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5.xml" ContentType="application/vnd.openxmlformats-officedocument.spreadsheetml.comments+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H:\BenjaminSlutsker\C-drive\Industry Work\ILA Syllabus Committee\2019 1H\PBR Model\Model Drafts\2019 07 11\"/>
    </mc:Choice>
  </mc:AlternateContent>
  <xr:revisionPtr revIDLastSave="0" documentId="13_ncr:1_{36D7A130-5B50-4F52-9D9A-77BECD3E67EF}" xr6:coauthVersionLast="36" xr6:coauthVersionMax="36" xr10:uidLastSave="{00000000-0000-0000-0000-000000000000}"/>
  <bookViews>
    <workbookView xWindow="0" yWindow="0" windowWidth="18930" windowHeight="8085" firstSheet="1" activeTab="1" xr2:uid="{00000000-000D-0000-FFFF-FFFF00000000}"/>
  </bookViews>
  <sheets>
    <sheet name="LEGAL DISCLAIMER" sheetId="50" state="hidden" r:id="rId1"/>
    <sheet name="Instructions" sheetId="56" r:id="rId2"/>
    <sheet name="Summary" sheetId="47" r:id="rId3"/>
    <sheet name="Deterministic Reserve" sheetId="26" r:id="rId4"/>
    <sheet name="Net Premium Reserve" sheetId="55" r:id="rId5"/>
    <sheet name="Input" sheetId="2" r:id="rId6"/>
    <sheet name="Mortality Tables" sheetId="42" r:id="rId7"/>
    <sheet name="Mortality Margins &amp; Grading" sheetId="54" r:id="rId8"/>
    <sheet name="Margin Analysis" sheetId="51" r:id="rId9"/>
    <sheet name="Exclusion Test" sheetId="52" r:id="rId10"/>
    <sheet name="Answer Key" sheetId="38" r:id="rId11"/>
    <sheet name="Answer - Margin Analysis" sheetId="57" r:id="rId12"/>
    <sheet name="Answer - Exclusion Test" sheetId="58" r:id="rId13"/>
    <sheet name="Prescribed Industry Mort Margin" sheetId="25" state="hidden" r:id="rId14"/>
    <sheet name="AG38-VM20 Mort Improvement" sheetId="41" state="hidden" r:id="rId15"/>
    <sheet name="Reserve Assumption Specifics" sheetId="34" state="hidden"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3" i="58" l="1"/>
  <c r="D24" i="58" s="1"/>
  <c r="D26" i="58" s="1"/>
  <c r="D28" i="58" s="1"/>
  <c r="D22" i="58"/>
  <c r="V24" i="57"/>
  <c r="P24" i="57"/>
  <c r="P23" i="57"/>
  <c r="V23" i="57" s="1"/>
  <c r="P22" i="57"/>
  <c r="V22" i="57" s="1"/>
  <c r="V21" i="57"/>
  <c r="P21" i="57"/>
  <c r="A10" i="57"/>
  <c r="A11" i="57" s="1"/>
  <c r="A12" i="57" s="1"/>
  <c r="A13" i="57" s="1"/>
  <c r="A14" i="57" s="1"/>
  <c r="A15" i="57" s="1"/>
  <c r="A16" i="57" s="1"/>
  <c r="A17" i="57" s="1"/>
  <c r="A18" i="57" s="1"/>
  <c r="A6" i="57"/>
  <c r="A7" i="57" s="1"/>
  <c r="A8" i="57" s="1"/>
  <c r="A9" i="57" s="1"/>
  <c r="AB1444" i="26"/>
  <c r="AB1443" i="26"/>
  <c r="AB1442" i="26"/>
  <c r="AB1441" i="26"/>
  <c r="AB1440" i="26"/>
  <c r="AB1439" i="26"/>
  <c r="AB1438" i="26"/>
  <c r="AB1437" i="26"/>
  <c r="AB1436" i="26"/>
  <c r="AB1435" i="26"/>
  <c r="AB1434" i="26"/>
  <c r="AB1433" i="26"/>
  <c r="AB1432" i="26"/>
  <c r="AB1431" i="26"/>
  <c r="AB1430" i="26"/>
  <c r="AB1429" i="26"/>
  <c r="AB1428" i="26"/>
  <c r="AB1427" i="26"/>
  <c r="AB1426" i="26"/>
  <c r="AB1425" i="26"/>
  <c r="AB1424" i="26"/>
  <c r="AB1423" i="26"/>
  <c r="AB1422" i="26"/>
  <c r="AB1421" i="26"/>
  <c r="AB1420" i="26"/>
  <c r="AB1419" i="26"/>
  <c r="AB1418" i="26"/>
  <c r="AB1417" i="26"/>
  <c r="AB1416" i="26"/>
  <c r="AB1415" i="26"/>
  <c r="AB1414" i="26"/>
  <c r="AB1413" i="26"/>
  <c r="AB1412" i="26"/>
  <c r="AB1411" i="26"/>
  <c r="AB1410" i="26"/>
  <c r="AB1409" i="26"/>
  <c r="AB1408" i="26"/>
  <c r="AB1407" i="26"/>
  <c r="AB1406" i="26"/>
  <c r="AB1405" i="26"/>
  <c r="AB1404" i="26"/>
  <c r="AB1403" i="26"/>
  <c r="AB1402" i="26"/>
  <c r="AB1401" i="26"/>
  <c r="AB1400" i="26"/>
  <c r="AB1399" i="26"/>
  <c r="AB1398" i="26"/>
  <c r="AB1397" i="26"/>
  <c r="AB1396" i="26"/>
  <c r="AB1395" i="26"/>
  <c r="AB1394" i="26"/>
  <c r="AB1393" i="26"/>
  <c r="AB1392" i="26"/>
  <c r="AB1391" i="26"/>
  <c r="AB1390" i="26"/>
  <c r="AB1389" i="26"/>
  <c r="AB1388" i="26"/>
  <c r="AB1387" i="26"/>
  <c r="AB1386" i="26"/>
  <c r="AB1385" i="26"/>
  <c r="AB1384" i="26"/>
  <c r="AB1383" i="26"/>
  <c r="AB1382" i="26"/>
  <c r="AB1381" i="26"/>
  <c r="AB1380" i="26"/>
  <c r="AB1379" i="26"/>
  <c r="AB1378" i="26"/>
  <c r="AB1377" i="26"/>
  <c r="AB1376" i="26"/>
  <c r="AB1375" i="26"/>
  <c r="AB1374" i="26"/>
  <c r="AB1373" i="26"/>
  <c r="AB1372" i="26"/>
  <c r="AB1371" i="26"/>
  <c r="AB1370" i="26"/>
  <c r="AB1369" i="26"/>
  <c r="AB1368" i="26"/>
  <c r="AB1367" i="26"/>
  <c r="AB1366" i="26"/>
  <c r="AB1365" i="26"/>
  <c r="AB1364" i="26"/>
  <c r="AB1363" i="26"/>
  <c r="AB1362" i="26"/>
  <c r="AB1361" i="26"/>
  <c r="AB1360" i="26"/>
  <c r="AB1359" i="26"/>
  <c r="AB1358" i="26"/>
  <c r="AB1357" i="26"/>
  <c r="AB1356" i="26"/>
  <c r="AB1355" i="26"/>
  <c r="AB1354" i="26"/>
  <c r="AB1353" i="26"/>
  <c r="AB1352" i="26"/>
  <c r="AB1351" i="26"/>
  <c r="AB1350" i="26"/>
  <c r="AB1349" i="26"/>
  <c r="AB1348" i="26"/>
  <c r="AB1347" i="26"/>
  <c r="AB1346" i="26"/>
  <c r="AB1345" i="26"/>
  <c r="AB1344" i="26"/>
  <c r="AB1343" i="26"/>
  <c r="AB1342" i="26"/>
  <c r="AB1341" i="26"/>
  <c r="AB1340" i="26"/>
  <c r="AB1339" i="26"/>
  <c r="AB1338" i="26"/>
  <c r="AB1337" i="26"/>
  <c r="AB1336" i="26"/>
  <c r="AB1335" i="26"/>
  <c r="AB1334" i="26"/>
  <c r="AB1333" i="26"/>
  <c r="AB1332" i="26"/>
  <c r="AB1331" i="26"/>
  <c r="AB1330" i="26"/>
  <c r="AB1329" i="26"/>
  <c r="AB1328" i="26"/>
  <c r="AB1327" i="26"/>
  <c r="AB1326" i="26"/>
  <c r="AB1325" i="26"/>
  <c r="AB1324" i="26"/>
  <c r="AB1323" i="26"/>
  <c r="AB1322" i="26"/>
  <c r="AB1321" i="26"/>
  <c r="AB1320" i="26"/>
  <c r="AB1319" i="26"/>
  <c r="AB1318" i="26"/>
  <c r="AB1317" i="26"/>
  <c r="AB1316" i="26"/>
  <c r="AB1315" i="26"/>
  <c r="AB1314" i="26"/>
  <c r="AB1313" i="26"/>
  <c r="AB1312" i="26"/>
  <c r="AB1311" i="26"/>
  <c r="AB1310" i="26"/>
  <c r="AB1309" i="26"/>
  <c r="AB1308" i="26"/>
  <c r="AB1307" i="26"/>
  <c r="AB1306" i="26"/>
  <c r="AB1305" i="26"/>
  <c r="AB1304" i="26"/>
  <c r="AB1303" i="26"/>
  <c r="AB1302" i="26"/>
  <c r="AB1301" i="26"/>
  <c r="AB1300" i="26"/>
  <c r="AB1299" i="26"/>
  <c r="AB1298" i="26"/>
  <c r="AB1297" i="26"/>
  <c r="AB1296" i="26"/>
  <c r="AB1295" i="26"/>
  <c r="AB1294" i="26"/>
  <c r="AB1293" i="26"/>
  <c r="AB1292" i="26"/>
  <c r="AB1291" i="26"/>
  <c r="AB1290" i="26"/>
  <c r="AB1289" i="26"/>
  <c r="AB1288" i="26"/>
  <c r="AB1287" i="26"/>
  <c r="AB1286" i="26"/>
  <c r="AB1285" i="26"/>
  <c r="AB1284" i="26"/>
  <c r="AB1283" i="26"/>
  <c r="AB1282" i="26"/>
  <c r="AB1281" i="26"/>
  <c r="AB1280" i="26"/>
  <c r="AB1279" i="26"/>
  <c r="AB1278" i="26"/>
  <c r="AB1277" i="26"/>
  <c r="AB1276" i="26"/>
  <c r="AB1275" i="26"/>
  <c r="AB1274" i="26"/>
  <c r="AB1273" i="26"/>
  <c r="AB1272" i="26"/>
  <c r="AB1271" i="26"/>
  <c r="AB1270" i="26"/>
  <c r="AB1269" i="26"/>
  <c r="AB1268" i="26"/>
  <c r="AB1267" i="26"/>
  <c r="AB1266" i="26"/>
  <c r="AB1265" i="26"/>
  <c r="AB1264" i="26"/>
  <c r="AB1263" i="26"/>
  <c r="AB1262" i="26"/>
  <c r="AB1261" i="26"/>
  <c r="AB1260" i="26"/>
  <c r="AB1259" i="26"/>
  <c r="AB1258" i="26"/>
  <c r="AB1257" i="26"/>
  <c r="AB1256" i="26"/>
  <c r="AB1255" i="26"/>
  <c r="AB1254" i="26"/>
  <c r="AB1253" i="26"/>
  <c r="AB1252" i="26"/>
  <c r="AB1251" i="26"/>
  <c r="AB1250" i="26"/>
  <c r="AB1249" i="26"/>
  <c r="AB1248" i="26"/>
  <c r="AB1247" i="26"/>
  <c r="AB1246" i="26"/>
  <c r="AB1245" i="26"/>
  <c r="AB1244" i="26"/>
  <c r="AB1243" i="26"/>
  <c r="AB1242" i="26"/>
  <c r="AB1241" i="26"/>
  <c r="AB1240" i="26"/>
  <c r="AB1239" i="26"/>
  <c r="AB1238" i="26"/>
  <c r="AB1237" i="26"/>
  <c r="AB1236" i="26"/>
  <c r="AB1235" i="26"/>
  <c r="AB1234" i="26"/>
  <c r="AB1233" i="26"/>
  <c r="AB1232" i="26"/>
  <c r="AB1231" i="26"/>
  <c r="AB1230" i="26"/>
  <c r="AB1229" i="26"/>
  <c r="AB1228" i="26"/>
  <c r="AB1227" i="26"/>
  <c r="AB1226" i="26"/>
  <c r="AB1225" i="26"/>
  <c r="AB1224" i="26"/>
  <c r="AB1223" i="26"/>
  <c r="AB1222" i="26"/>
  <c r="AB1221" i="26"/>
  <c r="AB1220" i="26"/>
  <c r="AB1219" i="26"/>
  <c r="AB1218" i="26"/>
  <c r="AB1217" i="26"/>
  <c r="AB1216" i="26"/>
  <c r="AB1215" i="26"/>
  <c r="AB1214" i="26"/>
  <c r="AB1213" i="26"/>
  <c r="AB1212" i="26"/>
  <c r="AB1211" i="26"/>
  <c r="AB1210" i="26"/>
  <c r="AB1209" i="26"/>
  <c r="AB1208" i="26"/>
  <c r="AB1207" i="26"/>
  <c r="AB1206" i="26"/>
  <c r="AB1205" i="26"/>
  <c r="AB1204" i="26"/>
  <c r="AB1203" i="26"/>
  <c r="AB1202" i="26"/>
  <c r="AB1201" i="26"/>
  <c r="AB1200" i="26"/>
  <c r="AB1199" i="26"/>
  <c r="AB1198" i="26"/>
  <c r="AB1197" i="26"/>
  <c r="AB1196" i="26"/>
  <c r="AB1195" i="26"/>
  <c r="AB1194" i="26"/>
  <c r="AB1193" i="26"/>
  <c r="AB1192" i="26"/>
  <c r="AB1191" i="26"/>
  <c r="AB1190" i="26"/>
  <c r="AB1189" i="26"/>
  <c r="AB1188" i="26"/>
  <c r="AB1187" i="26"/>
  <c r="AB1186" i="26"/>
  <c r="AB1185" i="26"/>
  <c r="AB1184" i="26"/>
  <c r="AB1183" i="26"/>
  <c r="AB1182" i="26"/>
  <c r="AB1181" i="26"/>
  <c r="AB1180" i="26"/>
  <c r="AB1179" i="26"/>
  <c r="AB1178" i="26"/>
  <c r="AB1177" i="26"/>
  <c r="AB1176" i="26"/>
  <c r="AB1175" i="26"/>
  <c r="AB1174" i="26"/>
  <c r="AB1173" i="26"/>
  <c r="AB1172" i="26"/>
  <c r="AB1171" i="26"/>
  <c r="AB1170" i="26"/>
  <c r="AB1169" i="26"/>
  <c r="AB1168" i="26"/>
  <c r="AB1167" i="26"/>
  <c r="AB1166" i="26"/>
  <c r="AB1165" i="26"/>
  <c r="AB1164" i="26"/>
  <c r="AB1163" i="26"/>
  <c r="AB1162" i="26"/>
  <c r="AB1161" i="26"/>
  <c r="AB1160" i="26"/>
  <c r="AB1159" i="26"/>
  <c r="AB1158" i="26"/>
  <c r="AB1157" i="26"/>
  <c r="AB1156" i="26"/>
  <c r="AB1155" i="26"/>
  <c r="AB1154" i="26"/>
  <c r="AB1153" i="26"/>
  <c r="AB1152" i="26"/>
  <c r="AB1151" i="26"/>
  <c r="AB1150" i="26"/>
  <c r="AB1149" i="26"/>
  <c r="AB1148" i="26"/>
  <c r="AB1147" i="26"/>
  <c r="AB1146" i="26"/>
  <c r="AB1145" i="26"/>
  <c r="AB1144" i="26"/>
  <c r="AB1143" i="26"/>
  <c r="AB1142" i="26"/>
  <c r="AB1141" i="26"/>
  <c r="AB1140" i="26"/>
  <c r="AB1139" i="26"/>
  <c r="AB1138" i="26"/>
  <c r="AB1137" i="26"/>
  <c r="AB1136" i="26"/>
  <c r="AB1135" i="26"/>
  <c r="AB1134" i="26"/>
  <c r="AB1133" i="26"/>
  <c r="AB1132" i="26"/>
  <c r="AB1131" i="26"/>
  <c r="AB1130" i="26"/>
  <c r="AB1129" i="26"/>
  <c r="AB1128" i="26"/>
  <c r="AB1127" i="26"/>
  <c r="AB1126" i="26"/>
  <c r="AB1125" i="26"/>
  <c r="AB1124" i="26"/>
  <c r="AB1123" i="26"/>
  <c r="AB1122" i="26"/>
  <c r="AB1121" i="26"/>
  <c r="AB1120" i="26"/>
  <c r="AB1119" i="26"/>
  <c r="AB1118" i="26"/>
  <c r="AB1117" i="26"/>
  <c r="AB1116" i="26"/>
  <c r="AB1115" i="26"/>
  <c r="AB1114" i="26"/>
  <c r="AB1113" i="26"/>
  <c r="AB1112" i="26"/>
  <c r="AB1111" i="26"/>
  <c r="AB1110" i="26"/>
  <c r="AB1109" i="26"/>
  <c r="AB1108" i="26"/>
  <c r="AB1107" i="26"/>
  <c r="AB1106" i="26"/>
  <c r="AB1105" i="26"/>
  <c r="AB1104" i="26"/>
  <c r="AB1103" i="26"/>
  <c r="AB1102" i="26"/>
  <c r="AB1101" i="26"/>
  <c r="AB1100" i="26"/>
  <c r="AB1099" i="26"/>
  <c r="AB1098" i="26"/>
  <c r="AB1097" i="26"/>
  <c r="AB1096" i="26"/>
  <c r="AB1095" i="26"/>
  <c r="AB1094" i="26"/>
  <c r="AB1093" i="26"/>
  <c r="AB1092" i="26"/>
  <c r="AB1091" i="26"/>
  <c r="AB1090" i="26"/>
  <c r="AB1089" i="26"/>
  <c r="AB1088" i="26"/>
  <c r="AB1087" i="26"/>
  <c r="AB1086" i="26"/>
  <c r="AB1085" i="26"/>
  <c r="AB1084" i="26"/>
  <c r="AB1083" i="26"/>
  <c r="AB1082" i="26"/>
  <c r="AB1081" i="26"/>
  <c r="AB1080" i="26"/>
  <c r="AB1079" i="26"/>
  <c r="AB1078" i="26"/>
  <c r="AB1077" i="26"/>
  <c r="AB1076" i="26"/>
  <c r="AB1075" i="26"/>
  <c r="AB1074" i="26"/>
  <c r="AB1073" i="26"/>
  <c r="AB1072" i="26"/>
  <c r="AB1071" i="26"/>
  <c r="AB1070" i="26"/>
  <c r="AB1069" i="26"/>
  <c r="AB1068" i="26"/>
  <c r="AB1067" i="26"/>
  <c r="AB1066" i="26"/>
  <c r="AB1065" i="26"/>
  <c r="AB1064" i="26"/>
  <c r="AB1063" i="26"/>
  <c r="AB1062" i="26"/>
  <c r="AB1061" i="26"/>
  <c r="AB1060" i="26"/>
  <c r="AB1059" i="26"/>
  <c r="AB1058" i="26"/>
  <c r="AB1057" i="26"/>
  <c r="AB1056" i="26"/>
  <c r="AB1055" i="26"/>
  <c r="AB1054" i="26"/>
  <c r="AB1053" i="26"/>
  <c r="AB1052" i="26"/>
  <c r="AB1051" i="26"/>
  <c r="AB1050" i="26"/>
  <c r="AB1049" i="26"/>
  <c r="AB1048" i="26"/>
  <c r="AB1047" i="26"/>
  <c r="AB1046" i="26"/>
  <c r="AB1045" i="26"/>
  <c r="AB1044" i="26"/>
  <c r="AB1043" i="26"/>
  <c r="AB1042" i="26"/>
  <c r="AB1041" i="26"/>
  <c r="AB1040" i="26"/>
  <c r="AB1039" i="26"/>
  <c r="AB1038" i="26"/>
  <c r="AB1037" i="26"/>
  <c r="AB1036" i="26"/>
  <c r="AB1035" i="26"/>
  <c r="AB1034" i="26"/>
  <c r="AB1033" i="26"/>
  <c r="AB1032" i="26"/>
  <c r="AB1031" i="26"/>
  <c r="AB1030" i="26"/>
  <c r="AB1029" i="26"/>
  <c r="AB1028" i="26"/>
  <c r="AB1027" i="26"/>
  <c r="AB1026" i="26"/>
  <c r="AB1025" i="26"/>
  <c r="AB1024" i="26"/>
  <c r="AB1023" i="26"/>
  <c r="AB1022" i="26"/>
  <c r="AB1021" i="26"/>
  <c r="AB1020" i="26"/>
  <c r="AB1019" i="26"/>
  <c r="AB1018" i="26"/>
  <c r="AB1017" i="26"/>
  <c r="AB1016" i="26"/>
  <c r="AB1015" i="26"/>
  <c r="AB1014" i="26"/>
  <c r="AB1013" i="26"/>
  <c r="AB1012" i="26"/>
  <c r="AB1011" i="26"/>
  <c r="AB1010" i="26"/>
  <c r="AB1009" i="26"/>
  <c r="AB1008" i="26"/>
  <c r="AB1007" i="26"/>
  <c r="AB1006" i="26"/>
  <c r="AB1005" i="26"/>
  <c r="AB1004" i="26"/>
  <c r="AB1003" i="26"/>
  <c r="AB1002" i="26"/>
  <c r="AB1001" i="26"/>
  <c r="AB1000" i="26"/>
  <c r="AB999" i="26"/>
  <c r="AB998" i="26"/>
  <c r="AB997" i="26"/>
  <c r="AB996" i="26"/>
  <c r="AB995" i="26"/>
  <c r="AB994" i="26"/>
  <c r="AB993" i="26"/>
  <c r="AB992" i="26"/>
  <c r="AB991" i="26"/>
  <c r="AB990" i="26"/>
  <c r="AB989" i="26"/>
  <c r="AB988" i="26"/>
  <c r="AB987" i="26"/>
  <c r="AB986" i="26"/>
  <c r="AB985" i="26"/>
  <c r="AB984" i="26"/>
  <c r="AB983" i="26"/>
  <c r="AB982" i="26"/>
  <c r="AB981" i="26"/>
  <c r="AB980" i="26"/>
  <c r="AB979" i="26"/>
  <c r="AB978" i="26"/>
  <c r="AB977" i="26"/>
  <c r="AB976" i="26"/>
  <c r="AB975" i="26"/>
  <c r="AB974" i="26"/>
  <c r="AB973" i="26"/>
  <c r="AB972" i="26"/>
  <c r="AB971" i="26"/>
  <c r="AB970" i="26"/>
  <c r="AB969" i="26"/>
  <c r="AB968" i="26"/>
  <c r="AB967" i="26"/>
  <c r="AB966" i="26"/>
  <c r="AB965" i="26"/>
  <c r="AB964" i="26"/>
  <c r="AB963" i="26"/>
  <c r="AB962" i="26"/>
  <c r="AB961" i="26"/>
  <c r="AB960" i="26"/>
  <c r="AB959" i="26"/>
  <c r="AB958" i="26"/>
  <c r="AB957" i="26"/>
  <c r="AB956" i="26"/>
  <c r="AB955" i="26"/>
  <c r="AB954" i="26"/>
  <c r="AB953" i="26"/>
  <c r="AB952" i="26"/>
  <c r="AB951" i="26"/>
  <c r="AB950" i="26"/>
  <c r="AB949" i="26"/>
  <c r="AB948" i="26"/>
  <c r="AB947" i="26"/>
  <c r="AB946" i="26"/>
  <c r="AB945" i="26"/>
  <c r="AB944" i="26"/>
  <c r="AB943" i="26"/>
  <c r="AB942" i="26"/>
  <c r="AB941" i="26"/>
  <c r="AB940" i="26"/>
  <c r="AB939" i="26"/>
  <c r="AB938" i="26"/>
  <c r="AB937" i="26"/>
  <c r="AB936" i="26"/>
  <c r="AB935" i="26"/>
  <c r="AB934" i="26"/>
  <c r="AB933" i="26"/>
  <c r="AB932" i="26"/>
  <c r="AB931" i="26"/>
  <c r="AB930" i="26"/>
  <c r="AB929" i="26"/>
  <c r="AB928" i="26"/>
  <c r="AB927" i="26"/>
  <c r="AB926" i="26"/>
  <c r="AB925" i="26"/>
  <c r="AB924" i="26"/>
  <c r="AB923" i="26"/>
  <c r="AB922" i="26"/>
  <c r="AB921" i="26"/>
  <c r="AB920" i="26"/>
  <c r="AB919" i="26"/>
  <c r="AB918" i="26"/>
  <c r="AB917" i="26"/>
  <c r="AB916" i="26"/>
  <c r="AB915" i="26"/>
  <c r="AB914" i="26"/>
  <c r="AB913" i="26"/>
  <c r="AB912" i="26"/>
  <c r="AB911" i="26"/>
  <c r="AB910" i="26"/>
  <c r="AB909" i="26"/>
  <c r="AB908" i="26"/>
  <c r="AB907" i="26"/>
  <c r="AB906" i="26"/>
  <c r="AB905" i="26"/>
  <c r="AB904" i="26"/>
  <c r="AB903" i="26"/>
  <c r="AB902" i="26"/>
  <c r="AB901" i="26"/>
  <c r="AB900" i="26"/>
  <c r="AB899" i="26"/>
  <c r="AB898" i="26"/>
  <c r="AB897" i="26"/>
  <c r="AB896" i="26"/>
  <c r="AB895" i="26"/>
  <c r="AB894" i="26"/>
  <c r="AB893" i="26"/>
  <c r="AB892" i="26"/>
  <c r="AB891" i="26"/>
  <c r="AB890" i="26"/>
  <c r="AB889" i="26"/>
  <c r="AB888" i="26"/>
  <c r="AB887" i="26"/>
  <c r="AB886" i="26"/>
  <c r="AB885" i="26"/>
  <c r="AB884" i="26"/>
  <c r="AB883" i="26"/>
  <c r="AB882" i="26"/>
  <c r="AB881" i="26"/>
  <c r="AB880" i="26"/>
  <c r="AB879" i="26"/>
  <c r="AB878" i="26"/>
  <c r="AB877" i="26"/>
  <c r="AB876" i="26"/>
  <c r="AB875" i="26"/>
  <c r="AB874" i="26"/>
  <c r="AB873" i="26"/>
  <c r="AB872" i="26"/>
  <c r="AB871" i="26"/>
  <c r="AB870" i="26"/>
  <c r="AB869" i="26"/>
  <c r="AB868" i="26"/>
  <c r="AB867" i="26"/>
  <c r="AB866" i="26"/>
  <c r="AB865" i="26"/>
  <c r="AB864" i="26"/>
  <c r="AB863" i="26"/>
  <c r="AB862" i="26"/>
  <c r="AB861" i="26"/>
  <c r="AB860" i="26"/>
  <c r="AB859" i="26"/>
  <c r="AB858" i="26"/>
  <c r="AB857" i="26"/>
  <c r="AB856" i="26"/>
  <c r="AB855" i="26"/>
  <c r="AB854" i="26"/>
  <c r="AB853" i="26"/>
  <c r="AB852" i="26"/>
  <c r="AB851" i="26"/>
  <c r="AB850" i="26"/>
  <c r="AB849" i="26"/>
  <c r="AB848" i="26"/>
  <c r="AB847" i="26"/>
  <c r="AB846" i="26"/>
  <c r="AB845" i="26"/>
  <c r="AB844" i="26"/>
  <c r="AB843" i="26"/>
  <c r="AB842" i="26"/>
  <c r="AB841" i="26"/>
  <c r="AB840" i="26"/>
  <c r="AB839" i="26"/>
  <c r="AB838" i="26"/>
  <c r="AB837" i="26"/>
  <c r="AB836" i="26"/>
  <c r="AB835" i="26"/>
  <c r="AB834" i="26"/>
  <c r="AB833" i="26"/>
  <c r="AB832" i="26"/>
  <c r="AB831" i="26"/>
  <c r="AB830" i="26"/>
  <c r="AB829" i="26"/>
  <c r="AB828" i="26"/>
  <c r="AB827" i="26"/>
  <c r="AB826" i="26"/>
  <c r="AB825" i="26"/>
  <c r="AB824" i="26"/>
  <c r="AB823" i="26"/>
  <c r="AB822" i="26"/>
  <c r="AB821" i="26"/>
  <c r="AB820" i="26"/>
  <c r="AB819" i="26"/>
  <c r="AB818" i="26"/>
  <c r="AB817" i="26"/>
  <c r="AB816" i="26"/>
  <c r="AB815" i="26"/>
  <c r="AB814" i="26"/>
  <c r="AB813" i="26"/>
  <c r="AB812" i="26"/>
  <c r="AB811" i="26"/>
  <c r="AB810" i="26"/>
  <c r="AB809" i="26"/>
  <c r="AB808" i="26"/>
  <c r="AB807" i="26"/>
  <c r="AB806" i="26"/>
  <c r="AB805" i="26"/>
  <c r="AB804" i="26"/>
  <c r="AB803" i="26"/>
  <c r="AB802" i="26"/>
  <c r="AB801" i="26"/>
  <c r="AB800" i="26"/>
  <c r="AB799" i="26"/>
  <c r="AB798" i="26"/>
  <c r="AB797" i="26"/>
  <c r="AB796" i="26"/>
  <c r="AB795" i="26"/>
  <c r="AB794" i="26"/>
  <c r="AB793" i="26"/>
  <c r="AB792" i="26"/>
  <c r="AB791" i="26"/>
  <c r="AB790" i="26"/>
  <c r="AB789" i="26"/>
  <c r="AB788" i="26"/>
  <c r="AB787" i="26"/>
  <c r="AB786" i="26"/>
  <c r="AB785" i="26"/>
  <c r="AB784" i="26"/>
  <c r="AB783" i="26"/>
  <c r="AB782" i="26"/>
  <c r="AB781" i="26"/>
  <c r="AB780" i="26"/>
  <c r="AB779" i="26"/>
  <c r="AB778" i="26"/>
  <c r="AB777" i="26"/>
  <c r="AB776" i="26"/>
  <c r="AB775" i="26"/>
  <c r="AB774" i="26"/>
  <c r="AB773" i="26"/>
  <c r="AB772" i="26"/>
  <c r="AB771" i="26"/>
  <c r="AB770" i="26"/>
  <c r="AB769" i="26"/>
  <c r="AB768" i="26"/>
  <c r="AB767" i="26"/>
  <c r="AB766" i="26"/>
  <c r="AB765" i="26"/>
  <c r="AB764" i="26"/>
  <c r="AB763" i="26"/>
  <c r="AB762" i="26"/>
  <c r="AB761" i="26"/>
  <c r="AB760" i="26"/>
  <c r="AB759" i="26"/>
  <c r="AB758" i="26"/>
  <c r="AB757" i="26"/>
  <c r="AB756" i="26"/>
  <c r="AB755" i="26"/>
  <c r="AB754" i="26"/>
  <c r="AB753" i="26"/>
  <c r="AB752" i="26"/>
  <c r="AB751" i="26"/>
  <c r="AB750" i="26"/>
  <c r="AB749" i="26"/>
  <c r="AB748" i="26"/>
  <c r="AB747" i="26"/>
  <c r="AB746" i="26"/>
  <c r="AB745" i="26"/>
  <c r="AB744" i="26"/>
  <c r="AB743" i="26"/>
  <c r="AB742" i="26"/>
  <c r="AB741" i="26"/>
  <c r="AB740" i="26"/>
  <c r="AB739" i="26"/>
  <c r="AB738" i="26"/>
  <c r="AB737" i="26"/>
  <c r="AB736" i="26"/>
  <c r="AB735" i="26"/>
  <c r="AB734" i="26"/>
  <c r="AB733" i="26"/>
  <c r="AB732" i="26"/>
  <c r="AB731" i="26"/>
  <c r="AB730" i="26"/>
  <c r="AB729" i="26"/>
  <c r="AB728" i="26"/>
  <c r="AB727" i="26"/>
  <c r="AB726" i="26"/>
  <c r="AB725" i="26"/>
  <c r="AB724" i="26"/>
  <c r="AB723" i="26"/>
  <c r="AB722" i="26"/>
  <c r="AB721" i="26"/>
  <c r="AB720" i="26"/>
  <c r="AB719" i="26"/>
  <c r="AB718" i="26"/>
  <c r="AB717" i="26"/>
  <c r="AB716" i="26"/>
  <c r="AB715" i="26"/>
  <c r="AB714" i="26"/>
  <c r="AB713" i="26"/>
  <c r="AB712" i="26"/>
  <c r="AB711" i="26"/>
  <c r="AB710" i="26"/>
  <c r="AB709" i="26"/>
  <c r="AB708" i="26"/>
  <c r="AB707" i="26"/>
  <c r="AB706" i="26"/>
  <c r="AB705" i="26"/>
  <c r="AB704" i="26"/>
  <c r="AB703" i="26"/>
  <c r="AB702" i="26"/>
  <c r="AB701" i="26"/>
  <c r="AB700" i="26"/>
  <c r="AB699" i="26"/>
  <c r="AB698" i="26"/>
  <c r="AB697" i="26"/>
  <c r="AB696" i="26"/>
  <c r="AB695" i="26"/>
  <c r="AB694" i="26"/>
  <c r="AB693" i="26"/>
  <c r="AB692" i="26"/>
  <c r="AB691" i="26"/>
  <c r="AB690" i="26"/>
  <c r="AB689" i="26"/>
  <c r="AB688" i="26"/>
  <c r="AB687" i="26"/>
  <c r="AB686" i="26"/>
  <c r="AB685" i="26"/>
  <c r="AB684" i="26"/>
  <c r="AB683" i="26"/>
  <c r="AB682" i="26"/>
  <c r="AB681" i="26"/>
  <c r="AB680" i="26"/>
  <c r="AB679" i="26"/>
  <c r="AB678" i="26"/>
  <c r="AB677" i="26"/>
  <c r="AB676" i="26"/>
  <c r="AB675" i="26"/>
  <c r="AB674" i="26"/>
  <c r="AB673" i="26"/>
  <c r="AB672" i="26"/>
  <c r="AB671" i="26"/>
  <c r="AB670" i="26"/>
  <c r="AB669" i="26"/>
  <c r="AB668" i="26"/>
  <c r="AB667" i="26"/>
  <c r="AB666" i="26"/>
  <c r="AB665" i="26"/>
  <c r="AB664" i="26"/>
  <c r="AB663" i="26"/>
  <c r="AB662" i="26"/>
  <c r="AB661" i="26"/>
  <c r="AB660" i="26"/>
  <c r="AB659" i="26"/>
  <c r="AB658" i="26"/>
  <c r="AB657" i="26"/>
  <c r="AB656" i="26"/>
  <c r="AB655" i="26"/>
  <c r="AB654" i="26"/>
  <c r="AB653" i="26"/>
  <c r="AB652" i="26"/>
  <c r="AB651" i="26"/>
  <c r="AB650" i="26"/>
  <c r="AB649" i="26"/>
  <c r="AB648" i="26"/>
  <c r="AB647" i="26"/>
  <c r="AB646" i="26"/>
  <c r="AB645" i="26"/>
  <c r="AB644" i="26"/>
  <c r="AB643" i="26"/>
  <c r="AB642" i="26"/>
  <c r="AB641" i="26"/>
  <c r="AB640" i="26"/>
  <c r="AB639" i="26"/>
  <c r="AB638" i="26"/>
  <c r="AB637" i="26"/>
  <c r="AB636" i="26"/>
  <c r="AB635" i="26"/>
  <c r="AB634" i="26"/>
  <c r="AB633" i="26"/>
  <c r="AB632" i="26"/>
  <c r="AB631" i="26"/>
  <c r="AB630" i="26"/>
  <c r="AB629" i="26"/>
  <c r="AB628" i="26"/>
  <c r="AB627" i="26"/>
  <c r="AB626" i="26"/>
  <c r="AB625" i="26"/>
  <c r="AB624" i="26"/>
  <c r="AB623" i="26"/>
  <c r="AB622" i="26"/>
  <c r="AB621" i="26"/>
  <c r="AB620" i="26"/>
  <c r="AB619" i="26"/>
  <c r="AB618" i="26"/>
  <c r="AB617" i="26"/>
  <c r="AB616" i="26"/>
  <c r="AB615" i="26"/>
  <c r="AB614" i="26"/>
  <c r="AB613" i="26"/>
  <c r="AB612" i="26"/>
  <c r="AB611" i="26"/>
  <c r="AB610" i="26"/>
  <c r="AB609" i="26"/>
  <c r="AB608" i="26"/>
  <c r="AB607" i="26"/>
  <c r="AB606" i="26"/>
  <c r="AB605" i="26"/>
  <c r="AB604" i="26"/>
  <c r="AB603" i="26"/>
  <c r="AB602" i="26"/>
  <c r="AB601" i="26"/>
  <c r="AB600" i="26"/>
  <c r="AB599" i="26"/>
  <c r="AB598" i="26"/>
  <c r="AB597" i="26"/>
  <c r="AB596" i="26"/>
  <c r="AB595" i="26"/>
  <c r="AB594" i="26"/>
  <c r="AB593" i="26"/>
  <c r="AB592" i="26"/>
  <c r="AB591" i="26"/>
  <c r="AB590" i="26"/>
  <c r="AB589" i="26"/>
  <c r="AB588" i="26"/>
  <c r="AB587" i="26"/>
  <c r="AB586" i="26"/>
  <c r="AB585" i="26"/>
  <c r="AB584" i="26"/>
  <c r="AB583" i="26"/>
  <c r="AB582" i="26"/>
  <c r="AB581" i="26"/>
  <c r="AB580" i="26"/>
  <c r="AB579" i="26"/>
  <c r="AB578" i="26"/>
  <c r="AB577" i="26"/>
  <c r="AB576" i="26"/>
  <c r="AB575" i="26"/>
  <c r="AB574" i="26"/>
  <c r="AB573" i="26"/>
  <c r="AB572" i="26"/>
  <c r="AB571" i="26"/>
  <c r="AB570" i="26"/>
  <c r="AB569" i="26"/>
  <c r="AB568" i="26"/>
  <c r="AB567" i="26"/>
  <c r="AB566" i="26"/>
  <c r="AB565" i="26"/>
  <c r="AB564" i="26"/>
  <c r="AB563" i="26"/>
  <c r="AB562" i="26"/>
  <c r="AB561" i="26"/>
  <c r="AB560" i="26"/>
  <c r="AB559" i="26"/>
  <c r="AB558" i="26"/>
  <c r="AB557" i="26"/>
  <c r="AB556" i="26"/>
  <c r="AB555" i="26"/>
  <c r="AB554" i="26"/>
  <c r="AB553" i="26"/>
  <c r="AB552" i="26"/>
  <c r="AB551" i="26"/>
  <c r="AB550" i="26"/>
  <c r="AB549" i="26"/>
  <c r="AB548" i="26"/>
  <c r="AB547" i="26"/>
  <c r="AB546" i="26"/>
  <c r="AB545" i="26"/>
  <c r="AB544" i="26"/>
  <c r="AB543" i="26"/>
  <c r="AB542" i="26"/>
  <c r="AB541" i="26"/>
  <c r="AB540" i="26"/>
  <c r="AB539" i="26"/>
  <c r="AB538" i="26"/>
  <c r="AB537" i="26"/>
  <c r="AB536" i="26"/>
  <c r="AB535" i="26"/>
  <c r="AB534" i="26"/>
  <c r="AB533" i="26"/>
  <c r="AB532" i="26"/>
  <c r="AB531" i="26"/>
  <c r="AB530" i="26"/>
  <c r="AB529" i="26"/>
  <c r="AB528" i="26"/>
  <c r="AB527" i="26"/>
  <c r="AB526" i="26"/>
  <c r="AB525" i="26"/>
  <c r="AB524" i="26"/>
  <c r="AB523" i="26"/>
  <c r="AB522" i="26"/>
  <c r="AB521" i="26"/>
  <c r="AB520" i="26"/>
  <c r="AB519" i="26"/>
  <c r="AB518" i="26"/>
  <c r="AB517" i="26"/>
  <c r="AB516" i="26"/>
  <c r="AB515" i="26"/>
  <c r="AB514" i="26"/>
  <c r="AB513" i="26"/>
  <c r="AB512" i="26"/>
  <c r="AB511" i="26"/>
  <c r="AB510" i="26"/>
  <c r="AB509" i="26"/>
  <c r="AB508" i="26"/>
  <c r="AB507" i="26"/>
  <c r="AB506" i="26"/>
  <c r="AB505" i="26"/>
  <c r="AB504" i="26"/>
  <c r="AB503" i="26"/>
  <c r="AB502" i="26"/>
  <c r="AB501" i="26"/>
  <c r="AB500" i="26"/>
  <c r="AB499" i="26"/>
  <c r="AB498" i="26"/>
  <c r="AB497" i="26"/>
  <c r="AB496" i="26"/>
  <c r="AB495" i="26"/>
  <c r="AB494" i="26"/>
  <c r="AB493" i="26"/>
  <c r="AB492" i="26"/>
  <c r="AB491" i="26"/>
  <c r="AB490" i="26"/>
  <c r="AB489" i="26"/>
  <c r="AB488" i="26"/>
  <c r="AB487" i="26"/>
  <c r="AB486" i="26"/>
  <c r="AB485" i="26"/>
  <c r="AB484" i="26"/>
  <c r="AB483" i="26"/>
  <c r="AB482" i="26"/>
  <c r="AB481" i="26"/>
  <c r="AB480" i="26"/>
  <c r="AB479" i="26"/>
  <c r="AB478" i="26"/>
  <c r="AB477" i="26"/>
  <c r="AB476" i="26"/>
  <c r="AB475" i="26"/>
  <c r="AB474" i="26"/>
  <c r="AB473" i="26"/>
  <c r="AB472" i="26"/>
  <c r="AB471" i="26"/>
  <c r="AB470" i="26"/>
  <c r="AB469" i="26"/>
  <c r="AB468" i="26"/>
  <c r="AB467" i="26"/>
  <c r="AB466" i="26"/>
  <c r="AB465" i="26"/>
  <c r="AB464" i="26"/>
  <c r="AB463" i="26"/>
  <c r="AB462" i="26"/>
  <c r="AB461" i="26"/>
  <c r="AB460" i="26"/>
  <c r="AB459" i="26"/>
  <c r="AB458" i="26"/>
  <c r="AB457" i="26"/>
  <c r="AB456" i="26"/>
  <c r="AB455" i="26"/>
  <c r="AB454" i="26"/>
  <c r="AB453" i="26"/>
  <c r="AB452" i="26"/>
  <c r="AB451" i="26"/>
  <c r="AB450" i="26"/>
  <c r="AB449" i="26"/>
  <c r="AB448" i="26"/>
  <c r="AB447" i="26"/>
  <c r="AB446" i="26"/>
  <c r="AB445" i="26"/>
  <c r="AB444" i="26"/>
  <c r="AB443" i="26"/>
  <c r="AB442" i="26"/>
  <c r="AB441" i="26"/>
  <c r="AB440" i="26"/>
  <c r="AB439" i="26"/>
  <c r="AB438" i="26"/>
  <c r="AB437" i="26"/>
  <c r="AB436" i="26"/>
  <c r="AB435" i="26"/>
  <c r="AB434" i="26"/>
  <c r="AB433" i="26"/>
  <c r="AB432" i="26"/>
  <c r="AB431" i="26"/>
  <c r="AB430" i="26"/>
  <c r="AB429" i="26"/>
  <c r="AB428" i="26"/>
  <c r="AB427" i="26"/>
  <c r="AB426" i="26"/>
  <c r="AB425" i="26"/>
  <c r="AB424" i="26"/>
  <c r="AB423" i="26"/>
  <c r="AB422" i="26"/>
  <c r="AB421" i="26"/>
  <c r="AB420" i="26"/>
  <c r="AB419" i="26"/>
  <c r="AB418" i="26"/>
  <c r="AB417" i="26"/>
  <c r="AB416" i="26"/>
  <c r="AB415" i="26"/>
  <c r="AB414" i="26"/>
  <c r="AB413" i="26"/>
  <c r="AB412" i="26"/>
  <c r="AB411" i="26"/>
  <c r="AB410" i="26"/>
  <c r="AB409" i="26"/>
  <c r="AB408" i="26"/>
  <c r="AB407" i="26"/>
  <c r="AB406" i="26"/>
  <c r="AB405" i="26"/>
  <c r="AB404" i="26"/>
  <c r="AB403" i="26"/>
  <c r="AB402" i="26"/>
  <c r="AB401" i="26"/>
  <c r="AB400" i="26"/>
  <c r="AB399" i="26"/>
  <c r="AB398" i="26"/>
  <c r="AB397" i="26"/>
  <c r="AB396" i="26"/>
  <c r="AB395" i="26"/>
  <c r="AB394" i="26"/>
  <c r="AB393" i="26"/>
  <c r="AB392" i="26"/>
  <c r="AB391" i="26"/>
  <c r="AB390" i="26"/>
  <c r="AB389" i="26"/>
  <c r="AB388" i="26"/>
  <c r="AB387" i="26"/>
  <c r="AB386" i="26"/>
  <c r="AB385" i="26"/>
  <c r="AB384" i="26"/>
  <c r="AB383" i="26"/>
  <c r="AB382" i="26"/>
  <c r="AB381" i="26"/>
  <c r="AB380" i="26"/>
  <c r="AB379" i="26"/>
  <c r="AB378" i="26"/>
  <c r="AB377" i="26"/>
  <c r="AB376" i="26"/>
  <c r="AB375" i="26"/>
  <c r="AB374" i="26"/>
  <c r="AB373" i="26"/>
  <c r="AB372" i="26"/>
  <c r="AB371" i="26"/>
  <c r="AB370" i="26"/>
  <c r="AB369" i="26"/>
  <c r="AB368" i="26"/>
  <c r="AB367" i="26"/>
  <c r="AB366" i="26"/>
  <c r="AB365" i="26"/>
  <c r="AB364" i="26"/>
  <c r="AB363" i="26"/>
  <c r="AB362" i="26"/>
  <c r="AB361" i="26"/>
  <c r="AB360" i="26"/>
  <c r="AB359" i="26"/>
  <c r="AB358" i="26"/>
  <c r="AB357" i="26"/>
  <c r="AB356" i="26"/>
  <c r="AB355" i="26"/>
  <c r="AB354" i="26"/>
  <c r="AB353" i="26"/>
  <c r="AB352" i="26"/>
  <c r="AB351" i="26"/>
  <c r="AB350" i="26"/>
  <c r="AB349" i="26"/>
  <c r="AB348" i="26"/>
  <c r="AB347" i="26"/>
  <c r="AB346" i="26"/>
  <c r="AB345" i="26"/>
  <c r="AB344" i="26"/>
  <c r="AB343" i="26"/>
  <c r="AB342" i="26"/>
  <c r="AB341" i="26"/>
  <c r="AB340" i="26"/>
  <c r="AB339" i="26"/>
  <c r="AB338" i="26"/>
  <c r="AB337" i="26"/>
  <c r="AB336" i="26"/>
  <c r="AB335" i="26"/>
  <c r="AB334" i="26"/>
  <c r="AB333" i="26"/>
  <c r="AB332" i="26"/>
  <c r="AB331" i="26"/>
  <c r="AB330" i="26"/>
  <c r="AB329" i="26"/>
  <c r="AB328" i="26"/>
  <c r="AB327" i="26"/>
  <c r="AB326" i="26"/>
  <c r="AB325" i="26"/>
  <c r="AB324" i="26"/>
  <c r="AB323" i="26"/>
  <c r="AB322" i="26"/>
  <c r="AB321" i="26"/>
  <c r="AB320" i="26"/>
  <c r="AB319" i="26"/>
  <c r="AB318" i="26"/>
  <c r="AB317" i="26"/>
  <c r="AB316" i="26"/>
  <c r="AB315" i="26"/>
  <c r="AB314" i="26"/>
  <c r="AB313" i="26"/>
  <c r="AB312" i="26"/>
  <c r="AB311" i="26"/>
  <c r="AB310" i="26"/>
  <c r="AB309" i="26"/>
  <c r="AB308" i="26"/>
  <c r="AB307" i="26"/>
  <c r="AB306" i="26"/>
  <c r="AB305" i="26"/>
  <c r="AB304" i="26"/>
  <c r="AB303" i="26"/>
  <c r="AB302" i="26"/>
  <c r="AB301" i="26"/>
  <c r="AB300" i="26"/>
  <c r="AB299" i="26"/>
  <c r="AB298" i="26"/>
  <c r="AB297" i="26"/>
  <c r="AB296" i="26"/>
  <c r="AB295" i="26"/>
  <c r="AB294" i="26"/>
  <c r="AB293" i="26"/>
  <c r="AB292" i="26"/>
  <c r="AB291" i="26"/>
  <c r="AB290" i="26"/>
  <c r="AB289" i="26"/>
  <c r="AB288" i="26"/>
  <c r="AB287" i="26"/>
  <c r="AB286" i="26"/>
  <c r="AB285" i="26"/>
  <c r="AB284" i="26"/>
  <c r="AB283" i="26"/>
  <c r="AB282" i="26"/>
  <c r="AB281" i="26"/>
  <c r="AB280" i="26"/>
  <c r="AB279" i="26"/>
  <c r="AB278" i="26"/>
  <c r="AB277" i="26"/>
  <c r="AB276" i="26"/>
  <c r="AB275" i="26"/>
  <c r="AB274" i="26"/>
  <c r="AB273" i="26"/>
  <c r="AB272" i="26"/>
  <c r="AB271" i="26"/>
  <c r="AB270" i="26"/>
  <c r="AB269" i="26"/>
  <c r="AB268" i="26"/>
  <c r="AB267" i="26"/>
  <c r="AB266" i="26"/>
  <c r="AB265" i="26"/>
  <c r="AB264" i="26"/>
  <c r="AB263" i="26"/>
  <c r="AB262" i="26"/>
  <c r="AB261" i="26"/>
  <c r="AB260" i="26"/>
  <c r="AB259" i="26"/>
  <c r="AB258" i="26"/>
  <c r="AB257" i="26"/>
  <c r="AB256" i="26"/>
  <c r="AB255" i="26"/>
  <c r="AB254" i="26"/>
  <c r="AB253" i="26"/>
  <c r="AB252" i="26"/>
  <c r="AB251" i="26"/>
  <c r="AB250" i="26"/>
  <c r="AB249" i="26"/>
  <c r="AB248" i="26"/>
  <c r="AB247" i="26"/>
  <c r="AB246" i="26"/>
  <c r="AB245" i="26"/>
  <c r="AB244" i="26"/>
  <c r="AB243" i="26"/>
  <c r="AB242" i="26"/>
  <c r="AB241" i="26"/>
  <c r="AB240" i="26"/>
  <c r="AB239" i="26"/>
  <c r="AB238" i="26"/>
  <c r="AB237" i="26"/>
  <c r="AB236" i="26"/>
  <c r="AB235" i="26"/>
  <c r="AB234" i="26"/>
  <c r="AB233" i="26"/>
  <c r="AB232" i="26"/>
  <c r="AB231" i="26"/>
  <c r="AB230" i="26"/>
  <c r="AB229" i="26"/>
  <c r="AB228" i="26"/>
  <c r="AB227" i="26"/>
  <c r="AB226" i="26"/>
  <c r="AB225" i="26"/>
  <c r="AB224" i="26"/>
  <c r="AB223" i="26"/>
  <c r="AB222" i="26"/>
  <c r="AB221" i="26"/>
  <c r="AB220" i="26"/>
  <c r="AB219" i="26"/>
  <c r="AB218" i="26"/>
  <c r="AB217" i="26"/>
  <c r="AB216" i="26"/>
  <c r="AB215" i="26"/>
  <c r="AB214" i="26"/>
  <c r="AB213" i="26"/>
  <c r="AB212" i="26"/>
  <c r="AB211" i="26"/>
  <c r="AB210" i="26"/>
  <c r="AB209" i="26"/>
  <c r="AB208" i="26"/>
  <c r="AB207" i="26"/>
  <c r="AB206" i="26"/>
  <c r="AB205" i="26"/>
  <c r="AB204" i="26"/>
  <c r="AB203" i="26"/>
  <c r="AB202" i="26"/>
  <c r="AB201" i="26"/>
  <c r="AB200" i="26"/>
  <c r="AB199" i="26"/>
  <c r="AB198" i="26"/>
  <c r="AB197" i="26"/>
  <c r="AB196" i="26"/>
  <c r="AB195" i="26"/>
  <c r="AB194" i="26"/>
  <c r="AB193" i="26"/>
  <c r="AB192" i="26"/>
  <c r="AB191" i="26"/>
  <c r="AB190" i="26"/>
  <c r="AB189" i="26"/>
  <c r="AB188" i="26"/>
  <c r="AB187" i="26"/>
  <c r="AB186" i="26"/>
  <c r="AB185" i="26"/>
  <c r="AB184" i="26"/>
  <c r="AB183" i="26"/>
  <c r="AB182" i="26"/>
  <c r="AB181" i="26"/>
  <c r="AB180" i="26"/>
  <c r="AB179" i="26"/>
  <c r="AB178" i="26"/>
  <c r="AB177" i="26"/>
  <c r="AB176" i="26"/>
  <c r="AB175" i="26"/>
  <c r="AB174" i="26"/>
  <c r="AB173" i="26"/>
  <c r="AB172" i="26"/>
  <c r="AB171" i="26"/>
  <c r="AB170" i="26"/>
  <c r="AB169" i="26"/>
  <c r="AB168" i="26"/>
  <c r="AB167" i="26"/>
  <c r="AB166" i="26"/>
  <c r="AB165" i="26"/>
  <c r="AB164" i="26"/>
  <c r="AB163" i="26"/>
  <c r="AB162" i="26"/>
  <c r="AB161" i="26"/>
  <c r="AB160" i="26"/>
  <c r="AB159" i="26"/>
  <c r="AB158" i="26"/>
  <c r="AB157" i="26"/>
  <c r="AB156" i="26"/>
  <c r="AB155" i="26"/>
  <c r="AB154" i="26"/>
  <c r="AB153" i="26"/>
  <c r="AB152" i="26"/>
  <c r="AB151" i="26"/>
  <c r="AB150" i="26"/>
  <c r="AB149" i="26"/>
  <c r="AB148" i="26"/>
  <c r="AB147" i="26"/>
  <c r="AB146" i="26"/>
  <c r="AB145" i="26"/>
  <c r="AB144" i="26"/>
  <c r="AB143" i="26"/>
  <c r="AB142" i="26"/>
  <c r="AB141" i="26"/>
  <c r="AB140" i="26"/>
  <c r="AB139" i="26"/>
  <c r="AB138" i="26"/>
  <c r="AB137" i="26"/>
  <c r="AB136" i="26"/>
  <c r="AB135" i="26"/>
  <c r="AB134" i="26"/>
  <c r="AB133" i="26"/>
  <c r="AB132" i="26"/>
  <c r="AB131" i="26"/>
  <c r="AB130" i="26"/>
  <c r="AB129" i="26"/>
  <c r="AB128" i="26"/>
  <c r="AB127" i="26"/>
  <c r="AB126" i="26"/>
  <c r="AB125" i="26"/>
  <c r="AB124" i="26"/>
  <c r="AB123" i="26"/>
  <c r="AB122" i="26"/>
  <c r="AB121" i="26"/>
  <c r="AB120" i="26"/>
  <c r="AB119" i="26"/>
  <c r="AB118" i="26"/>
  <c r="AB117" i="26"/>
  <c r="AB116" i="26"/>
  <c r="AB115" i="26"/>
  <c r="AB114" i="26"/>
  <c r="AB113" i="26"/>
  <c r="AB112" i="26"/>
  <c r="AB111" i="26"/>
  <c r="AB110" i="26"/>
  <c r="AB109" i="26"/>
  <c r="AB108" i="26"/>
  <c r="AB107" i="26"/>
  <c r="AB106" i="26"/>
  <c r="AB105" i="26"/>
  <c r="AB104" i="26"/>
  <c r="AB103" i="26"/>
  <c r="AB102" i="26"/>
  <c r="AB101" i="26"/>
  <c r="AB100" i="26"/>
  <c r="AB99" i="26"/>
  <c r="AB98" i="26"/>
  <c r="AB97" i="26"/>
  <c r="AB96" i="26"/>
  <c r="AB95" i="26"/>
  <c r="AB94" i="26"/>
  <c r="AB93" i="26"/>
  <c r="AB92" i="26"/>
  <c r="AB91" i="26"/>
  <c r="AB90" i="26"/>
  <c r="AB89" i="26"/>
  <c r="AB88" i="26"/>
  <c r="AB87" i="26"/>
  <c r="AB86" i="26"/>
  <c r="AB85" i="26"/>
  <c r="AB84" i="26"/>
  <c r="AB83" i="26"/>
  <c r="AB82" i="26"/>
  <c r="AB81" i="26"/>
  <c r="AB80" i="26"/>
  <c r="AB79" i="26"/>
  <c r="AB78" i="26"/>
  <c r="AB77" i="26"/>
  <c r="AB76" i="26"/>
  <c r="AB75" i="26"/>
  <c r="AB74" i="26"/>
  <c r="AB73" i="26"/>
  <c r="AB72" i="26"/>
  <c r="AB71" i="26"/>
  <c r="AB70" i="26"/>
  <c r="AB69" i="26"/>
  <c r="AB68" i="26"/>
  <c r="AB67" i="26"/>
  <c r="AB66" i="26"/>
  <c r="AB65" i="26"/>
  <c r="AB64" i="26"/>
  <c r="AB63" i="26"/>
  <c r="AB62" i="26"/>
  <c r="AB61" i="26"/>
  <c r="AB60" i="26"/>
  <c r="AB59" i="26"/>
  <c r="AB58" i="26"/>
  <c r="AB57" i="26"/>
  <c r="AB56" i="26"/>
  <c r="AB55" i="26"/>
  <c r="AB54" i="26"/>
  <c r="AB53" i="26"/>
  <c r="AB52" i="26"/>
  <c r="AB51" i="26"/>
  <c r="AB50" i="26"/>
  <c r="AB49" i="26"/>
  <c r="AB48" i="26"/>
  <c r="AB47" i="26"/>
  <c r="AB46" i="26"/>
  <c r="AB45" i="26"/>
  <c r="AB44" i="26"/>
  <c r="AB43" i="26"/>
  <c r="AB42" i="26"/>
  <c r="AB41" i="26"/>
  <c r="AB40" i="26"/>
  <c r="AB39" i="26"/>
  <c r="AB38" i="26"/>
  <c r="AB37" i="26"/>
  <c r="AB36" i="26"/>
  <c r="AB35" i="26"/>
  <c r="AB34" i="26"/>
  <c r="AB33" i="26"/>
  <c r="AB32" i="26"/>
  <c r="AB31" i="26"/>
  <c r="AB30" i="26"/>
  <c r="AB29" i="26"/>
  <c r="AB28" i="26"/>
  <c r="AB27" i="26"/>
  <c r="AB26" i="26"/>
  <c r="AB25" i="26"/>
  <c r="AB24" i="26"/>
  <c r="AB23" i="26"/>
  <c r="AB22" i="26"/>
  <c r="AB21" i="26"/>
  <c r="AB20" i="26"/>
  <c r="AB19" i="26"/>
  <c r="AB18" i="26"/>
  <c r="AB17" i="26"/>
  <c r="AB16" i="26"/>
  <c r="AB15" i="26"/>
  <c r="AB14" i="26"/>
  <c r="AB13" i="26"/>
  <c r="AB12" i="26"/>
  <c r="AB11" i="26"/>
  <c r="AB10" i="26"/>
  <c r="AB9" i="26"/>
  <c r="AB8" i="26"/>
  <c r="AB7" i="26"/>
  <c r="AB6" i="26"/>
  <c r="AB5" i="26"/>
  <c r="AH1444" i="26"/>
  <c r="AG1444" i="26"/>
  <c r="AH1443" i="26"/>
  <c r="AG1443" i="26"/>
  <c r="AH1442" i="26"/>
  <c r="AG1442" i="26"/>
  <c r="AH1441" i="26"/>
  <c r="AG1441" i="26"/>
  <c r="AH1440" i="26"/>
  <c r="AG1440" i="26"/>
  <c r="AH1439" i="26"/>
  <c r="AG1439" i="26"/>
  <c r="AH1438" i="26"/>
  <c r="AG1438" i="26"/>
  <c r="AH1437" i="26"/>
  <c r="AG1437" i="26"/>
  <c r="AH1436" i="26"/>
  <c r="AG1436" i="26"/>
  <c r="AH1435" i="26"/>
  <c r="AG1435" i="26"/>
  <c r="AH1434" i="26"/>
  <c r="AG1434" i="26"/>
  <c r="AH1433" i="26"/>
  <c r="AG1433" i="26"/>
  <c r="AH1432" i="26"/>
  <c r="AG1432" i="26"/>
  <c r="AH1431" i="26"/>
  <c r="AG1431" i="26"/>
  <c r="AH1430" i="26"/>
  <c r="AG1430" i="26"/>
  <c r="AH1429" i="26"/>
  <c r="AG1429" i="26"/>
  <c r="AH1428" i="26"/>
  <c r="AG1428" i="26"/>
  <c r="AH1427" i="26"/>
  <c r="AG1427" i="26"/>
  <c r="AH1426" i="26"/>
  <c r="AG1426" i="26"/>
  <c r="AH1425" i="26"/>
  <c r="AG1425" i="26"/>
  <c r="AH1424" i="26"/>
  <c r="AG1424" i="26"/>
  <c r="AH1423" i="26"/>
  <c r="AG1423" i="26"/>
  <c r="AH1422" i="26"/>
  <c r="AG1422" i="26"/>
  <c r="AH1421" i="26"/>
  <c r="AG1421" i="26"/>
  <c r="AH1420" i="26"/>
  <c r="AG1420" i="26"/>
  <c r="AH1419" i="26"/>
  <c r="AG1419" i="26"/>
  <c r="AH1418" i="26"/>
  <c r="AG1418" i="26"/>
  <c r="AH1417" i="26"/>
  <c r="AG1417" i="26"/>
  <c r="AH1416" i="26"/>
  <c r="AG1416" i="26"/>
  <c r="AH1415" i="26"/>
  <c r="AG1415" i="26"/>
  <c r="AH1414" i="26"/>
  <c r="AG1414" i="26"/>
  <c r="AH1413" i="26"/>
  <c r="AG1413" i="26"/>
  <c r="AH1412" i="26"/>
  <c r="AG1412" i="26"/>
  <c r="AH1411" i="26"/>
  <c r="AG1411" i="26"/>
  <c r="AH1410" i="26"/>
  <c r="AG1410" i="26"/>
  <c r="AH1409" i="26"/>
  <c r="AG1409" i="26"/>
  <c r="AH1408" i="26"/>
  <c r="AG1408" i="26"/>
  <c r="AH1407" i="26"/>
  <c r="AG1407" i="26"/>
  <c r="AH1406" i="26"/>
  <c r="AG1406" i="26"/>
  <c r="AH1405" i="26"/>
  <c r="AG1405" i="26"/>
  <c r="AH1404" i="26"/>
  <c r="AG1404" i="26"/>
  <c r="AH1403" i="26"/>
  <c r="AG1403" i="26"/>
  <c r="AH1402" i="26"/>
  <c r="AG1402" i="26"/>
  <c r="AH1401" i="26"/>
  <c r="AG1401" i="26"/>
  <c r="AH1400" i="26"/>
  <c r="AG1400" i="26"/>
  <c r="AH1399" i="26"/>
  <c r="AG1399" i="26"/>
  <c r="AH1398" i="26"/>
  <c r="AG1398" i="26"/>
  <c r="AH1397" i="26"/>
  <c r="AG1397" i="26"/>
  <c r="AH1396" i="26"/>
  <c r="AG1396" i="26"/>
  <c r="AH1395" i="26"/>
  <c r="AG1395" i="26"/>
  <c r="AH1394" i="26"/>
  <c r="AG1394" i="26"/>
  <c r="AH1393" i="26"/>
  <c r="AG1393" i="26"/>
  <c r="AH1392" i="26"/>
  <c r="AG1392" i="26"/>
  <c r="AH1391" i="26"/>
  <c r="AG1391" i="26"/>
  <c r="AH1390" i="26"/>
  <c r="AG1390" i="26"/>
  <c r="AH1389" i="26"/>
  <c r="AG1389" i="26"/>
  <c r="AH1388" i="26"/>
  <c r="AG1388" i="26"/>
  <c r="AH1387" i="26"/>
  <c r="AG1387" i="26"/>
  <c r="AH1386" i="26"/>
  <c r="AG1386" i="26"/>
  <c r="AH1385" i="26"/>
  <c r="AG1385" i="26"/>
  <c r="AH1384" i="26"/>
  <c r="AG1384" i="26"/>
  <c r="AH1383" i="26"/>
  <c r="AG1383" i="26"/>
  <c r="AH1382" i="26"/>
  <c r="AG1382" i="26"/>
  <c r="AH1381" i="26"/>
  <c r="AG1381" i="26"/>
  <c r="AH1380" i="26"/>
  <c r="AG1380" i="26"/>
  <c r="AH1379" i="26"/>
  <c r="AG1379" i="26"/>
  <c r="AH1378" i="26"/>
  <c r="AG1378" i="26"/>
  <c r="AH1377" i="26"/>
  <c r="AG1377" i="26"/>
  <c r="AH1376" i="26"/>
  <c r="AG1376" i="26"/>
  <c r="AH1375" i="26"/>
  <c r="AG1375" i="26"/>
  <c r="AH1374" i="26"/>
  <c r="AG1374" i="26"/>
  <c r="AH1373" i="26"/>
  <c r="AG1373" i="26"/>
  <c r="AH1372" i="26"/>
  <c r="AG1372" i="26"/>
  <c r="AH1371" i="26"/>
  <c r="AG1371" i="26"/>
  <c r="AH1370" i="26"/>
  <c r="AG1370" i="26"/>
  <c r="AH1369" i="26"/>
  <c r="AG1369" i="26"/>
  <c r="AH1368" i="26"/>
  <c r="AG1368" i="26"/>
  <c r="AH1367" i="26"/>
  <c r="AG1367" i="26"/>
  <c r="AH1366" i="26"/>
  <c r="AG1366" i="26"/>
  <c r="AH1365" i="26"/>
  <c r="AG1365" i="26"/>
  <c r="AH1364" i="26"/>
  <c r="AG1364" i="26"/>
  <c r="AH1363" i="26"/>
  <c r="AG1363" i="26"/>
  <c r="AH1362" i="26"/>
  <c r="AG1362" i="26"/>
  <c r="AH1361" i="26"/>
  <c r="AG1361" i="26"/>
  <c r="AH1360" i="26"/>
  <c r="AG1360" i="26"/>
  <c r="AH1359" i="26"/>
  <c r="AG1359" i="26"/>
  <c r="AH1358" i="26"/>
  <c r="AG1358" i="26"/>
  <c r="AH1357" i="26"/>
  <c r="AG1357" i="26"/>
  <c r="AH1356" i="26"/>
  <c r="AG1356" i="26"/>
  <c r="AH1355" i="26"/>
  <c r="AG1355" i="26"/>
  <c r="AH1354" i="26"/>
  <c r="AG1354" i="26"/>
  <c r="AH1353" i="26"/>
  <c r="AG1353" i="26"/>
  <c r="AH1352" i="26"/>
  <c r="AG1352" i="26"/>
  <c r="AH1351" i="26"/>
  <c r="AG1351" i="26"/>
  <c r="AH1350" i="26"/>
  <c r="AG1350" i="26"/>
  <c r="AH1349" i="26"/>
  <c r="AG1349" i="26"/>
  <c r="AH1348" i="26"/>
  <c r="AG1348" i="26"/>
  <c r="AH1347" i="26"/>
  <c r="AG1347" i="26"/>
  <c r="AH1346" i="26"/>
  <c r="AG1346" i="26"/>
  <c r="AH1345" i="26"/>
  <c r="AG1345" i="26"/>
  <c r="AH1344" i="26"/>
  <c r="AG1344" i="26"/>
  <c r="AH1343" i="26"/>
  <c r="AG1343" i="26"/>
  <c r="AH1342" i="26"/>
  <c r="AG1342" i="26"/>
  <c r="AH1341" i="26"/>
  <c r="AG1341" i="26"/>
  <c r="AH1340" i="26"/>
  <c r="AG1340" i="26"/>
  <c r="AH1339" i="26"/>
  <c r="AG1339" i="26"/>
  <c r="AH1338" i="26"/>
  <c r="AG1338" i="26"/>
  <c r="AH1337" i="26"/>
  <c r="AG1337" i="26"/>
  <c r="AH1336" i="26"/>
  <c r="AG1336" i="26"/>
  <c r="AH1335" i="26"/>
  <c r="AG1335" i="26"/>
  <c r="AH1334" i="26"/>
  <c r="AG1334" i="26"/>
  <c r="AH1333" i="26"/>
  <c r="AG1333" i="26"/>
  <c r="AH1332" i="26"/>
  <c r="AG1332" i="26"/>
  <c r="AH1331" i="26"/>
  <c r="AG1331" i="26"/>
  <c r="AH1330" i="26"/>
  <c r="AG1330" i="26"/>
  <c r="AH1329" i="26"/>
  <c r="AG1329" i="26"/>
  <c r="AH1328" i="26"/>
  <c r="AG1328" i="26"/>
  <c r="AH1327" i="26"/>
  <c r="AG1327" i="26"/>
  <c r="AH1326" i="26"/>
  <c r="AG1326" i="26"/>
  <c r="AH1325" i="26"/>
  <c r="AG1325" i="26"/>
  <c r="AH1324" i="26"/>
  <c r="AG1324" i="26"/>
  <c r="AH1323" i="26"/>
  <c r="AG1323" i="26"/>
  <c r="AH1322" i="26"/>
  <c r="AG1322" i="26"/>
  <c r="AH1321" i="26"/>
  <c r="AG1321" i="26"/>
  <c r="AH1320" i="26"/>
  <c r="AG1320" i="26"/>
  <c r="AH1319" i="26"/>
  <c r="AG1319" i="26"/>
  <c r="AH1318" i="26"/>
  <c r="AG1318" i="26"/>
  <c r="AH1317" i="26"/>
  <c r="AG1317" i="26"/>
  <c r="AH1316" i="26"/>
  <c r="AG1316" i="26"/>
  <c r="AH1315" i="26"/>
  <c r="AG1315" i="26"/>
  <c r="AH1314" i="26"/>
  <c r="AG1314" i="26"/>
  <c r="AH1313" i="26"/>
  <c r="AG1313" i="26"/>
  <c r="AH1312" i="26"/>
  <c r="AG1312" i="26"/>
  <c r="AH1311" i="26"/>
  <c r="AG1311" i="26"/>
  <c r="AH1310" i="26"/>
  <c r="AG1310" i="26"/>
  <c r="AH1309" i="26"/>
  <c r="AG1309" i="26"/>
  <c r="AH1308" i="26"/>
  <c r="AG1308" i="26"/>
  <c r="AH1307" i="26"/>
  <c r="AG1307" i="26"/>
  <c r="AH1306" i="26"/>
  <c r="AG1306" i="26"/>
  <c r="AH1305" i="26"/>
  <c r="AG1305" i="26"/>
  <c r="AH1304" i="26"/>
  <c r="AG1304" i="26"/>
  <c r="AH1303" i="26"/>
  <c r="AG1303" i="26"/>
  <c r="AH1302" i="26"/>
  <c r="AG1302" i="26"/>
  <c r="AH1301" i="26"/>
  <c r="AG1301" i="26"/>
  <c r="AH1300" i="26"/>
  <c r="AG1300" i="26"/>
  <c r="AH1299" i="26"/>
  <c r="AG1299" i="26"/>
  <c r="AH1298" i="26"/>
  <c r="AG1298" i="26"/>
  <c r="AH1297" i="26"/>
  <c r="AG1297" i="26"/>
  <c r="AH1296" i="26"/>
  <c r="AG1296" i="26"/>
  <c r="AH1295" i="26"/>
  <c r="AG1295" i="26"/>
  <c r="AH1294" i="26"/>
  <c r="AG1294" i="26"/>
  <c r="AH1293" i="26"/>
  <c r="AG1293" i="26"/>
  <c r="AH1292" i="26"/>
  <c r="AG1292" i="26"/>
  <c r="AH1291" i="26"/>
  <c r="AG1291" i="26"/>
  <c r="AH1290" i="26"/>
  <c r="AG1290" i="26"/>
  <c r="AH1289" i="26"/>
  <c r="AG1289" i="26"/>
  <c r="AH1288" i="26"/>
  <c r="AG1288" i="26"/>
  <c r="AH1287" i="26"/>
  <c r="AG1287" i="26"/>
  <c r="AH1286" i="26"/>
  <c r="AG1286" i="26"/>
  <c r="AH1285" i="26"/>
  <c r="AG1285" i="26"/>
  <c r="AH1284" i="26"/>
  <c r="AG1284" i="26"/>
  <c r="AH1283" i="26"/>
  <c r="AG1283" i="26"/>
  <c r="AH1282" i="26"/>
  <c r="AG1282" i="26"/>
  <c r="AH1281" i="26"/>
  <c r="AG1281" i="26"/>
  <c r="AH1280" i="26"/>
  <c r="AG1280" i="26"/>
  <c r="AH1279" i="26"/>
  <c r="AG1279" i="26"/>
  <c r="AH1278" i="26"/>
  <c r="AG1278" i="26"/>
  <c r="AH1277" i="26"/>
  <c r="AG1277" i="26"/>
  <c r="AH1276" i="26"/>
  <c r="AG1276" i="26"/>
  <c r="AH1275" i="26"/>
  <c r="AG1275" i="26"/>
  <c r="AH1274" i="26"/>
  <c r="AG1274" i="26"/>
  <c r="AH1273" i="26"/>
  <c r="AG1273" i="26"/>
  <c r="AH1272" i="26"/>
  <c r="AG1272" i="26"/>
  <c r="AH1271" i="26"/>
  <c r="AG1271" i="26"/>
  <c r="AH1270" i="26"/>
  <c r="AG1270" i="26"/>
  <c r="AH1269" i="26"/>
  <c r="AG1269" i="26"/>
  <c r="AH1268" i="26"/>
  <c r="AG1268" i="26"/>
  <c r="AH1267" i="26"/>
  <c r="AG1267" i="26"/>
  <c r="AH1266" i="26"/>
  <c r="AG1266" i="26"/>
  <c r="AH1265" i="26"/>
  <c r="AG1265" i="26"/>
  <c r="AH1264" i="26"/>
  <c r="AG1264" i="26"/>
  <c r="AH1263" i="26"/>
  <c r="AG1263" i="26"/>
  <c r="AH1262" i="26"/>
  <c r="AG1262" i="26"/>
  <c r="AH1261" i="26"/>
  <c r="AG1261" i="26"/>
  <c r="AH1260" i="26"/>
  <c r="AG1260" i="26"/>
  <c r="AH1259" i="26"/>
  <c r="AG1259" i="26"/>
  <c r="AH1258" i="26"/>
  <c r="AG1258" i="26"/>
  <c r="AH1257" i="26"/>
  <c r="AG1257" i="26"/>
  <c r="AH1256" i="26"/>
  <c r="AG1256" i="26"/>
  <c r="AH1255" i="26"/>
  <c r="AG1255" i="26"/>
  <c r="AH1254" i="26"/>
  <c r="AG1254" i="26"/>
  <c r="AH1253" i="26"/>
  <c r="AG1253" i="26"/>
  <c r="AH1252" i="26"/>
  <c r="AG1252" i="26"/>
  <c r="AH1251" i="26"/>
  <c r="AG1251" i="26"/>
  <c r="AH1250" i="26"/>
  <c r="AG1250" i="26"/>
  <c r="AH1249" i="26"/>
  <c r="AG1249" i="26"/>
  <c r="AH1248" i="26"/>
  <c r="AG1248" i="26"/>
  <c r="AH1247" i="26"/>
  <c r="AG1247" i="26"/>
  <c r="AH1246" i="26"/>
  <c r="AG1246" i="26"/>
  <c r="AH1245" i="26"/>
  <c r="AG1245" i="26"/>
  <c r="AH1244" i="26"/>
  <c r="AG1244" i="26"/>
  <c r="AH1243" i="26"/>
  <c r="AG1243" i="26"/>
  <c r="AH1242" i="26"/>
  <c r="AG1242" i="26"/>
  <c r="AH1241" i="26"/>
  <c r="AG1241" i="26"/>
  <c r="AH1240" i="26"/>
  <c r="AG1240" i="26"/>
  <c r="AH1239" i="26"/>
  <c r="AG1239" i="26"/>
  <c r="AH1238" i="26"/>
  <c r="AG1238" i="26"/>
  <c r="AH1237" i="26"/>
  <c r="AG1237" i="26"/>
  <c r="AH1236" i="26"/>
  <c r="AG1236" i="26"/>
  <c r="AH1235" i="26"/>
  <c r="AG1235" i="26"/>
  <c r="AH1234" i="26"/>
  <c r="AG1234" i="26"/>
  <c r="AH1233" i="26"/>
  <c r="AG1233" i="26"/>
  <c r="AH1232" i="26"/>
  <c r="AG1232" i="26"/>
  <c r="AH1231" i="26"/>
  <c r="AG1231" i="26"/>
  <c r="AH1230" i="26"/>
  <c r="AG1230" i="26"/>
  <c r="AH1229" i="26"/>
  <c r="AG1229" i="26"/>
  <c r="AH1228" i="26"/>
  <c r="AG1228" i="26"/>
  <c r="AH1227" i="26"/>
  <c r="AG1227" i="26"/>
  <c r="AH1226" i="26"/>
  <c r="AG1226" i="26"/>
  <c r="AH1225" i="26"/>
  <c r="AG1225" i="26"/>
  <c r="AH1224" i="26"/>
  <c r="AG1224" i="26"/>
  <c r="AH1223" i="26"/>
  <c r="AG1223" i="26"/>
  <c r="AH1222" i="26"/>
  <c r="AG1222" i="26"/>
  <c r="AH1221" i="26"/>
  <c r="AG1221" i="26"/>
  <c r="AH1220" i="26"/>
  <c r="AG1220" i="26"/>
  <c r="AH1219" i="26"/>
  <c r="AG1219" i="26"/>
  <c r="AH1218" i="26"/>
  <c r="AG1218" i="26"/>
  <c r="AH1217" i="26"/>
  <c r="AG1217" i="26"/>
  <c r="AH1216" i="26"/>
  <c r="AG1216" i="26"/>
  <c r="AH1215" i="26"/>
  <c r="AG1215" i="26"/>
  <c r="AH1214" i="26"/>
  <c r="AG1214" i="26"/>
  <c r="AH1213" i="26"/>
  <c r="AG1213" i="26"/>
  <c r="AH1212" i="26"/>
  <c r="AG1212" i="26"/>
  <c r="AH1211" i="26"/>
  <c r="AG1211" i="26"/>
  <c r="AH1210" i="26"/>
  <c r="AG1210" i="26"/>
  <c r="AH1209" i="26"/>
  <c r="AG1209" i="26"/>
  <c r="AH1208" i="26"/>
  <c r="AG1208" i="26"/>
  <c r="AH1207" i="26"/>
  <c r="AG1207" i="26"/>
  <c r="AH1206" i="26"/>
  <c r="AG1206" i="26"/>
  <c r="AH1205" i="26"/>
  <c r="AG1205" i="26"/>
  <c r="AH1204" i="26"/>
  <c r="AG1204" i="26"/>
  <c r="AH1203" i="26"/>
  <c r="AG1203" i="26"/>
  <c r="AH1202" i="26"/>
  <c r="AG1202" i="26"/>
  <c r="AH1201" i="26"/>
  <c r="AG1201" i="26"/>
  <c r="AH1200" i="26"/>
  <c r="AG1200" i="26"/>
  <c r="AH1199" i="26"/>
  <c r="AG1199" i="26"/>
  <c r="AH1198" i="26"/>
  <c r="AG1198" i="26"/>
  <c r="AH1197" i="26"/>
  <c r="AG1197" i="26"/>
  <c r="AH1196" i="26"/>
  <c r="AG1196" i="26"/>
  <c r="AH1195" i="26"/>
  <c r="AG1195" i="26"/>
  <c r="AH1194" i="26"/>
  <c r="AG1194" i="26"/>
  <c r="AH1193" i="26"/>
  <c r="AG1193" i="26"/>
  <c r="AH1192" i="26"/>
  <c r="AG1192" i="26"/>
  <c r="AH1191" i="26"/>
  <c r="AG1191" i="26"/>
  <c r="AH1190" i="26"/>
  <c r="AG1190" i="26"/>
  <c r="AH1189" i="26"/>
  <c r="AG1189" i="26"/>
  <c r="AH1188" i="26"/>
  <c r="AG1188" i="26"/>
  <c r="AH1187" i="26"/>
  <c r="AG1187" i="26"/>
  <c r="AH1186" i="26"/>
  <c r="AG1186" i="26"/>
  <c r="AH1185" i="26"/>
  <c r="AG1185" i="26"/>
  <c r="AH1184" i="26"/>
  <c r="AG1184" i="26"/>
  <c r="AH1183" i="26"/>
  <c r="AG1183" i="26"/>
  <c r="AH1182" i="26"/>
  <c r="AG1182" i="26"/>
  <c r="AH1181" i="26"/>
  <c r="AG1181" i="26"/>
  <c r="AH1180" i="26"/>
  <c r="AG1180" i="26"/>
  <c r="AH1179" i="26"/>
  <c r="AG1179" i="26"/>
  <c r="AH1178" i="26"/>
  <c r="AG1178" i="26"/>
  <c r="AH1177" i="26"/>
  <c r="AG1177" i="26"/>
  <c r="AH1176" i="26"/>
  <c r="AG1176" i="26"/>
  <c r="AH1175" i="26"/>
  <c r="AG1175" i="26"/>
  <c r="AH1174" i="26"/>
  <c r="AG1174" i="26"/>
  <c r="AH1173" i="26"/>
  <c r="AG1173" i="26"/>
  <c r="AH1172" i="26"/>
  <c r="AG1172" i="26"/>
  <c r="AH1171" i="26"/>
  <c r="AG1171" i="26"/>
  <c r="AH1170" i="26"/>
  <c r="AG1170" i="26"/>
  <c r="AH1169" i="26"/>
  <c r="AG1169" i="26"/>
  <c r="AH1168" i="26"/>
  <c r="AG1168" i="26"/>
  <c r="AH1167" i="26"/>
  <c r="AG1167" i="26"/>
  <c r="AH1166" i="26"/>
  <c r="AG1166" i="26"/>
  <c r="AH1165" i="26"/>
  <c r="AG1165" i="26"/>
  <c r="AH1164" i="26"/>
  <c r="AG1164" i="26"/>
  <c r="AH1163" i="26"/>
  <c r="AG1163" i="26"/>
  <c r="AH1162" i="26"/>
  <c r="AG1162" i="26"/>
  <c r="AH1161" i="26"/>
  <c r="AG1161" i="26"/>
  <c r="AH1160" i="26"/>
  <c r="AG1160" i="26"/>
  <c r="AH1159" i="26"/>
  <c r="AG1159" i="26"/>
  <c r="AH1158" i="26"/>
  <c r="AG1158" i="26"/>
  <c r="AH1157" i="26"/>
  <c r="AG1157" i="26"/>
  <c r="AH1156" i="26"/>
  <c r="AG1156" i="26"/>
  <c r="AH1155" i="26"/>
  <c r="AG1155" i="26"/>
  <c r="AH1154" i="26"/>
  <c r="AG1154" i="26"/>
  <c r="AH1153" i="26"/>
  <c r="AG1153" i="26"/>
  <c r="AH1152" i="26"/>
  <c r="AG1152" i="26"/>
  <c r="AH1151" i="26"/>
  <c r="AG1151" i="26"/>
  <c r="AH1150" i="26"/>
  <c r="AG1150" i="26"/>
  <c r="AH1149" i="26"/>
  <c r="AG1149" i="26"/>
  <c r="AH1148" i="26"/>
  <c r="AG1148" i="26"/>
  <c r="AH1147" i="26"/>
  <c r="AG1147" i="26"/>
  <c r="AH1146" i="26"/>
  <c r="AG1146" i="26"/>
  <c r="AH1145" i="26"/>
  <c r="AG1145" i="26"/>
  <c r="AH1144" i="26"/>
  <c r="AG1144" i="26"/>
  <c r="AH1143" i="26"/>
  <c r="AG1143" i="26"/>
  <c r="AH1142" i="26"/>
  <c r="AG1142" i="26"/>
  <c r="AH1141" i="26"/>
  <c r="AG1141" i="26"/>
  <c r="AH1140" i="26"/>
  <c r="AG1140" i="26"/>
  <c r="AH1139" i="26"/>
  <c r="AG1139" i="26"/>
  <c r="AH1138" i="26"/>
  <c r="AG1138" i="26"/>
  <c r="AH1137" i="26"/>
  <c r="AG1137" i="26"/>
  <c r="AH1136" i="26"/>
  <c r="AG1136" i="26"/>
  <c r="AH1135" i="26"/>
  <c r="AG1135" i="26"/>
  <c r="AH1134" i="26"/>
  <c r="AG1134" i="26"/>
  <c r="AH1133" i="26"/>
  <c r="AG1133" i="26"/>
  <c r="AH1132" i="26"/>
  <c r="AG1132" i="26"/>
  <c r="AH1131" i="26"/>
  <c r="AG1131" i="26"/>
  <c r="AH1130" i="26"/>
  <c r="AG1130" i="26"/>
  <c r="AH1129" i="26"/>
  <c r="AG1129" i="26"/>
  <c r="AH1128" i="26"/>
  <c r="AG1128" i="26"/>
  <c r="AH1127" i="26"/>
  <c r="AG1127" i="26"/>
  <c r="AH1126" i="26"/>
  <c r="AG1126" i="26"/>
  <c r="AH1125" i="26"/>
  <c r="AG1125" i="26"/>
  <c r="AH1124" i="26"/>
  <c r="AG1124" i="26"/>
  <c r="AH1123" i="26"/>
  <c r="AG1123" i="26"/>
  <c r="AH1122" i="26"/>
  <c r="AG1122" i="26"/>
  <c r="AH1121" i="26"/>
  <c r="AG1121" i="26"/>
  <c r="AH1120" i="26"/>
  <c r="AG1120" i="26"/>
  <c r="AH1119" i="26"/>
  <c r="AG1119" i="26"/>
  <c r="AH1118" i="26"/>
  <c r="AG1118" i="26"/>
  <c r="AH1117" i="26"/>
  <c r="AG1117" i="26"/>
  <c r="AH1116" i="26"/>
  <c r="AG1116" i="26"/>
  <c r="AH1115" i="26"/>
  <c r="AG1115" i="26"/>
  <c r="AH1114" i="26"/>
  <c r="AG1114" i="26"/>
  <c r="AH1113" i="26"/>
  <c r="AG1113" i="26"/>
  <c r="AH1112" i="26"/>
  <c r="AG1112" i="26"/>
  <c r="AH1111" i="26"/>
  <c r="AG1111" i="26"/>
  <c r="AH1110" i="26"/>
  <c r="AG1110" i="26"/>
  <c r="AH1109" i="26"/>
  <c r="AG1109" i="26"/>
  <c r="AH1108" i="26"/>
  <c r="AG1108" i="26"/>
  <c r="AH1107" i="26"/>
  <c r="AG1107" i="26"/>
  <c r="AH1106" i="26"/>
  <c r="AG1106" i="26"/>
  <c r="AH1105" i="26"/>
  <c r="AG1105" i="26"/>
  <c r="AH1104" i="26"/>
  <c r="AG1104" i="26"/>
  <c r="AH1103" i="26"/>
  <c r="AG1103" i="26"/>
  <c r="AH1102" i="26"/>
  <c r="AG1102" i="26"/>
  <c r="AH1101" i="26"/>
  <c r="AG1101" i="26"/>
  <c r="AH1100" i="26"/>
  <c r="AG1100" i="26"/>
  <c r="AH1099" i="26"/>
  <c r="AG1099" i="26"/>
  <c r="AH1098" i="26"/>
  <c r="AG1098" i="26"/>
  <c r="AH1097" i="26"/>
  <c r="AG1097" i="26"/>
  <c r="AH1096" i="26"/>
  <c r="AG1096" i="26"/>
  <c r="AH1095" i="26"/>
  <c r="AG1095" i="26"/>
  <c r="AH1094" i="26"/>
  <c r="AG1094" i="26"/>
  <c r="AH1093" i="26"/>
  <c r="AG1093" i="26"/>
  <c r="AH1092" i="26"/>
  <c r="AG1092" i="26"/>
  <c r="AH1091" i="26"/>
  <c r="AG1091" i="26"/>
  <c r="AH1090" i="26"/>
  <c r="AG1090" i="26"/>
  <c r="AH1089" i="26"/>
  <c r="AG1089" i="26"/>
  <c r="AH1088" i="26"/>
  <c r="AG1088" i="26"/>
  <c r="AH1087" i="26"/>
  <c r="AG1087" i="26"/>
  <c r="AH1086" i="26"/>
  <c r="AG1086" i="26"/>
  <c r="AH1085" i="26"/>
  <c r="AG1085" i="26"/>
  <c r="AH1084" i="26"/>
  <c r="AG1084" i="26"/>
  <c r="AH1083" i="26"/>
  <c r="AG1083" i="26"/>
  <c r="AH1082" i="26"/>
  <c r="AG1082" i="26"/>
  <c r="AH1081" i="26"/>
  <c r="AG1081" i="26"/>
  <c r="AH1080" i="26"/>
  <c r="AG1080" i="26"/>
  <c r="AH1079" i="26"/>
  <c r="AG1079" i="26"/>
  <c r="AH1078" i="26"/>
  <c r="AG1078" i="26"/>
  <c r="AH1077" i="26"/>
  <c r="AG1077" i="26"/>
  <c r="AH1076" i="26"/>
  <c r="AG1076" i="26"/>
  <c r="AH1075" i="26"/>
  <c r="AG1075" i="26"/>
  <c r="AH1074" i="26"/>
  <c r="AG1074" i="26"/>
  <c r="AH1073" i="26"/>
  <c r="AG1073" i="26"/>
  <c r="AH1072" i="26"/>
  <c r="AG1072" i="26"/>
  <c r="AH1071" i="26"/>
  <c r="AG1071" i="26"/>
  <c r="AH1070" i="26"/>
  <c r="AG1070" i="26"/>
  <c r="AH1069" i="26"/>
  <c r="AG1069" i="26"/>
  <c r="AH1068" i="26"/>
  <c r="AG1068" i="26"/>
  <c r="AH1067" i="26"/>
  <c r="AG1067" i="26"/>
  <c r="AH1066" i="26"/>
  <c r="AG1066" i="26"/>
  <c r="AH1065" i="26"/>
  <c r="AG1065" i="26"/>
  <c r="AH1064" i="26"/>
  <c r="AG1064" i="26"/>
  <c r="AH1063" i="26"/>
  <c r="AG1063" i="26"/>
  <c r="AH1062" i="26"/>
  <c r="AG1062" i="26"/>
  <c r="AH1061" i="26"/>
  <c r="AG1061" i="26"/>
  <c r="AH1060" i="26"/>
  <c r="AG1060" i="26"/>
  <c r="AH1059" i="26"/>
  <c r="AG1059" i="26"/>
  <c r="AH1058" i="26"/>
  <c r="AG1058" i="26"/>
  <c r="AH1057" i="26"/>
  <c r="AG1057" i="26"/>
  <c r="AH1056" i="26"/>
  <c r="AG1056" i="26"/>
  <c r="AH1055" i="26"/>
  <c r="AG1055" i="26"/>
  <c r="AH1054" i="26"/>
  <c r="AG1054" i="26"/>
  <c r="AH1053" i="26"/>
  <c r="AG1053" i="26"/>
  <c r="AH1052" i="26"/>
  <c r="AG1052" i="26"/>
  <c r="AH1051" i="26"/>
  <c r="AG1051" i="26"/>
  <c r="AH1050" i="26"/>
  <c r="AG1050" i="26"/>
  <c r="AH1049" i="26"/>
  <c r="AG1049" i="26"/>
  <c r="AH1048" i="26"/>
  <c r="AG1048" i="26"/>
  <c r="AH1047" i="26"/>
  <c r="AG1047" i="26"/>
  <c r="AH1046" i="26"/>
  <c r="AG1046" i="26"/>
  <c r="AH1045" i="26"/>
  <c r="AG1045" i="26"/>
  <c r="AH1044" i="26"/>
  <c r="AG1044" i="26"/>
  <c r="AH1043" i="26"/>
  <c r="AG1043" i="26"/>
  <c r="AH1042" i="26"/>
  <c r="AG1042" i="26"/>
  <c r="AH1041" i="26"/>
  <c r="AG1041" i="26"/>
  <c r="AH1040" i="26"/>
  <c r="AG1040" i="26"/>
  <c r="AH1039" i="26"/>
  <c r="AG1039" i="26"/>
  <c r="AH1038" i="26"/>
  <c r="AG1038" i="26"/>
  <c r="AH1037" i="26"/>
  <c r="AG1037" i="26"/>
  <c r="AH1036" i="26"/>
  <c r="AG1036" i="26"/>
  <c r="AH1035" i="26"/>
  <c r="AG1035" i="26"/>
  <c r="AH1034" i="26"/>
  <c r="AG1034" i="26"/>
  <c r="AH1033" i="26"/>
  <c r="AG1033" i="26"/>
  <c r="AH1032" i="26"/>
  <c r="AG1032" i="26"/>
  <c r="AH1031" i="26"/>
  <c r="AG1031" i="26"/>
  <c r="AH1030" i="26"/>
  <c r="AG1030" i="26"/>
  <c r="AH1029" i="26"/>
  <c r="AG1029" i="26"/>
  <c r="AH1028" i="26"/>
  <c r="AG1028" i="26"/>
  <c r="AH1027" i="26"/>
  <c r="AG1027" i="26"/>
  <c r="AH1026" i="26"/>
  <c r="AG1026" i="26"/>
  <c r="AH1025" i="26"/>
  <c r="AG1025" i="26"/>
  <c r="AH1024" i="26"/>
  <c r="AG1024" i="26"/>
  <c r="AH1023" i="26"/>
  <c r="AG1023" i="26"/>
  <c r="AH1022" i="26"/>
  <c r="AG1022" i="26"/>
  <c r="AH1021" i="26"/>
  <c r="AG1021" i="26"/>
  <c r="AH1020" i="26"/>
  <c r="AG1020" i="26"/>
  <c r="AH1019" i="26"/>
  <c r="AG1019" i="26"/>
  <c r="AH1018" i="26"/>
  <c r="AG1018" i="26"/>
  <c r="AH1017" i="26"/>
  <c r="AG1017" i="26"/>
  <c r="AH1016" i="26"/>
  <c r="AG1016" i="26"/>
  <c r="AH1015" i="26"/>
  <c r="AG1015" i="26"/>
  <c r="AH1014" i="26"/>
  <c r="AG1014" i="26"/>
  <c r="AH1013" i="26"/>
  <c r="AG1013" i="26"/>
  <c r="AH1012" i="26"/>
  <c r="AG1012" i="26"/>
  <c r="AH1011" i="26"/>
  <c r="AG1011" i="26"/>
  <c r="AH1010" i="26"/>
  <c r="AG1010" i="26"/>
  <c r="AH1009" i="26"/>
  <c r="AG1009" i="26"/>
  <c r="AH1008" i="26"/>
  <c r="AG1008" i="26"/>
  <c r="AH1007" i="26"/>
  <c r="AG1007" i="26"/>
  <c r="AH1006" i="26"/>
  <c r="AG1006" i="26"/>
  <c r="AH1005" i="26"/>
  <c r="AG1005" i="26"/>
  <c r="AH1004" i="26"/>
  <c r="AG1004" i="26"/>
  <c r="AH1003" i="26"/>
  <c r="AG1003" i="26"/>
  <c r="AH1002" i="26"/>
  <c r="AG1002" i="26"/>
  <c r="AH1001" i="26"/>
  <c r="AG1001" i="26"/>
  <c r="AH1000" i="26"/>
  <c r="AG1000" i="26"/>
  <c r="AH999" i="26"/>
  <c r="AG999" i="26"/>
  <c r="AH998" i="26"/>
  <c r="AG998" i="26"/>
  <c r="AH997" i="26"/>
  <c r="AG997" i="26"/>
  <c r="AH996" i="26"/>
  <c r="AG996" i="26"/>
  <c r="AH995" i="26"/>
  <c r="AG995" i="26"/>
  <c r="AH994" i="26"/>
  <c r="AG994" i="26"/>
  <c r="AH993" i="26"/>
  <c r="AG993" i="26"/>
  <c r="AH992" i="26"/>
  <c r="AG992" i="26"/>
  <c r="AH991" i="26"/>
  <c r="AG991" i="26"/>
  <c r="AH990" i="26"/>
  <c r="AG990" i="26"/>
  <c r="AH989" i="26"/>
  <c r="AG989" i="26"/>
  <c r="AH988" i="26"/>
  <c r="AG988" i="26"/>
  <c r="AH987" i="26"/>
  <c r="AG987" i="26"/>
  <c r="AH986" i="26"/>
  <c r="AG986" i="26"/>
  <c r="AH985" i="26"/>
  <c r="AG985" i="26"/>
  <c r="AH984" i="26"/>
  <c r="AG984" i="26"/>
  <c r="AH983" i="26"/>
  <c r="AG983" i="26"/>
  <c r="AH982" i="26"/>
  <c r="AG982" i="26"/>
  <c r="AH981" i="26"/>
  <c r="AG981" i="26"/>
  <c r="AH980" i="26"/>
  <c r="AG980" i="26"/>
  <c r="AH979" i="26"/>
  <c r="AG979" i="26"/>
  <c r="AH978" i="26"/>
  <c r="AG978" i="26"/>
  <c r="AH977" i="26"/>
  <c r="AG977" i="26"/>
  <c r="AH976" i="26"/>
  <c r="AG976" i="26"/>
  <c r="AH975" i="26"/>
  <c r="AG975" i="26"/>
  <c r="AH974" i="26"/>
  <c r="AG974" i="26"/>
  <c r="AH973" i="26"/>
  <c r="AG973" i="26"/>
  <c r="AH972" i="26"/>
  <c r="AG972" i="26"/>
  <c r="AH971" i="26"/>
  <c r="AG971" i="26"/>
  <c r="AH970" i="26"/>
  <c r="AG970" i="26"/>
  <c r="AH969" i="26"/>
  <c r="AG969" i="26"/>
  <c r="AH968" i="26"/>
  <c r="AG968" i="26"/>
  <c r="AH967" i="26"/>
  <c r="AG967" i="26"/>
  <c r="AH966" i="26"/>
  <c r="AG966" i="26"/>
  <c r="AH965" i="26"/>
  <c r="AG965" i="26"/>
  <c r="AH964" i="26"/>
  <c r="AG964" i="26"/>
  <c r="AH963" i="26"/>
  <c r="AG963" i="26"/>
  <c r="AH962" i="26"/>
  <c r="AG962" i="26"/>
  <c r="AH961" i="26"/>
  <c r="AG961" i="26"/>
  <c r="AH960" i="26"/>
  <c r="AG960" i="26"/>
  <c r="AH959" i="26"/>
  <c r="AG959" i="26"/>
  <c r="AH958" i="26"/>
  <c r="AG958" i="26"/>
  <c r="AH957" i="26"/>
  <c r="AG957" i="26"/>
  <c r="AH956" i="26"/>
  <c r="AG956" i="26"/>
  <c r="AH955" i="26"/>
  <c r="AG955" i="26"/>
  <c r="AH954" i="26"/>
  <c r="AG954" i="26"/>
  <c r="AH953" i="26"/>
  <c r="AG953" i="26"/>
  <c r="AH952" i="26"/>
  <c r="AG952" i="26"/>
  <c r="AH951" i="26"/>
  <c r="AG951" i="26"/>
  <c r="AH950" i="26"/>
  <c r="AG950" i="26"/>
  <c r="AH949" i="26"/>
  <c r="AG949" i="26"/>
  <c r="AH948" i="26"/>
  <c r="AG948" i="26"/>
  <c r="AH947" i="26"/>
  <c r="AG947" i="26"/>
  <c r="AH946" i="26"/>
  <c r="AG946" i="26"/>
  <c r="AH945" i="26"/>
  <c r="AG945" i="26"/>
  <c r="AH944" i="26"/>
  <c r="AG944" i="26"/>
  <c r="AH943" i="26"/>
  <c r="AG943" i="26"/>
  <c r="AH942" i="26"/>
  <c r="AG942" i="26"/>
  <c r="AH941" i="26"/>
  <c r="AG941" i="26"/>
  <c r="AH940" i="26"/>
  <c r="AG940" i="26"/>
  <c r="AH939" i="26"/>
  <c r="AG939" i="26"/>
  <c r="AH938" i="26"/>
  <c r="AG938" i="26"/>
  <c r="AH937" i="26"/>
  <c r="AG937" i="26"/>
  <c r="AH936" i="26"/>
  <c r="AG936" i="26"/>
  <c r="AH935" i="26"/>
  <c r="AG935" i="26"/>
  <c r="AH934" i="26"/>
  <c r="AG934" i="26"/>
  <c r="AH933" i="26"/>
  <c r="AG933" i="26"/>
  <c r="AH932" i="26"/>
  <c r="AG932" i="26"/>
  <c r="AH931" i="26"/>
  <c r="AG931" i="26"/>
  <c r="AH930" i="26"/>
  <c r="AG930" i="26"/>
  <c r="AH929" i="26"/>
  <c r="AG929" i="26"/>
  <c r="AH928" i="26"/>
  <c r="AG928" i="26"/>
  <c r="AH927" i="26"/>
  <c r="AG927" i="26"/>
  <c r="AH926" i="26"/>
  <c r="AG926" i="26"/>
  <c r="AH925" i="26"/>
  <c r="AG925" i="26"/>
  <c r="AH924" i="26"/>
  <c r="AG924" i="26"/>
  <c r="AH923" i="26"/>
  <c r="AG923" i="26"/>
  <c r="AH922" i="26"/>
  <c r="AG922" i="26"/>
  <c r="AH921" i="26"/>
  <c r="AG921" i="26"/>
  <c r="AH920" i="26"/>
  <c r="AG920" i="26"/>
  <c r="AH919" i="26"/>
  <c r="AG919" i="26"/>
  <c r="AH918" i="26"/>
  <c r="AG918" i="26"/>
  <c r="AH917" i="26"/>
  <c r="AG917" i="26"/>
  <c r="AH916" i="26"/>
  <c r="AG916" i="26"/>
  <c r="AH915" i="26"/>
  <c r="AG915" i="26"/>
  <c r="AH914" i="26"/>
  <c r="AG914" i="26"/>
  <c r="AH913" i="26"/>
  <c r="AG913" i="26"/>
  <c r="AH912" i="26"/>
  <c r="AG912" i="26"/>
  <c r="AH911" i="26"/>
  <c r="AG911" i="26"/>
  <c r="AH910" i="26"/>
  <c r="AG910" i="26"/>
  <c r="AH909" i="26"/>
  <c r="AG909" i="26"/>
  <c r="AH908" i="26"/>
  <c r="AG908" i="26"/>
  <c r="AH907" i="26"/>
  <c r="AG907" i="26"/>
  <c r="AH906" i="26"/>
  <c r="AG906" i="26"/>
  <c r="AH905" i="26"/>
  <c r="AG905" i="26"/>
  <c r="AH904" i="26"/>
  <c r="AG904" i="26"/>
  <c r="AH903" i="26"/>
  <c r="AG903" i="26"/>
  <c r="AH902" i="26"/>
  <c r="AG902" i="26"/>
  <c r="AH901" i="26"/>
  <c r="AG901" i="26"/>
  <c r="AH900" i="26"/>
  <c r="AG900" i="26"/>
  <c r="AH899" i="26"/>
  <c r="AG899" i="26"/>
  <c r="AH898" i="26"/>
  <c r="AG898" i="26"/>
  <c r="AH897" i="26"/>
  <c r="AG897" i="26"/>
  <c r="AH896" i="26"/>
  <c r="AG896" i="26"/>
  <c r="AH895" i="26"/>
  <c r="AG895" i="26"/>
  <c r="AH894" i="26"/>
  <c r="AG894" i="26"/>
  <c r="AH893" i="26"/>
  <c r="AG893" i="26"/>
  <c r="AH892" i="26"/>
  <c r="AG892" i="26"/>
  <c r="AH891" i="26"/>
  <c r="AG891" i="26"/>
  <c r="AH890" i="26"/>
  <c r="AG890" i="26"/>
  <c r="AH889" i="26"/>
  <c r="AG889" i="26"/>
  <c r="AH888" i="26"/>
  <c r="AG888" i="26"/>
  <c r="AH887" i="26"/>
  <c r="AG887" i="26"/>
  <c r="AH886" i="26"/>
  <c r="AG886" i="26"/>
  <c r="AH885" i="26"/>
  <c r="AG885" i="26"/>
  <c r="AH884" i="26"/>
  <c r="AG884" i="26"/>
  <c r="AH883" i="26"/>
  <c r="AG883" i="26"/>
  <c r="AH882" i="26"/>
  <c r="AG882" i="26"/>
  <c r="AH881" i="26"/>
  <c r="AG881" i="26"/>
  <c r="AH880" i="26"/>
  <c r="AG880" i="26"/>
  <c r="AH879" i="26"/>
  <c r="AG879" i="26"/>
  <c r="AH878" i="26"/>
  <c r="AG878" i="26"/>
  <c r="AH877" i="26"/>
  <c r="AG877" i="26"/>
  <c r="AH876" i="26"/>
  <c r="AG876" i="26"/>
  <c r="AH875" i="26"/>
  <c r="AG875" i="26"/>
  <c r="AH874" i="26"/>
  <c r="AG874" i="26"/>
  <c r="AH873" i="26"/>
  <c r="AG873" i="26"/>
  <c r="AH872" i="26"/>
  <c r="AG872" i="26"/>
  <c r="AH871" i="26"/>
  <c r="AG871" i="26"/>
  <c r="AH870" i="26"/>
  <c r="AG870" i="26"/>
  <c r="AH869" i="26"/>
  <c r="AG869" i="26"/>
  <c r="AH868" i="26"/>
  <c r="AG868" i="26"/>
  <c r="AH867" i="26"/>
  <c r="AG867" i="26"/>
  <c r="AH866" i="26"/>
  <c r="AG866" i="26"/>
  <c r="AH865" i="26"/>
  <c r="AG865" i="26"/>
  <c r="AH864" i="26"/>
  <c r="AG864" i="26"/>
  <c r="AH863" i="26"/>
  <c r="AG863" i="26"/>
  <c r="AH862" i="26"/>
  <c r="AG862" i="26"/>
  <c r="AH861" i="26"/>
  <c r="AG861" i="26"/>
  <c r="AH860" i="26"/>
  <c r="AG860" i="26"/>
  <c r="AH859" i="26"/>
  <c r="AG859" i="26"/>
  <c r="AH858" i="26"/>
  <c r="AG858" i="26"/>
  <c r="AH857" i="26"/>
  <c r="AG857" i="26"/>
  <c r="AH856" i="26"/>
  <c r="AG856" i="26"/>
  <c r="AH855" i="26"/>
  <c r="AG855" i="26"/>
  <c r="AH854" i="26"/>
  <c r="AG854" i="26"/>
  <c r="AH853" i="26"/>
  <c r="AG853" i="26"/>
  <c r="AH852" i="26"/>
  <c r="AG852" i="26"/>
  <c r="AH851" i="26"/>
  <c r="AG851" i="26"/>
  <c r="AH850" i="26"/>
  <c r="AG850" i="26"/>
  <c r="AH849" i="26"/>
  <c r="AG849" i="26"/>
  <c r="AH848" i="26"/>
  <c r="AG848" i="26"/>
  <c r="AH847" i="26"/>
  <c r="AG847" i="26"/>
  <c r="AH846" i="26"/>
  <c r="AG846" i="26"/>
  <c r="AH845" i="26"/>
  <c r="AG845" i="26"/>
  <c r="AH844" i="26"/>
  <c r="AG844" i="26"/>
  <c r="AH843" i="26"/>
  <c r="AG843" i="26"/>
  <c r="AH842" i="26"/>
  <c r="AG842" i="26"/>
  <c r="AH841" i="26"/>
  <c r="AG841" i="26"/>
  <c r="AH840" i="26"/>
  <c r="AG840" i="26"/>
  <c r="AH839" i="26"/>
  <c r="AG839" i="26"/>
  <c r="AH838" i="26"/>
  <c r="AG838" i="26"/>
  <c r="AH837" i="26"/>
  <c r="AG837" i="26"/>
  <c r="AH836" i="26"/>
  <c r="AG836" i="26"/>
  <c r="AH835" i="26"/>
  <c r="AG835" i="26"/>
  <c r="AH834" i="26"/>
  <c r="AG834" i="26"/>
  <c r="AH833" i="26"/>
  <c r="AG833" i="26"/>
  <c r="AH832" i="26"/>
  <c r="AG832" i="26"/>
  <c r="AH831" i="26"/>
  <c r="AG831" i="26"/>
  <c r="AH830" i="26"/>
  <c r="AG830" i="26"/>
  <c r="AH829" i="26"/>
  <c r="AG829" i="26"/>
  <c r="AH828" i="26"/>
  <c r="AG828" i="26"/>
  <c r="AH827" i="26"/>
  <c r="AG827" i="26"/>
  <c r="AH826" i="26"/>
  <c r="AG826" i="26"/>
  <c r="AH825" i="26"/>
  <c r="AG825" i="26"/>
  <c r="AH824" i="26"/>
  <c r="AG824" i="26"/>
  <c r="AH823" i="26"/>
  <c r="AG823" i="26"/>
  <c r="AH822" i="26"/>
  <c r="AG822" i="26"/>
  <c r="AH821" i="26"/>
  <c r="AG821" i="26"/>
  <c r="AH820" i="26"/>
  <c r="AG820" i="26"/>
  <c r="AH819" i="26"/>
  <c r="AG819" i="26"/>
  <c r="AH818" i="26"/>
  <c r="AG818" i="26"/>
  <c r="AH817" i="26"/>
  <c r="AG817" i="26"/>
  <c r="AH816" i="26"/>
  <c r="AG816" i="26"/>
  <c r="AH815" i="26"/>
  <c r="AG815" i="26"/>
  <c r="AH814" i="26"/>
  <c r="AG814" i="26"/>
  <c r="AH813" i="26"/>
  <c r="AG813" i="26"/>
  <c r="AH812" i="26"/>
  <c r="AG812" i="26"/>
  <c r="AH811" i="26"/>
  <c r="AG811" i="26"/>
  <c r="AH810" i="26"/>
  <c r="AG810" i="26"/>
  <c r="AH809" i="26"/>
  <c r="AG809" i="26"/>
  <c r="AH808" i="26"/>
  <c r="AG808" i="26"/>
  <c r="AH807" i="26"/>
  <c r="AG807" i="26"/>
  <c r="AH806" i="26"/>
  <c r="AG806" i="26"/>
  <c r="AH805" i="26"/>
  <c r="AG805" i="26"/>
  <c r="AH804" i="26"/>
  <c r="AG804" i="26"/>
  <c r="AH803" i="26"/>
  <c r="AG803" i="26"/>
  <c r="AH802" i="26"/>
  <c r="AG802" i="26"/>
  <c r="AH801" i="26"/>
  <c r="AG801" i="26"/>
  <c r="AH800" i="26"/>
  <c r="AG800" i="26"/>
  <c r="AH799" i="26"/>
  <c r="AG799" i="26"/>
  <c r="AH798" i="26"/>
  <c r="AG798" i="26"/>
  <c r="AH797" i="26"/>
  <c r="AG797" i="26"/>
  <c r="AH796" i="26"/>
  <c r="AG796" i="26"/>
  <c r="AH795" i="26"/>
  <c r="AG795" i="26"/>
  <c r="AH794" i="26"/>
  <c r="AG794" i="26"/>
  <c r="AH793" i="26"/>
  <c r="AG793" i="26"/>
  <c r="AH792" i="26"/>
  <c r="AG792" i="26"/>
  <c r="AH791" i="26"/>
  <c r="AG791" i="26"/>
  <c r="AH790" i="26"/>
  <c r="AG790" i="26"/>
  <c r="AH789" i="26"/>
  <c r="AG789" i="26"/>
  <c r="AH788" i="26"/>
  <c r="AG788" i="26"/>
  <c r="AH787" i="26"/>
  <c r="AG787" i="26"/>
  <c r="AH786" i="26"/>
  <c r="AG786" i="26"/>
  <c r="AH785" i="26"/>
  <c r="AG785" i="26"/>
  <c r="AH784" i="26"/>
  <c r="AG784" i="26"/>
  <c r="AH783" i="26"/>
  <c r="AG783" i="26"/>
  <c r="AH782" i="26"/>
  <c r="AG782" i="26"/>
  <c r="AH781" i="26"/>
  <c r="AG781" i="26"/>
  <c r="AH780" i="26"/>
  <c r="AG780" i="26"/>
  <c r="AH779" i="26"/>
  <c r="AG779" i="26"/>
  <c r="AH778" i="26"/>
  <c r="AG778" i="26"/>
  <c r="AH777" i="26"/>
  <c r="AG777" i="26"/>
  <c r="AH776" i="26"/>
  <c r="AG776" i="26"/>
  <c r="AH775" i="26"/>
  <c r="AG775" i="26"/>
  <c r="AH774" i="26"/>
  <c r="AG774" i="26"/>
  <c r="AH773" i="26"/>
  <c r="AG773" i="26"/>
  <c r="AH772" i="26"/>
  <c r="AG772" i="26"/>
  <c r="AH771" i="26"/>
  <c r="AG771" i="26"/>
  <c r="AH770" i="26"/>
  <c r="AG770" i="26"/>
  <c r="AH769" i="26"/>
  <c r="AG769" i="26"/>
  <c r="AH768" i="26"/>
  <c r="AG768" i="26"/>
  <c r="AH767" i="26"/>
  <c r="AG767" i="26"/>
  <c r="AH766" i="26"/>
  <c r="AG766" i="26"/>
  <c r="AH765" i="26"/>
  <c r="AG765" i="26"/>
  <c r="AH764" i="26"/>
  <c r="AG764" i="26"/>
  <c r="AH763" i="26"/>
  <c r="AG763" i="26"/>
  <c r="AH762" i="26"/>
  <c r="AG762" i="26"/>
  <c r="AH761" i="26"/>
  <c r="AG761" i="26"/>
  <c r="AH760" i="26"/>
  <c r="AG760" i="26"/>
  <c r="AH759" i="26"/>
  <c r="AG759" i="26"/>
  <c r="AH758" i="26"/>
  <c r="AG758" i="26"/>
  <c r="AH757" i="26"/>
  <c r="AG757" i="26"/>
  <c r="AH756" i="26"/>
  <c r="AG756" i="26"/>
  <c r="AH755" i="26"/>
  <c r="AG755" i="26"/>
  <c r="AH754" i="26"/>
  <c r="AG754" i="26"/>
  <c r="AH753" i="26"/>
  <c r="AG753" i="26"/>
  <c r="AH752" i="26"/>
  <c r="AG752" i="26"/>
  <c r="AH751" i="26"/>
  <c r="AG751" i="26"/>
  <c r="AH750" i="26"/>
  <c r="AG750" i="26"/>
  <c r="AH749" i="26"/>
  <c r="AG749" i="26"/>
  <c r="AH748" i="26"/>
  <c r="AG748" i="26"/>
  <c r="AH747" i="26"/>
  <c r="AG747" i="26"/>
  <c r="AH746" i="26"/>
  <c r="AG746" i="26"/>
  <c r="AH745" i="26"/>
  <c r="AG745" i="26"/>
  <c r="AH744" i="26"/>
  <c r="AG744" i="26"/>
  <c r="AH743" i="26"/>
  <c r="AG743" i="26"/>
  <c r="AH742" i="26"/>
  <c r="AG742" i="26"/>
  <c r="AH741" i="26"/>
  <c r="AG741" i="26"/>
  <c r="AH740" i="26"/>
  <c r="AG740" i="26"/>
  <c r="AH739" i="26"/>
  <c r="AG739" i="26"/>
  <c r="AH738" i="26"/>
  <c r="AG738" i="26"/>
  <c r="AH737" i="26"/>
  <c r="AG737" i="26"/>
  <c r="AH736" i="26"/>
  <c r="AG736" i="26"/>
  <c r="AH735" i="26"/>
  <c r="AG735" i="26"/>
  <c r="AH734" i="26"/>
  <c r="AG734" i="26"/>
  <c r="AH733" i="26"/>
  <c r="AG733" i="26"/>
  <c r="AH732" i="26"/>
  <c r="AG732" i="26"/>
  <c r="AH731" i="26"/>
  <c r="AG731" i="26"/>
  <c r="AH730" i="26"/>
  <c r="AG730" i="26"/>
  <c r="AH729" i="26"/>
  <c r="AG729" i="26"/>
  <c r="AH728" i="26"/>
  <c r="AG728" i="26"/>
  <c r="AH727" i="26"/>
  <c r="AG727" i="26"/>
  <c r="AH726" i="26"/>
  <c r="AG726" i="26"/>
  <c r="AH725" i="26"/>
  <c r="AG725" i="26"/>
  <c r="AH724" i="26"/>
  <c r="AG724" i="26"/>
  <c r="AH723" i="26"/>
  <c r="AG723" i="26"/>
  <c r="AH722" i="26"/>
  <c r="AG722" i="26"/>
  <c r="AH721" i="26"/>
  <c r="AG721" i="26"/>
  <c r="AH720" i="26"/>
  <c r="AG720" i="26"/>
  <c r="AH719" i="26"/>
  <c r="AG719" i="26"/>
  <c r="AH718" i="26"/>
  <c r="AG718" i="26"/>
  <c r="AH717" i="26"/>
  <c r="AG717" i="26"/>
  <c r="AH716" i="26"/>
  <c r="AG716" i="26"/>
  <c r="AH715" i="26"/>
  <c r="AG715" i="26"/>
  <c r="AH714" i="26"/>
  <c r="AG714" i="26"/>
  <c r="AH713" i="26"/>
  <c r="AG713" i="26"/>
  <c r="AH712" i="26"/>
  <c r="AG712" i="26"/>
  <c r="AH711" i="26"/>
  <c r="AG711" i="26"/>
  <c r="AH710" i="26"/>
  <c r="AG710" i="26"/>
  <c r="AH709" i="26"/>
  <c r="AG709" i="26"/>
  <c r="AH708" i="26"/>
  <c r="AG708" i="26"/>
  <c r="AH707" i="26"/>
  <c r="AG707" i="26"/>
  <c r="AH706" i="26"/>
  <c r="AG706" i="26"/>
  <c r="AH705" i="26"/>
  <c r="AG705" i="26"/>
  <c r="AH704" i="26"/>
  <c r="AG704" i="26"/>
  <c r="AH703" i="26"/>
  <c r="AG703" i="26"/>
  <c r="AH702" i="26"/>
  <c r="AG702" i="26"/>
  <c r="AH701" i="26"/>
  <c r="AG701" i="26"/>
  <c r="AH700" i="26"/>
  <c r="AG700" i="26"/>
  <c r="AH699" i="26"/>
  <c r="AG699" i="26"/>
  <c r="AH698" i="26"/>
  <c r="AG698" i="26"/>
  <c r="AH697" i="26"/>
  <c r="AG697" i="26"/>
  <c r="AH696" i="26"/>
  <c r="AG696" i="26"/>
  <c r="AH695" i="26"/>
  <c r="AG695" i="26"/>
  <c r="AH694" i="26"/>
  <c r="AG694" i="26"/>
  <c r="AH693" i="26"/>
  <c r="AG693" i="26"/>
  <c r="AH692" i="26"/>
  <c r="AG692" i="26"/>
  <c r="AH691" i="26"/>
  <c r="AG691" i="26"/>
  <c r="AH690" i="26"/>
  <c r="AG690" i="26"/>
  <c r="AH689" i="26"/>
  <c r="AG689" i="26"/>
  <c r="AH688" i="26"/>
  <c r="AG688" i="26"/>
  <c r="AH687" i="26"/>
  <c r="AG687" i="26"/>
  <c r="AH686" i="26"/>
  <c r="AG686" i="26"/>
  <c r="AH685" i="26"/>
  <c r="AG685" i="26"/>
  <c r="AH684" i="26"/>
  <c r="AG684" i="26"/>
  <c r="AH683" i="26"/>
  <c r="AG683" i="26"/>
  <c r="AH682" i="26"/>
  <c r="AG682" i="26"/>
  <c r="AH681" i="26"/>
  <c r="AG681" i="26"/>
  <c r="AH680" i="26"/>
  <c r="AG680" i="26"/>
  <c r="AH679" i="26"/>
  <c r="AG679" i="26"/>
  <c r="AH678" i="26"/>
  <c r="AG678" i="26"/>
  <c r="AH677" i="26"/>
  <c r="AG677" i="26"/>
  <c r="AH676" i="26"/>
  <c r="AG676" i="26"/>
  <c r="AH675" i="26"/>
  <c r="AG675" i="26"/>
  <c r="AH674" i="26"/>
  <c r="AG674" i="26"/>
  <c r="AH673" i="26"/>
  <c r="AG673" i="26"/>
  <c r="AH672" i="26"/>
  <c r="AG672" i="26"/>
  <c r="AH671" i="26"/>
  <c r="AG671" i="26"/>
  <c r="AH670" i="26"/>
  <c r="AG670" i="26"/>
  <c r="AH669" i="26"/>
  <c r="AG669" i="26"/>
  <c r="AH668" i="26"/>
  <c r="AG668" i="26"/>
  <c r="AH667" i="26"/>
  <c r="AG667" i="26"/>
  <c r="AH666" i="26"/>
  <c r="AG666" i="26"/>
  <c r="AH665" i="26"/>
  <c r="AG665" i="26"/>
  <c r="AH664" i="26"/>
  <c r="AG664" i="26"/>
  <c r="AH663" i="26"/>
  <c r="AG663" i="26"/>
  <c r="AH662" i="26"/>
  <c r="AG662" i="26"/>
  <c r="AH661" i="26"/>
  <c r="AG661" i="26"/>
  <c r="AH660" i="26"/>
  <c r="AG660" i="26"/>
  <c r="AH659" i="26"/>
  <c r="AG659" i="26"/>
  <c r="AH658" i="26"/>
  <c r="AG658" i="26"/>
  <c r="AH657" i="26"/>
  <c r="AG657" i="26"/>
  <c r="AH656" i="26"/>
  <c r="AG656" i="26"/>
  <c r="AH655" i="26"/>
  <c r="AG655" i="26"/>
  <c r="AH654" i="26"/>
  <c r="AG654" i="26"/>
  <c r="AH653" i="26"/>
  <c r="AG653" i="26"/>
  <c r="AH652" i="26"/>
  <c r="AG652" i="26"/>
  <c r="AH651" i="26"/>
  <c r="AG651" i="26"/>
  <c r="AH650" i="26"/>
  <c r="AG650" i="26"/>
  <c r="AH649" i="26"/>
  <c r="AG649" i="26"/>
  <c r="AH648" i="26"/>
  <c r="AG648" i="26"/>
  <c r="AH647" i="26"/>
  <c r="AG647" i="26"/>
  <c r="AH646" i="26"/>
  <c r="AG646" i="26"/>
  <c r="AH645" i="26"/>
  <c r="AG645" i="26"/>
  <c r="AH644" i="26"/>
  <c r="AG644" i="26"/>
  <c r="AH643" i="26"/>
  <c r="AG643" i="26"/>
  <c r="AH642" i="26"/>
  <c r="AG642" i="26"/>
  <c r="AH641" i="26"/>
  <c r="AG641" i="26"/>
  <c r="AH640" i="26"/>
  <c r="AG640" i="26"/>
  <c r="AH639" i="26"/>
  <c r="AG639" i="26"/>
  <c r="AH638" i="26"/>
  <c r="AG638" i="26"/>
  <c r="AH637" i="26"/>
  <c r="AG637" i="26"/>
  <c r="AH636" i="26"/>
  <c r="AG636" i="26"/>
  <c r="AH635" i="26"/>
  <c r="AG635" i="26"/>
  <c r="AH634" i="26"/>
  <c r="AG634" i="26"/>
  <c r="AH633" i="26"/>
  <c r="AG633" i="26"/>
  <c r="AH632" i="26"/>
  <c r="AG632" i="26"/>
  <c r="AH631" i="26"/>
  <c r="AG631" i="26"/>
  <c r="AH630" i="26"/>
  <c r="AG630" i="26"/>
  <c r="AH629" i="26"/>
  <c r="AG629" i="26"/>
  <c r="AH628" i="26"/>
  <c r="AG628" i="26"/>
  <c r="AH627" i="26"/>
  <c r="AG627" i="26"/>
  <c r="AH626" i="26"/>
  <c r="AG626" i="26"/>
  <c r="AH625" i="26"/>
  <c r="AG625" i="26"/>
  <c r="AH624" i="26"/>
  <c r="AG624" i="26"/>
  <c r="AH623" i="26"/>
  <c r="AG623" i="26"/>
  <c r="AH622" i="26"/>
  <c r="AG622" i="26"/>
  <c r="AH621" i="26"/>
  <c r="AG621" i="26"/>
  <c r="AH620" i="26"/>
  <c r="AG620" i="26"/>
  <c r="AH619" i="26"/>
  <c r="AG619" i="26"/>
  <c r="AH618" i="26"/>
  <c r="AG618" i="26"/>
  <c r="AH617" i="26"/>
  <c r="AG617" i="26"/>
  <c r="AH616" i="26"/>
  <c r="AG616" i="26"/>
  <c r="AH615" i="26"/>
  <c r="AG615" i="26"/>
  <c r="AH614" i="26"/>
  <c r="AG614" i="26"/>
  <c r="AH613" i="26"/>
  <c r="AG613" i="26"/>
  <c r="AH612" i="26"/>
  <c r="AG612" i="26"/>
  <c r="AH611" i="26"/>
  <c r="AG611" i="26"/>
  <c r="AH610" i="26"/>
  <c r="AG610" i="26"/>
  <c r="AH609" i="26"/>
  <c r="AG609" i="26"/>
  <c r="AH608" i="26"/>
  <c r="AG608" i="26"/>
  <c r="AH607" i="26"/>
  <c r="AG607" i="26"/>
  <c r="AH606" i="26"/>
  <c r="AG606" i="26"/>
  <c r="AH605" i="26"/>
  <c r="AG605" i="26"/>
  <c r="AH604" i="26"/>
  <c r="AG604" i="26"/>
  <c r="AH603" i="26"/>
  <c r="AG603" i="26"/>
  <c r="AH602" i="26"/>
  <c r="AG602" i="26"/>
  <c r="AH601" i="26"/>
  <c r="AG601" i="26"/>
  <c r="AH600" i="26"/>
  <c r="AG600" i="26"/>
  <c r="AH599" i="26"/>
  <c r="AG599" i="26"/>
  <c r="AH598" i="26"/>
  <c r="AG598" i="26"/>
  <c r="AH597" i="26"/>
  <c r="AG597" i="26"/>
  <c r="AH596" i="26"/>
  <c r="AG596" i="26"/>
  <c r="AH595" i="26"/>
  <c r="AG595" i="26"/>
  <c r="AH594" i="26"/>
  <c r="AG594" i="26"/>
  <c r="AH593" i="26"/>
  <c r="AG593" i="26"/>
  <c r="AH592" i="26"/>
  <c r="AG592" i="26"/>
  <c r="AH591" i="26"/>
  <c r="AG591" i="26"/>
  <c r="AH590" i="26"/>
  <c r="AG590" i="26"/>
  <c r="AH589" i="26"/>
  <c r="AG589" i="26"/>
  <c r="AH588" i="26"/>
  <c r="AG588" i="26"/>
  <c r="AH587" i="26"/>
  <c r="AG587" i="26"/>
  <c r="AH586" i="26"/>
  <c r="AG586" i="26"/>
  <c r="AH585" i="26"/>
  <c r="AG585" i="26"/>
  <c r="AH584" i="26"/>
  <c r="AG584" i="26"/>
  <c r="AH583" i="26"/>
  <c r="AG583" i="26"/>
  <c r="AH582" i="26"/>
  <c r="AG582" i="26"/>
  <c r="AH581" i="26"/>
  <c r="AG581" i="26"/>
  <c r="AH580" i="26"/>
  <c r="AG580" i="26"/>
  <c r="AH579" i="26"/>
  <c r="AG579" i="26"/>
  <c r="AH578" i="26"/>
  <c r="AG578" i="26"/>
  <c r="AH577" i="26"/>
  <c r="AG577" i="26"/>
  <c r="AH576" i="26"/>
  <c r="AG576" i="26"/>
  <c r="AH575" i="26"/>
  <c r="AG575" i="26"/>
  <c r="AH574" i="26"/>
  <c r="AG574" i="26"/>
  <c r="AH573" i="26"/>
  <c r="AG573" i="26"/>
  <c r="AH572" i="26"/>
  <c r="AG572" i="26"/>
  <c r="AH571" i="26"/>
  <c r="AG571" i="26"/>
  <c r="AH570" i="26"/>
  <c r="AG570" i="26"/>
  <c r="AH569" i="26"/>
  <c r="AG569" i="26"/>
  <c r="AH568" i="26"/>
  <c r="AG568" i="26"/>
  <c r="AH567" i="26"/>
  <c r="AG567" i="26"/>
  <c r="AH566" i="26"/>
  <c r="AG566" i="26"/>
  <c r="AH565" i="26"/>
  <c r="AG565" i="26"/>
  <c r="AH564" i="26"/>
  <c r="AG564" i="26"/>
  <c r="AH563" i="26"/>
  <c r="AG563" i="26"/>
  <c r="AH562" i="26"/>
  <c r="AG562" i="26"/>
  <c r="AH561" i="26"/>
  <c r="AG561" i="26"/>
  <c r="AH560" i="26"/>
  <c r="AG560" i="26"/>
  <c r="AH559" i="26"/>
  <c r="AG559" i="26"/>
  <c r="AH558" i="26"/>
  <c r="AG558" i="26"/>
  <c r="AH557" i="26"/>
  <c r="AG557" i="26"/>
  <c r="AH556" i="26"/>
  <c r="AG556" i="26"/>
  <c r="AH555" i="26"/>
  <c r="AG555" i="26"/>
  <c r="AH554" i="26"/>
  <c r="AG554" i="26"/>
  <c r="AH553" i="26"/>
  <c r="AG553" i="26"/>
  <c r="AH552" i="26"/>
  <c r="AG552" i="26"/>
  <c r="AH551" i="26"/>
  <c r="AG551" i="26"/>
  <c r="AH550" i="26"/>
  <c r="AG550" i="26"/>
  <c r="AH549" i="26"/>
  <c r="AG549" i="26"/>
  <c r="AH548" i="26"/>
  <c r="AG548" i="26"/>
  <c r="AH547" i="26"/>
  <c r="AG547" i="26"/>
  <c r="AH546" i="26"/>
  <c r="AG546" i="26"/>
  <c r="AH545" i="26"/>
  <c r="AG545" i="26"/>
  <c r="AH544" i="26"/>
  <c r="AG544" i="26"/>
  <c r="AH543" i="26"/>
  <c r="AG543" i="26"/>
  <c r="AH542" i="26"/>
  <c r="AG542" i="26"/>
  <c r="AH541" i="26"/>
  <c r="AG541" i="26"/>
  <c r="AH540" i="26"/>
  <c r="AG540" i="26"/>
  <c r="AH539" i="26"/>
  <c r="AG539" i="26"/>
  <c r="AH538" i="26"/>
  <c r="AG538" i="26"/>
  <c r="AH537" i="26"/>
  <c r="AG537" i="26"/>
  <c r="AH536" i="26"/>
  <c r="AG536" i="26"/>
  <c r="AH535" i="26"/>
  <c r="AG535" i="26"/>
  <c r="AH534" i="26"/>
  <c r="AG534" i="26"/>
  <c r="AH533" i="26"/>
  <c r="AG533" i="26"/>
  <c r="AH532" i="26"/>
  <c r="AG532" i="26"/>
  <c r="AH531" i="26"/>
  <c r="AG531" i="26"/>
  <c r="AH530" i="26"/>
  <c r="AG530" i="26"/>
  <c r="AH529" i="26"/>
  <c r="AG529" i="26"/>
  <c r="AH528" i="26"/>
  <c r="AG528" i="26"/>
  <c r="AH527" i="26"/>
  <c r="AG527" i="26"/>
  <c r="AH526" i="26"/>
  <c r="AG526" i="26"/>
  <c r="AH525" i="26"/>
  <c r="AG525" i="26"/>
  <c r="AH524" i="26"/>
  <c r="AG524" i="26"/>
  <c r="AH523" i="26"/>
  <c r="AG523" i="26"/>
  <c r="AH522" i="26"/>
  <c r="AG522" i="26"/>
  <c r="AH521" i="26"/>
  <c r="AG521" i="26"/>
  <c r="AH520" i="26"/>
  <c r="AG520" i="26"/>
  <c r="AH519" i="26"/>
  <c r="AG519" i="26"/>
  <c r="AH518" i="26"/>
  <c r="AG518" i="26"/>
  <c r="AH517" i="26"/>
  <c r="AG517" i="26"/>
  <c r="AH516" i="26"/>
  <c r="AG516" i="26"/>
  <c r="AH515" i="26"/>
  <c r="AG515" i="26"/>
  <c r="AH514" i="26"/>
  <c r="AG514" i="26"/>
  <c r="AH513" i="26"/>
  <c r="AG513" i="26"/>
  <c r="AH512" i="26"/>
  <c r="AG512" i="26"/>
  <c r="AH511" i="26"/>
  <c r="AG511" i="26"/>
  <c r="AH510" i="26"/>
  <c r="AG510" i="26"/>
  <c r="AH509" i="26"/>
  <c r="AG509" i="26"/>
  <c r="AH508" i="26"/>
  <c r="AG508" i="26"/>
  <c r="AH507" i="26"/>
  <c r="AG507" i="26"/>
  <c r="AH506" i="26"/>
  <c r="AG506" i="26"/>
  <c r="AH505" i="26"/>
  <c r="AG505" i="26"/>
  <c r="AH504" i="26"/>
  <c r="AG504" i="26"/>
  <c r="AH503" i="26"/>
  <c r="AG503" i="26"/>
  <c r="AH502" i="26"/>
  <c r="AG502" i="26"/>
  <c r="AH501" i="26"/>
  <c r="AG501" i="26"/>
  <c r="AH500" i="26"/>
  <c r="AG500" i="26"/>
  <c r="AH499" i="26"/>
  <c r="AG499" i="26"/>
  <c r="AH498" i="26"/>
  <c r="AG498" i="26"/>
  <c r="AH497" i="26"/>
  <c r="AG497" i="26"/>
  <c r="AH496" i="26"/>
  <c r="AG496" i="26"/>
  <c r="AH495" i="26"/>
  <c r="AG495" i="26"/>
  <c r="AH494" i="26"/>
  <c r="AG494" i="26"/>
  <c r="AH493" i="26"/>
  <c r="AG493" i="26"/>
  <c r="AH492" i="26"/>
  <c r="AG492" i="26"/>
  <c r="AH491" i="26"/>
  <c r="AG491" i="26"/>
  <c r="AH490" i="26"/>
  <c r="AG490" i="26"/>
  <c r="AH489" i="26"/>
  <c r="AG489" i="26"/>
  <c r="AH488" i="26"/>
  <c r="AG488" i="26"/>
  <c r="AH487" i="26"/>
  <c r="AG487" i="26"/>
  <c r="AH486" i="26"/>
  <c r="AG486" i="26"/>
  <c r="AH485" i="26"/>
  <c r="AG485" i="26"/>
  <c r="AH484" i="26"/>
  <c r="AG484" i="26"/>
  <c r="AH483" i="26"/>
  <c r="AG483" i="26"/>
  <c r="AH482" i="26"/>
  <c r="AG482" i="26"/>
  <c r="AH481" i="26"/>
  <c r="AG481" i="26"/>
  <c r="AH480" i="26"/>
  <c r="AG480" i="26"/>
  <c r="AH479" i="26"/>
  <c r="AG479" i="26"/>
  <c r="AH478" i="26"/>
  <c r="AG478" i="26"/>
  <c r="AH477" i="26"/>
  <c r="AG477" i="26"/>
  <c r="AH476" i="26"/>
  <c r="AG476" i="26"/>
  <c r="AH475" i="26"/>
  <c r="AG475" i="26"/>
  <c r="AH474" i="26"/>
  <c r="AG474" i="26"/>
  <c r="AH473" i="26"/>
  <c r="AG473" i="26"/>
  <c r="AH472" i="26"/>
  <c r="AG472" i="26"/>
  <c r="AH471" i="26"/>
  <c r="AG471" i="26"/>
  <c r="AH470" i="26"/>
  <c r="AG470" i="26"/>
  <c r="AH469" i="26"/>
  <c r="AG469" i="26"/>
  <c r="AH468" i="26"/>
  <c r="AG468" i="26"/>
  <c r="AH467" i="26"/>
  <c r="AG467" i="26"/>
  <c r="AH466" i="26"/>
  <c r="AG466" i="26"/>
  <c r="AH465" i="26"/>
  <c r="AG465" i="26"/>
  <c r="AH464" i="26"/>
  <c r="AG464" i="26"/>
  <c r="AH463" i="26"/>
  <c r="AG463" i="26"/>
  <c r="AH462" i="26"/>
  <c r="AG462" i="26"/>
  <c r="AH461" i="26"/>
  <c r="AG461" i="26"/>
  <c r="AH460" i="26"/>
  <c r="AG460" i="26"/>
  <c r="AH459" i="26"/>
  <c r="AG459" i="26"/>
  <c r="AH458" i="26"/>
  <c r="AG458" i="26"/>
  <c r="AH457" i="26"/>
  <c r="AG457" i="26"/>
  <c r="AH456" i="26"/>
  <c r="AG456" i="26"/>
  <c r="AH455" i="26"/>
  <c r="AG455" i="26"/>
  <c r="AH454" i="26"/>
  <c r="AG454" i="26"/>
  <c r="AH453" i="26"/>
  <c r="AG453" i="26"/>
  <c r="AH452" i="26"/>
  <c r="AG452" i="26"/>
  <c r="AH451" i="26"/>
  <c r="AG451" i="26"/>
  <c r="AH450" i="26"/>
  <c r="AG450" i="26"/>
  <c r="AH449" i="26"/>
  <c r="AG449" i="26"/>
  <c r="AH448" i="26"/>
  <c r="AG448" i="26"/>
  <c r="AH447" i="26"/>
  <c r="AG447" i="26"/>
  <c r="AH446" i="26"/>
  <c r="AG446" i="26"/>
  <c r="AH445" i="26"/>
  <c r="AG445" i="26"/>
  <c r="AH444" i="26"/>
  <c r="AG444" i="26"/>
  <c r="AH443" i="26"/>
  <c r="AG443" i="26"/>
  <c r="AH442" i="26"/>
  <c r="AG442" i="26"/>
  <c r="AH441" i="26"/>
  <c r="AG441" i="26"/>
  <c r="AH440" i="26"/>
  <c r="AG440" i="26"/>
  <c r="AH439" i="26"/>
  <c r="AG439" i="26"/>
  <c r="AH438" i="26"/>
  <c r="AG438" i="26"/>
  <c r="AH437" i="26"/>
  <c r="AG437" i="26"/>
  <c r="AH436" i="26"/>
  <c r="AG436" i="26"/>
  <c r="AH435" i="26"/>
  <c r="AG435" i="26"/>
  <c r="AH434" i="26"/>
  <c r="AG434" i="26"/>
  <c r="AH433" i="26"/>
  <c r="AG433" i="26"/>
  <c r="AH432" i="26"/>
  <c r="AG432" i="26"/>
  <c r="AH431" i="26"/>
  <c r="AG431" i="26"/>
  <c r="AH430" i="26"/>
  <c r="AG430" i="26"/>
  <c r="AH429" i="26"/>
  <c r="AG429" i="26"/>
  <c r="AH428" i="26"/>
  <c r="AG428" i="26"/>
  <c r="AH427" i="26"/>
  <c r="AG427" i="26"/>
  <c r="AH426" i="26"/>
  <c r="AG426" i="26"/>
  <c r="AH425" i="26"/>
  <c r="AG425" i="26"/>
  <c r="AH424" i="26"/>
  <c r="AG424" i="26"/>
  <c r="AH423" i="26"/>
  <c r="AG423" i="26"/>
  <c r="AH422" i="26"/>
  <c r="AG422" i="26"/>
  <c r="AH421" i="26"/>
  <c r="AG421" i="26"/>
  <c r="AH420" i="26"/>
  <c r="AG420" i="26"/>
  <c r="AH419" i="26"/>
  <c r="AG419" i="26"/>
  <c r="AH418" i="26"/>
  <c r="AG418" i="26"/>
  <c r="AH417" i="26"/>
  <c r="AG417" i="26"/>
  <c r="AH416" i="26"/>
  <c r="AG416" i="26"/>
  <c r="AH415" i="26"/>
  <c r="AG415" i="26"/>
  <c r="AH414" i="26"/>
  <c r="AG414" i="26"/>
  <c r="AH413" i="26"/>
  <c r="AG413" i="26"/>
  <c r="AH412" i="26"/>
  <c r="AG412" i="26"/>
  <c r="AH411" i="26"/>
  <c r="AG411" i="26"/>
  <c r="AH410" i="26"/>
  <c r="AG410" i="26"/>
  <c r="AH409" i="26"/>
  <c r="AG409" i="26"/>
  <c r="AH408" i="26"/>
  <c r="AG408" i="26"/>
  <c r="AH407" i="26"/>
  <c r="AG407" i="26"/>
  <c r="AH406" i="26"/>
  <c r="AG406" i="26"/>
  <c r="AH405" i="26"/>
  <c r="AG405" i="26"/>
  <c r="AH404" i="26"/>
  <c r="AG404" i="26"/>
  <c r="AH403" i="26"/>
  <c r="AG403" i="26"/>
  <c r="AH402" i="26"/>
  <c r="AG402" i="26"/>
  <c r="AH401" i="26"/>
  <c r="AG401" i="26"/>
  <c r="AH400" i="26"/>
  <c r="AG400" i="26"/>
  <c r="AH399" i="26"/>
  <c r="AG399" i="26"/>
  <c r="AH398" i="26"/>
  <c r="AG398" i="26"/>
  <c r="AH397" i="26"/>
  <c r="AG397" i="26"/>
  <c r="AH396" i="26"/>
  <c r="AG396" i="26"/>
  <c r="AH395" i="26"/>
  <c r="AG395" i="26"/>
  <c r="AH394" i="26"/>
  <c r="AG394" i="26"/>
  <c r="AH393" i="26"/>
  <c r="AG393" i="26"/>
  <c r="AH392" i="26"/>
  <c r="AG392" i="26"/>
  <c r="AH391" i="26"/>
  <c r="AG391" i="26"/>
  <c r="AH390" i="26"/>
  <c r="AG390" i="26"/>
  <c r="AH389" i="26"/>
  <c r="AG389" i="26"/>
  <c r="AH388" i="26"/>
  <c r="AG388" i="26"/>
  <c r="AH387" i="26"/>
  <c r="AG387" i="26"/>
  <c r="AH386" i="26"/>
  <c r="AG386" i="26"/>
  <c r="AH385" i="26"/>
  <c r="AG385" i="26"/>
  <c r="AH384" i="26"/>
  <c r="AG384" i="26"/>
  <c r="AH383" i="26"/>
  <c r="AG383" i="26"/>
  <c r="AH382" i="26"/>
  <c r="AG382" i="26"/>
  <c r="AH381" i="26"/>
  <c r="AG381" i="26"/>
  <c r="AH380" i="26"/>
  <c r="AG380" i="26"/>
  <c r="AH379" i="26"/>
  <c r="AG379" i="26"/>
  <c r="AH378" i="26"/>
  <c r="AG378" i="26"/>
  <c r="AH377" i="26"/>
  <c r="AG377" i="26"/>
  <c r="AH376" i="26"/>
  <c r="AG376" i="26"/>
  <c r="AH375" i="26"/>
  <c r="AG375" i="26"/>
  <c r="AH374" i="26"/>
  <c r="AG374" i="26"/>
  <c r="AH373" i="26"/>
  <c r="AG373" i="26"/>
  <c r="AH372" i="26"/>
  <c r="AG372" i="26"/>
  <c r="AH371" i="26"/>
  <c r="AG371" i="26"/>
  <c r="AH370" i="26"/>
  <c r="AG370" i="26"/>
  <c r="AH369" i="26"/>
  <c r="AG369" i="26"/>
  <c r="AH368" i="26"/>
  <c r="AG368" i="26"/>
  <c r="AH367" i="26"/>
  <c r="AG367" i="26"/>
  <c r="AH366" i="26"/>
  <c r="AG366" i="26"/>
  <c r="AH365" i="26"/>
  <c r="AG365" i="26"/>
  <c r="AH364" i="26"/>
  <c r="AG364" i="26"/>
  <c r="AH363" i="26"/>
  <c r="AG363" i="26"/>
  <c r="AH362" i="26"/>
  <c r="AG362" i="26"/>
  <c r="AH361" i="26"/>
  <c r="AG361" i="26"/>
  <c r="AH360" i="26"/>
  <c r="AG360" i="26"/>
  <c r="AH359" i="26"/>
  <c r="AG359" i="26"/>
  <c r="AH358" i="26"/>
  <c r="AG358" i="26"/>
  <c r="AH357" i="26"/>
  <c r="AG357" i="26"/>
  <c r="AH356" i="26"/>
  <c r="AG356" i="26"/>
  <c r="AH355" i="26"/>
  <c r="AG355" i="26"/>
  <c r="AH354" i="26"/>
  <c r="AG354" i="26"/>
  <c r="AH353" i="26"/>
  <c r="AG353" i="26"/>
  <c r="AH352" i="26"/>
  <c r="AG352" i="26"/>
  <c r="AH351" i="26"/>
  <c r="AG351" i="26"/>
  <c r="AH350" i="26"/>
  <c r="AG350" i="26"/>
  <c r="AH349" i="26"/>
  <c r="AG349" i="26"/>
  <c r="AH348" i="26"/>
  <c r="AG348" i="26"/>
  <c r="AH347" i="26"/>
  <c r="AG347" i="26"/>
  <c r="AH346" i="26"/>
  <c r="AG346" i="26"/>
  <c r="AH345" i="26"/>
  <c r="AG345" i="26"/>
  <c r="AH344" i="26"/>
  <c r="AG344" i="26"/>
  <c r="AH343" i="26"/>
  <c r="AG343" i="26"/>
  <c r="AH342" i="26"/>
  <c r="AG342" i="26"/>
  <c r="AH341" i="26"/>
  <c r="AG341" i="26"/>
  <c r="AH340" i="26"/>
  <c r="AG340" i="26"/>
  <c r="AH339" i="26"/>
  <c r="AG339" i="26"/>
  <c r="AH338" i="26"/>
  <c r="AG338" i="26"/>
  <c r="AH337" i="26"/>
  <c r="AG337" i="26"/>
  <c r="AH336" i="26"/>
  <c r="AG336" i="26"/>
  <c r="AH335" i="26"/>
  <c r="AG335" i="26"/>
  <c r="AH334" i="26"/>
  <c r="AG334" i="26"/>
  <c r="AH333" i="26"/>
  <c r="AG333" i="26"/>
  <c r="AH332" i="26"/>
  <c r="AG332" i="26"/>
  <c r="AH331" i="26"/>
  <c r="AG331" i="26"/>
  <c r="AH330" i="26"/>
  <c r="AG330" i="26"/>
  <c r="AH329" i="26"/>
  <c r="AG329" i="26"/>
  <c r="AH328" i="26"/>
  <c r="AG328" i="26"/>
  <c r="AH327" i="26"/>
  <c r="AG327" i="26"/>
  <c r="AH326" i="26"/>
  <c r="AG326" i="26"/>
  <c r="AH325" i="26"/>
  <c r="AG325" i="26"/>
  <c r="AH324" i="26"/>
  <c r="AG324" i="26"/>
  <c r="AH323" i="26"/>
  <c r="AG323" i="26"/>
  <c r="AH322" i="26"/>
  <c r="AG322" i="26"/>
  <c r="AH321" i="26"/>
  <c r="AG321" i="26"/>
  <c r="AH320" i="26"/>
  <c r="AG320" i="26"/>
  <c r="AH319" i="26"/>
  <c r="AG319" i="26"/>
  <c r="AH318" i="26"/>
  <c r="AG318" i="26"/>
  <c r="AH317" i="26"/>
  <c r="AG317" i="26"/>
  <c r="AH316" i="26"/>
  <c r="AG316" i="26"/>
  <c r="AH315" i="26"/>
  <c r="AG315" i="26"/>
  <c r="AH314" i="26"/>
  <c r="AG314" i="26"/>
  <c r="AH313" i="26"/>
  <c r="AG313" i="26"/>
  <c r="AH312" i="26"/>
  <c r="AG312" i="26"/>
  <c r="AH311" i="26"/>
  <c r="AG311" i="26"/>
  <c r="AH310" i="26"/>
  <c r="AG310" i="26"/>
  <c r="AH309" i="26"/>
  <c r="AG309" i="26"/>
  <c r="AH308" i="26"/>
  <c r="AG308" i="26"/>
  <c r="AH307" i="26"/>
  <c r="AG307" i="26"/>
  <c r="AH306" i="26"/>
  <c r="AG306" i="26"/>
  <c r="AH305" i="26"/>
  <c r="AG305" i="26"/>
  <c r="AH304" i="26"/>
  <c r="AG304" i="26"/>
  <c r="AH303" i="26"/>
  <c r="AG303" i="26"/>
  <c r="AH302" i="26"/>
  <c r="AG302" i="26"/>
  <c r="AH301" i="26"/>
  <c r="AG301" i="26"/>
  <c r="AH300" i="26"/>
  <c r="AG300" i="26"/>
  <c r="AH299" i="26"/>
  <c r="AG299" i="26"/>
  <c r="AH298" i="26"/>
  <c r="AG298" i="26"/>
  <c r="AH297" i="26"/>
  <c r="AG297" i="26"/>
  <c r="AH296" i="26"/>
  <c r="AG296" i="26"/>
  <c r="AH295" i="26"/>
  <c r="AG295" i="26"/>
  <c r="AH294" i="26"/>
  <c r="AG294" i="26"/>
  <c r="AH293" i="26"/>
  <c r="AG293" i="26"/>
  <c r="AH292" i="26"/>
  <c r="AG292" i="26"/>
  <c r="AH291" i="26"/>
  <c r="AG291" i="26"/>
  <c r="AH290" i="26"/>
  <c r="AG290" i="26"/>
  <c r="AH289" i="26"/>
  <c r="AG289" i="26"/>
  <c r="AH288" i="26"/>
  <c r="AG288" i="26"/>
  <c r="AH287" i="26"/>
  <c r="AG287" i="26"/>
  <c r="AH286" i="26"/>
  <c r="AG286" i="26"/>
  <c r="AH285" i="26"/>
  <c r="AG285" i="26"/>
  <c r="AH284" i="26"/>
  <c r="AG284" i="26"/>
  <c r="AH283" i="26"/>
  <c r="AG283" i="26"/>
  <c r="AH282" i="26"/>
  <c r="AG282" i="26"/>
  <c r="AH281" i="26"/>
  <c r="AG281" i="26"/>
  <c r="AH280" i="26"/>
  <c r="AG280" i="26"/>
  <c r="AH279" i="26"/>
  <c r="AG279" i="26"/>
  <c r="AH278" i="26"/>
  <c r="AG278" i="26"/>
  <c r="AH277" i="26"/>
  <c r="AG277" i="26"/>
  <c r="AH276" i="26"/>
  <c r="AG276" i="26"/>
  <c r="AH275" i="26"/>
  <c r="AG275" i="26"/>
  <c r="AH274" i="26"/>
  <c r="AG274" i="26"/>
  <c r="AH273" i="26"/>
  <c r="AG273" i="26"/>
  <c r="AH272" i="26"/>
  <c r="AG272" i="26"/>
  <c r="AH271" i="26"/>
  <c r="AG271" i="26"/>
  <c r="AH270" i="26"/>
  <c r="AG270" i="26"/>
  <c r="AH269" i="26"/>
  <c r="AG269" i="26"/>
  <c r="AH268" i="26"/>
  <c r="AG268" i="26"/>
  <c r="AH267" i="26"/>
  <c r="AG267" i="26"/>
  <c r="AH266" i="26"/>
  <c r="AG266" i="26"/>
  <c r="AH265" i="26"/>
  <c r="AG265" i="26"/>
  <c r="AH264" i="26"/>
  <c r="AG264" i="26"/>
  <c r="AH263" i="26"/>
  <c r="AG263" i="26"/>
  <c r="AH262" i="26"/>
  <c r="AG262" i="26"/>
  <c r="AH261" i="26"/>
  <c r="AG261" i="26"/>
  <c r="AH260" i="26"/>
  <c r="AG260" i="26"/>
  <c r="AH259" i="26"/>
  <c r="AG259" i="26"/>
  <c r="AH258" i="26"/>
  <c r="AG258" i="26"/>
  <c r="AH257" i="26"/>
  <c r="AG257" i="26"/>
  <c r="AH256" i="26"/>
  <c r="AG256" i="26"/>
  <c r="AH255" i="26"/>
  <c r="AG255" i="26"/>
  <c r="AH254" i="26"/>
  <c r="AG254" i="26"/>
  <c r="AH253" i="26"/>
  <c r="AG253" i="26"/>
  <c r="AH252" i="26"/>
  <c r="AG252" i="26"/>
  <c r="AH251" i="26"/>
  <c r="AG251" i="26"/>
  <c r="AH250" i="26"/>
  <c r="AG250" i="26"/>
  <c r="AH249" i="26"/>
  <c r="AG249" i="26"/>
  <c r="AH248" i="26"/>
  <c r="AG248" i="26"/>
  <c r="AH247" i="26"/>
  <c r="AG247" i="26"/>
  <c r="AH246" i="26"/>
  <c r="AG246" i="26"/>
  <c r="AH245" i="26"/>
  <c r="AG245" i="26"/>
  <c r="AH244" i="26"/>
  <c r="AG244" i="26"/>
  <c r="AH243" i="26"/>
  <c r="AG243" i="26"/>
  <c r="AH242" i="26"/>
  <c r="AG242" i="26"/>
  <c r="AH241" i="26"/>
  <c r="AG241" i="26"/>
  <c r="AH240" i="26"/>
  <c r="AG240" i="26"/>
  <c r="AH239" i="26"/>
  <c r="AG239" i="26"/>
  <c r="AH238" i="26"/>
  <c r="AG238" i="26"/>
  <c r="AH237" i="26"/>
  <c r="AG237" i="26"/>
  <c r="AH236" i="26"/>
  <c r="AG236" i="26"/>
  <c r="AH235" i="26"/>
  <c r="AG235" i="26"/>
  <c r="AH234" i="26"/>
  <c r="AG234" i="26"/>
  <c r="AH233" i="26"/>
  <c r="AG233" i="26"/>
  <c r="AH232" i="26"/>
  <c r="AG232" i="26"/>
  <c r="AH231" i="26"/>
  <c r="AG231" i="26"/>
  <c r="AH230" i="26"/>
  <c r="AG230" i="26"/>
  <c r="AH229" i="26"/>
  <c r="AG229" i="26"/>
  <c r="AH228" i="26"/>
  <c r="AG228" i="26"/>
  <c r="AH227" i="26"/>
  <c r="AG227" i="26"/>
  <c r="AH226" i="26"/>
  <c r="AG226" i="26"/>
  <c r="AH225" i="26"/>
  <c r="AG225" i="26"/>
  <c r="AH224" i="26"/>
  <c r="AG224" i="26"/>
  <c r="AH223" i="26"/>
  <c r="AG223" i="26"/>
  <c r="AH222" i="26"/>
  <c r="AG222" i="26"/>
  <c r="AH221" i="26"/>
  <c r="AG221" i="26"/>
  <c r="AH220" i="26"/>
  <c r="AG220" i="26"/>
  <c r="AH219" i="26"/>
  <c r="AG219" i="26"/>
  <c r="AH218" i="26"/>
  <c r="AG218" i="26"/>
  <c r="AH217" i="26"/>
  <c r="AG217" i="26"/>
  <c r="AH216" i="26"/>
  <c r="AG216" i="26"/>
  <c r="AH215" i="26"/>
  <c r="AG215" i="26"/>
  <c r="AH214" i="26"/>
  <c r="AG214" i="26"/>
  <c r="AH213" i="26"/>
  <c r="AG213" i="26"/>
  <c r="AH212" i="26"/>
  <c r="AG212" i="26"/>
  <c r="AH211" i="26"/>
  <c r="AG211" i="26"/>
  <c r="AH210" i="26"/>
  <c r="AG210" i="26"/>
  <c r="AH209" i="26"/>
  <c r="AG209" i="26"/>
  <c r="AH208" i="26"/>
  <c r="AG208" i="26"/>
  <c r="AH207" i="26"/>
  <c r="AG207" i="26"/>
  <c r="AH206" i="26"/>
  <c r="AG206" i="26"/>
  <c r="AH205" i="26"/>
  <c r="AG205" i="26"/>
  <c r="AH204" i="26"/>
  <c r="AG204" i="26"/>
  <c r="AH203" i="26"/>
  <c r="AG203" i="26"/>
  <c r="AH202" i="26"/>
  <c r="AG202" i="26"/>
  <c r="AH201" i="26"/>
  <c r="AG201" i="26"/>
  <c r="AH200" i="26"/>
  <c r="AG200" i="26"/>
  <c r="AH199" i="26"/>
  <c r="AG199" i="26"/>
  <c r="AH198" i="26"/>
  <c r="AG198" i="26"/>
  <c r="AH197" i="26"/>
  <c r="AG197" i="26"/>
  <c r="AH196" i="26"/>
  <c r="AG196" i="26"/>
  <c r="AH195" i="26"/>
  <c r="AG195" i="26"/>
  <c r="AH194" i="26"/>
  <c r="AG194" i="26"/>
  <c r="AH193" i="26"/>
  <c r="AG193" i="26"/>
  <c r="AH192" i="26"/>
  <c r="AG192" i="26"/>
  <c r="AH191" i="26"/>
  <c r="AG191" i="26"/>
  <c r="AH190" i="26"/>
  <c r="AG190" i="26"/>
  <c r="AH189" i="26"/>
  <c r="AG189" i="26"/>
  <c r="AH188" i="26"/>
  <c r="AG188" i="26"/>
  <c r="AH187" i="26"/>
  <c r="AG187" i="26"/>
  <c r="AH186" i="26"/>
  <c r="AG186" i="26"/>
  <c r="AH185" i="26"/>
  <c r="AG185" i="26"/>
  <c r="AH184" i="26"/>
  <c r="AG184" i="26"/>
  <c r="AH183" i="26"/>
  <c r="AG183" i="26"/>
  <c r="AH182" i="26"/>
  <c r="AG182" i="26"/>
  <c r="AH181" i="26"/>
  <c r="AG181" i="26"/>
  <c r="AH180" i="26"/>
  <c r="AG180" i="26"/>
  <c r="AH179" i="26"/>
  <c r="AG179" i="26"/>
  <c r="AH178" i="26"/>
  <c r="AG178" i="26"/>
  <c r="AH177" i="26"/>
  <c r="AG177" i="26"/>
  <c r="AH176" i="26"/>
  <c r="AG176" i="26"/>
  <c r="AH175" i="26"/>
  <c r="AG175" i="26"/>
  <c r="AH174" i="26"/>
  <c r="AG174" i="26"/>
  <c r="AH173" i="26"/>
  <c r="AG173" i="26"/>
  <c r="AH172" i="26"/>
  <c r="AG172" i="26"/>
  <c r="AH171" i="26"/>
  <c r="AG171" i="26"/>
  <c r="AH170" i="26"/>
  <c r="AG170" i="26"/>
  <c r="AH169" i="26"/>
  <c r="AG169" i="26"/>
  <c r="AH168" i="26"/>
  <c r="AG168" i="26"/>
  <c r="AH167" i="26"/>
  <c r="AG167" i="26"/>
  <c r="AH166" i="26"/>
  <c r="AG166" i="26"/>
  <c r="AH165" i="26"/>
  <c r="AG165" i="26"/>
  <c r="AH164" i="26"/>
  <c r="AG164" i="26"/>
  <c r="AH163" i="26"/>
  <c r="AG163" i="26"/>
  <c r="AH162" i="26"/>
  <c r="AG162" i="26"/>
  <c r="AH161" i="26"/>
  <c r="AG161" i="26"/>
  <c r="AH160" i="26"/>
  <c r="AG160" i="26"/>
  <c r="AH159" i="26"/>
  <c r="AG159" i="26"/>
  <c r="AH158" i="26"/>
  <c r="AG158" i="26"/>
  <c r="AH157" i="26"/>
  <c r="AG157" i="26"/>
  <c r="AH156" i="26"/>
  <c r="AG156" i="26"/>
  <c r="AH155" i="26"/>
  <c r="AG155" i="26"/>
  <c r="AH154" i="26"/>
  <c r="AG154" i="26"/>
  <c r="AH153" i="26"/>
  <c r="AG153" i="26"/>
  <c r="AH152" i="26"/>
  <c r="AG152" i="26"/>
  <c r="AH151" i="26"/>
  <c r="AG151" i="26"/>
  <c r="AH150" i="26"/>
  <c r="AG150" i="26"/>
  <c r="AH149" i="26"/>
  <c r="AG149" i="26"/>
  <c r="AH148" i="26"/>
  <c r="AG148" i="26"/>
  <c r="AH147" i="26"/>
  <c r="AG147" i="26"/>
  <c r="AH146" i="26"/>
  <c r="AG146" i="26"/>
  <c r="AH145" i="26"/>
  <c r="AG145" i="26"/>
  <c r="AH144" i="26"/>
  <c r="AG144" i="26"/>
  <c r="AH143" i="26"/>
  <c r="AG143" i="26"/>
  <c r="AH142" i="26"/>
  <c r="AG142" i="26"/>
  <c r="AH141" i="26"/>
  <c r="AG141" i="26"/>
  <c r="AH140" i="26"/>
  <c r="AG140" i="26"/>
  <c r="AH139" i="26"/>
  <c r="AG139" i="26"/>
  <c r="AH138" i="26"/>
  <c r="AG138" i="26"/>
  <c r="AH137" i="26"/>
  <c r="AG137" i="26"/>
  <c r="AH136" i="26"/>
  <c r="AG136" i="26"/>
  <c r="AH135" i="26"/>
  <c r="AG135" i="26"/>
  <c r="AH134" i="26"/>
  <c r="AG134" i="26"/>
  <c r="AH133" i="26"/>
  <c r="AG133" i="26"/>
  <c r="AH132" i="26"/>
  <c r="AG132" i="26"/>
  <c r="AH131" i="26"/>
  <c r="AG131" i="26"/>
  <c r="AH130" i="26"/>
  <c r="AG130" i="26"/>
  <c r="AH129" i="26"/>
  <c r="AG129" i="26"/>
  <c r="AH128" i="26"/>
  <c r="AG128" i="26"/>
  <c r="AH127" i="26"/>
  <c r="AG127" i="26"/>
  <c r="AH126" i="26"/>
  <c r="AG126" i="26"/>
  <c r="AH125" i="26"/>
  <c r="AG125" i="26"/>
  <c r="AH124" i="26"/>
  <c r="AG124" i="26"/>
  <c r="AH123" i="26"/>
  <c r="AG123" i="26"/>
  <c r="AH122" i="26"/>
  <c r="AG122" i="26"/>
  <c r="AH121" i="26"/>
  <c r="AG121" i="26"/>
  <c r="AH120" i="26"/>
  <c r="AG120" i="26"/>
  <c r="AH119" i="26"/>
  <c r="AG119" i="26"/>
  <c r="AH118" i="26"/>
  <c r="AG118" i="26"/>
  <c r="AH117" i="26"/>
  <c r="AG117" i="26"/>
  <c r="AH116" i="26"/>
  <c r="AG116" i="26"/>
  <c r="AH115" i="26"/>
  <c r="AG115" i="26"/>
  <c r="AH114" i="26"/>
  <c r="AG114" i="26"/>
  <c r="AH113" i="26"/>
  <c r="AG113" i="26"/>
  <c r="AH112" i="26"/>
  <c r="AG112" i="26"/>
  <c r="AH111" i="26"/>
  <c r="AG111" i="26"/>
  <c r="AH110" i="26"/>
  <c r="AG110" i="26"/>
  <c r="AH109" i="26"/>
  <c r="AG109" i="26"/>
  <c r="AH108" i="26"/>
  <c r="AG108" i="26"/>
  <c r="AH107" i="26"/>
  <c r="AG107" i="26"/>
  <c r="AH106" i="26"/>
  <c r="AG106" i="26"/>
  <c r="AH105" i="26"/>
  <c r="AG105" i="26"/>
  <c r="AH104" i="26"/>
  <c r="AG104" i="26"/>
  <c r="AH103" i="26"/>
  <c r="AG103" i="26"/>
  <c r="AH102" i="26"/>
  <c r="AG102" i="26"/>
  <c r="AH101" i="26"/>
  <c r="AG101" i="26"/>
  <c r="AH100" i="26"/>
  <c r="AG100" i="26"/>
  <c r="AH99" i="26"/>
  <c r="AG99" i="26"/>
  <c r="AH98" i="26"/>
  <c r="AG98" i="26"/>
  <c r="AH97" i="26"/>
  <c r="AG97" i="26"/>
  <c r="AH96" i="26"/>
  <c r="AG96" i="26"/>
  <c r="AH95" i="26"/>
  <c r="AG95" i="26"/>
  <c r="AH94" i="26"/>
  <c r="AG94" i="26"/>
  <c r="AH93" i="26"/>
  <c r="AG93" i="26"/>
  <c r="AH92" i="26"/>
  <c r="AG92" i="26"/>
  <c r="AH91" i="26"/>
  <c r="AG91" i="26"/>
  <c r="AH90" i="26"/>
  <c r="AG90" i="26"/>
  <c r="AH89" i="26"/>
  <c r="AG89" i="26"/>
  <c r="AH88" i="26"/>
  <c r="AG88" i="26"/>
  <c r="AH87" i="26"/>
  <c r="AG87" i="26"/>
  <c r="AH86" i="26"/>
  <c r="AG86" i="26"/>
  <c r="AH85" i="26"/>
  <c r="AG85" i="26"/>
  <c r="AH84" i="26"/>
  <c r="AG84" i="26"/>
  <c r="AH83" i="26"/>
  <c r="AG83" i="26"/>
  <c r="AH82" i="26"/>
  <c r="AG82" i="26"/>
  <c r="AH81" i="26"/>
  <c r="AG81" i="26"/>
  <c r="AH80" i="26"/>
  <c r="AG80" i="26"/>
  <c r="AH79" i="26"/>
  <c r="AG79" i="26"/>
  <c r="AH78" i="26"/>
  <c r="AG78" i="26"/>
  <c r="AH77" i="26"/>
  <c r="AG77" i="26"/>
  <c r="AH76" i="26"/>
  <c r="AG76" i="26"/>
  <c r="AH75" i="26"/>
  <c r="AG75" i="26"/>
  <c r="AH74" i="26"/>
  <c r="AG74" i="26"/>
  <c r="AH73" i="26"/>
  <c r="AG73" i="26"/>
  <c r="AH72" i="26"/>
  <c r="AG72" i="26"/>
  <c r="AH71" i="26"/>
  <c r="AG71" i="26"/>
  <c r="AH70" i="26"/>
  <c r="AG70" i="26"/>
  <c r="AH69" i="26"/>
  <c r="AG69" i="26"/>
  <c r="AH68" i="26"/>
  <c r="AG68" i="26"/>
  <c r="AH67" i="26"/>
  <c r="AG67" i="26"/>
  <c r="AH66" i="26"/>
  <c r="AG66" i="26"/>
  <c r="AH65" i="26"/>
  <c r="AG65" i="26"/>
  <c r="AH64" i="26"/>
  <c r="AG64" i="26"/>
  <c r="AH63" i="26"/>
  <c r="AG63" i="26"/>
  <c r="AH62" i="26"/>
  <c r="AG62" i="26"/>
  <c r="AH61" i="26"/>
  <c r="AG61" i="26"/>
  <c r="AH60" i="26"/>
  <c r="AG60" i="26"/>
  <c r="AH59" i="26"/>
  <c r="AG59" i="26"/>
  <c r="AH58" i="26"/>
  <c r="AG58" i="26"/>
  <c r="AH57" i="26"/>
  <c r="AG57" i="26"/>
  <c r="AH56" i="26"/>
  <c r="AG56" i="26"/>
  <c r="AH55" i="26"/>
  <c r="AG55" i="26"/>
  <c r="AH54" i="26"/>
  <c r="AG54" i="26"/>
  <c r="AH53" i="26"/>
  <c r="AG53" i="26"/>
  <c r="AH52" i="26"/>
  <c r="AG52" i="26"/>
  <c r="AH51" i="26"/>
  <c r="AG51" i="26"/>
  <c r="AH50" i="26"/>
  <c r="AG50" i="26"/>
  <c r="AH49" i="26"/>
  <c r="AG49" i="26"/>
  <c r="AH48" i="26"/>
  <c r="AG48" i="26"/>
  <c r="AH47" i="26"/>
  <c r="AG47" i="26"/>
  <c r="AH46" i="26"/>
  <c r="AG46" i="26"/>
  <c r="AH45" i="26"/>
  <c r="AG45" i="26"/>
  <c r="AH44" i="26"/>
  <c r="AG44" i="26"/>
  <c r="AH43" i="26"/>
  <c r="AG43" i="26"/>
  <c r="AH42" i="26"/>
  <c r="AG42" i="26"/>
  <c r="AH41" i="26"/>
  <c r="AG41" i="26"/>
  <c r="AH40" i="26"/>
  <c r="AG40" i="26"/>
  <c r="AH39" i="26"/>
  <c r="AG39" i="26"/>
  <c r="AH38" i="26"/>
  <c r="AG38" i="26"/>
  <c r="AH37" i="26"/>
  <c r="AG37" i="26"/>
  <c r="AH36" i="26"/>
  <c r="AG36" i="26"/>
  <c r="AH35" i="26"/>
  <c r="AG35" i="26"/>
  <c r="AH34" i="26"/>
  <c r="AG34" i="26"/>
  <c r="AH33" i="26"/>
  <c r="AG33" i="26"/>
  <c r="AH32" i="26"/>
  <c r="AG32" i="26"/>
  <c r="AH31" i="26"/>
  <c r="AG31" i="26"/>
  <c r="AH30" i="26"/>
  <c r="AG30" i="26"/>
  <c r="AH29" i="26"/>
  <c r="AG29" i="26"/>
  <c r="AH28" i="26"/>
  <c r="AG28" i="26"/>
  <c r="AH27" i="26"/>
  <c r="AG27" i="26"/>
  <c r="AH26" i="26"/>
  <c r="AG26" i="26"/>
  <c r="AH25" i="26"/>
  <c r="AG25" i="26"/>
  <c r="AH24" i="26"/>
  <c r="AG24" i="26"/>
  <c r="AH23" i="26"/>
  <c r="AG23" i="26"/>
  <c r="AH22" i="26"/>
  <c r="AG22" i="26"/>
  <c r="AH21" i="26"/>
  <c r="AG21" i="26"/>
  <c r="AH20" i="26"/>
  <c r="AG20" i="26"/>
  <c r="AH19" i="26"/>
  <c r="AG19" i="26"/>
  <c r="AH18" i="26"/>
  <c r="AG18" i="26"/>
  <c r="AH17" i="26"/>
  <c r="AG17" i="26"/>
  <c r="AH16" i="26"/>
  <c r="AG16" i="26"/>
  <c r="AH15" i="26"/>
  <c r="AG15" i="26"/>
  <c r="AH14" i="26"/>
  <c r="AG14" i="26"/>
  <c r="AH13" i="26"/>
  <c r="AG13" i="26"/>
  <c r="AH12" i="26"/>
  <c r="AG12" i="26"/>
  <c r="AH11" i="26"/>
  <c r="AG11" i="26"/>
  <c r="AH10" i="26"/>
  <c r="AG10" i="26"/>
  <c r="AH9" i="26"/>
  <c r="AG9" i="26"/>
  <c r="AH8" i="26"/>
  <c r="AG8" i="26"/>
  <c r="AH7" i="26"/>
  <c r="AG7" i="26"/>
  <c r="AH6" i="26"/>
  <c r="AG6" i="26"/>
  <c r="AH5" i="26"/>
  <c r="AG5" i="26"/>
  <c r="AD1444" i="26"/>
  <c r="AD1443" i="26"/>
  <c r="AD1442" i="26"/>
  <c r="AD1441" i="26"/>
  <c r="AD1440" i="26"/>
  <c r="AD1439" i="26"/>
  <c r="AD1438" i="26"/>
  <c r="AD1437" i="26"/>
  <c r="AD1436" i="26"/>
  <c r="AD1435" i="26"/>
  <c r="AD1434" i="26"/>
  <c r="AD1433" i="26"/>
  <c r="AD1432" i="26"/>
  <c r="AD1431" i="26"/>
  <c r="AD1430" i="26"/>
  <c r="AD1429" i="26"/>
  <c r="AD1428" i="26"/>
  <c r="AD1427" i="26"/>
  <c r="AD1426" i="26"/>
  <c r="AD1425" i="26"/>
  <c r="AD1424" i="26"/>
  <c r="AD1423" i="26"/>
  <c r="AD1422" i="26"/>
  <c r="AD1421" i="26"/>
  <c r="AD1420" i="26"/>
  <c r="AD1419" i="26"/>
  <c r="AD1418" i="26"/>
  <c r="AD1417" i="26"/>
  <c r="AD1416" i="26"/>
  <c r="AD1415" i="26"/>
  <c r="AD1414" i="26"/>
  <c r="AD1413" i="26"/>
  <c r="AD1412" i="26"/>
  <c r="AD1411" i="26"/>
  <c r="AD1410" i="26"/>
  <c r="AD1409" i="26"/>
  <c r="AD1408" i="26"/>
  <c r="AD1407" i="26"/>
  <c r="AD1406" i="26"/>
  <c r="AD1405" i="26"/>
  <c r="AD1404" i="26"/>
  <c r="AD1403" i="26"/>
  <c r="AD1402" i="26"/>
  <c r="AD1401" i="26"/>
  <c r="AD1400" i="26"/>
  <c r="AD1399" i="26"/>
  <c r="AD1398" i="26"/>
  <c r="AD1397" i="26"/>
  <c r="AD1396" i="26"/>
  <c r="AD1395" i="26"/>
  <c r="AD1394" i="26"/>
  <c r="AD1393" i="26"/>
  <c r="AD1392" i="26"/>
  <c r="AD1391" i="26"/>
  <c r="AD1390" i="26"/>
  <c r="AD1389" i="26"/>
  <c r="AD1388" i="26"/>
  <c r="AD1387" i="26"/>
  <c r="AD1386" i="26"/>
  <c r="AD1385" i="26"/>
  <c r="AD1384" i="26"/>
  <c r="AD1383" i="26"/>
  <c r="AD1382" i="26"/>
  <c r="AD1381" i="26"/>
  <c r="AD1380" i="26"/>
  <c r="AD1379" i="26"/>
  <c r="AD1378" i="26"/>
  <c r="AD1377" i="26"/>
  <c r="AD1376" i="26"/>
  <c r="AD1375" i="26"/>
  <c r="AD1374" i="26"/>
  <c r="AD1373" i="26"/>
  <c r="AD1372" i="26"/>
  <c r="AD1371" i="26"/>
  <c r="AD1370" i="26"/>
  <c r="AD1369" i="26"/>
  <c r="AD1368" i="26"/>
  <c r="AD1367" i="26"/>
  <c r="AD1366" i="26"/>
  <c r="AD1365" i="26"/>
  <c r="AD1364" i="26"/>
  <c r="AD1363" i="26"/>
  <c r="AD1362" i="26"/>
  <c r="AD1361" i="26"/>
  <c r="AD1360" i="26"/>
  <c r="AD1359" i="26"/>
  <c r="AD1358" i="26"/>
  <c r="AD1357" i="26"/>
  <c r="AD1356" i="26"/>
  <c r="AD1355" i="26"/>
  <c r="AD1354" i="26"/>
  <c r="AD1353" i="26"/>
  <c r="AD1352" i="26"/>
  <c r="AD1351" i="26"/>
  <c r="AD1350" i="26"/>
  <c r="AD1349" i="26"/>
  <c r="AD1348" i="26"/>
  <c r="AD1347" i="26"/>
  <c r="AD1346" i="26"/>
  <c r="AD1345" i="26"/>
  <c r="AD1344" i="26"/>
  <c r="AD1343" i="26"/>
  <c r="AD1342" i="26"/>
  <c r="AD1341" i="26"/>
  <c r="AD1340" i="26"/>
  <c r="AD1339" i="26"/>
  <c r="AD1338" i="26"/>
  <c r="AD1337" i="26"/>
  <c r="AD1336" i="26"/>
  <c r="AD1335" i="26"/>
  <c r="AD1334" i="26"/>
  <c r="AD1333" i="26"/>
  <c r="AD1332" i="26"/>
  <c r="AD1331" i="26"/>
  <c r="AD1330" i="26"/>
  <c r="AD1329" i="26"/>
  <c r="AD1328" i="26"/>
  <c r="AD1327" i="26"/>
  <c r="AD1326" i="26"/>
  <c r="AD1325" i="26"/>
  <c r="AD1324" i="26"/>
  <c r="AD1323" i="26"/>
  <c r="AD1322" i="26"/>
  <c r="AD1321" i="26"/>
  <c r="AD1320" i="26"/>
  <c r="AD1319" i="26"/>
  <c r="AD1318" i="26"/>
  <c r="AD1317" i="26"/>
  <c r="AD1316" i="26"/>
  <c r="AD1315" i="26"/>
  <c r="AD1314" i="26"/>
  <c r="AD1313" i="26"/>
  <c r="AD1312" i="26"/>
  <c r="AD1311" i="26"/>
  <c r="AD1310" i="26"/>
  <c r="AD1309" i="26"/>
  <c r="AD1308" i="26"/>
  <c r="AD1307" i="26"/>
  <c r="AD1306" i="26"/>
  <c r="AD1305" i="26"/>
  <c r="AD1304" i="26"/>
  <c r="AD1303" i="26"/>
  <c r="AD1302" i="26"/>
  <c r="AD1301" i="26"/>
  <c r="AD1300" i="26"/>
  <c r="AD1299" i="26"/>
  <c r="AD1298" i="26"/>
  <c r="AD1297" i="26"/>
  <c r="AD1296" i="26"/>
  <c r="AD1295" i="26"/>
  <c r="AD1294" i="26"/>
  <c r="AD1293" i="26"/>
  <c r="AD1292" i="26"/>
  <c r="AD1291" i="26"/>
  <c r="AD1290" i="26"/>
  <c r="AD1289" i="26"/>
  <c r="AD1288" i="26"/>
  <c r="AD1287" i="26"/>
  <c r="AD1286" i="26"/>
  <c r="AD1285" i="26"/>
  <c r="AD1284" i="26"/>
  <c r="AD1283" i="26"/>
  <c r="AD1282" i="26"/>
  <c r="AD1281" i="26"/>
  <c r="AD1280" i="26"/>
  <c r="AD1279" i="26"/>
  <c r="AD1278" i="26"/>
  <c r="AD1277" i="26"/>
  <c r="AD1276" i="26"/>
  <c r="AD1275" i="26"/>
  <c r="AD1274" i="26"/>
  <c r="AD1273" i="26"/>
  <c r="AD1272" i="26"/>
  <c r="AD1271" i="26"/>
  <c r="AD1270" i="26"/>
  <c r="AD1269" i="26"/>
  <c r="AD1268" i="26"/>
  <c r="AD1267" i="26"/>
  <c r="AD1266" i="26"/>
  <c r="AD1265" i="26"/>
  <c r="AD1264" i="26"/>
  <c r="AD1263" i="26"/>
  <c r="AD1262" i="26"/>
  <c r="AD1261" i="26"/>
  <c r="AD1260" i="26"/>
  <c r="AD1259" i="26"/>
  <c r="AD1258" i="26"/>
  <c r="AD1257" i="26"/>
  <c r="AD1256" i="26"/>
  <c r="AD1255" i="26"/>
  <c r="AD1254" i="26"/>
  <c r="AD1253" i="26"/>
  <c r="AD1252" i="26"/>
  <c r="AD1251" i="26"/>
  <c r="AD1250" i="26"/>
  <c r="AD1249" i="26"/>
  <c r="AD1248" i="26"/>
  <c r="AD1247" i="26"/>
  <c r="AD1246" i="26"/>
  <c r="AD1245" i="26"/>
  <c r="AD1244" i="26"/>
  <c r="AD1243" i="26"/>
  <c r="AD1242" i="26"/>
  <c r="AD1241" i="26"/>
  <c r="AD1240" i="26"/>
  <c r="AD1239" i="26"/>
  <c r="AD1238" i="26"/>
  <c r="AD1237" i="26"/>
  <c r="AD1236" i="26"/>
  <c r="AD1235" i="26"/>
  <c r="AD1234" i="26"/>
  <c r="AD1233" i="26"/>
  <c r="AD1232" i="26"/>
  <c r="AD1231" i="26"/>
  <c r="AD1230" i="26"/>
  <c r="AD1229" i="26"/>
  <c r="AD1228" i="26"/>
  <c r="AD1227" i="26"/>
  <c r="AD1226" i="26"/>
  <c r="AD1225" i="26"/>
  <c r="AD1224" i="26"/>
  <c r="AD1223" i="26"/>
  <c r="AD1222" i="26"/>
  <c r="AD1221" i="26"/>
  <c r="AD1220" i="26"/>
  <c r="AD1219" i="26"/>
  <c r="AD1218" i="26"/>
  <c r="AD1217" i="26"/>
  <c r="AD1216" i="26"/>
  <c r="AD1215" i="26"/>
  <c r="AD1214" i="26"/>
  <c r="AD1213" i="26"/>
  <c r="AD1212" i="26"/>
  <c r="AD1211" i="26"/>
  <c r="AD1210" i="26"/>
  <c r="AD1209" i="26"/>
  <c r="AD1208" i="26"/>
  <c r="AD1207" i="26"/>
  <c r="AD1206" i="26"/>
  <c r="AD1205" i="26"/>
  <c r="AD1204" i="26"/>
  <c r="AD1203" i="26"/>
  <c r="AD1202" i="26"/>
  <c r="AD1201" i="26"/>
  <c r="AD1200" i="26"/>
  <c r="AD1199" i="26"/>
  <c r="AD1198" i="26"/>
  <c r="AD1197" i="26"/>
  <c r="AD1196" i="26"/>
  <c r="AD1195" i="26"/>
  <c r="AD1194" i="26"/>
  <c r="AD1193" i="26"/>
  <c r="AD1192" i="26"/>
  <c r="AD1191" i="26"/>
  <c r="AD1190" i="26"/>
  <c r="AD1189" i="26"/>
  <c r="AD1188" i="26"/>
  <c r="AD1187" i="26"/>
  <c r="AD1186" i="26"/>
  <c r="AD1185" i="26"/>
  <c r="AD1184" i="26"/>
  <c r="AD1183" i="26"/>
  <c r="AD1182" i="26"/>
  <c r="AD1181" i="26"/>
  <c r="AD1180" i="26"/>
  <c r="AD1179" i="26"/>
  <c r="AD1178" i="26"/>
  <c r="AD1177" i="26"/>
  <c r="AD1176" i="26"/>
  <c r="AD1175" i="26"/>
  <c r="AD1174" i="26"/>
  <c r="AD1173" i="26"/>
  <c r="AD1172" i="26"/>
  <c r="AD1171" i="26"/>
  <c r="AD1170" i="26"/>
  <c r="AD1169" i="26"/>
  <c r="AD1168" i="26"/>
  <c r="AD1167" i="26"/>
  <c r="AD1166" i="26"/>
  <c r="AD1165" i="26"/>
  <c r="AD1164" i="26"/>
  <c r="AD1163" i="26"/>
  <c r="AD1162" i="26"/>
  <c r="AD1161" i="26"/>
  <c r="AD1160" i="26"/>
  <c r="AD1159" i="26"/>
  <c r="AD1158" i="26"/>
  <c r="AD1157" i="26"/>
  <c r="AD1156" i="26"/>
  <c r="AD1155" i="26"/>
  <c r="AD1154" i="26"/>
  <c r="AD1153" i="26"/>
  <c r="AD1152" i="26"/>
  <c r="AD1151" i="26"/>
  <c r="AD1150" i="26"/>
  <c r="AD1149" i="26"/>
  <c r="AD1148" i="26"/>
  <c r="AD1147" i="26"/>
  <c r="AD1146" i="26"/>
  <c r="AD1145" i="26"/>
  <c r="AD1144" i="26"/>
  <c r="AD1143" i="26"/>
  <c r="AD1142" i="26"/>
  <c r="AD1141" i="26"/>
  <c r="AD1140" i="26"/>
  <c r="AD1139" i="26"/>
  <c r="AD1138" i="26"/>
  <c r="AD1137" i="26"/>
  <c r="AD1136" i="26"/>
  <c r="AD1135" i="26"/>
  <c r="AD1134" i="26"/>
  <c r="AD1133" i="26"/>
  <c r="AD1132" i="26"/>
  <c r="AD1131" i="26"/>
  <c r="AD1130" i="26"/>
  <c r="AD1129" i="26"/>
  <c r="AD1128" i="26"/>
  <c r="AD1127" i="26"/>
  <c r="AD1126" i="26"/>
  <c r="AD1125" i="26"/>
  <c r="AD1124" i="26"/>
  <c r="AD1123" i="26"/>
  <c r="AD1122" i="26"/>
  <c r="AD1121" i="26"/>
  <c r="AD1120" i="26"/>
  <c r="AD1119" i="26"/>
  <c r="AD1118" i="26"/>
  <c r="AD1117" i="26"/>
  <c r="AD1116" i="26"/>
  <c r="AD1115" i="26"/>
  <c r="AD1114" i="26"/>
  <c r="AD1113" i="26"/>
  <c r="AD1112" i="26"/>
  <c r="AD1111" i="26"/>
  <c r="AD1110" i="26"/>
  <c r="AD1109" i="26"/>
  <c r="AD1108" i="26"/>
  <c r="AD1107" i="26"/>
  <c r="AD1106" i="26"/>
  <c r="AD1105" i="26"/>
  <c r="AD1104" i="26"/>
  <c r="AD1103" i="26"/>
  <c r="AD1102" i="26"/>
  <c r="AD1101" i="26"/>
  <c r="AD1100" i="26"/>
  <c r="AD1099" i="26"/>
  <c r="AD1098" i="26"/>
  <c r="AD1097" i="26"/>
  <c r="AD1096" i="26"/>
  <c r="AD1095" i="26"/>
  <c r="AD1094" i="26"/>
  <c r="AD1093" i="26"/>
  <c r="AD1092" i="26"/>
  <c r="AD1091" i="26"/>
  <c r="AD1090" i="26"/>
  <c r="AD1089" i="26"/>
  <c r="AD1088" i="26"/>
  <c r="AD1087" i="26"/>
  <c r="AD1086" i="26"/>
  <c r="AD1085" i="26"/>
  <c r="AD1084" i="26"/>
  <c r="AD1083" i="26"/>
  <c r="AD1082" i="26"/>
  <c r="AD1081" i="26"/>
  <c r="AD1080" i="26"/>
  <c r="AD1079" i="26"/>
  <c r="AD1078" i="26"/>
  <c r="AD1077" i="26"/>
  <c r="AD1076" i="26"/>
  <c r="AD1075" i="26"/>
  <c r="AD1074" i="26"/>
  <c r="AD1073" i="26"/>
  <c r="AD1072" i="26"/>
  <c r="AD1071" i="26"/>
  <c r="AD1070" i="26"/>
  <c r="AD1069" i="26"/>
  <c r="AD1068" i="26"/>
  <c r="AD1067" i="26"/>
  <c r="AD1066" i="26"/>
  <c r="AD1065" i="26"/>
  <c r="AD1064" i="26"/>
  <c r="AD1063" i="26"/>
  <c r="AD1062" i="26"/>
  <c r="AD1061" i="26"/>
  <c r="AD1060" i="26"/>
  <c r="AD1059" i="26"/>
  <c r="AD1058" i="26"/>
  <c r="AD1057" i="26"/>
  <c r="AD1056" i="26"/>
  <c r="AD1055" i="26"/>
  <c r="AD1054" i="26"/>
  <c r="AD1053" i="26"/>
  <c r="AD1052" i="26"/>
  <c r="AD1051" i="26"/>
  <c r="AD1050" i="26"/>
  <c r="AD1049" i="26"/>
  <c r="AD1048" i="26"/>
  <c r="AD1047" i="26"/>
  <c r="AD1046" i="26"/>
  <c r="AD1045" i="26"/>
  <c r="AD1044" i="26"/>
  <c r="AD1043" i="26"/>
  <c r="AD1042" i="26"/>
  <c r="AD1041" i="26"/>
  <c r="AD1040" i="26"/>
  <c r="AD1039" i="26"/>
  <c r="AD1038" i="26"/>
  <c r="AD1037" i="26"/>
  <c r="AD1036" i="26"/>
  <c r="AD1035" i="26"/>
  <c r="AD1034" i="26"/>
  <c r="AD1033" i="26"/>
  <c r="AD1032" i="26"/>
  <c r="AD1031" i="26"/>
  <c r="AD1030" i="26"/>
  <c r="AD1029" i="26"/>
  <c r="AD1028" i="26"/>
  <c r="AD1027" i="26"/>
  <c r="AD1026" i="26"/>
  <c r="AD1025" i="26"/>
  <c r="AD1024" i="26"/>
  <c r="AD1023" i="26"/>
  <c r="AD1022" i="26"/>
  <c r="AD1021" i="26"/>
  <c r="AD1020" i="26"/>
  <c r="AD1019" i="26"/>
  <c r="AD1018" i="26"/>
  <c r="AD1017" i="26"/>
  <c r="AD1016" i="26"/>
  <c r="AD1015" i="26"/>
  <c r="AD1014" i="26"/>
  <c r="AD1013" i="26"/>
  <c r="AD1012" i="26"/>
  <c r="AD1011" i="26"/>
  <c r="AD1010" i="26"/>
  <c r="AD1009" i="26"/>
  <c r="AD1008" i="26"/>
  <c r="AD1007" i="26"/>
  <c r="AD1006" i="26"/>
  <c r="AD1005" i="26"/>
  <c r="AD1004" i="26"/>
  <c r="AD1003" i="26"/>
  <c r="AD1002" i="26"/>
  <c r="AD1001" i="26"/>
  <c r="AD1000" i="26"/>
  <c r="AD999" i="26"/>
  <c r="AD998" i="26"/>
  <c r="AD997" i="26"/>
  <c r="AD996" i="26"/>
  <c r="AD995" i="26"/>
  <c r="AD994" i="26"/>
  <c r="AD993" i="26"/>
  <c r="AD992" i="26"/>
  <c r="AD991" i="26"/>
  <c r="AD990" i="26"/>
  <c r="AD989" i="26"/>
  <c r="AD988" i="26"/>
  <c r="AD987" i="26"/>
  <c r="AD986" i="26"/>
  <c r="AD985" i="26"/>
  <c r="AD984" i="26"/>
  <c r="AD983" i="26"/>
  <c r="AD982" i="26"/>
  <c r="AD981" i="26"/>
  <c r="AD980" i="26"/>
  <c r="AD979" i="26"/>
  <c r="AD978" i="26"/>
  <c r="AD977" i="26"/>
  <c r="AD976" i="26"/>
  <c r="AD975" i="26"/>
  <c r="AD974" i="26"/>
  <c r="AD973" i="26"/>
  <c r="AD972" i="26"/>
  <c r="AD971" i="26"/>
  <c r="AD970" i="26"/>
  <c r="AD969" i="26"/>
  <c r="AD968" i="26"/>
  <c r="AD967" i="26"/>
  <c r="AD966" i="26"/>
  <c r="AD965" i="26"/>
  <c r="AD964" i="26"/>
  <c r="AD963" i="26"/>
  <c r="AD962" i="26"/>
  <c r="AD961" i="26"/>
  <c r="AD960" i="26"/>
  <c r="AD959" i="26"/>
  <c r="AD958" i="26"/>
  <c r="AD957" i="26"/>
  <c r="AD956" i="26"/>
  <c r="AD955" i="26"/>
  <c r="AD954" i="26"/>
  <c r="AD953" i="26"/>
  <c r="AD952" i="26"/>
  <c r="AD951" i="26"/>
  <c r="AD950" i="26"/>
  <c r="AD949" i="26"/>
  <c r="AD948" i="26"/>
  <c r="AD947" i="26"/>
  <c r="AD946" i="26"/>
  <c r="AD945" i="26"/>
  <c r="AD944" i="26"/>
  <c r="AD943" i="26"/>
  <c r="AD942" i="26"/>
  <c r="AD941" i="26"/>
  <c r="AD940" i="26"/>
  <c r="AD939" i="26"/>
  <c r="AD938" i="26"/>
  <c r="AD937" i="26"/>
  <c r="AD936" i="26"/>
  <c r="AD935" i="26"/>
  <c r="AD934" i="26"/>
  <c r="AD933" i="26"/>
  <c r="AD932" i="26"/>
  <c r="AD931" i="26"/>
  <c r="AD930" i="26"/>
  <c r="AD929" i="26"/>
  <c r="AD928" i="26"/>
  <c r="AD927" i="26"/>
  <c r="AD926" i="26"/>
  <c r="AD925" i="26"/>
  <c r="AD924" i="26"/>
  <c r="AD923" i="26"/>
  <c r="AD922" i="26"/>
  <c r="AD921" i="26"/>
  <c r="AD920" i="26"/>
  <c r="AD919" i="26"/>
  <c r="AD918" i="26"/>
  <c r="AD917" i="26"/>
  <c r="AD916" i="26"/>
  <c r="AD915" i="26"/>
  <c r="AD914" i="26"/>
  <c r="AD913" i="26"/>
  <c r="AD912" i="26"/>
  <c r="AD911" i="26"/>
  <c r="AD910" i="26"/>
  <c r="AD909" i="26"/>
  <c r="AD908" i="26"/>
  <c r="AD907" i="26"/>
  <c r="AD906" i="26"/>
  <c r="AD905" i="26"/>
  <c r="AD904" i="26"/>
  <c r="AD903" i="26"/>
  <c r="AD902" i="26"/>
  <c r="AD901" i="26"/>
  <c r="AD900" i="26"/>
  <c r="AD899" i="26"/>
  <c r="AD898" i="26"/>
  <c r="AD897" i="26"/>
  <c r="AD896" i="26"/>
  <c r="AD895" i="26"/>
  <c r="AD894" i="26"/>
  <c r="AD893" i="26"/>
  <c r="AD892" i="26"/>
  <c r="AD891" i="26"/>
  <c r="AD890" i="26"/>
  <c r="AD889" i="26"/>
  <c r="AD888" i="26"/>
  <c r="AD887" i="26"/>
  <c r="AD886" i="26"/>
  <c r="AD885" i="26"/>
  <c r="AD884" i="26"/>
  <c r="AD883" i="26"/>
  <c r="AD882" i="26"/>
  <c r="AD881" i="26"/>
  <c r="AD880" i="26"/>
  <c r="AD879" i="26"/>
  <c r="AD878" i="26"/>
  <c r="AD877" i="26"/>
  <c r="AD876" i="26"/>
  <c r="AD875" i="26"/>
  <c r="AD874" i="26"/>
  <c r="AD873" i="26"/>
  <c r="AD872" i="26"/>
  <c r="AD871" i="26"/>
  <c r="AD870" i="26"/>
  <c r="AD869" i="26"/>
  <c r="AD868" i="26"/>
  <c r="AD867" i="26"/>
  <c r="AD866" i="26"/>
  <c r="AD865" i="26"/>
  <c r="AD864" i="26"/>
  <c r="AD863" i="26"/>
  <c r="AD862" i="26"/>
  <c r="AD861" i="26"/>
  <c r="AD860" i="26"/>
  <c r="AD859" i="26"/>
  <c r="AD858" i="26"/>
  <c r="AD857" i="26"/>
  <c r="AD856" i="26"/>
  <c r="AD855" i="26"/>
  <c r="AD854" i="26"/>
  <c r="AD853" i="26"/>
  <c r="AD852" i="26"/>
  <c r="AD851" i="26"/>
  <c r="AD850" i="26"/>
  <c r="AD849" i="26"/>
  <c r="AD848" i="26"/>
  <c r="AD847" i="26"/>
  <c r="AD846" i="26"/>
  <c r="AD845" i="26"/>
  <c r="AD844" i="26"/>
  <c r="AD843" i="26"/>
  <c r="AD842" i="26"/>
  <c r="AD841" i="26"/>
  <c r="AD840" i="26"/>
  <c r="AD839" i="26"/>
  <c r="AD838" i="26"/>
  <c r="AD837" i="26"/>
  <c r="AD836" i="26"/>
  <c r="AD835" i="26"/>
  <c r="AD834" i="26"/>
  <c r="AD833" i="26"/>
  <c r="AD832" i="26"/>
  <c r="AD831" i="26"/>
  <c r="AD830" i="26"/>
  <c r="AD829" i="26"/>
  <c r="AD828" i="26"/>
  <c r="AD827" i="26"/>
  <c r="AD826" i="26"/>
  <c r="AD825" i="26"/>
  <c r="AD824" i="26"/>
  <c r="AD823" i="26"/>
  <c r="AD822" i="26"/>
  <c r="AD821" i="26"/>
  <c r="AD820" i="26"/>
  <c r="AD819" i="26"/>
  <c r="AD818" i="26"/>
  <c r="AD817" i="26"/>
  <c r="AD816" i="26"/>
  <c r="AD815" i="26"/>
  <c r="AD814" i="26"/>
  <c r="AD813" i="26"/>
  <c r="AD812" i="26"/>
  <c r="AD811" i="26"/>
  <c r="AD810" i="26"/>
  <c r="AD809" i="26"/>
  <c r="AD808" i="26"/>
  <c r="AD807" i="26"/>
  <c r="AD806" i="26"/>
  <c r="AD805" i="26"/>
  <c r="AD804" i="26"/>
  <c r="AD803" i="26"/>
  <c r="AD802" i="26"/>
  <c r="AD801" i="26"/>
  <c r="AD800" i="26"/>
  <c r="AD799" i="26"/>
  <c r="AD798" i="26"/>
  <c r="AD797" i="26"/>
  <c r="AD796" i="26"/>
  <c r="AD795" i="26"/>
  <c r="AD794" i="26"/>
  <c r="AD793" i="26"/>
  <c r="AD792" i="26"/>
  <c r="AD791" i="26"/>
  <c r="AD790" i="26"/>
  <c r="AD789" i="26"/>
  <c r="AD788" i="26"/>
  <c r="AD787" i="26"/>
  <c r="AD786" i="26"/>
  <c r="AD785" i="26"/>
  <c r="AD784" i="26"/>
  <c r="AD783" i="26"/>
  <c r="AD782" i="26"/>
  <c r="AD781" i="26"/>
  <c r="AD780" i="26"/>
  <c r="AD779" i="26"/>
  <c r="AD778" i="26"/>
  <c r="AD777" i="26"/>
  <c r="AD776" i="26"/>
  <c r="AD775" i="26"/>
  <c r="AD774" i="26"/>
  <c r="AD773" i="26"/>
  <c r="AD772" i="26"/>
  <c r="AD771" i="26"/>
  <c r="AD770" i="26"/>
  <c r="AD769" i="26"/>
  <c r="AD768" i="26"/>
  <c r="AD767" i="26"/>
  <c r="AD766" i="26"/>
  <c r="AD765" i="26"/>
  <c r="AD764" i="26"/>
  <c r="AD763" i="26"/>
  <c r="AD762" i="26"/>
  <c r="AD761" i="26"/>
  <c r="AD760" i="26"/>
  <c r="AD759" i="26"/>
  <c r="AD758" i="26"/>
  <c r="AD757" i="26"/>
  <c r="AD756" i="26"/>
  <c r="AD755" i="26"/>
  <c r="AD754" i="26"/>
  <c r="AD753" i="26"/>
  <c r="AD752" i="26"/>
  <c r="AD751" i="26"/>
  <c r="AD750" i="26"/>
  <c r="AD749" i="26"/>
  <c r="AD748" i="26"/>
  <c r="AD747" i="26"/>
  <c r="AD746" i="26"/>
  <c r="AD745" i="26"/>
  <c r="AD744" i="26"/>
  <c r="AD743" i="26"/>
  <c r="AD742" i="26"/>
  <c r="AD741" i="26"/>
  <c r="AD740" i="26"/>
  <c r="AD739" i="26"/>
  <c r="AD738" i="26"/>
  <c r="AD737" i="26"/>
  <c r="AD736" i="26"/>
  <c r="AD735" i="26"/>
  <c r="AD734" i="26"/>
  <c r="AD733" i="26"/>
  <c r="AD732" i="26"/>
  <c r="AD731" i="26"/>
  <c r="AD730" i="26"/>
  <c r="AD729" i="26"/>
  <c r="AD728" i="26"/>
  <c r="AD727" i="26"/>
  <c r="AD726" i="26"/>
  <c r="AD725" i="26"/>
  <c r="AD724" i="26"/>
  <c r="AD723" i="26"/>
  <c r="AD722" i="26"/>
  <c r="AD721" i="26"/>
  <c r="AD720" i="26"/>
  <c r="AD719" i="26"/>
  <c r="AD718" i="26"/>
  <c r="AD717" i="26"/>
  <c r="AD716" i="26"/>
  <c r="AD715" i="26"/>
  <c r="AD714" i="26"/>
  <c r="AD713" i="26"/>
  <c r="AD712" i="26"/>
  <c r="AD711" i="26"/>
  <c r="AD710" i="26"/>
  <c r="AD709" i="26"/>
  <c r="AD708" i="26"/>
  <c r="AD707" i="26"/>
  <c r="AD706" i="26"/>
  <c r="AD705" i="26"/>
  <c r="AD704" i="26"/>
  <c r="AD703" i="26"/>
  <c r="AD702" i="26"/>
  <c r="AD701" i="26"/>
  <c r="AD700" i="26"/>
  <c r="AD699" i="26"/>
  <c r="AD698" i="26"/>
  <c r="AD697" i="26"/>
  <c r="AD696" i="26"/>
  <c r="AD695" i="26"/>
  <c r="AD694" i="26"/>
  <c r="AD693" i="26"/>
  <c r="AD692" i="26"/>
  <c r="AD691" i="26"/>
  <c r="AD690" i="26"/>
  <c r="AD689" i="26"/>
  <c r="AD688" i="26"/>
  <c r="AD687" i="26"/>
  <c r="AD686" i="26"/>
  <c r="AD685" i="26"/>
  <c r="AD684" i="26"/>
  <c r="AD683" i="26"/>
  <c r="AD682" i="26"/>
  <c r="AD681" i="26"/>
  <c r="AD680" i="26"/>
  <c r="AD679" i="26"/>
  <c r="AD678" i="26"/>
  <c r="AD677" i="26"/>
  <c r="AD676" i="26"/>
  <c r="AD675" i="26"/>
  <c r="AD674" i="26"/>
  <c r="AD673" i="26"/>
  <c r="AD672" i="26"/>
  <c r="AD671" i="26"/>
  <c r="AD670" i="26"/>
  <c r="AD669" i="26"/>
  <c r="AD668" i="26"/>
  <c r="AD667" i="26"/>
  <c r="AD666" i="26"/>
  <c r="AD665" i="26"/>
  <c r="AD664" i="26"/>
  <c r="AD663" i="26"/>
  <c r="AD662" i="26"/>
  <c r="AD661" i="26"/>
  <c r="AD660" i="26"/>
  <c r="AD659" i="26"/>
  <c r="AD658" i="26"/>
  <c r="AD657" i="26"/>
  <c r="AD656" i="26"/>
  <c r="AD655" i="26"/>
  <c r="AD654" i="26"/>
  <c r="AD653" i="26"/>
  <c r="AD652" i="26"/>
  <c r="AD651" i="26"/>
  <c r="AD650" i="26"/>
  <c r="AD649" i="26"/>
  <c r="AD648" i="26"/>
  <c r="AD647" i="26"/>
  <c r="AD646" i="26"/>
  <c r="AD645" i="26"/>
  <c r="AD644" i="26"/>
  <c r="AD643" i="26"/>
  <c r="AD642" i="26"/>
  <c r="AD641" i="26"/>
  <c r="AD640" i="26"/>
  <c r="AD639" i="26"/>
  <c r="AD638" i="26"/>
  <c r="AD637" i="26"/>
  <c r="AD636" i="26"/>
  <c r="AD635" i="26"/>
  <c r="AD634" i="26"/>
  <c r="AD633" i="26"/>
  <c r="AD632" i="26"/>
  <c r="AD631" i="26"/>
  <c r="AD630" i="26"/>
  <c r="AD629" i="26"/>
  <c r="AD628" i="26"/>
  <c r="AD627" i="26"/>
  <c r="AD626" i="26"/>
  <c r="AD625" i="26"/>
  <c r="AD624" i="26"/>
  <c r="AD623" i="26"/>
  <c r="AD622" i="26"/>
  <c r="AD621" i="26"/>
  <c r="AD620" i="26"/>
  <c r="AD619" i="26"/>
  <c r="AD618" i="26"/>
  <c r="AD617" i="26"/>
  <c r="AD616" i="26"/>
  <c r="AD615" i="26"/>
  <c r="AD614" i="26"/>
  <c r="AD613" i="26"/>
  <c r="AD612" i="26"/>
  <c r="AD611" i="26"/>
  <c r="AD610" i="26"/>
  <c r="AD609" i="26"/>
  <c r="AD608" i="26"/>
  <c r="AD607" i="26"/>
  <c r="AD606" i="26"/>
  <c r="AD605" i="26"/>
  <c r="AD604" i="26"/>
  <c r="AD603" i="26"/>
  <c r="AD602" i="26"/>
  <c r="AD601" i="26"/>
  <c r="AD600" i="26"/>
  <c r="AD599" i="26"/>
  <c r="AD598" i="26"/>
  <c r="AD597" i="26"/>
  <c r="AD596" i="26"/>
  <c r="AD595" i="26"/>
  <c r="AD594" i="26"/>
  <c r="AD593" i="26"/>
  <c r="AD592" i="26"/>
  <c r="AD591" i="26"/>
  <c r="AD590" i="26"/>
  <c r="AD589" i="26"/>
  <c r="AD588" i="26"/>
  <c r="AD587" i="26"/>
  <c r="AD586" i="26"/>
  <c r="AD585" i="26"/>
  <c r="AD584" i="26"/>
  <c r="AD583" i="26"/>
  <c r="AD582" i="26"/>
  <c r="AD581" i="26"/>
  <c r="AD580" i="26"/>
  <c r="AD579" i="26"/>
  <c r="AD578" i="26"/>
  <c r="AD577" i="26"/>
  <c r="AD576" i="26"/>
  <c r="AD575" i="26"/>
  <c r="AD574" i="26"/>
  <c r="AD573" i="26"/>
  <c r="AD572" i="26"/>
  <c r="AD571" i="26"/>
  <c r="AD570" i="26"/>
  <c r="AD569" i="26"/>
  <c r="AD568" i="26"/>
  <c r="AD567" i="26"/>
  <c r="AD566" i="26"/>
  <c r="AD565" i="26"/>
  <c r="AD564" i="26"/>
  <c r="AD563" i="26"/>
  <c r="AD562" i="26"/>
  <c r="AD561" i="26"/>
  <c r="AD560" i="26"/>
  <c r="AD559" i="26"/>
  <c r="AD558" i="26"/>
  <c r="AD557" i="26"/>
  <c r="AD556" i="26"/>
  <c r="AD555" i="26"/>
  <c r="AD554" i="26"/>
  <c r="AD553" i="26"/>
  <c r="AD552" i="26"/>
  <c r="AD551" i="26"/>
  <c r="AD550" i="26"/>
  <c r="AD549" i="26"/>
  <c r="AD548" i="26"/>
  <c r="AD547" i="26"/>
  <c r="AD546" i="26"/>
  <c r="AD545" i="26"/>
  <c r="AD544" i="26"/>
  <c r="AD543" i="26"/>
  <c r="AD542" i="26"/>
  <c r="AD541" i="26"/>
  <c r="AD540" i="26"/>
  <c r="AD539" i="26"/>
  <c r="AD538" i="26"/>
  <c r="AD537" i="26"/>
  <c r="AD536" i="26"/>
  <c r="AD535" i="26"/>
  <c r="AD534" i="26"/>
  <c r="AD533" i="26"/>
  <c r="AD532" i="26"/>
  <c r="AD531" i="26"/>
  <c r="AD530" i="26"/>
  <c r="AD529" i="26"/>
  <c r="AD528" i="26"/>
  <c r="AD527" i="26"/>
  <c r="AD526" i="26"/>
  <c r="AD525" i="26"/>
  <c r="AD524" i="26"/>
  <c r="AD523" i="26"/>
  <c r="AD522" i="26"/>
  <c r="AD521" i="26"/>
  <c r="AD520" i="26"/>
  <c r="AD519" i="26"/>
  <c r="AD518" i="26"/>
  <c r="AD517" i="26"/>
  <c r="AD516" i="26"/>
  <c r="AD515" i="26"/>
  <c r="AD514" i="26"/>
  <c r="AD513" i="26"/>
  <c r="AD512" i="26"/>
  <c r="AD511" i="26"/>
  <c r="AD510" i="26"/>
  <c r="AD509" i="26"/>
  <c r="AD508" i="26"/>
  <c r="AD507" i="26"/>
  <c r="AD506" i="26"/>
  <c r="AD505" i="26"/>
  <c r="AD504" i="26"/>
  <c r="AD503" i="26"/>
  <c r="AD502" i="26"/>
  <c r="AD501" i="26"/>
  <c r="AD500" i="26"/>
  <c r="AD499" i="26"/>
  <c r="AD498" i="26"/>
  <c r="AD497" i="26"/>
  <c r="AD496" i="26"/>
  <c r="AD495" i="26"/>
  <c r="AD494" i="26"/>
  <c r="AD493" i="26"/>
  <c r="AD492" i="26"/>
  <c r="AD491" i="26"/>
  <c r="AD490" i="26"/>
  <c r="AD489" i="26"/>
  <c r="AD488" i="26"/>
  <c r="AD487" i="26"/>
  <c r="AD486" i="26"/>
  <c r="AD485" i="26"/>
  <c r="AD484" i="26"/>
  <c r="AD483" i="26"/>
  <c r="AD482" i="26"/>
  <c r="AD481" i="26"/>
  <c r="AD480" i="26"/>
  <c r="AD479" i="26"/>
  <c r="AD478" i="26"/>
  <c r="AD477" i="26"/>
  <c r="AD476" i="26"/>
  <c r="AD475" i="26"/>
  <c r="AD474" i="26"/>
  <c r="AD473" i="26"/>
  <c r="AD472" i="26"/>
  <c r="AD471" i="26"/>
  <c r="AD470" i="26"/>
  <c r="AD469" i="26"/>
  <c r="AD468" i="26"/>
  <c r="AD467" i="26"/>
  <c r="AD466" i="26"/>
  <c r="AD465" i="26"/>
  <c r="AD464" i="26"/>
  <c r="AD463" i="26"/>
  <c r="AD462" i="26"/>
  <c r="AD461" i="26"/>
  <c r="AD460" i="26"/>
  <c r="AD459" i="26"/>
  <c r="AD458" i="26"/>
  <c r="AD457" i="26"/>
  <c r="AD456" i="26"/>
  <c r="AD455" i="26"/>
  <c r="AD454" i="26"/>
  <c r="AD453" i="26"/>
  <c r="AD452" i="26"/>
  <c r="AD451" i="26"/>
  <c r="AD450" i="26"/>
  <c r="AD449" i="26"/>
  <c r="AD448" i="26"/>
  <c r="AD447" i="26"/>
  <c r="AD446" i="26"/>
  <c r="AD445" i="26"/>
  <c r="AD444" i="26"/>
  <c r="AD443" i="26"/>
  <c r="AD442" i="26"/>
  <c r="AD441" i="26"/>
  <c r="AD440" i="26"/>
  <c r="AD439" i="26"/>
  <c r="AD438" i="26"/>
  <c r="AD437" i="26"/>
  <c r="AD436" i="26"/>
  <c r="AD435" i="26"/>
  <c r="AD434" i="26"/>
  <c r="AD433" i="26"/>
  <c r="AD432" i="26"/>
  <c r="AD431" i="26"/>
  <c r="AD430" i="26"/>
  <c r="AD429" i="26"/>
  <c r="AD428" i="26"/>
  <c r="AD427" i="26"/>
  <c r="AD426" i="26"/>
  <c r="AD425" i="26"/>
  <c r="AD424" i="26"/>
  <c r="AD423" i="26"/>
  <c r="AD422" i="26"/>
  <c r="AD421" i="26"/>
  <c r="AD420" i="26"/>
  <c r="AD419" i="26"/>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AD96"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AD64" i="26"/>
  <c r="AD63" i="26"/>
  <c r="AD62" i="26"/>
  <c r="AD61" i="26"/>
  <c r="AD60" i="26"/>
  <c r="AD59" i="26"/>
  <c r="AD58" i="26"/>
  <c r="AD57" i="26"/>
  <c r="AD56" i="26"/>
  <c r="AD55" i="26"/>
  <c r="AD54" i="26"/>
  <c r="AD53" i="26"/>
  <c r="AD52" i="26"/>
  <c r="AD51" i="26"/>
  <c r="AD50" i="26"/>
  <c r="AD49" i="26"/>
  <c r="AD48" i="26"/>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E1444" i="26"/>
  <c r="AE1443" i="26"/>
  <c r="AE1442" i="26"/>
  <c r="AE1441" i="26"/>
  <c r="AE1440" i="26"/>
  <c r="AE1439" i="26"/>
  <c r="AE1438" i="26"/>
  <c r="AE1437" i="26"/>
  <c r="AE1436" i="26"/>
  <c r="AE1435" i="26"/>
  <c r="AE1434" i="26"/>
  <c r="AE1433" i="26"/>
  <c r="AE1432" i="26"/>
  <c r="AE1431" i="26"/>
  <c r="AE1430" i="26"/>
  <c r="AE1429" i="26"/>
  <c r="AE1428" i="26"/>
  <c r="AE1427" i="26"/>
  <c r="AE1426" i="26"/>
  <c r="AE1425" i="26"/>
  <c r="AE1424" i="26"/>
  <c r="AE1423" i="26"/>
  <c r="AE1422" i="26"/>
  <c r="AE1421" i="26"/>
  <c r="AE1420" i="26"/>
  <c r="AE1419" i="26"/>
  <c r="AE1418" i="26"/>
  <c r="AE1417" i="26"/>
  <c r="AE1416" i="26"/>
  <c r="AE1415" i="26"/>
  <c r="AE1414" i="26"/>
  <c r="AE1413" i="26"/>
  <c r="AE1412" i="26"/>
  <c r="AE1411" i="26"/>
  <c r="AE1410" i="26"/>
  <c r="AE1409" i="26"/>
  <c r="AE1408" i="26"/>
  <c r="AE1407" i="26"/>
  <c r="AE1406" i="26"/>
  <c r="AE1405" i="26"/>
  <c r="AE1404" i="26"/>
  <c r="AE1403" i="26"/>
  <c r="AE1402" i="26"/>
  <c r="AE1401" i="26"/>
  <c r="AE1400" i="26"/>
  <c r="AE1399" i="26"/>
  <c r="AE1398" i="26"/>
  <c r="AE1397" i="26"/>
  <c r="AE1396" i="26"/>
  <c r="AE1395" i="26"/>
  <c r="AE1394" i="26"/>
  <c r="AE1393" i="26"/>
  <c r="AE1392" i="26"/>
  <c r="AE1391" i="26"/>
  <c r="AE1390" i="26"/>
  <c r="AE1389" i="26"/>
  <c r="AE1388" i="26"/>
  <c r="AE1387" i="26"/>
  <c r="AE1386" i="26"/>
  <c r="AE1385" i="26"/>
  <c r="AE1384" i="26"/>
  <c r="AE1383" i="26"/>
  <c r="AE1382" i="26"/>
  <c r="AE1381" i="26"/>
  <c r="AE1380" i="26"/>
  <c r="AE1379" i="26"/>
  <c r="AE1378" i="26"/>
  <c r="AE1377" i="26"/>
  <c r="AE1376" i="26"/>
  <c r="AE1375" i="26"/>
  <c r="AE1374" i="26"/>
  <c r="AE1373" i="26"/>
  <c r="AE1372" i="26"/>
  <c r="AE1371" i="26"/>
  <c r="AE1370" i="26"/>
  <c r="AE1369" i="26"/>
  <c r="AE1368" i="26"/>
  <c r="AE1367" i="26"/>
  <c r="AE1366" i="26"/>
  <c r="AE1365" i="26"/>
  <c r="AE1364" i="26"/>
  <c r="AE1363" i="26"/>
  <c r="AE1362" i="26"/>
  <c r="AE1361" i="26"/>
  <c r="AE1360" i="26"/>
  <c r="AE1359" i="26"/>
  <c r="AE1358" i="26"/>
  <c r="AE1357" i="26"/>
  <c r="AE1356" i="26"/>
  <c r="AE1355" i="26"/>
  <c r="AE1354" i="26"/>
  <c r="AE1353" i="26"/>
  <c r="AE1352" i="26"/>
  <c r="AE1351" i="26"/>
  <c r="AE1350" i="26"/>
  <c r="AE1349" i="26"/>
  <c r="AE1348" i="26"/>
  <c r="AE1347" i="26"/>
  <c r="AE1346" i="26"/>
  <c r="AE1345" i="26"/>
  <c r="AE1344" i="26"/>
  <c r="AE1343" i="26"/>
  <c r="AE1342" i="26"/>
  <c r="AE1341" i="26"/>
  <c r="AE1340" i="26"/>
  <c r="AE1339" i="26"/>
  <c r="AE1338" i="26"/>
  <c r="AE1337" i="26"/>
  <c r="AE1336" i="26"/>
  <c r="AE1335" i="26"/>
  <c r="AE1334" i="26"/>
  <c r="AE1333" i="26"/>
  <c r="AE1332" i="26"/>
  <c r="AE1331" i="26"/>
  <c r="AE1330" i="26"/>
  <c r="AE1329" i="26"/>
  <c r="AE1328" i="26"/>
  <c r="AE1327" i="26"/>
  <c r="AE1326" i="26"/>
  <c r="AE1325" i="26"/>
  <c r="AE1324" i="26"/>
  <c r="AE1323" i="26"/>
  <c r="AE1322" i="26"/>
  <c r="AE1321" i="26"/>
  <c r="AE1320" i="26"/>
  <c r="AE1319" i="26"/>
  <c r="AE1318" i="26"/>
  <c r="AE1317" i="26"/>
  <c r="AE1316" i="26"/>
  <c r="AE1315" i="26"/>
  <c r="AE1314" i="26"/>
  <c r="AE1313" i="26"/>
  <c r="AE1312" i="26"/>
  <c r="AE1311" i="26"/>
  <c r="AE1310" i="26"/>
  <c r="AE1309" i="26"/>
  <c r="AE1308" i="26"/>
  <c r="AE1307" i="26"/>
  <c r="AE1306" i="26"/>
  <c r="AE1305" i="26"/>
  <c r="AE1304" i="26"/>
  <c r="AE1303" i="26"/>
  <c r="AE1302" i="26"/>
  <c r="AE1301" i="26"/>
  <c r="AE1300" i="26"/>
  <c r="AE1299" i="26"/>
  <c r="AE1298" i="26"/>
  <c r="AE1297" i="26"/>
  <c r="AE1296" i="26"/>
  <c r="AE1295" i="26"/>
  <c r="AE1294" i="26"/>
  <c r="AE1293" i="26"/>
  <c r="AE1292" i="26"/>
  <c r="AE1291" i="26"/>
  <c r="AE1290" i="26"/>
  <c r="AE1289" i="26"/>
  <c r="AE1288" i="26"/>
  <c r="AE1287" i="26"/>
  <c r="AE1286" i="26"/>
  <c r="AE1285" i="26"/>
  <c r="AE1284" i="26"/>
  <c r="AE1283" i="26"/>
  <c r="AE1282" i="26"/>
  <c r="AE1281" i="26"/>
  <c r="AE1280" i="26"/>
  <c r="AE1279" i="26"/>
  <c r="AE1278" i="26"/>
  <c r="AE1277" i="26"/>
  <c r="AE1276" i="26"/>
  <c r="AE1275" i="26"/>
  <c r="AE1274" i="26"/>
  <c r="AE1273" i="26"/>
  <c r="AE1272" i="26"/>
  <c r="AE1271" i="26"/>
  <c r="AE1270" i="26"/>
  <c r="AE1269" i="26"/>
  <c r="AE1268" i="26"/>
  <c r="AE1267" i="26"/>
  <c r="AE1266" i="26"/>
  <c r="AE1265" i="26"/>
  <c r="AE1264" i="26"/>
  <c r="AE1263" i="26"/>
  <c r="AE1262" i="26"/>
  <c r="AE1261" i="26"/>
  <c r="AE1260" i="26"/>
  <c r="AE1259" i="26"/>
  <c r="AE1258" i="26"/>
  <c r="AE1257" i="26"/>
  <c r="AE1256" i="26"/>
  <c r="AE1255" i="26"/>
  <c r="AE1254" i="26"/>
  <c r="AE1253" i="26"/>
  <c r="AE1252" i="26"/>
  <c r="AE1251" i="26"/>
  <c r="AE1250" i="26"/>
  <c r="AE1249" i="26"/>
  <c r="AE1248" i="26"/>
  <c r="AE1247" i="26"/>
  <c r="AE1246" i="26"/>
  <c r="AE1245" i="26"/>
  <c r="AE1244" i="26"/>
  <c r="AE1243" i="26"/>
  <c r="AE1242" i="26"/>
  <c r="AE1241" i="26"/>
  <c r="AE1240" i="26"/>
  <c r="AE1239" i="26"/>
  <c r="AE1238" i="26"/>
  <c r="AE1237" i="26"/>
  <c r="AE1236" i="26"/>
  <c r="AE1235" i="26"/>
  <c r="AE1234" i="26"/>
  <c r="AE1233" i="26"/>
  <c r="AE1232" i="26"/>
  <c r="AE1231" i="26"/>
  <c r="AE1230" i="26"/>
  <c r="AE1229" i="26"/>
  <c r="AE1228" i="26"/>
  <c r="AE1227" i="26"/>
  <c r="AE1226" i="26"/>
  <c r="AE1225" i="26"/>
  <c r="AE1224" i="26"/>
  <c r="AE1223" i="26"/>
  <c r="AE1222" i="26"/>
  <c r="AE1221" i="26"/>
  <c r="AE1220" i="26"/>
  <c r="AE1219" i="26"/>
  <c r="AE1218" i="26"/>
  <c r="AE1217" i="26"/>
  <c r="AE1216" i="26"/>
  <c r="AE1215" i="26"/>
  <c r="AE1214" i="26"/>
  <c r="AE1213" i="26"/>
  <c r="AE1212" i="26"/>
  <c r="AE1211" i="26"/>
  <c r="AE1210" i="26"/>
  <c r="AE1209" i="26"/>
  <c r="AE1208" i="26"/>
  <c r="AE1207" i="26"/>
  <c r="AE1206" i="26"/>
  <c r="AE1205" i="26"/>
  <c r="AE1204" i="26"/>
  <c r="AE1203" i="26"/>
  <c r="AE1202" i="26"/>
  <c r="AE1201" i="26"/>
  <c r="AE1200" i="26"/>
  <c r="AE1199" i="26"/>
  <c r="AE1198" i="26"/>
  <c r="AE1197" i="26"/>
  <c r="AE1196" i="26"/>
  <c r="AE1195" i="26"/>
  <c r="AE1194" i="26"/>
  <c r="AE1193" i="26"/>
  <c r="AE1192" i="26"/>
  <c r="AE1191" i="26"/>
  <c r="AE1190" i="26"/>
  <c r="AE1189" i="26"/>
  <c r="AE1188" i="26"/>
  <c r="AE1187" i="26"/>
  <c r="AE1186" i="26"/>
  <c r="AE1185" i="26"/>
  <c r="AE1184" i="26"/>
  <c r="AE1183" i="26"/>
  <c r="AE1182" i="26"/>
  <c r="AE1181" i="26"/>
  <c r="AE1180" i="26"/>
  <c r="AE1179" i="26"/>
  <c r="AE1178" i="26"/>
  <c r="AE1177" i="26"/>
  <c r="AE1176" i="26"/>
  <c r="AE1175" i="26"/>
  <c r="AE1174" i="26"/>
  <c r="AE1173" i="26"/>
  <c r="AE1172" i="26"/>
  <c r="AE1171" i="26"/>
  <c r="AE1170" i="26"/>
  <c r="AE1169" i="26"/>
  <c r="AE1168" i="26"/>
  <c r="AE1167" i="26"/>
  <c r="AE1166" i="26"/>
  <c r="AE1165" i="26"/>
  <c r="AE1164" i="26"/>
  <c r="AE1163" i="26"/>
  <c r="AE1162" i="26"/>
  <c r="AE1161" i="26"/>
  <c r="AE1160" i="26"/>
  <c r="AE1159" i="26"/>
  <c r="AE1158" i="26"/>
  <c r="AE1157" i="26"/>
  <c r="AE1156" i="26"/>
  <c r="AE1155" i="26"/>
  <c r="AE1154" i="26"/>
  <c r="AE1153" i="26"/>
  <c r="AE1152" i="26"/>
  <c r="AE1151" i="26"/>
  <c r="AE1150" i="26"/>
  <c r="AE1149" i="26"/>
  <c r="AE1148" i="26"/>
  <c r="AE1147" i="26"/>
  <c r="AE1146" i="26"/>
  <c r="AE1145" i="26"/>
  <c r="AE1144" i="26"/>
  <c r="AE1143" i="26"/>
  <c r="AE1142" i="26"/>
  <c r="AE1141" i="26"/>
  <c r="AE1140" i="26"/>
  <c r="AE1139" i="26"/>
  <c r="AE1138" i="26"/>
  <c r="AE1137" i="26"/>
  <c r="AE1136" i="26"/>
  <c r="AE1135" i="26"/>
  <c r="AE1134" i="26"/>
  <c r="AE1133" i="26"/>
  <c r="AE1132" i="26"/>
  <c r="AE1131" i="26"/>
  <c r="AE1130" i="26"/>
  <c r="AE1129" i="26"/>
  <c r="AE1128" i="26"/>
  <c r="AE1127" i="26"/>
  <c r="AE1126" i="26"/>
  <c r="AE1125" i="26"/>
  <c r="AE1124" i="26"/>
  <c r="AE1123" i="26"/>
  <c r="AE1122" i="26"/>
  <c r="AE1121" i="26"/>
  <c r="AE1120" i="26"/>
  <c r="AE1119" i="26"/>
  <c r="AE1118" i="26"/>
  <c r="AE1117" i="26"/>
  <c r="AE1116" i="26"/>
  <c r="AE1115" i="26"/>
  <c r="AE1114" i="26"/>
  <c r="AE1113" i="26"/>
  <c r="AE1112" i="26"/>
  <c r="AE1111" i="26"/>
  <c r="AE1110" i="26"/>
  <c r="AE1109" i="26"/>
  <c r="AE1108" i="26"/>
  <c r="AE1107" i="26"/>
  <c r="AE1106" i="26"/>
  <c r="AE1105" i="26"/>
  <c r="AE1104" i="26"/>
  <c r="AE1103" i="26"/>
  <c r="AE1102" i="26"/>
  <c r="AE1101" i="26"/>
  <c r="AE1100" i="26"/>
  <c r="AE1099" i="26"/>
  <c r="AE1098" i="26"/>
  <c r="AE1097" i="26"/>
  <c r="AE1096" i="26"/>
  <c r="AE1095" i="26"/>
  <c r="AE1094" i="26"/>
  <c r="AE1093" i="26"/>
  <c r="AE1092" i="26"/>
  <c r="AE1091" i="26"/>
  <c r="AE1090" i="26"/>
  <c r="AE1089" i="26"/>
  <c r="AE1088" i="26"/>
  <c r="AE1087" i="26"/>
  <c r="AE1086" i="26"/>
  <c r="AE1085" i="26"/>
  <c r="AE1084" i="26"/>
  <c r="AE1083" i="26"/>
  <c r="AE1082" i="26"/>
  <c r="AE1081" i="26"/>
  <c r="AE1080" i="26"/>
  <c r="AE1079" i="26"/>
  <c r="AE1078" i="26"/>
  <c r="AE1077" i="26"/>
  <c r="AE1076" i="26"/>
  <c r="AE1075" i="26"/>
  <c r="AE1074" i="26"/>
  <c r="AE1073" i="26"/>
  <c r="AE1072" i="26"/>
  <c r="AE1071" i="26"/>
  <c r="AE1070" i="26"/>
  <c r="AE1069" i="26"/>
  <c r="AE1068" i="26"/>
  <c r="AE1067" i="26"/>
  <c r="AE1066" i="26"/>
  <c r="AE1065" i="26"/>
  <c r="AE1064" i="26"/>
  <c r="AE1063" i="26"/>
  <c r="AE1062" i="26"/>
  <c r="AE1061" i="26"/>
  <c r="AE1060" i="26"/>
  <c r="AE1059" i="26"/>
  <c r="AE1058" i="26"/>
  <c r="AE1057" i="26"/>
  <c r="AE1056" i="26"/>
  <c r="AE1055" i="26"/>
  <c r="AE1054" i="26"/>
  <c r="AE1053" i="26"/>
  <c r="AE1052" i="26"/>
  <c r="AE1051" i="26"/>
  <c r="AE1050" i="26"/>
  <c r="AE1049" i="26"/>
  <c r="AE1048" i="26"/>
  <c r="AE1047" i="26"/>
  <c r="AE1046" i="26"/>
  <c r="AE1045" i="26"/>
  <c r="AE1044" i="26"/>
  <c r="AE1043" i="26"/>
  <c r="AE1042" i="26"/>
  <c r="AE1041" i="26"/>
  <c r="AE1040" i="26"/>
  <c r="AE1039" i="26"/>
  <c r="AE1038" i="26"/>
  <c r="AE1037" i="26"/>
  <c r="AE1036" i="26"/>
  <c r="AE1035" i="26"/>
  <c r="AE1034" i="26"/>
  <c r="AE1033" i="26"/>
  <c r="AE1032" i="26"/>
  <c r="AE1031" i="26"/>
  <c r="AE1030" i="26"/>
  <c r="AE1029" i="26"/>
  <c r="AE1028" i="26"/>
  <c r="AE1027" i="26"/>
  <c r="AE1026" i="26"/>
  <c r="AE1025" i="26"/>
  <c r="AE1024" i="26"/>
  <c r="AE1023" i="26"/>
  <c r="AE1022" i="26"/>
  <c r="AE1021" i="26"/>
  <c r="AE1020" i="26"/>
  <c r="AE1019" i="26"/>
  <c r="AE1018" i="26"/>
  <c r="AE1017" i="26"/>
  <c r="AE1016" i="26"/>
  <c r="AE1015" i="26"/>
  <c r="AE1014" i="26"/>
  <c r="AE1013" i="26"/>
  <c r="AE1012" i="26"/>
  <c r="AE1011" i="26"/>
  <c r="AE1010" i="26"/>
  <c r="AE1009" i="26"/>
  <c r="AE1008" i="26"/>
  <c r="AE1007" i="26"/>
  <c r="AE1006" i="26"/>
  <c r="AE1005" i="26"/>
  <c r="AE1004" i="26"/>
  <c r="AE1003" i="26"/>
  <c r="AE1002" i="26"/>
  <c r="AE1001" i="26"/>
  <c r="AE1000" i="26"/>
  <c r="AE999" i="26"/>
  <c r="AE998" i="26"/>
  <c r="AE997" i="26"/>
  <c r="AE996" i="26"/>
  <c r="AE995" i="26"/>
  <c r="AE994" i="26"/>
  <c r="AE993" i="26"/>
  <c r="AE992" i="26"/>
  <c r="AE991" i="26"/>
  <c r="AE990" i="26"/>
  <c r="AE989" i="26"/>
  <c r="AE988" i="26"/>
  <c r="AE987" i="26"/>
  <c r="AE986" i="26"/>
  <c r="AE985" i="26"/>
  <c r="AE984" i="26"/>
  <c r="AE983" i="26"/>
  <c r="AE982" i="26"/>
  <c r="AE981" i="26"/>
  <c r="AE980" i="26"/>
  <c r="AE979" i="26"/>
  <c r="AE978" i="26"/>
  <c r="AE977" i="26"/>
  <c r="AE976" i="26"/>
  <c r="AE975" i="26"/>
  <c r="AE974" i="26"/>
  <c r="AE973" i="26"/>
  <c r="AE972" i="26"/>
  <c r="AE971" i="26"/>
  <c r="AE970" i="26"/>
  <c r="AE969" i="26"/>
  <c r="AE968" i="26"/>
  <c r="AE967" i="26"/>
  <c r="AE966" i="26"/>
  <c r="AE965" i="26"/>
  <c r="AE964" i="26"/>
  <c r="AE963" i="26"/>
  <c r="AE962" i="26"/>
  <c r="AE961" i="26"/>
  <c r="AE960" i="26"/>
  <c r="AE959" i="26"/>
  <c r="AE958" i="26"/>
  <c r="AE957" i="26"/>
  <c r="AE956" i="26"/>
  <c r="AE955" i="26"/>
  <c r="AE954" i="26"/>
  <c r="AE953" i="26"/>
  <c r="AE952" i="26"/>
  <c r="AE951" i="26"/>
  <c r="AE950" i="26"/>
  <c r="AE949" i="26"/>
  <c r="AE948" i="26"/>
  <c r="AE947" i="26"/>
  <c r="AE946" i="26"/>
  <c r="AE945" i="26"/>
  <c r="AE944" i="26"/>
  <c r="AE943" i="26"/>
  <c r="AE942" i="26"/>
  <c r="AE941" i="26"/>
  <c r="AE940" i="26"/>
  <c r="AE939" i="26"/>
  <c r="AE938" i="26"/>
  <c r="AE937" i="26"/>
  <c r="AE936" i="26"/>
  <c r="AE935" i="26"/>
  <c r="AE934" i="26"/>
  <c r="AE933" i="26"/>
  <c r="AE932" i="26"/>
  <c r="AE931" i="26"/>
  <c r="AE930" i="26"/>
  <c r="AE929" i="26"/>
  <c r="AE928" i="26"/>
  <c r="AE927" i="26"/>
  <c r="AE926" i="26"/>
  <c r="AE925" i="26"/>
  <c r="AE924" i="26"/>
  <c r="AE923" i="26"/>
  <c r="AE922" i="26"/>
  <c r="AE921" i="26"/>
  <c r="AE920" i="26"/>
  <c r="AE919" i="26"/>
  <c r="AE918" i="26"/>
  <c r="AE917" i="26"/>
  <c r="AE916" i="26"/>
  <c r="AE915" i="26"/>
  <c r="AE914" i="26"/>
  <c r="AE913" i="26"/>
  <c r="AE912" i="26"/>
  <c r="AE911" i="26"/>
  <c r="AE910" i="26"/>
  <c r="AE909" i="26"/>
  <c r="AE908" i="26"/>
  <c r="AE907" i="26"/>
  <c r="AE906" i="26"/>
  <c r="AE905" i="26"/>
  <c r="AE904" i="26"/>
  <c r="AE903" i="26"/>
  <c r="AE902" i="26"/>
  <c r="AE901" i="26"/>
  <c r="AE900" i="26"/>
  <c r="AE899" i="26"/>
  <c r="AE898" i="26"/>
  <c r="AE897" i="26"/>
  <c r="AE896" i="26"/>
  <c r="AE895" i="26"/>
  <c r="AE894" i="26"/>
  <c r="AE893" i="26"/>
  <c r="AE892" i="26"/>
  <c r="AE891" i="26"/>
  <c r="AE890" i="26"/>
  <c r="AE889" i="26"/>
  <c r="AE888" i="26"/>
  <c r="AE887" i="26"/>
  <c r="AE886" i="26"/>
  <c r="AE885" i="26"/>
  <c r="AE884" i="26"/>
  <c r="AE883" i="26"/>
  <c r="AE882" i="26"/>
  <c r="AE881" i="26"/>
  <c r="AE880" i="26"/>
  <c r="AE879" i="26"/>
  <c r="AE878" i="26"/>
  <c r="AE877" i="26"/>
  <c r="AE876" i="26"/>
  <c r="AE875" i="26"/>
  <c r="AE874" i="26"/>
  <c r="AE873" i="26"/>
  <c r="AE872" i="26"/>
  <c r="AE871" i="26"/>
  <c r="AE870" i="26"/>
  <c r="AE869" i="26"/>
  <c r="AE868" i="26"/>
  <c r="AE867" i="26"/>
  <c r="AE866" i="26"/>
  <c r="AE865" i="26"/>
  <c r="AE864" i="26"/>
  <c r="AE863" i="26"/>
  <c r="AE862" i="26"/>
  <c r="AE861" i="26"/>
  <c r="AE860" i="26"/>
  <c r="AE859" i="26"/>
  <c r="AE858" i="26"/>
  <c r="AE857" i="26"/>
  <c r="AE856" i="26"/>
  <c r="AE855" i="26"/>
  <c r="AE854" i="26"/>
  <c r="AE853" i="26"/>
  <c r="AE852" i="26"/>
  <c r="AE851" i="26"/>
  <c r="AE850" i="26"/>
  <c r="AE849" i="26"/>
  <c r="AE848" i="26"/>
  <c r="AE847" i="26"/>
  <c r="AE846" i="26"/>
  <c r="AE845" i="26"/>
  <c r="AE844" i="26"/>
  <c r="AE843" i="26"/>
  <c r="AE842" i="26"/>
  <c r="AE841" i="26"/>
  <c r="AE840" i="26"/>
  <c r="AE839" i="26"/>
  <c r="AE838" i="26"/>
  <c r="AE837" i="26"/>
  <c r="AE836" i="26"/>
  <c r="AE835" i="26"/>
  <c r="AE834" i="26"/>
  <c r="AE833" i="26"/>
  <c r="AE832" i="26"/>
  <c r="AE831" i="26"/>
  <c r="AE830" i="26"/>
  <c r="AE829" i="26"/>
  <c r="AE828" i="26"/>
  <c r="AE827" i="26"/>
  <c r="AE826" i="26"/>
  <c r="AE825" i="26"/>
  <c r="AE824" i="26"/>
  <c r="AE823" i="26"/>
  <c r="AE822" i="26"/>
  <c r="AE821" i="26"/>
  <c r="AE820" i="26"/>
  <c r="AE819" i="26"/>
  <c r="AE818" i="26"/>
  <c r="AE817" i="26"/>
  <c r="AE816" i="26"/>
  <c r="AE815" i="26"/>
  <c r="AE814" i="26"/>
  <c r="AE813" i="26"/>
  <c r="AE812" i="26"/>
  <c r="AE811" i="26"/>
  <c r="AE810" i="26"/>
  <c r="AE809" i="26"/>
  <c r="AE808" i="26"/>
  <c r="AE807" i="26"/>
  <c r="AE806" i="26"/>
  <c r="AE805" i="26"/>
  <c r="AE804" i="26"/>
  <c r="AE803" i="26"/>
  <c r="AE802" i="26"/>
  <c r="AE801" i="26"/>
  <c r="AE800" i="26"/>
  <c r="AE799" i="26"/>
  <c r="AE798" i="26"/>
  <c r="AE797" i="26"/>
  <c r="AE796" i="26"/>
  <c r="AE795" i="26"/>
  <c r="AE794" i="26"/>
  <c r="AE793" i="26"/>
  <c r="AE792" i="26"/>
  <c r="AE791" i="26"/>
  <c r="AE790" i="26"/>
  <c r="AE789" i="26"/>
  <c r="AE788" i="26"/>
  <c r="AE787" i="26"/>
  <c r="AE786" i="26"/>
  <c r="AE785" i="26"/>
  <c r="AE784" i="26"/>
  <c r="AE783" i="26"/>
  <c r="AE782" i="26"/>
  <c r="AE781" i="26"/>
  <c r="AE780" i="26"/>
  <c r="AE779" i="26"/>
  <c r="AE778" i="26"/>
  <c r="AE777" i="26"/>
  <c r="AE776" i="26"/>
  <c r="AE775" i="26"/>
  <c r="AE774" i="26"/>
  <c r="AE773" i="26"/>
  <c r="AE772" i="26"/>
  <c r="AE771" i="26"/>
  <c r="AE770" i="26"/>
  <c r="AE769" i="26"/>
  <c r="AE768" i="26"/>
  <c r="AE767" i="26"/>
  <c r="AE766" i="26"/>
  <c r="AE765" i="26"/>
  <c r="AE764" i="26"/>
  <c r="AE763" i="26"/>
  <c r="AE762" i="26"/>
  <c r="AE761" i="26"/>
  <c r="AE760" i="26"/>
  <c r="AE759" i="26"/>
  <c r="AE758" i="26"/>
  <c r="AE757" i="26"/>
  <c r="AE756" i="26"/>
  <c r="AE755" i="26"/>
  <c r="AE754" i="26"/>
  <c r="AE753" i="26"/>
  <c r="AE752" i="26"/>
  <c r="AE751" i="26"/>
  <c r="AE750" i="26"/>
  <c r="AE749" i="26"/>
  <c r="AE748" i="26"/>
  <c r="AE747" i="26"/>
  <c r="AE746" i="26"/>
  <c r="AE745" i="26"/>
  <c r="AE744" i="26"/>
  <c r="AE743" i="26"/>
  <c r="AE742" i="26"/>
  <c r="AE741" i="26"/>
  <c r="AE740" i="26"/>
  <c r="AE739" i="26"/>
  <c r="AE738" i="26"/>
  <c r="AE737" i="26"/>
  <c r="AE736" i="26"/>
  <c r="AE735" i="26"/>
  <c r="AE734" i="26"/>
  <c r="AE733" i="26"/>
  <c r="AE732" i="26"/>
  <c r="AE731" i="26"/>
  <c r="AE730" i="26"/>
  <c r="AE729" i="26"/>
  <c r="AE728" i="26"/>
  <c r="AE727" i="26"/>
  <c r="AE726" i="26"/>
  <c r="AE725" i="26"/>
  <c r="AE724" i="26"/>
  <c r="AE723" i="26"/>
  <c r="AE722" i="26"/>
  <c r="AE721" i="26"/>
  <c r="AE720" i="26"/>
  <c r="AE719" i="26"/>
  <c r="AE718" i="26"/>
  <c r="AE717" i="26"/>
  <c r="AE716" i="26"/>
  <c r="AE715" i="26"/>
  <c r="AE714" i="26"/>
  <c r="AE713" i="26"/>
  <c r="AE712" i="26"/>
  <c r="AE711" i="26"/>
  <c r="AE710" i="26"/>
  <c r="AE709" i="26"/>
  <c r="AE708" i="26"/>
  <c r="AE707" i="26"/>
  <c r="AE706" i="26"/>
  <c r="AE705" i="26"/>
  <c r="AE704" i="26"/>
  <c r="AE703" i="26"/>
  <c r="AE702" i="26"/>
  <c r="AE701" i="26"/>
  <c r="AE700" i="26"/>
  <c r="AE699" i="26"/>
  <c r="AE698" i="26"/>
  <c r="AE697" i="26"/>
  <c r="AE696" i="26"/>
  <c r="AE695" i="26"/>
  <c r="AE694" i="26"/>
  <c r="AE693" i="26"/>
  <c r="AE692" i="26"/>
  <c r="AE691" i="26"/>
  <c r="AE690" i="26"/>
  <c r="AE689" i="26"/>
  <c r="AE688" i="26"/>
  <c r="AE687" i="26"/>
  <c r="AE686" i="26"/>
  <c r="AE685" i="26"/>
  <c r="AE684" i="26"/>
  <c r="AE683" i="26"/>
  <c r="AE682" i="26"/>
  <c r="AE681" i="26"/>
  <c r="AE680" i="26"/>
  <c r="AE679" i="26"/>
  <c r="AE678" i="26"/>
  <c r="AE677" i="26"/>
  <c r="AE676" i="26"/>
  <c r="AE675" i="26"/>
  <c r="AE674" i="26"/>
  <c r="AE673" i="26"/>
  <c r="AE672" i="26"/>
  <c r="AE671" i="26"/>
  <c r="AE670" i="26"/>
  <c r="AE669" i="26"/>
  <c r="AE668" i="26"/>
  <c r="AE667" i="26"/>
  <c r="AE666" i="26"/>
  <c r="AE665" i="26"/>
  <c r="AE664" i="26"/>
  <c r="AE663" i="26"/>
  <c r="AE662" i="26"/>
  <c r="AE661" i="26"/>
  <c r="AE660" i="26"/>
  <c r="AE659" i="26"/>
  <c r="AE658" i="26"/>
  <c r="AE657" i="26"/>
  <c r="AE656" i="26"/>
  <c r="AE655" i="26"/>
  <c r="AE654" i="26"/>
  <c r="AE653" i="26"/>
  <c r="AE652" i="26"/>
  <c r="AE651" i="26"/>
  <c r="AE650" i="26"/>
  <c r="AE649" i="26"/>
  <c r="AE648" i="26"/>
  <c r="AE647" i="26"/>
  <c r="AE646" i="26"/>
  <c r="AE645" i="26"/>
  <c r="AE644" i="26"/>
  <c r="AE643" i="26"/>
  <c r="AE642" i="26"/>
  <c r="AE641" i="26"/>
  <c r="AE640" i="26"/>
  <c r="AE639" i="26"/>
  <c r="AE638" i="26"/>
  <c r="AE637" i="26"/>
  <c r="AE636" i="26"/>
  <c r="AE635" i="26"/>
  <c r="AE634" i="26"/>
  <c r="AE633" i="26"/>
  <c r="AE632" i="26"/>
  <c r="AE631" i="26"/>
  <c r="AE630" i="26"/>
  <c r="AE629" i="26"/>
  <c r="AE628" i="26"/>
  <c r="AE627" i="26"/>
  <c r="AE626" i="26"/>
  <c r="AE625" i="26"/>
  <c r="AE624" i="26"/>
  <c r="AE623" i="26"/>
  <c r="AE622" i="26"/>
  <c r="AE621" i="26"/>
  <c r="AE620" i="26"/>
  <c r="AE619" i="26"/>
  <c r="AE618" i="26"/>
  <c r="AE617" i="26"/>
  <c r="AE616" i="26"/>
  <c r="AE615" i="26"/>
  <c r="AE614" i="26"/>
  <c r="AE613" i="26"/>
  <c r="AE612" i="26"/>
  <c r="AE611" i="26"/>
  <c r="AE610" i="26"/>
  <c r="AE609" i="26"/>
  <c r="AE608" i="26"/>
  <c r="AE607" i="26"/>
  <c r="AE606" i="26"/>
  <c r="AE605" i="26"/>
  <c r="AE604" i="26"/>
  <c r="AE603" i="26"/>
  <c r="AE602" i="26"/>
  <c r="AE601" i="26"/>
  <c r="AE600" i="26"/>
  <c r="AE599" i="26"/>
  <c r="AE598" i="26"/>
  <c r="AE597" i="26"/>
  <c r="AE596" i="26"/>
  <c r="AE595" i="26"/>
  <c r="AE594" i="26"/>
  <c r="AE593" i="26"/>
  <c r="AE592" i="26"/>
  <c r="AE591" i="26"/>
  <c r="AE590" i="26"/>
  <c r="AE589" i="26"/>
  <c r="AE588" i="26"/>
  <c r="AE587" i="26"/>
  <c r="AE586" i="26"/>
  <c r="AE585" i="26"/>
  <c r="AE584" i="26"/>
  <c r="AE583" i="26"/>
  <c r="AE582" i="26"/>
  <c r="AE581" i="26"/>
  <c r="AE580" i="26"/>
  <c r="AE579" i="26"/>
  <c r="AE578" i="26"/>
  <c r="AE577" i="26"/>
  <c r="AE576" i="26"/>
  <c r="AE575" i="26"/>
  <c r="AE574" i="26"/>
  <c r="AE573" i="26"/>
  <c r="AE572" i="26"/>
  <c r="AE571" i="26"/>
  <c r="AE570" i="26"/>
  <c r="AE569" i="26"/>
  <c r="AE568" i="26"/>
  <c r="AE567" i="26"/>
  <c r="AE566" i="26"/>
  <c r="AE565" i="26"/>
  <c r="AE564" i="26"/>
  <c r="AE563" i="26"/>
  <c r="AE562" i="26"/>
  <c r="AE561" i="26"/>
  <c r="AE560" i="26"/>
  <c r="AE559" i="26"/>
  <c r="AE558" i="26"/>
  <c r="AE557" i="26"/>
  <c r="AE556" i="26"/>
  <c r="AE555" i="26"/>
  <c r="AE554" i="26"/>
  <c r="AE553" i="26"/>
  <c r="AE552" i="26"/>
  <c r="AE551" i="26"/>
  <c r="AE550" i="26"/>
  <c r="AE549" i="26"/>
  <c r="AE548" i="26"/>
  <c r="AE547" i="26"/>
  <c r="AE546" i="26"/>
  <c r="AE545" i="26"/>
  <c r="AE544" i="26"/>
  <c r="AE543" i="26"/>
  <c r="AE542" i="26"/>
  <c r="AE541" i="26"/>
  <c r="AE540" i="26"/>
  <c r="AE539" i="26"/>
  <c r="AE538" i="26"/>
  <c r="AE537" i="26"/>
  <c r="AE536" i="26"/>
  <c r="AE535" i="26"/>
  <c r="AE534" i="26"/>
  <c r="AE533" i="26"/>
  <c r="AE532" i="26"/>
  <c r="AE531" i="26"/>
  <c r="AE530" i="26"/>
  <c r="AE529" i="26"/>
  <c r="AE528" i="26"/>
  <c r="AE527" i="26"/>
  <c r="AE526" i="26"/>
  <c r="AE525" i="26"/>
  <c r="AE524" i="26"/>
  <c r="AE523" i="26"/>
  <c r="AE522" i="26"/>
  <c r="AE521" i="26"/>
  <c r="AE520" i="26"/>
  <c r="AE519" i="26"/>
  <c r="AE518" i="26"/>
  <c r="AE517" i="26"/>
  <c r="AE516" i="26"/>
  <c r="AE515" i="26"/>
  <c r="AE514" i="26"/>
  <c r="AE513" i="26"/>
  <c r="AE512" i="26"/>
  <c r="AE511" i="26"/>
  <c r="AE510" i="26"/>
  <c r="AE509" i="26"/>
  <c r="AE508" i="26"/>
  <c r="AE507" i="26"/>
  <c r="AE506" i="26"/>
  <c r="AE505" i="26"/>
  <c r="AE504" i="26"/>
  <c r="AE503" i="26"/>
  <c r="AE502" i="26"/>
  <c r="AE501" i="26"/>
  <c r="AE500" i="26"/>
  <c r="AE499" i="26"/>
  <c r="AE498" i="26"/>
  <c r="AE497" i="26"/>
  <c r="AE496" i="26"/>
  <c r="AE495" i="26"/>
  <c r="AE494" i="26"/>
  <c r="AE493" i="26"/>
  <c r="AE492" i="26"/>
  <c r="AE491" i="26"/>
  <c r="AE490" i="26"/>
  <c r="AE489" i="26"/>
  <c r="AE488" i="26"/>
  <c r="AE487" i="26"/>
  <c r="AE486" i="26"/>
  <c r="AE485" i="26"/>
  <c r="AE484" i="26"/>
  <c r="AE483" i="26"/>
  <c r="AE482" i="26"/>
  <c r="AE481" i="26"/>
  <c r="AE480" i="26"/>
  <c r="AE479" i="26"/>
  <c r="AE478" i="26"/>
  <c r="AE477" i="26"/>
  <c r="AE476" i="26"/>
  <c r="AE475" i="26"/>
  <c r="AE474" i="26"/>
  <c r="AE473" i="26"/>
  <c r="AE472" i="26"/>
  <c r="AE471" i="26"/>
  <c r="AE470" i="26"/>
  <c r="AE469" i="26"/>
  <c r="AE468" i="26"/>
  <c r="AE467" i="26"/>
  <c r="AE466" i="26"/>
  <c r="AE465" i="26"/>
  <c r="AE464" i="26"/>
  <c r="AE463" i="26"/>
  <c r="AE462" i="26"/>
  <c r="AE461" i="26"/>
  <c r="AE460" i="26"/>
  <c r="AE459" i="26"/>
  <c r="AE458" i="26"/>
  <c r="AE457" i="26"/>
  <c r="AE456" i="26"/>
  <c r="AE455" i="26"/>
  <c r="AE454" i="26"/>
  <c r="AE453" i="26"/>
  <c r="AE452" i="26"/>
  <c r="AE451" i="26"/>
  <c r="AE450" i="26"/>
  <c r="AE449" i="26"/>
  <c r="AE448" i="26"/>
  <c r="AE447" i="26"/>
  <c r="AE446" i="26"/>
  <c r="AE445" i="26"/>
  <c r="AE444" i="26"/>
  <c r="AE443" i="26"/>
  <c r="AE442" i="26"/>
  <c r="AE441" i="26"/>
  <c r="AE440" i="26"/>
  <c r="AE439" i="26"/>
  <c r="AE438" i="26"/>
  <c r="AE437" i="26"/>
  <c r="AE436" i="26"/>
  <c r="AE435" i="26"/>
  <c r="AE434" i="26"/>
  <c r="AE433" i="26"/>
  <c r="AE432" i="26"/>
  <c r="AE431" i="26"/>
  <c r="AE430" i="26"/>
  <c r="AE429" i="26"/>
  <c r="AE428" i="26"/>
  <c r="AE427" i="26"/>
  <c r="AE426" i="26"/>
  <c r="AE425" i="26"/>
  <c r="AE424" i="26"/>
  <c r="AE423" i="26"/>
  <c r="AE422" i="26"/>
  <c r="AE421" i="26"/>
  <c r="AE420" i="26"/>
  <c r="AE419" i="26"/>
  <c r="AE418" i="26"/>
  <c r="AE417" i="26"/>
  <c r="AE416" i="26"/>
  <c r="AE415" i="26"/>
  <c r="AE414" i="26"/>
  <c r="AE413" i="26"/>
  <c r="AE412" i="26"/>
  <c r="AE411" i="26"/>
  <c r="AE410" i="26"/>
  <c r="AE409" i="26"/>
  <c r="AE408" i="26"/>
  <c r="AE407" i="26"/>
  <c r="AE406" i="26"/>
  <c r="AE405" i="26"/>
  <c r="AE404" i="26"/>
  <c r="AE403" i="26"/>
  <c r="AE402" i="26"/>
  <c r="AE401" i="26"/>
  <c r="AE400" i="26"/>
  <c r="AE399" i="26"/>
  <c r="AE398" i="26"/>
  <c r="AE397" i="26"/>
  <c r="AE396" i="26"/>
  <c r="AE395" i="26"/>
  <c r="AE394" i="26"/>
  <c r="AE393" i="26"/>
  <c r="AE392" i="26"/>
  <c r="AE391" i="26"/>
  <c r="AE390" i="26"/>
  <c r="AE389" i="26"/>
  <c r="AE388" i="26"/>
  <c r="AE387" i="26"/>
  <c r="AE386" i="26"/>
  <c r="AE385" i="26"/>
  <c r="AE384" i="26"/>
  <c r="AE383" i="26"/>
  <c r="AE382" i="26"/>
  <c r="AE381" i="26"/>
  <c r="AE380" i="26"/>
  <c r="AE379" i="26"/>
  <c r="AE378" i="26"/>
  <c r="AE377" i="26"/>
  <c r="AE376" i="26"/>
  <c r="AE375" i="26"/>
  <c r="AE374" i="26"/>
  <c r="AE373" i="26"/>
  <c r="AE372" i="26"/>
  <c r="AE371" i="26"/>
  <c r="AE370" i="26"/>
  <c r="AE369" i="26"/>
  <c r="AE368" i="26"/>
  <c r="AE367" i="26"/>
  <c r="AE366" i="26"/>
  <c r="AE365" i="26"/>
  <c r="AE364" i="26"/>
  <c r="AE363" i="26"/>
  <c r="AE362" i="26"/>
  <c r="AE361" i="26"/>
  <c r="AE360" i="26"/>
  <c r="AE359" i="26"/>
  <c r="AE358" i="26"/>
  <c r="AE357" i="26"/>
  <c r="AE356" i="26"/>
  <c r="AE355" i="26"/>
  <c r="AE354" i="26"/>
  <c r="AE353" i="26"/>
  <c r="AE352" i="26"/>
  <c r="AE351" i="26"/>
  <c r="AE350" i="26"/>
  <c r="AE349" i="26"/>
  <c r="AE348" i="26"/>
  <c r="AE347" i="26"/>
  <c r="AE346" i="26"/>
  <c r="AE345" i="26"/>
  <c r="AE344" i="26"/>
  <c r="AE343" i="26"/>
  <c r="AE342" i="26"/>
  <c r="AE341" i="26"/>
  <c r="AE340" i="26"/>
  <c r="AE339" i="26"/>
  <c r="AE338" i="26"/>
  <c r="AE337" i="26"/>
  <c r="AE336" i="26"/>
  <c r="AE335" i="26"/>
  <c r="AE334" i="26"/>
  <c r="AE333" i="26"/>
  <c r="AE332" i="26"/>
  <c r="AE331" i="26"/>
  <c r="AE330" i="26"/>
  <c r="AE329" i="26"/>
  <c r="AE328" i="26"/>
  <c r="AE327" i="26"/>
  <c r="AE326" i="26"/>
  <c r="AE325" i="26"/>
  <c r="AE324" i="26"/>
  <c r="AE323" i="26"/>
  <c r="AE322" i="26"/>
  <c r="AE321" i="26"/>
  <c r="AE320" i="26"/>
  <c r="AE319" i="26"/>
  <c r="AE318" i="26"/>
  <c r="AE317" i="26"/>
  <c r="AE316" i="26"/>
  <c r="AE315" i="26"/>
  <c r="AE314" i="26"/>
  <c r="AE313" i="26"/>
  <c r="AE312" i="26"/>
  <c r="AE311" i="26"/>
  <c r="AE310" i="26"/>
  <c r="AE309" i="26"/>
  <c r="AE308" i="26"/>
  <c r="AE307" i="26"/>
  <c r="AE306" i="26"/>
  <c r="AE305" i="26"/>
  <c r="AE304" i="26"/>
  <c r="AE303" i="26"/>
  <c r="AE302" i="26"/>
  <c r="AE301" i="26"/>
  <c r="AE300" i="26"/>
  <c r="AE299" i="26"/>
  <c r="AE298" i="26"/>
  <c r="AE297" i="26"/>
  <c r="AE296" i="26"/>
  <c r="AE295" i="26"/>
  <c r="AE294" i="26"/>
  <c r="AE293" i="26"/>
  <c r="AE292" i="26"/>
  <c r="AE291" i="26"/>
  <c r="AE290" i="26"/>
  <c r="AE289" i="26"/>
  <c r="AE288" i="26"/>
  <c r="AE287" i="26"/>
  <c r="AE286" i="26"/>
  <c r="AE285" i="26"/>
  <c r="AE284" i="26"/>
  <c r="AE283" i="26"/>
  <c r="AE282" i="26"/>
  <c r="AE281" i="26"/>
  <c r="AE280" i="26"/>
  <c r="AE279" i="26"/>
  <c r="AE278" i="26"/>
  <c r="AE277" i="26"/>
  <c r="AE276" i="26"/>
  <c r="AE275" i="26"/>
  <c r="AE274" i="26"/>
  <c r="AE273" i="26"/>
  <c r="AE272" i="26"/>
  <c r="AE271" i="26"/>
  <c r="AE270" i="26"/>
  <c r="AE269" i="26"/>
  <c r="AE268" i="26"/>
  <c r="AE267" i="26"/>
  <c r="AE266" i="26"/>
  <c r="AE265" i="26"/>
  <c r="AE264" i="26"/>
  <c r="AE263" i="26"/>
  <c r="AE262" i="26"/>
  <c r="AE261" i="26"/>
  <c r="AE260" i="26"/>
  <c r="AE259" i="26"/>
  <c r="AE258" i="26"/>
  <c r="AE257" i="26"/>
  <c r="AE256" i="26"/>
  <c r="AE255" i="26"/>
  <c r="AE254" i="26"/>
  <c r="AE253" i="26"/>
  <c r="AE252" i="26"/>
  <c r="AE251" i="26"/>
  <c r="AE250" i="26"/>
  <c r="AE249" i="26"/>
  <c r="AE248" i="26"/>
  <c r="AE247" i="26"/>
  <c r="AE246" i="26"/>
  <c r="AE245" i="26"/>
  <c r="AE244" i="26"/>
  <c r="AE243" i="26"/>
  <c r="AE242" i="26"/>
  <c r="AE241" i="26"/>
  <c r="AE240" i="26"/>
  <c r="AE239" i="26"/>
  <c r="AE238" i="26"/>
  <c r="AE237" i="26"/>
  <c r="AE236" i="26"/>
  <c r="AE235" i="26"/>
  <c r="AE234" i="26"/>
  <c r="AE233" i="26"/>
  <c r="AE232" i="26"/>
  <c r="AE231" i="26"/>
  <c r="AE230" i="26"/>
  <c r="AE229" i="26"/>
  <c r="AE228" i="26"/>
  <c r="AE227" i="26"/>
  <c r="AE226" i="26"/>
  <c r="AE225" i="26"/>
  <c r="AE224" i="26"/>
  <c r="AE223" i="26"/>
  <c r="AE222" i="26"/>
  <c r="AE221" i="26"/>
  <c r="AE220" i="26"/>
  <c r="AE219" i="26"/>
  <c r="AE218" i="26"/>
  <c r="AE217" i="26"/>
  <c r="AE216" i="26"/>
  <c r="AE215" i="26"/>
  <c r="AE214" i="26"/>
  <c r="AE213" i="26"/>
  <c r="AE212" i="26"/>
  <c r="AE211" i="26"/>
  <c r="AE210" i="26"/>
  <c r="AE209" i="26"/>
  <c r="AE208" i="26"/>
  <c r="AE207" i="26"/>
  <c r="AE206" i="26"/>
  <c r="AE205" i="26"/>
  <c r="AE204" i="26"/>
  <c r="AE203" i="26"/>
  <c r="AE202" i="26"/>
  <c r="AE201" i="26"/>
  <c r="AE200" i="26"/>
  <c r="AE199" i="26"/>
  <c r="AE198" i="26"/>
  <c r="AE197" i="26"/>
  <c r="AE196" i="26"/>
  <c r="AE195" i="26"/>
  <c r="AE194" i="26"/>
  <c r="AE193" i="26"/>
  <c r="AE192" i="26"/>
  <c r="AE191" i="26"/>
  <c r="AE190" i="26"/>
  <c r="AE189" i="26"/>
  <c r="AE188" i="26"/>
  <c r="AE187" i="26"/>
  <c r="AE186" i="26"/>
  <c r="AE185" i="26"/>
  <c r="AE184" i="26"/>
  <c r="AE183" i="26"/>
  <c r="AE182" i="26"/>
  <c r="AE181" i="26"/>
  <c r="AE180" i="26"/>
  <c r="AE179" i="26"/>
  <c r="AE178" i="26"/>
  <c r="AE177" i="26"/>
  <c r="AE176" i="26"/>
  <c r="AE175" i="26"/>
  <c r="AE174" i="26"/>
  <c r="AE173" i="26"/>
  <c r="AE172" i="26"/>
  <c r="AE171" i="26"/>
  <c r="AE170" i="26"/>
  <c r="AE169" i="26"/>
  <c r="AE168" i="26"/>
  <c r="AE167" i="26"/>
  <c r="AE166" i="26"/>
  <c r="AE165" i="26"/>
  <c r="AE164" i="26"/>
  <c r="AE163" i="26"/>
  <c r="AE162" i="26"/>
  <c r="AE161" i="26"/>
  <c r="AE160" i="26"/>
  <c r="AE159" i="26"/>
  <c r="AE158" i="26"/>
  <c r="AE157" i="26"/>
  <c r="AE156" i="26"/>
  <c r="AE155" i="26"/>
  <c r="AE154" i="26"/>
  <c r="AE153" i="26"/>
  <c r="AE152" i="26"/>
  <c r="AE151" i="26"/>
  <c r="AE150" i="26"/>
  <c r="AE149" i="26"/>
  <c r="AE148" i="26"/>
  <c r="AE147" i="26"/>
  <c r="AE146" i="26"/>
  <c r="AE145" i="26"/>
  <c r="AE144" i="26"/>
  <c r="AE143" i="26"/>
  <c r="AE142" i="26"/>
  <c r="AE141" i="26"/>
  <c r="AE140" i="26"/>
  <c r="AE139" i="26"/>
  <c r="AE138" i="26"/>
  <c r="AE137" i="26"/>
  <c r="AE136" i="26"/>
  <c r="AE135" i="26"/>
  <c r="AE134" i="26"/>
  <c r="AE133" i="26"/>
  <c r="AE132" i="26"/>
  <c r="AE131" i="26"/>
  <c r="AE130" i="26"/>
  <c r="AE129" i="26"/>
  <c r="AE128" i="26"/>
  <c r="AE127" i="26"/>
  <c r="AE126" i="26"/>
  <c r="AE125" i="26"/>
  <c r="AE124" i="26"/>
  <c r="AE123" i="26"/>
  <c r="AE122" i="26"/>
  <c r="AE121" i="26"/>
  <c r="AE120" i="26"/>
  <c r="AE119" i="26"/>
  <c r="AE118" i="26"/>
  <c r="AE117" i="26"/>
  <c r="AE116" i="26"/>
  <c r="AE115" i="26"/>
  <c r="AE114" i="26"/>
  <c r="AE113" i="26"/>
  <c r="AE112" i="26"/>
  <c r="AE111" i="26"/>
  <c r="AE110" i="26"/>
  <c r="AE109" i="26"/>
  <c r="AE108" i="26"/>
  <c r="AE107" i="26"/>
  <c r="AE106" i="26"/>
  <c r="AE105" i="26"/>
  <c r="AE104" i="26"/>
  <c r="AE103" i="26"/>
  <c r="AE102" i="26"/>
  <c r="AE101" i="26"/>
  <c r="AE100" i="26"/>
  <c r="AE99" i="26"/>
  <c r="AE98" i="26"/>
  <c r="AE97" i="26"/>
  <c r="AE96" i="26"/>
  <c r="AE95" i="26"/>
  <c r="AE94" i="26"/>
  <c r="AE93" i="26"/>
  <c r="AE92" i="26"/>
  <c r="AE91" i="26"/>
  <c r="AE90" i="26"/>
  <c r="AE89" i="26"/>
  <c r="AE88" i="26"/>
  <c r="AE87" i="26"/>
  <c r="AE86" i="26"/>
  <c r="AE85" i="26"/>
  <c r="AE84" i="26"/>
  <c r="AE83" i="26"/>
  <c r="AE82" i="26"/>
  <c r="AE81" i="26"/>
  <c r="AE80" i="26"/>
  <c r="AE79" i="26"/>
  <c r="AE78" i="26"/>
  <c r="AE77" i="26"/>
  <c r="AE76" i="26"/>
  <c r="AE75" i="26"/>
  <c r="AE74" i="26"/>
  <c r="AE73" i="26"/>
  <c r="AE72" i="26"/>
  <c r="AE71" i="26"/>
  <c r="AE70" i="26"/>
  <c r="AE69" i="26"/>
  <c r="AE68" i="26"/>
  <c r="AE67" i="26"/>
  <c r="AE66" i="26"/>
  <c r="AE65" i="26"/>
  <c r="AE64" i="26"/>
  <c r="AE63" i="26"/>
  <c r="AE62" i="26"/>
  <c r="AE61" i="26"/>
  <c r="AE60" i="26"/>
  <c r="AE59" i="26"/>
  <c r="AE58" i="26"/>
  <c r="AE57" i="26"/>
  <c r="AE56" i="26"/>
  <c r="AE55" i="26"/>
  <c r="AE54" i="26"/>
  <c r="AE53" i="26"/>
  <c r="AE52" i="26"/>
  <c r="AE51" i="26"/>
  <c r="AE50" i="26"/>
  <c r="AE49" i="26"/>
  <c r="AE48" i="26"/>
  <c r="AE47" i="26"/>
  <c r="AE46" i="26"/>
  <c r="AE45" i="26"/>
  <c r="AE44" i="26"/>
  <c r="AE43" i="26"/>
  <c r="AE42" i="26"/>
  <c r="AE41" i="26"/>
  <c r="AE40" i="26"/>
  <c r="AE39" i="26"/>
  <c r="AE38" i="26"/>
  <c r="AE37" i="26"/>
  <c r="AE36" i="26"/>
  <c r="AE35" i="26"/>
  <c r="AE34" i="26"/>
  <c r="AE33" i="26"/>
  <c r="AE32" i="26"/>
  <c r="AE31" i="26"/>
  <c r="AE30" i="26"/>
  <c r="AE29" i="26"/>
  <c r="AE28" i="26"/>
  <c r="AE27" i="26"/>
  <c r="AE26" i="26"/>
  <c r="AE25" i="26"/>
  <c r="AE24" i="26"/>
  <c r="AE23" i="26"/>
  <c r="AE22" i="26"/>
  <c r="AE21" i="26"/>
  <c r="AE20" i="26"/>
  <c r="AE19" i="26"/>
  <c r="AE18" i="26"/>
  <c r="AE17" i="26"/>
  <c r="AE16" i="26"/>
  <c r="AE15" i="26"/>
  <c r="AE14" i="26"/>
  <c r="AE13" i="26"/>
  <c r="AE12" i="26"/>
  <c r="AE11" i="26"/>
  <c r="AE10" i="26"/>
  <c r="AE9" i="26"/>
  <c r="AE8" i="26"/>
  <c r="AE7" i="26"/>
  <c r="AE6" i="26"/>
  <c r="AE5" i="26"/>
  <c r="AA1444" i="26"/>
  <c r="Z1444" i="26"/>
  <c r="AA1443" i="26"/>
  <c r="Z1443" i="26"/>
  <c r="AA1442" i="26"/>
  <c r="Z1442" i="26"/>
  <c r="AA1441" i="26"/>
  <c r="Z1441" i="26"/>
  <c r="AA1440" i="26"/>
  <c r="Z1440" i="26"/>
  <c r="AA1439" i="26"/>
  <c r="Z1439" i="26"/>
  <c r="AA1438" i="26"/>
  <c r="Z1438" i="26"/>
  <c r="AA1437" i="26"/>
  <c r="Z1437" i="26"/>
  <c r="AA1436" i="26"/>
  <c r="Z1436" i="26"/>
  <c r="AA1435" i="26"/>
  <c r="Z1435" i="26"/>
  <c r="AA1434" i="26"/>
  <c r="Z1434" i="26"/>
  <c r="AA1433" i="26"/>
  <c r="Z1433" i="26"/>
  <c r="AA1432" i="26"/>
  <c r="Z1432" i="26"/>
  <c r="AA1431" i="26"/>
  <c r="Z1431" i="26"/>
  <c r="AA1430" i="26"/>
  <c r="Z1430" i="26"/>
  <c r="AA1429" i="26"/>
  <c r="Z1429" i="26"/>
  <c r="AA1428" i="26"/>
  <c r="Z1428" i="26"/>
  <c r="AA1427" i="26"/>
  <c r="Z1427" i="26"/>
  <c r="AA1426" i="26"/>
  <c r="Z1426" i="26"/>
  <c r="AA1425" i="26"/>
  <c r="Z1425" i="26"/>
  <c r="AA1424" i="26"/>
  <c r="Z1424" i="26"/>
  <c r="AA1423" i="26"/>
  <c r="Z1423" i="26"/>
  <c r="AA1422" i="26"/>
  <c r="Z1422" i="26"/>
  <c r="AA1421" i="26"/>
  <c r="Z1421" i="26"/>
  <c r="AA1420" i="26"/>
  <c r="Z1420" i="26"/>
  <c r="AA1419" i="26"/>
  <c r="Z1419" i="26"/>
  <c r="AA1418" i="26"/>
  <c r="Z1418" i="26"/>
  <c r="AA1417" i="26"/>
  <c r="Z1417" i="26"/>
  <c r="AA1416" i="26"/>
  <c r="Z1416" i="26"/>
  <c r="AA1415" i="26"/>
  <c r="Z1415" i="26"/>
  <c r="AA1414" i="26"/>
  <c r="Z1414" i="26"/>
  <c r="AA1413" i="26"/>
  <c r="Z1413" i="26"/>
  <c r="AA1412" i="26"/>
  <c r="Z1412" i="26"/>
  <c r="AA1411" i="26"/>
  <c r="Z1411" i="26"/>
  <c r="AA1410" i="26"/>
  <c r="Z1410" i="26"/>
  <c r="AA1409" i="26"/>
  <c r="Z1409" i="26"/>
  <c r="AA1408" i="26"/>
  <c r="Z1408" i="26"/>
  <c r="AA1407" i="26"/>
  <c r="Z1407" i="26"/>
  <c r="AA1406" i="26"/>
  <c r="Z1406" i="26"/>
  <c r="AA1405" i="26"/>
  <c r="Z1405" i="26"/>
  <c r="AA1404" i="26"/>
  <c r="Z1404" i="26"/>
  <c r="AA1403" i="26"/>
  <c r="Z1403" i="26"/>
  <c r="AA1402" i="26"/>
  <c r="Z1402" i="26"/>
  <c r="AA1401" i="26"/>
  <c r="Z1401" i="26"/>
  <c r="AA1400" i="26"/>
  <c r="Z1400" i="26"/>
  <c r="AA1399" i="26"/>
  <c r="Z1399" i="26"/>
  <c r="AA1398" i="26"/>
  <c r="Z1398" i="26"/>
  <c r="AA1397" i="26"/>
  <c r="Z1397" i="26"/>
  <c r="AA1396" i="26"/>
  <c r="Z1396" i="26"/>
  <c r="AA1395" i="26"/>
  <c r="Z1395" i="26"/>
  <c r="AA1394" i="26"/>
  <c r="Z1394" i="26"/>
  <c r="AA1393" i="26"/>
  <c r="Z1393" i="26"/>
  <c r="AA1392" i="26"/>
  <c r="Z1392" i="26"/>
  <c r="AA1391" i="26"/>
  <c r="Z1391" i="26"/>
  <c r="AA1390" i="26"/>
  <c r="Z1390" i="26"/>
  <c r="AA1389" i="26"/>
  <c r="Z1389" i="26"/>
  <c r="AA1388" i="26"/>
  <c r="Z1388" i="26"/>
  <c r="AA1387" i="26"/>
  <c r="Z1387" i="26"/>
  <c r="AA1386" i="26"/>
  <c r="Z1386" i="26"/>
  <c r="AA1385" i="26"/>
  <c r="Z1385" i="26"/>
  <c r="AA1384" i="26"/>
  <c r="Z1384" i="26"/>
  <c r="AA1383" i="26"/>
  <c r="Z1383" i="26"/>
  <c r="AA1382" i="26"/>
  <c r="Z1382" i="26"/>
  <c r="AA1381" i="26"/>
  <c r="Z1381" i="26"/>
  <c r="AA1380" i="26"/>
  <c r="Z1380" i="26"/>
  <c r="AA1379" i="26"/>
  <c r="Z1379" i="26"/>
  <c r="AA1378" i="26"/>
  <c r="Z1378" i="26"/>
  <c r="AA1377" i="26"/>
  <c r="Z1377" i="26"/>
  <c r="AA1376" i="26"/>
  <c r="Z1376" i="26"/>
  <c r="AA1375" i="26"/>
  <c r="Z1375" i="26"/>
  <c r="AA1374" i="26"/>
  <c r="Z1374" i="26"/>
  <c r="AA1373" i="26"/>
  <c r="Z1373" i="26"/>
  <c r="AA1372" i="26"/>
  <c r="Z1372" i="26"/>
  <c r="AA1371" i="26"/>
  <c r="Z1371" i="26"/>
  <c r="AA1370" i="26"/>
  <c r="Z1370" i="26"/>
  <c r="AA1369" i="26"/>
  <c r="Z1369" i="26"/>
  <c r="AA1368" i="26"/>
  <c r="Z1368" i="26"/>
  <c r="AA1367" i="26"/>
  <c r="Z1367" i="26"/>
  <c r="AA1366" i="26"/>
  <c r="Z1366" i="26"/>
  <c r="AA1365" i="26"/>
  <c r="Z1365" i="26"/>
  <c r="AA1364" i="26"/>
  <c r="Z1364" i="26"/>
  <c r="AA1363" i="26"/>
  <c r="Z1363" i="26"/>
  <c r="AA1362" i="26"/>
  <c r="Z1362" i="26"/>
  <c r="AA1361" i="26"/>
  <c r="Z1361" i="26"/>
  <c r="AA1360" i="26"/>
  <c r="Z1360" i="26"/>
  <c r="AA1359" i="26"/>
  <c r="Z1359" i="26"/>
  <c r="AA1358" i="26"/>
  <c r="Z1358" i="26"/>
  <c r="AA1357" i="26"/>
  <c r="Z1357" i="26"/>
  <c r="AA1356" i="26"/>
  <c r="Z1356" i="26"/>
  <c r="AA1355" i="26"/>
  <c r="Z1355" i="26"/>
  <c r="AA1354" i="26"/>
  <c r="Z1354" i="26"/>
  <c r="AA1353" i="26"/>
  <c r="Z1353" i="26"/>
  <c r="AA1352" i="26"/>
  <c r="Z1352" i="26"/>
  <c r="AA1351" i="26"/>
  <c r="Z1351" i="26"/>
  <c r="AA1350" i="26"/>
  <c r="Z1350" i="26"/>
  <c r="AA1349" i="26"/>
  <c r="Z1349" i="26"/>
  <c r="AA1348" i="26"/>
  <c r="Z1348" i="26"/>
  <c r="AA1347" i="26"/>
  <c r="Z1347" i="26"/>
  <c r="AA1346" i="26"/>
  <c r="Z1346" i="26"/>
  <c r="AA1345" i="26"/>
  <c r="Z1345" i="26"/>
  <c r="AA1344" i="26"/>
  <c r="Z1344" i="26"/>
  <c r="AA1343" i="26"/>
  <c r="Z1343" i="26"/>
  <c r="AA1342" i="26"/>
  <c r="Z1342" i="26"/>
  <c r="AA1341" i="26"/>
  <c r="Z1341" i="26"/>
  <c r="AA1340" i="26"/>
  <c r="Z1340" i="26"/>
  <c r="AA1339" i="26"/>
  <c r="Z1339" i="26"/>
  <c r="AA1338" i="26"/>
  <c r="Z1338" i="26"/>
  <c r="AA1337" i="26"/>
  <c r="Z1337" i="26"/>
  <c r="AA1336" i="26"/>
  <c r="Z1336" i="26"/>
  <c r="AA1335" i="26"/>
  <c r="Z1335" i="26"/>
  <c r="AA1334" i="26"/>
  <c r="Z1334" i="26"/>
  <c r="AA1333" i="26"/>
  <c r="Z1333" i="26"/>
  <c r="AA1332" i="26"/>
  <c r="Z1332" i="26"/>
  <c r="AA1331" i="26"/>
  <c r="Z1331" i="26"/>
  <c r="AA1330" i="26"/>
  <c r="Z1330" i="26"/>
  <c r="AA1329" i="26"/>
  <c r="Z1329" i="26"/>
  <c r="AA1328" i="26"/>
  <c r="Z1328" i="26"/>
  <c r="AA1327" i="26"/>
  <c r="Z1327" i="26"/>
  <c r="AA1326" i="26"/>
  <c r="Z1326" i="26"/>
  <c r="AA1325" i="26"/>
  <c r="Z1325" i="26"/>
  <c r="AA1324" i="26"/>
  <c r="Z1324" i="26"/>
  <c r="AA1323" i="26"/>
  <c r="Z1323" i="26"/>
  <c r="AA1322" i="26"/>
  <c r="Z1322" i="26"/>
  <c r="AA1321" i="26"/>
  <c r="Z1321" i="26"/>
  <c r="AA1320" i="26"/>
  <c r="Z1320" i="26"/>
  <c r="AA1319" i="26"/>
  <c r="Z1319" i="26"/>
  <c r="AA1318" i="26"/>
  <c r="Z1318" i="26"/>
  <c r="AA1317" i="26"/>
  <c r="Z1317" i="26"/>
  <c r="AA1316" i="26"/>
  <c r="Z1316" i="26"/>
  <c r="AA1315" i="26"/>
  <c r="Z1315" i="26"/>
  <c r="AA1314" i="26"/>
  <c r="Z1314" i="26"/>
  <c r="AA1313" i="26"/>
  <c r="Z1313" i="26"/>
  <c r="AA1312" i="26"/>
  <c r="Z1312" i="26"/>
  <c r="AA1311" i="26"/>
  <c r="Z1311" i="26"/>
  <c r="AA1310" i="26"/>
  <c r="Z1310" i="26"/>
  <c r="AA1309" i="26"/>
  <c r="Z1309" i="26"/>
  <c r="AA1308" i="26"/>
  <c r="Z1308" i="26"/>
  <c r="AA1307" i="26"/>
  <c r="Z1307" i="26"/>
  <c r="AA1306" i="26"/>
  <c r="Z1306" i="26"/>
  <c r="AA1305" i="26"/>
  <c r="Z1305" i="26"/>
  <c r="AA1304" i="26"/>
  <c r="Z1304" i="26"/>
  <c r="AA1303" i="26"/>
  <c r="Z1303" i="26"/>
  <c r="AA1302" i="26"/>
  <c r="Z1302" i="26"/>
  <c r="AA1301" i="26"/>
  <c r="Z1301" i="26"/>
  <c r="AA1300" i="26"/>
  <c r="Z1300" i="26"/>
  <c r="AA1299" i="26"/>
  <c r="Z1299" i="26"/>
  <c r="AA1298" i="26"/>
  <c r="Z1298" i="26"/>
  <c r="AA1297" i="26"/>
  <c r="Z1297" i="26"/>
  <c r="AA1296" i="26"/>
  <c r="Z1296" i="26"/>
  <c r="AA1295" i="26"/>
  <c r="Z1295" i="26"/>
  <c r="AA1294" i="26"/>
  <c r="Z1294" i="26"/>
  <c r="AA1293" i="26"/>
  <c r="Z1293" i="26"/>
  <c r="AA1292" i="26"/>
  <c r="Z1292" i="26"/>
  <c r="AA1291" i="26"/>
  <c r="Z1291" i="26"/>
  <c r="AA1290" i="26"/>
  <c r="Z1290" i="26"/>
  <c r="AA1289" i="26"/>
  <c r="Z1289" i="26"/>
  <c r="AA1288" i="26"/>
  <c r="Z1288" i="26"/>
  <c r="AA1287" i="26"/>
  <c r="Z1287" i="26"/>
  <c r="AA1286" i="26"/>
  <c r="Z1286" i="26"/>
  <c r="AA1285" i="26"/>
  <c r="Z1285" i="26"/>
  <c r="AA1284" i="26"/>
  <c r="Z1284" i="26"/>
  <c r="AA1283" i="26"/>
  <c r="Z1283" i="26"/>
  <c r="AA1282" i="26"/>
  <c r="Z1282" i="26"/>
  <c r="AA1281" i="26"/>
  <c r="Z1281" i="26"/>
  <c r="AA1280" i="26"/>
  <c r="Z1280" i="26"/>
  <c r="AA1279" i="26"/>
  <c r="Z1279" i="26"/>
  <c r="AA1278" i="26"/>
  <c r="Z1278" i="26"/>
  <c r="AA1277" i="26"/>
  <c r="Z1277" i="26"/>
  <c r="AA1276" i="26"/>
  <c r="Z1276" i="26"/>
  <c r="AA1275" i="26"/>
  <c r="Z1275" i="26"/>
  <c r="AA1274" i="26"/>
  <c r="Z1274" i="26"/>
  <c r="AA1273" i="26"/>
  <c r="Z1273" i="26"/>
  <c r="AA1272" i="26"/>
  <c r="Z1272" i="26"/>
  <c r="AA1271" i="26"/>
  <c r="Z1271" i="26"/>
  <c r="AA1270" i="26"/>
  <c r="Z1270" i="26"/>
  <c r="AA1269" i="26"/>
  <c r="Z1269" i="26"/>
  <c r="AA1268" i="26"/>
  <c r="Z1268" i="26"/>
  <c r="AA1267" i="26"/>
  <c r="Z1267" i="26"/>
  <c r="AA1266" i="26"/>
  <c r="Z1266" i="26"/>
  <c r="AA1265" i="26"/>
  <c r="Z1265" i="26"/>
  <c r="AA1264" i="26"/>
  <c r="Z1264" i="26"/>
  <c r="AA1263" i="26"/>
  <c r="Z1263" i="26"/>
  <c r="AA1262" i="26"/>
  <c r="Z1262" i="26"/>
  <c r="AA1261" i="26"/>
  <c r="Z1261" i="26"/>
  <c r="AA1260" i="26"/>
  <c r="Z1260" i="26"/>
  <c r="AA1259" i="26"/>
  <c r="Z1259" i="26"/>
  <c r="AA1258" i="26"/>
  <c r="Z1258" i="26"/>
  <c r="AA1257" i="26"/>
  <c r="Z1257" i="26"/>
  <c r="AA1256" i="26"/>
  <c r="Z1256" i="26"/>
  <c r="AA1255" i="26"/>
  <c r="Z1255" i="26"/>
  <c r="AA1254" i="26"/>
  <c r="Z1254" i="26"/>
  <c r="AA1253" i="26"/>
  <c r="Z1253" i="26"/>
  <c r="AA1252" i="26"/>
  <c r="Z1252" i="26"/>
  <c r="AA1251" i="26"/>
  <c r="Z1251" i="26"/>
  <c r="AA1250" i="26"/>
  <c r="Z1250" i="26"/>
  <c r="AA1249" i="26"/>
  <c r="Z1249" i="26"/>
  <c r="AA1248" i="26"/>
  <c r="Z1248" i="26"/>
  <c r="AA1247" i="26"/>
  <c r="Z1247" i="26"/>
  <c r="AA1246" i="26"/>
  <c r="Z1246" i="26"/>
  <c r="AA1245" i="26"/>
  <c r="Z1245" i="26"/>
  <c r="AA1244" i="26"/>
  <c r="Z1244" i="26"/>
  <c r="AA1243" i="26"/>
  <c r="Z1243" i="26"/>
  <c r="AA1242" i="26"/>
  <c r="Z1242" i="26"/>
  <c r="AA1241" i="26"/>
  <c r="Z1241" i="26"/>
  <c r="AA1240" i="26"/>
  <c r="Z1240" i="26"/>
  <c r="AA1239" i="26"/>
  <c r="Z1239" i="26"/>
  <c r="AA1238" i="26"/>
  <c r="Z1238" i="26"/>
  <c r="AA1237" i="26"/>
  <c r="Z1237" i="26"/>
  <c r="AA1236" i="26"/>
  <c r="Z1236" i="26"/>
  <c r="AA1235" i="26"/>
  <c r="Z1235" i="26"/>
  <c r="AA1234" i="26"/>
  <c r="Z1234" i="26"/>
  <c r="AA1233" i="26"/>
  <c r="Z1233" i="26"/>
  <c r="AA1232" i="26"/>
  <c r="Z1232" i="26"/>
  <c r="AA1231" i="26"/>
  <c r="Z1231" i="26"/>
  <c r="AA1230" i="26"/>
  <c r="Z1230" i="26"/>
  <c r="AA1229" i="26"/>
  <c r="Z1229" i="26"/>
  <c r="AA1228" i="26"/>
  <c r="Z1228" i="26"/>
  <c r="AA1227" i="26"/>
  <c r="Z1227" i="26"/>
  <c r="AA1226" i="26"/>
  <c r="Z1226" i="26"/>
  <c r="AA1225" i="26"/>
  <c r="Z1225" i="26"/>
  <c r="AA1224" i="26"/>
  <c r="Z1224" i="26"/>
  <c r="AA1223" i="26"/>
  <c r="Z1223" i="26"/>
  <c r="AA1222" i="26"/>
  <c r="Z1222" i="26"/>
  <c r="AA1221" i="26"/>
  <c r="Z1221" i="26"/>
  <c r="AA1220" i="26"/>
  <c r="Z1220" i="26"/>
  <c r="AA1219" i="26"/>
  <c r="Z1219" i="26"/>
  <c r="AA1218" i="26"/>
  <c r="Z1218" i="26"/>
  <c r="AA1217" i="26"/>
  <c r="Z1217" i="26"/>
  <c r="AA1216" i="26"/>
  <c r="Z1216" i="26"/>
  <c r="AA1215" i="26"/>
  <c r="Z1215" i="26"/>
  <c r="AA1214" i="26"/>
  <c r="Z1214" i="26"/>
  <c r="AA1213" i="26"/>
  <c r="Z1213" i="26"/>
  <c r="AA1212" i="26"/>
  <c r="Z1212" i="26"/>
  <c r="AA1211" i="26"/>
  <c r="Z1211" i="26"/>
  <c r="AA1210" i="26"/>
  <c r="Z1210" i="26"/>
  <c r="AA1209" i="26"/>
  <c r="Z1209" i="26"/>
  <c r="AA1208" i="26"/>
  <c r="Z1208" i="26"/>
  <c r="AA1207" i="26"/>
  <c r="Z1207" i="26"/>
  <c r="AA1206" i="26"/>
  <c r="Z1206" i="26"/>
  <c r="AA1205" i="26"/>
  <c r="Z1205" i="26"/>
  <c r="AA1204" i="26"/>
  <c r="Z1204" i="26"/>
  <c r="AA1203" i="26"/>
  <c r="Z1203" i="26"/>
  <c r="AA1202" i="26"/>
  <c r="Z1202" i="26"/>
  <c r="AA1201" i="26"/>
  <c r="Z1201" i="26"/>
  <c r="AA1200" i="26"/>
  <c r="Z1200" i="26"/>
  <c r="AA1199" i="26"/>
  <c r="Z1199" i="26"/>
  <c r="AA1198" i="26"/>
  <c r="Z1198" i="26"/>
  <c r="AA1197" i="26"/>
  <c r="Z1197" i="26"/>
  <c r="AA1196" i="26"/>
  <c r="Z1196" i="26"/>
  <c r="AA1195" i="26"/>
  <c r="Z1195" i="26"/>
  <c r="AA1194" i="26"/>
  <c r="Z1194" i="26"/>
  <c r="AA1193" i="26"/>
  <c r="Z1193" i="26"/>
  <c r="AA1192" i="26"/>
  <c r="Z1192" i="26"/>
  <c r="AA1191" i="26"/>
  <c r="Z1191" i="26"/>
  <c r="AA1190" i="26"/>
  <c r="Z1190" i="26"/>
  <c r="AA1189" i="26"/>
  <c r="Z1189" i="26"/>
  <c r="AA1188" i="26"/>
  <c r="Z1188" i="26"/>
  <c r="AA1187" i="26"/>
  <c r="Z1187" i="26"/>
  <c r="AA1186" i="26"/>
  <c r="Z1186" i="26"/>
  <c r="AA1185" i="26"/>
  <c r="Z1185" i="26"/>
  <c r="AA1184" i="26"/>
  <c r="Z1184" i="26"/>
  <c r="AA1183" i="26"/>
  <c r="Z1183" i="26"/>
  <c r="AA1182" i="26"/>
  <c r="Z1182" i="26"/>
  <c r="AA1181" i="26"/>
  <c r="Z1181" i="26"/>
  <c r="AA1180" i="26"/>
  <c r="Z1180" i="26"/>
  <c r="AA1179" i="26"/>
  <c r="Z1179" i="26"/>
  <c r="AA1178" i="26"/>
  <c r="Z1178" i="26"/>
  <c r="AA1177" i="26"/>
  <c r="Z1177" i="26"/>
  <c r="AA1176" i="26"/>
  <c r="Z1176" i="26"/>
  <c r="AA1175" i="26"/>
  <c r="Z1175" i="26"/>
  <c r="AA1174" i="26"/>
  <c r="Z1174" i="26"/>
  <c r="AA1173" i="26"/>
  <c r="Z1173" i="26"/>
  <c r="AA1172" i="26"/>
  <c r="Z1172" i="26"/>
  <c r="AA1171" i="26"/>
  <c r="Z1171" i="26"/>
  <c r="AA1170" i="26"/>
  <c r="Z1170" i="26"/>
  <c r="AA1169" i="26"/>
  <c r="Z1169" i="26"/>
  <c r="AA1168" i="26"/>
  <c r="Z1168" i="26"/>
  <c r="AA1167" i="26"/>
  <c r="Z1167" i="26"/>
  <c r="AA1166" i="26"/>
  <c r="Z1166" i="26"/>
  <c r="AA1165" i="26"/>
  <c r="Z1165" i="26"/>
  <c r="AA1164" i="26"/>
  <c r="Z1164" i="26"/>
  <c r="AA1163" i="26"/>
  <c r="Z1163" i="26"/>
  <c r="AA1162" i="26"/>
  <c r="Z1162" i="26"/>
  <c r="AA1161" i="26"/>
  <c r="Z1161" i="26"/>
  <c r="AA1160" i="26"/>
  <c r="Z1160" i="26"/>
  <c r="AA1159" i="26"/>
  <c r="Z1159" i="26"/>
  <c r="AA1158" i="26"/>
  <c r="Z1158" i="26"/>
  <c r="AA1157" i="26"/>
  <c r="Z1157" i="26"/>
  <c r="AA1156" i="26"/>
  <c r="Z1156" i="26"/>
  <c r="AA1155" i="26"/>
  <c r="Z1155" i="26"/>
  <c r="AA1154" i="26"/>
  <c r="Z1154" i="26"/>
  <c r="AA1153" i="26"/>
  <c r="Z1153" i="26"/>
  <c r="AA1152" i="26"/>
  <c r="Z1152" i="26"/>
  <c r="AA1151" i="26"/>
  <c r="Z1151" i="26"/>
  <c r="AA1150" i="26"/>
  <c r="Z1150" i="26"/>
  <c r="AA1149" i="26"/>
  <c r="Z1149" i="26"/>
  <c r="AA1148" i="26"/>
  <c r="Z1148" i="26"/>
  <c r="AA1147" i="26"/>
  <c r="Z1147" i="26"/>
  <c r="AA1146" i="26"/>
  <c r="Z1146" i="26"/>
  <c r="AA1145" i="26"/>
  <c r="Z1145" i="26"/>
  <c r="AA1144" i="26"/>
  <c r="Z1144" i="26"/>
  <c r="AA1143" i="26"/>
  <c r="Z1143" i="26"/>
  <c r="AA1142" i="26"/>
  <c r="Z1142" i="26"/>
  <c r="AA1141" i="26"/>
  <c r="Z1141" i="26"/>
  <c r="AA1140" i="26"/>
  <c r="Z1140" i="26"/>
  <c r="AA1139" i="26"/>
  <c r="Z1139" i="26"/>
  <c r="AA1138" i="26"/>
  <c r="Z1138" i="26"/>
  <c r="AA1137" i="26"/>
  <c r="Z1137" i="26"/>
  <c r="AA1136" i="26"/>
  <c r="Z1136" i="26"/>
  <c r="AA1135" i="26"/>
  <c r="Z1135" i="26"/>
  <c r="AA1134" i="26"/>
  <c r="Z1134" i="26"/>
  <c r="AA1133" i="26"/>
  <c r="Z1133" i="26"/>
  <c r="AA1132" i="26"/>
  <c r="Z1132" i="26"/>
  <c r="AA1131" i="26"/>
  <c r="Z1131" i="26"/>
  <c r="AA1130" i="26"/>
  <c r="Z1130" i="26"/>
  <c r="AA1129" i="26"/>
  <c r="Z1129" i="26"/>
  <c r="AA1128" i="26"/>
  <c r="Z1128" i="26"/>
  <c r="AA1127" i="26"/>
  <c r="Z1127" i="26"/>
  <c r="AA1126" i="26"/>
  <c r="Z1126" i="26"/>
  <c r="AA1125" i="26"/>
  <c r="Z1125" i="26"/>
  <c r="AA1124" i="26"/>
  <c r="Z1124" i="26"/>
  <c r="AA1123" i="26"/>
  <c r="Z1123" i="26"/>
  <c r="AA1122" i="26"/>
  <c r="Z1122" i="26"/>
  <c r="AA1121" i="26"/>
  <c r="Z1121" i="26"/>
  <c r="AA1120" i="26"/>
  <c r="Z1120" i="26"/>
  <c r="AA1119" i="26"/>
  <c r="Z1119" i="26"/>
  <c r="AA1118" i="26"/>
  <c r="Z1118" i="26"/>
  <c r="AA1117" i="26"/>
  <c r="Z1117" i="26"/>
  <c r="AA1116" i="26"/>
  <c r="Z1116" i="26"/>
  <c r="AA1115" i="26"/>
  <c r="Z1115" i="26"/>
  <c r="AA1114" i="26"/>
  <c r="Z1114" i="26"/>
  <c r="AA1113" i="26"/>
  <c r="Z1113" i="26"/>
  <c r="AA1112" i="26"/>
  <c r="Z1112" i="26"/>
  <c r="AA1111" i="26"/>
  <c r="Z1111" i="26"/>
  <c r="AA1110" i="26"/>
  <c r="Z1110" i="26"/>
  <c r="AA1109" i="26"/>
  <c r="Z1109" i="26"/>
  <c r="AA1108" i="26"/>
  <c r="Z1108" i="26"/>
  <c r="AA1107" i="26"/>
  <c r="Z1107" i="26"/>
  <c r="AA1106" i="26"/>
  <c r="Z1106" i="26"/>
  <c r="AA1105" i="26"/>
  <c r="Z1105" i="26"/>
  <c r="AA1104" i="26"/>
  <c r="Z1104" i="26"/>
  <c r="AA1103" i="26"/>
  <c r="Z1103" i="26"/>
  <c r="AA1102" i="26"/>
  <c r="Z1102" i="26"/>
  <c r="AA1101" i="26"/>
  <c r="Z1101" i="26"/>
  <c r="AA1100" i="26"/>
  <c r="Z1100" i="26"/>
  <c r="AA1099" i="26"/>
  <c r="Z1099" i="26"/>
  <c r="AA1098" i="26"/>
  <c r="Z1098" i="26"/>
  <c r="AA1097" i="26"/>
  <c r="Z1097" i="26"/>
  <c r="AA1096" i="26"/>
  <c r="Z1096" i="26"/>
  <c r="AA1095" i="26"/>
  <c r="Z1095" i="26"/>
  <c r="AA1094" i="26"/>
  <c r="Z1094" i="26"/>
  <c r="AA1093" i="26"/>
  <c r="Z1093" i="26"/>
  <c r="AA1092" i="26"/>
  <c r="Z1092" i="26"/>
  <c r="AA1091" i="26"/>
  <c r="Z1091" i="26"/>
  <c r="AA1090" i="26"/>
  <c r="Z1090" i="26"/>
  <c r="AA1089" i="26"/>
  <c r="Z1089" i="26"/>
  <c r="AA1088" i="26"/>
  <c r="Z1088" i="26"/>
  <c r="AA1087" i="26"/>
  <c r="Z1087" i="26"/>
  <c r="AA1086" i="26"/>
  <c r="Z1086" i="26"/>
  <c r="AA1085" i="26"/>
  <c r="Z1085" i="26"/>
  <c r="AA1084" i="26"/>
  <c r="Z1084" i="26"/>
  <c r="AA1083" i="26"/>
  <c r="Z1083" i="26"/>
  <c r="AA1082" i="26"/>
  <c r="Z1082" i="26"/>
  <c r="AA1081" i="26"/>
  <c r="Z1081" i="26"/>
  <c r="AA1080" i="26"/>
  <c r="Z1080" i="26"/>
  <c r="AA1079" i="26"/>
  <c r="Z1079" i="26"/>
  <c r="AA1078" i="26"/>
  <c r="Z1078" i="26"/>
  <c r="AA1077" i="26"/>
  <c r="Z1077" i="26"/>
  <c r="AA1076" i="26"/>
  <c r="Z1076" i="26"/>
  <c r="AA1075" i="26"/>
  <c r="Z1075" i="26"/>
  <c r="AA1074" i="26"/>
  <c r="Z1074" i="26"/>
  <c r="AA1073" i="26"/>
  <c r="Z1073" i="26"/>
  <c r="AA1072" i="26"/>
  <c r="Z1072" i="26"/>
  <c r="AA1071" i="26"/>
  <c r="Z1071" i="26"/>
  <c r="AA1070" i="26"/>
  <c r="Z1070" i="26"/>
  <c r="AA1069" i="26"/>
  <c r="Z1069" i="26"/>
  <c r="AA1068" i="26"/>
  <c r="Z1068" i="26"/>
  <c r="AA1067" i="26"/>
  <c r="Z1067" i="26"/>
  <c r="AA1066" i="26"/>
  <c r="Z1066" i="26"/>
  <c r="AA1065" i="26"/>
  <c r="Z1065" i="26"/>
  <c r="AA1064" i="26"/>
  <c r="Z1064" i="26"/>
  <c r="AA1063" i="26"/>
  <c r="Z1063" i="26"/>
  <c r="AA1062" i="26"/>
  <c r="Z1062" i="26"/>
  <c r="AA1061" i="26"/>
  <c r="Z1061" i="26"/>
  <c r="AA1060" i="26"/>
  <c r="Z1060" i="26"/>
  <c r="AA1059" i="26"/>
  <c r="Z1059" i="26"/>
  <c r="AA1058" i="26"/>
  <c r="Z1058" i="26"/>
  <c r="AA1057" i="26"/>
  <c r="Z1057" i="26"/>
  <c r="AA1056" i="26"/>
  <c r="Z1056" i="26"/>
  <c r="AA1055" i="26"/>
  <c r="Z1055" i="26"/>
  <c r="AA1054" i="26"/>
  <c r="Z1054" i="26"/>
  <c r="AA1053" i="26"/>
  <c r="Z1053" i="26"/>
  <c r="AA1052" i="26"/>
  <c r="Z1052" i="26"/>
  <c r="AA1051" i="26"/>
  <c r="Z1051" i="26"/>
  <c r="AA1050" i="26"/>
  <c r="Z1050" i="26"/>
  <c r="AA1049" i="26"/>
  <c r="Z1049" i="26"/>
  <c r="AA1048" i="26"/>
  <c r="Z1048" i="26"/>
  <c r="AA1047" i="26"/>
  <c r="Z1047" i="26"/>
  <c r="AA1046" i="26"/>
  <c r="Z1046" i="26"/>
  <c r="AA1045" i="26"/>
  <c r="Z1045" i="26"/>
  <c r="AA1044" i="26"/>
  <c r="Z1044" i="26"/>
  <c r="AA1043" i="26"/>
  <c r="Z1043" i="26"/>
  <c r="AA1042" i="26"/>
  <c r="Z1042" i="26"/>
  <c r="AA1041" i="26"/>
  <c r="Z1041" i="26"/>
  <c r="AA1040" i="26"/>
  <c r="Z1040" i="26"/>
  <c r="AA1039" i="26"/>
  <c r="Z1039" i="26"/>
  <c r="AA1038" i="26"/>
  <c r="Z1038" i="26"/>
  <c r="AA1037" i="26"/>
  <c r="Z1037" i="26"/>
  <c r="AA1036" i="26"/>
  <c r="Z1036" i="26"/>
  <c r="AA1035" i="26"/>
  <c r="Z1035" i="26"/>
  <c r="AA1034" i="26"/>
  <c r="Z1034" i="26"/>
  <c r="AA1033" i="26"/>
  <c r="Z1033" i="26"/>
  <c r="AA1032" i="26"/>
  <c r="Z1032" i="26"/>
  <c r="AA1031" i="26"/>
  <c r="Z1031" i="26"/>
  <c r="AA1030" i="26"/>
  <c r="Z1030" i="26"/>
  <c r="AA1029" i="26"/>
  <c r="Z1029" i="26"/>
  <c r="AA1028" i="26"/>
  <c r="Z1028" i="26"/>
  <c r="AA1027" i="26"/>
  <c r="Z1027" i="26"/>
  <c r="AA1026" i="26"/>
  <c r="Z1026" i="26"/>
  <c r="AA1025" i="26"/>
  <c r="Z1025" i="26"/>
  <c r="AA1024" i="26"/>
  <c r="Z1024" i="26"/>
  <c r="AA1023" i="26"/>
  <c r="Z1023" i="26"/>
  <c r="AA1022" i="26"/>
  <c r="Z1022" i="26"/>
  <c r="AA1021" i="26"/>
  <c r="Z1021" i="26"/>
  <c r="AA1020" i="26"/>
  <c r="Z1020" i="26"/>
  <c r="AA1019" i="26"/>
  <c r="Z1019" i="26"/>
  <c r="AA1018" i="26"/>
  <c r="Z1018" i="26"/>
  <c r="AA1017" i="26"/>
  <c r="Z1017" i="26"/>
  <c r="AA1016" i="26"/>
  <c r="Z1016" i="26"/>
  <c r="AA1015" i="26"/>
  <c r="Z1015" i="26"/>
  <c r="AA1014" i="26"/>
  <c r="Z1014" i="26"/>
  <c r="AA1013" i="26"/>
  <c r="Z1013" i="26"/>
  <c r="AA1012" i="26"/>
  <c r="Z1012" i="26"/>
  <c r="AA1011" i="26"/>
  <c r="Z1011" i="26"/>
  <c r="AA1010" i="26"/>
  <c r="Z1010" i="26"/>
  <c r="AA1009" i="26"/>
  <c r="Z1009" i="26"/>
  <c r="AA1008" i="26"/>
  <c r="Z1008" i="26"/>
  <c r="AA1007" i="26"/>
  <c r="Z1007" i="26"/>
  <c r="AA1006" i="26"/>
  <c r="Z1006" i="26"/>
  <c r="AA1005" i="26"/>
  <c r="Z1005" i="26"/>
  <c r="AA1004" i="26"/>
  <c r="Z1004" i="26"/>
  <c r="AA1003" i="26"/>
  <c r="Z1003" i="26"/>
  <c r="AA1002" i="26"/>
  <c r="Z1002" i="26"/>
  <c r="AA1001" i="26"/>
  <c r="Z1001" i="26"/>
  <c r="AA1000" i="26"/>
  <c r="Z1000" i="26"/>
  <c r="AA999" i="26"/>
  <c r="Z999" i="26"/>
  <c r="AA998" i="26"/>
  <c r="Z998" i="26"/>
  <c r="AA997" i="26"/>
  <c r="Z997" i="26"/>
  <c r="AA996" i="26"/>
  <c r="Z996" i="26"/>
  <c r="AA995" i="26"/>
  <c r="Z995" i="26"/>
  <c r="AA994" i="26"/>
  <c r="Z994" i="26"/>
  <c r="AA993" i="26"/>
  <c r="Z993" i="26"/>
  <c r="AA992" i="26"/>
  <c r="Z992" i="26"/>
  <c r="AA991" i="26"/>
  <c r="Z991" i="26"/>
  <c r="AA990" i="26"/>
  <c r="Z990" i="26"/>
  <c r="AA989" i="26"/>
  <c r="Z989" i="26"/>
  <c r="AA988" i="26"/>
  <c r="Z988" i="26"/>
  <c r="AA987" i="26"/>
  <c r="Z987" i="26"/>
  <c r="AA986" i="26"/>
  <c r="Z986" i="26"/>
  <c r="AA985" i="26"/>
  <c r="Z985" i="26"/>
  <c r="AA984" i="26"/>
  <c r="Z984" i="26"/>
  <c r="AA983" i="26"/>
  <c r="Z983" i="26"/>
  <c r="AA982" i="26"/>
  <c r="Z982" i="26"/>
  <c r="AA981" i="26"/>
  <c r="Z981" i="26"/>
  <c r="AA980" i="26"/>
  <c r="Z980" i="26"/>
  <c r="AA979" i="26"/>
  <c r="Z979" i="26"/>
  <c r="AA978" i="26"/>
  <c r="Z978" i="26"/>
  <c r="AA977" i="26"/>
  <c r="Z977" i="26"/>
  <c r="AA976" i="26"/>
  <c r="Z976" i="26"/>
  <c r="AA975" i="26"/>
  <c r="Z975" i="26"/>
  <c r="AA974" i="26"/>
  <c r="Z974" i="26"/>
  <c r="AA973" i="26"/>
  <c r="Z973" i="26"/>
  <c r="AA972" i="26"/>
  <c r="Z972" i="26"/>
  <c r="AA971" i="26"/>
  <c r="Z971" i="26"/>
  <c r="AA970" i="26"/>
  <c r="Z970" i="26"/>
  <c r="AA969" i="26"/>
  <c r="Z969" i="26"/>
  <c r="AA968" i="26"/>
  <c r="Z968" i="26"/>
  <c r="AA967" i="26"/>
  <c r="Z967" i="26"/>
  <c r="AA966" i="26"/>
  <c r="Z966" i="26"/>
  <c r="AA965" i="26"/>
  <c r="Z965" i="26"/>
  <c r="AA964" i="26"/>
  <c r="Z964" i="26"/>
  <c r="AA963" i="26"/>
  <c r="Z963" i="26"/>
  <c r="AA962" i="26"/>
  <c r="Z962" i="26"/>
  <c r="AA961" i="26"/>
  <c r="Z961" i="26"/>
  <c r="AA960" i="26"/>
  <c r="Z960" i="26"/>
  <c r="AA959" i="26"/>
  <c r="Z959" i="26"/>
  <c r="AA958" i="26"/>
  <c r="Z958" i="26"/>
  <c r="AA957" i="26"/>
  <c r="Z957" i="26"/>
  <c r="AA956" i="26"/>
  <c r="Z956" i="26"/>
  <c r="AA955" i="26"/>
  <c r="Z955" i="26"/>
  <c r="AA954" i="26"/>
  <c r="Z954" i="26"/>
  <c r="AA953" i="26"/>
  <c r="Z953" i="26"/>
  <c r="AA952" i="26"/>
  <c r="Z952" i="26"/>
  <c r="AA951" i="26"/>
  <c r="Z951" i="26"/>
  <c r="AA950" i="26"/>
  <c r="Z950" i="26"/>
  <c r="AA949" i="26"/>
  <c r="Z949" i="26"/>
  <c r="AA948" i="26"/>
  <c r="Z948" i="26"/>
  <c r="AA947" i="26"/>
  <c r="Z947" i="26"/>
  <c r="AA946" i="26"/>
  <c r="Z946" i="26"/>
  <c r="AA945" i="26"/>
  <c r="Z945" i="26"/>
  <c r="AA944" i="26"/>
  <c r="Z944" i="26"/>
  <c r="AA943" i="26"/>
  <c r="Z943" i="26"/>
  <c r="AA942" i="26"/>
  <c r="Z942" i="26"/>
  <c r="AA941" i="26"/>
  <c r="Z941" i="26"/>
  <c r="AA940" i="26"/>
  <c r="Z940" i="26"/>
  <c r="AA939" i="26"/>
  <c r="Z939" i="26"/>
  <c r="AA938" i="26"/>
  <c r="Z938" i="26"/>
  <c r="AA937" i="26"/>
  <c r="Z937" i="26"/>
  <c r="AA936" i="26"/>
  <c r="Z936" i="26"/>
  <c r="AA935" i="26"/>
  <c r="Z935" i="26"/>
  <c r="AA934" i="26"/>
  <c r="Z934" i="26"/>
  <c r="AA933" i="26"/>
  <c r="Z933" i="26"/>
  <c r="AA932" i="26"/>
  <c r="Z932" i="26"/>
  <c r="AA931" i="26"/>
  <c r="Z931" i="26"/>
  <c r="AA930" i="26"/>
  <c r="Z930" i="26"/>
  <c r="AA929" i="26"/>
  <c r="Z929" i="26"/>
  <c r="AA928" i="26"/>
  <c r="Z928" i="26"/>
  <c r="AA927" i="26"/>
  <c r="Z927" i="26"/>
  <c r="AA926" i="26"/>
  <c r="Z926" i="26"/>
  <c r="AA925" i="26"/>
  <c r="Z925" i="26"/>
  <c r="AA924" i="26"/>
  <c r="Z924" i="26"/>
  <c r="AA923" i="26"/>
  <c r="Z923" i="26"/>
  <c r="AA922" i="26"/>
  <c r="Z922" i="26"/>
  <c r="AA921" i="26"/>
  <c r="Z921" i="26"/>
  <c r="AA920" i="26"/>
  <c r="Z920" i="26"/>
  <c r="AA919" i="26"/>
  <c r="Z919" i="26"/>
  <c r="AA918" i="26"/>
  <c r="Z918" i="26"/>
  <c r="AA917" i="26"/>
  <c r="Z917" i="26"/>
  <c r="AA916" i="26"/>
  <c r="Z916" i="26"/>
  <c r="AA915" i="26"/>
  <c r="Z915" i="26"/>
  <c r="AA914" i="26"/>
  <c r="Z914" i="26"/>
  <c r="AA913" i="26"/>
  <c r="Z913" i="26"/>
  <c r="AA912" i="26"/>
  <c r="Z912" i="26"/>
  <c r="AA911" i="26"/>
  <c r="Z911" i="26"/>
  <c r="AA910" i="26"/>
  <c r="Z910" i="26"/>
  <c r="AA909" i="26"/>
  <c r="Z909" i="26"/>
  <c r="AA908" i="26"/>
  <c r="Z908" i="26"/>
  <c r="AA907" i="26"/>
  <c r="Z907" i="26"/>
  <c r="AA906" i="26"/>
  <c r="Z906" i="26"/>
  <c r="AA905" i="26"/>
  <c r="Z905" i="26"/>
  <c r="AA904" i="26"/>
  <c r="Z904" i="26"/>
  <c r="AA903" i="26"/>
  <c r="Z903" i="26"/>
  <c r="AA902" i="26"/>
  <c r="Z902" i="26"/>
  <c r="AA901" i="26"/>
  <c r="Z901" i="26"/>
  <c r="AA900" i="26"/>
  <c r="Z900" i="26"/>
  <c r="AA899" i="26"/>
  <c r="Z899" i="26"/>
  <c r="AA898" i="26"/>
  <c r="Z898" i="26"/>
  <c r="AA897" i="26"/>
  <c r="Z897" i="26"/>
  <c r="AA896" i="26"/>
  <c r="Z896" i="26"/>
  <c r="AA895" i="26"/>
  <c r="Z895" i="26"/>
  <c r="AA894" i="26"/>
  <c r="Z894" i="26"/>
  <c r="AA893" i="26"/>
  <c r="Z893" i="26"/>
  <c r="AA892" i="26"/>
  <c r="Z892" i="26"/>
  <c r="AA891" i="26"/>
  <c r="Z891" i="26"/>
  <c r="AA890" i="26"/>
  <c r="Z890" i="26"/>
  <c r="AA889" i="26"/>
  <c r="Z889" i="26"/>
  <c r="AA888" i="26"/>
  <c r="Z888" i="26"/>
  <c r="AA887" i="26"/>
  <c r="Z887" i="26"/>
  <c r="AA886" i="26"/>
  <c r="Z886" i="26"/>
  <c r="AA885" i="26"/>
  <c r="Z885" i="26"/>
  <c r="AA884" i="26"/>
  <c r="Z884" i="26"/>
  <c r="AA883" i="26"/>
  <c r="Z883" i="26"/>
  <c r="AA882" i="26"/>
  <c r="Z882" i="26"/>
  <c r="AA881" i="26"/>
  <c r="Z881" i="26"/>
  <c r="AA880" i="26"/>
  <c r="Z880" i="26"/>
  <c r="AA879" i="26"/>
  <c r="Z879" i="26"/>
  <c r="AA878" i="26"/>
  <c r="Z878" i="26"/>
  <c r="AA877" i="26"/>
  <c r="Z877" i="26"/>
  <c r="AA876" i="26"/>
  <c r="Z876" i="26"/>
  <c r="AA875" i="26"/>
  <c r="Z875" i="26"/>
  <c r="AA874" i="26"/>
  <c r="Z874" i="26"/>
  <c r="AA873" i="26"/>
  <c r="Z873" i="26"/>
  <c r="AA872" i="26"/>
  <c r="Z872" i="26"/>
  <c r="AA871" i="26"/>
  <c r="Z871" i="26"/>
  <c r="AA870" i="26"/>
  <c r="Z870" i="26"/>
  <c r="AA869" i="26"/>
  <c r="Z869" i="26"/>
  <c r="AA868" i="26"/>
  <c r="Z868" i="26"/>
  <c r="AA867" i="26"/>
  <c r="Z867" i="26"/>
  <c r="AA866" i="26"/>
  <c r="Z866" i="26"/>
  <c r="AA865" i="26"/>
  <c r="Z865" i="26"/>
  <c r="AA864" i="26"/>
  <c r="Z864" i="26"/>
  <c r="AA863" i="26"/>
  <c r="Z863" i="26"/>
  <c r="AA862" i="26"/>
  <c r="Z862" i="26"/>
  <c r="AA861" i="26"/>
  <c r="Z861" i="26"/>
  <c r="AA860" i="26"/>
  <c r="Z860" i="26"/>
  <c r="AA859" i="26"/>
  <c r="Z859" i="26"/>
  <c r="AA858" i="26"/>
  <c r="Z858" i="26"/>
  <c r="AA857" i="26"/>
  <c r="Z857" i="26"/>
  <c r="AA856" i="26"/>
  <c r="Z856" i="26"/>
  <c r="AA855" i="26"/>
  <c r="Z855" i="26"/>
  <c r="AA854" i="26"/>
  <c r="Z854" i="26"/>
  <c r="AA853" i="26"/>
  <c r="Z853" i="26"/>
  <c r="AA852" i="26"/>
  <c r="Z852" i="26"/>
  <c r="AA851" i="26"/>
  <c r="Z851" i="26"/>
  <c r="AA850" i="26"/>
  <c r="Z850" i="26"/>
  <c r="AA849" i="26"/>
  <c r="Z849" i="26"/>
  <c r="AA848" i="26"/>
  <c r="Z848" i="26"/>
  <c r="AA847" i="26"/>
  <c r="Z847" i="26"/>
  <c r="AA846" i="26"/>
  <c r="Z846" i="26"/>
  <c r="AA845" i="26"/>
  <c r="Z845" i="26"/>
  <c r="AA844" i="26"/>
  <c r="Z844" i="26"/>
  <c r="AA843" i="26"/>
  <c r="Z843" i="26"/>
  <c r="AA842" i="26"/>
  <c r="Z842" i="26"/>
  <c r="AA841" i="26"/>
  <c r="Z841" i="26"/>
  <c r="AA840" i="26"/>
  <c r="Z840" i="26"/>
  <c r="AA839" i="26"/>
  <c r="Z839" i="26"/>
  <c r="AA838" i="26"/>
  <c r="Z838" i="26"/>
  <c r="AA837" i="26"/>
  <c r="Z837" i="26"/>
  <c r="AA836" i="26"/>
  <c r="Z836" i="26"/>
  <c r="AA835" i="26"/>
  <c r="Z835" i="26"/>
  <c r="AA834" i="26"/>
  <c r="Z834" i="26"/>
  <c r="AA833" i="26"/>
  <c r="Z833" i="26"/>
  <c r="AA832" i="26"/>
  <c r="Z832" i="26"/>
  <c r="AA831" i="26"/>
  <c r="Z831" i="26"/>
  <c r="AA830" i="26"/>
  <c r="Z830" i="26"/>
  <c r="AA829" i="26"/>
  <c r="Z829" i="26"/>
  <c r="AA828" i="26"/>
  <c r="Z828" i="26"/>
  <c r="AA827" i="26"/>
  <c r="Z827" i="26"/>
  <c r="AA826" i="26"/>
  <c r="Z826" i="26"/>
  <c r="AA825" i="26"/>
  <c r="Z825" i="26"/>
  <c r="AA824" i="26"/>
  <c r="Z824" i="26"/>
  <c r="AA823" i="26"/>
  <c r="Z823" i="26"/>
  <c r="AA822" i="26"/>
  <c r="Z822" i="26"/>
  <c r="AA821" i="26"/>
  <c r="Z821" i="26"/>
  <c r="AA820" i="26"/>
  <c r="Z820" i="26"/>
  <c r="AA819" i="26"/>
  <c r="Z819" i="26"/>
  <c r="AA818" i="26"/>
  <c r="Z818" i="26"/>
  <c r="AA817" i="26"/>
  <c r="Z817" i="26"/>
  <c r="AA816" i="26"/>
  <c r="Z816" i="26"/>
  <c r="AA815" i="26"/>
  <c r="Z815" i="26"/>
  <c r="AA814" i="26"/>
  <c r="Z814" i="26"/>
  <c r="AA813" i="26"/>
  <c r="Z813" i="26"/>
  <c r="AA812" i="26"/>
  <c r="Z812" i="26"/>
  <c r="AA811" i="26"/>
  <c r="Z811" i="26"/>
  <c r="AA810" i="26"/>
  <c r="Z810" i="26"/>
  <c r="AA809" i="26"/>
  <c r="Z809" i="26"/>
  <c r="AA808" i="26"/>
  <c r="Z808" i="26"/>
  <c r="AA807" i="26"/>
  <c r="Z807" i="26"/>
  <c r="AA806" i="26"/>
  <c r="Z806" i="26"/>
  <c r="AA805" i="26"/>
  <c r="Z805" i="26"/>
  <c r="AA804" i="26"/>
  <c r="Z804" i="26"/>
  <c r="AA803" i="26"/>
  <c r="Z803" i="26"/>
  <c r="AA802" i="26"/>
  <c r="Z802" i="26"/>
  <c r="AA801" i="26"/>
  <c r="Z801" i="26"/>
  <c r="AA800" i="26"/>
  <c r="Z800" i="26"/>
  <c r="AA799" i="26"/>
  <c r="Z799" i="26"/>
  <c r="AA798" i="26"/>
  <c r="Z798" i="26"/>
  <c r="AA797" i="26"/>
  <c r="Z797" i="26"/>
  <c r="AA796" i="26"/>
  <c r="Z796" i="26"/>
  <c r="AA795" i="26"/>
  <c r="Z795" i="26"/>
  <c r="AA794" i="26"/>
  <c r="Z794" i="26"/>
  <c r="AA793" i="26"/>
  <c r="Z793" i="26"/>
  <c r="AA792" i="26"/>
  <c r="Z792" i="26"/>
  <c r="AA791" i="26"/>
  <c r="Z791" i="26"/>
  <c r="AA790" i="26"/>
  <c r="Z790" i="26"/>
  <c r="AA789" i="26"/>
  <c r="Z789" i="26"/>
  <c r="AA788" i="26"/>
  <c r="Z788" i="26"/>
  <c r="AA787" i="26"/>
  <c r="Z787" i="26"/>
  <c r="AA786" i="26"/>
  <c r="Z786" i="26"/>
  <c r="AA785" i="26"/>
  <c r="Z785" i="26"/>
  <c r="AA784" i="26"/>
  <c r="Z784" i="26"/>
  <c r="AA783" i="26"/>
  <c r="Z783" i="26"/>
  <c r="AA782" i="26"/>
  <c r="Z782" i="26"/>
  <c r="AA781" i="26"/>
  <c r="Z781" i="26"/>
  <c r="AA780" i="26"/>
  <c r="Z780" i="26"/>
  <c r="AA779" i="26"/>
  <c r="Z779" i="26"/>
  <c r="AA778" i="26"/>
  <c r="Z778" i="26"/>
  <c r="AA777" i="26"/>
  <c r="Z777" i="26"/>
  <c r="AA776" i="26"/>
  <c r="Z776" i="26"/>
  <c r="AA775" i="26"/>
  <c r="Z775" i="26"/>
  <c r="AA774" i="26"/>
  <c r="Z774" i="26"/>
  <c r="AA773" i="26"/>
  <c r="Z773" i="26"/>
  <c r="AA772" i="26"/>
  <c r="Z772" i="26"/>
  <c r="AA771" i="26"/>
  <c r="Z771" i="26"/>
  <c r="AA770" i="26"/>
  <c r="Z770" i="26"/>
  <c r="AA769" i="26"/>
  <c r="Z769" i="26"/>
  <c r="AA768" i="26"/>
  <c r="Z768" i="26"/>
  <c r="AA767" i="26"/>
  <c r="Z767" i="26"/>
  <c r="AA766" i="26"/>
  <c r="Z766" i="26"/>
  <c r="AA765" i="26"/>
  <c r="Z765" i="26"/>
  <c r="AA764" i="26"/>
  <c r="Z764" i="26"/>
  <c r="AA763" i="26"/>
  <c r="Z763" i="26"/>
  <c r="AA762" i="26"/>
  <c r="Z762" i="26"/>
  <c r="AA761" i="26"/>
  <c r="Z761" i="26"/>
  <c r="AA760" i="26"/>
  <c r="Z760" i="26"/>
  <c r="AA759" i="26"/>
  <c r="Z759" i="26"/>
  <c r="AA758" i="26"/>
  <c r="Z758" i="26"/>
  <c r="AA757" i="26"/>
  <c r="Z757" i="26"/>
  <c r="AA756" i="26"/>
  <c r="Z756" i="26"/>
  <c r="AA755" i="26"/>
  <c r="Z755" i="26"/>
  <c r="AA754" i="26"/>
  <c r="Z754" i="26"/>
  <c r="AA753" i="26"/>
  <c r="Z753" i="26"/>
  <c r="AA752" i="26"/>
  <c r="Z752" i="26"/>
  <c r="AA751" i="26"/>
  <c r="Z751" i="26"/>
  <c r="AA750" i="26"/>
  <c r="Z750" i="26"/>
  <c r="AA749" i="26"/>
  <c r="Z749" i="26"/>
  <c r="AA748" i="26"/>
  <c r="Z748" i="26"/>
  <c r="AA747" i="26"/>
  <c r="Z747" i="26"/>
  <c r="AA746" i="26"/>
  <c r="Z746" i="26"/>
  <c r="AA745" i="26"/>
  <c r="Z745" i="26"/>
  <c r="AA744" i="26"/>
  <c r="Z744" i="26"/>
  <c r="AA743" i="26"/>
  <c r="Z743" i="26"/>
  <c r="AA742" i="26"/>
  <c r="Z742" i="26"/>
  <c r="AA741" i="26"/>
  <c r="Z741" i="26"/>
  <c r="AA740" i="26"/>
  <c r="Z740" i="26"/>
  <c r="AA739" i="26"/>
  <c r="Z739" i="26"/>
  <c r="AA738" i="26"/>
  <c r="Z738" i="26"/>
  <c r="AA737" i="26"/>
  <c r="Z737" i="26"/>
  <c r="AA736" i="26"/>
  <c r="Z736" i="26"/>
  <c r="AA735" i="26"/>
  <c r="Z735" i="26"/>
  <c r="AA734" i="26"/>
  <c r="Z734" i="26"/>
  <c r="AA733" i="26"/>
  <c r="Z733" i="26"/>
  <c r="AA732" i="26"/>
  <c r="Z732" i="26"/>
  <c r="AA731" i="26"/>
  <c r="Z731" i="26"/>
  <c r="AA730" i="26"/>
  <c r="Z730" i="26"/>
  <c r="AA729" i="26"/>
  <c r="Z729" i="26"/>
  <c r="AA728" i="26"/>
  <c r="Z728" i="26"/>
  <c r="AA727" i="26"/>
  <c r="Z727" i="26"/>
  <c r="AA726" i="26"/>
  <c r="Z726" i="26"/>
  <c r="AA725" i="26"/>
  <c r="Z725" i="26"/>
  <c r="AA724" i="26"/>
  <c r="Z724" i="26"/>
  <c r="AA723" i="26"/>
  <c r="Z723" i="26"/>
  <c r="AA722" i="26"/>
  <c r="Z722" i="26"/>
  <c r="AA721" i="26"/>
  <c r="Z721" i="26"/>
  <c r="AA720" i="26"/>
  <c r="Z720" i="26"/>
  <c r="AA719" i="26"/>
  <c r="Z719" i="26"/>
  <c r="AA718" i="26"/>
  <c r="Z718" i="26"/>
  <c r="AA717" i="26"/>
  <c r="Z717" i="26"/>
  <c r="AA716" i="26"/>
  <c r="Z716" i="26"/>
  <c r="AA715" i="26"/>
  <c r="Z715" i="26"/>
  <c r="AA714" i="26"/>
  <c r="Z714" i="26"/>
  <c r="AA713" i="26"/>
  <c r="Z713" i="26"/>
  <c r="AA712" i="26"/>
  <c r="Z712" i="26"/>
  <c r="AA711" i="26"/>
  <c r="Z711" i="26"/>
  <c r="AA710" i="26"/>
  <c r="Z710" i="26"/>
  <c r="AA709" i="26"/>
  <c r="Z709" i="26"/>
  <c r="AA708" i="26"/>
  <c r="Z708" i="26"/>
  <c r="AA707" i="26"/>
  <c r="Z707" i="26"/>
  <c r="AA706" i="26"/>
  <c r="Z706" i="26"/>
  <c r="AA705" i="26"/>
  <c r="Z705" i="26"/>
  <c r="AA704" i="26"/>
  <c r="Z704" i="26"/>
  <c r="AA703" i="26"/>
  <c r="Z703" i="26"/>
  <c r="AA702" i="26"/>
  <c r="Z702" i="26"/>
  <c r="AA701" i="26"/>
  <c r="Z701" i="26"/>
  <c r="AA700" i="26"/>
  <c r="Z700" i="26"/>
  <c r="AA699" i="26"/>
  <c r="Z699" i="26"/>
  <c r="AA698" i="26"/>
  <c r="Z698" i="26"/>
  <c r="AA697" i="26"/>
  <c r="Z697" i="26"/>
  <c r="AA696" i="26"/>
  <c r="Z696" i="26"/>
  <c r="AA695" i="26"/>
  <c r="Z695" i="26"/>
  <c r="AA694" i="26"/>
  <c r="Z694" i="26"/>
  <c r="AA693" i="26"/>
  <c r="Z693" i="26"/>
  <c r="AA692" i="26"/>
  <c r="Z692" i="26"/>
  <c r="AA691" i="26"/>
  <c r="Z691" i="26"/>
  <c r="AA690" i="26"/>
  <c r="Z690" i="26"/>
  <c r="AA689" i="26"/>
  <c r="Z689" i="26"/>
  <c r="AA688" i="26"/>
  <c r="Z688" i="26"/>
  <c r="AA687" i="26"/>
  <c r="Z687" i="26"/>
  <c r="AA686" i="26"/>
  <c r="Z686" i="26"/>
  <c r="AA685" i="26"/>
  <c r="Z685" i="26"/>
  <c r="AA684" i="26"/>
  <c r="Z684" i="26"/>
  <c r="AA683" i="26"/>
  <c r="Z683" i="26"/>
  <c r="AA682" i="26"/>
  <c r="Z682" i="26"/>
  <c r="AA681" i="26"/>
  <c r="Z681" i="26"/>
  <c r="AA680" i="26"/>
  <c r="Z680" i="26"/>
  <c r="AA679" i="26"/>
  <c r="Z679" i="26"/>
  <c r="AA678" i="26"/>
  <c r="Z678" i="26"/>
  <c r="AA677" i="26"/>
  <c r="Z677" i="26"/>
  <c r="AA676" i="26"/>
  <c r="Z676" i="26"/>
  <c r="AA675" i="26"/>
  <c r="Z675" i="26"/>
  <c r="AA674" i="26"/>
  <c r="Z674" i="26"/>
  <c r="AA673" i="26"/>
  <c r="Z673" i="26"/>
  <c r="AA672" i="26"/>
  <c r="Z672" i="26"/>
  <c r="AA671" i="26"/>
  <c r="Z671" i="26"/>
  <c r="AA670" i="26"/>
  <c r="Z670" i="26"/>
  <c r="AA669" i="26"/>
  <c r="Z669" i="26"/>
  <c r="AA668" i="26"/>
  <c r="Z668" i="26"/>
  <c r="AA667" i="26"/>
  <c r="Z667" i="26"/>
  <c r="AA666" i="26"/>
  <c r="Z666" i="26"/>
  <c r="AA665" i="26"/>
  <c r="Z665" i="26"/>
  <c r="AA664" i="26"/>
  <c r="Z664" i="26"/>
  <c r="AA663" i="26"/>
  <c r="Z663" i="26"/>
  <c r="AA662" i="26"/>
  <c r="Z662" i="26"/>
  <c r="AA661" i="26"/>
  <c r="Z661" i="26"/>
  <c r="AA660" i="26"/>
  <c r="Z660" i="26"/>
  <c r="AA659" i="26"/>
  <c r="Z659" i="26"/>
  <c r="AA658" i="26"/>
  <c r="Z658" i="26"/>
  <c r="AA657" i="26"/>
  <c r="Z657" i="26"/>
  <c r="AA656" i="26"/>
  <c r="Z656" i="26"/>
  <c r="AA655" i="26"/>
  <c r="Z655" i="26"/>
  <c r="AA654" i="26"/>
  <c r="Z654" i="26"/>
  <c r="AA653" i="26"/>
  <c r="Z653" i="26"/>
  <c r="AA652" i="26"/>
  <c r="Z652" i="26"/>
  <c r="AA651" i="26"/>
  <c r="Z651" i="26"/>
  <c r="AA650" i="26"/>
  <c r="Z650" i="26"/>
  <c r="AA649" i="26"/>
  <c r="Z649" i="26"/>
  <c r="AA648" i="26"/>
  <c r="Z648" i="26"/>
  <c r="AA647" i="26"/>
  <c r="Z647" i="26"/>
  <c r="AA646" i="26"/>
  <c r="Z646" i="26"/>
  <c r="AA645" i="26"/>
  <c r="Z645" i="26"/>
  <c r="AA644" i="26"/>
  <c r="Z644" i="26"/>
  <c r="AA643" i="26"/>
  <c r="Z643" i="26"/>
  <c r="AA642" i="26"/>
  <c r="Z642" i="26"/>
  <c r="AA641" i="26"/>
  <c r="Z641" i="26"/>
  <c r="AA640" i="26"/>
  <c r="Z640" i="26"/>
  <c r="AA639" i="26"/>
  <c r="Z639" i="26"/>
  <c r="AA638" i="26"/>
  <c r="Z638" i="26"/>
  <c r="AA637" i="26"/>
  <c r="Z637" i="26"/>
  <c r="AA636" i="26"/>
  <c r="Z636" i="26"/>
  <c r="AA635" i="26"/>
  <c r="Z635" i="26"/>
  <c r="AA634" i="26"/>
  <c r="Z634" i="26"/>
  <c r="AA633" i="26"/>
  <c r="Z633" i="26"/>
  <c r="AA632" i="26"/>
  <c r="Z632" i="26"/>
  <c r="AA631" i="26"/>
  <c r="Z631" i="26"/>
  <c r="AA630" i="26"/>
  <c r="Z630" i="26"/>
  <c r="AA629" i="26"/>
  <c r="Z629" i="26"/>
  <c r="AA628" i="26"/>
  <c r="Z628" i="26"/>
  <c r="AA627" i="26"/>
  <c r="Z627" i="26"/>
  <c r="AA626" i="26"/>
  <c r="Z626" i="26"/>
  <c r="AA625" i="26"/>
  <c r="Z625" i="26"/>
  <c r="AA624" i="26"/>
  <c r="Z624" i="26"/>
  <c r="AA623" i="26"/>
  <c r="Z623" i="26"/>
  <c r="AA622" i="26"/>
  <c r="Z622" i="26"/>
  <c r="AA621" i="26"/>
  <c r="Z621" i="26"/>
  <c r="AA620" i="26"/>
  <c r="Z620" i="26"/>
  <c r="AA619" i="26"/>
  <c r="Z619" i="26"/>
  <c r="AA618" i="26"/>
  <c r="Z618" i="26"/>
  <c r="AA617" i="26"/>
  <c r="Z617" i="26"/>
  <c r="AA616" i="26"/>
  <c r="Z616" i="26"/>
  <c r="AA615" i="26"/>
  <c r="Z615" i="26"/>
  <c r="AA614" i="26"/>
  <c r="Z614" i="26"/>
  <c r="AA613" i="26"/>
  <c r="Z613" i="26"/>
  <c r="AA612" i="26"/>
  <c r="Z612" i="26"/>
  <c r="AA611" i="26"/>
  <c r="Z611" i="26"/>
  <c r="AA610" i="26"/>
  <c r="Z610" i="26"/>
  <c r="AA609" i="26"/>
  <c r="Z609" i="26"/>
  <c r="AA608" i="26"/>
  <c r="Z608" i="26"/>
  <c r="AA607" i="26"/>
  <c r="Z607" i="26"/>
  <c r="AA606" i="26"/>
  <c r="Z606" i="26"/>
  <c r="AA605" i="26"/>
  <c r="Z605" i="26"/>
  <c r="AA604" i="26"/>
  <c r="Z604" i="26"/>
  <c r="AA603" i="26"/>
  <c r="Z603" i="26"/>
  <c r="AA602" i="26"/>
  <c r="Z602" i="26"/>
  <c r="AA601" i="26"/>
  <c r="Z601" i="26"/>
  <c r="AA600" i="26"/>
  <c r="Z600" i="26"/>
  <c r="AA599" i="26"/>
  <c r="Z599" i="26"/>
  <c r="AA598" i="26"/>
  <c r="Z598" i="26"/>
  <c r="AA597" i="26"/>
  <c r="Z597" i="26"/>
  <c r="AA596" i="26"/>
  <c r="Z596" i="26"/>
  <c r="AA595" i="26"/>
  <c r="Z595" i="26"/>
  <c r="AA594" i="26"/>
  <c r="Z594" i="26"/>
  <c r="AA593" i="26"/>
  <c r="Z593" i="26"/>
  <c r="AA592" i="26"/>
  <c r="Z592" i="26"/>
  <c r="AA591" i="26"/>
  <c r="Z591" i="26"/>
  <c r="AA590" i="26"/>
  <c r="Z590" i="26"/>
  <c r="AA589" i="26"/>
  <c r="Z589" i="26"/>
  <c r="AA588" i="26"/>
  <c r="Z588" i="26"/>
  <c r="AA587" i="26"/>
  <c r="Z587" i="26"/>
  <c r="AA586" i="26"/>
  <c r="Z586" i="26"/>
  <c r="AA585" i="26"/>
  <c r="Z585" i="26"/>
  <c r="AA584" i="26"/>
  <c r="Z584" i="26"/>
  <c r="AA583" i="26"/>
  <c r="Z583" i="26"/>
  <c r="AA582" i="26"/>
  <c r="Z582" i="26"/>
  <c r="AA581" i="26"/>
  <c r="Z581" i="26"/>
  <c r="AA580" i="26"/>
  <c r="Z580" i="26"/>
  <c r="AA579" i="26"/>
  <c r="Z579" i="26"/>
  <c r="AA578" i="26"/>
  <c r="Z578" i="26"/>
  <c r="AA577" i="26"/>
  <c r="Z577" i="26"/>
  <c r="AA576" i="26"/>
  <c r="Z576" i="26"/>
  <c r="AA575" i="26"/>
  <c r="Z575" i="26"/>
  <c r="AA574" i="26"/>
  <c r="Z574" i="26"/>
  <c r="AA573" i="26"/>
  <c r="Z573" i="26"/>
  <c r="AA572" i="26"/>
  <c r="Z572" i="26"/>
  <c r="AA571" i="26"/>
  <c r="Z571" i="26"/>
  <c r="AA570" i="26"/>
  <c r="Z570" i="26"/>
  <c r="AA569" i="26"/>
  <c r="Z569" i="26"/>
  <c r="AA568" i="26"/>
  <c r="Z568" i="26"/>
  <c r="AA567" i="26"/>
  <c r="Z567" i="26"/>
  <c r="AA566" i="26"/>
  <c r="Z566" i="26"/>
  <c r="AA565" i="26"/>
  <c r="Z565" i="26"/>
  <c r="AA564" i="26"/>
  <c r="Z564" i="26"/>
  <c r="AA563" i="26"/>
  <c r="Z563" i="26"/>
  <c r="AA562" i="26"/>
  <c r="Z562" i="26"/>
  <c r="AA561" i="26"/>
  <c r="Z561" i="26"/>
  <c r="AA560" i="26"/>
  <c r="Z560" i="26"/>
  <c r="AA559" i="26"/>
  <c r="Z559" i="26"/>
  <c r="AA558" i="26"/>
  <c r="Z558" i="26"/>
  <c r="AA557" i="26"/>
  <c r="Z557" i="26"/>
  <c r="AA556" i="26"/>
  <c r="Z556" i="26"/>
  <c r="AA555" i="26"/>
  <c r="Z555" i="26"/>
  <c r="AA554" i="26"/>
  <c r="Z554" i="26"/>
  <c r="AA553" i="26"/>
  <c r="Z553" i="26"/>
  <c r="AA552" i="26"/>
  <c r="Z552" i="26"/>
  <c r="AA551" i="26"/>
  <c r="Z551" i="26"/>
  <c r="AA550" i="26"/>
  <c r="Z550" i="26"/>
  <c r="AA549" i="26"/>
  <c r="Z549" i="26"/>
  <c r="AA548" i="26"/>
  <c r="Z548" i="26"/>
  <c r="AA547" i="26"/>
  <c r="Z547" i="26"/>
  <c r="AA546" i="26"/>
  <c r="Z546" i="26"/>
  <c r="AA545" i="26"/>
  <c r="Z545" i="26"/>
  <c r="AA544" i="26"/>
  <c r="Z544" i="26"/>
  <c r="AA543" i="26"/>
  <c r="Z543" i="26"/>
  <c r="AA542" i="26"/>
  <c r="Z542" i="26"/>
  <c r="AA541" i="26"/>
  <c r="Z541" i="26"/>
  <c r="AA540" i="26"/>
  <c r="Z540" i="26"/>
  <c r="AA539" i="26"/>
  <c r="Z539" i="26"/>
  <c r="AA538" i="26"/>
  <c r="Z538" i="26"/>
  <c r="AA537" i="26"/>
  <c r="Z537" i="26"/>
  <c r="AA536" i="26"/>
  <c r="Z536" i="26"/>
  <c r="AA535" i="26"/>
  <c r="Z535" i="26"/>
  <c r="AA534" i="26"/>
  <c r="Z534" i="26"/>
  <c r="AA533" i="26"/>
  <c r="Z533" i="26"/>
  <c r="AA532" i="26"/>
  <c r="Z532" i="26"/>
  <c r="AA531" i="26"/>
  <c r="Z531" i="26"/>
  <c r="AA530" i="26"/>
  <c r="Z530" i="26"/>
  <c r="AA529" i="26"/>
  <c r="Z529" i="26"/>
  <c r="AA528" i="26"/>
  <c r="Z528" i="26"/>
  <c r="AA527" i="26"/>
  <c r="Z527" i="26"/>
  <c r="AA526" i="26"/>
  <c r="Z526" i="26"/>
  <c r="AA525" i="26"/>
  <c r="Z525" i="26"/>
  <c r="AA524" i="26"/>
  <c r="Z524" i="26"/>
  <c r="AA523" i="26"/>
  <c r="Z523" i="26"/>
  <c r="AA522" i="26"/>
  <c r="Z522" i="26"/>
  <c r="AA521" i="26"/>
  <c r="Z521" i="26"/>
  <c r="AA520" i="26"/>
  <c r="Z520" i="26"/>
  <c r="AA519" i="26"/>
  <c r="Z519" i="26"/>
  <c r="AA518" i="26"/>
  <c r="Z518" i="26"/>
  <c r="AA517" i="26"/>
  <c r="Z517" i="26"/>
  <c r="AA516" i="26"/>
  <c r="Z516" i="26"/>
  <c r="AA515" i="26"/>
  <c r="Z515" i="26"/>
  <c r="AA514" i="26"/>
  <c r="Z514" i="26"/>
  <c r="AA513" i="26"/>
  <c r="Z513" i="26"/>
  <c r="AA512" i="26"/>
  <c r="Z512" i="26"/>
  <c r="AA511" i="26"/>
  <c r="Z511" i="26"/>
  <c r="AA510" i="26"/>
  <c r="Z510" i="26"/>
  <c r="AA509" i="26"/>
  <c r="Z509" i="26"/>
  <c r="AA508" i="26"/>
  <c r="Z508" i="26"/>
  <c r="AA507" i="26"/>
  <c r="Z507" i="26"/>
  <c r="AA506" i="26"/>
  <c r="Z506" i="26"/>
  <c r="AA505" i="26"/>
  <c r="Z505" i="26"/>
  <c r="AA504" i="26"/>
  <c r="Z504" i="26"/>
  <c r="AA503" i="26"/>
  <c r="Z503" i="26"/>
  <c r="AA502" i="26"/>
  <c r="Z502" i="26"/>
  <c r="AA501" i="26"/>
  <c r="Z501" i="26"/>
  <c r="AA500" i="26"/>
  <c r="Z500" i="26"/>
  <c r="AA499" i="26"/>
  <c r="Z499" i="26"/>
  <c r="AA498" i="26"/>
  <c r="Z498" i="26"/>
  <c r="AA497" i="26"/>
  <c r="Z497" i="26"/>
  <c r="AA496" i="26"/>
  <c r="Z496" i="26"/>
  <c r="AA495" i="26"/>
  <c r="Z495" i="26"/>
  <c r="AA494" i="26"/>
  <c r="Z494" i="26"/>
  <c r="AA493" i="26"/>
  <c r="Z493" i="26"/>
  <c r="AA492" i="26"/>
  <c r="Z492" i="26"/>
  <c r="AA491" i="26"/>
  <c r="Z491" i="26"/>
  <c r="AA490" i="26"/>
  <c r="Z490" i="26"/>
  <c r="AA489" i="26"/>
  <c r="Z489" i="26"/>
  <c r="AA488" i="26"/>
  <c r="Z488" i="26"/>
  <c r="AA487" i="26"/>
  <c r="Z487" i="26"/>
  <c r="AA486" i="26"/>
  <c r="Z486" i="26"/>
  <c r="AA485" i="26"/>
  <c r="Z485" i="26"/>
  <c r="AA484" i="26"/>
  <c r="Z484" i="26"/>
  <c r="AA483" i="26"/>
  <c r="Z483" i="26"/>
  <c r="AA482" i="26"/>
  <c r="Z482" i="26"/>
  <c r="AA481" i="26"/>
  <c r="Z481" i="26"/>
  <c r="AA480" i="26"/>
  <c r="Z480" i="26"/>
  <c r="AA479" i="26"/>
  <c r="Z479" i="26"/>
  <c r="AA478" i="26"/>
  <c r="Z478" i="26"/>
  <c r="AA477" i="26"/>
  <c r="Z477" i="26"/>
  <c r="AA476" i="26"/>
  <c r="Z476" i="26"/>
  <c r="AA475" i="26"/>
  <c r="Z475" i="26"/>
  <c r="AA474" i="26"/>
  <c r="Z474" i="26"/>
  <c r="AA473" i="26"/>
  <c r="Z473" i="26"/>
  <c r="AA472" i="26"/>
  <c r="Z472" i="26"/>
  <c r="AA471" i="26"/>
  <c r="Z471" i="26"/>
  <c r="AA470" i="26"/>
  <c r="Z470" i="26"/>
  <c r="AA469" i="26"/>
  <c r="Z469" i="26"/>
  <c r="AA468" i="26"/>
  <c r="Z468" i="26"/>
  <c r="AA467" i="26"/>
  <c r="Z467" i="26"/>
  <c r="AA466" i="26"/>
  <c r="Z466" i="26"/>
  <c r="AA465" i="26"/>
  <c r="Z465" i="26"/>
  <c r="AA464" i="26"/>
  <c r="Z464" i="26"/>
  <c r="AA463" i="26"/>
  <c r="Z463" i="26"/>
  <c r="AA462" i="26"/>
  <c r="Z462" i="26"/>
  <c r="AA461" i="26"/>
  <c r="Z461" i="26"/>
  <c r="AA460" i="26"/>
  <c r="Z460" i="26"/>
  <c r="AA459" i="26"/>
  <c r="Z459" i="26"/>
  <c r="AA458" i="26"/>
  <c r="Z458" i="26"/>
  <c r="AA457" i="26"/>
  <c r="Z457" i="26"/>
  <c r="AA456" i="26"/>
  <c r="Z456" i="26"/>
  <c r="AA455" i="26"/>
  <c r="Z455" i="26"/>
  <c r="AA454" i="26"/>
  <c r="Z454" i="26"/>
  <c r="AA453" i="26"/>
  <c r="Z453" i="26"/>
  <c r="AA452" i="26"/>
  <c r="Z452" i="26"/>
  <c r="AA451" i="26"/>
  <c r="Z451" i="26"/>
  <c r="AA450" i="26"/>
  <c r="Z450" i="26"/>
  <c r="AA449" i="26"/>
  <c r="Z449" i="26"/>
  <c r="AA448" i="26"/>
  <c r="Z448" i="26"/>
  <c r="AA447" i="26"/>
  <c r="Z447" i="26"/>
  <c r="AA446" i="26"/>
  <c r="Z446" i="26"/>
  <c r="AA445" i="26"/>
  <c r="Z445" i="26"/>
  <c r="AA444" i="26"/>
  <c r="Z444" i="26"/>
  <c r="AA443" i="26"/>
  <c r="Z443" i="26"/>
  <c r="AA442" i="26"/>
  <c r="Z442" i="26"/>
  <c r="AA441" i="26"/>
  <c r="Z441" i="26"/>
  <c r="AA440" i="26"/>
  <c r="Z440" i="26"/>
  <c r="AA439" i="26"/>
  <c r="Z439" i="26"/>
  <c r="AA438" i="26"/>
  <c r="Z438" i="26"/>
  <c r="AA437" i="26"/>
  <c r="Z437" i="26"/>
  <c r="AA436" i="26"/>
  <c r="Z436" i="26"/>
  <c r="AA435" i="26"/>
  <c r="Z435" i="26"/>
  <c r="AA434" i="26"/>
  <c r="Z434" i="26"/>
  <c r="AA433" i="26"/>
  <c r="Z433" i="26"/>
  <c r="AA432" i="26"/>
  <c r="Z432" i="26"/>
  <c r="AA431" i="26"/>
  <c r="Z431" i="26"/>
  <c r="AA430" i="26"/>
  <c r="Z430" i="26"/>
  <c r="AA429" i="26"/>
  <c r="Z429" i="26"/>
  <c r="AA428" i="26"/>
  <c r="Z428" i="26"/>
  <c r="AA427" i="26"/>
  <c r="Z427" i="26"/>
  <c r="AA426" i="26"/>
  <c r="Z426" i="26"/>
  <c r="AA425" i="26"/>
  <c r="Z425" i="26"/>
  <c r="AA424" i="26"/>
  <c r="Z424" i="26"/>
  <c r="AA423" i="26"/>
  <c r="Z423" i="26"/>
  <c r="AA422" i="26"/>
  <c r="Z422" i="26"/>
  <c r="AA421" i="26"/>
  <c r="Z421" i="26"/>
  <c r="AA420" i="26"/>
  <c r="Z420" i="26"/>
  <c r="AA419" i="26"/>
  <c r="Z419" i="26"/>
  <c r="AA418" i="26"/>
  <c r="Z418" i="26"/>
  <c r="AA417" i="26"/>
  <c r="Z417" i="26"/>
  <c r="AA416" i="26"/>
  <c r="Z416" i="26"/>
  <c r="AA415" i="26"/>
  <c r="Z415" i="26"/>
  <c r="AA414" i="26"/>
  <c r="Z414" i="26"/>
  <c r="AA413" i="26"/>
  <c r="Z413" i="26"/>
  <c r="AA412" i="26"/>
  <c r="Z412" i="26"/>
  <c r="AA411" i="26"/>
  <c r="Z411" i="26"/>
  <c r="AA410" i="26"/>
  <c r="Z410" i="26"/>
  <c r="AA409" i="26"/>
  <c r="Z409" i="26"/>
  <c r="AA408" i="26"/>
  <c r="Z408" i="26"/>
  <c r="AA407" i="26"/>
  <c r="Z407" i="26"/>
  <c r="AA406" i="26"/>
  <c r="Z406" i="26"/>
  <c r="AA405" i="26"/>
  <c r="Z405" i="26"/>
  <c r="AA404" i="26"/>
  <c r="Z404" i="26"/>
  <c r="AA403" i="26"/>
  <c r="Z403" i="26"/>
  <c r="AA402" i="26"/>
  <c r="Z402" i="26"/>
  <c r="AA401" i="26"/>
  <c r="Z401" i="26"/>
  <c r="AA400" i="26"/>
  <c r="Z400" i="26"/>
  <c r="AA399" i="26"/>
  <c r="Z399" i="26"/>
  <c r="AA398" i="26"/>
  <c r="Z398" i="26"/>
  <c r="AA397" i="26"/>
  <c r="Z397" i="26"/>
  <c r="AA396" i="26"/>
  <c r="Z396" i="26"/>
  <c r="AA395" i="26"/>
  <c r="Z395" i="26"/>
  <c r="AA394" i="26"/>
  <c r="Z394" i="26"/>
  <c r="AA393" i="26"/>
  <c r="Z393" i="26"/>
  <c r="AA392" i="26"/>
  <c r="Z392" i="26"/>
  <c r="AA391" i="26"/>
  <c r="Z391" i="26"/>
  <c r="AA390" i="26"/>
  <c r="Z390" i="26"/>
  <c r="AA389" i="26"/>
  <c r="Z389" i="26"/>
  <c r="AA388" i="26"/>
  <c r="Z388" i="26"/>
  <c r="AA387" i="26"/>
  <c r="Z387" i="26"/>
  <c r="AA386" i="26"/>
  <c r="Z386" i="26"/>
  <c r="AA385" i="26"/>
  <c r="Z385" i="26"/>
  <c r="AA384" i="26"/>
  <c r="Z384" i="26"/>
  <c r="AA383" i="26"/>
  <c r="Z383" i="26"/>
  <c r="AA382" i="26"/>
  <c r="Z382" i="26"/>
  <c r="AA381" i="26"/>
  <c r="Z381" i="26"/>
  <c r="AA380" i="26"/>
  <c r="Z380" i="26"/>
  <c r="AA379" i="26"/>
  <c r="Z379" i="26"/>
  <c r="AA378" i="26"/>
  <c r="Z378" i="26"/>
  <c r="AA377" i="26"/>
  <c r="Z377" i="26"/>
  <c r="AA376" i="26"/>
  <c r="Z376" i="26"/>
  <c r="AA375" i="26"/>
  <c r="Z375" i="26"/>
  <c r="AA374" i="26"/>
  <c r="Z374" i="26"/>
  <c r="AA373" i="26"/>
  <c r="Z373" i="26"/>
  <c r="AA372" i="26"/>
  <c r="Z372" i="26"/>
  <c r="AA371" i="26"/>
  <c r="Z371" i="26"/>
  <c r="AA370" i="26"/>
  <c r="Z370" i="26"/>
  <c r="AA369" i="26"/>
  <c r="Z369" i="26"/>
  <c r="AA368" i="26"/>
  <c r="Z368" i="26"/>
  <c r="AA367" i="26"/>
  <c r="Z367" i="26"/>
  <c r="AA366" i="26"/>
  <c r="Z366" i="26"/>
  <c r="AA365" i="26"/>
  <c r="Z365" i="26"/>
  <c r="AA364" i="26"/>
  <c r="Z364" i="26"/>
  <c r="AA363" i="26"/>
  <c r="Z363" i="26"/>
  <c r="AA362" i="26"/>
  <c r="Z362" i="26"/>
  <c r="AA361" i="26"/>
  <c r="Z361" i="26"/>
  <c r="AA360" i="26"/>
  <c r="Z360" i="26"/>
  <c r="AA359" i="26"/>
  <c r="Z359" i="26"/>
  <c r="AA358" i="26"/>
  <c r="Z358" i="26"/>
  <c r="AA357" i="26"/>
  <c r="Z357" i="26"/>
  <c r="AA356" i="26"/>
  <c r="Z356" i="26"/>
  <c r="AA355" i="26"/>
  <c r="Z355" i="26"/>
  <c r="AA354" i="26"/>
  <c r="Z354" i="26"/>
  <c r="AA353" i="26"/>
  <c r="Z353" i="26"/>
  <c r="AA352" i="26"/>
  <c r="Z352" i="26"/>
  <c r="AA351" i="26"/>
  <c r="Z351" i="26"/>
  <c r="AA350" i="26"/>
  <c r="Z350" i="26"/>
  <c r="AA349" i="26"/>
  <c r="Z349" i="26"/>
  <c r="AA348" i="26"/>
  <c r="Z348" i="26"/>
  <c r="AA347" i="26"/>
  <c r="Z347" i="26"/>
  <c r="AA346" i="26"/>
  <c r="Z346" i="26"/>
  <c r="AA345" i="26"/>
  <c r="Z345" i="26"/>
  <c r="AA344" i="26"/>
  <c r="Z344" i="26"/>
  <c r="AA343" i="26"/>
  <c r="Z343" i="26"/>
  <c r="AA342" i="26"/>
  <c r="Z342" i="26"/>
  <c r="AA341" i="26"/>
  <c r="Z341" i="26"/>
  <c r="AA340" i="26"/>
  <c r="Z340" i="26"/>
  <c r="AA339" i="26"/>
  <c r="Z339" i="26"/>
  <c r="AA338" i="26"/>
  <c r="Z338" i="26"/>
  <c r="AA337" i="26"/>
  <c r="Z337" i="26"/>
  <c r="AA336" i="26"/>
  <c r="Z336" i="26"/>
  <c r="AA335" i="26"/>
  <c r="Z335" i="26"/>
  <c r="AA334" i="26"/>
  <c r="Z334" i="26"/>
  <c r="AA333" i="26"/>
  <c r="Z333" i="26"/>
  <c r="AA332" i="26"/>
  <c r="Z332" i="26"/>
  <c r="AA331" i="26"/>
  <c r="Z331" i="26"/>
  <c r="AA330" i="26"/>
  <c r="Z330" i="26"/>
  <c r="AA329" i="26"/>
  <c r="Z329" i="26"/>
  <c r="AA328" i="26"/>
  <c r="Z328" i="26"/>
  <c r="AA327" i="26"/>
  <c r="Z327" i="26"/>
  <c r="AA326" i="26"/>
  <c r="Z326" i="26"/>
  <c r="AA325" i="26"/>
  <c r="Z325" i="26"/>
  <c r="AA324" i="26"/>
  <c r="Z324" i="26"/>
  <c r="AA323" i="26"/>
  <c r="Z323" i="26"/>
  <c r="AA322" i="26"/>
  <c r="Z322" i="26"/>
  <c r="AA321" i="26"/>
  <c r="Z321" i="26"/>
  <c r="AA320" i="26"/>
  <c r="Z320" i="26"/>
  <c r="AA319" i="26"/>
  <c r="Z319" i="26"/>
  <c r="AA318" i="26"/>
  <c r="Z318" i="26"/>
  <c r="AA317" i="26"/>
  <c r="Z317" i="26"/>
  <c r="AA316" i="26"/>
  <c r="Z316" i="26"/>
  <c r="AA315" i="26"/>
  <c r="Z315" i="26"/>
  <c r="AA314" i="26"/>
  <c r="Z314" i="26"/>
  <c r="AA313" i="26"/>
  <c r="Z313" i="26"/>
  <c r="AA312" i="26"/>
  <c r="Z312" i="26"/>
  <c r="AA311" i="26"/>
  <c r="Z311" i="26"/>
  <c r="AA310" i="26"/>
  <c r="Z310" i="26"/>
  <c r="AA309" i="26"/>
  <c r="Z309" i="26"/>
  <c r="AA308" i="26"/>
  <c r="Z308" i="26"/>
  <c r="AA307" i="26"/>
  <c r="Z307" i="26"/>
  <c r="AA306" i="26"/>
  <c r="Z306" i="26"/>
  <c r="AA305" i="26"/>
  <c r="Z305" i="26"/>
  <c r="AA304" i="26"/>
  <c r="Z304" i="26"/>
  <c r="AA303" i="26"/>
  <c r="Z303" i="26"/>
  <c r="AA302" i="26"/>
  <c r="Z302" i="26"/>
  <c r="AA301" i="26"/>
  <c r="Z301" i="26"/>
  <c r="AA300" i="26"/>
  <c r="Z300" i="26"/>
  <c r="AA299" i="26"/>
  <c r="Z299" i="26"/>
  <c r="AA298" i="26"/>
  <c r="Z298" i="26"/>
  <c r="AA297" i="26"/>
  <c r="Z297" i="26"/>
  <c r="AA296" i="26"/>
  <c r="Z296" i="26"/>
  <c r="AA295" i="26"/>
  <c r="Z295" i="26"/>
  <c r="AA294" i="26"/>
  <c r="Z294" i="26"/>
  <c r="AA293" i="26"/>
  <c r="Z293" i="26"/>
  <c r="AA292" i="26"/>
  <c r="Z292" i="26"/>
  <c r="AA291" i="26"/>
  <c r="Z291" i="26"/>
  <c r="AA290" i="26"/>
  <c r="Z290" i="26"/>
  <c r="AA289" i="26"/>
  <c r="Z289" i="26"/>
  <c r="AA288" i="26"/>
  <c r="Z288" i="26"/>
  <c r="AA287" i="26"/>
  <c r="Z287" i="26"/>
  <c r="AA286" i="26"/>
  <c r="Z286" i="26"/>
  <c r="AA285" i="26"/>
  <c r="Z285" i="26"/>
  <c r="AA284" i="26"/>
  <c r="Z284" i="26"/>
  <c r="AA283" i="26"/>
  <c r="Z283" i="26"/>
  <c r="AA282" i="26"/>
  <c r="Z282" i="26"/>
  <c r="AA281" i="26"/>
  <c r="Z281" i="26"/>
  <c r="AA280" i="26"/>
  <c r="Z280" i="26"/>
  <c r="AA279" i="26"/>
  <c r="Z279" i="26"/>
  <c r="AA278" i="26"/>
  <c r="Z278" i="26"/>
  <c r="AA277" i="26"/>
  <c r="Z277" i="26"/>
  <c r="AA276" i="26"/>
  <c r="Z276" i="26"/>
  <c r="AA275" i="26"/>
  <c r="Z275" i="26"/>
  <c r="AA274" i="26"/>
  <c r="Z274" i="26"/>
  <c r="AA273" i="26"/>
  <c r="Z273" i="26"/>
  <c r="AA272" i="26"/>
  <c r="Z272" i="26"/>
  <c r="AA271" i="26"/>
  <c r="Z271" i="26"/>
  <c r="AA270" i="26"/>
  <c r="Z270" i="26"/>
  <c r="AA269" i="26"/>
  <c r="Z269" i="26"/>
  <c r="AA268" i="26"/>
  <c r="Z268" i="26"/>
  <c r="AA267" i="26"/>
  <c r="Z267" i="26"/>
  <c r="AA266" i="26"/>
  <c r="Z266" i="26"/>
  <c r="AA265" i="26"/>
  <c r="Z265" i="26"/>
  <c r="AA264" i="26"/>
  <c r="Z264" i="26"/>
  <c r="AA263" i="26"/>
  <c r="Z263" i="26"/>
  <c r="AA262" i="26"/>
  <c r="Z262" i="26"/>
  <c r="AA261" i="26"/>
  <c r="Z261" i="26"/>
  <c r="AA260" i="26"/>
  <c r="Z260" i="26"/>
  <c r="AA259" i="26"/>
  <c r="Z259" i="26"/>
  <c r="AA258" i="26"/>
  <c r="Z258" i="26"/>
  <c r="AA257" i="26"/>
  <c r="Z257" i="26"/>
  <c r="AA256" i="26"/>
  <c r="Z256" i="26"/>
  <c r="AA255" i="26"/>
  <c r="Z255" i="26"/>
  <c r="AA254" i="26"/>
  <c r="Z254" i="26"/>
  <c r="AA253" i="26"/>
  <c r="Z253" i="26"/>
  <c r="AA252" i="26"/>
  <c r="Z252" i="26"/>
  <c r="AA251" i="26"/>
  <c r="Z251" i="26"/>
  <c r="AA250" i="26"/>
  <c r="Z250" i="26"/>
  <c r="AA249" i="26"/>
  <c r="Z249" i="26"/>
  <c r="AA248" i="26"/>
  <c r="Z248" i="26"/>
  <c r="AA247" i="26"/>
  <c r="Z247" i="26"/>
  <c r="AA246" i="26"/>
  <c r="Z246" i="26"/>
  <c r="AA245" i="26"/>
  <c r="Z245" i="26"/>
  <c r="AA244" i="26"/>
  <c r="Z244" i="26"/>
  <c r="AA243" i="26"/>
  <c r="Z243" i="26"/>
  <c r="AA242" i="26"/>
  <c r="Z242" i="26"/>
  <c r="AA241" i="26"/>
  <c r="Z241" i="26"/>
  <c r="AA240" i="26"/>
  <c r="Z240" i="26"/>
  <c r="AA239" i="26"/>
  <c r="Z239" i="26"/>
  <c r="AA238" i="26"/>
  <c r="Z238" i="26"/>
  <c r="AA237" i="26"/>
  <c r="Z237" i="26"/>
  <c r="AA236" i="26"/>
  <c r="Z236" i="26"/>
  <c r="AA235" i="26"/>
  <c r="Z235" i="26"/>
  <c r="AA234" i="26"/>
  <c r="Z234" i="26"/>
  <c r="AA233" i="26"/>
  <c r="Z233" i="26"/>
  <c r="AA232" i="26"/>
  <c r="Z232" i="26"/>
  <c r="AA231" i="26"/>
  <c r="Z231" i="26"/>
  <c r="AA230" i="26"/>
  <c r="Z230" i="26"/>
  <c r="AA229" i="26"/>
  <c r="Z229" i="26"/>
  <c r="AA228" i="26"/>
  <c r="Z228" i="26"/>
  <c r="AA227" i="26"/>
  <c r="Z227" i="26"/>
  <c r="AA226" i="26"/>
  <c r="Z226" i="26"/>
  <c r="AA225" i="26"/>
  <c r="Z225" i="26"/>
  <c r="AA224" i="26"/>
  <c r="Z224" i="26"/>
  <c r="AA223" i="26"/>
  <c r="Z223" i="26"/>
  <c r="AA222" i="26"/>
  <c r="Z222" i="26"/>
  <c r="AA221" i="26"/>
  <c r="Z221" i="26"/>
  <c r="AA220" i="26"/>
  <c r="Z220" i="26"/>
  <c r="AA219" i="26"/>
  <c r="Z219" i="26"/>
  <c r="AA218" i="26"/>
  <c r="Z218" i="26"/>
  <c r="AA217" i="26"/>
  <c r="Z217" i="26"/>
  <c r="AA216" i="26"/>
  <c r="Z216" i="26"/>
  <c r="AA215" i="26"/>
  <c r="Z215" i="26"/>
  <c r="AA214" i="26"/>
  <c r="Z214" i="26"/>
  <c r="AA213" i="26"/>
  <c r="Z213" i="26"/>
  <c r="AA212" i="26"/>
  <c r="Z212" i="26"/>
  <c r="AA211" i="26"/>
  <c r="Z211" i="26"/>
  <c r="AA210" i="26"/>
  <c r="Z210" i="26"/>
  <c r="AA209" i="26"/>
  <c r="Z209" i="26"/>
  <c r="AA208" i="26"/>
  <c r="Z208" i="26"/>
  <c r="AA207" i="26"/>
  <c r="Z207" i="26"/>
  <c r="AA206" i="26"/>
  <c r="Z206" i="26"/>
  <c r="AA205" i="26"/>
  <c r="Z205" i="26"/>
  <c r="AA204" i="26"/>
  <c r="Z204" i="26"/>
  <c r="AA203" i="26"/>
  <c r="Z203" i="26"/>
  <c r="AA202" i="26"/>
  <c r="Z202" i="26"/>
  <c r="AA201" i="26"/>
  <c r="Z201" i="26"/>
  <c r="AA200" i="26"/>
  <c r="Z200" i="26"/>
  <c r="AA199" i="26"/>
  <c r="Z199" i="26"/>
  <c r="AA198" i="26"/>
  <c r="Z198" i="26"/>
  <c r="AA197" i="26"/>
  <c r="Z197" i="26"/>
  <c r="AA196" i="26"/>
  <c r="Z196" i="26"/>
  <c r="AA195" i="26"/>
  <c r="Z195" i="26"/>
  <c r="AA194" i="26"/>
  <c r="Z194" i="26"/>
  <c r="AA193" i="26"/>
  <c r="Z193" i="26"/>
  <c r="AA192" i="26"/>
  <c r="Z192" i="26"/>
  <c r="AA191" i="26"/>
  <c r="Z191" i="26"/>
  <c r="AA190" i="26"/>
  <c r="Z190" i="26"/>
  <c r="AA189" i="26"/>
  <c r="Z189" i="26"/>
  <c r="AA188" i="26"/>
  <c r="Z188" i="26"/>
  <c r="AA187" i="26"/>
  <c r="Z187" i="26"/>
  <c r="AA186" i="26"/>
  <c r="Z186" i="26"/>
  <c r="AA185" i="26"/>
  <c r="Z185" i="26"/>
  <c r="AA184" i="26"/>
  <c r="Z184" i="26"/>
  <c r="AA183" i="26"/>
  <c r="Z183" i="26"/>
  <c r="AA182" i="26"/>
  <c r="Z182" i="26"/>
  <c r="AA181" i="26"/>
  <c r="Z181" i="26"/>
  <c r="AA180" i="26"/>
  <c r="Z180" i="26"/>
  <c r="AA179" i="26"/>
  <c r="Z179" i="26"/>
  <c r="AA178" i="26"/>
  <c r="Z178" i="26"/>
  <c r="AA177" i="26"/>
  <c r="Z177" i="26"/>
  <c r="AA176" i="26"/>
  <c r="Z176" i="26"/>
  <c r="AA175" i="26"/>
  <c r="Z175" i="26"/>
  <c r="AA174" i="26"/>
  <c r="Z174" i="26"/>
  <c r="AA173" i="26"/>
  <c r="Z173" i="26"/>
  <c r="AA172" i="26"/>
  <c r="Z172" i="26"/>
  <c r="AA171" i="26"/>
  <c r="Z171" i="26"/>
  <c r="AA170" i="26"/>
  <c r="Z170" i="26"/>
  <c r="AA169" i="26"/>
  <c r="Z169" i="26"/>
  <c r="AA168" i="26"/>
  <c r="Z168" i="26"/>
  <c r="AA167" i="26"/>
  <c r="Z167" i="26"/>
  <c r="AA166" i="26"/>
  <c r="Z166" i="26"/>
  <c r="AA165" i="26"/>
  <c r="Z165" i="26"/>
  <c r="AA164" i="26"/>
  <c r="Z164" i="26"/>
  <c r="AA163" i="26"/>
  <c r="Z163" i="26"/>
  <c r="AA162" i="26"/>
  <c r="Z162" i="26"/>
  <c r="AA161" i="26"/>
  <c r="Z161" i="26"/>
  <c r="AA160" i="26"/>
  <c r="Z160" i="26"/>
  <c r="AA159" i="26"/>
  <c r="Z159" i="26"/>
  <c r="AA158" i="26"/>
  <c r="Z158" i="26"/>
  <c r="AA157" i="26"/>
  <c r="Z157" i="26"/>
  <c r="AA156" i="26"/>
  <c r="Z156" i="26"/>
  <c r="AA155" i="26"/>
  <c r="Z155" i="26"/>
  <c r="AA154" i="26"/>
  <c r="Z154" i="26"/>
  <c r="AA153" i="26"/>
  <c r="Z153" i="26"/>
  <c r="AA152" i="26"/>
  <c r="Z152" i="26"/>
  <c r="AA151" i="26"/>
  <c r="Z151" i="26"/>
  <c r="AA150" i="26"/>
  <c r="Z150" i="26"/>
  <c r="AA149" i="26"/>
  <c r="Z149" i="26"/>
  <c r="AA148" i="26"/>
  <c r="Z148" i="26"/>
  <c r="AA147" i="26"/>
  <c r="Z147" i="26"/>
  <c r="AA146" i="26"/>
  <c r="Z146" i="26"/>
  <c r="AA145" i="26"/>
  <c r="Z145" i="26"/>
  <c r="AA144" i="26"/>
  <c r="Z144" i="26"/>
  <c r="AA143" i="26"/>
  <c r="Z143" i="26"/>
  <c r="AA142" i="26"/>
  <c r="Z142" i="26"/>
  <c r="AA141" i="26"/>
  <c r="Z141" i="26"/>
  <c r="AA140" i="26"/>
  <c r="Z140" i="26"/>
  <c r="AA139" i="26"/>
  <c r="Z139" i="26"/>
  <c r="AA138" i="26"/>
  <c r="Z138" i="26"/>
  <c r="AA137" i="26"/>
  <c r="Z137" i="26"/>
  <c r="AA136" i="26"/>
  <c r="Z136" i="26"/>
  <c r="AA135" i="26"/>
  <c r="Z135" i="26"/>
  <c r="AA134" i="26"/>
  <c r="Z134" i="26"/>
  <c r="AA133" i="26"/>
  <c r="Z133" i="26"/>
  <c r="AA132" i="26"/>
  <c r="Z132" i="26"/>
  <c r="AA131" i="26"/>
  <c r="Z131" i="26"/>
  <c r="AA130" i="26"/>
  <c r="Z130" i="26"/>
  <c r="AA129" i="26"/>
  <c r="Z129" i="26"/>
  <c r="AA128" i="26"/>
  <c r="Z128" i="26"/>
  <c r="AA127" i="26"/>
  <c r="Z127" i="26"/>
  <c r="AA126" i="26"/>
  <c r="Z126" i="26"/>
  <c r="AA125" i="26"/>
  <c r="Z125" i="26"/>
  <c r="AA124" i="26"/>
  <c r="Z124" i="26"/>
  <c r="AA123" i="26"/>
  <c r="Z123" i="26"/>
  <c r="AA122" i="26"/>
  <c r="Z122" i="26"/>
  <c r="AA121" i="26"/>
  <c r="Z121" i="26"/>
  <c r="AA120" i="26"/>
  <c r="Z120" i="26"/>
  <c r="AA119" i="26"/>
  <c r="Z119" i="26"/>
  <c r="AA118" i="26"/>
  <c r="Z118" i="26"/>
  <c r="AA117" i="26"/>
  <c r="Z117" i="26"/>
  <c r="AA116" i="26"/>
  <c r="Z116" i="26"/>
  <c r="AA115" i="26"/>
  <c r="Z115" i="26"/>
  <c r="AA114" i="26"/>
  <c r="Z114" i="26"/>
  <c r="AA113" i="26"/>
  <c r="Z113" i="26"/>
  <c r="AA112" i="26"/>
  <c r="Z112" i="26"/>
  <c r="AA111" i="26"/>
  <c r="Z111" i="26"/>
  <c r="AA110" i="26"/>
  <c r="Z110" i="26"/>
  <c r="AA109" i="26"/>
  <c r="Z109" i="26"/>
  <c r="AA108" i="26"/>
  <c r="Z108" i="26"/>
  <c r="AA107" i="26"/>
  <c r="Z107" i="26"/>
  <c r="AA106" i="26"/>
  <c r="Z106" i="26"/>
  <c r="AA105" i="26"/>
  <c r="Z105" i="26"/>
  <c r="AA104" i="26"/>
  <c r="Z104" i="26"/>
  <c r="AA103" i="26"/>
  <c r="Z103" i="26"/>
  <c r="AA102" i="26"/>
  <c r="Z102" i="26"/>
  <c r="AA101" i="26"/>
  <c r="Z101" i="26"/>
  <c r="AA100" i="26"/>
  <c r="Z100" i="26"/>
  <c r="AA99" i="26"/>
  <c r="Z99" i="26"/>
  <c r="AA98" i="26"/>
  <c r="Z98" i="26"/>
  <c r="AA97" i="26"/>
  <c r="Z97" i="26"/>
  <c r="AA96" i="26"/>
  <c r="Z96" i="26"/>
  <c r="AA95" i="26"/>
  <c r="Z95" i="26"/>
  <c r="AA94" i="26"/>
  <c r="Z94" i="26"/>
  <c r="AA93" i="26"/>
  <c r="Z93" i="26"/>
  <c r="AA92" i="26"/>
  <c r="Z92" i="26"/>
  <c r="AA91" i="26"/>
  <c r="Z91" i="26"/>
  <c r="AA90" i="26"/>
  <c r="Z90" i="26"/>
  <c r="AA89" i="26"/>
  <c r="Z89" i="26"/>
  <c r="AA88" i="26"/>
  <c r="Z88" i="26"/>
  <c r="AA87" i="26"/>
  <c r="Z87" i="26"/>
  <c r="AA86" i="26"/>
  <c r="Z86" i="26"/>
  <c r="AA85" i="26"/>
  <c r="Z85" i="26"/>
  <c r="AA84" i="26"/>
  <c r="Z84" i="26"/>
  <c r="AA83" i="26"/>
  <c r="Z83" i="26"/>
  <c r="AA82" i="26"/>
  <c r="Z82" i="26"/>
  <c r="AA81" i="26"/>
  <c r="Z81" i="26"/>
  <c r="AA80" i="26"/>
  <c r="Z80" i="26"/>
  <c r="AA79" i="26"/>
  <c r="Z79" i="26"/>
  <c r="AA78" i="26"/>
  <c r="Z78" i="26"/>
  <c r="AA77" i="26"/>
  <c r="Z77" i="26"/>
  <c r="AA76" i="26"/>
  <c r="Z76" i="26"/>
  <c r="AA75" i="26"/>
  <c r="Z75" i="26"/>
  <c r="AA74" i="26"/>
  <c r="Z74" i="26"/>
  <c r="AA73" i="26"/>
  <c r="Z73" i="26"/>
  <c r="AA72" i="26"/>
  <c r="Z72" i="26"/>
  <c r="AA71" i="26"/>
  <c r="Z71" i="26"/>
  <c r="AA70" i="26"/>
  <c r="Z70" i="26"/>
  <c r="AA69" i="26"/>
  <c r="Z69" i="26"/>
  <c r="AA68" i="26"/>
  <c r="Z68" i="26"/>
  <c r="AA67" i="26"/>
  <c r="Z67" i="26"/>
  <c r="AA66" i="26"/>
  <c r="Z66" i="26"/>
  <c r="AA65" i="26"/>
  <c r="Z65" i="26"/>
  <c r="AA64" i="26"/>
  <c r="Z64" i="26"/>
  <c r="AA63" i="26"/>
  <c r="Z63" i="26"/>
  <c r="AA62" i="26"/>
  <c r="Z62" i="26"/>
  <c r="AA61" i="26"/>
  <c r="Z61" i="26"/>
  <c r="AA60" i="26"/>
  <c r="Z60" i="26"/>
  <c r="AA59" i="26"/>
  <c r="Z59" i="26"/>
  <c r="AA58" i="26"/>
  <c r="Z58" i="26"/>
  <c r="AA57" i="26"/>
  <c r="Z57" i="26"/>
  <c r="AA56" i="26"/>
  <c r="Z56" i="26"/>
  <c r="AA55" i="26"/>
  <c r="Z55" i="26"/>
  <c r="AA54" i="26"/>
  <c r="Z54" i="26"/>
  <c r="AA53" i="26"/>
  <c r="Z53" i="26"/>
  <c r="AA52" i="26"/>
  <c r="Z52" i="26"/>
  <c r="AA51" i="26"/>
  <c r="Z51" i="26"/>
  <c r="AA50" i="26"/>
  <c r="Z50" i="26"/>
  <c r="AA49" i="26"/>
  <c r="Z49" i="26"/>
  <c r="AA48" i="26"/>
  <c r="Z48" i="26"/>
  <c r="AA47" i="26"/>
  <c r="Z47" i="26"/>
  <c r="AA46" i="26"/>
  <c r="Z46" i="26"/>
  <c r="AA45" i="26"/>
  <c r="Z45" i="26"/>
  <c r="AA44" i="26"/>
  <c r="Z44" i="26"/>
  <c r="AA43" i="26"/>
  <c r="Z43" i="26"/>
  <c r="AA42" i="26"/>
  <c r="Z42" i="26"/>
  <c r="AA41" i="26"/>
  <c r="Z41" i="26"/>
  <c r="AA40" i="26"/>
  <c r="Z40" i="26"/>
  <c r="AA39" i="26"/>
  <c r="Z39" i="26"/>
  <c r="AA38" i="26"/>
  <c r="Z38" i="26"/>
  <c r="AA37" i="26"/>
  <c r="Z37" i="26"/>
  <c r="AA36" i="26"/>
  <c r="Z36" i="26"/>
  <c r="AA35" i="26"/>
  <c r="Z35" i="26"/>
  <c r="AA34" i="26"/>
  <c r="Z34" i="26"/>
  <c r="AA33" i="26"/>
  <c r="Z33" i="26"/>
  <c r="AA32" i="26"/>
  <c r="Z32" i="26"/>
  <c r="AA31" i="26"/>
  <c r="Z31" i="26"/>
  <c r="AA30" i="26"/>
  <c r="Z30" i="26"/>
  <c r="AA29" i="26"/>
  <c r="Z29" i="26"/>
  <c r="AA28" i="26"/>
  <c r="Z28" i="26"/>
  <c r="AA27" i="26"/>
  <c r="Z27" i="26"/>
  <c r="AA26" i="26"/>
  <c r="Z26" i="26"/>
  <c r="AA25" i="26"/>
  <c r="Z25" i="26"/>
  <c r="AA24" i="26"/>
  <c r="Z24" i="26"/>
  <c r="AA23" i="26"/>
  <c r="Z23" i="26"/>
  <c r="AA22" i="26"/>
  <c r="Z22" i="26"/>
  <c r="AA21" i="26"/>
  <c r="Z21" i="26"/>
  <c r="AA20" i="26"/>
  <c r="Z20" i="26"/>
  <c r="AA19" i="26"/>
  <c r="Z19" i="26"/>
  <c r="AA18" i="26"/>
  <c r="Z18" i="26"/>
  <c r="AA17" i="26"/>
  <c r="Z17" i="26"/>
  <c r="AA16" i="26"/>
  <c r="Z16" i="26"/>
  <c r="AA15" i="26"/>
  <c r="Z15" i="26"/>
  <c r="AA14" i="26"/>
  <c r="Z14" i="26"/>
  <c r="AA13" i="26"/>
  <c r="Z13" i="26"/>
  <c r="AA12" i="26"/>
  <c r="Z12" i="26"/>
  <c r="AA11" i="26"/>
  <c r="Z11" i="26"/>
  <c r="AA10" i="26"/>
  <c r="Z10" i="26"/>
  <c r="AA9" i="26"/>
  <c r="Z9" i="26"/>
  <c r="AA8" i="26"/>
  <c r="Z8" i="26"/>
  <c r="AA7" i="26"/>
  <c r="Z7" i="26"/>
  <c r="AA6" i="26"/>
  <c r="Z6" i="26"/>
  <c r="AA5" i="26"/>
  <c r="Z5" i="26"/>
  <c r="O23" i="57" l="1"/>
  <c r="K23" i="57"/>
  <c r="N22" i="57"/>
  <c r="J22" i="57"/>
  <c r="M21" i="57"/>
  <c r="K24" i="57"/>
  <c r="N23" i="57"/>
  <c r="J23" i="57"/>
  <c r="M22" i="57"/>
  <c r="L21" i="57"/>
  <c r="M23" i="57"/>
  <c r="L22" i="57"/>
  <c r="O21" i="57"/>
  <c r="K21" i="57"/>
  <c r="A19" i="57"/>
  <c r="A20" i="57" s="1"/>
  <c r="A21" i="57" s="1"/>
  <c r="A22" i="57" s="1"/>
  <c r="A23" i="57" s="1"/>
  <c r="A24" i="57" s="1"/>
  <c r="M24" i="57"/>
  <c r="L23" i="57"/>
  <c r="O22" i="57"/>
  <c r="N21" i="57"/>
  <c r="J21" i="57"/>
  <c r="K22" i="57"/>
  <c r="AZ1444" i="26"/>
  <c r="AZ1443" i="26"/>
  <c r="AZ1442" i="26"/>
  <c r="AZ1441" i="26"/>
  <c r="AZ1440" i="26"/>
  <c r="AZ1439" i="26"/>
  <c r="AZ1438" i="26"/>
  <c r="AZ1437" i="26"/>
  <c r="AZ1436" i="26"/>
  <c r="AZ1435" i="26"/>
  <c r="AZ1434" i="26"/>
  <c r="AZ1433" i="26"/>
  <c r="AZ1432" i="26"/>
  <c r="AZ1431" i="26"/>
  <c r="AZ1430" i="26"/>
  <c r="AZ1429" i="26"/>
  <c r="AZ1428" i="26"/>
  <c r="AZ1427" i="26"/>
  <c r="AZ1426" i="26"/>
  <c r="AZ1425" i="26"/>
  <c r="AZ1424" i="26"/>
  <c r="AZ1423" i="26"/>
  <c r="AZ1422" i="26"/>
  <c r="AZ1421" i="26"/>
  <c r="AZ1420" i="26"/>
  <c r="AZ1419" i="26"/>
  <c r="AZ1418" i="26"/>
  <c r="AZ1417" i="26"/>
  <c r="AZ1416" i="26"/>
  <c r="AZ1415" i="26"/>
  <c r="AZ1414" i="26"/>
  <c r="AZ1413" i="26"/>
  <c r="AZ1412" i="26"/>
  <c r="AZ1411" i="26"/>
  <c r="AZ1410" i="26"/>
  <c r="AZ1409" i="26"/>
  <c r="AZ1408" i="26"/>
  <c r="AZ1407" i="26"/>
  <c r="AZ1406" i="26"/>
  <c r="AZ1405" i="26"/>
  <c r="AZ1404" i="26"/>
  <c r="AZ1403" i="26"/>
  <c r="AZ1402" i="26"/>
  <c r="AZ1401" i="26"/>
  <c r="AZ1400" i="26"/>
  <c r="AZ1399" i="26"/>
  <c r="AZ1398" i="26"/>
  <c r="AZ1397" i="26"/>
  <c r="AZ1396" i="26"/>
  <c r="AZ1395" i="26"/>
  <c r="AZ1394" i="26"/>
  <c r="AZ1393" i="26"/>
  <c r="AZ1392" i="26"/>
  <c r="AZ1391" i="26"/>
  <c r="AZ1390" i="26"/>
  <c r="AZ1389" i="26"/>
  <c r="AZ1388" i="26"/>
  <c r="AZ1387" i="26"/>
  <c r="AZ1386" i="26"/>
  <c r="AZ1385" i="26"/>
  <c r="AZ1384" i="26"/>
  <c r="AZ1383" i="26"/>
  <c r="AZ1382" i="26"/>
  <c r="AZ1381" i="26"/>
  <c r="AZ1380" i="26"/>
  <c r="AZ1379" i="26"/>
  <c r="AZ1378" i="26"/>
  <c r="AZ1377" i="26"/>
  <c r="AZ1376" i="26"/>
  <c r="AZ1375" i="26"/>
  <c r="AZ1374" i="26"/>
  <c r="AZ1373" i="26"/>
  <c r="AZ1372" i="26"/>
  <c r="AZ1371" i="26"/>
  <c r="AZ1370" i="26"/>
  <c r="AZ1369" i="26"/>
  <c r="AZ1368" i="26"/>
  <c r="AZ1367" i="26"/>
  <c r="AZ1366" i="26"/>
  <c r="AZ1365" i="26"/>
  <c r="AZ1364" i="26"/>
  <c r="AZ1363" i="26"/>
  <c r="AZ1362" i="26"/>
  <c r="AZ1361" i="26"/>
  <c r="AZ1360" i="26"/>
  <c r="AZ1359" i="26"/>
  <c r="AZ1358" i="26"/>
  <c r="AZ1357" i="26"/>
  <c r="AZ1356" i="26"/>
  <c r="AZ1355" i="26"/>
  <c r="AZ1354" i="26"/>
  <c r="AZ1353" i="26"/>
  <c r="AZ1352" i="26"/>
  <c r="AZ1351" i="26"/>
  <c r="AZ1350" i="26"/>
  <c r="AZ1349" i="26"/>
  <c r="AZ1348" i="26"/>
  <c r="AZ1347" i="26"/>
  <c r="AZ1346" i="26"/>
  <c r="AZ1345" i="26"/>
  <c r="AZ1344" i="26"/>
  <c r="AZ1343" i="26"/>
  <c r="AZ1342" i="26"/>
  <c r="AZ1341" i="26"/>
  <c r="AZ1340" i="26"/>
  <c r="AZ1339" i="26"/>
  <c r="AZ1338" i="26"/>
  <c r="AZ1337" i="26"/>
  <c r="AZ1336" i="26"/>
  <c r="AZ1335" i="26"/>
  <c r="AZ1334" i="26"/>
  <c r="AZ1333" i="26"/>
  <c r="AZ1332" i="26"/>
  <c r="AZ1331" i="26"/>
  <c r="AZ1330" i="26"/>
  <c r="AZ1329" i="26"/>
  <c r="AZ1328" i="26"/>
  <c r="AZ1327" i="26"/>
  <c r="AZ1326" i="26"/>
  <c r="AZ1325" i="26"/>
  <c r="AZ1324" i="26"/>
  <c r="AZ1323" i="26"/>
  <c r="AZ1322" i="26"/>
  <c r="AZ1321" i="26"/>
  <c r="AZ1320" i="26"/>
  <c r="AZ1319" i="26"/>
  <c r="AZ1318" i="26"/>
  <c r="AZ1317" i="26"/>
  <c r="AZ1316" i="26"/>
  <c r="AZ1315" i="26"/>
  <c r="AZ1314" i="26"/>
  <c r="AZ1313" i="26"/>
  <c r="AZ1312" i="26"/>
  <c r="AZ1311" i="26"/>
  <c r="AZ1310" i="26"/>
  <c r="AZ1309" i="26"/>
  <c r="AZ1308" i="26"/>
  <c r="AZ1307" i="26"/>
  <c r="AZ1306" i="26"/>
  <c r="AZ1305" i="26"/>
  <c r="AZ1304" i="26"/>
  <c r="AZ1303" i="26"/>
  <c r="AZ1302" i="26"/>
  <c r="AZ1301" i="26"/>
  <c r="AZ1300" i="26"/>
  <c r="AZ1299" i="26"/>
  <c r="AZ1298" i="26"/>
  <c r="AZ1297" i="26"/>
  <c r="AZ1296" i="26"/>
  <c r="AZ1295" i="26"/>
  <c r="AZ1294" i="26"/>
  <c r="AZ1293" i="26"/>
  <c r="AZ1292" i="26"/>
  <c r="AZ1291" i="26"/>
  <c r="AZ1290" i="26"/>
  <c r="AZ1289" i="26"/>
  <c r="AZ1288" i="26"/>
  <c r="AZ1287" i="26"/>
  <c r="AZ1286" i="26"/>
  <c r="AZ1285" i="26"/>
  <c r="AZ1284" i="26"/>
  <c r="AZ1283" i="26"/>
  <c r="AZ1282" i="26"/>
  <c r="AZ1281" i="26"/>
  <c r="AZ1280" i="26"/>
  <c r="AZ1279" i="26"/>
  <c r="AZ1278" i="26"/>
  <c r="AZ1277" i="26"/>
  <c r="AZ1276" i="26"/>
  <c r="AZ1275" i="26"/>
  <c r="AZ1274" i="26"/>
  <c r="AZ1273" i="26"/>
  <c r="AZ1272" i="26"/>
  <c r="AZ1271" i="26"/>
  <c r="AZ1270" i="26"/>
  <c r="AZ1269" i="26"/>
  <c r="AZ1268" i="26"/>
  <c r="AZ1267" i="26"/>
  <c r="AZ1266" i="26"/>
  <c r="AZ1265" i="26"/>
  <c r="AZ1264" i="26"/>
  <c r="AZ1263" i="26"/>
  <c r="AZ1262" i="26"/>
  <c r="AZ1261" i="26"/>
  <c r="AZ1260" i="26"/>
  <c r="AZ1259" i="26"/>
  <c r="AZ1258" i="26"/>
  <c r="AZ1257" i="26"/>
  <c r="AZ1256" i="26"/>
  <c r="AZ1255" i="26"/>
  <c r="AZ1254" i="26"/>
  <c r="AZ1253" i="26"/>
  <c r="AZ1252" i="26"/>
  <c r="AZ1251" i="26"/>
  <c r="AZ1250" i="26"/>
  <c r="AZ1249" i="26"/>
  <c r="AZ1248" i="26"/>
  <c r="AZ1247" i="26"/>
  <c r="AZ1246" i="26"/>
  <c r="AZ1245" i="26"/>
  <c r="AZ1244" i="26"/>
  <c r="AZ1243" i="26"/>
  <c r="AZ1242" i="26"/>
  <c r="AZ1241" i="26"/>
  <c r="AZ1240" i="26"/>
  <c r="AZ1239" i="26"/>
  <c r="AZ1238" i="26"/>
  <c r="AZ1237" i="26"/>
  <c r="AZ1236" i="26"/>
  <c r="AZ1235" i="26"/>
  <c r="AZ1234" i="26"/>
  <c r="AZ1233" i="26"/>
  <c r="AZ1232" i="26"/>
  <c r="AZ1231" i="26"/>
  <c r="AZ1230" i="26"/>
  <c r="AZ1229" i="26"/>
  <c r="AZ1228" i="26"/>
  <c r="AZ1227" i="26"/>
  <c r="AZ1226" i="26"/>
  <c r="AZ1225" i="26"/>
  <c r="AZ1224" i="26"/>
  <c r="AZ1223" i="26"/>
  <c r="AZ1222" i="26"/>
  <c r="AZ1221" i="26"/>
  <c r="AZ1220" i="26"/>
  <c r="AZ1219" i="26"/>
  <c r="AZ1218" i="26"/>
  <c r="AZ1217" i="26"/>
  <c r="AZ1216" i="26"/>
  <c r="AZ1215" i="26"/>
  <c r="AZ1214" i="26"/>
  <c r="AZ1213" i="26"/>
  <c r="AZ1212" i="26"/>
  <c r="AZ1211" i="26"/>
  <c r="AZ1210" i="26"/>
  <c r="AZ1209" i="26"/>
  <c r="AZ1208" i="26"/>
  <c r="AZ1207" i="26"/>
  <c r="AZ1206" i="26"/>
  <c r="AZ1205" i="26"/>
  <c r="AZ1204" i="26"/>
  <c r="AZ1203" i="26"/>
  <c r="AZ1202" i="26"/>
  <c r="AZ1201" i="26"/>
  <c r="AZ1200" i="26"/>
  <c r="AZ1199" i="26"/>
  <c r="AZ1198" i="26"/>
  <c r="AZ1197" i="26"/>
  <c r="AZ1196" i="26"/>
  <c r="AZ1195" i="26"/>
  <c r="AZ1194" i="26"/>
  <c r="AZ1193" i="26"/>
  <c r="AZ1192" i="26"/>
  <c r="AZ1191" i="26"/>
  <c r="AZ1190" i="26"/>
  <c r="AZ1189" i="26"/>
  <c r="AZ1188" i="26"/>
  <c r="AZ1187" i="26"/>
  <c r="AZ1186" i="26"/>
  <c r="AZ1185" i="26"/>
  <c r="AZ1184" i="26"/>
  <c r="AZ1183" i="26"/>
  <c r="AZ1182" i="26"/>
  <c r="AZ1181" i="26"/>
  <c r="AZ1180" i="26"/>
  <c r="AZ1179" i="26"/>
  <c r="AZ1178" i="26"/>
  <c r="AZ1177" i="26"/>
  <c r="AZ1176" i="26"/>
  <c r="AZ1175" i="26"/>
  <c r="AZ1174" i="26"/>
  <c r="AZ1173" i="26"/>
  <c r="AZ1172" i="26"/>
  <c r="AZ1171" i="26"/>
  <c r="AZ1170" i="26"/>
  <c r="AZ1169" i="26"/>
  <c r="AZ1168" i="26"/>
  <c r="AZ1167" i="26"/>
  <c r="AZ1166" i="26"/>
  <c r="AZ1165" i="26"/>
  <c r="AZ1164" i="26"/>
  <c r="AZ1163" i="26"/>
  <c r="AZ1162" i="26"/>
  <c r="AZ1161" i="26"/>
  <c r="AZ1160" i="26"/>
  <c r="AZ1159" i="26"/>
  <c r="AZ1158" i="26"/>
  <c r="AZ1157" i="26"/>
  <c r="AZ1156" i="26"/>
  <c r="AZ1155" i="26"/>
  <c r="AZ1154" i="26"/>
  <c r="AZ1153" i="26"/>
  <c r="AZ1152" i="26"/>
  <c r="AZ1151" i="26"/>
  <c r="AZ1150" i="26"/>
  <c r="AZ1149" i="26"/>
  <c r="AZ1148" i="26"/>
  <c r="AZ1147" i="26"/>
  <c r="AZ1146" i="26"/>
  <c r="AZ1145" i="26"/>
  <c r="AZ1144" i="26"/>
  <c r="AZ1143" i="26"/>
  <c r="AZ1142" i="26"/>
  <c r="AZ1141" i="26"/>
  <c r="AZ1140" i="26"/>
  <c r="AZ1139" i="26"/>
  <c r="AZ1138" i="26"/>
  <c r="AZ1137" i="26"/>
  <c r="AZ1136" i="26"/>
  <c r="AZ1135" i="26"/>
  <c r="AZ1134" i="26"/>
  <c r="AZ1133" i="26"/>
  <c r="AZ1132" i="26"/>
  <c r="AZ1131" i="26"/>
  <c r="AZ1130" i="26"/>
  <c r="AZ1129" i="26"/>
  <c r="AZ1128" i="26"/>
  <c r="AZ1127" i="26"/>
  <c r="AZ1126" i="26"/>
  <c r="AZ1125" i="26"/>
  <c r="AZ1124" i="26"/>
  <c r="AZ1123" i="26"/>
  <c r="AZ1122" i="26"/>
  <c r="AZ1121" i="26"/>
  <c r="AZ1120" i="26"/>
  <c r="AZ1119" i="26"/>
  <c r="AZ1118" i="26"/>
  <c r="AZ1117" i="26"/>
  <c r="AZ1116" i="26"/>
  <c r="AZ1115" i="26"/>
  <c r="AZ1114" i="26"/>
  <c r="AZ1113" i="26"/>
  <c r="AZ1112" i="26"/>
  <c r="AZ1111" i="26"/>
  <c r="AZ1110" i="26"/>
  <c r="AZ1109" i="26"/>
  <c r="AZ1108" i="26"/>
  <c r="AZ1107" i="26"/>
  <c r="AZ1106" i="26"/>
  <c r="AZ1105" i="26"/>
  <c r="AZ1104" i="26"/>
  <c r="AZ1103" i="26"/>
  <c r="AZ1102" i="26"/>
  <c r="AZ1101" i="26"/>
  <c r="AZ1100" i="26"/>
  <c r="AZ1099" i="26"/>
  <c r="AZ1098" i="26"/>
  <c r="AZ1097" i="26"/>
  <c r="AZ1096" i="26"/>
  <c r="AZ1095" i="26"/>
  <c r="AZ1094" i="26"/>
  <c r="AZ1093" i="26"/>
  <c r="AZ1092" i="26"/>
  <c r="AZ1091" i="26"/>
  <c r="AZ1090" i="26"/>
  <c r="AZ1089" i="26"/>
  <c r="AZ1088" i="26"/>
  <c r="AZ1087" i="26"/>
  <c r="AZ1086" i="26"/>
  <c r="AZ1085" i="26"/>
  <c r="AZ1084" i="26"/>
  <c r="AZ1083" i="26"/>
  <c r="AZ1082" i="26"/>
  <c r="AZ1081" i="26"/>
  <c r="AZ1080" i="26"/>
  <c r="AZ1079" i="26"/>
  <c r="AZ1078" i="26"/>
  <c r="AZ1077" i="26"/>
  <c r="AZ1076" i="26"/>
  <c r="AZ1075" i="26"/>
  <c r="AZ1074" i="26"/>
  <c r="AZ1073" i="26"/>
  <c r="AZ1072" i="26"/>
  <c r="AZ1071" i="26"/>
  <c r="AZ1070" i="26"/>
  <c r="AZ1069" i="26"/>
  <c r="AZ1068" i="26"/>
  <c r="AZ1067" i="26"/>
  <c r="AZ1066" i="26"/>
  <c r="AZ1065" i="26"/>
  <c r="AZ1064" i="26"/>
  <c r="AZ1063" i="26"/>
  <c r="AZ1062" i="26"/>
  <c r="AZ1061" i="26"/>
  <c r="AZ1060" i="26"/>
  <c r="AZ1059" i="26"/>
  <c r="AZ1058" i="26"/>
  <c r="AZ1057" i="26"/>
  <c r="AZ1056" i="26"/>
  <c r="AZ1055" i="26"/>
  <c r="AZ1054" i="26"/>
  <c r="AZ1053" i="26"/>
  <c r="AZ1052" i="26"/>
  <c r="AZ1051" i="26"/>
  <c r="AZ1050" i="26"/>
  <c r="AZ1049" i="26"/>
  <c r="AZ1048" i="26"/>
  <c r="AZ1047" i="26"/>
  <c r="AZ1046" i="26"/>
  <c r="AZ1045" i="26"/>
  <c r="AZ1044" i="26"/>
  <c r="AZ1043" i="26"/>
  <c r="AZ1042" i="26"/>
  <c r="AZ1041" i="26"/>
  <c r="AZ1040" i="26"/>
  <c r="AZ1039" i="26"/>
  <c r="AZ1038" i="26"/>
  <c r="AZ1037" i="26"/>
  <c r="AZ1036" i="26"/>
  <c r="AZ1035" i="26"/>
  <c r="AZ1034" i="26"/>
  <c r="AZ1033" i="26"/>
  <c r="AZ1032" i="26"/>
  <c r="AZ1031" i="26"/>
  <c r="AZ1030" i="26"/>
  <c r="AZ1029" i="26"/>
  <c r="AZ1028" i="26"/>
  <c r="AZ1027" i="26"/>
  <c r="AZ1026" i="26"/>
  <c r="AZ1025" i="26"/>
  <c r="AZ1024" i="26"/>
  <c r="AZ1023" i="26"/>
  <c r="AZ1022" i="26"/>
  <c r="AZ1021" i="26"/>
  <c r="AZ1020" i="26"/>
  <c r="AZ1019" i="26"/>
  <c r="AZ1018" i="26"/>
  <c r="AZ1017" i="26"/>
  <c r="AZ1016" i="26"/>
  <c r="AZ1015" i="26"/>
  <c r="AZ1014" i="26"/>
  <c r="AZ1013" i="26"/>
  <c r="AZ1012" i="26"/>
  <c r="AZ1011" i="26"/>
  <c r="AZ1010" i="26"/>
  <c r="AZ1009" i="26"/>
  <c r="AZ1008" i="26"/>
  <c r="AZ1007" i="26"/>
  <c r="AZ1006" i="26"/>
  <c r="AZ1005" i="26"/>
  <c r="AZ1004" i="26"/>
  <c r="AZ1003" i="26"/>
  <c r="AZ1002" i="26"/>
  <c r="AZ1001" i="26"/>
  <c r="AZ1000" i="26"/>
  <c r="AZ999" i="26"/>
  <c r="AZ998" i="26"/>
  <c r="AZ997" i="26"/>
  <c r="AZ996" i="26"/>
  <c r="AZ995" i="26"/>
  <c r="AZ994" i="26"/>
  <c r="AZ993" i="26"/>
  <c r="AZ992" i="26"/>
  <c r="AZ991" i="26"/>
  <c r="AZ990" i="26"/>
  <c r="AZ989" i="26"/>
  <c r="AZ988" i="26"/>
  <c r="AZ987" i="26"/>
  <c r="AZ986" i="26"/>
  <c r="AZ985" i="26"/>
  <c r="AZ984" i="26"/>
  <c r="AZ983" i="26"/>
  <c r="AZ982" i="26"/>
  <c r="AZ981" i="26"/>
  <c r="AZ980" i="26"/>
  <c r="AZ979" i="26"/>
  <c r="AZ978" i="26"/>
  <c r="AZ977" i="26"/>
  <c r="AZ976" i="26"/>
  <c r="AZ975" i="26"/>
  <c r="AZ974" i="26"/>
  <c r="AZ973" i="26"/>
  <c r="AZ972" i="26"/>
  <c r="AZ971" i="26"/>
  <c r="AZ970" i="26"/>
  <c r="AZ969" i="26"/>
  <c r="AZ968" i="26"/>
  <c r="AZ967" i="26"/>
  <c r="AZ966" i="26"/>
  <c r="AZ965" i="26"/>
  <c r="AZ964" i="26"/>
  <c r="AZ963" i="26"/>
  <c r="AZ962" i="26"/>
  <c r="AZ961" i="26"/>
  <c r="AZ960" i="26"/>
  <c r="AZ959" i="26"/>
  <c r="AZ958" i="26"/>
  <c r="AZ957" i="26"/>
  <c r="AZ956" i="26"/>
  <c r="AZ955" i="26"/>
  <c r="AZ954" i="26"/>
  <c r="AZ953" i="26"/>
  <c r="AZ952" i="26"/>
  <c r="AZ951" i="26"/>
  <c r="AZ950" i="26"/>
  <c r="AZ949" i="26"/>
  <c r="AZ948" i="26"/>
  <c r="AZ947" i="26"/>
  <c r="AZ946" i="26"/>
  <c r="AZ945" i="26"/>
  <c r="AZ944" i="26"/>
  <c r="AZ943" i="26"/>
  <c r="AZ942" i="26"/>
  <c r="AZ941" i="26"/>
  <c r="AZ940" i="26"/>
  <c r="AZ939" i="26"/>
  <c r="AZ938" i="26"/>
  <c r="AZ937" i="26"/>
  <c r="AZ936" i="26"/>
  <c r="AZ935" i="26"/>
  <c r="AZ934" i="26"/>
  <c r="AZ933" i="26"/>
  <c r="AZ932" i="26"/>
  <c r="AZ931" i="26"/>
  <c r="AZ930" i="26"/>
  <c r="AZ929" i="26"/>
  <c r="AZ928" i="26"/>
  <c r="AZ927" i="26"/>
  <c r="AZ926" i="26"/>
  <c r="AZ925" i="26"/>
  <c r="AZ924" i="26"/>
  <c r="AZ923" i="26"/>
  <c r="AZ922" i="26"/>
  <c r="AZ921" i="26"/>
  <c r="AZ920" i="26"/>
  <c r="AZ919" i="26"/>
  <c r="AZ918" i="26"/>
  <c r="AZ917" i="26"/>
  <c r="AY917" i="26"/>
  <c r="AN1444" i="26"/>
  <c r="AN1443" i="26"/>
  <c r="AN1442" i="26"/>
  <c r="AN1441" i="26"/>
  <c r="AN1440" i="26"/>
  <c r="AN1439" i="26"/>
  <c r="AN1438" i="26"/>
  <c r="AN1437" i="26"/>
  <c r="AN1436" i="26"/>
  <c r="AN1435" i="26"/>
  <c r="AN1434" i="26"/>
  <c r="AN1433" i="26"/>
  <c r="AN1432" i="26"/>
  <c r="AN1431" i="26"/>
  <c r="AN1430" i="26"/>
  <c r="AN1429" i="26"/>
  <c r="AN1428" i="26"/>
  <c r="AN1427" i="26"/>
  <c r="AN1426" i="26"/>
  <c r="AN1425" i="26"/>
  <c r="AN1424" i="26"/>
  <c r="AN1423" i="26"/>
  <c r="AN1422" i="26"/>
  <c r="AN1421" i="26"/>
  <c r="AN1420" i="26"/>
  <c r="AN1419" i="26"/>
  <c r="AN1418" i="26"/>
  <c r="AN1417" i="26"/>
  <c r="AN1416" i="26"/>
  <c r="AN1415" i="26"/>
  <c r="AN1414" i="26"/>
  <c r="AN1413" i="26"/>
  <c r="AN1412" i="26"/>
  <c r="AN1411" i="26"/>
  <c r="AN1410" i="26"/>
  <c r="AN1409" i="26"/>
  <c r="AN1408" i="26"/>
  <c r="AN1407" i="26"/>
  <c r="AN1406" i="26"/>
  <c r="AN1405" i="26"/>
  <c r="AN1404" i="26"/>
  <c r="AN1403" i="26"/>
  <c r="AN1402" i="26"/>
  <c r="AN1401" i="26"/>
  <c r="AN1400" i="26"/>
  <c r="AN1399" i="26"/>
  <c r="AN1398" i="26"/>
  <c r="AN1397" i="26"/>
  <c r="AN1396" i="26"/>
  <c r="AN1395" i="26"/>
  <c r="AN1394" i="26"/>
  <c r="AN1393" i="26"/>
  <c r="AN1392" i="26"/>
  <c r="AN1391" i="26"/>
  <c r="AN1390" i="26"/>
  <c r="AN1389" i="26"/>
  <c r="AN1388" i="26"/>
  <c r="AN1387" i="26"/>
  <c r="AN1386" i="26"/>
  <c r="AN1385" i="26"/>
  <c r="AN1384" i="26"/>
  <c r="AN1383" i="26"/>
  <c r="AN1382" i="26"/>
  <c r="AN1381" i="26"/>
  <c r="AN1380" i="26"/>
  <c r="AN1379" i="26"/>
  <c r="AN1378" i="26"/>
  <c r="AN1377" i="26"/>
  <c r="AN1376" i="26"/>
  <c r="AN1375" i="26"/>
  <c r="AN1374" i="26"/>
  <c r="AN1373" i="26"/>
  <c r="AN1372" i="26"/>
  <c r="AN1371" i="26"/>
  <c r="AN1370" i="26"/>
  <c r="AN1369" i="26"/>
  <c r="AN1368" i="26"/>
  <c r="AN1367" i="26"/>
  <c r="AN1366" i="26"/>
  <c r="AN1365" i="26"/>
  <c r="AN1364" i="26"/>
  <c r="AN1363" i="26"/>
  <c r="AN1362" i="26"/>
  <c r="AN1361" i="26"/>
  <c r="AN1360" i="26"/>
  <c r="AN1359" i="26"/>
  <c r="AN1358" i="26"/>
  <c r="AN1357" i="26"/>
  <c r="AN1356" i="26"/>
  <c r="AN1355" i="26"/>
  <c r="AN1354" i="26"/>
  <c r="AN1353" i="26"/>
  <c r="AN1352" i="26"/>
  <c r="AN1351" i="26"/>
  <c r="AN1350" i="26"/>
  <c r="AN1349" i="26"/>
  <c r="AN1348" i="26"/>
  <c r="AN1347" i="26"/>
  <c r="AN1346" i="26"/>
  <c r="AN1345" i="26"/>
  <c r="AN1344" i="26"/>
  <c r="AN1343" i="26"/>
  <c r="AN1342" i="26"/>
  <c r="AN1341" i="26"/>
  <c r="AN1340" i="26"/>
  <c r="AN1339" i="26"/>
  <c r="AN1338" i="26"/>
  <c r="AN1337" i="26"/>
  <c r="AN1336" i="26"/>
  <c r="AN1335" i="26"/>
  <c r="AN1334" i="26"/>
  <c r="AN1333" i="26"/>
  <c r="AN1332" i="26"/>
  <c r="AN1331" i="26"/>
  <c r="AN1330" i="26"/>
  <c r="AN1329" i="26"/>
  <c r="AN1328" i="26"/>
  <c r="AN1327" i="26"/>
  <c r="AN1326" i="26"/>
  <c r="AN1325" i="26"/>
  <c r="AN1324" i="26"/>
  <c r="AN1323" i="26"/>
  <c r="AN1322" i="26"/>
  <c r="AN1321" i="26"/>
  <c r="AN1320" i="26"/>
  <c r="AN1319" i="26"/>
  <c r="AN1318" i="26"/>
  <c r="AN1317" i="26"/>
  <c r="AN1316" i="26"/>
  <c r="AN1315" i="26"/>
  <c r="AN1314" i="26"/>
  <c r="AN1313" i="26"/>
  <c r="AN1312" i="26"/>
  <c r="AN1311" i="26"/>
  <c r="AN1310" i="26"/>
  <c r="AN1309" i="26"/>
  <c r="AN1308" i="26"/>
  <c r="AN1307" i="26"/>
  <c r="AN1306" i="26"/>
  <c r="AN1305" i="26"/>
  <c r="AN1304" i="26"/>
  <c r="AN1303" i="26"/>
  <c r="AN1302" i="26"/>
  <c r="AN1301" i="26"/>
  <c r="AN1300" i="26"/>
  <c r="AN1299" i="26"/>
  <c r="AN1298" i="26"/>
  <c r="AN1297" i="26"/>
  <c r="AN1296" i="26"/>
  <c r="AN1295" i="26"/>
  <c r="AN1294" i="26"/>
  <c r="AN1293" i="26"/>
  <c r="AN1292" i="26"/>
  <c r="AN1291" i="26"/>
  <c r="AN1290" i="26"/>
  <c r="AN1289" i="26"/>
  <c r="AN1288" i="26"/>
  <c r="AN1287" i="26"/>
  <c r="AN1286" i="26"/>
  <c r="AN1285" i="26"/>
  <c r="AN1284" i="26"/>
  <c r="AN1283" i="26"/>
  <c r="AN1282" i="26"/>
  <c r="AN1281" i="26"/>
  <c r="AN1280" i="26"/>
  <c r="AN1279" i="26"/>
  <c r="AN1278" i="26"/>
  <c r="AN1277" i="26"/>
  <c r="AN1276" i="26"/>
  <c r="AN1275" i="26"/>
  <c r="AN1274" i="26"/>
  <c r="AN1273" i="26"/>
  <c r="AN1272" i="26"/>
  <c r="AN1271" i="26"/>
  <c r="AN1270" i="26"/>
  <c r="AN1269" i="26"/>
  <c r="AN1268" i="26"/>
  <c r="AN1267" i="26"/>
  <c r="AN1266" i="26"/>
  <c r="AN1265" i="26"/>
  <c r="AN1264" i="26"/>
  <c r="AN1263" i="26"/>
  <c r="AN1262" i="26"/>
  <c r="AN1261" i="26"/>
  <c r="AN1260" i="26"/>
  <c r="AN1259" i="26"/>
  <c r="AN1258" i="26"/>
  <c r="AN1257" i="26"/>
  <c r="AN1256" i="26"/>
  <c r="AN1255" i="26"/>
  <c r="AN1254" i="26"/>
  <c r="AN1253" i="26"/>
  <c r="AN1252" i="26"/>
  <c r="AN1251" i="26"/>
  <c r="AN1250" i="26"/>
  <c r="AN1249" i="26"/>
  <c r="AN1248" i="26"/>
  <c r="AN1247" i="26"/>
  <c r="AN1246" i="26"/>
  <c r="AN1245" i="26"/>
  <c r="AN1244" i="26"/>
  <c r="AN1243" i="26"/>
  <c r="AN1242" i="26"/>
  <c r="AN1241" i="26"/>
  <c r="AN1240" i="26"/>
  <c r="AN1239" i="26"/>
  <c r="AN1238" i="26"/>
  <c r="AN1237" i="26"/>
  <c r="AN1236" i="26"/>
  <c r="AN1235" i="26"/>
  <c r="AN1234" i="26"/>
  <c r="AN1233" i="26"/>
  <c r="AN1232" i="26"/>
  <c r="AN1231" i="26"/>
  <c r="AN1230" i="26"/>
  <c r="AN1229" i="26"/>
  <c r="AN1228" i="26"/>
  <c r="AN1227" i="26"/>
  <c r="AN1226" i="26"/>
  <c r="AN1225" i="26"/>
  <c r="AN1224" i="26"/>
  <c r="AN1223" i="26"/>
  <c r="AN1222" i="26"/>
  <c r="AN1221" i="26"/>
  <c r="AN1220" i="26"/>
  <c r="AN1219" i="26"/>
  <c r="AN1218" i="26"/>
  <c r="AN1217" i="26"/>
  <c r="AN1216" i="26"/>
  <c r="AN1215" i="26"/>
  <c r="AN1214" i="26"/>
  <c r="AN1213" i="26"/>
  <c r="AN1212" i="26"/>
  <c r="AN1211" i="26"/>
  <c r="AN1210" i="26"/>
  <c r="AN1209" i="26"/>
  <c r="AN1208" i="26"/>
  <c r="AN1207" i="26"/>
  <c r="AN1206" i="26"/>
  <c r="AN1205" i="26"/>
  <c r="AN1204" i="26"/>
  <c r="AN1203" i="26"/>
  <c r="AN1202" i="26"/>
  <c r="AN1201" i="26"/>
  <c r="AN1200" i="26"/>
  <c r="AN1199" i="26"/>
  <c r="AN1198" i="26"/>
  <c r="AN1197" i="26"/>
  <c r="AN1196" i="26"/>
  <c r="AN1195" i="26"/>
  <c r="AN1194" i="26"/>
  <c r="AN1193" i="26"/>
  <c r="AN1192" i="26"/>
  <c r="AN1191" i="26"/>
  <c r="AN1190" i="26"/>
  <c r="AN1189" i="26"/>
  <c r="AN1188" i="26"/>
  <c r="AN1187" i="26"/>
  <c r="AN1186" i="26"/>
  <c r="AN1185" i="26"/>
  <c r="AN1184" i="26"/>
  <c r="AN1183" i="26"/>
  <c r="AN1182" i="26"/>
  <c r="AN1181" i="26"/>
  <c r="AN1180" i="26"/>
  <c r="AN1179" i="26"/>
  <c r="AN1178" i="26"/>
  <c r="AN1177" i="26"/>
  <c r="AN1176" i="26"/>
  <c r="AN1175" i="26"/>
  <c r="AN1174" i="26"/>
  <c r="AN1173" i="26"/>
  <c r="AN1172" i="26"/>
  <c r="AN1171" i="26"/>
  <c r="AN1170" i="26"/>
  <c r="AN1169" i="26"/>
  <c r="AN1168" i="26"/>
  <c r="AN1167" i="26"/>
  <c r="AN1166" i="26"/>
  <c r="AN1165" i="26"/>
  <c r="AN1164" i="26"/>
  <c r="AN1163" i="26"/>
  <c r="AN1162" i="26"/>
  <c r="AN1161" i="26"/>
  <c r="AN1160" i="26"/>
  <c r="AN1159" i="26"/>
  <c r="AN1158" i="26"/>
  <c r="AN1157" i="26"/>
  <c r="AN1156" i="26"/>
  <c r="AN1155" i="26"/>
  <c r="AN1154" i="26"/>
  <c r="AN1153" i="26"/>
  <c r="AN1152" i="26"/>
  <c r="AN1151" i="26"/>
  <c r="AN1150" i="26"/>
  <c r="AN1149" i="26"/>
  <c r="AN1148" i="26"/>
  <c r="AN1147" i="26"/>
  <c r="AN1146" i="26"/>
  <c r="AN1145" i="26"/>
  <c r="AN1144" i="26"/>
  <c r="AN1143" i="26"/>
  <c r="AN1142" i="26"/>
  <c r="AN1141" i="26"/>
  <c r="AN1140" i="26"/>
  <c r="AN1139" i="26"/>
  <c r="AN1138" i="26"/>
  <c r="AN1137" i="26"/>
  <c r="AN1136" i="26"/>
  <c r="AN1135" i="26"/>
  <c r="AN1134" i="26"/>
  <c r="AN1133" i="26"/>
  <c r="AN1132" i="26"/>
  <c r="AN1131" i="26"/>
  <c r="AN1130" i="26"/>
  <c r="AN1129" i="26"/>
  <c r="AN1128" i="26"/>
  <c r="AN1127" i="26"/>
  <c r="AN1126" i="26"/>
  <c r="AN1125" i="26"/>
  <c r="AN1124" i="26"/>
  <c r="AN1123" i="26"/>
  <c r="AN1122" i="26"/>
  <c r="AN1121" i="26"/>
  <c r="AN1120" i="26"/>
  <c r="AN1119" i="26"/>
  <c r="AN1118" i="26"/>
  <c r="AN1117" i="26"/>
  <c r="AN1116" i="26"/>
  <c r="AN1115" i="26"/>
  <c r="AN1114" i="26"/>
  <c r="AN1113" i="26"/>
  <c r="AN1112" i="26"/>
  <c r="AN1111" i="26"/>
  <c r="AN1110" i="26"/>
  <c r="AN1109" i="26"/>
  <c r="AN1108" i="26"/>
  <c r="AN1107" i="26"/>
  <c r="AN1106" i="26"/>
  <c r="AN1105" i="26"/>
  <c r="AN1104" i="26"/>
  <c r="AN1103" i="26"/>
  <c r="AN1102" i="26"/>
  <c r="AN1101" i="26"/>
  <c r="AN1100" i="26"/>
  <c r="AN1099" i="26"/>
  <c r="AN1098" i="26"/>
  <c r="AN1097" i="26"/>
  <c r="AN1096" i="26"/>
  <c r="AN1095" i="26"/>
  <c r="AN1094" i="26"/>
  <c r="AN1093" i="26"/>
  <c r="AN1092" i="26"/>
  <c r="AN1091" i="26"/>
  <c r="AN1090" i="26"/>
  <c r="AN1089" i="26"/>
  <c r="AN1088" i="26"/>
  <c r="AN1087" i="26"/>
  <c r="AN1086" i="26"/>
  <c r="AN1085" i="26"/>
  <c r="AN1084" i="26"/>
  <c r="AN1083" i="26"/>
  <c r="AN1082" i="26"/>
  <c r="AN1081" i="26"/>
  <c r="AN1080" i="26"/>
  <c r="AN1079" i="26"/>
  <c r="AN1078" i="26"/>
  <c r="AN1077" i="26"/>
  <c r="AN1076" i="26"/>
  <c r="AN1075" i="26"/>
  <c r="AN1074" i="26"/>
  <c r="AN1073" i="26"/>
  <c r="AN1072" i="26"/>
  <c r="AN1071" i="26"/>
  <c r="AN1070" i="26"/>
  <c r="AN1069" i="26"/>
  <c r="AN1068" i="26"/>
  <c r="AN1067" i="26"/>
  <c r="AN1066" i="26"/>
  <c r="AN1065" i="26"/>
  <c r="AN1064" i="26"/>
  <c r="AN1063" i="26"/>
  <c r="AN1062" i="26"/>
  <c r="AN1061" i="26"/>
  <c r="AN1060" i="26"/>
  <c r="AN1059" i="26"/>
  <c r="AN1058" i="26"/>
  <c r="AN1057" i="26"/>
  <c r="AN1056" i="26"/>
  <c r="AN1055" i="26"/>
  <c r="AN1054" i="26"/>
  <c r="AN1053" i="26"/>
  <c r="AN1052" i="26"/>
  <c r="AN1051" i="26"/>
  <c r="AN1050" i="26"/>
  <c r="AN1049" i="26"/>
  <c r="AN1048" i="26"/>
  <c r="AN1047" i="26"/>
  <c r="AN1046" i="26"/>
  <c r="AN1045" i="26"/>
  <c r="AN1044" i="26"/>
  <c r="AN1043" i="26"/>
  <c r="AN1042" i="26"/>
  <c r="AN1041" i="26"/>
  <c r="AN1040" i="26"/>
  <c r="AN1039" i="26"/>
  <c r="AN1038" i="26"/>
  <c r="AN1037" i="26"/>
  <c r="AN1036" i="26"/>
  <c r="AN1035" i="26"/>
  <c r="AN1034" i="26"/>
  <c r="AN1033" i="26"/>
  <c r="AN1032" i="26"/>
  <c r="AN1031" i="26"/>
  <c r="AN1030" i="26"/>
  <c r="AN1029" i="26"/>
  <c r="AN1028" i="26"/>
  <c r="AN1027" i="26"/>
  <c r="AN1026" i="26"/>
  <c r="AN1025" i="26"/>
  <c r="AN1024" i="26"/>
  <c r="AN1023" i="26"/>
  <c r="AN1022" i="26"/>
  <c r="AN1021" i="26"/>
  <c r="AN1020" i="26"/>
  <c r="AN1019" i="26"/>
  <c r="AN1018" i="26"/>
  <c r="AN1017" i="26"/>
  <c r="AN1016" i="26"/>
  <c r="AN1015" i="26"/>
  <c r="AN1014" i="26"/>
  <c r="AN1013" i="26"/>
  <c r="AN1012" i="26"/>
  <c r="AN1011" i="26"/>
  <c r="AN1010" i="26"/>
  <c r="AN1009" i="26"/>
  <c r="AN1008" i="26"/>
  <c r="AN1007" i="26"/>
  <c r="AN1006" i="26"/>
  <c r="AN1005" i="26"/>
  <c r="AN1004" i="26"/>
  <c r="AN1003" i="26"/>
  <c r="AN1002" i="26"/>
  <c r="AN1001" i="26"/>
  <c r="AN1000" i="26"/>
  <c r="AN999" i="26"/>
  <c r="AN998" i="26"/>
  <c r="AN997" i="26"/>
  <c r="AN996" i="26"/>
  <c r="AN995" i="26"/>
  <c r="AN994" i="26"/>
  <c r="AN993" i="26"/>
  <c r="AN992" i="26"/>
  <c r="AN991" i="26"/>
  <c r="AN990" i="26"/>
  <c r="AN989" i="26"/>
  <c r="AN988" i="26"/>
  <c r="AN987" i="26"/>
  <c r="AN986" i="26"/>
  <c r="AN985" i="26"/>
  <c r="AN984" i="26"/>
  <c r="AN983" i="26"/>
  <c r="AN982" i="26"/>
  <c r="AN981" i="26"/>
  <c r="AN980" i="26"/>
  <c r="AN979" i="26"/>
  <c r="AN978" i="26"/>
  <c r="AN977" i="26"/>
  <c r="AN976" i="26"/>
  <c r="AN975" i="26"/>
  <c r="AN974" i="26"/>
  <c r="AN973" i="26"/>
  <c r="AN972" i="26"/>
  <c r="AN971" i="26"/>
  <c r="AN970" i="26"/>
  <c r="AN969" i="26"/>
  <c r="AN968" i="26"/>
  <c r="AN967" i="26"/>
  <c r="AN966" i="26"/>
  <c r="AN965" i="26"/>
  <c r="AN964" i="26"/>
  <c r="AN963" i="26"/>
  <c r="AN962" i="26"/>
  <c r="AN961" i="26"/>
  <c r="AN960" i="26"/>
  <c r="AN959" i="26"/>
  <c r="AN958" i="26"/>
  <c r="AN957" i="26"/>
  <c r="AN956" i="26"/>
  <c r="AN955" i="26"/>
  <c r="AN954" i="26"/>
  <c r="AN953" i="26"/>
  <c r="AN952" i="26"/>
  <c r="AN951" i="26"/>
  <c r="AN950" i="26"/>
  <c r="AN949" i="26"/>
  <c r="AN948" i="26"/>
  <c r="AN947" i="26"/>
  <c r="AN946" i="26"/>
  <c r="AN945" i="26"/>
  <c r="AN944" i="26"/>
  <c r="AN943" i="26"/>
  <c r="AN942" i="26"/>
  <c r="AN941" i="26"/>
  <c r="AN940" i="26"/>
  <c r="AN939" i="26"/>
  <c r="AN938" i="26"/>
  <c r="AN937" i="26"/>
  <c r="AN936" i="26"/>
  <c r="AN935" i="26"/>
  <c r="AN934" i="26"/>
  <c r="AN933" i="26"/>
  <c r="AN932" i="26"/>
  <c r="AN931" i="26"/>
  <c r="AN930" i="26"/>
  <c r="AN929" i="26"/>
  <c r="AN928" i="26"/>
  <c r="AN927" i="26"/>
  <c r="AN926" i="26"/>
  <c r="AN925" i="26"/>
  <c r="AN924" i="26"/>
  <c r="AN923" i="26"/>
  <c r="AN922" i="26"/>
  <c r="AN921" i="26"/>
  <c r="AN920" i="26"/>
  <c r="AN919" i="26"/>
  <c r="AN918" i="26"/>
  <c r="AN917" i="26"/>
  <c r="AL1444" i="26"/>
  <c r="AL1443" i="26"/>
  <c r="AL1442" i="26"/>
  <c r="AL1441" i="26"/>
  <c r="AL1440" i="26"/>
  <c r="AL1439" i="26"/>
  <c r="AL1438" i="26"/>
  <c r="AL1437" i="26"/>
  <c r="AL1436" i="26"/>
  <c r="AL1435" i="26"/>
  <c r="AL1434" i="26"/>
  <c r="AL1433" i="26"/>
  <c r="AL1432" i="26"/>
  <c r="AL1431" i="26"/>
  <c r="AL1430" i="26"/>
  <c r="AL1429" i="26"/>
  <c r="AL1428" i="26"/>
  <c r="AL1427" i="26"/>
  <c r="AL1426" i="26"/>
  <c r="AL1425" i="26"/>
  <c r="AL1424" i="26"/>
  <c r="AL1423" i="26"/>
  <c r="AL1422" i="26"/>
  <c r="AL1421" i="26"/>
  <c r="AL1420" i="26"/>
  <c r="AL1419" i="26"/>
  <c r="AL1418" i="26"/>
  <c r="AL1417" i="26"/>
  <c r="AL1416" i="26"/>
  <c r="AL1415" i="26"/>
  <c r="AL1414" i="26"/>
  <c r="AL1413" i="26"/>
  <c r="AL1412" i="26"/>
  <c r="AL1411" i="26"/>
  <c r="AL1410" i="26"/>
  <c r="AL1409" i="26"/>
  <c r="AL1408" i="26"/>
  <c r="AL1407" i="26"/>
  <c r="AL1406" i="26"/>
  <c r="AL1405" i="26"/>
  <c r="AL1404" i="26"/>
  <c r="AL1403" i="26"/>
  <c r="AL1402" i="26"/>
  <c r="AL1401" i="26"/>
  <c r="AL1400" i="26"/>
  <c r="AL1399" i="26"/>
  <c r="AL1398" i="26"/>
  <c r="AL1397" i="26"/>
  <c r="AL1396" i="26"/>
  <c r="AL1395" i="26"/>
  <c r="AL1394" i="26"/>
  <c r="AL1393" i="26"/>
  <c r="AL1392" i="26"/>
  <c r="AL1391" i="26"/>
  <c r="AL1390" i="26"/>
  <c r="AL1389" i="26"/>
  <c r="AL1388" i="26"/>
  <c r="AL1387" i="26"/>
  <c r="AL1386" i="26"/>
  <c r="AL1385" i="26"/>
  <c r="AL1384" i="26"/>
  <c r="AL1383" i="26"/>
  <c r="AL1382" i="26"/>
  <c r="AL1381" i="26"/>
  <c r="AL1380" i="26"/>
  <c r="AL1379" i="26"/>
  <c r="AL1378" i="26"/>
  <c r="AL1377" i="26"/>
  <c r="AL1376" i="26"/>
  <c r="AL1375" i="26"/>
  <c r="AL1374" i="26"/>
  <c r="AL1373" i="26"/>
  <c r="AL1372" i="26"/>
  <c r="AL1371" i="26"/>
  <c r="AL1370" i="26"/>
  <c r="AL1369" i="26"/>
  <c r="AL1368" i="26"/>
  <c r="AL1367" i="26"/>
  <c r="AL1366" i="26"/>
  <c r="AL1365" i="26"/>
  <c r="AL1364" i="26"/>
  <c r="AL1363" i="26"/>
  <c r="AL1362" i="26"/>
  <c r="AL1361" i="26"/>
  <c r="AL1360" i="26"/>
  <c r="AL1359" i="26"/>
  <c r="AL1358" i="26"/>
  <c r="AL1357" i="26"/>
  <c r="AL1356" i="26"/>
  <c r="AL1355" i="26"/>
  <c r="AL1354" i="26"/>
  <c r="AL1353" i="26"/>
  <c r="AL1352" i="26"/>
  <c r="AL1351" i="26"/>
  <c r="AL1350" i="26"/>
  <c r="AL1349" i="26"/>
  <c r="AL1348" i="26"/>
  <c r="AL1347" i="26"/>
  <c r="AL1346" i="26"/>
  <c r="AL1345" i="26"/>
  <c r="AL1344" i="26"/>
  <c r="AL1343" i="26"/>
  <c r="AL1342" i="26"/>
  <c r="AL1341" i="26"/>
  <c r="AL1340" i="26"/>
  <c r="AL1339" i="26"/>
  <c r="AL1338" i="26"/>
  <c r="AL1337" i="26"/>
  <c r="AL1336" i="26"/>
  <c r="AL1335" i="26"/>
  <c r="AL1334" i="26"/>
  <c r="AL1333" i="26"/>
  <c r="AL1332" i="26"/>
  <c r="AL1331" i="26"/>
  <c r="AL1330" i="26"/>
  <c r="AL1329" i="26"/>
  <c r="AL1328" i="26"/>
  <c r="AL1327" i="26"/>
  <c r="AL1326" i="26"/>
  <c r="AL1325" i="26"/>
  <c r="AL1324" i="26"/>
  <c r="AL1323" i="26"/>
  <c r="AL1322" i="26"/>
  <c r="AL1321" i="26"/>
  <c r="AL1320" i="26"/>
  <c r="AL1319" i="26"/>
  <c r="AL1318" i="26"/>
  <c r="AL1317" i="26"/>
  <c r="AL1316" i="26"/>
  <c r="AL1315" i="26"/>
  <c r="AL1314" i="26"/>
  <c r="AL1313" i="26"/>
  <c r="AL1312" i="26"/>
  <c r="AL1311" i="26"/>
  <c r="AL1310" i="26"/>
  <c r="AL1309" i="26"/>
  <c r="AL1308" i="26"/>
  <c r="AL1307" i="26"/>
  <c r="AL1306" i="26"/>
  <c r="AL1305" i="26"/>
  <c r="AL1304" i="26"/>
  <c r="AL1303" i="26"/>
  <c r="AL1302" i="26"/>
  <c r="AL1301" i="26"/>
  <c r="AL1300" i="26"/>
  <c r="AL1299" i="26"/>
  <c r="AL1298" i="26"/>
  <c r="AL1297" i="26"/>
  <c r="AL1296" i="26"/>
  <c r="AL1295" i="26"/>
  <c r="AL1294" i="26"/>
  <c r="AL1293" i="26"/>
  <c r="AL1292" i="26"/>
  <c r="AL1291" i="26"/>
  <c r="AL1290" i="26"/>
  <c r="AL1289" i="26"/>
  <c r="AL1288" i="26"/>
  <c r="AL1287" i="26"/>
  <c r="AL1286" i="26"/>
  <c r="AL1285" i="26"/>
  <c r="AL1284" i="26"/>
  <c r="AL1283" i="26"/>
  <c r="AL1282" i="26"/>
  <c r="AL1281" i="26"/>
  <c r="AL1280" i="26"/>
  <c r="AL1279" i="26"/>
  <c r="AL1278" i="26"/>
  <c r="AL1277" i="26"/>
  <c r="AL1276" i="26"/>
  <c r="AL1275" i="26"/>
  <c r="AL1274" i="26"/>
  <c r="AL1273" i="26"/>
  <c r="AL1272" i="26"/>
  <c r="AL1271" i="26"/>
  <c r="AL1270" i="26"/>
  <c r="AL1269" i="26"/>
  <c r="AL1268" i="26"/>
  <c r="AL1267" i="26"/>
  <c r="AL1266" i="26"/>
  <c r="AL1265" i="26"/>
  <c r="AL1264" i="26"/>
  <c r="AL1263" i="26"/>
  <c r="AL1262" i="26"/>
  <c r="AL1261" i="26"/>
  <c r="AL1260" i="26"/>
  <c r="AL1259" i="26"/>
  <c r="AL1258" i="26"/>
  <c r="AL1257" i="26"/>
  <c r="AL1256" i="26"/>
  <c r="AL1255" i="26"/>
  <c r="AL1254" i="26"/>
  <c r="AL1253" i="26"/>
  <c r="AL1252" i="26"/>
  <c r="AL1251" i="26"/>
  <c r="AL1250" i="26"/>
  <c r="AL1249" i="26"/>
  <c r="AL1248" i="26"/>
  <c r="AL1247" i="26"/>
  <c r="AL1246" i="26"/>
  <c r="AL1245" i="26"/>
  <c r="AL1244" i="26"/>
  <c r="AL1243" i="26"/>
  <c r="AL1242" i="26"/>
  <c r="AL1241" i="26"/>
  <c r="AL1240" i="26"/>
  <c r="AL1239" i="26"/>
  <c r="AL1238" i="26"/>
  <c r="AL1237" i="26"/>
  <c r="AL1236" i="26"/>
  <c r="AL1235" i="26"/>
  <c r="AL1234" i="26"/>
  <c r="AL1233" i="26"/>
  <c r="AL1232" i="26"/>
  <c r="AL1231" i="26"/>
  <c r="AL1230" i="26"/>
  <c r="AL1229" i="26"/>
  <c r="AL1228" i="26"/>
  <c r="AL1227" i="26"/>
  <c r="AL1226" i="26"/>
  <c r="AL1225" i="26"/>
  <c r="AL1224" i="26"/>
  <c r="AL1223" i="26"/>
  <c r="AL1222" i="26"/>
  <c r="AL1221" i="26"/>
  <c r="AL1220" i="26"/>
  <c r="AL1219" i="26"/>
  <c r="AL1218" i="26"/>
  <c r="AL1217" i="26"/>
  <c r="AL1216" i="26"/>
  <c r="AL1215" i="26"/>
  <c r="AL1214" i="26"/>
  <c r="AL1213" i="26"/>
  <c r="AL1212" i="26"/>
  <c r="AL1211" i="26"/>
  <c r="AL1210" i="26"/>
  <c r="AL1209" i="26"/>
  <c r="AL1208" i="26"/>
  <c r="AL1207" i="26"/>
  <c r="AL1206" i="26"/>
  <c r="AL1205" i="26"/>
  <c r="AL1204" i="26"/>
  <c r="AL1203" i="26"/>
  <c r="AL1202" i="26"/>
  <c r="AL1201" i="26"/>
  <c r="AL1200" i="26"/>
  <c r="AL1199" i="26"/>
  <c r="AL1198" i="26"/>
  <c r="AL1197" i="26"/>
  <c r="AL1196" i="26"/>
  <c r="AL1195" i="26"/>
  <c r="AL1194" i="26"/>
  <c r="AL1193" i="26"/>
  <c r="AL1192" i="26"/>
  <c r="AL1191" i="26"/>
  <c r="AL1190" i="26"/>
  <c r="AL1189" i="26"/>
  <c r="AL1188" i="26"/>
  <c r="AL1187" i="26"/>
  <c r="AL1186" i="26"/>
  <c r="AL1185" i="26"/>
  <c r="AL1184" i="26"/>
  <c r="AL1183" i="26"/>
  <c r="AL1182" i="26"/>
  <c r="AL1181" i="26"/>
  <c r="AL1180" i="26"/>
  <c r="AL1179" i="26"/>
  <c r="AL1178" i="26"/>
  <c r="AL1177" i="26"/>
  <c r="AL1176" i="26"/>
  <c r="AL1175" i="26"/>
  <c r="AL1174" i="26"/>
  <c r="AL1173" i="26"/>
  <c r="AL1172" i="26"/>
  <c r="AL1171" i="26"/>
  <c r="AL1170" i="26"/>
  <c r="AL1169" i="26"/>
  <c r="AL1168" i="26"/>
  <c r="AL1167" i="26"/>
  <c r="AL1166" i="26"/>
  <c r="AL1165" i="26"/>
  <c r="AL1164" i="26"/>
  <c r="AL1163" i="26"/>
  <c r="AL1162" i="26"/>
  <c r="AL1161" i="26"/>
  <c r="AL1160" i="26"/>
  <c r="AL1159" i="26"/>
  <c r="AL1158" i="26"/>
  <c r="AL1157" i="26"/>
  <c r="AL1156" i="26"/>
  <c r="AL1155" i="26"/>
  <c r="AL1154" i="26"/>
  <c r="AL1153" i="26"/>
  <c r="AL1152" i="26"/>
  <c r="AL1151" i="26"/>
  <c r="AL1150" i="26"/>
  <c r="AL1149" i="26"/>
  <c r="AL1148" i="26"/>
  <c r="AL1147" i="26"/>
  <c r="AL1146" i="26"/>
  <c r="AL1145" i="26"/>
  <c r="AL1144" i="26"/>
  <c r="AL1143" i="26"/>
  <c r="AL1142" i="26"/>
  <c r="AL1141" i="26"/>
  <c r="AL1140" i="26"/>
  <c r="AL1139" i="26"/>
  <c r="AL1138" i="26"/>
  <c r="AL1137" i="26"/>
  <c r="AL1136" i="26"/>
  <c r="AL1135" i="26"/>
  <c r="AL1134" i="26"/>
  <c r="AL1133" i="26"/>
  <c r="AL1132" i="26"/>
  <c r="AL1131" i="26"/>
  <c r="AL1130" i="26"/>
  <c r="AL1129" i="26"/>
  <c r="AL1128" i="26"/>
  <c r="AL1127" i="26"/>
  <c r="AL1126" i="26"/>
  <c r="AL1125" i="26"/>
  <c r="AL1124" i="26"/>
  <c r="AL1123" i="26"/>
  <c r="AL1122" i="26"/>
  <c r="AL1121" i="26"/>
  <c r="AL1120" i="26"/>
  <c r="AL1119" i="26"/>
  <c r="AL1118" i="26"/>
  <c r="AL1117" i="26"/>
  <c r="AL1116" i="26"/>
  <c r="AL1115" i="26"/>
  <c r="AL1114" i="26"/>
  <c r="AL1113" i="26"/>
  <c r="AL1112" i="26"/>
  <c r="AL1111" i="26"/>
  <c r="AL1110" i="26"/>
  <c r="AL1109" i="26"/>
  <c r="AL1108" i="26"/>
  <c r="AL1107" i="26"/>
  <c r="AL1106" i="26"/>
  <c r="AL1105" i="26"/>
  <c r="AL1104" i="26"/>
  <c r="AL1103" i="26"/>
  <c r="AL1102" i="26"/>
  <c r="AL1101" i="26"/>
  <c r="AL1100" i="26"/>
  <c r="AL1099" i="26"/>
  <c r="AL1098" i="26"/>
  <c r="AL1097" i="26"/>
  <c r="AL1096" i="26"/>
  <c r="AL1095" i="26"/>
  <c r="AL1094" i="26"/>
  <c r="AL1093" i="26"/>
  <c r="AL1092" i="26"/>
  <c r="AL1091" i="26"/>
  <c r="AL1090" i="26"/>
  <c r="AL1089" i="26"/>
  <c r="AL1088" i="26"/>
  <c r="AL1087" i="26"/>
  <c r="AL1086" i="26"/>
  <c r="AL1085" i="26"/>
  <c r="AL1084" i="26"/>
  <c r="AL1083" i="26"/>
  <c r="AL1082" i="26"/>
  <c r="AL1081" i="26"/>
  <c r="AL1080" i="26"/>
  <c r="AL1079" i="26"/>
  <c r="AL1078" i="26"/>
  <c r="AL1077" i="26"/>
  <c r="AL1076" i="26"/>
  <c r="AL1075" i="26"/>
  <c r="AL1074" i="26"/>
  <c r="AL1073" i="26"/>
  <c r="AL1072" i="26"/>
  <c r="AL1071" i="26"/>
  <c r="AL1070" i="26"/>
  <c r="AL1069" i="26"/>
  <c r="AL1068" i="26"/>
  <c r="AL1067" i="26"/>
  <c r="AL1066" i="26"/>
  <c r="AL1065" i="26"/>
  <c r="AL1064" i="26"/>
  <c r="AL1063" i="26"/>
  <c r="AL1062" i="26"/>
  <c r="AL1061" i="26"/>
  <c r="AL1060" i="26"/>
  <c r="AL1059" i="26"/>
  <c r="AL1058" i="26"/>
  <c r="AL1057" i="26"/>
  <c r="AL1056" i="26"/>
  <c r="AL1055" i="26"/>
  <c r="AL1054" i="26"/>
  <c r="AL1053" i="26"/>
  <c r="AL1052" i="26"/>
  <c r="AL1051" i="26"/>
  <c r="AL1050" i="26"/>
  <c r="AL1049" i="26"/>
  <c r="AL1048" i="26"/>
  <c r="AL1047" i="26"/>
  <c r="AL1046" i="26"/>
  <c r="AL1045" i="26"/>
  <c r="AL1044" i="26"/>
  <c r="AL1043" i="26"/>
  <c r="AL1042" i="26"/>
  <c r="AL1041" i="26"/>
  <c r="AL1040" i="26"/>
  <c r="AL1039" i="26"/>
  <c r="AL1038" i="26"/>
  <c r="AL1037" i="26"/>
  <c r="AL1036" i="26"/>
  <c r="AL1035" i="26"/>
  <c r="AL1034" i="26"/>
  <c r="AL1033" i="26"/>
  <c r="AL1032" i="26"/>
  <c r="AL1031" i="26"/>
  <c r="AL1030" i="26"/>
  <c r="AL1029" i="26"/>
  <c r="AL1028" i="26"/>
  <c r="AL1027" i="26"/>
  <c r="AL1026" i="26"/>
  <c r="AL1025" i="26"/>
  <c r="AL1024" i="26"/>
  <c r="AL1023" i="26"/>
  <c r="AL1022" i="26"/>
  <c r="AL1021" i="26"/>
  <c r="AL1020" i="26"/>
  <c r="AL1019" i="26"/>
  <c r="AL1018" i="26"/>
  <c r="AL1017" i="26"/>
  <c r="AL1016" i="26"/>
  <c r="AL1015" i="26"/>
  <c r="AL1014" i="26"/>
  <c r="AL1013" i="26"/>
  <c r="AL1012" i="26"/>
  <c r="AL1011" i="26"/>
  <c r="AL1010" i="26"/>
  <c r="AL1009" i="26"/>
  <c r="AL1008" i="26"/>
  <c r="AL1007" i="26"/>
  <c r="AL1006" i="26"/>
  <c r="AL1005" i="26"/>
  <c r="AL1004" i="26"/>
  <c r="AL1003" i="26"/>
  <c r="AL1002" i="26"/>
  <c r="AL1001" i="26"/>
  <c r="AL1000" i="26"/>
  <c r="AL999" i="26"/>
  <c r="AL998" i="26"/>
  <c r="AL997" i="26"/>
  <c r="AL996" i="26"/>
  <c r="AL995" i="26"/>
  <c r="AL994" i="26"/>
  <c r="AL993" i="26"/>
  <c r="AL992" i="26"/>
  <c r="AL991" i="26"/>
  <c r="AL990" i="26"/>
  <c r="AL989" i="26"/>
  <c r="AL988" i="26"/>
  <c r="AL987" i="26"/>
  <c r="AL986" i="26"/>
  <c r="AL985" i="26"/>
  <c r="AL984" i="26"/>
  <c r="AL983" i="26"/>
  <c r="AL982" i="26"/>
  <c r="AL981" i="26"/>
  <c r="AL980" i="26"/>
  <c r="AL979" i="26"/>
  <c r="AL978" i="26"/>
  <c r="AL977" i="26"/>
  <c r="AL976" i="26"/>
  <c r="AL975" i="26"/>
  <c r="AL974" i="26"/>
  <c r="AL973" i="26"/>
  <c r="AL972" i="26"/>
  <c r="AL971" i="26"/>
  <c r="AL970" i="26"/>
  <c r="AL969" i="26"/>
  <c r="AL968" i="26"/>
  <c r="AL967" i="26"/>
  <c r="AL966" i="26"/>
  <c r="AL965" i="26"/>
  <c r="AL964" i="26"/>
  <c r="AL963" i="26"/>
  <c r="AL962" i="26"/>
  <c r="AL961" i="26"/>
  <c r="AL960" i="26"/>
  <c r="AL959" i="26"/>
  <c r="AL958" i="26"/>
  <c r="AL957" i="26"/>
  <c r="AL956" i="26"/>
  <c r="AL955" i="26"/>
  <c r="AL954" i="26"/>
  <c r="AL953" i="26"/>
  <c r="AL952" i="26"/>
  <c r="AL951" i="26"/>
  <c r="AL950" i="26"/>
  <c r="AL949" i="26"/>
  <c r="AL948" i="26"/>
  <c r="AL947" i="26"/>
  <c r="AL946" i="26"/>
  <c r="AL945" i="26"/>
  <c r="AL944" i="26"/>
  <c r="AL943" i="26"/>
  <c r="AL942" i="26"/>
  <c r="AL941" i="26"/>
  <c r="AL940" i="26"/>
  <c r="AL939" i="26"/>
  <c r="AL938" i="26"/>
  <c r="AL937" i="26"/>
  <c r="AL936" i="26"/>
  <c r="AL935" i="26"/>
  <c r="AL934" i="26"/>
  <c r="AL933" i="26"/>
  <c r="AL932" i="26"/>
  <c r="AL931" i="26"/>
  <c r="AL930" i="26"/>
  <c r="AL929" i="26"/>
  <c r="AL928" i="26"/>
  <c r="AL927" i="26"/>
  <c r="AL926" i="26"/>
  <c r="AL925" i="26"/>
  <c r="AL924" i="26"/>
  <c r="AL923" i="26"/>
  <c r="AL922" i="26"/>
  <c r="AL921" i="26"/>
  <c r="AL920" i="26"/>
  <c r="AL919" i="26"/>
  <c r="AL918" i="26"/>
  <c r="AL917" i="26"/>
  <c r="O24" i="57" l="1"/>
  <c r="U21" i="57"/>
  <c r="AA21" i="57" s="1"/>
  <c r="Q21" i="57"/>
  <c r="W21" i="57" s="1"/>
  <c r="T21" i="57"/>
  <c r="Z21" i="57" s="1"/>
  <c r="S21" i="57"/>
  <c r="Y21" i="57" s="1"/>
  <c r="R21" i="57"/>
  <c r="X21" i="57" s="1"/>
  <c r="J24" i="57"/>
  <c r="S23" i="57"/>
  <c r="Y23" i="57" s="1"/>
  <c r="R23" i="57"/>
  <c r="X23" i="57" s="1"/>
  <c r="U23" i="57"/>
  <c r="AA23" i="57" s="1"/>
  <c r="Q23" i="57"/>
  <c r="W23" i="57" s="1"/>
  <c r="T23" i="57"/>
  <c r="Z23" i="57" s="1"/>
  <c r="N24" i="57"/>
  <c r="R22" i="57"/>
  <c r="X22" i="57" s="1"/>
  <c r="U22" i="57"/>
  <c r="AA22" i="57" s="1"/>
  <c r="Q22" i="57"/>
  <c r="W22" i="57" s="1"/>
  <c r="T22" i="57"/>
  <c r="Z22" i="57" s="1"/>
  <c r="S22" i="57"/>
  <c r="Y22" i="57" s="1"/>
  <c r="L24" i="57"/>
  <c r="AJ125" i="54"/>
  <c r="AK125" i="54" s="1"/>
  <c r="AL125" i="54" s="1"/>
  <c r="AM124" i="54"/>
  <c r="AJ124" i="54"/>
  <c r="AK124" i="54" s="1"/>
  <c r="AL124" i="54" s="1"/>
  <c r="AO124" i="54" s="1"/>
  <c r="AM123" i="54"/>
  <c r="AK123" i="54"/>
  <c r="AL123" i="54" s="1"/>
  <c r="AO123" i="54" s="1"/>
  <c r="AJ123" i="54"/>
  <c r="AN123" i="54" s="1"/>
  <c r="AN122" i="54"/>
  <c r="AK122" i="54"/>
  <c r="AL122" i="54" s="1"/>
  <c r="AJ122" i="54"/>
  <c r="AM122" i="54" s="1"/>
  <c r="AJ121" i="54"/>
  <c r="AM120" i="54"/>
  <c r="AJ120" i="54"/>
  <c r="AK120" i="54" s="1"/>
  <c r="AL120" i="54" s="1"/>
  <c r="AM119" i="54"/>
  <c r="AL119" i="54"/>
  <c r="AK119" i="54"/>
  <c r="AJ119" i="54"/>
  <c r="AN119" i="54" s="1"/>
  <c r="AO118" i="54"/>
  <c r="AN118" i="54"/>
  <c r="AK118" i="54"/>
  <c r="AL118" i="54" s="1"/>
  <c r="AJ118" i="54"/>
  <c r="AM118" i="54" s="1"/>
  <c r="AN117" i="54"/>
  <c r="AM117" i="54"/>
  <c r="AJ117" i="54"/>
  <c r="AK117" i="54" s="1"/>
  <c r="AL117" i="54" s="1"/>
  <c r="AM116" i="54"/>
  <c r="AL116" i="54"/>
  <c r="AJ116" i="54"/>
  <c r="AK116" i="54" s="1"/>
  <c r="AO115" i="54"/>
  <c r="AM115" i="54"/>
  <c r="AL115" i="54"/>
  <c r="AP115" i="54" s="1"/>
  <c r="AK115" i="54"/>
  <c r="AJ115" i="54"/>
  <c r="AN115" i="54" s="1"/>
  <c r="AJ114" i="54"/>
  <c r="AM114" i="54" s="1"/>
  <c r="AN113" i="54"/>
  <c r="AM113" i="54"/>
  <c r="AJ113" i="54"/>
  <c r="AK113" i="54" s="1"/>
  <c r="AL113" i="54" s="1"/>
  <c r="AM112" i="54"/>
  <c r="AL112" i="54"/>
  <c r="AJ112" i="54"/>
  <c r="AK112" i="54" s="1"/>
  <c r="AM111" i="54"/>
  <c r="AK111" i="54"/>
  <c r="AL111" i="54" s="1"/>
  <c r="AP111" i="54" s="1"/>
  <c r="AJ111" i="54"/>
  <c r="AN111" i="54" s="1"/>
  <c r="AJ110" i="54"/>
  <c r="AJ109" i="54"/>
  <c r="AK109" i="54" s="1"/>
  <c r="AL109" i="54" s="1"/>
  <c r="AM108" i="54"/>
  <c r="AJ108" i="54"/>
  <c r="AK108" i="54" s="1"/>
  <c r="AL108" i="54" s="1"/>
  <c r="AO108" i="54" s="1"/>
  <c r="AP107" i="54"/>
  <c r="AM107" i="54"/>
  <c r="AK107" i="54"/>
  <c r="AL107" i="54" s="1"/>
  <c r="AO107" i="54" s="1"/>
  <c r="AJ107" i="54"/>
  <c r="AN107" i="54" s="1"/>
  <c r="AN106" i="54"/>
  <c r="AK106" i="54"/>
  <c r="AL106" i="54" s="1"/>
  <c r="AJ106" i="54"/>
  <c r="AM106" i="54" s="1"/>
  <c r="AJ105" i="54"/>
  <c r="AM104" i="54"/>
  <c r="AJ104" i="54"/>
  <c r="AK104" i="54" s="1"/>
  <c r="AL104" i="54" s="1"/>
  <c r="AM103" i="54"/>
  <c r="AL103" i="54"/>
  <c r="AK103" i="54"/>
  <c r="AJ103" i="54"/>
  <c r="AN103" i="54" s="1"/>
  <c r="AO102" i="54"/>
  <c r="AN102" i="54"/>
  <c r="AK102" i="54"/>
  <c r="AL102" i="54" s="1"/>
  <c r="AJ102" i="54"/>
  <c r="AM102" i="54" s="1"/>
  <c r="AN101" i="54"/>
  <c r="AM101" i="54"/>
  <c r="AJ101" i="54"/>
  <c r="AK101" i="54" s="1"/>
  <c r="AL101" i="54" s="1"/>
  <c r="AM100" i="54"/>
  <c r="AL100" i="54"/>
  <c r="AJ100" i="54"/>
  <c r="AK100" i="54" s="1"/>
  <c r="AM99" i="54"/>
  <c r="AL99" i="54"/>
  <c r="AP99" i="54" s="1"/>
  <c r="AK99" i="54"/>
  <c r="AJ99" i="54"/>
  <c r="AN99" i="54" s="1"/>
  <c r="AN98" i="54"/>
  <c r="AJ98" i="54"/>
  <c r="AM98" i="54" s="1"/>
  <c r="AN97" i="54"/>
  <c r="AM97" i="54"/>
  <c r="AJ97" i="54"/>
  <c r="AK97" i="54" s="1"/>
  <c r="AL97" i="54" s="1"/>
  <c r="AM96" i="54"/>
  <c r="AL96" i="54"/>
  <c r="AJ96" i="54"/>
  <c r="AK96" i="54" s="1"/>
  <c r="AO95" i="54"/>
  <c r="AM95" i="54"/>
  <c r="AK95" i="54"/>
  <c r="AL95" i="54" s="1"/>
  <c r="AP95" i="54" s="1"/>
  <c r="AJ95" i="54"/>
  <c r="AN95" i="54" s="1"/>
  <c r="AJ94" i="54"/>
  <c r="AJ93" i="54"/>
  <c r="AK93" i="54" s="1"/>
  <c r="AL93" i="54" s="1"/>
  <c r="AM92" i="54"/>
  <c r="AJ92" i="54"/>
  <c r="AK92" i="54" s="1"/>
  <c r="AL92" i="54" s="1"/>
  <c r="AO92" i="54" s="1"/>
  <c r="AM91" i="54"/>
  <c r="AK91" i="54"/>
  <c r="AL91" i="54" s="1"/>
  <c r="AO91" i="54" s="1"/>
  <c r="AJ91" i="54"/>
  <c r="AN91" i="54" s="1"/>
  <c r="AN90" i="54"/>
  <c r="AK90" i="54"/>
  <c r="AL90" i="54" s="1"/>
  <c r="AJ90" i="54"/>
  <c r="AM90" i="54" s="1"/>
  <c r="AJ89" i="54"/>
  <c r="AM88" i="54"/>
  <c r="AJ88" i="54"/>
  <c r="AK88" i="54" s="1"/>
  <c r="AL88" i="54" s="1"/>
  <c r="AM87" i="54"/>
  <c r="AL87" i="54"/>
  <c r="AK87" i="54"/>
  <c r="AJ87" i="54"/>
  <c r="AN87" i="54" s="1"/>
  <c r="AN86" i="54"/>
  <c r="AK86" i="54"/>
  <c r="AL86" i="54" s="1"/>
  <c r="AO86" i="54" s="1"/>
  <c r="AJ86" i="54"/>
  <c r="AM86" i="54" s="1"/>
  <c r="AM85" i="54"/>
  <c r="AJ85" i="54"/>
  <c r="AK85" i="54" s="1"/>
  <c r="AL85" i="54" s="1"/>
  <c r="AM84" i="54"/>
  <c r="AL84" i="54"/>
  <c r="AJ84" i="54"/>
  <c r="AK84" i="54" s="1"/>
  <c r="AM83" i="54"/>
  <c r="AL83" i="54"/>
  <c r="AP83" i="54" s="1"/>
  <c r="AK83" i="54"/>
  <c r="AJ83" i="54"/>
  <c r="AN83" i="54" s="1"/>
  <c r="AN82" i="54"/>
  <c r="AJ82" i="54"/>
  <c r="AM82" i="54" s="1"/>
  <c r="AN81" i="54"/>
  <c r="AM81" i="54"/>
  <c r="AJ81" i="54"/>
  <c r="AK81" i="54" s="1"/>
  <c r="AL81" i="54" s="1"/>
  <c r="AM80" i="54"/>
  <c r="AL80" i="54"/>
  <c r="AJ80" i="54"/>
  <c r="AK80" i="54" s="1"/>
  <c r="AO79" i="54"/>
  <c r="AM79" i="54"/>
  <c r="AL79" i="54"/>
  <c r="AK79" i="54"/>
  <c r="AJ79" i="54"/>
  <c r="AN79" i="54" s="1"/>
  <c r="AL78" i="54"/>
  <c r="AK78" i="54"/>
  <c r="AJ78" i="54"/>
  <c r="AM78" i="54" s="1"/>
  <c r="AN77" i="54"/>
  <c r="AM77" i="54"/>
  <c r="AK77" i="54"/>
  <c r="AL77" i="54" s="1"/>
  <c r="AO77" i="54" s="1"/>
  <c r="AJ77" i="54"/>
  <c r="AJ76" i="54"/>
  <c r="AM75" i="54"/>
  <c r="AL75" i="54"/>
  <c r="AK75" i="54"/>
  <c r="AJ75" i="54"/>
  <c r="AN75" i="54" s="1"/>
  <c r="AJ74" i="54"/>
  <c r="AK73" i="54"/>
  <c r="AL73" i="54" s="1"/>
  <c r="AJ73" i="54"/>
  <c r="AN73" i="54" s="1"/>
  <c r="AM72" i="54"/>
  <c r="AJ72" i="54"/>
  <c r="AK72" i="54" s="1"/>
  <c r="AL72" i="54" s="1"/>
  <c r="AO71" i="54"/>
  <c r="AM71" i="54"/>
  <c r="AL71" i="54"/>
  <c r="AK71" i="54"/>
  <c r="AJ71" i="54"/>
  <c r="AN71" i="54" s="1"/>
  <c r="AJ70" i="54"/>
  <c r="AM70" i="54" s="1"/>
  <c r="AJ69" i="54"/>
  <c r="AN69" i="54" s="1"/>
  <c r="AM68" i="54"/>
  <c r="AK68" i="54"/>
  <c r="AL68" i="54" s="1"/>
  <c r="AJ68" i="54"/>
  <c r="AN68" i="54" s="1"/>
  <c r="AJ67" i="54"/>
  <c r="AK67" i="54" s="1"/>
  <c r="AL67" i="54" s="1"/>
  <c r="AM66" i="54"/>
  <c r="AK66" i="54"/>
  <c r="AL66" i="54" s="1"/>
  <c r="AO66" i="54" s="1"/>
  <c r="AJ66" i="54"/>
  <c r="AN66" i="54" s="1"/>
  <c r="AJ65" i="54"/>
  <c r="AM64" i="54"/>
  <c r="AK64" i="54"/>
  <c r="AL64" i="54" s="1"/>
  <c r="AJ64" i="54"/>
  <c r="AN64" i="54" s="1"/>
  <c r="AJ63" i="54"/>
  <c r="AK63" i="54" s="1"/>
  <c r="AL63" i="54" s="1"/>
  <c r="AM62" i="54"/>
  <c r="AK62" i="54"/>
  <c r="AL62" i="54" s="1"/>
  <c r="AO62" i="54" s="1"/>
  <c r="AJ62" i="54"/>
  <c r="AN62" i="54" s="1"/>
  <c r="AJ61" i="54"/>
  <c r="AM60" i="54"/>
  <c r="AK60" i="54"/>
  <c r="AL60" i="54" s="1"/>
  <c r="AJ60" i="54"/>
  <c r="AN60" i="54" s="1"/>
  <c r="AJ59" i="54"/>
  <c r="AK59" i="54" s="1"/>
  <c r="AL59" i="54" s="1"/>
  <c r="AM58" i="54"/>
  <c r="AK58" i="54"/>
  <c r="AL58" i="54" s="1"/>
  <c r="AO58" i="54" s="1"/>
  <c r="AJ58" i="54"/>
  <c r="AN58" i="54" s="1"/>
  <c r="AJ57" i="54"/>
  <c r="AN57" i="54" s="1"/>
  <c r="AM56" i="54"/>
  <c r="AK56" i="54"/>
  <c r="AL56" i="54" s="1"/>
  <c r="AJ56" i="54"/>
  <c r="AN56" i="54" s="1"/>
  <c r="AJ55" i="54"/>
  <c r="AK55" i="54" s="1"/>
  <c r="AL55" i="54" s="1"/>
  <c r="AM54" i="54"/>
  <c r="AK54" i="54"/>
  <c r="AL54" i="54" s="1"/>
  <c r="AO54" i="54" s="1"/>
  <c r="AJ54" i="54"/>
  <c r="AN54" i="54" s="1"/>
  <c r="AJ53" i="54"/>
  <c r="AM52" i="54"/>
  <c r="AK52" i="54"/>
  <c r="AL52" i="54" s="1"/>
  <c r="AJ52" i="54"/>
  <c r="AN52" i="54" s="1"/>
  <c r="AJ51" i="54"/>
  <c r="AK51" i="54" s="1"/>
  <c r="AL51" i="54" s="1"/>
  <c r="AM50" i="54"/>
  <c r="AK50" i="54"/>
  <c r="AL50" i="54" s="1"/>
  <c r="AO50" i="54" s="1"/>
  <c r="AJ50" i="54"/>
  <c r="AN50" i="54" s="1"/>
  <c r="AJ49" i="54"/>
  <c r="AN49" i="54" s="1"/>
  <c r="AM48" i="54"/>
  <c r="AK48" i="54"/>
  <c r="AL48" i="54" s="1"/>
  <c r="AJ48" i="54"/>
  <c r="AN48" i="54" s="1"/>
  <c r="AJ47" i="54"/>
  <c r="AK47" i="54" s="1"/>
  <c r="AL47" i="54" s="1"/>
  <c r="AM46" i="54"/>
  <c r="AK46" i="54"/>
  <c r="AL46" i="54" s="1"/>
  <c r="AO46" i="54" s="1"/>
  <c r="AJ46" i="54"/>
  <c r="AN46" i="54" s="1"/>
  <c r="AJ45" i="54"/>
  <c r="AN45" i="54" s="1"/>
  <c r="AM44" i="54"/>
  <c r="AK44" i="54"/>
  <c r="AL44" i="54" s="1"/>
  <c r="AJ44" i="54"/>
  <c r="AN44" i="54" s="1"/>
  <c r="AJ43" i="54"/>
  <c r="AK43" i="54" s="1"/>
  <c r="AL43" i="54" s="1"/>
  <c r="AM42" i="54"/>
  <c r="AK42" i="54"/>
  <c r="AL42" i="54" s="1"/>
  <c r="AO42" i="54" s="1"/>
  <c r="AJ42" i="54"/>
  <c r="AN42" i="54" s="1"/>
  <c r="AJ41" i="54"/>
  <c r="AM40" i="54"/>
  <c r="AO40" i="54" s="1"/>
  <c r="AK40" i="54"/>
  <c r="AL40" i="54" s="1"/>
  <c r="AJ40" i="54"/>
  <c r="AN40" i="54" s="1"/>
  <c r="AJ39" i="54"/>
  <c r="AM38" i="54"/>
  <c r="AO38" i="54" s="1"/>
  <c r="AK38" i="54"/>
  <c r="AL38" i="54" s="1"/>
  <c r="AJ38" i="54"/>
  <c r="AN38" i="54" s="1"/>
  <c r="AJ37" i="54"/>
  <c r="AM36" i="54"/>
  <c r="AO36" i="54" s="1"/>
  <c r="AK36" i="54"/>
  <c r="AL36" i="54" s="1"/>
  <c r="AJ36" i="54"/>
  <c r="AN36" i="54" s="1"/>
  <c r="AJ35" i="54"/>
  <c r="AM34" i="54"/>
  <c r="AO34" i="54" s="1"/>
  <c r="AK34" i="54"/>
  <c r="AL34" i="54" s="1"/>
  <c r="AJ34" i="54"/>
  <c r="AN34" i="54" s="1"/>
  <c r="AM33" i="54"/>
  <c r="AK33" i="54"/>
  <c r="AL33" i="54" s="1"/>
  <c r="AJ33" i="54"/>
  <c r="AN33" i="54" s="1"/>
  <c r="AJ32" i="54"/>
  <c r="AK32" i="54" s="1"/>
  <c r="AL32" i="54" s="1"/>
  <c r="AM31" i="54"/>
  <c r="AK31" i="54"/>
  <c r="AL31" i="54" s="1"/>
  <c r="AJ31" i="54"/>
  <c r="AN31" i="54" s="1"/>
  <c r="AJ30" i="54"/>
  <c r="AM30" i="54" s="1"/>
  <c r="AM29" i="54"/>
  <c r="AK29" i="54"/>
  <c r="AL29" i="54" s="1"/>
  <c r="AJ29" i="54"/>
  <c r="AN29" i="54" s="1"/>
  <c r="AJ28" i="54"/>
  <c r="AK28" i="54" s="1"/>
  <c r="AL28" i="54" s="1"/>
  <c r="AM27" i="54"/>
  <c r="AK27" i="54"/>
  <c r="AL27" i="54" s="1"/>
  <c r="AJ27" i="54"/>
  <c r="AN27" i="54" s="1"/>
  <c r="AJ26" i="54"/>
  <c r="AM26" i="54" s="1"/>
  <c r="AM25" i="54"/>
  <c r="AK25" i="54"/>
  <c r="AL25" i="54" s="1"/>
  <c r="AJ25" i="54"/>
  <c r="AN25" i="54" s="1"/>
  <c r="AJ24" i="54"/>
  <c r="AK24" i="54" s="1"/>
  <c r="AL24" i="54" s="1"/>
  <c r="AM23" i="54"/>
  <c r="AK23" i="54"/>
  <c r="AL23" i="54" s="1"/>
  <c r="AJ23" i="54"/>
  <c r="AN23" i="54" s="1"/>
  <c r="AJ22" i="54"/>
  <c r="AM22" i="54" s="1"/>
  <c r="AM21" i="54"/>
  <c r="AK21" i="54"/>
  <c r="AL21" i="54" s="1"/>
  <c r="AJ21" i="54"/>
  <c r="AN21" i="54" s="1"/>
  <c r="AJ20" i="54"/>
  <c r="AK20" i="54" s="1"/>
  <c r="AL20" i="54" s="1"/>
  <c r="AM19" i="54"/>
  <c r="AK19" i="54"/>
  <c r="AL19" i="54" s="1"/>
  <c r="AJ19" i="54"/>
  <c r="AN19" i="54" s="1"/>
  <c r="AJ18" i="54"/>
  <c r="AM18" i="54" s="1"/>
  <c r="AM17" i="54"/>
  <c r="AK17" i="54"/>
  <c r="AL17" i="54" s="1"/>
  <c r="AJ17" i="54"/>
  <c r="AN17" i="54" s="1"/>
  <c r="AJ16" i="54"/>
  <c r="AK16" i="54" s="1"/>
  <c r="AL16" i="54" s="1"/>
  <c r="AM15" i="54"/>
  <c r="AK15" i="54"/>
  <c r="AL15" i="54" s="1"/>
  <c r="AJ15" i="54"/>
  <c r="AN15" i="54" s="1"/>
  <c r="AJ14" i="54"/>
  <c r="AM14" i="54" s="1"/>
  <c r="AM13" i="54"/>
  <c r="AK13" i="54"/>
  <c r="AL13" i="54" s="1"/>
  <c r="AJ13" i="54"/>
  <c r="AN13" i="54" s="1"/>
  <c r="AJ12" i="54"/>
  <c r="AK12" i="54" s="1"/>
  <c r="AL12" i="54" s="1"/>
  <c r="AM11" i="54"/>
  <c r="AK11" i="54"/>
  <c r="AL11" i="54" s="1"/>
  <c r="AJ11" i="54"/>
  <c r="AN11" i="54" s="1"/>
  <c r="AJ10" i="54"/>
  <c r="AM10" i="54" s="1"/>
  <c r="AM9" i="54"/>
  <c r="AK9" i="54"/>
  <c r="AL9" i="54" s="1"/>
  <c r="AJ9" i="54"/>
  <c r="AN9" i="54" s="1"/>
  <c r="AJ8" i="54"/>
  <c r="AK8" i="54" s="1"/>
  <c r="AL8" i="54" s="1"/>
  <c r="AM7" i="54"/>
  <c r="AK7" i="54"/>
  <c r="AL7" i="54" s="1"/>
  <c r="AJ7" i="54"/>
  <c r="AN7" i="54" s="1"/>
  <c r="AJ6" i="54"/>
  <c r="AM6" i="54" s="1"/>
  <c r="AN5" i="54"/>
  <c r="AM5" i="54"/>
  <c r="AK5" i="54"/>
  <c r="AJ5" i="54"/>
  <c r="AH5" i="54"/>
  <c r="AR1444" i="55"/>
  <c r="AR1443" i="55"/>
  <c r="AR1442" i="55"/>
  <c r="AR1441" i="55"/>
  <c r="AR1440" i="55"/>
  <c r="AR1439" i="55"/>
  <c r="AR1438" i="55"/>
  <c r="AR1437" i="55"/>
  <c r="AR1436" i="55"/>
  <c r="AR1435" i="55"/>
  <c r="AR1434" i="55"/>
  <c r="AR1433" i="55"/>
  <c r="AR1432" i="55"/>
  <c r="AR1431" i="55"/>
  <c r="AR1430" i="55"/>
  <c r="AR1429" i="55"/>
  <c r="AR1428" i="55"/>
  <c r="AR1427" i="55"/>
  <c r="AR1426" i="55"/>
  <c r="AR1425" i="55"/>
  <c r="AR1424" i="55"/>
  <c r="AR1423" i="55"/>
  <c r="AR1422" i="55"/>
  <c r="AR1421" i="55"/>
  <c r="AR1420" i="55"/>
  <c r="AR1419" i="55"/>
  <c r="AR1418" i="55"/>
  <c r="AR1417" i="55"/>
  <c r="AR1416" i="55"/>
  <c r="AR1415" i="55"/>
  <c r="AR1414" i="55"/>
  <c r="AR1413" i="55"/>
  <c r="AR1412" i="55"/>
  <c r="AR1411" i="55"/>
  <c r="AR1410" i="55"/>
  <c r="AR1409" i="55"/>
  <c r="AR1408" i="55"/>
  <c r="AR1407" i="55"/>
  <c r="AR1406" i="55"/>
  <c r="AR1405" i="55"/>
  <c r="AR1404" i="55"/>
  <c r="AR1403" i="55"/>
  <c r="AR1402" i="55"/>
  <c r="AR1401" i="55"/>
  <c r="AR1400" i="55"/>
  <c r="AR1399" i="55"/>
  <c r="AR1398" i="55"/>
  <c r="AR1397" i="55"/>
  <c r="AR1396" i="55"/>
  <c r="AR1395" i="55"/>
  <c r="AR1394" i="55"/>
  <c r="AR1393" i="55"/>
  <c r="AR1392" i="55"/>
  <c r="AR1391" i="55"/>
  <c r="AR1390" i="55"/>
  <c r="AR1389" i="55"/>
  <c r="AR1388" i="55"/>
  <c r="AR1387" i="55"/>
  <c r="AR1386" i="55"/>
  <c r="AR1385" i="55"/>
  <c r="AR1384" i="55"/>
  <c r="AR1383" i="55"/>
  <c r="AR1382" i="55"/>
  <c r="AR1381" i="55"/>
  <c r="AR1380" i="55"/>
  <c r="AR1379" i="55"/>
  <c r="AR1378" i="55"/>
  <c r="AR1377" i="55"/>
  <c r="AR1376" i="55"/>
  <c r="AR1375" i="55"/>
  <c r="AR1374" i="55"/>
  <c r="AR1373" i="55"/>
  <c r="AR1372" i="55"/>
  <c r="AR1371" i="55"/>
  <c r="AR1370" i="55"/>
  <c r="AR1369" i="55"/>
  <c r="AR1368" i="55"/>
  <c r="AR1367" i="55"/>
  <c r="AR1366" i="55"/>
  <c r="AR1365" i="55"/>
  <c r="AR1364" i="55"/>
  <c r="AR1363" i="55"/>
  <c r="AR1362" i="55"/>
  <c r="AR1361" i="55"/>
  <c r="AR1360" i="55"/>
  <c r="AR1359" i="55"/>
  <c r="AR1358" i="55"/>
  <c r="AR1357" i="55"/>
  <c r="AR1356" i="55"/>
  <c r="AR1355" i="55"/>
  <c r="AR1354" i="55"/>
  <c r="AR1353" i="55"/>
  <c r="AR1352" i="55"/>
  <c r="AR1351" i="55"/>
  <c r="AR1350" i="55"/>
  <c r="AR1349" i="55"/>
  <c r="AR1348" i="55"/>
  <c r="AR1347" i="55"/>
  <c r="AR1346" i="55"/>
  <c r="AR1345" i="55"/>
  <c r="AR1344" i="55"/>
  <c r="AR1343" i="55"/>
  <c r="AR1342" i="55"/>
  <c r="AR1341" i="55"/>
  <c r="AR1340" i="55"/>
  <c r="AR1339" i="55"/>
  <c r="AR1338" i="55"/>
  <c r="AR1337" i="55"/>
  <c r="AR1336" i="55"/>
  <c r="AR1335" i="55"/>
  <c r="AR1334" i="55"/>
  <c r="AR1333" i="55"/>
  <c r="AR1332" i="55"/>
  <c r="AR1331" i="55"/>
  <c r="AR1330" i="55"/>
  <c r="AR1329" i="55"/>
  <c r="AR1328" i="55"/>
  <c r="AR1327" i="55"/>
  <c r="AR1326" i="55"/>
  <c r="AR1325" i="55"/>
  <c r="AR1324" i="55"/>
  <c r="AR1323" i="55"/>
  <c r="AR1322" i="55"/>
  <c r="AR1321" i="55"/>
  <c r="AR1320" i="55"/>
  <c r="AR1319" i="55"/>
  <c r="AR1318" i="55"/>
  <c r="AR1317" i="55"/>
  <c r="AR1316" i="55"/>
  <c r="AR1315" i="55"/>
  <c r="AR1314" i="55"/>
  <c r="AR1313" i="55"/>
  <c r="AR1312" i="55"/>
  <c r="AR1311" i="55"/>
  <c r="AR1310" i="55"/>
  <c r="AR1309" i="55"/>
  <c r="AR1308" i="55"/>
  <c r="AR1307" i="55"/>
  <c r="AR1306" i="55"/>
  <c r="AR1305" i="55"/>
  <c r="AR1304" i="55"/>
  <c r="AR1303" i="55"/>
  <c r="AR1302" i="55"/>
  <c r="AR1301" i="55"/>
  <c r="AR1300" i="55"/>
  <c r="AR1299" i="55"/>
  <c r="AR1298" i="55"/>
  <c r="AR1297" i="55"/>
  <c r="AR1296" i="55"/>
  <c r="AR1295" i="55"/>
  <c r="AR1294" i="55"/>
  <c r="AR1293" i="55"/>
  <c r="AR1292" i="55"/>
  <c r="AR1291" i="55"/>
  <c r="AR1290" i="55"/>
  <c r="AR1289" i="55"/>
  <c r="AR1288" i="55"/>
  <c r="AR1287" i="55"/>
  <c r="AR1286" i="55"/>
  <c r="AR1285" i="55"/>
  <c r="AR1284" i="55"/>
  <c r="AR1283" i="55"/>
  <c r="AR1282" i="55"/>
  <c r="AR1281" i="55"/>
  <c r="AR1280" i="55"/>
  <c r="AR1279" i="55"/>
  <c r="AR1278" i="55"/>
  <c r="AR1277" i="55"/>
  <c r="AR1276" i="55"/>
  <c r="AR1275" i="55"/>
  <c r="AR1274" i="55"/>
  <c r="AR1273" i="55"/>
  <c r="AR1272" i="55"/>
  <c r="AR1271" i="55"/>
  <c r="AR1270" i="55"/>
  <c r="AR1269" i="55"/>
  <c r="AR1268" i="55"/>
  <c r="AR1267" i="55"/>
  <c r="AR1266" i="55"/>
  <c r="AR1265" i="55"/>
  <c r="AR1264" i="55"/>
  <c r="AR1263" i="55"/>
  <c r="AR1262" i="55"/>
  <c r="AR1261" i="55"/>
  <c r="AR1260" i="55"/>
  <c r="AR1259" i="55"/>
  <c r="AR1258" i="55"/>
  <c r="AR1257" i="55"/>
  <c r="AR1256" i="55"/>
  <c r="AR1255" i="55"/>
  <c r="AR1254" i="55"/>
  <c r="AR1253" i="55"/>
  <c r="AR1252" i="55"/>
  <c r="AR1251" i="55"/>
  <c r="AR1250" i="55"/>
  <c r="AR1249" i="55"/>
  <c r="AR1248" i="55"/>
  <c r="AR1247" i="55"/>
  <c r="AR1246" i="55"/>
  <c r="AR1245" i="55"/>
  <c r="AR1244" i="55"/>
  <c r="AR1243" i="55"/>
  <c r="AR1242" i="55"/>
  <c r="AR1241" i="55"/>
  <c r="AR1240" i="55"/>
  <c r="AR1239" i="55"/>
  <c r="AR1238" i="55"/>
  <c r="AR1237" i="55"/>
  <c r="AR1236" i="55"/>
  <c r="AR1235" i="55"/>
  <c r="AR1234" i="55"/>
  <c r="AR1233" i="55"/>
  <c r="AR1232" i="55"/>
  <c r="AR1231" i="55"/>
  <c r="AR1230" i="55"/>
  <c r="AR1229" i="55"/>
  <c r="AR1228" i="55"/>
  <c r="AR1227" i="55"/>
  <c r="AR1226" i="55"/>
  <c r="AR1225" i="55"/>
  <c r="AR1224" i="55"/>
  <c r="AR1223" i="55"/>
  <c r="AR1222" i="55"/>
  <c r="AR1221" i="55"/>
  <c r="AR1220" i="55"/>
  <c r="AR1219" i="55"/>
  <c r="AR1218" i="55"/>
  <c r="AR1217" i="55"/>
  <c r="AR1216" i="55"/>
  <c r="AR1215" i="55"/>
  <c r="AR1214" i="55"/>
  <c r="AR1213" i="55"/>
  <c r="AR1212" i="55"/>
  <c r="AR1211" i="55"/>
  <c r="AR1210" i="55"/>
  <c r="AR1209" i="55"/>
  <c r="AR1208" i="55"/>
  <c r="AR1207" i="55"/>
  <c r="AR1206" i="55"/>
  <c r="AR1205" i="55"/>
  <c r="AR1204" i="55"/>
  <c r="AR1203" i="55"/>
  <c r="AR1202" i="55"/>
  <c r="AR1201" i="55"/>
  <c r="AR1200" i="55"/>
  <c r="AR1199" i="55"/>
  <c r="AR1198" i="55"/>
  <c r="AR1197" i="55"/>
  <c r="AR1196" i="55"/>
  <c r="AR1195" i="55"/>
  <c r="AR1194" i="55"/>
  <c r="AR1193" i="55"/>
  <c r="AR1192" i="55"/>
  <c r="AR1191" i="55"/>
  <c r="AR1190" i="55"/>
  <c r="AR1189" i="55"/>
  <c r="AR1188" i="55"/>
  <c r="AR1187" i="55"/>
  <c r="AR1186" i="55"/>
  <c r="AR1185" i="55"/>
  <c r="AR1184" i="55"/>
  <c r="AR1183" i="55"/>
  <c r="AR1182" i="55"/>
  <c r="AR1181" i="55"/>
  <c r="AR1180" i="55"/>
  <c r="AR1179" i="55"/>
  <c r="AR1178" i="55"/>
  <c r="AR1177" i="55"/>
  <c r="AR1176" i="55"/>
  <c r="AR1175" i="55"/>
  <c r="AR1174" i="55"/>
  <c r="AR1173" i="55"/>
  <c r="AR1172" i="55"/>
  <c r="AR1171" i="55"/>
  <c r="AR1170" i="55"/>
  <c r="AR1169" i="55"/>
  <c r="AR1168" i="55"/>
  <c r="AR1167" i="55"/>
  <c r="AR1166" i="55"/>
  <c r="AR1165" i="55"/>
  <c r="AR1164" i="55"/>
  <c r="AR1163" i="55"/>
  <c r="AR1162" i="55"/>
  <c r="AR1161" i="55"/>
  <c r="AR1160" i="55"/>
  <c r="AR1159" i="55"/>
  <c r="AR1158" i="55"/>
  <c r="AR1157" i="55"/>
  <c r="AR1156" i="55"/>
  <c r="AR1155" i="55"/>
  <c r="AR1154" i="55"/>
  <c r="AR1153" i="55"/>
  <c r="AR1152" i="55"/>
  <c r="AR1151" i="55"/>
  <c r="AR1150" i="55"/>
  <c r="AR1149" i="55"/>
  <c r="AR1148" i="55"/>
  <c r="AR1147" i="55"/>
  <c r="AR1146" i="55"/>
  <c r="AR1145" i="55"/>
  <c r="AR1144" i="55"/>
  <c r="AR1143" i="55"/>
  <c r="AR1142" i="55"/>
  <c r="AR1141" i="55"/>
  <c r="AR1140" i="55"/>
  <c r="AR1139" i="55"/>
  <c r="AR1138" i="55"/>
  <c r="AR1137" i="55"/>
  <c r="AR1136" i="55"/>
  <c r="AR1135" i="55"/>
  <c r="AR1134" i="55"/>
  <c r="AR1133" i="55"/>
  <c r="AR1132" i="55"/>
  <c r="AR1131" i="55"/>
  <c r="AR1130" i="55"/>
  <c r="AR1129" i="55"/>
  <c r="AR1128" i="55"/>
  <c r="AR1127" i="55"/>
  <c r="AR1126" i="55"/>
  <c r="AR1125" i="55"/>
  <c r="AR1124" i="55"/>
  <c r="AR1123" i="55"/>
  <c r="AR1122" i="55"/>
  <c r="AR1121" i="55"/>
  <c r="AR1120" i="55"/>
  <c r="AR1119" i="55"/>
  <c r="AR1118" i="55"/>
  <c r="AR1117" i="55"/>
  <c r="AR1116" i="55"/>
  <c r="AR1115" i="55"/>
  <c r="AR1114" i="55"/>
  <c r="AR1113" i="55"/>
  <c r="AR1112" i="55"/>
  <c r="AR1111" i="55"/>
  <c r="AR1110" i="55"/>
  <c r="AR1109" i="55"/>
  <c r="AR1108" i="55"/>
  <c r="AR1107" i="55"/>
  <c r="AR1106" i="55"/>
  <c r="AR1105" i="55"/>
  <c r="AR1104" i="55"/>
  <c r="AR1103" i="55"/>
  <c r="AR1102" i="55"/>
  <c r="AR1101" i="55"/>
  <c r="AR1100" i="55"/>
  <c r="AR1099" i="55"/>
  <c r="AR1098" i="55"/>
  <c r="AR1097" i="55"/>
  <c r="AR1096" i="55"/>
  <c r="AR1095" i="55"/>
  <c r="AR1094" i="55"/>
  <c r="AR1093" i="55"/>
  <c r="AR1092" i="55"/>
  <c r="AR1091" i="55"/>
  <c r="AR1090" i="55"/>
  <c r="AR1089" i="55"/>
  <c r="AR1088" i="55"/>
  <c r="AR1087" i="55"/>
  <c r="AR1086" i="55"/>
  <c r="AR1085" i="55"/>
  <c r="AR1084" i="55"/>
  <c r="AR1083" i="55"/>
  <c r="AR1082" i="55"/>
  <c r="AR1081" i="55"/>
  <c r="AR1080" i="55"/>
  <c r="AR1079" i="55"/>
  <c r="AR1078" i="55"/>
  <c r="AR1077" i="55"/>
  <c r="AR1076" i="55"/>
  <c r="AR1075" i="55"/>
  <c r="AR1074" i="55"/>
  <c r="AR1073" i="55"/>
  <c r="AR1072" i="55"/>
  <c r="AR1071" i="55"/>
  <c r="AR1070" i="55"/>
  <c r="AR1069" i="55"/>
  <c r="AR1068" i="55"/>
  <c r="AR1067" i="55"/>
  <c r="AR1066" i="55"/>
  <c r="AR1065" i="55"/>
  <c r="AR1064" i="55"/>
  <c r="AR1063" i="55"/>
  <c r="AR1062" i="55"/>
  <c r="AR1061" i="55"/>
  <c r="AR1060" i="55"/>
  <c r="AR1059" i="55"/>
  <c r="AR1058" i="55"/>
  <c r="AR1057" i="55"/>
  <c r="AR1056" i="55"/>
  <c r="AR1055" i="55"/>
  <c r="AR1054" i="55"/>
  <c r="AR1053" i="55"/>
  <c r="AR1052" i="55"/>
  <c r="AR1051" i="55"/>
  <c r="AR1050" i="55"/>
  <c r="AR1049" i="55"/>
  <c r="AR1048" i="55"/>
  <c r="AR1047" i="55"/>
  <c r="AR1046" i="55"/>
  <c r="AR1045" i="55"/>
  <c r="AR1044" i="55"/>
  <c r="AR1043" i="55"/>
  <c r="AR1042" i="55"/>
  <c r="AR1041" i="55"/>
  <c r="AR1040" i="55"/>
  <c r="AR1039" i="55"/>
  <c r="AR1038" i="55"/>
  <c r="AR1037" i="55"/>
  <c r="AR1036" i="55"/>
  <c r="AR1035" i="55"/>
  <c r="AR1034" i="55"/>
  <c r="AR1033" i="55"/>
  <c r="AR1032" i="55"/>
  <c r="AR1031" i="55"/>
  <c r="AR1030" i="55"/>
  <c r="AR1029" i="55"/>
  <c r="AR1028" i="55"/>
  <c r="AR1027" i="55"/>
  <c r="AR1026" i="55"/>
  <c r="AR1025" i="55"/>
  <c r="AR1024" i="55"/>
  <c r="AR1023" i="55"/>
  <c r="AR1022" i="55"/>
  <c r="AR1021" i="55"/>
  <c r="AR1020" i="55"/>
  <c r="AR1019" i="55"/>
  <c r="AR1018" i="55"/>
  <c r="AR1017" i="55"/>
  <c r="AR1016" i="55"/>
  <c r="AR1015" i="55"/>
  <c r="AR1014" i="55"/>
  <c r="AR1013" i="55"/>
  <c r="AR1012" i="55"/>
  <c r="AR1011" i="55"/>
  <c r="AR1010" i="55"/>
  <c r="AR1009" i="55"/>
  <c r="AR1008" i="55"/>
  <c r="AR1007" i="55"/>
  <c r="AR1006" i="55"/>
  <c r="AR1005" i="55"/>
  <c r="AR1004" i="55"/>
  <c r="AR1003" i="55"/>
  <c r="AR1002" i="55"/>
  <c r="AR1001" i="55"/>
  <c r="AR1000" i="55"/>
  <c r="AR999" i="55"/>
  <c r="AR998" i="55"/>
  <c r="AR997" i="55"/>
  <c r="AR996" i="55"/>
  <c r="AR995" i="55"/>
  <c r="AR994" i="55"/>
  <c r="AR993" i="55"/>
  <c r="AR992" i="55"/>
  <c r="AR991" i="55"/>
  <c r="AR990" i="55"/>
  <c r="AR989" i="55"/>
  <c r="AR988" i="55"/>
  <c r="AR987" i="55"/>
  <c r="AR986" i="55"/>
  <c r="AR985" i="55"/>
  <c r="AR984" i="55"/>
  <c r="AR983" i="55"/>
  <c r="AR982" i="55"/>
  <c r="AR981" i="55"/>
  <c r="AR980" i="55"/>
  <c r="AR979" i="55"/>
  <c r="AR978" i="55"/>
  <c r="AR977" i="55"/>
  <c r="AR976" i="55"/>
  <c r="AR975" i="55"/>
  <c r="AR974" i="55"/>
  <c r="AR973" i="55"/>
  <c r="AR972" i="55"/>
  <c r="AR971" i="55"/>
  <c r="AR970" i="55"/>
  <c r="AR969" i="55"/>
  <c r="AR968" i="55"/>
  <c r="AR967" i="55"/>
  <c r="AR966" i="55"/>
  <c r="AR965" i="55"/>
  <c r="AR964" i="55"/>
  <c r="AR963" i="55"/>
  <c r="AR962" i="55"/>
  <c r="AR961" i="55"/>
  <c r="AR960" i="55"/>
  <c r="AR959" i="55"/>
  <c r="AR958" i="55"/>
  <c r="AR957" i="55"/>
  <c r="AR956" i="55"/>
  <c r="AR955" i="55"/>
  <c r="AR954" i="55"/>
  <c r="AR953" i="55"/>
  <c r="AR952" i="55"/>
  <c r="AR951" i="55"/>
  <c r="AR950" i="55"/>
  <c r="AR949" i="55"/>
  <c r="AR948" i="55"/>
  <c r="AR947" i="55"/>
  <c r="AR946" i="55"/>
  <c r="AR945" i="55"/>
  <c r="AR944" i="55"/>
  <c r="AR943" i="55"/>
  <c r="AR942" i="55"/>
  <c r="AR941" i="55"/>
  <c r="AR940" i="55"/>
  <c r="AR939" i="55"/>
  <c r="AR938" i="55"/>
  <c r="AR937" i="55"/>
  <c r="AR936" i="55"/>
  <c r="AR935" i="55"/>
  <c r="AR934" i="55"/>
  <c r="AR933" i="55"/>
  <c r="AR932" i="55"/>
  <c r="AR931" i="55"/>
  <c r="AR930" i="55"/>
  <c r="AR929" i="55"/>
  <c r="AR928" i="55"/>
  <c r="AR927" i="55"/>
  <c r="AR926" i="55"/>
  <c r="AR925" i="55"/>
  <c r="AR924" i="55"/>
  <c r="AR923" i="55"/>
  <c r="AR922" i="55"/>
  <c r="AR921" i="55"/>
  <c r="AR920" i="55"/>
  <c r="AR919" i="55"/>
  <c r="AR918" i="55"/>
  <c r="AR917" i="55"/>
  <c r="AR916" i="55"/>
  <c r="AR915" i="55"/>
  <c r="AR914" i="55"/>
  <c r="AR913" i="55"/>
  <c r="AR912" i="55"/>
  <c r="AR911" i="55"/>
  <c r="AR910" i="55"/>
  <c r="AR909" i="55"/>
  <c r="AR908" i="55"/>
  <c r="AR907" i="55"/>
  <c r="AR906" i="55"/>
  <c r="AR905" i="55"/>
  <c r="AS1444" i="55"/>
  <c r="AS1443" i="55"/>
  <c r="AS1442" i="55"/>
  <c r="AS1441" i="55"/>
  <c r="AS1440" i="55"/>
  <c r="AS1439" i="55"/>
  <c r="AS1438" i="55"/>
  <c r="AS1437" i="55"/>
  <c r="AS1436" i="55"/>
  <c r="AS1435" i="55"/>
  <c r="AS1434" i="55"/>
  <c r="AS1433" i="55"/>
  <c r="AS1432" i="55"/>
  <c r="AS1431" i="55"/>
  <c r="AS1430" i="55"/>
  <c r="AS1429" i="55"/>
  <c r="AS1428" i="55"/>
  <c r="AS1427" i="55"/>
  <c r="AS1426" i="55"/>
  <c r="AS1425" i="55"/>
  <c r="AS1424" i="55"/>
  <c r="AS1423" i="55"/>
  <c r="AS1422" i="55"/>
  <c r="AS1421" i="55"/>
  <c r="AS1420" i="55"/>
  <c r="AS1419" i="55"/>
  <c r="AS1418" i="55"/>
  <c r="AS1417" i="55"/>
  <c r="AS1416" i="55"/>
  <c r="AS1415" i="55"/>
  <c r="AS1414" i="55"/>
  <c r="AS1413" i="55"/>
  <c r="AS1412" i="55"/>
  <c r="AS1411" i="55"/>
  <c r="AS1410" i="55"/>
  <c r="AS1409" i="55"/>
  <c r="AS1408" i="55"/>
  <c r="AS1407" i="55"/>
  <c r="AS1406" i="55"/>
  <c r="AS1405" i="55"/>
  <c r="AS1404" i="55"/>
  <c r="AS1403" i="55"/>
  <c r="AS1402" i="55"/>
  <c r="AS1401" i="55"/>
  <c r="AS1400" i="55"/>
  <c r="AS1399" i="55"/>
  <c r="AS1398" i="55"/>
  <c r="AS1397" i="55"/>
  <c r="AS1396" i="55"/>
  <c r="AS1395" i="55"/>
  <c r="AS1394" i="55"/>
  <c r="AS1393" i="55"/>
  <c r="AS1392" i="55"/>
  <c r="AS1391" i="55"/>
  <c r="AS1390" i="55"/>
  <c r="AS1389" i="55"/>
  <c r="AS1388" i="55"/>
  <c r="AS1387" i="55"/>
  <c r="AS1386" i="55"/>
  <c r="AS1385" i="55"/>
  <c r="AS1384" i="55"/>
  <c r="AS1383" i="55"/>
  <c r="AS1382" i="55"/>
  <c r="AS1381" i="55"/>
  <c r="AS1380" i="55"/>
  <c r="AS1379" i="55"/>
  <c r="AS1378" i="55"/>
  <c r="AS1377" i="55"/>
  <c r="AS1376" i="55"/>
  <c r="AS1375" i="55"/>
  <c r="AS1374" i="55"/>
  <c r="AS1373" i="55"/>
  <c r="AS1372" i="55"/>
  <c r="AS1371" i="55"/>
  <c r="AS1370" i="55"/>
  <c r="AS1369" i="55"/>
  <c r="AS1368" i="55"/>
  <c r="AS1367" i="55"/>
  <c r="AS1366" i="55"/>
  <c r="AS1365" i="55"/>
  <c r="AS1364" i="55"/>
  <c r="AS1363" i="55"/>
  <c r="AS1362" i="55"/>
  <c r="AS1361" i="55"/>
  <c r="AS1360" i="55"/>
  <c r="AS1359" i="55"/>
  <c r="AS1358" i="55"/>
  <c r="AS1357" i="55"/>
  <c r="AS1356" i="55"/>
  <c r="AS1355" i="55"/>
  <c r="AS1354" i="55"/>
  <c r="AS1353" i="55"/>
  <c r="AS1352" i="55"/>
  <c r="AS1351" i="55"/>
  <c r="AS1350" i="55"/>
  <c r="AS1349" i="55"/>
  <c r="AS1348" i="55"/>
  <c r="AS1347" i="55"/>
  <c r="AS1346" i="55"/>
  <c r="AS1345" i="55"/>
  <c r="AS1344" i="55"/>
  <c r="AS1343" i="55"/>
  <c r="AS1342" i="55"/>
  <c r="AS1341" i="55"/>
  <c r="AS1340" i="55"/>
  <c r="AS1339" i="55"/>
  <c r="AS1338" i="55"/>
  <c r="AS1337" i="55"/>
  <c r="AS1336" i="55"/>
  <c r="AS1335" i="55"/>
  <c r="AS1334" i="55"/>
  <c r="AS1333" i="55"/>
  <c r="AS1332" i="55"/>
  <c r="AS1331" i="55"/>
  <c r="AS1330" i="55"/>
  <c r="AS1329" i="55"/>
  <c r="AS1328" i="55"/>
  <c r="AS1327" i="55"/>
  <c r="AS1326" i="55"/>
  <c r="AS1325" i="55"/>
  <c r="AS1324" i="55"/>
  <c r="AS1323" i="55"/>
  <c r="AS1322" i="55"/>
  <c r="AS1321" i="55"/>
  <c r="AS1320" i="55"/>
  <c r="AS1319" i="55"/>
  <c r="AS1318" i="55"/>
  <c r="AS1317" i="55"/>
  <c r="AS1316" i="55"/>
  <c r="AS1315" i="55"/>
  <c r="AS1314" i="55"/>
  <c r="AS1313" i="55"/>
  <c r="AS1312" i="55"/>
  <c r="AS1311" i="55"/>
  <c r="AS1310" i="55"/>
  <c r="AS1309" i="55"/>
  <c r="AS1308" i="55"/>
  <c r="AS1307" i="55"/>
  <c r="AS1306" i="55"/>
  <c r="AS1305" i="55"/>
  <c r="AS1304" i="55"/>
  <c r="AS1303" i="55"/>
  <c r="AS1302" i="55"/>
  <c r="AS1301" i="55"/>
  <c r="AS1300" i="55"/>
  <c r="AS1299" i="55"/>
  <c r="AS1298" i="55"/>
  <c r="AS1297" i="55"/>
  <c r="AS1296" i="55"/>
  <c r="AS1295" i="55"/>
  <c r="AS1294" i="55"/>
  <c r="AS1293" i="55"/>
  <c r="AS1292" i="55"/>
  <c r="AS1291" i="55"/>
  <c r="AS1290" i="55"/>
  <c r="AS1289" i="55"/>
  <c r="AS1288" i="55"/>
  <c r="AS1287" i="55"/>
  <c r="AS1286" i="55"/>
  <c r="AS1285" i="55"/>
  <c r="AS1284" i="55"/>
  <c r="AS1283" i="55"/>
  <c r="AS1282" i="55"/>
  <c r="AS1281" i="55"/>
  <c r="AS1280" i="55"/>
  <c r="AS1279" i="55"/>
  <c r="AS1278" i="55"/>
  <c r="AS1277" i="55"/>
  <c r="AS1276" i="55"/>
  <c r="AS1275" i="55"/>
  <c r="AS1274" i="55"/>
  <c r="AS1273" i="55"/>
  <c r="AS1272" i="55"/>
  <c r="AS1271" i="55"/>
  <c r="AS1270" i="55"/>
  <c r="AS1269" i="55"/>
  <c r="AS1268" i="55"/>
  <c r="AS1267" i="55"/>
  <c r="AS1266" i="55"/>
  <c r="AS1265" i="55"/>
  <c r="AS1264" i="55"/>
  <c r="AS1263" i="55"/>
  <c r="AS1262" i="55"/>
  <c r="AS1261" i="55"/>
  <c r="AS1260" i="55"/>
  <c r="AS1259" i="55"/>
  <c r="AS1258" i="55"/>
  <c r="AS1257" i="55"/>
  <c r="AS1256" i="55"/>
  <c r="AS1255" i="55"/>
  <c r="AS1254" i="55"/>
  <c r="AS1253" i="55"/>
  <c r="AS1252" i="55"/>
  <c r="AS1251" i="55"/>
  <c r="AS1250" i="55"/>
  <c r="AS1249" i="55"/>
  <c r="AS1248" i="55"/>
  <c r="AS1247" i="55"/>
  <c r="AS1246" i="55"/>
  <c r="AS1245" i="55"/>
  <c r="AS1244" i="55"/>
  <c r="AS1243" i="55"/>
  <c r="AS1242" i="55"/>
  <c r="AS1241" i="55"/>
  <c r="AS1240" i="55"/>
  <c r="AS1239" i="55"/>
  <c r="AS1238" i="55"/>
  <c r="AS1237" i="55"/>
  <c r="AS1236" i="55"/>
  <c r="AS1235" i="55"/>
  <c r="AS1234" i="55"/>
  <c r="AS1233" i="55"/>
  <c r="AS1232" i="55"/>
  <c r="AS1231" i="55"/>
  <c r="AS1230" i="55"/>
  <c r="AS1229" i="55"/>
  <c r="AS1228" i="55"/>
  <c r="AS1227" i="55"/>
  <c r="AS1226" i="55"/>
  <c r="AS1225" i="55"/>
  <c r="AS1224" i="55"/>
  <c r="AS1223" i="55"/>
  <c r="AS1222" i="55"/>
  <c r="AS1221" i="55"/>
  <c r="AS1220" i="55"/>
  <c r="AS1219" i="55"/>
  <c r="AS1218" i="55"/>
  <c r="AS1217" i="55"/>
  <c r="AS1216" i="55"/>
  <c r="AS1215" i="55"/>
  <c r="AS1214" i="55"/>
  <c r="AS1213" i="55"/>
  <c r="AS1212" i="55"/>
  <c r="AS1211" i="55"/>
  <c r="AS1210" i="55"/>
  <c r="AS1209" i="55"/>
  <c r="AS1208" i="55"/>
  <c r="AS1207" i="55"/>
  <c r="AS1206" i="55"/>
  <c r="AS1205" i="55"/>
  <c r="AS1204" i="55"/>
  <c r="AS1203" i="55"/>
  <c r="AS1202" i="55"/>
  <c r="AS1201" i="55"/>
  <c r="AS1200" i="55"/>
  <c r="AS1199" i="55"/>
  <c r="AS1198" i="55"/>
  <c r="AS1197" i="55"/>
  <c r="AS1196" i="55"/>
  <c r="AS1195" i="55"/>
  <c r="AS1194" i="55"/>
  <c r="AS1193" i="55"/>
  <c r="AS1192" i="55"/>
  <c r="AS1191" i="55"/>
  <c r="AS1190" i="55"/>
  <c r="AS1189" i="55"/>
  <c r="AS1188" i="55"/>
  <c r="AS1187" i="55"/>
  <c r="AS1186" i="55"/>
  <c r="AS1185" i="55"/>
  <c r="AS1184" i="55"/>
  <c r="AS1183" i="55"/>
  <c r="AS1182" i="55"/>
  <c r="AS1181" i="55"/>
  <c r="AS1180" i="55"/>
  <c r="AS1179" i="55"/>
  <c r="AS1178" i="55"/>
  <c r="AS1177" i="55"/>
  <c r="AS1176" i="55"/>
  <c r="AS1175" i="55"/>
  <c r="AS1174" i="55"/>
  <c r="AS1173" i="55"/>
  <c r="AS1172" i="55"/>
  <c r="AS1171" i="55"/>
  <c r="AS1170" i="55"/>
  <c r="AS1169" i="55"/>
  <c r="AS1168" i="55"/>
  <c r="AS1167" i="55"/>
  <c r="AS1166" i="55"/>
  <c r="AS1165" i="55"/>
  <c r="AS1164" i="55"/>
  <c r="AS1163" i="55"/>
  <c r="AS1162" i="55"/>
  <c r="AS1161" i="55"/>
  <c r="AS1160" i="55"/>
  <c r="AS1159" i="55"/>
  <c r="AS1158" i="55"/>
  <c r="AS1157" i="55"/>
  <c r="AS1156" i="55"/>
  <c r="AS1155" i="55"/>
  <c r="AS1154" i="55"/>
  <c r="AS1153" i="55"/>
  <c r="AS1152" i="55"/>
  <c r="AS1151" i="55"/>
  <c r="AS1150" i="55"/>
  <c r="AS1149" i="55"/>
  <c r="AS1148" i="55"/>
  <c r="AS1147" i="55"/>
  <c r="AS1146" i="55"/>
  <c r="AS1145" i="55"/>
  <c r="AS1144" i="55"/>
  <c r="AS1143" i="55"/>
  <c r="AS1142" i="55"/>
  <c r="AS1141" i="55"/>
  <c r="AS1140" i="55"/>
  <c r="AS1139" i="55"/>
  <c r="AS1138" i="55"/>
  <c r="AS1137" i="55"/>
  <c r="AS1136" i="55"/>
  <c r="AS1135" i="55"/>
  <c r="AS1134" i="55"/>
  <c r="AS1133" i="55"/>
  <c r="AS1132" i="55"/>
  <c r="AS1131" i="55"/>
  <c r="AS1130" i="55"/>
  <c r="AS1129" i="55"/>
  <c r="AS1128" i="55"/>
  <c r="AS1127" i="55"/>
  <c r="AS1126" i="55"/>
  <c r="AS1125" i="55"/>
  <c r="AS1124" i="55"/>
  <c r="AS1123" i="55"/>
  <c r="AS1122" i="55"/>
  <c r="AS1121" i="55"/>
  <c r="AS1120" i="55"/>
  <c r="AS1119" i="55"/>
  <c r="AS1118" i="55"/>
  <c r="AS1117" i="55"/>
  <c r="AS1116" i="55"/>
  <c r="AS1115" i="55"/>
  <c r="AS1114" i="55"/>
  <c r="AS1113" i="55"/>
  <c r="AS1112" i="55"/>
  <c r="AS1111" i="55"/>
  <c r="AS1110" i="55"/>
  <c r="AS1109" i="55"/>
  <c r="AS1108" i="55"/>
  <c r="AS1107" i="55"/>
  <c r="AS1106" i="55"/>
  <c r="AS1105" i="55"/>
  <c r="AS1104" i="55"/>
  <c r="AS1103" i="55"/>
  <c r="AS1102" i="55"/>
  <c r="AS1101" i="55"/>
  <c r="AS1100" i="55"/>
  <c r="AS1099" i="55"/>
  <c r="AS1098" i="55"/>
  <c r="AS1097" i="55"/>
  <c r="AS1096" i="55"/>
  <c r="AS1095" i="55"/>
  <c r="AS1094" i="55"/>
  <c r="AS1093" i="55"/>
  <c r="AS1092" i="55"/>
  <c r="AS1091" i="55"/>
  <c r="AS1090" i="55"/>
  <c r="AS1089" i="55"/>
  <c r="AS1088" i="55"/>
  <c r="AS1087" i="55"/>
  <c r="AS1086" i="55"/>
  <c r="AS1085" i="55"/>
  <c r="AS1084" i="55"/>
  <c r="AS1083" i="55"/>
  <c r="AS1082" i="55"/>
  <c r="AS1081" i="55"/>
  <c r="AS1080" i="55"/>
  <c r="AS1079" i="55"/>
  <c r="AS1078" i="55"/>
  <c r="AS1077" i="55"/>
  <c r="AS1076" i="55"/>
  <c r="AS1075" i="55"/>
  <c r="AS1074" i="55"/>
  <c r="AS1073" i="55"/>
  <c r="AS1072" i="55"/>
  <c r="AS1071" i="55"/>
  <c r="AS1070" i="55"/>
  <c r="AS1069" i="55"/>
  <c r="AS1068" i="55"/>
  <c r="AS1067" i="55"/>
  <c r="AS1066" i="55"/>
  <c r="AS1065" i="55"/>
  <c r="AS1064" i="55"/>
  <c r="AS1063" i="55"/>
  <c r="AS1062" i="55"/>
  <c r="AS1061" i="55"/>
  <c r="AS1060" i="55"/>
  <c r="AS1059" i="55"/>
  <c r="AS1058" i="55"/>
  <c r="AS1057" i="55"/>
  <c r="AS1056" i="55"/>
  <c r="AS1055" i="55"/>
  <c r="AS1054" i="55"/>
  <c r="AS1053" i="55"/>
  <c r="AS1052" i="55"/>
  <c r="AS1051" i="55"/>
  <c r="AS1050" i="55"/>
  <c r="AS1049" i="55"/>
  <c r="AS1048" i="55"/>
  <c r="AS1047" i="55"/>
  <c r="AS1046" i="55"/>
  <c r="AS1045" i="55"/>
  <c r="AS1044" i="55"/>
  <c r="AS1043" i="55"/>
  <c r="AS1042" i="55"/>
  <c r="AS1041" i="55"/>
  <c r="AS1040" i="55"/>
  <c r="AS1039" i="55"/>
  <c r="AS1038" i="55"/>
  <c r="AS1037" i="55"/>
  <c r="AS1036" i="55"/>
  <c r="AS1035" i="55"/>
  <c r="AS1034" i="55"/>
  <c r="AS1033" i="55"/>
  <c r="AS1032" i="55"/>
  <c r="AS1031" i="55"/>
  <c r="AS1030" i="55"/>
  <c r="AS1029" i="55"/>
  <c r="AS1028" i="55"/>
  <c r="AS1027" i="55"/>
  <c r="AS1026" i="55"/>
  <c r="AS1025" i="55"/>
  <c r="AS1024" i="55"/>
  <c r="AS1023" i="55"/>
  <c r="AS1022" i="55"/>
  <c r="AS1021" i="55"/>
  <c r="AS1020" i="55"/>
  <c r="AS1019" i="55"/>
  <c r="AS1018" i="55"/>
  <c r="AS1017" i="55"/>
  <c r="AS1016" i="55"/>
  <c r="AS1015" i="55"/>
  <c r="AS1014" i="55"/>
  <c r="AS1013" i="55"/>
  <c r="AS1012" i="55"/>
  <c r="AS1011" i="55"/>
  <c r="AS1010" i="55"/>
  <c r="AS1009" i="55"/>
  <c r="AS1008" i="55"/>
  <c r="AS1007" i="55"/>
  <c r="AS1006" i="55"/>
  <c r="AS1005" i="55"/>
  <c r="AS1004" i="55"/>
  <c r="AS1003" i="55"/>
  <c r="AS1002" i="55"/>
  <c r="AS1001" i="55"/>
  <c r="AS1000" i="55"/>
  <c r="AS999" i="55"/>
  <c r="AS998" i="55"/>
  <c r="AS997" i="55"/>
  <c r="AS996" i="55"/>
  <c r="AS995" i="55"/>
  <c r="AS994" i="55"/>
  <c r="AS993" i="55"/>
  <c r="AS992" i="55"/>
  <c r="AS991" i="55"/>
  <c r="AS990" i="55"/>
  <c r="AS989" i="55"/>
  <c r="AS988" i="55"/>
  <c r="AS987" i="55"/>
  <c r="AS986" i="55"/>
  <c r="AS985" i="55"/>
  <c r="AS984" i="55"/>
  <c r="AS983" i="55"/>
  <c r="AS982" i="55"/>
  <c r="AS981" i="55"/>
  <c r="AS980" i="55"/>
  <c r="AS979" i="55"/>
  <c r="AS978" i="55"/>
  <c r="AS977" i="55"/>
  <c r="AS976" i="55"/>
  <c r="AS975" i="55"/>
  <c r="AS974" i="55"/>
  <c r="AS973" i="55"/>
  <c r="AS972" i="55"/>
  <c r="AS971" i="55"/>
  <c r="AS970" i="55"/>
  <c r="AS969" i="55"/>
  <c r="AS968" i="55"/>
  <c r="AS967" i="55"/>
  <c r="AS966" i="55"/>
  <c r="AS965" i="55"/>
  <c r="AS964" i="55"/>
  <c r="AS963" i="55"/>
  <c r="AS962" i="55"/>
  <c r="AS961" i="55"/>
  <c r="AS960" i="55"/>
  <c r="AS959" i="55"/>
  <c r="AS958" i="55"/>
  <c r="AS957" i="55"/>
  <c r="AS956" i="55"/>
  <c r="AS955" i="55"/>
  <c r="AS954" i="55"/>
  <c r="AS953" i="55"/>
  <c r="AS952" i="55"/>
  <c r="AS951" i="55"/>
  <c r="AS950" i="55"/>
  <c r="AS949" i="55"/>
  <c r="AS948" i="55"/>
  <c r="AS947" i="55"/>
  <c r="AS946" i="55"/>
  <c r="AS945" i="55"/>
  <c r="AS944" i="55"/>
  <c r="AS943" i="55"/>
  <c r="AS942" i="55"/>
  <c r="AS941" i="55"/>
  <c r="AS940" i="55"/>
  <c r="AS939" i="55"/>
  <c r="AS938" i="55"/>
  <c r="AS937" i="55"/>
  <c r="AS936" i="55"/>
  <c r="AS935" i="55"/>
  <c r="AS934" i="55"/>
  <c r="AS933" i="55"/>
  <c r="AS932" i="55"/>
  <c r="AS931" i="55"/>
  <c r="AS930" i="55"/>
  <c r="AS929" i="55"/>
  <c r="AS928" i="55"/>
  <c r="AS927" i="55"/>
  <c r="AS926" i="55"/>
  <c r="AS925" i="55"/>
  <c r="AS924" i="55"/>
  <c r="AS923" i="55"/>
  <c r="AS922" i="55"/>
  <c r="AS921" i="55"/>
  <c r="AS920" i="55"/>
  <c r="AS919" i="55"/>
  <c r="AS918" i="55"/>
  <c r="AS917" i="55"/>
  <c r="AS916" i="55"/>
  <c r="AS915" i="55"/>
  <c r="AS914" i="55"/>
  <c r="AS913" i="55"/>
  <c r="AS912" i="55"/>
  <c r="AS911" i="55"/>
  <c r="AS910" i="55"/>
  <c r="AS909" i="55"/>
  <c r="AS908" i="55"/>
  <c r="AS907" i="55"/>
  <c r="AS906" i="55"/>
  <c r="AS905" i="55"/>
  <c r="AS904" i="55"/>
  <c r="AS903" i="55"/>
  <c r="AS902" i="55"/>
  <c r="AS901" i="55"/>
  <c r="AS900" i="55"/>
  <c r="AS899" i="55"/>
  <c r="AS898" i="55"/>
  <c r="AS897" i="55"/>
  <c r="AS896" i="55"/>
  <c r="AS895" i="55"/>
  <c r="AS894" i="55"/>
  <c r="AS893" i="55"/>
  <c r="AS892" i="55"/>
  <c r="AS891" i="55"/>
  <c r="AS890" i="55"/>
  <c r="AS889" i="55"/>
  <c r="AS888" i="55"/>
  <c r="AS887" i="55"/>
  <c r="AS886" i="55"/>
  <c r="AS885" i="55"/>
  <c r="AS884" i="55"/>
  <c r="AS883" i="55"/>
  <c r="AS882" i="55"/>
  <c r="AS881" i="55"/>
  <c r="AS880" i="55"/>
  <c r="AS879" i="55"/>
  <c r="AS878" i="55"/>
  <c r="AS877" i="55"/>
  <c r="AS876" i="55"/>
  <c r="AS875" i="55"/>
  <c r="AS874" i="55"/>
  <c r="AS873" i="55"/>
  <c r="AS872" i="55"/>
  <c r="AS871" i="55"/>
  <c r="AS870" i="55"/>
  <c r="AS869" i="55"/>
  <c r="AS868" i="55"/>
  <c r="AS867" i="55"/>
  <c r="AS866" i="55"/>
  <c r="AS865" i="55"/>
  <c r="AS864" i="55"/>
  <c r="AS863" i="55"/>
  <c r="AS862" i="55"/>
  <c r="AS861" i="55"/>
  <c r="AS860" i="55"/>
  <c r="AS859" i="55"/>
  <c r="AS858" i="55"/>
  <c r="AS857" i="55"/>
  <c r="AS856" i="55"/>
  <c r="AS855" i="55"/>
  <c r="AS854" i="55"/>
  <c r="AS853" i="55"/>
  <c r="AS852" i="55"/>
  <c r="AS851" i="55"/>
  <c r="AS850" i="55"/>
  <c r="AS849" i="55"/>
  <c r="AS848" i="55"/>
  <c r="AS847" i="55"/>
  <c r="AS846" i="55"/>
  <c r="AS845" i="55"/>
  <c r="AS844" i="55"/>
  <c r="AS843" i="55"/>
  <c r="AS842" i="55"/>
  <c r="AS841" i="55"/>
  <c r="AS840" i="55"/>
  <c r="AS839" i="55"/>
  <c r="AS838" i="55"/>
  <c r="AS837" i="55"/>
  <c r="AS836" i="55"/>
  <c r="AS835" i="55"/>
  <c r="AS834" i="55"/>
  <c r="AS833" i="55"/>
  <c r="AS832" i="55"/>
  <c r="AS831" i="55"/>
  <c r="AS830" i="55"/>
  <c r="AS829" i="55"/>
  <c r="AS828" i="55"/>
  <c r="AS827" i="55"/>
  <c r="AS826" i="55"/>
  <c r="AS825" i="55"/>
  <c r="AS824" i="55"/>
  <c r="AS823" i="55"/>
  <c r="AS822" i="55"/>
  <c r="AS821" i="55"/>
  <c r="AS820" i="55"/>
  <c r="AS819" i="55"/>
  <c r="AS818" i="55"/>
  <c r="AS817" i="55"/>
  <c r="AS816" i="55"/>
  <c r="AS815" i="55"/>
  <c r="AS814" i="55"/>
  <c r="AS813" i="55"/>
  <c r="AS812" i="55"/>
  <c r="AS811" i="55"/>
  <c r="AS810" i="55"/>
  <c r="AS809" i="55"/>
  <c r="AS808" i="55"/>
  <c r="AS807" i="55"/>
  <c r="AS806" i="55"/>
  <c r="AS805" i="55"/>
  <c r="AS804" i="55"/>
  <c r="AS803" i="55"/>
  <c r="AS802" i="55"/>
  <c r="AS801" i="55"/>
  <c r="AS800" i="55"/>
  <c r="AS799" i="55"/>
  <c r="AS798" i="55"/>
  <c r="AS797" i="55"/>
  <c r="AS796" i="55"/>
  <c r="AS795" i="55"/>
  <c r="AS794" i="55"/>
  <c r="AS793" i="55"/>
  <c r="AS792" i="55"/>
  <c r="AS791" i="55"/>
  <c r="AS790" i="55"/>
  <c r="AS789" i="55"/>
  <c r="AS788" i="55"/>
  <c r="AS787" i="55"/>
  <c r="AS786" i="55"/>
  <c r="AS785" i="55"/>
  <c r="AS784" i="55"/>
  <c r="AS783" i="55"/>
  <c r="AS782" i="55"/>
  <c r="AS781" i="55"/>
  <c r="AS780" i="55"/>
  <c r="AS779" i="55"/>
  <c r="AS778" i="55"/>
  <c r="AS777" i="55"/>
  <c r="AS776" i="55"/>
  <c r="AS775" i="55"/>
  <c r="AS774" i="55"/>
  <c r="AS773" i="55"/>
  <c r="AS772" i="55"/>
  <c r="AS771" i="55"/>
  <c r="AS770" i="55"/>
  <c r="AS769" i="55"/>
  <c r="AS768" i="55"/>
  <c r="AS767" i="55"/>
  <c r="AS766" i="55"/>
  <c r="AS765" i="55"/>
  <c r="AS764" i="55"/>
  <c r="AS763" i="55"/>
  <c r="AS762" i="55"/>
  <c r="AS761" i="55"/>
  <c r="AS760" i="55"/>
  <c r="AS759" i="55"/>
  <c r="AS758" i="55"/>
  <c r="AS757" i="55"/>
  <c r="AS756" i="55"/>
  <c r="AS755" i="55"/>
  <c r="AS754" i="55"/>
  <c r="AS753" i="55"/>
  <c r="AS752" i="55"/>
  <c r="AS751" i="55"/>
  <c r="AS750" i="55"/>
  <c r="AS749" i="55"/>
  <c r="AS748" i="55"/>
  <c r="AS747" i="55"/>
  <c r="AS746" i="55"/>
  <c r="AS745" i="55"/>
  <c r="AS744" i="55"/>
  <c r="AS743" i="55"/>
  <c r="AS742" i="55"/>
  <c r="AS741" i="55"/>
  <c r="AS740" i="55"/>
  <c r="AS739" i="55"/>
  <c r="AS738" i="55"/>
  <c r="AS737" i="55"/>
  <c r="AS736" i="55"/>
  <c r="AS735" i="55"/>
  <c r="AS734" i="55"/>
  <c r="AS733" i="55"/>
  <c r="AS732" i="55"/>
  <c r="AS731" i="55"/>
  <c r="AS730" i="55"/>
  <c r="AS729" i="55"/>
  <c r="AS728" i="55"/>
  <c r="AS727" i="55"/>
  <c r="AS726" i="55"/>
  <c r="AS725" i="55"/>
  <c r="AS724" i="55"/>
  <c r="AS723" i="55"/>
  <c r="AS722" i="55"/>
  <c r="AS721" i="55"/>
  <c r="AS720" i="55"/>
  <c r="AS719" i="55"/>
  <c r="AS718" i="55"/>
  <c r="AS717" i="55"/>
  <c r="AS716" i="55"/>
  <c r="AS715" i="55"/>
  <c r="AS714" i="55"/>
  <c r="AS713" i="55"/>
  <c r="AS712" i="55"/>
  <c r="AS711" i="55"/>
  <c r="AS710" i="55"/>
  <c r="AS709" i="55"/>
  <c r="AS708" i="55"/>
  <c r="AS707" i="55"/>
  <c r="AS706" i="55"/>
  <c r="AS705" i="55"/>
  <c r="AS704" i="55"/>
  <c r="AS703" i="55"/>
  <c r="AS702" i="55"/>
  <c r="AS701" i="55"/>
  <c r="AS700" i="55"/>
  <c r="AS699" i="55"/>
  <c r="AS698" i="55"/>
  <c r="AS697" i="55"/>
  <c r="AS696" i="55"/>
  <c r="AS695" i="55"/>
  <c r="AS694" i="55"/>
  <c r="AS693" i="55"/>
  <c r="AS692" i="55"/>
  <c r="AS691" i="55"/>
  <c r="AS690" i="55"/>
  <c r="AS689" i="55"/>
  <c r="AS688" i="55"/>
  <c r="AS687" i="55"/>
  <c r="AS686" i="55"/>
  <c r="AS685" i="55"/>
  <c r="AS684" i="55"/>
  <c r="AS683" i="55"/>
  <c r="AS682" i="55"/>
  <c r="AS681" i="55"/>
  <c r="AS680" i="55"/>
  <c r="AS679" i="55"/>
  <c r="AS678" i="55"/>
  <c r="AS677" i="55"/>
  <c r="AS676" i="55"/>
  <c r="AS675" i="55"/>
  <c r="AS674" i="55"/>
  <c r="AS673" i="55"/>
  <c r="AS672" i="55"/>
  <c r="AS671" i="55"/>
  <c r="AS670" i="55"/>
  <c r="AS669" i="55"/>
  <c r="AS668" i="55"/>
  <c r="AS667" i="55"/>
  <c r="AS666" i="55"/>
  <c r="AS665" i="55"/>
  <c r="AS664" i="55"/>
  <c r="AS663" i="55"/>
  <c r="AS662" i="55"/>
  <c r="AS661" i="55"/>
  <c r="AS660" i="55"/>
  <c r="AS659" i="55"/>
  <c r="AS658" i="55"/>
  <c r="AS657" i="55"/>
  <c r="AS656" i="55"/>
  <c r="AS655" i="55"/>
  <c r="AS654" i="55"/>
  <c r="AS653" i="55"/>
  <c r="AS652" i="55"/>
  <c r="AS651" i="55"/>
  <c r="AS650" i="55"/>
  <c r="AS649" i="55"/>
  <c r="AS648" i="55"/>
  <c r="AS647" i="55"/>
  <c r="AS646" i="55"/>
  <c r="AS645" i="55"/>
  <c r="AS644" i="55"/>
  <c r="AS643" i="55"/>
  <c r="AS642" i="55"/>
  <c r="AS641" i="55"/>
  <c r="AS640" i="55"/>
  <c r="AS639" i="55"/>
  <c r="AS638" i="55"/>
  <c r="AS637" i="55"/>
  <c r="AS636" i="55"/>
  <c r="AS635" i="55"/>
  <c r="AS634" i="55"/>
  <c r="AS633" i="55"/>
  <c r="AS632" i="55"/>
  <c r="AS631" i="55"/>
  <c r="AS630" i="55"/>
  <c r="AS629" i="55"/>
  <c r="AS628" i="55"/>
  <c r="AS627" i="55"/>
  <c r="AS626" i="55"/>
  <c r="AS625" i="55"/>
  <c r="AS624" i="55"/>
  <c r="AS623" i="55"/>
  <c r="AS622" i="55"/>
  <c r="AS621" i="55"/>
  <c r="AS620" i="55"/>
  <c r="AS619" i="55"/>
  <c r="AS618" i="55"/>
  <c r="AS617" i="55"/>
  <c r="AS616" i="55"/>
  <c r="AS615" i="55"/>
  <c r="AS614" i="55"/>
  <c r="AS613" i="55"/>
  <c r="AS612" i="55"/>
  <c r="AS611" i="55"/>
  <c r="AS610" i="55"/>
  <c r="AS609" i="55"/>
  <c r="AS608" i="55"/>
  <c r="AS607" i="55"/>
  <c r="AS606" i="55"/>
  <c r="AS605" i="55"/>
  <c r="AS604" i="55"/>
  <c r="AS603" i="55"/>
  <c r="AS602" i="55"/>
  <c r="AS601" i="55"/>
  <c r="AS600" i="55"/>
  <c r="AS599" i="55"/>
  <c r="AS598" i="55"/>
  <c r="AS597" i="55"/>
  <c r="AS596" i="55"/>
  <c r="AS595" i="55"/>
  <c r="AS594" i="55"/>
  <c r="AS593" i="55"/>
  <c r="AS592" i="55"/>
  <c r="AS591" i="55"/>
  <c r="AS590" i="55"/>
  <c r="AS589" i="55"/>
  <c r="AS588" i="55"/>
  <c r="AS587" i="55"/>
  <c r="AS586" i="55"/>
  <c r="AS585" i="55"/>
  <c r="AS584" i="55"/>
  <c r="AS583" i="55"/>
  <c r="AS582" i="55"/>
  <c r="AS581" i="55"/>
  <c r="AS580" i="55"/>
  <c r="AS579" i="55"/>
  <c r="AS578" i="55"/>
  <c r="AS577" i="55"/>
  <c r="AS576" i="55"/>
  <c r="AS575" i="55"/>
  <c r="AS574" i="55"/>
  <c r="AS573" i="55"/>
  <c r="AS572" i="55"/>
  <c r="AS571" i="55"/>
  <c r="AS570" i="55"/>
  <c r="AS569" i="55"/>
  <c r="AS568" i="55"/>
  <c r="AS567" i="55"/>
  <c r="AS566" i="55"/>
  <c r="AS565" i="55"/>
  <c r="AS564" i="55"/>
  <c r="AS563" i="55"/>
  <c r="AS562" i="55"/>
  <c r="AS561" i="55"/>
  <c r="AS560" i="55"/>
  <c r="AS559" i="55"/>
  <c r="AS558" i="55"/>
  <c r="AS557" i="55"/>
  <c r="AS556" i="55"/>
  <c r="AS555" i="55"/>
  <c r="AS554" i="55"/>
  <c r="AS553" i="55"/>
  <c r="AS552" i="55"/>
  <c r="AS551" i="55"/>
  <c r="AS550" i="55"/>
  <c r="AS549" i="55"/>
  <c r="AS548" i="55"/>
  <c r="AS547" i="55"/>
  <c r="AS546" i="55"/>
  <c r="AS545" i="55"/>
  <c r="AS544" i="55"/>
  <c r="AS543" i="55"/>
  <c r="AS542" i="55"/>
  <c r="AS541" i="55"/>
  <c r="AS540" i="55"/>
  <c r="AS539" i="55"/>
  <c r="AS538" i="55"/>
  <c r="AS537" i="55"/>
  <c r="AS536" i="55"/>
  <c r="AS535" i="55"/>
  <c r="AS534" i="55"/>
  <c r="AS533" i="55"/>
  <c r="AS532" i="55"/>
  <c r="AS531" i="55"/>
  <c r="AS530" i="55"/>
  <c r="AS529" i="55"/>
  <c r="AS528" i="55"/>
  <c r="AS527" i="55"/>
  <c r="AS526" i="55"/>
  <c r="AS525" i="55"/>
  <c r="AS524" i="55"/>
  <c r="AS523" i="55"/>
  <c r="AS522" i="55"/>
  <c r="AS521" i="55"/>
  <c r="AS520" i="55"/>
  <c r="AS519" i="55"/>
  <c r="AS518" i="55"/>
  <c r="AS517" i="55"/>
  <c r="AS516" i="55"/>
  <c r="AS515" i="55"/>
  <c r="AS514" i="55"/>
  <c r="AS513" i="55"/>
  <c r="AS512" i="55"/>
  <c r="AS511" i="55"/>
  <c r="AS510" i="55"/>
  <c r="AS509" i="55"/>
  <c r="AS508" i="55"/>
  <c r="AS507" i="55"/>
  <c r="AS506" i="55"/>
  <c r="AS505" i="55"/>
  <c r="AS504" i="55"/>
  <c r="AS503" i="55"/>
  <c r="AS502" i="55"/>
  <c r="AS501" i="55"/>
  <c r="AS500" i="55"/>
  <c r="AS499" i="55"/>
  <c r="AS498" i="55"/>
  <c r="AS497" i="55"/>
  <c r="AS496" i="55"/>
  <c r="AS495" i="55"/>
  <c r="AS494" i="55"/>
  <c r="AS493" i="55"/>
  <c r="AS492" i="55"/>
  <c r="AS491" i="55"/>
  <c r="AS490" i="55"/>
  <c r="AS489" i="55"/>
  <c r="AS488" i="55"/>
  <c r="AS487" i="55"/>
  <c r="AS486" i="55"/>
  <c r="AS485" i="55"/>
  <c r="AS484" i="55"/>
  <c r="AS483" i="55"/>
  <c r="AS482" i="55"/>
  <c r="AS481" i="55"/>
  <c r="AS480" i="55"/>
  <c r="AS479" i="55"/>
  <c r="AS478" i="55"/>
  <c r="AS477" i="55"/>
  <c r="AS476" i="55"/>
  <c r="AS475" i="55"/>
  <c r="AS474" i="55"/>
  <c r="AS473" i="55"/>
  <c r="AS472" i="55"/>
  <c r="AS471" i="55"/>
  <c r="AS470" i="55"/>
  <c r="AS469" i="55"/>
  <c r="AS468" i="55"/>
  <c r="AS467" i="55"/>
  <c r="AS466" i="55"/>
  <c r="AS465" i="55"/>
  <c r="AS464" i="55"/>
  <c r="AS463" i="55"/>
  <c r="AS462" i="55"/>
  <c r="AS461" i="55"/>
  <c r="AS460" i="55"/>
  <c r="AS459" i="55"/>
  <c r="AS458" i="55"/>
  <c r="AS457" i="55"/>
  <c r="AS456" i="55"/>
  <c r="AS455" i="55"/>
  <c r="AS454" i="55"/>
  <c r="AS453" i="55"/>
  <c r="AS452" i="55"/>
  <c r="AS451" i="55"/>
  <c r="AS450" i="55"/>
  <c r="AS449" i="55"/>
  <c r="AS448" i="55"/>
  <c r="AS447" i="55"/>
  <c r="AS446" i="55"/>
  <c r="AS445" i="55"/>
  <c r="AS444" i="55"/>
  <c r="AS443" i="55"/>
  <c r="AS442" i="55"/>
  <c r="AS441" i="55"/>
  <c r="AS440" i="55"/>
  <c r="AS439" i="55"/>
  <c r="AS438" i="55"/>
  <c r="AS437" i="55"/>
  <c r="AS436" i="55"/>
  <c r="AS435" i="55"/>
  <c r="AS434" i="55"/>
  <c r="AS433" i="55"/>
  <c r="AS432" i="55"/>
  <c r="AS431" i="55"/>
  <c r="AS430" i="55"/>
  <c r="AS429" i="55"/>
  <c r="AS428" i="55"/>
  <c r="AS427" i="55"/>
  <c r="AS426" i="55"/>
  <c r="AS425" i="55"/>
  <c r="AS424" i="55"/>
  <c r="AS423" i="55"/>
  <c r="AS422" i="55"/>
  <c r="AS421" i="55"/>
  <c r="AS420" i="55"/>
  <c r="AS419" i="55"/>
  <c r="AS418" i="55"/>
  <c r="AS417" i="55"/>
  <c r="AS416" i="55"/>
  <c r="AS415" i="55"/>
  <c r="AS414" i="55"/>
  <c r="AS413" i="55"/>
  <c r="AS412" i="55"/>
  <c r="AS411" i="55"/>
  <c r="AS410" i="55"/>
  <c r="AS409" i="55"/>
  <c r="AS408" i="55"/>
  <c r="AS407" i="55"/>
  <c r="AS406" i="55"/>
  <c r="AS405" i="55"/>
  <c r="AS404" i="55"/>
  <c r="AS403" i="55"/>
  <c r="AS402" i="55"/>
  <c r="AS401" i="55"/>
  <c r="AS400" i="55"/>
  <c r="AS399" i="55"/>
  <c r="AS398" i="55"/>
  <c r="AS397" i="55"/>
  <c r="AS396" i="55"/>
  <c r="AS395" i="55"/>
  <c r="AS394" i="55"/>
  <c r="AS393" i="55"/>
  <c r="AS392" i="55"/>
  <c r="AS391" i="55"/>
  <c r="AS390" i="55"/>
  <c r="AS389" i="55"/>
  <c r="AS388" i="55"/>
  <c r="AS387" i="55"/>
  <c r="AS386" i="55"/>
  <c r="AS385" i="55"/>
  <c r="AS384" i="55"/>
  <c r="AS383" i="55"/>
  <c r="AS382" i="55"/>
  <c r="AS381" i="55"/>
  <c r="AS380" i="55"/>
  <c r="AS379" i="55"/>
  <c r="AS378" i="55"/>
  <c r="AS377" i="55"/>
  <c r="AS376" i="55"/>
  <c r="AS375" i="55"/>
  <c r="AS374" i="55"/>
  <c r="AS373" i="55"/>
  <c r="AS372" i="55"/>
  <c r="AS371" i="55"/>
  <c r="AS370" i="55"/>
  <c r="AS369" i="55"/>
  <c r="AS368" i="55"/>
  <c r="AS367" i="55"/>
  <c r="AS366" i="55"/>
  <c r="AS365" i="55"/>
  <c r="AS364" i="55"/>
  <c r="AS363" i="55"/>
  <c r="AS362" i="55"/>
  <c r="AS361" i="55"/>
  <c r="AS360" i="55"/>
  <c r="AS359" i="55"/>
  <c r="AS358" i="55"/>
  <c r="AS357" i="55"/>
  <c r="AS356" i="55"/>
  <c r="AS355" i="55"/>
  <c r="AS354" i="55"/>
  <c r="AS353" i="55"/>
  <c r="AS352" i="55"/>
  <c r="AS351" i="55"/>
  <c r="AS350" i="55"/>
  <c r="AS349" i="55"/>
  <c r="AS348" i="55"/>
  <c r="AS347" i="55"/>
  <c r="AS346" i="55"/>
  <c r="AS345" i="55"/>
  <c r="AS344" i="55"/>
  <c r="AS343" i="55"/>
  <c r="AS342" i="55"/>
  <c r="AS341" i="55"/>
  <c r="AS340" i="55"/>
  <c r="AS339" i="55"/>
  <c r="AS338" i="55"/>
  <c r="AS337" i="55"/>
  <c r="AS336" i="55"/>
  <c r="AS335" i="55"/>
  <c r="AS334" i="55"/>
  <c r="AS333" i="55"/>
  <c r="AS332" i="55"/>
  <c r="AS331" i="55"/>
  <c r="AS330" i="55"/>
  <c r="AS329" i="55"/>
  <c r="AS328" i="55"/>
  <c r="AS327" i="55"/>
  <c r="AS326" i="55"/>
  <c r="AS325" i="55"/>
  <c r="AS324" i="55"/>
  <c r="AS323" i="55"/>
  <c r="AS322" i="55"/>
  <c r="AS321" i="55"/>
  <c r="AS320" i="55"/>
  <c r="AS319" i="55"/>
  <c r="AS318" i="55"/>
  <c r="AS317" i="55"/>
  <c r="AS316" i="55"/>
  <c r="AS315" i="55"/>
  <c r="AS314" i="55"/>
  <c r="AS313" i="55"/>
  <c r="AS312" i="55"/>
  <c r="AS311" i="55"/>
  <c r="AS310" i="55"/>
  <c r="AS309" i="55"/>
  <c r="AS308" i="55"/>
  <c r="AS307" i="55"/>
  <c r="AS306" i="55"/>
  <c r="AS305" i="55"/>
  <c r="AS304" i="55"/>
  <c r="AS303" i="55"/>
  <c r="AS302" i="55"/>
  <c r="AS301" i="55"/>
  <c r="AS300" i="55"/>
  <c r="AS299" i="55"/>
  <c r="AS298" i="55"/>
  <c r="AS297" i="55"/>
  <c r="AS296" i="55"/>
  <c r="AS295" i="55"/>
  <c r="AS294" i="55"/>
  <c r="AS293" i="55"/>
  <c r="AS292" i="55"/>
  <c r="AS291" i="55"/>
  <c r="AS290" i="55"/>
  <c r="AS289" i="55"/>
  <c r="AS288" i="55"/>
  <c r="AS287" i="55"/>
  <c r="AS286" i="55"/>
  <c r="AS285" i="55"/>
  <c r="AS284" i="55"/>
  <c r="AS283" i="55"/>
  <c r="AS282" i="55"/>
  <c r="AS281" i="55"/>
  <c r="AS280" i="55"/>
  <c r="AS279" i="55"/>
  <c r="AS278" i="55"/>
  <c r="AS277" i="55"/>
  <c r="AS276" i="55"/>
  <c r="AS275" i="55"/>
  <c r="AS274" i="55"/>
  <c r="AS273" i="55"/>
  <c r="AS272" i="55"/>
  <c r="AS271" i="55"/>
  <c r="AS270" i="55"/>
  <c r="AS269" i="55"/>
  <c r="AS268" i="55"/>
  <c r="AS267" i="55"/>
  <c r="AS266" i="55"/>
  <c r="AS265" i="55"/>
  <c r="AS264" i="55"/>
  <c r="AS263" i="55"/>
  <c r="AS262" i="55"/>
  <c r="AS261" i="55"/>
  <c r="AS260" i="55"/>
  <c r="AS259" i="55"/>
  <c r="AS258" i="55"/>
  <c r="AS257" i="55"/>
  <c r="AS256" i="55"/>
  <c r="AS255" i="55"/>
  <c r="AS254" i="55"/>
  <c r="AS253" i="55"/>
  <c r="AS252" i="55"/>
  <c r="AS251" i="55"/>
  <c r="AS250" i="55"/>
  <c r="AS249" i="55"/>
  <c r="AS248" i="55"/>
  <c r="AS247" i="55"/>
  <c r="AS246" i="55"/>
  <c r="AS245" i="55"/>
  <c r="AS244" i="55"/>
  <c r="AS243" i="55"/>
  <c r="AS242" i="55"/>
  <c r="AS241" i="55"/>
  <c r="AS240" i="55"/>
  <c r="AS239" i="55"/>
  <c r="AS238" i="55"/>
  <c r="AS237" i="55"/>
  <c r="AS236" i="55"/>
  <c r="AS235" i="55"/>
  <c r="AS234" i="55"/>
  <c r="AS233" i="55"/>
  <c r="AS232" i="55"/>
  <c r="AS231" i="55"/>
  <c r="AS230" i="55"/>
  <c r="AS229" i="55"/>
  <c r="AS228" i="55"/>
  <c r="AS227" i="55"/>
  <c r="AS226" i="55"/>
  <c r="AS225" i="55"/>
  <c r="AS224" i="55"/>
  <c r="AS223" i="55"/>
  <c r="AS222" i="55"/>
  <c r="AS221" i="55"/>
  <c r="AS220" i="55"/>
  <c r="AS219" i="55"/>
  <c r="AS218" i="55"/>
  <c r="AS217" i="55"/>
  <c r="AS216" i="55"/>
  <c r="AS215" i="55"/>
  <c r="AS214" i="55"/>
  <c r="AS213" i="55"/>
  <c r="AS212" i="55"/>
  <c r="AS211" i="55"/>
  <c r="AS210" i="55"/>
  <c r="AS209" i="55"/>
  <c r="AS208" i="55"/>
  <c r="AS207" i="55"/>
  <c r="AS206" i="55"/>
  <c r="AS205" i="55"/>
  <c r="AS204" i="55"/>
  <c r="AS203" i="55"/>
  <c r="AS202" i="55"/>
  <c r="AS201" i="55"/>
  <c r="AS200" i="55"/>
  <c r="AS199" i="55"/>
  <c r="AS198" i="55"/>
  <c r="AS197" i="55"/>
  <c r="AS196" i="55"/>
  <c r="AS195" i="55"/>
  <c r="AS194" i="55"/>
  <c r="AS193" i="55"/>
  <c r="AS192" i="55"/>
  <c r="AS191" i="55"/>
  <c r="AS190" i="55"/>
  <c r="AS189" i="55"/>
  <c r="AS188" i="55"/>
  <c r="AS187" i="55"/>
  <c r="AS186" i="55"/>
  <c r="AS185" i="55"/>
  <c r="AS184" i="55"/>
  <c r="AS183" i="55"/>
  <c r="AS182" i="55"/>
  <c r="AS181" i="55"/>
  <c r="AS180" i="55"/>
  <c r="AS179" i="55"/>
  <c r="AS178" i="55"/>
  <c r="AS177" i="55"/>
  <c r="AS176" i="55"/>
  <c r="AS175" i="55"/>
  <c r="AS174" i="55"/>
  <c r="AS173" i="55"/>
  <c r="AS172" i="55"/>
  <c r="AS171" i="55"/>
  <c r="AS170" i="55"/>
  <c r="AS169" i="55"/>
  <c r="AS168" i="55"/>
  <c r="AS167" i="55"/>
  <c r="AS166" i="55"/>
  <c r="AS165" i="55"/>
  <c r="AS164" i="55"/>
  <c r="AS163" i="55"/>
  <c r="AS162" i="55"/>
  <c r="AS161" i="55"/>
  <c r="AS160" i="55"/>
  <c r="AS159" i="55"/>
  <c r="AS158" i="55"/>
  <c r="AS157" i="55"/>
  <c r="AS156" i="55"/>
  <c r="AS155" i="55"/>
  <c r="AS154" i="55"/>
  <c r="AS153" i="55"/>
  <c r="AS152" i="55"/>
  <c r="AS151" i="55"/>
  <c r="AS150" i="55"/>
  <c r="AS149" i="55"/>
  <c r="AS148" i="55"/>
  <c r="AS147" i="55"/>
  <c r="AS146" i="55"/>
  <c r="AS145" i="55"/>
  <c r="AS144" i="55"/>
  <c r="AS143" i="55"/>
  <c r="AS142" i="55"/>
  <c r="AS141" i="55"/>
  <c r="AS140" i="55"/>
  <c r="AS139" i="55"/>
  <c r="AS138" i="55"/>
  <c r="AS137" i="55"/>
  <c r="AS136" i="55"/>
  <c r="AS135" i="55"/>
  <c r="AS134" i="55"/>
  <c r="AS133" i="55"/>
  <c r="AS132" i="55"/>
  <c r="AS131" i="55"/>
  <c r="AS130" i="55"/>
  <c r="AS129" i="55"/>
  <c r="AS128" i="55"/>
  <c r="AS127" i="55"/>
  <c r="AS126" i="55"/>
  <c r="AS125" i="55"/>
  <c r="AS124" i="55"/>
  <c r="AS123" i="55"/>
  <c r="AS122" i="55"/>
  <c r="AS121" i="55"/>
  <c r="AS120" i="55"/>
  <c r="AS119" i="55"/>
  <c r="AS118" i="55"/>
  <c r="AS117" i="55"/>
  <c r="AS116" i="55"/>
  <c r="AS115" i="55"/>
  <c r="AS114" i="55"/>
  <c r="AS113" i="55"/>
  <c r="AS112" i="55"/>
  <c r="AS111" i="55"/>
  <c r="AS110" i="55"/>
  <c r="AS109" i="55"/>
  <c r="AS108" i="55"/>
  <c r="AS107" i="55"/>
  <c r="AS106" i="55"/>
  <c r="AS105" i="55"/>
  <c r="AS104" i="55"/>
  <c r="AS103" i="55"/>
  <c r="AS102" i="55"/>
  <c r="AS101" i="55"/>
  <c r="AS100" i="55"/>
  <c r="AS99" i="55"/>
  <c r="AS98" i="55"/>
  <c r="AS97" i="55"/>
  <c r="AS96" i="55"/>
  <c r="AS95" i="55"/>
  <c r="AS94" i="55"/>
  <c r="AS93" i="55"/>
  <c r="AS92" i="55"/>
  <c r="AS91" i="55"/>
  <c r="AS90" i="55"/>
  <c r="AS89" i="55"/>
  <c r="AS88" i="55"/>
  <c r="AS87" i="55"/>
  <c r="AS86" i="55"/>
  <c r="AS85" i="55"/>
  <c r="AS84" i="55"/>
  <c r="AS83" i="55"/>
  <c r="AS82" i="55"/>
  <c r="AS81" i="55"/>
  <c r="AS80" i="55"/>
  <c r="AS79" i="55"/>
  <c r="AS78" i="55"/>
  <c r="AS77" i="55"/>
  <c r="AS76" i="55"/>
  <c r="AS75" i="55"/>
  <c r="AS74" i="55"/>
  <c r="AS73" i="55"/>
  <c r="AS72" i="55"/>
  <c r="AS71" i="55"/>
  <c r="AS70" i="55"/>
  <c r="AS69" i="55"/>
  <c r="AS68" i="55"/>
  <c r="AS67" i="55"/>
  <c r="AS66" i="55"/>
  <c r="AS65" i="55"/>
  <c r="AS64" i="55"/>
  <c r="AS63" i="55"/>
  <c r="AS62" i="55"/>
  <c r="AS61" i="55"/>
  <c r="AS60" i="55"/>
  <c r="AS59" i="55"/>
  <c r="AS58" i="55"/>
  <c r="AS57" i="55"/>
  <c r="AS56" i="55"/>
  <c r="AS55" i="55"/>
  <c r="AS54" i="55"/>
  <c r="AS53" i="55"/>
  <c r="AS52" i="55"/>
  <c r="AS51" i="55"/>
  <c r="AS50" i="55"/>
  <c r="AS49" i="55"/>
  <c r="AS48" i="55"/>
  <c r="AS47" i="55"/>
  <c r="AS46" i="55"/>
  <c r="AS45" i="55"/>
  <c r="AS44" i="55"/>
  <c r="AS43" i="55"/>
  <c r="AS42" i="55"/>
  <c r="AS41" i="55"/>
  <c r="AS40" i="55"/>
  <c r="AS39" i="55"/>
  <c r="AS38" i="55"/>
  <c r="AS37" i="55"/>
  <c r="AS36" i="55"/>
  <c r="AS35" i="55"/>
  <c r="AS34" i="55"/>
  <c r="AS33" i="55"/>
  <c r="AS32" i="55"/>
  <c r="AS31" i="55"/>
  <c r="AS30" i="55"/>
  <c r="AS29" i="55"/>
  <c r="AS28" i="55"/>
  <c r="AS27" i="55"/>
  <c r="AS26" i="55"/>
  <c r="AS25" i="55"/>
  <c r="AS24" i="55"/>
  <c r="AS23" i="55"/>
  <c r="AS22" i="55"/>
  <c r="AS21" i="55"/>
  <c r="AS20" i="55"/>
  <c r="AS19" i="55"/>
  <c r="AS18" i="55"/>
  <c r="AS17" i="55"/>
  <c r="AS16" i="55"/>
  <c r="AS15" i="55"/>
  <c r="AS14" i="55"/>
  <c r="AS13" i="55"/>
  <c r="AS12" i="55"/>
  <c r="AS11" i="55"/>
  <c r="AS10" i="55"/>
  <c r="AS9" i="55"/>
  <c r="AS8" i="55"/>
  <c r="AS7" i="55"/>
  <c r="AS6" i="55"/>
  <c r="AS5" i="55"/>
  <c r="AA1444" i="55"/>
  <c r="AA1443" i="55"/>
  <c r="AA1442" i="55"/>
  <c r="AA1441" i="55"/>
  <c r="AA1440" i="55"/>
  <c r="AA1439" i="55"/>
  <c r="AA1438" i="55"/>
  <c r="AA1437" i="55"/>
  <c r="AA1436" i="55"/>
  <c r="AA1435" i="55"/>
  <c r="AA1434" i="55"/>
  <c r="AA1433" i="55"/>
  <c r="AA1432" i="55"/>
  <c r="AA1431" i="55"/>
  <c r="AA1430" i="55"/>
  <c r="AA1429" i="55"/>
  <c r="AA1428" i="55"/>
  <c r="AA1427" i="55"/>
  <c r="AA1426" i="55"/>
  <c r="AA1425" i="55"/>
  <c r="AA1424" i="55"/>
  <c r="AA1423" i="55"/>
  <c r="AA1422" i="55"/>
  <c r="AA1421" i="55"/>
  <c r="AA1420" i="55"/>
  <c r="AA1419" i="55"/>
  <c r="AA1418" i="55"/>
  <c r="AA1417" i="55"/>
  <c r="AA1416" i="55"/>
  <c r="AA1415" i="55"/>
  <c r="AA1414" i="55"/>
  <c r="AA1413" i="55"/>
  <c r="AA1412" i="55"/>
  <c r="AA1411" i="55"/>
  <c r="AA1410" i="55"/>
  <c r="AA1409" i="55"/>
  <c r="AA1408" i="55"/>
  <c r="AA1407" i="55"/>
  <c r="AA1406" i="55"/>
  <c r="AA1405" i="55"/>
  <c r="AA1404" i="55"/>
  <c r="AA1403" i="55"/>
  <c r="AA1402" i="55"/>
  <c r="AA1401" i="55"/>
  <c r="AA1400" i="55"/>
  <c r="AA1399" i="55"/>
  <c r="AA1398" i="55"/>
  <c r="AA1397" i="55"/>
  <c r="AA1396" i="55"/>
  <c r="AA1395" i="55"/>
  <c r="AA1394" i="55"/>
  <c r="AA1393" i="55"/>
  <c r="AA1392" i="55"/>
  <c r="AA1391" i="55"/>
  <c r="AA1390" i="55"/>
  <c r="AA1389" i="55"/>
  <c r="AA1388" i="55"/>
  <c r="AA1387" i="55"/>
  <c r="AA1386" i="55"/>
  <c r="AA1385" i="55"/>
  <c r="AA1384" i="55"/>
  <c r="AA1383" i="55"/>
  <c r="AA1382" i="55"/>
  <c r="AA1381" i="55"/>
  <c r="AA1380" i="55"/>
  <c r="AA1379" i="55"/>
  <c r="AA1378" i="55"/>
  <c r="AA1377" i="55"/>
  <c r="AA1376" i="55"/>
  <c r="AA1375" i="55"/>
  <c r="AA1374" i="55"/>
  <c r="AA1373" i="55"/>
  <c r="AA1372" i="55"/>
  <c r="AA1371" i="55"/>
  <c r="AA1370" i="55"/>
  <c r="AA1369" i="55"/>
  <c r="AA1368" i="55"/>
  <c r="AA1367" i="55"/>
  <c r="AA1366" i="55"/>
  <c r="AA1365" i="55"/>
  <c r="AA1364" i="55"/>
  <c r="AA1363" i="55"/>
  <c r="AA1362" i="55"/>
  <c r="AA1361" i="55"/>
  <c r="AA1360" i="55"/>
  <c r="AA1359" i="55"/>
  <c r="AA1358" i="55"/>
  <c r="AA1357" i="55"/>
  <c r="AA1356" i="55"/>
  <c r="AA1355" i="55"/>
  <c r="AA1354" i="55"/>
  <c r="AA1353" i="55"/>
  <c r="AA1352" i="55"/>
  <c r="AA1351" i="55"/>
  <c r="AA1350" i="55"/>
  <c r="AA1349" i="55"/>
  <c r="AA1348" i="55"/>
  <c r="AA1347" i="55"/>
  <c r="AA1346" i="55"/>
  <c r="AA1345" i="55"/>
  <c r="AA1344" i="55"/>
  <c r="AA1343" i="55"/>
  <c r="AA1342" i="55"/>
  <c r="AA1341" i="55"/>
  <c r="AA1340" i="55"/>
  <c r="AA1339" i="55"/>
  <c r="AA1338" i="55"/>
  <c r="AA1337" i="55"/>
  <c r="AA1336" i="55"/>
  <c r="AA1335" i="55"/>
  <c r="AA1334" i="55"/>
  <c r="AA1333" i="55"/>
  <c r="AA1332" i="55"/>
  <c r="AA1331" i="55"/>
  <c r="AA1330" i="55"/>
  <c r="AA1329" i="55"/>
  <c r="AA1328" i="55"/>
  <c r="AA1327" i="55"/>
  <c r="AA1326" i="55"/>
  <c r="AA1325" i="55"/>
  <c r="AA1324" i="55"/>
  <c r="AA1323" i="55"/>
  <c r="AA1322" i="55"/>
  <c r="AA1321" i="55"/>
  <c r="AA1320" i="55"/>
  <c r="AA1319" i="55"/>
  <c r="AA1318" i="55"/>
  <c r="AA1317" i="55"/>
  <c r="AA1316" i="55"/>
  <c r="AA1315" i="55"/>
  <c r="AA1314" i="55"/>
  <c r="AA1313" i="55"/>
  <c r="AA1312" i="55"/>
  <c r="AA1311" i="55"/>
  <c r="AA1310" i="55"/>
  <c r="AA1309" i="55"/>
  <c r="AA1308" i="55"/>
  <c r="AA1307" i="55"/>
  <c r="AA1306" i="55"/>
  <c r="AA1305" i="55"/>
  <c r="AA1304" i="55"/>
  <c r="AA1303" i="55"/>
  <c r="AA1302" i="55"/>
  <c r="AA1301" i="55"/>
  <c r="AA1300" i="55"/>
  <c r="AA1299" i="55"/>
  <c r="AA1298" i="55"/>
  <c r="AA1297" i="55"/>
  <c r="AA1296" i="55"/>
  <c r="AA1295" i="55"/>
  <c r="AA1294" i="55"/>
  <c r="AA1293" i="55"/>
  <c r="AA1292" i="55"/>
  <c r="AA1291" i="55"/>
  <c r="AA1290" i="55"/>
  <c r="AA1289" i="55"/>
  <c r="AA1288" i="55"/>
  <c r="AA1287" i="55"/>
  <c r="AA1286" i="55"/>
  <c r="AA1285" i="55"/>
  <c r="AA1284" i="55"/>
  <c r="AA1283" i="55"/>
  <c r="AA1282" i="55"/>
  <c r="AA1281" i="55"/>
  <c r="AA1280" i="55"/>
  <c r="AA1279" i="55"/>
  <c r="AA1278" i="55"/>
  <c r="AA1277" i="55"/>
  <c r="AA1276" i="55"/>
  <c r="AA1275" i="55"/>
  <c r="AA1274" i="55"/>
  <c r="AA1273" i="55"/>
  <c r="AA1272" i="55"/>
  <c r="AA1271" i="55"/>
  <c r="AA1270" i="55"/>
  <c r="AA1269" i="55"/>
  <c r="AA1268" i="55"/>
  <c r="AA1267" i="55"/>
  <c r="AA1266" i="55"/>
  <c r="AA1265" i="55"/>
  <c r="AA1264" i="55"/>
  <c r="AA1263" i="55"/>
  <c r="AA1262" i="55"/>
  <c r="AA1261" i="55"/>
  <c r="AA1260" i="55"/>
  <c r="AA1259" i="55"/>
  <c r="AA1258" i="55"/>
  <c r="AA1257" i="55"/>
  <c r="AA1256" i="55"/>
  <c r="AA1255" i="55"/>
  <c r="AA1254" i="55"/>
  <c r="AA1253" i="55"/>
  <c r="AA1252" i="55"/>
  <c r="AA1251" i="55"/>
  <c r="AA1250" i="55"/>
  <c r="AA1249" i="55"/>
  <c r="AA1248" i="55"/>
  <c r="AA1247" i="55"/>
  <c r="AA1246" i="55"/>
  <c r="AA1245" i="55"/>
  <c r="AA1244" i="55"/>
  <c r="AA1243" i="55"/>
  <c r="AA1242" i="55"/>
  <c r="AA1241" i="55"/>
  <c r="AA1240" i="55"/>
  <c r="AA1239" i="55"/>
  <c r="AA1238" i="55"/>
  <c r="AA1237" i="55"/>
  <c r="AA1236" i="55"/>
  <c r="AA1235" i="55"/>
  <c r="AA1234" i="55"/>
  <c r="AA1233" i="55"/>
  <c r="AA1232" i="55"/>
  <c r="AA1231" i="55"/>
  <c r="AA1230" i="55"/>
  <c r="AA1229" i="55"/>
  <c r="AA1228" i="55"/>
  <c r="AA1227" i="55"/>
  <c r="AA1226" i="55"/>
  <c r="AA1225" i="55"/>
  <c r="AA1224" i="55"/>
  <c r="AA1223" i="55"/>
  <c r="AA1222" i="55"/>
  <c r="AA1221" i="55"/>
  <c r="AA1220" i="55"/>
  <c r="AA1219" i="55"/>
  <c r="AA1218" i="55"/>
  <c r="AA1217" i="55"/>
  <c r="AA1216" i="55"/>
  <c r="AA1215" i="55"/>
  <c r="AA1214" i="55"/>
  <c r="AA1213" i="55"/>
  <c r="AA1212" i="55"/>
  <c r="AA1211" i="55"/>
  <c r="AA1210" i="55"/>
  <c r="AA1209" i="55"/>
  <c r="AA1208" i="55"/>
  <c r="AA1207" i="55"/>
  <c r="AA1206" i="55"/>
  <c r="AA1205" i="55"/>
  <c r="AA1204" i="55"/>
  <c r="AA1203" i="55"/>
  <c r="AA1202" i="55"/>
  <c r="AA1201" i="55"/>
  <c r="AA1200" i="55"/>
  <c r="AA1199" i="55"/>
  <c r="AA1198" i="55"/>
  <c r="AA1197" i="55"/>
  <c r="AA1196" i="55"/>
  <c r="AA1195" i="55"/>
  <c r="AA1194" i="55"/>
  <c r="AA1193" i="55"/>
  <c r="AA1192" i="55"/>
  <c r="AA1191" i="55"/>
  <c r="AA1190" i="55"/>
  <c r="AA1189" i="55"/>
  <c r="AA1188" i="55"/>
  <c r="AA1187" i="55"/>
  <c r="AA1186" i="55"/>
  <c r="AA1185" i="55"/>
  <c r="AA1184" i="55"/>
  <c r="AA1183" i="55"/>
  <c r="AA1182" i="55"/>
  <c r="AA1181" i="55"/>
  <c r="AA1180" i="55"/>
  <c r="AA1179" i="55"/>
  <c r="AA1178" i="55"/>
  <c r="AA1177" i="55"/>
  <c r="AA1176" i="55"/>
  <c r="AA1175" i="55"/>
  <c r="AA1174" i="55"/>
  <c r="AA1173" i="55"/>
  <c r="AA1172" i="55"/>
  <c r="AA1171" i="55"/>
  <c r="AA1170" i="55"/>
  <c r="AA1169" i="55"/>
  <c r="AA1168" i="55"/>
  <c r="AA1167" i="55"/>
  <c r="AA1166" i="55"/>
  <c r="AA1165" i="55"/>
  <c r="AA1164" i="55"/>
  <c r="AA1163" i="55"/>
  <c r="AA1162" i="55"/>
  <c r="AA1161" i="55"/>
  <c r="AA1160" i="55"/>
  <c r="AA1159" i="55"/>
  <c r="AA1158" i="55"/>
  <c r="AA1157" i="55"/>
  <c r="AA1156" i="55"/>
  <c r="AA1155" i="55"/>
  <c r="AA1154" i="55"/>
  <c r="AA1153" i="55"/>
  <c r="AA1152" i="55"/>
  <c r="AA1151" i="55"/>
  <c r="AA1150" i="55"/>
  <c r="AA1149" i="55"/>
  <c r="AA1148" i="55"/>
  <c r="AA1147" i="55"/>
  <c r="AA1146" i="55"/>
  <c r="AA1145" i="55"/>
  <c r="AA1144" i="55"/>
  <c r="AA1143" i="55"/>
  <c r="AA1142" i="55"/>
  <c r="AA1141" i="55"/>
  <c r="AA1140" i="55"/>
  <c r="AA1139" i="55"/>
  <c r="AA1138" i="55"/>
  <c r="AA1137" i="55"/>
  <c r="AA1136" i="55"/>
  <c r="AA1135" i="55"/>
  <c r="AA1134" i="55"/>
  <c r="AA1133" i="55"/>
  <c r="AA1132" i="55"/>
  <c r="AA1131" i="55"/>
  <c r="AA1130" i="55"/>
  <c r="AA1129" i="55"/>
  <c r="AA1128" i="55"/>
  <c r="AA1127" i="55"/>
  <c r="AA1126" i="55"/>
  <c r="AA1125" i="55"/>
  <c r="AA1124" i="55"/>
  <c r="AA1123" i="55"/>
  <c r="AA1122" i="55"/>
  <c r="AA1121" i="55"/>
  <c r="AA1120" i="55"/>
  <c r="AA1119" i="55"/>
  <c r="AA1118" i="55"/>
  <c r="AA1117" i="55"/>
  <c r="AA1116" i="55"/>
  <c r="AA1115" i="55"/>
  <c r="AA1114" i="55"/>
  <c r="AA1113" i="55"/>
  <c r="AA1112" i="55"/>
  <c r="AA1111" i="55"/>
  <c r="AA1110" i="55"/>
  <c r="AA1109" i="55"/>
  <c r="AA1108" i="55"/>
  <c r="AA1107" i="55"/>
  <c r="AA1106" i="55"/>
  <c r="AA1105" i="55"/>
  <c r="AA1104" i="55"/>
  <c r="AA1103" i="55"/>
  <c r="AA1102" i="55"/>
  <c r="AA1101" i="55"/>
  <c r="AA1100" i="55"/>
  <c r="AA1099" i="55"/>
  <c r="AA1098" i="55"/>
  <c r="AA1097" i="55"/>
  <c r="AA1096" i="55"/>
  <c r="AA1095" i="55"/>
  <c r="AA1094" i="55"/>
  <c r="AA1093" i="55"/>
  <c r="AA1092" i="55"/>
  <c r="AA1091" i="55"/>
  <c r="AA1090" i="55"/>
  <c r="AA1089" i="55"/>
  <c r="AA1088" i="55"/>
  <c r="AA1087" i="55"/>
  <c r="AA1086" i="55"/>
  <c r="AA1085" i="55"/>
  <c r="AA1084" i="55"/>
  <c r="AA1083" i="55"/>
  <c r="AA1082" i="55"/>
  <c r="AA1081" i="55"/>
  <c r="AA1080" i="55"/>
  <c r="AA1079" i="55"/>
  <c r="AA1078" i="55"/>
  <c r="AA1077" i="55"/>
  <c r="AA1076" i="55"/>
  <c r="AA1075" i="55"/>
  <c r="AA1074" i="55"/>
  <c r="AA1073" i="55"/>
  <c r="AA1072" i="55"/>
  <c r="AA1071" i="55"/>
  <c r="AA1070" i="55"/>
  <c r="AA1069" i="55"/>
  <c r="AA1068" i="55"/>
  <c r="AA1067" i="55"/>
  <c r="AA1066" i="55"/>
  <c r="AA1065" i="55"/>
  <c r="AA1064" i="55"/>
  <c r="AA1063" i="55"/>
  <c r="AA1062" i="55"/>
  <c r="AA1061" i="55"/>
  <c r="AA1060" i="55"/>
  <c r="AA1059" i="55"/>
  <c r="AA1058" i="55"/>
  <c r="AA1057" i="55"/>
  <c r="AA1056" i="55"/>
  <c r="AA1055" i="55"/>
  <c r="AA1054" i="55"/>
  <c r="AA1053" i="55"/>
  <c r="AA1052" i="55"/>
  <c r="AA1051" i="55"/>
  <c r="AA1050" i="55"/>
  <c r="AA1049" i="55"/>
  <c r="AA1048" i="55"/>
  <c r="AA1047" i="55"/>
  <c r="AA1046" i="55"/>
  <c r="AA1045" i="55"/>
  <c r="AA1044" i="55"/>
  <c r="AA1043" i="55"/>
  <c r="AA1042" i="55"/>
  <c r="AA1041" i="55"/>
  <c r="AA1040" i="55"/>
  <c r="AA1039" i="55"/>
  <c r="AA1038" i="55"/>
  <c r="AA1037" i="55"/>
  <c r="AA1036" i="55"/>
  <c r="AA1035" i="55"/>
  <c r="AA1034" i="55"/>
  <c r="AA1033" i="55"/>
  <c r="AA1032" i="55"/>
  <c r="AA1031" i="55"/>
  <c r="AA1030" i="55"/>
  <c r="AA1029" i="55"/>
  <c r="AA1028" i="55"/>
  <c r="AA1027" i="55"/>
  <c r="AA1026" i="55"/>
  <c r="AA1025" i="55"/>
  <c r="AA1024" i="55"/>
  <c r="AA1023" i="55"/>
  <c r="AA1022" i="55"/>
  <c r="AA1021" i="55"/>
  <c r="AA1020" i="55"/>
  <c r="AA1019" i="55"/>
  <c r="AA1018" i="55"/>
  <c r="AA1017" i="55"/>
  <c r="AA1016" i="55"/>
  <c r="AA1015" i="55"/>
  <c r="AA1014" i="55"/>
  <c r="AA1013" i="55"/>
  <c r="AA1012" i="55"/>
  <c r="AA1011" i="55"/>
  <c r="AA1010" i="55"/>
  <c r="AA1009" i="55"/>
  <c r="AA1008" i="55"/>
  <c r="AA1007" i="55"/>
  <c r="AA1006" i="55"/>
  <c r="AA1005" i="55"/>
  <c r="AA1004" i="55"/>
  <c r="AA1003" i="55"/>
  <c r="AA1002" i="55"/>
  <c r="AA1001" i="55"/>
  <c r="AA1000" i="55"/>
  <c r="AA999" i="55"/>
  <c r="AA998" i="55"/>
  <c r="AA997" i="55"/>
  <c r="AA996" i="55"/>
  <c r="AA995" i="55"/>
  <c r="AA994" i="55"/>
  <c r="AA993" i="55"/>
  <c r="AA992" i="55"/>
  <c r="AA991" i="55"/>
  <c r="AA990" i="55"/>
  <c r="AA989" i="55"/>
  <c r="AA988" i="55"/>
  <c r="AA987" i="55"/>
  <c r="AA986" i="55"/>
  <c r="AA985" i="55"/>
  <c r="AA984" i="55"/>
  <c r="AA983" i="55"/>
  <c r="AA982" i="55"/>
  <c r="AA981" i="55"/>
  <c r="AA980" i="55"/>
  <c r="AA979" i="55"/>
  <c r="AA978" i="55"/>
  <c r="AA977" i="55"/>
  <c r="AA976" i="55"/>
  <c r="AA975" i="55"/>
  <c r="AA974" i="55"/>
  <c r="AA973" i="55"/>
  <c r="AA972" i="55"/>
  <c r="AA971" i="55"/>
  <c r="AA970" i="55"/>
  <c r="AA969" i="55"/>
  <c r="AA968" i="55"/>
  <c r="AA967" i="55"/>
  <c r="AA966" i="55"/>
  <c r="AA965" i="55"/>
  <c r="AA964" i="55"/>
  <c r="AA963" i="55"/>
  <c r="AA962" i="55"/>
  <c r="AA961" i="55"/>
  <c r="AA960" i="55"/>
  <c r="AA959" i="55"/>
  <c r="AA958" i="55"/>
  <c r="AA957" i="55"/>
  <c r="AA956" i="55"/>
  <c r="AA955" i="55"/>
  <c r="AA954" i="55"/>
  <c r="AA953" i="55"/>
  <c r="AA952" i="55"/>
  <c r="AA951" i="55"/>
  <c r="AA950" i="55"/>
  <c r="AA949" i="55"/>
  <c r="AA948" i="55"/>
  <c r="AA947" i="55"/>
  <c r="AA946" i="55"/>
  <c r="AA945" i="55"/>
  <c r="AA944" i="55"/>
  <c r="AA943" i="55"/>
  <c r="AA942" i="55"/>
  <c r="AA941" i="55"/>
  <c r="AA940" i="55"/>
  <c r="AA939" i="55"/>
  <c r="AA938" i="55"/>
  <c r="AA937" i="55"/>
  <c r="AA936" i="55"/>
  <c r="AA935" i="55"/>
  <c r="AA934" i="55"/>
  <c r="AA933" i="55"/>
  <c r="AA932" i="55"/>
  <c r="AA931" i="55"/>
  <c r="AA930" i="55"/>
  <c r="AA929" i="55"/>
  <c r="AA928" i="55"/>
  <c r="AA927" i="55"/>
  <c r="AA926" i="55"/>
  <c r="AA925" i="55"/>
  <c r="AA924" i="55"/>
  <c r="AA923" i="55"/>
  <c r="AA922" i="55"/>
  <c r="AA921" i="55"/>
  <c r="AA920" i="55"/>
  <c r="AA919" i="55"/>
  <c r="AA918" i="55"/>
  <c r="AA917" i="55"/>
  <c r="AA916" i="55"/>
  <c r="AA915" i="55"/>
  <c r="AA914" i="55"/>
  <c r="AA913" i="55"/>
  <c r="AA912" i="55"/>
  <c r="AA911" i="55"/>
  <c r="AA910" i="55"/>
  <c r="AA909" i="55"/>
  <c r="AA908" i="55"/>
  <c r="AA907" i="55"/>
  <c r="AA906" i="55"/>
  <c r="AA905" i="55"/>
  <c r="AA904" i="55" s="1"/>
  <c r="AA903" i="55" s="1"/>
  <c r="AA902" i="55" s="1"/>
  <c r="AA901" i="55" s="1"/>
  <c r="AA900" i="55" s="1"/>
  <c r="AA899" i="55" s="1"/>
  <c r="AA898" i="55" s="1"/>
  <c r="AA897" i="55" s="1"/>
  <c r="AA896" i="55" s="1"/>
  <c r="AA895" i="55" s="1"/>
  <c r="AA894" i="55" s="1"/>
  <c r="AA893" i="55" s="1"/>
  <c r="AA892" i="55" s="1"/>
  <c r="AA891" i="55" s="1"/>
  <c r="AA890" i="55" s="1"/>
  <c r="AA889" i="55" s="1"/>
  <c r="AA888" i="55" s="1"/>
  <c r="AA887" i="55" s="1"/>
  <c r="AA886" i="55" s="1"/>
  <c r="AA885" i="55" s="1"/>
  <c r="AA884" i="55" s="1"/>
  <c r="AA883" i="55" s="1"/>
  <c r="AA882" i="55" s="1"/>
  <c r="AA881" i="55" s="1"/>
  <c r="AA880" i="55" s="1"/>
  <c r="AA879" i="55" s="1"/>
  <c r="AA878" i="55" s="1"/>
  <c r="AA877" i="55" s="1"/>
  <c r="AA876" i="55" s="1"/>
  <c r="AA875" i="55" s="1"/>
  <c r="AA874" i="55" s="1"/>
  <c r="AA873" i="55" s="1"/>
  <c r="AA872" i="55" s="1"/>
  <c r="AA871" i="55" s="1"/>
  <c r="AA870" i="55" s="1"/>
  <c r="AA869" i="55" s="1"/>
  <c r="AA868" i="55" s="1"/>
  <c r="AA867" i="55" s="1"/>
  <c r="AA866" i="55" s="1"/>
  <c r="AA865" i="55" s="1"/>
  <c r="AA864" i="55" s="1"/>
  <c r="AA863" i="55" s="1"/>
  <c r="AA862" i="55" s="1"/>
  <c r="AA861" i="55" s="1"/>
  <c r="AA860" i="55" s="1"/>
  <c r="AA859" i="55" s="1"/>
  <c r="AA858" i="55" s="1"/>
  <c r="AA857" i="55" s="1"/>
  <c r="AA856" i="55" s="1"/>
  <c r="AA855" i="55" s="1"/>
  <c r="AA854" i="55" s="1"/>
  <c r="AA853" i="55" s="1"/>
  <c r="AA852" i="55" s="1"/>
  <c r="AA851" i="55" s="1"/>
  <c r="AA850" i="55" s="1"/>
  <c r="AA849" i="55" s="1"/>
  <c r="AA848" i="55" s="1"/>
  <c r="AA847" i="55" s="1"/>
  <c r="AA846" i="55" s="1"/>
  <c r="AA845" i="55" s="1"/>
  <c r="AA844" i="55" s="1"/>
  <c r="AA843" i="55" s="1"/>
  <c r="AA842" i="55" s="1"/>
  <c r="AA841" i="55" s="1"/>
  <c r="AA840" i="55" s="1"/>
  <c r="AA839" i="55" s="1"/>
  <c r="AA838" i="55" s="1"/>
  <c r="AA837" i="55" s="1"/>
  <c r="AA836" i="55" s="1"/>
  <c r="AA835" i="55" s="1"/>
  <c r="AA834" i="55" s="1"/>
  <c r="AA833" i="55" s="1"/>
  <c r="AA832" i="55" s="1"/>
  <c r="AA831" i="55" s="1"/>
  <c r="AA830" i="55" s="1"/>
  <c r="AA829" i="55" s="1"/>
  <c r="AA828" i="55" s="1"/>
  <c r="AA827" i="55" s="1"/>
  <c r="AA826" i="55" s="1"/>
  <c r="AA825" i="55" s="1"/>
  <c r="AA824" i="55" s="1"/>
  <c r="AA823" i="55" s="1"/>
  <c r="AA822" i="55" s="1"/>
  <c r="AA821" i="55" s="1"/>
  <c r="AA820" i="55" s="1"/>
  <c r="AA819" i="55" s="1"/>
  <c r="AA818" i="55" s="1"/>
  <c r="AA817" i="55" s="1"/>
  <c r="AA816" i="55" s="1"/>
  <c r="AA815" i="55" s="1"/>
  <c r="AA814" i="55" s="1"/>
  <c r="AA813" i="55" s="1"/>
  <c r="AA812" i="55" s="1"/>
  <c r="AA811" i="55" s="1"/>
  <c r="AA810" i="55" s="1"/>
  <c r="AA809" i="55" s="1"/>
  <c r="AA808" i="55" s="1"/>
  <c r="AA807" i="55" s="1"/>
  <c r="AA806" i="55" s="1"/>
  <c r="AA805" i="55" s="1"/>
  <c r="AA804" i="55" s="1"/>
  <c r="AA803" i="55" s="1"/>
  <c r="AA802" i="55" s="1"/>
  <c r="AA801" i="55" s="1"/>
  <c r="AA800" i="55" s="1"/>
  <c r="AA799" i="55" s="1"/>
  <c r="AA798" i="55" s="1"/>
  <c r="AA797" i="55" s="1"/>
  <c r="AA796" i="55" s="1"/>
  <c r="AA795" i="55" s="1"/>
  <c r="AA794" i="55" s="1"/>
  <c r="AA793" i="55" s="1"/>
  <c r="AA792" i="55" s="1"/>
  <c r="AA791" i="55" s="1"/>
  <c r="AA790" i="55" s="1"/>
  <c r="AA789" i="55" s="1"/>
  <c r="AA788" i="55" s="1"/>
  <c r="AA787" i="55" s="1"/>
  <c r="AA786" i="55" s="1"/>
  <c r="AA785" i="55" s="1"/>
  <c r="AA784" i="55" s="1"/>
  <c r="AA783" i="55" s="1"/>
  <c r="AA782" i="55" s="1"/>
  <c r="AA781" i="55" s="1"/>
  <c r="AA780" i="55" s="1"/>
  <c r="AA779" i="55" s="1"/>
  <c r="AA778" i="55" s="1"/>
  <c r="AA777" i="55" s="1"/>
  <c r="AA776" i="55" s="1"/>
  <c r="AA775" i="55" s="1"/>
  <c r="AA774" i="55" s="1"/>
  <c r="AA773" i="55" s="1"/>
  <c r="AA772" i="55" s="1"/>
  <c r="AA771" i="55" s="1"/>
  <c r="AA770" i="55" s="1"/>
  <c r="AA769" i="55" s="1"/>
  <c r="AA768" i="55" s="1"/>
  <c r="AA767" i="55" s="1"/>
  <c r="AA766" i="55" s="1"/>
  <c r="AA765" i="55" s="1"/>
  <c r="AA764" i="55" s="1"/>
  <c r="AA763" i="55" s="1"/>
  <c r="AA762" i="55" s="1"/>
  <c r="AA761" i="55" s="1"/>
  <c r="AA760" i="55" s="1"/>
  <c r="AA759" i="55" s="1"/>
  <c r="AA758" i="55" s="1"/>
  <c r="AA757" i="55" s="1"/>
  <c r="AA756" i="55" s="1"/>
  <c r="AA755" i="55" s="1"/>
  <c r="AA754" i="55" s="1"/>
  <c r="AA753" i="55" s="1"/>
  <c r="AA752" i="55" s="1"/>
  <c r="AA751" i="55" s="1"/>
  <c r="AA750" i="55" s="1"/>
  <c r="AA749" i="55" s="1"/>
  <c r="AA748" i="55" s="1"/>
  <c r="AA747" i="55" s="1"/>
  <c r="AA746" i="55" s="1"/>
  <c r="AA745" i="55" s="1"/>
  <c r="AA744" i="55" s="1"/>
  <c r="AA743" i="55" s="1"/>
  <c r="AA742" i="55" s="1"/>
  <c r="AA741" i="55" s="1"/>
  <c r="AA740" i="55" s="1"/>
  <c r="AA739" i="55" s="1"/>
  <c r="AA738" i="55" s="1"/>
  <c r="AA737" i="55" s="1"/>
  <c r="AA736" i="55" s="1"/>
  <c r="AA735" i="55" s="1"/>
  <c r="AA734" i="55" s="1"/>
  <c r="AA733" i="55" s="1"/>
  <c r="AA732" i="55" s="1"/>
  <c r="AA731" i="55" s="1"/>
  <c r="AA730" i="55" s="1"/>
  <c r="AA729" i="55" s="1"/>
  <c r="AA728" i="55" s="1"/>
  <c r="AA727" i="55" s="1"/>
  <c r="AA726" i="55" s="1"/>
  <c r="AA725" i="55" s="1"/>
  <c r="AA724" i="55" s="1"/>
  <c r="AA723" i="55" s="1"/>
  <c r="AA722" i="55" s="1"/>
  <c r="AA721" i="55" s="1"/>
  <c r="AA720" i="55" s="1"/>
  <c r="AA719" i="55" s="1"/>
  <c r="AA718" i="55" s="1"/>
  <c r="AA717" i="55" s="1"/>
  <c r="AA716" i="55" s="1"/>
  <c r="AA715" i="55" s="1"/>
  <c r="AA714" i="55" s="1"/>
  <c r="AA713" i="55" s="1"/>
  <c r="AA712" i="55" s="1"/>
  <c r="AA711" i="55" s="1"/>
  <c r="AA710" i="55" s="1"/>
  <c r="AA709" i="55" s="1"/>
  <c r="AA708" i="55" s="1"/>
  <c r="AA707" i="55" s="1"/>
  <c r="AA706" i="55" s="1"/>
  <c r="AA705" i="55" s="1"/>
  <c r="AA704" i="55" s="1"/>
  <c r="AA703" i="55" s="1"/>
  <c r="AA702" i="55" s="1"/>
  <c r="AA701" i="55" s="1"/>
  <c r="AA700" i="55" s="1"/>
  <c r="AA699" i="55" s="1"/>
  <c r="AA698" i="55" s="1"/>
  <c r="AA697" i="55" s="1"/>
  <c r="AA696" i="55" s="1"/>
  <c r="AA695" i="55" s="1"/>
  <c r="AA694" i="55" s="1"/>
  <c r="AA693" i="55" s="1"/>
  <c r="AA692" i="55" s="1"/>
  <c r="AA691" i="55" s="1"/>
  <c r="AA690" i="55" s="1"/>
  <c r="AA689" i="55" s="1"/>
  <c r="AA688" i="55" s="1"/>
  <c r="AA687" i="55" s="1"/>
  <c r="AA686" i="55" s="1"/>
  <c r="AA685" i="55" s="1"/>
  <c r="AA684" i="55" s="1"/>
  <c r="AA683" i="55" s="1"/>
  <c r="AA682" i="55" s="1"/>
  <c r="AA681" i="55" s="1"/>
  <c r="AA680" i="55" s="1"/>
  <c r="AA679" i="55" s="1"/>
  <c r="AA678" i="55" s="1"/>
  <c r="AA677" i="55" s="1"/>
  <c r="AA676" i="55" s="1"/>
  <c r="AA675" i="55" s="1"/>
  <c r="AA674" i="55" s="1"/>
  <c r="AA673" i="55" s="1"/>
  <c r="AA672" i="55" s="1"/>
  <c r="AA671" i="55" s="1"/>
  <c r="AA670" i="55" s="1"/>
  <c r="AA669" i="55" s="1"/>
  <c r="AA668" i="55" s="1"/>
  <c r="AA667" i="55" s="1"/>
  <c r="AA666" i="55" s="1"/>
  <c r="AA665" i="55" s="1"/>
  <c r="AA664" i="55" s="1"/>
  <c r="AA663" i="55" s="1"/>
  <c r="AA662" i="55" s="1"/>
  <c r="AA661" i="55" s="1"/>
  <c r="AA660" i="55" s="1"/>
  <c r="AA659" i="55" s="1"/>
  <c r="AA658" i="55" s="1"/>
  <c r="AA657" i="55" s="1"/>
  <c r="AA656" i="55" s="1"/>
  <c r="AA655" i="55" s="1"/>
  <c r="AA654" i="55" s="1"/>
  <c r="AA653" i="55" s="1"/>
  <c r="AA652" i="55" s="1"/>
  <c r="AA651" i="55" s="1"/>
  <c r="AA650" i="55" s="1"/>
  <c r="AA649" i="55" s="1"/>
  <c r="AA648" i="55" s="1"/>
  <c r="AA647" i="55" s="1"/>
  <c r="AA646" i="55" s="1"/>
  <c r="AA645" i="55" s="1"/>
  <c r="AA644" i="55" s="1"/>
  <c r="AA643" i="55" s="1"/>
  <c r="AA642" i="55" s="1"/>
  <c r="AA641" i="55" s="1"/>
  <c r="AA640" i="55" s="1"/>
  <c r="AA639" i="55" s="1"/>
  <c r="AA638" i="55" s="1"/>
  <c r="AA637" i="55" s="1"/>
  <c r="AA636" i="55" s="1"/>
  <c r="AA635" i="55" s="1"/>
  <c r="AA634" i="55" s="1"/>
  <c r="AA633" i="55" s="1"/>
  <c r="AA632" i="55" s="1"/>
  <c r="AA631" i="55" s="1"/>
  <c r="AA630" i="55" s="1"/>
  <c r="AA629" i="55" s="1"/>
  <c r="AA628" i="55" s="1"/>
  <c r="AA627" i="55" s="1"/>
  <c r="AA626" i="55" s="1"/>
  <c r="AA625" i="55" s="1"/>
  <c r="AA624" i="55" s="1"/>
  <c r="AA623" i="55" s="1"/>
  <c r="AA622" i="55" s="1"/>
  <c r="AA621" i="55" s="1"/>
  <c r="AA620" i="55" s="1"/>
  <c r="AA619" i="55" s="1"/>
  <c r="AA618" i="55" s="1"/>
  <c r="AA617" i="55" s="1"/>
  <c r="AA616" i="55" s="1"/>
  <c r="AA615" i="55" s="1"/>
  <c r="AA614" i="55" s="1"/>
  <c r="AA613" i="55" s="1"/>
  <c r="AA612" i="55" s="1"/>
  <c r="AA611" i="55" s="1"/>
  <c r="AA610" i="55" s="1"/>
  <c r="AA609" i="55" s="1"/>
  <c r="AA608" i="55" s="1"/>
  <c r="AA607" i="55" s="1"/>
  <c r="AA606" i="55" s="1"/>
  <c r="AA605" i="55" s="1"/>
  <c r="AA604" i="55" s="1"/>
  <c r="AA603" i="55" s="1"/>
  <c r="AA602" i="55" s="1"/>
  <c r="AA601" i="55" s="1"/>
  <c r="AA600" i="55" s="1"/>
  <c r="AA599" i="55" s="1"/>
  <c r="AA598" i="55" s="1"/>
  <c r="AA597" i="55" s="1"/>
  <c r="AA596" i="55" s="1"/>
  <c r="AA595" i="55" s="1"/>
  <c r="AA594" i="55" s="1"/>
  <c r="AA593" i="55" s="1"/>
  <c r="AA592" i="55" s="1"/>
  <c r="AA591" i="55" s="1"/>
  <c r="AA590" i="55" s="1"/>
  <c r="AA589" i="55" s="1"/>
  <c r="AA588" i="55" s="1"/>
  <c r="AA587" i="55" s="1"/>
  <c r="AA586" i="55" s="1"/>
  <c r="AA585" i="55" s="1"/>
  <c r="AA584" i="55" s="1"/>
  <c r="AA583" i="55" s="1"/>
  <c r="AA582" i="55" s="1"/>
  <c r="AA581" i="55" s="1"/>
  <c r="AA580" i="55" s="1"/>
  <c r="AA579" i="55" s="1"/>
  <c r="AA578" i="55" s="1"/>
  <c r="AA577" i="55" s="1"/>
  <c r="AA576" i="55" s="1"/>
  <c r="AA575" i="55" s="1"/>
  <c r="AA574" i="55" s="1"/>
  <c r="AA573" i="55" s="1"/>
  <c r="AA572" i="55" s="1"/>
  <c r="AA571" i="55" s="1"/>
  <c r="AA570" i="55" s="1"/>
  <c r="AA569" i="55" s="1"/>
  <c r="AA568" i="55" s="1"/>
  <c r="AA567" i="55" s="1"/>
  <c r="AA566" i="55" s="1"/>
  <c r="AA565" i="55" s="1"/>
  <c r="AA564" i="55" s="1"/>
  <c r="AA563" i="55" s="1"/>
  <c r="AA562" i="55" s="1"/>
  <c r="AA561" i="55" s="1"/>
  <c r="AA560" i="55" s="1"/>
  <c r="AA559" i="55" s="1"/>
  <c r="AA558" i="55" s="1"/>
  <c r="AA557" i="55" s="1"/>
  <c r="AA556" i="55" s="1"/>
  <c r="AA555" i="55" s="1"/>
  <c r="AA554" i="55" s="1"/>
  <c r="AA553" i="55" s="1"/>
  <c r="AA552" i="55" s="1"/>
  <c r="AA551" i="55" s="1"/>
  <c r="AA550" i="55" s="1"/>
  <c r="AA549" i="55" s="1"/>
  <c r="AA548" i="55" s="1"/>
  <c r="AA547" i="55" s="1"/>
  <c r="AA546" i="55" s="1"/>
  <c r="AA545" i="55" s="1"/>
  <c r="AA544" i="55" s="1"/>
  <c r="AA543" i="55" s="1"/>
  <c r="AA542" i="55" s="1"/>
  <c r="AA541" i="55" s="1"/>
  <c r="AA540" i="55" s="1"/>
  <c r="AA539" i="55" s="1"/>
  <c r="AA538" i="55" s="1"/>
  <c r="AA537" i="55" s="1"/>
  <c r="AA536" i="55" s="1"/>
  <c r="AA535" i="55" s="1"/>
  <c r="AA534" i="55" s="1"/>
  <c r="AA533" i="55" s="1"/>
  <c r="AA532" i="55" s="1"/>
  <c r="AA531" i="55" s="1"/>
  <c r="AA530" i="55" s="1"/>
  <c r="AA529" i="55" s="1"/>
  <c r="AA528" i="55" s="1"/>
  <c r="AA527" i="55" s="1"/>
  <c r="AA526" i="55" s="1"/>
  <c r="AA525" i="55" s="1"/>
  <c r="AA524" i="55" s="1"/>
  <c r="AA523" i="55" s="1"/>
  <c r="AA522" i="55" s="1"/>
  <c r="AA521" i="55" s="1"/>
  <c r="AA520" i="55" s="1"/>
  <c r="AA519" i="55" s="1"/>
  <c r="AA518" i="55" s="1"/>
  <c r="AA517" i="55" s="1"/>
  <c r="AA516" i="55" s="1"/>
  <c r="AA515" i="55" s="1"/>
  <c r="AA514" i="55" s="1"/>
  <c r="AA513" i="55" s="1"/>
  <c r="AA512" i="55" s="1"/>
  <c r="AA511" i="55" s="1"/>
  <c r="AA510" i="55" s="1"/>
  <c r="AA509" i="55" s="1"/>
  <c r="AA508" i="55" s="1"/>
  <c r="AA507" i="55" s="1"/>
  <c r="AA506" i="55" s="1"/>
  <c r="AA505" i="55" s="1"/>
  <c r="AA504" i="55" s="1"/>
  <c r="AA503" i="55" s="1"/>
  <c r="AA502" i="55" s="1"/>
  <c r="AA501" i="55" s="1"/>
  <c r="AA500" i="55" s="1"/>
  <c r="AA499" i="55" s="1"/>
  <c r="AA498" i="55" s="1"/>
  <c r="AA497" i="55" s="1"/>
  <c r="AA496" i="55" s="1"/>
  <c r="AA495" i="55" s="1"/>
  <c r="AA494" i="55" s="1"/>
  <c r="AA493" i="55" s="1"/>
  <c r="AA492" i="55" s="1"/>
  <c r="AA491" i="55" s="1"/>
  <c r="AA490" i="55" s="1"/>
  <c r="AA489" i="55" s="1"/>
  <c r="AA488" i="55" s="1"/>
  <c r="AA487" i="55" s="1"/>
  <c r="AA486" i="55" s="1"/>
  <c r="AA485" i="55" s="1"/>
  <c r="AA484" i="55" s="1"/>
  <c r="AA483" i="55" s="1"/>
  <c r="AA482" i="55" s="1"/>
  <c r="AA481" i="55" s="1"/>
  <c r="AA480" i="55" s="1"/>
  <c r="AA479" i="55" s="1"/>
  <c r="AA478" i="55" s="1"/>
  <c r="AA477" i="55" s="1"/>
  <c r="AA476" i="55" s="1"/>
  <c r="AA475" i="55" s="1"/>
  <c r="AA474" i="55" s="1"/>
  <c r="AA473" i="55" s="1"/>
  <c r="AA472" i="55" s="1"/>
  <c r="AA471" i="55" s="1"/>
  <c r="AA470" i="55" s="1"/>
  <c r="AA469" i="55" s="1"/>
  <c r="AA468" i="55" s="1"/>
  <c r="AA467" i="55" s="1"/>
  <c r="AA466" i="55" s="1"/>
  <c r="AA465" i="55" s="1"/>
  <c r="AA464" i="55" s="1"/>
  <c r="AA463" i="55" s="1"/>
  <c r="AA462" i="55" s="1"/>
  <c r="AA461" i="55" s="1"/>
  <c r="AA460" i="55" s="1"/>
  <c r="AA459" i="55" s="1"/>
  <c r="AA458" i="55" s="1"/>
  <c r="AA457" i="55" s="1"/>
  <c r="AA456" i="55" s="1"/>
  <c r="AA455" i="55" s="1"/>
  <c r="AA454" i="55" s="1"/>
  <c r="AA453" i="55" s="1"/>
  <c r="AA452" i="55" s="1"/>
  <c r="AA451" i="55" s="1"/>
  <c r="AA450" i="55" s="1"/>
  <c r="AA449" i="55" s="1"/>
  <c r="AA448" i="55" s="1"/>
  <c r="AA447" i="55" s="1"/>
  <c r="AA446" i="55" s="1"/>
  <c r="AA445" i="55" s="1"/>
  <c r="AA444" i="55" s="1"/>
  <c r="AA443" i="55" s="1"/>
  <c r="AA442" i="55" s="1"/>
  <c r="AA441" i="55" s="1"/>
  <c r="AA440" i="55" s="1"/>
  <c r="AA439" i="55" s="1"/>
  <c r="AA438" i="55" s="1"/>
  <c r="AA437" i="55" s="1"/>
  <c r="AA436" i="55" s="1"/>
  <c r="AA435" i="55" s="1"/>
  <c r="AA434" i="55" s="1"/>
  <c r="AA433" i="55" s="1"/>
  <c r="AA432" i="55" s="1"/>
  <c r="AA431" i="55" s="1"/>
  <c r="AA430" i="55" s="1"/>
  <c r="AA429" i="55" s="1"/>
  <c r="AA428" i="55" s="1"/>
  <c r="AA427" i="55" s="1"/>
  <c r="AA426" i="55" s="1"/>
  <c r="AA425" i="55" s="1"/>
  <c r="AA424" i="55" s="1"/>
  <c r="AA423" i="55" s="1"/>
  <c r="AA422" i="55" s="1"/>
  <c r="AA421" i="55" s="1"/>
  <c r="AA420" i="55" s="1"/>
  <c r="AA419" i="55" s="1"/>
  <c r="AA418" i="55" s="1"/>
  <c r="AA417" i="55" s="1"/>
  <c r="AA416" i="55" s="1"/>
  <c r="AA415" i="55" s="1"/>
  <c r="AA414" i="55" s="1"/>
  <c r="AA413" i="55" s="1"/>
  <c r="AA412" i="55" s="1"/>
  <c r="AA411" i="55" s="1"/>
  <c r="AA410" i="55" s="1"/>
  <c r="AA409" i="55" s="1"/>
  <c r="AA408" i="55" s="1"/>
  <c r="AA407" i="55" s="1"/>
  <c r="AA406" i="55" s="1"/>
  <c r="AA405" i="55" s="1"/>
  <c r="AA404" i="55" s="1"/>
  <c r="AA403" i="55" s="1"/>
  <c r="AA402" i="55" s="1"/>
  <c r="AA401" i="55" s="1"/>
  <c r="AA400" i="55" s="1"/>
  <c r="AA399" i="55" s="1"/>
  <c r="AA398" i="55" s="1"/>
  <c r="AA397" i="55" s="1"/>
  <c r="AA396" i="55" s="1"/>
  <c r="AA395" i="55" s="1"/>
  <c r="AA394" i="55" s="1"/>
  <c r="AA393" i="55" s="1"/>
  <c r="AA392" i="55" s="1"/>
  <c r="AA391" i="55" s="1"/>
  <c r="AA390" i="55" s="1"/>
  <c r="AA389" i="55" s="1"/>
  <c r="AA388" i="55" s="1"/>
  <c r="AA387" i="55" s="1"/>
  <c r="AA386" i="55" s="1"/>
  <c r="AA385" i="55" s="1"/>
  <c r="AA384" i="55" s="1"/>
  <c r="AA383" i="55" s="1"/>
  <c r="AA382" i="55" s="1"/>
  <c r="AA381" i="55" s="1"/>
  <c r="AA380" i="55" s="1"/>
  <c r="AA379" i="55" s="1"/>
  <c r="AA378" i="55" s="1"/>
  <c r="AA377" i="55" s="1"/>
  <c r="AA376" i="55" s="1"/>
  <c r="AA375" i="55" s="1"/>
  <c r="AA374" i="55" s="1"/>
  <c r="AA373" i="55" s="1"/>
  <c r="AA372" i="55" s="1"/>
  <c r="AA371" i="55" s="1"/>
  <c r="AA370" i="55" s="1"/>
  <c r="AA369" i="55" s="1"/>
  <c r="AA368" i="55" s="1"/>
  <c r="AA367" i="55" s="1"/>
  <c r="AA366" i="55" s="1"/>
  <c r="AA365" i="55" s="1"/>
  <c r="AA364" i="55" s="1"/>
  <c r="AA363" i="55" s="1"/>
  <c r="AA362" i="55" s="1"/>
  <c r="AA361" i="55" s="1"/>
  <c r="AA360" i="55" s="1"/>
  <c r="AA359" i="55" s="1"/>
  <c r="AA358" i="55" s="1"/>
  <c r="AA357" i="55" s="1"/>
  <c r="AA356" i="55" s="1"/>
  <c r="AA355" i="55" s="1"/>
  <c r="AA354" i="55" s="1"/>
  <c r="AA353" i="55" s="1"/>
  <c r="AA352" i="55" s="1"/>
  <c r="AA351" i="55" s="1"/>
  <c r="AA350" i="55" s="1"/>
  <c r="AA349" i="55" s="1"/>
  <c r="AA348" i="55" s="1"/>
  <c r="AA347" i="55" s="1"/>
  <c r="AA346" i="55" s="1"/>
  <c r="AA345" i="55" s="1"/>
  <c r="AA344" i="55" s="1"/>
  <c r="AA343" i="55" s="1"/>
  <c r="AA342" i="55" s="1"/>
  <c r="AA341" i="55" s="1"/>
  <c r="AA340" i="55" s="1"/>
  <c r="AA339" i="55" s="1"/>
  <c r="AA338" i="55" s="1"/>
  <c r="AA337" i="55" s="1"/>
  <c r="AA336" i="55" s="1"/>
  <c r="AA335" i="55" s="1"/>
  <c r="AA334" i="55" s="1"/>
  <c r="AA333" i="55" s="1"/>
  <c r="AA332" i="55" s="1"/>
  <c r="AA331" i="55" s="1"/>
  <c r="AA330" i="55" s="1"/>
  <c r="AA329" i="55" s="1"/>
  <c r="AA328" i="55" s="1"/>
  <c r="AA327" i="55" s="1"/>
  <c r="AA326" i="55" s="1"/>
  <c r="AA325" i="55" s="1"/>
  <c r="AA324" i="55" s="1"/>
  <c r="AA323" i="55" s="1"/>
  <c r="AA322" i="55" s="1"/>
  <c r="AA321" i="55" s="1"/>
  <c r="AA320" i="55" s="1"/>
  <c r="AA319" i="55" s="1"/>
  <c r="AA318" i="55" s="1"/>
  <c r="AA317" i="55" s="1"/>
  <c r="AA316" i="55" s="1"/>
  <c r="AA315" i="55" s="1"/>
  <c r="AA314" i="55" s="1"/>
  <c r="AA313" i="55" s="1"/>
  <c r="AA312" i="55" s="1"/>
  <c r="AA311" i="55" s="1"/>
  <c r="AA310" i="55" s="1"/>
  <c r="AA309" i="55" s="1"/>
  <c r="AA308" i="55" s="1"/>
  <c r="AA307" i="55" s="1"/>
  <c r="AA306" i="55" s="1"/>
  <c r="AA305" i="55" s="1"/>
  <c r="AA304" i="55" s="1"/>
  <c r="AA303" i="55" s="1"/>
  <c r="AA302" i="55" s="1"/>
  <c r="AA301" i="55" s="1"/>
  <c r="AA300" i="55" s="1"/>
  <c r="AA299" i="55" s="1"/>
  <c r="AA298" i="55" s="1"/>
  <c r="AA297" i="55" s="1"/>
  <c r="AA296" i="55" s="1"/>
  <c r="AA295" i="55" s="1"/>
  <c r="AA294" i="55" s="1"/>
  <c r="AA293" i="55" s="1"/>
  <c r="AA292" i="55" s="1"/>
  <c r="AA291" i="55" s="1"/>
  <c r="AA290" i="55" s="1"/>
  <c r="AA289" i="55" s="1"/>
  <c r="AA288" i="55" s="1"/>
  <c r="AA287" i="55" s="1"/>
  <c r="AA286" i="55" s="1"/>
  <c r="AA285" i="55" s="1"/>
  <c r="AA284" i="55" s="1"/>
  <c r="AA283" i="55" s="1"/>
  <c r="AA282" i="55" s="1"/>
  <c r="AA281" i="55" s="1"/>
  <c r="AA280" i="55" s="1"/>
  <c r="AA279" i="55" s="1"/>
  <c r="AA278" i="55" s="1"/>
  <c r="AA277" i="55" s="1"/>
  <c r="AA276" i="55" s="1"/>
  <c r="AA275" i="55" s="1"/>
  <c r="AA274" i="55" s="1"/>
  <c r="AA273" i="55" s="1"/>
  <c r="AA272" i="55" s="1"/>
  <c r="AA271" i="55" s="1"/>
  <c r="AA270" i="55" s="1"/>
  <c r="AA269" i="55" s="1"/>
  <c r="AA268" i="55" s="1"/>
  <c r="AA267" i="55" s="1"/>
  <c r="AA266" i="55" s="1"/>
  <c r="AA265" i="55" s="1"/>
  <c r="AA264" i="55" s="1"/>
  <c r="AA263" i="55" s="1"/>
  <c r="AA262" i="55" s="1"/>
  <c r="AA261" i="55" s="1"/>
  <c r="AA260" i="55" s="1"/>
  <c r="AA259" i="55" s="1"/>
  <c r="AA258" i="55" s="1"/>
  <c r="AA257" i="55" s="1"/>
  <c r="AA256" i="55" s="1"/>
  <c r="AA255" i="55" s="1"/>
  <c r="AA254" i="55" s="1"/>
  <c r="AA253" i="55" s="1"/>
  <c r="AA252" i="55" s="1"/>
  <c r="AA251" i="55" s="1"/>
  <c r="AA250" i="55" s="1"/>
  <c r="AA249" i="55" s="1"/>
  <c r="AA248" i="55" s="1"/>
  <c r="AA247" i="55" s="1"/>
  <c r="AA246" i="55" s="1"/>
  <c r="AA245" i="55" s="1"/>
  <c r="AA244" i="55" s="1"/>
  <c r="AA243" i="55" s="1"/>
  <c r="AA242" i="55" s="1"/>
  <c r="AA241" i="55" s="1"/>
  <c r="AA240" i="55" s="1"/>
  <c r="AA239" i="55" s="1"/>
  <c r="AA238" i="55" s="1"/>
  <c r="AA237" i="55" s="1"/>
  <c r="AA236" i="55" s="1"/>
  <c r="AA235" i="55" s="1"/>
  <c r="AA234" i="55" s="1"/>
  <c r="AA233" i="55" s="1"/>
  <c r="AA232" i="55" s="1"/>
  <c r="AA231" i="55" s="1"/>
  <c r="AA230" i="55" s="1"/>
  <c r="AA229" i="55" s="1"/>
  <c r="AA228" i="55" s="1"/>
  <c r="AA227" i="55" s="1"/>
  <c r="AA226" i="55" s="1"/>
  <c r="AA225" i="55" s="1"/>
  <c r="AA224" i="55" s="1"/>
  <c r="AA223" i="55" s="1"/>
  <c r="AA222" i="55" s="1"/>
  <c r="AA221" i="55" s="1"/>
  <c r="AA220" i="55" s="1"/>
  <c r="AA219" i="55" s="1"/>
  <c r="AA218" i="55" s="1"/>
  <c r="AA217" i="55" s="1"/>
  <c r="AA216" i="55" s="1"/>
  <c r="AA215" i="55" s="1"/>
  <c r="AA214" i="55" s="1"/>
  <c r="AA213" i="55" s="1"/>
  <c r="AA212" i="55" s="1"/>
  <c r="AA211" i="55" s="1"/>
  <c r="AA210" i="55" s="1"/>
  <c r="AA209" i="55" s="1"/>
  <c r="AA208" i="55" s="1"/>
  <c r="AA207" i="55" s="1"/>
  <c r="AA206" i="55" s="1"/>
  <c r="AA205" i="55" s="1"/>
  <c r="AA204" i="55" s="1"/>
  <c r="AA203" i="55" s="1"/>
  <c r="AA202" i="55" s="1"/>
  <c r="AA201" i="55" s="1"/>
  <c r="AA200" i="55" s="1"/>
  <c r="AA199" i="55" s="1"/>
  <c r="AA198" i="55" s="1"/>
  <c r="AA197" i="55" s="1"/>
  <c r="AA196" i="55" s="1"/>
  <c r="AA195" i="55" s="1"/>
  <c r="AA194" i="55" s="1"/>
  <c r="AA193" i="55" s="1"/>
  <c r="AA192" i="55" s="1"/>
  <c r="AA191" i="55" s="1"/>
  <c r="AA190" i="55" s="1"/>
  <c r="AA189" i="55" s="1"/>
  <c r="AA188" i="55" s="1"/>
  <c r="AA187" i="55" s="1"/>
  <c r="AA186" i="55" s="1"/>
  <c r="AA185" i="55" s="1"/>
  <c r="AA184" i="55" s="1"/>
  <c r="AA183" i="55" s="1"/>
  <c r="AA182" i="55" s="1"/>
  <c r="AA181" i="55" s="1"/>
  <c r="AA180" i="55" s="1"/>
  <c r="AA179" i="55" s="1"/>
  <c r="AA178" i="55" s="1"/>
  <c r="AA177" i="55" s="1"/>
  <c r="AA176" i="55" s="1"/>
  <c r="AA175" i="55" s="1"/>
  <c r="AA174" i="55" s="1"/>
  <c r="AA173" i="55" s="1"/>
  <c r="AA172" i="55" s="1"/>
  <c r="AA171" i="55" s="1"/>
  <c r="AA170" i="55" s="1"/>
  <c r="AA169" i="55" s="1"/>
  <c r="AA168" i="55" s="1"/>
  <c r="AA167" i="55" s="1"/>
  <c r="AA166" i="55" s="1"/>
  <c r="AA165" i="55" s="1"/>
  <c r="AA164" i="55" s="1"/>
  <c r="AA163" i="55" s="1"/>
  <c r="AA162" i="55" s="1"/>
  <c r="AA161" i="55" s="1"/>
  <c r="AA160" i="55" s="1"/>
  <c r="AA159" i="55" s="1"/>
  <c r="AA158" i="55" s="1"/>
  <c r="AA157" i="55" s="1"/>
  <c r="AA156" i="55" s="1"/>
  <c r="AA155" i="55" s="1"/>
  <c r="AA154" i="55" s="1"/>
  <c r="AA153" i="55" s="1"/>
  <c r="AA152" i="55" s="1"/>
  <c r="AA151" i="55" s="1"/>
  <c r="AA150" i="55" s="1"/>
  <c r="AA149" i="55" s="1"/>
  <c r="AA148" i="55" s="1"/>
  <c r="AA147" i="55" s="1"/>
  <c r="AA146" i="55" s="1"/>
  <c r="AA145" i="55" s="1"/>
  <c r="AA144" i="55" s="1"/>
  <c r="AA143" i="55" s="1"/>
  <c r="AA142" i="55" s="1"/>
  <c r="AA141" i="55" s="1"/>
  <c r="AA140" i="55" s="1"/>
  <c r="AA139" i="55" s="1"/>
  <c r="AA138" i="55" s="1"/>
  <c r="AA137" i="55" s="1"/>
  <c r="AA136" i="55" s="1"/>
  <c r="AA135" i="55" s="1"/>
  <c r="AA134" i="55" s="1"/>
  <c r="AA133" i="55" s="1"/>
  <c r="AA132" i="55" s="1"/>
  <c r="AA131" i="55" s="1"/>
  <c r="AA130" i="55" s="1"/>
  <c r="AA129" i="55" s="1"/>
  <c r="AA128" i="55" s="1"/>
  <c r="AA127" i="55" s="1"/>
  <c r="AA126" i="55" s="1"/>
  <c r="AA125" i="55" s="1"/>
  <c r="AA124" i="55" s="1"/>
  <c r="AA123" i="55" s="1"/>
  <c r="AA122" i="55" s="1"/>
  <c r="AA121" i="55" s="1"/>
  <c r="AA120" i="55" s="1"/>
  <c r="AA119" i="55" s="1"/>
  <c r="AA118" i="55" s="1"/>
  <c r="AA117" i="55" s="1"/>
  <c r="AA116" i="55" s="1"/>
  <c r="AA115" i="55" s="1"/>
  <c r="AA114" i="55" s="1"/>
  <c r="AA113" i="55" s="1"/>
  <c r="AA112" i="55" s="1"/>
  <c r="AA111" i="55" s="1"/>
  <c r="AA110" i="55" s="1"/>
  <c r="AA109" i="55" s="1"/>
  <c r="AA108" i="55" s="1"/>
  <c r="AA107" i="55" s="1"/>
  <c r="AA106" i="55" s="1"/>
  <c r="AA105" i="55" s="1"/>
  <c r="AA104" i="55" s="1"/>
  <c r="AA103" i="55" s="1"/>
  <c r="AA102" i="55" s="1"/>
  <c r="AA101" i="55" s="1"/>
  <c r="AA100" i="55" s="1"/>
  <c r="AA99" i="55" s="1"/>
  <c r="AA98" i="55" s="1"/>
  <c r="AA97" i="55" s="1"/>
  <c r="AA96" i="55" s="1"/>
  <c r="AA95" i="55" s="1"/>
  <c r="AA94" i="55" s="1"/>
  <c r="AA93" i="55" s="1"/>
  <c r="AA92" i="55" s="1"/>
  <c r="AA91" i="55" s="1"/>
  <c r="AA90" i="55" s="1"/>
  <c r="AA89" i="55" s="1"/>
  <c r="AA88" i="55" s="1"/>
  <c r="AA87" i="55" s="1"/>
  <c r="AA86" i="55" s="1"/>
  <c r="AA85" i="55" s="1"/>
  <c r="AA84" i="55" s="1"/>
  <c r="AA83" i="55" s="1"/>
  <c r="AA82" i="55" s="1"/>
  <c r="AA81" i="55" s="1"/>
  <c r="AA80" i="55" s="1"/>
  <c r="AA79" i="55" s="1"/>
  <c r="AA78" i="55" s="1"/>
  <c r="AA77" i="55" s="1"/>
  <c r="AA76" i="55" s="1"/>
  <c r="AA75" i="55" s="1"/>
  <c r="AA74" i="55" s="1"/>
  <c r="AA73" i="55" s="1"/>
  <c r="AA72" i="55" s="1"/>
  <c r="AA71" i="55" s="1"/>
  <c r="AA70" i="55" s="1"/>
  <c r="AA69" i="55" s="1"/>
  <c r="AA68" i="55" s="1"/>
  <c r="AA67" i="55" s="1"/>
  <c r="AA66" i="55" s="1"/>
  <c r="AA65" i="55" s="1"/>
  <c r="AA64" i="55" s="1"/>
  <c r="AA63" i="55" s="1"/>
  <c r="AA62" i="55" s="1"/>
  <c r="AA61" i="55" s="1"/>
  <c r="AA60" i="55" s="1"/>
  <c r="AA59" i="55" s="1"/>
  <c r="AA58" i="55" s="1"/>
  <c r="AA57" i="55" s="1"/>
  <c r="AA56" i="55" s="1"/>
  <c r="AA55" i="55" s="1"/>
  <c r="AA54" i="55" s="1"/>
  <c r="AA53" i="55" s="1"/>
  <c r="AA52" i="55" s="1"/>
  <c r="AA51" i="55" s="1"/>
  <c r="AA50" i="55" s="1"/>
  <c r="AA49" i="55" s="1"/>
  <c r="AA48" i="55" s="1"/>
  <c r="AA47" i="55" s="1"/>
  <c r="AA46" i="55" s="1"/>
  <c r="AA45" i="55" s="1"/>
  <c r="AA44" i="55" s="1"/>
  <c r="AA43" i="55" s="1"/>
  <c r="AA42" i="55" s="1"/>
  <c r="AA41" i="55" s="1"/>
  <c r="AA40" i="55" s="1"/>
  <c r="AA39" i="55" s="1"/>
  <c r="AA38" i="55" s="1"/>
  <c r="AA37" i="55" s="1"/>
  <c r="AA36" i="55" s="1"/>
  <c r="AA35" i="55" s="1"/>
  <c r="AA34" i="55" s="1"/>
  <c r="AA33" i="55" s="1"/>
  <c r="AA32" i="55" s="1"/>
  <c r="AA31" i="55" s="1"/>
  <c r="AA30" i="55" s="1"/>
  <c r="AA29" i="55" s="1"/>
  <c r="AA28" i="55" s="1"/>
  <c r="AA27" i="55" s="1"/>
  <c r="AA26" i="55" s="1"/>
  <c r="AA25" i="55" s="1"/>
  <c r="AA24" i="55" s="1"/>
  <c r="AA23" i="55" s="1"/>
  <c r="AA22" i="55" s="1"/>
  <c r="AA21" i="55" s="1"/>
  <c r="AA20" i="55" s="1"/>
  <c r="AA19" i="55" s="1"/>
  <c r="AA18" i="55" s="1"/>
  <c r="AA17" i="55" s="1"/>
  <c r="AA16" i="55" s="1"/>
  <c r="AA15" i="55" s="1"/>
  <c r="AA14" i="55" s="1"/>
  <c r="AA13" i="55" s="1"/>
  <c r="AA12" i="55" s="1"/>
  <c r="AA11" i="55" s="1"/>
  <c r="AA10" i="55" s="1"/>
  <c r="AA9" i="55" s="1"/>
  <c r="AA8" i="55" s="1"/>
  <c r="AA7" i="55" s="1"/>
  <c r="AA6" i="55" s="1"/>
  <c r="AA5" i="55" s="1"/>
  <c r="R1444" i="55"/>
  <c r="R1443" i="55"/>
  <c r="R1442" i="55"/>
  <c r="R1441" i="55"/>
  <c r="R1440" i="55"/>
  <c r="R1439" i="55"/>
  <c r="R1438" i="55"/>
  <c r="R1437" i="55"/>
  <c r="R1436" i="55"/>
  <c r="R1435" i="55"/>
  <c r="R1434" i="55"/>
  <c r="R1433" i="55"/>
  <c r="R1432" i="55"/>
  <c r="R1431" i="55"/>
  <c r="R1430" i="55"/>
  <c r="R1429" i="55"/>
  <c r="R1428" i="55"/>
  <c r="R1427" i="55"/>
  <c r="R1426" i="55"/>
  <c r="R1425" i="55"/>
  <c r="R1424" i="55"/>
  <c r="R1423" i="55"/>
  <c r="R1422" i="55"/>
  <c r="R1421" i="55"/>
  <c r="R1420" i="55"/>
  <c r="R1419" i="55"/>
  <c r="R1418" i="55"/>
  <c r="R1417" i="55"/>
  <c r="R1416" i="55"/>
  <c r="R1415" i="55"/>
  <c r="R1414" i="55"/>
  <c r="R1413" i="55"/>
  <c r="R1412" i="55"/>
  <c r="R1411" i="55"/>
  <c r="R1410" i="55"/>
  <c r="R1409" i="55"/>
  <c r="R1408" i="55"/>
  <c r="R1407" i="55"/>
  <c r="R1406" i="55"/>
  <c r="R1405" i="55"/>
  <c r="R1404" i="55"/>
  <c r="R1403" i="55"/>
  <c r="R1402" i="55"/>
  <c r="R1401" i="55"/>
  <c r="R1400" i="55"/>
  <c r="R1399" i="55"/>
  <c r="R1398" i="55"/>
  <c r="R1397" i="55"/>
  <c r="R1396" i="55"/>
  <c r="R1395" i="55"/>
  <c r="R1394" i="55"/>
  <c r="R1393" i="55"/>
  <c r="R1392" i="55"/>
  <c r="R1391" i="55"/>
  <c r="R1390" i="55"/>
  <c r="R1389" i="55"/>
  <c r="R1388" i="55"/>
  <c r="R1387" i="55"/>
  <c r="R1386" i="55"/>
  <c r="R1385" i="55"/>
  <c r="R1384" i="55"/>
  <c r="R1383" i="55"/>
  <c r="R1382" i="55"/>
  <c r="R1381" i="55"/>
  <c r="R1380" i="55"/>
  <c r="R1379" i="55"/>
  <c r="R1378" i="55"/>
  <c r="R1377" i="55"/>
  <c r="R1376" i="55"/>
  <c r="R1375" i="55"/>
  <c r="R1374" i="55"/>
  <c r="R1373" i="55"/>
  <c r="R1372" i="55"/>
  <c r="R1371" i="55"/>
  <c r="R1370" i="55"/>
  <c r="R1369" i="55"/>
  <c r="R1368" i="55"/>
  <c r="R1367" i="55"/>
  <c r="R1366" i="55"/>
  <c r="R1365" i="55"/>
  <c r="R1364" i="55"/>
  <c r="R1363" i="55"/>
  <c r="R1362" i="55"/>
  <c r="R1361" i="55"/>
  <c r="R1360" i="55"/>
  <c r="R1359" i="55"/>
  <c r="R1358" i="55"/>
  <c r="R1357" i="55"/>
  <c r="R1356" i="55"/>
  <c r="R1355" i="55"/>
  <c r="R1354" i="55"/>
  <c r="R1353" i="55"/>
  <c r="R1352" i="55"/>
  <c r="R1351" i="55"/>
  <c r="R1350" i="55"/>
  <c r="R1349" i="55"/>
  <c r="R1348" i="55"/>
  <c r="R1347" i="55"/>
  <c r="R1346" i="55"/>
  <c r="R1345" i="55"/>
  <c r="R1344" i="55"/>
  <c r="R1343" i="55"/>
  <c r="R1342" i="55"/>
  <c r="R1341" i="55"/>
  <c r="R1340" i="55"/>
  <c r="R1339" i="55"/>
  <c r="R1338" i="55"/>
  <c r="R1337" i="55"/>
  <c r="R1336" i="55"/>
  <c r="R1335" i="55"/>
  <c r="R1334" i="55"/>
  <c r="R1333" i="55"/>
  <c r="R1332" i="55"/>
  <c r="R1331" i="55"/>
  <c r="R1330" i="55"/>
  <c r="R1329" i="55"/>
  <c r="R1328" i="55"/>
  <c r="R1327" i="55"/>
  <c r="R1326" i="55"/>
  <c r="R1325" i="55"/>
  <c r="R1324" i="55"/>
  <c r="R1323" i="55"/>
  <c r="R1322" i="55"/>
  <c r="R1321" i="55"/>
  <c r="R1320" i="55"/>
  <c r="R1319" i="55"/>
  <c r="R1318" i="55"/>
  <c r="R1317" i="55"/>
  <c r="R1316" i="55"/>
  <c r="R1315" i="55"/>
  <c r="R1314" i="55"/>
  <c r="R1313" i="55"/>
  <c r="R1312" i="55"/>
  <c r="R1311" i="55"/>
  <c r="R1310" i="55"/>
  <c r="R1309" i="55"/>
  <c r="R1308" i="55"/>
  <c r="R1307" i="55"/>
  <c r="R1306" i="55"/>
  <c r="R1305" i="55"/>
  <c r="R1304" i="55"/>
  <c r="R1303" i="55"/>
  <c r="R1302" i="55"/>
  <c r="R1301" i="55"/>
  <c r="R1300" i="55"/>
  <c r="R1299" i="55"/>
  <c r="R1298" i="55"/>
  <c r="R1297" i="55"/>
  <c r="R1296" i="55"/>
  <c r="R1295" i="55"/>
  <c r="R1294" i="55"/>
  <c r="R1293" i="55"/>
  <c r="R1292" i="55"/>
  <c r="R1291" i="55"/>
  <c r="R1290" i="55"/>
  <c r="R1289" i="55"/>
  <c r="R1288" i="55"/>
  <c r="R1287" i="55"/>
  <c r="R1286" i="55"/>
  <c r="R1285" i="55"/>
  <c r="R1284" i="55"/>
  <c r="R1283" i="55"/>
  <c r="R1282" i="55"/>
  <c r="R1281" i="55"/>
  <c r="R1280" i="55"/>
  <c r="R1279" i="55"/>
  <c r="R1278" i="55"/>
  <c r="R1277" i="55"/>
  <c r="R1276" i="55"/>
  <c r="R1275" i="55"/>
  <c r="R1274" i="55"/>
  <c r="R1273" i="55"/>
  <c r="R1272" i="55"/>
  <c r="R1271" i="55"/>
  <c r="R1270" i="55"/>
  <c r="R1269" i="55"/>
  <c r="R1268" i="55"/>
  <c r="R1267" i="55"/>
  <c r="R1266" i="55"/>
  <c r="R1265" i="55"/>
  <c r="R1264" i="55"/>
  <c r="R1263" i="55"/>
  <c r="R1262" i="55"/>
  <c r="R1261" i="55"/>
  <c r="R1260" i="55"/>
  <c r="R1259" i="55"/>
  <c r="R1258" i="55"/>
  <c r="R1257" i="55"/>
  <c r="R1256" i="55"/>
  <c r="R1255" i="55"/>
  <c r="R1254" i="55"/>
  <c r="R1253" i="55"/>
  <c r="R1252" i="55"/>
  <c r="R1251" i="55"/>
  <c r="R1250" i="55"/>
  <c r="R1249" i="55"/>
  <c r="R1248" i="55"/>
  <c r="R1247" i="55"/>
  <c r="R1246" i="55"/>
  <c r="R1245" i="55"/>
  <c r="R1244" i="55"/>
  <c r="R1243" i="55"/>
  <c r="R1242" i="55"/>
  <c r="R1241" i="55"/>
  <c r="R1240" i="55"/>
  <c r="R1239" i="55"/>
  <c r="R1238" i="55"/>
  <c r="R1237" i="55"/>
  <c r="R1236" i="55"/>
  <c r="R1235" i="55"/>
  <c r="R1234" i="55"/>
  <c r="R1233" i="55"/>
  <c r="R1232" i="55"/>
  <c r="R1231" i="55"/>
  <c r="R1230" i="55"/>
  <c r="R1229" i="55"/>
  <c r="R1228" i="55"/>
  <c r="R1227" i="55"/>
  <c r="R1226" i="55"/>
  <c r="R1225" i="55"/>
  <c r="R1224" i="55"/>
  <c r="R1223" i="55"/>
  <c r="R1222" i="55"/>
  <c r="R1221" i="55"/>
  <c r="R1220" i="55"/>
  <c r="R1219" i="55"/>
  <c r="R1218" i="55"/>
  <c r="R1217" i="55"/>
  <c r="R1216" i="55"/>
  <c r="R1215" i="55"/>
  <c r="R1214" i="55"/>
  <c r="R1213" i="55"/>
  <c r="R1212" i="55"/>
  <c r="R1211" i="55"/>
  <c r="R1210" i="55"/>
  <c r="R1209" i="55"/>
  <c r="R1208" i="55"/>
  <c r="R1207" i="55"/>
  <c r="R1206" i="55"/>
  <c r="R1205" i="55"/>
  <c r="R1204" i="55"/>
  <c r="R1203" i="55"/>
  <c r="R1202" i="55"/>
  <c r="R1201" i="55"/>
  <c r="R1200" i="55"/>
  <c r="R1199" i="55"/>
  <c r="R1198" i="55"/>
  <c r="R1197" i="55"/>
  <c r="R1196" i="55"/>
  <c r="R1195" i="55"/>
  <c r="R1194" i="55"/>
  <c r="R1193" i="55"/>
  <c r="R1192" i="55"/>
  <c r="R1191" i="55"/>
  <c r="R1190" i="55"/>
  <c r="R1189" i="55"/>
  <c r="R1188" i="55"/>
  <c r="R1187" i="55"/>
  <c r="R1186" i="55"/>
  <c r="R1185" i="55"/>
  <c r="R1184" i="55"/>
  <c r="R1183" i="55"/>
  <c r="R1182" i="55"/>
  <c r="R1181" i="55"/>
  <c r="R1180" i="55"/>
  <c r="R1179" i="55"/>
  <c r="R1178" i="55"/>
  <c r="R1177" i="55"/>
  <c r="R1176" i="55"/>
  <c r="R1175" i="55"/>
  <c r="R1174" i="55"/>
  <c r="R1173" i="55"/>
  <c r="R1172" i="55"/>
  <c r="R1171" i="55"/>
  <c r="R1170" i="55"/>
  <c r="R1169" i="55"/>
  <c r="R1168" i="55"/>
  <c r="R1167" i="55"/>
  <c r="R1166" i="55"/>
  <c r="R1165" i="55"/>
  <c r="R1164" i="55"/>
  <c r="R1163" i="55"/>
  <c r="R1162" i="55"/>
  <c r="R1161" i="55"/>
  <c r="R1160" i="55"/>
  <c r="R1159" i="55"/>
  <c r="R1158" i="55"/>
  <c r="R1157" i="55"/>
  <c r="R1156" i="55"/>
  <c r="R1155" i="55"/>
  <c r="R1154" i="55"/>
  <c r="R1153" i="55"/>
  <c r="R1152" i="55"/>
  <c r="R1151" i="55"/>
  <c r="R1150" i="55"/>
  <c r="R1149" i="55"/>
  <c r="R1148" i="55"/>
  <c r="R1147" i="55"/>
  <c r="R1146" i="55"/>
  <c r="R1145" i="55"/>
  <c r="R1144" i="55"/>
  <c r="R1143" i="55"/>
  <c r="R1142" i="55"/>
  <c r="R1141" i="55"/>
  <c r="R1140" i="55"/>
  <c r="R1139" i="55"/>
  <c r="R1138" i="55"/>
  <c r="R1137" i="55"/>
  <c r="R1136" i="55"/>
  <c r="R1135" i="55"/>
  <c r="R1134" i="55"/>
  <c r="R1133" i="55"/>
  <c r="R1132" i="55"/>
  <c r="R1131" i="55"/>
  <c r="R1130" i="55"/>
  <c r="R1129" i="55"/>
  <c r="R1128" i="55"/>
  <c r="R1127" i="55"/>
  <c r="R1126" i="55"/>
  <c r="R1125" i="55"/>
  <c r="R1124" i="55"/>
  <c r="R1123" i="55"/>
  <c r="R1122" i="55"/>
  <c r="R1121" i="55"/>
  <c r="R1120" i="55"/>
  <c r="R1119" i="55"/>
  <c r="R1118" i="55"/>
  <c r="R1117" i="55"/>
  <c r="R1116" i="55"/>
  <c r="R1115" i="55"/>
  <c r="R1114" i="55"/>
  <c r="R1113" i="55"/>
  <c r="R1112" i="55"/>
  <c r="R1111" i="55"/>
  <c r="R1110" i="55"/>
  <c r="R1109" i="55"/>
  <c r="R1108" i="55"/>
  <c r="R1107" i="55"/>
  <c r="R1106" i="55"/>
  <c r="R1105" i="55"/>
  <c r="R1104" i="55"/>
  <c r="R1103" i="55"/>
  <c r="R1102" i="55"/>
  <c r="R1101" i="55"/>
  <c r="R1100" i="55"/>
  <c r="R1099" i="55"/>
  <c r="R1098" i="55"/>
  <c r="R1097" i="55"/>
  <c r="R1096" i="55"/>
  <c r="R1095" i="55"/>
  <c r="R1094" i="55"/>
  <c r="R1093" i="55"/>
  <c r="R1092" i="55"/>
  <c r="R1091" i="55"/>
  <c r="R1090" i="55"/>
  <c r="R1089" i="55"/>
  <c r="R1088" i="55"/>
  <c r="R1087" i="55"/>
  <c r="R1086" i="55"/>
  <c r="R1085" i="55"/>
  <c r="R1084" i="55"/>
  <c r="R1083" i="55"/>
  <c r="R1082" i="55"/>
  <c r="R1081" i="55"/>
  <c r="R1080" i="55"/>
  <c r="R1079" i="55"/>
  <c r="R1078" i="55"/>
  <c r="R1077" i="55"/>
  <c r="R1076" i="55"/>
  <c r="R1075" i="55"/>
  <c r="R1074" i="55"/>
  <c r="R1073" i="55"/>
  <c r="R1072" i="55"/>
  <c r="R1071" i="55"/>
  <c r="R1070" i="55"/>
  <c r="R1069" i="55"/>
  <c r="R1068" i="55"/>
  <c r="R1067" i="55"/>
  <c r="R1066" i="55"/>
  <c r="R1065" i="55"/>
  <c r="R1064" i="55"/>
  <c r="R1063" i="55"/>
  <c r="R1062" i="55"/>
  <c r="R1061" i="55"/>
  <c r="R1060" i="55"/>
  <c r="R1059" i="55"/>
  <c r="R1058" i="55"/>
  <c r="R1057" i="55"/>
  <c r="R1056" i="55"/>
  <c r="R1055" i="55"/>
  <c r="R1054" i="55"/>
  <c r="R1053" i="55"/>
  <c r="R1052" i="55"/>
  <c r="R1051" i="55"/>
  <c r="R1050" i="55"/>
  <c r="R1049" i="55"/>
  <c r="R1048" i="55"/>
  <c r="R1047" i="55"/>
  <c r="R1046" i="55"/>
  <c r="R1045" i="55"/>
  <c r="R1044" i="55"/>
  <c r="R1043" i="55"/>
  <c r="R1042" i="55"/>
  <c r="R1041" i="55"/>
  <c r="R1040" i="55"/>
  <c r="R1039" i="55"/>
  <c r="R1038" i="55"/>
  <c r="R1037" i="55"/>
  <c r="R1036" i="55"/>
  <c r="R1035" i="55"/>
  <c r="R1034" i="55"/>
  <c r="R1033" i="55"/>
  <c r="R1032" i="55"/>
  <c r="R1031" i="55"/>
  <c r="R1030" i="55"/>
  <c r="R1029" i="55"/>
  <c r="R1028" i="55"/>
  <c r="R1027" i="55"/>
  <c r="R1026" i="55"/>
  <c r="R1025" i="55"/>
  <c r="R1024" i="55"/>
  <c r="R1023" i="55"/>
  <c r="R1022" i="55"/>
  <c r="R1021" i="55"/>
  <c r="R1020" i="55"/>
  <c r="R1019" i="55"/>
  <c r="R1018" i="55"/>
  <c r="R1017" i="55"/>
  <c r="R1016" i="55"/>
  <c r="R1015" i="55"/>
  <c r="R1014" i="55"/>
  <c r="R1013" i="55"/>
  <c r="R1012" i="55"/>
  <c r="R1011" i="55"/>
  <c r="R1010" i="55"/>
  <c r="R1009" i="55"/>
  <c r="R1008" i="55"/>
  <c r="R1007" i="55"/>
  <c r="R1006" i="55"/>
  <c r="R1005" i="55"/>
  <c r="R1004" i="55"/>
  <c r="R1003" i="55"/>
  <c r="R1002" i="55"/>
  <c r="R1001" i="55"/>
  <c r="R1000" i="55"/>
  <c r="R999" i="55"/>
  <c r="R998" i="55"/>
  <c r="R997" i="55"/>
  <c r="R996" i="55"/>
  <c r="R995" i="55"/>
  <c r="R994" i="55"/>
  <c r="R993" i="55"/>
  <c r="R992" i="55"/>
  <c r="R991" i="55"/>
  <c r="R990" i="55"/>
  <c r="R989" i="55"/>
  <c r="R988" i="55"/>
  <c r="R987" i="55"/>
  <c r="R986" i="55"/>
  <c r="R985" i="55"/>
  <c r="R984" i="55"/>
  <c r="R983" i="55"/>
  <c r="R982" i="55"/>
  <c r="R981" i="55"/>
  <c r="R980" i="55"/>
  <c r="R979" i="55"/>
  <c r="R978" i="55"/>
  <c r="R977" i="55"/>
  <c r="R976" i="55"/>
  <c r="R975" i="55"/>
  <c r="R974" i="55"/>
  <c r="R973" i="55"/>
  <c r="R972" i="55"/>
  <c r="R971" i="55"/>
  <c r="R970" i="55"/>
  <c r="R969" i="55"/>
  <c r="R968" i="55"/>
  <c r="R967" i="55"/>
  <c r="R966" i="55"/>
  <c r="R965" i="55"/>
  <c r="R964" i="55"/>
  <c r="R963" i="55"/>
  <c r="R962" i="55"/>
  <c r="R961" i="55"/>
  <c r="R960" i="55"/>
  <c r="R959" i="55"/>
  <c r="R958" i="55"/>
  <c r="R957" i="55"/>
  <c r="R956" i="55"/>
  <c r="R955" i="55"/>
  <c r="R954" i="55"/>
  <c r="R953" i="55"/>
  <c r="R952" i="55"/>
  <c r="R951" i="55"/>
  <c r="R950" i="55"/>
  <c r="R949" i="55"/>
  <c r="R948" i="55"/>
  <c r="R947" i="55"/>
  <c r="R946" i="55"/>
  <c r="R945" i="55"/>
  <c r="R944" i="55"/>
  <c r="R943" i="55"/>
  <c r="R942" i="55"/>
  <c r="R941" i="55"/>
  <c r="R940" i="55"/>
  <c r="R939" i="55"/>
  <c r="R938" i="55"/>
  <c r="R937" i="55"/>
  <c r="R936" i="55"/>
  <c r="R935" i="55"/>
  <c r="R934" i="55"/>
  <c r="R933" i="55"/>
  <c r="R932" i="55"/>
  <c r="R931" i="55"/>
  <c r="R930" i="55"/>
  <c r="R929" i="55"/>
  <c r="R928" i="55"/>
  <c r="R927" i="55"/>
  <c r="R926" i="55"/>
  <c r="R925" i="55"/>
  <c r="R924" i="55"/>
  <c r="R923" i="55"/>
  <c r="R922" i="55"/>
  <c r="R921" i="55"/>
  <c r="R920" i="55"/>
  <c r="R919" i="55"/>
  <c r="R918" i="55"/>
  <c r="R917" i="55"/>
  <c r="R916" i="55"/>
  <c r="R915" i="55"/>
  <c r="R914" i="55"/>
  <c r="R913" i="55"/>
  <c r="R912" i="55"/>
  <c r="R911" i="55"/>
  <c r="R910" i="55"/>
  <c r="R909" i="55"/>
  <c r="R908" i="55"/>
  <c r="R907" i="55"/>
  <c r="R906" i="55"/>
  <c r="R905" i="55"/>
  <c r="R904" i="55"/>
  <c r="R903" i="55"/>
  <c r="R902" i="55"/>
  <c r="R901" i="55"/>
  <c r="R900" i="55"/>
  <c r="R899" i="55"/>
  <c r="R898" i="55"/>
  <c r="R897" i="55"/>
  <c r="R896" i="55"/>
  <c r="R895" i="55"/>
  <c r="R894" i="55"/>
  <c r="R893" i="55"/>
  <c r="R892" i="55"/>
  <c r="R891" i="55"/>
  <c r="R890" i="55"/>
  <c r="R889" i="55"/>
  <c r="R888" i="55"/>
  <c r="R887" i="55"/>
  <c r="R886" i="55"/>
  <c r="R885" i="55"/>
  <c r="R884" i="55"/>
  <c r="R883" i="55"/>
  <c r="R882" i="55"/>
  <c r="R881" i="55"/>
  <c r="R880" i="55"/>
  <c r="R879" i="55"/>
  <c r="R878" i="55"/>
  <c r="R877" i="55"/>
  <c r="R876" i="55"/>
  <c r="R875" i="55"/>
  <c r="R874" i="55"/>
  <c r="R873" i="55"/>
  <c r="R872" i="55"/>
  <c r="R871" i="55"/>
  <c r="R870" i="55"/>
  <c r="R869" i="55"/>
  <c r="R868" i="55"/>
  <c r="R867" i="55"/>
  <c r="R866" i="55"/>
  <c r="R865" i="55"/>
  <c r="R864" i="55"/>
  <c r="R863" i="55"/>
  <c r="R862" i="55"/>
  <c r="R861" i="55"/>
  <c r="R860" i="55"/>
  <c r="R859" i="55"/>
  <c r="R858" i="55"/>
  <c r="R857" i="55"/>
  <c r="R856" i="55"/>
  <c r="R855" i="55"/>
  <c r="R854" i="55"/>
  <c r="R853" i="55"/>
  <c r="R852" i="55"/>
  <c r="R851" i="55"/>
  <c r="R850" i="55"/>
  <c r="R849" i="55"/>
  <c r="R848" i="55"/>
  <c r="R847" i="55"/>
  <c r="R846" i="55"/>
  <c r="R845" i="55"/>
  <c r="R844" i="55"/>
  <c r="R843" i="55"/>
  <c r="R842" i="55"/>
  <c r="R841" i="55"/>
  <c r="R840" i="55"/>
  <c r="R839" i="55"/>
  <c r="R838" i="55"/>
  <c r="R837" i="55"/>
  <c r="R836" i="55"/>
  <c r="R835" i="55"/>
  <c r="R834" i="55"/>
  <c r="R833" i="55"/>
  <c r="R832" i="55"/>
  <c r="R831" i="55"/>
  <c r="R830" i="55"/>
  <c r="R829" i="55"/>
  <c r="R828" i="55"/>
  <c r="R827" i="55"/>
  <c r="R826" i="55"/>
  <c r="R825" i="55"/>
  <c r="R824" i="55"/>
  <c r="R823" i="55"/>
  <c r="R822" i="55"/>
  <c r="R821" i="55"/>
  <c r="R820" i="55"/>
  <c r="R819" i="55"/>
  <c r="R818" i="55"/>
  <c r="R817" i="55"/>
  <c r="R816" i="55"/>
  <c r="R815" i="55"/>
  <c r="R814" i="55"/>
  <c r="R813" i="55"/>
  <c r="R812" i="55"/>
  <c r="R811" i="55"/>
  <c r="R810" i="55"/>
  <c r="R809" i="55"/>
  <c r="R808" i="55"/>
  <c r="R807" i="55"/>
  <c r="R806" i="55"/>
  <c r="R805" i="55"/>
  <c r="R804" i="55"/>
  <c r="R803" i="55"/>
  <c r="R802" i="55"/>
  <c r="R801" i="55"/>
  <c r="R800" i="55"/>
  <c r="R799" i="55"/>
  <c r="R798" i="55"/>
  <c r="R797" i="55"/>
  <c r="R796" i="55"/>
  <c r="R795" i="55"/>
  <c r="R794" i="55"/>
  <c r="R793" i="55"/>
  <c r="R792" i="55"/>
  <c r="R791" i="55"/>
  <c r="R790" i="55"/>
  <c r="R789" i="55"/>
  <c r="R788" i="55"/>
  <c r="R787" i="55"/>
  <c r="R786" i="55"/>
  <c r="R785" i="55"/>
  <c r="R784" i="55"/>
  <c r="R783" i="55"/>
  <c r="R782" i="55"/>
  <c r="R781" i="55"/>
  <c r="R780" i="55"/>
  <c r="R779" i="55"/>
  <c r="R778" i="55"/>
  <c r="R777" i="55"/>
  <c r="R776" i="55"/>
  <c r="R775" i="55"/>
  <c r="R774" i="55"/>
  <c r="R773" i="55"/>
  <c r="R772" i="55"/>
  <c r="R771" i="55"/>
  <c r="R770" i="55"/>
  <c r="R769" i="55"/>
  <c r="R768" i="55"/>
  <c r="R767" i="55"/>
  <c r="R766" i="55"/>
  <c r="R765" i="55"/>
  <c r="R764" i="55"/>
  <c r="R763" i="55"/>
  <c r="R762" i="55"/>
  <c r="R761" i="55"/>
  <c r="R760" i="55"/>
  <c r="R759" i="55"/>
  <c r="R758" i="55"/>
  <c r="R757" i="55"/>
  <c r="R756" i="55"/>
  <c r="R755" i="55"/>
  <c r="R754" i="55"/>
  <c r="R753" i="55"/>
  <c r="R752" i="55"/>
  <c r="R751" i="55"/>
  <c r="R750" i="55"/>
  <c r="R749" i="55"/>
  <c r="R748" i="55"/>
  <c r="R747" i="55"/>
  <c r="R746" i="55"/>
  <c r="R745" i="55"/>
  <c r="R744" i="55"/>
  <c r="R743" i="55"/>
  <c r="R742" i="55"/>
  <c r="R741" i="55"/>
  <c r="R740" i="55"/>
  <c r="R739" i="55"/>
  <c r="R738" i="55"/>
  <c r="R737" i="55"/>
  <c r="R736" i="55"/>
  <c r="R735" i="55"/>
  <c r="R734" i="55"/>
  <c r="R733" i="55"/>
  <c r="R732" i="55"/>
  <c r="R731" i="55"/>
  <c r="R730" i="55"/>
  <c r="R729" i="55"/>
  <c r="R728" i="55"/>
  <c r="R727" i="55"/>
  <c r="R726" i="55"/>
  <c r="R725" i="55"/>
  <c r="R724" i="55"/>
  <c r="R723" i="55"/>
  <c r="R722" i="55"/>
  <c r="R721" i="55"/>
  <c r="R720" i="55"/>
  <c r="R719" i="55"/>
  <c r="R718" i="55"/>
  <c r="R717" i="55"/>
  <c r="R716" i="55"/>
  <c r="R715" i="55"/>
  <c r="R714" i="55"/>
  <c r="R713" i="55"/>
  <c r="R712" i="55"/>
  <c r="R711" i="55"/>
  <c r="R710" i="55"/>
  <c r="R709" i="55"/>
  <c r="R708" i="55"/>
  <c r="R707" i="55"/>
  <c r="R706" i="55"/>
  <c r="R705" i="55"/>
  <c r="R704" i="55"/>
  <c r="R703" i="55"/>
  <c r="R702" i="55"/>
  <c r="R701" i="55"/>
  <c r="R700" i="55"/>
  <c r="R699" i="55"/>
  <c r="R698" i="55"/>
  <c r="R697" i="55"/>
  <c r="R696" i="55"/>
  <c r="R695" i="55"/>
  <c r="R694" i="55"/>
  <c r="R693" i="55"/>
  <c r="R692" i="55"/>
  <c r="R691" i="55"/>
  <c r="R690" i="55"/>
  <c r="R689" i="55"/>
  <c r="R688" i="55"/>
  <c r="R687" i="55"/>
  <c r="R686" i="55"/>
  <c r="R685" i="55"/>
  <c r="R684" i="55"/>
  <c r="R683" i="55"/>
  <c r="R682" i="55"/>
  <c r="R681" i="55"/>
  <c r="R680" i="55"/>
  <c r="R679" i="55"/>
  <c r="R678" i="55"/>
  <c r="R677" i="55"/>
  <c r="R676" i="55"/>
  <c r="R675" i="55"/>
  <c r="R674" i="55"/>
  <c r="R673" i="55"/>
  <c r="R672" i="55"/>
  <c r="R671" i="55"/>
  <c r="R670" i="55"/>
  <c r="R669" i="55"/>
  <c r="R668" i="55"/>
  <c r="R667" i="55"/>
  <c r="R666" i="55"/>
  <c r="R665" i="55"/>
  <c r="R664" i="55"/>
  <c r="R663" i="55"/>
  <c r="R662" i="55"/>
  <c r="R661" i="55"/>
  <c r="R660" i="55"/>
  <c r="R659" i="55"/>
  <c r="R658" i="55"/>
  <c r="R657" i="55"/>
  <c r="R656" i="55"/>
  <c r="R655" i="55"/>
  <c r="R654" i="55"/>
  <c r="R653" i="55"/>
  <c r="R652" i="55"/>
  <c r="R651" i="55"/>
  <c r="R650" i="55"/>
  <c r="R649" i="55"/>
  <c r="R648" i="55"/>
  <c r="R647" i="55"/>
  <c r="R646" i="55"/>
  <c r="R645" i="55"/>
  <c r="R644" i="55"/>
  <c r="R643" i="55"/>
  <c r="R642" i="55"/>
  <c r="R641" i="55"/>
  <c r="R640" i="55"/>
  <c r="R639" i="55"/>
  <c r="R638" i="55"/>
  <c r="R637" i="55"/>
  <c r="R636" i="55"/>
  <c r="R635" i="55"/>
  <c r="R634" i="55"/>
  <c r="R633" i="55"/>
  <c r="R632" i="55"/>
  <c r="R631" i="55"/>
  <c r="R630" i="55"/>
  <c r="R629" i="55"/>
  <c r="R628" i="55"/>
  <c r="R627" i="55"/>
  <c r="R626" i="55"/>
  <c r="R625" i="55"/>
  <c r="R624" i="55"/>
  <c r="R623" i="55"/>
  <c r="R622" i="55"/>
  <c r="R621" i="55"/>
  <c r="R620" i="55"/>
  <c r="R619" i="55"/>
  <c r="R618" i="55"/>
  <c r="R617" i="55"/>
  <c r="R616" i="55"/>
  <c r="R615" i="55"/>
  <c r="R614" i="55"/>
  <c r="R613" i="55"/>
  <c r="R612" i="55"/>
  <c r="R611" i="55"/>
  <c r="R610" i="55"/>
  <c r="R609" i="55"/>
  <c r="R608" i="55"/>
  <c r="R607" i="55"/>
  <c r="R606" i="55"/>
  <c r="R605" i="55"/>
  <c r="R604" i="55"/>
  <c r="R603" i="55"/>
  <c r="R602" i="55"/>
  <c r="R601" i="55"/>
  <c r="R600" i="55"/>
  <c r="R599" i="55"/>
  <c r="R598" i="55"/>
  <c r="R597" i="55"/>
  <c r="R596" i="55"/>
  <c r="R595" i="55"/>
  <c r="R594" i="55"/>
  <c r="R593" i="55"/>
  <c r="R592" i="55"/>
  <c r="R591" i="55"/>
  <c r="R590" i="55"/>
  <c r="R589" i="55"/>
  <c r="R588" i="55"/>
  <c r="R587" i="55"/>
  <c r="R586" i="55"/>
  <c r="R585" i="55"/>
  <c r="R584" i="55"/>
  <c r="R583" i="55"/>
  <c r="R582" i="55"/>
  <c r="R581" i="55"/>
  <c r="R580" i="55"/>
  <c r="R579" i="55"/>
  <c r="R578" i="55"/>
  <c r="R577" i="55"/>
  <c r="R576" i="55"/>
  <c r="R575" i="55"/>
  <c r="R574" i="55"/>
  <c r="R573" i="55"/>
  <c r="R572" i="55"/>
  <c r="R571" i="55"/>
  <c r="R570" i="55"/>
  <c r="R569" i="55"/>
  <c r="R568" i="55"/>
  <c r="R567" i="55"/>
  <c r="R566" i="55"/>
  <c r="R565" i="55"/>
  <c r="R564" i="55"/>
  <c r="R563" i="55"/>
  <c r="R562" i="55"/>
  <c r="R561" i="55"/>
  <c r="R560" i="55"/>
  <c r="R559" i="55"/>
  <c r="R558" i="55"/>
  <c r="R557" i="55"/>
  <c r="R556" i="55"/>
  <c r="R555" i="55"/>
  <c r="R554" i="55"/>
  <c r="R553" i="55"/>
  <c r="R552" i="55"/>
  <c r="R551" i="55"/>
  <c r="R550" i="55"/>
  <c r="R549" i="55"/>
  <c r="R548" i="55"/>
  <c r="R547" i="55"/>
  <c r="R546" i="55"/>
  <c r="R545" i="55"/>
  <c r="R544" i="55"/>
  <c r="R543" i="55"/>
  <c r="R542" i="55"/>
  <c r="R541" i="55"/>
  <c r="R540" i="55"/>
  <c r="R539" i="55"/>
  <c r="R538" i="55"/>
  <c r="R537" i="55"/>
  <c r="R536" i="55"/>
  <c r="R535" i="55"/>
  <c r="R534" i="55"/>
  <c r="R533" i="55"/>
  <c r="R532" i="55"/>
  <c r="R531" i="55"/>
  <c r="R530" i="55"/>
  <c r="R529" i="55"/>
  <c r="R528" i="55"/>
  <c r="R527" i="55"/>
  <c r="R526" i="55"/>
  <c r="R525" i="55"/>
  <c r="R524" i="55"/>
  <c r="R523" i="55"/>
  <c r="R522" i="55"/>
  <c r="R521" i="55"/>
  <c r="R520" i="55"/>
  <c r="R519" i="55"/>
  <c r="R518" i="55"/>
  <c r="R517" i="55"/>
  <c r="R516" i="55"/>
  <c r="R515" i="55"/>
  <c r="R514" i="55"/>
  <c r="R513" i="55"/>
  <c r="R512" i="55"/>
  <c r="R511" i="55"/>
  <c r="R510" i="55"/>
  <c r="R509" i="55"/>
  <c r="R508" i="55"/>
  <c r="R507" i="55"/>
  <c r="R506" i="55"/>
  <c r="R505" i="55"/>
  <c r="R504" i="55"/>
  <c r="R503" i="55"/>
  <c r="R502" i="55"/>
  <c r="R501" i="55"/>
  <c r="R500" i="55"/>
  <c r="R499" i="55"/>
  <c r="R498" i="55"/>
  <c r="R497" i="55"/>
  <c r="R496" i="55"/>
  <c r="R495" i="55"/>
  <c r="R494" i="55"/>
  <c r="R493" i="55"/>
  <c r="R492" i="55"/>
  <c r="R491" i="55"/>
  <c r="R490" i="55"/>
  <c r="R489" i="55"/>
  <c r="R488" i="55"/>
  <c r="R487" i="55"/>
  <c r="R486" i="55"/>
  <c r="R485" i="55"/>
  <c r="R484" i="55"/>
  <c r="R483" i="55"/>
  <c r="R482" i="55"/>
  <c r="R481" i="55"/>
  <c r="R480" i="55"/>
  <c r="R479" i="55"/>
  <c r="R478" i="55"/>
  <c r="R477" i="55"/>
  <c r="R476" i="55"/>
  <c r="R475" i="55"/>
  <c r="R474" i="55"/>
  <c r="R473" i="55"/>
  <c r="R472" i="55"/>
  <c r="R471" i="55"/>
  <c r="R470" i="55"/>
  <c r="R469" i="55"/>
  <c r="R468" i="55"/>
  <c r="R467" i="55"/>
  <c r="R466" i="55"/>
  <c r="R465" i="55"/>
  <c r="R464" i="55"/>
  <c r="R463" i="55"/>
  <c r="R462" i="55"/>
  <c r="R461" i="55"/>
  <c r="R460" i="55"/>
  <c r="R459" i="55"/>
  <c r="R458" i="55"/>
  <c r="R457" i="55"/>
  <c r="R456" i="55"/>
  <c r="R455" i="55"/>
  <c r="R454" i="55"/>
  <c r="R453" i="55"/>
  <c r="R452" i="55"/>
  <c r="R451" i="55"/>
  <c r="R450" i="55"/>
  <c r="R449" i="55"/>
  <c r="R448" i="55"/>
  <c r="R447" i="55"/>
  <c r="R446" i="55"/>
  <c r="R445" i="55"/>
  <c r="R444" i="55"/>
  <c r="R443" i="55"/>
  <c r="R442" i="55"/>
  <c r="R441" i="55"/>
  <c r="R440" i="55"/>
  <c r="R439" i="55"/>
  <c r="R438" i="55"/>
  <c r="R437" i="55"/>
  <c r="R436" i="55"/>
  <c r="R435" i="55"/>
  <c r="R434" i="55"/>
  <c r="R433" i="55"/>
  <c r="R432" i="55"/>
  <c r="R431" i="55"/>
  <c r="R430" i="55"/>
  <c r="R429" i="55"/>
  <c r="R428" i="55"/>
  <c r="R427" i="55"/>
  <c r="R426" i="55"/>
  <c r="R425" i="55"/>
  <c r="R424" i="55"/>
  <c r="R423" i="55"/>
  <c r="R422" i="55"/>
  <c r="R421" i="55"/>
  <c r="R420" i="55"/>
  <c r="R419" i="55"/>
  <c r="R418" i="55"/>
  <c r="R417" i="55"/>
  <c r="R416" i="55"/>
  <c r="R415" i="55"/>
  <c r="R414" i="55"/>
  <c r="R413" i="55"/>
  <c r="R412" i="55"/>
  <c r="R411" i="55"/>
  <c r="R410" i="55"/>
  <c r="R409" i="55"/>
  <c r="R408" i="55"/>
  <c r="R407" i="55"/>
  <c r="R406" i="55"/>
  <c r="R405" i="55"/>
  <c r="R404" i="55"/>
  <c r="R403" i="55"/>
  <c r="R402" i="55"/>
  <c r="R401" i="55"/>
  <c r="R400" i="55"/>
  <c r="R399" i="55"/>
  <c r="R398" i="55"/>
  <c r="R397" i="55"/>
  <c r="R396" i="55"/>
  <c r="R395" i="55"/>
  <c r="R394" i="55"/>
  <c r="R393" i="55"/>
  <c r="R392" i="55"/>
  <c r="R391" i="55"/>
  <c r="R390" i="55"/>
  <c r="R389" i="55"/>
  <c r="R388" i="55"/>
  <c r="R387" i="55"/>
  <c r="R386" i="55"/>
  <c r="R385" i="55"/>
  <c r="R384" i="55"/>
  <c r="R383" i="55"/>
  <c r="R382" i="55"/>
  <c r="R381" i="55"/>
  <c r="R380" i="55"/>
  <c r="R379" i="55"/>
  <c r="R378" i="55"/>
  <c r="R377" i="55"/>
  <c r="R376" i="55"/>
  <c r="R375" i="55"/>
  <c r="R374" i="55"/>
  <c r="R373" i="55"/>
  <c r="R372" i="55"/>
  <c r="R371" i="55"/>
  <c r="R370" i="55"/>
  <c r="R369" i="55"/>
  <c r="R368" i="55"/>
  <c r="R367" i="55"/>
  <c r="R366" i="55"/>
  <c r="R365" i="55"/>
  <c r="R364" i="55"/>
  <c r="R363" i="55"/>
  <c r="R362" i="55"/>
  <c r="R361" i="55"/>
  <c r="R360" i="55"/>
  <c r="R359" i="55"/>
  <c r="R358" i="55"/>
  <c r="R357" i="55"/>
  <c r="R356" i="55"/>
  <c r="R355" i="55"/>
  <c r="R354" i="55"/>
  <c r="R353" i="55"/>
  <c r="R352" i="55"/>
  <c r="R351" i="55"/>
  <c r="R350" i="55"/>
  <c r="R349" i="55"/>
  <c r="R348" i="55"/>
  <c r="R347" i="55"/>
  <c r="R346" i="55"/>
  <c r="R345" i="55"/>
  <c r="R344" i="55"/>
  <c r="R343" i="55"/>
  <c r="R342" i="55"/>
  <c r="R341" i="55"/>
  <c r="R340" i="55"/>
  <c r="R339" i="55"/>
  <c r="R338" i="55"/>
  <c r="R337" i="55"/>
  <c r="R336" i="55"/>
  <c r="R335" i="55"/>
  <c r="R334" i="55"/>
  <c r="R333" i="55"/>
  <c r="R332" i="55"/>
  <c r="R331" i="55"/>
  <c r="R330" i="55"/>
  <c r="R329" i="55"/>
  <c r="R328" i="55"/>
  <c r="R327" i="55"/>
  <c r="R326" i="55"/>
  <c r="R325" i="55"/>
  <c r="R324" i="55"/>
  <c r="R323" i="55"/>
  <c r="R322" i="55"/>
  <c r="R321" i="55"/>
  <c r="R320" i="55"/>
  <c r="R319" i="55"/>
  <c r="R318" i="55"/>
  <c r="R317" i="55"/>
  <c r="R316" i="55"/>
  <c r="R315" i="55"/>
  <c r="R314" i="55"/>
  <c r="R313" i="55"/>
  <c r="R312" i="55"/>
  <c r="R311" i="55"/>
  <c r="R310" i="55"/>
  <c r="R309" i="55"/>
  <c r="R308" i="55"/>
  <c r="R307" i="55"/>
  <c r="R306" i="55"/>
  <c r="R305" i="55"/>
  <c r="R304" i="55"/>
  <c r="R303" i="55"/>
  <c r="R302" i="55"/>
  <c r="R301" i="55"/>
  <c r="R300" i="55"/>
  <c r="R299" i="55"/>
  <c r="R298" i="55"/>
  <c r="R297" i="55"/>
  <c r="R296" i="55"/>
  <c r="R295" i="55"/>
  <c r="R294" i="55"/>
  <c r="R293" i="55"/>
  <c r="R292" i="55"/>
  <c r="R291" i="55"/>
  <c r="R290" i="55"/>
  <c r="R289" i="55"/>
  <c r="R288" i="55"/>
  <c r="R287" i="55"/>
  <c r="R286" i="55"/>
  <c r="R285" i="55"/>
  <c r="R284" i="55"/>
  <c r="R283" i="55"/>
  <c r="R282" i="55"/>
  <c r="R281" i="55"/>
  <c r="R280" i="55"/>
  <c r="R279" i="55"/>
  <c r="R278" i="55"/>
  <c r="R277" i="55"/>
  <c r="R276" i="55"/>
  <c r="R275" i="55"/>
  <c r="R274" i="55"/>
  <c r="R273" i="55"/>
  <c r="R272" i="55"/>
  <c r="R271" i="55"/>
  <c r="R270" i="55"/>
  <c r="R269" i="55"/>
  <c r="R268" i="55"/>
  <c r="R267" i="55"/>
  <c r="R266" i="55"/>
  <c r="R265" i="55"/>
  <c r="R264" i="55"/>
  <c r="R263" i="55"/>
  <c r="R262" i="55"/>
  <c r="R261" i="55"/>
  <c r="R260" i="55"/>
  <c r="R259" i="55"/>
  <c r="R258" i="55"/>
  <c r="R257" i="55"/>
  <c r="R256" i="55"/>
  <c r="R255" i="55"/>
  <c r="R254" i="55"/>
  <c r="R253" i="55"/>
  <c r="R252" i="55"/>
  <c r="R251" i="55"/>
  <c r="R250" i="55"/>
  <c r="R249" i="55"/>
  <c r="R248" i="55"/>
  <c r="R247" i="55"/>
  <c r="R246" i="55"/>
  <c r="R245" i="55"/>
  <c r="R244" i="55"/>
  <c r="R243" i="55"/>
  <c r="R242" i="55"/>
  <c r="R241" i="55"/>
  <c r="R240" i="55"/>
  <c r="R239" i="55"/>
  <c r="R238" i="55"/>
  <c r="R237" i="55"/>
  <c r="R236" i="55"/>
  <c r="R235" i="55"/>
  <c r="R234" i="55"/>
  <c r="R233" i="55"/>
  <c r="R232" i="55"/>
  <c r="R231" i="55"/>
  <c r="R230" i="55"/>
  <c r="R229" i="55"/>
  <c r="R228" i="55"/>
  <c r="R227" i="55"/>
  <c r="R226" i="55"/>
  <c r="R225" i="55"/>
  <c r="R224" i="55"/>
  <c r="R223" i="55"/>
  <c r="R222" i="55"/>
  <c r="R221" i="55"/>
  <c r="R220" i="55"/>
  <c r="R219" i="55"/>
  <c r="R218" i="55"/>
  <c r="R217" i="55"/>
  <c r="R216" i="55"/>
  <c r="R215" i="55"/>
  <c r="R214" i="55"/>
  <c r="R213" i="55"/>
  <c r="R212" i="55"/>
  <c r="R211" i="55"/>
  <c r="R210" i="55"/>
  <c r="R209" i="55"/>
  <c r="R208" i="55"/>
  <c r="R207" i="55"/>
  <c r="R206" i="55"/>
  <c r="R205" i="55"/>
  <c r="R204" i="55"/>
  <c r="R203" i="55"/>
  <c r="R202" i="55"/>
  <c r="R201" i="55"/>
  <c r="R200" i="55"/>
  <c r="R199" i="55"/>
  <c r="R198" i="55"/>
  <c r="R197" i="55"/>
  <c r="R196" i="55"/>
  <c r="R195" i="55"/>
  <c r="R194" i="55"/>
  <c r="R193" i="55"/>
  <c r="R192" i="55"/>
  <c r="R191" i="55"/>
  <c r="R190" i="55"/>
  <c r="R189" i="55"/>
  <c r="R188" i="55"/>
  <c r="R187" i="55"/>
  <c r="R186" i="55"/>
  <c r="R185" i="55"/>
  <c r="R184" i="55"/>
  <c r="R183" i="55"/>
  <c r="R182" i="55"/>
  <c r="R181" i="55"/>
  <c r="R180" i="55"/>
  <c r="R179" i="55"/>
  <c r="R178" i="55"/>
  <c r="R177" i="55"/>
  <c r="R176" i="55"/>
  <c r="R175" i="55"/>
  <c r="R174" i="55"/>
  <c r="R173" i="55"/>
  <c r="R172" i="55"/>
  <c r="R171" i="55"/>
  <c r="R170" i="55"/>
  <c r="R169" i="55"/>
  <c r="R168" i="55"/>
  <c r="R167" i="55"/>
  <c r="R166" i="55"/>
  <c r="R165" i="55"/>
  <c r="R164" i="55"/>
  <c r="R163" i="55"/>
  <c r="R162" i="55"/>
  <c r="R161" i="55"/>
  <c r="R160" i="55"/>
  <c r="R159" i="55"/>
  <c r="R158" i="55"/>
  <c r="R157" i="55"/>
  <c r="R156" i="55"/>
  <c r="R155" i="55"/>
  <c r="R154" i="55"/>
  <c r="R153" i="55"/>
  <c r="R152" i="55"/>
  <c r="R151" i="55"/>
  <c r="R150" i="55"/>
  <c r="R149" i="55"/>
  <c r="R148" i="55"/>
  <c r="R147" i="55"/>
  <c r="R146" i="55"/>
  <c r="R145" i="55"/>
  <c r="R144" i="55"/>
  <c r="R143" i="55"/>
  <c r="R142" i="55"/>
  <c r="R141" i="55"/>
  <c r="R140" i="55"/>
  <c r="R139" i="55"/>
  <c r="R138" i="55"/>
  <c r="R137" i="55"/>
  <c r="R136" i="55"/>
  <c r="R135" i="55"/>
  <c r="R134" i="55"/>
  <c r="R133" i="55"/>
  <c r="R132" i="55"/>
  <c r="R131" i="55"/>
  <c r="R130" i="55"/>
  <c r="R129" i="55"/>
  <c r="R128" i="55"/>
  <c r="R127" i="55"/>
  <c r="R126" i="55"/>
  <c r="R125" i="55"/>
  <c r="R124" i="55"/>
  <c r="R123" i="55"/>
  <c r="R122" i="55"/>
  <c r="R121" i="55"/>
  <c r="R120" i="55"/>
  <c r="R119" i="55"/>
  <c r="R118" i="55"/>
  <c r="R117" i="55"/>
  <c r="R116" i="55"/>
  <c r="R115" i="55"/>
  <c r="R114" i="55"/>
  <c r="R113" i="55"/>
  <c r="R112" i="55"/>
  <c r="R111" i="55"/>
  <c r="R110" i="55"/>
  <c r="R109" i="55"/>
  <c r="R108" i="55"/>
  <c r="R107" i="55"/>
  <c r="R106" i="55"/>
  <c r="R105" i="55"/>
  <c r="R104" i="55"/>
  <c r="R103" i="55"/>
  <c r="R102" i="55"/>
  <c r="R101" i="55"/>
  <c r="R100" i="55"/>
  <c r="R99" i="55"/>
  <c r="R98" i="55"/>
  <c r="R97" i="55"/>
  <c r="R96" i="55"/>
  <c r="R95" i="55"/>
  <c r="R94" i="55"/>
  <c r="R93" i="55"/>
  <c r="R92" i="55"/>
  <c r="R91" i="55"/>
  <c r="R90" i="55"/>
  <c r="R89" i="55"/>
  <c r="R88" i="55"/>
  <c r="R87" i="55"/>
  <c r="R86" i="55"/>
  <c r="R85" i="55"/>
  <c r="R84" i="55"/>
  <c r="R83" i="55"/>
  <c r="R82" i="55"/>
  <c r="R81" i="55"/>
  <c r="R80" i="55"/>
  <c r="R79" i="55"/>
  <c r="R78" i="55"/>
  <c r="R77" i="55"/>
  <c r="R76" i="55"/>
  <c r="R75" i="55"/>
  <c r="R74" i="55"/>
  <c r="R73" i="55"/>
  <c r="R72" i="55"/>
  <c r="R71" i="55"/>
  <c r="R70" i="55"/>
  <c r="R69" i="55"/>
  <c r="R68" i="55"/>
  <c r="R67" i="55"/>
  <c r="R66" i="55"/>
  <c r="R65" i="55"/>
  <c r="R64" i="55"/>
  <c r="R63" i="55"/>
  <c r="R62" i="55"/>
  <c r="R61" i="55"/>
  <c r="R60" i="55"/>
  <c r="R59" i="55"/>
  <c r="R58" i="55"/>
  <c r="R57" i="55"/>
  <c r="R56" i="55"/>
  <c r="R55" i="55"/>
  <c r="R54" i="55"/>
  <c r="R53" i="55"/>
  <c r="R52" i="55"/>
  <c r="R51" i="55"/>
  <c r="R50" i="55"/>
  <c r="R49" i="55"/>
  <c r="R48" i="55"/>
  <c r="R47" i="55"/>
  <c r="R46" i="55"/>
  <c r="R45" i="55"/>
  <c r="R44" i="55"/>
  <c r="R43" i="55"/>
  <c r="R42" i="55"/>
  <c r="R41" i="55"/>
  <c r="R40" i="55"/>
  <c r="R39" i="55"/>
  <c r="R38" i="55"/>
  <c r="R37" i="55"/>
  <c r="R36" i="55"/>
  <c r="R35" i="55"/>
  <c r="R34" i="55"/>
  <c r="R33" i="55"/>
  <c r="R32" i="55"/>
  <c r="R31" i="55"/>
  <c r="R30" i="55"/>
  <c r="R29" i="55"/>
  <c r="R28" i="55"/>
  <c r="R27" i="55"/>
  <c r="R26" i="55"/>
  <c r="R25" i="55"/>
  <c r="R24" i="55"/>
  <c r="R23" i="55"/>
  <c r="R22" i="55"/>
  <c r="R21" i="55"/>
  <c r="R20" i="55"/>
  <c r="R19" i="55"/>
  <c r="R18" i="55"/>
  <c r="R17" i="55"/>
  <c r="R16" i="55"/>
  <c r="R15" i="55"/>
  <c r="R14" i="55"/>
  <c r="R13" i="55"/>
  <c r="R12" i="55"/>
  <c r="R11" i="55"/>
  <c r="R10" i="55"/>
  <c r="R9" i="55"/>
  <c r="R8" i="55"/>
  <c r="R7" i="55"/>
  <c r="R6" i="55"/>
  <c r="R5" i="55"/>
  <c r="C14" i="2"/>
  <c r="T24" i="57" l="1"/>
  <c r="Z24" i="57" s="1"/>
  <c r="S24" i="57"/>
  <c r="Y24" i="57" s="1"/>
  <c r="R24" i="57"/>
  <c r="X24" i="57" s="1"/>
  <c r="U24" i="57"/>
  <c r="AA24" i="57" s="1"/>
  <c r="Q24" i="57"/>
  <c r="W24" i="57" s="1"/>
  <c r="AP9" i="54"/>
  <c r="AO9" i="54"/>
  <c r="AP15" i="54"/>
  <c r="AO15" i="54"/>
  <c r="AP21" i="54"/>
  <c r="AO21" i="54"/>
  <c r="AP27" i="54"/>
  <c r="AO27" i="54"/>
  <c r="AP31" i="54"/>
  <c r="AO31" i="54"/>
  <c r="AP43" i="54"/>
  <c r="AP51" i="54"/>
  <c r="AP59" i="54"/>
  <c r="AP67" i="54"/>
  <c r="AO11" i="54"/>
  <c r="AP11" i="54"/>
  <c r="AP17" i="54"/>
  <c r="AO17" i="54"/>
  <c r="AP23" i="54"/>
  <c r="AO23" i="54"/>
  <c r="AP29" i="54"/>
  <c r="AO29" i="54"/>
  <c r="AP12" i="54"/>
  <c r="AP28" i="54"/>
  <c r="AO7" i="54"/>
  <c r="AP7" i="54"/>
  <c r="AP13" i="54"/>
  <c r="AO13" i="54"/>
  <c r="AO19" i="54"/>
  <c r="AP19" i="54"/>
  <c r="AP25" i="54"/>
  <c r="AO25" i="54"/>
  <c r="AP33" i="54"/>
  <c r="AO33" i="54"/>
  <c r="AK39" i="54"/>
  <c r="AL39" i="54" s="1"/>
  <c r="AM39" i="54"/>
  <c r="AM41" i="54"/>
  <c r="AK41" i="54"/>
  <c r="AL41" i="54" s="1"/>
  <c r="AM53" i="54"/>
  <c r="AK53" i="54"/>
  <c r="AL53" i="54" s="1"/>
  <c r="AM61" i="54"/>
  <c r="AK61" i="54"/>
  <c r="AL61" i="54" s="1"/>
  <c r="AM65" i="54"/>
  <c r="AK65" i="54"/>
  <c r="AL65" i="54" s="1"/>
  <c r="AK89" i="54"/>
  <c r="AL89" i="54" s="1"/>
  <c r="AN89" i="54"/>
  <c r="AM89" i="54"/>
  <c r="AM94" i="54"/>
  <c r="AN94" i="54"/>
  <c r="AK94" i="54"/>
  <c r="AL94" i="54" s="1"/>
  <c r="AO104" i="54"/>
  <c r="AK121" i="54"/>
  <c r="AL121" i="54" s="1"/>
  <c r="AN121" i="54"/>
  <c r="AM121" i="54"/>
  <c r="AK6" i="54"/>
  <c r="AL6" i="54" s="1"/>
  <c r="AM8" i="54"/>
  <c r="AO8" i="54" s="1"/>
  <c r="AK10" i="54"/>
  <c r="AL10" i="54" s="1"/>
  <c r="AM12" i="54"/>
  <c r="AO12" i="54" s="1"/>
  <c r="AK14" i="54"/>
  <c r="AL14" i="54" s="1"/>
  <c r="AM16" i="54"/>
  <c r="AO16" i="54" s="1"/>
  <c r="AK18" i="54"/>
  <c r="AL18" i="54" s="1"/>
  <c r="AM20" i="54"/>
  <c r="AO20" i="54" s="1"/>
  <c r="AK22" i="54"/>
  <c r="AL22" i="54" s="1"/>
  <c r="AM24" i="54"/>
  <c r="AO24" i="54" s="1"/>
  <c r="AK26" i="54"/>
  <c r="AL26" i="54" s="1"/>
  <c r="AM28" i="54"/>
  <c r="AO28" i="54" s="1"/>
  <c r="AK30" i="54"/>
  <c r="AL30" i="54" s="1"/>
  <c r="AM32" i="54"/>
  <c r="AO32" i="54" s="1"/>
  <c r="AP34" i="54"/>
  <c r="AP36" i="54"/>
  <c r="AP38" i="54"/>
  <c r="AP40" i="54"/>
  <c r="AN41" i="54"/>
  <c r="AN53" i="54"/>
  <c r="AN61" i="54"/>
  <c r="AN65" i="54"/>
  <c r="AO72" i="54"/>
  <c r="AM74" i="54"/>
  <c r="AN74" i="54"/>
  <c r="AK74" i="54"/>
  <c r="AL74" i="54" s="1"/>
  <c r="AP75" i="54"/>
  <c r="AO75" i="54"/>
  <c r="AO116" i="54"/>
  <c r="AP116" i="54"/>
  <c r="AN26" i="54"/>
  <c r="AN30" i="54"/>
  <c r="AK35" i="54"/>
  <c r="AL35" i="54" s="1"/>
  <c r="AM35" i="54"/>
  <c r="AM37" i="54"/>
  <c r="AK37" i="54"/>
  <c r="AL37" i="54" s="1"/>
  <c r="AM45" i="54"/>
  <c r="AK45" i="54"/>
  <c r="AL45" i="54" s="1"/>
  <c r="AM49" i="54"/>
  <c r="AK49" i="54"/>
  <c r="AL49" i="54" s="1"/>
  <c r="AM57" i="54"/>
  <c r="AK57" i="54"/>
  <c r="AL57" i="54" s="1"/>
  <c r="AM69" i="54"/>
  <c r="AK69" i="54"/>
  <c r="AL69" i="54" s="1"/>
  <c r="AP73" i="54"/>
  <c r="AO73" i="54"/>
  <c r="AP87" i="54"/>
  <c r="AO87" i="54"/>
  <c r="AP106" i="54"/>
  <c r="AO106" i="54"/>
  <c r="AN8" i="54"/>
  <c r="AP8" i="54" s="1"/>
  <c r="AN12" i="54"/>
  <c r="AN16" i="54"/>
  <c r="AP16" i="54" s="1"/>
  <c r="AN20" i="54"/>
  <c r="AP20" i="54" s="1"/>
  <c r="AN24" i="54"/>
  <c r="AP24" i="54" s="1"/>
  <c r="AN28" i="54"/>
  <c r="AN32" i="54"/>
  <c r="AP32" i="54" s="1"/>
  <c r="AN35" i="54"/>
  <c r="AN37" i="54"/>
  <c r="AN39" i="54"/>
  <c r="AP44" i="54"/>
  <c r="AO44" i="54"/>
  <c r="AP48" i="54"/>
  <c r="AO48" i="54"/>
  <c r="AP52" i="54"/>
  <c r="AO52" i="54"/>
  <c r="AP56" i="54"/>
  <c r="AO56" i="54"/>
  <c r="AP60" i="54"/>
  <c r="AO60" i="54"/>
  <c r="AP64" i="54"/>
  <c r="AO64" i="54"/>
  <c r="AP68" i="54"/>
  <c r="AO68" i="54"/>
  <c r="AP71" i="54"/>
  <c r="AP79" i="54"/>
  <c r="AO88" i="54"/>
  <c r="AP90" i="54"/>
  <c r="AO90" i="54"/>
  <c r="AP92" i="54"/>
  <c r="AP103" i="54"/>
  <c r="AO103" i="54"/>
  <c r="AK105" i="54"/>
  <c r="AL105" i="54" s="1"/>
  <c r="AN105" i="54"/>
  <c r="AM105" i="54"/>
  <c r="AM110" i="54"/>
  <c r="AN110" i="54"/>
  <c r="AK110" i="54"/>
  <c r="AL110" i="54" s="1"/>
  <c r="AO111" i="54"/>
  <c r="AO120" i="54"/>
  <c r="AP122" i="54"/>
  <c r="AO122" i="54"/>
  <c r="AN6" i="54"/>
  <c r="AN10" i="54"/>
  <c r="AN14" i="54"/>
  <c r="AN18" i="54"/>
  <c r="AN22" i="54"/>
  <c r="AP119" i="54"/>
  <c r="AO119" i="54"/>
  <c r="AP42" i="54"/>
  <c r="AP46" i="54"/>
  <c r="AP50" i="54"/>
  <c r="AP54" i="54"/>
  <c r="AP58" i="54"/>
  <c r="AP62" i="54"/>
  <c r="AP66" i="54"/>
  <c r="AK76" i="54"/>
  <c r="AL76" i="54" s="1"/>
  <c r="AN76" i="54"/>
  <c r="AM76" i="54"/>
  <c r="AO78" i="54"/>
  <c r="AO84" i="54"/>
  <c r="AP84" i="54"/>
  <c r="AP91" i="54"/>
  <c r="AO100" i="54"/>
  <c r="AP123" i="54"/>
  <c r="AM43" i="54"/>
  <c r="AO43" i="54" s="1"/>
  <c r="AM47" i="54"/>
  <c r="AO47" i="54" s="1"/>
  <c r="AM51" i="54"/>
  <c r="AO51" i="54" s="1"/>
  <c r="AM55" i="54"/>
  <c r="AO55" i="54" s="1"/>
  <c r="AM59" i="54"/>
  <c r="AO59" i="54" s="1"/>
  <c r="AM63" i="54"/>
  <c r="AO63" i="54" s="1"/>
  <c r="AM67" i="54"/>
  <c r="AO67" i="54" s="1"/>
  <c r="AN70" i="54"/>
  <c r="AN72" i="54"/>
  <c r="AP72" i="54" s="1"/>
  <c r="AM73" i="54"/>
  <c r="AN78" i="54"/>
  <c r="AP78" i="54" s="1"/>
  <c r="AO83" i="54"/>
  <c r="AN85" i="54"/>
  <c r="AO99" i="54"/>
  <c r="AN43" i="54"/>
  <c r="AN47" i="54"/>
  <c r="AP47" i="54" s="1"/>
  <c r="AN51" i="54"/>
  <c r="AN55" i="54"/>
  <c r="AP55" i="54" s="1"/>
  <c r="AN59" i="54"/>
  <c r="AN63" i="54"/>
  <c r="AP63" i="54" s="1"/>
  <c r="AN67" i="54"/>
  <c r="AP77" i="54"/>
  <c r="AP81" i="54"/>
  <c r="AO81" i="54"/>
  <c r="AK82" i="54"/>
  <c r="AL82" i="54" s="1"/>
  <c r="AM93" i="54"/>
  <c r="AO93" i="54" s="1"/>
  <c r="AP97" i="54"/>
  <c r="AO97" i="54"/>
  <c r="AK98" i="54"/>
  <c r="AL98" i="54" s="1"/>
  <c r="AM109" i="54"/>
  <c r="AO109" i="54" s="1"/>
  <c r="AP113" i="54"/>
  <c r="AO113" i="54"/>
  <c r="AK114" i="54"/>
  <c r="AL114" i="54" s="1"/>
  <c r="AM125" i="54"/>
  <c r="AO125" i="54" s="1"/>
  <c r="AK70" i="54"/>
  <c r="AL70" i="54" s="1"/>
  <c r="AO80" i="54"/>
  <c r="AP85" i="54"/>
  <c r="AO85" i="54"/>
  <c r="AP86" i="54"/>
  <c r="AN93" i="54"/>
  <c r="AP93" i="54" s="1"/>
  <c r="AO96" i="54"/>
  <c r="AP101" i="54"/>
  <c r="AO101" i="54"/>
  <c r="AP102" i="54"/>
  <c r="AN109" i="54"/>
  <c r="AP109" i="54" s="1"/>
  <c r="AO112" i="54"/>
  <c r="AN114" i="54"/>
  <c r="AP117" i="54"/>
  <c r="AO117" i="54"/>
  <c r="AP118" i="54"/>
  <c r="AN125" i="54"/>
  <c r="AP125" i="54" s="1"/>
  <c r="AN80" i="54"/>
  <c r="AP80" i="54" s="1"/>
  <c r="AN84" i="54"/>
  <c r="AN88" i="54"/>
  <c r="AP88" i="54" s="1"/>
  <c r="AN92" i="54"/>
  <c r="AN96" i="54"/>
  <c r="AP96" i="54" s="1"/>
  <c r="AN100" i="54"/>
  <c r="AP100" i="54" s="1"/>
  <c r="AN104" i="54"/>
  <c r="AP104" i="54" s="1"/>
  <c r="AN108" i="54"/>
  <c r="AP108" i="54" s="1"/>
  <c r="AN112" i="54"/>
  <c r="AP112" i="54" s="1"/>
  <c r="AN116" i="54"/>
  <c r="AN120" i="54"/>
  <c r="AP120" i="54" s="1"/>
  <c r="AN124" i="54"/>
  <c r="AP124" i="54" s="1"/>
  <c r="C15" i="2"/>
  <c r="AP45" i="54" l="1"/>
  <c r="AO45" i="54"/>
  <c r="AP10" i="54"/>
  <c r="AO10" i="54"/>
  <c r="AP41" i="54"/>
  <c r="AO41" i="54"/>
  <c r="AP114" i="54"/>
  <c r="AO114" i="54"/>
  <c r="AP98" i="54"/>
  <c r="AO98" i="54"/>
  <c r="AP82" i="54"/>
  <c r="AO82" i="54"/>
  <c r="AO35" i="54"/>
  <c r="AP35" i="54"/>
  <c r="AP121" i="54"/>
  <c r="AO121" i="54"/>
  <c r="AP89" i="54"/>
  <c r="AO89" i="54"/>
  <c r="AP57" i="54"/>
  <c r="AO57" i="54"/>
  <c r="AP18" i="54"/>
  <c r="AO18" i="54"/>
  <c r="AO76" i="54"/>
  <c r="AP76" i="54"/>
  <c r="AP69" i="54"/>
  <c r="AO69" i="54"/>
  <c r="AP49" i="54"/>
  <c r="AO49" i="54"/>
  <c r="AO37" i="54"/>
  <c r="AP37" i="54"/>
  <c r="AP30" i="54"/>
  <c r="AO30" i="54"/>
  <c r="AP22" i="54"/>
  <c r="AO22" i="54"/>
  <c r="AP14" i="54"/>
  <c r="AO14" i="54"/>
  <c r="AP6" i="54"/>
  <c r="AO6" i="54"/>
  <c r="AP65" i="54"/>
  <c r="AO65" i="54"/>
  <c r="AP53" i="54"/>
  <c r="AO53" i="54"/>
  <c r="AP105" i="54"/>
  <c r="AO105" i="54"/>
  <c r="AP74" i="54"/>
  <c r="AO74" i="54"/>
  <c r="AP26" i="54"/>
  <c r="AO26" i="54"/>
  <c r="AP94" i="54"/>
  <c r="AO94" i="54"/>
  <c r="AP61" i="54"/>
  <c r="AO61" i="54"/>
  <c r="AP70" i="54"/>
  <c r="AO70" i="54"/>
  <c r="AP110" i="54"/>
  <c r="AO110" i="54"/>
  <c r="AO39" i="54"/>
  <c r="AP39" i="54"/>
  <c r="C41" i="42"/>
  <c r="D41" i="42" s="1"/>
  <c r="E41" i="42" s="1"/>
  <c r="F41" i="42" s="1"/>
  <c r="G41" i="42" s="1"/>
  <c r="H41" i="42" s="1"/>
  <c r="I41" i="42" s="1"/>
  <c r="J41" i="42" s="1"/>
  <c r="K41" i="42" s="1"/>
  <c r="L41" i="42" s="1"/>
  <c r="M41" i="42" s="1"/>
  <c r="N41" i="42" s="1"/>
  <c r="O41" i="42" s="1"/>
  <c r="P41" i="42" s="1"/>
  <c r="Q41" i="42" s="1"/>
  <c r="R41" i="42" s="1"/>
  <c r="S41" i="42" s="1"/>
  <c r="T41" i="42" s="1"/>
  <c r="B42" i="42"/>
  <c r="C42" i="42"/>
  <c r="D42" i="42"/>
  <c r="E42" i="42"/>
  <c r="F42" i="42"/>
  <c r="G42" i="42"/>
  <c r="H42" i="42"/>
  <c r="I42" i="42"/>
  <c r="J42" i="42"/>
  <c r="K42" i="42"/>
  <c r="L42" i="42"/>
  <c r="M42" i="42"/>
  <c r="N42" i="42"/>
  <c r="O42" i="42"/>
  <c r="P42" i="42"/>
  <c r="Q42" i="42"/>
  <c r="R42" i="42"/>
  <c r="S42" i="42"/>
  <c r="B43" i="42"/>
  <c r="C43" i="42"/>
  <c r="D43" i="42"/>
  <c r="E43" i="42"/>
  <c r="F43" i="42"/>
  <c r="G43" i="42"/>
  <c r="H43" i="42"/>
  <c r="I43" i="42"/>
  <c r="J43" i="42"/>
  <c r="K43" i="42"/>
  <c r="L43" i="42"/>
  <c r="M43" i="42"/>
  <c r="N43" i="42"/>
  <c r="O43" i="42"/>
  <c r="P43" i="42"/>
  <c r="Q43" i="42"/>
  <c r="R43" i="42"/>
  <c r="S43" i="42"/>
  <c r="B44" i="42"/>
  <c r="C44" i="42"/>
  <c r="D44" i="42"/>
  <c r="E44" i="42"/>
  <c r="F44" i="42"/>
  <c r="G44" i="42"/>
  <c r="H44" i="42"/>
  <c r="I44" i="42"/>
  <c r="J44" i="42"/>
  <c r="K44" i="42"/>
  <c r="L44" i="42"/>
  <c r="M44" i="42"/>
  <c r="N44" i="42"/>
  <c r="O44" i="42"/>
  <c r="P44" i="42"/>
  <c r="Q44" i="42"/>
  <c r="R44" i="42"/>
  <c r="S44" i="42"/>
  <c r="B45" i="42"/>
  <c r="C45" i="42"/>
  <c r="D45" i="42"/>
  <c r="E45" i="42"/>
  <c r="F45" i="42"/>
  <c r="G45" i="42"/>
  <c r="H45" i="42"/>
  <c r="I45" i="42"/>
  <c r="J45" i="42"/>
  <c r="K45" i="42"/>
  <c r="L45" i="42"/>
  <c r="M45" i="42"/>
  <c r="N45" i="42"/>
  <c r="O45" i="42"/>
  <c r="P45" i="42"/>
  <c r="Q45" i="42"/>
  <c r="R45" i="42"/>
  <c r="S45" i="42"/>
  <c r="B46" i="42"/>
  <c r="C46" i="42"/>
  <c r="D46" i="42"/>
  <c r="E46" i="42"/>
  <c r="F46" i="42"/>
  <c r="G46" i="42"/>
  <c r="H46" i="42"/>
  <c r="I46" i="42"/>
  <c r="J46" i="42"/>
  <c r="K46" i="42"/>
  <c r="L46" i="42"/>
  <c r="M46" i="42"/>
  <c r="N46" i="42"/>
  <c r="O46" i="42"/>
  <c r="P46" i="42"/>
  <c r="Q46" i="42"/>
  <c r="R46" i="42"/>
  <c r="S46" i="42"/>
  <c r="B47" i="42"/>
  <c r="C47" i="42"/>
  <c r="D47" i="42"/>
  <c r="E47" i="42"/>
  <c r="F47" i="42"/>
  <c r="G47" i="42"/>
  <c r="H47" i="42"/>
  <c r="I47" i="42"/>
  <c r="J47" i="42"/>
  <c r="K47" i="42"/>
  <c r="L47" i="42"/>
  <c r="M47" i="42"/>
  <c r="N47" i="42"/>
  <c r="O47" i="42"/>
  <c r="P47" i="42"/>
  <c r="Q47" i="42"/>
  <c r="R47" i="42"/>
  <c r="S47" i="42"/>
  <c r="B48" i="42"/>
  <c r="C48" i="42"/>
  <c r="D48" i="42"/>
  <c r="E48" i="42"/>
  <c r="F48" i="42"/>
  <c r="G48" i="42"/>
  <c r="H48" i="42"/>
  <c r="I48" i="42"/>
  <c r="J48" i="42"/>
  <c r="K48" i="42"/>
  <c r="L48" i="42"/>
  <c r="M48" i="42"/>
  <c r="N48" i="42"/>
  <c r="O48" i="42"/>
  <c r="P48" i="42"/>
  <c r="Q48" i="42"/>
  <c r="R48" i="42"/>
  <c r="S48" i="42"/>
  <c r="B49" i="42"/>
  <c r="C49" i="42"/>
  <c r="D49" i="42"/>
  <c r="E49" i="42"/>
  <c r="F49" i="42"/>
  <c r="G49" i="42"/>
  <c r="H49" i="42"/>
  <c r="I49" i="42"/>
  <c r="J49" i="42"/>
  <c r="K49" i="42"/>
  <c r="L49" i="42"/>
  <c r="M49" i="42"/>
  <c r="N49" i="42"/>
  <c r="O49" i="42"/>
  <c r="P49" i="42"/>
  <c r="Q49" i="42"/>
  <c r="R49" i="42"/>
  <c r="S49" i="42"/>
  <c r="B50" i="42"/>
  <c r="C50" i="42"/>
  <c r="D50" i="42"/>
  <c r="E50" i="42"/>
  <c r="F50" i="42"/>
  <c r="G50" i="42"/>
  <c r="H50" i="42"/>
  <c r="I50" i="42"/>
  <c r="J50" i="42"/>
  <c r="K50" i="42"/>
  <c r="L50" i="42"/>
  <c r="M50" i="42"/>
  <c r="N50" i="42"/>
  <c r="O50" i="42"/>
  <c r="P50" i="42"/>
  <c r="Q50" i="42"/>
  <c r="R50" i="42"/>
  <c r="S50" i="42"/>
  <c r="B51" i="42"/>
  <c r="C51" i="42"/>
  <c r="D51" i="42"/>
  <c r="E51" i="42"/>
  <c r="F51" i="42"/>
  <c r="G51" i="42"/>
  <c r="H51" i="42"/>
  <c r="I51" i="42"/>
  <c r="J51" i="42"/>
  <c r="K51" i="42"/>
  <c r="L51" i="42"/>
  <c r="M51" i="42"/>
  <c r="N51" i="42"/>
  <c r="O51" i="42"/>
  <c r="P51" i="42"/>
  <c r="Q51" i="42"/>
  <c r="R51" i="42"/>
  <c r="S51" i="42"/>
  <c r="B52" i="42"/>
  <c r="C52" i="42"/>
  <c r="D52" i="42"/>
  <c r="E52" i="42"/>
  <c r="F52" i="42"/>
  <c r="G52" i="42"/>
  <c r="H52" i="42"/>
  <c r="I52" i="42"/>
  <c r="J52" i="42"/>
  <c r="K52" i="42"/>
  <c r="L52" i="42"/>
  <c r="M52" i="42"/>
  <c r="N52" i="42"/>
  <c r="O52" i="42"/>
  <c r="P52" i="42"/>
  <c r="Q52" i="42"/>
  <c r="R52" i="42"/>
  <c r="S52" i="42"/>
  <c r="B53" i="42"/>
  <c r="C53" i="42"/>
  <c r="D53" i="42"/>
  <c r="E53" i="42"/>
  <c r="F53" i="42"/>
  <c r="G53" i="42"/>
  <c r="H53" i="42"/>
  <c r="I53" i="42"/>
  <c r="J53" i="42"/>
  <c r="K53" i="42"/>
  <c r="L53" i="42"/>
  <c r="M53" i="42"/>
  <c r="N53" i="42"/>
  <c r="O53" i="42"/>
  <c r="P53" i="42"/>
  <c r="Q53" i="42"/>
  <c r="R53" i="42"/>
  <c r="S53" i="42"/>
  <c r="B54" i="42"/>
  <c r="C54" i="42"/>
  <c r="D54" i="42"/>
  <c r="E54" i="42"/>
  <c r="F54" i="42"/>
  <c r="G54" i="42"/>
  <c r="H54" i="42"/>
  <c r="I54" i="42"/>
  <c r="J54" i="42"/>
  <c r="K54" i="42"/>
  <c r="L54" i="42"/>
  <c r="M54" i="42"/>
  <c r="N54" i="42"/>
  <c r="O54" i="42"/>
  <c r="P54" i="42"/>
  <c r="Q54" i="42"/>
  <c r="R54" i="42"/>
  <c r="S54" i="42"/>
  <c r="B55" i="42"/>
  <c r="C55" i="42"/>
  <c r="D55" i="42"/>
  <c r="E55" i="42"/>
  <c r="F55" i="42"/>
  <c r="G55" i="42"/>
  <c r="H55" i="42"/>
  <c r="I55" i="42"/>
  <c r="J55" i="42"/>
  <c r="K55" i="42"/>
  <c r="L55" i="42"/>
  <c r="M55" i="42"/>
  <c r="N55" i="42"/>
  <c r="O55" i="42"/>
  <c r="P55" i="42"/>
  <c r="Q55" i="42"/>
  <c r="R55" i="42"/>
  <c r="S55" i="42"/>
  <c r="B56" i="42"/>
  <c r="C56" i="42"/>
  <c r="D56" i="42"/>
  <c r="E56" i="42"/>
  <c r="F56" i="42"/>
  <c r="G56" i="42"/>
  <c r="H56" i="42"/>
  <c r="I56" i="42"/>
  <c r="J56" i="42"/>
  <c r="K56" i="42"/>
  <c r="L56" i="42"/>
  <c r="M56" i="42"/>
  <c r="N56" i="42"/>
  <c r="O56" i="42"/>
  <c r="P56" i="42"/>
  <c r="Q56" i="42"/>
  <c r="R56" i="42"/>
  <c r="S56" i="42"/>
  <c r="B57" i="42"/>
  <c r="C57" i="42"/>
  <c r="D57" i="42"/>
  <c r="E57" i="42"/>
  <c r="F57" i="42"/>
  <c r="G57" i="42"/>
  <c r="H57" i="42"/>
  <c r="I57" i="42"/>
  <c r="J57" i="42"/>
  <c r="K57" i="42"/>
  <c r="L57" i="42"/>
  <c r="M57" i="42"/>
  <c r="N57" i="42"/>
  <c r="O57" i="42"/>
  <c r="P57" i="42"/>
  <c r="Q57" i="42"/>
  <c r="R57" i="42"/>
  <c r="S57" i="42"/>
  <c r="B58" i="42"/>
  <c r="C58" i="42"/>
  <c r="D58" i="42"/>
  <c r="E58" i="42"/>
  <c r="F58" i="42"/>
  <c r="G58" i="42"/>
  <c r="H58" i="42"/>
  <c r="I58" i="42"/>
  <c r="J58" i="42"/>
  <c r="K58" i="42"/>
  <c r="L58" i="42"/>
  <c r="M58" i="42"/>
  <c r="N58" i="42"/>
  <c r="O58" i="42"/>
  <c r="P58" i="42"/>
  <c r="Q58" i="42"/>
  <c r="R58" i="42"/>
  <c r="S58" i="42"/>
  <c r="B59" i="42"/>
  <c r="C59" i="42"/>
  <c r="D59" i="42"/>
  <c r="E59" i="42"/>
  <c r="F59" i="42"/>
  <c r="G59" i="42"/>
  <c r="H59" i="42"/>
  <c r="I59" i="42"/>
  <c r="J59" i="42"/>
  <c r="K59" i="42"/>
  <c r="L59" i="42"/>
  <c r="M59" i="42"/>
  <c r="N59" i="42"/>
  <c r="O59" i="42"/>
  <c r="P59" i="42"/>
  <c r="Q59" i="42"/>
  <c r="R59" i="42"/>
  <c r="S59" i="42"/>
  <c r="B60" i="42"/>
  <c r="C60" i="42"/>
  <c r="D60" i="42"/>
  <c r="E60" i="42"/>
  <c r="F60" i="42"/>
  <c r="G60" i="42"/>
  <c r="H60" i="42"/>
  <c r="I60" i="42"/>
  <c r="J60" i="42"/>
  <c r="K60" i="42"/>
  <c r="L60" i="42"/>
  <c r="M60" i="42"/>
  <c r="N60" i="42"/>
  <c r="O60" i="42"/>
  <c r="P60" i="42"/>
  <c r="Q60" i="42"/>
  <c r="R60" i="42"/>
  <c r="S60" i="42"/>
  <c r="B61" i="42"/>
  <c r="C61" i="42"/>
  <c r="D61" i="42"/>
  <c r="E61" i="42"/>
  <c r="F61" i="42"/>
  <c r="G61" i="42"/>
  <c r="H61" i="42"/>
  <c r="I61" i="42"/>
  <c r="J61" i="42"/>
  <c r="K61" i="42"/>
  <c r="L61" i="42"/>
  <c r="M61" i="42"/>
  <c r="N61" i="42"/>
  <c r="O61" i="42"/>
  <c r="P61" i="42"/>
  <c r="Q61" i="42"/>
  <c r="R61" i="42"/>
  <c r="S61" i="42"/>
  <c r="B62" i="42"/>
  <c r="C62" i="42"/>
  <c r="D62" i="42"/>
  <c r="E62" i="42"/>
  <c r="F62" i="42"/>
  <c r="G62" i="42"/>
  <c r="H62" i="42"/>
  <c r="I62" i="42"/>
  <c r="J62" i="42"/>
  <c r="K62" i="42"/>
  <c r="L62" i="42"/>
  <c r="M62" i="42"/>
  <c r="N62" i="42"/>
  <c r="O62" i="42"/>
  <c r="P62" i="42"/>
  <c r="Q62" i="42"/>
  <c r="R62" i="42"/>
  <c r="S62" i="42"/>
  <c r="B63" i="42"/>
  <c r="C63" i="42"/>
  <c r="D63" i="42"/>
  <c r="E63" i="42"/>
  <c r="F63" i="42"/>
  <c r="G63" i="42"/>
  <c r="H63" i="42"/>
  <c r="I63" i="42"/>
  <c r="J63" i="42"/>
  <c r="K63" i="42"/>
  <c r="L63" i="42"/>
  <c r="M63" i="42"/>
  <c r="N63" i="42"/>
  <c r="O63" i="42"/>
  <c r="P63" i="42"/>
  <c r="Q63" i="42"/>
  <c r="R63" i="42"/>
  <c r="S63" i="42"/>
  <c r="B64" i="42"/>
  <c r="C64" i="42"/>
  <c r="D64" i="42"/>
  <c r="E64" i="42"/>
  <c r="F64" i="42"/>
  <c r="G64" i="42"/>
  <c r="H64" i="42"/>
  <c r="I64" i="42"/>
  <c r="J64" i="42"/>
  <c r="K64" i="42"/>
  <c r="L64" i="42"/>
  <c r="M64" i="42"/>
  <c r="N64" i="42"/>
  <c r="O64" i="42"/>
  <c r="P64" i="42"/>
  <c r="Q64" i="42"/>
  <c r="R64" i="42"/>
  <c r="S64" i="42"/>
  <c r="B65" i="42"/>
  <c r="C65" i="42"/>
  <c r="D65" i="42"/>
  <c r="E65" i="42"/>
  <c r="F65" i="42"/>
  <c r="G65" i="42"/>
  <c r="H65" i="42"/>
  <c r="I65" i="42"/>
  <c r="J65" i="42"/>
  <c r="K65" i="42"/>
  <c r="L65" i="42"/>
  <c r="M65" i="42"/>
  <c r="N65" i="42"/>
  <c r="O65" i="42"/>
  <c r="P65" i="42"/>
  <c r="Q65" i="42"/>
  <c r="R65" i="42"/>
  <c r="S65" i="42"/>
  <c r="B66" i="42"/>
  <c r="C66" i="42"/>
  <c r="D66" i="42"/>
  <c r="E66" i="42"/>
  <c r="F66" i="42"/>
  <c r="G66" i="42"/>
  <c r="H66" i="42"/>
  <c r="I66" i="42"/>
  <c r="J66" i="42"/>
  <c r="K66" i="42"/>
  <c r="L66" i="42"/>
  <c r="M66" i="42"/>
  <c r="N66" i="42"/>
  <c r="O66" i="42"/>
  <c r="P66" i="42"/>
  <c r="Q66" i="42"/>
  <c r="R66" i="42"/>
  <c r="S66" i="42"/>
  <c r="B67" i="42"/>
  <c r="C67" i="42"/>
  <c r="D67" i="42"/>
  <c r="E67" i="42"/>
  <c r="F67" i="42"/>
  <c r="G67" i="42"/>
  <c r="H67" i="42"/>
  <c r="I67" i="42"/>
  <c r="J67" i="42"/>
  <c r="K67" i="42"/>
  <c r="L67" i="42"/>
  <c r="M67" i="42"/>
  <c r="N67" i="42"/>
  <c r="O67" i="42"/>
  <c r="P67" i="42"/>
  <c r="Q67" i="42"/>
  <c r="R67" i="42"/>
  <c r="S67"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T50" i="42"/>
  <c r="U50" i="42"/>
  <c r="V50" i="42"/>
  <c r="W50" i="42"/>
  <c r="X50" i="42"/>
  <c r="Y50" i="42"/>
  <c r="Z50" i="42"/>
  <c r="AA50" i="42"/>
  <c r="AB50" i="42"/>
  <c r="AC50" i="42"/>
  <c r="AD50" i="42"/>
  <c r="AE50" i="42"/>
  <c r="AF50" i="42"/>
  <c r="AG50" i="42"/>
  <c r="AH50" i="42"/>
  <c r="AI50" i="42"/>
  <c r="AJ50" i="42"/>
  <c r="AK50" i="42"/>
  <c r="AL50" i="42"/>
  <c r="AM50" i="42"/>
  <c r="AN50" i="42"/>
  <c r="AO50" i="42"/>
  <c r="AP50" i="42"/>
  <c r="AQ50" i="42"/>
  <c r="AR50" i="42"/>
  <c r="AS50" i="42"/>
  <c r="T51" i="42"/>
  <c r="U51" i="42"/>
  <c r="V51" i="42"/>
  <c r="W51" i="42"/>
  <c r="X51" i="42"/>
  <c r="Y51" i="42"/>
  <c r="Z51" i="42"/>
  <c r="AA51" i="42"/>
  <c r="AB51" i="42"/>
  <c r="AC51" i="42"/>
  <c r="AD51" i="42"/>
  <c r="AE51" i="42"/>
  <c r="AF51" i="42"/>
  <c r="AG51" i="42"/>
  <c r="AH51" i="42"/>
  <c r="AI51" i="42"/>
  <c r="AJ51" i="42"/>
  <c r="AK51" i="42"/>
  <c r="AL51" i="42"/>
  <c r="AM51" i="42"/>
  <c r="AN51" i="42"/>
  <c r="AO51" i="42"/>
  <c r="AP51" i="42"/>
  <c r="AQ51" i="42"/>
  <c r="AR51" i="42"/>
  <c r="AS51"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T61" i="42"/>
  <c r="U61" i="42"/>
  <c r="V61" i="42"/>
  <c r="W61" i="42"/>
  <c r="X61" i="42"/>
  <c r="Y61" i="42"/>
  <c r="Z61" i="42"/>
  <c r="AA61" i="42"/>
  <c r="AB61" i="42"/>
  <c r="AC61" i="42"/>
  <c r="AD61" i="42"/>
  <c r="AE61" i="42"/>
  <c r="AF61" i="42"/>
  <c r="AG61" i="42"/>
  <c r="AH61" i="42"/>
  <c r="AI61" i="42"/>
  <c r="AJ61" i="42"/>
  <c r="AK61" i="42"/>
  <c r="AL61" i="42"/>
  <c r="AM61" i="42"/>
  <c r="AN61" i="42"/>
  <c r="AO61" i="42"/>
  <c r="AP61" i="42"/>
  <c r="AQ61" i="42"/>
  <c r="AR61" i="42"/>
  <c r="AS61" i="42"/>
  <c r="T62" i="42"/>
  <c r="U62" i="42"/>
  <c r="V62" i="42"/>
  <c r="W62" i="42"/>
  <c r="X62" i="42"/>
  <c r="Y62" i="42"/>
  <c r="Z62" i="42"/>
  <c r="AA62" i="42"/>
  <c r="AB62" i="42"/>
  <c r="AC62" i="42"/>
  <c r="AD62" i="42"/>
  <c r="AE62" i="42"/>
  <c r="AF62" i="42"/>
  <c r="AG62" i="42"/>
  <c r="AH62" i="42"/>
  <c r="AI62" i="42"/>
  <c r="AJ62" i="42"/>
  <c r="AK62" i="42"/>
  <c r="AL62" i="42"/>
  <c r="AM62" i="42"/>
  <c r="AN62" i="42"/>
  <c r="AO62" i="42"/>
  <c r="AP62" i="42"/>
  <c r="AQ62" i="42"/>
  <c r="AR62" i="42"/>
  <c r="AS62" i="42"/>
  <c r="T63" i="42"/>
  <c r="U63" i="42"/>
  <c r="V63" i="42"/>
  <c r="W63" i="42"/>
  <c r="X63" i="42"/>
  <c r="Y63" i="42"/>
  <c r="Z63" i="42"/>
  <c r="AA63" i="42"/>
  <c r="AB63" i="42"/>
  <c r="AC63" i="42"/>
  <c r="AD63" i="42"/>
  <c r="AE63" i="42"/>
  <c r="AF63" i="42"/>
  <c r="AG63" i="42"/>
  <c r="AH63" i="42"/>
  <c r="AI63" i="42"/>
  <c r="AJ63" i="42"/>
  <c r="AK63" i="42"/>
  <c r="AL63" i="42"/>
  <c r="AM63" i="42"/>
  <c r="AN63" i="42"/>
  <c r="AO63" i="42"/>
  <c r="AP63" i="42"/>
  <c r="AQ63" i="42"/>
  <c r="AR63" i="42"/>
  <c r="AS63" i="42"/>
  <c r="T64" i="42"/>
  <c r="U64" i="42"/>
  <c r="V64" i="42"/>
  <c r="W64" i="42"/>
  <c r="X64" i="42"/>
  <c r="Y64" i="42"/>
  <c r="Z64" i="42"/>
  <c r="AA64" i="42"/>
  <c r="AB64" i="42"/>
  <c r="AC64" i="42"/>
  <c r="AD64" i="42"/>
  <c r="AE64" i="42"/>
  <c r="AF64" i="42"/>
  <c r="AG64" i="42"/>
  <c r="AH64" i="42"/>
  <c r="AI64" i="42"/>
  <c r="AJ64" i="42"/>
  <c r="AK64" i="42"/>
  <c r="AL64" i="42"/>
  <c r="AM64" i="42"/>
  <c r="AN64" i="42"/>
  <c r="AO64" i="42"/>
  <c r="AP64" i="42"/>
  <c r="AQ64" i="42"/>
  <c r="AR64" i="42"/>
  <c r="AS64" i="42"/>
  <c r="T65" i="42"/>
  <c r="U65" i="42"/>
  <c r="V65" i="42"/>
  <c r="W65" i="42"/>
  <c r="X65" i="42"/>
  <c r="Y65" i="42"/>
  <c r="Z65" i="42"/>
  <c r="AA65" i="42"/>
  <c r="AB65" i="42"/>
  <c r="AC65" i="42"/>
  <c r="AD65" i="42"/>
  <c r="AE65" i="42"/>
  <c r="AF65" i="42"/>
  <c r="AG65" i="42"/>
  <c r="AH65" i="42"/>
  <c r="AI65" i="42"/>
  <c r="AJ65" i="42"/>
  <c r="AK65" i="42"/>
  <c r="AL65" i="42"/>
  <c r="AM65" i="42"/>
  <c r="AN65" i="42"/>
  <c r="AO65" i="42"/>
  <c r="AP65" i="42"/>
  <c r="AQ65" i="42"/>
  <c r="AR65" i="42"/>
  <c r="AS65" i="42"/>
  <c r="T66" i="42"/>
  <c r="U66" i="42"/>
  <c r="V66" i="42"/>
  <c r="W66" i="42"/>
  <c r="X66" i="42"/>
  <c r="Y66" i="42"/>
  <c r="Z66" i="42"/>
  <c r="AA66" i="42"/>
  <c r="AB66" i="42"/>
  <c r="AC66" i="42"/>
  <c r="AD66" i="42"/>
  <c r="AE66" i="42"/>
  <c r="AF66" i="42"/>
  <c r="AG66" i="42"/>
  <c r="AH66" i="42"/>
  <c r="AI66" i="42"/>
  <c r="AJ66" i="42"/>
  <c r="AK66" i="42"/>
  <c r="AL66" i="42"/>
  <c r="AM66" i="42"/>
  <c r="AN66" i="42"/>
  <c r="AO66" i="42"/>
  <c r="AP66" i="42"/>
  <c r="AQ66" i="42"/>
  <c r="AR66" i="42"/>
  <c r="AS66" i="42"/>
  <c r="T67" i="42"/>
  <c r="U67" i="42"/>
  <c r="V67" i="42"/>
  <c r="W67" i="42"/>
  <c r="X67" i="42"/>
  <c r="Y67" i="42"/>
  <c r="Z67" i="42"/>
  <c r="AA67" i="42"/>
  <c r="AB67" i="42"/>
  <c r="AC67" i="42"/>
  <c r="AD67" i="42"/>
  <c r="AE67" i="42"/>
  <c r="AF67" i="42"/>
  <c r="AG67" i="42"/>
  <c r="AH67" i="42"/>
  <c r="AI67" i="42"/>
  <c r="AJ67" i="42"/>
  <c r="AK67" i="42"/>
  <c r="AL67" i="42"/>
  <c r="AM67" i="42"/>
  <c r="AN67" i="42"/>
  <c r="AO67" i="42"/>
  <c r="AP67" i="42"/>
  <c r="AQ67" i="42"/>
  <c r="AR67" i="42"/>
  <c r="AS67" i="42"/>
  <c r="C71" i="42"/>
  <c r="D71" i="42" s="1"/>
  <c r="E71" i="42" s="1"/>
  <c r="F71" i="42" s="1"/>
  <c r="G71" i="42" s="1"/>
  <c r="H71" i="42" s="1"/>
  <c r="I71" i="42" s="1"/>
  <c r="J71" i="42" s="1"/>
  <c r="K71" i="42" s="1"/>
  <c r="L71" i="42" s="1"/>
  <c r="M71" i="42" s="1"/>
  <c r="N71" i="42" s="1"/>
  <c r="O71" i="42" s="1"/>
  <c r="P71" i="42" s="1"/>
  <c r="Q71" i="42" s="1"/>
  <c r="R71" i="42" s="1"/>
  <c r="S71" i="42" s="1"/>
  <c r="T71" i="42" s="1"/>
  <c r="U71" i="42" s="1"/>
  <c r="V71" i="42" s="1"/>
  <c r="W71" i="42" s="1"/>
  <c r="X71" i="42" s="1"/>
  <c r="Y71" i="42" s="1"/>
  <c r="Z71" i="42" s="1"/>
  <c r="AA71" i="42" s="1"/>
  <c r="AB71" i="42" s="1"/>
  <c r="AC71" i="42" s="1"/>
  <c r="AD71" i="42" s="1"/>
  <c r="AE71" i="42" s="1"/>
  <c r="AF71" i="42" s="1"/>
  <c r="AG71" i="42" s="1"/>
  <c r="AH71" i="42" s="1"/>
  <c r="AI71" i="42" s="1"/>
  <c r="AJ71" i="42" s="1"/>
  <c r="AK71" i="42" s="1"/>
  <c r="AL71" i="42" s="1"/>
  <c r="AM71" i="42" s="1"/>
  <c r="AN71" i="42" s="1"/>
  <c r="AO71" i="42" s="1"/>
  <c r="AP71" i="42" s="1"/>
  <c r="AQ71" i="42" s="1"/>
  <c r="AR71" i="42" s="1"/>
  <c r="AS71" i="42" s="1"/>
  <c r="AT71" i="42" s="1"/>
  <c r="AU71" i="42" s="1"/>
  <c r="AV71" i="42" s="1"/>
  <c r="AW71" i="42" s="1"/>
  <c r="AX71" i="42" s="1"/>
  <c r="AY71" i="42" s="1"/>
  <c r="AZ71" i="42" s="1"/>
  <c r="BA71" i="42" s="1"/>
  <c r="BB71" i="42" s="1"/>
  <c r="BC71" i="42" s="1"/>
  <c r="BD71" i="42" s="1"/>
  <c r="BE71" i="42" s="1"/>
  <c r="BF71" i="42" s="1"/>
  <c r="BG71" i="42" s="1"/>
  <c r="BH71" i="42" s="1"/>
  <c r="BI71" i="42" s="1"/>
  <c r="BJ71" i="42" s="1"/>
  <c r="BK71" i="42" s="1"/>
  <c r="BL71" i="42" s="1"/>
  <c r="BM71" i="42" s="1"/>
  <c r="BN71" i="42" s="1"/>
  <c r="BO71" i="42" s="1"/>
  <c r="BP71" i="42" s="1"/>
  <c r="BQ71" i="42" s="1"/>
  <c r="BR71" i="42" s="1"/>
  <c r="BS71" i="42" s="1"/>
  <c r="BT71" i="42" s="1"/>
  <c r="BU71" i="42" s="1"/>
  <c r="BV71" i="42" s="1"/>
  <c r="BW71" i="42" s="1"/>
  <c r="BX71" i="42" s="1"/>
  <c r="BY71" i="42" s="1"/>
  <c r="BZ71" i="42" s="1"/>
  <c r="CA71" i="42" s="1"/>
  <c r="A73" i="42"/>
  <c r="A74" i="42" s="1"/>
  <c r="A75" i="42" s="1"/>
  <c r="A76" i="42" s="1"/>
  <c r="A77" i="42" s="1"/>
  <c r="A78" i="42" s="1"/>
  <c r="A79" i="42" s="1"/>
  <c r="A80" i="42" s="1"/>
  <c r="A81" i="42" s="1"/>
  <c r="A82" i="42" s="1"/>
  <c r="A83" i="42" s="1"/>
  <c r="A84" i="42" s="1"/>
  <c r="A85" i="42" s="1"/>
  <c r="A86" i="42" s="1"/>
  <c r="A87" i="42" s="1"/>
  <c r="A88" i="42" s="1"/>
  <c r="A89" i="42" s="1"/>
  <c r="A90" i="42" s="1"/>
  <c r="A91" i="42" s="1"/>
  <c r="A92" i="42" s="1"/>
  <c r="A93" i="42" s="1"/>
  <c r="A94" i="42" s="1"/>
  <c r="A95" i="42" s="1"/>
  <c r="A96" i="42" s="1"/>
  <c r="AV4" i="55"/>
  <c r="E5" i="55" l="1"/>
  <c r="O5" i="55" s="1"/>
  <c r="G4" i="55"/>
  <c r="M5" i="55" l="1"/>
  <c r="N5" i="55" s="1"/>
  <c r="Q5" i="55"/>
  <c r="P5" i="55"/>
  <c r="K5" i="55"/>
  <c r="L5" i="55" s="1"/>
  <c r="S5" i="55"/>
  <c r="G5" i="55"/>
  <c r="H5" i="55"/>
  <c r="D5" i="55"/>
  <c r="F5" i="55"/>
  <c r="X5" i="55" l="1"/>
  <c r="W5" i="55"/>
  <c r="E6" i="55"/>
  <c r="Q6" i="55" l="1"/>
  <c r="K6" i="55"/>
  <c r="L6" i="55" s="1"/>
  <c r="B6" i="55"/>
  <c r="M6" i="55" s="1"/>
  <c r="H6" i="55"/>
  <c r="A6" i="55"/>
  <c r="C6" i="55"/>
  <c r="O6" i="55" s="1"/>
  <c r="P6" i="55" l="1"/>
  <c r="D6" i="55"/>
  <c r="G6" i="55"/>
  <c r="U6" i="55"/>
  <c r="F6" i="55"/>
  <c r="W6" i="55"/>
  <c r="N6" i="55" l="1"/>
  <c r="X6" i="55" s="1"/>
  <c r="V6" i="55"/>
  <c r="E7" i="55"/>
  <c r="Q7" i="55" l="1"/>
  <c r="K7" i="55"/>
  <c r="L7" i="55" s="1"/>
  <c r="S6" i="55"/>
  <c r="B7" i="55"/>
  <c r="M7" i="55" s="1"/>
  <c r="H7" i="55"/>
  <c r="A7" i="55"/>
  <c r="C7" i="55"/>
  <c r="O7" i="55" s="1"/>
  <c r="P7" i="55" l="1"/>
  <c r="G7" i="55"/>
  <c r="D7" i="55"/>
  <c r="F7" i="55"/>
  <c r="W7" i="55"/>
  <c r="U7" i="55"/>
  <c r="N7" i="55" l="1"/>
  <c r="X7" i="55" s="1"/>
  <c r="E8" i="55"/>
  <c r="V7" i="55"/>
  <c r="Q8" i="55" l="1"/>
  <c r="K8" i="55"/>
  <c r="L8" i="55" s="1"/>
  <c r="S7" i="55"/>
  <c r="B8" i="55"/>
  <c r="P8" i="55" s="1"/>
  <c r="H8" i="55"/>
  <c r="C8" i="55"/>
  <c r="O8" i="55" s="1"/>
  <c r="A8" i="55"/>
  <c r="M8" i="55" l="1"/>
  <c r="D8" i="55"/>
  <c r="E9" i="55" s="1"/>
  <c r="G8" i="55"/>
  <c r="F8" i="55"/>
  <c r="U8" i="55"/>
  <c r="W8" i="55"/>
  <c r="Q9" i="55" l="1"/>
  <c r="K9" i="55"/>
  <c r="L9" i="55" s="1"/>
  <c r="H9" i="55"/>
  <c r="C9" i="55"/>
  <c r="O9" i="55" s="1"/>
  <c r="A9" i="55"/>
  <c r="B9" i="55"/>
  <c r="P9" i="55" s="1"/>
  <c r="N8" i="55"/>
  <c r="X8" i="55" s="1"/>
  <c r="V8" i="55"/>
  <c r="U9" i="55" l="1"/>
  <c r="V9" i="55" s="1"/>
  <c r="W9" i="55"/>
  <c r="G9" i="55"/>
  <c r="M9" i="55"/>
  <c r="D9" i="55"/>
  <c r="E10" i="55" s="1"/>
  <c r="S8" i="55"/>
  <c r="F9" i="55"/>
  <c r="Q10" i="55" l="1"/>
  <c r="K10" i="55"/>
  <c r="L10" i="55" s="1"/>
  <c r="N9" i="55"/>
  <c r="A10" i="55"/>
  <c r="C10" i="55"/>
  <c r="U10" i="55" s="1"/>
  <c r="H10" i="55"/>
  <c r="B10" i="55"/>
  <c r="M10" i="55" s="1"/>
  <c r="N10" i="55" s="1"/>
  <c r="O10" i="55" l="1"/>
  <c r="P10" i="55"/>
  <c r="V10" i="55" s="1"/>
  <c r="X10" i="55"/>
  <c r="F10" i="55"/>
  <c r="D10" i="55"/>
  <c r="E11" i="55" s="1"/>
  <c r="W10" i="55"/>
  <c r="G10" i="55"/>
  <c r="X9" i="55"/>
  <c r="S9" i="55"/>
  <c r="H11" i="55" l="1"/>
  <c r="K11" i="55"/>
  <c r="L11" i="55" s="1"/>
  <c r="Q11" i="55"/>
  <c r="C11" i="55"/>
  <c r="O11" i="55" s="1"/>
  <c r="B11" i="55"/>
  <c r="M11" i="55" s="1"/>
  <c r="S10" i="55"/>
  <c r="A11" i="55"/>
  <c r="P11" i="55" l="1"/>
  <c r="G11" i="55"/>
  <c r="F11" i="55"/>
  <c r="W11" i="55"/>
  <c r="U11" i="55"/>
  <c r="D11" i="55"/>
  <c r="E12" i="55" s="1"/>
  <c r="N11" i="55"/>
  <c r="Q12" i="55" l="1"/>
  <c r="K12" i="55"/>
  <c r="L12" i="55" s="1"/>
  <c r="A12" i="55"/>
  <c r="S11" i="55"/>
  <c r="H12" i="55"/>
  <c r="V11" i="55"/>
  <c r="C12" i="55"/>
  <c r="U12" i="55" s="1"/>
  <c r="B12" i="55"/>
  <c r="M12" i="55" s="1"/>
  <c r="X11" i="55"/>
  <c r="P12" i="55" l="1"/>
  <c r="V12" i="55" s="1"/>
  <c r="O12" i="55"/>
  <c r="D12" i="55"/>
  <c r="E13" i="55" s="1"/>
  <c r="W12" i="55"/>
  <c r="G12" i="55"/>
  <c r="F12" i="55"/>
  <c r="N12" i="55"/>
  <c r="S12" i="55" l="1"/>
  <c r="Q13" i="55"/>
  <c r="K13" i="55"/>
  <c r="L13" i="55" s="1"/>
  <c r="A13" i="55"/>
  <c r="C13" i="55"/>
  <c r="O13" i="55" s="1"/>
  <c r="B13" i="55"/>
  <c r="M13" i="55" s="1"/>
  <c r="H13" i="55"/>
  <c r="X12" i="55"/>
  <c r="P13" i="55" l="1"/>
  <c r="G13" i="55"/>
  <c r="F13" i="55"/>
  <c r="D13" i="55"/>
  <c r="E14" i="55" s="1"/>
  <c r="W13" i="55"/>
  <c r="U13" i="55"/>
  <c r="N13" i="55"/>
  <c r="H14" i="55" l="1"/>
  <c r="Q14" i="55"/>
  <c r="K14" i="55"/>
  <c r="L14" i="55" s="1"/>
  <c r="V13" i="55"/>
  <c r="A14" i="55"/>
  <c r="C14" i="55"/>
  <c r="O14" i="55" s="1"/>
  <c r="S13" i="55"/>
  <c r="B14" i="55"/>
  <c r="M14" i="55" s="1"/>
  <c r="X13" i="55"/>
  <c r="P14" i="55" l="1"/>
  <c r="F14" i="55"/>
  <c r="D14" i="55"/>
  <c r="E15" i="55" s="1"/>
  <c r="G14" i="55"/>
  <c r="U14" i="55"/>
  <c r="W14" i="55"/>
  <c r="N14" i="55"/>
  <c r="X14" i="55" s="1"/>
  <c r="A15" i="55" l="1"/>
  <c r="Q15" i="55"/>
  <c r="K15" i="55"/>
  <c r="L15" i="55" s="1"/>
  <c r="B15" i="55"/>
  <c r="M15" i="55" s="1"/>
  <c r="V14" i="55"/>
  <c r="C15" i="55"/>
  <c r="O15" i="55" s="1"/>
  <c r="H15" i="55"/>
  <c r="S14" i="55"/>
  <c r="U15" i="55" l="1"/>
  <c r="P15" i="55"/>
  <c r="W15" i="55"/>
  <c r="G15" i="55"/>
  <c r="F15" i="55"/>
  <c r="D15" i="55"/>
  <c r="E16" i="55" s="1"/>
  <c r="H16" i="55" s="1"/>
  <c r="N15" i="55"/>
  <c r="S15" i="55" s="1"/>
  <c r="V15" i="55" l="1"/>
  <c r="A16" i="55"/>
  <c r="Q16" i="55"/>
  <c r="K16" i="55"/>
  <c r="L16" i="55" s="1"/>
  <c r="B16" i="55"/>
  <c r="M16" i="55" s="1"/>
  <c r="C16" i="55"/>
  <c r="U16" i="55" s="1"/>
  <c r="X15" i="55"/>
  <c r="G16" i="55" l="1"/>
  <c r="O16" i="55"/>
  <c r="P16" i="55"/>
  <c r="V16" i="55" s="1"/>
  <c r="F16" i="55"/>
  <c r="D16" i="55"/>
  <c r="E17" i="55" s="1"/>
  <c r="W16" i="55"/>
  <c r="N16" i="55"/>
  <c r="C17" i="55" l="1"/>
  <c r="O17" i="55" s="1"/>
  <c r="B17" i="55"/>
  <c r="P17" i="55" s="1"/>
  <c r="Q17" i="55"/>
  <c r="K17" i="55"/>
  <c r="L17" i="55" s="1"/>
  <c r="A17" i="55"/>
  <c r="H17" i="55"/>
  <c r="S16" i="55"/>
  <c r="X16" i="55"/>
  <c r="G17" i="55" l="1"/>
  <c r="M17" i="55"/>
  <c r="F17" i="55"/>
  <c r="D17" i="55"/>
  <c r="E18" i="55" s="1"/>
  <c r="Q18" i="55" s="1"/>
  <c r="W17" i="55"/>
  <c r="B18" i="55" l="1"/>
  <c r="P18" i="55" s="1"/>
  <c r="A18" i="55"/>
  <c r="C18" i="55"/>
  <c r="O18" i="55" s="1"/>
  <c r="K18" i="55"/>
  <c r="L18" i="55" s="1"/>
  <c r="H18" i="55"/>
  <c r="G18" i="55" l="1"/>
  <c r="U18" i="55"/>
  <c r="V18" i="55" s="1"/>
  <c r="F18" i="55"/>
  <c r="D18" i="55"/>
  <c r="E19" i="55" s="1"/>
  <c r="Q19" i="55" s="1"/>
  <c r="W18" i="55"/>
  <c r="M18" i="55"/>
  <c r="C19" i="55" l="1"/>
  <c r="O19" i="55" s="1"/>
  <c r="A19" i="55"/>
  <c r="K19" i="55"/>
  <c r="L19" i="55" s="1"/>
  <c r="B19" i="55"/>
  <c r="M19" i="55" s="1"/>
  <c r="H19" i="55"/>
  <c r="U19" i="55" l="1"/>
  <c r="F19" i="55"/>
  <c r="G19" i="55"/>
  <c r="D19" i="55"/>
  <c r="E20" i="55" s="1"/>
  <c r="B20" i="55" s="1"/>
  <c r="M20" i="55" s="1"/>
  <c r="W19" i="55"/>
  <c r="P19" i="55"/>
  <c r="V19" i="55" l="1"/>
  <c r="H20" i="55"/>
  <c r="A20" i="55"/>
  <c r="K20" i="55"/>
  <c r="L20" i="55" s="1"/>
  <c r="C20" i="55"/>
  <c r="O20" i="55" s="1"/>
  <c r="Q20" i="55"/>
  <c r="P20" i="55"/>
  <c r="F20" i="55"/>
  <c r="D20" i="55"/>
  <c r="G20" i="55"/>
  <c r="U20" i="55" l="1"/>
  <c r="V20" i="55" s="1"/>
  <c r="W20" i="55"/>
  <c r="E21" i="55"/>
  <c r="H21" i="55" s="1"/>
  <c r="B21" i="55" l="1"/>
  <c r="D21" i="55" s="1"/>
  <c r="K21" i="55"/>
  <c r="L21" i="55" s="1"/>
  <c r="C21" i="55"/>
  <c r="O21" i="55" s="1"/>
  <c r="Q21" i="55"/>
  <c r="A21" i="55"/>
  <c r="G21" i="55" l="1"/>
  <c r="F21" i="55"/>
  <c r="W21" i="55"/>
  <c r="M21" i="55"/>
  <c r="E22" i="55"/>
  <c r="C22" i="55" s="1"/>
  <c r="O22" i="55" s="1"/>
  <c r="P21" i="55"/>
  <c r="U21" i="55"/>
  <c r="B22" i="55" l="1"/>
  <c r="M22" i="55" s="1"/>
  <c r="H22" i="55"/>
  <c r="K22" i="55"/>
  <c r="A22" i="55"/>
  <c r="Q22" i="55"/>
  <c r="V21" i="55"/>
  <c r="U22" i="55"/>
  <c r="L22" i="55"/>
  <c r="W22" i="55" l="1"/>
  <c r="G22" i="55"/>
  <c r="F22" i="55"/>
  <c r="P22" i="55"/>
  <c r="V22" i="55" s="1"/>
  <c r="D22" i="55"/>
  <c r="E23" i="55" s="1"/>
  <c r="K23" i="55" s="1"/>
  <c r="L23" i="55" s="1"/>
  <c r="C23" i="55" l="1"/>
  <c r="O23" i="55" s="1"/>
  <c r="H23" i="55"/>
  <c r="Q23" i="55"/>
  <c r="B23" i="55"/>
  <c r="P23" i="55" s="1"/>
  <c r="A23" i="55"/>
  <c r="U23" i="55" l="1"/>
  <c r="V23" i="55" s="1"/>
  <c r="F23" i="55"/>
  <c r="W23" i="55"/>
  <c r="G23" i="55"/>
  <c r="M23" i="55"/>
  <c r="D23" i="55"/>
  <c r="E24" i="55" s="1"/>
  <c r="Q24" i="55" s="1"/>
  <c r="B24" i="55"/>
  <c r="G24" i="55" s="1"/>
  <c r="C24" i="55" l="1"/>
  <c r="O24" i="55" s="1"/>
  <c r="A24" i="55"/>
  <c r="K24" i="55"/>
  <c r="L24" i="55" s="1"/>
  <c r="H24" i="55"/>
  <c r="P24" i="55"/>
  <c r="M24" i="55"/>
  <c r="F24" i="55"/>
  <c r="D24" i="55"/>
  <c r="E25" i="55" l="1"/>
  <c r="C25" i="55" s="1"/>
  <c r="O25" i="55" s="1"/>
  <c r="W24" i="55"/>
  <c r="U24" i="55"/>
  <c r="V24" i="55" s="1"/>
  <c r="A25" i="55" l="1"/>
  <c r="Q25" i="55"/>
  <c r="H25" i="55"/>
  <c r="B25" i="55"/>
  <c r="M25" i="55" s="1"/>
  <c r="K25" i="55"/>
  <c r="L25" i="55" s="1"/>
  <c r="G25" i="55"/>
  <c r="U25" i="55"/>
  <c r="W25" i="55" l="1"/>
  <c r="D25" i="55"/>
  <c r="E26" i="55" s="1"/>
  <c r="C26" i="55" s="1"/>
  <c r="O26" i="55" s="1"/>
  <c r="F25" i="55"/>
  <c r="P25" i="55"/>
  <c r="V25" i="55" s="1"/>
  <c r="Q26" i="55"/>
  <c r="K26" i="55"/>
  <c r="L26" i="55" s="1"/>
  <c r="H26" i="55"/>
  <c r="A26" i="55"/>
  <c r="B26" i="55"/>
  <c r="G26" i="55" s="1"/>
  <c r="P26" i="55" l="1"/>
  <c r="M26" i="55"/>
  <c r="W26" i="55"/>
  <c r="F26" i="55"/>
  <c r="U26" i="55"/>
  <c r="D26" i="55"/>
  <c r="E27" i="55" s="1"/>
  <c r="K27" i="55" l="1"/>
  <c r="L27" i="55" s="1"/>
  <c r="Q27" i="55"/>
  <c r="V26" i="55"/>
  <c r="B27" i="55"/>
  <c r="M27" i="55" s="1"/>
  <c r="C27" i="55"/>
  <c r="O27" i="55" s="1"/>
  <c r="A27" i="55"/>
  <c r="H27" i="55"/>
  <c r="P27" i="55" l="1"/>
  <c r="D27" i="55"/>
  <c r="W27" i="55"/>
  <c r="U27" i="55"/>
  <c r="F27" i="55"/>
  <c r="G27" i="55"/>
  <c r="E28" i="55" l="1"/>
  <c r="V27" i="55"/>
  <c r="Q28" i="55" l="1"/>
  <c r="K28" i="55"/>
  <c r="L28" i="55" s="1"/>
  <c r="B28" i="55"/>
  <c r="M28" i="55" s="1"/>
  <c r="C28" i="55"/>
  <c r="U28" i="55" s="1"/>
  <c r="A28" i="55"/>
  <c r="H28" i="55"/>
  <c r="P28" i="55" l="1"/>
  <c r="O28" i="55"/>
  <c r="G28" i="55"/>
  <c r="F28" i="55"/>
  <c r="D28" i="55"/>
  <c r="E29" i="55" s="1"/>
  <c r="W28" i="55"/>
  <c r="Q29" i="55" l="1"/>
  <c r="K29" i="55"/>
  <c r="V28" i="55"/>
  <c r="A29" i="55"/>
  <c r="H29" i="55"/>
  <c r="L29" i="55"/>
  <c r="C29" i="55"/>
  <c r="O29" i="55" s="1"/>
  <c r="B29" i="55"/>
  <c r="P29" i="55" s="1"/>
  <c r="M29" i="55" l="1"/>
  <c r="W29" i="55"/>
  <c r="F29" i="55"/>
  <c r="D29" i="55"/>
  <c r="E30" i="55" s="1"/>
  <c r="G29" i="55"/>
  <c r="Q30" i="55" l="1"/>
  <c r="K30" i="55"/>
  <c r="L30" i="55" s="1"/>
  <c r="H30" i="55"/>
  <c r="B30" i="55"/>
  <c r="G30" i="55" s="1"/>
  <c r="C30" i="55"/>
  <c r="O30" i="55" s="1"/>
  <c r="A30" i="55"/>
  <c r="P30" i="55" l="1"/>
  <c r="M30" i="55"/>
  <c r="D30" i="55"/>
  <c r="E31" i="55" s="1"/>
  <c r="F30" i="55"/>
  <c r="U30" i="55"/>
  <c r="W30" i="55"/>
  <c r="Q31" i="55" l="1"/>
  <c r="K31" i="55"/>
  <c r="L31" i="55" s="1"/>
  <c r="H31" i="55"/>
  <c r="V30" i="55"/>
  <c r="B31" i="55"/>
  <c r="P31" i="55" s="1"/>
  <c r="A31" i="55"/>
  <c r="C31" i="55"/>
  <c r="O31" i="55" s="1"/>
  <c r="M31" i="55" l="1"/>
  <c r="D31" i="55"/>
  <c r="E32" i="55" s="1"/>
  <c r="G31" i="55"/>
  <c r="W31" i="55"/>
  <c r="F31" i="55"/>
  <c r="U31" i="55"/>
  <c r="Q32" i="55" l="1"/>
  <c r="K32" i="55"/>
  <c r="L32" i="55" s="1"/>
  <c r="V31" i="55"/>
  <c r="H32" i="55"/>
  <c r="A32" i="55"/>
  <c r="C32" i="55"/>
  <c r="O32" i="55" s="1"/>
  <c r="B32" i="55"/>
  <c r="P32" i="55" s="1"/>
  <c r="M32" i="55" l="1"/>
  <c r="F32" i="55"/>
  <c r="D32" i="55"/>
  <c r="E33" i="55" s="1"/>
  <c r="G32" i="55"/>
  <c r="W32" i="55"/>
  <c r="U32" i="55"/>
  <c r="Q33" i="55" l="1"/>
  <c r="K33" i="55"/>
  <c r="L33" i="55" s="1"/>
  <c r="A33" i="55"/>
  <c r="B33" i="55"/>
  <c r="P33" i="55" s="1"/>
  <c r="H33" i="55"/>
  <c r="V32" i="55"/>
  <c r="C33" i="55"/>
  <c r="U33" i="55" s="1"/>
  <c r="O33" i="55" l="1"/>
  <c r="M33" i="55"/>
  <c r="G33" i="55"/>
  <c r="F33" i="55"/>
  <c r="W33" i="55"/>
  <c r="D33" i="55"/>
  <c r="E34" i="55" s="1"/>
  <c r="V33" i="55"/>
  <c r="Q34" i="55" l="1"/>
  <c r="K34" i="55"/>
  <c r="L34" i="55" s="1"/>
  <c r="A34" i="55"/>
  <c r="H34" i="55"/>
  <c r="C34" i="55"/>
  <c r="O34" i="55" s="1"/>
  <c r="B34" i="55"/>
  <c r="M34" i="55" s="1"/>
  <c r="P34" i="55" l="1"/>
  <c r="G34" i="55"/>
  <c r="U34" i="55"/>
  <c r="F34" i="55"/>
  <c r="D34" i="55"/>
  <c r="E35" i="55" s="1"/>
  <c r="W34" i="55"/>
  <c r="K35" i="55" l="1"/>
  <c r="L35" i="55" s="1"/>
  <c r="Q35" i="55"/>
  <c r="V34" i="55"/>
  <c r="C35" i="55"/>
  <c r="O35" i="55" s="1"/>
  <c r="A35" i="55"/>
  <c r="B35" i="55"/>
  <c r="P35" i="55" s="1"/>
  <c r="H35" i="55"/>
  <c r="M35" i="55" l="1"/>
  <c r="D35" i="55"/>
  <c r="E36" i="55" s="1"/>
  <c r="G35" i="55"/>
  <c r="U35" i="55"/>
  <c r="F35" i="55"/>
  <c r="W35" i="55"/>
  <c r="Q36" i="55" l="1"/>
  <c r="K36" i="55"/>
  <c r="L36" i="55" s="1"/>
  <c r="V35" i="55"/>
  <c r="B36" i="55"/>
  <c r="F36" i="55" s="1"/>
  <c r="C36" i="55"/>
  <c r="O36" i="55" s="1"/>
  <c r="H36" i="55"/>
  <c r="A36" i="55"/>
  <c r="P36" i="55" l="1"/>
  <c r="M36" i="55"/>
  <c r="U36" i="55"/>
  <c r="W36" i="55"/>
  <c r="D36" i="55"/>
  <c r="E37" i="55" s="1"/>
  <c r="G36" i="55"/>
  <c r="Q37" i="55" l="1"/>
  <c r="K37" i="55"/>
  <c r="L37" i="55" s="1"/>
  <c r="V36" i="55"/>
  <c r="C37" i="55"/>
  <c r="O37" i="55" s="1"/>
  <c r="B37" i="55"/>
  <c r="P37" i="55" s="1"/>
  <c r="A37" i="55"/>
  <c r="H37" i="55"/>
  <c r="M37" i="55" l="1"/>
  <c r="W37" i="55"/>
  <c r="U37" i="55"/>
  <c r="G37" i="55"/>
  <c r="D37" i="55"/>
  <c r="E38" i="55" s="1"/>
  <c r="F37" i="55"/>
  <c r="Q38" i="55" l="1"/>
  <c r="K38" i="55"/>
  <c r="L38" i="55" s="1"/>
  <c r="V37" i="55"/>
  <c r="H38" i="55"/>
  <c r="C38" i="55"/>
  <c r="O38" i="55" s="1"/>
  <c r="A38" i="55"/>
  <c r="B38" i="55"/>
  <c r="F38" i="55" s="1"/>
  <c r="P38" i="55" l="1"/>
  <c r="M38" i="55"/>
  <c r="G38" i="55"/>
  <c r="D38" i="55"/>
  <c r="E39" i="55" s="1"/>
  <c r="W38" i="55"/>
  <c r="U38" i="55"/>
  <c r="Q39" i="55" l="1"/>
  <c r="K39" i="55"/>
  <c r="L39" i="55" s="1"/>
  <c r="V38" i="55"/>
  <c r="B39" i="55"/>
  <c r="M39" i="55" s="1"/>
  <c r="H39" i="55"/>
  <c r="A39" i="55"/>
  <c r="C39" i="55"/>
  <c r="O39" i="55" s="1"/>
  <c r="P39" i="55" l="1"/>
  <c r="D39" i="55"/>
  <c r="E40" i="55" s="1"/>
  <c r="W39" i="55"/>
  <c r="F39" i="55"/>
  <c r="G39" i="55"/>
  <c r="U39" i="55"/>
  <c r="Q40" i="55" l="1"/>
  <c r="K40" i="55"/>
  <c r="L40" i="55" s="1"/>
  <c r="C40" i="55"/>
  <c r="B40" i="55"/>
  <c r="F40" i="55" s="1"/>
  <c r="H40" i="55"/>
  <c r="A40" i="55"/>
  <c r="V39" i="55"/>
  <c r="O40" i="55" l="1"/>
  <c r="P40" i="55"/>
  <c r="M40" i="55"/>
  <c r="G40" i="55"/>
  <c r="U40" i="55"/>
  <c r="D40" i="55"/>
  <c r="E41" i="55" s="1"/>
  <c r="W40" i="55"/>
  <c r="Q41" i="55" l="1"/>
  <c r="K41" i="55"/>
  <c r="L41" i="55" s="1"/>
  <c r="A41" i="55"/>
  <c r="B41" i="55"/>
  <c r="G41" i="55" s="1"/>
  <c r="V40" i="55"/>
  <c r="H41" i="55"/>
  <c r="C41" i="55"/>
  <c r="O41" i="55" s="1"/>
  <c r="P41" i="55" l="1"/>
  <c r="M41" i="55"/>
  <c r="W41" i="55"/>
  <c r="D41" i="55"/>
  <c r="E42" i="55" s="1"/>
  <c r="F41" i="55"/>
  <c r="Q42" i="55" l="1"/>
  <c r="K42" i="55"/>
  <c r="L42" i="55" s="1"/>
  <c r="B42" i="55"/>
  <c r="M42" i="55" s="1"/>
  <c r="A42" i="55"/>
  <c r="C42" i="55"/>
  <c r="O42" i="55" s="1"/>
  <c r="H42" i="55"/>
  <c r="P42" i="55" l="1"/>
  <c r="D42" i="55"/>
  <c r="E43" i="55" s="1"/>
  <c r="F42" i="55"/>
  <c r="G42" i="55"/>
  <c r="U42" i="55"/>
  <c r="W42" i="55"/>
  <c r="K43" i="55" l="1"/>
  <c r="L43" i="55" s="1"/>
  <c r="Q43" i="55"/>
  <c r="V42" i="55"/>
  <c r="C43" i="55"/>
  <c r="O43" i="55" s="1"/>
  <c r="H43" i="55"/>
  <c r="B43" i="55"/>
  <c r="M43" i="55" s="1"/>
  <c r="A43" i="55"/>
  <c r="P43" i="55" l="1"/>
  <c r="U43" i="55"/>
  <c r="D43" i="55"/>
  <c r="G43" i="55"/>
  <c r="W43" i="55"/>
  <c r="F43" i="55"/>
  <c r="E44" i="55" l="1"/>
  <c r="V43" i="55"/>
  <c r="Q44" i="55" l="1"/>
  <c r="K44" i="55"/>
  <c r="L44" i="55" s="1"/>
  <c r="A44" i="55"/>
  <c r="C44" i="55"/>
  <c r="O44" i="55" s="1"/>
  <c r="H44" i="55"/>
  <c r="B44" i="55"/>
  <c r="P44" i="55" s="1"/>
  <c r="M44" i="55" l="1"/>
  <c r="U44" i="55"/>
  <c r="G44" i="55"/>
  <c r="F44" i="55"/>
  <c r="W44" i="55"/>
  <c r="D44" i="55"/>
  <c r="E45" i="55" s="1"/>
  <c r="Q45" i="55" l="1"/>
  <c r="K45" i="55"/>
  <c r="V44" i="55"/>
  <c r="C45" i="55"/>
  <c r="O45" i="55" s="1"/>
  <c r="B45" i="55"/>
  <c r="G45" i="55" s="1"/>
  <c r="A45" i="55"/>
  <c r="H45" i="55"/>
  <c r="P45" i="55" l="1"/>
  <c r="M45" i="55"/>
  <c r="W45" i="55"/>
  <c r="F45" i="55"/>
  <c r="D45" i="55"/>
  <c r="E46" i="55" s="1"/>
  <c r="U45" i="55"/>
  <c r="L45" i="55"/>
  <c r="Q46" i="55" l="1"/>
  <c r="K46" i="55"/>
  <c r="L46" i="55" s="1"/>
  <c r="V45" i="55"/>
  <c r="H46" i="55"/>
  <c r="A46" i="55"/>
  <c r="C46" i="55"/>
  <c r="O46" i="55" s="1"/>
  <c r="B46" i="55"/>
  <c r="M46" i="55" s="1"/>
  <c r="P46" i="55" l="1"/>
  <c r="F46" i="55"/>
  <c r="W46" i="55"/>
  <c r="G46" i="55"/>
  <c r="D46" i="55"/>
  <c r="E47" i="55" s="1"/>
  <c r="U46" i="55"/>
  <c r="Q47" i="55" l="1"/>
  <c r="K47" i="55"/>
  <c r="V46" i="55"/>
  <c r="H47" i="55"/>
  <c r="A47" i="55"/>
  <c r="C47" i="55"/>
  <c r="O47" i="55" s="1"/>
  <c r="B47" i="55"/>
  <c r="M47" i="55" s="1"/>
  <c r="L47" i="55"/>
  <c r="P47" i="55" l="1"/>
  <c r="D47" i="55"/>
  <c r="E48" i="55" s="1"/>
  <c r="W47" i="55"/>
  <c r="U47" i="55"/>
  <c r="G47" i="55"/>
  <c r="F47" i="55"/>
  <c r="Q48" i="55" l="1"/>
  <c r="K48" i="55"/>
  <c r="L48" i="55" s="1"/>
  <c r="V47" i="55"/>
  <c r="B48" i="55"/>
  <c r="M48" i="55" s="1"/>
  <c r="C48" i="55"/>
  <c r="O48" i="55" s="1"/>
  <c r="A48" i="55"/>
  <c r="H48" i="55"/>
  <c r="P48" i="55" l="1"/>
  <c r="F48" i="55"/>
  <c r="D48" i="55"/>
  <c r="W48" i="55"/>
  <c r="U48" i="55"/>
  <c r="G48" i="55"/>
  <c r="E49" i="55" l="1"/>
  <c r="V48" i="55"/>
  <c r="Q49" i="55" l="1"/>
  <c r="K49" i="55"/>
  <c r="L49" i="55" s="1"/>
  <c r="C49" i="55"/>
  <c r="O49" i="55" s="1"/>
  <c r="B49" i="55"/>
  <c r="F49" i="55" s="1"/>
  <c r="A49" i="55"/>
  <c r="H49" i="55"/>
  <c r="P49" i="55" l="1"/>
  <c r="M49" i="55"/>
  <c r="U49" i="55"/>
  <c r="G49" i="55"/>
  <c r="W49" i="55"/>
  <c r="D49" i="55"/>
  <c r="E50" i="55" l="1"/>
  <c r="V49" i="55"/>
  <c r="Q50" i="55" l="1"/>
  <c r="K50" i="55"/>
  <c r="L50" i="55" s="1"/>
  <c r="A50" i="55"/>
  <c r="H50" i="55"/>
  <c r="C50" i="55"/>
  <c r="O50" i="55" s="1"/>
  <c r="B50" i="55"/>
  <c r="P50" i="55" s="1"/>
  <c r="M50" i="55" l="1"/>
  <c r="D50" i="55"/>
  <c r="E51" i="55" s="1"/>
  <c r="W50" i="55"/>
  <c r="F50" i="55"/>
  <c r="G50" i="55"/>
  <c r="U50" i="55"/>
  <c r="Q51" i="55" l="1"/>
  <c r="K51" i="55"/>
  <c r="L51" i="55" s="1"/>
  <c r="C51" i="55"/>
  <c r="O51" i="55" s="1"/>
  <c r="A51" i="55"/>
  <c r="H51" i="55"/>
  <c r="B51" i="55"/>
  <c r="P51" i="55" s="1"/>
  <c r="V50" i="55"/>
  <c r="M51" i="55" l="1"/>
  <c r="U51" i="55"/>
  <c r="W51" i="55"/>
  <c r="D51" i="55"/>
  <c r="E52" i="55" s="1"/>
  <c r="G51" i="55"/>
  <c r="F51" i="55"/>
  <c r="Q52" i="55" l="1"/>
  <c r="K52" i="55"/>
  <c r="L52" i="55" s="1"/>
  <c r="V51" i="55"/>
  <c r="B52" i="55"/>
  <c r="P52" i="55" s="1"/>
  <c r="H52" i="55"/>
  <c r="C52" i="55"/>
  <c r="A52" i="55"/>
  <c r="O52" i="55" l="1"/>
  <c r="M52" i="55"/>
  <c r="F52" i="55"/>
  <c r="G52" i="55"/>
  <c r="W52" i="55"/>
  <c r="D52" i="55"/>
  <c r="E53" i="55" s="1"/>
  <c r="U52" i="55"/>
  <c r="Q53" i="55" l="1"/>
  <c r="K53" i="55"/>
  <c r="B53" i="55"/>
  <c r="G53" i="55" s="1"/>
  <c r="L53" i="55"/>
  <c r="A53" i="55"/>
  <c r="H53" i="55"/>
  <c r="C53" i="55"/>
  <c r="O53" i="55" s="1"/>
  <c r="V52" i="55"/>
  <c r="P53" i="55" l="1"/>
  <c r="M53" i="55"/>
  <c r="F53" i="55"/>
  <c r="D53" i="55"/>
  <c r="E54" i="55" s="1"/>
  <c r="W53" i="55"/>
  <c r="Q54" i="55" l="1"/>
  <c r="K54" i="55"/>
  <c r="L54" i="55" s="1"/>
  <c r="B54" i="55"/>
  <c r="F54" i="55" s="1"/>
  <c r="H54" i="55"/>
  <c r="A54" i="55"/>
  <c r="C54" i="55"/>
  <c r="O54" i="55" s="1"/>
  <c r="P54" i="55" l="1"/>
  <c r="M54" i="55"/>
  <c r="U54" i="55"/>
  <c r="D54" i="55"/>
  <c r="W54" i="55"/>
  <c r="G54" i="55"/>
  <c r="V54" i="55" l="1"/>
  <c r="E55" i="55"/>
  <c r="Q55" i="55" l="1"/>
  <c r="K55" i="55"/>
  <c r="L55" i="55" s="1"/>
  <c r="C55" i="55"/>
  <c r="O55" i="55" s="1"/>
  <c r="H55" i="55"/>
  <c r="A55" i="55"/>
  <c r="B55" i="55"/>
  <c r="F55" i="55" s="1"/>
  <c r="P55" i="55" l="1"/>
  <c r="M55" i="55"/>
  <c r="W55" i="55"/>
  <c r="D55" i="55"/>
  <c r="E56" i="55" s="1"/>
  <c r="G55" i="55"/>
  <c r="U55" i="55"/>
  <c r="Q56" i="55" l="1"/>
  <c r="K56" i="55"/>
  <c r="L56" i="55" s="1"/>
  <c r="V55" i="55"/>
  <c r="C56" i="55"/>
  <c r="O56" i="55" s="1"/>
  <c r="H56" i="55"/>
  <c r="B56" i="55"/>
  <c r="F56" i="55" s="1"/>
  <c r="A56" i="55"/>
  <c r="P56" i="55" l="1"/>
  <c r="M56" i="55"/>
  <c r="U56" i="55"/>
  <c r="G56" i="55"/>
  <c r="W56" i="55"/>
  <c r="D56" i="55"/>
  <c r="E57" i="55" l="1"/>
  <c r="V56" i="55"/>
  <c r="Q57" i="55" l="1"/>
  <c r="K57" i="55"/>
  <c r="L57" i="55" s="1"/>
  <c r="C57" i="55"/>
  <c r="O57" i="55" s="1"/>
  <c r="B57" i="55"/>
  <c r="P57" i="55" s="1"/>
  <c r="A57" i="55"/>
  <c r="H57" i="55"/>
  <c r="M57" i="55" l="1"/>
  <c r="G57" i="55"/>
  <c r="D57" i="55"/>
  <c r="E58" i="55" s="1"/>
  <c r="U57" i="55"/>
  <c r="F57" i="55"/>
  <c r="W57" i="55"/>
  <c r="Q58" i="55" l="1"/>
  <c r="K58" i="55"/>
  <c r="L58" i="55" s="1"/>
  <c r="V57" i="55"/>
  <c r="H58" i="55"/>
  <c r="B58" i="55"/>
  <c r="M58" i="55" s="1"/>
  <c r="A58" i="55"/>
  <c r="C58" i="55"/>
  <c r="O58" i="55" s="1"/>
  <c r="P58" i="55" l="1"/>
  <c r="U58" i="55"/>
  <c r="W58" i="55"/>
  <c r="D58" i="55"/>
  <c r="E59" i="55" s="1"/>
  <c r="G58" i="55"/>
  <c r="F58" i="55"/>
  <c r="K59" i="55" l="1"/>
  <c r="Q59" i="55"/>
  <c r="B59" i="55"/>
  <c r="P59" i="55" s="1"/>
  <c r="V58" i="55"/>
  <c r="L59" i="55"/>
  <c r="C59" i="55"/>
  <c r="O59" i="55" s="1"/>
  <c r="A59" i="55"/>
  <c r="H59" i="55"/>
  <c r="G59" i="55" l="1"/>
  <c r="M59" i="55"/>
  <c r="F59" i="55"/>
  <c r="D59" i="55"/>
  <c r="E60" i="55" s="1"/>
  <c r="W59" i="55"/>
  <c r="U59" i="55"/>
  <c r="A60" i="55" l="1"/>
  <c r="Q60" i="55"/>
  <c r="K60" i="55"/>
  <c r="L60" i="55" s="1"/>
  <c r="H60" i="55"/>
  <c r="C60" i="55"/>
  <c r="O60" i="55" s="1"/>
  <c r="B60" i="55"/>
  <c r="F60" i="55" s="1"/>
  <c r="V59" i="55"/>
  <c r="P60" i="55" l="1"/>
  <c r="U60" i="55"/>
  <c r="G60" i="55"/>
  <c r="M60" i="55"/>
  <c r="W60" i="55"/>
  <c r="D60" i="55"/>
  <c r="E61" i="55" s="1"/>
  <c r="Q61" i="55" l="1"/>
  <c r="K61" i="55"/>
  <c r="L61" i="55" s="1"/>
  <c r="V60" i="55"/>
  <c r="H61" i="55"/>
  <c r="B61" i="55"/>
  <c r="P61" i="55" s="1"/>
  <c r="A61" i="55"/>
  <c r="C61" i="55"/>
  <c r="O61" i="55" s="1"/>
  <c r="W61" i="55" l="1"/>
  <c r="U61" i="55"/>
  <c r="D61" i="55"/>
  <c r="E62" i="55" s="1"/>
  <c r="M61" i="55"/>
  <c r="F61" i="55"/>
  <c r="G61" i="55"/>
  <c r="B62" i="55" l="1"/>
  <c r="M62" i="55" s="1"/>
  <c r="Q62" i="55"/>
  <c r="K62" i="55"/>
  <c r="L62" i="55" s="1"/>
  <c r="H62" i="55"/>
  <c r="C62" i="55"/>
  <c r="W62" i="55" s="1"/>
  <c r="V61" i="55"/>
  <c r="A62" i="55"/>
  <c r="D62" i="55" l="1"/>
  <c r="E63" i="55" s="1"/>
  <c r="G62" i="55"/>
  <c r="F62" i="55"/>
  <c r="O62" i="55"/>
  <c r="P62" i="55"/>
  <c r="U62" i="55"/>
  <c r="B63" i="55" l="1"/>
  <c r="M63" i="55" s="1"/>
  <c r="Q63" i="55"/>
  <c r="K63" i="55"/>
  <c r="V62" i="55"/>
  <c r="C63" i="55"/>
  <c r="U63" i="55" s="1"/>
  <c r="A63" i="55"/>
  <c r="L63" i="55"/>
  <c r="H63" i="55"/>
  <c r="F63" i="55"/>
  <c r="D63" i="55" l="1"/>
  <c r="E64" i="55" s="1"/>
  <c r="G63" i="55"/>
  <c r="P63" i="55"/>
  <c r="V63" i="55" s="1"/>
  <c r="W63" i="55"/>
  <c r="O63" i="55"/>
  <c r="B64" i="55" l="1"/>
  <c r="M64" i="55" s="1"/>
  <c r="Q64" i="55"/>
  <c r="K64" i="55"/>
  <c r="L64" i="55" s="1"/>
  <c r="C64" i="55"/>
  <c r="H64" i="55"/>
  <c r="A64" i="55"/>
  <c r="D64" i="55"/>
  <c r="G64" i="55" l="1"/>
  <c r="F64" i="55"/>
  <c r="W64" i="55"/>
  <c r="E65" i="55"/>
  <c r="C65" i="55" s="1"/>
  <c r="O65" i="55" s="1"/>
  <c r="U64" i="55"/>
  <c r="O64" i="55"/>
  <c r="P64" i="55"/>
  <c r="H65" i="55"/>
  <c r="Q65" i="55" l="1"/>
  <c r="A65" i="55"/>
  <c r="B65" i="55"/>
  <c r="F65" i="55" s="1"/>
  <c r="K65" i="55"/>
  <c r="L65" i="55" s="1"/>
  <c r="V64" i="55"/>
  <c r="P65" i="55"/>
  <c r="M65" i="55"/>
  <c r="D65" i="55"/>
  <c r="E66" i="55" s="1"/>
  <c r="G65" i="55"/>
  <c r="W65" i="55"/>
  <c r="Q66" i="55" l="1"/>
  <c r="K66" i="55"/>
  <c r="L66" i="55" s="1"/>
  <c r="H66" i="55"/>
  <c r="C66" i="55"/>
  <c r="O66" i="55" s="1"/>
  <c r="A66" i="55"/>
  <c r="B66" i="55"/>
  <c r="M66" i="55" s="1"/>
  <c r="E5" i="26"/>
  <c r="V5" i="26" l="1"/>
  <c r="P66" i="55"/>
  <c r="P5" i="26"/>
  <c r="U66" i="55"/>
  <c r="F66" i="55"/>
  <c r="W66" i="55"/>
  <c r="D66" i="55"/>
  <c r="G66" i="55"/>
  <c r="F5" i="26"/>
  <c r="G5" i="26"/>
  <c r="H5" i="26"/>
  <c r="AP5" i="26"/>
  <c r="D5" i="26"/>
  <c r="E6" i="26" s="1"/>
  <c r="A6" i="26" l="1"/>
  <c r="E67" i="55"/>
  <c r="V66" i="55"/>
  <c r="B6" i="26"/>
  <c r="D6" i="26" s="1"/>
  <c r="C6" i="26"/>
  <c r="AS6" i="26" s="1"/>
  <c r="H6" i="26"/>
  <c r="V6" i="26" l="1"/>
  <c r="K67" i="55"/>
  <c r="L67" i="55" s="1"/>
  <c r="Q67" i="55"/>
  <c r="F6" i="26"/>
  <c r="P6" i="26"/>
  <c r="H67" i="55"/>
  <c r="A67" i="55"/>
  <c r="B67" i="55"/>
  <c r="P67" i="55" s="1"/>
  <c r="C67" i="55"/>
  <c r="O67" i="55" s="1"/>
  <c r="G6" i="26"/>
  <c r="AP6" i="26"/>
  <c r="E7" i="26"/>
  <c r="AO6" i="26"/>
  <c r="BJ6" i="26"/>
  <c r="M67" i="55" l="1"/>
  <c r="U67" i="55"/>
  <c r="V67" i="55" s="1"/>
  <c r="F67" i="55"/>
  <c r="G67" i="55"/>
  <c r="W67" i="55"/>
  <c r="D67" i="55"/>
  <c r="E68" i="55" s="1"/>
  <c r="AT6" i="26"/>
  <c r="B7" i="26"/>
  <c r="G7" i="26" s="1"/>
  <c r="H7" i="26"/>
  <c r="Q68" i="55" l="1"/>
  <c r="K68" i="55"/>
  <c r="L68" i="55" s="1"/>
  <c r="P7" i="26"/>
  <c r="B68" i="55"/>
  <c r="D68" i="55" s="1"/>
  <c r="C68" i="55"/>
  <c r="O68" i="55" s="1"/>
  <c r="A68" i="55"/>
  <c r="H68" i="55"/>
  <c r="F7" i="26"/>
  <c r="D7" i="26"/>
  <c r="AP7" i="26"/>
  <c r="P68" i="55" l="1"/>
  <c r="M68" i="55"/>
  <c r="G68" i="55"/>
  <c r="F68" i="55"/>
  <c r="U68" i="55"/>
  <c r="E69" i="55"/>
  <c r="W68" i="55"/>
  <c r="AE5" i="54"/>
  <c r="AF5" i="54" s="1"/>
  <c r="AC5"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6" i="54"/>
  <c r="AA5" i="54"/>
  <c r="AA7" i="54"/>
  <c r="Q69" i="55" l="1"/>
  <c r="K69" i="55"/>
  <c r="V68" i="55"/>
  <c r="A69" i="55"/>
  <c r="H69" i="55"/>
  <c r="L69" i="55"/>
  <c r="B69" i="55"/>
  <c r="F69" i="55" s="1"/>
  <c r="C69" i="55"/>
  <c r="O69" i="55" s="1"/>
  <c r="AL5" i="54"/>
  <c r="AP5" i="54" s="1"/>
  <c r="AD5" i="54"/>
  <c r="CW67" i="42"/>
  <c r="CV67" i="42"/>
  <c r="CU67" i="42"/>
  <c r="CT67" i="42"/>
  <c r="CS67" i="42"/>
  <c r="CR67" i="42"/>
  <c r="CQ67" i="42"/>
  <c r="CP67" i="42"/>
  <c r="CO67" i="42"/>
  <c r="CN67" i="42"/>
  <c r="CM67" i="42"/>
  <c r="CL67" i="42"/>
  <c r="CK67" i="42"/>
  <c r="CJ67" i="42"/>
  <c r="CI67" i="42"/>
  <c r="CH67" i="42"/>
  <c r="CG67" i="42"/>
  <c r="CF67" i="42"/>
  <c r="CE67" i="42"/>
  <c r="CD67" i="42"/>
  <c r="CC67" i="42"/>
  <c r="CB67" i="42"/>
  <c r="CA67" i="42"/>
  <c r="BZ67" i="42"/>
  <c r="BY67" i="42"/>
  <c r="BX67" i="42"/>
  <c r="BW67" i="42"/>
  <c r="BV67" i="42"/>
  <c r="BU67" i="42"/>
  <c r="BT67" i="42"/>
  <c r="BS67" i="42"/>
  <c r="BR67" i="42"/>
  <c r="BQ67" i="42"/>
  <c r="BP67" i="42"/>
  <c r="BO67" i="42"/>
  <c r="BN67" i="42"/>
  <c r="BM67" i="42"/>
  <c r="BL67" i="42"/>
  <c r="BK67" i="42"/>
  <c r="BJ67" i="42"/>
  <c r="BI67" i="42"/>
  <c r="BH67" i="42"/>
  <c r="BG67" i="42"/>
  <c r="BF67" i="42"/>
  <c r="BE67" i="42"/>
  <c r="BD67" i="42"/>
  <c r="BC67" i="42"/>
  <c r="BB67" i="42"/>
  <c r="BA67" i="42"/>
  <c r="AZ67" i="42"/>
  <c r="AY67" i="42"/>
  <c r="AX67" i="42"/>
  <c r="AW67" i="42"/>
  <c r="AV67" i="42"/>
  <c r="AU67" i="42"/>
  <c r="AT67" i="42"/>
  <c r="CW66" i="42"/>
  <c r="CV66" i="42"/>
  <c r="CU66" i="42"/>
  <c r="CT66" i="42"/>
  <c r="CS66" i="42"/>
  <c r="CR66" i="42"/>
  <c r="CQ66" i="42"/>
  <c r="CP66" i="42"/>
  <c r="CO66" i="42"/>
  <c r="CN66" i="42"/>
  <c r="CM66" i="42"/>
  <c r="CL66" i="42"/>
  <c r="CK66" i="42"/>
  <c r="CJ66" i="42"/>
  <c r="CI66" i="42"/>
  <c r="CH66" i="42"/>
  <c r="CG66" i="42"/>
  <c r="CF66" i="42"/>
  <c r="CE66" i="42"/>
  <c r="CD66" i="42"/>
  <c r="CC66"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BB66" i="42"/>
  <c r="BA66" i="42"/>
  <c r="AZ66" i="42"/>
  <c r="AY66" i="42"/>
  <c r="AX66" i="42"/>
  <c r="AW66" i="42"/>
  <c r="AV66" i="42"/>
  <c r="AU66" i="42"/>
  <c r="AT66" i="42"/>
  <c r="CW65" i="42"/>
  <c r="CV65" i="42"/>
  <c r="CU65" i="42"/>
  <c r="CT65" i="42"/>
  <c r="CS65" i="42"/>
  <c r="CR65" i="42"/>
  <c r="CQ65" i="42"/>
  <c r="CP65" i="42"/>
  <c r="CO65" i="42"/>
  <c r="CN65" i="42"/>
  <c r="CM65" i="42"/>
  <c r="CL65" i="42"/>
  <c r="CK65" i="42"/>
  <c r="CJ65" i="42"/>
  <c r="CI65" i="42"/>
  <c r="CH65" i="42"/>
  <c r="CG65" i="42"/>
  <c r="CF65" i="42"/>
  <c r="CE65" i="42"/>
  <c r="CD65" i="42"/>
  <c r="CC65" i="42"/>
  <c r="CB65" i="42"/>
  <c r="CA65" i="42"/>
  <c r="BZ65" i="42"/>
  <c r="BY65" i="42"/>
  <c r="BX65" i="42"/>
  <c r="BW65" i="42"/>
  <c r="BV65" i="42"/>
  <c r="BU65" i="42"/>
  <c r="BT65" i="42"/>
  <c r="BS65" i="42"/>
  <c r="BR65" i="42"/>
  <c r="BQ65" i="42"/>
  <c r="BP65" i="42"/>
  <c r="BO65" i="42"/>
  <c r="BN65" i="42"/>
  <c r="BM65" i="42"/>
  <c r="BL65" i="42"/>
  <c r="BK65" i="42"/>
  <c r="BJ65" i="42"/>
  <c r="BI65" i="42"/>
  <c r="BH65" i="42"/>
  <c r="BG65" i="42"/>
  <c r="BF65" i="42"/>
  <c r="BE65" i="42"/>
  <c r="BD65" i="42"/>
  <c r="BC65" i="42"/>
  <c r="BB65" i="42"/>
  <c r="BA65" i="42"/>
  <c r="AZ65" i="42"/>
  <c r="AY65" i="42"/>
  <c r="AX65" i="42"/>
  <c r="AW65" i="42"/>
  <c r="AV65" i="42"/>
  <c r="AU65" i="42"/>
  <c r="AT65" i="42"/>
  <c r="CW64" i="42"/>
  <c r="CV64" i="42"/>
  <c r="CU64" i="42"/>
  <c r="CT64" i="42"/>
  <c r="CS64" i="42"/>
  <c r="CR64" i="42"/>
  <c r="CQ64" i="42"/>
  <c r="CP64" i="42"/>
  <c r="CO64" i="42"/>
  <c r="CN64" i="42"/>
  <c r="CM64" i="42"/>
  <c r="CL64" i="42"/>
  <c r="CK64" i="42"/>
  <c r="CJ64" i="42"/>
  <c r="CI64" i="42"/>
  <c r="CH64" i="42"/>
  <c r="CG64" i="42"/>
  <c r="CF64" i="42"/>
  <c r="CE64" i="42"/>
  <c r="CD64" i="42"/>
  <c r="CC64" i="42"/>
  <c r="CB64" i="42"/>
  <c r="CA64" i="42"/>
  <c r="BZ64" i="42"/>
  <c r="BY64" i="42"/>
  <c r="BX64" i="42"/>
  <c r="BW64" i="42"/>
  <c r="BV64" i="42"/>
  <c r="BU64" i="42"/>
  <c r="BT64" i="42"/>
  <c r="BS64" i="42"/>
  <c r="BR64" i="42"/>
  <c r="BQ64" i="42"/>
  <c r="BP64" i="42"/>
  <c r="BO64" i="42"/>
  <c r="BN64" i="42"/>
  <c r="BM64" i="42"/>
  <c r="BL64" i="42"/>
  <c r="BK64" i="42"/>
  <c r="BJ64" i="42"/>
  <c r="BI64" i="42"/>
  <c r="BH64" i="42"/>
  <c r="BG64" i="42"/>
  <c r="BF64" i="42"/>
  <c r="BE64" i="42"/>
  <c r="BD64" i="42"/>
  <c r="BC64" i="42"/>
  <c r="BB64" i="42"/>
  <c r="BA64" i="42"/>
  <c r="AZ64" i="42"/>
  <c r="AY64" i="42"/>
  <c r="AX64" i="42"/>
  <c r="AW64" i="42"/>
  <c r="AV64" i="42"/>
  <c r="AU64" i="42"/>
  <c r="AT64" i="42"/>
  <c r="CW63" i="42"/>
  <c r="CV63" i="42"/>
  <c r="CU63" i="42"/>
  <c r="CT63" i="42"/>
  <c r="CS63" i="42"/>
  <c r="CR63" i="42"/>
  <c r="CQ63" i="42"/>
  <c r="CP63" i="42"/>
  <c r="CO63" i="42"/>
  <c r="CN63" i="42"/>
  <c r="CM63" i="42"/>
  <c r="CL63" i="42"/>
  <c r="CK63" i="42"/>
  <c r="CJ63" i="42"/>
  <c r="CI63" i="42"/>
  <c r="CH63" i="42"/>
  <c r="CG63" i="42"/>
  <c r="CF63" i="42"/>
  <c r="CE63" i="42"/>
  <c r="CD63" i="42"/>
  <c r="CC63" i="42"/>
  <c r="CB63" i="42"/>
  <c r="CA63" i="42"/>
  <c r="BZ63" i="42"/>
  <c r="BY63" i="42"/>
  <c r="BX63" i="42"/>
  <c r="BW63" i="42"/>
  <c r="BV63" i="42"/>
  <c r="BU63" i="42"/>
  <c r="BT63" i="42"/>
  <c r="BS63" i="42"/>
  <c r="BR63" i="42"/>
  <c r="BQ63" i="42"/>
  <c r="BP63" i="42"/>
  <c r="BO63" i="42"/>
  <c r="BN63" i="42"/>
  <c r="BM63" i="42"/>
  <c r="BL63" i="42"/>
  <c r="BK63" i="42"/>
  <c r="BJ63" i="42"/>
  <c r="BI63" i="42"/>
  <c r="BH63" i="42"/>
  <c r="BG63" i="42"/>
  <c r="BF63" i="42"/>
  <c r="BE63" i="42"/>
  <c r="BD63" i="42"/>
  <c r="BC63" i="42"/>
  <c r="BB63" i="42"/>
  <c r="BA63" i="42"/>
  <c r="AZ63" i="42"/>
  <c r="AY63" i="42"/>
  <c r="AX63" i="42"/>
  <c r="AW63" i="42"/>
  <c r="AV63" i="42"/>
  <c r="AU63" i="42"/>
  <c r="AT63" i="42"/>
  <c r="CW62" i="42"/>
  <c r="CV62" i="42"/>
  <c r="CU62" i="42"/>
  <c r="CT62" i="42"/>
  <c r="CS62" i="42"/>
  <c r="CR62" i="42"/>
  <c r="CQ62" i="42"/>
  <c r="CP62" i="42"/>
  <c r="CO62" i="42"/>
  <c r="CN62" i="42"/>
  <c r="CM62" i="42"/>
  <c r="CL62" i="42"/>
  <c r="CK62" i="42"/>
  <c r="CJ62" i="42"/>
  <c r="CI62" i="42"/>
  <c r="CH62" i="42"/>
  <c r="CG62" i="42"/>
  <c r="CF62" i="42"/>
  <c r="CE62" i="42"/>
  <c r="CD62" i="42"/>
  <c r="CC62" i="42"/>
  <c r="CB62" i="42"/>
  <c r="CA62" i="42"/>
  <c r="BZ62" i="42"/>
  <c r="BY62" i="42"/>
  <c r="BX62" i="42"/>
  <c r="BW62" i="42"/>
  <c r="BV62" i="42"/>
  <c r="BU62" i="42"/>
  <c r="BT62" i="42"/>
  <c r="BS62" i="42"/>
  <c r="BR62" i="42"/>
  <c r="BQ62" i="42"/>
  <c r="BP62" i="42"/>
  <c r="BO62" i="42"/>
  <c r="BN62" i="42"/>
  <c r="BM62" i="42"/>
  <c r="BL62" i="42"/>
  <c r="BK62" i="42"/>
  <c r="BJ62" i="42"/>
  <c r="BI62" i="42"/>
  <c r="BH62" i="42"/>
  <c r="BG62" i="42"/>
  <c r="BF62" i="42"/>
  <c r="BE62" i="42"/>
  <c r="BD62" i="42"/>
  <c r="BC62" i="42"/>
  <c r="BB62" i="42"/>
  <c r="BA62" i="42"/>
  <c r="AZ62" i="42"/>
  <c r="AY62" i="42"/>
  <c r="AX62" i="42"/>
  <c r="AW62" i="42"/>
  <c r="AV62" i="42"/>
  <c r="AU62" i="42"/>
  <c r="AT62" i="42"/>
  <c r="CW61" i="42"/>
  <c r="CV61" i="42"/>
  <c r="CU61" i="42"/>
  <c r="CT61" i="42"/>
  <c r="CS61" i="42"/>
  <c r="CR61" i="42"/>
  <c r="CQ61" i="42"/>
  <c r="CP61" i="42"/>
  <c r="CO61" i="42"/>
  <c r="CN61" i="42"/>
  <c r="CM61" i="42"/>
  <c r="CL61" i="42"/>
  <c r="CK61" i="42"/>
  <c r="CJ61" i="42"/>
  <c r="CI61" i="42"/>
  <c r="CH61" i="42"/>
  <c r="CG61" i="42"/>
  <c r="CF61" i="42"/>
  <c r="CE61" i="42"/>
  <c r="CD61" i="42"/>
  <c r="CC61" i="42"/>
  <c r="CB61" i="42"/>
  <c r="CA61" i="42"/>
  <c r="BZ61" i="42"/>
  <c r="BY61" i="42"/>
  <c r="BX61" i="42"/>
  <c r="BW61" i="42"/>
  <c r="BV61" i="42"/>
  <c r="BU61" i="42"/>
  <c r="BT61" i="42"/>
  <c r="BS61" i="42"/>
  <c r="BR61" i="42"/>
  <c r="BQ61" i="42"/>
  <c r="BP61" i="42"/>
  <c r="BO61" i="42"/>
  <c r="BN61" i="42"/>
  <c r="BM61" i="42"/>
  <c r="BL61" i="42"/>
  <c r="BK61" i="42"/>
  <c r="BJ61" i="42"/>
  <c r="BI61" i="42"/>
  <c r="BH61" i="42"/>
  <c r="BG61" i="42"/>
  <c r="BF61" i="42"/>
  <c r="BE61" i="42"/>
  <c r="BD61" i="42"/>
  <c r="BC61" i="42"/>
  <c r="BB61" i="42"/>
  <c r="BA61" i="42"/>
  <c r="AZ61" i="42"/>
  <c r="AY61" i="42"/>
  <c r="AX61" i="42"/>
  <c r="AW61" i="42"/>
  <c r="AV61" i="42"/>
  <c r="AU61" i="42"/>
  <c r="AT61" i="42"/>
  <c r="CW60" i="42"/>
  <c r="CV60" i="42"/>
  <c r="CU60" i="42"/>
  <c r="CT60" i="42"/>
  <c r="CS60" i="42"/>
  <c r="CR60" i="42"/>
  <c r="CQ60" i="42"/>
  <c r="CP60" i="42"/>
  <c r="CO60" i="42"/>
  <c r="CN60" i="42"/>
  <c r="CM60" i="42"/>
  <c r="CL60" i="42"/>
  <c r="CK60" i="42"/>
  <c r="CJ60" i="42"/>
  <c r="CI60" i="42"/>
  <c r="CH60" i="42"/>
  <c r="CG60" i="42"/>
  <c r="CF60" i="42"/>
  <c r="CE60" i="42"/>
  <c r="CD60" i="42"/>
  <c r="CC60" i="42"/>
  <c r="CB60" i="42"/>
  <c r="CA60" i="42"/>
  <c r="BZ60" i="42"/>
  <c r="BY60" i="42"/>
  <c r="BX60" i="42"/>
  <c r="BW60" i="42"/>
  <c r="BV60" i="42"/>
  <c r="BU60" i="42"/>
  <c r="BT60" i="42"/>
  <c r="BS60" i="42"/>
  <c r="BR60" i="42"/>
  <c r="BQ60" i="42"/>
  <c r="BP60" i="42"/>
  <c r="BO60" i="42"/>
  <c r="BN60" i="42"/>
  <c r="BM60" i="42"/>
  <c r="BL60" i="42"/>
  <c r="BK60" i="42"/>
  <c r="BJ60" i="42"/>
  <c r="BI60" i="42"/>
  <c r="BH60" i="42"/>
  <c r="BG60" i="42"/>
  <c r="BF60" i="42"/>
  <c r="BE60" i="42"/>
  <c r="BD60" i="42"/>
  <c r="BC60" i="42"/>
  <c r="BB60" i="42"/>
  <c r="BA60" i="42"/>
  <c r="AZ60" i="42"/>
  <c r="AY60" i="42"/>
  <c r="AX60" i="42"/>
  <c r="AW60" i="42"/>
  <c r="AV60" i="42"/>
  <c r="AU60" i="42"/>
  <c r="AT60" i="42"/>
  <c r="CW59" i="42"/>
  <c r="CV59" i="42"/>
  <c r="CU59" i="42"/>
  <c r="CT59" i="42"/>
  <c r="CS59" i="42"/>
  <c r="CR59" i="42"/>
  <c r="CQ59" i="42"/>
  <c r="CP59" i="42"/>
  <c r="CO59" i="42"/>
  <c r="CN59" i="42"/>
  <c r="CM59" i="42"/>
  <c r="CL59" i="42"/>
  <c r="CK59" i="42"/>
  <c r="CJ59" i="42"/>
  <c r="CI59" i="42"/>
  <c r="CH59" i="42"/>
  <c r="CG59" i="42"/>
  <c r="CF59" i="42"/>
  <c r="CE59" i="42"/>
  <c r="CD59" i="42"/>
  <c r="CC59" i="42"/>
  <c r="CB59" i="42"/>
  <c r="CA59" i="42"/>
  <c r="BZ59" i="42"/>
  <c r="BY59" i="42"/>
  <c r="BX59" i="42"/>
  <c r="BW59" i="42"/>
  <c r="BV59" i="42"/>
  <c r="BU59" i="42"/>
  <c r="BT59" i="42"/>
  <c r="BS59" i="42"/>
  <c r="BR59" i="42"/>
  <c r="BQ59" i="42"/>
  <c r="BP59" i="42"/>
  <c r="BO59" i="42"/>
  <c r="BN59" i="42"/>
  <c r="BM59" i="42"/>
  <c r="BL59" i="42"/>
  <c r="BK59" i="42"/>
  <c r="BJ59" i="42"/>
  <c r="BI59" i="42"/>
  <c r="BH59" i="42"/>
  <c r="BG59" i="42"/>
  <c r="BF59" i="42"/>
  <c r="BE59" i="42"/>
  <c r="BD59" i="42"/>
  <c r="BC59" i="42"/>
  <c r="BB59" i="42"/>
  <c r="BA59" i="42"/>
  <c r="AZ59" i="42"/>
  <c r="AY59" i="42"/>
  <c r="AX59" i="42"/>
  <c r="AW59" i="42"/>
  <c r="AV59" i="42"/>
  <c r="AU59" i="42"/>
  <c r="AT59" i="42"/>
  <c r="CW58" i="42"/>
  <c r="CV58" i="42"/>
  <c r="CU58" i="42"/>
  <c r="CT58" i="42"/>
  <c r="CS58" i="42"/>
  <c r="CR58" i="42"/>
  <c r="CQ58" i="42"/>
  <c r="CP58" i="42"/>
  <c r="CO58" i="42"/>
  <c r="CN58" i="42"/>
  <c r="CM58" i="42"/>
  <c r="CL58" i="42"/>
  <c r="CK58" i="42"/>
  <c r="CJ58" i="42"/>
  <c r="CI58" i="42"/>
  <c r="CH58" i="42"/>
  <c r="CG58" i="42"/>
  <c r="CF58" i="42"/>
  <c r="CE58" i="42"/>
  <c r="CD58" i="42"/>
  <c r="CC58" i="42"/>
  <c r="CB58" i="42"/>
  <c r="CA58" i="42"/>
  <c r="BZ58" i="42"/>
  <c r="BY58" i="42"/>
  <c r="BX58" i="42"/>
  <c r="BW58" i="42"/>
  <c r="BV58" i="42"/>
  <c r="BU58" i="42"/>
  <c r="BT58" i="42"/>
  <c r="BS58" i="42"/>
  <c r="BR58" i="42"/>
  <c r="BQ58" i="42"/>
  <c r="BP58" i="42"/>
  <c r="BO58" i="42"/>
  <c r="BN58" i="42"/>
  <c r="BM58" i="42"/>
  <c r="BL58" i="42"/>
  <c r="BK58" i="42"/>
  <c r="BJ58" i="42"/>
  <c r="BI58" i="42"/>
  <c r="BH58" i="42"/>
  <c r="BG58" i="42"/>
  <c r="BF58" i="42"/>
  <c r="BE58" i="42"/>
  <c r="BD58" i="42"/>
  <c r="BC58" i="42"/>
  <c r="BB58" i="42"/>
  <c r="BA58" i="42"/>
  <c r="AZ58" i="42"/>
  <c r="AY58" i="42"/>
  <c r="AX58" i="42"/>
  <c r="AW58" i="42"/>
  <c r="AV58" i="42"/>
  <c r="AU58" i="42"/>
  <c r="AT58" i="42"/>
  <c r="CW57" i="42"/>
  <c r="CV57" i="42"/>
  <c r="CU57" i="42"/>
  <c r="CT57" i="42"/>
  <c r="CS57" i="42"/>
  <c r="CR57" i="42"/>
  <c r="CQ57" i="42"/>
  <c r="CP57" i="42"/>
  <c r="CO57" i="42"/>
  <c r="CN57" i="42"/>
  <c r="CM57" i="42"/>
  <c r="CL57" i="42"/>
  <c r="CK57" i="42"/>
  <c r="CJ57" i="42"/>
  <c r="CI57" i="42"/>
  <c r="CH57" i="42"/>
  <c r="CG57" i="42"/>
  <c r="CF57" i="42"/>
  <c r="CE57" i="42"/>
  <c r="CD57" i="42"/>
  <c r="CC57" i="42"/>
  <c r="CB57" i="42"/>
  <c r="CA57" i="42"/>
  <c r="BZ57" i="42"/>
  <c r="BY57" i="42"/>
  <c r="BX57" i="42"/>
  <c r="BW57" i="42"/>
  <c r="BV57" i="42"/>
  <c r="BU57" i="42"/>
  <c r="BT57" i="42"/>
  <c r="BS57" i="42"/>
  <c r="BR57" i="42"/>
  <c r="BQ57" i="42"/>
  <c r="BP57" i="42"/>
  <c r="BO57" i="42"/>
  <c r="BN57" i="42"/>
  <c r="BM57" i="42"/>
  <c r="BL57" i="42"/>
  <c r="BK57" i="42"/>
  <c r="BJ57" i="42"/>
  <c r="BI57" i="42"/>
  <c r="BH57" i="42"/>
  <c r="BG57" i="42"/>
  <c r="BF57" i="42"/>
  <c r="BE57" i="42"/>
  <c r="BD57" i="42"/>
  <c r="BC57" i="42"/>
  <c r="BB57" i="42"/>
  <c r="BA57" i="42"/>
  <c r="AZ57" i="42"/>
  <c r="AY57" i="42"/>
  <c r="AX57" i="42"/>
  <c r="AW57" i="42"/>
  <c r="AV57" i="42"/>
  <c r="AU57" i="42"/>
  <c r="AT57" i="42"/>
  <c r="CW56" i="42"/>
  <c r="CV56" i="42"/>
  <c r="CU56" i="42"/>
  <c r="CT56" i="42"/>
  <c r="CS56" i="42"/>
  <c r="CR56" i="42"/>
  <c r="CQ56" i="42"/>
  <c r="CP56" i="42"/>
  <c r="CO56" i="42"/>
  <c r="CN56" i="42"/>
  <c r="CM56" i="42"/>
  <c r="CL56" i="42"/>
  <c r="CK56" i="42"/>
  <c r="CJ56" i="42"/>
  <c r="CI56" i="42"/>
  <c r="CH56" i="42"/>
  <c r="CG56" i="42"/>
  <c r="CF56" i="42"/>
  <c r="CE56" i="42"/>
  <c r="CD56" i="42"/>
  <c r="CC56" i="42"/>
  <c r="CB56" i="42"/>
  <c r="CA56" i="42"/>
  <c r="BZ56" i="42"/>
  <c r="BY56" i="42"/>
  <c r="BX56" i="42"/>
  <c r="BW56" i="42"/>
  <c r="BV56" i="42"/>
  <c r="BU56" i="42"/>
  <c r="BT56" i="42"/>
  <c r="BS56" i="42"/>
  <c r="BR56" i="42"/>
  <c r="BQ56" i="42"/>
  <c r="BP56" i="42"/>
  <c r="BO56" i="42"/>
  <c r="BN56" i="42"/>
  <c r="BM56" i="42"/>
  <c r="BL56" i="42"/>
  <c r="BK56" i="42"/>
  <c r="BJ56" i="42"/>
  <c r="BI56" i="42"/>
  <c r="BH56" i="42"/>
  <c r="BG56" i="42"/>
  <c r="BF56" i="42"/>
  <c r="BE56" i="42"/>
  <c r="BD56" i="42"/>
  <c r="BC56" i="42"/>
  <c r="BB56" i="42"/>
  <c r="BA56" i="42"/>
  <c r="AZ56" i="42"/>
  <c r="AY56" i="42"/>
  <c r="AX56" i="42"/>
  <c r="AW56" i="42"/>
  <c r="AV56" i="42"/>
  <c r="AU56" i="42"/>
  <c r="AT56" i="42"/>
  <c r="CW55" i="42"/>
  <c r="CV55" i="42"/>
  <c r="CU55" i="42"/>
  <c r="CT55" i="42"/>
  <c r="CS55" i="42"/>
  <c r="CR55" i="42"/>
  <c r="CQ55" i="42"/>
  <c r="CP55" i="42"/>
  <c r="CO55" i="42"/>
  <c r="CN55" i="42"/>
  <c r="CM55" i="42"/>
  <c r="CL55" i="42"/>
  <c r="CK55" i="42"/>
  <c r="CJ55" i="42"/>
  <c r="CI55" i="42"/>
  <c r="CH55" i="42"/>
  <c r="CG55" i="42"/>
  <c r="CF55" i="42"/>
  <c r="CE55" i="42"/>
  <c r="CD55" i="42"/>
  <c r="CC55"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BB55" i="42"/>
  <c r="BA55" i="42"/>
  <c r="AZ55" i="42"/>
  <c r="AY55" i="42"/>
  <c r="AX55" i="42"/>
  <c r="AW55" i="42"/>
  <c r="AV55" i="42"/>
  <c r="AU55" i="42"/>
  <c r="AT55" i="42"/>
  <c r="CW54" i="42"/>
  <c r="CV54" i="42"/>
  <c r="CU54" i="42"/>
  <c r="CT54" i="42"/>
  <c r="CS54" i="42"/>
  <c r="CR54" i="42"/>
  <c r="CQ54" i="42"/>
  <c r="CP54" i="42"/>
  <c r="CO54" i="42"/>
  <c r="CN54" i="42"/>
  <c r="CM54" i="42"/>
  <c r="CL54" i="42"/>
  <c r="CK54" i="42"/>
  <c r="CJ54" i="42"/>
  <c r="CI54" i="42"/>
  <c r="CH54" i="42"/>
  <c r="CG54" i="42"/>
  <c r="CF54" i="42"/>
  <c r="CE54" i="42"/>
  <c r="CD54" i="42"/>
  <c r="CC54" i="42"/>
  <c r="CB54" i="42"/>
  <c r="CA54" i="42"/>
  <c r="BZ54" i="42"/>
  <c r="BY54" i="42"/>
  <c r="BX54" i="42"/>
  <c r="BW54" i="42"/>
  <c r="BV54" i="42"/>
  <c r="BU54" i="42"/>
  <c r="BT54" i="42"/>
  <c r="BS54" i="42"/>
  <c r="BR54" i="42"/>
  <c r="BQ54" i="42"/>
  <c r="BP54" i="42"/>
  <c r="BO54" i="42"/>
  <c r="BN54" i="42"/>
  <c r="BM54" i="42"/>
  <c r="BL54" i="42"/>
  <c r="BK54" i="42"/>
  <c r="BJ54" i="42"/>
  <c r="BI54" i="42"/>
  <c r="BH54" i="42"/>
  <c r="BG54" i="42"/>
  <c r="BF54" i="42"/>
  <c r="BE54" i="42"/>
  <c r="BD54" i="42"/>
  <c r="BC54" i="42"/>
  <c r="BB54" i="42"/>
  <c r="BA54" i="42"/>
  <c r="AZ54" i="42"/>
  <c r="AY54" i="42"/>
  <c r="AX54" i="42"/>
  <c r="AW54" i="42"/>
  <c r="AV54" i="42"/>
  <c r="AU54" i="42"/>
  <c r="AT54" i="42"/>
  <c r="CW53" i="42"/>
  <c r="CV53" i="42"/>
  <c r="CU53" i="42"/>
  <c r="CT53" i="42"/>
  <c r="CS53" i="42"/>
  <c r="CR53" i="42"/>
  <c r="CQ53" i="42"/>
  <c r="CP53" i="42"/>
  <c r="CO53" i="42"/>
  <c r="CN53" i="42"/>
  <c r="CM53" i="42"/>
  <c r="CL53" i="42"/>
  <c r="CK53" i="42"/>
  <c r="CJ53" i="42"/>
  <c r="CI53" i="42"/>
  <c r="CH53" i="42"/>
  <c r="CG53" i="42"/>
  <c r="CF53" i="42"/>
  <c r="CE53" i="42"/>
  <c r="CD53" i="42"/>
  <c r="CC53" i="42"/>
  <c r="CB53" i="42"/>
  <c r="CA53" i="42"/>
  <c r="BZ53" i="42"/>
  <c r="BY53" i="42"/>
  <c r="BX53" i="42"/>
  <c r="BW53" i="42"/>
  <c r="BV53" i="42"/>
  <c r="BU53" i="42"/>
  <c r="BT53" i="42"/>
  <c r="BS53" i="42"/>
  <c r="BR53" i="42"/>
  <c r="BQ53" i="42"/>
  <c r="BP53" i="42"/>
  <c r="BO53" i="42"/>
  <c r="BN53" i="42"/>
  <c r="BM53" i="42"/>
  <c r="BL53" i="42"/>
  <c r="BK53" i="42"/>
  <c r="BJ53" i="42"/>
  <c r="BI53" i="42"/>
  <c r="BH53" i="42"/>
  <c r="BG53" i="42"/>
  <c r="BF53" i="42"/>
  <c r="BE53" i="42"/>
  <c r="BD53" i="42"/>
  <c r="BC53" i="42"/>
  <c r="BB53" i="42"/>
  <c r="BA53" i="42"/>
  <c r="AZ53" i="42"/>
  <c r="AY53" i="42"/>
  <c r="AX53" i="42"/>
  <c r="AW53" i="42"/>
  <c r="AV53" i="42"/>
  <c r="AU53" i="42"/>
  <c r="AT53" i="42"/>
  <c r="CW52" i="42"/>
  <c r="CV52" i="42"/>
  <c r="CU52" i="42"/>
  <c r="CT52" i="42"/>
  <c r="CS52" i="42"/>
  <c r="CR52" i="42"/>
  <c r="CQ52" i="42"/>
  <c r="CP52" i="42"/>
  <c r="CO52" i="42"/>
  <c r="CN52" i="42"/>
  <c r="CM52" i="42"/>
  <c r="CL52" i="42"/>
  <c r="CK52" i="42"/>
  <c r="CJ52" i="42"/>
  <c r="CI52" i="42"/>
  <c r="CH52" i="42"/>
  <c r="CG52" i="42"/>
  <c r="CF52" i="42"/>
  <c r="CE52" i="42"/>
  <c r="CD52" i="42"/>
  <c r="CC52" i="42"/>
  <c r="CB52" i="42"/>
  <c r="CA52" i="42"/>
  <c r="BZ52" i="42"/>
  <c r="BY52" i="42"/>
  <c r="BX52" i="42"/>
  <c r="BW52" i="42"/>
  <c r="BV52" i="42"/>
  <c r="BU52" i="42"/>
  <c r="BT52" i="42"/>
  <c r="BS52" i="42"/>
  <c r="BR52" i="42"/>
  <c r="BQ52" i="42"/>
  <c r="BP52" i="42"/>
  <c r="BO52" i="42"/>
  <c r="BN52" i="42"/>
  <c r="BM52" i="42"/>
  <c r="BL52" i="42"/>
  <c r="BK52" i="42"/>
  <c r="BJ52" i="42"/>
  <c r="BI52" i="42"/>
  <c r="BH52" i="42"/>
  <c r="BG52" i="42"/>
  <c r="BF52" i="42"/>
  <c r="BE52" i="42"/>
  <c r="BD52" i="42"/>
  <c r="BC52" i="42"/>
  <c r="BB52" i="42"/>
  <c r="BA52" i="42"/>
  <c r="AZ52" i="42"/>
  <c r="AY52" i="42"/>
  <c r="AX52" i="42"/>
  <c r="AW52" i="42"/>
  <c r="AV52" i="42"/>
  <c r="AU52" i="42"/>
  <c r="AT52" i="42"/>
  <c r="CW51" i="42"/>
  <c r="CV51" i="42"/>
  <c r="CU51" i="42"/>
  <c r="CT51" i="42"/>
  <c r="CS51" i="42"/>
  <c r="CR51" i="42"/>
  <c r="CQ51" i="42"/>
  <c r="CP51" i="42"/>
  <c r="CO51" i="42"/>
  <c r="CN51" i="42"/>
  <c r="CM51" i="42"/>
  <c r="CL51" i="42"/>
  <c r="CK51" i="42"/>
  <c r="CJ51" i="42"/>
  <c r="CI51" i="42"/>
  <c r="CH51" i="42"/>
  <c r="CG51" i="42"/>
  <c r="CF51" i="42"/>
  <c r="CE51" i="42"/>
  <c r="CD51" i="42"/>
  <c r="CC51" i="42"/>
  <c r="CB51" i="42"/>
  <c r="CA51" i="42"/>
  <c r="BZ51" i="42"/>
  <c r="BY51" i="42"/>
  <c r="BX51" i="42"/>
  <c r="BW51" i="42"/>
  <c r="BV51" i="42"/>
  <c r="BU51" i="42"/>
  <c r="BT51" i="42"/>
  <c r="BS51" i="42"/>
  <c r="BR51" i="42"/>
  <c r="BQ51" i="42"/>
  <c r="BP51" i="42"/>
  <c r="BO51" i="42"/>
  <c r="BN51" i="42"/>
  <c r="BM51" i="42"/>
  <c r="BL51" i="42"/>
  <c r="BK51" i="42"/>
  <c r="BJ51" i="42"/>
  <c r="BI51" i="42"/>
  <c r="BH51" i="42"/>
  <c r="BG51" i="42"/>
  <c r="BF51" i="42"/>
  <c r="BE51" i="42"/>
  <c r="BD51" i="42"/>
  <c r="BC51" i="42"/>
  <c r="BB51" i="42"/>
  <c r="BA51" i="42"/>
  <c r="AZ51" i="42"/>
  <c r="AY51" i="42"/>
  <c r="AX51" i="42"/>
  <c r="AW51" i="42"/>
  <c r="AV51" i="42"/>
  <c r="AU51" i="42"/>
  <c r="AT51" i="42"/>
  <c r="CW50" i="42"/>
  <c r="CV50" i="42"/>
  <c r="CU50" i="42"/>
  <c r="CT50" i="42"/>
  <c r="CS50" i="42"/>
  <c r="CR50" i="42"/>
  <c r="CQ50" i="42"/>
  <c r="CP50" i="42"/>
  <c r="CO50" i="42"/>
  <c r="CN50" i="42"/>
  <c r="CM50" i="42"/>
  <c r="CL50" i="42"/>
  <c r="CK50" i="42"/>
  <c r="CJ50" i="42"/>
  <c r="CI50" i="42"/>
  <c r="CH50" i="42"/>
  <c r="CG50" i="42"/>
  <c r="CF50" i="42"/>
  <c r="CE50" i="42"/>
  <c r="CD50" i="42"/>
  <c r="CC50"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BB50" i="42"/>
  <c r="BA50" i="42"/>
  <c r="AZ50" i="42"/>
  <c r="AY50" i="42"/>
  <c r="AX50" i="42"/>
  <c r="AW50" i="42"/>
  <c r="AV50" i="42"/>
  <c r="AU50" i="42"/>
  <c r="AT50" i="42"/>
  <c r="CW49" i="42"/>
  <c r="CV49" i="42"/>
  <c r="CU49" i="42"/>
  <c r="CT49" i="42"/>
  <c r="CS49" i="42"/>
  <c r="CR49" i="42"/>
  <c r="CQ49" i="42"/>
  <c r="CP49" i="42"/>
  <c r="CO49" i="42"/>
  <c r="CN49" i="42"/>
  <c r="CM49" i="42"/>
  <c r="CL49" i="42"/>
  <c r="CK49" i="42"/>
  <c r="CJ49" i="42"/>
  <c r="CI49" i="42"/>
  <c r="CH49" i="42"/>
  <c r="CG49" i="42"/>
  <c r="CF49" i="42"/>
  <c r="CE49" i="42"/>
  <c r="CD49" i="42"/>
  <c r="CC49" i="42"/>
  <c r="CB49" i="42"/>
  <c r="CA49" i="42"/>
  <c r="BZ49" i="42"/>
  <c r="BY49" i="42"/>
  <c r="BX49" i="42"/>
  <c r="BW49" i="42"/>
  <c r="BV49" i="42"/>
  <c r="BU49" i="42"/>
  <c r="BT49" i="42"/>
  <c r="BS49" i="42"/>
  <c r="BR49" i="42"/>
  <c r="BQ49" i="42"/>
  <c r="BP49" i="42"/>
  <c r="BO49" i="42"/>
  <c r="BN49" i="42"/>
  <c r="BM49" i="42"/>
  <c r="BL49" i="42"/>
  <c r="BK49" i="42"/>
  <c r="BJ49" i="42"/>
  <c r="BI49" i="42"/>
  <c r="BH49" i="42"/>
  <c r="BG49" i="42"/>
  <c r="BF49" i="42"/>
  <c r="BE49" i="42"/>
  <c r="BD49" i="42"/>
  <c r="BC49" i="42"/>
  <c r="BB49" i="42"/>
  <c r="BA49" i="42"/>
  <c r="AZ49" i="42"/>
  <c r="AY49" i="42"/>
  <c r="AX49" i="42"/>
  <c r="AW49" i="42"/>
  <c r="AV49" i="42"/>
  <c r="AU49" i="42"/>
  <c r="AT49" i="42"/>
  <c r="CW48" i="42"/>
  <c r="CV48" i="42"/>
  <c r="CU48" i="42"/>
  <c r="CT48" i="42"/>
  <c r="CS48" i="42"/>
  <c r="CR48" i="42"/>
  <c r="CQ48" i="42"/>
  <c r="CP48" i="42"/>
  <c r="CO48" i="42"/>
  <c r="CN48" i="42"/>
  <c r="CM48" i="42"/>
  <c r="CL48" i="42"/>
  <c r="CK48" i="42"/>
  <c r="CJ48" i="42"/>
  <c r="CI48" i="42"/>
  <c r="CH48" i="42"/>
  <c r="CG48" i="42"/>
  <c r="CF48" i="42"/>
  <c r="CE48" i="42"/>
  <c r="CD48" i="42"/>
  <c r="CC48" i="42"/>
  <c r="CB48" i="42"/>
  <c r="CA48" i="42"/>
  <c r="BZ48" i="42"/>
  <c r="BY48" i="42"/>
  <c r="BX48" i="42"/>
  <c r="BW48" i="42"/>
  <c r="BV48" i="42"/>
  <c r="BU48" i="42"/>
  <c r="BT48" i="42"/>
  <c r="BS48" i="42"/>
  <c r="BR48" i="42"/>
  <c r="BQ48" i="42"/>
  <c r="BP48" i="42"/>
  <c r="BO48" i="42"/>
  <c r="BN48" i="42"/>
  <c r="BM48" i="42"/>
  <c r="BL48" i="42"/>
  <c r="BK48" i="42"/>
  <c r="BJ48" i="42"/>
  <c r="BI48" i="42"/>
  <c r="BH48" i="42"/>
  <c r="BG48" i="42"/>
  <c r="BF48" i="42"/>
  <c r="BE48" i="42"/>
  <c r="BD48" i="42"/>
  <c r="BC48" i="42"/>
  <c r="BB48" i="42"/>
  <c r="BA48" i="42"/>
  <c r="AZ48" i="42"/>
  <c r="AY48" i="42"/>
  <c r="AX48" i="42"/>
  <c r="AW48" i="42"/>
  <c r="AV48" i="42"/>
  <c r="AU48" i="42"/>
  <c r="AT48" i="42"/>
  <c r="CW47" i="42"/>
  <c r="CV47" i="42"/>
  <c r="CU47" i="42"/>
  <c r="CT47" i="42"/>
  <c r="CS47" i="42"/>
  <c r="CR47" i="42"/>
  <c r="CQ47" i="42"/>
  <c r="CP47" i="42"/>
  <c r="CO47" i="42"/>
  <c r="CN47" i="42"/>
  <c r="CM47" i="42"/>
  <c r="CL47" i="42"/>
  <c r="CK47" i="42"/>
  <c r="CJ47" i="42"/>
  <c r="CI47" i="42"/>
  <c r="CH47" i="42"/>
  <c r="CG47" i="42"/>
  <c r="CF47" i="42"/>
  <c r="CE47" i="42"/>
  <c r="CD47" i="42"/>
  <c r="CC47" i="42"/>
  <c r="CB47" i="42"/>
  <c r="CA47" i="42"/>
  <c r="BZ47" i="42"/>
  <c r="BY47" i="42"/>
  <c r="BX47" i="42"/>
  <c r="BW47" i="42"/>
  <c r="BV47" i="42"/>
  <c r="BU47" i="42"/>
  <c r="BT47" i="42"/>
  <c r="BS47" i="42"/>
  <c r="BR47" i="42"/>
  <c r="BQ47" i="42"/>
  <c r="BP47" i="42"/>
  <c r="BO47" i="42"/>
  <c r="BN47" i="42"/>
  <c r="BM47" i="42"/>
  <c r="BL47" i="42"/>
  <c r="BK47" i="42"/>
  <c r="BJ47" i="42"/>
  <c r="BI47" i="42"/>
  <c r="BH47" i="42"/>
  <c r="BG47" i="42"/>
  <c r="BF47" i="42"/>
  <c r="BE47" i="42"/>
  <c r="BD47" i="42"/>
  <c r="BC47" i="42"/>
  <c r="BB47" i="42"/>
  <c r="BA47" i="42"/>
  <c r="AZ47" i="42"/>
  <c r="AY47" i="42"/>
  <c r="AX47" i="42"/>
  <c r="AW47" i="42"/>
  <c r="AV47" i="42"/>
  <c r="AU47" i="42"/>
  <c r="AT47" i="42"/>
  <c r="CW46" i="42"/>
  <c r="CV46" i="42"/>
  <c r="CU46" i="42"/>
  <c r="CT46" i="42"/>
  <c r="CS46" i="42"/>
  <c r="CR46" i="42"/>
  <c r="CQ46" i="42"/>
  <c r="CP46" i="42"/>
  <c r="CO46" i="42"/>
  <c r="CN46" i="42"/>
  <c r="CM46" i="42"/>
  <c r="CL46" i="42"/>
  <c r="CK46" i="42"/>
  <c r="CJ46" i="42"/>
  <c r="CI46" i="42"/>
  <c r="CH46" i="42"/>
  <c r="CG46" i="42"/>
  <c r="CF46" i="42"/>
  <c r="CE46" i="42"/>
  <c r="CD46" i="42"/>
  <c r="CC46" i="42"/>
  <c r="CB46" i="42"/>
  <c r="CA46" i="42"/>
  <c r="BZ46" i="42"/>
  <c r="BY46" i="42"/>
  <c r="BX46" i="42"/>
  <c r="BW46" i="42"/>
  <c r="BV46" i="42"/>
  <c r="BU46" i="42"/>
  <c r="BT46" i="42"/>
  <c r="BS46" i="42"/>
  <c r="BR46" i="42"/>
  <c r="BQ46" i="42"/>
  <c r="BP46" i="42"/>
  <c r="BO46" i="42"/>
  <c r="BN46" i="42"/>
  <c r="BM46" i="42"/>
  <c r="BL46" i="42"/>
  <c r="BK46" i="42"/>
  <c r="BJ46" i="42"/>
  <c r="BI46" i="42"/>
  <c r="BH46" i="42"/>
  <c r="BG46" i="42"/>
  <c r="BF46" i="42"/>
  <c r="BE46" i="42"/>
  <c r="BD46" i="42"/>
  <c r="BC46" i="42"/>
  <c r="BB46" i="42"/>
  <c r="BA46" i="42"/>
  <c r="AZ46" i="42"/>
  <c r="AY46" i="42"/>
  <c r="AX46" i="42"/>
  <c r="AW46" i="42"/>
  <c r="AV46" i="42"/>
  <c r="AU46" i="42"/>
  <c r="AT46" i="42"/>
  <c r="CW45" i="42"/>
  <c r="CV45" i="42"/>
  <c r="CU45" i="42"/>
  <c r="CT45" i="42"/>
  <c r="CS45" i="42"/>
  <c r="CR45" i="42"/>
  <c r="CQ45" i="42"/>
  <c r="CP45" i="42"/>
  <c r="CO45" i="42"/>
  <c r="CN45" i="42"/>
  <c r="CM45" i="42"/>
  <c r="CL45" i="42"/>
  <c r="CK45" i="42"/>
  <c r="CJ45" i="42"/>
  <c r="CI45" i="42"/>
  <c r="CH45" i="42"/>
  <c r="CG45" i="42"/>
  <c r="CF45" i="42"/>
  <c r="CE45" i="42"/>
  <c r="CD45" i="42"/>
  <c r="CC45" i="42"/>
  <c r="CB45" i="42"/>
  <c r="CA45" i="42"/>
  <c r="BZ45" i="42"/>
  <c r="BY45" i="42"/>
  <c r="BX45" i="42"/>
  <c r="BW45" i="42"/>
  <c r="BV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CW44" i="42"/>
  <c r="CV44" i="42"/>
  <c r="CU44" i="42"/>
  <c r="CT44" i="42"/>
  <c r="CS44" i="42"/>
  <c r="CR44" i="42"/>
  <c r="CQ44" i="42"/>
  <c r="CP44" i="42"/>
  <c r="CO44" i="42"/>
  <c r="CN44" i="42"/>
  <c r="CM44" i="42"/>
  <c r="CL44" i="42"/>
  <c r="CK44" i="42"/>
  <c r="CJ44" i="42"/>
  <c r="CI44" i="42"/>
  <c r="CH44" i="42"/>
  <c r="CG44" i="42"/>
  <c r="CF44" i="42"/>
  <c r="CE44" i="42"/>
  <c r="CD44" i="42"/>
  <c r="CC44" i="42"/>
  <c r="CB44" i="42"/>
  <c r="CA44" i="42"/>
  <c r="BZ44" i="42"/>
  <c r="BY44" i="42"/>
  <c r="BX44" i="42"/>
  <c r="BW44" i="42"/>
  <c r="BV44" i="42"/>
  <c r="BU44" i="42"/>
  <c r="BT44" i="42"/>
  <c r="BS44" i="42"/>
  <c r="BR44" i="42"/>
  <c r="BQ44" i="42"/>
  <c r="BP44" i="42"/>
  <c r="BO44" i="42"/>
  <c r="BN44" i="42"/>
  <c r="BM44" i="42"/>
  <c r="BL44" i="42"/>
  <c r="BK44" i="42"/>
  <c r="BJ44" i="42"/>
  <c r="BI44" i="42"/>
  <c r="BH44" i="42"/>
  <c r="BG44" i="42"/>
  <c r="BF44" i="42"/>
  <c r="BE44" i="42"/>
  <c r="BD44" i="42"/>
  <c r="BC44" i="42"/>
  <c r="BB44" i="42"/>
  <c r="BA44" i="42"/>
  <c r="AZ44" i="42"/>
  <c r="AY44" i="42"/>
  <c r="AX44" i="42"/>
  <c r="AW44" i="42"/>
  <c r="AV44" i="42"/>
  <c r="AU44" i="42"/>
  <c r="AT44" i="42"/>
  <c r="CW43" i="42"/>
  <c r="CV43" i="42"/>
  <c r="CU43" i="42"/>
  <c r="CT43" i="42"/>
  <c r="CS43" i="42"/>
  <c r="CR43" i="42"/>
  <c r="CQ43" i="42"/>
  <c r="CP43" i="42"/>
  <c r="CO43" i="42"/>
  <c r="CN43" i="42"/>
  <c r="CM43" i="42"/>
  <c r="CL43" i="42"/>
  <c r="CK43" i="42"/>
  <c r="CJ43" i="42"/>
  <c r="CI43" i="42"/>
  <c r="CH43" i="42"/>
  <c r="CG43" i="42"/>
  <c r="CF43" i="42"/>
  <c r="CE43" i="42"/>
  <c r="CD43" i="42"/>
  <c r="CC43" i="42"/>
  <c r="CB43" i="42"/>
  <c r="CA43" i="42"/>
  <c r="BZ43" i="42"/>
  <c r="BY43" i="42"/>
  <c r="BX43" i="42"/>
  <c r="BW43" i="42"/>
  <c r="BV43" i="42"/>
  <c r="BU43" i="42"/>
  <c r="BT43" i="42"/>
  <c r="BS43" i="42"/>
  <c r="BR43" i="42"/>
  <c r="BQ43" i="42"/>
  <c r="BP43" i="42"/>
  <c r="BO43" i="42"/>
  <c r="BN43" i="42"/>
  <c r="BM43" i="42"/>
  <c r="BL43" i="42"/>
  <c r="BK43" i="42"/>
  <c r="BJ43" i="42"/>
  <c r="BI43" i="42"/>
  <c r="BH43" i="42"/>
  <c r="BG43" i="42"/>
  <c r="BF43" i="42"/>
  <c r="BE43" i="42"/>
  <c r="BD43" i="42"/>
  <c r="BC43" i="42"/>
  <c r="BB43" i="42"/>
  <c r="BA43" i="42"/>
  <c r="AZ43" i="42"/>
  <c r="AY43" i="42"/>
  <c r="AX43" i="42"/>
  <c r="AW43" i="42"/>
  <c r="AV43" i="42"/>
  <c r="AU43" i="42"/>
  <c r="AT43" i="42"/>
  <c r="CW42" i="42"/>
  <c r="CV42" i="42"/>
  <c r="CU42" i="42"/>
  <c r="CT42" i="42"/>
  <c r="CS42" i="42"/>
  <c r="CR42" i="42"/>
  <c r="CQ42" i="42"/>
  <c r="CP42" i="42"/>
  <c r="CO42" i="42"/>
  <c r="CN42" i="42"/>
  <c r="CM42" i="42"/>
  <c r="CL42" i="42"/>
  <c r="CK42" i="42"/>
  <c r="CJ42" i="42"/>
  <c r="CI42" i="42"/>
  <c r="CH42" i="42"/>
  <c r="CG42" i="42"/>
  <c r="CF42" i="42"/>
  <c r="CE42" i="42"/>
  <c r="CD42" i="42"/>
  <c r="CC42" i="42"/>
  <c r="CB42" i="42"/>
  <c r="CA42" i="42"/>
  <c r="BZ42" i="42"/>
  <c r="BY42" i="42"/>
  <c r="BX42" i="42"/>
  <c r="BW42" i="42"/>
  <c r="BV42" i="42"/>
  <c r="BU42" i="42"/>
  <c r="BT42" i="42"/>
  <c r="BS42" i="42"/>
  <c r="BR42" i="42"/>
  <c r="BQ42" i="42"/>
  <c r="BP42" i="42"/>
  <c r="BO42" i="42"/>
  <c r="BN42" i="42"/>
  <c r="BM42" i="42"/>
  <c r="BL42" i="42"/>
  <c r="BK42" i="42"/>
  <c r="BJ42" i="42"/>
  <c r="BI42" i="42"/>
  <c r="BH42" i="42"/>
  <c r="BG42" i="42"/>
  <c r="BF42" i="42"/>
  <c r="BE42" i="42"/>
  <c r="BD42" i="42"/>
  <c r="BC42" i="42"/>
  <c r="BB42" i="42"/>
  <c r="BA42" i="42"/>
  <c r="AZ42" i="42"/>
  <c r="AY42" i="42"/>
  <c r="AX42" i="42"/>
  <c r="AW42" i="42"/>
  <c r="AV42" i="42"/>
  <c r="AU42" i="42"/>
  <c r="AT42" i="42"/>
  <c r="A43" i="42"/>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U41" i="42"/>
  <c r="V41" i="42" s="1"/>
  <c r="W41" i="42" s="1"/>
  <c r="X41" i="42" s="1"/>
  <c r="Y41" i="42" s="1"/>
  <c r="Z41" i="42" s="1"/>
  <c r="AA41" i="42" s="1"/>
  <c r="AB41" i="42" s="1"/>
  <c r="AC41" i="42" s="1"/>
  <c r="AD41" i="42" s="1"/>
  <c r="AE41" i="42" s="1"/>
  <c r="AF41" i="42" s="1"/>
  <c r="AG41" i="42" s="1"/>
  <c r="AH41" i="42" s="1"/>
  <c r="AI41" i="42" s="1"/>
  <c r="AJ41" i="42" s="1"/>
  <c r="AK41" i="42" s="1"/>
  <c r="AL41" i="42" s="1"/>
  <c r="AM41" i="42" s="1"/>
  <c r="AN41" i="42" s="1"/>
  <c r="AO41" i="42" s="1"/>
  <c r="AP41" i="42" s="1"/>
  <c r="AQ41" i="42" s="1"/>
  <c r="AR41" i="42" s="1"/>
  <c r="AS41" i="42" s="1"/>
  <c r="AT41" i="42" s="1"/>
  <c r="AU41" i="42" s="1"/>
  <c r="AV41" i="42" s="1"/>
  <c r="AW41" i="42" s="1"/>
  <c r="AX41" i="42" s="1"/>
  <c r="AY41" i="42" s="1"/>
  <c r="AZ41" i="42" s="1"/>
  <c r="BA41" i="42" s="1"/>
  <c r="BB41" i="42" s="1"/>
  <c r="BC41" i="42" s="1"/>
  <c r="BD41" i="42" s="1"/>
  <c r="BE41" i="42" s="1"/>
  <c r="BF41" i="42" s="1"/>
  <c r="BG41" i="42" s="1"/>
  <c r="BH41" i="42" s="1"/>
  <c r="BI41" i="42" s="1"/>
  <c r="BJ41" i="42" s="1"/>
  <c r="BK41" i="42" s="1"/>
  <c r="BL41" i="42" s="1"/>
  <c r="BM41" i="42" s="1"/>
  <c r="BN41" i="42" s="1"/>
  <c r="BO41" i="42" s="1"/>
  <c r="BP41" i="42" s="1"/>
  <c r="BQ41" i="42" s="1"/>
  <c r="BR41" i="42" s="1"/>
  <c r="BS41" i="42" s="1"/>
  <c r="BT41" i="42" s="1"/>
  <c r="BU41" i="42" s="1"/>
  <c r="BV41" i="42" s="1"/>
  <c r="BW41" i="42" s="1"/>
  <c r="BX41" i="42" s="1"/>
  <c r="BY41" i="42" s="1"/>
  <c r="BZ41" i="42" s="1"/>
  <c r="CA41" i="42" s="1"/>
  <c r="CB41" i="42" s="1"/>
  <c r="CC41" i="42" s="1"/>
  <c r="CD41" i="42" s="1"/>
  <c r="CE41" i="42" s="1"/>
  <c r="CF41" i="42" s="1"/>
  <c r="CG41" i="42" s="1"/>
  <c r="CH41" i="42" s="1"/>
  <c r="CI41" i="42" s="1"/>
  <c r="CJ41" i="42" s="1"/>
  <c r="CK41" i="42" s="1"/>
  <c r="CL41" i="42" s="1"/>
  <c r="CM41" i="42" s="1"/>
  <c r="CN41" i="42" s="1"/>
  <c r="CO41" i="42" s="1"/>
  <c r="CP41" i="42" s="1"/>
  <c r="CQ41" i="42" s="1"/>
  <c r="CR41" i="42" s="1"/>
  <c r="CS41" i="42" s="1"/>
  <c r="CT41" i="42" s="1"/>
  <c r="CU41" i="42" s="1"/>
  <c r="CV41" i="42" s="1"/>
  <c r="CW41" i="42" s="1"/>
  <c r="AI6" i="54"/>
  <c r="AI7" i="54" s="1"/>
  <c r="AH6" i="54"/>
  <c r="AH7" i="54" l="1"/>
  <c r="P69" i="55"/>
  <c r="M69" i="55"/>
  <c r="O5" i="26"/>
  <c r="O6" i="26"/>
  <c r="O7" i="26"/>
  <c r="G69" i="55"/>
  <c r="D69" i="55"/>
  <c r="E70" i="55" s="1"/>
  <c r="W69" i="55"/>
  <c r="U69" i="55"/>
  <c r="AQ6" i="54"/>
  <c r="AO5" i="54"/>
  <c r="AI8" i="54"/>
  <c r="D23" i="52"/>
  <c r="AQ5" i="54" l="1"/>
  <c r="AR5" i="54" s="1"/>
  <c r="AQ7" i="54"/>
  <c r="AR7" i="54" s="1"/>
  <c r="AH8" i="54"/>
  <c r="AQ8" i="54" s="1"/>
  <c r="Q70" i="55"/>
  <c r="K70" i="55"/>
  <c r="L70" i="55" s="1"/>
  <c r="V69" i="55"/>
  <c r="B70" i="55"/>
  <c r="P70" i="55" s="1"/>
  <c r="C70" i="55"/>
  <c r="U70" i="55" s="1"/>
  <c r="H70" i="55"/>
  <c r="A70" i="55"/>
  <c r="AR6" i="54"/>
  <c r="AI9" i="54"/>
  <c r="AH9" i="54" l="1"/>
  <c r="AQ9" i="54" s="1"/>
  <c r="AR8" i="54"/>
  <c r="O70" i="55"/>
  <c r="M70" i="55"/>
  <c r="F70" i="55"/>
  <c r="W70" i="55"/>
  <c r="G70" i="55"/>
  <c r="D70" i="55"/>
  <c r="V70" i="55"/>
  <c r="AI10" i="54"/>
  <c r="AH10" i="54" l="1"/>
  <c r="AQ10" i="54" s="1"/>
  <c r="AR9" i="54"/>
  <c r="E71" i="55"/>
  <c r="AI11" i="54"/>
  <c r="AH11" i="54" l="1"/>
  <c r="AQ11" i="54" s="1"/>
  <c r="AR10" i="54"/>
  <c r="Q71" i="55"/>
  <c r="K71" i="55"/>
  <c r="L71" i="55" s="1"/>
  <c r="H71" i="55"/>
  <c r="B71" i="55"/>
  <c r="F71" i="55" s="1"/>
  <c r="A71" i="55"/>
  <c r="C71" i="55"/>
  <c r="U71" i="55" s="1"/>
  <c r="AI12" i="54"/>
  <c r="AB6" i="54"/>
  <c r="AC6" i="54" l="1"/>
  <c r="AD6" i="54" s="1"/>
  <c r="AE6" i="54"/>
  <c r="AF6" i="54" s="1"/>
  <c r="AH12" i="54"/>
  <c r="AQ12" i="54" s="1"/>
  <c r="AR11" i="54"/>
  <c r="O71" i="55"/>
  <c r="P71" i="55"/>
  <c r="V71" i="55" s="1"/>
  <c r="M71" i="55"/>
  <c r="D71" i="55"/>
  <c r="E72" i="55" s="1"/>
  <c r="G71" i="55"/>
  <c r="W71" i="55"/>
  <c r="AI13" i="54"/>
  <c r="AB7" i="54"/>
  <c r="AE7" i="54" l="1"/>
  <c r="AF7" i="54" s="1"/>
  <c r="AC7" i="54"/>
  <c r="AD7" i="54" s="1"/>
  <c r="AH13" i="54"/>
  <c r="AQ13" i="54" s="1"/>
  <c r="AR12" i="54"/>
  <c r="Q72" i="55"/>
  <c r="K72" i="55"/>
  <c r="L72" i="55" s="1"/>
  <c r="H72" i="55"/>
  <c r="C72" i="55"/>
  <c r="O72" i="55" s="1"/>
  <c r="B72" i="55"/>
  <c r="P72" i="55" s="1"/>
  <c r="A72" i="55"/>
  <c r="AI14" i="54"/>
  <c r="AB8" i="54"/>
  <c r="AC8" i="54" l="1"/>
  <c r="AD8" i="54" s="1"/>
  <c r="AE8" i="54"/>
  <c r="AF8" i="54" s="1"/>
  <c r="AH14" i="54"/>
  <c r="AQ14" i="54" s="1"/>
  <c r="AR13" i="54"/>
  <c r="M72" i="55"/>
  <c r="W72" i="55"/>
  <c r="D72" i="55"/>
  <c r="E73" i="55" s="1"/>
  <c r="U72" i="55"/>
  <c r="F72" i="55"/>
  <c r="G72" i="55"/>
  <c r="AI15" i="54"/>
  <c r="AB9" i="54"/>
  <c r="AE9" i="54" l="1"/>
  <c r="AF9" i="54" s="1"/>
  <c r="AC9" i="54"/>
  <c r="AD9" i="54" s="1"/>
  <c r="AH15" i="54"/>
  <c r="AQ15" i="54" s="1"/>
  <c r="AR14" i="54"/>
  <c r="Q73" i="55"/>
  <c r="K73" i="55"/>
  <c r="L73" i="55" s="1"/>
  <c r="V72" i="55"/>
  <c r="H73" i="55"/>
  <c r="B73" i="55"/>
  <c r="P73" i="55" s="1"/>
  <c r="A73" i="55"/>
  <c r="C73" i="55"/>
  <c r="O73" i="55" s="1"/>
  <c r="AI16" i="54"/>
  <c r="AB10" i="54"/>
  <c r="AC10" i="54" l="1"/>
  <c r="AD10" i="54" s="1"/>
  <c r="AE10" i="54"/>
  <c r="AF10" i="54" s="1"/>
  <c r="AH16" i="54"/>
  <c r="AQ16" i="54" s="1"/>
  <c r="AR15" i="54"/>
  <c r="M73" i="55"/>
  <c r="W73" i="55"/>
  <c r="U73" i="55"/>
  <c r="G73" i="55"/>
  <c r="F73" i="55"/>
  <c r="D73" i="55"/>
  <c r="AI17" i="54"/>
  <c r="AB11" i="54"/>
  <c r="AE11" i="54" l="1"/>
  <c r="AF11" i="54" s="1"/>
  <c r="AC11" i="54"/>
  <c r="AD11" i="54" s="1"/>
  <c r="AH17" i="54"/>
  <c r="AQ17" i="54" s="1"/>
  <c r="AR16" i="54"/>
  <c r="V73" i="55"/>
  <c r="E74" i="55"/>
  <c r="AI18" i="54"/>
  <c r="AB12" i="54"/>
  <c r="AE12" i="54" l="1"/>
  <c r="AF12" i="54" s="1"/>
  <c r="AC12" i="54"/>
  <c r="AD12" i="54" s="1"/>
  <c r="AH18" i="54"/>
  <c r="AQ18" i="54" s="1"/>
  <c r="AR17" i="54"/>
  <c r="Q74" i="55"/>
  <c r="K74" i="55"/>
  <c r="L74" i="55" s="1"/>
  <c r="C74" i="55"/>
  <c r="O74" i="55" s="1"/>
  <c r="A74" i="55"/>
  <c r="H74" i="55"/>
  <c r="B74" i="55"/>
  <c r="P74" i="55" s="1"/>
  <c r="AI19" i="54"/>
  <c r="AB13" i="54"/>
  <c r="AE13" i="54" l="1"/>
  <c r="AF13" i="54" s="1"/>
  <c r="AC13" i="54"/>
  <c r="AD13" i="54" s="1"/>
  <c r="AH19" i="54"/>
  <c r="AQ19" i="54" s="1"/>
  <c r="AR18" i="54"/>
  <c r="M74" i="55"/>
  <c r="U74" i="55"/>
  <c r="W74" i="55"/>
  <c r="F74" i="55"/>
  <c r="G74" i="55"/>
  <c r="D74" i="55"/>
  <c r="AI20" i="54"/>
  <c r="AB14" i="54"/>
  <c r="AC14" i="54" l="1"/>
  <c r="AD14" i="54" s="1"/>
  <c r="AE14" i="54"/>
  <c r="AF14" i="54" s="1"/>
  <c r="AH20" i="54"/>
  <c r="AQ20" i="54" s="1"/>
  <c r="AR19" i="54"/>
  <c r="V74" i="55"/>
  <c r="E75" i="55"/>
  <c r="AI21" i="54"/>
  <c r="AB15" i="54"/>
  <c r="AC15" i="54" l="1"/>
  <c r="AD15" i="54" s="1"/>
  <c r="AE15" i="54"/>
  <c r="AF15" i="54" s="1"/>
  <c r="AH21" i="54"/>
  <c r="AQ21" i="54" s="1"/>
  <c r="AR20" i="54"/>
  <c r="K75" i="55"/>
  <c r="L75" i="55" s="1"/>
  <c r="Q75" i="55"/>
  <c r="B75" i="55"/>
  <c r="G75" i="55" s="1"/>
  <c r="C75" i="55"/>
  <c r="O75" i="55" s="1"/>
  <c r="A75" i="55"/>
  <c r="H75" i="55"/>
  <c r="AI22" i="54"/>
  <c r="AB16" i="54"/>
  <c r="AE16" i="54" l="1"/>
  <c r="AF16" i="54" s="1"/>
  <c r="AC16" i="54"/>
  <c r="AD16" i="54" s="1"/>
  <c r="AH22" i="54"/>
  <c r="AQ22" i="54" s="1"/>
  <c r="AR21" i="54"/>
  <c r="P75" i="55"/>
  <c r="M75" i="55"/>
  <c r="U75" i="55"/>
  <c r="W75" i="55"/>
  <c r="D75" i="55"/>
  <c r="F75" i="55"/>
  <c r="AI23" i="54"/>
  <c r="AB17" i="54"/>
  <c r="AE17" i="54" l="1"/>
  <c r="AF17" i="54" s="1"/>
  <c r="AC17" i="54"/>
  <c r="AD17" i="54" s="1"/>
  <c r="AH23" i="54"/>
  <c r="AQ23" i="54" s="1"/>
  <c r="AR22" i="54"/>
  <c r="E76" i="55"/>
  <c r="V75" i="55"/>
  <c r="AI24" i="54"/>
  <c r="AB18" i="54"/>
  <c r="AC18" i="54" l="1"/>
  <c r="AD18" i="54" s="1"/>
  <c r="AE18" i="54"/>
  <c r="AF18" i="54" s="1"/>
  <c r="AH24" i="54"/>
  <c r="AQ24" i="54" s="1"/>
  <c r="AR23" i="54"/>
  <c r="Q76" i="55"/>
  <c r="K76" i="55"/>
  <c r="L76" i="55" s="1"/>
  <c r="B76" i="55"/>
  <c r="M76" i="55" s="1"/>
  <c r="H76" i="55"/>
  <c r="C76" i="55"/>
  <c r="A76" i="55"/>
  <c r="AI25" i="54"/>
  <c r="AB19" i="54"/>
  <c r="AE19" i="54" l="1"/>
  <c r="AF19" i="54" s="1"/>
  <c r="AC19" i="54"/>
  <c r="AD19" i="54" s="1"/>
  <c r="AH25" i="54"/>
  <c r="AQ25" i="54" s="1"/>
  <c r="AR24" i="54"/>
  <c r="O76" i="55"/>
  <c r="P76" i="55"/>
  <c r="F76" i="55"/>
  <c r="D76" i="55"/>
  <c r="E77" i="55" s="1"/>
  <c r="G76" i="55"/>
  <c r="W76" i="55"/>
  <c r="U76" i="55"/>
  <c r="AI26" i="54"/>
  <c r="AB20" i="54"/>
  <c r="AE20" i="54" l="1"/>
  <c r="AF20" i="54" s="1"/>
  <c r="AC20" i="54"/>
  <c r="AD20" i="54" s="1"/>
  <c r="AH26" i="54"/>
  <c r="AQ26" i="54" s="1"/>
  <c r="AR25" i="54"/>
  <c r="Q77" i="55"/>
  <c r="K77" i="55"/>
  <c r="L77" i="55" s="1"/>
  <c r="C77" i="55"/>
  <c r="O77" i="55" s="1"/>
  <c r="H77" i="55"/>
  <c r="A77" i="55"/>
  <c r="B77" i="55"/>
  <c r="M77" i="55" s="1"/>
  <c r="V76" i="55"/>
  <c r="AI27" i="54"/>
  <c r="AB21" i="54"/>
  <c r="AE21" i="54" l="1"/>
  <c r="AF21" i="54" s="1"/>
  <c r="AC21" i="54"/>
  <c r="AD21" i="54" s="1"/>
  <c r="AH27" i="54"/>
  <c r="AQ27" i="54" s="1"/>
  <c r="AR26" i="54"/>
  <c r="P77" i="55"/>
  <c r="D77" i="55"/>
  <c r="W77" i="55"/>
  <c r="F77" i="55"/>
  <c r="G77" i="55"/>
  <c r="AI28" i="54"/>
  <c r="AB22" i="54"/>
  <c r="AC22" i="54" l="1"/>
  <c r="AD22" i="54" s="1"/>
  <c r="AE22" i="54"/>
  <c r="AF22" i="54" s="1"/>
  <c r="AH28" i="54"/>
  <c r="AQ28" i="54" s="1"/>
  <c r="AR27" i="54"/>
  <c r="E78" i="55"/>
  <c r="AI29" i="54"/>
  <c r="AB23" i="54"/>
  <c r="AC23" i="54" l="1"/>
  <c r="AD23" i="54" s="1"/>
  <c r="AE23" i="54"/>
  <c r="AF23" i="54" s="1"/>
  <c r="AH29" i="54"/>
  <c r="AQ29" i="54" s="1"/>
  <c r="AR28" i="54"/>
  <c r="Q78" i="55"/>
  <c r="K78" i="55"/>
  <c r="L78" i="55" s="1"/>
  <c r="B78" i="55"/>
  <c r="M78" i="55" s="1"/>
  <c r="A78" i="55"/>
  <c r="C78" i="55"/>
  <c r="O78" i="55" s="1"/>
  <c r="H78" i="55"/>
  <c r="AI30" i="54"/>
  <c r="AB24" i="54"/>
  <c r="AE24" i="54" l="1"/>
  <c r="AF24" i="54" s="1"/>
  <c r="AC24" i="54"/>
  <c r="AD24" i="54" s="1"/>
  <c r="AH30" i="54"/>
  <c r="AQ30" i="54" s="1"/>
  <c r="AR29" i="54"/>
  <c r="P78" i="55"/>
  <c r="U78" i="55"/>
  <c r="G78" i="55"/>
  <c r="D78" i="55"/>
  <c r="W78" i="55"/>
  <c r="F78" i="55"/>
  <c r="AI31" i="54"/>
  <c r="AB25" i="54"/>
  <c r="AE25" i="54" l="1"/>
  <c r="AF25" i="54" s="1"/>
  <c r="AC25" i="54"/>
  <c r="AD25" i="54" s="1"/>
  <c r="AH31" i="54"/>
  <c r="AQ31" i="54" s="1"/>
  <c r="AR30" i="54"/>
  <c r="E79" i="55"/>
  <c r="V78" i="55"/>
  <c r="AI32" i="54"/>
  <c r="AB26" i="54"/>
  <c r="AC26" i="54" l="1"/>
  <c r="AD26" i="54" s="1"/>
  <c r="AE26" i="54"/>
  <c r="AF26" i="54" s="1"/>
  <c r="AH32" i="54"/>
  <c r="AQ32" i="54" s="1"/>
  <c r="AR31" i="54"/>
  <c r="Q79" i="55"/>
  <c r="K79" i="55"/>
  <c r="L79" i="55" s="1"/>
  <c r="C79" i="55"/>
  <c r="O79" i="55" s="1"/>
  <c r="B79" i="55"/>
  <c r="D79" i="55" s="1"/>
  <c r="H79" i="55"/>
  <c r="A79" i="55"/>
  <c r="AI33" i="54"/>
  <c r="AB27" i="54"/>
  <c r="AE27" i="54" l="1"/>
  <c r="AF27" i="54" s="1"/>
  <c r="AC27" i="54"/>
  <c r="AD27" i="54" s="1"/>
  <c r="AH33" i="54"/>
  <c r="AQ33" i="54" s="1"/>
  <c r="AR32" i="54"/>
  <c r="P79" i="55"/>
  <c r="M79" i="55"/>
  <c r="E80" i="55"/>
  <c r="U79" i="55"/>
  <c r="F79" i="55"/>
  <c r="W79" i="55"/>
  <c r="G79" i="55"/>
  <c r="AI34" i="54"/>
  <c r="AB28" i="54"/>
  <c r="AE28" i="54" l="1"/>
  <c r="AF28" i="54" s="1"/>
  <c r="AC28" i="54"/>
  <c r="AD28" i="54" s="1"/>
  <c r="AH34" i="54"/>
  <c r="AQ34" i="54" s="1"/>
  <c r="AR33" i="54"/>
  <c r="Q80" i="55"/>
  <c r="K80" i="55"/>
  <c r="L80" i="55" s="1"/>
  <c r="A80" i="55"/>
  <c r="C80" i="55"/>
  <c r="O80" i="55" s="1"/>
  <c r="H80" i="55"/>
  <c r="B80" i="55"/>
  <c r="G80" i="55" s="1"/>
  <c r="V79" i="55"/>
  <c r="AI35" i="54"/>
  <c r="AB29" i="54"/>
  <c r="AE29" i="54" l="1"/>
  <c r="AF29" i="54" s="1"/>
  <c r="AC29" i="54"/>
  <c r="AD29" i="54" s="1"/>
  <c r="AH35" i="54"/>
  <c r="AQ35" i="54" s="1"/>
  <c r="AR34" i="54"/>
  <c r="P80" i="55"/>
  <c r="M80" i="55"/>
  <c r="U80" i="55"/>
  <c r="D80" i="55"/>
  <c r="F80" i="55"/>
  <c r="W80" i="55"/>
  <c r="AI36" i="54"/>
  <c r="AB30" i="54"/>
  <c r="AC30" i="54" l="1"/>
  <c r="AD30" i="54" s="1"/>
  <c r="AE30" i="54"/>
  <c r="AF30" i="54" s="1"/>
  <c r="AH36" i="54"/>
  <c r="AQ36" i="54" s="1"/>
  <c r="AR35" i="54"/>
  <c r="V80" i="55"/>
  <c r="E81" i="55"/>
  <c r="AI37" i="54"/>
  <c r="AB31" i="54"/>
  <c r="AE31" i="54" l="1"/>
  <c r="AF31" i="54" s="1"/>
  <c r="AC31" i="54"/>
  <c r="AD31" i="54" s="1"/>
  <c r="AH37" i="54"/>
  <c r="AQ37" i="54" s="1"/>
  <c r="AR36" i="54"/>
  <c r="Q81" i="55"/>
  <c r="K81" i="55"/>
  <c r="H81" i="55"/>
  <c r="C81" i="55"/>
  <c r="O81" i="55" s="1"/>
  <c r="B81" i="55"/>
  <c r="P81" i="55" s="1"/>
  <c r="L81" i="55"/>
  <c r="A81" i="55"/>
  <c r="AI38" i="54"/>
  <c r="AB32" i="54"/>
  <c r="AC32" i="54" l="1"/>
  <c r="AD32" i="54" s="1"/>
  <c r="AE32" i="54"/>
  <c r="AF32" i="54" s="1"/>
  <c r="AH38" i="54"/>
  <c r="AQ38" i="54" s="1"/>
  <c r="AR37" i="54"/>
  <c r="M81" i="55"/>
  <c r="W81" i="55"/>
  <c r="F81" i="55"/>
  <c r="G81" i="55"/>
  <c r="D81" i="55"/>
  <c r="E82" i="55" s="1"/>
  <c r="U81" i="55"/>
  <c r="AI39" i="54"/>
  <c r="AB33" i="54"/>
  <c r="AE33" i="54" l="1"/>
  <c r="AF33" i="54" s="1"/>
  <c r="AC33" i="54"/>
  <c r="AD33" i="54" s="1"/>
  <c r="AH39" i="54"/>
  <c r="AQ39" i="54" s="1"/>
  <c r="AR38" i="54"/>
  <c r="Q82" i="55"/>
  <c r="K82" i="55"/>
  <c r="L82" i="55" s="1"/>
  <c r="H82" i="55"/>
  <c r="C82" i="55"/>
  <c r="O82" i="55" s="1"/>
  <c r="B82" i="55"/>
  <c r="M82" i="55" s="1"/>
  <c r="A82" i="55"/>
  <c r="V81" i="55"/>
  <c r="AI40" i="54"/>
  <c r="AB34" i="54"/>
  <c r="AC34" i="54" l="1"/>
  <c r="AD34" i="54" s="1"/>
  <c r="AE34" i="54"/>
  <c r="AF34" i="54" s="1"/>
  <c r="AH40" i="54"/>
  <c r="AQ40" i="54" s="1"/>
  <c r="AR39" i="54"/>
  <c r="P82" i="55"/>
  <c r="W82" i="55"/>
  <c r="D82" i="55"/>
  <c r="F82" i="55"/>
  <c r="U82" i="55"/>
  <c r="G82" i="55"/>
  <c r="AI41" i="54"/>
  <c r="AB35" i="54"/>
  <c r="AC35" i="54" l="1"/>
  <c r="AD35" i="54" s="1"/>
  <c r="AE35" i="54"/>
  <c r="AF35" i="54" s="1"/>
  <c r="AH41" i="54"/>
  <c r="AQ41" i="54" s="1"/>
  <c r="AR40" i="54"/>
  <c r="E83" i="55"/>
  <c r="V82" i="55"/>
  <c r="AI42" i="54"/>
  <c r="AB36" i="54"/>
  <c r="AE36" i="54" l="1"/>
  <c r="AF36" i="54" s="1"/>
  <c r="AC36" i="54"/>
  <c r="AD36" i="54" s="1"/>
  <c r="AH42" i="54"/>
  <c r="AQ42" i="54" s="1"/>
  <c r="AR41" i="54"/>
  <c r="Q83" i="55"/>
  <c r="K83" i="55"/>
  <c r="L83" i="55" s="1"/>
  <c r="B83" i="55"/>
  <c r="P83" i="55" s="1"/>
  <c r="A83" i="55"/>
  <c r="H83" i="55"/>
  <c r="C83" i="55"/>
  <c r="U83" i="55" s="1"/>
  <c r="AI43" i="54"/>
  <c r="AB37" i="54"/>
  <c r="AE37" i="54" l="1"/>
  <c r="AF37" i="54" s="1"/>
  <c r="AC37" i="54"/>
  <c r="AD37" i="54" s="1"/>
  <c r="AH43" i="54"/>
  <c r="AQ43" i="54" s="1"/>
  <c r="AR42" i="54"/>
  <c r="O83" i="55"/>
  <c r="M83" i="55"/>
  <c r="F83" i="55"/>
  <c r="G83" i="55"/>
  <c r="D83" i="55"/>
  <c r="E84" i="55" s="1"/>
  <c r="W83" i="55"/>
  <c r="AI44" i="54"/>
  <c r="AB38" i="54"/>
  <c r="AC38" i="54" l="1"/>
  <c r="AD38" i="54" s="1"/>
  <c r="AE38" i="54"/>
  <c r="AF38" i="54" s="1"/>
  <c r="AH44" i="54"/>
  <c r="AQ44" i="54" s="1"/>
  <c r="AR43" i="54"/>
  <c r="Q84" i="55"/>
  <c r="K84" i="55"/>
  <c r="L84" i="55" s="1"/>
  <c r="B84" i="55"/>
  <c r="P84" i="55" s="1"/>
  <c r="C84" i="55"/>
  <c r="O84" i="55" s="1"/>
  <c r="H84" i="55"/>
  <c r="V83" i="55"/>
  <c r="A84" i="55"/>
  <c r="AI45" i="54"/>
  <c r="AB39" i="54"/>
  <c r="AE39" i="54" l="1"/>
  <c r="AF39" i="54" s="1"/>
  <c r="AC39" i="54"/>
  <c r="AD39" i="54" s="1"/>
  <c r="AH45" i="54"/>
  <c r="AQ45" i="54" s="1"/>
  <c r="AR44" i="54"/>
  <c r="M84" i="55"/>
  <c r="W84" i="55"/>
  <c r="U84" i="55"/>
  <c r="V84" i="55" s="1"/>
  <c r="F84" i="55"/>
  <c r="G84" i="55"/>
  <c r="D84" i="55"/>
  <c r="E85" i="55" s="1"/>
  <c r="AI46" i="54"/>
  <c r="AB40" i="54"/>
  <c r="AE40" i="54" l="1"/>
  <c r="AF40" i="54" s="1"/>
  <c r="AC40" i="54"/>
  <c r="AD40" i="54" s="1"/>
  <c r="AH46" i="54"/>
  <c r="AQ46" i="54" s="1"/>
  <c r="AR45" i="54"/>
  <c r="Q85" i="55"/>
  <c r="K85" i="55"/>
  <c r="L85" i="55" s="1"/>
  <c r="A85" i="55"/>
  <c r="H85" i="55"/>
  <c r="B85" i="55"/>
  <c r="M85" i="55" s="1"/>
  <c r="C85" i="55"/>
  <c r="U85" i="55" s="1"/>
  <c r="AI47" i="54"/>
  <c r="AB41" i="54"/>
  <c r="AE41" i="54" l="1"/>
  <c r="AF41" i="54" s="1"/>
  <c r="AC41" i="54"/>
  <c r="AD41" i="54" s="1"/>
  <c r="AH47" i="54"/>
  <c r="AQ47" i="54" s="1"/>
  <c r="AR46" i="54"/>
  <c r="O85" i="55"/>
  <c r="P85" i="55"/>
  <c r="W85" i="55"/>
  <c r="D85" i="55"/>
  <c r="E86" i="55" s="1"/>
  <c r="G85" i="55"/>
  <c r="F85" i="55"/>
  <c r="AI48" i="54"/>
  <c r="AB42" i="54"/>
  <c r="AC42" i="54" l="1"/>
  <c r="AD42" i="54" s="1"/>
  <c r="AE42" i="54"/>
  <c r="AF42" i="54" s="1"/>
  <c r="AH48" i="54"/>
  <c r="AQ48" i="54" s="1"/>
  <c r="AR47" i="54"/>
  <c r="Q86" i="55"/>
  <c r="K86" i="55"/>
  <c r="L86" i="55" s="1"/>
  <c r="B86" i="55"/>
  <c r="F86" i="55" s="1"/>
  <c r="C86" i="55"/>
  <c r="O86" i="55" s="1"/>
  <c r="H86" i="55"/>
  <c r="V85" i="55"/>
  <c r="A86" i="55"/>
  <c r="AI49" i="54"/>
  <c r="AB43" i="54"/>
  <c r="AC43" i="54" l="1"/>
  <c r="AD43" i="54" s="1"/>
  <c r="AE43" i="54"/>
  <c r="AF43" i="54" s="1"/>
  <c r="AH49" i="54"/>
  <c r="AQ49" i="54" s="1"/>
  <c r="AR48" i="54"/>
  <c r="P86" i="55"/>
  <c r="M86" i="55"/>
  <c r="D86" i="55"/>
  <c r="E87" i="55" s="1"/>
  <c r="G86" i="55"/>
  <c r="W86" i="55"/>
  <c r="U86" i="55"/>
  <c r="AI50" i="54"/>
  <c r="AB44" i="54"/>
  <c r="AE44" i="54" l="1"/>
  <c r="AF44" i="54" s="1"/>
  <c r="AC44" i="54"/>
  <c r="AD44" i="54" s="1"/>
  <c r="AH50" i="54"/>
  <c r="AQ50" i="54" s="1"/>
  <c r="AR49" i="54"/>
  <c r="V86" i="55"/>
  <c r="Q87" i="55"/>
  <c r="K87" i="55"/>
  <c r="B87" i="55"/>
  <c r="M87" i="55" s="1"/>
  <c r="C87" i="55"/>
  <c r="U87" i="55" s="1"/>
  <c r="H87" i="55"/>
  <c r="L87" i="55"/>
  <c r="A87" i="55"/>
  <c r="AI51" i="54"/>
  <c r="AB45" i="54"/>
  <c r="AE45" i="54" l="1"/>
  <c r="AF45" i="54" s="1"/>
  <c r="AC45" i="54"/>
  <c r="AD45" i="54" s="1"/>
  <c r="AH51" i="54"/>
  <c r="AQ51" i="54" s="1"/>
  <c r="AR50" i="54"/>
  <c r="O87" i="55"/>
  <c r="P87" i="55"/>
  <c r="V87" i="55" s="1"/>
  <c r="F87" i="55"/>
  <c r="D87" i="55"/>
  <c r="E88" i="55" s="1"/>
  <c r="G87" i="55"/>
  <c r="W87" i="55"/>
  <c r="AI52" i="54"/>
  <c r="AB46" i="54"/>
  <c r="AC46" i="54" l="1"/>
  <c r="AD46" i="54" s="1"/>
  <c r="AE46" i="54"/>
  <c r="AF46" i="54" s="1"/>
  <c r="AH52" i="54"/>
  <c r="AQ52" i="54" s="1"/>
  <c r="AR51" i="54"/>
  <c r="Q88" i="55"/>
  <c r="K88" i="55"/>
  <c r="L88" i="55" s="1"/>
  <c r="H88" i="55"/>
  <c r="B88" i="55"/>
  <c r="D88" i="55" s="1"/>
  <c r="A88" i="55"/>
  <c r="C88" i="55"/>
  <c r="U88" i="55" s="1"/>
  <c r="AI53" i="54"/>
  <c r="AB47" i="54"/>
  <c r="AE47" i="54" l="1"/>
  <c r="AF47" i="54" s="1"/>
  <c r="AC47" i="54"/>
  <c r="AD47" i="54" s="1"/>
  <c r="AH53" i="54"/>
  <c r="AQ53" i="54" s="1"/>
  <c r="AR52" i="54"/>
  <c r="O88" i="55"/>
  <c r="P88" i="55"/>
  <c r="V88" i="55" s="1"/>
  <c r="M88" i="55"/>
  <c r="G88" i="55"/>
  <c r="F88" i="55"/>
  <c r="W88" i="55"/>
  <c r="E89" i="55"/>
  <c r="AI54" i="54"/>
  <c r="AB48" i="54"/>
  <c r="AE48" i="54" l="1"/>
  <c r="AF48" i="54" s="1"/>
  <c r="AC48" i="54"/>
  <c r="AD48" i="54" s="1"/>
  <c r="AH54" i="54"/>
  <c r="AQ54" i="54" s="1"/>
  <c r="AR53" i="54"/>
  <c r="Q89" i="55"/>
  <c r="K89" i="55"/>
  <c r="H89" i="55"/>
  <c r="B89" i="55"/>
  <c r="P89" i="55" s="1"/>
  <c r="A89" i="55"/>
  <c r="L89" i="55"/>
  <c r="C89" i="55"/>
  <c r="O89" i="55" s="1"/>
  <c r="AI55" i="54"/>
  <c r="AB49" i="54"/>
  <c r="AE49" i="54" l="1"/>
  <c r="AF49" i="54" s="1"/>
  <c r="AC49" i="54"/>
  <c r="AD49" i="54" s="1"/>
  <c r="AH55" i="54"/>
  <c r="AQ55" i="54" s="1"/>
  <c r="AR54" i="54"/>
  <c r="M89" i="55"/>
  <c r="G89" i="55"/>
  <c r="W89" i="55"/>
  <c r="D89" i="55"/>
  <c r="E90" i="55" s="1"/>
  <c r="F89" i="55"/>
  <c r="AI56" i="54"/>
  <c r="AB50" i="54"/>
  <c r="AC50" i="54" l="1"/>
  <c r="AD50" i="54" s="1"/>
  <c r="AE50" i="54"/>
  <c r="AF50" i="54" s="1"/>
  <c r="AH56" i="54"/>
  <c r="AQ56" i="54" s="1"/>
  <c r="AR55" i="54"/>
  <c r="Q90" i="55"/>
  <c r="K90" i="55"/>
  <c r="L90" i="55" s="1"/>
  <c r="H90" i="55"/>
  <c r="A90" i="55"/>
  <c r="B90" i="55"/>
  <c r="P90" i="55" s="1"/>
  <c r="C90" i="55"/>
  <c r="O90" i="55" s="1"/>
  <c r="AI57" i="54"/>
  <c r="AB51" i="54"/>
  <c r="AC51" i="54" l="1"/>
  <c r="AD51" i="54" s="1"/>
  <c r="AE51" i="54"/>
  <c r="AF51" i="54" s="1"/>
  <c r="AH57" i="54"/>
  <c r="AQ57" i="54" s="1"/>
  <c r="AR56" i="54"/>
  <c r="D90" i="55"/>
  <c r="E91" i="55" s="1"/>
  <c r="U90" i="55"/>
  <c r="W90" i="55"/>
  <c r="F90" i="55"/>
  <c r="G90" i="55"/>
  <c r="M90" i="55"/>
  <c r="AI58" i="54"/>
  <c r="AB52" i="54"/>
  <c r="AC52" i="54" l="1"/>
  <c r="AD52" i="54" s="1"/>
  <c r="AE52" i="54"/>
  <c r="AF52" i="54" s="1"/>
  <c r="AH58" i="54"/>
  <c r="AQ58" i="54" s="1"/>
  <c r="AR57" i="54"/>
  <c r="K91" i="55"/>
  <c r="L91" i="55" s="1"/>
  <c r="Q91" i="55"/>
  <c r="V90" i="55"/>
  <c r="B91" i="55"/>
  <c r="D91" i="55" s="1"/>
  <c r="A91" i="55"/>
  <c r="C91" i="55"/>
  <c r="O91" i="55" s="1"/>
  <c r="H91" i="55"/>
  <c r="AI59" i="54"/>
  <c r="AB53" i="54"/>
  <c r="AE53" i="54" l="1"/>
  <c r="AF53" i="54" s="1"/>
  <c r="AC53" i="54"/>
  <c r="AD53" i="54" s="1"/>
  <c r="AH59" i="54"/>
  <c r="AQ59" i="54" s="1"/>
  <c r="AR58" i="54"/>
  <c r="P91" i="55"/>
  <c r="F91" i="55"/>
  <c r="G91" i="55"/>
  <c r="E92" i="55"/>
  <c r="W91" i="55"/>
  <c r="U91" i="55"/>
  <c r="M91" i="55"/>
  <c r="AI60" i="54"/>
  <c r="AB54" i="54"/>
  <c r="AC54" i="54" l="1"/>
  <c r="AD54" i="54" s="1"/>
  <c r="AE54" i="54"/>
  <c r="AF54" i="54" s="1"/>
  <c r="AH60" i="54"/>
  <c r="AQ60" i="54" s="1"/>
  <c r="AR59" i="54"/>
  <c r="A92" i="55"/>
  <c r="Q92" i="55"/>
  <c r="K92" i="55"/>
  <c r="L92" i="55" s="1"/>
  <c r="B92" i="55"/>
  <c r="M92" i="55" s="1"/>
  <c r="C92" i="55"/>
  <c r="U92" i="55" s="1"/>
  <c r="H92" i="55"/>
  <c r="V91" i="55"/>
  <c r="AI61" i="54"/>
  <c r="AB55" i="54"/>
  <c r="AE55" i="54" l="1"/>
  <c r="AF55" i="54" s="1"/>
  <c r="AC55" i="54"/>
  <c r="AD55" i="54" s="1"/>
  <c r="AH61" i="54"/>
  <c r="AQ61" i="54" s="1"/>
  <c r="AR60" i="54"/>
  <c r="O92" i="55"/>
  <c r="P92" i="55"/>
  <c r="V92" i="55" s="1"/>
  <c r="D92" i="55"/>
  <c r="E93" i="55" s="1"/>
  <c r="G92" i="55"/>
  <c r="W92" i="55"/>
  <c r="F92" i="55"/>
  <c r="AI62" i="54"/>
  <c r="AB56" i="54"/>
  <c r="AE56" i="54" l="1"/>
  <c r="AF56" i="54" s="1"/>
  <c r="AC56" i="54"/>
  <c r="AD56" i="54" s="1"/>
  <c r="AH62" i="54"/>
  <c r="AQ62" i="54" s="1"/>
  <c r="AR61" i="54"/>
  <c r="Q93" i="55"/>
  <c r="K93" i="55"/>
  <c r="L93" i="55" s="1"/>
  <c r="C93" i="55"/>
  <c r="U93" i="55" s="1"/>
  <c r="A93" i="55"/>
  <c r="B93" i="55"/>
  <c r="D93" i="55" s="1"/>
  <c r="H93" i="55"/>
  <c r="AI63" i="54"/>
  <c r="AB57" i="54"/>
  <c r="AE57" i="54" l="1"/>
  <c r="AF57" i="54" s="1"/>
  <c r="AC57" i="54"/>
  <c r="AD57" i="54" s="1"/>
  <c r="AH63" i="54"/>
  <c r="AQ63" i="54" s="1"/>
  <c r="AR62" i="54"/>
  <c r="O93" i="55"/>
  <c r="P93" i="55"/>
  <c r="V93" i="55" s="1"/>
  <c r="E94" i="55"/>
  <c r="W93" i="55"/>
  <c r="F93" i="55"/>
  <c r="G93" i="55"/>
  <c r="M93" i="55"/>
  <c r="AI64" i="54"/>
  <c r="AB58" i="54"/>
  <c r="AC58" i="54" l="1"/>
  <c r="AD58" i="54" s="1"/>
  <c r="AE58" i="54"/>
  <c r="AF58" i="54" s="1"/>
  <c r="AH64" i="54"/>
  <c r="AQ64" i="54" s="1"/>
  <c r="AR63" i="54"/>
  <c r="A94" i="55"/>
  <c r="Q94" i="55"/>
  <c r="K94" i="55"/>
  <c r="L94" i="55" s="1"/>
  <c r="C94" i="55"/>
  <c r="O94" i="55" s="1"/>
  <c r="B94" i="55"/>
  <c r="D94" i="55" s="1"/>
  <c r="H94" i="55"/>
  <c r="AI65" i="54"/>
  <c r="AB59" i="54"/>
  <c r="AC59" i="54" l="1"/>
  <c r="AD59" i="54" s="1"/>
  <c r="AE59" i="54"/>
  <c r="AF59" i="54" s="1"/>
  <c r="AH65" i="54"/>
  <c r="AQ65" i="54" s="1"/>
  <c r="AR64" i="54"/>
  <c r="U94" i="55"/>
  <c r="E95" i="55"/>
  <c r="H95" i="55" s="1"/>
  <c r="P94" i="55"/>
  <c r="M94" i="55"/>
  <c r="F94" i="55"/>
  <c r="G94" i="55"/>
  <c r="W94" i="55"/>
  <c r="AI66" i="54"/>
  <c r="AB60" i="54"/>
  <c r="AE60" i="54" l="1"/>
  <c r="AF60" i="54" s="1"/>
  <c r="AC60" i="54"/>
  <c r="AD60" i="54" s="1"/>
  <c r="AH66" i="54"/>
  <c r="AQ66" i="54" s="1"/>
  <c r="AR65" i="54"/>
  <c r="V94" i="55"/>
  <c r="C95" i="55"/>
  <c r="O95" i="55" s="1"/>
  <c r="A95" i="55"/>
  <c r="K95" i="55"/>
  <c r="L95" i="55" s="1"/>
  <c r="B95" i="55"/>
  <c r="M95" i="55" s="1"/>
  <c r="Q95" i="55"/>
  <c r="AI67" i="54"/>
  <c r="AB61" i="54"/>
  <c r="AE61" i="54" l="1"/>
  <c r="AF61" i="54" s="1"/>
  <c r="AC61" i="54"/>
  <c r="AD61" i="54" s="1"/>
  <c r="AH67" i="54"/>
  <c r="AQ67" i="54" s="1"/>
  <c r="AR66" i="54"/>
  <c r="F95" i="55"/>
  <c r="U95" i="55"/>
  <c r="G95" i="55"/>
  <c r="D95" i="55"/>
  <c r="E96" i="55" s="1"/>
  <c r="K96" i="55" s="1"/>
  <c r="P95" i="55"/>
  <c r="W95" i="55"/>
  <c r="AI68" i="54"/>
  <c r="AB62" i="54"/>
  <c r="AC62" i="54" l="1"/>
  <c r="AD62" i="54" s="1"/>
  <c r="AE62" i="54"/>
  <c r="AF62" i="54" s="1"/>
  <c r="AH68" i="54"/>
  <c r="AQ68" i="54" s="1"/>
  <c r="AR67" i="54"/>
  <c r="Q96" i="55"/>
  <c r="C96" i="55"/>
  <c r="O96" i="55" s="1"/>
  <c r="B96" i="55"/>
  <c r="P96" i="55" s="1"/>
  <c r="H96" i="55"/>
  <c r="A96" i="55"/>
  <c r="L96" i="55"/>
  <c r="V95" i="55"/>
  <c r="U96" i="55"/>
  <c r="AI69" i="54"/>
  <c r="AB63" i="54"/>
  <c r="AE63" i="54" l="1"/>
  <c r="AF63" i="54" s="1"/>
  <c r="AC63" i="54"/>
  <c r="AD63" i="54" s="1"/>
  <c r="AH69" i="54"/>
  <c r="AQ69" i="54" s="1"/>
  <c r="AR68" i="54"/>
  <c r="V96" i="55"/>
  <c r="G96" i="55"/>
  <c r="M96" i="55"/>
  <c r="F96" i="55"/>
  <c r="D96" i="55"/>
  <c r="E97" i="55" s="1"/>
  <c r="A97" i="55" s="1"/>
  <c r="W96" i="55"/>
  <c r="AI70" i="54"/>
  <c r="AB64" i="54"/>
  <c r="AE64" i="54" l="1"/>
  <c r="AF64" i="54" s="1"/>
  <c r="AC64" i="54"/>
  <c r="AD64" i="54" s="1"/>
  <c r="AH70" i="54"/>
  <c r="AQ70" i="54" s="1"/>
  <c r="AR69" i="54"/>
  <c r="B97" i="55"/>
  <c r="P97" i="55" s="1"/>
  <c r="H97" i="55"/>
  <c r="C97" i="55"/>
  <c r="U97" i="55" s="1"/>
  <c r="K97" i="55"/>
  <c r="L97" i="55" s="1"/>
  <c r="Q97" i="55"/>
  <c r="O97" i="55"/>
  <c r="D97" i="55"/>
  <c r="E98" i="55" s="1"/>
  <c r="AI71" i="54"/>
  <c r="AB65" i="54"/>
  <c r="AE65" i="54" l="1"/>
  <c r="AF65" i="54" s="1"/>
  <c r="AC65" i="54"/>
  <c r="AD65" i="54" s="1"/>
  <c r="AH71" i="54"/>
  <c r="AQ71" i="54" s="1"/>
  <c r="AR70" i="54"/>
  <c r="F97" i="55"/>
  <c r="G97" i="55"/>
  <c r="M97" i="55"/>
  <c r="V97" i="55"/>
  <c r="W97" i="55"/>
  <c r="Q98" i="55"/>
  <c r="K98" i="55"/>
  <c r="L98" i="55" s="1"/>
  <c r="A98" i="55"/>
  <c r="H98" i="55"/>
  <c r="B98" i="55"/>
  <c r="F98" i="55" s="1"/>
  <c r="C98" i="55"/>
  <c r="O98" i="55" s="1"/>
  <c r="AI72" i="54"/>
  <c r="AB66" i="54"/>
  <c r="AC66" i="54" l="1"/>
  <c r="AD66" i="54" s="1"/>
  <c r="AE66" i="54"/>
  <c r="AF66" i="54" s="1"/>
  <c r="AH72" i="54"/>
  <c r="AQ72" i="54" s="1"/>
  <c r="AR71" i="54"/>
  <c r="P98" i="55"/>
  <c r="M98" i="55"/>
  <c r="G98" i="55"/>
  <c r="W98" i="55"/>
  <c r="D98" i="55"/>
  <c r="E99" i="55" s="1"/>
  <c r="U98" i="55"/>
  <c r="AI73" i="54"/>
  <c r="AB67" i="54"/>
  <c r="AE67" i="54" l="1"/>
  <c r="AF67" i="54" s="1"/>
  <c r="AC67" i="54"/>
  <c r="AD67" i="54" s="1"/>
  <c r="AH73" i="54"/>
  <c r="AQ73" i="54" s="1"/>
  <c r="AR72" i="54"/>
  <c r="K99" i="55"/>
  <c r="L99" i="55" s="1"/>
  <c r="Q99" i="55"/>
  <c r="H99" i="55"/>
  <c r="A99" i="55"/>
  <c r="B99" i="55"/>
  <c r="P99" i="55" s="1"/>
  <c r="C99" i="55"/>
  <c r="O99" i="55" s="1"/>
  <c r="V98" i="55"/>
  <c r="AI74" i="54"/>
  <c r="AB68" i="54"/>
  <c r="AE68" i="54" l="1"/>
  <c r="AF68" i="54" s="1"/>
  <c r="AC68" i="54"/>
  <c r="AD68" i="54" s="1"/>
  <c r="AH74" i="54"/>
  <c r="AQ74" i="54" s="1"/>
  <c r="AR73" i="54"/>
  <c r="M99" i="55"/>
  <c r="F99" i="55"/>
  <c r="D99" i="55"/>
  <c r="G99" i="55"/>
  <c r="W99" i="55"/>
  <c r="U99" i="55"/>
  <c r="AI75" i="54"/>
  <c r="AB69" i="54"/>
  <c r="AE69" i="54" l="1"/>
  <c r="AF69" i="54" s="1"/>
  <c r="AC69" i="54"/>
  <c r="AD69" i="54" s="1"/>
  <c r="AH75" i="54"/>
  <c r="AQ75" i="54" s="1"/>
  <c r="AR74" i="54"/>
  <c r="E100" i="55"/>
  <c r="V99" i="55"/>
  <c r="AI76" i="54"/>
  <c r="AB70" i="54"/>
  <c r="AC70" i="54" l="1"/>
  <c r="AD70" i="54" s="1"/>
  <c r="AE70" i="54"/>
  <c r="AF70" i="54" s="1"/>
  <c r="AH76" i="54"/>
  <c r="AQ76" i="54" s="1"/>
  <c r="AR75" i="54"/>
  <c r="Q100" i="55"/>
  <c r="K100" i="55"/>
  <c r="L100" i="55" s="1"/>
  <c r="B100" i="55"/>
  <c r="M100" i="55" s="1"/>
  <c r="A100" i="55"/>
  <c r="C100" i="55"/>
  <c r="U100" i="55" s="1"/>
  <c r="H100" i="55"/>
  <c r="AI77" i="54"/>
  <c r="AB71" i="54"/>
  <c r="AC71" i="54" l="1"/>
  <c r="AD71" i="54" s="1"/>
  <c r="AE71" i="54"/>
  <c r="AF71" i="54" s="1"/>
  <c r="AH77" i="54"/>
  <c r="AQ77" i="54" s="1"/>
  <c r="AR76" i="54"/>
  <c r="P100" i="55"/>
  <c r="V100" i="55" s="1"/>
  <c r="O100" i="55"/>
  <c r="F100" i="55"/>
  <c r="G100" i="55"/>
  <c r="D100" i="55"/>
  <c r="E101" i="55" s="1"/>
  <c r="W100" i="55"/>
  <c r="AI78" i="54"/>
  <c r="AB72" i="54"/>
  <c r="AC72" i="54" l="1"/>
  <c r="AD72" i="54" s="1"/>
  <c r="AE72" i="54"/>
  <c r="AF72" i="54" s="1"/>
  <c r="AH78" i="54"/>
  <c r="AQ78" i="54" s="1"/>
  <c r="AR77" i="54"/>
  <c r="C101" i="55"/>
  <c r="O101" i="55" s="1"/>
  <c r="Q101" i="55"/>
  <c r="K101" i="55"/>
  <c r="L101" i="55" s="1"/>
  <c r="A101" i="55"/>
  <c r="B101" i="55"/>
  <c r="M101" i="55" s="1"/>
  <c r="H101" i="55"/>
  <c r="AI79" i="54"/>
  <c r="AB73" i="54"/>
  <c r="AE73" i="54" l="1"/>
  <c r="AF73" i="54" s="1"/>
  <c r="AC73" i="54"/>
  <c r="AD73" i="54" s="1"/>
  <c r="AH79" i="54"/>
  <c r="AQ79" i="54" s="1"/>
  <c r="AR78" i="54"/>
  <c r="P101" i="55"/>
  <c r="G101" i="55"/>
  <c r="D101" i="55"/>
  <c r="E102" i="55" s="1"/>
  <c r="F101" i="55"/>
  <c r="W101" i="55"/>
  <c r="AI80" i="54"/>
  <c r="AB74" i="54"/>
  <c r="AC74" i="54" l="1"/>
  <c r="AD74" i="54" s="1"/>
  <c r="AE74" i="54"/>
  <c r="AF74" i="54" s="1"/>
  <c r="AH80" i="54"/>
  <c r="AQ80" i="54" s="1"/>
  <c r="AR79" i="54"/>
  <c r="Q102" i="55"/>
  <c r="K102" i="55"/>
  <c r="L102" i="55" s="1"/>
  <c r="C102" i="55"/>
  <c r="O102" i="55" s="1"/>
  <c r="A102" i="55"/>
  <c r="H102" i="55"/>
  <c r="B102" i="55"/>
  <c r="G102" i="55" s="1"/>
  <c r="AI81" i="54"/>
  <c r="AB75" i="54"/>
  <c r="AE75" i="54" l="1"/>
  <c r="AF75" i="54" s="1"/>
  <c r="AC75" i="54"/>
  <c r="AD75" i="54" s="1"/>
  <c r="AH81" i="54"/>
  <c r="AQ81" i="54" s="1"/>
  <c r="AR80" i="54"/>
  <c r="P102" i="55"/>
  <c r="M102" i="55"/>
  <c r="D102" i="55"/>
  <c r="E103" i="55" s="1"/>
  <c r="U102" i="55"/>
  <c r="F102" i="55"/>
  <c r="W102" i="55"/>
  <c r="AI82" i="54"/>
  <c r="AB76" i="54"/>
  <c r="AE76" i="54" l="1"/>
  <c r="AF76" i="54" s="1"/>
  <c r="AC76" i="54"/>
  <c r="AD76" i="54" s="1"/>
  <c r="AH82" i="54"/>
  <c r="AQ82" i="54" s="1"/>
  <c r="AR81" i="54"/>
  <c r="Q103" i="55"/>
  <c r="K103" i="55"/>
  <c r="L103" i="55" s="1"/>
  <c r="H103" i="55"/>
  <c r="C103" i="55"/>
  <c r="O103" i="55" s="1"/>
  <c r="B103" i="55"/>
  <c r="M103" i="55" s="1"/>
  <c r="A103" i="55"/>
  <c r="V102" i="55"/>
  <c r="AI83" i="54"/>
  <c r="AB77" i="54"/>
  <c r="AE77" i="54" l="1"/>
  <c r="AF77" i="54" s="1"/>
  <c r="AC77" i="54"/>
  <c r="AD77" i="54" s="1"/>
  <c r="AH83" i="54"/>
  <c r="AQ83" i="54" s="1"/>
  <c r="AR82" i="54"/>
  <c r="P103" i="55"/>
  <c r="U103" i="55"/>
  <c r="G103" i="55"/>
  <c r="F103" i="55"/>
  <c r="W103" i="55"/>
  <c r="D103" i="55"/>
  <c r="AI84" i="54"/>
  <c r="AB78" i="54"/>
  <c r="AC78" i="54" l="1"/>
  <c r="AD78" i="54" s="1"/>
  <c r="AE78" i="54"/>
  <c r="AF78" i="54" s="1"/>
  <c r="AH84" i="54"/>
  <c r="AQ84" i="54" s="1"/>
  <c r="AR83" i="54"/>
  <c r="E104" i="55"/>
  <c r="V103" i="55"/>
  <c r="AI85" i="54"/>
  <c r="AB79" i="54"/>
  <c r="AC79" i="54" l="1"/>
  <c r="AD79" i="54" s="1"/>
  <c r="AE79" i="54"/>
  <c r="AF79" i="54" s="1"/>
  <c r="AH85" i="54"/>
  <c r="AQ85" i="54" s="1"/>
  <c r="AR84" i="54"/>
  <c r="Q104" i="55"/>
  <c r="K104" i="55"/>
  <c r="L104" i="55" s="1"/>
  <c r="B104" i="55"/>
  <c r="M104" i="55" s="1"/>
  <c r="C104" i="55"/>
  <c r="U104" i="55" s="1"/>
  <c r="A104" i="55"/>
  <c r="H104" i="55"/>
  <c r="AI86" i="54"/>
  <c r="AB80" i="54"/>
  <c r="AE80" i="54" l="1"/>
  <c r="AF80" i="54" s="1"/>
  <c r="AC80" i="54"/>
  <c r="AD80" i="54" s="1"/>
  <c r="AH86" i="54"/>
  <c r="AQ86" i="54" s="1"/>
  <c r="AR85" i="54"/>
  <c r="P104" i="55"/>
  <c r="O104" i="55"/>
  <c r="G104" i="55"/>
  <c r="W104" i="55"/>
  <c r="D104" i="55"/>
  <c r="E105" i="55" s="1"/>
  <c r="F104" i="55"/>
  <c r="AI87" i="54"/>
  <c r="AB81" i="54"/>
  <c r="AE81" i="54" l="1"/>
  <c r="AF81" i="54" s="1"/>
  <c r="AC81" i="54"/>
  <c r="AD81" i="54" s="1"/>
  <c r="AH87" i="54"/>
  <c r="AQ87" i="54" s="1"/>
  <c r="AR86" i="54"/>
  <c r="Q105" i="55"/>
  <c r="K105" i="55"/>
  <c r="L105" i="55" s="1"/>
  <c r="A105" i="55"/>
  <c r="V104" i="55"/>
  <c r="C105" i="55"/>
  <c r="U105" i="55" s="1"/>
  <c r="H105" i="55"/>
  <c r="B105" i="55"/>
  <c r="P105" i="55" s="1"/>
  <c r="AI88" i="54"/>
  <c r="AB82" i="54"/>
  <c r="AC82" i="54" l="1"/>
  <c r="AD82" i="54" s="1"/>
  <c r="AE82" i="54"/>
  <c r="AF82" i="54" s="1"/>
  <c r="AH88" i="54"/>
  <c r="AQ88" i="54" s="1"/>
  <c r="AR87" i="54"/>
  <c r="O105" i="55"/>
  <c r="M105" i="55"/>
  <c r="F105" i="55"/>
  <c r="D105" i="55"/>
  <c r="E106" i="55" s="1"/>
  <c r="V105" i="55"/>
  <c r="G105" i="55"/>
  <c r="W105" i="55"/>
  <c r="AI89" i="54"/>
  <c r="AB83" i="54"/>
  <c r="AE83" i="54" l="1"/>
  <c r="AF83" i="54" s="1"/>
  <c r="AC83" i="54"/>
  <c r="AD83" i="54" s="1"/>
  <c r="AH89" i="54"/>
  <c r="AQ89" i="54" s="1"/>
  <c r="AR88" i="54"/>
  <c r="Q106" i="55"/>
  <c r="K106" i="55"/>
  <c r="L106" i="55" s="1"/>
  <c r="H106" i="55"/>
  <c r="A106" i="55"/>
  <c r="C106" i="55"/>
  <c r="O106" i="55" s="1"/>
  <c r="B106" i="55"/>
  <c r="M106" i="55" s="1"/>
  <c r="AI90" i="54"/>
  <c r="AB84" i="54"/>
  <c r="AE84" i="54" l="1"/>
  <c r="AF84" i="54" s="1"/>
  <c r="AC84" i="54"/>
  <c r="AD84" i="54" s="1"/>
  <c r="AH90" i="54"/>
  <c r="AQ90" i="54" s="1"/>
  <c r="AR89" i="54"/>
  <c r="P106" i="55"/>
  <c r="U106" i="55"/>
  <c r="W106" i="55"/>
  <c r="F106" i="55"/>
  <c r="D106" i="55"/>
  <c r="E107" i="55" s="1"/>
  <c r="G106" i="55"/>
  <c r="AI91" i="54"/>
  <c r="AB85" i="54"/>
  <c r="AE85" i="54" l="1"/>
  <c r="AF85" i="54" s="1"/>
  <c r="AC85" i="54"/>
  <c r="AD85" i="54" s="1"/>
  <c r="AH91" i="54"/>
  <c r="AQ91" i="54" s="1"/>
  <c r="AR90" i="54"/>
  <c r="K107" i="55"/>
  <c r="L107" i="55" s="1"/>
  <c r="Q107" i="55"/>
  <c r="V106" i="55"/>
  <c r="B107" i="55"/>
  <c r="M107" i="55" s="1"/>
  <c r="A107" i="55"/>
  <c r="H107" i="55"/>
  <c r="C107" i="55"/>
  <c r="U107" i="55" s="1"/>
  <c r="AI92" i="54"/>
  <c r="AB86" i="54"/>
  <c r="AC86" i="54" l="1"/>
  <c r="AD86" i="54" s="1"/>
  <c r="AE86" i="54"/>
  <c r="AF86" i="54" s="1"/>
  <c r="AH92" i="54"/>
  <c r="AQ92" i="54" s="1"/>
  <c r="AR91" i="54"/>
  <c r="O107" i="55"/>
  <c r="P107" i="55"/>
  <c r="V107" i="55" s="1"/>
  <c r="F107" i="55"/>
  <c r="G107" i="55"/>
  <c r="D107" i="55"/>
  <c r="E108" i="55" s="1"/>
  <c r="W107" i="55"/>
  <c r="AI93" i="54"/>
  <c r="AB87" i="54"/>
  <c r="AE87" i="54" l="1"/>
  <c r="AF87" i="54" s="1"/>
  <c r="AC87" i="54"/>
  <c r="AD87" i="54" s="1"/>
  <c r="AH93" i="54"/>
  <c r="AQ93" i="54" s="1"/>
  <c r="AR92" i="54"/>
  <c r="A108" i="55"/>
  <c r="Q108" i="55"/>
  <c r="K108" i="55"/>
  <c r="L108" i="55" s="1"/>
  <c r="H108" i="55"/>
  <c r="C108" i="55"/>
  <c r="U108" i="55" s="1"/>
  <c r="B108" i="55"/>
  <c r="M108" i="55" s="1"/>
  <c r="AI94" i="54"/>
  <c r="AB88" i="54"/>
  <c r="AE88" i="54" l="1"/>
  <c r="AF88" i="54" s="1"/>
  <c r="AC88" i="54"/>
  <c r="AD88" i="54" s="1"/>
  <c r="AH94" i="54"/>
  <c r="AQ94" i="54" s="1"/>
  <c r="AR93" i="54"/>
  <c r="O108" i="55"/>
  <c r="P108" i="55"/>
  <c r="V108" i="55" s="1"/>
  <c r="D108" i="55"/>
  <c r="E109" i="55" s="1"/>
  <c r="F108" i="55"/>
  <c r="G108" i="55"/>
  <c r="W108" i="55"/>
  <c r="AI95" i="54"/>
  <c r="AB89" i="54"/>
  <c r="AE89" i="54" l="1"/>
  <c r="AF89" i="54" s="1"/>
  <c r="AC89" i="54"/>
  <c r="AD89" i="54" s="1"/>
  <c r="AH95" i="54"/>
  <c r="AQ95" i="54" s="1"/>
  <c r="AR94" i="54"/>
  <c r="H109" i="55"/>
  <c r="Q109" i="55"/>
  <c r="K109" i="55"/>
  <c r="L109" i="55" s="1"/>
  <c r="A109" i="55"/>
  <c r="C109" i="55"/>
  <c r="O109" i="55" s="1"/>
  <c r="B109" i="55"/>
  <c r="F109" i="55" s="1"/>
  <c r="AI96" i="54"/>
  <c r="AB90" i="54"/>
  <c r="AC90" i="54" l="1"/>
  <c r="AD90" i="54" s="1"/>
  <c r="AE90" i="54"/>
  <c r="AF90" i="54" s="1"/>
  <c r="AH96" i="54"/>
  <c r="AQ96" i="54" s="1"/>
  <c r="AR95" i="54"/>
  <c r="P109" i="55"/>
  <c r="U109" i="55"/>
  <c r="M109" i="55"/>
  <c r="G109" i="55"/>
  <c r="W109" i="55"/>
  <c r="D109" i="55"/>
  <c r="E110" i="55" s="1"/>
  <c r="AI97" i="54"/>
  <c r="AB91" i="54"/>
  <c r="AC91" i="54" l="1"/>
  <c r="AD91" i="54" s="1"/>
  <c r="AE91" i="54"/>
  <c r="AF91" i="54" s="1"/>
  <c r="AH97" i="54"/>
  <c r="AQ97" i="54" s="1"/>
  <c r="AR96" i="54"/>
  <c r="A110" i="55"/>
  <c r="Q110" i="55"/>
  <c r="K110" i="55"/>
  <c r="L110" i="55" s="1"/>
  <c r="V109" i="55"/>
  <c r="C110" i="55"/>
  <c r="U110" i="55" s="1"/>
  <c r="H110" i="55"/>
  <c r="B110" i="55"/>
  <c r="M110" i="55" s="1"/>
  <c r="AI98" i="54"/>
  <c r="AB92" i="54"/>
  <c r="AC92" i="54" l="1"/>
  <c r="AD92" i="54" s="1"/>
  <c r="AE92" i="54"/>
  <c r="AF92" i="54" s="1"/>
  <c r="AH98" i="54"/>
  <c r="AQ98" i="54" s="1"/>
  <c r="AR97" i="54"/>
  <c r="O110" i="55"/>
  <c r="P110" i="55"/>
  <c r="V110" i="55" s="1"/>
  <c r="F110" i="55"/>
  <c r="D110" i="55"/>
  <c r="E111" i="55" s="1"/>
  <c r="W110" i="55"/>
  <c r="G110" i="55"/>
  <c r="AI99" i="54"/>
  <c r="AB93" i="54"/>
  <c r="AE93" i="54" l="1"/>
  <c r="AF93" i="54" s="1"/>
  <c r="AC93" i="54"/>
  <c r="AD93" i="54" s="1"/>
  <c r="AH99" i="54"/>
  <c r="AQ99" i="54" s="1"/>
  <c r="AR98" i="54"/>
  <c r="C111" i="55"/>
  <c r="O111" i="55" s="1"/>
  <c r="Q111" i="55"/>
  <c r="K111" i="55"/>
  <c r="L111" i="55" s="1"/>
  <c r="A111" i="55"/>
  <c r="B111" i="55"/>
  <c r="F111" i="55" s="1"/>
  <c r="H111" i="55"/>
  <c r="AI100" i="54"/>
  <c r="AB94" i="54"/>
  <c r="AC94" i="54" l="1"/>
  <c r="AD94" i="54" s="1"/>
  <c r="AE94" i="54"/>
  <c r="AF94" i="54" s="1"/>
  <c r="AH100" i="54"/>
  <c r="AQ100" i="54" s="1"/>
  <c r="AR99" i="54"/>
  <c r="U111" i="55"/>
  <c r="P111" i="55"/>
  <c r="G111" i="55"/>
  <c r="M111" i="55"/>
  <c r="W111" i="55"/>
  <c r="D111" i="55"/>
  <c r="E112" i="55" s="1"/>
  <c r="AI101" i="54"/>
  <c r="AB95" i="54"/>
  <c r="AC95" i="54" l="1"/>
  <c r="AD95" i="54" s="1"/>
  <c r="AE95" i="54"/>
  <c r="AF95" i="54" s="1"/>
  <c r="AH101" i="54"/>
  <c r="AQ101" i="54" s="1"/>
  <c r="AR100" i="54"/>
  <c r="V111" i="55"/>
  <c r="Q112" i="55"/>
  <c r="K112" i="55"/>
  <c r="L112" i="55" s="1"/>
  <c r="B112" i="55"/>
  <c r="G112" i="55" s="1"/>
  <c r="C112" i="55"/>
  <c r="U112" i="55" s="1"/>
  <c r="A112" i="55"/>
  <c r="H112" i="55"/>
  <c r="AI102" i="54"/>
  <c r="AB96" i="54"/>
  <c r="AE96" i="54" l="1"/>
  <c r="AF96" i="54" s="1"/>
  <c r="AC96" i="54"/>
  <c r="AD96" i="54" s="1"/>
  <c r="AH102" i="54"/>
  <c r="AQ102" i="54" s="1"/>
  <c r="AR101" i="54"/>
  <c r="O112" i="55"/>
  <c r="P112" i="55"/>
  <c r="V112" i="55" s="1"/>
  <c r="F112" i="55"/>
  <c r="W112" i="55"/>
  <c r="M112" i="55"/>
  <c r="D112" i="55"/>
  <c r="E113" i="55" s="1"/>
  <c r="AI103" i="54"/>
  <c r="AB97" i="54"/>
  <c r="AE97" i="54" l="1"/>
  <c r="AF97" i="54" s="1"/>
  <c r="AC97" i="54"/>
  <c r="AD97" i="54" s="1"/>
  <c r="AH103" i="54"/>
  <c r="AQ103" i="54" s="1"/>
  <c r="AR102" i="54"/>
  <c r="B113" i="55"/>
  <c r="P113" i="55" s="1"/>
  <c r="Q113" i="55"/>
  <c r="K113" i="55"/>
  <c r="L113" i="55" s="1"/>
  <c r="C113" i="55"/>
  <c r="O113" i="55" s="1"/>
  <c r="A113" i="55"/>
  <c r="H113" i="55"/>
  <c r="AI104" i="54"/>
  <c r="AB98" i="54"/>
  <c r="AC98" i="54" l="1"/>
  <c r="AD98" i="54" s="1"/>
  <c r="AE98" i="54"/>
  <c r="AF98" i="54" s="1"/>
  <c r="AH104" i="54"/>
  <c r="AQ104" i="54" s="1"/>
  <c r="AR103" i="54"/>
  <c r="D113" i="55"/>
  <c r="M113" i="55"/>
  <c r="F113" i="55"/>
  <c r="G113" i="55"/>
  <c r="E114" i="55"/>
  <c r="W113" i="55"/>
  <c r="AI105" i="54"/>
  <c r="AB99" i="54"/>
  <c r="AE99" i="54" l="1"/>
  <c r="AF99" i="54" s="1"/>
  <c r="AC99" i="54"/>
  <c r="AD99" i="54" s="1"/>
  <c r="AH105" i="54"/>
  <c r="AQ105" i="54" s="1"/>
  <c r="AR104" i="54"/>
  <c r="A114" i="55"/>
  <c r="Q114" i="55"/>
  <c r="K114" i="55"/>
  <c r="B114" i="55"/>
  <c r="P114" i="55" s="1"/>
  <c r="C114" i="55"/>
  <c r="O114" i="55" s="1"/>
  <c r="H114" i="55"/>
  <c r="L114" i="55"/>
  <c r="AI106" i="54"/>
  <c r="AB100" i="54"/>
  <c r="AE100" i="54" l="1"/>
  <c r="AF100" i="54" s="1"/>
  <c r="AC100" i="54"/>
  <c r="AD100" i="54" s="1"/>
  <c r="AH106" i="54"/>
  <c r="AQ106" i="54" s="1"/>
  <c r="AR105" i="54"/>
  <c r="D114" i="55"/>
  <c r="E115" i="55" s="1"/>
  <c r="G114" i="55"/>
  <c r="W114" i="55"/>
  <c r="F114" i="55"/>
  <c r="M114" i="55"/>
  <c r="U114" i="55"/>
  <c r="V114" i="55" s="1"/>
  <c r="AI107" i="54"/>
  <c r="AB101" i="54"/>
  <c r="AE101" i="54" l="1"/>
  <c r="AF101" i="54" s="1"/>
  <c r="AC101" i="54"/>
  <c r="AD101" i="54" s="1"/>
  <c r="AH107" i="54"/>
  <c r="AQ107" i="54" s="1"/>
  <c r="AR106" i="54"/>
  <c r="Q115" i="55"/>
  <c r="K115" i="55"/>
  <c r="L115" i="55" s="1"/>
  <c r="B115" i="55"/>
  <c r="D115" i="55" s="1"/>
  <c r="C115" i="55"/>
  <c r="O115" i="55" s="1"/>
  <c r="A115" i="55"/>
  <c r="H115" i="55"/>
  <c r="AI108" i="54"/>
  <c r="AB102" i="54"/>
  <c r="AC102" i="54" l="1"/>
  <c r="AD102" i="54" s="1"/>
  <c r="AE102" i="54"/>
  <c r="AF102" i="54" s="1"/>
  <c r="AH108" i="54"/>
  <c r="AQ108" i="54" s="1"/>
  <c r="AR107" i="54"/>
  <c r="G115" i="55"/>
  <c r="P115" i="55"/>
  <c r="U115" i="55"/>
  <c r="E116" i="55"/>
  <c r="A116" i="55" s="1"/>
  <c r="F115" i="55"/>
  <c r="M115" i="55"/>
  <c r="W115" i="55"/>
  <c r="AI109" i="54"/>
  <c r="AB103" i="54"/>
  <c r="AE103" i="54" l="1"/>
  <c r="AF103" i="54" s="1"/>
  <c r="AC103" i="54"/>
  <c r="AD103" i="54" s="1"/>
  <c r="AH109" i="54"/>
  <c r="AQ109" i="54" s="1"/>
  <c r="AR108" i="54"/>
  <c r="V115" i="55"/>
  <c r="Q116" i="55"/>
  <c r="K116" i="55"/>
  <c r="L116" i="55" s="1"/>
  <c r="H116" i="55"/>
  <c r="B116" i="55"/>
  <c r="M116" i="55" s="1"/>
  <c r="C116" i="55"/>
  <c r="U116" i="55" s="1"/>
  <c r="AI110" i="54"/>
  <c r="AB104" i="54"/>
  <c r="AE104" i="54" l="1"/>
  <c r="AF104" i="54" s="1"/>
  <c r="AC104" i="54"/>
  <c r="AD104" i="54" s="1"/>
  <c r="AH110" i="54"/>
  <c r="AQ110" i="54" s="1"/>
  <c r="AR109" i="54"/>
  <c r="G116" i="55"/>
  <c r="W116" i="55"/>
  <c r="F116" i="55"/>
  <c r="O116" i="55"/>
  <c r="P116" i="55"/>
  <c r="V116" i="55" s="1"/>
  <c r="D116" i="55"/>
  <c r="E117" i="55" s="1"/>
  <c r="H117" i="55" s="1"/>
  <c r="AI111" i="54"/>
  <c r="AB105" i="54"/>
  <c r="AE105" i="54" l="1"/>
  <c r="AF105" i="54" s="1"/>
  <c r="AC105" i="54"/>
  <c r="AD105" i="54" s="1"/>
  <c r="AH111" i="54"/>
  <c r="AQ111" i="54" s="1"/>
  <c r="AR110" i="54"/>
  <c r="Q117" i="55"/>
  <c r="K117" i="55"/>
  <c r="L117" i="55" s="1"/>
  <c r="C117" i="55"/>
  <c r="O117" i="55" s="1"/>
  <c r="B117" i="55"/>
  <c r="P117" i="55" s="1"/>
  <c r="A117" i="55"/>
  <c r="AI112" i="54"/>
  <c r="AB106" i="54"/>
  <c r="AC106" i="54" l="1"/>
  <c r="AD106" i="54" s="1"/>
  <c r="AE106" i="54"/>
  <c r="AF106" i="54" s="1"/>
  <c r="AH112" i="54"/>
  <c r="AQ112" i="54" s="1"/>
  <c r="AR111" i="54"/>
  <c r="U117" i="55"/>
  <c r="V117" i="55" s="1"/>
  <c r="W117" i="55"/>
  <c r="F117" i="55"/>
  <c r="D117" i="55"/>
  <c r="E118" i="55" s="1"/>
  <c r="K118" i="55" s="1"/>
  <c r="G117" i="55"/>
  <c r="M117" i="55"/>
  <c r="AI113" i="54"/>
  <c r="AB107" i="54"/>
  <c r="AC107" i="54" l="1"/>
  <c r="AD107" i="54" s="1"/>
  <c r="AE107" i="54"/>
  <c r="AF107" i="54" s="1"/>
  <c r="AH113" i="54"/>
  <c r="AQ113" i="54" s="1"/>
  <c r="AR112" i="54"/>
  <c r="B118" i="55"/>
  <c r="G118" i="55" s="1"/>
  <c r="Q118" i="55"/>
  <c r="D118" i="55"/>
  <c r="C118" i="55"/>
  <c r="U118" i="55" s="1"/>
  <c r="A118" i="55"/>
  <c r="H118" i="55"/>
  <c r="L118" i="55"/>
  <c r="F118" i="55"/>
  <c r="P118" i="55"/>
  <c r="AI114" i="54"/>
  <c r="AB108" i="54"/>
  <c r="AE108" i="54" l="1"/>
  <c r="AF108" i="54" s="1"/>
  <c r="AC108" i="54"/>
  <c r="AD108" i="54" s="1"/>
  <c r="AH114" i="54"/>
  <c r="AQ114" i="54" s="1"/>
  <c r="AR113" i="54"/>
  <c r="M118" i="55"/>
  <c r="W118" i="55"/>
  <c r="E119" i="55"/>
  <c r="Q119" i="55" s="1"/>
  <c r="V118" i="55"/>
  <c r="O118" i="55"/>
  <c r="AI115" i="54"/>
  <c r="AB109" i="54"/>
  <c r="AE109" i="54" l="1"/>
  <c r="AF109" i="54" s="1"/>
  <c r="AC109" i="54"/>
  <c r="AD109" i="54" s="1"/>
  <c r="AH115" i="54"/>
  <c r="AQ115" i="54" s="1"/>
  <c r="AR114" i="54"/>
  <c r="C119" i="55"/>
  <c r="O119" i="55" s="1"/>
  <c r="B119" i="55"/>
  <c r="D119" i="55" s="1"/>
  <c r="H119" i="55"/>
  <c r="K119" i="55"/>
  <c r="L119" i="55" s="1"/>
  <c r="A119" i="55"/>
  <c r="G119" i="55"/>
  <c r="U119" i="55"/>
  <c r="AI116" i="54"/>
  <c r="AB110" i="54"/>
  <c r="AC110" i="54" l="1"/>
  <c r="AD110" i="54" s="1"/>
  <c r="AE110" i="54"/>
  <c r="AF110" i="54" s="1"/>
  <c r="AH116" i="54"/>
  <c r="AQ116" i="54" s="1"/>
  <c r="AR115" i="54"/>
  <c r="E120" i="55"/>
  <c r="A120" i="55" s="1"/>
  <c r="W119" i="55"/>
  <c r="F119" i="55"/>
  <c r="P119" i="55"/>
  <c r="V119" i="55" s="1"/>
  <c r="M119" i="55"/>
  <c r="K120" i="55"/>
  <c r="L120" i="55" s="1"/>
  <c r="B120" i="55"/>
  <c r="P120" i="55" s="1"/>
  <c r="AI117" i="54"/>
  <c r="AB111" i="54"/>
  <c r="AE111" i="54" l="1"/>
  <c r="AF111" i="54" s="1"/>
  <c r="AC111" i="54"/>
  <c r="AD111" i="54" s="1"/>
  <c r="AH117" i="54"/>
  <c r="AQ117" i="54" s="1"/>
  <c r="AR116" i="54"/>
  <c r="C120" i="55"/>
  <c r="O120" i="55" s="1"/>
  <c r="Q120" i="55"/>
  <c r="H120" i="55"/>
  <c r="U120" i="55"/>
  <c r="V120" i="55" s="1"/>
  <c r="F120" i="55"/>
  <c r="M120" i="55"/>
  <c r="D120" i="55"/>
  <c r="E121" i="55" s="1"/>
  <c r="Q121" i="55" s="1"/>
  <c r="G120" i="55"/>
  <c r="W120" i="55"/>
  <c r="AI118" i="54"/>
  <c r="AB112" i="54"/>
  <c r="AC112" i="54" l="1"/>
  <c r="AD112" i="54" s="1"/>
  <c r="AE112" i="54"/>
  <c r="AF112" i="54" s="1"/>
  <c r="AH118" i="54"/>
  <c r="AQ118" i="54" s="1"/>
  <c r="AR117" i="54"/>
  <c r="C121" i="55"/>
  <c r="O121" i="55" s="1"/>
  <c r="H121" i="55"/>
  <c r="A121" i="55"/>
  <c r="B121" i="55"/>
  <c r="P121" i="55" s="1"/>
  <c r="K121" i="55"/>
  <c r="L121" i="55" s="1"/>
  <c r="AI119" i="54"/>
  <c r="AB113" i="54"/>
  <c r="AE113" i="54" l="1"/>
  <c r="AF113" i="54" s="1"/>
  <c r="AC113" i="54"/>
  <c r="AD113" i="54" s="1"/>
  <c r="AH119" i="54"/>
  <c r="AQ119" i="54" s="1"/>
  <c r="AR118" i="54"/>
  <c r="U121" i="55"/>
  <c r="V121" i="55" s="1"/>
  <c r="G121" i="55"/>
  <c r="D121" i="55"/>
  <c r="E122" i="55" s="1"/>
  <c r="Q122" i="55" s="1"/>
  <c r="W121" i="55"/>
  <c r="F121" i="55"/>
  <c r="M121" i="55"/>
  <c r="AI120" i="54"/>
  <c r="AB114" i="54"/>
  <c r="AC114" i="54" l="1"/>
  <c r="AD114" i="54" s="1"/>
  <c r="AE114" i="54"/>
  <c r="AF114" i="54" s="1"/>
  <c r="AH120" i="54"/>
  <c r="AQ120" i="54" s="1"/>
  <c r="AR119" i="54"/>
  <c r="B122" i="55"/>
  <c r="M122" i="55" s="1"/>
  <c r="A122" i="55"/>
  <c r="H122" i="55"/>
  <c r="K122" i="55"/>
  <c r="L122" i="55" s="1"/>
  <c r="C122" i="55"/>
  <c r="U122" i="55" s="1"/>
  <c r="AI121" i="54"/>
  <c r="AB115" i="54"/>
  <c r="AE115" i="54" l="1"/>
  <c r="AF115" i="54" s="1"/>
  <c r="AC115" i="54"/>
  <c r="AD115" i="54" s="1"/>
  <c r="AH121" i="54"/>
  <c r="AQ121" i="54" s="1"/>
  <c r="AR120" i="54"/>
  <c r="F122" i="55"/>
  <c r="D122" i="55"/>
  <c r="E123" i="55"/>
  <c r="K123" i="55" s="1"/>
  <c r="L123" i="55" s="1"/>
  <c r="G122" i="55"/>
  <c r="O122" i="55"/>
  <c r="W122" i="55"/>
  <c r="P122" i="55"/>
  <c r="V122" i="55" s="1"/>
  <c r="H123" i="55"/>
  <c r="AI122" i="54"/>
  <c r="AB116" i="54"/>
  <c r="AE116" i="54" l="1"/>
  <c r="AF116" i="54" s="1"/>
  <c r="AC116" i="54"/>
  <c r="AD116" i="54" s="1"/>
  <c r="AH122" i="54"/>
  <c r="AQ122" i="54" s="1"/>
  <c r="AR121" i="54"/>
  <c r="A123" i="55"/>
  <c r="B123" i="55"/>
  <c r="D123" i="55" s="1"/>
  <c r="Q123" i="55"/>
  <c r="C123" i="55"/>
  <c r="O123" i="55" s="1"/>
  <c r="P123" i="55"/>
  <c r="M123" i="55"/>
  <c r="F123" i="55"/>
  <c r="G123" i="55"/>
  <c r="AI123" i="54"/>
  <c r="AB117" i="54"/>
  <c r="AE117" i="54" l="1"/>
  <c r="AF117" i="54" s="1"/>
  <c r="AC117" i="54"/>
  <c r="AD117" i="54" s="1"/>
  <c r="AH123" i="54"/>
  <c r="AQ123" i="54" s="1"/>
  <c r="AR122" i="54"/>
  <c r="E124" i="55"/>
  <c r="K124" i="55" s="1"/>
  <c r="L124" i="55" s="1"/>
  <c r="W123" i="55"/>
  <c r="U123" i="55"/>
  <c r="V123" i="55" s="1"/>
  <c r="A124" i="55"/>
  <c r="Q124" i="55"/>
  <c r="C124" i="55"/>
  <c r="U124" i="55" s="1"/>
  <c r="B124" i="55"/>
  <c r="G124" i="55" s="1"/>
  <c r="AI124" i="54"/>
  <c r="AB118" i="54"/>
  <c r="AC118" i="54" l="1"/>
  <c r="AD118" i="54" s="1"/>
  <c r="AE118" i="54"/>
  <c r="AF118" i="54" s="1"/>
  <c r="AH124" i="54"/>
  <c r="AQ124" i="54" s="1"/>
  <c r="AR123" i="54"/>
  <c r="H124" i="55"/>
  <c r="O124" i="55"/>
  <c r="P124" i="55"/>
  <c r="V124" i="55" s="1"/>
  <c r="M124" i="55"/>
  <c r="F124" i="55"/>
  <c r="W124" i="55"/>
  <c r="D124" i="55"/>
  <c r="E125" i="55" s="1"/>
  <c r="AI125" i="54"/>
  <c r="AB119" i="54"/>
  <c r="AC119" i="54" l="1"/>
  <c r="AD119" i="54" s="1"/>
  <c r="AE119" i="54"/>
  <c r="AF119" i="54" s="1"/>
  <c r="AH125" i="54"/>
  <c r="AR124" i="54"/>
  <c r="Q125" i="55"/>
  <c r="K125" i="55"/>
  <c r="L125" i="55" s="1"/>
  <c r="C125" i="55"/>
  <c r="O125" i="55" s="1"/>
  <c r="H125" i="55"/>
  <c r="A125" i="55"/>
  <c r="B125" i="55"/>
  <c r="F125" i="55" s="1"/>
  <c r="AB120" i="54"/>
  <c r="AE120" i="54" l="1"/>
  <c r="AF120" i="54" s="1"/>
  <c r="AC120" i="54"/>
  <c r="AD120" i="54" s="1"/>
  <c r="AQ125" i="54"/>
  <c r="AR125" i="54" s="1"/>
  <c r="P125" i="55"/>
  <c r="G125" i="55"/>
  <c r="W125" i="55"/>
  <c r="D125" i="55"/>
  <c r="E126" i="55" s="1"/>
  <c r="M125" i="55"/>
  <c r="AB121" i="54"/>
  <c r="AE121" i="54" l="1"/>
  <c r="AF121" i="54" s="1"/>
  <c r="AC121" i="54"/>
  <c r="AD121" i="54" s="1"/>
  <c r="Q126" i="55"/>
  <c r="K126" i="55"/>
  <c r="L126" i="55" s="1"/>
  <c r="A126" i="55"/>
  <c r="C126" i="55"/>
  <c r="U126" i="55" s="1"/>
  <c r="H126" i="55"/>
  <c r="B126" i="55"/>
  <c r="M126" i="55" s="1"/>
  <c r="AB122" i="54"/>
  <c r="AC122" i="54" l="1"/>
  <c r="AD122" i="54" s="1"/>
  <c r="AE122" i="54"/>
  <c r="AF122" i="54" s="1"/>
  <c r="P126" i="55"/>
  <c r="O126" i="55"/>
  <c r="D126" i="55"/>
  <c r="E127" i="55" s="1"/>
  <c r="G126" i="55"/>
  <c r="V126" i="55"/>
  <c r="W126" i="55"/>
  <c r="F126" i="55"/>
  <c r="AB123" i="54"/>
  <c r="AE123" i="54" l="1"/>
  <c r="AF123" i="54" s="1"/>
  <c r="AC123" i="54"/>
  <c r="AD123" i="54" s="1"/>
  <c r="Q127" i="55"/>
  <c r="K127" i="55"/>
  <c r="C127" i="55"/>
  <c r="O127" i="55" s="1"/>
  <c r="A127" i="55"/>
  <c r="B127" i="55"/>
  <c r="M127" i="55" s="1"/>
  <c r="L127" i="55"/>
  <c r="H127" i="55"/>
  <c r="AB124" i="54"/>
  <c r="AE124" i="54" l="1"/>
  <c r="AF124" i="54" s="1"/>
  <c r="AC124" i="54"/>
  <c r="AD124" i="54" s="1"/>
  <c r="U127" i="55"/>
  <c r="P127" i="55"/>
  <c r="F127" i="55"/>
  <c r="G127" i="55"/>
  <c r="D127" i="55"/>
  <c r="E128" i="55" s="1"/>
  <c r="W127" i="55"/>
  <c r="AB125" i="54"/>
  <c r="AE125" i="54" l="1"/>
  <c r="AF125" i="54" s="1"/>
  <c r="AC125" i="54"/>
  <c r="AD125" i="54" s="1"/>
  <c r="V127" i="55"/>
  <c r="H128" i="55"/>
  <c r="Q128" i="55"/>
  <c r="K128" i="55"/>
  <c r="L128" i="55" s="1"/>
  <c r="A128" i="55"/>
  <c r="B128" i="55"/>
  <c r="M128" i="55" s="1"/>
  <c r="C128" i="55"/>
  <c r="O128" i="55" s="1"/>
  <c r="D22" i="52"/>
  <c r="P128" i="55" l="1"/>
  <c r="U128" i="55"/>
  <c r="D128" i="55"/>
  <c r="E129" i="55" s="1"/>
  <c r="W128" i="55"/>
  <c r="F128" i="55"/>
  <c r="G128" i="55"/>
  <c r="D24" i="52"/>
  <c r="Q129" i="55" l="1"/>
  <c r="K129" i="55"/>
  <c r="L129" i="55" s="1"/>
  <c r="V128" i="55"/>
  <c r="A129" i="55"/>
  <c r="C129" i="55"/>
  <c r="U129" i="55" s="1"/>
  <c r="B129" i="55"/>
  <c r="F129" i="55" s="1"/>
  <c r="H129" i="55"/>
  <c r="D26" i="52"/>
  <c r="D28" i="52" s="1"/>
  <c r="P129" i="55" l="1"/>
  <c r="V129" i="55" s="1"/>
  <c r="O129" i="55"/>
  <c r="W129" i="55"/>
  <c r="G129" i="55"/>
  <c r="M129" i="55"/>
  <c r="D129" i="55"/>
  <c r="E130" i="55" s="1"/>
  <c r="L6" i="26"/>
  <c r="L5" i="26"/>
  <c r="A130" i="55" l="1"/>
  <c r="Q130" i="55"/>
  <c r="K130" i="55"/>
  <c r="L130" i="55" s="1"/>
  <c r="B130" i="55"/>
  <c r="M130" i="55" s="1"/>
  <c r="H130" i="55"/>
  <c r="C130" i="55"/>
  <c r="O130" i="55" s="1"/>
  <c r="A67" i="2"/>
  <c r="D65" i="2"/>
  <c r="E65" i="2" s="1"/>
  <c r="F65" i="2" s="1"/>
  <c r="G65" i="2" s="1"/>
  <c r="H65" i="2" s="1"/>
  <c r="I65" i="2" s="1"/>
  <c r="J65" i="2" s="1"/>
  <c r="K65" i="2" s="1"/>
  <c r="L65" i="2" s="1"/>
  <c r="M65" i="2" s="1"/>
  <c r="N65" i="2" s="1"/>
  <c r="O65" i="2" s="1"/>
  <c r="P65" i="2" s="1"/>
  <c r="Q65" i="2" s="1"/>
  <c r="R65" i="2" s="1"/>
  <c r="S65" i="2" s="1"/>
  <c r="T65" i="2" s="1"/>
  <c r="U65" i="2" s="1"/>
  <c r="V65" i="2" s="1"/>
  <c r="W65" i="2" s="1"/>
  <c r="X65" i="2" s="1"/>
  <c r="Y65" i="2" s="1"/>
  <c r="Z65" i="2" s="1"/>
  <c r="AA65" i="2" s="1"/>
  <c r="AB65" i="2" s="1"/>
  <c r="AC65" i="2" s="1"/>
  <c r="AD65" i="2" s="1"/>
  <c r="AE65" i="2" s="1"/>
  <c r="AF65" i="2" s="1"/>
  <c r="AG65" i="2" s="1"/>
  <c r="AH65" i="2" s="1"/>
  <c r="AI65" i="2" s="1"/>
  <c r="AJ65" i="2" s="1"/>
  <c r="AK65" i="2" s="1"/>
  <c r="AL65" i="2" s="1"/>
  <c r="AM65" i="2" s="1"/>
  <c r="AN65" i="2" s="1"/>
  <c r="AO65" i="2" s="1"/>
  <c r="AP65" i="2" s="1"/>
  <c r="AQ65" i="2" s="1"/>
  <c r="AR65" i="2" s="1"/>
  <c r="AS65" i="2" s="1"/>
  <c r="AT65" i="2" s="1"/>
  <c r="AU65" i="2" s="1"/>
  <c r="AV65" i="2" s="1"/>
  <c r="AW65" i="2" s="1"/>
  <c r="AX65" i="2" s="1"/>
  <c r="AY65" i="2" s="1"/>
  <c r="AZ65" i="2" s="1"/>
  <c r="BA65" i="2" s="1"/>
  <c r="BB65" i="2" s="1"/>
  <c r="BC65" i="2" s="1"/>
  <c r="BD65" i="2" s="1"/>
  <c r="BE65" i="2" s="1"/>
  <c r="BF65" i="2" s="1"/>
  <c r="BG65" i="2" s="1"/>
  <c r="BH65" i="2" s="1"/>
  <c r="BI65" i="2" s="1"/>
  <c r="BJ65" i="2" s="1"/>
  <c r="BK65" i="2" s="1"/>
  <c r="BL65" i="2" s="1"/>
  <c r="BM65" i="2" s="1"/>
  <c r="BN65" i="2" s="1"/>
  <c r="BO65" i="2" s="1"/>
  <c r="BP65" i="2" s="1"/>
  <c r="BQ65" i="2" s="1"/>
  <c r="BR65" i="2" s="1"/>
  <c r="BS65" i="2" s="1"/>
  <c r="BT65" i="2" s="1"/>
  <c r="BU65" i="2" s="1"/>
  <c r="BV65" i="2" s="1"/>
  <c r="BW65" i="2" s="1"/>
  <c r="BX65" i="2" s="1"/>
  <c r="BY65" i="2" s="1"/>
  <c r="D130" i="55" l="1"/>
  <c r="E131" i="55" s="1"/>
  <c r="F130" i="55"/>
  <c r="P130" i="55"/>
  <c r="G130" i="55"/>
  <c r="W130" i="55"/>
  <c r="U130" i="55"/>
  <c r="A68" i="2"/>
  <c r="A69" i="2" s="1"/>
  <c r="A70" i="2" s="1"/>
  <c r="A71" i="2" s="1"/>
  <c r="A72" i="2" s="1"/>
  <c r="A73" i="2" s="1"/>
  <c r="A74" i="2" s="1"/>
  <c r="A75" i="2" s="1"/>
  <c r="A76" i="2" s="1"/>
  <c r="A77" i="2" s="1"/>
  <c r="A78" i="2" s="1"/>
  <c r="A79" i="2" s="1"/>
  <c r="A80" i="2" s="1"/>
  <c r="A81" i="2" s="1"/>
  <c r="C16" i="2" l="1"/>
  <c r="K5" i="26" s="1"/>
  <c r="M5" i="26" s="1"/>
  <c r="V130" i="55"/>
  <c r="K131" i="55"/>
  <c r="L131" i="55" s="1"/>
  <c r="Q131" i="55"/>
  <c r="C131" i="55"/>
  <c r="O131" i="55" s="1"/>
  <c r="H131" i="55"/>
  <c r="A131" i="55"/>
  <c r="B131" i="55"/>
  <c r="G131" i="55" s="1"/>
  <c r="X5" i="26"/>
  <c r="Q6" i="26"/>
  <c r="Q5" i="26"/>
  <c r="U5" i="26"/>
  <c r="BT4" i="26"/>
  <c r="W6" i="26"/>
  <c r="W5" i="26"/>
  <c r="P131" i="55" l="1"/>
  <c r="AF5" i="26"/>
  <c r="AN5" i="26" s="1"/>
  <c r="M131" i="55"/>
  <c r="D131" i="55"/>
  <c r="W131" i="55"/>
  <c r="U131" i="55"/>
  <c r="F131" i="55"/>
  <c r="N5" i="26"/>
  <c r="AJ5" i="26"/>
  <c r="AK5" i="26" s="1"/>
  <c r="A6" i="51"/>
  <c r="A7" i="51" s="1"/>
  <c r="A8" i="51" s="1"/>
  <c r="A9" i="51" s="1"/>
  <c r="A10" i="51" s="1"/>
  <c r="A11" i="51" s="1"/>
  <c r="A12" i="51" s="1"/>
  <c r="A13" i="51" s="1"/>
  <c r="A14" i="51" s="1"/>
  <c r="A15" i="51" s="1"/>
  <c r="A16" i="51" s="1"/>
  <c r="A17" i="51" s="1"/>
  <c r="A18" i="51" s="1"/>
  <c r="P24" i="51"/>
  <c r="V24" i="51" s="1"/>
  <c r="P23" i="51"/>
  <c r="V23" i="51" s="1"/>
  <c r="P22" i="51"/>
  <c r="V22" i="51" s="1"/>
  <c r="P21" i="51"/>
  <c r="V21" i="51" s="1"/>
  <c r="E132" i="55" l="1"/>
  <c r="V131" i="55"/>
  <c r="M23" i="51"/>
  <c r="O22" i="51"/>
  <c r="K22" i="51"/>
  <c r="M21" i="51"/>
  <c r="L23" i="51"/>
  <c r="N22" i="51"/>
  <c r="J22" i="51"/>
  <c r="L21" i="51"/>
  <c r="O23" i="51"/>
  <c r="K23" i="51"/>
  <c r="M22" i="51"/>
  <c r="O21" i="51"/>
  <c r="K21" i="51"/>
  <c r="N23" i="51"/>
  <c r="J23" i="51"/>
  <c r="L22" i="51"/>
  <c r="N21" i="51"/>
  <c r="J21" i="51"/>
  <c r="A19" i="51"/>
  <c r="A20" i="51" s="1"/>
  <c r="A21" i="51" s="1"/>
  <c r="A22" i="51" s="1"/>
  <c r="A23" i="51" s="1"/>
  <c r="A24" i="51" s="1"/>
  <c r="R5" i="26"/>
  <c r="Q132" i="55" l="1"/>
  <c r="K132" i="55"/>
  <c r="L132" i="55" s="1"/>
  <c r="S5" i="26"/>
  <c r="H132" i="55"/>
  <c r="B132" i="55"/>
  <c r="D132" i="55" s="1"/>
  <c r="A132" i="55"/>
  <c r="C132" i="55"/>
  <c r="O132" i="55" s="1"/>
  <c r="N24" i="51"/>
  <c r="K24" i="51"/>
  <c r="L24" i="51"/>
  <c r="T22" i="51"/>
  <c r="Z22" i="51" s="1"/>
  <c r="J24" i="51"/>
  <c r="M24" i="51"/>
  <c r="O24" i="51"/>
  <c r="S22" i="51"/>
  <c r="Y22" i="51" s="1"/>
  <c r="Q22" i="51"/>
  <c r="W22" i="51" s="1"/>
  <c r="R22" i="51"/>
  <c r="X22" i="51" s="1"/>
  <c r="U22" i="51"/>
  <c r="AA22" i="51" s="1"/>
  <c r="Q23" i="51"/>
  <c r="W23" i="51" s="1"/>
  <c r="T23" i="51"/>
  <c r="Z23" i="51" s="1"/>
  <c r="S23" i="51"/>
  <c r="Y23" i="51" s="1"/>
  <c r="R23" i="51"/>
  <c r="U23" i="51"/>
  <c r="AA23" i="51" s="1"/>
  <c r="U21" i="51"/>
  <c r="AA21" i="51" s="1"/>
  <c r="Q21" i="51"/>
  <c r="W21" i="51" s="1"/>
  <c r="S21" i="51"/>
  <c r="Y21" i="51" s="1"/>
  <c r="R21" i="51"/>
  <c r="T21" i="51"/>
  <c r="Z21" i="51" s="1"/>
  <c r="P132" i="55" l="1"/>
  <c r="R24" i="51"/>
  <c r="X24" i="51" s="1"/>
  <c r="M132" i="55"/>
  <c r="G132" i="55"/>
  <c r="F132" i="55"/>
  <c r="W132" i="55"/>
  <c r="U132" i="55"/>
  <c r="E133" i="55"/>
  <c r="Q24" i="51"/>
  <c r="W24" i="51" s="1"/>
  <c r="S24" i="51"/>
  <c r="Y24" i="51" s="1"/>
  <c r="U24" i="51"/>
  <c r="AA24" i="51" s="1"/>
  <c r="T24" i="51"/>
  <c r="Z24" i="51" s="1"/>
  <c r="X21" i="51"/>
  <c r="X23" i="51"/>
  <c r="Q133" i="55" l="1"/>
  <c r="K133" i="55"/>
  <c r="L133" i="55" s="1"/>
  <c r="H133" i="55"/>
  <c r="B133" i="55"/>
  <c r="P133" i="55" s="1"/>
  <c r="A133" i="55"/>
  <c r="C133" i="55"/>
  <c r="O133" i="55" s="1"/>
  <c r="V132" i="55"/>
  <c r="G4" i="26"/>
  <c r="D13" i="2"/>
  <c r="D15" i="2" l="1"/>
  <c r="D16" i="2"/>
  <c r="D14" i="2"/>
  <c r="M133" i="55"/>
  <c r="D133" i="55"/>
  <c r="U133" i="55"/>
  <c r="F133" i="55"/>
  <c r="G133" i="55"/>
  <c r="W133" i="55"/>
  <c r="X6" i="26"/>
  <c r="BK6" i="26" s="1"/>
  <c r="K6" i="26"/>
  <c r="M6" i="26" s="1"/>
  <c r="E13" i="2"/>
  <c r="E15" i="2" l="1"/>
  <c r="E16" i="2"/>
  <c r="E14" i="2"/>
  <c r="E134" i="55"/>
  <c r="V133" i="55"/>
  <c r="N6" i="26"/>
  <c r="AJ6" i="26"/>
  <c r="AK6" i="26" s="1"/>
  <c r="T5" i="26"/>
  <c r="BC5" i="26" s="1"/>
  <c r="R6" i="26"/>
  <c r="U6" i="26"/>
  <c r="F13" i="2"/>
  <c r="F15" i="2" l="1"/>
  <c r="F16" i="2"/>
  <c r="F14" i="2"/>
  <c r="Q134" i="55"/>
  <c r="K134" i="55"/>
  <c r="AF6" i="26"/>
  <c r="AN6" i="26" s="1"/>
  <c r="S6" i="26"/>
  <c r="T6" i="26" s="1"/>
  <c r="BC6" i="26" s="1"/>
  <c r="C134" i="55"/>
  <c r="O134" i="55" s="1"/>
  <c r="H134" i="55"/>
  <c r="L134" i="55"/>
  <c r="B134" i="55"/>
  <c r="M134" i="55" s="1"/>
  <c r="A134" i="55"/>
  <c r="BL5" i="26"/>
  <c r="AL5" i="26"/>
  <c r="X7" i="26"/>
  <c r="G13" i="2"/>
  <c r="AL6" i="26" l="1"/>
  <c r="AM6" i="26" s="1"/>
  <c r="AM5" i="26"/>
  <c r="G15" i="2"/>
  <c r="G16" i="2"/>
  <c r="G14" i="2"/>
  <c r="P134" i="55"/>
  <c r="BL6" i="26"/>
  <c r="BT5" i="26"/>
  <c r="AV5" i="55"/>
  <c r="U134" i="55"/>
  <c r="D134" i="55"/>
  <c r="G134" i="55"/>
  <c r="W134" i="55"/>
  <c r="F134" i="55"/>
  <c r="C7" i="26"/>
  <c r="V7" i="26" s="1"/>
  <c r="A7" i="26"/>
  <c r="K7" i="26"/>
  <c r="L7" i="26"/>
  <c r="Q7" i="26"/>
  <c r="R7" i="26" s="1"/>
  <c r="W7" i="26"/>
  <c r="H13" i="2"/>
  <c r="H15" i="2" l="1"/>
  <c r="H16" i="2"/>
  <c r="H14" i="2"/>
  <c r="S7" i="26"/>
  <c r="T7" i="26" s="1"/>
  <c r="BT6" i="26"/>
  <c r="AV6" i="55"/>
  <c r="V134" i="55"/>
  <c r="E135" i="55"/>
  <c r="U7" i="26"/>
  <c r="AS7" i="26"/>
  <c r="BJ7" i="26" s="1"/>
  <c r="E8" i="26"/>
  <c r="M7" i="26"/>
  <c r="I13" i="2"/>
  <c r="AL7" i="26" l="1"/>
  <c r="BL7" i="26"/>
  <c r="BC7" i="26"/>
  <c r="I15" i="2"/>
  <c r="I16" i="2"/>
  <c r="I14" i="2"/>
  <c r="Q135" i="55"/>
  <c r="K135" i="55"/>
  <c r="AM7" i="26"/>
  <c r="AU5" i="26"/>
  <c r="AU6" i="26"/>
  <c r="AF7" i="26"/>
  <c r="AN7" i="26" s="1"/>
  <c r="C135" i="55"/>
  <c r="O135" i="55" s="1"/>
  <c r="H135" i="55"/>
  <c r="A135" i="55"/>
  <c r="B135" i="55"/>
  <c r="D135" i="55" s="1"/>
  <c r="L135" i="55"/>
  <c r="B8" i="26"/>
  <c r="P8" i="26" s="1"/>
  <c r="H8" i="26"/>
  <c r="BK7" i="26"/>
  <c r="AO7" i="26"/>
  <c r="AT7" i="26" s="1"/>
  <c r="W8" i="26"/>
  <c r="N7" i="26"/>
  <c r="AJ7" i="26"/>
  <c r="AK7" i="26" s="1"/>
  <c r="C8" i="26"/>
  <c r="AS8" i="26" s="1"/>
  <c r="L8" i="26"/>
  <c r="A8" i="26"/>
  <c r="Q8" i="26"/>
  <c r="J13" i="2"/>
  <c r="B4" i="47"/>
  <c r="A13" i="42"/>
  <c r="C11" i="42"/>
  <c r="D11" i="42" s="1"/>
  <c r="E11" i="42" s="1"/>
  <c r="F11" i="42" s="1"/>
  <c r="G11" i="42" s="1"/>
  <c r="H11" i="42" s="1"/>
  <c r="I11" i="42" s="1"/>
  <c r="J11" i="42" s="1"/>
  <c r="K11" i="42" s="1"/>
  <c r="L11" i="42" s="1"/>
  <c r="M11" i="42" s="1"/>
  <c r="N11" i="42" s="1"/>
  <c r="O11" i="42" s="1"/>
  <c r="P11" i="42" s="1"/>
  <c r="Q11" i="42" s="1"/>
  <c r="R11" i="42" s="1"/>
  <c r="S11" i="42" s="1"/>
  <c r="T11" i="42" s="1"/>
  <c r="U11" i="42" s="1"/>
  <c r="V11" i="42" s="1"/>
  <c r="W11" i="42" s="1"/>
  <c r="X11" i="42" s="1"/>
  <c r="Y11" i="42" s="1"/>
  <c r="Z11" i="42" s="1"/>
  <c r="AA11" i="42" s="1"/>
  <c r="AB11" i="42" s="1"/>
  <c r="AC11" i="42" s="1"/>
  <c r="AD11" i="42" s="1"/>
  <c r="AE11" i="42" s="1"/>
  <c r="AF11" i="42" s="1"/>
  <c r="AG11" i="42" s="1"/>
  <c r="AH11" i="42" s="1"/>
  <c r="AI11" i="42" s="1"/>
  <c r="AJ11" i="42" s="1"/>
  <c r="AK11" i="42" s="1"/>
  <c r="AL11" i="42" s="1"/>
  <c r="AM11" i="42" s="1"/>
  <c r="AN11" i="42" s="1"/>
  <c r="AO11" i="42" s="1"/>
  <c r="AP11" i="42" s="1"/>
  <c r="AQ11" i="42" s="1"/>
  <c r="AR11" i="42" s="1"/>
  <c r="AS11" i="42" s="1"/>
  <c r="AT11" i="42" s="1"/>
  <c r="AU11" i="42" s="1"/>
  <c r="AV11" i="42" s="1"/>
  <c r="AW11" i="42" s="1"/>
  <c r="AX11" i="42" s="1"/>
  <c r="AY11" i="42" s="1"/>
  <c r="AZ11" i="42" s="1"/>
  <c r="BA11" i="42" s="1"/>
  <c r="BB11" i="42" s="1"/>
  <c r="BC11" i="42" s="1"/>
  <c r="BD11" i="42" s="1"/>
  <c r="BE11" i="42" s="1"/>
  <c r="BF11" i="42" s="1"/>
  <c r="BG11" i="42" s="1"/>
  <c r="BH11" i="42" s="1"/>
  <c r="BI11" i="42" s="1"/>
  <c r="BJ11" i="42" s="1"/>
  <c r="BK11" i="42" s="1"/>
  <c r="BL11" i="42" s="1"/>
  <c r="BM11" i="42" s="1"/>
  <c r="BN11" i="42" s="1"/>
  <c r="BO11" i="42" s="1"/>
  <c r="BP11" i="42" s="1"/>
  <c r="BQ11" i="42" s="1"/>
  <c r="BR11" i="42" s="1"/>
  <c r="BS11" i="42" s="1"/>
  <c r="BT11" i="42" s="1"/>
  <c r="BU11" i="42" s="1"/>
  <c r="BV11" i="42" s="1"/>
  <c r="BW11" i="42" s="1"/>
  <c r="BX11" i="42" s="1"/>
  <c r="BY11" i="42" s="1"/>
  <c r="BZ11" i="42" s="1"/>
  <c r="CA11" i="42" s="1"/>
  <c r="CB11" i="42" s="1"/>
  <c r="CC11" i="42" s="1"/>
  <c r="CD11" i="42" s="1"/>
  <c r="CE11" i="42" s="1"/>
  <c r="CF11" i="42" s="1"/>
  <c r="CG11" i="42" s="1"/>
  <c r="CH11" i="42" s="1"/>
  <c r="CI11" i="42" s="1"/>
  <c r="CJ11" i="42" s="1"/>
  <c r="CK11" i="42" s="1"/>
  <c r="CL11" i="42" s="1"/>
  <c r="CM11" i="42" s="1"/>
  <c r="CN11" i="42" s="1"/>
  <c r="CO11" i="42" s="1"/>
  <c r="CP11" i="42" s="1"/>
  <c r="CQ11" i="42" s="1"/>
  <c r="CR11" i="42" s="1"/>
  <c r="CS11" i="42" s="1"/>
  <c r="CT11" i="42" s="1"/>
  <c r="CU11" i="42" s="1"/>
  <c r="CV11" i="42" s="1"/>
  <c r="CW11" i="42" s="1"/>
  <c r="V8" i="26" l="1"/>
  <c r="J15" i="2"/>
  <c r="J16" i="2"/>
  <c r="J14" i="2"/>
  <c r="E136" i="55"/>
  <c r="K136" i="55" s="1"/>
  <c r="L136" i="55" s="1"/>
  <c r="P135" i="55"/>
  <c r="F8" i="26"/>
  <c r="O8" i="26"/>
  <c r="G8" i="26"/>
  <c r="AP8" i="26"/>
  <c r="D8" i="26"/>
  <c r="E9" i="26" s="1"/>
  <c r="M135" i="55"/>
  <c r="BT7" i="26"/>
  <c r="AV7" i="55"/>
  <c r="A14" i="42"/>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B5" i="47"/>
  <c r="H136" i="55"/>
  <c r="G135" i="55"/>
  <c r="U135" i="55"/>
  <c r="F135" i="55"/>
  <c r="W135" i="55"/>
  <c r="BJ8" i="26"/>
  <c r="K13" i="2"/>
  <c r="K15" i="2" l="1"/>
  <c r="K16" i="2"/>
  <c r="K14" i="2"/>
  <c r="B136" i="55"/>
  <c r="F136" i="55" s="1"/>
  <c r="Q136" i="55"/>
  <c r="C136" i="55"/>
  <c r="A136" i="55"/>
  <c r="P136" i="55"/>
  <c r="AU7" i="26"/>
  <c r="N96" i="55"/>
  <c r="N80" i="55"/>
  <c r="N64" i="55"/>
  <c r="N32" i="55"/>
  <c r="N120" i="55"/>
  <c r="N56" i="55"/>
  <c r="N132" i="55"/>
  <c r="N128" i="55"/>
  <c r="N116" i="55"/>
  <c r="N108" i="55"/>
  <c r="N104" i="55"/>
  <c r="N92" i="55"/>
  <c r="N60" i="55"/>
  <c r="N48" i="55"/>
  <c r="N44" i="55"/>
  <c r="N36" i="55"/>
  <c r="N24" i="55"/>
  <c r="N20" i="55"/>
  <c r="N23" i="55"/>
  <c r="N25" i="55"/>
  <c r="N21" i="55"/>
  <c r="N17" i="55"/>
  <c r="N124" i="55"/>
  <c r="N112" i="55"/>
  <c r="N100" i="55"/>
  <c r="N88" i="55"/>
  <c r="N76" i="55"/>
  <c r="N52" i="55"/>
  <c r="N28" i="55"/>
  <c r="N27" i="55"/>
  <c r="N19" i="55"/>
  <c r="N26" i="55"/>
  <c r="N22" i="55"/>
  <c r="N18" i="55"/>
  <c r="B6" i="47"/>
  <c r="N135" i="55"/>
  <c r="X135" i="55" s="1"/>
  <c r="W136" i="55"/>
  <c r="V135" i="55"/>
  <c r="B9" i="26"/>
  <c r="P9" i="26" s="1"/>
  <c r="AO8" i="26"/>
  <c r="AT8" i="26" s="1"/>
  <c r="H9" i="26"/>
  <c r="L13" i="2"/>
  <c r="G136" i="55" l="1"/>
  <c r="D136" i="55"/>
  <c r="E137" i="55" s="1"/>
  <c r="Q137" i="55" s="1"/>
  <c r="M136" i="55"/>
  <c r="N136" i="55" s="1"/>
  <c r="X136" i="55" s="1"/>
  <c r="O136" i="55"/>
  <c r="L15" i="2"/>
  <c r="L16" i="2"/>
  <c r="L14" i="2"/>
  <c r="U136" i="55"/>
  <c r="V136" i="55" s="1"/>
  <c r="K137" i="55"/>
  <c r="L137" i="55" s="1"/>
  <c r="O9" i="26"/>
  <c r="G9" i="26"/>
  <c r="AP9" i="26"/>
  <c r="F9" i="26"/>
  <c r="D9" i="26"/>
  <c r="N68" i="55"/>
  <c r="N72" i="55"/>
  <c r="N84" i="55"/>
  <c r="X84" i="55" s="1"/>
  <c r="N40" i="55"/>
  <c r="N54" i="55"/>
  <c r="N102" i="55"/>
  <c r="N71" i="55"/>
  <c r="N77" i="55"/>
  <c r="N125" i="55"/>
  <c r="N75" i="55"/>
  <c r="N74" i="55"/>
  <c r="N122" i="55"/>
  <c r="N79" i="55"/>
  <c r="X28" i="55"/>
  <c r="X76" i="55"/>
  <c r="X21" i="55"/>
  <c r="N65" i="55"/>
  <c r="N113" i="55"/>
  <c r="N83" i="55"/>
  <c r="X20" i="55"/>
  <c r="X80" i="55"/>
  <c r="N46" i="55"/>
  <c r="N62" i="55"/>
  <c r="N78" i="55"/>
  <c r="N94" i="55"/>
  <c r="N110" i="55"/>
  <c r="N126" i="55"/>
  <c r="N55" i="55"/>
  <c r="N87" i="55"/>
  <c r="N119" i="55"/>
  <c r="N37" i="55"/>
  <c r="N53" i="55"/>
  <c r="N69" i="55"/>
  <c r="N85" i="55"/>
  <c r="N101" i="55"/>
  <c r="N117" i="55"/>
  <c r="N133" i="55"/>
  <c r="N31" i="55"/>
  <c r="N59" i="55"/>
  <c r="N91" i="55"/>
  <c r="N123" i="55"/>
  <c r="X72" i="55"/>
  <c r="X132" i="55"/>
  <c r="X26" i="55"/>
  <c r="N38" i="55"/>
  <c r="N70" i="55"/>
  <c r="N86" i="55"/>
  <c r="N118" i="55"/>
  <c r="N35" i="55"/>
  <c r="N103" i="55"/>
  <c r="N29" i="55"/>
  <c r="N45" i="55"/>
  <c r="N61" i="55"/>
  <c r="N93" i="55"/>
  <c r="N109" i="55"/>
  <c r="N43" i="55"/>
  <c r="N107" i="55"/>
  <c r="X18" i="55"/>
  <c r="N42" i="55"/>
  <c r="N58" i="55"/>
  <c r="N90" i="55"/>
  <c r="N106" i="55"/>
  <c r="X19" i="55"/>
  <c r="N47" i="55"/>
  <c r="N111" i="55"/>
  <c r="X52" i="55"/>
  <c r="X100" i="55"/>
  <c r="X124" i="55"/>
  <c r="N33" i="55"/>
  <c r="N49" i="55"/>
  <c r="N81" i="55"/>
  <c r="N97" i="55"/>
  <c r="N129" i="55"/>
  <c r="X23" i="55"/>
  <c r="N51" i="55"/>
  <c r="N115" i="55"/>
  <c r="X32" i="55"/>
  <c r="X44" i="55"/>
  <c r="X56" i="55"/>
  <c r="X92" i="55"/>
  <c r="X104" i="55"/>
  <c r="X116" i="55"/>
  <c r="X128" i="55"/>
  <c r="N30" i="55"/>
  <c r="X22" i="55"/>
  <c r="N34" i="55"/>
  <c r="N50" i="55"/>
  <c r="N66" i="55"/>
  <c r="N82" i="55"/>
  <c r="N98" i="55"/>
  <c r="N114" i="55"/>
  <c r="N130" i="55"/>
  <c r="X27" i="55"/>
  <c r="N63" i="55"/>
  <c r="N95" i="55"/>
  <c r="N131" i="55"/>
  <c r="X64" i="55"/>
  <c r="X88" i="55"/>
  <c r="X112" i="55"/>
  <c r="X17" i="55"/>
  <c r="S17" i="55"/>
  <c r="X25" i="55"/>
  <c r="N41" i="55"/>
  <c r="N57" i="55"/>
  <c r="N73" i="55"/>
  <c r="N89" i="55"/>
  <c r="N105" i="55"/>
  <c r="N121" i="55"/>
  <c r="N134" i="55"/>
  <c r="N39" i="55"/>
  <c r="N67" i="55"/>
  <c r="N99" i="55"/>
  <c r="N127" i="55"/>
  <c r="X24" i="55"/>
  <c r="X36" i="55"/>
  <c r="X48" i="55"/>
  <c r="X60" i="55"/>
  <c r="X96" i="55"/>
  <c r="X108" i="55"/>
  <c r="X120" i="55"/>
  <c r="B7" i="47"/>
  <c r="C137" i="55"/>
  <c r="O137" i="55" s="1"/>
  <c r="B137" i="55"/>
  <c r="P137" i="55" s="1"/>
  <c r="H137" i="55"/>
  <c r="A137" i="55"/>
  <c r="M13" i="2"/>
  <c r="M15" i="2" l="1"/>
  <c r="M16" i="2"/>
  <c r="M14" i="2"/>
  <c r="M137" i="55"/>
  <c r="D137" i="55"/>
  <c r="E138" i="55" s="1"/>
  <c r="X68" i="55"/>
  <c r="X40" i="55"/>
  <c r="X99" i="55"/>
  <c r="X57" i="55"/>
  <c r="X131" i="55"/>
  <c r="X130" i="55"/>
  <c r="X34" i="55"/>
  <c r="X129" i="55"/>
  <c r="X33" i="55"/>
  <c r="X42" i="55"/>
  <c r="X109" i="55"/>
  <c r="X29" i="55"/>
  <c r="X86" i="55"/>
  <c r="X31" i="55"/>
  <c r="X58" i="55"/>
  <c r="X85" i="55"/>
  <c r="X119" i="55"/>
  <c r="X122" i="55"/>
  <c r="X77" i="55"/>
  <c r="X102" i="55"/>
  <c r="X127" i="55"/>
  <c r="X67" i="55"/>
  <c r="X105" i="55"/>
  <c r="X73" i="55"/>
  <c r="X41" i="55"/>
  <c r="X95" i="55"/>
  <c r="X114" i="55"/>
  <c r="X82" i="55"/>
  <c r="X50" i="55"/>
  <c r="X115" i="55"/>
  <c r="X49" i="55"/>
  <c r="X47" i="55"/>
  <c r="X106" i="55"/>
  <c r="X43" i="55"/>
  <c r="X93" i="55"/>
  <c r="X45" i="55"/>
  <c r="X118" i="55"/>
  <c r="X70" i="55"/>
  <c r="X125" i="55"/>
  <c r="X39" i="55"/>
  <c r="X89" i="55"/>
  <c r="X63" i="55"/>
  <c r="X98" i="55"/>
  <c r="X66" i="55"/>
  <c r="X81" i="55"/>
  <c r="X111" i="55"/>
  <c r="X107" i="55"/>
  <c r="X61" i="55"/>
  <c r="X35" i="55"/>
  <c r="X110" i="55"/>
  <c r="X113" i="55"/>
  <c r="X134" i="55"/>
  <c r="X97" i="55"/>
  <c r="S18" i="55"/>
  <c r="S19" i="55" s="1"/>
  <c r="S20" i="55" s="1"/>
  <c r="S21" i="55" s="1"/>
  <c r="S22" i="55" s="1"/>
  <c r="S23" i="55" s="1"/>
  <c r="S24" i="55" s="1"/>
  <c r="S25" i="55" s="1"/>
  <c r="S26" i="55" s="1"/>
  <c r="S27" i="55" s="1"/>
  <c r="S28" i="55" s="1"/>
  <c r="X103" i="55"/>
  <c r="X91" i="55"/>
  <c r="X117" i="55"/>
  <c r="X53" i="55"/>
  <c r="X55" i="55"/>
  <c r="X78" i="55"/>
  <c r="X46" i="55"/>
  <c r="X75" i="55"/>
  <c r="X121" i="55"/>
  <c r="X30" i="55"/>
  <c r="X51" i="55"/>
  <c r="X90" i="55"/>
  <c r="X38" i="55"/>
  <c r="X123" i="55"/>
  <c r="X59" i="55"/>
  <c r="X133" i="55"/>
  <c r="X101" i="55"/>
  <c r="X69" i="55"/>
  <c r="X37" i="55"/>
  <c r="X87" i="55"/>
  <c r="X126" i="55"/>
  <c r="X94" i="55"/>
  <c r="X62" i="55"/>
  <c r="X83" i="55"/>
  <c r="X65" i="55"/>
  <c r="X79" i="55"/>
  <c r="X74" i="55"/>
  <c r="X71" i="55"/>
  <c r="X54" i="55"/>
  <c r="B8" i="47"/>
  <c r="F137" i="55"/>
  <c r="G137" i="55"/>
  <c r="W137" i="55"/>
  <c r="N13" i="2"/>
  <c r="N15" i="2" l="1"/>
  <c r="N16" i="2"/>
  <c r="N14" i="2"/>
  <c r="C138" i="55"/>
  <c r="O138" i="55" s="1"/>
  <c r="Q138" i="55"/>
  <c r="K138" i="55"/>
  <c r="L138" i="55" s="1"/>
  <c r="H138" i="55"/>
  <c r="B138" i="55"/>
  <c r="F138" i="55" s="1"/>
  <c r="A138" i="55"/>
  <c r="S29" i="55"/>
  <c r="S30" i="55" s="1"/>
  <c r="S31" i="55" s="1"/>
  <c r="S32" i="55" s="1"/>
  <c r="S33" i="55" s="1"/>
  <c r="S34" i="55" s="1"/>
  <c r="S35" i="55" s="1"/>
  <c r="S36" i="55" s="1"/>
  <c r="S37" i="55" s="1"/>
  <c r="S38" i="55" s="1"/>
  <c r="S39" i="55" s="1"/>
  <c r="S40" i="55" s="1"/>
  <c r="S41" i="55" s="1"/>
  <c r="S42" i="55" s="1"/>
  <c r="S43" i="55" s="1"/>
  <c r="S44" i="55" s="1"/>
  <c r="S45" i="55" s="1"/>
  <c r="S46" i="55" s="1"/>
  <c r="S47" i="55" s="1"/>
  <c r="S48" i="55" s="1"/>
  <c r="S49" i="55" s="1"/>
  <c r="S50" i="55" s="1"/>
  <c r="S51" i="55" s="1"/>
  <c r="S52" i="55" s="1"/>
  <c r="S53" i="55" s="1"/>
  <c r="S54" i="55" s="1"/>
  <c r="S55" i="55" s="1"/>
  <c r="S56" i="55" s="1"/>
  <c r="S57" i="55" s="1"/>
  <c r="S58" i="55" s="1"/>
  <c r="S59" i="55" s="1"/>
  <c r="S60" i="55" s="1"/>
  <c r="S61" i="55" s="1"/>
  <c r="S62" i="55" s="1"/>
  <c r="S63" i="55" s="1"/>
  <c r="S64" i="55" s="1"/>
  <c r="S65" i="55" s="1"/>
  <c r="S66" i="55" s="1"/>
  <c r="S67" i="55" s="1"/>
  <c r="S68" i="55" s="1"/>
  <c r="S69" i="55" s="1"/>
  <c r="S70" i="55" s="1"/>
  <c r="S71" i="55" s="1"/>
  <c r="S72" i="55" s="1"/>
  <c r="S73" i="55" s="1"/>
  <c r="S74" i="55" s="1"/>
  <c r="S75" i="55" s="1"/>
  <c r="S76" i="55" s="1"/>
  <c r="S77" i="55" s="1"/>
  <c r="S78" i="55" s="1"/>
  <c r="S79" i="55" s="1"/>
  <c r="S80" i="55" s="1"/>
  <c r="S81" i="55" s="1"/>
  <c r="S82" i="55" s="1"/>
  <c r="S83" i="55" s="1"/>
  <c r="S84" i="55" s="1"/>
  <c r="S85" i="55" s="1"/>
  <c r="S86" i="55" s="1"/>
  <c r="S87" i="55" s="1"/>
  <c r="S88" i="55" s="1"/>
  <c r="S89" i="55" s="1"/>
  <c r="S90" i="55" s="1"/>
  <c r="S91" i="55" s="1"/>
  <c r="S92" i="55" s="1"/>
  <c r="S93" i="55" s="1"/>
  <c r="S94" i="55" s="1"/>
  <c r="S95" i="55" s="1"/>
  <c r="S96" i="55" s="1"/>
  <c r="S97" i="55" s="1"/>
  <c r="S98" i="55" s="1"/>
  <c r="S99" i="55" s="1"/>
  <c r="S100" i="55" s="1"/>
  <c r="S101" i="55" s="1"/>
  <c r="S102" i="55" s="1"/>
  <c r="S103" i="55" s="1"/>
  <c r="S104" i="55" s="1"/>
  <c r="S105" i="55" s="1"/>
  <c r="S106" i="55" s="1"/>
  <c r="S107" i="55" s="1"/>
  <c r="S108" i="55" s="1"/>
  <c r="S109" i="55" s="1"/>
  <c r="S110" i="55" s="1"/>
  <c r="S111" i="55" s="1"/>
  <c r="S112" i="55" s="1"/>
  <c r="S113" i="55" s="1"/>
  <c r="S114" i="55" s="1"/>
  <c r="S115" i="55" s="1"/>
  <c r="S116" i="55" s="1"/>
  <c r="S117" i="55" s="1"/>
  <c r="S118" i="55" s="1"/>
  <c r="S119" i="55" s="1"/>
  <c r="S120" i="55" s="1"/>
  <c r="S121" i="55" s="1"/>
  <c r="S122" i="55" s="1"/>
  <c r="S123" i="55" s="1"/>
  <c r="S124" i="55" s="1"/>
  <c r="S125" i="55" s="1"/>
  <c r="S126" i="55" s="1"/>
  <c r="S127" i="55" s="1"/>
  <c r="S128" i="55" s="1"/>
  <c r="S129" i="55" s="1"/>
  <c r="S130" i="55" s="1"/>
  <c r="S131" i="55" s="1"/>
  <c r="S132" i="55" s="1"/>
  <c r="S133" i="55" s="1"/>
  <c r="S134" i="55" s="1"/>
  <c r="S135" i="55" s="1"/>
  <c r="S136" i="55" s="1"/>
  <c r="B9" i="47"/>
  <c r="N137" i="55"/>
  <c r="X137" i="55" s="1"/>
  <c r="O13" i="2"/>
  <c r="O15" i="2" l="1"/>
  <c r="O16" i="2"/>
  <c r="O14" i="2"/>
  <c r="U138" i="55"/>
  <c r="V138" i="55" s="1"/>
  <c r="P138" i="55"/>
  <c r="G138" i="55"/>
  <c r="M138" i="55"/>
  <c r="W138" i="55"/>
  <c r="D138" i="55"/>
  <c r="E139" i="55" s="1"/>
  <c r="S137" i="55"/>
  <c r="B10" i="47"/>
  <c r="P13" i="2"/>
  <c r="P15" i="2" l="1"/>
  <c r="P14" i="2"/>
  <c r="P16" i="2"/>
  <c r="A139" i="55"/>
  <c r="K139" i="55"/>
  <c r="L139" i="55" s="1"/>
  <c r="Q139" i="55"/>
  <c r="B139" i="55"/>
  <c r="M139" i="55" s="1"/>
  <c r="C139" i="55"/>
  <c r="O139" i="55" s="1"/>
  <c r="H139" i="55"/>
  <c r="N138" i="55"/>
  <c r="S138" i="55" s="1"/>
  <c r="B11" i="47"/>
  <c r="Q13" i="2"/>
  <c r="Q15" i="2" l="1"/>
  <c r="Q16" i="2"/>
  <c r="Q14" i="2"/>
  <c r="P139" i="55"/>
  <c r="D139" i="55"/>
  <c r="E140" i="55" s="1"/>
  <c r="G139" i="55"/>
  <c r="F139" i="55"/>
  <c r="W139" i="55"/>
  <c r="U139" i="55"/>
  <c r="X138" i="55"/>
  <c r="B12" i="47"/>
  <c r="N139" i="55"/>
  <c r="X139" i="55" s="1"/>
  <c r="R13" i="2"/>
  <c r="V139" i="55" l="1"/>
  <c r="R15" i="2"/>
  <c r="R16" i="2"/>
  <c r="R14" i="2"/>
  <c r="H140" i="55"/>
  <c r="Q140" i="55"/>
  <c r="K140" i="55"/>
  <c r="L140" i="55" s="1"/>
  <c r="C140" i="55"/>
  <c r="U140" i="55" s="1"/>
  <c r="B140" i="55"/>
  <c r="P140" i="55" s="1"/>
  <c r="A140" i="55"/>
  <c r="B13" i="47"/>
  <c r="S139" i="55"/>
  <c r="S13" i="2"/>
  <c r="S15" i="2" l="1"/>
  <c r="S16" i="2"/>
  <c r="S14" i="2"/>
  <c r="F140" i="55"/>
  <c r="O140" i="55"/>
  <c r="V140" i="55"/>
  <c r="G140" i="55"/>
  <c r="W140" i="55"/>
  <c r="D140" i="55"/>
  <c r="E141" i="55" s="1"/>
  <c r="M140" i="55"/>
  <c r="N140" i="55" s="1"/>
  <c r="X140" i="55" s="1"/>
  <c r="B14" i="47"/>
  <c r="T13" i="2"/>
  <c r="D33" i="25"/>
  <c r="E33" i="25" s="1"/>
  <c r="D32" i="25"/>
  <c r="E32" i="25" s="1"/>
  <c r="D31" i="25"/>
  <c r="E31" i="25" s="1"/>
  <c r="D30" i="25"/>
  <c r="E30" i="25" s="1"/>
  <c r="D29" i="25"/>
  <c r="E29" i="25" s="1"/>
  <c r="D28" i="25"/>
  <c r="E28" i="25" s="1"/>
  <c r="D27" i="25"/>
  <c r="E27" i="25" s="1"/>
  <c r="D26" i="25"/>
  <c r="E26" i="25" s="1"/>
  <c r="D25" i="25"/>
  <c r="E25" i="25" s="1"/>
  <c r="D24" i="25"/>
  <c r="E24" i="25" s="1"/>
  <c r="D23" i="25"/>
  <c r="E23" i="25" s="1"/>
  <c r="D22" i="25"/>
  <c r="E22" i="25" s="1"/>
  <c r="D21" i="25"/>
  <c r="E21" i="25" s="1"/>
  <c r="D20" i="25"/>
  <c r="E20" i="25" s="1"/>
  <c r="D19" i="25"/>
  <c r="E19" i="25" s="1"/>
  <c r="D18" i="25"/>
  <c r="E18" i="25" s="1"/>
  <c r="D17" i="25"/>
  <c r="E17" i="25" s="1"/>
  <c r="D16" i="25"/>
  <c r="E16" i="25" s="1"/>
  <c r="D15" i="25"/>
  <c r="E15" i="25" s="1"/>
  <c r="D14" i="25"/>
  <c r="E14" i="25" s="1"/>
  <c r="D13" i="25"/>
  <c r="E13" i="25" s="1"/>
  <c r="D12" i="25"/>
  <c r="E12" i="25" s="1"/>
  <c r="D11" i="25"/>
  <c r="E11" i="25" s="1"/>
  <c r="D10" i="25"/>
  <c r="E10" i="25" s="1"/>
  <c r="D9" i="25"/>
  <c r="E9" i="25" s="1"/>
  <c r="D8" i="25"/>
  <c r="E8" i="25" s="1"/>
  <c r="D7" i="25"/>
  <c r="E7" i="25" s="1"/>
  <c r="D6" i="25"/>
  <c r="E6" i="25" s="1"/>
  <c r="D5" i="25"/>
  <c r="E5" i="25" s="1"/>
  <c r="D4" i="25"/>
  <c r="E4" i="25" s="1"/>
  <c r="D3" i="25"/>
  <c r="E3" i="25" s="1"/>
  <c r="D2" i="25"/>
  <c r="E2" i="25" s="1"/>
  <c r="T15" i="2" l="1"/>
  <c r="T16" i="2"/>
  <c r="T14" i="2"/>
  <c r="Q141" i="55"/>
  <c r="K141" i="55"/>
  <c r="L141" i="55" s="1"/>
  <c r="H141" i="55"/>
  <c r="B141" i="55"/>
  <c r="P141" i="55" s="1"/>
  <c r="A141" i="55"/>
  <c r="C141" i="55"/>
  <c r="U141" i="55" s="1"/>
  <c r="S140" i="55"/>
  <c r="B15" i="47"/>
  <c r="U13" i="2"/>
  <c r="U15" i="2" l="1"/>
  <c r="U16" i="2"/>
  <c r="U14" i="2"/>
  <c r="O141" i="55"/>
  <c r="F141" i="55"/>
  <c r="G141" i="55"/>
  <c r="M141" i="55"/>
  <c r="N141" i="55" s="1"/>
  <c r="X141" i="55" s="1"/>
  <c r="V141" i="55"/>
  <c r="D141" i="55"/>
  <c r="E142" i="55" s="1"/>
  <c r="W141" i="55"/>
  <c r="B16" i="47"/>
  <c r="V13" i="2"/>
  <c r="V15" i="2" l="1"/>
  <c r="V14" i="2"/>
  <c r="V16" i="2"/>
  <c r="H142" i="55"/>
  <c r="Q142" i="55"/>
  <c r="K142" i="55"/>
  <c r="L142" i="55" s="1"/>
  <c r="B142" i="55"/>
  <c r="M142" i="55" s="1"/>
  <c r="C142" i="55"/>
  <c r="U142" i="55" s="1"/>
  <c r="A142" i="55"/>
  <c r="S141" i="55"/>
  <c r="B17" i="47"/>
  <c r="W13" i="2"/>
  <c r="F3" i="25"/>
  <c r="F4" i="25" s="1"/>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4" i="25"/>
  <c r="A3" i="25"/>
  <c r="W15" i="2" l="1"/>
  <c r="W16" i="2"/>
  <c r="O142" i="55"/>
  <c r="P142" i="55"/>
  <c r="V142" i="55" s="1"/>
  <c r="D142" i="55"/>
  <c r="E143" i="55" s="1"/>
  <c r="G142" i="55"/>
  <c r="F142" i="55"/>
  <c r="W142" i="55"/>
  <c r="N142" i="55"/>
  <c r="B18" i="47"/>
  <c r="G2" i="25"/>
  <c r="H2" i="25" s="1"/>
  <c r="X13" i="2"/>
  <c r="F5" i="25"/>
  <c r="G4" i="25"/>
  <c r="H4" i="25" s="1"/>
  <c r="G3" i="25"/>
  <c r="H3" i="25" s="1"/>
  <c r="X15" i="2" l="1"/>
  <c r="X16" i="2"/>
  <c r="A143" i="55"/>
  <c r="Q143" i="55"/>
  <c r="K143" i="55"/>
  <c r="L143" i="55" s="1"/>
  <c r="B143" i="55"/>
  <c r="C143" i="55"/>
  <c r="O143" i="55" s="1"/>
  <c r="H143" i="55"/>
  <c r="X142" i="55"/>
  <c r="S142" i="55"/>
  <c r="B19" i="47"/>
  <c r="Y13" i="2"/>
  <c r="F6" i="25"/>
  <c r="G5" i="25"/>
  <c r="H5" i="25" s="1"/>
  <c r="F143" i="55" l="1"/>
  <c r="Y15" i="2"/>
  <c r="Y16" i="2"/>
  <c r="P143" i="55"/>
  <c r="W143" i="55"/>
  <c r="M143" i="55"/>
  <c r="D143" i="55"/>
  <c r="E144" i="55" s="1"/>
  <c r="G143" i="55"/>
  <c r="U143" i="55"/>
  <c r="B20" i="47"/>
  <c r="Z13" i="2"/>
  <c r="F7" i="25"/>
  <c r="G6" i="25"/>
  <c r="H6" i="25" s="1"/>
  <c r="Z15" i="2" l="1"/>
  <c r="Z16" i="2"/>
  <c r="Q144" i="55"/>
  <c r="K144" i="55"/>
  <c r="L144" i="55" s="1"/>
  <c r="V143" i="55"/>
  <c r="B144" i="55"/>
  <c r="C144" i="55"/>
  <c r="O144" i="55" s="1"/>
  <c r="A144" i="55"/>
  <c r="H144" i="55"/>
  <c r="N143" i="55"/>
  <c r="X143" i="55" s="1"/>
  <c r="B21" i="47"/>
  <c r="AA13" i="2"/>
  <c r="F8" i="25"/>
  <c r="G7" i="25"/>
  <c r="H7" i="25" s="1"/>
  <c r="D144" i="55" l="1"/>
  <c r="AA15" i="2"/>
  <c r="AA16" i="2"/>
  <c r="P144" i="55"/>
  <c r="E145" i="55"/>
  <c r="B145" i="55" s="1"/>
  <c r="F144" i="55"/>
  <c r="W144" i="55"/>
  <c r="M144" i="55"/>
  <c r="N144" i="55" s="1"/>
  <c r="X144" i="55" s="1"/>
  <c r="G144" i="55"/>
  <c r="U144" i="55"/>
  <c r="S143" i="55"/>
  <c r="B22" i="47"/>
  <c r="AB13" i="2"/>
  <c r="F9" i="25"/>
  <c r="G8" i="25"/>
  <c r="H8" i="25" s="1"/>
  <c r="V144" i="55" l="1"/>
  <c r="AB15" i="2"/>
  <c r="AB16" i="2"/>
  <c r="H145" i="55"/>
  <c r="A145" i="55"/>
  <c r="C145" i="55"/>
  <c r="O145" i="55" s="1"/>
  <c r="Q145" i="55"/>
  <c r="P145" i="55"/>
  <c r="K145" i="55"/>
  <c r="L145" i="55" s="1"/>
  <c r="M145" i="55"/>
  <c r="S144" i="55"/>
  <c r="U145" i="55"/>
  <c r="G145" i="55"/>
  <c r="D145" i="55"/>
  <c r="F145" i="55"/>
  <c r="AC13" i="2"/>
  <c r="F10" i="25"/>
  <c r="G9" i="25"/>
  <c r="H9" i="25" s="1"/>
  <c r="AC15" i="2" l="1"/>
  <c r="AC16" i="2"/>
  <c r="W145" i="55"/>
  <c r="E146" i="55"/>
  <c r="Q146" i="55" s="1"/>
  <c r="V145" i="55"/>
  <c r="N145" i="55"/>
  <c r="X145" i="55" s="1"/>
  <c r="AD13" i="2"/>
  <c r="F11" i="25"/>
  <c r="G10" i="25"/>
  <c r="H10" i="25" s="1"/>
  <c r="C146" i="55" l="1"/>
  <c r="O146" i="55" s="1"/>
  <c r="A146" i="55"/>
  <c r="B146" i="55"/>
  <c r="P146" i="55" s="1"/>
  <c r="K146" i="55"/>
  <c r="L146" i="55" s="1"/>
  <c r="H146" i="55"/>
  <c r="AD15" i="2"/>
  <c r="AD16" i="2"/>
  <c r="G146" i="55"/>
  <c r="M146" i="55"/>
  <c r="S145" i="55"/>
  <c r="W146" i="55"/>
  <c r="F146" i="55"/>
  <c r="AE13" i="2"/>
  <c r="F12" i="25"/>
  <c r="G11" i="25"/>
  <c r="H11" i="25" s="1"/>
  <c r="D146" i="55" l="1"/>
  <c r="E147" i="55" s="1"/>
  <c r="Q147" i="55" s="1"/>
  <c r="U146" i="55"/>
  <c r="V146" i="55" s="1"/>
  <c r="AE15" i="2"/>
  <c r="AE16" i="2"/>
  <c r="H147" i="55"/>
  <c r="C147" i="55"/>
  <c r="U147" i="55" s="1"/>
  <c r="N146" i="55"/>
  <c r="B147" i="55"/>
  <c r="A147" i="55"/>
  <c r="AF13" i="2"/>
  <c r="F13" i="25"/>
  <c r="G12" i="25"/>
  <c r="H12" i="25" s="1"/>
  <c r="K147" i="55" l="1"/>
  <c r="L147" i="55" s="1"/>
  <c r="P147" i="55"/>
  <c r="AF15" i="2"/>
  <c r="AF16" i="2"/>
  <c r="O147" i="55"/>
  <c r="M147" i="55"/>
  <c r="S146" i="55"/>
  <c r="X146" i="55"/>
  <c r="F147" i="55"/>
  <c r="G147" i="55"/>
  <c r="W147" i="55"/>
  <c r="D147" i="55"/>
  <c r="E148" i="55" s="1"/>
  <c r="V147" i="55"/>
  <c r="AG13" i="2"/>
  <c r="F14" i="25"/>
  <c r="G13" i="25"/>
  <c r="H13" i="25" s="1"/>
  <c r="AG15" i="2" l="1"/>
  <c r="AG16" i="2"/>
  <c r="Q148" i="55"/>
  <c r="K148" i="55"/>
  <c r="L148" i="55" s="1"/>
  <c r="N147" i="55"/>
  <c r="A148" i="55"/>
  <c r="B148" i="55"/>
  <c r="C148" i="55"/>
  <c r="H148" i="55"/>
  <c r="AH13" i="2"/>
  <c r="F15" i="25"/>
  <c r="G14" i="25"/>
  <c r="H14" i="25" s="1"/>
  <c r="AH15" i="2" l="1"/>
  <c r="AH16" i="2"/>
  <c r="P148" i="55"/>
  <c r="O148" i="55"/>
  <c r="M148" i="55"/>
  <c r="X147" i="55"/>
  <c r="S147" i="55"/>
  <c r="D148" i="55"/>
  <c r="E149" i="55" s="1"/>
  <c r="W148" i="55"/>
  <c r="F148" i="55"/>
  <c r="G148" i="55"/>
  <c r="U148" i="55"/>
  <c r="AI13" i="2"/>
  <c r="F16" i="25"/>
  <c r="G15" i="25"/>
  <c r="H15" i="25" s="1"/>
  <c r="AI15" i="2" l="1"/>
  <c r="AI16" i="2"/>
  <c r="Q149" i="55"/>
  <c r="K149" i="55"/>
  <c r="L149" i="55" s="1"/>
  <c r="N148" i="55"/>
  <c r="S148" i="55" s="1"/>
  <c r="V148" i="55"/>
  <c r="B149" i="55"/>
  <c r="A149" i="55"/>
  <c r="C149" i="55"/>
  <c r="O149" i="55" s="1"/>
  <c r="H149" i="55"/>
  <c r="AJ13" i="2"/>
  <c r="F17" i="25"/>
  <c r="G16" i="25"/>
  <c r="H16" i="25" s="1"/>
  <c r="AJ15" i="2" l="1"/>
  <c r="AJ16" i="2"/>
  <c r="P149" i="55"/>
  <c r="M149" i="55"/>
  <c r="X148" i="55"/>
  <c r="W149" i="55"/>
  <c r="F149" i="55"/>
  <c r="G149" i="55"/>
  <c r="D149" i="55"/>
  <c r="E150" i="55" s="1"/>
  <c r="AK13" i="2"/>
  <c r="F18" i="25"/>
  <c r="G17" i="25"/>
  <c r="H17" i="25" s="1"/>
  <c r="AK15" i="2" l="1"/>
  <c r="AK16" i="2"/>
  <c r="Q150" i="55"/>
  <c r="K150" i="55"/>
  <c r="L150" i="55" s="1"/>
  <c r="I5" i="55"/>
  <c r="U5" i="55" s="1"/>
  <c r="V5" i="55" s="1"/>
  <c r="I6" i="55"/>
  <c r="I7" i="55"/>
  <c r="I8" i="55"/>
  <c r="I9" i="55"/>
  <c r="I10" i="55"/>
  <c r="I11" i="55"/>
  <c r="I12" i="55"/>
  <c r="I13" i="55"/>
  <c r="I14" i="55"/>
  <c r="I15" i="55"/>
  <c r="I16" i="55"/>
  <c r="I17" i="55"/>
  <c r="U17" i="55" s="1"/>
  <c r="V17" i="55" s="1"/>
  <c r="I18" i="55"/>
  <c r="I19" i="55"/>
  <c r="I20" i="55"/>
  <c r="I21" i="55"/>
  <c r="I22" i="55"/>
  <c r="I23" i="55"/>
  <c r="I24" i="55"/>
  <c r="I25" i="55"/>
  <c r="I26" i="55"/>
  <c r="I27" i="55"/>
  <c r="I28" i="55"/>
  <c r="I29" i="55"/>
  <c r="U29" i="55" s="1"/>
  <c r="V29" i="55" s="1"/>
  <c r="I30" i="55"/>
  <c r="I31" i="55"/>
  <c r="I32" i="55"/>
  <c r="I33" i="55"/>
  <c r="I34" i="55"/>
  <c r="I35" i="55"/>
  <c r="I36" i="55"/>
  <c r="I37" i="55"/>
  <c r="I38" i="55"/>
  <c r="I39" i="55"/>
  <c r="I40" i="55"/>
  <c r="I41" i="55"/>
  <c r="U41" i="55" s="1"/>
  <c r="V41" i="55" s="1"/>
  <c r="I42" i="55"/>
  <c r="I43" i="55"/>
  <c r="I44" i="55"/>
  <c r="I45" i="55"/>
  <c r="I46" i="55"/>
  <c r="I47" i="55"/>
  <c r="I48" i="55"/>
  <c r="I49" i="55"/>
  <c r="I50" i="55"/>
  <c r="I51" i="55"/>
  <c r="I52" i="55"/>
  <c r="I53" i="55"/>
  <c r="U53" i="55" s="1"/>
  <c r="V53" i="55" s="1"/>
  <c r="I54" i="55"/>
  <c r="I55" i="55"/>
  <c r="I56" i="55"/>
  <c r="I57" i="55"/>
  <c r="I58" i="55"/>
  <c r="I59" i="55"/>
  <c r="I60" i="55"/>
  <c r="I61" i="55"/>
  <c r="I62" i="55"/>
  <c r="I63" i="55"/>
  <c r="I64" i="55"/>
  <c r="I65" i="55"/>
  <c r="U65" i="55" s="1"/>
  <c r="V65" i="55" s="1"/>
  <c r="I66" i="55"/>
  <c r="I67" i="55"/>
  <c r="I68" i="55"/>
  <c r="I69" i="55"/>
  <c r="I70" i="55"/>
  <c r="I71" i="55"/>
  <c r="I72" i="55"/>
  <c r="I73" i="55"/>
  <c r="I74" i="55"/>
  <c r="I75" i="55"/>
  <c r="I76" i="55"/>
  <c r="I77" i="55"/>
  <c r="U77" i="55" s="1"/>
  <c r="V77" i="55" s="1"/>
  <c r="I78" i="55"/>
  <c r="I79" i="55"/>
  <c r="I80" i="55"/>
  <c r="I81" i="55"/>
  <c r="I82" i="55"/>
  <c r="I83" i="55"/>
  <c r="I84" i="55"/>
  <c r="I85" i="55"/>
  <c r="I86" i="55"/>
  <c r="I87" i="55"/>
  <c r="I88" i="55"/>
  <c r="I89" i="55"/>
  <c r="U89" i="55" s="1"/>
  <c r="V89" i="55" s="1"/>
  <c r="I90" i="55"/>
  <c r="I91" i="55"/>
  <c r="I92" i="55"/>
  <c r="I93" i="55"/>
  <c r="I94" i="55"/>
  <c r="I95" i="55"/>
  <c r="I96" i="55"/>
  <c r="I97" i="55"/>
  <c r="I98" i="55"/>
  <c r="I99" i="55"/>
  <c r="I100" i="55"/>
  <c r="I101" i="55"/>
  <c r="U101" i="55" s="1"/>
  <c r="V101" i="55" s="1"/>
  <c r="I102" i="55"/>
  <c r="I103" i="55"/>
  <c r="I104" i="55"/>
  <c r="I105" i="55"/>
  <c r="I106" i="55"/>
  <c r="I107" i="55"/>
  <c r="I108" i="55"/>
  <c r="I109" i="55"/>
  <c r="I110" i="55"/>
  <c r="I111" i="55"/>
  <c r="I112" i="55"/>
  <c r="I113" i="55"/>
  <c r="U113" i="55" s="1"/>
  <c r="V113" i="55" s="1"/>
  <c r="I114" i="55"/>
  <c r="I115" i="55"/>
  <c r="I116" i="55"/>
  <c r="I117" i="55"/>
  <c r="I118" i="55"/>
  <c r="I119" i="55"/>
  <c r="I120" i="55"/>
  <c r="I121" i="55"/>
  <c r="I122" i="55"/>
  <c r="I123" i="55"/>
  <c r="I124" i="55"/>
  <c r="I125" i="55"/>
  <c r="U125" i="55" s="1"/>
  <c r="V125" i="55" s="1"/>
  <c r="I126" i="55"/>
  <c r="I127" i="55"/>
  <c r="I128" i="55"/>
  <c r="I129" i="55"/>
  <c r="I130" i="55"/>
  <c r="I131" i="55"/>
  <c r="I132" i="55"/>
  <c r="I133" i="55"/>
  <c r="I134" i="55"/>
  <c r="I135" i="55"/>
  <c r="I136" i="55"/>
  <c r="I137" i="55"/>
  <c r="U137" i="55" s="1"/>
  <c r="V137" i="55" s="1"/>
  <c r="I138" i="55"/>
  <c r="I139" i="55"/>
  <c r="I140" i="55"/>
  <c r="I141" i="55"/>
  <c r="I142" i="55"/>
  <c r="I143" i="55"/>
  <c r="I144" i="55"/>
  <c r="I145" i="55"/>
  <c r="I146" i="55"/>
  <c r="I147" i="55"/>
  <c r="I148" i="55"/>
  <c r="I149" i="55"/>
  <c r="U149" i="55" s="1"/>
  <c r="V149" i="55" s="1"/>
  <c r="N149" i="55"/>
  <c r="X149" i="55" s="1"/>
  <c r="C150" i="55"/>
  <c r="O150" i="55" s="1"/>
  <c r="H150" i="55"/>
  <c r="B150" i="55"/>
  <c r="A150" i="55"/>
  <c r="I9" i="26"/>
  <c r="I7" i="26"/>
  <c r="I5" i="26"/>
  <c r="AS5" i="26" s="1"/>
  <c r="I8" i="26"/>
  <c r="I6" i="26"/>
  <c r="AL13" i="2"/>
  <c r="F19" i="25"/>
  <c r="G18" i="25"/>
  <c r="H18" i="25" s="1"/>
  <c r="P150" i="55" l="1"/>
  <c r="AL15" i="2"/>
  <c r="AL16" i="2"/>
  <c r="I150" i="55"/>
  <c r="BJ5" i="26"/>
  <c r="M150" i="55"/>
  <c r="S149" i="55"/>
  <c r="D150" i="55"/>
  <c r="E151" i="55" s="1"/>
  <c r="G150" i="55"/>
  <c r="W150" i="55"/>
  <c r="F150" i="55"/>
  <c r="U150" i="55"/>
  <c r="AM13" i="2"/>
  <c r="F20" i="25"/>
  <c r="G19" i="25"/>
  <c r="H19" i="25" s="1"/>
  <c r="AM15" i="2" l="1"/>
  <c r="AM16" i="2"/>
  <c r="Q151" i="55"/>
  <c r="K151" i="55"/>
  <c r="L151" i="55" s="1"/>
  <c r="H151" i="55"/>
  <c r="C151" i="55"/>
  <c r="O151" i="55" s="1"/>
  <c r="N150" i="55"/>
  <c r="X150" i="55" s="1"/>
  <c r="A151" i="55"/>
  <c r="B151" i="55"/>
  <c r="V150" i="55"/>
  <c r="AN13" i="2"/>
  <c r="F21" i="25"/>
  <c r="G20" i="25"/>
  <c r="H20" i="25" s="1"/>
  <c r="P151" i="55" l="1"/>
  <c r="AN15" i="2"/>
  <c r="AN16" i="2"/>
  <c r="F151" i="55"/>
  <c r="U151" i="55"/>
  <c r="M151" i="55"/>
  <c r="S150" i="55"/>
  <c r="D151" i="55"/>
  <c r="E152" i="55" s="1"/>
  <c r="W151" i="55"/>
  <c r="G151" i="55"/>
  <c r="I151" i="55"/>
  <c r="AO13" i="2"/>
  <c r="F22" i="25"/>
  <c r="G21" i="25"/>
  <c r="H21" i="25" s="1"/>
  <c r="AO15" i="2" l="1"/>
  <c r="AO16" i="2"/>
  <c r="Q152" i="55"/>
  <c r="K152" i="55"/>
  <c r="L152" i="55" s="1"/>
  <c r="B152" i="55"/>
  <c r="H152" i="55"/>
  <c r="C152" i="55"/>
  <c r="O152" i="55" s="1"/>
  <c r="N151" i="55"/>
  <c r="X151" i="55" s="1"/>
  <c r="A152" i="55"/>
  <c r="V151" i="55"/>
  <c r="AP13" i="2"/>
  <c r="F23" i="25"/>
  <c r="G22" i="25"/>
  <c r="H22" i="25" s="1"/>
  <c r="G152" i="55" l="1"/>
  <c r="AP15" i="2"/>
  <c r="AP16" i="2"/>
  <c r="P152" i="55"/>
  <c r="I152" i="55"/>
  <c r="F152" i="55"/>
  <c r="U152" i="55"/>
  <c r="D152" i="55"/>
  <c r="E153" i="55" s="1"/>
  <c r="M152" i="55"/>
  <c r="N152" i="55" s="1"/>
  <c r="W152" i="55"/>
  <c r="S151" i="55"/>
  <c r="AQ13" i="2"/>
  <c r="F24" i="25"/>
  <c r="G23" i="25"/>
  <c r="H23" i="25" s="1"/>
  <c r="V152" i="55" l="1"/>
  <c r="AQ15" i="2"/>
  <c r="AQ16" i="2"/>
  <c r="Q153" i="55"/>
  <c r="K153" i="55"/>
  <c r="L153" i="55" s="1"/>
  <c r="X152" i="55"/>
  <c r="S152" i="55"/>
  <c r="C153" i="55"/>
  <c r="O153" i="55" s="1"/>
  <c r="H153" i="55"/>
  <c r="A153" i="55"/>
  <c r="B153" i="55"/>
  <c r="AR13" i="2"/>
  <c r="F25" i="25"/>
  <c r="G24" i="25"/>
  <c r="H24" i="25" s="1"/>
  <c r="P153" i="55" l="1"/>
  <c r="AR15" i="2"/>
  <c r="AR16" i="2"/>
  <c r="I153" i="55"/>
  <c r="M153" i="55"/>
  <c r="F153" i="55"/>
  <c r="D153" i="55"/>
  <c r="E154" i="55" s="1"/>
  <c r="G153" i="55"/>
  <c r="U153" i="55"/>
  <c r="W153" i="55"/>
  <c r="AS13" i="2"/>
  <c r="F26" i="25"/>
  <c r="G25" i="25"/>
  <c r="H25" i="25" s="1"/>
  <c r="AS15" i="2" l="1"/>
  <c r="AS16" i="2"/>
  <c r="Q154" i="55"/>
  <c r="K154" i="55"/>
  <c r="L154" i="55" s="1"/>
  <c r="V153" i="55"/>
  <c r="H154" i="55"/>
  <c r="A154" i="55"/>
  <c r="B154" i="55"/>
  <c r="C154" i="55"/>
  <c r="O154" i="55" s="1"/>
  <c r="N153" i="55"/>
  <c r="AT13" i="2"/>
  <c r="F27" i="25"/>
  <c r="G26" i="25"/>
  <c r="H26" i="25" s="1"/>
  <c r="AT15" i="2" l="1"/>
  <c r="AT16" i="2"/>
  <c r="P154" i="55"/>
  <c r="M154" i="55"/>
  <c r="W154" i="55"/>
  <c r="G154" i="55"/>
  <c r="F154" i="55"/>
  <c r="I154" i="55"/>
  <c r="X153" i="55"/>
  <c r="S153" i="55"/>
  <c r="U154" i="55"/>
  <c r="D154" i="55"/>
  <c r="E155" i="55" s="1"/>
  <c r="AU13" i="2"/>
  <c r="F28" i="25"/>
  <c r="G27" i="25"/>
  <c r="H27" i="25" s="1"/>
  <c r="V154" i="55" l="1"/>
  <c r="AU15" i="2"/>
  <c r="AU16" i="2"/>
  <c r="K155" i="55"/>
  <c r="L155" i="55" s="1"/>
  <c r="Q155" i="55"/>
  <c r="N154" i="55"/>
  <c r="C155" i="55"/>
  <c r="O155" i="55" s="1"/>
  <c r="B155" i="55"/>
  <c r="H155" i="55"/>
  <c r="A155" i="55"/>
  <c r="AV13" i="2"/>
  <c r="F29" i="25"/>
  <c r="G28" i="25"/>
  <c r="H28" i="25" s="1"/>
  <c r="P155" i="55" l="1"/>
  <c r="AV15" i="2"/>
  <c r="AV16" i="2"/>
  <c r="M155" i="55"/>
  <c r="U155" i="55"/>
  <c r="D155" i="55"/>
  <c r="E156" i="55" s="1"/>
  <c r="F155" i="55"/>
  <c r="W155" i="55"/>
  <c r="I155" i="55"/>
  <c r="G155" i="55"/>
  <c r="S154" i="55"/>
  <c r="X154" i="55"/>
  <c r="AW13" i="2"/>
  <c r="F30" i="25"/>
  <c r="G29" i="25"/>
  <c r="H29" i="25" s="1"/>
  <c r="AW15" i="2" l="1"/>
  <c r="AW16" i="2"/>
  <c r="Q156" i="55"/>
  <c r="K156" i="55"/>
  <c r="L156" i="55" s="1"/>
  <c r="H156" i="55"/>
  <c r="A156" i="55"/>
  <c r="C156" i="55"/>
  <c r="O156" i="55" s="1"/>
  <c r="B156" i="55"/>
  <c r="N155" i="55"/>
  <c r="V155" i="55"/>
  <c r="BK5" i="26"/>
  <c r="AO5" i="26"/>
  <c r="AT5" i="26" s="1"/>
  <c r="AX13" i="2"/>
  <c r="F31" i="25"/>
  <c r="G30" i="25"/>
  <c r="H30" i="25" s="1"/>
  <c r="AX15" i="2" l="1"/>
  <c r="AX16" i="2"/>
  <c r="P156" i="55"/>
  <c r="M156" i="55"/>
  <c r="I156" i="55"/>
  <c r="D156" i="55"/>
  <c r="E157" i="55" s="1"/>
  <c r="W156" i="55"/>
  <c r="F156" i="55"/>
  <c r="G156" i="55"/>
  <c r="X155" i="55"/>
  <c r="S155" i="55"/>
  <c r="U156" i="55"/>
  <c r="AY13" i="2"/>
  <c r="F32" i="25"/>
  <c r="G31" i="25"/>
  <c r="H31" i="25" s="1"/>
  <c r="AY15" i="2" l="1"/>
  <c r="AY16" i="2"/>
  <c r="V156" i="55"/>
  <c r="Q157" i="55"/>
  <c r="K157" i="55"/>
  <c r="L157" i="55" s="1"/>
  <c r="N156" i="55"/>
  <c r="B157" i="55"/>
  <c r="H157" i="55"/>
  <c r="A157" i="55"/>
  <c r="C157" i="55"/>
  <c r="O157" i="55" s="1"/>
  <c r="AZ13" i="2"/>
  <c r="F33" i="25"/>
  <c r="G32" i="25"/>
  <c r="H32" i="25" s="1"/>
  <c r="AZ15" i="2" l="1"/>
  <c r="AZ16" i="2"/>
  <c r="P157" i="55"/>
  <c r="G157" i="55"/>
  <c r="M157" i="55"/>
  <c r="N157" i="55" s="1"/>
  <c r="X157" i="55" s="1"/>
  <c r="I157" i="55"/>
  <c r="W157" i="55"/>
  <c r="U157" i="55"/>
  <c r="D157" i="55"/>
  <c r="E158" i="55" s="1"/>
  <c r="F157" i="55"/>
  <c r="X156" i="55"/>
  <c r="S156" i="55"/>
  <c r="BA13" i="2"/>
  <c r="F34" i="25"/>
  <c r="G33" i="25"/>
  <c r="H33" i="25" s="1"/>
  <c r="BA15" i="2" l="1"/>
  <c r="BA16" i="2"/>
  <c r="Q158" i="55"/>
  <c r="K158" i="55"/>
  <c r="L158" i="55" s="1"/>
  <c r="V157" i="55"/>
  <c r="H158" i="55"/>
  <c r="C158" i="55"/>
  <c r="O158" i="55" s="1"/>
  <c r="B158" i="55"/>
  <c r="A158" i="55"/>
  <c r="S157" i="55"/>
  <c r="BB13" i="2"/>
  <c r="F35" i="25"/>
  <c r="G34" i="25"/>
  <c r="H34" i="25" s="1"/>
  <c r="P158" i="55" l="1"/>
  <c r="BB15" i="2"/>
  <c r="BB16" i="2"/>
  <c r="F158" i="55"/>
  <c r="D158" i="55"/>
  <c r="E159" i="55" s="1"/>
  <c r="I158" i="55"/>
  <c r="M158" i="55"/>
  <c r="W158" i="55"/>
  <c r="G158" i="55"/>
  <c r="U158" i="55"/>
  <c r="BC13" i="2"/>
  <c r="F36" i="25"/>
  <c r="G35" i="25"/>
  <c r="H35" i="25" s="1"/>
  <c r="BC15" i="2" l="1"/>
  <c r="BC16" i="2"/>
  <c r="Q159" i="55"/>
  <c r="K159" i="55"/>
  <c r="L159" i="55" s="1"/>
  <c r="V158" i="55"/>
  <c r="H159" i="55"/>
  <c r="A159" i="55"/>
  <c r="B159" i="55"/>
  <c r="N158" i="55"/>
  <c r="C159" i="55"/>
  <c r="U159" i="55" s="1"/>
  <c r="BD13" i="2"/>
  <c r="F37" i="25"/>
  <c r="G36" i="25"/>
  <c r="H36" i="25" s="1"/>
  <c r="BD15" i="2" l="1"/>
  <c r="BD16" i="2"/>
  <c r="P159" i="55"/>
  <c r="V159" i="55" s="1"/>
  <c r="O159" i="55"/>
  <c r="F159" i="55"/>
  <c r="G159" i="55"/>
  <c r="M159" i="55"/>
  <c r="N159" i="55" s="1"/>
  <c r="X159" i="55" s="1"/>
  <c r="I159" i="55"/>
  <c r="D159" i="55"/>
  <c r="E160" i="55" s="1"/>
  <c r="W159" i="55"/>
  <c r="X158" i="55"/>
  <c r="S158" i="55"/>
  <c r="BE13" i="2"/>
  <c r="F38" i="25"/>
  <c r="G37" i="25"/>
  <c r="H37" i="25" s="1"/>
  <c r="BE15" i="2" l="1"/>
  <c r="BE16" i="2"/>
  <c r="B160" i="55"/>
  <c r="Q160" i="55"/>
  <c r="K160" i="55"/>
  <c r="L160" i="55" s="1"/>
  <c r="C160" i="55"/>
  <c r="U160" i="55" s="1"/>
  <c r="H160" i="55"/>
  <c r="A160" i="55"/>
  <c r="S159" i="55"/>
  <c r="G160" i="55"/>
  <c r="BF13" i="2"/>
  <c r="F39" i="25"/>
  <c r="G38" i="25"/>
  <c r="H38" i="25" s="1"/>
  <c r="P160" i="55" l="1"/>
  <c r="BF15" i="2"/>
  <c r="BF16" i="2"/>
  <c r="M160" i="55"/>
  <c r="N160" i="55" s="1"/>
  <c r="X160" i="55" s="1"/>
  <c r="D160" i="55"/>
  <c r="I160" i="55"/>
  <c r="O160" i="55"/>
  <c r="F160" i="55"/>
  <c r="W160" i="55"/>
  <c r="E161" i="55"/>
  <c r="V160" i="55"/>
  <c r="BG13" i="2"/>
  <c r="F40" i="25"/>
  <c r="G39" i="25"/>
  <c r="H39" i="25" s="1"/>
  <c r="BG15" i="2" l="1"/>
  <c r="BG16" i="2"/>
  <c r="Q161" i="55"/>
  <c r="K161" i="55"/>
  <c r="L161" i="55" s="1"/>
  <c r="S160" i="55"/>
  <c r="H161" i="55"/>
  <c r="B161" i="55"/>
  <c r="C161" i="55"/>
  <c r="O161" i="55" s="1"/>
  <c r="A161" i="55"/>
  <c r="BH13" i="2"/>
  <c r="F41" i="25"/>
  <c r="G40" i="25"/>
  <c r="H40" i="25" s="1"/>
  <c r="BH15" i="2" l="1"/>
  <c r="BH16" i="2"/>
  <c r="P161" i="55"/>
  <c r="G161" i="55"/>
  <c r="M161" i="55"/>
  <c r="D161" i="55"/>
  <c r="I161" i="55"/>
  <c r="U161" i="55" s="1"/>
  <c r="F161" i="55"/>
  <c r="W161" i="55"/>
  <c r="BI13" i="2"/>
  <c r="F42" i="25"/>
  <c r="G41" i="25"/>
  <c r="H41" i="25" s="1"/>
  <c r="BI15" i="2" l="1"/>
  <c r="BI16" i="2"/>
  <c r="N161" i="55"/>
  <c r="X161" i="55" s="1"/>
  <c r="E162" i="55"/>
  <c r="V161" i="55"/>
  <c r="BJ13" i="2"/>
  <c r="F43" i="25"/>
  <c r="G42" i="25"/>
  <c r="H42" i="25" s="1"/>
  <c r="BJ15" i="2" l="1"/>
  <c r="BJ16" i="2"/>
  <c r="Q162" i="55"/>
  <c r="K162" i="55"/>
  <c r="L162" i="55" s="1"/>
  <c r="S161" i="55"/>
  <c r="B162" i="55"/>
  <c r="H162" i="55"/>
  <c r="A162" i="55"/>
  <c r="C162" i="55"/>
  <c r="O162" i="55" s="1"/>
  <c r="BK13" i="2"/>
  <c r="F44" i="25"/>
  <c r="G43" i="25"/>
  <c r="H43" i="25" s="1"/>
  <c r="BK15" i="2" l="1"/>
  <c r="BK16" i="2"/>
  <c r="P162" i="55"/>
  <c r="D162" i="55"/>
  <c r="E163" i="55" s="1"/>
  <c r="M162" i="55"/>
  <c r="F162" i="55"/>
  <c r="I162" i="55"/>
  <c r="G162" i="55"/>
  <c r="W162" i="55"/>
  <c r="U162" i="55"/>
  <c r="BL13" i="2"/>
  <c r="F45" i="25"/>
  <c r="G44" i="25"/>
  <c r="H44" i="25" s="1"/>
  <c r="BL15" i="2" l="1"/>
  <c r="BL16" i="2"/>
  <c r="K163" i="55"/>
  <c r="Q163" i="55"/>
  <c r="N162" i="55"/>
  <c r="X162" i="55" s="1"/>
  <c r="L163" i="55"/>
  <c r="H163" i="55"/>
  <c r="A163" i="55"/>
  <c r="C163" i="55"/>
  <c r="U163" i="55" s="1"/>
  <c r="B163" i="55"/>
  <c r="V162" i="55"/>
  <c r="BM13" i="2"/>
  <c r="F46" i="25"/>
  <c r="G45" i="25"/>
  <c r="H45" i="25" s="1"/>
  <c r="P163" i="55" l="1"/>
  <c r="BM15" i="2"/>
  <c r="BM16" i="2"/>
  <c r="O163" i="55"/>
  <c r="M163" i="55"/>
  <c r="S162" i="55"/>
  <c r="W163" i="55"/>
  <c r="F163" i="55"/>
  <c r="G163" i="55"/>
  <c r="D163" i="55"/>
  <c r="E164" i="55" s="1"/>
  <c r="I163" i="55"/>
  <c r="BN13" i="2"/>
  <c r="F47" i="25"/>
  <c r="G46" i="25"/>
  <c r="H46" i="25" s="1"/>
  <c r="BN15" i="2" l="1"/>
  <c r="BN16" i="2"/>
  <c r="Q164" i="55"/>
  <c r="K164" i="55"/>
  <c r="L164" i="55" s="1"/>
  <c r="N163" i="55"/>
  <c r="X163" i="55" s="1"/>
  <c r="C164" i="55"/>
  <c r="U164" i="55" s="1"/>
  <c r="B164" i="55"/>
  <c r="A164" i="55"/>
  <c r="H164" i="55"/>
  <c r="V163" i="55"/>
  <c r="BO13" i="2"/>
  <c r="F48" i="25"/>
  <c r="G47" i="25"/>
  <c r="H47" i="25" s="1"/>
  <c r="BO15" i="2" l="1"/>
  <c r="BO16" i="2"/>
  <c r="P164" i="55"/>
  <c r="O164" i="55"/>
  <c r="M164" i="55"/>
  <c r="N164" i="55" s="1"/>
  <c r="S163" i="55"/>
  <c r="D164" i="55"/>
  <c r="E165" i="55" s="1"/>
  <c r="G164" i="55"/>
  <c r="W164" i="55"/>
  <c r="I164" i="55"/>
  <c r="F164" i="55"/>
  <c r="BP13" i="2"/>
  <c r="F49" i="25"/>
  <c r="G48" i="25"/>
  <c r="H48" i="25" s="1"/>
  <c r="BP15" i="2" l="1"/>
  <c r="BP16" i="2"/>
  <c r="Q165" i="55"/>
  <c r="K165" i="55"/>
  <c r="L165" i="55" s="1"/>
  <c r="X164" i="55"/>
  <c r="S164" i="55"/>
  <c r="V164" i="55"/>
  <c r="B165" i="55"/>
  <c r="H165" i="55"/>
  <c r="C165" i="55"/>
  <c r="U165" i="55" s="1"/>
  <c r="A165" i="55"/>
  <c r="BQ13" i="2"/>
  <c r="F50" i="25"/>
  <c r="G49" i="25"/>
  <c r="H49" i="25" s="1"/>
  <c r="BQ15" i="2" l="1"/>
  <c r="BQ16" i="2"/>
  <c r="P165" i="55"/>
  <c r="V165" i="55" s="1"/>
  <c r="O165" i="55"/>
  <c r="D165" i="55"/>
  <c r="E166" i="55" s="1"/>
  <c r="G165" i="55"/>
  <c r="M165" i="55"/>
  <c r="F165" i="55"/>
  <c r="W165" i="55"/>
  <c r="I165" i="55"/>
  <c r="BR13" i="2"/>
  <c r="F51" i="25"/>
  <c r="G50" i="25"/>
  <c r="H50" i="25" s="1"/>
  <c r="BR15" i="2" l="1"/>
  <c r="BR16" i="2"/>
  <c r="Q166" i="55"/>
  <c r="K166" i="55"/>
  <c r="L166" i="55" s="1"/>
  <c r="N165" i="55"/>
  <c r="X165" i="55" s="1"/>
  <c r="A166" i="55"/>
  <c r="C166" i="55"/>
  <c r="U166" i="55" s="1"/>
  <c r="H166" i="55"/>
  <c r="B166" i="55"/>
  <c r="BS13" i="2"/>
  <c r="F52" i="25"/>
  <c r="G51" i="25"/>
  <c r="H51" i="25" s="1"/>
  <c r="BS15" i="2" l="1"/>
  <c r="BS16" i="2"/>
  <c r="P166" i="55"/>
  <c r="V166" i="55" s="1"/>
  <c r="O166" i="55"/>
  <c r="I166" i="55"/>
  <c r="M166" i="55"/>
  <c r="N166" i="55" s="1"/>
  <c r="X166" i="55" s="1"/>
  <c r="F166" i="55"/>
  <c r="G166" i="55"/>
  <c r="D166" i="55"/>
  <c r="E167" i="55" s="1"/>
  <c r="W166" i="55"/>
  <c r="S165" i="55"/>
  <c r="BT13" i="2"/>
  <c r="F53" i="25"/>
  <c r="G52" i="25"/>
  <c r="H52" i="25" s="1"/>
  <c r="BT15" i="2" l="1"/>
  <c r="BT16" i="2"/>
  <c r="BU13" i="2"/>
  <c r="Q167" i="55"/>
  <c r="K167" i="55"/>
  <c r="L167" i="55" s="1"/>
  <c r="H167" i="55"/>
  <c r="A167" i="55"/>
  <c r="B167" i="55"/>
  <c r="S166" i="55"/>
  <c r="C167" i="55"/>
  <c r="O167" i="55" s="1"/>
  <c r="F54" i="25"/>
  <c r="G53" i="25"/>
  <c r="H53" i="25" s="1"/>
  <c r="BU15" i="2" l="1"/>
  <c r="BU16" i="2"/>
  <c r="BV13" i="2"/>
  <c r="P167" i="55"/>
  <c r="F167" i="55"/>
  <c r="G167" i="55"/>
  <c r="M167" i="55"/>
  <c r="N167" i="55" s="1"/>
  <c r="S167" i="55" s="1"/>
  <c r="D167" i="55"/>
  <c r="E168" i="55" s="1"/>
  <c r="I167" i="55"/>
  <c r="W167" i="55"/>
  <c r="U167" i="55"/>
  <c r="F55" i="25"/>
  <c r="G54" i="25"/>
  <c r="H54" i="25" s="1"/>
  <c r="V167" i="55" l="1"/>
  <c r="BV16" i="2"/>
  <c r="BV15" i="2"/>
  <c r="BW13" i="2"/>
  <c r="Q168" i="55"/>
  <c r="K168" i="55"/>
  <c r="L168" i="55" s="1"/>
  <c r="C168" i="55"/>
  <c r="U168" i="55" s="1"/>
  <c r="X167" i="55"/>
  <c r="H168" i="55"/>
  <c r="B168" i="55"/>
  <c r="A168" i="55"/>
  <c r="F56" i="25"/>
  <c r="G55" i="25"/>
  <c r="H55" i="25" s="1"/>
  <c r="BW16" i="2" l="1"/>
  <c r="BX13" i="2"/>
  <c r="BW15" i="2"/>
  <c r="P168" i="55"/>
  <c r="V168" i="55" s="1"/>
  <c r="O168" i="55"/>
  <c r="F168" i="55"/>
  <c r="G168" i="55"/>
  <c r="D168" i="55"/>
  <c r="E169" i="55" s="1"/>
  <c r="M168" i="55"/>
  <c r="N168" i="55" s="1"/>
  <c r="X168" i="55" s="1"/>
  <c r="I168" i="55"/>
  <c r="W168" i="55"/>
  <c r="F57" i="25"/>
  <c r="G56" i="25"/>
  <c r="H56" i="25" s="1"/>
  <c r="BX16" i="2" l="1"/>
  <c r="BX15" i="2"/>
  <c r="BY13" i="2"/>
  <c r="Q169" i="55"/>
  <c r="K169" i="55"/>
  <c r="L169" i="55" s="1"/>
  <c r="A169" i="55"/>
  <c r="S168" i="55"/>
  <c r="H169" i="55"/>
  <c r="B169" i="55"/>
  <c r="C169" i="55"/>
  <c r="U169" i="55" s="1"/>
  <c r="F58" i="25"/>
  <c r="G57" i="25"/>
  <c r="H57" i="25" s="1"/>
  <c r="BY16" i="2" l="1"/>
  <c r="BY15" i="2"/>
  <c r="P169" i="55"/>
  <c r="V169" i="55" s="1"/>
  <c r="O169" i="55"/>
  <c r="M169" i="55"/>
  <c r="D169" i="55"/>
  <c r="E170" i="55" s="1"/>
  <c r="W169" i="55"/>
  <c r="I169" i="55"/>
  <c r="G169" i="55"/>
  <c r="F169" i="55"/>
  <c r="F59" i="25"/>
  <c r="G58" i="25"/>
  <c r="H58" i="25" s="1"/>
  <c r="A170" i="55" l="1"/>
  <c r="Q170" i="55"/>
  <c r="K170" i="55"/>
  <c r="L170" i="55" s="1"/>
  <c r="N169" i="55"/>
  <c r="X169" i="55" s="1"/>
  <c r="H170" i="55"/>
  <c r="B170" i="55"/>
  <c r="C170" i="55"/>
  <c r="U170" i="55" s="1"/>
  <c r="F60" i="25"/>
  <c r="G59" i="25"/>
  <c r="H59" i="25" s="1"/>
  <c r="G170" i="55" l="1"/>
  <c r="O170" i="55"/>
  <c r="P170" i="55"/>
  <c r="V170" i="55" s="1"/>
  <c r="S169" i="55"/>
  <c r="M170" i="55"/>
  <c r="N170" i="55" s="1"/>
  <c r="D170" i="55"/>
  <c r="E171" i="55" s="1"/>
  <c r="I170" i="55"/>
  <c r="F170" i="55"/>
  <c r="W170" i="55"/>
  <c r="F61" i="25"/>
  <c r="G60" i="25"/>
  <c r="H60" i="25" s="1"/>
  <c r="K171" i="55" l="1"/>
  <c r="L171" i="55" s="1"/>
  <c r="Q171" i="55"/>
  <c r="S170" i="55"/>
  <c r="X170" i="55"/>
  <c r="H171" i="55"/>
  <c r="B171" i="55"/>
  <c r="C171" i="55"/>
  <c r="O171" i="55" s="1"/>
  <c r="A171" i="55"/>
  <c r="F62" i="25"/>
  <c r="G61" i="25"/>
  <c r="H61" i="25" s="1"/>
  <c r="I171" i="55" l="1"/>
  <c r="P171" i="55"/>
  <c r="M171" i="55"/>
  <c r="F171" i="55"/>
  <c r="U171" i="55"/>
  <c r="G171" i="55"/>
  <c r="W171" i="55"/>
  <c r="D171" i="55"/>
  <c r="E172" i="55" s="1"/>
  <c r="F63" i="25"/>
  <c r="G62" i="25"/>
  <c r="H62" i="25" s="1"/>
  <c r="Q172" i="55" l="1"/>
  <c r="K172" i="55"/>
  <c r="N171" i="55"/>
  <c r="X171" i="55" s="1"/>
  <c r="C172" i="55"/>
  <c r="U172" i="55" s="1"/>
  <c r="B172" i="55"/>
  <c r="H172" i="55"/>
  <c r="V171" i="55"/>
  <c r="A172" i="55"/>
  <c r="L172" i="55"/>
  <c r="F64" i="25"/>
  <c r="G63" i="25"/>
  <c r="H63" i="25" s="1"/>
  <c r="F172" i="55" l="1"/>
  <c r="P172" i="55"/>
  <c r="O172" i="55"/>
  <c r="M172" i="55"/>
  <c r="S171" i="55"/>
  <c r="D172" i="55"/>
  <c r="E173" i="55" s="1"/>
  <c r="W172" i="55"/>
  <c r="I172" i="55"/>
  <c r="G172" i="55"/>
  <c r="V172" i="55"/>
  <c r="F65" i="25"/>
  <c r="G64" i="25"/>
  <c r="H64" i="25" s="1"/>
  <c r="Q173" i="55" l="1"/>
  <c r="K173" i="55"/>
  <c r="L173" i="55" s="1"/>
  <c r="N172" i="55"/>
  <c r="S172" i="55" s="1"/>
  <c r="H173" i="55"/>
  <c r="A173" i="55"/>
  <c r="C173" i="55"/>
  <c r="O173" i="55" s="1"/>
  <c r="B173" i="55"/>
  <c r="F66" i="25"/>
  <c r="G65" i="25"/>
  <c r="H65" i="25" s="1"/>
  <c r="I173" i="55" l="1"/>
  <c r="U173" i="55" s="1"/>
  <c r="P173" i="55"/>
  <c r="M173" i="55"/>
  <c r="X172" i="55"/>
  <c r="D173" i="55"/>
  <c r="E174" i="55" s="1"/>
  <c r="W173" i="55"/>
  <c r="F173" i="55"/>
  <c r="G173" i="55"/>
  <c r="F67" i="25"/>
  <c r="G66" i="25"/>
  <c r="H66" i="25" s="1"/>
  <c r="Q174" i="55" l="1"/>
  <c r="K174" i="55"/>
  <c r="N173" i="55"/>
  <c r="X173" i="55" s="1"/>
  <c r="V173" i="55"/>
  <c r="B174" i="55"/>
  <c r="G174" i="55" s="1"/>
  <c r="A174" i="55"/>
  <c r="H174" i="55"/>
  <c r="C174" i="55"/>
  <c r="O174" i="55" s="1"/>
  <c r="L174" i="55"/>
  <c r="F68" i="25"/>
  <c r="G67" i="25"/>
  <c r="H67" i="25" s="1"/>
  <c r="P174" i="55" l="1"/>
  <c r="M174" i="55"/>
  <c r="S173" i="55"/>
  <c r="F174" i="55"/>
  <c r="D174" i="55"/>
  <c r="E175" i="55" s="1"/>
  <c r="I174" i="55"/>
  <c r="W174" i="55"/>
  <c r="U174" i="55"/>
  <c r="F69" i="25"/>
  <c r="G68" i="25"/>
  <c r="H68" i="25" s="1"/>
  <c r="Q175" i="55" l="1"/>
  <c r="K175" i="55"/>
  <c r="L175" i="55" s="1"/>
  <c r="N174" i="55"/>
  <c r="X174" i="55" s="1"/>
  <c r="H175" i="55"/>
  <c r="A175" i="55"/>
  <c r="B175" i="55"/>
  <c r="I175" i="55" s="1"/>
  <c r="C175" i="55"/>
  <c r="O175" i="55" s="1"/>
  <c r="V174" i="55"/>
  <c r="F70" i="25"/>
  <c r="G69" i="25"/>
  <c r="H69" i="25" s="1"/>
  <c r="P175" i="55" l="1"/>
  <c r="M175" i="55"/>
  <c r="S174" i="55"/>
  <c r="D175" i="55"/>
  <c r="E176" i="55" s="1"/>
  <c r="G175" i="55"/>
  <c r="F175" i="55"/>
  <c r="U175" i="55"/>
  <c r="W175" i="55"/>
  <c r="F71" i="25"/>
  <c r="G70" i="25"/>
  <c r="H70" i="25" s="1"/>
  <c r="Q176" i="55" l="1"/>
  <c r="K176" i="55"/>
  <c r="L176" i="55" s="1"/>
  <c r="N175" i="55"/>
  <c r="X175" i="55" s="1"/>
  <c r="V175" i="55"/>
  <c r="A176" i="55"/>
  <c r="B176" i="55"/>
  <c r="P176" i="55" s="1"/>
  <c r="H176" i="55"/>
  <c r="C176" i="55"/>
  <c r="O176" i="55" s="1"/>
  <c r="F72" i="25"/>
  <c r="G71" i="25"/>
  <c r="H71" i="25" s="1"/>
  <c r="M176" i="55" l="1"/>
  <c r="S175" i="55"/>
  <c r="G176" i="55"/>
  <c r="W176" i="55"/>
  <c r="U176" i="55"/>
  <c r="D176" i="55"/>
  <c r="E177" i="55" s="1"/>
  <c r="F176" i="55"/>
  <c r="I176" i="55"/>
  <c r="F73" i="25"/>
  <c r="G72" i="25"/>
  <c r="H72" i="25" s="1"/>
  <c r="Q177" i="55" l="1"/>
  <c r="K177" i="55"/>
  <c r="L177" i="55" s="1"/>
  <c r="N176" i="55"/>
  <c r="X176" i="55" s="1"/>
  <c r="V176" i="55"/>
  <c r="A177" i="55"/>
  <c r="C177" i="55"/>
  <c r="O177" i="55" s="1"/>
  <c r="B177" i="55"/>
  <c r="M177" i="55" s="1"/>
  <c r="H177" i="55"/>
  <c r="F74" i="25"/>
  <c r="G73" i="25"/>
  <c r="H73" i="25" s="1"/>
  <c r="P177" i="55" l="1"/>
  <c r="S176" i="55"/>
  <c r="U177" i="55"/>
  <c r="G177" i="55"/>
  <c r="W177" i="55"/>
  <c r="D177" i="55"/>
  <c r="E178" i="55" s="1"/>
  <c r="F177" i="55"/>
  <c r="I177" i="55"/>
  <c r="F75" i="25"/>
  <c r="G74" i="25"/>
  <c r="H74" i="25" s="1"/>
  <c r="Q178" i="55" l="1"/>
  <c r="K178" i="55"/>
  <c r="L178" i="55" s="1"/>
  <c r="N177" i="55"/>
  <c r="X177" i="55" s="1"/>
  <c r="H178" i="55"/>
  <c r="C178" i="55"/>
  <c r="O178" i="55" s="1"/>
  <c r="B178" i="55"/>
  <c r="M178" i="55" s="1"/>
  <c r="V177" i="55"/>
  <c r="A178" i="55"/>
  <c r="F76" i="25"/>
  <c r="G75" i="25"/>
  <c r="H75" i="25" s="1"/>
  <c r="P178" i="55" l="1"/>
  <c r="S177" i="55"/>
  <c r="F178" i="55"/>
  <c r="U178" i="55"/>
  <c r="G178" i="55"/>
  <c r="D178" i="55"/>
  <c r="E179" i="55" s="1"/>
  <c r="I178" i="55"/>
  <c r="W178" i="55"/>
  <c r="F77" i="25"/>
  <c r="G76" i="25"/>
  <c r="H76" i="25" s="1"/>
  <c r="Q179" i="55" l="1"/>
  <c r="K179" i="55"/>
  <c r="L179" i="55" s="1"/>
  <c r="N178" i="55"/>
  <c r="S178" i="55" s="1"/>
  <c r="V178" i="55"/>
  <c r="H179" i="55"/>
  <c r="C179" i="55"/>
  <c r="O179" i="55" s="1"/>
  <c r="B179" i="55"/>
  <c r="G179" i="55" s="1"/>
  <c r="A179" i="55"/>
  <c r="F78" i="25"/>
  <c r="G77" i="25"/>
  <c r="H77" i="25" s="1"/>
  <c r="P179" i="55" l="1"/>
  <c r="M179" i="55"/>
  <c r="X178" i="55"/>
  <c r="U179" i="55"/>
  <c r="W179" i="55"/>
  <c r="D179" i="55"/>
  <c r="F179" i="55"/>
  <c r="I179" i="55"/>
  <c r="F79" i="25"/>
  <c r="G78" i="25"/>
  <c r="H78" i="25" s="1"/>
  <c r="N179" i="55" l="1"/>
  <c r="X179" i="55" s="1"/>
  <c r="V179" i="55"/>
  <c r="E180" i="55"/>
  <c r="F80" i="25"/>
  <c r="G79" i="25"/>
  <c r="H79" i="25" s="1"/>
  <c r="Q180" i="55" l="1"/>
  <c r="K180" i="55"/>
  <c r="L180" i="55" s="1"/>
  <c r="S179" i="55"/>
  <c r="H180" i="55"/>
  <c r="B180" i="55"/>
  <c r="M180" i="55" s="1"/>
  <c r="C180" i="55"/>
  <c r="O180" i="55" s="1"/>
  <c r="A180" i="55"/>
  <c r="F81" i="25"/>
  <c r="G80" i="25"/>
  <c r="H80" i="25" s="1"/>
  <c r="P180" i="55" l="1"/>
  <c r="F180" i="55"/>
  <c r="D180" i="55"/>
  <c r="E181" i="55" s="1"/>
  <c r="G180" i="55"/>
  <c r="W180" i="55"/>
  <c r="I180" i="55"/>
  <c r="U180" i="55"/>
  <c r="F82" i="25"/>
  <c r="G81" i="25"/>
  <c r="H81" i="25" s="1"/>
  <c r="Q181" i="55" l="1"/>
  <c r="K181" i="55"/>
  <c r="N180" i="55"/>
  <c r="S180" i="55" s="1"/>
  <c r="H181" i="55"/>
  <c r="A181" i="55"/>
  <c r="C181" i="55"/>
  <c r="O181" i="55" s="1"/>
  <c r="B181" i="55"/>
  <c r="M181" i="55" s="1"/>
  <c r="V180" i="55"/>
  <c r="L181" i="55"/>
  <c r="F83" i="25"/>
  <c r="G82" i="25"/>
  <c r="H82" i="25" s="1"/>
  <c r="P181" i="55" l="1"/>
  <c r="X180" i="55"/>
  <c r="D181" i="55"/>
  <c r="U181" i="55"/>
  <c r="F181" i="55"/>
  <c r="I181" i="55"/>
  <c r="G181" i="55"/>
  <c r="W181" i="55"/>
  <c r="F84" i="25"/>
  <c r="G83" i="25"/>
  <c r="H83" i="25" s="1"/>
  <c r="N181" i="55" l="1"/>
  <c r="X181" i="55" s="1"/>
  <c r="E182" i="55"/>
  <c r="V181" i="55"/>
  <c r="F85" i="25"/>
  <c r="G84" i="25"/>
  <c r="H84" i="25" s="1"/>
  <c r="Q182" i="55" l="1"/>
  <c r="K182" i="55"/>
  <c r="L182" i="55" s="1"/>
  <c r="S181" i="55"/>
  <c r="C182" i="55"/>
  <c r="U182" i="55" s="1"/>
  <c r="B182" i="55"/>
  <c r="F182" i="55" s="1"/>
  <c r="H182" i="55"/>
  <c r="A182" i="55"/>
  <c r="F86" i="25"/>
  <c r="G85" i="25"/>
  <c r="H85" i="25" s="1"/>
  <c r="O182" i="55" l="1"/>
  <c r="P182" i="55"/>
  <c r="G182" i="55"/>
  <c r="M182" i="55"/>
  <c r="N182" i="55" s="1"/>
  <c r="D182" i="55"/>
  <c r="E183" i="55" s="1"/>
  <c r="V182" i="55"/>
  <c r="W182" i="55"/>
  <c r="I182" i="55"/>
  <c r="F87" i="25"/>
  <c r="G86" i="25"/>
  <c r="H86" i="25" s="1"/>
  <c r="Q183" i="55" l="1"/>
  <c r="K183" i="55"/>
  <c r="L183" i="55" s="1"/>
  <c r="S182" i="55"/>
  <c r="A183" i="55"/>
  <c r="C183" i="55"/>
  <c r="U183" i="55" s="1"/>
  <c r="B183" i="55"/>
  <c r="M183" i="55" s="1"/>
  <c r="N183" i="55" s="1"/>
  <c r="H183" i="55"/>
  <c r="X182" i="55"/>
  <c r="F88" i="25"/>
  <c r="G87" i="25"/>
  <c r="H87" i="25" s="1"/>
  <c r="P183" i="55" l="1"/>
  <c r="O183" i="55"/>
  <c r="S183" i="55" s="1"/>
  <c r="D183" i="55"/>
  <c r="E184" i="55" s="1"/>
  <c r="G183" i="55"/>
  <c r="I183" i="55"/>
  <c r="W183" i="55"/>
  <c r="F183" i="55"/>
  <c r="V183" i="55"/>
  <c r="X183" i="55"/>
  <c r="F89" i="25"/>
  <c r="G88" i="25"/>
  <c r="H88" i="25" s="1"/>
  <c r="H184" i="55" l="1"/>
  <c r="Q184" i="55"/>
  <c r="K184" i="55"/>
  <c r="L184" i="55" s="1"/>
  <c r="A184" i="55"/>
  <c r="B184" i="55"/>
  <c r="M184" i="55" s="1"/>
  <c r="N184" i="55" s="1"/>
  <c r="C184" i="55"/>
  <c r="U184" i="55" s="1"/>
  <c r="F90" i="25"/>
  <c r="G89" i="25"/>
  <c r="H89" i="25" s="1"/>
  <c r="O184" i="55" l="1"/>
  <c r="S184" i="55" s="1"/>
  <c r="X184" i="55"/>
  <c r="P184" i="55"/>
  <c r="V184" i="55" s="1"/>
  <c r="W184" i="55"/>
  <c r="F184" i="55"/>
  <c r="D184" i="55"/>
  <c r="E185" i="55" s="1"/>
  <c r="I184" i="55"/>
  <c r="G184" i="55"/>
  <c r="F91" i="25"/>
  <c r="G90" i="25"/>
  <c r="H90" i="25" s="1"/>
  <c r="Q185" i="55" l="1"/>
  <c r="K185" i="55"/>
  <c r="L185" i="55" s="1"/>
  <c r="H185" i="55"/>
  <c r="B185" i="55"/>
  <c r="P185" i="55" s="1"/>
  <c r="C185" i="55"/>
  <c r="O185" i="55" s="1"/>
  <c r="A185" i="55"/>
  <c r="F92" i="25"/>
  <c r="G91" i="25"/>
  <c r="H91" i="25" s="1"/>
  <c r="F185" i="55" l="1"/>
  <c r="W185" i="55"/>
  <c r="D185" i="55"/>
  <c r="E186" i="55" s="1"/>
  <c r="G185" i="55"/>
  <c r="M185" i="55"/>
  <c r="N185" i="55" s="1"/>
  <c r="X185" i="55" s="1"/>
  <c r="I185" i="55"/>
  <c r="U185" i="55" s="1"/>
  <c r="V185" i="55" s="1"/>
  <c r="F93" i="25"/>
  <c r="G92" i="25"/>
  <c r="H92" i="25" s="1"/>
  <c r="Q186" i="55" l="1"/>
  <c r="K186" i="55"/>
  <c r="L186" i="55" s="1"/>
  <c r="A186" i="55"/>
  <c r="B186" i="55"/>
  <c r="F186" i="55" s="1"/>
  <c r="C186" i="55"/>
  <c r="U186" i="55" s="1"/>
  <c r="H186" i="55"/>
  <c r="S185" i="55"/>
  <c r="F94" i="25"/>
  <c r="G93" i="25"/>
  <c r="H93" i="25" s="1"/>
  <c r="O186" i="55" l="1"/>
  <c r="P186" i="55"/>
  <c r="V186" i="55" s="1"/>
  <c r="I186" i="55"/>
  <c r="W186" i="55"/>
  <c r="M186" i="55"/>
  <c r="D186" i="55"/>
  <c r="E187" i="55" s="1"/>
  <c r="G186" i="55"/>
  <c r="F95" i="25"/>
  <c r="G94" i="25"/>
  <c r="H94" i="25" s="1"/>
  <c r="C187" i="55" l="1"/>
  <c r="O187" i="55" s="1"/>
  <c r="K187" i="55"/>
  <c r="L187" i="55" s="1"/>
  <c r="Q187" i="55"/>
  <c r="B187" i="55"/>
  <c r="I187" i="55" s="1"/>
  <c r="H187" i="55"/>
  <c r="A187" i="55"/>
  <c r="N186" i="55"/>
  <c r="X186" i="55" s="1"/>
  <c r="F96" i="25"/>
  <c r="G95" i="25"/>
  <c r="H95" i="25" s="1"/>
  <c r="W187" i="55" l="1"/>
  <c r="D187" i="55"/>
  <c r="E188" i="55" s="1"/>
  <c r="F187" i="55"/>
  <c r="U187" i="55"/>
  <c r="P187" i="55"/>
  <c r="G187" i="55"/>
  <c r="M187" i="55"/>
  <c r="S186" i="55"/>
  <c r="F97" i="25"/>
  <c r="G96" i="25"/>
  <c r="H96" i="25" s="1"/>
  <c r="V187" i="55" l="1"/>
  <c r="Q188" i="55"/>
  <c r="K188" i="55"/>
  <c r="L188" i="55" s="1"/>
  <c r="N187" i="55"/>
  <c r="X187" i="55" s="1"/>
  <c r="C188" i="55"/>
  <c r="U188" i="55" s="1"/>
  <c r="A188" i="55"/>
  <c r="H188" i="55"/>
  <c r="B188" i="55"/>
  <c r="M188" i="55" s="1"/>
  <c r="F98" i="25"/>
  <c r="G97" i="25"/>
  <c r="H97" i="25" s="1"/>
  <c r="O188" i="55" l="1"/>
  <c r="P188" i="55"/>
  <c r="V188" i="55" s="1"/>
  <c r="S187" i="55"/>
  <c r="N188" i="55"/>
  <c r="X188" i="55" s="1"/>
  <c r="D188" i="55"/>
  <c r="E189" i="55" s="1"/>
  <c r="G188" i="55"/>
  <c r="F188" i="55"/>
  <c r="W188" i="55"/>
  <c r="I188" i="55"/>
  <c r="F99" i="25"/>
  <c r="G98" i="25"/>
  <c r="H98" i="25" s="1"/>
  <c r="Q189" i="55" l="1"/>
  <c r="K189" i="55"/>
  <c r="L189" i="55" s="1"/>
  <c r="H189" i="55"/>
  <c r="A189" i="55"/>
  <c r="C189" i="55"/>
  <c r="O189" i="55" s="1"/>
  <c r="S188" i="55"/>
  <c r="B189" i="55"/>
  <c r="P189" i="55" s="1"/>
  <c r="F100" i="25"/>
  <c r="G99" i="25"/>
  <c r="H99" i="25" s="1"/>
  <c r="M189" i="55" l="1"/>
  <c r="D189" i="55"/>
  <c r="E190" i="55" s="1"/>
  <c r="I189" i="55"/>
  <c r="F189" i="55"/>
  <c r="G189" i="55"/>
  <c r="W189" i="55"/>
  <c r="U189" i="55"/>
  <c r="F101" i="25"/>
  <c r="G100" i="25"/>
  <c r="H100" i="25" s="1"/>
  <c r="A190" i="55" l="1"/>
  <c r="Q190" i="55"/>
  <c r="K190" i="55"/>
  <c r="L190" i="55" s="1"/>
  <c r="B190" i="55"/>
  <c r="I190" i="55" s="1"/>
  <c r="C190" i="55"/>
  <c r="U190" i="55" s="1"/>
  <c r="H190" i="55"/>
  <c r="N189" i="55"/>
  <c r="S189" i="55" s="1"/>
  <c r="V189" i="55"/>
  <c r="F102" i="25"/>
  <c r="G101" i="25"/>
  <c r="H101" i="25" s="1"/>
  <c r="O190" i="55" l="1"/>
  <c r="P190" i="55"/>
  <c r="V190" i="55" s="1"/>
  <c r="W190" i="55"/>
  <c r="G190" i="55"/>
  <c r="F190" i="55"/>
  <c r="D190" i="55"/>
  <c r="E191" i="55" s="1"/>
  <c r="M190" i="55"/>
  <c r="N190" i="55" s="1"/>
  <c r="X190" i="55" s="1"/>
  <c r="X189" i="55"/>
  <c r="F103" i="25"/>
  <c r="G102" i="25"/>
  <c r="H102" i="25" s="1"/>
  <c r="Q191" i="55" l="1"/>
  <c r="K191" i="55"/>
  <c r="L191" i="55" s="1"/>
  <c r="H191" i="55"/>
  <c r="C191" i="55"/>
  <c r="U191" i="55" s="1"/>
  <c r="A191" i="55"/>
  <c r="B191" i="55"/>
  <c r="P191" i="55" s="1"/>
  <c r="S190" i="55"/>
  <c r="F104" i="25"/>
  <c r="G103" i="25"/>
  <c r="H103" i="25" s="1"/>
  <c r="O191" i="55" l="1"/>
  <c r="F191" i="55"/>
  <c r="D191" i="55"/>
  <c r="E192" i="55" s="1"/>
  <c r="G191" i="55"/>
  <c r="W191" i="55"/>
  <c r="I191" i="55"/>
  <c r="M191" i="55"/>
  <c r="V191" i="55"/>
  <c r="F105" i="25"/>
  <c r="G104" i="25"/>
  <c r="H104" i="25" s="1"/>
  <c r="A192" i="55" l="1"/>
  <c r="Q192" i="55"/>
  <c r="K192" i="55"/>
  <c r="L192" i="55" s="1"/>
  <c r="H192" i="55"/>
  <c r="B192" i="55"/>
  <c r="D192" i="55" s="1"/>
  <c r="C192" i="55"/>
  <c r="U192" i="55" s="1"/>
  <c r="N191" i="55"/>
  <c r="S191" i="55" s="1"/>
  <c r="F106" i="25"/>
  <c r="G105" i="25"/>
  <c r="H105" i="25" s="1"/>
  <c r="O192" i="55" l="1"/>
  <c r="P192" i="55"/>
  <c r="V192" i="55" s="1"/>
  <c r="E193" i="55"/>
  <c r="G192" i="55"/>
  <c r="I192" i="55"/>
  <c r="M192" i="55"/>
  <c r="F192" i="55"/>
  <c r="W192" i="55"/>
  <c r="X191" i="55"/>
  <c r="F107" i="25"/>
  <c r="G106" i="25"/>
  <c r="H106" i="25" s="1"/>
  <c r="C193" i="55" l="1"/>
  <c r="O193" i="55" s="1"/>
  <c r="Q193" i="55"/>
  <c r="K193" i="55"/>
  <c r="L193" i="55" s="1"/>
  <c r="A193" i="55"/>
  <c r="H193" i="55"/>
  <c r="B193" i="55"/>
  <c r="M193" i="55" s="1"/>
  <c r="N193" i="55" s="1"/>
  <c r="N192" i="55"/>
  <c r="X192" i="55" s="1"/>
  <c r="F108" i="25"/>
  <c r="G107" i="25"/>
  <c r="H107" i="25" s="1"/>
  <c r="U193" i="55" l="1"/>
  <c r="X193" i="55"/>
  <c r="P193" i="55"/>
  <c r="G193" i="55"/>
  <c r="I193" i="55"/>
  <c r="F193" i="55"/>
  <c r="D193" i="55"/>
  <c r="E194" i="55" s="1"/>
  <c r="W193" i="55"/>
  <c r="S192" i="55"/>
  <c r="F109" i="25"/>
  <c r="G108" i="25"/>
  <c r="H108" i="25" s="1"/>
  <c r="V193" i="55" l="1"/>
  <c r="C194" i="55"/>
  <c r="U194" i="55" s="1"/>
  <c r="Q194" i="55"/>
  <c r="K194" i="55"/>
  <c r="B194" i="55"/>
  <c r="G194" i="55" s="1"/>
  <c r="H194" i="55"/>
  <c r="A194" i="55"/>
  <c r="L194" i="55"/>
  <c r="S193" i="55"/>
  <c r="F110" i="25"/>
  <c r="G109" i="25"/>
  <c r="H109" i="25" s="1"/>
  <c r="W194" i="55" l="1"/>
  <c r="O194" i="55"/>
  <c r="P194" i="55"/>
  <c r="V194" i="55" s="1"/>
  <c r="F194" i="55"/>
  <c r="D194" i="55"/>
  <c r="E195" i="55" s="1"/>
  <c r="M194" i="55"/>
  <c r="N194" i="55" s="1"/>
  <c r="S194" i="55" s="1"/>
  <c r="I194" i="55"/>
  <c r="F111" i="25"/>
  <c r="G110" i="25"/>
  <c r="H110" i="25" s="1"/>
  <c r="H195" i="55" l="1"/>
  <c r="B195" i="55"/>
  <c r="G195" i="55" s="1"/>
  <c r="C195" i="55"/>
  <c r="O195" i="55" s="1"/>
  <c r="A195" i="55"/>
  <c r="K195" i="55"/>
  <c r="L195" i="55" s="1"/>
  <c r="Q195" i="55"/>
  <c r="X194" i="55"/>
  <c r="F112" i="25"/>
  <c r="G111" i="25"/>
  <c r="H111" i="25" s="1"/>
  <c r="U195" i="55" l="1"/>
  <c r="F195" i="55"/>
  <c r="I195" i="55"/>
  <c r="W195" i="55"/>
  <c r="D195" i="55"/>
  <c r="E196" i="55" s="1"/>
  <c r="A196" i="55" s="1"/>
  <c r="M195" i="55"/>
  <c r="N195" i="55" s="1"/>
  <c r="X195" i="55" s="1"/>
  <c r="P195" i="55"/>
  <c r="F113" i="25"/>
  <c r="G112" i="25"/>
  <c r="H112" i="25" s="1"/>
  <c r="V195" i="55" l="1"/>
  <c r="H196" i="55"/>
  <c r="K196" i="55"/>
  <c r="L196" i="55" s="1"/>
  <c r="B196" i="55"/>
  <c r="M196" i="55" s="1"/>
  <c r="Q196" i="55"/>
  <c r="C196" i="55"/>
  <c r="S195" i="55"/>
  <c r="F196" i="55"/>
  <c r="F114" i="25"/>
  <c r="G113" i="25"/>
  <c r="H113" i="25" s="1"/>
  <c r="D196" i="55" l="1"/>
  <c r="E197" i="55" s="1"/>
  <c r="Q197" i="55" s="1"/>
  <c r="O196" i="55"/>
  <c r="I196" i="55"/>
  <c r="P196" i="55"/>
  <c r="W196" i="55"/>
  <c r="G196" i="55"/>
  <c r="U196" i="55"/>
  <c r="V196" i="55" s="1"/>
  <c r="N196" i="55"/>
  <c r="X196" i="55" s="1"/>
  <c r="F115" i="25"/>
  <c r="G114" i="25"/>
  <c r="H114" i="25" s="1"/>
  <c r="B197" i="55" l="1"/>
  <c r="M197" i="55" s="1"/>
  <c r="A197" i="55"/>
  <c r="C197" i="55"/>
  <c r="O197" i="55" s="1"/>
  <c r="K197" i="55"/>
  <c r="L197" i="55" s="1"/>
  <c r="H197" i="55"/>
  <c r="S196" i="55"/>
  <c r="F197" i="55"/>
  <c r="D197" i="55"/>
  <c r="E198" i="55" s="1"/>
  <c r="I197" i="55"/>
  <c r="F116" i="25"/>
  <c r="G115" i="25"/>
  <c r="H115" i="25" s="1"/>
  <c r="G197" i="55" l="1"/>
  <c r="P197" i="55"/>
  <c r="U197" i="55"/>
  <c r="W197" i="55"/>
  <c r="Q198" i="55"/>
  <c r="K198" i="55"/>
  <c r="L198" i="55" s="1"/>
  <c r="N197" i="55"/>
  <c r="X197" i="55" s="1"/>
  <c r="C198" i="55"/>
  <c r="O198" i="55" s="1"/>
  <c r="B198" i="55"/>
  <c r="M198" i="55" s="1"/>
  <c r="A198" i="55"/>
  <c r="H198" i="55"/>
  <c r="F117" i="25"/>
  <c r="G116" i="25"/>
  <c r="H116" i="25" s="1"/>
  <c r="V197" i="55" l="1"/>
  <c r="P198" i="55"/>
  <c r="S197" i="55"/>
  <c r="G198" i="55"/>
  <c r="W198" i="55"/>
  <c r="F198" i="55"/>
  <c r="I198" i="55"/>
  <c r="D198" i="55"/>
  <c r="E199" i="55" s="1"/>
  <c r="U198" i="55"/>
  <c r="F118" i="25"/>
  <c r="G117" i="25"/>
  <c r="H117" i="25" s="1"/>
  <c r="Q199" i="55" l="1"/>
  <c r="K199" i="55"/>
  <c r="L199" i="55" s="1"/>
  <c r="N198" i="55"/>
  <c r="X198" i="55" s="1"/>
  <c r="A199" i="55"/>
  <c r="B199" i="55"/>
  <c r="M199" i="55" s="1"/>
  <c r="H199" i="55"/>
  <c r="C199" i="55"/>
  <c r="O199" i="55" s="1"/>
  <c r="V198" i="55"/>
  <c r="F119" i="25"/>
  <c r="G118" i="25"/>
  <c r="H118" i="25" s="1"/>
  <c r="P199" i="55" l="1"/>
  <c r="N199" i="55"/>
  <c r="X199" i="55" s="1"/>
  <c r="S198" i="55"/>
  <c r="W199" i="55"/>
  <c r="U199" i="55"/>
  <c r="G199" i="55"/>
  <c r="F199" i="55"/>
  <c r="I199" i="55"/>
  <c r="D199" i="55"/>
  <c r="F120" i="25"/>
  <c r="G119" i="25"/>
  <c r="H119" i="25" s="1"/>
  <c r="E200" i="55" l="1"/>
  <c r="S199" i="55"/>
  <c r="V199" i="55"/>
  <c r="G120" i="25"/>
  <c r="H120" i="25" s="1"/>
  <c r="F121" i="25"/>
  <c r="Q200" i="55" l="1"/>
  <c r="K200" i="55"/>
  <c r="L200" i="55" s="1"/>
  <c r="B200" i="55"/>
  <c r="I200" i="55" s="1"/>
  <c r="C200" i="55"/>
  <c r="O200" i="55" s="1"/>
  <c r="A200" i="55"/>
  <c r="H200" i="55"/>
  <c r="F122" i="25"/>
  <c r="G122" i="25" s="1"/>
  <c r="H122" i="25" s="1"/>
  <c r="G121" i="25"/>
  <c r="H121" i="25" s="1"/>
  <c r="P200" i="55" l="1"/>
  <c r="M200" i="55"/>
  <c r="W200" i="55"/>
  <c r="F200" i="55"/>
  <c r="G200" i="55"/>
  <c r="D200" i="55"/>
  <c r="E201" i="55" s="1"/>
  <c r="U200" i="55"/>
  <c r="X8" i="26"/>
  <c r="BK8" i="26" s="1"/>
  <c r="K8" i="26"/>
  <c r="M8" i="26" s="1"/>
  <c r="Q201" i="55" l="1"/>
  <c r="K201" i="55"/>
  <c r="L201" i="55" s="1"/>
  <c r="N200" i="55"/>
  <c r="X200" i="55" s="1"/>
  <c r="A201" i="55"/>
  <c r="H201" i="55"/>
  <c r="V200" i="55"/>
  <c r="C201" i="55"/>
  <c r="O201" i="55" s="1"/>
  <c r="B201" i="55"/>
  <c r="M201" i="55" s="1"/>
  <c r="N8" i="26"/>
  <c r="AJ8" i="26"/>
  <c r="AK8" i="26" s="1"/>
  <c r="R8" i="26"/>
  <c r="U8" i="26"/>
  <c r="P201" i="55" l="1"/>
  <c r="AF8" i="26"/>
  <c r="AN8" i="26" s="1"/>
  <c r="S8" i="26"/>
  <c r="T8" i="26" s="1"/>
  <c r="BC8" i="26" s="1"/>
  <c r="S200" i="55"/>
  <c r="D201" i="55"/>
  <c r="E202" i="55" s="1"/>
  <c r="I201" i="55"/>
  <c r="F201" i="55"/>
  <c r="G201" i="55"/>
  <c r="U201" i="55"/>
  <c r="W201" i="55"/>
  <c r="X9" i="26"/>
  <c r="K9" i="26"/>
  <c r="AL8" i="26" l="1"/>
  <c r="AM8" i="26" s="1"/>
  <c r="Q202" i="55"/>
  <c r="K202" i="55"/>
  <c r="BL8" i="26"/>
  <c r="N201" i="55"/>
  <c r="X201" i="55" s="1"/>
  <c r="B202" i="55"/>
  <c r="D202" i="55" s="1"/>
  <c r="A202" i="55"/>
  <c r="L202" i="55"/>
  <c r="V201" i="55"/>
  <c r="C202" i="55"/>
  <c r="O202" i="55" s="1"/>
  <c r="H202" i="55"/>
  <c r="A9" i="26"/>
  <c r="C9" i="26"/>
  <c r="V9" i="26" s="1"/>
  <c r="L9" i="26"/>
  <c r="M9" i="26" s="1"/>
  <c r="Q9" i="26"/>
  <c r="R9" i="26" s="1"/>
  <c r="W9" i="26"/>
  <c r="P202" i="55" l="1"/>
  <c r="S9" i="26"/>
  <c r="T9" i="26" s="1"/>
  <c r="I202" i="55"/>
  <c r="M202" i="55"/>
  <c r="BT8" i="26"/>
  <c r="AV8" i="55"/>
  <c r="S201" i="55"/>
  <c r="G202" i="55"/>
  <c r="W202" i="55"/>
  <c r="F202" i="55"/>
  <c r="U202" i="55"/>
  <c r="E203" i="55"/>
  <c r="U9" i="26"/>
  <c r="AS9" i="26"/>
  <c r="BJ9" i="26" s="1"/>
  <c r="N9" i="26"/>
  <c r="AJ9" i="26"/>
  <c r="AK9" i="26" s="1"/>
  <c r="E10" i="26"/>
  <c r="AL9" i="26" l="1"/>
  <c r="AM9" i="26" s="1"/>
  <c r="BL9" i="26"/>
  <c r="BC9" i="26"/>
  <c r="K203" i="55"/>
  <c r="L203" i="55" s="1"/>
  <c r="Q203" i="55"/>
  <c r="AU8" i="26"/>
  <c r="AF9" i="26"/>
  <c r="AN9" i="26" s="1"/>
  <c r="N202" i="55"/>
  <c r="V202" i="55"/>
  <c r="C203" i="55"/>
  <c r="O203" i="55" s="1"/>
  <c r="B203" i="55"/>
  <c r="P203" i="55" s="1"/>
  <c r="H203" i="55"/>
  <c r="A203" i="55"/>
  <c r="B10" i="26"/>
  <c r="P10" i="26" s="1"/>
  <c r="H10" i="26"/>
  <c r="BK9" i="26"/>
  <c r="AO9" i="26"/>
  <c r="AT9" i="26" s="1"/>
  <c r="C10" i="26"/>
  <c r="U10" i="26" s="1"/>
  <c r="A10" i="26"/>
  <c r="L10" i="26"/>
  <c r="Q10" i="26"/>
  <c r="W10" i="26"/>
  <c r="V10" i="26" l="1"/>
  <c r="X10" i="26"/>
  <c r="AP10" i="26"/>
  <c r="F10" i="26"/>
  <c r="R10" i="26" s="1"/>
  <c r="K10" i="26"/>
  <c r="M10" i="26" s="1"/>
  <c r="N10" i="26" s="1"/>
  <c r="I10" i="26"/>
  <c r="O10" i="26"/>
  <c r="M203" i="55"/>
  <c r="BT9" i="26"/>
  <c r="AV9" i="55"/>
  <c r="S202" i="55"/>
  <c r="X202" i="55"/>
  <c r="I203" i="55"/>
  <c r="F203" i="55"/>
  <c r="G203" i="55"/>
  <c r="U203" i="55"/>
  <c r="W203" i="55"/>
  <c r="D203" i="55"/>
  <c r="E204" i="55" s="1"/>
  <c r="AF10" i="26"/>
  <c r="AN10" i="26" s="1"/>
  <c r="AS10" i="26"/>
  <c r="G10" i="26"/>
  <c r="D10" i="26"/>
  <c r="E11" i="26" s="1"/>
  <c r="Q204" i="55" l="1"/>
  <c r="K204" i="55"/>
  <c r="L204" i="55" s="1"/>
  <c r="AU9" i="26"/>
  <c r="BJ10" i="26"/>
  <c r="S10" i="26"/>
  <c r="T10" i="26" s="1"/>
  <c r="BC10" i="26" s="1"/>
  <c r="N203" i="55"/>
  <c r="X203" i="55" s="1"/>
  <c r="C204" i="55"/>
  <c r="O204" i="55" s="1"/>
  <c r="H204" i="55"/>
  <c r="V203" i="55"/>
  <c r="A204" i="55"/>
  <c r="B204" i="55"/>
  <c r="P204" i="55" s="1"/>
  <c r="B11" i="26"/>
  <c r="G11" i="26" s="1"/>
  <c r="H11" i="26"/>
  <c r="AJ10" i="26"/>
  <c r="AK10" i="26" s="1"/>
  <c r="BK10" i="26"/>
  <c r="AO10" i="26"/>
  <c r="AT10" i="26" s="1"/>
  <c r="C11" i="26"/>
  <c r="AS11" i="26" s="1"/>
  <c r="A11" i="26"/>
  <c r="L11" i="26"/>
  <c r="Q11" i="26"/>
  <c r="W11" i="26"/>
  <c r="AL10" i="26" l="1"/>
  <c r="AM10" i="26" s="1"/>
  <c r="V11" i="26"/>
  <c r="BL10" i="26"/>
  <c r="BT10" i="26"/>
  <c r="I11" i="26"/>
  <c r="D11" i="26"/>
  <c r="O11" i="26"/>
  <c r="F11" i="26"/>
  <c r="R11" i="26" s="1"/>
  <c r="M204" i="55"/>
  <c r="U204" i="55"/>
  <c r="V204" i="55" s="1"/>
  <c r="P11" i="26"/>
  <c r="S203" i="55"/>
  <c r="I204" i="55"/>
  <c r="D204" i="55"/>
  <c r="F204" i="55"/>
  <c r="W204" i="55"/>
  <c r="G204" i="55"/>
  <c r="K11" i="26"/>
  <c r="M11" i="26" s="1"/>
  <c r="AP11" i="26"/>
  <c r="X11" i="26"/>
  <c r="U11" i="26"/>
  <c r="BJ11" i="26"/>
  <c r="E12" i="26" l="1"/>
  <c r="AU10" i="26"/>
  <c r="AV10" i="55"/>
  <c r="AF11" i="26"/>
  <c r="AN11" i="26" s="1"/>
  <c r="S11" i="26"/>
  <c r="T11" i="26" s="1"/>
  <c r="AJ11" i="26"/>
  <c r="AK11" i="26" s="1"/>
  <c r="N11" i="26"/>
  <c r="N204" i="55"/>
  <c r="X204" i="55" s="1"/>
  <c r="E205" i="55"/>
  <c r="B12" i="26"/>
  <c r="X12" i="26" s="1"/>
  <c r="H12" i="26"/>
  <c r="BK11" i="26"/>
  <c r="AO11" i="26"/>
  <c r="AT11" i="26" s="1"/>
  <c r="A12" i="26"/>
  <c r="C12" i="26"/>
  <c r="AS12" i="26" s="1"/>
  <c r="L12" i="26"/>
  <c r="Q12" i="26"/>
  <c r="W12" i="26"/>
  <c r="AL11" i="26" l="1"/>
  <c r="AM11" i="26" s="1"/>
  <c r="BL11" i="26"/>
  <c r="BC11" i="26"/>
  <c r="AV11" i="55" s="1"/>
  <c r="V12" i="26"/>
  <c r="Q205" i="55"/>
  <c r="K205" i="55"/>
  <c r="L205" i="55" s="1"/>
  <c r="F12" i="26"/>
  <c r="R12" i="26" s="1"/>
  <c r="I12" i="26"/>
  <c r="K12" i="26"/>
  <c r="M12" i="26" s="1"/>
  <c r="N12" i="26" s="1"/>
  <c r="P12" i="26"/>
  <c r="G12" i="26"/>
  <c r="AP12" i="26"/>
  <c r="O12" i="26"/>
  <c r="S204" i="55"/>
  <c r="H205" i="55"/>
  <c r="B205" i="55"/>
  <c r="M205" i="55" s="1"/>
  <c r="A205" i="55"/>
  <c r="C205" i="55"/>
  <c r="O205" i="55" s="1"/>
  <c r="BJ12" i="26"/>
  <c r="D12" i="26"/>
  <c r="U12" i="26"/>
  <c r="P205" i="55" l="1"/>
  <c r="E13" i="26"/>
  <c r="AU11" i="26"/>
  <c r="S12" i="26"/>
  <c r="T12" i="26" s="1"/>
  <c r="BL12" i="26" s="1"/>
  <c r="AF12" i="26"/>
  <c r="AN12" i="26" s="1"/>
  <c r="BT11" i="26"/>
  <c r="AJ12" i="26"/>
  <c r="AK12" i="26" s="1"/>
  <c r="N205" i="55"/>
  <c r="X205" i="55" s="1"/>
  <c r="G205" i="55"/>
  <c r="I205" i="55"/>
  <c r="D205" i="55"/>
  <c r="E206" i="55" s="1"/>
  <c r="F205" i="55"/>
  <c r="U205" i="55"/>
  <c r="W205" i="55"/>
  <c r="AL12" i="26"/>
  <c r="BK12" i="26"/>
  <c r="AO12" i="26"/>
  <c r="AT12" i="26" s="1"/>
  <c r="BC12" i="26" l="1"/>
  <c r="H13" i="26"/>
  <c r="Q13" i="26"/>
  <c r="L13" i="26"/>
  <c r="Q206" i="55"/>
  <c r="K206" i="55"/>
  <c r="L206" i="55" s="1"/>
  <c r="AM12" i="26"/>
  <c r="B13" i="26"/>
  <c r="P13" i="26" s="1"/>
  <c r="W13" i="26"/>
  <c r="C13" i="26"/>
  <c r="U13" i="26" s="1"/>
  <c r="A13" i="26"/>
  <c r="S205" i="55"/>
  <c r="B206" i="55"/>
  <c r="G206" i="55" s="1"/>
  <c r="H206" i="55"/>
  <c r="C206" i="55"/>
  <c r="O206" i="55" s="1"/>
  <c r="A206" i="55"/>
  <c r="V205" i="55"/>
  <c r="V13" i="26" l="1"/>
  <c r="AP13" i="26"/>
  <c r="P206" i="55"/>
  <c r="X13" i="26"/>
  <c r="G13" i="26"/>
  <c r="AS13" i="26"/>
  <c r="BJ13" i="26" s="1"/>
  <c r="D13" i="26"/>
  <c r="E14" i="26" s="1"/>
  <c r="F13" i="26"/>
  <c r="R13" i="26" s="1"/>
  <c r="O13" i="26"/>
  <c r="I13" i="26"/>
  <c r="K13" i="26"/>
  <c r="M13" i="26" s="1"/>
  <c r="N13" i="26" s="1"/>
  <c r="AU12" i="26"/>
  <c r="AF13" i="26"/>
  <c r="AN13" i="26" s="1"/>
  <c r="M206" i="55"/>
  <c r="BT12" i="26"/>
  <c r="AV12" i="55"/>
  <c r="I206" i="55"/>
  <c r="W206" i="55"/>
  <c r="U206" i="55"/>
  <c r="D206" i="55"/>
  <c r="E207" i="55" s="1"/>
  <c r="F206" i="55"/>
  <c r="BK13" i="26" l="1"/>
  <c r="Q207" i="55"/>
  <c r="K207" i="55"/>
  <c r="L207" i="55" s="1"/>
  <c r="S13" i="26"/>
  <c r="T13" i="26" s="1"/>
  <c r="A14" i="26"/>
  <c r="W14" i="26"/>
  <c r="L14" i="26"/>
  <c r="C14" i="26"/>
  <c r="AS14" i="26" s="1"/>
  <c r="BJ14" i="26" s="1"/>
  <c r="Q14" i="26"/>
  <c r="H14" i="26"/>
  <c r="B14" i="26"/>
  <c r="P14" i="26" s="1"/>
  <c r="AJ13" i="26"/>
  <c r="AK13" i="26" s="1"/>
  <c r="AO13" i="26"/>
  <c r="AT13" i="26" s="1"/>
  <c r="N206" i="55"/>
  <c r="X206" i="55" s="1"/>
  <c r="V206" i="55"/>
  <c r="C207" i="55"/>
  <c r="O207" i="55" s="1"/>
  <c r="H207" i="55"/>
  <c r="A207" i="55"/>
  <c r="B207" i="55"/>
  <c r="I207" i="55" s="1"/>
  <c r="AL13" i="26" l="1"/>
  <c r="AM13" i="26" s="1"/>
  <c r="AU13" i="26" s="1"/>
  <c r="BL13" i="26"/>
  <c r="BC13" i="26"/>
  <c r="AV13" i="55" s="1"/>
  <c r="V14" i="26"/>
  <c r="AO14" i="26" s="1"/>
  <c r="D14" i="26"/>
  <c r="E15" i="26" s="1"/>
  <c r="P207" i="55"/>
  <c r="O14" i="26"/>
  <c r="U14" i="26"/>
  <c r="AF14" i="26" s="1"/>
  <c r="AN14" i="26" s="1"/>
  <c r="X14" i="26"/>
  <c r="F14" i="26"/>
  <c r="R14" i="26" s="1"/>
  <c r="K14" i="26"/>
  <c r="M14" i="26" s="1"/>
  <c r="AJ14" i="26" s="1"/>
  <c r="AK14" i="26" s="1"/>
  <c r="I14" i="26"/>
  <c r="G14" i="26"/>
  <c r="AP14" i="26"/>
  <c r="M207" i="55"/>
  <c r="S206" i="55"/>
  <c r="U207" i="55"/>
  <c r="G207" i="55"/>
  <c r="F207" i="55"/>
  <c r="D207" i="55"/>
  <c r="E208" i="55" s="1"/>
  <c r="W207" i="55"/>
  <c r="B15" i="26"/>
  <c r="P15" i="26" s="1"/>
  <c r="BK14" i="26" l="1"/>
  <c r="BT13" i="26"/>
  <c r="H15" i="26"/>
  <c r="AL14" i="26"/>
  <c r="N14" i="26"/>
  <c r="K15" i="26"/>
  <c r="Q208" i="55"/>
  <c r="K208" i="55"/>
  <c r="L208" i="55" s="1"/>
  <c r="S14" i="26"/>
  <c r="T14" i="26" s="1"/>
  <c r="BL14" i="26" s="1"/>
  <c r="AT14" i="26"/>
  <c r="AP15" i="26"/>
  <c r="O15" i="26"/>
  <c r="D15" i="26"/>
  <c r="X15" i="26"/>
  <c r="I15" i="26"/>
  <c r="F15" i="26"/>
  <c r="G15" i="26"/>
  <c r="N207" i="55"/>
  <c r="S207" i="55" s="1"/>
  <c r="H208" i="55"/>
  <c r="A208" i="55"/>
  <c r="B208" i="55"/>
  <c r="G208" i="55" s="1"/>
  <c r="C208" i="55"/>
  <c r="V207" i="55"/>
  <c r="C15" i="26"/>
  <c r="V15" i="26" s="1"/>
  <c r="A15" i="26"/>
  <c r="L15" i="26"/>
  <c r="Q15" i="26"/>
  <c r="W15" i="26"/>
  <c r="BC14" i="26" l="1"/>
  <c r="AV14" i="55" s="1"/>
  <c r="AM14" i="26"/>
  <c r="O208" i="55"/>
  <c r="M15" i="26"/>
  <c r="AJ15" i="26" s="1"/>
  <c r="AK15" i="26" s="1"/>
  <c r="P208" i="55"/>
  <c r="X207" i="55"/>
  <c r="R15" i="26"/>
  <c r="M208" i="55"/>
  <c r="I208" i="55"/>
  <c r="W208" i="55"/>
  <c r="D208" i="55"/>
  <c r="E209" i="55" s="1"/>
  <c r="F208" i="55"/>
  <c r="U208" i="55"/>
  <c r="AS15" i="26"/>
  <c r="BJ15" i="26" s="1"/>
  <c r="U15" i="26"/>
  <c r="E16" i="26"/>
  <c r="BT14" i="26" l="1"/>
  <c r="N15" i="26"/>
  <c r="Q209" i="55"/>
  <c r="K209" i="55"/>
  <c r="AU14" i="26"/>
  <c r="S15" i="26"/>
  <c r="T15" i="26" s="1"/>
  <c r="BC15" i="26" s="1"/>
  <c r="AF15" i="26"/>
  <c r="AN15" i="26" s="1"/>
  <c r="N208" i="55"/>
  <c r="S208" i="55" s="1"/>
  <c r="A209" i="55"/>
  <c r="L209" i="55"/>
  <c r="B209" i="55"/>
  <c r="D209" i="55" s="1"/>
  <c r="C209" i="55"/>
  <c r="O209" i="55" s="1"/>
  <c r="H209" i="55"/>
  <c r="V208" i="55"/>
  <c r="B16" i="26"/>
  <c r="P16" i="26" s="1"/>
  <c r="BK15" i="26"/>
  <c r="AO15" i="26"/>
  <c r="AT15" i="26" s="1"/>
  <c r="H16" i="26"/>
  <c r="A16" i="26"/>
  <c r="C16" i="26"/>
  <c r="AS16" i="26" s="1"/>
  <c r="L16" i="26"/>
  <c r="Q16" i="26"/>
  <c r="W16" i="26"/>
  <c r="AL15" i="26" l="1"/>
  <c r="AM15" i="26" s="1"/>
  <c r="V16" i="26"/>
  <c r="P209" i="55"/>
  <c r="BL15" i="26"/>
  <c r="BT15" i="26"/>
  <c r="K16" i="26"/>
  <c r="M16" i="26" s="1"/>
  <c r="I16" i="26"/>
  <c r="D16" i="26"/>
  <c r="X208" i="55"/>
  <c r="F16" i="26"/>
  <c r="R16" i="26" s="1"/>
  <c r="G209" i="55"/>
  <c r="M209" i="55"/>
  <c r="X16" i="26"/>
  <c r="U16" i="26"/>
  <c r="G16" i="26"/>
  <c r="AP16" i="26"/>
  <c r="O16" i="26"/>
  <c r="F209" i="55"/>
  <c r="I209" i="55"/>
  <c r="U209" i="55" s="1"/>
  <c r="E210" i="55"/>
  <c r="W209" i="55"/>
  <c r="BJ16" i="26"/>
  <c r="E17" i="26" l="1"/>
  <c r="Q210" i="55"/>
  <c r="K210" i="55"/>
  <c r="L210" i="55" s="1"/>
  <c r="AL16" i="26"/>
  <c r="AV15" i="55"/>
  <c r="AF16" i="26"/>
  <c r="AN16" i="26" s="1"/>
  <c r="S16" i="26"/>
  <c r="T16" i="26" s="1"/>
  <c r="V209" i="55"/>
  <c r="N209" i="55"/>
  <c r="A210" i="55"/>
  <c r="H210" i="55"/>
  <c r="B210" i="55"/>
  <c r="M210" i="55" s="1"/>
  <c r="C210" i="55"/>
  <c r="U210" i="55" s="1"/>
  <c r="BK16" i="26"/>
  <c r="AO16" i="26"/>
  <c r="AT16" i="26" s="1"/>
  <c r="N16" i="26"/>
  <c r="AJ16" i="26"/>
  <c r="AK16" i="26" s="1"/>
  <c r="L17" i="26"/>
  <c r="BL16" i="26" l="1"/>
  <c r="BC16" i="26"/>
  <c r="H17" i="26"/>
  <c r="W17" i="26"/>
  <c r="C17" i="26"/>
  <c r="U17" i="26" s="1"/>
  <c r="Q17" i="26"/>
  <c r="A17" i="26"/>
  <c r="B17" i="26"/>
  <c r="P17" i="26" s="1"/>
  <c r="O210" i="55"/>
  <c r="P210" i="55"/>
  <c r="V210" i="55" s="1"/>
  <c r="AM16" i="26"/>
  <c r="BT16" i="26"/>
  <c r="I17" i="26"/>
  <c r="AS17" i="26" s="1"/>
  <c r="BJ17" i="26" s="1"/>
  <c r="AU15" i="26"/>
  <c r="D17" i="26"/>
  <c r="E18" i="26" s="1"/>
  <c r="O17" i="26"/>
  <c r="D210" i="55"/>
  <c r="E211" i="55" s="1"/>
  <c r="F210" i="55"/>
  <c r="G210" i="55"/>
  <c r="N210" i="55"/>
  <c r="X210" i="55" s="1"/>
  <c r="X209" i="55"/>
  <c r="S209" i="55"/>
  <c r="I210" i="55"/>
  <c r="W210" i="55"/>
  <c r="F17" i="26" l="1"/>
  <c r="K17" i="26"/>
  <c r="M17" i="26" s="1"/>
  <c r="N17" i="26" s="1"/>
  <c r="X17" i="26"/>
  <c r="BK17" i="26" s="1"/>
  <c r="G17" i="26"/>
  <c r="AF17" i="26"/>
  <c r="AN17" i="26" s="1"/>
  <c r="V17" i="26"/>
  <c r="AP17" i="26"/>
  <c r="R17" i="26"/>
  <c r="Q211" i="55"/>
  <c r="K211" i="55"/>
  <c r="L211" i="55" s="1"/>
  <c r="AU16" i="26"/>
  <c r="AV16" i="55"/>
  <c r="S210" i="55"/>
  <c r="C211" i="55"/>
  <c r="O211" i="55" s="1"/>
  <c r="B211" i="55"/>
  <c r="I211" i="55" s="1"/>
  <c r="H211" i="55"/>
  <c r="A211" i="55"/>
  <c r="B18" i="26"/>
  <c r="P18" i="26" s="1"/>
  <c r="AO17" i="26"/>
  <c r="H18" i="26"/>
  <c r="C18" i="26"/>
  <c r="V18" i="26" s="1"/>
  <c r="A18" i="26"/>
  <c r="L18" i="26"/>
  <c r="Q18" i="26"/>
  <c r="W18" i="26"/>
  <c r="AJ17" i="26" l="1"/>
  <c r="AK17" i="26" s="1"/>
  <c r="AL17" i="26"/>
  <c r="AM17" i="26" s="1"/>
  <c r="S17" i="26"/>
  <c r="T17" i="26" s="1"/>
  <c r="BC17" i="26" s="1"/>
  <c r="BT17" i="26" s="1"/>
  <c r="AT17" i="26"/>
  <c r="P211" i="55"/>
  <c r="I18" i="26"/>
  <c r="F18" i="26"/>
  <c r="R18" i="26" s="1"/>
  <c r="K18" i="26"/>
  <c r="M18" i="26" s="1"/>
  <c r="G18" i="26"/>
  <c r="O18" i="26"/>
  <c r="D18" i="26"/>
  <c r="E19" i="26" s="1"/>
  <c r="M211" i="55"/>
  <c r="U211" i="55"/>
  <c r="W211" i="55"/>
  <c r="D211" i="55"/>
  <c r="E212" i="55" s="1"/>
  <c r="G211" i="55"/>
  <c r="F211" i="55"/>
  <c r="AS18" i="26"/>
  <c r="BJ18" i="26" s="1"/>
  <c r="U18" i="26"/>
  <c r="AO18" i="26"/>
  <c r="AP18" i="26"/>
  <c r="X18" i="26"/>
  <c r="BK18" i="26" s="1"/>
  <c r="BL17" i="26" l="1"/>
  <c r="Q212" i="55"/>
  <c r="K212" i="55"/>
  <c r="L212" i="55" s="1"/>
  <c r="AU17" i="26"/>
  <c r="AV17" i="55"/>
  <c r="S18" i="26"/>
  <c r="T18" i="26" s="1"/>
  <c r="BC18" i="26" s="1"/>
  <c r="N211" i="55"/>
  <c r="X211" i="55" s="1"/>
  <c r="V211" i="55"/>
  <c r="C212" i="55"/>
  <c r="O212" i="55" s="1"/>
  <c r="A212" i="55"/>
  <c r="B212" i="55"/>
  <c r="F212" i="55" s="1"/>
  <c r="H212" i="55"/>
  <c r="AF18" i="26"/>
  <c r="AN18" i="26" s="1"/>
  <c r="B19" i="26"/>
  <c r="P19" i="26" s="1"/>
  <c r="AT18" i="26"/>
  <c r="H19" i="26"/>
  <c r="N18" i="26"/>
  <c r="AJ18" i="26"/>
  <c r="AK18" i="26" s="1"/>
  <c r="C19" i="26"/>
  <c r="V19" i="26" s="1"/>
  <c r="A19" i="26"/>
  <c r="L19" i="26"/>
  <c r="Q19" i="26"/>
  <c r="W19" i="26"/>
  <c r="AL18" i="26" l="1"/>
  <c r="AM18" i="26" s="1"/>
  <c r="P212" i="55"/>
  <c r="BL18" i="26"/>
  <c r="AV18" i="55"/>
  <c r="D19" i="26"/>
  <c r="E20" i="26" s="1"/>
  <c r="F19" i="26"/>
  <c r="M212" i="55"/>
  <c r="S211" i="55"/>
  <c r="U212" i="55"/>
  <c r="D212" i="55"/>
  <c r="E213" i="55" s="1"/>
  <c r="W212" i="55"/>
  <c r="I212" i="55"/>
  <c r="G212" i="55"/>
  <c r="O19" i="26"/>
  <c r="I19" i="26"/>
  <c r="G19" i="26"/>
  <c r="AS19" i="26"/>
  <c r="BJ19" i="26" s="1"/>
  <c r="AP19" i="26"/>
  <c r="K19" i="26"/>
  <c r="M19" i="26" s="1"/>
  <c r="X19" i="26"/>
  <c r="Q213" i="55" l="1"/>
  <c r="K213" i="55"/>
  <c r="L213" i="55" s="1"/>
  <c r="BT18" i="26"/>
  <c r="AU18" i="26"/>
  <c r="N212" i="55"/>
  <c r="X212" i="55" s="1"/>
  <c r="V212" i="55"/>
  <c r="H213" i="55"/>
  <c r="B213" i="55"/>
  <c r="F213" i="55" s="1"/>
  <c r="C213" i="55"/>
  <c r="O213" i="55" s="1"/>
  <c r="A213" i="55"/>
  <c r="B20" i="26"/>
  <c r="P20" i="26" s="1"/>
  <c r="H20" i="26"/>
  <c r="BK19" i="26"/>
  <c r="AO19" i="26"/>
  <c r="AT19" i="26" s="1"/>
  <c r="N19" i="26"/>
  <c r="AJ19" i="26"/>
  <c r="AK19" i="26" s="1"/>
  <c r="R19" i="26"/>
  <c r="U19" i="26"/>
  <c r="P213" i="55" l="1"/>
  <c r="I20" i="26"/>
  <c r="G20" i="26"/>
  <c r="D20" i="26"/>
  <c r="O20" i="26"/>
  <c r="AF19" i="26"/>
  <c r="AN19" i="26" s="1"/>
  <c r="S19" i="26"/>
  <c r="T19" i="26" s="1"/>
  <c r="BC19" i="26" s="1"/>
  <c r="F20" i="26"/>
  <c r="S212" i="55"/>
  <c r="M213" i="55"/>
  <c r="G213" i="55"/>
  <c r="I213" i="55"/>
  <c r="U213" i="55"/>
  <c r="W213" i="55"/>
  <c r="D213" i="55"/>
  <c r="E214" i="55" s="1"/>
  <c r="AL19" i="26" l="1"/>
  <c r="AM19" i="26" s="1"/>
  <c r="Q214" i="55"/>
  <c r="K214" i="55"/>
  <c r="L214" i="55" s="1"/>
  <c r="BL19" i="26"/>
  <c r="N213" i="55"/>
  <c r="X213" i="55" s="1"/>
  <c r="B214" i="55"/>
  <c r="I214" i="55" s="1"/>
  <c r="A214" i="55"/>
  <c r="C214" i="55"/>
  <c r="O214" i="55" s="1"/>
  <c r="H214" i="55"/>
  <c r="V213" i="55"/>
  <c r="A20" i="26"/>
  <c r="C20" i="26"/>
  <c r="L20" i="26"/>
  <c r="Q20" i="26"/>
  <c r="W20" i="26"/>
  <c r="K20" i="26"/>
  <c r="X20" i="26" l="1"/>
  <c r="V20" i="26"/>
  <c r="P214" i="55"/>
  <c r="S213" i="55"/>
  <c r="M214" i="55"/>
  <c r="BT19" i="26"/>
  <c r="AV19" i="55"/>
  <c r="G214" i="55"/>
  <c r="F214" i="55"/>
  <c r="D214" i="55"/>
  <c r="E215" i="55" s="1"/>
  <c r="U214" i="55"/>
  <c r="W214" i="55"/>
  <c r="AS20" i="26"/>
  <c r="BJ20" i="26" s="1"/>
  <c r="M20" i="26"/>
  <c r="AJ20" i="26" s="1"/>
  <c r="AK20" i="26" s="1"/>
  <c r="AP20" i="26"/>
  <c r="E21" i="26"/>
  <c r="R20" i="26"/>
  <c r="U20" i="26"/>
  <c r="Q215" i="55" l="1"/>
  <c r="K215" i="55"/>
  <c r="L215" i="55" s="1"/>
  <c r="AU19" i="26"/>
  <c r="AF20" i="26"/>
  <c r="AN20" i="26" s="1"/>
  <c r="S20" i="26"/>
  <c r="T20" i="26" s="1"/>
  <c r="BC20" i="26" s="1"/>
  <c r="N20" i="26"/>
  <c r="V214" i="55"/>
  <c r="N214" i="55"/>
  <c r="X214" i="55" s="1"/>
  <c r="B215" i="55"/>
  <c r="P215" i="55" s="1"/>
  <c r="C215" i="55"/>
  <c r="O215" i="55" s="1"/>
  <c r="H215" i="55"/>
  <c r="A215" i="55"/>
  <c r="B21" i="26"/>
  <c r="P21" i="26" s="1"/>
  <c r="H21" i="26"/>
  <c r="BK20" i="26"/>
  <c r="AO20" i="26"/>
  <c r="AT20" i="26" s="1"/>
  <c r="AL20" i="26" l="1"/>
  <c r="AM20" i="26" s="1"/>
  <c r="I21" i="26"/>
  <c r="BL20" i="26"/>
  <c r="F21" i="26"/>
  <c r="O21" i="26"/>
  <c r="K21" i="26"/>
  <c r="G21" i="26"/>
  <c r="D21" i="26"/>
  <c r="M215" i="55"/>
  <c r="S214" i="55"/>
  <c r="D215" i="55"/>
  <c r="E216" i="55" s="1"/>
  <c r="I215" i="55"/>
  <c r="F215" i="55"/>
  <c r="G215" i="55"/>
  <c r="U215" i="55"/>
  <c r="W215" i="55"/>
  <c r="A21" i="26"/>
  <c r="C21" i="26"/>
  <c r="V21" i="26" s="1"/>
  <c r="L21" i="26"/>
  <c r="Q21" i="26"/>
  <c r="W21" i="26"/>
  <c r="R21" i="26" l="1"/>
  <c r="Q216" i="55"/>
  <c r="K216" i="55"/>
  <c r="L216" i="55" s="1"/>
  <c r="M21" i="26"/>
  <c r="N21" i="26" s="1"/>
  <c r="S21" i="26"/>
  <c r="T21" i="26" s="1"/>
  <c r="BT20" i="26"/>
  <c r="AV20" i="55"/>
  <c r="N215" i="55"/>
  <c r="X215" i="55" s="1"/>
  <c r="H216" i="55"/>
  <c r="B216" i="55"/>
  <c r="M216" i="55" s="1"/>
  <c r="A216" i="55"/>
  <c r="V215" i="55"/>
  <c r="C216" i="55"/>
  <c r="U216" i="55" s="1"/>
  <c r="AS21" i="26"/>
  <c r="BJ21" i="26" s="1"/>
  <c r="AP21" i="26"/>
  <c r="X21" i="26"/>
  <c r="E22" i="26"/>
  <c r="U21" i="26"/>
  <c r="AL21" i="26" l="1"/>
  <c r="AM21" i="26" s="1"/>
  <c r="BL21" i="26"/>
  <c r="BC21" i="26"/>
  <c r="AV21" i="55" s="1"/>
  <c r="P216" i="55"/>
  <c r="O216" i="55"/>
  <c r="AJ21" i="26"/>
  <c r="AK21" i="26" s="1"/>
  <c r="AU20" i="26"/>
  <c r="AF21" i="26"/>
  <c r="AN21" i="26" s="1"/>
  <c r="V216" i="55"/>
  <c r="G216" i="55"/>
  <c r="N216" i="55"/>
  <c r="X216" i="55" s="1"/>
  <c r="S215" i="55"/>
  <c r="D216" i="55"/>
  <c r="E217" i="55" s="1"/>
  <c r="W216" i="55"/>
  <c r="I216" i="55"/>
  <c r="F216" i="55"/>
  <c r="B22" i="26"/>
  <c r="P22" i="26" s="1"/>
  <c r="H22" i="26"/>
  <c r="BK21" i="26"/>
  <c r="AO21" i="26"/>
  <c r="AT21" i="26" s="1"/>
  <c r="C22" i="26"/>
  <c r="V22" i="26" s="1"/>
  <c r="A22" i="26"/>
  <c r="L22" i="26"/>
  <c r="Q22" i="26"/>
  <c r="W22" i="26"/>
  <c r="AP22" i="26" l="1"/>
  <c r="Q217" i="55"/>
  <c r="K217" i="55"/>
  <c r="L217" i="55" s="1"/>
  <c r="K22" i="26"/>
  <c r="M22" i="26" s="1"/>
  <c r="N22" i="26" s="1"/>
  <c r="F22" i="26"/>
  <c r="R22" i="26" s="1"/>
  <c r="D22" i="26"/>
  <c r="E23" i="26" s="1"/>
  <c r="G22" i="26"/>
  <c r="I22" i="26"/>
  <c r="O22" i="26"/>
  <c r="S216" i="55"/>
  <c r="H217" i="55"/>
  <c r="C217" i="55"/>
  <c r="O217" i="55" s="1"/>
  <c r="A217" i="55"/>
  <c r="B217" i="55"/>
  <c r="I217" i="55" s="1"/>
  <c r="AS22" i="26"/>
  <c r="BJ22" i="26" s="1"/>
  <c r="X22" i="26"/>
  <c r="BT21" i="26"/>
  <c r="U22" i="26"/>
  <c r="P217" i="55" l="1"/>
  <c r="U217" i="55"/>
  <c r="AU21" i="26"/>
  <c r="S22" i="26"/>
  <c r="T22" i="26" s="1"/>
  <c r="BC22" i="26" s="1"/>
  <c r="AF22" i="26"/>
  <c r="AN22" i="26" s="1"/>
  <c r="M217" i="55"/>
  <c r="D217" i="55"/>
  <c r="E218" i="55" s="1"/>
  <c r="W217" i="55"/>
  <c r="F217" i="55"/>
  <c r="G217" i="55"/>
  <c r="B23" i="26"/>
  <c r="P23" i="26" s="1"/>
  <c r="AJ22" i="26"/>
  <c r="AK22" i="26" s="1"/>
  <c r="AO22" i="26"/>
  <c r="AT22" i="26" s="1"/>
  <c r="BK22" i="26"/>
  <c r="H23" i="26"/>
  <c r="AL22" i="26" l="1"/>
  <c r="AM22" i="26" s="1"/>
  <c r="Q218" i="55"/>
  <c r="K218" i="55"/>
  <c r="L218" i="55" s="1"/>
  <c r="V217" i="55"/>
  <c r="BL22" i="26"/>
  <c r="K23" i="26"/>
  <c r="G23" i="26"/>
  <c r="I23" i="26"/>
  <c r="F23" i="26"/>
  <c r="D23" i="26"/>
  <c r="O23" i="26"/>
  <c r="A218" i="55"/>
  <c r="H218" i="55"/>
  <c r="B218" i="55"/>
  <c r="D218" i="55" s="1"/>
  <c r="C218" i="55"/>
  <c r="O218" i="55" s="1"/>
  <c r="N217" i="55"/>
  <c r="X217" i="55" s="1"/>
  <c r="C23" i="26"/>
  <c r="V23" i="26" s="1"/>
  <c r="A23" i="26"/>
  <c r="L23" i="26"/>
  <c r="Q23" i="26"/>
  <c r="W23" i="26"/>
  <c r="P218" i="55" l="1"/>
  <c r="M23" i="26"/>
  <c r="N23" i="26" s="1"/>
  <c r="R23" i="26"/>
  <c r="W218" i="55"/>
  <c r="G218" i="55"/>
  <c r="E219" i="55"/>
  <c r="F218" i="55"/>
  <c r="I218" i="55"/>
  <c r="M218" i="55"/>
  <c r="N218" i="55" s="1"/>
  <c r="X218" i="55" s="1"/>
  <c r="U218" i="55"/>
  <c r="BT22" i="26"/>
  <c r="AV22" i="55"/>
  <c r="S217" i="55"/>
  <c r="U23" i="26"/>
  <c r="AS23" i="26"/>
  <c r="BJ23" i="26" s="1"/>
  <c r="AP23" i="26"/>
  <c r="X23" i="26"/>
  <c r="E24" i="26"/>
  <c r="AL23" i="26" l="1"/>
  <c r="AM23" i="26" s="1"/>
  <c r="B219" i="55"/>
  <c r="I219" i="55" s="1"/>
  <c r="K219" i="55"/>
  <c r="L219" i="55" s="1"/>
  <c r="Q219" i="55"/>
  <c r="AJ23" i="26"/>
  <c r="AK23" i="26" s="1"/>
  <c r="H219" i="55"/>
  <c r="A219" i="55"/>
  <c r="AU22" i="26"/>
  <c r="S23" i="26"/>
  <c r="T23" i="26" s="1"/>
  <c r="BC23" i="26" s="1"/>
  <c r="AF23" i="26"/>
  <c r="AN23" i="26" s="1"/>
  <c r="C219" i="55"/>
  <c r="W219" i="55" s="1"/>
  <c r="V218" i="55"/>
  <c r="M219" i="55"/>
  <c r="S218" i="55"/>
  <c r="G219" i="55"/>
  <c r="D219" i="55"/>
  <c r="B24" i="26"/>
  <c r="P24" i="26" s="1"/>
  <c r="AO23" i="26"/>
  <c r="AT23" i="26" s="1"/>
  <c r="BK23" i="26"/>
  <c r="H24" i="26"/>
  <c r="A24" i="26"/>
  <c r="Q24" i="26"/>
  <c r="F219" i="55" l="1"/>
  <c r="P219" i="55"/>
  <c r="O219" i="55"/>
  <c r="BL23" i="26"/>
  <c r="AV23" i="55"/>
  <c r="U219" i="55"/>
  <c r="V219" i="55" s="1"/>
  <c r="E220" i="55"/>
  <c r="I24" i="26"/>
  <c r="G24" i="26"/>
  <c r="F24" i="26"/>
  <c r="D24" i="26"/>
  <c r="O24" i="26"/>
  <c r="N219" i="55"/>
  <c r="X219" i="55" s="1"/>
  <c r="L24" i="26"/>
  <c r="W24" i="26"/>
  <c r="C24" i="26"/>
  <c r="V24" i="26" s="1"/>
  <c r="K24" i="26"/>
  <c r="C220" i="55" l="1"/>
  <c r="U220" i="55" s="1"/>
  <c r="Q220" i="55"/>
  <c r="K220" i="55"/>
  <c r="L220" i="55" s="1"/>
  <c r="H220" i="55"/>
  <c r="M24" i="26"/>
  <c r="N24" i="26" s="1"/>
  <c r="BT23" i="26"/>
  <c r="A220" i="55"/>
  <c r="B220" i="55"/>
  <c r="D220" i="55" s="1"/>
  <c r="E221" i="55" s="1"/>
  <c r="AU23" i="26"/>
  <c r="S219" i="55"/>
  <c r="X24" i="26"/>
  <c r="AS24" i="26"/>
  <c r="BJ24" i="26" s="1"/>
  <c r="AP24" i="26"/>
  <c r="E25" i="26"/>
  <c r="R24" i="26"/>
  <c r="U24" i="26"/>
  <c r="O220" i="55" l="1"/>
  <c r="P220" i="55"/>
  <c r="V220" i="55" s="1"/>
  <c r="Q221" i="55"/>
  <c r="K221" i="55"/>
  <c r="L221" i="55" s="1"/>
  <c r="AJ24" i="26"/>
  <c r="AK24" i="26" s="1"/>
  <c r="F220" i="55"/>
  <c r="M220" i="55"/>
  <c r="N220" i="55" s="1"/>
  <c r="X220" i="55" s="1"/>
  <c r="W220" i="55"/>
  <c r="G220" i="55"/>
  <c r="I220" i="55"/>
  <c r="AF24" i="26"/>
  <c r="AN24" i="26" s="1"/>
  <c r="S24" i="26"/>
  <c r="T24" i="26" s="1"/>
  <c r="BC24" i="26" s="1"/>
  <c r="B221" i="55"/>
  <c r="M221" i="55" s="1"/>
  <c r="H221" i="55"/>
  <c r="C221" i="55"/>
  <c r="O221" i="55" s="1"/>
  <c r="A221" i="55"/>
  <c r="B25" i="26"/>
  <c r="P25" i="26" s="1"/>
  <c r="H25" i="26"/>
  <c r="BK24" i="26"/>
  <c r="AO24" i="26"/>
  <c r="AT24" i="26" s="1"/>
  <c r="AL24" i="26" l="1"/>
  <c r="AM24" i="26" s="1"/>
  <c r="P221" i="55"/>
  <c r="BL24" i="26"/>
  <c r="F25" i="26"/>
  <c r="K25" i="26"/>
  <c r="G25" i="26"/>
  <c r="D25" i="26"/>
  <c r="I25" i="26"/>
  <c r="O25" i="26"/>
  <c r="S220" i="55"/>
  <c r="F221" i="55"/>
  <c r="W221" i="55"/>
  <c r="I221" i="55"/>
  <c r="U221" i="55" s="1"/>
  <c r="D221" i="55"/>
  <c r="E222" i="55" s="1"/>
  <c r="G221" i="55"/>
  <c r="A25" i="26"/>
  <c r="C25" i="26"/>
  <c r="V25" i="26" s="1"/>
  <c r="L25" i="26"/>
  <c r="Q25" i="26"/>
  <c r="W25" i="26"/>
  <c r="R25" i="26" l="1"/>
  <c r="Q222" i="55"/>
  <c r="K222" i="55"/>
  <c r="L222" i="55" s="1"/>
  <c r="M25" i="26"/>
  <c r="AJ25" i="26" s="1"/>
  <c r="AK25" i="26" s="1"/>
  <c r="S25" i="26"/>
  <c r="T25" i="26" s="1"/>
  <c r="BT24" i="26"/>
  <c r="AV24" i="55"/>
  <c r="N221" i="55"/>
  <c r="S221" i="55" s="1"/>
  <c r="H222" i="55"/>
  <c r="B222" i="55"/>
  <c r="M222" i="55" s="1"/>
  <c r="C222" i="55"/>
  <c r="O222" i="55" s="1"/>
  <c r="A222" i="55"/>
  <c r="V221" i="55"/>
  <c r="U25" i="26"/>
  <c r="AS25" i="26"/>
  <c r="BJ25" i="26" s="1"/>
  <c r="AP25" i="26"/>
  <c r="X25" i="26"/>
  <c r="E26" i="26"/>
  <c r="AL25" i="26" l="1"/>
  <c r="AM25" i="26" s="1"/>
  <c r="BL25" i="26"/>
  <c r="BC25" i="26"/>
  <c r="P222" i="55"/>
  <c r="N25" i="26"/>
  <c r="AU24" i="26"/>
  <c r="AF25" i="26"/>
  <c r="AN25" i="26" s="1"/>
  <c r="X221" i="55"/>
  <c r="I222" i="55"/>
  <c r="U222" i="55"/>
  <c r="G222" i="55"/>
  <c r="D222" i="55"/>
  <c r="E223" i="55" s="1"/>
  <c r="F222" i="55"/>
  <c r="W222" i="55"/>
  <c r="B26" i="26"/>
  <c r="P26" i="26" s="1"/>
  <c r="BK25" i="26"/>
  <c r="AO25" i="26"/>
  <c r="AT25" i="26" s="1"/>
  <c r="H26" i="26"/>
  <c r="L26" i="26"/>
  <c r="Q26" i="26"/>
  <c r="Q223" i="55" l="1"/>
  <c r="K223" i="55"/>
  <c r="L223" i="55" s="1"/>
  <c r="D26" i="26"/>
  <c r="K26" i="26"/>
  <c r="M26" i="26" s="1"/>
  <c r="N26" i="26" s="1"/>
  <c r="G26" i="26"/>
  <c r="O26" i="26"/>
  <c r="I26" i="26"/>
  <c r="F26" i="26"/>
  <c r="R26" i="26" s="1"/>
  <c r="BT25" i="26"/>
  <c r="AV25" i="55"/>
  <c r="N222" i="55"/>
  <c r="S222" i="55" s="1"/>
  <c r="H223" i="55"/>
  <c r="B223" i="55"/>
  <c r="M223" i="55" s="1"/>
  <c r="A223" i="55"/>
  <c r="C223" i="55"/>
  <c r="O223" i="55" s="1"/>
  <c r="V222" i="55"/>
  <c r="W26" i="26"/>
  <c r="A26" i="26"/>
  <c r="C26" i="26"/>
  <c r="V26" i="26" s="1"/>
  <c r="P223" i="55" l="1"/>
  <c r="AU25" i="26"/>
  <c r="S26" i="26"/>
  <c r="T26" i="26" s="1"/>
  <c r="AJ26" i="26"/>
  <c r="AK26" i="26" s="1"/>
  <c r="X222" i="55"/>
  <c r="G223" i="55"/>
  <c r="F223" i="55"/>
  <c r="W223" i="55"/>
  <c r="U223" i="55"/>
  <c r="D223" i="55"/>
  <c r="E224" i="55" s="1"/>
  <c r="I223" i="55"/>
  <c r="AS26" i="26"/>
  <c r="BJ26" i="26" s="1"/>
  <c r="AP26" i="26"/>
  <c r="X26" i="26"/>
  <c r="E27" i="26"/>
  <c r="U26" i="26"/>
  <c r="BC26" i="26" l="1"/>
  <c r="AV26" i="55" s="1"/>
  <c r="Q224" i="55"/>
  <c r="K224" i="55"/>
  <c r="L224" i="55" s="1"/>
  <c r="BL26" i="26"/>
  <c r="AF26" i="26"/>
  <c r="AN26" i="26" s="1"/>
  <c r="N223" i="55"/>
  <c r="X223" i="55" s="1"/>
  <c r="C224" i="55"/>
  <c r="O224" i="55" s="1"/>
  <c r="A224" i="55"/>
  <c r="H224" i="55"/>
  <c r="B224" i="55"/>
  <c r="M224" i="55" s="1"/>
  <c r="V223" i="55"/>
  <c r="B27" i="26"/>
  <c r="P27" i="26" s="1"/>
  <c r="BK26" i="26"/>
  <c r="AO26" i="26"/>
  <c r="AT26" i="26" s="1"/>
  <c r="H27" i="26"/>
  <c r="AL26" i="26" l="1"/>
  <c r="AM26" i="26" s="1"/>
  <c r="P224" i="55"/>
  <c r="K27" i="26"/>
  <c r="G27" i="26"/>
  <c r="I27" i="26"/>
  <c r="O27" i="26"/>
  <c r="D27" i="26"/>
  <c r="F27" i="26"/>
  <c r="N224" i="55"/>
  <c r="X224" i="55" s="1"/>
  <c r="S223" i="55"/>
  <c r="U224" i="55"/>
  <c r="I224" i="55"/>
  <c r="D224" i="55"/>
  <c r="E225" i="55" s="1"/>
  <c r="G224" i="55"/>
  <c r="F224" i="55"/>
  <c r="W224" i="55"/>
  <c r="BT26" i="26"/>
  <c r="L27" i="26"/>
  <c r="C27" i="26"/>
  <c r="V27" i="26" s="1"/>
  <c r="W27" i="26"/>
  <c r="Q27" i="26"/>
  <c r="A27" i="26"/>
  <c r="Q225" i="55" l="1"/>
  <c r="K225" i="55"/>
  <c r="L225" i="55" s="1"/>
  <c r="M27" i="26"/>
  <c r="N27" i="26" s="1"/>
  <c r="R27" i="26"/>
  <c r="S224" i="55"/>
  <c r="B225" i="55"/>
  <c r="G225" i="55" s="1"/>
  <c r="A225" i="55"/>
  <c r="C225" i="55"/>
  <c r="O225" i="55" s="1"/>
  <c r="H225" i="55"/>
  <c r="V224" i="55"/>
  <c r="U27" i="26"/>
  <c r="AS27" i="26"/>
  <c r="BJ27" i="26" s="1"/>
  <c r="AP27" i="26"/>
  <c r="X27" i="26"/>
  <c r="E28" i="26"/>
  <c r="AL27" i="26" l="1"/>
  <c r="AM27" i="26" s="1"/>
  <c r="AJ27" i="26"/>
  <c r="AK27" i="26" s="1"/>
  <c r="P225" i="55"/>
  <c r="S27" i="26"/>
  <c r="T27" i="26" s="1"/>
  <c r="BC27" i="26" s="1"/>
  <c r="AU26" i="26"/>
  <c r="AF27" i="26"/>
  <c r="AN27" i="26" s="1"/>
  <c r="M225" i="55"/>
  <c r="F225" i="55"/>
  <c r="I225" i="55"/>
  <c r="W225" i="55"/>
  <c r="U225" i="55"/>
  <c r="D225" i="55"/>
  <c r="E226" i="55" s="1"/>
  <c r="B28" i="26"/>
  <c r="P28" i="26" s="1"/>
  <c r="BK27" i="26"/>
  <c r="AO27" i="26"/>
  <c r="AT27" i="26" s="1"/>
  <c r="H28" i="26"/>
  <c r="A28" i="26"/>
  <c r="C28" i="26"/>
  <c r="V28" i="26" s="1"/>
  <c r="L28" i="26"/>
  <c r="Q28" i="26"/>
  <c r="W28" i="26"/>
  <c r="Q226" i="55" l="1"/>
  <c r="K226" i="55"/>
  <c r="L226" i="55" s="1"/>
  <c r="BL27" i="26"/>
  <c r="AV27" i="55"/>
  <c r="AP28" i="26"/>
  <c r="I28" i="26"/>
  <c r="F28" i="26"/>
  <c r="R28" i="26" s="1"/>
  <c r="AS28" i="26"/>
  <c r="BJ28" i="26" s="1"/>
  <c r="K28" i="26"/>
  <c r="M28" i="26" s="1"/>
  <c r="AJ28" i="26" s="1"/>
  <c r="AK28" i="26" s="1"/>
  <c r="G28" i="26"/>
  <c r="D28" i="26"/>
  <c r="O28" i="26"/>
  <c r="N225" i="55"/>
  <c r="X225" i="55" s="1"/>
  <c r="C226" i="55"/>
  <c r="U226" i="55" s="1"/>
  <c r="V225" i="55"/>
  <c r="A226" i="55"/>
  <c r="B226" i="55"/>
  <c r="M226" i="55" s="1"/>
  <c r="H226" i="55"/>
  <c r="U28" i="26"/>
  <c r="X28" i="26"/>
  <c r="P226" i="55" l="1"/>
  <c r="O226" i="55"/>
  <c r="BT27" i="26"/>
  <c r="AU27" i="26"/>
  <c r="S28" i="26"/>
  <c r="T28" i="26" s="1"/>
  <c r="AF28" i="26"/>
  <c r="AN28" i="26" s="1"/>
  <c r="E29" i="26"/>
  <c r="N28" i="26"/>
  <c r="S225" i="55"/>
  <c r="W226" i="55"/>
  <c r="I226" i="55"/>
  <c r="F226" i="55"/>
  <c r="G226" i="55"/>
  <c r="D226" i="55"/>
  <c r="E227" i="55" s="1"/>
  <c r="BK28" i="26"/>
  <c r="AO28" i="26"/>
  <c r="AT28" i="26" s="1"/>
  <c r="AL28" i="26"/>
  <c r="BL28" i="26" l="1"/>
  <c r="BC28" i="26"/>
  <c r="L29" i="26"/>
  <c r="Q29" i="26"/>
  <c r="K227" i="55"/>
  <c r="Q227" i="55"/>
  <c r="AM28" i="26"/>
  <c r="W29" i="26"/>
  <c r="H29" i="26"/>
  <c r="B29" i="26"/>
  <c r="F29" i="26" s="1"/>
  <c r="N226" i="55"/>
  <c r="X226" i="55" s="1"/>
  <c r="V226" i="55"/>
  <c r="B227" i="55"/>
  <c r="I227" i="55" s="1"/>
  <c r="C227" i="55"/>
  <c r="O227" i="55" s="1"/>
  <c r="A227" i="55"/>
  <c r="L227" i="55"/>
  <c r="H227" i="55"/>
  <c r="A29" i="26"/>
  <c r="C29" i="26"/>
  <c r="AV28" i="55" l="1"/>
  <c r="V29" i="26"/>
  <c r="P227" i="55"/>
  <c r="K29" i="26"/>
  <c r="M29" i="26" s="1"/>
  <c r="N29" i="26" s="1"/>
  <c r="I29" i="26"/>
  <c r="AS29" i="26" s="1"/>
  <c r="BJ29" i="26" s="1"/>
  <c r="AU28" i="26"/>
  <c r="BT28" i="26"/>
  <c r="G29" i="26"/>
  <c r="O29" i="26"/>
  <c r="D29" i="26"/>
  <c r="E30" i="26" s="1"/>
  <c r="P29" i="26"/>
  <c r="M227" i="55"/>
  <c r="S226" i="55"/>
  <c r="U227" i="55"/>
  <c r="D227" i="55"/>
  <c r="F227" i="55"/>
  <c r="W227" i="55"/>
  <c r="G227" i="55"/>
  <c r="AP29" i="26"/>
  <c r="X29" i="26"/>
  <c r="R29" i="26"/>
  <c r="U29" i="26"/>
  <c r="AJ29" i="26" l="1"/>
  <c r="AK29" i="26" s="1"/>
  <c r="AF29" i="26"/>
  <c r="AN29" i="26" s="1"/>
  <c r="S29" i="26"/>
  <c r="T29" i="26" s="1"/>
  <c r="BC29" i="26" s="1"/>
  <c r="N227" i="55"/>
  <c r="X227" i="55" s="1"/>
  <c r="E228" i="55"/>
  <c r="V227" i="55"/>
  <c r="B30" i="26"/>
  <c r="P30" i="26" s="1"/>
  <c r="H30" i="26"/>
  <c r="BK29" i="26"/>
  <c r="AO29" i="26"/>
  <c r="AT29" i="26" s="1"/>
  <c r="AL29" i="26" l="1"/>
  <c r="AM29" i="26" s="1"/>
  <c r="Q228" i="55"/>
  <c r="K228" i="55"/>
  <c r="L228" i="55" s="1"/>
  <c r="BL29" i="26"/>
  <c r="G30" i="26"/>
  <c r="O30" i="26"/>
  <c r="I30" i="26"/>
  <c r="D30" i="26"/>
  <c r="F30" i="26"/>
  <c r="S227" i="55"/>
  <c r="H228" i="55"/>
  <c r="B228" i="55"/>
  <c r="G228" i="55" s="1"/>
  <c r="C228" i="55"/>
  <c r="O228" i="55" s="1"/>
  <c r="A228" i="55"/>
  <c r="C30" i="26"/>
  <c r="A30" i="26"/>
  <c r="L30" i="26"/>
  <c r="Q30" i="26"/>
  <c r="W30" i="26"/>
  <c r="K30" i="26"/>
  <c r="X30" i="26" l="1"/>
  <c r="V30" i="26"/>
  <c r="P228" i="55"/>
  <c r="M228" i="55"/>
  <c r="BT29" i="26"/>
  <c r="AV29" i="55"/>
  <c r="I228" i="55"/>
  <c r="F228" i="55"/>
  <c r="D228" i="55"/>
  <c r="E229" i="55" s="1"/>
  <c r="W228" i="55"/>
  <c r="U228" i="55"/>
  <c r="AS30" i="26"/>
  <c r="BJ30" i="26" s="1"/>
  <c r="M30" i="26"/>
  <c r="N30" i="26" s="1"/>
  <c r="E31" i="26"/>
  <c r="AP30" i="26"/>
  <c r="R30" i="26"/>
  <c r="U30" i="26"/>
  <c r="Q229" i="55" l="1"/>
  <c r="K229" i="55"/>
  <c r="L229" i="55" s="1"/>
  <c r="AU29" i="26"/>
  <c r="S30" i="26"/>
  <c r="T30" i="26" s="1"/>
  <c r="BC30" i="26" s="1"/>
  <c r="AF30" i="26"/>
  <c r="AN30" i="26" s="1"/>
  <c r="N228" i="55"/>
  <c r="X228" i="55" s="1"/>
  <c r="A229" i="55"/>
  <c r="B229" i="55"/>
  <c r="D229" i="55" s="1"/>
  <c r="V228" i="55"/>
  <c r="H229" i="55"/>
  <c r="C229" i="55"/>
  <c r="O229" i="55" s="1"/>
  <c r="AJ30" i="26"/>
  <c r="AK30" i="26" s="1"/>
  <c r="B31" i="26"/>
  <c r="P31" i="26" s="1"/>
  <c r="BK30" i="26"/>
  <c r="AO30" i="26"/>
  <c r="AT30" i="26" s="1"/>
  <c r="H31" i="26"/>
  <c r="AL30" i="26" l="1"/>
  <c r="AM30" i="26" s="1"/>
  <c r="P229" i="55"/>
  <c r="BL30" i="26"/>
  <c r="O31" i="26"/>
  <c r="I31" i="26"/>
  <c r="F31" i="26"/>
  <c r="M229" i="55"/>
  <c r="G229" i="55"/>
  <c r="S228" i="55"/>
  <c r="F229" i="55"/>
  <c r="I229" i="55"/>
  <c r="W229" i="55"/>
  <c r="E230" i="55"/>
  <c r="U229" i="55"/>
  <c r="G31" i="26"/>
  <c r="D31" i="26"/>
  <c r="C31" i="26"/>
  <c r="X31" i="26" s="1"/>
  <c r="A31" i="26"/>
  <c r="L31" i="26"/>
  <c r="Q31" i="26"/>
  <c r="W31" i="26"/>
  <c r="K31" i="26"/>
  <c r="AS31" i="26" l="1"/>
  <c r="BJ31" i="26" s="1"/>
  <c r="V31" i="26"/>
  <c r="Q230" i="55"/>
  <c r="K230" i="55"/>
  <c r="L230" i="55" s="1"/>
  <c r="BT30" i="26"/>
  <c r="AV30" i="55"/>
  <c r="N229" i="55"/>
  <c r="X229" i="55" s="1"/>
  <c r="V229" i="55"/>
  <c r="A230" i="55"/>
  <c r="H230" i="55"/>
  <c r="B230" i="55"/>
  <c r="G230" i="55" s="1"/>
  <c r="C230" i="55"/>
  <c r="U230" i="55" s="1"/>
  <c r="M31" i="26"/>
  <c r="AJ31" i="26" s="1"/>
  <c r="AK31" i="26" s="1"/>
  <c r="E32" i="26"/>
  <c r="AP31" i="26"/>
  <c r="R31" i="26"/>
  <c r="U31" i="26"/>
  <c r="P230" i="55" l="1"/>
  <c r="V230" i="55" s="1"/>
  <c r="O230" i="55"/>
  <c r="AU30" i="26"/>
  <c r="AF31" i="26"/>
  <c r="AN31" i="26" s="1"/>
  <c r="S31" i="26"/>
  <c r="T31" i="26" s="1"/>
  <c r="BC31" i="26" s="1"/>
  <c r="N31" i="26"/>
  <c r="M230" i="55"/>
  <c r="S229" i="55"/>
  <c r="W230" i="55"/>
  <c r="I230" i="55"/>
  <c r="F230" i="55"/>
  <c r="D230" i="55"/>
  <c r="B32" i="26"/>
  <c r="O32" i="26" s="1"/>
  <c r="BK31" i="26"/>
  <c r="AO31" i="26"/>
  <c r="AT31" i="26" s="1"/>
  <c r="H32" i="26"/>
  <c r="AL31" i="26" l="1"/>
  <c r="AM31" i="26" s="1"/>
  <c r="BL31" i="26"/>
  <c r="K32" i="26"/>
  <c r="G32" i="26"/>
  <c r="D32" i="26"/>
  <c r="P32" i="26"/>
  <c r="I32" i="26"/>
  <c r="F32" i="26"/>
  <c r="N230" i="55"/>
  <c r="X230" i="55" s="1"/>
  <c r="E231" i="55"/>
  <c r="A32" i="26"/>
  <c r="C32" i="26"/>
  <c r="V32" i="26" s="1"/>
  <c r="L32" i="26"/>
  <c r="Q32" i="26"/>
  <c r="W32" i="26"/>
  <c r="Q231" i="55" l="1"/>
  <c r="K231" i="55"/>
  <c r="L231" i="55" s="1"/>
  <c r="M32" i="26"/>
  <c r="AJ32" i="26" s="1"/>
  <c r="AK32" i="26" s="1"/>
  <c r="R32" i="26"/>
  <c r="BT31" i="26"/>
  <c r="AV31" i="55"/>
  <c r="S230" i="55"/>
  <c r="C231" i="55"/>
  <c r="O231" i="55" s="1"/>
  <c r="B231" i="55"/>
  <c r="M231" i="55" s="1"/>
  <c r="A231" i="55"/>
  <c r="H231" i="55"/>
  <c r="U32" i="26"/>
  <c r="AS32" i="26"/>
  <c r="BJ32" i="26" s="1"/>
  <c r="AP32" i="26"/>
  <c r="X32" i="26"/>
  <c r="E33" i="26"/>
  <c r="P231" i="55" l="1"/>
  <c r="N32" i="26"/>
  <c r="AU31" i="26"/>
  <c r="AL32" i="26"/>
  <c r="S32" i="26"/>
  <c r="T32" i="26" s="1"/>
  <c r="BC32" i="26" s="1"/>
  <c r="AF32" i="26"/>
  <c r="AN32" i="26" s="1"/>
  <c r="N231" i="55"/>
  <c r="X231" i="55" s="1"/>
  <c r="U231" i="55"/>
  <c r="F231" i="55"/>
  <c r="D231" i="55"/>
  <c r="E232" i="55" s="1"/>
  <c r="I231" i="55"/>
  <c r="W231" i="55"/>
  <c r="G231" i="55"/>
  <c r="B33" i="26"/>
  <c r="P33" i="26" s="1"/>
  <c r="H33" i="26"/>
  <c r="BK32" i="26"/>
  <c r="AO32" i="26"/>
  <c r="AT32" i="26" s="1"/>
  <c r="A33" i="26"/>
  <c r="C33" i="26"/>
  <c r="AS33" i="26" s="1"/>
  <c r="L33" i="26"/>
  <c r="Q33" i="26"/>
  <c r="W33" i="26"/>
  <c r="AM32" i="26" l="1"/>
  <c r="V33" i="26"/>
  <c r="Q232" i="55"/>
  <c r="K232" i="55"/>
  <c r="L232" i="55" s="1"/>
  <c r="G33" i="26"/>
  <c r="BL32" i="26"/>
  <c r="BT32" i="26"/>
  <c r="I33" i="26"/>
  <c r="K33" i="26"/>
  <c r="M33" i="26" s="1"/>
  <c r="F33" i="26"/>
  <c r="R33" i="26" s="1"/>
  <c r="D33" i="26"/>
  <c r="O33" i="26"/>
  <c r="S231" i="55"/>
  <c r="A232" i="55"/>
  <c r="V231" i="55"/>
  <c r="H232" i="55"/>
  <c r="C232" i="55"/>
  <c r="U232" i="55" s="1"/>
  <c r="B232" i="55"/>
  <c r="I232" i="55" s="1"/>
  <c r="BJ33" i="26"/>
  <c r="AP33" i="26"/>
  <c r="X33" i="26"/>
  <c r="U33" i="26"/>
  <c r="P232" i="55" l="1"/>
  <c r="O232" i="55"/>
  <c r="AV32" i="55"/>
  <c r="AU32" i="26"/>
  <c r="AF33" i="26"/>
  <c r="AN33" i="26" s="1"/>
  <c r="S33" i="26"/>
  <c r="T33" i="26" s="1"/>
  <c r="AL33" i="26"/>
  <c r="E34" i="26"/>
  <c r="M232" i="55"/>
  <c r="G232" i="55"/>
  <c r="D232" i="55"/>
  <c r="F232" i="55"/>
  <c r="W232" i="55"/>
  <c r="BK33" i="26"/>
  <c r="AO33" i="26"/>
  <c r="AT33" i="26" s="1"/>
  <c r="N33" i="26"/>
  <c r="AJ33" i="26"/>
  <c r="AK33" i="26" s="1"/>
  <c r="BL33" i="26" l="1"/>
  <c r="BC33" i="26"/>
  <c r="AV33" i="55" s="1"/>
  <c r="AM33" i="26"/>
  <c r="L34" i="26"/>
  <c r="H34" i="26"/>
  <c r="W34" i="26"/>
  <c r="A34" i="26"/>
  <c r="Q34" i="26"/>
  <c r="C34" i="26"/>
  <c r="AS34" i="26" s="1"/>
  <c r="BJ34" i="26" s="1"/>
  <c r="B34" i="26"/>
  <c r="N232" i="55"/>
  <c r="X232" i="55" s="1"/>
  <c r="V232" i="55"/>
  <c r="E233" i="55"/>
  <c r="V34" i="26" l="1"/>
  <c r="Q233" i="55"/>
  <c r="K233" i="55"/>
  <c r="L233" i="55" s="1"/>
  <c r="AU33" i="26"/>
  <c r="AP34" i="26"/>
  <c r="BT33" i="26"/>
  <c r="P34" i="26"/>
  <c r="K34" i="26"/>
  <c r="M34" i="26" s="1"/>
  <c r="AJ34" i="26" s="1"/>
  <c r="AK34" i="26" s="1"/>
  <c r="O34" i="26"/>
  <c r="G34" i="26"/>
  <c r="U34" i="26"/>
  <c r="D34" i="26"/>
  <c r="X34" i="26"/>
  <c r="I34" i="26"/>
  <c r="F34" i="26"/>
  <c r="R34" i="26" s="1"/>
  <c r="S232" i="55"/>
  <c r="B233" i="55"/>
  <c r="M233" i="55" s="1"/>
  <c r="H233" i="55"/>
  <c r="C233" i="55"/>
  <c r="O233" i="55" s="1"/>
  <c r="A233" i="55"/>
  <c r="P233" i="55" l="1"/>
  <c r="N34" i="26"/>
  <c r="AF34" i="26"/>
  <c r="AN34" i="26" s="1"/>
  <c r="BK34" i="26"/>
  <c r="S34" i="26"/>
  <c r="T34" i="26" s="1"/>
  <c r="BC34" i="26" s="1"/>
  <c r="AO34" i="26"/>
  <c r="AT34" i="26" s="1"/>
  <c r="E35" i="26"/>
  <c r="G233" i="55"/>
  <c r="F233" i="55"/>
  <c r="D233" i="55"/>
  <c r="E234" i="55" s="1"/>
  <c r="W233" i="55"/>
  <c r="I233" i="55"/>
  <c r="U233" i="55" s="1"/>
  <c r="AL34" i="26" l="1"/>
  <c r="AM34" i="26" s="1"/>
  <c r="Q234" i="55"/>
  <c r="K234" i="55"/>
  <c r="L234" i="55" s="1"/>
  <c r="BL34" i="26"/>
  <c r="AV34" i="55"/>
  <c r="B35" i="26"/>
  <c r="G35" i="26" s="1"/>
  <c r="L35" i="26"/>
  <c r="A35" i="26"/>
  <c r="Q35" i="26"/>
  <c r="H35" i="26"/>
  <c r="W35" i="26"/>
  <c r="C35" i="26"/>
  <c r="V35" i="26" s="1"/>
  <c r="N233" i="55"/>
  <c r="X233" i="55" s="1"/>
  <c r="H234" i="55"/>
  <c r="A234" i="55"/>
  <c r="B234" i="55"/>
  <c r="M234" i="55" s="1"/>
  <c r="C234" i="55"/>
  <c r="O234" i="55" s="1"/>
  <c r="V233" i="55"/>
  <c r="P234" i="55" l="1"/>
  <c r="BT34" i="26"/>
  <c r="I35" i="26"/>
  <c r="F35" i="26"/>
  <c r="R35" i="26" s="1"/>
  <c r="D35" i="26"/>
  <c r="K35" i="26"/>
  <c r="M35" i="26" s="1"/>
  <c r="N35" i="26" s="1"/>
  <c r="O35" i="26"/>
  <c r="AS35" i="26"/>
  <c r="BJ35" i="26" s="1"/>
  <c r="U35" i="26"/>
  <c r="AP35" i="26"/>
  <c r="P35" i="26"/>
  <c r="X35" i="26"/>
  <c r="S233" i="55"/>
  <c r="I234" i="55"/>
  <c r="U234" i="55"/>
  <c r="G234" i="55"/>
  <c r="W234" i="55"/>
  <c r="F234" i="55"/>
  <c r="D234" i="55"/>
  <c r="E235" i="55" s="1"/>
  <c r="K235" i="55" l="1"/>
  <c r="Q235" i="55"/>
  <c r="AL35" i="26"/>
  <c r="AU34" i="26"/>
  <c r="AJ35" i="26"/>
  <c r="AK35" i="26" s="1"/>
  <c r="E36" i="26"/>
  <c r="S35" i="26"/>
  <c r="T35" i="26" s="1"/>
  <c r="BC35" i="26" s="1"/>
  <c r="AF35" i="26"/>
  <c r="AN35" i="26" s="1"/>
  <c r="BK35" i="26"/>
  <c r="AO35" i="26"/>
  <c r="AT35" i="26" s="1"/>
  <c r="N234" i="55"/>
  <c r="S234" i="55" s="1"/>
  <c r="V234" i="55"/>
  <c r="A235" i="55"/>
  <c r="L235" i="55"/>
  <c r="C235" i="55"/>
  <c r="O235" i="55" s="1"/>
  <c r="H235" i="55"/>
  <c r="B235" i="55"/>
  <c r="D235" i="55" s="1"/>
  <c r="P235" i="55" l="1"/>
  <c r="AM35" i="26"/>
  <c r="Q36" i="26"/>
  <c r="C36" i="26"/>
  <c r="U36" i="26" s="1"/>
  <c r="H36" i="26"/>
  <c r="L36" i="26"/>
  <c r="B36" i="26"/>
  <c r="F36" i="26" s="1"/>
  <c r="R36" i="26" s="1"/>
  <c r="W36" i="26"/>
  <c r="A36" i="26"/>
  <c r="BL35" i="26"/>
  <c r="M235" i="55"/>
  <c r="X234" i="55"/>
  <c r="U235" i="55"/>
  <c r="F235" i="55"/>
  <c r="G235" i="55"/>
  <c r="W235" i="55"/>
  <c r="I235" i="55"/>
  <c r="E236" i="55"/>
  <c r="V36" i="26" l="1"/>
  <c r="Q236" i="55"/>
  <c r="K236" i="55"/>
  <c r="L236" i="55" s="1"/>
  <c r="AO36" i="26"/>
  <c r="AS36" i="26"/>
  <c r="BJ36" i="26" s="1"/>
  <c r="O36" i="26"/>
  <c r="X36" i="26"/>
  <c r="AP36" i="26"/>
  <c r="D36" i="26"/>
  <c r="P36" i="26"/>
  <c r="G36" i="26"/>
  <c r="I36" i="26"/>
  <c r="K36" i="26"/>
  <c r="M36" i="26" s="1"/>
  <c r="AJ36" i="26" s="1"/>
  <c r="AK36" i="26" s="1"/>
  <c r="AU35" i="26"/>
  <c r="AF36" i="26"/>
  <c r="AN36" i="26" s="1"/>
  <c r="AV35" i="55"/>
  <c r="BT35" i="26"/>
  <c r="N235" i="55"/>
  <c r="X235" i="55" s="1"/>
  <c r="A236" i="55"/>
  <c r="B236" i="55"/>
  <c r="D236" i="55" s="1"/>
  <c r="C236" i="55"/>
  <c r="U236" i="55" s="1"/>
  <c r="V235" i="55"/>
  <c r="H236" i="55"/>
  <c r="P236" i="55" l="1"/>
  <c r="O236" i="55"/>
  <c r="S36" i="26"/>
  <c r="T36" i="26" s="1"/>
  <c r="BC36" i="26" s="1"/>
  <c r="BK36" i="26"/>
  <c r="N36" i="26"/>
  <c r="AT36" i="26"/>
  <c r="AL36" i="26"/>
  <c r="E37" i="26"/>
  <c r="M236" i="55"/>
  <c r="S235" i="55"/>
  <c r="V236" i="55"/>
  <c r="I236" i="55"/>
  <c r="F236" i="55"/>
  <c r="G236" i="55"/>
  <c r="W236" i="55"/>
  <c r="E237" i="55"/>
  <c r="Q237" i="55" l="1"/>
  <c r="K237" i="55"/>
  <c r="L237" i="55" s="1"/>
  <c r="BL36" i="26"/>
  <c r="AM36" i="26"/>
  <c r="AU36" i="26" s="1"/>
  <c r="L37" i="26"/>
  <c r="Q37" i="26"/>
  <c r="A37" i="26"/>
  <c r="W37" i="26"/>
  <c r="B37" i="26"/>
  <c r="H37" i="26"/>
  <c r="C37" i="26"/>
  <c r="V37" i="26" s="1"/>
  <c r="BT36" i="26"/>
  <c r="AV36" i="55"/>
  <c r="N236" i="55"/>
  <c r="X236" i="55" s="1"/>
  <c r="H237" i="55"/>
  <c r="A237" i="55"/>
  <c r="B237" i="55"/>
  <c r="P237" i="55" s="1"/>
  <c r="C237" i="55"/>
  <c r="O237" i="55" s="1"/>
  <c r="X37" i="26" l="1"/>
  <c r="AS37" i="26"/>
  <c r="BJ37" i="26" s="1"/>
  <c r="P37" i="26"/>
  <c r="K37" i="26"/>
  <c r="M37" i="26" s="1"/>
  <c r="I37" i="26"/>
  <c r="O37" i="26"/>
  <c r="G37" i="26"/>
  <c r="AP37" i="26"/>
  <c r="D37" i="26"/>
  <c r="E38" i="26" s="1"/>
  <c r="U37" i="26"/>
  <c r="AF37" i="26" s="1"/>
  <c r="AN37" i="26" s="1"/>
  <c r="F37" i="26"/>
  <c r="R37" i="26" s="1"/>
  <c r="M237" i="55"/>
  <c r="S236" i="55"/>
  <c r="D237" i="55"/>
  <c r="E238" i="55" s="1"/>
  <c r="F237" i="55"/>
  <c r="W237" i="55"/>
  <c r="I237" i="55"/>
  <c r="G237" i="55"/>
  <c r="U237" i="55"/>
  <c r="Q238" i="55" l="1"/>
  <c r="K238" i="55"/>
  <c r="S37" i="26"/>
  <c r="T37" i="26" s="1"/>
  <c r="W38" i="26"/>
  <c r="L38" i="26"/>
  <c r="Q38" i="26"/>
  <c r="H38" i="26"/>
  <c r="AO37" i="26"/>
  <c r="AT37" i="26" s="1"/>
  <c r="BK37" i="26"/>
  <c r="AJ37" i="26"/>
  <c r="AK37" i="26" s="1"/>
  <c r="N37" i="26"/>
  <c r="A38" i="26"/>
  <c r="B38" i="26"/>
  <c r="D38" i="26" s="1"/>
  <c r="C38" i="26"/>
  <c r="V38" i="26" s="1"/>
  <c r="N237" i="55"/>
  <c r="X237" i="55" s="1"/>
  <c r="L238" i="55"/>
  <c r="C238" i="55"/>
  <c r="O238" i="55" s="1"/>
  <c r="B238" i="55"/>
  <c r="P238" i="55" s="1"/>
  <c r="H238" i="55"/>
  <c r="A238" i="55"/>
  <c r="V237" i="55"/>
  <c r="AL37" i="26" l="1"/>
  <c r="AM37" i="26" s="1"/>
  <c r="BC37" i="26"/>
  <c r="AV37" i="55" s="1"/>
  <c r="G38" i="26"/>
  <c r="I38" i="26"/>
  <c r="BL37" i="26"/>
  <c r="AS38" i="26"/>
  <c r="BJ38" i="26" s="1"/>
  <c r="E39" i="26"/>
  <c r="K38" i="26"/>
  <c r="M38" i="26" s="1"/>
  <c r="AJ38" i="26" s="1"/>
  <c r="AK38" i="26" s="1"/>
  <c r="P38" i="26"/>
  <c r="O38" i="26"/>
  <c r="X38" i="26"/>
  <c r="BK38" i="26" s="1"/>
  <c r="F38" i="26"/>
  <c r="R38" i="26" s="1"/>
  <c r="AP38" i="26"/>
  <c r="U38" i="26"/>
  <c r="AF38" i="26" s="1"/>
  <c r="AN38" i="26" s="1"/>
  <c r="G238" i="55"/>
  <c r="I238" i="55"/>
  <c r="AO38" i="26"/>
  <c r="Q39" i="26"/>
  <c r="D238" i="55"/>
  <c r="U238" i="55"/>
  <c r="V238" i="55" s="1"/>
  <c r="M238" i="55"/>
  <c r="S237" i="55"/>
  <c r="E239" i="55"/>
  <c r="W238" i="55"/>
  <c r="F238" i="55"/>
  <c r="AL38" i="26" l="1"/>
  <c r="AM38" i="26" s="1"/>
  <c r="BT37" i="26"/>
  <c r="Q239" i="55"/>
  <c r="K239" i="55"/>
  <c r="L239" i="55" s="1"/>
  <c r="L39" i="26"/>
  <c r="W39" i="26"/>
  <c r="B39" i="26"/>
  <c r="K39" i="26" s="1"/>
  <c r="M39" i="26" s="1"/>
  <c r="N39" i="26" s="1"/>
  <c r="C39" i="26"/>
  <c r="AS39" i="26" s="1"/>
  <c r="BJ39" i="26" s="1"/>
  <c r="A39" i="26"/>
  <c r="H39" i="26"/>
  <c r="N38" i="26"/>
  <c r="AT38" i="26"/>
  <c r="AU37" i="26"/>
  <c r="S38" i="26"/>
  <c r="T38" i="26" s="1"/>
  <c r="BC38" i="26" s="1"/>
  <c r="A239" i="55"/>
  <c r="H239" i="55"/>
  <c r="C239" i="55"/>
  <c r="O239" i="55" s="1"/>
  <c r="B239" i="55"/>
  <c r="M239" i="55" s="1"/>
  <c r="N238" i="55"/>
  <c r="V39" i="26" l="1"/>
  <c r="P239" i="55"/>
  <c r="AO39" i="26"/>
  <c r="U39" i="26"/>
  <c r="AF39" i="26" s="1"/>
  <c r="AN39" i="26" s="1"/>
  <c r="D39" i="26"/>
  <c r="E40" i="26" s="1"/>
  <c r="I39" i="26"/>
  <c r="P39" i="26"/>
  <c r="AP39" i="26"/>
  <c r="G39" i="26"/>
  <c r="O39" i="26"/>
  <c r="F39" i="26"/>
  <c r="R39" i="26" s="1"/>
  <c r="X39" i="26"/>
  <c r="BK39" i="26" s="1"/>
  <c r="AJ39" i="26"/>
  <c r="AK39" i="26" s="1"/>
  <c r="BL38" i="26"/>
  <c r="AU38" i="26"/>
  <c r="B40" i="26"/>
  <c r="P40" i="26" s="1"/>
  <c r="BT38" i="26"/>
  <c r="AV38" i="55"/>
  <c r="U239" i="55"/>
  <c r="N239" i="55"/>
  <c r="D239" i="55"/>
  <c r="E240" i="55" s="1"/>
  <c r="G239" i="55"/>
  <c r="F239" i="55"/>
  <c r="W239" i="55"/>
  <c r="I239" i="55"/>
  <c r="X238" i="55"/>
  <c r="S238" i="55"/>
  <c r="Q240" i="55" l="1"/>
  <c r="K240" i="55"/>
  <c r="H40" i="26"/>
  <c r="L40" i="26"/>
  <c r="A40" i="26"/>
  <c r="Q40" i="26"/>
  <c r="AT39" i="26"/>
  <c r="W40" i="26"/>
  <c r="C40" i="26"/>
  <c r="V40" i="26" s="1"/>
  <c r="S39" i="26"/>
  <c r="T39" i="26" s="1"/>
  <c r="D40" i="26"/>
  <c r="K40" i="26"/>
  <c r="F40" i="26"/>
  <c r="G40" i="26"/>
  <c r="O40" i="26"/>
  <c r="I40" i="26"/>
  <c r="V239" i="55"/>
  <c r="C240" i="55"/>
  <c r="O240" i="55" s="1"/>
  <c r="X239" i="55"/>
  <c r="A240" i="55"/>
  <c r="B240" i="55"/>
  <c r="P240" i="55" s="1"/>
  <c r="L240" i="55"/>
  <c r="S239" i="55"/>
  <c r="H240" i="55"/>
  <c r="AL39" i="26" l="1"/>
  <c r="AM39" i="26" s="1"/>
  <c r="AU39" i="26" s="1"/>
  <c r="BL39" i="26"/>
  <c r="BC39" i="26"/>
  <c r="BT39" i="26" s="1"/>
  <c r="X40" i="26"/>
  <c r="M40" i="26"/>
  <c r="N40" i="26" s="1"/>
  <c r="AP40" i="26"/>
  <c r="U40" i="26"/>
  <c r="AF40" i="26" s="1"/>
  <c r="AN40" i="26" s="1"/>
  <c r="R40" i="26"/>
  <c r="AS40" i="26"/>
  <c r="BJ40" i="26" s="1"/>
  <c r="E41" i="26"/>
  <c r="F240" i="55"/>
  <c r="I240" i="55"/>
  <c r="U240" i="55"/>
  <c r="V240" i="55" s="1"/>
  <c r="D240" i="55"/>
  <c r="E241" i="55" s="1"/>
  <c r="W240" i="55"/>
  <c r="G240" i="55"/>
  <c r="M240" i="55"/>
  <c r="AO40" i="26"/>
  <c r="BK40" i="26"/>
  <c r="AL40" i="26" l="1"/>
  <c r="AM40" i="26" s="1"/>
  <c r="H41" i="26"/>
  <c r="AJ40" i="26"/>
  <c r="AK40" i="26" s="1"/>
  <c r="AT40" i="26"/>
  <c r="S40" i="26"/>
  <c r="T40" i="26" s="1"/>
  <c r="BL40" i="26" s="1"/>
  <c r="C241" i="55"/>
  <c r="O241" i="55" s="1"/>
  <c r="Q241" i="55"/>
  <c r="K241" i="55"/>
  <c r="L241" i="55" s="1"/>
  <c r="W41" i="26"/>
  <c r="C41" i="26"/>
  <c r="U41" i="26" s="1"/>
  <c r="B41" i="26"/>
  <c r="P41" i="26" s="1"/>
  <c r="Q41" i="26"/>
  <c r="A41" i="26"/>
  <c r="L41" i="26"/>
  <c r="AV39" i="55"/>
  <c r="B241" i="55"/>
  <c r="G241" i="55" s="1"/>
  <c r="H241" i="55"/>
  <c r="A241" i="55"/>
  <c r="N240" i="55"/>
  <c r="S240" i="55" s="1"/>
  <c r="BC40" i="26" l="1"/>
  <c r="BT40" i="26" s="1"/>
  <c r="V41" i="26"/>
  <c r="K41" i="26"/>
  <c r="M41" i="26" s="1"/>
  <c r="N41" i="26" s="1"/>
  <c r="U241" i="55"/>
  <c r="P241" i="55"/>
  <c r="W241" i="55"/>
  <c r="D241" i="55"/>
  <c r="E242" i="55" s="1"/>
  <c r="B242" i="55" s="1"/>
  <c r="G242" i="55" s="1"/>
  <c r="AO41" i="26"/>
  <c r="X41" i="26"/>
  <c r="F241" i="55"/>
  <c r="O41" i="26"/>
  <c r="F41" i="26"/>
  <c r="R41" i="26" s="1"/>
  <c r="AP41" i="26"/>
  <c r="I41" i="26"/>
  <c r="AS41" i="26" s="1"/>
  <c r="BJ41" i="26" s="1"/>
  <c r="G41" i="26"/>
  <c r="D41" i="26"/>
  <c r="I241" i="55"/>
  <c r="M241" i="55"/>
  <c r="N241" i="55" s="1"/>
  <c r="X241" i="55" s="1"/>
  <c r="AU40" i="26"/>
  <c r="AF41" i="26"/>
  <c r="AN41" i="26" s="1"/>
  <c r="X240" i="55"/>
  <c r="AV40" i="55" l="1"/>
  <c r="V241" i="55"/>
  <c r="AJ41" i="26"/>
  <c r="AK41" i="26" s="1"/>
  <c r="H242" i="55"/>
  <c r="C242" i="55"/>
  <c r="O242" i="55" s="1"/>
  <c r="A242" i="55"/>
  <c r="Q242" i="55"/>
  <c r="P242" i="55"/>
  <c r="K242" i="55"/>
  <c r="L242" i="55" s="1"/>
  <c r="F242" i="55"/>
  <c r="BK41" i="26"/>
  <c r="AL41" i="26"/>
  <c r="AT41" i="26"/>
  <c r="S41" i="26"/>
  <c r="T41" i="26" s="1"/>
  <c r="BL41" i="26" s="1"/>
  <c r="E42" i="26"/>
  <c r="I242" i="55"/>
  <c r="D242" i="55"/>
  <c r="M242" i="55"/>
  <c r="N242" i="55" s="1"/>
  <c r="S241" i="55"/>
  <c r="U242" i="55"/>
  <c r="BC41" i="26" l="1"/>
  <c r="AM41" i="26"/>
  <c r="AU41" i="26" s="1"/>
  <c r="X242" i="55"/>
  <c r="W242" i="55"/>
  <c r="E243" i="55"/>
  <c r="Q243" i="55" s="1"/>
  <c r="L42" i="26"/>
  <c r="AV41" i="55"/>
  <c r="B42" i="26"/>
  <c r="W42" i="26"/>
  <c r="H42" i="26"/>
  <c r="A42" i="26"/>
  <c r="Q42" i="26"/>
  <c r="C42" i="26"/>
  <c r="V42" i="26" s="1"/>
  <c r="S242" i="55"/>
  <c r="BT41" i="26"/>
  <c r="V242" i="55"/>
  <c r="A243" i="55" l="1"/>
  <c r="H243" i="55"/>
  <c r="B243" i="55"/>
  <c r="D243" i="55" s="1"/>
  <c r="K243" i="55"/>
  <c r="L243" i="55" s="1"/>
  <c r="C243" i="55"/>
  <c r="O243" i="55" s="1"/>
  <c r="AS42" i="26"/>
  <c r="BJ42" i="26" s="1"/>
  <c r="U42" i="26"/>
  <c r="AF42" i="26" s="1"/>
  <c r="AN42" i="26" s="1"/>
  <c r="P42" i="26"/>
  <c r="K42" i="26"/>
  <c r="M42" i="26" s="1"/>
  <c r="F42" i="26"/>
  <c r="R42" i="26" s="1"/>
  <c r="AP42" i="26"/>
  <c r="G42" i="26"/>
  <c r="X42" i="26"/>
  <c r="O42" i="26"/>
  <c r="I42" i="26"/>
  <c r="D42" i="26"/>
  <c r="G243" i="55" l="1"/>
  <c r="U243" i="55"/>
  <c r="E244" i="55"/>
  <c r="K244" i="55" s="1"/>
  <c r="F243" i="55"/>
  <c r="I243" i="55"/>
  <c r="W243" i="55"/>
  <c r="M243" i="55"/>
  <c r="N243" i="55" s="1"/>
  <c r="X243" i="55" s="1"/>
  <c r="P243" i="55"/>
  <c r="N42" i="26"/>
  <c r="AJ42" i="26"/>
  <c r="AK42" i="26" s="1"/>
  <c r="S42" i="26"/>
  <c r="T42" i="26" s="1"/>
  <c r="BC42" i="26" s="1"/>
  <c r="BK42" i="26"/>
  <c r="AO42" i="26"/>
  <c r="AT42" i="26" s="1"/>
  <c r="E43" i="26"/>
  <c r="AL42" i="26" l="1"/>
  <c r="AM42" i="26" s="1"/>
  <c r="AU42" i="26" s="1"/>
  <c r="V243" i="55"/>
  <c r="Q244" i="55"/>
  <c r="H244" i="55"/>
  <c r="A244" i="55"/>
  <c r="C244" i="55"/>
  <c r="U244" i="55" s="1"/>
  <c r="B244" i="55"/>
  <c r="G244" i="55" s="1"/>
  <c r="S243" i="55"/>
  <c r="L244" i="55"/>
  <c r="P244" i="55"/>
  <c r="BL42" i="26"/>
  <c r="Q43" i="26"/>
  <c r="C43" i="26"/>
  <c r="V43" i="26" s="1"/>
  <c r="B43" i="26"/>
  <c r="W43" i="26"/>
  <c r="L43" i="26"/>
  <c r="A43" i="26"/>
  <c r="H43" i="26"/>
  <c r="M244" i="55"/>
  <c r="F244" i="55" l="1"/>
  <c r="W244" i="55"/>
  <c r="I244" i="55"/>
  <c r="D244" i="55"/>
  <c r="E245" i="55" s="1"/>
  <c r="O244" i="55"/>
  <c r="AV42" i="55"/>
  <c r="BT42" i="26"/>
  <c r="P43" i="26"/>
  <c r="X43" i="26"/>
  <c r="O43" i="26"/>
  <c r="G43" i="26"/>
  <c r="I43" i="26"/>
  <c r="K43" i="26"/>
  <c r="M43" i="26" s="1"/>
  <c r="F43" i="26"/>
  <c r="R43" i="26" s="1"/>
  <c r="AP43" i="26"/>
  <c r="D43" i="26"/>
  <c r="E44" i="26" s="1"/>
  <c r="U43" i="26"/>
  <c r="AF43" i="26" s="1"/>
  <c r="AN43" i="26" s="1"/>
  <c r="AS43" i="26"/>
  <c r="BJ43" i="26" s="1"/>
  <c r="N244" i="55"/>
  <c r="X244" i="55" s="1"/>
  <c r="V244" i="55"/>
  <c r="Q245" i="55" l="1"/>
  <c r="K245" i="55"/>
  <c r="L245" i="55" s="1"/>
  <c r="BK43" i="26"/>
  <c r="H44" i="26"/>
  <c r="W44" i="26"/>
  <c r="Q44" i="26"/>
  <c r="A44" i="26"/>
  <c r="B44" i="26"/>
  <c r="P44" i="26" s="1"/>
  <c r="C44" i="26"/>
  <c r="V44" i="26" s="1"/>
  <c r="S43" i="26"/>
  <c r="T43" i="26" s="1"/>
  <c r="BC43" i="26" s="1"/>
  <c r="N43" i="26"/>
  <c r="AJ43" i="26"/>
  <c r="AK43" i="26" s="1"/>
  <c r="L44" i="26"/>
  <c r="AO43" i="26"/>
  <c r="AT43" i="26" s="1"/>
  <c r="S244" i="55"/>
  <c r="C245" i="55"/>
  <c r="O245" i="55" s="1"/>
  <c r="B245" i="55"/>
  <c r="M245" i="55" s="1"/>
  <c r="A245" i="55"/>
  <c r="H245" i="55"/>
  <c r="AL43" i="26" l="1"/>
  <c r="AM43" i="26" s="1"/>
  <c r="AU43" i="26" s="1"/>
  <c r="K44" i="26"/>
  <c r="M44" i="26" s="1"/>
  <c r="N44" i="26" s="1"/>
  <c r="P245" i="55"/>
  <c r="AP44" i="26"/>
  <c r="I44" i="26"/>
  <c r="O44" i="26"/>
  <c r="AS44" i="26"/>
  <c r="BJ44" i="26" s="1"/>
  <c r="D44" i="26"/>
  <c r="G44" i="26"/>
  <c r="U44" i="26"/>
  <c r="AF44" i="26" s="1"/>
  <c r="AN44" i="26" s="1"/>
  <c r="X44" i="26"/>
  <c r="BK44" i="26" s="1"/>
  <c r="F44" i="26"/>
  <c r="R44" i="26" s="1"/>
  <c r="AO44" i="26"/>
  <c r="BL43" i="26"/>
  <c r="G245" i="55"/>
  <c r="D245" i="55"/>
  <c r="E246" i="55" s="1"/>
  <c r="W245" i="55"/>
  <c r="F245" i="55"/>
  <c r="AT44" i="26" l="1"/>
  <c r="Q246" i="55"/>
  <c r="K246" i="55"/>
  <c r="L246" i="55" s="1"/>
  <c r="E45" i="26"/>
  <c r="AL44" i="26"/>
  <c r="S44" i="26"/>
  <c r="T44" i="26" s="1"/>
  <c r="BC44" i="26" s="1"/>
  <c r="AJ44" i="26"/>
  <c r="AK44" i="26" s="1"/>
  <c r="AV43" i="55"/>
  <c r="BT43" i="26"/>
  <c r="N245" i="55"/>
  <c r="S245" i="55" s="1"/>
  <c r="H246" i="55"/>
  <c r="B246" i="55"/>
  <c r="M246" i="55" s="1"/>
  <c r="A246" i="55"/>
  <c r="C246" i="55"/>
  <c r="O246" i="55" s="1"/>
  <c r="B45" i="26" l="1"/>
  <c r="I45" i="26" s="1"/>
  <c r="L45" i="26"/>
  <c r="Q45" i="26"/>
  <c r="W45" i="26"/>
  <c r="A45" i="26"/>
  <c r="C45" i="26"/>
  <c r="V45" i="26" s="1"/>
  <c r="P246" i="55"/>
  <c r="H45" i="26"/>
  <c r="BL44" i="26"/>
  <c r="AM44" i="26"/>
  <c r="AU44" i="26" s="1"/>
  <c r="D45" i="26"/>
  <c r="AV44" i="55"/>
  <c r="BT44" i="26"/>
  <c r="N246" i="55"/>
  <c r="X246" i="55" s="1"/>
  <c r="X245" i="55"/>
  <c r="U246" i="55"/>
  <c r="D246" i="55"/>
  <c r="E247" i="55" s="1"/>
  <c r="W246" i="55"/>
  <c r="F246" i="55"/>
  <c r="G246" i="55"/>
  <c r="G45" i="26" l="1"/>
  <c r="O45" i="26"/>
  <c r="K45" i="26"/>
  <c r="M45" i="26" s="1"/>
  <c r="AJ45" i="26" s="1"/>
  <c r="AK45" i="26" s="1"/>
  <c r="P45" i="26"/>
  <c r="F45" i="26"/>
  <c r="X45" i="26"/>
  <c r="BK45" i="26" s="1"/>
  <c r="AP45" i="26"/>
  <c r="R45" i="26"/>
  <c r="AS45" i="26"/>
  <c r="BJ45" i="26" s="1"/>
  <c r="AO45" i="26"/>
  <c r="Q247" i="55"/>
  <c r="K247" i="55"/>
  <c r="L247" i="55" s="1"/>
  <c r="E46" i="26"/>
  <c r="U45" i="26"/>
  <c r="AF45" i="26" s="1"/>
  <c r="AN45" i="26" s="1"/>
  <c r="V246" i="55"/>
  <c r="S246" i="55"/>
  <c r="H247" i="55"/>
  <c r="C247" i="55"/>
  <c r="O247" i="55" s="1"/>
  <c r="B247" i="55"/>
  <c r="M247" i="55" s="1"/>
  <c r="A247" i="55"/>
  <c r="AL45" i="26" l="1"/>
  <c r="AM45" i="26" s="1"/>
  <c r="AU45" i="26" s="1"/>
  <c r="N45" i="26"/>
  <c r="A46" i="26"/>
  <c r="S45" i="26"/>
  <c r="T45" i="26" s="1"/>
  <c r="H46" i="26"/>
  <c r="Q46" i="26"/>
  <c r="B46" i="26"/>
  <c r="P46" i="26" s="1"/>
  <c r="W46" i="26"/>
  <c r="AT45" i="26"/>
  <c r="P247" i="55"/>
  <c r="L46" i="26"/>
  <c r="C46" i="26"/>
  <c r="V46" i="26" s="1"/>
  <c r="BL45" i="26"/>
  <c r="F247" i="55"/>
  <c r="W247" i="55"/>
  <c r="D247" i="55"/>
  <c r="E248" i="55" s="1"/>
  <c r="G247" i="55"/>
  <c r="U247" i="55"/>
  <c r="BC45" i="26" l="1"/>
  <c r="BT45" i="26" s="1"/>
  <c r="G46" i="26"/>
  <c r="D46" i="26"/>
  <c r="K46" i="26"/>
  <c r="M46" i="26" s="1"/>
  <c r="N46" i="26" s="1"/>
  <c r="I46" i="26"/>
  <c r="O46" i="26"/>
  <c r="F46" i="26"/>
  <c r="R46" i="26" s="1"/>
  <c r="AO46" i="26"/>
  <c r="Q248" i="55"/>
  <c r="K248" i="55"/>
  <c r="L248" i="55" s="1"/>
  <c r="AP46" i="26"/>
  <c r="X46" i="26"/>
  <c r="BK46" i="26" s="1"/>
  <c r="U46" i="26"/>
  <c r="AF46" i="26" s="1"/>
  <c r="AN46" i="26" s="1"/>
  <c r="AS46" i="26"/>
  <c r="BJ46" i="26" s="1"/>
  <c r="AV45" i="55"/>
  <c r="N247" i="55"/>
  <c r="X247" i="55" s="1"/>
  <c r="V247" i="55"/>
  <c r="B248" i="55"/>
  <c r="D248" i="55" s="1"/>
  <c r="H248" i="55"/>
  <c r="C248" i="55"/>
  <c r="O248" i="55" s="1"/>
  <c r="A248" i="55"/>
  <c r="AL46" i="26" l="1"/>
  <c r="S46" i="26"/>
  <c r="T46" i="26" s="1"/>
  <c r="BC46" i="26" s="1"/>
  <c r="E47" i="26"/>
  <c r="AT46" i="26"/>
  <c r="AJ46" i="26"/>
  <c r="AK46" i="26" s="1"/>
  <c r="P248" i="55"/>
  <c r="M248" i="55"/>
  <c r="S247" i="55"/>
  <c r="E249" i="55"/>
  <c r="F248" i="55"/>
  <c r="U248" i="55"/>
  <c r="G248" i="55"/>
  <c r="W248" i="55"/>
  <c r="BT46" i="26" l="1"/>
  <c r="BL46" i="26"/>
  <c r="AM46" i="26"/>
  <c r="AU46" i="26" s="1"/>
  <c r="W47" i="26"/>
  <c r="A47" i="26"/>
  <c r="B47" i="26"/>
  <c r="D47" i="26" s="1"/>
  <c r="Q47" i="26"/>
  <c r="AV46" i="55"/>
  <c r="H47" i="26"/>
  <c r="L47" i="26"/>
  <c r="C47" i="26"/>
  <c r="Q249" i="55"/>
  <c r="K249" i="55"/>
  <c r="L249" i="55" s="1"/>
  <c r="A249" i="55"/>
  <c r="B249" i="55"/>
  <c r="G249" i="55" s="1"/>
  <c r="C249" i="55"/>
  <c r="O249" i="55" s="1"/>
  <c r="N248" i="55"/>
  <c r="S248" i="55" s="1"/>
  <c r="H249" i="55"/>
  <c r="V248" i="55"/>
  <c r="X47" i="26" l="1"/>
  <c r="V47" i="26"/>
  <c r="K47" i="26"/>
  <c r="M47" i="26" s="1"/>
  <c r="G47" i="26"/>
  <c r="O47" i="26"/>
  <c r="P47" i="26"/>
  <c r="F47" i="26"/>
  <c r="R47" i="26" s="1"/>
  <c r="I47" i="26"/>
  <c r="AS47" i="26"/>
  <c r="BJ47" i="26" s="1"/>
  <c r="U47" i="26"/>
  <c r="AF47" i="26" s="1"/>
  <c r="AN47" i="26" s="1"/>
  <c r="AP47" i="26"/>
  <c r="E48" i="26"/>
  <c r="P249" i="55"/>
  <c r="M249" i="55"/>
  <c r="N249" i="55" s="1"/>
  <c r="X249" i="55" s="1"/>
  <c r="F249" i="55"/>
  <c r="X248" i="55"/>
  <c r="D249" i="55"/>
  <c r="E250" i="55" s="1"/>
  <c r="U249" i="55"/>
  <c r="W249" i="55"/>
  <c r="AL47" i="26" l="1"/>
  <c r="S47" i="26"/>
  <c r="T47" i="26" s="1"/>
  <c r="AJ47" i="26"/>
  <c r="AK47" i="26" s="1"/>
  <c r="N47" i="26"/>
  <c r="AO47" i="26"/>
  <c r="AT47" i="26" s="1"/>
  <c r="BK47" i="26"/>
  <c r="C48" i="26"/>
  <c r="V48" i="26" s="1"/>
  <c r="H48" i="26"/>
  <c r="Q48" i="26"/>
  <c r="A48" i="26"/>
  <c r="L48" i="26"/>
  <c r="W48" i="26"/>
  <c r="B48" i="26"/>
  <c r="Q250" i="55"/>
  <c r="K250" i="55"/>
  <c r="L250" i="55" s="1"/>
  <c r="V249" i="55"/>
  <c r="H250" i="55"/>
  <c r="A250" i="55"/>
  <c r="C250" i="55"/>
  <c r="U250" i="55" s="1"/>
  <c r="B250" i="55"/>
  <c r="D250" i="55" s="1"/>
  <c r="S249" i="55"/>
  <c r="AM47" i="26" l="1"/>
  <c r="AU47" i="26" s="1"/>
  <c r="AS48" i="26"/>
  <c r="BJ48" i="26" s="1"/>
  <c r="U48" i="26"/>
  <c r="BL47" i="26"/>
  <c r="BC47" i="26"/>
  <c r="D48" i="26"/>
  <c r="E49" i="26" s="1"/>
  <c r="AO48" i="26"/>
  <c r="I48" i="26"/>
  <c r="AF48" i="26"/>
  <c r="AN48" i="26" s="1"/>
  <c r="F48" i="26"/>
  <c r="R48" i="26" s="1"/>
  <c r="G48" i="26"/>
  <c r="O48" i="26"/>
  <c r="X48" i="26"/>
  <c r="BK48" i="26" s="1"/>
  <c r="P48" i="26"/>
  <c r="K48" i="26"/>
  <c r="M48" i="26" s="1"/>
  <c r="AP48" i="26"/>
  <c r="O250" i="55"/>
  <c r="P250" i="55"/>
  <c r="V250" i="55" s="1"/>
  <c r="E251" i="55"/>
  <c r="M250" i="55"/>
  <c r="W250" i="55"/>
  <c r="F250" i="55"/>
  <c r="G250" i="55"/>
  <c r="BT47" i="26" l="1"/>
  <c r="AV47" i="55"/>
  <c r="AL48" i="26"/>
  <c r="W49" i="26"/>
  <c r="L49" i="26"/>
  <c r="Q49" i="26"/>
  <c r="B49" i="26"/>
  <c r="P49" i="26" s="1"/>
  <c r="S48" i="26"/>
  <c r="T48" i="26" s="1"/>
  <c r="BL48" i="26" s="1"/>
  <c r="AT48" i="26"/>
  <c r="D49" i="26"/>
  <c r="A49" i="26"/>
  <c r="C49" i="26"/>
  <c r="V49" i="26" s="1"/>
  <c r="H49" i="26"/>
  <c r="K49" i="26"/>
  <c r="M49" i="26" s="1"/>
  <c r="N48" i="26"/>
  <c r="AJ48" i="26"/>
  <c r="AK48" i="26" s="1"/>
  <c r="K251" i="55"/>
  <c r="L251" i="55" s="1"/>
  <c r="Q251" i="55"/>
  <c r="A251" i="55"/>
  <c r="B251" i="55"/>
  <c r="M251" i="55" s="1"/>
  <c r="N251" i="55" s="1"/>
  <c r="H251" i="55"/>
  <c r="C251" i="55"/>
  <c r="U251" i="55" s="1"/>
  <c r="N250" i="55"/>
  <c r="BC48" i="26" l="1"/>
  <c r="G49" i="26"/>
  <c r="AM48" i="26"/>
  <c r="AU48" i="26" s="1"/>
  <c r="X49" i="26"/>
  <c r="AJ49" i="26"/>
  <c r="AK49" i="26" s="1"/>
  <c r="I49" i="26"/>
  <c r="F49" i="26"/>
  <c r="R49" i="26" s="1"/>
  <c r="N49" i="26"/>
  <c r="O49" i="26"/>
  <c r="AO49" i="26"/>
  <c r="U49" i="26"/>
  <c r="AF49" i="26" s="1"/>
  <c r="AN49" i="26" s="1"/>
  <c r="AS49" i="26"/>
  <c r="BJ49" i="26" s="1"/>
  <c r="E50" i="26"/>
  <c r="AP49" i="26"/>
  <c r="AV48" i="55"/>
  <c r="BT48" i="26"/>
  <c r="P251" i="55"/>
  <c r="V251" i="55" s="1"/>
  <c r="O251" i="55"/>
  <c r="F251" i="55"/>
  <c r="G251" i="55"/>
  <c r="D251" i="55"/>
  <c r="E252" i="55" s="1"/>
  <c r="W251" i="55"/>
  <c r="X250" i="55"/>
  <c r="S250" i="55"/>
  <c r="X251" i="55"/>
  <c r="AL49" i="26" l="1"/>
  <c r="AM49" i="26" s="1"/>
  <c r="AT49" i="26"/>
  <c r="S49" i="26"/>
  <c r="T49" i="26" s="1"/>
  <c r="BL49" i="26" s="1"/>
  <c r="H50" i="26"/>
  <c r="C50" i="26"/>
  <c r="V50" i="26" s="1"/>
  <c r="W50" i="26"/>
  <c r="B50" i="26"/>
  <c r="A50" i="26"/>
  <c r="Q50" i="26"/>
  <c r="L50" i="26"/>
  <c r="BK49" i="26"/>
  <c r="Q252" i="55"/>
  <c r="K252" i="55"/>
  <c r="L252" i="55" s="1"/>
  <c r="H252" i="55"/>
  <c r="C252" i="55"/>
  <c r="O252" i="55" s="1"/>
  <c r="A252" i="55"/>
  <c r="B252" i="55"/>
  <c r="M252" i="55" s="1"/>
  <c r="S251" i="55"/>
  <c r="BC49" i="26" l="1"/>
  <c r="BT49" i="26" s="1"/>
  <c r="U50" i="26"/>
  <c r="AF50" i="26" s="1"/>
  <c r="AN50" i="26" s="1"/>
  <c r="AS50" i="26"/>
  <c r="BJ50" i="26" s="1"/>
  <c r="P50" i="26"/>
  <c r="D50" i="26"/>
  <c r="F50" i="26"/>
  <c r="R50" i="26" s="1"/>
  <c r="O50" i="26"/>
  <c r="S50" i="26" s="1"/>
  <c r="T50" i="26" s="1"/>
  <c r="BL50" i="26" s="1"/>
  <c r="X50" i="26"/>
  <c r="K50" i="26"/>
  <c r="M50" i="26" s="1"/>
  <c r="G50" i="26"/>
  <c r="AP50" i="26"/>
  <c r="I50" i="26"/>
  <c r="AV49" i="55"/>
  <c r="U252" i="55"/>
  <c r="P252" i="55"/>
  <c r="G252" i="55"/>
  <c r="F252" i="55"/>
  <c r="D252" i="55"/>
  <c r="E253" i="55" s="1"/>
  <c r="W252" i="55"/>
  <c r="AU49" i="26"/>
  <c r="N252" i="55"/>
  <c r="BC50" i="26" l="1"/>
  <c r="BT50" i="26" s="1"/>
  <c r="AO50" i="26"/>
  <c r="AT50" i="26" s="1"/>
  <c r="BK50" i="26"/>
  <c r="N50" i="26"/>
  <c r="AJ50" i="26"/>
  <c r="AK50" i="26" s="1"/>
  <c r="E51" i="26"/>
  <c r="V252" i="55"/>
  <c r="H253" i="55"/>
  <c r="Q253" i="55"/>
  <c r="K253" i="55"/>
  <c r="L253" i="55" s="1"/>
  <c r="B253" i="55"/>
  <c r="D253" i="55" s="1"/>
  <c r="C253" i="55"/>
  <c r="A253" i="55"/>
  <c r="F253" i="55"/>
  <c r="X252" i="55"/>
  <c r="S252" i="55"/>
  <c r="AV50" i="55" l="1"/>
  <c r="AL50" i="26"/>
  <c r="AM50" i="26" s="1"/>
  <c r="AU50" i="26" s="1"/>
  <c r="H51" i="26"/>
  <c r="W51" i="26"/>
  <c r="C51" i="26"/>
  <c r="V51" i="26" s="1"/>
  <c r="A51" i="26"/>
  <c r="L51" i="26"/>
  <c r="B51" i="26"/>
  <c r="G51" i="26" s="1"/>
  <c r="Q51" i="26"/>
  <c r="G253" i="55"/>
  <c r="M253" i="55"/>
  <c r="W253" i="55"/>
  <c r="P253" i="55"/>
  <c r="O253" i="55"/>
  <c r="U253" i="55"/>
  <c r="E254" i="55"/>
  <c r="X51" i="26" l="1"/>
  <c r="K51" i="26"/>
  <c r="M51" i="26" s="1"/>
  <c r="O51" i="26"/>
  <c r="D51" i="26"/>
  <c r="E52" i="26" s="1"/>
  <c r="P51" i="26"/>
  <c r="AP51" i="26"/>
  <c r="U51" i="26"/>
  <c r="AF51" i="26" s="1"/>
  <c r="AN51" i="26" s="1"/>
  <c r="AS51" i="26"/>
  <c r="BJ51" i="26" s="1"/>
  <c r="I51" i="26"/>
  <c r="F51" i="26"/>
  <c r="R51" i="26" s="1"/>
  <c r="N253" i="55"/>
  <c r="S253" i="55" s="1"/>
  <c r="V253" i="55"/>
  <c r="C254" i="55"/>
  <c r="O254" i="55" s="1"/>
  <c r="Q254" i="55"/>
  <c r="K254" i="55"/>
  <c r="L254" i="55" s="1"/>
  <c r="H254" i="55"/>
  <c r="B254" i="55"/>
  <c r="A254" i="55"/>
  <c r="X253" i="55"/>
  <c r="Q52" i="26" l="1"/>
  <c r="C52" i="26"/>
  <c r="AS52" i="26" s="1"/>
  <c r="BJ52" i="26" s="1"/>
  <c r="B52" i="26"/>
  <c r="P52" i="26" s="1"/>
  <c r="A52" i="26"/>
  <c r="L52" i="26"/>
  <c r="H52" i="26"/>
  <c r="W52" i="26"/>
  <c r="S51" i="26"/>
  <c r="T51" i="26" s="1"/>
  <c r="N51" i="26"/>
  <c r="AJ51" i="26"/>
  <c r="AK51" i="26" s="1"/>
  <c r="AO51" i="26"/>
  <c r="AT51" i="26" s="1"/>
  <c r="BK51" i="26"/>
  <c r="U254" i="55"/>
  <c r="W254" i="55"/>
  <c r="P254" i="55"/>
  <c r="F254" i="55"/>
  <c r="D254" i="55"/>
  <c r="E255" i="55" s="1"/>
  <c r="G254" i="55"/>
  <c r="M254" i="55"/>
  <c r="N254" i="55" s="1"/>
  <c r="D52" i="26"/>
  <c r="AL51" i="26" l="1"/>
  <c r="AM51" i="26" s="1"/>
  <c r="AU51" i="26" s="1"/>
  <c r="I52" i="26"/>
  <c r="G52" i="26"/>
  <c r="K52" i="26"/>
  <c r="M52" i="26" s="1"/>
  <c r="AJ52" i="26" s="1"/>
  <c r="AK52" i="26" s="1"/>
  <c r="BL51" i="26"/>
  <c r="BC51" i="26"/>
  <c r="AV51" i="55" s="1"/>
  <c r="U52" i="26"/>
  <c r="AF52" i="26" s="1"/>
  <c r="AN52" i="26" s="1"/>
  <c r="O52" i="26"/>
  <c r="F52" i="26"/>
  <c r="R52" i="26" s="1"/>
  <c r="AP52" i="26"/>
  <c r="V52" i="26"/>
  <c r="AO52" i="26" s="1"/>
  <c r="X52" i="26"/>
  <c r="V254" i="55"/>
  <c r="A255" i="55"/>
  <c r="H255" i="55"/>
  <c r="Q255" i="55"/>
  <c r="K255" i="55"/>
  <c r="L255" i="55" s="1"/>
  <c r="B255" i="55"/>
  <c r="P255" i="55" s="1"/>
  <c r="C255" i="55"/>
  <c r="U255" i="55" s="1"/>
  <c r="X254" i="55"/>
  <c r="S254" i="55"/>
  <c r="E53" i="26"/>
  <c r="BT51" i="26" l="1"/>
  <c r="AL52" i="26"/>
  <c r="AM52" i="26" s="1"/>
  <c r="AT52" i="26"/>
  <c r="S52" i="26"/>
  <c r="T52" i="26" s="1"/>
  <c r="BC52" i="26" s="1"/>
  <c r="BK52" i="26"/>
  <c r="N52" i="26"/>
  <c r="F255" i="55"/>
  <c r="G255" i="55"/>
  <c r="D255" i="55"/>
  <c r="E256" i="55" s="1"/>
  <c r="K256" i="55" s="1"/>
  <c r="O255" i="55"/>
  <c r="M255" i="55"/>
  <c r="N255" i="55" s="1"/>
  <c r="W255" i="55"/>
  <c r="V255" i="55"/>
  <c r="C53" i="26"/>
  <c r="U53" i="26" s="1"/>
  <c r="W53" i="26"/>
  <c r="H53" i="26"/>
  <c r="B53" i="26"/>
  <c r="A53" i="26"/>
  <c r="L53" i="26"/>
  <c r="Q53" i="26"/>
  <c r="BL52" i="26" l="1"/>
  <c r="V53" i="26"/>
  <c r="Q256" i="55"/>
  <c r="H256" i="55"/>
  <c r="A256" i="55"/>
  <c r="C256" i="55"/>
  <c r="B256" i="55"/>
  <c r="P256" i="55" s="1"/>
  <c r="L256" i="55"/>
  <c r="I53" i="26"/>
  <c r="AS53" i="26" s="1"/>
  <c r="BJ53" i="26" s="1"/>
  <c r="AU52" i="26"/>
  <c r="X255" i="55"/>
  <c r="S255" i="55"/>
  <c r="O53" i="26"/>
  <c r="AF53" i="26"/>
  <c r="AN53" i="26" s="1"/>
  <c r="AV52" i="55"/>
  <c r="BT52" i="26"/>
  <c r="P53" i="26"/>
  <c r="AP53" i="26"/>
  <c r="K53" i="26"/>
  <c r="M53" i="26" s="1"/>
  <c r="X53" i="26"/>
  <c r="F53" i="26"/>
  <c r="R53" i="26" s="1"/>
  <c r="D53" i="26"/>
  <c r="G53" i="26"/>
  <c r="W256" i="55" l="1"/>
  <c r="G256" i="55"/>
  <c r="O256" i="55"/>
  <c r="F256" i="55"/>
  <c r="U256" i="55"/>
  <c r="V256" i="55" s="1"/>
  <c r="D256" i="55"/>
  <c r="E257" i="55" s="1"/>
  <c r="K257" i="55" s="1"/>
  <c r="L257" i="55" s="1"/>
  <c r="M256" i="55"/>
  <c r="BK53" i="26"/>
  <c r="B257" i="55"/>
  <c r="P257" i="55" s="1"/>
  <c r="E54" i="26"/>
  <c r="AO53" i="26"/>
  <c r="AT53" i="26" s="1"/>
  <c r="S53" i="26"/>
  <c r="T53" i="26" s="1"/>
  <c r="BC53" i="26" s="1"/>
  <c r="N53" i="26"/>
  <c r="AJ53" i="26"/>
  <c r="AK53" i="26" s="1"/>
  <c r="AL53" i="26" l="1"/>
  <c r="AM53" i="26" s="1"/>
  <c r="C257" i="55"/>
  <c r="O257" i="55" s="1"/>
  <c r="N256" i="55"/>
  <c r="X256" i="55" s="1"/>
  <c r="A257" i="55"/>
  <c r="Q257" i="55"/>
  <c r="H257" i="55"/>
  <c r="G257" i="55"/>
  <c r="M257" i="55"/>
  <c r="F257" i="55"/>
  <c r="D257" i="55"/>
  <c r="A54" i="26"/>
  <c r="L54" i="26"/>
  <c r="B54" i="26"/>
  <c r="F54" i="26" s="1"/>
  <c r="H54" i="26"/>
  <c r="C54" i="26"/>
  <c r="V54" i="26" s="1"/>
  <c r="W54" i="26"/>
  <c r="Q54" i="26"/>
  <c r="BL53" i="26"/>
  <c r="E258" i="55" l="1"/>
  <c r="H258" i="55" s="1"/>
  <c r="W257" i="55"/>
  <c r="S256" i="55"/>
  <c r="K258" i="55"/>
  <c r="L258" i="55"/>
  <c r="N257" i="55"/>
  <c r="AU53" i="26"/>
  <c r="P54" i="26"/>
  <c r="U54" i="26"/>
  <c r="AF54" i="26" s="1"/>
  <c r="AN54" i="26" s="1"/>
  <c r="AO54" i="26"/>
  <c r="R54" i="26"/>
  <c r="I54" i="26"/>
  <c r="K54" i="26"/>
  <c r="M54" i="26" s="1"/>
  <c r="AS54" i="26"/>
  <c r="BJ54" i="26" s="1"/>
  <c r="AP54" i="26"/>
  <c r="BT53" i="26"/>
  <c r="AV53" i="55"/>
  <c r="O54" i="26"/>
  <c r="X54" i="26"/>
  <c r="D54" i="26"/>
  <c r="G54" i="26"/>
  <c r="B258" i="55" l="1"/>
  <c r="P258" i="55" s="1"/>
  <c r="Q258" i="55"/>
  <c r="C258" i="55"/>
  <c r="O258" i="55" s="1"/>
  <c r="A258" i="55"/>
  <c r="M258" i="55"/>
  <c r="N258" i="55" s="1"/>
  <c r="X258" i="55" s="1"/>
  <c r="D258" i="55"/>
  <c r="E259" i="55" s="1"/>
  <c r="X257" i="55"/>
  <c r="S257" i="55"/>
  <c r="U258" i="55"/>
  <c r="AL54" i="26"/>
  <c r="AJ54" i="26"/>
  <c r="AK54" i="26" s="1"/>
  <c r="N54" i="26"/>
  <c r="E55" i="26"/>
  <c r="S54" i="26"/>
  <c r="T54" i="26" s="1"/>
  <c r="BC54" i="26" s="1"/>
  <c r="AT54" i="26"/>
  <c r="BK54" i="26"/>
  <c r="AM54" i="26" l="1"/>
  <c r="V258" i="55"/>
  <c r="F258" i="55"/>
  <c r="G258" i="55"/>
  <c r="W258" i="55"/>
  <c r="K259" i="55"/>
  <c r="L259" i="55" s="1"/>
  <c r="Q259" i="55"/>
  <c r="S258" i="55"/>
  <c r="C259" i="55"/>
  <c r="O259" i="55" s="1"/>
  <c r="B259" i="55"/>
  <c r="F259" i="55" s="1"/>
  <c r="A259" i="55"/>
  <c r="H259" i="55"/>
  <c r="BL54" i="26"/>
  <c r="B55" i="26"/>
  <c r="P55" i="26" s="1"/>
  <c r="Q55" i="26"/>
  <c r="W55" i="26"/>
  <c r="L55" i="26"/>
  <c r="H55" i="26"/>
  <c r="C55" i="26"/>
  <c r="U55" i="26" s="1"/>
  <c r="A55" i="26"/>
  <c r="V55" i="26" l="1"/>
  <c r="P259" i="55"/>
  <c r="U259" i="55"/>
  <c r="AU54" i="26"/>
  <c r="D259" i="55"/>
  <c r="E260" i="55" s="1"/>
  <c r="W259" i="55"/>
  <c r="M259" i="55"/>
  <c r="G259" i="55"/>
  <c r="K55" i="26"/>
  <c r="M55" i="26" s="1"/>
  <c r="N55" i="26" s="1"/>
  <c r="AO55" i="26"/>
  <c r="X55" i="26"/>
  <c r="AF55" i="26"/>
  <c r="AN55" i="26" s="1"/>
  <c r="AS55" i="26"/>
  <c r="BJ55" i="26" s="1"/>
  <c r="AP55" i="26"/>
  <c r="D55" i="26"/>
  <c r="E56" i="26" s="1"/>
  <c r="G55" i="26"/>
  <c r="AV54" i="55"/>
  <c r="BT54" i="26"/>
  <c r="O55" i="26"/>
  <c r="F55" i="26"/>
  <c r="R55" i="26" s="1"/>
  <c r="I55" i="26"/>
  <c r="Q260" i="55" l="1"/>
  <c r="K260" i="55"/>
  <c r="L260" i="55" s="1"/>
  <c r="V259" i="55"/>
  <c r="H260" i="55"/>
  <c r="A260" i="55"/>
  <c r="B260" i="55"/>
  <c r="F260" i="55" s="1"/>
  <c r="C260" i="55"/>
  <c r="O260" i="55" s="1"/>
  <c r="AT55" i="26"/>
  <c r="N259" i="55"/>
  <c r="AJ55" i="26"/>
  <c r="AK55" i="26" s="1"/>
  <c r="BK55" i="26"/>
  <c r="A56" i="26"/>
  <c r="L56" i="26"/>
  <c r="Q56" i="26"/>
  <c r="C56" i="26"/>
  <c r="U56" i="26" s="1"/>
  <c r="H56" i="26"/>
  <c r="B56" i="26"/>
  <c r="O56" i="26" s="1"/>
  <c r="W56" i="26"/>
  <c r="S55" i="26"/>
  <c r="T55" i="26" s="1"/>
  <c r="BC55" i="26" s="1"/>
  <c r="AL55" i="26" l="1"/>
  <c r="AM55" i="26" s="1"/>
  <c r="V56" i="26"/>
  <c r="AO56" i="26" s="1"/>
  <c r="P260" i="55"/>
  <c r="U260" i="55"/>
  <c r="G260" i="55"/>
  <c r="D260" i="55"/>
  <c r="E261" i="55" s="1"/>
  <c r="W260" i="55"/>
  <c r="M260" i="55"/>
  <c r="N260" i="55" s="1"/>
  <c r="X260" i="55" s="1"/>
  <c r="F56" i="26"/>
  <c r="R56" i="26" s="1"/>
  <c r="AS56" i="26"/>
  <c r="BJ56" i="26" s="1"/>
  <c r="S259" i="55"/>
  <c r="X259" i="55"/>
  <c r="K56" i="26"/>
  <c r="M56" i="26" s="1"/>
  <c r="G56" i="26"/>
  <c r="X56" i="26"/>
  <c r="AP56" i="26"/>
  <c r="D56" i="26"/>
  <c r="P56" i="26"/>
  <c r="AF56" i="26"/>
  <c r="AN56" i="26" s="1"/>
  <c r="I56" i="26"/>
  <c r="BL55" i="26"/>
  <c r="B261" i="55" l="1"/>
  <c r="G261" i="55" s="1"/>
  <c r="Q261" i="55"/>
  <c r="K261" i="55"/>
  <c r="L261" i="55" s="1"/>
  <c r="V260" i="55"/>
  <c r="C261" i="55"/>
  <c r="U261" i="55" s="1"/>
  <c r="H261" i="55"/>
  <c r="A261" i="55"/>
  <c r="E57" i="26"/>
  <c r="S260" i="55"/>
  <c r="AL56" i="26"/>
  <c r="S56" i="26"/>
  <c r="T56" i="26" s="1"/>
  <c r="BC56" i="26" s="1"/>
  <c r="AU55" i="26"/>
  <c r="AT56" i="26"/>
  <c r="BK56" i="26"/>
  <c r="AV55" i="55"/>
  <c r="BT55" i="26"/>
  <c r="N56" i="26"/>
  <c r="AJ56" i="26"/>
  <c r="AK56" i="26" s="1"/>
  <c r="M261" i="55"/>
  <c r="Q57" i="26" l="1"/>
  <c r="F261" i="55"/>
  <c r="D261" i="55"/>
  <c r="P261" i="55"/>
  <c r="O261" i="55"/>
  <c r="AM56" i="26"/>
  <c r="AU56" i="26" s="1"/>
  <c r="W261" i="55"/>
  <c r="E262" i="55"/>
  <c r="A262" i="55" s="1"/>
  <c r="B57" i="26"/>
  <c r="P57" i="26" s="1"/>
  <c r="W57" i="26"/>
  <c r="A57" i="26"/>
  <c r="L57" i="26"/>
  <c r="C57" i="26"/>
  <c r="V57" i="26" s="1"/>
  <c r="H57" i="26"/>
  <c r="BL56" i="26"/>
  <c r="I57" i="26"/>
  <c r="BT56" i="26"/>
  <c r="AV56" i="55"/>
  <c r="N261" i="55"/>
  <c r="X261" i="55" s="1"/>
  <c r="V261" i="55"/>
  <c r="C262" i="55" l="1"/>
  <c r="U262" i="55" s="1"/>
  <c r="Q262" i="55"/>
  <c r="K262" i="55"/>
  <c r="L262" i="55" s="1"/>
  <c r="B262" i="55"/>
  <c r="M262" i="55" s="1"/>
  <c r="H262" i="55"/>
  <c r="D57" i="26"/>
  <c r="E58" i="26" s="1"/>
  <c r="O57" i="26"/>
  <c r="G57" i="26"/>
  <c r="F57" i="26"/>
  <c r="R57" i="26" s="1"/>
  <c r="K57" i="26"/>
  <c r="M57" i="26" s="1"/>
  <c r="AJ57" i="26" s="1"/>
  <c r="AK57" i="26" s="1"/>
  <c r="U57" i="26"/>
  <c r="AF57" i="26" s="1"/>
  <c r="AN57" i="26" s="1"/>
  <c r="AP57" i="26"/>
  <c r="AS57" i="26"/>
  <c r="BJ57" i="26" s="1"/>
  <c r="X57" i="26"/>
  <c r="BK57" i="26" s="1"/>
  <c r="AO57" i="26"/>
  <c r="S261" i="55"/>
  <c r="G262" i="55" l="1"/>
  <c r="F262" i="55"/>
  <c r="D262" i="55"/>
  <c r="E263" i="55" s="1"/>
  <c r="Q263" i="55" s="1"/>
  <c r="W262" i="55"/>
  <c r="O262" i="55"/>
  <c r="P262" i="55"/>
  <c r="V262" i="55" s="1"/>
  <c r="AL57" i="26"/>
  <c r="L58" i="26"/>
  <c r="Q58" i="26"/>
  <c r="W58" i="26"/>
  <c r="A58" i="26"/>
  <c r="B58" i="26"/>
  <c r="D58" i="26" s="1"/>
  <c r="H58" i="26"/>
  <c r="C58" i="26"/>
  <c r="AS58" i="26" s="1"/>
  <c r="BJ58" i="26" s="1"/>
  <c r="S57" i="26"/>
  <c r="T57" i="26" s="1"/>
  <c r="AT57" i="26"/>
  <c r="N57" i="26"/>
  <c r="N262" i="55"/>
  <c r="BL57" i="26" l="1"/>
  <c r="BC57" i="26"/>
  <c r="V58" i="26"/>
  <c r="H263" i="55"/>
  <c r="C263" i="55"/>
  <c r="O263" i="55" s="1"/>
  <c r="K263" i="55"/>
  <c r="L263" i="55" s="1"/>
  <c r="A263" i="55"/>
  <c r="B263" i="55"/>
  <c r="P263" i="55" s="1"/>
  <c r="AM57" i="26"/>
  <c r="AU57" i="26" s="1"/>
  <c r="AV57" i="55"/>
  <c r="K58" i="26"/>
  <c r="M58" i="26" s="1"/>
  <c r="N58" i="26" s="1"/>
  <c r="AP58" i="26"/>
  <c r="F58" i="26"/>
  <c r="R58" i="26" s="1"/>
  <c r="E59" i="26"/>
  <c r="O58" i="26"/>
  <c r="I58" i="26"/>
  <c r="U58" i="26"/>
  <c r="AF58" i="26" s="1"/>
  <c r="AN58" i="26" s="1"/>
  <c r="G58" i="26"/>
  <c r="P58" i="26"/>
  <c r="X58" i="26"/>
  <c r="AO58" i="26"/>
  <c r="M263" i="55"/>
  <c r="U263" i="55"/>
  <c r="X262" i="55"/>
  <c r="S262" i="55"/>
  <c r="AL58" i="26" l="1"/>
  <c r="AM58" i="26" s="1"/>
  <c r="D263" i="55"/>
  <c r="E264" i="55" s="1"/>
  <c r="Q264" i="55" s="1"/>
  <c r="G263" i="55"/>
  <c r="V263" i="55"/>
  <c r="F263" i="55"/>
  <c r="W263" i="55"/>
  <c r="Q59" i="26"/>
  <c r="A59" i="26"/>
  <c r="BT57" i="26"/>
  <c r="AT58" i="26"/>
  <c r="B59" i="26"/>
  <c r="F59" i="26" s="1"/>
  <c r="S58" i="26"/>
  <c r="T58" i="26" s="1"/>
  <c r="BL58" i="26" s="1"/>
  <c r="W59" i="26"/>
  <c r="H59" i="26"/>
  <c r="AJ58" i="26"/>
  <c r="AK58" i="26" s="1"/>
  <c r="L59" i="26"/>
  <c r="C59" i="26"/>
  <c r="V59" i="26" s="1"/>
  <c r="BK58" i="26"/>
  <c r="A264" i="55"/>
  <c r="C264" i="55"/>
  <c r="U264" i="55" s="1"/>
  <c r="H264" i="55"/>
  <c r="N263" i="55"/>
  <c r="BC58" i="26" l="1"/>
  <c r="K59" i="26"/>
  <c r="M59" i="26" s="1"/>
  <c r="N59" i="26" s="1"/>
  <c r="B264" i="55"/>
  <c r="F264" i="55" s="1"/>
  <c r="K264" i="55"/>
  <c r="L264" i="55" s="1"/>
  <c r="R59" i="26"/>
  <c r="P264" i="55"/>
  <c r="V264" i="55" s="1"/>
  <c r="O264" i="55"/>
  <c r="I59" i="26"/>
  <c r="AP59" i="26"/>
  <c r="G59" i="26"/>
  <c r="X59" i="26"/>
  <c r="P59" i="26"/>
  <c r="D59" i="26"/>
  <c r="E60" i="26" s="1"/>
  <c r="O59" i="26"/>
  <c r="BT58" i="26"/>
  <c r="AS59" i="26"/>
  <c r="BJ59" i="26" s="1"/>
  <c r="U59" i="26"/>
  <c r="AF59" i="26" s="1"/>
  <c r="AN59" i="26" s="1"/>
  <c r="D264" i="55"/>
  <c r="E265" i="55" s="1"/>
  <c r="AU58" i="26"/>
  <c r="W264" i="55"/>
  <c r="G264" i="55"/>
  <c r="M264" i="55"/>
  <c r="N264" i="55" s="1"/>
  <c r="X264" i="55" s="1"/>
  <c r="X263" i="55"/>
  <c r="S263" i="55"/>
  <c r="S59" i="26" l="1"/>
  <c r="T59" i="26" s="1"/>
  <c r="H60" i="26"/>
  <c r="Q60" i="26"/>
  <c r="L60" i="26"/>
  <c r="B60" i="26"/>
  <c r="P60" i="26" s="1"/>
  <c r="A60" i="26"/>
  <c r="Q265" i="55"/>
  <c r="K265" i="55"/>
  <c r="L265" i="55" s="1"/>
  <c r="W60" i="26"/>
  <c r="AL59" i="26"/>
  <c r="C60" i="26"/>
  <c r="AS60" i="26" s="1"/>
  <c r="BJ60" i="26" s="1"/>
  <c r="BK59" i="26"/>
  <c r="AV58" i="55"/>
  <c r="AO59" i="26"/>
  <c r="AT59" i="26" s="1"/>
  <c r="AJ59" i="26"/>
  <c r="AK59" i="26" s="1"/>
  <c r="K60" i="26"/>
  <c r="S264" i="55"/>
  <c r="B265" i="55"/>
  <c r="G265" i="55" s="1"/>
  <c r="A265" i="55"/>
  <c r="H265" i="55"/>
  <c r="C265" i="55"/>
  <c r="U265" i="55" s="1"/>
  <c r="BL59" i="26" l="1"/>
  <c r="BC59" i="26"/>
  <c r="AV59" i="55" s="1"/>
  <c r="V60" i="26"/>
  <c r="AM59" i="26"/>
  <c r="AU59" i="26" s="1"/>
  <c r="M60" i="26"/>
  <c r="AJ60" i="26" s="1"/>
  <c r="AK60" i="26" s="1"/>
  <c r="I60" i="26"/>
  <c r="O60" i="26"/>
  <c r="P265" i="55"/>
  <c r="F60" i="26"/>
  <c r="R60" i="26" s="1"/>
  <c r="G60" i="26"/>
  <c r="D60" i="26"/>
  <c r="E61" i="26" s="1"/>
  <c r="O265" i="55"/>
  <c r="X60" i="26"/>
  <c r="AO60" i="26"/>
  <c r="AP60" i="26"/>
  <c r="U60" i="26"/>
  <c r="AF60" i="26" s="1"/>
  <c r="AN60" i="26" s="1"/>
  <c r="M265" i="55"/>
  <c r="D265" i="55"/>
  <c r="E266" i="55" s="1"/>
  <c r="W265" i="55"/>
  <c r="F265" i="55"/>
  <c r="BT59" i="26" l="1"/>
  <c r="N60" i="26"/>
  <c r="S60" i="26"/>
  <c r="T60" i="26" s="1"/>
  <c r="BC60" i="26" s="1"/>
  <c r="AT60" i="26"/>
  <c r="AL60" i="26"/>
  <c r="B61" i="26"/>
  <c r="P61" i="26" s="1"/>
  <c r="A61" i="26"/>
  <c r="Q61" i="26"/>
  <c r="C61" i="26"/>
  <c r="X61" i="26" s="1"/>
  <c r="W61" i="26"/>
  <c r="L61" i="26"/>
  <c r="H61" i="26"/>
  <c r="BK60" i="26"/>
  <c r="Q266" i="55"/>
  <c r="K266" i="55"/>
  <c r="L266" i="55" s="1"/>
  <c r="I61" i="26"/>
  <c r="A266" i="55"/>
  <c r="H266" i="55"/>
  <c r="C266" i="55"/>
  <c r="O266" i="55" s="1"/>
  <c r="B266" i="55"/>
  <c r="F266" i="55" s="1"/>
  <c r="N265" i="55"/>
  <c r="X265" i="55" s="1"/>
  <c r="V265" i="55"/>
  <c r="BT60" i="26" l="1"/>
  <c r="AM60" i="26"/>
  <c r="AU60" i="26" s="1"/>
  <c r="V61" i="26"/>
  <c r="AO61" i="26" s="1"/>
  <c r="BL60" i="26"/>
  <c r="K61" i="26"/>
  <c r="M61" i="26" s="1"/>
  <c r="N61" i="26" s="1"/>
  <c r="F61" i="26"/>
  <c r="R61" i="26" s="1"/>
  <c r="AS61" i="26"/>
  <c r="BJ61" i="26" s="1"/>
  <c r="D61" i="26"/>
  <c r="E62" i="26" s="1"/>
  <c r="U61" i="26"/>
  <c r="AF61" i="26" s="1"/>
  <c r="AN61" i="26" s="1"/>
  <c r="G61" i="26"/>
  <c r="O61" i="26"/>
  <c r="AP61" i="26"/>
  <c r="P266" i="55"/>
  <c r="AV60" i="55"/>
  <c r="G266" i="55"/>
  <c r="M266" i="55"/>
  <c r="N266" i="55" s="1"/>
  <c r="X266" i="55" s="1"/>
  <c r="D266" i="55"/>
  <c r="E267" i="55" s="1"/>
  <c r="S265" i="55"/>
  <c r="U266" i="55"/>
  <c r="W266" i="55"/>
  <c r="S61" i="26" l="1"/>
  <c r="T61" i="26" s="1"/>
  <c r="AL61" i="26"/>
  <c r="BK61" i="26"/>
  <c r="AT61" i="26"/>
  <c r="AJ61" i="26"/>
  <c r="AK61" i="26" s="1"/>
  <c r="H62" i="26"/>
  <c r="B62" i="26"/>
  <c r="P62" i="26" s="1"/>
  <c r="K267" i="55"/>
  <c r="L267" i="55" s="1"/>
  <c r="Q267" i="55"/>
  <c r="A267" i="55"/>
  <c r="V266" i="55"/>
  <c r="H267" i="55"/>
  <c r="S266" i="55"/>
  <c r="B267" i="55"/>
  <c r="G267" i="55" s="1"/>
  <c r="C267" i="55"/>
  <c r="O267" i="55" s="1"/>
  <c r="C62" i="26"/>
  <c r="V62" i="26" s="1"/>
  <c r="A62" i="26"/>
  <c r="L62" i="26"/>
  <c r="Q62" i="26"/>
  <c r="W62" i="26"/>
  <c r="BL61" i="26" l="1"/>
  <c r="BC61" i="26"/>
  <c r="AM61" i="26"/>
  <c r="G62" i="26"/>
  <c r="F62" i="26"/>
  <c r="R62" i="26" s="1"/>
  <c r="O62" i="26"/>
  <c r="D62" i="26"/>
  <c r="E63" i="26" s="1"/>
  <c r="I62" i="26"/>
  <c r="K62" i="26"/>
  <c r="M62" i="26" s="1"/>
  <c r="N62" i="26" s="1"/>
  <c r="P267" i="55"/>
  <c r="D267" i="55"/>
  <c r="E268" i="55" s="1"/>
  <c r="M267" i="55"/>
  <c r="N267" i="55" s="1"/>
  <c r="X267" i="55" s="1"/>
  <c r="F267" i="55"/>
  <c r="W267" i="55"/>
  <c r="U267" i="55"/>
  <c r="BT61" i="26"/>
  <c r="U62" i="26"/>
  <c r="AS62" i="26"/>
  <c r="BJ62" i="26" s="1"/>
  <c r="AP62" i="26"/>
  <c r="X62" i="26"/>
  <c r="AV61" i="55" l="1"/>
  <c r="Q268" i="55"/>
  <c r="K268" i="55"/>
  <c r="L268" i="55" s="1"/>
  <c r="AJ62" i="26"/>
  <c r="AK62" i="26" s="1"/>
  <c r="S62" i="26"/>
  <c r="T62" i="26" s="1"/>
  <c r="BL62" i="26" s="1"/>
  <c r="V267" i="55"/>
  <c r="AU61" i="26"/>
  <c r="AF62" i="26"/>
  <c r="AN62" i="26" s="1"/>
  <c r="S267" i="55"/>
  <c r="A268" i="55"/>
  <c r="C268" i="55"/>
  <c r="U268" i="55" s="1"/>
  <c r="H268" i="55"/>
  <c r="B268" i="55"/>
  <c r="G268" i="55" s="1"/>
  <c r="B63" i="26"/>
  <c r="P63" i="26" s="1"/>
  <c r="BK62" i="26"/>
  <c r="AO62" i="26"/>
  <c r="AT62" i="26" s="1"/>
  <c r="H63" i="26"/>
  <c r="C63" i="26"/>
  <c r="AS63" i="26" s="1"/>
  <c r="A63" i="26"/>
  <c r="L63" i="26"/>
  <c r="Q63" i="26"/>
  <c r="W63" i="26"/>
  <c r="BC62" i="26" l="1"/>
  <c r="BT62" i="26" s="1"/>
  <c r="AL62" i="26"/>
  <c r="AM62" i="26" s="1"/>
  <c r="V63" i="26"/>
  <c r="O268" i="55"/>
  <c r="P268" i="55"/>
  <c r="V268" i="55" s="1"/>
  <c r="F268" i="55"/>
  <c r="K63" i="26"/>
  <c r="M63" i="26" s="1"/>
  <c r="G63" i="26"/>
  <c r="D63" i="26"/>
  <c r="E64" i="26" s="1"/>
  <c r="O63" i="26"/>
  <c r="I63" i="26"/>
  <c r="W268" i="55"/>
  <c r="D268" i="55"/>
  <c r="E269" i="55" s="1"/>
  <c r="M268" i="55"/>
  <c r="N268" i="55" s="1"/>
  <c r="X268" i="55" s="1"/>
  <c r="F63" i="26"/>
  <c r="R63" i="26" s="1"/>
  <c r="AP63" i="26"/>
  <c r="BJ63" i="26"/>
  <c r="X63" i="26"/>
  <c r="U63" i="26"/>
  <c r="Q269" i="55" l="1"/>
  <c r="K269" i="55"/>
  <c r="L269" i="55" s="1"/>
  <c r="AV62" i="55"/>
  <c r="A269" i="55"/>
  <c r="H269" i="55"/>
  <c r="C269" i="55"/>
  <c r="O269" i="55" s="1"/>
  <c r="AU62" i="26"/>
  <c r="AF63" i="26"/>
  <c r="AN63" i="26" s="1"/>
  <c r="S63" i="26"/>
  <c r="T63" i="26" s="1"/>
  <c r="BC63" i="26" s="1"/>
  <c r="S268" i="55"/>
  <c r="B269" i="55"/>
  <c r="P269" i="55" s="1"/>
  <c r="B64" i="26"/>
  <c r="D64" i="26" s="1"/>
  <c r="H64" i="26"/>
  <c r="BK63" i="26"/>
  <c r="AO63" i="26"/>
  <c r="AT63" i="26" s="1"/>
  <c r="N63" i="26"/>
  <c r="AJ63" i="26"/>
  <c r="AK63" i="26" s="1"/>
  <c r="AL63" i="26" l="1"/>
  <c r="AM63" i="26" s="1"/>
  <c r="BL63" i="26"/>
  <c r="F64" i="26"/>
  <c r="D269" i="55"/>
  <c r="E270" i="55" s="1"/>
  <c r="F269" i="55"/>
  <c r="W269" i="55"/>
  <c r="P64" i="26"/>
  <c r="G269" i="55"/>
  <c r="M269" i="55"/>
  <c r="O64" i="26"/>
  <c r="G64" i="26"/>
  <c r="I64" i="26"/>
  <c r="A64" i="26"/>
  <c r="C64" i="26"/>
  <c r="L64" i="26"/>
  <c r="Q64" i="26"/>
  <c r="W64" i="26"/>
  <c r="K64" i="26"/>
  <c r="AS64" i="26" l="1"/>
  <c r="V64" i="26"/>
  <c r="H270" i="55"/>
  <c r="Q270" i="55"/>
  <c r="K270" i="55"/>
  <c r="L270" i="55" s="1"/>
  <c r="B270" i="55"/>
  <c r="D270" i="55" s="1"/>
  <c r="C270" i="55"/>
  <c r="U270" i="55" s="1"/>
  <c r="A270" i="55"/>
  <c r="N269" i="55"/>
  <c r="X269" i="55" s="1"/>
  <c r="BT63" i="26"/>
  <c r="AV63" i="55"/>
  <c r="M64" i="26"/>
  <c r="AJ64" i="26" s="1"/>
  <c r="AK64" i="26" s="1"/>
  <c r="BJ64" i="26"/>
  <c r="AP64" i="26"/>
  <c r="E65" i="26"/>
  <c r="X64" i="26"/>
  <c r="R64" i="26"/>
  <c r="U64" i="26"/>
  <c r="M270" i="55" l="1"/>
  <c r="N270" i="55" s="1"/>
  <c r="X270" i="55" s="1"/>
  <c r="O270" i="55"/>
  <c r="P270" i="55"/>
  <c r="V270" i="55" s="1"/>
  <c r="F270" i="55"/>
  <c r="G270" i="55"/>
  <c r="E271" i="55"/>
  <c r="W270" i="55"/>
  <c r="S269" i="55"/>
  <c r="AU63" i="26"/>
  <c r="AF64" i="26"/>
  <c r="AN64" i="26" s="1"/>
  <c r="S64" i="26"/>
  <c r="T64" i="26" s="1"/>
  <c r="BC64" i="26" s="1"/>
  <c r="N64" i="26"/>
  <c r="B65" i="26"/>
  <c r="O65" i="26" s="1"/>
  <c r="H65" i="26"/>
  <c r="BK64" i="26"/>
  <c r="AO64" i="26"/>
  <c r="AT64" i="26" s="1"/>
  <c r="AL64" i="26" l="1"/>
  <c r="AM64" i="26" s="1"/>
  <c r="S270" i="55"/>
  <c r="Q271" i="55"/>
  <c r="K271" i="55"/>
  <c r="BL64" i="26"/>
  <c r="H271" i="55"/>
  <c r="C271" i="55"/>
  <c r="O271" i="55" s="1"/>
  <c r="A271" i="55"/>
  <c r="L271" i="55"/>
  <c r="B271" i="55"/>
  <c r="P271" i="55" s="1"/>
  <c r="I65" i="26"/>
  <c r="K65" i="26"/>
  <c r="F65" i="26"/>
  <c r="P65" i="26"/>
  <c r="G65" i="26"/>
  <c r="D65" i="26"/>
  <c r="A65" i="26"/>
  <c r="C65" i="26"/>
  <c r="V65" i="26" s="1"/>
  <c r="L65" i="26"/>
  <c r="Q65" i="26"/>
  <c r="W65" i="26"/>
  <c r="R65" i="26" l="1"/>
  <c r="M271" i="55"/>
  <c r="G271" i="55"/>
  <c r="D271" i="55"/>
  <c r="E272" i="55" s="1"/>
  <c r="F271" i="55"/>
  <c r="W271" i="55"/>
  <c r="U271" i="55"/>
  <c r="V271" i="55" s="1"/>
  <c r="M65" i="26"/>
  <c r="N65" i="26" s="1"/>
  <c r="X65" i="26"/>
  <c r="BT64" i="26"/>
  <c r="AV64" i="55"/>
  <c r="AS65" i="26"/>
  <c r="BJ65" i="26" s="1"/>
  <c r="AP65" i="26"/>
  <c r="E66" i="26"/>
  <c r="U65" i="26"/>
  <c r="AL65" i="26" l="1"/>
  <c r="AM65" i="26" s="1"/>
  <c r="Q272" i="55"/>
  <c r="K272" i="55"/>
  <c r="L272" i="55" s="1"/>
  <c r="AJ65" i="26"/>
  <c r="AK65" i="26" s="1"/>
  <c r="S65" i="26"/>
  <c r="T65" i="26" s="1"/>
  <c r="BC65" i="26" s="1"/>
  <c r="N271" i="55"/>
  <c r="H272" i="55"/>
  <c r="A272" i="55"/>
  <c r="C272" i="55"/>
  <c r="O272" i="55" s="1"/>
  <c r="B272" i="55"/>
  <c r="F272" i="55" s="1"/>
  <c r="AU64" i="26"/>
  <c r="AF65" i="26"/>
  <c r="AN65" i="26" s="1"/>
  <c r="B66" i="26"/>
  <c r="O66" i="26" s="1"/>
  <c r="AO65" i="26"/>
  <c r="AT65" i="26" s="1"/>
  <c r="BK65" i="26"/>
  <c r="H66" i="26"/>
  <c r="C66" i="26"/>
  <c r="AS66" i="26" s="1"/>
  <c r="A66" i="26"/>
  <c r="L66" i="26"/>
  <c r="Q66" i="26"/>
  <c r="W66" i="26"/>
  <c r="V66" i="26" l="1"/>
  <c r="P272" i="55"/>
  <c r="BL65" i="26"/>
  <c r="G272" i="55"/>
  <c r="D272" i="55"/>
  <c r="E273" i="55" s="1"/>
  <c r="W272" i="55"/>
  <c r="U272" i="55"/>
  <c r="S271" i="55"/>
  <c r="X271" i="55"/>
  <c r="M272" i="55"/>
  <c r="I66" i="26"/>
  <c r="X66" i="26"/>
  <c r="K66" i="26"/>
  <c r="M66" i="26" s="1"/>
  <c r="AJ66" i="26" s="1"/>
  <c r="AK66" i="26" s="1"/>
  <c r="F66" i="26"/>
  <c r="R66" i="26" s="1"/>
  <c r="G66" i="26"/>
  <c r="P66" i="26"/>
  <c r="D66" i="26"/>
  <c r="E67" i="26" s="1"/>
  <c r="BJ66" i="26"/>
  <c r="AP66" i="26"/>
  <c r="U66" i="26"/>
  <c r="Q273" i="55" l="1"/>
  <c r="K273" i="55"/>
  <c r="L273" i="55" s="1"/>
  <c r="AV65" i="55"/>
  <c r="BT65" i="26"/>
  <c r="A273" i="55"/>
  <c r="B273" i="55"/>
  <c r="P273" i="55" s="1"/>
  <c r="C273" i="55"/>
  <c r="O273" i="55" s="1"/>
  <c r="H273" i="55"/>
  <c r="V272" i="55"/>
  <c r="N272" i="55"/>
  <c r="AU65" i="26"/>
  <c r="S66" i="26"/>
  <c r="T66" i="26" s="1"/>
  <c r="AF66" i="26"/>
  <c r="AN66" i="26" s="1"/>
  <c r="H67" i="26"/>
  <c r="B67" i="26"/>
  <c r="P67" i="26" s="1"/>
  <c r="N66" i="26"/>
  <c r="BK66" i="26"/>
  <c r="AO66" i="26"/>
  <c r="AT66" i="26" s="1"/>
  <c r="AL66" i="26" l="1"/>
  <c r="AM66" i="26" s="1"/>
  <c r="BL66" i="26"/>
  <c r="BC66" i="26"/>
  <c r="W273" i="55"/>
  <c r="F273" i="55"/>
  <c r="D273" i="55"/>
  <c r="E274" i="55" s="1"/>
  <c r="M273" i="55"/>
  <c r="G273" i="55"/>
  <c r="S272" i="55"/>
  <c r="X272" i="55"/>
  <c r="U273" i="55"/>
  <c r="F67" i="26"/>
  <c r="G67" i="26"/>
  <c r="D67" i="26"/>
  <c r="I67" i="26"/>
  <c r="O67" i="26"/>
  <c r="C67" i="26"/>
  <c r="V67" i="26" s="1"/>
  <c r="A67" i="26"/>
  <c r="L67" i="26"/>
  <c r="Q67" i="26"/>
  <c r="W67" i="26"/>
  <c r="Q274" i="55" l="1"/>
  <c r="K274" i="55"/>
  <c r="V273" i="55"/>
  <c r="N273" i="55"/>
  <c r="B274" i="55"/>
  <c r="P274" i="55" s="1"/>
  <c r="C274" i="55"/>
  <c r="O274" i="55" s="1"/>
  <c r="H274" i="55"/>
  <c r="A274" i="55"/>
  <c r="L274" i="55"/>
  <c r="BT66" i="26"/>
  <c r="AV66" i="55"/>
  <c r="AS67" i="26"/>
  <c r="BJ67" i="26" s="1"/>
  <c r="AP67" i="26"/>
  <c r="E68" i="26"/>
  <c r="K67" i="26"/>
  <c r="M67" i="26" s="1"/>
  <c r="X67" i="26"/>
  <c r="D274" i="55" l="1"/>
  <c r="E275" i="55" s="1"/>
  <c r="F274" i="55"/>
  <c r="W274" i="55"/>
  <c r="G274" i="55"/>
  <c r="M274" i="55"/>
  <c r="U274" i="55"/>
  <c r="X273" i="55"/>
  <c r="S273" i="55"/>
  <c r="AU66" i="26"/>
  <c r="B68" i="26"/>
  <c r="P68" i="26" s="1"/>
  <c r="BK67" i="26"/>
  <c r="AO67" i="26"/>
  <c r="AT67" i="26" s="1"/>
  <c r="H68" i="26"/>
  <c r="N67" i="26"/>
  <c r="AJ67" i="26"/>
  <c r="AK67" i="26" s="1"/>
  <c r="R67" i="26"/>
  <c r="U67" i="26"/>
  <c r="Q275" i="55" l="1"/>
  <c r="K275" i="55"/>
  <c r="V274" i="55"/>
  <c r="N274" i="55"/>
  <c r="C275" i="55"/>
  <c r="U275" i="55" s="1"/>
  <c r="A275" i="55"/>
  <c r="B275" i="55"/>
  <c r="P275" i="55" s="1"/>
  <c r="H275" i="55"/>
  <c r="L275" i="55"/>
  <c r="O68" i="26"/>
  <c r="F68" i="26"/>
  <c r="AF67" i="26"/>
  <c r="AN67" i="26" s="1"/>
  <c r="S67" i="26"/>
  <c r="T67" i="26" s="1"/>
  <c r="BC67" i="26" s="1"/>
  <c r="G68" i="26"/>
  <c r="D68" i="26"/>
  <c r="I68" i="26"/>
  <c r="AL67" i="26" l="1"/>
  <c r="AM67" i="26" s="1"/>
  <c r="O275" i="55"/>
  <c r="BL67" i="26"/>
  <c r="G275" i="55"/>
  <c r="W275" i="55"/>
  <c r="V275" i="55"/>
  <c r="M275" i="55"/>
  <c r="D275" i="55"/>
  <c r="E276" i="55" s="1"/>
  <c r="F275" i="55"/>
  <c r="S274" i="55"/>
  <c r="X274" i="55"/>
  <c r="A68" i="26"/>
  <c r="C68" i="26"/>
  <c r="L68" i="26"/>
  <c r="W68" i="26"/>
  <c r="Q68" i="26"/>
  <c r="K68" i="26"/>
  <c r="X68" i="26" l="1"/>
  <c r="V68" i="26"/>
  <c r="Q276" i="55"/>
  <c r="K276" i="55"/>
  <c r="L276" i="55" s="1"/>
  <c r="A276" i="55"/>
  <c r="B276" i="55"/>
  <c r="P276" i="55" s="1"/>
  <c r="C276" i="55"/>
  <c r="O276" i="55" s="1"/>
  <c r="H276" i="55"/>
  <c r="N275" i="55"/>
  <c r="M68" i="26"/>
  <c r="AJ68" i="26" s="1"/>
  <c r="AK68" i="26" s="1"/>
  <c r="BT67" i="26"/>
  <c r="AV67" i="55"/>
  <c r="AS68" i="26"/>
  <c r="BJ68" i="26" s="1"/>
  <c r="AP68" i="26"/>
  <c r="E69" i="26"/>
  <c r="R68" i="26"/>
  <c r="U68" i="26"/>
  <c r="N68" i="26" l="1"/>
  <c r="F276" i="55"/>
  <c r="W276" i="55"/>
  <c r="G276" i="55"/>
  <c r="M276" i="55"/>
  <c r="D276" i="55"/>
  <c r="E277" i="55" s="1"/>
  <c r="X275" i="55"/>
  <c r="S275" i="55"/>
  <c r="U276" i="55"/>
  <c r="V276" i="55" s="1"/>
  <c r="AU67" i="26"/>
  <c r="AF68" i="26"/>
  <c r="AN68" i="26" s="1"/>
  <c r="S68" i="26"/>
  <c r="T68" i="26" s="1"/>
  <c r="BC68" i="26" s="1"/>
  <c r="B69" i="26"/>
  <c r="P69" i="26" s="1"/>
  <c r="BK68" i="26"/>
  <c r="AO68" i="26"/>
  <c r="AT68" i="26" s="1"/>
  <c r="H69" i="26"/>
  <c r="AL68" i="26" l="1"/>
  <c r="AM68" i="26" s="1"/>
  <c r="Q277" i="55"/>
  <c r="K277" i="55"/>
  <c r="L277" i="55" s="1"/>
  <c r="BL68" i="26"/>
  <c r="H277" i="55"/>
  <c r="A277" i="55"/>
  <c r="B277" i="55"/>
  <c r="P277" i="55" s="1"/>
  <c r="C277" i="55"/>
  <c r="O277" i="55" s="1"/>
  <c r="N276" i="55"/>
  <c r="F69" i="26"/>
  <c r="D69" i="26"/>
  <c r="G69" i="26"/>
  <c r="O69" i="26"/>
  <c r="I69" i="26"/>
  <c r="A69" i="26"/>
  <c r="C69" i="26"/>
  <c r="L69" i="26"/>
  <c r="Q69" i="26"/>
  <c r="W69" i="26"/>
  <c r="K69" i="26"/>
  <c r="X69" i="26" l="1"/>
  <c r="V69" i="26"/>
  <c r="M277" i="55"/>
  <c r="W277" i="55"/>
  <c r="G277" i="55"/>
  <c r="D277" i="55"/>
  <c r="E278" i="55" s="1"/>
  <c r="F277" i="55"/>
  <c r="X276" i="55"/>
  <c r="S276" i="55"/>
  <c r="U277" i="55"/>
  <c r="V277" i="55" s="1"/>
  <c r="BT68" i="26"/>
  <c r="AV68" i="55"/>
  <c r="AS69" i="26"/>
  <c r="BJ69" i="26" s="1"/>
  <c r="AP69" i="26"/>
  <c r="E70" i="26"/>
  <c r="M69" i="26"/>
  <c r="R69" i="26"/>
  <c r="U69" i="26"/>
  <c r="Q278" i="55" l="1"/>
  <c r="K278" i="55"/>
  <c r="L278" i="55" s="1"/>
  <c r="B278" i="55"/>
  <c r="G278" i="55" s="1"/>
  <c r="C278" i="55"/>
  <c r="O278" i="55" s="1"/>
  <c r="H278" i="55"/>
  <c r="A278" i="55"/>
  <c r="N277" i="55"/>
  <c r="AU68" i="26"/>
  <c r="AF69" i="26"/>
  <c r="AN69" i="26" s="1"/>
  <c r="S69" i="26"/>
  <c r="T69" i="26" s="1"/>
  <c r="BC69" i="26" s="1"/>
  <c r="B70" i="26"/>
  <c r="O70" i="26" s="1"/>
  <c r="H70" i="26"/>
  <c r="AO69" i="26"/>
  <c r="AT69" i="26" s="1"/>
  <c r="BK69" i="26"/>
  <c r="N69" i="26"/>
  <c r="AJ69" i="26"/>
  <c r="AK69" i="26" s="1"/>
  <c r="AL69" i="26" l="1"/>
  <c r="AM69" i="26" s="1"/>
  <c r="P278" i="55"/>
  <c r="I70" i="26"/>
  <c r="BL69" i="26"/>
  <c r="U278" i="55"/>
  <c r="D278" i="55"/>
  <c r="E279" i="55" s="1"/>
  <c r="F278" i="55"/>
  <c r="M278" i="55"/>
  <c r="W278" i="55"/>
  <c r="X277" i="55"/>
  <c r="S277" i="55"/>
  <c r="G70" i="26"/>
  <c r="D70" i="26"/>
  <c r="P70" i="26"/>
  <c r="F70" i="26"/>
  <c r="C70" i="26"/>
  <c r="V70" i="26" s="1"/>
  <c r="A70" i="26"/>
  <c r="L70" i="26"/>
  <c r="W70" i="26"/>
  <c r="Q70" i="26"/>
  <c r="K70" i="26"/>
  <c r="Q279" i="55" l="1"/>
  <c r="K279" i="55"/>
  <c r="L279" i="55" s="1"/>
  <c r="V278" i="55"/>
  <c r="C279" i="55"/>
  <c r="O279" i="55" s="1"/>
  <c r="B279" i="55"/>
  <c r="P279" i="55" s="1"/>
  <c r="A279" i="55"/>
  <c r="H279" i="55"/>
  <c r="N278" i="55"/>
  <c r="BT69" i="26"/>
  <c r="AV69" i="55"/>
  <c r="AS70" i="26"/>
  <c r="BJ70" i="26" s="1"/>
  <c r="M70" i="26"/>
  <c r="N70" i="26" s="1"/>
  <c r="X70" i="26"/>
  <c r="E71" i="26"/>
  <c r="AP70" i="26"/>
  <c r="R70" i="26"/>
  <c r="U70" i="26"/>
  <c r="G279" i="55" l="1"/>
  <c r="F279" i="55"/>
  <c r="D279" i="55"/>
  <c r="E280" i="55" s="1"/>
  <c r="U279" i="55"/>
  <c r="V279" i="55" s="1"/>
  <c r="X278" i="55"/>
  <c r="S278" i="55"/>
  <c r="W279" i="55"/>
  <c r="M279" i="55"/>
  <c r="AU69" i="26"/>
  <c r="AJ70" i="26"/>
  <c r="AK70" i="26" s="1"/>
  <c r="AF70" i="26"/>
  <c r="AN70" i="26" s="1"/>
  <c r="S70" i="26"/>
  <c r="T70" i="26" s="1"/>
  <c r="BC70" i="26" s="1"/>
  <c r="B71" i="26"/>
  <c r="P71" i="26" s="1"/>
  <c r="H71" i="26"/>
  <c r="BK70" i="26"/>
  <c r="AO70" i="26"/>
  <c r="AT70" i="26" s="1"/>
  <c r="AL70" i="26" l="1"/>
  <c r="AM70" i="26" s="1"/>
  <c r="Q280" i="55"/>
  <c r="K280" i="55"/>
  <c r="L280" i="55" s="1"/>
  <c r="BL70" i="26"/>
  <c r="N279" i="55"/>
  <c r="D71" i="26"/>
  <c r="F71" i="26"/>
  <c r="H280" i="55"/>
  <c r="B280" i="55"/>
  <c r="P280" i="55" s="1"/>
  <c r="A280" i="55"/>
  <c r="C280" i="55"/>
  <c r="O71" i="26"/>
  <c r="G71" i="26"/>
  <c r="I71" i="26"/>
  <c r="C71" i="26"/>
  <c r="V71" i="26" s="1"/>
  <c r="A71" i="26"/>
  <c r="L71" i="26"/>
  <c r="W71" i="26"/>
  <c r="Q71" i="26"/>
  <c r="K71" i="26"/>
  <c r="D280" i="55" l="1"/>
  <c r="O280" i="55"/>
  <c r="M280" i="55"/>
  <c r="G280" i="55"/>
  <c r="W280" i="55"/>
  <c r="F280" i="55"/>
  <c r="U280" i="55"/>
  <c r="E281" i="55"/>
  <c r="X279" i="55"/>
  <c r="S279" i="55"/>
  <c r="BT70" i="26"/>
  <c r="AV70" i="55"/>
  <c r="X71" i="26"/>
  <c r="AS71" i="26"/>
  <c r="BJ71" i="26" s="1"/>
  <c r="AP71" i="26"/>
  <c r="E72" i="26"/>
  <c r="M71" i="26"/>
  <c r="R71" i="26"/>
  <c r="U71" i="26"/>
  <c r="Q281" i="55" l="1"/>
  <c r="K281" i="55"/>
  <c r="L281" i="55" s="1"/>
  <c r="V280" i="55"/>
  <c r="A281" i="55"/>
  <c r="B281" i="55"/>
  <c r="P281" i="55" s="1"/>
  <c r="C281" i="55"/>
  <c r="O281" i="55" s="1"/>
  <c r="H281" i="55"/>
  <c r="N280" i="55"/>
  <c r="X280" i="55" s="1"/>
  <c r="AU70" i="26"/>
  <c r="AF71" i="26"/>
  <c r="AN71" i="26" s="1"/>
  <c r="S71" i="26"/>
  <c r="T71" i="26" s="1"/>
  <c r="BC71" i="26" s="1"/>
  <c r="B72" i="26"/>
  <c r="D72" i="26" s="1"/>
  <c r="H72" i="26"/>
  <c r="AO71" i="26"/>
  <c r="AT71" i="26" s="1"/>
  <c r="BK71" i="26"/>
  <c r="N71" i="26"/>
  <c r="AJ71" i="26"/>
  <c r="AK71" i="26" s="1"/>
  <c r="AL71" i="26" l="1"/>
  <c r="AM71" i="26" s="1"/>
  <c r="D281" i="55"/>
  <c r="E282" i="55" s="1"/>
  <c r="BL71" i="26"/>
  <c r="F281" i="55"/>
  <c r="M281" i="55"/>
  <c r="W281" i="55"/>
  <c r="G281" i="55"/>
  <c r="S280" i="55"/>
  <c r="F72" i="26"/>
  <c r="K72" i="26"/>
  <c r="I72" i="26"/>
  <c r="G72" i="26"/>
  <c r="O72" i="26"/>
  <c r="P72" i="26"/>
  <c r="A72" i="26"/>
  <c r="C72" i="26"/>
  <c r="L72" i="26"/>
  <c r="W72" i="26"/>
  <c r="Q72" i="26"/>
  <c r="U72" i="26" l="1"/>
  <c r="V72" i="26"/>
  <c r="Q282" i="55"/>
  <c r="K282" i="55"/>
  <c r="L282" i="55" s="1"/>
  <c r="R72" i="26"/>
  <c r="C282" i="55"/>
  <c r="O282" i="55" s="1"/>
  <c r="A282" i="55"/>
  <c r="B282" i="55"/>
  <c r="G282" i="55" s="1"/>
  <c r="H282" i="55"/>
  <c r="N281" i="55"/>
  <c r="M72" i="26"/>
  <c r="AJ72" i="26" s="1"/>
  <c r="AK72" i="26" s="1"/>
  <c r="BT71" i="26"/>
  <c r="AV71" i="55"/>
  <c r="AS72" i="26"/>
  <c r="BJ72" i="26" s="1"/>
  <c r="AF72" i="26"/>
  <c r="AN72" i="26" s="1"/>
  <c r="AP72" i="26"/>
  <c r="X72" i="26"/>
  <c r="E73" i="26"/>
  <c r="P282" i="55" l="1"/>
  <c r="U282" i="55"/>
  <c r="S72" i="26"/>
  <c r="T72" i="26" s="1"/>
  <c r="N72" i="26"/>
  <c r="M282" i="55"/>
  <c r="D282" i="55"/>
  <c r="E283" i="55" s="1"/>
  <c r="F282" i="55"/>
  <c r="W282" i="55"/>
  <c r="S281" i="55"/>
  <c r="X281" i="55"/>
  <c r="AU71" i="26"/>
  <c r="B73" i="26"/>
  <c r="D73" i="26" s="1"/>
  <c r="H73" i="26"/>
  <c r="BK72" i="26"/>
  <c r="AO72" i="26"/>
  <c r="AT72" i="26" s="1"/>
  <c r="AL72" i="26"/>
  <c r="BL72" i="26" l="1"/>
  <c r="BC72" i="26"/>
  <c r="BT72" i="26" s="1"/>
  <c r="K283" i="55"/>
  <c r="L283" i="55" s="1"/>
  <c r="Q283" i="55"/>
  <c r="AM72" i="26"/>
  <c r="V282" i="55"/>
  <c r="C283" i="55"/>
  <c r="U283" i="55" s="1"/>
  <c r="B283" i="55"/>
  <c r="D283" i="55" s="1"/>
  <c r="H283" i="55"/>
  <c r="A283" i="55"/>
  <c r="N282" i="55"/>
  <c r="O73" i="26"/>
  <c r="G73" i="26"/>
  <c r="F73" i="26"/>
  <c r="I73" i="26"/>
  <c r="P73" i="26"/>
  <c r="L73" i="26"/>
  <c r="K73" i="26"/>
  <c r="A73" i="26"/>
  <c r="C73" i="26"/>
  <c r="V73" i="26" s="1"/>
  <c r="W73" i="26"/>
  <c r="Q73" i="26"/>
  <c r="O283" i="55" l="1"/>
  <c r="P283" i="55"/>
  <c r="V283" i="55" s="1"/>
  <c r="AV72" i="55"/>
  <c r="E284" i="55"/>
  <c r="S282" i="55"/>
  <c r="X282" i="55"/>
  <c r="M283" i="55"/>
  <c r="W283" i="55"/>
  <c r="F283" i="55"/>
  <c r="G283" i="55"/>
  <c r="AU72" i="26"/>
  <c r="R73" i="26"/>
  <c r="U73" i="26"/>
  <c r="AS73" i="26"/>
  <c r="BJ73" i="26" s="1"/>
  <c r="M73" i="26"/>
  <c r="AJ73" i="26" s="1"/>
  <c r="AK73" i="26" s="1"/>
  <c r="AP73" i="26"/>
  <c r="E74" i="26"/>
  <c r="X73" i="26"/>
  <c r="Q284" i="55" l="1"/>
  <c r="K284" i="55"/>
  <c r="L284" i="55" s="1"/>
  <c r="H284" i="55"/>
  <c r="C284" i="55"/>
  <c r="O284" i="55" s="1"/>
  <c r="B284" i="55"/>
  <c r="P284" i="55" s="1"/>
  <c r="A284" i="55"/>
  <c r="N283" i="55"/>
  <c r="N73" i="26"/>
  <c r="S73" i="26"/>
  <c r="T73" i="26" s="1"/>
  <c r="BC73" i="26" s="1"/>
  <c r="AF73" i="26"/>
  <c r="AN73" i="26" s="1"/>
  <c r="B74" i="26"/>
  <c r="P74" i="26" s="1"/>
  <c r="H74" i="26"/>
  <c r="BK73" i="26"/>
  <c r="AO73" i="26"/>
  <c r="AT73" i="26" s="1"/>
  <c r="C74" i="26"/>
  <c r="AS74" i="26" s="1"/>
  <c r="A74" i="26"/>
  <c r="L74" i="26"/>
  <c r="W74" i="26"/>
  <c r="Q74" i="26"/>
  <c r="AL73" i="26" l="1"/>
  <c r="AM73" i="26" s="1"/>
  <c r="V74" i="26"/>
  <c r="U284" i="55"/>
  <c r="V284" i="55" s="1"/>
  <c r="W284" i="55"/>
  <c r="G284" i="55"/>
  <c r="F284" i="55"/>
  <c r="D284" i="55"/>
  <c r="E285" i="55" s="1"/>
  <c r="M284" i="55"/>
  <c r="BL73" i="26"/>
  <c r="BT73" i="26"/>
  <c r="X283" i="55"/>
  <c r="S283" i="55"/>
  <c r="F74" i="26"/>
  <c r="R74" i="26" s="1"/>
  <c r="D74" i="26"/>
  <c r="O74" i="26"/>
  <c r="G74" i="26"/>
  <c r="K74" i="26"/>
  <c r="M74" i="26" s="1"/>
  <c r="AP74" i="26"/>
  <c r="I74" i="26"/>
  <c r="X74" i="26"/>
  <c r="U74" i="26"/>
  <c r="BJ74" i="26"/>
  <c r="Q285" i="55" l="1"/>
  <c r="K285" i="55"/>
  <c r="L285" i="55" s="1"/>
  <c r="C285" i="55"/>
  <c r="O285" i="55" s="1"/>
  <c r="H285" i="55"/>
  <c r="B285" i="55"/>
  <c r="P285" i="55" s="1"/>
  <c r="A285" i="55"/>
  <c r="N284" i="55"/>
  <c r="AV73" i="55"/>
  <c r="AL74" i="26"/>
  <c r="AU73" i="26"/>
  <c r="AF74" i="26"/>
  <c r="AN74" i="26" s="1"/>
  <c r="E75" i="26"/>
  <c r="S74" i="26"/>
  <c r="T74" i="26" s="1"/>
  <c r="AO74" i="26"/>
  <c r="AT74" i="26" s="1"/>
  <c r="BK74" i="26"/>
  <c r="N74" i="26"/>
  <c r="AJ74" i="26"/>
  <c r="AK74" i="26" s="1"/>
  <c r="BL74" i="26" l="1"/>
  <c r="BC74" i="26"/>
  <c r="AM74" i="26"/>
  <c r="M285" i="55"/>
  <c r="N285" i="55" s="1"/>
  <c r="X285" i="55" s="1"/>
  <c r="G285" i="55"/>
  <c r="F285" i="55"/>
  <c r="U285" i="55"/>
  <c r="V285" i="55" s="1"/>
  <c r="D285" i="55"/>
  <c r="E286" i="55" s="1"/>
  <c r="W285" i="55"/>
  <c r="X284" i="55"/>
  <c r="S284" i="55"/>
  <c r="BT74" i="26"/>
  <c r="Q75" i="26"/>
  <c r="A75" i="26"/>
  <c r="H75" i="26"/>
  <c r="C75" i="26"/>
  <c r="AS75" i="26" s="1"/>
  <c r="BJ75" i="26" s="1"/>
  <c r="W75" i="26"/>
  <c r="L75" i="26"/>
  <c r="B75" i="26"/>
  <c r="P75" i="26" s="1"/>
  <c r="V75" i="26" l="1"/>
  <c r="AO75" i="26" s="1"/>
  <c r="A286" i="55"/>
  <c r="Q286" i="55"/>
  <c r="K286" i="55"/>
  <c r="L286" i="55" s="1"/>
  <c r="S285" i="55"/>
  <c r="B286" i="55"/>
  <c r="M286" i="55" s="1"/>
  <c r="N286" i="55" s="1"/>
  <c r="C286" i="55"/>
  <c r="O286" i="55" s="1"/>
  <c r="H286" i="55"/>
  <c r="K75" i="26"/>
  <c r="M75" i="26" s="1"/>
  <c r="AV74" i="55"/>
  <c r="AU74" i="26"/>
  <c r="AP75" i="26"/>
  <c r="I75" i="26"/>
  <c r="F75" i="26"/>
  <c r="R75" i="26" s="1"/>
  <c r="G75" i="26"/>
  <c r="X75" i="26"/>
  <c r="O75" i="26"/>
  <c r="D75" i="26"/>
  <c r="E76" i="26" s="1"/>
  <c r="U75" i="26"/>
  <c r="P286" i="55" l="1"/>
  <c r="D286" i="55"/>
  <c r="E287" i="55" s="1"/>
  <c r="G286" i="55"/>
  <c r="W286" i="55"/>
  <c r="F286" i="55"/>
  <c r="X286" i="55"/>
  <c r="S286" i="55"/>
  <c r="U286" i="55"/>
  <c r="AJ75" i="26"/>
  <c r="AK75" i="26" s="1"/>
  <c r="N75" i="26"/>
  <c r="AT75" i="26"/>
  <c r="BK75" i="26"/>
  <c r="S75" i="26"/>
  <c r="T75" i="26" s="1"/>
  <c r="BC75" i="26" s="1"/>
  <c r="B76" i="26"/>
  <c r="D76" i="26" s="1"/>
  <c r="H76" i="26"/>
  <c r="AF75" i="26"/>
  <c r="AN75" i="26" s="1"/>
  <c r="AL75" i="26" l="1"/>
  <c r="AM75" i="26" s="1"/>
  <c r="H287" i="55"/>
  <c r="Q287" i="55"/>
  <c r="K287" i="55"/>
  <c r="L287" i="55" s="1"/>
  <c r="V286" i="55"/>
  <c r="B287" i="55"/>
  <c r="G287" i="55" s="1"/>
  <c r="A287" i="55"/>
  <c r="C287" i="55"/>
  <c r="O287" i="55" s="1"/>
  <c r="P76" i="26"/>
  <c r="BL75" i="26"/>
  <c r="K76" i="26"/>
  <c r="I76" i="26"/>
  <c r="O76" i="26"/>
  <c r="G76" i="26"/>
  <c r="F76" i="26"/>
  <c r="A76" i="26"/>
  <c r="C76" i="26"/>
  <c r="V76" i="26" s="1"/>
  <c r="L76" i="26"/>
  <c r="W76" i="26"/>
  <c r="Q76" i="26"/>
  <c r="P287" i="55" l="1"/>
  <c r="D287" i="55"/>
  <c r="E288" i="55" s="1"/>
  <c r="C288" i="55" s="1"/>
  <c r="U288" i="55" s="1"/>
  <c r="F287" i="55"/>
  <c r="M287" i="55"/>
  <c r="N287" i="55" s="1"/>
  <c r="W287" i="55"/>
  <c r="U287" i="55"/>
  <c r="R76" i="26"/>
  <c r="M76" i="26"/>
  <c r="N76" i="26" s="1"/>
  <c r="BT75" i="26"/>
  <c r="AV75" i="55"/>
  <c r="AS76" i="26"/>
  <c r="BJ76" i="26" s="1"/>
  <c r="AP76" i="26"/>
  <c r="U76" i="26"/>
  <c r="X76" i="26"/>
  <c r="E77" i="26"/>
  <c r="AL76" i="26" l="1"/>
  <c r="AM76" i="26" s="1"/>
  <c r="A288" i="55"/>
  <c r="O288" i="55"/>
  <c r="Q288" i="55"/>
  <c r="K288" i="55"/>
  <c r="L288" i="55" s="1"/>
  <c r="B288" i="55"/>
  <c r="D288" i="55" s="1"/>
  <c r="E289" i="55" s="1"/>
  <c r="H288" i="55"/>
  <c r="S76" i="26"/>
  <c r="T76" i="26" s="1"/>
  <c r="V287" i="55"/>
  <c r="AJ76" i="26"/>
  <c r="AK76" i="26" s="1"/>
  <c r="X287" i="55"/>
  <c r="S287" i="55"/>
  <c r="AU75" i="26"/>
  <c r="AF76" i="26"/>
  <c r="AN76" i="26" s="1"/>
  <c r="B77" i="26"/>
  <c r="P77" i="26" s="1"/>
  <c r="BK76" i="26"/>
  <c r="AO76" i="26"/>
  <c r="AT76" i="26" s="1"/>
  <c r="H77" i="26"/>
  <c r="BL76" i="26" l="1"/>
  <c r="BC76" i="26"/>
  <c r="G288" i="55"/>
  <c r="F288" i="55"/>
  <c r="W288" i="55"/>
  <c r="M288" i="55"/>
  <c r="N288" i="55" s="1"/>
  <c r="X288" i="55" s="1"/>
  <c r="P288" i="55"/>
  <c r="V288" i="55" s="1"/>
  <c r="B289" i="55"/>
  <c r="M289" i="55" s="1"/>
  <c r="N289" i="55" s="1"/>
  <c r="Q289" i="55"/>
  <c r="K289" i="55"/>
  <c r="L289" i="55" s="1"/>
  <c r="AV76" i="55"/>
  <c r="H289" i="55"/>
  <c r="A289" i="55"/>
  <c r="C289" i="55"/>
  <c r="U289" i="55" s="1"/>
  <c r="G77" i="26"/>
  <c r="D289" i="55"/>
  <c r="O77" i="26"/>
  <c r="I77" i="26"/>
  <c r="F77" i="26"/>
  <c r="D77" i="26"/>
  <c r="L77" i="26"/>
  <c r="W77" i="26"/>
  <c r="A77" i="26"/>
  <c r="C77" i="26"/>
  <c r="V77" i="26" s="1"/>
  <c r="Q77" i="26"/>
  <c r="K77" i="26"/>
  <c r="S288" i="55" l="1"/>
  <c r="BT76" i="26"/>
  <c r="F289" i="55"/>
  <c r="G289" i="55"/>
  <c r="X289" i="55"/>
  <c r="O289" i="55"/>
  <c r="P289" i="55"/>
  <c r="V289" i="55" s="1"/>
  <c r="E290" i="55"/>
  <c r="W289" i="55"/>
  <c r="AU76" i="26"/>
  <c r="AS77" i="26"/>
  <c r="BJ77" i="26" s="1"/>
  <c r="M77" i="26"/>
  <c r="N77" i="26" s="1"/>
  <c r="AP77" i="26"/>
  <c r="X77" i="26"/>
  <c r="E78" i="26"/>
  <c r="R77" i="26"/>
  <c r="U77" i="26"/>
  <c r="S289" i="55" l="1"/>
  <c r="A290" i="55"/>
  <c r="Q290" i="55"/>
  <c r="K290" i="55"/>
  <c r="L290" i="55" s="1"/>
  <c r="C290" i="55"/>
  <c r="O290" i="55" s="1"/>
  <c r="H290" i="55"/>
  <c r="B290" i="55"/>
  <c r="M290" i="55" s="1"/>
  <c r="AF77" i="26"/>
  <c r="AN77" i="26" s="1"/>
  <c r="S77" i="26"/>
  <c r="T77" i="26" s="1"/>
  <c r="BC77" i="26" s="1"/>
  <c r="AJ77" i="26"/>
  <c r="AK77" i="26" s="1"/>
  <c r="B78" i="26"/>
  <c r="D78" i="26" s="1"/>
  <c r="H78" i="26"/>
  <c r="BK77" i="26"/>
  <c r="AO77" i="26"/>
  <c r="AT77" i="26" s="1"/>
  <c r="AL77" i="26" l="1"/>
  <c r="AM77" i="26" s="1"/>
  <c r="U290" i="55"/>
  <c r="P290" i="55"/>
  <c r="D290" i="55"/>
  <c r="E291" i="55" s="1"/>
  <c r="G290" i="55"/>
  <c r="W290" i="55"/>
  <c r="F290" i="55"/>
  <c r="N290" i="55"/>
  <c r="S290" i="55" s="1"/>
  <c r="BL77" i="26"/>
  <c r="G78" i="26"/>
  <c r="O78" i="26"/>
  <c r="I78" i="26"/>
  <c r="P78" i="26"/>
  <c r="F78" i="26"/>
  <c r="C78" i="26"/>
  <c r="A78" i="26"/>
  <c r="K78" i="26"/>
  <c r="L78" i="26"/>
  <c r="W78" i="26"/>
  <c r="Q78" i="26"/>
  <c r="U78" i="26" l="1"/>
  <c r="V78" i="26"/>
  <c r="V290" i="55"/>
  <c r="K291" i="55"/>
  <c r="L291" i="55" s="1"/>
  <c r="Q291" i="55"/>
  <c r="C291" i="55"/>
  <c r="O291" i="55" s="1"/>
  <c r="B291" i="55"/>
  <c r="F291" i="55" s="1"/>
  <c r="H291" i="55"/>
  <c r="A291" i="55"/>
  <c r="X290" i="55"/>
  <c r="R78" i="26"/>
  <c r="BT77" i="26"/>
  <c r="AV77" i="55"/>
  <c r="AS78" i="26"/>
  <c r="BJ78" i="26" s="1"/>
  <c r="AF78" i="26"/>
  <c r="AN78" i="26" s="1"/>
  <c r="AP78" i="26"/>
  <c r="X78" i="26"/>
  <c r="E79" i="26"/>
  <c r="M78" i="26"/>
  <c r="AL78" i="26" l="1"/>
  <c r="AM78" i="26" s="1"/>
  <c r="P291" i="55"/>
  <c r="D291" i="55"/>
  <c r="E292" i="55" s="1"/>
  <c r="G291" i="55"/>
  <c r="M291" i="55"/>
  <c r="U291" i="55"/>
  <c r="W291" i="55"/>
  <c r="AU77" i="26"/>
  <c r="S78" i="26"/>
  <c r="T78" i="26" s="1"/>
  <c r="BC78" i="26" s="1"/>
  <c r="B79" i="26"/>
  <c r="F79" i="26" s="1"/>
  <c r="H79" i="26"/>
  <c r="AO78" i="26"/>
  <c r="AT78" i="26" s="1"/>
  <c r="BK78" i="26"/>
  <c r="N78" i="26"/>
  <c r="AJ78" i="26"/>
  <c r="AK78" i="26" s="1"/>
  <c r="C79" i="26"/>
  <c r="V79" i="26" s="1"/>
  <c r="A79" i="26"/>
  <c r="L79" i="26"/>
  <c r="W79" i="26"/>
  <c r="Q79" i="26"/>
  <c r="N291" i="55" l="1"/>
  <c r="C292" i="55"/>
  <c r="U292" i="55" s="1"/>
  <c r="H292" i="55"/>
  <c r="A292" i="55"/>
  <c r="B292" i="55"/>
  <c r="F292" i="55" s="1"/>
  <c r="Q292" i="55"/>
  <c r="K292" i="55"/>
  <c r="L292" i="55" s="1"/>
  <c r="V291" i="55"/>
  <c r="K79" i="26"/>
  <c r="M79" i="26" s="1"/>
  <c r="BL78" i="26"/>
  <c r="BT78" i="26"/>
  <c r="X291" i="55"/>
  <c r="S291" i="55"/>
  <c r="O79" i="26"/>
  <c r="I79" i="26"/>
  <c r="X79" i="26"/>
  <c r="BK79" i="26" s="1"/>
  <c r="G79" i="26"/>
  <c r="D79" i="26"/>
  <c r="E80" i="26" s="1"/>
  <c r="P79" i="26"/>
  <c r="AS79" i="26"/>
  <c r="BJ79" i="26" s="1"/>
  <c r="AO79" i="26"/>
  <c r="AP79" i="26"/>
  <c r="R79" i="26"/>
  <c r="U79" i="26"/>
  <c r="W292" i="55" l="1"/>
  <c r="G292" i="55"/>
  <c r="O292" i="55"/>
  <c r="M292" i="55"/>
  <c r="N292" i="55" s="1"/>
  <c r="X292" i="55" s="1"/>
  <c r="D292" i="55"/>
  <c r="E293" i="55" s="1"/>
  <c r="B293" i="55" s="1"/>
  <c r="P292" i="55"/>
  <c r="V292" i="55" s="1"/>
  <c r="AV78" i="55"/>
  <c r="AU78" i="26"/>
  <c r="AF79" i="26"/>
  <c r="AN79" i="26" s="1"/>
  <c r="S79" i="26"/>
  <c r="T79" i="26" s="1"/>
  <c r="AT79" i="26"/>
  <c r="B80" i="26"/>
  <c r="P80" i="26" s="1"/>
  <c r="H80" i="26"/>
  <c r="N79" i="26"/>
  <c r="AJ79" i="26"/>
  <c r="AK79" i="26" s="1"/>
  <c r="AL79" i="26" l="1"/>
  <c r="AM79" i="26" s="1"/>
  <c r="BL79" i="26"/>
  <c r="BC79" i="26"/>
  <c r="S292" i="55"/>
  <c r="Q293" i="55"/>
  <c r="P293" i="55"/>
  <c r="K293" i="55"/>
  <c r="L293" i="55" s="1"/>
  <c r="C293" i="55"/>
  <c r="O293" i="55" s="1"/>
  <c r="A293" i="55"/>
  <c r="H293" i="55"/>
  <c r="M293" i="55"/>
  <c r="F293" i="55"/>
  <c r="D293" i="55"/>
  <c r="W293" i="55"/>
  <c r="G293" i="55"/>
  <c r="I80" i="26"/>
  <c r="F80" i="26"/>
  <c r="O80" i="26"/>
  <c r="G80" i="26"/>
  <c r="D80" i="26"/>
  <c r="A80" i="26"/>
  <c r="C80" i="26"/>
  <c r="V80" i="26" s="1"/>
  <c r="L80" i="26"/>
  <c r="W80" i="26"/>
  <c r="Q80" i="26"/>
  <c r="K80" i="26"/>
  <c r="E294" i="55" l="1"/>
  <c r="Q294" i="55" s="1"/>
  <c r="K294" i="55"/>
  <c r="L294" i="55" s="1"/>
  <c r="N293" i="55"/>
  <c r="C294" i="55"/>
  <c r="O294" i="55" s="1"/>
  <c r="A294" i="55"/>
  <c r="B294" i="55"/>
  <c r="P294" i="55" s="1"/>
  <c r="BT79" i="26"/>
  <c r="AV79" i="55"/>
  <c r="AS80" i="26"/>
  <c r="BJ80" i="26" s="1"/>
  <c r="AP80" i="26"/>
  <c r="E81" i="26"/>
  <c r="X80" i="26"/>
  <c r="M80" i="26"/>
  <c r="R80" i="26"/>
  <c r="U80" i="26"/>
  <c r="H294" i="55" l="1"/>
  <c r="G294" i="55"/>
  <c r="M294" i="55"/>
  <c r="N294" i="55" s="1"/>
  <c r="X294" i="55" s="1"/>
  <c r="U294" i="55"/>
  <c r="V294" i="55" s="1"/>
  <c r="D294" i="55"/>
  <c r="E295" i="55" s="1"/>
  <c r="S293" i="55"/>
  <c r="X293" i="55"/>
  <c r="F294" i="55"/>
  <c r="W294" i="55"/>
  <c r="AU79" i="26"/>
  <c r="AF80" i="26"/>
  <c r="AN80" i="26" s="1"/>
  <c r="S80" i="26"/>
  <c r="T80" i="26" s="1"/>
  <c r="BC80" i="26" s="1"/>
  <c r="B81" i="26"/>
  <c r="D81" i="26" s="1"/>
  <c r="H81" i="26"/>
  <c r="BK80" i="26"/>
  <c r="AO80" i="26"/>
  <c r="AT80" i="26" s="1"/>
  <c r="N80" i="26"/>
  <c r="AJ80" i="26"/>
  <c r="AK80" i="26" s="1"/>
  <c r="AL80" i="26" l="1"/>
  <c r="AM80" i="26" s="1"/>
  <c r="Q295" i="55"/>
  <c r="K295" i="55"/>
  <c r="S294" i="55"/>
  <c r="BL80" i="26"/>
  <c r="H295" i="55"/>
  <c r="B295" i="55"/>
  <c r="P295" i="55" s="1"/>
  <c r="L295" i="55"/>
  <c r="A295" i="55"/>
  <c r="C295" i="55"/>
  <c r="O295" i="55" s="1"/>
  <c r="K81" i="26"/>
  <c r="F81" i="26"/>
  <c r="O81" i="26"/>
  <c r="I81" i="26"/>
  <c r="G81" i="26"/>
  <c r="P81" i="26"/>
  <c r="A81" i="26"/>
  <c r="C81" i="26"/>
  <c r="V81" i="26" s="1"/>
  <c r="L81" i="26"/>
  <c r="Q81" i="26"/>
  <c r="W81" i="26"/>
  <c r="W295" i="55" l="1"/>
  <c r="F295" i="55"/>
  <c r="D295" i="55"/>
  <c r="E296" i="55" s="1"/>
  <c r="U295" i="55"/>
  <c r="M295" i="55"/>
  <c r="G295" i="55"/>
  <c r="M81" i="26"/>
  <c r="N81" i="26" s="1"/>
  <c r="R81" i="26"/>
  <c r="BT80" i="26"/>
  <c r="AV80" i="55"/>
  <c r="AS81" i="26"/>
  <c r="BJ81" i="26" s="1"/>
  <c r="AP81" i="26"/>
  <c r="U81" i="26"/>
  <c r="X81" i="26"/>
  <c r="E82" i="26"/>
  <c r="Q296" i="55" l="1"/>
  <c r="K296" i="55"/>
  <c r="AJ81" i="26"/>
  <c r="AK81" i="26" s="1"/>
  <c r="C296" i="55"/>
  <c r="O296" i="55" s="1"/>
  <c r="H296" i="55"/>
  <c r="L296" i="55"/>
  <c r="A296" i="55"/>
  <c r="B296" i="55"/>
  <c r="G296" i="55" s="1"/>
  <c r="V295" i="55"/>
  <c r="N295" i="55"/>
  <c r="AU80" i="26"/>
  <c r="AF81" i="26"/>
  <c r="AN81" i="26" s="1"/>
  <c r="S81" i="26"/>
  <c r="T81" i="26" s="1"/>
  <c r="BC81" i="26" s="1"/>
  <c r="B82" i="26"/>
  <c r="P82" i="26" s="1"/>
  <c r="H82" i="26"/>
  <c r="BK81" i="26"/>
  <c r="AO81" i="26"/>
  <c r="AT81" i="26" s="1"/>
  <c r="AL81" i="26"/>
  <c r="C82" i="26"/>
  <c r="V82" i="26" s="1"/>
  <c r="A82" i="26"/>
  <c r="L82" i="26"/>
  <c r="W82" i="26"/>
  <c r="Q82" i="26"/>
  <c r="AM81" i="26" l="1"/>
  <c r="P296" i="55"/>
  <c r="U296" i="55"/>
  <c r="M296" i="55"/>
  <c r="D296" i="55"/>
  <c r="E297" i="55" s="1"/>
  <c r="F296" i="55"/>
  <c r="W296" i="55"/>
  <c r="BL81" i="26"/>
  <c r="BT81" i="26"/>
  <c r="X295" i="55"/>
  <c r="S295" i="55"/>
  <c r="I82" i="26"/>
  <c r="K82" i="26"/>
  <c r="M82" i="26" s="1"/>
  <c r="N82" i="26" s="1"/>
  <c r="F82" i="26"/>
  <c r="R82" i="26" s="1"/>
  <c r="O82" i="26"/>
  <c r="G82" i="26"/>
  <c r="D82" i="26"/>
  <c r="E83" i="26" s="1"/>
  <c r="AS82" i="26"/>
  <c r="BJ82" i="26" s="1"/>
  <c r="X82" i="26"/>
  <c r="AP82" i="26"/>
  <c r="U82" i="26"/>
  <c r="Q297" i="55" l="1"/>
  <c r="K297" i="55"/>
  <c r="L297" i="55" s="1"/>
  <c r="V296" i="55"/>
  <c r="AJ82" i="26"/>
  <c r="AK82" i="26" s="1"/>
  <c r="C297" i="55"/>
  <c r="U297" i="55" s="1"/>
  <c r="H297" i="55"/>
  <c r="B297" i="55"/>
  <c r="M297" i="55" s="1"/>
  <c r="N297" i="55" s="1"/>
  <c r="A297" i="55"/>
  <c r="N296" i="55"/>
  <c r="AV81" i="55"/>
  <c r="AF82" i="26"/>
  <c r="AN82" i="26" s="1"/>
  <c r="S82" i="26"/>
  <c r="T82" i="26" s="1"/>
  <c r="H83" i="26"/>
  <c r="B83" i="26"/>
  <c r="D83" i="26" s="1"/>
  <c r="AO82" i="26"/>
  <c r="AT82" i="26" s="1"/>
  <c r="BK82" i="26"/>
  <c r="AL82" i="26"/>
  <c r="AM82" i="26" l="1"/>
  <c r="BL82" i="26"/>
  <c r="BC82" i="26"/>
  <c r="P297" i="55"/>
  <c r="V297" i="55" s="1"/>
  <c r="O297" i="55"/>
  <c r="F297" i="55"/>
  <c r="G297" i="55"/>
  <c r="D297" i="55"/>
  <c r="E298" i="55" s="1"/>
  <c r="X296" i="55"/>
  <c r="S296" i="55"/>
  <c r="W297" i="55"/>
  <c r="X297" i="55"/>
  <c r="AU81" i="26"/>
  <c r="F83" i="26"/>
  <c r="K83" i="26"/>
  <c r="I83" i="26"/>
  <c r="G83" i="26"/>
  <c r="P83" i="26"/>
  <c r="O83" i="26"/>
  <c r="C83" i="26"/>
  <c r="A83" i="26"/>
  <c r="L83" i="26"/>
  <c r="W83" i="26"/>
  <c r="Q83" i="26"/>
  <c r="U83" i="26" l="1"/>
  <c r="V83" i="26"/>
  <c r="Q298" i="55"/>
  <c r="K298" i="55"/>
  <c r="L298" i="55" s="1"/>
  <c r="B298" i="55"/>
  <c r="P298" i="55" s="1"/>
  <c r="H298" i="55"/>
  <c r="A298" i="55"/>
  <c r="C298" i="55"/>
  <c r="O298" i="55" s="1"/>
  <c r="R83" i="26"/>
  <c r="S297" i="55"/>
  <c r="M83" i="26"/>
  <c r="N83" i="26" s="1"/>
  <c r="BT82" i="26"/>
  <c r="AV82" i="55"/>
  <c r="AS83" i="26"/>
  <c r="BJ83" i="26" s="1"/>
  <c r="AF83" i="26"/>
  <c r="AN83" i="26" s="1"/>
  <c r="AP83" i="26"/>
  <c r="X83" i="26"/>
  <c r="E84" i="26"/>
  <c r="AL83" i="26" l="1"/>
  <c r="AM83" i="26" s="1"/>
  <c r="F298" i="55"/>
  <c r="G298" i="55"/>
  <c r="S83" i="26"/>
  <c r="T83" i="26" s="1"/>
  <c r="M298" i="55"/>
  <c r="D298" i="55"/>
  <c r="E299" i="55" s="1"/>
  <c r="AJ83" i="26"/>
  <c r="AK83" i="26" s="1"/>
  <c r="U298" i="55"/>
  <c r="V298" i="55" s="1"/>
  <c r="W298" i="55"/>
  <c r="AU82" i="26"/>
  <c r="B84" i="26"/>
  <c r="D84" i="26" s="1"/>
  <c r="BK83" i="26"/>
  <c r="AO83" i="26"/>
  <c r="AT83" i="26" s="1"/>
  <c r="H84" i="26"/>
  <c r="A84" i="26"/>
  <c r="C84" i="26"/>
  <c r="V84" i="26" s="1"/>
  <c r="L84" i="26"/>
  <c r="W84" i="26"/>
  <c r="Q84" i="26"/>
  <c r="BL83" i="26" l="1"/>
  <c r="BC83" i="26"/>
  <c r="K299" i="55"/>
  <c r="L299" i="55" s="1"/>
  <c r="Q299" i="55"/>
  <c r="N298" i="55"/>
  <c r="X298" i="55" s="1"/>
  <c r="H299" i="55"/>
  <c r="A299" i="55"/>
  <c r="B299" i="55"/>
  <c r="D299" i="55" s="1"/>
  <c r="C299" i="55"/>
  <c r="O299" i="55" s="1"/>
  <c r="I84" i="26"/>
  <c r="G84" i="26"/>
  <c r="AP84" i="26"/>
  <c r="F84" i="26"/>
  <c r="O84" i="26"/>
  <c r="P84" i="26"/>
  <c r="AS84" i="26"/>
  <c r="BJ84" i="26" s="1"/>
  <c r="E85" i="26"/>
  <c r="K84" i="26"/>
  <c r="M84" i="26" s="1"/>
  <c r="X84" i="26"/>
  <c r="BT83" i="26" l="1"/>
  <c r="P299" i="55"/>
  <c r="S298" i="55"/>
  <c r="AV83" i="55"/>
  <c r="M299" i="55"/>
  <c r="N299" i="55" s="1"/>
  <c r="X299" i="55" s="1"/>
  <c r="F299" i="55"/>
  <c r="W299" i="55"/>
  <c r="G299" i="55"/>
  <c r="E300" i="55"/>
  <c r="U299" i="55"/>
  <c r="AU83" i="26"/>
  <c r="B85" i="26"/>
  <c r="F85" i="26" s="1"/>
  <c r="BK84" i="26"/>
  <c r="AO84" i="26"/>
  <c r="AT84" i="26" s="1"/>
  <c r="H85" i="26"/>
  <c r="N84" i="26"/>
  <c r="AJ84" i="26"/>
  <c r="AK84" i="26" s="1"/>
  <c r="R84" i="26"/>
  <c r="U84" i="26"/>
  <c r="Q300" i="55" l="1"/>
  <c r="K300" i="55"/>
  <c r="S299" i="55"/>
  <c r="V299" i="55"/>
  <c r="B300" i="55"/>
  <c r="G300" i="55" s="1"/>
  <c r="C300" i="55"/>
  <c r="O300" i="55" s="1"/>
  <c r="A300" i="55"/>
  <c r="H300" i="55"/>
  <c r="L300" i="55"/>
  <c r="AF84" i="26"/>
  <c r="AN84" i="26" s="1"/>
  <c r="I85" i="26"/>
  <c r="S84" i="26"/>
  <c r="T84" i="26" s="1"/>
  <c r="BC84" i="26" s="1"/>
  <c r="D85" i="26"/>
  <c r="O85" i="26"/>
  <c r="P85" i="26"/>
  <c r="G85" i="26"/>
  <c r="AL84" i="26" l="1"/>
  <c r="AM84" i="26" s="1"/>
  <c r="P300" i="55"/>
  <c r="U300" i="55"/>
  <c r="W300" i="55"/>
  <c r="M300" i="55"/>
  <c r="F300" i="55"/>
  <c r="D300" i="55"/>
  <c r="E301" i="55" s="1"/>
  <c r="BL84" i="26"/>
  <c r="A85" i="26"/>
  <c r="C85" i="26"/>
  <c r="L85" i="26"/>
  <c r="Q85" i="26"/>
  <c r="W85" i="26"/>
  <c r="K85" i="26"/>
  <c r="X85" i="26" l="1"/>
  <c r="V85" i="26"/>
  <c r="Q301" i="55"/>
  <c r="K301" i="55"/>
  <c r="L301" i="55" s="1"/>
  <c r="V300" i="55"/>
  <c r="A301" i="55"/>
  <c r="H301" i="55"/>
  <c r="B301" i="55"/>
  <c r="M301" i="55" s="1"/>
  <c r="C301" i="55"/>
  <c r="U301" i="55" s="1"/>
  <c r="N300" i="55"/>
  <c r="M85" i="26"/>
  <c r="N85" i="26" s="1"/>
  <c r="BT84" i="26"/>
  <c r="AV84" i="55"/>
  <c r="AS85" i="26"/>
  <c r="BJ85" i="26" s="1"/>
  <c r="AP85" i="26"/>
  <c r="E86" i="26"/>
  <c r="R85" i="26"/>
  <c r="U85" i="26"/>
  <c r="O301" i="55" l="1"/>
  <c r="P301" i="55"/>
  <c r="V301" i="55" s="1"/>
  <c r="W301" i="55"/>
  <c r="G301" i="55"/>
  <c r="D301" i="55"/>
  <c r="E302" i="55" s="1"/>
  <c r="F301" i="55"/>
  <c r="N301" i="55"/>
  <c r="X300" i="55"/>
  <c r="S300" i="55"/>
  <c r="AJ85" i="26"/>
  <c r="AK85" i="26" s="1"/>
  <c r="AU84" i="26"/>
  <c r="S85" i="26"/>
  <c r="T85" i="26" s="1"/>
  <c r="BC85" i="26" s="1"/>
  <c r="AF85" i="26"/>
  <c r="AN85" i="26" s="1"/>
  <c r="B86" i="26"/>
  <c r="F86" i="26" s="1"/>
  <c r="AO85" i="26"/>
  <c r="AT85" i="26" s="1"/>
  <c r="BK85" i="26"/>
  <c r="H86" i="26"/>
  <c r="AL85" i="26" l="1"/>
  <c r="AM85" i="26" s="1"/>
  <c r="Q302" i="55"/>
  <c r="K302" i="55"/>
  <c r="L302" i="55" s="1"/>
  <c r="B302" i="55"/>
  <c r="G302" i="55" s="1"/>
  <c r="H302" i="55"/>
  <c r="A302" i="55"/>
  <c r="C302" i="55"/>
  <c r="O302" i="55" s="1"/>
  <c r="S301" i="55"/>
  <c r="X301" i="55"/>
  <c r="BL85" i="26"/>
  <c r="K86" i="26"/>
  <c r="I86" i="26"/>
  <c r="G86" i="26"/>
  <c r="D86" i="26"/>
  <c r="O86" i="26"/>
  <c r="P86" i="26"/>
  <c r="C86" i="26"/>
  <c r="V86" i="26" s="1"/>
  <c r="A86" i="26"/>
  <c r="L86" i="26"/>
  <c r="W86" i="26"/>
  <c r="Q86" i="26"/>
  <c r="R86" i="26" s="1"/>
  <c r="P302" i="55" l="1"/>
  <c r="W302" i="55"/>
  <c r="M302" i="55"/>
  <c r="F302" i="55"/>
  <c r="D302" i="55"/>
  <c r="E303" i="55" s="1"/>
  <c r="U302" i="55"/>
  <c r="M86" i="26"/>
  <c r="N86" i="26" s="1"/>
  <c r="S86" i="26"/>
  <c r="T86" i="26" s="1"/>
  <c r="BT85" i="26"/>
  <c r="AV85" i="55"/>
  <c r="AS86" i="26"/>
  <c r="BJ86" i="26" s="1"/>
  <c r="AP86" i="26"/>
  <c r="U86" i="26"/>
  <c r="X86" i="26"/>
  <c r="E87" i="26"/>
  <c r="AL86" i="26" l="1"/>
  <c r="AM86" i="26" s="1"/>
  <c r="BL86" i="26"/>
  <c r="BC86" i="26"/>
  <c r="Q303" i="55"/>
  <c r="K303" i="55"/>
  <c r="L303" i="55" s="1"/>
  <c r="V302" i="55"/>
  <c r="AJ86" i="26"/>
  <c r="AK86" i="26" s="1"/>
  <c r="N302" i="55"/>
  <c r="B303" i="55"/>
  <c r="F303" i="55" s="1"/>
  <c r="A303" i="55"/>
  <c r="H303" i="55"/>
  <c r="C303" i="55"/>
  <c r="U303" i="55" s="1"/>
  <c r="AU85" i="26"/>
  <c r="AF86" i="26"/>
  <c r="AN86" i="26" s="1"/>
  <c r="B87" i="26"/>
  <c r="P87" i="26" s="1"/>
  <c r="H87" i="26"/>
  <c r="BK86" i="26"/>
  <c r="AO86" i="26"/>
  <c r="AT86" i="26" s="1"/>
  <c r="C87" i="26"/>
  <c r="V87" i="26" s="1"/>
  <c r="A87" i="26"/>
  <c r="L87" i="26"/>
  <c r="W87" i="26"/>
  <c r="Q87" i="26"/>
  <c r="P303" i="55" l="1"/>
  <c r="V303" i="55" s="1"/>
  <c r="O303" i="55"/>
  <c r="G303" i="55"/>
  <c r="M303" i="55"/>
  <c r="D303" i="55"/>
  <c r="E304" i="55" s="1"/>
  <c r="W303" i="55"/>
  <c r="S302" i="55"/>
  <c r="X302" i="55"/>
  <c r="F87" i="26"/>
  <c r="R87" i="26" s="1"/>
  <c r="K87" i="26"/>
  <c r="M87" i="26" s="1"/>
  <c r="G87" i="26"/>
  <c r="D87" i="26"/>
  <c r="I87" i="26"/>
  <c r="O87" i="26"/>
  <c r="BT86" i="26"/>
  <c r="AV86" i="55"/>
  <c r="AS87" i="26"/>
  <c r="BJ87" i="26" s="1"/>
  <c r="U87" i="26"/>
  <c r="AO87" i="26"/>
  <c r="AP87" i="26"/>
  <c r="X87" i="26"/>
  <c r="BK87" i="26" s="1"/>
  <c r="Q304" i="55" l="1"/>
  <c r="K304" i="55"/>
  <c r="L304" i="55" s="1"/>
  <c r="E88" i="26"/>
  <c r="AL87" i="26"/>
  <c r="B304" i="55"/>
  <c r="D304" i="55" s="1"/>
  <c r="H304" i="55"/>
  <c r="A304" i="55"/>
  <c r="C304" i="55"/>
  <c r="N303" i="55"/>
  <c r="X303" i="55" s="1"/>
  <c r="AU86" i="26"/>
  <c r="AF87" i="26"/>
  <c r="AN87" i="26" s="1"/>
  <c r="S87" i="26"/>
  <c r="T87" i="26" s="1"/>
  <c r="BC87" i="26" s="1"/>
  <c r="AJ87" i="26"/>
  <c r="AK87" i="26" s="1"/>
  <c r="N87" i="26"/>
  <c r="AT87" i="26"/>
  <c r="B88" i="26" l="1"/>
  <c r="P88" i="26" s="1"/>
  <c r="C88" i="26"/>
  <c r="V88" i="26" s="1"/>
  <c r="H88" i="26"/>
  <c r="O304" i="55"/>
  <c r="Q88" i="26"/>
  <c r="L88" i="26"/>
  <c r="W88" i="26"/>
  <c r="A88" i="26"/>
  <c r="P304" i="55"/>
  <c r="AM87" i="26"/>
  <c r="F304" i="55"/>
  <c r="S303" i="55"/>
  <c r="G304" i="55"/>
  <c r="M304" i="55"/>
  <c r="E305" i="55"/>
  <c r="W304" i="55"/>
  <c r="U304" i="55"/>
  <c r="V304" i="55" s="1"/>
  <c r="BL87" i="26"/>
  <c r="BT87" i="26"/>
  <c r="F88" i="26"/>
  <c r="G88" i="26"/>
  <c r="D88" i="26"/>
  <c r="K88" i="26"/>
  <c r="I88" i="26"/>
  <c r="O88" i="26"/>
  <c r="U88" i="26" l="1"/>
  <c r="AP88" i="26"/>
  <c r="AO88" i="26"/>
  <c r="X88" i="26"/>
  <c r="BK88" i="26" s="1"/>
  <c r="AS88" i="26"/>
  <c r="BJ88" i="26" s="1"/>
  <c r="E89" i="26"/>
  <c r="M88" i="26"/>
  <c r="AJ88" i="26" s="1"/>
  <c r="AK88" i="26" s="1"/>
  <c r="R88" i="26"/>
  <c r="Q305" i="55"/>
  <c r="K305" i="55"/>
  <c r="L305" i="55" s="1"/>
  <c r="H305" i="55"/>
  <c r="A305" i="55"/>
  <c r="C305" i="55"/>
  <c r="O305" i="55" s="1"/>
  <c r="B305" i="55"/>
  <c r="P305" i="55" s="1"/>
  <c r="N304" i="55"/>
  <c r="X304" i="55" s="1"/>
  <c r="AU87" i="26"/>
  <c r="AF88" i="26"/>
  <c r="AN88" i="26" s="1"/>
  <c r="AV87" i="55"/>
  <c r="AL88" i="26" l="1"/>
  <c r="AM88" i="26" s="1"/>
  <c r="AT88" i="26"/>
  <c r="B89" i="26"/>
  <c r="G89" i="26" s="1"/>
  <c r="H89" i="26"/>
  <c r="S88" i="26"/>
  <c r="T88" i="26" s="1"/>
  <c r="N88" i="26"/>
  <c r="F305" i="55"/>
  <c r="W305" i="55"/>
  <c r="D305" i="55"/>
  <c r="E306" i="55" s="1"/>
  <c r="M305" i="55"/>
  <c r="S304" i="55"/>
  <c r="G305" i="55"/>
  <c r="A89" i="26"/>
  <c r="C89" i="26"/>
  <c r="L89" i="26"/>
  <c r="Q89" i="26"/>
  <c r="W89" i="26"/>
  <c r="D89" i="26" l="1"/>
  <c r="BL88" i="26"/>
  <c r="BC88" i="26"/>
  <c r="I89" i="26"/>
  <c r="AS89" i="26" s="1"/>
  <c r="BJ89" i="26" s="1"/>
  <c r="V89" i="26"/>
  <c r="F89" i="26"/>
  <c r="R89" i="26" s="1"/>
  <c r="K89" i="26"/>
  <c r="M89" i="26" s="1"/>
  <c r="N89" i="26" s="1"/>
  <c r="P89" i="26"/>
  <c r="O89" i="26"/>
  <c r="Q306" i="55"/>
  <c r="K306" i="55"/>
  <c r="L306" i="55" s="1"/>
  <c r="H306" i="55"/>
  <c r="C306" i="55"/>
  <c r="U306" i="55" s="1"/>
  <c r="B306" i="55"/>
  <c r="P306" i="55" s="1"/>
  <c r="A306" i="55"/>
  <c r="N305" i="55"/>
  <c r="X89" i="26"/>
  <c r="AP89" i="26"/>
  <c r="E90" i="26"/>
  <c r="U89" i="26"/>
  <c r="BT88" i="26" l="1"/>
  <c r="AV88" i="55"/>
  <c r="O306" i="55"/>
  <c r="AJ89" i="26"/>
  <c r="AK89" i="26" s="1"/>
  <c r="G306" i="55"/>
  <c r="F306" i="55"/>
  <c r="V306" i="55"/>
  <c r="M306" i="55"/>
  <c r="D306" i="55"/>
  <c r="E307" i="55" s="1"/>
  <c r="S305" i="55"/>
  <c r="X305" i="55"/>
  <c r="W306" i="55"/>
  <c r="S89" i="26"/>
  <c r="T89" i="26" s="1"/>
  <c r="BC89" i="26" s="1"/>
  <c r="AU88" i="26"/>
  <c r="AF89" i="26"/>
  <c r="AN89" i="26" s="1"/>
  <c r="B90" i="26"/>
  <c r="O90" i="26" s="1"/>
  <c r="AO89" i="26"/>
  <c r="AT89" i="26" s="1"/>
  <c r="BK89" i="26"/>
  <c r="H90" i="26"/>
  <c r="AL89" i="26"/>
  <c r="AM89" i="26" l="1"/>
  <c r="Q307" i="55"/>
  <c r="K307" i="55"/>
  <c r="H307" i="55"/>
  <c r="B307" i="55"/>
  <c r="P307" i="55" s="1"/>
  <c r="L307" i="55"/>
  <c r="A307" i="55"/>
  <c r="C307" i="55"/>
  <c r="O307" i="55" s="1"/>
  <c r="N306" i="55"/>
  <c r="BL89" i="26"/>
  <c r="I90" i="26"/>
  <c r="F90" i="26"/>
  <c r="G90" i="26"/>
  <c r="D90" i="26"/>
  <c r="P90" i="26"/>
  <c r="K90" i="26"/>
  <c r="C90" i="26"/>
  <c r="A90" i="26"/>
  <c r="L90" i="26"/>
  <c r="W90" i="26"/>
  <c r="Q90" i="26"/>
  <c r="U90" i="26" l="1"/>
  <c r="V90" i="26"/>
  <c r="W307" i="55"/>
  <c r="U307" i="55"/>
  <c r="V307" i="55" s="1"/>
  <c r="G307" i="55"/>
  <c r="F307" i="55"/>
  <c r="D307" i="55"/>
  <c r="E308" i="55" s="1"/>
  <c r="M307" i="55"/>
  <c r="S306" i="55"/>
  <c r="X306" i="55"/>
  <c r="R90" i="26"/>
  <c r="BT89" i="26"/>
  <c r="AV89" i="55"/>
  <c r="AS90" i="26"/>
  <c r="BJ90" i="26" s="1"/>
  <c r="AF90" i="26"/>
  <c r="AN90" i="26" s="1"/>
  <c r="AP90" i="26"/>
  <c r="M90" i="26"/>
  <c r="N90" i="26" s="1"/>
  <c r="X90" i="26"/>
  <c r="E91" i="26"/>
  <c r="AL90" i="26" l="1"/>
  <c r="AM90" i="26" s="1"/>
  <c r="B308" i="55"/>
  <c r="P308" i="55" s="1"/>
  <c r="Q308" i="55"/>
  <c r="K308" i="55"/>
  <c r="L308" i="55" s="1"/>
  <c r="H308" i="55"/>
  <c r="A308" i="55"/>
  <c r="D308" i="55"/>
  <c r="F308" i="55"/>
  <c r="C308" i="55"/>
  <c r="O308" i="55" s="1"/>
  <c r="N307" i="55"/>
  <c r="S90" i="26"/>
  <c r="T90" i="26" s="1"/>
  <c r="AU89" i="26"/>
  <c r="B91" i="26"/>
  <c r="P91" i="26" s="1"/>
  <c r="AJ90" i="26"/>
  <c r="AK90" i="26" s="1"/>
  <c r="H91" i="26"/>
  <c r="BK90" i="26"/>
  <c r="AO90" i="26"/>
  <c r="AT90" i="26" s="1"/>
  <c r="C91" i="26"/>
  <c r="V91" i="26" s="1"/>
  <c r="A91" i="26"/>
  <c r="L91" i="26"/>
  <c r="W91" i="26"/>
  <c r="Q91" i="26"/>
  <c r="BL90" i="26" l="1"/>
  <c r="BC90" i="26"/>
  <c r="M308" i="55"/>
  <c r="N308" i="55" s="1"/>
  <c r="G308" i="55"/>
  <c r="U308" i="55"/>
  <c r="V308" i="55" s="1"/>
  <c r="E309" i="55"/>
  <c r="W308" i="55"/>
  <c r="S307" i="55"/>
  <c r="X307" i="55"/>
  <c r="BT90" i="26"/>
  <c r="D91" i="26"/>
  <c r="E92" i="26" s="1"/>
  <c r="F91" i="26"/>
  <c r="R91" i="26" s="1"/>
  <c r="G91" i="26"/>
  <c r="U91" i="26"/>
  <c r="I91" i="26"/>
  <c r="K91" i="26"/>
  <c r="M91" i="26" s="1"/>
  <c r="AJ91" i="26" s="1"/>
  <c r="AK91" i="26" s="1"/>
  <c r="O91" i="26"/>
  <c r="AS91" i="26"/>
  <c r="BJ91" i="26" s="1"/>
  <c r="AO91" i="26"/>
  <c r="AP91" i="26"/>
  <c r="X91" i="26"/>
  <c r="BK91" i="26" s="1"/>
  <c r="Q309" i="55" l="1"/>
  <c r="K309" i="55"/>
  <c r="L309" i="55" s="1"/>
  <c r="S308" i="55"/>
  <c r="X308" i="55"/>
  <c r="B309" i="55"/>
  <c r="F309" i="55" s="1"/>
  <c r="C309" i="55"/>
  <c r="O309" i="55" s="1"/>
  <c r="A309" i="55"/>
  <c r="H309" i="55"/>
  <c r="AV90" i="55"/>
  <c r="AU90" i="26"/>
  <c r="AL91" i="26"/>
  <c r="AF91" i="26"/>
  <c r="AN91" i="26" s="1"/>
  <c r="S91" i="26"/>
  <c r="T91" i="26" s="1"/>
  <c r="BC91" i="26" s="1"/>
  <c r="N91" i="26"/>
  <c r="AT91" i="26"/>
  <c r="B92" i="26"/>
  <c r="P92" i="26" s="1"/>
  <c r="H92" i="26"/>
  <c r="A92" i="26"/>
  <c r="C92" i="26"/>
  <c r="AS92" i="26" s="1"/>
  <c r="L92" i="26"/>
  <c r="W92" i="26"/>
  <c r="Q92" i="26"/>
  <c r="AM91" i="26" l="1"/>
  <c r="V92" i="26"/>
  <c r="P309" i="55"/>
  <c r="U309" i="55"/>
  <c r="W309" i="55"/>
  <c r="D309" i="55"/>
  <c r="E310" i="55" s="1"/>
  <c r="G309" i="55"/>
  <c r="M309" i="55"/>
  <c r="N309" i="55" s="1"/>
  <c r="S309" i="55" s="1"/>
  <c r="BL91" i="26"/>
  <c r="F92" i="26"/>
  <c r="R92" i="26" s="1"/>
  <c r="K92" i="26"/>
  <c r="M92" i="26" s="1"/>
  <c r="N92" i="26" s="1"/>
  <c r="O92" i="26"/>
  <c r="G92" i="26"/>
  <c r="D92" i="26"/>
  <c r="E93" i="26" s="1"/>
  <c r="I92" i="26"/>
  <c r="BJ92" i="26"/>
  <c r="X92" i="26"/>
  <c r="AP92" i="26"/>
  <c r="U92" i="26"/>
  <c r="H310" i="55" l="1"/>
  <c r="Q310" i="55"/>
  <c r="K310" i="55"/>
  <c r="L310" i="55" s="1"/>
  <c r="C310" i="55"/>
  <c r="U310" i="55" s="1"/>
  <c r="A310" i="55"/>
  <c r="V309" i="55"/>
  <c r="B310" i="55"/>
  <c r="F310" i="55" s="1"/>
  <c r="X309" i="55"/>
  <c r="BT91" i="26"/>
  <c r="AV91" i="55"/>
  <c r="AU91" i="26"/>
  <c r="S92" i="26"/>
  <c r="T92" i="26" s="1"/>
  <c r="AF92" i="26"/>
  <c r="AN92" i="26" s="1"/>
  <c r="B93" i="26"/>
  <c r="P93" i="26" s="1"/>
  <c r="AJ92" i="26"/>
  <c r="AK92" i="26" s="1"/>
  <c r="H93" i="26"/>
  <c r="BK92" i="26"/>
  <c r="AO92" i="26"/>
  <c r="AT92" i="26" s="1"/>
  <c r="AL92" i="26" l="1"/>
  <c r="AM92" i="26" s="1"/>
  <c r="BL92" i="26"/>
  <c r="BC92" i="26"/>
  <c r="O310" i="55"/>
  <c r="P310" i="55"/>
  <c r="G310" i="55"/>
  <c r="D310" i="55"/>
  <c r="E311" i="55" s="1"/>
  <c r="V310" i="55"/>
  <c r="M310" i="55"/>
  <c r="N310" i="55" s="1"/>
  <c r="W310" i="55"/>
  <c r="F93" i="26"/>
  <c r="G93" i="26"/>
  <c r="D93" i="26"/>
  <c r="O93" i="26"/>
  <c r="I93" i="26"/>
  <c r="A93" i="26"/>
  <c r="C93" i="26"/>
  <c r="K93" i="26"/>
  <c r="L93" i="26"/>
  <c r="Q93" i="26"/>
  <c r="W93" i="26"/>
  <c r="U93" i="26" l="1"/>
  <c r="V93" i="26"/>
  <c r="Q311" i="55"/>
  <c r="K311" i="55"/>
  <c r="L311" i="55" s="1"/>
  <c r="C311" i="55"/>
  <c r="U311" i="55" s="1"/>
  <c r="H311" i="55"/>
  <c r="A311" i="55"/>
  <c r="B311" i="55"/>
  <c r="F311" i="55" s="1"/>
  <c r="X310" i="55"/>
  <c r="S310" i="55"/>
  <c r="R93" i="26"/>
  <c r="BT92" i="26"/>
  <c r="AV92" i="55"/>
  <c r="AS93" i="26"/>
  <c r="BJ93" i="26" s="1"/>
  <c r="AF93" i="26"/>
  <c r="AN93" i="26" s="1"/>
  <c r="AP93" i="26"/>
  <c r="X93" i="26"/>
  <c r="E94" i="26"/>
  <c r="M93" i="26"/>
  <c r="AL93" i="26" l="1"/>
  <c r="AM93" i="26" s="1"/>
  <c r="O311" i="55"/>
  <c r="P311" i="55"/>
  <c r="G311" i="55"/>
  <c r="D311" i="55"/>
  <c r="E312" i="55" s="1"/>
  <c r="V311" i="55"/>
  <c r="M311" i="55"/>
  <c r="W311" i="55"/>
  <c r="S93" i="26"/>
  <c r="T93" i="26" s="1"/>
  <c r="AU92" i="26"/>
  <c r="B94" i="26"/>
  <c r="D94" i="26" s="1"/>
  <c r="H94" i="26"/>
  <c r="BK93" i="26"/>
  <c r="AO93" i="26"/>
  <c r="AT93" i="26" s="1"/>
  <c r="N93" i="26"/>
  <c r="AJ93" i="26"/>
  <c r="AK93" i="26" s="1"/>
  <c r="L94" i="26"/>
  <c r="C94" i="26"/>
  <c r="AS94" i="26" s="1"/>
  <c r="A94" i="26"/>
  <c r="Q94" i="26"/>
  <c r="W94" i="26"/>
  <c r="BL93" i="26" l="1"/>
  <c r="BC93" i="26"/>
  <c r="BT93" i="26" s="1"/>
  <c r="V94" i="26"/>
  <c r="Q312" i="55"/>
  <c r="K312" i="55"/>
  <c r="L312" i="55" s="1"/>
  <c r="A312" i="55"/>
  <c r="C312" i="55"/>
  <c r="O312" i="55" s="1"/>
  <c r="B312" i="55"/>
  <c r="G312" i="55" s="1"/>
  <c r="H312" i="55"/>
  <c r="N311" i="55"/>
  <c r="X311" i="55" s="1"/>
  <c r="G94" i="26"/>
  <c r="O94" i="26"/>
  <c r="I94" i="26"/>
  <c r="P94" i="26"/>
  <c r="F94" i="26"/>
  <c r="E95" i="26"/>
  <c r="AP94" i="26"/>
  <c r="BJ94" i="26"/>
  <c r="K94" i="26"/>
  <c r="M94" i="26" s="1"/>
  <c r="X94" i="26"/>
  <c r="U312" i="55" l="1"/>
  <c r="P312" i="55"/>
  <c r="S311" i="55"/>
  <c r="AV93" i="55"/>
  <c r="M312" i="55"/>
  <c r="W312" i="55"/>
  <c r="F312" i="55"/>
  <c r="D312" i="55"/>
  <c r="E313" i="55" s="1"/>
  <c r="AU93" i="26"/>
  <c r="H95" i="26"/>
  <c r="B95" i="26"/>
  <c r="I95" i="26" s="1"/>
  <c r="AO94" i="26"/>
  <c r="AT94" i="26" s="1"/>
  <c r="BK94" i="26"/>
  <c r="N94" i="26"/>
  <c r="AJ94" i="26"/>
  <c r="AK94" i="26" s="1"/>
  <c r="R94" i="26"/>
  <c r="U94" i="26"/>
  <c r="V312" i="55" l="1"/>
  <c r="B313" i="55"/>
  <c r="D313" i="55" s="1"/>
  <c r="Q313" i="55"/>
  <c r="K313" i="55"/>
  <c r="L313" i="55" s="1"/>
  <c r="N312" i="55"/>
  <c r="S312" i="55" s="1"/>
  <c r="C313" i="55"/>
  <c r="U313" i="55" s="1"/>
  <c r="H313" i="55"/>
  <c r="A313" i="55"/>
  <c r="AF94" i="26"/>
  <c r="AN94" i="26" s="1"/>
  <c r="S94" i="26"/>
  <c r="T94" i="26" s="1"/>
  <c r="BC94" i="26" s="1"/>
  <c r="F95" i="26"/>
  <c r="D95" i="26"/>
  <c r="G95" i="26"/>
  <c r="O95" i="26"/>
  <c r="P95" i="26"/>
  <c r="AL94" i="26"/>
  <c r="AM94" i="26" l="1"/>
  <c r="M313" i="55"/>
  <c r="N313" i="55" s="1"/>
  <c r="X313" i="55" s="1"/>
  <c r="X312" i="55"/>
  <c r="O313" i="55"/>
  <c r="F313" i="55"/>
  <c r="G313" i="55"/>
  <c r="P313" i="55"/>
  <c r="V313" i="55" s="1"/>
  <c r="E314" i="55"/>
  <c r="W313" i="55"/>
  <c r="BL94" i="26"/>
  <c r="C95" i="26"/>
  <c r="A95" i="26"/>
  <c r="L95" i="26"/>
  <c r="W95" i="26"/>
  <c r="Q95" i="26"/>
  <c r="K95" i="26"/>
  <c r="X95" i="26" l="1"/>
  <c r="V95" i="26"/>
  <c r="S313" i="55"/>
  <c r="Q314" i="55"/>
  <c r="K314" i="55"/>
  <c r="L314" i="55" s="1"/>
  <c r="B314" i="55"/>
  <c r="D314" i="55" s="1"/>
  <c r="A314" i="55"/>
  <c r="C314" i="55"/>
  <c r="O314" i="55" s="1"/>
  <c r="H314" i="55"/>
  <c r="BT94" i="26"/>
  <c r="AV94" i="55"/>
  <c r="AS95" i="26"/>
  <c r="BJ95" i="26" s="1"/>
  <c r="AP95" i="26"/>
  <c r="E96" i="26"/>
  <c r="M95" i="26"/>
  <c r="R95" i="26"/>
  <c r="U95" i="26"/>
  <c r="E315" i="55" l="1"/>
  <c r="A315" i="55" s="1"/>
  <c r="P314" i="55"/>
  <c r="W314" i="55"/>
  <c r="M314" i="55"/>
  <c r="N314" i="55" s="1"/>
  <c r="X314" i="55" s="1"/>
  <c r="G314" i="55"/>
  <c r="F314" i="55"/>
  <c r="U314" i="55"/>
  <c r="H315" i="55"/>
  <c r="AU94" i="26"/>
  <c r="AF95" i="26"/>
  <c r="AN95" i="26" s="1"/>
  <c r="S95" i="26"/>
  <c r="T95" i="26" s="1"/>
  <c r="BC95" i="26" s="1"/>
  <c r="B96" i="26"/>
  <c r="O96" i="26" s="1"/>
  <c r="BK95" i="26"/>
  <c r="AO95" i="26"/>
  <c r="AT95" i="26" s="1"/>
  <c r="H96" i="26"/>
  <c r="N95" i="26"/>
  <c r="AJ95" i="26"/>
  <c r="AK95" i="26" s="1"/>
  <c r="AL95" i="26" l="1"/>
  <c r="AM95" i="26" s="1"/>
  <c r="V314" i="55"/>
  <c r="C315" i="55"/>
  <c r="O315" i="55" s="1"/>
  <c r="B315" i="55"/>
  <c r="G315" i="55" s="1"/>
  <c r="K315" i="55"/>
  <c r="L315" i="55" s="1"/>
  <c r="Q315" i="55"/>
  <c r="U315" i="55"/>
  <c r="S314" i="55"/>
  <c r="BL95" i="26"/>
  <c r="G96" i="26"/>
  <c r="D96" i="26"/>
  <c r="P96" i="26"/>
  <c r="I96" i="26"/>
  <c r="K96" i="26"/>
  <c r="F96" i="26"/>
  <c r="A96" i="26"/>
  <c r="C96" i="26"/>
  <c r="L96" i="26"/>
  <c r="W96" i="26"/>
  <c r="Q96" i="26"/>
  <c r="U96" i="26" l="1"/>
  <c r="V96" i="26"/>
  <c r="P315" i="55"/>
  <c r="V315" i="55" s="1"/>
  <c r="W315" i="55"/>
  <c r="F315" i="55"/>
  <c r="D315" i="55"/>
  <c r="E316" i="55" s="1"/>
  <c r="M315" i="55"/>
  <c r="R96" i="26"/>
  <c r="M96" i="26"/>
  <c r="AJ96" i="26" s="1"/>
  <c r="AK96" i="26" s="1"/>
  <c r="BT95" i="26"/>
  <c r="AV95" i="55"/>
  <c r="AS96" i="26"/>
  <c r="BJ96" i="26" s="1"/>
  <c r="AF96" i="26"/>
  <c r="AN96" i="26" s="1"/>
  <c r="AP96" i="26"/>
  <c r="X96" i="26"/>
  <c r="E97" i="26"/>
  <c r="N315" i="55" l="1"/>
  <c r="Q316" i="55"/>
  <c r="C316" i="55"/>
  <c r="H316" i="55"/>
  <c r="K316" i="55"/>
  <c r="L316" i="55" s="1"/>
  <c r="A316" i="55"/>
  <c r="B316" i="55"/>
  <c r="G316" i="55" s="1"/>
  <c r="AU95" i="26"/>
  <c r="AL96" i="26"/>
  <c r="S96" i="26"/>
  <c r="T96" i="26" s="1"/>
  <c r="BC96" i="26" s="1"/>
  <c r="N96" i="26"/>
  <c r="B97" i="26"/>
  <c r="P97" i="26" s="1"/>
  <c r="H97" i="26"/>
  <c r="BK96" i="26"/>
  <c r="AO96" i="26"/>
  <c r="AT96" i="26" s="1"/>
  <c r="L97" i="26"/>
  <c r="W97" i="26"/>
  <c r="AM96" i="26" l="1"/>
  <c r="F316" i="55"/>
  <c r="U316" i="55"/>
  <c r="O316" i="55"/>
  <c r="W316" i="55"/>
  <c r="M316" i="55"/>
  <c r="P316" i="55"/>
  <c r="D316" i="55"/>
  <c r="E317" i="55" s="1"/>
  <c r="X315" i="55"/>
  <c r="S315" i="55"/>
  <c r="BL96" i="26"/>
  <c r="BT96" i="26"/>
  <c r="I97" i="26"/>
  <c r="F97" i="26"/>
  <c r="K97" i="26"/>
  <c r="M97" i="26" s="1"/>
  <c r="O97" i="26"/>
  <c r="G97" i="26"/>
  <c r="D97" i="26"/>
  <c r="Q97" i="26"/>
  <c r="A97" i="26"/>
  <c r="C97" i="26"/>
  <c r="V97" i="26" s="1"/>
  <c r="V316" i="55" l="1"/>
  <c r="N316" i="55"/>
  <c r="A317" i="55"/>
  <c r="B317" i="55"/>
  <c r="Q317" i="55"/>
  <c r="H317" i="55"/>
  <c r="K317" i="55"/>
  <c r="L317" i="55" s="1"/>
  <c r="C317" i="55"/>
  <c r="O317" i="55" s="1"/>
  <c r="AU96" i="26"/>
  <c r="AV96" i="55"/>
  <c r="R97" i="26"/>
  <c r="U97" i="26"/>
  <c r="AS97" i="26"/>
  <c r="BJ97" i="26" s="1"/>
  <c r="AP97" i="26"/>
  <c r="N97" i="26"/>
  <c r="AJ97" i="26"/>
  <c r="AK97" i="26" s="1"/>
  <c r="X97" i="26"/>
  <c r="E98" i="26"/>
  <c r="AL97" i="26" l="1"/>
  <c r="AM97" i="26" s="1"/>
  <c r="F317" i="55"/>
  <c r="G317" i="55"/>
  <c r="W317" i="55"/>
  <c r="D317" i="55"/>
  <c r="M317" i="55" s="1"/>
  <c r="P317" i="55"/>
  <c r="X316" i="55"/>
  <c r="S316" i="55"/>
  <c r="S97" i="26"/>
  <c r="T97" i="26" s="1"/>
  <c r="BC97" i="26" s="1"/>
  <c r="AF97" i="26"/>
  <c r="AN97" i="26" s="1"/>
  <c r="B98" i="26"/>
  <c r="P98" i="26" s="1"/>
  <c r="BK97" i="26"/>
  <c r="AO97" i="26"/>
  <c r="AT97" i="26" s="1"/>
  <c r="H98" i="26"/>
  <c r="C98" i="26"/>
  <c r="AS98" i="26" s="1"/>
  <c r="A98" i="26"/>
  <c r="L98" i="26"/>
  <c r="W98" i="26"/>
  <c r="Q98" i="26"/>
  <c r="V98" i="26" l="1"/>
  <c r="E318" i="55"/>
  <c r="Q318" i="55" s="1"/>
  <c r="N317" i="55"/>
  <c r="BL97" i="26"/>
  <c r="BT97" i="26"/>
  <c r="I98" i="26"/>
  <c r="O98" i="26"/>
  <c r="F98" i="26"/>
  <c r="G98" i="26"/>
  <c r="D98" i="26"/>
  <c r="E99" i="26" s="1"/>
  <c r="BJ98" i="26"/>
  <c r="AP98" i="26"/>
  <c r="K98" i="26"/>
  <c r="M98" i="26" s="1"/>
  <c r="X98" i="26"/>
  <c r="B318" i="55" l="1"/>
  <c r="D318" i="55" s="1"/>
  <c r="H318" i="55"/>
  <c r="P318" i="55"/>
  <c r="M318" i="55"/>
  <c r="N318" i="55" s="1"/>
  <c r="X318" i="55" s="1"/>
  <c r="G318" i="55"/>
  <c r="F318" i="55"/>
  <c r="K318" i="55"/>
  <c r="L318" i="55" s="1"/>
  <c r="C318" i="55"/>
  <c r="U318" i="55" s="1"/>
  <c r="V318" i="55" s="1"/>
  <c r="A318" i="55"/>
  <c r="X317" i="55"/>
  <c r="S317" i="55"/>
  <c r="AV97" i="55"/>
  <c r="AU97" i="26"/>
  <c r="B99" i="26"/>
  <c r="D99" i="26" s="1"/>
  <c r="H99" i="26"/>
  <c r="BK98" i="26"/>
  <c r="AO98" i="26"/>
  <c r="AT98" i="26" s="1"/>
  <c r="N98" i="26"/>
  <c r="AJ98" i="26"/>
  <c r="AK98" i="26" s="1"/>
  <c r="R98" i="26"/>
  <c r="U98" i="26"/>
  <c r="O318" i="55" l="1"/>
  <c r="S318" i="55" s="1"/>
  <c r="W318" i="55"/>
  <c r="E319" i="55"/>
  <c r="A319" i="55" s="1"/>
  <c r="AF98" i="26"/>
  <c r="AN98" i="26" s="1"/>
  <c r="G99" i="26"/>
  <c r="I99" i="26"/>
  <c r="S98" i="26"/>
  <c r="T98" i="26" s="1"/>
  <c r="BC98" i="26" s="1"/>
  <c r="O99" i="26"/>
  <c r="P99" i="26"/>
  <c r="F99" i="26"/>
  <c r="AL98" i="26"/>
  <c r="K99" i="26"/>
  <c r="C319" i="55" l="1"/>
  <c r="U319" i="55" s="1"/>
  <c r="H319" i="55"/>
  <c r="B319" i="55"/>
  <c r="D319" i="55" s="1"/>
  <c r="K319" i="55"/>
  <c r="L319" i="55" s="1"/>
  <c r="Q319" i="55"/>
  <c r="AM98" i="26"/>
  <c r="BL98" i="26"/>
  <c r="C99" i="26"/>
  <c r="V99" i="26" s="1"/>
  <c r="A99" i="26"/>
  <c r="L99" i="26"/>
  <c r="M99" i="26" s="1"/>
  <c r="W99" i="26"/>
  <c r="Q99" i="26"/>
  <c r="R99" i="26" s="1"/>
  <c r="F319" i="55" l="1"/>
  <c r="P319" i="55"/>
  <c r="V319" i="55" s="1"/>
  <c r="G319" i="55"/>
  <c r="E320" i="55"/>
  <c r="Q320" i="55" s="1"/>
  <c r="M319" i="55"/>
  <c r="W319" i="55"/>
  <c r="O319" i="55"/>
  <c r="S99" i="26"/>
  <c r="T99" i="26" s="1"/>
  <c r="BT98" i="26"/>
  <c r="AV98" i="55"/>
  <c r="AS99" i="26"/>
  <c r="BJ99" i="26" s="1"/>
  <c r="U99" i="26"/>
  <c r="AP99" i="26"/>
  <c r="N99" i="26"/>
  <c r="AJ99" i="26"/>
  <c r="AK99" i="26" s="1"/>
  <c r="X99" i="26"/>
  <c r="E100" i="26"/>
  <c r="AL99" i="26" l="1"/>
  <c r="AM99" i="26" s="1"/>
  <c r="BL99" i="26"/>
  <c r="BC99" i="26"/>
  <c r="A320" i="55"/>
  <c r="K320" i="55"/>
  <c r="L320" i="55" s="1"/>
  <c r="C320" i="55"/>
  <c r="O320" i="55" s="1"/>
  <c r="H320" i="55"/>
  <c r="B320" i="55"/>
  <c r="G320" i="55" s="1"/>
  <c r="N319" i="55"/>
  <c r="S319" i="55" s="1"/>
  <c r="U320" i="55"/>
  <c r="P320" i="55"/>
  <c r="D320" i="55"/>
  <c r="X319" i="55"/>
  <c r="AU98" i="26"/>
  <c r="AF99" i="26"/>
  <c r="AN99" i="26" s="1"/>
  <c r="B100" i="26"/>
  <c r="P100" i="26" s="1"/>
  <c r="H100" i="26"/>
  <c r="BK99" i="26"/>
  <c r="AO99" i="26"/>
  <c r="AT99" i="26" s="1"/>
  <c r="A100" i="26"/>
  <c r="C100" i="26"/>
  <c r="V100" i="26" s="1"/>
  <c r="L100" i="26"/>
  <c r="W100" i="26"/>
  <c r="Q100" i="26"/>
  <c r="E321" i="55" l="1"/>
  <c r="K321" i="55" s="1"/>
  <c r="W320" i="55"/>
  <c r="F320" i="55"/>
  <c r="M320" i="55"/>
  <c r="B321" i="55"/>
  <c r="P321" i="55" s="1"/>
  <c r="A321" i="55"/>
  <c r="H321" i="55"/>
  <c r="L321" i="55"/>
  <c r="V320" i="55"/>
  <c r="D321" i="55"/>
  <c r="F321" i="55"/>
  <c r="I100" i="26"/>
  <c r="K100" i="26"/>
  <c r="M100" i="26" s="1"/>
  <c r="N100" i="26" s="1"/>
  <c r="O100" i="26"/>
  <c r="F100" i="26"/>
  <c r="R100" i="26" s="1"/>
  <c r="X100" i="26"/>
  <c r="G100" i="26"/>
  <c r="D100" i="26"/>
  <c r="E101" i="26" s="1"/>
  <c r="BT99" i="26"/>
  <c r="AV99" i="55"/>
  <c r="AS100" i="26"/>
  <c r="BJ100" i="26" s="1"/>
  <c r="AP100" i="26"/>
  <c r="U100" i="26"/>
  <c r="C321" i="55" l="1"/>
  <c r="O321" i="55" s="1"/>
  <c r="Q321" i="55"/>
  <c r="U321" i="55"/>
  <c r="V321" i="55" s="1"/>
  <c r="N320" i="55"/>
  <c r="S320" i="55" s="1"/>
  <c r="G321" i="55"/>
  <c r="W321" i="55"/>
  <c r="X320" i="55"/>
  <c r="M321" i="55"/>
  <c r="E322" i="55"/>
  <c r="AU99" i="26"/>
  <c r="AF100" i="26"/>
  <c r="AN100" i="26" s="1"/>
  <c r="S100" i="26"/>
  <c r="T100" i="26" s="1"/>
  <c r="BC100" i="26" s="1"/>
  <c r="B101" i="26"/>
  <c r="D101" i="26" s="1"/>
  <c r="AJ100" i="26"/>
  <c r="AK100" i="26" s="1"/>
  <c r="H101" i="26"/>
  <c r="BK100" i="26"/>
  <c r="AO100" i="26"/>
  <c r="AT100" i="26" s="1"/>
  <c r="AL100" i="26" l="1"/>
  <c r="AM100" i="26" s="1"/>
  <c r="Q322" i="55"/>
  <c r="K322" i="55"/>
  <c r="L322" i="55" s="1"/>
  <c r="C322" i="55"/>
  <c r="O322" i="55" s="1"/>
  <c r="H322" i="55"/>
  <c r="A322" i="55"/>
  <c r="B322" i="55"/>
  <c r="P322" i="55" s="1"/>
  <c r="N321" i="55"/>
  <c r="BL100" i="26"/>
  <c r="G101" i="26"/>
  <c r="P101" i="26"/>
  <c r="I101" i="26"/>
  <c r="O101" i="26"/>
  <c r="K101" i="26"/>
  <c r="F101" i="26"/>
  <c r="A101" i="26"/>
  <c r="C101" i="26"/>
  <c r="V101" i="26" s="1"/>
  <c r="L101" i="26"/>
  <c r="Q101" i="26"/>
  <c r="W101" i="26"/>
  <c r="X101" i="26" s="1"/>
  <c r="U322" i="55" l="1"/>
  <c r="D322" i="55"/>
  <c r="W322" i="55"/>
  <c r="G322" i="55"/>
  <c r="S321" i="55"/>
  <c r="X321" i="55"/>
  <c r="F322" i="55"/>
  <c r="R101" i="26"/>
  <c r="AS101" i="26"/>
  <c r="BJ101" i="26" s="1"/>
  <c r="M101" i="26"/>
  <c r="N101" i="26" s="1"/>
  <c r="BT100" i="26"/>
  <c r="AV100" i="55"/>
  <c r="U101" i="26"/>
  <c r="AP101" i="26"/>
  <c r="E102" i="26"/>
  <c r="AL101" i="26" l="1"/>
  <c r="AM101" i="26" s="1"/>
  <c r="V322" i="55"/>
  <c r="E323" i="55"/>
  <c r="M322" i="55"/>
  <c r="S101" i="26"/>
  <c r="T101" i="26" s="1"/>
  <c r="AJ101" i="26"/>
  <c r="AK101" i="26" s="1"/>
  <c r="AU100" i="26"/>
  <c r="AF101" i="26"/>
  <c r="AN101" i="26" s="1"/>
  <c r="B102" i="26"/>
  <c r="D102" i="26" s="1"/>
  <c r="H102" i="26"/>
  <c r="BK101" i="26"/>
  <c r="AO101" i="26"/>
  <c r="AT101" i="26" s="1"/>
  <c r="C102" i="26"/>
  <c r="AS102" i="26" s="1"/>
  <c r="A102" i="26"/>
  <c r="L102" i="26"/>
  <c r="W102" i="26"/>
  <c r="Q102" i="26"/>
  <c r="BL101" i="26" l="1"/>
  <c r="BC101" i="26"/>
  <c r="BT101" i="26" s="1"/>
  <c r="V102" i="26"/>
  <c r="K323" i="55"/>
  <c r="L323" i="55" s="1"/>
  <c r="Q323" i="55"/>
  <c r="A323" i="55"/>
  <c r="B323" i="55"/>
  <c r="P323" i="55" s="1"/>
  <c r="H323" i="55"/>
  <c r="C323" i="55"/>
  <c r="O323" i="55" s="1"/>
  <c r="N322" i="55"/>
  <c r="F102" i="26"/>
  <c r="R102" i="26" s="1"/>
  <c r="K102" i="26"/>
  <c r="M102" i="26" s="1"/>
  <c r="G102" i="26"/>
  <c r="O102" i="26"/>
  <c r="I102" i="26"/>
  <c r="P102" i="26"/>
  <c r="BJ102" i="26"/>
  <c r="X102" i="26"/>
  <c r="AP102" i="26"/>
  <c r="E103" i="26"/>
  <c r="U102" i="26"/>
  <c r="W323" i="55" l="1"/>
  <c r="F323" i="55"/>
  <c r="D323" i="55"/>
  <c r="M323" i="55" s="1"/>
  <c r="N323" i="55" s="1"/>
  <c r="X323" i="55" s="1"/>
  <c r="G323" i="55"/>
  <c r="X322" i="55"/>
  <c r="S322" i="55"/>
  <c r="U323" i="55"/>
  <c r="V323" i="55" s="1"/>
  <c r="AV101" i="55"/>
  <c r="AU101" i="26"/>
  <c r="AJ102" i="26"/>
  <c r="AK102" i="26" s="1"/>
  <c r="N102" i="26"/>
  <c r="AF102" i="26"/>
  <c r="AN102" i="26" s="1"/>
  <c r="S102" i="26"/>
  <c r="T102" i="26" s="1"/>
  <c r="BC102" i="26" s="1"/>
  <c r="B103" i="26"/>
  <c r="D103" i="26" s="1"/>
  <c r="H103" i="26"/>
  <c r="BK102" i="26"/>
  <c r="AO102" i="26"/>
  <c r="AT102" i="26" s="1"/>
  <c r="AL102" i="26" l="1"/>
  <c r="AM102" i="26" s="1"/>
  <c r="E324" i="55"/>
  <c r="S323" i="55"/>
  <c r="BL102" i="26"/>
  <c r="G103" i="26"/>
  <c r="O103" i="26"/>
  <c r="I103" i="26"/>
  <c r="P103" i="26"/>
  <c r="F103" i="26"/>
  <c r="C103" i="26"/>
  <c r="V103" i="26" s="1"/>
  <c r="A103" i="26"/>
  <c r="L103" i="26"/>
  <c r="W103" i="26"/>
  <c r="Q103" i="26"/>
  <c r="C324" i="55" l="1"/>
  <c r="U324" i="55" s="1"/>
  <c r="Q324" i="55"/>
  <c r="K324" i="55"/>
  <c r="L324" i="55" s="1"/>
  <c r="A324" i="55"/>
  <c r="B324" i="55"/>
  <c r="D324" i="55" s="1"/>
  <c r="E325" i="55" s="1"/>
  <c r="H324" i="55"/>
  <c r="BT102" i="26"/>
  <c r="AV102" i="55"/>
  <c r="AS103" i="26"/>
  <c r="BJ103" i="26" s="1"/>
  <c r="E104" i="26"/>
  <c r="AP103" i="26"/>
  <c r="K103" i="26"/>
  <c r="M103" i="26" s="1"/>
  <c r="X103" i="26"/>
  <c r="O324" i="55" l="1"/>
  <c r="Q325" i="55"/>
  <c r="K325" i="55"/>
  <c r="L325" i="55" s="1"/>
  <c r="P324" i="55"/>
  <c r="V324" i="55" s="1"/>
  <c r="F324" i="55"/>
  <c r="G324" i="55"/>
  <c r="W324" i="55"/>
  <c r="M324" i="55"/>
  <c r="N324" i="55" s="1"/>
  <c r="C325" i="55"/>
  <c r="U325" i="55" s="1"/>
  <c r="H325" i="55"/>
  <c r="A325" i="55"/>
  <c r="B325" i="55"/>
  <c r="G325" i="55" s="1"/>
  <c r="AU102" i="26"/>
  <c r="B104" i="26"/>
  <c r="P104" i="26" s="1"/>
  <c r="AO103" i="26"/>
  <c r="AT103" i="26" s="1"/>
  <c r="BK103" i="26"/>
  <c r="H104" i="26"/>
  <c r="N103" i="26"/>
  <c r="AJ103" i="26"/>
  <c r="AK103" i="26" s="1"/>
  <c r="R103" i="26"/>
  <c r="U103" i="26"/>
  <c r="O325" i="55" l="1"/>
  <c r="P325" i="55"/>
  <c r="V325" i="55" s="1"/>
  <c r="F325" i="55"/>
  <c r="D325" i="55"/>
  <c r="M325" i="55" s="1"/>
  <c r="N325" i="55" s="1"/>
  <c r="W325" i="55"/>
  <c r="S324" i="55"/>
  <c r="X324" i="55"/>
  <c r="AF103" i="26"/>
  <c r="AN103" i="26" s="1"/>
  <c r="I104" i="26"/>
  <c r="S103" i="26"/>
  <c r="T103" i="26" s="1"/>
  <c r="BC103" i="26" s="1"/>
  <c r="G104" i="26"/>
  <c r="D104" i="26"/>
  <c r="O104" i="26"/>
  <c r="F104" i="26"/>
  <c r="AL103" i="26" l="1"/>
  <c r="AM103" i="26" s="1"/>
  <c r="S325" i="55"/>
  <c r="E326" i="55"/>
  <c r="A326" i="55" s="1"/>
  <c r="X325" i="55"/>
  <c r="BL103" i="26"/>
  <c r="K104" i="26"/>
  <c r="A104" i="26"/>
  <c r="C104" i="26"/>
  <c r="V104" i="26" s="1"/>
  <c r="L104" i="26"/>
  <c r="W104" i="26"/>
  <c r="Q104" i="26"/>
  <c r="R104" i="26" s="1"/>
  <c r="Q326" i="55" l="1"/>
  <c r="K326" i="55"/>
  <c r="H326" i="55"/>
  <c r="B326" i="55"/>
  <c r="P326" i="55" s="1"/>
  <c r="C326" i="55"/>
  <c r="U326" i="55" s="1"/>
  <c r="L326" i="55"/>
  <c r="S104" i="26"/>
  <c r="T104" i="26" s="1"/>
  <c r="BT103" i="26"/>
  <c r="AV103" i="55"/>
  <c r="AS104" i="26"/>
  <c r="BJ104" i="26" s="1"/>
  <c r="AP104" i="26"/>
  <c r="M104" i="26"/>
  <c r="X104" i="26"/>
  <c r="E105" i="26"/>
  <c r="U104" i="26"/>
  <c r="AL104" i="26"/>
  <c r="AM104" i="26" l="1"/>
  <c r="BL104" i="26"/>
  <c r="BC104" i="26"/>
  <c r="AV104" i="55" s="1"/>
  <c r="O326" i="55"/>
  <c r="G326" i="55"/>
  <c r="V326" i="55"/>
  <c r="W326" i="55"/>
  <c r="D326" i="55"/>
  <c r="F326" i="55"/>
  <c r="AU103" i="26"/>
  <c r="AF104" i="26"/>
  <c r="AN104" i="26" s="1"/>
  <c r="B105" i="26"/>
  <c r="I105" i="26" s="1"/>
  <c r="H105" i="26"/>
  <c r="BK104" i="26"/>
  <c r="AO104" i="26"/>
  <c r="AT104" i="26" s="1"/>
  <c r="N104" i="26"/>
  <c r="AJ104" i="26"/>
  <c r="AK104" i="26" s="1"/>
  <c r="A105" i="26"/>
  <c r="C105" i="26"/>
  <c r="V105" i="26" s="1"/>
  <c r="L105" i="26"/>
  <c r="Q105" i="26"/>
  <c r="W105" i="26"/>
  <c r="E327" i="55" l="1"/>
  <c r="M326" i="55"/>
  <c r="F105" i="26"/>
  <c r="R105" i="26" s="1"/>
  <c r="D105" i="26"/>
  <c r="E106" i="26" s="1"/>
  <c r="K105" i="26"/>
  <c r="M105" i="26" s="1"/>
  <c r="N105" i="26" s="1"/>
  <c r="G105" i="26"/>
  <c r="O105" i="26"/>
  <c r="P105" i="26"/>
  <c r="AS105" i="26"/>
  <c r="BJ105" i="26" s="1"/>
  <c r="AO105" i="26"/>
  <c r="AP105" i="26"/>
  <c r="BT104" i="26"/>
  <c r="X105" i="26"/>
  <c r="BK105" i="26" s="1"/>
  <c r="U105" i="26"/>
  <c r="Q327" i="55" l="1"/>
  <c r="K327" i="55"/>
  <c r="N326" i="55"/>
  <c r="B327" i="55"/>
  <c r="F327" i="55" s="1"/>
  <c r="L327" i="55"/>
  <c r="A327" i="55"/>
  <c r="C327" i="55"/>
  <c r="W327" i="55" s="1"/>
  <c r="H327" i="55"/>
  <c r="AU104" i="26"/>
  <c r="AF105" i="26"/>
  <c r="AN105" i="26" s="1"/>
  <c r="AJ105" i="26"/>
  <c r="AK105" i="26" s="1"/>
  <c r="S105" i="26"/>
  <c r="T105" i="26" s="1"/>
  <c r="BC105" i="26" s="1"/>
  <c r="AT105" i="26"/>
  <c r="B106" i="26"/>
  <c r="P106" i="26" s="1"/>
  <c r="H106" i="26"/>
  <c r="AL105" i="26" l="1"/>
  <c r="AM105" i="26" s="1"/>
  <c r="D327" i="55"/>
  <c r="M327" i="55" s="1"/>
  <c r="G327" i="55"/>
  <c r="O327" i="55"/>
  <c r="P327" i="55"/>
  <c r="U327" i="55"/>
  <c r="X326" i="55"/>
  <c r="S326" i="55"/>
  <c r="BL105" i="26"/>
  <c r="F106" i="26"/>
  <c r="I106" i="26"/>
  <c r="G106" i="26"/>
  <c r="O106" i="26"/>
  <c r="D106" i="26"/>
  <c r="C106" i="26"/>
  <c r="V106" i="26" s="1"/>
  <c r="A106" i="26"/>
  <c r="L106" i="26"/>
  <c r="W106" i="26"/>
  <c r="Q106" i="26"/>
  <c r="N327" i="55" l="1"/>
  <c r="X327" i="55" s="1"/>
  <c r="E328" i="55"/>
  <c r="C328" i="55" s="1"/>
  <c r="V327" i="55"/>
  <c r="BT105" i="26"/>
  <c r="AV105" i="55"/>
  <c r="AS106" i="26"/>
  <c r="BJ106" i="26" s="1"/>
  <c r="E107" i="26"/>
  <c r="AP106" i="26"/>
  <c r="K106" i="26"/>
  <c r="M106" i="26" s="1"/>
  <c r="X106" i="26"/>
  <c r="B328" i="55" l="1"/>
  <c r="D328" i="55" s="1"/>
  <c r="S327" i="55"/>
  <c r="H328" i="55"/>
  <c r="K328" i="55"/>
  <c r="L328" i="55" s="1"/>
  <c r="A328" i="55"/>
  <c r="Q328" i="55"/>
  <c r="F328" i="55"/>
  <c r="P328" i="55"/>
  <c r="O328" i="55"/>
  <c r="U328" i="55"/>
  <c r="G328" i="55"/>
  <c r="M328" i="55"/>
  <c r="W328" i="55"/>
  <c r="E329" i="55"/>
  <c r="AU105" i="26"/>
  <c r="B107" i="26"/>
  <c r="I107" i="26" s="1"/>
  <c r="AO106" i="26"/>
  <c r="AT106" i="26" s="1"/>
  <c r="BK106" i="26"/>
  <c r="H107" i="26"/>
  <c r="N106" i="26"/>
  <c r="AJ106" i="26"/>
  <c r="AK106" i="26" s="1"/>
  <c r="R106" i="26"/>
  <c r="U106" i="26"/>
  <c r="Q329" i="55" l="1"/>
  <c r="K329" i="55"/>
  <c r="L329" i="55" s="1"/>
  <c r="V328" i="55"/>
  <c r="A329" i="55"/>
  <c r="B329" i="55"/>
  <c r="P329" i="55" s="1"/>
  <c r="C329" i="55"/>
  <c r="O329" i="55" s="1"/>
  <c r="H329" i="55"/>
  <c r="N328" i="55"/>
  <c r="F107" i="26"/>
  <c r="S106" i="26"/>
  <c r="T106" i="26" s="1"/>
  <c r="BC106" i="26" s="1"/>
  <c r="AF106" i="26"/>
  <c r="AN106" i="26" s="1"/>
  <c r="D107" i="26"/>
  <c r="O107" i="26"/>
  <c r="G107" i="26"/>
  <c r="P107" i="26"/>
  <c r="AL106" i="26" l="1"/>
  <c r="AM106" i="26" s="1"/>
  <c r="X328" i="55"/>
  <c r="S328" i="55"/>
  <c r="G329" i="55"/>
  <c r="F329" i="55"/>
  <c r="W329" i="55"/>
  <c r="D329" i="55"/>
  <c r="BL106" i="26"/>
  <c r="C107" i="26"/>
  <c r="V107" i="26" s="1"/>
  <c r="A107" i="26"/>
  <c r="L107" i="26"/>
  <c r="W107" i="26"/>
  <c r="Q107" i="26"/>
  <c r="K107" i="26"/>
  <c r="M329" i="55" l="1"/>
  <c r="E330" i="55"/>
  <c r="BT106" i="26"/>
  <c r="AV106" i="55"/>
  <c r="AS107" i="26"/>
  <c r="BJ107" i="26" s="1"/>
  <c r="M107" i="26"/>
  <c r="N107" i="26" s="1"/>
  <c r="E108" i="26"/>
  <c r="AP107" i="26"/>
  <c r="X107" i="26"/>
  <c r="R107" i="26"/>
  <c r="U107" i="26"/>
  <c r="Q330" i="55" l="1"/>
  <c r="K330" i="55"/>
  <c r="L330" i="55" s="1"/>
  <c r="A330" i="55"/>
  <c r="H330" i="55"/>
  <c r="C330" i="55"/>
  <c r="O330" i="55" s="1"/>
  <c r="B330" i="55"/>
  <c r="P330" i="55" s="1"/>
  <c r="N329" i="55"/>
  <c r="AU106" i="26"/>
  <c r="S107" i="26"/>
  <c r="T107" i="26" s="1"/>
  <c r="BC107" i="26" s="1"/>
  <c r="AF107" i="26"/>
  <c r="AN107" i="26" s="1"/>
  <c r="AJ107" i="26"/>
  <c r="AK107" i="26" s="1"/>
  <c r="B108" i="26"/>
  <c r="F108" i="26" s="1"/>
  <c r="BK107" i="26"/>
  <c r="AO107" i="26"/>
  <c r="AT107" i="26" s="1"/>
  <c r="H108" i="26"/>
  <c r="AL107" i="26" l="1"/>
  <c r="AM107" i="26" s="1"/>
  <c r="F330" i="55"/>
  <c r="W330" i="55"/>
  <c r="G330" i="55"/>
  <c r="D330" i="55"/>
  <c r="X329" i="55"/>
  <c r="S329" i="55"/>
  <c r="U330" i="55"/>
  <c r="V330" i="55" s="1"/>
  <c r="BL107" i="26"/>
  <c r="G108" i="26"/>
  <c r="D108" i="26"/>
  <c r="I108" i="26"/>
  <c r="O108" i="26"/>
  <c r="K108" i="26"/>
  <c r="P108" i="26"/>
  <c r="A108" i="26"/>
  <c r="C108" i="26"/>
  <c r="V108" i="26" s="1"/>
  <c r="L108" i="26"/>
  <c r="W108" i="26"/>
  <c r="Q108" i="26"/>
  <c r="R108" i="26" s="1"/>
  <c r="E331" i="55" l="1"/>
  <c r="M330" i="55"/>
  <c r="M108" i="26"/>
  <c r="N108" i="26" s="1"/>
  <c r="S108" i="26"/>
  <c r="T108" i="26" s="1"/>
  <c r="BT107" i="26"/>
  <c r="AV107" i="55"/>
  <c r="AS108" i="26"/>
  <c r="BJ108" i="26" s="1"/>
  <c r="AP108" i="26"/>
  <c r="U108" i="26"/>
  <c r="X108" i="26"/>
  <c r="E109" i="26"/>
  <c r="BL108" i="26" l="1"/>
  <c r="BC108" i="26"/>
  <c r="AV108" i="55" s="1"/>
  <c r="K331" i="55"/>
  <c r="L331" i="55" s="1"/>
  <c r="Q331" i="55"/>
  <c r="N330" i="55"/>
  <c r="H331" i="55"/>
  <c r="A331" i="55"/>
  <c r="C331" i="55"/>
  <c r="U331" i="55" s="1"/>
  <c r="B331" i="55"/>
  <c r="D331" i="55" s="1"/>
  <c r="AJ108" i="26"/>
  <c r="AK108" i="26" s="1"/>
  <c r="AU107" i="26"/>
  <c r="AF108" i="26"/>
  <c r="AN108" i="26" s="1"/>
  <c r="B109" i="26"/>
  <c r="F109" i="26" s="1"/>
  <c r="BK108" i="26"/>
  <c r="AO108" i="26"/>
  <c r="AT108" i="26" s="1"/>
  <c r="H109" i="26"/>
  <c r="AL108" i="26"/>
  <c r="O331" i="55" l="1"/>
  <c r="P331" i="55"/>
  <c r="V331" i="55" s="1"/>
  <c r="M331" i="55"/>
  <c r="F331" i="55"/>
  <c r="W331" i="55"/>
  <c r="AM108" i="26"/>
  <c r="G331" i="55"/>
  <c r="X330" i="55"/>
  <c r="S330" i="55"/>
  <c r="E332" i="55"/>
  <c r="I109" i="26"/>
  <c r="D109" i="26"/>
  <c r="O109" i="26"/>
  <c r="P109" i="26"/>
  <c r="G109" i="26"/>
  <c r="BT108" i="26"/>
  <c r="W109" i="26"/>
  <c r="L109" i="26"/>
  <c r="A109" i="26"/>
  <c r="C109" i="26"/>
  <c r="V109" i="26" s="1"/>
  <c r="K109" i="26"/>
  <c r="Q109" i="26"/>
  <c r="R109" i="26" s="1"/>
  <c r="N331" i="55" l="1"/>
  <c r="S331" i="55" s="1"/>
  <c r="Q332" i="55"/>
  <c r="K332" i="55"/>
  <c r="L332" i="55" s="1"/>
  <c r="H332" i="55"/>
  <c r="A332" i="55"/>
  <c r="C332" i="55"/>
  <c r="U332" i="55" s="1"/>
  <c r="B332" i="55"/>
  <c r="G332" i="55" s="1"/>
  <c r="M109" i="26"/>
  <c r="N109" i="26" s="1"/>
  <c r="AU108" i="26"/>
  <c r="S109" i="26"/>
  <c r="T109" i="26" s="1"/>
  <c r="BC109" i="26" s="1"/>
  <c r="AS109" i="26"/>
  <c r="BJ109" i="26" s="1"/>
  <c r="E110" i="26"/>
  <c r="AP109" i="26"/>
  <c r="U109" i="26"/>
  <c r="X109" i="26"/>
  <c r="X331" i="55" l="1"/>
  <c r="O332" i="55"/>
  <c r="P332" i="55"/>
  <c r="V332" i="55" s="1"/>
  <c r="W332" i="55"/>
  <c r="F332" i="55"/>
  <c r="D332" i="55"/>
  <c r="M332" i="55" s="1"/>
  <c r="AJ109" i="26"/>
  <c r="AK109" i="26" s="1"/>
  <c r="BL109" i="26"/>
  <c r="AF109" i="26"/>
  <c r="AN109" i="26" s="1"/>
  <c r="B110" i="26"/>
  <c r="G110" i="26" s="1"/>
  <c r="BK109" i="26"/>
  <c r="AO109" i="26"/>
  <c r="AT109" i="26" s="1"/>
  <c r="H110" i="26"/>
  <c r="AV109" i="55"/>
  <c r="AL109" i="26" l="1"/>
  <c r="AM109" i="26" s="1"/>
  <c r="N332" i="55"/>
  <c r="X332" i="55" s="1"/>
  <c r="E333" i="55"/>
  <c r="H333" i="55" s="1"/>
  <c r="F110" i="26"/>
  <c r="D110" i="26"/>
  <c r="O110" i="26"/>
  <c r="P110" i="26"/>
  <c r="I110" i="26"/>
  <c r="BT109" i="26"/>
  <c r="C110" i="26"/>
  <c r="V110" i="26" s="1"/>
  <c r="A110" i="26"/>
  <c r="W110" i="26"/>
  <c r="K110" i="26"/>
  <c r="Q110" i="26"/>
  <c r="L110" i="26"/>
  <c r="X110" i="26" l="1"/>
  <c r="A333" i="55"/>
  <c r="Q333" i="55"/>
  <c r="K333" i="55"/>
  <c r="L333" i="55" s="1"/>
  <c r="C333" i="55"/>
  <c r="U333" i="55" s="1"/>
  <c r="B333" i="55"/>
  <c r="P333" i="55" s="1"/>
  <c r="R110" i="26"/>
  <c r="S332" i="55"/>
  <c r="F333" i="55"/>
  <c r="AS110" i="26"/>
  <c r="BJ110" i="26" s="1"/>
  <c r="AP110" i="26"/>
  <c r="E111" i="26"/>
  <c r="M110" i="26"/>
  <c r="U110" i="26"/>
  <c r="S110" i="26" l="1"/>
  <c r="T110" i="26" s="1"/>
  <c r="O333" i="55"/>
  <c r="W333" i="55"/>
  <c r="G333" i="55"/>
  <c r="D333" i="55"/>
  <c r="M333" i="55" s="1"/>
  <c r="N333" i="55" s="1"/>
  <c r="X333" i="55" s="1"/>
  <c r="V333" i="55"/>
  <c r="AU109" i="26"/>
  <c r="AF110" i="26"/>
  <c r="AN110" i="26" s="1"/>
  <c r="B111" i="26"/>
  <c r="P111" i="26" s="1"/>
  <c r="BK110" i="26"/>
  <c r="AO110" i="26"/>
  <c r="AT110" i="26" s="1"/>
  <c r="H111" i="26"/>
  <c r="N110" i="26"/>
  <c r="AJ110" i="26"/>
  <c r="AK110" i="26" s="1"/>
  <c r="AL110" i="26" l="1"/>
  <c r="AM110" i="26" s="1"/>
  <c r="BL110" i="26"/>
  <c r="BC110" i="26"/>
  <c r="AV110" i="55"/>
  <c r="S333" i="55"/>
  <c r="E334" i="55"/>
  <c r="G111" i="26"/>
  <c r="F111" i="26"/>
  <c r="O111" i="26"/>
  <c r="D111" i="26"/>
  <c r="I111" i="26"/>
  <c r="BT110" i="26"/>
  <c r="C111" i="26"/>
  <c r="A111" i="26"/>
  <c r="L111" i="26"/>
  <c r="W111" i="26"/>
  <c r="Q111" i="26"/>
  <c r="K111" i="26"/>
  <c r="U111" i="26" l="1"/>
  <c r="V111" i="26"/>
  <c r="Q334" i="55"/>
  <c r="K334" i="55"/>
  <c r="L334" i="55" s="1"/>
  <c r="H334" i="55"/>
  <c r="C334" i="55"/>
  <c r="O334" i="55" s="1"/>
  <c r="A334" i="55"/>
  <c r="B334" i="55"/>
  <c r="P334" i="55" s="1"/>
  <c r="M111" i="26"/>
  <c r="N111" i="26" s="1"/>
  <c r="R111" i="26"/>
  <c r="AF111" i="26"/>
  <c r="AN111" i="26" s="1"/>
  <c r="AS111" i="26"/>
  <c r="BJ111" i="26" s="1"/>
  <c r="AP111" i="26"/>
  <c r="X111" i="26"/>
  <c r="E112" i="26"/>
  <c r="AL111" i="26" l="1"/>
  <c r="AM111" i="26" s="1"/>
  <c r="F334" i="55"/>
  <c r="W334" i="55"/>
  <c r="U334" i="55"/>
  <c r="G334" i="55"/>
  <c r="D334" i="55"/>
  <c r="AJ111" i="26"/>
  <c r="AK111" i="26" s="1"/>
  <c r="S111" i="26"/>
  <c r="T111" i="26" s="1"/>
  <c r="BC111" i="26" s="1"/>
  <c r="AU110" i="26"/>
  <c r="B112" i="26"/>
  <c r="I112" i="26" s="1"/>
  <c r="H112" i="26"/>
  <c r="BK111" i="26"/>
  <c r="AO111" i="26"/>
  <c r="AT111" i="26" s="1"/>
  <c r="A112" i="26"/>
  <c r="C112" i="26"/>
  <c r="V112" i="26" s="1"/>
  <c r="L112" i="26"/>
  <c r="W112" i="26"/>
  <c r="Q112" i="26"/>
  <c r="M334" i="55" l="1"/>
  <c r="E335" i="55"/>
  <c r="V334" i="55"/>
  <c r="BL111" i="26"/>
  <c r="AV111" i="55"/>
  <c r="G112" i="26"/>
  <c r="X112" i="26"/>
  <c r="K112" i="26"/>
  <c r="M112" i="26" s="1"/>
  <c r="N112" i="26" s="1"/>
  <c r="F112" i="26"/>
  <c r="R112" i="26" s="1"/>
  <c r="O112" i="26"/>
  <c r="D112" i="26"/>
  <c r="E113" i="26" s="1"/>
  <c r="P112" i="26"/>
  <c r="AS112" i="26"/>
  <c r="BJ112" i="26" s="1"/>
  <c r="AP112" i="26"/>
  <c r="U112" i="26"/>
  <c r="Q335" i="55" l="1"/>
  <c r="K335" i="55"/>
  <c r="L335" i="55" s="1"/>
  <c r="B335" i="55"/>
  <c r="D335" i="55" s="1"/>
  <c r="M335" i="55" s="1"/>
  <c r="A335" i="55"/>
  <c r="C335" i="55"/>
  <c r="O335" i="55" s="1"/>
  <c r="H335" i="55"/>
  <c r="N334" i="55"/>
  <c r="BT111" i="26"/>
  <c r="AU111" i="26"/>
  <c r="S112" i="26"/>
  <c r="T112" i="26" s="1"/>
  <c r="AF112" i="26"/>
  <c r="AN112" i="26" s="1"/>
  <c r="B113" i="26"/>
  <c r="D113" i="26" s="1"/>
  <c r="H113" i="26"/>
  <c r="AJ112" i="26"/>
  <c r="AK112" i="26" s="1"/>
  <c r="BK112" i="26"/>
  <c r="AO112" i="26"/>
  <c r="AT112" i="26" s="1"/>
  <c r="AL112" i="26" l="1"/>
  <c r="AM112" i="26" s="1"/>
  <c r="BL112" i="26"/>
  <c r="BC112" i="26"/>
  <c r="G335" i="55"/>
  <c r="U335" i="55"/>
  <c r="F335" i="55"/>
  <c r="P335" i="55"/>
  <c r="N335" i="55"/>
  <c r="S334" i="55"/>
  <c r="X334" i="55"/>
  <c r="W335" i="55"/>
  <c r="E336" i="55"/>
  <c r="K113" i="26"/>
  <c r="G113" i="26"/>
  <c r="F113" i="26"/>
  <c r="I113" i="26"/>
  <c r="O113" i="26"/>
  <c r="P113" i="26"/>
  <c r="A113" i="26"/>
  <c r="C113" i="26"/>
  <c r="V113" i="26" s="1"/>
  <c r="L113" i="26"/>
  <c r="Q113" i="26"/>
  <c r="W113" i="26"/>
  <c r="V335" i="55" l="1"/>
  <c r="Q336" i="55"/>
  <c r="K336" i="55"/>
  <c r="L336" i="55" s="1"/>
  <c r="C336" i="55"/>
  <c r="O336" i="55" s="1"/>
  <c r="A336" i="55"/>
  <c r="H336" i="55"/>
  <c r="B336" i="55"/>
  <c r="S335" i="55"/>
  <c r="X335" i="55"/>
  <c r="X113" i="26"/>
  <c r="R113" i="26"/>
  <c r="M113" i="26"/>
  <c r="AJ113" i="26" s="1"/>
  <c r="AK113" i="26" s="1"/>
  <c r="BT112" i="26"/>
  <c r="AV112" i="55"/>
  <c r="AS113" i="26"/>
  <c r="BJ113" i="26" s="1"/>
  <c r="U113" i="26"/>
  <c r="AP113" i="26"/>
  <c r="E114" i="26"/>
  <c r="AL113" i="26" l="1"/>
  <c r="AM113" i="26" s="1"/>
  <c r="W336" i="55"/>
  <c r="U336" i="55"/>
  <c r="P336" i="55"/>
  <c r="G336" i="55"/>
  <c r="D336" i="55"/>
  <c r="F336" i="55"/>
  <c r="S113" i="26"/>
  <c r="T113" i="26" s="1"/>
  <c r="BC113" i="26" s="1"/>
  <c r="N113" i="26"/>
  <c r="AU112" i="26"/>
  <c r="AF113" i="26"/>
  <c r="AN113" i="26" s="1"/>
  <c r="B114" i="26"/>
  <c r="P114" i="26" s="1"/>
  <c r="AO113" i="26"/>
  <c r="AT113" i="26" s="1"/>
  <c r="BK113" i="26"/>
  <c r="H114" i="26"/>
  <c r="C114" i="26"/>
  <c r="V114" i="26" s="1"/>
  <c r="A114" i="26"/>
  <c r="L114" i="26"/>
  <c r="W114" i="26"/>
  <c r="Q114" i="26"/>
  <c r="V336" i="55" l="1"/>
  <c r="E337" i="55"/>
  <c r="M336" i="55"/>
  <c r="BL113" i="26"/>
  <c r="I114" i="26"/>
  <c r="K114" i="26"/>
  <c r="M114" i="26" s="1"/>
  <c r="N114" i="26" s="1"/>
  <c r="F114" i="26"/>
  <c r="R114" i="26" s="1"/>
  <c r="O114" i="26"/>
  <c r="G114" i="26"/>
  <c r="D114" i="26"/>
  <c r="E115" i="26" s="1"/>
  <c r="AS114" i="26"/>
  <c r="BJ114" i="26" s="1"/>
  <c r="BT113" i="26"/>
  <c r="AV113" i="55"/>
  <c r="X114" i="26"/>
  <c r="AP114" i="26"/>
  <c r="U114" i="26"/>
  <c r="Q337" i="55" l="1"/>
  <c r="K337" i="55"/>
  <c r="L337" i="55" s="1"/>
  <c r="N336" i="55"/>
  <c r="B337" i="55"/>
  <c r="P337" i="55" s="1"/>
  <c r="A337" i="55"/>
  <c r="F337" i="55"/>
  <c r="C337" i="55"/>
  <c r="U337" i="55" s="1"/>
  <c r="H337" i="55"/>
  <c r="AJ114" i="26"/>
  <c r="AK114" i="26" s="1"/>
  <c r="AU113" i="26"/>
  <c r="S114" i="26"/>
  <c r="T114" i="26" s="1"/>
  <c r="BC114" i="26" s="1"/>
  <c r="AF114" i="26"/>
  <c r="AN114" i="26" s="1"/>
  <c r="B115" i="26"/>
  <c r="P115" i="26" s="1"/>
  <c r="H115" i="26"/>
  <c r="BK114" i="26"/>
  <c r="AO114" i="26"/>
  <c r="AT114" i="26" s="1"/>
  <c r="AL114" i="26"/>
  <c r="AM114" i="26" l="1"/>
  <c r="D337" i="55"/>
  <c r="M337" i="55" s="1"/>
  <c r="N337" i="55" s="1"/>
  <c r="X337" i="55" s="1"/>
  <c r="O337" i="55"/>
  <c r="G337" i="55"/>
  <c r="E338" i="55"/>
  <c r="V337" i="55"/>
  <c r="W337" i="55"/>
  <c r="X336" i="55"/>
  <c r="S336" i="55"/>
  <c r="BL114" i="26"/>
  <c r="O115" i="26"/>
  <c r="G115" i="26"/>
  <c r="I115" i="26"/>
  <c r="F115" i="26"/>
  <c r="D115" i="26"/>
  <c r="C115" i="26"/>
  <c r="A115" i="26"/>
  <c r="K115" i="26"/>
  <c r="L115" i="26"/>
  <c r="W115" i="26"/>
  <c r="Q115" i="26"/>
  <c r="U115" i="26" l="1"/>
  <c r="V115" i="26"/>
  <c r="Q338" i="55"/>
  <c r="K338" i="55"/>
  <c r="L338" i="55" s="1"/>
  <c r="C338" i="55"/>
  <c r="O338" i="55" s="1"/>
  <c r="H338" i="55"/>
  <c r="B338" i="55"/>
  <c r="P338" i="55" s="1"/>
  <c r="A338" i="55"/>
  <c r="S337" i="55"/>
  <c r="R115" i="26"/>
  <c r="BT114" i="26"/>
  <c r="AV114" i="55"/>
  <c r="AS115" i="26"/>
  <c r="BJ115" i="26" s="1"/>
  <c r="AF115" i="26"/>
  <c r="AN115" i="26" s="1"/>
  <c r="M115" i="26"/>
  <c r="N115" i="26" s="1"/>
  <c r="AP115" i="26"/>
  <c r="X115" i="26"/>
  <c r="E116" i="26"/>
  <c r="F338" i="55" l="1"/>
  <c r="U338" i="55"/>
  <c r="V338" i="55" s="1"/>
  <c r="W338" i="55"/>
  <c r="D338" i="55"/>
  <c r="M338" i="55" s="1"/>
  <c r="G338" i="55"/>
  <c r="AU114" i="26"/>
  <c r="AL115" i="26"/>
  <c r="S115" i="26"/>
  <c r="T115" i="26" s="1"/>
  <c r="BC115" i="26" s="1"/>
  <c r="B116" i="26"/>
  <c r="P116" i="26" s="1"/>
  <c r="AJ115" i="26"/>
  <c r="AK115" i="26" s="1"/>
  <c r="H116" i="26"/>
  <c r="BK115" i="26"/>
  <c r="AO115" i="26"/>
  <c r="AT115" i="26" s="1"/>
  <c r="A116" i="26"/>
  <c r="C116" i="26"/>
  <c r="V116" i="26" s="1"/>
  <c r="L116" i="26"/>
  <c r="W116" i="26"/>
  <c r="Q116" i="26"/>
  <c r="AM115" i="26" l="1"/>
  <c r="N338" i="55"/>
  <c r="E339" i="55"/>
  <c r="C339" i="55" s="1"/>
  <c r="U339" i="55" s="1"/>
  <c r="BL115" i="26"/>
  <c r="BT115" i="26"/>
  <c r="K116" i="26"/>
  <c r="M116" i="26" s="1"/>
  <c r="N116" i="26" s="1"/>
  <c r="G116" i="26"/>
  <c r="D116" i="26"/>
  <c r="E117" i="26" s="1"/>
  <c r="F116" i="26"/>
  <c r="R116" i="26" s="1"/>
  <c r="O116" i="26"/>
  <c r="AS116" i="26"/>
  <c r="BJ116" i="26" s="1"/>
  <c r="I116" i="26"/>
  <c r="AP116" i="26"/>
  <c r="X116" i="26"/>
  <c r="U116" i="26"/>
  <c r="H339" i="55" l="1"/>
  <c r="A339" i="55"/>
  <c r="B339" i="55"/>
  <c r="G339" i="55" s="1"/>
  <c r="O339" i="55"/>
  <c r="Q339" i="55"/>
  <c r="K339" i="55"/>
  <c r="L339" i="55" s="1"/>
  <c r="X338" i="55"/>
  <c r="S338" i="55"/>
  <c r="AV115" i="55"/>
  <c r="AU115" i="26"/>
  <c r="S116" i="26"/>
  <c r="T116" i="26" s="1"/>
  <c r="AF116" i="26"/>
  <c r="AN116" i="26" s="1"/>
  <c r="AJ116" i="26"/>
  <c r="AK116" i="26" s="1"/>
  <c r="B117" i="26"/>
  <c r="F117" i="26" s="1"/>
  <c r="BK116" i="26"/>
  <c r="AO116" i="26"/>
  <c r="AT116" i="26" s="1"/>
  <c r="H117" i="26"/>
  <c r="AL116" i="26"/>
  <c r="BL116" i="26" l="1"/>
  <c r="BC116" i="26"/>
  <c r="AM116" i="26"/>
  <c r="AU116" i="26" s="1"/>
  <c r="W339" i="55"/>
  <c r="P339" i="55"/>
  <c r="V339" i="55" s="1"/>
  <c r="D339" i="55"/>
  <c r="F339" i="55"/>
  <c r="I117" i="26"/>
  <c r="G117" i="26"/>
  <c r="D117" i="26"/>
  <c r="O117" i="26"/>
  <c r="P117" i="26"/>
  <c r="A117" i="26"/>
  <c r="C117" i="26"/>
  <c r="V117" i="26" s="1"/>
  <c r="L117" i="26"/>
  <c r="Q117" i="26"/>
  <c r="W117" i="26"/>
  <c r="K117" i="26"/>
  <c r="M339" i="55" l="1"/>
  <c r="E340" i="55"/>
  <c r="BT116" i="26"/>
  <c r="AV116" i="55"/>
  <c r="AS117" i="26"/>
  <c r="BJ117" i="26" s="1"/>
  <c r="AP117" i="26"/>
  <c r="E118" i="26"/>
  <c r="M117" i="26"/>
  <c r="X117" i="26"/>
  <c r="R117" i="26"/>
  <c r="U117" i="26"/>
  <c r="K340" i="55" l="1"/>
  <c r="L340" i="55" s="1"/>
  <c r="A340" i="55"/>
  <c r="Q340" i="55"/>
  <c r="H340" i="55"/>
  <c r="C340" i="55"/>
  <c r="B340" i="55"/>
  <c r="N339" i="55"/>
  <c r="AF117" i="26"/>
  <c r="AN117" i="26" s="1"/>
  <c r="S117" i="26"/>
  <c r="T117" i="26" s="1"/>
  <c r="BC117" i="26" s="1"/>
  <c r="B118" i="26"/>
  <c r="F118" i="26" s="1"/>
  <c r="BK117" i="26"/>
  <c r="AO117" i="26"/>
  <c r="AT117" i="26" s="1"/>
  <c r="H118" i="26"/>
  <c r="N117" i="26"/>
  <c r="AJ117" i="26"/>
  <c r="AK117" i="26" s="1"/>
  <c r="AL117" i="26" l="1"/>
  <c r="AM117" i="26" s="1"/>
  <c r="F340" i="55"/>
  <c r="W340" i="55"/>
  <c r="G340" i="55"/>
  <c r="D340" i="55"/>
  <c r="P340" i="55"/>
  <c r="O340" i="55"/>
  <c r="U340" i="55"/>
  <c r="X339" i="55"/>
  <c r="S339" i="55"/>
  <c r="BL117" i="26"/>
  <c r="G118" i="26"/>
  <c r="D118" i="26"/>
  <c r="I118" i="26"/>
  <c r="O118" i="26"/>
  <c r="P118" i="26"/>
  <c r="C118" i="26"/>
  <c r="V118" i="26" s="1"/>
  <c r="A118" i="26"/>
  <c r="L118" i="26"/>
  <c r="W118" i="26"/>
  <c r="Q118" i="26"/>
  <c r="K118" i="26"/>
  <c r="V340" i="55" l="1"/>
  <c r="M340" i="55"/>
  <c r="E341" i="55"/>
  <c r="BT117" i="26"/>
  <c r="AV117" i="55"/>
  <c r="AS118" i="26"/>
  <c r="BJ118" i="26" s="1"/>
  <c r="M118" i="26"/>
  <c r="AJ118" i="26" s="1"/>
  <c r="AK118" i="26" s="1"/>
  <c r="E119" i="26"/>
  <c r="AP118" i="26"/>
  <c r="X118" i="26"/>
  <c r="R118" i="26"/>
  <c r="U118" i="26"/>
  <c r="H341" i="55" l="1"/>
  <c r="Q341" i="55"/>
  <c r="B341" i="55"/>
  <c r="P341" i="55" s="1"/>
  <c r="A341" i="55"/>
  <c r="K341" i="55"/>
  <c r="L341" i="55" s="1"/>
  <c r="C341" i="55"/>
  <c r="N340" i="55"/>
  <c r="AU117" i="26"/>
  <c r="N118" i="26"/>
  <c r="AF118" i="26"/>
  <c r="AN118" i="26" s="1"/>
  <c r="S118" i="26"/>
  <c r="T118" i="26" s="1"/>
  <c r="BC118" i="26" s="1"/>
  <c r="B119" i="26"/>
  <c r="P119" i="26" s="1"/>
  <c r="BK118" i="26"/>
  <c r="AO118" i="26"/>
  <c r="AT118" i="26" s="1"/>
  <c r="H119" i="26"/>
  <c r="AL118" i="26" l="1"/>
  <c r="AM118" i="26" s="1"/>
  <c r="F341" i="55"/>
  <c r="G341" i="55"/>
  <c r="O341" i="55"/>
  <c r="D341" i="55"/>
  <c r="E342" i="55" s="1"/>
  <c r="S340" i="55"/>
  <c r="X340" i="55"/>
  <c r="W341" i="55"/>
  <c r="BL118" i="26"/>
  <c r="I119" i="26"/>
  <c r="D119" i="26"/>
  <c r="F119" i="26"/>
  <c r="G119" i="26"/>
  <c r="O119" i="26"/>
  <c r="C119" i="26"/>
  <c r="V119" i="26" s="1"/>
  <c r="A119" i="26"/>
  <c r="L119" i="26"/>
  <c r="W119" i="26"/>
  <c r="Q119" i="26"/>
  <c r="K119" i="26"/>
  <c r="M341" i="55" l="1"/>
  <c r="N341" i="55" s="1"/>
  <c r="C342" i="55"/>
  <c r="U342" i="55" s="1"/>
  <c r="B342" i="55"/>
  <c r="F342" i="55" s="1"/>
  <c r="Q342" i="55"/>
  <c r="H342" i="55"/>
  <c r="K342" i="55"/>
  <c r="L342" i="55" s="1"/>
  <c r="A342" i="55"/>
  <c r="BT118" i="26"/>
  <c r="AV118" i="55"/>
  <c r="AS119" i="26"/>
  <c r="BJ119" i="26" s="1"/>
  <c r="M119" i="26"/>
  <c r="N119" i="26" s="1"/>
  <c r="E120" i="26"/>
  <c r="AP119" i="26"/>
  <c r="X119" i="26"/>
  <c r="R119" i="26"/>
  <c r="U119" i="26"/>
  <c r="D342" i="55" l="1"/>
  <c r="M342" i="55" s="1"/>
  <c r="P342" i="55"/>
  <c r="V342" i="55" s="1"/>
  <c r="G342" i="55"/>
  <c r="W342" i="55"/>
  <c r="O342" i="55"/>
  <c r="X341" i="55"/>
  <c r="S341" i="55"/>
  <c r="AU118" i="26"/>
  <c r="S119" i="26"/>
  <c r="T119" i="26" s="1"/>
  <c r="BC119" i="26" s="1"/>
  <c r="AF119" i="26"/>
  <c r="AN119" i="26" s="1"/>
  <c r="AJ119" i="26"/>
  <c r="AK119" i="26" s="1"/>
  <c r="B120" i="26"/>
  <c r="P120" i="26" s="1"/>
  <c r="BK119" i="26"/>
  <c r="AO119" i="26"/>
  <c r="AT119" i="26" s="1"/>
  <c r="H120" i="26"/>
  <c r="AL119" i="26" l="1"/>
  <c r="AM119" i="26" s="1"/>
  <c r="E343" i="55"/>
  <c r="A343" i="55" s="1"/>
  <c r="N342" i="55"/>
  <c r="B343" i="55"/>
  <c r="H343" i="55"/>
  <c r="BL119" i="26"/>
  <c r="G120" i="26"/>
  <c r="D120" i="26"/>
  <c r="F120" i="26"/>
  <c r="O120" i="26"/>
  <c r="I120" i="26"/>
  <c r="A120" i="26"/>
  <c r="C120" i="26"/>
  <c r="V120" i="26" s="1"/>
  <c r="L120" i="26"/>
  <c r="W120" i="26"/>
  <c r="Q120" i="26"/>
  <c r="C343" i="55" l="1"/>
  <c r="W343" i="55" s="1"/>
  <c r="Q343" i="55"/>
  <c r="K343" i="55"/>
  <c r="L343" i="55" s="1"/>
  <c r="X342" i="55"/>
  <c r="S342" i="55"/>
  <c r="U343" i="55"/>
  <c r="D343" i="55"/>
  <c r="M343" i="55" s="1"/>
  <c r="F343" i="55"/>
  <c r="P343" i="55"/>
  <c r="G343" i="55"/>
  <c r="BT119" i="26"/>
  <c r="AV119" i="55"/>
  <c r="AS120" i="26"/>
  <c r="BJ120" i="26" s="1"/>
  <c r="AP120" i="26"/>
  <c r="E121" i="26"/>
  <c r="K120" i="26"/>
  <c r="M120" i="26" s="1"/>
  <c r="X120" i="26"/>
  <c r="O343" i="55" l="1"/>
  <c r="V343" i="55"/>
  <c r="N343" i="55"/>
  <c r="E344" i="55"/>
  <c r="AU119" i="26"/>
  <c r="B121" i="26"/>
  <c r="P121" i="26" s="1"/>
  <c r="BK120" i="26"/>
  <c r="AO120" i="26"/>
  <c r="AT120" i="26" s="1"/>
  <c r="H121" i="26"/>
  <c r="N120" i="26"/>
  <c r="AJ120" i="26"/>
  <c r="AK120" i="26" s="1"/>
  <c r="R120" i="26"/>
  <c r="U120" i="26"/>
  <c r="H344" i="55" l="1"/>
  <c r="Q344" i="55"/>
  <c r="A344" i="55"/>
  <c r="C344" i="55"/>
  <c r="K344" i="55"/>
  <c r="L344" i="55" s="1"/>
  <c r="B344" i="55"/>
  <c r="G344" i="55" s="1"/>
  <c r="X343" i="55"/>
  <c r="S343" i="55"/>
  <c r="S120" i="26"/>
  <c r="T120" i="26" s="1"/>
  <c r="BC120" i="26" s="1"/>
  <c r="AF120" i="26"/>
  <c r="AN120" i="26" s="1"/>
  <c r="I121" i="26"/>
  <c r="F121" i="26"/>
  <c r="D121" i="26"/>
  <c r="G121" i="26"/>
  <c r="O121" i="26"/>
  <c r="AL120" i="26" l="1"/>
  <c r="AM120" i="26" s="1"/>
  <c r="D344" i="55"/>
  <c r="M344" i="55" s="1"/>
  <c r="N344" i="55" s="1"/>
  <c r="X344" i="55" s="1"/>
  <c r="F344" i="55"/>
  <c r="P344" i="55"/>
  <c r="O344" i="55"/>
  <c r="E345" i="55"/>
  <c r="U344" i="55"/>
  <c r="W344" i="55"/>
  <c r="BL120" i="26"/>
  <c r="A121" i="26"/>
  <c r="C121" i="26"/>
  <c r="L121" i="26"/>
  <c r="Q121" i="26"/>
  <c r="W121" i="26"/>
  <c r="K121" i="26"/>
  <c r="X121" i="26" l="1"/>
  <c r="V121" i="26"/>
  <c r="S344" i="55"/>
  <c r="V344" i="55"/>
  <c r="Q345" i="55"/>
  <c r="B345" i="55"/>
  <c r="P345" i="55" s="1"/>
  <c r="K345" i="55"/>
  <c r="L345" i="55" s="1"/>
  <c r="A345" i="55"/>
  <c r="H345" i="55"/>
  <c r="C345" i="55"/>
  <c r="O345" i="55" s="1"/>
  <c r="M121" i="26"/>
  <c r="AJ121" i="26" s="1"/>
  <c r="AK121" i="26" s="1"/>
  <c r="BT120" i="26"/>
  <c r="AV120" i="55"/>
  <c r="AS121" i="26"/>
  <c r="BJ121" i="26" s="1"/>
  <c r="AP121" i="26"/>
  <c r="E122" i="26"/>
  <c r="R121" i="26"/>
  <c r="U121" i="26"/>
  <c r="W345" i="55" l="1"/>
  <c r="G345" i="55"/>
  <c r="F345" i="55"/>
  <c r="D345" i="55"/>
  <c r="M345" i="55" s="1"/>
  <c r="N345" i="55" s="1"/>
  <c r="U345" i="55"/>
  <c r="V345" i="55" s="1"/>
  <c r="N121" i="26"/>
  <c r="AU120" i="26"/>
  <c r="AF121" i="26"/>
  <c r="AN121" i="26" s="1"/>
  <c r="S121" i="26"/>
  <c r="T121" i="26" s="1"/>
  <c r="BC121" i="26" s="1"/>
  <c r="B122" i="26"/>
  <c r="O122" i="26" s="1"/>
  <c r="BK121" i="26"/>
  <c r="AO121" i="26"/>
  <c r="AT121" i="26" s="1"/>
  <c r="H122" i="26"/>
  <c r="AL121" i="26" l="1"/>
  <c r="AM121" i="26" s="1"/>
  <c r="E346" i="55"/>
  <c r="A346" i="55" s="1"/>
  <c r="S345" i="55"/>
  <c r="X345" i="55"/>
  <c r="K346" i="55"/>
  <c r="L346" i="55" s="1"/>
  <c r="Q346" i="55"/>
  <c r="H346" i="55"/>
  <c r="BL121" i="26"/>
  <c r="K122" i="26"/>
  <c r="G122" i="26"/>
  <c r="D122" i="26"/>
  <c r="I122" i="26"/>
  <c r="P122" i="26"/>
  <c r="F122" i="26"/>
  <c r="C122" i="26"/>
  <c r="V122" i="26" s="1"/>
  <c r="A122" i="26"/>
  <c r="L122" i="26"/>
  <c r="W122" i="26"/>
  <c r="Q122" i="26"/>
  <c r="B346" i="55" l="1"/>
  <c r="F346" i="55" s="1"/>
  <c r="C346" i="55"/>
  <c r="U346" i="55" s="1"/>
  <c r="G346" i="55"/>
  <c r="P346" i="55"/>
  <c r="D346" i="55"/>
  <c r="M122" i="26"/>
  <c r="N122" i="26" s="1"/>
  <c r="R122" i="26"/>
  <c r="BT121" i="26"/>
  <c r="AV121" i="55"/>
  <c r="AS122" i="26"/>
  <c r="BJ122" i="26" s="1"/>
  <c r="AP122" i="26"/>
  <c r="U122" i="26"/>
  <c r="X122" i="26"/>
  <c r="E123" i="26"/>
  <c r="V346" i="55" l="1"/>
  <c r="W346" i="55"/>
  <c r="O346" i="55"/>
  <c r="M346" i="55"/>
  <c r="E347" i="55"/>
  <c r="AJ122" i="26"/>
  <c r="AK122" i="26" s="1"/>
  <c r="AU121" i="26"/>
  <c r="AF122" i="26"/>
  <c r="AN122" i="26" s="1"/>
  <c r="AL122" i="26"/>
  <c r="S122" i="26"/>
  <c r="T122" i="26" s="1"/>
  <c r="BC122" i="26" s="1"/>
  <c r="B123" i="26"/>
  <c r="O123" i="26" s="1"/>
  <c r="H123" i="26"/>
  <c r="BK122" i="26"/>
  <c r="AO122" i="26"/>
  <c r="AT122" i="26" s="1"/>
  <c r="C123" i="26"/>
  <c r="AS123" i="26" s="1"/>
  <c r="A123" i="26"/>
  <c r="L123" i="26"/>
  <c r="W123" i="26"/>
  <c r="Q123" i="26"/>
  <c r="AM122" i="26" l="1"/>
  <c r="V123" i="26"/>
  <c r="Q347" i="55"/>
  <c r="B347" i="55"/>
  <c r="G347" i="55" s="1"/>
  <c r="A347" i="55"/>
  <c r="K347" i="55"/>
  <c r="L347" i="55" s="1"/>
  <c r="H347" i="55"/>
  <c r="C347" i="55"/>
  <c r="N346" i="55"/>
  <c r="BL122" i="26"/>
  <c r="BT122" i="26"/>
  <c r="F123" i="26"/>
  <c r="D123" i="26"/>
  <c r="E124" i="26" s="1"/>
  <c r="P123" i="26"/>
  <c r="G123" i="26"/>
  <c r="I123" i="26"/>
  <c r="BJ123" i="26"/>
  <c r="AP123" i="26"/>
  <c r="K123" i="26"/>
  <c r="M123" i="26" s="1"/>
  <c r="X123" i="26"/>
  <c r="W347" i="55" l="1"/>
  <c r="D347" i="55"/>
  <c r="E348" i="55" s="1"/>
  <c r="F347" i="55"/>
  <c r="X346" i="55"/>
  <c r="S346" i="55"/>
  <c r="P347" i="55"/>
  <c r="O347" i="55"/>
  <c r="U347" i="55"/>
  <c r="AU122" i="26"/>
  <c r="AV122" i="55"/>
  <c r="B124" i="26"/>
  <c r="P124" i="26" s="1"/>
  <c r="BK123" i="26"/>
  <c r="H124" i="26"/>
  <c r="AO123" i="26"/>
  <c r="AT123" i="26" s="1"/>
  <c r="N123" i="26"/>
  <c r="AJ123" i="26"/>
  <c r="AK123" i="26" s="1"/>
  <c r="R123" i="26"/>
  <c r="U123" i="26"/>
  <c r="M347" i="55" l="1"/>
  <c r="V347" i="55"/>
  <c r="Q348" i="55"/>
  <c r="H348" i="55"/>
  <c r="K348" i="55"/>
  <c r="L348" i="55" s="1"/>
  <c r="C348" i="55"/>
  <c r="O348" i="55" s="1"/>
  <c r="B348" i="55"/>
  <c r="G348" i="55" s="1"/>
  <c r="A348" i="55"/>
  <c r="F124" i="26"/>
  <c r="AF123" i="26"/>
  <c r="AN123" i="26" s="1"/>
  <c r="S123" i="26"/>
  <c r="T123" i="26" s="1"/>
  <c r="BC123" i="26" s="1"/>
  <c r="I124" i="26"/>
  <c r="G124" i="26"/>
  <c r="O124" i="26"/>
  <c r="D124" i="26"/>
  <c r="AL123" i="26" l="1"/>
  <c r="AM123" i="26" s="1"/>
  <c r="N347" i="55"/>
  <c r="P348" i="55"/>
  <c r="F348" i="55"/>
  <c r="S347" i="55"/>
  <c r="X347" i="55"/>
  <c r="W348" i="55"/>
  <c r="D348" i="55"/>
  <c r="U348" i="55"/>
  <c r="V348" i="55" s="1"/>
  <c r="BL123" i="26"/>
  <c r="A124" i="26"/>
  <c r="C124" i="26"/>
  <c r="L124" i="26"/>
  <c r="W124" i="26"/>
  <c r="Q124" i="26"/>
  <c r="K124" i="26"/>
  <c r="X124" i="26" l="1"/>
  <c r="V124" i="26"/>
  <c r="E349" i="55"/>
  <c r="M348" i="55"/>
  <c r="BT123" i="26"/>
  <c r="AV123" i="55"/>
  <c r="AS124" i="26"/>
  <c r="BJ124" i="26" s="1"/>
  <c r="AP124" i="26"/>
  <c r="M124" i="26"/>
  <c r="E125" i="26"/>
  <c r="R124" i="26"/>
  <c r="U124" i="26"/>
  <c r="N348" i="55" l="1"/>
  <c r="K349" i="55"/>
  <c r="L349" i="55" s="1"/>
  <c r="C349" i="55"/>
  <c r="U349" i="55" s="1"/>
  <c r="Q349" i="55"/>
  <c r="B349" i="55"/>
  <c r="P349" i="55" s="1"/>
  <c r="H349" i="55"/>
  <c r="A349" i="55"/>
  <c r="AU123" i="26"/>
  <c r="AF124" i="26"/>
  <c r="AN124" i="26" s="1"/>
  <c r="S124" i="26"/>
  <c r="T124" i="26" s="1"/>
  <c r="BC124" i="26" s="1"/>
  <c r="B125" i="26"/>
  <c r="O125" i="26" s="1"/>
  <c r="BK124" i="26"/>
  <c r="AO124" i="26"/>
  <c r="AT124" i="26" s="1"/>
  <c r="H125" i="26"/>
  <c r="N124" i="26"/>
  <c r="AJ124" i="26"/>
  <c r="AK124" i="26" s="1"/>
  <c r="AL124" i="26" l="1"/>
  <c r="AM124" i="26" s="1"/>
  <c r="G349" i="55"/>
  <c r="V349" i="55"/>
  <c r="D349" i="55"/>
  <c r="M349" i="55" s="1"/>
  <c r="O349" i="55"/>
  <c r="W349" i="55"/>
  <c r="X348" i="55"/>
  <c r="S348" i="55"/>
  <c r="F349" i="55"/>
  <c r="BL124" i="26"/>
  <c r="I125" i="26"/>
  <c r="F125" i="26"/>
  <c r="G125" i="26"/>
  <c r="D125" i="26"/>
  <c r="P125" i="26"/>
  <c r="A125" i="26"/>
  <c r="C125" i="26"/>
  <c r="V125" i="26" s="1"/>
  <c r="L125" i="26"/>
  <c r="Q125" i="26"/>
  <c r="W125" i="26"/>
  <c r="X125" i="26" s="1"/>
  <c r="K125" i="26"/>
  <c r="E350" i="55" l="1"/>
  <c r="Q350" i="55" s="1"/>
  <c r="N349" i="55"/>
  <c r="C350" i="55"/>
  <c r="B350" i="55"/>
  <c r="P350" i="55" s="1"/>
  <c r="H350" i="55"/>
  <c r="BT124" i="26"/>
  <c r="AV124" i="55"/>
  <c r="AS125" i="26"/>
  <c r="BJ125" i="26" s="1"/>
  <c r="AP125" i="26"/>
  <c r="E126" i="26"/>
  <c r="M125" i="26"/>
  <c r="R125" i="26"/>
  <c r="U125" i="26"/>
  <c r="K350" i="55" l="1"/>
  <c r="L350" i="55" s="1"/>
  <c r="A350" i="55"/>
  <c r="G350" i="55"/>
  <c r="O350" i="55"/>
  <c r="F350" i="55"/>
  <c r="D350" i="55"/>
  <c r="M350" i="55" s="1"/>
  <c r="S349" i="55"/>
  <c r="X349" i="55"/>
  <c r="W350" i="55"/>
  <c r="U350" i="55"/>
  <c r="V350" i="55" s="1"/>
  <c r="AU124" i="26"/>
  <c r="AF125" i="26"/>
  <c r="AN125" i="26" s="1"/>
  <c r="S125" i="26"/>
  <c r="T125" i="26" s="1"/>
  <c r="BC125" i="26" s="1"/>
  <c r="B126" i="26"/>
  <c r="P126" i="26" s="1"/>
  <c r="H126" i="26"/>
  <c r="AO125" i="26"/>
  <c r="AT125" i="26" s="1"/>
  <c r="BK125" i="26"/>
  <c r="N125" i="26"/>
  <c r="AJ125" i="26"/>
  <c r="AK125" i="26" s="1"/>
  <c r="AL125" i="26" l="1"/>
  <c r="AM125" i="26" s="1"/>
  <c r="E351" i="55"/>
  <c r="N350" i="55"/>
  <c r="I126" i="26"/>
  <c r="BL125" i="26"/>
  <c r="F126" i="26"/>
  <c r="O126" i="26"/>
  <c r="G126" i="26"/>
  <c r="D126" i="26"/>
  <c r="C126" i="26"/>
  <c r="V126" i="26" s="1"/>
  <c r="A126" i="26"/>
  <c r="L126" i="26"/>
  <c r="W126" i="26"/>
  <c r="Q126" i="26"/>
  <c r="K126" i="26"/>
  <c r="X350" i="55" l="1"/>
  <c r="S350" i="55"/>
  <c r="Q351" i="55"/>
  <c r="C351" i="55"/>
  <c r="U351" i="55" s="1"/>
  <c r="K351" i="55"/>
  <c r="A351" i="55"/>
  <c r="H351" i="55"/>
  <c r="B351" i="55"/>
  <c r="W351" i="55" s="1"/>
  <c r="L351" i="55"/>
  <c r="BT125" i="26"/>
  <c r="AV125" i="55"/>
  <c r="AS126" i="26"/>
  <c r="BJ126" i="26" s="1"/>
  <c r="M126" i="26"/>
  <c r="N126" i="26" s="1"/>
  <c r="E127" i="26"/>
  <c r="AP126" i="26"/>
  <c r="X126" i="26"/>
  <c r="R126" i="26"/>
  <c r="U126" i="26"/>
  <c r="G351" i="55" l="1"/>
  <c r="P351" i="55"/>
  <c r="V351" i="55" s="1"/>
  <c r="D351" i="55"/>
  <c r="M351" i="55" s="1"/>
  <c r="F351" i="55"/>
  <c r="O351" i="55"/>
  <c r="AU125" i="26"/>
  <c r="AF126" i="26"/>
  <c r="AN126" i="26" s="1"/>
  <c r="S126" i="26"/>
  <c r="T126" i="26" s="1"/>
  <c r="BC126" i="26" s="1"/>
  <c r="B127" i="26"/>
  <c r="P127" i="26" s="1"/>
  <c r="AJ126" i="26"/>
  <c r="AK126" i="26" s="1"/>
  <c r="AO126" i="26"/>
  <c r="AT126" i="26" s="1"/>
  <c r="BK126" i="26"/>
  <c r="H127" i="26"/>
  <c r="AL126" i="26" l="1"/>
  <c r="AM126" i="26" s="1"/>
  <c r="E352" i="55"/>
  <c r="C352" i="55" s="1"/>
  <c r="U352" i="55" s="1"/>
  <c r="N351" i="55"/>
  <c r="X351" i="55" s="1"/>
  <c r="Q352" i="55"/>
  <c r="B352" i="55"/>
  <c r="P352" i="55" s="1"/>
  <c r="BL126" i="26"/>
  <c r="I127" i="26"/>
  <c r="G127" i="26"/>
  <c r="F127" i="26"/>
  <c r="O127" i="26"/>
  <c r="K127" i="26"/>
  <c r="D127" i="26"/>
  <c r="C127" i="26"/>
  <c r="V127" i="26" s="1"/>
  <c r="A127" i="26"/>
  <c r="L127" i="26"/>
  <c r="W127" i="26"/>
  <c r="Q127" i="26"/>
  <c r="S351" i="55" l="1"/>
  <c r="K352" i="55"/>
  <c r="L352" i="55" s="1"/>
  <c r="H352" i="55"/>
  <c r="A352" i="55"/>
  <c r="W352" i="55"/>
  <c r="F352" i="55"/>
  <c r="O352" i="55"/>
  <c r="V352" i="55"/>
  <c r="G352" i="55"/>
  <c r="D352" i="55"/>
  <c r="M352" i="55" s="1"/>
  <c r="R127" i="26"/>
  <c r="M127" i="26"/>
  <c r="N127" i="26" s="1"/>
  <c r="BT126" i="26"/>
  <c r="AV126" i="55"/>
  <c r="AS127" i="26"/>
  <c r="BJ127" i="26" s="1"/>
  <c r="AP127" i="26"/>
  <c r="U127" i="26"/>
  <c r="X127" i="26"/>
  <c r="E128" i="26"/>
  <c r="E353" i="55" l="1"/>
  <c r="N352" i="55"/>
  <c r="S127" i="26"/>
  <c r="T127" i="26" s="1"/>
  <c r="AJ127" i="26"/>
  <c r="AK127" i="26" s="1"/>
  <c r="AU126" i="26"/>
  <c r="AF127" i="26"/>
  <c r="AN127" i="26" s="1"/>
  <c r="B128" i="26"/>
  <c r="P128" i="26" s="1"/>
  <c r="BK127" i="26"/>
  <c r="AO127" i="26"/>
  <c r="AT127" i="26" s="1"/>
  <c r="H128" i="26"/>
  <c r="AL127" i="26"/>
  <c r="L128" i="26"/>
  <c r="W128" i="26"/>
  <c r="Q128" i="26"/>
  <c r="BL127" i="26" l="1"/>
  <c r="BC127" i="26"/>
  <c r="S352" i="55"/>
  <c r="X352" i="55"/>
  <c r="H353" i="55"/>
  <c r="C353" i="55"/>
  <c r="B353" i="55"/>
  <c r="F353" i="55" s="1"/>
  <c r="Q353" i="55"/>
  <c r="A353" i="55"/>
  <c r="K353" i="55"/>
  <c r="L353" i="55" s="1"/>
  <c r="G353" i="55"/>
  <c r="AM127" i="26"/>
  <c r="G128" i="26"/>
  <c r="D128" i="26"/>
  <c r="F128" i="26"/>
  <c r="O128" i="26"/>
  <c r="I128" i="26"/>
  <c r="A128" i="26"/>
  <c r="C128" i="26"/>
  <c r="V128" i="26" s="1"/>
  <c r="K128" i="26"/>
  <c r="M128" i="26" s="1"/>
  <c r="BT127" i="26" l="1"/>
  <c r="D353" i="55"/>
  <c r="M353" i="55" s="1"/>
  <c r="N353" i="55" s="1"/>
  <c r="X353" i="55" s="1"/>
  <c r="P353" i="55"/>
  <c r="O353" i="55"/>
  <c r="E354" i="55"/>
  <c r="W353" i="55"/>
  <c r="AV127" i="55"/>
  <c r="AU127" i="26"/>
  <c r="AS128" i="26"/>
  <c r="BJ128" i="26" s="1"/>
  <c r="AP128" i="26"/>
  <c r="X128" i="26"/>
  <c r="N128" i="26"/>
  <c r="AJ128" i="26"/>
  <c r="AK128" i="26" s="1"/>
  <c r="E129" i="26"/>
  <c r="R128" i="26"/>
  <c r="U128" i="26"/>
  <c r="S353" i="55" l="1"/>
  <c r="K354" i="55"/>
  <c r="L354" i="55" s="1"/>
  <c r="H354" i="55"/>
  <c r="B354" i="55"/>
  <c r="D354" i="55" s="1"/>
  <c r="M354" i="55" s="1"/>
  <c r="N354" i="55" s="1"/>
  <c r="Q354" i="55"/>
  <c r="C354" i="55"/>
  <c r="U354" i="55" s="1"/>
  <c r="A354" i="55"/>
  <c r="G354" i="55"/>
  <c r="AF128" i="26"/>
  <c r="AN128" i="26" s="1"/>
  <c r="S128" i="26"/>
  <c r="T128" i="26" s="1"/>
  <c r="BC128" i="26" s="1"/>
  <c r="B129" i="26"/>
  <c r="P129" i="26" s="1"/>
  <c r="H129" i="26"/>
  <c r="BK128" i="26"/>
  <c r="AO128" i="26"/>
  <c r="AT128" i="26" s="1"/>
  <c r="AL128" i="26" l="1"/>
  <c r="AM128" i="26" s="1"/>
  <c r="X354" i="55"/>
  <c r="P354" i="55"/>
  <c r="V354" i="55" s="1"/>
  <c r="O354" i="55"/>
  <c r="S354" i="55" s="1"/>
  <c r="F354" i="55"/>
  <c r="W354" i="55"/>
  <c r="E355" i="55"/>
  <c r="BL128" i="26"/>
  <c r="F129" i="26"/>
  <c r="K129" i="26"/>
  <c r="G129" i="26"/>
  <c r="I129" i="26"/>
  <c r="D129" i="26"/>
  <c r="O129" i="26"/>
  <c r="A129" i="26"/>
  <c r="C129" i="26"/>
  <c r="V129" i="26" s="1"/>
  <c r="L129" i="26"/>
  <c r="Q129" i="26"/>
  <c r="W129" i="26"/>
  <c r="H355" i="55" l="1"/>
  <c r="A355" i="55"/>
  <c r="K355" i="55"/>
  <c r="L355" i="55" s="1"/>
  <c r="Q355" i="55"/>
  <c r="C355" i="55"/>
  <c r="U355" i="55" s="1"/>
  <c r="B355" i="55"/>
  <c r="G355" i="55" s="1"/>
  <c r="R129" i="26"/>
  <c r="M129" i="26"/>
  <c r="AJ129" i="26" s="1"/>
  <c r="AK129" i="26" s="1"/>
  <c r="BT128" i="26"/>
  <c r="AV128" i="55"/>
  <c r="AS129" i="26"/>
  <c r="BJ129" i="26" s="1"/>
  <c r="AP129" i="26"/>
  <c r="X129" i="26"/>
  <c r="E130" i="26"/>
  <c r="U129" i="26"/>
  <c r="AL129" i="26" l="1"/>
  <c r="AM129" i="26" s="1"/>
  <c r="F355" i="55"/>
  <c r="P355" i="55"/>
  <c r="V355" i="55" s="1"/>
  <c r="D355" i="55"/>
  <c r="M355" i="55" s="1"/>
  <c r="O355" i="55"/>
  <c r="W355" i="55"/>
  <c r="S129" i="26"/>
  <c r="T129" i="26" s="1"/>
  <c r="N129" i="26"/>
  <c r="AU128" i="26"/>
  <c r="AF129" i="26"/>
  <c r="AN129" i="26" s="1"/>
  <c r="B130" i="26"/>
  <c r="P130" i="26" s="1"/>
  <c r="H130" i="26"/>
  <c r="BK129" i="26"/>
  <c r="AO129" i="26"/>
  <c r="AT129" i="26" s="1"/>
  <c r="C130" i="26"/>
  <c r="V130" i="26" s="1"/>
  <c r="A130" i="26"/>
  <c r="L130" i="26"/>
  <c r="W130" i="26"/>
  <c r="Q130" i="26"/>
  <c r="BL129" i="26" l="1"/>
  <c r="BC129" i="26"/>
  <c r="AV129" i="55" s="1"/>
  <c r="E356" i="55"/>
  <c r="Q356" i="55" s="1"/>
  <c r="N355" i="55"/>
  <c r="C356" i="55"/>
  <c r="K356" i="55"/>
  <c r="L356" i="55" s="1"/>
  <c r="K130" i="26"/>
  <c r="M130" i="26" s="1"/>
  <c r="AS130" i="26"/>
  <c r="BJ130" i="26" s="1"/>
  <c r="G130" i="26"/>
  <c r="D130" i="26"/>
  <c r="E131" i="26" s="1"/>
  <c r="F130" i="26"/>
  <c r="R130" i="26" s="1"/>
  <c r="X130" i="26"/>
  <c r="BK130" i="26" s="1"/>
  <c r="I130" i="26"/>
  <c r="O130" i="26"/>
  <c r="AP130" i="26"/>
  <c r="AO130" i="26"/>
  <c r="U130" i="26"/>
  <c r="BT129" i="26" l="1"/>
  <c r="H356" i="55"/>
  <c r="A356" i="55"/>
  <c r="B356" i="55"/>
  <c r="D356" i="55" s="1"/>
  <c r="E357" i="55" s="1"/>
  <c r="X355" i="55"/>
  <c r="S355" i="55"/>
  <c r="O356" i="55"/>
  <c r="U356" i="55"/>
  <c r="F356" i="55"/>
  <c r="W356" i="55"/>
  <c r="N130" i="26"/>
  <c r="AJ130" i="26"/>
  <c r="AK130" i="26" s="1"/>
  <c r="AU129" i="26"/>
  <c r="AF130" i="26"/>
  <c r="AN130" i="26" s="1"/>
  <c r="S130" i="26"/>
  <c r="T130" i="26" s="1"/>
  <c r="BC130" i="26" s="1"/>
  <c r="AT130" i="26"/>
  <c r="B131" i="26"/>
  <c r="P131" i="26" s="1"/>
  <c r="H131" i="26"/>
  <c r="AL130" i="26" l="1"/>
  <c r="AM130" i="26" s="1"/>
  <c r="P356" i="55"/>
  <c r="M356" i="55"/>
  <c r="G356" i="55"/>
  <c r="N356" i="55"/>
  <c r="V356" i="55"/>
  <c r="Q357" i="55"/>
  <c r="K357" i="55"/>
  <c r="L357" i="55" s="1"/>
  <c r="A357" i="55"/>
  <c r="B357" i="55"/>
  <c r="F357" i="55" s="1"/>
  <c r="C357" i="55"/>
  <c r="H357" i="55"/>
  <c r="F131" i="26"/>
  <c r="K131" i="26"/>
  <c r="BL130" i="26"/>
  <c r="D131" i="26"/>
  <c r="I131" i="26"/>
  <c r="G131" i="26"/>
  <c r="O131" i="26"/>
  <c r="C131" i="26"/>
  <c r="A131" i="26"/>
  <c r="L131" i="26"/>
  <c r="W131" i="26"/>
  <c r="Q131" i="26"/>
  <c r="U131" i="26" l="1"/>
  <c r="V131" i="26"/>
  <c r="P357" i="55"/>
  <c r="G357" i="55"/>
  <c r="W357" i="55"/>
  <c r="O357" i="55"/>
  <c r="U357" i="55"/>
  <c r="V357" i="55" s="1"/>
  <c r="D357" i="55"/>
  <c r="M357" i="55" s="1"/>
  <c r="X356" i="55"/>
  <c r="S356" i="55"/>
  <c r="R131" i="26"/>
  <c r="M131" i="26"/>
  <c r="AJ131" i="26" s="1"/>
  <c r="AK131" i="26" s="1"/>
  <c r="BT130" i="26"/>
  <c r="AV130" i="55"/>
  <c r="AS131" i="26"/>
  <c r="BJ131" i="26" s="1"/>
  <c r="AF131" i="26"/>
  <c r="AN131" i="26" s="1"/>
  <c r="AP131" i="26"/>
  <c r="X131" i="26"/>
  <c r="E132" i="26"/>
  <c r="E358" i="55" l="1"/>
  <c r="Q358" i="55" s="1"/>
  <c r="N357" i="55"/>
  <c r="N131" i="26"/>
  <c r="S131" i="26"/>
  <c r="T131" i="26" s="1"/>
  <c r="AU130" i="26"/>
  <c r="B132" i="26"/>
  <c r="P132" i="26" s="1"/>
  <c r="H132" i="26"/>
  <c r="BK131" i="26"/>
  <c r="AO131" i="26"/>
  <c r="AT131" i="26" s="1"/>
  <c r="AL131" i="26"/>
  <c r="A132" i="26"/>
  <c r="C132" i="26"/>
  <c r="V132" i="26" s="1"/>
  <c r="L132" i="26"/>
  <c r="W132" i="26"/>
  <c r="Q132" i="26"/>
  <c r="BL131" i="26" l="1"/>
  <c r="BC131" i="26"/>
  <c r="C358" i="55"/>
  <c r="U358" i="55" s="1"/>
  <c r="A358" i="55"/>
  <c r="B358" i="55"/>
  <c r="W358" i="55" s="1"/>
  <c r="K358" i="55"/>
  <c r="L358" i="55" s="1"/>
  <c r="H358" i="55"/>
  <c r="X357" i="55"/>
  <c r="S357" i="55"/>
  <c r="O358" i="55"/>
  <c r="F132" i="26"/>
  <c r="R132" i="26" s="1"/>
  <c r="K132" i="26"/>
  <c r="M132" i="26" s="1"/>
  <c r="N132" i="26" s="1"/>
  <c r="AM131" i="26"/>
  <c r="G132" i="26"/>
  <c r="D132" i="26"/>
  <c r="E133" i="26" s="1"/>
  <c r="I132" i="26"/>
  <c r="O132" i="26"/>
  <c r="AS132" i="26"/>
  <c r="BJ132" i="26" s="1"/>
  <c r="AP132" i="26"/>
  <c r="X132" i="26"/>
  <c r="U132" i="26"/>
  <c r="AV131" i="55" l="1"/>
  <c r="BT131" i="26"/>
  <c r="G358" i="55"/>
  <c r="D358" i="55"/>
  <c r="F358" i="55"/>
  <c r="P358" i="55"/>
  <c r="V358" i="55" s="1"/>
  <c r="AU131" i="26"/>
  <c r="S132" i="26"/>
  <c r="T132" i="26" s="1"/>
  <c r="BC132" i="26" s="1"/>
  <c r="AF132" i="26"/>
  <c r="AN132" i="26" s="1"/>
  <c r="B133" i="26"/>
  <c r="P133" i="26" s="1"/>
  <c r="AJ132" i="26"/>
  <c r="AK132" i="26" s="1"/>
  <c r="H133" i="26"/>
  <c r="BK132" i="26"/>
  <c r="AO132" i="26"/>
  <c r="AT132" i="26" s="1"/>
  <c r="AL132" i="26" l="1"/>
  <c r="AM132" i="26" s="1"/>
  <c r="M358" i="55"/>
  <c r="E359" i="55"/>
  <c r="BL132" i="26"/>
  <c r="F133" i="26"/>
  <c r="I133" i="26"/>
  <c r="O133" i="26"/>
  <c r="G133" i="26"/>
  <c r="D133" i="26"/>
  <c r="A133" i="26"/>
  <c r="C133" i="26"/>
  <c r="L133" i="26"/>
  <c r="Q133" i="26"/>
  <c r="W133" i="26"/>
  <c r="K133" i="26"/>
  <c r="X133" i="26" l="1"/>
  <c r="V133" i="26"/>
  <c r="K359" i="55"/>
  <c r="L359" i="55" s="1"/>
  <c r="H359" i="55"/>
  <c r="A359" i="55"/>
  <c r="B359" i="55"/>
  <c r="Q359" i="55"/>
  <c r="C359" i="55"/>
  <c r="N358" i="55"/>
  <c r="BT132" i="26"/>
  <c r="AV132" i="55"/>
  <c r="AS133" i="26"/>
  <c r="BJ133" i="26" s="1"/>
  <c r="AP133" i="26"/>
  <c r="M133" i="26"/>
  <c r="E134" i="26"/>
  <c r="R133" i="26"/>
  <c r="U133" i="26"/>
  <c r="O359" i="55" l="1"/>
  <c r="U359" i="55"/>
  <c r="D359" i="55"/>
  <c r="M359" i="55" s="1"/>
  <c r="P359" i="55"/>
  <c r="G359" i="55"/>
  <c r="W359" i="55"/>
  <c r="F359" i="55"/>
  <c r="S358" i="55"/>
  <c r="X358" i="55"/>
  <c r="AU132" i="26"/>
  <c r="AF133" i="26"/>
  <c r="AN133" i="26" s="1"/>
  <c r="S133" i="26"/>
  <c r="T133" i="26" s="1"/>
  <c r="BC133" i="26" s="1"/>
  <c r="B134" i="26"/>
  <c r="P134" i="26" s="1"/>
  <c r="H134" i="26"/>
  <c r="BK133" i="26"/>
  <c r="AO133" i="26"/>
  <c r="AT133" i="26" s="1"/>
  <c r="N133" i="26"/>
  <c r="AJ133" i="26"/>
  <c r="AK133" i="26" s="1"/>
  <c r="K134" i="26"/>
  <c r="AL133" i="26"/>
  <c r="AM133" i="26" l="1"/>
  <c r="E360" i="55"/>
  <c r="B360" i="55" s="1"/>
  <c r="V359" i="55"/>
  <c r="N359" i="55"/>
  <c r="A360" i="55"/>
  <c r="H360" i="55"/>
  <c r="K360" i="55"/>
  <c r="L360" i="55" s="1"/>
  <c r="BL133" i="26"/>
  <c r="G134" i="26"/>
  <c r="D134" i="26"/>
  <c r="F134" i="26"/>
  <c r="I134" i="26"/>
  <c r="O134" i="26"/>
  <c r="C134" i="26"/>
  <c r="V134" i="26" s="1"/>
  <c r="A134" i="26"/>
  <c r="L134" i="26"/>
  <c r="M134" i="26" s="1"/>
  <c r="W134" i="26"/>
  <c r="Q134" i="26"/>
  <c r="Q360" i="55" l="1"/>
  <c r="F360" i="55"/>
  <c r="D360" i="55"/>
  <c r="M360" i="55" s="1"/>
  <c r="N360" i="55" s="1"/>
  <c r="X360" i="55" s="1"/>
  <c r="C360" i="55"/>
  <c r="W360" i="55" s="1"/>
  <c r="S359" i="55"/>
  <c r="X359" i="55"/>
  <c r="G360" i="55"/>
  <c r="P360" i="55"/>
  <c r="R134" i="26"/>
  <c r="BT133" i="26"/>
  <c r="AV133" i="55"/>
  <c r="AS134" i="26"/>
  <c r="BJ134" i="26" s="1"/>
  <c r="AP134" i="26"/>
  <c r="U134" i="26"/>
  <c r="N134" i="26"/>
  <c r="AJ134" i="26"/>
  <c r="AK134" i="26" s="1"/>
  <c r="X134" i="26"/>
  <c r="E135" i="26"/>
  <c r="AL134" i="26" l="1"/>
  <c r="AM134" i="26" s="1"/>
  <c r="E361" i="55"/>
  <c r="K361" i="55" s="1"/>
  <c r="L361" i="55" s="1"/>
  <c r="O360" i="55"/>
  <c r="S360" i="55"/>
  <c r="U360" i="55"/>
  <c r="V360" i="55" s="1"/>
  <c r="A361" i="55"/>
  <c r="B361" i="55"/>
  <c r="Q361" i="55"/>
  <c r="H361" i="55"/>
  <c r="C361" i="55"/>
  <c r="O361" i="55" s="1"/>
  <c r="S134" i="26"/>
  <c r="T134" i="26" s="1"/>
  <c r="AU133" i="26"/>
  <c r="AF134" i="26"/>
  <c r="AN134" i="26" s="1"/>
  <c r="B135" i="26"/>
  <c r="P135" i="26" s="1"/>
  <c r="H135" i="26"/>
  <c r="BK134" i="26"/>
  <c r="AO134" i="26"/>
  <c r="AT134" i="26" s="1"/>
  <c r="C135" i="26"/>
  <c r="AS135" i="26" s="1"/>
  <c r="A135" i="26"/>
  <c r="L135" i="26"/>
  <c r="W135" i="26"/>
  <c r="Q135" i="26"/>
  <c r="BL134" i="26" l="1"/>
  <c r="BC134" i="26"/>
  <c r="V135" i="26"/>
  <c r="U361" i="55"/>
  <c r="G361" i="55"/>
  <c r="W361" i="55"/>
  <c r="P361" i="55"/>
  <c r="F361" i="55"/>
  <c r="D361" i="55"/>
  <c r="AV134" i="55"/>
  <c r="K135" i="26"/>
  <c r="M135" i="26" s="1"/>
  <c r="N135" i="26" s="1"/>
  <c r="D135" i="26"/>
  <c r="E136" i="26" s="1"/>
  <c r="F135" i="26"/>
  <c r="R135" i="26" s="1"/>
  <c r="I135" i="26"/>
  <c r="O135" i="26"/>
  <c r="G135" i="26"/>
  <c r="BJ135" i="26"/>
  <c r="AP135" i="26"/>
  <c r="X135" i="26"/>
  <c r="U135" i="26"/>
  <c r="V361" i="55" l="1"/>
  <c r="E362" i="55"/>
  <c r="M361" i="55"/>
  <c r="BT134" i="26"/>
  <c r="AU134" i="26"/>
  <c r="AF135" i="26"/>
  <c r="AN135" i="26" s="1"/>
  <c r="S135" i="26"/>
  <c r="T135" i="26" s="1"/>
  <c r="BC135" i="26" s="1"/>
  <c r="H136" i="26"/>
  <c r="AJ135" i="26"/>
  <c r="AK135" i="26" s="1"/>
  <c r="B136" i="26"/>
  <c r="P136" i="26" s="1"/>
  <c r="BK135" i="26"/>
  <c r="AO135" i="26"/>
  <c r="AT135" i="26" s="1"/>
  <c r="AL135" i="26" l="1"/>
  <c r="AM135" i="26" s="1"/>
  <c r="N361" i="55"/>
  <c r="K362" i="55"/>
  <c r="L362" i="55" s="1"/>
  <c r="Q362" i="55"/>
  <c r="A362" i="55"/>
  <c r="H362" i="55"/>
  <c r="B362" i="55"/>
  <c r="F362" i="55" s="1"/>
  <c r="C362" i="55"/>
  <c r="BL135" i="26"/>
  <c r="O136" i="26"/>
  <c r="I136" i="26"/>
  <c r="G136" i="26"/>
  <c r="F136" i="26"/>
  <c r="D136" i="26"/>
  <c r="A136" i="26"/>
  <c r="C136" i="26"/>
  <c r="L136" i="26"/>
  <c r="W136" i="26"/>
  <c r="Q136" i="26"/>
  <c r="K136" i="26"/>
  <c r="AS136" i="26" l="1"/>
  <c r="BJ136" i="26" s="1"/>
  <c r="V136" i="26"/>
  <c r="W362" i="55"/>
  <c r="G362" i="55"/>
  <c r="O362" i="55"/>
  <c r="P362" i="55"/>
  <c r="D362" i="55"/>
  <c r="M362" i="55" s="1"/>
  <c r="X361" i="55"/>
  <c r="S361" i="55"/>
  <c r="U362" i="55"/>
  <c r="M136" i="26"/>
  <c r="N136" i="26" s="1"/>
  <c r="BT135" i="26"/>
  <c r="AV135" i="55"/>
  <c r="AP136" i="26"/>
  <c r="E137" i="26"/>
  <c r="X136" i="26"/>
  <c r="R136" i="26"/>
  <c r="U136" i="26"/>
  <c r="E363" i="55" l="1"/>
  <c r="B363" i="55" s="1"/>
  <c r="P363" i="55" s="1"/>
  <c r="V362" i="55"/>
  <c r="K363" i="55"/>
  <c r="L363" i="55" s="1"/>
  <c r="A363" i="55"/>
  <c r="C363" i="55"/>
  <c r="Q363" i="55"/>
  <c r="H363" i="55"/>
  <c r="N362" i="55"/>
  <c r="AU135" i="26"/>
  <c r="AJ136" i="26"/>
  <c r="AK136" i="26" s="1"/>
  <c r="AF136" i="26"/>
  <c r="AN136" i="26" s="1"/>
  <c r="S136" i="26"/>
  <c r="T136" i="26" s="1"/>
  <c r="BC136" i="26" s="1"/>
  <c r="B137" i="26"/>
  <c r="G137" i="26" s="1"/>
  <c r="BK136" i="26"/>
  <c r="AO136" i="26"/>
  <c r="AT136" i="26" s="1"/>
  <c r="H137" i="26"/>
  <c r="AL136" i="26" l="1"/>
  <c r="AM136" i="26" s="1"/>
  <c r="D363" i="55"/>
  <c r="M363" i="55" s="1"/>
  <c r="N363" i="55" s="1"/>
  <c r="X363" i="55" s="1"/>
  <c r="G363" i="55"/>
  <c r="F363" i="55"/>
  <c r="U363" i="55"/>
  <c r="V363" i="55" s="1"/>
  <c r="E364" i="55"/>
  <c r="X362" i="55"/>
  <c r="S362" i="55"/>
  <c r="O363" i="55"/>
  <c r="W363" i="55"/>
  <c r="BL136" i="26"/>
  <c r="K137" i="26"/>
  <c r="F137" i="26"/>
  <c r="P137" i="26"/>
  <c r="O137" i="26"/>
  <c r="D137" i="26"/>
  <c r="I137" i="26"/>
  <c r="A137" i="26"/>
  <c r="C137" i="26"/>
  <c r="L137" i="26"/>
  <c r="Q137" i="26"/>
  <c r="W137" i="26"/>
  <c r="X137" i="26" s="1"/>
  <c r="U137" i="26" l="1"/>
  <c r="AF137" i="26" s="1"/>
  <c r="AN137" i="26" s="1"/>
  <c r="V137" i="26"/>
  <c r="S363" i="55"/>
  <c r="C364" i="55"/>
  <c r="U364" i="55" s="1"/>
  <c r="K364" i="55"/>
  <c r="L364" i="55" s="1"/>
  <c r="A364" i="55"/>
  <c r="Q364" i="55"/>
  <c r="B364" i="55"/>
  <c r="D364" i="55" s="1"/>
  <c r="E365" i="55" s="1"/>
  <c r="H364" i="55"/>
  <c r="R137" i="26"/>
  <c r="M137" i="26"/>
  <c r="N137" i="26" s="1"/>
  <c r="AS137" i="26"/>
  <c r="BJ137" i="26" s="1"/>
  <c r="BT136" i="26"/>
  <c r="AV136" i="55"/>
  <c r="AP137" i="26"/>
  <c r="E138" i="26"/>
  <c r="AL137" i="26" l="1"/>
  <c r="AM137" i="26" s="1"/>
  <c r="P364" i="55"/>
  <c r="V364" i="55" s="1"/>
  <c r="M364" i="55"/>
  <c r="W364" i="55"/>
  <c r="F364" i="55"/>
  <c r="O364" i="55"/>
  <c r="K365" i="55"/>
  <c r="L365" i="55" s="1"/>
  <c r="B365" i="55"/>
  <c r="D365" i="55" s="1"/>
  <c r="M365" i="55" s="1"/>
  <c r="Q365" i="55"/>
  <c r="H365" i="55"/>
  <c r="A365" i="55"/>
  <c r="C365" i="55"/>
  <c r="G364" i="55"/>
  <c r="S137" i="26"/>
  <c r="T137" i="26" s="1"/>
  <c r="AJ137" i="26"/>
  <c r="AK137" i="26" s="1"/>
  <c r="AU136" i="26"/>
  <c r="B138" i="26"/>
  <c r="K138" i="26" s="1"/>
  <c r="AO137" i="26"/>
  <c r="AT137" i="26" s="1"/>
  <c r="BK137" i="26"/>
  <c r="H138" i="26"/>
  <c r="C138" i="26"/>
  <c r="V138" i="26" s="1"/>
  <c r="A138" i="26"/>
  <c r="L138" i="26"/>
  <c r="W138" i="26"/>
  <c r="Q138" i="26"/>
  <c r="BL137" i="26" l="1"/>
  <c r="BC137" i="26"/>
  <c r="BT137" i="26" s="1"/>
  <c r="N365" i="55"/>
  <c r="X365" i="55" s="1"/>
  <c r="N364" i="55"/>
  <c r="O365" i="55"/>
  <c r="E366" i="55"/>
  <c r="F365" i="55"/>
  <c r="P365" i="55"/>
  <c r="W365" i="55"/>
  <c r="G365" i="55"/>
  <c r="G138" i="26"/>
  <c r="AS138" i="26"/>
  <c r="BJ138" i="26" s="1"/>
  <c r="D138" i="26"/>
  <c r="E139" i="26" s="1"/>
  <c r="O138" i="26"/>
  <c r="P138" i="26"/>
  <c r="I138" i="26"/>
  <c r="F138" i="26"/>
  <c r="R138" i="26" s="1"/>
  <c r="X138" i="26"/>
  <c r="BK138" i="26" s="1"/>
  <c r="AP138" i="26"/>
  <c r="AO138" i="26"/>
  <c r="M138" i="26"/>
  <c r="AJ138" i="26" s="1"/>
  <c r="AK138" i="26" s="1"/>
  <c r="U138" i="26"/>
  <c r="K366" i="55" l="1"/>
  <c r="L366" i="55" s="1"/>
  <c r="C366" i="55"/>
  <c r="Q366" i="55"/>
  <c r="H366" i="55"/>
  <c r="A366" i="55"/>
  <c r="B366" i="55"/>
  <c r="W366" i="55" s="1"/>
  <c r="X364" i="55"/>
  <c r="S364" i="55"/>
  <c r="S365" i="55" s="1"/>
  <c r="AV137" i="55"/>
  <c r="AU137" i="26"/>
  <c r="AF138" i="26"/>
  <c r="AN138" i="26" s="1"/>
  <c r="S138" i="26"/>
  <c r="T138" i="26" s="1"/>
  <c r="BC138" i="26" s="1"/>
  <c r="AT138" i="26"/>
  <c r="B139" i="26"/>
  <c r="I139" i="26" s="1"/>
  <c r="N138" i="26"/>
  <c r="H139" i="26"/>
  <c r="AL138" i="26"/>
  <c r="AM138" i="26" l="1"/>
  <c r="D366" i="55"/>
  <c r="E367" i="55" s="1"/>
  <c r="Q367" i="55" s="1"/>
  <c r="G366" i="55"/>
  <c r="U366" i="55"/>
  <c r="O366" i="55"/>
  <c r="P366" i="55"/>
  <c r="F366" i="55"/>
  <c r="M366" i="55"/>
  <c r="N366" i="55" s="1"/>
  <c r="B367" i="55"/>
  <c r="P367" i="55" s="1"/>
  <c r="A367" i="55"/>
  <c r="K367" i="55"/>
  <c r="L367" i="55" s="1"/>
  <c r="BL138" i="26"/>
  <c r="O139" i="26"/>
  <c r="P139" i="26"/>
  <c r="F139" i="26"/>
  <c r="G139" i="26"/>
  <c r="D139" i="26"/>
  <c r="C139" i="26"/>
  <c r="A139" i="26"/>
  <c r="L139" i="26"/>
  <c r="W139" i="26"/>
  <c r="Q139" i="26"/>
  <c r="K139" i="26"/>
  <c r="C367" i="55" l="1"/>
  <c r="H367" i="55"/>
  <c r="V366" i="55"/>
  <c r="AS139" i="26"/>
  <c r="BJ139" i="26" s="1"/>
  <c r="V139" i="26"/>
  <c r="O367" i="55"/>
  <c r="U367" i="55"/>
  <c r="V367" i="55" s="1"/>
  <c r="F367" i="55"/>
  <c r="W367" i="55"/>
  <c r="D367" i="55"/>
  <c r="G367" i="55"/>
  <c r="X366" i="55"/>
  <c r="S366" i="55"/>
  <c r="BT138" i="26"/>
  <c r="AV138" i="55"/>
  <c r="X139" i="26"/>
  <c r="M139" i="26"/>
  <c r="AJ139" i="26" s="1"/>
  <c r="AK139" i="26" s="1"/>
  <c r="E140" i="26"/>
  <c r="AP139" i="26"/>
  <c r="R139" i="26"/>
  <c r="U139" i="26"/>
  <c r="M367" i="55" l="1"/>
  <c r="E368" i="55"/>
  <c r="AU138" i="26"/>
  <c r="S139" i="26"/>
  <c r="T139" i="26" s="1"/>
  <c r="BC139" i="26" s="1"/>
  <c r="AF139" i="26"/>
  <c r="AN139" i="26" s="1"/>
  <c r="N139" i="26"/>
  <c r="B140" i="26"/>
  <c r="F140" i="26" s="1"/>
  <c r="BK139" i="26"/>
  <c r="AO139" i="26"/>
  <c r="AT139" i="26" s="1"/>
  <c r="H140" i="26"/>
  <c r="AL139" i="26" l="1"/>
  <c r="AM139" i="26" s="1"/>
  <c r="N367" i="55"/>
  <c r="Q368" i="55"/>
  <c r="H368" i="55"/>
  <c r="K368" i="55"/>
  <c r="L368" i="55" s="1"/>
  <c r="C368" i="55"/>
  <c r="B368" i="55"/>
  <c r="D368" i="55" s="1"/>
  <c r="M368" i="55" s="1"/>
  <c r="A368" i="55"/>
  <c r="BL139" i="26"/>
  <c r="O140" i="26"/>
  <c r="G140" i="26"/>
  <c r="P140" i="26"/>
  <c r="K140" i="26"/>
  <c r="D140" i="26"/>
  <c r="I140" i="26"/>
  <c r="A140" i="26"/>
  <c r="C140" i="26"/>
  <c r="L140" i="26"/>
  <c r="W140" i="26"/>
  <c r="Q140" i="26"/>
  <c r="R140" i="26" s="1"/>
  <c r="AS140" i="26" l="1"/>
  <c r="BJ140" i="26" s="1"/>
  <c r="V140" i="26"/>
  <c r="U368" i="55"/>
  <c r="E369" i="55"/>
  <c r="S367" i="55"/>
  <c r="X367" i="55"/>
  <c r="N368" i="55"/>
  <c r="F368" i="55"/>
  <c r="G368" i="55"/>
  <c r="P368" i="55"/>
  <c r="W368" i="55"/>
  <c r="O368" i="55"/>
  <c r="S140" i="26"/>
  <c r="T140" i="26" s="1"/>
  <c r="BT139" i="26"/>
  <c r="AV139" i="55"/>
  <c r="M140" i="26"/>
  <c r="N140" i="26" s="1"/>
  <c r="AP140" i="26"/>
  <c r="U140" i="26"/>
  <c r="X140" i="26"/>
  <c r="E141" i="26"/>
  <c r="AL140" i="26" l="1"/>
  <c r="AM140" i="26" s="1"/>
  <c r="BL140" i="26"/>
  <c r="BC140" i="26"/>
  <c r="AV140" i="55" s="1"/>
  <c r="X368" i="55"/>
  <c r="S368" i="55"/>
  <c r="V368" i="55"/>
  <c r="K369" i="55"/>
  <c r="L369" i="55" s="1"/>
  <c r="H369" i="55"/>
  <c r="B369" i="55"/>
  <c r="Q369" i="55"/>
  <c r="A369" i="55"/>
  <c r="C369" i="55"/>
  <c r="U369" i="55" s="1"/>
  <c r="AU139" i="26"/>
  <c r="AF140" i="26"/>
  <c r="AN140" i="26" s="1"/>
  <c r="AJ140" i="26"/>
  <c r="AK140" i="26" s="1"/>
  <c r="B141" i="26"/>
  <c r="I141" i="26" s="1"/>
  <c r="H141" i="26"/>
  <c r="BK140" i="26"/>
  <c r="AO140" i="26"/>
  <c r="AT140" i="26" s="1"/>
  <c r="A141" i="26"/>
  <c r="C141" i="26"/>
  <c r="V141" i="26" s="1"/>
  <c r="L141" i="26"/>
  <c r="Q141" i="26"/>
  <c r="W141" i="26"/>
  <c r="D369" i="55" l="1"/>
  <c r="M369" i="55" s="1"/>
  <c r="G369" i="55"/>
  <c r="W369" i="55"/>
  <c r="F369" i="55"/>
  <c r="P369" i="55"/>
  <c r="V369" i="55" s="1"/>
  <c r="O369" i="55"/>
  <c r="K141" i="26"/>
  <c r="M141" i="26" s="1"/>
  <c r="O141" i="26"/>
  <c r="P141" i="26"/>
  <c r="G141" i="26"/>
  <c r="F141" i="26"/>
  <c r="R141" i="26" s="1"/>
  <c r="D141" i="26"/>
  <c r="E142" i="26" s="1"/>
  <c r="AS141" i="26"/>
  <c r="BJ141" i="26" s="1"/>
  <c r="X141" i="26"/>
  <c r="AP141" i="26"/>
  <c r="BT140" i="26"/>
  <c r="U141" i="26"/>
  <c r="E370" i="55" l="1"/>
  <c r="Q370" i="55" s="1"/>
  <c r="N369" i="55"/>
  <c r="AU140" i="26"/>
  <c r="AF141" i="26"/>
  <c r="AN141" i="26" s="1"/>
  <c r="S141" i="26"/>
  <c r="T141" i="26" s="1"/>
  <c r="BC141" i="26" s="1"/>
  <c r="B142" i="26"/>
  <c r="P142" i="26" s="1"/>
  <c r="BK141" i="26"/>
  <c r="AO141" i="26"/>
  <c r="AT141" i="26" s="1"/>
  <c r="H142" i="26"/>
  <c r="N141" i="26"/>
  <c r="AJ141" i="26"/>
  <c r="AK141" i="26" s="1"/>
  <c r="D142" i="26"/>
  <c r="AL141" i="26"/>
  <c r="AM141" i="26" l="1"/>
  <c r="B370" i="55"/>
  <c r="P370" i="55" s="1"/>
  <c r="H370" i="55"/>
  <c r="K370" i="55"/>
  <c r="L370" i="55" s="1"/>
  <c r="A370" i="55"/>
  <c r="C370" i="55"/>
  <c r="O370" i="55" s="1"/>
  <c r="D370" i="55"/>
  <c r="F370" i="55"/>
  <c r="G370" i="55"/>
  <c r="X369" i="55"/>
  <c r="S369" i="55"/>
  <c r="BL141" i="26"/>
  <c r="F142" i="26"/>
  <c r="O142" i="26"/>
  <c r="G142" i="26"/>
  <c r="I142" i="26"/>
  <c r="C142" i="26"/>
  <c r="A142" i="26"/>
  <c r="L142" i="26"/>
  <c r="W142" i="26"/>
  <c r="Q142" i="26"/>
  <c r="K142" i="26"/>
  <c r="AS142" i="26" l="1"/>
  <c r="BJ142" i="26" s="1"/>
  <c r="V142" i="26"/>
  <c r="U370" i="55"/>
  <c r="V370" i="55" s="1"/>
  <c r="W370" i="55"/>
  <c r="E371" i="55"/>
  <c r="A371" i="55" s="1"/>
  <c r="M370" i="55"/>
  <c r="BT141" i="26"/>
  <c r="AV141" i="55"/>
  <c r="X142" i="26"/>
  <c r="E143" i="26"/>
  <c r="AP142" i="26"/>
  <c r="M142" i="26"/>
  <c r="R142" i="26"/>
  <c r="U142" i="26"/>
  <c r="K371" i="55" l="1"/>
  <c r="L371" i="55" s="1"/>
  <c r="Q371" i="55"/>
  <c r="B371" i="55"/>
  <c r="P371" i="55" s="1"/>
  <c r="C371" i="55"/>
  <c r="U371" i="55" s="1"/>
  <c r="H371" i="55"/>
  <c r="N370" i="55"/>
  <c r="AU141" i="26"/>
  <c r="AF142" i="26"/>
  <c r="AN142" i="26" s="1"/>
  <c r="S142" i="26"/>
  <c r="T142" i="26" s="1"/>
  <c r="BC142" i="26" s="1"/>
  <c r="B143" i="26"/>
  <c r="D143" i="26" s="1"/>
  <c r="H143" i="26"/>
  <c r="BK142" i="26"/>
  <c r="AO142" i="26"/>
  <c r="AT142" i="26" s="1"/>
  <c r="N142" i="26"/>
  <c r="AJ142" i="26"/>
  <c r="AK142" i="26" s="1"/>
  <c r="AL142" i="26"/>
  <c r="AM142" i="26" l="1"/>
  <c r="D371" i="55"/>
  <c r="M371" i="55" s="1"/>
  <c r="G371" i="55"/>
  <c r="V371" i="55"/>
  <c r="O371" i="55"/>
  <c r="F371" i="55"/>
  <c r="W371" i="55"/>
  <c r="E372" i="55"/>
  <c r="C372" i="55" s="1"/>
  <c r="X370" i="55"/>
  <c r="S370" i="55"/>
  <c r="G143" i="26"/>
  <c r="BL142" i="26"/>
  <c r="P143" i="26"/>
  <c r="I143" i="26"/>
  <c r="O143" i="26"/>
  <c r="F143" i="26"/>
  <c r="C143" i="26"/>
  <c r="A143" i="26"/>
  <c r="L143" i="26"/>
  <c r="W143" i="26"/>
  <c r="Q143" i="26"/>
  <c r="N371" i="55" l="1"/>
  <c r="AS143" i="26"/>
  <c r="BJ143" i="26" s="1"/>
  <c r="V143" i="26"/>
  <c r="K372" i="55"/>
  <c r="L372" i="55" s="1"/>
  <c r="O372" i="55"/>
  <c r="B372" i="55"/>
  <c r="D372" i="55" s="1"/>
  <c r="E373" i="55" s="1"/>
  <c r="Q372" i="55"/>
  <c r="A372" i="55"/>
  <c r="H372" i="55"/>
  <c r="X371" i="55"/>
  <c r="S371" i="55"/>
  <c r="U372" i="55"/>
  <c r="BT142" i="26"/>
  <c r="AV142" i="55"/>
  <c r="E144" i="26"/>
  <c r="AP143" i="26"/>
  <c r="K143" i="26"/>
  <c r="M143" i="26" s="1"/>
  <c r="X143" i="26"/>
  <c r="K373" i="55" l="1"/>
  <c r="L373" i="55" s="1"/>
  <c r="B373" i="55"/>
  <c r="D373" i="55" s="1"/>
  <c r="H373" i="55"/>
  <c r="A373" i="55"/>
  <c r="C373" i="55"/>
  <c r="O373" i="55" s="1"/>
  <c r="Q373" i="55"/>
  <c r="P372" i="55"/>
  <c r="V372" i="55" s="1"/>
  <c r="W372" i="55"/>
  <c r="M372" i="55"/>
  <c r="F372" i="55"/>
  <c r="G372" i="55"/>
  <c r="AU142" i="26"/>
  <c r="M373" i="55"/>
  <c r="N373" i="55" s="1"/>
  <c r="U373" i="55"/>
  <c r="B144" i="26"/>
  <c r="D144" i="26" s="1"/>
  <c r="AO143" i="26"/>
  <c r="AT143" i="26" s="1"/>
  <c r="BK143" i="26"/>
  <c r="H144" i="26"/>
  <c r="N143" i="26"/>
  <c r="AJ143" i="26"/>
  <c r="AK143" i="26" s="1"/>
  <c r="R143" i="26"/>
  <c r="U143" i="26"/>
  <c r="X373" i="55" l="1"/>
  <c r="E374" i="55"/>
  <c r="Q374" i="55" s="1"/>
  <c r="G373" i="55"/>
  <c r="F373" i="55"/>
  <c r="P373" i="55"/>
  <c r="V373" i="55" s="1"/>
  <c r="W373" i="55"/>
  <c r="N372" i="55"/>
  <c r="S143" i="26"/>
  <c r="T143" i="26" s="1"/>
  <c r="BC143" i="26" s="1"/>
  <c r="AF143" i="26"/>
  <c r="AN143" i="26" s="1"/>
  <c r="O144" i="26"/>
  <c r="F144" i="26"/>
  <c r="P144" i="26"/>
  <c r="H374" i="55"/>
  <c r="A374" i="55"/>
  <c r="C374" i="55"/>
  <c r="O374" i="55" s="1"/>
  <c r="G144" i="26"/>
  <c r="I144" i="26"/>
  <c r="AL143" i="26" l="1"/>
  <c r="AM143" i="26" s="1"/>
  <c r="B374" i="55"/>
  <c r="F374" i="55" s="1"/>
  <c r="K374" i="55"/>
  <c r="L374" i="55" s="1"/>
  <c r="X372" i="55"/>
  <c r="S372" i="55"/>
  <c r="S373" i="55" s="1"/>
  <c r="P374" i="55"/>
  <c r="BL143" i="26"/>
  <c r="D374" i="55"/>
  <c r="M374" i="55" s="1"/>
  <c r="W374" i="55"/>
  <c r="U374" i="55"/>
  <c r="G374" i="55"/>
  <c r="A144" i="26"/>
  <c r="C144" i="26"/>
  <c r="V144" i="26" s="1"/>
  <c r="K144" i="26"/>
  <c r="L144" i="26"/>
  <c r="W144" i="26"/>
  <c r="Q144" i="26"/>
  <c r="R144" i="26" s="1"/>
  <c r="E375" i="55" l="1"/>
  <c r="S144" i="26"/>
  <c r="T144" i="26" s="1"/>
  <c r="BT143" i="26"/>
  <c r="AV143" i="55"/>
  <c r="N374" i="55"/>
  <c r="X374" i="55" s="1"/>
  <c r="V374" i="55"/>
  <c r="U144" i="26"/>
  <c r="AS144" i="26"/>
  <c r="BJ144" i="26" s="1"/>
  <c r="AP144" i="26"/>
  <c r="X144" i="26"/>
  <c r="E145" i="26"/>
  <c r="M144" i="26"/>
  <c r="AL144" i="26" l="1"/>
  <c r="AM144" i="26" s="1"/>
  <c r="BL144" i="26"/>
  <c r="BC144" i="26"/>
  <c r="B375" i="55"/>
  <c r="P375" i="55" s="1"/>
  <c r="Q375" i="55"/>
  <c r="K375" i="55"/>
  <c r="L375" i="55" s="1"/>
  <c r="H375" i="55"/>
  <c r="A375" i="55"/>
  <c r="C375" i="55"/>
  <c r="U375" i="55" s="1"/>
  <c r="AU143" i="26"/>
  <c r="AF144" i="26"/>
  <c r="AN144" i="26" s="1"/>
  <c r="D375" i="55"/>
  <c r="M375" i="55" s="1"/>
  <c r="N375" i="55" s="1"/>
  <c r="X375" i="55" s="1"/>
  <c r="S374" i="55"/>
  <c r="G375" i="55"/>
  <c r="B145" i="26"/>
  <c r="P145" i="26" s="1"/>
  <c r="BK144" i="26"/>
  <c r="AO144" i="26"/>
  <c r="AT144" i="26" s="1"/>
  <c r="H145" i="26"/>
  <c r="N144" i="26"/>
  <c r="AJ144" i="26"/>
  <c r="AK144" i="26" s="1"/>
  <c r="A145" i="26"/>
  <c r="C145" i="26"/>
  <c r="AS145" i="26" s="1"/>
  <c r="L145" i="26"/>
  <c r="Q145" i="26"/>
  <c r="W145" i="26"/>
  <c r="V145" i="26" l="1"/>
  <c r="F375" i="55"/>
  <c r="O375" i="55"/>
  <c r="V375" i="55"/>
  <c r="W375" i="55"/>
  <c r="G145" i="26"/>
  <c r="E376" i="55"/>
  <c r="D145" i="26"/>
  <c r="E146" i="26" s="1"/>
  <c r="I145" i="26"/>
  <c r="K145" i="26"/>
  <c r="M145" i="26" s="1"/>
  <c r="AJ145" i="26" s="1"/>
  <c r="AK145" i="26" s="1"/>
  <c r="F145" i="26"/>
  <c r="R145" i="26" s="1"/>
  <c r="O145" i="26"/>
  <c r="BT144" i="26"/>
  <c r="AV144" i="55"/>
  <c r="S375" i="55"/>
  <c r="BJ145" i="26"/>
  <c r="AP145" i="26"/>
  <c r="X145" i="26"/>
  <c r="U145" i="26"/>
  <c r="Q376" i="55" l="1"/>
  <c r="K376" i="55"/>
  <c r="L376" i="55" s="1"/>
  <c r="A376" i="55"/>
  <c r="H376" i="55"/>
  <c r="C376" i="55"/>
  <c r="U376" i="55" s="1"/>
  <c r="B376" i="55"/>
  <c r="D376" i="55" s="1"/>
  <c r="AU144" i="26"/>
  <c r="AF145" i="26"/>
  <c r="AN145" i="26" s="1"/>
  <c r="S145" i="26"/>
  <c r="T145" i="26" s="1"/>
  <c r="BC145" i="26" s="1"/>
  <c r="N145" i="26"/>
  <c r="B146" i="26"/>
  <c r="G146" i="26" s="1"/>
  <c r="BK145" i="26"/>
  <c r="AO145" i="26"/>
  <c r="AT145" i="26" s="1"/>
  <c r="H146" i="26"/>
  <c r="AL145" i="26" l="1"/>
  <c r="AM145" i="26" s="1"/>
  <c r="O376" i="55"/>
  <c r="P376" i="55"/>
  <c r="V376" i="55" s="1"/>
  <c r="E377" i="55"/>
  <c r="W376" i="55"/>
  <c r="G376" i="55"/>
  <c r="F376" i="55"/>
  <c r="M376" i="55"/>
  <c r="N376" i="55" s="1"/>
  <c r="X376" i="55" s="1"/>
  <c r="BL145" i="26"/>
  <c r="I146" i="26"/>
  <c r="D146" i="26"/>
  <c r="K146" i="26"/>
  <c r="O146" i="26"/>
  <c r="F146" i="26"/>
  <c r="P146" i="26"/>
  <c r="C146" i="26"/>
  <c r="V146" i="26" s="1"/>
  <c r="A146" i="26"/>
  <c r="L146" i="26"/>
  <c r="Q146" i="26"/>
  <c r="W146" i="26"/>
  <c r="C377" i="55" l="1"/>
  <c r="O377" i="55" s="1"/>
  <c r="Q377" i="55"/>
  <c r="K377" i="55"/>
  <c r="L377" i="55" s="1"/>
  <c r="B377" i="55"/>
  <c r="F377" i="55" s="1"/>
  <c r="H377" i="55"/>
  <c r="A377" i="55"/>
  <c r="S376" i="55"/>
  <c r="M146" i="26"/>
  <c r="N146" i="26" s="1"/>
  <c r="R146" i="26"/>
  <c r="BT145" i="26"/>
  <c r="AV145" i="55"/>
  <c r="AS146" i="26"/>
  <c r="BJ146" i="26" s="1"/>
  <c r="AP146" i="26"/>
  <c r="X146" i="26"/>
  <c r="E147" i="26"/>
  <c r="U146" i="26"/>
  <c r="AL146" i="26" l="1"/>
  <c r="AM146" i="26" s="1"/>
  <c r="P377" i="55"/>
  <c r="G377" i="55"/>
  <c r="D377" i="55"/>
  <c r="M377" i="55" s="1"/>
  <c r="N377" i="55" s="1"/>
  <c r="S377" i="55" s="1"/>
  <c r="W377" i="55"/>
  <c r="AJ146" i="26"/>
  <c r="AK146" i="26" s="1"/>
  <c r="AU145" i="26"/>
  <c r="S146" i="26"/>
  <c r="T146" i="26" s="1"/>
  <c r="BC146" i="26" s="1"/>
  <c r="AF146" i="26"/>
  <c r="AN146" i="26" s="1"/>
  <c r="B147" i="26"/>
  <c r="P147" i="26" s="1"/>
  <c r="H147" i="26"/>
  <c r="BK146" i="26"/>
  <c r="AO146" i="26"/>
  <c r="AT146" i="26" s="1"/>
  <c r="C147" i="26"/>
  <c r="V147" i="26" s="1"/>
  <c r="A147" i="26"/>
  <c r="L147" i="26"/>
  <c r="Q147" i="26"/>
  <c r="W147" i="26"/>
  <c r="X377" i="55" l="1"/>
  <c r="E378" i="55"/>
  <c r="K378" i="55" s="1"/>
  <c r="G147" i="26"/>
  <c r="K147" i="26"/>
  <c r="M147" i="26" s="1"/>
  <c r="AJ147" i="26" s="1"/>
  <c r="AK147" i="26" s="1"/>
  <c r="BL146" i="26"/>
  <c r="F147" i="26"/>
  <c r="R147" i="26" s="1"/>
  <c r="X147" i="26"/>
  <c r="BK147" i="26" s="1"/>
  <c r="I147" i="26"/>
  <c r="D147" i="26"/>
  <c r="E148" i="26" s="1"/>
  <c r="O147" i="26"/>
  <c r="AS147" i="26"/>
  <c r="BJ147" i="26" s="1"/>
  <c r="AO147" i="26"/>
  <c r="AP147" i="26"/>
  <c r="U147" i="26"/>
  <c r="C378" i="55" l="1"/>
  <c r="U378" i="55" s="1"/>
  <c r="Q378" i="55"/>
  <c r="A378" i="55"/>
  <c r="H378" i="55"/>
  <c r="B378" i="55"/>
  <c r="G378" i="55" s="1"/>
  <c r="L378" i="55"/>
  <c r="AV146" i="55"/>
  <c r="BT146" i="26"/>
  <c r="AU146" i="26"/>
  <c r="S147" i="26"/>
  <c r="T147" i="26" s="1"/>
  <c r="AF147" i="26"/>
  <c r="AN147" i="26" s="1"/>
  <c r="AT147" i="26"/>
  <c r="B148" i="26"/>
  <c r="P148" i="26" s="1"/>
  <c r="N147" i="26"/>
  <c r="H148" i="26"/>
  <c r="AL147" i="26" l="1"/>
  <c r="AM147" i="26" s="1"/>
  <c r="BL147" i="26"/>
  <c r="BC147" i="26"/>
  <c r="P378" i="55"/>
  <c r="O378" i="55"/>
  <c r="V378" i="55"/>
  <c r="F378" i="55"/>
  <c r="W378" i="55"/>
  <c r="D378" i="55"/>
  <c r="F148" i="26"/>
  <c r="O148" i="26"/>
  <c r="G148" i="26"/>
  <c r="D148" i="26"/>
  <c r="I148" i="26"/>
  <c r="A148" i="26"/>
  <c r="C148" i="26"/>
  <c r="V148" i="26" s="1"/>
  <c r="L148" i="26"/>
  <c r="Q148" i="26"/>
  <c r="W148" i="26"/>
  <c r="K148" i="26"/>
  <c r="M378" i="55" l="1"/>
  <c r="E379" i="55"/>
  <c r="M148" i="26"/>
  <c r="N148" i="26" s="1"/>
  <c r="BT147" i="26"/>
  <c r="AV147" i="55"/>
  <c r="AS148" i="26"/>
  <c r="BJ148" i="26" s="1"/>
  <c r="AP148" i="26"/>
  <c r="E149" i="26"/>
  <c r="X148" i="26"/>
  <c r="R148" i="26"/>
  <c r="U148" i="26"/>
  <c r="Q379" i="55" l="1"/>
  <c r="C379" i="55"/>
  <c r="A379" i="55"/>
  <c r="H379" i="55"/>
  <c r="K379" i="55"/>
  <c r="L379" i="55" s="1"/>
  <c r="B379" i="55"/>
  <c r="N378" i="55"/>
  <c r="AU147" i="26"/>
  <c r="AF148" i="26"/>
  <c r="AN148" i="26" s="1"/>
  <c r="AJ148" i="26"/>
  <c r="AK148" i="26" s="1"/>
  <c r="S148" i="26"/>
  <c r="T148" i="26" s="1"/>
  <c r="BC148" i="26" s="1"/>
  <c r="B149" i="26"/>
  <c r="P149" i="26" s="1"/>
  <c r="BK148" i="26"/>
  <c r="AO148" i="26"/>
  <c r="AT148" i="26" s="1"/>
  <c r="H149" i="26"/>
  <c r="AL148" i="26" l="1"/>
  <c r="AM148" i="26" s="1"/>
  <c r="S378" i="55"/>
  <c r="X378" i="55"/>
  <c r="P379" i="55"/>
  <c r="W379" i="55"/>
  <c r="F379" i="55"/>
  <c r="D379" i="55"/>
  <c r="M379" i="55" s="1"/>
  <c r="G379" i="55"/>
  <c r="U379" i="55"/>
  <c r="O379" i="55"/>
  <c r="E380" i="55"/>
  <c r="H380" i="55" s="1"/>
  <c r="BL148" i="26"/>
  <c r="G149" i="26"/>
  <c r="D149" i="26"/>
  <c r="F149" i="26"/>
  <c r="O149" i="26"/>
  <c r="I149" i="26"/>
  <c r="A149" i="26"/>
  <c r="C149" i="26"/>
  <c r="V149" i="26" s="1"/>
  <c r="L149" i="26"/>
  <c r="Q149" i="26"/>
  <c r="W149" i="26"/>
  <c r="K149" i="26"/>
  <c r="V379" i="55" l="1"/>
  <c r="X149" i="26"/>
  <c r="C380" i="55"/>
  <c r="O380" i="55" s="1"/>
  <c r="B380" i="55"/>
  <c r="P380" i="55" s="1"/>
  <c r="K380" i="55"/>
  <c r="L380" i="55" s="1"/>
  <c r="Q380" i="55"/>
  <c r="N379" i="55"/>
  <c r="A380" i="55"/>
  <c r="BT148" i="26"/>
  <c r="AV148" i="55"/>
  <c r="AS149" i="26"/>
  <c r="BJ149" i="26" s="1"/>
  <c r="AP149" i="26"/>
  <c r="E150" i="26"/>
  <c r="M149" i="26"/>
  <c r="R149" i="26"/>
  <c r="U149" i="26"/>
  <c r="U380" i="55" l="1"/>
  <c r="V380" i="55" s="1"/>
  <c r="F380" i="55"/>
  <c r="D380" i="55"/>
  <c r="M380" i="55" s="1"/>
  <c r="N380" i="55" s="1"/>
  <c r="W380" i="55"/>
  <c r="G380" i="55"/>
  <c r="X379" i="55"/>
  <c r="S379" i="55"/>
  <c r="AU148" i="26"/>
  <c r="AF149" i="26"/>
  <c r="AN149" i="26" s="1"/>
  <c r="S149" i="26"/>
  <c r="T149" i="26" s="1"/>
  <c r="BC149" i="26" s="1"/>
  <c r="B150" i="26"/>
  <c r="D150" i="26" s="1"/>
  <c r="H150" i="26"/>
  <c r="BK149" i="26"/>
  <c r="AO149" i="26"/>
  <c r="AT149" i="26" s="1"/>
  <c r="N149" i="26"/>
  <c r="AJ149" i="26"/>
  <c r="AK149" i="26" s="1"/>
  <c r="AL149" i="26"/>
  <c r="AM149" i="26" l="1"/>
  <c r="E381" i="55"/>
  <c r="Q381" i="55" s="1"/>
  <c r="BL149" i="26"/>
  <c r="I150" i="26"/>
  <c r="F150" i="26"/>
  <c r="G150" i="26"/>
  <c r="O150" i="26"/>
  <c r="P150" i="26"/>
  <c r="X380" i="55"/>
  <c r="S380" i="55"/>
  <c r="H381" i="55"/>
  <c r="B381" i="55"/>
  <c r="P381" i="55" s="1"/>
  <c r="C150" i="26"/>
  <c r="V150" i="26" s="1"/>
  <c r="A150" i="26"/>
  <c r="L150" i="26"/>
  <c r="W150" i="26"/>
  <c r="Q150" i="26"/>
  <c r="C381" i="55" l="1"/>
  <c r="O381" i="55" s="1"/>
  <c r="K381" i="55"/>
  <c r="L381" i="55" s="1"/>
  <c r="A381" i="55"/>
  <c r="F381" i="55"/>
  <c r="G381" i="55"/>
  <c r="D381" i="55"/>
  <c r="M381" i="55" s="1"/>
  <c r="BT149" i="26"/>
  <c r="AV149" i="55"/>
  <c r="AS150" i="26"/>
  <c r="BJ150" i="26" s="1"/>
  <c r="AP150" i="26"/>
  <c r="E151" i="26"/>
  <c r="K150" i="26"/>
  <c r="M150" i="26" s="1"/>
  <c r="X150" i="26"/>
  <c r="W381" i="55" l="1"/>
  <c r="U381" i="55"/>
  <c r="V381" i="55" s="1"/>
  <c r="AU149" i="26"/>
  <c r="E382" i="55"/>
  <c r="B151" i="26"/>
  <c r="D151" i="26" s="1"/>
  <c r="H151" i="26"/>
  <c r="BK150" i="26"/>
  <c r="AO150" i="26"/>
  <c r="AT150" i="26" s="1"/>
  <c r="N150" i="26"/>
  <c r="AJ150" i="26"/>
  <c r="AK150" i="26" s="1"/>
  <c r="R150" i="26"/>
  <c r="U150" i="26"/>
  <c r="Q382" i="55" l="1"/>
  <c r="K382" i="55"/>
  <c r="AF150" i="26"/>
  <c r="AN150" i="26" s="1"/>
  <c r="S150" i="26"/>
  <c r="T150" i="26" s="1"/>
  <c r="BC150" i="26" s="1"/>
  <c r="G151" i="26"/>
  <c r="I151" i="26"/>
  <c r="O151" i="26"/>
  <c r="P151" i="26"/>
  <c r="A382" i="55"/>
  <c r="H382" i="55"/>
  <c r="C382" i="55"/>
  <c r="O382" i="55" s="1"/>
  <c r="B382" i="55"/>
  <c r="D382" i="55" s="1"/>
  <c r="L382" i="55"/>
  <c r="N381" i="55"/>
  <c r="F151" i="26"/>
  <c r="K151" i="26"/>
  <c r="AL150" i="26" l="1"/>
  <c r="AM150" i="26" s="1"/>
  <c r="P382" i="55"/>
  <c r="G382" i="55"/>
  <c r="BL150" i="26"/>
  <c r="E383" i="55"/>
  <c r="M382" i="55"/>
  <c r="U382" i="55"/>
  <c r="S381" i="55"/>
  <c r="X381" i="55"/>
  <c r="F382" i="55"/>
  <c r="W382" i="55"/>
  <c r="C151" i="26"/>
  <c r="A151" i="26"/>
  <c r="L151" i="26"/>
  <c r="M151" i="26" s="1"/>
  <c r="Q151" i="26"/>
  <c r="R151" i="26" s="1"/>
  <c r="W151" i="26"/>
  <c r="U151" i="26" l="1"/>
  <c r="V151" i="26"/>
  <c r="Q383" i="55"/>
  <c r="K383" i="55"/>
  <c r="L383" i="55" s="1"/>
  <c r="C383" i="55"/>
  <c r="O383" i="55" s="1"/>
  <c r="H383" i="55"/>
  <c r="B383" i="55"/>
  <c r="P383" i="55" s="1"/>
  <c r="A383" i="55"/>
  <c r="S151" i="26"/>
  <c r="T151" i="26" s="1"/>
  <c r="V382" i="55"/>
  <c r="N382" i="55"/>
  <c r="BT150" i="26"/>
  <c r="AV150" i="55"/>
  <c r="AF151" i="26"/>
  <c r="AN151" i="26" s="1"/>
  <c r="AS151" i="26"/>
  <c r="BJ151" i="26" s="1"/>
  <c r="AP151" i="26"/>
  <c r="N151" i="26"/>
  <c r="AJ151" i="26"/>
  <c r="AK151" i="26" s="1"/>
  <c r="X151" i="26"/>
  <c r="E152" i="26"/>
  <c r="AL151" i="26" l="1"/>
  <c r="AM151" i="26" s="1"/>
  <c r="BL151" i="26"/>
  <c r="BC151" i="26"/>
  <c r="U383" i="55"/>
  <c r="V383" i="55" s="1"/>
  <c r="G383" i="55"/>
  <c r="W383" i="55"/>
  <c r="F383" i="55"/>
  <c r="D383" i="55"/>
  <c r="M383" i="55" s="1"/>
  <c r="AU150" i="26"/>
  <c r="S382" i="55"/>
  <c r="X382" i="55"/>
  <c r="B152" i="26"/>
  <c r="P152" i="26" s="1"/>
  <c r="BK151" i="26"/>
  <c r="AO151" i="26"/>
  <c r="AT151" i="26" s="1"/>
  <c r="H152" i="26"/>
  <c r="A152" i="26"/>
  <c r="C152" i="26"/>
  <c r="V152" i="26" s="1"/>
  <c r="L152" i="26"/>
  <c r="Q152" i="26"/>
  <c r="W152" i="26"/>
  <c r="N383" i="55" l="1"/>
  <c r="X383" i="55" s="1"/>
  <c r="E384" i="55"/>
  <c r="G152" i="26"/>
  <c r="D152" i="26"/>
  <c r="E153" i="26" s="1"/>
  <c r="X152" i="26"/>
  <c r="K152" i="26"/>
  <c r="M152" i="26" s="1"/>
  <c r="I152" i="26"/>
  <c r="F152" i="26"/>
  <c r="R152" i="26" s="1"/>
  <c r="O152" i="26"/>
  <c r="BT151" i="26"/>
  <c r="AV151" i="55"/>
  <c r="AS152" i="26"/>
  <c r="BJ152" i="26" s="1"/>
  <c r="AP152" i="26"/>
  <c r="U152" i="26"/>
  <c r="Q384" i="55" l="1"/>
  <c r="K384" i="55"/>
  <c r="L384" i="55" s="1"/>
  <c r="S383" i="55"/>
  <c r="A384" i="55"/>
  <c r="B384" i="55"/>
  <c r="P384" i="55" s="1"/>
  <c r="C384" i="55"/>
  <c r="U384" i="55" s="1"/>
  <c r="H384" i="55"/>
  <c r="AU151" i="26"/>
  <c r="AF152" i="26"/>
  <c r="AN152" i="26" s="1"/>
  <c r="S152" i="26"/>
  <c r="T152" i="26" s="1"/>
  <c r="BC152" i="26" s="1"/>
  <c r="BK152" i="26"/>
  <c r="B153" i="26"/>
  <c r="D153" i="26" s="1"/>
  <c r="H153" i="26"/>
  <c r="AO152" i="26"/>
  <c r="AT152" i="26" s="1"/>
  <c r="N152" i="26"/>
  <c r="AJ152" i="26"/>
  <c r="AK152" i="26" s="1"/>
  <c r="AL152" i="26" l="1"/>
  <c r="AM152" i="26" s="1"/>
  <c r="O384" i="55"/>
  <c r="D384" i="55"/>
  <c r="M384" i="55" s="1"/>
  <c r="G384" i="55"/>
  <c r="W384" i="55"/>
  <c r="F384" i="55"/>
  <c r="V384" i="55"/>
  <c r="BL152" i="26"/>
  <c r="F153" i="26"/>
  <c r="O153" i="26"/>
  <c r="K153" i="26"/>
  <c r="I153" i="26"/>
  <c r="G153" i="26"/>
  <c r="P153" i="26"/>
  <c r="E385" i="55"/>
  <c r="A153" i="26"/>
  <c r="C153" i="26"/>
  <c r="V153" i="26" s="1"/>
  <c r="L153" i="26"/>
  <c r="Q153" i="26"/>
  <c r="W153" i="26"/>
  <c r="Q385" i="55" l="1"/>
  <c r="K385" i="55"/>
  <c r="L385" i="55" s="1"/>
  <c r="R153" i="26"/>
  <c r="M153" i="26"/>
  <c r="N153" i="26" s="1"/>
  <c r="BT152" i="26"/>
  <c r="AV152" i="55"/>
  <c r="C385" i="55"/>
  <c r="O385" i="55" s="1"/>
  <c r="A385" i="55"/>
  <c r="B385" i="55"/>
  <c r="P385" i="55" s="1"/>
  <c r="H385" i="55"/>
  <c r="N384" i="55"/>
  <c r="AS153" i="26"/>
  <c r="BJ153" i="26" s="1"/>
  <c r="AP153" i="26"/>
  <c r="U153" i="26"/>
  <c r="X153" i="26"/>
  <c r="E154" i="26"/>
  <c r="AL153" i="26" l="1"/>
  <c r="AM153" i="26" s="1"/>
  <c r="AJ153" i="26"/>
  <c r="AK153" i="26" s="1"/>
  <c r="AU152" i="26"/>
  <c r="AF153" i="26"/>
  <c r="AN153" i="26" s="1"/>
  <c r="S153" i="26"/>
  <c r="T153" i="26" s="1"/>
  <c r="BC153" i="26" s="1"/>
  <c r="U385" i="55"/>
  <c r="D385" i="55"/>
  <c r="M385" i="55" s="1"/>
  <c r="F385" i="55"/>
  <c r="G385" i="55"/>
  <c r="X384" i="55"/>
  <c r="S384" i="55"/>
  <c r="W385" i="55"/>
  <c r="B154" i="26"/>
  <c r="O154" i="26" s="1"/>
  <c r="H154" i="26"/>
  <c r="BK153" i="26"/>
  <c r="AO153" i="26"/>
  <c r="AT153" i="26" s="1"/>
  <c r="C154" i="26"/>
  <c r="V154" i="26" s="1"/>
  <c r="Q154" i="26"/>
  <c r="W154" i="26"/>
  <c r="BL153" i="26" l="1"/>
  <c r="AV153" i="55"/>
  <c r="G154" i="26"/>
  <c r="F154" i="26"/>
  <c r="R154" i="26" s="1"/>
  <c r="D154" i="26"/>
  <c r="E155" i="26" s="1"/>
  <c r="I154" i="26"/>
  <c r="P154" i="26"/>
  <c r="K154" i="26"/>
  <c r="AP154" i="26"/>
  <c r="N385" i="55"/>
  <c r="V385" i="55"/>
  <c r="E386" i="55"/>
  <c r="AS154" i="26"/>
  <c r="BJ154" i="26" s="1"/>
  <c r="X154" i="26"/>
  <c r="L154" i="26"/>
  <c r="A154" i="26"/>
  <c r="U154" i="26"/>
  <c r="Q386" i="55" l="1"/>
  <c r="K386" i="55"/>
  <c r="L386" i="55" s="1"/>
  <c r="BT153" i="26"/>
  <c r="AU153" i="26"/>
  <c r="S154" i="26"/>
  <c r="T154" i="26" s="1"/>
  <c r="BC154" i="26" s="1"/>
  <c r="AF154" i="26"/>
  <c r="AN154" i="26" s="1"/>
  <c r="M154" i="26"/>
  <c r="N154" i="26" s="1"/>
  <c r="C386" i="55"/>
  <c r="U386" i="55" s="1"/>
  <c r="A386" i="55"/>
  <c r="B386" i="55"/>
  <c r="D386" i="55" s="1"/>
  <c r="H386" i="55"/>
  <c r="X385" i="55"/>
  <c r="S385" i="55"/>
  <c r="B155" i="26"/>
  <c r="P155" i="26" s="1"/>
  <c r="AO154" i="26"/>
  <c r="AT154" i="26" s="1"/>
  <c r="BK154" i="26"/>
  <c r="H155" i="26"/>
  <c r="AL154" i="26" l="1"/>
  <c r="AM154" i="26" s="1"/>
  <c r="P386" i="55"/>
  <c r="V386" i="55" s="1"/>
  <c r="O386" i="55"/>
  <c r="BL154" i="26"/>
  <c r="AJ154" i="26"/>
  <c r="AK154" i="26" s="1"/>
  <c r="F155" i="26"/>
  <c r="D155" i="26"/>
  <c r="G155" i="26"/>
  <c r="G386" i="55"/>
  <c r="O155" i="26"/>
  <c r="I155" i="26"/>
  <c r="M386" i="55"/>
  <c r="F386" i="55"/>
  <c r="W386" i="55"/>
  <c r="E387" i="55"/>
  <c r="C155" i="26"/>
  <c r="V155" i="26" s="1"/>
  <c r="A155" i="26"/>
  <c r="L155" i="26"/>
  <c r="Q155" i="26"/>
  <c r="W155" i="26"/>
  <c r="K387" i="55" l="1"/>
  <c r="L387" i="55" s="1"/>
  <c r="Q387" i="55"/>
  <c r="N386" i="55"/>
  <c r="BT154" i="26"/>
  <c r="AV154" i="55"/>
  <c r="H387" i="55"/>
  <c r="C387" i="55"/>
  <c r="U387" i="55" s="1"/>
  <c r="B387" i="55"/>
  <c r="P387" i="55" s="1"/>
  <c r="A387" i="55"/>
  <c r="AS155" i="26"/>
  <c r="BJ155" i="26" s="1"/>
  <c r="AP155" i="26"/>
  <c r="E156" i="26"/>
  <c r="K155" i="26"/>
  <c r="M155" i="26" s="1"/>
  <c r="X155" i="26"/>
  <c r="O387" i="55" l="1"/>
  <c r="AU154" i="26"/>
  <c r="G387" i="55"/>
  <c r="V387" i="55"/>
  <c r="W387" i="55"/>
  <c r="D387" i="55"/>
  <c r="M387" i="55" s="1"/>
  <c r="S386" i="55"/>
  <c r="X386" i="55"/>
  <c r="F387" i="55"/>
  <c r="B156" i="26"/>
  <c r="D156" i="26" s="1"/>
  <c r="H156" i="26"/>
  <c r="BK155" i="26"/>
  <c r="AO155" i="26"/>
  <c r="AT155" i="26" s="1"/>
  <c r="N155" i="26"/>
  <c r="AJ155" i="26"/>
  <c r="AK155" i="26" s="1"/>
  <c r="R155" i="26"/>
  <c r="U155" i="26"/>
  <c r="E388" i="55" l="1"/>
  <c r="AF155" i="26"/>
  <c r="AN155" i="26" s="1"/>
  <c r="S155" i="26"/>
  <c r="T155" i="26" s="1"/>
  <c r="BC155" i="26" s="1"/>
  <c r="I156" i="26"/>
  <c r="G156" i="26"/>
  <c r="O156" i="26"/>
  <c r="F156" i="26"/>
  <c r="P156" i="26"/>
  <c r="A388" i="55"/>
  <c r="H388" i="55"/>
  <c r="C388" i="55"/>
  <c r="U388" i="55" s="1"/>
  <c r="B388" i="55"/>
  <c r="D388" i="55" s="1"/>
  <c r="AL155" i="26" l="1"/>
  <c r="AM155" i="26" s="1"/>
  <c r="O388" i="55"/>
  <c r="Q388" i="55"/>
  <c r="P388" i="55"/>
  <c r="V388" i="55" s="1"/>
  <c r="K388" i="55"/>
  <c r="L388" i="55" s="1"/>
  <c r="BL155" i="26"/>
  <c r="F388" i="55"/>
  <c r="M388" i="55"/>
  <c r="G388" i="55"/>
  <c r="E389" i="55"/>
  <c r="N387" i="55"/>
  <c r="W388" i="55"/>
  <c r="A156" i="26"/>
  <c r="C156" i="26"/>
  <c r="V156" i="26" s="1"/>
  <c r="K156" i="26"/>
  <c r="L156" i="26"/>
  <c r="Q156" i="26"/>
  <c r="R156" i="26" s="1"/>
  <c r="W156" i="26"/>
  <c r="Q389" i="55" l="1"/>
  <c r="K389" i="55"/>
  <c r="L389" i="55" s="1"/>
  <c r="S156" i="26"/>
  <c r="T156" i="26" s="1"/>
  <c r="A389" i="55"/>
  <c r="B389" i="55"/>
  <c r="P389" i="55" s="1"/>
  <c r="C389" i="55"/>
  <c r="O389" i="55" s="1"/>
  <c r="H389" i="55"/>
  <c r="N388" i="55"/>
  <c r="S387" i="55"/>
  <c r="X387" i="55"/>
  <c r="BT155" i="26"/>
  <c r="AV155" i="55"/>
  <c r="AS156" i="26"/>
  <c r="BJ156" i="26" s="1"/>
  <c r="AP156" i="26"/>
  <c r="U156" i="26"/>
  <c r="X156" i="26"/>
  <c r="E157" i="26"/>
  <c r="M156" i="26"/>
  <c r="AL156" i="26" l="1"/>
  <c r="AM156" i="26" s="1"/>
  <c r="BL156" i="26"/>
  <c r="BC156" i="26"/>
  <c r="AU155" i="26"/>
  <c r="AF156" i="26"/>
  <c r="AN156" i="26" s="1"/>
  <c r="D389" i="55"/>
  <c r="M389" i="55" s="1"/>
  <c r="F389" i="55"/>
  <c r="W389" i="55"/>
  <c r="G389" i="55"/>
  <c r="X388" i="55"/>
  <c r="S388" i="55"/>
  <c r="B157" i="26"/>
  <c r="D157" i="26" s="1"/>
  <c r="BK156" i="26"/>
  <c r="AO156" i="26"/>
  <c r="AT156" i="26" s="1"/>
  <c r="H157" i="26"/>
  <c r="N156" i="26"/>
  <c r="AJ156" i="26"/>
  <c r="AK156" i="26" s="1"/>
  <c r="A157" i="26"/>
  <c r="C157" i="26"/>
  <c r="AS157" i="26" s="1"/>
  <c r="L157" i="26"/>
  <c r="Q157" i="26"/>
  <c r="W157" i="26"/>
  <c r="V157" i="26" l="1"/>
  <c r="F157" i="26"/>
  <c r="O157" i="26"/>
  <c r="I157" i="26"/>
  <c r="E390" i="55"/>
  <c r="H390" i="55" s="1"/>
  <c r="P157" i="26"/>
  <c r="BT156" i="26"/>
  <c r="AV156" i="55"/>
  <c r="N389" i="55"/>
  <c r="G157" i="26"/>
  <c r="BJ157" i="26"/>
  <c r="AP157" i="26"/>
  <c r="AO157" i="26"/>
  <c r="E158" i="26"/>
  <c r="K157" i="26"/>
  <c r="M157" i="26" s="1"/>
  <c r="X157" i="26"/>
  <c r="Q390" i="55" l="1"/>
  <c r="K390" i="55"/>
  <c r="L390" i="55" s="1"/>
  <c r="A390" i="55"/>
  <c r="C390" i="55"/>
  <c r="U390" i="55" s="1"/>
  <c r="B390" i="55"/>
  <c r="G390" i="55" s="1"/>
  <c r="AU156" i="26"/>
  <c r="S389" i="55"/>
  <c r="X389" i="55"/>
  <c r="BK157" i="26"/>
  <c r="B158" i="26"/>
  <c r="P158" i="26" s="1"/>
  <c r="AT157" i="26"/>
  <c r="H158" i="26"/>
  <c r="N157" i="26"/>
  <c r="AJ157" i="26"/>
  <c r="AK157" i="26" s="1"/>
  <c r="R157" i="26"/>
  <c r="U157" i="26"/>
  <c r="O390" i="55" l="1"/>
  <c r="P390" i="55"/>
  <c r="V390" i="55" s="1"/>
  <c r="W390" i="55"/>
  <c r="D390" i="55"/>
  <c r="M390" i="55" s="1"/>
  <c r="N390" i="55" s="1"/>
  <c r="F390" i="55"/>
  <c r="G158" i="26"/>
  <c r="F158" i="26"/>
  <c r="O158" i="26"/>
  <c r="S157" i="26"/>
  <c r="T157" i="26" s="1"/>
  <c r="BC157" i="26" s="1"/>
  <c r="AF157" i="26"/>
  <c r="AN157" i="26" s="1"/>
  <c r="D158" i="26"/>
  <c r="I158" i="26"/>
  <c r="AL157" i="26"/>
  <c r="AM157" i="26" l="1"/>
  <c r="E391" i="55"/>
  <c r="BL157" i="26"/>
  <c r="B391" i="55"/>
  <c r="F391" i="55" s="1"/>
  <c r="X390" i="55"/>
  <c r="S390" i="55"/>
  <c r="C158" i="26"/>
  <c r="A158" i="26"/>
  <c r="K158" i="26"/>
  <c r="L158" i="26"/>
  <c r="Q158" i="26"/>
  <c r="R158" i="26" s="1"/>
  <c r="W158" i="26"/>
  <c r="U158" i="26" l="1"/>
  <c r="V158" i="26"/>
  <c r="Q391" i="55"/>
  <c r="P391" i="55"/>
  <c r="K391" i="55"/>
  <c r="L391" i="55" s="1"/>
  <c r="A391" i="55"/>
  <c r="C391" i="55"/>
  <c r="O391" i="55" s="1"/>
  <c r="H391" i="55"/>
  <c r="S158" i="26"/>
  <c r="T158" i="26" s="1"/>
  <c r="D391" i="55"/>
  <c r="M391" i="55" s="1"/>
  <c r="G391" i="55"/>
  <c r="BT157" i="26"/>
  <c r="AV157" i="55"/>
  <c r="AS158" i="26"/>
  <c r="BJ158" i="26" s="1"/>
  <c r="AF158" i="26"/>
  <c r="AN158" i="26" s="1"/>
  <c r="AP158" i="26"/>
  <c r="X158" i="26"/>
  <c r="E159" i="26"/>
  <c r="M158" i="26"/>
  <c r="AL158" i="26" l="1"/>
  <c r="AM158" i="26" s="1"/>
  <c r="BL158" i="26"/>
  <c r="BC158" i="26"/>
  <c r="U391" i="55"/>
  <c r="V391" i="55" s="1"/>
  <c r="W391" i="55"/>
  <c r="AU157" i="26"/>
  <c r="N391" i="55"/>
  <c r="X391" i="55" s="1"/>
  <c r="E392" i="55"/>
  <c r="B159" i="26"/>
  <c r="D159" i="26" s="1"/>
  <c r="BK158" i="26"/>
  <c r="AO158" i="26"/>
  <c r="AT158" i="26" s="1"/>
  <c r="H159" i="26"/>
  <c r="N158" i="26"/>
  <c r="AJ158" i="26"/>
  <c r="AK158" i="26" s="1"/>
  <c r="C159" i="26"/>
  <c r="V159" i="26" s="1"/>
  <c r="A159" i="26"/>
  <c r="L159" i="26"/>
  <c r="Q159" i="26"/>
  <c r="W159" i="26"/>
  <c r="B392" i="55" l="1"/>
  <c r="P392" i="55" s="1"/>
  <c r="Q392" i="55"/>
  <c r="K392" i="55"/>
  <c r="L392" i="55" s="1"/>
  <c r="K159" i="26"/>
  <c r="M159" i="26" s="1"/>
  <c r="P159" i="26"/>
  <c r="A392" i="55"/>
  <c r="H392" i="55"/>
  <c r="C392" i="55"/>
  <c r="U392" i="55" s="1"/>
  <c r="AP159" i="26"/>
  <c r="I159" i="26"/>
  <c r="F159" i="26"/>
  <c r="R159" i="26" s="1"/>
  <c r="O159" i="26"/>
  <c r="S391" i="55"/>
  <c r="BT158" i="26"/>
  <c r="AV158" i="55"/>
  <c r="F392" i="55"/>
  <c r="D392" i="55"/>
  <c r="G392" i="55"/>
  <c r="AS159" i="26"/>
  <c r="BJ159" i="26" s="1"/>
  <c r="G159" i="26"/>
  <c r="X159" i="26"/>
  <c r="E160" i="26"/>
  <c r="U159" i="26"/>
  <c r="AL159" i="26" l="1"/>
  <c r="AM159" i="26" s="1"/>
  <c r="O392" i="55"/>
  <c r="AU158" i="26"/>
  <c r="AF159" i="26"/>
  <c r="AN159" i="26" s="1"/>
  <c r="S159" i="26"/>
  <c r="T159" i="26" s="1"/>
  <c r="BC159" i="26" s="1"/>
  <c r="E393" i="55"/>
  <c r="W392" i="55"/>
  <c r="M392" i="55"/>
  <c r="N392" i="55" s="1"/>
  <c r="V392" i="55"/>
  <c r="B160" i="26"/>
  <c r="P160" i="26" s="1"/>
  <c r="H160" i="26"/>
  <c r="BK159" i="26"/>
  <c r="AO159" i="26"/>
  <c r="AT159" i="26" s="1"/>
  <c r="N159" i="26"/>
  <c r="AJ159" i="26"/>
  <c r="AK159" i="26" s="1"/>
  <c r="A160" i="26"/>
  <c r="C160" i="26"/>
  <c r="AS160" i="26" s="1"/>
  <c r="L160" i="26"/>
  <c r="Q160" i="26"/>
  <c r="W160" i="26"/>
  <c r="V160" i="26" l="1"/>
  <c r="C393" i="55"/>
  <c r="U393" i="55" s="1"/>
  <c r="A393" i="55"/>
  <c r="Q393" i="55"/>
  <c r="K393" i="55"/>
  <c r="L393" i="55" s="1"/>
  <c r="H393" i="55"/>
  <c r="BL159" i="26"/>
  <c r="I160" i="26"/>
  <c r="F160" i="26"/>
  <c r="R160" i="26" s="1"/>
  <c r="G160" i="26"/>
  <c r="K160" i="26"/>
  <c r="M160" i="26" s="1"/>
  <c r="AJ160" i="26" s="1"/>
  <c r="AK160" i="26" s="1"/>
  <c r="D160" i="26"/>
  <c r="B393" i="55"/>
  <c r="F393" i="55" s="1"/>
  <c r="O160" i="26"/>
  <c r="X392" i="55"/>
  <c r="S392" i="55"/>
  <c r="BJ160" i="26"/>
  <c r="AP160" i="26"/>
  <c r="X160" i="26"/>
  <c r="U160" i="26"/>
  <c r="O393" i="55" l="1"/>
  <c r="P393" i="55"/>
  <c r="V393" i="55" s="1"/>
  <c r="E161" i="26"/>
  <c r="N160" i="26"/>
  <c r="D393" i="55"/>
  <c r="M393" i="55" s="1"/>
  <c r="W393" i="55"/>
  <c r="AU159" i="26"/>
  <c r="AL160" i="26"/>
  <c r="AF160" i="26"/>
  <c r="AN160" i="26" s="1"/>
  <c r="S160" i="26"/>
  <c r="T160" i="26" s="1"/>
  <c r="G393" i="55"/>
  <c r="BT159" i="26"/>
  <c r="AV159" i="55"/>
  <c r="AO160" i="26"/>
  <c r="AT160" i="26" s="1"/>
  <c r="BK160" i="26"/>
  <c r="BL160" i="26" l="1"/>
  <c r="BC160" i="26"/>
  <c r="AV160" i="55" s="1"/>
  <c r="L161" i="26"/>
  <c r="W161" i="26"/>
  <c r="H161" i="26"/>
  <c r="C161" i="26"/>
  <c r="U161" i="26" s="1"/>
  <c r="Q161" i="26"/>
  <c r="A161" i="26"/>
  <c r="AM160" i="26"/>
  <c r="B161" i="26"/>
  <c r="P161" i="26" s="1"/>
  <c r="N393" i="55"/>
  <c r="S393" i="55" s="1"/>
  <c r="E394" i="55"/>
  <c r="V161" i="26" l="1"/>
  <c r="AO161" i="26" s="1"/>
  <c r="A394" i="55"/>
  <c r="Q394" i="55"/>
  <c r="K394" i="55"/>
  <c r="L394" i="55" s="1"/>
  <c r="G161" i="26"/>
  <c r="AP161" i="26"/>
  <c r="D161" i="26"/>
  <c r="E162" i="26" s="1"/>
  <c r="X393" i="55"/>
  <c r="K161" i="26"/>
  <c r="M161" i="26" s="1"/>
  <c r="N161" i="26" s="1"/>
  <c r="X161" i="26"/>
  <c r="I161" i="26"/>
  <c r="AS161" i="26" s="1"/>
  <c r="BJ161" i="26" s="1"/>
  <c r="O161" i="26"/>
  <c r="F161" i="26"/>
  <c r="R161" i="26" s="1"/>
  <c r="H394" i="55"/>
  <c r="C394" i="55"/>
  <c r="U394" i="55" s="1"/>
  <c r="B394" i="55"/>
  <c r="G394" i="55" s="1"/>
  <c r="AU160" i="26"/>
  <c r="AF161" i="26"/>
  <c r="AN161" i="26" s="1"/>
  <c r="BT160" i="26"/>
  <c r="H162" i="26" l="1"/>
  <c r="B162" i="26"/>
  <c r="P162" i="26" s="1"/>
  <c r="AT161" i="26"/>
  <c r="O394" i="55"/>
  <c r="P394" i="55"/>
  <c r="V394" i="55" s="1"/>
  <c r="BK161" i="26"/>
  <c r="AJ161" i="26"/>
  <c r="AK161" i="26" s="1"/>
  <c r="S161" i="26"/>
  <c r="T161" i="26" s="1"/>
  <c r="BC161" i="26" s="1"/>
  <c r="D394" i="55"/>
  <c r="M394" i="55" s="1"/>
  <c r="F394" i="55"/>
  <c r="W394" i="55"/>
  <c r="C162" i="26"/>
  <c r="U162" i="26" s="1"/>
  <c r="A162" i="26"/>
  <c r="L162" i="26"/>
  <c r="Q162" i="26"/>
  <c r="W162" i="26"/>
  <c r="AL161" i="26" l="1"/>
  <c r="AM161" i="26" s="1"/>
  <c r="V162" i="26"/>
  <c r="O162" i="26"/>
  <c r="K162" i="26"/>
  <c r="M162" i="26" s="1"/>
  <c r="N162" i="26" s="1"/>
  <c r="D162" i="26"/>
  <c r="E163" i="26" s="1"/>
  <c r="I162" i="26"/>
  <c r="F162" i="26"/>
  <c r="R162" i="26" s="1"/>
  <c r="G162" i="26"/>
  <c r="BL161" i="26"/>
  <c r="N394" i="55"/>
  <c r="S394" i="55" s="1"/>
  <c r="E395" i="55"/>
  <c r="BT161" i="26"/>
  <c r="AV161" i="55"/>
  <c r="AF162" i="26"/>
  <c r="AN162" i="26" s="1"/>
  <c r="AS162" i="26"/>
  <c r="BJ162" i="26" s="1"/>
  <c r="AP162" i="26"/>
  <c r="X162" i="26"/>
  <c r="AL162" i="26" l="1"/>
  <c r="C395" i="55"/>
  <c r="O395" i="55" s="1"/>
  <c r="K395" i="55"/>
  <c r="L395" i="55" s="1"/>
  <c r="Q395" i="55"/>
  <c r="X394" i="55"/>
  <c r="S162" i="26"/>
  <c r="T162" i="26" s="1"/>
  <c r="A395" i="55"/>
  <c r="B395" i="55"/>
  <c r="P395" i="55" s="1"/>
  <c r="H395" i="55"/>
  <c r="AJ162" i="26"/>
  <c r="AK162" i="26" s="1"/>
  <c r="AU161" i="26"/>
  <c r="B163" i="26"/>
  <c r="P163" i="26" s="1"/>
  <c r="BK162" i="26"/>
  <c r="AO162" i="26"/>
  <c r="AT162" i="26" s="1"/>
  <c r="H163" i="26"/>
  <c r="C163" i="26"/>
  <c r="AS163" i="26" s="1"/>
  <c r="A163" i="26"/>
  <c r="L163" i="26"/>
  <c r="Q163" i="26"/>
  <c r="W163" i="26"/>
  <c r="BL162" i="26" l="1"/>
  <c r="BC162" i="26"/>
  <c r="AV162" i="55" s="1"/>
  <c r="AM162" i="26"/>
  <c r="V163" i="26"/>
  <c r="U395" i="55"/>
  <c r="V395" i="55" s="1"/>
  <c r="G395" i="55"/>
  <c r="F395" i="55"/>
  <c r="D395" i="55"/>
  <c r="E396" i="55" s="1"/>
  <c r="W395" i="55"/>
  <c r="G163" i="26"/>
  <c r="K163" i="26"/>
  <c r="M163" i="26" s="1"/>
  <c r="N163" i="26" s="1"/>
  <c r="D163" i="26"/>
  <c r="E164" i="26" s="1"/>
  <c r="I163" i="26"/>
  <c r="F163" i="26"/>
  <c r="R163" i="26" s="1"/>
  <c r="O163" i="26"/>
  <c r="X163" i="26"/>
  <c r="BJ163" i="26"/>
  <c r="AP163" i="26"/>
  <c r="U163" i="26"/>
  <c r="Q396" i="55" l="1"/>
  <c r="K396" i="55"/>
  <c r="L396" i="55" s="1"/>
  <c r="BT162" i="26"/>
  <c r="M395" i="55"/>
  <c r="AU162" i="26"/>
  <c r="A396" i="55"/>
  <c r="B396" i="55"/>
  <c r="P396" i="55" s="1"/>
  <c r="C396" i="55"/>
  <c r="O396" i="55" s="1"/>
  <c r="H396" i="55"/>
  <c r="AF163" i="26"/>
  <c r="AN163" i="26" s="1"/>
  <c r="S163" i="26"/>
  <c r="T163" i="26" s="1"/>
  <c r="BC163" i="26" s="1"/>
  <c r="B164" i="26"/>
  <c r="F164" i="26" s="1"/>
  <c r="AJ163" i="26"/>
  <c r="AK163" i="26" s="1"/>
  <c r="BK163" i="26"/>
  <c r="AO163" i="26"/>
  <c r="AT163" i="26" s="1"/>
  <c r="H164" i="26"/>
  <c r="AL163" i="26"/>
  <c r="AM163" i="26" l="1"/>
  <c r="N395" i="55"/>
  <c r="S395" i="55" s="1"/>
  <c r="BL163" i="26"/>
  <c r="U396" i="55"/>
  <c r="F396" i="55"/>
  <c r="G396" i="55"/>
  <c r="W396" i="55"/>
  <c r="X395" i="55"/>
  <c r="D396" i="55"/>
  <c r="E397" i="55" s="1"/>
  <c r="D164" i="26"/>
  <c r="I164" i="26"/>
  <c r="G164" i="26"/>
  <c r="O164" i="26"/>
  <c r="P164" i="26"/>
  <c r="A164" i="26"/>
  <c r="C164" i="26"/>
  <c r="V164" i="26" s="1"/>
  <c r="L164" i="26"/>
  <c r="Q164" i="26"/>
  <c r="R164" i="26" s="1"/>
  <c r="W164" i="26"/>
  <c r="K164" i="26"/>
  <c r="Q397" i="55" l="1"/>
  <c r="K397" i="55"/>
  <c r="L397" i="55" s="1"/>
  <c r="M164" i="26"/>
  <c r="N164" i="26" s="1"/>
  <c r="V396" i="55"/>
  <c r="A397" i="55"/>
  <c r="C397" i="55"/>
  <c r="U397" i="55" s="1"/>
  <c r="B397" i="55"/>
  <c r="F397" i="55" s="1"/>
  <c r="H397" i="55"/>
  <c r="M396" i="55"/>
  <c r="S164" i="26"/>
  <c r="T164" i="26" s="1"/>
  <c r="BT163" i="26"/>
  <c r="AV163" i="55"/>
  <c r="AS164" i="26"/>
  <c r="BJ164" i="26" s="1"/>
  <c r="AP164" i="26"/>
  <c r="X164" i="26"/>
  <c r="E165" i="26"/>
  <c r="U164" i="26"/>
  <c r="AL164" i="26" l="1"/>
  <c r="AM164" i="26" s="1"/>
  <c r="BL164" i="26"/>
  <c r="BC164" i="26"/>
  <c r="O397" i="55"/>
  <c r="P397" i="55"/>
  <c r="V397" i="55" s="1"/>
  <c r="AJ164" i="26"/>
  <c r="AK164" i="26" s="1"/>
  <c r="AV164" i="55"/>
  <c r="W397" i="55"/>
  <c r="G397" i="55"/>
  <c r="D397" i="55"/>
  <c r="M397" i="55" s="1"/>
  <c r="AU163" i="26"/>
  <c r="N396" i="55"/>
  <c r="AF164" i="26"/>
  <c r="AN164" i="26" s="1"/>
  <c r="B165" i="26"/>
  <c r="G165" i="26" s="1"/>
  <c r="BK164" i="26"/>
  <c r="AO164" i="26"/>
  <c r="AT164" i="26" s="1"/>
  <c r="H165" i="26"/>
  <c r="A165" i="26"/>
  <c r="C165" i="26"/>
  <c r="AS165" i="26" s="1"/>
  <c r="L165" i="26"/>
  <c r="Q165" i="26"/>
  <c r="W165" i="26"/>
  <c r="V165" i="26" l="1"/>
  <c r="E398" i="55"/>
  <c r="C398" i="55" s="1"/>
  <c r="N397" i="55"/>
  <c r="I165" i="26"/>
  <c r="K165" i="26"/>
  <c r="M165" i="26" s="1"/>
  <c r="F165" i="26"/>
  <c r="R165" i="26" s="1"/>
  <c r="D165" i="26"/>
  <c r="B398" i="55"/>
  <c r="F398" i="55" s="1"/>
  <c r="S396" i="55"/>
  <c r="X396" i="55"/>
  <c r="O165" i="26"/>
  <c r="P165" i="26"/>
  <c r="BJ165" i="26"/>
  <c r="AO165" i="26"/>
  <c r="AP165" i="26"/>
  <c r="BT164" i="26"/>
  <c r="X165" i="26"/>
  <c r="U165" i="26"/>
  <c r="E166" i="26" l="1"/>
  <c r="AL165" i="26"/>
  <c r="O398" i="55"/>
  <c r="Q398" i="55"/>
  <c r="P398" i="55"/>
  <c r="K398" i="55"/>
  <c r="L398" i="55" s="1"/>
  <c r="A398" i="55"/>
  <c r="H398" i="55"/>
  <c r="X397" i="55"/>
  <c r="S397" i="55"/>
  <c r="G398" i="55"/>
  <c r="W398" i="55"/>
  <c r="D398" i="55"/>
  <c r="M398" i="55" s="1"/>
  <c r="U398" i="55"/>
  <c r="AU164" i="26"/>
  <c r="AF165" i="26"/>
  <c r="AN165" i="26" s="1"/>
  <c r="S165" i="26"/>
  <c r="T165" i="26" s="1"/>
  <c r="BC165" i="26" s="1"/>
  <c r="AT165" i="26"/>
  <c r="BK165" i="26"/>
  <c r="N165" i="26"/>
  <c r="AJ165" i="26"/>
  <c r="AK165" i="26" s="1"/>
  <c r="L166" i="26" l="1"/>
  <c r="Q166" i="26"/>
  <c r="R166" i="26" s="1"/>
  <c r="A166" i="26"/>
  <c r="H166" i="26"/>
  <c r="W166" i="26"/>
  <c r="C166" i="26"/>
  <c r="U166" i="26" s="1"/>
  <c r="B166" i="26"/>
  <c r="F166" i="26" s="1"/>
  <c r="AM165" i="26"/>
  <c r="V166" i="26"/>
  <c r="G166" i="26"/>
  <c r="E399" i="55"/>
  <c r="V398" i="55"/>
  <c r="N398" i="55"/>
  <c r="O166" i="26"/>
  <c r="BL165" i="26"/>
  <c r="AV165" i="55"/>
  <c r="K166" i="26"/>
  <c r="P166" i="26"/>
  <c r="AP166" i="26"/>
  <c r="AO166" i="26" l="1"/>
  <c r="AT166" i="26" s="1"/>
  <c r="AS166" i="26"/>
  <c r="BJ166" i="26" s="1"/>
  <c r="M166" i="26"/>
  <c r="N166" i="26" s="1"/>
  <c r="X166" i="26"/>
  <c r="BK166" i="26" s="1"/>
  <c r="D166" i="26"/>
  <c r="E167" i="26" s="1"/>
  <c r="I166" i="26"/>
  <c r="C399" i="55"/>
  <c r="U399" i="55" s="1"/>
  <c r="Q399" i="55"/>
  <c r="K399" i="55"/>
  <c r="L399" i="55" s="1"/>
  <c r="B399" i="55"/>
  <c r="G399" i="55" s="1"/>
  <c r="H399" i="55"/>
  <c r="A399" i="55"/>
  <c r="AU165" i="26"/>
  <c r="S398" i="55"/>
  <c r="X398" i="55"/>
  <c r="BT165" i="26"/>
  <c r="AF166" i="26"/>
  <c r="AN166" i="26" s="1"/>
  <c r="S166" i="26"/>
  <c r="T166" i="26" s="1"/>
  <c r="BC166" i="26" s="1"/>
  <c r="B167" i="26"/>
  <c r="P167" i="26" s="1"/>
  <c r="H167" i="26"/>
  <c r="L167" i="26"/>
  <c r="AJ166" i="26" l="1"/>
  <c r="AK166" i="26" s="1"/>
  <c r="W167" i="26"/>
  <c r="A167" i="26"/>
  <c r="Q167" i="26"/>
  <c r="C167" i="26"/>
  <c r="V167" i="26" s="1"/>
  <c r="AL166" i="26"/>
  <c r="O399" i="55"/>
  <c r="P399" i="55"/>
  <c r="V399" i="55" s="1"/>
  <c r="W399" i="55"/>
  <c r="BL166" i="26"/>
  <c r="D399" i="55"/>
  <c r="M399" i="55" s="1"/>
  <c r="F399" i="55"/>
  <c r="K167" i="26"/>
  <c r="M167" i="26" s="1"/>
  <c r="I167" i="26"/>
  <c r="O167" i="26"/>
  <c r="D167" i="26"/>
  <c r="E168" i="26" s="1"/>
  <c r="F167" i="26"/>
  <c r="R167" i="26" s="1"/>
  <c r="G167" i="26"/>
  <c r="AS167" i="26"/>
  <c r="BJ167" i="26" s="1"/>
  <c r="AP167" i="26"/>
  <c r="AM166" i="26" l="1"/>
  <c r="AU166" i="26" s="1"/>
  <c r="U167" i="26"/>
  <c r="X167" i="26"/>
  <c r="BK167" i="26" s="1"/>
  <c r="E400" i="55"/>
  <c r="N399" i="55"/>
  <c r="AF167" i="26"/>
  <c r="AN167" i="26" s="1"/>
  <c r="S167" i="26"/>
  <c r="T167" i="26" s="1"/>
  <c r="BT166" i="26"/>
  <c r="AV166" i="55"/>
  <c r="B168" i="26"/>
  <c r="D168" i="26" s="1"/>
  <c r="H168" i="26"/>
  <c r="AO167" i="26"/>
  <c r="AT167" i="26" s="1"/>
  <c r="N167" i="26"/>
  <c r="AJ167" i="26"/>
  <c r="AK167" i="26" s="1"/>
  <c r="AL167" i="26" l="1"/>
  <c r="AM167" i="26" s="1"/>
  <c r="BL167" i="26"/>
  <c r="BC167" i="26"/>
  <c r="Q400" i="55"/>
  <c r="K400" i="55"/>
  <c r="L400" i="55" s="1"/>
  <c r="H400" i="55"/>
  <c r="B400" i="55"/>
  <c r="F400" i="55" s="1"/>
  <c r="A400" i="55"/>
  <c r="C400" i="55"/>
  <c r="U400" i="55" s="1"/>
  <c r="G168" i="26"/>
  <c r="X399" i="55"/>
  <c r="S399" i="55"/>
  <c r="O168" i="26"/>
  <c r="P168" i="26"/>
  <c r="I168" i="26"/>
  <c r="F168" i="26"/>
  <c r="A168" i="26"/>
  <c r="C168" i="26"/>
  <c r="L168" i="26"/>
  <c r="Q168" i="26"/>
  <c r="W168" i="26"/>
  <c r="K168" i="26"/>
  <c r="X168" i="26" l="1"/>
  <c r="V168" i="26"/>
  <c r="G400" i="55"/>
  <c r="O400" i="55"/>
  <c r="P400" i="55"/>
  <c r="V400" i="55" s="1"/>
  <c r="W400" i="55"/>
  <c r="D400" i="55"/>
  <c r="M400" i="55" s="1"/>
  <c r="BT167" i="26"/>
  <c r="AV167" i="55"/>
  <c r="AS168" i="26"/>
  <c r="BJ168" i="26" s="1"/>
  <c r="AP168" i="26"/>
  <c r="E169" i="26"/>
  <c r="M168" i="26"/>
  <c r="R168" i="26"/>
  <c r="U168" i="26"/>
  <c r="E401" i="55" l="1"/>
  <c r="A401" i="55" s="1"/>
  <c r="AU167" i="26"/>
  <c r="N400" i="55"/>
  <c r="AF168" i="26"/>
  <c r="AN168" i="26" s="1"/>
  <c r="S168" i="26"/>
  <c r="T168" i="26" s="1"/>
  <c r="BC168" i="26" s="1"/>
  <c r="B169" i="26"/>
  <c r="D169" i="26" s="1"/>
  <c r="H169" i="26"/>
  <c r="BK168" i="26"/>
  <c r="AO168" i="26"/>
  <c r="AT168" i="26" s="1"/>
  <c r="N168" i="26"/>
  <c r="AJ168" i="26"/>
  <c r="AK168" i="26" s="1"/>
  <c r="AL168" i="26" l="1"/>
  <c r="AM168" i="26" s="1"/>
  <c r="B401" i="55"/>
  <c r="D401" i="55" s="1"/>
  <c r="H401" i="55"/>
  <c r="Q401" i="55"/>
  <c r="P401" i="55"/>
  <c r="K401" i="55"/>
  <c r="L401" i="55" s="1"/>
  <c r="C401" i="55"/>
  <c r="O401" i="55" s="1"/>
  <c r="BL168" i="26"/>
  <c r="S400" i="55"/>
  <c r="X400" i="55"/>
  <c r="G401" i="55"/>
  <c r="F401" i="55"/>
  <c r="G169" i="26"/>
  <c r="I169" i="26"/>
  <c r="O169" i="26"/>
  <c r="K169" i="26"/>
  <c r="F169" i="26"/>
  <c r="P169" i="26"/>
  <c r="A169" i="26"/>
  <c r="C169" i="26"/>
  <c r="V169" i="26" s="1"/>
  <c r="L169" i="26"/>
  <c r="Q169" i="26"/>
  <c r="W169" i="26"/>
  <c r="E402" i="55" l="1"/>
  <c r="K402" i="55" s="1"/>
  <c r="L402" i="55" s="1"/>
  <c r="W401" i="55"/>
  <c r="M401" i="55"/>
  <c r="R169" i="26"/>
  <c r="M169" i="26"/>
  <c r="AJ169" i="26" s="1"/>
  <c r="AK169" i="26" s="1"/>
  <c r="BT168" i="26"/>
  <c r="AV168" i="55"/>
  <c r="AS169" i="26"/>
  <c r="BJ169" i="26" s="1"/>
  <c r="AP169" i="26"/>
  <c r="X169" i="26"/>
  <c r="E170" i="26"/>
  <c r="U169" i="26"/>
  <c r="AL169" i="26" l="1"/>
  <c r="AM169" i="26" s="1"/>
  <c r="H402" i="55"/>
  <c r="B402" i="55"/>
  <c r="D402" i="55" s="1"/>
  <c r="M402" i="55" s="1"/>
  <c r="C402" i="55"/>
  <c r="U402" i="55" s="1"/>
  <c r="Q402" i="55"/>
  <c r="A402" i="55"/>
  <c r="P402" i="55"/>
  <c r="N401" i="55"/>
  <c r="S401" i="55" s="1"/>
  <c r="N169" i="26"/>
  <c r="AU168" i="26"/>
  <c r="AF169" i="26"/>
  <c r="AN169" i="26" s="1"/>
  <c r="S169" i="26"/>
  <c r="T169" i="26" s="1"/>
  <c r="BC169" i="26" s="1"/>
  <c r="B170" i="26"/>
  <c r="G170" i="26" s="1"/>
  <c r="BK169" i="26"/>
  <c r="AO169" i="26"/>
  <c r="AT169" i="26" s="1"/>
  <c r="H170" i="26"/>
  <c r="C170" i="26"/>
  <c r="V170" i="26" s="1"/>
  <c r="A170" i="26"/>
  <c r="L170" i="26"/>
  <c r="Q170" i="26"/>
  <c r="W170" i="26"/>
  <c r="G402" i="55" l="1"/>
  <c r="F402" i="55"/>
  <c r="N402" i="55"/>
  <c r="W402" i="55"/>
  <c r="V402" i="55"/>
  <c r="E403" i="55"/>
  <c r="Q403" i="55" s="1"/>
  <c r="O402" i="55"/>
  <c r="S402" i="55" s="1"/>
  <c r="X401" i="55"/>
  <c r="BL169" i="26"/>
  <c r="BT169" i="26"/>
  <c r="X402" i="55"/>
  <c r="K170" i="26"/>
  <c r="M170" i="26" s="1"/>
  <c r="F170" i="26"/>
  <c r="R170" i="26" s="1"/>
  <c r="D170" i="26"/>
  <c r="O170" i="26"/>
  <c r="I170" i="26"/>
  <c r="P170" i="26"/>
  <c r="AP170" i="26"/>
  <c r="AS170" i="26"/>
  <c r="BJ170" i="26" s="1"/>
  <c r="X170" i="26"/>
  <c r="U170" i="26"/>
  <c r="E171" i="26" l="1"/>
  <c r="B403" i="55"/>
  <c r="D403" i="55" s="1"/>
  <c r="C403" i="55"/>
  <c r="O403" i="55" s="1"/>
  <c r="H403" i="55"/>
  <c r="A403" i="55"/>
  <c r="K403" i="55"/>
  <c r="L403" i="55" s="1"/>
  <c r="P403" i="55"/>
  <c r="AL170" i="26"/>
  <c r="AV169" i="55"/>
  <c r="M403" i="55"/>
  <c r="F403" i="55"/>
  <c r="G403" i="55"/>
  <c r="AU169" i="26"/>
  <c r="U403" i="55"/>
  <c r="S170" i="26"/>
  <c r="T170" i="26" s="1"/>
  <c r="BC170" i="26" s="1"/>
  <c r="AF170" i="26"/>
  <c r="AN170" i="26" s="1"/>
  <c r="B171" i="26"/>
  <c r="G171" i="26" s="1"/>
  <c r="AO170" i="26"/>
  <c r="AT170" i="26" s="1"/>
  <c r="BK170" i="26"/>
  <c r="N170" i="26"/>
  <c r="AJ170" i="26"/>
  <c r="AK170" i="26" s="1"/>
  <c r="C171" i="26"/>
  <c r="Q171" i="26"/>
  <c r="L171" i="26" l="1"/>
  <c r="H171" i="26"/>
  <c r="W171" i="26"/>
  <c r="A171" i="26"/>
  <c r="E404" i="55"/>
  <c r="K404" i="55" s="1"/>
  <c r="L404" i="55" s="1"/>
  <c r="W403" i="55"/>
  <c r="V171" i="26"/>
  <c r="Q404" i="55"/>
  <c r="AM170" i="26"/>
  <c r="N403" i="55"/>
  <c r="X403" i="55" s="1"/>
  <c r="V403" i="55"/>
  <c r="C404" i="55"/>
  <c r="O404" i="55" s="1"/>
  <c r="A404" i="55"/>
  <c r="B404" i="55"/>
  <c r="G404" i="55" s="1"/>
  <c r="H404" i="55"/>
  <c r="BL170" i="26"/>
  <c r="AV170" i="55"/>
  <c r="K171" i="26"/>
  <c r="D171" i="26"/>
  <c r="E172" i="26" s="1"/>
  <c r="F171" i="26"/>
  <c r="R171" i="26" s="1"/>
  <c r="O171" i="26"/>
  <c r="I171" i="26"/>
  <c r="P171" i="26"/>
  <c r="AS171" i="26"/>
  <c r="BJ171" i="26" s="1"/>
  <c r="X171" i="26"/>
  <c r="AP171" i="26"/>
  <c r="U171" i="26"/>
  <c r="AO171" i="26" l="1"/>
  <c r="AT171" i="26" s="1"/>
  <c r="M171" i="26"/>
  <c r="AJ171" i="26" s="1"/>
  <c r="AK171" i="26" s="1"/>
  <c r="BK171" i="26"/>
  <c r="P404" i="55"/>
  <c r="D404" i="55"/>
  <c r="M404" i="55" s="1"/>
  <c r="N404" i="55" s="1"/>
  <c r="X404" i="55" s="1"/>
  <c r="S403" i="55"/>
  <c r="BT170" i="26"/>
  <c r="F404" i="55"/>
  <c r="E405" i="55"/>
  <c r="W404" i="55"/>
  <c r="AU170" i="26"/>
  <c r="U404" i="55"/>
  <c r="AF171" i="26"/>
  <c r="AN171" i="26" s="1"/>
  <c r="S171" i="26"/>
  <c r="T171" i="26" s="1"/>
  <c r="BC171" i="26" s="1"/>
  <c r="B172" i="26"/>
  <c r="G172" i="26" s="1"/>
  <c r="H172" i="26"/>
  <c r="N171" i="26" l="1"/>
  <c r="AL171" i="26"/>
  <c r="AM171" i="26" s="1"/>
  <c r="Q405" i="55"/>
  <c r="K405" i="55"/>
  <c r="L405" i="55" s="1"/>
  <c r="S404" i="55"/>
  <c r="V404" i="55"/>
  <c r="BL171" i="26"/>
  <c r="F172" i="26"/>
  <c r="A405" i="55"/>
  <c r="H405" i="55"/>
  <c r="O172" i="26"/>
  <c r="C405" i="55"/>
  <c r="U405" i="55" s="1"/>
  <c r="B405" i="55"/>
  <c r="G405" i="55" s="1"/>
  <c r="I172" i="26"/>
  <c r="D172" i="26"/>
  <c r="P172" i="26"/>
  <c r="A172" i="26"/>
  <c r="C172" i="26"/>
  <c r="V172" i="26" s="1"/>
  <c r="L172" i="26"/>
  <c r="Q172" i="26"/>
  <c r="W172" i="26"/>
  <c r="K172" i="26"/>
  <c r="P405" i="55" l="1"/>
  <c r="V405" i="55" s="1"/>
  <c r="O405" i="55"/>
  <c r="D405" i="55"/>
  <c r="E406" i="55" s="1"/>
  <c r="W405" i="55"/>
  <c r="F405" i="55"/>
  <c r="BT171" i="26"/>
  <c r="AV171" i="55"/>
  <c r="AS172" i="26"/>
  <c r="BJ172" i="26" s="1"/>
  <c r="AP172" i="26"/>
  <c r="E173" i="26"/>
  <c r="M172" i="26"/>
  <c r="X172" i="26"/>
  <c r="R172" i="26"/>
  <c r="U172" i="26"/>
  <c r="Q406" i="55" l="1"/>
  <c r="K406" i="55"/>
  <c r="L406" i="55" s="1"/>
  <c r="M405" i="55"/>
  <c r="AU171" i="26"/>
  <c r="H406" i="55"/>
  <c r="A406" i="55"/>
  <c r="B406" i="55"/>
  <c r="D406" i="55" s="1"/>
  <c r="M406" i="55" s="1"/>
  <c r="C406" i="55"/>
  <c r="U406" i="55" s="1"/>
  <c r="AF172" i="26"/>
  <c r="AN172" i="26" s="1"/>
  <c r="S172" i="26"/>
  <c r="T172" i="26" s="1"/>
  <c r="BC172" i="26" s="1"/>
  <c r="B173" i="26"/>
  <c r="G173" i="26" s="1"/>
  <c r="H173" i="26"/>
  <c r="BK172" i="26"/>
  <c r="AO172" i="26"/>
  <c r="AT172" i="26" s="1"/>
  <c r="N172" i="26"/>
  <c r="AJ172" i="26"/>
  <c r="AK172" i="26" s="1"/>
  <c r="AL172" i="26" l="1"/>
  <c r="AM172" i="26" s="1"/>
  <c r="P406" i="55"/>
  <c r="V406" i="55" s="1"/>
  <c r="O406" i="55"/>
  <c r="G406" i="55"/>
  <c r="N405" i="55"/>
  <c r="S405" i="55" s="1"/>
  <c r="BL172" i="26"/>
  <c r="F406" i="55"/>
  <c r="N406" i="55"/>
  <c r="E407" i="55"/>
  <c r="W406" i="55"/>
  <c r="K173" i="26"/>
  <c r="F173" i="26"/>
  <c r="O173" i="26"/>
  <c r="I173" i="26"/>
  <c r="D173" i="26"/>
  <c r="P173" i="26"/>
  <c r="A173" i="26"/>
  <c r="C173" i="26"/>
  <c r="V173" i="26" s="1"/>
  <c r="L173" i="26"/>
  <c r="Q173" i="26"/>
  <c r="W173" i="26"/>
  <c r="X173" i="26" l="1"/>
  <c r="Q407" i="55"/>
  <c r="K407" i="55"/>
  <c r="L407" i="55" s="1"/>
  <c r="X405" i="55"/>
  <c r="R173" i="26"/>
  <c r="M173" i="26"/>
  <c r="N173" i="26" s="1"/>
  <c r="A407" i="55"/>
  <c r="C407" i="55"/>
  <c r="O407" i="55" s="1"/>
  <c r="H407" i="55"/>
  <c r="B407" i="55"/>
  <c r="P407" i="55" s="1"/>
  <c r="X406" i="55"/>
  <c r="S406" i="55"/>
  <c r="AS173" i="26"/>
  <c r="BJ173" i="26" s="1"/>
  <c r="BT172" i="26"/>
  <c r="AV172" i="55"/>
  <c r="U173" i="26"/>
  <c r="AP173" i="26"/>
  <c r="E174" i="26"/>
  <c r="AL173" i="26" l="1"/>
  <c r="AM173" i="26" s="1"/>
  <c r="S173" i="26"/>
  <c r="T173" i="26" s="1"/>
  <c r="AJ173" i="26"/>
  <c r="AK173" i="26" s="1"/>
  <c r="AU172" i="26"/>
  <c r="D407" i="55"/>
  <c r="E408" i="55" s="1"/>
  <c r="G407" i="55"/>
  <c r="W407" i="55"/>
  <c r="F407" i="55"/>
  <c r="M407" i="55"/>
  <c r="U407" i="55"/>
  <c r="V407" i="55" s="1"/>
  <c r="AF173" i="26"/>
  <c r="AN173" i="26" s="1"/>
  <c r="B174" i="26"/>
  <c r="D174" i="26" s="1"/>
  <c r="H174" i="26"/>
  <c r="BK173" i="26"/>
  <c r="AO173" i="26"/>
  <c r="AT173" i="26" s="1"/>
  <c r="C174" i="26"/>
  <c r="V174" i="26" s="1"/>
  <c r="A174" i="26"/>
  <c r="L174" i="26"/>
  <c r="Q174" i="26"/>
  <c r="W174" i="26"/>
  <c r="BL173" i="26" l="1"/>
  <c r="BC173" i="26"/>
  <c r="BT173" i="26" s="1"/>
  <c r="Q408" i="55"/>
  <c r="K408" i="55"/>
  <c r="L408" i="55" s="1"/>
  <c r="N407" i="55"/>
  <c r="B408" i="55"/>
  <c r="P408" i="55" s="1"/>
  <c r="C408" i="55"/>
  <c r="O408" i="55" s="1"/>
  <c r="H408" i="55"/>
  <c r="A408" i="55"/>
  <c r="F174" i="26"/>
  <c r="O174" i="26"/>
  <c r="P174" i="26"/>
  <c r="G174" i="26"/>
  <c r="E175" i="26"/>
  <c r="AS174" i="26"/>
  <c r="BJ174" i="26" s="1"/>
  <c r="I174" i="26"/>
  <c r="AP174" i="26"/>
  <c r="K174" i="26"/>
  <c r="M174" i="26" s="1"/>
  <c r="X174" i="26"/>
  <c r="U408" i="55" l="1"/>
  <c r="V408" i="55" s="1"/>
  <c r="AV173" i="55"/>
  <c r="G408" i="55"/>
  <c r="W408" i="55"/>
  <c r="AU173" i="26"/>
  <c r="S407" i="55"/>
  <c r="X407" i="55"/>
  <c r="F408" i="55"/>
  <c r="D408" i="55"/>
  <c r="M408" i="55" s="1"/>
  <c r="B175" i="26"/>
  <c r="I175" i="26" s="1"/>
  <c r="H175" i="26"/>
  <c r="BK174" i="26"/>
  <c r="AO174" i="26"/>
  <c r="AT174" i="26" s="1"/>
  <c r="N174" i="26"/>
  <c r="AJ174" i="26"/>
  <c r="AK174" i="26" s="1"/>
  <c r="R174" i="26"/>
  <c r="U174" i="26"/>
  <c r="E409" i="55" l="1"/>
  <c r="F175" i="26"/>
  <c r="P175" i="26"/>
  <c r="N408" i="55"/>
  <c r="O175" i="26"/>
  <c r="G175" i="26"/>
  <c r="AF174" i="26"/>
  <c r="AN174" i="26" s="1"/>
  <c r="D175" i="26"/>
  <c r="S174" i="26"/>
  <c r="T174" i="26" s="1"/>
  <c r="BC174" i="26" s="1"/>
  <c r="AL174" i="26"/>
  <c r="AM174" i="26" l="1"/>
  <c r="A409" i="55"/>
  <c r="Q409" i="55"/>
  <c r="K409" i="55"/>
  <c r="L409" i="55" s="1"/>
  <c r="H409" i="55"/>
  <c r="C409" i="55"/>
  <c r="O409" i="55" s="1"/>
  <c r="B409" i="55"/>
  <c r="D409" i="55" s="1"/>
  <c r="BL174" i="26"/>
  <c r="X408" i="55"/>
  <c r="S408" i="55"/>
  <c r="C175" i="26"/>
  <c r="A175" i="26"/>
  <c r="L175" i="26"/>
  <c r="Q175" i="26"/>
  <c r="R175" i="26" s="1"/>
  <c r="W175" i="26"/>
  <c r="K175" i="26"/>
  <c r="U175" i="26" l="1"/>
  <c r="V175" i="26"/>
  <c r="U409" i="55"/>
  <c r="E410" i="55"/>
  <c r="K410" i="55" s="1"/>
  <c r="L410" i="55" s="1"/>
  <c r="P409" i="55"/>
  <c r="G409" i="55"/>
  <c r="W409" i="55"/>
  <c r="M409" i="55"/>
  <c r="N409" i="55" s="1"/>
  <c r="X409" i="55" s="1"/>
  <c r="F409" i="55"/>
  <c r="M175" i="26"/>
  <c r="N175" i="26" s="1"/>
  <c r="S175" i="26"/>
  <c r="T175" i="26" s="1"/>
  <c r="BT174" i="26"/>
  <c r="AV174" i="55"/>
  <c r="AS175" i="26"/>
  <c r="BJ175" i="26" s="1"/>
  <c r="AF175" i="26"/>
  <c r="AN175" i="26" s="1"/>
  <c r="AP175" i="26"/>
  <c r="X175" i="26"/>
  <c r="E176" i="26"/>
  <c r="AL175" i="26" l="1"/>
  <c r="AM175" i="26" s="1"/>
  <c r="BL175" i="26"/>
  <c r="BC175" i="26"/>
  <c r="B410" i="55"/>
  <c r="W410" i="55" s="1"/>
  <c r="C410" i="55"/>
  <c r="U410" i="55" s="1"/>
  <c r="V409" i="55"/>
  <c r="Q410" i="55"/>
  <c r="H410" i="55"/>
  <c r="A410" i="55"/>
  <c r="O410" i="55"/>
  <c r="S409" i="55"/>
  <c r="G410" i="55"/>
  <c r="D410" i="55"/>
  <c r="M410" i="55" s="1"/>
  <c r="N410" i="55" s="1"/>
  <c r="AJ175" i="26"/>
  <c r="AK175" i="26" s="1"/>
  <c r="AU174" i="26"/>
  <c r="B176" i="26"/>
  <c r="G176" i="26" s="1"/>
  <c r="BK175" i="26"/>
  <c r="AO175" i="26"/>
  <c r="AT175" i="26" s="1"/>
  <c r="H176" i="26"/>
  <c r="A176" i="26"/>
  <c r="C176" i="26"/>
  <c r="V176" i="26" s="1"/>
  <c r="L176" i="26"/>
  <c r="Q176" i="26"/>
  <c r="W176" i="26"/>
  <c r="P410" i="55" l="1"/>
  <c r="V410" i="55" s="1"/>
  <c r="F410" i="55"/>
  <c r="E411" i="55"/>
  <c r="X410" i="55"/>
  <c r="S410" i="55"/>
  <c r="F176" i="26"/>
  <c r="D176" i="26"/>
  <c r="E177" i="26" s="1"/>
  <c r="O176" i="26"/>
  <c r="I176" i="26"/>
  <c r="P176" i="26"/>
  <c r="BT175" i="26"/>
  <c r="AV175" i="55"/>
  <c r="AS176" i="26"/>
  <c r="BJ176" i="26" s="1"/>
  <c r="AP176" i="26"/>
  <c r="AO176" i="26"/>
  <c r="K176" i="26"/>
  <c r="M176" i="26" s="1"/>
  <c r="X176" i="26"/>
  <c r="BK176" i="26" s="1"/>
  <c r="K411" i="55" l="1"/>
  <c r="L411" i="55" s="1"/>
  <c r="Q411" i="55"/>
  <c r="A411" i="55"/>
  <c r="H411" i="55"/>
  <c r="C411" i="55"/>
  <c r="O411" i="55" s="1"/>
  <c r="B411" i="55"/>
  <c r="F411" i="55" s="1"/>
  <c r="AU175" i="26"/>
  <c r="AT176" i="26"/>
  <c r="B177" i="26"/>
  <c r="D177" i="26" s="1"/>
  <c r="H177" i="26"/>
  <c r="N176" i="26"/>
  <c r="AJ176" i="26"/>
  <c r="AK176" i="26" s="1"/>
  <c r="R176" i="26"/>
  <c r="U176" i="26"/>
  <c r="W411" i="55" l="1"/>
  <c r="G411" i="55"/>
  <c r="D411" i="55"/>
  <c r="E412" i="55" s="1"/>
  <c r="U411" i="55"/>
  <c r="P411" i="55"/>
  <c r="S176" i="26"/>
  <c r="T176" i="26" s="1"/>
  <c r="BC176" i="26" s="1"/>
  <c r="AF176" i="26"/>
  <c r="AN176" i="26" s="1"/>
  <c r="I177" i="26"/>
  <c r="P177" i="26"/>
  <c r="F177" i="26"/>
  <c r="O177" i="26"/>
  <c r="G177" i="26"/>
  <c r="AL176" i="26" l="1"/>
  <c r="AM176" i="26" s="1"/>
  <c r="M411" i="55"/>
  <c r="V411" i="55"/>
  <c r="A412" i="55"/>
  <c r="Q412" i="55"/>
  <c r="K412" i="55"/>
  <c r="L412" i="55" s="1"/>
  <c r="B412" i="55"/>
  <c r="P412" i="55" s="1"/>
  <c r="C412" i="55"/>
  <c r="U412" i="55" s="1"/>
  <c r="H412" i="55"/>
  <c r="BL176" i="26"/>
  <c r="A177" i="26"/>
  <c r="C177" i="26"/>
  <c r="L177" i="26"/>
  <c r="Q177" i="26"/>
  <c r="W177" i="26"/>
  <c r="K177" i="26"/>
  <c r="X177" i="26" l="1"/>
  <c r="V177" i="26"/>
  <c r="N411" i="55"/>
  <c r="D412" i="55"/>
  <c r="M412" i="55" s="1"/>
  <c r="O412" i="55"/>
  <c r="G412" i="55"/>
  <c r="F412" i="55"/>
  <c r="W412" i="55"/>
  <c r="V412" i="55"/>
  <c r="BT176" i="26"/>
  <c r="AV176" i="55"/>
  <c r="AS177" i="26"/>
  <c r="BJ177" i="26" s="1"/>
  <c r="AP177" i="26"/>
  <c r="E178" i="26"/>
  <c r="M177" i="26"/>
  <c r="R177" i="26"/>
  <c r="U177" i="26"/>
  <c r="X411" i="55" l="1"/>
  <c r="S411" i="55"/>
  <c r="E413" i="55"/>
  <c r="Q413" i="55" s="1"/>
  <c r="AU176" i="26"/>
  <c r="N412" i="55"/>
  <c r="S177" i="26"/>
  <c r="T177" i="26" s="1"/>
  <c r="BC177" i="26" s="1"/>
  <c r="AF177" i="26"/>
  <c r="AN177" i="26" s="1"/>
  <c r="B178" i="26"/>
  <c r="G178" i="26" s="1"/>
  <c r="BK177" i="26"/>
  <c r="AO177" i="26"/>
  <c r="AT177" i="26" s="1"/>
  <c r="H178" i="26"/>
  <c r="N177" i="26"/>
  <c r="AJ177" i="26"/>
  <c r="AK177" i="26" s="1"/>
  <c r="AL177" i="26" l="1"/>
  <c r="AM177" i="26" s="1"/>
  <c r="B413" i="55"/>
  <c r="A413" i="55"/>
  <c r="H413" i="55"/>
  <c r="K413" i="55"/>
  <c r="L413" i="55" s="1"/>
  <c r="C413" i="55"/>
  <c r="O413" i="55" s="1"/>
  <c r="P413" i="55"/>
  <c r="BL177" i="26"/>
  <c r="F413" i="55"/>
  <c r="D413" i="55"/>
  <c r="G413" i="55"/>
  <c r="S412" i="55"/>
  <c r="X412" i="55"/>
  <c r="D178" i="26"/>
  <c r="I178" i="26"/>
  <c r="O178" i="26"/>
  <c r="F178" i="26"/>
  <c r="P178" i="26"/>
  <c r="C178" i="26"/>
  <c r="V178" i="26" s="1"/>
  <c r="A178" i="26"/>
  <c r="K178" i="26"/>
  <c r="L178" i="26"/>
  <c r="Q178" i="26"/>
  <c r="W178" i="26"/>
  <c r="W413" i="55" l="1"/>
  <c r="M413" i="55"/>
  <c r="E414" i="55"/>
  <c r="R178" i="26"/>
  <c r="BT177" i="26"/>
  <c r="AV177" i="55"/>
  <c r="AS178" i="26"/>
  <c r="BJ178" i="26" s="1"/>
  <c r="AP178" i="26"/>
  <c r="X178" i="26"/>
  <c r="E179" i="26"/>
  <c r="M178" i="26"/>
  <c r="U178" i="26"/>
  <c r="AL178" i="26" l="1"/>
  <c r="AM178" i="26" s="1"/>
  <c r="Q414" i="55"/>
  <c r="K414" i="55"/>
  <c r="L414" i="55" s="1"/>
  <c r="AU177" i="26"/>
  <c r="A414" i="55"/>
  <c r="B414" i="55"/>
  <c r="P414" i="55" s="1"/>
  <c r="C414" i="55"/>
  <c r="O414" i="55" s="1"/>
  <c r="H414" i="55"/>
  <c r="N413" i="55"/>
  <c r="AF178" i="26"/>
  <c r="AN178" i="26" s="1"/>
  <c r="S178" i="26"/>
  <c r="T178" i="26" s="1"/>
  <c r="BC178" i="26" s="1"/>
  <c r="B179" i="26"/>
  <c r="P179" i="26" s="1"/>
  <c r="BK178" i="26"/>
  <c r="AO178" i="26"/>
  <c r="AT178" i="26" s="1"/>
  <c r="H179" i="26"/>
  <c r="N178" i="26"/>
  <c r="AJ178" i="26"/>
  <c r="AK178" i="26" s="1"/>
  <c r="C179" i="26"/>
  <c r="V179" i="26" s="1"/>
  <c r="A179" i="26"/>
  <c r="L179" i="26"/>
  <c r="Q179" i="26"/>
  <c r="W179" i="26"/>
  <c r="BL178" i="26" l="1"/>
  <c r="AV178" i="55"/>
  <c r="W414" i="55"/>
  <c r="G414" i="55"/>
  <c r="F414" i="55"/>
  <c r="D414" i="55"/>
  <c r="S413" i="55"/>
  <c r="X413" i="55"/>
  <c r="U414" i="55"/>
  <c r="G179" i="26"/>
  <c r="K179" i="26"/>
  <c r="M179" i="26" s="1"/>
  <c r="F179" i="26"/>
  <c r="R179" i="26" s="1"/>
  <c r="D179" i="26"/>
  <c r="E180" i="26" s="1"/>
  <c r="O179" i="26"/>
  <c r="AP179" i="26"/>
  <c r="I179" i="26"/>
  <c r="AS179" i="26"/>
  <c r="BJ179" i="26" s="1"/>
  <c r="X179" i="26"/>
  <c r="U179" i="26"/>
  <c r="BT178" i="26" l="1"/>
  <c r="M414" i="55"/>
  <c r="E415" i="55"/>
  <c r="AU178" i="26"/>
  <c r="V414" i="55"/>
  <c r="AF179" i="26"/>
  <c r="AN179" i="26" s="1"/>
  <c r="S179" i="26"/>
  <c r="T179" i="26" s="1"/>
  <c r="B180" i="26"/>
  <c r="P180" i="26" s="1"/>
  <c r="BK179" i="26"/>
  <c r="H180" i="26"/>
  <c r="AO179" i="26"/>
  <c r="AT179" i="26" s="1"/>
  <c r="N179" i="26"/>
  <c r="AJ179" i="26"/>
  <c r="AK179" i="26" s="1"/>
  <c r="AL179" i="26"/>
  <c r="BL179" i="26" l="1"/>
  <c r="BC179" i="26"/>
  <c r="AM179" i="26"/>
  <c r="Q415" i="55"/>
  <c r="K415" i="55"/>
  <c r="L415" i="55" s="1"/>
  <c r="B415" i="55"/>
  <c r="P415" i="55" s="1"/>
  <c r="A415" i="55"/>
  <c r="C415" i="55"/>
  <c r="O415" i="55" s="1"/>
  <c r="H415" i="55"/>
  <c r="N414" i="55"/>
  <c r="F180" i="26"/>
  <c r="G180" i="26"/>
  <c r="D180" i="26"/>
  <c r="O180" i="26"/>
  <c r="I180" i="26"/>
  <c r="A180" i="26"/>
  <c r="C180" i="26"/>
  <c r="V180" i="26" s="1"/>
  <c r="L180" i="26"/>
  <c r="Q180" i="26"/>
  <c r="W180" i="26"/>
  <c r="U415" i="55" l="1"/>
  <c r="X414" i="55"/>
  <c r="S414" i="55"/>
  <c r="F415" i="55"/>
  <c r="D415" i="55"/>
  <c r="E416" i="55" s="1"/>
  <c r="W415" i="55"/>
  <c r="G415" i="55"/>
  <c r="BT179" i="26"/>
  <c r="AV179" i="55"/>
  <c r="AS180" i="26"/>
  <c r="BJ180" i="26" s="1"/>
  <c r="AP180" i="26"/>
  <c r="E181" i="26"/>
  <c r="K180" i="26"/>
  <c r="M180" i="26" s="1"/>
  <c r="X180" i="26"/>
  <c r="Q416" i="55" l="1"/>
  <c r="K416" i="55"/>
  <c r="M415" i="55"/>
  <c r="N415" i="55" s="1"/>
  <c r="V415" i="55"/>
  <c r="A416" i="55"/>
  <c r="L416" i="55"/>
  <c r="B416" i="55"/>
  <c r="P416" i="55" s="1"/>
  <c r="C416" i="55"/>
  <c r="U416" i="55" s="1"/>
  <c r="H416" i="55"/>
  <c r="AU179" i="26"/>
  <c r="B181" i="26"/>
  <c r="F181" i="26" s="1"/>
  <c r="BK180" i="26"/>
  <c r="AO180" i="26"/>
  <c r="AT180" i="26" s="1"/>
  <c r="H181" i="26"/>
  <c r="N180" i="26"/>
  <c r="AJ180" i="26"/>
  <c r="AK180" i="26" s="1"/>
  <c r="R180" i="26"/>
  <c r="U180" i="26"/>
  <c r="O416" i="55" l="1"/>
  <c r="X415" i="55"/>
  <c r="S415" i="55"/>
  <c r="D416" i="55"/>
  <c r="E417" i="55" s="1"/>
  <c r="V416" i="55"/>
  <c r="W416" i="55"/>
  <c r="F416" i="55"/>
  <c r="G416" i="55"/>
  <c r="AF180" i="26"/>
  <c r="AN180" i="26" s="1"/>
  <c r="S180" i="26"/>
  <c r="T180" i="26" s="1"/>
  <c r="BC180" i="26" s="1"/>
  <c r="I181" i="26"/>
  <c r="O181" i="26"/>
  <c r="D181" i="26"/>
  <c r="P181" i="26"/>
  <c r="G181" i="26"/>
  <c r="AL180" i="26" l="1"/>
  <c r="AM180" i="26" s="1"/>
  <c r="Q417" i="55"/>
  <c r="K417" i="55"/>
  <c r="BL180" i="26"/>
  <c r="H417" i="55"/>
  <c r="B417" i="55"/>
  <c r="D417" i="55" s="1"/>
  <c r="C417" i="55"/>
  <c r="O417" i="55" s="1"/>
  <c r="A417" i="55"/>
  <c r="L417" i="55"/>
  <c r="M416" i="55"/>
  <c r="A181" i="26"/>
  <c r="C181" i="26"/>
  <c r="V181" i="26" s="1"/>
  <c r="L181" i="26"/>
  <c r="Q181" i="26"/>
  <c r="R181" i="26" s="1"/>
  <c r="W181" i="26"/>
  <c r="K181" i="26"/>
  <c r="M181" i="26" s="1"/>
  <c r="P417" i="55" l="1"/>
  <c r="G417" i="55"/>
  <c r="M417" i="55"/>
  <c r="N417" i="55" s="1"/>
  <c r="F417" i="55"/>
  <c r="N416" i="55"/>
  <c r="U417" i="55"/>
  <c r="E418" i="55"/>
  <c r="W417" i="55"/>
  <c r="S181" i="26"/>
  <c r="T181" i="26" s="1"/>
  <c r="BT180" i="26"/>
  <c r="AV180" i="55"/>
  <c r="AS181" i="26"/>
  <c r="BJ181" i="26" s="1"/>
  <c r="U181" i="26"/>
  <c r="AP181" i="26"/>
  <c r="N181" i="26"/>
  <c r="AJ181" i="26"/>
  <c r="AK181" i="26" s="1"/>
  <c r="X181" i="26"/>
  <c r="E182" i="26"/>
  <c r="AL181" i="26"/>
  <c r="AM181" i="26" l="1"/>
  <c r="BL181" i="26"/>
  <c r="BC181" i="26"/>
  <c r="Q418" i="55"/>
  <c r="K418" i="55"/>
  <c r="L418" i="55" s="1"/>
  <c r="V417" i="55"/>
  <c r="X417" i="55"/>
  <c r="A418" i="55"/>
  <c r="H418" i="55"/>
  <c r="B418" i="55"/>
  <c r="D418" i="55" s="1"/>
  <c r="C418" i="55"/>
  <c r="O418" i="55" s="1"/>
  <c r="AU180" i="26"/>
  <c r="S416" i="55"/>
  <c r="S417" i="55" s="1"/>
  <c r="X416" i="55"/>
  <c r="AF181" i="26"/>
  <c r="AN181" i="26" s="1"/>
  <c r="B182" i="26"/>
  <c r="D182" i="26" s="1"/>
  <c r="BK181" i="26"/>
  <c r="AO181" i="26"/>
  <c r="AT181" i="26" s="1"/>
  <c r="H182" i="26"/>
  <c r="C182" i="26"/>
  <c r="V182" i="26" s="1"/>
  <c r="A182" i="26"/>
  <c r="L182" i="26"/>
  <c r="W182" i="26"/>
  <c r="Q182" i="26"/>
  <c r="P418" i="55" l="1"/>
  <c r="U418" i="55"/>
  <c r="G418" i="55"/>
  <c r="M418" i="55"/>
  <c r="N418" i="55" s="1"/>
  <c r="S418" i="55" s="1"/>
  <c r="F418" i="55"/>
  <c r="W418" i="55"/>
  <c r="E419" i="55"/>
  <c r="I182" i="26"/>
  <c r="G182" i="26"/>
  <c r="O182" i="26"/>
  <c r="P182" i="26"/>
  <c r="F182" i="26"/>
  <c r="BT181" i="26"/>
  <c r="AV181" i="55"/>
  <c r="AS182" i="26"/>
  <c r="BJ182" i="26" s="1"/>
  <c r="E183" i="26"/>
  <c r="AP182" i="26"/>
  <c r="K182" i="26"/>
  <c r="M182" i="26" s="1"/>
  <c r="X182" i="26"/>
  <c r="K419" i="55" l="1"/>
  <c r="L419" i="55" s="1"/>
  <c r="Q419" i="55"/>
  <c r="V418" i="55"/>
  <c r="X418" i="55"/>
  <c r="AU181" i="26"/>
  <c r="H419" i="55"/>
  <c r="C419" i="55"/>
  <c r="U419" i="55" s="1"/>
  <c r="B419" i="55"/>
  <c r="F419" i="55" s="1"/>
  <c r="A419" i="55"/>
  <c r="H183" i="26"/>
  <c r="B183" i="26"/>
  <c r="D183" i="26" s="1"/>
  <c r="BK182" i="26"/>
  <c r="AO182" i="26"/>
  <c r="AT182" i="26" s="1"/>
  <c r="N182" i="26"/>
  <c r="AJ182" i="26"/>
  <c r="AK182" i="26" s="1"/>
  <c r="R182" i="26"/>
  <c r="U182" i="26"/>
  <c r="O419" i="55" l="1"/>
  <c r="P419" i="55"/>
  <c r="G419" i="55"/>
  <c r="W419" i="55"/>
  <c r="D419" i="55"/>
  <c r="M419" i="55" s="1"/>
  <c r="V419" i="55"/>
  <c r="AF182" i="26"/>
  <c r="AN182" i="26" s="1"/>
  <c r="S182" i="26"/>
  <c r="T182" i="26" s="1"/>
  <c r="BC182" i="26" s="1"/>
  <c r="I183" i="26"/>
  <c r="O183" i="26"/>
  <c r="P183" i="26"/>
  <c r="G183" i="26"/>
  <c r="F183" i="26"/>
  <c r="AL182" i="26"/>
  <c r="K183" i="26"/>
  <c r="AM182" i="26" l="1"/>
  <c r="BL182" i="26"/>
  <c r="N419" i="55"/>
  <c r="E420" i="55"/>
  <c r="C183" i="26"/>
  <c r="A183" i="26"/>
  <c r="L183" i="26"/>
  <c r="M183" i="26" s="1"/>
  <c r="Q183" i="26"/>
  <c r="R183" i="26" s="1"/>
  <c r="W183" i="26"/>
  <c r="U183" i="26" l="1"/>
  <c r="V183" i="26"/>
  <c r="Q420" i="55"/>
  <c r="K420" i="55"/>
  <c r="B420" i="55"/>
  <c r="D420" i="55" s="1"/>
  <c r="H420" i="55"/>
  <c r="A420" i="55"/>
  <c r="L420" i="55"/>
  <c r="C420" i="55"/>
  <c r="W420" i="55" s="1"/>
  <c r="X419" i="55"/>
  <c r="S419" i="55"/>
  <c r="S183" i="26"/>
  <c r="T183" i="26" s="1"/>
  <c r="BT182" i="26"/>
  <c r="AV182" i="55"/>
  <c r="AS183" i="26"/>
  <c r="BJ183" i="26" s="1"/>
  <c r="AF183" i="26"/>
  <c r="AN183" i="26" s="1"/>
  <c r="AP183" i="26"/>
  <c r="N183" i="26"/>
  <c r="AJ183" i="26"/>
  <c r="AK183" i="26" s="1"/>
  <c r="X183" i="26"/>
  <c r="E184" i="26"/>
  <c r="AL183" i="26" l="1"/>
  <c r="AM183" i="26" s="1"/>
  <c r="BL183" i="26"/>
  <c r="BC183" i="26"/>
  <c r="O420" i="55"/>
  <c r="P420" i="55"/>
  <c r="F420" i="55"/>
  <c r="M420" i="55"/>
  <c r="N420" i="55" s="1"/>
  <c r="X420" i="55" s="1"/>
  <c r="G420" i="55"/>
  <c r="U420" i="55"/>
  <c r="AU182" i="26"/>
  <c r="E421" i="55"/>
  <c r="B184" i="26"/>
  <c r="P184" i="26" s="1"/>
  <c r="H184" i="26"/>
  <c r="AO183" i="26"/>
  <c r="AT183" i="26" s="1"/>
  <c r="BK183" i="26"/>
  <c r="A184" i="26"/>
  <c r="C184" i="26"/>
  <c r="V184" i="26" s="1"/>
  <c r="L184" i="26"/>
  <c r="Q184" i="26"/>
  <c r="W184" i="26"/>
  <c r="Q421" i="55" l="1"/>
  <c r="K421" i="55"/>
  <c r="L421" i="55" s="1"/>
  <c r="V420" i="55"/>
  <c r="S420" i="55"/>
  <c r="F184" i="26"/>
  <c r="C421" i="55"/>
  <c r="O421" i="55" s="1"/>
  <c r="B421" i="55"/>
  <c r="F421" i="55" s="1"/>
  <c r="A421" i="55"/>
  <c r="H421" i="55"/>
  <c r="I184" i="26"/>
  <c r="O184" i="26"/>
  <c r="G184" i="26"/>
  <c r="D184" i="26"/>
  <c r="E185" i="26" s="1"/>
  <c r="BT183" i="26"/>
  <c r="AV183" i="55"/>
  <c r="AS184" i="26"/>
  <c r="BJ184" i="26" s="1"/>
  <c r="AO184" i="26"/>
  <c r="AP184" i="26"/>
  <c r="K184" i="26"/>
  <c r="M184" i="26" s="1"/>
  <c r="X184" i="26"/>
  <c r="BK184" i="26" s="1"/>
  <c r="P421" i="55" l="1"/>
  <c r="D421" i="55"/>
  <c r="M421" i="55" s="1"/>
  <c r="AU183" i="26"/>
  <c r="W421" i="55"/>
  <c r="U421" i="55"/>
  <c r="G421" i="55"/>
  <c r="AT184" i="26"/>
  <c r="B185" i="26"/>
  <c r="P185" i="26" s="1"/>
  <c r="H185" i="26"/>
  <c r="N184" i="26"/>
  <c r="AJ184" i="26"/>
  <c r="AK184" i="26" s="1"/>
  <c r="R184" i="26"/>
  <c r="U184" i="26"/>
  <c r="E422" i="55" l="1"/>
  <c r="N421" i="55"/>
  <c r="S421" i="55" s="1"/>
  <c r="V421" i="55"/>
  <c r="AF184" i="26"/>
  <c r="AN184" i="26" s="1"/>
  <c r="S184" i="26"/>
  <c r="T184" i="26" s="1"/>
  <c r="BC184" i="26" s="1"/>
  <c r="I185" i="26"/>
  <c r="G185" i="26"/>
  <c r="O185" i="26"/>
  <c r="F185" i="26"/>
  <c r="D185" i="26"/>
  <c r="AL184" i="26" l="1"/>
  <c r="AM184" i="26" s="1"/>
  <c r="A422" i="55"/>
  <c r="Q422" i="55"/>
  <c r="K422" i="55"/>
  <c r="L422" i="55" s="1"/>
  <c r="C422" i="55"/>
  <c r="U422" i="55" s="1"/>
  <c r="H422" i="55"/>
  <c r="B422" i="55"/>
  <c r="P422" i="55" s="1"/>
  <c r="X421" i="55"/>
  <c r="BL184" i="26"/>
  <c r="A185" i="26"/>
  <c r="C185" i="26"/>
  <c r="V185" i="26" s="1"/>
  <c r="L185" i="26"/>
  <c r="Q185" i="26"/>
  <c r="W185" i="26"/>
  <c r="K185" i="26"/>
  <c r="O422" i="55" l="1"/>
  <c r="V422" i="55"/>
  <c r="G422" i="55"/>
  <c r="D422" i="55"/>
  <c r="M422" i="55" s="1"/>
  <c r="N422" i="55" s="1"/>
  <c r="X422" i="55" s="1"/>
  <c r="F422" i="55"/>
  <c r="W422" i="55"/>
  <c r="X185" i="26"/>
  <c r="BT184" i="26"/>
  <c r="AV184" i="55"/>
  <c r="AS185" i="26"/>
  <c r="BJ185" i="26" s="1"/>
  <c r="AP185" i="26"/>
  <c r="E186" i="26"/>
  <c r="M185" i="26"/>
  <c r="R185" i="26"/>
  <c r="U185" i="26"/>
  <c r="E423" i="55" l="1"/>
  <c r="H423" i="55" s="1"/>
  <c r="S422" i="55"/>
  <c r="AU184" i="26"/>
  <c r="AF185" i="26"/>
  <c r="AN185" i="26" s="1"/>
  <c r="S185" i="26"/>
  <c r="T185" i="26" s="1"/>
  <c r="BC185" i="26" s="1"/>
  <c r="B186" i="26"/>
  <c r="I186" i="26" s="1"/>
  <c r="AO185" i="26"/>
  <c r="AT185" i="26" s="1"/>
  <c r="BK185" i="26"/>
  <c r="H186" i="26"/>
  <c r="N185" i="26"/>
  <c r="AJ185" i="26"/>
  <c r="AK185" i="26" s="1"/>
  <c r="AL185" i="26" l="1"/>
  <c r="AM185" i="26" s="1"/>
  <c r="B423" i="55"/>
  <c r="D423" i="55" s="1"/>
  <c r="M423" i="55" s="1"/>
  <c r="N423" i="55" s="1"/>
  <c r="C423" i="55"/>
  <c r="O423" i="55" s="1"/>
  <c r="Q423" i="55"/>
  <c r="K423" i="55"/>
  <c r="L423" i="55" s="1"/>
  <c r="A423" i="55"/>
  <c r="F423" i="55"/>
  <c r="G423" i="55"/>
  <c r="BL185" i="26"/>
  <c r="D186" i="26"/>
  <c r="G186" i="26"/>
  <c r="F186" i="26"/>
  <c r="O186" i="26"/>
  <c r="P186" i="26"/>
  <c r="C186" i="26"/>
  <c r="A186" i="26"/>
  <c r="L186" i="26"/>
  <c r="Q186" i="26"/>
  <c r="W186" i="26"/>
  <c r="K186" i="26"/>
  <c r="U423" i="55" l="1"/>
  <c r="X186" i="26"/>
  <c r="V186" i="26"/>
  <c r="P423" i="55"/>
  <c r="W423" i="55"/>
  <c r="E424" i="55"/>
  <c r="X423" i="55"/>
  <c r="S423" i="55"/>
  <c r="BT185" i="26"/>
  <c r="AV185" i="55"/>
  <c r="AS186" i="26"/>
  <c r="BJ186" i="26" s="1"/>
  <c r="M186" i="26"/>
  <c r="N186" i="26" s="1"/>
  <c r="E187" i="26"/>
  <c r="AP186" i="26"/>
  <c r="R186" i="26"/>
  <c r="U186" i="26"/>
  <c r="V423" i="55" l="1"/>
  <c r="H424" i="55"/>
  <c r="Q424" i="55"/>
  <c r="K424" i="55"/>
  <c r="L424" i="55" s="1"/>
  <c r="B424" i="55"/>
  <c r="D424" i="55" s="1"/>
  <c r="A424" i="55"/>
  <c r="C424" i="55"/>
  <c r="U424" i="55" s="1"/>
  <c r="AU185" i="26"/>
  <c r="S186" i="26"/>
  <c r="T186" i="26" s="1"/>
  <c r="BC186" i="26" s="1"/>
  <c r="AF186" i="26"/>
  <c r="AN186" i="26" s="1"/>
  <c r="AJ186" i="26"/>
  <c r="AK186" i="26" s="1"/>
  <c r="B187" i="26"/>
  <c r="P187" i="26" s="1"/>
  <c r="AO186" i="26"/>
  <c r="AT186" i="26" s="1"/>
  <c r="BK186" i="26"/>
  <c r="H187" i="26"/>
  <c r="AL186" i="26" l="1"/>
  <c r="AM186" i="26" s="1"/>
  <c r="O424" i="55"/>
  <c r="P424" i="55"/>
  <c r="V424" i="55" s="1"/>
  <c r="F424" i="55"/>
  <c r="M424" i="55"/>
  <c r="N424" i="55" s="1"/>
  <c r="E425" i="55"/>
  <c r="W424" i="55"/>
  <c r="G424" i="55"/>
  <c r="BL186" i="26"/>
  <c r="K187" i="26"/>
  <c r="D187" i="26"/>
  <c r="F187" i="26"/>
  <c r="O187" i="26"/>
  <c r="I187" i="26"/>
  <c r="G187" i="26"/>
  <c r="C187" i="26"/>
  <c r="V187" i="26" s="1"/>
  <c r="A187" i="26"/>
  <c r="L187" i="26"/>
  <c r="Q187" i="26"/>
  <c r="W187" i="26"/>
  <c r="A425" i="55" l="1"/>
  <c r="Q425" i="55"/>
  <c r="K425" i="55"/>
  <c r="L425" i="55" s="1"/>
  <c r="B425" i="55"/>
  <c r="G425" i="55" s="1"/>
  <c r="C425" i="55"/>
  <c r="O425" i="55" s="1"/>
  <c r="H425" i="55"/>
  <c r="R187" i="26"/>
  <c r="X424" i="55"/>
  <c r="S424" i="55"/>
  <c r="M187" i="26"/>
  <c r="N187" i="26" s="1"/>
  <c r="BT186" i="26"/>
  <c r="AV186" i="55"/>
  <c r="U187" i="26"/>
  <c r="AS187" i="26"/>
  <c r="BJ187" i="26" s="1"/>
  <c r="AP187" i="26"/>
  <c r="X187" i="26"/>
  <c r="E188" i="26"/>
  <c r="AL187" i="26" l="1"/>
  <c r="AM187" i="26" s="1"/>
  <c r="P425" i="55"/>
  <c r="D425" i="55"/>
  <c r="M425" i="55" s="1"/>
  <c r="W425" i="55"/>
  <c r="F425" i="55"/>
  <c r="S187" i="26"/>
  <c r="T187" i="26" s="1"/>
  <c r="AJ187" i="26"/>
  <c r="AK187" i="26" s="1"/>
  <c r="AU186" i="26"/>
  <c r="AF187" i="26"/>
  <c r="AN187" i="26" s="1"/>
  <c r="B188" i="26"/>
  <c r="K188" i="26" s="1"/>
  <c r="BK187" i="26"/>
  <c r="AO187" i="26"/>
  <c r="AT187" i="26" s="1"/>
  <c r="H188" i="26"/>
  <c r="A188" i="26"/>
  <c r="C188" i="26"/>
  <c r="AS188" i="26" s="1"/>
  <c r="L188" i="26"/>
  <c r="Q188" i="26"/>
  <c r="W188" i="26"/>
  <c r="BL187" i="26" l="1"/>
  <c r="BC187" i="26"/>
  <c r="V188" i="26"/>
  <c r="E426" i="55"/>
  <c r="H426" i="55" s="1"/>
  <c r="I188" i="26"/>
  <c r="N425" i="55"/>
  <c r="P188" i="26"/>
  <c r="G188" i="26"/>
  <c r="D188" i="26"/>
  <c r="F188" i="26"/>
  <c r="R188" i="26" s="1"/>
  <c r="O188" i="26"/>
  <c r="M188" i="26"/>
  <c r="N188" i="26" s="1"/>
  <c r="BJ188" i="26"/>
  <c r="AP188" i="26"/>
  <c r="X188" i="26"/>
  <c r="U188" i="26"/>
  <c r="BT187" i="26" l="1"/>
  <c r="B426" i="55"/>
  <c r="F426" i="55" s="1"/>
  <c r="A426" i="55"/>
  <c r="C426" i="55"/>
  <c r="O426" i="55" s="1"/>
  <c r="Q426" i="55"/>
  <c r="P426" i="55"/>
  <c r="K426" i="55"/>
  <c r="L426" i="55" s="1"/>
  <c r="AV187" i="55"/>
  <c r="E189" i="26"/>
  <c r="AU187" i="26"/>
  <c r="X425" i="55"/>
  <c r="S425" i="55"/>
  <c r="S188" i="26"/>
  <c r="T188" i="26" s="1"/>
  <c r="BC188" i="26" s="1"/>
  <c r="AF188" i="26"/>
  <c r="AN188" i="26" s="1"/>
  <c r="AJ188" i="26"/>
  <c r="AK188" i="26" s="1"/>
  <c r="AO188" i="26"/>
  <c r="AT188" i="26" s="1"/>
  <c r="BK188" i="26"/>
  <c r="AL188" i="26"/>
  <c r="A189" i="26" l="1"/>
  <c r="D426" i="55"/>
  <c r="M426" i="55" s="1"/>
  <c r="N426" i="55" s="1"/>
  <c r="X426" i="55" s="1"/>
  <c r="U426" i="55"/>
  <c r="V426" i="55" s="1"/>
  <c r="G426" i="55"/>
  <c r="W426" i="55"/>
  <c r="AM188" i="26"/>
  <c r="Q189" i="26"/>
  <c r="W189" i="26"/>
  <c r="C189" i="26"/>
  <c r="V189" i="26" s="1"/>
  <c r="H189" i="26"/>
  <c r="B189" i="26"/>
  <c r="P189" i="26" s="1"/>
  <c r="L189" i="26"/>
  <c r="BL188" i="26"/>
  <c r="S426" i="55" l="1"/>
  <c r="E427" i="55"/>
  <c r="AO189" i="26"/>
  <c r="AS189" i="26"/>
  <c r="BJ189" i="26" s="1"/>
  <c r="X189" i="26"/>
  <c r="BK189" i="26" s="1"/>
  <c r="I189" i="26"/>
  <c r="AP189" i="26"/>
  <c r="D189" i="26"/>
  <c r="E190" i="26" s="1"/>
  <c r="F189" i="26"/>
  <c r="R189" i="26" s="1"/>
  <c r="O189" i="26"/>
  <c r="G189" i="26"/>
  <c r="U189" i="26"/>
  <c r="AF189" i="26" s="1"/>
  <c r="AN189" i="26" s="1"/>
  <c r="K189" i="26"/>
  <c r="M189" i="26" s="1"/>
  <c r="AJ189" i="26" s="1"/>
  <c r="AK189" i="26" s="1"/>
  <c r="AU188" i="26"/>
  <c r="BT188" i="26"/>
  <c r="AV188" i="55"/>
  <c r="B190" i="26" l="1"/>
  <c r="F190" i="26" s="1"/>
  <c r="AT189" i="26"/>
  <c r="Q427" i="55"/>
  <c r="H427" i="55"/>
  <c r="A427" i="55"/>
  <c r="B427" i="55"/>
  <c r="G427" i="55" s="1"/>
  <c r="K427" i="55"/>
  <c r="L427" i="55" s="1"/>
  <c r="C427" i="55"/>
  <c r="U427" i="55" s="1"/>
  <c r="H190" i="26"/>
  <c r="S189" i="26"/>
  <c r="T189" i="26" s="1"/>
  <c r="N189" i="26"/>
  <c r="O190" i="26"/>
  <c r="D190" i="26"/>
  <c r="I190" i="26"/>
  <c r="C190" i="26"/>
  <c r="U190" i="26" s="1"/>
  <c r="A190" i="26"/>
  <c r="L190" i="26"/>
  <c r="Q190" i="26"/>
  <c r="R190" i="26" s="1"/>
  <c r="W190" i="26"/>
  <c r="AL189" i="26" l="1"/>
  <c r="AM189" i="26" s="1"/>
  <c r="K190" i="26"/>
  <c r="M190" i="26" s="1"/>
  <c r="AJ190" i="26" s="1"/>
  <c r="AK190" i="26" s="1"/>
  <c r="G190" i="26"/>
  <c r="BL189" i="26"/>
  <c r="BC189" i="26"/>
  <c r="P190" i="26"/>
  <c r="V190" i="26"/>
  <c r="D427" i="55"/>
  <c r="M427" i="55" s="1"/>
  <c r="F427" i="55"/>
  <c r="W427" i="55"/>
  <c r="P427" i="55"/>
  <c r="V427" i="55" s="1"/>
  <c r="O427" i="55"/>
  <c r="S190" i="26"/>
  <c r="T190" i="26" s="1"/>
  <c r="BL190" i="26" s="1"/>
  <c r="AF190" i="26"/>
  <c r="AN190" i="26" s="1"/>
  <c r="AS190" i="26"/>
  <c r="BJ190" i="26" s="1"/>
  <c r="AP190" i="26"/>
  <c r="X190" i="26"/>
  <c r="E191" i="26"/>
  <c r="AL190" i="26" l="1"/>
  <c r="AM190" i="26" s="1"/>
  <c r="BC190" i="26"/>
  <c r="AV189" i="55"/>
  <c r="N427" i="55"/>
  <c r="E428" i="55"/>
  <c r="BT189" i="26"/>
  <c r="N190" i="26"/>
  <c r="AU189" i="26"/>
  <c r="B191" i="26"/>
  <c r="D191" i="26" s="1"/>
  <c r="BK190" i="26"/>
  <c r="AO190" i="26"/>
  <c r="AT190" i="26" s="1"/>
  <c r="H191" i="26"/>
  <c r="C191" i="26"/>
  <c r="V191" i="26" s="1"/>
  <c r="A191" i="26"/>
  <c r="L191" i="26"/>
  <c r="Q191" i="26"/>
  <c r="W191" i="26"/>
  <c r="X427" i="55" l="1"/>
  <c r="S427" i="55"/>
  <c r="H428" i="55"/>
  <c r="Q428" i="55"/>
  <c r="C428" i="55"/>
  <c r="U428" i="55" s="1"/>
  <c r="K428" i="55"/>
  <c r="L428" i="55" s="1"/>
  <c r="B428" i="55"/>
  <c r="F428" i="55" s="1"/>
  <c r="A428" i="55"/>
  <c r="F191" i="26"/>
  <c r="R191" i="26" s="1"/>
  <c r="O191" i="26"/>
  <c r="K191" i="26"/>
  <c r="M191" i="26" s="1"/>
  <c r="I191" i="26"/>
  <c r="P191" i="26"/>
  <c r="BT190" i="26"/>
  <c r="AV190" i="55"/>
  <c r="AS191" i="26"/>
  <c r="BJ191" i="26" s="1"/>
  <c r="U191" i="26"/>
  <c r="G191" i="26"/>
  <c r="AP191" i="26"/>
  <c r="X191" i="26"/>
  <c r="E192" i="26"/>
  <c r="AL191" i="26" l="1"/>
  <c r="AM191" i="26" s="1"/>
  <c r="D428" i="55"/>
  <c r="M428" i="55" s="1"/>
  <c r="G428" i="55"/>
  <c r="P428" i="55"/>
  <c r="V428" i="55" s="1"/>
  <c r="O428" i="55"/>
  <c r="E429" i="55"/>
  <c r="W428" i="55"/>
  <c r="AU190" i="26"/>
  <c r="AF191" i="26"/>
  <c r="AN191" i="26" s="1"/>
  <c r="S191" i="26"/>
  <c r="T191" i="26" s="1"/>
  <c r="BC191" i="26" s="1"/>
  <c r="B192" i="26"/>
  <c r="P192" i="26" s="1"/>
  <c r="H192" i="26"/>
  <c r="BK191" i="26"/>
  <c r="AO191" i="26"/>
  <c r="AT191" i="26" s="1"/>
  <c r="N191" i="26"/>
  <c r="AJ191" i="26"/>
  <c r="AK191" i="26" s="1"/>
  <c r="A192" i="26"/>
  <c r="C192" i="26"/>
  <c r="V192" i="26" s="1"/>
  <c r="L192" i="26"/>
  <c r="Q192" i="26"/>
  <c r="W192" i="26"/>
  <c r="N428" i="55" l="1"/>
  <c r="S428" i="55" s="1"/>
  <c r="Q429" i="55"/>
  <c r="A429" i="55"/>
  <c r="B429" i="55"/>
  <c r="H429" i="55"/>
  <c r="K429" i="55"/>
  <c r="L429" i="55" s="1"/>
  <c r="C429" i="55"/>
  <c r="BL191" i="26"/>
  <c r="K192" i="26"/>
  <c r="M192" i="26" s="1"/>
  <c r="I192" i="26"/>
  <c r="F192" i="26"/>
  <c r="R192" i="26" s="1"/>
  <c r="G192" i="26"/>
  <c r="O192" i="26"/>
  <c r="AP192" i="26"/>
  <c r="D192" i="26"/>
  <c r="AS192" i="26"/>
  <c r="BJ192" i="26" s="1"/>
  <c r="X192" i="26"/>
  <c r="U192" i="26"/>
  <c r="X428" i="55" l="1"/>
  <c r="W429" i="55"/>
  <c r="G429" i="55"/>
  <c r="F429" i="55"/>
  <c r="P429" i="55"/>
  <c r="D429" i="55"/>
  <c r="O429" i="55"/>
  <c r="U429" i="55"/>
  <c r="AU191" i="26"/>
  <c r="E193" i="26"/>
  <c r="AL192" i="26"/>
  <c r="S192" i="26"/>
  <c r="T192" i="26" s="1"/>
  <c r="AF192" i="26"/>
  <c r="AN192" i="26" s="1"/>
  <c r="BT191" i="26"/>
  <c r="AV191" i="55"/>
  <c r="AO192" i="26"/>
  <c r="AT192" i="26" s="1"/>
  <c r="BK192" i="26"/>
  <c r="N192" i="26"/>
  <c r="AJ192" i="26"/>
  <c r="AK192" i="26" s="1"/>
  <c r="BL192" i="26" l="1"/>
  <c r="BC192" i="26"/>
  <c r="AV192" i="55" s="1"/>
  <c r="V429" i="55"/>
  <c r="E430" i="55"/>
  <c r="M429" i="55"/>
  <c r="AM192" i="26"/>
  <c r="Q193" i="26"/>
  <c r="L193" i="26"/>
  <c r="C193" i="26"/>
  <c r="U193" i="26" s="1"/>
  <c r="H193" i="26"/>
  <c r="B193" i="26"/>
  <c r="P193" i="26" s="1"/>
  <c r="W193" i="26"/>
  <c r="A193" i="26"/>
  <c r="V193" i="26" l="1"/>
  <c r="AO193" i="26" s="1"/>
  <c r="I193" i="26"/>
  <c r="D193" i="26"/>
  <c r="O193" i="26"/>
  <c r="N429" i="55"/>
  <c r="K430" i="55"/>
  <c r="L430" i="55" s="1"/>
  <c r="B430" i="55"/>
  <c r="G430" i="55" s="1"/>
  <c r="A430" i="55"/>
  <c r="C430" i="55"/>
  <c r="O430" i="55" s="1"/>
  <c r="Q430" i="55"/>
  <c r="H430" i="55"/>
  <c r="F193" i="26"/>
  <c r="R193" i="26" s="1"/>
  <c r="G193" i="26"/>
  <c r="K193" i="26"/>
  <c r="M193" i="26" s="1"/>
  <c r="N193" i="26" s="1"/>
  <c r="AP193" i="26"/>
  <c r="AF193" i="26"/>
  <c r="AN193" i="26" s="1"/>
  <c r="X193" i="26"/>
  <c r="AS193" i="26"/>
  <c r="BJ193" i="26" s="1"/>
  <c r="AU192" i="26"/>
  <c r="BT192" i="26"/>
  <c r="E194" i="26" l="1"/>
  <c r="L194" i="26" s="1"/>
  <c r="F430" i="55"/>
  <c r="W430" i="55"/>
  <c r="P430" i="55"/>
  <c r="U430" i="55"/>
  <c r="S429" i="55"/>
  <c r="X429" i="55"/>
  <c r="D430" i="55"/>
  <c r="M430" i="55" s="1"/>
  <c r="AJ193" i="26"/>
  <c r="AK193" i="26" s="1"/>
  <c r="AL193" i="26"/>
  <c r="S193" i="26"/>
  <c r="T193" i="26" s="1"/>
  <c r="BC193" i="26" s="1"/>
  <c r="AT193" i="26"/>
  <c r="BK193" i="26"/>
  <c r="H194" i="26"/>
  <c r="Q194" i="26"/>
  <c r="B194" i="26"/>
  <c r="P194" i="26" s="1"/>
  <c r="A194" i="26"/>
  <c r="W194" i="26" l="1"/>
  <c r="C194" i="26"/>
  <c r="AS194" i="26" s="1"/>
  <c r="BJ194" i="26" s="1"/>
  <c r="AM193" i="26"/>
  <c r="AU193" i="26" s="1"/>
  <c r="E431" i="55"/>
  <c r="K431" i="55" s="1"/>
  <c r="L431" i="55" s="1"/>
  <c r="N430" i="55"/>
  <c r="V430" i="55"/>
  <c r="BL193" i="26"/>
  <c r="X194" i="26"/>
  <c r="I194" i="26"/>
  <c r="G194" i="26"/>
  <c r="O194" i="26"/>
  <c r="K194" i="26"/>
  <c r="M194" i="26" s="1"/>
  <c r="N194" i="26" s="1"/>
  <c r="F194" i="26"/>
  <c r="R194" i="26" s="1"/>
  <c r="D194" i="26"/>
  <c r="BT193" i="26"/>
  <c r="AV193" i="55"/>
  <c r="V194" i="26" l="1"/>
  <c r="AP194" i="26"/>
  <c r="E195" i="26"/>
  <c r="U194" i="26"/>
  <c r="AF194" i="26" s="1"/>
  <c r="AN194" i="26" s="1"/>
  <c r="A431" i="55"/>
  <c r="B431" i="55"/>
  <c r="P431" i="55" s="1"/>
  <c r="H431" i="55"/>
  <c r="C431" i="55"/>
  <c r="Q431" i="55"/>
  <c r="X430" i="55"/>
  <c r="S430" i="55"/>
  <c r="AJ194" i="26"/>
  <c r="AK194" i="26" s="1"/>
  <c r="BK194" i="26"/>
  <c r="B195" i="26"/>
  <c r="I195" i="26" s="1"/>
  <c r="H195" i="26"/>
  <c r="C195" i="26"/>
  <c r="V195" i="26" s="1"/>
  <c r="W195" i="26"/>
  <c r="L195" i="26"/>
  <c r="Q195" i="26"/>
  <c r="A195" i="26"/>
  <c r="AO194" i="26"/>
  <c r="S194" i="26"/>
  <c r="T194" i="26" s="1"/>
  <c r="AL194" i="26" l="1"/>
  <c r="AM194" i="26" s="1"/>
  <c r="AT194" i="26"/>
  <c r="BL194" i="26"/>
  <c r="BC194" i="26"/>
  <c r="F431" i="55"/>
  <c r="G431" i="55"/>
  <c r="W431" i="55"/>
  <c r="U431" i="55"/>
  <c r="V431" i="55" s="1"/>
  <c r="D431" i="55"/>
  <c r="O431" i="55"/>
  <c r="M431" i="55"/>
  <c r="E432" i="55"/>
  <c r="K195" i="26"/>
  <c r="M195" i="26" s="1"/>
  <c r="N195" i="26" s="1"/>
  <c r="O195" i="26"/>
  <c r="G195" i="26"/>
  <c r="D195" i="26"/>
  <c r="P195" i="26"/>
  <c r="F195" i="26"/>
  <c r="R195" i="26" s="1"/>
  <c r="X195" i="26"/>
  <c r="AV194" i="55"/>
  <c r="U195" i="26"/>
  <c r="AF195" i="26" s="1"/>
  <c r="AN195" i="26" s="1"/>
  <c r="AS195" i="26"/>
  <c r="BJ195" i="26" s="1"/>
  <c r="AP195" i="26"/>
  <c r="C432" i="55" l="1"/>
  <c r="U432" i="55" s="1"/>
  <c r="A432" i="55"/>
  <c r="Q432" i="55"/>
  <c r="B432" i="55"/>
  <c r="P432" i="55" s="1"/>
  <c r="K432" i="55"/>
  <c r="L432" i="55" s="1"/>
  <c r="H432" i="55"/>
  <c r="N431" i="55"/>
  <c r="AJ195" i="26"/>
  <c r="AK195" i="26" s="1"/>
  <c r="S195" i="26"/>
  <c r="T195" i="26" s="1"/>
  <c r="BL195" i="26" s="1"/>
  <c r="AL195" i="26"/>
  <c r="E196" i="26"/>
  <c r="BT194" i="26"/>
  <c r="BK195" i="26"/>
  <c r="AO195" i="26"/>
  <c r="AT195" i="26" s="1"/>
  <c r="AU194" i="26"/>
  <c r="BC195" i="26" l="1"/>
  <c r="AV195" i="55" s="1"/>
  <c r="G432" i="55"/>
  <c r="V432" i="55"/>
  <c r="S431" i="55"/>
  <c r="X431" i="55"/>
  <c r="F432" i="55"/>
  <c r="D432" i="55"/>
  <c r="E433" i="55" s="1"/>
  <c r="W432" i="55"/>
  <c r="O432" i="55"/>
  <c r="A196" i="26"/>
  <c r="AM195" i="26"/>
  <c r="Q196" i="26"/>
  <c r="C196" i="26"/>
  <c r="AS196" i="26" s="1"/>
  <c r="BJ196" i="26" s="1"/>
  <c r="L196" i="26"/>
  <c r="W196" i="26"/>
  <c r="B196" i="26"/>
  <c r="H196" i="26"/>
  <c r="V196" i="26" l="1"/>
  <c r="AO196" i="26" s="1"/>
  <c r="Q433" i="55"/>
  <c r="A433" i="55"/>
  <c r="H433" i="55"/>
  <c r="C433" i="55"/>
  <c r="K433" i="55"/>
  <c r="L433" i="55" s="1"/>
  <c r="B433" i="55"/>
  <c r="AP196" i="26"/>
  <c r="M432" i="55"/>
  <c r="BT195" i="26"/>
  <c r="U196" i="26"/>
  <c r="AF196" i="26" s="1"/>
  <c r="AN196" i="26" s="1"/>
  <c r="D196" i="26"/>
  <c r="E197" i="26" s="1"/>
  <c r="G196" i="26"/>
  <c r="F196" i="26"/>
  <c r="R196" i="26" s="1"/>
  <c r="I196" i="26"/>
  <c r="K196" i="26"/>
  <c r="M196" i="26" s="1"/>
  <c r="N196" i="26" s="1"/>
  <c r="O196" i="26"/>
  <c r="X196" i="26"/>
  <c r="P196" i="26"/>
  <c r="AU195" i="26"/>
  <c r="BK196" i="26" l="1"/>
  <c r="AT196" i="26"/>
  <c r="W433" i="55"/>
  <c r="O433" i="55"/>
  <c r="U433" i="55"/>
  <c r="N432" i="55"/>
  <c r="P433" i="55"/>
  <c r="G433" i="55"/>
  <c r="D433" i="55"/>
  <c r="F433" i="55"/>
  <c r="B197" i="26"/>
  <c r="P197" i="26" s="1"/>
  <c r="H197" i="26"/>
  <c r="AJ196" i="26"/>
  <c r="AK196" i="26" s="1"/>
  <c r="AL196" i="26"/>
  <c r="S196" i="26"/>
  <c r="T196" i="26" s="1"/>
  <c r="O197" i="26"/>
  <c r="A197" i="26"/>
  <c r="C197" i="26"/>
  <c r="U197" i="26" s="1"/>
  <c r="L197" i="26"/>
  <c r="Q197" i="26"/>
  <c r="W197" i="26"/>
  <c r="BL196" i="26" l="1"/>
  <c r="BC196" i="26"/>
  <c r="BT196" i="26" s="1"/>
  <c r="V197" i="26"/>
  <c r="V433" i="55"/>
  <c r="M433" i="55"/>
  <c r="E434" i="55"/>
  <c r="X432" i="55"/>
  <c r="S432" i="55"/>
  <c r="G197" i="26"/>
  <c r="X197" i="26"/>
  <c r="D197" i="26"/>
  <c r="K197" i="26"/>
  <c r="M197" i="26" s="1"/>
  <c r="N197" i="26" s="1"/>
  <c r="I197" i="26"/>
  <c r="AS197" i="26" s="1"/>
  <c r="BJ197" i="26" s="1"/>
  <c r="F197" i="26"/>
  <c r="R197" i="26" s="1"/>
  <c r="AM196" i="26"/>
  <c r="AF197" i="26"/>
  <c r="AN197" i="26" s="1"/>
  <c r="AP197" i="26"/>
  <c r="AL197" i="26" l="1"/>
  <c r="E198" i="26"/>
  <c r="B434" i="55"/>
  <c r="F434" i="55" s="1"/>
  <c r="H434" i="55"/>
  <c r="K434" i="55"/>
  <c r="L434" i="55" s="1"/>
  <c r="A434" i="55"/>
  <c r="C434" i="55"/>
  <c r="Q434" i="55"/>
  <c r="N433" i="55"/>
  <c r="AJ197" i="26"/>
  <c r="AK197" i="26" s="1"/>
  <c r="AV196" i="55"/>
  <c r="S197" i="26"/>
  <c r="T197" i="26" s="1"/>
  <c r="BL197" i="26" s="1"/>
  <c r="AU196" i="26"/>
  <c r="H198" i="26"/>
  <c r="BK197" i="26"/>
  <c r="AO197" i="26"/>
  <c r="AT197" i="26" s="1"/>
  <c r="BC197" i="26" l="1"/>
  <c r="AM197" i="26"/>
  <c r="B198" i="26"/>
  <c r="P198" i="26" s="1"/>
  <c r="P434" i="55"/>
  <c r="Q198" i="26"/>
  <c r="A198" i="26"/>
  <c r="W198" i="26"/>
  <c r="C198" i="26"/>
  <c r="AS198" i="26" s="1"/>
  <c r="BJ198" i="26" s="1"/>
  <c r="L198" i="26"/>
  <c r="D434" i="55"/>
  <c r="M434" i="55" s="1"/>
  <c r="W434" i="55"/>
  <c r="G434" i="55"/>
  <c r="X433" i="55"/>
  <c r="S433" i="55"/>
  <c r="O434" i="55"/>
  <c r="U434" i="55"/>
  <c r="V434" i="55" s="1"/>
  <c r="BT197" i="26"/>
  <c r="G198" i="26"/>
  <c r="D198" i="26"/>
  <c r="O198" i="26"/>
  <c r="I198" i="26"/>
  <c r="K198" i="26"/>
  <c r="M198" i="26" s="1"/>
  <c r="F198" i="26" l="1"/>
  <c r="V198" i="26"/>
  <c r="X198" i="26"/>
  <c r="BK198" i="26" s="1"/>
  <c r="AP198" i="26"/>
  <c r="E199" i="26"/>
  <c r="N434" i="55"/>
  <c r="X434" i="55" s="1"/>
  <c r="E435" i="55"/>
  <c r="B435" i="55" s="1"/>
  <c r="AV197" i="55"/>
  <c r="AU197" i="26"/>
  <c r="AO198" i="26"/>
  <c r="N198" i="26"/>
  <c r="AJ198" i="26"/>
  <c r="AK198" i="26" s="1"/>
  <c r="R198" i="26"/>
  <c r="U198" i="26"/>
  <c r="B199" i="26" l="1"/>
  <c r="G199" i="26" s="1"/>
  <c r="A435" i="55"/>
  <c r="H199" i="26"/>
  <c r="Q435" i="55"/>
  <c r="S434" i="55"/>
  <c r="K435" i="55"/>
  <c r="L435" i="55" s="1"/>
  <c r="AT198" i="26"/>
  <c r="H435" i="55"/>
  <c r="C435" i="55"/>
  <c r="U435" i="55" s="1"/>
  <c r="P435" i="55"/>
  <c r="F435" i="55"/>
  <c r="G435" i="55"/>
  <c r="D435" i="55"/>
  <c r="M435" i="55" s="1"/>
  <c r="AF198" i="26"/>
  <c r="AN198" i="26" s="1"/>
  <c r="S198" i="26"/>
  <c r="T198" i="26" s="1"/>
  <c r="BC198" i="26" s="1"/>
  <c r="O199" i="26"/>
  <c r="AL198" i="26" l="1"/>
  <c r="AM198" i="26" s="1"/>
  <c r="I199" i="26"/>
  <c r="P199" i="26"/>
  <c r="F199" i="26"/>
  <c r="D199" i="26"/>
  <c r="O435" i="55"/>
  <c r="W435" i="55"/>
  <c r="V435" i="55"/>
  <c r="N435" i="55"/>
  <c r="E436" i="55"/>
  <c r="BL198" i="26"/>
  <c r="C199" i="26"/>
  <c r="V199" i="26" s="1"/>
  <c r="A199" i="26"/>
  <c r="L199" i="26"/>
  <c r="Q199" i="26"/>
  <c r="W199" i="26"/>
  <c r="K199" i="26"/>
  <c r="Q436" i="55" l="1"/>
  <c r="B436" i="55"/>
  <c r="F436" i="55" s="1"/>
  <c r="K436" i="55"/>
  <c r="H436" i="55"/>
  <c r="A436" i="55"/>
  <c r="C436" i="55"/>
  <c r="L436" i="55"/>
  <c r="X435" i="55"/>
  <c r="S435" i="55"/>
  <c r="BT198" i="26"/>
  <c r="AV198" i="55"/>
  <c r="AS199" i="26"/>
  <c r="BJ199" i="26" s="1"/>
  <c r="X199" i="26"/>
  <c r="M199" i="26"/>
  <c r="AJ199" i="26" s="1"/>
  <c r="AK199" i="26" s="1"/>
  <c r="E200" i="26"/>
  <c r="AP199" i="26"/>
  <c r="R199" i="26"/>
  <c r="U199" i="26"/>
  <c r="D436" i="55" l="1"/>
  <c r="M436" i="55" s="1"/>
  <c r="N436" i="55" s="1"/>
  <c r="P436" i="55"/>
  <c r="G436" i="55"/>
  <c r="U436" i="55"/>
  <c r="E437" i="55"/>
  <c r="W436" i="55"/>
  <c r="O436" i="55"/>
  <c r="AU198" i="26"/>
  <c r="AF199" i="26"/>
  <c r="AN199" i="26" s="1"/>
  <c r="S199" i="26"/>
  <c r="T199" i="26" s="1"/>
  <c r="BC199" i="26" s="1"/>
  <c r="N199" i="26"/>
  <c r="B200" i="26"/>
  <c r="P200" i="26" s="1"/>
  <c r="AO199" i="26"/>
  <c r="AT199" i="26" s="1"/>
  <c r="BK199" i="26"/>
  <c r="H200" i="26"/>
  <c r="AL199" i="26" l="1"/>
  <c r="AM199" i="26" s="1"/>
  <c r="V436" i="55"/>
  <c r="K437" i="55"/>
  <c r="L437" i="55" s="1"/>
  <c r="H437" i="55"/>
  <c r="Q437" i="55"/>
  <c r="C437" i="55"/>
  <c r="O437" i="55" s="1"/>
  <c r="A437" i="55"/>
  <c r="B437" i="55"/>
  <c r="X436" i="55"/>
  <c r="S436" i="55"/>
  <c r="BL199" i="26"/>
  <c r="G200" i="26"/>
  <c r="O200" i="26"/>
  <c r="F200" i="26"/>
  <c r="D200" i="26"/>
  <c r="I200" i="26"/>
  <c r="A200" i="26"/>
  <c r="C200" i="26"/>
  <c r="L200" i="26"/>
  <c r="Q200" i="26"/>
  <c r="W200" i="26"/>
  <c r="K200" i="26"/>
  <c r="X200" i="26" l="1"/>
  <c r="V200" i="26"/>
  <c r="W437" i="55"/>
  <c r="G437" i="55"/>
  <c r="F437" i="55"/>
  <c r="D437" i="55"/>
  <c r="M437" i="55" s="1"/>
  <c r="P437" i="55"/>
  <c r="BT199" i="26"/>
  <c r="AV199" i="55"/>
  <c r="AS200" i="26"/>
  <c r="BJ200" i="26" s="1"/>
  <c r="AP200" i="26"/>
  <c r="M200" i="26"/>
  <c r="E201" i="26"/>
  <c r="R200" i="26"/>
  <c r="U200" i="26"/>
  <c r="E438" i="55" l="1"/>
  <c r="N437" i="55"/>
  <c r="AU199" i="26"/>
  <c r="S200" i="26"/>
  <c r="T200" i="26" s="1"/>
  <c r="BC200" i="26" s="1"/>
  <c r="AF200" i="26"/>
  <c r="AN200" i="26" s="1"/>
  <c r="B201" i="26"/>
  <c r="P201" i="26" s="1"/>
  <c r="BK200" i="26"/>
  <c r="AO200" i="26"/>
  <c r="AT200" i="26" s="1"/>
  <c r="H201" i="26"/>
  <c r="N200" i="26"/>
  <c r="AJ200" i="26"/>
  <c r="AK200" i="26" s="1"/>
  <c r="AL200" i="26" l="1"/>
  <c r="AM200" i="26" s="1"/>
  <c r="X437" i="55"/>
  <c r="S437" i="55"/>
  <c r="A438" i="55"/>
  <c r="C438" i="55"/>
  <c r="K438" i="55"/>
  <c r="L438" i="55" s="1"/>
  <c r="H438" i="55"/>
  <c r="Q438" i="55"/>
  <c r="B438" i="55"/>
  <c r="D438" i="55" s="1"/>
  <c r="M438" i="55" s="1"/>
  <c r="BL200" i="26"/>
  <c r="G201" i="26"/>
  <c r="D201" i="26"/>
  <c r="I201" i="26"/>
  <c r="K201" i="26"/>
  <c r="F201" i="26"/>
  <c r="O201" i="26"/>
  <c r="A201" i="26"/>
  <c r="C201" i="26"/>
  <c r="V201" i="26" s="1"/>
  <c r="L201" i="26"/>
  <c r="Q201" i="26"/>
  <c r="W201" i="26"/>
  <c r="W438" i="55" l="1"/>
  <c r="N438" i="55"/>
  <c r="P438" i="55"/>
  <c r="F438" i="55"/>
  <c r="G438" i="55"/>
  <c r="O438" i="55"/>
  <c r="U438" i="55"/>
  <c r="V438" i="55" s="1"/>
  <c r="E439" i="55"/>
  <c r="R201" i="26"/>
  <c r="M201" i="26"/>
  <c r="AJ201" i="26" s="1"/>
  <c r="AK201" i="26" s="1"/>
  <c r="BT200" i="26"/>
  <c r="AV200" i="55"/>
  <c r="AS201" i="26"/>
  <c r="BJ201" i="26" s="1"/>
  <c r="AP201" i="26"/>
  <c r="U201" i="26"/>
  <c r="X201" i="26"/>
  <c r="E202" i="26"/>
  <c r="AL201" i="26" l="1"/>
  <c r="AM201" i="26" s="1"/>
  <c r="S201" i="26"/>
  <c r="T201" i="26" s="1"/>
  <c r="K439" i="55"/>
  <c r="L439" i="55" s="1"/>
  <c r="B439" i="55"/>
  <c r="G439" i="55" s="1"/>
  <c r="H439" i="55"/>
  <c r="A439" i="55"/>
  <c r="C439" i="55"/>
  <c r="O439" i="55" s="1"/>
  <c r="Q439" i="55"/>
  <c r="S438" i="55"/>
  <c r="X438" i="55"/>
  <c r="N201" i="26"/>
  <c r="AU200" i="26"/>
  <c r="AF201" i="26"/>
  <c r="AN201" i="26" s="1"/>
  <c r="B202" i="26"/>
  <c r="P202" i="26" s="1"/>
  <c r="H202" i="26"/>
  <c r="BK201" i="26"/>
  <c r="AO201" i="26"/>
  <c r="AT201" i="26" s="1"/>
  <c r="C202" i="26"/>
  <c r="V202" i="26" s="1"/>
  <c r="A202" i="26"/>
  <c r="L202" i="26"/>
  <c r="Q202" i="26"/>
  <c r="W202" i="26"/>
  <c r="BL201" i="26" l="1"/>
  <c r="BC201" i="26"/>
  <c r="W439" i="55"/>
  <c r="D439" i="55"/>
  <c r="M439" i="55" s="1"/>
  <c r="F439" i="55"/>
  <c r="P439" i="55"/>
  <c r="U439" i="55"/>
  <c r="F202" i="26"/>
  <c r="I202" i="26"/>
  <c r="D202" i="26"/>
  <c r="E203" i="26" s="1"/>
  <c r="G202" i="26"/>
  <c r="O202" i="26"/>
  <c r="AS202" i="26"/>
  <c r="BJ202" i="26" s="1"/>
  <c r="AP202" i="26"/>
  <c r="K202" i="26"/>
  <c r="M202" i="26" s="1"/>
  <c r="X202" i="26"/>
  <c r="BT201" i="26" l="1"/>
  <c r="E440" i="55"/>
  <c r="K440" i="55" s="1"/>
  <c r="L440" i="55" s="1"/>
  <c r="AV201" i="55"/>
  <c r="V439" i="55"/>
  <c r="N439" i="55"/>
  <c r="C440" i="55"/>
  <c r="Q440" i="55"/>
  <c r="AU201" i="26"/>
  <c r="B203" i="26"/>
  <c r="I203" i="26" s="1"/>
  <c r="BK202" i="26"/>
  <c r="H203" i="26"/>
  <c r="AO202" i="26"/>
  <c r="AT202" i="26" s="1"/>
  <c r="N202" i="26"/>
  <c r="AJ202" i="26"/>
  <c r="AK202" i="26" s="1"/>
  <c r="R202" i="26"/>
  <c r="U202" i="26"/>
  <c r="H440" i="55" l="1"/>
  <c r="A440" i="55"/>
  <c r="B440" i="55"/>
  <c r="G440" i="55" s="1"/>
  <c r="X439" i="55"/>
  <c r="S439" i="55"/>
  <c r="U440" i="55"/>
  <c r="O440" i="55"/>
  <c r="P440" i="55"/>
  <c r="AF202" i="26"/>
  <c r="AN202" i="26" s="1"/>
  <c r="S202" i="26"/>
  <c r="T202" i="26" s="1"/>
  <c r="BC202" i="26" s="1"/>
  <c r="F203" i="26"/>
  <c r="G203" i="26"/>
  <c r="O203" i="26"/>
  <c r="P203" i="26"/>
  <c r="D203" i="26"/>
  <c r="K203" i="26"/>
  <c r="AL202" i="26" l="1"/>
  <c r="AM202" i="26" s="1"/>
  <c r="F440" i="55"/>
  <c r="W440" i="55"/>
  <c r="D440" i="55"/>
  <c r="M440" i="55" s="1"/>
  <c r="N440" i="55" s="1"/>
  <c r="E441" i="55"/>
  <c r="K441" i="55" s="1"/>
  <c r="L441" i="55" s="1"/>
  <c r="V440" i="55"/>
  <c r="BL202" i="26"/>
  <c r="C203" i="26"/>
  <c r="V203" i="26" s="1"/>
  <c r="A203" i="26"/>
  <c r="L203" i="26"/>
  <c r="M203" i="26" s="1"/>
  <c r="Q203" i="26"/>
  <c r="R203" i="26" s="1"/>
  <c r="W203" i="26"/>
  <c r="Q441" i="55" l="1"/>
  <c r="C441" i="55"/>
  <c r="U441" i="55" s="1"/>
  <c r="B441" i="55"/>
  <c r="F441" i="55" s="1"/>
  <c r="A441" i="55"/>
  <c r="H441" i="55"/>
  <c r="X440" i="55"/>
  <c r="S440" i="55"/>
  <c r="O441" i="55"/>
  <c r="S203" i="26"/>
  <c r="T203" i="26" s="1"/>
  <c r="BT202" i="26"/>
  <c r="AV202" i="55"/>
  <c r="AS203" i="26"/>
  <c r="BJ203" i="26" s="1"/>
  <c r="U203" i="26"/>
  <c r="AP203" i="26"/>
  <c r="N203" i="26"/>
  <c r="AJ203" i="26"/>
  <c r="AK203" i="26" s="1"/>
  <c r="X203" i="26"/>
  <c r="E204" i="26"/>
  <c r="AL203" i="26" l="1"/>
  <c r="AM203" i="26" s="1"/>
  <c r="BL203" i="26"/>
  <c r="BC203" i="26"/>
  <c r="D441" i="55"/>
  <c r="M441" i="55" s="1"/>
  <c r="E442" i="55"/>
  <c r="Q442" i="55" s="1"/>
  <c r="W441" i="55"/>
  <c r="P441" i="55"/>
  <c r="V441" i="55" s="1"/>
  <c r="G441" i="55"/>
  <c r="B442" i="55"/>
  <c r="C442" i="55"/>
  <c r="N441" i="55"/>
  <c r="AU202" i="26"/>
  <c r="AF203" i="26"/>
  <c r="AN203" i="26" s="1"/>
  <c r="B204" i="26"/>
  <c r="P204" i="26" s="1"/>
  <c r="BK203" i="26"/>
  <c r="AO203" i="26"/>
  <c r="AT203" i="26" s="1"/>
  <c r="H204" i="26"/>
  <c r="A204" i="26"/>
  <c r="C204" i="26"/>
  <c r="V204" i="26" s="1"/>
  <c r="L204" i="26"/>
  <c r="Q204" i="26"/>
  <c r="W204" i="26"/>
  <c r="K442" i="55" l="1"/>
  <c r="L442" i="55" s="1"/>
  <c r="A442" i="55"/>
  <c r="H442" i="55"/>
  <c r="X441" i="55"/>
  <c r="S441" i="55"/>
  <c r="P442" i="55"/>
  <c r="F442" i="55"/>
  <c r="W442" i="55"/>
  <c r="G442" i="55"/>
  <c r="O442" i="55"/>
  <c r="U442" i="55"/>
  <c r="D442" i="55"/>
  <c r="K204" i="26"/>
  <c r="M204" i="26" s="1"/>
  <c r="AJ204" i="26" s="1"/>
  <c r="AK204" i="26" s="1"/>
  <c r="G204" i="26"/>
  <c r="O204" i="26"/>
  <c r="D204" i="26"/>
  <c r="E205" i="26" s="1"/>
  <c r="X204" i="26"/>
  <c r="F204" i="26"/>
  <c r="R204" i="26" s="1"/>
  <c r="I204" i="26"/>
  <c r="BT203" i="26"/>
  <c r="AV203" i="55"/>
  <c r="AS204" i="26"/>
  <c r="BJ204" i="26" s="1"/>
  <c r="AP204" i="26"/>
  <c r="U204" i="26"/>
  <c r="V442" i="55" l="1"/>
  <c r="M442" i="55"/>
  <c r="E443" i="55"/>
  <c r="BK204" i="26"/>
  <c r="AU203" i="26"/>
  <c r="AF204" i="26"/>
  <c r="AN204" i="26" s="1"/>
  <c r="S204" i="26"/>
  <c r="T204" i="26" s="1"/>
  <c r="BC204" i="26" s="1"/>
  <c r="N204" i="26"/>
  <c r="B205" i="26"/>
  <c r="P205" i="26" s="1"/>
  <c r="AO204" i="26"/>
  <c r="AT204" i="26" s="1"/>
  <c r="H205" i="26"/>
  <c r="AL204" i="26" l="1"/>
  <c r="AM204" i="26" s="1"/>
  <c r="A443" i="55"/>
  <c r="K443" i="55"/>
  <c r="L443" i="55" s="1"/>
  <c r="C443" i="55"/>
  <c r="Q443" i="55"/>
  <c r="H443" i="55"/>
  <c r="B443" i="55"/>
  <c r="N442" i="55"/>
  <c r="BL204" i="26"/>
  <c r="O205" i="26"/>
  <c r="I205" i="26"/>
  <c r="G205" i="26"/>
  <c r="F205" i="26"/>
  <c r="D205" i="26"/>
  <c r="A205" i="26"/>
  <c r="C205" i="26"/>
  <c r="L205" i="26"/>
  <c r="Q205" i="26"/>
  <c r="W205" i="26"/>
  <c r="K205" i="26"/>
  <c r="X205" i="26" l="1"/>
  <c r="V205" i="26"/>
  <c r="D443" i="55"/>
  <c r="M443" i="55" s="1"/>
  <c r="W443" i="55"/>
  <c r="F443" i="55"/>
  <c r="S442" i="55"/>
  <c r="X442" i="55"/>
  <c r="G443" i="55"/>
  <c r="O443" i="55"/>
  <c r="U443" i="55"/>
  <c r="P443" i="55"/>
  <c r="BT204" i="26"/>
  <c r="AV204" i="55"/>
  <c r="AS205" i="26"/>
  <c r="BJ205" i="26" s="1"/>
  <c r="AP205" i="26"/>
  <c r="M205" i="26"/>
  <c r="E206" i="26"/>
  <c r="R205" i="26"/>
  <c r="U205" i="26"/>
  <c r="E444" i="55" l="1"/>
  <c r="B444" i="55" s="1"/>
  <c r="P444" i="55" s="1"/>
  <c r="V443" i="55"/>
  <c r="N443" i="55"/>
  <c r="AU204" i="26"/>
  <c r="AF205" i="26"/>
  <c r="AN205" i="26" s="1"/>
  <c r="S205" i="26"/>
  <c r="T205" i="26" s="1"/>
  <c r="BC205" i="26" s="1"/>
  <c r="B206" i="26"/>
  <c r="P206" i="26" s="1"/>
  <c r="H206" i="26"/>
  <c r="BK205" i="26"/>
  <c r="AO205" i="26"/>
  <c r="AT205" i="26" s="1"/>
  <c r="N205" i="26"/>
  <c r="AJ205" i="26"/>
  <c r="AK205" i="26" s="1"/>
  <c r="AL205" i="26" l="1"/>
  <c r="AM205" i="26" s="1"/>
  <c r="A444" i="55"/>
  <c r="Q444" i="55"/>
  <c r="K444" i="55"/>
  <c r="L444" i="55" s="1"/>
  <c r="H444" i="55"/>
  <c r="C444" i="55"/>
  <c r="O444" i="55" s="1"/>
  <c r="F444" i="55"/>
  <c r="D444" i="55"/>
  <c r="M444" i="55" s="1"/>
  <c r="X443" i="55"/>
  <c r="S443" i="55"/>
  <c r="E445" i="55"/>
  <c r="A445" i="55" s="1"/>
  <c r="G444" i="55"/>
  <c r="BL205" i="26"/>
  <c r="O206" i="26"/>
  <c r="I206" i="26"/>
  <c r="G206" i="26"/>
  <c r="D206" i="26"/>
  <c r="F206" i="26"/>
  <c r="C206" i="26"/>
  <c r="V206" i="26" s="1"/>
  <c r="A206" i="26"/>
  <c r="L206" i="26"/>
  <c r="Q206" i="26"/>
  <c r="W206" i="26"/>
  <c r="K206" i="26"/>
  <c r="U444" i="55" l="1"/>
  <c r="V444" i="55" s="1"/>
  <c r="W444" i="55"/>
  <c r="H445" i="55"/>
  <c r="Q445" i="55"/>
  <c r="C445" i="55"/>
  <c r="O445" i="55" s="1"/>
  <c r="N444" i="55"/>
  <c r="B445" i="55"/>
  <c r="F445" i="55" s="1"/>
  <c r="K445" i="55"/>
  <c r="L445" i="55" s="1"/>
  <c r="BT205" i="26"/>
  <c r="AV205" i="55"/>
  <c r="AS206" i="26"/>
  <c r="BJ206" i="26" s="1"/>
  <c r="X206" i="26"/>
  <c r="M206" i="26"/>
  <c r="AJ206" i="26" s="1"/>
  <c r="AK206" i="26" s="1"/>
  <c r="AP206" i="26"/>
  <c r="E207" i="26"/>
  <c r="R206" i="26"/>
  <c r="U206" i="26"/>
  <c r="P445" i="55" l="1"/>
  <c r="U445" i="55"/>
  <c r="V445" i="55" s="1"/>
  <c r="W445" i="55"/>
  <c r="D445" i="55"/>
  <c r="M445" i="55" s="1"/>
  <c r="N445" i="55" s="1"/>
  <c r="G445" i="55"/>
  <c r="X444" i="55"/>
  <c r="S444" i="55"/>
  <c r="AU205" i="26"/>
  <c r="S206" i="26"/>
  <c r="T206" i="26" s="1"/>
  <c r="BC206" i="26" s="1"/>
  <c r="AF206" i="26"/>
  <c r="AN206" i="26" s="1"/>
  <c r="N206" i="26"/>
  <c r="B207" i="26"/>
  <c r="P207" i="26" s="1"/>
  <c r="H207" i="26"/>
  <c r="BK206" i="26"/>
  <c r="AO206" i="26"/>
  <c r="AT206" i="26" s="1"/>
  <c r="AL206" i="26" l="1"/>
  <c r="AM206" i="26" s="1"/>
  <c r="E446" i="55"/>
  <c r="K446" i="55" s="1"/>
  <c r="S445" i="55"/>
  <c r="Q446" i="55"/>
  <c r="X445" i="55"/>
  <c r="B446" i="55"/>
  <c r="D446" i="55" s="1"/>
  <c r="M446" i="55" s="1"/>
  <c r="C446" i="55"/>
  <c r="U446" i="55" s="1"/>
  <c r="BL206" i="26"/>
  <c r="I207" i="26"/>
  <c r="D207" i="26"/>
  <c r="F207" i="26"/>
  <c r="G207" i="26"/>
  <c r="K207" i="26"/>
  <c r="O207" i="26"/>
  <c r="C207" i="26"/>
  <c r="V207" i="26" s="1"/>
  <c r="A207" i="26"/>
  <c r="L207" i="26"/>
  <c r="Q207" i="26"/>
  <c r="W207" i="26"/>
  <c r="H446" i="55" l="1"/>
  <c r="A446" i="55"/>
  <c r="L446" i="55"/>
  <c r="O446" i="55"/>
  <c r="P446" i="55"/>
  <c r="V446" i="55" s="1"/>
  <c r="W446" i="55"/>
  <c r="E447" i="55"/>
  <c r="N446" i="55"/>
  <c r="F446" i="55"/>
  <c r="G446" i="55"/>
  <c r="R207" i="26"/>
  <c r="M207" i="26"/>
  <c r="N207" i="26" s="1"/>
  <c r="BT206" i="26"/>
  <c r="AV206" i="55"/>
  <c r="AS207" i="26"/>
  <c r="BJ207" i="26" s="1"/>
  <c r="AP207" i="26"/>
  <c r="X207" i="26"/>
  <c r="E208" i="26"/>
  <c r="U207" i="26"/>
  <c r="AL207" i="26" l="1"/>
  <c r="AM207" i="26" s="1"/>
  <c r="Q447" i="55"/>
  <c r="K447" i="55"/>
  <c r="L447" i="55" s="1"/>
  <c r="C447" i="55"/>
  <c r="O447" i="55" s="1"/>
  <c r="H447" i="55"/>
  <c r="S446" i="55"/>
  <c r="X446" i="55"/>
  <c r="A447" i="55"/>
  <c r="B447" i="55"/>
  <c r="D447" i="55" s="1"/>
  <c r="AJ207" i="26"/>
  <c r="AK207" i="26" s="1"/>
  <c r="S207" i="26"/>
  <c r="T207" i="26" s="1"/>
  <c r="BC207" i="26" s="1"/>
  <c r="AU206" i="26"/>
  <c r="AF207" i="26"/>
  <c r="AN207" i="26" s="1"/>
  <c r="B208" i="26"/>
  <c r="P208" i="26" s="1"/>
  <c r="H208" i="26"/>
  <c r="BK207" i="26"/>
  <c r="AO207" i="26"/>
  <c r="AT207" i="26" s="1"/>
  <c r="A208" i="26"/>
  <c r="C208" i="26"/>
  <c r="V208" i="26" s="1"/>
  <c r="L208" i="26"/>
  <c r="Q208" i="26"/>
  <c r="W208" i="26"/>
  <c r="U447" i="55" l="1"/>
  <c r="E448" i="55"/>
  <c r="A448" i="55" s="1"/>
  <c r="P447" i="55"/>
  <c r="W447" i="55"/>
  <c r="F447" i="55"/>
  <c r="G447" i="55"/>
  <c r="M447" i="55"/>
  <c r="N447" i="55" s="1"/>
  <c r="S447" i="55" s="1"/>
  <c r="BL207" i="26"/>
  <c r="AV207" i="55"/>
  <c r="K208" i="26"/>
  <c r="M208" i="26" s="1"/>
  <c r="I208" i="26"/>
  <c r="F208" i="26"/>
  <c r="R208" i="26" s="1"/>
  <c r="G208" i="26"/>
  <c r="D208" i="26"/>
  <c r="O208" i="26"/>
  <c r="AS208" i="26"/>
  <c r="BJ208" i="26" s="1"/>
  <c r="AO208" i="26"/>
  <c r="U208" i="26"/>
  <c r="AP208" i="26"/>
  <c r="X208" i="26"/>
  <c r="V447" i="55" l="1"/>
  <c r="H448" i="55"/>
  <c r="K448" i="55"/>
  <c r="L448" i="55" s="1"/>
  <c r="B448" i="55"/>
  <c r="P448" i="55" s="1"/>
  <c r="Q448" i="55"/>
  <c r="C448" i="55"/>
  <c r="U448" i="55" s="1"/>
  <c r="X447" i="55"/>
  <c r="BT207" i="26"/>
  <c r="AL208" i="26"/>
  <c r="AU207" i="26"/>
  <c r="S208" i="26"/>
  <c r="T208" i="26" s="1"/>
  <c r="AF208" i="26"/>
  <c r="AN208" i="26" s="1"/>
  <c r="E209" i="26"/>
  <c r="AT208" i="26"/>
  <c r="BK208" i="26"/>
  <c r="N208" i="26"/>
  <c r="AJ208" i="26"/>
  <c r="AK208" i="26" s="1"/>
  <c r="BL208" i="26" l="1"/>
  <c r="BC208" i="26"/>
  <c r="V448" i="55"/>
  <c r="D448" i="55"/>
  <c r="E449" i="55" s="1"/>
  <c r="Q449" i="55" s="1"/>
  <c r="G448" i="55"/>
  <c r="W448" i="55"/>
  <c r="F448" i="55"/>
  <c r="O448" i="55"/>
  <c r="AM208" i="26"/>
  <c r="W209" i="26"/>
  <c r="C209" i="26"/>
  <c r="V209" i="26" s="1"/>
  <c r="L209" i="26"/>
  <c r="H209" i="26"/>
  <c r="Q209" i="26"/>
  <c r="A209" i="26"/>
  <c r="B209" i="26"/>
  <c r="I209" i="26" s="1"/>
  <c r="A449" i="55" l="1"/>
  <c r="C449" i="55"/>
  <c r="O449" i="55" s="1"/>
  <c r="H449" i="55"/>
  <c r="M448" i="55"/>
  <c r="N448" i="55" s="1"/>
  <c r="S448" i="55" s="1"/>
  <c r="B449" i="55"/>
  <c r="D449" i="55" s="1"/>
  <c r="M449" i="55" s="1"/>
  <c r="K449" i="55"/>
  <c r="L449" i="55" s="1"/>
  <c r="F449" i="55"/>
  <c r="AS209" i="26"/>
  <c r="BJ209" i="26" s="1"/>
  <c r="X209" i="26"/>
  <c r="F209" i="26"/>
  <c r="R209" i="26" s="1"/>
  <c r="K209" i="26"/>
  <c r="M209" i="26" s="1"/>
  <c r="AJ209" i="26" s="1"/>
  <c r="AK209" i="26" s="1"/>
  <c r="AP209" i="26"/>
  <c r="G209" i="26"/>
  <c r="P209" i="26"/>
  <c r="AU208" i="26"/>
  <c r="O209" i="26"/>
  <c r="D209" i="26"/>
  <c r="E210" i="26" s="1"/>
  <c r="BT208" i="26"/>
  <c r="AV208" i="55"/>
  <c r="U209" i="26"/>
  <c r="X448" i="55" l="1"/>
  <c r="E450" i="55"/>
  <c r="K450" i="55" s="1"/>
  <c r="L450" i="55" s="1"/>
  <c r="N449" i="55"/>
  <c r="X449" i="55" s="1"/>
  <c r="G449" i="55"/>
  <c r="W449" i="55"/>
  <c r="P449" i="55"/>
  <c r="BK209" i="26"/>
  <c r="B210" i="26"/>
  <c r="P210" i="26" s="1"/>
  <c r="N209" i="26"/>
  <c r="AO209" i="26"/>
  <c r="AT209" i="26" s="1"/>
  <c r="H210" i="26"/>
  <c r="S209" i="26"/>
  <c r="T209" i="26" s="1"/>
  <c r="BC209" i="26" s="1"/>
  <c r="AF209" i="26"/>
  <c r="AN209" i="26" s="1"/>
  <c r="AL209" i="26" l="1"/>
  <c r="AM209" i="26" s="1"/>
  <c r="A450" i="55"/>
  <c r="H450" i="55"/>
  <c r="Q450" i="55"/>
  <c r="B450" i="55"/>
  <c r="F450" i="55" s="1"/>
  <c r="S449" i="55"/>
  <c r="C450" i="55"/>
  <c r="O450" i="55" s="1"/>
  <c r="O210" i="26"/>
  <c r="F210" i="26"/>
  <c r="K210" i="26"/>
  <c r="D210" i="26"/>
  <c r="G450" i="55"/>
  <c r="G210" i="26"/>
  <c r="I210" i="26"/>
  <c r="BL209" i="26"/>
  <c r="C210" i="26"/>
  <c r="V210" i="26" s="1"/>
  <c r="A210" i="26"/>
  <c r="L210" i="26"/>
  <c r="Q210" i="26"/>
  <c r="W210" i="26"/>
  <c r="U450" i="55" l="1"/>
  <c r="P450" i="55"/>
  <c r="D450" i="55"/>
  <c r="W450" i="55"/>
  <c r="R210" i="26"/>
  <c r="M210" i="26"/>
  <c r="N210" i="26" s="1"/>
  <c r="BT209" i="26"/>
  <c r="AV209" i="55"/>
  <c r="AS210" i="26"/>
  <c r="BJ210" i="26" s="1"/>
  <c r="AP210" i="26"/>
  <c r="X210" i="26"/>
  <c r="E211" i="26"/>
  <c r="U210" i="26"/>
  <c r="AL210" i="26" l="1"/>
  <c r="AM210" i="26" s="1"/>
  <c r="V450" i="55"/>
  <c r="S210" i="26"/>
  <c r="T210" i="26" s="1"/>
  <c r="M450" i="55"/>
  <c r="E451" i="55"/>
  <c r="AJ210" i="26"/>
  <c r="AK210" i="26" s="1"/>
  <c r="AU209" i="26"/>
  <c r="AF210" i="26"/>
  <c r="AN210" i="26" s="1"/>
  <c r="B211" i="26"/>
  <c r="P211" i="26" s="1"/>
  <c r="H211" i="26"/>
  <c r="AO210" i="26"/>
  <c r="AT210" i="26" s="1"/>
  <c r="BK210" i="26"/>
  <c r="C211" i="26"/>
  <c r="V211" i="26" s="1"/>
  <c r="A211" i="26"/>
  <c r="L211" i="26"/>
  <c r="Q211" i="26"/>
  <c r="W211" i="26"/>
  <c r="BL210" i="26" l="1"/>
  <c r="BC210" i="26"/>
  <c r="N450" i="55"/>
  <c r="K451" i="55"/>
  <c r="L451" i="55" s="1"/>
  <c r="A451" i="55"/>
  <c r="H451" i="55"/>
  <c r="C451" i="55"/>
  <c r="Q451" i="55"/>
  <c r="B451" i="55"/>
  <c r="G451" i="55" s="1"/>
  <c r="K211" i="26"/>
  <c r="M211" i="26" s="1"/>
  <c r="AJ211" i="26" s="1"/>
  <c r="AK211" i="26" s="1"/>
  <c r="X211" i="26"/>
  <c r="BK211" i="26" s="1"/>
  <c r="G211" i="26"/>
  <c r="I211" i="26"/>
  <c r="O211" i="26"/>
  <c r="AS211" i="26"/>
  <c r="BJ211" i="26" s="1"/>
  <c r="F211" i="26"/>
  <c r="R211" i="26" s="1"/>
  <c r="D211" i="26"/>
  <c r="E212" i="26" s="1"/>
  <c r="AP211" i="26"/>
  <c r="AO211" i="26"/>
  <c r="BT210" i="26"/>
  <c r="U211" i="26"/>
  <c r="AV210" i="55" l="1"/>
  <c r="O451" i="55"/>
  <c r="U451" i="55"/>
  <c r="F451" i="55"/>
  <c r="P451" i="55"/>
  <c r="D451" i="55"/>
  <c r="M451" i="55" s="1"/>
  <c r="X450" i="55"/>
  <c r="S450" i="55"/>
  <c r="W451" i="55"/>
  <c r="AU210" i="26"/>
  <c r="AT211" i="26"/>
  <c r="S211" i="26"/>
  <c r="T211" i="26" s="1"/>
  <c r="BC211" i="26" s="1"/>
  <c r="AF211" i="26"/>
  <c r="AN211" i="26" s="1"/>
  <c r="B212" i="26"/>
  <c r="P212" i="26" s="1"/>
  <c r="N211" i="26"/>
  <c r="H212" i="26"/>
  <c r="AL211" i="26" l="1"/>
  <c r="AM211" i="26" s="1"/>
  <c r="E452" i="55"/>
  <c r="C452" i="55" s="1"/>
  <c r="U452" i="55" s="1"/>
  <c r="N451" i="55"/>
  <c r="V451" i="55"/>
  <c r="BL211" i="26"/>
  <c r="O212" i="26"/>
  <c r="F212" i="26"/>
  <c r="G212" i="26"/>
  <c r="D212" i="26"/>
  <c r="I212" i="26"/>
  <c r="K212" i="26"/>
  <c r="A212" i="26"/>
  <c r="C212" i="26"/>
  <c r="L212" i="26"/>
  <c r="Q212" i="26"/>
  <c r="W212" i="26"/>
  <c r="U212" i="26" l="1"/>
  <c r="V212" i="26"/>
  <c r="A452" i="55"/>
  <c r="B452" i="55"/>
  <c r="Q452" i="55"/>
  <c r="K452" i="55"/>
  <c r="L452" i="55" s="1"/>
  <c r="H452" i="55"/>
  <c r="X451" i="55"/>
  <c r="S451" i="55"/>
  <c r="O452" i="55"/>
  <c r="M212" i="26"/>
  <c r="N212" i="26" s="1"/>
  <c r="R212" i="26"/>
  <c r="BT211" i="26"/>
  <c r="AV211" i="55"/>
  <c r="AS212" i="26"/>
  <c r="BJ212" i="26" s="1"/>
  <c r="AF212" i="26"/>
  <c r="AN212" i="26" s="1"/>
  <c r="AP212" i="26"/>
  <c r="X212" i="26"/>
  <c r="E213" i="26"/>
  <c r="AL212" i="26" l="1"/>
  <c r="AM212" i="26" s="1"/>
  <c r="G452" i="55"/>
  <c r="W452" i="55"/>
  <c r="D452" i="55"/>
  <c r="F452" i="55"/>
  <c r="P452" i="55"/>
  <c r="V452" i="55" s="1"/>
  <c r="AJ212" i="26"/>
  <c r="AK212" i="26" s="1"/>
  <c r="AU211" i="26"/>
  <c r="S212" i="26"/>
  <c r="T212" i="26" s="1"/>
  <c r="BC212" i="26" s="1"/>
  <c r="B213" i="26"/>
  <c r="P213" i="26" s="1"/>
  <c r="BK212" i="26"/>
  <c r="AO212" i="26"/>
  <c r="AT212" i="26" s="1"/>
  <c r="H213" i="26"/>
  <c r="A213" i="26"/>
  <c r="C213" i="26"/>
  <c r="V213" i="26" s="1"/>
  <c r="L213" i="26"/>
  <c r="Q213" i="26"/>
  <c r="W213" i="26"/>
  <c r="E453" i="55" l="1"/>
  <c r="M452" i="55"/>
  <c r="BL212" i="26"/>
  <c r="BT212" i="26"/>
  <c r="I213" i="26"/>
  <c r="K213" i="26"/>
  <c r="M213" i="26" s="1"/>
  <c r="AJ213" i="26" s="1"/>
  <c r="AK213" i="26" s="1"/>
  <c r="O213" i="26"/>
  <c r="F213" i="26"/>
  <c r="R213" i="26" s="1"/>
  <c r="G213" i="26"/>
  <c r="D213" i="26"/>
  <c r="E214" i="26" s="1"/>
  <c r="AS213" i="26"/>
  <c r="BJ213" i="26" s="1"/>
  <c r="AP213" i="26"/>
  <c r="X213" i="26"/>
  <c r="U213" i="26"/>
  <c r="N452" i="55" l="1"/>
  <c r="Q453" i="55"/>
  <c r="B453" i="55"/>
  <c r="P453" i="55" s="1"/>
  <c r="H453" i="55"/>
  <c r="K453" i="55"/>
  <c r="L453" i="55" s="1"/>
  <c r="C453" i="55"/>
  <c r="O453" i="55" s="1"/>
  <c r="A453" i="55"/>
  <c r="AU212" i="26"/>
  <c r="AV212" i="55"/>
  <c r="AF213" i="26"/>
  <c r="AN213" i="26" s="1"/>
  <c r="S213" i="26"/>
  <c r="T213" i="26" s="1"/>
  <c r="N213" i="26"/>
  <c r="B214" i="26"/>
  <c r="P214" i="26" s="1"/>
  <c r="BK213" i="26"/>
  <c r="AO213" i="26"/>
  <c r="AT213" i="26" s="1"/>
  <c r="H214" i="26"/>
  <c r="AL213" i="26" l="1"/>
  <c r="AM213" i="26" s="1"/>
  <c r="BL213" i="26"/>
  <c r="BC213" i="26"/>
  <c r="D453" i="55"/>
  <c r="E454" i="55" s="1"/>
  <c r="A454" i="55" s="1"/>
  <c r="G453" i="55"/>
  <c r="F453" i="55"/>
  <c r="W453" i="55"/>
  <c r="X452" i="55"/>
  <c r="S452" i="55"/>
  <c r="K454" i="55"/>
  <c r="L454" i="55" s="1"/>
  <c r="B454" i="55"/>
  <c r="P454" i="55" s="1"/>
  <c r="Q454" i="55"/>
  <c r="U453" i="55"/>
  <c r="V453" i="55" s="1"/>
  <c r="M453" i="55"/>
  <c r="G214" i="26"/>
  <c r="D214" i="26"/>
  <c r="O214" i="26"/>
  <c r="I214" i="26"/>
  <c r="F214" i="26"/>
  <c r="C214" i="26"/>
  <c r="V214" i="26" s="1"/>
  <c r="A214" i="26"/>
  <c r="L214" i="26"/>
  <c r="W214" i="26"/>
  <c r="Q214" i="26"/>
  <c r="G454" i="55" l="1"/>
  <c r="C454" i="55"/>
  <c r="W454" i="55" s="1"/>
  <c r="H454" i="55"/>
  <c r="N453" i="55"/>
  <c r="D454" i="55"/>
  <c r="F454" i="55"/>
  <c r="BT213" i="26"/>
  <c r="AV213" i="55"/>
  <c r="AS214" i="26"/>
  <c r="BJ214" i="26" s="1"/>
  <c r="E215" i="26"/>
  <c r="AP214" i="26"/>
  <c r="K214" i="26"/>
  <c r="M214" i="26" s="1"/>
  <c r="X214" i="26"/>
  <c r="O454" i="55" l="1"/>
  <c r="U454" i="55"/>
  <c r="V454" i="55" s="1"/>
  <c r="M454" i="55"/>
  <c r="E455" i="55"/>
  <c r="X453" i="55"/>
  <c r="S453" i="55"/>
  <c r="AU213" i="26"/>
  <c r="B215" i="26"/>
  <c r="P215" i="26" s="1"/>
  <c r="BK214" i="26"/>
  <c r="AO214" i="26"/>
  <c r="AT214" i="26" s="1"/>
  <c r="H215" i="26"/>
  <c r="N214" i="26"/>
  <c r="AJ214" i="26"/>
  <c r="AK214" i="26" s="1"/>
  <c r="R214" i="26"/>
  <c r="U214" i="26"/>
  <c r="H455" i="55" l="1"/>
  <c r="B455" i="55"/>
  <c r="A455" i="55"/>
  <c r="Q455" i="55"/>
  <c r="C455" i="55"/>
  <c r="K455" i="55"/>
  <c r="L455" i="55" s="1"/>
  <c r="N454" i="55"/>
  <c r="D215" i="26"/>
  <c r="S214" i="26"/>
  <c r="T214" i="26" s="1"/>
  <c r="BC214" i="26" s="1"/>
  <c r="AF214" i="26"/>
  <c r="AN214" i="26" s="1"/>
  <c r="F215" i="26"/>
  <c r="G215" i="26"/>
  <c r="I215" i="26"/>
  <c r="O215" i="26"/>
  <c r="K215" i="26"/>
  <c r="AL214" i="26" l="1"/>
  <c r="AM214" i="26" s="1"/>
  <c r="X454" i="55"/>
  <c r="S454" i="55"/>
  <c r="F455" i="55"/>
  <c r="D455" i="55"/>
  <c r="P455" i="55"/>
  <c r="W455" i="55"/>
  <c r="G455" i="55"/>
  <c r="O455" i="55"/>
  <c r="U455" i="55"/>
  <c r="V455" i="55" s="1"/>
  <c r="BL214" i="26"/>
  <c r="C215" i="26"/>
  <c r="V215" i="26" s="1"/>
  <c r="A215" i="26"/>
  <c r="L215" i="26"/>
  <c r="M215" i="26" s="1"/>
  <c r="Q215" i="26"/>
  <c r="R215" i="26" s="1"/>
  <c r="W215" i="26"/>
  <c r="M455" i="55" l="1"/>
  <c r="E456" i="55"/>
  <c r="S215" i="26"/>
  <c r="T215" i="26" s="1"/>
  <c r="BT214" i="26"/>
  <c r="AV214" i="55"/>
  <c r="U215" i="26"/>
  <c r="AS215" i="26"/>
  <c r="BJ215" i="26" s="1"/>
  <c r="AP215" i="26"/>
  <c r="N215" i="26"/>
  <c r="AJ215" i="26"/>
  <c r="AK215" i="26" s="1"/>
  <c r="X215" i="26"/>
  <c r="E216" i="26"/>
  <c r="AL215" i="26" l="1"/>
  <c r="AM215" i="26" s="1"/>
  <c r="BL215" i="26"/>
  <c r="BC215" i="26"/>
  <c r="K456" i="55"/>
  <c r="L456" i="55" s="1"/>
  <c r="B456" i="55"/>
  <c r="D456" i="55" s="1"/>
  <c r="C456" i="55"/>
  <c r="A456" i="55"/>
  <c r="Q456" i="55"/>
  <c r="H456" i="55"/>
  <c r="F456" i="55"/>
  <c r="N455" i="55"/>
  <c r="AU214" i="26"/>
  <c r="AF215" i="26"/>
  <c r="AN215" i="26" s="1"/>
  <c r="B216" i="26"/>
  <c r="P216" i="26" s="1"/>
  <c r="H216" i="26"/>
  <c r="AO215" i="26"/>
  <c r="AT215" i="26" s="1"/>
  <c r="BK215" i="26"/>
  <c r="Q216" i="26"/>
  <c r="P456" i="55" l="1"/>
  <c r="U456" i="55"/>
  <c r="E457" i="55"/>
  <c r="O456" i="55"/>
  <c r="X455" i="55"/>
  <c r="S455" i="55"/>
  <c r="W456" i="55"/>
  <c r="G456" i="55"/>
  <c r="M456" i="55"/>
  <c r="G216" i="26"/>
  <c r="D216" i="26"/>
  <c r="K216" i="26"/>
  <c r="I216" i="26"/>
  <c r="F216" i="26"/>
  <c r="R216" i="26" s="1"/>
  <c r="O216" i="26"/>
  <c r="BT215" i="26"/>
  <c r="AV215" i="55"/>
  <c r="W216" i="26"/>
  <c r="L216" i="26"/>
  <c r="A216" i="26"/>
  <c r="C216" i="26"/>
  <c r="V216" i="26" s="1"/>
  <c r="V456" i="55" l="1"/>
  <c r="Q457" i="55"/>
  <c r="H457" i="55"/>
  <c r="K457" i="55"/>
  <c r="L457" i="55" s="1"/>
  <c r="B457" i="55"/>
  <c r="G457" i="55" s="1"/>
  <c r="A457" i="55"/>
  <c r="C457" i="55"/>
  <c r="O457" i="55" s="1"/>
  <c r="N456" i="55"/>
  <c r="M216" i="26"/>
  <c r="N216" i="26" s="1"/>
  <c r="AU215" i="26"/>
  <c r="S216" i="26"/>
  <c r="T216" i="26" s="1"/>
  <c r="BC216" i="26" s="1"/>
  <c r="AS216" i="26"/>
  <c r="BJ216" i="26" s="1"/>
  <c r="AP216" i="26"/>
  <c r="X216" i="26"/>
  <c r="E217" i="26"/>
  <c r="U216" i="26"/>
  <c r="P457" i="55" l="1"/>
  <c r="W457" i="55"/>
  <c r="U457" i="55"/>
  <c r="V457" i="55" s="1"/>
  <c r="F457" i="55"/>
  <c r="S456" i="55"/>
  <c r="X456" i="55"/>
  <c r="D457" i="55"/>
  <c r="M457" i="55" s="1"/>
  <c r="AJ216" i="26"/>
  <c r="AK216" i="26" s="1"/>
  <c r="BL216" i="26"/>
  <c r="AV216" i="55"/>
  <c r="AF216" i="26"/>
  <c r="AN216" i="26" s="1"/>
  <c r="B217" i="26"/>
  <c r="P217" i="26" s="1"/>
  <c r="H217" i="26"/>
  <c r="BK216" i="26"/>
  <c r="AO216" i="26"/>
  <c r="AT216" i="26" s="1"/>
  <c r="AL216" i="26"/>
  <c r="L217" i="26"/>
  <c r="N457" i="55" l="1"/>
  <c r="E458" i="55"/>
  <c r="AM216" i="26"/>
  <c r="G217" i="26"/>
  <c r="D217" i="26"/>
  <c r="I217" i="26"/>
  <c r="O217" i="26"/>
  <c r="F217" i="26"/>
  <c r="BT216" i="26"/>
  <c r="W217" i="26"/>
  <c r="K217" i="26"/>
  <c r="M217" i="26" s="1"/>
  <c r="Q217" i="26"/>
  <c r="A217" i="26"/>
  <c r="C217" i="26"/>
  <c r="V217" i="26" s="1"/>
  <c r="A458" i="55" l="1"/>
  <c r="B458" i="55"/>
  <c r="G458" i="55" s="1"/>
  <c r="H458" i="55"/>
  <c r="C458" i="55"/>
  <c r="Q458" i="55"/>
  <c r="K458" i="55"/>
  <c r="L458" i="55" s="1"/>
  <c r="X457" i="55"/>
  <c r="S457" i="55"/>
  <c r="AU216" i="26"/>
  <c r="R217" i="26"/>
  <c r="AS217" i="26"/>
  <c r="BJ217" i="26" s="1"/>
  <c r="AP217" i="26"/>
  <c r="N217" i="26"/>
  <c r="AJ217" i="26"/>
  <c r="AK217" i="26" s="1"/>
  <c r="X217" i="26"/>
  <c r="E218" i="26"/>
  <c r="U217" i="26"/>
  <c r="P458" i="55" l="1"/>
  <c r="O458" i="55"/>
  <c r="W458" i="55"/>
  <c r="F458" i="55"/>
  <c r="U458" i="55"/>
  <c r="V458" i="55" s="1"/>
  <c r="D458" i="55"/>
  <c r="M458" i="55" s="1"/>
  <c r="S217" i="26"/>
  <c r="T217" i="26" s="1"/>
  <c r="BC217" i="26" s="1"/>
  <c r="AF217" i="26"/>
  <c r="AN217" i="26" s="1"/>
  <c r="B218" i="26"/>
  <c r="D218" i="26" s="1"/>
  <c r="H218" i="26"/>
  <c r="BK217" i="26"/>
  <c r="AO217" i="26"/>
  <c r="AT217" i="26" s="1"/>
  <c r="AL217" i="26"/>
  <c r="AM217" i="26" l="1"/>
  <c r="N458" i="55"/>
  <c r="E459" i="55"/>
  <c r="BL217" i="26"/>
  <c r="AV217" i="55"/>
  <c r="F218" i="26"/>
  <c r="O218" i="26"/>
  <c r="I218" i="26"/>
  <c r="P218" i="26"/>
  <c r="G218" i="26"/>
  <c r="C218" i="26"/>
  <c r="V218" i="26" s="1"/>
  <c r="A218" i="26"/>
  <c r="W218" i="26"/>
  <c r="K218" i="26"/>
  <c r="L218" i="26"/>
  <c r="Q218" i="26"/>
  <c r="Q459" i="55" l="1"/>
  <c r="H459" i="55"/>
  <c r="B459" i="55"/>
  <c r="P459" i="55" s="1"/>
  <c r="C459" i="55"/>
  <c r="K459" i="55"/>
  <c r="L459" i="55" s="1"/>
  <c r="A459" i="55"/>
  <c r="S458" i="55"/>
  <c r="X458" i="55"/>
  <c r="BT217" i="26"/>
  <c r="R218" i="26"/>
  <c r="U218" i="26"/>
  <c r="AS218" i="26"/>
  <c r="BJ218" i="26" s="1"/>
  <c r="X218" i="26"/>
  <c r="E219" i="26"/>
  <c r="AP218" i="26"/>
  <c r="M218" i="26"/>
  <c r="G459" i="55" l="1"/>
  <c r="W459" i="55"/>
  <c r="F459" i="55"/>
  <c r="O459" i="55"/>
  <c r="U459" i="55"/>
  <c r="V459" i="55" s="1"/>
  <c r="D459" i="55"/>
  <c r="M459" i="55" s="1"/>
  <c r="S218" i="26"/>
  <c r="T218" i="26" s="1"/>
  <c r="BC218" i="26" s="1"/>
  <c r="AU217" i="26"/>
  <c r="AF218" i="26"/>
  <c r="AN218" i="26" s="1"/>
  <c r="B219" i="26"/>
  <c r="P219" i="26" s="1"/>
  <c r="BK218" i="26"/>
  <c r="AO218" i="26"/>
  <c r="AT218" i="26" s="1"/>
  <c r="H219" i="26"/>
  <c r="N218" i="26"/>
  <c r="AJ218" i="26"/>
  <c r="AK218" i="26" s="1"/>
  <c r="AL218" i="26" l="1"/>
  <c r="AM218" i="26" s="1"/>
  <c r="N459" i="55"/>
  <c r="E460" i="55"/>
  <c r="BL218" i="26"/>
  <c r="BT218" i="26"/>
  <c r="F219" i="26"/>
  <c r="D219" i="26"/>
  <c r="G219" i="26"/>
  <c r="O219" i="26"/>
  <c r="I219" i="26"/>
  <c r="C219" i="26"/>
  <c r="V219" i="26" s="1"/>
  <c r="A219" i="26"/>
  <c r="L219" i="26"/>
  <c r="K219" i="26"/>
  <c r="Q219" i="26"/>
  <c r="W219" i="26"/>
  <c r="Q460" i="55" l="1"/>
  <c r="H460" i="55"/>
  <c r="C460" i="55"/>
  <c r="K460" i="55"/>
  <c r="L460" i="55" s="1"/>
  <c r="B460" i="55"/>
  <c r="D460" i="55" s="1"/>
  <c r="A460" i="55"/>
  <c r="F460" i="55"/>
  <c r="M460" i="55"/>
  <c r="N460" i="55" s="1"/>
  <c r="X459" i="55"/>
  <c r="S459" i="55"/>
  <c r="AV218" i="55"/>
  <c r="R219" i="26"/>
  <c r="AS219" i="26"/>
  <c r="BJ219" i="26" s="1"/>
  <c r="M219" i="26"/>
  <c r="N219" i="26" s="1"/>
  <c r="E220" i="26"/>
  <c r="AP219" i="26"/>
  <c r="U219" i="26"/>
  <c r="X219" i="26"/>
  <c r="P460" i="55" l="1"/>
  <c r="X460" i="55"/>
  <c r="G460" i="55"/>
  <c r="U460" i="55"/>
  <c r="V460" i="55" s="1"/>
  <c r="E461" i="55"/>
  <c r="W460" i="55"/>
  <c r="O460" i="55"/>
  <c r="S460" i="55" s="1"/>
  <c r="AU218" i="26"/>
  <c r="S219" i="26"/>
  <c r="T219" i="26" s="1"/>
  <c r="BC219" i="26" s="1"/>
  <c r="AF219" i="26"/>
  <c r="AN219" i="26" s="1"/>
  <c r="AJ219" i="26"/>
  <c r="AK219" i="26" s="1"/>
  <c r="B220" i="26"/>
  <c r="P220" i="26" s="1"/>
  <c r="AO219" i="26"/>
  <c r="AT219" i="26" s="1"/>
  <c r="BK219" i="26"/>
  <c r="H220" i="26"/>
  <c r="AL219" i="26" l="1"/>
  <c r="AM219" i="26" s="1"/>
  <c r="Q461" i="55"/>
  <c r="A461" i="55"/>
  <c r="B461" i="55"/>
  <c r="D461" i="55" s="1"/>
  <c r="M461" i="55" s="1"/>
  <c r="N461" i="55" s="1"/>
  <c r="K461" i="55"/>
  <c r="L461" i="55" s="1"/>
  <c r="C461" i="55"/>
  <c r="H461" i="55"/>
  <c r="O461" i="55"/>
  <c r="BL219" i="26"/>
  <c r="AV219" i="55"/>
  <c r="G220" i="26"/>
  <c r="D220" i="26"/>
  <c r="I220" i="26"/>
  <c r="F220" i="26"/>
  <c r="O220" i="26"/>
  <c r="A220" i="26"/>
  <c r="C220" i="26"/>
  <c r="V220" i="26" s="1"/>
  <c r="W220" i="26"/>
  <c r="L220" i="26"/>
  <c r="K220" i="26"/>
  <c r="Q220" i="26"/>
  <c r="X461" i="55" l="1"/>
  <c r="G461" i="55"/>
  <c r="P461" i="55"/>
  <c r="S461" i="55"/>
  <c r="W461" i="55"/>
  <c r="F461" i="55"/>
  <c r="E462" i="55"/>
  <c r="BT219" i="26"/>
  <c r="R220" i="26"/>
  <c r="AS220" i="26"/>
  <c r="BJ220" i="26" s="1"/>
  <c r="M220" i="26"/>
  <c r="N220" i="26" s="1"/>
  <c r="AP220" i="26"/>
  <c r="X220" i="26"/>
  <c r="E221" i="26"/>
  <c r="U220" i="26"/>
  <c r="Q462" i="55" l="1"/>
  <c r="H462" i="55"/>
  <c r="B462" i="55"/>
  <c r="G462" i="55" s="1"/>
  <c r="C462" i="55"/>
  <c r="U462" i="55" s="1"/>
  <c r="K462" i="55"/>
  <c r="L462" i="55" s="1"/>
  <c r="A462" i="55"/>
  <c r="AU219" i="26"/>
  <c r="AF220" i="26"/>
  <c r="AN220" i="26" s="1"/>
  <c r="S220" i="26"/>
  <c r="T220" i="26" s="1"/>
  <c r="BC220" i="26" s="1"/>
  <c r="B221" i="26"/>
  <c r="P221" i="26" s="1"/>
  <c r="AJ220" i="26"/>
  <c r="AK220" i="26" s="1"/>
  <c r="BK220" i="26"/>
  <c r="AO220" i="26"/>
  <c r="AT220" i="26" s="1"/>
  <c r="H221" i="26"/>
  <c r="AL220" i="26" l="1"/>
  <c r="AM220" i="26" s="1"/>
  <c r="O462" i="55"/>
  <c r="W462" i="55"/>
  <c r="D462" i="55"/>
  <c r="E463" i="55" s="1"/>
  <c r="P462" i="55"/>
  <c r="V462" i="55" s="1"/>
  <c r="F462" i="55"/>
  <c r="BL220" i="26"/>
  <c r="AV220" i="55"/>
  <c r="F221" i="26"/>
  <c r="D221" i="26"/>
  <c r="O221" i="26"/>
  <c r="I221" i="26"/>
  <c r="G221" i="26"/>
  <c r="A221" i="26"/>
  <c r="C221" i="26"/>
  <c r="V221" i="26" s="1"/>
  <c r="W221" i="26"/>
  <c r="K221" i="26"/>
  <c r="L221" i="26"/>
  <c r="Q221" i="26"/>
  <c r="M462" i="55" l="1"/>
  <c r="N462" i="55" s="1"/>
  <c r="H463" i="55"/>
  <c r="A463" i="55"/>
  <c r="Q463" i="55"/>
  <c r="C463" i="55"/>
  <c r="K463" i="55"/>
  <c r="L463" i="55" s="1"/>
  <c r="B463" i="55"/>
  <c r="D463" i="55" s="1"/>
  <c r="M463" i="55" s="1"/>
  <c r="R221" i="26"/>
  <c r="BT220" i="26"/>
  <c r="AS221" i="26"/>
  <c r="BJ221" i="26" s="1"/>
  <c r="E222" i="26"/>
  <c r="AP221" i="26"/>
  <c r="X221" i="26"/>
  <c r="U221" i="26"/>
  <c r="M221" i="26"/>
  <c r="N463" i="55" l="1"/>
  <c r="P463" i="55"/>
  <c r="G463" i="55"/>
  <c r="F463" i="55"/>
  <c r="W463" i="55"/>
  <c r="O463" i="55"/>
  <c r="E464" i="55"/>
  <c r="S462" i="55"/>
  <c r="X462" i="55"/>
  <c r="U463" i="55"/>
  <c r="V463" i="55" s="1"/>
  <c r="S221" i="26"/>
  <c r="T221" i="26" s="1"/>
  <c r="AU220" i="26"/>
  <c r="AF221" i="26"/>
  <c r="AN221" i="26" s="1"/>
  <c r="B222" i="26"/>
  <c r="P222" i="26" s="1"/>
  <c r="BK221" i="26"/>
  <c r="AO221" i="26"/>
  <c r="AT221" i="26" s="1"/>
  <c r="H222" i="26"/>
  <c r="N221" i="26"/>
  <c r="AJ221" i="26"/>
  <c r="AK221" i="26" s="1"/>
  <c r="AL221" i="26" l="1"/>
  <c r="AM221" i="26" s="1"/>
  <c r="BL221" i="26"/>
  <c r="BC221" i="26"/>
  <c r="AV221" i="55" s="1"/>
  <c r="C464" i="55"/>
  <c r="O464" i="55" s="1"/>
  <c r="H464" i="55"/>
  <c r="Q464" i="55"/>
  <c r="A464" i="55"/>
  <c r="B464" i="55"/>
  <c r="F464" i="55" s="1"/>
  <c r="K464" i="55"/>
  <c r="L464" i="55" s="1"/>
  <c r="U464" i="55"/>
  <c r="G464" i="55"/>
  <c r="S463" i="55"/>
  <c r="X463" i="55"/>
  <c r="F222" i="26"/>
  <c r="G222" i="26"/>
  <c r="D222" i="26"/>
  <c r="I222" i="26"/>
  <c r="O222" i="26"/>
  <c r="C222" i="26"/>
  <c r="V222" i="26" s="1"/>
  <c r="A222" i="26"/>
  <c r="L222" i="26"/>
  <c r="W222" i="26"/>
  <c r="K222" i="26"/>
  <c r="Q222" i="26"/>
  <c r="M222" i="26" l="1"/>
  <c r="N222" i="26" s="1"/>
  <c r="P464" i="55"/>
  <c r="V464" i="55" s="1"/>
  <c r="W464" i="55"/>
  <c r="D464" i="55"/>
  <c r="BT221" i="26"/>
  <c r="R222" i="26"/>
  <c r="U222" i="26"/>
  <c r="AS222" i="26"/>
  <c r="BJ222" i="26" s="1"/>
  <c r="AP222" i="26"/>
  <c r="X222" i="26"/>
  <c r="E223" i="26"/>
  <c r="AJ222" i="26" l="1"/>
  <c r="AK222" i="26" s="1"/>
  <c r="E465" i="55"/>
  <c r="M464" i="55"/>
  <c r="S222" i="26"/>
  <c r="T222" i="26" s="1"/>
  <c r="AU221" i="26"/>
  <c r="AF222" i="26"/>
  <c r="AN222" i="26" s="1"/>
  <c r="B223" i="26"/>
  <c r="I223" i="26" s="1"/>
  <c r="H223" i="26"/>
  <c r="BK222" i="26"/>
  <c r="AO222" i="26"/>
  <c r="AT222" i="26" s="1"/>
  <c r="AL222" i="26" l="1"/>
  <c r="AM222" i="26" s="1"/>
  <c r="BL222" i="26"/>
  <c r="BC222" i="26"/>
  <c r="N464" i="55"/>
  <c r="C465" i="55"/>
  <c r="Q465" i="55"/>
  <c r="A465" i="55"/>
  <c r="K465" i="55"/>
  <c r="L465" i="55" s="1"/>
  <c r="B465" i="55"/>
  <c r="P465" i="55" s="1"/>
  <c r="H465" i="55"/>
  <c r="BT222" i="26"/>
  <c r="K223" i="26"/>
  <c r="P223" i="26"/>
  <c r="O223" i="26"/>
  <c r="F223" i="26"/>
  <c r="G223" i="26"/>
  <c r="D223" i="26"/>
  <c r="C223" i="26"/>
  <c r="V223" i="26" s="1"/>
  <c r="A223" i="26"/>
  <c r="Q223" i="26"/>
  <c r="W223" i="26"/>
  <c r="L223" i="26"/>
  <c r="D465" i="55" l="1"/>
  <c r="M465" i="55" s="1"/>
  <c r="W465" i="55"/>
  <c r="O465" i="55"/>
  <c r="U465" i="55"/>
  <c r="V465" i="55" s="1"/>
  <c r="G465" i="55"/>
  <c r="F465" i="55"/>
  <c r="S464" i="55"/>
  <c r="X464" i="55"/>
  <c r="M223" i="26"/>
  <c r="N223" i="26" s="1"/>
  <c r="AV222" i="55"/>
  <c r="R223" i="26"/>
  <c r="U223" i="26"/>
  <c r="AS223" i="26"/>
  <c r="BJ223" i="26" s="1"/>
  <c r="AP223" i="26"/>
  <c r="X223" i="26"/>
  <c r="E224" i="26"/>
  <c r="E466" i="55" l="1"/>
  <c r="N465" i="55"/>
  <c r="X465" i="55" s="1"/>
  <c r="AJ223" i="26"/>
  <c r="AK223" i="26" s="1"/>
  <c r="AU222" i="26"/>
  <c r="AF223" i="26"/>
  <c r="AN223" i="26" s="1"/>
  <c r="S223" i="26"/>
  <c r="T223" i="26" s="1"/>
  <c r="BC223" i="26" s="1"/>
  <c r="B224" i="26"/>
  <c r="G224" i="26" s="1"/>
  <c r="H224" i="26"/>
  <c r="BK223" i="26"/>
  <c r="AO223" i="26"/>
  <c r="AT223" i="26" s="1"/>
  <c r="AL223" i="26"/>
  <c r="A224" i="26"/>
  <c r="C224" i="26"/>
  <c r="V224" i="26" s="1"/>
  <c r="L224" i="26"/>
  <c r="Q224" i="26"/>
  <c r="W224" i="26"/>
  <c r="AM223" i="26" l="1"/>
  <c r="S465" i="55"/>
  <c r="C466" i="55"/>
  <c r="U466" i="55" s="1"/>
  <c r="B466" i="55"/>
  <c r="P466" i="55" s="1"/>
  <c r="Q466" i="55"/>
  <c r="H466" i="55"/>
  <c r="A466" i="55"/>
  <c r="K466" i="55"/>
  <c r="L466" i="55" s="1"/>
  <c r="BL223" i="26"/>
  <c r="K224" i="26"/>
  <c r="M224" i="26" s="1"/>
  <c r="F224" i="26"/>
  <c r="R224" i="26" s="1"/>
  <c r="O224" i="26"/>
  <c r="P224" i="26"/>
  <c r="X224" i="26"/>
  <c r="BK224" i="26" s="1"/>
  <c r="D224" i="26"/>
  <c r="E225" i="26" s="1"/>
  <c r="I224" i="26"/>
  <c r="AS224" i="26"/>
  <c r="BJ224" i="26" s="1"/>
  <c r="AO224" i="26"/>
  <c r="AP224" i="26"/>
  <c r="U224" i="26"/>
  <c r="G466" i="55" l="1"/>
  <c r="D466" i="55"/>
  <c r="M466" i="55" s="1"/>
  <c r="O466" i="55"/>
  <c r="W466" i="55"/>
  <c r="V466" i="55"/>
  <c r="F466" i="55"/>
  <c r="BT223" i="26"/>
  <c r="AF224" i="26"/>
  <c r="AN224" i="26" s="1"/>
  <c r="S224" i="26"/>
  <c r="T224" i="26" s="1"/>
  <c r="AV223" i="55"/>
  <c r="AT224" i="26"/>
  <c r="B225" i="26"/>
  <c r="P225" i="26" s="1"/>
  <c r="H225" i="26"/>
  <c r="N224" i="26"/>
  <c r="AJ224" i="26"/>
  <c r="AK224" i="26" s="1"/>
  <c r="AL224" i="26" l="1"/>
  <c r="AM224" i="26" s="1"/>
  <c r="BL224" i="26"/>
  <c r="BC224" i="26"/>
  <c r="E467" i="55"/>
  <c r="K467" i="55" s="1"/>
  <c r="L467" i="55" s="1"/>
  <c r="N466" i="55"/>
  <c r="B467" i="55"/>
  <c r="G467" i="55" s="1"/>
  <c r="AU223" i="26"/>
  <c r="O225" i="26"/>
  <c r="I225" i="26"/>
  <c r="F225" i="26"/>
  <c r="G225" i="26"/>
  <c r="D225" i="26"/>
  <c r="A225" i="26"/>
  <c r="C225" i="26"/>
  <c r="L225" i="26"/>
  <c r="Q225" i="26"/>
  <c r="W225" i="26"/>
  <c r="K225" i="26"/>
  <c r="C467" i="55" l="1"/>
  <c r="U467" i="55" s="1"/>
  <c r="AS225" i="26"/>
  <c r="BJ225" i="26" s="1"/>
  <c r="V225" i="26"/>
  <c r="H467" i="55"/>
  <c r="Q467" i="55"/>
  <c r="A467" i="55"/>
  <c r="O467" i="55"/>
  <c r="S466" i="55"/>
  <c r="X466" i="55"/>
  <c r="F467" i="55"/>
  <c r="D467" i="55"/>
  <c r="M467" i="55" s="1"/>
  <c r="P467" i="55"/>
  <c r="W467" i="55"/>
  <c r="X225" i="26"/>
  <c r="BT224" i="26"/>
  <c r="AV224" i="55"/>
  <c r="AP225" i="26"/>
  <c r="E226" i="26"/>
  <c r="M225" i="26"/>
  <c r="R225" i="26"/>
  <c r="U225" i="26"/>
  <c r="V467" i="55" l="1"/>
  <c r="E468" i="55"/>
  <c r="Q468" i="55" s="1"/>
  <c r="N467" i="55"/>
  <c r="B468" i="55"/>
  <c r="P468" i="55" s="1"/>
  <c r="AU224" i="26"/>
  <c r="S225" i="26"/>
  <c r="T225" i="26" s="1"/>
  <c r="BC225" i="26" s="1"/>
  <c r="AF225" i="26"/>
  <c r="AN225" i="26" s="1"/>
  <c r="B226" i="26"/>
  <c r="D226" i="26" s="1"/>
  <c r="H226" i="26"/>
  <c r="BK225" i="26"/>
  <c r="AO225" i="26"/>
  <c r="AT225" i="26" s="1"/>
  <c r="N225" i="26"/>
  <c r="AJ225" i="26"/>
  <c r="AK225" i="26" s="1"/>
  <c r="AL225" i="26"/>
  <c r="AM225" i="26" l="1"/>
  <c r="K468" i="55"/>
  <c r="L468" i="55" s="1"/>
  <c r="A468" i="55"/>
  <c r="H468" i="55"/>
  <c r="C468" i="55"/>
  <c r="U468" i="55" s="1"/>
  <c r="V468" i="55" s="1"/>
  <c r="G468" i="55"/>
  <c r="D468" i="55"/>
  <c r="F468" i="55"/>
  <c r="S467" i="55"/>
  <c r="X467" i="55"/>
  <c r="BL225" i="26"/>
  <c r="I226" i="26"/>
  <c r="K226" i="26"/>
  <c r="P226" i="26"/>
  <c r="G226" i="26"/>
  <c r="O226" i="26"/>
  <c r="F226" i="26"/>
  <c r="C226" i="26"/>
  <c r="V226" i="26" s="1"/>
  <c r="A226" i="26"/>
  <c r="L226" i="26"/>
  <c r="Q226" i="26"/>
  <c r="W226" i="26"/>
  <c r="W468" i="55" l="1"/>
  <c r="E469" i="55"/>
  <c r="C469" i="55" s="1"/>
  <c r="O468" i="55"/>
  <c r="A469" i="55"/>
  <c r="M468" i="55"/>
  <c r="R226" i="26"/>
  <c r="M226" i="26"/>
  <c r="AJ226" i="26" s="1"/>
  <c r="AK226" i="26" s="1"/>
  <c r="BT225" i="26"/>
  <c r="AV225" i="55"/>
  <c r="AS226" i="26"/>
  <c r="BJ226" i="26" s="1"/>
  <c r="AP226" i="26"/>
  <c r="U226" i="26"/>
  <c r="X226" i="26"/>
  <c r="E227" i="26"/>
  <c r="AL226" i="26" l="1"/>
  <c r="AM226" i="26" s="1"/>
  <c r="O469" i="55"/>
  <c r="K469" i="55"/>
  <c r="L469" i="55" s="1"/>
  <c r="U469" i="55"/>
  <c r="H469" i="55"/>
  <c r="Q469" i="55"/>
  <c r="B469" i="55"/>
  <c r="F469" i="55" s="1"/>
  <c r="P469" i="55"/>
  <c r="N468" i="55"/>
  <c r="N226" i="26"/>
  <c r="S226" i="26"/>
  <c r="T226" i="26" s="1"/>
  <c r="AU225" i="26"/>
  <c r="AF226" i="26"/>
  <c r="AN226" i="26" s="1"/>
  <c r="B227" i="26"/>
  <c r="P227" i="26" s="1"/>
  <c r="H227" i="26"/>
  <c r="BK226" i="26"/>
  <c r="AO226" i="26"/>
  <c r="AT226" i="26" s="1"/>
  <c r="C227" i="26"/>
  <c r="V227" i="26" s="1"/>
  <c r="A227" i="26"/>
  <c r="L227" i="26"/>
  <c r="Q227" i="26"/>
  <c r="W227" i="26"/>
  <c r="BL226" i="26" l="1"/>
  <c r="BC226" i="26"/>
  <c r="W469" i="55"/>
  <c r="G469" i="55"/>
  <c r="D469" i="55"/>
  <c r="V469" i="55"/>
  <c r="X468" i="55"/>
  <c r="S468" i="55"/>
  <c r="K227" i="26"/>
  <c r="M227" i="26" s="1"/>
  <c r="F227" i="26"/>
  <c r="R227" i="26" s="1"/>
  <c r="D227" i="26"/>
  <c r="E228" i="26" s="1"/>
  <c r="G227" i="26"/>
  <c r="AP227" i="26"/>
  <c r="O227" i="26"/>
  <c r="I227" i="26"/>
  <c r="AS227" i="26"/>
  <c r="BJ227" i="26" s="1"/>
  <c r="X227" i="26"/>
  <c r="AO227" i="26"/>
  <c r="U227" i="26"/>
  <c r="BT226" i="26" l="1"/>
  <c r="M469" i="55"/>
  <c r="E470" i="55"/>
  <c r="AV226" i="55"/>
  <c r="AU226" i="26"/>
  <c r="AF227" i="26"/>
  <c r="AN227" i="26" s="1"/>
  <c r="S227" i="26"/>
  <c r="T227" i="26" s="1"/>
  <c r="BC227" i="26" s="1"/>
  <c r="AT227" i="26"/>
  <c r="B228" i="26"/>
  <c r="P228" i="26" s="1"/>
  <c r="BK227" i="26"/>
  <c r="H228" i="26"/>
  <c r="N227" i="26"/>
  <c r="AJ227" i="26"/>
  <c r="AK227" i="26" s="1"/>
  <c r="AL227" i="26" l="1"/>
  <c r="AM227" i="26" s="1"/>
  <c r="H470" i="55"/>
  <c r="B470" i="55"/>
  <c r="P470" i="55" s="1"/>
  <c r="A470" i="55"/>
  <c r="C470" i="55"/>
  <c r="O470" i="55" s="1"/>
  <c r="K470" i="55"/>
  <c r="L470" i="55" s="1"/>
  <c r="Q470" i="55"/>
  <c r="D470" i="55"/>
  <c r="M470" i="55" s="1"/>
  <c r="N469" i="55"/>
  <c r="BL227" i="26"/>
  <c r="F228" i="26"/>
  <c r="O228" i="26"/>
  <c r="G228" i="26"/>
  <c r="D228" i="26"/>
  <c r="I228" i="26"/>
  <c r="A228" i="26"/>
  <c r="C228" i="26"/>
  <c r="V228" i="26" s="1"/>
  <c r="L228" i="26"/>
  <c r="Q228" i="26"/>
  <c r="W228" i="26"/>
  <c r="K228" i="26"/>
  <c r="U470" i="55" l="1"/>
  <c r="V470" i="55" s="1"/>
  <c r="X469" i="55"/>
  <c r="S469" i="55"/>
  <c r="W470" i="55"/>
  <c r="G470" i="55"/>
  <c r="N470" i="55"/>
  <c r="F470" i="55"/>
  <c r="E471" i="55"/>
  <c r="X470" i="55"/>
  <c r="BT227" i="26"/>
  <c r="AV227" i="55"/>
  <c r="AS228" i="26"/>
  <c r="BJ228" i="26" s="1"/>
  <c r="AP228" i="26"/>
  <c r="E229" i="26"/>
  <c r="X228" i="26"/>
  <c r="M228" i="26"/>
  <c r="R228" i="26"/>
  <c r="U228" i="26"/>
  <c r="S470" i="55" l="1"/>
  <c r="A471" i="55"/>
  <c r="C471" i="55"/>
  <c r="O471" i="55" s="1"/>
  <c r="Q471" i="55"/>
  <c r="K471" i="55"/>
  <c r="L471" i="55" s="1"/>
  <c r="B471" i="55"/>
  <c r="G471" i="55" s="1"/>
  <c r="H471" i="55"/>
  <c r="U471" i="55"/>
  <c r="AU227" i="26"/>
  <c r="AF228" i="26"/>
  <c r="AN228" i="26" s="1"/>
  <c r="S228" i="26"/>
  <c r="T228" i="26" s="1"/>
  <c r="BC228" i="26" s="1"/>
  <c r="B229" i="26"/>
  <c r="P229" i="26" s="1"/>
  <c r="H229" i="26"/>
  <c r="BK228" i="26"/>
  <c r="AO228" i="26"/>
  <c r="AT228" i="26" s="1"/>
  <c r="N228" i="26"/>
  <c r="AJ228" i="26"/>
  <c r="AK228" i="26" s="1"/>
  <c r="AL228" i="26"/>
  <c r="AM228" i="26" l="1"/>
  <c r="D471" i="55"/>
  <c r="W471" i="55"/>
  <c r="P471" i="55"/>
  <c r="V471" i="55" s="1"/>
  <c r="F471" i="55"/>
  <c r="BL228" i="26"/>
  <c r="I229" i="26"/>
  <c r="D229" i="26"/>
  <c r="G229" i="26"/>
  <c r="O229" i="26"/>
  <c r="F229" i="26"/>
  <c r="A229" i="26"/>
  <c r="C229" i="26"/>
  <c r="V229" i="26" s="1"/>
  <c r="L229" i="26"/>
  <c r="Q229" i="26"/>
  <c r="W229" i="26"/>
  <c r="E472" i="55" l="1"/>
  <c r="M471" i="55"/>
  <c r="BT228" i="26"/>
  <c r="AV228" i="55"/>
  <c r="AS229" i="26"/>
  <c r="BJ229" i="26" s="1"/>
  <c r="AP229" i="26"/>
  <c r="E230" i="26"/>
  <c r="K229" i="26"/>
  <c r="M229" i="26" s="1"/>
  <c r="X229" i="26"/>
  <c r="N471" i="55" l="1"/>
  <c r="B472" i="55"/>
  <c r="D472" i="55" s="1"/>
  <c r="Q472" i="55"/>
  <c r="A472" i="55"/>
  <c r="H472" i="55"/>
  <c r="K472" i="55"/>
  <c r="L472" i="55" s="1"/>
  <c r="C472" i="55"/>
  <c r="U472" i="55" s="1"/>
  <c r="AU228" i="26"/>
  <c r="B230" i="26"/>
  <c r="P230" i="26" s="1"/>
  <c r="H230" i="26"/>
  <c r="BK229" i="26"/>
  <c r="AO229" i="26"/>
  <c r="AT229" i="26" s="1"/>
  <c r="N229" i="26"/>
  <c r="AJ229" i="26"/>
  <c r="AK229" i="26" s="1"/>
  <c r="R229" i="26"/>
  <c r="U229" i="26"/>
  <c r="P472" i="55" l="1"/>
  <c r="V472" i="55" s="1"/>
  <c r="O472" i="55"/>
  <c r="M472" i="55"/>
  <c r="W472" i="55"/>
  <c r="E473" i="55"/>
  <c r="F472" i="55"/>
  <c r="G472" i="55"/>
  <c r="X471" i="55"/>
  <c r="S471" i="55"/>
  <c r="I230" i="26"/>
  <c r="S229" i="26"/>
  <c r="T229" i="26" s="1"/>
  <c r="BC229" i="26" s="1"/>
  <c r="AF229" i="26"/>
  <c r="AN229" i="26" s="1"/>
  <c r="F230" i="26"/>
  <c r="O230" i="26"/>
  <c r="G230" i="26"/>
  <c r="D230" i="26"/>
  <c r="AL229" i="26" l="1"/>
  <c r="AM229" i="26" s="1"/>
  <c r="N472" i="55"/>
  <c r="C473" i="55"/>
  <c r="Q473" i="55"/>
  <c r="K473" i="55"/>
  <c r="L473" i="55" s="1"/>
  <c r="B473" i="55"/>
  <c r="F473" i="55" s="1"/>
  <c r="H473" i="55"/>
  <c r="A473" i="55"/>
  <c r="W473" i="55"/>
  <c r="D473" i="55"/>
  <c r="BL229" i="26"/>
  <c r="C230" i="26"/>
  <c r="A230" i="26"/>
  <c r="L230" i="26"/>
  <c r="W230" i="26"/>
  <c r="Q230" i="26"/>
  <c r="K230" i="26"/>
  <c r="G473" i="55" l="1"/>
  <c r="M473" i="55"/>
  <c r="N473" i="55" s="1"/>
  <c r="X473" i="55" s="1"/>
  <c r="P473" i="55"/>
  <c r="S472" i="55"/>
  <c r="X472" i="55"/>
  <c r="X230" i="26"/>
  <c r="V230" i="26"/>
  <c r="O473" i="55"/>
  <c r="S473" i="55" s="1"/>
  <c r="E474" i="55"/>
  <c r="BT229" i="26"/>
  <c r="AV229" i="55"/>
  <c r="AS230" i="26"/>
  <c r="BJ230" i="26" s="1"/>
  <c r="M230" i="26"/>
  <c r="AJ230" i="26" s="1"/>
  <c r="AK230" i="26" s="1"/>
  <c r="E231" i="26"/>
  <c r="AP230" i="26"/>
  <c r="R230" i="26"/>
  <c r="U230" i="26"/>
  <c r="K474" i="55" l="1"/>
  <c r="L474" i="55" s="1"/>
  <c r="H474" i="55"/>
  <c r="B474" i="55"/>
  <c r="P474" i="55" s="1"/>
  <c r="C474" i="55"/>
  <c r="O474" i="55" s="1"/>
  <c r="A474" i="55"/>
  <c r="Q474" i="55"/>
  <c r="D474" i="55"/>
  <c r="M474" i="55" s="1"/>
  <c r="G474" i="55"/>
  <c r="N230" i="26"/>
  <c r="AU229" i="26"/>
  <c r="S230" i="26"/>
  <c r="T230" i="26" s="1"/>
  <c r="BC230" i="26" s="1"/>
  <c r="AF230" i="26"/>
  <c r="AN230" i="26" s="1"/>
  <c r="B231" i="26"/>
  <c r="D231" i="26" s="1"/>
  <c r="BK230" i="26"/>
  <c r="AO230" i="26"/>
  <c r="AT230" i="26" s="1"/>
  <c r="H231" i="26"/>
  <c r="AL230" i="26" l="1"/>
  <c r="AM230" i="26" s="1"/>
  <c r="F474" i="55"/>
  <c r="W474" i="55"/>
  <c r="N474" i="55"/>
  <c r="U474" i="55"/>
  <c r="V474" i="55" s="1"/>
  <c r="E475" i="55"/>
  <c r="BL230" i="26"/>
  <c r="F231" i="26"/>
  <c r="I231" i="26"/>
  <c r="O231" i="26"/>
  <c r="G231" i="26"/>
  <c r="P231" i="26"/>
  <c r="C231" i="26"/>
  <c r="V231" i="26" s="1"/>
  <c r="A231" i="26"/>
  <c r="L231" i="26"/>
  <c r="Q231" i="26"/>
  <c r="W231" i="26"/>
  <c r="K231" i="26"/>
  <c r="K475" i="55" l="1"/>
  <c r="L475" i="55" s="1"/>
  <c r="Q475" i="55"/>
  <c r="C475" i="55"/>
  <c r="U475" i="55" s="1"/>
  <c r="B475" i="55"/>
  <c r="G475" i="55" s="1"/>
  <c r="H475" i="55"/>
  <c r="A475" i="55"/>
  <c r="X474" i="55"/>
  <c r="S474" i="55"/>
  <c r="BT230" i="26"/>
  <c r="AV230" i="55"/>
  <c r="AS231" i="26"/>
  <c r="BJ231" i="26" s="1"/>
  <c r="E232" i="26"/>
  <c r="AP231" i="26"/>
  <c r="X231" i="26"/>
  <c r="M231" i="26"/>
  <c r="N231" i="26" s="1"/>
  <c r="R231" i="26"/>
  <c r="U231" i="26"/>
  <c r="P475" i="55" l="1"/>
  <c r="V475" i="55" s="1"/>
  <c r="O475" i="55"/>
  <c r="F475" i="55"/>
  <c r="D475" i="55"/>
  <c r="W475" i="55"/>
  <c r="AU230" i="26"/>
  <c r="AF231" i="26"/>
  <c r="AN231" i="26" s="1"/>
  <c r="S231" i="26"/>
  <c r="T231" i="26" s="1"/>
  <c r="BC231" i="26" s="1"/>
  <c r="B232" i="26"/>
  <c r="P232" i="26" s="1"/>
  <c r="AJ231" i="26"/>
  <c r="AK231" i="26" s="1"/>
  <c r="BK231" i="26"/>
  <c r="AO231" i="26"/>
  <c r="AT231" i="26" s="1"/>
  <c r="H232" i="26"/>
  <c r="AL231" i="26"/>
  <c r="AM231" i="26" l="1"/>
  <c r="E476" i="55"/>
  <c r="M475" i="55"/>
  <c r="BL231" i="26"/>
  <c r="G232" i="26"/>
  <c r="I232" i="26"/>
  <c r="D232" i="26"/>
  <c r="F232" i="26"/>
  <c r="O232" i="26"/>
  <c r="A232" i="26"/>
  <c r="C232" i="26"/>
  <c r="V232" i="26" s="1"/>
  <c r="K232" i="26"/>
  <c r="L232" i="26"/>
  <c r="Q232" i="26"/>
  <c r="W232" i="26"/>
  <c r="N475" i="55" l="1"/>
  <c r="B476" i="55"/>
  <c r="F476" i="55" s="1"/>
  <c r="Q476" i="55"/>
  <c r="K476" i="55"/>
  <c r="L476" i="55" s="1"/>
  <c r="A476" i="55"/>
  <c r="H476" i="55"/>
  <c r="C476" i="55"/>
  <c r="U476" i="55" s="1"/>
  <c r="V476" i="55" s="1"/>
  <c r="P476" i="55"/>
  <c r="R232" i="26"/>
  <c r="BT231" i="26"/>
  <c r="AV231" i="55"/>
  <c r="U232" i="26"/>
  <c r="AS232" i="26"/>
  <c r="BJ232" i="26" s="1"/>
  <c r="AP232" i="26"/>
  <c r="X232" i="26"/>
  <c r="E233" i="26"/>
  <c r="M232" i="26"/>
  <c r="AL232" i="26" l="1"/>
  <c r="AM232" i="26" s="1"/>
  <c r="G476" i="55"/>
  <c r="M476" i="55"/>
  <c r="D476" i="55"/>
  <c r="W476" i="55"/>
  <c r="O476" i="55"/>
  <c r="E477" i="55"/>
  <c r="X475" i="55"/>
  <c r="S475" i="55"/>
  <c r="S232" i="26"/>
  <c r="T232" i="26" s="1"/>
  <c r="AU231" i="26"/>
  <c r="AF232" i="26"/>
  <c r="AN232" i="26" s="1"/>
  <c r="B233" i="26"/>
  <c r="F233" i="26" s="1"/>
  <c r="H233" i="26"/>
  <c r="BK232" i="26"/>
  <c r="AO232" i="26"/>
  <c r="AT232" i="26" s="1"/>
  <c r="N232" i="26"/>
  <c r="AJ232" i="26"/>
  <c r="AK232" i="26" s="1"/>
  <c r="A233" i="26"/>
  <c r="C233" i="26"/>
  <c r="V233" i="26" s="1"/>
  <c r="L233" i="26"/>
  <c r="Q233" i="26"/>
  <c r="W233" i="26"/>
  <c r="BL232" i="26" l="1"/>
  <c r="BC232" i="26"/>
  <c r="A477" i="55"/>
  <c r="K477" i="55"/>
  <c r="L477" i="55" s="1"/>
  <c r="C477" i="55"/>
  <c r="Q477" i="55"/>
  <c r="H477" i="55"/>
  <c r="B477" i="55"/>
  <c r="D477" i="55" s="1"/>
  <c r="U477" i="55"/>
  <c r="M477" i="55"/>
  <c r="N476" i="55"/>
  <c r="BT232" i="26"/>
  <c r="AO233" i="26"/>
  <c r="G233" i="26"/>
  <c r="I233" i="26"/>
  <c r="AS233" i="26" s="1"/>
  <c r="BJ233" i="26" s="1"/>
  <c r="O233" i="26"/>
  <c r="K233" i="26"/>
  <c r="M233" i="26" s="1"/>
  <c r="D233" i="26"/>
  <c r="E234" i="26" s="1"/>
  <c r="P233" i="26"/>
  <c r="AP233" i="26"/>
  <c r="R233" i="26"/>
  <c r="U233" i="26"/>
  <c r="X233" i="26"/>
  <c r="S476" i="55" l="1"/>
  <c r="X476" i="55"/>
  <c r="W477" i="55"/>
  <c r="G477" i="55"/>
  <c r="P477" i="55"/>
  <c r="V477" i="55" s="1"/>
  <c r="O477" i="55"/>
  <c r="E478" i="55"/>
  <c r="N477" i="55"/>
  <c r="F477" i="55"/>
  <c r="AV232" i="55"/>
  <c r="BK233" i="26"/>
  <c r="AU232" i="26"/>
  <c r="AF233" i="26"/>
  <c r="AN233" i="26" s="1"/>
  <c r="S233" i="26"/>
  <c r="T233" i="26" s="1"/>
  <c r="BC233" i="26" s="1"/>
  <c r="AT233" i="26"/>
  <c r="B234" i="26"/>
  <c r="P234" i="26" s="1"/>
  <c r="H234" i="26"/>
  <c r="N233" i="26"/>
  <c r="AJ233" i="26"/>
  <c r="AK233" i="26" s="1"/>
  <c r="C234" i="26"/>
  <c r="V234" i="26" s="1"/>
  <c r="A234" i="26"/>
  <c r="L234" i="26"/>
  <c r="Q234" i="26"/>
  <c r="W234" i="26"/>
  <c r="AL233" i="26" l="1"/>
  <c r="AM233" i="26" s="1"/>
  <c r="S477" i="55"/>
  <c r="X477" i="55"/>
  <c r="A478" i="55"/>
  <c r="B478" i="55"/>
  <c r="F478" i="55" s="1"/>
  <c r="C478" i="55"/>
  <c r="Q478" i="55"/>
  <c r="G478" i="55"/>
  <c r="K478" i="55"/>
  <c r="L478" i="55" s="1"/>
  <c r="H478" i="55"/>
  <c r="O478" i="55"/>
  <c r="F234" i="26"/>
  <c r="R234" i="26" s="1"/>
  <c r="BL233" i="26"/>
  <c r="AV233" i="55"/>
  <c r="X234" i="26"/>
  <c r="BK234" i="26" s="1"/>
  <c r="K234" i="26"/>
  <c r="M234" i="26" s="1"/>
  <c r="AJ234" i="26" s="1"/>
  <c r="AK234" i="26" s="1"/>
  <c r="G234" i="26"/>
  <c r="D234" i="26"/>
  <c r="E235" i="26" s="1"/>
  <c r="I234" i="26"/>
  <c r="O234" i="26"/>
  <c r="AS234" i="26"/>
  <c r="BJ234" i="26" s="1"/>
  <c r="AO234" i="26"/>
  <c r="AP234" i="26"/>
  <c r="U234" i="26"/>
  <c r="P478" i="55" l="1"/>
  <c r="D478" i="55"/>
  <c r="M478" i="55" s="1"/>
  <c r="U478" i="55"/>
  <c r="V478" i="55" s="1"/>
  <c r="E479" i="55"/>
  <c r="W478" i="55"/>
  <c r="AF234" i="26"/>
  <c r="AN234" i="26" s="1"/>
  <c r="S234" i="26"/>
  <c r="T234" i="26" s="1"/>
  <c r="BT233" i="26"/>
  <c r="N234" i="26"/>
  <c r="AT234" i="26"/>
  <c r="B235" i="26"/>
  <c r="P235" i="26" s="1"/>
  <c r="H235" i="26"/>
  <c r="AL234" i="26"/>
  <c r="BL234" i="26" l="1"/>
  <c r="BC234" i="26"/>
  <c r="AM234" i="26"/>
  <c r="N478" i="55"/>
  <c r="C479" i="55"/>
  <c r="A479" i="55"/>
  <c r="H479" i="55"/>
  <c r="Q479" i="55"/>
  <c r="K479" i="55"/>
  <c r="L479" i="55" s="1"/>
  <c r="B479" i="55"/>
  <c r="D479" i="55" s="1"/>
  <c r="O479" i="55"/>
  <c r="AU233" i="26"/>
  <c r="G235" i="26"/>
  <c r="O235" i="26"/>
  <c r="I235" i="26"/>
  <c r="F235" i="26"/>
  <c r="D235" i="26"/>
  <c r="C235" i="26"/>
  <c r="V235" i="26" s="1"/>
  <c r="A235" i="26"/>
  <c r="L235" i="26"/>
  <c r="Q235" i="26"/>
  <c r="W235" i="26"/>
  <c r="K235" i="26"/>
  <c r="G479" i="55" l="1"/>
  <c r="F479" i="55"/>
  <c r="W479" i="55"/>
  <c r="S478" i="55"/>
  <c r="X478" i="55"/>
  <c r="P479" i="55"/>
  <c r="M479" i="55"/>
  <c r="U479" i="55"/>
  <c r="V479" i="55" s="1"/>
  <c r="E480" i="55"/>
  <c r="BT234" i="26"/>
  <c r="AV234" i="55"/>
  <c r="X235" i="26"/>
  <c r="AS235" i="26"/>
  <c r="BJ235" i="26" s="1"/>
  <c r="AP235" i="26"/>
  <c r="M235" i="26"/>
  <c r="E236" i="26"/>
  <c r="R235" i="26"/>
  <c r="U235" i="26"/>
  <c r="Q480" i="55" l="1"/>
  <c r="B480" i="55"/>
  <c r="G480" i="55" s="1"/>
  <c r="K480" i="55"/>
  <c r="L480" i="55" s="1"/>
  <c r="A480" i="55"/>
  <c r="C480" i="55"/>
  <c r="H480" i="55"/>
  <c r="U480" i="55"/>
  <c r="N479" i="55"/>
  <c r="AU234" i="26"/>
  <c r="AF235" i="26"/>
  <c r="AN235" i="26" s="1"/>
  <c r="S235" i="26"/>
  <c r="T235" i="26" s="1"/>
  <c r="BC235" i="26" s="1"/>
  <c r="B236" i="26"/>
  <c r="P236" i="26" s="1"/>
  <c r="BK235" i="26"/>
  <c r="AO235" i="26"/>
  <c r="AT235" i="26" s="1"/>
  <c r="H236" i="26"/>
  <c r="N235" i="26"/>
  <c r="AJ235" i="26"/>
  <c r="AK235" i="26" s="1"/>
  <c r="AL235" i="26" l="1"/>
  <c r="AM235" i="26" s="1"/>
  <c r="P480" i="55"/>
  <c r="W480" i="55"/>
  <c r="V480" i="55"/>
  <c r="D480" i="55"/>
  <c r="M480" i="55" s="1"/>
  <c r="F480" i="55"/>
  <c r="X479" i="55"/>
  <c r="S479" i="55"/>
  <c r="O480" i="55"/>
  <c r="BL235" i="26"/>
  <c r="G236" i="26"/>
  <c r="D236" i="26"/>
  <c r="F236" i="26"/>
  <c r="O236" i="26"/>
  <c r="I236" i="26"/>
  <c r="A236" i="26"/>
  <c r="C236" i="26"/>
  <c r="L236" i="26"/>
  <c r="Q236" i="26"/>
  <c r="W236" i="26"/>
  <c r="K236" i="26"/>
  <c r="E481" i="55" l="1"/>
  <c r="A481" i="55" s="1"/>
  <c r="X236" i="26"/>
  <c r="V236" i="26"/>
  <c r="H481" i="55"/>
  <c r="Q481" i="55"/>
  <c r="C481" i="55"/>
  <c r="U481" i="55" s="1"/>
  <c r="K481" i="55"/>
  <c r="L481" i="55" s="1"/>
  <c r="N480" i="55"/>
  <c r="BT235" i="26"/>
  <c r="AV235" i="55"/>
  <c r="AS236" i="26"/>
  <c r="BJ236" i="26" s="1"/>
  <c r="AP236" i="26"/>
  <c r="E237" i="26"/>
  <c r="M236" i="26"/>
  <c r="R236" i="26"/>
  <c r="U236" i="26"/>
  <c r="B481" i="55" l="1"/>
  <c r="S480" i="55"/>
  <c r="X480" i="55"/>
  <c r="O481" i="55"/>
  <c r="AU235" i="26"/>
  <c r="AF236" i="26"/>
  <c r="AN236" i="26" s="1"/>
  <c r="S236" i="26"/>
  <c r="T236" i="26" s="1"/>
  <c r="BC236" i="26" s="1"/>
  <c r="B237" i="26"/>
  <c r="D237" i="26" s="1"/>
  <c r="H237" i="26"/>
  <c r="BK236" i="26"/>
  <c r="AO236" i="26"/>
  <c r="AT236" i="26" s="1"/>
  <c r="N236" i="26"/>
  <c r="AJ236" i="26"/>
  <c r="AK236" i="26" s="1"/>
  <c r="AL236" i="26" l="1"/>
  <c r="AM236" i="26" s="1"/>
  <c r="G481" i="55"/>
  <c r="F481" i="55"/>
  <c r="W481" i="55"/>
  <c r="P481" i="55"/>
  <c r="V481" i="55" s="1"/>
  <c r="M481" i="55"/>
  <c r="D481" i="55"/>
  <c r="E482" i="55" s="1"/>
  <c r="I237" i="26"/>
  <c r="BL236" i="26"/>
  <c r="P237" i="26"/>
  <c r="F237" i="26"/>
  <c r="G237" i="26"/>
  <c r="O237" i="26"/>
  <c r="A237" i="26"/>
  <c r="C237" i="26"/>
  <c r="V237" i="26" s="1"/>
  <c r="L237" i="26"/>
  <c r="Q237" i="26"/>
  <c r="W237" i="26"/>
  <c r="K237" i="26"/>
  <c r="F482" i="55" l="1"/>
  <c r="B482" i="55"/>
  <c r="Q482" i="55"/>
  <c r="H482" i="55"/>
  <c r="K482" i="55"/>
  <c r="L482" i="55" s="1"/>
  <c r="A482" i="55"/>
  <c r="C482" i="55"/>
  <c r="N481" i="55"/>
  <c r="BT236" i="26"/>
  <c r="AV236" i="55"/>
  <c r="AS237" i="26"/>
  <c r="BJ237" i="26" s="1"/>
  <c r="AP237" i="26"/>
  <c r="M237" i="26"/>
  <c r="E238" i="26"/>
  <c r="X237" i="26"/>
  <c r="R237" i="26"/>
  <c r="U237" i="26"/>
  <c r="U482" i="55" l="1"/>
  <c r="O482" i="55"/>
  <c r="G482" i="55"/>
  <c r="D482" i="55"/>
  <c r="W482" i="55"/>
  <c r="P482" i="55"/>
  <c r="X481" i="55"/>
  <c r="S481" i="55"/>
  <c r="AU236" i="26"/>
  <c r="AF237" i="26"/>
  <c r="AN237" i="26" s="1"/>
  <c r="S237" i="26"/>
  <c r="T237" i="26" s="1"/>
  <c r="BC237" i="26" s="1"/>
  <c r="B238" i="26"/>
  <c r="F238" i="26" s="1"/>
  <c r="H238" i="26"/>
  <c r="BK237" i="26"/>
  <c r="AO237" i="26"/>
  <c r="AT237" i="26" s="1"/>
  <c r="N237" i="26"/>
  <c r="AJ237" i="26"/>
  <c r="AK237" i="26" s="1"/>
  <c r="AL237" i="26" l="1"/>
  <c r="AM237" i="26" s="1"/>
  <c r="V482" i="55"/>
  <c r="M482" i="55"/>
  <c r="E483" i="55"/>
  <c r="BL237" i="26"/>
  <c r="I238" i="26"/>
  <c r="O238" i="26"/>
  <c r="P238" i="26"/>
  <c r="G238" i="26"/>
  <c r="D238" i="26"/>
  <c r="C238" i="26"/>
  <c r="V238" i="26" s="1"/>
  <c r="A238" i="26"/>
  <c r="L238" i="26"/>
  <c r="Q238" i="26"/>
  <c r="W238" i="26"/>
  <c r="K238" i="26"/>
  <c r="C483" i="55" l="1"/>
  <c r="Q483" i="55"/>
  <c r="H483" i="55"/>
  <c r="U483" i="55"/>
  <c r="B483" i="55"/>
  <c r="O483" i="55"/>
  <c r="K483" i="55"/>
  <c r="L483" i="55" s="1"/>
  <c r="A483" i="55"/>
  <c r="N482" i="55"/>
  <c r="BT237" i="26"/>
  <c r="AV237" i="55"/>
  <c r="AS238" i="26"/>
  <c r="BJ238" i="26" s="1"/>
  <c r="X238" i="26"/>
  <c r="E239" i="26"/>
  <c r="AP238" i="26"/>
  <c r="M238" i="26"/>
  <c r="R238" i="26"/>
  <c r="U238" i="26"/>
  <c r="G483" i="55" l="1"/>
  <c r="P483" i="55"/>
  <c r="V483" i="55" s="1"/>
  <c r="F483" i="55"/>
  <c r="W483" i="55"/>
  <c r="X482" i="55"/>
  <c r="S482" i="55"/>
  <c r="D483" i="55"/>
  <c r="AU237" i="26"/>
  <c r="AF238" i="26"/>
  <c r="AN238" i="26" s="1"/>
  <c r="S238" i="26"/>
  <c r="T238" i="26" s="1"/>
  <c r="BC238" i="26" s="1"/>
  <c r="B239" i="26"/>
  <c r="D239" i="26" s="1"/>
  <c r="H239" i="26"/>
  <c r="BK238" i="26"/>
  <c r="AO238" i="26"/>
  <c r="AT238" i="26" s="1"/>
  <c r="N238" i="26"/>
  <c r="AJ238" i="26"/>
  <c r="AK238" i="26" s="1"/>
  <c r="AL238" i="26" l="1"/>
  <c r="AM238" i="26" s="1"/>
  <c r="E484" i="55"/>
  <c r="M483" i="55"/>
  <c r="BL238" i="26"/>
  <c r="F239" i="26"/>
  <c r="G239" i="26"/>
  <c r="O239" i="26"/>
  <c r="I239" i="26"/>
  <c r="P239" i="26"/>
  <c r="K239" i="26"/>
  <c r="C239" i="26"/>
  <c r="V239" i="26" s="1"/>
  <c r="A239" i="26"/>
  <c r="L239" i="26"/>
  <c r="Q239" i="26"/>
  <c r="W239" i="26"/>
  <c r="N483" i="55" l="1"/>
  <c r="Q484" i="55"/>
  <c r="C484" i="55"/>
  <c r="K484" i="55"/>
  <c r="L484" i="55" s="1"/>
  <c r="B484" i="55"/>
  <c r="A484" i="55"/>
  <c r="H484" i="55"/>
  <c r="R239" i="26"/>
  <c r="BT238" i="26"/>
  <c r="AV238" i="55"/>
  <c r="U239" i="26"/>
  <c r="AS239" i="26"/>
  <c r="BJ239" i="26" s="1"/>
  <c r="AP239" i="26"/>
  <c r="M239" i="26"/>
  <c r="N239" i="26" s="1"/>
  <c r="X239" i="26"/>
  <c r="E240" i="26"/>
  <c r="AL239" i="26" l="1"/>
  <c r="AM239" i="26" s="1"/>
  <c r="X483" i="55"/>
  <c r="S483" i="55"/>
  <c r="D484" i="55"/>
  <c r="M484" i="55" s="1"/>
  <c r="F484" i="55"/>
  <c r="G484" i="55"/>
  <c r="U484" i="55"/>
  <c r="E485" i="55"/>
  <c r="O484" i="55"/>
  <c r="P484" i="55"/>
  <c r="W484" i="55"/>
  <c r="S239" i="26"/>
  <c r="T239" i="26" s="1"/>
  <c r="AU238" i="26"/>
  <c r="AF239" i="26"/>
  <c r="AN239" i="26" s="1"/>
  <c r="B240" i="26"/>
  <c r="P240" i="26" s="1"/>
  <c r="AJ239" i="26"/>
  <c r="AK239" i="26" s="1"/>
  <c r="H240" i="26"/>
  <c r="BK239" i="26"/>
  <c r="AO239" i="26"/>
  <c r="AT239" i="26" s="1"/>
  <c r="A240" i="26"/>
  <c r="C240" i="26"/>
  <c r="V240" i="26" s="1"/>
  <c r="L240" i="26"/>
  <c r="Q240" i="26"/>
  <c r="W240" i="26"/>
  <c r="BL239" i="26" l="1"/>
  <c r="BC239" i="26"/>
  <c r="A485" i="55"/>
  <c r="Q485" i="55"/>
  <c r="B485" i="55"/>
  <c r="C485" i="55"/>
  <c r="O485" i="55" s="1"/>
  <c r="H485" i="55"/>
  <c r="K485" i="55"/>
  <c r="L485" i="55" s="1"/>
  <c r="N484" i="55"/>
  <c r="W485" i="55"/>
  <c r="V484" i="55"/>
  <c r="P485" i="55"/>
  <c r="G240" i="26"/>
  <c r="F240" i="26"/>
  <c r="R240" i="26" s="1"/>
  <c r="O240" i="26"/>
  <c r="D240" i="26"/>
  <c r="K240" i="26"/>
  <c r="M240" i="26" s="1"/>
  <c r="I240" i="26"/>
  <c r="AS240" i="26"/>
  <c r="BJ240" i="26" s="1"/>
  <c r="AO240" i="26"/>
  <c r="AP240" i="26"/>
  <c r="U240" i="26"/>
  <c r="X240" i="26"/>
  <c r="BK240" i="26" s="1"/>
  <c r="BT239" i="26" l="1"/>
  <c r="X484" i="55"/>
  <c r="S484" i="55"/>
  <c r="G485" i="55"/>
  <c r="D485" i="55"/>
  <c r="F485" i="55"/>
  <c r="AV239" i="55"/>
  <c r="AU239" i="26"/>
  <c r="AF240" i="26"/>
  <c r="AN240" i="26" s="1"/>
  <c r="S240" i="26"/>
  <c r="T240" i="26" s="1"/>
  <c r="BC240" i="26" s="1"/>
  <c r="AL240" i="26"/>
  <c r="E241" i="26"/>
  <c r="AT240" i="26"/>
  <c r="N240" i="26"/>
  <c r="AJ240" i="26"/>
  <c r="AK240" i="26" s="1"/>
  <c r="M485" i="55" l="1"/>
  <c r="E486" i="55"/>
  <c r="AM240" i="26"/>
  <c r="Q241" i="26"/>
  <c r="BL240" i="26"/>
  <c r="A241" i="26"/>
  <c r="B241" i="26"/>
  <c r="P241" i="26" s="1"/>
  <c r="L241" i="26"/>
  <c r="W241" i="26"/>
  <c r="C241" i="26"/>
  <c r="V241" i="26" s="1"/>
  <c r="H241" i="26"/>
  <c r="B486" i="55" l="1"/>
  <c r="G486" i="55" s="1"/>
  <c r="Q486" i="55"/>
  <c r="C486" i="55"/>
  <c r="O486" i="55" s="1"/>
  <c r="H486" i="55"/>
  <c r="F486" i="55"/>
  <c r="A486" i="55"/>
  <c r="D486" i="55"/>
  <c r="M486" i="55" s="1"/>
  <c r="K486" i="55"/>
  <c r="L486" i="55" s="1"/>
  <c r="P486" i="55"/>
  <c r="N485" i="55"/>
  <c r="AO241" i="26"/>
  <c r="I241" i="26"/>
  <c r="F241" i="26"/>
  <c r="R241" i="26" s="1"/>
  <c r="O241" i="26"/>
  <c r="K241" i="26"/>
  <c r="M241" i="26" s="1"/>
  <c r="AJ241" i="26" s="1"/>
  <c r="AK241" i="26" s="1"/>
  <c r="U241" i="26"/>
  <c r="AF241" i="26" s="1"/>
  <c r="AN241" i="26" s="1"/>
  <c r="AP241" i="26"/>
  <c r="AU240" i="26"/>
  <c r="X241" i="26"/>
  <c r="BK241" i="26" s="1"/>
  <c r="AS241" i="26"/>
  <c r="BJ241" i="26" s="1"/>
  <c r="D241" i="26"/>
  <c r="G241" i="26"/>
  <c r="BT240" i="26"/>
  <c r="AV240" i="55"/>
  <c r="N486" i="55" l="1"/>
  <c r="X486" i="55" s="1"/>
  <c r="X485" i="55"/>
  <c r="S485" i="55"/>
  <c r="U486" i="55"/>
  <c r="V486" i="55" s="1"/>
  <c r="E487" i="55"/>
  <c r="W486" i="55"/>
  <c r="AT241" i="26"/>
  <c r="S241" i="26"/>
  <c r="T241" i="26" s="1"/>
  <c r="BC241" i="26" s="1"/>
  <c r="N241" i="26"/>
  <c r="E242" i="26"/>
  <c r="AL241" i="26"/>
  <c r="S486" i="55" l="1"/>
  <c r="K487" i="55"/>
  <c r="L487" i="55" s="1"/>
  <c r="Q487" i="55"/>
  <c r="C487" i="55"/>
  <c r="B487" i="55"/>
  <c r="H487" i="55"/>
  <c r="A487" i="55"/>
  <c r="AM241" i="26"/>
  <c r="BL241" i="26"/>
  <c r="BT241" i="26"/>
  <c r="C242" i="26"/>
  <c r="V242" i="26" s="1"/>
  <c r="Q242" i="26"/>
  <c r="H242" i="26"/>
  <c r="A242" i="26"/>
  <c r="W242" i="26"/>
  <c r="B242" i="26"/>
  <c r="L242" i="26"/>
  <c r="O487" i="55" l="1"/>
  <c r="U487" i="55"/>
  <c r="F487" i="55"/>
  <c r="G487" i="55"/>
  <c r="W487" i="55"/>
  <c r="P487" i="55"/>
  <c r="D487" i="55"/>
  <c r="AV241" i="55"/>
  <c r="O242" i="26"/>
  <c r="D242" i="26"/>
  <c r="E243" i="26" s="1"/>
  <c r="G242" i="26"/>
  <c r="X242" i="26"/>
  <c r="P242" i="26"/>
  <c r="K242" i="26"/>
  <c r="M242" i="26" s="1"/>
  <c r="F242" i="26"/>
  <c r="R242" i="26" s="1"/>
  <c r="I242" i="26"/>
  <c r="AP242" i="26"/>
  <c r="AS242" i="26"/>
  <c r="BJ242" i="26" s="1"/>
  <c r="U242" i="26"/>
  <c r="AF242" i="26" s="1"/>
  <c r="AN242" i="26" s="1"/>
  <c r="AU241" i="26"/>
  <c r="M487" i="55" l="1"/>
  <c r="E488" i="55"/>
  <c r="V487" i="55"/>
  <c r="L243" i="26"/>
  <c r="W243" i="26"/>
  <c r="A243" i="26"/>
  <c r="H243" i="26"/>
  <c r="B243" i="26"/>
  <c r="K243" i="26" s="1"/>
  <c r="Q243" i="26"/>
  <c r="C243" i="26"/>
  <c r="V243" i="26" s="1"/>
  <c r="BK242" i="26"/>
  <c r="AO242" i="26"/>
  <c r="AT242" i="26" s="1"/>
  <c r="N242" i="26"/>
  <c r="AJ242" i="26"/>
  <c r="AK242" i="26" s="1"/>
  <c r="S242" i="26"/>
  <c r="T242" i="26" s="1"/>
  <c r="BC242" i="26" s="1"/>
  <c r="AL242" i="26" l="1"/>
  <c r="AM242" i="26" s="1"/>
  <c r="W488" i="55"/>
  <c r="B488" i="55"/>
  <c r="K488" i="55"/>
  <c r="L488" i="55" s="1"/>
  <c r="Q488" i="55"/>
  <c r="H488" i="55"/>
  <c r="A488" i="55"/>
  <c r="C488" i="55"/>
  <c r="N487" i="55"/>
  <c r="M243" i="26"/>
  <c r="N243" i="26" s="1"/>
  <c r="AP243" i="26"/>
  <c r="D243" i="26"/>
  <c r="O243" i="26"/>
  <c r="I243" i="26"/>
  <c r="U243" i="26"/>
  <c r="AF243" i="26" s="1"/>
  <c r="AN243" i="26" s="1"/>
  <c r="X243" i="26"/>
  <c r="BK243" i="26" s="1"/>
  <c r="AS243" i="26"/>
  <c r="BJ243" i="26" s="1"/>
  <c r="BL242" i="26"/>
  <c r="G243" i="26"/>
  <c r="F243" i="26"/>
  <c r="R243" i="26" s="1"/>
  <c r="P243" i="26"/>
  <c r="AO243" i="26"/>
  <c r="F488" i="55" l="1"/>
  <c r="G488" i="55"/>
  <c r="X487" i="55"/>
  <c r="S487" i="55"/>
  <c r="P488" i="55"/>
  <c r="U488" i="55"/>
  <c r="O488" i="55"/>
  <c r="D488" i="55"/>
  <c r="AJ243" i="26"/>
  <c r="AK243" i="26" s="1"/>
  <c r="AT243" i="26"/>
  <c r="E244" i="26"/>
  <c r="S243" i="26"/>
  <c r="T243" i="26" s="1"/>
  <c r="BC243" i="26" s="1"/>
  <c r="AV242" i="55"/>
  <c r="BT242" i="26"/>
  <c r="AL243" i="26" l="1"/>
  <c r="AM243" i="26" s="1"/>
  <c r="AU243" i="26" s="1"/>
  <c r="E489" i="55"/>
  <c r="M488" i="55"/>
  <c r="V488" i="55"/>
  <c r="B244" i="26"/>
  <c r="I244" i="26" s="1"/>
  <c r="Q244" i="26"/>
  <c r="L244" i="26"/>
  <c r="H244" i="26"/>
  <c r="A244" i="26"/>
  <c r="C244" i="26"/>
  <c r="AS244" i="26" s="1"/>
  <c r="BJ244" i="26" s="1"/>
  <c r="W244" i="26"/>
  <c r="D244" i="26"/>
  <c r="BL243" i="26"/>
  <c r="AU242" i="26"/>
  <c r="O244" i="26" l="1"/>
  <c r="F244" i="26"/>
  <c r="P244" i="26"/>
  <c r="G244" i="26"/>
  <c r="AP244" i="26"/>
  <c r="K244" i="26"/>
  <c r="M244" i="26" s="1"/>
  <c r="N244" i="26" s="1"/>
  <c r="N488" i="55"/>
  <c r="Q489" i="55"/>
  <c r="B489" i="55"/>
  <c r="D489" i="55" s="1"/>
  <c r="A489" i="55"/>
  <c r="H489" i="55"/>
  <c r="C489" i="55"/>
  <c r="E490" i="55" s="1"/>
  <c r="K489" i="55"/>
  <c r="L489" i="55" s="1"/>
  <c r="W489" i="55"/>
  <c r="G489" i="55"/>
  <c r="M489" i="55"/>
  <c r="F489" i="55"/>
  <c r="O489" i="55"/>
  <c r="V244" i="26"/>
  <c r="AO244" i="26" s="1"/>
  <c r="R244" i="26"/>
  <c r="X244" i="26"/>
  <c r="E245" i="26"/>
  <c r="U244" i="26"/>
  <c r="AF244" i="26" s="1"/>
  <c r="AN244" i="26" s="1"/>
  <c r="AV243" i="55"/>
  <c r="BT243" i="26"/>
  <c r="AT244" i="26" l="1"/>
  <c r="AL244" i="26"/>
  <c r="AM244" i="26" s="1"/>
  <c r="BK244" i="26"/>
  <c r="K490" i="55"/>
  <c r="L490" i="55" s="1"/>
  <c r="A490" i="55"/>
  <c r="Q490" i="55"/>
  <c r="C490" i="55"/>
  <c r="B490" i="55"/>
  <c r="H490" i="55"/>
  <c r="P490" i="55"/>
  <c r="U489" i="55"/>
  <c r="S488" i="55"/>
  <c r="X488" i="55"/>
  <c r="N489" i="55"/>
  <c r="P489" i="55"/>
  <c r="H245" i="26"/>
  <c r="AJ244" i="26"/>
  <c r="AK244" i="26" s="1"/>
  <c r="S244" i="26"/>
  <c r="T244" i="26" s="1"/>
  <c r="B245" i="26"/>
  <c r="P245" i="26" s="1"/>
  <c r="G245" i="26"/>
  <c r="A245" i="26"/>
  <c r="C245" i="26"/>
  <c r="Q245" i="26"/>
  <c r="L245" i="26"/>
  <c r="W245" i="26"/>
  <c r="BL244" i="26" l="1"/>
  <c r="BC244" i="26"/>
  <c r="V245" i="26"/>
  <c r="X489" i="55"/>
  <c r="S489" i="55"/>
  <c r="V489" i="55"/>
  <c r="O490" i="55"/>
  <c r="U490" i="55"/>
  <c r="V490" i="55" s="1"/>
  <c r="D490" i="55"/>
  <c r="M490" i="55" s="1"/>
  <c r="F490" i="55"/>
  <c r="G490" i="55"/>
  <c r="W490" i="55"/>
  <c r="O245" i="26"/>
  <c r="F245" i="26"/>
  <c r="R245" i="26" s="1"/>
  <c r="K245" i="26"/>
  <c r="M245" i="26" s="1"/>
  <c r="D245" i="26"/>
  <c r="AP245" i="26"/>
  <c r="U245" i="26"/>
  <c r="X245" i="26"/>
  <c r="AV244" i="55" l="1"/>
  <c r="BT244" i="26"/>
  <c r="N490" i="55"/>
  <c r="E491" i="55"/>
  <c r="AL245" i="26"/>
  <c r="E246" i="26"/>
  <c r="S245" i="26"/>
  <c r="T245" i="26" s="1"/>
  <c r="BC245" i="26" s="1"/>
  <c r="AU244" i="26"/>
  <c r="AF245" i="26"/>
  <c r="AN245" i="26" s="1"/>
  <c r="BK245" i="26"/>
  <c r="AO245" i="26"/>
  <c r="AT245" i="26" s="1"/>
  <c r="N245" i="26"/>
  <c r="AJ245" i="26"/>
  <c r="AK245" i="26" s="1"/>
  <c r="AM245" i="26" l="1"/>
  <c r="A491" i="55"/>
  <c r="B491" i="55"/>
  <c r="D491" i="55" s="1"/>
  <c r="M491" i="55" s="1"/>
  <c r="K491" i="55"/>
  <c r="L491" i="55" s="1"/>
  <c r="C491" i="55"/>
  <c r="H491" i="55"/>
  <c r="Q491" i="55"/>
  <c r="F491" i="55"/>
  <c r="U491" i="55"/>
  <c r="G491" i="55"/>
  <c r="O491" i="55"/>
  <c r="W491" i="55"/>
  <c r="S490" i="55"/>
  <c r="X490" i="55"/>
  <c r="A246" i="26"/>
  <c r="W246" i="26"/>
  <c r="B246" i="26"/>
  <c r="D246" i="26" s="1"/>
  <c r="L246" i="26"/>
  <c r="C246" i="26"/>
  <c r="U246" i="26" s="1"/>
  <c r="Q246" i="26"/>
  <c r="H246" i="26"/>
  <c r="BL245" i="26"/>
  <c r="N491" i="55" l="1"/>
  <c r="E492" i="55"/>
  <c r="P491" i="55"/>
  <c r="V491" i="55" s="1"/>
  <c r="V246" i="26"/>
  <c r="K246" i="26"/>
  <c r="M246" i="26" s="1"/>
  <c r="AJ246" i="26" s="1"/>
  <c r="AK246" i="26" s="1"/>
  <c r="AO246" i="26"/>
  <c r="G246" i="26"/>
  <c r="O246" i="26"/>
  <c r="P246" i="26"/>
  <c r="F246" i="26"/>
  <c r="R246" i="26" s="1"/>
  <c r="AS246" i="26"/>
  <c r="BJ246" i="26" s="1"/>
  <c r="AF246" i="26"/>
  <c r="AN246" i="26" s="1"/>
  <c r="E247" i="26"/>
  <c r="X246" i="26"/>
  <c r="AP246" i="26"/>
  <c r="AV245" i="55"/>
  <c r="BT245" i="26"/>
  <c r="AL246" i="26" l="1"/>
  <c r="AM246" i="26" s="1"/>
  <c r="A492" i="55"/>
  <c r="K492" i="55"/>
  <c r="L492" i="55" s="1"/>
  <c r="Q492" i="55"/>
  <c r="H492" i="55"/>
  <c r="C492" i="55"/>
  <c r="B492" i="55"/>
  <c r="P492" i="55" s="1"/>
  <c r="F492" i="55"/>
  <c r="O492" i="55"/>
  <c r="X491" i="55"/>
  <c r="S491" i="55"/>
  <c r="BK246" i="26"/>
  <c r="H247" i="26"/>
  <c r="L247" i="26"/>
  <c r="C247" i="26"/>
  <c r="V247" i="26" s="1"/>
  <c r="A247" i="26"/>
  <c r="S246" i="26"/>
  <c r="T246" i="26" s="1"/>
  <c r="BC246" i="26" s="1"/>
  <c r="N246" i="26"/>
  <c r="Q247" i="26"/>
  <c r="AT246" i="26"/>
  <c r="W247" i="26"/>
  <c r="B247" i="26"/>
  <c r="P247" i="26" s="1"/>
  <c r="U247" i="26"/>
  <c r="AU245" i="26"/>
  <c r="AS247" i="26"/>
  <c r="BJ247" i="26" s="1"/>
  <c r="O247" i="26"/>
  <c r="G247" i="26" l="1"/>
  <c r="D492" i="55"/>
  <c r="G492" i="55"/>
  <c r="M492" i="55"/>
  <c r="W492" i="55"/>
  <c r="U492" i="55"/>
  <c r="V492" i="55" s="1"/>
  <c r="E493" i="55"/>
  <c r="BL246" i="26"/>
  <c r="K247" i="26"/>
  <c r="M247" i="26" s="1"/>
  <c r="AJ247" i="26" s="1"/>
  <c r="AK247" i="26" s="1"/>
  <c r="X247" i="26"/>
  <c r="BK247" i="26" s="1"/>
  <c r="AP247" i="26"/>
  <c r="F247" i="26"/>
  <c r="R247" i="26" s="1"/>
  <c r="D247" i="26"/>
  <c r="E248" i="26" s="1"/>
  <c r="AF247" i="26"/>
  <c r="AN247" i="26" s="1"/>
  <c r="AU246" i="26"/>
  <c r="S247" i="26"/>
  <c r="T247" i="26" s="1"/>
  <c r="BC247" i="26" s="1"/>
  <c r="AO247" i="26"/>
  <c r="BT246" i="26"/>
  <c r="AV246" i="55"/>
  <c r="AT247" i="26" l="1"/>
  <c r="N492" i="55"/>
  <c r="A493" i="55"/>
  <c r="K493" i="55"/>
  <c r="L493" i="55" s="1"/>
  <c r="B493" i="55"/>
  <c r="C493" i="55"/>
  <c r="H493" i="55"/>
  <c r="Q493" i="55"/>
  <c r="Q248" i="26"/>
  <c r="A248" i="26"/>
  <c r="N247" i="26"/>
  <c r="W248" i="26"/>
  <c r="B248" i="26"/>
  <c r="P248" i="26" s="1"/>
  <c r="L248" i="26"/>
  <c r="AL247" i="26"/>
  <c r="H248" i="26"/>
  <c r="C248" i="26"/>
  <c r="V248" i="26" s="1"/>
  <c r="BL247" i="26"/>
  <c r="BT247" i="26"/>
  <c r="K248" i="26"/>
  <c r="D248" i="26"/>
  <c r="G248" i="26"/>
  <c r="AM247" i="26" l="1"/>
  <c r="AU247" i="26" s="1"/>
  <c r="U493" i="55"/>
  <c r="O493" i="55"/>
  <c r="G493" i="55"/>
  <c r="F493" i="55"/>
  <c r="D493" i="55"/>
  <c r="P493" i="55"/>
  <c r="W493" i="55"/>
  <c r="S492" i="55"/>
  <c r="X492" i="55"/>
  <c r="F248" i="26"/>
  <c r="R248" i="26" s="1"/>
  <c r="O248" i="26"/>
  <c r="AP248" i="26"/>
  <c r="E249" i="26"/>
  <c r="X248" i="26"/>
  <c r="AS248" i="26"/>
  <c r="BJ248" i="26" s="1"/>
  <c r="U248" i="26"/>
  <c r="AF248" i="26" s="1"/>
  <c r="AN248" i="26" s="1"/>
  <c r="M248" i="26"/>
  <c r="AJ248" i="26" s="1"/>
  <c r="AK248" i="26" s="1"/>
  <c r="AV247" i="55"/>
  <c r="AO248" i="26"/>
  <c r="Q249" i="26"/>
  <c r="L249" i="26"/>
  <c r="AT248" i="26" l="1"/>
  <c r="AL248" i="26"/>
  <c r="AM248" i="26" s="1"/>
  <c r="C249" i="26"/>
  <c r="H249" i="26"/>
  <c r="B249" i="26"/>
  <c r="P249" i="26" s="1"/>
  <c r="W249" i="26"/>
  <c r="A249" i="26"/>
  <c r="S248" i="26"/>
  <c r="T248" i="26" s="1"/>
  <c r="V493" i="55"/>
  <c r="E494" i="55"/>
  <c r="M493" i="55"/>
  <c r="V249" i="26"/>
  <c r="N248" i="26"/>
  <c r="BK248" i="26"/>
  <c r="K249" i="26"/>
  <c r="M249" i="26" s="1"/>
  <c r="F249" i="26"/>
  <c r="R249" i="26" s="1"/>
  <c r="G249" i="26"/>
  <c r="AP249" i="26"/>
  <c r="D249" i="26"/>
  <c r="O249" i="26"/>
  <c r="AS249" i="26"/>
  <c r="BJ249" i="26" s="1"/>
  <c r="AO249" i="26"/>
  <c r="X249" i="26"/>
  <c r="U249" i="26"/>
  <c r="AJ249" i="26" l="1"/>
  <c r="AK249" i="26" s="1"/>
  <c r="BL248" i="26"/>
  <c r="BC248" i="26"/>
  <c r="BT248" i="26" s="1"/>
  <c r="N493" i="55"/>
  <c r="A494" i="55"/>
  <c r="H494" i="55"/>
  <c r="B494" i="55"/>
  <c r="Q494" i="55"/>
  <c r="K494" i="55"/>
  <c r="L494" i="55" s="1"/>
  <c r="C494" i="55"/>
  <c r="U494" i="55"/>
  <c r="F494" i="55"/>
  <c r="G494" i="55"/>
  <c r="P494" i="55"/>
  <c r="O494" i="55"/>
  <c r="E250" i="26"/>
  <c r="S249" i="26"/>
  <c r="T249" i="26" s="1"/>
  <c r="BL249" i="26" s="1"/>
  <c r="AF249" i="26"/>
  <c r="AN249" i="26" s="1"/>
  <c r="N249" i="26"/>
  <c r="AL249" i="26"/>
  <c r="AT249" i="26"/>
  <c r="BK249" i="26"/>
  <c r="BC249" i="26" l="1"/>
  <c r="AV248" i="55"/>
  <c r="V494" i="55"/>
  <c r="S493" i="55"/>
  <c r="X493" i="55"/>
  <c r="W494" i="55"/>
  <c r="D494" i="55"/>
  <c r="M494" i="55" s="1"/>
  <c r="AM249" i="26"/>
  <c r="H250" i="26"/>
  <c r="W250" i="26"/>
  <c r="C250" i="26"/>
  <c r="AS250" i="26" s="1"/>
  <c r="BJ250" i="26" s="1"/>
  <c r="Q250" i="26"/>
  <c r="B250" i="26"/>
  <c r="O250" i="26" s="1"/>
  <c r="L250" i="26"/>
  <c r="A250" i="26"/>
  <c r="AU248" i="26"/>
  <c r="N494" i="55" l="1"/>
  <c r="E495" i="55"/>
  <c r="V250" i="26"/>
  <c r="AO250" i="26" s="1"/>
  <c r="U250" i="26"/>
  <c r="AF250" i="26" s="1"/>
  <c r="AN250" i="26" s="1"/>
  <c r="AP250" i="26"/>
  <c r="F250" i="26"/>
  <c r="R250" i="26" s="1"/>
  <c r="S250" i="26" s="1"/>
  <c r="T250" i="26" s="1"/>
  <c r="BC250" i="26" s="1"/>
  <c r="X250" i="26"/>
  <c r="P250" i="26"/>
  <c r="G250" i="26"/>
  <c r="D250" i="26"/>
  <c r="E251" i="26" s="1"/>
  <c r="K250" i="26"/>
  <c r="M250" i="26" s="1"/>
  <c r="AJ250" i="26" s="1"/>
  <c r="AK250" i="26" s="1"/>
  <c r="AU249" i="26"/>
  <c r="BT249" i="26"/>
  <c r="AV249" i="55"/>
  <c r="B495" i="55" l="1"/>
  <c r="G495" i="55" s="1"/>
  <c r="Q495" i="55"/>
  <c r="H495" i="55"/>
  <c r="K495" i="55"/>
  <c r="L495" i="55" s="1"/>
  <c r="A495" i="55"/>
  <c r="C495" i="55"/>
  <c r="F495" i="55"/>
  <c r="O495" i="55"/>
  <c r="P495" i="55"/>
  <c r="W495" i="55"/>
  <c r="D495" i="55"/>
  <c r="M495" i="55" s="1"/>
  <c r="N495" i="55" s="1"/>
  <c r="X495" i="55" s="1"/>
  <c r="U495" i="55"/>
  <c r="V495" i="55" s="1"/>
  <c r="X494" i="55"/>
  <c r="S494" i="55"/>
  <c r="H251" i="26"/>
  <c r="BK250" i="26"/>
  <c r="B251" i="26"/>
  <c r="N250" i="26"/>
  <c r="AT250" i="26"/>
  <c r="Q251" i="26"/>
  <c r="W251" i="26"/>
  <c r="A251" i="26"/>
  <c r="L251" i="26"/>
  <c r="C251" i="26"/>
  <c r="AS251" i="26" s="1"/>
  <c r="BJ251" i="26" s="1"/>
  <c r="BL250" i="26"/>
  <c r="AL250" i="26" l="1"/>
  <c r="AM250" i="26" s="1"/>
  <c r="S495" i="55"/>
  <c r="E496" i="55"/>
  <c r="V251" i="26"/>
  <c r="AO251" i="26" s="1"/>
  <c r="O251" i="26"/>
  <c r="F251" i="26"/>
  <c r="R251" i="26" s="1"/>
  <c r="D251" i="26"/>
  <c r="E252" i="26" s="1"/>
  <c r="K251" i="26"/>
  <c r="M251" i="26" s="1"/>
  <c r="N251" i="26" s="1"/>
  <c r="G251" i="26"/>
  <c r="P251" i="26"/>
  <c r="X251" i="26"/>
  <c r="U251" i="26"/>
  <c r="AF251" i="26" s="1"/>
  <c r="AN251" i="26" s="1"/>
  <c r="AP251" i="26"/>
  <c r="BT250" i="26"/>
  <c r="AV250" i="55"/>
  <c r="Q496" i="55" l="1"/>
  <c r="K496" i="55"/>
  <c r="L496" i="55" s="1"/>
  <c r="B496" i="55"/>
  <c r="D496" i="55" s="1"/>
  <c r="M496" i="55" s="1"/>
  <c r="H496" i="55"/>
  <c r="C496" i="55"/>
  <c r="E497" i="55" s="1"/>
  <c r="A496" i="55"/>
  <c r="N496" i="55"/>
  <c r="X496" i="55" s="1"/>
  <c r="W496" i="55"/>
  <c r="G496" i="55"/>
  <c r="P496" i="55"/>
  <c r="F496" i="55"/>
  <c r="O496" i="55"/>
  <c r="S496" i="55"/>
  <c r="S251" i="26"/>
  <c r="T251" i="26" s="1"/>
  <c r="BC251" i="26" s="1"/>
  <c r="B252" i="26"/>
  <c r="P252" i="26" s="1"/>
  <c r="AT251" i="26"/>
  <c r="BK251" i="26"/>
  <c r="H252" i="26"/>
  <c r="AJ251" i="26"/>
  <c r="AK251" i="26" s="1"/>
  <c r="AU250" i="26"/>
  <c r="A252" i="26"/>
  <c r="C252" i="26"/>
  <c r="V252" i="26" s="1"/>
  <c r="L252" i="26"/>
  <c r="Q252" i="26"/>
  <c r="W252" i="26"/>
  <c r="AL251" i="26" l="1"/>
  <c r="AM251" i="26" s="1"/>
  <c r="A497" i="55"/>
  <c r="H497" i="55"/>
  <c r="Q497" i="55"/>
  <c r="B497" i="55"/>
  <c r="K497" i="55"/>
  <c r="L497" i="55" s="1"/>
  <c r="C497" i="55"/>
  <c r="O497" i="55" s="1"/>
  <c r="G497" i="55"/>
  <c r="D497" i="55"/>
  <c r="E498" i="55" s="1"/>
  <c r="F497" i="55"/>
  <c r="U496" i="55"/>
  <c r="V496" i="55" s="1"/>
  <c r="K252" i="26"/>
  <c r="M252" i="26" s="1"/>
  <c r="D252" i="26"/>
  <c r="E253" i="26" s="1"/>
  <c r="G252" i="26"/>
  <c r="O252" i="26"/>
  <c r="BL251" i="26"/>
  <c r="F252" i="26"/>
  <c r="R252" i="26" s="1"/>
  <c r="BT251" i="26"/>
  <c r="AV251" i="55"/>
  <c r="AS252" i="26"/>
  <c r="BJ252" i="26" s="1"/>
  <c r="AP252" i="26"/>
  <c r="U252" i="26"/>
  <c r="X252" i="26"/>
  <c r="W497" i="55" l="1"/>
  <c r="P497" i="55"/>
  <c r="M497" i="55"/>
  <c r="C498" i="55"/>
  <c r="U498" i="55" s="1"/>
  <c r="H498" i="55"/>
  <c r="Q498" i="55"/>
  <c r="K498" i="55"/>
  <c r="L498" i="55" s="1"/>
  <c r="A498" i="55"/>
  <c r="B498" i="55"/>
  <c r="AU251" i="26"/>
  <c r="S252" i="26"/>
  <c r="T252" i="26" s="1"/>
  <c r="BC252" i="26" s="1"/>
  <c r="AF252" i="26"/>
  <c r="AN252" i="26" s="1"/>
  <c r="B253" i="26"/>
  <c r="O253" i="26" s="1"/>
  <c r="H253" i="26"/>
  <c r="BK252" i="26"/>
  <c r="AO252" i="26"/>
  <c r="AT252" i="26" s="1"/>
  <c r="N252" i="26"/>
  <c r="AJ252" i="26"/>
  <c r="AK252" i="26" s="1"/>
  <c r="AL252" i="26" l="1"/>
  <c r="AM252" i="26" s="1"/>
  <c r="O498" i="55"/>
  <c r="W498" i="55"/>
  <c r="D498" i="55"/>
  <c r="E499" i="55" s="1"/>
  <c r="C499" i="55" s="1"/>
  <c r="U499" i="55" s="1"/>
  <c r="G498" i="55"/>
  <c r="F498" i="55"/>
  <c r="N497" i="55"/>
  <c r="P498" i="55"/>
  <c r="V498" i="55" s="1"/>
  <c r="H499" i="55"/>
  <c r="A499" i="55"/>
  <c r="Q499" i="55"/>
  <c r="BL252" i="26"/>
  <c r="F253" i="26"/>
  <c r="D253" i="26"/>
  <c r="G253" i="26"/>
  <c r="P253" i="26"/>
  <c r="A253" i="26"/>
  <c r="C253" i="26"/>
  <c r="V253" i="26" s="1"/>
  <c r="L253" i="26"/>
  <c r="W253" i="26"/>
  <c r="K253" i="26"/>
  <c r="Q253" i="26"/>
  <c r="K499" i="55" l="1"/>
  <c r="L499" i="55" s="1"/>
  <c r="S497" i="55"/>
  <c r="X497" i="55"/>
  <c r="B499" i="55"/>
  <c r="F499" i="55" s="1"/>
  <c r="M498" i="55"/>
  <c r="G499" i="55"/>
  <c r="O499" i="55"/>
  <c r="AV252" i="55"/>
  <c r="BT252" i="26"/>
  <c r="R253" i="26"/>
  <c r="AS253" i="26"/>
  <c r="BJ253" i="26" s="1"/>
  <c r="AP253" i="26"/>
  <c r="U253" i="26"/>
  <c r="E254" i="26"/>
  <c r="X253" i="26"/>
  <c r="M253" i="26"/>
  <c r="P499" i="55" l="1"/>
  <c r="V499" i="55" s="1"/>
  <c r="D499" i="55"/>
  <c r="W499" i="55"/>
  <c r="N498" i="55"/>
  <c r="S253" i="26"/>
  <c r="T253" i="26" s="1"/>
  <c r="AU252" i="26"/>
  <c r="AF253" i="26"/>
  <c r="AN253" i="26" s="1"/>
  <c r="B254" i="26"/>
  <c r="P254" i="26" s="1"/>
  <c r="H254" i="26"/>
  <c r="BK253" i="26"/>
  <c r="AO253" i="26"/>
  <c r="AT253" i="26" s="1"/>
  <c r="N253" i="26"/>
  <c r="AJ253" i="26"/>
  <c r="AK253" i="26" s="1"/>
  <c r="C254" i="26"/>
  <c r="V254" i="26" s="1"/>
  <c r="A254" i="26"/>
  <c r="W254" i="26"/>
  <c r="Q254" i="26"/>
  <c r="L254" i="26"/>
  <c r="AL253" i="26" l="1"/>
  <c r="AM253" i="26" s="1"/>
  <c r="BL253" i="26"/>
  <c r="BC253" i="26"/>
  <c r="M499" i="55"/>
  <c r="E500" i="55"/>
  <c r="X498" i="55"/>
  <c r="S498" i="55"/>
  <c r="AP254" i="26"/>
  <c r="D254" i="26"/>
  <c r="F254" i="26"/>
  <c r="R254" i="26" s="1"/>
  <c r="G254" i="26"/>
  <c r="K254" i="26"/>
  <c r="M254" i="26" s="1"/>
  <c r="N254" i="26" s="1"/>
  <c r="O254" i="26"/>
  <c r="AS254" i="26"/>
  <c r="BJ254" i="26" s="1"/>
  <c r="X254" i="26"/>
  <c r="U254" i="26"/>
  <c r="AV253" i="55" l="1"/>
  <c r="B500" i="55"/>
  <c r="D500" i="55"/>
  <c r="M500" i="55" s="1"/>
  <c r="H500" i="55"/>
  <c r="Q500" i="55"/>
  <c r="K500" i="55"/>
  <c r="L500" i="55" s="1"/>
  <c r="A500" i="55"/>
  <c r="C500" i="55"/>
  <c r="N499" i="55"/>
  <c r="BT253" i="26"/>
  <c r="AL254" i="26"/>
  <c r="E255" i="26"/>
  <c r="AF254" i="26"/>
  <c r="AN254" i="26" s="1"/>
  <c r="S254" i="26"/>
  <c r="T254" i="26" s="1"/>
  <c r="BC254" i="26" s="1"/>
  <c r="AJ254" i="26"/>
  <c r="AK254" i="26" s="1"/>
  <c r="BK254" i="26"/>
  <c r="AO254" i="26"/>
  <c r="AT254" i="26" s="1"/>
  <c r="E501" i="55" l="1"/>
  <c r="U500" i="55"/>
  <c r="O500" i="55"/>
  <c r="N500" i="55"/>
  <c r="X500" i="55" s="1"/>
  <c r="G500" i="55"/>
  <c r="W500" i="55"/>
  <c r="F500" i="55"/>
  <c r="X499" i="55"/>
  <c r="S499" i="55"/>
  <c r="P500" i="55"/>
  <c r="W255" i="26"/>
  <c r="H255" i="26"/>
  <c r="A255" i="26"/>
  <c r="AM254" i="26"/>
  <c r="AU254" i="26" s="1"/>
  <c r="B255" i="26"/>
  <c r="P255" i="26" s="1"/>
  <c r="L255" i="26"/>
  <c r="Q255" i="26"/>
  <c r="C255" i="26"/>
  <c r="AS255" i="26" s="1"/>
  <c r="BJ255" i="26" s="1"/>
  <c r="BL254" i="26"/>
  <c r="AV254" i="55"/>
  <c r="AU253" i="26"/>
  <c r="S500" i="55" l="1"/>
  <c r="V500" i="55"/>
  <c r="A501" i="55"/>
  <c r="Q501" i="55"/>
  <c r="K501" i="55"/>
  <c r="L501" i="55" s="1"/>
  <c r="B501" i="55"/>
  <c r="H501" i="55"/>
  <c r="C501" i="55"/>
  <c r="V255" i="26"/>
  <c r="F255" i="26"/>
  <c r="R255" i="26" s="1"/>
  <c r="D255" i="26"/>
  <c r="K255" i="26"/>
  <c r="M255" i="26" s="1"/>
  <c r="AJ255" i="26" s="1"/>
  <c r="AK255" i="26" s="1"/>
  <c r="O255" i="26"/>
  <c r="G255" i="26"/>
  <c r="AP255" i="26"/>
  <c r="U255" i="26"/>
  <c r="AF255" i="26" s="1"/>
  <c r="AN255" i="26" s="1"/>
  <c r="AO255" i="26"/>
  <c r="X255" i="26"/>
  <c r="BT254" i="26"/>
  <c r="U501" i="55" l="1"/>
  <c r="O501" i="55"/>
  <c r="D501" i="55"/>
  <c r="M501" i="55" s="1"/>
  <c r="F501" i="55"/>
  <c r="P501" i="55"/>
  <c r="W501" i="55"/>
  <c r="G501" i="55"/>
  <c r="E256" i="26"/>
  <c r="AL255" i="26"/>
  <c r="N255" i="26"/>
  <c r="S255" i="26"/>
  <c r="T255" i="26" s="1"/>
  <c r="AT255" i="26"/>
  <c r="BK255" i="26"/>
  <c r="BL255" i="26" l="1"/>
  <c r="BC255" i="26"/>
  <c r="AM255" i="26"/>
  <c r="AU255" i="26" s="1"/>
  <c r="V501" i="55"/>
  <c r="N501" i="55"/>
  <c r="X501" i="55" s="1"/>
  <c r="S501" i="55"/>
  <c r="E502" i="55"/>
  <c r="A256" i="26"/>
  <c r="B256" i="26"/>
  <c r="O256" i="26" s="1"/>
  <c r="Q256" i="26"/>
  <c r="W256" i="26"/>
  <c r="C256" i="26"/>
  <c r="V256" i="26" s="1"/>
  <c r="H256" i="26"/>
  <c r="L256" i="26"/>
  <c r="BT255" i="26"/>
  <c r="C502" i="55" l="1"/>
  <c r="O502" i="55" s="1"/>
  <c r="K502" i="55"/>
  <c r="L502" i="55" s="1"/>
  <c r="Q502" i="55"/>
  <c r="A502" i="55"/>
  <c r="B502" i="55"/>
  <c r="G502" i="55" s="1"/>
  <c r="H502" i="55"/>
  <c r="U502" i="55"/>
  <c r="P256" i="26"/>
  <c r="G256" i="26"/>
  <c r="D256" i="26"/>
  <c r="E257" i="26" s="1"/>
  <c r="AP256" i="26"/>
  <c r="F256" i="26"/>
  <c r="R256" i="26" s="1"/>
  <c r="K256" i="26"/>
  <c r="M256" i="26" s="1"/>
  <c r="AS256" i="26"/>
  <c r="BJ256" i="26" s="1"/>
  <c r="AO256" i="26"/>
  <c r="X256" i="26"/>
  <c r="U256" i="26"/>
  <c r="AF256" i="26" s="1"/>
  <c r="AN256" i="26" s="1"/>
  <c r="AV255" i="55"/>
  <c r="A257" i="26"/>
  <c r="W502" i="55" l="1"/>
  <c r="P502" i="55"/>
  <c r="V502" i="55" s="1"/>
  <c r="D502" i="55"/>
  <c r="F502" i="55"/>
  <c r="C257" i="26"/>
  <c r="U257" i="26" s="1"/>
  <c r="S256" i="26"/>
  <c r="T256" i="26" s="1"/>
  <c r="AT256" i="26"/>
  <c r="Q257" i="26"/>
  <c r="W257" i="26"/>
  <c r="L257" i="26"/>
  <c r="H257" i="26"/>
  <c r="B257" i="26"/>
  <c r="O257" i="26" s="1"/>
  <c r="AJ256" i="26"/>
  <c r="AK256" i="26" s="1"/>
  <c r="N256" i="26"/>
  <c r="BK256" i="26"/>
  <c r="P257" i="26"/>
  <c r="D257" i="26"/>
  <c r="E258" i="26" s="1"/>
  <c r="AL256" i="26" l="1"/>
  <c r="AM256" i="26" s="1"/>
  <c r="AU256" i="26" s="1"/>
  <c r="BL256" i="26"/>
  <c r="BC256" i="26"/>
  <c r="E503" i="55"/>
  <c r="M502" i="55"/>
  <c r="H258" i="26"/>
  <c r="AP257" i="26"/>
  <c r="V257" i="26"/>
  <c r="G257" i="26"/>
  <c r="F257" i="26"/>
  <c r="R257" i="26" s="1"/>
  <c r="S257" i="26" s="1"/>
  <c r="T257" i="26" s="1"/>
  <c r="BL257" i="26" s="1"/>
  <c r="K257" i="26"/>
  <c r="M257" i="26" s="1"/>
  <c r="N257" i="26" s="1"/>
  <c r="AF257" i="26"/>
  <c r="AN257" i="26" s="1"/>
  <c r="X257" i="26"/>
  <c r="B258" i="26"/>
  <c r="O258" i="26" s="1"/>
  <c r="C258" i="26"/>
  <c r="AS258" i="26" s="1"/>
  <c r="A258" i="26"/>
  <c r="Q258" i="26"/>
  <c r="W258" i="26"/>
  <c r="L258" i="26"/>
  <c r="BC257" i="26" l="1"/>
  <c r="AV256" i="55"/>
  <c r="BT256" i="26"/>
  <c r="BK257" i="26"/>
  <c r="AV257" i="55"/>
  <c r="N502" i="55"/>
  <c r="AL257" i="26"/>
  <c r="Q503" i="55"/>
  <c r="A503" i="55"/>
  <c r="B503" i="55"/>
  <c r="D503" i="55" s="1"/>
  <c r="M503" i="55" s="1"/>
  <c r="N503" i="55" s="1"/>
  <c r="X503" i="55" s="1"/>
  <c r="K503" i="55"/>
  <c r="L503" i="55" s="1"/>
  <c r="C503" i="55"/>
  <c r="H503" i="55"/>
  <c r="P503" i="55"/>
  <c r="F503" i="55"/>
  <c r="O503" i="55"/>
  <c r="G503" i="55"/>
  <c r="V258" i="26"/>
  <c r="AO257" i="26"/>
  <c r="AT257" i="26" s="1"/>
  <c r="AJ257" i="26"/>
  <c r="AK257" i="26" s="1"/>
  <c r="K258" i="26"/>
  <c r="M258" i="26" s="1"/>
  <c r="D258" i="26"/>
  <c r="E259" i="26" s="1"/>
  <c r="P258" i="26"/>
  <c r="G258" i="26"/>
  <c r="F258" i="26"/>
  <c r="R258" i="26" s="1"/>
  <c r="BT257" i="26"/>
  <c r="BJ258" i="26"/>
  <c r="AP258" i="26"/>
  <c r="X258" i="26"/>
  <c r="U258" i="26"/>
  <c r="AM257" i="26" l="1"/>
  <c r="W503" i="55"/>
  <c r="S502" i="55"/>
  <c r="S503" i="55" s="1"/>
  <c r="X502" i="55"/>
  <c r="U503" i="55"/>
  <c r="V503" i="55" s="1"/>
  <c r="E504" i="55"/>
  <c r="S258" i="26"/>
  <c r="T258" i="26" s="1"/>
  <c r="BL258" i="26" s="1"/>
  <c r="AF258" i="26"/>
  <c r="AN258" i="26" s="1"/>
  <c r="B259" i="26"/>
  <c r="P259" i="26" s="1"/>
  <c r="BK258" i="26"/>
  <c r="AO258" i="26"/>
  <c r="AT258" i="26" s="1"/>
  <c r="H259" i="26"/>
  <c r="N258" i="26"/>
  <c r="AJ258" i="26"/>
  <c r="AK258" i="26" s="1"/>
  <c r="C259" i="26"/>
  <c r="V259" i="26" s="1"/>
  <c r="A259" i="26"/>
  <c r="Q259" i="26"/>
  <c r="W259" i="26"/>
  <c r="L259" i="26"/>
  <c r="BC258" i="26" l="1"/>
  <c r="AL258" i="26"/>
  <c r="AM258" i="26" s="1"/>
  <c r="B504" i="55"/>
  <c r="D504" i="55" s="1"/>
  <c r="M504" i="55" s="1"/>
  <c r="C504" i="55"/>
  <c r="O504" i="55" s="1"/>
  <c r="K504" i="55"/>
  <c r="L504" i="55" s="1"/>
  <c r="H504" i="55"/>
  <c r="U504" i="55"/>
  <c r="V504" i="55" s="1"/>
  <c r="G504" i="55"/>
  <c r="A504" i="55"/>
  <c r="Q504" i="55"/>
  <c r="P504" i="55"/>
  <c r="F504" i="55"/>
  <c r="K259" i="26"/>
  <c r="M259" i="26" s="1"/>
  <c r="AP259" i="26"/>
  <c r="AV258" i="55"/>
  <c r="G259" i="26"/>
  <c r="AU257" i="26"/>
  <c r="F259" i="26"/>
  <c r="R259" i="26" s="1"/>
  <c r="D259" i="26"/>
  <c r="E260" i="26" s="1"/>
  <c r="O259" i="26"/>
  <c r="AS259" i="26"/>
  <c r="BJ259" i="26" s="1"/>
  <c r="X259" i="26"/>
  <c r="U259" i="26"/>
  <c r="N504" i="55" l="1"/>
  <c r="W504" i="55"/>
  <c r="E505" i="55"/>
  <c r="BT258" i="26"/>
  <c r="S259" i="26"/>
  <c r="T259" i="26" s="1"/>
  <c r="BC259" i="26" s="1"/>
  <c r="AF259" i="26"/>
  <c r="AN259" i="26" s="1"/>
  <c r="B260" i="26"/>
  <c r="O260" i="26" s="1"/>
  <c r="H260" i="26"/>
  <c r="BK259" i="26"/>
  <c r="AO259" i="26"/>
  <c r="AT259" i="26" s="1"/>
  <c r="N259" i="26"/>
  <c r="AJ259" i="26"/>
  <c r="AK259" i="26" s="1"/>
  <c r="A260" i="26"/>
  <c r="C260" i="26"/>
  <c r="V260" i="26" s="1"/>
  <c r="W260" i="26"/>
  <c r="L260" i="26"/>
  <c r="Q260" i="26"/>
  <c r="AL259" i="26" l="1"/>
  <c r="AM259" i="26" s="1"/>
  <c r="A505" i="55"/>
  <c r="K505" i="55"/>
  <c r="L505" i="55" s="1"/>
  <c r="C505" i="55"/>
  <c r="Q505" i="55"/>
  <c r="B505" i="55"/>
  <c r="G505" i="55" s="1"/>
  <c r="H505" i="55"/>
  <c r="W505" i="55"/>
  <c r="O505" i="55"/>
  <c r="U505" i="55"/>
  <c r="D505" i="55"/>
  <c r="M505" i="55" s="1"/>
  <c r="N505" i="55" s="1"/>
  <c r="F505" i="55"/>
  <c r="S504" i="55"/>
  <c r="X504" i="55"/>
  <c r="AP260" i="26"/>
  <c r="AU258" i="26"/>
  <c r="BL259" i="26"/>
  <c r="AV259" i="55"/>
  <c r="F260" i="26"/>
  <c r="R260" i="26" s="1"/>
  <c r="K260" i="26"/>
  <c r="M260" i="26" s="1"/>
  <c r="N260" i="26" s="1"/>
  <c r="G260" i="26"/>
  <c r="D260" i="26"/>
  <c r="E261" i="26" s="1"/>
  <c r="P260" i="26"/>
  <c r="AS260" i="26"/>
  <c r="BJ260" i="26" s="1"/>
  <c r="U260" i="26"/>
  <c r="X260" i="26"/>
  <c r="S505" i="55" l="1"/>
  <c r="X505" i="55"/>
  <c r="P505" i="55"/>
  <c r="V505" i="55" s="1"/>
  <c r="E506" i="55"/>
  <c r="AJ260" i="26"/>
  <c r="AK260" i="26" s="1"/>
  <c r="BT259" i="26"/>
  <c r="S260" i="26"/>
  <c r="T260" i="26" s="1"/>
  <c r="BC260" i="26" s="1"/>
  <c r="AF260" i="26"/>
  <c r="AN260" i="26" s="1"/>
  <c r="B261" i="26"/>
  <c r="O261" i="26" s="1"/>
  <c r="BK260" i="26"/>
  <c r="AO260" i="26"/>
  <c r="AT260" i="26" s="1"/>
  <c r="H261" i="26"/>
  <c r="AL260" i="26" l="1"/>
  <c r="AM260" i="26" s="1"/>
  <c r="A506" i="55"/>
  <c r="H506" i="55"/>
  <c r="Q506" i="55"/>
  <c r="C506" i="55"/>
  <c r="B506" i="55"/>
  <c r="W506" i="55" s="1"/>
  <c r="K506" i="55"/>
  <c r="L506" i="55" s="1"/>
  <c r="F506" i="55"/>
  <c r="G506" i="55"/>
  <c r="BL260" i="26"/>
  <c r="AV260" i="55"/>
  <c r="AU259" i="26"/>
  <c r="F261" i="26"/>
  <c r="D261" i="26"/>
  <c r="P261" i="26"/>
  <c r="G261" i="26"/>
  <c r="A261" i="26"/>
  <c r="C261" i="26"/>
  <c r="V261" i="26" s="1"/>
  <c r="L261" i="26"/>
  <c r="K261" i="26"/>
  <c r="Q261" i="26"/>
  <c r="W261" i="26"/>
  <c r="U506" i="55" l="1"/>
  <c r="V506" i="55" s="1"/>
  <c r="O506" i="55"/>
  <c r="M506" i="55"/>
  <c r="P506" i="55"/>
  <c r="D506" i="55"/>
  <c r="E507" i="55" s="1"/>
  <c r="BT260" i="26"/>
  <c r="R261" i="26"/>
  <c r="AS261" i="26"/>
  <c r="BJ261" i="26" s="1"/>
  <c r="AP261" i="26"/>
  <c r="U261" i="26"/>
  <c r="E262" i="26"/>
  <c r="M261" i="26"/>
  <c r="X261" i="26"/>
  <c r="H507" i="55" l="1"/>
  <c r="C507" i="55"/>
  <c r="K507" i="55"/>
  <c r="L507" i="55" s="1"/>
  <c r="B507" i="55"/>
  <c r="F507" i="55" s="1"/>
  <c r="Q507" i="55"/>
  <c r="A507" i="55"/>
  <c r="P507" i="55"/>
  <c r="O507" i="55"/>
  <c r="D507" i="55"/>
  <c r="M507" i="55" s="1"/>
  <c r="N506" i="55"/>
  <c r="AU260" i="26"/>
  <c r="S261" i="26"/>
  <c r="T261" i="26" s="1"/>
  <c r="BC261" i="26" s="1"/>
  <c r="AF261" i="26"/>
  <c r="AN261" i="26" s="1"/>
  <c r="B262" i="26"/>
  <c r="P262" i="26" s="1"/>
  <c r="BK261" i="26"/>
  <c r="AO261" i="26"/>
  <c r="AT261" i="26" s="1"/>
  <c r="H262" i="26"/>
  <c r="N261" i="26"/>
  <c r="AJ261" i="26"/>
  <c r="AK261" i="26" s="1"/>
  <c r="AL261" i="26" l="1"/>
  <c r="AM261" i="26" s="1"/>
  <c r="X506" i="55"/>
  <c r="S506" i="55"/>
  <c r="N507" i="55"/>
  <c r="G507" i="55"/>
  <c r="W507" i="55"/>
  <c r="E508" i="55"/>
  <c r="U507" i="55"/>
  <c r="V507" i="55" s="1"/>
  <c r="BL261" i="26"/>
  <c r="AV261" i="55"/>
  <c r="D262" i="26"/>
  <c r="O262" i="26"/>
  <c r="F262" i="26"/>
  <c r="G262" i="26"/>
  <c r="C262" i="26"/>
  <c r="V262" i="26" s="1"/>
  <c r="A262" i="26"/>
  <c r="Q262" i="26"/>
  <c r="K262" i="26"/>
  <c r="L262" i="26"/>
  <c r="W262" i="26"/>
  <c r="S507" i="55" l="1"/>
  <c r="X507" i="55"/>
  <c r="A508" i="55"/>
  <c r="K508" i="55"/>
  <c r="L508" i="55" s="1"/>
  <c r="C508" i="55"/>
  <c r="U508" i="55" s="1"/>
  <c r="V508" i="55" s="1"/>
  <c r="H508" i="55"/>
  <c r="Q508" i="55"/>
  <c r="B508" i="55"/>
  <c r="P508" i="55" s="1"/>
  <c r="G508" i="55"/>
  <c r="D508" i="55"/>
  <c r="E509" i="55" s="1"/>
  <c r="F508" i="55"/>
  <c r="W508" i="55"/>
  <c r="BT261" i="26"/>
  <c r="R262" i="26"/>
  <c r="U262" i="26"/>
  <c r="AS262" i="26"/>
  <c r="BJ262" i="26" s="1"/>
  <c r="AP262" i="26"/>
  <c r="X262" i="26"/>
  <c r="M262" i="26"/>
  <c r="E263" i="26"/>
  <c r="Q509" i="55" l="1"/>
  <c r="C509" i="55"/>
  <c r="B509" i="55"/>
  <c r="D509" i="55" s="1"/>
  <c r="M509" i="55" s="1"/>
  <c r="N509" i="55" s="1"/>
  <c r="X509" i="55" s="1"/>
  <c r="H509" i="55"/>
  <c r="K509" i="55"/>
  <c r="L509" i="55" s="1"/>
  <c r="A509" i="55"/>
  <c r="W509" i="55"/>
  <c r="M508" i="55"/>
  <c r="O508" i="55"/>
  <c r="AU261" i="26"/>
  <c r="AF262" i="26"/>
  <c r="AN262" i="26" s="1"/>
  <c r="S262" i="26"/>
  <c r="T262" i="26" s="1"/>
  <c r="BC262" i="26" s="1"/>
  <c r="B263" i="26"/>
  <c r="O263" i="26" s="1"/>
  <c r="BK262" i="26"/>
  <c r="AO262" i="26"/>
  <c r="AT262" i="26" s="1"/>
  <c r="H263" i="26"/>
  <c r="N262" i="26"/>
  <c r="AJ262" i="26"/>
  <c r="AK262" i="26" s="1"/>
  <c r="C263" i="26"/>
  <c r="V263" i="26" s="1"/>
  <c r="A263" i="26"/>
  <c r="W263" i="26"/>
  <c r="Q263" i="26"/>
  <c r="L263" i="26"/>
  <c r="AL262" i="26"/>
  <c r="AM262" i="26" l="1"/>
  <c r="N508" i="55"/>
  <c r="P509" i="55"/>
  <c r="G509" i="55"/>
  <c r="O509" i="55"/>
  <c r="E510" i="55"/>
  <c r="F509" i="55"/>
  <c r="BL262" i="26"/>
  <c r="BT262" i="26"/>
  <c r="K263" i="26"/>
  <c r="M263" i="26" s="1"/>
  <c r="G263" i="26"/>
  <c r="P263" i="26"/>
  <c r="AS263" i="26"/>
  <c r="BJ263" i="26" s="1"/>
  <c r="F263" i="26"/>
  <c r="R263" i="26" s="1"/>
  <c r="S263" i="26" s="1"/>
  <c r="D263" i="26"/>
  <c r="E264" i="26" s="1"/>
  <c r="AO263" i="26"/>
  <c r="AP263" i="26"/>
  <c r="U263" i="26"/>
  <c r="X263" i="26"/>
  <c r="BK263" i="26" s="1"/>
  <c r="K510" i="55" l="1"/>
  <c r="L510" i="55" s="1"/>
  <c r="H510" i="55"/>
  <c r="G510" i="55"/>
  <c r="A510" i="55"/>
  <c r="B510" i="55"/>
  <c r="D510" i="55" s="1"/>
  <c r="M510" i="55" s="1"/>
  <c r="N510" i="55" s="1"/>
  <c r="Q510" i="55"/>
  <c r="C510" i="55"/>
  <c r="F510" i="55"/>
  <c r="X510" i="55"/>
  <c r="S508" i="55"/>
  <c r="S509" i="55" s="1"/>
  <c r="X508" i="55"/>
  <c r="AV262" i="55"/>
  <c r="AF263" i="26"/>
  <c r="AN263" i="26" s="1"/>
  <c r="T263" i="26"/>
  <c r="B264" i="26"/>
  <c r="AT263" i="26"/>
  <c r="H264" i="26"/>
  <c r="N263" i="26"/>
  <c r="AJ263" i="26"/>
  <c r="AK263" i="26" s="1"/>
  <c r="AL263" i="26" l="1"/>
  <c r="AM263" i="26" s="1"/>
  <c r="BL263" i="26"/>
  <c r="BC263" i="26"/>
  <c r="W510" i="55"/>
  <c r="O510" i="55"/>
  <c r="S510" i="55" s="1"/>
  <c r="E511" i="55"/>
  <c r="U510" i="55"/>
  <c r="P510" i="55"/>
  <c r="G264" i="26"/>
  <c r="D264" i="26"/>
  <c r="AU262" i="26"/>
  <c r="F264" i="26"/>
  <c r="O264" i="26"/>
  <c r="P264" i="26"/>
  <c r="A264" i="26"/>
  <c r="C264" i="26"/>
  <c r="L264" i="26"/>
  <c r="Q264" i="26"/>
  <c r="K264" i="26"/>
  <c r="W264" i="26"/>
  <c r="V510" i="55" l="1"/>
  <c r="B511" i="55"/>
  <c r="P511" i="55" s="1"/>
  <c r="Q511" i="55"/>
  <c r="C511" i="55"/>
  <c r="U511" i="55" s="1"/>
  <c r="V511" i="55" s="1"/>
  <c r="H511" i="55"/>
  <c r="K511" i="55"/>
  <c r="L511" i="55" s="1"/>
  <c r="A511" i="55"/>
  <c r="F511" i="55"/>
  <c r="D511" i="55"/>
  <c r="E512" i="55" s="1"/>
  <c r="G511" i="55"/>
  <c r="X264" i="26"/>
  <c r="V264" i="26"/>
  <c r="U264" i="26"/>
  <c r="AF264" i="26" s="1"/>
  <c r="AN264" i="26" s="1"/>
  <c r="R264" i="26"/>
  <c r="BT263" i="26"/>
  <c r="AV263" i="55"/>
  <c r="AS264" i="26"/>
  <c r="BJ264" i="26" s="1"/>
  <c r="E265" i="26"/>
  <c r="AP264" i="26"/>
  <c r="M264" i="26"/>
  <c r="O511" i="55" l="1"/>
  <c r="M511" i="55"/>
  <c r="C512" i="55"/>
  <c r="E513" i="55" s="1"/>
  <c r="H512" i="55"/>
  <c r="B512" i="55"/>
  <c r="D512" i="55" s="1"/>
  <c r="Q512" i="55"/>
  <c r="K512" i="55"/>
  <c r="L512" i="55" s="1"/>
  <c r="A512" i="55"/>
  <c r="P512" i="55"/>
  <c r="M512" i="55"/>
  <c r="N512" i="55" s="1"/>
  <c r="G512" i="55"/>
  <c r="F512" i="55"/>
  <c r="W511" i="55"/>
  <c r="AU263" i="26"/>
  <c r="S264" i="26"/>
  <c r="T264" i="26" s="1"/>
  <c r="BC264" i="26" s="1"/>
  <c r="B265" i="26"/>
  <c r="D265" i="26" s="1"/>
  <c r="BK264" i="26"/>
  <c r="AO264" i="26"/>
  <c r="AT264" i="26" s="1"/>
  <c r="H265" i="26"/>
  <c r="N264" i="26"/>
  <c r="AJ264" i="26"/>
  <c r="AK264" i="26" s="1"/>
  <c r="AL264" i="26" l="1"/>
  <c r="AM264" i="26" s="1"/>
  <c r="X512" i="55"/>
  <c r="A513" i="55"/>
  <c r="C513" i="55"/>
  <c r="U513" i="55" s="1"/>
  <c r="B513" i="55"/>
  <c r="K513" i="55"/>
  <c r="L513" i="55" s="1"/>
  <c r="H513" i="55"/>
  <c r="O513" i="55"/>
  <c r="Q513" i="55"/>
  <c r="U512" i="55"/>
  <c r="V512" i="55" s="1"/>
  <c r="N511" i="55"/>
  <c r="D513" i="55"/>
  <c r="M513" i="55" s="1"/>
  <c r="N513" i="55" s="1"/>
  <c r="O512" i="55"/>
  <c r="P513" i="55"/>
  <c r="F513" i="55"/>
  <c r="W512" i="55"/>
  <c r="BL264" i="26"/>
  <c r="BT264" i="26"/>
  <c r="G265" i="26"/>
  <c r="F265" i="26"/>
  <c r="O265" i="26"/>
  <c r="P265" i="26"/>
  <c r="A265" i="26"/>
  <c r="C265" i="26"/>
  <c r="V265" i="26" s="1"/>
  <c r="L265" i="26"/>
  <c r="K265" i="26"/>
  <c r="W265" i="26"/>
  <c r="Q265" i="26"/>
  <c r="V513" i="55" l="1"/>
  <c r="X513" i="55"/>
  <c r="X511" i="55"/>
  <c r="S511" i="55"/>
  <c r="S512" i="55" s="1"/>
  <c r="S513" i="55" s="1"/>
  <c r="E514" i="55"/>
  <c r="G513" i="55"/>
  <c r="W513" i="55"/>
  <c r="K514" i="55"/>
  <c r="L514" i="55" s="1"/>
  <c r="AV264" i="55"/>
  <c r="R265" i="26"/>
  <c r="AS265" i="26"/>
  <c r="BJ265" i="26" s="1"/>
  <c r="E266" i="26"/>
  <c r="AP265" i="26"/>
  <c r="X265" i="26"/>
  <c r="U265" i="26"/>
  <c r="M265" i="26"/>
  <c r="B514" i="55" l="1"/>
  <c r="G514" i="55" s="1"/>
  <c r="W514" i="55"/>
  <c r="C514" i="55"/>
  <c r="O514" i="55" s="1"/>
  <c r="A514" i="55"/>
  <c r="Q514" i="55"/>
  <c r="H514" i="55"/>
  <c r="AU264" i="26"/>
  <c r="AF265" i="26"/>
  <c r="AN265" i="26" s="1"/>
  <c r="S265" i="26"/>
  <c r="T265" i="26" s="1"/>
  <c r="BC265" i="26" s="1"/>
  <c r="B266" i="26"/>
  <c r="P266" i="26" s="1"/>
  <c r="BK265" i="26"/>
  <c r="AO265" i="26"/>
  <c r="AT265" i="26" s="1"/>
  <c r="H266" i="26"/>
  <c r="N265" i="26"/>
  <c r="AJ265" i="26"/>
  <c r="AK265" i="26" s="1"/>
  <c r="AL265" i="26" l="1"/>
  <c r="AM265" i="26" s="1"/>
  <c r="P514" i="55"/>
  <c r="F514" i="55"/>
  <c r="D514" i="55"/>
  <c r="M514" i="55" s="1"/>
  <c r="U514" i="55"/>
  <c r="V514" i="55" s="1"/>
  <c r="BL265" i="26"/>
  <c r="AV265" i="55"/>
  <c r="G266" i="26"/>
  <c r="O266" i="26"/>
  <c r="F266" i="26"/>
  <c r="D266" i="26"/>
  <c r="C266" i="26"/>
  <c r="V266" i="26" s="1"/>
  <c r="A266" i="26"/>
  <c r="L266" i="26"/>
  <c r="K266" i="26"/>
  <c r="W266" i="26"/>
  <c r="Q266" i="26"/>
  <c r="N514" i="55" l="1"/>
  <c r="E515" i="55"/>
  <c r="M266" i="26"/>
  <c r="N266" i="26" s="1"/>
  <c r="BT265" i="26"/>
  <c r="R266" i="26"/>
  <c r="AS266" i="26"/>
  <c r="BJ266" i="26" s="1"/>
  <c r="U266" i="26"/>
  <c r="X266" i="26"/>
  <c r="E267" i="26"/>
  <c r="AP266" i="26"/>
  <c r="C515" i="55" l="1"/>
  <c r="H515" i="55"/>
  <c r="K515" i="55"/>
  <c r="L515" i="55" s="1"/>
  <c r="O515" i="55"/>
  <c r="Q515" i="55"/>
  <c r="A515" i="55"/>
  <c r="P515" i="55"/>
  <c r="B515" i="55"/>
  <c r="D515" i="55" s="1"/>
  <c r="M515" i="55" s="1"/>
  <c r="X514" i="55"/>
  <c r="S514" i="55"/>
  <c r="AJ266" i="26"/>
  <c r="AK266" i="26" s="1"/>
  <c r="AU265" i="26"/>
  <c r="AF266" i="26"/>
  <c r="AN266" i="26" s="1"/>
  <c r="S266" i="26"/>
  <c r="T266" i="26" s="1"/>
  <c r="BC266" i="26" s="1"/>
  <c r="B267" i="26"/>
  <c r="D267" i="26" s="1"/>
  <c r="BK266" i="26"/>
  <c r="AO266" i="26"/>
  <c r="AT266" i="26" s="1"/>
  <c r="H267" i="26"/>
  <c r="AL266" i="26" l="1"/>
  <c r="AM266" i="26" s="1"/>
  <c r="N515" i="55"/>
  <c r="G515" i="55"/>
  <c r="W515" i="55"/>
  <c r="F515" i="55"/>
  <c r="U515" i="55"/>
  <c r="V515" i="55" s="1"/>
  <c r="E516" i="55"/>
  <c r="BL266" i="26"/>
  <c r="AV266" i="55"/>
  <c r="G267" i="26"/>
  <c r="O267" i="26"/>
  <c r="F267" i="26"/>
  <c r="P267" i="26"/>
  <c r="C267" i="26"/>
  <c r="V267" i="26" s="1"/>
  <c r="A267" i="26"/>
  <c r="Q267" i="26"/>
  <c r="L267" i="26"/>
  <c r="K267" i="26"/>
  <c r="W267" i="26"/>
  <c r="B516" i="55" l="1"/>
  <c r="D516" i="55" s="1"/>
  <c r="M516" i="55" s="1"/>
  <c r="Q516" i="55"/>
  <c r="K516" i="55"/>
  <c r="L516" i="55" s="1"/>
  <c r="C516" i="55"/>
  <c r="O516" i="55"/>
  <c r="G516" i="55"/>
  <c r="F516" i="55"/>
  <c r="W516" i="55"/>
  <c r="H516" i="55"/>
  <c r="A516" i="55"/>
  <c r="P516" i="55"/>
  <c r="X515" i="55"/>
  <c r="S515" i="55"/>
  <c r="BT266" i="26"/>
  <c r="R267" i="26"/>
  <c r="U267" i="26"/>
  <c r="AS267" i="26"/>
  <c r="BJ267" i="26" s="1"/>
  <c r="E268" i="26"/>
  <c r="AP267" i="26"/>
  <c r="X267" i="26"/>
  <c r="M267" i="26"/>
  <c r="U516" i="55" l="1"/>
  <c r="V516" i="55" s="1"/>
  <c r="E517" i="55"/>
  <c r="N516" i="55"/>
  <c r="S267" i="26"/>
  <c r="T267" i="26" s="1"/>
  <c r="BC267" i="26" s="1"/>
  <c r="AU266" i="26"/>
  <c r="AF267" i="26"/>
  <c r="AN267" i="26" s="1"/>
  <c r="B268" i="26"/>
  <c r="H268" i="26"/>
  <c r="BK267" i="26"/>
  <c r="AO267" i="26"/>
  <c r="AT267" i="26" s="1"/>
  <c r="N267" i="26"/>
  <c r="AJ267" i="26"/>
  <c r="AK267" i="26" s="1"/>
  <c r="AL267" i="26"/>
  <c r="AM267" i="26" l="1"/>
  <c r="S516" i="55"/>
  <c r="X516" i="55"/>
  <c r="H517" i="55"/>
  <c r="A517" i="55"/>
  <c r="Q517" i="55"/>
  <c r="K517" i="55"/>
  <c r="L517" i="55" s="1"/>
  <c r="B517" i="55"/>
  <c r="F517" i="55" s="1"/>
  <c r="C517" i="55"/>
  <c r="U517" i="55"/>
  <c r="W517" i="55"/>
  <c r="O517" i="55"/>
  <c r="D517" i="55"/>
  <c r="M517" i="55" s="1"/>
  <c r="G517" i="55"/>
  <c r="BL267" i="26"/>
  <c r="AV267" i="55"/>
  <c r="G268" i="26"/>
  <c r="O268" i="26"/>
  <c r="D268" i="26"/>
  <c r="P268" i="26"/>
  <c r="F268" i="26"/>
  <c r="A268" i="26"/>
  <c r="C268" i="26"/>
  <c r="V268" i="26" s="1"/>
  <c r="K268" i="26"/>
  <c r="W268" i="26"/>
  <c r="L268" i="26"/>
  <c r="Q268" i="26"/>
  <c r="P517" i="55" l="1"/>
  <c r="V517" i="55" s="1"/>
  <c r="N517" i="55"/>
  <c r="E518" i="55"/>
  <c r="R268" i="26"/>
  <c r="BT267" i="26"/>
  <c r="AS268" i="26"/>
  <c r="BJ268" i="26" s="1"/>
  <c r="E269" i="26"/>
  <c r="AP268" i="26"/>
  <c r="M268" i="26"/>
  <c r="X268" i="26"/>
  <c r="U268" i="26"/>
  <c r="X517" i="55" l="1"/>
  <c r="S517" i="55"/>
  <c r="B518" i="55"/>
  <c r="P518" i="55" s="1"/>
  <c r="Q518" i="55"/>
  <c r="C518" i="55"/>
  <c r="K518" i="55"/>
  <c r="L518" i="55" s="1"/>
  <c r="A518" i="55"/>
  <c r="H518" i="55"/>
  <c r="O518" i="55"/>
  <c r="F518" i="55"/>
  <c r="D518" i="55"/>
  <c r="M518" i="55" s="1"/>
  <c r="N518" i="55" s="1"/>
  <c r="G518" i="55"/>
  <c r="W518" i="55"/>
  <c r="S268" i="26"/>
  <c r="T268" i="26" s="1"/>
  <c r="AU267" i="26"/>
  <c r="AF268" i="26"/>
  <c r="AN268" i="26" s="1"/>
  <c r="B269" i="26"/>
  <c r="D269" i="26" s="1"/>
  <c r="AO268" i="26"/>
  <c r="AT268" i="26" s="1"/>
  <c r="BK268" i="26"/>
  <c r="H269" i="26"/>
  <c r="N268" i="26"/>
  <c r="AJ268" i="26"/>
  <c r="AK268" i="26" s="1"/>
  <c r="AL268" i="26" l="1"/>
  <c r="AM268" i="26" s="1"/>
  <c r="BL268" i="26"/>
  <c r="BC268" i="26"/>
  <c r="U518" i="55"/>
  <c r="V518" i="55" s="1"/>
  <c r="E519" i="55"/>
  <c r="X518" i="55"/>
  <c r="S518" i="55"/>
  <c r="AV268" i="55"/>
  <c r="F269" i="26"/>
  <c r="G269" i="26"/>
  <c r="O269" i="26"/>
  <c r="P269" i="26"/>
  <c r="A269" i="26"/>
  <c r="C269" i="26"/>
  <c r="V269" i="26" s="1"/>
  <c r="W269" i="26"/>
  <c r="Q269" i="26"/>
  <c r="K269" i="26"/>
  <c r="L269" i="26"/>
  <c r="C519" i="55" l="1"/>
  <c r="K519" i="55"/>
  <c r="L519" i="55" s="1"/>
  <c r="A519" i="55"/>
  <c r="B519" i="55"/>
  <c r="F519" i="55" s="1"/>
  <c r="H519" i="55"/>
  <c r="Q519" i="55"/>
  <c r="D519" i="55"/>
  <c r="M519" i="55" s="1"/>
  <c r="G519" i="55"/>
  <c r="P519" i="55"/>
  <c r="U519" i="55"/>
  <c r="BT268" i="26"/>
  <c r="R269" i="26"/>
  <c r="E270" i="26"/>
  <c r="AP269" i="26"/>
  <c r="M269" i="26"/>
  <c r="X269" i="26"/>
  <c r="U269" i="26"/>
  <c r="V519" i="55" l="1"/>
  <c r="W519" i="55"/>
  <c r="O519" i="55"/>
  <c r="E520" i="55"/>
  <c r="N519" i="55"/>
  <c r="S269" i="26"/>
  <c r="T269" i="26" s="1"/>
  <c r="BC269" i="26" s="1"/>
  <c r="AU268" i="26"/>
  <c r="AF269" i="26"/>
  <c r="AN269" i="26" s="1"/>
  <c r="B270" i="26"/>
  <c r="D270" i="26" s="1"/>
  <c r="BK269" i="26"/>
  <c r="AO269" i="26"/>
  <c r="AT269" i="26" s="1"/>
  <c r="H270" i="26"/>
  <c r="N269" i="26"/>
  <c r="AJ269" i="26"/>
  <c r="AK269" i="26" s="1"/>
  <c r="C270" i="26"/>
  <c r="V270" i="26" s="1"/>
  <c r="A270" i="26"/>
  <c r="Q270" i="26"/>
  <c r="L270" i="26"/>
  <c r="W270" i="26"/>
  <c r="AL269" i="26"/>
  <c r="AM269" i="26" l="1"/>
  <c r="K520" i="55"/>
  <c r="L520" i="55" s="1"/>
  <c r="A520" i="55"/>
  <c r="H520" i="55"/>
  <c r="Q520" i="55"/>
  <c r="C520" i="55"/>
  <c r="B520" i="55"/>
  <c r="W520" i="55" s="1"/>
  <c r="F520" i="55"/>
  <c r="P520" i="55"/>
  <c r="S519" i="55"/>
  <c r="X519" i="55"/>
  <c r="BL269" i="26"/>
  <c r="AV269" i="55"/>
  <c r="F270" i="26"/>
  <c r="R270" i="26" s="1"/>
  <c r="AP270" i="26"/>
  <c r="K270" i="26"/>
  <c r="M270" i="26" s="1"/>
  <c r="O270" i="26"/>
  <c r="G270" i="26"/>
  <c r="P270" i="26"/>
  <c r="AS270" i="26"/>
  <c r="BJ270" i="26" s="1"/>
  <c r="E271" i="26"/>
  <c r="U270" i="26"/>
  <c r="X270" i="26"/>
  <c r="U520" i="55" l="1"/>
  <c r="V520" i="55" s="1"/>
  <c r="O520" i="55"/>
  <c r="D520" i="55"/>
  <c r="M520" i="55" s="1"/>
  <c r="G520" i="55"/>
  <c r="AF270" i="26"/>
  <c r="AN270" i="26" s="1"/>
  <c r="S270" i="26"/>
  <c r="T270" i="26" s="1"/>
  <c r="BT269" i="26"/>
  <c r="B271" i="26"/>
  <c r="P271" i="26" s="1"/>
  <c r="BK270" i="26"/>
  <c r="AO270" i="26"/>
  <c r="AT270" i="26" s="1"/>
  <c r="H271" i="26"/>
  <c r="N270" i="26"/>
  <c r="AJ270" i="26"/>
  <c r="AK270" i="26" s="1"/>
  <c r="C271" i="26"/>
  <c r="V271" i="26" s="1"/>
  <c r="A271" i="26"/>
  <c r="Q271" i="26"/>
  <c r="L271" i="26"/>
  <c r="W271" i="26"/>
  <c r="AL270" i="26"/>
  <c r="AM270" i="26" l="1"/>
  <c r="BL270" i="26"/>
  <c r="BC270" i="26"/>
  <c r="E521" i="55"/>
  <c r="N520" i="55"/>
  <c r="X271" i="26"/>
  <c r="F271" i="26"/>
  <c r="R271" i="26" s="1"/>
  <c r="K271" i="26"/>
  <c r="M271" i="26" s="1"/>
  <c r="O271" i="26"/>
  <c r="G271" i="26"/>
  <c r="D271" i="26"/>
  <c r="E272" i="26" s="1"/>
  <c r="AS271" i="26"/>
  <c r="BJ271" i="26" s="1"/>
  <c r="AP271" i="26"/>
  <c r="U271" i="26"/>
  <c r="S520" i="55" l="1"/>
  <c r="X520" i="55"/>
  <c r="Q521" i="55"/>
  <c r="B521" i="55"/>
  <c r="G521" i="55" s="1"/>
  <c r="H521" i="55"/>
  <c r="K521" i="55"/>
  <c r="L521" i="55" s="1"/>
  <c r="C521" i="55"/>
  <c r="A521" i="55"/>
  <c r="W521" i="55"/>
  <c r="P521" i="55"/>
  <c r="F521" i="55"/>
  <c r="D521" i="55"/>
  <c r="AU269" i="26"/>
  <c r="AF271" i="26"/>
  <c r="AN271" i="26" s="1"/>
  <c r="S271" i="26"/>
  <c r="T271" i="26" s="1"/>
  <c r="BL271" i="26" s="1"/>
  <c r="H272" i="26"/>
  <c r="B272" i="26"/>
  <c r="BT270" i="26"/>
  <c r="AV270" i="55"/>
  <c r="BK271" i="26"/>
  <c r="AO271" i="26"/>
  <c r="AT271" i="26" s="1"/>
  <c r="N271" i="26"/>
  <c r="AJ271" i="26"/>
  <c r="AK271" i="26" s="1"/>
  <c r="A272" i="26"/>
  <c r="C272" i="26"/>
  <c r="AS272" i="26" s="1"/>
  <c r="L272" i="26"/>
  <c r="Q272" i="26"/>
  <c r="W272" i="26"/>
  <c r="BC271" i="26" l="1"/>
  <c r="AL271" i="26"/>
  <c r="AM271" i="26" s="1"/>
  <c r="O521" i="55"/>
  <c r="E522" i="55"/>
  <c r="M521" i="55"/>
  <c r="V272" i="26"/>
  <c r="AV271" i="55"/>
  <c r="AU270" i="26"/>
  <c r="F272" i="26"/>
  <c r="R272" i="26" s="1"/>
  <c r="K272" i="26"/>
  <c r="M272" i="26" s="1"/>
  <c r="D272" i="26"/>
  <c r="E273" i="26" s="1"/>
  <c r="P272" i="26"/>
  <c r="O272" i="26"/>
  <c r="G272" i="26"/>
  <c r="AP272" i="26"/>
  <c r="BJ272" i="26"/>
  <c r="X272" i="26"/>
  <c r="U272" i="26"/>
  <c r="N521" i="55" l="1"/>
  <c r="A522" i="55"/>
  <c r="H522" i="55"/>
  <c r="Q522" i="55"/>
  <c r="B522" i="55"/>
  <c r="C522" i="55"/>
  <c r="O522" i="55" s="1"/>
  <c r="K522" i="55"/>
  <c r="L522" i="55" s="1"/>
  <c r="U522" i="55"/>
  <c r="G522" i="55"/>
  <c r="BT271" i="26"/>
  <c r="AF272" i="26"/>
  <c r="AN272" i="26" s="1"/>
  <c r="S272" i="26"/>
  <c r="T272" i="26" s="1"/>
  <c r="B273" i="26"/>
  <c r="D273" i="26" s="1"/>
  <c r="H273" i="26"/>
  <c r="BK272" i="26"/>
  <c r="AO272" i="26"/>
  <c r="AT272" i="26" s="1"/>
  <c r="N272" i="26"/>
  <c r="AJ272" i="26"/>
  <c r="AK272" i="26" s="1"/>
  <c r="AL272" i="26" l="1"/>
  <c r="AM272" i="26" s="1"/>
  <c r="BL272" i="26"/>
  <c r="BC272" i="26"/>
  <c r="AV272" i="55" s="1"/>
  <c r="W522" i="55"/>
  <c r="F522" i="55"/>
  <c r="P522" i="55"/>
  <c r="V522" i="55" s="1"/>
  <c r="X521" i="55"/>
  <c r="S521" i="55"/>
  <c r="D522" i="55"/>
  <c r="AU271" i="26"/>
  <c r="O273" i="26"/>
  <c r="G273" i="26"/>
  <c r="P273" i="26"/>
  <c r="F273" i="26"/>
  <c r="A273" i="26"/>
  <c r="C273" i="26"/>
  <c r="V273" i="26" s="1"/>
  <c r="W273" i="26"/>
  <c r="K273" i="26"/>
  <c r="L273" i="26"/>
  <c r="Q273" i="26"/>
  <c r="M522" i="55" l="1"/>
  <c r="E523" i="55"/>
  <c r="BT272" i="26"/>
  <c r="R273" i="26"/>
  <c r="AS273" i="26"/>
  <c r="BJ273" i="26" s="1"/>
  <c r="AP273" i="26"/>
  <c r="E274" i="26"/>
  <c r="M273" i="26"/>
  <c r="X273" i="26"/>
  <c r="U273" i="26"/>
  <c r="Q523" i="55" l="1"/>
  <c r="H523" i="55"/>
  <c r="A523" i="55"/>
  <c r="B523" i="55"/>
  <c r="K523" i="55"/>
  <c r="L523" i="55" s="1"/>
  <c r="C523" i="55"/>
  <c r="W523" i="55" s="1"/>
  <c r="N522" i="55"/>
  <c r="AU272" i="26"/>
  <c r="S273" i="26"/>
  <c r="T273" i="26" s="1"/>
  <c r="BC273" i="26" s="1"/>
  <c r="AF273" i="26"/>
  <c r="AN273" i="26" s="1"/>
  <c r="B274" i="26"/>
  <c r="P274" i="26" s="1"/>
  <c r="H274" i="26"/>
  <c r="BK273" i="26"/>
  <c r="AO273" i="26"/>
  <c r="AT273" i="26" s="1"/>
  <c r="N273" i="26"/>
  <c r="AJ273" i="26"/>
  <c r="AK273" i="26" s="1"/>
  <c r="C274" i="26"/>
  <c r="AS274" i="26" s="1"/>
  <c r="A274" i="26"/>
  <c r="W274" i="26"/>
  <c r="L274" i="26"/>
  <c r="Q274" i="26"/>
  <c r="AL273" i="26"/>
  <c r="AM273" i="26" l="1"/>
  <c r="X522" i="55"/>
  <c r="S522" i="55"/>
  <c r="F523" i="55"/>
  <c r="G523" i="55"/>
  <c r="U523" i="55"/>
  <c r="O523" i="55"/>
  <c r="E524" i="55"/>
  <c r="P523" i="55"/>
  <c r="D523" i="55"/>
  <c r="M523" i="55" s="1"/>
  <c r="V274" i="26"/>
  <c r="BL273" i="26"/>
  <c r="BT273" i="26"/>
  <c r="F274" i="26"/>
  <c r="R274" i="26" s="1"/>
  <c r="K274" i="26"/>
  <c r="M274" i="26" s="1"/>
  <c r="AJ274" i="26" s="1"/>
  <c r="AK274" i="26" s="1"/>
  <c r="G274" i="26"/>
  <c r="D274" i="26"/>
  <c r="E275" i="26" s="1"/>
  <c r="O274" i="26"/>
  <c r="X274" i="26"/>
  <c r="BJ274" i="26"/>
  <c r="U274" i="26"/>
  <c r="AP274" i="26"/>
  <c r="V523" i="55" l="1"/>
  <c r="B524" i="55"/>
  <c r="H524" i="55"/>
  <c r="Q524" i="55"/>
  <c r="C524" i="55"/>
  <c r="A524" i="55"/>
  <c r="K524" i="55"/>
  <c r="L524" i="55" s="1"/>
  <c r="G524" i="55"/>
  <c r="N523" i="55"/>
  <c r="AV273" i="55"/>
  <c r="S274" i="26"/>
  <c r="T274" i="26" s="1"/>
  <c r="AF274" i="26"/>
  <c r="AN274" i="26" s="1"/>
  <c r="B275" i="26"/>
  <c r="D275" i="26" s="1"/>
  <c r="N274" i="26"/>
  <c r="H275" i="26"/>
  <c r="AO274" i="26"/>
  <c r="AT274" i="26" s="1"/>
  <c r="BK274" i="26"/>
  <c r="C275" i="26"/>
  <c r="AS275" i="26" s="1"/>
  <c r="A275" i="26"/>
  <c r="L275" i="26"/>
  <c r="Q275" i="26"/>
  <c r="W275" i="26"/>
  <c r="AL274" i="26" l="1"/>
  <c r="AM274" i="26" s="1"/>
  <c r="BL274" i="26"/>
  <c r="BC274" i="26"/>
  <c r="U524" i="55"/>
  <c r="O524" i="55"/>
  <c r="S523" i="55"/>
  <c r="X523" i="55"/>
  <c r="D524" i="55"/>
  <c r="M524" i="55" s="1"/>
  <c r="P524" i="55"/>
  <c r="W524" i="55"/>
  <c r="F524" i="55"/>
  <c r="V275" i="26"/>
  <c r="AU273" i="26"/>
  <c r="K275" i="26"/>
  <c r="M275" i="26" s="1"/>
  <c r="P275" i="26"/>
  <c r="G275" i="26"/>
  <c r="F275" i="26"/>
  <c r="R275" i="26" s="1"/>
  <c r="O275" i="26"/>
  <c r="BJ275" i="26"/>
  <c r="AP275" i="26"/>
  <c r="E276" i="26"/>
  <c r="U275" i="26"/>
  <c r="X275" i="26"/>
  <c r="N524" i="55" l="1"/>
  <c r="E525" i="55"/>
  <c r="V524" i="55"/>
  <c r="S275" i="26"/>
  <c r="T275" i="26" s="1"/>
  <c r="BL275" i="26" s="1"/>
  <c r="AF275" i="26"/>
  <c r="AN275" i="26" s="1"/>
  <c r="BT274" i="26"/>
  <c r="AV274" i="55"/>
  <c r="B276" i="26"/>
  <c r="O276" i="26" s="1"/>
  <c r="BK275" i="26"/>
  <c r="AO275" i="26"/>
  <c r="AT275" i="26" s="1"/>
  <c r="H276" i="26"/>
  <c r="N275" i="26"/>
  <c r="AJ275" i="26"/>
  <c r="AK275" i="26" s="1"/>
  <c r="W276" i="26"/>
  <c r="A276" i="26"/>
  <c r="C276" i="26"/>
  <c r="V276" i="26" s="1"/>
  <c r="Q276" i="26"/>
  <c r="L276" i="26"/>
  <c r="AL275" i="26" l="1"/>
  <c r="AM275" i="26" s="1"/>
  <c r="BC275" i="26"/>
  <c r="AV275" i="55" s="1"/>
  <c r="Q525" i="55"/>
  <c r="C525" i="55"/>
  <c r="B525" i="55"/>
  <c r="G525" i="55" s="1"/>
  <c r="K525" i="55"/>
  <c r="L525" i="55" s="1"/>
  <c r="H525" i="55"/>
  <c r="A525" i="55"/>
  <c r="F525" i="55"/>
  <c r="D525" i="55"/>
  <c r="M525" i="55" s="1"/>
  <c r="U525" i="55"/>
  <c r="W525" i="55"/>
  <c r="N525" i="55"/>
  <c r="X524" i="55"/>
  <c r="S524" i="55"/>
  <c r="AU274" i="26"/>
  <c r="F276" i="26"/>
  <c r="R276" i="26" s="1"/>
  <c r="P276" i="26"/>
  <c r="K276" i="26"/>
  <c r="M276" i="26" s="1"/>
  <c r="G276" i="26"/>
  <c r="D276" i="26"/>
  <c r="E277" i="26" s="1"/>
  <c r="X276" i="26"/>
  <c r="BK276" i="26" s="1"/>
  <c r="AS276" i="26"/>
  <c r="BJ276" i="26" s="1"/>
  <c r="AO276" i="26"/>
  <c r="AP276" i="26"/>
  <c r="U276" i="26"/>
  <c r="X525" i="55" l="1"/>
  <c r="P525" i="55"/>
  <c r="V525" i="55" s="1"/>
  <c r="O525" i="55"/>
  <c r="S525" i="55" s="1"/>
  <c r="E526" i="55"/>
  <c r="AF276" i="26"/>
  <c r="AN276" i="26" s="1"/>
  <c r="BT275" i="26"/>
  <c r="S276" i="26"/>
  <c r="T276" i="26" s="1"/>
  <c r="BL276" i="26" s="1"/>
  <c r="B277" i="26"/>
  <c r="P277" i="26" s="1"/>
  <c r="AT276" i="26"/>
  <c r="H277" i="26"/>
  <c r="N276" i="26"/>
  <c r="AJ276" i="26"/>
  <c r="AK276" i="26" s="1"/>
  <c r="A277" i="26"/>
  <c r="C277" i="26"/>
  <c r="V277" i="26" s="1"/>
  <c r="W277" i="26"/>
  <c r="Q277" i="26"/>
  <c r="L277" i="26"/>
  <c r="BC276" i="26" l="1"/>
  <c r="AV276" i="55" s="1"/>
  <c r="AL276" i="26"/>
  <c r="AM276" i="26" s="1"/>
  <c r="H526" i="55"/>
  <c r="C526" i="55"/>
  <c r="B526" i="55"/>
  <c r="Q526" i="55"/>
  <c r="K526" i="55"/>
  <c r="L526" i="55" s="1"/>
  <c r="A526" i="55"/>
  <c r="AU275" i="26"/>
  <c r="F277" i="26"/>
  <c r="R277" i="26" s="1"/>
  <c r="G277" i="26"/>
  <c r="K277" i="26"/>
  <c r="M277" i="26" s="1"/>
  <c r="O277" i="26"/>
  <c r="D277" i="26"/>
  <c r="E278" i="26" s="1"/>
  <c r="AS277" i="26"/>
  <c r="BJ277" i="26" s="1"/>
  <c r="AP277" i="26"/>
  <c r="AO277" i="26"/>
  <c r="X277" i="26"/>
  <c r="BK277" i="26" s="1"/>
  <c r="U277" i="26"/>
  <c r="D526" i="55" l="1"/>
  <c r="M526" i="55" s="1"/>
  <c r="W526" i="55"/>
  <c r="F526" i="55"/>
  <c r="G526" i="55"/>
  <c r="P526" i="55"/>
  <c r="O526" i="55"/>
  <c r="U526" i="55"/>
  <c r="E527" i="55"/>
  <c r="BT276" i="26"/>
  <c r="AF277" i="26"/>
  <c r="AN277" i="26" s="1"/>
  <c r="S277" i="26"/>
  <c r="T277" i="26" s="1"/>
  <c r="AT277" i="26"/>
  <c r="B278" i="26"/>
  <c r="O278" i="26" s="1"/>
  <c r="H278" i="26"/>
  <c r="N277" i="26"/>
  <c r="AJ277" i="26"/>
  <c r="AK277" i="26" s="1"/>
  <c r="C278" i="26"/>
  <c r="U278" i="26" s="1"/>
  <c r="A278" i="26"/>
  <c r="W278" i="26"/>
  <c r="L278" i="26"/>
  <c r="Q278" i="26"/>
  <c r="AL277" i="26" l="1"/>
  <c r="AM277" i="26" s="1"/>
  <c r="BL277" i="26"/>
  <c r="BC277" i="26"/>
  <c r="BT277" i="26" s="1"/>
  <c r="B527" i="55"/>
  <c r="H527" i="55"/>
  <c r="Q527" i="55"/>
  <c r="C527" i="55"/>
  <c r="A527" i="55"/>
  <c r="K527" i="55"/>
  <c r="L527" i="55" s="1"/>
  <c r="V526" i="55"/>
  <c r="W527" i="55"/>
  <c r="N526" i="55"/>
  <c r="V278" i="26"/>
  <c r="AU276" i="26"/>
  <c r="F278" i="26"/>
  <c r="R278" i="26" s="1"/>
  <c r="X278" i="26"/>
  <c r="K278" i="26"/>
  <c r="M278" i="26" s="1"/>
  <c r="G278" i="26"/>
  <c r="P278" i="26"/>
  <c r="D278" i="26"/>
  <c r="E279" i="26" s="1"/>
  <c r="AF278" i="26"/>
  <c r="AN278" i="26" s="1"/>
  <c r="AS278" i="26"/>
  <c r="BJ278" i="26" s="1"/>
  <c r="AP278" i="26"/>
  <c r="U527" i="55" l="1"/>
  <c r="X526" i="55"/>
  <c r="S526" i="55"/>
  <c r="O527" i="55"/>
  <c r="F527" i="55"/>
  <c r="D527" i="55"/>
  <c r="M527" i="55" s="1"/>
  <c r="P527" i="55"/>
  <c r="G527" i="55"/>
  <c r="AV277" i="55"/>
  <c r="S278" i="26"/>
  <c r="T278" i="26" s="1"/>
  <c r="BL278" i="26" s="1"/>
  <c r="BK278" i="26"/>
  <c r="B279" i="26"/>
  <c r="O279" i="26" s="1"/>
  <c r="AO278" i="26"/>
  <c r="AT278" i="26" s="1"/>
  <c r="H279" i="26"/>
  <c r="N278" i="26"/>
  <c r="AJ278" i="26"/>
  <c r="AK278" i="26" s="1"/>
  <c r="C279" i="26"/>
  <c r="AS279" i="26" s="1"/>
  <c r="A279" i="26"/>
  <c r="Q279" i="26"/>
  <c r="L279" i="26"/>
  <c r="W279" i="26"/>
  <c r="AL278" i="26" l="1"/>
  <c r="AM278" i="26" s="1"/>
  <c r="BC278" i="26"/>
  <c r="BT278" i="26" s="1"/>
  <c r="N527" i="55"/>
  <c r="V527" i="55"/>
  <c r="E528" i="55"/>
  <c r="V279" i="26"/>
  <c r="X279" i="26"/>
  <c r="K279" i="26"/>
  <c r="M279" i="26" s="1"/>
  <c r="N279" i="26" s="1"/>
  <c r="AU277" i="26"/>
  <c r="G279" i="26"/>
  <c r="P279" i="26"/>
  <c r="F279" i="26"/>
  <c r="R279" i="26" s="1"/>
  <c r="D279" i="26"/>
  <c r="E280" i="26" s="1"/>
  <c r="U279" i="26"/>
  <c r="BJ279" i="26"/>
  <c r="AP279" i="26"/>
  <c r="B528" i="55" l="1"/>
  <c r="F528" i="55" s="1"/>
  <c r="C528" i="55"/>
  <c r="G528" i="55"/>
  <c r="D528" i="55"/>
  <c r="M528" i="55" s="1"/>
  <c r="N528" i="55" s="1"/>
  <c r="A528" i="55"/>
  <c r="H528" i="55"/>
  <c r="K528" i="55"/>
  <c r="L528" i="55" s="1"/>
  <c r="Q528" i="55"/>
  <c r="W528" i="55"/>
  <c r="O528" i="55"/>
  <c r="P528" i="55"/>
  <c r="S527" i="55"/>
  <c r="X527" i="55"/>
  <c r="BK279" i="26"/>
  <c r="AF279" i="26"/>
  <c r="AN279" i="26" s="1"/>
  <c r="S279" i="26"/>
  <c r="T279" i="26" s="1"/>
  <c r="BL279" i="26" s="1"/>
  <c r="AV278" i="55"/>
  <c r="B280" i="26"/>
  <c r="D280" i="26" s="1"/>
  <c r="H280" i="26"/>
  <c r="AJ279" i="26"/>
  <c r="AK279" i="26" s="1"/>
  <c r="AO279" i="26"/>
  <c r="AT279" i="26" s="1"/>
  <c r="A280" i="26"/>
  <c r="C280" i="26"/>
  <c r="V280" i="26" s="1"/>
  <c r="W280" i="26"/>
  <c r="Q280" i="26"/>
  <c r="L280" i="26"/>
  <c r="BC279" i="26" l="1"/>
  <c r="AL279" i="26"/>
  <c r="AM279" i="26" s="1"/>
  <c r="S528" i="55"/>
  <c r="X528" i="55"/>
  <c r="U528" i="55"/>
  <c r="V528" i="55" s="1"/>
  <c r="E529" i="55"/>
  <c r="AU278" i="26"/>
  <c r="G280" i="26"/>
  <c r="K280" i="26"/>
  <c r="M280" i="26" s="1"/>
  <c r="P280" i="26"/>
  <c r="AP280" i="26"/>
  <c r="F280" i="26"/>
  <c r="R280" i="26" s="1"/>
  <c r="O280" i="26"/>
  <c r="AS280" i="26"/>
  <c r="BJ280" i="26" s="1"/>
  <c r="X280" i="26"/>
  <c r="U280" i="26"/>
  <c r="E281" i="26"/>
  <c r="K529" i="55" l="1"/>
  <c r="L529" i="55" s="1"/>
  <c r="A529" i="55"/>
  <c r="H529" i="55"/>
  <c r="B529" i="55"/>
  <c r="P529" i="55" s="1"/>
  <c r="Q529" i="55"/>
  <c r="C529" i="55"/>
  <c r="U529" i="55"/>
  <c r="V529" i="55" s="1"/>
  <c r="O529" i="55"/>
  <c r="G529" i="55"/>
  <c r="D529" i="55"/>
  <c r="M529" i="55" s="1"/>
  <c r="N529" i="55" s="1"/>
  <c r="F529" i="55"/>
  <c r="W529" i="55"/>
  <c r="AU279" i="26"/>
  <c r="AF280" i="26"/>
  <c r="AN280" i="26" s="1"/>
  <c r="S280" i="26"/>
  <c r="T280" i="26" s="1"/>
  <c r="BT279" i="26"/>
  <c r="AV279" i="55"/>
  <c r="B281" i="26"/>
  <c r="P281" i="26" s="1"/>
  <c r="H281" i="26"/>
  <c r="BK280" i="26"/>
  <c r="AO280" i="26"/>
  <c r="AT280" i="26" s="1"/>
  <c r="N280" i="26"/>
  <c r="AJ280" i="26"/>
  <c r="AK280" i="26" s="1"/>
  <c r="AL280" i="26" l="1"/>
  <c r="AM280" i="26" s="1"/>
  <c r="BL280" i="26"/>
  <c r="BC280" i="26"/>
  <c r="S529" i="55"/>
  <c r="X529" i="55"/>
  <c r="E530" i="55"/>
  <c r="AV280" i="55"/>
  <c r="F281" i="26"/>
  <c r="O281" i="26"/>
  <c r="G281" i="26"/>
  <c r="D281" i="26"/>
  <c r="A281" i="26"/>
  <c r="C281" i="26"/>
  <c r="V281" i="26" s="1"/>
  <c r="L281" i="26"/>
  <c r="W281" i="26"/>
  <c r="K281" i="26"/>
  <c r="Q281" i="26"/>
  <c r="C530" i="55" l="1"/>
  <c r="U530" i="55" s="1"/>
  <c r="B530" i="55"/>
  <c r="G530" i="55" s="1"/>
  <c r="A530" i="55"/>
  <c r="Q530" i="55"/>
  <c r="K530" i="55"/>
  <c r="L530" i="55" s="1"/>
  <c r="H530" i="55"/>
  <c r="P530" i="55"/>
  <c r="O530" i="55"/>
  <c r="M281" i="26"/>
  <c r="AJ281" i="26" s="1"/>
  <c r="AK281" i="26" s="1"/>
  <c r="BT280" i="26"/>
  <c r="R281" i="26"/>
  <c r="AP281" i="26"/>
  <c r="X281" i="26"/>
  <c r="U281" i="26"/>
  <c r="E282" i="26"/>
  <c r="V530" i="55" l="1"/>
  <c r="D530" i="55"/>
  <c r="E531" i="55" s="1"/>
  <c r="F530" i="55"/>
  <c r="W530" i="55"/>
  <c r="M530" i="55"/>
  <c r="N281" i="26"/>
  <c r="AU280" i="26"/>
  <c r="S281" i="26"/>
  <c r="AF281" i="26"/>
  <c r="AN281" i="26" s="1"/>
  <c r="B282" i="26"/>
  <c r="P282" i="26" s="1"/>
  <c r="BK281" i="26"/>
  <c r="AO281" i="26"/>
  <c r="AT281" i="26" s="1"/>
  <c r="H282" i="26"/>
  <c r="AL281" i="26" l="1"/>
  <c r="AM281" i="26" s="1"/>
  <c r="N530" i="55"/>
  <c r="C531" i="55"/>
  <c r="K531" i="55"/>
  <c r="L531" i="55" s="1"/>
  <c r="B531" i="55"/>
  <c r="G531" i="55" s="1"/>
  <c r="A531" i="55"/>
  <c r="H531" i="55"/>
  <c r="Q531" i="55"/>
  <c r="F531" i="55"/>
  <c r="W531" i="55"/>
  <c r="D531" i="55"/>
  <c r="M531" i="55" s="1"/>
  <c r="P531" i="55"/>
  <c r="U531" i="55"/>
  <c r="T281" i="26"/>
  <c r="F282" i="26"/>
  <c r="D282" i="26"/>
  <c r="O282" i="26"/>
  <c r="G282" i="26"/>
  <c r="C282" i="26"/>
  <c r="V282" i="26" s="1"/>
  <c r="A282" i="26"/>
  <c r="W282" i="26"/>
  <c r="L282" i="26"/>
  <c r="Q282" i="26"/>
  <c r="K282" i="26"/>
  <c r="BC281" i="26" l="1"/>
  <c r="N531" i="55"/>
  <c r="O531" i="55"/>
  <c r="E532" i="55"/>
  <c r="V531" i="55"/>
  <c r="S530" i="55"/>
  <c r="X530" i="55"/>
  <c r="R282" i="26"/>
  <c r="BL281" i="26"/>
  <c r="BT281" i="26"/>
  <c r="M282" i="26"/>
  <c r="N282" i="26" s="1"/>
  <c r="U282" i="26"/>
  <c r="AS282" i="26"/>
  <c r="BJ282" i="26" s="1"/>
  <c r="X282" i="26"/>
  <c r="AP282" i="26"/>
  <c r="E283" i="26"/>
  <c r="AV281" i="55" l="1"/>
  <c r="H532" i="55"/>
  <c r="A532" i="55"/>
  <c r="B532" i="55"/>
  <c r="P532" i="55" s="1"/>
  <c r="C532" i="55"/>
  <c r="Q532" i="55"/>
  <c r="K532" i="55"/>
  <c r="L532" i="55" s="1"/>
  <c r="O532" i="55"/>
  <c r="U532" i="55"/>
  <c r="W532" i="55"/>
  <c r="D532" i="55"/>
  <c r="M532" i="55" s="1"/>
  <c r="F532" i="55"/>
  <c r="X531" i="55"/>
  <c r="S531" i="55"/>
  <c r="S282" i="26"/>
  <c r="T282" i="26" s="1"/>
  <c r="BL282" i="26" s="1"/>
  <c r="AJ282" i="26"/>
  <c r="AK282" i="26" s="1"/>
  <c r="AF282" i="26"/>
  <c r="AN282" i="26" s="1"/>
  <c r="B283" i="26"/>
  <c r="O283" i="26" s="1"/>
  <c r="H283" i="26"/>
  <c r="BK282" i="26"/>
  <c r="AO282" i="26"/>
  <c r="AT282" i="26" s="1"/>
  <c r="C283" i="26"/>
  <c r="V283" i="26" s="1"/>
  <c r="A283" i="26"/>
  <c r="W283" i="26"/>
  <c r="Q283" i="26"/>
  <c r="L283" i="26"/>
  <c r="AL282" i="26" l="1"/>
  <c r="AM282" i="26" s="1"/>
  <c r="BC282" i="26"/>
  <c r="BT282" i="26" s="1"/>
  <c r="V532" i="55"/>
  <c r="E533" i="55"/>
  <c r="N532" i="55"/>
  <c r="G532" i="55"/>
  <c r="AU281" i="26"/>
  <c r="D283" i="26"/>
  <c r="E284" i="26" s="1"/>
  <c r="AS283" i="26"/>
  <c r="BJ283" i="26" s="1"/>
  <c r="F283" i="26"/>
  <c r="R283" i="26" s="1"/>
  <c r="K283" i="26"/>
  <c r="M283" i="26" s="1"/>
  <c r="G283" i="26"/>
  <c r="P283" i="26"/>
  <c r="AO283" i="26"/>
  <c r="AP283" i="26"/>
  <c r="X283" i="26"/>
  <c r="BK283" i="26" s="1"/>
  <c r="U283" i="26"/>
  <c r="X532" i="55" l="1"/>
  <c r="S532" i="55"/>
  <c r="Q533" i="55"/>
  <c r="C533" i="55"/>
  <c r="K533" i="55"/>
  <c r="L533" i="55" s="1"/>
  <c r="A533" i="55"/>
  <c r="H533" i="55"/>
  <c r="B533" i="55"/>
  <c r="W533" i="55" s="1"/>
  <c r="P533" i="55"/>
  <c r="AV282" i="55"/>
  <c r="AF283" i="26"/>
  <c r="AN283" i="26" s="1"/>
  <c r="S283" i="26"/>
  <c r="T283" i="26" s="1"/>
  <c r="BC283" i="26" s="1"/>
  <c r="AT283" i="26"/>
  <c r="B284" i="26"/>
  <c r="P284" i="26" s="1"/>
  <c r="H284" i="26"/>
  <c r="N283" i="26"/>
  <c r="AJ283" i="26"/>
  <c r="AK283" i="26" s="1"/>
  <c r="AL283" i="26"/>
  <c r="A284" i="26"/>
  <c r="C284" i="26"/>
  <c r="AS284" i="26" s="1"/>
  <c r="W284" i="26"/>
  <c r="L284" i="26"/>
  <c r="Q284" i="26"/>
  <c r="AM283" i="26" l="1"/>
  <c r="G533" i="55"/>
  <c r="E534" i="55"/>
  <c r="F533" i="55"/>
  <c r="O533" i="55"/>
  <c r="D533" i="55"/>
  <c r="M533" i="55" s="1"/>
  <c r="V284" i="26"/>
  <c r="BL283" i="26"/>
  <c r="AU282" i="26"/>
  <c r="K284" i="26"/>
  <c r="M284" i="26" s="1"/>
  <c r="F284" i="26"/>
  <c r="R284" i="26" s="1"/>
  <c r="D284" i="26"/>
  <c r="E285" i="26" s="1"/>
  <c r="AP284" i="26"/>
  <c r="G284" i="26"/>
  <c r="O284" i="26"/>
  <c r="BJ284" i="26"/>
  <c r="X284" i="26"/>
  <c r="U284" i="26"/>
  <c r="Q534" i="55" l="1"/>
  <c r="A534" i="55"/>
  <c r="C534" i="55"/>
  <c r="H534" i="55"/>
  <c r="B534" i="55"/>
  <c r="F534" i="55" s="1"/>
  <c r="K534" i="55"/>
  <c r="L534" i="55" s="1"/>
  <c r="O534" i="55"/>
  <c r="G534" i="55"/>
  <c r="U534" i="55"/>
  <c r="N533" i="55"/>
  <c r="S284" i="26"/>
  <c r="T284" i="26" s="1"/>
  <c r="AF284" i="26"/>
  <c r="AN284" i="26" s="1"/>
  <c r="BT283" i="26"/>
  <c r="AV283" i="55"/>
  <c r="B285" i="26"/>
  <c r="H285" i="26"/>
  <c r="BK284" i="26"/>
  <c r="AO284" i="26"/>
  <c r="AT284" i="26" s="1"/>
  <c r="N284" i="26"/>
  <c r="AJ284" i="26"/>
  <c r="AK284" i="26" s="1"/>
  <c r="A285" i="26"/>
  <c r="C285" i="26"/>
  <c r="AS285" i="26" s="1"/>
  <c r="L285" i="26"/>
  <c r="Q285" i="26"/>
  <c r="W285" i="26"/>
  <c r="AL284" i="26" l="1"/>
  <c r="AM284" i="26" s="1"/>
  <c r="BL284" i="26"/>
  <c r="BC284" i="26"/>
  <c r="AV284" i="55" s="1"/>
  <c r="S533" i="55"/>
  <c r="X533" i="55"/>
  <c r="W534" i="55"/>
  <c r="P534" i="55"/>
  <c r="V534" i="55" s="1"/>
  <c r="D534" i="55"/>
  <c r="M534" i="55" s="1"/>
  <c r="V285" i="26"/>
  <c r="G285" i="26"/>
  <c r="AU283" i="26"/>
  <c r="F285" i="26"/>
  <c r="R285" i="26" s="1"/>
  <c r="K285" i="26"/>
  <c r="M285" i="26" s="1"/>
  <c r="AJ285" i="26" s="1"/>
  <c r="AK285" i="26" s="1"/>
  <c r="D285" i="26"/>
  <c r="E286" i="26" s="1"/>
  <c r="O285" i="26"/>
  <c r="P285" i="26"/>
  <c r="BJ285" i="26"/>
  <c r="AP285" i="26"/>
  <c r="X285" i="26"/>
  <c r="U285" i="26"/>
  <c r="E535" i="55" l="1"/>
  <c r="N534" i="55"/>
  <c r="AF285" i="26"/>
  <c r="AN285" i="26" s="1"/>
  <c r="S285" i="26"/>
  <c r="T285" i="26" s="1"/>
  <c r="BC285" i="26" s="1"/>
  <c r="BT284" i="26"/>
  <c r="B286" i="26"/>
  <c r="O286" i="26" s="1"/>
  <c r="N285" i="26"/>
  <c r="BK285" i="26"/>
  <c r="H286" i="26"/>
  <c r="AO285" i="26"/>
  <c r="AT285" i="26" s="1"/>
  <c r="AL285" i="26"/>
  <c r="AM285" i="26" l="1"/>
  <c r="X534" i="55"/>
  <c r="S534" i="55"/>
  <c r="Q535" i="55"/>
  <c r="K535" i="55"/>
  <c r="L535" i="55" s="1"/>
  <c r="A535" i="55"/>
  <c r="H535" i="55"/>
  <c r="B535" i="55"/>
  <c r="P535" i="55" s="1"/>
  <c r="C535" i="55"/>
  <c r="O535" i="55" s="1"/>
  <c r="G535" i="55"/>
  <c r="W535" i="55"/>
  <c r="D535" i="55"/>
  <c r="M535" i="55" s="1"/>
  <c r="N535" i="55" s="1"/>
  <c r="AU284" i="26"/>
  <c r="BL285" i="26"/>
  <c r="AV285" i="55"/>
  <c r="P286" i="26"/>
  <c r="F286" i="26"/>
  <c r="D286" i="26"/>
  <c r="G286" i="26"/>
  <c r="C286" i="26"/>
  <c r="V286" i="26" s="1"/>
  <c r="A286" i="26"/>
  <c r="L286" i="26"/>
  <c r="Q286" i="26"/>
  <c r="K286" i="26"/>
  <c r="W286" i="26"/>
  <c r="X535" i="55" l="1"/>
  <c r="S535" i="55"/>
  <c r="U535" i="55"/>
  <c r="V535" i="55" s="1"/>
  <c r="E536" i="55"/>
  <c r="F535" i="55"/>
  <c r="BT285" i="26"/>
  <c r="R286" i="26"/>
  <c r="X286" i="26"/>
  <c r="AS286" i="26"/>
  <c r="BJ286" i="26" s="1"/>
  <c r="U286" i="26"/>
  <c r="E287" i="26"/>
  <c r="AP286" i="26"/>
  <c r="M286" i="26"/>
  <c r="B536" i="55" l="1"/>
  <c r="D536" i="55" s="1"/>
  <c r="M536" i="55" s="1"/>
  <c r="N536" i="55" s="1"/>
  <c r="K536" i="55"/>
  <c r="L536" i="55" s="1"/>
  <c r="P536" i="55"/>
  <c r="H536" i="55"/>
  <c r="X536" i="55" s="1"/>
  <c r="F536" i="55"/>
  <c r="A536" i="55"/>
  <c r="O536" i="55"/>
  <c r="S536" i="55" s="1"/>
  <c r="Q536" i="55"/>
  <c r="C536" i="55"/>
  <c r="E537" i="55" s="1"/>
  <c r="G536" i="55"/>
  <c r="AU285" i="26"/>
  <c r="AF286" i="26"/>
  <c r="AN286" i="26" s="1"/>
  <c r="S286" i="26"/>
  <c r="T286" i="26" s="1"/>
  <c r="BC286" i="26" s="1"/>
  <c r="B287" i="26"/>
  <c r="D287" i="26" s="1"/>
  <c r="BK286" i="26"/>
  <c r="AO286" i="26"/>
  <c r="AT286" i="26" s="1"/>
  <c r="H287" i="26"/>
  <c r="N286" i="26"/>
  <c r="AJ286" i="26"/>
  <c r="AK286" i="26" s="1"/>
  <c r="C287" i="26"/>
  <c r="V287" i="26" s="1"/>
  <c r="A287" i="26"/>
  <c r="W287" i="26"/>
  <c r="Q287" i="26"/>
  <c r="L287" i="26"/>
  <c r="AL286" i="26" l="1"/>
  <c r="AM286" i="26" s="1"/>
  <c r="B537" i="55"/>
  <c r="F537" i="55" s="1"/>
  <c r="H537" i="55"/>
  <c r="Q537" i="55"/>
  <c r="K537" i="55"/>
  <c r="L537" i="55" s="1"/>
  <c r="C537" i="55"/>
  <c r="A537" i="55"/>
  <c r="O537" i="55"/>
  <c r="P537" i="55"/>
  <c r="D537" i="55"/>
  <c r="M537" i="55" s="1"/>
  <c r="G537" i="55"/>
  <c r="U537" i="55"/>
  <c r="V537" i="55" s="1"/>
  <c r="N537" i="55"/>
  <c r="U536" i="55"/>
  <c r="V536" i="55" s="1"/>
  <c r="W536" i="55"/>
  <c r="BL286" i="26"/>
  <c r="AS287" i="26"/>
  <c r="BJ287" i="26" s="1"/>
  <c r="F287" i="26"/>
  <c r="R287" i="26" s="1"/>
  <c r="O287" i="26"/>
  <c r="K287" i="26"/>
  <c r="M287" i="26" s="1"/>
  <c r="G287" i="26"/>
  <c r="P287" i="26"/>
  <c r="AO287" i="26"/>
  <c r="AP287" i="26"/>
  <c r="U287" i="26"/>
  <c r="E288" i="26"/>
  <c r="X287" i="26"/>
  <c r="BK287" i="26" s="1"/>
  <c r="W537" i="55" l="1"/>
  <c r="X537" i="55"/>
  <c r="S537" i="55"/>
  <c r="E538" i="55"/>
  <c r="AV286" i="55"/>
  <c r="BT286" i="26"/>
  <c r="S287" i="26"/>
  <c r="T287" i="26" s="1"/>
  <c r="BC287" i="26" s="1"/>
  <c r="AF287" i="26"/>
  <c r="AN287" i="26" s="1"/>
  <c r="B288" i="26"/>
  <c r="O288" i="26" s="1"/>
  <c r="AT287" i="26"/>
  <c r="H288" i="26"/>
  <c r="N287" i="26"/>
  <c r="AJ287" i="26"/>
  <c r="AK287" i="26" s="1"/>
  <c r="A288" i="26"/>
  <c r="C288" i="26"/>
  <c r="AS288" i="26" s="1"/>
  <c r="L288" i="26"/>
  <c r="Q288" i="26"/>
  <c r="W288" i="26"/>
  <c r="AL287" i="26" l="1"/>
  <c r="AM287" i="26" s="1"/>
  <c r="A538" i="55"/>
  <c r="B538" i="55"/>
  <c r="U538" i="55"/>
  <c r="H538" i="55"/>
  <c r="G538" i="55"/>
  <c r="C538" i="55"/>
  <c r="Q538" i="55"/>
  <c r="K538" i="55"/>
  <c r="L538" i="55" s="1"/>
  <c r="O538" i="55"/>
  <c r="D538" i="55"/>
  <c r="M538" i="55" s="1"/>
  <c r="N538" i="55" s="1"/>
  <c r="S538" i="55" s="1"/>
  <c r="F538" i="55"/>
  <c r="P538" i="55"/>
  <c r="V288" i="26"/>
  <c r="F288" i="26"/>
  <c r="R288" i="26" s="1"/>
  <c r="AU286" i="26"/>
  <c r="BL287" i="26"/>
  <c r="AV287" i="55"/>
  <c r="K288" i="26"/>
  <c r="M288" i="26" s="1"/>
  <c r="P288" i="26"/>
  <c r="G288" i="26"/>
  <c r="D288" i="26"/>
  <c r="E289" i="26" s="1"/>
  <c r="U288" i="26"/>
  <c r="BJ288" i="26"/>
  <c r="AP288" i="26"/>
  <c r="X288" i="26"/>
  <c r="E539" i="55" l="1"/>
  <c r="W538" i="55"/>
  <c r="V538" i="55"/>
  <c r="X538" i="55"/>
  <c r="BT287" i="26"/>
  <c r="AF288" i="26"/>
  <c r="AN288" i="26" s="1"/>
  <c r="H289" i="26"/>
  <c r="S288" i="26"/>
  <c r="T288" i="26" s="1"/>
  <c r="BC288" i="26" s="1"/>
  <c r="B289" i="26"/>
  <c r="D289" i="26" s="1"/>
  <c r="BK288" i="26"/>
  <c r="AO288" i="26"/>
  <c r="AT288" i="26" s="1"/>
  <c r="N288" i="26"/>
  <c r="AJ288" i="26"/>
  <c r="AK288" i="26" s="1"/>
  <c r="A289" i="26"/>
  <c r="C289" i="26"/>
  <c r="V289" i="26" s="1"/>
  <c r="Q289" i="26"/>
  <c r="L289" i="26"/>
  <c r="W289" i="26"/>
  <c r="AL288" i="26" l="1"/>
  <c r="AM288" i="26" s="1"/>
  <c r="Q539" i="55"/>
  <c r="O539" i="55"/>
  <c r="B539" i="55"/>
  <c r="A539" i="55"/>
  <c r="C539" i="55"/>
  <c r="U539" i="55" s="1"/>
  <c r="K539" i="55"/>
  <c r="L539" i="55" s="1"/>
  <c r="H539" i="55"/>
  <c r="BL288" i="26"/>
  <c r="BT288" i="26"/>
  <c r="AU287" i="26"/>
  <c r="G289" i="26"/>
  <c r="P289" i="26"/>
  <c r="K289" i="26"/>
  <c r="M289" i="26" s="1"/>
  <c r="F289" i="26"/>
  <c r="R289" i="26" s="1"/>
  <c r="O289" i="26"/>
  <c r="AP289" i="26"/>
  <c r="AS289" i="26"/>
  <c r="BJ289" i="26" s="1"/>
  <c r="E290" i="26"/>
  <c r="X289" i="26"/>
  <c r="U289" i="26"/>
  <c r="W539" i="55" l="1"/>
  <c r="P539" i="55"/>
  <c r="V539" i="55" s="1"/>
  <c r="D539" i="55"/>
  <c r="F539" i="55"/>
  <c r="G539" i="55"/>
  <c r="AV288" i="55"/>
  <c r="AF289" i="26"/>
  <c r="AN289" i="26" s="1"/>
  <c r="S289" i="26"/>
  <c r="T289" i="26" s="1"/>
  <c r="Q290" i="26"/>
  <c r="AL289" i="26"/>
  <c r="W290" i="26"/>
  <c r="C290" i="26"/>
  <c r="V290" i="26" s="1"/>
  <c r="B290" i="26"/>
  <c r="L290" i="26"/>
  <c r="A290" i="26"/>
  <c r="BK289" i="26"/>
  <c r="AO289" i="26"/>
  <c r="AT289" i="26" s="1"/>
  <c r="H290" i="26"/>
  <c r="N289" i="26"/>
  <c r="AJ289" i="26"/>
  <c r="AK289" i="26" s="1"/>
  <c r="BL289" i="26" l="1"/>
  <c r="BC289" i="26"/>
  <c r="AV289" i="55" s="1"/>
  <c r="AM289" i="26"/>
  <c r="M539" i="55"/>
  <c r="E540" i="55"/>
  <c r="U290" i="26"/>
  <c r="AF290" i="26" s="1"/>
  <c r="AN290" i="26" s="1"/>
  <c r="AU288" i="26"/>
  <c r="AP290" i="26"/>
  <c r="AS290" i="26"/>
  <c r="BJ290" i="26" s="1"/>
  <c r="G290" i="26"/>
  <c r="P290" i="26"/>
  <c r="D290" i="26"/>
  <c r="E291" i="26" s="1"/>
  <c r="X290" i="26"/>
  <c r="BK290" i="26" s="1"/>
  <c r="O290" i="26"/>
  <c r="K290" i="26"/>
  <c r="M290" i="26" s="1"/>
  <c r="N290" i="26" s="1"/>
  <c r="F290" i="26"/>
  <c r="R290" i="26" s="1"/>
  <c r="AO290" i="26"/>
  <c r="K540" i="55" l="1"/>
  <c r="L540" i="55" s="1"/>
  <c r="B540" i="55"/>
  <c r="F540" i="55" s="1"/>
  <c r="C540" i="55"/>
  <c r="H540" i="55"/>
  <c r="Q540" i="55"/>
  <c r="A540" i="55"/>
  <c r="U540" i="55"/>
  <c r="N539" i="55"/>
  <c r="Q291" i="26"/>
  <c r="AT290" i="26"/>
  <c r="AU289" i="26"/>
  <c r="BT289" i="26"/>
  <c r="S290" i="26"/>
  <c r="T290" i="26" s="1"/>
  <c r="BL290" i="26" s="1"/>
  <c r="B291" i="26"/>
  <c r="A291" i="26"/>
  <c r="H291" i="26"/>
  <c r="C291" i="26"/>
  <c r="AS291" i="26" s="1"/>
  <c r="BJ291" i="26" s="1"/>
  <c r="L291" i="26"/>
  <c r="W291" i="26"/>
  <c r="AJ290" i="26"/>
  <c r="AK290" i="26" s="1"/>
  <c r="AL290" i="26"/>
  <c r="F291" i="26"/>
  <c r="AM290" i="26" l="1"/>
  <c r="BC290" i="26"/>
  <c r="BT290" i="26" s="1"/>
  <c r="P540" i="55"/>
  <c r="D540" i="55"/>
  <c r="M540" i="55" s="1"/>
  <c r="G540" i="55"/>
  <c r="V540" i="55"/>
  <c r="X539" i="55"/>
  <c r="S539" i="55"/>
  <c r="O540" i="55"/>
  <c r="E541" i="55"/>
  <c r="W540" i="55"/>
  <c r="V291" i="26"/>
  <c r="R291" i="26"/>
  <c r="O291" i="26"/>
  <c r="D291" i="26"/>
  <c r="E292" i="26" s="1"/>
  <c r="X291" i="26"/>
  <c r="G291" i="26"/>
  <c r="P291" i="26"/>
  <c r="K291" i="26"/>
  <c r="M291" i="26" s="1"/>
  <c r="AJ291" i="26" s="1"/>
  <c r="AK291" i="26" s="1"/>
  <c r="U291" i="26"/>
  <c r="AP291" i="26"/>
  <c r="K541" i="55" l="1"/>
  <c r="L541" i="55" s="1"/>
  <c r="Q541" i="55"/>
  <c r="C541" i="55"/>
  <c r="O541" i="55" s="1"/>
  <c r="B541" i="55"/>
  <c r="P541" i="55" s="1"/>
  <c r="H541" i="55"/>
  <c r="A541" i="55"/>
  <c r="F541" i="55"/>
  <c r="N540" i="55"/>
  <c r="U541" i="55"/>
  <c r="V541" i="55" s="1"/>
  <c r="S291" i="26"/>
  <c r="T291" i="26" s="1"/>
  <c r="BL291" i="26" s="1"/>
  <c r="AL291" i="26"/>
  <c r="N291" i="26"/>
  <c r="B292" i="26"/>
  <c r="O292" i="26" s="1"/>
  <c r="Q292" i="26"/>
  <c r="H292" i="26"/>
  <c r="L292" i="26"/>
  <c r="C292" i="26"/>
  <c r="V292" i="26" s="1"/>
  <c r="W292" i="26"/>
  <c r="A292" i="26"/>
  <c r="AO291" i="26"/>
  <c r="AT291" i="26" s="1"/>
  <c r="BK291" i="26"/>
  <c r="AF291" i="26"/>
  <c r="AN291" i="26" s="1"/>
  <c r="AV290" i="55"/>
  <c r="BC291" i="26" l="1"/>
  <c r="AV291" i="55" s="1"/>
  <c r="AM291" i="26"/>
  <c r="AU291" i="26" s="1"/>
  <c r="X540" i="55"/>
  <c r="S540" i="55"/>
  <c r="D541" i="55"/>
  <c r="G541" i="55"/>
  <c r="W541" i="55"/>
  <c r="G292" i="26"/>
  <c r="F292" i="26"/>
  <c r="R292" i="26" s="1"/>
  <c r="X292" i="26"/>
  <c r="AS292" i="26"/>
  <c r="BJ292" i="26" s="1"/>
  <c r="K292" i="26"/>
  <c r="M292" i="26" s="1"/>
  <c r="P292" i="26"/>
  <c r="D292" i="26"/>
  <c r="E293" i="26" s="1"/>
  <c r="AP292" i="26"/>
  <c r="U292" i="26"/>
  <c r="AF292" i="26" s="1"/>
  <c r="AN292" i="26" s="1"/>
  <c r="AU290" i="26"/>
  <c r="M541" i="55" l="1"/>
  <c r="E542" i="55"/>
  <c r="BK292" i="26"/>
  <c r="BT291" i="26"/>
  <c r="B293" i="26"/>
  <c r="P293" i="26" s="1"/>
  <c r="L293" i="26"/>
  <c r="S292" i="26"/>
  <c r="T292" i="26" s="1"/>
  <c r="BL292" i="26" s="1"/>
  <c r="W293" i="26"/>
  <c r="H293" i="26"/>
  <c r="AJ292" i="26"/>
  <c r="AK292" i="26" s="1"/>
  <c r="N292" i="26"/>
  <c r="Q293" i="26"/>
  <c r="C293" i="26"/>
  <c r="A293" i="26"/>
  <c r="AL292" i="26"/>
  <c r="AO292" i="26"/>
  <c r="AT292" i="26" s="1"/>
  <c r="F293" i="26"/>
  <c r="BC292" i="26" l="1"/>
  <c r="AM292" i="26"/>
  <c r="V293" i="26"/>
  <c r="AO293" i="26" s="1"/>
  <c r="C542" i="55"/>
  <c r="K542" i="55"/>
  <c r="L542" i="55" s="1"/>
  <c r="B542" i="55"/>
  <c r="F542" i="55" s="1"/>
  <c r="Q542" i="55"/>
  <c r="A542" i="55"/>
  <c r="H542" i="55"/>
  <c r="N541" i="55"/>
  <c r="D293" i="26"/>
  <c r="E294" i="26" s="1"/>
  <c r="O293" i="26"/>
  <c r="K293" i="26"/>
  <c r="M293" i="26" s="1"/>
  <c r="N293" i="26" s="1"/>
  <c r="G293" i="26"/>
  <c r="X293" i="26"/>
  <c r="BT292" i="26"/>
  <c r="U293" i="26"/>
  <c r="AF293" i="26" s="1"/>
  <c r="AN293" i="26" s="1"/>
  <c r="AP293" i="26"/>
  <c r="R293" i="26"/>
  <c r="S541" i="55" l="1"/>
  <c r="X541" i="55"/>
  <c r="O542" i="55"/>
  <c r="P542" i="55"/>
  <c r="W542" i="55"/>
  <c r="D542" i="55"/>
  <c r="M542" i="55" s="1"/>
  <c r="G542" i="55"/>
  <c r="U542" i="55"/>
  <c r="V542" i="55" s="1"/>
  <c r="AJ293" i="26"/>
  <c r="AK293" i="26" s="1"/>
  <c r="S293" i="26"/>
  <c r="T293" i="26" s="1"/>
  <c r="BK293" i="26"/>
  <c r="AV292" i="55"/>
  <c r="H294" i="26"/>
  <c r="B294" i="26"/>
  <c r="P294" i="26" s="1"/>
  <c r="AT293" i="26"/>
  <c r="AU292" i="26"/>
  <c r="C294" i="26"/>
  <c r="AS294" i="26" s="1"/>
  <c r="A294" i="26"/>
  <c r="Q294" i="26"/>
  <c r="W294" i="26"/>
  <c r="L294" i="26"/>
  <c r="AL293" i="26" l="1"/>
  <c r="AM293" i="26" s="1"/>
  <c r="BL293" i="26"/>
  <c r="BC293" i="26"/>
  <c r="N542" i="55"/>
  <c r="E543" i="55"/>
  <c r="V294" i="26"/>
  <c r="O294" i="26"/>
  <c r="K294" i="26"/>
  <c r="M294" i="26" s="1"/>
  <c r="D294" i="26"/>
  <c r="E295" i="26" s="1"/>
  <c r="G294" i="26"/>
  <c r="F294" i="26"/>
  <c r="R294" i="26" s="1"/>
  <c r="AV293" i="55"/>
  <c r="BJ294" i="26"/>
  <c r="AP294" i="26"/>
  <c r="U294" i="26"/>
  <c r="X294" i="26"/>
  <c r="K543" i="55" l="1"/>
  <c r="L543" i="55" s="1"/>
  <c r="C543" i="55"/>
  <c r="U543" i="55" s="1"/>
  <c r="H543" i="55"/>
  <c r="Q543" i="55"/>
  <c r="B543" i="55"/>
  <c r="G543" i="55" s="1"/>
  <c r="A543" i="55"/>
  <c r="F543" i="55"/>
  <c r="S542" i="55"/>
  <c r="X542" i="55"/>
  <c r="BT293" i="26"/>
  <c r="AU293" i="26"/>
  <c r="AF294" i="26"/>
  <c r="AN294" i="26" s="1"/>
  <c r="S294" i="26"/>
  <c r="T294" i="26" s="1"/>
  <c r="BC294" i="26" s="1"/>
  <c r="B295" i="26"/>
  <c r="P295" i="26" s="1"/>
  <c r="H295" i="26"/>
  <c r="BK294" i="26"/>
  <c r="AO294" i="26"/>
  <c r="AT294" i="26" s="1"/>
  <c r="N294" i="26"/>
  <c r="AJ294" i="26"/>
  <c r="AK294" i="26" s="1"/>
  <c r="C295" i="26"/>
  <c r="V295" i="26" s="1"/>
  <c r="A295" i="26"/>
  <c r="L295" i="26"/>
  <c r="Q295" i="26"/>
  <c r="W295" i="26"/>
  <c r="AL294" i="26"/>
  <c r="AM294" i="26" l="1"/>
  <c r="W543" i="55"/>
  <c r="O543" i="55"/>
  <c r="E544" i="55"/>
  <c r="D543" i="55"/>
  <c r="M543" i="55" s="1"/>
  <c r="P543" i="55"/>
  <c r="V543" i="55" s="1"/>
  <c r="BL294" i="26"/>
  <c r="AV294" i="55"/>
  <c r="G295" i="26"/>
  <c r="K295" i="26"/>
  <c r="M295" i="26" s="1"/>
  <c r="AJ295" i="26" s="1"/>
  <c r="AK295" i="26" s="1"/>
  <c r="D295" i="26"/>
  <c r="E296" i="26" s="1"/>
  <c r="F295" i="26"/>
  <c r="R295" i="26" s="1"/>
  <c r="O295" i="26"/>
  <c r="AS295" i="26"/>
  <c r="BJ295" i="26" s="1"/>
  <c r="AP295" i="26"/>
  <c r="AO295" i="26"/>
  <c r="X295" i="26"/>
  <c r="U295" i="26"/>
  <c r="Q544" i="55" l="1"/>
  <c r="A544" i="55"/>
  <c r="C544" i="55"/>
  <c r="K544" i="55"/>
  <c r="L544" i="55" s="1"/>
  <c r="H544" i="55"/>
  <c r="B544" i="55"/>
  <c r="P544" i="55" s="1"/>
  <c r="D544" i="55"/>
  <c r="M544" i="55" s="1"/>
  <c r="N544" i="55" s="1"/>
  <c r="X544" i="55" s="1"/>
  <c r="N543" i="55"/>
  <c r="BT294" i="26"/>
  <c r="S295" i="26"/>
  <c r="T295" i="26" s="1"/>
  <c r="AF295" i="26"/>
  <c r="AN295" i="26" s="1"/>
  <c r="AL295" i="26"/>
  <c r="AT295" i="26"/>
  <c r="C296" i="26"/>
  <c r="U296" i="26" s="1"/>
  <c r="B296" i="26"/>
  <c r="N295" i="26"/>
  <c r="W296" i="26"/>
  <c r="Q296" i="26"/>
  <c r="A296" i="26"/>
  <c r="L296" i="26"/>
  <c r="BK295" i="26"/>
  <c r="H296" i="26"/>
  <c r="BL295" i="26" l="1"/>
  <c r="BC295" i="26"/>
  <c r="G544" i="55"/>
  <c r="X543" i="55"/>
  <c r="S543" i="55"/>
  <c r="O544" i="55"/>
  <c r="F544" i="55"/>
  <c r="W544" i="55"/>
  <c r="U544" i="55"/>
  <c r="V544" i="55" s="1"/>
  <c r="E545" i="55"/>
  <c r="V296" i="26"/>
  <c r="AO296" i="26" s="1"/>
  <c r="AM295" i="26"/>
  <c r="AU294" i="26"/>
  <c r="AP296" i="26"/>
  <c r="P296" i="26"/>
  <c r="AF296" i="26"/>
  <c r="AN296" i="26" s="1"/>
  <c r="AS296" i="26"/>
  <c r="BJ296" i="26" s="1"/>
  <c r="D296" i="26"/>
  <c r="E297" i="26" s="1"/>
  <c r="O296" i="26"/>
  <c r="F296" i="26"/>
  <c r="R296" i="26" s="1"/>
  <c r="K296" i="26"/>
  <c r="M296" i="26" s="1"/>
  <c r="N296" i="26" s="1"/>
  <c r="X296" i="26"/>
  <c r="G296" i="26"/>
  <c r="S544" i="55" l="1"/>
  <c r="Q545" i="55"/>
  <c r="C545" i="55"/>
  <c r="E546" i="55" s="1"/>
  <c r="H545" i="55"/>
  <c r="B545" i="55"/>
  <c r="P545" i="55" s="1"/>
  <c r="K545" i="55"/>
  <c r="L545" i="55" s="1"/>
  <c r="F545" i="55"/>
  <c r="A545" i="55"/>
  <c r="G545" i="55"/>
  <c r="D545" i="55"/>
  <c r="M545" i="55" s="1"/>
  <c r="N545" i="55" s="1"/>
  <c r="O545" i="55"/>
  <c r="W545" i="55"/>
  <c r="X545" i="55"/>
  <c r="AT296" i="26"/>
  <c r="BK296" i="26"/>
  <c r="AU295" i="26"/>
  <c r="S296" i="26"/>
  <c r="T296" i="26" s="1"/>
  <c r="BL296" i="26" s="1"/>
  <c r="BT295" i="26"/>
  <c r="AV295" i="55"/>
  <c r="B297" i="26"/>
  <c r="O297" i="26" s="1"/>
  <c r="AJ296" i="26"/>
  <c r="AK296" i="26" s="1"/>
  <c r="H297" i="26"/>
  <c r="A297" i="26"/>
  <c r="C297" i="26"/>
  <c r="AS297" i="26" s="1"/>
  <c r="W297" i="26"/>
  <c r="L297" i="26"/>
  <c r="Q297" i="26"/>
  <c r="AL296" i="26" l="1"/>
  <c r="AM296" i="26" s="1"/>
  <c r="BC296" i="26"/>
  <c r="BT296" i="26" s="1"/>
  <c r="S545" i="55"/>
  <c r="A546" i="55"/>
  <c r="K546" i="55"/>
  <c r="L546" i="55" s="1"/>
  <c r="C546" i="55"/>
  <c r="H546" i="55"/>
  <c r="Q546" i="55"/>
  <c r="B546" i="55"/>
  <c r="P546" i="55" s="1"/>
  <c r="V297" i="26"/>
  <c r="G297" i="26"/>
  <c r="P297" i="26"/>
  <c r="K297" i="26"/>
  <c r="M297" i="26" s="1"/>
  <c r="F297" i="26"/>
  <c r="R297" i="26" s="1"/>
  <c r="D297" i="26"/>
  <c r="E298" i="26" s="1"/>
  <c r="BJ297" i="26"/>
  <c r="AP297" i="26"/>
  <c r="X297" i="26"/>
  <c r="U297" i="26"/>
  <c r="G546" i="55" l="1"/>
  <c r="W546" i="55"/>
  <c r="D546" i="55"/>
  <c r="E547" i="55" s="1"/>
  <c r="O546" i="55"/>
  <c r="U546" i="55"/>
  <c r="V546" i="55" s="1"/>
  <c r="F546" i="55"/>
  <c r="M546" i="55"/>
  <c r="AU296" i="26"/>
  <c r="AV296" i="55"/>
  <c r="AF297" i="26"/>
  <c r="AN297" i="26" s="1"/>
  <c r="S297" i="26"/>
  <c r="T297" i="26" s="1"/>
  <c r="BL297" i="26" s="1"/>
  <c r="B298" i="26"/>
  <c r="P298" i="26" s="1"/>
  <c r="AO297" i="26"/>
  <c r="AT297" i="26" s="1"/>
  <c r="BK297" i="26"/>
  <c r="H298" i="26"/>
  <c r="N297" i="26"/>
  <c r="AJ297" i="26"/>
  <c r="AK297" i="26" s="1"/>
  <c r="C298" i="26"/>
  <c r="V298" i="26" s="1"/>
  <c r="A298" i="26"/>
  <c r="W298" i="26"/>
  <c r="L298" i="26"/>
  <c r="Q298" i="26"/>
  <c r="AL297" i="26" l="1"/>
  <c r="AM297" i="26" s="1"/>
  <c r="BC297" i="26"/>
  <c r="N546" i="55"/>
  <c r="H547" i="55"/>
  <c r="A547" i="55"/>
  <c r="Q547" i="55"/>
  <c r="C547" i="55"/>
  <c r="K547" i="55"/>
  <c r="L547" i="55" s="1"/>
  <c r="O547" i="55"/>
  <c r="B547" i="55"/>
  <c r="U547" i="55"/>
  <c r="P547" i="55"/>
  <c r="G547" i="55"/>
  <c r="AV297" i="55"/>
  <c r="F298" i="26"/>
  <c r="R298" i="26" s="1"/>
  <c r="D298" i="26"/>
  <c r="U298" i="26"/>
  <c r="K298" i="26"/>
  <c r="M298" i="26" s="1"/>
  <c r="G298" i="26"/>
  <c r="O298" i="26"/>
  <c r="AS298" i="26"/>
  <c r="BJ298" i="26" s="1"/>
  <c r="AO298" i="26"/>
  <c r="AP298" i="26"/>
  <c r="X298" i="26"/>
  <c r="V547" i="55" l="1"/>
  <c r="S546" i="55"/>
  <c r="X546" i="55"/>
  <c r="F547" i="55"/>
  <c r="W547" i="55"/>
  <c r="D547" i="55"/>
  <c r="S298" i="26"/>
  <c r="T298" i="26" s="1"/>
  <c r="BL298" i="26" s="1"/>
  <c r="AF298" i="26"/>
  <c r="AN298" i="26" s="1"/>
  <c r="BT297" i="26"/>
  <c r="AL298" i="26"/>
  <c r="E299" i="26"/>
  <c r="AT298" i="26"/>
  <c r="BK298" i="26"/>
  <c r="N298" i="26"/>
  <c r="AJ298" i="26"/>
  <c r="AK298" i="26" s="1"/>
  <c r="BC298" i="26" l="1"/>
  <c r="E548" i="55"/>
  <c r="M547" i="55"/>
  <c r="AM298" i="26"/>
  <c r="Q299" i="26"/>
  <c r="L299" i="26"/>
  <c r="W299" i="26"/>
  <c r="AU297" i="26"/>
  <c r="H299" i="26"/>
  <c r="B299" i="26"/>
  <c r="A299" i="26"/>
  <c r="C299" i="26"/>
  <c r="AS299" i="26" s="1"/>
  <c r="BJ299" i="26" s="1"/>
  <c r="N547" i="55" l="1"/>
  <c r="Q548" i="55"/>
  <c r="K548" i="55"/>
  <c r="L548" i="55" s="1"/>
  <c r="C548" i="55"/>
  <c r="U548" i="55" s="1"/>
  <c r="V548" i="55" s="1"/>
  <c r="B548" i="55"/>
  <c r="F548" i="55" s="1"/>
  <c r="H548" i="55"/>
  <c r="X548" i="55" s="1"/>
  <c r="A548" i="55"/>
  <c r="D548" i="55"/>
  <c r="M548" i="55" s="1"/>
  <c r="N548" i="55" s="1"/>
  <c r="P548" i="55"/>
  <c r="O548" i="55"/>
  <c r="G548" i="55"/>
  <c r="W548" i="55"/>
  <c r="V299" i="26"/>
  <c r="AO299" i="26" s="1"/>
  <c r="U299" i="26"/>
  <c r="AF299" i="26" s="1"/>
  <c r="AN299" i="26" s="1"/>
  <c r="AU298" i="26"/>
  <c r="AP299" i="26"/>
  <c r="P299" i="26"/>
  <c r="O299" i="26"/>
  <c r="K299" i="26"/>
  <c r="M299" i="26" s="1"/>
  <c r="D299" i="26"/>
  <c r="E300" i="26" s="1"/>
  <c r="X299" i="26"/>
  <c r="F299" i="26"/>
  <c r="R299" i="26" s="1"/>
  <c r="G299" i="26"/>
  <c r="BT298" i="26"/>
  <c r="AV298" i="55"/>
  <c r="X547" i="55" l="1"/>
  <c r="S547" i="55"/>
  <c r="S548" i="55" s="1"/>
  <c r="E549" i="55"/>
  <c r="BK299" i="26"/>
  <c r="AT299" i="26"/>
  <c r="H300" i="26"/>
  <c r="B300" i="26"/>
  <c r="D300" i="26" s="1"/>
  <c r="S299" i="26"/>
  <c r="T299" i="26" s="1"/>
  <c r="BC299" i="26" s="1"/>
  <c r="N299" i="26"/>
  <c r="AJ299" i="26"/>
  <c r="AK299" i="26" s="1"/>
  <c r="A300" i="26"/>
  <c r="C300" i="26"/>
  <c r="U300" i="26" s="1"/>
  <c r="Q300" i="26"/>
  <c r="L300" i="26"/>
  <c r="W300" i="26"/>
  <c r="AL299" i="26" l="1"/>
  <c r="AM299" i="26" s="1"/>
  <c r="B549" i="55"/>
  <c r="F549" i="55" s="1"/>
  <c r="Q549" i="55"/>
  <c r="H549" i="55"/>
  <c r="A549" i="55"/>
  <c r="C549" i="55"/>
  <c r="O549" i="55" s="1"/>
  <c r="S549" i="55" s="1"/>
  <c r="D549" i="55"/>
  <c r="M549" i="55" s="1"/>
  <c r="N549" i="55" s="1"/>
  <c r="X549" i="55" s="1"/>
  <c r="G549" i="55"/>
  <c r="K549" i="55"/>
  <c r="L549" i="55" s="1"/>
  <c r="P549" i="55"/>
  <c r="U549" i="55"/>
  <c r="V549" i="55" s="1"/>
  <c r="V300" i="26"/>
  <c r="P300" i="26"/>
  <c r="G300" i="26"/>
  <c r="F300" i="26"/>
  <c r="R300" i="26" s="1"/>
  <c r="O300" i="26"/>
  <c r="K300" i="26"/>
  <c r="M300" i="26" s="1"/>
  <c r="BL299" i="26"/>
  <c r="X300" i="26"/>
  <c r="AF300" i="26"/>
  <c r="AN300" i="26" s="1"/>
  <c r="AS300" i="26"/>
  <c r="BJ300" i="26" s="1"/>
  <c r="AP300" i="26"/>
  <c r="E301" i="26"/>
  <c r="W549" i="55" l="1"/>
  <c r="E550" i="55"/>
  <c r="AU299" i="26"/>
  <c r="S300" i="26"/>
  <c r="T300" i="26" s="1"/>
  <c r="BC300" i="26" s="1"/>
  <c r="AV299" i="55"/>
  <c r="BT299" i="26"/>
  <c r="B301" i="26"/>
  <c r="O301" i="26" s="1"/>
  <c r="H301" i="26"/>
  <c r="BK300" i="26"/>
  <c r="AO300" i="26"/>
  <c r="AT300" i="26" s="1"/>
  <c r="N300" i="26"/>
  <c r="AJ300" i="26"/>
  <c r="AK300" i="26" s="1"/>
  <c r="A301" i="26"/>
  <c r="C301" i="26"/>
  <c r="V301" i="26" s="1"/>
  <c r="L301" i="26"/>
  <c r="W301" i="26"/>
  <c r="Q301" i="26"/>
  <c r="AL300" i="26" l="1"/>
  <c r="AM300" i="26" s="1"/>
  <c r="A550" i="55"/>
  <c r="Q550" i="55"/>
  <c r="P550" i="55"/>
  <c r="B550" i="55"/>
  <c r="F550" i="55" s="1"/>
  <c r="H550" i="55"/>
  <c r="C550" i="55"/>
  <c r="O550" i="55" s="1"/>
  <c r="G550" i="55"/>
  <c r="K550" i="55"/>
  <c r="L550" i="55" s="1"/>
  <c r="BL300" i="26"/>
  <c r="AV300" i="55"/>
  <c r="G301" i="26"/>
  <c r="K301" i="26"/>
  <c r="M301" i="26" s="1"/>
  <c r="D301" i="26"/>
  <c r="E302" i="26" s="1"/>
  <c r="AP301" i="26"/>
  <c r="F301" i="26"/>
  <c r="R301" i="26" s="1"/>
  <c r="S301" i="26" s="1"/>
  <c r="X301" i="26"/>
  <c r="AS301" i="26"/>
  <c r="BJ301" i="26" s="1"/>
  <c r="P301" i="26"/>
  <c r="U301" i="26"/>
  <c r="D550" i="55" l="1"/>
  <c r="M550" i="55" s="1"/>
  <c r="U550" i="55"/>
  <c r="V550" i="55" s="1"/>
  <c r="E551" i="55"/>
  <c r="W550" i="55"/>
  <c r="BT300" i="26"/>
  <c r="AF301" i="26"/>
  <c r="AN301" i="26" s="1"/>
  <c r="T301" i="26"/>
  <c r="B302" i="26"/>
  <c r="BK301" i="26"/>
  <c r="AO301" i="26"/>
  <c r="AT301" i="26" s="1"/>
  <c r="H302" i="26"/>
  <c r="N301" i="26"/>
  <c r="AJ301" i="26"/>
  <c r="AK301" i="26" s="1"/>
  <c r="C302" i="26"/>
  <c r="V302" i="26" s="1"/>
  <c r="A302" i="26"/>
  <c r="W302" i="26"/>
  <c r="Q302" i="26"/>
  <c r="L302" i="26"/>
  <c r="AL301" i="26" l="1"/>
  <c r="AM301" i="26" s="1"/>
  <c r="BL301" i="26"/>
  <c r="BC301" i="26"/>
  <c r="AV301" i="55" s="1"/>
  <c r="A551" i="55"/>
  <c r="Q551" i="55"/>
  <c r="K551" i="55"/>
  <c r="L551" i="55" s="1"/>
  <c r="C551" i="55"/>
  <c r="W551" i="55" s="1"/>
  <c r="H551" i="55"/>
  <c r="B551" i="55"/>
  <c r="D551" i="55" s="1"/>
  <c r="M551" i="55"/>
  <c r="N551" i="55" s="1"/>
  <c r="P551" i="55"/>
  <c r="G551" i="55"/>
  <c r="F551" i="55"/>
  <c r="N550" i="55"/>
  <c r="AU300" i="26"/>
  <c r="D302" i="26"/>
  <c r="E303" i="26" s="1"/>
  <c r="AP302" i="26"/>
  <c r="F302" i="26"/>
  <c r="K302" i="26"/>
  <c r="M302" i="26" s="1"/>
  <c r="G302" i="26"/>
  <c r="O302" i="26"/>
  <c r="P302" i="26"/>
  <c r="U302" i="26"/>
  <c r="AS302" i="26"/>
  <c r="BJ302" i="26" s="1"/>
  <c r="R302" i="26"/>
  <c r="X302" i="26"/>
  <c r="X551" i="55" l="1"/>
  <c r="U551" i="55"/>
  <c r="V551" i="55" s="1"/>
  <c r="S550" i="55"/>
  <c r="X550" i="55"/>
  <c r="O551" i="55"/>
  <c r="E552" i="55"/>
  <c r="S302" i="26"/>
  <c r="T302" i="26" s="1"/>
  <c r="BL302" i="26" s="1"/>
  <c r="AF302" i="26"/>
  <c r="AN302" i="26" s="1"/>
  <c r="BT301" i="26"/>
  <c r="B303" i="26"/>
  <c r="O303" i="26" s="1"/>
  <c r="BK302" i="26"/>
  <c r="AO302" i="26"/>
  <c r="AT302" i="26" s="1"/>
  <c r="H303" i="26"/>
  <c r="N302" i="26"/>
  <c r="AJ302" i="26"/>
  <c r="AK302" i="26" s="1"/>
  <c r="AL302" i="26" l="1"/>
  <c r="AM302" i="26" s="1"/>
  <c r="BC302" i="26"/>
  <c r="A552" i="55"/>
  <c r="K552" i="55"/>
  <c r="L552" i="55" s="1"/>
  <c r="H552" i="55"/>
  <c r="C552" i="55"/>
  <c r="B552" i="55"/>
  <c r="G552" i="55" s="1"/>
  <c r="Q552" i="55"/>
  <c r="D552" i="55"/>
  <c r="M552" i="55" s="1"/>
  <c r="F552" i="55"/>
  <c r="P552" i="55"/>
  <c r="S551" i="55"/>
  <c r="AU301" i="26"/>
  <c r="D303" i="26"/>
  <c r="F303" i="26"/>
  <c r="G303" i="26"/>
  <c r="P303" i="26"/>
  <c r="C303" i="26"/>
  <c r="V303" i="26" s="1"/>
  <c r="A303" i="26"/>
  <c r="Q303" i="26"/>
  <c r="L303" i="26"/>
  <c r="K303" i="26"/>
  <c r="W303" i="26"/>
  <c r="O552" i="55" l="1"/>
  <c r="E553" i="55"/>
  <c r="N552" i="55"/>
  <c r="W552" i="55"/>
  <c r="U552" i="55"/>
  <c r="V552" i="55" s="1"/>
  <c r="R303" i="26"/>
  <c r="BT302" i="26"/>
  <c r="AV302" i="55"/>
  <c r="AS303" i="26"/>
  <c r="BJ303" i="26" s="1"/>
  <c r="AP303" i="26"/>
  <c r="E304" i="26"/>
  <c r="U303" i="26"/>
  <c r="M303" i="26"/>
  <c r="X303" i="26"/>
  <c r="K553" i="55" l="1"/>
  <c r="L553" i="55" s="1"/>
  <c r="A553" i="55"/>
  <c r="M553" i="55"/>
  <c r="N553" i="55" s="1"/>
  <c r="Q553" i="55"/>
  <c r="C553" i="55"/>
  <c r="U553" i="55" s="1"/>
  <c r="V553" i="55" s="1"/>
  <c r="B553" i="55"/>
  <c r="D553" i="55" s="1"/>
  <c r="H553" i="55"/>
  <c r="P553" i="55"/>
  <c r="F553" i="55"/>
  <c r="W553" i="55"/>
  <c r="G553" i="55"/>
  <c r="S552" i="55"/>
  <c r="X552" i="55"/>
  <c r="AU302" i="26"/>
  <c r="AF303" i="26"/>
  <c r="AN303" i="26" s="1"/>
  <c r="S303" i="26"/>
  <c r="T303" i="26" s="1"/>
  <c r="BC303" i="26" s="1"/>
  <c r="B304" i="26"/>
  <c r="P304" i="26" s="1"/>
  <c r="BK303" i="26"/>
  <c r="AO303" i="26"/>
  <c r="AT303" i="26" s="1"/>
  <c r="H304" i="26"/>
  <c r="N303" i="26"/>
  <c r="AJ303" i="26"/>
  <c r="AK303" i="26" s="1"/>
  <c r="A304" i="26"/>
  <c r="C304" i="26"/>
  <c r="V304" i="26" s="1"/>
  <c r="W304" i="26"/>
  <c r="L304" i="26"/>
  <c r="Q304" i="26"/>
  <c r="AL303" i="26" l="1"/>
  <c r="AM303" i="26" s="1"/>
  <c r="X553" i="55"/>
  <c r="O553" i="55"/>
  <c r="S553" i="55" s="1"/>
  <c r="E554" i="55"/>
  <c r="BL303" i="26"/>
  <c r="AV303" i="55"/>
  <c r="G304" i="26"/>
  <c r="D304" i="26"/>
  <c r="E305" i="26" s="1"/>
  <c r="K304" i="26"/>
  <c r="M304" i="26" s="1"/>
  <c r="F304" i="26"/>
  <c r="R304" i="26" s="1"/>
  <c r="O304" i="26"/>
  <c r="AS304" i="26"/>
  <c r="BJ304" i="26" s="1"/>
  <c r="AP304" i="26"/>
  <c r="X304" i="26"/>
  <c r="U304" i="26"/>
  <c r="H554" i="55" l="1"/>
  <c r="B554" i="55"/>
  <c r="G554" i="55" s="1"/>
  <c r="A554" i="55"/>
  <c r="U554" i="55"/>
  <c r="V554" i="55" s="1"/>
  <c r="C554" i="55"/>
  <c r="F554" i="55"/>
  <c r="D554" i="55"/>
  <c r="K554" i="55"/>
  <c r="L554" i="55" s="1"/>
  <c r="P554" i="55"/>
  <c r="Q554" i="55"/>
  <c r="W554" i="55"/>
  <c r="M554" i="55"/>
  <c r="N554" i="55" s="1"/>
  <c r="BT303" i="26"/>
  <c r="AF304" i="26"/>
  <c r="AN304" i="26" s="1"/>
  <c r="S304" i="26"/>
  <c r="T304" i="26" s="1"/>
  <c r="B305" i="26"/>
  <c r="O305" i="26" s="1"/>
  <c r="H305" i="26"/>
  <c r="BK304" i="26"/>
  <c r="AO304" i="26"/>
  <c r="AT304" i="26" s="1"/>
  <c r="N304" i="26"/>
  <c r="AJ304" i="26"/>
  <c r="AK304" i="26" s="1"/>
  <c r="AL304" i="26" l="1"/>
  <c r="AM304" i="26" s="1"/>
  <c r="BL304" i="26"/>
  <c r="BC304" i="26"/>
  <c r="S554" i="55"/>
  <c r="X554" i="55"/>
  <c r="O554" i="55"/>
  <c r="E555" i="55"/>
  <c r="AU303" i="26"/>
  <c r="G305" i="26"/>
  <c r="D305" i="26"/>
  <c r="P305" i="26"/>
  <c r="F305" i="26"/>
  <c r="A305" i="26"/>
  <c r="C305" i="26"/>
  <c r="V305" i="26" s="1"/>
  <c r="K305" i="26"/>
  <c r="Q305" i="26"/>
  <c r="L305" i="26"/>
  <c r="W305" i="26"/>
  <c r="Q555" i="55" l="1"/>
  <c r="B555" i="55"/>
  <c r="G555" i="55" s="1"/>
  <c r="C555" i="55"/>
  <c r="A555" i="55"/>
  <c r="P555" i="55"/>
  <c r="H555" i="55"/>
  <c r="K555" i="55"/>
  <c r="L555" i="55" s="1"/>
  <c r="W555" i="55"/>
  <c r="D555" i="55"/>
  <c r="M555" i="55" s="1"/>
  <c r="F555" i="55"/>
  <c r="N555" i="55"/>
  <c r="X555" i="55" s="1"/>
  <c r="R305" i="26"/>
  <c r="BT304" i="26"/>
  <c r="AV304" i="55"/>
  <c r="AP305" i="26"/>
  <c r="X305" i="26"/>
  <c r="E306" i="26"/>
  <c r="U305" i="26"/>
  <c r="M305" i="26"/>
  <c r="O555" i="55" l="1"/>
  <c r="S555" i="55" s="1"/>
  <c r="E556" i="55"/>
  <c r="U555" i="55"/>
  <c r="V555" i="55" s="1"/>
  <c r="AU304" i="26"/>
  <c r="AF305" i="26"/>
  <c r="AN305" i="26" s="1"/>
  <c r="S305" i="26"/>
  <c r="B306" i="26"/>
  <c r="H306" i="26"/>
  <c r="AO305" i="26"/>
  <c r="AT305" i="26" s="1"/>
  <c r="BK305" i="26"/>
  <c r="N305" i="26"/>
  <c r="AJ305" i="26"/>
  <c r="AK305" i="26" s="1"/>
  <c r="AL305" i="26" l="1"/>
  <c r="AM305" i="26" s="1"/>
  <c r="H556" i="55"/>
  <c r="K556" i="55"/>
  <c r="L556" i="55" s="1"/>
  <c r="P556" i="55"/>
  <c r="F556" i="55"/>
  <c r="A556" i="55"/>
  <c r="B556" i="55"/>
  <c r="G556" i="55" s="1"/>
  <c r="Q556" i="55"/>
  <c r="C556" i="55"/>
  <c r="O556" i="55"/>
  <c r="T305" i="26"/>
  <c r="O306" i="26"/>
  <c r="G306" i="26"/>
  <c r="D306" i="26"/>
  <c r="F306" i="26"/>
  <c r="P306" i="26"/>
  <c r="C306" i="26"/>
  <c r="V306" i="26" s="1"/>
  <c r="A306" i="26"/>
  <c r="K306" i="26"/>
  <c r="Q306" i="26"/>
  <c r="W306" i="26"/>
  <c r="L306" i="26"/>
  <c r="BL305" i="26" l="1"/>
  <c r="BC305" i="26"/>
  <c r="U556" i="55"/>
  <c r="V556" i="55" s="1"/>
  <c r="D556" i="55"/>
  <c r="M556" i="55" s="1"/>
  <c r="W556" i="55"/>
  <c r="AV305" i="55"/>
  <c r="R306" i="26"/>
  <c r="AS306" i="26"/>
  <c r="BJ306" i="26" s="1"/>
  <c r="X306" i="26"/>
  <c r="E307" i="26"/>
  <c r="AP306" i="26"/>
  <c r="M306" i="26"/>
  <c r="U306" i="26"/>
  <c r="N556" i="55" l="1"/>
  <c r="E557" i="55"/>
  <c r="BT305" i="26"/>
  <c r="AU305" i="26"/>
  <c r="AF306" i="26"/>
  <c r="AN306" i="26" s="1"/>
  <c r="S306" i="26"/>
  <c r="T306" i="26" s="1"/>
  <c r="BC306" i="26" s="1"/>
  <c r="B307" i="26"/>
  <c r="P307" i="26" s="1"/>
  <c r="BK306" i="26"/>
  <c r="AO306" i="26"/>
  <c r="AT306" i="26" s="1"/>
  <c r="H307" i="26"/>
  <c r="N306" i="26"/>
  <c r="AJ306" i="26"/>
  <c r="AK306" i="26" s="1"/>
  <c r="AL306" i="26" l="1"/>
  <c r="AM306" i="26" s="1"/>
  <c r="X556" i="55"/>
  <c r="S556" i="55"/>
  <c r="C557" i="55"/>
  <c r="B557" i="55"/>
  <c r="G557" i="55" s="1"/>
  <c r="H557" i="55"/>
  <c r="K557" i="55"/>
  <c r="L557" i="55" s="1"/>
  <c r="A557" i="55"/>
  <c r="F557" i="55"/>
  <c r="Q557" i="55"/>
  <c r="D557" i="55"/>
  <c r="M557" i="55" s="1"/>
  <c r="N557" i="55"/>
  <c r="BL306" i="26"/>
  <c r="BT306" i="26"/>
  <c r="F307" i="26"/>
  <c r="D307" i="26"/>
  <c r="G307" i="26"/>
  <c r="O307" i="26"/>
  <c r="C307" i="26"/>
  <c r="A307" i="26"/>
  <c r="L307" i="26"/>
  <c r="Q307" i="26"/>
  <c r="W307" i="26"/>
  <c r="K307" i="26"/>
  <c r="X557" i="55" l="1"/>
  <c r="W557" i="55"/>
  <c r="P557" i="55"/>
  <c r="O557" i="55"/>
  <c r="S557" i="55" s="1"/>
  <c r="E558" i="55"/>
  <c r="X307" i="26"/>
  <c r="V307" i="26"/>
  <c r="AV306" i="55"/>
  <c r="R307" i="26"/>
  <c r="U307" i="26"/>
  <c r="AF307" i="26" s="1"/>
  <c r="AN307" i="26" s="1"/>
  <c r="AS307" i="26"/>
  <c r="BJ307" i="26" s="1"/>
  <c r="M307" i="26"/>
  <c r="N307" i="26" s="1"/>
  <c r="AP307" i="26"/>
  <c r="E308" i="26"/>
  <c r="Q558" i="55" l="1"/>
  <c r="K558" i="55"/>
  <c r="L558" i="55" s="1"/>
  <c r="B558" i="55"/>
  <c r="D558" i="55" s="1"/>
  <c r="H558" i="55"/>
  <c r="F558" i="55"/>
  <c r="C558" i="55"/>
  <c r="M558" i="55"/>
  <c r="N558" i="55" s="1"/>
  <c r="G558" i="55"/>
  <c r="A558" i="55"/>
  <c r="P558" i="55"/>
  <c r="X558" i="55"/>
  <c r="S307" i="26"/>
  <c r="T307" i="26" s="1"/>
  <c r="AJ307" i="26"/>
  <c r="AK307" i="26" s="1"/>
  <c r="AU306" i="26"/>
  <c r="B308" i="26"/>
  <c r="BK307" i="26"/>
  <c r="AO307" i="26"/>
  <c r="AT307" i="26" s="1"/>
  <c r="H308" i="26"/>
  <c r="AL307" i="26"/>
  <c r="A308" i="26"/>
  <c r="C308" i="26"/>
  <c r="V308" i="26" s="1"/>
  <c r="L308" i="26"/>
  <c r="Q308" i="26"/>
  <c r="W308" i="26"/>
  <c r="BL307" i="26" l="1"/>
  <c r="BC307" i="26"/>
  <c r="AM307" i="26"/>
  <c r="S558" i="55"/>
  <c r="O558" i="55"/>
  <c r="E559" i="55"/>
  <c r="W558" i="55"/>
  <c r="U558" i="55"/>
  <c r="V558" i="55" s="1"/>
  <c r="K308" i="26"/>
  <c r="M308" i="26" s="1"/>
  <c r="F308" i="26"/>
  <c r="R308" i="26" s="1"/>
  <c r="G308" i="26"/>
  <c r="O308" i="26"/>
  <c r="AP308" i="26"/>
  <c r="P308" i="26"/>
  <c r="AS308" i="26"/>
  <c r="BJ308" i="26" s="1"/>
  <c r="D308" i="26"/>
  <c r="E309" i="26" s="1"/>
  <c r="X308" i="26"/>
  <c r="U308" i="26"/>
  <c r="AV307" i="55" l="1"/>
  <c r="C559" i="55"/>
  <c r="U559" i="55" s="1"/>
  <c r="V559" i="55" s="1"/>
  <c r="B559" i="55"/>
  <c r="P559" i="55" s="1"/>
  <c r="Q559" i="55"/>
  <c r="A559" i="55"/>
  <c r="K559" i="55"/>
  <c r="L559" i="55" s="1"/>
  <c r="H559" i="55"/>
  <c r="G559" i="55"/>
  <c r="O559" i="55"/>
  <c r="F559" i="55"/>
  <c r="D559" i="55"/>
  <c r="M559" i="55"/>
  <c r="BT307" i="26"/>
  <c r="AF308" i="26"/>
  <c r="AN308" i="26" s="1"/>
  <c r="S308" i="26"/>
  <c r="T308" i="26" s="1"/>
  <c r="BC308" i="26" s="1"/>
  <c r="B309" i="26"/>
  <c r="P309" i="26" s="1"/>
  <c r="H309" i="26"/>
  <c r="BK308" i="26"/>
  <c r="AO308" i="26"/>
  <c r="AT308" i="26" s="1"/>
  <c r="N308" i="26"/>
  <c r="AJ308" i="26"/>
  <c r="AK308" i="26" s="1"/>
  <c r="AL308" i="26" l="1"/>
  <c r="AM308" i="26" s="1"/>
  <c r="E560" i="55"/>
  <c r="W559" i="55"/>
  <c r="N559" i="55"/>
  <c r="F309" i="26"/>
  <c r="G309" i="26"/>
  <c r="BL308" i="26"/>
  <c r="AU307" i="26"/>
  <c r="D309" i="26"/>
  <c r="O309" i="26"/>
  <c r="A309" i="26"/>
  <c r="C309" i="26"/>
  <c r="V309" i="26" s="1"/>
  <c r="W309" i="26"/>
  <c r="Q309" i="26"/>
  <c r="K309" i="26"/>
  <c r="L309" i="26"/>
  <c r="K560" i="55" l="1"/>
  <c r="L560" i="55" s="1"/>
  <c r="B560" i="55"/>
  <c r="P560" i="55" s="1"/>
  <c r="A560" i="55"/>
  <c r="H560" i="55"/>
  <c r="Q560" i="55"/>
  <c r="C560" i="55"/>
  <c r="F560" i="55"/>
  <c r="G560" i="55"/>
  <c r="D560" i="55"/>
  <c r="M560" i="55" s="1"/>
  <c r="W560" i="55"/>
  <c r="U560" i="55"/>
  <c r="V560" i="55" s="1"/>
  <c r="N560" i="55"/>
  <c r="X559" i="55"/>
  <c r="S559" i="55"/>
  <c r="R309" i="26"/>
  <c r="BT308" i="26"/>
  <c r="AV308" i="55"/>
  <c r="AS309" i="26"/>
  <c r="BJ309" i="26" s="1"/>
  <c r="M309" i="26"/>
  <c r="AJ309" i="26" s="1"/>
  <c r="AK309" i="26" s="1"/>
  <c r="AP309" i="26"/>
  <c r="X309" i="26"/>
  <c r="E310" i="26"/>
  <c r="U309" i="26"/>
  <c r="S560" i="55" l="1"/>
  <c r="X560" i="55"/>
  <c r="O560" i="55"/>
  <c r="E561" i="55"/>
  <c r="S309" i="26"/>
  <c r="T309" i="26" s="1"/>
  <c r="N309" i="26"/>
  <c r="AU308" i="26"/>
  <c r="AF309" i="26"/>
  <c r="AN309" i="26" s="1"/>
  <c r="B310" i="26"/>
  <c r="P310" i="26" s="1"/>
  <c r="H310" i="26"/>
  <c r="BK309" i="26"/>
  <c r="AO309" i="26"/>
  <c r="AT309" i="26" s="1"/>
  <c r="AL309" i="26"/>
  <c r="C310" i="26"/>
  <c r="V310" i="26" s="1"/>
  <c r="A310" i="26"/>
  <c r="W310" i="26"/>
  <c r="L310" i="26"/>
  <c r="Q310" i="26"/>
  <c r="BL309" i="26" l="1"/>
  <c r="BC309" i="26"/>
  <c r="AM309" i="26"/>
  <c r="A561" i="55"/>
  <c r="Q561" i="55"/>
  <c r="H561" i="55"/>
  <c r="K561" i="55"/>
  <c r="L561" i="55" s="1"/>
  <c r="C561" i="55"/>
  <c r="B561" i="55"/>
  <c r="P561" i="55" s="1"/>
  <c r="D561" i="55"/>
  <c r="U561" i="55"/>
  <c r="V561" i="55" s="1"/>
  <c r="G561" i="55"/>
  <c r="F561" i="55"/>
  <c r="M561" i="55"/>
  <c r="N561" i="55"/>
  <c r="AV309" i="55"/>
  <c r="D310" i="26"/>
  <c r="E311" i="26" s="1"/>
  <c r="AP310" i="26"/>
  <c r="K310" i="26"/>
  <c r="M310" i="26" s="1"/>
  <c r="F310" i="26"/>
  <c r="R310" i="26" s="1"/>
  <c r="G310" i="26"/>
  <c r="O310" i="26"/>
  <c r="AS310" i="26"/>
  <c r="BJ310" i="26" s="1"/>
  <c r="U310" i="26"/>
  <c r="X310" i="26"/>
  <c r="S561" i="55" l="1"/>
  <c r="O561" i="55"/>
  <c r="E562" i="55"/>
  <c r="X561" i="55"/>
  <c r="W561" i="55"/>
  <c r="BT309" i="26"/>
  <c r="S310" i="26"/>
  <c r="T310" i="26" s="1"/>
  <c r="BC310" i="26" s="1"/>
  <c r="AF310" i="26"/>
  <c r="AN310" i="26" s="1"/>
  <c r="B311" i="26"/>
  <c r="O311" i="26" s="1"/>
  <c r="H311" i="26"/>
  <c r="BK310" i="26"/>
  <c r="AO310" i="26"/>
  <c r="AT310" i="26" s="1"/>
  <c r="N310" i="26"/>
  <c r="AJ310" i="26"/>
  <c r="AK310" i="26" s="1"/>
  <c r="C311" i="26"/>
  <c r="V311" i="26" s="1"/>
  <c r="A311" i="26"/>
  <c r="L311" i="26"/>
  <c r="W311" i="26"/>
  <c r="Q311" i="26"/>
  <c r="AL310" i="26" l="1"/>
  <c r="AM310" i="26" s="1"/>
  <c r="Q562" i="55"/>
  <c r="C562" i="55"/>
  <c r="K562" i="55"/>
  <c r="L562" i="55" s="1"/>
  <c r="H562" i="55"/>
  <c r="X562" i="55" s="1"/>
  <c r="A562" i="55"/>
  <c r="B562" i="55"/>
  <c r="D562" i="55" s="1"/>
  <c r="M562" i="55" s="1"/>
  <c r="N562" i="55" s="1"/>
  <c r="U562" i="55"/>
  <c r="V562" i="55" s="1"/>
  <c r="F562" i="55"/>
  <c r="P562" i="55"/>
  <c r="W562" i="55"/>
  <c r="G562" i="55"/>
  <c r="AU309" i="26"/>
  <c r="BL310" i="26"/>
  <c r="AV310" i="55"/>
  <c r="AP311" i="26"/>
  <c r="F311" i="26"/>
  <c r="R311" i="26" s="1"/>
  <c r="K311" i="26"/>
  <c r="M311" i="26" s="1"/>
  <c r="D311" i="26"/>
  <c r="E312" i="26" s="1"/>
  <c r="G311" i="26"/>
  <c r="P311" i="26"/>
  <c r="AS311" i="26"/>
  <c r="BJ311" i="26" s="1"/>
  <c r="X311" i="26"/>
  <c r="U311" i="26"/>
  <c r="O562" i="55" l="1"/>
  <c r="S562" i="55" s="1"/>
  <c r="E563" i="55"/>
  <c r="BT310" i="26"/>
  <c r="S311" i="26"/>
  <c r="T311" i="26" s="1"/>
  <c r="BC311" i="26" s="1"/>
  <c r="AF311" i="26"/>
  <c r="AN311" i="26" s="1"/>
  <c r="B312" i="26"/>
  <c r="P312" i="26" s="1"/>
  <c r="BK311" i="26"/>
  <c r="AO311" i="26"/>
  <c r="AT311" i="26" s="1"/>
  <c r="H312" i="26"/>
  <c r="N311" i="26"/>
  <c r="AJ311" i="26"/>
  <c r="AK311" i="26" s="1"/>
  <c r="AL311" i="26" l="1"/>
  <c r="AM311" i="26" s="1"/>
  <c r="K563" i="55"/>
  <c r="L563" i="55" s="1"/>
  <c r="H563" i="55"/>
  <c r="C563" i="55"/>
  <c r="B563" i="55"/>
  <c r="G563" i="55" s="1"/>
  <c r="Q563" i="55"/>
  <c r="A563" i="55"/>
  <c r="U563" i="55"/>
  <c r="F563" i="55"/>
  <c r="BL311" i="26"/>
  <c r="AV311" i="55"/>
  <c r="G312" i="26"/>
  <c r="AU310" i="26"/>
  <c r="F312" i="26"/>
  <c r="O312" i="26"/>
  <c r="D312" i="26"/>
  <c r="A312" i="26"/>
  <c r="C312" i="26"/>
  <c r="V312" i="26" s="1"/>
  <c r="Q312" i="26"/>
  <c r="L312" i="26"/>
  <c r="W312" i="26"/>
  <c r="K312" i="26"/>
  <c r="P563" i="55" l="1"/>
  <c r="V563" i="55" s="1"/>
  <c r="D563" i="55"/>
  <c r="M563" i="55" s="1"/>
  <c r="O563" i="55"/>
  <c r="W563" i="55"/>
  <c r="BT311" i="26"/>
  <c r="R312" i="26"/>
  <c r="AS312" i="26"/>
  <c r="BJ312" i="26" s="1"/>
  <c r="AP312" i="26"/>
  <c r="U312" i="26"/>
  <c r="E313" i="26"/>
  <c r="M312" i="26"/>
  <c r="X312" i="26"/>
  <c r="E564" i="55" l="1"/>
  <c r="N563" i="55"/>
  <c r="AU311" i="26"/>
  <c r="AF312" i="26"/>
  <c r="AN312" i="26" s="1"/>
  <c r="S312" i="26"/>
  <c r="T312" i="26" s="1"/>
  <c r="BC312" i="26" s="1"/>
  <c r="B313" i="26"/>
  <c r="P313" i="26" s="1"/>
  <c r="H313" i="26"/>
  <c r="BK312" i="26"/>
  <c r="AO312" i="26"/>
  <c r="AT312" i="26" s="1"/>
  <c r="N312" i="26"/>
  <c r="AJ312" i="26"/>
  <c r="AK312" i="26" s="1"/>
  <c r="AL312" i="26"/>
  <c r="AM312" i="26" l="1"/>
  <c r="X563" i="55"/>
  <c r="S563" i="55"/>
  <c r="Q564" i="55"/>
  <c r="H564" i="55"/>
  <c r="K564" i="55"/>
  <c r="L564" i="55" s="1"/>
  <c r="B564" i="55"/>
  <c r="F564" i="55" s="1"/>
  <c r="A564" i="55"/>
  <c r="C564" i="55"/>
  <c r="BL312" i="26"/>
  <c r="AV312" i="55"/>
  <c r="F313" i="26"/>
  <c r="D313" i="26"/>
  <c r="G313" i="26"/>
  <c r="O313" i="26"/>
  <c r="A313" i="26"/>
  <c r="C313" i="26"/>
  <c r="V313" i="26" s="1"/>
  <c r="W313" i="26"/>
  <c r="L313" i="26"/>
  <c r="K313" i="26"/>
  <c r="Q313" i="26"/>
  <c r="W564" i="55" l="1"/>
  <c r="U564" i="55"/>
  <c r="P564" i="55"/>
  <c r="D564" i="55"/>
  <c r="M564" i="55" s="1"/>
  <c r="G564" i="55"/>
  <c r="O564" i="55"/>
  <c r="R313" i="26"/>
  <c r="BT312" i="26"/>
  <c r="AS313" i="26"/>
  <c r="BJ313" i="26" s="1"/>
  <c r="AP313" i="26"/>
  <c r="U313" i="26"/>
  <c r="E314" i="26"/>
  <c r="X313" i="26"/>
  <c r="M313" i="26"/>
  <c r="N564" i="55" l="1"/>
  <c r="V564" i="55"/>
  <c r="E565" i="55"/>
  <c r="S313" i="26"/>
  <c r="T313" i="26" s="1"/>
  <c r="AU312" i="26"/>
  <c r="AF313" i="26"/>
  <c r="AN313" i="26" s="1"/>
  <c r="B314" i="26"/>
  <c r="P314" i="26" s="1"/>
  <c r="BK313" i="26"/>
  <c r="AO313" i="26"/>
  <c r="AT313" i="26" s="1"/>
  <c r="H314" i="26"/>
  <c r="N313" i="26"/>
  <c r="AJ313" i="26"/>
  <c r="AK313" i="26" s="1"/>
  <c r="AL313" i="26"/>
  <c r="BL313" i="26" l="1"/>
  <c r="BC313" i="26"/>
  <c r="AV313" i="55" s="1"/>
  <c r="AM313" i="26"/>
  <c r="X564" i="55"/>
  <c r="S564" i="55"/>
  <c r="C565" i="55"/>
  <c r="Q565" i="55"/>
  <c r="B565" i="55"/>
  <c r="F565" i="55" s="1"/>
  <c r="K565" i="55"/>
  <c r="L565" i="55" s="1"/>
  <c r="A565" i="55"/>
  <c r="H565" i="55"/>
  <c r="P565" i="55"/>
  <c r="O565" i="55"/>
  <c r="D565" i="55"/>
  <c r="M565" i="55" s="1"/>
  <c r="G314" i="26"/>
  <c r="F314" i="26"/>
  <c r="D314" i="26"/>
  <c r="O314" i="26"/>
  <c r="C314" i="26"/>
  <c r="A314" i="26"/>
  <c r="K314" i="26"/>
  <c r="Q314" i="26"/>
  <c r="L314" i="26"/>
  <c r="W314" i="26"/>
  <c r="N565" i="55" l="1"/>
  <c r="W565" i="55"/>
  <c r="U565" i="55"/>
  <c r="V565" i="55" s="1"/>
  <c r="E566" i="55"/>
  <c r="G565" i="55"/>
  <c r="U314" i="26"/>
  <c r="V314" i="26"/>
  <c r="BT313" i="26"/>
  <c r="X314" i="26"/>
  <c r="R314" i="26"/>
  <c r="AS314" i="26"/>
  <c r="BJ314" i="26" s="1"/>
  <c r="AF314" i="26"/>
  <c r="AN314" i="26" s="1"/>
  <c r="AP314" i="26"/>
  <c r="M314" i="26"/>
  <c r="E315" i="26"/>
  <c r="A566" i="55" l="1"/>
  <c r="B566" i="55"/>
  <c r="D566" i="55" s="1"/>
  <c r="F566" i="55"/>
  <c r="C566" i="55"/>
  <c r="G566" i="55"/>
  <c r="M566" i="55"/>
  <c r="Q566" i="55"/>
  <c r="H566" i="55"/>
  <c r="P566" i="55"/>
  <c r="K566" i="55"/>
  <c r="L566" i="55" s="1"/>
  <c r="N566" i="55"/>
  <c r="O566" i="55"/>
  <c r="X566" i="55"/>
  <c r="X565" i="55"/>
  <c r="S565" i="55"/>
  <c r="AU313" i="26"/>
  <c r="S314" i="26"/>
  <c r="T314" i="26" s="1"/>
  <c r="BC314" i="26" s="1"/>
  <c r="B315" i="26"/>
  <c r="O315" i="26" s="1"/>
  <c r="H315" i="26"/>
  <c r="BK314" i="26"/>
  <c r="AO314" i="26"/>
  <c r="AT314" i="26" s="1"/>
  <c r="N314" i="26"/>
  <c r="AJ314" i="26"/>
  <c r="AK314" i="26" s="1"/>
  <c r="C315" i="26"/>
  <c r="V315" i="26" s="1"/>
  <c r="A315" i="26"/>
  <c r="Q315" i="26"/>
  <c r="L315" i="26"/>
  <c r="W315" i="26"/>
  <c r="AL314" i="26" l="1"/>
  <c r="AM314" i="26" s="1"/>
  <c r="S566" i="55"/>
  <c r="U566" i="55"/>
  <c r="V566" i="55" s="1"/>
  <c r="E567" i="55"/>
  <c r="W566" i="55"/>
  <c r="BL314" i="26"/>
  <c r="BT314" i="26"/>
  <c r="G315" i="26"/>
  <c r="AS315" i="26"/>
  <c r="BJ315" i="26" s="1"/>
  <c r="F315" i="26"/>
  <c r="R315" i="26" s="1"/>
  <c r="S315" i="26" s="1"/>
  <c r="P315" i="26"/>
  <c r="D315" i="26"/>
  <c r="E316" i="26" s="1"/>
  <c r="K315" i="26"/>
  <c r="M315" i="26" s="1"/>
  <c r="AO315" i="26"/>
  <c r="AP315" i="26"/>
  <c r="X315" i="26"/>
  <c r="BK315" i="26" s="1"/>
  <c r="U315" i="26"/>
  <c r="Q567" i="55" l="1"/>
  <c r="B567" i="55"/>
  <c r="P567" i="55" s="1"/>
  <c r="H567" i="55"/>
  <c r="K567" i="55"/>
  <c r="L567" i="55" s="1"/>
  <c r="F567" i="55"/>
  <c r="A567" i="55"/>
  <c r="C567" i="55"/>
  <c r="G567" i="55"/>
  <c r="D567" i="55"/>
  <c r="M567" i="55" s="1"/>
  <c r="N567" i="55" s="1"/>
  <c r="AV314" i="55"/>
  <c r="AF315" i="26"/>
  <c r="AN315" i="26" s="1"/>
  <c r="T315" i="26"/>
  <c r="AT315" i="26"/>
  <c r="B316" i="26"/>
  <c r="D316" i="26" s="1"/>
  <c r="H316" i="26"/>
  <c r="N315" i="26"/>
  <c r="AJ315" i="26"/>
  <c r="AK315" i="26" s="1"/>
  <c r="AL315" i="26" l="1"/>
  <c r="AM315" i="26" s="1"/>
  <c r="BL315" i="26"/>
  <c r="BC315" i="26"/>
  <c r="AV315" i="55" s="1"/>
  <c r="X567" i="55"/>
  <c r="O567" i="55"/>
  <c r="S567" i="55" s="1"/>
  <c r="E568" i="55"/>
  <c r="W567" i="55"/>
  <c r="U567" i="55"/>
  <c r="V567" i="55" s="1"/>
  <c r="AU314" i="26"/>
  <c r="F316" i="26"/>
  <c r="O316" i="26"/>
  <c r="P316" i="26"/>
  <c r="G316" i="26"/>
  <c r="A316" i="26"/>
  <c r="C316" i="26"/>
  <c r="K316" i="26"/>
  <c r="Q316" i="26"/>
  <c r="W316" i="26"/>
  <c r="L316" i="26"/>
  <c r="A568" i="55" l="1"/>
  <c r="K568" i="55"/>
  <c r="L568" i="55" s="1"/>
  <c r="B568" i="55"/>
  <c r="P568" i="55" s="1"/>
  <c r="Q568" i="55"/>
  <c r="H568" i="55"/>
  <c r="F568" i="55"/>
  <c r="C568" i="55"/>
  <c r="O568" i="55"/>
  <c r="U316" i="26"/>
  <c r="V316" i="26"/>
  <c r="R316" i="26"/>
  <c r="BT315" i="26"/>
  <c r="AS316" i="26"/>
  <c r="BJ316" i="26" s="1"/>
  <c r="AF316" i="26"/>
  <c r="AN316" i="26" s="1"/>
  <c r="E317" i="26"/>
  <c r="AP316" i="26"/>
  <c r="X316" i="26"/>
  <c r="M316" i="26"/>
  <c r="D568" i="55" l="1"/>
  <c r="M568" i="55" s="1"/>
  <c r="W568" i="55"/>
  <c r="U568" i="55"/>
  <c r="V568" i="55" s="1"/>
  <c r="E569" i="55"/>
  <c r="G568" i="55"/>
  <c r="S316" i="26"/>
  <c r="T316" i="26" s="1"/>
  <c r="AU315" i="26"/>
  <c r="B317" i="26"/>
  <c r="D317" i="26" s="1"/>
  <c r="BK316" i="26"/>
  <c r="AO316" i="26"/>
  <c r="AT316" i="26" s="1"/>
  <c r="H317" i="26"/>
  <c r="N316" i="26"/>
  <c r="AJ316" i="26"/>
  <c r="AK316" i="26" s="1"/>
  <c r="AL316" i="26" l="1"/>
  <c r="AM316" i="26" s="1"/>
  <c r="BL316" i="26"/>
  <c r="BC316" i="26"/>
  <c r="Q569" i="55"/>
  <c r="B569" i="55"/>
  <c r="P569" i="55" s="1"/>
  <c r="C569" i="55"/>
  <c r="O569" i="55" s="1"/>
  <c r="K569" i="55"/>
  <c r="L569" i="55" s="1"/>
  <c r="F569" i="55"/>
  <c r="A569" i="55"/>
  <c r="H569" i="55"/>
  <c r="D569" i="55"/>
  <c r="M569" i="55"/>
  <c r="N569" i="55" s="1"/>
  <c r="G569" i="55"/>
  <c r="N568" i="55"/>
  <c r="BT316" i="26"/>
  <c r="G317" i="26"/>
  <c r="F317" i="26"/>
  <c r="P317" i="26"/>
  <c r="O317" i="26"/>
  <c r="A317" i="26"/>
  <c r="C317" i="26"/>
  <c r="V317" i="26" s="1"/>
  <c r="L317" i="26"/>
  <c r="Q317" i="26"/>
  <c r="K317" i="26"/>
  <c r="W317" i="26"/>
  <c r="X569" i="55" l="1"/>
  <c r="W569" i="55"/>
  <c r="X568" i="55"/>
  <c r="S568" i="55"/>
  <c r="E570" i="55"/>
  <c r="AV316" i="55"/>
  <c r="R317" i="26"/>
  <c r="AL317" i="26" s="1"/>
  <c r="M317" i="26"/>
  <c r="N317" i="26" s="1"/>
  <c r="E318" i="26"/>
  <c r="AP317" i="26"/>
  <c r="X317" i="26"/>
  <c r="U317" i="26"/>
  <c r="AM317" i="26" l="1"/>
  <c r="A570" i="55"/>
  <c r="Q570" i="55"/>
  <c r="H570" i="55"/>
  <c r="K570" i="55"/>
  <c r="L570" i="55" s="1"/>
  <c r="B570" i="55"/>
  <c r="F570" i="55" s="1"/>
  <c r="G570" i="55"/>
  <c r="C570" i="55"/>
  <c r="P570" i="55"/>
  <c r="S569" i="55"/>
  <c r="S317" i="26"/>
  <c r="AU316" i="26"/>
  <c r="AF317" i="26"/>
  <c r="AN317" i="26" s="1"/>
  <c r="AJ317" i="26"/>
  <c r="AK317" i="26" s="1"/>
  <c r="B318" i="26"/>
  <c r="D318" i="26" s="1"/>
  <c r="BK317" i="26"/>
  <c r="AO317" i="26"/>
  <c r="AT317" i="26" s="1"/>
  <c r="H318" i="26"/>
  <c r="O570" i="55" l="1"/>
  <c r="U570" i="55"/>
  <c r="V570" i="55" s="1"/>
  <c r="W570" i="55"/>
  <c r="D570" i="55"/>
  <c r="M570" i="55" s="1"/>
  <c r="AU317" i="26"/>
  <c r="F318" i="26"/>
  <c r="O318" i="26"/>
  <c r="P318" i="26"/>
  <c r="G318" i="26"/>
  <c r="T317" i="26"/>
  <c r="BC317" i="26" s="1"/>
  <c r="C318" i="26"/>
  <c r="V318" i="26" s="1"/>
  <c r="A318" i="26"/>
  <c r="K318" i="26"/>
  <c r="W318" i="26"/>
  <c r="L318" i="26"/>
  <c r="Q318" i="26"/>
  <c r="E571" i="55" l="1"/>
  <c r="N570" i="55"/>
  <c r="R318" i="26"/>
  <c r="AL318" i="26" s="1"/>
  <c r="BL317" i="26"/>
  <c r="BT317" i="26"/>
  <c r="X318" i="26"/>
  <c r="AS318" i="26"/>
  <c r="BJ318" i="26" s="1"/>
  <c r="M318" i="26"/>
  <c r="AJ318" i="26" s="1"/>
  <c r="AK318" i="26" s="1"/>
  <c r="AP318" i="26"/>
  <c r="E319" i="26"/>
  <c r="U318" i="26"/>
  <c r="AM318" i="26" l="1"/>
  <c r="S570" i="55"/>
  <c r="X570" i="55"/>
  <c r="K571" i="55"/>
  <c r="L571" i="55" s="1"/>
  <c r="B571" i="55"/>
  <c r="D571" i="55" s="1"/>
  <c r="Q571" i="55"/>
  <c r="A571" i="55"/>
  <c r="C571" i="55"/>
  <c r="H571" i="55"/>
  <c r="F571" i="55"/>
  <c r="U571" i="55"/>
  <c r="V571" i="55" s="1"/>
  <c r="G571" i="55"/>
  <c r="P571" i="55"/>
  <c r="S318" i="26"/>
  <c r="T318" i="26" s="1"/>
  <c r="AF318" i="26"/>
  <c r="AN318" i="26" s="1"/>
  <c r="N318" i="26"/>
  <c r="AV317" i="55"/>
  <c r="B319" i="26"/>
  <c r="H319" i="26"/>
  <c r="BK318" i="26"/>
  <c r="AO318" i="26"/>
  <c r="AT318" i="26" s="1"/>
  <c r="C319" i="26"/>
  <c r="U319" i="26" s="1"/>
  <c r="A319" i="26"/>
  <c r="L319" i="26"/>
  <c r="W319" i="26"/>
  <c r="Q319" i="26"/>
  <c r="BL318" i="26" l="1"/>
  <c r="BC318" i="26"/>
  <c r="AV318" i="55" s="1"/>
  <c r="O571" i="55"/>
  <c r="E572" i="55"/>
  <c r="W571" i="55"/>
  <c r="M571" i="55"/>
  <c r="V319" i="26"/>
  <c r="AU318" i="26"/>
  <c r="F319" i="26"/>
  <c r="R319" i="26" s="1"/>
  <c r="K319" i="26"/>
  <c r="M319" i="26" s="1"/>
  <c r="AF319" i="26"/>
  <c r="AN319" i="26" s="1"/>
  <c r="G319" i="26"/>
  <c r="D319" i="26"/>
  <c r="E320" i="26" s="1"/>
  <c r="AS319" i="26"/>
  <c r="BJ319" i="26" s="1"/>
  <c r="AP319" i="26"/>
  <c r="X319" i="26"/>
  <c r="N571" i="55" l="1"/>
  <c r="H572" i="55"/>
  <c r="A572" i="55"/>
  <c r="B572" i="55"/>
  <c r="G572" i="55" s="1"/>
  <c r="K572" i="55"/>
  <c r="L572" i="55" s="1"/>
  <c r="C572" i="55"/>
  <c r="Q572" i="55"/>
  <c r="D572" i="55"/>
  <c r="M572" i="55" s="1"/>
  <c r="N572" i="55" s="1"/>
  <c r="X572" i="55" s="1"/>
  <c r="W572" i="55"/>
  <c r="O572" i="55"/>
  <c r="BT318" i="26"/>
  <c r="N319" i="26"/>
  <c r="AJ319" i="26"/>
  <c r="AK319" i="26" s="1"/>
  <c r="O319" i="26"/>
  <c r="P319" i="26"/>
  <c r="B320" i="26"/>
  <c r="D320" i="26" s="1"/>
  <c r="H320" i="26"/>
  <c r="BK319" i="26"/>
  <c r="AO319" i="26"/>
  <c r="AT319" i="26" s="1"/>
  <c r="A320" i="26"/>
  <c r="C320" i="26"/>
  <c r="AS320" i="26" s="1"/>
  <c r="Q320" i="26"/>
  <c r="W320" i="26"/>
  <c r="L320" i="26"/>
  <c r="AL319" i="26" l="1"/>
  <c r="AM319" i="26" s="1"/>
  <c r="F572" i="55"/>
  <c r="U572" i="55"/>
  <c r="E573" i="55"/>
  <c r="P572" i="55"/>
  <c r="X571" i="55"/>
  <c r="S571" i="55"/>
  <c r="V320" i="26"/>
  <c r="K320" i="26"/>
  <c r="M320" i="26" s="1"/>
  <c r="S319" i="26"/>
  <c r="T319" i="26" s="1"/>
  <c r="BC319" i="26" s="1"/>
  <c r="F320" i="26"/>
  <c r="R320" i="26" s="1"/>
  <c r="G320" i="26"/>
  <c r="P320" i="26"/>
  <c r="O320" i="26"/>
  <c r="X320" i="26"/>
  <c r="U320" i="26"/>
  <c r="AP320" i="26"/>
  <c r="BJ320" i="26"/>
  <c r="E321" i="26"/>
  <c r="AL320" i="26" l="1"/>
  <c r="AM320" i="26" s="1"/>
  <c r="S572" i="55"/>
  <c r="V572" i="55"/>
  <c r="H573" i="55"/>
  <c r="A573" i="55"/>
  <c r="C573" i="55"/>
  <c r="Q573" i="55"/>
  <c r="K573" i="55"/>
  <c r="L573" i="55" s="1"/>
  <c r="B573" i="55"/>
  <c r="D573" i="55" s="1"/>
  <c r="G573" i="55"/>
  <c r="F573" i="55"/>
  <c r="M573" i="55"/>
  <c r="BL319" i="26"/>
  <c r="BT319" i="26"/>
  <c r="AF320" i="26"/>
  <c r="AN320" i="26" s="1"/>
  <c r="S320" i="26"/>
  <c r="T320" i="26" s="1"/>
  <c r="BL320" i="26" s="1"/>
  <c r="B321" i="26"/>
  <c r="BK320" i="26"/>
  <c r="AO320" i="26"/>
  <c r="AT320" i="26" s="1"/>
  <c r="H321" i="26"/>
  <c r="N320" i="26"/>
  <c r="AJ320" i="26"/>
  <c r="AK320" i="26" s="1"/>
  <c r="A321" i="26"/>
  <c r="C321" i="26"/>
  <c r="V321" i="26" s="1"/>
  <c r="L321" i="26"/>
  <c r="Q321" i="26"/>
  <c r="W321" i="26"/>
  <c r="BC320" i="26" l="1"/>
  <c r="O573" i="55"/>
  <c r="E574" i="55"/>
  <c r="N573" i="55"/>
  <c r="P573" i="55"/>
  <c r="W573" i="55"/>
  <c r="U573" i="55"/>
  <c r="AV319" i="55"/>
  <c r="AU319" i="26"/>
  <c r="F321" i="26"/>
  <c r="R321" i="26" s="1"/>
  <c r="K321" i="26"/>
  <c r="M321" i="26" s="1"/>
  <c r="AJ321" i="26" s="1"/>
  <c r="AK321" i="26" s="1"/>
  <c r="D321" i="26"/>
  <c r="O321" i="26" s="1"/>
  <c r="AP321" i="26"/>
  <c r="G321" i="26"/>
  <c r="AS321" i="26"/>
  <c r="BJ321" i="26" s="1"/>
  <c r="U321" i="26"/>
  <c r="X321" i="26"/>
  <c r="V573" i="55" l="1"/>
  <c r="K574" i="55"/>
  <c r="L574" i="55" s="1"/>
  <c r="H574" i="55"/>
  <c r="Q574" i="55"/>
  <c r="A574" i="55"/>
  <c r="B574" i="55"/>
  <c r="D574" i="55" s="1"/>
  <c r="C574" i="55"/>
  <c r="M574" i="55"/>
  <c r="F574" i="55"/>
  <c r="G574" i="55"/>
  <c r="P574" i="55"/>
  <c r="S573" i="55"/>
  <c r="X573" i="55"/>
  <c r="P321" i="26"/>
  <c r="E322" i="26"/>
  <c r="AU320" i="26"/>
  <c r="N321" i="26"/>
  <c r="S321" i="26"/>
  <c r="T321" i="26" s="1"/>
  <c r="BL321" i="26" s="1"/>
  <c r="AF321" i="26"/>
  <c r="AN321" i="26" s="1"/>
  <c r="BT320" i="26"/>
  <c r="AV320" i="55"/>
  <c r="BK321" i="26"/>
  <c r="AO321" i="26"/>
  <c r="AT321" i="26" s="1"/>
  <c r="AL321" i="26" l="1"/>
  <c r="AM321" i="26" s="1"/>
  <c r="BC321" i="26"/>
  <c r="O574" i="55"/>
  <c r="E575" i="55"/>
  <c r="N574" i="55"/>
  <c r="U574" i="55"/>
  <c r="V574" i="55" s="1"/>
  <c r="W574" i="55"/>
  <c r="B322" i="26"/>
  <c r="D322" i="26" s="1"/>
  <c r="L322" i="26"/>
  <c r="C322" i="26"/>
  <c r="AS322" i="26" s="1"/>
  <c r="BJ322" i="26" s="1"/>
  <c r="W322" i="26"/>
  <c r="H322" i="26"/>
  <c r="A322" i="26"/>
  <c r="Q322" i="26"/>
  <c r="BT321" i="26"/>
  <c r="S574" i="55" l="1"/>
  <c r="X574" i="55"/>
  <c r="Q575" i="55"/>
  <c r="A575" i="55"/>
  <c r="C575" i="55"/>
  <c r="H575" i="55"/>
  <c r="K575" i="55"/>
  <c r="L575" i="55" s="1"/>
  <c r="B575" i="55"/>
  <c r="P575" i="55" s="1"/>
  <c r="F575" i="55"/>
  <c r="D575" i="55"/>
  <c r="M575" i="55" s="1"/>
  <c r="G575" i="55"/>
  <c r="O575" i="55"/>
  <c r="N575" i="55"/>
  <c r="V322" i="26"/>
  <c r="X322" i="26"/>
  <c r="O322" i="26"/>
  <c r="U322" i="26"/>
  <c r="AF322" i="26" s="1"/>
  <c r="AN322" i="26" s="1"/>
  <c r="K322" i="26"/>
  <c r="M322" i="26" s="1"/>
  <c r="AJ322" i="26" s="1"/>
  <c r="AK322" i="26" s="1"/>
  <c r="E323" i="26"/>
  <c r="P322" i="26"/>
  <c r="G322" i="26"/>
  <c r="F322" i="26"/>
  <c r="R322" i="26" s="1"/>
  <c r="AP322" i="26"/>
  <c r="AV321" i="55"/>
  <c r="AU321" i="26"/>
  <c r="AL322" i="26" l="1"/>
  <c r="AM322" i="26" s="1"/>
  <c r="X575" i="55"/>
  <c r="S575" i="55"/>
  <c r="U575" i="55"/>
  <c r="V575" i="55" s="1"/>
  <c r="E576" i="55"/>
  <c r="W575" i="55"/>
  <c r="B323" i="26"/>
  <c r="L323" i="26"/>
  <c r="N322" i="26"/>
  <c r="BK322" i="26"/>
  <c r="S322" i="26"/>
  <c r="T322" i="26" s="1"/>
  <c r="Q323" i="26"/>
  <c r="C323" i="26"/>
  <c r="U323" i="26" s="1"/>
  <c r="A323" i="26"/>
  <c r="W323" i="26"/>
  <c r="H323" i="26"/>
  <c r="AO322" i="26"/>
  <c r="AT322" i="26" s="1"/>
  <c r="K323" i="26"/>
  <c r="M323" i="26" s="1"/>
  <c r="F323" i="26"/>
  <c r="G323" i="26"/>
  <c r="D323" i="26"/>
  <c r="P323" i="26" s="1"/>
  <c r="BL322" i="26" l="1"/>
  <c r="BC322" i="26"/>
  <c r="B576" i="55"/>
  <c r="F576" i="55" s="1"/>
  <c r="C576" i="55"/>
  <c r="A576" i="55"/>
  <c r="K576" i="55"/>
  <c r="L576" i="55" s="1"/>
  <c r="W576" i="55"/>
  <c r="Q576" i="55"/>
  <c r="H576" i="55"/>
  <c r="O576" i="55"/>
  <c r="V323" i="26"/>
  <c r="AO323" i="26" s="1"/>
  <c r="AF323" i="26"/>
  <c r="AN323" i="26" s="1"/>
  <c r="X323" i="26"/>
  <c r="R323" i="26"/>
  <c r="AP323" i="26"/>
  <c r="AS323" i="26"/>
  <c r="BJ323" i="26" s="1"/>
  <c r="AU322" i="26"/>
  <c r="E324" i="26"/>
  <c r="O323" i="26"/>
  <c r="N323" i="26"/>
  <c r="AJ323" i="26"/>
  <c r="AK323" i="26" s="1"/>
  <c r="AL323" i="26" l="1"/>
  <c r="AM323" i="26" s="1"/>
  <c r="AV322" i="55"/>
  <c r="BK323" i="26"/>
  <c r="G576" i="55"/>
  <c r="D576" i="55"/>
  <c r="M576" i="55" s="1"/>
  <c r="P576" i="55"/>
  <c r="U576" i="55"/>
  <c r="E577" i="55"/>
  <c r="AT323" i="26"/>
  <c r="BT322" i="26"/>
  <c r="C324" i="26"/>
  <c r="AS324" i="26" s="1"/>
  <c r="BJ324" i="26" s="1"/>
  <c r="A324" i="26"/>
  <c r="H324" i="26"/>
  <c r="Q324" i="26"/>
  <c r="L324" i="26"/>
  <c r="W324" i="26"/>
  <c r="B324" i="26"/>
  <c r="G324" i="26" s="1"/>
  <c r="S323" i="26"/>
  <c r="T323" i="26" s="1"/>
  <c r="BC323" i="26" s="1"/>
  <c r="U324" i="26" l="1"/>
  <c r="B577" i="55"/>
  <c r="D577" i="55" s="1"/>
  <c r="M577" i="55" s="1"/>
  <c r="N577" i="55" s="1"/>
  <c r="Q577" i="55"/>
  <c r="H577" i="55"/>
  <c r="K577" i="55"/>
  <c r="L577" i="55" s="1"/>
  <c r="A577" i="55"/>
  <c r="C577" i="55"/>
  <c r="G577" i="55"/>
  <c r="P577" i="55"/>
  <c r="W577" i="55"/>
  <c r="X577" i="55"/>
  <c r="U577" i="55"/>
  <c r="V577" i="55" s="1"/>
  <c r="F577" i="55"/>
  <c r="V576" i="55"/>
  <c r="N576" i="55"/>
  <c r="V324" i="26"/>
  <c r="AO324" i="26" s="1"/>
  <c r="BL323" i="26"/>
  <c r="X324" i="26"/>
  <c r="K324" i="26"/>
  <c r="M324" i="26" s="1"/>
  <c r="AJ324" i="26" s="1"/>
  <c r="AK324" i="26" s="1"/>
  <c r="AP324" i="26"/>
  <c r="AF324" i="26"/>
  <c r="AN324" i="26" s="1"/>
  <c r="D324" i="26"/>
  <c r="F324" i="26"/>
  <c r="R324" i="26" s="1"/>
  <c r="O577" i="55" l="1"/>
  <c r="E578" i="55"/>
  <c r="S576" i="55"/>
  <c r="X576" i="55"/>
  <c r="BK324" i="26"/>
  <c r="N324" i="26"/>
  <c r="AT324" i="26"/>
  <c r="AU323" i="26"/>
  <c r="P324" i="26"/>
  <c r="E325" i="26"/>
  <c r="O324" i="26"/>
  <c r="BT323" i="26"/>
  <c r="AV323" i="55"/>
  <c r="AL324" i="26" l="1"/>
  <c r="AM324" i="26" s="1"/>
  <c r="Q578" i="55"/>
  <c r="K578" i="55"/>
  <c r="L578" i="55" s="1"/>
  <c r="H578" i="55"/>
  <c r="A578" i="55"/>
  <c r="B578" i="55"/>
  <c r="P578" i="55" s="1"/>
  <c r="C578" i="55"/>
  <c r="G578" i="55"/>
  <c r="D578" i="55"/>
  <c r="M578" i="55" s="1"/>
  <c r="N578" i="55" s="1"/>
  <c r="X578" i="55" s="1"/>
  <c r="U578" i="55"/>
  <c r="V578" i="55" s="1"/>
  <c r="W578" i="55"/>
  <c r="S577" i="55"/>
  <c r="S324" i="26"/>
  <c r="T324" i="26" s="1"/>
  <c r="BC324" i="26" s="1"/>
  <c r="B325" i="26"/>
  <c r="F325" i="26" s="1"/>
  <c r="L325" i="26"/>
  <c r="Q325" i="26"/>
  <c r="C325" i="26"/>
  <c r="V325" i="26" s="1"/>
  <c r="H325" i="26"/>
  <c r="A325" i="26"/>
  <c r="W325" i="26"/>
  <c r="O578" i="55" l="1"/>
  <c r="E579" i="55"/>
  <c r="S578" i="55"/>
  <c r="F578" i="55"/>
  <c r="R325" i="26"/>
  <c r="BL324" i="26"/>
  <c r="AS325" i="26"/>
  <c r="BJ325" i="26" s="1"/>
  <c r="U325" i="26"/>
  <c r="AF325" i="26" s="1"/>
  <c r="AN325" i="26" s="1"/>
  <c r="D325" i="26"/>
  <c r="O325" i="26" s="1"/>
  <c r="X325" i="26"/>
  <c r="G325" i="26"/>
  <c r="K325" i="26"/>
  <c r="M325" i="26" s="1"/>
  <c r="AP325" i="26"/>
  <c r="B579" i="55" l="1"/>
  <c r="G579" i="55" s="1"/>
  <c r="C579" i="55"/>
  <c r="Q579" i="55"/>
  <c r="H579" i="55"/>
  <c r="P579" i="55"/>
  <c r="A579" i="55"/>
  <c r="F579" i="55"/>
  <c r="K579" i="55"/>
  <c r="L579" i="55" s="1"/>
  <c r="O579" i="55"/>
  <c r="W579" i="55"/>
  <c r="P325" i="26"/>
  <c r="AU324" i="26"/>
  <c r="N325" i="26"/>
  <c r="AJ325" i="26"/>
  <c r="AK325" i="26" s="1"/>
  <c r="E326" i="26"/>
  <c r="AV324" i="55"/>
  <c r="BT324" i="26"/>
  <c r="BK325" i="26"/>
  <c r="AO325" i="26"/>
  <c r="AT325" i="26" s="1"/>
  <c r="S325" i="26"/>
  <c r="T325" i="26" s="1"/>
  <c r="BC325" i="26" s="1"/>
  <c r="AL325" i="26" l="1"/>
  <c r="AM325" i="26" s="1"/>
  <c r="D579" i="55"/>
  <c r="M579" i="55" s="1"/>
  <c r="U579" i="55"/>
  <c r="V579" i="55" s="1"/>
  <c r="BL325" i="26"/>
  <c r="H326" i="26"/>
  <c r="A326" i="26"/>
  <c r="L326" i="26"/>
  <c r="Q326" i="26"/>
  <c r="C326" i="26"/>
  <c r="AS326" i="26" s="1"/>
  <c r="BJ326" i="26" s="1"/>
  <c r="B326" i="26"/>
  <c r="W326" i="26"/>
  <c r="E580" i="55" l="1"/>
  <c r="N579" i="55"/>
  <c r="V326" i="26"/>
  <c r="AO326" i="26" s="1"/>
  <c r="G326" i="26"/>
  <c r="AP326" i="26"/>
  <c r="U326" i="26"/>
  <c r="AF326" i="26" s="1"/>
  <c r="AN326" i="26" s="1"/>
  <c r="AV325" i="55"/>
  <c r="BT325" i="26"/>
  <c r="D326" i="26"/>
  <c r="O326" i="26" s="1"/>
  <c r="F326" i="26"/>
  <c r="R326" i="26" s="1"/>
  <c r="X326" i="26"/>
  <c r="K326" i="26"/>
  <c r="M326" i="26" s="1"/>
  <c r="X579" i="55" l="1"/>
  <c r="S579" i="55"/>
  <c r="Q580" i="55"/>
  <c r="C580" i="55"/>
  <c r="H580" i="55"/>
  <c r="K580" i="55"/>
  <c r="L580" i="55" s="1"/>
  <c r="B580" i="55"/>
  <c r="D580" i="55" s="1"/>
  <c r="M580" i="55" s="1"/>
  <c r="N580" i="55" s="1"/>
  <c r="A580" i="55"/>
  <c r="F580" i="55"/>
  <c r="P580" i="55"/>
  <c r="AT326" i="26"/>
  <c r="BK326" i="26"/>
  <c r="P326" i="26"/>
  <c r="S326" i="26"/>
  <c r="T326" i="26" s="1"/>
  <c r="BC326" i="26" s="1"/>
  <c r="AJ326" i="26"/>
  <c r="AK326" i="26" s="1"/>
  <c r="N326" i="26"/>
  <c r="AU325" i="26"/>
  <c r="E327" i="26"/>
  <c r="AL326" i="26" l="1"/>
  <c r="AM326" i="26" s="1"/>
  <c r="X580" i="55"/>
  <c r="G580" i="55"/>
  <c r="U580" i="55"/>
  <c r="V580" i="55" s="1"/>
  <c r="E581" i="55"/>
  <c r="O580" i="55"/>
  <c r="S580" i="55" s="1"/>
  <c r="W580" i="55"/>
  <c r="BL326" i="26"/>
  <c r="A327" i="26"/>
  <c r="Q327" i="26"/>
  <c r="B327" i="26"/>
  <c r="C327" i="26"/>
  <c r="V327" i="26" s="1"/>
  <c r="H327" i="26"/>
  <c r="L327" i="26"/>
  <c r="W327" i="26"/>
  <c r="K581" i="55" l="1"/>
  <c r="L581" i="55" s="1"/>
  <c r="H581" i="55"/>
  <c r="C581" i="55"/>
  <c r="A581" i="55"/>
  <c r="Q581" i="55"/>
  <c r="B581" i="55"/>
  <c r="P581" i="55" s="1"/>
  <c r="W581" i="55"/>
  <c r="F581" i="55"/>
  <c r="D581" i="55"/>
  <c r="M581" i="55" s="1"/>
  <c r="G581" i="55"/>
  <c r="N581" i="55"/>
  <c r="K327" i="26"/>
  <c r="M327" i="26" s="1"/>
  <c r="AJ327" i="26" s="1"/>
  <c r="AK327" i="26" s="1"/>
  <c r="G327" i="26"/>
  <c r="X327" i="26"/>
  <c r="F327" i="26"/>
  <c r="R327" i="26" s="1"/>
  <c r="AS327" i="26"/>
  <c r="BJ327" i="26" s="1"/>
  <c r="U327" i="26"/>
  <c r="AF327" i="26" s="1"/>
  <c r="AN327" i="26" s="1"/>
  <c r="AV326" i="55"/>
  <c r="BT326" i="26"/>
  <c r="AU326" i="26"/>
  <c r="D327" i="26"/>
  <c r="AP327" i="26"/>
  <c r="X581" i="55" l="1"/>
  <c r="O581" i="55"/>
  <c r="S581" i="55" s="1"/>
  <c r="E582" i="55"/>
  <c r="N327" i="26"/>
  <c r="P327" i="26"/>
  <c r="O327" i="26"/>
  <c r="E328" i="26"/>
  <c r="BK327" i="26"/>
  <c r="AO327" i="26"/>
  <c r="AT327" i="26" s="1"/>
  <c r="AL327" i="26" l="1"/>
  <c r="AM327" i="26" s="1"/>
  <c r="Q582" i="55"/>
  <c r="H582" i="55"/>
  <c r="A582" i="55"/>
  <c r="K582" i="55"/>
  <c r="L582" i="55" s="1"/>
  <c r="C582" i="55"/>
  <c r="B582" i="55"/>
  <c r="G582" i="55" s="1"/>
  <c r="P582" i="55"/>
  <c r="U582" i="55"/>
  <c r="W582" i="55"/>
  <c r="F582" i="55"/>
  <c r="D582" i="55"/>
  <c r="M582" i="55" s="1"/>
  <c r="N582" i="55" s="1"/>
  <c r="H328" i="26"/>
  <c r="B328" i="26"/>
  <c r="D328" i="26" s="1"/>
  <c r="A328" i="26"/>
  <c r="C328" i="26"/>
  <c r="V328" i="26" s="1"/>
  <c r="Q328" i="26"/>
  <c r="W328" i="26"/>
  <c r="L328" i="26"/>
  <c r="S327" i="26"/>
  <c r="T327" i="26" s="1"/>
  <c r="BC327" i="26" s="1"/>
  <c r="X582" i="55" l="1"/>
  <c r="O582" i="55"/>
  <c r="S582" i="55" s="1"/>
  <c r="E583" i="55"/>
  <c r="V582" i="55"/>
  <c r="E329" i="26"/>
  <c r="K328" i="26"/>
  <c r="M328" i="26" s="1"/>
  <c r="F328" i="26"/>
  <c r="O328" i="26"/>
  <c r="G328" i="26"/>
  <c r="AP328" i="26"/>
  <c r="P328" i="26"/>
  <c r="U328" i="26"/>
  <c r="AF328" i="26" s="1"/>
  <c r="AN328" i="26" s="1"/>
  <c r="R328" i="26"/>
  <c r="AO328" i="26"/>
  <c r="L329" i="26"/>
  <c r="C329" i="26"/>
  <c r="U329" i="26" s="1"/>
  <c r="BL327" i="26"/>
  <c r="X328" i="26"/>
  <c r="AS328" i="26"/>
  <c r="BJ328" i="26" s="1"/>
  <c r="AL328" i="26" l="1"/>
  <c r="AM328" i="26" s="1"/>
  <c r="AP329" i="26"/>
  <c r="H329" i="26"/>
  <c r="C583" i="55"/>
  <c r="K583" i="55"/>
  <c r="L583" i="55" s="1"/>
  <c r="B583" i="55"/>
  <c r="P583" i="55" s="1"/>
  <c r="H583" i="55"/>
  <c r="A583" i="55"/>
  <c r="Q583" i="55"/>
  <c r="D583" i="55"/>
  <c r="M583" i="55" s="1"/>
  <c r="N583" i="55" s="1"/>
  <c r="A329" i="26"/>
  <c r="B329" i="26"/>
  <c r="F329" i="26" s="1"/>
  <c r="R329" i="26" s="1"/>
  <c r="W329" i="26"/>
  <c r="Q329" i="26"/>
  <c r="O583" i="55"/>
  <c r="AJ328" i="26"/>
  <c r="AK328" i="26" s="1"/>
  <c r="N328" i="26"/>
  <c r="AT328" i="26"/>
  <c r="S328" i="26"/>
  <c r="T328" i="26" s="1"/>
  <c r="BC328" i="26" s="1"/>
  <c r="BK328" i="26"/>
  <c r="AV327" i="55"/>
  <c r="BT327" i="26"/>
  <c r="AU327" i="26"/>
  <c r="G329" i="26"/>
  <c r="X329" i="26" l="1"/>
  <c r="D329" i="26"/>
  <c r="O329" i="26" s="1"/>
  <c r="K329" i="26"/>
  <c r="M329" i="26" s="1"/>
  <c r="AJ329" i="26" s="1"/>
  <c r="AK329" i="26" s="1"/>
  <c r="AF329" i="26"/>
  <c r="AN329" i="26" s="1"/>
  <c r="X583" i="55"/>
  <c r="S583" i="55"/>
  <c r="W583" i="55"/>
  <c r="E584" i="55"/>
  <c r="U583" i="55"/>
  <c r="V583" i="55" s="1"/>
  <c r="V329" i="26"/>
  <c r="AO329" i="26" s="1"/>
  <c r="AT329" i="26" s="1"/>
  <c r="G583" i="55"/>
  <c r="F583" i="55"/>
  <c r="BK329" i="26"/>
  <c r="AU328" i="26"/>
  <c r="BL328" i="26"/>
  <c r="P329" i="26"/>
  <c r="BT328" i="26"/>
  <c r="AV328" i="55"/>
  <c r="E330" i="26"/>
  <c r="N329" i="26" l="1"/>
  <c r="AL329" i="26"/>
  <c r="AM329" i="26" s="1"/>
  <c r="C584" i="55"/>
  <c r="Q584" i="55"/>
  <c r="H584" i="55"/>
  <c r="K584" i="55"/>
  <c r="L584" i="55" s="1"/>
  <c r="B584" i="55"/>
  <c r="A584" i="55"/>
  <c r="A330" i="26"/>
  <c r="C330" i="26"/>
  <c r="AS330" i="26" s="1"/>
  <c r="BJ330" i="26" s="1"/>
  <c r="W330" i="26"/>
  <c r="B330" i="26"/>
  <c r="H330" i="26"/>
  <c r="Q330" i="26"/>
  <c r="L330" i="26"/>
  <c r="S329" i="26"/>
  <c r="P584" i="55" l="1"/>
  <c r="D584" i="55"/>
  <c r="W584" i="55"/>
  <c r="F584" i="55"/>
  <c r="G584" i="55"/>
  <c r="O584" i="55"/>
  <c r="U584" i="55"/>
  <c r="V584" i="55" s="1"/>
  <c r="V330" i="26"/>
  <c r="AO330" i="26" s="1"/>
  <c r="U330" i="26"/>
  <c r="T329" i="26"/>
  <c r="BC329" i="26" s="1"/>
  <c r="AF330" i="26"/>
  <c r="AN330" i="26" s="1"/>
  <c r="AP330" i="26"/>
  <c r="D330" i="26"/>
  <c r="P330" i="26" s="1"/>
  <c r="K330" i="26"/>
  <c r="M330" i="26" s="1"/>
  <c r="F330" i="26"/>
  <c r="R330" i="26" s="1"/>
  <c r="X330" i="26"/>
  <c r="O330" i="26"/>
  <c r="G330" i="26"/>
  <c r="M584" i="55" l="1"/>
  <c r="E585" i="55"/>
  <c r="BL329" i="26"/>
  <c r="AT330" i="26"/>
  <c r="E331" i="26"/>
  <c r="N330" i="26"/>
  <c r="AJ330" i="26"/>
  <c r="AK330" i="26" s="1"/>
  <c r="S330" i="26"/>
  <c r="T330" i="26" s="1"/>
  <c r="BC330" i="26" s="1"/>
  <c r="AV329" i="55"/>
  <c r="BT329" i="26"/>
  <c r="BK330" i="26"/>
  <c r="AL330" i="26" l="1"/>
  <c r="AM330" i="26" s="1"/>
  <c r="A585" i="55"/>
  <c r="H585" i="55"/>
  <c r="C585" i="55"/>
  <c r="O585" i="55" s="1"/>
  <c r="B585" i="55"/>
  <c r="Q585" i="55"/>
  <c r="K585" i="55"/>
  <c r="L585" i="55" s="1"/>
  <c r="N584" i="55"/>
  <c r="H331" i="26"/>
  <c r="W331" i="26"/>
  <c r="A331" i="26"/>
  <c r="B331" i="26"/>
  <c r="L331" i="26"/>
  <c r="Q331" i="26"/>
  <c r="C331" i="26"/>
  <c r="AS331" i="26" s="1"/>
  <c r="BJ331" i="26" s="1"/>
  <c r="AU329" i="26"/>
  <c r="BL330" i="26"/>
  <c r="D585" i="55" l="1"/>
  <c r="E586" i="55" s="1"/>
  <c r="G585" i="55"/>
  <c r="P585" i="55"/>
  <c r="M585" i="55"/>
  <c r="W585" i="55"/>
  <c r="S584" i="55"/>
  <c r="X584" i="55"/>
  <c r="F585" i="55"/>
  <c r="U585" i="55"/>
  <c r="V585" i="55" s="1"/>
  <c r="V331" i="26"/>
  <c r="AO331" i="26" s="1"/>
  <c r="K331" i="26"/>
  <c r="M331" i="26" s="1"/>
  <c r="N331" i="26" s="1"/>
  <c r="G331" i="26"/>
  <c r="D331" i="26"/>
  <c r="P331" i="26" s="1"/>
  <c r="F331" i="26"/>
  <c r="R331" i="26" s="1"/>
  <c r="X331" i="26"/>
  <c r="U331" i="26"/>
  <c r="AF331" i="26" s="1"/>
  <c r="AN331" i="26" s="1"/>
  <c r="AP331" i="26"/>
  <c r="AU330" i="26"/>
  <c r="AV330" i="55"/>
  <c r="BT330" i="26"/>
  <c r="N585" i="55" l="1"/>
  <c r="K586" i="55"/>
  <c r="L586" i="55" s="1"/>
  <c r="H586" i="55"/>
  <c r="C586" i="55"/>
  <c r="B586" i="55"/>
  <c r="G586" i="55" s="1"/>
  <c r="Q586" i="55"/>
  <c r="A586" i="55"/>
  <c r="U586" i="55"/>
  <c r="E332" i="26"/>
  <c r="O331" i="26"/>
  <c r="AJ331" i="26"/>
  <c r="AK331" i="26" s="1"/>
  <c r="AT331" i="26"/>
  <c r="BK331" i="26"/>
  <c r="AL331" i="26" l="1"/>
  <c r="AM331" i="26" s="1"/>
  <c r="F586" i="55"/>
  <c r="W586" i="55"/>
  <c r="P586" i="55"/>
  <c r="V586" i="55" s="1"/>
  <c r="O586" i="55"/>
  <c r="D586" i="55"/>
  <c r="M586" i="55" s="1"/>
  <c r="S585" i="55"/>
  <c r="X585" i="55"/>
  <c r="A332" i="26"/>
  <c r="L332" i="26"/>
  <c r="C332" i="26"/>
  <c r="U332" i="26" s="1"/>
  <c r="H332" i="26"/>
  <c r="B332" i="26"/>
  <c r="W332" i="26"/>
  <c r="Q332" i="26"/>
  <c r="AS332" i="26"/>
  <c r="BJ332" i="26" s="1"/>
  <c r="S331" i="26"/>
  <c r="T331" i="26" s="1"/>
  <c r="BL331" i="26" l="1"/>
  <c r="BC331" i="26"/>
  <c r="AV331" i="55" s="1"/>
  <c r="N586" i="55"/>
  <c r="E587" i="55"/>
  <c r="K332" i="26"/>
  <c r="M332" i="26" s="1"/>
  <c r="N332" i="26" s="1"/>
  <c r="D332" i="26"/>
  <c r="O332" i="26" s="1"/>
  <c r="V332" i="26"/>
  <c r="AO332" i="26" s="1"/>
  <c r="X332" i="26"/>
  <c r="G332" i="26"/>
  <c r="AF332" i="26"/>
  <c r="AN332" i="26" s="1"/>
  <c r="AP332" i="26"/>
  <c r="F332" i="26"/>
  <c r="R332" i="26" s="1"/>
  <c r="E333" i="26"/>
  <c r="P332" i="26"/>
  <c r="AU331" i="26"/>
  <c r="AL332" i="26" l="1"/>
  <c r="AM332" i="26" s="1"/>
  <c r="AU332" i="26" s="1"/>
  <c r="C333" i="26"/>
  <c r="B587" i="55"/>
  <c r="P587" i="55" s="1"/>
  <c r="H587" i="55"/>
  <c r="C587" i="55"/>
  <c r="A587" i="55"/>
  <c r="Q587" i="55"/>
  <c r="K587" i="55"/>
  <c r="L587" i="55" s="1"/>
  <c r="O587" i="55"/>
  <c r="G587" i="55"/>
  <c r="D587" i="55"/>
  <c r="M587" i="55" s="1"/>
  <c r="F587" i="55"/>
  <c r="W587" i="55"/>
  <c r="AJ332" i="26"/>
  <c r="AK332" i="26" s="1"/>
  <c r="X586" i="55"/>
  <c r="S586" i="55"/>
  <c r="BK332" i="26"/>
  <c r="Q333" i="26"/>
  <c r="V333" i="26"/>
  <c r="AT332" i="26"/>
  <c r="S332" i="26"/>
  <c r="T332" i="26" s="1"/>
  <c r="BL332" i="26" s="1"/>
  <c r="B333" i="26"/>
  <c r="G333" i="26" s="1"/>
  <c r="H333" i="26"/>
  <c r="A333" i="26"/>
  <c r="BT331" i="26"/>
  <c r="AS333" i="26"/>
  <c r="BJ333" i="26" s="1"/>
  <c r="L333" i="26"/>
  <c r="W333" i="26"/>
  <c r="D333" i="26"/>
  <c r="K333" i="26"/>
  <c r="F333" i="26"/>
  <c r="R333" i="26" s="1"/>
  <c r="U333" i="26"/>
  <c r="BC332" i="26" l="1"/>
  <c r="X333" i="26"/>
  <c r="U587" i="55"/>
  <c r="V587" i="55" s="1"/>
  <c r="E588" i="55"/>
  <c r="AF333" i="26"/>
  <c r="AN333" i="26" s="1"/>
  <c r="AP333" i="26"/>
  <c r="N587" i="55"/>
  <c r="BT332" i="26"/>
  <c r="M333" i="26"/>
  <c r="N333" i="26" s="1"/>
  <c r="O333" i="26"/>
  <c r="S333" i="26" s="1"/>
  <c r="T333" i="26" s="1"/>
  <c r="P333" i="26"/>
  <c r="E334" i="26"/>
  <c r="AO333" i="26"/>
  <c r="BK333" i="26"/>
  <c r="AT333" i="26" l="1"/>
  <c r="AL333" i="26"/>
  <c r="AM333" i="26" s="1"/>
  <c r="BC333" i="26"/>
  <c r="AV332" i="55"/>
  <c r="Q588" i="55"/>
  <c r="C588" i="55"/>
  <c r="A588" i="55"/>
  <c r="K588" i="55"/>
  <c r="L588" i="55" s="1"/>
  <c r="B588" i="55"/>
  <c r="G588" i="55" s="1"/>
  <c r="D588" i="55"/>
  <c r="M588" i="55" s="1"/>
  <c r="H588" i="55"/>
  <c r="F588" i="55"/>
  <c r="X587" i="55"/>
  <c r="S587" i="55"/>
  <c r="B334" i="26"/>
  <c r="F334" i="26" s="1"/>
  <c r="AJ333" i="26"/>
  <c r="AK333" i="26" s="1"/>
  <c r="L334" i="26"/>
  <c r="H334" i="26"/>
  <c r="C334" i="26"/>
  <c r="AS334" i="26" s="1"/>
  <c r="BJ334" i="26" s="1"/>
  <c r="A334" i="26"/>
  <c r="Q334" i="26"/>
  <c r="W334" i="26"/>
  <c r="BL333" i="26"/>
  <c r="G334" i="26" l="1"/>
  <c r="D334" i="26"/>
  <c r="P334" i="26" s="1"/>
  <c r="K334" i="26"/>
  <c r="M334" i="26" s="1"/>
  <c r="N334" i="26" s="1"/>
  <c r="R334" i="26"/>
  <c r="N588" i="55"/>
  <c r="P588" i="55"/>
  <c r="W588" i="55"/>
  <c r="O588" i="55"/>
  <c r="E589" i="55"/>
  <c r="U588" i="55"/>
  <c r="V588" i="55" s="1"/>
  <c r="V334" i="26"/>
  <c r="X334" i="26"/>
  <c r="AO334" i="26"/>
  <c r="U334" i="26"/>
  <c r="AF334" i="26" s="1"/>
  <c r="AN334" i="26" s="1"/>
  <c r="AP334" i="26"/>
  <c r="E335" i="26"/>
  <c r="BT333" i="26"/>
  <c r="AV333" i="55"/>
  <c r="AU333" i="26"/>
  <c r="O334" i="26" l="1"/>
  <c r="AL334" i="26" s="1"/>
  <c r="A589" i="55"/>
  <c r="B589" i="55"/>
  <c r="G589" i="55" s="1"/>
  <c r="Q589" i="55"/>
  <c r="H589" i="55"/>
  <c r="C589" i="55"/>
  <c r="K589" i="55"/>
  <c r="L589" i="55" s="1"/>
  <c r="S588" i="55"/>
  <c r="X588" i="55"/>
  <c r="AJ334" i="26"/>
  <c r="AK334" i="26" s="1"/>
  <c r="BK334" i="26"/>
  <c r="AT334" i="26"/>
  <c r="L335" i="26"/>
  <c r="W335" i="26"/>
  <c r="B335" i="26"/>
  <c r="Q335" i="26"/>
  <c r="A335" i="26"/>
  <c r="C335" i="26"/>
  <c r="V335" i="26" s="1"/>
  <c r="H335" i="26"/>
  <c r="AM334" i="26" l="1"/>
  <c r="AU334" i="26" s="1"/>
  <c r="S334" i="26"/>
  <c r="T334" i="26" s="1"/>
  <c r="BC334" i="26" s="1"/>
  <c r="AV334" i="55" s="1"/>
  <c r="O589" i="55"/>
  <c r="U589" i="55"/>
  <c r="F589" i="55"/>
  <c r="D589" i="55"/>
  <c r="E590" i="55" s="1"/>
  <c r="Q590" i="55" s="1"/>
  <c r="P589" i="55"/>
  <c r="W589" i="55"/>
  <c r="K590" i="55"/>
  <c r="L590" i="55" s="1"/>
  <c r="H590" i="55"/>
  <c r="C590" i="55"/>
  <c r="O590" i="55" s="1"/>
  <c r="B590" i="55"/>
  <c r="G590" i="55" s="1"/>
  <c r="D335" i="26"/>
  <c r="P335" i="26" s="1"/>
  <c r="G335" i="26"/>
  <c r="F335" i="26"/>
  <c r="R335" i="26" s="1"/>
  <c r="K335" i="26"/>
  <c r="M335" i="26" s="1"/>
  <c r="AJ335" i="26" s="1"/>
  <c r="AK335" i="26" s="1"/>
  <c r="X335" i="26"/>
  <c r="AP335" i="26"/>
  <c r="U335" i="26"/>
  <c r="AF335" i="26" s="1"/>
  <c r="AN335" i="26" s="1"/>
  <c r="AO335" i="26"/>
  <c r="AS335" i="26"/>
  <c r="BJ335" i="26" s="1"/>
  <c r="BT334" i="26" l="1"/>
  <c r="BL334" i="26"/>
  <c r="A590" i="55"/>
  <c r="V589" i="55"/>
  <c r="M589" i="55"/>
  <c r="W590" i="55"/>
  <c r="D590" i="55"/>
  <c r="U590" i="55"/>
  <c r="P590" i="55"/>
  <c r="F590" i="55"/>
  <c r="O335" i="26"/>
  <c r="E336" i="26"/>
  <c r="N335" i="26"/>
  <c r="AT335" i="26"/>
  <c r="BK335" i="26"/>
  <c r="AL335" i="26" l="1"/>
  <c r="AM335" i="26" s="1"/>
  <c r="N589" i="55"/>
  <c r="V590" i="55"/>
  <c r="M590" i="55"/>
  <c r="E591" i="55"/>
  <c r="S335" i="26"/>
  <c r="T335" i="26" s="1"/>
  <c r="BC335" i="26" s="1"/>
  <c r="L336" i="26"/>
  <c r="Q336" i="26"/>
  <c r="B336" i="26"/>
  <c r="F336" i="26" s="1"/>
  <c r="W336" i="26"/>
  <c r="A336" i="26"/>
  <c r="C336" i="26"/>
  <c r="U336" i="26" s="1"/>
  <c r="H336" i="26"/>
  <c r="S589" i="55" l="1"/>
  <c r="X589" i="55"/>
  <c r="V336" i="26"/>
  <c r="AO336" i="26" s="1"/>
  <c r="Q591" i="55"/>
  <c r="K591" i="55"/>
  <c r="L591" i="55" s="1"/>
  <c r="B591" i="55"/>
  <c r="F591" i="55" s="1"/>
  <c r="H591" i="55"/>
  <c r="C591" i="55"/>
  <c r="U591" i="55" s="1"/>
  <c r="A591" i="55"/>
  <c r="N590" i="55"/>
  <c r="BL335" i="26"/>
  <c r="G336" i="26"/>
  <c r="AS336" i="26"/>
  <c r="BJ336" i="26" s="1"/>
  <c r="R336" i="26"/>
  <c r="AF336" i="26"/>
  <c r="AN336" i="26" s="1"/>
  <c r="AP336" i="26"/>
  <c r="K336" i="26"/>
  <c r="M336" i="26" s="1"/>
  <c r="AJ336" i="26" s="1"/>
  <c r="AK336" i="26" s="1"/>
  <c r="D336" i="26"/>
  <c r="O336" i="26" s="1"/>
  <c r="X336" i="26"/>
  <c r="BT335" i="26"/>
  <c r="AV335" i="55"/>
  <c r="AU335" i="26"/>
  <c r="O591" i="55" l="1"/>
  <c r="X590" i="55"/>
  <c r="S590" i="55"/>
  <c r="P591" i="55"/>
  <c r="V591" i="55" s="1"/>
  <c r="G591" i="55"/>
  <c r="W591" i="55"/>
  <c r="D591" i="55"/>
  <c r="M591" i="55" s="1"/>
  <c r="N336" i="26"/>
  <c r="S336" i="26"/>
  <c r="T336" i="26" s="1"/>
  <c r="BK336" i="26"/>
  <c r="E337" i="26"/>
  <c r="P336" i="26"/>
  <c r="AT336" i="26"/>
  <c r="AL336" i="26" l="1"/>
  <c r="AM336" i="26" s="1"/>
  <c r="BL336" i="26"/>
  <c r="BC336" i="26"/>
  <c r="B337" i="26"/>
  <c r="D337" i="26" s="1"/>
  <c r="O337" i="26" s="1"/>
  <c r="E592" i="55"/>
  <c r="K592" i="55" s="1"/>
  <c r="N591" i="55"/>
  <c r="W337" i="26"/>
  <c r="Q337" i="26"/>
  <c r="H337" i="26"/>
  <c r="AV336" i="55"/>
  <c r="A337" i="26"/>
  <c r="C337" i="26"/>
  <c r="V337" i="26" s="1"/>
  <c r="L337" i="26"/>
  <c r="F337" i="26"/>
  <c r="G337" i="26" l="1"/>
  <c r="P337" i="26"/>
  <c r="K337" i="26"/>
  <c r="M337" i="26" s="1"/>
  <c r="N337" i="26" s="1"/>
  <c r="H592" i="55"/>
  <c r="A592" i="55"/>
  <c r="B592" i="55"/>
  <c r="D592" i="55" s="1"/>
  <c r="M592" i="55" s="1"/>
  <c r="N592" i="55" s="1"/>
  <c r="C592" i="55"/>
  <c r="Q592" i="55"/>
  <c r="L592" i="55"/>
  <c r="X591" i="55"/>
  <c r="S591" i="55"/>
  <c r="R337" i="26"/>
  <c r="U337" i="26"/>
  <c r="AF337" i="26" s="1"/>
  <c r="AN337" i="26" s="1"/>
  <c r="BT336" i="26"/>
  <c r="E338" i="26"/>
  <c r="X337" i="26"/>
  <c r="BK337" i="26" s="1"/>
  <c r="AP337" i="26"/>
  <c r="AS337" i="26"/>
  <c r="BJ337" i="26" s="1"/>
  <c r="AU336" i="26"/>
  <c r="AO337" i="26"/>
  <c r="AL337" i="26" l="1"/>
  <c r="AM337" i="26" s="1"/>
  <c r="F592" i="55"/>
  <c r="O592" i="55"/>
  <c r="S592" i="55" s="1"/>
  <c r="P592" i="55"/>
  <c r="G592" i="55"/>
  <c r="W338" i="26"/>
  <c r="E593" i="55"/>
  <c r="Q593" i="55" s="1"/>
  <c r="U592" i="55"/>
  <c r="W592" i="55"/>
  <c r="AJ337" i="26"/>
  <c r="AK337" i="26" s="1"/>
  <c r="S337" i="26"/>
  <c r="T337" i="26" s="1"/>
  <c r="X592" i="55"/>
  <c r="Q338" i="26"/>
  <c r="C338" i="26"/>
  <c r="U338" i="26" s="1"/>
  <c r="B338" i="26"/>
  <c r="H338" i="26"/>
  <c r="A338" i="26"/>
  <c r="L338" i="26"/>
  <c r="AT337" i="26"/>
  <c r="BC337" i="26" l="1"/>
  <c r="V338" i="26"/>
  <c r="AO338" i="26" s="1"/>
  <c r="V592" i="55"/>
  <c r="A593" i="55"/>
  <c r="H593" i="55"/>
  <c r="K593" i="55"/>
  <c r="L593" i="55" s="1"/>
  <c r="C593" i="55"/>
  <c r="O593" i="55" s="1"/>
  <c r="B593" i="55"/>
  <c r="G593" i="55" s="1"/>
  <c r="AS338" i="26"/>
  <c r="BJ338" i="26" s="1"/>
  <c r="BL337" i="26"/>
  <c r="AP338" i="26"/>
  <c r="AF338" i="26"/>
  <c r="AN338" i="26" s="1"/>
  <c r="D338" i="26"/>
  <c r="G338" i="26"/>
  <c r="K338" i="26"/>
  <c r="M338" i="26" s="1"/>
  <c r="N338" i="26" s="1"/>
  <c r="F338" i="26"/>
  <c r="R338" i="26" s="1"/>
  <c r="X338" i="26"/>
  <c r="AU337" i="26"/>
  <c r="BT337" i="26" l="1"/>
  <c r="AV337" i="55"/>
  <c r="W593" i="55"/>
  <c r="D593" i="55"/>
  <c r="M593" i="55" s="1"/>
  <c r="N593" i="55" s="1"/>
  <c r="P593" i="55"/>
  <c r="F593" i="55"/>
  <c r="BK338" i="26"/>
  <c r="AT338" i="26"/>
  <c r="O338" i="26"/>
  <c r="S338" i="26" s="1"/>
  <c r="T338" i="26" s="1"/>
  <c r="BC338" i="26" s="1"/>
  <c r="E594" i="55"/>
  <c r="K594" i="55" s="1"/>
  <c r="L594" i="55" s="1"/>
  <c r="AJ338" i="26"/>
  <c r="AK338" i="26" s="1"/>
  <c r="P338" i="26"/>
  <c r="E339" i="26"/>
  <c r="AL338" i="26" l="1"/>
  <c r="AM338" i="26" s="1"/>
  <c r="Q339" i="26"/>
  <c r="B594" i="55"/>
  <c r="G594" i="55" s="1"/>
  <c r="Q594" i="55"/>
  <c r="C594" i="55"/>
  <c r="O594" i="55" s="1"/>
  <c r="H594" i="55"/>
  <c r="A594" i="55"/>
  <c r="W339" i="26"/>
  <c r="L339" i="26"/>
  <c r="H339" i="26"/>
  <c r="B339" i="26"/>
  <c r="G339" i="26" s="1"/>
  <c r="C339" i="26"/>
  <c r="U339" i="26" s="1"/>
  <c r="A339" i="26"/>
  <c r="X593" i="55"/>
  <c r="S593" i="55"/>
  <c r="F594" i="55"/>
  <c r="W594" i="55"/>
  <c r="P594" i="55"/>
  <c r="BL338" i="26"/>
  <c r="F339" i="26"/>
  <c r="R339" i="26" s="1"/>
  <c r="D339" i="26" l="1"/>
  <c r="AP339" i="26"/>
  <c r="V339" i="26"/>
  <c r="D594" i="55"/>
  <c r="M594" i="55" s="1"/>
  <c r="N594" i="55" s="1"/>
  <c r="X339" i="26"/>
  <c r="AS339" i="26"/>
  <c r="BJ339" i="26" s="1"/>
  <c r="U594" i="55"/>
  <c r="V594" i="55" s="1"/>
  <c r="K339" i="26"/>
  <c r="M339" i="26" s="1"/>
  <c r="AJ339" i="26" s="1"/>
  <c r="AK339" i="26" s="1"/>
  <c r="AO339" i="26"/>
  <c r="AF339" i="26"/>
  <c r="AN339" i="26" s="1"/>
  <c r="O339" i="26"/>
  <c r="E340" i="26"/>
  <c r="P339" i="26"/>
  <c r="AV338" i="55"/>
  <c r="BT338" i="26"/>
  <c r="AU338" i="26"/>
  <c r="AL339" i="26" l="1"/>
  <c r="AM339" i="26" s="1"/>
  <c r="AT339" i="26"/>
  <c r="E595" i="55"/>
  <c r="K595" i="55" s="1"/>
  <c r="L595" i="55" s="1"/>
  <c r="A595" i="55"/>
  <c r="B595" i="55"/>
  <c r="D595" i="55" s="1"/>
  <c r="M595" i="55" s="1"/>
  <c r="N595" i="55" s="1"/>
  <c r="C595" i="55"/>
  <c r="O595" i="55" s="1"/>
  <c r="Q595" i="55"/>
  <c r="N339" i="26"/>
  <c r="BK339" i="26"/>
  <c r="U595" i="55"/>
  <c r="S594" i="55"/>
  <c r="X594" i="55"/>
  <c r="S339" i="26"/>
  <c r="T339" i="26" s="1"/>
  <c r="BC339" i="26" s="1"/>
  <c r="H340" i="26"/>
  <c r="B340" i="26"/>
  <c r="G340" i="26" s="1"/>
  <c r="Q340" i="26"/>
  <c r="C340" i="26"/>
  <c r="V340" i="26" s="1"/>
  <c r="W340" i="26"/>
  <c r="L340" i="26"/>
  <c r="A340" i="26"/>
  <c r="W595" i="55" l="1"/>
  <c r="H595" i="55"/>
  <c r="F595" i="55"/>
  <c r="E596" i="55"/>
  <c r="Q596" i="55" s="1"/>
  <c r="P595" i="55"/>
  <c r="V595" i="55" s="1"/>
  <c r="X595" i="55"/>
  <c r="G595" i="55"/>
  <c r="K340" i="26"/>
  <c r="M340" i="26" s="1"/>
  <c r="N340" i="26" s="1"/>
  <c r="S595" i="55"/>
  <c r="F340" i="26"/>
  <c r="K596" i="55"/>
  <c r="L596" i="55" s="1"/>
  <c r="BL339" i="26"/>
  <c r="D340" i="26"/>
  <c r="X340" i="26"/>
  <c r="BK340" i="26" s="1"/>
  <c r="AP340" i="26"/>
  <c r="R340" i="26"/>
  <c r="AO340" i="26"/>
  <c r="AS340" i="26"/>
  <c r="BJ340" i="26" s="1"/>
  <c r="U340" i="26"/>
  <c r="AF340" i="26" s="1"/>
  <c r="AN340" i="26" s="1"/>
  <c r="AU339" i="26"/>
  <c r="BT339" i="26"/>
  <c r="AV339" i="55"/>
  <c r="O340" i="26" l="1"/>
  <c r="S340" i="26" s="1"/>
  <c r="T340" i="26" s="1"/>
  <c r="H596" i="55"/>
  <c r="B596" i="55"/>
  <c r="A596" i="55"/>
  <c r="C596" i="55"/>
  <c r="O596" i="55" s="1"/>
  <c r="F596" i="55"/>
  <c r="G596" i="55"/>
  <c r="P596" i="55"/>
  <c r="D596" i="55"/>
  <c r="P340" i="26"/>
  <c r="E341" i="26"/>
  <c r="AT340" i="26"/>
  <c r="AJ340" i="26"/>
  <c r="AK340" i="26" s="1"/>
  <c r="AL340" i="26" l="1"/>
  <c r="AM340" i="26" s="1"/>
  <c r="AU340" i="26" s="1"/>
  <c r="BL340" i="26"/>
  <c r="BC340" i="26"/>
  <c r="W596" i="55"/>
  <c r="U596" i="55"/>
  <c r="V596" i="55" s="1"/>
  <c r="B341" i="26"/>
  <c r="K341" i="26" s="1"/>
  <c r="A341" i="26"/>
  <c r="H341" i="26"/>
  <c r="E597" i="55"/>
  <c r="M596" i="55"/>
  <c r="C341" i="26"/>
  <c r="U341" i="26" s="1"/>
  <c r="W341" i="26"/>
  <c r="G341" i="26"/>
  <c r="Q341" i="26"/>
  <c r="L341" i="26"/>
  <c r="AV340" i="55"/>
  <c r="X341" i="26" l="1"/>
  <c r="F341" i="26"/>
  <c r="D341" i="26"/>
  <c r="AF341" i="26"/>
  <c r="AN341" i="26" s="1"/>
  <c r="V341" i="26"/>
  <c r="BK341" i="26" s="1"/>
  <c r="AP341" i="26"/>
  <c r="N596" i="55"/>
  <c r="C597" i="55"/>
  <c r="O597" i="55" s="1"/>
  <c r="Q597" i="55"/>
  <c r="H597" i="55"/>
  <c r="A597" i="55"/>
  <c r="K597" i="55"/>
  <c r="L597" i="55" s="1"/>
  <c r="B597" i="55"/>
  <c r="P597" i="55" s="1"/>
  <c r="R341" i="26"/>
  <c r="M341" i="26"/>
  <c r="BT340" i="26"/>
  <c r="AO341" i="26" l="1"/>
  <c r="AT341" i="26" s="1"/>
  <c r="P341" i="26"/>
  <c r="E342" i="26"/>
  <c r="O341" i="26"/>
  <c r="D597" i="55"/>
  <c r="M597" i="55" s="1"/>
  <c r="U597" i="55"/>
  <c r="V597" i="55" s="1"/>
  <c r="G597" i="55"/>
  <c r="F597" i="55"/>
  <c r="W597" i="55"/>
  <c r="X596" i="55"/>
  <c r="S596" i="55"/>
  <c r="AJ341" i="26"/>
  <c r="AK341" i="26" s="1"/>
  <c r="N341" i="26"/>
  <c r="AL341" i="26" l="1"/>
  <c r="AM341" i="26" s="1"/>
  <c r="S341" i="26"/>
  <c r="T341" i="26" s="1"/>
  <c r="BC341" i="26" s="1"/>
  <c r="AV341" i="55" s="1"/>
  <c r="H342" i="26"/>
  <c r="L342" i="26"/>
  <c r="W342" i="26"/>
  <c r="Q342" i="26"/>
  <c r="A342" i="26"/>
  <c r="C342" i="26"/>
  <c r="B342" i="26"/>
  <c r="E598" i="55"/>
  <c r="N597" i="55"/>
  <c r="BT341" i="26" l="1"/>
  <c r="BL341" i="26"/>
  <c r="V342" i="26"/>
  <c r="AS342" i="26"/>
  <c r="BJ342" i="26" s="1"/>
  <c r="U342" i="26"/>
  <c r="AF342" i="26" s="1"/>
  <c r="AN342" i="26" s="1"/>
  <c r="D342" i="26"/>
  <c r="E343" i="26" s="1"/>
  <c r="K342" i="26"/>
  <c r="M342" i="26" s="1"/>
  <c r="G342" i="26"/>
  <c r="F342" i="26"/>
  <c r="R342" i="26" s="1"/>
  <c r="AP342" i="26"/>
  <c r="O342" i="26"/>
  <c r="P342" i="26"/>
  <c r="X342" i="26"/>
  <c r="BK342" i="26" s="1"/>
  <c r="AO342" i="26"/>
  <c r="S597" i="55"/>
  <c r="X597" i="55"/>
  <c r="K598" i="55"/>
  <c r="L598" i="55" s="1"/>
  <c r="H598" i="55"/>
  <c r="Q598" i="55"/>
  <c r="B598" i="55"/>
  <c r="D598" i="55" s="1"/>
  <c r="A598" i="55"/>
  <c r="C598" i="55"/>
  <c r="O598" i="55" s="1"/>
  <c r="AU341" i="26"/>
  <c r="B343" i="26" l="1"/>
  <c r="C343" i="26"/>
  <c r="V343" i="26" s="1"/>
  <c r="W343" i="26"/>
  <c r="A343" i="26"/>
  <c r="L343" i="26"/>
  <c r="AO343" i="26"/>
  <c r="Q343" i="26"/>
  <c r="H343" i="26"/>
  <c r="G343" i="26"/>
  <c r="AP343" i="26"/>
  <c r="U343" i="26"/>
  <c r="AF343" i="26" s="1"/>
  <c r="AN343" i="26" s="1"/>
  <c r="X343" i="26"/>
  <c r="BK343" i="26" s="1"/>
  <c r="F343" i="26"/>
  <c r="R343" i="26" s="1"/>
  <c r="K343" i="26"/>
  <c r="M343" i="26" s="1"/>
  <c r="N343" i="26" s="1"/>
  <c r="AS343" i="26"/>
  <c r="BJ343" i="26" s="1"/>
  <c r="D343" i="26"/>
  <c r="P343" i="26" s="1"/>
  <c r="S342" i="26"/>
  <c r="T342" i="26" s="1"/>
  <c r="BC342" i="26" s="1"/>
  <c r="AT342" i="26"/>
  <c r="N342" i="26"/>
  <c r="AJ342" i="26"/>
  <c r="AK342" i="26" s="1"/>
  <c r="F598" i="55"/>
  <c r="G598" i="55"/>
  <c r="W598" i="55"/>
  <c r="E599" i="55"/>
  <c r="C599" i="55" s="1"/>
  <c r="U599" i="55" s="1"/>
  <c r="U598" i="55"/>
  <c r="P598" i="55"/>
  <c r="M598" i="55"/>
  <c r="O343" i="26"/>
  <c r="E344" i="26"/>
  <c r="AL342" i="26" l="1"/>
  <c r="AM342" i="26" s="1"/>
  <c r="AU342" i="26" s="1"/>
  <c r="AL343" i="26"/>
  <c r="AM343" i="26" s="1"/>
  <c r="AT343" i="26"/>
  <c r="AJ343" i="26"/>
  <c r="AK343" i="26" s="1"/>
  <c r="BL342" i="26"/>
  <c r="Q599" i="55"/>
  <c r="V598" i="55"/>
  <c r="A599" i="55"/>
  <c r="B599" i="55"/>
  <c r="F599" i="55" s="1"/>
  <c r="H599" i="55"/>
  <c r="K599" i="55"/>
  <c r="L599" i="55" s="1"/>
  <c r="O599" i="55"/>
  <c r="N598" i="55"/>
  <c r="S343" i="26"/>
  <c r="T343" i="26" s="1"/>
  <c r="BC343" i="26" s="1"/>
  <c r="B344" i="26"/>
  <c r="F344" i="26" s="1"/>
  <c r="L344" i="26"/>
  <c r="H344" i="26"/>
  <c r="A344" i="26"/>
  <c r="W344" i="26"/>
  <c r="Q344" i="26"/>
  <c r="C344" i="26"/>
  <c r="AS344" i="26" s="1"/>
  <c r="BJ344" i="26" s="1"/>
  <c r="BT342" i="26" l="1"/>
  <c r="AV342" i="55"/>
  <c r="V344" i="26"/>
  <c r="AO344" i="26" s="1"/>
  <c r="D344" i="26"/>
  <c r="G599" i="55"/>
  <c r="P599" i="55"/>
  <c r="V599" i="55" s="1"/>
  <c r="W599" i="55"/>
  <c r="D599" i="55"/>
  <c r="X598" i="55"/>
  <c r="S598" i="55"/>
  <c r="X344" i="26"/>
  <c r="R344" i="26"/>
  <c r="AU343" i="26"/>
  <c r="BL343" i="26"/>
  <c r="BT343" i="26"/>
  <c r="U344" i="26"/>
  <c r="AF344" i="26" s="1"/>
  <c r="AN344" i="26" s="1"/>
  <c r="G344" i="26"/>
  <c r="K344" i="26"/>
  <c r="M344" i="26" s="1"/>
  <c r="AJ344" i="26" s="1"/>
  <c r="AK344" i="26" s="1"/>
  <c r="AP344" i="26"/>
  <c r="P344" i="26" l="1"/>
  <c r="E345" i="26"/>
  <c r="O344" i="26"/>
  <c r="AL344" i="26" s="1"/>
  <c r="M599" i="55"/>
  <c r="E600" i="55"/>
  <c r="AV343" i="55"/>
  <c r="N344" i="26"/>
  <c r="AT344" i="26"/>
  <c r="W345" i="26"/>
  <c r="L345" i="26"/>
  <c r="C345" i="26"/>
  <c r="V345" i="26" s="1"/>
  <c r="BK344" i="26"/>
  <c r="AO345" i="26" l="1"/>
  <c r="B345" i="26"/>
  <c r="D345" i="26" s="1"/>
  <c r="H345" i="26"/>
  <c r="Q345" i="26"/>
  <c r="A345" i="26"/>
  <c r="AM344" i="26"/>
  <c r="S344" i="26"/>
  <c r="T344" i="26" s="1"/>
  <c r="BC344" i="26" s="1"/>
  <c r="Q600" i="55"/>
  <c r="B600" i="55"/>
  <c r="D600" i="55" s="1"/>
  <c r="M600" i="55" s="1"/>
  <c r="H600" i="55"/>
  <c r="K600" i="55"/>
  <c r="L600" i="55" s="1"/>
  <c r="A600" i="55"/>
  <c r="C600" i="55"/>
  <c r="N599" i="55"/>
  <c r="E346" i="26"/>
  <c r="G345" i="26"/>
  <c r="F345" i="26"/>
  <c r="K345" i="26"/>
  <c r="M345" i="26" s="1"/>
  <c r="P345" i="26"/>
  <c r="O345" i="26"/>
  <c r="AP345" i="26"/>
  <c r="X345" i="26"/>
  <c r="W346" i="26"/>
  <c r="AS345" i="26"/>
  <c r="BJ345" i="26" s="1"/>
  <c r="U345" i="26"/>
  <c r="AF345" i="26" s="1"/>
  <c r="AN345" i="26" s="1"/>
  <c r="BL344" i="26"/>
  <c r="R345" i="26" l="1"/>
  <c r="AL345" i="26" s="1"/>
  <c r="H346" i="26"/>
  <c r="X599" i="55"/>
  <c r="S599" i="55"/>
  <c r="E601" i="55"/>
  <c r="U600" i="55"/>
  <c r="O600" i="55"/>
  <c r="P600" i="55"/>
  <c r="G600" i="55"/>
  <c r="F600" i="55"/>
  <c r="W600" i="55"/>
  <c r="N600" i="55"/>
  <c r="X600" i="55" s="1"/>
  <c r="L346" i="26"/>
  <c r="B346" i="26"/>
  <c r="G346" i="26" s="1"/>
  <c r="Q346" i="26"/>
  <c r="A346" i="26"/>
  <c r="C346" i="26"/>
  <c r="AS346" i="26" s="1"/>
  <c r="BJ346" i="26" s="1"/>
  <c r="S345" i="26"/>
  <c r="T345" i="26" s="1"/>
  <c r="BC345" i="26" s="1"/>
  <c r="AT345" i="26"/>
  <c r="BK345" i="26"/>
  <c r="BT344" i="26"/>
  <c r="AV344" i="55"/>
  <c r="AU344" i="26"/>
  <c r="AJ345" i="26"/>
  <c r="AK345" i="26" s="1"/>
  <c r="N345" i="26"/>
  <c r="AM345" i="26" l="1"/>
  <c r="AU345" i="26" s="1"/>
  <c r="V346" i="26"/>
  <c r="S600" i="55"/>
  <c r="V600" i="55"/>
  <c r="C601" i="55"/>
  <c r="O601" i="55" s="1"/>
  <c r="Q601" i="55"/>
  <c r="H601" i="55"/>
  <c r="A601" i="55"/>
  <c r="B601" i="55"/>
  <c r="P601" i="55" s="1"/>
  <c r="K601" i="55"/>
  <c r="L601" i="55" s="1"/>
  <c r="U346" i="26"/>
  <c r="AF346" i="26" s="1"/>
  <c r="AN346" i="26" s="1"/>
  <c r="X346" i="26"/>
  <c r="K346" i="26"/>
  <c r="M346" i="26" s="1"/>
  <c r="N346" i="26" s="1"/>
  <c r="F346" i="26"/>
  <c r="R346" i="26" s="1"/>
  <c r="D346" i="26"/>
  <c r="O346" i="26" s="1"/>
  <c r="BK346" i="26"/>
  <c r="AP346" i="26"/>
  <c r="BL345" i="26"/>
  <c r="AV345" i="55"/>
  <c r="BT345" i="26"/>
  <c r="P346" i="26" l="1"/>
  <c r="U601" i="55"/>
  <c r="V601" i="55" s="1"/>
  <c r="E347" i="26"/>
  <c r="F601" i="55"/>
  <c r="G601" i="55"/>
  <c r="W601" i="55"/>
  <c r="D601" i="55"/>
  <c r="M601" i="55" s="1"/>
  <c r="AO346" i="26"/>
  <c r="AT346" i="26" s="1"/>
  <c r="AJ346" i="26"/>
  <c r="AK346" i="26" s="1"/>
  <c r="S346" i="26"/>
  <c r="T346" i="26" s="1"/>
  <c r="BC346" i="26" s="1"/>
  <c r="AL346" i="26" l="1"/>
  <c r="AM346" i="26" s="1"/>
  <c r="W347" i="26"/>
  <c r="A347" i="26"/>
  <c r="E602" i="55"/>
  <c r="B602" i="55" s="1"/>
  <c r="F602" i="55" s="1"/>
  <c r="Q347" i="26"/>
  <c r="H347" i="26"/>
  <c r="L347" i="26"/>
  <c r="C347" i="26"/>
  <c r="B347" i="26"/>
  <c r="D347" i="26" s="1"/>
  <c r="N601" i="55"/>
  <c r="BL346" i="26"/>
  <c r="V347" i="26" l="1"/>
  <c r="AO347" i="26" s="1"/>
  <c r="O347" i="26"/>
  <c r="K347" i="26"/>
  <c r="M347" i="26" s="1"/>
  <c r="N347" i="26" s="1"/>
  <c r="H602" i="55"/>
  <c r="G347" i="26"/>
  <c r="P347" i="26"/>
  <c r="F347" i="26"/>
  <c r="R347" i="26" s="1"/>
  <c r="K602" i="55"/>
  <c r="L602" i="55" s="1"/>
  <c r="C602" i="55"/>
  <c r="O602" i="55" s="1"/>
  <c r="X347" i="26"/>
  <c r="AS347" i="26"/>
  <c r="BJ347" i="26" s="1"/>
  <c r="A602" i="55"/>
  <c r="Q602" i="55"/>
  <c r="E348" i="26"/>
  <c r="U347" i="26"/>
  <c r="AF347" i="26" s="1"/>
  <c r="AN347" i="26" s="1"/>
  <c r="AP347" i="26"/>
  <c r="P602" i="55"/>
  <c r="G602" i="55"/>
  <c r="D602" i="55"/>
  <c r="M602" i="55" s="1"/>
  <c r="S601" i="55"/>
  <c r="X601" i="55"/>
  <c r="BK347" i="26"/>
  <c r="C348" i="26"/>
  <c r="L348" i="26"/>
  <c r="H348" i="26"/>
  <c r="A348" i="26"/>
  <c r="Q348" i="26"/>
  <c r="AV346" i="55"/>
  <c r="BT346" i="26"/>
  <c r="AU346" i="26"/>
  <c r="AL347" i="26" l="1"/>
  <c r="AM347" i="26" s="1"/>
  <c r="S347" i="26"/>
  <c r="T347" i="26" s="1"/>
  <c r="BC347" i="26" s="1"/>
  <c r="AT347" i="26"/>
  <c r="V348" i="26"/>
  <c r="W348" i="26"/>
  <c r="B348" i="26"/>
  <c r="F348" i="26" s="1"/>
  <c r="AJ347" i="26"/>
  <c r="AK347" i="26" s="1"/>
  <c r="W602" i="55"/>
  <c r="U602" i="55"/>
  <c r="V602" i="55" s="1"/>
  <c r="N602" i="55"/>
  <c r="E603" i="55"/>
  <c r="AO348" i="26"/>
  <c r="R348" i="26"/>
  <c r="K348" i="26"/>
  <c r="M348" i="26" s="1"/>
  <c r="AJ348" i="26" s="1"/>
  <c r="AK348" i="26" s="1"/>
  <c r="D348" i="26"/>
  <c r="E349" i="26" s="1"/>
  <c r="X348" i="26"/>
  <c r="BK348" i="26" s="1"/>
  <c r="AS348" i="26"/>
  <c r="BJ348" i="26" s="1"/>
  <c r="U348" i="26"/>
  <c r="AF348" i="26" s="1"/>
  <c r="AN348" i="26" s="1"/>
  <c r="BL347" i="26" l="1"/>
  <c r="G348" i="26"/>
  <c r="AP348" i="26"/>
  <c r="AT348" i="26" s="1"/>
  <c r="Q603" i="55"/>
  <c r="B603" i="55"/>
  <c r="D603" i="55" s="1"/>
  <c r="H603" i="55"/>
  <c r="K603" i="55"/>
  <c r="L603" i="55" s="1"/>
  <c r="C603" i="55"/>
  <c r="U603" i="55" s="1"/>
  <c r="A603" i="55"/>
  <c r="S602" i="55"/>
  <c r="X602" i="55"/>
  <c r="N348" i="26"/>
  <c r="L349" i="26"/>
  <c r="B349" i="26"/>
  <c r="Q349" i="26"/>
  <c r="C349" i="26"/>
  <c r="V349" i="26" s="1"/>
  <c r="H349" i="26"/>
  <c r="A349" i="26"/>
  <c r="W349" i="26"/>
  <c r="P348" i="26"/>
  <c r="O348" i="26"/>
  <c r="AV347" i="55"/>
  <c r="BT347" i="26"/>
  <c r="AU347" i="26"/>
  <c r="AL348" i="26" l="1"/>
  <c r="AM348" i="26" s="1"/>
  <c r="G603" i="55"/>
  <c r="P603" i="55"/>
  <c r="F603" i="55"/>
  <c r="V603" i="55"/>
  <c r="W603" i="55"/>
  <c r="M603" i="55"/>
  <c r="O603" i="55"/>
  <c r="E604" i="55"/>
  <c r="F349" i="26"/>
  <c r="R349" i="26" s="1"/>
  <c r="G349" i="26"/>
  <c r="D349" i="26"/>
  <c r="X349" i="26"/>
  <c r="K349" i="26"/>
  <c r="M349" i="26" s="1"/>
  <c r="AJ349" i="26" s="1"/>
  <c r="AK349" i="26" s="1"/>
  <c r="U349" i="26"/>
  <c r="AF349" i="26" s="1"/>
  <c r="AN349" i="26" s="1"/>
  <c r="AP349" i="26"/>
  <c r="S348" i="26"/>
  <c r="T348" i="26" s="1"/>
  <c r="BC348" i="26" s="1"/>
  <c r="AS349" i="26"/>
  <c r="BJ349" i="26" s="1"/>
  <c r="K604" i="55" l="1"/>
  <c r="L604" i="55" s="1"/>
  <c r="A604" i="55"/>
  <c r="C604" i="55"/>
  <c r="H604" i="55"/>
  <c r="Q604" i="55"/>
  <c r="B604" i="55"/>
  <c r="F604" i="55" s="1"/>
  <c r="N603" i="55"/>
  <c r="E350" i="26"/>
  <c r="O349" i="26"/>
  <c r="N349" i="26"/>
  <c r="P349" i="26"/>
  <c r="AO349" i="26"/>
  <c r="AT349" i="26" s="1"/>
  <c r="BK349" i="26"/>
  <c r="BL348" i="26"/>
  <c r="AL349" i="26" l="1"/>
  <c r="D604" i="55"/>
  <c r="M604" i="55" s="1"/>
  <c r="N604" i="55" s="1"/>
  <c r="X604" i="55" s="1"/>
  <c r="P604" i="55"/>
  <c r="O604" i="55"/>
  <c r="U604" i="55"/>
  <c r="G604" i="55"/>
  <c r="E605" i="55"/>
  <c r="S603" i="55"/>
  <c r="X603" i="55"/>
  <c r="W604" i="55"/>
  <c r="S349" i="26"/>
  <c r="T349" i="26" s="1"/>
  <c r="W350" i="26"/>
  <c r="H350" i="26"/>
  <c r="B350" i="26"/>
  <c r="K350" i="26" s="1"/>
  <c r="L350" i="26"/>
  <c r="A350" i="26"/>
  <c r="C350" i="26"/>
  <c r="U350" i="26" s="1"/>
  <c r="Q350" i="26"/>
  <c r="AU348" i="26"/>
  <c r="BT348" i="26"/>
  <c r="AV348" i="55"/>
  <c r="BC349" i="26" l="1"/>
  <c r="AV349" i="55" s="1"/>
  <c r="V604" i="55"/>
  <c r="V350" i="26"/>
  <c r="AO350" i="26" s="1"/>
  <c r="S604" i="55"/>
  <c r="A605" i="55"/>
  <c r="H605" i="55"/>
  <c r="Q605" i="55"/>
  <c r="K605" i="55"/>
  <c r="L605" i="55" s="1"/>
  <c r="B605" i="55"/>
  <c r="G605" i="55" s="1"/>
  <c r="C605" i="55"/>
  <c r="F350" i="26"/>
  <c r="R350" i="26" s="1"/>
  <c r="BL349" i="26"/>
  <c r="AM349" i="26"/>
  <c r="AU349" i="26" s="1"/>
  <c r="M350" i="26"/>
  <c r="N350" i="26" s="1"/>
  <c r="D350" i="26"/>
  <c r="P350" i="26" s="1"/>
  <c r="AF350" i="26"/>
  <c r="AN350" i="26" s="1"/>
  <c r="G350" i="26"/>
  <c r="AP350" i="26"/>
  <c r="AS350" i="26"/>
  <c r="BJ350" i="26" s="1"/>
  <c r="X350" i="26"/>
  <c r="BT349" i="26" l="1"/>
  <c r="P605" i="55"/>
  <c r="W605" i="55"/>
  <c r="D605" i="55"/>
  <c r="M605" i="55" s="1"/>
  <c r="F605" i="55"/>
  <c r="O605" i="55"/>
  <c r="E351" i="26"/>
  <c r="AJ350" i="26"/>
  <c r="AK350" i="26" s="1"/>
  <c r="BK350" i="26"/>
  <c r="AT350" i="26"/>
  <c r="O350" i="26"/>
  <c r="AL350" i="26" l="1"/>
  <c r="AM350" i="26" s="1"/>
  <c r="Q351" i="26"/>
  <c r="E606" i="55"/>
  <c r="A606" i="55" s="1"/>
  <c r="N605" i="55"/>
  <c r="S605" i="55" s="1"/>
  <c r="H351" i="26"/>
  <c r="A351" i="26"/>
  <c r="L351" i="26"/>
  <c r="B351" i="26"/>
  <c r="D351" i="26" s="1"/>
  <c r="W351" i="26"/>
  <c r="C351" i="26"/>
  <c r="AS351" i="26" s="1"/>
  <c r="BJ351" i="26" s="1"/>
  <c r="S350" i="26"/>
  <c r="T350" i="26" s="1"/>
  <c r="BC350" i="26" s="1"/>
  <c r="F351" i="26" l="1"/>
  <c r="R351" i="26" s="1"/>
  <c r="X605" i="55"/>
  <c r="B606" i="55"/>
  <c r="G606" i="55" s="1"/>
  <c r="V351" i="26"/>
  <c r="AO351" i="26" s="1"/>
  <c r="K351" i="26"/>
  <c r="M351" i="26" s="1"/>
  <c r="N351" i="26" s="1"/>
  <c r="P606" i="55"/>
  <c r="C606" i="55"/>
  <c r="O606" i="55" s="1"/>
  <c r="U351" i="26"/>
  <c r="AF351" i="26" s="1"/>
  <c r="AN351" i="26" s="1"/>
  <c r="Q606" i="55"/>
  <c r="K606" i="55"/>
  <c r="L606" i="55" s="1"/>
  <c r="U606" i="55"/>
  <c r="H606" i="55"/>
  <c r="G351" i="26"/>
  <c r="E352" i="26"/>
  <c r="AP351" i="26"/>
  <c r="O351" i="26"/>
  <c r="S351" i="26" s="1"/>
  <c r="T351" i="26" s="1"/>
  <c r="BC351" i="26" s="1"/>
  <c r="P351" i="26"/>
  <c r="X351" i="26"/>
  <c r="D606" i="55"/>
  <c r="BL350" i="26"/>
  <c r="BT350" i="26"/>
  <c r="AV350" i="55"/>
  <c r="AU350" i="26"/>
  <c r="AL351" i="26" l="1"/>
  <c r="AM351" i="26" s="1"/>
  <c r="F606" i="55"/>
  <c r="W606" i="55"/>
  <c r="V606" i="55"/>
  <c r="BK351" i="26"/>
  <c r="A352" i="26"/>
  <c r="AJ351" i="26"/>
  <c r="AK351" i="26" s="1"/>
  <c r="Q352" i="26"/>
  <c r="AT351" i="26"/>
  <c r="C352" i="26"/>
  <c r="AS352" i="26" s="1"/>
  <c r="BJ352" i="26" s="1"/>
  <c r="B352" i="26"/>
  <c r="W352" i="26"/>
  <c r="H352" i="26"/>
  <c r="L352" i="26"/>
  <c r="E607" i="55"/>
  <c r="M606" i="55"/>
  <c r="BL351" i="26"/>
  <c r="V352" i="26" l="1"/>
  <c r="G352" i="26"/>
  <c r="X352" i="26"/>
  <c r="BK352" i="26" s="1"/>
  <c r="K352" i="26"/>
  <c r="M352" i="26" s="1"/>
  <c r="N352" i="26" s="1"/>
  <c r="F352" i="26"/>
  <c r="R352" i="26" s="1"/>
  <c r="D352" i="26"/>
  <c r="AP352" i="26"/>
  <c r="U352" i="26"/>
  <c r="AF352" i="26" s="1"/>
  <c r="AN352" i="26" s="1"/>
  <c r="N606" i="55"/>
  <c r="A607" i="55"/>
  <c r="C607" i="55"/>
  <c r="O607" i="55" s="1"/>
  <c r="Q607" i="55"/>
  <c r="H607" i="55"/>
  <c r="K607" i="55"/>
  <c r="L607" i="55" s="1"/>
  <c r="B607" i="55"/>
  <c r="P607" i="55" s="1"/>
  <c r="AV351" i="55"/>
  <c r="BT351" i="26"/>
  <c r="AU351" i="26"/>
  <c r="AO352" i="26"/>
  <c r="AT352" i="26" l="1"/>
  <c r="AJ352" i="26"/>
  <c r="AK352" i="26" s="1"/>
  <c r="U607" i="55"/>
  <c r="V607" i="55" s="1"/>
  <c r="E353" i="26"/>
  <c r="P352" i="26"/>
  <c r="O352" i="26"/>
  <c r="S352" i="26" s="1"/>
  <c r="T352" i="26" s="1"/>
  <c r="BC352" i="26" s="1"/>
  <c r="D607" i="55"/>
  <c r="M607" i="55" s="1"/>
  <c r="N607" i="55" s="1"/>
  <c r="W607" i="55"/>
  <c r="G607" i="55"/>
  <c r="F607" i="55"/>
  <c r="X606" i="55"/>
  <c r="S606" i="55"/>
  <c r="AL352" i="26" l="1"/>
  <c r="AM352" i="26" s="1"/>
  <c r="Q353" i="26"/>
  <c r="C353" i="26"/>
  <c r="U353" i="26" s="1"/>
  <c r="A353" i="26"/>
  <c r="H353" i="26"/>
  <c r="L353" i="26"/>
  <c r="E608" i="55"/>
  <c r="K608" i="55" s="1"/>
  <c r="L608" i="55" s="1"/>
  <c r="W353" i="26"/>
  <c r="B353" i="26"/>
  <c r="S607" i="55"/>
  <c r="X607" i="55"/>
  <c r="G353" i="26"/>
  <c r="K353" i="26"/>
  <c r="M353" i="26" s="1"/>
  <c r="BL352" i="26"/>
  <c r="V353" i="26" l="1"/>
  <c r="F353" i="26"/>
  <c r="R353" i="26" s="1"/>
  <c r="AP353" i="26"/>
  <c r="X353" i="26"/>
  <c r="A608" i="55"/>
  <c r="Q608" i="55"/>
  <c r="B608" i="55"/>
  <c r="G608" i="55" s="1"/>
  <c r="H608" i="55"/>
  <c r="D353" i="26"/>
  <c r="AF353" i="26"/>
  <c r="AN353" i="26" s="1"/>
  <c r="C608" i="55"/>
  <c r="U608" i="55" s="1"/>
  <c r="AU352" i="26"/>
  <c r="BT352" i="26"/>
  <c r="AV352" i="55"/>
  <c r="N353" i="26"/>
  <c r="AJ353" i="26"/>
  <c r="AK353" i="26" s="1"/>
  <c r="E354" i="26"/>
  <c r="O353" i="26"/>
  <c r="P353" i="26"/>
  <c r="AL353" i="26" l="1"/>
  <c r="AM353" i="26" s="1"/>
  <c r="BK353" i="26"/>
  <c r="AO353" i="26"/>
  <c r="AT353" i="26" s="1"/>
  <c r="D608" i="55"/>
  <c r="M608" i="55" s="1"/>
  <c r="N608" i="55" s="1"/>
  <c r="X608" i="55" s="1"/>
  <c r="F608" i="55"/>
  <c r="P608" i="55"/>
  <c r="V608" i="55" s="1"/>
  <c r="W608" i="55"/>
  <c r="O608" i="55"/>
  <c r="S353" i="26"/>
  <c r="C354" i="26"/>
  <c r="V354" i="26" s="1"/>
  <c r="B354" i="26"/>
  <c r="F354" i="26" s="1"/>
  <c r="Q354" i="26"/>
  <c r="H354" i="26"/>
  <c r="A354" i="26"/>
  <c r="L354" i="26"/>
  <c r="W354" i="26"/>
  <c r="S608" i="55" l="1"/>
  <c r="E609" i="55"/>
  <c r="Q609" i="55" s="1"/>
  <c r="U354" i="26"/>
  <c r="AF354" i="26" s="1"/>
  <c r="AN354" i="26" s="1"/>
  <c r="T353" i="26"/>
  <c r="BC353" i="26" s="1"/>
  <c r="AP354" i="26"/>
  <c r="X354" i="26"/>
  <c r="BK354" i="26" s="1"/>
  <c r="R354" i="26"/>
  <c r="K354" i="26"/>
  <c r="M354" i="26" s="1"/>
  <c r="D354" i="26"/>
  <c r="G354" i="26"/>
  <c r="AS354" i="26"/>
  <c r="BJ354" i="26" s="1"/>
  <c r="AO354" i="26"/>
  <c r="B609" i="55" l="1"/>
  <c r="F609" i="55" s="1"/>
  <c r="K609" i="55"/>
  <c r="L609" i="55" s="1"/>
  <c r="G609" i="55"/>
  <c r="C609" i="55"/>
  <c r="O609" i="55" s="1"/>
  <c r="H609" i="55"/>
  <c r="P609" i="55"/>
  <c r="A609" i="55"/>
  <c r="U609" i="55"/>
  <c r="V609" i="55" s="1"/>
  <c r="D609" i="55"/>
  <c r="BL353" i="26"/>
  <c r="AT354" i="26"/>
  <c r="P354" i="26"/>
  <c r="AJ354" i="26"/>
  <c r="AK354" i="26" s="1"/>
  <c r="N354" i="26"/>
  <c r="AV353" i="55"/>
  <c r="BT353" i="26"/>
  <c r="E355" i="26"/>
  <c r="O354" i="26"/>
  <c r="AL354" i="26" l="1"/>
  <c r="AM354" i="26" s="1"/>
  <c r="W609" i="55"/>
  <c r="M609" i="55"/>
  <c r="E610" i="55"/>
  <c r="S354" i="26"/>
  <c r="T354" i="26" s="1"/>
  <c r="BC354" i="26" s="1"/>
  <c r="H355" i="26"/>
  <c r="A355" i="26"/>
  <c r="L355" i="26"/>
  <c r="B355" i="26"/>
  <c r="Q355" i="26"/>
  <c r="W355" i="26"/>
  <c r="C355" i="26"/>
  <c r="V355" i="26" s="1"/>
  <c r="AU353" i="26"/>
  <c r="K610" i="55" l="1"/>
  <c r="L610" i="55" s="1"/>
  <c r="H610" i="55"/>
  <c r="A610" i="55"/>
  <c r="B610" i="55"/>
  <c r="D610" i="55" s="1"/>
  <c r="M610" i="55" s="1"/>
  <c r="Q610" i="55"/>
  <c r="C610" i="55"/>
  <c r="N609" i="55"/>
  <c r="AS355" i="26"/>
  <c r="BJ355" i="26" s="1"/>
  <c r="F355" i="26"/>
  <c r="R355" i="26" s="1"/>
  <c r="G355" i="26"/>
  <c r="X355" i="26"/>
  <c r="BK355" i="26" s="1"/>
  <c r="D355" i="26"/>
  <c r="O355" i="26" s="1"/>
  <c r="K355" i="26"/>
  <c r="M355" i="26" s="1"/>
  <c r="AP355" i="26"/>
  <c r="U355" i="26"/>
  <c r="AF355" i="26" s="1"/>
  <c r="AN355" i="26" s="1"/>
  <c r="AO355" i="26"/>
  <c r="BL354" i="26"/>
  <c r="P610" i="55" l="1"/>
  <c r="N610" i="55"/>
  <c r="O610" i="55"/>
  <c r="E611" i="55"/>
  <c r="S609" i="55"/>
  <c r="X609" i="55"/>
  <c r="U610" i="55"/>
  <c r="V610" i="55" s="1"/>
  <c r="G610" i="55"/>
  <c r="F610" i="55"/>
  <c r="W610" i="55"/>
  <c r="AT355" i="26"/>
  <c r="P355" i="26"/>
  <c r="E356" i="26"/>
  <c r="BT354" i="26"/>
  <c r="AV354" i="55"/>
  <c r="S355" i="26"/>
  <c r="T355" i="26" s="1"/>
  <c r="BC355" i="26" s="1"/>
  <c r="N355" i="26"/>
  <c r="AJ355" i="26"/>
  <c r="AK355" i="26" s="1"/>
  <c r="AU354" i="26"/>
  <c r="AL355" i="26" l="1"/>
  <c r="AM355" i="26" s="1"/>
  <c r="Q611" i="55"/>
  <c r="A611" i="55"/>
  <c r="B611" i="55"/>
  <c r="D611" i="55" s="1"/>
  <c r="M611" i="55" s="1"/>
  <c r="N611" i="55" s="1"/>
  <c r="K611" i="55"/>
  <c r="L611" i="55" s="1"/>
  <c r="H611" i="55"/>
  <c r="C611" i="55"/>
  <c r="O611" i="55" s="1"/>
  <c r="F611" i="55"/>
  <c r="X610" i="55"/>
  <c r="S610" i="55"/>
  <c r="A356" i="26"/>
  <c r="Q356" i="26"/>
  <c r="H356" i="26"/>
  <c r="B356" i="26"/>
  <c r="W356" i="26"/>
  <c r="L356" i="26"/>
  <c r="C356" i="26"/>
  <c r="V356" i="26" s="1"/>
  <c r="BL355" i="26"/>
  <c r="E612" i="55" l="1"/>
  <c r="C612" i="55" s="1"/>
  <c r="X611" i="55"/>
  <c r="P611" i="55"/>
  <c r="G611" i="55"/>
  <c r="U611" i="55"/>
  <c r="S611" i="55"/>
  <c r="W611" i="55"/>
  <c r="O612" i="55"/>
  <c r="U612" i="55"/>
  <c r="A612" i="55"/>
  <c r="Q612" i="55"/>
  <c r="B612" i="55"/>
  <c r="P612" i="55" s="1"/>
  <c r="AP356" i="26"/>
  <c r="G356" i="26"/>
  <c r="K356" i="26"/>
  <c r="M356" i="26" s="1"/>
  <c r="AJ356" i="26" s="1"/>
  <c r="AK356" i="26" s="1"/>
  <c r="AS356" i="26"/>
  <c r="BJ356" i="26" s="1"/>
  <c r="F356" i="26"/>
  <c r="R356" i="26" s="1"/>
  <c r="U356" i="26"/>
  <c r="AF356" i="26" s="1"/>
  <c r="AN356" i="26" s="1"/>
  <c r="D356" i="26"/>
  <c r="E357" i="26" s="1"/>
  <c r="X356" i="26"/>
  <c r="BK356" i="26" s="1"/>
  <c r="AO356" i="26"/>
  <c r="BT355" i="26"/>
  <c r="AV355" i="55"/>
  <c r="AU355" i="26"/>
  <c r="K612" i="55" l="1"/>
  <c r="L612" i="55" s="1"/>
  <c r="H612" i="55"/>
  <c r="Q357" i="26"/>
  <c r="V611" i="55"/>
  <c r="V612" i="55"/>
  <c r="F612" i="55"/>
  <c r="G612" i="55"/>
  <c r="D612" i="55"/>
  <c r="W612" i="55"/>
  <c r="O356" i="26"/>
  <c r="S356" i="26" s="1"/>
  <c r="T356" i="26" s="1"/>
  <c r="BC356" i="26" s="1"/>
  <c r="W357" i="26"/>
  <c r="A357" i="26"/>
  <c r="L357" i="26"/>
  <c r="C357" i="26"/>
  <c r="U357" i="26" s="1"/>
  <c r="B357" i="26"/>
  <c r="F357" i="26" s="1"/>
  <c r="R357" i="26" s="1"/>
  <c r="H357" i="26"/>
  <c r="P356" i="26"/>
  <c r="AT356" i="26"/>
  <c r="N356" i="26"/>
  <c r="AS357" i="26"/>
  <c r="BJ357" i="26" s="1"/>
  <c r="AL356" i="26" l="1"/>
  <c r="AM356" i="26" s="1"/>
  <c r="V357" i="26"/>
  <c r="X357" i="26"/>
  <c r="M612" i="55"/>
  <c r="E613" i="55"/>
  <c r="AP357" i="26"/>
  <c r="K357" i="26"/>
  <c r="M357" i="26" s="1"/>
  <c r="N357" i="26" s="1"/>
  <c r="G357" i="26"/>
  <c r="D357" i="26"/>
  <c r="O357" i="26" s="1"/>
  <c r="S357" i="26" s="1"/>
  <c r="T357" i="26" s="1"/>
  <c r="BC357" i="26" s="1"/>
  <c r="AO357" i="26"/>
  <c r="AF357" i="26"/>
  <c r="AN357" i="26" s="1"/>
  <c r="BL356" i="26"/>
  <c r="AT357" i="26" l="1"/>
  <c r="E358" i="26"/>
  <c r="P357" i="26"/>
  <c r="AJ357" i="26"/>
  <c r="AK357" i="26" s="1"/>
  <c r="Q613" i="55"/>
  <c r="K613" i="55"/>
  <c r="L613" i="55" s="1"/>
  <c r="B613" i="55"/>
  <c r="D613" i="55" s="1"/>
  <c r="M613" i="55" s="1"/>
  <c r="A613" i="55"/>
  <c r="H613" i="55"/>
  <c r="C613" i="55"/>
  <c r="O613" i="55" s="1"/>
  <c r="N612" i="55"/>
  <c r="BK357" i="26"/>
  <c r="C358" i="26"/>
  <c r="BT356" i="26"/>
  <c r="AV356" i="55"/>
  <c r="BL357" i="26"/>
  <c r="AU356" i="26"/>
  <c r="AL357" i="26" l="1"/>
  <c r="AM357" i="26" s="1"/>
  <c r="AU357" i="26" s="1"/>
  <c r="W358" i="26"/>
  <c r="L358" i="26"/>
  <c r="B358" i="26"/>
  <c r="X358" i="26" s="1"/>
  <c r="BK358" i="26" s="1"/>
  <c r="V358" i="26"/>
  <c r="K358" i="26"/>
  <c r="A358" i="26"/>
  <c r="Q358" i="26"/>
  <c r="G358" i="26"/>
  <c r="H358" i="26"/>
  <c r="AS358" i="26"/>
  <c r="BJ358" i="26" s="1"/>
  <c r="G613" i="55"/>
  <c r="F613" i="55"/>
  <c r="P613" i="55"/>
  <c r="W613" i="55"/>
  <c r="U613" i="55"/>
  <c r="E614" i="55"/>
  <c r="N613" i="55"/>
  <c r="X613" i="55" s="1"/>
  <c r="X612" i="55"/>
  <c r="S612" i="55"/>
  <c r="U358" i="26"/>
  <c r="AF358" i="26" s="1"/>
  <c r="AN358" i="26" s="1"/>
  <c r="AP358" i="26"/>
  <c r="BT357" i="26"/>
  <c r="AV357" i="55"/>
  <c r="M358" i="26" l="1"/>
  <c r="N358" i="26" s="1"/>
  <c r="F358" i="26"/>
  <c r="R358" i="26" s="1"/>
  <c r="D358" i="26"/>
  <c r="V613" i="55"/>
  <c r="S613" i="55"/>
  <c r="B614" i="55"/>
  <c r="D614" i="55" s="1"/>
  <c r="M614" i="55" s="1"/>
  <c r="Q614" i="55"/>
  <c r="K614" i="55"/>
  <c r="A614" i="55"/>
  <c r="C614" i="55"/>
  <c r="U614" i="55" s="1"/>
  <c r="H614" i="55"/>
  <c r="L614" i="55"/>
  <c r="AO358" i="26"/>
  <c r="AT358" i="26" s="1"/>
  <c r="AJ358" i="26" l="1"/>
  <c r="AK358" i="26" s="1"/>
  <c r="E359" i="26"/>
  <c r="O358" i="26"/>
  <c r="P358" i="26"/>
  <c r="W614" i="55"/>
  <c r="O614" i="55"/>
  <c r="N614" i="55"/>
  <c r="P614" i="55"/>
  <c r="G614" i="55"/>
  <c r="F614" i="55"/>
  <c r="E615" i="55"/>
  <c r="V614" i="55"/>
  <c r="AL358" i="26" l="1"/>
  <c r="AM358" i="26" s="1"/>
  <c r="AU358" i="26" s="1"/>
  <c r="S358" i="26"/>
  <c r="T358" i="26" s="1"/>
  <c r="BC358" i="26" s="1"/>
  <c r="B359" i="26"/>
  <c r="L359" i="26"/>
  <c r="W359" i="26"/>
  <c r="A359" i="26"/>
  <c r="Q359" i="26"/>
  <c r="C359" i="26"/>
  <c r="H359" i="26"/>
  <c r="S614" i="55"/>
  <c r="X614" i="55"/>
  <c r="C615" i="55"/>
  <c r="U615" i="55" s="1"/>
  <c r="Q615" i="55"/>
  <c r="K615" i="55"/>
  <c r="L615" i="55" s="1"/>
  <c r="H615" i="55"/>
  <c r="A615" i="55"/>
  <c r="B615" i="55"/>
  <c r="F615" i="55" s="1"/>
  <c r="K359" i="26" l="1"/>
  <c r="M359" i="26" s="1"/>
  <c r="AP359" i="26"/>
  <c r="X359" i="26"/>
  <c r="D359" i="26"/>
  <c r="G359" i="26"/>
  <c r="F359" i="26"/>
  <c r="R359" i="26" s="1"/>
  <c r="AS359" i="26"/>
  <c r="BJ359" i="26" s="1"/>
  <c r="U359" i="26"/>
  <c r="AF359" i="26" s="1"/>
  <c r="AN359" i="26" s="1"/>
  <c r="V359" i="26"/>
  <c r="BL358" i="26"/>
  <c r="D615" i="55"/>
  <c r="M615" i="55" s="1"/>
  <c r="N615" i="55" s="1"/>
  <c r="X615" i="55" s="1"/>
  <c r="O615" i="55"/>
  <c r="W615" i="55"/>
  <c r="P615" i="55"/>
  <c r="V615" i="55" s="1"/>
  <c r="G615" i="55"/>
  <c r="E616" i="55" l="1"/>
  <c r="BK359" i="26"/>
  <c r="AO359" i="26"/>
  <c r="AT359" i="26" s="1"/>
  <c r="E360" i="26"/>
  <c r="O359" i="26"/>
  <c r="N359" i="26"/>
  <c r="AJ359" i="26"/>
  <c r="AK359" i="26" s="1"/>
  <c r="BT358" i="26"/>
  <c r="AV358" i="55"/>
  <c r="P359" i="26"/>
  <c r="S615" i="55"/>
  <c r="B616" i="55"/>
  <c r="P616" i="55" s="1"/>
  <c r="Q616" i="55"/>
  <c r="K616" i="55"/>
  <c r="L616" i="55" s="1"/>
  <c r="C616" i="55"/>
  <c r="A616" i="55"/>
  <c r="H616" i="55"/>
  <c r="AL359" i="26" l="1"/>
  <c r="AM359" i="26" s="1"/>
  <c r="AU359" i="26" s="1"/>
  <c r="L360" i="26"/>
  <c r="C360" i="26"/>
  <c r="Q360" i="26"/>
  <c r="A360" i="26"/>
  <c r="H360" i="26"/>
  <c r="B360" i="26"/>
  <c r="G360" i="26" s="1"/>
  <c r="W360" i="26"/>
  <c r="AS360" i="26"/>
  <c r="BJ360" i="26" s="1"/>
  <c r="S359" i="26"/>
  <c r="T359" i="26" s="1"/>
  <c r="BC359" i="26" s="1"/>
  <c r="F616" i="55"/>
  <c r="O616" i="55"/>
  <c r="G616" i="55"/>
  <c r="D616" i="55"/>
  <c r="M616" i="55" s="1"/>
  <c r="U616" i="55"/>
  <c r="V616" i="55" s="1"/>
  <c r="W616" i="55"/>
  <c r="K360" i="26" l="1"/>
  <c r="M360" i="26" s="1"/>
  <c r="AJ360" i="26" s="1"/>
  <c r="AK360" i="26" s="1"/>
  <c r="X360" i="26"/>
  <c r="U360" i="26"/>
  <c r="AF360" i="26" s="1"/>
  <c r="AN360" i="26" s="1"/>
  <c r="AP360" i="26"/>
  <c r="F360" i="26"/>
  <c r="R360" i="26" s="1"/>
  <c r="BL359" i="26"/>
  <c r="D360" i="26"/>
  <c r="E361" i="26" s="1"/>
  <c r="V360" i="26"/>
  <c r="AO360" i="26" s="1"/>
  <c r="E617" i="55"/>
  <c r="K617" i="55" s="1"/>
  <c r="L617" i="55" s="1"/>
  <c r="N616" i="55"/>
  <c r="S616" i="55" s="1"/>
  <c r="N360" i="26" l="1"/>
  <c r="AT360" i="26"/>
  <c r="O360" i="26"/>
  <c r="S360" i="26" s="1"/>
  <c r="T360" i="26" s="1"/>
  <c r="BC360" i="26" s="1"/>
  <c r="C361" i="26"/>
  <c r="V361" i="26" s="1"/>
  <c r="A361" i="26"/>
  <c r="Q361" i="26"/>
  <c r="L361" i="26"/>
  <c r="B361" i="26"/>
  <c r="K361" i="26" s="1"/>
  <c r="W361" i="26"/>
  <c r="H361" i="26"/>
  <c r="U361" i="26"/>
  <c r="P360" i="26"/>
  <c r="A617" i="55"/>
  <c r="AV359" i="55"/>
  <c r="BT359" i="26"/>
  <c r="BK360" i="26"/>
  <c r="C617" i="55"/>
  <c r="O617" i="55" s="1"/>
  <c r="B617" i="55"/>
  <c r="F617" i="55" s="1"/>
  <c r="Q617" i="55"/>
  <c r="H617" i="55"/>
  <c r="X616" i="55"/>
  <c r="P617" i="55"/>
  <c r="D617" i="55"/>
  <c r="AL360" i="26" l="1"/>
  <c r="AM360" i="26" s="1"/>
  <c r="AU360" i="26" s="1"/>
  <c r="F361" i="26"/>
  <c r="R361" i="26" s="1"/>
  <c r="AF361" i="26"/>
  <c r="AN361" i="26" s="1"/>
  <c r="D361" i="26"/>
  <c r="E362" i="26" s="1"/>
  <c r="G361" i="26"/>
  <c r="Q362" i="26"/>
  <c r="O361" i="26"/>
  <c r="S361" i="26" s="1"/>
  <c r="T361" i="26" s="1"/>
  <c r="BL361" i="26" s="1"/>
  <c r="X361" i="26"/>
  <c r="BK361" i="26" s="1"/>
  <c r="A362" i="26"/>
  <c r="AS361" i="26"/>
  <c r="BJ361" i="26" s="1"/>
  <c r="AP361" i="26"/>
  <c r="M361" i="26"/>
  <c r="AJ361" i="26" s="1"/>
  <c r="AK361" i="26" s="1"/>
  <c r="AO361" i="26"/>
  <c r="BL360" i="26"/>
  <c r="G617" i="55"/>
  <c r="W617" i="55"/>
  <c r="E618" i="55"/>
  <c r="M617" i="55"/>
  <c r="N361" i="26" l="1"/>
  <c r="AT361" i="26"/>
  <c r="P361" i="26"/>
  <c r="AL361" i="26" s="1"/>
  <c r="AM361" i="26" s="1"/>
  <c r="AU361" i="26" s="1"/>
  <c r="H362" i="26"/>
  <c r="W362" i="26"/>
  <c r="C362" i="26"/>
  <c r="X362" i="26" s="1"/>
  <c r="B362" i="26"/>
  <c r="AP362" i="26" s="1"/>
  <c r="L362" i="26"/>
  <c r="BC361" i="26"/>
  <c r="F362" i="26"/>
  <c r="R362" i="26" s="1"/>
  <c r="G362" i="26"/>
  <c r="AV360" i="55"/>
  <c r="BT360" i="26"/>
  <c r="N617" i="55"/>
  <c r="Q618" i="55"/>
  <c r="K618" i="55"/>
  <c r="L618" i="55" s="1"/>
  <c r="A618" i="55"/>
  <c r="B618" i="55"/>
  <c r="D618" i="55" s="1"/>
  <c r="H618" i="55"/>
  <c r="C618" i="55"/>
  <c r="O618" i="55" s="1"/>
  <c r="BT361" i="26"/>
  <c r="U362" i="26" l="1"/>
  <c r="AS362" i="26"/>
  <c r="BJ362" i="26" s="1"/>
  <c r="V362" i="26"/>
  <c r="BK362" i="26" s="1"/>
  <c r="D362" i="26"/>
  <c r="AF362" i="26"/>
  <c r="AN362" i="26" s="1"/>
  <c r="K362" i="26"/>
  <c r="M362" i="26" s="1"/>
  <c r="AO362" i="26"/>
  <c r="AT362" i="26" s="1"/>
  <c r="F618" i="55"/>
  <c r="AV361" i="55"/>
  <c r="U618" i="55"/>
  <c r="W618" i="55"/>
  <c r="G618" i="55"/>
  <c r="P618" i="55"/>
  <c r="M618" i="55"/>
  <c r="E619" i="55"/>
  <c r="X617" i="55"/>
  <c r="S617" i="55"/>
  <c r="N362" i="26" l="1"/>
  <c r="AJ362" i="26"/>
  <c r="AK362" i="26" s="1"/>
  <c r="E363" i="26"/>
  <c r="P362" i="26"/>
  <c r="O362" i="26"/>
  <c r="V618" i="55"/>
  <c r="K619" i="55"/>
  <c r="L619" i="55" s="1"/>
  <c r="Q619" i="55"/>
  <c r="H619" i="55"/>
  <c r="C619" i="55"/>
  <c r="O619" i="55" s="1"/>
  <c r="B619" i="55"/>
  <c r="A619" i="55"/>
  <c r="N618" i="55"/>
  <c r="AL362" i="26" l="1"/>
  <c r="AM362" i="26" s="1"/>
  <c r="AU362" i="26" s="1"/>
  <c r="C363" i="26"/>
  <c r="V363" i="26" s="1"/>
  <c r="H363" i="26"/>
  <c r="Q363" i="26"/>
  <c r="W363" i="26"/>
  <c r="AO363" i="26"/>
  <c r="A363" i="26"/>
  <c r="L363" i="26"/>
  <c r="B363" i="26"/>
  <c r="X363" i="26" s="1"/>
  <c r="BK363" i="26" s="1"/>
  <c r="D363" i="26"/>
  <c r="E364" i="26" s="1"/>
  <c r="AP363" i="26"/>
  <c r="U363" i="26"/>
  <c r="G363" i="26"/>
  <c r="O363" i="26"/>
  <c r="S362" i="26"/>
  <c r="T362" i="26" s="1"/>
  <c r="P363" i="26"/>
  <c r="U619" i="55"/>
  <c r="F619" i="55"/>
  <c r="D619" i="55"/>
  <c r="M619" i="55" s="1"/>
  <c r="P619" i="55"/>
  <c r="W619" i="55"/>
  <c r="X618" i="55"/>
  <c r="S618" i="55"/>
  <c r="G619" i="55"/>
  <c r="AT363" i="26" l="1"/>
  <c r="BC362" i="26"/>
  <c r="BL362" i="26"/>
  <c r="Q364" i="26"/>
  <c r="H364" i="26"/>
  <c r="L364" i="26"/>
  <c r="W364" i="26"/>
  <c r="A364" i="26"/>
  <c r="C364" i="26"/>
  <c r="B364" i="26"/>
  <c r="K363" i="26"/>
  <c r="M363" i="26" s="1"/>
  <c r="F363" i="26"/>
  <c r="R363" i="26" s="1"/>
  <c r="AF363" i="26"/>
  <c r="AN363" i="26" s="1"/>
  <c r="AS363" i="26"/>
  <c r="BJ363" i="26" s="1"/>
  <c r="V619" i="55"/>
  <c r="N619" i="55"/>
  <c r="E620" i="55"/>
  <c r="AL363" i="26" l="1"/>
  <c r="AM363" i="26" s="1"/>
  <c r="AU363" i="26" s="1"/>
  <c r="AS364" i="26"/>
  <c r="BJ364" i="26" s="1"/>
  <c r="U364" i="26"/>
  <c r="AF364" i="26" s="1"/>
  <c r="AN364" i="26" s="1"/>
  <c r="V364" i="26"/>
  <c r="K364" i="26"/>
  <c r="M364" i="26" s="1"/>
  <c r="F364" i="26"/>
  <c r="R364" i="26" s="1"/>
  <c r="G364" i="26"/>
  <c r="AP364" i="26"/>
  <c r="X364" i="26"/>
  <c r="D364" i="26"/>
  <c r="N363" i="26"/>
  <c r="AJ363" i="26"/>
  <c r="AK363" i="26" s="1"/>
  <c r="AV362" i="55"/>
  <c r="BT362" i="26"/>
  <c r="P364" i="26"/>
  <c r="O364" i="26"/>
  <c r="S364" i="26" s="1"/>
  <c r="T364" i="26" s="1"/>
  <c r="S363" i="26"/>
  <c r="T363" i="26" s="1"/>
  <c r="BL363" i="26" s="1"/>
  <c r="Q620" i="55"/>
  <c r="K620" i="55"/>
  <c r="L620" i="55" s="1"/>
  <c r="A620" i="55"/>
  <c r="C620" i="55"/>
  <c r="O620" i="55" s="1"/>
  <c r="H620" i="55"/>
  <c r="B620" i="55"/>
  <c r="F620" i="55" s="1"/>
  <c r="S619" i="55"/>
  <c r="X619" i="55"/>
  <c r="AJ364" i="26" l="1"/>
  <c r="AK364" i="26" s="1"/>
  <c r="N364" i="26"/>
  <c r="BK364" i="26"/>
  <c r="AO364" i="26"/>
  <c r="AT364" i="26" s="1"/>
  <c r="E365" i="26"/>
  <c r="BC363" i="26"/>
  <c r="U620" i="55"/>
  <c r="W620" i="55"/>
  <c r="P620" i="55"/>
  <c r="D620" i="55"/>
  <c r="M620" i="55" s="1"/>
  <c r="G620" i="55"/>
  <c r="BL364" i="26"/>
  <c r="AL364" i="26" l="1"/>
  <c r="AM364" i="26" s="1"/>
  <c r="AU364" i="26" s="1"/>
  <c r="BC364" i="26"/>
  <c r="BT364" i="26" s="1"/>
  <c r="AV363" i="55"/>
  <c r="BT363" i="26"/>
  <c r="A365" i="26"/>
  <c r="B365" i="26"/>
  <c r="C365" i="26"/>
  <c r="W365" i="26"/>
  <c r="L365" i="26"/>
  <c r="Q365" i="26"/>
  <c r="H365" i="26"/>
  <c r="V620" i="55"/>
  <c r="N620" i="55"/>
  <c r="E621" i="55"/>
  <c r="AV364" i="55"/>
  <c r="V365" i="26" l="1"/>
  <c r="U365" i="26"/>
  <c r="AF365" i="26" s="1"/>
  <c r="AN365" i="26" s="1"/>
  <c r="K365" i="26"/>
  <c r="M365" i="26" s="1"/>
  <c r="AP365" i="26"/>
  <c r="X365" i="26"/>
  <c r="D365" i="26"/>
  <c r="G365" i="26"/>
  <c r="F365" i="26"/>
  <c r="R365" i="26" s="1"/>
  <c r="Q621" i="55"/>
  <c r="K621" i="55"/>
  <c r="L621" i="55" s="1"/>
  <c r="A621" i="55"/>
  <c r="H621" i="55"/>
  <c r="B621" i="55"/>
  <c r="G621" i="55" s="1"/>
  <c r="D621" i="55"/>
  <c r="M621" i="55" s="1"/>
  <c r="C621" i="55"/>
  <c r="O621" i="55" s="1"/>
  <c r="S620" i="55"/>
  <c r="X620" i="55"/>
  <c r="AJ365" i="26" l="1"/>
  <c r="AK365" i="26" s="1"/>
  <c r="N365" i="26"/>
  <c r="O365" i="26"/>
  <c r="S365" i="26" s="1"/>
  <c r="T365" i="26" s="1"/>
  <c r="BC365" i="26" s="1"/>
  <c r="AV365" i="55" s="1"/>
  <c r="P365" i="26"/>
  <c r="E366" i="26"/>
  <c r="BK365" i="26"/>
  <c r="AO365" i="26"/>
  <c r="AT365" i="26" s="1"/>
  <c r="N621" i="55"/>
  <c r="X621" i="55" s="1"/>
  <c r="F621" i="55"/>
  <c r="E622" i="55"/>
  <c r="W621" i="55"/>
  <c r="U621" i="55"/>
  <c r="P621" i="55"/>
  <c r="AL365" i="26" l="1"/>
  <c r="AM365" i="26" s="1"/>
  <c r="AU365" i="26" s="1"/>
  <c r="C366" i="26"/>
  <c r="V366" i="26" s="1"/>
  <c r="Q366" i="26"/>
  <c r="B366" i="26"/>
  <c r="AO366" i="26"/>
  <c r="L366" i="26"/>
  <c r="H366" i="26"/>
  <c r="W366" i="26"/>
  <c r="A366" i="26"/>
  <c r="BT365" i="26"/>
  <c r="K366" i="26"/>
  <c r="U366" i="26"/>
  <c r="AF366" i="26" s="1"/>
  <c r="AN366" i="26" s="1"/>
  <c r="F366" i="26"/>
  <c r="R366" i="26" s="1"/>
  <c r="D366" i="26"/>
  <c r="AS366" i="26"/>
  <c r="BJ366" i="26" s="1"/>
  <c r="G366" i="26"/>
  <c r="BL365" i="26"/>
  <c r="S621" i="55"/>
  <c r="V621" i="55"/>
  <c r="B622" i="55"/>
  <c r="P622" i="55" s="1"/>
  <c r="Q622" i="55"/>
  <c r="K622" i="55"/>
  <c r="L622" i="55" s="1"/>
  <c r="H622" i="55"/>
  <c r="A622" i="55"/>
  <c r="C622" i="55"/>
  <c r="O622" i="55" s="1"/>
  <c r="P366" i="26"/>
  <c r="O366" i="26"/>
  <c r="S366" i="26" s="1"/>
  <c r="T366" i="26" s="1"/>
  <c r="BC366" i="26" s="1"/>
  <c r="AL366" i="26" l="1"/>
  <c r="AM366" i="26" s="1"/>
  <c r="AU366" i="26" s="1"/>
  <c r="AP366" i="26"/>
  <c r="AT366" i="26" s="1"/>
  <c r="E367" i="26"/>
  <c r="M366" i="26"/>
  <c r="X366" i="26"/>
  <c r="BK366" i="26" s="1"/>
  <c r="G622" i="55"/>
  <c r="D622" i="55"/>
  <c r="M622" i="55" s="1"/>
  <c r="N622" i="55" s="1"/>
  <c r="F622" i="55"/>
  <c r="U622" i="55"/>
  <c r="V622" i="55" s="1"/>
  <c r="W622" i="55"/>
  <c r="AV366" i="55"/>
  <c r="BL366" i="26"/>
  <c r="Q367" i="26" l="1"/>
  <c r="R367" i="26" s="1"/>
  <c r="L367" i="26"/>
  <c r="B367" i="26"/>
  <c r="D367" i="26" s="1"/>
  <c r="A367" i="26"/>
  <c r="W367" i="26"/>
  <c r="K367" i="26"/>
  <c r="M367" i="26" s="1"/>
  <c r="N367" i="26" s="1"/>
  <c r="F367" i="26"/>
  <c r="C367" i="26"/>
  <c r="U367" i="26" s="1"/>
  <c r="AF367" i="26" s="1"/>
  <c r="AN367" i="26" s="1"/>
  <c r="H367" i="26"/>
  <c r="P367" i="26"/>
  <c r="O367" i="26"/>
  <c r="S367" i="26" s="1"/>
  <c r="T367" i="26" s="1"/>
  <c r="BL367" i="26" s="1"/>
  <c r="G367" i="26"/>
  <c r="AP367" i="26"/>
  <c r="AS367" i="26"/>
  <c r="BJ367" i="26" s="1"/>
  <c r="N366" i="26"/>
  <c r="AJ366" i="26"/>
  <c r="AK366" i="26" s="1"/>
  <c r="E623" i="55"/>
  <c r="K623" i="55" s="1"/>
  <c r="X622" i="55"/>
  <c r="S622" i="55"/>
  <c r="C623" i="55"/>
  <c r="O623" i="55" s="1"/>
  <c r="BT366" i="26"/>
  <c r="AL367" i="26" l="1"/>
  <c r="AM367" i="26" s="1"/>
  <c r="AU367" i="26" s="1"/>
  <c r="X367" i="26"/>
  <c r="AJ367" i="26"/>
  <c r="AK367" i="26" s="1"/>
  <c r="BC367" i="26"/>
  <c r="V367" i="26"/>
  <c r="AO367" i="26" s="1"/>
  <c r="AT367" i="26" s="1"/>
  <c r="E368" i="26"/>
  <c r="Q623" i="55"/>
  <c r="A623" i="55"/>
  <c r="H623" i="55"/>
  <c r="B623" i="55"/>
  <c r="G623" i="55" s="1"/>
  <c r="L623" i="55"/>
  <c r="AV367" i="55"/>
  <c r="U623" i="55"/>
  <c r="B368" i="26" l="1"/>
  <c r="D368" i="26" s="1"/>
  <c r="L368" i="26"/>
  <c r="AS368" i="26"/>
  <c r="BJ368" i="26" s="1"/>
  <c r="W368" i="26"/>
  <c r="C368" i="26"/>
  <c r="A368" i="26"/>
  <c r="Q368" i="26"/>
  <c r="H368" i="26"/>
  <c r="BK367" i="26"/>
  <c r="W623" i="55"/>
  <c r="F623" i="55"/>
  <c r="P623" i="55"/>
  <c r="V623" i="55" s="1"/>
  <c r="D623" i="55"/>
  <c r="BT367" i="26"/>
  <c r="P368" i="26" l="1"/>
  <c r="F368" i="26"/>
  <c r="R368" i="26" s="1"/>
  <c r="O368" i="26"/>
  <c r="S368" i="26" s="1"/>
  <c r="T368" i="26" s="1"/>
  <c r="BC368" i="26" s="1"/>
  <c r="BT368" i="26" s="1"/>
  <c r="E369" i="26"/>
  <c r="V368" i="26"/>
  <c r="G368" i="26"/>
  <c r="X368" i="26"/>
  <c r="AP368" i="26"/>
  <c r="K368" i="26"/>
  <c r="M368" i="26" s="1"/>
  <c r="U368" i="26"/>
  <c r="AF368" i="26" s="1"/>
  <c r="AN368" i="26" s="1"/>
  <c r="M623" i="55"/>
  <c r="E624" i="55"/>
  <c r="BL368" i="26" l="1"/>
  <c r="AL368" i="26"/>
  <c r="AM368" i="26" s="1"/>
  <c r="AU368" i="26" s="1"/>
  <c r="Q369" i="26"/>
  <c r="L369" i="26"/>
  <c r="A369" i="26"/>
  <c r="C369" i="26"/>
  <c r="H369" i="26"/>
  <c r="B369" i="26"/>
  <c r="W369" i="26"/>
  <c r="AV368" i="55"/>
  <c r="N368" i="26"/>
  <c r="AJ368" i="26"/>
  <c r="AK368" i="26" s="1"/>
  <c r="BK368" i="26"/>
  <c r="AO368" i="26"/>
  <c r="AT368" i="26" s="1"/>
  <c r="K624" i="55"/>
  <c r="L624" i="55" s="1"/>
  <c r="A624" i="55"/>
  <c r="H624" i="55"/>
  <c r="B624" i="55"/>
  <c r="Q624" i="55"/>
  <c r="C624" i="55"/>
  <c r="N623" i="55"/>
  <c r="V369" i="26" l="1"/>
  <c r="AS369" i="26"/>
  <c r="BJ369" i="26" s="1"/>
  <c r="U369" i="26"/>
  <c r="F369" i="26"/>
  <c r="D369" i="26"/>
  <c r="AF369" i="26"/>
  <c r="AN369" i="26" s="1"/>
  <c r="AP369" i="26"/>
  <c r="X369" i="26"/>
  <c r="BK369" i="26" s="1"/>
  <c r="AO369" i="26"/>
  <c r="R369" i="26"/>
  <c r="K369" i="26"/>
  <c r="M369" i="26" s="1"/>
  <c r="O369" i="26"/>
  <c r="S369" i="26" s="1"/>
  <c r="T369" i="26" s="1"/>
  <c r="BC369" i="26" s="1"/>
  <c r="G369" i="26"/>
  <c r="P624" i="55"/>
  <c r="D624" i="55"/>
  <c r="W624" i="55"/>
  <c r="F624" i="55"/>
  <c r="G624" i="55"/>
  <c r="X623" i="55"/>
  <c r="S623" i="55"/>
  <c r="O624" i="55"/>
  <c r="U624" i="55"/>
  <c r="V624" i="55" s="1"/>
  <c r="AT369" i="26" l="1"/>
  <c r="BL369" i="26"/>
  <c r="AJ369" i="26"/>
  <c r="AK369" i="26" s="1"/>
  <c r="N369" i="26"/>
  <c r="P369" i="26"/>
  <c r="E370" i="26"/>
  <c r="E625" i="55"/>
  <c r="M624" i="55"/>
  <c r="AV369" i="55"/>
  <c r="BT369" i="26"/>
  <c r="AL369" i="26" l="1"/>
  <c r="AM369" i="26" s="1"/>
  <c r="AU369" i="26" s="1"/>
  <c r="L370" i="26"/>
  <c r="C370" i="26"/>
  <c r="Q370" i="26"/>
  <c r="W370" i="26"/>
  <c r="H370" i="26"/>
  <c r="B370" i="26"/>
  <c r="D370" i="26"/>
  <c r="A370" i="26"/>
  <c r="N624" i="55"/>
  <c r="C625" i="55"/>
  <c r="O625" i="55" s="1"/>
  <c r="Q625" i="55"/>
  <c r="H625" i="55"/>
  <c r="K625" i="55"/>
  <c r="L625" i="55" s="1"/>
  <c r="B625" i="55"/>
  <c r="F625" i="55" s="1"/>
  <c r="A625" i="55"/>
  <c r="P370" i="26" l="1"/>
  <c r="K370" i="26"/>
  <c r="M370" i="26" s="1"/>
  <c r="AP370" i="26"/>
  <c r="X370" i="26"/>
  <c r="O370" i="26"/>
  <c r="R370" i="26"/>
  <c r="F370" i="26"/>
  <c r="G370" i="26"/>
  <c r="U370" i="26"/>
  <c r="AF370" i="26" s="1"/>
  <c r="AN370" i="26" s="1"/>
  <c r="V370" i="26"/>
  <c r="BK370" i="26" s="1"/>
  <c r="AS370" i="26"/>
  <c r="BJ370" i="26" s="1"/>
  <c r="E371" i="26"/>
  <c r="U625" i="55"/>
  <c r="G625" i="55"/>
  <c r="D625" i="55"/>
  <c r="E626" i="55" s="1"/>
  <c r="S624" i="55"/>
  <c r="X624" i="55"/>
  <c r="P625" i="55"/>
  <c r="W625" i="55"/>
  <c r="AL370" i="26" l="1"/>
  <c r="AM370" i="26" s="1"/>
  <c r="AU370" i="26" s="1"/>
  <c r="AJ370" i="26"/>
  <c r="AK370" i="26" s="1"/>
  <c r="N370" i="26"/>
  <c r="S370" i="26"/>
  <c r="T370" i="26" s="1"/>
  <c r="AO370" i="26"/>
  <c r="AT370" i="26" s="1"/>
  <c r="A371" i="26"/>
  <c r="H371" i="26"/>
  <c r="Q371" i="26"/>
  <c r="C371" i="26"/>
  <c r="L371" i="26"/>
  <c r="B371" i="26"/>
  <c r="W371" i="26"/>
  <c r="V625" i="55"/>
  <c r="M625" i="55"/>
  <c r="A626" i="55"/>
  <c r="B626" i="55"/>
  <c r="F626" i="55" s="1"/>
  <c r="Q626" i="55"/>
  <c r="C626" i="55"/>
  <c r="U626" i="55" s="1"/>
  <c r="K626" i="55"/>
  <c r="L626" i="55" s="1"/>
  <c r="H626" i="55"/>
  <c r="V371" i="26" l="1"/>
  <c r="AO371" i="26" s="1"/>
  <c r="D371" i="26"/>
  <c r="E372" i="26" s="1"/>
  <c r="G371" i="26"/>
  <c r="F371" i="26"/>
  <c r="R371" i="26" s="1"/>
  <c r="AS371" i="26"/>
  <c r="BJ371" i="26" s="1"/>
  <c r="BC370" i="26"/>
  <c r="BL370" i="26"/>
  <c r="O371" i="26"/>
  <c r="S371" i="26" s="1"/>
  <c r="T371" i="26" s="1"/>
  <c r="BL371" i="26" s="1"/>
  <c r="U371" i="26"/>
  <c r="AF371" i="26" s="1"/>
  <c r="AN371" i="26" s="1"/>
  <c r="X371" i="26"/>
  <c r="BK371" i="26" s="1"/>
  <c r="K371" i="26"/>
  <c r="M371" i="26" s="1"/>
  <c r="AP371" i="26"/>
  <c r="G626" i="55"/>
  <c r="O626" i="55"/>
  <c r="W626" i="55"/>
  <c r="D626" i="55"/>
  <c r="M626" i="55" s="1"/>
  <c r="P626" i="55"/>
  <c r="V626" i="55" s="1"/>
  <c r="N625" i="55"/>
  <c r="AT371" i="26" l="1"/>
  <c r="C372" i="26"/>
  <c r="V372" i="26" s="1"/>
  <c r="L372" i="26"/>
  <c r="Q372" i="26"/>
  <c r="W372" i="26"/>
  <c r="H372" i="26"/>
  <c r="B372" i="26"/>
  <c r="K372" i="26" s="1"/>
  <c r="M372" i="26" s="1"/>
  <c r="N372" i="26" s="1"/>
  <c r="A372" i="26"/>
  <c r="G372" i="26"/>
  <c r="F372" i="26"/>
  <c r="R372" i="26" s="1"/>
  <c r="D372" i="26"/>
  <c r="P371" i="26"/>
  <c r="AJ371" i="26"/>
  <c r="AK371" i="26" s="1"/>
  <c r="N371" i="26"/>
  <c r="BC371" i="26"/>
  <c r="AV371" i="55" s="1"/>
  <c r="BT370" i="26"/>
  <c r="AV370" i="55"/>
  <c r="N626" i="55"/>
  <c r="E627" i="55"/>
  <c r="S625" i="55"/>
  <c r="X625" i="55"/>
  <c r="O372" i="26"/>
  <c r="P372" i="26"/>
  <c r="AL371" i="26" l="1"/>
  <c r="AM371" i="26" s="1"/>
  <c r="AU371" i="26" s="1"/>
  <c r="AO372" i="26"/>
  <c r="AL372" i="26"/>
  <c r="AM372" i="26" s="1"/>
  <c r="AU372" i="26" s="1"/>
  <c r="AJ372" i="26"/>
  <c r="AK372" i="26" s="1"/>
  <c r="BT371" i="26"/>
  <c r="X372" i="26"/>
  <c r="BK372" i="26" s="1"/>
  <c r="AP372" i="26"/>
  <c r="U372" i="26"/>
  <c r="AF372" i="26" s="1"/>
  <c r="AN372" i="26" s="1"/>
  <c r="E373" i="26"/>
  <c r="AS372" i="26"/>
  <c r="BJ372" i="26" s="1"/>
  <c r="S626" i="55"/>
  <c r="X626" i="55"/>
  <c r="K627" i="55"/>
  <c r="L627" i="55" s="1"/>
  <c r="C627" i="55"/>
  <c r="A627" i="55"/>
  <c r="Q627" i="55"/>
  <c r="H627" i="55"/>
  <c r="B627" i="55"/>
  <c r="G627" i="55" s="1"/>
  <c r="L373" i="26"/>
  <c r="C373" i="26"/>
  <c r="V373" i="26" s="1"/>
  <c r="A373" i="26"/>
  <c r="H373" i="26"/>
  <c r="W373" i="26"/>
  <c r="S372" i="26"/>
  <c r="T372" i="26" s="1"/>
  <c r="AT372" i="26" l="1"/>
  <c r="Q373" i="26"/>
  <c r="BC372" i="26"/>
  <c r="B373" i="26"/>
  <c r="F627" i="55"/>
  <c r="O627" i="55"/>
  <c r="U627" i="55"/>
  <c r="D627" i="55"/>
  <c r="M627" i="55" s="1"/>
  <c r="W627" i="55"/>
  <c r="P627" i="55"/>
  <c r="X373" i="26"/>
  <c r="K373" i="26"/>
  <c r="M373" i="26" s="1"/>
  <c r="F373" i="26"/>
  <c r="G373" i="26"/>
  <c r="D373" i="26"/>
  <c r="AP373" i="26"/>
  <c r="BL372" i="26"/>
  <c r="P373" i="26"/>
  <c r="AS373" i="26"/>
  <c r="BJ373" i="26" s="1"/>
  <c r="U373" i="26"/>
  <c r="AF373" i="26" s="1"/>
  <c r="AN373" i="26" s="1"/>
  <c r="R373" i="26" l="1"/>
  <c r="V627" i="55"/>
  <c r="N627" i="55"/>
  <c r="E628" i="55"/>
  <c r="AJ373" i="26"/>
  <c r="AK373" i="26" s="1"/>
  <c r="N373" i="26"/>
  <c r="O373" i="26"/>
  <c r="E374" i="26"/>
  <c r="AO373" i="26"/>
  <c r="AT373" i="26" s="1"/>
  <c r="BK373" i="26"/>
  <c r="AV372" i="55"/>
  <c r="BT372" i="26"/>
  <c r="AL373" i="26" l="1"/>
  <c r="AM373" i="26" s="1"/>
  <c r="AU373" i="26" s="1"/>
  <c r="Q628" i="55"/>
  <c r="B628" i="55"/>
  <c r="F628" i="55" s="1"/>
  <c r="H628" i="55"/>
  <c r="A628" i="55"/>
  <c r="C628" i="55"/>
  <c r="U628" i="55" s="1"/>
  <c r="P628" i="55"/>
  <c r="K628" i="55"/>
  <c r="L628" i="55" s="1"/>
  <c r="D628" i="55"/>
  <c r="M628" i="55" s="1"/>
  <c r="X627" i="55"/>
  <c r="S627" i="55"/>
  <c r="C374" i="26"/>
  <c r="U374" i="26" s="1"/>
  <c r="H374" i="26"/>
  <c r="W374" i="26"/>
  <c r="Q374" i="26"/>
  <c r="A374" i="26"/>
  <c r="L374" i="26"/>
  <c r="B374" i="26"/>
  <c r="F374" i="26" s="1"/>
  <c r="S373" i="26"/>
  <c r="T373" i="26" s="1"/>
  <c r="BC373" i="26" s="1"/>
  <c r="V374" i="26" l="1"/>
  <c r="G628" i="55"/>
  <c r="O628" i="55"/>
  <c r="V628" i="55"/>
  <c r="N628" i="55"/>
  <c r="W628" i="55"/>
  <c r="E629" i="55"/>
  <c r="G374" i="26"/>
  <c r="R374" i="26"/>
  <c r="AS374" i="26"/>
  <c r="BJ374" i="26" s="1"/>
  <c r="AO374" i="26"/>
  <c r="BL373" i="26"/>
  <c r="K374" i="26"/>
  <c r="M374" i="26" s="1"/>
  <c r="AP374" i="26"/>
  <c r="X374" i="26"/>
  <c r="AF374" i="26"/>
  <c r="AN374" i="26" s="1"/>
  <c r="D374" i="26"/>
  <c r="BK374" i="26" l="1"/>
  <c r="A629" i="55"/>
  <c r="K629" i="55"/>
  <c r="L629" i="55" s="1"/>
  <c r="C629" i="55"/>
  <c r="O629" i="55" s="1"/>
  <c r="Q629" i="55"/>
  <c r="B629" i="55"/>
  <c r="F629" i="55" s="1"/>
  <c r="H629" i="55"/>
  <c r="G629" i="55"/>
  <c r="S628" i="55"/>
  <c r="X628" i="55"/>
  <c r="AT374" i="26"/>
  <c r="P374" i="26"/>
  <c r="E375" i="26"/>
  <c r="O374" i="26"/>
  <c r="AV373" i="55"/>
  <c r="BT373" i="26"/>
  <c r="AJ374" i="26"/>
  <c r="AK374" i="26" s="1"/>
  <c r="N374" i="26"/>
  <c r="AL374" i="26" l="1"/>
  <c r="AM374" i="26" s="1"/>
  <c r="AU374" i="26" s="1"/>
  <c r="D629" i="55"/>
  <c r="E630" i="55" s="1"/>
  <c r="P629" i="55"/>
  <c r="W629" i="55"/>
  <c r="M629" i="55"/>
  <c r="K630" i="55"/>
  <c r="L630" i="55" s="1"/>
  <c r="B630" i="55"/>
  <c r="F630" i="55" s="1"/>
  <c r="A630" i="55"/>
  <c r="H630" i="55"/>
  <c r="Q630" i="55"/>
  <c r="C630" i="55"/>
  <c r="O630" i="55" s="1"/>
  <c r="H375" i="26"/>
  <c r="A375" i="26"/>
  <c r="W375" i="26"/>
  <c r="B375" i="26"/>
  <c r="Q375" i="26"/>
  <c r="L375" i="26"/>
  <c r="C375" i="26"/>
  <c r="V375" i="26" s="1"/>
  <c r="S374" i="26"/>
  <c r="T374" i="26" s="1"/>
  <c r="BC374" i="26" s="1"/>
  <c r="P630" i="55" l="1"/>
  <c r="N629" i="55"/>
  <c r="S629" i="55" s="1"/>
  <c r="U630" i="55"/>
  <c r="W630" i="55"/>
  <c r="D630" i="55"/>
  <c r="X629" i="55"/>
  <c r="G630" i="55"/>
  <c r="BL374" i="26"/>
  <c r="K375" i="26"/>
  <c r="M375" i="26" s="1"/>
  <c r="X375" i="26"/>
  <c r="G375" i="26"/>
  <c r="D375" i="26"/>
  <c r="AP375" i="26"/>
  <c r="F375" i="26"/>
  <c r="R375" i="26" s="1"/>
  <c r="AO375" i="26"/>
  <c r="AS375" i="26"/>
  <c r="BJ375" i="26" s="1"/>
  <c r="U375" i="26"/>
  <c r="AF375" i="26" s="1"/>
  <c r="AN375" i="26" s="1"/>
  <c r="V630" i="55" l="1"/>
  <c r="E631" i="55"/>
  <c r="M630" i="55"/>
  <c r="AT375" i="26"/>
  <c r="BK375" i="26"/>
  <c r="N375" i="26"/>
  <c r="AJ375" i="26"/>
  <c r="AK375" i="26" s="1"/>
  <c r="O375" i="26"/>
  <c r="E376" i="26"/>
  <c r="P375" i="26"/>
  <c r="AV374" i="55"/>
  <c r="BT374" i="26"/>
  <c r="AL375" i="26" l="1"/>
  <c r="AM375" i="26" s="1"/>
  <c r="AU375" i="26" s="1"/>
  <c r="N630" i="55"/>
  <c r="K631" i="55"/>
  <c r="L631" i="55" s="1"/>
  <c r="B631" i="55"/>
  <c r="G631" i="55" s="1"/>
  <c r="A631" i="55"/>
  <c r="C631" i="55"/>
  <c r="Q631" i="55"/>
  <c r="H631" i="55"/>
  <c r="S375" i="26"/>
  <c r="T375" i="26" s="1"/>
  <c r="BC375" i="26" s="1"/>
  <c r="B376" i="26"/>
  <c r="D376" i="26" s="1"/>
  <c r="A376" i="26"/>
  <c r="L376" i="26"/>
  <c r="C376" i="26"/>
  <c r="V376" i="26" s="1"/>
  <c r="H376" i="26"/>
  <c r="Q376" i="26"/>
  <c r="W376" i="26"/>
  <c r="F631" i="55" l="1"/>
  <c r="O631" i="55"/>
  <c r="D631" i="55"/>
  <c r="M631" i="55" s="1"/>
  <c r="W631" i="55"/>
  <c r="P631" i="55"/>
  <c r="U631" i="55"/>
  <c r="S630" i="55"/>
  <c r="X630" i="55"/>
  <c r="X376" i="26"/>
  <c r="AP376" i="26"/>
  <c r="BL375" i="26"/>
  <c r="P376" i="26"/>
  <c r="K376" i="26"/>
  <c r="M376" i="26" s="1"/>
  <c r="F376" i="26"/>
  <c r="R376" i="26" s="1"/>
  <c r="G376" i="26"/>
  <c r="E377" i="26"/>
  <c r="O376" i="26"/>
  <c r="S376" i="26" s="1"/>
  <c r="T376" i="26" s="1"/>
  <c r="BL376" i="26" s="1"/>
  <c r="U376" i="26"/>
  <c r="AF376" i="26" s="1"/>
  <c r="AN376" i="26" s="1"/>
  <c r="AS376" i="26"/>
  <c r="BJ376" i="26" s="1"/>
  <c r="AL376" i="26" l="1"/>
  <c r="AM376" i="26" s="1"/>
  <c r="AU376" i="26" s="1"/>
  <c r="BC376" i="26"/>
  <c r="V631" i="55"/>
  <c r="E632" i="55"/>
  <c r="N631" i="55"/>
  <c r="BK376" i="26"/>
  <c r="C377" i="26"/>
  <c r="U377" i="26" s="1"/>
  <c r="A377" i="26"/>
  <c r="Q377" i="26"/>
  <c r="W377" i="26"/>
  <c r="L377" i="26"/>
  <c r="H377" i="26"/>
  <c r="B377" i="26"/>
  <c r="AJ376" i="26"/>
  <c r="AK376" i="26" s="1"/>
  <c r="N376" i="26"/>
  <c r="AV375" i="55"/>
  <c r="BT375" i="26"/>
  <c r="AO376" i="26"/>
  <c r="AT376" i="26" s="1"/>
  <c r="V377" i="26" l="1"/>
  <c r="X631" i="55"/>
  <c r="S631" i="55"/>
  <c r="B632" i="55"/>
  <c r="G632" i="55" s="1"/>
  <c r="C632" i="55"/>
  <c r="K632" i="55"/>
  <c r="L632" i="55" s="1"/>
  <c r="H632" i="55"/>
  <c r="Q632" i="55"/>
  <c r="A632" i="55"/>
  <c r="BT376" i="26"/>
  <c r="AV376" i="55"/>
  <c r="AP377" i="26"/>
  <c r="AF377" i="26"/>
  <c r="AN377" i="26" s="1"/>
  <c r="G377" i="26"/>
  <c r="D377" i="26"/>
  <c r="X377" i="26"/>
  <c r="F377" i="26"/>
  <c r="R377" i="26" s="1"/>
  <c r="K377" i="26"/>
  <c r="M377" i="26" s="1"/>
  <c r="W632" i="55" l="1"/>
  <c r="O632" i="55"/>
  <c r="F632" i="55"/>
  <c r="D632" i="55"/>
  <c r="E633" i="55" s="1"/>
  <c r="U632" i="55"/>
  <c r="P632" i="55"/>
  <c r="AO377" i="26"/>
  <c r="AT377" i="26" s="1"/>
  <c r="BK377" i="26"/>
  <c r="O377" i="26"/>
  <c r="P377" i="26"/>
  <c r="E378" i="26"/>
  <c r="AJ377" i="26"/>
  <c r="AK377" i="26" s="1"/>
  <c r="N377" i="26"/>
  <c r="AL377" i="26" l="1"/>
  <c r="AM377" i="26" s="1"/>
  <c r="AU377" i="26" s="1"/>
  <c r="M632" i="55"/>
  <c r="N632" i="55" s="1"/>
  <c r="V632" i="55"/>
  <c r="Q633" i="55"/>
  <c r="H633" i="55"/>
  <c r="K633" i="55"/>
  <c r="L633" i="55" s="1"/>
  <c r="C633" i="55"/>
  <c r="U633" i="55" s="1"/>
  <c r="A633" i="55"/>
  <c r="B633" i="55"/>
  <c r="D633" i="55" s="1"/>
  <c r="S377" i="26"/>
  <c r="T377" i="26" s="1"/>
  <c r="BC377" i="26" s="1"/>
  <c r="B378" i="26"/>
  <c r="H378" i="26"/>
  <c r="Q378" i="26"/>
  <c r="W378" i="26"/>
  <c r="A378" i="26"/>
  <c r="C378" i="26"/>
  <c r="V378" i="26" s="1"/>
  <c r="L378" i="26"/>
  <c r="M633" i="55" l="1"/>
  <c r="W633" i="55"/>
  <c r="F633" i="55"/>
  <c r="O633" i="55"/>
  <c r="E634" i="55"/>
  <c r="S632" i="55"/>
  <c r="X632" i="55"/>
  <c r="G633" i="55"/>
  <c r="P633" i="55"/>
  <c r="V633" i="55" s="1"/>
  <c r="U378" i="26"/>
  <c r="AF378" i="26" s="1"/>
  <c r="AN378" i="26" s="1"/>
  <c r="AS378" i="26"/>
  <c r="BJ378" i="26" s="1"/>
  <c r="BL377" i="26"/>
  <c r="X378" i="26"/>
  <c r="AP378" i="26"/>
  <c r="F378" i="26"/>
  <c r="R378" i="26" s="1"/>
  <c r="D378" i="26"/>
  <c r="K378" i="26"/>
  <c r="M378" i="26" s="1"/>
  <c r="G378" i="26"/>
  <c r="K634" i="55" l="1"/>
  <c r="L634" i="55" s="1"/>
  <c r="B634" i="55"/>
  <c r="P634" i="55" s="1"/>
  <c r="C634" i="55"/>
  <c r="A634" i="55"/>
  <c r="Q634" i="55"/>
  <c r="H634" i="55"/>
  <c r="N633" i="55"/>
  <c r="P378" i="26"/>
  <c r="E379" i="26"/>
  <c r="AO378" i="26"/>
  <c r="AT378" i="26" s="1"/>
  <c r="BK378" i="26"/>
  <c r="AJ378" i="26"/>
  <c r="AK378" i="26" s="1"/>
  <c r="N378" i="26"/>
  <c r="AV377" i="55"/>
  <c r="BT377" i="26"/>
  <c r="O378" i="26"/>
  <c r="AL378" i="26" l="1"/>
  <c r="AM378" i="26" s="1"/>
  <c r="AU378" i="26" s="1"/>
  <c r="G634" i="55"/>
  <c r="W634" i="55"/>
  <c r="X633" i="55"/>
  <c r="S633" i="55"/>
  <c r="D634" i="55"/>
  <c r="M634" i="55" s="1"/>
  <c r="U634" i="55"/>
  <c r="V634" i="55" s="1"/>
  <c r="O634" i="55"/>
  <c r="F634" i="55"/>
  <c r="S378" i="26"/>
  <c r="T378" i="26" s="1"/>
  <c r="BC378" i="26" s="1"/>
  <c r="C379" i="26"/>
  <c r="V379" i="26" s="1"/>
  <c r="W379" i="26"/>
  <c r="L379" i="26"/>
  <c r="A379" i="26"/>
  <c r="H379" i="26"/>
  <c r="Q379" i="26"/>
  <c r="B379" i="26"/>
  <c r="D379" i="26" s="1"/>
  <c r="N634" i="55" l="1"/>
  <c r="E635" i="55"/>
  <c r="G379" i="26"/>
  <c r="K379" i="26"/>
  <c r="M379" i="26" s="1"/>
  <c r="F379" i="26"/>
  <c r="R379" i="26" s="1"/>
  <c r="E380" i="26"/>
  <c r="P379" i="26"/>
  <c r="AP379" i="26"/>
  <c r="U379" i="26"/>
  <c r="AF379" i="26" s="1"/>
  <c r="AN379" i="26" s="1"/>
  <c r="BL378" i="26"/>
  <c r="AS379" i="26"/>
  <c r="BJ379" i="26" s="1"/>
  <c r="O379" i="26"/>
  <c r="X379" i="26"/>
  <c r="AL379" i="26" l="1"/>
  <c r="AM379" i="26" s="1"/>
  <c r="AU379" i="26" s="1"/>
  <c r="L380" i="26"/>
  <c r="C635" i="55"/>
  <c r="A635" i="55"/>
  <c r="H635" i="55"/>
  <c r="O635" i="55"/>
  <c r="Q635" i="55"/>
  <c r="B635" i="55"/>
  <c r="F635" i="55" s="1"/>
  <c r="K635" i="55"/>
  <c r="L635" i="55" s="1"/>
  <c r="U635" i="55"/>
  <c r="X634" i="55"/>
  <c r="S634" i="55"/>
  <c r="H380" i="26"/>
  <c r="W380" i="26"/>
  <c r="B380" i="26"/>
  <c r="A380" i="26"/>
  <c r="C380" i="26"/>
  <c r="V380" i="26" s="1"/>
  <c r="BK379" i="26"/>
  <c r="Q380" i="26"/>
  <c r="S379" i="26"/>
  <c r="T379" i="26" s="1"/>
  <c r="BC379" i="26" s="1"/>
  <c r="AO379" i="26"/>
  <c r="AT379" i="26" s="1"/>
  <c r="BT378" i="26"/>
  <c r="AV378" i="55"/>
  <c r="N379" i="26"/>
  <c r="AJ379" i="26"/>
  <c r="AK379" i="26" s="1"/>
  <c r="G635" i="55" l="1"/>
  <c r="D635" i="55"/>
  <c r="M635" i="55" s="1"/>
  <c r="P635" i="55"/>
  <c r="V635" i="55" s="1"/>
  <c r="W635" i="55"/>
  <c r="G380" i="26"/>
  <c r="K380" i="26"/>
  <c r="M380" i="26" s="1"/>
  <c r="AJ380" i="26" s="1"/>
  <c r="AK380" i="26" s="1"/>
  <c r="F380" i="26"/>
  <c r="R380" i="26" s="1"/>
  <c r="D380" i="26"/>
  <c r="P380" i="26"/>
  <c r="O380" i="26"/>
  <c r="AO380" i="26"/>
  <c r="AS380" i="26"/>
  <c r="BJ380" i="26" s="1"/>
  <c r="X380" i="26"/>
  <c r="BK380" i="26" s="1"/>
  <c r="E381" i="26"/>
  <c r="AP380" i="26"/>
  <c r="U380" i="26"/>
  <c r="AF380" i="26" s="1"/>
  <c r="AN380" i="26" s="1"/>
  <c r="BL379" i="26"/>
  <c r="N380" i="26" l="1"/>
  <c r="N635" i="55"/>
  <c r="E636" i="55"/>
  <c r="AT380" i="26"/>
  <c r="W381" i="26"/>
  <c r="A381" i="26"/>
  <c r="H381" i="26"/>
  <c r="C381" i="26"/>
  <c r="V381" i="26" s="1"/>
  <c r="B381" i="26"/>
  <c r="Q381" i="26"/>
  <c r="L381" i="26"/>
  <c r="S380" i="26"/>
  <c r="T380" i="26" s="1"/>
  <c r="BT379" i="26"/>
  <c r="AV379" i="55"/>
  <c r="AL380" i="26" l="1"/>
  <c r="AM380" i="26" s="1"/>
  <c r="AU380" i="26" s="1"/>
  <c r="BL380" i="26"/>
  <c r="BC380" i="26"/>
  <c r="AV380" i="55" s="1"/>
  <c r="H636" i="55"/>
  <c r="Q636" i="55"/>
  <c r="A636" i="55"/>
  <c r="B636" i="55"/>
  <c r="D636" i="55" s="1"/>
  <c r="K636" i="55"/>
  <c r="L636" i="55" s="1"/>
  <c r="C636" i="55"/>
  <c r="O636" i="55" s="1"/>
  <c r="X635" i="55"/>
  <c r="S635" i="55"/>
  <c r="F381" i="26"/>
  <c r="R381" i="26" s="1"/>
  <c r="X381" i="26"/>
  <c r="BK381" i="26" s="1"/>
  <c r="D381" i="26"/>
  <c r="E382" i="26" s="1"/>
  <c r="K381" i="26"/>
  <c r="M381" i="26" s="1"/>
  <c r="G381" i="26"/>
  <c r="AO381" i="26"/>
  <c r="AP381" i="26"/>
  <c r="AS381" i="26"/>
  <c r="BJ381" i="26" s="1"/>
  <c r="U381" i="26"/>
  <c r="AF381" i="26" s="1"/>
  <c r="AN381" i="26" s="1"/>
  <c r="O381" i="26" l="1"/>
  <c r="S381" i="26" s="1"/>
  <c r="T381" i="26" s="1"/>
  <c r="BC381" i="26" s="1"/>
  <c r="M636" i="55"/>
  <c r="F636" i="55"/>
  <c r="W636" i="55"/>
  <c r="G636" i="55"/>
  <c r="P381" i="26"/>
  <c r="U636" i="55"/>
  <c r="E637" i="55"/>
  <c r="P636" i="55"/>
  <c r="BT380" i="26"/>
  <c r="AT381" i="26"/>
  <c r="W382" i="26"/>
  <c r="L382" i="26"/>
  <c r="B382" i="26"/>
  <c r="F382" i="26" s="1"/>
  <c r="C382" i="26"/>
  <c r="AS382" i="26" s="1"/>
  <c r="BJ382" i="26" s="1"/>
  <c r="Q382" i="26"/>
  <c r="A382" i="26"/>
  <c r="H382" i="26"/>
  <c r="AJ381" i="26"/>
  <c r="AK381" i="26" s="1"/>
  <c r="N381" i="26"/>
  <c r="AL381" i="26" l="1"/>
  <c r="AM381" i="26" s="1"/>
  <c r="AU381" i="26" s="1"/>
  <c r="V382" i="26"/>
  <c r="AO382" i="26" s="1"/>
  <c r="D382" i="26"/>
  <c r="N636" i="55"/>
  <c r="S636" i="55" s="1"/>
  <c r="V636" i="55"/>
  <c r="B637" i="55"/>
  <c r="P637" i="55" s="1"/>
  <c r="H637" i="55"/>
  <c r="K637" i="55"/>
  <c r="L637" i="55" s="1"/>
  <c r="C637" i="55"/>
  <c r="U637" i="55" s="1"/>
  <c r="Q637" i="55"/>
  <c r="A637" i="55"/>
  <c r="R382" i="26"/>
  <c r="AP382" i="26"/>
  <c r="P382" i="26"/>
  <c r="U382" i="26"/>
  <c r="AF382" i="26" s="1"/>
  <c r="AN382" i="26" s="1"/>
  <c r="BL381" i="26"/>
  <c r="X382" i="26"/>
  <c r="K382" i="26"/>
  <c r="M382" i="26" s="1"/>
  <c r="G382" i="26"/>
  <c r="X636" i="55" l="1"/>
  <c r="V637" i="55"/>
  <c r="BK382" i="26"/>
  <c r="G637" i="55"/>
  <c r="E383" i="26"/>
  <c r="O382" i="26"/>
  <c r="S382" i="26" s="1"/>
  <c r="T382" i="26" s="1"/>
  <c r="F637" i="55"/>
  <c r="D637" i="55"/>
  <c r="M637" i="55" s="1"/>
  <c r="W637" i="55"/>
  <c r="O637" i="55"/>
  <c r="AT382" i="26"/>
  <c r="AJ382" i="26"/>
  <c r="AK382" i="26" s="1"/>
  <c r="N382" i="26"/>
  <c r="BT381" i="26"/>
  <c r="AV381" i="55"/>
  <c r="A383" i="26"/>
  <c r="H383" i="26"/>
  <c r="B383" i="26"/>
  <c r="AL382" i="26" l="1"/>
  <c r="AM382" i="26" s="1"/>
  <c r="AU382" i="26" s="1"/>
  <c r="BC382" i="26"/>
  <c r="AV382" i="55" s="1"/>
  <c r="BL382" i="26"/>
  <c r="L383" i="26"/>
  <c r="C383" i="26"/>
  <c r="X383" i="26" s="1"/>
  <c r="Q383" i="26"/>
  <c r="W383" i="26"/>
  <c r="E638" i="55"/>
  <c r="A638" i="55" s="1"/>
  <c r="N637" i="55"/>
  <c r="F383" i="26"/>
  <c r="G383" i="26"/>
  <c r="D383" i="26"/>
  <c r="K383" i="26"/>
  <c r="U383" i="26"/>
  <c r="AF383" i="26" s="1"/>
  <c r="AN383" i="26" s="1"/>
  <c r="BT382" i="26" l="1"/>
  <c r="R383" i="26"/>
  <c r="V383" i="26"/>
  <c r="AP383" i="26"/>
  <c r="K638" i="55"/>
  <c r="L638" i="55" s="1"/>
  <c r="M383" i="26"/>
  <c r="AJ383" i="26" s="1"/>
  <c r="AK383" i="26" s="1"/>
  <c r="Q638" i="55"/>
  <c r="B638" i="55"/>
  <c r="F638" i="55" s="1"/>
  <c r="C638" i="55"/>
  <c r="U638" i="55" s="1"/>
  <c r="AS383" i="26"/>
  <c r="BJ383" i="26" s="1"/>
  <c r="H638" i="55"/>
  <c r="D638" i="55"/>
  <c r="M638" i="55" s="1"/>
  <c r="N638" i="55" s="1"/>
  <c r="X637" i="55"/>
  <c r="S637" i="55"/>
  <c r="AO383" i="26"/>
  <c r="BK383" i="26"/>
  <c r="O383" i="26"/>
  <c r="E384" i="26"/>
  <c r="P383" i="26"/>
  <c r="AL383" i="26" l="1"/>
  <c r="AM383" i="26" s="1"/>
  <c r="AU383" i="26" s="1"/>
  <c r="AT383" i="26"/>
  <c r="P638" i="55"/>
  <c r="N383" i="26"/>
  <c r="X638" i="55"/>
  <c r="V638" i="55"/>
  <c r="G638" i="55"/>
  <c r="O638" i="55"/>
  <c r="S638" i="55" s="1"/>
  <c r="W638" i="55"/>
  <c r="E639" i="55"/>
  <c r="K639" i="55" s="1"/>
  <c r="L639" i="55" s="1"/>
  <c r="H384" i="26"/>
  <c r="L384" i="26"/>
  <c r="A384" i="26"/>
  <c r="W384" i="26"/>
  <c r="Q384" i="26"/>
  <c r="C384" i="26"/>
  <c r="V384" i="26" s="1"/>
  <c r="B384" i="26"/>
  <c r="S383" i="26"/>
  <c r="T383" i="26" s="1"/>
  <c r="BC383" i="26" s="1"/>
  <c r="H639" i="55" l="1"/>
  <c r="B639" i="55"/>
  <c r="P639" i="55" s="1"/>
  <c r="C639" i="55"/>
  <c r="E640" i="55" s="1"/>
  <c r="A639" i="55"/>
  <c r="Q639" i="55"/>
  <c r="D639" i="55"/>
  <c r="F639" i="55"/>
  <c r="O639" i="55"/>
  <c r="G639" i="55"/>
  <c r="BL383" i="26"/>
  <c r="U384" i="26"/>
  <c r="AF384" i="26" s="1"/>
  <c r="AN384" i="26" s="1"/>
  <c r="AS384" i="26"/>
  <c r="BJ384" i="26" s="1"/>
  <c r="K384" i="26"/>
  <c r="M384" i="26" s="1"/>
  <c r="F384" i="26"/>
  <c r="R384" i="26" s="1"/>
  <c r="G384" i="26"/>
  <c r="X384" i="26"/>
  <c r="D384" i="26"/>
  <c r="AP384" i="26"/>
  <c r="W639" i="55" l="1"/>
  <c r="U639" i="55"/>
  <c r="V639" i="55" s="1"/>
  <c r="M639" i="55"/>
  <c r="N639" i="55" s="1"/>
  <c r="A640" i="55"/>
  <c r="Q640" i="55"/>
  <c r="H640" i="55"/>
  <c r="K640" i="55"/>
  <c r="L640" i="55" s="1"/>
  <c r="C640" i="55"/>
  <c r="U640" i="55" s="1"/>
  <c r="B640" i="55"/>
  <c r="F640" i="55" s="1"/>
  <c r="AJ384" i="26"/>
  <c r="AK384" i="26" s="1"/>
  <c r="N384" i="26"/>
  <c r="BK384" i="26"/>
  <c r="AO384" i="26"/>
  <c r="AT384" i="26" s="1"/>
  <c r="E385" i="26"/>
  <c r="AV383" i="55"/>
  <c r="BT383" i="26"/>
  <c r="P384" i="26"/>
  <c r="O384" i="26"/>
  <c r="S384" i="26" s="1"/>
  <c r="T384" i="26" s="1"/>
  <c r="BC384" i="26" s="1"/>
  <c r="AL384" i="26" l="1"/>
  <c r="AM384" i="26" s="1"/>
  <c r="AU384" i="26" s="1"/>
  <c r="O640" i="55"/>
  <c r="S639" i="55"/>
  <c r="X639" i="55"/>
  <c r="P640" i="55"/>
  <c r="V640" i="55" s="1"/>
  <c r="G640" i="55"/>
  <c r="W640" i="55"/>
  <c r="D640" i="55"/>
  <c r="BL384" i="26"/>
  <c r="Q385" i="26"/>
  <c r="B385" i="26"/>
  <c r="W385" i="26"/>
  <c r="L385" i="26"/>
  <c r="H385" i="26"/>
  <c r="C385" i="26"/>
  <c r="V385" i="26" s="1"/>
  <c r="A385" i="26"/>
  <c r="M640" i="55" l="1"/>
  <c r="E641" i="55"/>
  <c r="D385" i="26"/>
  <c r="AS385" i="26"/>
  <c r="BJ385" i="26" s="1"/>
  <c r="U385" i="26"/>
  <c r="AF385" i="26" s="1"/>
  <c r="AN385" i="26" s="1"/>
  <c r="F385" i="26"/>
  <c r="R385" i="26" s="1"/>
  <c r="G385" i="26"/>
  <c r="AO385" i="26"/>
  <c r="X385" i="26"/>
  <c r="BK385" i="26" s="1"/>
  <c r="AP385" i="26"/>
  <c r="K385" i="26"/>
  <c r="M385" i="26" s="1"/>
  <c r="BT384" i="26"/>
  <c r="AV384" i="55"/>
  <c r="O385" i="26" l="1"/>
  <c r="S385" i="26" s="1"/>
  <c r="T385" i="26" s="1"/>
  <c r="BC385" i="26" s="1"/>
  <c r="E386" i="26"/>
  <c r="P385" i="26"/>
  <c r="A641" i="55"/>
  <c r="Q641" i="55"/>
  <c r="B641" i="55"/>
  <c r="F641" i="55" s="1"/>
  <c r="K641" i="55"/>
  <c r="L641" i="55" s="1"/>
  <c r="C641" i="55"/>
  <c r="H641" i="55"/>
  <c r="N640" i="55"/>
  <c r="AT385" i="26"/>
  <c r="AJ385" i="26"/>
  <c r="AK385" i="26" s="1"/>
  <c r="N385" i="26"/>
  <c r="A386" i="26"/>
  <c r="C386" i="26"/>
  <c r="AS386" i="26" s="1"/>
  <c r="BJ386" i="26" s="1"/>
  <c r="L386" i="26"/>
  <c r="H386" i="26"/>
  <c r="Q386" i="26"/>
  <c r="W386" i="26"/>
  <c r="B386" i="26"/>
  <c r="G386" i="26" s="1"/>
  <c r="AL385" i="26" l="1"/>
  <c r="AM385" i="26" s="1"/>
  <c r="AU385" i="26" s="1"/>
  <c r="V386" i="26"/>
  <c r="X640" i="55"/>
  <c r="S640" i="55"/>
  <c r="D641" i="55"/>
  <c r="M641" i="55" s="1"/>
  <c r="W641" i="55"/>
  <c r="P641" i="55"/>
  <c r="G641" i="55"/>
  <c r="O641" i="55"/>
  <c r="X386" i="26"/>
  <c r="D386" i="26"/>
  <c r="K386" i="26"/>
  <c r="M386" i="26" s="1"/>
  <c r="U386" i="26"/>
  <c r="AF386" i="26" s="1"/>
  <c r="AN386" i="26" s="1"/>
  <c r="AP386" i="26"/>
  <c r="F386" i="26"/>
  <c r="R386" i="26" s="1"/>
  <c r="O386" i="26"/>
  <c r="AO386" i="26"/>
  <c r="E387" i="26"/>
  <c r="BL385" i="26"/>
  <c r="E642" i="55" l="1"/>
  <c r="H642" i="55" s="1"/>
  <c r="P386" i="26"/>
  <c r="AL386" i="26" s="1"/>
  <c r="C642" i="55"/>
  <c r="Q642" i="55"/>
  <c r="N641" i="55"/>
  <c r="AT386" i="26"/>
  <c r="AJ386" i="26"/>
  <c r="AK386" i="26" s="1"/>
  <c r="N386" i="26"/>
  <c r="L387" i="26"/>
  <c r="Q387" i="26"/>
  <c r="W387" i="26"/>
  <c r="H387" i="26"/>
  <c r="A387" i="26"/>
  <c r="C387" i="26"/>
  <c r="V387" i="26" s="1"/>
  <c r="B387" i="26"/>
  <c r="G387" i="26" s="1"/>
  <c r="BT385" i="26"/>
  <c r="AV385" i="55"/>
  <c r="S386" i="26"/>
  <c r="T386" i="26" s="1"/>
  <c r="BC386" i="26" s="1"/>
  <c r="BK386" i="26"/>
  <c r="AM386" i="26" l="1"/>
  <c r="AU386" i="26" s="1"/>
  <c r="K642" i="55"/>
  <c r="L642" i="55" s="1"/>
  <c r="A642" i="55"/>
  <c r="B642" i="55"/>
  <c r="S641" i="55"/>
  <c r="X641" i="55"/>
  <c r="U642" i="55"/>
  <c r="W642" i="55"/>
  <c r="D642" i="55"/>
  <c r="M642" i="55" s="1"/>
  <c r="O642" i="55"/>
  <c r="D387" i="26"/>
  <c r="AS387" i="26"/>
  <c r="BJ387" i="26" s="1"/>
  <c r="AO387" i="26"/>
  <c r="BL386" i="26"/>
  <c r="U387" i="26"/>
  <c r="AF387" i="26" s="1"/>
  <c r="AN387" i="26" s="1"/>
  <c r="AP387" i="26"/>
  <c r="X387" i="26"/>
  <c r="BK387" i="26" s="1"/>
  <c r="F387" i="26"/>
  <c r="R387" i="26" s="1"/>
  <c r="K387" i="26"/>
  <c r="M387" i="26" s="1"/>
  <c r="P642" i="55" l="1"/>
  <c r="V642" i="55" s="1"/>
  <c r="F642" i="55"/>
  <c r="G642" i="55"/>
  <c r="E643" i="55"/>
  <c r="H643" i="55" s="1"/>
  <c r="P387" i="26"/>
  <c r="A643" i="55"/>
  <c r="E388" i="26"/>
  <c r="N642" i="55"/>
  <c r="O387" i="26"/>
  <c r="S387" i="26" s="1"/>
  <c r="T387" i="26" s="1"/>
  <c r="BC387" i="26" s="1"/>
  <c r="AT387" i="26"/>
  <c r="AJ387" i="26"/>
  <c r="AK387" i="26" s="1"/>
  <c r="N387" i="26"/>
  <c r="BT386" i="26"/>
  <c r="AV386" i="55"/>
  <c r="AL387" i="26" l="1"/>
  <c r="AM387" i="26" s="1"/>
  <c r="AU387" i="26" s="1"/>
  <c r="K643" i="55"/>
  <c r="L643" i="55" s="1"/>
  <c r="Q643" i="55"/>
  <c r="A388" i="26"/>
  <c r="C388" i="26"/>
  <c r="V388" i="26" s="1"/>
  <c r="C643" i="55"/>
  <c r="U643" i="55" s="1"/>
  <c r="B643" i="55"/>
  <c r="G643" i="55" s="1"/>
  <c r="Q388" i="26"/>
  <c r="AV387" i="55"/>
  <c r="BL387" i="26"/>
  <c r="L388" i="26"/>
  <c r="P643" i="55"/>
  <c r="O643" i="55"/>
  <c r="H388" i="26"/>
  <c r="X642" i="55"/>
  <c r="S642" i="55"/>
  <c r="B388" i="26"/>
  <c r="G388" i="26" s="1"/>
  <c r="W388" i="26"/>
  <c r="BT387" i="26"/>
  <c r="AS388" i="26" l="1"/>
  <c r="BJ388" i="26" s="1"/>
  <c r="X388" i="26"/>
  <c r="D643" i="55"/>
  <c r="W643" i="55"/>
  <c r="F643" i="55"/>
  <c r="K388" i="26"/>
  <c r="M388" i="26" s="1"/>
  <c r="N388" i="26" s="1"/>
  <c r="AO388" i="26"/>
  <c r="D388" i="26"/>
  <c r="P388" i="26" s="1"/>
  <c r="U388" i="26"/>
  <c r="AF388" i="26" s="1"/>
  <c r="AN388" i="26" s="1"/>
  <c r="V643" i="55"/>
  <c r="AP388" i="26"/>
  <c r="F388" i="26"/>
  <c r="R388" i="26" s="1"/>
  <c r="M643" i="55"/>
  <c r="E644" i="55"/>
  <c r="BK388" i="26"/>
  <c r="O388" i="26" l="1"/>
  <c r="S388" i="26" s="1"/>
  <c r="T388" i="26" s="1"/>
  <c r="BC388" i="26" s="1"/>
  <c r="AT388" i="26"/>
  <c r="AJ388" i="26"/>
  <c r="AK388" i="26" s="1"/>
  <c r="E389" i="26"/>
  <c r="C644" i="55"/>
  <c r="U644" i="55" s="1"/>
  <c r="K644" i="55"/>
  <c r="L644" i="55" s="1"/>
  <c r="A644" i="55"/>
  <c r="H644" i="55"/>
  <c r="Q644" i="55"/>
  <c r="B644" i="55"/>
  <c r="D644" i="55" s="1"/>
  <c r="N643" i="55"/>
  <c r="AL388" i="26" l="1"/>
  <c r="AM388" i="26" s="1"/>
  <c r="AU388" i="26" s="1"/>
  <c r="G644" i="55"/>
  <c r="H389" i="26"/>
  <c r="Q389" i="26"/>
  <c r="A389" i="26"/>
  <c r="B389" i="26"/>
  <c r="W389" i="26"/>
  <c r="L389" i="26"/>
  <c r="C389" i="26"/>
  <c r="V389" i="26" s="1"/>
  <c r="F644" i="55"/>
  <c r="X643" i="55"/>
  <c r="S643" i="55"/>
  <c r="P644" i="55"/>
  <c r="V644" i="55" s="1"/>
  <c r="O644" i="55"/>
  <c r="E645" i="55"/>
  <c r="BL388" i="26"/>
  <c r="W644" i="55"/>
  <c r="M644" i="55"/>
  <c r="U389" i="26" l="1"/>
  <c r="AF389" i="26" s="1"/>
  <c r="AN389" i="26" s="1"/>
  <c r="G389" i="26"/>
  <c r="AP389" i="26"/>
  <c r="X389" i="26"/>
  <c r="K389" i="26"/>
  <c r="M389" i="26" s="1"/>
  <c r="D389" i="26"/>
  <c r="F389" i="26"/>
  <c r="R389" i="26" s="1"/>
  <c r="BT388" i="26"/>
  <c r="AV388" i="55"/>
  <c r="N644" i="55"/>
  <c r="K645" i="55"/>
  <c r="L645" i="55" s="1"/>
  <c r="C645" i="55"/>
  <c r="H645" i="55"/>
  <c r="B645" i="55"/>
  <c r="F645" i="55" s="1"/>
  <c r="Q645" i="55"/>
  <c r="A645" i="55"/>
  <c r="AJ389" i="26" l="1"/>
  <c r="AK389" i="26" s="1"/>
  <c r="N389" i="26"/>
  <c r="BK389" i="26"/>
  <c r="AO389" i="26"/>
  <c r="AT389" i="26" s="1"/>
  <c r="O389" i="26"/>
  <c r="E390" i="26"/>
  <c r="P389" i="26"/>
  <c r="P645" i="55"/>
  <c r="U645" i="55"/>
  <c r="O645" i="55"/>
  <c r="G645" i="55"/>
  <c r="S644" i="55"/>
  <c r="X644" i="55"/>
  <c r="W645" i="55"/>
  <c r="D645" i="55"/>
  <c r="M645" i="55" s="1"/>
  <c r="AL389" i="26" l="1"/>
  <c r="AM389" i="26" s="1"/>
  <c r="AU389" i="26" s="1"/>
  <c r="L390" i="26"/>
  <c r="C390" i="26"/>
  <c r="V390" i="26" s="1"/>
  <c r="H390" i="26"/>
  <c r="W390" i="26"/>
  <c r="B390" i="26"/>
  <c r="X390" i="26" s="1"/>
  <c r="Q390" i="26"/>
  <c r="A390" i="26"/>
  <c r="U390" i="26"/>
  <c r="AS390" i="26"/>
  <c r="BJ390" i="26" s="1"/>
  <c r="G390" i="26"/>
  <c r="S389" i="26"/>
  <c r="T389" i="26" s="1"/>
  <c r="BC389" i="26" s="1"/>
  <c r="E646" i="55"/>
  <c r="B646" i="55" s="1"/>
  <c r="P646" i="55" s="1"/>
  <c r="N645" i="55"/>
  <c r="V645" i="55"/>
  <c r="BK390" i="26" l="1"/>
  <c r="AP390" i="26"/>
  <c r="AF390" i="26"/>
  <c r="AN390" i="26" s="1"/>
  <c r="K646" i="55"/>
  <c r="L646" i="55" s="1"/>
  <c r="H646" i="55"/>
  <c r="AO390" i="26"/>
  <c r="C646" i="55"/>
  <c r="U646" i="55" s="1"/>
  <c r="V646" i="55" s="1"/>
  <c r="Q646" i="55"/>
  <c r="A646" i="55"/>
  <c r="BL389" i="26"/>
  <c r="K390" i="26"/>
  <c r="M390" i="26" s="1"/>
  <c r="F390" i="26"/>
  <c r="R390" i="26" s="1"/>
  <c r="D390" i="26"/>
  <c r="W646" i="55"/>
  <c r="G646" i="55"/>
  <c r="D646" i="55"/>
  <c r="M646" i="55" s="1"/>
  <c r="F646" i="55"/>
  <c r="S645" i="55"/>
  <c r="X645" i="55"/>
  <c r="AT390" i="26" l="1"/>
  <c r="O646" i="55"/>
  <c r="AJ390" i="26"/>
  <c r="AK390" i="26" s="1"/>
  <c r="N390" i="26"/>
  <c r="E647" i="55"/>
  <c r="K647" i="55" s="1"/>
  <c r="L647" i="55" s="1"/>
  <c r="P390" i="26"/>
  <c r="E391" i="26"/>
  <c r="BT389" i="26"/>
  <c r="AV389" i="55"/>
  <c r="O390" i="26"/>
  <c r="N646" i="55"/>
  <c r="AL390" i="26" l="1"/>
  <c r="AM390" i="26" s="1"/>
  <c r="AU390" i="26" s="1"/>
  <c r="A647" i="55"/>
  <c r="C647" i="55"/>
  <c r="O647" i="55" s="1"/>
  <c r="H647" i="55"/>
  <c r="B647" i="55"/>
  <c r="D647" i="55" s="1"/>
  <c r="M647" i="55" s="1"/>
  <c r="N647" i="55" s="1"/>
  <c r="Q647" i="55"/>
  <c r="S390" i="26"/>
  <c r="T390" i="26" s="1"/>
  <c r="BC390" i="26" s="1"/>
  <c r="H391" i="26"/>
  <c r="A391" i="26"/>
  <c r="W391" i="26"/>
  <c r="L391" i="26"/>
  <c r="C391" i="26"/>
  <c r="V391" i="26" s="1"/>
  <c r="Q391" i="26"/>
  <c r="B391" i="26"/>
  <c r="F647" i="55"/>
  <c r="U647" i="55"/>
  <c r="S646" i="55"/>
  <c r="X646" i="55"/>
  <c r="E648" i="55" l="1"/>
  <c r="G647" i="55"/>
  <c r="W647" i="55"/>
  <c r="P647" i="55"/>
  <c r="V647" i="55" s="1"/>
  <c r="D391" i="26"/>
  <c r="E392" i="26" s="1"/>
  <c r="X391" i="26"/>
  <c r="G391" i="26"/>
  <c r="AP391" i="26"/>
  <c r="F391" i="26"/>
  <c r="R391" i="26" s="1"/>
  <c r="K391" i="26"/>
  <c r="M391" i="26" s="1"/>
  <c r="U391" i="26"/>
  <c r="AF391" i="26" s="1"/>
  <c r="AN391" i="26" s="1"/>
  <c r="AS391" i="26"/>
  <c r="BJ391" i="26" s="1"/>
  <c r="BL390" i="26"/>
  <c r="Q648" i="55"/>
  <c r="C648" i="55"/>
  <c r="U648" i="55" s="1"/>
  <c r="B648" i="55"/>
  <c r="P648" i="55" s="1"/>
  <c r="K648" i="55"/>
  <c r="L648" i="55" s="1"/>
  <c r="A648" i="55"/>
  <c r="H648" i="55"/>
  <c r="S647" i="55"/>
  <c r="X647" i="55"/>
  <c r="P391" i="26" l="1"/>
  <c r="O391" i="26"/>
  <c r="S391" i="26" s="1"/>
  <c r="T391" i="26" s="1"/>
  <c r="BC391" i="26" s="1"/>
  <c r="BK391" i="26"/>
  <c r="AO391" i="26"/>
  <c r="AT391" i="26" s="1"/>
  <c r="V648" i="55"/>
  <c r="BT390" i="26"/>
  <c r="AV390" i="55"/>
  <c r="N391" i="26"/>
  <c r="AJ391" i="26"/>
  <c r="AK391" i="26" s="1"/>
  <c r="D648" i="55"/>
  <c r="M648" i="55" s="1"/>
  <c r="L392" i="26"/>
  <c r="B392" i="26"/>
  <c r="C392" i="26"/>
  <c r="V392" i="26" s="1"/>
  <c r="A392" i="26"/>
  <c r="H392" i="26"/>
  <c r="Q392" i="26"/>
  <c r="W392" i="26"/>
  <c r="F648" i="55"/>
  <c r="O648" i="55"/>
  <c r="N648" i="55"/>
  <c r="W648" i="55"/>
  <c r="G648" i="55"/>
  <c r="AL391" i="26" l="1"/>
  <c r="AM391" i="26" s="1"/>
  <c r="AU391" i="26" s="1"/>
  <c r="E649" i="55"/>
  <c r="BL391" i="26"/>
  <c r="AS392" i="26"/>
  <c r="BJ392" i="26" s="1"/>
  <c r="U392" i="26"/>
  <c r="AF392" i="26" s="1"/>
  <c r="AN392" i="26" s="1"/>
  <c r="K392" i="26"/>
  <c r="M392" i="26" s="1"/>
  <c r="AP392" i="26"/>
  <c r="D392" i="26"/>
  <c r="G392" i="26"/>
  <c r="F392" i="26"/>
  <c r="R392" i="26" s="1"/>
  <c r="X392" i="26"/>
  <c r="S648" i="55"/>
  <c r="X648" i="55"/>
  <c r="K649" i="55"/>
  <c r="L649" i="55" s="1"/>
  <c r="Q649" i="55"/>
  <c r="A649" i="55"/>
  <c r="B649" i="55"/>
  <c r="P649" i="55" s="1"/>
  <c r="C649" i="55"/>
  <c r="H649" i="55"/>
  <c r="N392" i="26" l="1"/>
  <c r="AJ392" i="26"/>
  <c r="AK392" i="26" s="1"/>
  <c r="O392" i="26"/>
  <c r="P392" i="26"/>
  <c r="E393" i="26"/>
  <c r="AO392" i="26"/>
  <c r="AT392" i="26" s="1"/>
  <c r="BK392" i="26"/>
  <c r="AV391" i="55"/>
  <c r="BT391" i="26"/>
  <c r="G649" i="55"/>
  <c r="O649" i="55"/>
  <c r="W649" i="55"/>
  <c r="F649" i="55"/>
  <c r="D649" i="55"/>
  <c r="M649" i="55" s="1"/>
  <c r="U649" i="55"/>
  <c r="V649" i="55" s="1"/>
  <c r="AL392" i="26" l="1"/>
  <c r="AM392" i="26" s="1"/>
  <c r="AU392" i="26" s="1"/>
  <c r="A393" i="26"/>
  <c r="B393" i="26"/>
  <c r="D393" i="26" s="1"/>
  <c r="L393" i="26"/>
  <c r="W393" i="26"/>
  <c r="C393" i="26"/>
  <c r="AS393" i="26" s="1"/>
  <c r="BJ393" i="26" s="1"/>
  <c r="Q393" i="26"/>
  <c r="H393" i="26"/>
  <c r="S392" i="26"/>
  <c r="T392" i="26" s="1"/>
  <c r="BC392" i="26" s="1"/>
  <c r="N649" i="55"/>
  <c r="E650" i="55"/>
  <c r="F393" i="26" l="1"/>
  <c r="K393" i="26"/>
  <c r="M393" i="26" s="1"/>
  <c r="AJ393" i="26" s="1"/>
  <c r="AK393" i="26" s="1"/>
  <c r="G393" i="26"/>
  <c r="V393" i="26"/>
  <c r="AP393" i="26"/>
  <c r="U393" i="26"/>
  <c r="AF393" i="26" s="1"/>
  <c r="AN393" i="26" s="1"/>
  <c r="X393" i="26"/>
  <c r="R393" i="26"/>
  <c r="P393" i="26"/>
  <c r="O393" i="26"/>
  <c r="BL392" i="26"/>
  <c r="E394" i="26"/>
  <c r="K650" i="55"/>
  <c r="L650" i="55" s="1"/>
  <c r="C650" i="55"/>
  <c r="U650" i="55" s="1"/>
  <c r="A650" i="55"/>
  <c r="Q650" i="55"/>
  <c r="H650" i="55"/>
  <c r="B650" i="55"/>
  <c r="W650" i="55" s="1"/>
  <c r="X649" i="55"/>
  <c r="S649" i="55"/>
  <c r="AL393" i="26" l="1"/>
  <c r="AM393" i="26" s="1"/>
  <c r="AU393" i="26" s="1"/>
  <c r="N393" i="26"/>
  <c r="BK393" i="26"/>
  <c r="S393" i="26"/>
  <c r="T393" i="26" s="1"/>
  <c r="BC393" i="26" s="1"/>
  <c r="AO393" i="26"/>
  <c r="AT393" i="26" s="1"/>
  <c r="H394" i="26"/>
  <c r="B394" i="26"/>
  <c r="L394" i="26"/>
  <c r="A394" i="26"/>
  <c r="Q394" i="26"/>
  <c r="W394" i="26"/>
  <c r="C394" i="26"/>
  <c r="V394" i="26" s="1"/>
  <c r="F394" i="26"/>
  <c r="R394" i="26" s="1"/>
  <c r="AV392" i="55"/>
  <c r="BT392" i="26"/>
  <c r="O650" i="55"/>
  <c r="P650" i="55"/>
  <c r="V650" i="55" s="1"/>
  <c r="D650" i="55"/>
  <c r="E651" i="55" s="1"/>
  <c r="F650" i="55"/>
  <c r="G650" i="55"/>
  <c r="M650" i="55" l="1"/>
  <c r="U394" i="26"/>
  <c r="AS394" i="26"/>
  <c r="BJ394" i="26" s="1"/>
  <c r="K394" i="26"/>
  <c r="M394" i="26" s="1"/>
  <c r="D394" i="26"/>
  <c r="X394" i="26"/>
  <c r="AF394" i="26"/>
  <c r="AN394" i="26" s="1"/>
  <c r="G394" i="26"/>
  <c r="AP394" i="26"/>
  <c r="BL393" i="26"/>
  <c r="H651" i="55"/>
  <c r="B651" i="55"/>
  <c r="C651" i="55"/>
  <c r="O651" i="55" s="1"/>
  <c r="K651" i="55"/>
  <c r="L651" i="55" s="1"/>
  <c r="Q651" i="55"/>
  <c r="A651" i="55"/>
  <c r="N650" i="55"/>
  <c r="U651" i="55" l="1"/>
  <c r="W651" i="55"/>
  <c r="AO394" i="26"/>
  <c r="AT394" i="26" s="1"/>
  <c r="BK394" i="26"/>
  <c r="BT393" i="26"/>
  <c r="AV393" i="55"/>
  <c r="O394" i="26"/>
  <c r="E395" i="26"/>
  <c r="P394" i="26"/>
  <c r="N394" i="26"/>
  <c r="AJ394" i="26"/>
  <c r="AK394" i="26" s="1"/>
  <c r="D651" i="55"/>
  <c r="E652" i="55" s="1"/>
  <c r="K652" i="55" s="1"/>
  <c r="L652" i="55" s="1"/>
  <c r="G651" i="55"/>
  <c r="P651" i="55"/>
  <c r="F651" i="55"/>
  <c r="S650" i="55"/>
  <c r="X650" i="55"/>
  <c r="AL394" i="26" l="1"/>
  <c r="AM394" i="26" s="1"/>
  <c r="AU394" i="26" s="1"/>
  <c r="V651" i="55"/>
  <c r="W395" i="26"/>
  <c r="H395" i="26"/>
  <c r="Q395" i="26"/>
  <c r="A395" i="26"/>
  <c r="C395" i="26"/>
  <c r="AS395" i="26" s="1"/>
  <c r="BJ395" i="26" s="1"/>
  <c r="B395" i="26"/>
  <c r="F395" i="26" s="1"/>
  <c r="R395" i="26" s="1"/>
  <c r="L395" i="26"/>
  <c r="S394" i="26"/>
  <c r="T394" i="26" s="1"/>
  <c r="BC394" i="26" s="1"/>
  <c r="A652" i="55"/>
  <c r="M651" i="55"/>
  <c r="B652" i="55"/>
  <c r="H652" i="55"/>
  <c r="C652" i="55"/>
  <c r="Q652" i="55"/>
  <c r="V395" i="26" l="1"/>
  <c r="G395" i="26"/>
  <c r="D395" i="26"/>
  <c r="E396" i="26" s="1"/>
  <c r="K395" i="26"/>
  <c r="M395" i="26" s="1"/>
  <c r="X395" i="26"/>
  <c r="AP395" i="26"/>
  <c r="BL394" i="26"/>
  <c r="U395" i="26"/>
  <c r="AF395" i="26" s="1"/>
  <c r="AN395" i="26" s="1"/>
  <c r="N651" i="55"/>
  <c r="U652" i="55"/>
  <c r="O652" i="55"/>
  <c r="P652" i="55"/>
  <c r="F652" i="55"/>
  <c r="D652" i="55"/>
  <c r="G652" i="55"/>
  <c r="W652" i="55"/>
  <c r="BT394" i="26" l="1"/>
  <c r="AV394" i="55"/>
  <c r="AO395" i="26"/>
  <c r="AT395" i="26" s="1"/>
  <c r="BK395" i="26"/>
  <c r="N395" i="26"/>
  <c r="AJ395" i="26"/>
  <c r="AK395" i="26" s="1"/>
  <c r="A396" i="26"/>
  <c r="B396" i="26"/>
  <c r="F396" i="26" s="1"/>
  <c r="H396" i="26"/>
  <c r="L396" i="26"/>
  <c r="C396" i="26"/>
  <c r="U396" i="26" s="1"/>
  <c r="Q396" i="26"/>
  <c r="W396" i="26"/>
  <c r="P395" i="26"/>
  <c r="O395" i="26"/>
  <c r="D396" i="26"/>
  <c r="V652" i="55"/>
  <c r="X651" i="55"/>
  <c r="S651" i="55"/>
  <c r="E653" i="55"/>
  <c r="M652" i="55"/>
  <c r="AL395" i="26" l="1"/>
  <c r="AM395" i="26" s="1"/>
  <c r="AU395" i="26" s="1"/>
  <c r="AS396" i="26"/>
  <c r="BJ396" i="26" s="1"/>
  <c r="E397" i="26"/>
  <c r="AF396" i="26"/>
  <c r="AN396" i="26" s="1"/>
  <c r="V396" i="26"/>
  <c r="R396" i="26"/>
  <c r="A397" i="26"/>
  <c r="G396" i="26"/>
  <c r="K396" i="26"/>
  <c r="M396" i="26" s="1"/>
  <c r="X396" i="26"/>
  <c r="H397" i="26"/>
  <c r="S395" i="26"/>
  <c r="T395" i="26" s="1"/>
  <c r="BC395" i="26" s="1"/>
  <c r="P396" i="26"/>
  <c r="O396" i="26"/>
  <c r="AP396" i="26"/>
  <c r="N652" i="55"/>
  <c r="A653" i="55"/>
  <c r="B653" i="55"/>
  <c r="P653" i="55" s="1"/>
  <c r="H653" i="55"/>
  <c r="Q653" i="55"/>
  <c r="K653" i="55"/>
  <c r="L653" i="55" s="1"/>
  <c r="C653" i="55"/>
  <c r="AL396" i="26" l="1"/>
  <c r="AM396" i="26" s="1"/>
  <c r="AU396" i="26" s="1"/>
  <c r="Q397" i="26"/>
  <c r="C397" i="26"/>
  <c r="W397" i="26"/>
  <c r="B397" i="26"/>
  <c r="L397" i="26"/>
  <c r="S396" i="26"/>
  <c r="T396" i="26" s="1"/>
  <c r="BL396" i="26" s="1"/>
  <c r="V397" i="26"/>
  <c r="AO397" i="26" s="1"/>
  <c r="W653" i="55"/>
  <c r="D653" i="55"/>
  <c r="E654" i="55" s="1"/>
  <c r="BK396" i="26"/>
  <c r="AO396" i="26"/>
  <c r="AT396" i="26" s="1"/>
  <c r="BL395" i="26"/>
  <c r="F653" i="55"/>
  <c r="AJ396" i="26"/>
  <c r="AK396" i="26" s="1"/>
  <c r="N396" i="26"/>
  <c r="O653" i="55"/>
  <c r="S652" i="55"/>
  <c r="X652" i="55"/>
  <c r="G653" i="55"/>
  <c r="U397" i="26"/>
  <c r="AS397" i="26"/>
  <c r="BJ397" i="26" s="1"/>
  <c r="BC396" i="26" l="1"/>
  <c r="G397" i="26"/>
  <c r="D397" i="26"/>
  <c r="K397" i="26"/>
  <c r="M397" i="26" s="1"/>
  <c r="F397" i="26"/>
  <c r="R397" i="26" s="1"/>
  <c r="X397" i="26"/>
  <c r="BK397" i="26" s="1"/>
  <c r="AF397" i="26"/>
  <c r="AN397" i="26" s="1"/>
  <c r="AP397" i="26"/>
  <c r="AT397" i="26" s="1"/>
  <c r="M653" i="55"/>
  <c r="N653" i="55" s="1"/>
  <c r="AV395" i="55"/>
  <c r="BT395" i="26"/>
  <c r="Q654" i="55"/>
  <c r="B654" i="55"/>
  <c r="P654" i="55" s="1"/>
  <c r="C654" i="55"/>
  <c r="U654" i="55" s="1"/>
  <c r="A654" i="55"/>
  <c r="K654" i="55"/>
  <c r="L654" i="55" s="1"/>
  <c r="H654" i="55"/>
  <c r="E398" i="26" l="1"/>
  <c r="O397" i="26"/>
  <c r="P397" i="26"/>
  <c r="N397" i="26"/>
  <c r="AJ397" i="26"/>
  <c r="AK397" i="26" s="1"/>
  <c r="V654" i="55"/>
  <c r="BT396" i="26"/>
  <c r="AV396" i="55"/>
  <c r="W654" i="55"/>
  <c r="D654" i="55"/>
  <c r="M654" i="55" s="1"/>
  <c r="S653" i="55"/>
  <c r="X653" i="55"/>
  <c r="F654" i="55"/>
  <c r="G654" i="55"/>
  <c r="O654" i="55"/>
  <c r="AL397" i="26" l="1"/>
  <c r="AM397" i="26" s="1"/>
  <c r="AU397" i="26" s="1"/>
  <c r="S397" i="26"/>
  <c r="T397" i="26" s="1"/>
  <c r="BC397" i="26" s="1"/>
  <c r="A398" i="26"/>
  <c r="Q398" i="26"/>
  <c r="H398" i="26"/>
  <c r="C398" i="26"/>
  <c r="AS398" i="26" s="1"/>
  <c r="BJ398" i="26" s="1"/>
  <c r="B398" i="26"/>
  <c r="G398" i="26" s="1"/>
  <c r="L398" i="26"/>
  <c r="W398" i="26"/>
  <c r="D398" i="26"/>
  <c r="E655" i="55"/>
  <c r="N654" i="55"/>
  <c r="X398" i="26" l="1"/>
  <c r="K398" i="26"/>
  <c r="M398" i="26" s="1"/>
  <c r="N398" i="26" s="1"/>
  <c r="F398" i="26"/>
  <c r="R398" i="26" s="1"/>
  <c r="V398" i="26"/>
  <c r="AO398" i="26" s="1"/>
  <c r="AP398" i="26"/>
  <c r="U398" i="26"/>
  <c r="AF398" i="26" s="1"/>
  <c r="AN398" i="26" s="1"/>
  <c r="E399" i="26"/>
  <c r="O398" i="26"/>
  <c r="P398" i="26"/>
  <c r="BL397" i="26"/>
  <c r="S654" i="55"/>
  <c r="X654" i="55"/>
  <c r="H655" i="55"/>
  <c r="B655" i="55"/>
  <c r="G655" i="55" s="1"/>
  <c r="K655" i="55"/>
  <c r="L655" i="55" s="1"/>
  <c r="C655" i="55"/>
  <c r="U655" i="55" s="1"/>
  <c r="A655" i="55"/>
  <c r="Q655" i="55"/>
  <c r="AL398" i="26" l="1"/>
  <c r="AM398" i="26" s="1"/>
  <c r="AU398" i="26" s="1"/>
  <c r="AJ398" i="26"/>
  <c r="AK398" i="26" s="1"/>
  <c r="AT398" i="26"/>
  <c r="BT397" i="26"/>
  <c r="AV397" i="55"/>
  <c r="S398" i="26"/>
  <c r="T398" i="26" s="1"/>
  <c r="BC398" i="26" s="1"/>
  <c r="Q399" i="26"/>
  <c r="B399" i="26"/>
  <c r="D399" i="26"/>
  <c r="L399" i="26"/>
  <c r="F399" i="26"/>
  <c r="R399" i="26" s="1"/>
  <c r="C399" i="26"/>
  <c r="AP399" i="26" s="1"/>
  <c r="W399" i="26"/>
  <c r="G399" i="26"/>
  <c r="H399" i="26"/>
  <c r="A399" i="26"/>
  <c r="BK398" i="26"/>
  <c r="D655" i="55"/>
  <c r="M655" i="55" s="1"/>
  <c r="W655" i="55"/>
  <c r="O655" i="55"/>
  <c r="P655" i="55"/>
  <c r="V655" i="55" s="1"/>
  <c r="F655" i="55"/>
  <c r="O399" i="26" l="1"/>
  <c r="P399" i="26"/>
  <c r="X399" i="26"/>
  <c r="AS399" i="26"/>
  <c r="BJ399" i="26" s="1"/>
  <c r="V399" i="26"/>
  <c r="AO399" i="26" s="1"/>
  <c r="AT399" i="26" s="1"/>
  <c r="U399" i="26"/>
  <c r="AF399" i="26" s="1"/>
  <c r="AN399" i="26" s="1"/>
  <c r="E400" i="26"/>
  <c r="BL398" i="26"/>
  <c r="E656" i="55"/>
  <c r="K399" i="26"/>
  <c r="M399" i="26" s="1"/>
  <c r="N655" i="55"/>
  <c r="X655" i="55" s="1"/>
  <c r="Q656" i="55"/>
  <c r="A656" i="55"/>
  <c r="H656" i="55"/>
  <c r="B656" i="55"/>
  <c r="P656" i="55" s="1"/>
  <c r="K656" i="55"/>
  <c r="L656" i="55" s="1"/>
  <c r="C656" i="55"/>
  <c r="AL399" i="26" l="1"/>
  <c r="AM399" i="26" s="1"/>
  <c r="AU399" i="26" s="1"/>
  <c r="BT398" i="26"/>
  <c r="AV398" i="55"/>
  <c r="N399" i="26"/>
  <c r="AJ399" i="26"/>
  <c r="AK399" i="26" s="1"/>
  <c r="H400" i="26"/>
  <c r="L400" i="26"/>
  <c r="A400" i="26"/>
  <c r="B400" i="26"/>
  <c r="X400" i="26" s="1"/>
  <c r="Q400" i="26"/>
  <c r="W400" i="26"/>
  <c r="C400" i="26"/>
  <c r="BK399" i="26"/>
  <c r="S399" i="26"/>
  <c r="T399" i="26" s="1"/>
  <c r="BC399" i="26" s="1"/>
  <c r="G656" i="55"/>
  <c r="W656" i="55"/>
  <c r="F656" i="55"/>
  <c r="U656" i="55"/>
  <c r="V656" i="55" s="1"/>
  <c r="S655" i="55"/>
  <c r="O656" i="55"/>
  <c r="D656" i="55"/>
  <c r="M656" i="55" s="1"/>
  <c r="BL399" i="26" l="1"/>
  <c r="V400" i="26"/>
  <c r="BK400" i="26" s="1"/>
  <c r="AS400" i="26"/>
  <c r="BJ400" i="26" s="1"/>
  <c r="U400" i="26"/>
  <c r="AF400" i="26" s="1"/>
  <c r="AN400" i="26" s="1"/>
  <c r="D400" i="26"/>
  <c r="G400" i="26"/>
  <c r="AP400" i="26"/>
  <c r="F400" i="26"/>
  <c r="R400" i="26" s="1"/>
  <c r="K400" i="26"/>
  <c r="M400" i="26" s="1"/>
  <c r="N656" i="55"/>
  <c r="E657" i="55"/>
  <c r="P400" i="26" l="1"/>
  <c r="AJ400" i="26"/>
  <c r="AK400" i="26" s="1"/>
  <c r="N400" i="26"/>
  <c r="BT399" i="26"/>
  <c r="AV399" i="55"/>
  <c r="O400" i="26"/>
  <c r="E401" i="26"/>
  <c r="AO400" i="26"/>
  <c r="AT400" i="26" s="1"/>
  <c r="Q657" i="55"/>
  <c r="H657" i="55"/>
  <c r="C657" i="55"/>
  <c r="A657" i="55"/>
  <c r="K657" i="55"/>
  <c r="L657" i="55" s="1"/>
  <c r="B657" i="55"/>
  <c r="G657" i="55" s="1"/>
  <c r="O657" i="55"/>
  <c r="X656" i="55"/>
  <c r="S656" i="55"/>
  <c r="AL400" i="26" l="1"/>
  <c r="AM400" i="26" s="1"/>
  <c r="AU400" i="26" s="1"/>
  <c r="S400" i="26"/>
  <c r="T400" i="26" s="1"/>
  <c r="BC400" i="26" s="1"/>
  <c r="Q401" i="26"/>
  <c r="B401" i="26"/>
  <c r="D401" i="26" s="1"/>
  <c r="H401" i="26"/>
  <c r="A401" i="26"/>
  <c r="C401" i="26"/>
  <c r="W401" i="26"/>
  <c r="L401" i="26"/>
  <c r="U401" i="26"/>
  <c r="AF401" i="26" s="1"/>
  <c r="AN401" i="26" s="1"/>
  <c r="F401" i="26"/>
  <c r="R401" i="26" s="1"/>
  <c r="W657" i="55"/>
  <c r="U657" i="55"/>
  <c r="P657" i="55"/>
  <c r="D657" i="55"/>
  <c r="M657" i="55" s="1"/>
  <c r="F657" i="55"/>
  <c r="O401" i="26" l="1"/>
  <c r="AP401" i="26"/>
  <c r="BL400" i="26"/>
  <c r="X401" i="26"/>
  <c r="G401" i="26"/>
  <c r="E402" i="26"/>
  <c r="P401" i="26"/>
  <c r="V401" i="26"/>
  <c r="K401" i="26"/>
  <c r="M401" i="26" s="1"/>
  <c r="V657" i="55"/>
  <c r="N657" i="55"/>
  <c r="E658" i="55"/>
  <c r="AL401" i="26" l="1"/>
  <c r="AM401" i="26" s="1"/>
  <c r="AU401" i="26" s="1"/>
  <c r="AO401" i="26"/>
  <c r="AT401" i="26" s="1"/>
  <c r="BK401" i="26"/>
  <c r="BT400" i="26"/>
  <c r="AV400" i="55"/>
  <c r="S401" i="26"/>
  <c r="T401" i="26" s="1"/>
  <c r="BC401" i="26" s="1"/>
  <c r="AJ401" i="26"/>
  <c r="AK401" i="26" s="1"/>
  <c r="N401" i="26"/>
  <c r="L402" i="26"/>
  <c r="Q402" i="26"/>
  <c r="A402" i="26"/>
  <c r="C402" i="26"/>
  <c r="V402" i="26" s="1"/>
  <c r="H402" i="26"/>
  <c r="B402" i="26"/>
  <c r="F402" i="26" s="1"/>
  <c r="R402" i="26" s="1"/>
  <c r="W402" i="26"/>
  <c r="U402" i="26"/>
  <c r="AF402" i="26" s="1"/>
  <c r="AN402" i="26" s="1"/>
  <c r="G402" i="26"/>
  <c r="D402" i="26"/>
  <c r="AP402" i="26"/>
  <c r="K402" i="26"/>
  <c r="M402" i="26" s="1"/>
  <c r="N402" i="26" s="1"/>
  <c r="S657" i="55"/>
  <c r="X657" i="55"/>
  <c r="Q658" i="55"/>
  <c r="A658" i="55"/>
  <c r="B658" i="55"/>
  <c r="D658" i="55" s="1"/>
  <c r="M658" i="55" s="1"/>
  <c r="N658" i="55" s="1"/>
  <c r="C658" i="55"/>
  <c r="K658" i="55"/>
  <c r="L658" i="55" s="1"/>
  <c r="H658" i="55"/>
  <c r="F658" i="55"/>
  <c r="AO402" i="26" l="1"/>
  <c r="AT402" i="26" s="1"/>
  <c r="AJ402" i="26"/>
  <c r="AK402" i="26" s="1"/>
  <c r="X402" i="26"/>
  <c r="BK402" i="26" s="1"/>
  <c r="O402" i="26"/>
  <c r="AS402" i="26"/>
  <c r="BJ402" i="26" s="1"/>
  <c r="E403" i="26"/>
  <c r="P402" i="26"/>
  <c r="BL401" i="26"/>
  <c r="P658" i="55"/>
  <c r="X658" i="55"/>
  <c r="G658" i="55"/>
  <c r="U658" i="55"/>
  <c r="V658" i="55" s="1"/>
  <c r="E659" i="55"/>
  <c r="W658" i="55"/>
  <c r="O658" i="55"/>
  <c r="S658" i="55" s="1"/>
  <c r="AL402" i="26" l="1"/>
  <c r="AM402" i="26" s="1"/>
  <c r="AU402" i="26" s="1"/>
  <c r="A403" i="26"/>
  <c r="AO403" i="26"/>
  <c r="Q403" i="26"/>
  <c r="C403" i="26"/>
  <c r="H403" i="26"/>
  <c r="B403" i="26"/>
  <c r="L403" i="26"/>
  <c r="W403" i="26"/>
  <c r="U403" i="26"/>
  <c r="AP403" i="26"/>
  <c r="V403" i="26"/>
  <c r="AV401" i="55"/>
  <c r="BT401" i="26"/>
  <c r="S402" i="26"/>
  <c r="T402" i="26" s="1"/>
  <c r="BC402" i="26" s="1"/>
  <c r="C659" i="55"/>
  <c r="A659" i="55"/>
  <c r="Q659" i="55"/>
  <c r="K659" i="55"/>
  <c r="L659" i="55" s="1"/>
  <c r="B659" i="55"/>
  <c r="W659" i="55" s="1"/>
  <c r="H659" i="55"/>
  <c r="U659" i="55"/>
  <c r="V659" i="55" s="1"/>
  <c r="F659" i="55"/>
  <c r="P659" i="55"/>
  <c r="D659" i="55"/>
  <c r="M659" i="55" s="1"/>
  <c r="G659" i="55"/>
  <c r="AT403" i="26" l="1"/>
  <c r="X403" i="26"/>
  <c r="BK403" i="26" s="1"/>
  <c r="BL402" i="26"/>
  <c r="G403" i="26"/>
  <c r="K403" i="26"/>
  <c r="M403" i="26" s="1"/>
  <c r="AS403" i="26"/>
  <c r="BJ403" i="26" s="1"/>
  <c r="AF403" i="26"/>
  <c r="AN403" i="26" s="1"/>
  <c r="F403" i="26"/>
  <c r="R403" i="26" s="1"/>
  <c r="D403" i="26"/>
  <c r="E404" i="26" s="1"/>
  <c r="N659" i="55"/>
  <c r="X659" i="55" s="1"/>
  <c r="O659" i="55"/>
  <c r="S659" i="55" s="1"/>
  <c r="E660" i="55"/>
  <c r="P403" i="26" l="1"/>
  <c r="O403" i="26"/>
  <c r="A404" i="26"/>
  <c r="Q404" i="26"/>
  <c r="L404" i="26"/>
  <c r="C404" i="26"/>
  <c r="U404" i="26" s="1"/>
  <c r="W404" i="26"/>
  <c r="H404" i="26"/>
  <c r="B404" i="26"/>
  <c r="AV402" i="55"/>
  <c r="BT402" i="26"/>
  <c r="X404" i="26"/>
  <c r="K404" i="26"/>
  <c r="M404" i="26" s="1"/>
  <c r="N403" i="26"/>
  <c r="AJ403" i="26"/>
  <c r="AK403" i="26" s="1"/>
  <c r="B660" i="55"/>
  <c r="P660" i="55" s="1"/>
  <c r="K660" i="55"/>
  <c r="L660" i="55" s="1"/>
  <c r="Q660" i="55"/>
  <c r="H660" i="55"/>
  <c r="A660" i="55"/>
  <c r="C660" i="55"/>
  <c r="U660" i="55" s="1"/>
  <c r="AL403" i="26" l="1"/>
  <c r="AM403" i="26" s="1"/>
  <c r="AU403" i="26" s="1"/>
  <c r="AJ404" i="26"/>
  <c r="AK404" i="26" s="1"/>
  <c r="S403" i="26"/>
  <c r="T403" i="26" s="1"/>
  <c r="BC403" i="26" s="1"/>
  <c r="D660" i="55"/>
  <c r="M660" i="55" s="1"/>
  <c r="AF404" i="26"/>
  <c r="AN404" i="26" s="1"/>
  <c r="AS404" i="26"/>
  <c r="BJ404" i="26" s="1"/>
  <c r="N404" i="26"/>
  <c r="V404" i="26"/>
  <c r="F660" i="55"/>
  <c r="G404" i="26"/>
  <c r="AP404" i="26"/>
  <c r="F404" i="26"/>
  <c r="R404" i="26" s="1"/>
  <c r="D404" i="26"/>
  <c r="W660" i="55"/>
  <c r="E661" i="55"/>
  <c r="H661" i="55" s="1"/>
  <c r="V660" i="55"/>
  <c r="O660" i="55"/>
  <c r="G660" i="55"/>
  <c r="E405" i="26" l="1"/>
  <c r="P404" i="26"/>
  <c r="O404" i="26"/>
  <c r="BK404" i="26"/>
  <c r="AO404" i="26"/>
  <c r="AT404" i="26" s="1"/>
  <c r="Q661" i="55"/>
  <c r="BL403" i="26"/>
  <c r="B661" i="55"/>
  <c r="F661" i="55" s="1"/>
  <c r="K661" i="55"/>
  <c r="L661" i="55" s="1"/>
  <c r="C661" i="55"/>
  <c r="O661" i="55" s="1"/>
  <c r="A661" i="55"/>
  <c r="G661" i="55"/>
  <c r="N660" i="55"/>
  <c r="W661" i="55"/>
  <c r="P661" i="55"/>
  <c r="AL404" i="26" l="1"/>
  <c r="AM404" i="26" s="1"/>
  <c r="AU404" i="26" s="1"/>
  <c r="D661" i="55"/>
  <c r="M661" i="55" s="1"/>
  <c r="BT403" i="26"/>
  <c r="AV403" i="55"/>
  <c r="S404" i="26"/>
  <c r="T404" i="26" s="1"/>
  <c r="BC404" i="26" s="1"/>
  <c r="B405" i="26"/>
  <c r="C405" i="26"/>
  <c r="AS405" i="26" s="1"/>
  <c r="BJ405" i="26" s="1"/>
  <c r="A405" i="26"/>
  <c r="Q405" i="26"/>
  <c r="W405" i="26"/>
  <c r="H405" i="26"/>
  <c r="L405" i="26"/>
  <c r="AP405" i="26"/>
  <c r="D405" i="26"/>
  <c r="K405" i="26"/>
  <c r="M405" i="26" s="1"/>
  <c r="G405" i="26"/>
  <c r="U661" i="55"/>
  <c r="V661" i="55" s="1"/>
  <c r="E662" i="55"/>
  <c r="A662" i="55" s="1"/>
  <c r="N661" i="55"/>
  <c r="S660" i="55"/>
  <c r="X660" i="55"/>
  <c r="BL404" i="26" l="1"/>
  <c r="X405" i="26"/>
  <c r="V405" i="26"/>
  <c r="F405" i="26"/>
  <c r="R405" i="26" s="1"/>
  <c r="O405" i="26"/>
  <c r="P405" i="26"/>
  <c r="K662" i="55"/>
  <c r="L662" i="55" s="1"/>
  <c r="U405" i="26"/>
  <c r="AF405" i="26" s="1"/>
  <c r="AN405" i="26" s="1"/>
  <c r="AJ405" i="26"/>
  <c r="AK405" i="26" s="1"/>
  <c r="N405" i="26"/>
  <c r="E406" i="26"/>
  <c r="C662" i="55"/>
  <c r="O662" i="55" s="1"/>
  <c r="H662" i="55"/>
  <c r="B662" i="55"/>
  <c r="D662" i="55" s="1"/>
  <c r="M662" i="55" s="1"/>
  <c r="N662" i="55" s="1"/>
  <c r="X662" i="55" s="1"/>
  <c r="Q662" i="55"/>
  <c r="U662" i="55"/>
  <c r="X661" i="55"/>
  <c r="S661" i="55"/>
  <c r="AL405" i="26" l="1"/>
  <c r="AM405" i="26" s="1"/>
  <c r="AU405" i="26" s="1"/>
  <c r="S405" i="26"/>
  <c r="T405" i="26" s="1"/>
  <c r="BC405" i="26" s="1"/>
  <c r="AV404" i="55"/>
  <c r="BT404" i="26"/>
  <c r="A406" i="26"/>
  <c r="Q406" i="26"/>
  <c r="W406" i="26"/>
  <c r="H406" i="26"/>
  <c r="B406" i="26"/>
  <c r="G406" i="26" s="1"/>
  <c r="C406" i="26"/>
  <c r="L406" i="26"/>
  <c r="AS406" i="26"/>
  <c r="BJ406" i="26" s="1"/>
  <c r="X406" i="26"/>
  <c r="K406" i="26"/>
  <c r="M406" i="26" s="1"/>
  <c r="U406" i="26"/>
  <c r="AF406" i="26" s="1"/>
  <c r="AN406" i="26" s="1"/>
  <c r="AP406" i="26"/>
  <c r="BK405" i="26"/>
  <c r="AO405" i="26"/>
  <c r="AT405" i="26" s="1"/>
  <c r="F662" i="55"/>
  <c r="P662" i="55"/>
  <c r="V662" i="55" s="1"/>
  <c r="E663" i="55"/>
  <c r="S662" i="55"/>
  <c r="G662" i="55"/>
  <c r="W662" i="55"/>
  <c r="N406" i="26" l="1"/>
  <c r="AJ406" i="26"/>
  <c r="AK406" i="26" s="1"/>
  <c r="D406" i="26"/>
  <c r="E407" i="26" s="1"/>
  <c r="BL405" i="26"/>
  <c r="P406" i="26"/>
  <c r="F406" i="26"/>
  <c r="R406" i="26" s="1"/>
  <c r="V406" i="26"/>
  <c r="BK406" i="26" s="1"/>
  <c r="H663" i="55"/>
  <c r="K663" i="55"/>
  <c r="L663" i="55" s="1"/>
  <c r="C663" i="55"/>
  <c r="F663" i="55"/>
  <c r="B663" i="55"/>
  <c r="P663" i="55" s="1"/>
  <c r="Q663" i="55"/>
  <c r="G663" i="55"/>
  <c r="A663" i="55"/>
  <c r="O406" i="26" l="1"/>
  <c r="AO406" i="26"/>
  <c r="AT406" i="26" s="1"/>
  <c r="BT405" i="26"/>
  <c r="AV405" i="55"/>
  <c r="W407" i="26"/>
  <c r="Q407" i="26"/>
  <c r="L407" i="26"/>
  <c r="C407" i="26"/>
  <c r="H407" i="26"/>
  <c r="A407" i="26"/>
  <c r="B407" i="26"/>
  <c r="F407" i="26"/>
  <c r="R407" i="26" s="1"/>
  <c r="D407" i="26"/>
  <c r="P407" i="26" s="1"/>
  <c r="O663" i="55"/>
  <c r="U663" i="55"/>
  <c r="V663" i="55" s="1"/>
  <c r="D663" i="55"/>
  <c r="M663" i="55" s="1"/>
  <c r="W663" i="55"/>
  <c r="AL406" i="26" l="1"/>
  <c r="AM406" i="26" s="1"/>
  <c r="AU406" i="26" s="1"/>
  <c r="U407" i="26"/>
  <c r="V407" i="26"/>
  <c r="BK407" i="26" s="1"/>
  <c r="AS407" i="26"/>
  <c r="BJ407" i="26" s="1"/>
  <c r="E408" i="26"/>
  <c r="O407" i="26"/>
  <c r="S407" i="26" s="1"/>
  <c r="T407" i="26" s="1"/>
  <c r="BL407" i="26" s="1"/>
  <c r="G407" i="26"/>
  <c r="K407" i="26"/>
  <c r="M407" i="26" s="1"/>
  <c r="X407" i="26"/>
  <c r="S406" i="26"/>
  <c r="T406" i="26" s="1"/>
  <c r="BC406" i="26" s="1"/>
  <c r="AP407" i="26"/>
  <c r="AF407" i="26"/>
  <c r="AN407" i="26" s="1"/>
  <c r="E664" i="55"/>
  <c r="N663" i="55"/>
  <c r="BC407" i="26" l="1"/>
  <c r="AL407" i="26"/>
  <c r="AM407" i="26" s="1"/>
  <c r="AU407" i="26" s="1"/>
  <c r="AJ407" i="26"/>
  <c r="AK407" i="26" s="1"/>
  <c r="N407" i="26"/>
  <c r="BL406" i="26"/>
  <c r="H408" i="26"/>
  <c r="L408" i="26"/>
  <c r="A408" i="26"/>
  <c r="W408" i="26"/>
  <c r="B408" i="26"/>
  <c r="C408" i="26"/>
  <c r="Q408" i="26"/>
  <c r="AO407" i="26"/>
  <c r="AT407" i="26" s="1"/>
  <c r="X663" i="55"/>
  <c r="S663" i="55"/>
  <c r="C664" i="55"/>
  <c r="U664" i="55" s="1"/>
  <c r="H664" i="55"/>
  <c r="B664" i="55"/>
  <c r="F664" i="55" s="1"/>
  <c r="K664" i="55"/>
  <c r="L664" i="55" s="1"/>
  <c r="A664" i="55"/>
  <c r="Q664" i="55"/>
  <c r="BT406" i="26" l="1"/>
  <c r="AV406" i="55"/>
  <c r="U408" i="26"/>
  <c r="AF408" i="26" s="1"/>
  <c r="AN408" i="26" s="1"/>
  <c r="AS408" i="26"/>
  <c r="BJ408" i="26" s="1"/>
  <c r="V408" i="26"/>
  <c r="AO408" i="26"/>
  <c r="F408" i="26"/>
  <c r="R408" i="26" s="1"/>
  <c r="X408" i="26"/>
  <c r="AP408" i="26"/>
  <c r="G408" i="26"/>
  <c r="D408" i="26"/>
  <c r="K408" i="26"/>
  <c r="M408" i="26" s="1"/>
  <c r="G664" i="55"/>
  <c r="W664" i="55"/>
  <c r="O664" i="55"/>
  <c r="P664" i="55"/>
  <c r="V664" i="55" s="1"/>
  <c r="D664" i="55"/>
  <c r="N408" i="26" l="1"/>
  <c r="AJ408" i="26"/>
  <c r="AK408" i="26" s="1"/>
  <c r="AT408" i="26"/>
  <c r="AV407" i="55"/>
  <c r="BT407" i="26"/>
  <c r="E409" i="26"/>
  <c r="P408" i="26"/>
  <c r="O408" i="26"/>
  <c r="BK408" i="26"/>
  <c r="E665" i="55"/>
  <c r="M664" i="55"/>
  <c r="AL408" i="26" l="1"/>
  <c r="AM408" i="26" s="1"/>
  <c r="AU408" i="26" s="1"/>
  <c r="C409" i="26"/>
  <c r="W409" i="26"/>
  <c r="A409" i="26"/>
  <c r="H409" i="26"/>
  <c r="B409" i="26"/>
  <c r="D409" i="26" s="1"/>
  <c r="L409" i="26"/>
  <c r="Q409" i="26"/>
  <c r="V409" i="26"/>
  <c r="S408" i="26"/>
  <c r="T408" i="26" s="1"/>
  <c r="BC408" i="26" s="1"/>
  <c r="N664" i="55"/>
  <c r="A665" i="55"/>
  <c r="Q665" i="55"/>
  <c r="H665" i="55"/>
  <c r="B665" i="55"/>
  <c r="P665" i="55" s="1"/>
  <c r="C665" i="55"/>
  <c r="K665" i="55"/>
  <c r="L665" i="55" s="1"/>
  <c r="F409" i="26" l="1"/>
  <c r="R409" i="26" s="1"/>
  <c r="O409" i="26"/>
  <c r="S409" i="26" s="1"/>
  <c r="T409" i="26" s="1"/>
  <c r="BC409" i="26" s="1"/>
  <c r="K409" i="26"/>
  <c r="M409" i="26" s="1"/>
  <c r="AJ409" i="26" s="1"/>
  <c r="AK409" i="26" s="1"/>
  <c r="G409" i="26"/>
  <c r="P409" i="26"/>
  <c r="AS409" i="26"/>
  <c r="BJ409" i="26" s="1"/>
  <c r="E410" i="26"/>
  <c r="D665" i="55"/>
  <c r="M665" i="55" s="1"/>
  <c r="N665" i="55" s="1"/>
  <c r="U409" i="26"/>
  <c r="AF409" i="26" s="1"/>
  <c r="AN409" i="26" s="1"/>
  <c r="AP409" i="26"/>
  <c r="AO409" i="26"/>
  <c r="BL408" i="26"/>
  <c r="X409" i="26"/>
  <c r="BK409" i="26" s="1"/>
  <c r="W665" i="55"/>
  <c r="F665" i="55"/>
  <c r="X665" i="55"/>
  <c r="O665" i="55"/>
  <c r="E666" i="55"/>
  <c r="G665" i="55"/>
  <c r="S664" i="55"/>
  <c r="X664" i="55"/>
  <c r="N409" i="26" l="1"/>
  <c r="AL409" i="26"/>
  <c r="AM409" i="26" s="1"/>
  <c r="AU409" i="26" s="1"/>
  <c r="AT409" i="26"/>
  <c r="AV408" i="55"/>
  <c r="BT408" i="26"/>
  <c r="Q410" i="26"/>
  <c r="H410" i="26"/>
  <c r="B410" i="26"/>
  <c r="D410" i="26" s="1"/>
  <c r="C410" i="26"/>
  <c r="X410" i="26" s="1"/>
  <c r="W410" i="26"/>
  <c r="L410" i="26"/>
  <c r="A410" i="26"/>
  <c r="F410" i="26"/>
  <c r="AS410" i="26"/>
  <c r="BJ410" i="26" s="1"/>
  <c r="O410" i="26"/>
  <c r="K410" i="26"/>
  <c r="P410" i="26"/>
  <c r="AP410" i="26"/>
  <c r="G410" i="26"/>
  <c r="U410" i="26"/>
  <c r="AF410" i="26" s="1"/>
  <c r="AN410" i="26" s="1"/>
  <c r="BL409" i="26"/>
  <c r="S665" i="55"/>
  <c r="B666" i="55"/>
  <c r="G666" i="55" s="1"/>
  <c r="H666" i="55"/>
  <c r="C666" i="55"/>
  <c r="U666" i="55" s="1"/>
  <c r="P666" i="55"/>
  <c r="A666" i="55"/>
  <c r="Q666" i="55"/>
  <c r="K666" i="55"/>
  <c r="L666" i="55" s="1"/>
  <c r="R410" i="26" l="1"/>
  <c r="M410" i="26"/>
  <c r="AV409" i="55"/>
  <c r="BT409" i="26"/>
  <c r="V410" i="26"/>
  <c r="AO410" i="26" s="1"/>
  <c r="AT410" i="26" s="1"/>
  <c r="E411" i="26"/>
  <c r="V666" i="55"/>
  <c r="F666" i="55"/>
  <c r="W666" i="55"/>
  <c r="D666" i="55"/>
  <c r="M666" i="55" s="1"/>
  <c r="N666" i="55" s="1"/>
  <c r="O666" i="55"/>
  <c r="N410" i="26" l="1"/>
  <c r="AJ410" i="26"/>
  <c r="AK410" i="26" s="1"/>
  <c r="BK410" i="26"/>
  <c r="AL410" i="26"/>
  <c r="S410" i="26"/>
  <c r="T410" i="26" s="1"/>
  <c r="B411" i="26"/>
  <c r="C411" i="26"/>
  <c r="AP411" i="26" s="1"/>
  <c r="W411" i="26"/>
  <c r="H411" i="26"/>
  <c r="L411" i="26"/>
  <c r="Q411" i="26"/>
  <c r="A411" i="26"/>
  <c r="D411" i="26"/>
  <c r="K411" i="26"/>
  <c r="M411" i="26" s="1"/>
  <c r="U411" i="26"/>
  <c r="AF411" i="26" s="1"/>
  <c r="AN411" i="26" s="1"/>
  <c r="F411" i="26"/>
  <c r="R411" i="26" s="1"/>
  <c r="E667" i="55"/>
  <c r="Q667" i="55" s="1"/>
  <c r="C667" i="55"/>
  <c r="U667" i="55" s="1"/>
  <c r="H667" i="55"/>
  <c r="A667" i="55"/>
  <c r="K667" i="55"/>
  <c r="L667" i="55" s="1"/>
  <c r="X666" i="55"/>
  <c r="S666" i="55"/>
  <c r="AM410" i="26" l="1"/>
  <c r="AU410" i="26" s="1"/>
  <c r="V411" i="26"/>
  <c r="AO411" i="26" s="1"/>
  <c r="AT411" i="26" s="1"/>
  <c r="BC410" i="26"/>
  <c r="BL410" i="26"/>
  <c r="X411" i="26"/>
  <c r="AS411" i="26"/>
  <c r="BJ411" i="26" s="1"/>
  <c r="E412" i="26"/>
  <c r="P667" i="55"/>
  <c r="B667" i="55"/>
  <c r="D667" i="55" s="1"/>
  <c r="G411" i="26"/>
  <c r="O411" i="26"/>
  <c r="N411" i="26"/>
  <c r="AJ411" i="26"/>
  <c r="AK411" i="26" s="1"/>
  <c r="P411" i="26"/>
  <c r="BK411" i="26"/>
  <c r="V667" i="55"/>
  <c r="M667" i="55"/>
  <c r="G667" i="55"/>
  <c r="O667" i="55"/>
  <c r="E668" i="55"/>
  <c r="W667" i="55"/>
  <c r="F667" i="55"/>
  <c r="AL411" i="26" l="1"/>
  <c r="AM411" i="26" s="1"/>
  <c r="AU411" i="26" s="1"/>
  <c r="BT410" i="26"/>
  <c r="AV410" i="55"/>
  <c r="S411" i="26"/>
  <c r="T411" i="26" s="1"/>
  <c r="BC411" i="26" s="1"/>
  <c r="B412" i="26"/>
  <c r="H412" i="26"/>
  <c r="L412" i="26"/>
  <c r="C412" i="26"/>
  <c r="AP412" i="26" s="1"/>
  <c r="Q412" i="26"/>
  <c r="W412" i="26"/>
  <c r="A412" i="26"/>
  <c r="F412" i="26"/>
  <c r="R412" i="26" s="1"/>
  <c r="D412" i="26"/>
  <c r="O412" i="26"/>
  <c r="AS412" i="26"/>
  <c r="BJ412" i="26" s="1"/>
  <c r="K412" i="26"/>
  <c r="M412" i="26" s="1"/>
  <c r="N667" i="55"/>
  <c r="X667" i="55" s="1"/>
  <c r="A668" i="55"/>
  <c r="Q668" i="55"/>
  <c r="K668" i="55"/>
  <c r="L668" i="55" s="1"/>
  <c r="C668" i="55"/>
  <c r="O668" i="55" s="1"/>
  <c r="B668" i="55"/>
  <c r="D668" i="55" s="1"/>
  <c r="H668" i="55"/>
  <c r="S667" i="55"/>
  <c r="S412" i="26" l="1"/>
  <c r="T412" i="26" s="1"/>
  <c r="BL412" i="26" s="1"/>
  <c r="X412" i="26"/>
  <c r="U412" i="26"/>
  <c r="AF412" i="26" s="1"/>
  <c r="AN412" i="26" s="1"/>
  <c r="AJ412" i="26"/>
  <c r="AK412" i="26" s="1"/>
  <c r="N412" i="26"/>
  <c r="G412" i="26"/>
  <c r="P412" i="26"/>
  <c r="V412" i="26"/>
  <c r="E413" i="26"/>
  <c r="BL411" i="26"/>
  <c r="P668" i="55"/>
  <c r="G668" i="55"/>
  <c r="M668" i="55"/>
  <c r="F668" i="55"/>
  <c r="U668" i="55"/>
  <c r="V668" i="55" s="1"/>
  <c r="W668" i="55"/>
  <c r="E669" i="55"/>
  <c r="AL412" i="26" l="1"/>
  <c r="AM412" i="26" s="1"/>
  <c r="AU412" i="26" s="1"/>
  <c r="BC412" i="26"/>
  <c r="BK412" i="26"/>
  <c r="AO412" i="26"/>
  <c r="AT412" i="26" s="1"/>
  <c r="BT411" i="26"/>
  <c r="AV411" i="55"/>
  <c r="A413" i="26"/>
  <c r="H413" i="26"/>
  <c r="W413" i="26"/>
  <c r="B413" i="26"/>
  <c r="C413" i="26"/>
  <c r="V413" i="26" s="1"/>
  <c r="Q413" i="26"/>
  <c r="L413" i="26"/>
  <c r="N668" i="55"/>
  <c r="H669" i="55"/>
  <c r="K669" i="55"/>
  <c r="L669" i="55" s="1"/>
  <c r="C669" i="55"/>
  <c r="O669" i="55" s="1"/>
  <c r="B669" i="55"/>
  <c r="G669" i="55" s="1"/>
  <c r="Q669" i="55"/>
  <c r="A669" i="55"/>
  <c r="D669" i="55"/>
  <c r="M669" i="55" s="1"/>
  <c r="F669" i="55"/>
  <c r="U413" i="26" l="1"/>
  <c r="AO413" i="26"/>
  <c r="AF413" i="26"/>
  <c r="AN413" i="26" s="1"/>
  <c r="X413" i="26"/>
  <c r="BK413" i="26" s="1"/>
  <c r="K413" i="26"/>
  <c r="M413" i="26" s="1"/>
  <c r="G413" i="26"/>
  <c r="D413" i="26"/>
  <c r="AP413" i="26"/>
  <c r="F413" i="26"/>
  <c r="R413" i="26" s="1"/>
  <c r="P669" i="55"/>
  <c r="O413" i="26"/>
  <c r="E414" i="26"/>
  <c r="AV412" i="55"/>
  <c r="BT412" i="26"/>
  <c r="S668" i="55"/>
  <c r="X668" i="55"/>
  <c r="U669" i="55"/>
  <c r="V669" i="55" s="1"/>
  <c r="E670" i="55"/>
  <c r="W669" i="55"/>
  <c r="N669" i="55"/>
  <c r="AS414" i="26" l="1"/>
  <c r="BJ414" i="26" s="1"/>
  <c r="P413" i="26"/>
  <c r="B414" i="26"/>
  <c r="F414" i="26" s="1"/>
  <c r="R414" i="26" s="1"/>
  <c r="Q414" i="26"/>
  <c r="A414" i="26"/>
  <c r="C414" i="26"/>
  <c r="V414" i="26" s="1"/>
  <c r="W414" i="26"/>
  <c r="L414" i="26"/>
  <c r="H414" i="26"/>
  <c r="AJ413" i="26"/>
  <c r="AK413" i="26" s="1"/>
  <c r="N413" i="26"/>
  <c r="S413" i="26"/>
  <c r="T413" i="26" s="1"/>
  <c r="BC413" i="26" s="1"/>
  <c r="AT413" i="26"/>
  <c r="K670" i="55"/>
  <c r="L670" i="55" s="1"/>
  <c r="Q670" i="55"/>
  <c r="B670" i="55"/>
  <c r="P670" i="55" s="1"/>
  <c r="C670" i="55"/>
  <c r="A670" i="55"/>
  <c r="H670" i="55"/>
  <c r="F670" i="55"/>
  <c r="X669" i="55"/>
  <c r="S669" i="55"/>
  <c r="AL413" i="26" l="1"/>
  <c r="AM413" i="26" s="1"/>
  <c r="AU413" i="26" s="1"/>
  <c r="D414" i="26"/>
  <c r="AO414" i="26"/>
  <c r="BL413" i="26"/>
  <c r="U414" i="26"/>
  <c r="AF414" i="26" s="1"/>
  <c r="AN414" i="26" s="1"/>
  <c r="X414" i="26"/>
  <c r="BK414" i="26" s="1"/>
  <c r="K414" i="26"/>
  <c r="M414" i="26" s="1"/>
  <c r="G414" i="26"/>
  <c r="AP414" i="26"/>
  <c r="G670" i="55"/>
  <c r="O670" i="55"/>
  <c r="U670" i="55"/>
  <c r="V670" i="55" s="1"/>
  <c r="W670" i="55"/>
  <c r="D670" i="55"/>
  <c r="M670" i="55" s="1"/>
  <c r="AT414" i="26" l="1"/>
  <c r="P414" i="26"/>
  <c r="E415" i="26"/>
  <c r="O414" i="26"/>
  <c r="S414" i="26" s="1"/>
  <c r="T414" i="26" s="1"/>
  <c r="N414" i="26"/>
  <c r="AJ414" i="26"/>
  <c r="AK414" i="26" s="1"/>
  <c r="BT413" i="26"/>
  <c r="AV413" i="55"/>
  <c r="E671" i="55"/>
  <c r="N670" i="55"/>
  <c r="AL414" i="26" l="1"/>
  <c r="AM414" i="26" s="1"/>
  <c r="AU414" i="26" s="1"/>
  <c r="BL414" i="26"/>
  <c r="BC414" i="26"/>
  <c r="W415" i="26"/>
  <c r="Q415" i="26"/>
  <c r="B415" i="26"/>
  <c r="L415" i="26"/>
  <c r="C415" i="26"/>
  <c r="A415" i="26"/>
  <c r="H415" i="26"/>
  <c r="X670" i="55"/>
  <c r="S670" i="55"/>
  <c r="Q671" i="55"/>
  <c r="C671" i="55"/>
  <c r="O671" i="55" s="1"/>
  <c r="A671" i="55"/>
  <c r="B671" i="55"/>
  <c r="G671" i="55" s="1"/>
  <c r="H671" i="55"/>
  <c r="K671" i="55"/>
  <c r="L671" i="55" s="1"/>
  <c r="D415" i="26" l="1"/>
  <c r="X415" i="26"/>
  <c r="G415" i="26"/>
  <c r="AP415" i="26"/>
  <c r="K415" i="26"/>
  <c r="M415" i="26" s="1"/>
  <c r="F415" i="26"/>
  <c r="R415" i="26" s="1"/>
  <c r="U415" i="26"/>
  <c r="AF415" i="26" s="1"/>
  <c r="AN415" i="26" s="1"/>
  <c r="V415" i="26"/>
  <c r="BK415" i="26" s="1"/>
  <c r="AS415" i="26"/>
  <c r="BJ415" i="26" s="1"/>
  <c r="AV414" i="55"/>
  <c r="BT414" i="26"/>
  <c r="O415" i="26"/>
  <c r="S415" i="26" s="1"/>
  <c r="T415" i="26" s="1"/>
  <c r="BC415" i="26" s="1"/>
  <c r="AO415" i="26"/>
  <c r="F671" i="55"/>
  <c r="W671" i="55"/>
  <c r="U671" i="55"/>
  <c r="D671" i="55"/>
  <c r="M671" i="55" s="1"/>
  <c r="P671" i="55"/>
  <c r="AT415" i="26" l="1"/>
  <c r="AJ415" i="26"/>
  <c r="AK415" i="26" s="1"/>
  <c r="N415" i="26"/>
  <c r="E416" i="26"/>
  <c r="P415" i="26"/>
  <c r="E672" i="55"/>
  <c r="N671" i="55"/>
  <c r="V671" i="55"/>
  <c r="BL415" i="26"/>
  <c r="AV415" i="55"/>
  <c r="BT415" i="26"/>
  <c r="AL415" i="26" l="1"/>
  <c r="AM415" i="26" s="1"/>
  <c r="AU415" i="26" s="1"/>
  <c r="V416" i="26"/>
  <c r="B416" i="26"/>
  <c r="A416" i="26"/>
  <c r="W416" i="26"/>
  <c r="AS416" i="26"/>
  <c r="BJ416" i="26" s="1"/>
  <c r="L416" i="26"/>
  <c r="C416" i="26"/>
  <c r="U416" i="26" s="1"/>
  <c r="Q416" i="26"/>
  <c r="H416" i="26"/>
  <c r="S671" i="55"/>
  <c r="X671" i="55"/>
  <c r="A672" i="55"/>
  <c r="Q672" i="55"/>
  <c r="C672" i="55"/>
  <c r="O672" i="55" s="1"/>
  <c r="H672" i="55"/>
  <c r="B672" i="55"/>
  <c r="D672" i="55" s="1"/>
  <c r="M672" i="55" s="1"/>
  <c r="K672" i="55"/>
  <c r="L672" i="55" s="1"/>
  <c r="P672" i="55"/>
  <c r="X416" i="26" l="1"/>
  <c r="D416" i="26"/>
  <c r="O416" i="26" s="1"/>
  <c r="S416" i="26" s="1"/>
  <c r="T416" i="26" s="1"/>
  <c r="G416" i="26"/>
  <c r="AP416" i="26"/>
  <c r="AF416" i="26"/>
  <c r="AN416" i="26" s="1"/>
  <c r="F416" i="26"/>
  <c r="R416" i="26" s="1"/>
  <c r="K416" i="26"/>
  <c r="M416" i="26" s="1"/>
  <c r="BK416" i="26"/>
  <c r="AO416" i="26"/>
  <c r="F672" i="55"/>
  <c r="G672" i="55"/>
  <c r="W672" i="55"/>
  <c r="N672" i="55"/>
  <c r="U672" i="55"/>
  <c r="V672" i="55" s="1"/>
  <c r="E673" i="55"/>
  <c r="AT416" i="26" l="1"/>
  <c r="BL416" i="26"/>
  <c r="BC416" i="26"/>
  <c r="P416" i="26"/>
  <c r="E417" i="26"/>
  <c r="N416" i="26"/>
  <c r="AJ416" i="26"/>
  <c r="AK416" i="26" s="1"/>
  <c r="X672" i="55"/>
  <c r="S672" i="55"/>
  <c r="H673" i="55"/>
  <c r="K673" i="55"/>
  <c r="L673" i="55" s="1"/>
  <c r="B673" i="55"/>
  <c r="G673" i="55" s="1"/>
  <c r="C673" i="55"/>
  <c r="O673" i="55" s="1"/>
  <c r="A673" i="55"/>
  <c r="Q673" i="55"/>
  <c r="D673" i="55"/>
  <c r="M673" i="55" s="1"/>
  <c r="N673" i="55" s="1"/>
  <c r="F673" i="55"/>
  <c r="P673" i="55"/>
  <c r="AL416" i="26" l="1"/>
  <c r="AM416" i="26" s="1"/>
  <c r="AU416" i="26" s="1"/>
  <c r="L417" i="26"/>
  <c r="B417" i="26"/>
  <c r="Q417" i="26"/>
  <c r="H417" i="26"/>
  <c r="W417" i="26"/>
  <c r="C417" i="26"/>
  <c r="A417" i="26"/>
  <c r="BT416" i="26"/>
  <c r="AV416" i="55"/>
  <c r="W673" i="55"/>
  <c r="X673" i="55"/>
  <c r="S673" i="55"/>
  <c r="U673" i="55"/>
  <c r="V673" i="55" s="1"/>
  <c r="E674" i="55"/>
  <c r="V417" i="26" l="1"/>
  <c r="AS417" i="26"/>
  <c r="BJ417" i="26" s="1"/>
  <c r="U417" i="26"/>
  <c r="AF417" i="26" s="1"/>
  <c r="AN417" i="26" s="1"/>
  <c r="G417" i="26"/>
  <c r="F417" i="26"/>
  <c r="R417" i="26" s="1"/>
  <c r="K417" i="26"/>
  <c r="M417" i="26" s="1"/>
  <c r="X417" i="26"/>
  <c r="AP417" i="26"/>
  <c r="D417" i="26"/>
  <c r="P417" i="26" s="1"/>
  <c r="K674" i="55"/>
  <c r="L674" i="55" s="1"/>
  <c r="Q674" i="55"/>
  <c r="C674" i="55"/>
  <c r="U674" i="55" s="1"/>
  <c r="H674" i="55"/>
  <c r="A674" i="55"/>
  <c r="B674" i="55"/>
  <c r="F674" i="55" s="1"/>
  <c r="N417" i="26" l="1"/>
  <c r="AJ417" i="26"/>
  <c r="AK417" i="26" s="1"/>
  <c r="O417" i="26"/>
  <c r="S417" i="26" s="1"/>
  <c r="T417" i="26" s="1"/>
  <c r="BC417" i="26" s="1"/>
  <c r="E418" i="26"/>
  <c r="BK417" i="26"/>
  <c r="AO417" i="26"/>
  <c r="AT417" i="26" s="1"/>
  <c r="O674" i="55"/>
  <c r="D674" i="55"/>
  <c r="E675" i="55" s="1"/>
  <c r="G674" i="55"/>
  <c r="W674" i="55"/>
  <c r="P674" i="55"/>
  <c r="V674" i="55" s="1"/>
  <c r="AL417" i="26" l="1"/>
  <c r="AM417" i="26" s="1"/>
  <c r="AU417" i="26" s="1"/>
  <c r="A418" i="26"/>
  <c r="B418" i="26"/>
  <c r="W418" i="26"/>
  <c r="Q418" i="26"/>
  <c r="H418" i="26"/>
  <c r="C418" i="26"/>
  <c r="L418" i="26"/>
  <c r="BL417" i="26"/>
  <c r="M674" i="55"/>
  <c r="C675" i="55"/>
  <c r="O675" i="55" s="1"/>
  <c r="H675" i="55"/>
  <c r="Q675" i="55"/>
  <c r="A675" i="55"/>
  <c r="K675" i="55"/>
  <c r="L675" i="55" s="1"/>
  <c r="B675" i="55"/>
  <c r="P675" i="55" s="1"/>
  <c r="BT417" i="26"/>
  <c r="AV417" i="55"/>
  <c r="D418" i="26" l="1"/>
  <c r="X418" i="26"/>
  <c r="K418" i="26"/>
  <c r="M418" i="26" s="1"/>
  <c r="P418" i="26"/>
  <c r="AP418" i="26"/>
  <c r="G418" i="26"/>
  <c r="O418" i="26"/>
  <c r="S418" i="26" s="1"/>
  <c r="T418" i="26" s="1"/>
  <c r="BC418" i="26" s="1"/>
  <c r="F418" i="26"/>
  <c r="R418" i="26" s="1"/>
  <c r="V418" i="26"/>
  <c r="U418" i="26"/>
  <c r="AF418" i="26" s="1"/>
  <c r="AN418" i="26" s="1"/>
  <c r="E419" i="26"/>
  <c r="AS418" i="26"/>
  <c r="BJ418" i="26" s="1"/>
  <c r="D675" i="55"/>
  <c r="N674" i="55"/>
  <c r="F675" i="55"/>
  <c r="G675" i="55"/>
  <c r="U675" i="55"/>
  <c r="V675" i="55" s="1"/>
  <c r="W675" i="55"/>
  <c r="E676" i="55"/>
  <c r="Q676" i="55" s="1"/>
  <c r="X674" i="55"/>
  <c r="S674" i="55"/>
  <c r="M675" i="55"/>
  <c r="BL418" i="26" l="1"/>
  <c r="W419" i="26"/>
  <c r="B419" i="26"/>
  <c r="A419" i="26"/>
  <c r="C419" i="26"/>
  <c r="L419" i="26"/>
  <c r="H419" i="26"/>
  <c r="Q419" i="26"/>
  <c r="N418" i="26"/>
  <c r="AJ418" i="26"/>
  <c r="AK418" i="26" s="1"/>
  <c r="G419" i="26"/>
  <c r="D419" i="26"/>
  <c r="AO418" i="26"/>
  <c r="AT418" i="26" s="1"/>
  <c r="BK418" i="26"/>
  <c r="O419" i="26"/>
  <c r="B676" i="55"/>
  <c r="P676" i="55" s="1"/>
  <c r="A676" i="55"/>
  <c r="H676" i="55"/>
  <c r="C676" i="55"/>
  <c r="U676" i="55" s="1"/>
  <c r="K676" i="55"/>
  <c r="L676" i="55" s="1"/>
  <c r="F676" i="55"/>
  <c r="N675" i="55"/>
  <c r="AV418" i="55"/>
  <c r="BT418" i="26"/>
  <c r="AL418" i="26" l="1"/>
  <c r="AM418" i="26" s="1"/>
  <c r="AU418" i="26" s="1"/>
  <c r="P419" i="26"/>
  <c r="U419" i="26"/>
  <c r="AF419" i="26" s="1"/>
  <c r="AN419" i="26" s="1"/>
  <c r="E420" i="26"/>
  <c r="V419" i="26"/>
  <c r="AS419" i="26"/>
  <c r="BJ419" i="26" s="1"/>
  <c r="F419" i="26"/>
  <c r="R419" i="26" s="1"/>
  <c r="X419" i="26"/>
  <c r="AP419" i="26"/>
  <c r="K419" i="26"/>
  <c r="M419" i="26" s="1"/>
  <c r="G676" i="55"/>
  <c r="V676" i="55"/>
  <c r="D676" i="55"/>
  <c r="M676" i="55" s="1"/>
  <c r="N676" i="55" s="1"/>
  <c r="O676" i="55"/>
  <c r="W676" i="55"/>
  <c r="X675" i="55"/>
  <c r="S675" i="55"/>
  <c r="AL419" i="26" l="1"/>
  <c r="AM419" i="26" s="1"/>
  <c r="AU419" i="26" s="1"/>
  <c r="S419" i="26"/>
  <c r="T419" i="26" s="1"/>
  <c r="AJ419" i="26"/>
  <c r="AK419" i="26" s="1"/>
  <c r="N419" i="26"/>
  <c r="Q420" i="26"/>
  <c r="H420" i="26"/>
  <c r="A420" i="26"/>
  <c r="AO420" i="26"/>
  <c r="L420" i="26"/>
  <c r="W420" i="26"/>
  <c r="C420" i="26"/>
  <c r="V420" i="26" s="1"/>
  <c r="B420" i="26"/>
  <c r="F420" i="26" s="1"/>
  <c r="R420" i="26" s="1"/>
  <c r="AS420" i="26"/>
  <c r="BJ420" i="26" s="1"/>
  <c r="U420" i="26"/>
  <c r="AF420" i="26" s="1"/>
  <c r="AN420" i="26" s="1"/>
  <c r="D420" i="26"/>
  <c r="AO419" i="26"/>
  <c r="AT419" i="26" s="1"/>
  <c r="BK419" i="26"/>
  <c r="E677" i="55"/>
  <c r="B677" i="55" s="1"/>
  <c r="X676" i="55"/>
  <c r="S676" i="55"/>
  <c r="E421" i="26"/>
  <c r="P420" i="26"/>
  <c r="Q421" i="26"/>
  <c r="H421" i="26" l="1"/>
  <c r="BC419" i="26"/>
  <c r="BL419" i="26"/>
  <c r="K420" i="26"/>
  <c r="M420" i="26" s="1"/>
  <c r="O420" i="26"/>
  <c r="S420" i="26" s="1"/>
  <c r="T420" i="26" s="1"/>
  <c r="BL420" i="26" s="1"/>
  <c r="AP420" i="26"/>
  <c r="AT420" i="26" s="1"/>
  <c r="X420" i="26"/>
  <c r="BK420" i="26" s="1"/>
  <c r="G420" i="26"/>
  <c r="G677" i="55"/>
  <c r="F677" i="55"/>
  <c r="K677" i="55"/>
  <c r="L677" i="55" s="1"/>
  <c r="A677" i="55"/>
  <c r="Q677" i="55"/>
  <c r="H677" i="55"/>
  <c r="D677" i="55"/>
  <c r="C677" i="55"/>
  <c r="O677" i="55" s="1"/>
  <c r="L421" i="26"/>
  <c r="B421" i="26"/>
  <c r="F421" i="26" s="1"/>
  <c r="R421" i="26" s="1"/>
  <c r="A421" i="26"/>
  <c r="C421" i="26"/>
  <c r="AS421" i="26" s="1"/>
  <c r="BJ421" i="26" s="1"/>
  <c r="W421" i="26"/>
  <c r="V421" i="26"/>
  <c r="P677" i="55"/>
  <c r="W677" i="55"/>
  <c r="M677" i="55"/>
  <c r="E678" i="55"/>
  <c r="AL420" i="26" l="1"/>
  <c r="AM420" i="26" s="1"/>
  <c r="AU420" i="26" s="1"/>
  <c r="AO421" i="26"/>
  <c r="N420" i="26"/>
  <c r="AJ420" i="26"/>
  <c r="AK420" i="26" s="1"/>
  <c r="BC420" i="26"/>
  <c r="BT420" i="26" s="1"/>
  <c r="BT419" i="26"/>
  <c r="AV419" i="55"/>
  <c r="D421" i="26"/>
  <c r="P421" i="26" s="1"/>
  <c r="U421" i="26"/>
  <c r="K421" i="26"/>
  <c r="M421" i="26" s="1"/>
  <c r="AJ421" i="26" s="1"/>
  <c r="AK421" i="26" s="1"/>
  <c r="AF421" i="26"/>
  <c r="AN421" i="26" s="1"/>
  <c r="AP421" i="26"/>
  <c r="X421" i="26"/>
  <c r="BK421" i="26" s="1"/>
  <c r="G421" i="26"/>
  <c r="Q678" i="55"/>
  <c r="K678" i="55"/>
  <c r="L678" i="55" s="1"/>
  <c r="B678" i="55"/>
  <c r="F678" i="55" s="1"/>
  <c r="C678" i="55"/>
  <c r="H678" i="55"/>
  <c r="G678" i="55"/>
  <c r="A678" i="55"/>
  <c r="N677" i="55"/>
  <c r="O421" i="26"/>
  <c r="S421" i="26" s="1"/>
  <c r="T421" i="26" s="1"/>
  <c r="BL421" i="26" s="1"/>
  <c r="N421" i="26" l="1"/>
  <c r="AT421" i="26"/>
  <c r="E422" i="26"/>
  <c r="BC421" i="26"/>
  <c r="BT421" i="26" s="1"/>
  <c r="AV420" i="55"/>
  <c r="W678" i="55"/>
  <c r="D678" i="55"/>
  <c r="M678" i="55" s="1"/>
  <c r="N678" i="55" s="1"/>
  <c r="P678" i="55"/>
  <c r="X677" i="55"/>
  <c r="S677" i="55"/>
  <c r="O678" i="55"/>
  <c r="U678" i="55"/>
  <c r="A422" i="26"/>
  <c r="C422" i="26"/>
  <c r="AS422" i="26" s="1"/>
  <c r="BJ422" i="26" s="1"/>
  <c r="L422" i="26"/>
  <c r="H422" i="26"/>
  <c r="W422" i="26"/>
  <c r="Q422" i="26"/>
  <c r="B422" i="26"/>
  <c r="AV421" i="55"/>
  <c r="AL421" i="26" l="1"/>
  <c r="AM421" i="26" s="1"/>
  <c r="AU421" i="26" s="1"/>
  <c r="V422" i="26"/>
  <c r="E679" i="55"/>
  <c r="K679" i="55" s="1"/>
  <c r="L679" i="55" s="1"/>
  <c r="V678" i="55"/>
  <c r="S678" i="55"/>
  <c r="X678" i="55"/>
  <c r="F422" i="26"/>
  <c r="R422" i="26" s="1"/>
  <c r="G422" i="26"/>
  <c r="D422" i="26"/>
  <c r="X422" i="26"/>
  <c r="U422" i="26"/>
  <c r="AF422" i="26" s="1"/>
  <c r="AN422" i="26" s="1"/>
  <c r="AP422" i="26"/>
  <c r="K422" i="26"/>
  <c r="M422" i="26" s="1"/>
  <c r="A679" i="55" l="1"/>
  <c r="Q679" i="55"/>
  <c r="C679" i="55"/>
  <c r="U679" i="55" s="1"/>
  <c r="B679" i="55"/>
  <c r="G679" i="55" s="1"/>
  <c r="H679" i="55"/>
  <c r="AO422" i="26"/>
  <c r="AT422" i="26" s="1"/>
  <c r="BK422" i="26"/>
  <c r="AJ422" i="26"/>
  <c r="AK422" i="26" s="1"/>
  <c r="N422" i="26"/>
  <c r="P422" i="26"/>
  <c r="E423" i="26"/>
  <c r="O422" i="26"/>
  <c r="AL422" i="26" l="1"/>
  <c r="AM422" i="26" s="1"/>
  <c r="AU422" i="26" s="1"/>
  <c r="O679" i="55"/>
  <c r="W679" i="55"/>
  <c r="P679" i="55"/>
  <c r="V679" i="55" s="1"/>
  <c r="D679" i="55"/>
  <c r="M679" i="55" s="1"/>
  <c r="N679" i="55" s="1"/>
  <c r="F679" i="55"/>
  <c r="W423" i="26"/>
  <c r="C423" i="26"/>
  <c r="V423" i="26" s="1"/>
  <c r="B423" i="26"/>
  <c r="A423" i="26"/>
  <c r="H423" i="26"/>
  <c r="AS423" i="26"/>
  <c r="BJ423" i="26" s="1"/>
  <c r="Q423" i="26"/>
  <c r="L423" i="26"/>
  <c r="S422" i="26"/>
  <c r="T422" i="26" s="1"/>
  <c r="BC422" i="26" s="1"/>
  <c r="X423" i="26" l="1"/>
  <c r="U423" i="26"/>
  <c r="E680" i="55"/>
  <c r="H680" i="55" s="1"/>
  <c r="A680" i="55"/>
  <c r="C680" i="55"/>
  <c r="O680" i="55" s="1"/>
  <c r="B680" i="55"/>
  <c r="F680" i="55" s="1"/>
  <c r="U680" i="55"/>
  <c r="X679" i="55"/>
  <c r="S679" i="55"/>
  <c r="AF423" i="26"/>
  <c r="AN423" i="26" s="1"/>
  <c r="G423" i="26"/>
  <c r="AO423" i="26"/>
  <c r="BK423" i="26"/>
  <c r="D423" i="26"/>
  <c r="O423" i="26" s="1"/>
  <c r="BL422" i="26"/>
  <c r="AP423" i="26"/>
  <c r="K423" i="26"/>
  <c r="M423" i="26" s="1"/>
  <c r="F423" i="26"/>
  <c r="R423" i="26" s="1"/>
  <c r="K680" i="55" l="1"/>
  <c r="L680" i="55" s="1"/>
  <c r="Q680" i="55"/>
  <c r="W680" i="55"/>
  <c r="D680" i="55"/>
  <c r="M680" i="55" s="1"/>
  <c r="N680" i="55" s="1"/>
  <c r="X680" i="55" s="1"/>
  <c r="P680" i="55"/>
  <c r="V680" i="55" s="1"/>
  <c r="G680" i="55"/>
  <c r="AT423" i="26"/>
  <c r="S423" i="26"/>
  <c r="T423" i="26" s="1"/>
  <c r="BC423" i="26" s="1"/>
  <c r="P423" i="26"/>
  <c r="AJ423" i="26"/>
  <c r="AK423" i="26" s="1"/>
  <c r="N423" i="26"/>
  <c r="AV422" i="55"/>
  <c r="BT422" i="26"/>
  <c r="E424" i="26"/>
  <c r="AL423" i="26" l="1"/>
  <c r="AM423" i="26" s="1"/>
  <c r="AU423" i="26" s="1"/>
  <c r="E681" i="55"/>
  <c r="C681" i="55" s="1"/>
  <c r="O681" i="55" s="1"/>
  <c r="S680" i="55"/>
  <c r="W424" i="26"/>
  <c r="B424" i="26"/>
  <c r="A424" i="26"/>
  <c r="L424" i="26"/>
  <c r="H424" i="26"/>
  <c r="C424" i="26"/>
  <c r="V424" i="26" s="1"/>
  <c r="Q424" i="26"/>
  <c r="BL423" i="26"/>
  <c r="Q681" i="55" l="1"/>
  <c r="K681" i="55"/>
  <c r="L681" i="55" s="1"/>
  <c r="H681" i="55"/>
  <c r="B681" i="55"/>
  <c r="D681" i="55" s="1"/>
  <c r="M681" i="55" s="1"/>
  <c r="N681" i="55" s="1"/>
  <c r="A681" i="55"/>
  <c r="U681" i="55"/>
  <c r="AS424" i="26"/>
  <c r="BJ424" i="26" s="1"/>
  <c r="F424" i="26"/>
  <c r="R424" i="26" s="1"/>
  <c r="D424" i="26"/>
  <c r="P424" i="26" s="1"/>
  <c r="X424" i="26"/>
  <c r="BK424" i="26" s="1"/>
  <c r="AP424" i="26"/>
  <c r="K424" i="26"/>
  <c r="M424" i="26" s="1"/>
  <c r="G424" i="26"/>
  <c r="AO424" i="26"/>
  <c r="BT423" i="26"/>
  <c r="AV423" i="55"/>
  <c r="U424" i="26"/>
  <c r="AF424" i="26" s="1"/>
  <c r="AN424" i="26" s="1"/>
  <c r="X681" i="55" l="1"/>
  <c r="S681" i="55"/>
  <c r="E425" i="26"/>
  <c r="E682" i="55"/>
  <c r="G681" i="55"/>
  <c r="P681" i="55"/>
  <c r="V681" i="55" s="1"/>
  <c r="W681" i="55"/>
  <c r="F681" i="55"/>
  <c r="AT424" i="26"/>
  <c r="A682" i="55"/>
  <c r="B682" i="55"/>
  <c r="F682" i="55" s="1"/>
  <c r="K682" i="55"/>
  <c r="L682" i="55" s="1"/>
  <c r="C682" i="55"/>
  <c r="W682" i="55" s="1"/>
  <c r="H682" i="55"/>
  <c r="Q682" i="55"/>
  <c r="P682" i="55"/>
  <c r="G682" i="55"/>
  <c r="D682" i="55"/>
  <c r="M682" i="55" s="1"/>
  <c r="N682" i="55" s="1"/>
  <c r="O424" i="26"/>
  <c r="AJ424" i="26"/>
  <c r="AK424" i="26" s="1"/>
  <c r="N424" i="26"/>
  <c r="L425" i="26"/>
  <c r="Q425" i="26"/>
  <c r="AL424" i="26" l="1"/>
  <c r="AM424" i="26" s="1"/>
  <c r="AU424" i="26" s="1"/>
  <c r="B425" i="26"/>
  <c r="H425" i="26"/>
  <c r="C425" i="26"/>
  <c r="U425" i="26" s="1"/>
  <c r="A425" i="26"/>
  <c r="W425" i="26"/>
  <c r="V425" i="26"/>
  <c r="F425" i="26"/>
  <c r="X682" i="55"/>
  <c r="O682" i="55"/>
  <c r="S682" i="55" s="1"/>
  <c r="E683" i="55"/>
  <c r="S424" i="26"/>
  <c r="T424" i="26" s="1"/>
  <c r="BC424" i="26" s="1"/>
  <c r="U682" i="55"/>
  <c r="V682" i="55" s="1"/>
  <c r="D425" i="26"/>
  <c r="K425" i="26"/>
  <c r="M425" i="26" s="1"/>
  <c r="G425" i="26"/>
  <c r="R425" i="26"/>
  <c r="AP425" i="26" l="1"/>
  <c r="AF425" i="26"/>
  <c r="AN425" i="26" s="1"/>
  <c r="X425" i="26"/>
  <c r="BK425" i="26" s="1"/>
  <c r="P425" i="26"/>
  <c r="BL424" i="26"/>
  <c r="E426" i="26"/>
  <c r="B683" i="55"/>
  <c r="F683" i="55" s="1"/>
  <c r="Q683" i="55"/>
  <c r="A683" i="55"/>
  <c r="C683" i="55"/>
  <c r="K683" i="55"/>
  <c r="L683" i="55" s="1"/>
  <c r="H683" i="55"/>
  <c r="O683" i="55"/>
  <c r="AO425" i="26"/>
  <c r="O425" i="26"/>
  <c r="S425" i="26" s="1"/>
  <c r="T425" i="26" s="1"/>
  <c r="BC425" i="26" s="1"/>
  <c r="AJ425" i="26"/>
  <c r="AK425" i="26" s="1"/>
  <c r="N425" i="26"/>
  <c r="A426" i="26"/>
  <c r="B426" i="26"/>
  <c r="D426" i="26" s="1"/>
  <c r="C426" i="26"/>
  <c r="U426" i="26" s="1"/>
  <c r="Q426" i="26"/>
  <c r="W426" i="26"/>
  <c r="AT425" i="26" l="1"/>
  <c r="AL425" i="26"/>
  <c r="AM425" i="26" s="1"/>
  <c r="AU425" i="26" s="1"/>
  <c r="L426" i="26"/>
  <c r="H426" i="26"/>
  <c r="V426" i="26"/>
  <c r="D683" i="55"/>
  <c r="W683" i="55"/>
  <c r="P683" i="55"/>
  <c r="E684" i="55"/>
  <c r="AF426" i="26"/>
  <c r="AN426" i="26" s="1"/>
  <c r="M683" i="55"/>
  <c r="G683" i="55"/>
  <c r="U683" i="55"/>
  <c r="V683" i="55" s="1"/>
  <c r="BT424" i="26"/>
  <c r="AV424" i="55"/>
  <c r="K426" i="26"/>
  <c r="M426" i="26" s="1"/>
  <c r="AJ426" i="26" s="1"/>
  <c r="AK426" i="26" s="1"/>
  <c r="P426" i="26"/>
  <c r="F426" i="26"/>
  <c r="R426" i="26" s="1"/>
  <c r="AP426" i="26"/>
  <c r="AO426" i="26"/>
  <c r="O426" i="26"/>
  <c r="X426" i="26"/>
  <c r="G426" i="26"/>
  <c r="AS426" i="26"/>
  <c r="BJ426" i="26" s="1"/>
  <c r="E427" i="26"/>
  <c r="BL425" i="26"/>
  <c r="AL426" i="26" l="1"/>
  <c r="AM426" i="26" s="1"/>
  <c r="AU426" i="26" s="1"/>
  <c r="N426" i="26"/>
  <c r="S426" i="26"/>
  <c r="T426" i="26" s="1"/>
  <c r="H684" i="55"/>
  <c r="Q684" i="55"/>
  <c r="C684" i="55"/>
  <c r="B684" i="55"/>
  <c r="D684" i="55" s="1"/>
  <c r="A684" i="55"/>
  <c r="K684" i="55"/>
  <c r="L684" i="55" s="1"/>
  <c r="AT426" i="26"/>
  <c r="N683" i="55"/>
  <c r="BK426" i="26"/>
  <c r="H427" i="26"/>
  <c r="W427" i="26"/>
  <c r="Q427" i="26"/>
  <c r="C427" i="26"/>
  <c r="V427" i="26" s="1"/>
  <c r="A427" i="26"/>
  <c r="L427" i="26"/>
  <c r="B427" i="26"/>
  <c r="AV425" i="55"/>
  <c r="BT425" i="26"/>
  <c r="BL426" i="26" l="1"/>
  <c r="BC426" i="26"/>
  <c r="BT426" i="26" s="1"/>
  <c r="G684" i="55"/>
  <c r="W684" i="55"/>
  <c r="M684" i="55"/>
  <c r="G427" i="26"/>
  <c r="E685" i="55"/>
  <c r="H685" i="55" s="1"/>
  <c r="U684" i="55"/>
  <c r="X683" i="55"/>
  <c r="S683" i="55"/>
  <c r="F684" i="55"/>
  <c r="P684" i="55"/>
  <c r="O684" i="55"/>
  <c r="X427" i="26"/>
  <c r="BK427" i="26" s="1"/>
  <c r="AP427" i="26"/>
  <c r="K427" i="26"/>
  <c r="M427" i="26" s="1"/>
  <c r="AJ427" i="26" s="1"/>
  <c r="AK427" i="26" s="1"/>
  <c r="F427" i="26"/>
  <c r="R427" i="26" s="1"/>
  <c r="D427" i="26"/>
  <c r="O427" i="26" s="1"/>
  <c r="U427" i="26"/>
  <c r="AF427" i="26" s="1"/>
  <c r="AN427" i="26" s="1"/>
  <c r="AS427" i="26"/>
  <c r="BJ427" i="26" s="1"/>
  <c r="AO427" i="26"/>
  <c r="AV426" i="55" l="1"/>
  <c r="N684" i="55"/>
  <c r="V684" i="55"/>
  <c r="C685" i="55"/>
  <c r="E428" i="26"/>
  <c r="C428" i="26" s="1"/>
  <c r="K685" i="55"/>
  <c r="L685" i="55" s="1"/>
  <c r="B685" i="55"/>
  <c r="P685" i="55" s="1"/>
  <c r="N427" i="26"/>
  <c r="A685" i="55"/>
  <c r="P427" i="26"/>
  <c r="U685" i="55"/>
  <c r="Q685" i="55"/>
  <c r="S684" i="55"/>
  <c r="X684" i="55"/>
  <c r="O685" i="55"/>
  <c r="AT427" i="26"/>
  <c r="D685" i="55"/>
  <c r="M685" i="55" s="1"/>
  <c r="S427" i="26"/>
  <c r="T427" i="26" s="1"/>
  <c r="BC427" i="26" s="1"/>
  <c r="B428" i="26"/>
  <c r="D428" i="26" s="1"/>
  <c r="W428" i="26"/>
  <c r="AL427" i="26" l="1"/>
  <c r="AM427" i="26" s="1"/>
  <c r="AU427" i="26" s="1"/>
  <c r="G685" i="55"/>
  <c r="V685" i="55"/>
  <c r="H428" i="26"/>
  <c r="V428" i="26"/>
  <c r="A428" i="26"/>
  <c r="L428" i="26"/>
  <c r="W685" i="55"/>
  <c r="Q428" i="26"/>
  <c r="R428" i="26" s="1"/>
  <c r="F685" i="55"/>
  <c r="U428" i="26"/>
  <c r="AF428" i="26" s="1"/>
  <c r="AN428" i="26" s="1"/>
  <c r="AS428" i="26"/>
  <c r="BJ428" i="26" s="1"/>
  <c r="N685" i="55"/>
  <c r="E686" i="55"/>
  <c r="BL427" i="26"/>
  <c r="X428" i="26"/>
  <c r="BK428" i="26" s="1"/>
  <c r="F428" i="26"/>
  <c r="K428" i="26"/>
  <c r="M428" i="26" s="1"/>
  <c r="AP428" i="26"/>
  <c r="G428" i="26"/>
  <c r="AV427" i="55"/>
  <c r="BT427" i="26"/>
  <c r="O428" i="26"/>
  <c r="P428" i="26"/>
  <c r="E429" i="26"/>
  <c r="AL428" i="26" l="1"/>
  <c r="AM428" i="26" s="1"/>
  <c r="AU428" i="26" s="1"/>
  <c r="AO428" i="26"/>
  <c r="AT428" i="26" s="1"/>
  <c r="AJ428" i="26"/>
  <c r="AK428" i="26" s="1"/>
  <c r="Q686" i="55"/>
  <c r="A686" i="55"/>
  <c r="C686" i="55"/>
  <c r="U686" i="55" s="1"/>
  <c r="H686" i="55"/>
  <c r="B686" i="55"/>
  <c r="F686" i="55" s="1"/>
  <c r="K686" i="55"/>
  <c r="L686" i="55" s="1"/>
  <c r="D686" i="55"/>
  <c r="M686" i="55" s="1"/>
  <c r="N686" i="55" s="1"/>
  <c r="N428" i="26"/>
  <c r="S685" i="55"/>
  <c r="X685" i="55"/>
  <c r="H429" i="26"/>
  <c r="A429" i="26"/>
  <c r="L429" i="26"/>
  <c r="Q429" i="26"/>
  <c r="W429" i="26"/>
  <c r="C429" i="26"/>
  <c r="U429" i="26" s="1"/>
  <c r="B429" i="26"/>
  <c r="S428" i="26"/>
  <c r="T428" i="26" s="1"/>
  <c r="BC428" i="26" s="1"/>
  <c r="P686" i="55" l="1"/>
  <c r="G686" i="55"/>
  <c r="V686" i="55"/>
  <c r="V429" i="26"/>
  <c r="AO429" i="26" s="1"/>
  <c r="W686" i="55"/>
  <c r="F429" i="26"/>
  <c r="R429" i="26" s="1"/>
  <c r="X686" i="55"/>
  <c r="O686" i="55"/>
  <c r="S686" i="55" s="1"/>
  <c r="E687" i="55"/>
  <c r="AF429" i="26"/>
  <c r="AN429" i="26" s="1"/>
  <c r="K429" i="26"/>
  <c r="M429" i="26" s="1"/>
  <c r="AP429" i="26"/>
  <c r="AS429" i="26"/>
  <c r="BJ429" i="26" s="1"/>
  <c r="G429" i="26"/>
  <c r="BL428" i="26"/>
  <c r="X429" i="26"/>
  <c r="D429" i="26"/>
  <c r="P429" i="26" s="1"/>
  <c r="BK429" i="26" l="1"/>
  <c r="Q687" i="55"/>
  <c r="A687" i="55"/>
  <c r="B687" i="55"/>
  <c r="P687" i="55" s="1"/>
  <c r="H687" i="55"/>
  <c r="C687" i="55"/>
  <c r="U687" i="55" s="1"/>
  <c r="K687" i="55"/>
  <c r="L687" i="55" s="1"/>
  <c r="G687" i="55"/>
  <c r="N429" i="26"/>
  <c r="AJ429" i="26"/>
  <c r="AK429" i="26" s="1"/>
  <c r="AT429" i="26"/>
  <c r="BT428" i="26"/>
  <c r="AV428" i="55"/>
  <c r="E430" i="26"/>
  <c r="O429" i="26"/>
  <c r="AL429" i="26" l="1"/>
  <c r="AM429" i="26" s="1"/>
  <c r="AU429" i="26" s="1"/>
  <c r="D687" i="55"/>
  <c r="M687" i="55" s="1"/>
  <c r="F687" i="55"/>
  <c r="V687" i="55"/>
  <c r="W687" i="55"/>
  <c r="O687" i="55"/>
  <c r="E688" i="55"/>
  <c r="H430" i="26"/>
  <c r="W430" i="26"/>
  <c r="C430" i="26"/>
  <c r="V430" i="26" s="1"/>
  <c r="A430" i="26"/>
  <c r="B430" i="26"/>
  <c r="G430" i="26" s="1"/>
  <c r="Q430" i="26"/>
  <c r="L430" i="26"/>
  <c r="K430" i="26"/>
  <c r="U430" i="26"/>
  <c r="S429" i="26"/>
  <c r="T429" i="26" s="1"/>
  <c r="BC429" i="26" s="1"/>
  <c r="N687" i="55" l="1"/>
  <c r="AO430" i="26"/>
  <c r="F430" i="26"/>
  <c r="R430" i="26" s="1"/>
  <c r="AF430" i="26"/>
  <c r="AN430" i="26" s="1"/>
  <c r="H688" i="55"/>
  <c r="C688" i="55"/>
  <c r="B688" i="55"/>
  <c r="G688" i="55" s="1"/>
  <c r="Q688" i="55"/>
  <c r="A688" i="55"/>
  <c r="K688" i="55"/>
  <c r="L688" i="55" s="1"/>
  <c r="S687" i="55"/>
  <c r="X687" i="55"/>
  <c r="D430" i="26"/>
  <c r="O430" i="26" s="1"/>
  <c r="X430" i="26"/>
  <c r="BK430" i="26" s="1"/>
  <c r="BL429" i="26"/>
  <c r="AP430" i="26"/>
  <c r="M430" i="26"/>
  <c r="AS430" i="26"/>
  <c r="BJ430" i="26" s="1"/>
  <c r="E431" i="26"/>
  <c r="AT430" i="26" l="1"/>
  <c r="W688" i="55"/>
  <c r="D688" i="55"/>
  <c r="M688" i="55" s="1"/>
  <c r="P688" i="55"/>
  <c r="U688" i="55"/>
  <c r="O688" i="55"/>
  <c r="F688" i="55"/>
  <c r="P430" i="26"/>
  <c r="B431" i="26"/>
  <c r="F431" i="26" s="1"/>
  <c r="L431" i="26"/>
  <c r="C431" i="26"/>
  <c r="V431" i="26" s="1"/>
  <c r="H431" i="26"/>
  <c r="A431" i="26"/>
  <c r="Q431" i="26"/>
  <c r="W431" i="26"/>
  <c r="N430" i="26"/>
  <c r="AJ430" i="26"/>
  <c r="AK430" i="26" s="1"/>
  <c r="BT429" i="26"/>
  <c r="AV429" i="55"/>
  <c r="S430" i="26"/>
  <c r="T430" i="26" s="1"/>
  <c r="BC430" i="26" s="1"/>
  <c r="AL430" i="26" l="1"/>
  <c r="AM430" i="26" s="1"/>
  <c r="AU430" i="26" s="1"/>
  <c r="V688" i="55"/>
  <c r="E689" i="55"/>
  <c r="A689" i="55" s="1"/>
  <c r="U431" i="26"/>
  <c r="AF431" i="26" s="1"/>
  <c r="AN431" i="26" s="1"/>
  <c r="R431" i="26"/>
  <c r="N688" i="55"/>
  <c r="X688" i="55" s="1"/>
  <c r="Q689" i="55"/>
  <c r="C689" i="55"/>
  <c r="B689" i="55"/>
  <c r="G431" i="26"/>
  <c r="AP431" i="26"/>
  <c r="AO431" i="26"/>
  <c r="D431" i="26"/>
  <c r="AS431" i="26"/>
  <c r="BJ431" i="26" s="1"/>
  <c r="BL430" i="26"/>
  <c r="X431" i="26"/>
  <c r="BK431" i="26" s="1"/>
  <c r="K431" i="26"/>
  <c r="M431" i="26" s="1"/>
  <c r="H689" i="55" l="1"/>
  <c r="K689" i="55"/>
  <c r="L689" i="55" s="1"/>
  <c r="S688" i="55"/>
  <c r="D689" i="55"/>
  <c r="G689" i="55"/>
  <c r="P689" i="55"/>
  <c r="F689" i="55"/>
  <c r="W689" i="55"/>
  <c r="M689" i="55"/>
  <c r="O689" i="55"/>
  <c r="E690" i="55"/>
  <c r="P431" i="26"/>
  <c r="E432" i="26"/>
  <c r="AT431" i="26"/>
  <c r="N431" i="26"/>
  <c r="AJ431" i="26"/>
  <c r="AK431" i="26" s="1"/>
  <c r="BT430" i="26"/>
  <c r="AV430" i="55"/>
  <c r="O431" i="26"/>
  <c r="AL431" i="26" l="1"/>
  <c r="AM431" i="26" s="1"/>
  <c r="AU431" i="26" s="1"/>
  <c r="K690" i="55"/>
  <c r="L690" i="55" s="1"/>
  <c r="B690" i="55"/>
  <c r="G690" i="55" s="1"/>
  <c r="Q690" i="55"/>
  <c r="A690" i="55"/>
  <c r="H690" i="55"/>
  <c r="C690" i="55"/>
  <c r="O690" i="55" s="1"/>
  <c r="N689" i="55"/>
  <c r="D690" i="55"/>
  <c r="M690" i="55" s="1"/>
  <c r="N690" i="55" s="1"/>
  <c r="P690" i="55"/>
  <c r="S431" i="26"/>
  <c r="T431" i="26" s="1"/>
  <c r="BC431" i="26" s="1"/>
  <c r="W432" i="26"/>
  <c r="L432" i="26"/>
  <c r="A432" i="26"/>
  <c r="C432" i="26"/>
  <c r="AS432" i="26" s="1"/>
  <c r="BJ432" i="26" s="1"/>
  <c r="H432" i="26"/>
  <c r="Q432" i="26"/>
  <c r="B432" i="26"/>
  <c r="X432" i="26" l="1"/>
  <c r="V432" i="26"/>
  <c r="AO432" i="26" s="1"/>
  <c r="X690" i="55"/>
  <c r="F690" i="55"/>
  <c r="U432" i="26"/>
  <c r="E691" i="55"/>
  <c r="K691" i="55" s="1"/>
  <c r="L691" i="55" s="1"/>
  <c r="F432" i="26"/>
  <c r="R432" i="26" s="1"/>
  <c r="U690" i="55"/>
  <c r="V690" i="55" s="1"/>
  <c r="X689" i="55"/>
  <c r="S689" i="55"/>
  <c r="AF432" i="26"/>
  <c r="AN432" i="26" s="1"/>
  <c r="W690" i="55"/>
  <c r="G432" i="26"/>
  <c r="AP432" i="26"/>
  <c r="D432" i="26"/>
  <c r="E433" i="26" s="1"/>
  <c r="K432" i="26"/>
  <c r="M432" i="26" s="1"/>
  <c r="BL431" i="26"/>
  <c r="A691" i="55" l="1"/>
  <c r="Q691" i="55"/>
  <c r="C691" i="55"/>
  <c r="O691" i="55" s="1"/>
  <c r="B691" i="55"/>
  <c r="G691" i="55" s="1"/>
  <c r="H691" i="55"/>
  <c r="S690" i="55"/>
  <c r="C433" i="26"/>
  <c r="AS433" i="26" s="1"/>
  <c r="BJ433" i="26" s="1"/>
  <c r="H433" i="26"/>
  <c r="B433" i="26"/>
  <c r="D433" i="26" s="1"/>
  <c r="Q433" i="26"/>
  <c r="W433" i="26"/>
  <c r="L433" i="26"/>
  <c r="A433" i="26"/>
  <c r="P432" i="26"/>
  <c r="AV431" i="55"/>
  <c r="BT431" i="26"/>
  <c r="O432" i="26"/>
  <c r="S432" i="26" s="1"/>
  <c r="T432" i="26" s="1"/>
  <c r="BC432" i="26" s="1"/>
  <c r="AJ432" i="26"/>
  <c r="AK432" i="26" s="1"/>
  <c r="N432" i="26"/>
  <c r="AT432" i="26"/>
  <c r="BK432" i="26"/>
  <c r="AL432" i="26" l="1"/>
  <c r="AM432" i="26" s="1"/>
  <c r="AU432" i="26" s="1"/>
  <c r="V433" i="26"/>
  <c r="D691" i="55"/>
  <c r="P691" i="55"/>
  <c r="M691" i="55"/>
  <c r="F691" i="55"/>
  <c r="W691" i="55"/>
  <c r="U691" i="55"/>
  <c r="E692" i="55"/>
  <c r="AO433" i="26"/>
  <c r="G433" i="26"/>
  <c r="K433" i="26"/>
  <c r="M433" i="26" s="1"/>
  <c r="AJ433" i="26" s="1"/>
  <c r="AK433" i="26" s="1"/>
  <c r="U433" i="26"/>
  <c r="AF433" i="26" s="1"/>
  <c r="AN433" i="26" s="1"/>
  <c r="E434" i="26"/>
  <c r="O433" i="26"/>
  <c r="F433" i="26"/>
  <c r="R433" i="26" s="1"/>
  <c r="X433" i="26"/>
  <c r="BL432" i="26"/>
  <c r="P433" i="26"/>
  <c r="AP433" i="26"/>
  <c r="AL433" i="26" l="1"/>
  <c r="AM433" i="26" s="1"/>
  <c r="AU433" i="26" s="1"/>
  <c r="B434" i="26"/>
  <c r="V691" i="55"/>
  <c r="N691" i="55"/>
  <c r="C434" i="26"/>
  <c r="AP434" i="26" s="1"/>
  <c r="L434" i="26"/>
  <c r="W434" i="26"/>
  <c r="A434" i="26"/>
  <c r="C692" i="55"/>
  <c r="O692" i="55" s="1"/>
  <c r="K692" i="55"/>
  <c r="L692" i="55" s="1"/>
  <c r="B692" i="55"/>
  <c r="P692" i="55" s="1"/>
  <c r="H692" i="55"/>
  <c r="Q692" i="55"/>
  <c r="A692" i="55"/>
  <c r="G692" i="55"/>
  <c r="H434" i="26"/>
  <c r="Q434" i="26"/>
  <c r="S433" i="26"/>
  <c r="T433" i="26" s="1"/>
  <c r="AT433" i="26"/>
  <c r="BK433" i="26"/>
  <c r="N433" i="26"/>
  <c r="AV432" i="55"/>
  <c r="BT432" i="26"/>
  <c r="F434" i="26"/>
  <c r="D434" i="26"/>
  <c r="G434" i="26"/>
  <c r="K434" i="26"/>
  <c r="X434" i="26"/>
  <c r="BL433" i="26" l="1"/>
  <c r="BC433" i="26"/>
  <c r="U434" i="26"/>
  <c r="AF434" i="26" s="1"/>
  <c r="AN434" i="26" s="1"/>
  <c r="M434" i="26"/>
  <c r="AJ434" i="26" s="1"/>
  <c r="AK434" i="26" s="1"/>
  <c r="W692" i="55"/>
  <c r="V434" i="26"/>
  <c r="U692" i="55"/>
  <c r="V692" i="55" s="1"/>
  <c r="AS434" i="26"/>
  <c r="BJ434" i="26" s="1"/>
  <c r="F692" i="55"/>
  <c r="AO434" i="26"/>
  <c r="AT434" i="26" s="1"/>
  <c r="D692" i="55"/>
  <c r="M692" i="55" s="1"/>
  <c r="S691" i="55"/>
  <c r="X691" i="55"/>
  <c r="R434" i="26"/>
  <c r="E435" i="26"/>
  <c r="P434" i="26"/>
  <c r="O434" i="26"/>
  <c r="AV433" i="55"/>
  <c r="BT433" i="26"/>
  <c r="N434" i="26" l="1"/>
  <c r="AL434" i="26"/>
  <c r="AM434" i="26" s="1"/>
  <c r="AU434" i="26" s="1"/>
  <c r="BK434" i="26"/>
  <c r="N692" i="55"/>
  <c r="E693" i="55"/>
  <c r="K693" i="55" s="1"/>
  <c r="L693" i="55" s="1"/>
  <c r="S434" i="26"/>
  <c r="T434" i="26" s="1"/>
  <c r="BC434" i="26" s="1"/>
  <c r="C435" i="26"/>
  <c r="AS435" i="26" s="1"/>
  <c r="BJ435" i="26" s="1"/>
  <c r="A435" i="26"/>
  <c r="L435" i="26"/>
  <c r="Q435" i="26"/>
  <c r="B435" i="26"/>
  <c r="D435" i="26" s="1"/>
  <c r="W435" i="26"/>
  <c r="U435" i="26"/>
  <c r="H435" i="26"/>
  <c r="H693" i="55" l="1"/>
  <c r="Q693" i="55"/>
  <c r="V435" i="26"/>
  <c r="A693" i="55"/>
  <c r="S692" i="55"/>
  <c r="X692" i="55"/>
  <c r="C693" i="55"/>
  <c r="O693" i="55" s="1"/>
  <c r="B693" i="55"/>
  <c r="F693" i="55" s="1"/>
  <c r="K435" i="26"/>
  <c r="M435" i="26" s="1"/>
  <c r="N435" i="26" s="1"/>
  <c r="AF435" i="26"/>
  <c r="AN435" i="26" s="1"/>
  <c r="G435" i="26"/>
  <c r="O435" i="26"/>
  <c r="P435" i="26"/>
  <c r="X435" i="26"/>
  <c r="AO435" i="26"/>
  <c r="E436" i="26"/>
  <c r="AP435" i="26"/>
  <c r="F435" i="26"/>
  <c r="R435" i="26" s="1"/>
  <c r="BL434" i="26"/>
  <c r="AL435" i="26" l="1"/>
  <c r="AM435" i="26" s="1"/>
  <c r="AU435" i="26" s="1"/>
  <c r="G693" i="55"/>
  <c r="P693" i="55"/>
  <c r="D693" i="55"/>
  <c r="M693" i="55" s="1"/>
  <c r="W693" i="55"/>
  <c r="U693" i="55"/>
  <c r="V693" i="55" s="1"/>
  <c r="AJ435" i="26"/>
  <c r="AK435" i="26" s="1"/>
  <c r="BK435" i="26"/>
  <c r="Q436" i="26"/>
  <c r="C436" i="26"/>
  <c r="AS436" i="26" s="1"/>
  <c r="BJ436" i="26" s="1"/>
  <c r="W436" i="26"/>
  <c r="H436" i="26"/>
  <c r="L436" i="26"/>
  <c r="B436" i="26"/>
  <c r="A436" i="26"/>
  <c r="AT435" i="26"/>
  <c r="S435" i="26"/>
  <c r="T435" i="26" s="1"/>
  <c r="BC435" i="26" s="1"/>
  <c r="AV434" i="55"/>
  <c r="BT434" i="26"/>
  <c r="E694" i="55" l="1"/>
  <c r="B694" i="55" s="1"/>
  <c r="V436" i="26"/>
  <c r="N693" i="55"/>
  <c r="C694" i="55"/>
  <c r="O694" i="55" s="1"/>
  <c r="U436" i="26"/>
  <c r="AF436" i="26" s="1"/>
  <c r="AN436" i="26" s="1"/>
  <c r="G436" i="26"/>
  <c r="D436" i="26"/>
  <c r="F436" i="26"/>
  <c r="R436" i="26" s="1"/>
  <c r="BL435" i="26"/>
  <c r="X436" i="26"/>
  <c r="O436" i="26"/>
  <c r="AP436" i="26"/>
  <c r="K436" i="26"/>
  <c r="M436" i="26" s="1"/>
  <c r="AO436" i="26"/>
  <c r="H694" i="55" l="1"/>
  <c r="A694" i="55"/>
  <c r="Q694" i="55"/>
  <c r="K694" i="55"/>
  <c r="L694" i="55" s="1"/>
  <c r="W694" i="55"/>
  <c r="D694" i="55"/>
  <c r="M694" i="55" s="1"/>
  <c r="G694" i="55"/>
  <c r="P694" i="55"/>
  <c r="U694" i="55"/>
  <c r="S693" i="55"/>
  <c r="X693" i="55"/>
  <c r="F694" i="55"/>
  <c r="P436" i="26"/>
  <c r="AL436" i="26" s="1"/>
  <c r="E437" i="26"/>
  <c r="AT436" i="26"/>
  <c r="AJ436" i="26"/>
  <c r="AK436" i="26" s="1"/>
  <c r="N436" i="26"/>
  <c r="AV435" i="55"/>
  <c r="BT435" i="26"/>
  <c r="S436" i="26"/>
  <c r="T436" i="26" s="1"/>
  <c r="BC436" i="26" s="1"/>
  <c r="BK436" i="26"/>
  <c r="AM436" i="26" l="1"/>
  <c r="AU436" i="26" s="1"/>
  <c r="C437" i="26"/>
  <c r="V694" i="55"/>
  <c r="A437" i="26"/>
  <c r="L437" i="26"/>
  <c r="B437" i="26"/>
  <c r="G437" i="26" s="1"/>
  <c r="W437" i="26"/>
  <c r="Q437" i="26"/>
  <c r="E695" i="55"/>
  <c r="H437" i="26"/>
  <c r="N694" i="55"/>
  <c r="U437" i="26"/>
  <c r="K437" i="26"/>
  <c r="M437" i="26" s="1"/>
  <c r="BL436" i="26"/>
  <c r="F437" i="26" l="1"/>
  <c r="R437" i="26" s="1"/>
  <c r="D437" i="26"/>
  <c r="P437" i="26" s="1"/>
  <c r="AP437" i="26"/>
  <c r="V437" i="26"/>
  <c r="AO437" i="26" s="1"/>
  <c r="AF437" i="26"/>
  <c r="AN437" i="26" s="1"/>
  <c r="X437" i="26"/>
  <c r="BK437" i="26" s="1"/>
  <c r="H695" i="55"/>
  <c r="A695" i="55"/>
  <c r="Q695" i="55"/>
  <c r="B695" i="55"/>
  <c r="P695" i="55" s="1"/>
  <c r="C695" i="55"/>
  <c r="O695" i="55" s="1"/>
  <c r="K695" i="55"/>
  <c r="L695" i="55" s="1"/>
  <c r="X694" i="55"/>
  <c r="S694" i="55"/>
  <c r="N437" i="26"/>
  <c r="AJ437" i="26"/>
  <c r="AK437" i="26" s="1"/>
  <c r="AV436" i="55"/>
  <c r="BT436" i="26"/>
  <c r="AT437" i="26" l="1"/>
  <c r="O437" i="26"/>
  <c r="S437" i="26" s="1"/>
  <c r="T437" i="26" s="1"/>
  <c r="BC437" i="26" s="1"/>
  <c r="W695" i="55"/>
  <c r="F695" i="55"/>
  <c r="D695" i="55"/>
  <c r="M695" i="55" s="1"/>
  <c r="E438" i="26"/>
  <c r="N695" i="55"/>
  <c r="U695" i="55"/>
  <c r="V695" i="55" s="1"/>
  <c r="E696" i="55"/>
  <c r="G695" i="55"/>
  <c r="AL437" i="26" l="1"/>
  <c r="AM437" i="26" s="1"/>
  <c r="AU437" i="26" s="1"/>
  <c r="BL437" i="26"/>
  <c r="Q438" i="26"/>
  <c r="H438" i="26"/>
  <c r="C438" i="26"/>
  <c r="U438" i="26" s="1"/>
  <c r="W438" i="26"/>
  <c r="A438" i="26"/>
  <c r="L438" i="26"/>
  <c r="B438" i="26"/>
  <c r="X438" i="26" s="1"/>
  <c r="AS438" i="26"/>
  <c r="BJ438" i="26" s="1"/>
  <c r="H696" i="55"/>
  <c r="A696" i="55"/>
  <c r="C696" i="55"/>
  <c r="U696" i="55" s="1"/>
  <c r="Q696" i="55"/>
  <c r="K696" i="55"/>
  <c r="L696" i="55" s="1"/>
  <c r="B696" i="55"/>
  <c r="G696" i="55" s="1"/>
  <c r="S695" i="55"/>
  <c r="X695" i="55"/>
  <c r="BT437" i="26"/>
  <c r="AV437" i="55"/>
  <c r="AP438" i="26" l="1"/>
  <c r="K438" i="26"/>
  <c r="M438" i="26" s="1"/>
  <c r="G438" i="26"/>
  <c r="D438" i="26"/>
  <c r="O438" i="26" s="1"/>
  <c r="F438" i="26"/>
  <c r="R438" i="26" s="1"/>
  <c r="AF438" i="26"/>
  <c r="AN438" i="26" s="1"/>
  <c r="V438" i="26"/>
  <c r="AO438" i="26" s="1"/>
  <c r="P696" i="55"/>
  <c r="V696" i="55" s="1"/>
  <c r="D696" i="55"/>
  <c r="M696" i="55" s="1"/>
  <c r="O696" i="55"/>
  <c r="W696" i="55"/>
  <c r="F696" i="55"/>
  <c r="AT438" i="26" l="1"/>
  <c r="S438" i="26"/>
  <c r="T438" i="26" s="1"/>
  <c r="BC438" i="26" s="1"/>
  <c r="BT438" i="26" s="1"/>
  <c r="P438" i="26"/>
  <c r="AJ438" i="26"/>
  <c r="AK438" i="26" s="1"/>
  <c r="N438" i="26"/>
  <c r="E439" i="26"/>
  <c r="BK438" i="26"/>
  <c r="N696" i="55"/>
  <c r="E697" i="55"/>
  <c r="BL438" i="26" l="1"/>
  <c r="AV438" i="55"/>
  <c r="AL438" i="26"/>
  <c r="AM438" i="26" s="1"/>
  <c r="AU438" i="26" s="1"/>
  <c r="H439" i="26"/>
  <c r="Q439" i="26"/>
  <c r="W439" i="26"/>
  <c r="C439" i="26"/>
  <c r="A439" i="26"/>
  <c r="B439" i="26"/>
  <c r="D439" i="26" s="1"/>
  <c r="L439" i="26"/>
  <c r="K697" i="55"/>
  <c r="L697" i="55" s="1"/>
  <c r="A697" i="55"/>
  <c r="H697" i="55"/>
  <c r="C697" i="55"/>
  <c r="U697" i="55" s="1"/>
  <c r="B697" i="55"/>
  <c r="F697" i="55" s="1"/>
  <c r="Q697" i="55"/>
  <c r="X696" i="55"/>
  <c r="S696" i="55"/>
  <c r="F439" i="26" l="1"/>
  <c r="R439" i="26" s="1"/>
  <c r="E440" i="26"/>
  <c r="AS439" i="26"/>
  <c r="BJ439" i="26" s="1"/>
  <c r="W697" i="55"/>
  <c r="P439" i="26"/>
  <c r="U439" i="26"/>
  <c r="V439" i="26"/>
  <c r="AO439" i="26" s="1"/>
  <c r="C440" i="26"/>
  <c r="V440" i="26" s="1"/>
  <c r="A440" i="26"/>
  <c r="W440" i="26"/>
  <c r="X439" i="26"/>
  <c r="O439" i="26"/>
  <c r="G439" i="26"/>
  <c r="K439" i="26"/>
  <c r="M439" i="26" s="1"/>
  <c r="AP439" i="26"/>
  <c r="AF439" i="26"/>
  <c r="AN439" i="26" s="1"/>
  <c r="D697" i="55"/>
  <c r="M697" i="55" s="1"/>
  <c r="G697" i="55"/>
  <c r="O697" i="55"/>
  <c r="P697" i="55"/>
  <c r="V697" i="55" s="1"/>
  <c r="AL439" i="26" l="1"/>
  <c r="AM439" i="26" s="1"/>
  <c r="AU439" i="26" s="1"/>
  <c r="H440" i="26"/>
  <c r="B440" i="26"/>
  <c r="Q440" i="26"/>
  <c r="L440" i="26"/>
  <c r="AO440" i="26"/>
  <c r="U440" i="26"/>
  <c r="AF440" i="26" s="1"/>
  <c r="AN440" i="26" s="1"/>
  <c r="AJ439" i="26"/>
  <c r="AK439" i="26" s="1"/>
  <c r="N439" i="26"/>
  <c r="AP440" i="26"/>
  <c r="AT439" i="26"/>
  <c r="BK439" i="26"/>
  <c r="K440" i="26"/>
  <c r="AS440" i="26"/>
  <c r="BJ440" i="26" s="1"/>
  <c r="S439" i="26"/>
  <c r="T439" i="26" s="1"/>
  <c r="BC439" i="26" s="1"/>
  <c r="N697" i="55"/>
  <c r="E698" i="55"/>
  <c r="AT440" i="26" l="1"/>
  <c r="M440" i="26"/>
  <c r="G440" i="26"/>
  <c r="X440" i="26"/>
  <c r="BK440" i="26" s="1"/>
  <c r="F440" i="26"/>
  <c r="R440" i="26" s="1"/>
  <c r="D440" i="26"/>
  <c r="BL439" i="26"/>
  <c r="A698" i="55"/>
  <c r="K698" i="55"/>
  <c r="L698" i="55" s="1"/>
  <c r="B698" i="55"/>
  <c r="G698" i="55" s="1"/>
  <c r="C698" i="55"/>
  <c r="H698" i="55"/>
  <c r="Q698" i="55"/>
  <c r="S697" i="55"/>
  <c r="X697" i="55"/>
  <c r="P440" i="26" l="1"/>
  <c r="E441" i="26"/>
  <c r="O440" i="26"/>
  <c r="N440" i="26"/>
  <c r="AJ440" i="26"/>
  <c r="AK440" i="26" s="1"/>
  <c r="AV439" i="55"/>
  <c r="BT439" i="26"/>
  <c r="D698" i="55"/>
  <c r="M698" i="55" s="1"/>
  <c r="P698" i="55"/>
  <c r="U698" i="55"/>
  <c r="W698" i="55"/>
  <c r="F698" i="55"/>
  <c r="O698" i="55"/>
  <c r="AL440" i="26" l="1"/>
  <c r="AM440" i="26" s="1"/>
  <c r="AU440" i="26" s="1"/>
  <c r="H441" i="26"/>
  <c r="W441" i="26"/>
  <c r="A441" i="26"/>
  <c r="C441" i="26"/>
  <c r="L441" i="26"/>
  <c r="Q441" i="26"/>
  <c r="B441" i="26"/>
  <c r="G441" i="26"/>
  <c r="S440" i="26"/>
  <c r="T440" i="26" s="1"/>
  <c r="BC440" i="26" s="1"/>
  <c r="V698" i="55"/>
  <c r="E699" i="55"/>
  <c r="N698" i="55"/>
  <c r="BL440" i="26" l="1"/>
  <c r="K441" i="26"/>
  <c r="M441" i="26" s="1"/>
  <c r="AP441" i="26"/>
  <c r="F441" i="26"/>
  <c r="R441" i="26" s="1"/>
  <c r="X441" i="26"/>
  <c r="D441" i="26"/>
  <c r="AS441" i="26"/>
  <c r="BJ441" i="26" s="1"/>
  <c r="V441" i="26"/>
  <c r="BK441" i="26" s="1"/>
  <c r="U441" i="26"/>
  <c r="AF441" i="26" s="1"/>
  <c r="AN441" i="26" s="1"/>
  <c r="E442" i="26"/>
  <c r="X698" i="55"/>
  <c r="S698" i="55"/>
  <c r="H699" i="55"/>
  <c r="B699" i="55"/>
  <c r="D699" i="55" s="1"/>
  <c r="C699" i="55"/>
  <c r="O699" i="55" s="1"/>
  <c r="U699" i="55"/>
  <c r="M699" i="55"/>
  <c r="N699" i="55" s="1"/>
  <c r="A699" i="55"/>
  <c r="Q699" i="55"/>
  <c r="K699" i="55"/>
  <c r="L699" i="55" s="1"/>
  <c r="L442" i="26"/>
  <c r="Q442" i="26"/>
  <c r="A442" i="26"/>
  <c r="B442" i="26"/>
  <c r="W442" i="26"/>
  <c r="C442" i="26"/>
  <c r="V442" i="26" s="1"/>
  <c r="H442" i="26"/>
  <c r="N441" i="26" l="1"/>
  <c r="AJ441" i="26"/>
  <c r="AK441" i="26" s="1"/>
  <c r="BT440" i="26"/>
  <c r="AV440" i="55"/>
  <c r="O441" i="26"/>
  <c r="P441" i="26"/>
  <c r="AO441" i="26"/>
  <c r="AT441" i="26" s="1"/>
  <c r="W699" i="55"/>
  <c r="AP442" i="26"/>
  <c r="G699" i="55"/>
  <c r="P699" i="55"/>
  <c r="X699" i="55"/>
  <c r="S699" i="55"/>
  <c r="E700" i="55"/>
  <c r="F699" i="55"/>
  <c r="V699" i="55"/>
  <c r="U442" i="26"/>
  <c r="AF442" i="26" s="1"/>
  <c r="AN442" i="26" s="1"/>
  <c r="AO442" i="26"/>
  <c r="D442" i="26"/>
  <c r="P442" i="26" s="1"/>
  <c r="K442" i="26"/>
  <c r="M442" i="26" s="1"/>
  <c r="X442" i="26"/>
  <c r="BK442" i="26" s="1"/>
  <c r="F442" i="26"/>
  <c r="R442" i="26" s="1"/>
  <c r="G442" i="26"/>
  <c r="AS442" i="26"/>
  <c r="BJ442" i="26" s="1"/>
  <c r="AL441" i="26" l="1"/>
  <c r="AM441" i="26" s="1"/>
  <c r="AU441" i="26" s="1"/>
  <c r="AT442" i="26"/>
  <c r="S441" i="26"/>
  <c r="T441" i="26" s="1"/>
  <c r="BC441" i="26" s="1"/>
  <c r="Q700" i="55"/>
  <c r="A700" i="55"/>
  <c r="K700" i="55"/>
  <c r="L700" i="55" s="1"/>
  <c r="H700" i="55"/>
  <c r="B700" i="55"/>
  <c r="P700" i="55" s="1"/>
  <c r="C700" i="55"/>
  <c r="E443" i="26"/>
  <c r="O442" i="26"/>
  <c r="S442" i="26" s="1"/>
  <c r="T442" i="26" s="1"/>
  <c r="AJ442" i="26"/>
  <c r="AK442" i="26" s="1"/>
  <c r="N442" i="26"/>
  <c r="AL442" i="26" l="1"/>
  <c r="AM442" i="26" s="1"/>
  <c r="AU442" i="26" s="1"/>
  <c r="BC442" i="26"/>
  <c r="C443" i="26"/>
  <c r="U443" i="26" s="1"/>
  <c r="BL441" i="26"/>
  <c r="A443" i="26"/>
  <c r="G700" i="55"/>
  <c r="W443" i="26"/>
  <c r="W700" i="55"/>
  <c r="H443" i="26"/>
  <c r="D700" i="55"/>
  <c r="M700" i="55" s="1"/>
  <c r="O700" i="55"/>
  <c r="U700" i="55"/>
  <c r="V700" i="55" s="1"/>
  <c r="F700" i="55"/>
  <c r="Q443" i="26"/>
  <c r="L443" i="26"/>
  <c r="B443" i="26"/>
  <c r="AP443" i="26" s="1"/>
  <c r="BL442" i="26"/>
  <c r="AS443" i="26" l="1"/>
  <c r="BJ443" i="26" s="1"/>
  <c r="V443" i="26"/>
  <c r="AO443" i="26" s="1"/>
  <c r="AT443" i="26" s="1"/>
  <c r="BT441" i="26"/>
  <c r="AV441" i="55"/>
  <c r="N700" i="55"/>
  <c r="E701" i="55"/>
  <c r="D443" i="26"/>
  <c r="X443" i="26"/>
  <c r="BK443" i="26" s="1"/>
  <c r="G443" i="26"/>
  <c r="K443" i="26"/>
  <c r="M443" i="26" s="1"/>
  <c r="F443" i="26"/>
  <c r="R443" i="26" s="1"/>
  <c r="AF443" i="26"/>
  <c r="AN443" i="26" s="1"/>
  <c r="AV442" i="55"/>
  <c r="BT442" i="26"/>
  <c r="Q701" i="55" l="1"/>
  <c r="A701" i="55"/>
  <c r="K701" i="55"/>
  <c r="L701" i="55" s="1"/>
  <c r="B701" i="55"/>
  <c r="H701" i="55"/>
  <c r="C701" i="55"/>
  <c r="X700" i="55"/>
  <c r="S700" i="55"/>
  <c r="AJ443" i="26"/>
  <c r="AK443" i="26" s="1"/>
  <c r="N443" i="26"/>
  <c r="E444" i="26"/>
  <c r="O443" i="26"/>
  <c r="P443" i="26"/>
  <c r="AL443" i="26" l="1"/>
  <c r="AM443" i="26" s="1"/>
  <c r="AU443" i="26" s="1"/>
  <c r="W701" i="55"/>
  <c r="D701" i="55"/>
  <c r="G701" i="55"/>
  <c r="P701" i="55"/>
  <c r="M701" i="55"/>
  <c r="F701" i="55"/>
  <c r="O701" i="55"/>
  <c r="E702" i="55"/>
  <c r="S443" i="26"/>
  <c r="T443" i="26" s="1"/>
  <c r="BC443" i="26" s="1"/>
  <c r="W444" i="26"/>
  <c r="B444" i="26"/>
  <c r="K444" i="26" s="1"/>
  <c r="A444" i="26"/>
  <c r="L444" i="26"/>
  <c r="C444" i="26"/>
  <c r="U444" i="26" s="1"/>
  <c r="Q444" i="26"/>
  <c r="H444" i="26"/>
  <c r="M444" i="26" l="1"/>
  <c r="N444" i="26" s="1"/>
  <c r="AF444" i="26"/>
  <c r="AN444" i="26" s="1"/>
  <c r="AS444" i="26"/>
  <c r="BJ444" i="26" s="1"/>
  <c r="V444" i="26"/>
  <c r="H702" i="55"/>
  <c r="C702" i="55"/>
  <c r="O702" i="55" s="1"/>
  <c r="Q702" i="55"/>
  <c r="K702" i="55"/>
  <c r="L702" i="55" s="1"/>
  <c r="A702" i="55"/>
  <c r="B702" i="55"/>
  <c r="D702" i="55" s="1"/>
  <c r="M702" i="55" s="1"/>
  <c r="N702" i="55" s="1"/>
  <c r="X702" i="55" s="1"/>
  <c r="W702" i="55"/>
  <c r="P702" i="55"/>
  <c r="F702" i="55"/>
  <c r="AP444" i="26"/>
  <c r="N701" i="55"/>
  <c r="X444" i="26"/>
  <c r="F444" i="26"/>
  <c r="R444" i="26" s="1"/>
  <c r="G444" i="26"/>
  <c r="D444" i="26"/>
  <c r="AO444" i="26"/>
  <c r="BL443" i="26"/>
  <c r="AJ444" i="26" l="1"/>
  <c r="AK444" i="26" s="1"/>
  <c r="G702" i="55"/>
  <c r="AT444" i="26"/>
  <c r="U702" i="55"/>
  <c r="V702" i="55" s="1"/>
  <c r="E703" i="55"/>
  <c r="X701" i="55"/>
  <c r="S701" i="55"/>
  <c r="E445" i="26"/>
  <c r="O444" i="26"/>
  <c r="P444" i="26"/>
  <c r="AV443" i="55"/>
  <c r="BT443" i="26"/>
  <c r="BK444" i="26"/>
  <c r="AL444" i="26" l="1"/>
  <c r="AM444" i="26" s="1"/>
  <c r="AU444" i="26" s="1"/>
  <c r="S702" i="55"/>
  <c r="Q703" i="55"/>
  <c r="K703" i="55"/>
  <c r="L703" i="55" s="1"/>
  <c r="H703" i="55"/>
  <c r="C703" i="55"/>
  <c r="B703" i="55"/>
  <c r="G703" i="55" s="1"/>
  <c r="D703" i="55"/>
  <c r="M703" i="55" s="1"/>
  <c r="N703" i="55" s="1"/>
  <c r="A703" i="55"/>
  <c r="O703" i="55"/>
  <c r="W703" i="55"/>
  <c r="S444" i="26"/>
  <c r="T444" i="26" s="1"/>
  <c r="BC444" i="26" s="1"/>
  <c r="L445" i="26"/>
  <c r="B445" i="26"/>
  <c r="G445" i="26" s="1"/>
  <c r="C445" i="26"/>
  <c r="V445" i="26" s="1"/>
  <c r="W445" i="26"/>
  <c r="A445" i="26"/>
  <c r="Q445" i="26"/>
  <c r="H445" i="26"/>
  <c r="AS445" i="26"/>
  <c r="BJ445" i="26" s="1"/>
  <c r="F703" i="55" l="1"/>
  <c r="X703" i="55"/>
  <c r="S703" i="55"/>
  <c r="P703" i="55"/>
  <c r="U703" i="55"/>
  <c r="E704" i="55"/>
  <c r="AP445" i="26"/>
  <c r="AO445" i="26"/>
  <c r="F445" i="26"/>
  <c r="R445" i="26" s="1"/>
  <c r="X445" i="26"/>
  <c r="BK445" i="26" s="1"/>
  <c r="BL444" i="26"/>
  <c r="U445" i="26"/>
  <c r="AF445" i="26" s="1"/>
  <c r="AN445" i="26" s="1"/>
  <c r="D445" i="26"/>
  <c r="E446" i="26" s="1"/>
  <c r="K445" i="26"/>
  <c r="M445" i="26" s="1"/>
  <c r="AT445" i="26" l="1"/>
  <c r="V703" i="55"/>
  <c r="K704" i="55"/>
  <c r="L704" i="55" s="1"/>
  <c r="Q704" i="55"/>
  <c r="A704" i="55"/>
  <c r="C704" i="55"/>
  <c r="B704" i="55"/>
  <c r="D704" i="55" s="1"/>
  <c r="M704" i="55" s="1"/>
  <c r="N704" i="55" s="1"/>
  <c r="H704" i="55"/>
  <c r="O704" i="55"/>
  <c r="U704" i="55"/>
  <c r="O445" i="26"/>
  <c r="S445" i="26" s="1"/>
  <c r="T445" i="26" s="1"/>
  <c r="BC445" i="26" s="1"/>
  <c r="B446" i="26"/>
  <c r="H446" i="26"/>
  <c r="Q446" i="26"/>
  <c r="A446" i="26"/>
  <c r="W446" i="26"/>
  <c r="C446" i="26"/>
  <c r="D446" i="26"/>
  <c r="P446" i="26" s="1"/>
  <c r="L446" i="26"/>
  <c r="N445" i="26"/>
  <c r="AJ445" i="26"/>
  <c r="AK445" i="26" s="1"/>
  <c r="P445" i="26"/>
  <c r="AV444" i="55"/>
  <c r="BT444" i="26"/>
  <c r="AL445" i="26" l="1"/>
  <c r="AM445" i="26" s="1"/>
  <c r="AU445" i="26" s="1"/>
  <c r="W704" i="55"/>
  <c r="X704" i="55"/>
  <c r="K446" i="26"/>
  <c r="M446" i="26" s="1"/>
  <c r="AJ446" i="26" s="1"/>
  <c r="AK446" i="26" s="1"/>
  <c r="S704" i="55"/>
  <c r="F446" i="26"/>
  <c r="R446" i="26" s="1"/>
  <c r="AP446" i="26"/>
  <c r="G704" i="55"/>
  <c r="V446" i="26"/>
  <c r="P704" i="55"/>
  <c r="V704" i="55"/>
  <c r="F704" i="55"/>
  <c r="E705" i="55"/>
  <c r="G446" i="26"/>
  <c r="E447" i="26"/>
  <c r="O446" i="26"/>
  <c r="S446" i="26" s="1"/>
  <c r="T446" i="26" s="1"/>
  <c r="BL446" i="26" s="1"/>
  <c r="BL445" i="26"/>
  <c r="AS446" i="26"/>
  <c r="BJ446" i="26" s="1"/>
  <c r="U446" i="26"/>
  <c r="X446" i="26"/>
  <c r="AL446" i="26" l="1"/>
  <c r="AM446" i="26" s="1"/>
  <c r="AU446" i="26" s="1"/>
  <c r="B447" i="26"/>
  <c r="G447" i="26" s="1"/>
  <c r="BC446" i="26"/>
  <c r="BT446" i="26" s="1"/>
  <c r="W447" i="26"/>
  <c r="H447" i="26"/>
  <c r="C705" i="55"/>
  <c r="K705" i="55"/>
  <c r="L705" i="55" s="1"/>
  <c r="H705" i="55"/>
  <c r="Q705" i="55"/>
  <c r="B705" i="55"/>
  <c r="P705" i="55" s="1"/>
  <c r="A705" i="55"/>
  <c r="F705" i="55"/>
  <c r="D705" i="55"/>
  <c r="M705" i="55" s="1"/>
  <c r="O705" i="55"/>
  <c r="N705" i="55"/>
  <c r="S705" i="55" s="1"/>
  <c r="W705" i="55"/>
  <c r="G705" i="55"/>
  <c r="N446" i="26"/>
  <c r="L447" i="26"/>
  <c r="A447" i="26"/>
  <c r="Q447" i="26"/>
  <c r="C447" i="26"/>
  <c r="AS447" i="26" s="1"/>
  <c r="BJ447" i="26" s="1"/>
  <c r="AF446" i="26"/>
  <c r="AN446" i="26" s="1"/>
  <c r="F447" i="26"/>
  <c r="D447" i="26"/>
  <c r="O447" i="26" s="1"/>
  <c r="BT445" i="26"/>
  <c r="AV445" i="55"/>
  <c r="BK446" i="26"/>
  <c r="AO446" i="26"/>
  <c r="AT446" i="26" s="1"/>
  <c r="K447" i="26"/>
  <c r="AV446" i="55" l="1"/>
  <c r="V447" i="26"/>
  <c r="X705" i="55"/>
  <c r="M447" i="26"/>
  <c r="AJ447" i="26" s="1"/>
  <c r="AK447" i="26" s="1"/>
  <c r="R447" i="26"/>
  <c r="U705" i="55"/>
  <c r="V705" i="55" s="1"/>
  <c r="E706" i="55"/>
  <c r="AP447" i="26"/>
  <c r="X447" i="26"/>
  <c r="AO447" i="26"/>
  <c r="U447" i="26"/>
  <c r="AF447" i="26" s="1"/>
  <c r="AN447" i="26" s="1"/>
  <c r="E448" i="26"/>
  <c r="P447" i="26"/>
  <c r="AL447" i="26" l="1"/>
  <c r="AM447" i="26" s="1"/>
  <c r="AU447" i="26" s="1"/>
  <c r="S447" i="26"/>
  <c r="T447" i="26" s="1"/>
  <c r="N447" i="26"/>
  <c r="AT447" i="26"/>
  <c r="C706" i="55"/>
  <c r="O706" i="55" s="1"/>
  <c r="B706" i="55"/>
  <c r="P706" i="55" s="1"/>
  <c r="H706" i="55"/>
  <c r="Q706" i="55"/>
  <c r="A706" i="55"/>
  <c r="K706" i="55"/>
  <c r="L706" i="55" s="1"/>
  <c r="D706" i="55"/>
  <c r="M706" i="55" s="1"/>
  <c r="G706" i="55"/>
  <c r="BK447" i="26"/>
  <c r="B448" i="26"/>
  <c r="H448" i="26"/>
  <c r="Q448" i="26"/>
  <c r="L448" i="26"/>
  <c r="W448" i="26"/>
  <c r="C448" i="26"/>
  <c r="V448" i="26" s="1"/>
  <c r="A448" i="26"/>
  <c r="BL447" i="26" l="1"/>
  <c r="BC447" i="26"/>
  <c r="BT447" i="26"/>
  <c r="F706" i="55"/>
  <c r="N706" i="55"/>
  <c r="W706" i="55"/>
  <c r="U706" i="55"/>
  <c r="V706" i="55" s="1"/>
  <c r="E707" i="55"/>
  <c r="U448" i="26"/>
  <c r="AF448" i="26" s="1"/>
  <c r="AN448" i="26" s="1"/>
  <c r="AS448" i="26"/>
  <c r="BJ448" i="26" s="1"/>
  <c r="K448" i="26"/>
  <c r="M448" i="26" s="1"/>
  <c r="X448" i="26"/>
  <c r="G448" i="26"/>
  <c r="F448" i="26"/>
  <c r="R448" i="26" s="1"/>
  <c r="D448" i="26"/>
  <c r="P448" i="26" s="1"/>
  <c r="AP448" i="26"/>
  <c r="AV447" i="55" l="1"/>
  <c r="B707" i="55"/>
  <c r="D707" i="55" s="1"/>
  <c r="M707" i="55" s="1"/>
  <c r="N707" i="55" s="1"/>
  <c r="K707" i="55"/>
  <c r="L707" i="55" s="1"/>
  <c r="H707" i="55"/>
  <c r="A707" i="55"/>
  <c r="Q707" i="55"/>
  <c r="C707" i="55"/>
  <c r="F707" i="55"/>
  <c r="W707" i="55"/>
  <c r="P707" i="55"/>
  <c r="O707" i="55"/>
  <c r="S706" i="55"/>
  <c r="X706" i="55"/>
  <c r="E449" i="26"/>
  <c r="AJ448" i="26"/>
  <c r="AK448" i="26" s="1"/>
  <c r="N448" i="26"/>
  <c r="O448" i="26"/>
  <c r="AO448" i="26"/>
  <c r="AT448" i="26" s="1"/>
  <c r="BK448" i="26"/>
  <c r="AL448" i="26" l="1"/>
  <c r="AM448" i="26" s="1"/>
  <c r="AU448" i="26" s="1"/>
  <c r="Q449" i="26"/>
  <c r="H449" i="26"/>
  <c r="S707" i="55"/>
  <c r="L449" i="26"/>
  <c r="X707" i="55"/>
  <c r="G707" i="55"/>
  <c r="A449" i="26"/>
  <c r="W449" i="26"/>
  <c r="U707" i="55"/>
  <c r="V707" i="55" s="1"/>
  <c r="E708" i="55"/>
  <c r="B449" i="26"/>
  <c r="F449" i="26" s="1"/>
  <c r="R449" i="26" s="1"/>
  <c r="C449" i="26"/>
  <c r="S448" i="26"/>
  <c r="T448" i="26" s="1"/>
  <c r="BC448" i="26" s="1"/>
  <c r="V449" i="26" l="1"/>
  <c r="K449" i="26"/>
  <c r="M449" i="26" s="1"/>
  <c r="N449" i="26" s="1"/>
  <c r="G449" i="26"/>
  <c r="A708" i="55"/>
  <c r="C708" i="55"/>
  <c r="U708" i="55" s="1"/>
  <c r="K708" i="55"/>
  <c r="L708" i="55" s="1"/>
  <c r="Q708" i="55"/>
  <c r="H708" i="55"/>
  <c r="B708" i="55"/>
  <c r="F708" i="55" s="1"/>
  <c r="O708" i="55"/>
  <c r="D449" i="26"/>
  <c r="U449" i="26"/>
  <c r="AF449" i="26" s="1"/>
  <c r="AN449" i="26" s="1"/>
  <c r="X449" i="26"/>
  <c r="BK449" i="26" s="1"/>
  <c r="AP449" i="26"/>
  <c r="AO449" i="26"/>
  <c r="BL448" i="26"/>
  <c r="AJ449" i="26" l="1"/>
  <c r="AK449" i="26" s="1"/>
  <c r="W708" i="55"/>
  <c r="G708" i="55"/>
  <c r="D708" i="55"/>
  <c r="M708" i="55" s="1"/>
  <c r="N708" i="55" s="1"/>
  <c r="X708" i="55" s="1"/>
  <c r="P708" i="55"/>
  <c r="V708" i="55" s="1"/>
  <c r="O449" i="26"/>
  <c r="S449" i="26" s="1"/>
  <c r="T449" i="26" s="1"/>
  <c r="P449" i="26"/>
  <c r="S708" i="55"/>
  <c r="E450" i="26"/>
  <c r="AT449" i="26"/>
  <c r="AV448" i="55"/>
  <c r="BT448" i="26"/>
  <c r="AL449" i="26" l="1"/>
  <c r="AM449" i="26" s="1"/>
  <c r="AU449" i="26" s="1"/>
  <c r="C450" i="26"/>
  <c r="AS450" i="26" s="1"/>
  <c r="BJ450" i="26" s="1"/>
  <c r="B450" i="26"/>
  <c r="F450" i="26" s="1"/>
  <c r="BL449" i="26"/>
  <c r="BC449" i="26"/>
  <c r="X450" i="26"/>
  <c r="K450" i="26"/>
  <c r="M450" i="26" s="1"/>
  <c r="A450" i="26"/>
  <c r="E709" i="55"/>
  <c r="B709" i="55" s="1"/>
  <c r="D709" i="55" s="1"/>
  <c r="M709" i="55" s="1"/>
  <c r="W450" i="26"/>
  <c r="AO450" i="26"/>
  <c r="L450" i="26"/>
  <c r="V450" i="26"/>
  <c r="Q450" i="26"/>
  <c r="R450" i="26" s="1"/>
  <c r="G450" i="26"/>
  <c r="H450" i="26"/>
  <c r="K709" i="55"/>
  <c r="L709" i="55" s="1"/>
  <c r="D450" i="26"/>
  <c r="E451" i="26" s="1"/>
  <c r="U450" i="26"/>
  <c r="AF450" i="26" s="1"/>
  <c r="AN450" i="26" s="1"/>
  <c r="AP450" i="26"/>
  <c r="AV449" i="55" l="1"/>
  <c r="BT449" i="26"/>
  <c r="H709" i="55"/>
  <c r="Q709" i="55"/>
  <c r="C709" i="55"/>
  <c r="O709" i="55" s="1"/>
  <c r="G709" i="55"/>
  <c r="A709" i="55"/>
  <c r="N709" i="55"/>
  <c r="X709" i="55" s="1"/>
  <c r="W709" i="55"/>
  <c r="P709" i="55"/>
  <c r="F709" i="55"/>
  <c r="AT450" i="26"/>
  <c r="A451" i="26"/>
  <c r="L451" i="26"/>
  <c r="C451" i="26"/>
  <c r="V451" i="26" s="1"/>
  <c r="W451" i="26"/>
  <c r="H451" i="26"/>
  <c r="Q451" i="26"/>
  <c r="B451" i="26"/>
  <c r="K451" i="26" s="1"/>
  <c r="U451" i="26"/>
  <c r="O450" i="26"/>
  <c r="P450" i="26"/>
  <c r="BK450" i="26"/>
  <c r="N450" i="26"/>
  <c r="AJ450" i="26"/>
  <c r="AK450" i="26" s="1"/>
  <c r="AL450" i="26" l="1"/>
  <c r="AM450" i="26" s="1"/>
  <c r="AU450" i="26" s="1"/>
  <c r="D451" i="26"/>
  <c r="E710" i="55"/>
  <c r="G451" i="26"/>
  <c r="U709" i="55"/>
  <c r="V709" i="55" s="1"/>
  <c r="S709" i="55"/>
  <c r="B710" i="55"/>
  <c r="F710" i="55" s="1"/>
  <c r="K710" i="55"/>
  <c r="L710" i="55" s="1"/>
  <c r="Q710" i="55"/>
  <c r="C710" i="55"/>
  <c r="U710" i="55" s="1"/>
  <c r="A710" i="55"/>
  <c r="H710" i="55"/>
  <c r="D710" i="55"/>
  <c r="M710" i="55" s="1"/>
  <c r="P710" i="55"/>
  <c r="M451" i="26"/>
  <c r="AJ451" i="26" s="1"/>
  <c r="AK451" i="26" s="1"/>
  <c r="AF451" i="26"/>
  <c r="AN451" i="26" s="1"/>
  <c r="AO451" i="26"/>
  <c r="E452" i="26"/>
  <c r="AS451" i="26"/>
  <c r="BJ451" i="26" s="1"/>
  <c r="S450" i="26"/>
  <c r="T450" i="26" s="1"/>
  <c r="BC450" i="26" s="1"/>
  <c r="F451" i="26"/>
  <c r="R451" i="26" s="1"/>
  <c r="X451" i="26"/>
  <c r="BK451" i="26" s="1"/>
  <c r="AP451" i="26"/>
  <c r="V710" i="55" l="1"/>
  <c r="P451" i="26"/>
  <c r="O451" i="26"/>
  <c r="S451" i="26" s="1"/>
  <c r="T451" i="26" s="1"/>
  <c r="BC451" i="26" s="1"/>
  <c r="W710" i="55"/>
  <c r="N451" i="26"/>
  <c r="N710" i="55"/>
  <c r="G710" i="55"/>
  <c r="O710" i="55"/>
  <c r="E711" i="55"/>
  <c r="C452" i="26"/>
  <c r="V452" i="26" s="1"/>
  <c r="Q452" i="26"/>
  <c r="H452" i="26"/>
  <c r="W452" i="26"/>
  <c r="L452" i="26"/>
  <c r="A452" i="26"/>
  <c r="B452" i="26"/>
  <c r="BL450" i="26"/>
  <c r="AT451" i="26"/>
  <c r="AL451" i="26" l="1"/>
  <c r="AM451" i="26" s="1"/>
  <c r="AU451" i="26" s="1"/>
  <c r="C711" i="55"/>
  <c r="B711" i="55"/>
  <c r="D711" i="55" s="1"/>
  <c r="Q711" i="55"/>
  <c r="A711" i="55"/>
  <c r="H711" i="55"/>
  <c r="G711" i="55"/>
  <c r="K711" i="55"/>
  <c r="L711" i="55" s="1"/>
  <c r="O711" i="55"/>
  <c r="S710" i="55"/>
  <c r="X710" i="55"/>
  <c r="BL451" i="26"/>
  <c r="AV450" i="55"/>
  <c r="BT450" i="26"/>
  <c r="F452" i="26"/>
  <c r="R452" i="26" s="1"/>
  <c r="X452" i="26"/>
  <c r="D452" i="26"/>
  <c r="AP452" i="26"/>
  <c r="K452" i="26"/>
  <c r="M452" i="26" s="1"/>
  <c r="G452" i="26"/>
  <c r="U452" i="26"/>
  <c r="AF452" i="26" s="1"/>
  <c r="AN452" i="26" s="1"/>
  <c r="AS452" i="26"/>
  <c r="BJ452" i="26" s="1"/>
  <c r="BT451" i="26"/>
  <c r="AV451" i="55"/>
  <c r="M711" i="55" l="1"/>
  <c r="W711" i="55"/>
  <c r="P711" i="55"/>
  <c r="N711" i="55"/>
  <c r="F711" i="55"/>
  <c r="U711" i="55"/>
  <c r="V711" i="55" s="1"/>
  <c r="E712" i="55"/>
  <c r="E453" i="26"/>
  <c r="O452" i="26"/>
  <c r="P452" i="26"/>
  <c r="AJ452" i="26"/>
  <c r="AK452" i="26" s="1"/>
  <c r="N452" i="26"/>
  <c r="AO452" i="26"/>
  <c r="AT452" i="26" s="1"/>
  <c r="BK452" i="26"/>
  <c r="AL452" i="26" l="1"/>
  <c r="AM452" i="26" s="1"/>
  <c r="AU452" i="26" s="1"/>
  <c r="X711" i="55"/>
  <c r="S711" i="55"/>
  <c r="H712" i="55"/>
  <c r="K712" i="55"/>
  <c r="L712" i="55" s="1"/>
  <c r="B712" i="55"/>
  <c r="D712" i="55" s="1"/>
  <c r="A712" i="55"/>
  <c r="C712" i="55"/>
  <c r="E713" i="55" s="1"/>
  <c r="Q712" i="55"/>
  <c r="P712" i="55"/>
  <c r="G712" i="55"/>
  <c r="F712" i="55"/>
  <c r="S452" i="26"/>
  <c r="T452" i="26" s="1"/>
  <c r="BC452" i="26" s="1"/>
  <c r="A453" i="26"/>
  <c r="L453" i="26"/>
  <c r="C453" i="26"/>
  <c r="V453" i="26" s="1"/>
  <c r="B453" i="26"/>
  <c r="G453" i="26" s="1"/>
  <c r="H453" i="26"/>
  <c r="W453" i="26"/>
  <c r="Q453" i="26"/>
  <c r="W712" i="55" l="1"/>
  <c r="M712" i="55"/>
  <c r="C713" i="55"/>
  <c r="B713" i="55"/>
  <c r="F713" i="55" s="1"/>
  <c r="Q713" i="55"/>
  <c r="G713" i="55"/>
  <c r="A713" i="55"/>
  <c r="K713" i="55"/>
  <c r="L713" i="55" s="1"/>
  <c r="H713" i="55"/>
  <c r="P713" i="55"/>
  <c r="D713" i="55"/>
  <c r="M713" i="55" s="1"/>
  <c r="N713" i="55" s="1"/>
  <c r="U712" i="55"/>
  <c r="V712" i="55" s="1"/>
  <c r="O712" i="55"/>
  <c r="F453" i="26"/>
  <c r="R453" i="26" s="1"/>
  <c r="X453" i="26"/>
  <c r="BK453" i="26" s="1"/>
  <c r="U453" i="26"/>
  <c r="AF453" i="26" s="1"/>
  <c r="AN453" i="26" s="1"/>
  <c r="AP453" i="26"/>
  <c r="AS453" i="26"/>
  <c r="BJ453" i="26" s="1"/>
  <c r="BL452" i="26"/>
  <c r="K453" i="26"/>
  <c r="M453" i="26" s="1"/>
  <c r="D453" i="26"/>
  <c r="O453" i="26" s="1"/>
  <c r="AO453" i="26"/>
  <c r="E714" i="55" l="1"/>
  <c r="H714" i="55" s="1"/>
  <c r="X713" i="55"/>
  <c r="B714" i="55"/>
  <c r="F714" i="55" s="1"/>
  <c r="C714" i="55"/>
  <c r="U714" i="55" s="1"/>
  <c r="A714" i="55"/>
  <c r="Q714" i="55"/>
  <c r="K714" i="55"/>
  <c r="L714" i="55" s="1"/>
  <c r="O713" i="55"/>
  <c r="N712" i="55"/>
  <c r="W713" i="55"/>
  <c r="AT453" i="26"/>
  <c r="E454" i="26"/>
  <c r="S453" i="26"/>
  <c r="T453" i="26" s="1"/>
  <c r="BC453" i="26" s="1"/>
  <c r="AV452" i="55"/>
  <c r="BT452" i="26"/>
  <c r="AJ453" i="26"/>
  <c r="AK453" i="26" s="1"/>
  <c r="N453" i="26"/>
  <c r="P453" i="26"/>
  <c r="AL453" i="26" l="1"/>
  <c r="AM453" i="26" s="1"/>
  <c r="AU453" i="26" s="1"/>
  <c r="Q454" i="26"/>
  <c r="B454" i="26"/>
  <c r="G454" i="26" s="1"/>
  <c r="D714" i="55"/>
  <c r="E715" i="55"/>
  <c r="A715" i="55" s="1"/>
  <c r="W714" i="55"/>
  <c r="W454" i="26"/>
  <c r="P714" i="55"/>
  <c r="V714" i="55"/>
  <c r="O714" i="55"/>
  <c r="G714" i="55"/>
  <c r="H715" i="55"/>
  <c r="C715" i="55"/>
  <c r="M714" i="55"/>
  <c r="X712" i="55"/>
  <c r="S712" i="55"/>
  <c r="S713" i="55" s="1"/>
  <c r="L454" i="26"/>
  <c r="C454" i="26"/>
  <c r="V454" i="26" s="1"/>
  <c r="K454" i="26"/>
  <c r="F454" i="26"/>
  <c r="R454" i="26" s="1"/>
  <c r="D454" i="26"/>
  <c r="A454" i="26"/>
  <c r="H454" i="26"/>
  <c r="BL453" i="26"/>
  <c r="E455" i="26" l="1"/>
  <c r="Q715" i="55"/>
  <c r="M454" i="26"/>
  <c r="AJ454" i="26" s="1"/>
  <c r="AK454" i="26" s="1"/>
  <c r="B715" i="55"/>
  <c r="AS454" i="26"/>
  <c r="BJ454" i="26" s="1"/>
  <c r="K715" i="55"/>
  <c r="L715" i="55" s="1"/>
  <c r="N714" i="55"/>
  <c r="P454" i="26"/>
  <c r="U715" i="55"/>
  <c r="O715" i="55"/>
  <c r="X454" i="26"/>
  <c r="U454" i="26"/>
  <c r="AF454" i="26" s="1"/>
  <c r="AN454" i="26" s="1"/>
  <c r="AO454" i="26"/>
  <c r="O454" i="26"/>
  <c r="AP454" i="26"/>
  <c r="A455" i="26"/>
  <c r="Q455" i="26"/>
  <c r="C455" i="26"/>
  <c r="U455" i="26" s="1"/>
  <c r="H455" i="26"/>
  <c r="B455" i="26"/>
  <c r="D455" i="26" s="1"/>
  <c r="L455" i="26"/>
  <c r="W455" i="26"/>
  <c r="AV453" i="55"/>
  <c r="BT453" i="26"/>
  <c r="AL454" i="26" l="1"/>
  <c r="AM454" i="26" s="1"/>
  <c r="AU454" i="26" s="1"/>
  <c r="AP455" i="26"/>
  <c r="V455" i="26"/>
  <c r="AT454" i="26"/>
  <c r="F715" i="55"/>
  <c r="D715" i="55"/>
  <c r="G715" i="55"/>
  <c r="N454" i="26"/>
  <c r="V715" i="55"/>
  <c r="P715" i="55"/>
  <c r="W715" i="55"/>
  <c r="AF455" i="26"/>
  <c r="AN455" i="26" s="1"/>
  <c r="X455" i="26"/>
  <c r="S714" i="55"/>
  <c r="X714" i="55"/>
  <c r="AS455" i="26"/>
  <c r="BJ455" i="26" s="1"/>
  <c r="K455" i="26"/>
  <c r="M455" i="26" s="1"/>
  <c r="P455" i="26"/>
  <c r="F455" i="26"/>
  <c r="R455" i="26" s="1"/>
  <c r="O455" i="26"/>
  <c r="BK454" i="26"/>
  <c r="S454" i="26"/>
  <c r="T454" i="26" s="1"/>
  <c r="BC454" i="26" s="1"/>
  <c r="AO455" i="26"/>
  <c r="E456" i="26"/>
  <c r="G455" i="26"/>
  <c r="AT455" i="26" l="1"/>
  <c r="AL455" i="26"/>
  <c r="AM455" i="26" s="1"/>
  <c r="AU455" i="26" s="1"/>
  <c r="M715" i="55"/>
  <c r="E716" i="55"/>
  <c r="AJ455" i="26"/>
  <c r="AK455" i="26" s="1"/>
  <c r="N455" i="26"/>
  <c r="BK455" i="26"/>
  <c r="BL454" i="26"/>
  <c r="S455" i="26"/>
  <c r="T455" i="26" s="1"/>
  <c r="BC455" i="26" s="1"/>
  <c r="L456" i="26"/>
  <c r="B456" i="26"/>
  <c r="H456" i="26"/>
  <c r="C456" i="26"/>
  <c r="V456" i="26" s="1"/>
  <c r="A456" i="26"/>
  <c r="Q456" i="26"/>
  <c r="W456" i="26"/>
  <c r="K456" i="26" l="1"/>
  <c r="M456" i="26" s="1"/>
  <c r="N456" i="26" s="1"/>
  <c r="F456" i="26"/>
  <c r="R456" i="26" s="1"/>
  <c r="A716" i="55"/>
  <c r="H716" i="55"/>
  <c r="C716" i="55"/>
  <c r="Q716" i="55"/>
  <c r="K716" i="55"/>
  <c r="L716" i="55" s="1"/>
  <c r="B716" i="55"/>
  <c r="N715" i="55"/>
  <c r="D456" i="26"/>
  <c r="G456" i="26"/>
  <c r="O456" i="26"/>
  <c r="BL455" i="26"/>
  <c r="BT454" i="26"/>
  <c r="AV454" i="55"/>
  <c r="AO456" i="26"/>
  <c r="X456" i="26"/>
  <c r="BK456" i="26" s="1"/>
  <c r="AS456" i="26"/>
  <c r="BJ456" i="26" s="1"/>
  <c r="U456" i="26"/>
  <c r="AF456" i="26" s="1"/>
  <c r="AN456" i="26" s="1"/>
  <c r="E457" i="26"/>
  <c r="AP456" i="26"/>
  <c r="O716" i="55" l="1"/>
  <c r="U716" i="55"/>
  <c r="AJ456" i="26"/>
  <c r="AK456" i="26" s="1"/>
  <c r="P716" i="55"/>
  <c r="G716" i="55"/>
  <c r="W716" i="55"/>
  <c r="F716" i="55"/>
  <c r="D716" i="55"/>
  <c r="X715" i="55"/>
  <c r="S715" i="55"/>
  <c r="P456" i="26"/>
  <c r="BT455" i="26"/>
  <c r="AV455" i="55"/>
  <c r="W457" i="26"/>
  <c r="B457" i="26"/>
  <c r="F457" i="26" s="1"/>
  <c r="L457" i="26"/>
  <c r="A457" i="26"/>
  <c r="C457" i="26"/>
  <c r="X457" i="26" s="1"/>
  <c r="Q457" i="26"/>
  <c r="H457" i="26"/>
  <c r="S456" i="26"/>
  <c r="T456" i="26" s="1"/>
  <c r="BC456" i="26" s="1"/>
  <c r="AT456" i="26"/>
  <c r="AL456" i="26" l="1"/>
  <c r="AM456" i="26" s="1"/>
  <c r="AU456" i="26" s="1"/>
  <c r="M716" i="55"/>
  <c r="E717" i="55"/>
  <c r="V457" i="26"/>
  <c r="AO457" i="26" s="1"/>
  <c r="V716" i="55"/>
  <c r="R457" i="26"/>
  <c r="K457" i="26"/>
  <c r="M457" i="26" s="1"/>
  <c r="N457" i="26" s="1"/>
  <c r="AP457" i="26"/>
  <c r="D457" i="26"/>
  <c r="P457" i="26" s="1"/>
  <c r="AS457" i="26"/>
  <c r="BJ457" i="26" s="1"/>
  <c r="BL456" i="26"/>
  <c r="U457" i="26"/>
  <c r="AF457" i="26" s="1"/>
  <c r="AN457" i="26" s="1"/>
  <c r="G457" i="26"/>
  <c r="E458" i="26" l="1"/>
  <c r="AT457" i="26"/>
  <c r="O457" i="26"/>
  <c r="S457" i="26" s="1"/>
  <c r="T457" i="26" s="1"/>
  <c r="BC457" i="26" s="1"/>
  <c r="B717" i="55"/>
  <c r="P717" i="55" s="1"/>
  <c r="A717" i="55"/>
  <c r="H717" i="55"/>
  <c r="C717" i="55"/>
  <c r="K717" i="55"/>
  <c r="L717" i="55" s="1"/>
  <c r="G717" i="55"/>
  <c r="Q717" i="55"/>
  <c r="F717" i="55"/>
  <c r="O717" i="55"/>
  <c r="D717" i="55"/>
  <c r="M717" i="55" s="1"/>
  <c r="W717" i="55"/>
  <c r="N716" i="55"/>
  <c r="AJ457" i="26"/>
  <c r="AK457" i="26" s="1"/>
  <c r="AV456" i="55"/>
  <c r="BT456" i="26"/>
  <c r="A458" i="26"/>
  <c r="C458" i="26"/>
  <c r="U458" i="26" s="1"/>
  <c r="L458" i="26"/>
  <c r="H458" i="26"/>
  <c r="W458" i="26"/>
  <c r="Q458" i="26"/>
  <c r="B458" i="26"/>
  <c r="BK457" i="26"/>
  <c r="AL457" i="26" l="1"/>
  <c r="AM457" i="26" s="1"/>
  <c r="AU457" i="26" s="1"/>
  <c r="N717" i="55"/>
  <c r="S716" i="55"/>
  <c r="X716" i="55"/>
  <c r="U717" i="55"/>
  <c r="V717" i="55" s="1"/>
  <c r="E718" i="55"/>
  <c r="V458" i="26"/>
  <c r="AF458" i="26"/>
  <c r="AN458" i="26" s="1"/>
  <c r="D458" i="26"/>
  <c r="O458" i="26" s="1"/>
  <c r="G458" i="26"/>
  <c r="AP458" i="26"/>
  <c r="K458" i="26"/>
  <c r="M458" i="26" s="1"/>
  <c r="P458" i="26"/>
  <c r="AS458" i="26"/>
  <c r="BJ458" i="26" s="1"/>
  <c r="F458" i="26"/>
  <c r="R458" i="26" s="1"/>
  <c r="X458" i="26"/>
  <c r="BL457" i="26"/>
  <c r="E459" i="26" l="1"/>
  <c r="K718" i="55"/>
  <c r="L718" i="55" s="1"/>
  <c r="B718" i="55"/>
  <c r="F718" i="55" s="1"/>
  <c r="A718" i="55"/>
  <c r="Q718" i="55"/>
  <c r="U718" i="55"/>
  <c r="H718" i="55"/>
  <c r="C718" i="55"/>
  <c r="X717" i="55"/>
  <c r="S717" i="55"/>
  <c r="AO458" i="26"/>
  <c r="AT458" i="26" s="1"/>
  <c r="BK458" i="26"/>
  <c r="AJ458" i="26"/>
  <c r="AK458" i="26" s="1"/>
  <c r="N458" i="26"/>
  <c r="AV457" i="55"/>
  <c r="BT457" i="26"/>
  <c r="S458" i="26"/>
  <c r="T458" i="26" s="1"/>
  <c r="BC458" i="26" s="1"/>
  <c r="L459" i="26"/>
  <c r="W459" i="26"/>
  <c r="A459" i="26"/>
  <c r="B459" i="26"/>
  <c r="G459" i="26" s="1"/>
  <c r="H459" i="26"/>
  <c r="Q459" i="26"/>
  <c r="C459" i="26"/>
  <c r="AS459" i="26" s="1"/>
  <c r="BJ459" i="26" s="1"/>
  <c r="AL458" i="26"/>
  <c r="AM458" i="26" l="1"/>
  <c r="AU458" i="26" s="1"/>
  <c r="D718" i="55"/>
  <c r="P718" i="55"/>
  <c r="V718" i="55" s="1"/>
  <c r="G718" i="55"/>
  <c r="M718" i="55"/>
  <c r="W718" i="55"/>
  <c r="O718" i="55"/>
  <c r="E719" i="55"/>
  <c r="V459" i="26"/>
  <c r="AO459" i="26"/>
  <c r="U459" i="26"/>
  <c r="AF459" i="26" s="1"/>
  <c r="AN459" i="26" s="1"/>
  <c r="K459" i="26"/>
  <c r="M459" i="26" s="1"/>
  <c r="D459" i="26"/>
  <c r="AP459" i="26"/>
  <c r="BL458" i="26"/>
  <c r="X459" i="26"/>
  <c r="F459" i="26"/>
  <c r="R459" i="26" s="1"/>
  <c r="A719" i="55" l="1"/>
  <c r="B719" i="55"/>
  <c r="H719" i="55"/>
  <c r="C719" i="55"/>
  <c r="Q719" i="55"/>
  <c r="K719" i="55"/>
  <c r="L719" i="55" s="1"/>
  <c r="O719" i="55"/>
  <c r="U719" i="55"/>
  <c r="N718" i="55"/>
  <c r="W719" i="55"/>
  <c r="BK459" i="26"/>
  <c r="AT459" i="26"/>
  <c r="P459" i="26"/>
  <c r="E460" i="26"/>
  <c r="O459" i="26"/>
  <c r="AV458" i="55"/>
  <c r="BT458" i="26"/>
  <c r="N459" i="26"/>
  <c r="AJ459" i="26"/>
  <c r="AK459" i="26" s="1"/>
  <c r="AL459" i="26" l="1"/>
  <c r="AM459" i="26" s="1"/>
  <c r="AU459" i="26" s="1"/>
  <c r="D719" i="55"/>
  <c r="M719" i="55" s="1"/>
  <c r="F719" i="55"/>
  <c r="X718" i="55"/>
  <c r="S718" i="55"/>
  <c r="G719" i="55"/>
  <c r="P719" i="55"/>
  <c r="V719" i="55" s="1"/>
  <c r="E720" i="55"/>
  <c r="C460" i="26"/>
  <c r="AS460" i="26" s="1"/>
  <c r="BJ460" i="26" s="1"/>
  <c r="L460" i="26"/>
  <c r="H460" i="26"/>
  <c r="W460" i="26"/>
  <c r="Q460" i="26"/>
  <c r="A460" i="26"/>
  <c r="B460" i="26"/>
  <c r="S459" i="26"/>
  <c r="T459" i="26" s="1"/>
  <c r="BC459" i="26" s="1"/>
  <c r="B720" i="55" l="1"/>
  <c r="K720" i="55"/>
  <c r="L720" i="55" s="1"/>
  <c r="C720" i="55"/>
  <c r="O720" i="55" s="1"/>
  <c r="A720" i="55"/>
  <c r="Q720" i="55"/>
  <c r="H720" i="55"/>
  <c r="U720" i="55"/>
  <c r="V720" i="55" s="1"/>
  <c r="P720" i="55"/>
  <c r="N719" i="55"/>
  <c r="AP460" i="26"/>
  <c r="V460" i="26"/>
  <c r="AO460" i="26" s="1"/>
  <c r="D460" i="26"/>
  <c r="E461" i="26" s="1"/>
  <c r="F460" i="26"/>
  <c r="R460" i="26" s="1"/>
  <c r="G460" i="26"/>
  <c r="BL459" i="26"/>
  <c r="U460" i="26"/>
  <c r="AF460" i="26" s="1"/>
  <c r="AN460" i="26" s="1"/>
  <c r="K460" i="26"/>
  <c r="M460" i="26" s="1"/>
  <c r="P460" i="26"/>
  <c r="X460" i="26"/>
  <c r="BK460" i="26" l="1"/>
  <c r="S719" i="55"/>
  <c r="X719" i="55"/>
  <c r="AT460" i="26"/>
  <c r="G720" i="55"/>
  <c r="F720" i="55"/>
  <c r="W720" i="55"/>
  <c r="D720" i="55"/>
  <c r="O460" i="26"/>
  <c r="S460" i="26" s="1"/>
  <c r="T460" i="26" s="1"/>
  <c r="BC460" i="26" s="1"/>
  <c r="B461" i="26"/>
  <c r="F461" i="26" s="1"/>
  <c r="A461" i="26"/>
  <c r="C461" i="26"/>
  <c r="H461" i="26"/>
  <c r="Q461" i="26"/>
  <c r="R461" i="26" s="1"/>
  <c r="L461" i="26"/>
  <c r="W461" i="26"/>
  <c r="U461" i="26"/>
  <c r="N460" i="26"/>
  <c r="AJ460" i="26"/>
  <c r="AK460" i="26" s="1"/>
  <c r="AV459" i="55"/>
  <c r="BT459" i="26"/>
  <c r="AL460" i="26" l="1"/>
  <c r="AM460" i="26" s="1"/>
  <c r="AU460" i="26" s="1"/>
  <c r="V461" i="26"/>
  <c r="M720" i="55"/>
  <c r="E721" i="55"/>
  <c r="K461" i="26"/>
  <c r="M461" i="26" s="1"/>
  <c r="N461" i="26" s="1"/>
  <c r="AF461" i="26"/>
  <c r="AN461" i="26" s="1"/>
  <c r="BL460" i="26"/>
  <c r="D461" i="26"/>
  <c r="E462" i="26" s="1"/>
  <c r="X461" i="26"/>
  <c r="AP461" i="26"/>
  <c r="G461" i="26"/>
  <c r="AV460" i="55"/>
  <c r="BT460" i="26"/>
  <c r="A721" i="55" l="1"/>
  <c r="H721" i="55"/>
  <c r="B721" i="55"/>
  <c r="G721" i="55" s="1"/>
  <c r="D721" i="55"/>
  <c r="M721" i="55" s="1"/>
  <c r="K721" i="55"/>
  <c r="L721" i="55" s="1"/>
  <c r="Q721" i="55"/>
  <c r="C721" i="55"/>
  <c r="N720" i="55"/>
  <c r="U721" i="55"/>
  <c r="AJ461" i="26"/>
  <c r="AK461" i="26" s="1"/>
  <c r="O721" i="55"/>
  <c r="W462" i="26"/>
  <c r="A462" i="26"/>
  <c r="B462" i="26"/>
  <c r="Q462" i="26"/>
  <c r="L462" i="26"/>
  <c r="H462" i="26"/>
  <c r="C462" i="26"/>
  <c r="V462" i="26" s="1"/>
  <c r="O461" i="26"/>
  <c r="P461" i="26"/>
  <c r="D462" i="26"/>
  <c r="AO461" i="26"/>
  <c r="AT461" i="26" s="1"/>
  <c r="BK461" i="26"/>
  <c r="AL461" i="26" l="1"/>
  <c r="AM461" i="26" s="1"/>
  <c r="AU461" i="26" s="1"/>
  <c r="W721" i="55"/>
  <c r="E722" i="55"/>
  <c r="F721" i="55"/>
  <c r="X720" i="55"/>
  <c r="S720" i="55"/>
  <c r="N721" i="55"/>
  <c r="P721" i="55"/>
  <c r="V721" i="55" s="1"/>
  <c r="K462" i="26"/>
  <c r="M462" i="26" s="1"/>
  <c r="N462" i="26" s="1"/>
  <c r="AP462" i="26"/>
  <c r="G462" i="26"/>
  <c r="X462" i="26"/>
  <c r="F462" i="26"/>
  <c r="R462" i="26" s="1"/>
  <c r="S461" i="26"/>
  <c r="T461" i="26" s="1"/>
  <c r="BC461" i="26" s="1"/>
  <c r="AS462" i="26"/>
  <c r="BJ462" i="26" s="1"/>
  <c r="U462" i="26"/>
  <c r="AF462" i="26" s="1"/>
  <c r="AN462" i="26" s="1"/>
  <c r="E463" i="26"/>
  <c r="P462" i="26"/>
  <c r="O462" i="26"/>
  <c r="AJ462" i="26" l="1"/>
  <c r="AK462" i="26" s="1"/>
  <c r="AL462" i="26"/>
  <c r="AM462" i="26" s="1"/>
  <c r="AU462" i="26" s="1"/>
  <c r="S462" i="26"/>
  <c r="T462" i="26" s="1"/>
  <c r="BC462" i="26" s="1"/>
  <c r="S721" i="55"/>
  <c r="X721" i="55"/>
  <c r="C722" i="55"/>
  <c r="U722" i="55" s="1"/>
  <c r="Q722" i="55"/>
  <c r="H722" i="55"/>
  <c r="F722" i="55"/>
  <c r="B722" i="55"/>
  <c r="K722" i="55"/>
  <c r="L722" i="55" s="1"/>
  <c r="A722" i="55"/>
  <c r="BL461" i="26"/>
  <c r="AO462" i="26"/>
  <c r="AT462" i="26" s="1"/>
  <c r="BK462" i="26"/>
  <c r="W463" i="26"/>
  <c r="H463" i="26"/>
  <c r="A463" i="26"/>
  <c r="Q463" i="26"/>
  <c r="C463" i="26"/>
  <c r="V463" i="26" s="1"/>
  <c r="B463" i="26"/>
  <c r="D463" i="26" s="1"/>
  <c r="L463" i="26"/>
  <c r="BL462" i="26" l="1"/>
  <c r="G722" i="55"/>
  <c r="P722" i="55"/>
  <c r="V722" i="55" s="1"/>
  <c r="D722" i="55"/>
  <c r="M722" i="55" s="1"/>
  <c r="N722" i="55" s="1"/>
  <c r="O722" i="55"/>
  <c r="W722" i="55"/>
  <c r="AO463" i="26"/>
  <c r="F463" i="26"/>
  <c r="R463" i="26" s="1"/>
  <c r="AV461" i="55"/>
  <c r="BT461" i="26"/>
  <c r="AV462" i="55"/>
  <c r="BT462" i="26"/>
  <c r="U463" i="26"/>
  <c r="AF463" i="26" s="1"/>
  <c r="AN463" i="26" s="1"/>
  <c r="E464" i="26"/>
  <c r="AS463" i="26"/>
  <c r="BJ463" i="26" s="1"/>
  <c r="K463" i="26"/>
  <c r="M463" i="26" s="1"/>
  <c r="P463" i="26"/>
  <c r="X463" i="26"/>
  <c r="BK463" i="26" s="1"/>
  <c r="AP463" i="26"/>
  <c r="G463" i="26"/>
  <c r="O463" i="26"/>
  <c r="AL463" i="26" l="1"/>
  <c r="AM463" i="26" s="1"/>
  <c r="AU463" i="26" s="1"/>
  <c r="E723" i="55"/>
  <c r="S722" i="55"/>
  <c r="X722" i="55"/>
  <c r="AT463" i="26"/>
  <c r="N463" i="26"/>
  <c r="AJ463" i="26"/>
  <c r="AK463" i="26" s="1"/>
  <c r="L464" i="26"/>
  <c r="A464" i="26"/>
  <c r="Q464" i="26"/>
  <c r="H464" i="26"/>
  <c r="W464" i="26"/>
  <c r="B464" i="26"/>
  <c r="C464" i="26"/>
  <c r="V464" i="26" s="1"/>
  <c r="S463" i="26"/>
  <c r="T463" i="26" s="1"/>
  <c r="BC463" i="26" s="1"/>
  <c r="C723" i="55" l="1"/>
  <c r="O723" i="55" s="1"/>
  <c r="U723" i="55"/>
  <c r="Q723" i="55"/>
  <c r="K723" i="55"/>
  <c r="L723" i="55" s="1"/>
  <c r="B723" i="55"/>
  <c r="H723" i="55"/>
  <c r="A723" i="55"/>
  <c r="G464" i="26"/>
  <c r="F464" i="26"/>
  <c r="R464" i="26" s="1"/>
  <c r="X464" i="26"/>
  <c r="AP464" i="26"/>
  <c r="D464" i="26"/>
  <c r="E465" i="26" s="1"/>
  <c r="K464" i="26"/>
  <c r="M464" i="26" s="1"/>
  <c r="AS464" i="26"/>
  <c r="BJ464" i="26" s="1"/>
  <c r="U464" i="26"/>
  <c r="AF464" i="26" s="1"/>
  <c r="AN464" i="26" s="1"/>
  <c r="BL463" i="26"/>
  <c r="V723" i="55" l="1"/>
  <c r="P464" i="26"/>
  <c r="W723" i="55"/>
  <c r="D723" i="55"/>
  <c r="G723" i="55"/>
  <c r="F723" i="55"/>
  <c r="P723" i="55"/>
  <c r="N464" i="26"/>
  <c r="AJ464" i="26"/>
  <c r="AK464" i="26" s="1"/>
  <c r="Q465" i="26"/>
  <c r="A465" i="26"/>
  <c r="B465" i="26"/>
  <c r="W465" i="26"/>
  <c r="H465" i="26"/>
  <c r="L465" i="26"/>
  <c r="C465" i="26"/>
  <c r="V465" i="26" s="1"/>
  <c r="BT463" i="26"/>
  <c r="AV463" i="55"/>
  <c r="O464" i="26"/>
  <c r="AO464" i="26"/>
  <c r="AT464" i="26" s="1"/>
  <c r="BK464" i="26"/>
  <c r="AL464" i="26" l="1"/>
  <c r="AM464" i="26" s="1"/>
  <c r="AU464" i="26" s="1"/>
  <c r="M723" i="55"/>
  <c r="E724" i="55"/>
  <c r="S464" i="26"/>
  <c r="T464" i="26" s="1"/>
  <c r="BC464" i="26" s="1"/>
  <c r="AS465" i="26"/>
  <c r="BJ465" i="26" s="1"/>
  <c r="U465" i="26"/>
  <c r="AF465" i="26" s="1"/>
  <c r="AN465" i="26" s="1"/>
  <c r="AO465" i="26"/>
  <c r="K465" i="26"/>
  <c r="M465" i="26" s="1"/>
  <c r="F465" i="26"/>
  <c r="R465" i="26" s="1"/>
  <c r="X465" i="26"/>
  <c r="BK465" i="26" s="1"/>
  <c r="G465" i="26"/>
  <c r="AP465" i="26"/>
  <c r="D465" i="26"/>
  <c r="P465" i="26" s="1"/>
  <c r="H724" i="55" l="1"/>
  <c r="K724" i="55"/>
  <c r="L724" i="55" s="1"/>
  <c r="A724" i="55"/>
  <c r="B724" i="55"/>
  <c r="W724" i="55" s="1"/>
  <c r="C724" i="55"/>
  <c r="Q724" i="55"/>
  <c r="N723" i="55"/>
  <c r="O465" i="26"/>
  <c r="N465" i="26"/>
  <c r="AJ465" i="26"/>
  <c r="AK465" i="26" s="1"/>
  <c r="AT465" i="26"/>
  <c r="BL464" i="26"/>
  <c r="E466" i="26"/>
  <c r="AL465" i="26" l="1"/>
  <c r="AM465" i="26" s="1"/>
  <c r="AU465" i="26" s="1"/>
  <c r="F724" i="55"/>
  <c r="X723" i="55"/>
  <c r="S723" i="55"/>
  <c r="D724" i="55"/>
  <c r="M724" i="55" s="1"/>
  <c r="G724" i="55"/>
  <c r="O724" i="55"/>
  <c r="U724" i="55"/>
  <c r="V724" i="55" s="1"/>
  <c r="P724" i="55"/>
  <c r="BT464" i="26"/>
  <c r="AV464" i="55"/>
  <c r="C466" i="26"/>
  <c r="U466" i="26" s="1"/>
  <c r="W466" i="26"/>
  <c r="B466" i="26"/>
  <c r="Q466" i="26"/>
  <c r="A466" i="26"/>
  <c r="L466" i="26"/>
  <c r="H466" i="26"/>
  <c r="D466" i="26"/>
  <c r="S465" i="26"/>
  <c r="T465" i="26" s="1"/>
  <c r="BC465" i="26" s="1"/>
  <c r="O466" i="26"/>
  <c r="N724" i="55" l="1"/>
  <c r="X724" i="55" s="1"/>
  <c r="S724" i="55"/>
  <c r="E725" i="55"/>
  <c r="P466" i="26"/>
  <c r="V466" i="26"/>
  <c r="AF466" i="26"/>
  <c r="AN466" i="26" s="1"/>
  <c r="AS466" i="26"/>
  <c r="BJ466" i="26" s="1"/>
  <c r="BL465" i="26"/>
  <c r="AP466" i="26"/>
  <c r="E467" i="26"/>
  <c r="F466" i="26"/>
  <c r="R466" i="26" s="1"/>
  <c r="X466" i="26"/>
  <c r="K466" i="26"/>
  <c r="M466" i="26" s="1"/>
  <c r="G466" i="26"/>
  <c r="AL466" i="26" l="1"/>
  <c r="AM466" i="26" s="1"/>
  <c r="AU466" i="26" s="1"/>
  <c r="K725" i="55"/>
  <c r="L725" i="55" s="1"/>
  <c r="A725" i="55"/>
  <c r="C725" i="55"/>
  <c r="E726" i="55" s="1"/>
  <c r="B725" i="55"/>
  <c r="D725" i="55" s="1"/>
  <c r="M725" i="55" s="1"/>
  <c r="N725" i="55" s="1"/>
  <c r="X725" i="55" s="1"/>
  <c r="O725" i="55"/>
  <c r="H725" i="55"/>
  <c r="Q725" i="55"/>
  <c r="P725" i="55"/>
  <c r="G725" i="55"/>
  <c r="F725" i="55"/>
  <c r="S725" i="55"/>
  <c r="AJ466" i="26"/>
  <c r="AK466" i="26" s="1"/>
  <c r="N466" i="26"/>
  <c r="L467" i="26"/>
  <c r="Q467" i="26"/>
  <c r="C467" i="26"/>
  <c r="V467" i="26" s="1"/>
  <c r="A467" i="26"/>
  <c r="B467" i="26"/>
  <c r="W467" i="26"/>
  <c r="H467" i="26"/>
  <c r="S466" i="26"/>
  <c r="T466" i="26" s="1"/>
  <c r="AO466" i="26"/>
  <c r="AT466" i="26" s="1"/>
  <c r="BK466" i="26"/>
  <c r="BT465" i="26"/>
  <c r="AV465" i="55"/>
  <c r="BL466" i="26" l="1"/>
  <c r="BC466" i="26"/>
  <c r="BT466" i="26" s="1"/>
  <c r="C726" i="55"/>
  <c r="O726" i="55" s="1"/>
  <c r="H726" i="55"/>
  <c r="Q726" i="55"/>
  <c r="K726" i="55"/>
  <c r="L726" i="55" s="1"/>
  <c r="A726" i="55"/>
  <c r="B726" i="55"/>
  <c r="P726" i="55" s="1"/>
  <c r="U726" i="55"/>
  <c r="W725" i="55"/>
  <c r="AO467" i="26"/>
  <c r="U467" i="26"/>
  <c r="AF467" i="26" s="1"/>
  <c r="AN467" i="26" s="1"/>
  <c r="AS467" i="26"/>
  <c r="BJ467" i="26" s="1"/>
  <c r="D467" i="26"/>
  <c r="E468" i="26" s="1"/>
  <c r="AP467" i="26"/>
  <c r="K467" i="26"/>
  <c r="M467" i="26" s="1"/>
  <c r="X467" i="26"/>
  <c r="BK467" i="26" s="1"/>
  <c r="G467" i="26"/>
  <c r="F467" i="26"/>
  <c r="R467" i="26" s="1"/>
  <c r="AV466" i="55" l="1"/>
  <c r="G726" i="55"/>
  <c r="W726" i="55"/>
  <c r="D726" i="55"/>
  <c r="F726" i="55"/>
  <c r="V726" i="55"/>
  <c r="P467" i="26"/>
  <c r="AT467" i="26"/>
  <c r="N467" i="26"/>
  <c r="AJ467" i="26"/>
  <c r="AK467" i="26" s="1"/>
  <c r="W468" i="26"/>
  <c r="A468" i="26"/>
  <c r="H468" i="26"/>
  <c r="Q468" i="26"/>
  <c r="L468" i="26"/>
  <c r="B468" i="26"/>
  <c r="C468" i="26"/>
  <c r="AS468" i="26" s="1"/>
  <c r="BJ468" i="26" s="1"/>
  <c r="O467" i="26"/>
  <c r="AL467" i="26" l="1"/>
  <c r="AM467" i="26" s="1"/>
  <c r="AU467" i="26" s="1"/>
  <c r="E727" i="55"/>
  <c r="M726" i="55"/>
  <c r="X468" i="26"/>
  <c r="V468" i="26"/>
  <c r="AP468" i="26"/>
  <c r="K468" i="26"/>
  <c r="M468" i="26" s="1"/>
  <c r="N468" i="26" s="1"/>
  <c r="S467" i="26"/>
  <c r="T467" i="26" s="1"/>
  <c r="BC467" i="26" s="1"/>
  <c r="G468" i="26"/>
  <c r="D468" i="26"/>
  <c r="F468" i="26"/>
  <c r="R468" i="26" s="1"/>
  <c r="U468" i="26"/>
  <c r="AF468" i="26" s="1"/>
  <c r="AN468" i="26" s="1"/>
  <c r="N726" i="55" l="1"/>
  <c r="A727" i="55"/>
  <c r="B727" i="55"/>
  <c r="G727" i="55" s="1"/>
  <c r="Q727" i="55"/>
  <c r="C727" i="55"/>
  <c r="H727" i="55"/>
  <c r="O727" i="55"/>
  <c r="K727" i="55"/>
  <c r="L727" i="55" s="1"/>
  <c r="W727" i="55"/>
  <c r="U727" i="55"/>
  <c r="D727" i="55"/>
  <c r="M727" i="55" s="1"/>
  <c r="N727" i="55" s="1"/>
  <c r="P727" i="55"/>
  <c r="F727" i="55"/>
  <c r="AJ468" i="26"/>
  <c r="AK468" i="26" s="1"/>
  <c r="AO468" i="26"/>
  <c r="AT468" i="26" s="1"/>
  <c r="BK468" i="26"/>
  <c r="P468" i="26"/>
  <c r="O468" i="26"/>
  <c r="E469" i="26"/>
  <c r="BL467" i="26"/>
  <c r="AL468" i="26" l="1"/>
  <c r="AM468" i="26" s="1"/>
  <c r="AU468" i="26" s="1"/>
  <c r="X727" i="55"/>
  <c r="E728" i="55"/>
  <c r="X726" i="55"/>
  <c r="S726" i="55"/>
  <c r="V727" i="55"/>
  <c r="S468" i="26"/>
  <c r="T468" i="26" s="1"/>
  <c r="BC468" i="26" s="1"/>
  <c r="AV467" i="55"/>
  <c r="BT467" i="26"/>
  <c r="L469" i="26"/>
  <c r="H469" i="26"/>
  <c r="Q469" i="26"/>
  <c r="B469" i="26"/>
  <c r="A469" i="26"/>
  <c r="W469" i="26"/>
  <c r="C469" i="26"/>
  <c r="V469" i="26" s="1"/>
  <c r="C728" i="55" l="1"/>
  <c r="H728" i="55"/>
  <c r="A728" i="55"/>
  <c r="K728" i="55"/>
  <c r="L728" i="55" s="1"/>
  <c r="U728" i="55"/>
  <c r="Q728" i="55"/>
  <c r="B728" i="55"/>
  <c r="W728" i="55" s="1"/>
  <c r="F728" i="55"/>
  <c r="G728" i="55"/>
  <c r="S727" i="55"/>
  <c r="AP469" i="26"/>
  <c r="D469" i="26"/>
  <c r="O469" i="26" s="1"/>
  <c r="S469" i="26" s="1"/>
  <c r="T469" i="26" s="1"/>
  <c r="BL469" i="26" s="1"/>
  <c r="F469" i="26"/>
  <c r="R469" i="26" s="1"/>
  <c r="X469" i="26"/>
  <c r="K469" i="26"/>
  <c r="M469" i="26" s="1"/>
  <c r="G469" i="26"/>
  <c r="AS469" i="26"/>
  <c r="BJ469" i="26" s="1"/>
  <c r="U469" i="26"/>
  <c r="AF469" i="26" s="1"/>
  <c r="AN469" i="26" s="1"/>
  <c r="BL468" i="26"/>
  <c r="BC469" i="26" l="1"/>
  <c r="AV469" i="55" s="1"/>
  <c r="D728" i="55"/>
  <c r="M728" i="55" s="1"/>
  <c r="P728" i="55"/>
  <c r="V728" i="55" s="1"/>
  <c r="O728" i="55"/>
  <c r="E729" i="55"/>
  <c r="BT468" i="26"/>
  <c r="AV468" i="55"/>
  <c r="BK469" i="26"/>
  <c r="AJ469" i="26"/>
  <c r="AK469" i="26" s="1"/>
  <c r="N469" i="26"/>
  <c r="E470" i="26"/>
  <c r="P469" i="26"/>
  <c r="AO469" i="26"/>
  <c r="AT469" i="26" s="1"/>
  <c r="AL469" i="26" l="1"/>
  <c r="AM469" i="26" s="1"/>
  <c r="AU469" i="26" s="1"/>
  <c r="N728" i="55"/>
  <c r="Q729" i="55"/>
  <c r="H729" i="55"/>
  <c r="B729" i="55"/>
  <c r="F729" i="55" s="1"/>
  <c r="K729" i="55"/>
  <c r="L729" i="55" s="1"/>
  <c r="C729" i="55"/>
  <c r="A729" i="55"/>
  <c r="U729" i="55"/>
  <c r="D729" i="55"/>
  <c r="M729" i="55" s="1"/>
  <c r="O729" i="55"/>
  <c r="BT469" i="26"/>
  <c r="Q470" i="26"/>
  <c r="B470" i="26"/>
  <c r="A470" i="26"/>
  <c r="L470" i="26"/>
  <c r="H470" i="26"/>
  <c r="C470" i="26"/>
  <c r="V470" i="26" s="1"/>
  <c r="W470" i="26"/>
  <c r="G729" i="55" l="1"/>
  <c r="P729" i="55"/>
  <c r="V729" i="55" s="1"/>
  <c r="E730" i="55"/>
  <c r="N729" i="55"/>
  <c r="W729" i="55"/>
  <c r="X728" i="55"/>
  <c r="S728" i="55"/>
  <c r="K470" i="26"/>
  <c r="M470" i="26" s="1"/>
  <c r="F470" i="26"/>
  <c r="R470" i="26" s="1"/>
  <c r="AP470" i="26"/>
  <c r="D470" i="26"/>
  <c r="O470" i="26" s="1"/>
  <c r="X470" i="26"/>
  <c r="G470" i="26"/>
  <c r="U470" i="26"/>
  <c r="AF470" i="26" s="1"/>
  <c r="AN470" i="26" s="1"/>
  <c r="AO470" i="26"/>
  <c r="AS470" i="26"/>
  <c r="BJ470" i="26" s="1"/>
  <c r="B730" i="55" l="1"/>
  <c r="Q730" i="55"/>
  <c r="A730" i="55"/>
  <c r="H730" i="55"/>
  <c r="K730" i="55"/>
  <c r="L730" i="55" s="1"/>
  <c r="C730" i="55"/>
  <c r="O730" i="55" s="1"/>
  <c r="U730" i="55"/>
  <c r="W730" i="55"/>
  <c r="X729" i="55"/>
  <c r="S729" i="55"/>
  <c r="E471" i="26"/>
  <c r="A471" i="26" s="1"/>
  <c r="AT470" i="26"/>
  <c r="BK470" i="26"/>
  <c r="S470" i="26"/>
  <c r="T470" i="26" s="1"/>
  <c r="BC470" i="26" s="1"/>
  <c r="P470" i="26"/>
  <c r="N470" i="26"/>
  <c r="AJ470" i="26"/>
  <c r="AK470" i="26" s="1"/>
  <c r="AL470" i="26" l="1"/>
  <c r="AM470" i="26" s="1"/>
  <c r="AU470" i="26" s="1"/>
  <c r="H471" i="26"/>
  <c r="C471" i="26"/>
  <c r="AO471" i="26"/>
  <c r="L471" i="26"/>
  <c r="B471" i="26"/>
  <c r="D471" i="26" s="1"/>
  <c r="Q471" i="26"/>
  <c r="W471" i="26"/>
  <c r="D730" i="55"/>
  <c r="M730" i="55" s="1"/>
  <c r="K471" i="26"/>
  <c r="M471" i="26" s="1"/>
  <c r="F730" i="55"/>
  <c r="P730" i="55"/>
  <c r="V730" i="55" s="1"/>
  <c r="E731" i="55"/>
  <c r="G730" i="55"/>
  <c r="V471" i="26"/>
  <c r="X471" i="26"/>
  <c r="BL470" i="26"/>
  <c r="E472" i="26"/>
  <c r="AS471" i="26"/>
  <c r="BJ471" i="26" s="1"/>
  <c r="U471" i="26"/>
  <c r="AF471" i="26" s="1"/>
  <c r="AN471" i="26" s="1"/>
  <c r="G471" i="26"/>
  <c r="P471" i="26"/>
  <c r="O471" i="26"/>
  <c r="F471" i="26"/>
  <c r="R471" i="26" s="1"/>
  <c r="AP471" i="26"/>
  <c r="AL471" i="26" l="1"/>
  <c r="AM471" i="26" s="1"/>
  <c r="AU471" i="26" s="1"/>
  <c r="N471" i="26"/>
  <c r="AJ471" i="26"/>
  <c r="AK471" i="26" s="1"/>
  <c r="K731" i="55"/>
  <c r="L731" i="55" s="1"/>
  <c r="H731" i="55"/>
  <c r="Q731" i="55"/>
  <c r="B731" i="55"/>
  <c r="D731" i="55" s="1"/>
  <c r="A731" i="55"/>
  <c r="C731" i="55"/>
  <c r="F731" i="55"/>
  <c r="G731" i="55"/>
  <c r="U731" i="55"/>
  <c r="O731" i="55"/>
  <c r="N730" i="55"/>
  <c r="AT471" i="26"/>
  <c r="AV470" i="55"/>
  <c r="BT470" i="26"/>
  <c r="S471" i="26"/>
  <c r="T471" i="26" s="1"/>
  <c r="BC471" i="26" s="1"/>
  <c r="W472" i="26"/>
  <c r="C472" i="26"/>
  <c r="AS472" i="26" s="1"/>
  <c r="BJ472" i="26" s="1"/>
  <c r="Q472" i="26"/>
  <c r="A472" i="26"/>
  <c r="L472" i="26"/>
  <c r="H472" i="26"/>
  <c r="B472" i="26"/>
  <c r="G472" i="26" s="1"/>
  <c r="BK471" i="26"/>
  <c r="X472" i="26" l="1"/>
  <c r="X730" i="55"/>
  <c r="S730" i="55"/>
  <c r="W731" i="55"/>
  <c r="E732" i="55"/>
  <c r="P731" i="55"/>
  <c r="V731" i="55" s="1"/>
  <c r="M731" i="55"/>
  <c r="V472" i="26"/>
  <c r="U472" i="26"/>
  <c r="AF472" i="26" s="1"/>
  <c r="AN472" i="26" s="1"/>
  <c r="F472" i="26"/>
  <c r="R472" i="26" s="1"/>
  <c r="AP472" i="26"/>
  <c r="D472" i="26"/>
  <c r="E473" i="26" s="1"/>
  <c r="P472" i="26"/>
  <c r="BL471" i="26"/>
  <c r="K472" i="26"/>
  <c r="M472" i="26" s="1"/>
  <c r="BK472" i="26"/>
  <c r="B732" i="55" l="1"/>
  <c r="D732" i="55" s="1"/>
  <c r="M732" i="55" s="1"/>
  <c r="N732" i="55" s="1"/>
  <c r="K732" i="55"/>
  <c r="L732" i="55" s="1"/>
  <c r="C732" i="55"/>
  <c r="E733" i="55" s="1"/>
  <c r="H732" i="55"/>
  <c r="Q732" i="55"/>
  <c r="A732" i="55"/>
  <c r="P732" i="55"/>
  <c r="F732" i="55"/>
  <c r="U732" i="55"/>
  <c r="V732" i="55" s="1"/>
  <c r="O732" i="55"/>
  <c r="G732" i="55"/>
  <c r="O472" i="26"/>
  <c r="S472" i="26" s="1"/>
  <c r="T472" i="26" s="1"/>
  <c r="BC472" i="26" s="1"/>
  <c r="N731" i="55"/>
  <c r="AO472" i="26"/>
  <c r="AT472" i="26" s="1"/>
  <c r="BT471" i="26"/>
  <c r="AV471" i="55"/>
  <c r="AJ472" i="26"/>
  <c r="AK472" i="26" s="1"/>
  <c r="N472" i="26"/>
  <c r="H473" i="26"/>
  <c r="W473" i="26"/>
  <c r="B473" i="26"/>
  <c r="L473" i="26"/>
  <c r="Q473" i="26"/>
  <c r="A473" i="26"/>
  <c r="C473" i="26"/>
  <c r="U473" i="26" s="1"/>
  <c r="AL472" i="26" l="1"/>
  <c r="AM472" i="26" s="1"/>
  <c r="AU472" i="26" s="1"/>
  <c r="W732" i="55"/>
  <c r="H733" i="55"/>
  <c r="C733" i="55"/>
  <c r="Q733" i="55"/>
  <c r="A733" i="55"/>
  <c r="B733" i="55"/>
  <c r="D733" i="55" s="1"/>
  <c r="M733" i="55" s="1"/>
  <c r="N733" i="55" s="1"/>
  <c r="K733" i="55"/>
  <c r="L733" i="55" s="1"/>
  <c r="P733" i="55"/>
  <c r="W733" i="55"/>
  <c r="U733" i="55"/>
  <c r="V733" i="55" s="1"/>
  <c r="X731" i="55"/>
  <c r="S731" i="55"/>
  <c r="S732" i="55" s="1"/>
  <c r="X732" i="55"/>
  <c r="K473" i="26"/>
  <c r="M473" i="26" s="1"/>
  <c r="N473" i="26" s="1"/>
  <c r="V473" i="26"/>
  <c r="F473" i="26"/>
  <c r="R473" i="26" s="1"/>
  <c r="P473" i="26"/>
  <c r="G473" i="26"/>
  <c r="D473" i="26"/>
  <c r="X473" i="26"/>
  <c r="BL472" i="26"/>
  <c r="AP473" i="26"/>
  <c r="AF473" i="26"/>
  <c r="AN473" i="26" s="1"/>
  <c r="G733" i="55" l="1"/>
  <c r="E734" i="55"/>
  <c r="F733" i="55"/>
  <c r="X733" i="55"/>
  <c r="O733" i="55"/>
  <c r="S733" i="55" s="1"/>
  <c r="AJ473" i="26"/>
  <c r="AK473" i="26" s="1"/>
  <c r="AO473" i="26"/>
  <c r="AT473" i="26" s="1"/>
  <c r="BK473" i="26"/>
  <c r="E474" i="26"/>
  <c r="O473" i="26"/>
  <c r="BT472" i="26"/>
  <c r="AV472" i="55"/>
  <c r="AL473" i="26" l="1"/>
  <c r="AM473" i="26" s="1"/>
  <c r="AU473" i="26" s="1"/>
  <c r="B734" i="55"/>
  <c r="F734" i="55" s="1"/>
  <c r="Q734" i="55"/>
  <c r="P734" i="55"/>
  <c r="A734" i="55"/>
  <c r="H734" i="55"/>
  <c r="K734" i="55"/>
  <c r="L734" i="55" s="1"/>
  <c r="C734" i="55"/>
  <c r="O734" i="55" s="1"/>
  <c r="W734" i="55"/>
  <c r="D734" i="55"/>
  <c r="E735" i="55" s="1"/>
  <c r="G734" i="55"/>
  <c r="H474" i="26"/>
  <c r="C474" i="26"/>
  <c r="V474" i="26" s="1"/>
  <c r="W474" i="26"/>
  <c r="B474" i="26"/>
  <c r="F474" i="26" s="1"/>
  <c r="Q474" i="26"/>
  <c r="A474" i="26"/>
  <c r="L474" i="26"/>
  <c r="S473" i="26"/>
  <c r="T473" i="26" s="1"/>
  <c r="BC473" i="26" s="1"/>
  <c r="U734" i="55" l="1"/>
  <c r="V734" i="55" s="1"/>
  <c r="M734" i="55"/>
  <c r="H735" i="55"/>
  <c r="A735" i="55"/>
  <c r="Q735" i="55"/>
  <c r="U735" i="55"/>
  <c r="V735" i="55" s="1"/>
  <c r="B735" i="55"/>
  <c r="P735" i="55" s="1"/>
  <c r="K735" i="55"/>
  <c r="L735" i="55" s="1"/>
  <c r="C735" i="55"/>
  <c r="D735" i="55"/>
  <c r="M735" i="55" s="1"/>
  <c r="N735" i="55" s="1"/>
  <c r="G735" i="55"/>
  <c r="O735" i="55"/>
  <c r="D474" i="26"/>
  <c r="P474" i="26" s="1"/>
  <c r="G474" i="26"/>
  <c r="R474" i="26"/>
  <c r="X474" i="26"/>
  <c r="AP474" i="26"/>
  <c r="K474" i="26"/>
  <c r="M474" i="26" s="1"/>
  <c r="BL473" i="26"/>
  <c r="U474" i="26"/>
  <c r="AF474" i="26" s="1"/>
  <c r="AN474" i="26" s="1"/>
  <c r="AS474" i="26"/>
  <c r="BJ474" i="26" s="1"/>
  <c r="E475" i="26" l="1"/>
  <c r="O474" i="26"/>
  <c r="S474" i="26" s="1"/>
  <c r="T474" i="26" s="1"/>
  <c r="BC474" i="26" s="1"/>
  <c r="X735" i="55"/>
  <c r="E736" i="55"/>
  <c r="N734" i="55"/>
  <c r="W735" i="55"/>
  <c r="F735" i="55"/>
  <c r="AJ474" i="26"/>
  <c r="AK474" i="26" s="1"/>
  <c r="N474" i="26"/>
  <c r="AV473" i="55"/>
  <c r="BT473" i="26"/>
  <c r="AO474" i="26"/>
  <c r="AT474" i="26" s="1"/>
  <c r="BK474" i="26"/>
  <c r="Q475" i="26"/>
  <c r="C475" i="26"/>
  <c r="V475" i="26" s="1"/>
  <c r="B475" i="26"/>
  <c r="A475" i="26"/>
  <c r="U475" i="26"/>
  <c r="AL474" i="26" l="1"/>
  <c r="AM474" i="26" s="1"/>
  <c r="AU474" i="26" s="1"/>
  <c r="H475" i="26"/>
  <c r="L475" i="26"/>
  <c r="W475" i="26"/>
  <c r="AO475" i="26"/>
  <c r="F475" i="26"/>
  <c r="R475" i="26" s="1"/>
  <c r="Q736" i="55"/>
  <c r="H736" i="55"/>
  <c r="C736" i="55"/>
  <c r="U736" i="55" s="1"/>
  <c r="B736" i="55"/>
  <c r="F736" i="55" s="1"/>
  <c r="A736" i="55"/>
  <c r="K736" i="55"/>
  <c r="L736" i="55" s="1"/>
  <c r="D736" i="55"/>
  <c r="E737" i="55" s="1"/>
  <c r="P736" i="55"/>
  <c r="G736" i="55"/>
  <c r="K475" i="26"/>
  <c r="M475" i="26" s="1"/>
  <c r="BL474" i="26"/>
  <c r="S734" i="55"/>
  <c r="S735" i="55" s="1"/>
  <c r="X734" i="55"/>
  <c r="X475" i="26"/>
  <c r="BK475" i="26" s="1"/>
  <c r="AP475" i="26"/>
  <c r="G475" i="26"/>
  <c r="D475" i="26"/>
  <c r="E476" i="26" s="1"/>
  <c r="AF475" i="26"/>
  <c r="AN475" i="26" s="1"/>
  <c r="AS475" i="26"/>
  <c r="BJ475" i="26" s="1"/>
  <c r="BT474" i="26"/>
  <c r="AV474" i="55"/>
  <c r="W736" i="55" l="1"/>
  <c r="K737" i="55"/>
  <c r="L737" i="55" s="1"/>
  <c r="Q737" i="55"/>
  <c r="F737" i="55"/>
  <c r="B737" i="55"/>
  <c r="C737" i="55"/>
  <c r="D737" i="55"/>
  <c r="M737" i="55" s="1"/>
  <c r="N737" i="55" s="1"/>
  <c r="H737" i="55"/>
  <c r="X737" i="55" s="1"/>
  <c r="P737" i="55"/>
  <c r="G737" i="55"/>
  <c r="A737" i="55"/>
  <c r="W737" i="55"/>
  <c r="M736" i="55"/>
  <c r="O736" i="55"/>
  <c r="V736" i="55"/>
  <c r="A476" i="26"/>
  <c r="C476" i="26"/>
  <c r="V476" i="26" s="1"/>
  <c r="L476" i="26"/>
  <c r="H476" i="26"/>
  <c r="Q476" i="26"/>
  <c r="B476" i="26"/>
  <c r="D476" i="26" s="1"/>
  <c r="W476" i="26"/>
  <c r="AT475" i="26"/>
  <c r="P475" i="26"/>
  <c r="N475" i="26"/>
  <c r="AJ475" i="26"/>
  <c r="AK475" i="26" s="1"/>
  <c r="O475" i="26"/>
  <c r="AL475" i="26" l="1"/>
  <c r="AM475" i="26" s="1"/>
  <c r="AU475" i="26" s="1"/>
  <c r="O737" i="55"/>
  <c r="E738" i="55"/>
  <c r="N736" i="55"/>
  <c r="P476" i="26"/>
  <c r="AS476" i="26"/>
  <c r="BJ476" i="26" s="1"/>
  <c r="E477" i="26"/>
  <c r="X476" i="26"/>
  <c r="G476" i="26"/>
  <c r="F476" i="26"/>
  <c r="R476" i="26" s="1"/>
  <c r="AP476" i="26"/>
  <c r="S475" i="26"/>
  <c r="T475" i="26" s="1"/>
  <c r="BC475" i="26" s="1"/>
  <c r="O476" i="26"/>
  <c r="K476" i="26"/>
  <c r="M476" i="26" s="1"/>
  <c r="U476" i="26"/>
  <c r="AF476" i="26" s="1"/>
  <c r="AN476" i="26" s="1"/>
  <c r="AL476" i="26" l="1"/>
  <c r="AM476" i="26" s="1"/>
  <c r="AU476" i="26" s="1"/>
  <c r="S736" i="55"/>
  <c r="S737" i="55" s="1"/>
  <c r="X736" i="55"/>
  <c r="H738" i="55"/>
  <c r="B738" i="55"/>
  <c r="P738" i="55"/>
  <c r="A738" i="55"/>
  <c r="C738" i="55"/>
  <c r="U738" i="55" s="1"/>
  <c r="K738" i="55"/>
  <c r="L738" i="55" s="1"/>
  <c r="Q738" i="55"/>
  <c r="S476" i="26"/>
  <c r="T476" i="26" s="1"/>
  <c r="BC476" i="26" s="1"/>
  <c r="N476" i="26"/>
  <c r="AJ476" i="26"/>
  <c r="AK476" i="26" s="1"/>
  <c r="L477" i="26"/>
  <c r="B477" i="26"/>
  <c r="D477" i="26" s="1"/>
  <c r="W477" i="26"/>
  <c r="C477" i="26"/>
  <c r="V477" i="26" s="1"/>
  <c r="A477" i="26"/>
  <c r="H477" i="26"/>
  <c r="Q477" i="26"/>
  <c r="AO476" i="26"/>
  <c r="AT476" i="26" s="1"/>
  <c r="BK476" i="26"/>
  <c r="BL475" i="26"/>
  <c r="V738" i="55" l="1"/>
  <c r="G738" i="55"/>
  <c r="F738" i="55"/>
  <c r="M738" i="55"/>
  <c r="D738" i="55"/>
  <c r="E739" i="55"/>
  <c r="W738" i="55"/>
  <c r="O738" i="55"/>
  <c r="AS477" i="26"/>
  <c r="BJ477" i="26" s="1"/>
  <c r="AO477" i="26"/>
  <c r="P477" i="26"/>
  <c r="AV475" i="55"/>
  <c r="BT475" i="26"/>
  <c r="K477" i="26"/>
  <c r="M477" i="26" s="1"/>
  <c r="G477" i="26"/>
  <c r="X477" i="26"/>
  <c r="BK477" i="26" s="1"/>
  <c r="O477" i="26"/>
  <c r="U477" i="26"/>
  <c r="AF477" i="26" s="1"/>
  <c r="AN477" i="26" s="1"/>
  <c r="E478" i="26"/>
  <c r="F477" i="26"/>
  <c r="R477" i="26" s="1"/>
  <c r="AP477" i="26"/>
  <c r="BL476" i="26"/>
  <c r="AL477" i="26" l="1"/>
  <c r="AM477" i="26" s="1"/>
  <c r="AU477" i="26" s="1"/>
  <c r="N738" i="55"/>
  <c r="A739" i="55"/>
  <c r="A740" i="55" s="1"/>
  <c r="K739" i="55"/>
  <c r="L739" i="55" s="1"/>
  <c r="G739" i="55"/>
  <c r="B739" i="55"/>
  <c r="Q739" i="55"/>
  <c r="H739" i="55"/>
  <c r="U739" i="55"/>
  <c r="C739" i="55"/>
  <c r="O739" i="55"/>
  <c r="W739" i="55"/>
  <c r="D739" i="55"/>
  <c r="E740" i="55" s="1"/>
  <c r="K740" i="55" s="1"/>
  <c r="L740" i="55" s="1"/>
  <c r="H740" i="55"/>
  <c r="Q740" i="55"/>
  <c r="G740" i="55"/>
  <c r="C740" i="55"/>
  <c r="U740" i="55" s="1"/>
  <c r="V740" i="55" s="1"/>
  <c r="B740" i="55"/>
  <c r="P740" i="55" s="1"/>
  <c r="AT477" i="26"/>
  <c r="W478" i="26"/>
  <c r="L478" i="26"/>
  <c r="B478" i="26"/>
  <c r="C478" i="26"/>
  <c r="V478" i="26" s="1"/>
  <c r="H478" i="26"/>
  <c r="Q478" i="26"/>
  <c r="A478" i="26"/>
  <c r="N477" i="26"/>
  <c r="AJ477" i="26"/>
  <c r="AK477" i="26" s="1"/>
  <c r="AV476" i="55"/>
  <c r="BT476" i="26"/>
  <c r="S477" i="26"/>
  <c r="T477" i="26" s="1"/>
  <c r="BC477" i="26" s="1"/>
  <c r="O740" i="55" l="1"/>
  <c r="F740" i="55"/>
  <c r="F739" i="55"/>
  <c r="P739" i="55"/>
  <c r="V739" i="55" s="1"/>
  <c r="M739" i="55"/>
  <c r="X738" i="55"/>
  <c r="S738" i="55"/>
  <c r="AS478" i="26"/>
  <c r="BJ478" i="26" s="1"/>
  <c r="AP478" i="26"/>
  <c r="W740" i="55"/>
  <c r="D740" i="55"/>
  <c r="M740" i="55" s="1"/>
  <c r="X478" i="26"/>
  <c r="BK478" i="26" s="1"/>
  <c r="F478" i="26"/>
  <c r="R478" i="26" s="1"/>
  <c r="K478" i="26"/>
  <c r="M478" i="26" s="1"/>
  <c r="AJ478" i="26" s="1"/>
  <c r="AK478" i="26" s="1"/>
  <c r="BL477" i="26"/>
  <c r="U478" i="26"/>
  <c r="AF478" i="26" s="1"/>
  <c r="AN478" i="26" s="1"/>
  <c r="G478" i="26"/>
  <c r="D478" i="26"/>
  <c r="E479" i="26" s="1"/>
  <c r="AO478" i="26"/>
  <c r="AT478" i="26" l="1"/>
  <c r="N739" i="55"/>
  <c r="N740" i="55"/>
  <c r="E741" i="55"/>
  <c r="N478" i="26"/>
  <c r="H479" i="26"/>
  <c r="L479" i="26"/>
  <c r="A479" i="26"/>
  <c r="C479" i="26"/>
  <c r="V479" i="26" s="1"/>
  <c r="Q479" i="26"/>
  <c r="W479" i="26"/>
  <c r="B479" i="26"/>
  <c r="D479" i="26" s="1"/>
  <c r="O478" i="26"/>
  <c r="P478" i="26"/>
  <c r="BT477" i="26"/>
  <c r="AV477" i="55"/>
  <c r="AL478" i="26" l="1"/>
  <c r="AM478" i="26" s="1"/>
  <c r="AU478" i="26" s="1"/>
  <c r="AS479" i="26"/>
  <c r="BJ479" i="26" s="1"/>
  <c r="U479" i="26"/>
  <c r="AF479" i="26" s="1"/>
  <c r="AN479" i="26" s="1"/>
  <c r="S739" i="55"/>
  <c r="X739" i="55"/>
  <c r="K741" i="55"/>
  <c r="L741" i="55" s="1"/>
  <c r="B741" i="55"/>
  <c r="H741" i="55"/>
  <c r="Q741" i="55"/>
  <c r="C741" i="55"/>
  <c r="U741" i="55" s="1"/>
  <c r="A741" i="55"/>
  <c r="F741" i="55"/>
  <c r="O741" i="55"/>
  <c r="P741" i="55"/>
  <c r="G741" i="55"/>
  <c r="D741" i="55"/>
  <c r="E742" i="55" s="1"/>
  <c r="X740" i="55"/>
  <c r="S478" i="26"/>
  <c r="T478" i="26" s="1"/>
  <c r="BC478" i="26" s="1"/>
  <c r="G479" i="26"/>
  <c r="P479" i="26"/>
  <c r="AP479" i="26"/>
  <c r="X479" i="26"/>
  <c r="AO479" i="26"/>
  <c r="E480" i="26"/>
  <c r="O479" i="26"/>
  <c r="F479" i="26"/>
  <c r="R479" i="26" s="1"/>
  <c r="K479" i="26"/>
  <c r="M479" i="26" s="1"/>
  <c r="AL479" i="26" l="1"/>
  <c r="AM479" i="26" s="1"/>
  <c r="AU479" i="26" s="1"/>
  <c r="S740" i="55"/>
  <c r="V741" i="55"/>
  <c r="W741" i="55"/>
  <c r="A742" i="55"/>
  <c r="C742" i="55"/>
  <c r="K742" i="55"/>
  <c r="L742" i="55" s="1"/>
  <c r="H742" i="55"/>
  <c r="B742" i="55"/>
  <c r="G742" i="55" s="1"/>
  <c r="Q742" i="55"/>
  <c r="D742" i="55"/>
  <c r="M742" i="55" s="1"/>
  <c r="U742" i="55"/>
  <c r="W742" i="55"/>
  <c r="M741" i="55"/>
  <c r="AT479" i="26"/>
  <c r="AJ479" i="26"/>
  <c r="AK479" i="26" s="1"/>
  <c r="N479" i="26"/>
  <c r="Q480" i="26"/>
  <c r="L480" i="26"/>
  <c r="B480" i="26"/>
  <c r="A480" i="26"/>
  <c r="H480" i="26"/>
  <c r="C480" i="26"/>
  <c r="U480" i="26" s="1"/>
  <c r="W480" i="26"/>
  <c r="BL478" i="26"/>
  <c r="BK479" i="26"/>
  <c r="S479" i="26"/>
  <c r="T479" i="26" s="1"/>
  <c r="BC479" i="26" s="1"/>
  <c r="N742" i="55" l="1"/>
  <c r="X742" i="55" s="1"/>
  <c r="F742" i="55"/>
  <c r="V480" i="26"/>
  <c r="AO480" i="26" s="1"/>
  <c r="N741" i="55"/>
  <c r="E743" i="55"/>
  <c r="P742" i="55"/>
  <c r="V742" i="55"/>
  <c r="O742" i="55"/>
  <c r="X480" i="26"/>
  <c r="F480" i="26"/>
  <c r="R480" i="26" s="1"/>
  <c r="D480" i="26"/>
  <c r="O480" i="26" s="1"/>
  <c r="K480" i="26"/>
  <c r="M480" i="26" s="1"/>
  <c r="N480" i="26" s="1"/>
  <c r="G480" i="26"/>
  <c r="AP480" i="26"/>
  <c r="AF480" i="26"/>
  <c r="AN480" i="26" s="1"/>
  <c r="AV478" i="55"/>
  <c r="BT478" i="26"/>
  <c r="BL479" i="26"/>
  <c r="BK480" i="26"/>
  <c r="AS480" i="26"/>
  <c r="BJ480" i="26" s="1"/>
  <c r="AT480" i="26" l="1"/>
  <c r="P480" i="26"/>
  <c r="E481" i="26"/>
  <c r="A743" i="55"/>
  <c r="K743" i="55"/>
  <c r="L743" i="55" s="1"/>
  <c r="Q743" i="55"/>
  <c r="H743" i="55"/>
  <c r="F743" i="55"/>
  <c r="C743" i="55"/>
  <c r="B743" i="55"/>
  <c r="G743" i="55" s="1"/>
  <c r="O743" i="55"/>
  <c r="U743" i="55"/>
  <c r="X741" i="55"/>
  <c r="S741" i="55"/>
  <c r="S742" i="55" s="1"/>
  <c r="AJ480" i="26"/>
  <c r="AK480" i="26" s="1"/>
  <c r="S480" i="26"/>
  <c r="T480" i="26" s="1"/>
  <c r="BC480" i="26" s="1"/>
  <c r="AV479" i="55"/>
  <c r="BT479" i="26"/>
  <c r="H481" i="26"/>
  <c r="B481" i="26"/>
  <c r="Q481" i="26"/>
  <c r="A481" i="26"/>
  <c r="AL480" i="26" l="1"/>
  <c r="AM480" i="26" s="1"/>
  <c r="AU480" i="26" s="1"/>
  <c r="L481" i="26"/>
  <c r="W481" i="26"/>
  <c r="C481" i="26"/>
  <c r="AS481" i="26" s="1"/>
  <c r="BJ481" i="26" s="1"/>
  <c r="W743" i="55"/>
  <c r="P743" i="55"/>
  <c r="V743" i="55" s="1"/>
  <c r="D743" i="55"/>
  <c r="M743" i="55" s="1"/>
  <c r="N743" i="55" s="1"/>
  <c r="X743" i="55" s="1"/>
  <c r="V481" i="26"/>
  <c r="AO481" i="26" s="1"/>
  <c r="F481" i="26"/>
  <c r="R481" i="26" s="1"/>
  <c r="U481" i="26"/>
  <c r="AF481" i="26" s="1"/>
  <c r="AN481" i="26" s="1"/>
  <c r="G481" i="26"/>
  <c r="BL480" i="26"/>
  <c r="K481" i="26"/>
  <c r="M481" i="26" s="1"/>
  <c r="D481" i="26"/>
  <c r="AP481" i="26" l="1"/>
  <c r="AT481" i="26" s="1"/>
  <c r="X481" i="26"/>
  <c r="E744" i="55"/>
  <c r="B744" i="55" s="1"/>
  <c r="H744" i="55"/>
  <c r="C744" i="55"/>
  <c r="O744" i="55" s="1"/>
  <c r="A744" i="55"/>
  <c r="Q744" i="55"/>
  <c r="BK481" i="26"/>
  <c r="S743" i="55"/>
  <c r="E482" i="26"/>
  <c r="P481" i="26"/>
  <c r="O481" i="26"/>
  <c r="N481" i="26"/>
  <c r="AJ481" i="26"/>
  <c r="AK481" i="26" s="1"/>
  <c r="AV480" i="55"/>
  <c r="BT480" i="26"/>
  <c r="AL481" i="26" l="1"/>
  <c r="AM481" i="26" s="1"/>
  <c r="AU481" i="26" s="1"/>
  <c r="D744" i="55"/>
  <c r="M744" i="55" s="1"/>
  <c r="N744" i="55" s="1"/>
  <c r="X744" i="55" s="1"/>
  <c r="P744" i="55"/>
  <c r="F744" i="55"/>
  <c r="U744" i="55"/>
  <c r="V744" i="55" s="1"/>
  <c r="K744" i="55"/>
  <c r="L744" i="55" s="1"/>
  <c r="G744" i="55"/>
  <c r="W744" i="55"/>
  <c r="E745" i="55"/>
  <c r="L482" i="26"/>
  <c r="W482" i="26"/>
  <c r="B482" i="26"/>
  <c r="K482" i="26" s="1"/>
  <c r="A482" i="26"/>
  <c r="H482" i="26"/>
  <c r="Q482" i="26"/>
  <c r="C482" i="26"/>
  <c r="V482" i="26" s="1"/>
  <c r="S481" i="26"/>
  <c r="T481" i="26" s="1"/>
  <c r="BC481" i="26" s="1"/>
  <c r="M482" i="26" l="1"/>
  <c r="AJ482" i="26" s="1"/>
  <c r="AK482" i="26" s="1"/>
  <c r="S744" i="55"/>
  <c r="A745" i="55"/>
  <c r="C745" i="55"/>
  <c r="O745" i="55" s="1"/>
  <c r="B745" i="55"/>
  <c r="F745" i="55" s="1"/>
  <c r="Q745" i="55"/>
  <c r="G745" i="55"/>
  <c r="H745" i="55"/>
  <c r="K745" i="55"/>
  <c r="L745" i="55" s="1"/>
  <c r="P745" i="55"/>
  <c r="BL481" i="26"/>
  <c r="F482" i="26"/>
  <c r="R482" i="26" s="1"/>
  <c r="AP482" i="26"/>
  <c r="X482" i="26"/>
  <c r="U482" i="26"/>
  <c r="AF482" i="26" s="1"/>
  <c r="AN482" i="26" s="1"/>
  <c r="AS482" i="26"/>
  <c r="BJ482" i="26" s="1"/>
  <c r="G482" i="26"/>
  <c r="D482" i="26"/>
  <c r="P482" i="26" s="1"/>
  <c r="N482" i="26" l="1"/>
  <c r="W745" i="55"/>
  <c r="D745" i="55"/>
  <c r="M745" i="55" s="1"/>
  <c r="U745" i="55"/>
  <c r="V745" i="55" s="1"/>
  <c r="AV481" i="55"/>
  <c r="BT481" i="26"/>
  <c r="E483" i="26"/>
  <c r="AO482" i="26"/>
  <c r="AT482" i="26" s="1"/>
  <c r="BK482" i="26"/>
  <c r="O482" i="26"/>
  <c r="AL482" i="26" l="1"/>
  <c r="AM482" i="26" s="1"/>
  <c r="AU482" i="26" s="1"/>
  <c r="E746" i="55"/>
  <c r="N745" i="55"/>
  <c r="A483" i="26"/>
  <c r="C483" i="26"/>
  <c r="AS483" i="26" s="1"/>
  <c r="BJ483" i="26" s="1"/>
  <c r="Q483" i="26"/>
  <c r="B483" i="26"/>
  <c r="G483" i="26" s="1"/>
  <c r="W483" i="26"/>
  <c r="L483" i="26"/>
  <c r="H483" i="26"/>
  <c r="U483" i="26"/>
  <c r="AF483" i="26" s="1"/>
  <c r="AN483" i="26" s="1"/>
  <c r="S482" i="26"/>
  <c r="T482" i="26" s="1"/>
  <c r="BC482" i="26" s="1"/>
  <c r="B746" i="55" l="1"/>
  <c r="P746" i="55" s="1"/>
  <c r="K746" i="55"/>
  <c r="L746" i="55" s="1"/>
  <c r="H746" i="55"/>
  <c r="C746" i="55"/>
  <c r="E747" i="55" s="1"/>
  <c r="A746" i="55"/>
  <c r="Q746" i="55"/>
  <c r="D746" i="55"/>
  <c r="M746" i="55" s="1"/>
  <c r="O746" i="55"/>
  <c r="G746" i="55"/>
  <c r="F746" i="55"/>
  <c r="N746" i="55"/>
  <c r="S745" i="55"/>
  <c r="X745" i="55"/>
  <c r="V483" i="26"/>
  <c r="AO483" i="26" s="1"/>
  <c r="D483" i="26"/>
  <c r="E484" i="26" s="1"/>
  <c r="K483" i="26"/>
  <c r="M483" i="26" s="1"/>
  <c r="F483" i="26"/>
  <c r="R483" i="26" s="1"/>
  <c r="BL482" i="26"/>
  <c r="O483" i="26"/>
  <c r="X483" i="26"/>
  <c r="AP483" i="26"/>
  <c r="U746" i="55" l="1"/>
  <c r="V746" i="55" s="1"/>
  <c r="A747" i="55"/>
  <c r="H747" i="55"/>
  <c r="B747" i="55"/>
  <c r="F747" i="55" s="1"/>
  <c r="Q747" i="55"/>
  <c r="C747" i="55"/>
  <c r="O747" i="55" s="1"/>
  <c r="K747" i="55"/>
  <c r="L747" i="55" s="1"/>
  <c r="S746" i="55"/>
  <c r="X746" i="55"/>
  <c r="W746" i="55"/>
  <c r="BK483" i="26"/>
  <c r="BT482" i="26"/>
  <c r="AV482" i="55"/>
  <c r="S483" i="26"/>
  <c r="T483" i="26" s="1"/>
  <c r="BC483" i="26" s="1"/>
  <c r="L484" i="26"/>
  <c r="H484" i="26"/>
  <c r="B484" i="26"/>
  <c r="A484" i="26"/>
  <c r="Q484" i="26"/>
  <c r="W484" i="26"/>
  <c r="C484" i="26"/>
  <c r="V484" i="26" s="1"/>
  <c r="AJ483" i="26"/>
  <c r="AK483" i="26" s="1"/>
  <c r="N483" i="26"/>
  <c r="AT483" i="26"/>
  <c r="P483" i="26"/>
  <c r="AL483" i="26" l="1"/>
  <c r="AM483" i="26" s="1"/>
  <c r="AU483" i="26" s="1"/>
  <c r="D747" i="55"/>
  <c r="M747" i="55" s="1"/>
  <c r="G747" i="55"/>
  <c r="U747" i="55"/>
  <c r="N747" i="55"/>
  <c r="AP484" i="26"/>
  <c r="E748" i="55"/>
  <c r="F484" i="26"/>
  <c r="R484" i="26" s="1"/>
  <c r="W747" i="55"/>
  <c r="P747" i="55"/>
  <c r="X484" i="26"/>
  <c r="BK484" i="26" s="1"/>
  <c r="K484" i="26"/>
  <c r="M484" i="26" s="1"/>
  <c r="N484" i="26" s="1"/>
  <c r="D484" i="26"/>
  <c r="G484" i="26"/>
  <c r="AO484" i="26"/>
  <c r="U484" i="26"/>
  <c r="AF484" i="26" s="1"/>
  <c r="AN484" i="26" s="1"/>
  <c r="P484" i="26"/>
  <c r="BL483" i="26"/>
  <c r="AS484" i="26"/>
  <c r="BJ484" i="26" s="1"/>
  <c r="V747" i="55" l="1"/>
  <c r="O484" i="26"/>
  <c r="S484" i="26" s="1"/>
  <c r="T484" i="26" s="1"/>
  <c r="BC484" i="26" s="1"/>
  <c r="X747" i="55"/>
  <c r="S747" i="55"/>
  <c r="E485" i="26"/>
  <c r="L485" i="26" s="1"/>
  <c r="AT484" i="26"/>
  <c r="Q748" i="55"/>
  <c r="H748" i="55"/>
  <c r="A748" i="55"/>
  <c r="K748" i="55"/>
  <c r="L748" i="55" s="1"/>
  <c r="C748" i="55"/>
  <c r="B748" i="55"/>
  <c r="AJ484" i="26"/>
  <c r="AK484" i="26" s="1"/>
  <c r="Q485" i="26"/>
  <c r="W485" i="26"/>
  <c r="C485" i="26"/>
  <c r="AV483" i="55"/>
  <c r="BT483" i="26"/>
  <c r="AL484" i="26" l="1"/>
  <c r="AM484" i="26" s="1"/>
  <c r="AU484" i="26" s="1"/>
  <c r="G748" i="55"/>
  <c r="F748" i="55"/>
  <c r="W748" i="55"/>
  <c r="D748" i="55"/>
  <c r="P748" i="55"/>
  <c r="A485" i="26"/>
  <c r="B485" i="26"/>
  <c r="K485" i="26" s="1"/>
  <c r="M485" i="26" s="1"/>
  <c r="N485" i="26" s="1"/>
  <c r="U748" i="55"/>
  <c r="V748" i="55" s="1"/>
  <c r="O748" i="55"/>
  <c r="H485" i="26"/>
  <c r="U485" i="26"/>
  <c r="BL484" i="26"/>
  <c r="X485" i="26" l="1"/>
  <c r="F485" i="26"/>
  <c r="R485" i="26" s="1"/>
  <c r="AF485" i="26"/>
  <c r="AN485" i="26" s="1"/>
  <c r="D485" i="26"/>
  <c r="O485" i="26" s="1"/>
  <c r="V485" i="26"/>
  <c r="AP485" i="26"/>
  <c r="M748" i="55"/>
  <c r="E749" i="55"/>
  <c r="G485" i="26"/>
  <c r="AJ485" i="26"/>
  <c r="AK485" i="26" s="1"/>
  <c r="BT484" i="26"/>
  <c r="AV484" i="55"/>
  <c r="BK485" i="26"/>
  <c r="AO485" i="26"/>
  <c r="AT485" i="26" l="1"/>
  <c r="E486" i="26"/>
  <c r="P485" i="26"/>
  <c r="S485" i="26"/>
  <c r="T485" i="26" s="1"/>
  <c r="BC485" i="26" s="1"/>
  <c r="H749" i="55"/>
  <c r="B749" i="55"/>
  <c r="F749" i="55" s="1"/>
  <c r="C749" i="55"/>
  <c r="K749" i="55"/>
  <c r="L749" i="55" s="1"/>
  <c r="Q749" i="55"/>
  <c r="G749" i="55"/>
  <c r="A749" i="55"/>
  <c r="N748" i="55"/>
  <c r="L486" i="26"/>
  <c r="W486" i="26"/>
  <c r="Q486" i="26"/>
  <c r="B486" i="26"/>
  <c r="A486" i="26"/>
  <c r="H486" i="26"/>
  <c r="C486" i="26"/>
  <c r="V486" i="26" s="1"/>
  <c r="D486" i="26"/>
  <c r="O486" i="26" s="1"/>
  <c r="AL485" i="26" l="1"/>
  <c r="AM485" i="26" s="1"/>
  <c r="AU485" i="26" s="1"/>
  <c r="W749" i="55"/>
  <c r="P749" i="55"/>
  <c r="E487" i="26"/>
  <c r="BL485" i="26"/>
  <c r="F486" i="26"/>
  <c r="R486" i="26" s="1"/>
  <c r="AP486" i="26"/>
  <c r="O749" i="55"/>
  <c r="D749" i="55"/>
  <c r="M749" i="55" s="1"/>
  <c r="K486" i="26"/>
  <c r="M486" i="26" s="1"/>
  <c r="AJ486" i="26" s="1"/>
  <c r="AK486" i="26" s="1"/>
  <c r="G486" i="26"/>
  <c r="X748" i="55"/>
  <c r="S748" i="55"/>
  <c r="AO486" i="26"/>
  <c r="X486" i="26"/>
  <c r="BK486" i="26" s="1"/>
  <c r="U486" i="26"/>
  <c r="P486" i="26"/>
  <c r="AS486" i="26"/>
  <c r="BJ486" i="26" s="1"/>
  <c r="AF486" i="26"/>
  <c r="AN486" i="26" s="1"/>
  <c r="H487" i="26"/>
  <c r="L487" i="26"/>
  <c r="W487" i="26"/>
  <c r="S486" i="26"/>
  <c r="T486" i="26" s="1"/>
  <c r="BC486" i="26" s="1"/>
  <c r="AT486" i="26" l="1"/>
  <c r="AL486" i="26"/>
  <c r="AM486" i="26" s="1"/>
  <c r="AU486" i="26" s="1"/>
  <c r="C487" i="26"/>
  <c r="V487" i="26"/>
  <c r="AS487" i="26"/>
  <c r="BJ487" i="26" s="1"/>
  <c r="AV485" i="55"/>
  <c r="BT485" i="26"/>
  <c r="B487" i="26"/>
  <c r="K487" i="26" s="1"/>
  <c r="M487" i="26" s="1"/>
  <c r="N487" i="26" s="1"/>
  <c r="AO487" i="26"/>
  <c r="N486" i="26"/>
  <c r="A487" i="26"/>
  <c r="Q487" i="26"/>
  <c r="E750" i="55"/>
  <c r="B750" i="55" s="1"/>
  <c r="P750" i="55" s="1"/>
  <c r="H750" i="55"/>
  <c r="K750" i="55"/>
  <c r="L750" i="55" s="1"/>
  <c r="Q750" i="55"/>
  <c r="N749" i="55"/>
  <c r="X487" i="26"/>
  <c r="BK487" i="26" s="1"/>
  <c r="F487" i="26"/>
  <c r="R487" i="26" s="1"/>
  <c r="G487" i="26"/>
  <c r="D487" i="26"/>
  <c r="E488" i="26" s="1"/>
  <c r="AP487" i="26"/>
  <c r="BL486" i="26"/>
  <c r="U487" i="26"/>
  <c r="AF487" i="26" s="1"/>
  <c r="AN487" i="26" s="1"/>
  <c r="AT487" i="26" l="1"/>
  <c r="G750" i="55"/>
  <c r="A750" i="55"/>
  <c r="C750" i="55"/>
  <c r="O750" i="55" s="1"/>
  <c r="AJ487" i="26"/>
  <c r="AK487" i="26" s="1"/>
  <c r="F750" i="55"/>
  <c r="S749" i="55"/>
  <c r="X749" i="55"/>
  <c r="D750" i="55"/>
  <c r="M750" i="55" s="1"/>
  <c r="N750" i="55" s="1"/>
  <c r="P487" i="26"/>
  <c r="O487" i="26"/>
  <c r="AV486" i="55"/>
  <c r="BT486" i="26"/>
  <c r="L488" i="26"/>
  <c r="W488" i="26"/>
  <c r="Q488" i="26"/>
  <c r="B488" i="26"/>
  <c r="H488" i="26"/>
  <c r="C488" i="26"/>
  <c r="A488" i="26"/>
  <c r="G488" i="26"/>
  <c r="AL487" i="26" l="1"/>
  <c r="AM487" i="26" s="1"/>
  <c r="AU487" i="26" s="1"/>
  <c r="U750" i="55"/>
  <c r="V750" i="55" s="1"/>
  <c r="W750" i="55"/>
  <c r="X750" i="55"/>
  <c r="S750" i="55"/>
  <c r="E751" i="55"/>
  <c r="D488" i="26"/>
  <c r="X488" i="26"/>
  <c r="K488" i="26"/>
  <c r="M488" i="26" s="1"/>
  <c r="AJ488" i="26" s="1"/>
  <c r="AK488" i="26" s="1"/>
  <c r="V488" i="26"/>
  <c r="F488" i="26"/>
  <c r="R488" i="26" s="1"/>
  <c r="S487" i="26"/>
  <c r="T487" i="26" s="1"/>
  <c r="BC487" i="26" s="1"/>
  <c r="U488" i="26"/>
  <c r="AF488" i="26" s="1"/>
  <c r="AN488" i="26" s="1"/>
  <c r="E489" i="26"/>
  <c r="AS488" i="26"/>
  <c r="BJ488" i="26" s="1"/>
  <c r="AP488" i="26"/>
  <c r="P488" i="26"/>
  <c r="N488" i="26" l="1"/>
  <c r="O488" i="26"/>
  <c r="S488" i="26" s="1"/>
  <c r="T488" i="26" s="1"/>
  <c r="BC488" i="26" s="1"/>
  <c r="Q751" i="55"/>
  <c r="C751" i="55"/>
  <c r="A751" i="55"/>
  <c r="F751" i="55"/>
  <c r="B751" i="55"/>
  <c r="D751" i="55" s="1"/>
  <c r="M751" i="55" s="1"/>
  <c r="H751" i="55"/>
  <c r="K751" i="55"/>
  <c r="L751" i="55" s="1"/>
  <c r="N751" i="55"/>
  <c r="P751" i="55"/>
  <c r="BL487" i="26"/>
  <c r="Q489" i="26"/>
  <c r="W489" i="26"/>
  <c r="H489" i="26"/>
  <c r="A489" i="26"/>
  <c r="L489" i="26"/>
  <c r="C489" i="26"/>
  <c r="V489" i="26" s="1"/>
  <c r="B489" i="26"/>
  <c r="F489" i="26" s="1"/>
  <c r="K489" i="26"/>
  <c r="AO488" i="26"/>
  <c r="AT488" i="26" s="1"/>
  <c r="BK488" i="26"/>
  <c r="AL488" i="26" l="1"/>
  <c r="AM488" i="26" s="1"/>
  <c r="AU488" i="26" s="1"/>
  <c r="G489" i="26"/>
  <c r="E752" i="55"/>
  <c r="O752" i="55" s="1"/>
  <c r="K752" i="55"/>
  <c r="L752" i="55" s="1"/>
  <c r="A752" i="55"/>
  <c r="B752" i="55"/>
  <c r="P752" i="55" s="1"/>
  <c r="H752" i="55"/>
  <c r="Q752" i="55"/>
  <c r="C752" i="55"/>
  <c r="W752" i="55" s="1"/>
  <c r="D489" i="26"/>
  <c r="X751" i="55"/>
  <c r="O751" i="55"/>
  <c r="S751" i="55" s="1"/>
  <c r="U751" i="55"/>
  <c r="V751" i="55" s="1"/>
  <c r="W751" i="55"/>
  <c r="G751" i="55"/>
  <c r="M489" i="26"/>
  <c r="N489" i="26" s="1"/>
  <c r="AV487" i="55"/>
  <c r="BT487" i="26"/>
  <c r="R489" i="26"/>
  <c r="AO489" i="26"/>
  <c r="O489" i="26"/>
  <c r="AP489" i="26"/>
  <c r="U489" i="26"/>
  <c r="AF489" i="26" s="1"/>
  <c r="AN489" i="26" s="1"/>
  <c r="AS489" i="26"/>
  <c r="BJ489" i="26" s="1"/>
  <c r="X489" i="26"/>
  <c r="BK489" i="26" s="1"/>
  <c r="BL488" i="26"/>
  <c r="D752" i="55" l="1"/>
  <c r="M752" i="55" s="1"/>
  <c r="G752" i="55"/>
  <c r="U752" i="55"/>
  <c r="V752" i="55" s="1"/>
  <c r="F752" i="55"/>
  <c r="E490" i="26"/>
  <c r="P489" i="26"/>
  <c r="AJ489" i="26"/>
  <c r="AK489" i="26" s="1"/>
  <c r="AV488" i="55"/>
  <c r="BT488" i="26"/>
  <c r="S489" i="26"/>
  <c r="T489" i="26" s="1"/>
  <c r="BC489" i="26" s="1"/>
  <c r="W490" i="26"/>
  <c r="A490" i="26"/>
  <c r="AT489" i="26"/>
  <c r="AL489" i="26" l="1"/>
  <c r="AM489" i="26" s="1"/>
  <c r="AU489" i="26" s="1"/>
  <c r="E753" i="55"/>
  <c r="N752" i="55"/>
  <c r="H490" i="26"/>
  <c r="B490" i="26"/>
  <c r="Q490" i="26"/>
  <c r="C490" i="26"/>
  <c r="U490" i="26" s="1"/>
  <c r="AF490" i="26" s="1"/>
  <c r="AN490" i="26" s="1"/>
  <c r="L490" i="26"/>
  <c r="H753" i="55"/>
  <c r="A753" i="55"/>
  <c r="Q753" i="55"/>
  <c r="B753" i="55"/>
  <c r="K753" i="55"/>
  <c r="L753" i="55" s="1"/>
  <c r="C753" i="55"/>
  <c r="AS490" i="26"/>
  <c r="BJ490" i="26" s="1"/>
  <c r="BL489" i="26"/>
  <c r="G490" i="26"/>
  <c r="F490" i="26"/>
  <c r="R490" i="26" s="1"/>
  <c r="D490" i="26"/>
  <c r="P490" i="26" s="1"/>
  <c r="AP490" i="26" l="1"/>
  <c r="K490" i="26"/>
  <c r="M490" i="26" s="1"/>
  <c r="N490" i="26" s="1"/>
  <c r="X490" i="26"/>
  <c r="S752" i="55"/>
  <c r="X752" i="55"/>
  <c r="V490" i="26"/>
  <c r="AO490" i="26" s="1"/>
  <c r="U753" i="55"/>
  <c r="E754" i="55"/>
  <c r="O753" i="55"/>
  <c r="E491" i="26"/>
  <c r="A491" i="26" s="1"/>
  <c r="G753" i="55"/>
  <c r="F753" i="55"/>
  <c r="P753" i="55"/>
  <c r="W753" i="55"/>
  <c r="D753" i="55"/>
  <c r="M753" i="55" s="1"/>
  <c r="H491" i="26"/>
  <c r="B491" i="26"/>
  <c r="K491" i="26" s="1"/>
  <c r="W491" i="26"/>
  <c r="BT489" i="26"/>
  <c r="AV489" i="55"/>
  <c r="O490" i="26"/>
  <c r="AJ490" i="26" l="1"/>
  <c r="AK490" i="26" s="1"/>
  <c r="AL490" i="26"/>
  <c r="AM490" i="26" s="1"/>
  <c r="AU490" i="26" s="1"/>
  <c r="AT490" i="26"/>
  <c r="Q491" i="26"/>
  <c r="L491" i="26"/>
  <c r="M491" i="26" s="1"/>
  <c r="BK490" i="26"/>
  <c r="C491" i="26"/>
  <c r="F491" i="26"/>
  <c r="V491" i="26"/>
  <c r="C754" i="55"/>
  <c r="B754" i="55"/>
  <c r="D754" i="55" s="1"/>
  <c r="G754" i="55"/>
  <c r="U754" i="55"/>
  <c r="A754" i="55"/>
  <c r="M754" i="55"/>
  <c r="N754" i="55" s="1"/>
  <c r="K754" i="55"/>
  <c r="L754" i="55" s="1"/>
  <c r="Q754" i="55"/>
  <c r="O754" i="55"/>
  <c r="H754" i="55"/>
  <c r="W754" i="55"/>
  <c r="N753" i="55"/>
  <c r="V753" i="55"/>
  <c r="R491" i="26"/>
  <c r="S490" i="26"/>
  <c r="T490" i="26" s="1"/>
  <c r="BC490" i="26" s="1"/>
  <c r="G491" i="26"/>
  <c r="AP491" i="26"/>
  <c r="D491" i="26"/>
  <c r="X491" i="26"/>
  <c r="BK491" i="26" s="1"/>
  <c r="AO491" i="26"/>
  <c r="AT491" i="26" l="1"/>
  <c r="AJ491" i="26"/>
  <c r="AK491" i="26" s="1"/>
  <c r="N491" i="26"/>
  <c r="AF491" i="26"/>
  <c r="AN491" i="26" s="1"/>
  <c r="AS491" i="26"/>
  <c r="BJ491" i="26" s="1"/>
  <c r="U491" i="26"/>
  <c r="X754" i="55"/>
  <c r="S753" i="55"/>
  <c r="S754" i="55" s="1"/>
  <c r="X753" i="55"/>
  <c r="P754" i="55"/>
  <c r="V754" i="55" s="1"/>
  <c r="E755" i="55"/>
  <c r="F754" i="55"/>
  <c r="E492" i="26"/>
  <c r="P491" i="26"/>
  <c r="O491" i="26"/>
  <c r="BL490" i="26"/>
  <c r="AL491" i="26" l="1"/>
  <c r="AM491" i="26" s="1"/>
  <c r="AU491" i="26" s="1"/>
  <c r="B755" i="55"/>
  <c r="G755" i="55" s="1"/>
  <c r="Q755" i="55"/>
  <c r="K755" i="55"/>
  <c r="L755" i="55" s="1"/>
  <c r="C755" i="55"/>
  <c r="U755" i="55" s="1"/>
  <c r="H755" i="55"/>
  <c r="A755" i="55"/>
  <c r="W755" i="55"/>
  <c r="AV490" i="55"/>
  <c r="BT490" i="26"/>
  <c r="W492" i="26"/>
  <c r="H492" i="26"/>
  <c r="L492" i="26"/>
  <c r="Q492" i="26"/>
  <c r="C492" i="26"/>
  <c r="V492" i="26" s="1"/>
  <c r="A492" i="26"/>
  <c r="B492" i="26"/>
  <c r="S491" i="26"/>
  <c r="T491" i="26" s="1"/>
  <c r="BC491" i="26" s="1"/>
  <c r="P755" i="55" l="1"/>
  <c r="O755" i="55"/>
  <c r="D755" i="55"/>
  <c r="F755" i="55"/>
  <c r="V755" i="55"/>
  <c r="K492" i="26"/>
  <c r="M492" i="26" s="1"/>
  <c r="X492" i="26"/>
  <c r="D492" i="26"/>
  <c r="F492" i="26"/>
  <c r="R492" i="26" s="1"/>
  <c r="G492" i="26"/>
  <c r="AP492" i="26"/>
  <c r="BL491" i="26"/>
  <c r="AO492" i="26"/>
  <c r="U492" i="26"/>
  <c r="AF492" i="26" s="1"/>
  <c r="AN492" i="26" s="1"/>
  <c r="AS492" i="26"/>
  <c r="BJ492" i="26" s="1"/>
  <c r="E756" i="55" l="1"/>
  <c r="M755" i="55"/>
  <c r="AV491" i="55"/>
  <c r="BT491" i="26"/>
  <c r="P492" i="26"/>
  <c r="O492" i="26"/>
  <c r="E493" i="26"/>
  <c r="BK492" i="26"/>
  <c r="AT492" i="26"/>
  <c r="N492" i="26"/>
  <c r="AJ492" i="26"/>
  <c r="AK492" i="26" s="1"/>
  <c r="AL492" i="26" l="1"/>
  <c r="AM492" i="26" s="1"/>
  <c r="AU492" i="26" s="1"/>
  <c r="N755" i="55"/>
  <c r="C756" i="55"/>
  <c r="W756" i="55" s="1"/>
  <c r="D756" i="55"/>
  <c r="B756" i="55"/>
  <c r="F756" i="55" s="1"/>
  <c r="A756" i="55"/>
  <c r="H756" i="55"/>
  <c r="K756" i="55"/>
  <c r="L756" i="55" s="1"/>
  <c r="G756" i="55"/>
  <c r="Q756" i="55"/>
  <c r="P756" i="55"/>
  <c r="L493" i="26"/>
  <c r="B493" i="26"/>
  <c r="G493" i="26" s="1"/>
  <c r="H493" i="26"/>
  <c r="W493" i="26"/>
  <c r="C493" i="26"/>
  <c r="U493" i="26" s="1"/>
  <c r="A493" i="26"/>
  <c r="Q493" i="26"/>
  <c r="F493" i="26"/>
  <c r="K493" i="26"/>
  <c r="S492" i="26"/>
  <c r="T492" i="26" s="1"/>
  <c r="BC492" i="26" s="1"/>
  <c r="D493" i="26" l="1"/>
  <c r="P493" i="26" s="1"/>
  <c r="M756" i="55"/>
  <c r="N756" i="55" s="1"/>
  <c r="X756" i="55" s="1"/>
  <c r="AF493" i="26"/>
  <c r="AN493" i="26" s="1"/>
  <c r="O756" i="55"/>
  <c r="E757" i="55"/>
  <c r="S755" i="55"/>
  <c r="X755" i="55"/>
  <c r="O493" i="26"/>
  <c r="U756" i="55"/>
  <c r="V756" i="55" s="1"/>
  <c r="V493" i="26"/>
  <c r="AO493" i="26" s="1"/>
  <c r="M493" i="26"/>
  <c r="AJ493" i="26" s="1"/>
  <c r="AK493" i="26" s="1"/>
  <c r="R493" i="26"/>
  <c r="E494" i="26"/>
  <c r="BL492" i="26"/>
  <c r="AP493" i="26"/>
  <c r="X493" i="26"/>
  <c r="AS493" i="26"/>
  <c r="BJ493" i="26" s="1"/>
  <c r="C494" i="26"/>
  <c r="AS494" i="26" s="1"/>
  <c r="BJ494" i="26" s="1"/>
  <c r="A494" i="26" l="1"/>
  <c r="BK493" i="26"/>
  <c r="S756" i="55"/>
  <c r="L494" i="26"/>
  <c r="V494" i="26"/>
  <c r="H757" i="55"/>
  <c r="Q757" i="55"/>
  <c r="K757" i="55"/>
  <c r="L757" i="55" s="1"/>
  <c r="A757" i="55"/>
  <c r="B757" i="55"/>
  <c r="F757" i="55" s="1"/>
  <c r="C757" i="55"/>
  <c r="O757" i="55" s="1"/>
  <c r="H494" i="26"/>
  <c r="B494" i="26"/>
  <c r="K494" i="26" s="1"/>
  <c r="M494" i="26" s="1"/>
  <c r="W494" i="26"/>
  <c r="Q494" i="26"/>
  <c r="AT493" i="26"/>
  <c r="N493" i="26"/>
  <c r="S493" i="26"/>
  <c r="T493" i="26" s="1"/>
  <c r="AV492" i="55"/>
  <c r="BT492" i="26"/>
  <c r="U494" i="26"/>
  <c r="AL493" i="26" l="1"/>
  <c r="AM493" i="26" s="1"/>
  <c r="AU493" i="26" s="1"/>
  <c r="AP494" i="26"/>
  <c r="G494" i="26"/>
  <c r="BL493" i="26"/>
  <c r="BC493" i="26"/>
  <c r="F494" i="26"/>
  <c r="R494" i="26" s="1"/>
  <c r="W757" i="55"/>
  <c r="AF494" i="26"/>
  <c r="AN494" i="26" s="1"/>
  <c r="D494" i="26"/>
  <c r="E495" i="26" s="1"/>
  <c r="G757" i="55"/>
  <c r="D757" i="55"/>
  <c r="M757" i="55" s="1"/>
  <c r="U757" i="55"/>
  <c r="V757" i="55" s="1"/>
  <c r="X494" i="26"/>
  <c r="BK494" i="26" s="1"/>
  <c r="P757" i="55"/>
  <c r="AO494" i="26"/>
  <c r="N494" i="26"/>
  <c r="AJ494" i="26"/>
  <c r="AK494" i="26" s="1"/>
  <c r="C495" i="26"/>
  <c r="AT494" i="26" l="1"/>
  <c r="W495" i="26"/>
  <c r="P494" i="26"/>
  <c r="A495" i="26"/>
  <c r="B495" i="26"/>
  <c r="F495" i="26" s="1"/>
  <c r="R495" i="26" s="1"/>
  <c r="Q495" i="26"/>
  <c r="H495" i="26"/>
  <c r="L495" i="26"/>
  <c r="O494" i="26"/>
  <c r="S494" i="26" s="1"/>
  <c r="T494" i="26" s="1"/>
  <c r="BC494" i="26" s="1"/>
  <c r="E758" i="55"/>
  <c r="K758" i="55"/>
  <c r="L758" i="55" s="1"/>
  <c r="Q758" i="55"/>
  <c r="B758" i="55"/>
  <c r="G758" i="55" s="1"/>
  <c r="A758" i="55"/>
  <c r="H758" i="55"/>
  <c r="C758" i="55"/>
  <c r="U758" i="55" s="1"/>
  <c r="D758" i="55"/>
  <c r="E759" i="55" s="1"/>
  <c r="F758" i="55"/>
  <c r="V495" i="26"/>
  <c r="N757" i="55"/>
  <c r="AV493" i="55"/>
  <c r="BT493" i="26"/>
  <c r="AO495" i="26"/>
  <c r="U495" i="26"/>
  <c r="AF495" i="26" s="1"/>
  <c r="AN495" i="26" s="1"/>
  <c r="AS495" i="26"/>
  <c r="BJ495" i="26" s="1"/>
  <c r="D495" i="26"/>
  <c r="P495" i="26" s="1"/>
  <c r="AP495" i="26"/>
  <c r="X495" i="26"/>
  <c r="K495" i="26"/>
  <c r="M495" i="26" s="1"/>
  <c r="G495" i="26"/>
  <c r="AL494" i="26" l="1"/>
  <c r="AM494" i="26" s="1"/>
  <c r="AU494" i="26" s="1"/>
  <c r="BL494" i="26"/>
  <c r="O758" i="55"/>
  <c r="M758" i="55"/>
  <c r="O495" i="26"/>
  <c r="S495" i="26" s="1"/>
  <c r="T495" i="26" s="1"/>
  <c r="BC495" i="26" s="1"/>
  <c r="P758" i="55"/>
  <c r="V758" i="55" s="1"/>
  <c r="S757" i="55"/>
  <c r="X757" i="55"/>
  <c r="H759" i="55"/>
  <c r="C759" i="55"/>
  <c r="U759" i="55" s="1"/>
  <c r="Q759" i="55"/>
  <c r="A759" i="55"/>
  <c r="K759" i="55"/>
  <c r="L759" i="55" s="1"/>
  <c r="B759" i="55"/>
  <c r="D759" i="55" s="1"/>
  <c r="G759" i="55"/>
  <c r="W758" i="55"/>
  <c r="AT495" i="26"/>
  <c r="E496" i="26"/>
  <c r="N495" i="26"/>
  <c r="AJ495" i="26"/>
  <c r="AK495" i="26" s="1"/>
  <c r="AV494" i="55"/>
  <c r="BT494" i="26"/>
  <c r="BK495" i="26"/>
  <c r="AL495" i="26" l="1"/>
  <c r="AM495" i="26" s="1"/>
  <c r="AU495" i="26" s="1"/>
  <c r="O759" i="55"/>
  <c r="N758" i="55"/>
  <c r="W759" i="55"/>
  <c r="P759" i="55"/>
  <c r="V759" i="55" s="1"/>
  <c r="F759" i="55"/>
  <c r="M759" i="55"/>
  <c r="E760" i="55"/>
  <c r="B496" i="26"/>
  <c r="C496" i="26"/>
  <c r="V496" i="26" s="1"/>
  <c r="H496" i="26"/>
  <c r="A496" i="26"/>
  <c r="Q496" i="26"/>
  <c r="L496" i="26"/>
  <c r="W496" i="26"/>
  <c r="BL495" i="26"/>
  <c r="X758" i="55" l="1"/>
  <c r="S758" i="55"/>
  <c r="AS496" i="26"/>
  <c r="BJ496" i="26" s="1"/>
  <c r="A760" i="55"/>
  <c r="Q760" i="55"/>
  <c r="B760" i="55"/>
  <c r="C760" i="55"/>
  <c r="O760" i="55" s="1"/>
  <c r="K760" i="55"/>
  <c r="L760" i="55" s="1"/>
  <c r="H760" i="55"/>
  <c r="X496" i="26"/>
  <c r="G760" i="55"/>
  <c r="W760" i="55"/>
  <c r="N759" i="55"/>
  <c r="G496" i="26"/>
  <c r="F496" i="26"/>
  <c r="R496" i="26" s="1"/>
  <c r="K496" i="26"/>
  <c r="M496" i="26" s="1"/>
  <c r="AJ496" i="26" s="1"/>
  <c r="AK496" i="26" s="1"/>
  <c r="U496" i="26"/>
  <c r="AF496" i="26" s="1"/>
  <c r="AN496" i="26" s="1"/>
  <c r="AP496" i="26"/>
  <c r="D496" i="26"/>
  <c r="AO496" i="26"/>
  <c r="BK496" i="26"/>
  <c r="BT495" i="26"/>
  <c r="AV495" i="55"/>
  <c r="X759" i="55" l="1"/>
  <c r="S759" i="55"/>
  <c r="E761" i="55"/>
  <c r="F760" i="55"/>
  <c r="D760" i="55"/>
  <c r="M760" i="55" s="1"/>
  <c r="P760" i="55"/>
  <c r="U760" i="55"/>
  <c r="V760" i="55" s="1"/>
  <c r="N496" i="26"/>
  <c r="O496" i="26"/>
  <c r="S496" i="26" s="1"/>
  <c r="T496" i="26" s="1"/>
  <c r="BC496" i="26" s="1"/>
  <c r="E497" i="26"/>
  <c r="P496" i="26"/>
  <c r="AT496" i="26"/>
  <c r="AL496" i="26" l="1"/>
  <c r="AM496" i="26" s="1"/>
  <c r="AU496" i="26" s="1"/>
  <c r="K761" i="55"/>
  <c r="L761" i="55" s="1"/>
  <c r="Q761" i="55"/>
  <c r="C761" i="55"/>
  <c r="O761" i="55" s="1"/>
  <c r="H761" i="55"/>
  <c r="B761" i="55"/>
  <c r="F761" i="55" s="1"/>
  <c r="A761" i="55"/>
  <c r="P761" i="55"/>
  <c r="G761" i="55"/>
  <c r="N760" i="55"/>
  <c r="H497" i="26"/>
  <c r="A497" i="26"/>
  <c r="W497" i="26"/>
  <c r="Q497" i="26"/>
  <c r="L497" i="26"/>
  <c r="B497" i="26"/>
  <c r="D497" i="26" s="1"/>
  <c r="C497" i="26"/>
  <c r="U497" i="26" s="1"/>
  <c r="BL496" i="26"/>
  <c r="P497" i="26" l="1"/>
  <c r="V497" i="26"/>
  <c r="W761" i="55"/>
  <c r="D761" i="55"/>
  <c r="S760" i="55"/>
  <c r="X760" i="55"/>
  <c r="X497" i="26"/>
  <c r="AF497" i="26"/>
  <c r="AN497" i="26" s="1"/>
  <c r="E498" i="26"/>
  <c r="F497" i="26"/>
  <c r="R497" i="26" s="1"/>
  <c r="AP497" i="26"/>
  <c r="AO497" i="26"/>
  <c r="G497" i="26"/>
  <c r="K497" i="26"/>
  <c r="M497" i="26" s="1"/>
  <c r="AJ497" i="26" s="1"/>
  <c r="AK497" i="26" s="1"/>
  <c r="O497" i="26"/>
  <c r="AV496" i="55"/>
  <c r="BT496" i="26"/>
  <c r="AL497" i="26" l="1"/>
  <c r="AM497" i="26" s="1"/>
  <c r="AU497" i="26" s="1"/>
  <c r="L498" i="26"/>
  <c r="AT497" i="26"/>
  <c r="S497" i="26"/>
  <c r="T497" i="26" s="1"/>
  <c r="BC497" i="26" s="1"/>
  <c r="E762" i="55"/>
  <c r="M761" i="55"/>
  <c r="Q498" i="26"/>
  <c r="N497" i="26"/>
  <c r="C498" i="26"/>
  <c r="U498" i="26" s="1"/>
  <c r="A498" i="26"/>
  <c r="B498" i="26"/>
  <c r="F498" i="26" s="1"/>
  <c r="W498" i="26"/>
  <c r="H498" i="26"/>
  <c r="BK497" i="26"/>
  <c r="D498" i="26"/>
  <c r="G498" i="26"/>
  <c r="K498" i="26"/>
  <c r="M498" i="26" s="1"/>
  <c r="BL497" i="26" l="1"/>
  <c r="AP498" i="26"/>
  <c r="AS498" i="26"/>
  <c r="BJ498" i="26" s="1"/>
  <c r="X498" i="26"/>
  <c r="AF498" i="26"/>
  <c r="AN498" i="26" s="1"/>
  <c r="V498" i="26"/>
  <c r="N761" i="55"/>
  <c r="R498" i="26"/>
  <c r="B762" i="55"/>
  <c r="Q762" i="55"/>
  <c r="A762" i="55"/>
  <c r="C762" i="55"/>
  <c r="K762" i="55"/>
  <c r="L762" i="55" s="1"/>
  <c r="H762" i="55"/>
  <c r="AV497" i="55"/>
  <c r="BT497" i="26"/>
  <c r="AO498" i="26"/>
  <c r="BK498" i="26"/>
  <c r="E499" i="26"/>
  <c r="N498" i="26"/>
  <c r="AJ498" i="26"/>
  <c r="AK498" i="26" s="1"/>
  <c r="O498" i="26"/>
  <c r="P498" i="26"/>
  <c r="AT498" i="26" l="1"/>
  <c r="AL498" i="26"/>
  <c r="AM498" i="26" s="1"/>
  <c r="AU498" i="26" s="1"/>
  <c r="P762" i="55"/>
  <c r="W762" i="55"/>
  <c r="G762" i="55"/>
  <c r="D762" i="55"/>
  <c r="M762" i="55" s="1"/>
  <c r="F762" i="55"/>
  <c r="U762" i="55"/>
  <c r="O762" i="55"/>
  <c r="X761" i="55"/>
  <c r="S761" i="55"/>
  <c r="S498" i="26"/>
  <c r="T498" i="26" s="1"/>
  <c r="BC498" i="26" s="1"/>
  <c r="W499" i="26"/>
  <c r="Q499" i="26"/>
  <c r="A499" i="26"/>
  <c r="B499" i="26"/>
  <c r="K499" i="26" s="1"/>
  <c r="L499" i="26"/>
  <c r="C499" i="26"/>
  <c r="AS499" i="26" s="1"/>
  <c r="BJ499" i="26" s="1"/>
  <c r="H499" i="26"/>
  <c r="V762" i="55" l="1"/>
  <c r="V499" i="26"/>
  <c r="N762" i="55"/>
  <c r="E763" i="55"/>
  <c r="F499" i="26"/>
  <c r="R499" i="26" s="1"/>
  <c r="AP499" i="26"/>
  <c r="M499" i="26"/>
  <c r="AJ499" i="26" s="1"/>
  <c r="AK499" i="26" s="1"/>
  <c r="U499" i="26"/>
  <c r="AF499" i="26" s="1"/>
  <c r="AN499" i="26" s="1"/>
  <c r="D499" i="26"/>
  <c r="O499" i="26" s="1"/>
  <c r="G499" i="26"/>
  <c r="BL498" i="26"/>
  <c r="X499" i="26"/>
  <c r="S762" i="55" l="1"/>
  <c r="X762" i="55"/>
  <c r="A763" i="55"/>
  <c r="H763" i="55"/>
  <c r="B763" i="55"/>
  <c r="P763" i="55" s="1"/>
  <c r="K763" i="55"/>
  <c r="L763" i="55" s="1"/>
  <c r="C763" i="55"/>
  <c r="U763" i="55" s="1"/>
  <c r="V763" i="55" s="1"/>
  <c r="Q763" i="55"/>
  <c r="F763" i="55"/>
  <c r="G763" i="55"/>
  <c r="D763" i="55"/>
  <c r="M763" i="55" s="1"/>
  <c r="N499" i="26"/>
  <c r="E500" i="26"/>
  <c r="AV498" i="55"/>
  <c r="BT498" i="26"/>
  <c r="P499" i="26"/>
  <c r="S499" i="26"/>
  <c r="T499" i="26" s="1"/>
  <c r="BC499" i="26" s="1"/>
  <c r="BK499" i="26"/>
  <c r="AO499" i="26"/>
  <c r="AT499" i="26" s="1"/>
  <c r="AL499" i="26" l="1"/>
  <c r="AM499" i="26" s="1"/>
  <c r="AU499" i="26" s="1"/>
  <c r="O763" i="55"/>
  <c r="W500" i="26"/>
  <c r="N763" i="55"/>
  <c r="E764" i="55"/>
  <c r="W763" i="55"/>
  <c r="H500" i="26"/>
  <c r="L500" i="26"/>
  <c r="C500" i="26"/>
  <c r="AS500" i="26" s="1"/>
  <c r="BJ500" i="26" s="1"/>
  <c r="B500" i="26"/>
  <c r="G500" i="26" s="1"/>
  <c r="A500" i="26"/>
  <c r="Q500" i="26"/>
  <c r="U500" i="26"/>
  <c r="BL499" i="26"/>
  <c r="V500" i="26" l="1"/>
  <c r="C764" i="55"/>
  <c r="Q764" i="55"/>
  <c r="A764" i="55"/>
  <c r="B764" i="55"/>
  <c r="F764" i="55" s="1"/>
  <c r="K764" i="55"/>
  <c r="L764" i="55" s="1"/>
  <c r="H764" i="55"/>
  <c r="U764" i="55"/>
  <c r="O764" i="55"/>
  <c r="S763" i="55"/>
  <c r="X763" i="55"/>
  <c r="K500" i="26"/>
  <c r="M500" i="26" s="1"/>
  <c r="AJ500" i="26" s="1"/>
  <c r="AK500" i="26" s="1"/>
  <c r="F500" i="26"/>
  <c r="R500" i="26" s="1"/>
  <c r="D500" i="26"/>
  <c r="E501" i="26" s="1"/>
  <c r="AF500" i="26"/>
  <c r="AN500" i="26" s="1"/>
  <c r="AP500" i="26"/>
  <c r="X500" i="26"/>
  <c r="BK500" i="26" s="1"/>
  <c r="BT499" i="26"/>
  <c r="AV499" i="55"/>
  <c r="AO500" i="26"/>
  <c r="AT500" i="26" l="1"/>
  <c r="C501" i="26"/>
  <c r="A501" i="26"/>
  <c r="Q501" i="26"/>
  <c r="L501" i="26"/>
  <c r="H501" i="26"/>
  <c r="AO501" i="26"/>
  <c r="O500" i="26"/>
  <c r="B501" i="26"/>
  <c r="F501" i="26" s="1"/>
  <c r="R501" i="26" s="1"/>
  <c r="P500" i="26"/>
  <c r="P764" i="55"/>
  <c r="D764" i="55"/>
  <c r="M764" i="55" s="1"/>
  <c r="V764" i="55"/>
  <c r="G764" i="55"/>
  <c r="E765" i="55"/>
  <c r="V501" i="26"/>
  <c r="W764" i="55"/>
  <c r="Q765" i="55"/>
  <c r="A765" i="55"/>
  <c r="B765" i="55"/>
  <c r="H765" i="55"/>
  <c r="K765" i="55"/>
  <c r="L765" i="55" s="1"/>
  <c r="C765" i="55"/>
  <c r="O765" i="55" s="1"/>
  <c r="W501" i="26"/>
  <c r="G765" i="55"/>
  <c r="F765" i="55"/>
  <c r="N764" i="55"/>
  <c r="N500" i="26"/>
  <c r="AP501" i="26"/>
  <c r="D501" i="26"/>
  <c r="E502" i="26" s="1"/>
  <c r="K501" i="26"/>
  <c r="M501" i="26" s="1"/>
  <c r="AS501" i="26"/>
  <c r="BJ501" i="26" s="1"/>
  <c r="U501" i="26"/>
  <c r="AF501" i="26" s="1"/>
  <c r="AN501" i="26" s="1"/>
  <c r="G501" i="26"/>
  <c r="X501" i="26"/>
  <c r="BK501" i="26" s="1"/>
  <c r="AL500" i="26" l="1"/>
  <c r="AM500" i="26" s="1"/>
  <c r="AU500" i="26" s="1"/>
  <c r="S500" i="26"/>
  <c r="T500" i="26" s="1"/>
  <c r="BC500" i="26" s="1"/>
  <c r="S764" i="55"/>
  <c r="X764" i="55"/>
  <c r="P765" i="55"/>
  <c r="D765" i="55"/>
  <c r="M765" i="55" s="1"/>
  <c r="U765" i="55"/>
  <c r="W765" i="55"/>
  <c r="AT501" i="26"/>
  <c r="H502" i="26"/>
  <c r="Q502" i="26"/>
  <c r="L502" i="26"/>
  <c r="W502" i="26"/>
  <c r="B502" i="26"/>
  <c r="G502" i="26" s="1"/>
  <c r="A502" i="26"/>
  <c r="C502" i="26"/>
  <c r="V502" i="26" s="1"/>
  <c r="AJ501" i="26"/>
  <c r="AK501" i="26" s="1"/>
  <c r="N501" i="26"/>
  <c r="P501" i="26"/>
  <c r="O501" i="26"/>
  <c r="S501" i="26" s="1"/>
  <c r="T501" i="26" s="1"/>
  <c r="BC501" i="26" l="1"/>
  <c r="AL501" i="26"/>
  <c r="AM501" i="26" s="1"/>
  <c r="AU501" i="26" s="1"/>
  <c r="BL500" i="26"/>
  <c r="E766" i="55"/>
  <c r="V765" i="55"/>
  <c r="N765" i="55"/>
  <c r="D502" i="26"/>
  <c r="O502" i="26" s="1"/>
  <c r="K502" i="26"/>
  <c r="M502" i="26" s="1"/>
  <c r="N502" i="26" s="1"/>
  <c r="AS502" i="26"/>
  <c r="BJ502" i="26" s="1"/>
  <c r="AV500" i="55"/>
  <c r="BT500" i="26"/>
  <c r="AO502" i="26"/>
  <c r="F502" i="26"/>
  <c r="R502" i="26" s="1"/>
  <c r="BL501" i="26"/>
  <c r="AP502" i="26"/>
  <c r="X502" i="26"/>
  <c r="U502" i="26"/>
  <c r="AF502" i="26" s="1"/>
  <c r="AN502" i="26" s="1"/>
  <c r="P502" i="26" l="1"/>
  <c r="E503" i="26"/>
  <c r="K766" i="55"/>
  <c r="L766" i="55" s="1"/>
  <c r="C766" i="55"/>
  <c r="O766" i="55" s="1"/>
  <c r="B766" i="55"/>
  <c r="Q766" i="55"/>
  <c r="A766" i="55"/>
  <c r="U766" i="55"/>
  <c r="H766" i="55"/>
  <c r="A503" i="26"/>
  <c r="S765" i="55"/>
  <c r="X765" i="55"/>
  <c r="H503" i="26"/>
  <c r="L503" i="26"/>
  <c r="AT502" i="26"/>
  <c r="S502" i="26"/>
  <c r="T502" i="26" s="1"/>
  <c r="AJ502" i="26"/>
  <c r="AK502" i="26" s="1"/>
  <c r="C503" i="26"/>
  <c r="Q503" i="26"/>
  <c r="W503" i="26"/>
  <c r="BK502" i="26"/>
  <c r="AV501" i="55"/>
  <c r="BT501" i="26"/>
  <c r="AL502" i="26" l="1"/>
  <c r="AM502" i="26" s="1"/>
  <c r="AU502" i="26" s="1"/>
  <c r="BL502" i="26"/>
  <c r="BC502" i="26"/>
  <c r="BT502" i="26" s="1"/>
  <c r="B503" i="26"/>
  <c r="F766" i="55"/>
  <c r="P766" i="55"/>
  <c r="D766" i="55"/>
  <c r="W766" i="55"/>
  <c r="G766" i="55"/>
  <c r="V766" i="55"/>
  <c r="V503" i="26"/>
  <c r="AP503" i="26"/>
  <c r="U503" i="26"/>
  <c r="AF503" i="26" s="1"/>
  <c r="AN503" i="26" s="1"/>
  <c r="AS503" i="26"/>
  <c r="BJ503" i="26" s="1"/>
  <c r="AV502" i="55"/>
  <c r="D503" i="26" l="1"/>
  <c r="G503" i="26"/>
  <c r="F503" i="26"/>
  <c r="R503" i="26" s="1"/>
  <c r="K503" i="26"/>
  <c r="M503" i="26" s="1"/>
  <c r="BK503" i="26"/>
  <c r="X503" i="26"/>
  <c r="M766" i="55"/>
  <c r="E767" i="55"/>
  <c r="AO503" i="26"/>
  <c r="AT503" i="26" s="1"/>
  <c r="N503" i="26" l="1"/>
  <c r="AJ503" i="26"/>
  <c r="AK503" i="26" s="1"/>
  <c r="E504" i="26"/>
  <c r="P503" i="26"/>
  <c r="O503" i="26"/>
  <c r="S503" i="26" s="1"/>
  <c r="T503" i="26" s="1"/>
  <c r="Q767" i="55"/>
  <c r="H767" i="55"/>
  <c r="C767" i="55"/>
  <c r="K767" i="55"/>
  <c r="L767" i="55" s="1"/>
  <c r="B767" i="55"/>
  <c r="M767" i="55" s="1"/>
  <c r="A767" i="55"/>
  <c r="G767" i="55"/>
  <c r="N766" i="55"/>
  <c r="D767" i="55"/>
  <c r="AL503" i="26" l="1"/>
  <c r="AM503" i="26" s="1"/>
  <c r="AU503" i="26" s="1"/>
  <c r="BL503" i="26"/>
  <c r="BC503" i="26"/>
  <c r="Q504" i="26"/>
  <c r="L504" i="26"/>
  <c r="C504" i="26"/>
  <c r="H504" i="26"/>
  <c r="B504" i="26"/>
  <c r="A504" i="26"/>
  <c r="W504" i="26"/>
  <c r="O767" i="55"/>
  <c r="U767" i="55"/>
  <c r="X766" i="55"/>
  <c r="S766" i="55"/>
  <c r="E768" i="55"/>
  <c r="B768" i="55" s="1"/>
  <c r="F767" i="55"/>
  <c r="W767" i="55"/>
  <c r="P767" i="55"/>
  <c r="N767" i="55"/>
  <c r="Q768" i="55"/>
  <c r="K768" i="55"/>
  <c r="L768" i="55" s="1"/>
  <c r="C768" i="55"/>
  <c r="H768" i="55"/>
  <c r="AS504" i="26" l="1"/>
  <c r="BJ504" i="26" s="1"/>
  <c r="U504" i="26"/>
  <c r="AF504" i="26" s="1"/>
  <c r="AN504" i="26" s="1"/>
  <c r="V504" i="26"/>
  <c r="K504" i="26"/>
  <c r="M504" i="26" s="1"/>
  <c r="AP504" i="26"/>
  <c r="G504" i="26"/>
  <c r="F504" i="26"/>
  <c r="R504" i="26" s="1"/>
  <c r="X504" i="26"/>
  <c r="D504" i="26"/>
  <c r="E505" i="26" s="1"/>
  <c r="AV503" i="55"/>
  <c r="BT503" i="26"/>
  <c r="O504" i="26"/>
  <c r="S504" i="26" s="1"/>
  <c r="T504" i="26" s="1"/>
  <c r="BC504" i="26" s="1"/>
  <c r="V767" i="55"/>
  <c r="G768" i="55"/>
  <c r="D768" i="55"/>
  <c r="M768" i="55" s="1"/>
  <c r="A768" i="55"/>
  <c r="P768" i="55"/>
  <c r="F768" i="55"/>
  <c r="N768" i="55"/>
  <c r="O768" i="55"/>
  <c r="E769" i="55"/>
  <c r="W768" i="55"/>
  <c r="U768" i="55"/>
  <c r="X767" i="55"/>
  <c r="S767" i="55"/>
  <c r="A505" i="26" l="1"/>
  <c r="B505" i="26"/>
  <c r="K505" i="26" s="1"/>
  <c r="M505" i="26" s="1"/>
  <c r="Q505" i="26"/>
  <c r="H505" i="26"/>
  <c r="L505" i="26"/>
  <c r="W505" i="26"/>
  <c r="C505" i="26"/>
  <c r="AS505" i="26" s="1"/>
  <c r="BJ505" i="26" s="1"/>
  <c r="N504" i="26"/>
  <c r="AJ504" i="26"/>
  <c r="AK504" i="26" s="1"/>
  <c r="AO504" i="26"/>
  <c r="AT504" i="26" s="1"/>
  <c r="BK504" i="26"/>
  <c r="P504" i="26"/>
  <c r="V768" i="55"/>
  <c r="V505" i="26"/>
  <c r="U505" i="26"/>
  <c r="B769" i="55"/>
  <c r="P769" i="55" s="1"/>
  <c r="Q769" i="55"/>
  <c r="H769" i="55"/>
  <c r="C769" i="55"/>
  <c r="U769" i="55" s="1"/>
  <c r="K769" i="55"/>
  <c r="L769" i="55" s="1"/>
  <c r="A769" i="55"/>
  <c r="S768" i="55"/>
  <c r="X768" i="55"/>
  <c r="BL504" i="26"/>
  <c r="AL504" i="26" l="1"/>
  <c r="AM504" i="26" s="1"/>
  <c r="AU504" i="26" s="1"/>
  <c r="AJ505" i="26"/>
  <c r="AK505" i="26" s="1"/>
  <c r="AP505" i="26"/>
  <c r="F505" i="26"/>
  <c r="R505" i="26" s="1"/>
  <c r="AO505" i="26"/>
  <c r="X505" i="26"/>
  <c r="AF505" i="26"/>
  <c r="AN505" i="26" s="1"/>
  <c r="G505" i="26"/>
  <c r="D505" i="26"/>
  <c r="P505" i="26" s="1"/>
  <c r="N505" i="26"/>
  <c r="G769" i="55"/>
  <c r="V769" i="55"/>
  <c r="D769" i="55"/>
  <c r="M769" i="55" s="1"/>
  <c r="BK505" i="26"/>
  <c r="F769" i="55"/>
  <c r="W769" i="55"/>
  <c r="O769" i="55"/>
  <c r="BT504" i="26"/>
  <c r="AV504" i="55"/>
  <c r="AT505" i="26" l="1"/>
  <c r="E506" i="26"/>
  <c r="O505" i="26"/>
  <c r="S505" i="26" s="1"/>
  <c r="T505" i="26" s="1"/>
  <c r="BC505" i="26" s="1"/>
  <c r="E770" i="55"/>
  <c r="B506" i="26"/>
  <c r="K506" i="26" s="1"/>
  <c r="N769" i="55"/>
  <c r="X769" i="55" s="1"/>
  <c r="W506" i="26"/>
  <c r="H506" i="26"/>
  <c r="Q506" i="26"/>
  <c r="L506" i="26"/>
  <c r="D506" i="26"/>
  <c r="P506" i="26" s="1"/>
  <c r="F506" i="26"/>
  <c r="C506" i="26"/>
  <c r="AP506" i="26" s="1"/>
  <c r="A770" i="55"/>
  <c r="K770" i="55"/>
  <c r="L770" i="55" s="1"/>
  <c r="Q770" i="55"/>
  <c r="C770" i="55"/>
  <c r="U770" i="55" s="1"/>
  <c r="B770" i="55"/>
  <c r="P770" i="55" s="1"/>
  <c r="H770" i="55"/>
  <c r="AL505" i="26" l="1"/>
  <c r="AM505" i="26" s="1"/>
  <c r="AU505" i="26" s="1"/>
  <c r="R506" i="26"/>
  <c r="A506" i="26"/>
  <c r="V506" i="26"/>
  <c r="AO506" i="26" s="1"/>
  <c r="AT506" i="26" s="1"/>
  <c r="G506" i="26"/>
  <c r="V770" i="55"/>
  <c r="S769" i="55"/>
  <c r="X506" i="26"/>
  <c r="M506" i="26"/>
  <c r="N506" i="26" s="1"/>
  <c r="F770" i="55"/>
  <c r="W770" i="55"/>
  <c r="G770" i="55"/>
  <c r="D770" i="55"/>
  <c r="E771" i="55" s="1"/>
  <c r="O770" i="55"/>
  <c r="U506" i="26"/>
  <c r="AF506" i="26" s="1"/>
  <c r="AN506" i="26" s="1"/>
  <c r="E507" i="26"/>
  <c r="AS506" i="26"/>
  <c r="BJ506" i="26" s="1"/>
  <c r="O506" i="26"/>
  <c r="BL505" i="26"/>
  <c r="AL506" i="26" l="1"/>
  <c r="AM506" i="26" s="1"/>
  <c r="AU506" i="26" s="1"/>
  <c r="M770" i="55"/>
  <c r="AJ506" i="26"/>
  <c r="AK506" i="26" s="1"/>
  <c r="S506" i="26"/>
  <c r="T506" i="26" s="1"/>
  <c r="BC506" i="26" s="1"/>
  <c r="K771" i="55"/>
  <c r="L771" i="55" s="1"/>
  <c r="B771" i="55"/>
  <c r="P771" i="55" s="1"/>
  <c r="H771" i="55"/>
  <c r="Q771" i="55"/>
  <c r="C771" i="55"/>
  <c r="U771" i="55" s="1"/>
  <c r="A771" i="55"/>
  <c r="D771" i="55"/>
  <c r="M771" i="55" s="1"/>
  <c r="N771" i="55" s="1"/>
  <c r="N770" i="55"/>
  <c r="BK506" i="26"/>
  <c r="L507" i="26"/>
  <c r="B507" i="26"/>
  <c r="W507" i="26"/>
  <c r="H507" i="26"/>
  <c r="Q507" i="26"/>
  <c r="C507" i="26"/>
  <c r="V507" i="26" s="1"/>
  <c r="A507" i="26"/>
  <c r="AV505" i="55"/>
  <c r="BT505" i="26"/>
  <c r="BL506" i="26" l="1"/>
  <c r="F771" i="55"/>
  <c r="W771" i="55"/>
  <c r="X771" i="55"/>
  <c r="X770" i="55"/>
  <c r="S770" i="55"/>
  <c r="V771" i="55"/>
  <c r="O771" i="55"/>
  <c r="E772" i="55"/>
  <c r="X507" i="26"/>
  <c r="G507" i="26"/>
  <c r="F507" i="26"/>
  <c r="R507" i="26" s="1"/>
  <c r="AP507" i="26"/>
  <c r="K507" i="26"/>
  <c r="M507" i="26" s="1"/>
  <c r="D507" i="26"/>
  <c r="AO507" i="26"/>
  <c r="U507" i="26"/>
  <c r="AF507" i="26" s="1"/>
  <c r="AN507" i="26" s="1"/>
  <c r="AS507" i="26"/>
  <c r="BJ507" i="26" s="1"/>
  <c r="G771" i="55"/>
  <c r="AV506" i="55"/>
  <c r="BT506" i="26"/>
  <c r="AT507" i="26" l="1"/>
  <c r="S771" i="55"/>
  <c r="BK507" i="26"/>
  <c r="O507" i="26"/>
  <c r="E508" i="26"/>
  <c r="N507" i="26"/>
  <c r="AJ507" i="26"/>
  <c r="AK507" i="26" s="1"/>
  <c r="Q772" i="55"/>
  <c r="B772" i="55"/>
  <c r="G772" i="55" s="1"/>
  <c r="K772" i="55"/>
  <c r="L772" i="55" s="1"/>
  <c r="H772" i="55"/>
  <c r="C772" i="55"/>
  <c r="A772" i="55"/>
  <c r="F772" i="55"/>
  <c r="P507" i="26"/>
  <c r="AL507" i="26" l="1"/>
  <c r="AM507" i="26" s="1"/>
  <c r="AU507" i="26" s="1"/>
  <c r="W772" i="55"/>
  <c r="P772" i="55"/>
  <c r="D772" i="55"/>
  <c r="M772" i="55" s="1"/>
  <c r="N772" i="55" s="1"/>
  <c r="U772" i="55"/>
  <c r="V772" i="55" s="1"/>
  <c r="O772" i="55"/>
  <c r="S507" i="26"/>
  <c r="T507" i="26" s="1"/>
  <c r="BC507" i="26" s="1"/>
  <c r="W508" i="26"/>
  <c r="Q508" i="26"/>
  <c r="B508" i="26"/>
  <c r="A508" i="26"/>
  <c r="L508" i="26"/>
  <c r="H508" i="26"/>
  <c r="C508" i="26"/>
  <c r="V508" i="26" s="1"/>
  <c r="E773" i="55" l="1"/>
  <c r="H773" i="55" s="1"/>
  <c r="G508" i="26"/>
  <c r="AP508" i="26"/>
  <c r="D508" i="26"/>
  <c r="E509" i="26" s="1"/>
  <c r="F508" i="26"/>
  <c r="R508" i="26" s="1"/>
  <c r="X508" i="26"/>
  <c r="K508" i="26"/>
  <c r="M508" i="26" s="1"/>
  <c r="O508" i="26"/>
  <c r="B773" i="55"/>
  <c r="G773" i="55" s="1"/>
  <c r="Q773" i="55"/>
  <c r="A773" i="55"/>
  <c r="K773" i="55"/>
  <c r="L773" i="55" s="1"/>
  <c r="AS508" i="26"/>
  <c r="BJ508" i="26" s="1"/>
  <c r="U508" i="26"/>
  <c r="AF508" i="26" s="1"/>
  <c r="AN508" i="26" s="1"/>
  <c r="BL507" i="26"/>
  <c r="S772" i="55"/>
  <c r="X772" i="55"/>
  <c r="P508" i="26" l="1"/>
  <c r="C773" i="55"/>
  <c r="O773" i="55" s="1"/>
  <c r="BK508" i="26"/>
  <c r="F773" i="55"/>
  <c r="D773" i="55"/>
  <c r="P773" i="55"/>
  <c r="S508" i="26"/>
  <c r="T508" i="26" s="1"/>
  <c r="BC508" i="26" s="1"/>
  <c r="AV507" i="55"/>
  <c r="BT507" i="26"/>
  <c r="AJ508" i="26"/>
  <c r="AK508" i="26" s="1"/>
  <c r="N508" i="26"/>
  <c r="A509" i="26"/>
  <c r="B509" i="26"/>
  <c r="W509" i="26"/>
  <c r="Q509" i="26"/>
  <c r="L509" i="26"/>
  <c r="H509" i="26"/>
  <c r="C509" i="26"/>
  <c r="G509" i="26"/>
  <c r="U509" i="26"/>
  <c r="AO508" i="26"/>
  <c r="AT508" i="26" s="1"/>
  <c r="AL508" i="26" l="1"/>
  <c r="AM508" i="26" s="1"/>
  <c r="AU508" i="26" s="1"/>
  <c r="V509" i="26"/>
  <c r="W773" i="55"/>
  <c r="AF509" i="26"/>
  <c r="AN509" i="26" s="1"/>
  <c r="D509" i="26"/>
  <c r="E510" i="26" s="1"/>
  <c r="BL508" i="26"/>
  <c r="M773" i="55"/>
  <c r="E774" i="55"/>
  <c r="K509" i="26"/>
  <c r="M509" i="26" s="1"/>
  <c r="F509" i="26"/>
  <c r="R509" i="26" s="1"/>
  <c r="X509" i="26"/>
  <c r="AP509" i="26"/>
  <c r="H510" i="26" l="1"/>
  <c r="L510" i="26"/>
  <c r="O509" i="26"/>
  <c r="S509" i="26" s="1"/>
  <c r="T509" i="26" s="1"/>
  <c r="P509" i="26"/>
  <c r="A510" i="26"/>
  <c r="C510" i="26"/>
  <c r="V510" i="26" s="1"/>
  <c r="N773" i="55"/>
  <c r="W510" i="26"/>
  <c r="AV508" i="55"/>
  <c r="BT508" i="26"/>
  <c r="Q510" i="26"/>
  <c r="B510" i="26"/>
  <c r="K510" i="26" s="1"/>
  <c r="M510" i="26" s="1"/>
  <c r="AJ509" i="26"/>
  <c r="AK509" i="26" s="1"/>
  <c r="N509" i="26"/>
  <c r="H774" i="55"/>
  <c r="K774" i="55"/>
  <c r="L774" i="55" s="1"/>
  <c r="A774" i="55"/>
  <c r="B774" i="55"/>
  <c r="D774" i="55" s="1"/>
  <c r="Q774" i="55"/>
  <c r="F774" i="55"/>
  <c r="G774" i="55"/>
  <c r="C774" i="55"/>
  <c r="U774" i="55" s="1"/>
  <c r="AO509" i="26"/>
  <c r="AT509" i="26" s="1"/>
  <c r="BK509" i="26"/>
  <c r="U510" i="26"/>
  <c r="AS510" i="26"/>
  <c r="BJ510" i="26" s="1"/>
  <c r="AL509" i="26" l="1"/>
  <c r="AM509" i="26" s="1"/>
  <c r="AU509" i="26" s="1"/>
  <c r="BC509" i="26"/>
  <c r="AV509" i="55" s="1"/>
  <c r="BL509" i="26"/>
  <c r="AJ510" i="26"/>
  <c r="AK510" i="26" s="1"/>
  <c r="P774" i="55"/>
  <c r="W774" i="55"/>
  <c r="AF510" i="26"/>
  <c r="AN510" i="26" s="1"/>
  <c r="F510" i="26"/>
  <c r="R510" i="26" s="1"/>
  <c r="AP510" i="26"/>
  <c r="X510" i="26"/>
  <c r="BK510" i="26" s="1"/>
  <c r="G510" i="26"/>
  <c r="O774" i="55"/>
  <c r="D510" i="26"/>
  <c r="X773" i="55"/>
  <c r="S773" i="55"/>
  <c r="V774" i="55"/>
  <c r="E775" i="55"/>
  <c r="M774" i="55"/>
  <c r="N510" i="26"/>
  <c r="AO510" i="26"/>
  <c r="BT509" i="26"/>
  <c r="AT510" i="26" l="1"/>
  <c r="E511" i="26"/>
  <c r="O510" i="26"/>
  <c r="S510" i="26" s="1"/>
  <c r="T510" i="26" s="1"/>
  <c r="BL510" i="26" s="1"/>
  <c r="P510" i="26"/>
  <c r="N774" i="55"/>
  <c r="W511" i="26"/>
  <c r="H511" i="26"/>
  <c r="H775" i="55"/>
  <c r="Q775" i="55"/>
  <c r="C775" i="55"/>
  <c r="U775" i="55" s="1"/>
  <c r="K775" i="55"/>
  <c r="L775" i="55" s="1"/>
  <c r="B775" i="55"/>
  <c r="F775" i="55" s="1"/>
  <c r="A775" i="55"/>
  <c r="G775" i="55"/>
  <c r="AL510" i="26" l="1"/>
  <c r="AM510" i="26" s="1"/>
  <c r="AU510" i="26" s="1"/>
  <c r="BC510" i="26"/>
  <c r="BT510" i="26" s="1"/>
  <c r="P775" i="55"/>
  <c r="V775" i="55" s="1"/>
  <c r="B511" i="26"/>
  <c r="K511" i="26" s="1"/>
  <c r="D775" i="55"/>
  <c r="M775" i="55" s="1"/>
  <c r="C511" i="26"/>
  <c r="V511" i="26" s="1"/>
  <c r="Q511" i="26"/>
  <c r="A511" i="26"/>
  <c r="L511" i="26"/>
  <c r="W775" i="55"/>
  <c r="O775" i="55"/>
  <c r="E776" i="55"/>
  <c r="G511" i="26"/>
  <c r="D511" i="26"/>
  <c r="S774" i="55"/>
  <c r="X774" i="55"/>
  <c r="AV510" i="55" l="1"/>
  <c r="N775" i="55"/>
  <c r="X775" i="55" s="1"/>
  <c r="AP511" i="26"/>
  <c r="F511" i="26"/>
  <c r="R511" i="26" s="1"/>
  <c r="X511" i="26"/>
  <c r="S775" i="55"/>
  <c r="AS511" i="26"/>
  <c r="BJ511" i="26" s="1"/>
  <c r="AO511" i="26"/>
  <c r="U511" i="26"/>
  <c r="AF511" i="26" s="1"/>
  <c r="AN511" i="26" s="1"/>
  <c r="M511" i="26"/>
  <c r="N511" i="26" s="1"/>
  <c r="B776" i="55"/>
  <c r="D776" i="55" s="1"/>
  <c r="M776" i="55" s="1"/>
  <c r="Q776" i="55"/>
  <c r="H776" i="55"/>
  <c r="C776" i="55"/>
  <c r="K776" i="55"/>
  <c r="L776" i="55" s="1"/>
  <c r="A776" i="55"/>
  <c r="E512" i="26"/>
  <c r="O511" i="26"/>
  <c r="P511" i="26"/>
  <c r="AT511" i="26" l="1"/>
  <c r="AL511" i="26"/>
  <c r="AM511" i="26" s="1"/>
  <c r="AU511" i="26" s="1"/>
  <c r="AJ511" i="26"/>
  <c r="AK511" i="26" s="1"/>
  <c r="BK511" i="26"/>
  <c r="N776" i="55"/>
  <c r="X776" i="55" s="1"/>
  <c r="A512" i="26"/>
  <c r="C512" i="26"/>
  <c r="V512" i="26" s="1"/>
  <c r="H512" i="26"/>
  <c r="W512" i="26"/>
  <c r="Q512" i="26"/>
  <c r="B512" i="26"/>
  <c r="F512" i="26" s="1"/>
  <c r="R512" i="26" s="1"/>
  <c r="L512" i="26"/>
  <c r="S511" i="26"/>
  <c r="T511" i="26" s="1"/>
  <c r="BC511" i="26" s="1"/>
  <c r="P776" i="55"/>
  <c r="G776" i="55"/>
  <c r="F776" i="55"/>
  <c r="W776" i="55"/>
  <c r="O776" i="55"/>
  <c r="U776" i="55"/>
  <c r="E777" i="55"/>
  <c r="U512" i="26" l="1"/>
  <c r="S776" i="55"/>
  <c r="AP512" i="26"/>
  <c r="G512" i="26"/>
  <c r="AO512" i="26"/>
  <c r="K512" i="26"/>
  <c r="M512" i="26" s="1"/>
  <c r="N512" i="26" s="1"/>
  <c r="X512" i="26"/>
  <c r="BK512" i="26" s="1"/>
  <c r="V776" i="55"/>
  <c r="AF512" i="26"/>
  <c r="AN512" i="26" s="1"/>
  <c r="BL511" i="26"/>
  <c r="C777" i="55"/>
  <c r="Q777" i="55"/>
  <c r="H777" i="55"/>
  <c r="K777" i="55"/>
  <c r="L777" i="55" s="1"/>
  <c r="A777" i="55"/>
  <c r="B777" i="55"/>
  <c r="D512" i="26"/>
  <c r="AS512" i="26"/>
  <c r="BJ512" i="26" s="1"/>
  <c r="AT512" i="26" l="1"/>
  <c r="AJ512" i="26"/>
  <c r="AK512" i="26" s="1"/>
  <c r="P777" i="55"/>
  <c r="W777" i="55"/>
  <c r="F777" i="55"/>
  <c r="D777" i="55"/>
  <c r="M777" i="55" s="1"/>
  <c r="G777" i="55"/>
  <c r="O777" i="55"/>
  <c r="U777" i="55"/>
  <c r="AV511" i="55"/>
  <c r="BT511" i="26"/>
  <c r="E513" i="26"/>
  <c r="P512" i="26"/>
  <c r="O512" i="26"/>
  <c r="AL512" i="26" l="1"/>
  <c r="AM512" i="26" s="1"/>
  <c r="AU512" i="26" s="1"/>
  <c r="E778" i="55"/>
  <c r="A778" i="55" s="1"/>
  <c r="B778" i="55"/>
  <c r="D778" i="55" s="1"/>
  <c r="M778" i="55" s="1"/>
  <c r="Q778" i="55"/>
  <c r="N777" i="55"/>
  <c r="S777" i="55" s="1"/>
  <c r="B513" i="26"/>
  <c r="A513" i="26"/>
  <c r="H513" i="26"/>
  <c r="C513" i="26"/>
  <c r="V513" i="26" s="1"/>
  <c r="G513" i="26"/>
  <c r="W513" i="26"/>
  <c r="Q513" i="26"/>
  <c r="L513" i="26"/>
  <c r="H778" i="55"/>
  <c r="K778" i="55"/>
  <c r="L778" i="55" s="1"/>
  <c r="V777" i="55"/>
  <c r="S512" i="26"/>
  <c r="T512" i="26" s="1"/>
  <c r="BC512" i="26" s="1"/>
  <c r="G778" i="55"/>
  <c r="X777" i="55"/>
  <c r="P778" i="55"/>
  <c r="X513" i="26" l="1"/>
  <c r="F778" i="55"/>
  <c r="C778" i="55"/>
  <c r="AS513" i="26"/>
  <c r="BJ513" i="26" s="1"/>
  <c r="AP513" i="26"/>
  <c r="F513" i="26"/>
  <c r="R513" i="26" s="1"/>
  <c r="K513" i="26"/>
  <c r="M513" i="26" s="1"/>
  <c r="BL512" i="26"/>
  <c r="U513" i="26"/>
  <c r="AF513" i="26" s="1"/>
  <c r="AN513" i="26" s="1"/>
  <c r="D513" i="26"/>
  <c r="E779" i="55"/>
  <c r="H779" i="55" s="1"/>
  <c r="N778" i="55"/>
  <c r="X778" i="55" s="1"/>
  <c r="O778" i="55" l="1"/>
  <c r="W778" i="55"/>
  <c r="U778" i="55"/>
  <c r="V778" i="55" s="1"/>
  <c r="K779" i="55"/>
  <c r="L779" i="55" s="1"/>
  <c r="A779" i="55"/>
  <c r="P513" i="26"/>
  <c r="O513" i="26"/>
  <c r="AO513" i="26"/>
  <c r="AT513" i="26" s="1"/>
  <c r="BK513" i="26"/>
  <c r="B779" i="55"/>
  <c r="P779" i="55" s="1"/>
  <c r="AV512" i="55"/>
  <c r="BT512" i="26"/>
  <c r="Q779" i="55"/>
  <c r="AJ513" i="26"/>
  <c r="AK513" i="26" s="1"/>
  <c r="N513" i="26"/>
  <c r="E514" i="26"/>
  <c r="C779" i="55"/>
  <c r="O779" i="55" s="1"/>
  <c r="G779" i="55"/>
  <c r="S778" i="55"/>
  <c r="AL513" i="26" l="1"/>
  <c r="AM513" i="26" s="1"/>
  <c r="AU513" i="26" s="1"/>
  <c r="D779" i="55"/>
  <c r="F779" i="55"/>
  <c r="S513" i="26"/>
  <c r="T513" i="26" s="1"/>
  <c r="BC513" i="26" s="1"/>
  <c r="H514" i="26"/>
  <c r="W514" i="26"/>
  <c r="C514" i="26"/>
  <c r="V514" i="26" s="1"/>
  <c r="Q514" i="26"/>
  <c r="L514" i="26"/>
  <c r="B514" i="26"/>
  <c r="G514" i="26" s="1"/>
  <c r="A514" i="26"/>
  <c r="U514" i="26"/>
  <c r="U779" i="55"/>
  <c r="V779" i="55" s="1"/>
  <c r="W779" i="55"/>
  <c r="M779" i="55"/>
  <c r="E780" i="55"/>
  <c r="K514" i="26" l="1"/>
  <c r="M514" i="26" s="1"/>
  <c r="X514" i="26"/>
  <c r="BK514" i="26" s="1"/>
  <c r="AP514" i="26"/>
  <c r="AO514" i="26"/>
  <c r="F514" i="26"/>
  <c r="R514" i="26" s="1"/>
  <c r="AF514" i="26"/>
  <c r="AN514" i="26" s="1"/>
  <c r="D514" i="26"/>
  <c r="AS514" i="26"/>
  <c r="BJ514" i="26" s="1"/>
  <c r="BL513" i="26"/>
  <c r="H780" i="55"/>
  <c r="Q780" i="55"/>
  <c r="K780" i="55"/>
  <c r="L780" i="55" s="1"/>
  <c r="C780" i="55"/>
  <c r="O780" i="55" s="1"/>
  <c r="B780" i="55"/>
  <c r="D780" i="55" s="1"/>
  <c r="M780" i="55" s="1"/>
  <c r="A780" i="55"/>
  <c r="N779" i="55"/>
  <c r="AT514" i="26" l="1"/>
  <c r="AJ514" i="26"/>
  <c r="AK514" i="26" s="1"/>
  <c r="N514" i="26"/>
  <c r="O514" i="26"/>
  <c r="P514" i="26"/>
  <c r="E515" i="26"/>
  <c r="AV513" i="55"/>
  <c r="BT513" i="26"/>
  <c r="N780" i="55"/>
  <c r="U780" i="55"/>
  <c r="E781" i="55"/>
  <c r="X779" i="55"/>
  <c r="S779" i="55"/>
  <c r="G780" i="55"/>
  <c r="W780" i="55"/>
  <c r="P780" i="55"/>
  <c r="F780" i="55"/>
  <c r="AL514" i="26" l="1"/>
  <c r="AM514" i="26" s="1"/>
  <c r="AU514" i="26" s="1"/>
  <c r="C515" i="26"/>
  <c r="V515" i="26" s="1"/>
  <c r="B515" i="26"/>
  <c r="W515" i="26"/>
  <c r="Q515" i="26"/>
  <c r="L515" i="26"/>
  <c r="H515" i="26"/>
  <c r="A515" i="26"/>
  <c r="K515" i="26"/>
  <c r="S514" i="26"/>
  <c r="T514" i="26" s="1"/>
  <c r="BC514" i="26" s="1"/>
  <c r="AS515" i="26"/>
  <c r="BJ515" i="26" s="1"/>
  <c r="U515" i="26"/>
  <c r="X780" i="55"/>
  <c r="S780" i="55"/>
  <c r="Q781" i="55"/>
  <c r="K781" i="55"/>
  <c r="L781" i="55" s="1"/>
  <c r="B781" i="55"/>
  <c r="G781" i="55" s="1"/>
  <c r="A781" i="55"/>
  <c r="C781" i="55"/>
  <c r="O781" i="55" s="1"/>
  <c r="H781" i="55"/>
  <c r="V780" i="55"/>
  <c r="M515" i="26" l="1"/>
  <c r="N515" i="26" s="1"/>
  <c r="G515" i="26"/>
  <c r="D515" i="26"/>
  <c r="P515" i="26" s="1"/>
  <c r="X515" i="26"/>
  <c r="AP515" i="26"/>
  <c r="F515" i="26"/>
  <c r="R515" i="26" s="1"/>
  <c r="AF515" i="26"/>
  <c r="AN515" i="26" s="1"/>
  <c r="BL514" i="26"/>
  <c r="O515" i="26"/>
  <c r="E516" i="26"/>
  <c r="BK515" i="26"/>
  <c r="AO515" i="26"/>
  <c r="F781" i="55"/>
  <c r="D781" i="55"/>
  <c r="M781" i="55" s="1"/>
  <c r="N781" i="55" s="1"/>
  <c r="W781" i="55"/>
  <c r="P781" i="55"/>
  <c r="U781" i="55"/>
  <c r="AT515" i="26" l="1"/>
  <c r="AJ515" i="26"/>
  <c r="AK515" i="26" s="1"/>
  <c r="AV514" i="55"/>
  <c r="BT514" i="26"/>
  <c r="S515" i="26"/>
  <c r="T515" i="26" s="1"/>
  <c r="BC515" i="26" s="1"/>
  <c r="Q516" i="26"/>
  <c r="H516" i="26"/>
  <c r="L516" i="26"/>
  <c r="A516" i="26"/>
  <c r="B516" i="26"/>
  <c r="K516" i="26" s="1"/>
  <c r="W516" i="26"/>
  <c r="C516" i="26"/>
  <c r="V516" i="26" s="1"/>
  <c r="E782" i="55"/>
  <c r="B782" i="55" s="1"/>
  <c r="P782" i="55" s="1"/>
  <c r="V781" i="55"/>
  <c r="X781" i="55"/>
  <c r="S781" i="55"/>
  <c r="AL515" i="26" l="1"/>
  <c r="AM515" i="26" s="1"/>
  <c r="AU515" i="26" s="1"/>
  <c r="F516" i="26"/>
  <c r="G516" i="26"/>
  <c r="M516" i="26"/>
  <c r="AJ516" i="26" s="1"/>
  <c r="AK516" i="26" s="1"/>
  <c r="AS516" i="26"/>
  <c r="BJ516" i="26" s="1"/>
  <c r="AO516" i="26"/>
  <c r="A782" i="55"/>
  <c r="D516" i="26"/>
  <c r="O516" i="26" s="1"/>
  <c r="R516" i="26"/>
  <c r="H782" i="55"/>
  <c r="AP516" i="26"/>
  <c r="Q782" i="55"/>
  <c r="U516" i="26"/>
  <c r="AF516" i="26" s="1"/>
  <c r="AN516" i="26" s="1"/>
  <c r="E517" i="26"/>
  <c r="X516" i="26"/>
  <c r="BK516" i="26" s="1"/>
  <c r="BL515" i="26"/>
  <c r="K782" i="55"/>
  <c r="L782" i="55" s="1"/>
  <c r="C782" i="55"/>
  <c r="O782" i="55" s="1"/>
  <c r="G782" i="55"/>
  <c r="D782" i="55"/>
  <c r="F782" i="55"/>
  <c r="N516" i="26" l="1"/>
  <c r="AT516" i="26"/>
  <c r="S516" i="26"/>
  <c r="T516" i="26" s="1"/>
  <c r="E783" i="55"/>
  <c r="P516" i="26"/>
  <c r="W782" i="55"/>
  <c r="BT515" i="26"/>
  <c r="AV515" i="55"/>
  <c r="W517" i="26"/>
  <c r="Q517" i="26"/>
  <c r="L517" i="26"/>
  <c r="B517" i="26"/>
  <c r="G517" i="26" s="1"/>
  <c r="H517" i="26"/>
  <c r="K517" i="26"/>
  <c r="A517" i="26"/>
  <c r="C517" i="26"/>
  <c r="AS517" i="26" s="1"/>
  <c r="BJ517" i="26" s="1"/>
  <c r="F517" i="26"/>
  <c r="U782" i="55"/>
  <c r="V782" i="55" s="1"/>
  <c r="M782" i="55"/>
  <c r="A783" i="55"/>
  <c r="Q783" i="55"/>
  <c r="K783" i="55"/>
  <c r="L783" i="55" s="1"/>
  <c r="B783" i="55"/>
  <c r="P783" i="55" s="1"/>
  <c r="C783" i="55"/>
  <c r="O783" i="55" s="1"/>
  <c r="H783" i="55"/>
  <c r="AL516" i="26" l="1"/>
  <c r="AM516" i="26" s="1"/>
  <c r="AU516" i="26" s="1"/>
  <c r="BL516" i="26"/>
  <c r="BC516" i="26"/>
  <c r="BT516" i="26" s="1"/>
  <c r="V517" i="26"/>
  <c r="D517" i="26"/>
  <c r="O517" i="26" s="1"/>
  <c r="AP517" i="26"/>
  <c r="R517" i="26"/>
  <c r="AO517" i="26"/>
  <c r="X517" i="26"/>
  <c r="U517" i="26"/>
  <c r="AF517" i="26" s="1"/>
  <c r="AN517" i="26" s="1"/>
  <c r="M517" i="26"/>
  <c r="N782" i="55"/>
  <c r="X782" i="55" s="1"/>
  <c r="F783" i="55"/>
  <c r="D783" i="55"/>
  <c r="M783" i="55" s="1"/>
  <c r="G783" i="55"/>
  <c r="W783" i="55"/>
  <c r="U783" i="55"/>
  <c r="V783" i="55" s="1"/>
  <c r="E784" i="55"/>
  <c r="AV516" i="55" l="1"/>
  <c r="E518" i="26"/>
  <c r="P517" i="26"/>
  <c r="AJ517" i="26"/>
  <c r="AK517" i="26" s="1"/>
  <c r="N517" i="26"/>
  <c r="AT517" i="26"/>
  <c r="BK517" i="26"/>
  <c r="L518" i="26"/>
  <c r="C518" i="26"/>
  <c r="V518" i="26" s="1"/>
  <c r="W518" i="26"/>
  <c r="H518" i="26"/>
  <c r="Q518" i="26"/>
  <c r="A518" i="26"/>
  <c r="B518" i="26"/>
  <c r="F518" i="26" s="1"/>
  <c r="R518" i="26" s="1"/>
  <c r="S517" i="26"/>
  <c r="T517" i="26" s="1"/>
  <c r="BC517" i="26" s="1"/>
  <c r="S782" i="55"/>
  <c r="N783" i="55"/>
  <c r="Q784" i="55"/>
  <c r="K784" i="55"/>
  <c r="L784" i="55" s="1"/>
  <c r="C784" i="55"/>
  <c r="B784" i="55"/>
  <c r="A784" i="55"/>
  <c r="H784" i="55"/>
  <c r="AL517" i="26" l="1"/>
  <c r="AM517" i="26" s="1"/>
  <c r="AU517" i="26" s="1"/>
  <c r="AP518" i="26"/>
  <c r="K518" i="26"/>
  <c r="M518" i="26" s="1"/>
  <c r="AJ518" i="26" s="1"/>
  <c r="AK518" i="26" s="1"/>
  <c r="X518" i="26"/>
  <c r="BK518" i="26" s="1"/>
  <c r="AO518" i="26"/>
  <c r="D518" i="26"/>
  <c r="O518" i="26" s="1"/>
  <c r="S518" i="26" s="1"/>
  <c r="T518" i="26" s="1"/>
  <c r="BL518" i="26" s="1"/>
  <c r="G518" i="26"/>
  <c r="P518" i="26"/>
  <c r="AS518" i="26"/>
  <c r="BJ518" i="26" s="1"/>
  <c r="BL517" i="26"/>
  <c r="S783" i="55"/>
  <c r="U518" i="26"/>
  <c r="AF518" i="26" s="1"/>
  <c r="AN518" i="26" s="1"/>
  <c r="X783" i="55"/>
  <c r="O784" i="55"/>
  <c r="D784" i="55"/>
  <c r="E785" i="55" s="1"/>
  <c r="W784" i="55"/>
  <c r="G784" i="55"/>
  <c r="F784" i="55"/>
  <c r="P784" i="55"/>
  <c r="U784" i="55"/>
  <c r="N518" i="26" l="1"/>
  <c r="AT518" i="26"/>
  <c r="BC518" i="26"/>
  <c r="BT518" i="26" s="1"/>
  <c r="E519" i="26"/>
  <c r="AV517" i="55"/>
  <c r="BT517" i="26"/>
  <c r="L519" i="26"/>
  <c r="A519" i="26"/>
  <c r="H519" i="26"/>
  <c r="V784" i="55"/>
  <c r="M784" i="55"/>
  <c r="Q785" i="55"/>
  <c r="K785" i="55"/>
  <c r="L785" i="55" s="1"/>
  <c r="A785" i="55"/>
  <c r="B785" i="55"/>
  <c r="D785" i="55" s="1"/>
  <c r="M785" i="55" s="1"/>
  <c r="C785" i="55"/>
  <c r="O785" i="55" s="1"/>
  <c r="H785" i="55"/>
  <c r="AL518" i="26" l="1"/>
  <c r="AM518" i="26" s="1"/>
  <c r="AU518" i="26" s="1"/>
  <c r="W519" i="26"/>
  <c r="AO519" i="26"/>
  <c r="Q519" i="26"/>
  <c r="B519" i="26"/>
  <c r="G519" i="26" s="1"/>
  <c r="C519" i="26"/>
  <c r="AS519" i="26" s="1"/>
  <c r="BJ519" i="26" s="1"/>
  <c r="AV518" i="55"/>
  <c r="V519" i="26"/>
  <c r="AP519" i="26"/>
  <c r="U519" i="26"/>
  <c r="AF519" i="26" s="1"/>
  <c r="AN519" i="26" s="1"/>
  <c r="F519" i="26"/>
  <c r="X519" i="26"/>
  <c r="K519" i="26"/>
  <c r="M519" i="26" s="1"/>
  <c r="N784" i="55"/>
  <c r="X784" i="55" s="1"/>
  <c r="N785" i="55"/>
  <c r="G785" i="55"/>
  <c r="W785" i="55"/>
  <c r="P785" i="55"/>
  <c r="E786" i="55"/>
  <c r="B786" i="55" s="1"/>
  <c r="F785" i="55"/>
  <c r="R519" i="26" l="1"/>
  <c r="D519" i="26"/>
  <c r="S784" i="55"/>
  <c r="BK519" i="26"/>
  <c r="AT519" i="26"/>
  <c r="N519" i="26"/>
  <c r="AJ519" i="26"/>
  <c r="AK519" i="26" s="1"/>
  <c r="C786" i="55"/>
  <c r="W786" i="55" s="1"/>
  <c r="X785" i="55"/>
  <c r="A786" i="55"/>
  <c r="H786" i="55"/>
  <c r="Q786" i="55"/>
  <c r="K786" i="55"/>
  <c r="L786" i="55" s="1"/>
  <c r="P786" i="55"/>
  <c r="S785" i="55"/>
  <c r="F786" i="55"/>
  <c r="D786" i="55"/>
  <c r="M786" i="55" s="1"/>
  <c r="G786" i="55"/>
  <c r="E520" i="26" l="1"/>
  <c r="O519" i="26"/>
  <c r="P519" i="26"/>
  <c r="O786" i="55"/>
  <c r="U786" i="55"/>
  <c r="V786" i="55" s="1"/>
  <c r="E787" i="55"/>
  <c r="N786" i="55"/>
  <c r="X786" i="55" s="1"/>
  <c r="AL519" i="26" l="1"/>
  <c r="AM519" i="26" s="1"/>
  <c r="AU519" i="26" s="1"/>
  <c r="S519" i="26"/>
  <c r="T519" i="26" s="1"/>
  <c r="BC519" i="26" s="1"/>
  <c r="C520" i="26"/>
  <c r="Q520" i="26"/>
  <c r="A520" i="26"/>
  <c r="B520" i="26"/>
  <c r="W520" i="26"/>
  <c r="L520" i="26"/>
  <c r="H520" i="26"/>
  <c r="A787" i="55"/>
  <c r="Q787" i="55"/>
  <c r="K787" i="55"/>
  <c r="L787" i="55" s="1"/>
  <c r="S786" i="55"/>
  <c r="C787" i="55"/>
  <c r="U787" i="55" s="1"/>
  <c r="B787" i="55"/>
  <c r="D787" i="55" s="1"/>
  <c r="H787" i="55"/>
  <c r="V520" i="26" l="1"/>
  <c r="AO520" i="26" s="1"/>
  <c r="AS520" i="26"/>
  <c r="BJ520" i="26" s="1"/>
  <c r="U520" i="26"/>
  <c r="AF520" i="26" s="1"/>
  <c r="AN520" i="26" s="1"/>
  <c r="BL519" i="26"/>
  <c r="G520" i="26"/>
  <c r="K520" i="26"/>
  <c r="M520" i="26" s="1"/>
  <c r="AP520" i="26"/>
  <c r="D520" i="26"/>
  <c r="X520" i="26"/>
  <c r="BK520" i="26" s="1"/>
  <c r="F520" i="26"/>
  <c r="R520" i="26" s="1"/>
  <c r="E521" i="26"/>
  <c r="O787" i="55"/>
  <c r="P787" i="55"/>
  <c r="V787" i="55" s="1"/>
  <c r="G787" i="55"/>
  <c r="M787" i="55"/>
  <c r="F787" i="55"/>
  <c r="W787" i="55"/>
  <c r="E788" i="55"/>
  <c r="AT520" i="26" l="1"/>
  <c r="AJ520" i="26"/>
  <c r="AK520" i="26" s="1"/>
  <c r="N520" i="26"/>
  <c r="W521" i="26"/>
  <c r="H521" i="26"/>
  <c r="A521" i="26"/>
  <c r="B521" i="26"/>
  <c r="K521" i="26" s="1"/>
  <c r="M521" i="26" s="1"/>
  <c r="L521" i="26"/>
  <c r="C521" i="26"/>
  <c r="Q521" i="26"/>
  <c r="G521" i="26"/>
  <c r="O520" i="26"/>
  <c r="P520" i="26"/>
  <c r="BT519" i="26"/>
  <c r="AV519" i="55"/>
  <c r="Q788" i="55"/>
  <c r="K788" i="55"/>
  <c r="B788" i="55"/>
  <c r="F788" i="55" s="1"/>
  <c r="C788" i="55"/>
  <c r="O788" i="55" s="1"/>
  <c r="H788" i="55"/>
  <c r="L788" i="55"/>
  <c r="A788" i="55"/>
  <c r="N787" i="55"/>
  <c r="AL520" i="26" l="1"/>
  <c r="AM520" i="26" s="1"/>
  <c r="AU520" i="26" s="1"/>
  <c r="AJ521" i="26"/>
  <c r="AK521" i="26" s="1"/>
  <c r="N521" i="26"/>
  <c r="D521" i="26"/>
  <c r="P521" i="26"/>
  <c r="F521" i="26"/>
  <c r="R521" i="26" s="1"/>
  <c r="AP521" i="26"/>
  <c r="X521" i="26"/>
  <c r="S520" i="26"/>
  <c r="T520" i="26" s="1"/>
  <c r="BC520" i="26" s="1"/>
  <c r="U521" i="26"/>
  <c r="AF521" i="26" s="1"/>
  <c r="AN521" i="26" s="1"/>
  <c r="V521" i="26"/>
  <c r="P788" i="55"/>
  <c r="D788" i="55"/>
  <c r="M788" i="55" s="1"/>
  <c r="G788" i="55"/>
  <c r="W788" i="55"/>
  <c r="S787" i="55"/>
  <c r="X787" i="55"/>
  <c r="U788" i="55"/>
  <c r="E522" i="26" l="1"/>
  <c r="O521" i="26"/>
  <c r="S521" i="26" s="1"/>
  <c r="T521" i="26" s="1"/>
  <c r="BL521" i="26" s="1"/>
  <c r="BL520" i="26"/>
  <c r="BK521" i="26"/>
  <c r="AO521" i="26"/>
  <c r="AT521" i="26" s="1"/>
  <c r="E789" i="55"/>
  <c r="V788" i="55"/>
  <c r="N788" i="55"/>
  <c r="BC521" i="26" l="1"/>
  <c r="AL521" i="26"/>
  <c r="AM521" i="26" s="1"/>
  <c r="AU521" i="26" s="1"/>
  <c r="L522" i="26"/>
  <c r="Q522" i="26"/>
  <c r="W522" i="26"/>
  <c r="A522" i="26"/>
  <c r="H522" i="26"/>
  <c r="B522" i="26"/>
  <c r="C522" i="26"/>
  <c r="AP522" i="26"/>
  <c r="U522" i="26"/>
  <c r="AF522" i="26" s="1"/>
  <c r="AN522" i="26" s="1"/>
  <c r="BT520" i="26"/>
  <c r="AV520" i="55"/>
  <c r="Q789" i="55"/>
  <c r="K789" i="55"/>
  <c r="L789" i="55" s="1"/>
  <c r="S788" i="55"/>
  <c r="X788" i="55"/>
  <c r="A789" i="55"/>
  <c r="C789" i="55"/>
  <c r="O789" i="55" s="1"/>
  <c r="B789" i="55"/>
  <c r="D789" i="55" s="1"/>
  <c r="H789" i="55"/>
  <c r="F522" i="26" l="1"/>
  <c r="R522" i="26" s="1"/>
  <c r="P522" i="26"/>
  <c r="G522" i="26"/>
  <c r="K522" i="26"/>
  <c r="M522" i="26" s="1"/>
  <c r="V522" i="26"/>
  <c r="E523" i="26"/>
  <c r="AS522" i="26"/>
  <c r="BJ522" i="26" s="1"/>
  <c r="X522" i="26"/>
  <c r="D522" i="26"/>
  <c r="BT521" i="26"/>
  <c r="AV521" i="55"/>
  <c r="M789" i="55"/>
  <c r="N789" i="55" s="1"/>
  <c r="P789" i="55"/>
  <c r="G789" i="55"/>
  <c r="W789" i="55"/>
  <c r="F789" i="55"/>
  <c r="U789" i="55"/>
  <c r="E790" i="55"/>
  <c r="C523" i="26" l="1"/>
  <c r="B523" i="26"/>
  <c r="K523" i="26" s="1"/>
  <c r="M523" i="26" s="1"/>
  <c r="N523" i="26" s="1"/>
  <c r="W523" i="26"/>
  <c r="A523" i="26"/>
  <c r="H523" i="26"/>
  <c r="Q523" i="26"/>
  <c r="L523" i="26"/>
  <c r="AS523" i="26"/>
  <c r="BJ523" i="26" s="1"/>
  <c r="F523" i="26"/>
  <c r="R523" i="26" s="1"/>
  <c r="D523" i="26"/>
  <c r="AO522" i="26"/>
  <c r="AT522" i="26" s="1"/>
  <c r="BK522" i="26"/>
  <c r="N522" i="26"/>
  <c r="AJ522" i="26"/>
  <c r="AK522" i="26" s="1"/>
  <c r="O522" i="26"/>
  <c r="S522" i="26" s="1"/>
  <c r="T522" i="26" s="1"/>
  <c r="V789" i="55"/>
  <c r="Q790" i="55"/>
  <c r="K790" i="55"/>
  <c r="L790" i="55" s="1"/>
  <c r="S789" i="55"/>
  <c r="X789" i="55"/>
  <c r="B790" i="55"/>
  <c r="F790" i="55" s="1"/>
  <c r="H790" i="55"/>
  <c r="A790" i="55"/>
  <c r="C790" i="55"/>
  <c r="U790" i="55" s="1"/>
  <c r="AJ523" i="26" l="1"/>
  <c r="AK523" i="26" s="1"/>
  <c r="AL522" i="26"/>
  <c r="AM522" i="26" s="1"/>
  <c r="AU522" i="26" s="1"/>
  <c r="BL522" i="26"/>
  <c r="BC522" i="26"/>
  <c r="G523" i="26"/>
  <c r="V523" i="26"/>
  <c r="E524" i="26"/>
  <c r="P523" i="26"/>
  <c r="U523" i="26"/>
  <c r="AF523" i="26" s="1"/>
  <c r="AN523" i="26" s="1"/>
  <c r="AO523" i="26"/>
  <c r="X523" i="26"/>
  <c r="AP523" i="26"/>
  <c r="O523" i="26"/>
  <c r="S523" i="26" s="1"/>
  <c r="T523" i="26" s="1"/>
  <c r="BL523" i="26" s="1"/>
  <c r="O790" i="55"/>
  <c r="P790" i="55"/>
  <c r="V790" i="55" s="1"/>
  <c r="G790" i="55"/>
  <c r="W790" i="55"/>
  <c r="D790" i="55"/>
  <c r="M790" i="55" s="1"/>
  <c r="AL523" i="26" l="1"/>
  <c r="AM523" i="26" s="1"/>
  <c r="AU523" i="26" s="1"/>
  <c r="AT523" i="26"/>
  <c r="BC523" i="26"/>
  <c r="AV522" i="55"/>
  <c r="BT522" i="26"/>
  <c r="H524" i="26"/>
  <c r="C524" i="26"/>
  <c r="L524" i="26"/>
  <c r="Q524" i="26"/>
  <c r="W524" i="26"/>
  <c r="A524" i="26"/>
  <c r="B524" i="26"/>
  <c r="K524" i="26"/>
  <c r="M524" i="26" s="1"/>
  <c r="N524" i="26" s="1"/>
  <c r="BK523" i="26"/>
  <c r="E791" i="55"/>
  <c r="B791" i="55" s="1"/>
  <c r="F791" i="55" s="1"/>
  <c r="N790" i="55"/>
  <c r="X790" i="55" s="1"/>
  <c r="AJ524" i="26" l="1"/>
  <c r="AK524" i="26" s="1"/>
  <c r="V524" i="26"/>
  <c r="AO524" i="26" s="1"/>
  <c r="AS524" i="26"/>
  <c r="BJ524" i="26" s="1"/>
  <c r="U524" i="26"/>
  <c r="AF524" i="26" s="1"/>
  <c r="AN524" i="26" s="1"/>
  <c r="BT523" i="26"/>
  <c r="AV523" i="55"/>
  <c r="D524" i="26"/>
  <c r="AP524" i="26"/>
  <c r="G524" i="26"/>
  <c r="F524" i="26"/>
  <c r="R524" i="26" s="1"/>
  <c r="O524" i="26"/>
  <c r="S524" i="26" s="1"/>
  <c r="T524" i="26" s="1"/>
  <c r="BC524" i="26" s="1"/>
  <c r="X524" i="26"/>
  <c r="A791" i="55"/>
  <c r="H791" i="55"/>
  <c r="C791" i="55"/>
  <c r="U791" i="55" s="1"/>
  <c r="Q791" i="55"/>
  <c r="P791" i="55"/>
  <c r="K791" i="55"/>
  <c r="L791" i="55" s="1"/>
  <c r="S790" i="55"/>
  <c r="G791" i="55"/>
  <c r="D791" i="55"/>
  <c r="AT524" i="26" l="1"/>
  <c r="BL524" i="26"/>
  <c r="P524" i="26"/>
  <c r="BK524" i="26"/>
  <c r="E525" i="26"/>
  <c r="BT524" i="26"/>
  <c r="AV524" i="55"/>
  <c r="W791" i="55"/>
  <c r="V791" i="55"/>
  <c r="O791" i="55"/>
  <c r="E792" i="55"/>
  <c r="M791" i="55"/>
  <c r="AL524" i="26" l="1"/>
  <c r="AM524" i="26" s="1"/>
  <c r="AU524" i="26" s="1"/>
  <c r="H525" i="26"/>
  <c r="L525" i="26"/>
  <c r="C525" i="26"/>
  <c r="Q525" i="26"/>
  <c r="A525" i="26"/>
  <c r="B525" i="26"/>
  <c r="W525" i="26"/>
  <c r="D525" i="26"/>
  <c r="AP525" i="26"/>
  <c r="G525" i="26"/>
  <c r="Q792" i="55"/>
  <c r="K792" i="55"/>
  <c r="L792" i="55" s="1"/>
  <c r="N791" i="55"/>
  <c r="H792" i="55"/>
  <c r="B792" i="55"/>
  <c r="P792" i="55" s="1"/>
  <c r="C792" i="55"/>
  <c r="O792" i="55" s="1"/>
  <c r="A792" i="55"/>
  <c r="O525" i="26" l="1"/>
  <c r="F525" i="26"/>
  <c r="R525" i="26" s="1"/>
  <c r="K525" i="26"/>
  <c r="M525" i="26" s="1"/>
  <c r="X525" i="26"/>
  <c r="U525" i="26"/>
  <c r="E526" i="26"/>
  <c r="P525" i="26"/>
  <c r="AS525" i="26"/>
  <c r="BJ525" i="26" s="1"/>
  <c r="AF525" i="26"/>
  <c r="AN525" i="26" s="1"/>
  <c r="V525" i="26"/>
  <c r="S791" i="55"/>
  <c r="X791" i="55"/>
  <c r="D792" i="55"/>
  <c r="M792" i="55" s="1"/>
  <c r="W792" i="55"/>
  <c r="F792" i="55"/>
  <c r="U792" i="55"/>
  <c r="G792" i="55"/>
  <c r="AL525" i="26" l="1"/>
  <c r="AM525" i="26" s="1"/>
  <c r="AU525" i="26" s="1"/>
  <c r="AO525" i="26"/>
  <c r="AT525" i="26" s="1"/>
  <c r="BK525" i="26"/>
  <c r="L526" i="26"/>
  <c r="H526" i="26"/>
  <c r="C526" i="26"/>
  <c r="V526" i="26" s="1"/>
  <c r="AO526" i="26"/>
  <c r="A526" i="26"/>
  <c r="W526" i="26"/>
  <c r="U526" i="26"/>
  <c r="AF526" i="26" s="1"/>
  <c r="AN526" i="26" s="1"/>
  <c r="Q526" i="26"/>
  <c r="B526" i="26"/>
  <c r="K526" i="26" s="1"/>
  <c r="F526" i="26"/>
  <c r="R526" i="26" s="1"/>
  <c r="AP526" i="26"/>
  <c r="D526" i="26"/>
  <c r="X526" i="26"/>
  <c r="BK526" i="26" s="1"/>
  <c r="G526" i="26"/>
  <c r="S525" i="26"/>
  <c r="T525" i="26" s="1"/>
  <c r="O526" i="26"/>
  <c r="S526" i="26" s="1"/>
  <c r="T526" i="26" s="1"/>
  <c r="N525" i="26"/>
  <c r="AJ525" i="26"/>
  <c r="AK525" i="26" s="1"/>
  <c r="E793" i="55"/>
  <c r="N792" i="55"/>
  <c r="V792" i="55"/>
  <c r="M526" i="26" l="1"/>
  <c r="AJ526" i="26" s="1"/>
  <c r="AK526" i="26" s="1"/>
  <c r="E527" i="26"/>
  <c r="AT526" i="26"/>
  <c r="BC525" i="26"/>
  <c r="BL525" i="26"/>
  <c r="P526" i="26"/>
  <c r="AS526" i="26"/>
  <c r="BJ526" i="26" s="1"/>
  <c r="BL526" i="26"/>
  <c r="C793" i="55"/>
  <c r="O793" i="55" s="1"/>
  <c r="Q793" i="55"/>
  <c r="K793" i="55"/>
  <c r="L793" i="55" s="1"/>
  <c r="A793" i="55"/>
  <c r="B793" i="55"/>
  <c r="D793" i="55" s="1"/>
  <c r="H793" i="55"/>
  <c r="S792" i="55"/>
  <c r="X792" i="55"/>
  <c r="F793" i="55"/>
  <c r="N526" i="26" l="1"/>
  <c r="AL526" i="26"/>
  <c r="AM526" i="26" s="1"/>
  <c r="AU526" i="26" s="1"/>
  <c r="B527" i="26"/>
  <c r="W527" i="26"/>
  <c r="AO527" i="26"/>
  <c r="H527" i="26"/>
  <c r="C527" i="26"/>
  <c r="AS527" i="26" s="1"/>
  <c r="BJ527" i="26" s="1"/>
  <c r="Q527" i="26"/>
  <c r="A527" i="26"/>
  <c r="L527" i="26"/>
  <c r="V527" i="26"/>
  <c r="F527" i="26"/>
  <c r="R527" i="26" s="1"/>
  <c r="X527" i="26"/>
  <c r="AP527" i="26"/>
  <c r="D527" i="26"/>
  <c r="K527" i="26"/>
  <c r="M527" i="26" s="1"/>
  <c r="U527" i="26"/>
  <c r="AF527" i="26" s="1"/>
  <c r="AN527" i="26" s="1"/>
  <c r="P527" i="26"/>
  <c r="BC526" i="26"/>
  <c r="AV526" i="55" s="1"/>
  <c r="AV525" i="55"/>
  <c r="BT525" i="26"/>
  <c r="U793" i="55"/>
  <c r="W793" i="55"/>
  <c r="G793" i="55"/>
  <c r="P793" i="55"/>
  <c r="M793" i="55"/>
  <c r="E794" i="55"/>
  <c r="BT526" i="26" l="1"/>
  <c r="AT527" i="26"/>
  <c r="N527" i="26"/>
  <c r="AJ527" i="26"/>
  <c r="AK527" i="26" s="1"/>
  <c r="BK527" i="26"/>
  <c r="G527" i="26"/>
  <c r="O527" i="26"/>
  <c r="E528" i="26"/>
  <c r="V793" i="55"/>
  <c r="Q794" i="55"/>
  <c r="K794" i="55"/>
  <c r="L794" i="55" s="1"/>
  <c r="B794" i="55"/>
  <c r="G794" i="55" s="1"/>
  <c r="H794" i="55"/>
  <c r="C794" i="55"/>
  <c r="O794" i="55" s="1"/>
  <c r="A794" i="55"/>
  <c r="N793" i="55"/>
  <c r="AL527" i="26" l="1"/>
  <c r="AM527" i="26" s="1"/>
  <c r="AU527" i="26" s="1"/>
  <c r="L528" i="26"/>
  <c r="B528" i="26"/>
  <c r="G528" i="26" s="1"/>
  <c r="Q528" i="26"/>
  <c r="A528" i="26"/>
  <c r="W528" i="26"/>
  <c r="H528" i="26"/>
  <c r="C528" i="26"/>
  <c r="V528" i="26" s="1"/>
  <c r="F528" i="26"/>
  <c r="R528" i="26" s="1"/>
  <c r="D528" i="26"/>
  <c r="S527" i="26"/>
  <c r="T527" i="26" s="1"/>
  <c r="P794" i="55"/>
  <c r="D794" i="55"/>
  <c r="E795" i="55" s="1"/>
  <c r="U794" i="55"/>
  <c r="S793" i="55"/>
  <c r="X793" i="55"/>
  <c r="F794" i="55"/>
  <c r="W794" i="55"/>
  <c r="E529" i="26" l="1"/>
  <c r="BK528" i="26"/>
  <c r="K528" i="26"/>
  <c r="M528" i="26" s="1"/>
  <c r="O528" i="26"/>
  <c r="P528" i="26"/>
  <c r="BC527" i="26"/>
  <c r="BL527" i="26"/>
  <c r="AS528" i="26"/>
  <c r="BJ528" i="26" s="1"/>
  <c r="AP528" i="26"/>
  <c r="X528" i="26"/>
  <c r="U528" i="26"/>
  <c r="AF528" i="26" s="1"/>
  <c r="AN528" i="26" s="1"/>
  <c r="AO528" i="26"/>
  <c r="V794" i="55"/>
  <c r="C795" i="55"/>
  <c r="U795" i="55" s="1"/>
  <c r="K795" i="55"/>
  <c r="L795" i="55" s="1"/>
  <c r="Q795" i="55"/>
  <c r="B795" i="55"/>
  <c r="D795" i="55" s="1"/>
  <c r="M794" i="55"/>
  <c r="A795" i="55"/>
  <c r="H795" i="55"/>
  <c r="AL528" i="26" l="1"/>
  <c r="AM528" i="26" s="1"/>
  <c r="AU528" i="26" s="1"/>
  <c r="AT528" i="26"/>
  <c r="S528" i="26"/>
  <c r="T528" i="26" s="1"/>
  <c r="BL528" i="26" s="1"/>
  <c r="AV527" i="55"/>
  <c r="BT527" i="26"/>
  <c r="AJ528" i="26"/>
  <c r="AK528" i="26" s="1"/>
  <c r="N528" i="26"/>
  <c r="L529" i="26"/>
  <c r="W529" i="26"/>
  <c r="C529" i="26"/>
  <c r="A529" i="26"/>
  <c r="Q529" i="26"/>
  <c r="H529" i="26"/>
  <c r="B529" i="26"/>
  <c r="F529" i="26" s="1"/>
  <c r="R529" i="26" s="1"/>
  <c r="X529" i="26"/>
  <c r="AP529" i="26"/>
  <c r="M795" i="55"/>
  <c r="E796" i="55"/>
  <c r="H796" i="55" s="1"/>
  <c r="W795" i="55"/>
  <c r="P795" i="55"/>
  <c r="V795" i="55" s="1"/>
  <c r="O795" i="55"/>
  <c r="F795" i="55"/>
  <c r="G795" i="55"/>
  <c r="N794" i="55"/>
  <c r="S794" i="55" s="1"/>
  <c r="BC528" i="26" l="1"/>
  <c r="U529" i="26"/>
  <c r="AF529" i="26"/>
  <c r="AN529" i="26" s="1"/>
  <c r="AS529" i="26"/>
  <c r="BJ529" i="26" s="1"/>
  <c r="K529" i="26"/>
  <c r="M529" i="26" s="1"/>
  <c r="G529" i="26"/>
  <c r="D529" i="26"/>
  <c r="V529" i="26"/>
  <c r="AO529" i="26" s="1"/>
  <c r="AT529" i="26" s="1"/>
  <c r="Q796" i="55"/>
  <c r="B796" i="55"/>
  <c r="D796" i="55" s="1"/>
  <c r="C796" i="55"/>
  <c r="U796" i="55" s="1"/>
  <c r="N795" i="55"/>
  <c r="X795" i="55" s="1"/>
  <c r="A796" i="55"/>
  <c r="K796" i="55"/>
  <c r="L796" i="55" s="1"/>
  <c r="X794" i="55"/>
  <c r="AV528" i="55" l="1"/>
  <c r="BT528" i="26"/>
  <c r="O529" i="26"/>
  <c r="P529" i="26"/>
  <c r="N529" i="26"/>
  <c r="AJ529" i="26"/>
  <c r="AK529" i="26" s="1"/>
  <c r="E530" i="26"/>
  <c r="BK529" i="26"/>
  <c r="F796" i="55"/>
  <c r="O796" i="55"/>
  <c r="E797" i="55"/>
  <c r="B797" i="55" s="1"/>
  <c r="W796" i="55"/>
  <c r="G796" i="55"/>
  <c r="P796" i="55"/>
  <c r="V796" i="55" s="1"/>
  <c r="M796" i="55"/>
  <c r="N796" i="55" s="1"/>
  <c r="X796" i="55" s="1"/>
  <c r="S795" i="55"/>
  <c r="C797" i="55"/>
  <c r="O797" i="55" s="1"/>
  <c r="K797" i="55"/>
  <c r="L797" i="55" s="1"/>
  <c r="AL529" i="26" l="1"/>
  <c r="AM529" i="26" s="1"/>
  <c r="AU529" i="26" s="1"/>
  <c r="H530" i="26"/>
  <c r="L530" i="26"/>
  <c r="A530" i="26"/>
  <c r="C530" i="26"/>
  <c r="W530" i="26"/>
  <c r="Q530" i="26"/>
  <c r="B530" i="26"/>
  <c r="F530" i="26"/>
  <c r="R530" i="26" s="1"/>
  <c r="U530" i="26"/>
  <c r="S529" i="26"/>
  <c r="T529" i="26" s="1"/>
  <c r="G797" i="55"/>
  <c r="A797" i="55"/>
  <c r="H797" i="55"/>
  <c r="P797" i="55"/>
  <c r="Q797" i="55"/>
  <c r="F797" i="55"/>
  <c r="D797" i="55"/>
  <c r="M797" i="55" s="1"/>
  <c r="N797" i="55" s="1"/>
  <c r="S796" i="55"/>
  <c r="W797" i="55"/>
  <c r="AF530" i="26" l="1"/>
  <c r="AN530" i="26" s="1"/>
  <c r="X530" i="26"/>
  <c r="AS530" i="26"/>
  <c r="BJ530" i="26" s="1"/>
  <c r="E531" i="26"/>
  <c r="P530" i="26"/>
  <c r="D530" i="26"/>
  <c r="AP530" i="26"/>
  <c r="G530" i="26"/>
  <c r="K530" i="26"/>
  <c r="M530" i="26" s="1"/>
  <c r="BL529" i="26"/>
  <c r="BC529" i="26"/>
  <c r="AO530" i="26"/>
  <c r="V530" i="26"/>
  <c r="BK530" i="26" s="1"/>
  <c r="E798" i="55"/>
  <c r="B798" i="55" s="1"/>
  <c r="P798" i="55" s="1"/>
  <c r="K798" i="55"/>
  <c r="L798" i="55" s="1"/>
  <c r="A798" i="55"/>
  <c r="C798" i="55"/>
  <c r="O798" i="55" s="1"/>
  <c r="H798" i="55"/>
  <c r="Q798" i="55"/>
  <c r="S797" i="55"/>
  <c r="X797" i="55"/>
  <c r="D798" i="55"/>
  <c r="G798" i="55"/>
  <c r="F798" i="55"/>
  <c r="AT530" i="26" l="1"/>
  <c r="Q531" i="26"/>
  <c r="B531" i="26"/>
  <c r="L531" i="26"/>
  <c r="W531" i="26"/>
  <c r="C531" i="26"/>
  <c r="H531" i="26"/>
  <c r="X531" i="26"/>
  <c r="A531" i="26"/>
  <c r="D531" i="26"/>
  <c r="E532" i="26" s="1"/>
  <c r="A532" i="26" s="1"/>
  <c r="V531" i="26"/>
  <c r="BT529" i="26"/>
  <c r="AV529" i="55"/>
  <c r="K531" i="26"/>
  <c r="M531" i="26" s="1"/>
  <c r="N531" i="26" s="1"/>
  <c r="O530" i="26"/>
  <c r="BK531" i="26"/>
  <c r="AP531" i="26"/>
  <c r="AJ530" i="26"/>
  <c r="AK530" i="26" s="1"/>
  <c r="N530" i="26"/>
  <c r="P531" i="26"/>
  <c r="C532" i="26"/>
  <c r="V532" i="26" s="1"/>
  <c r="H532" i="26"/>
  <c r="B532" i="26"/>
  <c r="G532" i="26" s="1"/>
  <c r="E799" i="55"/>
  <c r="Q799" i="55" s="1"/>
  <c r="D532" i="26"/>
  <c r="W798" i="55"/>
  <c r="U798" i="55"/>
  <c r="V798" i="55" s="1"/>
  <c r="K532" i="26"/>
  <c r="M798" i="55"/>
  <c r="N798" i="55" s="1"/>
  <c r="AL530" i="26" l="1"/>
  <c r="AM530" i="26" s="1"/>
  <c r="AU530" i="26" s="1"/>
  <c r="AO531" i="26"/>
  <c r="AT531" i="26" s="1"/>
  <c r="S530" i="26"/>
  <c r="T530" i="26" s="1"/>
  <c r="AS532" i="26"/>
  <c r="BJ532" i="26" s="1"/>
  <c r="AO532" i="26"/>
  <c r="AS531" i="26"/>
  <c r="BJ531" i="26" s="1"/>
  <c r="U531" i="26"/>
  <c r="AF531" i="26" s="1"/>
  <c r="AN531" i="26" s="1"/>
  <c r="F531" i="26"/>
  <c r="R531" i="26" s="1"/>
  <c r="G531" i="26"/>
  <c r="M532" i="26"/>
  <c r="N532" i="26" s="1"/>
  <c r="AJ531" i="26"/>
  <c r="AK531" i="26" s="1"/>
  <c r="L532" i="26"/>
  <c r="W532" i="26"/>
  <c r="Q532" i="26"/>
  <c r="O531" i="26"/>
  <c r="S531" i="26" s="1"/>
  <c r="T531" i="26" s="1"/>
  <c r="BL531" i="26" s="1"/>
  <c r="A799" i="55"/>
  <c r="C799" i="55"/>
  <c r="O799" i="55" s="1"/>
  <c r="K799" i="55"/>
  <c r="L799" i="55" s="1"/>
  <c r="AP532" i="26"/>
  <c r="X532" i="26"/>
  <c r="BK532" i="26" s="1"/>
  <c r="B799" i="55"/>
  <c r="D799" i="55" s="1"/>
  <c r="M799" i="55" s="1"/>
  <c r="N799" i="55" s="1"/>
  <c r="F532" i="26"/>
  <c r="U532" i="26"/>
  <c r="AF532" i="26" s="1"/>
  <c r="AN532" i="26" s="1"/>
  <c r="H799" i="55"/>
  <c r="O532" i="26"/>
  <c r="P532" i="26"/>
  <c r="E533" i="26"/>
  <c r="G799" i="55"/>
  <c r="X798" i="55"/>
  <c r="S798" i="55"/>
  <c r="F799" i="55"/>
  <c r="U799" i="55"/>
  <c r="AJ532" i="26" l="1"/>
  <c r="AK532" i="26" s="1"/>
  <c r="AL531" i="26"/>
  <c r="AM531" i="26" s="1"/>
  <c r="AU531" i="26" s="1"/>
  <c r="BL530" i="26"/>
  <c r="BC530" i="26"/>
  <c r="R532" i="26"/>
  <c r="AL532" i="26" s="1"/>
  <c r="S532" i="26"/>
  <c r="T532" i="26" s="1"/>
  <c r="BL532" i="26" s="1"/>
  <c r="W799" i="55"/>
  <c r="E800" i="55"/>
  <c r="Q800" i="55" s="1"/>
  <c r="P799" i="55"/>
  <c r="X799" i="55"/>
  <c r="AT532" i="26"/>
  <c r="V799" i="55"/>
  <c r="C533" i="26"/>
  <c r="U533" i="26" s="1"/>
  <c r="H533" i="26"/>
  <c r="W533" i="26"/>
  <c r="L533" i="26"/>
  <c r="B533" i="26"/>
  <c r="F533" i="26" s="1"/>
  <c r="A533" i="26"/>
  <c r="Q533" i="26"/>
  <c r="S799" i="55"/>
  <c r="AM532" i="26" l="1"/>
  <c r="AU532" i="26" s="1"/>
  <c r="BC531" i="26"/>
  <c r="AV530" i="55"/>
  <c r="BT530" i="26"/>
  <c r="C800" i="55"/>
  <c r="O800" i="55" s="1"/>
  <c r="B800" i="55"/>
  <c r="D800" i="55" s="1"/>
  <c r="H800" i="55"/>
  <c r="K800" i="55"/>
  <c r="L800" i="55" s="1"/>
  <c r="V533" i="26"/>
  <c r="AO533" i="26" s="1"/>
  <c r="A800" i="55"/>
  <c r="D533" i="26"/>
  <c r="AF533" i="26"/>
  <c r="AN533" i="26" s="1"/>
  <c r="K533" i="26"/>
  <c r="M533" i="26" s="1"/>
  <c r="AJ533" i="26" s="1"/>
  <c r="AK533" i="26" s="1"/>
  <c r="R533" i="26"/>
  <c r="X533" i="26"/>
  <c r="AP533" i="26"/>
  <c r="G533" i="26"/>
  <c r="E801" i="55"/>
  <c r="H801" i="55" s="1"/>
  <c r="M800" i="55"/>
  <c r="G800" i="55"/>
  <c r="W800" i="55"/>
  <c r="F800" i="55"/>
  <c r="U800" i="55"/>
  <c r="P800" i="55"/>
  <c r="E534" i="26" l="1"/>
  <c r="BC532" i="26"/>
  <c r="BT531" i="26"/>
  <c r="AV531" i="55"/>
  <c r="N533" i="26"/>
  <c r="O533" i="26"/>
  <c r="S533" i="26" s="1"/>
  <c r="T533" i="26" s="1"/>
  <c r="P533" i="26"/>
  <c r="K801" i="55"/>
  <c r="L801" i="55" s="1"/>
  <c r="BK533" i="26"/>
  <c r="AT533" i="26"/>
  <c r="Q534" i="26"/>
  <c r="H534" i="26"/>
  <c r="L534" i="26"/>
  <c r="C534" i="26"/>
  <c r="V534" i="26" s="1"/>
  <c r="B534" i="26"/>
  <c r="D534" i="26" s="1"/>
  <c r="W534" i="26"/>
  <c r="A534" i="26"/>
  <c r="Q801" i="55"/>
  <c r="B801" i="55"/>
  <c r="P801" i="55" s="1"/>
  <c r="A801" i="55"/>
  <c r="C801" i="55"/>
  <c r="U801" i="55" s="1"/>
  <c r="N800" i="55"/>
  <c r="S800" i="55" s="1"/>
  <c r="V800" i="55"/>
  <c r="AL533" i="26" l="1"/>
  <c r="AM533" i="26" s="1"/>
  <c r="AU533" i="26" s="1"/>
  <c r="BC533" i="26"/>
  <c r="AV532" i="55"/>
  <c r="BT532" i="26"/>
  <c r="D801" i="55"/>
  <c r="M801" i="55" s="1"/>
  <c r="N801" i="55" s="1"/>
  <c r="V801" i="55"/>
  <c r="F801" i="55"/>
  <c r="G801" i="55"/>
  <c r="O801" i="55"/>
  <c r="W801" i="55"/>
  <c r="X800" i="55"/>
  <c r="P534" i="26"/>
  <c r="AO534" i="26"/>
  <c r="AP534" i="26"/>
  <c r="X534" i="26"/>
  <c r="BK534" i="26" s="1"/>
  <c r="BL533" i="26"/>
  <c r="K534" i="26"/>
  <c r="M534" i="26" s="1"/>
  <c r="G534" i="26"/>
  <c r="AS534" i="26"/>
  <c r="BJ534" i="26" s="1"/>
  <c r="E535" i="26"/>
  <c r="U534" i="26"/>
  <c r="AF534" i="26" s="1"/>
  <c r="AN534" i="26" s="1"/>
  <c r="O534" i="26"/>
  <c r="F534" i="26"/>
  <c r="R534" i="26" s="1"/>
  <c r="E802" i="55"/>
  <c r="A802" i="55" s="1"/>
  <c r="X801" i="55"/>
  <c r="S801" i="55"/>
  <c r="AL534" i="26" l="1"/>
  <c r="AM534" i="26" s="1"/>
  <c r="AU534" i="26" s="1"/>
  <c r="B802" i="55"/>
  <c r="D802" i="55" s="1"/>
  <c r="C802" i="55"/>
  <c r="O802" i="55" s="1"/>
  <c r="Q802" i="55"/>
  <c r="N534" i="26"/>
  <c r="AJ534" i="26"/>
  <c r="AK534" i="26" s="1"/>
  <c r="H802" i="55"/>
  <c r="K802" i="55"/>
  <c r="L802" i="55" s="1"/>
  <c r="H535" i="26"/>
  <c r="Q535" i="26"/>
  <c r="C535" i="26"/>
  <c r="V535" i="26" s="1"/>
  <c r="W535" i="26"/>
  <c r="L535" i="26"/>
  <c r="A535" i="26"/>
  <c r="B535" i="26"/>
  <c r="K535" i="26" s="1"/>
  <c r="AS535" i="26"/>
  <c r="BJ535" i="26" s="1"/>
  <c r="AV533" i="55"/>
  <c r="BT533" i="26"/>
  <c r="S534" i="26"/>
  <c r="T534" i="26" s="1"/>
  <c r="BC534" i="26" s="1"/>
  <c r="AT534" i="26"/>
  <c r="P802" i="55"/>
  <c r="M802" i="55"/>
  <c r="U802" i="55"/>
  <c r="F802" i="55"/>
  <c r="G802" i="55"/>
  <c r="E803" i="55" l="1"/>
  <c r="W802" i="55"/>
  <c r="M535" i="26"/>
  <c r="AJ535" i="26" s="1"/>
  <c r="AK535" i="26" s="1"/>
  <c r="AP535" i="26"/>
  <c r="X535" i="26"/>
  <c r="BK535" i="26" s="1"/>
  <c r="AO535" i="26"/>
  <c r="U535" i="26"/>
  <c r="AF535" i="26" s="1"/>
  <c r="AN535" i="26" s="1"/>
  <c r="BL534" i="26"/>
  <c r="D535" i="26"/>
  <c r="F535" i="26"/>
  <c r="R535" i="26" s="1"/>
  <c r="G535" i="26"/>
  <c r="Q803" i="55"/>
  <c r="K803" i="55"/>
  <c r="L803" i="55" s="1"/>
  <c r="N802" i="55"/>
  <c r="X802" i="55" s="1"/>
  <c r="B803" i="55"/>
  <c r="G803" i="55" s="1"/>
  <c r="H803" i="55"/>
  <c r="A803" i="55"/>
  <c r="C803" i="55"/>
  <c r="O803" i="55" s="1"/>
  <c r="V802" i="55"/>
  <c r="N535" i="26" l="1"/>
  <c r="AT535" i="26"/>
  <c r="BT534" i="26"/>
  <c r="AV534" i="55"/>
  <c r="P535" i="26"/>
  <c r="O535" i="26"/>
  <c r="S535" i="26" s="1"/>
  <c r="T535" i="26" s="1"/>
  <c r="BC535" i="26" s="1"/>
  <c r="E536" i="26"/>
  <c r="P803" i="55"/>
  <c r="S802" i="55"/>
  <c r="U803" i="55"/>
  <c r="D803" i="55"/>
  <c r="M803" i="55" s="1"/>
  <c r="W803" i="55"/>
  <c r="F803" i="55"/>
  <c r="AL535" i="26" l="1"/>
  <c r="AM535" i="26" s="1"/>
  <c r="AU535" i="26" s="1"/>
  <c r="Q536" i="26"/>
  <c r="L536" i="26"/>
  <c r="B536" i="26"/>
  <c r="D536" i="26" s="1"/>
  <c r="H536" i="26"/>
  <c r="W536" i="26"/>
  <c r="C536" i="26"/>
  <c r="V536" i="26" s="1"/>
  <c r="A536" i="26"/>
  <c r="BL535" i="26"/>
  <c r="E804" i="55"/>
  <c r="V803" i="55"/>
  <c r="N803" i="55"/>
  <c r="X803" i="55" s="1"/>
  <c r="AP536" i="26" l="1"/>
  <c r="G536" i="26"/>
  <c r="F536" i="26"/>
  <c r="R536" i="26" s="1"/>
  <c r="K536" i="26"/>
  <c r="M536" i="26" s="1"/>
  <c r="AJ536" i="26" s="1"/>
  <c r="AK536" i="26" s="1"/>
  <c r="BT535" i="26"/>
  <c r="AV535" i="55"/>
  <c r="AS536" i="26"/>
  <c r="BJ536" i="26" s="1"/>
  <c r="E537" i="26"/>
  <c r="X536" i="26"/>
  <c r="P536" i="26"/>
  <c r="U536" i="26"/>
  <c r="AF536" i="26" s="1"/>
  <c r="AN536" i="26" s="1"/>
  <c r="O536" i="26"/>
  <c r="Q804" i="55"/>
  <c r="K804" i="55"/>
  <c r="L804" i="55" s="1"/>
  <c r="B804" i="55"/>
  <c r="D804" i="55" s="1"/>
  <c r="M804" i="55" s="1"/>
  <c r="H804" i="55"/>
  <c r="A804" i="55"/>
  <c r="C804" i="55"/>
  <c r="O804" i="55" s="1"/>
  <c r="S803" i="55"/>
  <c r="AL536" i="26" l="1"/>
  <c r="AM536" i="26" s="1"/>
  <c r="AU536" i="26" s="1"/>
  <c r="N536" i="26"/>
  <c r="B537" i="26"/>
  <c r="D537" i="26" s="1"/>
  <c r="H537" i="26"/>
  <c r="Q537" i="26"/>
  <c r="W537" i="26"/>
  <c r="C537" i="26"/>
  <c r="V537" i="26" s="1"/>
  <c r="A537" i="26"/>
  <c r="L537" i="26"/>
  <c r="K537" i="26"/>
  <c r="S536" i="26"/>
  <c r="T536" i="26" s="1"/>
  <c r="BC536" i="26" s="1"/>
  <c r="AO536" i="26"/>
  <c r="AT536" i="26" s="1"/>
  <c r="BK536" i="26"/>
  <c r="P804" i="55"/>
  <c r="U804" i="55"/>
  <c r="N804" i="55"/>
  <c r="S804" i="55" s="1"/>
  <c r="W804" i="55"/>
  <c r="G804" i="55"/>
  <c r="F804" i="55"/>
  <c r="E805" i="55"/>
  <c r="O537" i="26" l="1"/>
  <c r="F537" i="26"/>
  <c r="R537" i="26" s="1"/>
  <c r="P537" i="26"/>
  <c r="G537" i="26"/>
  <c r="E538" i="26"/>
  <c r="M537" i="26"/>
  <c r="N537" i="26" s="1"/>
  <c r="AP537" i="26"/>
  <c r="X537" i="26"/>
  <c r="L538" i="26"/>
  <c r="BL536" i="26"/>
  <c r="AS537" i="26"/>
  <c r="BJ537" i="26" s="1"/>
  <c r="U537" i="26"/>
  <c r="AF537" i="26" s="1"/>
  <c r="AN537" i="26" s="1"/>
  <c r="Q805" i="55"/>
  <c r="K805" i="55"/>
  <c r="L805" i="55" s="1"/>
  <c r="V804" i="55"/>
  <c r="X804" i="55"/>
  <c r="A805" i="55"/>
  <c r="H805" i="55"/>
  <c r="B805" i="55"/>
  <c r="P805" i="55" s="1"/>
  <c r="C805" i="55"/>
  <c r="O805" i="55" s="1"/>
  <c r="AL537" i="26" l="1"/>
  <c r="AM537" i="26" s="1"/>
  <c r="AU537" i="26" s="1"/>
  <c r="S537" i="26"/>
  <c r="T537" i="26" s="1"/>
  <c r="C538" i="26"/>
  <c r="U538" i="26" s="1"/>
  <c r="Q538" i="26"/>
  <c r="B538" i="26"/>
  <c r="D538" i="26" s="1"/>
  <c r="W538" i="26"/>
  <c r="H538" i="26"/>
  <c r="AJ537" i="26"/>
  <c r="AK537" i="26" s="1"/>
  <c r="BK537" i="26"/>
  <c r="AO537" i="26"/>
  <c r="AT537" i="26" s="1"/>
  <c r="A538" i="26"/>
  <c r="AS538" i="26"/>
  <c r="BJ538" i="26" s="1"/>
  <c r="BT536" i="26"/>
  <c r="AV536" i="55"/>
  <c r="G805" i="55"/>
  <c r="F805" i="55"/>
  <c r="W805" i="55"/>
  <c r="D805" i="55"/>
  <c r="M805" i="55" s="1"/>
  <c r="U805" i="55"/>
  <c r="V805" i="55" s="1"/>
  <c r="F538" i="26" l="1"/>
  <c r="R538" i="26" s="1"/>
  <c r="G538" i="26"/>
  <c r="AF538" i="26"/>
  <c r="AN538" i="26" s="1"/>
  <c r="K538" i="26"/>
  <c r="M538" i="26" s="1"/>
  <c r="AJ538" i="26" s="1"/>
  <c r="AK538" i="26" s="1"/>
  <c r="V538" i="26"/>
  <c r="BL537" i="26"/>
  <c r="BC537" i="26"/>
  <c r="E539" i="26"/>
  <c r="AP538" i="26"/>
  <c r="X538" i="26"/>
  <c r="BK538" i="26" s="1"/>
  <c r="O538" i="26"/>
  <c r="S538" i="26" s="1"/>
  <c r="T538" i="26" s="1"/>
  <c r="P538" i="26"/>
  <c r="W539" i="26"/>
  <c r="B539" i="26"/>
  <c r="C539" i="26"/>
  <c r="Q539" i="26"/>
  <c r="L539" i="26"/>
  <c r="H539" i="26"/>
  <c r="A539" i="26"/>
  <c r="AO538" i="26"/>
  <c r="E806" i="55"/>
  <c r="N805" i="55"/>
  <c r="N538" i="26" l="1"/>
  <c r="AT538" i="26"/>
  <c r="AL538" i="26"/>
  <c r="AM538" i="26" s="1"/>
  <c r="AU538" i="26" s="1"/>
  <c r="BC538" i="26"/>
  <c r="AV537" i="55"/>
  <c r="BT537" i="26"/>
  <c r="AO539" i="26"/>
  <c r="V539" i="26"/>
  <c r="D539" i="26"/>
  <c r="E540" i="26" s="1"/>
  <c r="AP539" i="26"/>
  <c r="U539" i="26"/>
  <c r="AF539" i="26" s="1"/>
  <c r="AN539" i="26" s="1"/>
  <c r="BL538" i="26"/>
  <c r="X539" i="26"/>
  <c r="BK539" i="26" s="1"/>
  <c r="G539" i="26"/>
  <c r="K539" i="26"/>
  <c r="M539" i="26" s="1"/>
  <c r="F539" i="26"/>
  <c r="R539" i="26" s="1"/>
  <c r="AS539" i="26"/>
  <c r="BJ539" i="26" s="1"/>
  <c r="B806" i="55"/>
  <c r="P806" i="55" s="1"/>
  <c r="Q806" i="55"/>
  <c r="K806" i="55"/>
  <c r="L806" i="55" s="1"/>
  <c r="A806" i="55"/>
  <c r="C806" i="55"/>
  <c r="U806" i="55" s="1"/>
  <c r="H806" i="55"/>
  <c r="S805" i="55"/>
  <c r="X805" i="55"/>
  <c r="AT539" i="26" l="1"/>
  <c r="P539" i="26"/>
  <c r="O539" i="26"/>
  <c r="S539" i="26" s="1"/>
  <c r="T539" i="26" s="1"/>
  <c r="BC539" i="26" s="1"/>
  <c r="BT538" i="26"/>
  <c r="AV538" i="55"/>
  <c r="AJ539" i="26"/>
  <c r="AK539" i="26" s="1"/>
  <c r="N539" i="26"/>
  <c r="W540" i="26"/>
  <c r="C540" i="26"/>
  <c r="V540" i="26" s="1"/>
  <c r="B540" i="26"/>
  <c r="Q540" i="26"/>
  <c r="L540" i="26"/>
  <c r="H540" i="26"/>
  <c r="A540" i="26"/>
  <c r="G806" i="55"/>
  <c r="D806" i="55"/>
  <c r="M806" i="55" s="1"/>
  <c r="O806" i="55"/>
  <c r="F806" i="55"/>
  <c r="W806" i="55"/>
  <c r="V806" i="55"/>
  <c r="AL539" i="26" l="1"/>
  <c r="AM539" i="26" s="1"/>
  <c r="AU539" i="26" s="1"/>
  <c r="AS540" i="26"/>
  <c r="BJ540" i="26" s="1"/>
  <c r="AO540" i="26"/>
  <c r="U540" i="26"/>
  <c r="AF540" i="26" s="1"/>
  <c r="AN540" i="26" s="1"/>
  <c r="D540" i="26"/>
  <c r="E541" i="26" s="1"/>
  <c r="AP540" i="26"/>
  <c r="F540" i="26"/>
  <c r="R540" i="26" s="1"/>
  <c r="P540" i="26"/>
  <c r="G540" i="26"/>
  <c r="X540" i="26"/>
  <c r="BK540" i="26" s="1"/>
  <c r="K540" i="26"/>
  <c r="M540" i="26" s="1"/>
  <c r="BL539" i="26"/>
  <c r="E807" i="55"/>
  <c r="H807" i="55" s="1"/>
  <c r="N806" i="55"/>
  <c r="X806" i="55" s="1"/>
  <c r="O540" i="26" l="1"/>
  <c r="S540" i="26" s="1"/>
  <c r="T540" i="26" s="1"/>
  <c r="BC540" i="26" s="1"/>
  <c r="S806" i="55"/>
  <c r="C807" i="55"/>
  <c r="O807" i="55" s="1"/>
  <c r="K807" i="55"/>
  <c r="L807" i="55" s="1"/>
  <c r="A807" i="55"/>
  <c r="B541" i="26"/>
  <c r="K541" i="26" s="1"/>
  <c r="W541" i="26"/>
  <c r="A541" i="26"/>
  <c r="H541" i="26"/>
  <c r="C541" i="26"/>
  <c r="V541" i="26" s="1"/>
  <c r="Q541" i="26"/>
  <c r="L541" i="26"/>
  <c r="BT539" i="26"/>
  <c r="AV539" i="55"/>
  <c r="AT540" i="26"/>
  <c r="N540" i="26"/>
  <c r="AJ540" i="26"/>
  <c r="AK540" i="26" s="1"/>
  <c r="B807" i="55"/>
  <c r="P807" i="55" s="1"/>
  <c r="Q807" i="55"/>
  <c r="AL540" i="26" l="1"/>
  <c r="AM540" i="26" s="1"/>
  <c r="AU540" i="26" s="1"/>
  <c r="U807" i="55"/>
  <c r="V807" i="55" s="1"/>
  <c r="D541" i="26"/>
  <c r="E542" i="26" s="1"/>
  <c r="D807" i="55"/>
  <c r="M807" i="55" s="1"/>
  <c r="N807" i="55" s="1"/>
  <c r="S807" i="55" s="1"/>
  <c r="W807" i="55"/>
  <c r="M541" i="26"/>
  <c r="N541" i="26" s="1"/>
  <c r="G807" i="55"/>
  <c r="G541" i="26"/>
  <c r="AS541" i="26"/>
  <c r="BJ541" i="26" s="1"/>
  <c r="U541" i="26"/>
  <c r="AF541" i="26" s="1"/>
  <c r="AN541" i="26" s="1"/>
  <c r="AP541" i="26"/>
  <c r="F541" i="26"/>
  <c r="R541" i="26" s="1"/>
  <c r="F807" i="55"/>
  <c r="X541" i="26"/>
  <c r="BL540" i="26"/>
  <c r="O541" i="26" l="1"/>
  <c r="S541" i="26" s="1"/>
  <c r="T541" i="26" s="1"/>
  <c r="BC541" i="26" s="1"/>
  <c r="P541" i="26"/>
  <c r="E808" i="55"/>
  <c r="K808" i="55" s="1"/>
  <c r="L808" i="55" s="1"/>
  <c r="AJ541" i="26"/>
  <c r="AK541" i="26" s="1"/>
  <c r="X807" i="55"/>
  <c r="W542" i="26"/>
  <c r="L542" i="26"/>
  <c r="A542" i="26"/>
  <c r="C542" i="26"/>
  <c r="V542" i="26" s="1"/>
  <c r="Q542" i="26"/>
  <c r="H542" i="26"/>
  <c r="B542" i="26"/>
  <c r="K542" i="26" s="1"/>
  <c r="M542" i="26" s="1"/>
  <c r="BK541" i="26"/>
  <c r="AV540" i="55"/>
  <c r="BT540" i="26"/>
  <c r="AO541" i="26"/>
  <c r="AT541" i="26" s="1"/>
  <c r="Q808" i="55"/>
  <c r="A808" i="55"/>
  <c r="AL541" i="26" l="1"/>
  <c r="AM541" i="26" s="1"/>
  <c r="AU541" i="26" s="1"/>
  <c r="B808" i="55"/>
  <c r="F808" i="55" s="1"/>
  <c r="H808" i="55"/>
  <c r="C808" i="55"/>
  <c r="U808" i="55" s="1"/>
  <c r="U542" i="26"/>
  <c r="AS542" i="26"/>
  <c r="BJ542" i="26" s="1"/>
  <c r="AO542" i="26"/>
  <c r="G542" i="26"/>
  <c r="X542" i="26"/>
  <c r="BK542" i="26" s="1"/>
  <c r="N542" i="26"/>
  <c r="AJ542" i="26"/>
  <c r="AK542" i="26" s="1"/>
  <c r="AF542" i="26"/>
  <c r="AN542" i="26" s="1"/>
  <c r="BL541" i="26"/>
  <c r="AP542" i="26"/>
  <c r="F542" i="26"/>
  <c r="R542" i="26" s="1"/>
  <c r="D542" i="26"/>
  <c r="O808" i="55"/>
  <c r="P808" i="55"/>
  <c r="G808" i="55"/>
  <c r="W808" i="55"/>
  <c r="D808" i="55"/>
  <c r="E809" i="55" s="1"/>
  <c r="V808" i="55" l="1"/>
  <c r="AT542" i="26"/>
  <c r="BT541" i="26"/>
  <c r="AV541" i="55"/>
  <c r="E543" i="26"/>
  <c r="P542" i="26"/>
  <c r="O542" i="26"/>
  <c r="Q809" i="55"/>
  <c r="K809" i="55"/>
  <c r="L809" i="55" s="1"/>
  <c r="M808" i="55"/>
  <c r="N808" i="55" s="1"/>
  <c r="B809" i="55"/>
  <c r="D809" i="55" s="1"/>
  <c r="C809" i="55"/>
  <c r="O809" i="55" s="1"/>
  <c r="H809" i="55"/>
  <c r="A809" i="55"/>
  <c r="AL542" i="26" l="1"/>
  <c r="AM542" i="26" s="1"/>
  <c r="AU542" i="26" s="1"/>
  <c r="S542" i="26"/>
  <c r="T542" i="26" s="1"/>
  <c r="BC542" i="26" s="1"/>
  <c r="Q543" i="26"/>
  <c r="B543" i="26"/>
  <c r="D543" i="26" s="1"/>
  <c r="A543" i="26"/>
  <c r="L543" i="26"/>
  <c r="C543" i="26"/>
  <c r="V543" i="26" s="1"/>
  <c r="H543" i="26"/>
  <c r="W543" i="26"/>
  <c r="P809" i="55"/>
  <c r="M809" i="55"/>
  <c r="N809" i="55" s="1"/>
  <c r="X809" i="55" s="1"/>
  <c r="F809" i="55"/>
  <c r="G809" i="55"/>
  <c r="E810" i="55"/>
  <c r="W809" i="55"/>
  <c r="X808" i="55"/>
  <c r="S808" i="55"/>
  <c r="G543" i="26" l="1"/>
  <c r="K543" i="26"/>
  <c r="M543" i="26" s="1"/>
  <c r="AJ543" i="26" s="1"/>
  <c r="AK543" i="26" s="1"/>
  <c r="O543" i="26"/>
  <c r="P543" i="26"/>
  <c r="X543" i="26"/>
  <c r="BK543" i="26" s="1"/>
  <c r="AP543" i="26"/>
  <c r="AO543" i="26"/>
  <c r="AS543" i="26"/>
  <c r="BJ543" i="26" s="1"/>
  <c r="E544" i="26"/>
  <c r="U543" i="26"/>
  <c r="AF543" i="26" s="1"/>
  <c r="AN543" i="26" s="1"/>
  <c r="BL542" i="26"/>
  <c r="F543" i="26"/>
  <c r="R543" i="26" s="1"/>
  <c r="Q810" i="55"/>
  <c r="K810" i="55"/>
  <c r="L810" i="55" s="1"/>
  <c r="S809" i="55"/>
  <c r="B810" i="55"/>
  <c r="D810" i="55" s="1"/>
  <c r="M810" i="55" s="1"/>
  <c r="H810" i="55"/>
  <c r="A810" i="55"/>
  <c r="C810" i="55"/>
  <c r="U810" i="55" s="1"/>
  <c r="AL543" i="26" l="1"/>
  <c r="AM543" i="26" s="1"/>
  <c r="AU543" i="26" s="1"/>
  <c r="N543" i="26"/>
  <c r="AT543" i="26"/>
  <c r="H544" i="26"/>
  <c r="Q544" i="26"/>
  <c r="A544" i="26"/>
  <c r="W544" i="26"/>
  <c r="B544" i="26"/>
  <c r="C544" i="26"/>
  <c r="V544" i="26" s="1"/>
  <c r="L544" i="26"/>
  <c r="BT542" i="26"/>
  <c r="AV542" i="55"/>
  <c r="S543" i="26"/>
  <c r="T543" i="26" s="1"/>
  <c r="BC543" i="26" s="1"/>
  <c r="O810" i="55"/>
  <c r="P810" i="55"/>
  <c r="V810" i="55" s="1"/>
  <c r="F810" i="55"/>
  <c r="G810" i="55"/>
  <c r="W810" i="55"/>
  <c r="N810" i="55"/>
  <c r="E811" i="55"/>
  <c r="F544" i="26" l="1"/>
  <c r="R544" i="26" s="1"/>
  <c r="X544" i="26"/>
  <c r="K544" i="26"/>
  <c r="M544" i="26" s="1"/>
  <c r="AO544" i="26"/>
  <c r="U544" i="26"/>
  <c r="AF544" i="26" s="1"/>
  <c r="AN544" i="26" s="1"/>
  <c r="AS544" i="26"/>
  <c r="BJ544" i="26" s="1"/>
  <c r="BL543" i="26"/>
  <c r="D544" i="26"/>
  <c r="AP544" i="26"/>
  <c r="G544" i="26"/>
  <c r="K811" i="55"/>
  <c r="L811" i="55" s="1"/>
  <c r="Q811" i="55"/>
  <c r="H811" i="55"/>
  <c r="B811" i="55"/>
  <c r="D811" i="55" s="1"/>
  <c r="C811" i="55"/>
  <c r="O811" i="55" s="1"/>
  <c r="A811" i="55"/>
  <c r="X810" i="55"/>
  <c r="S810" i="55"/>
  <c r="BK544" i="26" l="1"/>
  <c r="O544" i="26"/>
  <c r="P544" i="26"/>
  <c r="AV543" i="55"/>
  <c r="BT543" i="26"/>
  <c r="E545" i="26"/>
  <c r="AJ544" i="26"/>
  <c r="AK544" i="26" s="1"/>
  <c r="N544" i="26"/>
  <c r="AT544" i="26"/>
  <c r="P811" i="55"/>
  <c r="W811" i="55"/>
  <c r="G811" i="55"/>
  <c r="E812" i="55"/>
  <c r="F811" i="55"/>
  <c r="M811" i="55"/>
  <c r="U811" i="55"/>
  <c r="AL544" i="26" l="1"/>
  <c r="AM544" i="26" s="1"/>
  <c r="AU544" i="26" s="1"/>
  <c r="L545" i="26"/>
  <c r="C545" i="26"/>
  <c r="U545" i="26" s="1"/>
  <c r="W545" i="26"/>
  <c r="B545" i="26"/>
  <c r="D545" i="26" s="1"/>
  <c r="Q545" i="26"/>
  <c r="H545" i="26"/>
  <c r="A545" i="26"/>
  <c r="S544" i="26"/>
  <c r="T544" i="26" s="1"/>
  <c r="BC544" i="26" s="1"/>
  <c r="Q812" i="55"/>
  <c r="K812" i="55"/>
  <c r="L812" i="55" s="1"/>
  <c r="V811" i="55"/>
  <c r="A812" i="55"/>
  <c r="H812" i="55"/>
  <c r="B812" i="55"/>
  <c r="P812" i="55" s="1"/>
  <c r="C812" i="55"/>
  <c r="U812" i="55" s="1"/>
  <c r="N811" i="55"/>
  <c r="K545" i="26" l="1"/>
  <c r="M545" i="26" s="1"/>
  <c r="AJ545" i="26" s="1"/>
  <c r="AK545" i="26" s="1"/>
  <c r="V545" i="26"/>
  <c r="AO545" i="26" s="1"/>
  <c r="BL544" i="26"/>
  <c r="AF545" i="26"/>
  <c r="AN545" i="26" s="1"/>
  <c r="F545" i="26"/>
  <c r="R545" i="26" s="1"/>
  <c r="X545" i="26"/>
  <c r="P545" i="26"/>
  <c r="O545" i="26"/>
  <c r="E546" i="26"/>
  <c r="AP545" i="26"/>
  <c r="G545" i="26"/>
  <c r="O812" i="55"/>
  <c r="F812" i="55"/>
  <c r="D812" i="55"/>
  <c r="M812" i="55" s="1"/>
  <c r="G812" i="55"/>
  <c r="V812" i="55"/>
  <c r="X811" i="55"/>
  <c r="S811" i="55"/>
  <c r="W812" i="55"/>
  <c r="AL545" i="26" l="1"/>
  <c r="AM545" i="26" s="1"/>
  <c r="AU545" i="26" s="1"/>
  <c r="N545" i="26"/>
  <c r="BK545" i="26"/>
  <c r="S545" i="26"/>
  <c r="T545" i="26" s="1"/>
  <c r="BC545" i="26" s="1"/>
  <c r="AT545" i="26"/>
  <c r="L546" i="26"/>
  <c r="H546" i="26"/>
  <c r="C546" i="26"/>
  <c r="V546" i="26" s="1"/>
  <c r="Q546" i="26"/>
  <c r="A546" i="26"/>
  <c r="B546" i="26"/>
  <c r="W546" i="26"/>
  <c r="AV544" i="55"/>
  <c r="BT544" i="26"/>
  <c r="E813" i="55"/>
  <c r="Q813" i="55" s="1"/>
  <c r="N812" i="55"/>
  <c r="S812" i="55" s="1"/>
  <c r="D546" i="26" l="1"/>
  <c r="AO546" i="26"/>
  <c r="K546" i="26"/>
  <c r="M546" i="26" s="1"/>
  <c r="AP546" i="26"/>
  <c r="F546" i="26"/>
  <c r="R546" i="26" s="1"/>
  <c r="O546" i="26"/>
  <c r="AS546" i="26"/>
  <c r="BJ546" i="26" s="1"/>
  <c r="E547" i="26"/>
  <c r="X546" i="26"/>
  <c r="BK546" i="26" s="1"/>
  <c r="U546" i="26"/>
  <c r="AF546" i="26" s="1"/>
  <c r="AN546" i="26" s="1"/>
  <c r="G546" i="26"/>
  <c r="P546" i="26"/>
  <c r="BL545" i="26"/>
  <c r="H813" i="55"/>
  <c r="A813" i="55"/>
  <c r="C813" i="55"/>
  <c r="O813" i="55" s="1"/>
  <c r="B813" i="55"/>
  <c r="F813" i="55" s="1"/>
  <c r="K813" i="55"/>
  <c r="L813" i="55" s="1"/>
  <c r="X812" i="55"/>
  <c r="AL546" i="26" l="1"/>
  <c r="AM546" i="26" s="1"/>
  <c r="AU546" i="26" s="1"/>
  <c r="AT546" i="26"/>
  <c r="G813" i="55"/>
  <c r="B547" i="26"/>
  <c r="D547" i="26" s="1"/>
  <c r="L547" i="26"/>
  <c r="H547" i="26"/>
  <c r="A547" i="26"/>
  <c r="W547" i="26"/>
  <c r="G547" i="26"/>
  <c r="Q547" i="26"/>
  <c r="C547" i="26"/>
  <c r="AP547" i="26" s="1"/>
  <c r="F547" i="26"/>
  <c r="W813" i="55"/>
  <c r="AV545" i="55"/>
  <c r="BT545" i="26"/>
  <c r="N546" i="26"/>
  <c r="AJ546" i="26"/>
  <c r="AK546" i="26" s="1"/>
  <c r="S546" i="26"/>
  <c r="T546" i="26" s="1"/>
  <c r="BC546" i="26" s="1"/>
  <c r="U813" i="55"/>
  <c r="D813" i="55"/>
  <c r="M813" i="55" s="1"/>
  <c r="N813" i="55" s="1"/>
  <c r="P813" i="55"/>
  <c r="K547" i="26" l="1"/>
  <c r="M547" i="26" s="1"/>
  <c r="N547" i="26" s="1"/>
  <c r="V547" i="26"/>
  <c r="AO547" i="26" s="1"/>
  <c r="AT547" i="26" s="1"/>
  <c r="V813" i="55"/>
  <c r="X547" i="26"/>
  <c r="E814" i="55"/>
  <c r="Q814" i="55" s="1"/>
  <c r="R547" i="26"/>
  <c r="P547" i="26"/>
  <c r="AS547" i="26"/>
  <c r="BJ547" i="26" s="1"/>
  <c r="BL546" i="26"/>
  <c r="O547" i="26"/>
  <c r="U547" i="26"/>
  <c r="AF547" i="26" s="1"/>
  <c r="AN547" i="26" s="1"/>
  <c r="E548" i="26"/>
  <c r="S813" i="55"/>
  <c r="X813" i="55"/>
  <c r="AL547" i="26" l="1"/>
  <c r="AM547" i="26" s="1"/>
  <c r="AU547" i="26" s="1"/>
  <c r="AJ547" i="26"/>
  <c r="AK547" i="26" s="1"/>
  <c r="BK547" i="26"/>
  <c r="A814" i="55"/>
  <c r="C814" i="55"/>
  <c r="O814" i="55" s="1"/>
  <c r="B814" i="55"/>
  <c r="P814" i="55" s="1"/>
  <c r="K814" i="55"/>
  <c r="L814" i="55" s="1"/>
  <c r="H814" i="55"/>
  <c r="S547" i="26"/>
  <c r="T547" i="26" s="1"/>
  <c r="BC547" i="26" s="1"/>
  <c r="L548" i="26"/>
  <c r="C548" i="26"/>
  <c r="U548" i="26" s="1"/>
  <c r="H548" i="26"/>
  <c r="B548" i="26"/>
  <c r="K548" i="26" s="1"/>
  <c r="Q548" i="26"/>
  <c r="A548" i="26"/>
  <c r="W548" i="26"/>
  <c r="G548" i="26"/>
  <c r="AV546" i="55"/>
  <c r="BT546" i="26"/>
  <c r="G814" i="55"/>
  <c r="U814" i="55" l="1"/>
  <c r="V814" i="55" s="1"/>
  <c r="D814" i="55"/>
  <c r="M814" i="55" s="1"/>
  <c r="N814" i="55" s="1"/>
  <c r="V548" i="26"/>
  <c r="W814" i="55"/>
  <c r="F814" i="55"/>
  <c r="F548" i="26"/>
  <c r="R548" i="26" s="1"/>
  <c r="AP548" i="26"/>
  <c r="M548" i="26"/>
  <c r="AJ548" i="26" s="1"/>
  <c r="AK548" i="26" s="1"/>
  <c r="D548" i="26"/>
  <c r="O548" i="26" s="1"/>
  <c r="AO548" i="26"/>
  <c r="AF548" i="26"/>
  <c r="AN548" i="26" s="1"/>
  <c r="AS548" i="26"/>
  <c r="BJ548" i="26" s="1"/>
  <c r="X548" i="26"/>
  <c r="BL547" i="26"/>
  <c r="AT548" i="26" l="1"/>
  <c r="E815" i="55"/>
  <c r="Q815" i="55" s="1"/>
  <c r="N548" i="26"/>
  <c r="AV547" i="55"/>
  <c r="BT547" i="26"/>
  <c r="BK548" i="26"/>
  <c r="S548" i="26"/>
  <c r="T548" i="26" s="1"/>
  <c r="BC548" i="26" s="1"/>
  <c r="E549" i="26"/>
  <c r="P548" i="26"/>
  <c r="B815" i="55"/>
  <c r="G815" i="55" s="1"/>
  <c r="K815" i="55"/>
  <c r="L815" i="55" s="1"/>
  <c r="C815" i="55"/>
  <c r="U815" i="55" s="1"/>
  <c r="H815" i="55"/>
  <c r="S814" i="55"/>
  <c r="X814" i="55"/>
  <c r="AL548" i="26" l="1"/>
  <c r="AM548" i="26" s="1"/>
  <c r="AU548" i="26" s="1"/>
  <c r="A815" i="55"/>
  <c r="C549" i="26"/>
  <c r="V549" i="26" s="1"/>
  <c r="L549" i="26"/>
  <c r="W549" i="26"/>
  <c r="A549" i="26"/>
  <c r="B549" i="26"/>
  <c r="G549" i="26" s="1"/>
  <c r="Q549" i="26"/>
  <c r="H549" i="26"/>
  <c r="BL548" i="26"/>
  <c r="F815" i="55"/>
  <c r="O815" i="55"/>
  <c r="D815" i="55"/>
  <c r="M815" i="55" s="1"/>
  <c r="N815" i="55" s="1"/>
  <c r="X815" i="55" s="1"/>
  <c r="P815" i="55"/>
  <c r="V815" i="55" s="1"/>
  <c r="W815" i="55"/>
  <c r="AS549" i="26" l="1"/>
  <c r="BJ549" i="26" s="1"/>
  <c r="U549" i="26"/>
  <c r="D549" i="26"/>
  <c r="X549" i="26"/>
  <c r="BK549" i="26" s="1"/>
  <c r="AF549" i="26"/>
  <c r="AN549" i="26" s="1"/>
  <c r="O549" i="26"/>
  <c r="K549" i="26"/>
  <c r="M549" i="26" s="1"/>
  <c r="AV548" i="55"/>
  <c r="BT548" i="26"/>
  <c r="F549" i="26"/>
  <c r="R549" i="26" s="1"/>
  <c r="AP549" i="26"/>
  <c r="E550" i="26"/>
  <c r="E816" i="55"/>
  <c r="B816" i="55" s="1"/>
  <c r="P816" i="55" s="1"/>
  <c r="S815" i="55"/>
  <c r="P549" i="26" l="1"/>
  <c r="AL549" i="26" s="1"/>
  <c r="S549" i="26"/>
  <c r="T549" i="26" s="1"/>
  <c r="BC549" i="26" s="1"/>
  <c r="N549" i="26"/>
  <c r="AJ549" i="26"/>
  <c r="AK549" i="26" s="1"/>
  <c r="C550" i="26"/>
  <c r="V550" i="26" s="1"/>
  <c r="L550" i="26"/>
  <c r="A550" i="26"/>
  <c r="B550" i="26"/>
  <c r="H550" i="26"/>
  <c r="W550" i="26"/>
  <c r="Q550" i="26"/>
  <c r="U550" i="26"/>
  <c r="G550" i="26"/>
  <c r="AO549" i="26"/>
  <c r="AT549" i="26" s="1"/>
  <c r="A816" i="55"/>
  <c r="Q816" i="55"/>
  <c r="C816" i="55"/>
  <c r="O816" i="55" s="1"/>
  <c r="K816" i="55"/>
  <c r="L816" i="55" s="1"/>
  <c r="H816" i="55"/>
  <c r="G816" i="55"/>
  <c r="D816" i="55"/>
  <c r="M816" i="55" s="1"/>
  <c r="F816" i="55"/>
  <c r="BL549" i="26" l="1"/>
  <c r="AM549" i="26"/>
  <c r="AU549" i="26" s="1"/>
  <c r="AF550" i="26"/>
  <c r="AN550" i="26" s="1"/>
  <c r="AP550" i="26"/>
  <c r="F550" i="26"/>
  <c r="R550" i="26" s="1"/>
  <c r="K550" i="26"/>
  <c r="M550" i="26" s="1"/>
  <c r="N550" i="26" s="1"/>
  <c r="AS550" i="26"/>
  <c r="BJ550" i="26" s="1"/>
  <c r="X550" i="26"/>
  <c r="W816" i="55"/>
  <c r="D550" i="26"/>
  <c r="BT549" i="26"/>
  <c r="AV549" i="55"/>
  <c r="AO550" i="26"/>
  <c r="U816" i="55"/>
  <c r="V816" i="55" s="1"/>
  <c r="E817" i="55"/>
  <c r="N816" i="55"/>
  <c r="AT550" i="26" l="1"/>
  <c r="P550" i="26"/>
  <c r="O550" i="26"/>
  <c r="S550" i="26" s="1"/>
  <c r="T550" i="26" s="1"/>
  <c r="BC550" i="26" s="1"/>
  <c r="E551" i="26"/>
  <c r="AJ550" i="26"/>
  <c r="AK550" i="26" s="1"/>
  <c r="BK550" i="26"/>
  <c r="Q817" i="55"/>
  <c r="K817" i="55"/>
  <c r="L817" i="55" s="1"/>
  <c r="C817" i="55"/>
  <c r="U817" i="55" s="1"/>
  <c r="B817" i="55"/>
  <c r="G817" i="55" s="1"/>
  <c r="H817" i="55"/>
  <c r="A817" i="55"/>
  <c r="S816" i="55"/>
  <c r="X816" i="55"/>
  <c r="AL550" i="26" l="1"/>
  <c r="AM550" i="26" s="1"/>
  <c r="AU550" i="26" s="1"/>
  <c r="H551" i="26"/>
  <c r="C551" i="26"/>
  <c r="U551" i="26" s="1"/>
  <c r="AF551" i="26" s="1"/>
  <c r="AN551" i="26" s="1"/>
  <c r="L551" i="26"/>
  <c r="B551" i="26"/>
  <c r="A551" i="26"/>
  <c r="W551" i="26"/>
  <c r="Q551" i="26"/>
  <c r="K551" i="26"/>
  <c r="M551" i="26" s="1"/>
  <c r="N551" i="26" s="1"/>
  <c r="F551" i="26"/>
  <c r="R551" i="26" s="1"/>
  <c r="G551" i="26"/>
  <c r="D551" i="26"/>
  <c r="P551" i="26" s="1"/>
  <c r="BL550" i="26"/>
  <c r="AS551" i="26"/>
  <c r="BJ551" i="26" s="1"/>
  <c r="D817" i="55"/>
  <c r="M817" i="55" s="1"/>
  <c r="N817" i="55" s="1"/>
  <c r="F817" i="55"/>
  <c r="P817" i="55"/>
  <c r="V817" i="55" s="1"/>
  <c r="O817" i="55"/>
  <c r="W817" i="55"/>
  <c r="AP551" i="26" l="1"/>
  <c r="X551" i="26"/>
  <c r="V551" i="26"/>
  <c r="AO551" i="26" s="1"/>
  <c r="AJ551" i="26"/>
  <c r="AK551" i="26" s="1"/>
  <c r="E552" i="26"/>
  <c r="O551" i="26"/>
  <c r="S551" i="26" s="1"/>
  <c r="T551" i="26" s="1"/>
  <c r="BT550" i="26"/>
  <c r="AV550" i="55"/>
  <c r="E818" i="55"/>
  <c r="H818" i="55" s="1"/>
  <c r="X817" i="55"/>
  <c r="S817" i="55"/>
  <c r="AL551" i="26" l="1"/>
  <c r="AM551" i="26" s="1"/>
  <c r="AU551" i="26" s="1"/>
  <c r="AT551" i="26"/>
  <c r="BL551" i="26"/>
  <c r="BC551" i="26"/>
  <c r="AV551" i="55" s="1"/>
  <c r="BK551" i="26"/>
  <c r="L552" i="26"/>
  <c r="H552" i="26"/>
  <c r="B552" i="26"/>
  <c r="D552" i="26" s="1"/>
  <c r="A552" i="26"/>
  <c r="Q552" i="26"/>
  <c r="C552" i="26"/>
  <c r="U552" i="26" s="1"/>
  <c r="W552" i="26"/>
  <c r="G552" i="26"/>
  <c r="AF552" i="26"/>
  <c r="AN552" i="26" s="1"/>
  <c r="B818" i="55"/>
  <c r="G818" i="55" s="1"/>
  <c r="Q818" i="55"/>
  <c r="K818" i="55"/>
  <c r="L818" i="55" s="1"/>
  <c r="C818" i="55"/>
  <c r="O818" i="55" s="1"/>
  <c r="A818" i="55"/>
  <c r="P818" i="55"/>
  <c r="U818" i="55"/>
  <c r="BT551" i="26" l="1"/>
  <c r="X552" i="26"/>
  <c r="K552" i="26"/>
  <c r="M552" i="26" s="1"/>
  <c r="N552" i="26" s="1"/>
  <c r="E553" i="26"/>
  <c r="P552" i="26"/>
  <c r="O552" i="26"/>
  <c r="S552" i="26" s="1"/>
  <c r="T552" i="26" s="1"/>
  <c r="BC552" i="26" s="1"/>
  <c r="AP552" i="26"/>
  <c r="F552" i="26"/>
  <c r="R552" i="26" s="1"/>
  <c r="AS552" i="26"/>
  <c r="BJ552" i="26" s="1"/>
  <c r="BK552" i="26"/>
  <c r="V552" i="26"/>
  <c r="AO552" i="26" s="1"/>
  <c r="D818" i="55"/>
  <c r="M818" i="55" s="1"/>
  <c r="N818" i="55" s="1"/>
  <c r="S818" i="55" s="1"/>
  <c r="F818" i="55"/>
  <c r="W818" i="55"/>
  <c r="C553" i="26"/>
  <c r="U553" i="26" s="1"/>
  <c r="W553" i="26"/>
  <c r="B553" i="26"/>
  <c r="K553" i="26" s="1"/>
  <c r="H553" i="26"/>
  <c r="A553" i="26"/>
  <c r="L553" i="26"/>
  <c r="Q553" i="26"/>
  <c r="AS553" i="26"/>
  <c r="BJ553" i="26" s="1"/>
  <c r="E819" i="55"/>
  <c r="Q819" i="55" s="1"/>
  <c r="V818" i="55"/>
  <c r="AL552" i="26" l="1"/>
  <c r="AM552" i="26" s="1"/>
  <c r="AU552" i="26" s="1"/>
  <c r="AT552" i="26"/>
  <c r="AJ552" i="26"/>
  <c r="AK552" i="26" s="1"/>
  <c r="V553" i="26"/>
  <c r="AO553" i="26" s="1"/>
  <c r="X818" i="55"/>
  <c r="B819" i="55"/>
  <c r="G819" i="55" s="1"/>
  <c r="A819" i="55"/>
  <c r="M553" i="26"/>
  <c r="N553" i="26" s="1"/>
  <c r="BL552" i="26"/>
  <c r="G553" i="26"/>
  <c r="F553" i="26"/>
  <c r="R553" i="26" s="1"/>
  <c r="AF553" i="26"/>
  <c r="AN553" i="26" s="1"/>
  <c r="D553" i="26"/>
  <c r="X553" i="26"/>
  <c r="AP553" i="26"/>
  <c r="C819" i="55"/>
  <c r="U819" i="55" s="1"/>
  <c r="H819" i="55"/>
  <c r="K819" i="55"/>
  <c r="L819" i="55" s="1"/>
  <c r="P819" i="55"/>
  <c r="D819" i="55"/>
  <c r="F819" i="55"/>
  <c r="V819" i="55" l="1"/>
  <c r="AJ553" i="26"/>
  <c r="AK553" i="26" s="1"/>
  <c r="AT553" i="26"/>
  <c r="P553" i="26"/>
  <c r="E554" i="26"/>
  <c r="O553" i="26"/>
  <c r="W819" i="55"/>
  <c r="E820" i="55"/>
  <c r="H820" i="55" s="1"/>
  <c r="BK553" i="26"/>
  <c r="AV552" i="55"/>
  <c r="BT552" i="26"/>
  <c r="O819" i="55"/>
  <c r="M819" i="55"/>
  <c r="AL553" i="26" l="1"/>
  <c r="AM553" i="26" s="1"/>
  <c r="AU553" i="26" s="1"/>
  <c r="A820" i="55"/>
  <c r="K820" i="55"/>
  <c r="L820" i="55" s="1"/>
  <c r="B820" i="55"/>
  <c r="G820" i="55" s="1"/>
  <c r="C820" i="55"/>
  <c r="O820" i="55" s="1"/>
  <c r="Q820" i="55"/>
  <c r="B554" i="26"/>
  <c r="W554" i="26"/>
  <c r="C554" i="26"/>
  <c r="V554" i="26" s="1"/>
  <c r="L554" i="26"/>
  <c r="A554" i="26"/>
  <c r="Q554" i="26"/>
  <c r="H554" i="26"/>
  <c r="S553" i="26"/>
  <c r="T553" i="26" s="1"/>
  <c r="BC553" i="26" s="1"/>
  <c r="F820" i="55"/>
  <c r="N819" i="55"/>
  <c r="D820" i="55"/>
  <c r="M820" i="55" s="1"/>
  <c r="N820" i="55" s="1"/>
  <c r="X820" i="55" s="1"/>
  <c r="W820" i="55" l="1"/>
  <c r="P820" i="55"/>
  <c r="U820" i="55"/>
  <c r="V820" i="55" s="1"/>
  <c r="BL553" i="26"/>
  <c r="AO554" i="26"/>
  <c r="AS554" i="26"/>
  <c r="BJ554" i="26" s="1"/>
  <c r="U554" i="26"/>
  <c r="AF554" i="26" s="1"/>
  <c r="AN554" i="26" s="1"/>
  <c r="K554" i="26"/>
  <c r="M554" i="26" s="1"/>
  <c r="F554" i="26"/>
  <c r="R554" i="26" s="1"/>
  <c r="G554" i="26"/>
  <c r="D554" i="26"/>
  <c r="P554" i="26" s="1"/>
  <c r="AP554" i="26"/>
  <c r="X554" i="26"/>
  <c r="E821" i="55"/>
  <c r="A821" i="55" s="1"/>
  <c r="X819" i="55"/>
  <c r="S819" i="55"/>
  <c r="BK554" i="26" l="1"/>
  <c r="AT554" i="26"/>
  <c r="N554" i="26"/>
  <c r="AJ554" i="26"/>
  <c r="AK554" i="26" s="1"/>
  <c r="O554" i="26"/>
  <c r="S554" i="26" s="1"/>
  <c r="T554" i="26" s="1"/>
  <c r="BC554" i="26" s="1"/>
  <c r="E555" i="26"/>
  <c r="AV553" i="55"/>
  <c r="BT553" i="26"/>
  <c r="Q821" i="55"/>
  <c r="K821" i="55"/>
  <c r="L821" i="55" s="1"/>
  <c r="B821" i="55"/>
  <c r="G821" i="55" s="1"/>
  <c r="S820" i="55"/>
  <c r="C821" i="55"/>
  <c r="O821" i="55" s="1"/>
  <c r="H821" i="55"/>
  <c r="AL554" i="26" l="1"/>
  <c r="AM554" i="26" s="1"/>
  <c r="AU554" i="26" s="1"/>
  <c r="BL554" i="26"/>
  <c r="C555" i="26"/>
  <c r="U555" i="26" s="1"/>
  <c r="W555" i="26"/>
  <c r="A555" i="26"/>
  <c r="H555" i="26"/>
  <c r="L555" i="26"/>
  <c r="B555" i="26"/>
  <c r="K555" i="26" s="1"/>
  <c r="Q555" i="26"/>
  <c r="F821" i="55"/>
  <c r="P821" i="55"/>
  <c r="D821" i="55"/>
  <c r="M821" i="55" s="1"/>
  <c r="W821" i="55"/>
  <c r="M555" i="26" l="1"/>
  <c r="AJ555" i="26" s="1"/>
  <c r="AK555" i="26" s="1"/>
  <c r="F555" i="26"/>
  <c r="R555" i="26" s="1"/>
  <c r="D555" i="26"/>
  <c r="O555" i="26" s="1"/>
  <c r="AF555" i="26"/>
  <c r="AN555" i="26" s="1"/>
  <c r="V555" i="26"/>
  <c r="G555" i="26"/>
  <c r="X555" i="26"/>
  <c r="AS555" i="26"/>
  <c r="BJ555" i="26" s="1"/>
  <c r="AP555" i="26"/>
  <c r="AV554" i="55"/>
  <c r="BT554" i="26"/>
  <c r="N821" i="55"/>
  <c r="S821" i="55" s="1"/>
  <c r="E822" i="55"/>
  <c r="K822" i="55" s="1"/>
  <c r="L822" i="55" s="1"/>
  <c r="N555" i="26" l="1"/>
  <c r="P555" i="26"/>
  <c r="E556" i="26"/>
  <c r="X821" i="55"/>
  <c r="B822" i="55"/>
  <c r="P822" i="55" s="1"/>
  <c r="Q556" i="26"/>
  <c r="AO555" i="26"/>
  <c r="AT555" i="26" s="1"/>
  <c r="BK555" i="26"/>
  <c r="S555" i="26"/>
  <c r="T555" i="26" s="1"/>
  <c r="BC555" i="26" s="1"/>
  <c r="C822" i="55"/>
  <c r="O822" i="55" s="1"/>
  <c r="H822" i="55"/>
  <c r="Q822" i="55"/>
  <c r="F822" i="55"/>
  <c r="A822" i="55"/>
  <c r="G822" i="55"/>
  <c r="D822" i="55"/>
  <c r="M822" i="55" s="1"/>
  <c r="AL555" i="26" l="1"/>
  <c r="AM555" i="26" s="1"/>
  <c r="AU555" i="26" s="1"/>
  <c r="B556" i="26"/>
  <c r="W822" i="55"/>
  <c r="H556" i="26"/>
  <c r="A556" i="26"/>
  <c r="L556" i="26"/>
  <c r="C556" i="26"/>
  <c r="V556" i="26" s="1"/>
  <c r="W556" i="26"/>
  <c r="E823" i="55"/>
  <c r="C823" i="55" s="1"/>
  <c r="O823" i="55" s="1"/>
  <c r="BL555" i="26"/>
  <c r="G556" i="26"/>
  <c r="K556" i="26"/>
  <c r="M556" i="26" s="1"/>
  <c r="F556" i="26"/>
  <c r="R556" i="26" s="1"/>
  <c r="U822" i="55"/>
  <c r="V822" i="55" s="1"/>
  <c r="AP556" i="26"/>
  <c r="D556" i="26"/>
  <c r="N822" i="55"/>
  <c r="X822" i="55" s="1"/>
  <c r="K823" i="55"/>
  <c r="L823" i="55" s="1"/>
  <c r="A823" i="55"/>
  <c r="AS556" i="26" l="1"/>
  <c r="BJ556" i="26" s="1"/>
  <c r="H823" i="55"/>
  <c r="Q823" i="55"/>
  <c r="B823" i="55"/>
  <c r="G823" i="55" s="1"/>
  <c r="X556" i="26"/>
  <c r="BK556" i="26" s="1"/>
  <c r="E557" i="26"/>
  <c r="U556" i="26"/>
  <c r="AF556" i="26" s="1"/>
  <c r="AN556" i="26" s="1"/>
  <c r="P556" i="26"/>
  <c r="AO556" i="26"/>
  <c r="AT556" i="26" s="1"/>
  <c r="Q557" i="26"/>
  <c r="C557" i="26"/>
  <c r="U557" i="26" s="1"/>
  <c r="W557" i="26"/>
  <c r="A557" i="26"/>
  <c r="H557" i="26"/>
  <c r="L557" i="26"/>
  <c r="B557" i="26"/>
  <c r="F557" i="26" s="1"/>
  <c r="R557" i="26" s="1"/>
  <c r="O556" i="26"/>
  <c r="AJ556" i="26"/>
  <c r="AK556" i="26" s="1"/>
  <c r="N556" i="26"/>
  <c r="BT555" i="26"/>
  <c r="AV555" i="55"/>
  <c r="S822" i="55"/>
  <c r="W823" i="55"/>
  <c r="U823" i="55"/>
  <c r="D823" i="55"/>
  <c r="M823" i="55" s="1"/>
  <c r="AL556" i="26" l="1"/>
  <c r="AM556" i="26" s="1"/>
  <c r="AU556" i="26" s="1"/>
  <c r="F823" i="55"/>
  <c r="P823" i="55"/>
  <c r="V557" i="26"/>
  <c r="AO557" i="26" s="1"/>
  <c r="X557" i="26"/>
  <c r="S556" i="26"/>
  <c r="T556" i="26" s="1"/>
  <c r="BC556" i="26" s="1"/>
  <c r="D557" i="26"/>
  <c r="P557" i="26" s="1"/>
  <c r="K557" i="26"/>
  <c r="M557" i="26" s="1"/>
  <c r="AP557" i="26"/>
  <c r="AF557" i="26"/>
  <c r="AN557" i="26" s="1"/>
  <c r="G557" i="26"/>
  <c r="V823" i="55"/>
  <c r="E824" i="55"/>
  <c r="C824" i="55" s="1"/>
  <c r="N823" i="55"/>
  <c r="X823" i="55" s="1"/>
  <c r="S823" i="55" l="1"/>
  <c r="BK557" i="26"/>
  <c r="BL556" i="26"/>
  <c r="O557" i="26"/>
  <c r="E558" i="26"/>
  <c r="AT557" i="26"/>
  <c r="AJ557" i="26"/>
  <c r="AK557" i="26" s="1"/>
  <c r="N557" i="26"/>
  <c r="A824" i="55"/>
  <c r="H824" i="55"/>
  <c r="O824" i="55"/>
  <c r="U824" i="55"/>
  <c r="B824" i="55"/>
  <c r="W824" i="55" s="1"/>
  <c r="Q824" i="55"/>
  <c r="K824" i="55"/>
  <c r="L824" i="55" s="1"/>
  <c r="AL557" i="26" l="1"/>
  <c r="AM557" i="26" s="1"/>
  <c r="AU557" i="26" s="1"/>
  <c r="W558" i="26"/>
  <c r="H558" i="26"/>
  <c r="Q558" i="26"/>
  <c r="B558" i="26"/>
  <c r="D558" i="26" s="1"/>
  <c r="O558" i="26" s="1"/>
  <c r="L558" i="26"/>
  <c r="A558" i="26"/>
  <c r="C558" i="26"/>
  <c r="V558" i="26" s="1"/>
  <c r="S557" i="26"/>
  <c r="T557" i="26" s="1"/>
  <c r="BC557" i="26" s="1"/>
  <c r="AV556" i="55"/>
  <c r="BT556" i="26"/>
  <c r="P824" i="55"/>
  <c r="V824" i="55" s="1"/>
  <c r="F824" i="55"/>
  <c r="D824" i="55"/>
  <c r="G824" i="55"/>
  <c r="P558" i="26" l="1"/>
  <c r="X558" i="26"/>
  <c r="G558" i="26"/>
  <c r="K558" i="26"/>
  <c r="M558" i="26" s="1"/>
  <c r="F558" i="26"/>
  <c r="R558" i="26" s="1"/>
  <c r="BL557" i="26"/>
  <c r="U558" i="26"/>
  <c r="AF558" i="26" s="1"/>
  <c r="AN558" i="26" s="1"/>
  <c r="E559" i="26"/>
  <c r="S558" i="26"/>
  <c r="T558" i="26" s="1"/>
  <c r="BC558" i="26" s="1"/>
  <c r="AP558" i="26"/>
  <c r="AS558" i="26"/>
  <c r="BJ558" i="26" s="1"/>
  <c r="M824" i="55"/>
  <c r="E825" i="55"/>
  <c r="AL558" i="26" l="1"/>
  <c r="AM558" i="26" s="1"/>
  <c r="AU558" i="26" s="1"/>
  <c r="H559" i="26"/>
  <c r="A559" i="26"/>
  <c r="L559" i="26"/>
  <c r="W559" i="26"/>
  <c r="Q559" i="26"/>
  <c r="B559" i="26"/>
  <c r="C559" i="26"/>
  <c r="U559" i="26" s="1"/>
  <c r="AS559" i="26"/>
  <c r="BJ559" i="26" s="1"/>
  <c r="BT557" i="26"/>
  <c r="AV557" i="55"/>
  <c r="BK558" i="26"/>
  <c r="AO558" i="26"/>
  <c r="AT558" i="26" s="1"/>
  <c r="BL558" i="26"/>
  <c r="AJ558" i="26"/>
  <c r="AK558" i="26" s="1"/>
  <c r="N558" i="26"/>
  <c r="N824" i="55"/>
  <c r="H825" i="55"/>
  <c r="Q825" i="55"/>
  <c r="K825" i="55"/>
  <c r="L825" i="55" s="1"/>
  <c r="C825" i="55"/>
  <c r="O825" i="55" s="1"/>
  <c r="A825" i="55"/>
  <c r="B825" i="55"/>
  <c r="D825" i="55" s="1"/>
  <c r="D559" i="26" l="1"/>
  <c r="K559" i="26"/>
  <c r="M559" i="26" s="1"/>
  <c r="N559" i="26" s="1"/>
  <c r="V559" i="26"/>
  <c r="AO559" i="26" s="1"/>
  <c r="AF559" i="26"/>
  <c r="AN559" i="26" s="1"/>
  <c r="X559" i="26"/>
  <c r="AP559" i="26"/>
  <c r="G559" i="26"/>
  <c r="F559" i="26"/>
  <c r="R559" i="26" s="1"/>
  <c r="P559" i="26"/>
  <c r="O559" i="26"/>
  <c r="AV558" i="55"/>
  <c r="BT558" i="26"/>
  <c r="E560" i="26"/>
  <c r="W825" i="55"/>
  <c r="F825" i="55"/>
  <c r="M825" i="55"/>
  <c r="G825" i="55"/>
  <c r="U825" i="55"/>
  <c r="E826" i="55"/>
  <c r="P825" i="55"/>
  <c r="X824" i="55"/>
  <c r="S824" i="55"/>
  <c r="AL559" i="26" l="1"/>
  <c r="AM559" i="26" s="1"/>
  <c r="AU559" i="26" s="1"/>
  <c r="BK559" i="26"/>
  <c r="AJ559" i="26"/>
  <c r="AK559" i="26" s="1"/>
  <c r="AT559" i="26"/>
  <c r="W560" i="26"/>
  <c r="L560" i="26"/>
  <c r="Q560" i="26"/>
  <c r="C560" i="26"/>
  <c r="AS560" i="26" s="1"/>
  <c r="BJ560" i="26" s="1"/>
  <c r="B560" i="26"/>
  <c r="A560" i="26"/>
  <c r="H560" i="26"/>
  <c r="S559" i="26"/>
  <c r="T559" i="26" s="1"/>
  <c r="BC559" i="26" s="1"/>
  <c r="V825" i="55"/>
  <c r="N825" i="55"/>
  <c r="X825" i="55" s="1"/>
  <c r="A826" i="55"/>
  <c r="Q826" i="55"/>
  <c r="K826" i="55"/>
  <c r="L826" i="55" s="1"/>
  <c r="C826" i="55"/>
  <c r="O826" i="55" s="1"/>
  <c r="H826" i="55"/>
  <c r="B826" i="55"/>
  <c r="V560" i="26" l="1"/>
  <c r="K560" i="26"/>
  <c r="M560" i="26" s="1"/>
  <c r="F560" i="26"/>
  <c r="R560" i="26" s="1"/>
  <c r="G560" i="26"/>
  <c r="D560" i="26"/>
  <c r="P560" i="26" s="1"/>
  <c r="U560" i="26"/>
  <c r="AF560" i="26" s="1"/>
  <c r="AN560" i="26" s="1"/>
  <c r="BL559" i="26"/>
  <c r="AP560" i="26"/>
  <c r="X560" i="26"/>
  <c r="D826" i="55"/>
  <c r="E827" i="55" s="1"/>
  <c r="G826" i="55"/>
  <c r="W826" i="55"/>
  <c r="U826" i="55"/>
  <c r="F826" i="55"/>
  <c r="P826" i="55"/>
  <c r="S825" i="55"/>
  <c r="E561" i="26" l="1"/>
  <c r="O560" i="26"/>
  <c r="AV559" i="55"/>
  <c r="BT559" i="26"/>
  <c r="BK560" i="26"/>
  <c r="AO560" i="26"/>
  <c r="AT560" i="26" s="1"/>
  <c r="AJ560" i="26"/>
  <c r="AK560" i="26" s="1"/>
  <c r="N560" i="26"/>
  <c r="V826" i="55"/>
  <c r="M826" i="55"/>
  <c r="N826" i="55" s="1"/>
  <c r="K827" i="55"/>
  <c r="L827" i="55" s="1"/>
  <c r="Q827" i="55"/>
  <c r="B827" i="55"/>
  <c r="G827" i="55" s="1"/>
  <c r="C827" i="55"/>
  <c r="O827" i="55" s="1"/>
  <c r="A827" i="55"/>
  <c r="H827" i="55"/>
  <c r="AL560" i="26" l="1"/>
  <c r="AM560" i="26" s="1"/>
  <c r="AU560" i="26" s="1"/>
  <c r="U827" i="55"/>
  <c r="S560" i="26"/>
  <c r="T560" i="26" s="1"/>
  <c r="BC560" i="26" s="1"/>
  <c r="Q561" i="26"/>
  <c r="B561" i="26"/>
  <c r="C561" i="26"/>
  <c r="U561" i="26" s="1"/>
  <c r="H561" i="26"/>
  <c r="A561" i="26"/>
  <c r="W561" i="26"/>
  <c r="L561" i="26"/>
  <c r="D827" i="55"/>
  <c r="M827" i="55" s="1"/>
  <c r="F827" i="55"/>
  <c r="W827" i="55"/>
  <c r="E828" i="55"/>
  <c r="S826" i="55"/>
  <c r="X826" i="55"/>
  <c r="P827" i="55"/>
  <c r="K561" i="26" l="1"/>
  <c r="M561" i="26" s="1"/>
  <c r="N561" i="26" s="1"/>
  <c r="D561" i="26"/>
  <c r="P561" i="26" s="1"/>
  <c r="V827" i="55"/>
  <c r="V561" i="26"/>
  <c r="X561" i="26"/>
  <c r="N827" i="55"/>
  <c r="X827" i="55" s="1"/>
  <c r="AP561" i="26"/>
  <c r="AS561" i="26"/>
  <c r="BJ561" i="26" s="1"/>
  <c r="AF561" i="26"/>
  <c r="AN561" i="26" s="1"/>
  <c r="G561" i="26"/>
  <c r="F561" i="26"/>
  <c r="R561" i="26" s="1"/>
  <c r="BL560" i="26"/>
  <c r="S827" i="55"/>
  <c r="A828" i="55"/>
  <c r="Q828" i="55"/>
  <c r="K828" i="55"/>
  <c r="L828" i="55" s="1"/>
  <c r="B828" i="55"/>
  <c r="P828" i="55" s="1"/>
  <c r="H828" i="55"/>
  <c r="C828" i="55"/>
  <c r="O828" i="55" s="1"/>
  <c r="AJ561" i="26" l="1"/>
  <c r="AK561" i="26" s="1"/>
  <c r="E562" i="26"/>
  <c r="O561" i="26"/>
  <c r="S561" i="26" s="1"/>
  <c r="T561" i="26" s="1"/>
  <c r="BC561" i="26" s="1"/>
  <c r="BT560" i="26"/>
  <c r="AV560" i="55"/>
  <c r="AO561" i="26"/>
  <c r="AT561" i="26" s="1"/>
  <c r="BK561" i="26"/>
  <c r="Q562" i="26"/>
  <c r="C562" i="26"/>
  <c r="V562" i="26" s="1"/>
  <c r="A562" i="26"/>
  <c r="B562" i="26"/>
  <c r="D562" i="26" s="1"/>
  <c r="L562" i="26"/>
  <c r="H562" i="26"/>
  <c r="W562" i="26"/>
  <c r="U562" i="26"/>
  <c r="U828" i="55"/>
  <c r="V828" i="55" s="1"/>
  <c r="F828" i="55"/>
  <c r="D828" i="55"/>
  <c r="M828" i="55" s="1"/>
  <c r="W828" i="55"/>
  <c r="G828" i="55"/>
  <c r="AL561" i="26" l="1"/>
  <c r="AM561" i="26" s="1"/>
  <c r="AU561" i="26" s="1"/>
  <c r="P562" i="26"/>
  <c r="O562" i="26"/>
  <c r="AO562" i="26"/>
  <c r="BL561" i="26"/>
  <c r="K562" i="26"/>
  <c r="M562" i="26" s="1"/>
  <c r="F562" i="26"/>
  <c r="R562" i="26" s="1"/>
  <c r="G562" i="26"/>
  <c r="AF562" i="26"/>
  <c r="AN562" i="26" s="1"/>
  <c r="X562" i="26"/>
  <c r="BK562" i="26" s="1"/>
  <c r="AP562" i="26"/>
  <c r="AS562" i="26"/>
  <c r="BJ562" i="26" s="1"/>
  <c r="E563" i="26"/>
  <c r="E829" i="55"/>
  <c r="K829" i="55" s="1"/>
  <c r="L829" i="55" s="1"/>
  <c r="N828" i="55"/>
  <c r="AL562" i="26" l="1"/>
  <c r="AM562" i="26" s="1"/>
  <c r="AU562" i="26" s="1"/>
  <c r="AT562" i="26"/>
  <c r="W563" i="26"/>
  <c r="C563" i="26"/>
  <c r="AS563" i="26" s="1"/>
  <c r="BJ563" i="26" s="1"/>
  <c r="B563" i="26"/>
  <c r="G563" i="26" s="1"/>
  <c r="H563" i="26"/>
  <c r="L563" i="26"/>
  <c r="A563" i="26"/>
  <c r="Q563" i="26"/>
  <c r="AJ562" i="26"/>
  <c r="AK562" i="26" s="1"/>
  <c r="N562" i="26"/>
  <c r="AV561" i="55"/>
  <c r="BT561" i="26"/>
  <c r="S562" i="26"/>
  <c r="T562" i="26" s="1"/>
  <c r="BC562" i="26" s="1"/>
  <c r="Q829" i="55"/>
  <c r="H829" i="55"/>
  <c r="A829" i="55"/>
  <c r="B829" i="55"/>
  <c r="G829" i="55" s="1"/>
  <c r="C829" i="55"/>
  <c r="O829" i="55" s="1"/>
  <c r="S828" i="55"/>
  <c r="X828" i="55"/>
  <c r="V563" i="26" l="1"/>
  <c r="U563" i="26"/>
  <c r="AF563" i="26" s="1"/>
  <c r="AN563" i="26" s="1"/>
  <c r="AO563" i="26"/>
  <c r="BL562" i="26"/>
  <c r="K563" i="26"/>
  <c r="M563" i="26" s="1"/>
  <c r="D563" i="26"/>
  <c r="E564" i="26" s="1"/>
  <c r="X563" i="26"/>
  <c r="F563" i="26"/>
  <c r="R563" i="26" s="1"/>
  <c r="AP563" i="26"/>
  <c r="U829" i="55"/>
  <c r="F829" i="55"/>
  <c r="P829" i="55"/>
  <c r="D829" i="55"/>
  <c r="M829" i="55" s="1"/>
  <c r="W829" i="55"/>
  <c r="BK563" i="26" l="1"/>
  <c r="AT563" i="26"/>
  <c r="L564" i="26"/>
  <c r="B564" i="26"/>
  <c r="D564" i="26" s="1"/>
  <c r="Q564" i="26"/>
  <c r="C564" i="26"/>
  <c r="U564" i="26" s="1"/>
  <c r="A564" i="26"/>
  <c r="H564" i="26"/>
  <c r="W564" i="26"/>
  <c r="N563" i="26"/>
  <c r="AJ563" i="26"/>
  <c r="AK563" i="26" s="1"/>
  <c r="O563" i="26"/>
  <c r="P563" i="26"/>
  <c r="AV562" i="55"/>
  <c r="BT562" i="26"/>
  <c r="V829" i="55"/>
  <c r="N829" i="55"/>
  <c r="X829" i="55" s="1"/>
  <c r="E830" i="55"/>
  <c r="Q830" i="55" s="1"/>
  <c r="AL563" i="26" l="1"/>
  <c r="AM563" i="26" s="1"/>
  <c r="AU563" i="26" s="1"/>
  <c r="X564" i="26"/>
  <c r="K564" i="26"/>
  <c r="M564" i="26" s="1"/>
  <c r="N564" i="26" s="1"/>
  <c r="V564" i="26"/>
  <c r="BK564" i="26" s="1"/>
  <c r="AP564" i="26"/>
  <c r="O564" i="26"/>
  <c r="G564" i="26"/>
  <c r="F564" i="26"/>
  <c r="R564" i="26" s="1"/>
  <c r="S563" i="26"/>
  <c r="T563" i="26" s="1"/>
  <c r="BC563" i="26" s="1"/>
  <c r="P564" i="26"/>
  <c r="AF564" i="26"/>
  <c r="AN564" i="26" s="1"/>
  <c r="AO564" i="26"/>
  <c r="AS564" i="26"/>
  <c r="BJ564" i="26" s="1"/>
  <c r="E565" i="26"/>
  <c r="S829" i="55"/>
  <c r="C830" i="55"/>
  <c r="U830" i="55" s="1"/>
  <c r="A830" i="55"/>
  <c r="H830" i="55"/>
  <c r="B830" i="55"/>
  <c r="G830" i="55" s="1"/>
  <c r="K830" i="55"/>
  <c r="L830" i="55" s="1"/>
  <c r="AT564" i="26" l="1"/>
  <c r="AL564" i="26"/>
  <c r="AM564" i="26" s="1"/>
  <c r="AU564" i="26" s="1"/>
  <c r="AJ564" i="26"/>
  <c r="AK564" i="26" s="1"/>
  <c r="F830" i="55"/>
  <c r="P830" i="55"/>
  <c r="V830" i="55" s="1"/>
  <c r="O830" i="55"/>
  <c r="S564" i="26"/>
  <c r="T564" i="26" s="1"/>
  <c r="BL564" i="26" s="1"/>
  <c r="D830" i="55"/>
  <c r="M830" i="55" s="1"/>
  <c r="N830" i="55" s="1"/>
  <c r="W565" i="26"/>
  <c r="A565" i="26"/>
  <c r="H565" i="26"/>
  <c r="Q565" i="26"/>
  <c r="C565" i="26"/>
  <c r="U565" i="26" s="1"/>
  <c r="B565" i="26"/>
  <c r="D565" i="26" s="1"/>
  <c r="L565" i="26"/>
  <c r="G565" i="26"/>
  <c r="BL563" i="26"/>
  <c r="W830" i="55"/>
  <c r="E831" i="55"/>
  <c r="B831" i="55" s="1"/>
  <c r="P831" i="55" s="1"/>
  <c r="BC564" i="26" l="1"/>
  <c r="S830" i="55"/>
  <c r="X830" i="55"/>
  <c r="AF565" i="26"/>
  <c r="AN565" i="26" s="1"/>
  <c r="V565" i="26"/>
  <c r="X565" i="26"/>
  <c r="F565" i="26"/>
  <c r="R565" i="26" s="1"/>
  <c r="E566" i="26"/>
  <c r="AV563" i="55"/>
  <c r="BT563" i="26"/>
  <c r="AS565" i="26"/>
  <c r="BJ565" i="26" s="1"/>
  <c r="AP565" i="26"/>
  <c r="K565" i="26"/>
  <c r="M565" i="26" s="1"/>
  <c r="P565" i="26"/>
  <c r="O565" i="26"/>
  <c r="AO565" i="26"/>
  <c r="A831" i="55"/>
  <c r="K831" i="55"/>
  <c r="L831" i="55" s="1"/>
  <c r="C831" i="55"/>
  <c r="U831" i="55" s="1"/>
  <c r="V831" i="55" s="1"/>
  <c r="Q831" i="55"/>
  <c r="F831" i="55"/>
  <c r="D831" i="55"/>
  <c r="M831" i="55" s="1"/>
  <c r="G831" i="55"/>
  <c r="H831" i="55"/>
  <c r="AT565" i="26" l="1"/>
  <c r="AL565" i="26"/>
  <c r="AM565" i="26" s="1"/>
  <c r="AU565" i="26" s="1"/>
  <c r="O831" i="55"/>
  <c r="L566" i="26"/>
  <c r="C566" i="26"/>
  <c r="V566" i="26" s="1"/>
  <c r="B566" i="26"/>
  <c r="G566" i="26" s="1"/>
  <c r="Q566" i="26"/>
  <c r="A566" i="26"/>
  <c r="H566" i="26"/>
  <c r="W566" i="26"/>
  <c r="BT564" i="26"/>
  <c r="AV564" i="55"/>
  <c r="S565" i="26"/>
  <c r="T565" i="26" s="1"/>
  <c r="BC565" i="26" s="1"/>
  <c r="AJ565" i="26"/>
  <c r="AK565" i="26" s="1"/>
  <c r="N565" i="26"/>
  <c r="BK565" i="26"/>
  <c r="W831" i="55"/>
  <c r="E832" i="55"/>
  <c r="Q832" i="55" s="1"/>
  <c r="N831" i="55"/>
  <c r="X831" i="55" s="1"/>
  <c r="D566" i="26" l="1"/>
  <c r="K566" i="26"/>
  <c r="M566" i="26" s="1"/>
  <c r="N566" i="26" s="1"/>
  <c r="X566" i="26"/>
  <c r="BK566" i="26" s="1"/>
  <c r="P566" i="26"/>
  <c r="E567" i="26"/>
  <c r="AP566" i="26"/>
  <c r="F566" i="26"/>
  <c r="R566" i="26" s="1"/>
  <c r="AS566" i="26"/>
  <c r="BJ566" i="26" s="1"/>
  <c r="H567" i="26"/>
  <c r="C567" i="26"/>
  <c r="B567" i="26"/>
  <c r="F567" i="26" s="1"/>
  <c r="BL565" i="26"/>
  <c r="O566" i="26"/>
  <c r="U566" i="26"/>
  <c r="AF566" i="26" s="1"/>
  <c r="AN566" i="26" s="1"/>
  <c r="A832" i="55"/>
  <c r="H832" i="55"/>
  <c r="B832" i="55"/>
  <c r="D832" i="55" s="1"/>
  <c r="M832" i="55" s="1"/>
  <c r="K832" i="55"/>
  <c r="L832" i="55" s="1"/>
  <c r="C832" i="55"/>
  <c r="S831" i="55"/>
  <c r="G832" i="55"/>
  <c r="L567" i="26" l="1"/>
  <c r="Q567" i="26"/>
  <c r="W567" i="26"/>
  <c r="V567" i="26"/>
  <c r="A567" i="26"/>
  <c r="AJ566" i="26"/>
  <c r="AK566" i="26" s="1"/>
  <c r="AL566" i="26"/>
  <c r="F832" i="55"/>
  <c r="P832" i="55"/>
  <c r="W832" i="55"/>
  <c r="O832" i="55"/>
  <c r="G567" i="26"/>
  <c r="S566" i="26"/>
  <c r="T566" i="26" s="1"/>
  <c r="BC566" i="26" s="1"/>
  <c r="U567" i="26"/>
  <c r="AF567" i="26" s="1"/>
  <c r="AN567" i="26" s="1"/>
  <c r="AS567" i="26"/>
  <c r="BJ567" i="26" s="1"/>
  <c r="AP567" i="26"/>
  <c r="X567" i="26"/>
  <c r="AO566" i="26"/>
  <c r="AT566" i="26" s="1"/>
  <c r="R567" i="26"/>
  <c r="D567" i="26"/>
  <c r="AV565" i="55"/>
  <c r="BT565" i="26"/>
  <c r="K567" i="26"/>
  <c r="M567" i="26" s="1"/>
  <c r="U832" i="55"/>
  <c r="V832" i="55" s="1"/>
  <c r="E833" i="55"/>
  <c r="N832" i="55"/>
  <c r="AM566" i="26" l="1"/>
  <c r="AU566" i="26" s="1"/>
  <c r="O567" i="26"/>
  <c r="P567" i="26"/>
  <c r="E568" i="26"/>
  <c r="AO567" i="26"/>
  <c r="AT567" i="26" s="1"/>
  <c r="BK567" i="26"/>
  <c r="N567" i="26"/>
  <c r="AJ567" i="26"/>
  <c r="AK567" i="26" s="1"/>
  <c r="BL566" i="26"/>
  <c r="S832" i="55"/>
  <c r="X832" i="55"/>
  <c r="C833" i="55"/>
  <c r="O833" i="55" s="1"/>
  <c r="Q833" i="55"/>
  <c r="K833" i="55"/>
  <c r="L833" i="55" s="1"/>
  <c r="B833" i="55"/>
  <c r="P833" i="55" s="1"/>
  <c r="A833" i="55"/>
  <c r="H833" i="55"/>
  <c r="AL567" i="26" l="1"/>
  <c r="AM567" i="26" s="1"/>
  <c r="AU567" i="26" s="1"/>
  <c r="C568" i="26"/>
  <c r="V568" i="26" s="1"/>
  <c r="L568" i="26"/>
  <c r="W568" i="26"/>
  <c r="H568" i="26"/>
  <c r="Q568" i="26"/>
  <c r="A568" i="26"/>
  <c r="B568" i="26"/>
  <c r="AV566" i="55"/>
  <c r="BT566" i="26"/>
  <c r="S567" i="26"/>
  <c r="T567" i="26" s="1"/>
  <c r="BC567" i="26" s="1"/>
  <c r="G833" i="55"/>
  <c r="D833" i="55"/>
  <c r="M833" i="55" s="1"/>
  <c r="W833" i="55"/>
  <c r="F833" i="55"/>
  <c r="F568" i="26" l="1"/>
  <c r="R568" i="26" s="1"/>
  <c r="X568" i="26"/>
  <c r="BK568" i="26" s="1"/>
  <c r="D568" i="26"/>
  <c r="U568" i="26"/>
  <c r="AF568" i="26" s="1"/>
  <c r="AN568" i="26" s="1"/>
  <c r="G568" i="26"/>
  <c r="AO568" i="26"/>
  <c r="BL567" i="26"/>
  <c r="K568" i="26"/>
  <c r="M568" i="26" s="1"/>
  <c r="AS568" i="26"/>
  <c r="BJ568" i="26" s="1"/>
  <c r="AP568" i="26"/>
  <c r="N833" i="55"/>
  <c r="X833" i="55" s="1"/>
  <c r="E834" i="55"/>
  <c r="Q834" i="55" s="1"/>
  <c r="AT568" i="26" l="1"/>
  <c r="O568" i="26"/>
  <c r="S568" i="26" s="1"/>
  <c r="T568" i="26" s="1"/>
  <c r="BC568" i="26" s="1"/>
  <c r="E569" i="26"/>
  <c r="P568" i="26"/>
  <c r="AJ568" i="26"/>
  <c r="AK568" i="26" s="1"/>
  <c r="N568" i="26"/>
  <c r="BT567" i="26"/>
  <c r="AV567" i="55"/>
  <c r="S833" i="55"/>
  <c r="A834" i="55"/>
  <c r="H834" i="55"/>
  <c r="B834" i="55"/>
  <c r="D834" i="55" s="1"/>
  <c r="K834" i="55"/>
  <c r="L834" i="55" s="1"/>
  <c r="C834" i="55"/>
  <c r="O834" i="55" s="1"/>
  <c r="AL568" i="26" l="1"/>
  <c r="AM568" i="26" s="1"/>
  <c r="AU568" i="26" s="1"/>
  <c r="L569" i="26"/>
  <c r="C569" i="26"/>
  <c r="H569" i="26"/>
  <c r="A569" i="26"/>
  <c r="W569" i="26"/>
  <c r="Q569" i="26"/>
  <c r="B569" i="26"/>
  <c r="D569" i="26" s="1"/>
  <c r="BL568" i="26"/>
  <c r="G834" i="55"/>
  <c r="E835" i="55"/>
  <c r="B835" i="55" s="1"/>
  <c r="P834" i="55"/>
  <c r="F834" i="55"/>
  <c r="W834" i="55"/>
  <c r="U834" i="55"/>
  <c r="M834" i="55"/>
  <c r="V569" i="26" l="1"/>
  <c r="U569" i="26"/>
  <c r="AF569" i="26" s="1"/>
  <c r="AN569" i="26" s="1"/>
  <c r="V834" i="55"/>
  <c r="AO569" i="26"/>
  <c r="E570" i="26"/>
  <c r="AP569" i="26"/>
  <c r="P569" i="26"/>
  <c r="F569" i="26"/>
  <c r="R569" i="26" s="1"/>
  <c r="O569" i="26"/>
  <c r="G569" i="26"/>
  <c r="K569" i="26"/>
  <c r="M569" i="26" s="1"/>
  <c r="X569" i="26"/>
  <c r="AV568" i="55"/>
  <c r="BT568" i="26"/>
  <c r="A835" i="55"/>
  <c r="K835" i="55"/>
  <c r="L835" i="55" s="1"/>
  <c r="H835" i="55"/>
  <c r="Q835" i="55"/>
  <c r="C835" i="55"/>
  <c r="O835" i="55" s="1"/>
  <c r="F835" i="55"/>
  <c r="G835" i="55"/>
  <c r="P835" i="55"/>
  <c r="D835" i="55"/>
  <c r="M835" i="55" s="1"/>
  <c r="N834" i="55"/>
  <c r="AL569" i="26" l="1"/>
  <c r="AM569" i="26" s="1"/>
  <c r="AU569" i="26" s="1"/>
  <c r="H570" i="26"/>
  <c r="W835" i="55"/>
  <c r="U835" i="55"/>
  <c r="V835" i="55" s="1"/>
  <c r="BK569" i="26"/>
  <c r="AT569" i="26"/>
  <c r="Q570" i="26"/>
  <c r="B570" i="26"/>
  <c r="AP570" i="26" s="1"/>
  <c r="W570" i="26"/>
  <c r="C570" i="26"/>
  <c r="L570" i="26"/>
  <c r="A570" i="26"/>
  <c r="N569" i="26"/>
  <c r="AJ569" i="26"/>
  <c r="AK569" i="26" s="1"/>
  <c r="U570" i="26"/>
  <c r="S569" i="26"/>
  <c r="T569" i="26" s="1"/>
  <c r="BC569" i="26" s="1"/>
  <c r="AS570" i="26"/>
  <c r="BJ570" i="26" s="1"/>
  <c r="E836" i="55"/>
  <c r="B836" i="55" s="1"/>
  <c r="P836" i="55" s="1"/>
  <c r="X834" i="55"/>
  <c r="S834" i="55"/>
  <c r="N835" i="55"/>
  <c r="AF570" i="26" l="1"/>
  <c r="AN570" i="26" s="1"/>
  <c r="X570" i="26"/>
  <c r="V570" i="26"/>
  <c r="BK570" i="26" s="1"/>
  <c r="G570" i="26"/>
  <c r="D570" i="26"/>
  <c r="F570" i="26"/>
  <c r="R570" i="26" s="1"/>
  <c r="K570" i="26"/>
  <c r="M570" i="26" s="1"/>
  <c r="BL569" i="26"/>
  <c r="C836" i="55"/>
  <c r="O836" i="55" s="1"/>
  <c r="K836" i="55"/>
  <c r="L836" i="55" s="1"/>
  <c r="A836" i="55"/>
  <c r="H836" i="55"/>
  <c r="Q836" i="55"/>
  <c r="D836" i="55"/>
  <c r="M836" i="55" s="1"/>
  <c r="G836" i="55"/>
  <c r="F836" i="55"/>
  <c r="X835" i="55"/>
  <c r="S835" i="55"/>
  <c r="AO570" i="26" l="1"/>
  <c r="AT570" i="26" s="1"/>
  <c r="P570" i="26"/>
  <c r="E571" i="26"/>
  <c r="O570" i="26"/>
  <c r="N570" i="26"/>
  <c r="AJ570" i="26"/>
  <c r="AK570" i="26" s="1"/>
  <c r="BT569" i="26"/>
  <c r="AV569" i="55"/>
  <c r="W836" i="55"/>
  <c r="U836" i="55"/>
  <c r="V836" i="55" s="1"/>
  <c r="E837" i="55"/>
  <c r="Q837" i="55" s="1"/>
  <c r="N836" i="55"/>
  <c r="AL570" i="26" l="1"/>
  <c r="AM570" i="26" s="1"/>
  <c r="AU570" i="26" s="1"/>
  <c r="A571" i="26"/>
  <c r="B571" i="26"/>
  <c r="H571" i="26"/>
  <c r="W571" i="26"/>
  <c r="C571" i="26"/>
  <c r="AS571" i="26" s="1"/>
  <c r="BJ571" i="26" s="1"/>
  <c r="L571" i="26"/>
  <c r="X571" i="26"/>
  <c r="Q571" i="26"/>
  <c r="K571" i="26"/>
  <c r="M571" i="26" s="1"/>
  <c r="N571" i="26" s="1"/>
  <c r="F571" i="26"/>
  <c r="S570" i="26"/>
  <c r="T570" i="26" s="1"/>
  <c r="BC570" i="26" s="1"/>
  <c r="C837" i="55"/>
  <c r="O837" i="55" s="1"/>
  <c r="B837" i="55"/>
  <c r="F837" i="55" s="1"/>
  <c r="H837" i="55"/>
  <c r="A837" i="55"/>
  <c r="K837" i="55"/>
  <c r="L837" i="55" s="1"/>
  <c r="S836" i="55"/>
  <c r="X836" i="55"/>
  <c r="R571" i="26" l="1"/>
  <c r="U571" i="26"/>
  <c r="AF571" i="26" s="1"/>
  <c r="AN571" i="26" s="1"/>
  <c r="V571" i="26"/>
  <c r="BK571" i="26" s="1"/>
  <c r="AJ571" i="26"/>
  <c r="AK571" i="26" s="1"/>
  <c r="BL570" i="26"/>
  <c r="AO571" i="26"/>
  <c r="G571" i="26"/>
  <c r="D571" i="26"/>
  <c r="AP571" i="26"/>
  <c r="U837" i="55"/>
  <c r="W837" i="55"/>
  <c r="D837" i="55"/>
  <c r="M837" i="55" s="1"/>
  <c r="N837" i="55" s="1"/>
  <c r="S837" i="55" s="1"/>
  <c r="P837" i="55"/>
  <c r="G837" i="55"/>
  <c r="AT571" i="26" l="1"/>
  <c r="E838" i="55"/>
  <c r="Q838" i="55" s="1"/>
  <c r="X837" i="55"/>
  <c r="V837" i="55"/>
  <c r="BT570" i="26"/>
  <c r="AV570" i="55"/>
  <c r="E572" i="26"/>
  <c r="P571" i="26"/>
  <c r="O571" i="26"/>
  <c r="H838" i="55"/>
  <c r="A838" i="55"/>
  <c r="C838" i="55"/>
  <c r="O838" i="55" s="1"/>
  <c r="K838" i="55"/>
  <c r="L838" i="55" s="1"/>
  <c r="B838" i="55"/>
  <c r="G838" i="55" s="1"/>
  <c r="U838" i="55"/>
  <c r="AL571" i="26" l="1"/>
  <c r="AM571" i="26" s="1"/>
  <c r="AU571" i="26" s="1"/>
  <c r="F838" i="55"/>
  <c r="C572" i="26"/>
  <c r="V572" i="26" s="1"/>
  <c r="B572" i="26"/>
  <c r="K572" i="26" s="1"/>
  <c r="M572" i="26" s="1"/>
  <c r="L572" i="26"/>
  <c r="H572" i="26"/>
  <c r="A572" i="26"/>
  <c r="AO572" i="26"/>
  <c r="Q572" i="26"/>
  <c r="W572" i="26"/>
  <c r="U572" i="26"/>
  <c r="AS572" i="26"/>
  <c r="BJ572" i="26" s="1"/>
  <c r="S571" i="26"/>
  <c r="T571" i="26" s="1"/>
  <c r="BC571" i="26" s="1"/>
  <c r="D838" i="55"/>
  <c r="M838" i="55" s="1"/>
  <c r="N838" i="55" s="1"/>
  <c r="X838" i="55" s="1"/>
  <c r="P838" i="55"/>
  <c r="V838" i="55" s="1"/>
  <c r="W838" i="55"/>
  <c r="S838" i="55" l="1"/>
  <c r="E839" i="55"/>
  <c r="Q839" i="55" s="1"/>
  <c r="AF572" i="26"/>
  <c r="AN572" i="26" s="1"/>
  <c r="BL571" i="26"/>
  <c r="AJ572" i="26"/>
  <c r="AK572" i="26" s="1"/>
  <c r="N572" i="26"/>
  <c r="D572" i="26"/>
  <c r="O572" i="26" s="1"/>
  <c r="F572" i="26"/>
  <c r="R572" i="26" s="1"/>
  <c r="AP572" i="26"/>
  <c r="AT572" i="26" s="1"/>
  <c r="X572" i="26"/>
  <c r="BK572" i="26" s="1"/>
  <c r="G572" i="26"/>
  <c r="P572" i="26"/>
  <c r="E573" i="26"/>
  <c r="B839" i="55"/>
  <c r="F839" i="55" s="1"/>
  <c r="H839" i="55"/>
  <c r="C839" i="55"/>
  <c r="O839" i="55" s="1"/>
  <c r="K839" i="55"/>
  <c r="L839" i="55" s="1"/>
  <c r="A839" i="55"/>
  <c r="D839" i="55" l="1"/>
  <c r="M839" i="55" s="1"/>
  <c r="S572" i="26"/>
  <c r="T572" i="26" s="1"/>
  <c r="BC572" i="26" s="1"/>
  <c r="B573" i="26"/>
  <c r="L573" i="26"/>
  <c r="H573" i="26"/>
  <c r="W573" i="26"/>
  <c r="Q573" i="26"/>
  <c r="C573" i="26"/>
  <c r="U573" i="26" s="1"/>
  <c r="A573" i="26"/>
  <c r="AV571" i="55"/>
  <c r="BT571" i="26"/>
  <c r="G839" i="55"/>
  <c r="P839" i="55"/>
  <c r="E840" i="55"/>
  <c r="W839" i="55"/>
  <c r="U839" i="55"/>
  <c r="N839" i="55"/>
  <c r="AL572" i="26" l="1"/>
  <c r="AM572" i="26" s="1"/>
  <c r="AU572" i="26" s="1"/>
  <c r="V573" i="26"/>
  <c r="V839" i="55"/>
  <c r="AF573" i="26"/>
  <c r="AN573" i="26" s="1"/>
  <c r="AS573" i="26"/>
  <c r="BJ573" i="26" s="1"/>
  <c r="F573" i="26"/>
  <c r="R573" i="26" s="1"/>
  <c r="AP573" i="26"/>
  <c r="X573" i="26"/>
  <c r="K573" i="26"/>
  <c r="M573" i="26" s="1"/>
  <c r="D573" i="26"/>
  <c r="BL572" i="26"/>
  <c r="G573" i="26"/>
  <c r="A840" i="55"/>
  <c r="B840" i="55"/>
  <c r="G840" i="55" s="1"/>
  <c r="Q840" i="55"/>
  <c r="K840" i="55"/>
  <c r="L840" i="55" s="1"/>
  <c r="C840" i="55"/>
  <c r="H840" i="55"/>
  <c r="X839" i="55"/>
  <c r="S839" i="55"/>
  <c r="O573" i="26" l="1"/>
  <c r="E574" i="26"/>
  <c r="P573" i="26"/>
  <c r="N573" i="26"/>
  <c r="AJ573" i="26"/>
  <c r="AK573" i="26" s="1"/>
  <c r="AV572" i="55"/>
  <c r="BT572" i="26"/>
  <c r="BK573" i="26"/>
  <c r="AO573" i="26"/>
  <c r="AT573" i="26" s="1"/>
  <c r="O840" i="55"/>
  <c r="U840" i="55"/>
  <c r="P840" i="55"/>
  <c r="W840" i="55"/>
  <c r="F840" i="55"/>
  <c r="D840" i="55"/>
  <c r="M840" i="55" s="1"/>
  <c r="AL573" i="26" l="1"/>
  <c r="AM573" i="26" s="1"/>
  <c r="AU573" i="26" s="1"/>
  <c r="V840" i="55"/>
  <c r="A574" i="26"/>
  <c r="B574" i="26"/>
  <c r="H574" i="26"/>
  <c r="C574" i="26"/>
  <c r="W574" i="26"/>
  <c r="L574" i="26"/>
  <c r="Q574" i="26"/>
  <c r="S573" i="26"/>
  <c r="T573" i="26" s="1"/>
  <c r="BC573" i="26" s="1"/>
  <c r="N840" i="55"/>
  <c r="E841" i="55"/>
  <c r="F574" i="26" l="1"/>
  <c r="R574" i="26" s="1"/>
  <c r="V574" i="26"/>
  <c r="AO574" i="26" s="1"/>
  <c r="U574" i="26"/>
  <c r="AF574" i="26" s="1"/>
  <c r="AN574" i="26" s="1"/>
  <c r="D574" i="26"/>
  <c r="P574" i="26" s="1"/>
  <c r="K574" i="26"/>
  <c r="M574" i="26" s="1"/>
  <c r="AP574" i="26"/>
  <c r="AS574" i="26"/>
  <c r="BJ574" i="26" s="1"/>
  <c r="X574" i="26"/>
  <c r="BL573" i="26"/>
  <c r="G574" i="26"/>
  <c r="B841" i="55"/>
  <c r="G841" i="55" s="1"/>
  <c r="C841" i="55"/>
  <c r="H841" i="55"/>
  <c r="A841" i="55"/>
  <c r="Q841" i="55"/>
  <c r="K841" i="55"/>
  <c r="L841" i="55" s="1"/>
  <c r="X840" i="55"/>
  <c r="S840" i="55"/>
  <c r="BK574" i="26" l="1"/>
  <c r="E575" i="26"/>
  <c r="O574" i="26"/>
  <c r="S574" i="26" s="1"/>
  <c r="T574" i="26" s="1"/>
  <c r="BC574" i="26" s="1"/>
  <c r="AT574" i="26"/>
  <c r="A575" i="26"/>
  <c r="W575" i="26"/>
  <c r="L575" i="26"/>
  <c r="B575" i="26"/>
  <c r="N574" i="26"/>
  <c r="AJ574" i="26"/>
  <c r="AK574" i="26" s="1"/>
  <c r="AV573" i="55"/>
  <c r="BT573" i="26"/>
  <c r="F841" i="55"/>
  <c r="D841" i="55"/>
  <c r="M841" i="55" s="1"/>
  <c r="N841" i="55" s="1"/>
  <c r="X841" i="55" s="1"/>
  <c r="P841" i="55"/>
  <c r="W841" i="55"/>
  <c r="U841" i="55"/>
  <c r="E842" i="55"/>
  <c r="O841" i="55"/>
  <c r="AL574" i="26" l="1"/>
  <c r="AM574" i="26" s="1"/>
  <c r="AU574" i="26" s="1"/>
  <c r="C575" i="26"/>
  <c r="V575" i="26" s="1"/>
  <c r="Q575" i="26"/>
  <c r="H575" i="26"/>
  <c r="V841" i="55"/>
  <c r="S841" i="55"/>
  <c r="AS575" i="26"/>
  <c r="BJ575" i="26" s="1"/>
  <c r="D575" i="26"/>
  <c r="X575" i="26"/>
  <c r="G575" i="26"/>
  <c r="F575" i="26"/>
  <c r="R575" i="26" s="1"/>
  <c r="BL574" i="26"/>
  <c r="K575" i="26"/>
  <c r="M575" i="26" s="1"/>
  <c r="AO575" i="26"/>
  <c r="B842" i="55"/>
  <c r="F842" i="55" s="1"/>
  <c r="H842" i="55"/>
  <c r="Q842" i="55"/>
  <c r="A842" i="55"/>
  <c r="C842" i="55"/>
  <c r="O842" i="55" s="1"/>
  <c r="K842" i="55"/>
  <c r="L842" i="55" s="1"/>
  <c r="U575" i="26" l="1"/>
  <c r="AF575" i="26" s="1"/>
  <c r="AN575" i="26" s="1"/>
  <c r="AP575" i="26"/>
  <c r="AT575" i="26" s="1"/>
  <c r="E576" i="26"/>
  <c r="O575" i="26"/>
  <c r="S575" i="26" s="1"/>
  <c r="T575" i="26" s="1"/>
  <c r="BC575" i="26" s="1"/>
  <c r="P575" i="26"/>
  <c r="BT574" i="26"/>
  <c r="AV574" i="55"/>
  <c r="AJ575" i="26"/>
  <c r="AK575" i="26" s="1"/>
  <c r="N575" i="26"/>
  <c r="H576" i="26"/>
  <c r="Q576" i="26"/>
  <c r="A576" i="26"/>
  <c r="BK575" i="26"/>
  <c r="U842" i="55"/>
  <c r="G842" i="55"/>
  <c r="D842" i="55"/>
  <c r="M842" i="55" s="1"/>
  <c r="E843" i="55"/>
  <c r="Q843" i="55" s="1"/>
  <c r="P842" i="55"/>
  <c r="W842" i="55"/>
  <c r="AL575" i="26" l="1"/>
  <c r="AM575" i="26" s="1"/>
  <c r="AU575" i="26" s="1"/>
  <c r="L576" i="26"/>
  <c r="W576" i="26"/>
  <c r="B576" i="26"/>
  <c r="C576" i="26"/>
  <c r="V576" i="26" s="1"/>
  <c r="V842" i="55"/>
  <c r="AP576" i="26"/>
  <c r="K843" i="55"/>
  <c r="L843" i="55" s="1"/>
  <c r="AS576" i="26"/>
  <c r="BJ576" i="26" s="1"/>
  <c r="C843" i="55"/>
  <c r="H843" i="55"/>
  <c r="AO576" i="26"/>
  <c r="BL575" i="26"/>
  <c r="G576" i="26"/>
  <c r="X576" i="26"/>
  <c r="K576" i="26"/>
  <c r="M576" i="26" s="1"/>
  <c r="F576" i="26"/>
  <c r="R576" i="26" s="1"/>
  <c r="B843" i="55"/>
  <c r="G843" i="55" s="1"/>
  <c r="A843" i="55"/>
  <c r="U576" i="26"/>
  <c r="AF576" i="26" s="1"/>
  <c r="AN576" i="26" s="1"/>
  <c r="D576" i="26"/>
  <c r="O576" i="26" s="1"/>
  <c r="P843" i="55"/>
  <c r="D843" i="55"/>
  <c r="F843" i="55"/>
  <c r="W843" i="55"/>
  <c r="N842" i="55"/>
  <c r="O843" i="55"/>
  <c r="U843" i="55"/>
  <c r="AT576" i="26" l="1"/>
  <c r="P576" i="26"/>
  <c r="BK576" i="26"/>
  <c r="S576" i="26"/>
  <c r="T576" i="26" s="1"/>
  <c r="BC576" i="26" s="1"/>
  <c r="N576" i="26"/>
  <c r="AJ576" i="26"/>
  <c r="AK576" i="26" s="1"/>
  <c r="E577" i="26"/>
  <c r="AV575" i="55"/>
  <c r="BT575" i="26"/>
  <c r="V843" i="55"/>
  <c r="X842" i="55"/>
  <c r="S842" i="55"/>
  <c r="M843" i="55"/>
  <c r="E844" i="55"/>
  <c r="AL576" i="26" l="1"/>
  <c r="AM576" i="26" s="1"/>
  <c r="AU576" i="26" s="1"/>
  <c r="H577" i="26"/>
  <c r="Q577" i="26"/>
  <c r="W577" i="26"/>
  <c r="B577" i="26"/>
  <c r="AP577" i="26" s="1"/>
  <c r="A577" i="26"/>
  <c r="C577" i="26"/>
  <c r="AS577" i="26" s="1"/>
  <c r="BJ577" i="26" s="1"/>
  <c r="L577" i="26"/>
  <c r="BL576" i="26"/>
  <c r="N843" i="55"/>
  <c r="C844" i="55"/>
  <c r="B844" i="55"/>
  <c r="Q844" i="55"/>
  <c r="A844" i="55"/>
  <c r="H844" i="55"/>
  <c r="K844" i="55"/>
  <c r="L844" i="55" s="1"/>
  <c r="V577" i="26" l="1"/>
  <c r="G577" i="26"/>
  <c r="F577" i="26"/>
  <c r="R577" i="26" s="1"/>
  <c r="D577" i="26"/>
  <c r="O577" i="26"/>
  <c r="E578" i="26"/>
  <c r="AO577" i="26"/>
  <c r="AT577" i="26" s="1"/>
  <c r="BT576" i="26"/>
  <c r="AV576" i="55"/>
  <c r="X577" i="26"/>
  <c r="P577" i="26"/>
  <c r="K577" i="26"/>
  <c r="M577" i="26" s="1"/>
  <c r="U577" i="26"/>
  <c r="AF577" i="26" s="1"/>
  <c r="AN577" i="26" s="1"/>
  <c r="U844" i="55"/>
  <c r="O844" i="55"/>
  <c r="S843" i="55"/>
  <c r="X843" i="55"/>
  <c r="P844" i="55"/>
  <c r="F844" i="55"/>
  <c r="W844" i="55"/>
  <c r="D844" i="55"/>
  <c r="G844" i="55"/>
  <c r="H578" i="26" l="1"/>
  <c r="L578" i="26"/>
  <c r="S577" i="26"/>
  <c r="T577" i="26" s="1"/>
  <c r="B578" i="26"/>
  <c r="D578" i="26" s="1"/>
  <c r="W578" i="26"/>
  <c r="A578" i="26"/>
  <c r="C578" i="26"/>
  <c r="AS578" i="26" s="1"/>
  <c r="BJ578" i="26" s="1"/>
  <c r="Q578" i="26"/>
  <c r="AL577" i="26"/>
  <c r="AJ577" i="26"/>
  <c r="AK577" i="26" s="1"/>
  <c r="N577" i="26"/>
  <c r="BK577" i="26"/>
  <c r="V844" i="55"/>
  <c r="E845" i="55"/>
  <c r="M844" i="55"/>
  <c r="BL577" i="26" l="1"/>
  <c r="BC577" i="26"/>
  <c r="BT577" i="26" s="1"/>
  <c r="AM577" i="26"/>
  <c r="AU577" i="26" s="1"/>
  <c r="O578" i="26"/>
  <c r="G578" i="26"/>
  <c r="P578" i="26"/>
  <c r="K578" i="26"/>
  <c r="M578" i="26" s="1"/>
  <c r="AJ578" i="26" s="1"/>
  <c r="AK578" i="26" s="1"/>
  <c r="X578" i="26"/>
  <c r="E579" i="26"/>
  <c r="F578" i="26"/>
  <c r="R578" i="26" s="1"/>
  <c r="U578" i="26"/>
  <c r="AF578" i="26" s="1"/>
  <c r="AN578" i="26" s="1"/>
  <c r="AP578" i="26"/>
  <c r="V578" i="26"/>
  <c r="AO578" i="26" s="1"/>
  <c r="H579" i="26"/>
  <c r="W579" i="26"/>
  <c r="C579" i="26"/>
  <c r="V579" i="26" s="1"/>
  <c r="A579" i="26"/>
  <c r="N844" i="55"/>
  <c r="Q845" i="55"/>
  <c r="A845" i="55"/>
  <c r="C845" i="55"/>
  <c r="O845" i="55" s="1"/>
  <c r="K845" i="55"/>
  <c r="L845" i="55" s="1"/>
  <c r="H845" i="55"/>
  <c r="B845" i="55"/>
  <c r="F845" i="55" s="1"/>
  <c r="N578" i="26" l="1"/>
  <c r="AV577" i="55"/>
  <c r="AL578" i="26"/>
  <c r="AM578" i="26" s="1"/>
  <c r="AU578" i="26" s="1"/>
  <c r="L579" i="26"/>
  <c r="Q579" i="26"/>
  <c r="B579" i="26"/>
  <c r="S578" i="26"/>
  <c r="T578" i="26" s="1"/>
  <c r="BC578" i="26" s="1"/>
  <c r="AT578" i="26"/>
  <c r="BK578" i="26"/>
  <c r="AS579" i="26"/>
  <c r="BJ579" i="26" s="1"/>
  <c r="U579" i="26"/>
  <c r="AO579" i="26"/>
  <c r="D579" i="26"/>
  <c r="E580" i="26" s="1"/>
  <c r="P845" i="55"/>
  <c r="D845" i="55"/>
  <c r="W845" i="55"/>
  <c r="G845" i="55"/>
  <c r="X844" i="55"/>
  <c r="S844" i="55"/>
  <c r="BL578" i="26" l="1"/>
  <c r="X579" i="26"/>
  <c r="BK579" i="26" s="1"/>
  <c r="AF579" i="26"/>
  <c r="AN579" i="26" s="1"/>
  <c r="F579" i="26"/>
  <c r="R579" i="26" s="1"/>
  <c r="G579" i="26"/>
  <c r="K579" i="26"/>
  <c r="M579" i="26" s="1"/>
  <c r="AJ579" i="26" s="1"/>
  <c r="AK579" i="26" s="1"/>
  <c r="AP579" i="26"/>
  <c r="AT579" i="26" s="1"/>
  <c r="BT578" i="26"/>
  <c r="AV578" i="55"/>
  <c r="O579" i="26"/>
  <c r="P579" i="26"/>
  <c r="W580" i="26"/>
  <c r="B580" i="26"/>
  <c r="D580" i="26" s="1"/>
  <c r="Q580" i="26"/>
  <c r="H580" i="26"/>
  <c r="A580" i="26"/>
  <c r="C580" i="26"/>
  <c r="V580" i="26" s="1"/>
  <c r="L580" i="26"/>
  <c r="E846" i="55"/>
  <c r="M845" i="55"/>
  <c r="N579" i="26" l="1"/>
  <c r="AL579" i="26"/>
  <c r="AM579" i="26" s="1"/>
  <c r="AU579" i="26" s="1"/>
  <c r="G580" i="26"/>
  <c r="X580" i="26"/>
  <c r="E581" i="26"/>
  <c r="AS580" i="26"/>
  <c r="BJ580" i="26" s="1"/>
  <c r="BK580" i="26"/>
  <c r="S579" i="26"/>
  <c r="T579" i="26" s="1"/>
  <c r="BC579" i="26" s="1"/>
  <c r="O580" i="26"/>
  <c r="AP580" i="26"/>
  <c r="U580" i="26"/>
  <c r="AF580" i="26" s="1"/>
  <c r="AN580" i="26" s="1"/>
  <c r="F580" i="26"/>
  <c r="R580" i="26" s="1"/>
  <c r="P580" i="26"/>
  <c r="K580" i="26"/>
  <c r="M580" i="26" s="1"/>
  <c r="N845" i="55"/>
  <c r="Q846" i="55"/>
  <c r="H846" i="55"/>
  <c r="K846" i="55"/>
  <c r="L846" i="55" s="1"/>
  <c r="A846" i="55"/>
  <c r="B846" i="55"/>
  <c r="F846" i="55" s="1"/>
  <c r="C846" i="55"/>
  <c r="U846" i="55" s="1"/>
  <c r="AL580" i="26" l="1"/>
  <c r="AM580" i="26" s="1"/>
  <c r="AU580" i="26" s="1"/>
  <c r="L581" i="26"/>
  <c r="H581" i="26"/>
  <c r="A581" i="26"/>
  <c r="W581" i="26"/>
  <c r="Q581" i="26"/>
  <c r="B581" i="26"/>
  <c r="D581" i="26" s="1"/>
  <c r="C581" i="26"/>
  <c r="V581" i="26" s="1"/>
  <c r="U581" i="26"/>
  <c r="AF581" i="26" s="1"/>
  <c r="AN581" i="26" s="1"/>
  <c r="N580" i="26"/>
  <c r="AJ580" i="26"/>
  <c r="AK580" i="26" s="1"/>
  <c r="S580" i="26"/>
  <c r="T580" i="26" s="1"/>
  <c r="BC580" i="26" s="1"/>
  <c r="BL579" i="26"/>
  <c r="AO580" i="26"/>
  <c r="AT580" i="26" s="1"/>
  <c r="P846" i="55"/>
  <c r="V846" i="55" s="1"/>
  <c r="G846" i="55"/>
  <c r="D846" i="55"/>
  <c r="M846" i="55" s="1"/>
  <c r="N846" i="55" s="1"/>
  <c r="X846" i="55" s="1"/>
  <c r="W846" i="55"/>
  <c r="S845" i="55"/>
  <c r="X845" i="55"/>
  <c r="O846" i="55"/>
  <c r="BL580" i="26" l="1"/>
  <c r="F581" i="26"/>
  <c r="R581" i="26" s="1"/>
  <c r="K581" i="26"/>
  <c r="M581" i="26" s="1"/>
  <c r="E847" i="55"/>
  <c r="K847" i="55" s="1"/>
  <c r="L847" i="55" s="1"/>
  <c r="AP581" i="26"/>
  <c r="X581" i="26"/>
  <c r="G581" i="26"/>
  <c r="P581" i="26"/>
  <c r="AV579" i="55"/>
  <c r="BT579" i="26"/>
  <c r="O581" i="26"/>
  <c r="AO581" i="26"/>
  <c r="E582" i="26"/>
  <c r="S846" i="55"/>
  <c r="AL581" i="26" l="1"/>
  <c r="AM581" i="26" s="1"/>
  <c r="AU581" i="26" s="1"/>
  <c r="A847" i="55"/>
  <c r="B847" i="55"/>
  <c r="P847" i="55" s="1"/>
  <c r="Q847" i="55"/>
  <c r="H847" i="55"/>
  <c r="C847" i="55"/>
  <c r="AT581" i="26"/>
  <c r="S581" i="26"/>
  <c r="T581" i="26" s="1"/>
  <c r="BC581" i="26" s="1"/>
  <c r="AJ581" i="26"/>
  <c r="AK581" i="26" s="1"/>
  <c r="N581" i="26"/>
  <c r="BT580" i="26"/>
  <c r="AV580" i="55"/>
  <c r="H582" i="26"/>
  <c r="L582" i="26"/>
  <c r="B582" i="26"/>
  <c r="G582" i="26" s="1"/>
  <c r="W582" i="26"/>
  <c r="Q582" i="26"/>
  <c r="A582" i="26"/>
  <c r="C582" i="26"/>
  <c r="K582" i="26"/>
  <c r="D582" i="26"/>
  <c r="BK581" i="26"/>
  <c r="F847" i="55"/>
  <c r="O847" i="55"/>
  <c r="U847" i="55"/>
  <c r="F582" i="26" l="1"/>
  <c r="R582" i="26" s="1"/>
  <c r="E583" i="26"/>
  <c r="V582" i="26"/>
  <c r="AO582" i="26" s="1"/>
  <c r="D847" i="55"/>
  <c r="M847" i="55" s="1"/>
  <c r="V847" i="55"/>
  <c r="W847" i="55"/>
  <c r="X582" i="26"/>
  <c r="G847" i="55"/>
  <c r="U582" i="26"/>
  <c r="AF582" i="26" s="1"/>
  <c r="AN582" i="26" s="1"/>
  <c r="C583" i="26"/>
  <c r="AS583" i="26" s="1"/>
  <c r="BJ583" i="26" s="1"/>
  <c r="B583" i="26"/>
  <c r="K583" i="26" s="1"/>
  <c r="BL581" i="26"/>
  <c r="H583" i="26"/>
  <c r="AP582" i="26"/>
  <c r="M582" i="26"/>
  <c r="O582" i="26"/>
  <c r="P582" i="26"/>
  <c r="AS582" i="26"/>
  <c r="BJ582" i="26" s="1"/>
  <c r="E848" i="55"/>
  <c r="Q848" i="55" s="1"/>
  <c r="N847" i="55"/>
  <c r="AL582" i="26" l="1"/>
  <c r="AM582" i="26" s="1"/>
  <c r="AU582" i="26" s="1"/>
  <c r="AP583" i="26"/>
  <c r="BK582" i="26"/>
  <c r="L583" i="26"/>
  <c r="M583" i="26" s="1"/>
  <c r="A583" i="26"/>
  <c r="V583" i="26"/>
  <c r="F583" i="26"/>
  <c r="U583" i="26"/>
  <c r="AF583" i="26" s="1"/>
  <c r="AN583" i="26" s="1"/>
  <c r="AT582" i="26"/>
  <c r="Q583" i="26"/>
  <c r="W583" i="26"/>
  <c r="X583" i="26"/>
  <c r="G583" i="26"/>
  <c r="D583" i="26"/>
  <c r="H848" i="55"/>
  <c r="K848" i="55"/>
  <c r="L848" i="55" s="1"/>
  <c r="A848" i="55"/>
  <c r="B848" i="55"/>
  <c r="G848" i="55" s="1"/>
  <c r="D848" i="55"/>
  <c r="M848" i="55" s="1"/>
  <c r="N848" i="55" s="1"/>
  <c r="C848" i="55"/>
  <c r="E849" i="55" s="1"/>
  <c r="H849" i="55" s="1"/>
  <c r="AJ582" i="26"/>
  <c r="AK582" i="26" s="1"/>
  <c r="N582" i="26"/>
  <c r="S582" i="26"/>
  <c r="T582" i="26" s="1"/>
  <c r="BC582" i="26" s="1"/>
  <c r="BT581" i="26"/>
  <c r="AV581" i="55"/>
  <c r="F848" i="55"/>
  <c r="P848" i="55"/>
  <c r="O583" i="26"/>
  <c r="W848" i="55"/>
  <c r="S847" i="55"/>
  <c r="X847" i="55"/>
  <c r="AO583" i="26" l="1"/>
  <c r="AT583" i="26" s="1"/>
  <c r="R583" i="26"/>
  <c r="AJ583" i="26"/>
  <c r="AK583" i="26" s="1"/>
  <c r="BK583" i="26"/>
  <c r="O848" i="55"/>
  <c r="U848" i="55"/>
  <c r="V848" i="55" s="1"/>
  <c r="N583" i="26"/>
  <c r="X848" i="55"/>
  <c r="E584" i="26"/>
  <c r="P583" i="26"/>
  <c r="BL582" i="26"/>
  <c r="K849" i="55"/>
  <c r="L849" i="55" s="1"/>
  <c r="B849" i="55"/>
  <c r="D849" i="55" s="1"/>
  <c r="M849" i="55" s="1"/>
  <c r="S583" i="26"/>
  <c r="T583" i="26" s="1"/>
  <c r="BC583" i="26" s="1"/>
  <c r="A849" i="55"/>
  <c r="C849" i="55"/>
  <c r="U849" i="55" s="1"/>
  <c r="Q849" i="55"/>
  <c r="S848" i="55"/>
  <c r="AL583" i="26" l="1"/>
  <c r="AM583" i="26" s="1"/>
  <c r="AU583" i="26" s="1"/>
  <c r="G849" i="55"/>
  <c r="P849" i="55"/>
  <c r="V849" i="55" s="1"/>
  <c r="Q584" i="26"/>
  <c r="B584" i="26"/>
  <c r="L584" i="26"/>
  <c r="A584" i="26"/>
  <c r="H584" i="26"/>
  <c r="W584" i="26"/>
  <c r="C584" i="26"/>
  <c r="V584" i="26" s="1"/>
  <c r="BT582" i="26"/>
  <c r="AV582" i="55"/>
  <c r="O849" i="55"/>
  <c r="W849" i="55"/>
  <c r="F849" i="55"/>
  <c r="BL583" i="26"/>
  <c r="N849" i="55"/>
  <c r="E850" i="55"/>
  <c r="AO584" i="26" l="1"/>
  <c r="AP584" i="26"/>
  <c r="D584" i="26"/>
  <c r="E585" i="26" s="1"/>
  <c r="G584" i="26"/>
  <c r="F584" i="26"/>
  <c r="R584" i="26" s="1"/>
  <c r="X584" i="26"/>
  <c r="BK584" i="26" s="1"/>
  <c r="K584" i="26"/>
  <c r="M584" i="26" s="1"/>
  <c r="AS584" i="26"/>
  <c r="BJ584" i="26" s="1"/>
  <c r="U584" i="26"/>
  <c r="AF584" i="26" s="1"/>
  <c r="AN584" i="26" s="1"/>
  <c r="BT583" i="26"/>
  <c r="AV583" i="55"/>
  <c r="Q850" i="55"/>
  <c r="H850" i="55"/>
  <c r="K850" i="55"/>
  <c r="L850" i="55" s="1"/>
  <c r="C850" i="55"/>
  <c r="O850" i="55" s="1"/>
  <c r="A850" i="55"/>
  <c r="B850" i="55"/>
  <c r="P850" i="55" s="1"/>
  <c r="X849" i="55"/>
  <c r="S849" i="55"/>
  <c r="AT584" i="26" l="1"/>
  <c r="D850" i="55"/>
  <c r="O584" i="26"/>
  <c r="S584" i="26" s="1"/>
  <c r="T584" i="26" s="1"/>
  <c r="BC584" i="26" s="1"/>
  <c r="P584" i="26"/>
  <c r="N584" i="26"/>
  <c r="AJ584" i="26"/>
  <c r="AK584" i="26" s="1"/>
  <c r="A585" i="26"/>
  <c r="Q585" i="26"/>
  <c r="L585" i="26"/>
  <c r="H585" i="26"/>
  <c r="W585" i="26"/>
  <c r="B585" i="26"/>
  <c r="F585" i="26" s="1"/>
  <c r="R585" i="26" s="1"/>
  <c r="C585" i="26"/>
  <c r="U585" i="26" s="1"/>
  <c r="AF585" i="26" s="1"/>
  <c r="AN585" i="26" s="1"/>
  <c r="U850" i="55"/>
  <c r="V850" i="55" s="1"/>
  <c r="E851" i="55"/>
  <c r="A851" i="55" s="1"/>
  <c r="W850" i="55"/>
  <c r="F850" i="55"/>
  <c r="G850" i="55"/>
  <c r="M850" i="55"/>
  <c r="AL584" i="26" l="1"/>
  <c r="AM584" i="26" s="1"/>
  <c r="AU584" i="26" s="1"/>
  <c r="AS585" i="26"/>
  <c r="BJ585" i="26" s="1"/>
  <c r="V585" i="26"/>
  <c r="G585" i="26"/>
  <c r="D585" i="26"/>
  <c r="X585" i="26"/>
  <c r="BL584" i="26"/>
  <c r="AP585" i="26"/>
  <c r="K585" i="26"/>
  <c r="M585" i="26" s="1"/>
  <c r="H851" i="55"/>
  <c r="C851" i="55"/>
  <c r="O851" i="55" s="1"/>
  <c r="K851" i="55"/>
  <c r="L851" i="55" s="1"/>
  <c r="B851" i="55"/>
  <c r="W851" i="55" s="1"/>
  <c r="Q851" i="55"/>
  <c r="N850" i="55"/>
  <c r="U851" i="55" l="1"/>
  <c r="V851" i="55" s="1"/>
  <c r="N585" i="26"/>
  <c r="AJ585" i="26"/>
  <c r="AK585" i="26" s="1"/>
  <c r="BK585" i="26"/>
  <c r="AO585" i="26"/>
  <c r="AT585" i="26" s="1"/>
  <c r="AV584" i="55"/>
  <c r="BT584" i="26"/>
  <c r="O585" i="26"/>
  <c r="E586" i="26"/>
  <c r="P585" i="26"/>
  <c r="G851" i="55"/>
  <c r="P851" i="55"/>
  <c r="D851" i="55"/>
  <c r="M851" i="55" s="1"/>
  <c r="F851" i="55"/>
  <c r="X850" i="55"/>
  <c r="S850" i="55"/>
  <c r="AL585" i="26" l="1"/>
  <c r="AM585" i="26" s="1"/>
  <c r="AU585" i="26" s="1"/>
  <c r="S585" i="26"/>
  <c r="T585" i="26" s="1"/>
  <c r="BC585" i="26" s="1"/>
  <c r="L586" i="26"/>
  <c r="H586" i="26"/>
  <c r="C586" i="26"/>
  <c r="V586" i="26" s="1"/>
  <c r="Q586" i="26"/>
  <c r="A586" i="26"/>
  <c r="B586" i="26"/>
  <c r="W586" i="26"/>
  <c r="N851" i="55"/>
  <c r="S851" i="55" s="1"/>
  <c r="E852" i="55"/>
  <c r="C852" i="55" s="1"/>
  <c r="O852" i="55" s="1"/>
  <c r="X851" i="55"/>
  <c r="X586" i="26" l="1"/>
  <c r="G586" i="26"/>
  <c r="AP586" i="26"/>
  <c r="F586" i="26"/>
  <c r="R586" i="26" s="1"/>
  <c r="K586" i="26"/>
  <c r="M586" i="26" s="1"/>
  <c r="D586" i="26"/>
  <c r="U586" i="26"/>
  <c r="AF586" i="26" s="1"/>
  <c r="AN586" i="26" s="1"/>
  <c r="BK586" i="26"/>
  <c r="AS586" i="26"/>
  <c r="BJ586" i="26" s="1"/>
  <c r="P586" i="26"/>
  <c r="BL585" i="26"/>
  <c r="U852" i="55"/>
  <c r="B852" i="55"/>
  <c r="W852" i="55" s="1"/>
  <c r="A852" i="55"/>
  <c r="K852" i="55"/>
  <c r="L852" i="55" s="1"/>
  <c r="H852" i="55"/>
  <c r="Q852" i="55"/>
  <c r="E587" i="26" l="1"/>
  <c r="AV585" i="55"/>
  <c r="BT585" i="26"/>
  <c r="AJ586" i="26"/>
  <c r="AK586" i="26" s="1"/>
  <c r="N586" i="26"/>
  <c r="O586" i="26"/>
  <c r="AO586" i="26"/>
  <c r="AT586" i="26" s="1"/>
  <c r="G852" i="55"/>
  <c r="F852" i="55"/>
  <c r="P852" i="55"/>
  <c r="V852" i="55" s="1"/>
  <c r="D852" i="55"/>
  <c r="AL586" i="26" l="1"/>
  <c r="AM586" i="26" s="1"/>
  <c r="AU586" i="26" s="1"/>
  <c r="S586" i="26"/>
  <c r="T586" i="26" s="1"/>
  <c r="BC586" i="26" s="1"/>
  <c r="C587" i="26"/>
  <c r="V587" i="26" s="1"/>
  <c r="B587" i="26"/>
  <c r="D587" i="26" s="1"/>
  <c r="A587" i="26"/>
  <c r="H587" i="26"/>
  <c r="W587" i="26"/>
  <c r="L587" i="26"/>
  <c r="Q587" i="26"/>
  <c r="M852" i="55"/>
  <c r="E853" i="55"/>
  <c r="E588" i="26" l="1"/>
  <c r="U587" i="26"/>
  <c r="AF587" i="26" s="1"/>
  <c r="AN587" i="26" s="1"/>
  <c r="AS587" i="26"/>
  <c r="BJ587" i="26" s="1"/>
  <c r="F587" i="26"/>
  <c r="R587" i="26" s="1"/>
  <c r="AP587" i="26"/>
  <c r="X587" i="26"/>
  <c r="K587" i="26"/>
  <c r="M587" i="26" s="1"/>
  <c r="G587" i="26"/>
  <c r="O587" i="26"/>
  <c r="P587" i="26"/>
  <c r="AO587" i="26"/>
  <c r="BL586" i="26"/>
  <c r="N852" i="55"/>
  <c r="B853" i="55"/>
  <c r="D853" i="55" s="1"/>
  <c r="A853" i="55"/>
  <c r="H853" i="55"/>
  <c r="C853" i="55"/>
  <c r="U853" i="55" s="1"/>
  <c r="Q853" i="55"/>
  <c r="K853" i="55"/>
  <c r="L853" i="55" s="1"/>
  <c r="P853" i="55"/>
  <c r="G853" i="55"/>
  <c r="F853" i="55"/>
  <c r="AL587" i="26" l="1"/>
  <c r="AM587" i="26" s="1"/>
  <c r="AU587" i="26" s="1"/>
  <c r="O853" i="55"/>
  <c r="S587" i="26"/>
  <c r="T587" i="26" s="1"/>
  <c r="BC587" i="26" s="1"/>
  <c r="BK587" i="26"/>
  <c r="H588" i="26"/>
  <c r="B588" i="26"/>
  <c r="D588" i="26" s="1"/>
  <c r="Q588" i="26"/>
  <c r="A588" i="26"/>
  <c r="W588" i="26"/>
  <c r="C588" i="26"/>
  <c r="V588" i="26" s="1"/>
  <c r="L588" i="26"/>
  <c r="X588" i="26"/>
  <c r="U588" i="26"/>
  <c r="AF588" i="26" s="1"/>
  <c r="AN588" i="26" s="1"/>
  <c r="K588" i="26"/>
  <c r="G588" i="26"/>
  <c r="O588" i="26"/>
  <c r="AS588" i="26"/>
  <c r="BJ588" i="26" s="1"/>
  <c r="P588" i="26"/>
  <c r="F588" i="26"/>
  <c r="AJ587" i="26"/>
  <c r="AK587" i="26" s="1"/>
  <c r="N587" i="26"/>
  <c r="AV586" i="55"/>
  <c r="BT586" i="26"/>
  <c r="AT587" i="26"/>
  <c r="M853" i="55"/>
  <c r="V853" i="55"/>
  <c r="W853" i="55"/>
  <c r="E854" i="55"/>
  <c r="S852" i="55"/>
  <c r="X852" i="55"/>
  <c r="M588" i="26" l="1"/>
  <c r="AJ588" i="26" s="1"/>
  <c r="AK588" i="26" s="1"/>
  <c r="R588" i="26"/>
  <c r="AO588" i="26"/>
  <c r="BK588" i="26"/>
  <c r="AP588" i="26"/>
  <c r="E589" i="26"/>
  <c r="BL587" i="26"/>
  <c r="S588" i="26"/>
  <c r="T588" i="26" s="1"/>
  <c r="BC588" i="26" s="1"/>
  <c r="N853" i="55"/>
  <c r="H854" i="55"/>
  <c r="A854" i="55"/>
  <c r="C854" i="55"/>
  <c r="U854" i="55" s="1"/>
  <c r="B854" i="55"/>
  <c r="D854" i="55" s="1"/>
  <c r="M854" i="55" s="1"/>
  <c r="N854" i="55" s="1"/>
  <c r="Q854" i="55"/>
  <c r="K854" i="55"/>
  <c r="L854" i="55" s="1"/>
  <c r="AL588" i="26" l="1"/>
  <c r="AM588" i="26" s="1"/>
  <c r="AU588" i="26" s="1"/>
  <c r="N588" i="26"/>
  <c r="F854" i="55"/>
  <c r="G854" i="55"/>
  <c r="X854" i="55"/>
  <c r="BL588" i="26"/>
  <c r="H589" i="26"/>
  <c r="W589" i="26"/>
  <c r="Q589" i="26"/>
  <c r="L589" i="26"/>
  <c r="A589" i="26"/>
  <c r="C589" i="26"/>
  <c r="AS589" i="26" s="1"/>
  <c r="BJ589" i="26" s="1"/>
  <c r="B589" i="26"/>
  <c r="G589" i="26" s="1"/>
  <c r="BT587" i="26"/>
  <c r="AV587" i="55"/>
  <c r="AT588" i="26"/>
  <c r="P854" i="55"/>
  <c r="V854" i="55" s="1"/>
  <c r="S853" i="55"/>
  <c r="X853" i="55"/>
  <c r="W854" i="55"/>
  <c r="O854" i="55"/>
  <c r="E855" i="55"/>
  <c r="AP589" i="26" l="1"/>
  <c r="V589" i="26"/>
  <c r="K589" i="26"/>
  <c r="M589" i="26" s="1"/>
  <c r="AO589" i="26"/>
  <c r="X589" i="26"/>
  <c r="BK589" i="26" s="1"/>
  <c r="S854" i="55"/>
  <c r="F589" i="26"/>
  <c r="R589" i="26" s="1"/>
  <c r="D589" i="26"/>
  <c r="P589" i="26" s="1"/>
  <c r="U589" i="26"/>
  <c r="AF589" i="26" s="1"/>
  <c r="AN589" i="26" s="1"/>
  <c r="AV588" i="55"/>
  <c r="BT588" i="26"/>
  <c r="B855" i="55"/>
  <c r="F855" i="55" s="1"/>
  <c r="H855" i="55"/>
  <c r="C855" i="55"/>
  <c r="O855" i="55" s="1"/>
  <c r="A855" i="55"/>
  <c r="Q855" i="55"/>
  <c r="K855" i="55"/>
  <c r="L855" i="55" s="1"/>
  <c r="AT589" i="26" l="1"/>
  <c r="O589" i="26"/>
  <c r="S589" i="26" s="1"/>
  <c r="T589" i="26" s="1"/>
  <c r="BC589" i="26" s="1"/>
  <c r="E590" i="26"/>
  <c r="AJ589" i="26"/>
  <c r="AK589" i="26" s="1"/>
  <c r="N589" i="26"/>
  <c r="U855" i="55"/>
  <c r="D855" i="55"/>
  <c r="M855" i="55" s="1"/>
  <c r="G855" i="55"/>
  <c r="W855" i="55"/>
  <c r="P855" i="55"/>
  <c r="AL589" i="26" l="1"/>
  <c r="AM589" i="26" s="1"/>
  <c r="AU589" i="26" s="1"/>
  <c r="V855" i="55"/>
  <c r="BL589" i="26"/>
  <c r="Q590" i="26"/>
  <c r="C590" i="26"/>
  <c r="V590" i="26" s="1"/>
  <c r="H590" i="26"/>
  <c r="L590" i="26"/>
  <c r="A590" i="26"/>
  <c r="B590" i="26"/>
  <c r="D590" i="26" s="1"/>
  <c r="O590" i="26" s="1"/>
  <c r="W590" i="26"/>
  <c r="AS590" i="26"/>
  <c r="BJ590" i="26" s="1"/>
  <c r="U590" i="26"/>
  <c r="E856" i="55"/>
  <c r="A856" i="55" s="1"/>
  <c r="N855" i="55"/>
  <c r="H856" i="55"/>
  <c r="P590" i="26" l="1"/>
  <c r="K590" i="26"/>
  <c r="M590" i="26" s="1"/>
  <c r="N590" i="26" s="1"/>
  <c r="AF590" i="26"/>
  <c r="AN590" i="26" s="1"/>
  <c r="C856" i="55"/>
  <c r="K856" i="55"/>
  <c r="L856" i="55" s="1"/>
  <c r="AP590" i="26"/>
  <c r="Q856" i="55"/>
  <c r="G590" i="26"/>
  <c r="B856" i="55"/>
  <c r="F856" i="55" s="1"/>
  <c r="F590" i="26"/>
  <c r="R590" i="26" s="1"/>
  <c r="X590" i="26"/>
  <c r="E591" i="26"/>
  <c r="AV589" i="55"/>
  <c r="BT589" i="26"/>
  <c r="U856" i="55"/>
  <c r="X855" i="55"/>
  <c r="S855" i="55"/>
  <c r="AJ590" i="26" l="1"/>
  <c r="AK590" i="26" s="1"/>
  <c r="P856" i="55"/>
  <c r="BK590" i="26"/>
  <c r="G856" i="55"/>
  <c r="O856" i="55"/>
  <c r="W856" i="55"/>
  <c r="D856" i="55"/>
  <c r="M856" i="55" s="1"/>
  <c r="C591" i="26"/>
  <c r="V591" i="26" s="1"/>
  <c r="W591" i="26"/>
  <c r="H591" i="26"/>
  <c r="Q591" i="26"/>
  <c r="L591" i="26"/>
  <c r="A591" i="26"/>
  <c r="B591" i="26"/>
  <c r="F591" i="26" s="1"/>
  <c r="D591" i="26"/>
  <c r="P591" i="26" s="1"/>
  <c r="K591" i="26"/>
  <c r="AL590" i="26"/>
  <c r="S590" i="26"/>
  <c r="T590" i="26" s="1"/>
  <c r="BC590" i="26" s="1"/>
  <c r="AO590" i="26"/>
  <c r="AT590" i="26" s="1"/>
  <c r="V856" i="55"/>
  <c r="M591" i="26" l="1"/>
  <c r="AJ591" i="26" s="1"/>
  <c r="AK591" i="26" s="1"/>
  <c r="AM590" i="26"/>
  <c r="AU590" i="26" s="1"/>
  <c r="X591" i="26"/>
  <c r="AS591" i="26"/>
  <c r="BJ591" i="26" s="1"/>
  <c r="AP591" i="26"/>
  <c r="BL590" i="26"/>
  <c r="R591" i="26"/>
  <c r="AO591" i="26"/>
  <c r="E592" i="26"/>
  <c r="N856" i="55"/>
  <c r="E857" i="55"/>
  <c r="K857" i="55" s="1"/>
  <c r="L857" i="55" s="1"/>
  <c r="O591" i="26"/>
  <c r="G591" i="26"/>
  <c r="U591" i="26"/>
  <c r="AF591" i="26" s="1"/>
  <c r="AN591" i="26" s="1"/>
  <c r="AL591" i="26" l="1"/>
  <c r="AM591" i="26" s="1"/>
  <c r="AU591" i="26" s="1"/>
  <c r="N591" i="26"/>
  <c r="AT591" i="26"/>
  <c r="BK591" i="26"/>
  <c r="X856" i="55"/>
  <c r="S856" i="55"/>
  <c r="B857" i="55"/>
  <c r="H857" i="55"/>
  <c r="C857" i="55"/>
  <c r="O857" i="55" s="1"/>
  <c r="Q857" i="55"/>
  <c r="A592" i="26"/>
  <c r="W592" i="26"/>
  <c r="H592" i="26"/>
  <c r="B592" i="26"/>
  <c r="L592" i="26"/>
  <c r="C592" i="26"/>
  <c r="V592" i="26" s="1"/>
  <c r="Q592" i="26"/>
  <c r="BT590" i="26"/>
  <c r="AV590" i="55"/>
  <c r="S591" i="26"/>
  <c r="T591" i="26" s="1"/>
  <c r="BC591" i="26" s="1"/>
  <c r="A857" i="55"/>
  <c r="U592" i="26" l="1"/>
  <c r="AF592" i="26" s="1"/>
  <c r="AN592" i="26" s="1"/>
  <c r="X592" i="26"/>
  <c r="BK592" i="26"/>
  <c r="F592" i="26"/>
  <c r="R592" i="26" s="1"/>
  <c r="K592" i="26"/>
  <c r="M592" i="26" s="1"/>
  <c r="N592" i="26" s="1"/>
  <c r="W857" i="55"/>
  <c r="D592" i="26"/>
  <c r="G592" i="26"/>
  <c r="AS592" i="26"/>
  <c r="BJ592" i="26" s="1"/>
  <c r="AO592" i="26"/>
  <c r="F857" i="55"/>
  <c r="D857" i="55"/>
  <c r="G857" i="55"/>
  <c r="P857" i="55"/>
  <c r="BL591" i="26"/>
  <c r="AP592" i="26"/>
  <c r="P592" i="26" l="1"/>
  <c r="AJ592" i="26"/>
  <c r="AK592" i="26" s="1"/>
  <c r="E593" i="26"/>
  <c r="O592" i="26"/>
  <c r="S592" i="26" s="1"/>
  <c r="T592" i="26" s="1"/>
  <c r="AT592" i="26"/>
  <c r="BT591" i="26"/>
  <c r="AV591" i="55"/>
  <c r="M857" i="55"/>
  <c r="E858" i="55"/>
  <c r="AL592" i="26" l="1"/>
  <c r="AM592" i="26" s="1"/>
  <c r="AU592" i="26" s="1"/>
  <c r="BL592" i="26"/>
  <c r="BC592" i="26"/>
  <c r="AV592" i="55" s="1"/>
  <c r="W593" i="26"/>
  <c r="A593" i="26"/>
  <c r="H593" i="26"/>
  <c r="B593" i="26"/>
  <c r="C593" i="26"/>
  <c r="U593" i="26" s="1"/>
  <c r="AF593" i="26" s="1"/>
  <c r="AN593" i="26" s="1"/>
  <c r="L593" i="26"/>
  <c r="Q593" i="26"/>
  <c r="D593" i="26"/>
  <c r="K593" i="26"/>
  <c r="M593" i="26" s="1"/>
  <c r="N593" i="26" s="1"/>
  <c r="N857" i="55"/>
  <c r="B858" i="55"/>
  <c r="F858" i="55" s="1"/>
  <c r="A858" i="55"/>
  <c r="D858" i="55"/>
  <c r="H858" i="55"/>
  <c r="C858" i="55"/>
  <c r="K858" i="55"/>
  <c r="L858" i="55" s="1"/>
  <c r="P858" i="55"/>
  <c r="Q858" i="55"/>
  <c r="O858" i="55"/>
  <c r="G858" i="55"/>
  <c r="BT592" i="26" l="1"/>
  <c r="AJ593" i="26"/>
  <c r="AK593" i="26" s="1"/>
  <c r="AP593" i="26"/>
  <c r="O593" i="26"/>
  <c r="F593" i="26"/>
  <c r="P593" i="26"/>
  <c r="X593" i="26"/>
  <c r="G593" i="26"/>
  <c r="R593" i="26"/>
  <c r="E594" i="26"/>
  <c r="V593" i="26"/>
  <c r="BK593" i="26" s="1"/>
  <c r="S857" i="55"/>
  <c r="X857" i="55"/>
  <c r="U858" i="55"/>
  <c r="V858" i="55" s="1"/>
  <c r="E859" i="55"/>
  <c r="W858" i="55"/>
  <c r="M858" i="55"/>
  <c r="AL593" i="26" l="1"/>
  <c r="AM593" i="26" s="1"/>
  <c r="AU593" i="26" s="1"/>
  <c r="S593" i="26"/>
  <c r="T593" i="26" s="1"/>
  <c r="BC593" i="26" s="1"/>
  <c r="L594" i="26"/>
  <c r="C594" i="26"/>
  <c r="U594" i="26" s="1"/>
  <c r="Q594" i="26"/>
  <c r="W594" i="26"/>
  <c r="A594" i="26"/>
  <c r="AS594" i="26"/>
  <c r="BJ594" i="26" s="1"/>
  <c r="B594" i="26"/>
  <c r="D594" i="26" s="1"/>
  <c r="H594" i="26"/>
  <c r="AO593" i="26"/>
  <c r="AT593" i="26" s="1"/>
  <c r="A859" i="55"/>
  <c r="C859" i="55"/>
  <c r="U859" i="55" s="1"/>
  <c r="K859" i="55"/>
  <c r="L859" i="55" s="1"/>
  <c r="Q859" i="55"/>
  <c r="B859" i="55"/>
  <c r="P859" i="55" s="1"/>
  <c r="H859" i="55"/>
  <c r="O859" i="55"/>
  <c r="N858" i="55"/>
  <c r="F594" i="26" l="1"/>
  <c r="R594" i="26" s="1"/>
  <c r="AF594" i="26"/>
  <c r="AN594" i="26" s="1"/>
  <c r="O594" i="26"/>
  <c r="S594" i="26" s="1"/>
  <c r="T594" i="26" s="1"/>
  <c r="BC594" i="26" s="1"/>
  <c r="P594" i="26"/>
  <c r="E595" i="26"/>
  <c r="V594" i="26"/>
  <c r="AO594" i="26" s="1"/>
  <c r="K594" i="26"/>
  <c r="M594" i="26" s="1"/>
  <c r="G594" i="26"/>
  <c r="AP594" i="26"/>
  <c r="BL593" i="26"/>
  <c r="X594" i="26"/>
  <c r="BK594" i="26" s="1"/>
  <c r="X858" i="55"/>
  <c r="S858" i="55"/>
  <c r="D859" i="55"/>
  <c r="M859" i="55" s="1"/>
  <c r="G859" i="55"/>
  <c r="F859" i="55"/>
  <c r="W859" i="55"/>
  <c r="V859" i="55"/>
  <c r="H595" i="26"/>
  <c r="C595" i="26"/>
  <c r="W595" i="26"/>
  <c r="L595" i="26"/>
  <c r="B595" i="26"/>
  <c r="F595" i="26" s="1"/>
  <c r="A595" i="26"/>
  <c r="Q595" i="26"/>
  <c r="AS595" i="26"/>
  <c r="BJ595" i="26" s="1"/>
  <c r="AT594" i="26" l="1"/>
  <c r="AL594" i="26"/>
  <c r="AM594" i="26" s="1"/>
  <c r="AU594" i="26" s="1"/>
  <c r="X595" i="26"/>
  <c r="R595" i="26"/>
  <c r="G595" i="26"/>
  <c r="AV593" i="55"/>
  <c r="BT593" i="26"/>
  <c r="AJ594" i="26"/>
  <c r="AK594" i="26" s="1"/>
  <c r="N594" i="26"/>
  <c r="V595" i="26"/>
  <c r="AO595" i="26" s="1"/>
  <c r="N859" i="55"/>
  <c r="K595" i="26"/>
  <c r="M595" i="26" s="1"/>
  <c r="BK595" i="26"/>
  <c r="D595" i="26"/>
  <c r="E596" i="26" s="1"/>
  <c r="E860" i="55"/>
  <c r="BL594" i="26"/>
  <c r="P595" i="26"/>
  <c r="U595" i="26"/>
  <c r="AF595" i="26" s="1"/>
  <c r="AN595" i="26" s="1"/>
  <c r="AP595" i="26"/>
  <c r="O595" i="26" l="1"/>
  <c r="S595" i="26" s="1"/>
  <c r="T595" i="26" s="1"/>
  <c r="BC595" i="26" s="1"/>
  <c r="AT595" i="26"/>
  <c r="B860" i="55"/>
  <c r="Q860" i="55"/>
  <c r="H860" i="55"/>
  <c r="A860" i="55"/>
  <c r="C860" i="55"/>
  <c r="K860" i="55"/>
  <c r="L860" i="55" s="1"/>
  <c r="P860" i="55"/>
  <c r="F860" i="55"/>
  <c r="AJ595" i="26"/>
  <c r="AK595" i="26" s="1"/>
  <c r="N595" i="26"/>
  <c r="Q596" i="26"/>
  <c r="H596" i="26"/>
  <c r="C596" i="26"/>
  <c r="V596" i="26" s="1"/>
  <c r="L596" i="26"/>
  <c r="A596" i="26"/>
  <c r="B596" i="26"/>
  <c r="W596" i="26"/>
  <c r="AP596" i="26"/>
  <c r="X596" i="26"/>
  <c r="BT594" i="26"/>
  <c r="AV594" i="55"/>
  <c r="S859" i="55"/>
  <c r="X859" i="55"/>
  <c r="AL595" i="26" l="1"/>
  <c r="AM595" i="26" s="1"/>
  <c r="AU595" i="26" s="1"/>
  <c r="K596" i="26"/>
  <c r="M596" i="26" s="1"/>
  <c r="N596" i="26" s="1"/>
  <c r="U596" i="26"/>
  <c r="AF596" i="26" s="1"/>
  <c r="AN596" i="26" s="1"/>
  <c r="G596" i="26"/>
  <c r="AS596" i="26"/>
  <c r="BJ596" i="26" s="1"/>
  <c r="D596" i="26"/>
  <c r="O596" i="26" s="1"/>
  <c r="D860" i="55"/>
  <c r="M860" i="55" s="1"/>
  <c r="F596" i="26"/>
  <c r="R596" i="26" s="1"/>
  <c r="BL595" i="26"/>
  <c r="E597" i="26"/>
  <c r="O860" i="55"/>
  <c r="U860" i="55"/>
  <c r="V860" i="55" s="1"/>
  <c r="P596" i="26"/>
  <c r="G860" i="55"/>
  <c r="W860" i="55"/>
  <c r="AJ596" i="26" l="1"/>
  <c r="AK596" i="26" s="1"/>
  <c r="AL596" i="26"/>
  <c r="N860" i="55"/>
  <c r="E861" i="55"/>
  <c r="C861" i="55" s="1"/>
  <c r="S596" i="26"/>
  <c r="T596" i="26" s="1"/>
  <c r="BK596" i="26"/>
  <c r="AO596" i="26"/>
  <c r="AT596" i="26" s="1"/>
  <c r="X860" i="55"/>
  <c r="S860" i="55"/>
  <c r="K861" i="55"/>
  <c r="L861" i="55" s="1"/>
  <c r="H861" i="55"/>
  <c r="Q861" i="55"/>
  <c r="AV595" i="55"/>
  <c r="BT595" i="26"/>
  <c r="W597" i="26"/>
  <c r="L597" i="26"/>
  <c r="B597" i="26"/>
  <c r="G597" i="26" s="1"/>
  <c r="C597" i="26"/>
  <c r="A597" i="26"/>
  <c r="Q597" i="26"/>
  <c r="H597" i="26"/>
  <c r="AM596" i="26" l="1"/>
  <c r="AU596" i="26" s="1"/>
  <c r="BL596" i="26"/>
  <c r="BC596" i="26"/>
  <c r="AV596" i="55" s="1"/>
  <c r="K597" i="26"/>
  <c r="M597" i="26" s="1"/>
  <c r="N597" i="26" s="1"/>
  <c r="B861" i="55"/>
  <c r="A861" i="55"/>
  <c r="F597" i="26"/>
  <c r="R597" i="26" s="1"/>
  <c r="F861" i="55"/>
  <c r="V597" i="26"/>
  <c r="AO597" i="26" s="1"/>
  <c r="D597" i="26"/>
  <c r="E598" i="26" s="1"/>
  <c r="AP597" i="26"/>
  <c r="O861" i="55"/>
  <c r="U861" i="55"/>
  <c r="AS597" i="26"/>
  <c r="BJ597" i="26" s="1"/>
  <c r="U597" i="26"/>
  <c r="AF597" i="26" s="1"/>
  <c r="AN597" i="26" s="1"/>
  <c r="X597" i="26"/>
  <c r="G861" i="55"/>
  <c r="W861" i="55"/>
  <c r="AJ597" i="26" l="1"/>
  <c r="AK597" i="26" s="1"/>
  <c r="BT596" i="26"/>
  <c r="P861" i="55"/>
  <c r="D861" i="55"/>
  <c r="V861" i="55"/>
  <c r="BK597" i="26"/>
  <c r="AT597" i="26"/>
  <c r="O597" i="26"/>
  <c r="S597" i="26" s="1"/>
  <c r="T597" i="26" s="1"/>
  <c r="BL597" i="26" s="1"/>
  <c r="P597" i="26"/>
  <c r="Q598" i="26"/>
  <c r="W598" i="26"/>
  <c r="B598" i="26"/>
  <c r="G598" i="26" s="1"/>
  <c r="L598" i="26"/>
  <c r="H598" i="26"/>
  <c r="C598" i="26"/>
  <c r="U598" i="26" s="1"/>
  <c r="A598" i="26"/>
  <c r="AS598" i="26"/>
  <c r="BJ598" i="26" s="1"/>
  <c r="F598" i="26"/>
  <c r="R598" i="26" s="1"/>
  <c r="AL597" i="26" l="1"/>
  <c r="AM597" i="26" s="1"/>
  <c r="AU597" i="26" s="1"/>
  <c r="X598" i="26"/>
  <c r="K598" i="26"/>
  <c r="M598" i="26" s="1"/>
  <c r="BC597" i="26"/>
  <c r="M861" i="55"/>
  <c r="E862" i="55"/>
  <c r="D598" i="26"/>
  <c r="O598" i="26" s="1"/>
  <c r="S598" i="26" s="1"/>
  <c r="T598" i="26" s="1"/>
  <c r="AF598" i="26"/>
  <c r="AN598" i="26" s="1"/>
  <c r="V598" i="26"/>
  <c r="AP598" i="26"/>
  <c r="BC598" i="26" l="1"/>
  <c r="AV598" i="55" s="1"/>
  <c r="B862" i="55"/>
  <c r="C862" i="55"/>
  <c r="Q862" i="55"/>
  <c r="K862" i="55"/>
  <c r="L862" i="55" s="1"/>
  <c r="A862" i="55"/>
  <c r="H862" i="55"/>
  <c r="N861" i="55"/>
  <c r="BT597" i="26"/>
  <c r="AV597" i="55"/>
  <c r="BL598" i="26"/>
  <c r="E599" i="26"/>
  <c r="P598" i="26"/>
  <c r="AO598" i="26"/>
  <c r="AT598" i="26" s="1"/>
  <c r="BK598" i="26"/>
  <c r="N598" i="26"/>
  <c r="AJ598" i="26"/>
  <c r="AK598" i="26" s="1"/>
  <c r="BT598" i="26" l="1"/>
  <c r="AL598" i="26"/>
  <c r="AM598" i="26" s="1"/>
  <c r="AU598" i="26" s="1"/>
  <c r="X861" i="55"/>
  <c r="S861" i="55"/>
  <c r="U862" i="55"/>
  <c r="V862" i="55" s="1"/>
  <c r="O862" i="55"/>
  <c r="G862" i="55"/>
  <c r="P862" i="55"/>
  <c r="W862" i="55"/>
  <c r="F862" i="55"/>
  <c r="D862" i="55"/>
  <c r="C599" i="26"/>
  <c r="V599" i="26" s="1"/>
  <c r="B599" i="26"/>
  <c r="L599" i="26"/>
  <c r="H599" i="26"/>
  <c r="AS599" i="26"/>
  <c r="BJ599" i="26" s="1"/>
  <c r="A599" i="26"/>
  <c r="W599" i="26"/>
  <c r="Q599" i="26"/>
  <c r="U599" i="26"/>
  <c r="AF599" i="26" l="1"/>
  <c r="AN599" i="26" s="1"/>
  <c r="AO599" i="26"/>
  <c r="G599" i="26"/>
  <c r="E863" i="55"/>
  <c r="M862" i="55"/>
  <c r="AP599" i="26"/>
  <c r="E600" i="26"/>
  <c r="X599" i="26"/>
  <c r="BK599" i="26" s="1"/>
  <c r="D599" i="26"/>
  <c r="P599" i="26" s="1"/>
  <c r="K599" i="26"/>
  <c r="M599" i="26" s="1"/>
  <c r="F599" i="26"/>
  <c r="R599" i="26" s="1"/>
  <c r="AT599" i="26" l="1"/>
  <c r="C863" i="55"/>
  <c r="Q863" i="55"/>
  <c r="A863" i="55"/>
  <c r="B863" i="55"/>
  <c r="W863" i="55" s="1"/>
  <c r="K863" i="55"/>
  <c r="L863" i="55" s="1"/>
  <c r="H863" i="55"/>
  <c r="O863" i="55"/>
  <c r="N862" i="55"/>
  <c r="L600" i="26"/>
  <c r="Q600" i="26"/>
  <c r="A600" i="26"/>
  <c r="W600" i="26"/>
  <c r="B600" i="26"/>
  <c r="H600" i="26"/>
  <c r="C600" i="26"/>
  <c r="U600" i="26" s="1"/>
  <c r="AF600" i="26" s="1"/>
  <c r="AN600" i="26" s="1"/>
  <c r="N599" i="26"/>
  <c r="AJ599" i="26"/>
  <c r="AK599" i="26" s="1"/>
  <c r="O599" i="26"/>
  <c r="AL599" i="26" l="1"/>
  <c r="AM599" i="26" s="1"/>
  <c r="AU599" i="26" s="1"/>
  <c r="D863" i="55"/>
  <c r="M863" i="55" s="1"/>
  <c r="F863" i="55"/>
  <c r="G863" i="55"/>
  <c r="X862" i="55"/>
  <c r="S862" i="55"/>
  <c r="P863" i="55"/>
  <c r="U863" i="55"/>
  <c r="E864" i="55"/>
  <c r="F600" i="26"/>
  <c r="R600" i="26" s="1"/>
  <c r="D600" i="26"/>
  <c r="P600" i="26" s="1"/>
  <c r="AP600" i="26"/>
  <c r="X600" i="26"/>
  <c r="G600" i="26"/>
  <c r="S599" i="26"/>
  <c r="T599" i="26" s="1"/>
  <c r="BC599" i="26" s="1"/>
  <c r="AS600" i="26"/>
  <c r="BJ600" i="26" s="1"/>
  <c r="K600" i="26"/>
  <c r="M600" i="26" s="1"/>
  <c r="V600" i="26"/>
  <c r="BK600" i="26" s="1"/>
  <c r="E601" i="26" l="1"/>
  <c r="A601" i="26" s="1"/>
  <c r="V863" i="55"/>
  <c r="H864" i="55"/>
  <c r="Q864" i="55"/>
  <c r="O864" i="55"/>
  <c r="U864" i="55"/>
  <c r="V864" i="55" s="1"/>
  <c r="B864" i="55"/>
  <c r="P864" i="55" s="1"/>
  <c r="K864" i="55"/>
  <c r="L864" i="55" s="1"/>
  <c r="A864" i="55"/>
  <c r="C864" i="55"/>
  <c r="F864" i="55"/>
  <c r="D864" i="55"/>
  <c r="M864" i="55" s="1"/>
  <c r="W864" i="55"/>
  <c r="O600" i="26"/>
  <c r="S600" i="26" s="1"/>
  <c r="T600" i="26" s="1"/>
  <c r="BC600" i="26" s="1"/>
  <c r="N863" i="55"/>
  <c r="C601" i="26"/>
  <c r="AS601" i="26" s="1"/>
  <c r="BJ601" i="26" s="1"/>
  <c r="AJ600" i="26"/>
  <c r="AK600" i="26" s="1"/>
  <c r="N600" i="26"/>
  <c r="BL599" i="26"/>
  <c r="AO600" i="26"/>
  <c r="AT600" i="26" s="1"/>
  <c r="AL600" i="26" l="1"/>
  <c r="AM600" i="26" s="1"/>
  <c r="AU600" i="26" s="1"/>
  <c r="Q601" i="26"/>
  <c r="L601" i="26"/>
  <c r="U601" i="26"/>
  <c r="W601" i="26"/>
  <c r="H601" i="26"/>
  <c r="G864" i="55"/>
  <c r="N864" i="55"/>
  <c r="S863" i="55"/>
  <c r="X863" i="55"/>
  <c r="B601" i="26"/>
  <c r="E865" i="55"/>
  <c r="BL600" i="26"/>
  <c r="BT599" i="26"/>
  <c r="AV599" i="55"/>
  <c r="G601" i="26"/>
  <c r="V601" i="26"/>
  <c r="X864" i="55" l="1"/>
  <c r="S864" i="55"/>
  <c r="X601" i="26"/>
  <c r="BK601" i="26" s="1"/>
  <c r="AP601" i="26"/>
  <c r="P601" i="26"/>
  <c r="O601" i="26"/>
  <c r="F601" i="26"/>
  <c r="R601" i="26" s="1"/>
  <c r="D601" i="26"/>
  <c r="K601" i="26"/>
  <c r="M601" i="26" s="1"/>
  <c r="N601" i="26" s="1"/>
  <c r="H865" i="55"/>
  <c r="K865" i="55"/>
  <c r="L865" i="55" s="1"/>
  <c r="B865" i="55"/>
  <c r="A865" i="55"/>
  <c r="Q865" i="55"/>
  <c r="C865" i="55"/>
  <c r="AF601" i="26"/>
  <c r="AN601" i="26" s="1"/>
  <c r="AO601" i="26"/>
  <c r="AV600" i="55"/>
  <c r="BT600" i="26"/>
  <c r="AT601" i="26" l="1"/>
  <c r="S601" i="26"/>
  <c r="T601" i="26" s="1"/>
  <c r="AJ601" i="26"/>
  <c r="AK601" i="26" s="1"/>
  <c r="P865" i="55"/>
  <c r="D865" i="55"/>
  <c r="M865" i="55" s="1"/>
  <c r="W865" i="55"/>
  <c r="G865" i="55"/>
  <c r="O865" i="55"/>
  <c r="U865" i="55"/>
  <c r="V865" i="55" s="1"/>
  <c r="E866" i="55"/>
  <c r="E602" i="26"/>
  <c r="F865" i="55"/>
  <c r="AL601" i="26" l="1"/>
  <c r="AM601" i="26" s="1"/>
  <c r="AU601" i="26" s="1"/>
  <c r="BL601" i="26"/>
  <c r="BC601" i="26"/>
  <c r="A866" i="55"/>
  <c r="H866" i="55"/>
  <c r="C866" i="55"/>
  <c r="Q866" i="55"/>
  <c r="K866" i="55"/>
  <c r="L866" i="55" s="1"/>
  <c r="B866" i="55"/>
  <c r="O866" i="55"/>
  <c r="U866" i="55"/>
  <c r="V866" i="55" s="1"/>
  <c r="F866" i="55"/>
  <c r="G866" i="55"/>
  <c r="N865" i="55"/>
  <c r="P866" i="55"/>
  <c r="C602" i="26"/>
  <c r="W602" i="26"/>
  <c r="A602" i="26"/>
  <c r="Q602" i="26"/>
  <c r="L602" i="26"/>
  <c r="B602" i="26"/>
  <c r="K602" i="26" s="1"/>
  <c r="M602" i="26" s="1"/>
  <c r="H602" i="26"/>
  <c r="U602" i="26"/>
  <c r="D602" i="26"/>
  <c r="F602" i="26"/>
  <c r="R602" i="26" s="1"/>
  <c r="V602" i="26"/>
  <c r="AF602" i="26"/>
  <c r="AN602" i="26" s="1"/>
  <c r="G602" i="26"/>
  <c r="AP602" i="26"/>
  <c r="AO602" i="26" l="1"/>
  <c r="AT602" i="26" s="1"/>
  <c r="BT601" i="26"/>
  <c r="AV601" i="55"/>
  <c r="N602" i="26"/>
  <c r="AJ602" i="26"/>
  <c r="AK602" i="26" s="1"/>
  <c r="P602" i="26"/>
  <c r="X865" i="55"/>
  <c r="S865" i="55"/>
  <c r="E867" i="55"/>
  <c r="X602" i="26"/>
  <c r="BK602" i="26" s="1"/>
  <c r="D866" i="55"/>
  <c r="M866" i="55"/>
  <c r="O602" i="26"/>
  <c r="AS602" i="26"/>
  <c r="BJ602" i="26" s="1"/>
  <c r="E603" i="26"/>
  <c r="W866" i="55"/>
  <c r="AL602" i="26" l="1"/>
  <c r="AM602" i="26" s="1"/>
  <c r="AU602" i="26" s="1"/>
  <c r="C603" i="26"/>
  <c r="U603" i="26" s="1"/>
  <c r="Q603" i="26"/>
  <c r="W603" i="26"/>
  <c r="L603" i="26"/>
  <c r="V603" i="26"/>
  <c r="B603" i="26"/>
  <c r="H603" i="26"/>
  <c r="AO603" i="26"/>
  <c r="A603" i="26"/>
  <c r="N866" i="55"/>
  <c r="D603" i="26"/>
  <c r="Q867" i="55"/>
  <c r="A867" i="55"/>
  <c r="H867" i="55"/>
  <c r="C867" i="55"/>
  <c r="B867" i="55"/>
  <c r="K867" i="55"/>
  <c r="L867" i="55" s="1"/>
  <c r="S602" i="26"/>
  <c r="T602" i="26" s="1"/>
  <c r="BC602" i="26" s="1"/>
  <c r="AF603" i="26" l="1"/>
  <c r="AN603" i="26" s="1"/>
  <c r="O603" i="26"/>
  <c r="S603" i="26" s="1"/>
  <c r="T603" i="26" s="1"/>
  <c r="BC603" i="26" s="1"/>
  <c r="F867" i="55"/>
  <c r="G867" i="55"/>
  <c r="E604" i="26"/>
  <c r="BL602" i="26"/>
  <c r="O867" i="55"/>
  <c r="U867" i="55"/>
  <c r="V867" i="55" s="1"/>
  <c r="AS603" i="26"/>
  <c r="BJ603" i="26" s="1"/>
  <c r="X866" i="55"/>
  <c r="S866" i="55"/>
  <c r="D867" i="55"/>
  <c r="P867" i="55"/>
  <c r="X603" i="26"/>
  <c r="BK603" i="26" s="1"/>
  <c r="AP603" i="26"/>
  <c r="AT603" i="26" s="1"/>
  <c r="F603" i="26"/>
  <c r="R603" i="26" s="1"/>
  <c r="K603" i="26"/>
  <c r="M603" i="26" s="1"/>
  <c r="G603" i="26"/>
  <c r="P603" i="26"/>
  <c r="W867" i="55"/>
  <c r="A604" i="26"/>
  <c r="B604" i="26"/>
  <c r="K604" i="26" s="1"/>
  <c r="Q604" i="26"/>
  <c r="L604" i="26"/>
  <c r="H604" i="26"/>
  <c r="AL603" i="26" l="1"/>
  <c r="AM603" i="26" s="1"/>
  <c r="AU603" i="26" s="1"/>
  <c r="W604" i="26"/>
  <c r="C604" i="26"/>
  <c r="AV602" i="55"/>
  <c r="BT602" i="26"/>
  <c r="M867" i="55"/>
  <c r="E868" i="55"/>
  <c r="D604" i="26"/>
  <c r="F604" i="26"/>
  <c r="R604" i="26" s="1"/>
  <c r="G604" i="26"/>
  <c r="AJ603" i="26"/>
  <c r="AK603" i="26" s="1"/>
  <c r="N603" i="26"/>
  <c r="O604" i="26"/>
  <c r="X604" i="26"/>
  <c r="AS604" i="26"/>
  <c r="BJ604" i="26" s="1"/>
  <c r="E605" i="26"/>
  <c r="BL603" i="26"/>
  <c r="M604" i="26"/>
  <c r="P604" i="26"/>
  <c r="U604" i="26"/>
  <c r="AF604" i="26" s="1"/>
  <c r="AN604" i="26" s="1"/>
  <c r="AL604" i="26" l="1"/>
  <c r="AM604" i="26" s="1"/>
  <c r="AU604" i="26" s="1"/>
  <c r="B868" i="55"/>
  <c r="A868" i="55"/>
  <c r="C868" i="55"/>
  <c r="O868" i="55" s="1"/>
  <c r="H868" i="55"/>
  <c r="F868" i="55"/>
  <c r="K868" i="55"/>
  <c r="L868" i="55" s="1"/>
  <c r="P868" i="55"/>
  <c r="W868" i="55"/>
  <c r="D868" i="55"/>
  <c r="Q868" i="55"/>
  <c r="G868" i="55"/>
  <c r="V604" i="26"/>
  <c r="AO604" i="26" s="1"/>
  <c r="AP604" i="26"/>
  <c r="N867" i="55"/>
  <c r="AV603" i="55"/>
  <c r="BT603" i="26"/>
  <c r="N604" i="26"/>
  <c r="AJ604" i="26"/>
  <c r="AK604" i="26" s="1"/>
  <c r="S604" i="26"/>
  <c r="T604" i="26" s="1"/>
  <c r="BC604" i="26" s="1"/>
  <c r="C605" i="26"/>
  <c r="V605" i="26" s="1"/>
  <c r="B605" i="26"/>
  <c r="D605" i="26" s="1"/>
  <c r="W605" i="26"/>
  <c r="Q605" i="26"/>
  <c r="H605" i="26"/>
  <c r="L605" i="26"/>
  <c r="A605" i="26"/>
  <c r="BK604" i="26" l="1"/>
  <c r="X605" i="26"/>
  <c r="U868" i="55"/>
  <c r="V868" i="55" s="1"/>
  <c r="E869" i="55"/>
  <c r="S867" i="55"/>
  <c r="X867" i="55"/>
  <c r="AT604" i="26"/>
  <c r="M868" i="55"/>
  <c r="BL604" i="26"/>
  <c r="K605" i="26"/>
  <c r="M605" i="26" s="1"/>
  <c r="O605" i="26"/>
  <c r="G605" i="26"/>
  <c r="F605" i="26"/>
  <c r="R605" i="26" s="1"/>
  <c r="P605" i="26"/>
  <c r="AF605" i="26"/>
  <c r="AN605" i="26" s="1"/>
  <c r="AP605" i="26"/>
  <c r="U605" i="26"/>
  <c r="E606" i="26"/>
  <c r="AL605" i="26" l="1"/>
  <c r="AM605" i="26" s="1"/>
  <c r="AU605" i="26" s="1"/>
  <c r="N868" i="55"/>
  <c r="H869" i="55"/>
  <c r="Q869" i="55"/>
  <c r="C869" i="55"/>
  <c r="B869" i="55"/>
  <c r="K869" i="55"/>
  <c r="L869" i="55" s="1"/>
  <c r="A869" i="55"/>
  <c r="O869" i="55"/>
  <c r="G869" i="55"/>
  <c r="W869" i="55"/>
  <c r="AV604" i="55"/>
  <c r="BT604" i="26"/>
  <c r="AO605" i="26"/>
  <c r="AT605" i="26" s="1"/>
  <c r="BK605" i="26"/>
  <c r="S605" i="26"/>
  <c r="T605" i="26" s="1"/>
  <c r="BC605" i="26" s="1"/>
  <c r="C606" i="26"/>
  <c r="V606" i="26" s="1"/>
  <c r="A606" i="26"/>
  <c r="L606" i="26"/>
  <c r="W606" i="26"/>
  <c r="Q606" i="26"/>
  <c r="H606" i="26"/>
  <c r="B606" i="26"/>
  <c r="N605" i="26"/>
  <c r="AJ605" i="26"/>
  <c r="AK605" i="26" s="1"/>
  <c r="F869" i="55" l="1"/>
  <c r="P869" i="55"/>
  <c r="S868" i="55"/>
  <c r="X868" i="55"/>
  <c r="D869" i="55"/>
  <c r="M869" i="55" s="1"/>
  <c r="AS606" i="26"/>
  <c r="BJ606" i="26" s="1"/>
  <c r="D606" i="26"/>
  <c r="E607" i="26" s="1"/>
  <c r="AP606" i="26"/>
  <c r="U606" i="26"/>
  <c r="AF606" i="26" s="1"/>
  <c r="AN606" i="26" s="1"/>
  <c r="AO606" i="26"/>
  <c r="K606" i="26"/>
  <c r="M606" i="26" s="1"/>
  <c r="X606" i="26"/>
  <c r="BL605" i="26"/>
  <c r="G606" i="26"/>
  <c r="P606" i="26"/>
  <c r="F606" i="26"/>
  <c r="R606" i="26" s="1"/>
  <c r="N869" i="55" l="1"/>
  <c r="E870" i="55"/>
  <c r="AT606" i="26"/>
  <c r="C607" i="26"/>
  <c r="V607" i="26" s="1"/>
  <c r="Q607" i="26"/>
  <c r="B607" i="26"/>
  <c r="G607" i="26" s="1"/>
  <c r="H607" i="26"/>
  <c r="W607" i="26"/>
  <c r="U607" i="26"/>
  <c r="A607" i="26"/>
  <c r="L607" i="26"/>
  <c r="AV605" i="55"/>
  <c r="BT605" i="26"/>
  <c r="BK606" i="26"/>
  <c r="N606" i="26"/>
  <c r="AJ606" i="26"/>
  <c r="AK606" i="26" s="1"/>
  <c r="O606" i="26"/>
  <c r="AL606" i="26" l="1"/>
  <c r="AM606" i="26" s="1"/>
  <c r="AU606" i="26" s="1"/>
  <c r="D607" i="26"/>
  <c r="AO607" i="26"/>
  <c r="F607" i="26"/>
  <c r="R607" i="26" s="1"/>
  <c r="K870" i="55"/>
  <c r="L870" i="55" s="1"/>
  <c r="Q870" i="55"/>
  <c r="C870" i="55"/>
  <c r="E871" i="55" s="1"/>
  <c r="H870" i="55"/>
  <c r="B870" i="55"/>
  <c r="D870" i="55" s="1"/>
  <c r="A870" i="55"/>
  <c r="M870" i="55"/>
  <c r="N870" i="55" s="1"/>
  <c r="F870" i="55"/>
  <c r="U870" i="55"/>
  <c r="V870" i="55" s="1"/>
  <c r="P870" i="55"/>
  <c r="G870" i="55"/>
  <c r="K607" i="26"/>
  <c r="M607" i="26" s="1"/>
  <c r="AJ607" i="26" s="1"/>
  <c r="AK607" i="26" s="1"/>
  <c r="AF607" i="26"/>
  <c r="AN607" i="26" s="1"/>
  <c r="X869" i="55"/>
  <c r="S869" i="55"/>
  <c r="AP607" i="26"/>
  <c r="O607" i="26"/>
  <c r="S607" i="26" s="1"/>
  <c r="T607" i="26" s="1"/>
  <c r="BL607" i="26" s="1"/>
  <c r="X607" i="26"/>
  <c r="BK607" i="26" s="1"/>
  <c r="S606" i="26"/>
  <c r="T606" i="26" s="1"/>
  <c r="BC606" i="26" s="1"/>
  <c r="AS607" i="26"/>
  <c r="BJ607" i="26" s="1"/>
  <c r="E608" i="26"/>
  <c r="N607" i="26" l="1"/>
  <c r="BC607" i="26"/>
  <c r="AT607" i="26"/>
  <c r="X870" i="55"/>
  <c r="G871" i="55"/>
  <c r="H871" i="55"/>
  <c r="K871" i="55"/>
  <c r="L871" i="55" s="1"/>
  <c r="C871" i="55"/>
  <c r="A871" i="55"/>
  <c r="Q871" i="55"/>
  <c r="B871" i="55"/>
  <c r="O871" i="55"/>
  <c r="D871" i="55"/>
  <c r="M871" i="55" s="1"/>
  <c r="N871" i="55" s="1"/>
  <c r="F871" i="55"/>
  <c r="P871" i="55"/>
  <c r="W870" i="55"/>
  <c r="P607" i="26"/>
  <c r="O870" i="55"/>
  <c r="S870" i="55" s="1"/>
  <c r="B608" i="26"/>
  <c r="Q608" i="26"/>
  <c r="C608" i="26"/>
  <c r="V608" i="26" s="1"/>
  <c r="H608" i="26"/>
  <c r="L608" i="26"/>
  <c r="W608" i="26"/>
  <c r="A608" i="26"/>
  <c r="BL606" i="26"/>
  <c r="AL607" i="26" l="1"/>
  <c r="AM607" i="26" s="1"/>
  <c r="AU607" i="26" s="1"/>
  <c r="S871" i="55"/>
  <c r="X871" i="55"/>
  <c r="U871" i="55"/>
  <c r="V871" i="55" s="1"/>
  <c r="E872" i="55"/>
  <c r="G608" i="26"/>
  <c r="W871" i="55"/>
  <c r="D608" i="26"/>
  <c r="AP608" i="26"/>
  <c r="X608" i="26"/>
  <c r="AO608" i="26"/>
  <c r="U608" i="26"/>
  <c r="AF608" i="26" s="1"/>
  <c r="AN608" i="26" s="1"/>
  <c r="BT606" i="26"/>
  <c r="AV606" i="55"/>
  <c r="AS608" i="26"/>
  <c r="BJ608" i="26" s="1"/>
  <c r="K608" i="26"/>
  <c r="M608" i="26" s="1"/>
  <c r="F608" i="26"/>
  <c r="R608" i="26" s="1"/>
  <c r="A872" i="55" l="1"/>
  <c r="B872" i="55"/>
  <c r="F872" i="55" s="1"/>
  <c r="G872" i="55"/>
  <c r="C872" i="55"/>
  <c r="U872" i="55" s="1"/>
  <c r="K872" i="55"/>
  <c r="L872" i="55" s="1"/>
  <c r="H872" i="55"/>
  <c r="Q872" i="55"/>
  <c r="AT608" i="26"/>
  <c r="O608" i="26"/>
  <c r="P608" i="26"/>
  <c r="N608" i="26"/>
  <c r="AJ608" i="26"/>
  <c r="AK608" i="26" s="1"/>
  <c r="E609" i="26"/>
  <c r="BK608" i="26"/>
  <c r="BT607" i="26"/>
  <c r="AV607" i="55"/>
  <c r="AL608" i="26" l="1"/>
  <c r="AM608" i="26" s="1"/>
  <c r="AU608" i="26" s="1"/>
  <c r="W872" i="55"/>
  <c r="D872" i="55"/>
  <c r="M872" i="55" s="1"/>
  <c r="O872" i="55"/>
  <c r="P872" i="55"/>
  <c r="V872" i="55" s="1"/>
  <c r="L609" i="26"/>
  <c r="W609" i="26"/>
  <c r="B609" i="26"/>
  <c r="D609" i="26" s="1"/>
  <c r="H609" i="26"/>
  <c r="A609" i="26"/>
  <c r="Q609" i="26"/>
  <c r="C609" i="26"/>
  <c r="V609" i="26" s="1"/>
  <c r="S608" i="26"/>
  <c r="T608" i="26" s="1"/>
  <c r="BC608" i="26" s="1"/>
  <c r="O609" i="26" l="1"/>
  <c r="S609" i="26" s="1"/>
  <c r="T609" i="26" s="1"/>
  <c r="BC609" i="26" s="1"/>
  <c r="N872" i="55"/>
  <c r="E873" i="55"/>
  <c r="AS609" i="26"/>
  <c r="BJ609" i="26" s="1"/>
  <c r="F609" i="26"/>
  <c r="R609" i="26" s="1"/>
  <c r="U609" i="26"/>
  <c r="AF609" i="26" s="1"/>
  <c r="AN609" i="26" s="1"/>
  <c r="G609" i="26"/>
  <c r="P609" i="26"/>
  <c r="K609" i="26"/>
  <c r="M609" i="26" s="1"/>
  <c r="AJ609" i="26" s="1"/>
  <c r="AK609" i="26" s="1"/>
  <c r="X609" i="26"/>
  <c r="BK609" i="26" s="1"/>
  <c r="AP609" i="26"/>
  <c r="E610" i="26"/>
  <c r="AO609" i="26"/>
  <c r="BL608" i="26"/>
  <c r="AL609" i="26" l="1"/>
  <c r="AM609" i="26" s="1"/>
  <c r="AU609" i="26" s="1"/>
  <c r="N609" i="26"/>
  <c r="Q873" i="55"/>
  <c r="B873" i="55"/>
  <c r="P873" i="55" s="1"/>
  <c r="H873" i="55"/>
  <c r="K873" i="55"/>
  <c r="L873" i="55" s="1"/>
  <c r="C873" i="55"/>
  <c r="A873" i="55"/>
  <c r="G873" i="55"/>
  <c r="S872" i="55"/>
  <c r="X872" i="55"/>
  <c r="AT609" i="26"/>
  <c r="BL609" i="26"/>
  <c r="BT608" i="26"/>
  <c r="AV608" i="55"/>
  <c r="L610" i="26"/>
  <c r="W610" i="26"/>
  <c r="B610" i="26"/>
  <c r="K610" i="26" s="1"/>
  <c r="H610" i="26"/>
  <c r="A610" i="26"/>
  <c r="C610" i="26"/>
  <c r="V610" i="26" s="1"/>
  <c r="Q610" i="26"/>
  <c r="F610" i="26"/>
  <c r="AP610" i="26" l="1"/>
  <c r="U873" i="55"/>
  <c r="V873" i="55" s="1"/>
  <c r="M610" i="26"/>
  <c r="N610" i="26" s="1"/>
  <c r="O873" i="55"/>
  <c r="D873" i="55"/>
  <c r="M873" i="55" s="1"/>
  <c r="F873" i="55"/>
  <c r="W873" i="55"/>
  <c r="D610" i="26"/>
  <c r="G610" i="26"/>
  <c r="E611" i="26"/>
  <c r="R610" i="26"/>
  <c r="O610" i="26"/>
  <c r="P610" i="26"/>
  <c r="BT609" i="26"/>
  <c r="AV609" i="55"/>
  <c r="AS610" i="26"/>
  <c r="BJ610" i="26" s="1"/>
  <c r="X610" i="26"/>
  <c r="BK610" i="26" s="1"/>
  <c r="U610" i="26"/>
  <c r="AF610" i="26" s="1"/>
  <c r="AN610" i="26" s="1"/>
  <c r="AJ610" i="26" l="1"/>
  <c r="AK610" i="26" s="1"/>
  <c r="AL610" i="26"/>
  <c r="AM610" i="26" s="1"/>
  <c r="AU610" i="26" s="1"/>
  <c r="S873" i="55"/>
  <c r="N873" i="55"/>
  <c r="X873" i="55" s="1"/>
  <c r="E874" i="55"/>
  <c r="AO610" i="26"/>
  <c r="AT610" i="26" s="1"/>
  <c r="Q611" i="26"/>
  <c r="B611" i="26"/>
  <c r="K611" i="26" s="1"/>
  <c r="W611" i="26"/>
  <c r="L611" i="26"/>
  <c r="H611" i="26"/>
  <c r="A611" i="26"/>
  <c r="C611" i="26"/>
  <c r="V611" i="26" s="1"/>
  <c r="S610" i="26"/>
  <c r="T610" i="26" s="1"/>
  <c r="BC610" i="26" s="1"/>
  <c r="M611" i="26" l="1"/>
  <c r="N611" i="26" s="1"/>
  <c r="H874" i="55"/>
  <c r="C874" i="55"/>
  <c r="B874" i="55"/>
  <c r="G874" i="55" s="1"/>
  <c r="K874" i="55"/>
  <c r="L874" i="55" s="1"/>
  <c r="Q874" i="55"/>
  <c r="A874" i="55"/>
  <c r="D874" i="55"/>
  <c r="M874" i="55" s="1"/>
  <c r="N874" i="55" s="1"/>
  <c r="S874" i="55" s="1"/>
  <c r="O874" i="55"/>
  <c r="U874" i="55"/>
  <c r="P874" i="55"/>
  <c r="U611" i="26"/>
  <c r="AF611" i="26" s="1"/>
  <c r="AN611" i="26" s="1"/>
  <c r="F611" i="26"/>
  <c r="R611" i="26" s="1"/>
  <c r="AP611" i="26"/>
  <c r="G611" i="26"/>
  <c r="AO611" i="26"/>
  <c r="BL610" i="26"/>
  <c r="AS611" i="26"/>
  <c r="BJ611" i="26" s="1"/>
  <c r="X611" i="26"/>
  <c r="D611" i="26"/>
  <c r="P611" i="26" s="1"/>
  <c r="AT611" i="26" l="1"/>
  <c r="AJ611" i="26"/>
  <c r="AK611" i="26" s="1"/>
  <c r="W874" i="55"/>
  <c r="E875" i="55"/>
  <c r="V874" i="55"/>
  <c r="X874" i="55"/>
  <c r="F874" i="55"/>
  <c r="O611" i="26"/>
  <c r="S611" i="26" s="1"/>
  <c r="T611" i="26" s="1"/>
  <c r="BK611" i="26"/>
  <c r="AV610" i="55"/>
  <c r="BT610" i="26"/>
  <c r="E612" i="26"/>
  <c r="AL611" i="26" l="1"/>
  <c r="AM611" i="26" s="1"/>
  <c r="AU611" i="26" s="1"/>
  <c r="BL611" i="26"/>
  <c r="BC611" i="26"/>
  <c r="A875" i="55"/>
  <c r="H875" i="55"/>
  <c r="C875" i="55"/>
  <c r="E876" i="55" s="1"/>
  <c r="F875" i="55"/>
  <c r="B875" i="55"/>
  <c r="P875" i="55" s="1"/>
  <c r="Q875" i="55"/>
  <c r="K875" i="55"/>
  <c r="L875" i="55" s="1"/>
  <c r="O875" i="55"/>
  <c r="D875" i="55"/>
  <c r="M875" i="55" s="1"/>
  <c r="U875" i="55"/>
  <c r="V875" i="55" s="1"/>
  <c r="W875" i="55"/>
  <c r="N875" i="55"/>
  <c r="X875" i="55"/>
  <c r="S875" i="55"/>
  <c r="H612" i="26"/>
  <c r="C612" i="26"/>
  <c r="V612" i="26" s="1"/>
  <c r="A612" i="26"/>
  <c r="Q612" i="26"/>
  <c r="W612" i="26"/>
  <c r="B612" i="26"/>
  <c r="K612" i="26" s="1"/>
  <c r="L612" i="26"/>
  <c r="C876" i="55" l="1"/>
  <c r="O876" i="55" s="1"/>
  <c r="A876" i="55"/>
  <c r="W876" i="55"/>
  <c r="B876" i="55"/>
  <c r="F876" i="55" s="1"/>
  <c r="G876" i="55"/>
  <c r="Q876" i="55"/>
  <c r="U876" i="55"/>
  <c r="H876" i="55"/>
  <c r="K876" i="55"/>
  <c r="L876" i="55" s="1"/>
  <c r="P876" i="55"/>
  <c r="G875" i="55"/>
  <c r="U612" i="26"/>
  <c r="BT611" i="26"/>
  <c r="AV611" i="55"/>
  <c r="M612" i="26"/>
  <c r="AJ612" i="26" s="1"/>
  <c r="AK612" i="26" s="1"/>
  <c r="AO612" i="26"/>
  <c r="F612" i="26"/>
  <c r="R612" i="26" s="1"/>
  <c r="X612" i="26"/>
  <c r="BK612" i="26" s="1"/>
  <c r="AF612" i="26"/>
  <c r="AN612" i="26" s="1"/>
  <c r="AP612" i="26"/>
  <c r="AS612" i="26"/>
  <c r="BJ612" i="26" s="1"/>
  <c r="D612" i="26"/>
  <c r="E613" i="26" s="1"/>
  <c r="G612" i="26"/>
  <c r="V876" i="55" l="1"/>
  <c r="O612" i="26"/>
  <c r="S612" i="26" s="1"/>
  <c r="T612" i="26" s="1"/>
  <c r="BC612" i="26" s="1"/>
  <c r="D876" i="55"/>
  <c r="E877" i="55" s="1"/>
  <c r="N612" i="26"/>
  <c r="AT612" i="26"/>
  <c r="L613" i="26"/>
  <c r="C613" i="26"/>
  <c r="V613" i="26" s="1"/>
  <c r="A613" i="26"/>
  <c r="H613" i="26"/>
  <c r="Q613" i="26"/>
  <c r="W613" i="26"/>
  <c r="AO613" i="26"/>
  <c r="B613" i="26"/>
  <c r="G613" i="26" s="1"/>
  <c r="AS613" i="26"/>
  <c r="BJ613" i="26" s="1"/>
  <c r="P612" i="26"/>
  <c r="AL612" i="26" l="1"/>
  <c r="AM612" i="26" s="1"/>
  <c r="AU612" i="26" s="1"/>
  <c r="K877" i="55"/>
  <c r="L877" i="55" s="1"/>
  <c r="H877" i="55"/>
  <c r="Q877" i="55"/>
  <c r="C877" i="55"/>
  <c r="E878" i="55" s="1"/>
  <c r="B877" i="55"/>
  <c r="P877" i="55" s="1"/>
  <c r="A877" i="55"/>
  <c r="D877" i="55"/>
  <c r="M877" i="55" s="1"/>
  <c r="N877" i="55" s="1"/>
  <c r="G877" i="55"/>
  <c r="F877" i="55"/>
  <c r="M876" i="55"/>
  <c r="K613" i="26"/>
  <c r="M613" i="26" s="1"/>
  <c r="AJ613" i="26" s="1"/>
  <c r="AK613" i="26" s="1"/>
  <c r="D613" i="26"/>
  <c r="E614" i="26" s="1"/>
  <c r="AP613" i="26"/>
  <c r="AT613" i="26" s="1"/>
  <c r="BL612" i="26"/>
  <c r="O613" i="26"/>
  <c r="U613" i="26"/>
  <c r="AF613" i="26" s="1"/>
  <c r="AN613" i="26" s="1"/>
  <c r="X613" i="26"/>
  <c r="BK613" i="26" s="1"/>
  <c r="F613" i="26"/>
  <c r="R613" i="26" s="1"/>
  <c r="X877" i="55" l="1"/>
  <c r="N876" i="55"/>
  <c r="O877" i="55"/>
  <c r="Q878" i="55"/>
  <c r="K878" i="55"/>
  <c r="L878" i="55" s="1"/>
  <c r="A878" i="55"/>
  <c r="B878" i="55"/>
  <c r="P878" i="55" s="1"/>
  <c r="C878" i="55"/>
  <c r="U878" i="55" s="1"/>
  <c r="V878" i="55" s="1"/>
  <c r="H878" i="55"/>
  <c r="G878" i="55"/>
  <c r="W878" i="55"/>
  <c r="D878" i="55"/>
  <c r="E879" i="55" s="1"/>
  <c r="U877" i="55"/>
  <c r="V877" i="55" s="1"/>
  <c r="W877" i="55"/>
  <c r="N613" i="26"/>
  <c r="P613" i="26"/>
  <c r="AV612" i="55"/>
  <c r="BT612" i="26"/>
  <c r="S613" i="26"/>
  <c r="T613" i="26" s="1"/>
  <c r="BC613" i="26" s="1"/>
  <c r="B614" i="26"/>
  <c r="H614" i="26"/>
  <c r="W614" i="26"/>
  <c r="L614" i="26"/>
  <c r="Q614" i="26"/>
  <c r="A614" i="26"/>
  <c r="C614" i="26"/>
  <c r="U614" i="26" s="1"/>
  <c r="AF614" i="26" s="1"/>
  <c r="AN614" i="26" s="1"/>
  <c r="AL613" i="26" l="1"/>
  <c r="AM613" i="26" s="1"/>
  <c r="AU613" i="26" s="1"/>
  <c r="B879" i="55"/>
  <c r="P879" i="55" s="1"/>
  <c r="H879" i="55"/>
  <c r="A879" i="55"/>
  <c r="K879" i="55"/>
  <c r="L879" i="55" s="1"/>
  <c r="Q879" i="55"/>
  <c r="C879" i="55"/>
  <c r="O879" i="55" s="1"/>
  <c r="F879" i="55"/>
  <c r="D879" i="55"/>
  <c r="M879" i="55"/>
  <c r="N879" i="55" s="1"/>
  <c r="M878" i="55"/>
  <c r="X876" i="55"/>
  <c r="S876" i="55"/>
  <c r="S877" i="55" s="1"/>
  <c r="O878" i="55"/>
  <c r="F878" i="55"/>
  <c r="K614" i="26"/>
  <c r="M614" i="26" s="1"/>
  <c r="AJ614" i="26" s="1"/>
  <c r="AK614" i="26" s="1"/>
  <c r="V614" i="26"/>
  <c r="BL613" i="26"/>
  <c r="AS614" i="26"/>
  <c r="BJ614" i="26" s="1"/>
  <c r="X614" i="26"/>
  <c r="G614" i="26"/>
  <c r="AP614" i="26"/>
  <c r="F614" i="26"/>
  <c r="R614" i="26" s="1"/>
  <c r="D614" i="26"/>
  <c r="X879" i="55" l="1"/>
  <c r="E880" i="55"/>
  <c r="G879" i="55"/>
  <c r="N878" i="55"/>
  <c r="W879" i="55"/>
  <c r="N614" i="26"/>
  <c r="U879" i="55"/>
  <c r="V879" i="55" s="1"/>
  <c r="AO614" i="26"/>
  <c r="AT614" i="26" s="1"/>
  <c r="BK614" i="26"/>
  <c r="AV613" i="55"/>
  <c r="BT613" i="26"/>
  <c r="P614" i="26"/>
  <c r="O614" i="26"/>
  <c r="E615" i="26"/>
  <c r="AL614" i="26" l="1"/>
  <c r="AM614" i="26" s="1"/>
  <c r="AU614" i="26" s="1"/>
  <c r="C880" i="55"/>
  <c r="A880" i="55"/>
  <c r="K880" i="55"/>
  <c r="L880" i="55" s="1"/>
  <c r="B880" i="55"/>
  <c r="F880" i="55" s="1"/>
  <c r="Q880" i="55"/>
  <c r="H880" i="55"/>
  <c r="W880" i="55"/>
  <c r="S878" i="55"/>
  <c r="S879" i="55" s="1"/>
  <c r="X878" i="55"/>
  <c r="S614" i="26"/>
  <c r="T614" i="26" s="1"/>
  <c r="BC614" i="26" s="1"/>
  <c r="B615" i="26"/>
  <c r="D615" i="26" s="1"/>
  <c r="W615" i="26"/>
  <c r="H615" i="26"/>
  <c r="L615" i="26"/>
  <c r="A615" i="26"/>
  <c r="C615" i="26"/>
  <c r="U615" i="26" s="1"/>
  <c r="AF615" i="26" s="1"/>
  <c r="AN615" i="26" s="1"/>
  <c r="F615" i="26"/>
  <c r="Q615" i="26"/>
  <c r="G615" i="26" l="1"/>
  <c r="P615" i="26"/>
  <c r="O615" i="26"/>
  <c r="X615" i="26"/>
  <c r="K615" i="26"/>
  <c r="M615" i="26" s="1"/>
  <c r="N615" i="26" s="1"/>
  <c r="AS615" i="26"/>
  <c r="BJ615" i="26" s="1"/>
  <c r="V615" i="26"/>
  <c r="D880" i="55"/>
  <c r="M880" i="55" s="1"/>
  <c r="U880" i="55"/>
  <c r="P880" i="55"/>
  <c r="O880" i="55"/>
  <c r="G880" i="55"/>
  <c r="R615" i="26"/>
  <c r="BK615" i="26"/>
  <c r="E616" i="26"/>
  <c r="AP615" i="26"/>
  <c r="BL614" i="26"/>
  <c r="AJ615" i="26" l="1"/>
  <c r="AK615" i="26" s="1"/>
  <c r="S615" i="26"/>
  <c r="T615" i="26" s="1"/>
  <c r="N880" i="55"/>
  <c r="V880" i="55"/>
  <c r="E881" i="55"/>
  <c r="AL615" i="26"/>
  <c r="B616" i="26"/>
  <c r="D616" i="26" s="1"/>
  <c r="H616" i="26"/>
  <c r="L616" i="26"/>
  <c r="W616" i="26"/>
  <c r="A616" i="26"/>
  <c r="C616" i="26"/>
  <c r="E617" i="26" s="1"/>
  <c r="Q616" i="26"/>
  <c r="AV614" i="55"/>
  <c r="BT614" i="26"/>
  <c r="AO615" i="26"/>
  <c r="AT615" i="26" s="1"/>
  <c r="BL615" i="26" l="1"/>
  <c r="BC615" i="26"/>
  <c r="BT615" i="26" s="1"/>
  <c r="AM615" i="26"/>
  <c r="AU615" i="26" s="1"/>
  <c r="H881" i="55"/>
  <c r="B881" i="55"/>
  <c r="P881" i="55" s="1"/>
  <c r="K881" i="55"/>
  <c r="L881" i="55" s="1"/>
  <c r="C881" i="55"/>
  <c r="A881" i="55"/>
  <c r="D881" i="55"/>
  <c r="M881" i="55" s="1"/>
  <c r="N881" i="55" s="1"/>
  <c r="X881" i="55" s="1"/>
  <c r="Q881" i="55"/>
  <c r="O881" i="55"/>
  <c r="F881" i="55"/>
  <c r="S880" i="55"/>
  <c r="X880" i="55"/>
  <c r="X616" i="26"/>
  <c r="G616" i="26"/>
  <c r="O616" i="26"/>
  <c r="V616" i="26"/>
  <c r="AO616" i="26" s="1"/>
  <c r="U616" i="26"/>
  <c r="AF616" i="26" s="1"/>
  <c r="AN616" i="26" s="1"/>
  <c r="W617" i="26"/>
  <c r="C617" i="26"/>
  <c r="H617" i="26"/>
  <c r="A617" i="26"/>
  <c r="B617" i="26"/>
  <c r="K617" i="26" s="1"/>
  <c r="L617" i="26"/>
  <c r="Q617" i="26"/>
  <c r="AV615" i="55"/>
  <c r="AP616" i="26"/>
  <c r="K616" i="26"/>
  <c r="M616" i="26" s="1"/>
  <c r="P616" i="26"/>
  <c r="AS616" i="26"/>
  <c r="BJ616" i="26" s="1"/>
  <c r="BK616" i="26"/>
  <c r="F616" i="26"/>
  <c r="R616" i="26" s="1"/>
  <c r="AT616" i="26" l="1"/>
  <c r="AL616" i="26"/>
  <c r="AM616" i="26" s="1"/>
  <c r="AU616" i="26" s="1"/>
  <c r="M617" i="26"/>
  <c r="AJ617" i="26" s="1"/>
  <c r="AK617" i="26" s="1"/>
  <c r="G881" i="55"/>
  <c r="S881" i="55"/>
  <c r="V617" i="26"/>
  <c r="W881" i="55"/>
  <c r="E882" i="55"/>
  <c r="F617" i="26"/>
  <c r="R617" i="26" s="1"/>
  <c r="D617" i="26"/>
  <c r="O617" i="26" s="1"/>
  <c r="AP617" i="26"/>
  <c r="E618" i="26"/>
  <c r="P617" i="26"/>
  <c r="U617" i="26"/>
  <c r="AF617" i="26" s="1"/>
  <c r="AN617" i="26" s="1"/>
  <c r="N616" i="26"/>
  <c r="AJ616" i="26"/>
  <c r="AK616" i="26" s="1"/>
  <c r="S616" i="26"/>
  <c r="T616" i="26" s="1"/>
  <c r="BC616" i="26" s="1"/>
  <c r="X617" i="26"/>
  <c r="BK617" i="26" s="1"/>
  <c r="G617" i="26"/>
  <c r="N617" i="26" l="1"/>
  <c r="AL617" i="26"/>
  <c r="AM617" i="26" s="1"/>
  <c r="AU617" i="26" s="1"/>
  <c r="H882" i="55"/>
  <c r="Q882" i="55"/>
  <c r="B882" i="55"/>
  <c r="P882" i="55" s="1"/>
  <c r="G882" i="55"/>
  <c r="A882" i="55"/>
  <c r="K882" i="55"/>
  <c r="L882" i="55" s="1"/>
  <c r="C882" i="55"/>
  <c r="BL616" i="26"/>
  <c r="Q618" i="26"/>
  <c r="L618" i="26"/>
  <c r="A618" i="26"/>
  <c r="W618" i="26"/>
  <c r="C618" i="26"/>
  <c r="V618" i="26" s="1"/>
  <c r="H618" i="26"/>
  <c r="B618" i="26"/>
  <c r="K618" i="26" s="1"/>
  <c r="M618" i="26" s="1"/>
  <c r="N618" i="26" s="1"/>
  <c r="AO617" i="26"/>
  <c r="AT617" i="26" s="1"/>
  <c r="S617" i="26"/>
  <c r="T617" i="26" s="1"/>
  <c r="BC617" i="26" s="1"/>
  <c r="O882" i="55" l="1"/>
  <c r="W882" i="55"/>
  <c r="D882" i="55"/>
  <c r="M882" i="55" s="1"/>
  <c r="F618" i="26"/>
  <c r="R618" i="26" s="1"/>
  <c r="D618" i="26"/>
  <c r="E619" i="26" s="1"/>
  <c r="U882" i="55"/>
  <c r="V882" i="55" s="1"/>
  <c r="F882" i="55"/>
  <c r="G618" i="26"/>
  <c r="O618" i="26"/>
  <c r="S618" i="26" s="1"/>
  <c r="T618" i="26" s="1"/>
  <c r="BL618" i="26" s="1"/>
  <c r="AJ618" i="26"/>
  <c r="AK618" i="26" s="1"/>
  <c r="AO618" i="26"/>
  <c r="X618" i="26"/>
  <c r="U618" i="26"/>
  <c r="AF618" i="26" s="1"/>
  <c r="AN618" i="26" s="1"/>
  <c r="BT616" i="26"/>
  <c r="AV616" i="55"/>
  <c r="BL617" i="26"/>
  <c r="AS618" i="26"/>
  <c r="BJ618" i="26" s="1"/>
  <c r="AP618" i="26"/>
  <c r="BC618" i="26" l="1"/>
  <c r="P618" i="26"/>
  <c r="E883" i="55"/>
  <c r="N882" i="55"/>
  <c r="BK618" i="26"/>
  <c r="AV617" i="55"/>
  <c r="BT617" i="26"/>
  <c r="B619" i="26"/>
  <c r="F619" i="26" s="1"/>
  <c r="A619" i="26"/>
  <c r="Q619" i="26"/>
  <c r="R619" i="26" s="1"/>
  <c r="L619" i="26"/>
  <c r="C619" i="26"/>
  <c r="V619" i="26" s="1"/>
  <c r="W619" i="26"/>
  <c r="H619" i="26"/>
  <c r="AT618" i="26"/>
  <c r="AL618" i="26" l="1"/>
  <c r="AM618" i="26" s="1"/>
  <c r="AU618" i="26" s="1"/>
  <c r="D619" i="26"/>
  <c r="P619" i="26" s="1"/>
  <c r="AP619" i="26"/>
  <c r="G619" i="26"/>
  <c r="B883" i="55"/>
  <c r="F883" i="55" s="1"/>
  <c r="H883" i="55"/>
  <c r="A883" i="55"/>
  <c r="C883" i="55"/>
  <c r="K883" i="55"/>
  <c r="L883" i="55" s="1"/>
  <c r="Q883" i="55"/>
  <c r="O883" i="55"/>
  <c r="P883" i="55"/>
  <c r="S882" i="55"/>
  <c r="X882" i="55"/>
  <c r="AV618" i="55"/>
  <c r="BT618" i="26"/>
  <c r="U619" i="26"/>
  <c r="AF619" i="26" s="1"/>
  <c r="AN619" i="26" s="1"/>
  <c r="E620" i="26"/>
  <c r="O619" i="26"/>
  <c r="X619" i="26"/>
  <c r="BK619" i="26" s="1"/>
  <c r="K619" i="26"/>
  <c r="M619" i="26" s="1"/>
  <c r="AO619" i="26"/>
  <c r="AS619" i="26"/>
  <c r="BJ619" i="26" s="1"/>
  <c r="AL619" i="26" l="1"/>
  <c r="AM619" i="26" s="1"/>
  <c r="AU619" i="26" s="1"/>
  <c r="AT619" i="26"/>
  <c r="D883" i="55"/>
  <c r="M883" i="55" s="1"/>
  <c r="U883" i="55"/>
  <c r="V883" i="55" s="1"/>
  <c r="E884" i="55"/>
  <c r="W883" i="55"/>
  <c r="G883" i="55"/>
  <c r="S619" i="26"/>
  <c r="T619" i="26" s="1"/>
  <c r="BC619" i="26" s="1"/>
  <c r="B620" i="26"/>
  <c r="K620" i="26" s="1"/>
  <c r="C620" i="26"/>
  <c r="V620" i="26" s="1"/>
  <c r="Q620" i="26"/>
  <c r="A620" i="26"/>
  <c r="L620" i="26"/>
  <c r="H620" i="26"/>
  <c r="W620" i="26"/>
  <c r="N619" i="26"/>
  <c r="AJ619" i="26"/>
  <c r="AK619" i="26" s="1"/>
  <c r="F620" i="26" l="1"/>
  <c r="AS620" i="26"/>
  <c r="BJ620" i="26" s="1"/>
  <c r="X620" i="26"/>
  <c r="BK620" i="26" s="1"/>
  <c r="D620" i="26"/>
  <c r="G620" i="26"/>
  <c r="C884" i="55"/>
  <c r="H884" i="55"/>
  <c r="K884" i="55"/>
  <c r="L884" i="55" s="1"/>
  <c r="Q884" i="55"/>
  <c r="A884" i="55"/>
  <c r="B884" i="55"/>
  <c r="P884" i="55" s="1"/>
  <c r="D884" i="55"/>
  <c r="M884" i="55" s="1"/>
  <c r="N884" i="55" s="1"/>
  <c r="G884" i="55"/>
  <c r="O884" i="55"/>
  <c r="F884" i="55"/>
  <c r="W884" i="55"/>
  <c r="N883" i="55"/>
  <c r="R620" i="26"/>
  <c r="M620" i="26"/>
  <c r="N620" i="26" s="1"/>
  <c r="P620" i="26"/>
  <c r="AP620" i="26"/>
  <c r="AO620" i="26"/>
  <c r="O620" i="26"/>
  <c r="U620" i="26"/>
  <c r="AF620" i="26" s="1"/>
  <c r="AN620" i="26" s="1"/>
  <c r="BL619" i="26"/>
  <c r="AL620" i="26" l="1"/>
  <c r="AM620" i="26" s="1"/>
  <c r="AU620" i="26" s="1"/>
  <c r="E621" i="26"/>
  <c r="X884" i="55"/>
  <c r="AJ620" i="26"/>
  <c r="AK620" i="26" s="1"/>
  <c r="X883" i="55"/>
  <c r="S883" i="55"/>
  <c r="U884" i="55"/>
  <c r="V884" i="55" s="1"/>
  <c r="E885" i="55"/>
  <c r="AT620" i="26"/>
  <c r="S620" i="26"/>
  <c r="T620" i="26" s="1"/>
  <c r="BC620" i="26" s="1"/>
  <c r="AV619" i="55"/>
  <c r="BT619" i="26"/>
  <c r="L621" i="26"/>
  <c r="A621" i="26"/>
  <c r="H621" i="26"/>
  <c r="B621" i="26"/>
  <c r="C621" i="26"/>
  <c r="V621" i="26" s="1"/>
  <c r="W621" i="26"/>
  <c r="AO621" i="26" l="1"/>
  <c r="Q621" i="26"/>
  <c r="H885" i="55"/>
  <c r="C885" i="55"/>
  <c r="U885" i="55" s="1"/>
  <c r="V885" i="55" s="1"/>
  <c r="B885" i="55"/>
  <c r="P885" i="55" s="1"/>
  <c r="A885" i="55"/>
  <c r="K885" i="55"/>
  <c r="L885" i="55" s="1"/>
  <c r="Q885" i="55"/>
  <c r="F885" i="55"/>
  <c r="AS621" i="26"/>
  <c r="BJ621" i="26" s="1"/>
  <c r="S884" i="55"/>
  <c r="K621" i="26"/>
  <c r="M621" i="26" s="1"/>
  <c r="G621" i="26"/>
  <c r="U621" i="26"/>
  <c r="AF621" i="26" s="1"/>
  <c r="AN621" i="26" s="1"/>
  <c r="BL620" i="26"/>
  <c r="AP621" i="26"/>
  <c r="X621" i="26"/>
  <c r="BK621" i="26" s="1"/>
  <c r="F621" i="26"/>
  <c r="R621" i="26" s="1"/>
  <c r="D621" i="26"/>
  <c r="P621" i="26" s="1"/>
  <c r="AT621" i="26" l="1"/>
  <c r="G885" i="55"/>
  <c r="W885" i="55"/>
  <c r="O885" i="55"/>
  <c r="E886" i="55"/>
  <c r="D885" i="55"/>
  <c r="M885" i="55" s="1"/>
  <c r="BT620" i="26"/>
  <c r="AV620" i="55"/>
  <c r="O621" i="26"/>
  <c r="N621" i="26"/>
  <c r="AJ621" i="26"/>
  <c r="AK621" i="26" s="1"/>
  <c r="E622" i="26"/>
  <c r="AL621" i="26" l="1"/>
  <c r="AM621" i="26" s="1"/>
  <c r="AU621" i="26" s="1"/>
  <c r="C886" i="55"/>
  <c r="K886" i="55"/>
  <c r="L886" i="55" s="1"/>
  <c r="H886" i="55"/>
  <c r="A886" i="55"/>
  <c r="Q886" i="55"/>
  <c r="B886" i="55"/>
  <c r="P886" i="55" s="1"/>
  <c r="U886" i="55"/>
  <c r="V886" i="55" s="1"/>
  <c r="O886" i="55"/>
  <c r="N885" i="55"/>
  <c r="C622" i="26"/>
  <c r="V622" i="26" s="1"/>
  <c r="Q622" i="26"/>
  <c r="B622" i="26"/>
  <c r="G622" i="26" s="1"/>
  <c r="H622" i="26"/>
  <c r="L622" i="26"/>
  <c r="W622" i="26"/>
  <c r="A622" i="26"/>
  <c r="U622" i="26"/>
  <c r="AF622" i="26" s="1"/>
  <c r="AN622" i="26" s="1"/>
  <c r="S621" i="26"/>
  <c r="T621" i="26" s="1"/>
  <c r="BC621" i="26" s="1"/>
  <c r="AO622" i="26" l="1"/>
  <c r="M886" i="55"/>
  <c r="D886" i="55"/>
  <c r="E887" i="55" s="1"/>
  <c r="F886" i="55"/>
  <c r="S885" i="55"/>
  <c r="X885" i="55"/>
  <c r="G886" i="55"/>
  <c r="W886" i="55"/>
  <c r="AS622" i="26"/>
  <c r="BJ622" i="26" s="1"/>
  <c r="BL621" i="26"/>
  <c r="F622" i="26"/>
  <c r="R622" i="26" s="1"/>
  <c r="K622" i="26"/>
  <c r="M622" i="26" s="1"/>
  <c r="X622" i="26"/>
  <c r="BK622" i="26" s="1"/>
  <c r="D622" i="26"/>
  <c r="E623" i="26" s="1"/>
  <c r="AP622" i="26"/>
  <c r="AT622" i="26" l="1"/>
  <c r="O622" i="26"/>
  <c r="S622" i="26" s="1"/>
  <c r="T622" i="26" s="1"/>
  <c r="BC622" i="26" s="1"/>
  <c r="C887" i="55"/>
  <c r="G887" i="55"/>
  <c r="H887" i="55"/>
  <c r="B887" i="55"/>
  <c r="D887" i="55" s="1"/>
  <c r="M887" i="55" s="1"/>
  <c r="K887" i="55"/>
  <c r="L887" i="55" s="1"/>
  <c r="Q887" i="55"/>
  <c r="F887" i="55"/>
  <c r="A887" i="55"/>
  <c r="P887" i="55"/>
  <c r="U887" i="55"/>
  <c r="O887" i="55"/>
  <c r="W887" i="55"/>
  <c r="N886" i="55"/>
  <c r="AJ622" i="26"/>
  <c r="AK622" i="26" s="1"/>
  <c r="N622" i="26"/>
  <c r="AV621" i="55"/>
  <c r="BT621" i="26"/>
  <c r="H623" i="26"/>
  <c r="C623" i="26"/>
  <c r="V623" i="26" s="1"/>
  <c r="Q623" i="26"/>
  <c r="W623" i="26"/>
  <c r="B623" i="26"/>
  <c r="D623" i="26" s="1"/>
  <c r="A623" i="26"/>
  <c r="L623" i="26"/>
  <c r="U623" i="26"/>
  <c r="P622" i="26"/>
  <c r="AL622" i="26" l="1"/>
  <c r="AM622" i="26" s="1"/>
  <c r="AU622" i="26" s="1"/>
  <c r="AS623" i="26"/>
  <c r="BJ623" i="26" s="1"/>
  <c r="N887" i="55"/>
  <c r="X887" i="55" s="1"/>
  <c r="K623" i="26"/>
  <c r="M623" i="26" s="1"/>
  <c r="N623" i="26" s="1"/>
  <c r="S886" i="55"/>
  <c r="X886" i="55"/>
  <c r="V887" i="55"/>
  <c r="E888" i="55"/>
  <c r="AF623" i="26"/>
  <c r="AN623" i="26" s="1"/>
  <c r="AO623" i="26"/>
  <c r="P623" i="26"/>
  <c r="F623" i="26"/>
  <c r="R623" i="26"/>
  <c r="E624" i="26"/>
  <c r="BL622" i="26"/>
  <c r="O623" i="26"/>
  <c r="X623" i="26"/>
  <c r="BK623" i="26" s="1"/>
  <c r="AP623" i="26"/>
  <c r="G623" i="26"/>
  <c r="AJ623" i="26" l="1"/>
  <c r="AK623" i="26" s="1"/>
  <c r="AL623" i="26"/>
  <c r="AM623" i="26" s="1"/>
  <c r="AU623" i="26" s="1"/>
  <c r="AT623" i="26"/>
  <c r="S887" i="55"/>
  <c r="H888" i="55"/>
  <c r="G888" i="55"/>
  <c r="C888" i="55"/>
  <c r="Q888" i="55"/>
  <c r="A888" i="55"/>
  <c r="K888" i="55"/>
  <c r="L888" i="55" s="1"/>
  <c r="B888" i="55"/>
  <c r="D888" i="55" s="1"/>
  <c r="U888" i="55"/>
  <c r="M888" i="55"/>
  <c r="N888" i="55" s="1"/>
  <c r="F888" i="55"/>
  <c r="O888" i="55"/>
  <c r="AV622" i="55"/>
  <c r="BT622" i="26"/>
  <c r="S623" i="26"/>
  <c r="T623" i="26" s="1"/>
  <c r="BC623" i="26" s="1"/>
  <c r="L624" i="26"/>
  <c r="A624" i="26"/>
  <c r="C624" i="26"/>
  <c r="V624" i="26" s="1"/>
  <c r="Q624" i="26"/>
  <c r="B624" i="26"/>
  <c r="W624" i="26"/>
  <c r="H624" i="26"/>
  <c r="S888" i="55" l="1"/>
  <c r="X888" i="55"/>
  <c r="P888" i="55"/>
  <c r="V888" i="55"/>
  <c r="W888" i="55"/>
  <c r="E889" i="55"/>
  <c r="D624" i="26"/>
  <c r="U624" i="26"/>
  <c r="AF624" i="26" s="1"/>
  <c r="AN624" i="26" s="1"/>
  <c r="F624" i="26"/>
  <c r="R624" i="26" s="1"/>
  <c r="AP624" i="26"/>
  <c r="X624" i="26"/>
  <c r="O624" i="26"/>
  <c r="S624" i="26" s="1"/>
  <c r="T624" i="26" s="1"/>
  <c r="BL624" i="26" s="1"/>
  <c r="K624" i="26"/>
  <c r="M624" i="26" s="1"/>
  <c r="AJ624" i="26" s="1"/>
  <c r="AK624" i="26" s="1"/>
  <c r="AS624" i="26"/>
  <c r="BJ624" i="26" s="1"/>
  <c r="G624" i="26"/>
  <c r="P624" i="26"/>
  <c r="AO624" i="26"/>
  <c r="E625" i="26"/>
  <c r="BL623" i="26"/>
  <c r="AT624" i="26" l="1"/>
  <c r="N624" i="26"/>
  <c r="BC624" i="26"/>
  <c r="C889" i="55"/>
  <c r="A889" i="55"/>
  <c r="B889" i="55"/>
  <c r="G889" i="55" s="1"/>
  <c r="K889" i="55"/>
  <c r="L889" i="55" s="1"/>
  <c r="Q889" i="55"/>
  <c r="H889" i="55"/>
  <c r="W889" i="55"/>
  <c r="F889" i="55"/>
  <c r="O889" i="55"/>
  <c r="P889" i="55"/>
  <c r="BK624" i="26"/>
  <c r="AV623" i="55"/>
  <c r="BT623" i="26"/>
  <c r="L625" i="26"/>
  <c r="B625" i="26"/>
  <c r="Q625" i="26"/>
  <c r="W625" i="26"/>
  <c r="A625" i="26"/>
  <c r="C625" i="26"/>
  <c r="U625" i="26" s="1"/>
  <c r="H625" i="26"/>
  <c r="G625" i="26"/>
  <c r="AL624" i="26" l="1"/>
  <c r="AM624" i="26" s="1"/>
  <c r="AU624" i="26" s="1"/>
  <c r="AF625" i="26"/>
  <c r="AN625" i="26" s="1"/>
  <c r="D889" i="55"/>
  <c r="M889" i="55" s="1"/>
  <c r="K625" i="26"/>
  <c r="M625" i="26" s="1"/>
  <c r="N625" i="26" s="1"/>
  <c r="U889" i="55"/>
  <c r="V889" i="55" s="1"/>
  <c r="E890" i="55"/>
  <c r="V625" i="26"/>
  <c r="X625" i="26"/>
  <c r="AS625" i="26"/>
  <c r="BJ625" i="26" s="1"/>
  <c r="AV624" i="55"/>
  <c r="BT624" i="26"/>
  <c r="D625" i="26"/>
  <c r="O625" i="26"/>
  <c r="AP625" i="26"/>
  <c r="F625" i="26"/>
  <c r="R625" i="26" s="1"/>
  <c r="N889" i="55" l="1"/>
  <c r="H890" i="55"/>
  <c r="A890" i="55"/>
  <c r="Q890" i="55"/>
  <c r="K890" i="55"/>
  <c r="L890" i="55" s="1"/>
  <c r="B890" i="55"/>
  <c r="G890" i="55" s="1"/>
  <c r="C890" i="55"/>
  <c r="AJ625" i="26"/>
  <c r="AK625" i="26" s="1"/>
  <c r="S625" i="26"/>
  <c r="T625" i="26" s="1"/>
  <c r="BC625" i="26" s="1"/>
  <c r="E626" i="26"/>
  <c r="P625" i="26"/>
  <c r="AO625" i="26"/>
  <c r="AT625" i="26" s="1"/>
  <c r="BK625" i="26"/>
  <c r="AL625" i="26" l="1"/>
  <c r="AM625" i="26" s="1"/>
  <c r="AU625" i="26" s="1"/>
  <c r="X889" i="55"/>
  <c r="S889" i="55"/>
  <c r="D890" i="55"/>
  <c r="E891" i="55" s="1"/>
  <c r="M890" i="55"/>
  <c r="W890" i="55"/>
  <c r="P890" i="55"/>
  <c r="F890" i="55"/>
  <c r="U890" i="55"/>
  <c r="O890" i="55"/>
  <c r="H626" i="26"/>
  <c r="B626" i="26"/>
  <c r="K626" i="26" s="1"/>
  <c r="Q626" i="26"/>
  <c r="L626" i="26"/>
  <c r="W626" i="26"/>
  <c r="A626" i="26"/>
  <c r="C626" i="26"/>
  <c r="V626" i="26" s="1"/>
  <c r="G626" i="26"/>
  <c r="BL625" i="26"/>
  <c r="M626" i="26" l="1"/>
  <c r="N626" i="26" s="1"/>
  <c r="Q891" i="55"/>
  <c r="A891" i="55"/>
  <c r="K891" i="55"/>
  <c r="L891" i="55" s="1"/>
  <c r="H891" i="55"/>
  <c r="B891" i="55"/>
  <c r="G891" i="55" s="1"/>
  <c r="C891" i="55"/>
  <c r="E892" i="55" s="1"/>
  <c r="H892" i="55" s="1"/>
  <c r="W891" i="55"/>
  <c r="D891" i="55"/>
  <c r="M891" i="55" s="1"/>
  <c r="N891" i="55" s="1"/>
  <c r="U891" i="55"/>
  <c r="P891" i="55"/>
  <c r="U626" i="26"/>
  <c r="V890" i="55"/>
  <c r="N890" i="55"/>
  <c r="AS626" i="26"/>
  <c r="BJ626" i="26" s="1"/>
  <c r="X626" i="26"/>
  <c r="AO626" i="26"/>
  <c r="AV625" i="55"/>
  <c r="BT625" i="26"/>
  <c r="AP626" i="26"/>
  <c r="AF626" i="26"/>
  <c r="AN626" i="26" s="1"/>
  <c r="D626" i="26"/>
  <c r="F626" i="26"/>
  <c r="R626" i="26" s="1"/>
  <c r="C892" i="55"/>
  <c r="Q892" i="55"/>
  <c r="A892" i="55"/>
  <c r="B892" i="55"/>
  <c r="D892" i="55" s="1"/>
  <c r="AJ626" i="26" l="1"/>
  <c r="AK626" i="26" s="1"/>
  <c r="X891" i="55"/>
  <c r="V891" i="55"/>
  <c r="K892" i="55"/>
  <c r="L892" i="55" s="1"/>
  <c r="F891" i="55"/>
  <c r="S890" i="55"/>
  <c r="X890" i="55"/>
  <c r="O891" i="55"/>
  <c r="BK626" i="26"/>
  <c r="O892" i="55"/>
  <c r="P626" i="26"/>
  <c r="E627" i="26"/>
  <c r="AT626" i="26"/>
  <c r="E893" i="55"/>
  <c r="W892" i="55"/>
  <c r="G892" i="55"/>
  <c r="F892" i="55"/>
  <c r="U892" i="55"/>
  <c r="P892" i="55"/>
  <c r="M892" i="55"/>
  <c r="O626" i="26"/>
  <c r="AL626" i="26" l="1"/>
  <c r="AM626" i="26" s="1"/>
  <c r="AU626" i="26" s="1"/>
  <c r="S891" i="55"/>
  <c r="V892" i="55"/>
  <c r="H893" i="55"/>
  <c r="Q893" i="55"/>
  <c r="A893" i="55"/>
  <c r="B893" i="55"/>
  <c r="D893" i="55" s="1"/>
  <c r="C893" i="55"/>
  <c r="K893" i="55"/>
  <c r="L893" i="55" s="1"/>
  <c r="G893" i="55"/>
  <c r="M893" i="55"/>
  <c r="F893" i="55"/>
  <c r="S626" i="26"/>
  <c r="T626" i="26" s="1"/>
  <c r="BC626" i="26" s="1"/>
  <c r="N892" i="55"/>
  <c r="H627" i="26"/>
  <c r="C627" i="26"/>
  <c r="W627" i="26"/>
  <c r="B627" i="26"/>
  <c r="G627" i="26" s="1"/>
  <c r="Q627" i="26"/>
  <c r="L627" i="26"/>
  <c r="A627" i="26"/>
  <c r="D627" i="26" l="1"/>
  <c r="P627" i="26" s="1"/>
  <c r="E628" i="26"/>
  <c r="W628" i="26" s="1"/>
  <c r="P893" i="55"/>
  <c r="F627" i="26"/>
  <c r="W893" i="55"/>
  <c r="V627" i="26"/>
  <c r="X627" i="26"/>
  <c r="S892" i="55"/>
  <c r="X892" i="55"/>
  <c r="O627" i="26"/>
  <c r="AP627" i="26"/>
  <c r="AS627" i="26"/>
  <c r="BJ627" i="26" s="1"/>
  <c r="N893" i="55"/>
  <c r="O893" i="55"/>
  <c r="E894" i="55"/>
  <c r="R627" i="26"/>
  <c r="K627" i="26"/>
  <c r="M627" i="26" s="1"/>
  <c r="U627" i="26"/>
  <c r="AF627" i="26" s="1"/>
  <c r="AN627" i="26" s="1"/>
  <c r="BL626" i="26"/>
  <c r="AL627" i="26" l="1"/>
  <c r="AM627" i="26" s="1"/>
  <c r="AU627" i="26" s="1"/>
  <c r="Q628" i="26"/>
  <c r="H628" i="26"/>
  <c r="L628" i="26"/>
  <c r="B628" i="26"/>
  <c r="C628" i="26"/>
  <c r="AS628" i="26" s="1"/>
  <c r="BJ628" i="26" s="1"/>
  <c r="A628" i="26"/>
  <c r="X628" i="26"/>
  <c r="Q894" i="55"/>
  <c r="A894" i="55"/>
  <c r="K894" i="55"/>
  <c r="L894" i="55" s="1"/>
  <c r="B894" i="55"/>
  <c r="D894" i="55" s="1"/>
  <c r="M894" i="55" s="1"/>
  <c r="N894" i="55" s="1"/>
  <c r="H894" i="55"/>
  <c r="C894" i="55"/>
  <c r="U894" i="55" s="1"/>
  <c r="G894" i="55"/>
  <c r="F894" i="55"/>
  <c r="X893" i="55"/>
  <c r="S893" i="55"/>
  <c r="S627" i="26"/>
  <c r="T627" i="26" s="1"/>
  <c r="BC627" i="26" s="1"/>
  <c r="AV626" i="55"/>
  <c r="BT626" i="26"/>
  <c r="AJ627" i="26"/>
  <c r="AK627" i="26" s="1"/>
  <c r="N627" i="26"/>
  <c r="AO627" i="26"/>
  <c r="AT627" i="26" s="1"/>
  <c r="BK627" i="26"/>
  <c r="F628" i="26" l="1"/>
  <c r="R628" i="26" s="1"/>
  <c r="G628" i="26"/>
  <c r="D628" i="26"/>
  <c r="K628" i="26"/>
  <c r="M628" i="26" s="1"/>
  <c r="N628" i="26" s="1"/>
  <c r="V628" i="26"/>
  <c r="U628" i="26"/>
  <c r="AF628" i="26" s="1"/>
  <c r="AN628" i="26" s="1"/>
  <c r="AP628" i="26"/>
  <c r="P894" i="55"/>
  <c r="V894" i="55" s="1"/>
  <c r="X894" i="55"/>
  <c r="W894" i="55"/>
  <c r="O894" i="55"/>
  <c r="S894" i="55" s="1"/>
  <c r="E895" i="55"/>
  <c r="BL627" i="26"/>
  <c r="AJ628" i="26" l="1"/>
  <c r="AK628" i="26" s="1"/>
  <c r="AO628" i="26"/>
  <c r="AT628" i="26" s="1"/>
  <c r="BK628" i="26"/>
  <c r="E629" i="26"/>
  <c r="O628" i="26"/>
  <c r="P628" i="26"/>
  <c r="AV627" i="55"/>
  <c r="BT627" i="26"/>
  <c r="H895" i="55"/>
  <c r="A895" i="55"/>
  <c r="C895" i="55"/>
  <c r="Q895" i="55"/>
  <c r="K895" i="55"/>
  <c r="L895" i="55" s="1"/>
  <c r="B895" i="55"/>
  <c r="P895" i="55" s="1"/>
  <c r="F895" i="55"/>
  <c r="AL628" i="26" l="1"/>
  <c r="AM628" i="26" s="1"/>
  <c r="AU628" i="26" s="1"/>
  <c r="B629" i="26"/>
  <c r="G629" i="26" s="1"/>
  <c r="H629" i="26"/>
  <c r="A629" i="26"/>
  <c r="Q629" i="26"/>
  <c r="L629" i="26"/>
  <c r="C629" i="26"/>
  <c r="U629" i="26" s="1"/>
  <c r="W629" i="26"/>
  <c r="K629" i="26"/>
  <c r="M629" i="26" s="1"/>
  <c r="S628" i="26"/>
  <c r="T628" i="26" s="1"/>
  <c r="BC628" i="26" s="1"/>
  <c r="G895" i="55"/>
  <c r="W895" i="55"/>
  <c r="D895" i="55"/>
  <c r="M895" i="55" s="1"/>
  <c r="N895" i="55" s="1"/>
  <c r="U895" i="55"/>
  <c r="V895" i="55" s="1"/>
  <c r="O895" i="55"/>
  <c r="AJ629" i="26" l="1"/>
  <c r="AK629" i="26" s="1"/>
  <c r="N629" i="26"/>
  <c r="F629" i="26"/>
  <c r="R629" i="26" s="1"/>
  <c r="AF629" i="26"/>
  <c r="AN629" i="26" s="1"/>
  <c r="X629" i="26"/>
  <c r="D629" i="26"/>
  <c r="O629" i="26"/>
  <c r="V629" i="26"/>
  <c r="E630" i="26"/>
  <c r="BL628" i="26"/>
  <c r="AP629" i="26"/>
  <c r="E896" i="55"/>
  <c r="X895" i="55"/>
  <c r="S895" i="55"/>
  <c r="Q896" i="55"/>
  <c r="A896" i="55"/>
  <c r="K896" i="55"/>
  <c r="L896" i="55" s="1"/>
  <c r="H896" i="55"/>
  <c r="B896" i="55"/>
  <c r="G896" i="55" s="1"/>
  <c r="C896" i="55"/>
  <c r="U896" i="55" s="1"/>
  <c r="S629" i="26" l="1"/>
  <c r="T629" i="26" s="1"/>
  <c r="BC629" i="26" s="1"/>
  <c r="AV628" i="55"/>
  <c r="BT628" i="26"/>
  <c r="P629" i="26"/>
  <c r="BK629" i="26"/>
  <c r="AO629" i="26"/>
  <c r="AT629" i="26" s="1"/>
  <c r="C630" i="26"/>
  <c r="AS630" i="26" s="1"/>
  <c r="BJ630" i="26" s="1"/>
  <c r="B630" i="26"/>
  <c r="H630" i="26"/>
  <c r="G630" i="26"/>
  <c r="Q630" i="26"/>
  <c r="W630" i="26"/>
  <c r="L630" i="26"/>
  <c r="A630" i="26"/>
  <c r="W896" i="55"/>
  <c r="D896" i="55"/>
  <c r="M896" i="55" s="1"/>
  <c r="F896" i="55"/>
  <c r="P896" i="55"/>
  <c r="V896" i="55" s="1"/>
  <c r="O896" i="55"/>
  <c r="AL629" i="26" l="1"/>
  <c r="AM629" i="26" s="1"/>
  <c r="AU629" i="26" s="1"/>
  <c r="V630" i="26"/>
  <c r="AO630" i="26" s="1"/>
  <c r="BL629" i="26"/>
  <c r="X630" i="26"/>
  <c r="AP630" i="26"/>
  <c r="U630" i="26"/>
  <c r="AF630" i="26" s="1"/>
  <c r="AN630" i="26" s="1"/>
  <c r="K630" i="26"/>
  <c r="M630" i="26" s="1"/>
  <c r="F630" i="26"/>
  <c r="R630" i="26" s="1"/>
  <c r="D630" i="26"/>
  <c r="E897" i="55"/>
  <c r="N896" i="55"/>
  <c r="AT630" i="26" l="1"/>
  <c r="N630" i="26"/>
  <c r="AJ630" i="26"/>
  <c r="AK630" i="26" s="1"/>
  <c r="AV629" i="55"/>
  <c r="BT629" i="26"/>
  <c r="E631" i="26"/>
  <c r="P630" i="26"/>
  <c r="O630" i="26"/>
  <c r="BK630" i="26"/>
  <c r="S896" i="55"/>
  <c r="X896" i="55"/>
  <c r="Q897" i="55"/>
  <c r="A897" i="55"/>
  <c r="H897" i="55"/>
  <c r="B897" i="55"/>
  <c r="D897" i="55" s="1"/>
  <c r="F897" i="55"/>
  <c r="K897" i="55"/>
  <c r="L897" i="55" s="1"/>
  <c r="C897" i="55"/>
  <c r="P897" i="55"/>
  <c r="AL630" i="26" l="1"/>
  <c r="AM630" i="26" s="1"/>
  <c r="AU630" i="26" s="1"/>
  <c r="W897" i="55"/>
  <c r="S630" i="26"/>
  <c r="T630" i="26" s="1"/>
  <c r="BC630" i="26" s="1"/>
  <c r="H631" i="26"/>
  <c r="Q631" i="26"/>
  <c r="B631" i="26"/>
  <c r="D631" i="26" s="1"/>
  <c r="O631" i="26" s="1"/>
  <c r="L631" i="26"/>
  <c r="C631" i="26"/>
  <c r="X631" i="26" s="1"/>
  <c r="A631" i="26"/>
  <c r="W631" i="26"/>
  <c r="K631" i="26"/>
  <c r="U631" i="26"/>
  <c r="F631" i="26"/>
  <c r="R631" i="26" s="1"/>
  <c r="AS631" i="26"/>
  <c r="BJ631" i="26" s="1"/>
  <c r="AF631" i="26"/>
  <c r="AN631" i="26" s="1"/>
  <c r="U897" i="55"/>
  <c r="V897" i="55" s="1"/>
  <c r="E898" i="55"/>
  <c r="O897" i="55"/>
  <c r="M897" i="55"/>
  <c r="G897" i="55"/>
  <c r="M631" i="26" l="1"/>
  <c r="P631" i="26"/>
  <c r="AP631" i="26"/>
  <c r="V631" i="26"/>
  <c r="AO631" i="26" s="1"/>
  <c r="E632" i="26"/>
  <c r="BL630" i="26"/>
  <c r="S631" i="26"/>
  <c r="T631" i="26" s="1"/>
  <c r="BC631" i="26" s="1"/>
  <c r="G631" i="26"/>
  <c r="N897" i="55"/>
  <c r="A898" i="55"/>
  <c r="C898" i="55"/>
  <c r="K898" i="55"/>
  <c r="L898" i="55" s="1"/>
  <c r="Q898" i="55"/>
  <c r="H898" i="55"/>
  <c r="B898" i="55"/>
  <c r="G898" i="55" s="1"/>
  <c r="W898" i="55"/>
  <c r="U898" i="55"/>
  <c r="P898" i="55"/>
  <c r="D898" i="55"/>
  <c r="M898" i="55" s="1"/>
  <c r="O898" i="55"/>
  <c r="AL631" i="26" l="1"/>
  <c r="AM631" i="26" s="1"/>
  <c r="AU631" i="26" s="1"/>
  <c r="H632" i="26"/>
  <c r="W632" i="26"/>
  <c r="Q632" i="26"/>
  <c r="L632" i="26"/>
  <c r="C632" i="26"/>
  <c r="A632" i="26"/>
  <c r="B632" i="26"/>
  <c r="K632" i="26" s="1"/>
  <c r="M632" i="26" s="1"/>
  <c r="AJ632" i="26" s="1"/>
  <c r="AK632" i="26" s="1"/>
  <c r="G632" i="26"/>
  <c r="F632" i="26"/>
  <c r="D632" i="26"/>
  <c r="BL631" i="26"/>
  <c r="AJ631" i="26"/>
  <c r="AK631" i="26" s="1"/>
  <c r="N631" i="26"/>
  <c r="AT631" i="26"/>
  <c r="AV630" i="55"/>
  <c r="BT630" i="26"/>
  <c r="BK631" i="26"/>
  <c r="V898" i="55"/>
  <c r="F898" i="55"/>
  <c r="N898" i="55"/>
  <c r="E899" i="55"/>
  <c r="S897" i="55"/>
  <c r="X897" i="55"/>
  <c r="N632" i="26" l="1"/>
  <c r="O632" i="26"/>
  <c r="V632" i="26"/>
  <c r="AO632" i="26" s="1"/>
  <c r="E633" i="26"/>
  <c r="U632" i="26"/>
  <c r="AF632" i="26" s="1"/>
  <c r="AN632" i="26" s="1"/>
  <c r="X632" i="26"/>
  <c r="AV631" i="55"/>
  <c r="BT631" i="26"/>
  <c r="AS632" i="26"/>
  <c r="BJ632" i="26" s="1"/>
  <c r="R632" i="26"/>
  <c r="P632" i="26"/>
  <c r="AP632" i="26"/>
  <c r="B899" i="55"/>
  <c r="F899" i="55" s="1"/>
  <c r="H899" i="55"/>
  <c r="Q899" i="55"/>
  <c r="K899" i="55"/>
  <c r="L899" i="55" s="1"/>
  <c r="A899" i="55"/>
  <c r="C899" i="55"/>
  <c r="U899" i="55" s="1"/>
  <c r="S898" i="55"/>
  <c r="X898" i="55"/>
  <c r="BK632" i="26" l="1"/>
  <c r="AT632" i="26"/>
  <c r="A633" i="26"/>
  <c r="L633" i="26"/>
  <c r="W633" i="26"/>
  <c r="Q633" i="26"/>
  <c r="C633" i="26"/>
  <c r="H633" i="26"/>
  <c r="B633" i="26"/>
  <c r="K633" i="26" s="1"/>
  <c r="M633" i="26" s="1"/>
  <c r="P899" i="55"/>
  <c r="AL632" i="26"/>
  <c r="S632" i="26"/>
  <c r="T632" i="26" s="1"/>
  <c r="BC632" i="26" s="1"/>
  <c r="D899" i="55"/>
  <c r="M899" i="55" s="1"/>
  <c r="N899" i="55" s="1"/>
  <c r="X899" i="55" s="1"/>
  <c r="W899" i="55"/>
  <c r="O899" i="55"/>
  <c r="V899" i="55"/>
  <c r="G899" i="55"/>
  <c r="AM632" i="26" l="1"/>
  <c r="AU632" i="26" s="1"/>
  <c r="X633" i="26"/>
  <c r="N633" i="26"/>
  <c r="AJ633" i="26"/>
  <c r="AK633" i="26" s="1"/>
  <c r="BL632" i="26"/>
  <c r="D633" i="26"/>
  <c r="E634" i="26" s="1"/>
  <c r="F633" i="26"/>
  <c r="R633" i="26" s="1"/>
  <c r="AP633" i="26"/>
  <c r="G633" i="26"/>
  <c r="U633" i="26"/>
  <c r="AS633" i="26"/>
  <c r="BJ633" i="26" s="1"/>
  <c r="V633" i="26"/>
  <c r="AF633" i="26"/>
  <c r="AN633" i="26" s="1"/>
  <c r="E900" i="55"/>
  <c r="S899" i="55"/>
  <c r="K634" i="26" l="1"/>
  <c r="AV632" i="55"/>
  <c r="BT632" i="26"/>
  <c r="X634" i="26"/>
  <c r="AO633" i="26"/>
  <c r="AT633" i="26" s="1"/>
  <c r="BK633" i="26"/>
  <c r="Q634" i="26"/>
  <c r="L634" i="26"/>
  <c r="A634" i="26"/>
  <c r="B634" i="26"/>
  <c r="D634" i="26"/>
  <c r="W634" i="26"/>
  <c r="H634" i="26"/>
  <c r="AS634" i="26"/>
  <c r="BJ634" i="26" s="1"/>
  <c r="C634" i="26"/>
  <c r="O633" i="26"/>
  <c r="P633" i="26"/>
  <c r="K900" i="55"/>
  <c r="L900" i="55" s="1"/>
  <c r="H900" i="55"/>
  <c r="Q900" i="55"/>
  <c r="C900" i="55"/>
  <c r="B900" i="55"/>
  <c r="U900" i="55"/>
  <c r="V900" i="55" s="1"/>
  <c r="W900" i="55"/>
  <c r="F900" i="55"/>
  <c r="D900" i="55"/>
  <c r="A900" i="55"/>
  <c r="O900" i="55"/>
  <c r="P900" i="55"/>
  <c r="G900" i="55"/>
  <c r="M900" i="55"/>
  <c r="AL633" i="26" l="1"/>
  <c r="AM633" i="26" s="1"/>
  <c r="AU633" i="26" s="1"/>
  <c r="M634" i="26"/>
  <c r="V634" i="26"/>
  <c r="AO634" i="26" s="1"/>
  <c r="E635" i="26"/>
  <c r="U634" i="26"/>
  <c r="AF634" i="26" s="1"/>
  <c r="AN634" i="26" s="1"/>
  <c r="AP634" i="26"/>
  <c r="F634" i="26"/>
  <c r="R634" i="26" s="1"/>
  <c r="G634" i="26"/>
  <c r="S633" i="26"/>
  <c r="T633" i="26" s="1"/>
  <c r="BC633" i="26" s="1"/>
  <c r="O634" i="26"/>
  <c r="BK634" i="26"/>
  <c r="N900" i="55"/>
  <c r="P634" i="26"/>
  <c r="E901" i="55"/>
  <c r="S900" i="55"/>
  <c r="X900" i="55"/>
  <c r="AL634" i="26" l="1"/>
  <c r="AM634" i="26" s="1"/>
  <c r="AU634" i="26" s="1"/>
  <c r="BL633" i="26"/>
  <c r="H635" i="26"/>
  <c r="A635" i="26"/>
  <c r="L635" i="26"/>
  <c r="W635" i="26"/>
  <c r="Q635" i="26"/>
  <c r="C635" i="26"/>
  <c r="B635" i="26"/>
  <c r="AT634" i="26"/>
  <c r="S634" i="26"/>
  <c r="T634" i="26" s="1"/>
  <c r="BC634" i="26" s="1"/>
  <c r="F635" i="26"/>
  <c r="R635" i="26" s="1"/>
  <c r="N634" i="26"/>
  <c r="AJ634" i="26"/>
  <c r="AK634" i="26" s="1"/>
  <c r="Q901" i="55"/>
  <c r="B901" i="55"/>
  <c r="H901" i="55"/>
  <c r="C901" i="55"/>
  <c r="A901" i="55"/>
  <c r="K901" i="55"/>
  <c r="L901" i="55" s="1"/>
  <c r="X635" i="26" l="1"/>
  <c r="K635" i="26"/>
  <c r="M635" i="26" s="1"/>
  <c r="AP635" i="26"/>
  <c r="V635" i="26"/>
  <c r="AO635" i="26" s="1"/>
  <c r="AS635" i="26"/>
  <c r="BJ635" i="26" s="1"/>
  <c r="U635" i="26"/>
  <c r="AF635" i="26" s="1"/>
  <c r="AN635" i="26" s="1"/>
  <c r="G635" i="26"/>
  <c r="AV633" i="55"/>
  <c r="BT633" i="26"/>
  <c r="D635" i="26"/>
  <c r="BL634" i="26"/>
  <c r="W901" i="55"/>
  <c r="P901" i="55"/>
  <c r="D901" i="55"/>
  <c r="E902" i="55" s="1"/>
  <c r="F901" i="55"/>
  <c r="G901" i="55"/>
  <c r="U901" i="55"/>
  <c r="V901" i="55" s="1"/>
  <c r="O901" i="55"/>
  <c r="AT635" i="26" l="1"/>
  <c r="BK635" i="26"/>
  <c r="P635" i="26"/>
  <c r="O635" i="26"/>
  <c r="S635" i="26" s="1"/>
  <c r="T635" i="26" s="1"/>
  <c r="BC635" i="26" s="1"/>
  <c r="E636" i="26"/>
  <c r="AJ635" i="26"/>
  <c r="AK635" i="26" s="1"/>
  <c r="N635" i="26"/>
  <c r="AV634" i="55"/>
  <c r="BT634" i="26"/>
  <c r="B902" i="55"/>
  <c r="W902" i="55" s="1"/>
  <c r="H902" i="55"/>
  <c r="C902" i="55"/>
  <c r="Q902" i="55"/>
  <c r="F902" i="55"/>
  <c r="A902" i="55"/>
  <c r="K902" i="55"/>
  <c r="L902" i="55" s="1"/>
  <c r="U902" i="55"/>
  <c r="P902" i="55"/>
  <c r="M901" i="55"/>
  <c r="AL635" i="26" l="1"/>
  <c r="AM635" i="26" s="1"/>
  <c r="AU635" i="26" s="1"/>
  <c r="V902" i="55"/>
  <c r="BL635" i="26"/>
  <c r="A636" i="26"/>
  <c r="Q636" i="26"/>
  <c r="H636" i="26"/>
  <c r="C636" i="26"/>
  <c r="AS636" i="26" s="1"/>
  <c r="BJ636" i="26" s="1"/>
  <c r="L636" i="26"/>
  <c r="W636" i="26"/>
  <c r="B636" i="26"/>
  <c r="X636" i="26" s="1"/>
  <c r="D636" i="26"/>
  <c r="E637" i="26" s="1"/>
  <c r="K636" i="26"/>
  <c r="N901" i="55"/>
  <c r="D902" i="55"/>
  <c r="G902" i="55"/>
  <c r="M902" i="55"/>
  <c r="O902" i="55"/>
  <c r="E903" i="55"/>
  <c r="V636" i="26" l="1"/>
  <c r="G636" i="26"/>
  <c r="F636" i="26"/>
  <c r="R636" i="26" s="1"/>
  <c r="AO636" i="26"/>
  <c r="BK636" i="26"/>
  <c r="M636" i="26"/>
  <c r="O636" i="26"/>
  <c r="U636" i="26"/>
  <c r="AF636" i="26" s="1"/>
  <c r="AN636" i="26" s="1"/>
  <c r="B637" i="26"/>
  <c r="K637" i="26" s="1"/>
  <c r="L637" i="26"/>
  <c r="Q637" i="26"/>
  <c r="H637" i="26"/>
  <c r="C637" i="26"/>
  <c r="U637" i="26" s="1"/>
  <c r="W637" i="26"/>
  <c r="F637" i="26"/>
  <c r="A637" i="26"/>
  <c r="D637" i="26"/>
  <c r="X637" i="26"/>
  <c r="BK637" i="26" s="1"/>
  <c r="V637" i="26"/>
  <c r="AP636" i="26"/>
  <c r="P636" i="26"/>
  <c r="BT635" i="26"/>
  <c r="AV635" i="55"/>
  <c r="A903" i="55"/>
  <c r="H903" i="55"/>
  <c r="K903" i="55"/>
  <c r="L903" i="55" s="1"/>
  <c r="Q903" i="55"/>
  <c r="C903" i="55"/>
  <c r="U903" i="55" s="1"/>
  <c r="B903" i="55"/>
  <c r="P903" i="55" s="1"/>
  <c r="S901" i="55"/>
  <c r="X901" i="55"/>
  <c r="N902" i="55"/>
  <c r="AL636" i="26" l="1"/>
  <c r="AM636" i="26" s="1"/>
  <c r="AU636" i="26" s="1"/>
  <c r="R637" i="26"/>
  <c r="M637" i="26"/>
  <c r="AP637" i="26"/>
  <c r="V903" i="55"/>
  <c r="S636" i="26"/>
  <c r="T636" i="26" s="1"/>
  <c r="BC636" i="26" s="1"/>
  <c r="O637" i="26"/>
  <c r="N636" i="26"/>
  <c r="AJ636" i="26"/>
  <c r="AK636" i="26" s="1"/>
  <c r="P637" i="26"/>
  <c r="AO637" i="26"/>
  <c r="G637" i="26"/>
  <c r="AF637" i="26"/>
  <c r="AN637" i="26" s="1"/>
  <c r="AS637" i="26"/>
  <c r="BJ637" i="26" s="1"/>
  <c r="E638" i="26"/>
  <c r="AT636" i="26"/>
  <c r="S902" i="55"/>
  <c r="X902" i="55"/>
  <c r="W903" i="55"/>
  <c r="F903" i="55"/>
  <c r="D903" i="55"/>
  <c r="M903" i="55" s="1"/>
  <c r="G903" i="55"/>
  <c r="O903" i="55"/>
  <c r="AT637" i="26" l="1"/>
  <c r="AL637" i="26"/>
  <c r="AM637" i="26" s="1"/>
  <c r="AU637" i="26" s="1"/>
  <c r="N637" i="26"/>
  <c r="AJ637" i="26"/>
  <c r="AK637" i="26" s="1"/>
  <c r="BL636" i="26"/>
  <c r="E904" i="55"/>
  <c r="K904" i="55" s="1"/>
  <c r="L904" i="55" s="1"/>
  <c r="H638" i="26"/>
  <c r="AO638" i="26"/>
  <c r="Q638" i="26"/>
  <c r="C638" i="26"/>
  <c r="W638" i="26"/>
  <c r="A638" i="26"/>
  <c r="L638" i="26"/>
  <c r="B638" i="26"/>
  <c r="F638" i="26"/>
  <c r="V638" i="26"/>
  <c r="G638" i="26"/>
  <c r="S637" i="26"/>
  <c r="T637" i="26" s="1"/>
  <c r="BL637" i="26" s="1"/>
  <c r="C904" i="55"/>
  <c r="U904" i="55" s="1"/>
  <c r="B904" i="55"/>
  <c r="P904" i="55" s="1"/>
  <c r="Q904" i="55"/>
  <c r="A904" i="55"/>
  <c r="F904" i="55"/>
  <c r="N903" i="55"/>
  <c r="D638" i="26" l="1"/>
  <c r="E639" i="26"/>
  <c r="BC637" i="26"/>
  <c r="R638" i="26"/>
  <c r="K638" i="26"/>
  <c r="M638" i="26" s="1"/>
  <c r="V904" i="55"/>
  <c r="B639" i="26"/>
  <c r="W639" i="26"/>
  <c r="H639" i="26"/>
  <c r="L639" i="26"/>
  <c r="Q639" i="26"/>
  <c r="A639" i="26"/>
  <c r="K639" i="26"/>
  <c r="AV636" i="55"/>
  <c r="BT636" i="26"/>
  <c r="AP638" i="26"/>
  <c r="AT638" i="26" s="1"/>
  <c r="G904" i="55"/>
  <c r="H904" i="55"/>
  <c r="O904" i="55"/>
  <c r="X638" i="26"/>
  <c r="BK638" i="26" s="1"/>
  <c r="AS638" i="26"/>
  <c r="BJ638" i="26" s="1"/>
  <c r="U638" i="26"/>
  <c r="AF638" i="26" s="1"/>
  <c r="AN638" i="26" s="1"/>
  <c r="X903" i="55"/>
  <c r="S903" i="55"/>
  <c r="D904" i="55"/>
  <c r="W904" i="55"/>
  <c r="D639" i="26" l="1"/>
  <c r="G639" i="26"/>
  <c r="F639" i="26"/>
  <c r="R639" i="26" s="1"/>
  <c r="C639" i="26"/>
  <c r="X639" i="26" s="1"/>
  <c r="O638" i="26"/>
  <c r="P638" i="26"/>
  <c r="N638" i="26"/>
  <c r="AJ638" i="26"/>
  <c r="AK638" i="26" s="1"/>
  <c r="M639" i="26"/>
  <c r="AV637" i="55"/>
  <c r="BT637" i="26"/>
  <c r="P639" i="26"/>
  <c r="O639" i="26"/>
  <c r="M904" i="55"/>
  <c r="E905" i="55"/>
  <c r="AL638" i="26" l="1"/>
  <c r="AM638" i="26" s="1"/>
  <c r="AU638" i="26" s="1"/>
  <c r="AL639" i="26"/>
  <c r="AM639" i="26" s="1"/>
  <c r="AU639" i="26" s="1"/>
  <c r="AP639" i="26"/>
  <c r="E640" i="26"/>
  <c r="S638" i="26"/>
  <c r="T638" i="26" s="1"/>
  <c r="U639" i="26"/>
  <c r="AF639" i="26" s="1"/>
  <c r="AN639" i="26" s="1"/>
  <c r="V639" i="26"/>
  <c r="AO639" i="26" s="1"/>
  <c r="AS639" i="26"/>
  <c r="BJ639" i="26" s="1"/>
  <c r="N639" i="26"/>
  <c r="AJ639" i="26"/>
  <c r="AK639" i="26" s="1"/>
  <c r="S639" i="26"/>
  <c r="T639" i="26" s="1"/>
  <c r="C640" i="26"/>
  <c r="A640" i="26"/>
  <c r="H640" i="26"/>
  <c r="W640" i="26"/>
  <c r="L640" i="26"/>
  <c r="Q640" i="26"/>
  <c r="B640" i="26"/>
  <c r="F640" i="26" s="1"/>
  <c r="V640" i="26"/>
  <c r="H905" i="55"/>
  <c r="B905" i="55"/>
  <c r="C905" i="55"/>
  <c r="O905" i="55" s="1"/>
  <c r="Q905" i="55"/>
  <c r="A905" i="55"/>
  <c r="K905" i="55"/>
  <c r="L905" i="55" s="1"/>
  <c r="N904" i="55"/>
  <c r="AT639" i="26" l="1"/>
  <c r="R640" i="26"/>
  <c r="BL638" i="26"/>
  <c r="BC638" i="26"/>
  <c r="BK639" i="26"/>
  <c r="D640" i="26"/>
  <c r="E641" i="26" s="1"/>
  <c r="AO640" i="26"/>
  <c r="X640" i="26"/>
  <c r="BK640" i="26" s="1"/>
  <c r="K640" i="26"/>
  <c r="M640" i="26" s="1"/>
  <c r="U640" i="26"/>
  <c r="AF640" i="26" s="1"/>
  <c r="AN640" i="26" s="1"/>
  <c r="P640" i="26"/>
  <c r="AP640" i="26"/>
  <c r="BL639" i="26"/>
  <c r="AS640" i="26"/>
  <c r="BJ640" i="26" s="1"/>
  <c r="G640" i="26"/>
  <c r="S904" i="55"/>
  <c r="X904" i="55"/>
  <c r="W905" i="55"/>
  <c r="P905" i="55"/>
  <c r="G905" i="55"/>
  <c r="D905" i="55"/>
  <c r="F905" i="55"/>
  <c r="BC639" i="26" l="1"/>
  <c r="AV639" i="55" s="1"/>
  <c r="AV638" i="55"/>
  <c r="BT638" i="26"/>
  <c r="AT640" i="26"/>
  <c r="O640" i="26"/>
  <c r="AJ640" i="26"/>
  <c r="AK640" i="26" s="1"/>
  <c r="N640" i="26"/>
  <c r="W641" i="26"/>
  <c r="A641" i="26"/>
  <c r="Q641" i="26"/>
  <c r="C641" i="26"/>
  <c r="H641" i="26"/>
  <c r="L641" i="26"/>
  <c r="B641" i="26"/>
  <c r="K641" i="26" s="1"/>
  <c r="E906" i="55"/>
  <c r="M905" i="55"/>
  <c r="AL640" i="26" l="1"/>
  <c r="AM640" i="26" s="1"/>
  <c r="AU640" i="26" s="1"/>
  <c r="M641" i="26"/>
  <c r="AJ641" i="26" s="1"/>
  <c r="AK641" i="26" s="1"/>
  <c r="BT639" i="26"/>
  <c r="S640" i="26"/>
  <c r="T640" i="26" s="1"/>
  <c r="BC640" i="26" s="1"/>
  <c r="X641" i="26"/>
  <c r="G641" i="26"/>
  <c r="D641" i="26"/>
  <c r="O641" i="26" s="1"/>
  <c r="S641" i="26" s="1"/>
  <c r="T641" i="26" s="1"/>
  <c r="V641" i="26"/>
  <c r="AO641" i="26" s="1"/>
  <c r="P641" i="26"/>
  <c r="F641" i="26"/>
  <c r="R641" i="26" s="1"/>
  <c r="U641" i="26"/>
  <c r="AF641" i="26" s="1"/>
  <c r="AN641" i="26" s="1"/>
  <c r="AP641" i="26"/>
  <c r="N905" i="55"/>
  <c r="C906" i="55"/>
  <c r="H906" i="55"/>
  <c r="B906" i="55"/>
  <c r="Q906" i="55"/>
  <c r="A906" i="55"/>
  <c r="K906" i="55"/>
  <c r="L906" i="55" s="1"/>
  <c r="N641" i="26" l="1"/>
  <c r="BC641" i="26"/>
  <c r="BL640" i="26"/>
  <c r="AT641" i="26"/>
  <c r="BL641" i="26"/>
  <c r="AL641" i="26"/>
  <c r="E642" i="26"/>
  <c r="BK641" i="26"/>
  <c r="U906" i="55"/>
  <c r="O906" i="55"/>
  <c r="F906" i="55"/>
  <c r="P906" i="55"/>
  <c r="W906" i="55"/>
  <c r="G906" i="55"/>
  <c r="D906" i="55"/>
  <c r="S905" i="55"/>
  <c r="X905" i="55"/>
  <c r="AM641" i="26" l="1"/>
  <c r="AU641" i="26" s="1"/>
  <c r="V906" i="55"/>
  <c r="Q642" i="26"/>
  <c r="L642" i="26"/>
  <c r="A642" i="26"/>
  <c r="W642" i="26"/>
  <c r="H642" i="26"/>
  <c r="C642" i="26"/>
  <c r="V642" i="26" s="1"/>
  <c r="B642" i="26"/>
  <c r="F642" i="26" s="1"/>
  <c r="R642" i="26" s="1"/>
  <c r="BT640" i="26"/>
  <c r="AV640" i="55"/>
  <c r="AV641" i="55"/>
  <c r="BT641" i="26"/>
  <c r="E907" i="55"/>
  <c r="M906" i="55"/>
  <c r="AO642" i="26" l="1"/>
  <c r="O642" i="26"/>
  <c r="G642" i="26"/>
  <c r="D642" i="26"/>
  <c r="AP642" i="26"/>
  <c r="U642" i="26"/>
  <c r="AF642" i="26" s="1"/>
  <c r="AN642" i="26" s="1"/>
  <c r="X642" i="26"/>
  <c r="BK642" i="26" s="1"/>
  <c r="K642" i="26"/>
  <c r="M642" i="26" s="1"/>
  <c r="AS642" i="26"/>
  <c r="BJ642" i="26" s="1"/>
  <c r="N906" i="55"/>
  <c r="Q907" i="55"/>
  <c r="B907" i="55"/>
  <c r="F907" i="55" s="1"/>
  <c r="K907" i="55"/>
  <c r="L907" i="55" s="1"/>
  <c r="A907" i="55"/>
  <c r="C907" i="55"/>
  <c r="H907" i="55"/>
  <c r="G907" i="55"/>
  <c r="AT642" i="26" l="1"/>
  <c r="S642" i="26"/>
  <c r="T642" i="26" s="1"/>
  <c r="BC642" i="26" s="1"/>
  <c r="P642" i="26"/>
  <c r="N642" i="26"/>
  <c r="AJ642" i="26"/>
  <c r="AK642" i="26" s="1"/>
  <c r="E643" i="26"/>
  <c r="D907" i="55"/>
  <c r="M907" i="55" s="1"/>
  <c r="X906" i="55"/>
  <c r="S906" i="55"/>
  <c r="O907" i="55"/>
  <c r="P907" i="55"/>
  <c r="W907" i="55"/>
  <c r="U907" i="55"/>
  <c r="V907" i="55" s="1"/>
  <c r="AL642" i="26" l="1"/>
  <c r="AM642" i="26" s="1"/>
  <c r="AU642" i="26" s="1"/>
  <c r="E908" i="55"/>
  <c r="BL642" i="26"/>
  <c r="W643" i="26"/>
  <c r="C643" i="26"/>
  <c r="U643" i="26" s="1"/>
  <c r="AF643" i="26" s="1"/>
  <c r="AN643" i="26" s="1"/>
  <c r="B643" i="26"/>
  <c r="H643" i="26"/>
  <c r="AS643" i="26"/>
  <c r="BJ643" i="26" s="1"/>
  <c r="Q643" i="26"/>
  <c r="L643" i="26"/>
  <c r="A643" i="26"/>
  <c r="X643" i="26"/>
  <c r="A908" i="55"/>
  <c r="Q908" i="55"/>
  <c r="H908" i="55"/>
  <c r="C908" i="55"/>
  <c r="K908" i="55"/>
  <c r="L908" i="55" s="1"/>
  <c r="B908" i="55"/>
  <c r="N907" i="55"/>
  <c r="F643" i="26" l="1"/>
  <c r="R643" i="26" s="1"/>
  <c r="AV642" i="55"/>
  <c r="BT642" i="26"/>
  <c r="D643" i="26"/>
  <c r="G643" i="26"/>
  <c r="K643" i="26"/>
  <c r="M643" i="26" s="1"/>
  <c r="AP643" i="26"/>
  <c r="V643" i="26"/>
  <c r="BK643" i="26" s="1"/>
  <c r="P908" i="55"/>
  <c r="F908" i="55"/>
  <c r="G908" i="55"/>
  <c r="D908" i="55"/>
  <c r="E909" i="55" s="1"/>
  <c r="M908" i="55"/>
  <c r="O908" i="55"/>
  <c r="U908" i="55"/>
  <c r="S907" i="55"/>
  <c r="X907" i="55"/>
  <c r="W908" i="55"/>
  <c r="N643" i="26" l="1"/>
  <c r="AJ643" i="26"/>
  <c r="AK643" i="26" s="1"/>
  <c r="P643" i="26"/>
  <c r="V908" i="55"/>
  <c r="E644" i="26"/>
  <c r="O643" i="26"/>
  <c r="AO643" i="26"/>
  <c r="AT643" i="26" s="1"/>
  <c r="H909" i="55"/>
  <c r="A909" i="55"/>
  <c r="C909" i="55"/>
  <c r="Q909" i="55"/>
  <c r="U909" i="55"/>
  <c r="B909" i="55"/>
  <c r="K909" i="55"/>
  <c r="L909" i="55" s="1"/>
  <c r="N908" i="55"/>
  <c r="AL643" i="26" l="1"/>
  <c r="AM643" i="26" s="1"/>
  <c r="AU643" i="26" s="1"/>
  <c r="S643" i="26"/>
  <c r="T643" i="26" s="1"/>
  <c r="BC643" i="26" s="1"/>
  <c r="L644" i="26"/>
  <c r="Q644" i="26"/>
  <c r="H644" i="26"/>
  <c r="A644" i="26"/>
  <c r="C644" i="26"/>
  <c r="U644" i="26" s="1"/>
  <c r="AF644" i="26" s="1"/>
  <c r="AN644" i="26" s="1"/>
  <c r="B644" i="26"/>
  <c r="D644" i="26" s="1"/>
  <c r="W644" i="26"/>
  <c r="X644" i="26"/>
  <c r="F644" i="26"/>
  <c r="R644" i="26" s="1"/>
  <c r="V644" i="26"/>
  <c r="K644" i="26"/>
  <c r="M644" i="26" s="1"/>
  <c r="N644" i="26" s="1"/>
  <c r="S908" i="55"/>
  <c r="X908" i="55"/>
  <c r="D909" i="55"/>
  <c r="M909" i="55" s="1"/>
  <c r="G909" i="55"/>
  <c r="P909" i="55"/>
  <c r="V909" i="55" s="1"/>
  <c r="W909" i="55"/>
  <c r="F909" i="55"/>
  <c r="O909" i="55"/>
  <c r="AO644" i="26" l="1"/>
  <c r="AS644" i="26"/>
  <c r="BJ644" i="26" s="1"/>
  <c r="E645" i="26"/>
  <c r="O644" i="26"/>
  <c r="S644" i="26" s="1"/>
  <c r="T644" i="26" s="1"/>
  <c r="BC644" i="26" s="1"/>
  <c r="E910" i="55"/>
  <c r="AJ644" i="26"/>
  <c r="AK644" i="26" s="1"/>
  <c r="BK644" i="26"/>
  <c r="P644" i="26"/>
  <c r="G644" i="26"/>
  <c r="AP644" i="26"/>
  <c r="BL643" i="26"/>
  <c r="B910" i="55"/>
  <c r="K910" i="55"/>
  <c r="L910" i="55" s="1"/>
  <c r="H910" i="55"/>
  <c r="Q910" i="55"/>
  <c r="P910" i="55"/>
  <c r="C910" i="55"/>
  <c r="A910" i="55"/>
  <c r="N909" i="55"/>
  <c r="AL644" i="26" l="1"/>
  <c r="AM644" i="26" s="1"/>
  <c r="AU644" i="26" s="1"/>
  <c r="AT644" i="26"/>
  <c r="BL644" i="26"/>
  <c r="A645" i="26"/>
  <c r="W645" i="26"/>
  <c r="L645" i="26"/>
  <c r="Q645" i="26"/>
  <c r="H645" i="26"/>
  <c r="C645" i="26"/>
  <c r="U645" i="26" s="1"/>
  <c r="B645" i="26"/>
  <c r="D645" i="26" s="1"/>
  <c r="V645" i="26"/>
  <c r="BT643" i="26"/>
  <c r="AV643" i="55"/>
  <c r="W910" i="55"/>
  <c r="U910" i="55"/>
  <c r="V910" i="55" s="1"/>
  <c r="O910" i="55"/>
  <c r="E911" i="55"/>
  <c r="S909" i="55"/>
  <c r="X909" i="55"/>
  <c r="F910" i="55"/>
  <c r="G910" i="55"/>
  <c r="D910" i="55"/>
  <c r="M910" i="55" s="1"/>
  <c r="AO645" i="26" l="1"/>
  <c r="P645" i="26"/>
  <c r="AF645" i="26"/>
  <c r="AN645" i="26" s="1"/>
  <c r="E646" i="26"/>
  <c r="O645" i="26"/>
  <c r="F645" i="26"/>
  <c r="R645" i="26" s="1"/>
  <c r="AP645" i="26"/>
  <c r="AS645" i="26"/>
  <c r="BJ645" i="26" s="1"/>
  <c r="AV644" i="55"/>
  <c r="BT644" i="26"/>
  <c r="K645" i="26"/>
  <c r="M645" i="26" s="1"/>
  <c r="G645" i="26"/>
  <c r="X645" i="26"/>
  <c r="BK645" i="26" s="1"/>
  <c r="H911" i="55"/>
  <c r="A911" i="55"/>
  <c r="B911" i="55"/>
  <c r="G911" i="55" s="1"/>
  <c r="K911" i="55"/>
  <c r="L911" i="55" s="1"/>
  <c r="Q911" i="55"/>
  <c r="C911" i="55"/>
  <c r="D911" i="55"/>
  <c r="M911" i="55" s="1"/>
  <c r="N910" i="55"/>
  <c r="AT645" i="26" l="1"/>
  <c r="AL645" i="26"/>
  <c r="AM645" i="26" s="1"/>
  <c r="AU645" i="26" s="1"/>
  <c r="B646" i="26"/>
  <c r="AP646" i="26" s="1"/>
  <c r="L646" i="26"/>
  <c r="H646" i="26"/>
  <c r="C646" i="26"/>
  <c r="U646" i="26" s="1"/>
  <c r="W646" i="26"/>
  <c r="A646" i="26"/>
  <c r="Q646" i="26"/>
  <c r="K646" i="26"/>
  <c r="F646" i="26"/>
  <c r="R646" i="26" s="1"/>
  <c r="G646" i="26"/>
  <c r="X646" i="26"/>
  <c r="AJ645" i="26"/>
  <c r="AK645" i="26" s="1"/>
  <c r="N645" i="26"/>
  <c r="S645" i="26"/>
  <c r="T645" i="26" s="1"/>
  <c r="BC645" i="26" s="1"/>
  <c r="N911" i="55"/>
  <c r="X911" i="55" s="1"/>
  <c r="X910" i="55"/>
  <c r="S910" i="55"/>
  <c r="W911" i="55"/>
  <c r="U911" i="55"/>
  <c r="O911" i="55"/>
  <c r="E912" i="55"/>
  <c r="F911" i="55"/>
  <c r="P911" i="55"/>
  <c r="AS646" i="26" l="1"/>
  <c r="BJ646" i="26" s="1"/>
  <c r="D646" i="26"/>
  <c r="E647" i="26" s="1"/>
  <c r="BL645" i="26"/>
  <c r="AF646" i="26"/>
  <c r="AN646" i="26" s="1"/>
  <c r="M646" i="26"/>
  <c r="V646" i="26"/>
  <c r="AO646" i="26" s="1"/>
  <c r="AT646" i="26" s="1"/>
  <c r="S911" i="55"/>
  <c r="V911" i="55"/>
  <c r="H912" i="55"/>
  <c r="K912" i="55"/>
  <c r="L912" i="55" s="1"/>
  <c r="B912" i="55"/>
  <c r="G912" i="55" s="1"/>
  <c r="C912" i="55"/>
  <c r="O912" i="55"/>
  <c r="Q912" i="55"/>
  <c r="A912" i="55"/>
  <c r="P646" i="26" l="1"/>
  <c r="O646" i="26"/>
  <c r="S646" i="26" s="1"/>
  <c r="T646" i="26" s="1"/>
  <c r="BK646" i="26"/>
  <c r="W647" i="26"/>
  <c r="B647" i="26"/>
  <c r="Q647" i="26"/>
  <c r="R647" i="26" s="1"/>
  <c r="H647" i="26"/>
  <c r="A647" i="26"/>
  <c r="L647" i="26"/>
  <c r="C647" i="26"/>
  <c r="F647" i="26"/>
  <c r="K647" i="26"/>
  <c r="M647" i="26" s="1"/>
  <c r="N647" i="26" s="1"/>
  <c r="X647" i="26"/>
  <c r="G647" i="26"/>
  <c r="BT645" i="26"/>
  <c r="AV645" i="55"/>
  <c r="AJ646" i="26"/>
  <c r="AK646" i="26" s="1"/>
  <c r="N646" i="26"/>
  <c r="U912" i="55"/>
  <c r="F912" i="55"/>
  <c r="P912" i="55"/>
  <c r="W912" i="55"/>
  <c r="D912" i="55"/>
  <c r="E913" i="55" s="1"/>
  <c r="AL646" i="26" l="1"/>
  <c r="AM646" i="26" s="1"/>
  <c r="AU646" i="26" s="1"/>
  <c r="AJ647" i="26"/>
  <c r="AK647" i="26" s="1"/>
  <c r="D647" i="26"/>
  <c r="P647" i="26" s="1"/>
  <c r="E648" i="26"/>
  <c r="BL646" i="26"/>
  <c r="BC646" i="26"/>
  <c r="L648" i="26"/>
  <c r="C648" i="26"/>
  <c r="U648" i="26" s="1"/>
  <c r="B648" i="26"/>
  <c r="K648" i="26" s="1"/>
  <c r="M648" i="26" s="1"/>
  <c r="N648" i="26" s="1"/>
  <c r="H648" i="26"/>
  <c r="A648" i="26"/>
  <c r="Q648" i="26"/>
  <c r="W648" i="26"/>
  <c r="AF648" i="26"/>
  <c r="AN648" i="26" s="1"/>
  <c r="V647" i="26"/>
  <c r="O647" i="26"/>
  <c r="AS647" i="26"/>
  <c r="BJ647" i="26" s="1"/>
  <c r="U647" i="26"/>
  <c r="AF647" i="26" s="1"/>
  <c r="AN647" i="26" s="1"/>
  <c r="AP647" i="26"/>
  <c r="A913" i="55"/>
  <c r="H913" i="55"/>
  <c r="K913" i="55"/>
  <c r="L913" i="55" s="1"/>
  <c r="B913" i="55"/>
  <c r="F913" i="55" s="1"/>
  <c r="C913" i="55"/>
  <c r="O913" i="55" s="1"/>
  <c r="Q913" i="55"/>
  <c r="G913" i="55"/>
  <c r="W913" i="55"/>
  <c r="M912" i="55"/>
  <c r="V912" i="55"/>
  <c r="AL647" i="26" l="1"/>
  <c r="AM647" i="26" s="1"/>
  <c r="AU647" i="26" s="1"/>
  <c r="AV646" i="55"/>
  <c r="BT646" i="26"/>
  <c r="X648" i="26"/>
  <c r="S647" i="26"/>
  <c r="T647" i="26" s="1"/>
  <c r="BC647" i="26" s="1"/>
  <c r="F648" i="26"/>
  <c r="R648" i="26" s="1"/>
  <c r="G648" i="26"/>
  <c r="D913" i="55"/>
  <c r="E914" i="55" s="1"/>
  <c r="U913" i="55"/>
  <c r="V913" i="55" s="1"/>
  <c r="BK647" i="26"/>
  <c r="AO647" i="26"/>
  <c r="AT647" i="26" s="1"/>
  <c r="V648" i="26"/>
  <c r="P913" i="55"/>
  <c r="AJ648" i="26"/>
  <c r="AK648" i="26" s="1"/>
  <c r="AP648" i="26"/>
  <c r="D648" i="26"/>
  <c r="O648" i="26"/>
  <c r="S648" i="26" s="1"/>
  <c r="T648" i="26" s="1"/>
  <c r="AS648" i="26"/>
  <c r="BJ648" i="26" s="1"/>
  <c r="N912" i="55"/>
  <c r="BC648" i="26" l="1"/>
  <c r="AO648" i="26"/>
  <c r="AT648" i="26" s="1"/>
  <c r="BK648" i="26"/>
  <c r="A914" i="55"/>
  <c r="H914" i="55"/>
  <c r="P914" i="55"/>
  <c r="Q914" i="55"/>
  <c r="C914" i="55"/>
  <c r="U914" i="55" s="1"/>
  <c r="BL647" i="26"/>
  <c r="B914" i="55"/>
  <c r="D914" i="55" s="1"/>
  <c r="K914" i="55"/>
  <c r="L914" i="55" s="1"/>
  <c r="BL648" i="26"/>
  <c r="G914" i="55"/>
  <c r="E649" i="26"/>
  <c r="M913" i="55"/>
  <c r="P648" i="26"/>
  <c r="F914" i="55"/>
  <c r="O914" i="55"/>
  <c r="S912" i="55"/>
  <c r="X912" i="55"/>
  <c r="AL648" i="26" l="1"/>
  <c r="AM648" i="26" s="1"/>
  <c r="AU648" i="26" s="1"/>
  <c r="V914" i="55"/>
  <c r="M914" i="55"/>
  <c r="E915" i="55"/>
  <c r="Q915" i="55" s="1"/>
  <c r="AV648" i="55"/>
  <c r="BT648" i="26"/>
  <c r="AV647" i="55"/>
  <c r="BT647" i="26"/>
  <c r="L649" i="26"/>
  <c r="B649" i="26"/>
  <c r="G649" i="26" s="1"/>
  <c r="U649" i="26"/>
  <c r="C649" i="26"/>
  <c r="AS649" i="26" s="1"/>
  <c r="BJ649" i="26" s="1"/>
  <c r="Q649" i="26"/>
  <c r="AO649" i="26"/>
  <c r="A649" i="26"/>
  <c r="W649" i="26"/>
  <c r="H649" i="26"/>
  <c r="X649" i="26"/>
  <c r="BK649" i="26" s="1"/>
  <c r="V649" i="26"/>
  <c r="D649" i="26"/>
  <c r="E650" i="26" s="1"/>
  <c r="F649" i="26"/>
  <c r="N913" i="55"/>
  <c r="W914" i="55"/>
  <c r="A915" i="55"/>
  <c r="K915" i="55"/>
  <c r="L915" i="55" s="1"/>
  <c r="B915" i="55"/>
  <c r="W915" i="55" s="1"/>
  <c r="H915" i="55"/>
  <c r="C915" i="55"/>
  <c r="U915" i="55" s="1"/>
  <c r="R649" i="26" l="1"/>
  <c r="L650" i="26"/>
  <c r="B650" i="26"/>
  <c r="H650" i="26"/>
  <c r="W650" i="26"/>
  <c r="A650" i="26"/>
  <c r="C650" i="26"/>
  <c r="V650" i="26" s="1"/>
  <c r="Q650" i="26"/>
  <c r="X650" i="26"/>
  <c r="K650" i="26"/>
  <c r="M650" i="26" s="1"/>
  <c r="N650" i="26" s="1"/>
  <c r="G650" i="26"/>
  <c r="D650" i="26"/>
  <c r="F650" i="26"/>
  <c r="R650" i="26" s="1"/>
  <c r="P650" i="26"/>
  <c r="N914" i="55"/>
  <c r="P649" i="26"/>
  <c r="X913" i="55"/>
  <c r="S913" i="55"/>
  <c r="AF649" i="26"/>
  <c r="AN649" i="26" s="1"/>
  <c r="K649" i="26"/>
  <c r="M649" i="26" s="1"/>
  <c r="O649" i="26"/>
  <c r="AP649" i="26"/>
  <c r="AT649" i="26" s="1"/>
  <c r="O915" i="55"/>
  <c r="P915" i="55"/>
  <c r="V915" i="55" s="1"/>
  <c r="D915" i="55"/>
  <c r="F915" i="55"/>
  <c r="G915" i="55"/>
  <c r="AJ650" i="26" l="1"/>
  <c r="AK650" i="26" s="1"/>
  <c r="AO650" i="26"/>
  <c r="AL649" i="26"/>
  <c r="AM649" i="26" s="1"/>
  <c r="AU649" i="26" s="1"/>
  <c r="O650" i="26"/>
  <c r="S650" i="26" s="1"/>
  <c r="T650" i="26" s="1"/>
  <c r="BL650" i="26" s="1"/>
  <c r="U650" i="26"/>
  <c r="AF650" i="26" s="1"/>
  <c r="AN650" i="26" s="1"/>
  <c r="BK650" i="26"/>
  <c r="AP650" i="26"/>
  <c r="AJ649" i="26"/>
  <c r="AK649" i="26" s="1"/>
  <c r="N649" i="26"/>
  <c r="S649" i="26"/>
  <c r="T649" i="26" s="1"/>
  <c r="BC649" i="26" s="1"/>
  <c r="X914" i="55"/>
  <c r="S914" i="55"/>
  <c r="AS650" i="26"/>
  <c r="BJ650" i="26" s="1"/>
  <c r="E651" i="26"/>
  <c r="M915" i="55"/>
  <c r="E916" i="55"/>
  <c r="BC650" i="26" l="1"/>
  <c r="AL650" i="26"/>
  <c r="AM650" i="26" s="1"/>
  <c r="AU650" i="26" s="1"/>
  <c r="AT650" i="26"/>
  <c r="BL649" i="26"/>
  <c r="A651" i="26"/>
  <c r="Q651" i="26"/>
  <c r="C651" i="26"/>
  <c r="L651" i="26"/>
  <c r="H651" i="26"/>
  <c r="B651" i="26"/>
  <c r="G651" i="26" s="1"/>
  <c r="W651" i="26"/>
  <c r="V651" i="26"/>
  <c r="U651" i="26"/>
  <c r="A916" i="55"/>
  <c r="Q916" i="55"/>
  <c r="H916" i="55"/>
  <c r="C916" i="55"/>
  <c r="U916" i="55" s="1"/>
  <c r="K916" i="55"/>
  <c r="L916" i="55" s="1"/>
  <c r="B916" i="55"/>
  <c r="N915" i="55"/>
  <c r="AO651" i="26" l="1"/>
  <c r="X651" i="26"/>
  <c r="AF651" i="26"/>
  <c r="AN651" i="26" s="1"/>
  <c r="D651" i="26"/>
  <c r="P651" i="26" s="1"/>
  <c r="K651" i="26"/>
  <c r="M651" i="26" s="1"/>
  <c r="AP651" i="26"/>
  <c r="BK651" i="26"/>
  <c r="AS651" i="26"/>
  <c r="BJ651" i="26" s="1"/>
  <c r="E652" i="26"/>
  <c r="AV649" i="55"/>
  <c r="BT649" i="26"/>
  <c r="F651" i="26"/>
  <c r="R651" i="26" s="1"/>
  <c r="E917" i="55"/>
  <c r="O917" i="55" s="1"/>
  <c r="D916" i="55"/>
  <c r="M916" i="55" s="1"/>
  <c r="W916" i="55"/>
  <c r="F916" i="55"/>
  <c r="G916" i="55"/>
  <c r="S915" i="55"/>
  <c r="X915" i="55"/>
  <c r="P916" i="55"/>
  <c r="V916" i="55" s="1"/>
  <c r="O916" i="55"/>
  <c r="AT651" i="26" l="1"/>
  <c r="AJ651" i="26"/>
  <c r="AK651" i="26" s="1"/>
  <c r="N651" i="26"/>
  <c r="O651" i="26"/>
  <c r="S651" i="26" s="1"/>
  <c r="T651" i="26" s="1"/>
  <c r="BC651" i="26" s="1"/>
  <c r="AV650" i="55"/>
  <c r="BT650" i="26"/>
  <c r="AP652" i="26"/>
  <c r="L652" i="26"/>
  <c r="H652" i="26"/>
  <c r="Q652" i="26"/>
  <c r="B652" i="26"/>
  <c r="F652" i="26"/>
  <c r="W652" i="26"/>
  <c r="A652" i="26"/>
  <c r="C652" i="26"/>
  <c r="AS652" i="26"/>
  <c r="BJ652" i="26" s="1"/>
  <c r="K652" i="26"/>
  <c r="M652" i="26" s="1"/>
  <c r="AJ652" i="26" s="1"/>
  <c r="AK652" i="26" s="1"/>
  <c r="D652" i="26"/>
  <c r="P652" i="26" s="1"/>
  <c r="X652" i="26"/>
  <c r="G652" i="26"/>
  <c r="N917" i="55"/>
  <c r="L917" i="55"/>
  <c r="C917" i="55"/>
  <c r="G917" i="55"/>
  <c r="X917" i="55"/>
  <c r="K917" i="55"/>
  <c r="P917" i="55"/>
  <c r="Q917" i="55"/>
  <c r="H917" i="55"/>
  <c r="A917" i="55"/>
  <c r="B917" i="55"/>
  <c r="W917" i="55" s="1"/>
  <c r="D917" i="55"/>
  <c r="F917" i="55"/>
  <c r="M917" i="55"/>
  <c r="S917" i="55"/>
  <c r="N916" i="55"/>
  <c r="N652" i="26" l="1"/>
  <c r="AL651" i="26"/>
  <c r="AM651" i="26" s="1"/>
  <c r="AU651" i="26" s="1"/>
  <c r="V652" i="26"/>
  <c r="AO652" i="26" s="1"/>
  <c r="AT652" i="26" s="1"/>
  <c r="E653" i="26"/>
  <c r="R652" i="26"/>
  <c r="O652" i="26"/>
  <c r="U652" i="26"/>
  <c r="AF652" i="26" s="1"/>
  <c r="AN652" i="26" s="1"/>
  <c r="BK652" i="26"/>
  <c r="BL651" i="26"/>
  <c r="S916" i="55"/>
  <c r="X916" i="55"/>
  <c r="E918" i="55"/>
  <c r="AL652" i="26" l="1"/>
  <c r="AM652" i="26" s="1"/>
  <c r="AU652" i="26" s="1"/>
  <c r="AV651" i="55"/>
  <c r="BT651" i="26"/>
  <c r="Q653" i="26"/>
  <c r="L653" i="26"/>
  <c r="W653" i="26"/>
  <c r="B653" i="26"/>
  <c r="H653" i="26"/>
  <c r="A653" i="26"/>
  <c r="C653" i="26"/>
  <c r="K653" i="26"/>
  <c r="G653" i="26"/>
  <c r="AF653" i="26"/>
  <c r="AN653" i="26" s="1"/>
  <c r="X653" i="26"/>
  <c r="U653" i="26"/>
  <c r="D653" i="26"/>
  <c r="F653" i="26"/>
  <c r="R653" i="26" s="1"/>
  <c r="O653" i="26"/>
  <c r="S652" i="26"/>
  <c r="T652" i="26" s="1"/>
  <c r="BC652" i="26" s="1"/>
  <c r="N918" i="55"/>
  <c r="L918" i="55"/>
  <c r="F918" i="55"/>
  <c r="U918" i="55"/>
  <c r="W918" i="55"/>
  <c r="X918" i="55"/>
  <c r="K918" i="55"/>
  <c r="G918" i="55"/>
  <c r="M918" i="55"/>
  <c r="S918" i="55"/>
  <c r="A918" i="55"/>
  <c r="D918" i="55"/>
  <c r="H918" i="55"/>
  <c r="O918" i="55"/>
  <c r="C918" i="55"/>
  <c r="P918" i="55"/>
  <c r="V918" i="55" s="1"/>
  <c r="B918" i="55"/>
  <c r="Q918" i="55"/>
  <c r="S653" i="26" l="1"/>
  <c r="T653" i="26" s="1"/>
  <c r="BC653" i="26" s="1"/>
  <c r="E654" i="26"/>
  <c r="BL652" i="26"/>
  <c r="P653" i="26"/>
  <c r="V653" i="26"/>
  <c r="AP653" i="26"/>
  <c r="M653" i="26"/>
  <c r="E919" i="55"/>
  <c r="K919" i="55" s="1"/>
  <c r="BL653" i="26" l="1"/>
  <c r="AL653" i="26"/>
  <c r="AM653" i="26" s="1"/>
  <c r="AU653" i="26" s="1"/>
  <c r="O919" i="55"/>
  <c r="AO653" i="26"/>
  <c r="AT653" i="26" s="1"/>
  <c r="BK653" i="26"/>
  <c r="Q654" i="26"/>
  <c r="H654" i="26"/>
  <c r="L654" i="26"/>
  <c r="A654" i="26"/>
  <c r="C654" i="26"/>
  <c r="B654" i="26"/>
  <c r="F654" i="26" s="1"/>
  <c r="W654" i="26"/>
  <c r="G654" i="26"/>
  <c r="D654" i="26"/>
  <c r="O654" i="26"/>
  <c r="AV653" i="55"/>
  <c r="BT653" i="26"/>
  <c r="Q919" i="55"/>
  <c r="AJ653" i="26"/>
  <c r="AK653" i="26" s="1"/>
  <c r="N653" i="26"/>
  <c r="AV652" i="55"/>
  <c r="BT652" i="26"/>
  <c r="C919" i="55"/>
  <c r="B919" i="55"/>
  <c r="W919" i="55"/>
  <c r="U919" i="55"/>
  <c r="V919" i="55" s="1"/>
  <c r="H919" i="55"/>
  <c r="X919" i="55"/>
  <c r="A919" i="55"/>
  <c r="F919" i="55"/>
  <c r="G919" i="55"/>
  <c r="S919" i="55"/>
  <c r="P919" i="55"/>
  <c r="L919" i="55"/>
  <c r="D919" i="55"/>
  <c r="M919" i="55" s="1"/>
  <c r="N919" i="55"/>
  <c r="P654" i="26" l="1"/>
  <c r="U654" i="26"/>
  <c r="AF654" i="26" s="1"/>
  <c r="AN654" i="26" s="1"/>
  <c r="E655" i="26"/>
  <c r="V654" i="26"/>
  <c r="X654" i="26"/>
  <c r="AP654" i="26"/>
  <c r="K654" i="26"/>
  <c r="M654" i="26" s="1"/>
  <c r="R654" i="26"/>
  <c r="AS654" i="26"/>
  <c r="BJ654" i="26" s="1"/>
  <c r="E920" i="55"/>
  <c r="AL654" i="26" l="1"/>
  <c r="AM654" i="26" s="1"/>
  <c r="AU654" i="26" s="1"/>
  <c r="N654" i="26"/>
  <c r="AJ654" i="26"/>
  <c r="AK654" i="26" s="1"/>
  <c r="BK654" i="26"/>
  <c r="H655" i="26"/>
  <c r="C655" i="26"/>
  <c r="Q655" i="26"/>
  <c r="W655" i="26"/>
  <c r="A655" i="26"/>
  <c r="B655" i="26"/>
  <c r="G655" i="26" s="1"/>
  <c r="L655" i="26"/>
  <c r="U655" i="26"/>
  <c r="AF655" i="26" s="1"/>
  <c r="AN655" i="26" s="1"/>
  <c r="AS655" i="26"/>
  <c r="BJ655" i="26" s="1"/>
  <c r="S654" i="26"/>
  <c r="T654" i="26" s="1"/>
  <c r="BC654" i="26" s="1"/>
  <c r="AO654" i="26"/>
  <c r="AT654" i="26" s="1"/>
  <c r="N920" i="55"/>
  <c r="F920" i="55"/>
  <c r="A920" i="55"/>
  <c r="H920" i="55"/>
  <c r="M920" i="55"/>
  <c r="W920" i="55"/>
  <c r="Q920" i="55"/>
  <c r="B920" i="55"/>
  <c r="D920" i="55"/>
  <c r="S920" i="55"/>
  <c r="O920" i="55"/>
  <c r="G920" i="55"/>
  <c r="L920" i="55"/>
  <c r="X920" i="55"/>
  <c r="K920" i="55"/>
  <c r="C920" i="55"/>
  <c r="E921" i="55" s="1"/>
  <c r="P920" i="55"/>
  <c r="U920" i="55"/>
  <c r="V920" i="55" s="1"/>
  <c r="L921" i="55" l="1"/>
  <c r="Q921" i="55"/>
  <c r="S921" i="55"/>
  <c r="W921" i="55"/>
  <c r="H921" i="55"/>
  <c r="P921" i="55"/>
  <c r="N921" i="55"/>
  <c r="K655" i="26"/>
  <c r="M655" i="26" s="1"/>
  <c r="O921" i="55"/>
  <c r="A921" i="55"/>
  <c r="X921" i="55"/>
  <c r="D921" i="55"/>
  <c r="K921" i="55"/>
  <c r="B921" i="55"/>
  <c r="BL654" i="26"/>
  <c r="D655" i="26"/>
  <c r="P655" i="26" s="1"/>
  <c r="AP655" i="26"/>
  <c r="F655" i="26"/>
  <c r="R655" i="26" s="1"/>
  <c r="G921" i="55"/>
  <c r="M921" i="55"/>
  <c r="F921" i="55"/>
  <c r="C921" i="55"/>
  <c r="U921" i="55" s="1"/>
  <c r="V921" i="55" s="1"/>
  <c r="X655" i="26"/>
  <c r="V655" i="26"/>
  <c r="E922" i="55"/>
  <c r="K922" i="55" s="1"/>
  <c r="L922" i="55" s="1"/>
  <c r="AO655" i="26" l="1"/>
  <c r="AT655" i="26" s="1"/>
  <c r="BK655" i="26"/>
  <c r="N655" i="26"/>
  <c r="AJ655" i="26"/>
  <c r="AK655" i="26" s="1"/>
  <c r="G922" i="55"/>
  <c r="O655" i="26"/>
  <c r="E656" i="26"/>
  <c r="BT654" i="26"/>
  <c r="AV654" i="55"/>
  <c r="H922" i="55"/>
  <c r="Q922" i="55"/>
  <c r="C922" i="55"/>
  <c r="O922" i="55" s="1"/>
  <c r="N922" i="55"/>
  <c r="A922" i="55"/>
  <c r="B922" i="55"/>
  <c r="U922" i="55"/>
  <c r="V922" i="55" s="1"/>
  <c r="W922" i="55"/>
  <c r="D922" i="55"/>
  <c r="M922" i="55" s="1"/>
  <c r="F922" i="55"/>
  <c r="P922" i="55"/>
  <c r="X922" i="55"/>
  <c r="S922" i="55"/>
  <c r="AL655" i="26" l="1"/>
  <c r="AM655" i="26" s="1"/>
  <c r="AU655" i="26" s="1"/>
  <c r="S655" i="26"/>
  <c r="T655" i="26" s="1"/>
  <c r="BC655" i="26" s="1"/>
  <c r="W656" i="26"/>
  <c r="C656" i="26"/>
  <c r="X656" i="26" s="1"/>
  <c r="B656" i="26"/>
  <c r="Q656" i="26"/>
  <c r="A656" i="26"/>
  <c r="L656" i="26"/>
  <c r="H656" i="26"/>
  <c r="F656" i="26"/>
  <c r="R656" i="26" s="1"/>
  <c r="G656" i="26"/>
  <c r="D656" i="26"/>
  <c r="AS656" i="26"/>
  <c r="BJ656" i="26" s="1"/>
  <c r="K656" i="26"/>
  <c r="M656" i="26" s="1"/>
  <c r="N656" i="26" s="1"/>
  <c r="AP656" i="26"/>
  <c r="O656" i="26"/>
  <c r="P656" i="26"/>
  <c r="E923" i="55"/>
  <c r="S923" i="55" s="1"/>
  <c r="AJ656" i="26" l="1"/>
  <c r="AK656" i="26" s="1"/>
  <c r="AL656" i="26"/>
  <c r="AM656" i="26" s="1"/>
  <c r="AU656" i="26" s="1"/>
  <c r="U656" i="26"/>
  <c r="AF656" i="26" s="1"/>
  <c r="AN656" i="26" s="1"/>
  <c r="S656" i="26"/>
  <c r="T656" i="26" s="1"/>
  <c r="BC656" i="26" s="1"/>
  <c r="V656" i="26"/>
  <c r="E657" i="26"/>
  <c r="BL655" i="26"/>
  <c r="X923" i="55"/>
  <c r="P923" i="55"/>
  <c r="G923" i="55"/>
  <c r="D923" i="55"/>
  <c r="C923" i="55"/>
  <c r="F923" i="55"/>
  <c r="L923" i="55"/>
  <c r="B923" i="55"/>
  <c r="W923" i="55"/>
  <c r="M923" i="55"/>
  <c r="Q923" i="55"/>
  <c r="A923" i="55"/>
  <c r="U923" i="55"/>
  <c r="V923" i="55" s="1"/>
  <c r="H923" i="55"/>
  <c r="K923" i="55"/>
  <c r="N923" i="55"/>
  <c r="C657" i="26" l="1"/>
  <c r="B657" i="26"/>
  <c r="G657" i="26" s="1"/>
  <c r="L657" i="26"/>
  <c r="A657" i="26"/>
  <c r="H657" i="26"/>
  <c r="AS657" i="26"/>
  <c r="BJ657" i="26" s="1"/>
  <c r="W657" i="26"/>
  <c r="Q657" i="26"/>
  <c r="F657" i="26"/>
  <c r="R657" i="26" s="1"/>
  <c r="U657" i="26"/>
  <c r="AO656" i="26"/>
  <c r="AT656" i="26" s="1"/>
  <c r="BK656" i="26"/>
  <c r="BL656" i="26"/>
  <c r="BT655" i="26"/>
  <c r="AV655" i="55"/>
  <c r="O923" i="55"/>
  <c r="E924" i="55"/>
  <c r="X924" i="55" s="1"/>
  <c r="K657" i="26" l="1"/>
  <c r="M657" i="26" s="1"/>
  <c r="AJ657" i="26" s="1"/>
  <c r="AK657" i="26" s="1"/>
  <c r="AP657" i="26"/>
  <c r="D657" i="26"/>
  <c r="X657" i="26"/>
  <c r="AF657" i="26"/>
  <c r="AN657" i="26" s="1"/>
  <c r="P657" i="26"/>
  <c r="AV656" i="55"/>
  <c r="BT656" i="26"/>
  <c r="V657" i="26"/>
  <c r="S924" i="55"/>
  <c r="K924" i="55"/>
  <c r="P924" i="55"/>
  <c r="B924" i="55"/>
  <c r="A924" i="55"/>
  <c r="Q924" i="55"/>
  <c r="D924" i="55"/>
  <c r="M924" i="55" s="1"/>
  <c r="C924" i="55"/>
  <c r="L924" i="55"/>
  <c r="F924" i="55"/>
  <c r="H924" i="55"/>
  <c r="O924" i="55"/>
  <c r="W924" i="55"/>
  <c r="G924" i="55"/>
  <c r="N924" i="55"/>
  <c r="N657" i="26" l="1"/>
  <c r="E658" i="26"/>
  <c r="O657" i="26"/>
  <c r="S657" i="26" s="1"/>
  <c r="T657" i="26" s="1"/>
  <c r="BC657" i="26" s="1"/>
  <c r="A658" i="26"/>
  <c r="B658" i="26"/>
  <c r="K658" i="26" s="1"/>
  <c r="M658" i="26" s="1"/>
  <c r="L658" i="26"/>
  <c r="G658" i="26"/>
  <c r="C658" i="26"/>
  <c r="Q658" i="26"/>
  <c r="W658" i="26"/>
  <c r="H658" i="26"/>
  <c r="BK657" i="26"/>
  <c r="AO657" i="26"/>
  <c r="AT657" i="26" s="1"/>
  <c r="U924" i="55"/>
  <c r="V924" i="55" s="1"/>
  <c r="E925" i="55"/>
  <c r="N925" i="55" s="1"/>
  <c r="AL657" i="26" l="1"/>
  <c r="AM657" i="26" s="1"/>
  <c r="AU657" i="26" s="1"/>
  <c r="D658" i="26"/>
  <c r="F658" i="26"/>
  <c r="N658" i="26"/>
  <c r="AJ658" i="26"/>
  <c r="AK658" i="26" s="1"/>
  <c r="P658" i="26"/>
  <c r="V658" i="26"/>
  <c r="E659" i="26"/>
  <c r="AS658" i="26"/>
  <c r="BJ658" i="26" s="1"/>
  <c r="U658" i="26"/>
  <c r="AF658" i="26" s="1"/>
  <c r="AN658" i="26" s="1"/>
  <c r="R658" i="26"/>
  <c r="AP658" i="26"/>
  <c r="X658" i="26"/>
  <c r="O658" i="26"/>
  <c r="BL657" i="26"/>
  <c r="AO658" i="26"/>
  <c r="B925" i="55"/>
  <c r="A925" i="55"/>
  <c r="F925" i="55"/>
  <c r="C925" i="55"/>
  <c r="H925" i="55"/>
  <c r="U925" i="55"/>
  <c r="Q925" i="55"/>
  <c r="W925" i="55"/>
  <c r="K925" i="55"/>
  <c r="L925" i="55"/>
  <c r="D925" i="55"/>
  <c r="M925" i="55" s="1"/>
  <c r="G925" i="55"/>
  <c r="P925" i="55"/>
  <c r="V925" i="55" s="1"/>
  <c r="X925" i="55"/>
  <c r="S925" i="55"/>
  <c r="AL658" i="26" l="1"/>
  <c r="AM658" i="26" s="1"/>
  <c r="AU658" i="26" s="1"/>
  <c r="S658" i="26"/>
  <c r="T658" i="26" s="1"/>
  <c r="BC658" i="26" s="1"/>
  <c r="BK658" i="26"/>
  <c r="AV657" i="55"/>
  <c r="BT657" i="26"/>
  <c r="Q659" i="26"/>
  <c r="H659" i="26"/>
  <c r="C659" i="26"/>
  <c r="AS659" i="26" s="1"/>
  <c r="BJ659" i="26" s="1"/>
  <c r="B659" i="26"/>
  <c r="W659" i="26"/>
  <c r="L659" i="26"/>
  <c r="A659" i="26"/>
  <c r="D659" i="26"/>
  <c r="AT658" i="26"/>
  <c r="O925" i="55"/>
  <c r="E926" i="55"/>
  <c r="N926" i="55" s="1"/>
  <c r="G659" i="26" l="1"/>
  <c r="X659" i="26"/>
  <c r="F659" i="26"/>
  <c r="R659" i="26" s="1"/>
  <c r="K659" i="26"/>
  <c r="M659" i="26" s="1"/>
  <c r="O659" i="26"/>
  <c r="AP659" i="26"/>
  <c r="BL658" i="26"/>
  <c r="P659" i="26"/>
  <c r="V659" i="26"/>
  <c r="E660" i="26"/>
  <c r="U659" i="26"/>
  <c r="AF659" i="26" s="1"/>
  <c r="AN659" i="26" s="1"/>
  <c r="L926" i="55"/>
  <c r="Q926" i="55"/>
  <c r="U926" i="55"/>
  <c r="H926" i="55"/>
  <c r="B926" i="55"/>
  <c r="C926" i="55"/>
  <c r="D926" i="55"/>
  <c r="A926" i="55"/>
  <c r="K926" i="55"/>
  <c r="F926" i="55"/>
  <c r="G926" i="55"/>
  <c r="W926" i="55"/>
  <c r="M926" i="55"/>
  <c r="P926" i="55"/>
  <c r="V926" i="55" s="1"/>
  <c r="S926" i="55"/>
  <c r="X926" i="55"/>
  <c r="AL659" i="26" l="1"/>
  <c r="AM659" i="26" s="1"/>
  <c r="AU659" i="26" s="1"/>
  <c r="BK659" i="26"/>
  <c r="AV658" i="55"/>
  <c r="BT658" i="26"/>
  <c r="S659" i="26"/>
  <c r="T659" i="26" s="1"/>
  <c r="BC659" i="26" s="1"/>
  <c r="W660" i="26"/>
  <c r="L660" i="26"/>
  <c r="Q660" i="26"/>
  <c r="A660" i="26"/>
  <c r="B660" i="26"/>
  <c r="F660" i="26" s="1"/>
  <c r="C660" i="26"/>
  <c r="H660" i="26"/>
  <c r="N659" i="26"/>
  <c r="AJ659" i="26"/>
  <c r="AK659" i="26" s="1"/>
  <c r="AO659" i="26"/>
  <c r="AT659" i="26" s="1"/>
  <c r="O926" i="55"/>
  <c r="E927" i="55"/>
  <c r="R660" i="26" l="1"/>
  <c r="BL659" i="26"/>
  <c r="V660" i="26"/>
  <c r="AS660" i="26"/>
  <c r="BJ660" i="26" s="1"/>
  <c r="AO660" i="26"/>
  <c r="X660" i="26"/>
  <c r="AP660" i="26"/>
  <c r="K660" i="26"/>
  <c r="M660" i="26" s="1"/>
  <c r="U660" i="26"/>
  <c r="AF660" i="26" s="1"/>
  <c r="AN660" i="26" s="1"/>
  <c r="G660" i="26"/>
  <c r="D660" i="26"/>
  <c r="P660" i="26" s="1"/>
  <c r="Q927" i="55"/>
  <c r="A927" i="55"/>
  <c r="K927" i="55"/>
  <c r="F927" i="55"/>
  <c r="H927" i="55"/>
  <c r="C927" i="55"/>
  <c r="L927" i="55"/>
  <c r="B927" i="55"/>
  <c r="P927" i="55" s="1"/>
  <c r="W927" i="55"/>
  <c r="G927" i="55"/>
  <c r="D927" i="55"/>
  <c r="M927" i="55" s="1"/>
  <c r="U927" i="55"/>
  <c r="V927" i="55" s="1"/>
  <c r="N927" i="55"/>
  <c r="S927" i="55"/>
  <c r="X927" i="55"/>
  <c r="E661" i="26" l="1"/>
  <c r="AT660" i="26"/>
  <c r="BK660" i="26"/>
  <c r="N660" i="26"/>
  <c r="AJ660" i="26"/>
  <c r="AK660" i="26" s="1"/>
  <c r="O660" i="26"/>
  <c r="AV659" i="55"/>
  <c r="BT659" i="26"/>
  <c r="O927" i="55"/>
  <c r="E928" i="55"/>
  <c r="M928" i="55" s="1"/>
  <c r="AL660" i="26" l="1"/>
  <c r="AM660" i="26" s="1"/>
  <c r="AU660" i="26" s="1"/>
  <c r="S660" i="26"/>
  <c r="T660" i="26" s="1"/>
  <c r="BC660" i="26" s="1"/>
  <c r="B661" i="26"/>
  <c r="Q661" i="26"/>
  <c r="A661" i="26"/>
  <c r="W661" i="26"/>
  <c r="C661" i="26"/>
  <c r="L661" i="26"/>
  <c r="H661" i="26"/>
  <c r="G661" i="26"/>
  <c r="AS661" i="26"/>
  <c r="BJ661" i="26" s="1"/>
  <c r="K661" i="26"/>
  <c r="AP661" i="26"/>
  <c r="X661" i="26"/>
  <c r="D661" i="26"/>
  <c r="F661" i="26"/>
  <c r="R661" i="26" s="1"/>
  <c r="U661" i="26"/>
  <c r="AF661" i="26" s="1"/>
  <c r="AN661" i="26" s="1"/>
  <c r="A928" i="55"/>
  <c r="K928" i="55"/>
  <c r="L928" i="55" s="1"/>
  <c r="W928" i="55"/>
  <c r="B928" i="55"/>
  <c r="P928" i="55"/>
  <c r="V928" i="55" s="1"/>
  <c r="U928" i="55"/>
  <c r="C928" i="55"/>
  <c r="O928" i="55" s="1"/>
  <c r="F928" i="55"/>
  <c r="G928" i="55"/>
  <c r="D928" i="55"/>
  <c r="Q928" i="55"/>
  <c r="H928" i="55"/>
  <c r="N928" i="55"/>
  <c r="M661" i="26" l="1"/>
  <c r="V661" i="26"/>
  <c r="E662" i="26"/>
  <c r="O661" i="26"/>
  <c r="BL660" i="26"/>
  <c r="P661" i="26"/>
  <c r="E929" i="55"/>
  <c r="X928" i="55"/>
  <c r="S928" i="55"/>
  <c r="AL661" i="26" l="1"/>
  <c r="AM661" i="26" s="1"/>
  <c r="AU661" i="26" s="1"/>
  <c r="S661" i="26"/>
  <c r="T661" i="26" s="1"/>
  <c r="BC661" i="26" s="1"/>
  <c r="L662" i="26"/>
  <c r="Q662" i="26"/>
  <c r="A662" i="26"/>
  <c r="B662" i="26"/>
  <c r="C662" i="26"/>
  <c r="H662" i="26"/>
  <c r="W662" i="26"/>
  <c r="BK661" i="26"/>
  <c r="AO661" i="26"/>
  <c r="AT661" i="26" s="1"/>
  <c r="AV660" i="55"/>
  <c r="BT660" i="26"/>
  <c r="N661" i="26"/>
  <c r="AJ661" i="26"/>
  <c r="AK661" i="26" s="1"/>
  <c r="N929" i="55"/>
  <c r="K929" i="55"/>
  <c r="A929" i="55"/>
  <c r="L929" i="55"/>
  <c r="H929" i="55"/>
  <c r="Q929" i="55"/>
  <c r="B929" i="55"/>
  <c r="P929" i="55" s="1"/>
  <c r="C929" i="55"/>
  <c r="W929" i="55"/>
  <c r="F929" i="55"/>
  <c r="O929" i="55"/>
  <c r="G929" i="55"/>
  <c r="D929" i="55"/>
  <c r="M929" i="55" s="1"/>
  <c r="X929" i="55"/>
  <c r="S929" i="55"/>
  <c r="V662" i="26" l="1"/>
  <c r="AO662" i="26" s="1"/>
  <c r="U662" i="26"/>
  <c r="AF662" i="26" s="1"/>
  <c r="AN662" i="26" s="1"/>
  <c r="D662" i="26"/>
  <c r="P662" i="26" s="1"/>
  <c r="F662" i="26"/>
  <c r="R662" i="26" s="1"/>
  <c r="AP662" i="26"/>
  <c r="AT662" i="26" s="1"/>
  <c r="O662" i="26"/>
  <c r="G662" i="26"/>
  <c r="K662" i="26"/>
  <c r="M662" i="26" s="1"/>
  <c r="X662" i="26"/>
  <c r="BK662" i="26" s="1"/>
  <c r="BL661" i="26"/>
  <c r="E930" i="55"/>
  <c r="N930" i="55" s="1"/>
  <c r="AS662" i="26"/>
  <c r="BJ662" i="26" s="1"/>
  <c r="P930" i="55"/>
  <c r="D930" i="55"/>
  <c r="M930" i="55" s="1"/>
  <c r="K930" i="55"/>
  <c r="S930" i="55"/>
  <c r="AL662" i="26" l="1"/>
  <c r="V930" i="55"/>
  <c r="A930" i="55"/>
  <c r="B930" i="55"/>
  <c r="AJ662" i="26"/>
  <c r="AK662" i="26" s="1"/>
  <c r="N662" i="26"/>
  <c r="E663" i="26"/>
  <c r="S662" i="26"/>
  <c r="T662" i="26" s="1"/>
  <c r="BC662" i="26" s="1"/>
  <c r="F930" i="55"/>
  <c r="H930" i="55"/>
  <c r="Q930" i="55"/>
  <c r="W930" i="55"/>
  <c r="AV661" i="55"/>
  <c r="BT661" i="26"/>
  <c r="X930" i="55"/>
  <c r="C930" i="55"/>
  <c r="G930" i="55"/>
  <c r="L930" i="55"/>
  <c r="U930" i="55"/>
  <c r="O930" i="55"/>
  <c r="E931" i="55"/>
  <c r="M931" i="55" s="1"/>
  <c r="AM662" i="26" l="1"/>
  <c r="AU662" i="26" s="1"/>
  <c r="BL662" i="26"/>
  <c r="C663" i="26"/>
  <c r="AS663" i="26" s="1"/>
  <c r="BJ663" i="26" s="1"/>
  <c r="L663" i="26"/>
  <c r="Q663" i="26"/>
  <c r="B663" i="26"/>
  <c r="U663" i="26"/>
  <c r="AF663" i="26" s="1"/>
  <c r="AN663" i="26" s="1"/>
  <c r="H663" i="26"/>
  <c r="W663" i="26"/>
  <c r="A663" i="26"/>
  <c r="X663" i="26"/>
  <c r="AP663" i="26"/>
  <c r="P931" i="55"/>
  <c r="V931" i="55" s="1"/>
  <c r="G931" i="55"/>
  <c r="F931" i="55"/>
  <c r="C931" i="55"/>
  <c r="D931" i="55"/>
  <c r="H931" i="55"/>
  <c r="Q931" i="55"/>
  <c r="B931" i="55"/>
  <c r="A931" i="55"/>
  <c r="K931" i="55"/>
  <c r="L931" i="55" s="1"/>
  <c r="U931" i="55"/>
  <c r="O931" i="55"/>
  <c r="W931" i="55"/>
  <c r="N931" i="55"/>
  <c r="G663" i="26" l="1"/>
  <c r="D663" i="26"/>
  <c r="V663" i="26"/>
  <c r="AO663" i="26" s="1"/>
  <c r="AT663" i="26" s="1"/>
  <c r="E664" i="26"/>
  <c r="O663" i="26"/>
  <c r="F663" i="26"/>
  <c r="K663" i="26"/>
  <c r="M663" i="26" s="1"/>
  <c r="BT662" i="26"/>
  <c r="AV662" i="55"/>
  <c r="R663" i="26"/>
  <c r="E932" i="55"/>
  <c r="C932" i="55" s="1"/>
  <c r="O932" i="55" s="1"/>
  <c r="A932" i="55"/>
  <c r="B932" i="55"/>
  <c r="F932" i="55" s="1"/>
  <c r="Q932" i="55"/>
  <c r="W932" i="55"/>
  <c r="D932" i="55"/>
  <c r="M932" i="55" s="1"/>
  <c r="P932" i="55"/>
  <c r="V932" i="55" s="1"/>
  <c r="X931" i="55"/>
  <c r="S931" i="55"/>
  <c r="N663" i="26" l="1"/>
  <c r="AJ663" i="26"/>
  <c r="AK663" i="26" s="1"/>
  <c r="G932" i="55"/>
  <c r="BK663" i="26"/>
  <c r="P663" i="26"/>
  <c r="L932" i="55"/>
  <c r="S663" i="26"/>
  <c r="T663" i="26" s="1"/>
  <c r="BC663" i="26" s="1"/>
  <c r="H664" i="26"/>
  <c r="Q664" i="26"/>
  <c r="C664" i="26"/>
  <c r="U664" i="26" s="1"/>
  <c r="AF664" i="26" s="1"/>
  <c r="AN664" i="26" s="1"/>
  <c r="B664" i="26"/>
  <c r="D664" i="26" s="1"/>
  <c r="A664" i="26"/>
  <c r="F664" i="26"/>
  <c r="W664" i="26"/>
  <c r="L664" i="26"/>
  <c r="K664" i="26"/>
  <c r="AP664" i="26"/>
  <c r="G664" i="26"/>
  <c r="U932" i="55"/>
  <c r="K932" i="55"/>
  <c r="H932" i="55"/>
  <c r="E933" i="55"/>
  <c r="U933" i="55" s="1"/>
  <c r="N932" i="55"/>
  <c r="AL663" i="26" l="1"/>
  <c r="AM663" i="26" s="1"/>
  <c r="AU663" i="26" s="1"/>
  <c r="P664" i="26"/>
  <c r="O664" i="26"/>
  <c r="V664" i="26"/>
  <c r="BK664" i="26" s="1"/>
  <c r="X664" i="26"/>
  <c r="BL663" i="26"/>
  <c r="A933" i="55"/>
  <c r="M664" i="26"/>
  <c r="R664" i="26"/>
  <c r="AS664" i="26"/>
  <c r="BJ664" i="26" s="1"/>
  <c r="E665" i="26"/>
  <c r="K933" i="55"/>
  <c r="L933" i="55" s="1"/>
  <c r="H933" i="55"/>
  <c r="D933" i="55"/>
  <c r="M933" i="55" s="1"/>
  <c r="C933" i="55"/>
  <c r="O933" i="55" s="1"/>
  <c r="Q933" i="55"/>
  <c r="B933" i="55"/>
  <c r="P933" i="55" s="1"/>
  <c r="V933" i="55"/>
  <c r="N933" i="55"/>
  <c r="F933" i="55"/>
  <c r="G933" i="55"/>
  <c r="S932" i="55"/>
  <c r="X932" i="55"/>
  <c r="W933" i="55"/>
  <c r="AL664" i="26" l="1"/>
  <c r="AM664" i="26" s="1"/>
  <c r="AU664" i="26" s="1"/>
  <c r="AO664" i="26"/>
  <c r="AT664" i="26" s="1"/>
  <c r="A665" i="26"/>
  <c r="B665" i="26"/>
  <c r="D665" i="26" s="1"/>
  <c r="W665" i="26"/>
  <c r="Q665" i="26"/>
  <c r="L665" i="26"/>
  <c r="H665" i="26"/>
  <c r="C665" i="26"/>
  <c r="K665" i="26"/>
  <c r="M665" i="26" s="1"/>
  <c r="S664" i="26"/>
  <c r="T664" i="26" s="1"/>
  <c r="BC664" i="26" s="1"/>
  <c r="N664" i="26"/>
  <c r="AJ664" i="26"/>
  <c r="AK664" i="26" s="1"/>
  <c r="AV663" i="55"/>
  <c r="BT663" i="26"/>
  <c r="E934" i="55"/>
  <c r="X933" i="55"/>
  <c r="S933" i="55"/>
  <c r="O934" i="55"/>
  <c r="Q934" i="55"/>
  <c r="K934" i="55"/>
  <c r="L934" i="55"/>
  <c r="H934" i="55"/>
  <c r="A934" i="55"/>
  <c r="B934" i="55"/>
  <c r="G934" i="55" s="1"/>
  <c r="C934" i="55"/>
  <c r="U934" i="55" s="1"/>
  <c r="P665" i="26" l="1"/>
  <c r="G665" i="26"/>
  <c r="O665" i="26"/>
  <c r="F665" i="26"/>
  <c r="R665" i="26" s="1"/>
  <c r="X665" i="26"/>
  <c r="BL664" i="26"/>
  <c r="AJ665" i="26"/>
  <c r="AK665" i="26" s="1"/>
  <c r="N665" i="26"/>
  <c r="U665" i="26"/>
  <c r="AF665" i="26" s="1"/>
  <c r="AN665" i="26" s="1"/>
  <c r="E666" i="26"/>
  <c r="AP665" i="26"/>
  <c r="V665" i="26"/>
  <c r="AO665" i="26" s="1"/>
  <c r="F934" i="55"/>
  <c r="D934" i="55"/>
  <c r="M934" i="55" s="1"/>
  <c r="P934" i="55"/>
  <c r="V934" i="55" s="1"/>
  <c r="W934" i="55"/>
  <c r="AL665" i="26" l="1"/>
  <c r="AM665" i="26" s="1"/>
  <c r="AU665" i="26" s="1"/>
  <c r="AT665" i="26"/>
  <c r="S665" i="26"/>
  <c r="T665" i="26" s="1"/>
  <c r="BC665" i="26" s="1"/>
  <c r="W666" i="26"/>
  <c r="H666" i="26"/>
  <c r="G666" i="26"/>
  <c r="L666" i="26"/>
  <c r="B666" i="26"/>
  <c r="Q666" i="26"/>
  <c r="F666" i="26"/>
  <c r="K666" i="26"/>
  <c r="A666" i="26"/>
  <c r="D666" i="26"/>
  <c r="P666" i="26" s="1"/>
  <c r="C666" i="26"/>
  <c r="U666" i="26" s="1"/>
  <c r="AF666" i="26" s="1"/>
  <c r="AN666" i="26" s="1"/>
  <c r="BK665" i="26"/>
  <c r="AV664" i="55"/>
  <c r="BT664" i="26"/>
  <c r="N934" i="55"/>
  <c r="E935" i="55"/>
  <c r="U935" i="55" s="1"/>
  <c r="BL665" i="26" l="1"/>
  <c r="M666" i="26"/>
  <c r="AP666" i="26"/>
  <c r="H935" i="55"/>
  <c r="O666" i="26"/>
  <c r="R666" i="26"/>
  <c r="V666" i="26"/>
  <c r="BK666" i="26" s="1"/>
  <c r="E667" i="26"/>
  <c r="AV665" i="55"/>
  <c r="BT665" i="26"/>
  <c r="AS666" i="26"/>
  <c r="BJ666" i="26" s="1"/>
  <c r="X666" i="26"/>
  <c r="K935" i="55"/>
  <c r="L935" i="55" s="1"/>
  <c r="B935" i="55"/>
  <c r="A935" i="55"/>
  <c r="C935" i="55"/>
  <c r="O935" i="55" s="1"/>
  <c r="Q935" i="55"/>
  <c r="F935" i="55"/>
  <c r="G935" i="55"/>
  <c r="W935" i="55"/>
  <c r="X934" i="55"/>
  <c r="S934" i="55"/>
  <c r="D935" i="55"/>
  <c r="M935" i="55" s="1"/>
  <c r="P935" i="55"/>
  <c r="V935" i="55" s="1"/>
  <c r="AL666" i="26" l="1"/>
  <c r="AM666" i="26" s="1"/>
  <c r="AU666" i="26" s="1"/>
  <c r="AJ666" i="26"/>
  <c r="AK666" i="26" s="1"/>
  <c r="N666" i="26"/>
  <c r="S666" i="26"/>
  <c r="T666" i="26" s="1"/>
  <c r="BC666" i="26" s="1"/>
  <c r="Q667" i="26"/>
  <c r="B667" i="26"/>
  <c r="D667" i="26" s="1"/>
  <c r="F667" i="26"/>
  <c r="L667" i="26"/>
  <c r="A667" i="26"/>
  <c r="H667" i="26"/>
  <c r="K667" i="26"/>
  <c r="M667" i="26" s="1"/>
  <c r="N667" i="26" s="1"/>
  <c r="W667" i="26"/>
  <c r="C667" i="26"/>
  <c r="U667" i="26"/>
  <c r="AF667" i="26" s="1"/>
  <c r="AN667" i="26" s="1"/>
  <c r="X667" i="26"/>
  <c r="AS667" i="26"/>
  <c r="BJ667" i="26" s="1"/>
  <c r="AO666" i="26"/>
  <c r="AT666" i="26" s="1"/>
  <c r="N935" i="55"/>
  <c r="E936" i="55"/>
  <c r="Q936" i="55" s="1"/>
  <c r="R667" i="26" l="1"/>
  <c r="O667" i="26"/>
  <c r="P667" i="26"/>
  <c r="AJ667" i="26"/>
  <c r="AK667" i="26" s="1"/>
  <c r="BL666" i="26"/>
  <c r="G667" i="26"/>
  <c r="AP667" i="26"/>
  <c r="V667" i="26"/>
  <c r="BK667" i="26" s="1"/>
  <c r="E668" i="26"/>
  <c r="B936" i="55"/>
  <c r="H936" i="55"/>
  <c r="C936" i="55"/>
  <c r="O936" i="55" s="1"/>
  <c r="A936" i="55"/>
  <c r="U936" i="55"/>
  <c r="K936" i="55"/>
  <c r="L936" i="55"/>
  <c r="D936" i="55"/>
  <c r="F936" i="55"/>
  <c r="W936" i="55"/>
  <c r="P936" i="55"/>
  <c r="V936" i="55" s="1"/>
  <c r="G936" i="55"/>
  <c r="M936" i="55"/>
  <c r="X935" i="55"/>
  <c r="S935" i="55"/>
  <c r="AL667" i="26" l="1"/>
  <c r="AM667" i="26" s="1"/>
  <c r="AU667" i="26" s="1"/>
  <c r="AV666" i="55"/>
  <c r="BT666" i="26"/>
  <c r="S667" i="26"/>
  <c r="T667" i="26" s="1"/>
  <c r="BC667" i="26" s="1"/>
  <c r="C668" i="26"/>
  <c r="Q668" i="26"/>
  <c r="H668" i="26"/>
  <c r="B668" i="26"/>
  <c r="L668" i="26"/>
  <c r="A668" i="26"/>
  <c r="W668" i="26"/>
  <c r="AP668" i="26"/>
  <c r="D668" i="26"/>
  <c r="U668" i="26"/>
  <c r="AF668" i="26" s="1"/>
  <c r="AN668" i="26" s="1"/>
  <c r="K668" i="26"/>
  <c r="M668" i="26" s="1"/>
  <c r="F668" i="26"/>
  <c r="X668" i="26"/>
  <c r="G668" i="26"/>
  <c r="AO667" i="26"/>
  <c r="AT667" i="26" s="1"/>
  <c r="E937" i="55"/>
  <c r="Q937" i="55" s="1"/>
  <c r="N936" i="55"/>
  <c r="F937" i="55"/>
  <c r="R668" i="26" l="1"/>
  <c r="V668" i="26"/>
  <c r="BK668" i="26" s="1"/>
  <c r="E669" i="26"/>
  <c r="BL667" i="26"/>
  <c r="L937" i="55"/>
  <c r="P668" i="26"/>
  <c r="O668" i="26"/>
  <c r="U937" i="55"/>
  <c r="V937" i="55" s="1"/>
  <c r="C937" i="55"/>
  <c r="O937" i="55" s="1"/>
  <c r="AJ668" i="26"/>
  <c r="AK668" i="26" s="1"/>
  <c r="N668" i="26"/>
  <c r="AS668" i="26"/>
  <c r="BJ668" i="26" s="1"/>
  <c r="AO668" i="26"/>
  <c r="AT668" i="26" s="1"/>
  <c r="H937" i="55"/>
  <c r="K937" i="55"/>
  <c r="A937" i="55"/>
  <c r="B937" i="55"/>
  <c r="P937" i="55" s="1"/>
  <c r="S936" i="55"/>
  <c r="X936" i="55"/>
  <c r="D937" i="55"/>
  <c r="E938" i="55" s="1"/>
  <c r="W937" i="55"/>
  <c r="G937" i="55"/>
  <c r="AL668" i="26" l="1"/>
  <c r="AM668" i="26" s="1"/>
  <c r="AU668" i="26" s="1"/>
  <c r="BT667" i="26"/>
  <c r="AV667" i="55"/>
  <c r="S668" i="26"/>
  <c r="T668" i="26" s="1"/>
  <c r="BC668" i="26" s="1"/>
  <c r="H669" i="26"/>
  <c r="A669" i="26"/>
  <c r="W669" i="26"/>
  <c r="B669" i="26"/>
  <c r="X669" i="26" s="1"/>
  <c r="L669" i="26"/>
  <c r="C669" i="26"/>
  <c r="Q669" i="26"/>
  <c r="U669" i="26"/>
  <c r="AF669" i="26" s="1"/>
  <c r="AN669" i="26" s="1"/>
  <c r="M937" i="55"/>
  <c r="Q938" i="55"/>
  <c r="K938" i="55"/>
  <c r="L938" i="55"/>
  <c r="A938" i="55"/>
  <c r="H938" i="55"/>
  <c r="U938" i="55"/>
  <c r="B938" i="55"/>
  <c r="C938" i="55"/>
  <c r="O938" i="55" s="1"/>
  <c r="F669" i="26" l="1"/>
  <c r="R669" i="26" s="1"/>
  <c r="AP669" i="26"/>
  <c r="D669" i="26"/>
  <c r="K669" i="26"/>
  <c r="M669" i="26" s="1"/>
  <c r="AJ669" i="26" s="1"/>
  <c r="AK669" i="26" s="1"/>
  <c r="BL668" i="26"/>
  <c r="V669" i="26"/>
  <c r="BK669" i="26" s="1"/>
  <c r="E670" i="26"/>
  <c r="AS669" i="26"/>
  <c r="BJ669" i="26" s="1"/>
  <c r="P669" i="26"/>
  <c r="AO669" i="26"/>
  <c r="G669" i="26"/>
  <c r="O669" i="26"/>
  <c r="S669" i="26" s="1"/>
  <c r="T669" i="26" s="1"/>
  <c r="BC669" i="26" s="1"/>
  <c r="G938" i="55"/>
  <c r="D938" i="55"/>
  <c r="M938" i="55" s="1"/>
  <c r="F938" i="55"/>
  <c r="W938" i="55"/>
  <c r="N937" i="55"/>
  <c r="P938" i="55"/>
  <c r="V938" i="55" s="1"/>
  <c r="N669" i="26" l="1"/>
  <c r="AT669" i="26"/>
  <c r="AL669" i="26"/>
  <c r="AM669" i="26" s="1"/>
  <c r="AU669" i="26" s="1"/>
  <c r="BT668" i="26"/>
  <c r="AV668" i="55"/>
  <c r="C670" i="26"/>
  <c r="V670" i="26" s="1"/>
  <c r="B670" i="26"/>
  <c r="X670" i="26" s="1"/>
  <c r="BK670" i="26" s="1"/>
  <c r="W670" i="26"/>
  <c r="Q670" i="26"/>
  <c r="L670" i="26"/>
  <c r="A670" i="26"/>
  <c r="H670" i="26"/>
  <c r="BL669" i="26"/>
  <c r="E939" i="55"/>
  <c r="A939" i="55" s="1"/>
  <c r="N938" i="55"/>
  <c r="S937" i="55"/>
  <c r="X937" i="55"/>
  <c r="AV669" i="55" l="1"/>
  <c r="BT669" i="26"/>
  <c r="U670" i="26"/>
  <c r="AF670" i="26" s="1"/>
  <c r="AN670" i="26" s="1"/>
  <c r="AP670" i="26"/>
  <c r="F670" i="26"/>
  <c r="R670" i="26" s="1"/>
  <c r="K670" i="26"/>
  <c r="M670" i="26" s="1"/>
  <c r="G670" i="26"/>
  <c r="D670" i="26"/>
  <c r="P670" i="26"/>
  <c r="AS670" i="26"/>
  <c r="BJ670" i="26" s="1"/>
  <c r="AO670" i="26"/>
  <c r="B939" i="55"/>
  <c r="Q939" i="55"/>
  <c r="F939" i="55"/>
  <c r="H939" i="55"/>
  <c r="C939" i="55"/>
  <c r="O939" i="55" s="1"/>
  <c r="K939" i="55"/>
  <c r="L939" i="55" s="1"/>
  <c r="U939" i="55"/>
  <c r="S938" i="55"/>
  <c r="D939" i="55"/>
  <c r="E940" i="55" s="1"/>
  <c r="M939" i="55"/>
  <c r="G939" i="55"/>
  <c r="X938" i="55"/>
  <c r="W939" i="55"/>
  <c r="P939" i="55"/>
  <c r="V939" i="55" s="1"/>
  <c r="AT670" i="26" l="1"/>
  <c r="N670" i="26"/>
  <c r="AJ670" i="26"/>
  <c r="AK670" i="26" s="1"/>
  <c r="O670" i="26"/>
  <c r="S670" i="26" s="1"/>
  <c r="T670" i="26" s="1"/>
  <c r="BC670" i="26" s="1"/>
  <c r="E671" i="26"/>
  <c r="N939" i="55"/>
  <c r="Q940" i="55"/>
  <c r="K940" i="55"/>
  <c r="L940" i="55"/>
  <c r="B940" i="55"/>
  <c r="W940" i="55" s="1"/>
  <c r="H940" i="55"/>
  <c r="C940" i="55"/>
  <c r="O940" i="55" s="1"/>
  <c r="A940" i="55"/>
  <c r="G940" i="55"/>
  <c r="AL670" i="26" l="1"/>
  <c r="AM670" i="26" s="1"/>
  <c r="AU670" i="26" s="1"/>
  <c r="W671" i="26"/>
  <c r="A671" i="26"/>
  <c r="B671" i="26"/>
  <c r="AP671" i="26"/>
  <c r="L671" i="26"/>
  <c r="C671" i="26"/>
  <c r="U671" i="26" s="1"/>
  <c r="AS671" i="26"/>
  <c r="BJ671" i="26" s="1"/>
  <c r="Q671" i="26"/>
  <c r="H671" i="26"/>
  <c r="AO671" i="26"/>
  <c r="G671" i="26"/>
  <c r="V671" i="26"/>
  <c r="BL670" i="26"/>
  <c r="U940" i="55"/>
  <c r="D940" i="55"/>
  <c r="M940" i="55" s="1"/>
  <c r="P940" i="55"/>
  <c r="F940" i="55"/>
  <c r="X939" i="55"/>
  <c r="S939" i="55"/>
  <c r="AT671" i="26" l="1"/>
  <c r="AV670" i="55"/>
  <c r="BT670" i="26"/>
  <c r="F671" i="26"/>
  <c r="R671" i="26" s="1"/>
  <c r="AF671" i="26"/>
  <c r="AN671" i="26" s="1"/>
  <c r="X671" i="26"/>
  <c r="BK671" i="26" s="1"/>
  <c r="D671" i="26"/>
  <c r="P671" i="26" s="1"/>
  <c r="K671" i="26"/>
  <c r="M671" i="26" s="1"/>
  <c r="E941" i="55"/>
  <c r="C941" i="55" s="1"/>
  <c r="O941" i="55" s="1"/>
  <c r="N940" i="55"/>
  <c r="V940" i="55"/>
  <c r="N671" i="26" l="1"/>
  <c r="AJ671" i="26"/>
  <c r="AK671" i="26" s="1"/>
  <c r="H941" i="55"/>
  <c r="E672" i="26"/>
  <c r="O671" i="26"/>
  <c r="K941" i="55"/>
  <c r="L941" i="55"/>
  <c r="Q941" i="55"/>
  <c r="D941" i="55"/>
  <c r="E942" i="55" s="1"/>
  <c r="A941" i="55"/>
  <c r="B941" i="55"/>
  <c r="F941" i="55"/>
  <c r="M941" i="55"/>
  <c r="W941" i="55"/>
  <c r="S940" i="55"/>
  <c r="X940" i="55"/>
  <c r="G941" i="55"/>
  <c r="P941" i="55"/>
  <c r="AL671" i="26" l="1"/>
  <c r="AM671" i="26" s="1"/>
  <c r="AU671" i="26" s="1"/>
  <c r="Q672" i="26"/>
  <c r="W672" i="26"/>
  <c r="C672" i="26"/>
  <c r="AS672" i="26" s="1"/>
  <c r="BJ672" i="26" s="1"/>
  <c r="B672" i="26"/>
  <c r="X672" i="26" s="1"/>
  <c r="L672" i="26"/>
  <c r="H672" i="26"/>
  <c r="A672" i="26"/>
  <c r="S671" i="26"/>
  <c r="T671" i="26" s="1"/>
  <c r="BC671" i="26" s="1"/>
  <c r="N941" i="55"/>
  <c r="O942" i="55"/>
  <c r="Q942" i="55"/>
  <c r="K942" i="55"/>
  <c r="B942" i="55"/>
  <c r="G942" i="55"/>
  <c r="H942" i="55"/>
  <c r="D942" i="55"/>
  <c r="A942" i="55"/>
  <c r="L942" i="55"/>
  <c r="N942" i="55"/>
  <c r="X942" i="55" s="1"/>
  <c r="M942" i="55"/>
  <c r="C942" i="55"/>
  <c r="F942" i="55"/>
  <c r="AP672" i="26" l="1"/>
  <c r="BL671" i="26"/>
  <c r="O672" i="26"/>
  <c r="G672" i="26"/>
  <c r="F672" i="26"/>
  <c r="R672" i="26" s="1"/>
  <c r="U672" i="26"/>
  <c r="AF672" i="26" s="1"/>
  <c r="AN672" i="26" s="1"/>
  <c r="D672" i="26"/>
  <c r="K672" i="26"/>
  <c r="M672" i="26" s="1"/>
  <c r="V672" i="26"/>
  <c r="AO672" i="26" s="1"/>
  <c r="AT672" i="26" s="1"/>
  <c r="E673" i="26"/>
  <c r="U942" i="55"/>
  <c r="W942" i="55"/>
  <c r="S941" i="55"/>
  <c r="S942" i="55" s="1"/>
  <c r="X941" i="55"/>
  <c r="P942" i="55"/>
  <c r="E943" i="55"/>
  <c r="P672" i="26" l="1"/>
  <c r="S672" i="26"/>
  <c r="T672" i="26" s="1"/>
  <c r="BC672" i="26" s="1"/>
  <c r="BK672" i="26"/>
  <c r="Q673" i="26"/>
  <c r="L673" i="26"/>
  <c r="B673" i="26"/>
  <c r="D673" i="26" s="1"/>
  <c r="A673" i="26"/>
  <c r="H673" i="26"/>
  <c r="W673" i="26"/>
  <c r="C673" i="26"/>
  <c r="K673" i="26"/>
  <c r="M673" i="26" s="1"/>
  <c r="N673" i="26" s="1"/>
  <c r="P673" i="26"/>
  <c r="G673" i="26"/>
  <c r="O673" i="26"/>
  <c r="AJ672" i="26"/>
  <c r="AK672" i="26" s="1"/>
  <c r="N672" i="26"/>
  <c r="BT671" i="26"/>
  <c r="AV671" i="55"/>
  <c r="V942" i="55"/>
  <c r="Q943" i="55"/>
  <c r="K943" i="55"/>
  <c r="A943" i="55"/>
  <c r="H943" i="55"/>
  <c r="B943" i="55"/>
  <c r="P943" i="55" s="1"/>
  <c r="C943" i="55"/>
  <c r="O943" i="55" s="1"/>
  <c r="L943" i="55"/>
  <c r="F943" i="55"/>
  <c r="AJ673" i="26" l="1"/>
  <c r="AK673" i="26" s="1"/>
  <c r="AL672" i="26"/>
  <c r="AM672" i="26" s="1"/>
  <c r="AU672" i="26" s="1"/>
  <c r="V673" i="26"/>
  <c r="AO673" i="26" s="1"/>
  <c r="E674" i="26"/>
  <c r="AP673" i="26"/>
  <c r="U673" i="26"/>
  <c r="AF673" i="26" s="1"/>
  <c r="AN673" i="26" s="1"/>
  <c r="F673" i="26"/>
  <c r="R673" i="26" s="1"/>
  <c r="AL673" i="26" s="1"/>
  <c r="AS673" i="26"/>
  <c r="BJ673" i="26" s="1"/>
  <c r="X673" i="26"/>
  <c r="BL672" i="26"/>
  <c r="D943" i="55"/>
  <c r="M943" i="55" s="1"/>
  <c r="U943" i="55"/>
  <c r="V943" i="55" s="1"/>
  <c r="W943" i="55"/>
  <c r="G943" i="55"/>
  <c r="AT673" i="26" l="1"/>
  <c r="BK673" i="26"/>
  <c r="AM673" i="26"/>
  <c r="AU673" i="26" s="1"/>
  <c r="AV672" i="55"/>
  <c r="BT672" i="26"/>
  <c r="C674" i="26"/>
  <c r="H674" i="26"/>
  <c r="A674" i="26"/>
  <c r="Q674" i="26"/>
  <c r="B674" i="26"/>
  <c r="D674" i="26" s="1"/>
  <c r="W674" i="26"/>
  <c r="F674" i="26"/>
  <c r="R674" i="26" s="1"/>
  <c r="L674" i="26"/>
  <c r="AP674" i="26"/>
  <c r="U674" i="26"/>
  <c r="AF674" i="26" s="1"/>
  <c r="AN674" i="26" s="1"/>
  <c r="G674" i="26"/>
  <c r="P674" i="26"/>
  <c r="AS674" i="26"/>
  <c r="BJ674" i="26" s="1"/>
  <c r="K674" i="26"/>
  <c r="M674" i="26" s="1"/>
  <c r="N674" i="26" s="1"/>
  <c r="X674" i="26"/>
  <c r="O674" i="26"/>
  <c r="S674" i="26" s="1"/>
  <c r="T674" i="26" s="1"/>
  <c r="S673" i="26"/>
  <c r="T673" i="26" s="1"/>
  <c r="BC673" i="26" s="1"/>
  <c r="E944" i="55"/>
  <c r="Q944" i="55" s="1"/>
  <c r="N943" i="55"/>
  <c r="AJ674" i="26" l="1"/>
  <c r="AK674" i="26" s="1"/>
  <c r="AL674" i="26"/>
  <c r="AM674" i="26" s="1"/>
  <c r="AU674" i="26" s="1"/>
  <c r="BC674" i="26"/>
  <c r="BL674" i="26"/>
  <c r="BL673" i="26"/>
  <c r="V674" i="26"/>
  <c r="AO674" i="26" s="1"/>
  <c r="AT674" i="26" s="1"/>
  <c r="E675" i="26"/>
  <c r="H944" i="55"/>
  <c r="K944" i="55"/>
  <c r="L944" i="55"/>
  <c r="O944" i="55"/>
  <c r="B944" i="55"/>
  <c r="U944" i="55"/>
  <c r="A944" i="55"/>
  <c r="C944" i="55"/>
  <c r="D944" i="55"/>
  <c r="E945" i="55" s="1"/>
  <c r="W944" i="55"/>
  <c r="G944" i="55"/>
  <c r="P944" i="55"/>
  <c r="V944" i="55" s="1"/>
  <c r="F944" i="55"/>
  <c r="M944" i="55"/>
  <c r="S943" i="55"/>
  <c r="X943" i="55"/>
  <c r="BT674" i="26" l="1"/>
  <c r="AV674" i="55"/>
  <c r="H675" i="26"/>
  <c r="C675" i="26"/>
  <c r="Q675" i="26"/>
  <c r="W675" i="26"/>
  <c r="B675" i="26"/>
  <c r="D675" i="26" s="1"/>
  <c r="L675" i="26"/>
  <c r="A675" i="26"/>
  <c r="O675" i="26"/>
  <c r="F675" i="26"/>
  <c r="R675" i="26" s="1"/>
  <c r="U675" i="26"/>
  <c r="BT673" i="26"/>
  <c r="AV673" i="55"/>
  <c r="BK674" i="26"/>
  <c r="N944" i="55"/>
  <c r="Q945" i="55"/>
  <c r="K945" i="55"/>
  <c r="A945" i="55"/>
  <c r="C945" i="55"/>
  <c r="U945" i="55" s="1"/>
  <c r="B945" i="55"/>
  <c r="L945" i="55"/>
  <c r="H945" i="55"/>
  <c r="W945" i="55"/>
  <c r="S675" i="26" l="1"/>
  <c r="T675" i="26" s="1"/>
  <c r="BC675" i="26" s="1"/>
  <c r="AP675" i="26"/>
  <c r="AF675" i="26"/>
  <c r="AN675" i="26" s="1"/>
  <c r="P675" i="26"/>
  <c r="X675" i="26"/>
  <c r="V675" i="26"/>
  <c r="AO675" i="26" s="1"/>
  <c r="E676" i="26"/>
  <c r="G675" i="26"/>
  <c r="AS675" i="26"/>
  <c r="BJ675" i="26" s="1"/>
  <c r="K675" i="26"/>
  <c r="M675" i="26" s="1"/>
  <c r="D945" i="55"/>
  <c r="E946" i="55" s="1"/>
  <c r="O945" i="55"/>
  <c r="X944" i="55"/>
  <c r="S944" i="55"/>
  <c r="P945" i="55"/>
  <c r="V945" i="55" s="1"/>
  <c r="G945" i="55"/>
  <c r="F945" i="55"/>
  <c r="AL675" i="26" l="1"/>
  <c r="AM675" i="26" s="1"/>
  <c r="AU675" i="26" s="1"/>
  <c r="AT675" i="26"/>
  <c r="BK675" i="26"/>
  <c r="BL675" i="26"/>
  <c r="AJ675" i="26"/>
  <c r="AK675" i="26" s="1"/>
  <c r="N675" i="26"/>
  <c r="A676" i="26"/>
  <c r="B676" i="26"/>
  <c r="C676" i="26"/>
  <c r="U676" i="26" s="1"/>
  <c r="AF676" i="26" s="1"/>
  <c r="AN676" i="26" s="1"/>
  <c r="L676" i="26"/>
  <c r="W676" i="26"/>
  <c r="Q676" i="26"/>
  <c r="G676" i="26"/>
  <c r="H676" i="26"/>
  <c r="BT675" i="26"/>
  <c r="AV675" i="55"/>
  <c r="M945" i="55"/>
  <c r="O946" i="55"/>
  <c r="Q946" i="55"/>
  <c r="K946" i="55"/>
  <c r="C946" i="55"/>
  <c r="D946" i="55"/>
  <c r="M946" i="55" s="1"/>
  <c r="H946" i="55"/>
  <c r="G946" i="55"/>
  <c r="U946" i="55"/>
  <c r="L946" i="55"/>
  <c r="B946" i="55"/>
  <c r="W946" i="55"/>
  <c r="A946" i="55"/>
  <c r="X676" i="26" l="1"/>
  <c r="AS676" i="26"/>
  <c r="BJ676" i="26" s="1"/>
  <c r="K676" i="26"/>
  <c r="M676" i="26" s="1"/>
  <c r="AP676" i="26"/>
  <c r="D676" i="26"/>
  <c r="O676" i="26"/>
  <c r="F676" i="26"/>
  <c r="R676" i="26" s="1"/>
  <c r="V676" i="26"/>
  <c r="BK676" i="26" s="1"/>
  <c r="E677" i="26"/>
  <c r="N946" i="55"/>
  <c r="P946" i="55"/>
  <c r="V946" i="55" s="1"/>
  <c r="N945" i="55"/>
  <c r="F946" i="55"/>
  <c r="E947" i="55"/>
  <c r="S676" i="26" l="1"/>
  <c r="T676" i="26" s="1"/>
  <c r="BC676" i="26" s="1"/>
  <c r="N676" i="26"/>
  <c r="AJ676" i="26"/>
  <c r="AK676" i="26" s="1"/>
  <c r="B677" i="26"/>
  <c r="L677" i="26"/>
  <c r="D677" i="26"/>
  <c r="Q677" i="26"/>
  <c r="F677" i="26"/>
  <c r="R677" i="26" s="1"/>
  <c r="W677" i="26"/>
  <c r="H677" i="26"/>
  <c r="C677" i="26"/>
  <c r="A677" i="26"/>
  <c r="G677" i="26"/>
  <c r="O677" i="26"/>
  <c r="P677" i="26"/>
  <c r="K677" i="26"/>
  <c r="M677" i="26" s="1"/>
  <c r="N677" i="26" s="1"/>
  <c r="P676" i="26"/>
  <c r="AO676" i="26"/>
  <c r="AT676" i="26" s="1"/>
  <c r="X945" i="55"/>
  <c r="S945" i="55"/>
  <c r="X946" i="55"/>
  <c r="O947" i="55"/>
  <c r="P947" i="55"/>
  <c r="Q947" i="55"/>
  <c r="K947" i="55"/>
  <c r="L947" i="55" s="1"/>
  <c r="G947" i="55"/>
  <c r="A947" i="55"/>
  <c r="U947" i="55"/>
  <c r="V947" i="55" s="1"/>
  <c r="H947" i="55"/>
  <c r="W947" i="55"/>
  <c r="B947" i="55"/>
  <c r="F947" i="55"/>
  <c r="C947" i="55"/>
  <c r="AL676" i="26" l="1"/>
  <c r="AM676" i="26" s="1"/>
  <c r="AU676" i="26" s="1"/>
  <c r="AL677" i="26"/>
  <c r="AM677" i="26" s="1"/>
  <c r="AU677" i="26" s="1"/>
  <c r="U677" i="26"/>
  <c r="AF677" i="26" s="1"/>
  <c r="AN677" i="26" s="1"/>
  <c r="S677" i="26"/>
  <c r="T677" i="26" s="1"/>
  <c r="V677" i="26"/>
  <c r="AO677" i="26" s="1"/>
  <c r="E678" i="26"/>
  <c r="AJ677" i="26"/>
  <c r="AK677" i="26" s="1"/>
  <c r="AP677" i="26"/>
  <c r="X677" i="26"/>
  <c r="BL676" i="26"/>
  <c r="S946" i="55"/>
  <c r="D947" i="55"/>
  <c r="M947" i="55" s="1"/>
  <c r="AT677" i="26" l="1"/>
  <c r="BC677" i="26"/>
  <c r="BK677" i="26"/>
  <c r="L678" i="26"/>
  <c r="A678" i="26"/>
  <c r="W678" i="26"/>
  <c r="C678" i="26"/>
  <c r="U678" i="26" s="1"/>
  <c r="Q678" i="26"/>
  <c r="B678" i="26"/>
  <c r="K678" i="26" s="1"/>
  <c r="M678" i="26" s="1"/>
  <c r="H678" i="26"/>
  <c r="AS678" i="26"/>
  <c r="BJ678" i="26" s="1"/>
  <c r="AV676" i="55"/>
  <c r="BT676" i="26"/>
  <c r="BL677" i="26"/>
  <c r="E948" i="55"/>
  <c r="B948" i="55" s="1"/>
  <c r="P948" i="55" s="1"/>
  <c r="N947" i="55"/>
  <c r="D678" i="26" l="1"/>
  <c r="F678" i="26"/>
  <c r="R678" i="26" s="1"/>
  <c r="AP678" i="26"/>
  <c r="O678" i="26"/>
  <c r="AF678" i="26"/>
  <c r="AN678" i="26" s="1"/>
  <c r="AJ678" i="26"/>
  <c r="AK678" i="26" s="1"/>
  <c r="N678" i="26"/>
  <c r="X678" i="26"/>
  <c r="BT677" i="26"/>
  <c r="AV677" i="55"/>
  <c r="G678" i="26"/>
  <c r="V678" i="26"/>
  <c r="E679" i="26"/>
  <c r="O948" i="55"/>
  <c r="G948" i="55"/>
  <c r="C948" i="55"/>
  <c r="W948" i="55" s="1"/>
  <c r="K948" i="55"/>
  <c r="U948" i="55"/>
  <c r="A948" i="55"/>
  <c r="L948" i="55"/>
  <c r="X947" i="55"/>
  <c r="S947" i="55"/>
  <c r="D948" i="55"/>
  <c r="H948" i="55"/>
  <c r="V948" i="55"/>
  <c r="F948" i="55"/>
  <c r="Q948" i="55"/>
  <c r="S678" i="26" l="1"/>
  <c r="T678" i="26" s="1"/>
  <c r="P678" i="26"/>
  <c r="Q679" i="26"/>
  <c r="L679" i="26"/>
  <c r="C679" i="26"/>
  <c r="B679" i="26"/>
  <c r="A679" i="26"/>
  <c r="H679" i="26"/>
  <c r="W679" i="26"/>
  <c r="G679" i="26"/>
  <c r="AO678" i="26"/>
  <c r="AT678" i="26" s="1"/>
  <c r="BK678" i="26"/>
  <c r="E949" i="55"/>
  <c r="P949" i="55" s="1"/>
  <c r="M948" i="55"/>
  <c r="D949" i="55"/>
  <c r="M949" i="55" s="1"/>
  <c r="F949" i="55"/>
  <c r="AL678" i="26" l="1"/>
  <c r="AM678" i="26" s="1"/>
  <c r="AU678" i="26" s="1"/>
  <c r="BC678" i="26"/>
  <c r="BL678" i="26"/>
  <c r="F679" i="26"/>
  <c r="R679" i="26" s="1"/>
  <c r="X679" i="26"/>
  <c r="D679" i="26"/>
  <c r="V679" i="26"/>
  <c r="E680" i="26"/>
  <c r="C949" i="55"/>
  <c r="U949" i="55" s="1"/>
  <c r="V949" i="55" s="1"/>
  <c r="B949" i="55"/>
  <c r="H949" i="55"/>
  <c r="A949" i="55"/>
  <c r="Q949" i="55"/>
  <c r="AP679" i="26"/>
  <c r="O679" i="26"/>
  <c r="P679" i="26"/>
  <c r="G949" i="55"/>
  <c r="K949" i="55"/>
  <c r="L949" i="55" s="1"/>
  <c r="AS679" i="26"/>
  <c r="BJ679" i="26" s="1"/>
  <c r="K679" i="26"/>
  <c r="M679" i="26" s="1"/>
  <c r="U679" i="26"/>
  <c r="AF679" i="26" s="1"/>
  <c r="AN679" i="26" s="1"/>
  <c r="N949" i="55"/>
  <c r="N948" i="55"/>
  <c r="W949" i="55"/>
  <c r="O949" i="55"/>
  <c r="AV678" i="55" l="1"/>
  <c r="BT678" i="26"/>
  <c r="E950" i="55"/>
  <c r="N679" i="26"/>
  <c r="AJ679" i="26"/>
  <c r="AK679" i="26" s="1"/>
  <c r="L680" i="26"/>
  <c r="A680" i="26"/>
  <c r="B680" i="26"/>
  <c r="F680" i="26" s="1"/>
  <c r="Q680" i="26"/>
  <c r="H680" i="26"/>
  <c r="W680" i="26"/>
  <c r="C680" i="26"/>
  <c r="V680" i="26" s="1"/>
  <c r="K680" i="26"/>
  <c r="G680" i="26"/>
  <c r="R680" i="26"/>
  <c r="D680" i="26"/>
  <c r="P680" i="26"/>
  <c r="O680" i="26"/>
  <c r="S679" i="26"/>
  <c r="T679" i="26" s="1"/>
  <c r="BC679" i="26" s="1"/>
  <c r="BK679" i="26"/>
  <c r="AO679" i="26"/>
  <c r="AT679" i="26" s="1"/>
  <c r="X948" i="55"/>
  <c r="S948" i="55"/>
  <c r="S949" i="55" s="1"/>
  <c r="X949" i="55"/>
  <c r="O950" i="55"/>
  <c r="Q950" i="55"/>
  <c r="K950" i="55"/>
  <c r="L950" i="55"/>
  <c r="C950" i="55"/>
  <c r="U950" i="55" s="1"/>
  <c r="B950" i="55"/>
  <c r="A950" i="55"/>
  <c r="H950" i="55"/>
  <c r="AL679" i="26" l="1"/>
  <c r="AM679" i="26" s="1"/>
  <c r="AU679" i="26" s="1"/>
  <c r="AL680" i="26"/>
  <c r="AM680" i="26" s="1"/>
  <c r="AU680" i="26" s="1"/>
  <c r="AP680" i="26"/>
  <c r="AO680" i="26"/>
  <c r="AS680" i="26"/>
  <c r="BJ680" i="26" s="1"/>
  <c r="M680" i="26"/>
  <c r="X680" i="26"/>
  <c r="BK680" i="26" s="1"/>
  <c r="S680" i="26"/>
  <c r="T680" i="26" s="1"/>
  <c r="BC680" i="26" s="1"/>
  <c r="BL679" i="26"/>
  <c r="U680" i="26"/>
  <c r="AF680" i="26" s="1"/>
  <c r="AN680" i="26" s="1"/>
  <c r="E681" i="26"/>
  <c r="F950" i="55"/>
  <c r="W950" i="55"/>
  <c r="P950" i="55"/>
  <c r="V950" i="55" s="1"/>
  <c r="D950" i="55"/>
  <c r="E951" i="55" s="1"/>
  <c r="M950" i="55"/>
  <c r="G950" i="55"/>
  <c r="AT680" i="26" l="1"/>
  <c r="N680" i="26"/>
  <c r="AJ680" i="26"/>
  <c r="AK680" i="26" s="1"/>
  <c r="A681" i="26"/>
  <c r="C681" i="26"/>
  <c r="L681" i="26"/>
  <c r="U681" i="26"/>
  <c r="H681" i="26"/>
  <c r="B681" i="26"/>
  <c r="G681" i="26" s="1"/>
  <c r="Q681" i="26"/>
  <c r="W681" i="26"/>
  <c r="K681" i="26"/>
  <c r="F681" i="26"/>
  <c r="R681" i="26" s="1"/>
  <c r="AP681" i="26"/>
  <c r="X681" i="26"/>
  <c r="D681" i="26"/>
  <c r="AF681" i="26"/>
  <c r="AN681" i="26" s="1"/>
  <c r="AS681" i="26"/>
  <c r="BJ681" i="26" s="1"/>
  <c r="BL680" i="26"/>
  <c r="BT679" i="26"/>
  <c r="AV679" i="55"/>
  <c r="O681" i="26"/>
  <c r="S681" i="26" s="1"/>
  <c r="T681" i="26" s="1"/>
  <c r="BC681" i="26" s="1"/>
  <c r="N950" i="55"/>
  <c r="O951" i="55"/>
  <c r="Q951" i="55"/>
  <c r="K951" i="55"/>
  <c r="H951" i="55"/>
  <c r="L951" i="55"/>
  <c r="C951" i="55"/>
  <c r="U951" i="55" s="1"/>
  <c r="B951" i="55"/>
  <c r="A951" i="55"/>
  <c r="G951" i="55"/>
  <c r="M681" i="26" l="1"/>
  <c r="P681" i="26"/>
  <c r="AL681" i="26" s="1"/>
  <c r="V681" i="26"/>
  <c r="AO681" i="26" s="1"/>
  <c r="AT681" i="26" s="1"/>
  <c r="E682" i="26"/>
  <c r="AV680" i="55"/>
  <c r="BT680" i="26"/>
  <c r="BL681" i="26"/>
  <c r="S950" i="55"/>
  <c r="X950" i="55"/>
  <c r="W951" i="55"/>
  <c r="D951" i="55"/>
  <c r="M951" i="55" s="1"/>
  <c r="P951" i="55"/>
  <c r="V951" i="55" s="1"/>
  <c r="F951" i="55"/>
  <c r="N681" i="26" l="1"/>
  <c r="AJ681" i="26"/>
  <c r="AK681" i="26" s="1"/>
  <c r="AM681" i="26"/>
  <c r="AU681" i="26" s="1"/>
  <c r="C682" i="26"/>
  <c r="A682" i="26"/>
  <c r="Q682" i="26"/>
  <c r="L682" i="26"/>
  <c r="B682" i="26"/>
  <c r="W682" i="26"/>
  <c r="H682" i="26"/>
  <c r="BK681" i="26"/>
  <c r="AV681" i="55"/>
  <c r="BT681" i="26"/>
  <c r="E952" i="55"/>
  <c r="Q952" i="55" s="1"/>
  <c r="N951" i="55"/>
  <c r="K682" i="26" l="1"/>
  <c r="M682" i="26" s="1"/>
  <c r="D682" i="26"/>
  <c r="AP682" i="26"/>
  <c r="G682" i="26"/>
  <c r="F682" i="26"/>
  <c r="R682" i="26" s="1"/>
  <c r="X682" i="26"/>
  <c r="U682" i="26"/>
  <c r="AF682" i="26" s="1"/>
  <c r="AN682" i="26" s="1"/>
  <c r="AS682" i="26"/>
  <c r="BJ682" i="26" s="1"/>
  <c r="V682" i="26"/>
  <c r="AO682" i="26" s="1"/>
  <c r="A952" i="55"/>
  <c r="C952" i="55"/>
  <c r="U952" i="55" s="1"/>
  <c r="G952" i="55"/>
  <c r="B952" i="55"/>
  <c r="F952" i="55" s="1"/>
  <c r="K952" i="55"/>
  <c r="L952" i="55" s="1"/>
  <c r="H952" i="55"/>
  <c r="W952" i="55"/>
  <c r="P952" i="55"/>
  <c r="V952" i="55" s="1"/>
  <c r="D952" i="55"/>
  <c r="M952" i="55"/>
  <c r="O952" i="55"/>
  <c r="S951" i="55"/>
  <c r="X951" i="55"/>
  <c r="BK682" i="26" l="1"/>
  <c r="AJ682" i="26"/>
  <c r="AK682" i="26" s="1"/>
  <c r="N682" i="26"/>
  <c r="AT682" i="26"/>
  <c r="P682" i="26"/>
  <c r="O682" i="26"/>
  <c r="E683" i="26"/>
  <c r="E953" i="55"/>
  <c r="K953" i="55" s="1"/>
  <c r="N952" i="55"/>
  <c r="G953" i="55"/>
  <c r="C953" i="55"/>
  <c r="AL682" i="26" l="1"/>
  <c r="AM682" i="26" s="1"/>
  <c r="AU682" i="26" s="1"/>
  <c r="Q953" i="55"/>
  <c r="L683" i="26"/>
  <c r="W683" i="26"/>
  <c r="C683" i="26"/>
  <c r="AS683" i="26" s="1"/>
  <c r="BJ683" i="26" s="1"/>
  <c r="H683" i="26"/>
  <c r="B683" i="26"/>
  <c r="Q683" i="26"/>
  <c r="A683" i="26"/>
  <c r="B953" i="55"/>
  <c r="L953" i="55"/>
  <c r="F953" i="55"/>
  <c r="A953" i="55"/>
  <c r="G683" i="26"/>
  <c r="S682" i="26"/>
  <c r="T682" i="26" s="1"/>
  <c r="BC682" i="26" s="1"/>
  <c r="H953" i="55"/>
  <c r="W953" i="55"/>
  <c r="P953" i="55"/>
  <c r="O953" i="55"/>
  <c r="D953" i="55"/>
  <c r="M953" i="55" s="1"/>
  <c r="X952" i="55"/>
  <c r="S952" i="55"/>
  <c r="D683" i="26" l="1"/>
  <c r="E684" i="26" s="1"/>
  <c r="K683" i="26"/>
  <c r="M683" i="26" s="1"/>
  <c r="V683" i="26"/>
  <c r="AO683" i="26" s="1"/>
  <c r="BL682" i="26"/>
  <c r="F683" i="26"/>
  <c r="R683" i="26" s="1"/>
  <c r="U683" i="26"/>
  <c r="AF683" i="26" s="1"/>
  <c r="AN683" i="26" s="1"/>
  <c r="X683" i="26"/>
  <c r="AP683" i="26"/>
  <c r="O683" i="26"/>
  <c r="E954" i="55"/>
  <c r="Q954" i="55" s="1"/>
  <c r="N953" i="55"/>
  <c r="AT683" i="26" l="1"/>
  <c r="BK683" i="26"/>
  <c r="S683" i="26"/>
  <c r="T683" i="26" s="1"/>
  <c r="BC683" i="26" s="1"/>
  <c r="U954" i="55"/>
  <c r="L684" i="26"/>
  <c r="B684" i="26"/>
  <c r="W684" i="26"/>
  <c r="H684" i="26"/>
  <c r="C684" i="26"/>
  <c r="A684" i="26"/>
  <c r="Q684" i="26"/>
  <c r="AJ683" i="26"/>
  <c r="AK683" i="26" s="1"/>
  <c r="N683" i="26"/>
  <c r="BT682" i="26"/>
  <c r="AV682" i="55"/>
  <c r="P683" i="26"/>
  <c r="H954" i="55"/>
  <c r="K954" i="55"/>
  <c r="L954" i="55" s="1"/>
  <c r="B954" i="55"/>
  <c r="C954" i="55"/>
  <c r="O954" i="55" s="1"/>
  <c r="A954" i="55"/>
  <c r="W954" i="55"/>
  <c r="F954" i="55"/>
  <c r="D954" i="55"/>
  <c r="G954" i="55"/>
  <c r="P954" i="55"/>
  <c r="V954" i="55" s="1"/>
  <c r="M954" i="55"/>
  <c r="S953" i="55"/>
  <c r="X953" i="55"/>
  <c r="AL683" i="26" l="1"/>
  <c r="AM683" i="26" s="1"/>
  <c r="AU683" i="26" s="1"/>
  <c r="AS684" i="26"/>
  <c r="BJ684" i="26" s="1"/>
  <c r="V684" i="26"/>
  <c r="U684" i="26"/>
  <c r="AF684" i="26" s="1"/>
  <c r="AN684" i="26" s="1"/>
  <c r="K684" i="26"/>
  <c r="M684" i="26" s="1"/>
  <c r="F684" i="26"/>
  <c r="R684" i="26" s="1"/>
  <c r="G684" i="26"/>
  <c r="X684" i="26"/>
  <c r="AP684" i="26"/>
  <c r="D684" i="26"/>
  <c r="BL683" i="26"/>
  <c r="E955" i="55"/>
  <c r="A955" i="55" s="1"/>
  <c r="N954" i="55"/>
  <c r="BK684" i="26" l="1"/>
  <c r="BT683" i="26"/>
  <c r="AV683" i="55"/>
  <c r="N684" i="26"/>
  <c r="AJ684" i="26"/>
  <c r="AK684" i="26" s="1"/>
  <c r="E685" i="26"/>
  <c r="O684" i="26"/>
  <c r="P684" i="26"/>
  <c r="AO684" i="26"/>
  <c r="AT684" i="26" s="1"/>
  <c r="G955" i="55"/>
  <c r="K955" i="55"/>
  <c r="H955" i="55"/>
  <c r="F955" i="55"/>
  <c r="B955" i="55"/>
  <c r="C955" i="55"/>
  <c r="U955" i="55" s="1"/>
  <c r="Q955" i="55"/>
  <c r="L955" i="55"/>
  <c r="D955" i="55"/>
  <c r="S954" i="55"/>
  <c r="X954" i="55"/>
  <c r="W955" i="55"/>
  <c r="M955" i="55"/>
  <c r="P955" i="55"/>
  <c r="V955" i="55" s="1"/>
  <c r="O955" i="55"/>
  <c r="AL684" i="26" l="1"/>
  <c r="AM684" i="26" s="1"/>
  <c r="AU684" i="26" s="1"/>
  <c r="H685" i="26"/>
  <c r="C685" i="26"/>
  <c r="U685" i="26" s="1"/>
  <c r="AF685" i="26" s="1"/>
  <c r="AN685" i="26" s="1"/>
  <c r="B685" i="26"/>
  <c r="A685" i="26"/>
  <c r="W685" i="26"/>
  <c r="Q685" i="26"/>
  <c r="L685" i="26"/>
  <c r="AS685" i="26"/>
  <c r="BJ685" i="26" s="1"/>
  <c r="D685" i="26"/>
  <c r="AP685" i="26"/>
  <c r="F685" i="26"/>
  <c r="R685" i="26" s="1"/>
  <c r="S684" i="26"/>
  <c r="T684" i="26" s="1"/>
  <c r="BC684" i="26" s="1"/>
  <c r="E956" i="55"/>
  <c r="N955" i="55"/>
  <c r="Q956" i="55"/>
  <c r="K956" i="55"/>
  <c r="B956" i="55"/>
  <c r="C956" i="55"/>
  <c r="U956" i="55" s="1"/>
  <c r="L956" i="55"/>
  <c r="H956" i="55"/>
  <c r="A956" i="55"/>
  <c r="F956" i="55"/>
  <c r="X685" i="26" l="1"/>
  <c r="G685" i="26"/>
  <c r="BL684" i="26"/>
  <c r="K685" i="26"/>
  <c r="M685" i="26" s="1"/>
  <c r="V685" i="26"/>
  <c r="E686" i="26"/>
  <c r="P685" i="26"/>
  <c r="O685" i="26"/>
  <c r="O956" i="55"/>
  <c r="W956" i="55"/>
  <c r="P956" i="55"/>
  <c r="V956" i="55" s="1"/>
  <c r="D956" i="55"/>
  <c r="M956" i="55" s="1"/>
  <c r="G956" i="55"/>
  <c r="X955" i="55"/>
  <c r="S955" i="55"/>
  <c r="AL685" i="26" l="1"/>
  <c r="AM685" i="26" s="1"/>
  <c r="AU685" i="26" s="1"/>
  <c r="S685" i="26"/>
  <c r="T685" i="26" s="1"/>
  <c r="BC685" i="26" s="1"/>
  <c r="AO685" i="26"/>
  <c r="AT685" i="26" s="1"/>
  <c r="BK685" i="26"/>
  <c r="AJ685" i="26"/>
  <c r="AK685" i="26" s="1"/>
  <c r="N685" i="26"/>
  <c r="A686" i="26"/>
  <c r="W686" i="26"/>
  <c r="B686" i="26"/>
  <c r="C686" i="26"/>
  <c r="H686" i="26"/>
  <c r="Q686" i="26"/>
  <c r="L686" i="26"/>
  <c r="AV684" i="55"/>
  <c r="BT684" i="26"/>
  <c r="N956" i="55"/>
  <c r="E957" i="55"/>
  <c r="H957" i="55" s="1"/>
  <c r="U957" i="55"/>
  <c r="V686" i="26" l="1"/>
  <c r="AO686" i="26" s="1"/>
  <c r="U686" i="26"/>
  <c r="AF686" i="26" s="1"/>
  <c r="AN686" i="26" s="1"/>
  <c r="AS686" i="26"/>
  <c r="BJ686" i="26" s="1"/>
  <c r="L957" i="55"/>
  <c r="G686" i="26"/>
  <c r="D686" i="26"/>
  <c r="AP686" i="26"/>
  <c r="X686" i="26"/>
  <c r="F686" i="26"/>
  <c r="R686" i="26" s="1"/>
  <c r="K686" i="26"/>
  <c r="M686" i="26" s="1"/>
  <c r="BL685" i="26"/>
  <c r="A957" i="55"/>
  <c r="K957" i="55"/>
  <c r="B957" i="55"/>
  <c r="Q957" i="55"/>
  <c r="C957" i="55"/>
  <c r="O957" i="55" s="1"/>
  <c r="P957" i="55"/>
  <c r="V957" i="55" s="1"/>
  <c r="F957" i="55"/>
  <c r="D957" i="55"/>
  <c r="M957" i="55" s="1"/>
  <c r="W957" i="55"/>
  <c r="G957" i="55"/>
  <c r="X956" i="55"/>
  <c r="S956" i="55"/>
  <c r="BK686" i="26" l="1"/>
  <c r="BT685" i="26"/>
  <c r="AV685" i="55"/>
  <c r="P686" i="26"/>
  <c r="O686" i="26"/>
  <c r="AJ686" i="26"/>
  <c r="AK686" i="26" s="1"/>
  <c r="N686" i="26"/>
  <c r="AT686" i="26"/>
  <c r="E687" i="26"/>
  <c r="N957" i="55"/>
  <c r="E958" i="55"/>
  <c r="K958" i="55" s="1"/>
  <c r="AL686" i="26" l="1"/>
  <c r="AM686" i="26" s="1"/>
  <c r="AU686" i="26" s="1"/>
  <c r="H687" i="26"/>
  <c r="C687" i="26"/>
  <c r="Q687" i="26"/>
  <c r="W687" i="26"/>
  <c r="B687" i="26"/>
  <c r="L687" i="26"/>
  <c r="A687" i="26"/>
  <c r="S686" i="26"/>
  <c r="T686" i="26" s="1"/>
  <c r="BC686" i="26" s="1"/>
  <c r="G958" i="55"/>
  <c r="A958" i="55"/>
  <c r="L958" i="55"/>
  <c r="W958" i="55"/>
  <c r="F958" i="55"/>
  <c r="B958" i="55"/>
  <c r="Q958" i="55"/>
  <c r="D958" i="55"/>
  <c r="U958" i="55"/>
  <c r="V958" i="55" s="1"/>
  <c r="P958" i="55"/>
  <c r="H958" i="55"/>
  <c r="C958" i="55"/>
  <c r="O958" i="55" s="1"/>
  <c r="S957" i="55"/>
  <c r="X957" i="55"/>
  <c r="M958" i="55"/>
  <c r="BL686" i="26" l="1"/>
  <c r="K687" i="26"/>
  <c r="M687" i="26" s="1"/>
  <c r="G687" i="26"/>
  <c r="AP687" i="26"/>
  <c r="F687" i="26"/>
  <c r="R687" i="26" s="1"/>
  <c r="D687" i="26"/>
  <c r="E688" i="26" s="1"/>
  <c r="V687" i="26"/>
  <c r="AO687" i="26" s="1"/>
  <c r="AS687" i="26"/>
  <c r="BJ687" i="26" s="1"/>
  <c r="U687" i="26"/>
  <c r="AF687" i="26" s="1"/>
  <c r="AN687" i="26" s="1"/>
  <c r="X687" i="26"/>
  <c r="BK687" i="26" s="1"/>
  <c r="E959" i="55"/>
  <c r="Q959" i="55" s="1"/>
  <c r="N958" i="55"/>
  <c r="AT687" i="26" l="1"/>
  <c r="W688" i="26"/>
  <c r="L688" i="26"/>
  <c r="A688" i="26"/>
  <c r="C688" i="26"/>
  <c r="V688" i="26" s="1"/>
  <c r="Q688" i="26"/>
  <c r="B688" i="26"/>
  <c r="K688" i="26" s="1"/>
  <c r="M688" i="26" s="1"/>
  <c r="H688" i="26"/>
  <c r="AS688" i="26"/>
  <c r="BJ688" i="26" s="1"/>
  <c r="D688" i="26"/>
  <c r="P688" i="26" s="1"/>
  <c r="BT686" i="26"/>
  <c r="AV686" i="55"/>
  <c r="O687" i="26"/>
  <c r="N687" i="26"/>
  <c r="AJ687" i="26"/>
  <c r="AK687" i="26" s="1"/>
  <c r="P687" i="26"/>
  <c r="H959" i="55"/>
  <c r="W959" i="55"/>
  <c r="K959" i="55"/>
  <c r="L959" i="55" s="1"/>
  <c r="C959" i="55"/>
  <c r="O959" i="55" s="1"/>
  <c r="F959" i="55"/>
  <c r="A959" i="55"/>
  <c r="D959" i="55"/>
  <c r="M959" i="55" s="1"/>
  <c r="G959" i="55"/>
  <c r="B959" i="55"/>
  <c r="E689" i="26"/>
  <c r="N959" i="55"/>
  <c r="U959" i="55"/>
  <c r="V959" i="55" s="1"/>
  <c r="P959" i="55"/>
  <c r="S958" i="55"/>
  <c r="X958" i="55"/>
  <c r="E960" i="55"/>
  <c r="AL687" i="26" l="1"/>
  <c r="AM687" i="26" s="1"/>
  <c r="AU687" i="26" s="1"/>
  <c r="AP688" i="26"/>
  <c r="U688" i="26"/>
  <c r="AF688" i="26" s="1"/>
  <c r="AN688" i="26" s="1"/>
  <c r="N688" i="26"/>
  <c r="AJ688" i="26"/>
  <c r="AK688" i="26" s="1"/>
  <c r="S687" i="26"/>
  <c r="T687" i="26" s="1"/>
  <c r="BC687" i="26" s="1"/>
  <c r="AO688" i="26"/>
  <c r="O688" i="26"/>
  <c r="F688" i="26"/>
  <c r="R688" i="26" s="1"/>
  <c r="X688" i="26"/>
  <c r="BK688" i="26" s="1"/>
  <c r="G688" i="26"/>
  <c r="H689" i="26"/>
  <c r="B689" i="26"/>
  <c r="G689" i="26" s="1"/>
  <c r="Q689" i="26"/>
  <c r="C689" i="26"/>
  <c r="U689" i="26" s="1"/>
  <c r="A689" i="26"/>
  <c r="W689" i="26"/>
  <c r="L689" i="26"/>
  <c r="X959" i="55"/>
  <c r="S959" i="55"/>
  <c r="Q960" i="55"/>
  <c r="K960" i="55"/>
  <c r="C960" i="55"/>
  <c r="O960" i="55" s="1"/>
  <c r="A960" i="55"/>
  <c r="H960" i="55"/>
  <c r="U960" i="55"/>
  <c r="L960" i="55"/>
  <c r="B960" i="55"/>
  <c r="P960" i="55" s="1"/>
  <c r="AT688" i="26" l="1"/>
  <c r="AL688" i="26"/>
  <c r="AM688" i="26" s="1"/>
  <c r="AU688" i="26" s="1"/>
  <c r="BL687" i="26"/>
  <c r="S688" i="26"/>
  <c r="T688" i="26" s="1"/>
  <c r="BL688" i="26" s="1"/>
  <c r="X689" i="26"/>
  <c r="AF689" i="26"/>
  <c r="AN689" i="26" s="1"/>
  <c r="V689" i="26"/>
  <c r="F689" i="26"/>
  <c r="R689" i="26" s="1"/>
  <c r="P689" i="26"/>
  <c r="K689" i="26"/>
  <c r="M689" i="26" s="1"/>
  <c r="AP689" i="26"/>
  <c r="D689" i="26"/>
  <c r="O689" i="26" s="1"/>
  <c r="V960" i="55"/>
  <c r="D960" i="55"/>
  <c r="M960" i="55" s="1"/>
  <c r="W960" i="55"/>
  <c r="G960" i="55"/>
  <c r="F960" i="55"/>
  <c r="BC688" i="26" l="1"/>
  <c r="BT688" i="26" s="1"/>
  <c r="AV687" i="55"/>
  <c r="BT687" i="26"/>
  <c r="S689" i="26"/>
  <c r="T689" i="26" s="1"/>
  <c r="N689" i="26"/>
  <c r="AJ689" i="26"/>
  <c r="AK689" i="26" s="1"/>
  <c r="AV688" i="55"/>
  <c r="E690" i="26"/>
  <c r="AO689" i="26"/>
  <c r="AT689" i="26" s="1"/>
  <c r="BK689" i="26"/>
  <c r="E961" i="55"/>
  <c r="C961" i="55" s="1"/>
  <c r="O961" i="55" s="1"/>
  <c r="N960" i="55"/>
  <c r="AL689" i="26" l="1"/>
  <c r="AM689" i="26" s="1"/>
  <c r="AU689" i="26" s="1"/>
  <c r="BC689" i="26"/>
  <c r="D961" i="55"/>
  <c r="U961" i="55"/>
  <c r="Q961" i="55"/>
  <c r="BL689" i="26"/>
  <c r="A690" i="26"/>
  <c r="Q690" i="26"/>
  <c r="W690" i="26"/>
  <c r="H690" i="26"/>
  <c r="L690" i="26"/>
  <c r="B690" i="26"/>
  <c r="C690" i="26"/>
  <c r="V690" i="26" s="1"/>
  <c r="A961" i="55"/>
  <c r="B961" i="55"/>
  <c r="P961" i="55" s="1"/>
  <c r="K961" i="55"/>
  <c r="L961" i="55" s="1"/>
  <c r="H961" i="55"/>
  <c r="V961" i="55"/>
  <c r="F961" i="55"/>
  <c r="G961" i="55"/>
  <c r="M961" i="55"/>
  <c r="W961" i="55"/>
  <c r="X960" i="55"/>
  <c r="S960" i="55"/>
  <c r="E962" i="55"/>
  <c r="AS690" i="26" l="1"/>
  <c r="BJ690" i="26" s="1"/>
  <c r="AP690" i="26"/>
  <c r="AO690" i="26"/>
  <c r="F690" i="26"/>
  <c r="R690" i="26" s="1"/>
  <c r="D690" i="26"/>
  <c r="E691" i="26" s="1"/>
  <c r="K690" i="26"/>
  <c r="M690" i="26" s="1"/>
  <c r="N690" i="26" s="1"/>
  <c r="X690" i="26"/>
  <c r="BK690" i="26" s="1"/>
  <c r="G690" i="26"/>
  <c r="AV689" i="55"/>
  <c r="BT689" i="26"/>
  <c r="U690" i="26"/>
  <c r="AF690" i="26" s="1"/>
  <c r="AN690" i="26" s="1"/>
  <c r="N961" i="55"/>
  <c r="Q962" i="55"/>
  <c r="K962" i="55"/>
  <c r="L962" i="55" s="1"/>
  <c r="B962" i="55"/>
  <c r="A962" i="55"/>
  <c r="H962" i="55"/>
  <c r="C962" i="55"/>
  <c r="O962" i="55" s="1"/>
  <c r="O690" i="26" l="1"/>
  <c r="S690" i="26" s="1"/>
  <c r="T690" i="26" s="1"/>
  <c r="BC690" i="26" s="1"/>
  <c r="AJ690" i="26"/>
  <c r="AK690" i="26" s="1"/>
  <c r="AT690" i="26"/>
  <c r="P690" i="26"/>
  <c r="A691" i="26"/>
  <c r="L691" i="26"/>
  <c r="H691" i="26"/>
  <c r="C691" i="26"/>
  <c r="AS691" i="26" s="1"/>
  <c r="BJ691" i="26" s="1"/>
  <c r="Q691" i="26"/>
  <c r="B691" i="26"/>
  <c r="F691" i="26" s="1"/>
  <c r="U691" i="26"/>
  <c r="W691" i="26"/>
  <c r="U962" i="55"/>
  <c r="V962" i="55" s="1"/>
  <c r="G962" i="55"/>
  <c r="P962" i="55"/>
  <c r="F962" i="55"/>
  <c r="D962" i="55"/>
  <c r="M962" i="55" s="1"/>
  <c r="X961" i="55"/>
  <c r="S961" i="55"/>
  <c r="W962" i="55"/>
  <c r="AL690" i="26" l="1"/>
  <c r="AM690" i="26" s="1"/>
  <c r="AU690" i="26" s="1"/>
  <c r="AP691" i="26"/>
  <c r="R691" i="26"/>
  <c r="K691" i="26"/>
  <c r="M691" i="26" s="1"/>
  <c r="AJ691" i="26" s="1"/>
  <c r="AK691" i="26" s="1"/>
  <c r="V691" i="26"/>
  <c r="AO691" i="26" s="1"/>
  <c r="X691" i="26"/>
  <c r="G691" i="26"/>
  <c r="D691" i="26"/>
  <c r="O691" i="26" s="1"/>
  <c r="AF691" i="26"/>
  <c r="AN691" i="26" s="1"/>
  <c r="BL690" i="26"/>
  <c r="N962" i="55"/>
  <c r="E963" i="55"/>
  <c r="K963" i="55" s="1"/>
  <c r="N691" i="26" l="1"/>
  <c r="AT691" i="26"/>
  <c r="D963" i="55"/>
  <c r="M963" i="55" s="1"/>
  <c r="Q963" i="55"/>
  <c r="BK691" i="26"/>
  <c r="C963" i="55"/>
  <c r="U963" i="55" s="1"/>
  <c r="V963" i="55" s="1"/>
  <c r="P963" i="55"/>
  <c r="S691" i="26"/>
  <c r="T691" i="26" s="1"/>
  <c r="BC691" i="26" s="1"/>
  <c r="H963" i="55"/>
  <c r="W963" i="55"/>
  <c r="O963" i="55"/>
  <c r="B963" i="55"/>
  <c r="F963" i="55" s="1"/>
  <c r="L963" i="55"/>
  <c r="AV690" i="55"/>
  <c r="BT690" i="26"/>
  <c r="E692" i="26"/>
  <c r="P691" i="26"/>
  <c r="G963" i="55"/>
  <c r="A963" i="55"/>
  <c r="N963" i="55"/>
  <c r="S962" i="55"/>
  <c r="X962" i="55"/>
  <c r="E964" i="55"/>
  <c r="AL691" i="26" l="1"/>
  <c r="AM691" i="26" s="1"/>
  <c r="AU691" i="26" s="1"/>
  <c r="A692" i="26"/>
  <c r="W692" i="26"/>
  <c r="C692" i="26"/>
  <c r="V692" i="26" s="1"/>
  <c r="B692" i="26"/>
  <c r="K692" i="26" s="1"/>
  <c r="Q692" i="26"/>
  <c r="H692" i="26"/>
  <c r="L692" i="26"/>
  <c r="BL691" i="26"/>
  <c r="X963" i="55"/>
  <c r="S963" i="55"/>
  <c r="Q964" i="55"/>
  <c r="K964" i="55"/>
  <c r="L964" i="55"/>
  <c r="A964" i="55"/>
  <c r="H964" i="55"/>
  <c r="B964" i="55"/>
  <c r="C964" i="55"/>
  <c r="U964" i="55" s="1"/>
  <c r="AO692" i="26" l="1"/>
  <c r="AS692" i="26"/>
  <c r="BJ692" i="26" s="1"/>
  <c r="M692" i="26"/>
  <c r="AJ692" i="26" s="1"/>
  <c r="AK692" i="26" s="1"/>
  <c r="AP692" i="26"/>
  <c r="AT692" i="26" s="1"/>
  <c r="X692" i="26"/>
  <c r="BK692" i="26" s="1"/>
  <c r="D692" i="26"/>
  <c r="E693" i="26" s="1"/>
  <c r="F692" i="26"/>
  <c r="R692" i="26" s="1"/>
  <c r="P692" i="26"/>
  <c r="AV691" i="55"/>
  <c r="BT691" i="26"/>
  <c r="U692" i="26"/>
  <c r="AF692" i="26" s="1"/>
  <c r="AN692" i="26" s="1"/>
  <c r="G692" i="26"/>
  <c r="F964" i="55"/>
  <c r="O964" i="55"/>
  <c r="D964" i="55"/>
  <c r="M964" i="55" s="1"/>
  <c r="G964" i="55"/>
  <c r="P964" i="55"/>
  <c r="V964" i="55" s="1"/>
  <c r="W964" i="55"/>
  <c r="N692" i="26" l="1"/>
  <c r="C693" i="26"/>
  <c r="U693" i="26" s="1"/>
  <c r="W693" i="26"/>
  <c r="L693" i="26"/>
  <c r="Q693" i="26"/>
  <c r="A693" i="26"/>
  <c r="B693" i="26"/>
  <c r="D693" i="26" s="1"/>
  <c r="H693" i="26"/>
  <c r="O692" i="26"/>
  <c r="E965" i="55"/>
  <c r="K965" i="55" s="1"/>
  <c r="N964" i="55"/>
  <c r="AL692" i="26" l="1"/>
  <c r="AM692" i="26" s="1"/>
  <c r="AU692" i="26" s="1"/>
  <c r="F693" i="26"/>
  <c r="H965" i="55"/>
  <c r="L965" i="55"/>
  <c r="K693" i="26"/>
  <c r="M693" i="26" s="1"/>
  <c r="AJ693" i="26" s="1"/>
  <c r="AK693" i="26" s="1"/>
  <c r="D965" i="55"/>
  <c r="M965" i="55" s="1"/>
  <c r="Q965" i="55"/>
  <c r="G965" i="55"/>
  <c r="B965" i="55"/>
  <c r="A965" i="55"/>
  <c r="V693" i="26"/>
  <c r="E694" i="26"/>
  <c r="P693" i="26"/>
  <c r="O693" i="26"/>
  <c r="S692" i="26"/>
  <c r="T692" i="26" s="1"/>
  <c r="BC692" i="26" s="1"/>
  <c r="R693" i="26"/>
  <c r="AS693" i="26"/>
  <c r="BJ693" i="26" s="1"/>
  <c r="G693" i="26"/>
  <c r="X693" i="26"/>
  <c r="AP693" i="26"/>
  <c r="C965" i="55"/>
  <c r="O965" i="55" s="1"/>
  <c r="AF693" i="26"/>
  <c r="AN693" i="26" s="1"/>
  <c r="N965" i="55"/>
  <c r="W965" i="55"/>
  <c r="P965" i="55"/>
  <c r="X964" i="55"/>
  <c r="S964" i="55"/>
  <c r="F965" i="55"/>
  <c r="N693" i="26" l="1"/>
  <c r="AL693" i="26"/>
  <c r="AM693" i="26" s="1"/>
  <c r="AU693" i="26" s="1"/>
  <c r="BL692" i="26"/>
  <c r="E966" i="55"/>
  <c r="K966" i="55" s="1"/>
  <c r="S693" i="26"/>
  <c r="T693" i="26" s="1"/>
  <c r="BC693" i="26" s="1"/>
  <c r="BK693" i="26"/>
  <c r="AO693" i="26"/>
  <c r="AT693" i="26" s="1"/>
  <c r="B694" i="26"/>
  <c r="D694" i="26" s="1"/>
  <c r="C694" i="26"/>
  <c r="V694" i="26" s="1"/>
  <c r="H694" i="26"/>
  <c r="A694" i="26"/>
  <c r="L694" i="26"/>
  <c r="Q694" i="26"/>
  <c r="W694" i="26"/>
  <c r="O694" i="26"/>
  <c r="X965" i="55"/>
  <c r="S965" i="55"/>
  <c r="Q966" i="55"/>
  <c r="L966" i="55"/>
  <c r="K694" i="26" l="1"/>
  <c r="M694" i="26" s="1"/>
  <c r="N694" i="26" s="1"/>
  <c r="F694" i="26"/>
  <c r="R694" i="26" s="1"/>
  <c r="P694" i="26"/>
  <c r="G694" i="26"/>
  <c r="C966" i="55"/>
  <c r="O966" i="55" s="1"/>
  <c r="D966" i="55"/>
  <c r="H966" i="55"/>
  <c r="B966" i="55"/>
  <c r="P966" i="55" s="1"/>
  <c r="A966" i="55"/>
  <c r="AO694" i="26"/>
  <c r="E695" i="26"/>
  <c r="AP694" i="26"/>
  <c r="X694" i="26"/>
  <c r="U694" i="26"/>
  <c r="AF694" i="26" s="1"/>
  <c r="AN694" i="26" s="1"/>
  <c r="AS694" i="26"/>
  <c r="BJ694" i="26" s="1"/>
  <c r="AV692" i="55"/>
  <c r="BT692" i="26"/>
  <c r="BL693" i="26"/>
  <c r="U966" i="55"/>
  <c r="V966" i="55" s="1"/>
  <c r="G966" i="55"/>
  <c r="M966" i="55"/>
  <c r="F966" i="55"/>
  <c r="W966" i="55"/>
  <c r="E967" i="55"/>
  <c r="AJ694" i="26" l="1"/>
  <c r="AK694" i="26" s="1"/>
  <c r="AL694" i="26"/>
  <c r="AM694" i="26" s="1"/>
  <c r="AU694" i="26" s="1"/>
  <c r="S694" i="26"/>
  <c r="T694" i="26" s="1"/>
  <c r="BC694" i="26" s="1"/>
  <c r="AT694" i="26"/>
  <c r="AV693" i="55"/>
  <c r="BT693" i="26"/>
  <c r="Q695" i="26"/>
  <c r="A695" i="26"/>
  <c r="W695" i="26"/>
  <c r="B695" i="26"/>
  <c r="H695" i="26"/>
  <c r="L695" i="26"/>
  <c r="C695" i="26"/>
  <c r="V695" i="26" s="1"/>
  <c r="BK694" i="26"/>
  <c r="N966" i="55"/>
  <c r="Q967" i="55"/>
  <c r="P967" i="55"/>
  <c r="K967" i="55"/>
  <c r="L967" i="55"/>
  <c r="H967" i="55"/>
  <c r="C967" i="55"/>
  <c r="U967" i="55" s="1"/>
  <c r="V967" i="55" s="1"/>
  <c r="A967" i="55"/>
  <c r="B967" i="55"/>
  <c r="G967" i="55" s="1"/>
  <c r="BL694" i="26" l="1"/>
  <c r="AO695" i="26"/>
  <c r="AS695" i="26"/>
  <c r="BJ695" i="26" s="1"/>
  <c r="U695" i="26"/>
  <c r="AF695" i="26" s="1"/>
  <c r="AN695" i="26" s="1"/>
  <c r="F695" i="26"/>
  <c r="R695" i="26" s="1"/>
  <c r="D695" i="26"/>
  <c r="O695" i="26"/>
  <c r="AV694" i="55"/>
  <c r="BT694" i="26"/>
  <c r="AP695" i="26"/>
  <c r="P695" i="26"/>
  <c r="K695" i="26"/>
  <c r="M695" i="26" s="1"/>
  <c r="X695" i="26"/>
  <c r="BK695" i="26" s="1"/>
  <c r="G695" i="26"/>
  <c r="X966" i="55"/>
  <c r="S966" i="55"/>
  <c r="M967" i="55"/>
  <c r="D967" i="55"/>
  <c r="E968" i="55" s="1"/>
  <c r="W967" i="55"/>
  <c r="F967" i="55"/>
  <c r="O967" i="55"/>
  <c r="AT695" i="26" l="1"/>
  <c r="S695" i="26"/>
  <c r="T695" i="26" s="1"/>
  <c r="BC695" i="26" s="1"/>
  <c r="AJ695" i="26"/>
  <c r="AK695" i="26" s="1"/>
  <c r="N695" i="26"/>
  <c r="E696" i="26"/>
  <c r="N967" i="55"/>
  <c r="Q968" i="55"/>
  <c r="K968" i="55"/>
  <c r="L968" i="55" s="1"/>
  <c r="F968" i="55"/>
  <c r="C968" i="55"/>
  <c r="O968" i="55" s="1"/>
  <c r="H968" i="55"/>
  <c r="U968" i="55"/>
  <c r="D968" i="55"/>
  <c r="A968" i="55"/>
  <c r="B968" i="55"/>
  <c r="AL695" i="26" l="1"/>
  <c r="AM695" i="26" s="1"/>
  <c r="AU695" i="26" s="1"/>
  <c r="BL695" i="26"/>
  <c r="B696" i="26"/>
  <c r="D696" i="26" s="1"/>
  <c r="H696" i="26"/>
  <c r="A696" i="26"/>
  <c r="Q696" i="26"/>
  <c r="C696" i="26"/>
  <c r="L696" i="26"/>
  <c r="W696" i="26"/>
  <c r="U696" i="26"/>
  <c r="G968" i="55"/>
  <c r="W968" i="55"/>
  <c r="X967" i="55"/>
  <c r="S967" i="55"/>
  <c r="M968" i="55"/>
  <c r="P968" i="55"/>
  <c r="V968" i="55" s="1"/>
  <c r="E969" i="55"/>
  <c r="X696" i="26" l="1"/>
  <c r="F696" i="26"/>
  <c r="R696" i="26" s="1"/>
  <c r="O696" i="26"/>
  <c r="AF696" i="26"/>
  <c r="AN696" i="26" s="1"/>
  <c r="K696" i="26"/>
  <c r="M696" i="26" s="1"/>
  <c r="P696" i="26"/>
  <c r="E697" i="26"/>
  <c r="A697" i="26" s="1"/>
  <c r="G696" i="26"/>
  <c r="AP696" i="26"/>
  <c r="V696" i="26"/>
  <c r="AO696" i="26"/>
  <c r="W697" i="26"/>
  <c r="Q697" i="26"/>
  <c r="B697" i="26"/>
  <c r="K697" i="26" s="1"/>
  <c r="H697" i="26"/>
  <c r="G697" i="26"/>
  <c r="AS696" i="26"/>
  <c r="BJ696" i="26" s="1"/>
  <c r="AV695" i="55"/>
  <c r="BT695" i="26"/>
  <c r="BK696" i="26"/>
  <c r="N968" i="55"/>
  <c r="Q969" i="55"/>
  <c r="K969" i="55"/>
  <c r="H969" i="55"/>
  <c r="C969" i="55"/>
  <c r="U969" i="55" s="1"/>
  <c r="A969" i="55"/>
  <c r="B969" i="55"/>
  <c r="F969" i="55"/>
  <c r="G969" i="55"/>
  <c r="L969" i="55"/>
  <c r="AT696" i="26" l="1"/>
  <c r="AL696" i="26"/>
  <c r="AM696" i="26" s="1"/>
  <c r="AU696" i="26" s="1"/>
  <c r="L697" i="26"/>
  <c r="S696" i="26"/>
  <c r="T696" i="26" s="1"/>
  <c r="D697" i="26"/>
  <c r="P697" i="26" s="1"/>
  <c r="C697" i="26"/>
  <c r="X697" i="26" s="1"/>
  <c r="BL696" i="26"/>
  <c r="F697" i="26"/>
  <c r="R697" i="26" s="1"/>
  <c r="AP697" i="26"/>
  <c r="V697" i="26"/>
  <c r="AO697" i="26" s="1"/>
  <c r="N696" i="26"/>
  <c r="AJ696" i="26"/>
  <c r="AK696" i="26" s="1"/>
  <c r="BK697" i="26"/>
  <c r="AS697" i="26"/>
  <c r="BJ697" i="26" s="1"/>
  <c r="E698" i="26"/>
  <c r="O697" i="26"/>
  <c r="U697" i="26"/>
  <c r="AF697" i="26" s="1"/>
  <c r="AN697" i="26" s="1"/>
  <c r="M697" i="26"/>
  <c r="O969" i="55"/>
  <c r="X968" i="55"/>
  <c r="S968" i="55"/>
  <c r="W969" i="55"/>
  <c r="D969" i="55"/>
  <c r="M969" i="55" s="1"/>
  <c r="P969" i="55"/>
  <c r="V969" i="55" s="1"/>
  <c r="AT697" i="26" l="1"/>
  <c r="AL697" i="26"/>
  <c r="AM697" i="26" s="1"/>
  <c r="AU697" i="26" s="1"/>
  <c r="BC696" i="26"/>
  <c r="AV696" i="55" s="1"/>
  <c r="N697" i="26"/>
  <c r="AJ697" i="26"/>
  <c r="AK697" i="26" s="1"/>
  <c r="A698" i="26"/>
  <c r="Q698" i="26"/>
  <c r="W698" i="26"/>
  <c r="L698" i="26"/>
  <c r="H698" i="26"/>
  <c r="B698" i="26"/>
  <c r="C698" i="26"/>
  <c r="AS698" i="26" s="1"/>
  <c r="BJ698" i="26" s="1"/>
  <c r="D698" i="26"/>
  <c r="E699" i="26" s="1"/>
  <c r="F698" i="26"/>
  <c r="R698" i="26" s="1"/>
  <c r="K698" i="26"/>
  <c r="G698" i="26"/>
  <c r="AP698" i="26"/>
  <c r="S697" i="26"/>
  <c r="T697" i="26" s="1"/>
  <c r="E970" i="55"/>
  <c r="Q970" i="55" s="1"/>
  <c r="N969" i="55"/>
  <c r="BC697" i="26" l="1"/>
  <c r="BT696" i="26"/>
  <c r="C970" i="55"/>
  <c r="O970" i="55" s="1"/>
  <c r="P970" i="55"/>
  <c r="K970" i="55"/>
  <c r="A970" i="55"/>
  <c r="X698" i="26"/>
  <c r="L970" i="55"/>
  <c r="M970" i="55"/>
  <c r="N970" i="55" s="1"/>
  <c r="W970" i="55"/>
  <c r="H970" i="55"/>
  <c r="M698" i="26"/>
  <c r="AJ698" i="26" s="1"/>
  <c r="AK698" i="26" s="1"/>
  <c r="V698" i="26"/>
  <c r="B970" i="55"/>
  <c r="D970" i="55"/>
  <c r="U698" i="26"/>
  <c r="AF698" i="26" s="1"/>
  <c r="AN698" i="26" s="1"/>
  <c r="B699" i="26"/>
  <c r="D699" i="26" s="1"/>
  <c r="C699" i="26"/>
  <c r="V699" i="26" s="1"/>
  <c r="H699" i="26"/>
  <c r="A699" i="26"/>
  <c r="W699" i="26"/>
  <c r="L699" i="26"/>
  <c r="Q699" i="26"/>
  <c r="U699" i="26"/>
  <c r="P699" i="26"/>
  <c r="BL697" i="26"/>
  <c r="O698" i="26"/>
  <c r="P698" i="26"/>
  <c r="X970" i="55"/>
  <c r="U970" i="55"/>
  <c r="V970" i="55" s="1"/>
  <c r="F970" i="55"/>
  <c r="G970" i="55"/>
  <c r="S969" i="55"/>
  <c r="S970" i="55" s="1"/>
  <c r="X969" i="55"/>
  <c r="E971" i="55"/>
  <c r="N698" i="26" l="1"/>
  <c r="AL698" i="26"/>
  <c r="AM698" i="26" s="1"/>
  <c r="AU698" i="26" s="1"/>
  <c r="AO699" i="26"/>
  <c r="BK698" i="26"/>
  <c r="G699" i="26"/>
  <c r="AO698" i="26"/>
  <c r="AT698" i="26" s="1"/>
  <c r="K699" i="26"/>
  <c r="M699" i="26" s="1"/>
  <c r="AF699" i="26"/>
  <c r="AN699" i="26" s="1"/>
  <c r="X699" i="26"/>
  <c r="AP699" i="26"/>
  <c r="O699" i="26"/>
  <c r="F699" i="26"/>
  <c r="R699" i="26" s="1"/>
  <c r="BK699" i="26"/>
  <c r="S698" i="26"/>
  <c r="T698" i="26" s="1"/>
  <c r="BC698" i="26" s="1"/>
  <c r="AV697" i="55"/>
  <c r="BT697" i="26"/>
  <c r="AS699" i="26"/>
  <c r="BJ699" i="26" s="1"/>
  <c r="E700" i="26"/>
  <c r="Q971" i="55"/>
  <c r="K971" i="55"/>
  <c r="H971" i="55"/>
  <c r="A971" i="55"/>
  <c r="B971" i="55"/>
  <c r="C971" i="55"/>
  <c r="O971" i="55" s="1"/>
  <c r="L971" i="55"/>
  <c r="D971" i="55"/>
  <c r="AT699" i="26" l="1"/>
  <c r="AL699" i="26"/>
  <c r="AM699" i="26" s="1"/>
  <c r="AU699" i="26" s="1"/>
  <c r="H700" i="26"/>
  <c r="C700" i="26"/>
  <c r="V700" i="26" s="1"/>
  <c r="A700" i="26"/>
  <c r="B700" i="26"/>
  <c r="G700" i="26" s="1"/>
  <c r="L700" i="26"/>
  <c r="W700" i="26"/>
  <c r="Q700" i="26"/>
  <c r="AP700" i="26"/>
  <c r="N699" i="26"/>
  <c r="AJ699" i="26"/>
  <c r="AK699" i="26" s="1"/>
  <c r="S699" i="26"/>
  <c r="T699" i="26" s="1"/>
  <c r="BC699" i="26" s="1"/>
  <c r="BL698" i="26"/>
  <c r="F971" i="55"/>
  <c r="G971" i="55"/>
  <c r="U971" i="55"/>
  <c r="M971" i="55"/>
  <c r="W971" i="55"/>
  <c r="P971" i="55"/>
  <c r="E972" i="55"/>
  <c r="AO700" i="26" l="1"/>
  <c r="AT700" i="26" s="1"/>
  <c r="K700" i="26"/>
  <c r="M700" i="26" s="1"/>
  <c r="N700" i="26" s="1"/>
  <c r="D700" i="26"/>
  <c r="BL699" i="26"/>
  <c r="X700" i="26"/>
  <c r="BK700" i="26" s="1"/>
  <c r="AS700" i="26"/>
  <c r="BJ700" i="26" s="1"/>
  <c r="AV698" i="55"/>
  <c r="BT698" i="26"/>
  <c r="U700" i="26"/>
  <c r="AF700" i="26" s="1"/>
  <c r="AN700" i="26" s="1"/>
  <c r="P700" i="26"/>
  <c r="F700" i="26"/>
  <c r="R700" i="26" s="1"/>
  <c r="N971" i="55"/>
  <c r="V971" i="55"/>
  <c r="Q972" i="55"/>
  <c r="K972" i="55"/>
  <c r="P972" i="55"/>
  <c r="B972" i="55"/>
  <c r="W972" i="55" s="1"/>
  <c r="A972" i="55"/>
  <c r="G972" i="55"/>
  <c r="C972" i="55"/>
  <c r="O972" i="55" s="1"/>
  <c r="L972" i="55"/>
  <c r="H972" i="55"/>
  <c r="O700" i="26" l="1"/>
  <c r="AL700" i="26" s="1"/>
  <c r="E701" i="26"/>
  <c r="AJ700" i="26"/>
  <c r="AK700" i="26" s="1"/>
  <c r="AV699" i="55"/>
  <c r="BT699" i="26"/>
  <c r="W701" i="26"/>
  <c r="C701" i="26"/>
  <c r="U701" i="26" s="1"/>
  <c r="A701" i="26"/>
  <c r="Q701" i="26"/>
  <c r="L701" i="26"/>
  <c r="H701" i="26"/>
  <c r="D972" i="55"/>
  <c r="M972" i="55" s="1"/>
  <c r="F972" i="55"/>
  <c r="U972" i="55"/>
  <c r="V972" i="55" s="1"/>
  <c r="S971" i="55"/>
  <c r="X971" i="55"/>
  <c r="AM700" i="26" l="1"/>
  <c r="AU700" i="26" s="1"/>
  <c r="B701" i="26"/>
  <c r="S700" i="26"/>
  <c r="T700" i="26" s="1"/>
  <c r="BC700" i="26" s="1"/>
  <c r="X701" i="26"/>
  <c r="AP701" i="26"/>
  <c r="E973" i="55"/>
  <c r="L973" i="55" s="1"/>
  <c r="N972" i="55"/>
  <c r="BL700" i="26" l="1"/>
  <c r="F701" i="26"/>
  <c r="R701" i="26" s="1"/>
  <c r="G701" i="26"/>
  <c r="K701" i="26"/>
  <c r="M701" i="26" s="1"/>
  <c r="D701" i="26"/>
  <c r="P701" i="26"/>
  <c r="V701" i="26"/>
  <c r="AO701" i="26" s="1"/>
  <c r="AT701" i="26" s="1"/>
  <c r="AF701" i="26"/>
  <c r="AN701" i="26" s="1"/>
  <c r="C973" i="55"/>
  <c r="O973" i="55" s="1"/>
  <c r="K973" i="55"/>
  <c r="U973" i="55"/>
  <c r="V973" i="55" s="1"/>
  <c r="P973" i="55"/>
  <c r="B973" i="55"/>
  <c r="H973" i="55"/>
  <c r="Q973" i="55"/>
  <c r="A973" i="55"/>
  <c r="AV700" i="55"/>
  <c r="BT700" i="26"/>
  <c r="G973" i="55"/>
  <c r="W973" i="55"/>
  <c r="D973" i="55"/>
  <c r="M973" i="55" s="1"/>
  <c r="F973" i="55"/>
  <c r="X972" i="55"/>
  <c r="S972" i="55"/>
  <c r="O701" i="26" l="1"/>
  <c r="S701" i="26" s="1"/>
  <c r="T701" i="26" s="1"/>
  <c r="BC701" i="26" s="1"/>
  <c r="E702" i="26"/>
  <c r="AJ701" i="26"/>
  <c r="AK701" i="26" s="1"/>
  <c r="N701" i="26"/>
  <c r="BK701" i="26"/>
  <c r="N973" i="55"/>
  <c r="E974" i="55"/>
  <c r="K974" i="55" s="1"/>
  <c r="L974" i="55" s="1"/>
  <c r="BL701" i="26" l="1"/>
  <c r="AL701" i="26"/>
  <c r="AM701" i="26" s="1"/>
  <c r="AU701" i="26" s="1"/>
  <c r="H702" i="26"/>
  <c r="L702" i="26"/>
  <c r="A702" i="26"/>
  <c r="W702" i="26"/>
  <c r="B702" i="26"/>
  <c r="U702" i="26"/>
  <c r="Q702" i="26"/>
  <c r="C702" i="26"/>
  <c r="AV701" i="55"/>
  <c r="BT701" i="26"/>
  <c r="H974" i="55"/>
  <c r="A974" i="55"/>
  <c r="B974" i="55"/>
  <c r="C974" i="55"/>
  <c r="Q974" i="55"/>
  <c r="O974" i="55"/>
  <c r="W974" i="55"/>
  <c r="U974" i="55"/>
  <c r="G974" i="55"/>
  <c r="F974" i="55"/>
  <c r="D974" i="55"/>
  <c r="M974" i="55" s="1"/>
  <c r="P974" i="55"/>
  <c r="V974" i="55" s="1"/>
  <c r="X973" i="55"/>
  <c r="S973" i="55"/>
  <c r="G702" i="26" l="1"/>
  <c r="D702" i="26"/>
  <c r="X702" i="26"/>
  <c r="AP702" i="26"/>
  <c r="AF702" i="26"/>
  <c r="AN702" i="26" s="1"/>
  <c r="P702" i="26"/>
  <c r="K702" i="26"/>
  <c r="M702" i="26" s="1"/>
  <c r="F702" i="26"/>
  <c r="R702" i="26" s="1"/>
  <c r="AS702" i="26"/>
  <c r="BJ702" i="26" s="1"/>
  <c r="V702" i="26"/>
  <c r="AO702" i="26" s="1"/>
  <c r="E975" i="55"/>
  <c r="K975" i="55" s="1"/>
  <c r="N974" i="55"/>
  <c r="L975" i="55"/>
  <c r="AT702" i="26" l="1"/>
  <c r="AJ702" i="26"/>
  <c r="AK702" i="26" s="1"/>
  <c r="N702" i="26"/>
  <c r="BK702" i="26"/>
  <c r="O702" i="26"/>
  <c r="S702" i="26" s="1"/>
  <c r="T702" i="26" s="1"/>
  <c r="BC702" i="26" s="1"/>
  <c r="E703" i="26"/>
  <c r="B975" i="55"/>
  <c r="Q975" i="55"/>
  <c r="F975" i="55"/>
  <c r="H975" i="55"/>
  <c r="A975" i="55"/>
  <c r="C975" i="55"/>
  <c r="O975" i="55" s="1"/>
  <c r="D975" i="55"/>
  <c r="M975" i="55"/>
  <c r="U975" i="55"/>
  <c r="V975" i="55" s="1"/>
  <c r="X974" i="55"/>
  <c r="S974" i="55"/>
  <c r="W975" i="55"/>
  <c r="G975" i="55"/>
  <c r="P975" i="55"/>
  <c r="AL702" i="26" l="1"/>
  <c r="AM702" i="26" s="1"/>
  <c r="AU702" i="26" s="1"/>
  <c r="B703" i="26"/>
  <c r="G703" i="26"/>
  <c r="W703" i="26"/>
  <c r="Q703" i="26"/>
  <c r="L703" i="26"/>
  <c r="H703" i="26"/>
  <c r="C703" i="26"/>
  <c r="A703" i="26"/>
  <c r="BL702" i="26"/>
  <c r="AV702" i="55"/>
  <c r="BT702" i="26"/>
  <c r="E976" i="55"/>
  <c r="G976" i="55" s="1"/>
  <c r="N975" i="55"/>
  <c r="D703" i="26" l="1"/>
  <c r="K703" i="26"/>
  <c r="M703" i="26" s="1"/>
  <c r="F703" i="26"/>
  <c r="R703" i="26" s="1"/>
  <c r="O703" i="26"/>
  <c r="S703" i="26" s="1"/>
  <c r="T703" i="26" s="1"/>
  <c r="BL703" i="26" s="1"/>
  <c r="AP703" i="26"/>
  <c r="P703" i="26"/>
  <c r="X703" i="26"/>
  <c r="V703" i="26"/>
  <c r="U703" i="26"/>
  <c r="AF703" i="26" s="1"/>
  <c r="AN703" i="26" s="1"/>
  <c r="E704" i="26"/>
  <c r="AS703" i="26"/>
  <c r="BJ703" i="26" s="1"/>
  <c r="B976" i="55"/>
  <c r="Q976" i="55"/>
  <c r="L976" i="55"/>
  <c r="D976" i="55"/>
  <c r="A976" i="55"/>
  <c r="K976" i="55"/>
  <c r="H976" i="55"/>
  <c r="C976" i="55"/>
  <c r="O976" i="55" s="1"/>
  <c r="F976" i="55"/>
  <c r="W976" i="55"/>
  <c r="X975" i="55"/>
  <c r="S975" i="55"/>
  <c r="M976" i="55"/>
  <c r="U976" i="55"/>
  <c r="V976" i="55" s="1"/>
  <c r="P976" i="55"/>
  <c r="BC703" i="26" l="1"/>
  <c r="BT703" i="26" s="1"/>
  <c r="B704" i="26"/>
  <c r="Q704" i="26"/>
  <c r="W704" i="26"/>
  <c r="L704" i="26"/>
  <c r="A704" i="26"/>
  <c r="H704" i="26"/>
  <c r="C704" i="26"/>
  <c r="D704" i="26"/>
  <c r="AJ703" i="26"/>
  <c r="AK703" i="26" s="1"/>
  <c r="N703" i="26"/>
  <c r="P704" i="26"/>
  <c r="BK703" i="26"/>
  <c r="AO703" i="26"/>
  <c r="AT703" i="26" s="1"/>
  <c r="E977" i="55"/>
  <c r="O977" i="55" s="1"/>
  <c r="AV703" i="55"/>
  <c r="N976" i="55"/>
  <c r="AI977" i="55"/>
  <c r="AL977" i="55"/>
  <c r="S977" i="55"/>
  <c r="U977" i="55"/>
  <c r="I977" i="55"/>
  <c r="A977" i="55"/>
  <c r="L977" i="55"/>
  <c r="AN977" i="55"/>
  <c r="AB977" i="55"/>
  <c r="AF977" i="55"/>
  <c r="AL703" i="26" l="1"/>
  <c r="AM703" i="26" s="1"/>
  <c r="AU703" i="26" s="1"/>
  <c r="O704" i="26"/>
  <c r="K704" i="26"/>
  <c r="M704" i="26" s="1"/>
  <c r="AP704" i="26"/>
  <c r="X704" i="26"/>
  <c r="G704" i="26"/>
  <c r="V704" i="26"/>
  <c r="E705" i="26"/>
  <c r="AS704" i="26"/>
  <c r="BJ704" i="26" s="1"/>
  <c r="U704" i="26"/>
  <c r="AF704" i="26" s="1"/>
  <c r="AN704" i="26" s="1"/>
  <c r="F704" i="26"/>
  <c r="R704" i="26"/>
  <c r="AD977" i="55"/>
  <c r="AQ977" i="55"/>
  <c r="AW977" i="55"/>
  <c r="X977" i="55"/>
  <c r="AT977" i="55"/>
  <c r="AM977" i="55"/>
  <c r="K977" i="55"/>
  <c r="Z977" i="55"/>
  <c r="AG977" i="55"/>
  <c r="G977" i="55"/>
  <c r="W977" i="55"/>
  <c r="AC977" i="55"/>
  <c r="H977" i="55"/>
  <c r="AH977" i="55"/>
  <c r="B977" i="55"/>
  <c r="F977" i="55"/>
  <c r="P977" i="55"/>
  <c r="AO977" i="55"/>
  <c r="C977" i="55"/>
  <c r="V977" i="55"/>
  <c r="D977" i="55"/>
  <c r="N977" i="55"/>
  <c r="AX977" i="55"/>
  <c r="M977" i="55"/>
  <c r="AK977" i="55"/>
  <c r="Q977" i="55"/>
  <c r="X976" i="55"/>
  <c r="S976" i="55"/>
  <c r="E978" i="55"/>
  <c r="AL704" i="26" l="1"/>
  <c r="AM704" i="26" s="1"/>
  <c r="AU704" i="26" s="1"/>
  <c r="BK704" i="26"/>
  <c r="AO704" i="26"/>
  <c r="AT704" i="26" s="1"/>
  <c r="N704" i="26"/>
  <c r="AJ704" i="26"/>
  <c r="AK704" i="26" s="1"/>
  <c r="L705" i="26"/>
  <c r="C705" i="26"/>
  <c r="W705" i="26"/>
  <c r="Q705" i="26"/>
  <c r="H705" i="26"/>
  <c r="D705" i="26"/>
  <c r="A705" i="26"/>
  <c r="B705" i="26"/>
  <c r="U705" i="26"/>
  <c r="AF705" i="26" s="1"/>
  <c r="AN705" i="26" s="1"/>
  <c r="S704" i="26"/>
  <c r="T704" i="26" s="1"/>
  <c r="AL976" i="55"/>
  <c r="AL975" i="55" s="1"/>
  <c r="AL974" i="55" s="1"/>
  <c r="AL973" i="55" s="1"/>
  <c r="AL972" i="55" s="1"/>
  <c r="AL971" i="55" s="1"/>
  <c r="AL970" i="55" s="1"/>
  <c r="AL969" i="55" s="1"/>
  <c r="AL968" i="55" s="1"/>
  <c r="AL967" i="55" s="1"/>
  <c r="AL966" i="55" s="1"/>
  <c r="AL965" i="55" s="1"/>
  <c r="AL964" i="55" s="1"/>
  <c r="AL963" i="55" s="1"/>
  <c r="AL962" i="55" s="1"/>
  <c r="AL961" i="55" s="1"/>
  <c r="AL960" i="55" s="1"/>
  <c r="AL959" i="55" s="1"/>
  <c r="AL958" i="55" s="1"/>
  <c r="AL957" i="55" s="1"/>
  <c r="AL956" i="55" s="1"/>
  <c r="AL955" i="55" s="1"/>
  <c r="AL954" i="55" s="1"/>
  <c r="AL953" i="55" s="1"/>
  <c r="AL952" i="55" s="1"/>
  <c r="AL951" i="55" s="1"/>
  <c r="AL950" i="55" s="1"/>
  <c r="AL949" i="55" s="1"/>
  <c r="AL948" i="55" s="1"/>
  <c r="AL947" i="55" s="1"/>
  <c r="AL946" i="55" s="1"/>
  <c r="AL945" i="55" s="1"/>
  <c r="AL944" i="55" s="1"/>
  <c r="AL943" i="55" s="1"/>
  <c r="AL942" i="55" s="1"/>
  <c r="AL941" i="55" s="1"/>
  <c r="AL940" i="55" s="1"/>
  <c r="AL939" i="55" s="1"/>
  <c r="AL938" i="55" s="1"/>
  <c r="AL937" i="55" s="1"/>
  <c r="AL936" i="55" s="1"/>
  <c r="AL935" i="55" s="1"/>
  <c r="AL934" i="55" s="1"/>
  <c r="AL933" i="55" s="1"/>
  <c r="AL932" i="55" s="1"/>
  <c r="AL931" i="55" s="1"/>
  <c r="AL930" i="55" s="1"/>
  <c r="AL929" i="55" s="1"/>
  <c r="AL928" i="55" s="1"/>
  <c r="AL927" i="55" s="1"/>
  <c r="AL926" i="55" s="1"/>
  <c r="AL925" i="55" s="1"/>
  <c r="AL924" i="55" s="1"/>
  <c r="AL923" i="55" s="1"/>
  <c r="AL922" i="55" s="1"/>
  <c r="AL921" i="55" s="1"/>
  <c r="AL920" i="55" s="1"/>
  <c r="AL919" i="55" s="1"/>
  <c r="AL918" i="55" s="1"/>
  <c r="AL917" i="55" s="1"/>
  <c r="AL916" i="55" s="1"/>
  <c r="AL915" i="55" s="1"/>
  <c r="AL914" i="55" s="1"/>
  <c r="AL913" i="55" s="1"/>
  <c r="AL912" i="55" s="1"/>
  <c r="AL911" i="55" s="1"/>
  <c r="AL910" i="55" s="1"/>
  <c r="AL909" i="55" s="1"/>
  <c r="AL908" i="55" s="1"/>
  <c r="AL907" i="55" s="1"/>
  <c r="AL906" i="55" s="1"/>
  <c r="AL905" i="55" s="1"/>
  <c r="AL904" i="55" s="1"/>
  <c r="AL903" i="55" s="1"/>
  <c r="AL902" i="55" s="1"/>
  <c r="AL901" i="55" s="1"/>
  <c r="AL900" i="55" s="1"/>
  <c r="AL899" i="55" s="1"/>
  <c r="AL898" i="55" s="1"/>
  <c r="AL897" i="55" s="1"/>
  <c r="AL896" i="55" s="1"/>
  <c r="AL895" i="55" s="1"/>
  <c r="AL894" i="55" s="1"/>
  <c r="AL893" i="55" s="1"/>
  <c r="AL892" i="55" s="1"/>
  <c r="AL891" i="55" s="1"/>
  <c r="AL890" i="55" s="1"/>
  <c r="AL889" i="55" s="1"/>
  <c r="AL888" i="55" s="1"/>
  <c r="AL887" i="55" s="1"/>
  <c r="AL886" i="55" s="1"/>
  <c r="AL885" i="55" s="1"/>
  <c r="AL884" i="55" s="1"/>
  <c r="AL883" i="55" s="1"/>
  <c r="AL882" i="55" s="1"/>
  <c r="AL881" i="55" s="1"/>
  <c r="AL880" i="55" s="1"/>
  <c r="AL879" i="55" s="1"/>
  <c r="AL878" i="55" s="1"/>
  <c r="AL877" i="55" s="1"/>
  <c r="AL876" i="55" s="1"/>
  <c r="AL875" i="55" s="1"/>
  <c r="AL874" i="55" s="1"/>
  <c r="AL873" i="55" s="1"/>
  <c r="AL872" i="55" s="1"/>
  <c r="AL871" i="55" s="1"/>
  <c r="AL870" i="55" s="1"/>
  <c r="AL869" i="55" s="1"/>
  <c r="AL868" i="55" s="1"/>
  <c r="AL867" i="55" s="1"/>
  <c r="AL866" i="55" s="1"/>
  <c r="AL865" i="55" s="1"/>
  <c r="AL864" i="55" s="1"/>
  <c r="AL863" i="55" s="1"/>
  <c r="AL862" i="55" s="1"/>
  <c r="AL861" i="55" s="1"/>
  <c r="AL860" i="55" s="1"/>
  <c r="AL859" i="55" s="1"/>
  <c r="AL858" i="55" s="1"/>
  <c r="AL857" i="55" s="1"/>
  <c r="AL856" i="55" s="1"/>
  <c r="AL855" i="55" s="1"/>
  <c r="AL854" i="55" s="1"/>
  <c r="AL853" i="55" s="1"/>
  <c r="AL852" i="55" s="1"/>
  <c r="AL851" i="55" s="1"/>
  <c r="AL850" i="55" s="1"/>
  <c r="AL849" i="55" s="1"/>
  <c r="AL848" i="55" s="1"/>
  <c r="AL847" i="55" s="1"/>
  <c r="AL846" i="55" s="1"/>
  <c r="AL845" i="55" s="1"/>
  <c r="AL844" i="55" s="1"/>
  <c r="AL843" i="55" s="1"/>
  <c r="AL842" i="55" s="1"/>
  <c r="AL841" i="55" s="1"/>
  <c r="AL840" i="55" s="1"/>
  <c r="AL839" i="55" s="1"/>
  <c r="AL838" i="55" s="1"/>
  <c r="AL837" i="55" s="1"/>
  <c r="AL836" i="55" s="1"/>
  <c r="AL835" i="55" s="1"/>
  <c r="AL834" i="55" s="1"/>
  <c r="AL833" i="55" s="1"/>
  <c r="AL832" i="55" s="1"/>
  <c r="AL831" i="55" s="1"/>
  <c r="AL830" i="55" s="1"/>
  <c r="AL829" i="55" s="1"/>
  <c r="AL828" i="55" s="1"/>
  <c r="AL827" i="55" s="1"/>
  <c r="AL826" i="55" s="1"/>
  <c r="AL825" i="55" s="1"/>
  <c r="AL824" i="55" s="1"/>
  <c r="AL823" i="55" s="1"/>
  <c r="AL822" i="55" s="1"/>
  <c r="AL821" i="55" s="1"/>
  <c r="AL820" i="55" s="1"/>
  <c r="AL819" i="55" s="1"/>
  <c r="AL818" i="55" s="1"/>
  <c r="AL817" i="55" s="1"/>
  <c r="AL816" i="55" s="1"/>
  <c r="AL815" i="55" s="1"/>
  <c r="AL814" i="55" s="1"/>
  <c r="AL813" i="55" s="1"/>
  <c r="AL812" i="55" s="1"/>
  <c r="AL811" i="55" s="1"/>
  <c r="AL810" i="55" s="1"/>
  <c r="AL809" i="55" s="1"/>
  <c r="AL808" i="55" s="1"/>
  <c r="AL807" i="55" s="1"/>
  <c r="AL806" i="55" s="1"/>
  <c r="AL805" i="55" s="1"/>
  <c r="AL804" i="55" s="1"/>
  <c r="AL803" i="55" s="1"/>
  <c r="AL802" i="55" s="1"/>
  <c r="AL801" i="55" s="1"/>
  <c r="AL800" i="55" s="1"/>
  <c r="AL799" i="55" s="1"/>
  <c r="AL798" i="55" s="1"/>
  <c r="AL797" i="55" s="1"/>
  <c r="AL796" i="55" s="1"/>
  <c r="AL795" i="55" s="1"/>
  <c r="AL794" i="55" s="1"/>
  <c r="AL793" i="55" s="1"/>
  <c r="AL792" i="55" s="1"/>
  <c r="AL791" i="55" s="1"/>
  <c r="AL790" i="55" s="1"/>
  <c r="AL789" i="55" s="1"/>
  <c r="AL788" i="55" s="1"/>
  <c r="AL787" i="55" s="1"/>
  <c r="AL786" i="55" s="1"/>
  <c r="AL785" i="55" s="1"/>
  <c r="AL784" i="55" s="1"/>
  <c r="AL783" i="55" s="1"/>
  <c r="AL782" i="55" s="1"/>
  <c r="AL781" i="55" s="1"/>
  <c r="AL780" i="55" s="1"/>
  <c r="AL779" i="55" s="1"/>
  <c r="AL778" i="55" s="1"/>
  <c r="AL777" i="55" s="1"/>
  <c r="AL776" i="55" s="1"/>
  <c r="AL775" i="55" s="1"/>
  <c r="AL774" i="55" s="1"/>
  <c r="AL773" i="55" s="1"/>
  <c r="AL772" i="55" s="1"/>
  <c r="AL771" i="55" s="1"/>
  <c r="AL770" i="55" s="1"/>
  <c r="AL769" i="55" s="1"/>
  <c r="AL768" i="55" s="1"/>
  <c r="AL767" i="55" s="1"/>
  <c r="AL766" i="55" s="1"/>
  <c r="AL765" i="55" s="1"/>
  <c r="AL764" i="55" s="1"/>
  <c r="AG976" i="55"/>
  <c r="AG975" i="55" s="1"/>
  <c r="AG974" i="55" s="1"/>
  <c r="AG973" i="55" s="1"/>
  <c r="AG972" i="55" s="1"/>
  <c r="AG971" i="55" s="1"/>
  <c r="AG970" i="55" s="1"/>
  <c r="AG969" i="55" s="1"/>
  <c r="AG968" i="55" s="1"/>
  <c r="AG967" i="55" s="1"/>
  <c r="AG966" i="55" s="1"/>
  <c r="AG965" i="55" s="1"/>
  <c r="AG964" i="55" s="1"/>
  <c r="AG963" i="55" s="1"/>
  <c r="AG962" i="55" s="1"/>
  <c r="AG961" i="55" s="1"/>
  <c r="AG960" i="55" s="1"/>
  <c r="AG959" i="55" s="1"/>
  <c r="AG958" i="55" s="1"/>
  <c r="AG957" i="55" s="1"/>
  <c r="AG956" i="55" s="1"/>
  <c r="AG955" i="55" s="1"/>
  <c r="AG954" i="55" s="1"/>
  <c r="AG953" i="55" s="1"/>
  <c r="AG952" i="55" s="1"/>
  <c r="AG951" i="55" s="1"/>
  <c r="AG950" i="55" s="1"/>
  <c r="AG949" i="55" s="1"/>
  <c r="AG948" i="55" s="1"/>
  <c r="AG947" i="55" s="1"/>
  <c r="AG946" i="55" s="1"/>
  <c r="AG945" i="55" s="1"/>
  <c r="AG944" i="55" s="1"/>
  <c r="AG943" i="55" s="1"/>
  <c r="AG942" i="55" s="1"/>
  <c r="AG941" i="55" s="1"/>
  <c r="AG940" i="55" s="1"/>
  <c r="AG939" i="55" s="1"/>
  <c r="AG938" i="55" s="1"/>
  <c r="AG937" i="55" s="1"/>
  <c r="AG936" i="55" s="1"/>
  <c r="AG935" i="55" s="1"/>
  <c r="AG934" i="55" s="1"/>
  <c r="AG933" i="55" s="1"/>
  <c r="AG932" i="55" s="1"/>
  <c r="AG931" i="55" s="1"/>
  <c r="AG930" i="55" s="1"/>
  <c r="AG929" i="55" s="1"/>
  <c r="AG928" i="55" s="1"/>
  <c r="AG927" i="55" s="1"/>
  <c r="AG926" i="55" s="1"/>
  <c r="AG925" i="55" s="1"/>
  <c r="AG924" i="55" s="1"/>
  <c r="AG923" i="55" s="1"/>
  <c r="AG922" i="55" s="1"/>
  <c r="AG921" i="55" s="1"/>
  <c r="AG920" i="55" s="1"/>
  <c r="AG919" i="55" s="1"/>
  <c r="AG918" i="55" s="1"/>
  <c r="AG917" i="55" s="1"/>
  <c r="AG916" i="55" s="1"/>
  <c r="AG915" i="55" s="1"/>
  <c r="AG914" i="55" s="1"/>
  <c r="AG913" i="55" s="1"/>
  <c r="AG912" i="55" s="1"/>
  <c r="AG911" i="55" s="1"/>
  <c r="AG910" i="55" s="1"/>
  <c r="AG909" i="55" s="1"/>
  <c r="AG908" i="55" s="1"/>
  <c r="AG907" i="55" s="1"/>
  <c r="AG906" i="55" s="1"/>
  <c r="AG905" i="55" s="1"/>
  <c r="AG904" i="55" s="1"/>
  <c r="AG903" i="55" s="1"/>
  <c r="AG902" i="55" s="1"/>
  <c r="AG901" i="55" s="1"/>
  <c r="AG900" i="55" s="1"/>
  <c r="AG899" i="55" s="1"/>
  <c r="AG898" i="55" s="1"/>
  <c r="AG897" i="55" s="1"/>
  <c r="AG896" i="55" s="1"/>
  <c r="AG895" i="55" s="1"/>
  <c r="AG894" i="55" s="1"/>
  <c r="AG893" i="55" s="1"/>
  <c r="AG892" i="55" s="1"/>
  <c r="AG891" i="55" s="1"/>
  <c r="AG890" i="55" s="1"/>
  <c r="AG889" i="55" s="1"/>
  <c r="AG888" i="55" s="1"/>
  <c r="AG887" i="55" s="1"/>
  <c r="AG886" i="55" s="1"/>
  <c r="AG885" i="55" s="1"/>
  <c r="AG884" i="55" s="1"/>
  <c r="AG883" i="55" s="1"/>
  <c r="AG882" i="55" s="1"/>
  <c r="AG881" i="55" s="1"/>
  <c r="AG880" i="55" s="1"/>
  <c r="AG879" i="55" s="1"/>
  <c r="AG878" i="55" s="1"/>
  <c r="AG877" i="55" s="1"/>
  <c r="AG876" i="55" s="1"/>
  <c r="AG875" i="55" s="1"/>
  <c r="AG874" i="55" s="1"/>
  <c r="AG873" i="55" s="1"/>
  <c r="AG872" i="55" s="1"/>
  <c r="AG871" i="55" s="1"/>
  <c r="AG870" i="55" s="1"/>
  <c r="AG869" i="55" s="1"/>
  <c r="AG868" i="55" s="1"/>
  <c r="AG867" i="55" s="1"/>
  <c r="AG866" i="55" s="1"/>
  <c r="AG865" i="55" s="1"/>
  <c r="AG864" i="55" s="1"/>
  <c r="AG863" i="55" s="1"/>
  <c r="AG862" i="55" s="1"/>
  <c r="AG861" i="55" s="1"/>
  <c r="AG860" i="55" s="1"/>
  <c r="AG859" i="55" s="1"/>
  <c r="AG858" i="55" s="1"/>
  <c r="AG857" i="55" s="1"/>
  <c r="AG856" i="55" s="1"/>
  <c r="AG855" i="55" s="1"/>
  <c r="AG854" i="55" s="1"/>
  <c r="AG853" i="55" s="1"/>
  <c r="AG852" i="55" s="1"/>
  <c r="AG851" i="55" s="1"/>
  <c r="AG850" i="55" s="1"/>
  <c r="AG849" i="55" s="1"/>
  <c r="AG848" i="55" s="1"/>
  <c r="AG847" i="55" s="1"/>
  <c r="AG846" i="55" s="1"/>
  <c r="AG845" i="55" s="1"/>
  <c r="AG844" i="55" s="1"/>
  <c r="AG843" i="55" s="1"/>
  <c r="AG842" i="55" s="1"/>
  <c r="AG841" i="55" s="1"/>
  <c r="AG840" i="55" s="1"/>
  <c r="AG839" i="55" s="1"/>
  <c r="AG838" i="55" s="1"/>
  <c r="AG837" i="55" s="1"/>
  <c r="AG836" i="55" s="1"/>
  <c r="AG835" i="55" s="1"/>
  <c r="AG834" i="55" s="1"/>
  <c r="AG833" i="55" s="1"/>
  <c r="AG832" i="55" s="1"/>
  <c r="AG831" i="55" s="1"/>
  <c r="AG830" i="55" s="1"/>
  <c r="AG829" i="55" s="1"/>
  <c r="AG828" i="55" s="1"/>
  <c r="AG827" i="55" s="1"/>
  <c r="AG826" i="55" s="1"/>
  <c r="AG825" i="55" s="1"/>
  <c r="AG824" i="55" s="1"/>
  <c r="AG823" i="55" s="1"/>
  <c r="AG822" i="55" s="1"/>
  <c r="AG821" i="55" s="1"/>
  <c r="AG820" i="55" s="1"/>
  <c r="AG819" i="55" s="1"/>
  <c r="AG818" i="55" s="1"/>
  <c r="AG817" i="55" s="1"/>
  <c r="AG816" i="55" s="1"/>
  <c r="AG815" i="55" s="1"/>
  <c r="AG814" i="55" s="1"/>
  <c r="AG813" i="55" s="1"/>
  <c r="AG812" i="55" s="1"/>
  <c r="AG811" i="55" s="1"/>
  <c r="AG810" i="55" s="1"/>
  <c r="AG809" i="55" s="1"/>
  <c r="AG808" i="55" s="1"/>
  <c r="AG807" i="55" s="1"/>
  <c r="AG806" i="55" s="1"/>
  <c r="AG805" i="55" s="1"/>
  <c r="AG804" i="55" s="1"/>
  <c r="AG803" i="55" s="1"/>
  <c r="AG802" i="55" s="1"/>
  <c r="AG801" i="55" s="1"/>
  <c r="AG800" i="55" s="1"/>
  <c r="AG799" i="55" s="1"/>
  <c r="AG798" i="55" s="1"/>
  <c r="AG797" i="55" s="1"/>
  <c r="AG796" i="55" s="1"/>
  <c r="AG795" i="55" s="1"/>
  <c r="AG794" i="55" s="1"/>
  <c r="AG793" i="55" s="1"/>
  <c r="AG792" i="55" s="1"/>
  <c r="AG791" i="55" s="1"/>
  <c r="AG790" i="55" s="1"/>
  <c r="AG789" i="55" s="1"/>
  <c r="AG788" i="55" s="1"/>
  <c r="AG787" i="55" s="1"/>
  <c r="AG786" i="55" s="1"/>
  <c r="AG785" i="55" s="1"/>
  <c r="AG784" i="55" s="1"/>
  <c r="AG783" i="55" s="1"/>
  <c r="AG782" i="55" s="1"/>
  <c r="AG781" i="55" s="1"/>
  <c r="AG780" i="55" s="1"/>
  <c r="AG779" i="55" s="1"/>
  <c r="AG778" i="55" s="1"/>
  <c r="AG777" i="55" s="1"/>
  <c r="AG776" i="55" s="1"/>
  <c r="AG775" i="55" s="1"/>
  <c r="AG774" i="55" s="1"/>
  <c r="AG773" i="55" s="1"/>
  <c r="AG772" i="55" s="1"/>
  <c r="AG771" i="55" s="1"/>
  <c r="AG770" i="55" s="1"/>
  <c r="AG769" i="55" s="1"/>
  <c r="AG768" i="55" s="1"/>
  <c r="AG767" i="55" s="1"/>
  <c r="AG766" i="55" s="1"/>
  <c r="AG765" i="55" s="1"/>
  <c r="AG764" i="55" s="1"/>
  <c r="AG763" i="55" s="1"/>
  <c r="AG762" i="55" s="1"/>
  <c r="AG761" i="55" s="1"/>
  <c r="AG760" i="55" s="1"/>
  <c r="AG759" i="55" s="1"/>
  <c r="AG758" i="55" s="1"/>
  <c r="AG757" i="55" s="1"/>
  <c r="AG756" i="55" s="1"/>
  <c r="AG755" i="55" s="1"/>
  <c r="AG754" i="55" s="1"/>
  <c r="AG753" i="55" s="1"/>
  <c r="AG752" i="55" s="1"/>
  <c r="AG751" i="55" s="1"/>
  <c r="AG750" i="55" s="1"/>
  <c r="AG749" i="55" s="1"/>
  <c r="AG748" i="55" s="1"/>
  <c r="AG747" i="55" s="1"/>
  <c r="AG746" i="55" s="1"/>
  <c r="AG745" i="55" s="1"/>
  <c r="AG744" i="55" s="1"/>
  <c r="AG743" i="55" s="1"/>
  <c r="AG742" i="55" s="1"/>
  <c r="AG741" i="55" s="1"/>
  <c r="AG740" i="55" s="1"/>
  <c r="AG739" i="55" s="1"/>
  <c r="AG738" i="55" s="1"/>
  <c r="AG737" i="55" s="1"/>
  <c r="AG736" i="55" s="1"/>
  <c r="AG735" i="55" s="1"/>
  <c r="AG734" i="55" s="1"/>
  <c r="AG733" i="55" s="1"/>
  <c r="AG732" i="55" s="1"/>
  <c r="AG731" i="55" s="1"/>
  <c r="AG730" i="55" s="1"/>
  <c r="AG729" i="55" s="1"/>
  <c r="AG728" i="55" s="1"/>
  <c r="AG727" i="55" s="1"/>
  <c r="AG726" i="55" s="1"/>
  <c r="AG725" i="55" s="1"/>
  <c r="AG724" i="55" s="1"/>
  <c r="AG723" i="55" s="1"/>
  <c r="AG722" i="55" s="1"/>
  <c r="AG721" i="55" s="1"/>
  <c r="AG720" i="55" s="1"/>
  <c r="AG719" i="55" s="1"/>
  <c r="AG718" i="55" s="1"/>
  <c r="AG717" i="55" s="1"/>
  <c r="AG716" i="55" s="1"/>
  <c r="AG715" i="55" s="1"/>
  <c r="AG714" i="55" s="1"/>
  <c r="AG713" i="55" s="1"/>
  <c r="AG712" i="55" s="1"/>
  <c r="AG711" i="55" s="1"/>
  <c r="AG710" i="55" s="1"/>
  <c r="AG709" i="55" s="1"/>
  <c r="AG708" i="55" s="1"/>
  <c r="AG707" i="55" s="1"/>
  <c r="AG706" i="55" s="1"/>
  <c r="AG705" i="55" s="1"/>
  <c r="AG704" i="55" s="1"/>
  <c r="AG703" i="55" s="1"/>
  <c r="AG702" i="55" s="1"/>
  <c r="AG701" i="55" s="1"/>
  <c r="AG700" i="55" s="1"/>
  <c r="AG699" i="55" s="1"/>
  <c r="AG698" i="55" s="1"/>
  <c r="AG697" i="55" s="1"/>
  <c r="AG696" i="55" s="1"/>
  <c r="AG695" i="55" s="1"/>
  <c r="AG694" i="55" s="1"/>
  <c r="AG693" i="55" s="1"/>
  <c r="AG692" i="55" s="1"/>
  <c r="AG691" i="55" s="1"/>
  <c r="AG690" i="55" s="1"/>
  <c r="AG689" i="55" s="1"/>
  <c r="AG688" i="55" s="1"/>
  <c r="AG687" i="55" s="1"/>
  <c r="AG686" i="55" s="1"/>
  <c r="AG685" i="55" s="1"/>
  <c r="AG684" i="55" s="1"/>
  <c r="AG683" i="55" s="1"/>
  <c r="AG682" i="55" s="1"/>
  <c r="AG681" i="55" s="1"/>
  <c r="AG680" i="55" s="1"/>
  <c r="AG679" i="55" s="1"/>
  <c r="AG678" i="55" s="1"/>
  <c r="AG677" i="55" s="1"/>
  <c r="AG676" i="55" s="1"/>
  <c r="AG675" i="55" s="1"/>
  <c r="AG674" i="55" s="1"/>
  <c r="AG673" i="55" s="1"/>
  <c r="AG672" i="55" s="1"/>
  <c r="AG671" i="55" s="1"/>
  <c r="AG670" i="55" s="1"/>
  <c r="AG669" i="55" s="1"/>
  <c r="AG668" i="55" s="1"/>
  <c r="AG667" i="55" s="1"/>
  <c r="AG666" i="55" s="1"/>
  <c r="AG665" i="55" s="1"/>
  <c r="AG664" i="55" s="1"/>
  <c r="AG663" i="55" s="1"/>
  <c r="AG662" i="55" s="1"/>
  <c r="AG661" i="55" s="1"/>
  <c r="AG660" i="55" s="1"/>
  <c r="AG659" i="55" s="1"/>
  <c r="AG658" i="55" s="1"/>
  <c r="AG657" i="55" s="1"/>
  <c r="AG656" i="55" s="1"/>
  <c r="AG655" i="55" s="1"/>
  <c r="AG654" i="55" s="1"/>
  <c r="AG653" i="55" s="1"/>
  <c r="AG652" i="55" s="1"/>
  <c r="AG651" i="55" s="1"/>
  <c r="AG650" i="55" s="1"/>
  <c r="AG649" i="55" s="1"/>
  <c r="AG648" i="55" s="1"/>
  <c r="AG647" i="55" s="1"/>
  <c r="AG646" i="55" s="1"/>
  <c r="AG645" i="55" s="1"/>
  <c r="AG644" i="55" s="1"/>
  <c r="AG643" i="55" s="1"/>
  <c r="AG642" i="55" s="1"/>
  <c r="AG641" i="55" s="1"/>
  <c r="AG640" i="55" s="1"/>
  <c r="AG639" i="55" s="1"/>
  <c r="AG638" i="55" s="1"/>
  <c r="AG637" i="55" s="1"/>
  <c r="AG636" i="55" s="1"/>
  <c r="AG635" i="55" s="1"/>
  <c r="AG634" i="55" s="1"/>
  <c r="AG633" i="55" s="1"/>
  <c r="AG632" i="55" s="1"/>
  <c r="AG631" i="55" s="1"/>
  <c r="AG630" i="55" s="1"/>
  <c r="AG629" i="55" s="1"/>
  <c r="AG628" i="55" s="1"/>
  <c r="AG627" i="55" s="1"/>
  <c r="AG626" i="55" s="1"/>
  <c r="AG625" i="55" s="1"/>
  <c r="AG624" i="55" s="1"/>
  <c r="AG623" i="55" s="1"/>
  <c r="AG622" i="55" s="1"/>
  <c r="AG621" i="55" s="1"/>
  <c r="AG620" i="55" s="1"/>
  <c r="AG619" i="55" s="1"/>
  <c r="AG618" i="55" s="1"/>
  <c r="AG617" i="55" s="1"/>
  <c r="AG616" i="55" s="1"/>
  <c r="AG615" i="55" s="1"/>
  <c r="AG614" i="55" s="1"/>
  <c r="AG613" i="55" s="1"/>
  <c r="AG612" i="55" s="1"/>
  <c r="AG611" i="55" s="1"/>
  <c r="AG610" i="55" s="1"/>
  <c r="AG609" i="55" s="1"/>
  <c r="AG608" i="55" s="1"/>
  <c r="AG607" i="55" s="1"/>
  <c r="AG606" i="55" s="1"/>
  <c r="AG605" i="55" s="1"/>
  <c r="AG604" i="55" s="1"/>
  <c r="AG603" i="55" s="1"/>
  <c r="AG602" i="55" s="1"/>
  <c r="AG601" i="55" s="1"/>
  <c r="AG600" i="55" s="1"/>
  <c r="AG599" i="55" s="1"/>
  <c r="AG598" i="55" s="1"/>
  <c r="AG597" i="55" s="1"/>
  <c r="AG596" i="55" s="1"/>
  <c r="AG595" i="55" s="1"/>
  <c r="AG594" i="55" s="1"/>
  <c r="AG593" i="55" s="1"/>
  <c r="AG592" i="55" s="1"/>
  <c r="AG591" i="55" s="1"/>
  <c r="AG590" i="55" s="1"/>
  <c r="AG589" i="55" s="1"/>
  <c r="AG588" i="55" s="1"/>
  <c r="AG587" i="55" s="1"/>
  <c r="AG586" i="55" s="1"/>
  <c r="AG585" i="55" s="1"/>
  <c r="AG584" i="55" s="1"/>
  <c r="AG583" i="55" s="1"/>
  <c r="AG582" i="55" s="1"/>
  <c r="AG581" i="55" s="1"/>
  <c r="AG580" i="55" s="1"/>
  <c r="AG579" i="55" s="1"/>
  <c r="AG578" i="55" s="1"/>
  <c r="AG577" i="55" s="1"/>
  <c r="AG576" i="55" s="1"/>
  <c r="AG575" i="55" s="1"/>
  <c r="AG574" i="55" s="1"/>
  <c r="AG573" i="55" s="1"/>
  <c r="AG572" i="55" s="1"/>
  <c r="AG571" i="55" s="1"/>
  <c r="AG570" i="55" s="1"/>
  <c r="AG569" i="55" s="1"/>
  <c r="AG568" i="55" s="1"/>
  <c r="AG567" i="55" s="1"/>
  <c r="AG566" i="55" s="1"/>
  <c r="AG565" i="55" s="1"/>
  <c r="AG564" i="55" s="1"/>
  <c r="AG563" i="55" s="1"/>
  <c r="AG562" i="55" s="1"/>
  <c r="AG561" i="55" s="1"/>
  <c r="AG560" i="55" s="1"/>
  <c r="AG559" i="55" s="1"/>
  <c r="AG558" i="55" s="1"/>
  <c r="AG557" i="55" s="1"/>
  <c r="AG556" i="55" s="1"/>
  <c r="AG555" i="55" s="1"/>
  <c r="AG554" i="55" s="1"/>
  <c r="AG553" i="55" s="1"/>
  <c r="AG552" i="55" s="1"/>
  <c r="AG551" i="55" s="1"/>
  <c r="AG550" i="55" s="1"/>
  <c r="AG549" i="55" s="1"/>
  <c r="AG548" i="55" s="1"/>
  <c r="AG547" i="55" s="1"/>
  <c r="AG546" i="55" s="1"/>
  <c r="AG545" i="55" s="1"/>
  <c r="AG544" i="55" s="1"/>
  <c r="AG543" i="55" s="1"/>
  <c r="AG542" i="55" s="1"/>
  <c r="AG541" i="55" s="1"/>
  <c r="AG540" i="55" s="1"/>
  <c r="AG539" i="55" s="1"/>
  <c r="AG538" i="55" s="1"/>
  <c r="AG537" i="55" s="1"/>
  <c r="AG536" i="55" s="1"/>
  <c r="AG535" i="55" s="1"/>
  <c r="AG534" i="55" s="1"/>
  <c r="AG533" i="55" s="1"/>
  <c r="AG532" i="55" s="1"/>
  <c r="AG531" i="55" s="1"/>
  <c r="AG530" i="55" s="1"/>
  <c r="AG529" i="55" s="1"/>
  <c r="AG528" i="55" s="1"/>
  <c r="AG527" i="55" s="1"/>
  <c r="AG526" i="55" s="1"/>
  <c r="AG525" i="55" s="1"/>
  <c r="AG524" i="55" s="1"/>
  <c r="AG523" i="55" s="1"/>
  <c r="AG522" i="55" s="1"/>
  <c r="AG521" i="55" s="1"/>
  <c r="AG520" i="55" s="1"/>
  <c r="AG519" i="55" s="1"/>
  <c r="AG518" i="55" s="1"/>
  <c r="AG517" i="55" s="1"/>
  <c r="AG516" i="55" s="1"/>
  <c r="AG515" i="55" s="1"/>
  <c r="AG514" i="55" s="1"/>
  <c r="AG513" i="55" s="1"/>
  <c r="AG512" i="55" s="1"/>
  <c r="AG511" i="55" s="1"/>
  <c r="AG510" i="55" s="1"/>
  <c r="AG509" i="55" s="1"/>
  <c r="AG508" i="55" s="1"/>
  <c r="AG507" i="55" s="1"/>
  <c r="AG506" i="55" s="1"/>
  <c r="AG505" i="55" s="1"/>
  <c r="AG504" i="55" s="1"/>
  <c r="AG503" i="55" s="1"/>
  <c r="AG502" i="55" s="1"/>
  <c r="AG501" i="55" s="1"/>
  <c r="AG500" i="55" s="1"/>
  <c r="AG499" i="55" s="1"/>
  <c r="AG498" i="55" s="1"/>
  <c r="AG497" i="55" s="1"/>
  <c r="AG496" i="55" s="1"/>
  <c r="AG495" i="55" s="1"/>
  <c r="AG494" i="55" s="1"/>
  <c r="AG493" i="55" s="1"/>
  <c r="AG492" i="55" s="1"/>
  <c r="AG491" i="55" s="1"/>
  <c r="AG490" i="55" s="1"/>
  <c r="AG489" i="55" s="1"/>
  <c r="AG488" i="55" s="1"/>
  <c r="AG487" i="55" s="1"/>
  <c r="AG486" i="55" s="1"/>
  <c r="AG485" i="55" s="1"/>
  <c r="AG484" i="55" s="1"/>
  <c r="AG483" i="55" s="1"/>
  <c r="AG482" i="55" s="1"/>
  <c r="AG481" i="55" s="1"/>
  <c r="AG480" i="55" s="1"/>
  <c r="AG479" i="55" s="1"/>
  <c r="AG478" i="55" s="1"/>
  <c r="AG477" i="55" s="1"/>
  <c r="AG476" i="55" s="1"/>
  <c r="AG475" i="55" s="1"/>
  <c r="AG474" i="55" s="1"/>
  <c r="AG473" i="55" s="1"/>
  <c r="AG472" i="55" s="1"/>
  <c r="AG471" i="55" s="1"/>
  <c r="AG470" i="55" s="1"/>
  <c r="AG469" i="55" s="1"/>
  <c r="AG468" i="55" s="1"/>
  <c r="AG467" i="55" s="1"/>
  <c r="AG466" i="55" s="1"/>
  <c r="AG465" i="55" s="1"/>
  <c r="AG464" i="55" s="1"/>
  <c r="AG463" i="55" s="1"/>
  <c r="AG462" i="55" s="1"/>
  <c r="AG461" i="55" s="1"/>
  <c r="AG460" i="55" s="1"/>
  <c r="AG459" i="55" s="1"/>
  <c r="AG458" i="55" s="1"/>
  <c r="AG457" i="55" s="1"/>
  <c r="AG456" i="55" s="1"/>
  <c r="AG455" i="55" s="1"/>
  <c r="AG454" i="55" s="1"/>
  <c r="AG453" i="55" s="1"/>
  <c r="AG452" i="55" s="1"/>
  <c r="AG451" i="55" s="1"/>
  <c r="AG450" i="55" s="1"/>
  <c r="AG449" i="55" s="1"/>
  <c r="AG448" i="55" s="1"/>
  <c r="AG447" i="55" s="1"/>
  <c r="AG446" i="55" s="1"/>
  <c r="AG445" i="55" s="1"/>
  <c r="AG444" i="55" s="1"/>
  <c r="AG443" i="55" s="1"/>
  <c r="AG442" i="55" s="1"/>
  <c r="AG441" i="55" s="1"/>
  <c r="AG440" i="55" s="1"/>
  <c r="AG439" i="55" s="1"/>
  <c r="AG438" i="55" s="1"/>
  <c r="AG437" i="55" s="1"/>
  <c r="AG436" i="55" s="1"/>
  <c r="AG435" i="55" s="1"/>
  <c r="AG434" i="55" s="1"/>
  <c r="AG433" i="55" s="1"/>
  <c r="AG432" i="55" s="1"/>
  <c r="AG431" i="55" s="1"/>
  <c r="AG430" i="55" s="1"/>
  <c r="AG429" i="55" s="1"/>
  <c r="AG428" i="55" s="1"/>
  <c r="AG427" i="55" s="1"/>
  <c r="AG426" i="55" s="1"/>
  <c r="AG425" i="55" s="1"/>
  <c r="AG424" i="55" s="1"/>
  <c r="AG423" i="55" s="1"/>
  <c r="AG422" i="55" s="1"/>
  <c r="AG421" i="55" s="1"/>
  <c r="AG420" i="55" s="1"/>
  <c r="AG419" i="55" s="1"/>
  <c r="AG418" i="55" s="1"/>
  <c r="AG417" i="55" s="1"/>
  <c r="AG416" i="55" s="1"/>
  <c r="AG415" i="55" s="1"/>
  <c r="AG414" i="55" s="1"/>
  <c r="AG413" i="55" s="1"/>
  <c r="AG412" i="55" s="1"/>
  <c r="AG411" i="55" s="1"/>
  <c r="AG410" i="55" s="1"/>
  <c r="AG409" i="55" s="1"/>
  <c r="AG408" i="55" s="1"/>
  <c r="AG407" i="55" s="1"/>
  <c r="AG406" i="55" s="1"/>
  <c r="AG405" i="55" s="1"/>
  <c r="AG404" i="55" s="1"/>
  <c r="AG403" i="55" s="1"/>
  <c r="AG402" i="55" s="1"/>
  <c r="AG401" i="55" s="1"/>
  <c r="AG400" i="55" s="1"/>
  <c r="AG399" i="55" s="1"/>
  <c r="AG398" i="55" s="1"/>
  <c r="AG397" i="55" s="1"/>
  <c r="AG396" i="55" s="1"/>
  <c r="AG395" i="55" s="1"/>
  <c r="AG394" i="55" s="1"/>
  <c r="AG393" i="55" s="1"/>
  <c r="AG392" i="55" s="1"/>
  <c r="AG391" i="55" s="1"/>
  <c r="AG390" i="55" s="1"/>
  <c r="AG389" i="55" s="1"/>
  <c r="AG388" i="55" s="1"/>
  <c r="AG387" i="55" s="1"/>
  <c r="AG386" i="55" s="1"/>
  <c r="AG385" i="55" s="1"/>
  <c r="AG384" i="55" s="1"/>
  <c r="AG383" i="55" s="1"/>
  <c r="AG382" i="55" s="1"/>
  <c r="AG381" i="55" s="1"/>
  <c r="AG380" i="55" s="1"/>
  <c r="AG379" i="55" s="1"/>
  <c r="AG378" i="55" s="1"/>
  <c r="AG377" i="55" s="1"/>
  <c r="AG376" i="55" s="1"/>
  <c r="AG375" i="55" s="1"/>
  <c r="AG374" i="55" s="1"/>
  <c r="AG373" i="55" s="1"/>
  <c r="AG372" i="55" s="1"/>
  <c r="AG371" i="55" s="1"/>
  <c r="AG370" i="55" s="1"/>
  <c r="AG369" i="55" s="1"/>
  <c r="AG368" i="55" s="1"/>
  <c r="AG367" i="55" s="1"/>
  <c r="AG366" i="55" s="1"/>
  <c r="AG365" i="55" s="1"/>
  <c r="AG364" i="55" s="1"/>
  <c r="AG363" i="55" s="1"/>
  <c r="AG362" i="55" s="1"/>
  <c r="AG361" i="55" s="1"/>
  <c r="AG360" i="55" s="1"/>
  <c r="AG359" i="55" s="1"/>
  <c r="AG358" i="55" s="1"/>
  <c r="AG357" i="55" s="1"/>
  <c r="AG356" i="55" s="1"/>
  <c r="AG355" i="55" s="1"/>
  <c r="AG354" i="55" s="1"/>
  <c r="AG353" i="55" s="1"/>
  <c r="AG352" i="55" s="1"/>
  <c r="AG351" i="55" s="1"/>
  <c r="AG350" i="55" s="1"/>
  <c r="AG349" i="55" s="1"/>
  <c r="AG348" i="55" s="1"/>
  <c r="AG347" i="55" s="1"/>
  <c r="AG346" i="55" s="1"/>
  <c r="AG345" i="55" s="1"/>
  <c r="AG344" i="55" s="1"/>
  <c r="AG343" i="55" s="1"/>
  <c r="AG342" i="55" s="1"/>
  <c r="AG341" i="55" s="1"/>
  <c r="AG340" i="55" s="1"/>
  <c r="AG339" i="55" s="1"/>
  <c r="AG338" i="55" s="1"/>
  <c r="AG337" i="55" s="1"/>
  <c r="AG336" i="55" s="1"/>
  <c r="AG335" i="55" s="1"/>
  <c r="AG334" i="55" s="1"/>
  <c r="AG333" i="55" s="1"/>
  <c r="AG332" i="55" s="1"/>
  <c r="AG331" i="55" s="1"/>
  <c r="AG330" i="55" s="1"/>
  <c r="AG329" i="55" s="1"/>
  <c r="AG328" i="55" s="1"/>
  <c r="AG327" i="55" s="1"/>
  <c r="AG326" i="55" s="1"/>
  <c r="AG325" i="55" s="1"/>
  <c r="AG324" i="55" s="1"/>
  <c r="AG323" i="55" s="1"/>
  <c r="AG322" i="55" s="1"/>
  <c r="AG321" i="55" s="1"/>
  <c r="AG320" i="55" s="1"/>
  <c r="AG319" i="55" s="1"/>
  <c r="AG318" i="55" s="1"/>
  <c r="AG317" i="55" s="1"/>
  <c r="AG316" i="55" s="1"/>
  <c r="AG315" i="55" s="1"/>
  <c r="AG314" i="55" s="1"/>
  <c r="AG313" i="55" s="1"/>
  <c r="AG312" i="55" s="1"/>
  <c r="AG311" i="55" s="1"/>
  <c r="AG310" i="55" s="1"/>
  <c r="AG309" i="55" s="1"/>
  <c r="AG308" i="55" s="1"/>
  <c r="AG307" i="55" s="1"/>
  <c r="AG306" i="55" s="1"/>
  <c r="AG305" i="55" s="1"/>
  <c r="AG304" i="55" s="1"/>
  <c r="AG303" i="55" s="1"/>
  <c r="AG302" i="55" s="1"/>
  <c r="AG301" i="55" s="1"/>
  <c r="AG300" i="55" s="1"/>
  <c r="AG299" i="55" s="1"/>
  <c r="AG298" i="55" s="1"/>
  <c r="AG297" i="55" s="1"/>
  <c r="AG296" i="55" s="1"/>
  <c r="AG295" i="55" s="1"/>
  <c r="AG294" i="55" s="1"/>
  <c r="AG293" i="55" s="1"/>
  <c r="AG292" i="55" s="1"/>
  <c r="AG291" i="55" s="1"/>
  <c r="AG290" i="55" s="1"/>
  <c r="AG289" i="55" s="1"/>
  <c r="AG288" i="55" s="1"/>
  <c r="AG287" i="55" s="1"/>
  <c r="AG286" i="55" s="1"/>
  <c r="AG285" i="55" s="1"/>
  <c r="AG284" i="55" s="1"/>
  <c r="AG283" i="55" s="1"/>
  <c r="AG282" i="55" s="1"/>
  <c r="AG281" i="55" s="1"/>
  <c r="AG280" i="55" s="1"/>
  <c r="AG279" i="55" s="1"/>
  <c r="AG278" i="55" s="1"/>
  <c r="AG277" i="55" s="1"/>
  <c r="AG276" i="55" s="1"/>
  <c r="AG275" i="55" s="1"/>
  <c r="AG274" i="55" s="1"/>
  <c r="AG273" i="55" s="1"/>
  <c r="AG272" i="55" s="1"/>
  <c r="AG271" i="55" s="1"/>
  <c r="AG270" i="55" s="1"/>
  <c r="AG269" i="55" s="1"/>
  <c r="AG268" i="55" s="1"/>
  <c r="AG267" i="55" s="1"/>
  <c r="AG266" i="55" s="1"/>
  <c r="AG265" i="55" s="1"/>
  <c r="AG264" i="55" s="1"/>
  <c r="AG263" i="55" s="1"/>
  <c r="AG262" i="55" s="1"/>
  <c r="AG261" i="55" s="1"/>
  <c r="AG260" i="55" s="1"/>
  <c r="AG259" i="55" s="1"/>
  <c r="AG258" i="55" s="1"/>
  <c r="AG257" i="55" s="1"/>
  <c r="AG256" i="55" s="1"/>
  <c r="AG255" i="55" s="1"/>
  <c r="AG254" i="55" s="1"/>
  <c r="AG253" i="55" s="1"/>
  <c r="AG252" i="55" s="1"/>
  <c r="AG251" i="55" s="1"/>
  <c r="AG250" i="55" s="1"/>
  <c r="AG249" i="55" s="1"/>
  <c r="AG248" i="55" s="1"/>
  <c r="AG247" i="55" s="1"/>
  <c r="AG246" i="55" s="1"/>
  <c r="AG245" i="55" s="1"/>
  <c r="AG244" i="55" s="1"/>
  <c r="AG243" i="55" s="1"/>
  <c r="AG242" i="55" s="1"/>
  <c r="AG241" i="55" s="1"/>
  <c r="AG240" i="55" s="1"/>
  <c r="AG239" i="55" s="1"/>
  <c r="AG238" i="55" s="1"/>
  <c r="AG237" i="55" s="1"/>
  <c r="AG236" i="55" s="1"/>
  <c r="AG235" i="55" s="1"/>
  <c r="AG234" i="55" s="1"/>
  <c r="AG233" i="55" s="1"/>
  <c r="AG232" i="55" s="1"/>
  <c r="AG231" i="55" s="1"/>
  <c r="AG230" i="55" s="1"/>
  <c r="AG229" i="55" s="1"/>
  <c r="AG228" i="55" s="1"/>
  <c r="AG227" i="55" s="1"/>
  <c r="AG226" i="55" s="1"/>
  <c r="AG225" i="55" s="1"/>
  <c r="AG224" i="55" s="1"/>
  <c r="AG223" i="55" s="1"/>
  <c r="AG222" i="55" s="1"/>
  <c r="AG221" i="55" s="1"/>
  <c r="AG220" i="55" s="1"/>
  <c r="AG219" i="55" s="1"/>
  <c r="AG218" i="55" s="1"/>
  <c r="AG217" i="55" s="1"/>
  <c r="AG216" i="55" s="1"/>
  <c r="AG215" i="55" s="1"/>
  <c r="AG214" i="55" s="1"/>
  <c r="AG213" i="55" s="1"/>
  <c r="AG212" i="55" s="1"/>
  <c r="AG211" i="55" s="1"/>
  <c r="AG210" i="55" s="1"/>
  <c r="AG209" i="55" s="1"/>
  <c r="AG208" i="55" s="1"/>
  <c r="AG207" i="55" s="1"/>
  <c r="AG206" i="55" s="1"/>
  <c r="AG205" i="55" s="1"/>
  <c r="AG204" i="55" s="1"/>
  <c r="AG203" i="55" s="1"/>
  <c r="AG202" i="55" s="1"/>
  <c r="AG201" i="55" s="1"/>
  <c r="AG200" i="55" s="1"/>
  <c r="AG199" i="55" s="1"/>
  <c r="AG198" i="55" s="1"/>
  <c r="AG197" i="55" s="1"/>
  <c r="AG196" i="55" s="1"/>
  <c r="AG195" i="55" s="1"/>
  <c r="AG194" i="55" s="1"/>
  <c r="AG193" i="55" s="1"/>
  <c r="AG192" i="55" s="1"/>
  <c r="AG191" i="55" s="1"/>
  <c r="AG190" i="55" s="1"/>
  <c r="AG189" i="55" s="1"/>
  <c r="AG188" i="55" s="1"/>
  <c r="AG187" i="55" s="1"/>
  <c r="AG186" i="55" s="1"/>
  <c r="AG185" i="55" s="1"/>
  <c r="AG184" i="55" s="1"/>
  <c r="AG183" i="55" s="1"/>
  <c r="AG182" i="55" s="1"/>
  <c r="AG181" i="55" s="1"/>
  <c r="AG180" i="55" s="1"/>
  <c r="AG179" i="55" s="1"/>
  <c r="AG178" i="55" s="1"/>
  <c r="AG177" i="55" s="1"/>
  <c r="AG176" i="55" s="1"/>
  <c r="AG175" i="55" s="1"/>
  <c r="AG174" i="55" s="1"/>
  <c r="AG173" i="55" s="1"/>
  <c r="AG172" i="55" s="1"/>
  <c r="AG171" i="55" s="1"/>
  <c r="AG170" i="55" s="1"/>
  <c r="AG169" i="55" s="1"/>
  <c r="AG168" i="55" s="1"/>
  <c r="AG167" i="55" s="1"/>
  <c r="AG166" i="55" s="1"/>
  <c r="AG165" i="55" s="1"/>
  <c r="AG164" i="55" s="1"/>
  <c r="AG163" i="55" s="1"/>
  <c r="AG162" i="55" s="1"/>
  <c r="AG161" i="55" s="1"/>
  <c r="AG160" i="55" s="1"/>
  <c r="AG159" i="55" s="1"/>
  <c r="AG158" i="55" s="1"/>
  <c r="AG157" i="55" s="1"/>
  <c r="AG156" i="55" s="1"/>
  <c r="AG155" i="55" s="1"/>
  <c r="AG154" i="55" s="1"/>
  <c r="AG153" i="55" s="1"/>
  <c r="AG152" i="55" s="1"/>
  <c r="AG151" i="55" s="1"/>
  <c r="AG150" i="55" s="1"/>
  <c r="AG149" i="55" s="1"/>
  <c r="AG148" i="55" s="1"/>
  <c r="AG147" i="55" s="1"/>
  <c r="AG146" i="55" s="1"/>
  <c r="AG145" i="55" s="1"/>
  <c r="AG144" i="55" s="1"/>
  <c r="AG143" i="55" s="1"/>
  <c r="AG142" i="55" s="1"/>
  <c r="AG141" i="55" s="1"/>
  <c r="AG140" i="55" s="1"/>
  <c r="AG139" i="55" s="1"/>
  <c r="AG138" i="55" s="1"/>
  <c r="AG137" i="55" s="1"/>
  <c r="AG136" i="55" s="1"/>
  <c r="AG135" i="55" s="1"/>
  <c r="AG134" i="55" s="1"/>
  <c r="AG133" i="55" s="1"/>
  <c r="AG132" i="55" s="1"/>
  <c r="AG131" i="55" s="1"/>
  <c r="AG130" i="55" s="1"/>
  <c r="AG129" i="55" s="1"/>
  <c r="AG128" i="55" s="1"/>
  <c r="AG127" i="55" s="1"/>
  <c r="AG126" i="55" s="1"/>
  <c r="AG125" i="55" s="1"/>
  <c r="AG124" i="55" s="1"/>
  <c r="AG123" i="55" s="1"/>
  <c r="AG122" i="55" s="1"/>
  <c r="AG121" i="55" s="1"/>
  <c r="AG120" i="55" s="1"/>
  <c r="AG119" i="55" s="1"/>
  <c r="AG118" i="55" s="1"/>
  <c r="AG117" i="55" s="1"/>
  <c r="AG116" i="55" s="1"/>
  <c r="AG115" i="55" s="1"/>
  <c r="AG114" i="55" s="1"/>
  <c r="AG113" i="55" s="1"/>
  <c r="AG112" i="55" s="1"/>
  <c r="AG111" i="55" s="1"/>
  <c r="AG110" i="55" s="1"/>
  <c r="AG109" i="55" s="1"/>
  <c r="AG108" i="55" s="1"/>
  <c r="AG107" i="55" s="1"/>
  <c r="AG106" i="55" s="1"/>
  <c r="AG105" i="55" s="1"/>
  <c r="AG104" i="55" s="1"/>
  <c r="AG103" i="55" s="1"/>
  <c r="AG102" i="55" s="1"/>
  <c r="AG101" i="55" s="1"/>
  <c r="AG100" i="55" s="1"/>
  <c r="AG99" i="55" s="1"/>
  <c r="AG98" i="55" s="1"/>
  <c r="AG97" i="55" s="1"/>
  <c r="AG96" i="55" s="1"/>
  <c r="AG95" i="55" s="1"/>
  <c r="AG94" i="55" s="1"/>
  <c r="AG93" i="55" s="1"/>
  <c r="AG92" i="55" s="1"/>
  <c r="AG91" i="55" s="1"/>
  <c r="AG90" i="55" s="1"/>
  <c r="AG89" i="55" s="1"/>
  <c r="AG88" i="55" s="1"/>
  <c r="AG87" i="55" s="1"/>
  <c r="AG86" i="55" s="1"/>
  <c r="AG85" i="55" s="1"/>
  <c r="AG84" i="55" s="1"/>
  <c r="AG83" i="55" s="1"/>
  <c r="AG82" i="55" s="1"/>
  <c r="AG81" i="55" s="1"/>
  <c r="AG80" i="55" s="1"/>
  <c r="AG79" i="55" s="1"/>
  <c r="AG78" i="55" s="1"/>
  <c r="AG77" i="55" s="1"/>
  <c r="AG76" i="55" s="1"/>
  <c r="AG75" i="55" s="1"/>
  <c r="AG74" i="55" s="1"/>
  <c r="AG73" i="55" s="1"/>
  <c r="AG72" i="55" s="1"/>
  <c r="AG71" i="55" s="1"/>
  <c r="AG70" i="55" s="1"/>
  <c r="AG69" i="55" s="1"/>
  <c r="AG68" i="55" s="1"/>
  <c r="AG67" i="55" s="1"/>
  <c r="AG66" i="55" s="1"/>
  <c r="AG65" i="55" s="1"/>
  <c r="AG64" i="55" s="1"/>
  <c r="AG63" i="55" s="1"/>
  <c r="AG62" i="55" s="1"/>
  <c r="AG61" i="55" s="1"/>
  <c r="AG60" i="55" s="1"/>
  <c r="AG59" i="55" s="1"/>
  <c r="AG58" i="55" s="1"/>
  <c r="AG57" i="55" s="1"/>
  <c r="AG56" i="55" s="1"/>
  <c r="AG55" i="55" s="1"/>
  <c r="AG54" i="55" s="1"/>
  <c r="AG53" i="55" s="1"/>
  <c r="AG52" i="55" s="1"/>
  <c r="AG51" i="55" s="1"/>
  <c r="AG50" i="55" s="1"/>
  <c r="AG49" i="55" s="1"/>
  <c r="AG48" i="55" s="1"/>
  <c r="AG47" i="55" s="1"/>
  <c r="AG46" i="55" s="1"/>
  <c r="AG45" i="55" s="1"/>
  <c r="AG44" i="55" s="1"/>
  <c r="AG43" i="55" s="1"/>
  <c r="AG42" i="55" s="1"/>
  <c r="AG41" i="55" s="1"/>
  <c r="AG40" i="55" s="1"/>
  <c r="AG39" i="55" s="1"/>
  <c r="AG38" i="55" s="1"/>
  <c r="AG37" i="55" s="1"/>
  <c r="AG36" i="55" s="1"/>
  <c r="AG35" i="55" s="1"/>
  <c r="AG34" i="55" s="1"/>
  <c r="AG33" i="55" s="1"/>
  <c r="AG32" i="55" s="1"/>
  <c r="AG31" i="55" s="1"/>
  <c r="AG30" i="55" s="1"/>
  <c r="AG29" i="55" s="1"/>
  <c r="AG28" i="55" s="1"/>
  <c r="AG27" i="55" s="1"/>
  <c r="AG26" i="55" s="1"/>
  <c r="AG25" i="55" s="1"/>
  <c r="AG24" i="55" s="1"/>
  <c r="AG23" i="55" s="1"/>
  <c r="AG22" i="55" s="1"/>
  <c r="AG21" i="55" s="1"/>
  <c r="AG20" i="55" s="1"/>
  <c r="AG19" i="55" s="1"/>
  <c r="AG18" i="55" s="1"/>
  <c r="AG17" i="55" s="1"/>
  <c r="AG16" i="55" s="1"/>
  <c r="AG15" i="55" s="1"/>
  <c r="AG14" i="55" s="1"/>
  <c r="AG13" i="55" s="1"/>
  <c r="AG12" i="55" s="1"/>
  <c r="AG11" i="55" s="1"/>
  <c r="AG10" i="55" s="1"/>
  <c r="AG9" i="55" s="1"/>
  <c r="AG8" i="55" s="1"/>
  <c r="AG7" i="55" s="1"/>
  <c r="AG6" i="55" s="1"/>
  <c r="AG5" i="55" s="1"/>
  <c r="Z976" i="55"/>
  <c r="Z975" i="55" s="1"/>
  <c r="Z974" i="55" s="1"/>
  <c r="Z973" i="55" s="1"/>
  <c r="Z972" i="55" s="1"/>
  <c r="Z971" i="55" s="1"/>
  <c r="Z970" i="55" s="1"/>
  <c r="Z969" i="55" s="1"/>
  <c r="Z968" i="55" s="1"/>
  <c r="Z967" i="55" s="1"/>
  <c r="Z966" i="55" s="1"/>
  <c r="O978" i="55"/>
  <c r="Z978" i="55"/>
  <c r="AI978" i="55"/>
  <c r="Q978" i="55"/>
  <c r="K978" i="55"/>
  <c r="P978" i="55"/>
  <c r="AO978" i="55"/>
  <c r="AL978" i="55"/>
  <c r="AK978" i="55"/>
  <c r="AX978" i="55"/>
  <c r="U978" i="55"/>
  <c r="D978" i="55"/>
  <c r="I978" i="55"/>
  <c r="AT978" i="55"/>
  <c r="V978" i="55"/>
  <c r="AQ978" i="55"/>
  <c r="AH978" i="55"/>
  <c r="A978" i="55"/>
  <c r="AW978" i="55"/>
  <c r="X978" i="55"/>
  <c r="G978" i="55"/>
  <c r="AC978" i="55"/>
  <c r="N978" i="55"/>
  <c r="AB978" i="55"/>
  <c r="B978" i="55"/>
  <c r="S978" i="55"/>
  <c r="C978" i="55"/>
  <c r="F978" i="55"/>
  <c r="L978" i="55"/>
  <c r="M978" i="55"/>
  <c r="W978" i="55"/>
  <c r="AN978" i="55"/>
  <c r="H978" i="55"/>
  <c r="AM978" i="55"/>
  <c r="AF978" i="55"/>
  <c r="AG978" i="55"/>
  <c r="AD978" i="55"/>
  <c r="P705" i="26" l="1"/>
  <c r="V705" i="26"/>
  <c r="E706" i="26"/>
  <c r="BC704" i="26"/>
  <c r="BL704" i="26"/>
  <c r="F705" i="26"/>
  <c r="R705" i="26" s="1"/>
  <c r="AS705" i="26"/>
  <c r="BJ705" i="26" s="1"/>
  <c r="AP705" i="26"/>
  <c r="K705" i="26"/>
  <c r="M705" i="26" s="1"/>
  <c r="O705" i="26"/>
  <c r="G705" i="26"/>
  <c r="X705" i="26"/>
  <c r="E979" i="55"/>
  <c r="AL763" i="55"/>
  <c r="AL705" i="26" l="1"/>
  <c r="AM705" i="26" s="1"/>
  <c r="AU705" i="26" s="1"/>
  <c r="S705" i="26"/>
  <c r="T705" i="26" s="1"/>
  <c r="BL705" i="26" s="1"/>
  <c r="AO705" i="26"/>
  <c r="AT705" i="26" s="1"/>
  <c r="BK705" i="26"/>
  <c r="N705" i="26"/>
  <c r="AJ705" i="26"/>
  <c r="AK705" i="26" s="1"/>
  <c r="AV704" i="55"/>
  <c r="BT704" i="26"/>
  <c r="W706" i="26"/>
  <c r="Q706" i="26"/>
  <c r="A706" i="26"/>
  <c r="C706" i="26"/>
  <c r="B706" i="26"/>
  <c r="H706" i="26"/>
  <c r="L706" i="26"/>
  <c r="K706" i="26"/>
  <c r="M706" i="26" s="1"/>
  <c r="O979" i="55"/>
  <c r="AD979" i="55"/>
  <c r="AI979" i="55"/>
  <c r="P979" i="55"/>
  <c r="Q979" i="55"/>
  <c r="K979" i="55"/>
  <c r="AL979" i="55"/>
  <c r="Z979" i="55"/>
  <c r="AF979" i="55"/>
  <c r="AG979" i="55"/>
  <c r="N979" i="55"/>
  <c r="AX979" i="55"/>
  <c r="AH979" i="55"/>
  <c r="M979" i="55"/>
  <c r="U979" i="55"/>
  <c r="AT979" i="55"/>
  <c r="S979" i="55"/>
  <c r="B979" i="55"/>
  <c r="F979" i="55"/>
  <c r="C979" i="55"/>
  <c r="AB979" i="55"/>
  <c r="A979" i="55"/>
  <c r="I979" i="55"/>
  <c r="W979" i="55"/>
  <c r="AC979" i="55"/>
  <c r="G979" i="55"/>
  <c r="AW979" i="55"/>
  <c r="V979" i="55"/>
  <c r="L979" i="55"/>
  <c r="AQ979" i="55"/>
  <c r="AN979" i="55"/>
  <c r="X979" i="55"/>
  <c r="D979" i="55"/>
  <c r="H979" i="55"/>
  <c r="AM979" i="55"/>
  <c r="AK979" i="55"/>
  <c r="AO979" i="55"/>
  <c r="AL762" i="55"/>
  <c r="O706" i="26" l="1"/>
  <c r="S706" i="26" s="1"/>
  <c r="T706" i="26" s="1"/>
  <c r="BL706" i="26" s="1"/>
  <c r="BC705" i="26"/>
  <c r="AJ706" i="26"/>
  <c r="AK706" i="26" s="1"/>
  <c r="N706" i="26"/>
  <c r="F706" i="26"/>
  <c r="R706" i="26" s="1"/>
  <c r="G706" i="26"/>
  <c r="D706" i="26"/>
  <c r="X706" i="26"/>
  <c r="BK706" i="26" s="1"/>
  <c r="AP706" i="26"/>
  <c r="V706" i="26"/>
  <c r="AO706" i="26" s="1"/>
  <c r="AS706" i="26"/>
  <c r="BJ706" i="26" s="1"/>
  <c r="U706" i="26"/>
  <c r="AF706" i="26" s="1"/>
  <c r="AN706" i="26" s="1"/>
  <c r="E980" i="55"/>
  <c r="AL761" i="55"/>
  <c r="BC706" i="26" l="1"/>
  <c r="BT705" i="26"/>
  <c r="AV705" i="55"/>
  <c r="AT706" i="26"/>
  <c r="P706" i="26"/>
  <c r="E707" i="26"/>
  <c r="AV706" i="55"/>
  <c r="BT706" i="26"/>
  <c r="Z980" i="55"/>
  <c r="O980" i="55"/>
  <c r="AD980" i="55"/>
  <c r="Q980" i="55"/>
  <c r="AI980" i="55"/>
  <c r="K980" i="55"/>
  <c r="P980" i="55"/>
  <c r="AK980" i="55"/>
  <c r="AF980" i="55"/>
  <c r="AO980" i="55"/>
  <c r="AG980" i="55"/>
  <c r="AL980" i="55"/>
  <c r="AN980" i="55"/>
  <c r="AQ980" i="55"/>
  <c r="F980" i="55"/>
  <c r="A980" i="55"/>
  <c r="B980" i="55"/>
  <c r="AT980" i="55"/>
  <c r="L980" i="55"/>
  <c r="V980" i="55"/>
  <c r="AH980" i="55"/>
  <c r="C980" i="55"/>
  <c r="N980" i="55"/>
  <c r="W980" i="55"/>
  <c r="H980" i="55"/>
  <c r="AW980" i="55"/>
  <c r="S980" i="55"/>
  <c r="AC980" i="55"/>
  <c r="AB980" i="55"/>
  <c r="AX980" i="55"/>
  <c r="AM980" i="55"/>
  <c r="M980" i="55"/>
  <c r="X980" i="55"/>
  <c r="G980" i="55"/>
  <c r="I980" i="55"/>
  <c r="U980" i="55"/>
  <c r="D980" i="55"/>
  <c r="AL760" i="55"/>
  <c r="AL706" i="26" l="1"/>
  <c r="AM706" i="26" s="1"/>
  <c r="AU706" i="26" s="1"/>
  <c r="A707" i="26"/>
  <c r="Q707" i="26"/>
  <c r="L707" i="26"/>
  <c r="H707" i="26"/>
  <c r="F707" i="26"/>
  <c r="R707" i="26" s="1"/>
  <c r="C707" i="26"/>
  <c r="U707" i="26" s="1"/>
  <c r="W707" i="26"/>
  <c r="B707" i="26"/>
  <c r="AS707" i="26"/>
  <c r="BJ707" i="26" s="1"/>
  <c r="D707" i="26"/>
  <c r="AP707" i="26"/>
  <c r="K707" i="26"/>
  <c r="M707" i="26" s="1"/>
  <c r="E981" i="55"/>
  <c r="AL759" i="55"/>
  <c r="V707" i="26" l="1"/>
  <c r="AF707" i="26"/>
  <c r="AN707" i="26" s="1"/>
  <c r="AJ707" i="26"/>
  <c r="AK707" i="26" s="1"/>
  <c r="N707" i="26"/>
  <c r="E708" i="26"/>
  <c r="G707" i="26"/>
  <c r="P707" i="26"/>
  <c r="O707" i="26"/>
  <c r="S707" i="26" s="1"/>
  <c r="T707" i="26" s="1"/>
  <c r="X707" i="26"/>
  <c r="O981" i="55"/>
  <c r="AF981" i="55"/>
  <c r="AI981" i="55"/>
  <c r="Q981" i="55"/>
  <c r="P981" i="55"/>
  <c r="K981" i="55"/>
  <c r="AO981" i="55"/>
  <c r="AK981" i="55"/>
  <c r="AL981" i="55"/>
  <c r="AD981" i="55"/>
  <c r="W981" i="55"/>
  <c r="X981" i="55"/>
  <c r="H981" i="55"/>
  <c r="F981" i="55"/>
  <c r="L981" i="55"/>
  <c r="G981" i="55"/>
  <c r="AC981" i="55"/>
  <c r="S981" i="55"/>
  <c r="U981" i="55"/>
  <c r="D981" i="55"/>
  <c r="AW981" i="55"/>
  <c r="N981" i="55"/>
  <c r="V981" i="55"/>
  <c r="I981" i="55"/>
  <c r="M981" i="55"/>
  <c r="AM981" i="55"/>
  <c r="B981" i="55"/>
  <c r="AQ981" i="55"/>
  <c r="AH981" i="55"/>
  <c r="AT981" i="55"/>
  <c r="A981" i="55"/>
  <c r="AX981" i="55"/>
  <c r="AB981" i="55"/>
  <c r="AN981" i="55"/>
  <c r="C981" i="55"/>
  <c r="Z981" i="55"/>
  <c r="AG981" i="55"/>
  <c r="AL758" i="55"/>
  <c r="AL707" i="26" l="1"/>
  <c r="AM707" i="26" s="1"/>
  <c r="AU707" i="26" s="1"/>
  <c r="BC707" i="26"/>
  <c r="BL707" i="26"/>
  <c r="A708" i="26"/>
  <c r="C708" i="26"/>
  <c r="V708" i="26" s="1"/>
  <c r="W708" i="26"/>
  <c r="H708" i="26"/>
  <c r="U708" i="26"/>
  <c r="Q708" i="26"/>
  <c r="B708" i="26"/>
  <c r="L708" i="26"/>
  <c r="K708" i="26"/>
  <c r="M708" i="26" s="1"/>
  <c r="G708" i="26"/>
  <c r="AP708" i="26"/>
  <c r="F708" i="26"/>
  <c r="R708" i="26" s="1"/>
  <c r="BK707" i="26"/>
  <c r="AO707" i="26"/>
  <c r="AT707" i="26" s="1"/>
  <c r="E982" i="55"/>
  <c r="AL757" i="55"/>
  <c r="X708" i="26" l="1"/>
  <c r="BK708" i="26" s="1"/>
  <c r="N708" i="26"/>
  <c r="AJ708" i="26"/>
  <c r="AK708" i="26" s="1"/>
  <c r="D708" i="26"/>
  <c r="O708" i="26" s="1"/>
  <c r="S708" i="26" s="1"/>
  <c r="T708" i="26" s="1"/>
  <c r="AS708" i="26"/>
  <c r="BJ708" i="26" s="1"/>
  <c r="AO708" i="26"/>
  <c r="AT708" i="26" s="1"/>
  <c r="AF708" i="26"/>
  <c r="AN708" i="26" s="1"/>
  <c r="AV707" i="55"/>
  <c r="BT707" i="26"/>
  <c r="O982" i="55"/>
  <c r="AD982" i="55"/>
  <c r="AI982" i="55"/>
  <c r="Q982" i="55"/>
  <c r="K982" i="55"/>
  <c r="P982" i="55"/>
  <c r="AL982" i="55"/>
  <c r="AO982" i="55"/>
  <c r="AG982" i="55"/>
  <c r="Z982" i="55"/>
  <c r="AF982" i="55"/>
  <c r="AK982" i="55"/>
  <c r="AX982" i="55"/>
  <c r="AN982" i="55"/>
  <c r="H982" i="55"/>
  <c r="X982" i="55"/>
  <c r="AM982" i="55"/>
  <c r="F982" i="55"/>
  <c r="S982" i="55"/>
  <c r="AC982" i="55"/>
  <c r="AT982" i="55"/>
  <c r="L982" i="55"/>
  <c r="M982" i="55"/>
  <c r="AQ982" i="55"/>
  <c r="B982" i="55"/>
  <c r="W982" i="55"/>
  <c r="C982" i="55"/>
  <c r="G982" i="55"/>
  <c r="N982" i="55"/>
  <c r="D982" i="55"/>
  <c r="AH982" i="55"/>
  <c r="AW982" i="55"/>
  <c r="U982" i="55"/>
  <c r="AB982" i="55"/>
  <c r="A982" i="55"/>
  <c r="V982" i="55"/>
  <c r="I982" i="55"/>
  <c r="AL756" i="55"/>
  <c r="BC708" i="26" l="1"/>
  <c r="AV708" i="55" s="1"/>
  <c r="BL708" i="26"/>
  <c r="E709" i="26"/>
  <c r="P708" i="26"/>
  <c r="E983" i="55"/>
  <c r="AL755" i="55"/>
  <c r="BT708" i="26" l="1"/>
  <c r="AL708" i="26"/>
  <c r="AM708" i="26" s="1"/>
  <c r="AU708" i="26" s="1"/>
  <c r="L709" i="26"/>
  <c r="H709" i="26"/>
  <c r="A709" i="26"/>
  <c r="C709" i="26"/>
  <c r="Q709" i="26"/>
  <c r="W709" i="26"/>
  <c r="B709" i="26"/>
  <c r="G709" i="26" s="1"/>
  <c r="AS709" i="26"/>
  <c r="BJ709" i="26" s="1"/>
  <c r="X709" i="26"/>
  <c r="D709" i="26"/>
  <c r="O709" i="26" s="1"/>
  <c r="U709" i="26"/>
  <c r="AF709" i="26" s="1"/>
  <c r="AN709" i="26" s="1"/>
  <c r="K709" i="26"/>
  <c r="M709" i="26" s="1"/>
  <c r="N709" i="26" s="1"/>
  <c r="P709" i="26"/>
  <c r="O983" i="55"/>
  <c r="AD983" i="55"/>
  <c r="AI983" i="55"/>
  <c r="Q983" i="55"/>
  <c r="P983" i="55"/>
  <c r="K983" i="55"/>
  <c r="AK983" i="55"/>
  <c r="AO983" i="55"/>
  <c r="AF983" i="55"/>
  <c r="AL983" i="55"/>
  <c r="AG983" i="55"/>
  <c r="Z983" i="55"/>
  <c r="W983" i="55"/>
  <c r="S983" i="55"/>
  <c r="X983" i="55"/>
  <c r="H983" i="55"/>
  <c r="M983" i="55"/>
  <c r="AN983" i="55"/>
  <c r="I983" i="55"/>
  <c r="V983" i="55"/>
  <c r="B983" i="55"/>
  <c r="N983" i="55"/>
  <c r="A983" i="55"/>
  <c r="AX983" i="55"/>
  <c r="C983" i="55"/>
  <c r="AQ983" i="55"/>
  <c r="AC983" i="55"/>
  <c r="AT983" i="55"/>
  <c r="D983" i="55"/>
  <c r="AH983" i="55"/>
  <c r="AB983" i="55"/>
  <c r="AW983" i="55"/>
  <c r="F983" i="55"/>
  <c r="G983" i="55"/>
  <c r="AM983" i="55"/>
  <c r="U983" i="55"/>
  <c r="L983" i="55"/>
  <c r="AL754" i="55"/>
  <c r="AJ709" i="26" l="1"/>
  <c r="AK709" i="26" s="1"/>
  <c r="AP709" i="26"/>
  <c r="F709" i="26"/>
  <c r="R709" i="26" s="1"/>
  <c r="V709" i="26"/>
  <c r="AO709" i="26" s="1"/>
  <c r="E710" i="26"/>
  <c r="E984" i="55"/>
  <c r="AL753" i="55"/>
  <c r="S709" i="26" l="1"/>
  <c r="T709" i="26" s="1"/>
  <c r="AT709" i="26"/>
  <c r="B710" i="26"/>
  <c r="A710" i="26"/>
  <c r="Q710" i="26"/>
  <c r="W710" i="26"/>
  <c r="C710" i="26"/>
  <c r="L710" i="26"/>
  <c r="H710" i="26"/>
  <c r="F710" i="26"/>
  <c r="X710" i="26"/>
  <c r="K710" i="26"/>
  <c r="M710" i="26" s="1"/>
  <c r="U710" i="26"/>
  <c r="AF710" i="26" s="1"/>
  <c r="AN710" i="26" s="1"/>
  <c r="G710" i="26"/>
  <c r="AP710" i="26"/>
  <c r="D710" i="26"/>
  <c r="O710" i="26" s="1"/>
  <c r="AS710" i="26"/>
  <c r="BJ710" i="26" s="1"/>
  <c r="BK709" i="26"/>
  <c r="O984" i="55"/>
  <c r="AO984" i="55"/>
  <c r="AF984" i="55"/>
  <c r="Z984" i="55"/>
  <c r="AK984" i="55"/>
  <c r="AD984" i="55"/>
  <c r="AI984" i="55"/>
  <c r="Q984" i="55"/>
  <c r="P984" i="55"/>
  <c r="K984" i="55"/>
  <c r="AG984" i="55"/>
  <c r="AL984" i="55"/>
  <c r="AX984" i="55"/>
  <c r="W984" i="55"/>
  <c r="AQ984" i="55"/>
  <c r="B984" i="55"/>
  <c r="N984" i="55"/>
  <c r="H984" i="55"/>
  <c r="C984" i="55"/>
  <c r="AT984" i="55"/>
  <c r="L984" i="55"/>
  <c r="M984" i="55"/>
  <c r="X984" i="55"/>
  <c r="AM984" i="55"/>
  <c r="I984" i="55"/>
  <c r="A984" i="55"/>
  <c r="V984" i="55"/>
  <c r="AC984" i="55"/>
  <c r="AH984" i="55"/>
  <c r="U984" i="55"/>
  <c r="AW984" i="55"/>
  <c r="F984" i="55"/>
  <c r="D984" i="55"/>
  <c r="G984" i="55"/>
  <c r="S984" i="55"/>
  <c r="AB984" i="55"/>
  <c r="AN984" i="55"/>
  <c r="AL752" i="55"/>
  <c r="AL709" i="26" l="1"/>
  <c r="AM709" i="26" s="1"/>
  <c r="AU709" i="26" s="1"/>
  <c r="N710" i="26"/>
  <c r="AJ710" i="26"/>
  <c r="AK710" i="26" s="1"/>
  <c r="R710" i="26"/>
  <c r="BK710" i="26"/>
  <c r="BL709" i="26"/>
  <c r="BC709" i="26"/>
  <c r="P710" i="26"/>
  <c r="V710" i="26"/>
  <c r="AO710" i="26" s="1"/>
  <c r="AT710" i="26" s="1"/>
  <c r="E711" i="26"/>
  <c r="E985" i="55"/>
  <c r="AL751" i="55"/>
  <c r="AL710" i="26" l="1"/>
  <c r="AM710" i="26" s="1"/>
  <c r="AU710" i="26" s="1"/>
  <c r="S710" i="26"/>
  <c r="T710" i="26" s="1"/>
  <c r="BL710" i="26" s="1"/>
  <c r="L711" i="26"/>
  <c r="Q711" i="26"/>
  <c r="W711" i="26"/>
  <c r="A711" i="26"/>
  <c r="C711" i="26"/>
  <c r="B711" i="26"/>
  <c r="H711" i="26"/>
  <c r="K711" i="26"/>
  <c r="F711" i="26"/>
  <c r="G711" i="26"/>
  <c r="X711" i="26"/>
  <c r="D711" i="26"/>
  <c r="O711" i="26" s="1"/>
  <c r="P711" i="26"/>
  <c r="BT709" i="26"/>
  <c r="AV709" i="55"/>
  <c r="O985" i="55"/>
  <c r="AK985" i="55"/>
  <c r="AI985" i="55"/>
  <c r="Q985" i="55"/>
  <c r="P985" i="55"/>
  <c r="K985" i="55"/>
  <c r="AG985" i="55"/>
  <c r="AD985" i="55"/>
  <c r="AO985" i="55"/>
  <c r="AL985" i="55"/>
  <c r="Z985" i="55"/>
  <c r="AF985" i="55"/>
  <c r="A985" i="55"/>
  <c r="AT985" i="55"/>
  <c r="AM985" i="55"/>
  <c r="AN985" i="55"/>
  <c r="N985" i="55"/>
  <c r="AQ985" i="55"/>
  <c r="W985" i="55"/>
  <c r="X985" i="55"/>
  <c r="F985" i="55"/>
  <c r="C985" i="55"/>
  <c r="D985" i="55"/>
  <c r="AX985" i="55"/>
  <c r="S985" i="55"/>
  <c r="AW985" i="55"/>
  <c r="G985" i="55"/>
  <c r="H985" i="55"/>
  <c r="U985" i="55"/>
  <c r="AB985" i="55"/>
  <c r="L985" i="55"/>
  <c r="M985" i="55"/>
  <c r="V985" i="55"/>
  <c r="AC985" i="55"/>
  <c r="I985" i="55"/>
  <c r="AH985" i="55"/>
  <c r="B985" i="55"/>
  <c r="AL750" i="55"/>
  <c r="U711" i="26" l="1"/>
  <c r="AF711" i="26" s="1"/>
  <c r="AN711" i="26" s="1"/>
  <c r="AP711" i="26"/>
  <c r="BC710" i="26"/>
  <c r="R711" i="26"/>
  <c r="AL711" i="26" s="1"/>
  <c r="V711" i="26"/>
  <c r="M711" i="26"/>
  <c r="AS711" i="26"/>
  <c r="BJ711" i="26" s="1"/>
  <c r="E712" i="26"/>
  <c r="E986" i="55"/>
  <c r="AL749" i="55"/>
  <c r="AO711" i="26" l="1"/>
  <c r="AT711" i="26" s="1"/>
  <c r="BK711" i="26"/>
  <c r="L712" i="26"/>
  <c r="B712" i="26"/>
  <c r="D712" i="26" s="1"/>
  <c r="H712" i="26"/>
  <c r="C712" i="26"/>
  <c r="Q712" i="26"/>
  <c r="AS712" i="26"/>
  <c r="BJ712" i="26" s="1"/>
  <c r="U712" i="26"/>
  <c r="AF712" i="26" s="1"/>
  <c r="AN712" i="26" s="1"/>
  <c r="W712" i="26"/>
  <c r="A712" i="26"/>
  <c r="F712" i="26"/>
  <c r="O712" i="26"/>
  <c r="X712" i="26"/>
  <c r="AP712" i="26"/>
  <c r="G712" i="26"/>
  <c r="P712" i="26"/>
  <c r="K712" i="26"/>
  <c r="M712" i="26" s="1"/>
  <c r="N712" i="26" s="1"/>
  <c r="AM711" i="26"/>
  <c r="AU711" i="26" s="1"/>
  <c r="BT710" i="26"/>
  <c r="AV710" i="55"/>
  <c r="N711" i="26"/>
  <c r="AJ711" i="26"/>
  <c r="AK711" i="26" s="1"/>
  <c r="S711" i="26"/>
  <c r="T711" i="26" s="1"/>
  <c r="BL711" i="26" s="1"/>
  <c r="O986" i="55"/>
  <c r="Z986" i="55"/>
  <c r="Q986" i="55"/>
  <c r="AI986" i="55"/>
  <c r="K986" i="55"/>
  <c r="P986" i="55"/>
  <c r="AD986" i="55"/>
  <c r="AL986" i="55"/>
  <c r="AO986" i="55"/>
  <c r="AF986" i="55"/>
  <c r="U986" i="55"/>
  <c r="H986" i="55"/>
  <c r="X986" i="55"/>
  <c r="C986" i="55"/>
  <c r="F986" i="55"/>
  <c r="S986" i="55"/>
  <c r="N986" i="55"/>
  <c r="AM986" i="55"/>
  <c r="AC986" i="55"/>
  <c r="AW986" i="55"/>
  <c r="AB986" i="55"/>
  <c r="AQ986" i="55"/>
  <c r="L986" i="55"/>
  <c r="AH986" i="55"/>
  <c r="AX986" i="55"/>
  <c r="I986" i="55"/>
  <c r="M986" i="55"/>
  <c r="W986" i="55"/>
  <c r="AN986" i="55"/>
  <c r="A986" i="55"/>
  <c r="AT986" i="55"/>
  <c r="V986" i="55"/>
  <c r="G986" i="55"/>
  <c r="D986" i="55"/>
  <c r="B986" i="55"/>
  <c r="AK986" i="55"/>
  <c r="AG986" i="55"/>
  <c r="AL748" i="55"/>
  <c r="AJ712" i="26" l="1"/>
  <c r="AK712" i="26" s="1"/>
  <c r="BC711" i="26"/>
  <c r="AV711" i="55" s="1"/>
  <c r="BK712" i="26"/>
  <c r="R712" i="26"/>
  <c r="AL712" i="26" s="1"/>
  <c r="V712" i="26"/>
  <c r="AO712" i="26" s="1"/>
  <c r="AT712" i="26" s="1"/>
  <c r="E713" i="26"/>
  <c r="E987" i="55"/>
  <c r="AL747" i="55"/>
  <c r="BT711" i="26" l="1"/>
  <c r="H713" i="26"/>
  <c r="A713" i="26"/>
  <c r="B713" i="26"/>
  <c r="D713" i="26" s="1"/>
  <c r="C713" i="26"/>
  <c r="Q713" i="26"/>
  <c r="AP713" i="26"/>
  <c r="W713" i="26"/>
  <c r="L713" i="26"/>
  <c r="V713" i="26"/>
  <c r="X713" i="26"/>
  <c r="F713" i="26"/>
  <c r="R713" i="26" s="1"/>
  <c r="P713" i="26"/>
  <c r="O713" i="26"/>
  <c r="K713" i="26"/>
  <c r="M713" i="26" s="1"/>
  <c r="G713" i="26"/>
  <c r="AM712" i="26"/>
  <c r="AU712" i="26" s="1"/>
  <c r="S712" i="26"/>
  <c r="T712" i="26" s="1"/>
  <c r="O987" i="55"/>
  <c r="AI987" i="55"/>
  <c r="P987" i="55"/>
  <c r="Q987" i="55"/>
  <c r="K987" i="55"/>
  <c r="AL987" i="55"/>
  <c r="H987" i="55"/>
  <c r="AB987" i="55"/>
  <c r="C987" i="55"/>
  <c r="X987" i="55"/>
  <c r="AM987" i="55"/>
  <c r="AW987" i="55"/>
  <c r="W987" i="55"/>
  <c r="AC987" i="55"/>
  <c r="V987" i="55"/>
  <c r="AX987" i="55"/>
  <c r="M987" i="55"/>
  <c r="AT987" i="55"/>
  <c r="S987" i="55"/>
  <c r="A987" i="55"/>
  <c r="D987" i="55"/>
  <c r="AQ987" i="55"/>
  <c r="G987" i="55"/>
  <c r="F987" i="55"/>
  <c r="L987" i="55"/>
  <c r="AN987" i="55"/>
  <c r="AH987" i="55"/>
  <c r="B987" i="55"/>
  <c r="I987" i="55"/>
  <c r="U987" i="55"/>
  <c r="N987" i="55"/>
  <c r="AF987" i="55"/>
  <c r="AK987" i="55"/>
  <c r="AD987" i="55"/>
  <c r="AO987" i="55"/>
  <c r="AG987" i="55"/>
  <c r="Z987" i="55"/>
  <c r="AL746" i="55"/>
  <c r="AJ713" i="26" l="1"/>
  <c r="AK713" i="26" s="1"/>
  <c r="AO713" i="26"/>
  <c r="AT713" i="26" s="1"/>
  <c r="AL713" i="26"/>
  <c r="AM713" i="26" s="1"/>
  <c r="AU713" i="26" s="1"/>
  <c r="BK713" i="26"/>
  <c r="BL712" i="26"/>
  <c r="BC712" i="26"/>
  <c r="N713" i="26"/>
  <c r="U713" i="26"/>
  <c r="AF713" i="26" s="1"/>
  <c r="AN713" i="26" s="1"/>
  <c r="E714" i="26"/>
  <c r="S713" i="26"/>
  <c r="T713" i="26" s="1"/>
  <c r="BL713" i="26" s="1"/>
  <c r="E988" i="55"/>
  <c r="AL745" i="55"/>
  <c r="C714" i="26" l="1"/>
  <c r="W714" i="26"/>
  <c r="A714" i="26"/>
  <c r="B714" i="26"/>
  <c r="D714" i="26" s="1"/>
  <c r="AO714" i="26"/>
  <c r="Q714" i="26"/>
  <c r="L714" i="26"/>
  <c r="H714" i="26"/>
  <c r="K714" i="26"/>
  <c r="M714" i="26" s="1"/>
  <c r="N714" i="26" s="1"/>
  <c r="O714" i="26"/>
  <c r="G714" i="26"/>
  <c r="V714" i="26"/>
  <c r="X714" i="26"/>
  <c r="BK714" i="26" s="1"/>
  <c r="U714" i="26"/>
  <c r="AF714" i="26" s="1"/>
  <c r="AN714" i="26" s="1"/>
  <c r="P714" i="26"/>
  <c r="BC713" i="26"/>
  <c r="AV712" i="55"/>
  <c r="BT712" i="26"/>
  <c r="O988" i="55"/>
  <c r="AL988" i="55"/>
  <c r="AI988" i="55"/>
  <c r="Q988" i="55"/>
  <c r="K988" i="55"/>
  <c r="P988" i="55"/>
  <c r="AG988" i="55"/>
  <c r="AK988" i="55"/>
  <c r="AD988" i="55"/>
  <c r="AF988" i="55"/>
  <c r="Z988" i="55"/>
  <c r="AO988" i="55"/>
  <c r="H988" i="55"/>
  <c r="N988" i="55"/>
  <c r="A988" i="55"/>
  <c r="AC988" i="55"/>
  <c r="X988" i="55"/>
  <c r="AH988" i="55"/>
  <c r="AT988" i="55"/>
  <c r="AM988" i="55"/>
  <c r="W988" i="55"/>
  <c r="V988" i="55"/>
  <c r="AB988" i="55"/>
  <c r="D988" i="55"/>
  <c r="G988" i="55"/>
  <c r="B988" i="55"/>
  <c r="S988" i="55"/>
  <c r="I988" i="55"/>
  <c r="C988" i="55"/>
  <c r="AN988" i="55"/>
  <c r="AW988" i="55"/>
  <c r="M988" i="55"/>
  <c r="F988" i="55"/>
  <c r="AX988" i="55"/>
  <c r="AQ988" i="55"/>
  <c r="L988" i="55"/>
  <c r="U988" i="55"/>
  <c r="AL744" i="55"/>
  <c r="AJ714" i="26" l="1"/>
  <c r="AK714" i="26" s="1"/>
  <c r="BT713" i="26"/>
  <c r="AV713" i="55"/>
  <c r="AP714" i="26"/>
  <c r="AT714" i="26" s="1"/>
  <c r="AS714" i="26"/>
  <c r="BJ714" i="26" s="1"/>
  <c r="E715" i="26"/>
  <c r="F714" i="26"/>
  <c r="R714" i="26" s="1"/>
  <c r="AL714" i="26" s="1"/>
  <c r="E989" i="55"/>
  <c r="AL743" i="55"/>
  <c r="S714" i="26" l="1"/>
  <c r="T714" i="26" s="1"/>
  <c r="AM714" i="26"/>
  <c r="AU714" i="26" s="1"/>
  <c r="B715" i="26"/>
  <c r="A715" i="26"/>
  <c r="L715" i="26"/>
  <c r="C715" i="26"/>
  <c r="Q715" i="26"/>
  <c r="H715" i="26"/>
  <c r="D715" i="26"/>
  <c r="U715" i="26"/>
  <c r="AF715" i="26" s="1"/>
  <c r="AN715" i="26" s="1"/>
  <c r="W715" i="26"/>
  <c r="F715" i="26"/>
  <c r="R715" i="26" s="1"/>
  <c r="K715" i="26"/>
  <c r="M715" i="26" s="1"/>
  <c r="N715" i="26" s="1"/>
  <c r="V715" i="26"/>
  <c r="G715" i="26"/>
  <c r="AP715" i="26"/>
  <c r="X715" i="26"/>
  <c r="BK715" i="26" s="1"/>
  <c r="AO989" i="55"/>
  <c r="AK989" i="55"/>
  <c r="O989" i="55"/>
  <c r="AI989" i="55"/>
  <c r="Q989" i="55"/>
  <c r="P989" i="55"/>
  <c r="K989" i="55"/>
  <c r="F989" i="55"/>
  <c r="AX989" i="55"/>
  <c r="AQ989" i="55"/>
  <c r="N989" i="55"/>
  <c r="V989" i="55"/>
  <c r="AT989" i="55"/>
  <c r="H989" i="55"/>
  <c r="A989" i="55"/>
  <c r="G989" i="55"/>
  <c r="W989" i="55"/>
  <c r="U989" i="55"/>
  <c r="AN989" i="55"/>
  <c r="D989" i="55"/>
  <c r="AM989" i="55"/>
  <c r="B989" i="55"/>
  <c r="X989" i="55"/>
  <c r="AH989" i="55"/>
  <c r="L989" i="55"/>
  <c r="S989" i="55"/>
  <c r="M989" i="55"/>
  <c r="AB989" i="55"/>
  <c r="AC989" i="55"/>
  <c r="C989" i="55"/>
  <c r="I989" i="55"/>
  <c r="AW989" i="55"/>
  <c r="AF989" i="55"/>
  <c r="AG989" i="55"/>
  <c r="Z989" i="55"/>
  <c r="AD989" i="55"/>
  <c r="AL989" i="55"/>
  <c r="AL742" i="55"/>
  <c r="AJ715" i="26" l="1"/>
  <c r="AK715" i="26" s="1"/>
  <c r="O715" i="26"/>
  <c r="S715" i="26" s="1"/>
  <c r="T715" i="26" s="1"/>
  <c r="BL715" i="26" s="1"/>
  <c r="P715" i="26"/>
  <c r="AS715" i="26"/>
  <c r="BJ715" i="26" s="1"/>
  <c r="E716" i="26"/>
  <c r="AO715" i="26"/>
  <c r="AT715" i="26" s="1"/>
  <c r="BL714" i="26"/>
  <c r="BC714" i="26"/>
  <c r="E990" i="55"/>
  <c r="AL741" i="55"/>
  <c r="AL715" i="26" l="1"/>
  <c r="AM715" i="26" s="1"/>
  <c r="AU715" i="26" s="1"/>
  <c r="A716" i="26"/>
  <c r="Q716" i="26"/>
  <c r="W716" i="26"/>
  <c r="L716" i="26"/>
  <c r="B716" i="26"/>
  <c r="C716" i="26"/>
  <c r="X716" i="26" s="1"/>
  <c r="H716" i="26"/>
  <c r="D716" i="26"/>
  <c r="U716" i="26"/>
  <c r="AF716" i="26" s="1"/>
  <c r="AN716" i="26" s="1"/>
  <c r="K716" i="26"/>
  <c r="M716" i="26" s="1"/>
  <c r="N716" i="26" s="1"/>
  <c r="AS716" i="26"/>
  <c r="BJ716" i="26" s="1"/>
  <c r="G716" i="26"/>
  <c r="F716" i="26"/>
  <c r="R716" i="26" s="1"/>
  <c r="O716" i="26"/>
  <c r="S716" i="26" s="1"/>
  <c r="T716" i="26" s="1"/>
  <c r="BL716" i="26" s="1"/>
  <c r="P716" i="26"/>
  <c r="BC715" i="26"/>
  <c r="AV714" i="55"/>
  <c r="BT714" i="26"/>
  <c r="O990" i="55"/>
  <c r="AF990" i="55"/>
  <c r="AK990" i="55"/>
  <c r="AI990" i="55"/>
  <c r="Q990" i="55"/>
  <c r="K990" i="55"/>
  <c r="P990" i="55"/>
  <c r="AD990" i="55"/>
  <c r="AG990" i="55"/>
  <c r="AO990" i="55"/>
  <c r="AT990" i="55"/>
  <c r="W990" i="55"/>
  <c r="AX990" i="55"/>
  <c r="V990" i="55"/>
  <c r="H990" i="55"/>
  <c r="G990" i="55"/>
  <c r="F990" i="55"/>
  <c r="N990" i="55"/>
  <c r="M990" i="55"/>
  <c r="AW990" i="55"/>
  <c r="AN990" i="55"/>
  <c r="U990" i="55"/>
  <c r="AH990" i="55"/>
  <c r="D990" i="55"/>
  <c r="L990" i="55"/>
  <c r="AC990" i="55"/>
  <c r="I990" i="55"/>
  <c r="S990" i="55"/>
  <c r="X990" i="55"/>
  <c r="AQ990" i="55"/>
  <c r="C990" i="55"/>
  <c r="AB990" i="55"/>
  <c r="B990" i="55"/>
  <c r="A990" i="55"/>
  <c r="AM990" i="55"/>
  <c r="AL990" i="55"/>
  <c r="Z990" i="55"/>
  <c r="AL740" i="55"/>
  <c r="AJ716" i="26" l="1"/>
  <c r="AK716" i="26" s="1"/>
  <c r="AL716" i="26"/>
  <c r="AM716" i="26" s="1"/>
  <c r="AU716" i="26" s="1"/>
  <c r="BC716" i="26"/>
  <c r="AV715" i="55"/>
  <c r="BT715" i="26"/>
  <c r="V716" i="26"/>
  <c r="AO716" i="26" s="1"/>
  <c r="E717" i="26"/>
  <c r="AP716" i="26"/>
  <c r="E991" i="55"/>
  <c r="AL739" i="55"/>
  <c r="C717" i="26" l="1"/>
  <c r="O717" i="26"/>
  <c r="S717" i="26" s="1"/>
  <c r="T717" i="26" s="1"/>
  <c r="BL717" i="26" s="1"/>
  <c r="L717" i="26"/>
  <c r="H717" i="26"/>
  <c r="Q717" i="26"/>
  <c r="B717" i="26"/>
  <c r="D717" i="26" s="1"/>
  <c r="F717" i="26"/>
  <c r="A717" i="26"/>
  <c r="W717" i="26"/>
  <c r="X717" i="26"/>
  <c r="R717" i="26"/>
  <c r="K717" i="26"/>
  <c r="M717" i="26" s="1"/>
  <c r="N717" i="26" s="1"/>
  <c r="AV716" i="55"/>
  <c r="BT716" i="26"/>
  <c r="AT716" i="26"/>
  <c r="BK716" i="26"/>
  <c r="O991" i="55"/>
  <c r="Q991" i="55"/>
  <c r="P991" i="55"/>
  <c r="AI991" i="55"/>
  <c r="K991" i="55"/>
  <c r="AO991" i="55"/>
  <c r="AK991" i="55"/>
  <c r="AD991" i="55"/>
  <c r="M991" i="55"/>
  <c r="L991" i="55"/>
  <c r="AQ991" i="55"/>
  <c r="W991" i="55"/>
  <c r="S991" i="55"/>
  <c r="U991" i="55"/>
  <c r="B991" i="55"/>
  <c r="C991" i="55"/>
  <c r="I991" i="55"/>
  <c r="X991" i="55"/>
  <c r="N991" i="55"/>
  <c r="AX991" i="55"/>
  <c r="AB991" i="55"/>
  <c r="AT991" i="55"/>
  <c r="AW991" i="55"/>
  <c r="D991" i="55"/>
  <c r="F991" i="55"/>
  <c r="H991" i="55"/>
  <c r="G991" i="55"/>
  <c r="V991" i="55"/>
  <c r="A991" i="55"/>
  <c r="AM991" i="55"/>
  <c r="AC991" i="55"/>
  <c r="AH991" i="55"/>
  <c r="AN991" i="55"/>
  <c r="AG991" i="55"/>
  <c r="Z991" i="55"/>
  <c r="AL991" i="55"/>
  <c r="AF991" i="55"/>
  <c r="AL738" i="55"/>
  <c r="V717" i="26" l="1"/>
  <c r="AO717" i="26" s="1"/>
  <c r="E718" i="26"/>
  <c r="AS717" i="26"/>
  <c r="BJ717" i="26" s="1"/>
  <c r="U717" i="26"/>
  <c r="AF717" i="26" s="1"/>
  <c r="AN717" i="26" s="1"/>
  <c r="P717" i="26"/>
  <c r="G717" i="26"/>
  <c r="AJ717" i="26"/>
  <c r="AK717" i="26" s="1"/>
  <c r="AP717" i="26"/>
  <c r="E992" i="55"/>
  <c r="AL737" i="55"/>
  <c r="AL717" i="26" l="1"/>
  <c r="AM717" i="26" s="1"/>
  <c r="AU717" i="26" s="1"/>
  <c r="AT717" i="26"/>
  <c r="C718" i="26"/>
  <c r="V718" i="26" s="1"/>
  <c r="L718" i="26"/>
  <c r="W718" i="26"/>
  <c r="H718" i="26"/>
  <c r="A718" i="26"/>
  <c r="B718" i="26"/>
  <c r="K718" i="26" s="1"/>
  <c r="M718" i="26" s="1"/>
  <c r="Q718" i="26"/>
  <c r="AP718" i="26"/>
  <c r="D718" i="26"/>
  <c r="F718" i="26"/>
  <c r="R718" i="26" s="1"/>
  <c r="O718" i="26"/>
  <c r="S718" i="26" s="1"/>
  <c r="T718" i="26" s="1"/>
  <c r="BL718" i="26" s="1"/>
  <c r="BK717" i="26"/>
  <c r="BC717" i="26"/>
  <c r="O992" i="55"/>
  <c r="Z992" i="55"/>
  <c r="AI992" i="55"/>
  <c r="Q992" i="55"/>
  <c r="P992" i="55"/>
  <c r="K992" i="55"/>
  <c r="AG992" i="55"/>
  <c r="AF992" i="55"/>
  <c r="AO992" i="55"/>
  <c r="AL992" i="55"/>
  <c r="AD992" i="55"/>
  <c r="V992" i="55"/>
  <c r="H992" i="55"/>
  <c r="AX992" i="55"/>
  <c r="AB992" i="55"/>
  <c r="A992" i="55"/>
  <c r="C992" i="55"/>
  <c r="M992" i="55"/>
  <c r="AH992" i="55"/>
  <c r="AW992" i="55"/>
  <c r="G992" i="55"/>
  <c r="S992" i="55"/>
  <c r="AQ992" i="55"/>
  <c r="X992" i="55"/>
  <c r="F992" i="55"/>
  <c r="N992" i="55"/>
  <c r="D992" i="55"/>
  <c r="W992" i="55"/>
  <c r="AM992" i="55"/>
  <c r="AN992" i="55"/>
  <c r="AT992" i="55"/>
  <c r="L992" i="55"/>
  <c r="B992" i="55"/>
  <c r="U992" i="55"/>
  <c r="AC992" i="55"/>
  <c r="I992" i="55"/>
  <c r="AK992" i="55"/>
  <c r="AL736" i="55"/>
  <c r="AO718" i="26" l="1"/>
  <c r="AT718" i="26" s="1"/>
  <c r="N718" i="26"/>
  <c r="AJ718" i="26"/>
  <c r="AK718" i="26" s="1"/>
  <c r="U718" i="26"/>
  <c r="AF718" i="26" s="1"/>
  <c r="AN718" i="26" s="1"/>
  <c r="G718" i="26"/>
  <c r="AV717" i="55"/>
  <c r="BT717" i="26"/>
  <c r="E719" i="26"/>
  <c r="X718" i="26"/>
  <c r="BK718" i="26" s="1"/>
  <c r="P718" i="26"/>
  <c r="AL718" i="26" s="1"/>
  <c r="AS718" i="26"/>
  <c r="BJ718" i="26" s="1"/>
  <c r="E993" i="55"/>
  <c r="AL735" i="55"/>
  <c r="AM718" i="26" l="1"/>
  <c r="AU718" i="26" s="1"/>
  <c r="BC718" i="26"/>
  <c r="A719" i="26"/>
  <c r="L719" i="26"/>
  <c r="W719" i="26"/>
  <c r="Q719" i="26"/>
  <c r="C719" i="26"/>
  <c r="U719" i="26" s="1"/>
  <c r="AF719" i="26" s="1"/>
  <c r="AN719" i="26" s="1"/>
  <c r="H719" i="26"/>
  <c r="B719" i="26"/>
  <c r="D719" i="26" s="1"/>
  <c r="F719" i="26"/>
  <c r="R719" i="26"/>
  <c r="O719" i="26"/>
  <c r="S719" i="26" s="1"/>
  <c r="T719" i="26" s="1"/>
  <c r="BL719" i="26" s="1"/>
  <c r="K719" i="26"/>
  <c r="M719" i="26" s="1"/>
  <c r="AJ719" i="26" s="1"/>
  <c r="AK719" i="26" s="1"/>
  <c r="P719" i="26"/>
  <c r="O993" i="55"/>
  <c r="AF993" i="55"/>
  <c r="AI993" i="55"/>
  <c r="Q993" i="55"/>
  <c r="P993" i="55"/>
  <c r="K993" i="55"/>
  <c r="AO993" i="55"/>
  <c r="AG993" i="55"/>
  <c r="B993" i="55"/>
  <c r="AT993" i="55"/>
  <c r="G993" i="55"/>
  <c r="M993" i="55"/>
  <c r="V993" i="55"/>
  <c r="X993" i="55"/>
  <c r="I993" i="55"/>
  <c r="F993" i="55"/>
  <c r="C993" i="55"/>
  <c r="AX993" i="55"/>
  <c r="AW993" i="55"/>
  <c r="W993" i="55"/>
  <c r="AH993" i="55"/>
  <c r="H993" i="55"/>
  <c r="N993" i="55"/>
  <c r="AQ993" i="55"/>
  <c r="U993" i="55"/>
  <c r="AC993" i="55"/>
  <c r="AN993" i="55"/>
  <c r="S993" i="55"/>
  <c r="AM993" i="55"/>
  <c r="L993" i="55"/>
  <c r="D993" i="55"/>
  <c r="A993" i="55"/>
  <c r="AB993" i="55"/>
  <c r="AL993" i="55"/>
  <c r="AD993" i="55"/>
  <c r="AK993" i="55"/>
  <c r="Z993" i="55"/>
  <c r="AL734" i="55"/>
  <c r="N719" i="26" l="1"/>
  <c r="X719" i="26"/>
  <c r="V719" i="26"/>
  <c r="E720" i="26"/>
  <c r="AP719" i="26"/>
  <c r="AL719" i="26"/>
  <c r="AS719" i="26"/>
  <c r="BJ719" i="26" s="1"/>
  <c r="G719" i="26"/>
  <c r="BC719" i="26"/>
  <c r="AV718" i="55"/>
  <c r="BT718" i="26"/>
  <c r="E994" i="55"/>
  <c r="AL733" i="55"/>
  <c r="AM719" i="26" l="1"/>
  <c r="AU719" i="26" s="1"/>
  <c r="AV719" i="55"/>
  <c r="BT719" i="26"/>
  <c r="C720" i="26"/>
  <c r="Q720" i="26"/>
  <c r="A720" i="26"/>
  <c r="H720" i="26"/>
  <c r="W720" i="26"/>
  <c r="B720" i="26"/>
  <c r="D720" i="26" s="1"/>
  <c r="L720" i="26"/>
  <c r="O720" i="26"/>
  <c r="S720" i="26" s="1"/>
  <c r="T720" i="26" s="1"/>
  <c r="P720" i="26"/>
  <c r="G720" i="26"/>
  <c r="K720" i="26"/>
  <c r="M720" i="26" s="1"/>
  <c r="F720" i="26"/>
  <c r="R720" i="26" s="1"/>
  <c r="AO719" i="26"/>
  <c r="AT719" i="26" s="1"/>
  <c r="BK719" i="26"/>
  <c r="O994" i="55"/>
  <c r="AD994" i="55"/>
  <c r="Z994" i="55"/>
  <c r="AO994" i="55"/>
  <c r="AL994" i="55"/>
  <c r="Q994" i="55"/>
  <c r="AI994" i="55"/>
  <c r="K994" i="55"/>
  <c r="P994" i="55"/>
  <c r="AG994" i="55"/>
  <c r="AK994" i="55"/>
  <c r="AF994" i="55"/>
  <c r="B994" i="55"/>
  <c r="H994" i="55"/>
  <c r="D994" i="55"/>
  <c r="AX994" i="55"/>
  <c r="V994" i="55"/>
  <c r="AM994" i="55"/>
  <c r="S994" i="55"/>
  <c r="G994" i="55"/>
  <c r="AB994" i="55"/>
  <c r="C994" i="55"/>
  <c r="N994" i="55"/>
  <c r="AQ994" i="55"/>
  <c r="L994" i="55"/>
  <c r="AW994" i="55"/>
  <c r="AC994" i="55"/>
  <c r="I994" i="55"/>
  <c r="AT994" i="55"/>
  <c r="AN994" i="55"/>
  <c r="M994" i="55"/>
  <c r="X994" i="55"/>
  <c r="AH994" i="55"/>
  <c r="U994" i="55"/>
  <c r="F994" i="55"/>
  <c r="A994" i="55"/>
  <c r="W994" i="55"/>
  <c r="AL732" i="55"/>
  <c r="AL720" i="26" l="1"/>
  <c r="AM720" i="26" s="1"/>
  <c r="AU720" i="26" s="1"/>
  <c r="AJ720" i="26"/>
  <c r="AK720" i="26" s="1"/>
  <c r="N720" i="26"/>
  <c r="BL720" i="26"/>
  <c r="BC720" i="26"/>
  <c r="U720" i="26"/>
  <c r="AF720" i="26" s="1"/>
  <c r="AN720" i="26" s="1"/>
  <c r="E721" i="26"/>
  <c r="AP720" i="26"/>
  <c r="AS720" i="26"/>
  <c r="BJ720" i="26" s="1"/>
  <c r="X720" i="26"/>
  <c r="V720" i="26"/>
  <c r="E995" i="55"/>
  <c r="AL731" i="55"/>
  <c r="AO720" i="26" l="1"/>
  <c r="AT720" i="26" s="1"/>
  <c r="BK720" i="26"/>
  <c r="AV720" i="55"/>
  <c r="BT720" i="26"/>
  <c r="Q721" i="26"/>
  <c r="C721" i="26"/>
  <c r="V721" i="26" s="1"/>
  <c r="D721" i="26"/>
  <c r="O721" i="26" s="1"/>
  <c r="S721" i="26" s="1"/>
  <c r="T721" i="26" s="1"/>
  <c r="B721" i="26"/>
  <c r="A721" i="26"/>
  <c r="H721" i="26"/>
  <c r="W721" i="26"/>
  <c r="L721" i="26"/>
  <c r="AP721" i="26"/>
  <c r="F721" i="26"/>
  <c r="R721" i="26" s="1"/>
  <c r="U721" i="26"/>
  <c r="AF721" i="26" s="1"/>
  <c r="AN721" i="26" s="1"/>
  <c r="O995" i="55"/>
  <c r="Z995" i="55"/>
  <c r="AI995" i="55"/>
  <c r="P995" i="55"/>
  <c r="Q995" i="55"/>
  <c r="K995" i="55"/>
  <c r="AG995" i="55"/>
  <c r="AK995" i="55"/>
  <c r="AO995" i="55"/>
  <c r="AL995" i="55"/>
  <c r="AD995" i="55"/>
  <c r="AF995" i="55"/>
  <c r="AB995" i="55"/>
  <c r="N995" i="55"/>
  <c r="AW995" i="55"/>
  <c r="L995" i="55"/>
  <c r="AN995" i="55"/>
  <c r="M995" i="55"/>
  <c r="AM995" i="55"/>
  <c r="C995" i="55"/>
  <c r="AQ995" i="55"/>
  <c r="AH995" i="55"/>
  <c r="AC995" i="55"/>
  <c r="W995" i="55"/>
  <c r="I995" i="55"/>
  <c r="A995" i="55"/>
  <c r="B995" i="55"/>
  <c r="F995" i="55"/>
  <c r="D995" i="55"/>
  <c r="AT995" i="55"/>
  <c r="G995" i="55"/>
  <c r="S995" i="55"/>
  <c r="V995" i="55"/>
  <c r="U995" i="55"/>
  <c r="H995" i="55"/>
  <c r="AX995" i="55"/>
  <c r="X995" i="55"/>
  <c r="AL730" i="55"/>
  <c r="BL721" i="26" l="1"/>
  <c r="BC721" i="26"/>
  <c r="AO721" i="26"/>
  <c r="AT721" i="26" s="1"/>
  <c r="BK721" i="26"/>
  <c r="P721" i="26"/>
  <c r="AS721" i="26"/>
  <c r="BJ721" i="26" s="1"/>
  <c r="K721" i="26"/>
  <c r="M721" i="26" s="1"/>
  <c r="X721" i="26"/>
  <c r="E722" i="26"/>
  <c r="G721" i="26"/>
  <c r="E996" i="55"/>
  <c r="AL729" i="55"/>
  <c r="AL721" i="26" l="1"/>
  <c r="AM721" i="26" s="1"/>
  <c r="AU721" i="26" s="1"/>
  <c r="N721" i="26"/>
  <c r="AJ721" i="26"/>
  <c r="AK721" i="26" s="1"/>
  <c r="W722" i="26"/>
  <c r="C722" i="26"/>
  <c r="U722" i="26"/>
  <c r="AF722" i="26" s="1"/>
  <c r="AN722" i="26" s="1"/>
  <c r="H722" i="26"/>
  <c r="B722" i="26"/>
  <c r="F722" i="26" s="1"/>
  <c r="L722" i="26"/>
  <c r="A722" i="26"/>
  <c r="Q722" i="26"/>
  <c r="R722" i="26" s="1"/>
  <c r="K722" i="26"/>
  <c r="M722" i="26" s="1"/>
  <c r="N722" i="26" s="1"/>
  <c r="X722" i="26"/>
  <c r="D722" i="26"/>
  <c r="O722" i="26" s="1"/>
  <c r="S722" i="26" s="1"/>
  <c r="T722" i="26" s="1"/>
  <c r="AS722" i="26"/>
  <c r="BJ722" i="26" s="1"/>
  <c r="AP722" i="26"/>
  <c r="G722" i="26"/>
  <c r="P722" i="26"/>
  <c r="AV721" i="55"/>
  <c r="BT721" i="26"/>
  <c r="Z996" i="55"/>
  <c r="O996" i="55"/>
  <c r="AF996" i="55"/>
  <c r="Q996" i="55"/>
  <c r="AI996" i="55"/>
  <c r="K996" i="55"/>
  <c r="P996" i="55"/>
  <c r="AD996" i="55"/>
  <c r="AK996" i="55"/>
  <c r="AL996" i="55"/>
  <c r="L996" i="55"/>
  <c r="AT996" i="55"/>
  <c r="AH996" i="55"/>
  <c r="AW996" i="55"/>
  <c r="AX996" i="55"/>
  <c r="V996" i="55"/>
  <c r="B996" i="55"/>
  <c r="M996" i="55"/>
  <c r="X996" i="55"/>
  <c r="AQ996" i="55"/>
  <c r="A996" i="55"/>
  <c r="S996" i="55"/>
  <c r="D996" i="55"/>
  <c r="N996" i="55"/>
  <c r="F996" i="55"/>
  <c r="G996" i="55"/>
  <c r="H996" i="55"/>
  <c r="AC996" i="55"/>
  <c r="AB996" i="55"/>
  <c r="AM996" i="55"/>
  <c r="I996" i="55"/>
  <c r="AN996" i="55"/>
  <c r="C996" i="55"/>
  <c r="W996" i="55"/>
  <c r="U996" i="55"/>
  <c r="AG996" i="55"/>
  <c r="AO996" i="55"/>
  <c r="AL728" i="55"/>
  <c r="BL722" i="26" l="1"/>
  <c r="BC722" i="26"/>
  <c r="AJ722" i="26"/>
  <c r="AK722" i="26" s="1"/>
  <c r="V722" i="26"/>
  <c r="AO722" i="26" s="1"/>
  <c r="AT722" i="26" s="1"/>
  <c r="E723" i="26"/>
  <c r="E997" i="55"/>
  <c r="AL727" i="55"/>
  <c r="AL722" i="26" l="1"/>
  <c r="AM722" i="26" s="1"/>
  <c r="AU722" i="26" s="1"/>
  <c r="AV722" i="55"/>
  <c r="BT722" i="26"/>
  <c r="B723" i="26"/>
  <c r="G723" i="26" s="1"/>
  <c r="W723" i="26"/>
  <c r="A723" i="26"/>
  <c r="C723" i="26"/>
  <c r="U723" i="26"/>
  <c r="AF723" i="26" s="1"/>
  <c r="AN723" i="26" s="1"/>
  <c r="L723" i="26"/>
  <c r="Q723" i="26"/>
  <c r="H723" i="26"/>
  <c r="X723" i="26"/>
  <c r="K723" i="26"/>
  <c r="M723" i="26" s="1"/>
  <c r="AS723" i="26"/>
  <c r="BJ723" i="26" s="1"/>
  <c r="BK722" i="26"/>
  <c r="O997" i="55"/>
  <c r="AL997" i="55"/>
  <c r="AI997" i="55"/>
  <c r="Q997" i="55"/>
  <c r="P997" i="55"/>
  <c r="K997" i="55"/>
  <c r="Z997" i="55"/>
  <c r="AK997" i="55"/>
  <c r="AG997" i="55"/>
  <c r="AO997" i="55"/>
  <c r="AD997" i="55"/>
  <c r="AF997" i="55"/>
  <c r="C997" i="55"/>
  <c r="G997" i="55"/>
  <c r="AH997" i="55"/>
  <c r="AT997" i="55"/>
  <c r="M997" i="55"/>
  <c r="X997" i="55"/>
  <c r="U997" i="55"/>
  <c r="H997" i="55"/>
  <c r="N997" i="55"/>
  <c r="V997" i="55"/>
  <c r="AB997" i="55"/>
  <c r="L997" i="55"/>
  <c r="AM997" i="55"/>
  <c r="AQ997" i="55"/>
  <c r="AN997" i="55"/>
  <c r="AC997" i="55"/>
  <c r="D997" i="55"/>
  <c r="AW997" i="55"/>
  <c r="AX997" i="55"/>
  <c r="A997" i="55"/>
  <c r="B997" i="55"/>
  <c r="F997" i="55"/>
  <c r="S997" i="55"/>
  <c r="I997" i="55"/>
  <c r="W997" i="55"/>
  <c r="AL726" i="55"/>
  <c r="AJ723" i="26" l="1"/>
  <c r="AK723" i="26" s="1"/>
  <c r="N723" i="26"/>
  <c r="V723" i="26"/>
  <c r="AO723" i="26" s="1"/>
  <c r="F723" i="26"/>
  <c r="R723" i="26" s="1"/>
  <c r="AP723" i="26"/>
  <c r="D723" i="26"/>
  <c r="E998" i="55"/>
  <c r="AL725" i="55"/>
  <c r="AT723" i="26" l="1"/>
  <c r="O723" i="26"/>
  <c r="S723" i="26" s="1"/>
  <c r="T723" i="26" s="1"/>
  <c r="P723" i="26"/>
  <c r="BK723" i="26"/>
  <c r="E724" i="26"/>
  <c r="O998" i="55"/>
  <c r="AK998" i="55"/>
  <c r="AI998" i="55"/>
  <c r="Q998" i="55"/>
  <c r="K998" i="55"/>
  <c r="P998" i="55"/>
  <c r="AG998" i="55"/>
  <c r="Z998" i="55"/>
  <c r="AL998" i="55"/>
  <c r="AF998" i="55"/>
  <c r="G998" i="55"/>
  <c r="AB998" i="55"/>
  <c r="X998" i="55"/>
  <c r="C998" i="55"/>
  <c r="I998" i="55"/>
  <c r="AM998" i="55"/>
  <c r="S998" i="55"/>
  <c r="AN998" i="55"/>
  <c r="AC998" i="55"/>
  <c r="AT998" i="55"/>
  <c r="B998" i="55"/>
  <c r="AX998" i="55"/>
  <c r="W998" i="55"/>
  <c r="D998" i="55"/>
  <c r="AQ998" i="55"/>
  <c r="AH998" i="55"/>
  <c r="U998" i="55"/>
  <c r="N998" i="55"/>
  <c r="A998" i="55"/>
  <c r="F998" i="55"/>
  <c r="M998" i="55"/>
  <c r="AW998" i="55"/>
  <c r="V998" i="55"/>
  <c r="H998" i="55"/>
  <c r="L998" i="55"/>
  <c r="AO998" i="55"/>
  <c r="AD998" i="55"/>
  <c r="AL724" i="55"/>
  <c r="AL723" i="26" l="1"/>
  <c r="AM723" i="26" s="1"/>
  <c r="AU723" i="26" s="1"/>
  <c r="BL723" i="26"/>
  <c r="BC723" i="26"/>
  <c r="L724" i="26"/>
  <c r="D724" i="26"/>
  <c r="P724" i="26" s="1"/>
  <c r="Q724" i="26"/>
  <c r="C724" i="26"/>
  <c r="G724" i="26"/>
  <c r="W724" i="26"/>
  <c r="B724" i="26"/>
  <c r="K724" i="26" s="1"/>
  <c r="M724" i="26" s="1"/>
  <c r="A724" i="26"/>
  <c r="F724" i="26"/>
  <c r="R724" i="26" s="1"/>
  <c r="H724" i="26"/>
  <c r="X724" i="26"/>
  <c r="AP724" i="26"/>
  <c r="U724" i="26"/>
  <c r="AF724" i="26" s="1"/>
  <c r="AN724" i="26" s="1"/>
  <c r="AS724" i="26"/>
  <c r="BJ724" i="26" s="1"/>
  <c r="E999" i="55"/>
  <c r="AL723" i="55"/>
  <c r="N724" i="26" l="1"/>
  <c r="AJ724" i="26"/>
  <c r="AK724" i="26" s="1"/>
  <c r="O724" i="26"/>
  <c r="S724" i="26" s="1"/>
  <c r="T724" i="26" s="1"/>
  <c r="BL724" i="26" s="1"/>
  <c r="V724" i="26"/>
  <c r="E725" i="26"/>
  <c r="AV723" i="55"/>
  <c r="BT723" i="26"/>
  <c r="AF999" i="55"/>
  <c r="O999" i="55"/>
  <c r="AL999" i="55"/>
  <c r="AO999" i="55"/>
  <c r="AK999" i="55"/>
  <c r="AI999" i="55"/>
  <c r="Q999" i="55"/>
  <c r="P999" i="55"/>
  <c r="K999" i="55"/>
  <c r="AD999" i="55"/>
  <c r="AG999" i="55"/>
  <c r="Z999" i="55"/>
  <c r="A999" i="55"/>
  <c r="H999" i="55"/>
  <c r="N999" i="55"/>
  <c r="X999" i="55"/>
  <c r="C999" i="55"/>
  <c r="D999" i="55"/>
  <c r="AH999" i="55"/>
  <c r="L999" i="55"/>
  <c r="I999" i="55"/>
  <c r="AB999" i="55"/>
  <c r="F999" i="55"/>
  <c r="AQ999" i="55"/>
  <c r="V999" i="55"/>
  <c r="AM999" i="55"/>
  <c r="G999" i="55"/>
  <c r="AN999" i="55"/>
  <c r="M999" i="55"/>
  <c r="AW999" i="55"/>
  <c r="AX999" i="55"/>
  <c r="B999" i="55"/>
  <c r="S999" i="55"/>
  <c r="AT999" i="55"/>
  <c r="AC999" i="55"/>
  <c r="U999" i="55"/>
  <c r="W999" i="55"/>
  <c r="AL722" i="55"/>
  <c r="BC724" i="26" l="1"/>
  <c r="BT724" i="26" s="1"/>
  <c r="AL724" i="26"/>
  <c r="AM724" i="26" s="1"/>
  <c r="AU724" i="26" s="1"/>
  <c r="Q725" i="26"/>
  <c r="L725" i="26"/>
  <c r="C725" i="26"/>
  <c r="W725" i="26"/>
  <c r="X725" i="26" s="1"/>
  <c r="B725" i="26"/>
  <c r="A725" i="26"/>
  <c r="H725" i="26"/>
  <c r="G725" i="26"/>
  <c r="AF725" i="26"/>
  <c r="AN725" i="26" s="1"/>
  <c r="U725" i="26"/>
  <c r="BK724" i="26"/>
  <c r="AO724" i="26"/>
  <c r="AT724" i="26" s="1"/>
  <c r="AV724" i="55"/>
  <c r="E1000" i="55"/>
  <c r="AL721" i="55"/>
  <c r="V725" i="26" l="1"/>
  <c r="AP725" i="26"/>
  <c r="D725" i="26"/>
  <c r="P725" i="26" s="1"/>
  <c r="K725" i="26"/>
  <c r="M725" i="26" s="1"/>
  <c r="F725" i="26"/>
  <c r="R725" i="26" s="1"/>
  <c r="O1000" i="55"/>
  <c r="AI1000" i="55"/>
  <c r="Q1000" i="55"/>
  <c r="P1000" i="55"/>
  <c r="K1000" i="55"/>
  <c r="AG1000" i="55"/>
  <c r="AK1000" i="55"/>
  <c r="AL1000" i="55"/>
  <c r="AO1000" i="55"/>
  <c r="AF1000" i="55"/>
  <c r="Z1000" i="55"/>
  <c r="AD1000" i="55"/>
  <c r="D1000" i="55"/>
  <c r="U1000" i="55"/>
  <c r="N1000" i="55"/>
  <c r="AT1000" i="55"/>
  <c r="AQ1000" i="55"/>
  <c r="L1000" i="55"/>
  <c r="I1000" i="55"/>
  <c r="AH1000" i="55"/>
  <c r="W1000" i="55"/>
  <c r="X1000" i="55"/>
  <c r="V1000" i="55"/>
  <c r="G1000" i="55"/>
  <c r="AW1000" i="55"/>
  <c r="B1000" i="55"/>
  <c r="AC1000" i="55"/>
  <c r="AN1000" i="55"/>
  <c r="F1000" i="55"/>
  <c r="M1000" i="55"/>
  <c r="AM1000" i="55"/>
  <c r="C1000" i="55"/>
  <c r="AX1000" i="55"/>
  <c r="A1000" i="55"/>
  <c r="H1000" i="55"/>
  <c r="AB1000" i="55"/>
  <c r="S1000" i="55"/>
  <c r="AL720" i="55"/>
  <c r="E726" i="26" l="1"/>
  <c r="BK725" i="26"/>
  <c r="AO725" i="26"/>
  <c r="AT725" i="26" s="1"/>
  <c r="AJ725" i="26"/>
  <c r="AK725" i="26" s="1"/>
  <c r="N725" i="26"/>
  <c r="O725" i="26"/>
  <c r="E1001" i="55"/>
  <c r="AL719" i="55"/>
  <c r="AL725" i="26" l="1"/>
  <c r="AM725" i="26" s="1"/>
  <c r="AU725" i="26" s="1"/>
  <c r="S725" i="26"/>
  <c r="T725" i="26" s="1"/>
  <c r="L726" i="26"/>
  <c r="H726" i="26"/>
  <c r="G726" i="26"/>
  <c r="B726" i="26"/>
  <c r="Q726" i="26"/>
  <c r="D726" i="26"/>
  <c r="O726" i="26" s="1"/>
  <c r="S726" i="26" s="1"/>
  <c r="T726" i="26" s="1"/>
  <c r="BL726" i="26" s="1"/>
  <c r="W726" i="26"/>
  <c r="AS726" i="26"/>
  <c r="BJ726" i="26" s="1"/>
  <c r="K726" i="26"/>
  <c r="M726" i="26" s="1"/>
  <c r="C726" i="26"/>
  <c r="A726" i="26"/>
  <c r="F726" i="26"/>
  <c r="R726" i="26" s="1"/>
  <c r="AP726" i="26"/>
  <c r="X726" i="26"/>
  <c r="U726" i="26"/>
  <c r="AF726" i="26" s="1"/>
  <c r="AN726" i="26" s="1"/>
  <c r="O1001" i="55"/>
  <c r="AO1001" i="55"/>
  <c r="AI1001" i="55"/>
  <c r="Q1001" i="55"/>
  <c r="P1001" i="55"/>
  <c r="K1001" i="55"/>
  <c r="AD1001" i="55"/>
  <c r="AK1001" i="55"/>
  <c r="AL1001" i="55"/>
  <c r="AG1001" i="55"/>
  <c r="Z1001" i="55"/>
  <c r="AF1001" i="55"/>
  <c r="AW1001" i="55"/>
  <c r="N1001" i="55"/>
  <c r="AX1001" i="55"/>
  <c r="U1001" i="55"/>
  <c r="B1001" i="55"/>
  <c r="D1001" i="55"/>
  <c r="L1001" i="55"/>
  <c r="AN1001" i="55"/>
  <c r="C1001" i="55"/>
  <c r="M1001" i="55"/>
  <c r="AH1001" i="55"/>
  <c r="AT1001" i="55"/>
  <c r="F1001" i="55"/>
  <c r="A1001" i="55"/>
  <c r="S1001" i="55"/>
  <c r="AC1001" i="55"/>
  <c r="W1001" i="55"/>
  <c r="V1001" i="55"/>
  <c r="AQ1001" i="55"/>
  <c r="X1001" i="55"/>
  <c r="H1001" i="55"/>
  <c r="G1001" i="55"/>
  <c r="I1001" i="55"/>
  <c r="AM1001" i="55"/>
  <c r="AB1001" i="55"/>
  <c r="AL718" i="55"/>
  <c r="AJ726" i="26" l="1"/>
  <c r="AK726" i="26" s="1"/>
  <c r="N726" i="26"/>
  <c r="V726" i="26"/>
  <c r="BK726" i="26" s="1"/>
  <c r="E727" i="26"/>
  <c r="BC725" i="26"/>
  <c r="BL725" i="26"/>
  <c r="P726" i="26"/>
  <c r="E1002" i="55"/>
  <c r="AL717" i="55"/>
  <c r="AL726" i="26" l="1"/>
  <c r="AM726" i="26" s="1"/>
  <c r="AU726" i="26" s="1"/>
  <c r="BC726" i="26"/>
  <c r="BT725" i="26"/>
  <c r="AV725" i="55"/>
  <c r="C727" i="26"/>
  <c r="Q727" i="26"/>
  <c r="H727" i="26"/>
  <c r="A727" i="26"/>
  <c r="W727" i="26"/>
  <c r="L727" i="26"/>
  <c r="B727" i="26"/>
  <c r="AP727" i="26"/>
  <c r="K727" i="26"/>
  <c r="M727" i="26" s="1"/>
  <c r="N727" i="26" s="1"/>
  <c r="U727" i="26"/>
  <c r="AF727" i="26" s="1"/>
  <c r="AN727" i="26" s="1"/>
  <c r="AO726" i="26"/>
  <c r="AT726" i="26" s="1"/>
  <c r="O1002" i="55"/>
  <c r="AD1002" i="55"/>
  <c r="AF1002" i="55"/>
  <c r="AG1002" i="55"/>
  <c r="Q1002" i="55"/>
  <c r="AI1002" i="55"/>
  <c r="K1002" i="55"/>
  <c r="P1002" i="55"/>
  <c r="AO1002" i="55"/>
  <c r="Z1002" i="55"/>
  <c r="AK1002" i="55"/>
  <c r="AL1002" i="55"/>
  <c r="L1002" i="55"/>
  <c r="C1002" i="55"/>
  <c r="M1002" i="55"/>
  <c r="G1002" i="55"/>
  <c r="I1002" i="55"/>
  <c r="S1002" i="55"/>
  <c r="F1002" i="55"/>
  <c r="H1002" i="55"/>
  <c r="AN1002" i="55"/>
  <c r="AQ1002" i="55"/>
  <c r="N1002" i="55"/>
  <c r="X1002" i="55"/>
  <c r="AM1002" i="55"/>
  <c r="V1002" i="55"/>
  <c r="D1002" i="55"/>
  <c r="AC1002" i="55"/>
  <c r="AT1002" i="55"/>
  <c r="W1002" i="55"/>
  <c r="A1002" i="55"/>
  <c r="AB1002" i="55"/>
  <c r="AH1002" i="55"/>
  <c r="AX1002" i="55"/>
  <c r="AW1002" i="55"/>
  <c r="B1002" i="55"/>
  <c r="U1002" i="55"/>
  <c r="AL716" i="55"/>
  <c r="AJ727" i="26" l="1"/>
  <c r="AK727" i="26" s="1"/>
  <c r="V727" i="26"/>
  <c r="E728" i="26"/>
  <c r="X727" i="26"/>
  <c r="G727" i="26"/>
  <c r="AS727" i="26"/>
  <c r="BJ727" i="26" s="1"/>
  <c r="O727" i="26"/>
  <c r="F727" i="26"/>
  <c r="R727" i="26" s="1"/>
  <c r="D727" i="26"/>
  <c r="AV726" i="55"/>
  <c r="BT726" i="26"/>
  <c r="E1003" i="55"/>
  <c r="AL715" i="55"/>
  <c r="AO728" i="26" l="1"/>
  <c r="A728" i="26"/>
  <c r="H728" i="26"/>
  <c r="Q728" i="26"/>
  <c r="L728" i="26"/>
  <c r="W728" i="26"/>
  <c r="C728" i="26"/>
  <c r="B728" i="26"/>
  <c r="D728" i="26" s="1"/>
  <c r="P728" i="26"/>
  <c r="V728" i="26"/>
  <c r="AS728" i="26"/>
  <c r="BJ728" i="26" s="1"/>
  <c r="BK727" i="26"/>
  <c r="S727" i="26"/>
  <c r="T727" i="26" s="1"/>
  <c r="P727" i="26"/>
  <c r="AO727" i="26"/>
  <c r="AT727" i="26" s="1"/>
  <c r="AK1003" i="55"/>
  <c r="O1003" i="55"/>
  <c r="AL1003" i="55"/>
  <c r="AI1003" i="55"/>
  <c r="P1003" i="55"/>
  <c r="K1003" i="55"/>
  <c r="Q1003" i="55"/>
  <c r="AF1003" i="55"/>
  <c r="AG1003" i="55"/>
  <c r="AO1003" i="55"/>
  <c r="Z1003" i="55"/>
  <c r="AD1003" i="55"/>
  <c r="AM1003" i="55"/>
  <c r="AB1003" i="55"/>
  <c r="U1003" i="55"/>
  <c r="AC1003" i="55"/>
  <c r="A1003" i="55"/>
  <c r="AX1003" i="55"/>
  <c r="L1003" i="55"/>
  <c r="S1003" i="55"/>
  <c r="H1003" i="55"/>
  <c r="V1003" i="55"/>
  <c r="M1003" i="55"/>
  <c r="B1003" i="55"/>
  <c r="G1003" i="55"/>
  <c r="AH1003" i="55"/>
  <c r="I1003" i="55"/>
  <c r="D1003" i="55"/>
  <c r="AT1003" i="55"/>
  <c r="AN1003" i="55"/>
  <c r="AQ1003" i="55"/>
  <c r="F1003" i="55"/>
  <c r="AW1003" i="55"/>
  <c r="C1003" i="55"/>
  <c r="N1003" i="55"/>
  <c r="X1003" i="55"/>
  <c r="W1003" i="55"/>
  <c r="AL714" i="55"/>
  <c r="AL727" i="26" l="1"/>
  <c r="AM727" i="26" s="1"/>
  <c r="AU727" i="26" s="1"/>
  <c r="BL727" i="26"/>
  <c r="BC727" i="26"/>
  <c r="G728" i="26"/>
  <c r="F728" i="26"/>
  <c r="R728" i="26" s="1"/>
  <c r="AP728" i="26"/>
  <c r="AT728" i="26" s="1"/>
  <c r="U728" i="26"/>
  <c r="AF728" i="26" s="1"/>
  <c r="AN728" i="26" s="1"/>
  <c r="E729" i="26"/>
  <c r="K728" i="26"/>
  <c r="M728" i="26" s="1"/>
  <c r="O728" i="26"/>
  <c r="S728" i="26" s="1"/>
  <c r="T728" i="26" s="1"/>
  <c r="BL728" i="26" s="1"/>
  <c r="X728" i="26"/>
  <c r="BK728" i="26" s="1"/>
  <c r="E1004" i="55"/>
  <c r="AL713" i="55"/>
  <c r="AL728" i="26" l="1"/>
  <c r="AM728" i="26" s="1"/>
  <c r="AU728" i="26" s="1"/>
  <c r="AJ728" i="26"/>
  <c r="AK728" i="26" s="1"/>
  <c r="N728" i="26"/>
  <c r="BC728" i="26"/>
  <c r="AV727" i="55"/>
  <c r="BT727" i="26"/>
  <c r="Q729" i="26"/>
  <c r="B729" i="26"/>
  <c r="K729" i="26" s="1"/>
  <c r="A729" i="26"/>
  <c r="C729" i="26"/>
  <c r="W729" i="26"/>
  <c r="L729" i="26"/>
  <c r="H729" i="26"/>
  <c r="AS729" i="26"/>
  <c r="BJ729" i="26" s="1"/>
  <c r="AP729" i="26"/>
  <c r="G729" i="26"/>
  <c r="X729" i="26"/>
  <c r="D729" i="26"/>
  <c r="U729" i="26"/>
  <c r="AF729" i="26" s="1"/>
  <c r="AN729" i="26" s="1"/>
  <c r="P729" i="26"/>
  <c r="O1004" i="55"/>
  <c r="Z1004" i="55"/>
  <c r="AI1004" i="55"/>
  <c r="Q1004" i="55"/>
  <c r="K1004" i="55"/>
  <c r="P1004" i="55"/>
  <c r="AK1004" i="55"/>
  <c r="AL1004" i="55"/>
  <c r="AD1004" i="55"/>
  <c r="AO1004" i="55"/>
  <c r="AF1004" i="55"/>
  <c r="AG1004" i="55"/>
  <c r="AX1004" i="55"/>
  <c r="C1004" i="55"/>
  <c r="I1004" i="55"/>
  <c r="AT1004" i="55"/>
  <c r="B1004" i="55"/>
  <c r="U1004" i="55"/>
  <c r="G1004" i="55"/>
  <c r="A1004" i="55"/>
  <c r="V1004" i="55"/>
  <c r="AB1004" i="55"/>
  <c r="AN1004" i="55"/>
  <c r="S1004" i="55"/>
  <c r="X1004" i="55"/>
  <c r="AH1004" i="55"/>
  <c r="M1004" i="55"/>
  <c r="AW1004" i="55"/>
  <c r="AM1004" i="55"/>
  <c r="AC1004" i="55"/>
  <c r="H1004" i="55"/>
  <c r="W1004" i="55"/>
  <c r="L1004" i="55"/>
  <c r="N1004" i="55"/>
  <c r="AQ1004" i="55"/>
  <c r="F1004" i="55"/>
  <c r="D1004" i="55"/>
  <c r="AL712" i="55"/>
  <c r="F729" i="26" l="1"/>
  <c r="R729" i="26" s="1"/>
  <c r="BT728" i="26"/>
  <c r="AV728" i="55"/>
  <c r="M729" i="26"/>
  <c r="O729" i="26"/>
  <c r="S729" i="26" s="1"/>
  <c r="T729" i="26" s="1"/>
  <c r="BL729" i="26" s="1"/>
  <c r="V729" i="26"/>
  <c r="AO729" i="26" s="1"/>
  <c r="AT729" i="26" s="1"/>
  <c r="E730" i="26"/>
  <c r="E1005" i="55"/>
  <c r="AL711" i="55"/>
  <c r="AL729" i="26" l="1"/>
  <c r="AM729" i="26" s="1"/>
  <c r="AU729" i="26" s="1"/>
  <c r="H730" i="26"/>
  <c r="L730" i="26"/>
  <c r="Q730" i="26"/>
  <c r="C730" i="26"/>
  <c r="B730" i="26"/>
  <c r="W730" i="26"/>
  <c r="A730" i="26"/>
  <c r="X730" i="26"/>
  <c r="D730" i="26"/>
  <c r="AP730" i="26"/>
  <c r="K730" i="26"/>
  <c r="M730" i="26" s="1"/>
  <c r="F730" i="26"/>
  <c r="R730" i="26" s="1"/>
  <c r="AS730" i="26"/>
  <c r="BJ730" i="26" s="1"/>
  <c r="G730" i="26"/>
  <c r="U730" i="26"/>
  <c r="AF730" i="26" s="1"/>
  <c r="AN730" i="26" s="1"/>
  <c r="N729" i="26"/>
  <c r="AJ729" i="26"/>
  <c r="AK729" i="26" s="1"/>
  <c r="BC729" i="26"/>
  <c r="BK729" i="26"/>
  <c r="O1005" i="55"/>
  <c r="AL1005" i="55"/>
  <c r="AI1005" i="55"/>
  <c r="Q1005" i="55"/>
  <c r="P1005" i="55"/>
  <c r="K1005" i="55"/>
  <c r="AG1005" i="55"/>
  <c r="AO1005" i="55"/>
  <c r="AK1005" i="55"/>
  <c r="AD1005" i="55"/>
  <c r="Z1005" i="55"/>
  <c r="AF1005" i="55"/>
  <c r="L1005" i="55"/>
  <c r="A1005" i="55"/>
  <c r="D1005" i="55"/>
  <c r="AQ1005" i="55"/>
  <c r="B1005" i="55"/>
  <c r="C1005" i="55"/>
  <c r="F1005" i="55"/>
  <c r="M1005" i="55"/>
  <c r="X1005" i="55"/>
  <c r="AH1005" i="55"/>
  <c r="AT1005" i="55"/>
  <c r="V1005" i="55"/>
  <c r="AM1005" i="55"/>
  <c r="S1005" i="55"/>
  <c r="AX1005" i="55"/>
  <c r="I1005" i="55"/>
  <c r="U1005" i="55"/>
  <c r="AW1005" i="55"/>
  <c r="G1005" i="55"/>
  <c r="AN1005" i="55"/>
  <c r="AB1005" i="55"/>
  <c r="W1005" i="55"/>
  <c r="N1005" i="55"/>
  <c r="AC1005" i="55"/>
  <c r="H1005" i="55"/>
  <c r="AL710" i="55"/>
  <c r="N730" i="26" l="1"/>
  <c r="AJ730" i="26"/>
  <c r="AK730" i="26" s="1"/>
  <c r="V730" i="26"/>
  <c r="AO730" i="26" s="1"/>
  <c r="AT730" i="26" s="1"/>
  <c r="E731" i="26"/>
  <c r="AV729" i="55"/>
  <c r="BT729" i="26"/>
  <c r="O730" i="26"/>
  <c r="P730" i="26"/>
  <c r="E1006" i="55"/>
  <c r="AL709" i="55"/>
  <c r="AL730" i="26" l="1"/>
  <c r="AM730" i="26" s="1"/>
  <c r="AU730" i="26" s="1"/>
  <c r="A731" i="26"/>
  <c r="C731" i="26"/>
  <c r="L731" i="26"/>
  <c r="W731" i="26"/>
  <c r="B731" i="26"/>
  <c r="AP731" i="26" s="1"/>
  <c r="Q731" i="26"/>
  <c r="H731" i="26"/>
  <c r="S730" i="26"/>
  <c r="T730" i="26" s="1"/>
  <c r="X731" i="26"/>
  <c r="K731" i="26"/>
  <c r="M731" i="26" s="1"/>
  <c r="AJ731" i="26" s="1"/>
  <c r="AK731" i="26" s="1"/>
  <c r="G731" i="26"/>
  <c r="BK730" i="26"/>
  <c r="O1006" i="55"/>
  <c r="AL1006" i="55"/>
  <c r="AI1006" i="55"/>
  <c r="Q1006" i="55"/>
  <c r="K1006" i="55"/>
  <c r="P1006" i="55"/>
  <c r="AK1006" i="55"/>
  <c r="AD1006" i="55"/>
  <c r="AF1006" i="55"/>
  <c r="D1006" i="55"/>
  <c r="X1006" i="55"/>
  <c r="N1006" i="55"/>
  <c r="C1006" i="55"/>
  <c r="AT1006" i="55"/>
  <c r="AB1006" i="55"/>
  <c r="AC1006" i="55"/>
  <c r="AN1006" i="55"/>
  <c r="AW1006" i="55"/>
  <c r="V1006" i="55"/>
  <c r="B1006" i="55"/>
  <c r="L1006" i="55"/>
  <c r="M1006" i="55"/>
  <c r="AH1006" i="55"/>
  <c r="S1006" i="55"/>
  <c r="AX1006" i="55"/>
  <c r="H1006" i="55"/>
  <c r="G1006" i="55"/>
  <c r="F1006" i="55"/>
  <c r="AQ1006" i="55"/>
  <c r="W1006" i="55"/>
  <c r="U1006" i="55"/>
  <c r="AM1006" i="55"/>
  <c r="I1006" i="55"/>
  <c r="A1006" i="55"/>
  <c r="AO1006" i="55"/>
  <c r="AG1006" i="55"/>
  <c r="Z1006" i="55"/>
  <c r="AL708" i="55"/>
  <c r="N731" i="26" l="1"/>
  <c r="BL730" i="26"/>
  <c r="BC730" i="26"/>
  <c r="F731" i="26"/>
  <c r="R731" i="26" s="1"/>
  <c r="V731" i="26"/>
  <c r="AO731" i="26" s="1"/>
  <c r="AT731" i="26" s="1"/>
  <c r="AS731" i="26"/>
  <c r="BJ731" i="26" s="1"/>
  <c r="U731" i="26"/>
  <c r="AF731" i="26" s="1"/>
  <c r="AN731" i="26" s="1"/>
  <c r="BK731" i="26"/>
  <c r="D731" i="26"/>
  <c r="E732" i="26" s="1"/>
  <c r="O731" i="26"/>
  <c r="S731" i="26" s="1"/>
  <c r="T731" i="26" s="1"/>
  <c r="BL731" i="26" s="1"/>
  <c r="E1007" i="55"/>
  <c r="AL707" i="55"/>
  <c r="H732" i="26" l="1"/>
  <c r="B732" i="26"/>
  <c r="G732" i="26" s="1"/>
  <c r="W732" i="26"/>
  <c r="C732" i="26"/>
  <c r="K732" i="26"/>
  <c r="Q732" i="26"/>
  <c r="A732" i="26"/>
  <c r="L732" i="26"/>
  <c r="F732" i="26"/>
  <c r="AP732" i="26"/>
  <c r="BC731" i="26"/>
  <c r="AV730" i="55"/>
  <c r="BT730" i="26"/>
  <c r="P731" i="26"/>
  <c r="AG1007" i="55"/>
  <c r="O1007" i="55"/>
  <c r="AD1007" i="55"/>
  <c r="AI1007" i="55"/>
  <c r="Q1007" i="55"/>
  <c r="P1007" i="55"/>
  <c r="K1007" i="55"/>
  <c r="AF1007" i="55"/>
  <c r="AL1007" i="55"/>
  <c r="AO1007" i="55"/>
  <c r="Z1007" i="55"/>
  <c r="AK1007" i="55"/>
  <c r="AT1007" i="55"/>
  <c r="W1007" i="55"/>
  <c r="AQ1007" i="55"/>
  <c r="G1007" i="55"/>
  <c r="I1007" i="55"/>
  <c r="F1007" i="55"/>
  <c r="AM1007" i="55"/>
  <c r="S1007" i="55"/>
  <c r="H1007" i="55"/>
  <c r="AN1007" i="55"/>
  <c r="AB1007" i="55"/>
  <c r="C1007" i="55"/>
  <c r="N1007" i="55"/>
  <c r="A1007" i="55"/>
  <c r="X1007" i="55"/>
  <c r="AC1007" i="55"/>
  <c r="L1007" i="55"/>
  <c r="B1007" i="55"/>
  <c r="AW1007" i="55"/>
  <c r="V1007" i="55"/>
  <c r="D1007" i="55"/>
  <c r="AX1007" i="55"/>
  <c r="M1007" i="55"/>
  <c r="AH1007" i="55"/>
  <c r="U1007" i="55"/>
  <c r="AL706" i="55"/>
  <c r="AL731" i="26" l="1"/>
  <c r="AM731" i="26" s="1"/>
  <c r="AU731" i="26" s="1"/>
  <c r="V732" i="26"/>
  <c r="AO732" i="26" s="1"/>
  <c r="AT732" i="26" s="1"/>
  <c r="E733" i="26"/>
  <c r="X732" i="26"/>
  <c r="BK732" i="26" s="1"/>
  <c r="AS732" i="26"/>
  <c r="BJ732" i="26" s="1"/>
  <c r="AV731" i="55"/>
  <c r="BT731" i="26"/>
  <c r="R732" i="26"/>
  <c r="M732" i="26"/>
  <c r="U732" i="26"/>
  <c r="AF732" i="26" s="1"/>
  <c r="AN732" i="26" s="1"/>
  <c r="D732" i="26"/>
  <c r="E1008" i="55"/>
  <c r="AL705" i="55"/>
  <c r="O732" i="26" l="1"/>
  <c r="S732" i="26" s="1"/>
  <c r="T732" i="26" s="1"/>
  <c r="P732" i="26"/>
  <c r="B733" i="26"/>
  <c r="K733" i="26" s="1"/>
  <c r="M733" i="26" s="1"/>
  <c r="Q733" i="26"/>
  <c r="H733" i="26"/>
  <c r="D733" i="26"/>
  <c r="F733" i="26"/>
  <c r="R733" i="26" s="1"/>
  <c r="P733" i="26"/>
  <c r="G733" i="26"/>
  <c r="A733" i="26"/>
  <c r="C733" i="26"/>
  <c r="AS733" i="26" s="1"/>
  <c r="BJ733" i="26" s="1"/>
  <c r="W733" i="26"/>
  <c r="L733" i="26"/>
  <c r="AJ732" i="26"/>
  <c r="AK732" i="26" s="1"/>
  <c r="N732" i="26"/>
  <c r="O1008" i="55"/>
  <c r="AF1008" i="55"/>
  <c r="AI1008" i="55"/>
  <c r="Q1008" i="55"/>
  <c r="P1008" i="55"/>
  <c r="K1008" i="55"/>
  <c r="AL1008" i="55"/>
  <c r="Z1008" i="55"/>
  <c r="AG1008" i="55"/>
  <c r="AO1008" i="55"/>
  <c r="AK1008" i="55"/>
  <c r="AD1008" i="55"/>
  <c r="B1008" i="55"/>
  <c r="AC1008" i="55"/>
  <c r="AN1008" i="55"/>
  <c r="I1008" i="55"/>
  <c r="AT1008" i="55"/>
  <c r="A1008" i="55"/>
  <c r="C1008" i="55"/>
  <c r="N1008" i="55"/>
  <c r="AW1008" i="55"/>
  <c r="G1008" i="55"/>
  <c r="F1008" i="55"/>
  <c r="U1008" i="55"/>
  <c r="D1008" i="55"/>
  <c r="AB1008" i="55"/>
  <c r="AM1008" i="55"/>
  <c r="AQ1008" i="55"/>
  <c r="AX1008" i="55"/>
  <c r="AH1008" i="55"/>
  <c r="S1008" i="55"/>
  <c r="M1008" i="55"/>
  <c r="V1008" i="55"/>
  <c r="X1008" i="55"/>
  <c r="W1008" i="55"/>
  <c r="L1008" i="55"/>
  <c r="H1008" i="55"/>
  <c r="AL704" i="55"/>
  <c r="AL732" i="26" l="1"/>
  <c r="AM732" i="26" s="1"/>
  <c r="AU732" i="26" s="1"/>
  <c r="AJ733" i="26"/>
  <c r="AK733" i="26" s="1"/>
  <c r="N733" i="26"/>
  <c r="O733" i="26"/>
  <c r="X733" i="26"/>
  <c r="E734" i="26"/>
  <c r="V733" i="26"/>
  <c r="U733" i="26"/>
  <c r="AF733" i="26" s="1"/>
  <c r="AN733" i="26" s="1"/>
  <c r="AP733" i="26"/>
  <c r="BL732" i="26"/>
  <c r="BC732" i="26"/>
  <c r="E1009" i="55"/>
  <c r="AL703" i="55"/>
  <c r="AL733" i="26" l="1"/>
  <c r="AM733" i="26" s="1"/>
  <c r="AU733" i="26" s="1"/>
  <c r="S733" i="26"/>
  <c r="T733" i="26" s="1"/>
  <c r="BL733" i="26" s="1"/>
  <c r="AV732" i="55"/>
  <c r="BT732" i="26"/>
  <c r="BK733" i="26"/>
  <c r="AO733" i="26"/>
  <c r="AT733" i="26" s="1"/>
  <c r="B734" i="26"/>
  <c r="W734" i="26"/>
  <c r="A734" i="26"/>
  <c r="H734" i="26"/>
  <c r="L734" i="26"/>
  <c r="Q734" i="26"/>
  <c r="C734" i="26"/>
  <c r="AP734" i="26"/>
  <c r="O1009" i="55"/>
  <c r="Z1009" i="55"/>
  <c r="AI1009" i="55"/>
  <c r="Q1009" i="55"/>
  <c r="P1009" i="55"/>
  <c r="K1009" i="55"/>
  <c r="AL1009" i="55"/>
  <c r="AG1009" i="55"/>
  <c r="AK1009" i="55"/>
  <c r="AO1009" i="55"/>
  <c r="AF1009" i="55"/>
  <c r="AD1009" i="55"/>
  <c r="V1009" i="55"/>
  <c r="AW1009" i="55"/>
  <c r="AB1009" i="55"/>
  <c r="AC1009" i="55"/>
  <c r="F1009" i="55"/>
  <c r="B1009" i="55"/>
  <c r="H1009" i="55"/>
  <c r="X1009" i="55"/>
  <c r="G1009" i="55"/>
  <c r="AM1009" i="55"/>
  <c r="AX1009" i="55"/>
  <c r="D1009" i="55"/>
  <c r="L1009" i="55"/>
  <c r="M1009" i="55"/>
  <c r="N1009" i="55"/>
  <c r="AH1009" i="55"/>
  <c r="I1009" i="55"/>
  <c r="W1009" i="55"/>
  <c r="AQ1009" i="55"/>
  <c r="S1009" i="55"/>
  <c r="AT1009" i="55"/>
  <c r="AN1009" i="55"/>
  <c r="U1009" i="55"/>
  <c r="A1009" i="55"/>
  <c r="C1009" i="55"/>
  <c r="AL702" i="55"/>
  <c r="BC733" i="26" l="1"/>
  <c r="AV733" i="55" s="1"/>
  <c r="AS734" i="26"/>
  <c r="BJ734" i="26" s="1"/>
  <c r="V734" i="26"/>
  <c r="U734" i="26"/>
  <c r="AF734" i="26" s="1"/>
  <c r="AN734" i="26" s="1"/>
  <c r="F734" i="26"/>
  <c r="R734" i="26" s="1"/>
  <c r="K734" i="26"/>
  <c r="M734" i="26" s="1"/>
  <c r="X734" i="26"/>
  <c r="G734" i="26"/>
  <c r="D734" i="26"/>
  <c r="E1010" i="55"/>
  <c r="AL701" i="55"/>
  <c r="BT733" i="26" l="1"/>
  <c r="P734" i="26"/>
  <c r="O734" i="26"/>
  <c r="E735" i="26"/>
  <c r="BK734" i="26"/>
  <c r="AO734" i="26"/>
  <c r="AT734" i="26" s="1"/>
  <c r="AJ734" i="26"/>
  <c r="AK734" i="26" s="1"/>
  <c r="N734" i="26"/>
  <c r="O1010" i="55"/>
  <c r="AL1010" i="55"/>
  <c r="AI1010" i="55"/>
  <c r="Q1010" i="55"/>
  <c r="K1010" i="55"/>
  <c r="P1010" i="55"/>
  <c r="AF1010" i="55"/>
  <c r="Z1010" i="55"/>
  <c r="S1010" i="55"/>
  <c r="AN1010" i="55"/>
  <c r="AQ1010" i="55"/>
  <c r="C1010" i="55"/>
  <c r="L1010" i="55"/>
  <c r="AB1010" i="55"/>
  <c r="U1010" i="55"/>
  <c r="X1010" i="55"/>
  <c r="G1010" i="55"/>
  <c r="AW1010" i="55"/>
  <c r="AH1010" i="55"/>
  <c r="A1010" i="55"/>
  <c r="H1010" i="55"/>
  <c r="N1010" i="55"/>
  <c r="V1010" i="55"/>
  <c r="M1010" i="55"/>
  <c r="AT1010" i="55"/>
  <c r="W1010" i="55"/>
  <c r="AM1010" i="55"/>
  <c r="F1010" i="55"/>
  <c r="AX1010" i="55"/>
  <c r="I1010" i="55"/>
  <c r="AC1010" i="55"/>
  <c r="B1010" i="55"/>
  <c r="D1010" i="55"/>
  <c r="AO1010" i="55"/>
  <c r="AG1010" i="55"/>
  <c r="AD1010" i="55"/>
  <c r="AK1010" i="55"/>
  <c r="AL700" i="55"/>
  <c r="AL734" i="26" l="1"/>
  <c r="AM734" i="26" s="1"/>
  <c r="AU734" i="26" s="1"/>
  <c r="S734" i="26"/>
  <c r="T734" i="26" s="1"/>
  <c r="W735" i="26"/>
  <c r="D735" i="26"/>
  <c r="H735" i="26"/>
  <c r="Q735" i="26"/>
  <c r="A735" i="26"/>
  <c r="B735" i="26"/>
  <c r="C735" i="26"/>
  <c r="L735" i="26"/>
  <c r="E1011" i="55"/>
  <c r="AL699" i="55"/>
  <c r="P735" i="26" l="1"/>
  <c r="X735" i="26"/>
  <c r="BK735" i="26" s="1"/>
  <c r="AP735" i="26"/>
  <c r="G735" i="26"/>
  <c r="K735" i="26"/>
  <c r="M735" i="26" s="1"/>
  <c r="O735" i="26"/>
  <c r="V735" i="26"/>
  <c r="AO735" i="26" s="1"/>
  <c r="AS735" i="26"/>
  <c r="BJ735" i="26" s="1"/>
  <c r="E736" i="26"/>
  <c r="F735" i="26"/>
  <c r="R735" i="26" s="1"/>
  <c r="U735" i="26"/>
  <c r="AF735" i="26" s="1"/>
  <c r="AN735" i="26" s="1"/>
  <c r="BC734" i="26"/>
  <c r="BL734" i="26"/>
  <c r="O1011" i="55"/>
  <c r="AG1011" i="55"/>
  <c r="AF1011" i="55"/>
  <c r="AO1011" i="55"/>
  <c r="AD1011" i="55"/>
  <c r="AI1011" i="55"/>
  <c r="P1011" i="55"/>
  <c r="Q1011" i="55"/>
  <c r="K1011" i="55"/>
  <c r="Z1011" i="55"/>
  <c r="AK1011" i="55"/>
  <c r="AB1011" i="55"/>
  <c r="AM1011" i="55"/>
  <c r="M1011" i="55"/>
  <c r="AW1011" i="55"/>
  <c r="AC1011" i="55"/>
  <c r="AX1011" i="55"/>
  <c r="L1011" i="55"/>
  <c r="I1011" i="55"/>
  <c r="C1011" i="55"/>
  <c r="A1011" i="55"/>
  <c r="V1011" i="55"/>
  <c r="B1011" i="55"/>
  <c r="N1011" i="55"/>
  <c r="X1011" i="55"/>
  <c r="H1011" i="55"/>
  <c r="AQ1011" i="55"/>
  <c r="F1011" i="55"/>
  <c r="AH1011" i="55"/>
  <c r="AT1011" i="55"/>
  <c r="U1011" i="55"/>
  <c r="AN1011" i="55"/>
  <c r="S1011" i="55"/>
  <c r="W1011" i="55"/>
  <c r="G1011" i="55"/>
  <c r="D1011" i="55"/>
  <c r="AL1011" i="55"/>
  <c r="AL698" i="55"/>
  <c r="AL735" i="26" l="1"/>
  <c r="AM735" i="26" s="1"/>
  <c r="AU735" i="26" s="1"/>
  <c r="W736" i="26"/>
  <c r="L736" i="26"/>
  <c r="A736" i="26"/>
  <c r="Q736" i="26"/>
  <c r="H736" i="26"/>
  <c r="B736" i="26"/>
  <c r="C736" i="26"/>
  <c r="S735" i="26"/>
  <c r="T735" i="26" s="1"/>
  <c r="BL735" i="26" s="1"/>
  <c r="AT735" i="26"/>
  <c r="BT734" i="26"/>
  <c r="AV734" i="55"/>
  <c r="N735" i="26"/>
  <c r="AJ735" i="26"/>
  <c r="AK735" i="26" s="1"/>
  <c r="E1012" i="55"/>
  <c r="AL697" i="55"/>
  <c r="BC735" i="26" l="1"/>
  <c r="AV735" i="55" s="1"/>
  <c r="U736" i="26"/>
  <c r="AF736" i="26" s="1"/>
  <c r="AN736" i="26" s="1"/>
  <c r="AS736" i="26"/>
  <c r="BJ736" i="26" s="1"/>
  <c r="V736" i="26"/>
  <c r="K736" i="26"/>
  <c r="M736" i="26" s="1"/>
  <c r="D736" i="26"/>
  <c r="E737" i="26" s="1"/>
  <c r="X736" i="26"/>
  <c r="AP736" i="26"/>
  <c r="P736" i="26"/>
  <c r="G736" i="26"/>
  <c r="F736" i="26"/>
  <c r="R736" i="26" s="1"/>
  <c r="O736" i="26"/>
  <c r="S736" i="26" s="1"/>
  <c r="T736" i="26" s="1"/>
  <c r="BC736" i="26" s="1"/>
  <c r="O1012" i="55"/>
  <c r="AG1012" i="55"/>
  <c r="Q1012" i="55"/>
  <c r="K1012" i="55"/>
  <c r="AI1012" i="55"/>
  <c r="P1012" i="55"/>
  <c r="AK1012" i="55"/>
  <c r="N1012" i="55"/>
  <c r="D1012" i="55"/>
  <c r="AH1012" i="55"/>
  <c r="L1012" i="55"/>
  <c r="AW1012" i="55"/>
  <c r="H1012" i="55"/>
  <c r="A1012" i="55"/>
  <c r="U1012" i="55"/>
  <c r="AX1012" i="55"/>
  <c r="W1012" i="55"/>
  <c r="V1012" i="55"/>
  <c r="B1012" i="55"/>
  <c r="AM1012" i="55"/>
  <c r="AC1012" i="55"/>
  <c r="G1012" i="55"/>
  <c r="AQ1012" i="55"/>
  <c r="M1012" i="55"/>
  <c r="S1012" i="55"/>
  <c r="F1012" i="55"/>
  <c r="AN1012" i="55"/>
  <c r="AB1012" i="55"/>
  <c r="X1012" i="55"/>
  <c r="AT1012" i="55"/>
  <c r="C1012" i="55"/>
  <c r="I1012" i="55"/>
  <c r="Z1012" i="55"/>
  <c r="AO1012" i="55"/>
  <c r="AD1012" i="55"/>
  <c r="AF1012" i="55"/>
  <c r="AL1012" i="55"/>
  <c r="AL696" i="55"/>
  <c r="BT735" i="26" l="1"/>
  <c r="L737" i="26"/>
  <c r="A737" i="26"/>
  <c r="W737" i="26"/>
  <c r="C737" i="26"/>
  <c r="K737" i="26"/>
  <c r="M737" i="26" s="1"/>
  <c r="AJ737" i="26" s="1"/>
  <c r="AK737" i="26" s="1"/>
  <c r="B737" i="26"/>
  <c r="D737" i="26" s="1"/>
  <c r="H737" i="26"/>
  <c r="Q737" i="26"/>
  <c r="G737" i="26"/>
  <c r="O737" i="26"/>
  <c r="X737" i="26"/>
  <c r="P737" i="26"/>
  <c r="F737" i="26"/>
  <c r="R737" i="26" s="1"/>
  <c r="AO736" i="26"/>
  <c r="AT736" i="26" s="1"/>
  <c r="BK736" i="26"/>
  <c r="N736" i="26"/>
  <c r="AJ736" i="26"/>
  <c r="AK736" i="26" s="1"/>
  <c r="AL736" i="26"/>
  <c r="BL736" i="26"/>
  <c r="E1013" i="55"/>
  <c r="AL695" i="55"/>
  <c r="N737" i="26" l="1"/>
  <c r="AP737" i="26"/>
  <c r="S737" i="26"/>
  <c r="T737" i="26" s="1"/>
  <c r="BC737" i="26" s="1"/>
  <c r="U737" i="26"/>
  <c r="AF737" i="26" s="1"/>
  <c r="AN737" i="26" s="1"/>
  <c r="E738" i="26"/>
  <c r="AM736" i="26"/>
  <c r="AU736" i="26" s="1"/>
  <c r="V737" i="26"/>
  <c r="AV736" i="55"/>
  <c r="BT736" i="26"/>
  <c r="O1013" i="55"/>
  <c r="AO1013" i="55"/>
  <c r="AI1013" i="55"/>
  <c r="Q1013" i="55"/>
  <c r="P1013" i="55"/>
  <c r="K1013" i="55"/>
  <c r="AF1013" i="55"/>
  <c r="AG1013" i="55"/>
  <c r="AD1013" i="55"/>
  <c r="AK1013" i="55"/>
  <c r="Z1013" i="55"/>
  <c r="AL1013" i="55"/>
  <c r="D1013" i="55"/>
  <c r="AH1013" i="55"/>
  <c r="AW1013" i="55"/>
  <c r="U1013" i="55"/>
  <c r="AB1013" i="55"/>
  <c r="AQ1013" i="55"/>
  <c r="AX1013" i="55"/>
  <c r="G1013" i="55"/>
  <c r="M1013" i="55"/>
  <c r="V1013" i="55"/>
  <c r="AN1013" i="55"/>
  <c r="B1013" i="55"/>
  <c r="I1013" i="55"/>
  <c r="C1013" i="55"/>
  <c r="H1013" i="55"/>
  <c r="AT1013" i="55"/>
  <c r="N1013" i="55"/>
  <c r="AC1013" i="55"/>
  <c r="AM1013" i="55"/>
  <c r="S1013" i="55"/>
  <c r="W1013" i="55"/>
  <c r="A1013" i="55"/>
  <c r="X1013" i="55"/>
  <c r="F1013" i="55"/>
  <c r="L1013" i="55"/>
  <c r="AL694" i="55"/>
  <c r="BL737" i="26" l="1"/>
  <c r="AL737" i="26"/>
  <c r="AM737" i="26" s="1"/>
  <c r="AU737" i="26" s="1"/>
  <c r="BK737" i="26"/>
  <c r="AO737" i="26"/>
  <c r="AT737" i="26" s="1"/>
  <c r="B738" i="26"/>
  <c r="C738" i="26"/>
  <c r="Q738" i="26"/>
  <c r="H738" i="26"/>
  <c r="AP738" i="26"/>
  <c r="D738" i="26"/>
  <c r="P738" i="26" s="1"/>
  <c r="L738" i="26"/>
  <c r="A738" i="26"/>
  <c r="W738" i="26"/>
  <c r="F738" i="26"/>
  <c r="G738" i="26"/>
  <c r="BT737" i="26"/>
  <c r="AV737" i="55"/>
  <c r="E1014" i="55"/>
  <c r="AL693" i="55"/>
  <c r="R738" i="26" l="1"/>
  <c r="K738" i="26"/>
  <c r="M738" i="26" s="1"/>
  <c r="X738" i="26"/>
  <c r="O738" i="26"/>
  <c r="AS738" i="26"/>
  <c r="BJ738" i="26" s="1"/>
  <c r="U738" i="26"/>
  <c r="AF738" i="26" s="1"/>
  <c r="AN738" i="26" s="1"/>
  <c r="V738" i="26"/>
  <c r="E739" i="26"/>
  <c r="O1014" i="55"/>
  <c r="Z1014" i="55"/>
  <c r="AI1014" i="55"/>
  <c r="Q1014" i="55"/>
  <c r="K1014" i="55"/>
  <c r="P1014" i="55"/>
  <c r="AL1014" i="55"/>
  <c r="AD1014" i="55"/>
  <c r="AK1014" i="55"/>
  <c r="AF1014" i="55"/>
  <c r="H1014" i="55"/>
  <c r="S1014" i="55"/>
  <c r="AC1014" i="55"/>
  <c r="AH1014" i="55"/>
  <c r="B1014" i="55"/>
  <c r="L1014" i="55"/>
  <c r="X1014" i="55"/>
  <c r="I1014" i="55"/>
  <c r="AM1014" i="55"/>
  <c r="U1014" i="55"/>
  <c r="N1014" i="55"/>
  <c r="W1014" i="55"/>
  <c r="M1014" i="55"/>
  <c r="D1014" i="55"/>
  <c r="V1014" i="55"/>
  <c r="C1014" i="55"/>
  <c r="AX1014" i="55"/>
  <c r="F1014" i="55"/>
  <c r="G1014" i="55"/>
  <c r="AN1014" i="55"/>
  <c r="AT1014" i="55"/>
  <c r="AW1014" i="55"/>
  <c r="AB1014" i="55"/>
  <c r="A1014" i="55"/>
  <c r="AQ1014" i="55"/>
  <c r="AG1014" i="55"/>
  <c r="AO1014" i="55"/>
  <c r="AL692" i="55"/>
  <c r="AL738" i="26" l="1"/>
  <c r="AM738" i="26" s="1"/>
  <c r="AU738" i="26" s="1"/>
  <c r="H739" i="26"/>
  <c r="B739" i="26"/>
  <c r="K739" i="26" s="1"/>
  <c r="M739" i="26" s="1"/>
  <c r="L739" i="26"/>
  <c r="Q739" i="26"/>
  <c r="W739" i="26"/>
  <c r="A739" i="26"/>
  <c r="C739" i="26"/>
  <c r="S738" i="26"/>
  <c r="T738" i="26" s="1"/>
  <c r="AJ738" i="26"/>
  <c r="AK738" i="26" s="1"/>
  <c r="N738" i="26"/>
  <c r="BK738" i="26"/>
  <c r="AO738" i="26"/>
  <c r="AT738" i="26" s="1"/>
  <c r="X739" i="26"/>
  <c r="E1015" i="55"/>
  <c r="AL691" i="55"/>
  <c r="N739" i="26" l="1"/>
  <c r="AJ739" i="26"/>
  <c r="AK739" i="26" s="1"/>
  <c r="E740" i="26"/>
  <c r="U739" i="26"/>
  <c r="D739" i="26"/>
  <c r="AF739" i="26"/>
  <c r="AN739" i="26" s="1"/>
  <c r="AP739" i="26"/>
  <c r="O739" i="26"/>
  <c r="G739" i="26"/>
  <c r="F739" i="26"/>
  <c r="R739" i="26" s="1"/>
  <c r="AO739" i="26"/>
  <c r="BL738" i="26"/>
  <c r="BC738" i="26"/>
  <c r="AS739" i="26"/>
  <c r="BJ739" i="26" s="1"/>
  <c r="V739" i="26"/>
  <c r="BK739" i="26" s="1"/>
  <c r="O1015" i="55"/>
  <c r="AG1015" i="55"/>
  <c r="AI1015" i="55"/>
  <c r="Q1015" i="55"/>
  <c r="P1015" i="55"/>
  <c r="K1015" i="55"/>
  <c r="AK1015" i="55"/>
  <c r="AD1015" i="55"/>
  <c r="AF1015" i="55"/>
  <c r="Z1015" i="55"/>
  <c r="C1015" i="55"/>
  <c r="M1015" i="55"/>
  <c r="D1015" i="55"/>
  <c r="AT1015" i="55"/>
  <c r="H1015" i="55"/>
  <c r="F1015" i="55"/>
  <c r="A1015" i="55"/>
  <c r="S1015" i="55"/>
  <c r="AH1015" i="55"/>
  <c r="AQ1015" i="55"/>
  <c r="W1015" i="55"/>
  <c r="X1015" i="55"/>
  <c r="L1015" i="55"/>
  <c r="N1015" i="55"/>
  <c r="AX1015" i="55"/>
  <c r="V1015" i="55"/>
  <c r="AW1015" i="55"/>
  <c r="B1015" i="55"/>
  <c r="AN1015" i="55"/>
  <c r="I1015" i="55"/>
  <c r="AC1015" i="55"/>
  <c r="AB1015" i="55"/>
  <c r="AM1015" i="55"/>
  <c r="G1015" i="55"/>
  <c r="U1015" i="55"/>
  <c r="AO1015" i="55"/>
  <c r="AL1015" i="55"/>
  <c r="AL690" i="55"/>
  <c r="AT739" i="26" l="1"/>
  <c r="S739" i="26"/>
  <c r="T739" i="26" s="1"/>
  <c r="BL739" i="26" s="1"/>
  <c r="D740" i="26"/>
  <c r="P740" i="26" s="1"/>
  <c r="AV738" i="55"/>
  <c r="BT738" i="26"/>
  <c r="L740" i="26"/>
  <c r="C740" i="26"/>
  <c r="U740" i="26" s="1"/>
  <c r="H740" i="26"/>
  <c r="A740" i="26"/>
  <c r="AO740" i="26"/>
  <c r="B740" i="26"/>
  <c r="W740" i="26"/>
  <c r="Q740" i="26"/>
  <c r="O740" i="26"/>
  <c r="V740" i="26"/>
  <c r="P739" i="26"/>
  <c r="E741" i="26"/>
  <c r="E1016" i="55"/>
  <c r="AL689" i="55"/>
  <c r="BC739" i="26" l="1"/>
  <c r="AL739" i="26"/>
  <c r="AM739" i="26" s="1"/>
  <c r="AU739" i="26" s="1"/>
  <c r="BK740" i="26"/>
  <c r="AV739" i="55"/>
  <c r="BT739" i="26"/>
  <c r="S740" i="26"/>
  <c r="T740" i="26" s="1"/>
  <c r="BL740" i="26" s="1"/>
  <c r="G740" i="26"/>
  <c r="X740" i="26"/>
  <c r="AP740" i="26"/>
  <c r="AT740" i="26" s="1"/>
  <c r="K740" i="26"/>
  <c r="M740" i="26" s="1"/>
  <c r="AS740" i="26"/>
  <c r="BJ740" i="26" s="1"/>
  <c r="AF740" i="26"/>
  <c r="AN740" i="26" s="1"/>
  <c r="F740" i="26"/>
  <c r="R740" i="26" s="1"/>
  <c r="Q741" i="26"/>
  <c r="L741" i="26"/>
  <c r="C741" i="26"/>
  <c r="X741" i="26" s="1"/>
  <c r="W741" i="26"/>
  <c r="B741" i="26"/>
  <c r="K741" i="26" s="1"/>
  <c r="M741" i="26" s="1"/>
  <c r="N741" i="26" s="1"/>
  <c r="H741" i="26"/>
  <c r="A741" i="26"/>
  <c r="O1016" i="55"/>
  <c r="AG1016" i="55"/>
  <c r="AI1016" i="55"/>
  <c r="Q1016" i="55"/>
  <c r="P1016" i="55"/>
  <c r="K1016" i="55"/>
  <c r="AF1016" i="55"/>
  <c r="AO1016" i="55"/>
  <c r="Z1016" i="55"/>
  <c r="AD1016" i="55"/>
  <c r="AL1016" i="55"/>
  <c r="AK1016" i="55"/>
  <c r="W1016" i="55"/>
  <c r="AH1016" i="55"/>
  <c r="S1016" i="55"/>
  <c r="AN1016" i="55"/>
  <c r="X1016" i="55"/>
  <c r="L1016" i="55"/>
  <c r="AT1016" i="55"/>
  <c r="C1016" i="55"/>
  <c r="I1016" i="55"/>
  <c r="AQ1016" i="55"/>
  <c r="B1016" i="55"/>
  <c r="AC1016" i="55"/>
  <c r="D1016" i="55"/>
  <c r="V1016" i="55"/>
  <c r="AB1016" i="55"/>
  <c r="A1016" i="55"/>
  <c r="AM1016" i="55"/>
  <c r="N1016" i="55"/>
  <c r="G1016" i="55"/>
  <c r="AX1016" i="55"/>
  <c r="M1016" i="55"/>
  <c r="H1016" i="55"/>
  <c r="AW1016" i="55"/>
  <c r="F1016" i="55"/>
  <c r="U1016" i="55"/>
  <c r="AL688" i="55"/>
  <c r="AL740" i="26" l="1"/>
  <c r="AM740" i="26" s="1"/>
  <c r="AU740" i="26" s="1"/>
  <c r="BC740" i="26"/>
  <c r="N740" i="26"/>
  <c r="AJ740" i="26"/>
  <c r="AK740" i="26" s="1"/>
  <c r="AS741" i="26"/>
  <c r="BJ741" i="26" s="1"/>
  <c r="AJ741" i="26"/>
  <c r="AK741" i="26" s="1"/>
  <c r="G741" i="26"/>
  <c r="V741" i="26"/>
  <c r="F741" i="26"/>
  <c r="R741" i="26" s="1"/>
  <c r="U741" i="26"/>
  <c r="AF741" i="26" s="1"/>
  <c r="AN741" i="26" s="1"/>
  <c r="D741" i="26"/>
  <c r="E742" i="26" s="1"/>
  <c r="AP741" i="26"/>
  <c r="E1017" i="55"/>
  <c r="AL687" i="55"/>
  <c r="BT740" i="26" l="1"/>
  <c r="AV740" i="55"/>
  <c r="L742" i="26"/>
  <c r="B742" i="26"/>
  <c r="F742" i="26" s="1"/>
  <c r="H742" i="26"/>
  <c r="W742" i="26"/>
  <c r="Q742" i="26"/>
  <c r="A742" i="26"/>
  <c r="C742" i="26"/>
  <c r="AS742" i="26" s="1"/>
  <c r="BJ742" i="26" s="1"/>
  <c r="BK741" i="26"/>
  <c r="AO741" i="26"/>
  <c r="AT741" i="26" s="1"/>
  <c r="P741" i="26"/>
  <c r="O741" i="26"/>
  <c r="O1017" i="55"/>
  <c r="AL1017" i="55"/>
  <c r="AI1017" i="55"/>
  <c r="Q1017" i="55"/>
  <c r="P1017" i="55"/>
  <c r="K1017" i="55"/>
  <c r="AF1017" i="55"/>
  <c r="Z1017" i="55"/>
  <c r="AK1017" i="55"/>
  <c r="AO1017" i="55"/>
  <c r="AW1017" i="55"/>
  <c r="AT1017" i="55"/>
  <c r="S1017" i="55"/>
  <c r="AH1017" i="55"/>
  <c r="L1017" i="55"/>
  <c r="F1017" i="55"/>
  <c r="C1017" i="55"/>
  <c r="H1017" i="55"/>
  <c r="I1017" i="55"/>
  <c r="G1017" i="55"/>
  <c r="AC1017" i="55"/>
  <c r="AQ1017" i="55"/>
  <c r="N1017" i="55"/>
  <c r="A1017" i="55"/>
  <c r="AN1017" i="55"/>
  <c r="B1017" i="55"/>
  <c r="M1017" i="55"/>
  <c r="D1017" i="55"/>
  <c r="X1017" i="55"/>
  <c r="AX1017" i="55"/>
  <c r="W1017" i="55"/>
  <c r="AB1017" i="55"/>
  <c r="V1017" i="55"/>
  <c r="U1017" i="55"/>
  <c r="AM1017" i="55"/>
  <c r="AG1017" i="55"/>
  <c r="AD1017" i="55"/>
  <c r="AL686" i="55"/>
  <c r="AL741" i="26" l="1"/>
  <c r="AM741" i="26" s="1"/>
  <c r="AU741" i="26" s="1"/>
  <c r="K742" i="26"/>
  <c r="M742" i="26" s="1"/>
  <c r="N742" i="26" s="1"/>
  <c r="AP742" i="26"/>
  <c r="U742" i="26"/>
  <c r="AF742" i="26" s="1"/>
  <c r="AN742" i="26" s="1"/>
  <c r="D742" i="26"/>
  <c r="P742" i="26" s="1"/>
  <c r="R742" i="26"/>
  <c r="S741" i="26"/>
  <c r="T741" i="26" s="1"/>
  <c r="BC741" i="26" s="1"/>
  <c r="X742" i="26"/>
  <c r="G742" i="26"/>
  <c r="V742" i="26"/>
  <c r="E1018" i="55"/>
  <c r="AL685" i="55"/>
  <c r="AJ742" i="26" l="1"/>
  <c r="AK742" i="26" s="1"/>
  <c r="E743" i="26"/>
  <c r="AO742" i="26"/>
  <c r="AT742" i="26" s="1"/>
  <c r="BK742" i="26"/>
  <c r="O742" i="26"/>
  <c r="B743" i="26"/>
  <c r="G743" i="26" s="1"/>
  <c r="L743" i="26"/>
  <c r="Q743" i="26"/>
  <c r="W743" i="26"/>
  <c r="C743" i="26"/>
  <c r="V743" i="26" s="1"/>
  <c r="H743" i="26"/>
  <c r="A743" i="26"/>
  <c r="BL741" i="26"/>
  <c r="O1018" i="55"/>
  <c r="AL1018" i="55"/>
  <c r="Q1018" i="55"/>
  <c r="AI1018" i="55"/>
  <c r="K1018" i="55"/>
  <c r="P1018" i="55"/>
  <c r="AO1018" i="55"/>
  <c r="AF1018" i="55"/>
  <c r="Z1018" i="55"/>
  <c r="AG1018" i="55"/>
  <c r="AD1018" i="55"/>
  <c r="AK1018" i="55"/>
  <c r="N1018" i="55"/>
  <c r="W1018" i="55"/>
  <c r="M1018" i="55"/>
  <c r="D1018" i="55"/>
  <c r="U1018" i="55"/>
  <c r="G1018" i="55"/>
  <c r="AT1018" i="55"/>
  <c r="C1018" i="55"/>
  <c r="F1018" i="55"/>
  <c r="S1018" i="55"/>
  <c r="A1018" i="55"/>
  <c r="AN1018" i="55"/>
  <c r="AX1018" i="55"/>
  <c r="AH1018" i="55"/>
  <c r="AB1018" i="55"/>
  <c r="AM1018" i="55"/>
  <c r="B1018" i="55"/>
  <c r="AW1018" i="55"/>
  <c r="V1018" i="55"/>
  <c r="L1018" i="55"/>
  <c r="H1018" i="55"/>
  <c r="I1018" i="55"/>
  <c r="X1018" i="55"/>
  <c r="AC1018" i="55"/>
  <c r="AQ1018" i="55"/>
  <c r="AL684" i="55"/>
  <c r="AL742" i="26" l="1"/>
  <c r="AM742" i="26" s="1"/>
  <c r="AU742" i="26" s="1"/>
  <c r="U743" i="26"/>
  <c r="AF743" i="26" s="1"/>
  <c r="AN743" i="26" s="1"/>
  <c r="X743" i="26"/>
  <c r="BK743" i="26" s="1"/>
  <c r="AO743" i="26"/>
  <c r="D743" i="26"/>
  <c r="E744" i="26" s="1"/>
  <c r="AP743" i="26"/>
  <c r="AV741" i="55"/>
  <c r="BT741" i="26"/>
  <c r="O743" i="26"/>
  <c r="F743" i="26"/>
  <c r="R743" i="26" s="1"/>
  <c r="K743" i="26"/>
  <c r="M743" i="26" s="1"/>
  <c r="AS743" i="26"/>
  <c r="BJ743" i="26" s="1"/>
  <c r="S742" i="26"/>
  <c r="T742" i="26" s="1"/>
  <c r="BC742" i="26" s="1"/>
  <c r="E1019" i="55"/>
  <c r="AL683" i="55"/>
  <c r="S743" i="26" l="1"/>
  <c r="T743" i="26" s="1"/>
  <c r="BC743" i="26" s="1"/>
  <c r="AJ743" i="26"/>
  <c r="AK743" i="26" s="1"/>
  <c r="N743" i="26"/>
  <c r="P743" i="26"/>
  <c r="BL742" i="26"/>
  <c r="W744" i="26"/>
  <c r="H744" i="26"/>
  <c r="Q744" i="26"/>
  <c r="B744" i="26"/>
  <c r="G744" i="26" s="1"/>
  <c r="L744" i="26"/>
  <c r="C744" i="26"/>
  <c r="U744" i="26" s="1"/>
  <c r="A744" i="26"/>
  <c r="AT743" i="26"/>
  <c r="O1019" i="55"/>
  <c r="AO1019" i="55"/>
  <c r="AI1019" i="55"/>
  <c r="P1019" i="55"/>
  <c r="Q1019" i="55"/>
  <c r="K1019" i="55"/>
  <c r="AF1019" i="55"/>
  <c r="AK1019" i="55"/>
  <c r="AL1019" i="55"/>
  <c r="Z1019" i="55"/>
  <c r="AG1019" i="55"/>
  <c r="AD1019" i="55"/>
  <c r="AH1019" i="55"/>
  <c r="AT1019" i="55"/>
  <c r="S1019" i="55"/>
  <c r="AW1019" i="55"/>
  <c r="L1019" i="55"/>
  <c r="V1019" i="55"/>
  <c r="G1019" i="55"/>
  <c r="AQ1019" i="55"/>
  <c r="AM1019" i="55"/>
  <c r="AB1019" i="55"/>
  <c r="AN1019" i="55"/>
  <c r="B1019" i="55"/>
  <c r="F1019" i="55"/>
  <c r="AC1019" i="55"/>
  <c r="I1019" i="55"/>
  <c r="C1019" i="55"/>
  <c r="U1019" i="55"/>
  <c r="X1019" i="55"/>
  <c r="AX1019" i="55"/>
  <c r="D1019" i="55"/>
  <c r="N1019" i="55"/>
  <c r="A1019" i="55"/>
  <c r="M1019" i="55"/>
  <c r="W1019" i="55"/>
  <c r="H1019" i="55"/>
  <c r="AL682" i="55"/>
  <c r="AL743" i="26" l="1"/>
  <c r="AM743" i="26" s="1"/>
  <c r="AU743" i="26" s="1"/>
  <c r="F744" i="26"/>
  <c r="R744" i="26" s="1"/>
  <c r="AP744" i="26"/>
  <c r="AF744" i="26"/>
  <c r="AN744" i="26" s="1"/>
  <c r="K744" i="26"/>
  <c r="M744" i="26" s="1"/>
  <c r="AJ744" i="26" s="1"/>
  <c r="AK744" i="26" s="1"/>
  <c r="AV742" i="55"/>
  <c r="BT742" i="26"/>
  <c r="D744" i="26"/>
  <c r="E745" i="26" s="1"/>
  <c r="AS744" i="26"/>
  <c r="BJ744" i="26" s="1"/>
  <c r="V744" i="26"/>
  <c r="AO744" i="26" s="1"/>
  <c r="X744" i="26"/>
  <c r="BL743" i="26"/>
  <c r="E1020" i="55"/>
  <c r="AL681" i="55"/>
  <c r="AT744" i="26" l="1"/>
  <c r="N744" i="26"/>
  <c r="AV743" i="55"/>
  <c r="BT743" i="26"/>
  <c r="Q745" i="26"/>
  <c r="L745" i="26"/>
  <c r="C745" i="26"/>
  <c r="U745" i="26" s="1"/>
  <c r="AF745" i="26" s="1"/>
  <c r="AN745" i="26" s="1"/>
  <c r="B745" i="26"/>
  <c r="K745" i="26" s="1"/>
  <c r="W745" i="26"/>
  <c r="A745" i="26"/>
  <c r="H745" i="26"/>
  <c r="D745" i="26"/>
  <c r="O745" i="26" s="1"/>
  <c r="S745" i="26" s="1"/>
  <c r="T745" i="26" s="1"/>
  <c r="F745" i="26"/>
  <c r="R745" i="26" s="1"/>
  <c r="P744" i="26"/>
  <c r="O744" i="26"/>
  <c r="BK744" i="26"/>
  <c r="O1020" i="55"/>
  <c r="AI1020" i="55"/>
  <c r="Q1020" i="55"/>
  <c r="K1020" i="55"/>
  <c r="P1020" i="55"/>
  <c r="AK1020" i="55"/>
  <c r="S1020" i="55"/>
  <c r="F1020" i="55"/>
  <c r="AM1020" i="55"/>
  <c r="L1020" i="55"/>
  <c r="AH1020" i="55"/>
  <c r="AW1020" i="55"/>
  <c r="B1020" i="55"/>
  <c r="AQ1020" i="55"/>
  <c r="H1020" i="55"/>
  <c r="AN1020" i="55"/>
  <c r="V1020" i="55"/>
  <c r="U1020" i="55"/>
  <c r="A1020" i="55"/>
  <c r="W1020" i="55"/>
  <c r="AT1020" i="55"/>
  <c r="X1020" i="55"/>
  <c r="AC1020" i="55"/>
  <c r="AX1020" i="55"/>
  <c r="C1020" i="55"/>
  <c r="D1020" i="55"/>
  <c r="M1020" i="55"/>
  <c r="N1020" i="55"/>
  <c r="G1020" i="55"/>
  <c r="I1020" i="55"/>
  <c r="AB1020" i="55"/>
  <c r="AG1020" i="55"/>
  <c r="AF1020" i="55"/>
  <c r="AD1020" i="55"/>
  <c r="AO1020" i="55"/>
  <c r="AL1020" i="55"/>
  <c r="Z1020" i="55"/>
  <c r="AL680" i="55"/>
  <c r="AL744" i="26" l="1"/>
  <c r="AM744" i="26" s="1"/>
  <c r="AU744" i="26" s="1"/>
  <c r="AS745" i="26"/>
  <c r="BJ745" i="26" s="1"/>
  <c r="X745" i="26"/>
  <c r="V745" i="26"/>
  <c r="AO745" i="26" s="1"/>
  <c r="AP745" i="26"/>
  <c r="BL745" i="26"/>
  <c r="G745" i="26"/>
  <c r="S744" i="26"/>
  <c r="T744" i="26" s="1"/>
  <c r="BC744" i="26" s="1"/>
  <c r="BC745" i="26" s="1"/>
  <c r="M745" i="26"/>
  <c r="P745" i="26"/>
  <c r="E746" i="26"/>
  <c r="E1021" i="55"/>
  <c r="AL679" i="55"/>
  <c r="AL745" i="26" l="1"/>
  <c r="AM745" i="26" s="1"/>
  <c r="AU745" i="26" s="1"/>
  <c r="AT745" i="26"/>
  <c r="BK745" i="26"/>
  <c r="W746" i="26"/>
  <c r="A746" i="26"/>
  <c r="B746" i="26"/>
  <c r="D746" i="26" s="1"/>
  <c r="Q746" i="26"/>
  <c r="C746" i="26"/>
  <c r="U746" i="26" s="1"/>
  <c r="AF746" i="26" s="1"/>
  <c r="AN746" i="26" s="1"/>
  <c r="H746" i="26"/>
  <c r="F746" i="26"/>
  <c r="R746" i="26" s="1"/>
  <c r="L746" i="26"/>
  <c r="N745" i="26"/>
  <c r="AJ745" i="26"/>
  <c r="AK745" i="26" s="1"/>
  <c r="BL744" i="26"/>
  <c r="O1021" i="55"/>
  <c r="AK1021" i="55"/>
  <c r="AI1021" i="55"/>
  <c r="Q1021" i="55"/>
  <c r="P1021" i="55"/>
  <c r="K1021" i="55"/>
  <c r="AG1021" i="55"/>
  <c r="AF1021" i="55"/>
  <c r="Z1021" i="55"/>
  <c r="AO1021" i="55"/>
  <c r="AD1021" i="55"/>
  <c r="AL1021" i="55"/>
  <c r="M1021" i="55"/>
  <c r="AM1021" i="55"/>
  <c r="AH1021" i="55"/>
  <c r="V1021" i="55"/>
  <c r="I1021" i="55"/>
  <c r="D1021" i="55"/>
  <c r="U1021" i="55"/>
  <c r="AB1021" i="55"/>
  <c r="G1021" i="55"/>
  <c r="A1021" i="55"/>
  <c r="X1021" i="55"/>
  <c r="F1021" i="55"/>
  <c r="L1021" i="55"/>
  <c r="AX1021" i="55"/>
  <c r="W1021" i="55"/>
  <c r="AQ1021" i="55"/>
  <c r="C1021" i="55"/>
  <c r="AT1021" i="55"/>
  <c r="AN1021" i="55"/>
  <c r="N1021" i="55"/>
  <c r="AC1021" i="55"/>
  <c r="AW1021" i="55"/>
  <c r="H1021" i="55"/>
  <c r="S1021" i="55"/>
  <c r="B1021" i="55"/>
  <c r="AL678" i="55"/>
  <c r="X746" i="26" l="1"/>
  <c r="K746" i="26"/>
  <c r="M746" i="26" s="1"/>
  <c r="G746" i="26"/>
  <c r="AV744" i="55"/>
  <c r="BT744" i="26"/>
  <c r="AP746" i="26"/>
  <c r="O746" i="26"/>
  <c r="P746" i="26"/>
  <c r="E747" i="26"/>
  <c r="AS746" i="26"/>
  <c r="BJ746" i="26" s="1"/>
  <c r="V746" i="26"/>
  <c r="AO746" i="26" s="1"/>
  <c r="E1022" i="55"/>
  <c r="AL677" i="55"/>
  <c r="AL746" i="26" l="1"/>
  <c r="AM746" i="26" s="1"/>
  <c r="AU746" i="26" s="1"/>
  <c r="BK746" i="26"/>
  <c r="N746" i="26"/>
  <c r="AJ746" i="26"/>
  <c r="AK746" i="26" s="1"/>
  <c r="W747" i="26"/>
  <c r="Q747" i="26"/>
  <c r="C747" i="26"/>
  <c r="A747" i="26"/>
  <c r="H747" i="26"/>
  <c r="L747" i="26"/>
  <c r="B747" i="26"/>
  <c r="U747" i="26"/>
  <c r="S746" i="26"/>
  <c r="T746" i="26" s="1"/>
  <c r="BT745" i="26"/>
  <c r="AV745" i="55"/>
  <c r="AT746" i="26"/>
  <c r="O1022" i="55"/>
  <c r="AL1022" i="55"/>
  <c r="AI1022" i="55"/>
  <c r="Q1022" i="55"/>
  <c r="K1022" i="55"/>
  <c r="P1022" i="55"/>
  <c r="AD1022" i="55"/>
  <c r="AO1022" i="55"/>
  <c r="AG1022" i="55"/>
  <c r="Z1022" i="55"/>
  <c r="AF1022" i="55"/>
  <c r="AK1022" i="55"/>
  <c r="C1022" i="55"/>
  <c r="AQ1022" i="55"/>
  <c r="AM1022" i="55"/>
  <c r="F1022" i="55"/>
  <c r="W1022" i="55"/>
  <c r="X1022" i="55"/>
  <c r="N1022" i="55"/>
  <c r="AN1022" i="55"/>
  <c r="AT1022" i="55"/>
  <c r="B1022" i="55"/>
  <c r="U1022" i="55"/>
  <c r="AW1022" i="55"/>
  <c r="AB1022" i="55"/>
  <c r="G1022" i="55"/>
  <c r="V1022" i="55"/>
  <c r="AX1022" i="55"/>
  <c r="D1022" i="55"/>
  <c r="H1022" i="55"/>
  <c r="A1022" i="55"/>
  <c r="AC1022" i="55"/>
  <c r="S1022" i="55"/>
  <c r="AH1022" i="55"/>
  <c r="L1022" i="55"/>
  <c r="M1022" i="55"/>
  <c r="I1022" i="55"/>
  <c r="AL676" i="55"/>
  <c r="AF747" i="26" l="1"/>
  <c r="AN747" i="26" s="1"/>
  <c r="BL746" i="26"/>
  <c r="BC746" i="26"/>
  <c r="AV746" i="55" s="1"/>
  <c r="D747" i="26"/>
  <c r="O747" i="26" s="1"/>
  <c r="G747" i="26"/>
  <c r="F747" i="26"/>
  <c r="R747" i="26" s="1"/>
  <c r="X747" i="26"/>
  <c r="BT746" i="26"/>
  <c r="AP747" i="26"/>
  <c r="K747" i="26"/>
  <c r="M747" i="26" s="1"/>
  <c r="AS747" i="26"/>
  <c r="BJ747" i="26" s="1"/>
  <c r="V747" i="26"/>
  <c r="E1023" i="55"/>
  <c r="AL675" i="55"/>
  <c r="E748" i="26" l="1"/>
  <c r="B748" i="26" s="1"/>
  <c r="H748" i="26"/>
  <c r="A748" i="26"/>
  <c r="L748" i="26"/>
  <c r="W748" i="26"/>
  <c r="Q748" i="26"/>
  <c r="P747" i="26"/>
  <c r="S747" i="26"/>
  <c r="T747" i="26" s="1"/>
  <c r="BC747" i="26" s="1"/>
  <c r="AO747" i="26"/>
  <c r="AT747" i="26" s="1"/>
  <c r="BK747" i="26"/>
  <c r="AJ747" i="26"/>
  <c r="AK747" i="26" s="1"/>
  <c r="N747" i="26"/>
  <c r="AL1023" i="55"/>
  <c r="O1023" i="55"/>
  <c r="AD1023" i="55"/>
  <c r="AI1023" i="55"/>
  <c r="Q1023" i="55"/>
  <c r="P1023" i="55"/>
  <c r="K1023" i="55"/>
  <c r="AO1023" i="55"/>
  <c r="AK1023" i="55"/>
  <c r="N1023" i="55"/>
  <c r="AM1023" i="55"/>
  <c r="H1023" i="55"/>
  <c r="AW1023" i="55"/>
  <c r="M1023" i="55"/>
  <c r="S1023" i="55"/>
  <c r="AT1023" i="55"/>
  <c r="AH1023" i="55"/>
  <c r="AQ1023" i="55"/>
  <c r="AB1023" i="55"/>
  <c r="U1023" i="55"/>
  <c r="X1023" i="55"/>
  <c r="AX1023" i="55"/>
  <c r="C1023" i="55"/>
  <c r="AN1023" i="55"/>
  <c r="D1023" i="55"/>
  <c r="I1023" i="55"/>
  <c r="L1023" i="55"/>
  <c r="V1023" i="55"/>
  <c r="AC1023" i="55"/>
  <c r="W1023" i="55"/>
  <c r="B1023" i="55"/>
  <c r="A1023" i="55"/>
  <c r="G1023" i="55"/>
  <c r="F1023" i="55"/>
  <c r="AG1023" i="55"/>
  <c r="Z1023" i="55"/>
  <c r="AF1023" i="55"/>
  <c r="AL674" i="55"/>
  <c r="AL747" i="26" l="1"/>
  <c r="AM747" i="26" s="1"/>
  <c r="AU747" i="26" s="1"/>
  <c r="G748" i="26"/>
  <c r="C748" i="26"/>
  <c r="AS748" i="26" s="1"/>
  <c r="BJ748" i="26" s="1"/>
  <c r="AP748" i="26"/>
  <c r="D748" i="26"/>
  <c r="V748" i="26"/>
  <c r="F748" i="26"/>
  <c r="R748" i="26" s="1"/>
  <c r="K748" i="26"/>
  <c r="M748" i="26" s="1"/>
  <c r="BL747" i="26"/>
  <c r="E1024" i="55"/>
  <c r="AL673" i="55"/>
  <c r="U748" i="26" l="1"/>
  <c r="AF748" i="26" s="1"/>
  <c r="AN748" i="26" s="1"/>
  <c r="X748" i="26"/>
  <c r="BK748" i="26" s="1"/>
  <c r="AV747" i="55"/>
  <c r="BT747" i="26"/>
  <c r="AJ748" i="26"/>
  <c r="AK748" i="26" s="1"/>
  <c r="N748" i="26"/>
  <c r="E749" i="26"/>
  <c r="P748" i="26"/>
  <c r="O748" i="26"/>
  <c r="AO748" i="26"/>
  <c r="AT748" i="26" s="1"/>
  <c r="O1024" i="55"/>
  <c r="AO1024" i="55"/>
  <c r="Q1024" i="55"/>
  <c r="AI1024" i="55"/>
  <c r="P1024" i="55"/>
  <c r="K1024" i="55"/>
  <c r="Z1024" i="55"/>
  <c r="AG1024" i="55"/>
  <c r="AD1024" i="55"/>
  <c r="AB1024" i="55"/>
  <c r="AX1024" i="55"/>
  <c r="W1024" i="55"/>
  <c r="AC1024" i="55"/>
  <c r="AH1024" i="55"/>
  <c r="B1024" i="55"/>
  <c r="AW1024" i="55"/>
  <c r="AN1024" i="55"/>
  <c r="N1024" i="55"/>
  <c r="S1024" i="55"/>
  <c r="AM1024" i="55"/>
  <c r="M1024" i="55"/>
  <c r="X1024" i="55"/>
  <c r="D1024" i="55"/>
  <c r="L1024" i="55"/>
  <c r="F1024" i="55"/>
  <c r="H1024" i="55"/>
  <c r="A1024" i="55"/>
  <c r="AT1024" i="55"/>
  <c r="C1024" i="55"/>
  <c r="G1024" i="55"/>
  <c r="AQ1024" i="55"/>
  <c r="I1024" i="55"/>
  <c r="U1024" i="55"/>
  <c r="V1024" i="55"/>
  <c r="AF1024" i="55"/>
  <c r="AK1024" i="55"/>
  <c r="AL1024" i="55"/>
  <c r="AL672" i="55"/>
  <c r="AL748" i="26" l="1"/>
  <c r="AM748" i="26" s="1"/>
  <c r="AU748" i="26" s="1"/>
  <c r="Q749" i="26"/>
  <c r="A749" i="26"/>
  <c r="G749" i="26"/>
  <c r="H749" i="26"/>
  <c r="L749" i="26"/>
  <c r="C749" i="26"/>
  <c r="X749" i="26" s="1"/>
  <c r="W749" i="26"/>
  <c r="B749" i="26"/>
  <c r="K749" i="26" s="1"/>
  <c r="M749" i="26" s="1"/>
  <c r="D749" i="26"/>
  <c r="S748" i="26"/>
  <c r="T748" i="26" s="1"/>
  <c r="BC748" i="26" s="1"/>
  <c r="E1025" i="55"/>
  <c r="AL671" i="55"/>
  <c r="E750" i="26" l="1"/>
  <c r="N749" i="26"/>
  <c r="AJ749" i="26"/>
  <c r="AK749" i="26" s="1"/>
  <c r="Q750" i="26"/>
  <c r="B750" i="26"/>
  <c r="A750" i="26"/>
  <c r="BL748" i="26"/>
  <c r="AP749" i="26"/>
  <c r="AP750" i="26" s="1"/>
  <c r="U749" i="26"/>
  <c r="AF749" i="26" s="1"/>
  <c r="AN749" i="26" s="1"/>
  <c r="AS750" i="26"/>
  <c r="BJ750" i="26" s="1"/>
  <c r="W750" i="26"/>
  <c r="C750" i="26"/>
  <c r="V750" i="26" s="1"/>
  <c r="O749" i="26"/>
  <c r="V749" i="26"/>
  <c r="U750" i="26"/>
  <c r="H750" i="26"/>
  <c r="P749" i="26"/>
  <c r="F749" i="26"/>
  <c r="R749" i="26" s="1"/>
  <c r="F750" i="26"/>
  <c r="R750" i="26" s="1"/>
  <c r="D750" i="26"/>
  <c r="O750" i="26"/>
  <c r="O1025" i="55"/>
  <c r="AI1025" i="55"/>
  <c r="Q1025" i="55"/>
  <c r="P1025" i="55"/>
  <c r="K1025" i="55"/>
  <c r="AG1025" i="55"/>
  <c r="AC1025" i="55"/>
  <c r="V1025" i="55"/>
  <c r="AT1025" i="55"/>
  <c r="AX1025" i="55"/>
  <c r="F1025" i="55"/>
  <c r="AM1025" i="55"/>
  <c r="AQ1025" i="55"/>
  <c r="H1025" i="55"/>
  <c r="A1025" i="55"/>
  <c r="AH1025" i="55"/>
  <c r="U1025" i="55"/>
  <c r="D1025" i="55"/>
  <c r="I1025" i="55"/>
  <c r="N1025" i="55"/>
  <c r="L1025" i="55"/>
  <c r="G1025" i="55"/>
  <c r="B1025" i="55"/>
  <c r="W1025" i="55"/>
  <c r="AB1025" i="55"/>
  <c r="AW1025" i="55"/>
  <c r="S1025" i="55"/>
  <c r="X1025" i="55"/>
  <c r="AN1025" i="55"/>
  <c r="C1025" i="55"/>
  <c r="M1025" i="55"/>
  <c r="AF1025" i="55"/>
  <c r="AL1025" i="55"/>
  <c r="Z1025" i="55"/>
  <c r="AD1025" i="55"/>
  <c r="AK1025" i="55"/>
  <c r="AO1025" i="55"/>
  <c r="AL670" i="55"/>
  <c r="AL749" i="26" l="1"/>
  <c r="AM749" i="26" s="1"/>
  <c r="AU749" i="26" s="1"/>
  <c r="L750" i="26"/>
  <c r="AO749" i="26"/>
  <c r="AT749" i="26" s="1"/>
  <c r="BK749" i="26"/>
  <c r="G750" i="26"/>
  <c r="X750" i="26"/>
  <c r="BK750" i="26" s="1"/>
  <c r="P750" i="26"/>
  <c r="K750" i="26"/>
  <c r="M750" i="26" s="1"/>
  <c r="AJ750" i="26" s="1"/>
  <c r="AK750" i="26" s="1"/>
  <c r="AO750" i="26"/>
  <c r="AT750" i="26" s="1"/>
  <c r="S749" i="26"/>
  <c r="T749" i="26" s="1"/>
  <c r="BC749" i="26" s="1"/>
  <c r="BT748" i="26"/>
  <c r="AV748" i="55"/>
  <c r="AF750" i="26"/>
  <c r="AN750" i="26" s="1"/>
  <c r="E751" i="26"/>
  <c r="S750" i="26"/>
  <c r="T750" i="26" s="1"/>
  <c r="E1026" i="55"/>
  <c r="AL669" i="55"/>
  <c r="N750" i="26" l="1"/>
  <c r="AL750" i="26"/>
  <c r="AM750" i="26" s="1"/>
  <c r="AU750" i="26" s="1"/>
  <c r="B751" i="26"/>
  <c r="BC750" i="26"/>
  <c r="Q751" i="26"/>
  <c r="W751" i="26"/>
  <c r="H751" i="26"/>
  <c r="BL749" i="26"/>
  <c r="L751" i="26"/>
  <c r="K751" i="26"/>
  <c r="F751" i="26"/>
  <c r="R751" i="26" s="1"/>
  <c r="D751" i="26"/>
  <c r="P751" i="26" s="1"/>
  <c r="A751" i="26"/>
  <c r="C751" i="26"/>
  <c r="BL750" i="26"/>
  <c r="O751" i="26"/>
  <c r="G751" i="26"/>
  <c r="O1026" i="55"/>
  <c r="AG1026" i="55"/>
  <c r="AF1026" i="55"/>
  <c r="AI1026" i="55"/>
  <c r="Q1026" i="55"/>
  <c r="K1026" i="55"/>
  <c r="P1026" i="55"/>
  <c r="AK1026" i="55"/>
  <c r="AO1026" i="55"/>
  <c r="AL1026" i="55"/>
  <c r="AD1026" i="55"/>
  <c r="Z1026" i="55"/>
  <c r="W1026" i="55"/>
  <c r="AH1026" i="55"/>
  <c r="AB1026" i="55"/>
  <c r="D1026" i="55"/>
  <c r="U1026" i="55"/>
  <c r="F1026" i="55"/>
  <c r="H1026" i="55"/>
  <c r="C1026" i="55"/>
  <c r="M1026" i="55"/>
  <c r="AC1026" i="55"/>
  <c r="N1026" i="55"/>
  <c r="AX1026" i="55"/>
  <c r="X1026" i="55"/>
  <c r="AQ1026" i="55"/>
  <c r="G1026" i="55"/>
  <c r="B1026" i="55"/>
  <c r="V1026" i="55"/>
  <c r="I1026" i="55"/>
  <c r="S1026" i="55"/>
  <c r="AM1026" i="55"/>
  <c r="A1026" i="55"/>
  <c r="L1026" i="55"/>
  <c r="AN1026" i="55"/>
  <c r="AW1026" i="55"/>
  <c r="AT1026" i="55"/>
  <c r="AL668" i="55"/>
  <c r="M751" i="26" l="1"/>
  <c r="N751" i="26" s="1"/>
  <c r="BT749" i="26"/>
  <c r="AV749" i="55"/>
  <c r="AS751" i="26"/>
  <c r="BJ751" i="26" s="1"/>
  <c r="U751" i="26"/>
  <c r="AF751" i="26" s="1"/>
  <c r="AN751" i="26" s="1"/>
  <c r="E752" i="26"/>
  <c r="X751" i="26"/>
  <c r="AP751" i="26"/>
  <c r="V751" i="26"/>
  <c r="AV750" i="55"/>
  <c r="BT750" i="26"/>
  <c r="C752" i="26"/>
  <c r="AS752" i="26" s="1"/>
  <c r="BJ752" i="26" s="1"/>
  <c r="W752" i="26"/>
  <c r="B752" i="26"/>
  <c r="D752" i="26" s="1"/>
  <c r="L752" i="26"/>
  <c r="H752" i="26"/>
  <c r="Q752" i="26"/>
  <c r="A752" i="26"/>
  <c r="K752" i="26"/>
  <c r="F752" i="26"/>
  <c r="R752" i="26" s="1"/>
  <c r="S751" i="26"/>
  <c r="T751" i="26" s="1"/>
  <c r="BC751" i="26" s="1"/>
  <c r="E1027" i="55"/>
  <c r="AL667" i="55"/>
  <c r="AJ751" i="26" l="1"/>
  <c r="AK751" i="26" s="1"/>
  <c r="AL751" i="26"/>
  <c r="AM751" i="26" s="1"/>
  <c r="AU751" i="26" s="1"/>
  <c r="O752" i="26"/>
  <c r="S752" i="26" s="1"/>
  <c r="T752" i="26" s="1"/>
  <c r="P752" i="26"/>
  <c r="G752" i="26"/>
  <c r="X752" i="26"/>
  <c r="AP752" i="26"/>
  <c r="V752" i="26"/>
  <c r="AO752" i="26" s="1"/>
  <c r="BK751" i="26"/>
  <c r="AO751" i="26"/>
  <c r="AT751" i="26" s="1"/>
  <c r="M752" i="26"/>
  <c r="BL751" i="26"/>
  <c r="U752" i="26"/>
  <c r="E753" i="26"/>
  <c r="O1027" i="55"/>
  <c r="AL1027" i="55"/>
  <c r="Z1027" i="55"/>
  <c r="AI1027" i="55"/>
  <c r="Q1027" i="55"/>
  <c r="P1027" i="55"/>
  <c r="K1027" i="55"/>
  <c r="AK1027" i="55"/>
  <c r="AG1027" i="55"/>
  <c r="AD1027" i="55"/>
  <c r="AN1027" i="55"/>
  <c r="AW1027" i="55"/>
  <c r="W1027" i="55"/>
  <c r="H1027" i="55"/>
  <c r="D1027" i="55"/>
  <c r="AB1027" i="55"/>
  <c r="AT1027" i="55"/>
  <c r="AX1027" i="55"/>
  <c r="X1027" i="55"/>
  <c r="A1027" i="55"/>
  <c r="AM1027" i="55"/>
  <c r="I1027" i="55"/>
  <c r="F1027" i="55"/>
  <c r="B1027" i="55"/>
  <c r="V1027" i="55"/>
  <c r="S1027" i="55"/>
  <c r="AQ1027" i="55"/>
  <c r="U1027" i="55"/>
  <c r="G1027" i="55"/>
  <c r="N1027" i="55"/>
  <c r="C1027" i="55"/>
  <c r="M1027" i="55"/>
  <c r="AH1027" i="55"/>
  <c r="AC1027" i="55"/>
  <c r="L1027" i="55"/>
  <c r="AO1027" i="55"/>
  <c r="AF1027" i="55"/>
  <c r="AL666" i="55"/>
  <c r="AT752" i="26" l="1"/>
  <c r="AL752" i="26"/>
  <c r="AM752" i="26" s="1"/>
  <c r="AU752" i="26" s="1"/>
  <c r="BL752" i="26"/>
  <c r="BC752" i="26"/>
  <c r="BK752" i="26"/>
  <c r="AF752" i="26"/>
  <c r="AN752" i="26" s="1"/>
  <c r="B753" i="26"/>
  <c r="F753" i="26" s="1"/>
  <c r="R753" i="26" s="1"/>
  <c r="W753" i="26"/>
  <c r="C753" i="26"/>
  <c r="V753" i="26" s="1"/>
  <c r="L753" i="26"/>
  <c r="A753" i="26"/>
  <c r="H753" i="26"/>
  <c r="Q753" i="26"/>
  <c r="G753" i="26"/>
  <c r="D753" i="26"/>
  <c r="P753" i="26" s="1"/>
  <c r="AV751" i="55"/>
  <c r="BT751" i="26"/>
  <c r="N752" i="26"/>
  <c r="AJ752" i="26"/>
  <c r="AK752" i="26" s="1"/>
  <c r="E1028" i="55"/>
  <c r="AL665" i="55"/>
  <c r="AP753" i="26" l="1"/>
  <c r="AO753" i="26"/>
  <c r="K753" i="26"/>
  <c r="M753" i="26" s="1"/>
  <c r="X753" i="26"/>
  <c r="BK753" i="26" s="1"/>
  <c r="U753" i="26"/>
  <c r="AF753" i="26" s="1"/>
  <c r="AN753" i="26" s="1"/>
  <c r="O753" i="26"/>
  <c r="E754" i="26"/>
  <c r="AS753" i="26"/>
  <c r="BJ753" i="26" s="1"/>
  <c r="AV752" i="55"/>
  <c r="BT752" i="26"/>
  <c r="O1028" i="55"/>
  <c r="AL1028" i="55"/>
  <c r="AI1028" i="55"/>
  <c r="K1028" i="55"/>
  <c r="Q1028" i="55"/>
  <c r="P1028" i="55"/>
  <c r="Z1028" i="55"/>
  <c r="AG1028" i="55"/>
  <c r="G1028" i="55"/>
  <c r="H1028" i="55"/>
  <c r="N1028" i="55"/>
  <c r="B1028" i="55"/>
  <c r="D1028" i="55"/>
  <c r="AN1028" i="55"/>
  <c r="AC1028" i="55"/>
  <c r="M1028" i="55"/>
  <c r="I1028" i="55"/>
  <c r="AT1028" i="55"/>
  <c r="A1028" i="55"/>
  <c r="F1028" i="55"/>
  <c r="S1028" i="55"/>
  <c r="U1028" i="55"/>
  <c r="AQ1028" i="55"/>
  <c r="L1028" i="55"/>
  <c r="AM1028" i="55"/>
  <c r="X1028" i="55"/>
  <c r="AW1028" i="55"/>
  <c r="AX1028" i="55"/>
  <c r="AB1028" i="55"/>
  <c r="W1028" i="55"/>
  <c r="AH1028" i="55"/>
  <c r="C1028" i="55"/>
  <c r="V1028" i="55"/>
  <c r="AF1028" i="55"/>
  <c r="AO1028" i="55"/>
  <c r="AK1028" i="55"/>
  <c r="AD1028" i="55"/>
  <c r="AL664" i="55"/>
  <c r="AL753" i="26" l="1"/>
  <c r="AM753" i="26" s="1"/>
  <c r="AU753" i="26" s="1"/>
  <c r="AT753" i="26"/>
  <c r="G754" i="26"/>
  <c r="H754" i="26"/>
  <c r="L754" i="26"/>
  <c r="B754" i="26"/>
  <c r="Q754" i="26"/>
  <c r="W754" i="26"/>
  <c r="C754" i="26"/>
  <c r="V754" i="26" s="1"/>
  <c r="F754" i="26"/>
  <c r="A754" i="26"/>
  <c r="N753" i="26"/>
  <c r="AJ753" i="26"/>
  <c r="AK753" i="26" s="1"/>
  <c r="S753" i="26"/>
  <c r="T753" i="26" s="1"/>
  <c r="BC753" i="26" s="1"/>
  <c r="E1029" i="55"/>
  <c r="AL663" i="55"/>
  <c r="R754" i="26" l="1"/>
  <c r="D754" i="26"/>
  <c r="X754" i="26"/>
  <c r="BK754" i="26" s="1"/>
  <c r="AS754" i="26"/>
  <c r="BJ754" i="26" s="1"/>
  <c r="AO754" i="26"/>
  <c r="K754" i="26"/>
  <c r="M754" i="26" s="1"/>
  <c r="U754" i="26"/>
  <c r="AF754" i="26" s="1"/>
  <c r="AN754" i="26" s="1"/>
  <c r="AP754" i="26"/>
  <c r="BL753" i="26"/>
  <c r="O1029" i="55"/>
  <c r="AL1029" i="55"/>
  <c r="AK1029" i="55"/>
  <c r="AO1029" i="55"/>
  <c r="Z1029" i="55"/>
  <c r="AI1029" i="55"/>
  <c r="Q1029" i="55"/>
  <c r="P1029" i="55"/>
  <c r="K1029" i="55"/>
  <c r="AF1029" i="55"/>
  <c r="AD1029" i="55"/>
  <c r="AG1029" i="55"/>
  <c r="N1029" i="55"/>
  <c r="AW1029" i="55"/>
  <c r="D1029" i="55"/>
  <c r="U1029" i="55"/>
  <c r="V1029" i="55"/>
  <c r="AQ1029" i="55"/>
  <c r="W1029" i="55"/>
  <c r="C1029" i="55"/>
  <c r="AT1029" i="55"/>
  <c r="AC1029" i="55"/>
  <c r="AM1029" i="55"/>
  <c r="AX1029" i="55"/>
  <c r="AB1029" i="55"/>
  <c r="A1029" i="55"/>
  <c r="AH1029" i="55"/>
  <c r="M1029" i="55"/>
  <c r="X1029" i="55"/>
  <c r="L1029" i="55"/>
  <c r="F1029" i="55"/>
  <c r="S1029" i="55"/>
  <c r="AN1029" i="55"/>
  <c r="I1029" i="55"/>
  <c r="B1029" i="55"/>
  <c r="G1029" i="55"/>
  <c r="H1029" i="55"/>
  <c r="AL662" i="55"/>
  <c r="E755" i="26" l="1"/>
  <c r="O754" i="26"/>
  <c r="S754" i="26" s="1"/>
  <c r="T754" i="26" s="1"/>
  <c r="BC754" i="26" s="1"/>
  <c r="P754" i="26"/>
  <c r="AV753" i="55"/>
  <c r="BT753" i="26"/>
  <c r="B755" i="26"/>
  <c r="AP755" i="26" s="1"/>
  <c r="C755" i="26"/>
  <c r="W755" i="26"/>
  <c r="L755" i="26"/>
  <c r="Q755" i="26"/>
  <c r="H755" i="26"/>
  <c r="A755" i="26"/>
  <c r="U755" i="26"/>
  <c r="AS755" i="26"/>
  <c r="BJ755" i="26" s="1"/>
  <c r="N754" i="26"/>
  <c r="AJ754" i="26"/>
  <c r="AK754" i="26" s="1"/>
  <c r="AT754" i="26"/>
  <c r="E1030" i="55"/>
  <c r="AL661" i="55"/>
  <c r="AL754" i="26" l="1"/>
  <c r="AM754" i="26" s="1"/>
  <c r="AU754" i="26" s="1"/>
  <c r="F755" i="26"/>
  <c r="X755" i="26"/>
  <c r="BK755" i="26" s="1"/>
  <c r="O755" i="26"/>
  <c r="D755" i="26"/>
  <c r="K755" i="26"/>
  <c r="M755" i="26" s="1"/>
  <c r="N755" i="26" s="1"/>
  <c r="G755" i="26"/>
  <c r="AF755" i="26"/>
  <c r="AN755" i="26" s="1"/>
  <c r="V755" i="26"/>
  <c r="BL754" i="26"/>
  <c r="R755" i="26"/>
  <c r="AO755" i="26"/>
  <c r="AT755" i="26" s="1"/>
  <c r="O1030" i="55"/>
  <c r="AL1030" i="55"/>
  <c r="AI1030" i="55"/>
  <c r="Q1030" i="55"/>
  <c r="K1030" i="55"/>
  <c r="P1030" i="55"/>
  <c r="Z1030" i="55"/>
  <c r="AD1030" i="55"/>
  <c r="AG1030" i="55"/>
  <c r="AF1030" i="55"/>
  <c r="AK1030" i="55"/>
  <c r="AO1030" i="55"/>
  <c r="C1030" i="55"/>
  <c r="I1030" i="55"/>
  <c r="AB1030" i="55"/>
  <c r="D1030" i="55"/>
  <c r="W1030" i="55"/>
  <c r="A1030" i="55"/>
  <c r="AT1030" i="55"/>
  <c r="N1030" i="55"/>
  <c r="F1030" i="55"/>
  <c r="AW1030" i="55"/>
  <c r="L1030" i="55"/>
  <c r="V1030" i="55"/>
  <c r="AH1030" i="55"/>
  <c r="S1030" i="55"/>
  <c r="M1030" i="55"/>
  <c r="X1030" i="55"/>
  <c r="H1030" i="55"/>
  <c r="AQ1030" i="55"/>
  <c r="U1030" i="55"/>
  <c r="AM1030" i="55"/>
  <c r="G1030" i="55"/>
  <c r="B1030" i="55"/>
  <c r="AX1030" i="55"/>
  <c r="AN1030" i="55"/>
  <c r="AC1030" i="55"/>
  <c r="AL660" i="55"/>
  <c r="AJ755" i="26" l="1"/>
  <c r="AK755" i="26" s="1"/>
  <c r="E756" i="26"/>
  <c r="P755" i="26"/>
  <c r="AV754" i="55"/>
  <c r="BT754" i="26"/>
  <c r="S755" i="26"/>
  <c r="T755" i="26" s="1"/>
  <c r="BC755" i="26" s="1"/>
  <c r="E1031" i="55"/>
  <c r="AL659" i="55"/>
  <c r="AL755" i="26" l="1"/>
  <c r="AM755" i="26" s="1"/>
  <c r="AU755" i="26" s="1"/>
  <c r="L756" i="26"/>
  <c r="F756" i="26"/>
  <c r="A756" i="26"/>
  <c r="B756" i="26"/>
  <c r="D756" i="26" s="1"/>
  <c r="H756" i="26"/>
  <c r="AP756" i="26"/>
  <c r="Q756" i="26"/>
  <c r="C756" i="26"/>
  <c r="E757" i="26" s="1"/>
  <c r="W756" i="26"/>
  <c r="P756" i="26"/>
  <c r="Q757" i="26"/>
  <c r="W757" i="26"/>
  <c r="BL755" i="26"/>
  <c r="O1031" i="55"/>
  <c r="Z1031" i="55"/>
  <c r="AI1031" i="55"/>
  <c r="Q1031" i="55"/>
  <c r="P1031" i="55"/>
  <c r="K1031" i="55"/>
  <c r="AL1031" i="55"/>
  <c r="AO1031" i="55"/>
  <c r="N1031" i="55"/>
  <c r="AM1031" i="55"/>
  <c r="M1031" i="55"/>
  <c r="A1031" i="55"/>
  <c r="F1031" i="55"/>
  <c r="AH1031" i="55"/>
  <c r="B1031" i="55"/>
  <c r="U1031" i="55"/>
  <c r="AX1031" i="55"/>
  <c r="D1031" i="55"/>
  <c r="I1031" i="55"/>
  <c r="AT1031" i="55"/>
  <c r="AW1031" i="55"/>
  <c r="V1031" i="55"/>
  <c r="AQ1031" i="55"/>
  <c r="AN1031" i="55"/>
  <c r="X1031" i="55"/>
  <c r="G1031" i="55"/>
  <c r="AB1031" i="55"/>
  <c r="H1031" i="55"/>
  <c r="C1031" i="55"/>
  <c r="L1031" i="55"/>
  <c r="AC1031" i="55"/>
  <c r="S1031" i="55"/>
  <c r="W1031" i="55"/>
  <c r="AD1031" i="55"/>
  <c r="AK1031" i="55"/>
  <c r="AF1031" i="55"/>
  <c r="AG1031" i="55"/>
  <c r="AL658" i="55"/>
  <c r="L757" i="26" l="1"/>
  <c r="G756" i="26"/>
  <c r="K756" i="26"/>
  <c r="M756" i="26" s="1"/>
  <c r="AJ756" i="26" s="1"/>
  <c r="AK756" i="26" s="1"/>
  <c r="X756" i="26"/>
  <c r="U756" i="26"/>
  <c r="AF756" i="26" s="1"/>
  <c r="AN756" i="26" s="1"/>
  <c r="R756" i="26"/>
  <c r="H757" i="26"/>
  <c r="O756" i="26"/>
  <c r="B757" i="26"/>
  <c r="C757" i="26"/>
  <c r="AS757" i="26" s="1"/>
  <c r="BJ757" i="26" s="1"/>
  <c r="A757" i="26"/>
  <c r="AS756" i="26"/>
  <c r="BJ756" i="26" s="1"/>
  <c r="V756" i="26"/>
  <c r="AV755" i="55"/>
  <c r="BT755" i="26"/>
  <c r="E1032" i="55"/>
  <c r="AL657" i="55"/>
  <c r="N756" i="26" l="1"/>
  <c r="AL756" i="26"/>
  <c r="AM756" i="26" s="1"/>
  <c r="AU756" i="26" s="1"/>
  <c r="BK756" i="26"/>
  <c r="S756" i="26"/>
  <c r="T756" i="26" s="1"/>
  <c r="BC756" i="26" s="1"/>
  <c r="U757" i="26"/>
  <c r="AF757" i="26" s="1"/>
  <c r="AN757" i="26" s="1"/>
  <c r="X757" i="26"/>
  <c r="V757" i="26"/>
  <c r="G757" i="26"/>
  <c r="F757" i="26"/>
  <c r="R757" i="26" s="1"/>
  <c r="K757" i="26"/>
  <c r="M757" i="26" s="1"/>
  <c r="D757" i="26"/>
  <c r="AP757" i="26"/>
  <c r="AO756" i="26"/>
  <c r="AT756" i="26" s="1"/>
  <c r="O1032" i="55"/>
  <c r="AG1032" i="55"/>
  <c r="Q1032" i="55"/>
  <c r="AI1032" i="55"/>
  <c r="P1032" i="55"/>
  <c r="K1032" i="55"/>
  <c r="Z1032" i="55"/>
  <c r="AO1032" i="55"/>
  <c r="AK1032" i="55"/>
  <c r="B1032" i="55"/>
  <c r="AC1032" i="55"/>
  <c r="X1032" i="55"/>
  <c r="W1032" i="55"/>
  <c r="I1032" i="55"/>
  <c r="U1032" i="55"/>
  <c r="AN1032" i="55"/>
  <c r="G1032" i="55"/>
  <c r="C1032" i="55"/>
  <c r="A1032" i="55"/>
  <c r="AX1032" i="55"/>
  <c r="H1032" i="55"/>
  <c r="AQ1032" i="55"/>
  <c r="F1032" i="55"/>
  <c r="M1032" i="55"/>
  <c r="D1032" i="55"/>
  <c r="AT1032" i="55"/>
  <c r="N1032" i="55"/>
  <c r="V1032" i="55"/>
  <c r="AB1032" i="55"/>
  <c r="S1032" i="55"/>
  <c r="AH1032" i="55"/>
  <c r="L1032" i="55"/>
  <c r="AM1032" i="55"/>
  <c r="AW1032" i="55"/>
  <c r="AL1032" i="55"/>
  <c r="AF1032" i="55"/>
  <c r="AD1032" i="55"/>
  <c r="AL656" i="55"/>
  <c r="O757" i="26" l="1"/>
  <c r="E758" i="26"/>
  <c r="N757" i="26"/>
  <c r="AJ757" i="26"/>
  <c r="AK757" i="26" s="1"/>
  <c r="AO757" i="26"/>
  <c r="AT757" i="26" s="1"/>
  <c r="BK757" i="26"/>
  <c r="BL756" i="26"/>
  <c r="P757" i="26"/>
  <c r="E1033" i="55"/>
  <c r="AL655" i="55"/>
  <c r="AL757" i="26" l="1"/>
  <c r="AM757" i="26" s="1"/>
  <c r="AU757" i="26" s="1"/>
  <c r="AV756" i="55"/>
  <c r="BT756" i="26"/>
  <c r="H758" i="26"/>
  <c r="A758" i="26"/>
  <c r="AS758" i="26"/>
  <c r="BJ758" i="26" s="1"/>
  <c r="C758" i="26"/>
  <c r="V758" i="26" s="1"/>
  <c r="Q758" i="26"/>
  <c r="W758" i="26"/>
  <c r="L758" i="26"/>
  <c r="U758" i="26"/>
  <c r="B758" i="26"/>
  <c r="G758" i="26" s="1"/>
  <c r="S757" i="26"/>
  <c r="T757" i="26" s="1"/>
  <c r="BC757" i="26" s="1"/>
  <c r="O1033" i="55"/>
  <c r="AI1033" i="55"/>
  <c r="Q1033" i="55"/>
  <c r="P1033" i="55"/>
  <c r="K1033" i="55"/>
  <c r="AF1033" i="55"/>
  <c r="AG1033" i="55"/>
  <c r="Z1033" i="55"/>
  <c r="AK1033" i="55"/>
  <c r="AD1033" i="55"/>
  <c r="AL1033" i="55"/>
  <c r="AO1033" i="55"/>
  <c r="S1033" i="55"/>
  <c r="M1033" i="55"/>
  <c r="H1033" i="55"/>
  <c r="G1033" i="55"/>
  <c r="C1033" i="55"/>
  <c r="N1033" i="55"/>
  <c r="U1033" i="55"/>
  <c r="AM1033" i="55"/>
  <c r="D1033" i="55"/>
  <c r="V1033" i="55"/>
  <c r="X1033" i="55"/>
  <c r="B1033" i="55"/>
  <c r="F1033" i="55"/>
  <c r="AC1033" i="55"/>
  <c r="AN1033" i="55"/>
  <c r="AT1033" i="55"/>
  <c r="W1033" i="55"/>
  <c r="A1033" i="55"/>
  <c r="AB1033" i="55"/>
  <c r="L1033" i="55"/>
  <c r="AQ1033" i="55"/>
  <c r="AX1033" i="55"/>
  <c r="AH1033" i="55"/>
  <c r="AW1033" i="55"/>
  <c r="I1033" i="55"/>
  <c r="AL654" i="55"/>
  <c r="BL757" i="26" l="1"/>
  <c r="AF758" i="26"/>
  <c r="AN758" i="26" s="1"/>
  <c r="X758" i="26"/>
  <c r="BK758" i="26" s="1"/>
  <c r="AP758" i="26"/>
  <c r="F758" i="26"/>
  <c r="R758" i="26" s="1"/>
  <c r="D758" i="26"/>
  <c r="K758" i="26"/>
  <c r="M758" i="26" s="1"/>
  <c r="AO758" i="26"/>
  <c r="E1034" i="55"/>
  <c r="AL653" i="55"/>
  <c r="AT758" i="26" l="1"/>
  <c r="O758" i="26"/>
  <c r="E759" i="26"/>
  <c r="P758" i="26"/>
  <c r="N758" i="26"/>
  <c r="AJ758" i="26"/>
  <c r="AK758" i="26" s="1"/>
  <c r="AV757" i="55"/>
  <c r="BT757" i="26"/>
  <c r="AK1034" i="55"/>
  <c r="O1034" i="55"/>
  <c r="Z1034" i="55"/>
  <c r="AI1034" i="55"/>
  <c r="Q1034" i="55"/>
  <c r="K1034" i="55"/>
  <c r="P1034" i="55"/>
  <c r="AF1034" i="55"/>
  <c r="AO1034" i="55"/>
  <c r="D1034" i="55"/>
  <c r="S1034" i="55"/>
  <c r="G1034" i="55"/>
  <c r="AC1034" i="55"/>
  <c r="A1034" i="55"/>
  <c r="H1034" i="55"/>
  <c r="AW1034" i="55"/>
  <c r="B1034" i="55"/>
  <c r="F1034" i="55"/>
  <c r="AB1034" i="55"/>
  <c r="W1034" i="55"/>
  <c r="C1034" i="55"/>
  <c r="AN1034" i="55"/>
  <c r="L1034" i="55"/>
  <c r="AM1034" i="55"/>
  <c r="AQ1034" i="55"/>
  <c r="AT1034" i="55"/>
  <c r="X1034" i="55"/>
  <c r="U1034" i="55"/>
  <c r="M1034" i="55"/>
  <c r="AX1034" i="55"/>
  <c r="N1034" i="55"/>
  <c r="AH1034" i="55"/>
  <c r="I1034" i="55"/>
  <c r="V1034" i="55"/>
  <c r="AG1034" i="55"/>
  <c r="AD1034" i="55"/>
  <c r="AL1034" i="55"/>
  <c r="AL652" i="55"/>
  <c r="AL758" i="26" l="1"/>
  <c r="AM758" i="26" s="1"/>
  <c r="AU758" i="26" s="1"/>
  <c r="S758" i="26"/>
  <c r="T758" i="26" s="1"/>
  <c r="BC758" i="26" s="1"/>
  <c r="B759" i="26"/>
  <c r="K759" i="26" s="1"/>
  <c r="L759" i="26"/>
  <c r="Q759" i="26"/>
  <c r="A759" i="26"/>
  <c r="W759" i="26"/>
  <c r="C759" i="26"/>
  <c r="U759" i="26" s="1"/>
  <c r="H759" i="26"/>
  <c r="E1035" i="55"/>
  <c r="AL651" i="55"/>
  <c r="AS759" i="26" l="1"/>
  <c r="BJ759" i="26" s="1"/>
  <c r="X759" i="26"/>
  <c r="F759" i="26"/>
  <c r="R759" i="26" s="1"/>
  <c r="M759" i="26"/>
  <c r="AJ759" i="26" s="1"/>
  <c r="AK759" i="26" s="1"/>
  <c r="G759" i="26"/>
  <c r="D759" i="26"/>
  <c r="P759" i="26" s="1"/>
  <c r="BL758" i="26"/>
  <c r="AF759" i="26"/>
  <c r="AN759" i="26" s="1"/>
  <c r="AP759" i="26"/>
  <c r="E760" i="26"/>
  <c r="V759" i="26"/>
  <c r="AO759" i="26" s="1"/>
  <c r="O1035" i="55"/>
  <c r="Z1035" i="55"/>
  <c r="AI1035" i="55"/>
  <c r="Q1035" i="55"/>
  <c r="P1035" i="55"/>
  <c r="K1035" i="55"/>
  <c r="AO1035" i="55"/>
  <c r="AD1035" i="55"/>
  <c r="AK1035" i="55"/>
  <c r="U1035" i="55"/>
  <c r="M1035" i="55"/>
  <c r="AQ1035" i="55"/>
  <c r="F1035" i="55"/>
  <c r="AM1035" i="55"/>
  <c r="I1035" i="55"/>
  <c r="AT1035" i="55"/>
  <c r="A1035" i="55"/>
  <c r="D1035" i="55"/>
  <c r="AW1035" i="55"/>
  <c r="AX1035" i="55"/>
  <c r="AB1035" i="55"/>
  <c r="AH1035" i="55"/>
  <c r="G1035" i="55"/>
  <c r="S1035" i="55"/>
  <c r="X1035" i="55"/>
  <c r="V1035" i="55"/>
  <c r="C1035" i="55"/>
  <c r="W1035" i="55"/>
  <c r="AC1035" i="55"/>
  <c r="B1035" i="55"/>
  <c r="L1035" i="55"/>
  <c r="H1035" i="55"/>
  <c r="N1035" i="55"/>
  <c r="AN1035" i="55"/>
  <c r="AG1035" i="55"/>
  <c r="AL1035" i="55"/>
  <c r="AF1035" i="55"/>
  <c r="AL650" i="55"/>
  <c r="N759" i="26" l="1"/>
  <c r="O759" i="26"/>
  <c r="S759" i="26" s="1"/>
  <c r="T759" i="26" s="1"/>
  <c r="BC759" i="26" s="1"/>
  <c r="AV758" i="55"/>
  <c r="BT758" i="26"/>
  <c r="BK759" i="26"/>
  <c r="AT759" i="26"/>
  <c r="H760" i="26"/>
  <c r="Q760" i="26"/>
  <c r="A760" i="26"/>
  <c r="B760" i="26"/>
  <c r="F760" i="26" s="1"/>
  <c r="L760" i="26"/>
  <c r="C760" i="26"/>
  <c r="AS760" i="26" s="1"/>
  <c r="BJ760" i="26" s="1"/>
  <c r="W760" i="26"/>
  <c r="E1036" i="55"/>
  <c r="AL649" i="55"/>
  <c r="AL759" i="26" l="1"/>
  <c r="AM759" i="26" s="1"/>
  <c r="AU759" i="26" s="1"/>
  <c r="D760" i="26"/>
  <c r="K760" i="26"/>
  <c r="M760" i="26" s="1"/>
  <c r="R760" i="26"/>
  <c r="BL759" i="26"/>
  <c r="U760" i="26"/>
  <c r="AF760" i="26" s="1"/>
  <c r="AN760" i="26" s="1"/>
  <c r="E761" i="26"/>
  <c r="X760" i="26"/>
  <c r="AP760" i="26"/>
  <c r="P760" i="26"/>
  <c r="G760" i="26"/>
  <c r="V760" i="26"/>
  <c r="O760" i="26"/>
  <c r="O1036" i="55"/>
  <c r="AO1036" i="55"/>
  <c r="AI1036" i="55"/>
  <c r="Q1036" i="55"/>
  <c r="K1036" i="55"/>
  <c r="P1036" i="55"/>
  <c r="AD1036" i="55"/>
  <c r="AL1036" i="55"/>
  <c r="Z1036" i="55"/>
  <c r="AX1036" i="55"/>
  <c r="AN1036" i="55"/>
  <c r="G1036" i="55"/>
  <c r="AW1036" i="55"/>
  <c r="N1036" i="55"/>
  <c r="AT1036" i="55"/>
  <c r="AM1036" i="55"/>
  <c r="B1036" i="55"/>
  <c r="U1036" i="55"/>
  <c r="AB1036" i="55"/>
  <c r="M1036" i="55"/>
  <c r="AC1036" i="55"/>
  <c r="W1036" i="55"/>
  <c r="AQ1036" i="55"/>
  <c r="V1036" i="55"/>
  <c r="S1036" i="55"/>
  <c r="H1036" i="55"/>
  <c r="D1036" i="55"/>
  <c r="A1036" i="55"/>
  <c r="X1036" i="55"/>
  <c r="C1036" i="55"/>
  <c r="F1036" i="55"/>
  <c r="I1036" i="55"/>
  <c r="AH1036" i="55"/>
  <c r="L1036" i="55"/>
  <c r="AK1036" i="55"/>
  <c r="AG1036" i="55"/>
  <c r="AF1036" i="55"/>
  <c r="AL648" i="55"/>
  <c r="AL760" i="26" l="1"/>
  <c r="AM760" i="26" s="1"/>
  <c r="AU760" i="26" s="1"/>
  <c r="BK760" i="26"/>
  <c r="AO760" i="26"/>
  <c r="AT760" i="26" s="1"/>
  <c r="N760" i="26"/>
  <c r="AJ760" i="26"/>
  <c r="AK760" i="26" s="1"/>
  <c r="L761" i="26"/>
  <c r="A761" i="26"/>
  <c r="W761" i="26"/>
  <c r="H761" i="26"/>
  <c r="B761" i="26"/>
  <c r="Q761" i="26"/>
  <c r="C761" i="26"/>
  <c r="K761" i="26"/>
  <c r="M761" i="26" s="1"/>
  <c r="S760" i="26"/>
  <c r="T760" i="26" s="1"/>
  <c r="BC760" i="26" s="1"/>
  <c r="BT759" i="26"/>
  <c r="AV759" i="55"/>
  <c r="E1037" i="55"/>
  <c r="AL647" i="55"/>
  <c r="G761" i="26" l="1"/>
  <c r="BL760" i="26"/>
  <c r="N761" i="26"/>
  <c r="AJ761" i="26"/>
  <c r="AK761" i="26" s="1"/>
  <c r="F761" i="26"/>
  <c r="R761" i="26" s="1"/>
  <c r="X761" i="26"/>
  <c r="AP761" i="26"/>
  <c r="U761" i="26"/>
  <c r="AF761" i="26" s="1"/>
  <c r="AN761" i="26" s="1"/>
  <c r="D761" i="26"/>
  <c r="V761" i="26"/>
  <c r="BK761" i="26" s="1"/>
  <c r="O1037" i="55"/>
  <c r="AF1037" i="55"/>
  <c r="AI1037" i="55"/>
  <c r="Q1037" i="55"/>
  <c r="P1037" i="55"/>
  <c r="K1037" i="55"/>
  <c r="AL1037" i="55"/>
  <c r="AK1037" i="55"/>
  <c r="AD1037" i="55"/>
  <c r="AG1037" i="55"/>
  <c r="Z1037" i="55"/>
  <c r="AM1037" i="55"/>
  <c r="AX1037" i="55"/>
  <c r="W1037" i="55"/>
  <c r="AC1037" i="55"/>
  <c r="H1037" i="55"/>
  <c r="AT1037" i="55"/>
  <c r="A1037" i="55"/>
  <c r="AH1037" i="55"/>
  <c r="G1037" i="55"/>
  <c r="I1037" i="55"/>
  <c r="M1037" i="55"/>
  <c r="F1037" i="55"/>
  <c r="AW1037" i="55"/>
  <c r="B1037" i="55"/>
  <c r="AB1037" i="55"/>
  <c r="D1037" i="55"/>
  <c r="X1037" i="55"/>
  <c r="N1037" i="55"/>
  <c r="V1037" i="55"/>
  <c r="C1037" i="55"/>
  <c r="U1037" i="55"/>
  <c r="S1037" i="55"/>
  <c r="L1037" i="55"/>
  <c r="AQ1037" i="55"/>
  <c r="AN1037" i="55"/>
  <c r="AO1037" i="55"/>
  <c r="AL646" i="55"/>
  <c r="O761" i="26" l="1"/>
  <c r="P761" i="26"/>
  <c r="E762" i="26"/>
  <c r="AV760" i="55"/>
  <c r="BT760" i="26"/>
  <c r="AO761" i="26"/>
  <c r="AT761" i="26" s="1"/>
  <c r="E1038" i="55"/>
  <c r="AL645" i="55"/>
  <c r="AL761" i="26" l="1"/>
  <c r="AM761" i="26" s="1"/>
  <c r="AU761" i="26" s="1"/>
  <c r="C762" i="26"/>
  <c r="B762" i="26"/>
  <c r="A762" i="26"/>
  <c r="H762" i="26"/>
  <c r="L762" i="26"/>
  <c r="Q762" i="26"/>
  <c r="W762" i="26"/>
  <c r="D762" i="26"/>
  <c r="O762" i="26" s="1"/>
  <c r="K762" i="26"/>
  <c r="M762" i="26" s="1"/>
  <c r="F762" i="26"/>
  <c r="R762" i="26" s="1"/>
  <c r="U762" i="26"/>
  <c r="AF762" i="26" s="1"/>
  <c r="AN762" i="26" s="1"/>
  <c r="AP762" i="26"/>
  <c r="G762" i="26"/>
  <c r="S761" i="26"/>
  <c r="T761" i="26" s="1"/>
  <c r="BC761" i="26" s="1"/>
  <c r="O1038" i="55"/>
  <c r="AD1038" i="55"/>
  <c r="AI1038" i="55"/>
  <c r="Q1038" i="55"/>
  <c r="K1038" i="55"/>
  <c r="P1038" i="55"/>
  <c r="Z1038" i="55"/>
  <c r="AK1038" i="55"/>
  <c r="AG1038" i="55"/>
  <c r="AF1038" i="55"/>
  <c r="AO1038" i="55"/>
  <c r="AL1038" i="55"/>
  <c r="F1038" i="55"/>
  <c r="C1038" i="55"/>
  <c r="AW1038" i="55"/>
  <c r="M1038" i="55"/>
  <c r="W1038" i="55"/>
  <c r="H1038" i="55"/>
  <c r="G1038" i="55"/>
  <c r="V1038" i="55"/>
  <c r="AB1038" i="55"/>
  <c r="L1038" i="55"/>
  <c r="I1038" i="55"/>
  <c r="N1038" i="55"/>
  <c r="AM1038" i="55"/>
  <c r="D1038" i="55"/>
  <c r="AQ1038" i="55"/>
  <c r="U1038" i="55"/>
  <c r="AN1038" i="55"/>
  <c r="AT1038" i="55"/>
  <c r="S1038" i="55"/>
  <c r="AH1038" i="55"/>
  <c r="A1038" i="55"/>
  <c r="AX1038" i="55"/>
  <c r="AC1038" i="55"/>
  <c r="X1038" i="55"/>
  <c r="B1038" i="55"/>
  <c r="AL644" i="55"/>
  <c r="X762" i="26" l="1"/>
  <c r="S762" i="26"/>
  <c r="T762" i="26" s="1"/>
  <c r="BC762" i="26" s="1"/>
  <c r="P762" i="26"/>
  <c r="N762" i="26"/>
  <c r="AJ762" i="26"/>
  <c r="AK762" i="26" s="1"/>
  <c r="AS762" i="26"/>
  <c r="BJ762" i="26" s="1"/>
  <c r="E763" i="26"/>
  <c r="BL761" i="26"/>
  <c r="V762" i="26"/>
  <c r="E1039" i="55"/>
  <c r="AD1039" i="55" s="1"/>
  <c r="AL643" i="55"/>
  <c r="AL762" i="26" l="1"/>
  <c r="AM762" i="26" s="1"/>
  <c r="AU762" i="26" s="1"/>
  <c r="BK762" i="26"/>
  <c r="AO762" i="26"/>
  <c r="AT762" i="26" s="1"/>
  <c r="AV761" i="55"/>
  <c r="BT761" i="26"/>
  <c r="BL762" i="26"/>
  <c r="H763" i="26"/>
  <c r="B763" i="26"/>
  <c r="G763" i="26" s="1"/>
  <c r="A763" i="26"/>
  <c r="L763" i="26"/>
  <c r="W763" i="26"/>
  <c r="Q763" i="26"/>
  <c r="C763" i="26"/>
  <c r="V763" i="26" s="1"/>
  <c r="O1039" i="55"/>
  <c r="Z1039" i="55"/>
  <c r="AO1039" i="55"/>
  <c r="AI1039" i="55"/>
  <c r="P1039" i="55"/>
  <c r="Q1039" i="55"/>
  <c r="K1039" i="55"/>
  <c r="AG1039" i="55"/>
  <c r="AL1039" i="55"/>
  <c r="H1039" i="55"/>
  <c r="M1039" i="55"/>
  <c r="AX1039" i="55"/>
  <c r="G1039" i="55"/>
  <c r="W1039" i="55"/>
  <c r="AH1039" i="55"/>
  <c r="S1039" i="55"/>
  <c r="AW1039" i="55"/>
  <c r="AM1039" i="55"/>
  <c r="AQ1039" i="55"/>
  <c r="F1039" i="55"/>
  <c r="AC1039" i="55"/>
  <c r="N1039" i="55"/>
  <c r="AN1039" i="55"/>
  <c r="X1039" i="55"/>
  <c r="AB1039" i="55"/>
  <c r="B1039" i="55"/>
  <c r="U1039" i="55"/>
  <c r="D1039" i="55"/>
  <c r="I1039" i="55"/>
  <c r="AT1039" i="55"/>
  <c r="A1039" i="55"/>
  <c r="V1039" i="55"/>
  <c r="L1039" i="55"/>
  <c r="C1039" i="55"/>
  <c r="AK1039" i="55"/>
  <c r="AF1039" i="55"/>
  <c r="AL642" i="55"/>
  <c r="F763" i="26" l="1"/>
  <c r="R763" i="26" s="1"/>
  <c r="AP763" i="26"/>
  <c r="AO763" i="26"/>
  <c r="D763" i="26"/>
  <c r="AS763" i="26"/>
  <c r="BJ763" i="26" s="1"/>
  <c r="E764" i="26"/>
  <c r="U763" i="26"/>
  <c r="AF763" i="26" s="1"/>
  <c r="AN763" i="26" s="1"/>
  <c r="BT762" i="26"/>
  <c r="AV762" i="55"/>
  <c r="O763" i="26"/>
  <c r="K763" i="26"/>
  <c r="M763" i="26" s="1"/>
  <c r="X763" i="26"/>
  <c r="BK763" i="26" s="1"/>
  <c r="P763" i="26"/>
  <c r="E1040" i="55"/>
  <c r="AL641" i="55"/>
  <c r="AT763" i="26" l="1"/>
  <c r="S763" i="26"/>
  <c r="T763" i="26" s="1"/>
  <c r="BC763" i="26" s="1"/>
  <c r="B764" i="26"/>
  <c r="K764" i="26" s="1"/>
  <c r="A764" i="26"/>
  <c r="W764" i="26"/>
  <c r="L764" i="26"/>
  <c r="C764" i="26"/>
  <c r="V764" i="26" s="1"/>
  <c r="H764" i="26"/>
  <c r="Q764" i="26"/>
  <c r="AJ763" i="26"/>
  <c r="AK763" i="26" s="1"/>
  <c r="N763" i="26"/>
  <c r="AO1040" i="55"/>
  <c r="O1040" i="55"/>
  <c r="Z1040" i="55"/>
  <c r="Q1040" i="55"/>
  <c r="P1040" i="55"/>
  <c r="K1040" i="55"/>
  <c r="AI1040" i="55"/>
  <c r="AD1040" i="55"/>
  <c r="AF1040" i="55"/>
  <c r="AK1040" i="55"/>
  <c r="AL1040" i="55"/>
  <c r="AG1040" i="55"/>
  <c r="AQ1040" i="55"/>
  <c r="B1040" i="55"/>
  <c r="N1040" i="55"/>
  <c r="AX1040" i="55"/>
  <c r="A1040" i="55"/>
  <c r="AM1040" i="55"/>
  <c r="G1040" i="55"/>
  <c r="X1040" i="55"/>
  <c r="AW1040" i="55"/>
  <c r="I1040" i="55"/>
  <c r="L1040" i="55"/>
  <c r="AB1040" i="55"/>
  <c r="V1040" i="55"/>
  <c r="M1040" i="55"/>
  <c r="S1040" i="55"/>
  <c r="F1040" i="55"/>
  <c r="H1040" i="55"/>
  <c r="W1040" i="55"/>
  <c r="D1040" i="55"/>
  <c r="AC1040" i="55"/>
  <c r="AT1040" i="55"/>
  <c r="U1040" i="55"/>
  <c r="AN1040" i="55"/>
  <c r="C1040" i="55"/>
  <c r="AH1040" i="55"/>
  <c r="AL640" i="55"/>
  <c r="AL763" i="26" l="1"/>
  <c r="AM763" i="26" s="1"/>
  <c r="AU763" i="26" s="1"/>
  <c r="AO764" i="26"/>
  <c r="AP764" i="26"/>
  <c r="D764" i="26"/>
  <c r="O764" i="26"/>
  <c r="E765" i="26"/>
  <c r="X764" i="26"/>
  <c r="BK764" i="26" s="1"/>
  <c r="AS764" i="26"/>
  <c r="BJ764" i="26" s="1"/>
  <c r="U764" i="26"/>
  <c r="AF764" i="26" s="1"/>
  <c r="AN764" i="26" s="1"/>
  <c r="BL763" i="26"/>
  <c r="M764" i="26"/>
  <c r="F764" i="26"/>
  <c r="R764" i="26" s="1"/>
  <c r="P764" i="26"/>
  <c r="G764" i="26"/>
  <c r="E1041" i="55"/>
  <c r="AL639" i="55"/>
  <c r="AT764" i="26" l="1"/>
  <c r="AL764" i="26"/>
  <c r="S764" i="26"/>
  <c r="T764" i="26" s="1"/>
  <c r="BC764" i="26" s="1"/>
  <c r="N764" i="26"/>
  <c r="AJ764" i="26"/>
  <c r="AK764" i="26" s="1"/>
  <c r="BT763" i="26"/>
  <c r="AV763" i="55"/>
  <c r="A765" i="26"/>
  <c r="C765" i="26"/>
  <c r="B765" i="26"/>
  <c r="G765" i="26" s="1"/>
  <c r="Q765" i="26"/>
  <c r="L765" i="26"/>
  <c r="H765" i="26"/>
  <c r="W765" i="26"/>
  <c r="O1041" i="55"/>
  <c r="AG1041" i="55"/>
  <c r="AI1041" i="55"/>
  <c r="Q1041" i="55"/>
  <c r="P1041" i="55"/>
  <c r="K1041" i="55"/>
  <c r="AF1041" i="55"/>
  <c r="AL1041" i="55"/>
  <c r="AD1041" i="55"/>
  <c r="Z1041" i="55"/>
  <c r="AO1041" i="55"/>
  <c r="G1041" i="55"/>
  <c r="AN1041" i="55"/>
  <c r="U1041" i="55"/>
  <c r="AH1041" i="55"/>
  <c r="AM1041" i="55"/>
  <c r="C1041" i="55"/>
  <c r="AX1041" i="55"/>
  <c r="AB1041" i="55"/>
  <c r="F1041" i="55"/>
  <c r="L1041" i="55"/>
  <c r="AT1041" i="55"/>
  <c r="S1041" i="55"/>
  <c r="M1041" i="55"/>
  <c r="AC1041" i="55"/>
  <c r="X1041" i="55"/>
  <c r="AW1041" i="55"/>
  <c r="I1041" i="55"/>
  <c r="W1041" i="55"/>
  <c r="D1041" i="55"/>
  <c r="V1041" i="55"/>
  <c r="H1041" i="55"/>
  <c r="AQ1041" i="55"/>
  <c r="N1041" i="55"/>
  <c r="A1041" i="55"/>
  <c r="B1041" i="55"/>
  <c r="AK1041" i="55"/>
  <c r="AL638" i="55"/>
  <c r="X765" i="26" l="1"/>
  <c r="AM764" i="26"/>
  <c r="AU764" i="26" s="1"/>
  <c r="F765" i="26"/>
  <c r="D765" i="26"/>
  <c r="E766" i="26" s="1"/>
  <c r="AP765" i="26"/>
  <c r="K765" i="26"/>
  <c r="M765" i="26" s="1"/>
  <c r="V765" i="26"/>
  <c r="AO765" i="26" s="1"/>
  <c r="AT765" i="26" s="1"/>
  <c r="P765" i="26"/>
  <c r="AS765" i="26"/>
  <c r="BJ765" i="26" s="1"/>
  <c r="U765" i="26"/>
  <c r="AF765" i="26" s="1"/>
  <c r="AN765" i="26" s="1"/>
  <c r="BL764" i="26"/>
  <c r="C766" i="26"/>
  <c r="V766" i="26" s="1"/>
  <c r="O766" i="26"/>
  <c r="B766" i="26"/>
  <c r="D766" i="26" s="1"/>
  <c r="AP766" i="26"/>
  <c r="O765" i="26"/>
  <c r="R765" i="26"/>
  <c r="E1042" i="55"/>
  <c r="AL637" i="55"/>
  <c r="F766" i="26" l="1"/>
  <c r="R766" i="26" s="1"/>
  <c r="W766" i="26"/>
  <c r="L766" i="26"/>
  <c r="AL765" i="26"/>
  <c r="AO766" i="26"/>
  <c r="AT766" i="26" s="1"/>
  <c r="Q766" i="26"/>
  <c r="A766" i="26"/>
  <c r="H766" i="26"/>
  <c r="U766" i="26"/>
  <c r="K766" i="26"/>
  <c r="M766" i="26" s="1"/>
  <c r="AJ766" i="26" s="1"/>
  <c r="AK766" i="26" s="1"/>
  <c r="P766" i="26"/>
  <c r="G766" i="26"/>
  <c r="AJ765" i="26"/>
  <c r="AK765" i="26" s="1"/>
  <c r="N765" i="26"/>
  <c r="S765" i="26"/>
  <c r="T765" i="26" s="1"/>
  <c r="BC765" i="26" s="1"/>
  <c r="AV764" i="55"/>
  <c r="BT764" i="26"/>
  <c r="BK765" i="26"/>
  <c r="AS766" i="26"/>
  <c r="BJ766" i="26" s="1"/>
  <c r="E767" i="26"/>
  <c r="X766" i="26"/>
  <c r="BK766" i="26" s="1"/>
  <c r="AF766" i="26"/>
  <c r="AN766" i="26" s="1"/>
  <c r="O1042" i="55"/>
  <c r="Z1042" i="55"/>
  <c r="AI1042" i="55"/>
  <c r="Q1042" i="55"/>
  <c r="K1042" i="55"/>
  <c r="P1042" i="55"/>
  <c r="AG1042" i="55"/>
  <c r="AL1042" i="55"/>
  <c r="AK1042" i="55"/>
  <c r="AD1042" i="55"/>
  <c r="M1042" i="55"/>
  <c r="S1042" i="55"/>
  <c r="AN1042" i="55"/>
  <c r="AM1042" i="55"/>
  <c r="X1042" i="55"/>
  <c r="G1042" i="55"/>
  <c r="AX1042" i="55"/>
  <c r="H1042" i="55"/>
  <c r="U1042" i="55"/>
  <c r="AB1042" i="55"/>
  <c r="AQ1042" i="55"/>
  <c r="AW1042" i="55"/>
  <c r="W1042" i="55"/>
  <c r="AC1042" i="55"/>
  <c r="N1042" i="55"/>
  <c r="B1042" i="55"/>
  <c r="AT1042" i="55"/>
  <c r="V1042" i="55"/>
  <c r="L1042" i="55"/>
  <c r="D1042" i="55"/>
  <c r="AH1042" i="55"/>
  <c r="F1042" i="55"/>
  <c r="C1042" i="55"/>
  <c r="A1042" i="55"/>
  <c r="I1042" i="55"/>
  <c r="AF1042" i="55"/>
  <c r="AO1042" i="55"/>
  <c r="AL636" i="55"/>
  <c r="AL766" i="26" l="1"/>
  <c r="AM766" i="26" s="1"/>
  <c r="AU766" i="26" s="1"/>
  <c r="AM765" i="26"/>
  <c r="AU765" i="26" s="1"/>
  <c r="S766" i="26"/>
  <c r="T766" i="26" s="1"/>
  <c r="BL766" i="26" s="1"/>
  <c r="N766" i="26"/>
  <c r="A767" i="26"/>
  <c r="Q767" i="26"/>
  <c r="C767" i="26"/>
  <c r="U767" i="26" s="1"/>
  <c r="W767" i="26"/>
  <c r="H767" i="26"/>
  <c r="L767" i="26"/>
  <c r="B767" i="26"/>
  <c r="D767" i="26" s="1"/>
  <c r="BL765" i="26"/>
  <c r="E1043" i="55"/>
  <c r="AL635" i="55"/>
  <c r="BC766" i="26" l="1"/>
  <c r="AS767" i="26"/>
  <c r="BJ767" i="26" s="1"/>
  <c r="X767" i="26"/>
  <c r="O767" i="26"/>
  <c r="AP767" i="26"/>
  <c r="K767" i="26"/>
  <c r="M767" i="26" s="1"/>
  <c r="G767" i="26"/>
  <c r="AF767" i="26"/>
  <c r="AN767" i="26" s="1"/>
  <c r="AV765" i="55"/>
  <c r="BT765" i="26"/>
  <c r="F767" i="26"/>
  <c r="R767" i="26" s="1"/>
  <c r="E768" i="26"/>
  <c r="P767" i="26"/>
  <c r="V767" i="26"/>
  <c r="AO767" i="26" s="1"/>
  <c r="O1043" i="55"/>
  <c r="AF1043" i="55"/>
  <c r="AI1043" i="55"/>
  <c r="Q1043" i="55"/>
  <c r="P1043" i="55"/>
  <c r="K1043" i="55"/>
  <c r="Z1043" i="55"/>
  <c r="AD1043" i="55"/>
  <c r="AL1043" i="55"/>
  <c r="AK1043" i="55"/>
  <c r="AW1043" i="55"/>
  <c r="AB1043" i="55"/>
  <c r="AX1043" i="55"/>
  <c r="W1043" i="55"/>
  <c r="AM1043" i="55"/>
  <c r="AC1043" i="55"/>
  <c r="L1043" i="55"/>
  <c r="H1043" i="55"/>
  <c r="N1043" i="55"/>
  <c r="G1043" i="55"/>
  <c r="I1043" i="55"/>
  <c r="D1043" i="55"/>
  <c r="S1043" i="55"/>
  <c r="AH1043" i="55"/>
  <c r="AT1043" i="55"/>
  <c r="U1043" i="55"/>
  <c r="V1043" i="55"/>
  <c r="X1043" i="55"/>
  <c r="F1043" i="55"/>
  <c r="C1043" i="55"/>
  <c r="A1043" i="55"/>
  <c r="AQ1043" i="55"/>
  <c r="M1043" i="55"/>
  <c r="AN1043" i="55"/>
  <c r="B1043" i="55"/>
  <c r="AG1043" i="55"/>
  <c r="AO1043" i="55"/>
  <c r="AL634" i="55"/>
  <c r="AL767" i="26" l="1"/>
  <c r="AM767" i="26" s="1"/>
  <c r="AU767" i="26" s="1"/>
  <c r="AT767" i="26"/>
  <c r="AV766" i="55"/>
  <c r="BT766" i="26"/>
  <c r="BK767" i="26"/>
  <c r="N767" i="26"/>
  <c r="AJ767" i="26"/>
  <c r="AK767" i="26" s="1"/>
  <c r="W768" i="26"/>
  <c r="B768" i="26"/>
  <c r="K768" i="26" s="1"/>
  <c r="L768" i="26"/>
  <c r="H768" i="26"/>
  <c r="Q768" i="26"/>
  <c r="A768" i="26"/>
  <c r="C768" i="26"/>
  <c r="U768" i="26" s="1"/>
  <c r="X768" i="26"/>
  <c r="S767" i="26"/>
  <c r="T767" i="26" s="1"/>
  <c r="BC767" i="26" s="1"/>
  <c r="E1044" i="55"/>
  <c r="AL633" i="55"/>
  <c r="M768" i="26" l="1"/>
  <c r="AJ768" i="26" s="1"/>
  <c r="AK768" i="26" s="1"/>
  <c r="D768" i="26"/>
  <c r="BL767" i="26"/>
  <c r="AF768" i="26"/>
  <c r="AN768" i="26" s="1"/>
  <c r="AS768" i="26"/>
  <c r="BJ768" i="26" s="1"/>
  <c r="F768" i="26"/>
  <c r="R768" i="26" s="1"/>
  <c r="O768" i="26"/>
  <c r="G768" i="26"/>
  <c r="V768" i="26"/>
  <c r="BK768" i="26" s="1"/>
  <c r="AP768" i="26"/>
  <c r="O1044" i="55"/>
  <c r="AD1044" i="55"/>
  <c r="AI1044" i="55"/>
  <c r="Q1044" i="55"/>
  <c r="K1044" i="55"/>
  <c r="P1044" i="55"/>
  <c r="AK1044" i="55"/>
  <c r="AG1044" i="55"/>
  <c r="H1044" i="55"/>
  <c r="AT1044" i="55"/>
  <c r="AN1044" i="55"/>
  <c r="W1044" i="55"/>
  <c r="B1044" i="55"/>
  <c r="C1044" i="55"/>
  <c r="A1044" i="55"/>
  <c r="U1044" i="55"/>
  <c r="AB1044" i="55"/>
  <c r="AC1044" i="55"/>
  <c r="L1044" i="55"/>
  <c r="X1044" i="55"/>
  <c r="AW1044" i="55"/>
  <c r="S1044" i="55"/>
  <c r="V1044" i="55"/>
  <c r="G1044" i="55"/>
  <c r="M1044" i="55"/>
  <c r="AX1044" i="55"/>
  <c r="D1044" i="55"/>
  <c r="AH1044" i="55"/>
  <c r="I1044" i="55"/>
  <c r="F1044" i="55"/>
  <c r="N1044" i="55"/>
  <c r="AQ1044" i="55"/>
  <c r="AM1044" i="55"/>
  <c r="AL1044" i="55"/>
  <c r="Z1044" i="55"/>
  <c r="AO1044" i="55"/>
  <c r="AF1044" i="55"/>
  <c r="AL632" i="55"/>
  <c r="N768" i="26" l="1"/>
  <c r="P768" i="26"/>
  <c r="E769" i="26"/>
  <c r="S768" i="26"/>
  <c r="T768" i="26" s="1"/>
  <c r="BC768" i="26" s="1"/>
  <c r="BT767" i="26"/>
  <c r="AV767" i="55"/>
  <c r="AO768" i="26"/>
  <c r="AT768" i="26" s="1"/>
  <c r="E1045" i="55"/>
  <c r="AL631" i="55"/>
  <c r="AL768" i="26" l="1"/>
  <c r="AM768" i="26" s="1"/>
  <c r="AU768" i="26" s="1"/>
  <c r="A769" i="26"/>
  <c r="Q769" i="26"/>
  <c r="L769" i="26"/>
  <c r="H769" i="26"/>
  <c r="B769" i="26"/>
  <c r="D769" i="26" s="1"/>
  <c r="W769" i="26"/>
  <c r="C769" i="26"/>
  <c r="AS769" i="26" s="1"/>
  <c r="BJ769" i="26" s="1"/>
  <c r="O769" i="26"/>
  <c r="E770" i="26"/>
  <c r="U769" i="26"/>
  <c r="V769" i="26"/>
  <c r="G769" i="26"/>
  <c r="X769" i="26"/>
  <c r="AP769" i="26"/>
  <c r="P769" i="26"/>
  <c r="BL768" i="26"/>
  <c r="AL1045" i="55"/>
  <c r="O1045" i="55"/>
  <c r="AO1045" i="55"/>
  <c r="AG1045" i="55"/>
  <c r="AI1045" i="55"/>
  <c r="Q1045" i="55"/>
  <c r="P1045" i="55"/>
  <c r="K1045" i="55"/>
  <c r="Z1045" i="55"/>
  <c r="AK1045" i="55"/>
  <c r="AQ1045" i="55"/>
  <c r="X1045" i="55"/>
  <c r="H1045" i="55"/>
  <c r="V1045" i="55"/>
  <c r="AN1045" i="55"/>
  <c r="S1045" i="55"/>
  <c r="N1045" i="55"/>
  <c r="M1045" i="55"/>
  <c r="A1045" i="55"/>
  <c r="C1045" i="55"/>
  <c r="AH1045" i="55"/>
  <c r="D1045" i="55"/>
  <c r="F1045" i="55"/>
  <c r="AM1045" i="55"/>
  <c r="AT1045" i="55"/>
  <c r="I1045" i="55"/>
  <c r="AB1045" i="55"/>
  <c r="AC1045" i="55"/>
  <c r="B1045" i="55"/>
  <c r="AX1045" i="55"/>
  <c r="G1045" i="55"/>
  <c r="AW1045" i="55"/>
  <c r="U1045" i="55"/>
  <c r="W1045" i="55"/>
  <c r="L1045" i="55"/>
  <c r="AD1045" i="55"/>
  <c r="AF1045" i="55"/>
  <c r="AL630" i="55"/>
  <c r="F769" i="26" l="1"/>
  <c r="R769" i="26" s="1"/>
  <c r="AF769" i="26"/>
  <c r="AN769" i="26" s="1"/>
  <c r="K769" i="26"/>
  <c r="M769" i="26" s="1"/>
  <c r="AJ769" i="26" s="1"/>
  <c r="AK769" i="26" s="1"/>
  <c r="AV768" i="55"/>
  <c r="BT768" i="26"/>
  <c r="H770" i="26"/>
  <c r="C770" i="26"/>
  <c r="V770" i="26" s="1"/>
  <c r="A770" i="26"/>
  <c r="B770" i="26"/>
  <c r="D770" i="26" s="1"/>
  <c r="W770" i="26"/>
  <c r="L770" i="26"/>
  <c r="Q770" i="26"/>
  <c r="G770" i="26"/>
  <c r="BK769" i="26"/>
  <c r="AO769" i="26"/>
  <c r="AT769" i="26" s="1"/>
  <c r="E1046" i="55"/>
  <c r="AL629" i="55"/>
  <c r="N769" i="26" l="1"/>
  <c r="AO770" i="26"/>
  <c r="AL769" i="26"/>
  <c r="S769" i="26"/>
  <c r="T769" i="26" s="1"/>
  <c r="U770" i="26"/>
  <c r="AF770" i="26" s="1"/>
  <c r="AN770" i="26" s="1"/>
  <c r="AS770" i="26"/>
  <c r="BJ770" i="26" s="1"/>
  <c r="X770" i="26"/>
  <c r="BK770" i="26" s="1"/>
  <c r="AP770" i="26"/>
  <c r="P770" i="26"/>
  <c r="F770" i="26"/>
  <c r="O770" i="26"/>
  <c r="R770" i="26"/>
  <c r="K770" i="26"/>
  <c r="M770" i="26" s="1"/>
  <c r="E771" i="26"/>
  <c r="O1046" i="55"/>
  <c r="AK1046" i="55"/>
  <c r="AI1046" i="55"/>
  <c r="Q1046" i="55"/>
  <c r="K1046" i="55"/>
  <c r="P1046" i="55"/>
  <c r="AF1046" i="55"/>
  <c r="AG1046" i="55"/>
  <c r="M1046" i="55"/>
  <c r="I1046" i="55"/>
  <c r="AN1046" i="55"/>
  <c r="AW1046" i="55"/>
  <c r="X1046" i="55"/>
  <c r="AC1046" i="55"/>
  <c r="AT1046" i="55"/>
  <c r="G1046" i="55"/>
  <c r="A1046" i="55"/>
  <c r="B1046" i="55"/>
  <c r="AX1046" i="55"/>
  <c r="AH1046" i="55"/>
  <c r="W1046" i="55"/>
  <c r="AB1046" i="55"/>
  <c r="AQ1046" i="55"/>
  <c r="F1046" i="55"/>
  <c r="S1046" i="55"/>
  <c r="L1046" i="55"/>
  <c r="AM1046" i="55"/>
  <c r="D1046" i="55"/>
  <c r="C1046" i="55"/>
  <c r="H1046" i="55"/>
  <c r="V1046" i="55"/>
  <c r="U1046" i="55"/>
  <c r="N1046" i="55"/>
  <c r="AD1046" i="55"/>
  <c r="AL1046" i="55"/>
  <c r="Z1046" i="55"/>
  <c r="AO1046" i="55"/>
  <c r="AL628" i="55"/>
  <c r="AT770" i="26" l="1"/>
  <c r="AL770" i="26"/>
  <c r="AM770" i="26" s="1"/>
  <c r="AU770" i="26" s="1"/>
  <c r="AM769" i="26"/>
  <c r="AU769" i="26" s="1"/>
  <c r="BC769" i="26"/>
  <c r="BL769" i="26"/>
  <c r="C771" i="26"/>
  <c r="AS771" i="26" s="1"/>
  <c r="BJ771" i="26" s="1"/>
  <c r="B771" i="26"/>
  <c r="W771" i="26"/>
  <c r="H771" i="26"/>
  <c r="L771" i="26"/>
  <c r="A771" i="26"/>
  <c r="AP771" i="26"/>
  <c r="Q771" i="26"/>
  <c r="X771" i="26"/>
  <c r="AJ770" i="26"/>
  <c r="AK770" i="26" s="1"/>
  <c r="N770" i="26"/>
  <c r="S770" i="26"/>
  <c r="T770" i="26" s="1"/>
  <c r="E1047" i="55"/>
  <c r="AL627" i="55"/>
  <c r="BC770" i="26" l="1"/>
  <c r="AV769" i="55"/>
  <c r="BT769" i="26"/>
  <c r="G771" i="26"/>
  <c r="D771" i="26"/>
  <c r="P771" i="26" s="1"/>
  <c r="BL770" i="26"/>
  <c r="U771" i="26"/>
  <c r="AF771" i="26" s="1"/>
  <c r="AN771" i="26" s="1"/>
  <c r="E772" i="26"/>
  <c r="F771" i="26"/>
  <c r="R771" i="26" s="1"/>
  <c r="K771" i="26"/>
  <c r="M771" i="26" s="1"/>
  <c r="V771" i="26"/>
  <c r="BK771" i="26" s="1"/>
  <c r="O1047" i="55"/>
  <c r="AK1047" i="55"/>
  <c r="AI1047" i="55"/>
  <c r="Q1047" i="55"/>
  <c r="P1047" i="55"/>
  <c r="K1047" i="55"/>
  <c r="Z1047" i="55"/>
  <c r="AO1047" i="55"/>
  <c r="AD1047" i="55"/>
  <c r="AG1047" i="55"/>
  <c r="AF1047" i="55"/>
  <c r="AL1047" i="55"/>
  <c r="AM1047" i="55"/>
  <c r="AB1047" i="55"/>
  <c r="B1047" i="55"/>
  <c r="AX1047" i="55"/>
  <c r="N1047" i="55"/>
  <c r="M1047" i="55"/>
  <c r="C1047" i="55"/>
  <c r="AT1047" i="55"/>
  <c r="L1047" i="55"/>
  <c r="I1047" i="55"/>
  <c r="W1047" i="55"/>
  <c r="G1047" i="55"/>
  <c r="AC1047" i="55"/>
  <c r="V1047" i="55"/>
  <c r="F1047" i="55"/>
  <c r="D1047" i="55"/>
  <c r="U1047" i="55"/>
  <c r="X1047" i="55"/>
  <c r="A1047" i="55"/>
  <c r="AH1047" i="55"/>
  <c r="AN1047" i="55"/>
  <c r="S1047" i="55"/>
  <c r="AW1047" i="55"/>
  <c r="H1047" i="55"/>
  <c r="AQ1047" i="55"/>
  <c r="AL626" i="55"/>
  <c r="N771" i="26" l="1"/>
  <c r="AJ771" i="26"/>
  <c r="AK771" i="26" s="1"/>
  <c r="C772" i="26"/>
  <c r="Q772" i="26"/>
  <c r="H772" i="26"/>
  <c r="A772" i="26"/>
  <c r="B772" i="26"/>
  <c r="W772" i="26"/>
  <c r="L772" i="26"/>
  <c r="O771" i="26"/>
  <c r="AV770" i="55"/>
  <c r="BT770" i="26"/>
  <c r="AO771" i="26"/>
  <c r="AT771" i="26" s="1"/>
  <c r="E1048" i="55"/>
  <c r="AL625" i="55"/>
  <c r="AL771" i="26" l="1"/>
  <c r="AM771" i="26" s="1"/>
  <c r="AU771" i="26" s="1"/>
  <c r="U772" i="26"/>
  <c r="AF772" i="26" s="1"/>
  <c r="AN772" i="26" s="1"/>
  <c r="V772" i="26"/>
  <c r="AO772" i="26" s="1"/>
  <c r="D772" i="26"/>
  <c r="AP772" i="26"/>
  <c r="G772" i="26"/>
  <c r="P772" i="26"/>
  <c r="X772" i="26"/>
  <c r="AS772" i="26"/>
  <c r="BJ772" i="26" s="1"/>
  <c r="S771" i="26"/>
  <c r="T771" i="26" s="1"/>
  <c r="BC771" i="26" s="1"/>
  <c r="F772" i="26"/>
  <c r="R772" i="26" s="1"/>
  <c r="K772" i="26"/>
  <c r="M772" i="26" s="1"/>
  <c r="Z1048" i="55"/>
  <c r="AD1048" i="55"/>
  <c r="O1048" i="55"/>
  <c r="AL1048" i="55"/>
  <c r="Q1048" i="55"/>
  <c r="AI1048" i="55"/>
  <c r="P1048" i="55"/>
  <c r="K1048" i="55"/>
  <c r="AO1048" i="55"/>
  <c r="AF1048" i="55"/>
  <c r="AG1048" i="55"/>
  <c r="AK1048" i="55"/>
  <c r="S1048" i="55"/>
  <c r="N1048" i="55"/>
  <c r="M1048" i="55"/>
  <c r="AC1048" i="55"/>
  <c r="W1048" i="55"/>
  <c r="AB1048" i="55"/>
  <c r="U1048" i="55"/>
  <c r="AW1048" i="55"/>
  <c r="L1048" i="55"/>
  <c r="C1048" i="55"/>
  <c r="AQ1048" i="55"/>
  <c r="H1048" i="55"/>
  <c r="F1048" i="55"/>
  <c r="X1048" i="55"/>
  <c r="G1048" i="55"/>
  <c r="V1048" i="55"/>
  <c r="AN1048" i="55"/>
  <c r="B1048" i="55"/>
  <c r="D1048" i="55"/>
  <c r="AM1048" i="55"/>
  <c r="AX1048" i="55"/>
  <c r="AH1048" i="55"/>
  <c r="I1048" i="55"/>
  <c r="A1048" i="55"/>
  <c r="AT1048" i="55"/>
  <c r="AL624" i="55"/>
  <c r="BK772" i="26" l="1"/>
  <c r="AT772" i="26"/>
  <c r="O772" i="26"/>
  <c r="S772" i="26" s="1"/>
  <c r="T772" i="26" s="1"/>
  <c r="BC772" i="26" s="1"/>
  <c r="E773" i="26"/>
  <c r="C773" i="26"/>
  <c r="L773" i="26"/>
  <c r="A773" i="26"/>
  <c r="BL771" i="26"/>
  <c r="AJ772" i="26"/>
  <c r="AK772" i="26" s="1"/>
  <c r="N772" i="26"/>
  <c r="E1049" i="55"/>
  <c r="AL623" i="55"/>
  <c r="AL772" i="26" l="1"/>
  <c r="AM772" i="26" s="1"/>
  <c r="AU772" i="26" s="1"/>
  <c r="B773" i="26"/>
  <c r="K773" i="26"/>
  <c r="M773" i="26" s="1"/>
  <c r="AJ773" i="26" s="1"/>
  <c r="AK773" i="26" s="1"/>
  <c r="W773" i="26"/>
  <c r="X773" i="26" s="1"/>
  <c r="Q773" i="26"/>
  <c r="U773" i="26"/>
  <c r="AF773" i="26" s="1"/>
  <c r="AN773" i="26" s="1"/>
  <c r="H773" i="26"/>
  <c r="BL772" i="26"/>
  <c r="AV771" i="55"/>
  <c r="BT771" i="26"/>
  <c r="F773" i="26"/>
  <c r="R773" i="26" s="1"/>
  <c r="G773" i="26"/>
  <c r="AP773" i="26"/>
  <c r="P773" i="26"/>
  <c r="D773" i="26"/>
  <c r="E774" i="26" s="1"/>
  <c r="V773" i="26"/>
  <c r="O1049" i="55"/>
  <c r="AI1049" i="55"/>
  <c r="Q1049" i="55"/>
  <c r="P1049" i="55"/>
  <c r="K1049" i="55"/>
  <c r="AO1049" i="55"/>
  <c r="AF1049" i="55"/>
  <c r="AD1049" i="55"/>
  <c r="A1049" i="55"/>
  <c r="V1049" i="55"/>
  <c r="L1049" i="55"/>
  <c r="S1049" i="55"/>
  <c r="F1049" i="55"/>
  <c r="X1049" i="55"/>
  <c r="G1049" i="55"/>
  <c r="AH1049" i="55"/>
  <c r="W1049" i="55"/>
  <c r="U1049" i="55"/>
  <c r="AQ1049" i="55"/>
  <c r="H1049" i="55"/>
  <c r="AX1049" i="55"/>
  <c r="AW1049" i="55"/>
  <c r="AC1049" i="55"/>
  <c r="AM1049" i="55"/>
  <c r="B1049" i="55"/>
  <c r="AT1049" i="55"/>
  <c r="I1049" i="55"/>
  <c r="AN1049" i="55"/>
  <c r="N1049" i="55"/>
  <c r="C1049" i="55"/>
  <c r="D1049" i="55"/>
  <c r="AB1049" i="55"/>
  <c r="M1049" i="55"/>
  <c r="AK1049" i="55"/>
  <c r="Z1049" i="55"/>
  <c r="AL1049" i="55"/>
  <c r="AG1049" i="55"/>
  <c r="AL622" i="55"/>
  <c r="N773" i="26" l="1"/>
  <c r="AO773" i="26"/>
  <c r="AT773" i="26" s="1"/>
  <c r="O773" i="26"/>
  <c r="BK773" i="26"/>
  <c r="AV772" i="55"/>
  <c r="BT772" i="26"/>
  <c r="Q774" i="26"/>
  <c r="L774" i="26"/>
  <c r="B774" i="26"/>
  <c r="D774" i="26" s="1"/>
  <c r="C774" i="26"/>
  <c r="U774" i="26" s="1"/>
  <c r="H774" i="26"/>
  <c r="W774" i="26"/>
  <c r="A774" i="26"/>
  <c r="F774" i="26"/>
  <c r="E1050" i="55"/>
  <c r="AL621" i="55"/>
  <c r="AL773" i="26" l="1"/>
  <c r="AM773" i="26" s="1"/>
  <c r="AU773" i="26" s="1"/>
  <c r="V774" i="26"/>
  <c r="R774" i="26"/>
  <c r="P774" i="26"/>
  <c r="AF774" i="26"/>
  <c r="AN774" i="26" s="1"/>
  <c r="AO774" i="26"/>
  <c r="G774" i="26"/>
  <c r="S773" i="26"/>
  <c r="T773" i="26" s="1"/>
  <c r="BC773" i="26" s="1"/>
  <c r="AP774" i="26"/>
  <c r="X774" i="26"/>
  <c r="BK774" i="26" s="1"/>
  <c r="E775" i="26"/>
  <c r="K774" i="26"/>
  <c r="M774" i="26" s="1"/>
  <c r="O774" i="26"/>
  <c r="S774" i="26" s="1"/>
  <c r="T774" i="26" s="1"/>
  <c r="AS774" i="26"/>
  <c r="BJ774" i="26" s="1"/>
  <c r="O1050" i="55"/>
  <c r="AK1050" i="55"/>
  <c r="AI1050" i="55"/>
  <c r="Q1050" i="55"/>
  <c r="K1050" i="55"/>
  <c r="P1050" i="55"/>
  <c r="AO1050" i="55"/>
  <c r="AD1050" i="55"/>
  <c r="W1050" i="55"/>
  <c r="U1050" i="55"/>
  <c r="AN1050" i="55"/>
  <c r="B1050" i="55"/>
  <c r="M1050" i="55"/>
  <c r="AX1050" i="55"/>
  <c r="C1050" i="55"/>
  <c r="A1050" i="55"/>
  <c r="D1050" i="55"/>
  <c r="AB1050" i="55"/>
  <c r="L1050" i="55"/>
  <c r="AW1050" i="55"/>
  <c r="V1050" i="55"/>
  <c r="G1050" i="55"/>
  <c r="I1050" i="55"/>
  <c r="AT1050" i="55"/>
  <c r="AH1050" i="55"/>
  <c r="S1050" i="55"/>
  <c r="AQ1050" i="55"/>
  <c r="N1050" i="55"/>
  <c r="H1050" i="55"/>
  <c r="F1050" i="55"/>
  <c r="AC1050" i="55"/>
  <c r="AM1050" i="55"/>
  <c r="X1050" i="55"/>
  <c r="AL1050" i="55"/>
  <c r="AF1050" i="55"/>
  <c r="AG1050" i="55"/>
  <c r="Z1050" i="55"/>
  <c r="AL620" i="55"/>
  <c r="AT774" i="26" l="1"/>
  <c r="AL774" i="26"/>
  <c r="AM774" i="26" s="1"/>
  <c r="AU774" i="26" s="1"/>
  <c r="BC774" i="26"/>
  <c r="AJ774" i="26"/>
  <c r="AK774" i="26" s="1"/>
  <c r="N774" i="26"/>
  <c r="B775" i="26"/>
  <c r="K775" i="26" s="1"/>
  <c r="Q775" i="26"/>
  <c r="A775" i="26"/>
  <c r="C775" i="26"/>
  <c r="V775" i="26" s="1"/>
  <c r="W775" i="26"/>
  <c r="L775" i="26"/>
  <c r="H775" i="26"/>
  <c r="AS775" i="26"/>
  <c r="BJ775" i="26" s="1"/>
  <c r="BL773" i="26"/>
  <c r="BL774" i="26"/>
  <c r="E1051" i="55"/>
  <c r="AL619" i="55"/>
  <c r="AP775" i="26" l="1"/>
  <c r="D775" i="26"/>
  <c r="M775" i="26"/>
  <c r="AV774" i="55"/>
  <c r="BT774" i="26"/>
  <c r="AO775" i="26"/>
  <c r="O775" i="26"/>
  <c r="U775" i="26"/>
  <c r="AF775" i="26" s="1"/>
  <c r="AN775" i="26" s="1"/>
  <c r="P775" i="26"/>
  <c r="X775" i="26"/>
  <c r="BK775" i="26" s="1"/>
  <c r="G775" i="26"/>
  <c r="E776" i="26"/>
  <c r="F775" i="26"/>
  <c r="R775" i="26" s="1"/>
  <c r="BT773" i="26"/>
  <c r="AV773" i="55"/>
  <c r="O1051" i="55"/>
  <c r="AL1051" i="55"/>
  <c r="AG1051" i="55"/>
  <c r="AF1051" i="55"/>
  <c r="AI1051" i="55"/>
  <c r="Q1051" i="55"/>
  <c r="P1051" i="55"/>
  <c r="K1051" i="55"/>
  <c r="AO1051" i="55"/>
  <c r="AK1051" i="55"/>
  <c r="Z1051" i="55"/>
  <c r="AD1051" i="55"/>
  <c r="B1051" i="55"/>
  <c r="AH1051" i="55"/>
  <c r="AN1051" i="55"/>
  <c r="F1051" i="55"/>
  <c r="AQ1051" i="55"/>
  <c r="AW1051" i="55"/>
  <c r="AB1051" i="55"/>
  <c r="L1051" i="55"/>
  <c r="U1051" i="55"/>
  <c r="AX1051" i="55"/>
  <c r="W1051" i="55"/>
  <c r="AT1051" i="55"/>
  <c r="D1051" i="55"/>
  <c r="I1051" i="55"/>
  <c r="X1051" i="55"/>
  <c r="A1051" i="55"/>
  <c r="G1051" i="55"/>
  <c r="AC1051" i="55"/>
  <c r="S1051" i="55"/>
  <c r="V1051" i="55"/>
  <c r="H1051" i="55"/>
  <c r="N1051" i="55"/>
  <c r="C1051" i="55"/>
  <c r="M1051" i="55"/>
  <c r="AM1051" i="55"/>
  <c r="AL618" i="55"/>
  <c r="AT775" i="26" l="1"/>
  <c r="AL775" i="26"/>
  <c r="AJ775" i="26"/>
  <c r="AK775" i="26" s="1"/>
  <c r="N775" i="26"/>
  <c r="A776" i="26"/>
  <c r="L776" i="26"/>
  <c r="C776" i="26"/>
  <c r="B776" i="26"/>
  <c r="G776" i="26" s="1"/>
  <c r="W776" i="26"/>
  <c r="Q776" i="26"/>
  <c r="H776" i="26"/>
  <c r="S775" i="26"/>
  <c r="T775" i="26" s="1"/>
  <c r="BC775" i="26" s="1"/>
  <c r="E1052" i="55"/>
  <c r="AL617" i="55"/>
  <c r="AM775" i="26" l="1"/>
  <c r="AU775" i="26" s="1"/>
  <c r="K776" i="26"/>
  <c r="M776" i="26" s="1"/>
  <c r="N776" i="26" s="1"/>
  <c r="D776" i="26"/>
  <c r="P776" i="26" s="1"/>
  <c r="F776" i="26"/>
  <c r="R776" i="26" s="1"/>
  <c r="E777" i="26"/>
  <c r="Q777" i="26" s="1"/>
  <c r="BL775" i="26"/>
  <c r="X776" i="26"/>
  <c r="AP776" i="26"/>
  <c r="U776" i="26"/>
  <c r="AF776" i="26" s="1"/>
  <c r="AN776" i="26" s="1"/>
  <c r="AS776" i="26"/>
  <c r="BJ776" i="26" s="1"/>
  <c r="V776" i="26"/>
  <c r="AO776" i="26" s="1"/>
  <c r="O1052" i="55"/>
  <c r="AL1052" i="55"/>
  <c r="AI1052" i="55"/>
  <c r="Q1052" i="55"/>
  <c r="K1052" i="55"/>
  <c r="P1052" i="55"/>
  <c r="AF1052" i="55"/>
  <c r="AO1052" i="55"/>
  <c r="AG1052" i="55"/>
  <c r="AK1052" i="55"/>
  <c r="Z1052" i="55"/>
  <c r="AD1052" i="55"/>
  <c r="H1052" i="55"/>
  <c r="L1052" i="55"/>
  <c r="S1052" i="55"/>
  <c r="B1052" i="55"/>
  <c r="AH1052" i="55"/>
  <c r="AX1052" i="55"/>
  <c r="AM1052" i="55"/>
  <c r="C1052" i="55"/>
  <c r="X1052" i="55"/>
  <c r="D1052" i="55"/>
  <c r="I1052" i="55"/>
  <c r="G1052" i="55"/>
  <c r="AC1052" i="55"/>
  <c r="AW1052" i="55"/>
  <c r="F1052" i="55"/>
  <c r="A1052" i="55"/>
  <c r="U1052" i="55"/>
  <c r="V1052" i="55"/>
  <c r="M1052" i="55"/>
  <c r="AT1052" i="55"/>
  <c r="AQ1052" i="55"/>
  <c r="AN1052" i="55"/>
  <c r="AB1052" i="55"/>
  <c r="W1052" i="55"/>
  <c r="N1052" i="55"/>
  <c r="AL616" i="55"/>
  <c r="AJ776" i="26" l="1"/>
  <c r="AK776" i="26" s="1"/>
  <c r="AT776" i="26"/>
  <c r="B777" i="26"/>
  <c r="L777" i="26"/>
  <c r="H777" i="26"/>
  <c r="C777" i="26"/>
  <c r="U777" i="26" s="1"/>
  <c r="A777" i="26"/>
  <c r="D777" i="26"/>
  <c r="E778" i="26" s="1"/>
  <c r="C778" i="26" s="1"/>
  <c r="AS778" i="26" s="1"/>
  <c r="BJ778" i="26" s="1"/>
  <c r="W777" i="26"/>
  <c r="O776" i="26"/>
  <c r="BK776" i="26"/>
  <c r="P777" i="26"/>
  <c r="AS777" i="26"/>
  <c r="BJ777" i="26" s="1"/>
  <c r="O777" i="26"/>
  <c r="W778" i="26"/>
  <c r="AV775" i="55"/>
  <c r="BT775" i="26"/>
  <c r="F777" i="26"/>
  <c r="R777" i="26" s="1"/>
  <c r="X777" i="26"/>
  <c r="V777" i="26"/>
  <c r="E1053" i="55"/>
  <c r="AL615" i="55"/>
  <c r="AL776" i="26" l="1"/>
  <c r="AM776" i="26" s="1"/>
  <c r="AU776" i="26" s="1"/>
  <c r="A778" i="26"/>
  <c r="AP777" i="26"/>
  <c r="AP778" i="26" s="1"/>
  <c r="K777" i="26"/>
  <c r="M777" i="26" s="1"/>
  <c r="N777" i="26" s="1"/>
  <c r="AF777" i="26"/>
  <c r="AN777" i="26" s="1"/>
  <c r="G777" i="26"/>
  <c r="B778" i="26"/>
  <c r="H778" i="26"/>
  <c r="Q778" i="26"/>
  <c r="L778" i="26"/>
  <c r="S776" i="26"/>
  <c r="T776" i="26" s="1"/>
  <c r="BC776" i="26" s="1"/>
  <c r="F778" i="26"/>
  <c r="D778" i="26"/>
  <c r="P778" i="26" s="1"/>
  <c r="X778" i="26"/>
  <c r="V778" i="26"/>
  <c r="AO777" i="26"/>
  <c r="BK777" i="26"/>
  <c r="G778" i="26"/>
  <c r="S777" i="26"/>
  <c r="T777" i="26" s="1"/>
  <c r="K778" i="26"/>
  <c r="M778" i="26" s="1"/>
  <c r="U778" i="26"/>
  <c r="AF778" i="26" s="1"/>
  <c r="AN778" i="26" s="1"/>
  <c r="O1053" i="55"/>
  <c r="AK1053" i="55"/>
  <c r="AI1053" i="55"/>
  <c r="Q1053" i="55"/>
  <c r="P1053" i="55"/>
  <c r="K1053" i="55"/>
  <c r="AD1053" i="55"/>
  <c r="Z1053" i="55"/>
  <c r="AL1053" i="55"/>
  <c r="AO1053" i="55"/>
  <c r="AG1053" i="55"/>
  <c r="X1053" i="55"/>
  <c r="AQ1053" i="55"/>
  <c r="I1053" i="55"/>
  <c r="V1053" i="55"/>
  <c r="D1053" i="55"/>
  <c r="AX1053" i="55"/>
  <c r="S1053" i="55"/>
  <c r="W1053" i="55"/>
  <c r="AC1053" i="55"/>
  <c r="AW1053" i="55"/>
  <c r="AM1053" i="55"/>
  <c r="H1053" i="55"/>
  <c r="B1053" i="55"/>
  <c r="F1053" i="55"/>
  <c r="AT1053" i="55"/>
  <c r="N1053" i="55"/>
  <c r="M1053" i="55"/>
  <c r="L1053" i="55"/>
  <c r="AB1053" i="55"/>
  <c r="AN1053" i="55"/>
  <c r="C1053" i="55"/>
  <c r="U1053" i="55"/>
  <c r="A1053" i="55"/>
  <c r="G1053" i="55"/>
  <c r="AH1053" i="55"/>
  <c r="AF1053" i="55"/>
  <c r="AL614" i="55"/>
  <c r="AJ777" i="26" l="1"/>
  <c r="AK777" i="26" s="1"/>
  <c r="AL777" i="26"/>
  <c r="AM777" i="26" s="1"/>
  <c r="AU777" i="26" s="1"/>
  <c r="AO778" i="26"/>
  <c r="AT778" i="26" s="1"/>
  <c r="R778" i="26"/>
  <c r="BC777" i="26"/>
  <c r="AT777" i="26"/>
  <c r="O778" i="26"/>
  <c r="S778" i="26" s="1"/>
  <c r="T778" i="26" s="1"/>
  <c r="E779" i="26"/>
  <c r="BL776" i="26"/>
  <c r="AJ778" i="26"/>
  <c r="AK778" i="26" s="1"/>
  <c r="N778" i="26"/>
  <c r="H779" i="26"/>
  <c r="L779" i="26"/>
  <c r="C779" i="26"/>
  <c r="U779" i="26" s="1"/>
  <c r="B779" i="26"/>
  <c r="K779" i="26" s="1"/>
  <c r="M779" i="26" s="1"/>
  <c r="N779" i="26" s="1"/>
  <c r="W779" i="26"/>
  <c r="Q779" i="26"/>
  <c r="A779" i="26"/>
  <c r="AS779" i="26"/>
  <c r="BJ779" i="26" s="1"/>
  <c r="BL777" i="26"/>
  <c r="BK778" i="26"/>
  <c r="E1054" i="55"/>
  <c r="AL613" i="55"/>
  <c r="AL778" i="26" l="1"/>
  <c r="AM778" i="26" s="1"/>
  <c r="AU778" i="26" s="1"/>
  <c r="BC778" i="26"/>
  <c r="X779" i="26"/>
  <c r="D779" i="26"/>
  <c r="BT776" i="26"/>
  <c r="AV776" i="55"/>
  <c r="F779" i="26"/>
  <c r="R779" i="26" s="1"/>
  <c r="AP779" i="26"/>
  <c r="G779" i="26"/>
  <c r="AF779" i="26"/>
  <c r="AN779" i="26" s="1"/>
  <c r="AV777" i="55"/>
  <c r="BT777" i="26"/>
  <c r="AJ779" i="26"/>
  <c r="AK779" i="26" s="1"/>
  <c r="P779" i="26"/>
  <c r="E780" i="26"/>
  <c r="V779" i="26"/>
  <c r="BL778" i="26"/>
  <c r="AD1054" i="55"/>
  <c r="O1054" i="55"/>
  <c r="AK1054" i="55"/>
  <c r="AI1054" i="55"/>
  <c r="Q1054" i="55"/>
  <c r="K1054" i="55"/>
  <c r="P1054" i="55"/>
  <c r="AG1054" i="55"/>
  <c r="AF1054" i="55"/>
  <c r="V1054" i="55"/>
  <c r="AT1054" i="55"/>
  <c r="F1054" i="55"/>
  <c r="H1054" i="55"/>
  <c r="I1054" i="55"/>
  <c r="AC1054" i="55"/>
  <c r="L1054" i="55"/>
  <c r="B1054" i="55"/>
  <c r="W1054" i="55"/>
  <c r="N1054" i="55"/>
  <c r="AN1054" i="55"/>
  <c r="D1054" i="55"/>
  <c r="AM1054" i="55"/>
  <c r="U1054" i="55"/>
  <c r="AH1054" i="55"/>
  <c r="AX1054" i="55"/>
  <c r="C1054" i="55"/>
  <c r="S1054" i="55"/>
  <c r="AB1054" i="55"/>
  <c r="M1054" i="55"/>
  <c r="A1054" i="55"/>
  <c r="AW1054" i="55"/>
  <c r="G1054" i="55"/>
  <c r="X1054" i="55"/>
  <c r="AQ1054" i="55"/>
  <c r="AL1054" i="55"/>
  <c r="Z1054" i="55"/>
  <c r="AO1054" i="55"/>
  <c r="AL612" i="55"/>
  <c r="O779" i="26" l="1"/>
  <c r="S779" i="26" s="1"/>
  <c r="T779" i="26" s="1"/>
  <c r="BC779" i="26" s="1"/>
  <c r="H780" i="26"/>
  <c r="B780" i="26"/>
  <c r="G780" i="26" s="1"/>
  <c r="C780" i="26"/>
  <c r="A780" i="26"/>
  <c r="L780" i="26"/>
  <c r="Q780" i="26"/>
  <c r="W780" i="26"/>
  <c r="D780" i="26"/>
  <c r="BT778" i="26"/>
  <c r="AV778" i="55"/>
  <c r="BK779" i="26"/>
  <c r="AO779" i="26"/>
  <c r="AT779" i="26" s="1"/>
  <c r="E1055" i="55"/>
  <c r="AL611" i="55"/>
  <c r="AL779" i="26" l="1"/>
  <c r="AM779" i="26" s="1"/>
  <c r="AU779" i="26" s="1"/>
  <c r="BL779" i="26"/>
  <c r="P780" i="26"/>
  <c r="K780" i="26"/>
  <c r="M780" i="26" s="1"/>
  <c r="N780" i="26" s="1"/>
  <c r="X780" i="26"/>
  <c r="AP780" i="26"/>
  <c r="U780" i="26"/>
  <c r="AF780" i="26" s="1"/>
  <c r="AN780" i="26" s="1"/>
  <c r="AS780" i="26"/>
  <c r="BJ780" i="26" s="1"/>
  <c r="AV779" i="55"/>
  <c r="BT779" i="26"/>
  <c r="E781" i="26"/>
  <c r="F780" i="26"/>
  <c r="R780" i="26" s="1"/>
  <c r="O780" i="26"/>
  <c r="V780" i="26"/>
  <c r="AO780" i="26" s="1"/>
  <c r="O1055" i="55"/>
  <c r="Z1055" i="55"/>
  <c r="AI1055" i="55"/>
  <c r="Q1055" i="55"/>
  <c r="P1055" i="55"/>
  <c r="K1055" i="55"/>
  <c r="AF1055" i="55"/>
  <c r="AL1055" i="55"/>
  <c r="AG1055" i="55"/>
  <c r="AK1055" i="55"/>
  <c r="AO1055" i="55"/>
  <c r="AD1055" i="55"/>
  <c r="AC1055" i="55"/>
  <c r="D1055" i="55"/>
  <c r="AT1055" i="55"/>
  <c r="AX1055" i="55"/>
  <c r="B1055" i="55"/>
  <c r="L1055" i="55"/>
  <c r="C1055" i="55"/>
  <c r="F1055" i="55"/>
  <c r="AN1055" i="55"/>
  <c r="M1055" i="55"/>
  <c r="U1055" i="55"/>
  <c r="V1055" i="55"/>
  <c r="AB1055" i="55"/>
  <c r="H1055" i="55"/>
  <c r="AW1055" i="55"/>
  <c r="I1055" i="55"/>
  <c r="N1055" i="55"/>
  <c r="W1055" i="55"/>
  <c r="AM1055" i="55"/>
  <c r="A1055" i="55"/>
  <c r="G1055" i="55"/>
  <c r="S1055" i="55"/>
  <c r="X1055" i="55"/>
  <c r="AH1055" i="55"/>
  <c r="AQ1055" i="55"/>
  <c r="AL610" i="55"/>
  <c r="AJ780" i="26" l="1"/>
  <c r="AK780" i="26" s="1"/>
  <c r="AL780" i="26"/>
  <c r="AM780" i="26" s="1"/>
  <c r="AU780" i="26" s="1"/>
  <c r="AT780" i="26"/>
  <c r="S780" i="26"/>
  <c r="T780" i="26" s="1"/>
  <c r="BC780" i="26" s="1"/>
  <c r="Q781" i="26"/>
  <c r="C781" i="26"/>
  <c r="V781" i="26" s="1"/>
  <c r="F781" i="26"/>
  <c r="B781" i="26"/>
  <c r="G781" i="26" s="1"/>
  <c r="W781" i="26"/>
  <c r="K781" i="26"/>
  <c r="H781" i="26"/>
  <c r="L781" i="26"/>
  <c r="R781" i="26"/>
  <c r="D781" i="26"/>
  <c r="O781" i="26" s="1"/>
  <c r="A781" i="26"/>
  <c r="BK780" i="26"/>
  <c r="E1056" i="55"/>
  <c r="AL609" i="55"/>
  <c r="AO781" i="26" l="1"/>
  <c r="AP781" i="26"/>
  <c r="AS781" i="26"/>
  <c r="BJ781" i="26" s="1"/>
  <c r="X781" i="26"/>
  <c r="U781" i="26"/>
  <c r="M781" i="26"/>
  <c r="N781" i="26" s="1"/>
  <c r="BK781" i="26"/>
  <c r="S781" i="26"/>
  <c r="T781" i="26" s="1"/>
  <c r="BC781" i="26" s="1"/>
  <c r="E782" i="26"/>
  <c r="P781" i="26"/>
  <c r="AL781" i="26"/>
  <c r="AF781" i="26"/>
  <c r="AN781" i="26" s="1"/>
  <c r="BL780" i="26"/>
  <c r="O1056" i="55"/>
  <c r="AG1056" i="55"/>
  <c r="Q1056" i="55"/>
  <c r="AI1056" i="55"/>
  <c r="P1056" i="55"/>
  <c r="K1056" i="55"/>
  <c r="AK1056" i="55"/>
  <c r="Z1056" i="55"/>
  <c r="AD1056" i="55"/>
  <c r="AL1056" i="55"/>
  <c r="S1056" i="55"/>
  <c r="AM1056" i="55"/>
  <c r="N1056" i="55"/>
  <c r="G1056" i="55"/>
  <c r="AN1056" i="55"/>
  <c r="AX1056" i="55"/>
  <c r="I1056" i="55"/>
  <c r="AC1056" i="55"/>
  <c r="D1056" i="55"/>
  <c r="AQ1056" i="55"/>
  <c r="H1056" i="55"/>
  <c r="W1056" i="55"/>
  <c r="M1056" i="55"/>
  <c r="F1056" i="55"/>
  <c r="AW1056" i="55"/>
  <c r="A1056" i="55"/>
  <c r="C1056" i="55"/>
  <c r="U1056" i="55"/>
  <c r="X1056" i="55"/>
  <c r="L1056" i="55"/>
  <c r="AB1056" i="55"/>
  <c r="AT1056" i="55"/>
  <c r="V1056" i="55"/>
  <c r="AH1056" i="55"/>
  <c r="B1056" i="55"/>
  <c r="AO1056" i="55"/>
  <c r="AF1056" i="55"/>
  <c r="AL608" i="55"/>
  <c r="AM781" i="26" l="1"/>
  <c r="AU781" i="26" s="1"/>
  <c r="AJ781" i="26"/>
  <c r="AK781" i="26" s="1"/>
  <c r="AT781" i="26"/>
  <c r="BL781" i="26"/>
  <c r="C782" i="26"/>
  <c r="AS782" i="26" s="1"/>
  <c r="BJ782" i="26" s="1"/>
  <c r="L782" i="26"/>
  <c r="H782" i="26"/>
  <c r="Q782" i="26"/>
  <c r="W782" i="26"/>
  <c r="B782" i="26"/>
  <c r="D782" i="26" s="1"/>
  <c r="A782" i="26"/>
  <c r="AV780" i="55"/>
  <c r="BT780" i="26"/>
  <c r="E1057" i="55"/>
  <c r="AL607" i="55"/>
  <c r="O782" i="26" l="1"/>
  <c r="G782" i="26"/>
  <c r="U782" i="26"/>
  <c r="AF782" i="26" s="1"/>
  <c r="AN782" i="26" s="1"/>
  <c r="V782" i="26"/>
  <c r="X782" i="26"/>
  <c r="AV781" i="55"/>
  <c r="BT781" i="26"/>
  <c r="E783" i="26"/>
  <c r="K782" i="26"/>
  <c r="M782" i="26" s="1"/>
  <c r="P782" i="26"/>
  <c r="F782" i="26"/>
  <c r="R782" i="26" s="1"/>
  <c r="AP782" i="26"/>
  <c r="AD1057" i="55"/>
  <c r="O1057" i="55"/>
  <c r="AO1057" i="55"/>
  <c r="AI1057" i="55"/>
  <c r="Q1057" i="55"/>
  <c r="P1057" i="55"/>
  <c r="K1057" i="55"/>
  <c r="AG1057" i="55"/>
  <c r="AF1057" i="55"/>
  <c r="Z1057" i="55"/>
  <c r="AX1057" i="55"/>
  <c r="M1057" i="55"/>
  <c r="A1057" i="55"/>
  <c r="U1057" i="55"/>
  <c r="AC1057" i="55"/>
  <c r="W1057" i="55"/>
  <c r="F1057" i="55"/>
  <c r="H1057" i="55"/>
  <c r="AN1057" i="55"/>
  <c r="X1057" i="55"/>
  <c r="L1057" i="55"/>
  <c r="G1057" i="55"/>
  <c r="AM1057" i="55"/>
  <c r="B1057" i="55"/>
  <c r="S1057" i="55"/>
  <c r="C1057" i="55"/>
  <c r="I1057" i="55"/>
  <c r="D1057" i="55"/>
  <c r="N1057" i="55"/>
  <c r="AT1057" i="55"/>
  <c r="AH1057" i="55"/>
  <c r="V1057" i="55"/>
  <c r="AQ1057" i="55"/>
  <c r="AB1057" i="55"/>
  <c r="AW1057" i="55"/>
  <c r="AK1057" i="55"/>
  <c r="AL1057" i="55"/>
  <c r="AL606" i="55"/>
  <c r="AL782" i="26" l="1"/>
  <c r="AM782" i="26" s="1"/>
  <c r="AU782" i="26" s="1"/>
  <c r="C783" i="26"/>
  <c r="U783" i="26" s="1"/>
  <c r="B783" i="26"/>
  <c r="L783" i="26"/>
  <c r="W783" i="26"/>
  <c r="A783" i="26"/>
  <c r="H783" i="26"/>
  <c r="Q783" i="26"/>
  <c r="BK782" i="26"/>
  <c r="AO782" i="26"/>
  <c r="AT782" i="26" s="1"/>
  <c r="S782" i="26"/>
  <c r="T782" i="26" s="1"/>
  <c r="BC782" i="26" s="1"/>
  <c r="N782" i="26"/>
  <c r="AJ782" i="26"/>
  <c r="AK782" i="26" s="1"/>
  <c r="E1058" i="55"/>
  <c r="AL605" i="55"/>
  <c r="X783" i="26" l="1"/>
  <c r="F783" i="26"/>
  <c r="R783" i="26" s="1"/>
  <c r="AS783" i="26"/>
  <c r="BJ783" i="26" s="1"/>
  <c r="V783" i="26"/>
  <c r="AP783" i="26"/>
  <c r="G783" i="26"/>
  <c r="O783" i="26"/>
  <c r="S783" i="26" s="1"/>
  <c r="T783" i="26" s="1"/>
  <c r="BC783" i="26" s="1"/>
  <c r="AF783" i="26"/>
  <c r="AN783" i="26" s="1"/>
  <c r="D783" i="26"/>
  <c r="P783" i="26"/>
  <c r="BL782" i="26"/>
  <c r="K783" i="26"/>
  <c r="M783" i="26" s="1"/>
  <c r="O1058" i="55"/>
  <c r="AD1058" i="55"/>
  <c r="AI1058" i="55"/>
  <c r="Q1058" i="55"/>
  <c r="K1058" i="55"/>
  <c r="P1058" i="55"/>
  <c r="AF1058" i="55"/>
  <c r="AL1058" i="55"/>
  <c r="AK1058" i="55"/>
  <c r="AO1058" i="55"/>
  <c r="AG1058" i="55"/>
  <c r="Z1058" i="55"/>
  <c r="AH1058" i="55"/>
  <c r="AC1058" i="55"/>
  <c r="N1058" i="55"/>
  <c r="G1058" i="55"/>
  <c r="H1058" i="55"/>
  <c r="C1058" i="55"/>
  <c r="AN1058" i="55"/>
  <c r="V1058" i="55"/>
  <c r="F1058" i="55"/>
  <c r="X1058" i="55"/>
  <c r="B1058" i="55"/>
  <c r="A1058" i="55"/>
  <c r="AM1058" i="55"/>
  <c r="U1058" i="55"/>
  <c r="AB1058" i="55"/>
  <c r="AT1058" i="55"/>
  <c r="M1058" i="55"/>
  <c r="W1058" i="55"/>
  <c r="AW1058" i="55"/>
  <c r="I1058" i="55"/>
  <c r="S1058" i="55"/>
  <c r="D1058" i="55"/>
  <c r="AQ1058" i="55"/>
  <c r="L1058" i="55"/>
  <c r="AX1058" i="55"/>
  <c r="AL604" i="55"/>
  <c r="BL783" i="26" l="1"/>
  <c r="AV782" i="55"/>
  <c r="BT782" i="26"/>
  <c r="BK783" i="26"/>
  <c r="AO783" i="26"/>
  <c r="AT783" i="26" s="1"/>
  <c r="N783" i="26"/>
  <c r="AJ783" i="26"/>
  <c r="AK783" i="26" s="1"/>
  <c r="E784" i="26"/>
  <c r="AV783" i="55"/>
  <c r="BT783" i="26"/>
  <c r="E1059" i="55"/>
  <c r="AL603" i="55"/>
  <c r="AL783" i="26" l="1"/>
  <c r="AM783" i="26" s="1"/>
  <c r="AU783" i="26" s="1"/>
  <c r="W784" i="26"/>
  <c r="H784" i="26"/>
  <c r="A784" i="26"/>
  <c r="B784" i="26"/>
  <c r="Q784" i="26"/>
  <c r="C784" i="26"/>
  <c r="X784" i="26" s="1"/>
  <c r="K784" i="26"/>
  <c r="L784" i="26"/>
  <c r="D784" i="26"/>
  <c r="F784" i="26"/>
  <c r="R784" i="26" s="1"/>
  <c r="AP784" i="26"/>
  <c r="O1059" i="55"/>
  <c r="AL1059" i="55"/>
  <c r="AD1059" i="55"/>
  <c r="AI1059" i="55"/>
  <c r="Q1059" i="55"/>
  <c r="P1059" i="55"/>
  <c r="K1059" i="55"/>
  <c r="AO1059" i="55"/>
  <c r="AK1059" i="55"/>
  <c r="AF1059" i="55"/>
  <c r="G1059" i="55"/>
  <c r="X1059" i="55"/>
  <c r="AQ1059" i="55"/>
  <c r="AX1059" i="55"/>
  <c r="N1059" i="55"/>
  <c r="AB1059" i="55"/>
  <c r="V1059" i="55"/>
  <c r="AT1059" i="55"/>
  <c r="AW1059" i="55"/>
  <c r="S1059" i="55"/>
  <c r="I1059" i="55"/>
  <c r="M1059" i="55"/>
  <c r="H1059" i="55"/>
  <c r="D1059" i="55"/>
  <c r="W1059" i="55"/>
  <c r="AH1059" i="55"/>
  <c r="L1059" i="55"/>
  <c r="C1059" i="55"/>
  <c r="AC1059" i="55"/>
  <c r="F1059" i="55"/>
  <c r="U1059" i="55"/>
  <c r="B1059" i="55"/>
  <c r="AN1059" i="55"/>
  <c r="AM1059" i="55"/>
  <c r="A1059" i="55"/>
  <c r="Z1059" i="55"/>
  <c r="AG1059" i="55"/>
  <c r="AL602" i="55"/>
  <c r="M784" i="26" l="1"/>
  <c r="AJ784" i="26" s="1"/>
  <c r="AK784" i="26" s="1"/>
  <c r="G784" i="26"/>
  <c r="P784" i="26"/>
  <c r="O784" i="26"/>
  <c r="S784" i="26" s="1"/>
  <c r="T784" i="26" s="1"/>
  <c r="BC784" i="26" s="1"/>
  <c r="N784" i="26"/>
  <c r="U784" i="26"/>
  <c r="AF784" i="26" s="1"/>
  <c r="AN784" i="26" s="1"/>
  <c r="E785" i="26"/>
  <c r="AS784" i="26"/>
  <c r="BJ784" i="26" s="1"/>
  <c r="V784" i="26"/>
  <c r="E1060" i="55"/>
  <c r="AL601" i="55"/>
  <c r="AL784" i="26" l="1"/>
  <c r="AM784" i="26" s="1"/>
  <c r="AU784" i="26" s="1"/>
  <c r="AO784" i="26"/>
  <c r="AT784" i="26" s="1"/>
  <c r="BK784" i="26"/>
  <c r="A785" i="26"/>
  <c r="Q785" i="26"/>
  <c r="H785" i="26"/>
  <c r="L785" i="26"/>
  <c r="W785" i="26"/>
  <c r="C785" i="26"/>
  <c r="V785" i="26" s="1"/>
  <c r="B785" i="26"/>
  <c r="D785" i="26" s="1"/>
  <c r="U785" i="26"/>
  <c r="BL784" i="26"/>
  <c r="O1060" i="55"/>
  <c r="Q1060" i="55"/>
  <c r="AI1060" i="55"/>
  <c r="K1060" i="55"/>
  <c r="P1060" i="55"/>
  <c r="AO1060" i="55"/>
  <c r="AM1060" i="55"/>
  <c r="AX1060" i="55"/>
  <c r="W1060" i="55"/>
  <c r="D1060" i="55"/>
  <c r="G1060" i="55"/>
  <c r="U1060" i="55"/>
  <c r="AW1060" i="55"/>
  <c r="AB1060" i="55"/>
  <c r="N1060" i="55"/>
  <c r="B1060" i="55"/>
  <c r="F1060" i="55"/>
  <c r="L1060" i="55"/>
  <c r="C1060" i="55"/>
  <c r="AT1060" i="55"/>
  <c r="S1060" i="55"/>
  <c r="AN1060" i="55"/>
  <c r="V1060" i="55"/>
  <c r="M1060" i="55"/>
  <c r="I1060" i="55"/>
  <c r="AH1060" i="55"/>
  <c r="H1060" i="55"/>
  <c r="X1060" i="55"/>
  <c r="A1060" i="55"/>
  <c r="AQ1060" i="55"/>
  <c r="AC1060" i="55"/>
  <c r="AD1060" i="55"/>
  <c r="AF1060" i="55"/>
  <c r="AL1060" i="55"/>
  <c r="AG1060" i="55"/>
  <c r="AK1060" i="55"/>
  <c r="Z1060" i="55"/>
  <c r="AL600" i="55"/>
  <c r="AO785" i="26" l="1"/>
  <c r="O785" i="26"/>
  <c r="AF785" i="26"/>
  <c r="AN785" i="26" s="1"/>
  <c r="G785" i="26"/>
  <c r="P785" i="26"/>
  <c r="E786" i="26"/>
  <c r="X785" i="26"/>
  <c r="BK785" i="26" s="1"/>
  <c r="F785" i="26"/>
  <c r="R785" i="26" s="1"/>
  <c r="AV784" i="55"/>
  <c r="BT784" i="26"/>
  <c r="AP785" i="26"/>
  <c r="K785" i="26"/>
  <c r="M785" i="26" s="1"/>
  <c r="E1061" i="55"/>
  <c r="AL599" i="55"/>
  <c r="AT785" i="26" l="1"/>
  <c r="AL785" i="26"/>
  <c r="AM785" i="26" s="1"/>
  <c r="AU785" i="26" s="1"/>
  <c r="S785" i="26"/>
  <c r="T785" i="26" s="1"/>
  <c r="BC785" i="26" s="1"/>
  <c r="BT785" i="26" s="1"/>
  <c r="AJ785" i="26"/>
  <c r="AK785" i="26" s="1"/>
  <c r="N785" i="26"/>
  <c r="L786" i="26"/>
  <c r="B786" i="26"/>
  <c r="H786" i="26"/>
  <c r="A786" i="26"/>
  <c r="W786" i="26"/>
  <c r="C786" i="26"/>
  <c r="V786" i="26" s="1"/>
  <c r="Q786" i="26"/>
  <c r="F786" i="26"/>
  <c r="G786" i="26"/>
  <c r="O1061" i="55"/>
  <c r="AI1061" i="55"/>
  <c r="Q1061" i="55"/>
  <c r="P1061" i="55"/>
  <c r="K1061" i="55"/>
  <c r="Z1061" i="55"/>
  <c r="AK1061" i="55"/>
  <c r="AD1061" i="55"/>
  <c r="AF1061" i="55"/>
  <c r="AO1061" i="55"/>
  <c r="A1061" i="55"/>
  <c r="AX1061" i="55"/>
  <c r="AB1061" i="55"/>
  <c r="AT1061" i="55"/>
  <c r="AN1061" i="55"/>
  <c r="V1061" i="55"/>
  <c r="AC1061" i="55"/>
  <c r="D1061" i="55"/>
  <c r="N1061" i="55"/>
  <c r="H1061" i="55"/>
  <c r="I1061" i="55"/>
  <c r="B1061" i="55"/>
  <c r="L1061" i="55"/>
  <c r="C1061" i="55"/>
  <c r="M1061" i="55"/>
  <c r="F1061" i="55"/>
  <c r="G1061" i="55"/>
  <c r="AW1061" i="55"/>
  <c r="X1061" i="55"/>
  <c r="AH1061" i="55"/>
  <c r="U1061" i="55"/>
  <c r="S1061" i="55"/>
  <c r="AM1061" i="55"/>
  <c r="W1061" i="55"/>
  <c r="AQ1061" i="55"/>
  <c r="AL1061" i="55"/>
  <c r="AG1061" i="55"/>
  <c r="AL598" i="55"/>
  <c r="AV785" i="55" l="1"/>
  <c r="BL785" i="26"/>
  <c r="AP786" i="26"/>
  <c r="X786" i="26"/>
  <c r="BK786" i="26" s="1"/>
  <c r="D786" i="26"/>
  <c r="AS786" i="26"/>
  <c r="BJ786" i="26" s="1"/>
  <c r="R786" i="26"/>
  <c r="O786" i="26"/>
  <c r="K786" i="26"/>
  <c r="M786" i="26" s="1"/>
  <c r="U786" i="26"/>
  <c r="AF786" i="26" s="1"/>
  <c r="AN786" i="26" s="1"/>
  <c r="AO786" i="26"/>
  <c r="P786" i="26"/>
  <c r="E787" i="26"/>
  <c r="E1062" i="55"/>
  <c r="AL597" i="55"/>
  <c r="AT786" i="26" l="1"/>
  <c r="AL786" i="26"/>
  <c r="AM786" i="26" s="1"/>
  <c r="AU786" i="26" s="1"/>
  <c r="N786" i="26"/>
  <c r="AJ786" i="26"/>
  <c r="AK786" i="26" s="1"/>
  <c r="Q787" i="26"/>
  <c r="W787" i="26"/>
  <c r="B787" i="26"/>
  <c r="D787" i="26" s="1"/>
  <c r="H787" i="26"/>
  <c r="K787" i="26"/>
  <c r="C787" i="26"/>
  <c r="U787" i="26" s="1"/>
  <c r="AF787" i="26" s="1"/>
  <c r="AN787" i="26" s="1"/>
  <c r="A787" i="26"/>
  <c r="L787" i="26"/>
  <c r="AS787" i="26"/>
  <c r="BJ787" i="26" s="1"/>
  <c r="X787" i="26"/>
  <c r="S786" i="26"/>
  <c r="T786" i="26" s="1"/>
  <c r="BC786" i="26" s="1"/>
  <c r="O1062" i="55"/>
  <c r="AI1062" i="55"/>
  <c r="K1062" i="55"/>
  <c r="Q1062" i="55"/>
  <c r="P1062" i="55"/>
  <c r="AO1062" i="55"/>
  <c r="AK1062" i="55"/>
  <c r="AF1062" i="55"/>
  <c r="Z1062" i="55"/>
  <c r="AD1062" i="55"/>
  <c r="AM1062" i="55"/>
  <c r="X1062" i="55"/>
  <c r="AX1062" i="55"/>
  <c r="A1062" i="55"/>
  <c r="N1062" i="55"/>
  <c r="AT1062" i="55"/>
  <c r="L1062" i="55"/>
  <c r="B1062" i="55"/>
  <c r="M1062" i="55"/>
  <c r="G1062" i="55"/>
  <c r="AB1062" i="55"/>
  <c r="D1062" i="55"/>
  <c r="AH1062" i="55"/>
  <c r="AN1062" i="55"/>
  <c r="W1062" i="55"/>
  <c r="V1062" i="55"/>
  <c r="C1062" i="55"/>
  <c r="I1062" i="55"/>
  <c r="AW1062" i="55"/>
  <c r="H1062" i="55"/>
  <c r="S1062" i="55"/>
  <c r="AQ1062" i="55"/>
  <c r="F1062" i="55"/>
  <c r="U1062" i="55"/>
  <c r="AC1062" i="55"/>
  <c r="AL1062" i="55"/>
  <c r="AG1062" i="55"/>
  <c r="AL596" i="55"/>
  <c r="AP787" i="26" l="1"/>
  <c r="F787" i="26"/>
  <c r="R787" i="26" s="1"/>
  <c r="M787" i="26"/>
  <c r="AJ787" i="26" s="1"/>
  <c r="AK787" i="26" s="1"/>
  <c r="BL786" i="26"/>
  <c r="E788" i="26"/>
  <c r="O787" i="26"/>
  <c r="P787" i="26"/>
  <c r="G787" i="26"/>
  <c r="V787" i="26"/>
  <c r="BK787" i="26" s="1"/>
  <c r="E1063" i="55"/>
  <c r="AL595" i="55"/>
  <c r="AL787" i="26" l="1"/>
  <c r="AM787" i="26" s="1"/>
  <c r="AU787" i="26" s="1"/>
  <c r="N787" i="26"/>
  <c r="C788" i="26"/>
  <c r="AS788" i="26" s="1"/>
  <c r="BJ788" i="26" s="1"/>
  <c r="B788" i="26"/>
  <c r="W788" i="26"/>
  <c r="H788" i="26"/>
  <c r="A788" i="26"/>
  <c r="Q788" i="26"/>
  <c r="L788" i="26"/>
  <c r="F788" i="26"/>
  <c r="R788" i="26" s="1"/>
  <c r="S787" i="26"/>
  <c r="T787" i="26" s="1"/>
  <c r="BT786" i="26"/>
  <c r="AV786" i="55"/>
  <c r="AO787" i="26"/>
  <c r="AT787" i="26" s="1"/>
  <c r="AK1063" i="55"/>
  <c r="O1063" i="55"/>
  <c r="AI1063" i="55"/>
  <c r="Q1063" i="55"/>
  <c r="P1063" i="55"/>
  <c r="K1063" i="55"/>
  <c r="AF1063" i="55"/>
  <c r="D1063" i="55"/>
  <c r="I1063" i="55"/>
  <c r="AC1063" i="55"/>
  <c r="B1063" i="55"/>
  <c r="F1063" i="55"/>
  <c r="X1063" i="55"/>
  <c r="G1063" i="55"/>
  <c r="W1063" i="55"/>
  <c r="AM1063" i="55"/>
  <c r="M1063" i="55"/>
  <c r="AH1063" i="55"/>
  <c r="AN1063" i="55"/>
  <c r="N1063" i="55"/>
  <c r="S1063" i="55"/>
  <c r="AX1063" i="55"/>
  <c r="AB1063" i="55"/>
  <c r="A1063" i="55"/>
  <c r="AQ1063" i="55"/>
  <c r="AW1063" i="55"/>
  <c r="U1063" i="55"/>
  <c r="H1063" i="55"/>
  <c r="C1063" i="55"/>
  <c r="AT1063" i="55"/>
  <c r="V1063" i="55"/>
  <c r="L1063" i="55"/>
  <c r="AD1063" i="55"/>
  <c r="Z1063" i="55"/>
  <c r="AO1063" i="55"/>
  <c r="AL1063" i="55"/>
  <c r="AG1063" i="55"/>
  <c r="AL594" i="55"/>
  <c r="BL787" i="26" l="1"/>
  <c r="BC787" i="26"/>
  <c r="BT787" i="26" s="1"/>
  <c r="X788" i="26"/>
  <c r="G788" i="26"/>
  <c r="O788" i="26"/>
  <c r="D788" i="26"/>
  <c r="P788" i="26" s="1"/>
  <c r="U788" i="26"/>
  <c r="AF788" i="26" s="1"/>
  <c r="AN788" i="26" s="1"/>
  <c r="K788" i="26"/>
  <c r="M788" i="26" s="1"/>
  <c r="AP788" i="26"/>
  <c r="V788" i="26"/>
  <c r="AO788" i="26" s="1"/>
  <c r="E1064" i="55"/>
  <c r="AL593" i="55"/>
  <c r="AT788" i="26" l="1"/>
  <c r="AV787" i="55"/>
  <c r="BK788" i="26"/>
  <c r="E789" i="26"/>
  <c r="L789" i="26"/>
  <c r="AJ788" i="26"/>
  <c r="AK788" i="26" s="1"/>
  <c r="N788" i="26"/>
  <c r="S788" i="26"/>
  <c r="T788" i="26" s="1"/>
  <c r="BC788" i="26" s="1"/>
  <c r="O1064" i="55"/>
  <c r="AL1064" i="55"/>
  <c r="Z1064" i="55"/>
  <c r="Q1064" i="55"/>
  <c r="AI1064" i="55"/>
  <c r="P1064" i="55"/>
  <c r="K1064" i="55"/>
  <c r="AG1064" i="55"/>
  <c r="AD1064" i="55"/>
  <c r="U1064" i="55"/>
  <c r="AC1064" i="55"/>
  <c r="B1064" i="55"/>
  <c r="I1064" i="55"/>
  <c r="G1064" i="55"/>
  <c r="AT1064" i="55"/>
  <c r="L1064" i="55"/>
  <c r="F1064" i="55"/>
  <c r="V1064" i="55"/>
  <c r="AW1064" i="55"/>
  <c r="AM1064" i="55"/>
  <c r="M1064" i="55"/>
  <c r="N1064" i="55"/>
  <c r="X1064" i="55"/>
  <c r="A1064" i="55"/>
  <c r="C1064" i="55"/>
  <c r="AQ1064" i="55"/>
  <c r="AH1064" i="55"/>
  <c r="W1064" i="55"/>
  <c r="D1064" i="55"/>
  <c r="AN1064" i="55"/>
  <c r="H1064" i="55"/>
  <c r="AB1064" i="55"/>
  <c r="S1064" i="55"/>
  <c r="AX1064" i="55"/>
  <c r="AF1064" i="55"/>
  <c r="AK1064" i="55"/>
  <c r="AO1064" i="55"/>
  <c r="AL592" i="55"/>
  <c r="AL788" i="26" l="1"/>
  <c r="AM788" i="26" s="1"/>
  <c r="AU788" i="26" s="1"/>
  <c r="B789" i="26"/>
  <c r="W789" i="26"/>
  <c r="Q789" i="26"/>
  <c r="D789" i="26"/>
  <c r="H789" i="26"/>
  <c r="G789" i="26"/>
  <c r="A789" i="26"/>
  <c r="C789" i="26"/>
  <c r="U789" i="26" s="1"/>
  <c r="AF789" i="26" s="1"/>
  <c r="AN789" i="26" s="1"/>
  <c r="BL788" i="26"/>
  <c r="P789" i="26"/>
  <c r="K789" i="26"/>
  <c r="M789" i="26" s="1"/>
  <c r="F789" i="26"/>
  <c r="R789" i="26" s="1"/>
  <c r="E1065" i="55"/>
  <c r="AL591" i="55"/>
  <c r="O789" i="26" l="1"/>
  <c r="S789" i="26" s="1"/>
  <c r="T789" i="26" s="1"/>
  <c r="BC789" i="26" s="1"/>
  <c r="AP789" i="26"/>
  <c r="V789" i="26"/>
  <c r="E790" i="26"/>
  <c r="B790" i="26" s="1"/>
  <c r="G790" i="26" s="1"/>
  <c r="AS789" i="26"/>
  <c r="BJ789" i="26" s="1"/>
  <c r="X789" i="26"/>
  <c r="N789" i="26"/>
  <c r="AJ789" i="26"/>
  <c r="AK789" i="26" s="1"/>
  <c r="AV788" i="55"/>
  <c r="BT788" i="26"/>
  <c r="H790" i="26"/>
  <c r="W790" i="26"/>
  <c r="Q790" i="26"/>
  <c r="AO789" i="26"/>
  <c r="O1065" i="55"/>
  <c r="AF1065" i="55"/>
  <c r="AI1065" i="55"/>
  <c r="Q1065" i="55"/>
  <c r="P1065" i="55"/>
  <c r="K1065" i="55"/>
  <c r="AK1065" i="55"/>
  <c r="AG1065" i="55"/>
  <c r="AL1065" i="55"/>
  <c r="Z1065" i="55"/>
  <c r="AD1065" i="55"/>
  <c r="AO1065" i="55"/>
  <c r="H1065" i="55"/>
  <c r="D1065" i="55"/>
  <c r="AW1065" i="55"/>
  <c r="M1065" i="55"/>
  <c r="L1065" i="55"/>
  <c r="I1065" i="55"/>
  <c r="AX1065" i="55"/>
  <c r="C1065" i="55"/>
  <c r="F1065" i="55"/>
  <c r="A1065" i="55"/>
  <c r="V1065" i="55"/>
  <c r="G1065" i="55"/>
  <c r="X1065" i="55"/>
  <c r="AC1065" i="55"/>
  <c r="AQ1065" i="55"/>
  <c r="AM1065" i="55"/>
  <c r="U1065" i="55"/>
  <c r="B1065" i="55"/>
  <c r="N1065" i="55"/>
  <c r="AH1065" i="55"/>
  <c r="S1065" i="55"/>
  <c r="AB1065" i="55"/>
  <c r="AN1065" i="55"/>
  <c r="AT1065" i="55"/>
  <c r="W1065" i="55"/>
  <c r="AL590" i="55"/>
  <c r="AL789" i="26" l="1"/>
  <c r="AM789" i="26" s="1"/>
  <c r="AU789" i="26" s="1"/>
  <c r="AT789" i="26"/>
  <c r="L790" i="26"/>
  <c r="A790" i="26"/>
  <c r="C790" i="26"/>
  <c r="BK789" i="26"/>
  <c r="F790" i="26"/>
  <c r="R790" i="26" s="1"/>
  <c r="D790" i="26"/>
  <c r="O790" i="26" s="1"/>
  <c r="BL789" i="26"/>
  <c r="K790" i="26"/>
  <c r="M790" i="26" s="1"/>
  <c r="E1066" i="55"/>
  <c r="AL589" i="55"/>
  <c r="V790" i="26" l="1"/>
  <c r="U790" i="26"/>
  <c r="E791" i="26"/>
  <c r="X790" i="26"/>
  <c r="AP790" i="26"/>
  <c r="AF790" i="26"/>
  <c r="AN790" i="26" s="1"/>
  <c r="AS790" i="26"/>
  <c r="BJ790" i="26" s="1"/>
  <c r="BT789" i="26"/>
  <c r="AV789" i="55"/>
  <c r="N790" i="26"/>
  <c r="AJ790" i="26"/>
  <c r="AK790" i="26" s="1"/>
  <c r="W791" i="26"/>
  <c r="C791" i="26"/>
  <c r="A791" i="26"/>
  <c r="U791" i="26"/>
  <c r="AS791" i="26"/>
  <c r="BJ791" i="26" s="1"/>
  <c r="S790" i="26"/>
  <c r="T790" i="26" s="1"/>
  <c r="BC790" i="26" s="1"/>
  <c r="P790" i="26"/>
  <c r="O1066" i="55"/>
  <c r="AK1066" i="55"/>
  <c r="AI1066" i="55"/>
  <c r="Q1066" i="55"/>
  <c r="K1066" i="55"/>
  <c r="P1066" i="55"/>
  <c r="AL1066" i="55"/>
  <c r="AO1066" i="55"/>
  <c r="AG1066" i="55"/>
  <c r="Z1066" i="55"/>
  <c r="AD1066" i="55"/>
  <c r="AF1066" i="55"/>
  <c r="AM1066" i="55"/>
  <c r="AW1066" i="55"/>
  <c r="B1066" i="55"/>
  <c r="G1066" i="55"/>
  <c r="C1066" i="55"/>
  <c r="W1066" i="55"/>
  <c r="M1066" i="55"/>
  <c r="D1066" i="55"/>
  <c r="A1066" i="55"/>
  <c r="AB1066" i="55"/>
  <c r="L1066" i="55"/>
  <c r="H1066" i="55"/>
  <c r="I1066" i="55"/>
  <c r="U1066" i="55"/>
  <c r="AX1066" i="55"/>
  <c r="AH1066" i="55"/>
  <c r="S1066" i="55"/>
  <c r="AQ1066" i="55"/>
  <c r="AN1066" i="55"/>
  <c r="AT1066" i="55"/>
  <c r="V1066" i="55"/>
  <c r="AC1066" i="55"/>
  <c r="X1066" i="55"/>
  <c r="F1066" i="55"/>
  <c r="N1066" i="55"/>
  <c r="AL588" i="55"/>
  <c r="AL790" i="26" l="1"/>
  <c r="AM790" i="26" s="1"/>
  <c r="AU790" i="26" s="1"/>
  <c r="Q791" i="26"/>
  <c r="BK790" i="26"/>
  <c r="H791" i="26"/>
  <c r="B791" i="26"/>
  <c r="AP791" i="26" s="1"/>
  <c r="L791" i="26"/>
  <c r="AO790" i="26"/>
  <c r="AT790" i="26" s="1"/>
  <c r="BL790" i="26"/>
  <c r="K791" i="26"/>
  <c r="M791" i="26" s="1"/>
  <c r="AF791" i="26"/>
  <c r="AN791" i="26" s="1"/>
  <c r="G791" i="26"/>
  <c r="V791" i="26"/>
  <c r="E1067" i="55"/>
  <c r="AL587" i="55"/>
  <c r="X791" i="26" l="1"/>
  <c r="D791" i="26"/>
  <c r="F791" i="26"/>
  <c r="R791" i="26" s="1"/>
  <c r="AO791" i="26"/>
  <c r="AT791" i="26" s="1"/>
  <c r="BK791" i="26"/>
  <c r="AJ791" i="26"/>
  <c r="AK791" i="26" s="1"/>
  <c r="N791" i="26"/>
  <c r="AV790" i="55"/>
  <c r="BT790" i="26"/>
  <c r="O1067" i="55"/>
  <c r="AF1067" i="55"/>
  <c r="AI1067" i="55"/>
  <c r="Q1067" i="55"/>
  <c r="P1067" i="55"/>
  <c r="K1067" i="55"/>
  <c r="AK1067" i="55"/>
  <c r="AD1067" i="55"/>
  <c r="AL1067" i="55"/>
  <c r="F1067" i="55"/>
  <c r="W1067" i="55"/>
  <c r="G1067" i="55"/>
  <c r="AB1067" i="55"/>
  <c r="V1067" i="55"/>
  <c r="M1067" i="55"/>
  <c r="AN1067" i="55"/>
  <c r="L1067" i="55"/>
  <c r="AM1067" i="55"/>
  <c r="AW1067" i="55"/>
  <c r="B1067" i="55"/>
  <c r="AC1067" i="55"/>
  <c r="H1067" i="55"/>
  <c r="AQ1067" i="55"/>
  <c r="I1067" i="55"/>
  <c r="AH1067" i="55"/>
  <c r="D1067" i="55"/>
  <c r="X1067" i="55"/>
  <c r="U1067" i="55"/>
  <c r="A1067" i="55"/>
  <c r="AX1067" i="55"/>
  <c r="N1067" i="55"/>
  <c r="S1067" i="55"/>
  <c r="AT1067" i="55"/>
  <c r="C1067" i="55"/>
  <c r="AO1067" i="55"/>
  <c r="Z1067" i="55"/>
  <c r="AG1067" i="55"/>
  <c r="AL586" i="55"/>
  <c r="E792" i="26" l="1"/>
  <c r="P791" i="26"/>
  <c r="O791" i="26"/>
  <c r="S791" i="26" s="1"/>
  <c r="T791" i="26" s="1"/>
  <c r="BC791" i="26" s="1"/>
  <c r="E1068" i="55"/>
  <c r="AL585" i="55"/>
  <c r="AL791" i="26" l="1"/>
  <c r="AM791" i="26" s="1"/>
  <c r="AU791" i="26" s="1"/>
  <c r="BL791" i="26"/>
  <c r="L792" i="26"/>
  <c r="H792" i="26"/>
  <c r="C792" i="26"/>
  <c r="B792" i="26"/>
  <c r="D792" i="26" s="1"/>
  <c r="Q792" i="26"/>
  <c r="A792" i="26"/>
  <c r="W792" i="26"/>
  <c r="AV791" i="55"/>
  <c r="BT791" i="26"/>
  <c r="O1068" i="55"/>
  <c r="AI1068" i="55"/>
  <c r="Q1068" i="55"/>
  <c r="K1068" i="55"/>
  <c r="P1068" i="55"/>
  <c r="AG1068" i="55"/>
  <c r="AK1068" i="55"/>
  <c r="AD1068" i="55"/>
  <c r="AF1068" i="55"/>
  <c r="Z1068" i="55"/>
  <c r="AL1068" i="55"/>
  <c r="AO1068" i="55"/>
  <c r="AW1068" i="55"/>
  <c r="AT1068" i="55"/>
  <c r="AH1068" i="55"/>
  <c r="D1068" i="55"/>
  <c r="G1068" i="55"/>
  <c r="AB1068" i="55"/>
  <c r="U1068" i="55"/>
  <c r="C1068" i="55"/>
  <c r="M1068" i="55"/>
  <c r="F1068" i="55"/>
  <c r="AN1068" i="55"/>
  <c r="V1068" i="55"/>
  <c r="X1068" i="55"/>
  <c r="W1068" i="55"/>
  <c r="AC1068" i="55"/>
  <c r="AM1068" i="55"/>
  <c r="B1068" i="55"/>
  <c r="AQ1068" i="55"/>
  <c r="H1068" i="55"/>
  <c r="L1068" i="55"/>
  <c r="S1068" i="55"/>
  <c r="AX1068" i="55"/>
  <c r="A1068" i="55"/>
  <c r="N1068" i="55"/>
  <c r="I1068" i="55"/>
  <c r="AL584" i="55"/>
  <c r="K792" i="26" l="1"/>
  <c r="M792" i="26" s="1"/>
  <c r="E793" i="26"/>
  <c r="AP792" i="26"/>
  <c r="AS792" i="26"/>
  <c r="BJ792" i="26" s="1"/>
  <c r="V792" i="26"/>
  <c r="AO792" i="26" s="1"/>
  <c r="X792" i="26"/>
  <c r="P792" i="26"/>
  <c r="O792" i="26"/>
  <c r="G792" i="26"/>
  <c r="F792" i="26"/>
  <c r="R792" i="26" s="1"/>
  <c r="U792" i="26"/>
  <c r="AF792" i="26" s="1"/>
  <c r="AN792" i="26" s="1"/>
  <c r="E1069" i="55"/>
  <c r="AL583" i="55"/>
  <c r="AT792" i="26" l="1"/>
  <c r="AL792" i="26"/>
  <c r="AM792" i="26" s="1"/>
  <c r="AU792" i="26" s="1"/>
  <c r="AJ792" i="26"/>
  <c r="AK792" i="26" s="1"/>
  <c r="N792" i="26"/>
  <c r="BK792" i="26"/>
  <c r="B793" i="26"/>
  <c r="C793" i="26"/>
  <c r="L793" i="26"/>
  <c r="H793" i="26"/>
  <c r="W793" i="26"/>
  <c r="Q793" i="26"/>
  <c r="A793" i="26"/>
  <c r="S792" i="26"/>
  <c r="T792" i="26" s="1"/>
  <c r="BC792" i="26" s="1"/>
  <c r="O1069" i="55"/>
  <c r="AI1069" i="55"/>
  <c r="Q1069" i="55"/>
  <c r="P1069" i="55"/>
  <c r="K1069" i="55"/>
  <c r="AF1069" i="55"/>
  <c r="Z1069" i="55"/>
  <c r="AG1069" i="55"/>
  <c r="AO1069" i="55"/>
  <c r="AK1069" i="55"/>
  <c r="AL1069" i="55"/>
  <c r="AD1069" i="55"/>
  <c r="A1069" i="55"/>
  <c r="G1069" i="55"/>
  <c r="D1069" i="55"/>
  <c r="AQ1069" i="55"/>
  <c r="AT1069" i="55"/>
  <c r="L1069" i="55"/>
  <c r="I1069" i="55"/>
  <c r="N1069" i="55"/>
  <c r="AM1069" i="55"/>
  <c r="W1069" i="55"/>
  <c r="S1069" i="55"/>
  <c r="AN1069" i="55"/>
  <c r="H1069" i="55"/>
  <c r="AW1069" i="55"/>
  <c r="AH1069" i="55"/>
  <c r="AX1069" i="55"/>
  <c r="C1069" i="55"/>
  <c r="U1069" i="55"/>
  <c r="B1069" i="55"/>
  <c r="V1069" i="55"/>
  <c r="AC1069" i="55"/>
  <c r="M1069" i="55"/>
  <c r="F1069" i="55"/>
  <c r="X1069" i="55"/>
  <c r="AB1069" i="55"/>
  <c r="AL582" i="55"/>
  <c r="BL792" i="26" l="1"/>
  <c r="V793" i="26"/>
  <c r="U793" i="26"/>
  <c r="AF793" i="26" s="1"/>
  <c r="AN793" i="26" s="1"/>
  <c r="AS793" i="26"/>
  <c r="BJ793" i="26" s="1"/>
  <c r="X793" i="26"/>
  <c r="P793" i="26"/>
  <c r="D793" i="26"/>
  <c r="K793" i="26"/>
  <c r="M793" i="26" s="1"/>
  <c r="AP793" i="26"/>
  <c r="G793" i="26"/>
  <c r="F793" i="26"/>
  <c r="R793" i="26" s="1"/>
  <c r="E1070" i="55"/>
  <c r="AL581" i="55"/>
  <c r="N793" i="26" l="1"/>
  <c r="AJ793" i="26"/>
  <c r="AK793" i="26" s="1"/>
  <c r="O793" i="26"/>
  <c r="E794" i="26"/>
  <c r="AV792" i="55"/>
  <c r="BT792" i="26"/>
  <c r="BK793" i="26"/>
  <c r="AO793" i="26"/>
  <c r="AT793" i="26" s="1"/>
  <c r="AF1070" i="55"/>
  <c r="O1070" i="55"/>
  <c r="Z1070" i="55"/>
  <c r="AI1070" i="55"/>
  <c r="Q1070" i="55"/>
  <c r="K1070" i="55"/>
  <c r="P1070" i="55"/>
  <c r="AG1070" i="55"/>
  <c r="AL1070" i="55"/>
  <c r="AO1070" i="55"/>
  <c r="AD1070" i="55"/>
  <c r="AK1070" i="55"/>
  <c r="AM1070" i="55"/>
  <c r="AQ1070" i="55"/>
  <c r="V1070" i="55"/>
  <c r="C1070" i="55"/>
  <c r="D1070" i="55"/>
  <c r="AT1070" i="55"/>
  <c r="L1070" i="55"/>
  <c r="S1070" i="55"/>
  <c r="AW1070" i="55"/>
  <c r="AN1070" i="55"/>
  <c r="AH1070" i="55"/>
  <c r="X1070" i="55"/>
  <c r="AB1070" i="55"/>
  <c r="N1070" i="55"/>
  <c r="A1070" i="55"/>
  <c r="I1070" i="55"/>
  <c r="AC1070" i="55"/>
  <c r="M1070" i="55"/>
  <c r="AX1070" i="55"/>
  <c r="B1070" i="55"/>
  <c r="U1070" i="55"/>
  <c r="H1070" i="55"/>
  <c r="G1070" i="55"/>
  <c r="W1070" i="55"/>
  <c r="F1070" i="55"/>
  <c r="AL580" i="55"/>
  <c r="AL793" i="26" l="1"/>
  <c r="AM793" i="26" s="1"/>
  <c r="AU793" i="26" s="1"/>
  <c r="L794" i="26"/>
  <c r="W794" i="26"/>
  <c r="Q794" i="26"/>
  <c r="C794" i="26"/>
  <c r="AS794" i="26"/>
  <c r="BJ794" i="26" s="1"/>
  <c r="U794" i="26"/>
  <c r="H794" i="26"/>
  <c r="B794" i="26"/>
  <c r="F794" i="26" s="1"/>
  <c r="A794" i="26"/>
  <c r="S793" i="26"/>
  <c r="T793" i="26" s="1"/>
  <c r="BC793" i="26" s="1"/>
  <c r="E1071" i="55"/>
  <c r="AL579" i="55"/>
  <c r="G794" i="26" l="1"/>
  <c r="D794" i="26"/>
  <c r="AF794" i="26"/>
  <c r="AN794" i="26" s="1"/>
  <c r="BL793" i="26"/>
  <c r="O794" i="26"/>
  <c r="X794" i="26"/>
  <c r="K794" i="26"/>
  <c r="M794" i="26" s="1"/>
  <c r="P794" i="26"/>
  <c r="AP794" i="26"/>
  <c r="R794" i="26"/>
  <c r="V794" i="26"/>
  <c r="O1071" i="55"/>
  <c r="AI1071" i="55"/>
  <c r="Q1071" i="55"/>
  <c r="P1071" i="55"/>
  <c r="K1071" i="55"/>
  <c r="AL1071" i="55"/>
  <c r="AM1071" i="55"/>
  <c r="W1071" i="55"/>
  <c r="G1071" i="55"/>
  <c r="AQ1071" i="55"/>
  <c r="S1071" i="55"/>
  <c r="L1071" i="55"/>
  <c r="V1071" i="55"/>
  <c r="N1071" i="55"/>
  <c r="AH1071" i="55"/>
  <c r="D1071" i="55"/>
  <c r="C1071" i="55"/>
  <c r="AW1071" i="55"/>
  <c r="F1071" i="55"/>
  <c r="I1071" i="55"/>
  <c r="B1071" i="55"/>
  <c r="H1071" i="55"/>
  <c r="A1071" i="55"/>
  <c r="AT1071" i="55"/>
  <c r="M1071" i="55"/>
  <c r="X1071" i="55"/>
  <c r="AB1071" i="55"/>
  <c r="AN1071" i="55"/>
  <c r="AC1071" i="55"/>
  <c r="AX1071" i="55"/>
  <c r="U1071" i="55"/>
  <c r="AK1071" i="55"/>
  <c r="AD1071" i="55"/>
  <c r="Z1071" i="55"/>
  <c r="AO1071" i="55"/>
  <c r="AG1071" i="55"/>
  <c r="AF1071" i="55"/>
  <c r="AL578" i="55"/>
  <c r="S794" i="26" l="1"/>
  <c r="T794" i="26" s="1"/>
  <c r="BC794" i="26" s="1"/>
  <c r="BK794" i="26"/>
  <c r="AO794" i="26"/>
  <c r="AT794" i="26" s="1"/>
  <c r="E795" i="26"/>
  <c r="N794" i="26"/>
  <c r="AJ794" i="26"/>
  <c r="AK794" i="26" s="1"/>
  <c r="AV793" i="55"/>
  <c r="BT793" i="26"/>
  <c r="E1072" i="55"/>
  <c r="AL577" i="55"/>
  <c r="AL794" i="26" l="1"/>
  <c r="AM794" i="26" s="1"/>
  <c r="AU794" i="26" s="1"/>
  <c r="H795" i="26"/>
  <c r="C795" i="26"/>
  <c r="W795" i="26"/>
  <c r="L795" i="26"/>
  <c r="A795" i="26"/>
  <c r="B795" i="26"/>
  <c r="D795" i="26" s="1"/>
  <c r="Q795" i="26"/>
  <c r="BL794" i="26"/>
  <c r="O1072" i="55"/>
  <c r="Q1072" i="55"/>
  <c r="AI1072" i="55"/>
  <c r="P1072" i="55"/>
  <c r="K1072" i="55"/>
  <c r="AD1072" i="55"/>
  <c r="AT1072" i="55"/>
  <c r="B1072" i="55"/>
  <c r="X1072" i="55"/>
  <c r="M1072" i="55"/>
  <c r="AW1072" i="55"/>
  <c r="AX1072" i="55"/>
  <c r="AN1072" i="55"/>
  <c r="C1072" i="55"/>
  <c r="N1072" i="55"/>
  <c r="AC1072" i="55"/>
  <c r="AM1072" i="55"/>
  <c r="A1072" i="55"/>
  <c r="S1072" i="55"/>
  <c r="G1072" i="55"/>
  <c r="L1072" i="55"/>
  <c r="W1072" i="55"/>
  <c r="AQ1072" i="55"/>
  <c r="U1072" i="55"/>
  <c r="I1072" i="55"/>
  <c r="AB1072" i="55"/>
  <c r="AH1072" i="55"/>
  <c r="H1072" i="55"/>
  <c r="F1072" i="55"/>
  <c r="V1072" i="55"/>
  <c r="D1072" i="55"/>
  <c r="AK1072" i="55"/>
  <c r="AF1072" i="55"/>
  <c r="AO1072" i="55"/>
  <c r="Z1072" i="55"/>
  <c r="AG1072" i="55"/>
  <c r="AL1072" i="55"/>
  <c r="AL576" i="55"/>
  <c r="G795" i="26" l="1"/>
  <c r="O795" i="26"/>
  <c r="P795" i="26"/>
  <c r="BT794" i="26"/>
  <c r="AV794" i="55"/>
  <c r="K795" i="26"/>
  <c r="M795" i="26" s="1"/>
  <c r="V795" i="26"/>
  <c r="AO795" i="26" s="1"/>
  <c r="E796" i="26"/>
  <c r="U795" i="26"/>
  <c r="AF795" i="26" s="1"/>
  <c r="AN795" i="26" s="1"/>
  <c r="AS795" i="26"/>
  <c r="BJ795" i="26" s="1"/>
  <c r="X795" i="26"/>
  <c r="BK795" i="26" s="1"/>
  <c r="F795" i="26"/>
  <c r="R795" i="26" s="1"/>
  <c r="AP795" i="26"/>
  <c r="E1073" i="55"/>
  <c r="AL575" i="55"/>
  <c r="AL795" i="26" l="1"/>
  <c r="AM795" i="26" s="1"/>
  <c r="AU795" i="26" s="1"/>
  <c r="AT795" i="26"/>
  <c r="N795" i="26"/>
  <c r="AJ795" i="26"/>
  <c r="AK795" i="26" s="1"/>
  <c r="S795" i="26"/>
  <c r="T795" i="26" s="1"/>
  <c r="BC795" i="26" s="1"/>
  <c r="Q796" i="26"/>
  <c r="L796" i="26"/>
  <c r="H796" i="26"/>
  <c r="C796" i="26"/>
  <c r="E797" i="26" s="1"/>
  <c r="A796" i="26"/>
  <c r="B796" i="26"/>
  <c r="P796" i="26" s="1"/>
  <c r="W796" i="26"/>
  <c r="X796" i="26"/>
  <c r="D796" i="26"/>
  <c r="G796" i="26"/>
  <c r="F796" i="26"/>
  <c r="R796" i="26" s="1"/>
  <c r="U796" i="26"/>
  <c r="AF796" i="26" s="1"/>
  <c r="AN796" i="26" s="1"/>
  <c r="K796" i="26"/>
  <c r="M796" i="26" s="1"/>
  <c r="Q797" i="26"/>
  <c r="A797" i="26"/>
  <c r="L797" i="26"/>
  <c r="O1073" i="55"/>
  <c r="AG1073" i="55"/>
  <c r="AK1073" i="55"/>
  <c r="AI1073" i="55"/>
  <c r="Q1073" i="55"/>
  <c r="P1073" i="55"/>
  <c r="K1073" i="55"/>
  <c r="AL1073" i="55"/>
  <c r="V1073" i="55"/>
  <c r="M1073" i="55"/>
  <c r="U1073" i="55"/>
  <c r="X1073" i="55"/>
  <c r="H1073" i="55"/>
  <c r="N1073" i="55"/>
  <c r="AC1073" i="55"/>
  <c r="D1073" i="55"/>
  <c r="AX1073" i="55"/>
  <c r="I1073" i="55"/>
  <c r="AQ1073" i="55"/>
  <c r="AT1073" i="55"/>
  <c r="W1073" i="55"/>
  <c r="L1073" i="55"/>
  <c r="S1073" i="55"/>
  <c r="AN1073" i="55"/>
  <c r="AM1073" i="55"/>
  <c r="AH1073" i="55"/>
  <c r="AW1073" i="55"/>
  <c r="A1073" i="55"/>
  <c r="C1073" i="55"/>
  <c r="G1073" i="55"/>
  <c r="AB1073" i="55"/>
  <c r="F1073" i="55"/>
  <c r="B1073" i="55"/>
  <c r="Z1073" i="55"/>
  <c r="AO1073" i="55"/>
  <c r="AF1073" i="55"/>
  <c r="AD1073" i="55"/>
  <c r="AL574" i="55"/>
  <c r="AJ796" i="26" l="1"/>
  <c r="AK796" i="26" s="1"/>
  <c r="W797" i="26"/>
  <c r="C797" i="26"/>
  <c r="H797" i="26"/>
  <c r="AS796" i="26"/>
  <c r="BJ796" i="26" s="1"/>
  <c r="B797" i="26"/>
  <c r="K797" i="26" s="1"/>
  <c r="M797" i="26" s="1"/>
  <c r="AP796" i="26"/>
  <c r="O796" i="26"/>
  <c r="AL796" i="26" s="1"/>
  <c r="V796" i="26"/>
  <c r="AO796" i="26" s="1"/>
  <c r="BL795" i="26"/>
  <c r="N796" i="26"/>
  <c r="U797" i="26"/>
  <c r="E1074" i="55"/>
  <c r="AL573" i="55"/>
  <c r="AT796" i="26" l="1"/>
  <c r="BK796" i="26"/>
  <c r="V797" i="26"/>
  <c r="X797" i="26"/>
  <c r="AP797" i="26"/>
  <c r="G797" i="26"/>
  <c r="AF797" i="26"/>
  <c r="AN797" i="26" s="1"/>
  <c r="AJ797" i="26"/>
  <c r="AK797" i="26" s="1"/>
  <c r="N797" i="26"/>
  <c r="AM796" i="26"/>
  <c r="AU796" i="26" s="1"/>
  <c r="S796" i="26"/>
  <c r="T796" i="26" s="1"/>
  <c r="BC796" i="26" s="1"/>
  <c r="AV795" i="55"/>
  <c r="BT795" i="26"/>
  <c r="D797" i="26"/>
  <c r="F797" i="26"/>
  <c r="R797" i="26" s="1"/>
  <c r="O1074" i="55"/>
  <c r="AO1074" i="55"/>
  <c r="AD1074" i="55"/>
  <c r="AI1074" i="55"/>
  <c r="Q1074" i="55"/>
  <c r="K1074" i="55"/>
  <c r="P1074" i="55"/>
  <c r="AF1074" i="55"/>
  <c r="Z1074" i="55"/>
  <c r="AG1074" i="55"/>
  <c r="AL1074" i="55"/>
  <c r="AK1074" i="55"/>
  <c r="AM1074" i="55"/>
  <c r="L1074" i="55"/>
  <c r="F1074" i="55"/>
  <c r="AB1074" i="55"/>
  <c r="A1074" i="55"/>
  <c r="S1074" i="55"/>
  <c r="AQ1074" i="55"/>
  <c r="AH1074" i="55"/>
  <c r="AC1074" i="55"/>
  <c r="AT1074" i="55"/>
  <c r="D1074" i="55"/>
  <c r="U1074" i="55"/>
  <c r="C1074" i="55"/>
  <c r="I1074" i="55"/>
  <c r="H1074" i="55"/>
  <c r="X1074" i="55"/>
  <c r="B1074" i="55"/>
  <c r="N1074" i="55"/>
  <c r="AN1074" i="55"/>
  <c r="V1074" i="55"/>
  <c r="G1074" i="55"/>
  <c r="AX1074" i="55"/>
  <c r="W1074" i="55"/>
  <c r="M1074" i="55"/>
  <c r="AW1074" i="55"/>
  <c r="AL572" i="55"/>
  <c r="BK797" i="26" l="1"/>
  <c r="AO797" i="26"/>
  <c r="AT797" i="26" s="1"/>
  <c r="BL796" i="26"/>
  <c r="O797" i="26"/>
  <c r="E798" i="26"/>
  <c r="P797" i="26"/>
  <c r="E1075" i="55"/>
  <c r="AL571" i="55"/>
  <c r="AL797" i="26" l="1"/>
  <c r="AM797" i="26" s="1"/>
  <c r="AU797" i="26" s="1"/>
  <c r="B798" i="26"/>
  <c r="Q798" i="26"/>
  <c r="H798" i="26"/>
  <c r="A798" i="26"/>
  <c r="C798" i="26"/>
  <c r="V798" i="26" s="1"/>
  <c r="W798" i="26"/>
  <c r="L798" i="26"/>
  <c r="BT796" i="26"/>
  <c r="AV796" i="55"/>
  <c r="S797" i="26"/>
  <c r="T797" i="26" s="1"/>
  <c r="BC797" i="26" s="1"/>
  <c r="G798" i="26"/>
  <c r="O1075" i="55"/>
  <c r="AG1075" i="55"/>
  <c r="AI1075" i="55"/>
  <c r="Q1075" i="55"/>
  <c r="P1075" i="55"/>
  <c r="K1075" i="55"/>
  <c r="AF1075" i="55"/>
  <c r="AL1075" i="55"/>
  <c r="AK1075" i="55"/>
  <c r="Z1075" i="55"/>
  <c r="AD1075" i="55"/>
  <c r="AO1075" i="55"/>
  <c r="W1075" i="55"/>
  <c r="AH1075" i="55"/>
  <c r="AC1075" i="55"/>
  <c r="AT1075" i="55"/>
  <c r="AM1075" i="55"/>
  <c r="G1075" i="55"/>
  <c r="B1075" i="55"/>
  <c r="M1075" i="55"/>
  <c r="C1075" i="55"/>
  <c r="S1075" i="55"/>
  <c r="AB1075" i="55"/>
  <c r="AQ1075" i="55"/>
  <c r="N1075" i="55"/>
  <c r="A1075" i="55"/>
  <c r="U1075" i="55"/>
  <c r="AW1075" i="55"/>
  <c r="H1075" i="55"/>
  <c r="AN1075" i="55"/>
  <c r="AX1075" i="55"/>
  <c r="D1075" i="55"/>
  <c r="X1075" i="55"/>
  <c r="F1075" i="55"/>
  <c r="L1075" i="55"/>
  <c r="V1075" i="55"/>
  <c r="I1075" i="55"/>
  <c r="AL570" i="55"/>
  <c r="K798" i="26" l="1"/>
  <c r="M798" i="26" s="1"/>
  <c r="X798" i="26"/>
  <c r="BK798" i="26"/>
  <c r="AO798" i="26"/>
  <c r="AS798" i="26"/>
  <c r="BJ798" i="26" s="1"/>
  <c r="BL797" i="26"/>
  <c r="U798" i="26"/>
  <c r="AF798" i="26" s="1"/>
  <c r="AN798" i="26" s="1"/>
  <c r="D798" i="26"/>
  <c r="E799" i="26" s="1"/>
  <c r="F798" i="26"/>
  <c r="R798" i="26" s="1"/>
  <c r="AP798" i="26"/>
  <c r="E1076" i="55"/>
  <c r="AL569" i="55"/>
  <c r="AT798" i="26" l="1"/>
  <c r="B799" i="26"/>
  <c r="A799" i="26"/>
  <c r="V799" i="26"/>
  <c r="L799" i="26"/>
  <c r="H799" i="26"/>
  <c r="F799" i="26"/>
  <c r="C799" i="26"/>
  <c r="X799" i="26" s="1"/>
  <c r="Q799" i="26"/>
  <c r="W799" i="26"/>
  <c r="K799" i="26"/>
  <c r="M799" i="26" s="1"/>
  <c r="D799" i="26"/>
  <c r="O799" i="26" s="1"/>
  <c r="AO799" i="26"/>
  <c r="G799" i="26"/>
  <c r="AP799" i="26"/>
  <c r="N798" i="26"/>
  <c r="AJ798" i="26"/>
  <c r="AK798" i="26" s="1"/>
  <c r="P798" i="26"/>
  <c r="O798" i="26"/>
  <c r="BT797" i="26"/>
  <c r="AV797" i="55"/>
  <c r="P799" i="26"/>
  <c r="O1076" i="55"/>
  <c r="AF1076" i="55"/>
  <c r="Q1076" i="55"/>
  <c r="AI1076" i="55"/>
  <c r="K1076" i="55"/>
  <c r="P1076" i="55"/>
  <c r="AG1076" i="55"/>
  <c r="AL1076" i="55"/>
  <c r="AD1076" i="55"/>
  <c r="AO1076" i="55"/>
  <c r="Z1076" i="55"/>
  <c r="AK1076" i="55"/>
  <c r="W1076" i="55"/>
  <c r="G1076" i="55"/>
  <c r="V1076" i="55"/>
  <c r="AN1076" i="55"/>
  <c r="AQ1076" i="55"/>
  <c r="D1076" i="55"/>
  <c r="AW1076" i="55"/>
  <c r="X1076" i="55"/>
  <c r="U1076" i="55"/>
  <c r="B1076" i="55"/>
  <c r="F1076" i="55"/>
  <c r="M1076" i="55"/>
  <c r="AX1076" i="55"/>
  <c r="A1076" i="55"/>
  <c r="C1076" i="55"/>
  <c r="S1076" i="55"/>
  <c r="AT1076" i="55"/>
  <c r="AM1076" i="55"/>
  <c r="L1076" i="55"/>
  <c r="N1076" i="55"/>
  <c r="AH1076" i="55"/>
  <c r="H1076" i="55"/>
  <c r="AB1076" i="55"/>
  <c r="AC1076" i="55"/>
  <c r="I1076" i="55"/>
  <c r="AL568" i="55"/>
  <c r="AT799" i="26" l="1"/>
  <c r="AL798" i="26"/>
  <c r="AM798" i="26" s="1"/>
  <c r="AU798" i="26" s="1"/>
  <c r="BK799" i="26"/>
  <c r="AS799" i="26"/>
  <c r="BJ799" i="26" s="1"/>
  <c r="N799" i="26"/>
  <c r="AJ799" i="26"/>
  <c r="AK799" i="26" s="1"/>
  <c r="S798" i="26"/>
  <c r="T798" i="26" s="1"/>
  <c r="BC798" i="26" s="1"/>
  <c r="U799" i="26"/>
  <c r="AF799" i="26" s="1"/>
  <c r="AN799" i="26" s="1"/>
  <c r="R799" i="26"/>
  <c r="E800" i="26"/>
  <c r="E1077" i="55"/>
  <c r="AL567" i="55"/>
  <c r="AL799" i="26" l="1"/>
  <c r="AM799" i="26" s="1"/>
  <c r="AU799" i="26" s="1"/>
  <c r="BL798" i="26"/>
  <c r="H800" i="26"/>
  <c r="B800" i="26"/>
  <c r="L800" i="26"/>
  <c r="A800" i="26"/>
  <c r="G800" i="26"/>
  <c r="W800" i="26"/>
  <c r="C800" i="26"/>
  <c r="X800" i="26" s="1"/>
  <c r="Q800" i="26"/>
  <c r="S799" i="26"/>
  <c r="T799" i="26" s="1"/>
  <c r="BC799" i="26" s="1"/>
  <c r="O1077" i="55"/>
  <c r="AO1077" i="55"/>
  <c r="AI1077" i="55"/>
  <c r="Q1077" i="55"/>
  <c r="P1077" i="55"/>
  <c r="K1077" i="55"/>
  <c r="AD1077" i="55"/>
  <c r="AF1077" i="55"/>
  <c r="S1077" i="55"/>
  <c r="AN1077" i="55"/>
  <c r="L1077" i="55"/>
  <c r="H1077" i="55"/>
  <c r="AW1077" i="55"/>
  <c r="AB1077" i="55"/>
  <c r="W1077" i="55"/>
  <c r="AM1077" i="55"/>
  <c r="I1077" i="55"/>
  <c r="U1077" i="55"/>
  <c r="X1077" i="55"/>
  <c r="M1077" i="55"/>
  <c r="B1077" i="55"/>
  <c r="D1077" i="55"/>
  <c r="V1077" i="55"/>
  <c r="C1077" i="55"/>
  <c r="F1077" i="55"/>
  <c r="AC1077" i="55"/>
  <c r="A1077" i="55"/>
  <c r="N1077" i="55"/>
  <c r="G1077" i="55"/>
  <c r="AT1077" i="55"/>
  <c r="AH1077" i="55"/>
  <c r="AX1077" i="55"/>
  <c r="AQ1077" i="55"/>
  <c r="Z1077" i="55"/>
  <c r="AG1077" i="55"/>
  <c r="AL1077" i="55"/>
  <c r="AK1077" i="55"/>
  <c r="AL566" i="55"/>
  <c r="AP800" i="26" l="1"/>
  <c r="U800" i="26"/>
  <c r="AF800" i="26" s="1"/>
  <c r="AN800" i="26" s="1"/>
  <c r="AS800" i="26"/>
  <c r="BJ800" i="26" s="1"/>
  <c r="V800" i="26"/>
  <c r="BT798" i="26"/>
  <c r="AV798" i="55"/>
  <c r="BL799" i="26"/>
  <c r="K800" i="26"/>
  <c r="M800" i="26" s="1"/>
  <c r="F800" i="26"/>
  <c r="R800" i="26" s="1"/>
  <c r="D800" i="26"/>
  <c r="E1078" i="55"/>
  <c r="AL565" i="55"/>
  <c r="N800" i="26" l="1"/>
  <c r="AJ800" i="26"/>
  <c r="AK800" i="26" s="1"/>
  <c r="BK800" i="26"/>
  <c r="AO800" i="26"/>
  <c r="AT800" i="26" s="1"/>
  <c r="E801" i="26"/>
  <c r="O800" i="26"/>
  <c r="S800" i="26" s="1"/>
  <c r="T800" i="26" s="1"/>
  <c r="BC800" i="26" s="1"/>
  <c r="P800" i="26"/>
  <c r="AV799" i="55"/>
  <c r="BT799" i="26"/>
  <c r="O1078" i="55"/>
  <c r="AD1078" i="55"/>
  <c r="AI1078" i="55"/>
  <c r="Q1078" i="55"/>
  <c r="K1078" i="55"/>
  <c r="P1078" i="55"/>
  <c r="AL1078" i="55"/>
  <c r="AG1078" i="55"/>
  <c r="AO1078" i="55"/>
  <c r="Z1078" i="55"/>
  <c r="AK1078" i="55"/>
  <c r="AF1078" i="55"/>
  <c r="V1078" i="55"/>
  <c r="M1078" i="55"/>
  <c r="G1078" i="55"/>
  <c r="AN1078" i="55"/>
  <c r="L1078" i="55"/>
  <c r="AW1078" i="55"/>
  <c r="D1078" i="55"/>
  <c r="U1078" i="55"/>
  <c r="N1078" i="55"/>
  <c r="F1078" i="55"/>
  <c r="H1078" i="55"/>
  <c r="AX1078" i="55"/>
  <c r="AT1078" i="55"/>
  <c r="AM1078" i="55"/>
  <c r="X1078" i="55"/>
  <c r="C1078" i="55"/>
  <c r="A1078" i="55"/>
  <c r="S1078" i="55"/>
  <c r="AC1078" i="55"/>
  <c r="AH1078" i="55"/>
  <c r="AB1078" i="55"/>
  <c r="W1078" i="55"/>
  <c r="AQ1078" i="55"/>
  <c r="B1078" i="55"/>
  <c r="I1078" i="55"/>
  <c r="AL564" i="55"/>
  <c r="AL800" i="26" l="1"/>
  <c r="AM800" i="26" s="1"/>
  <c r="AU800" i="26" s="1"/>
  <c r="BL800" i="26"/>
  <c r="B801" i="26"/>
  <c r="K801" i="26" s="1"/>
  <c r="L801" i="26"/>
  <c r="W801" i="26"/>
  <c r="Q801" i="26"/>
  <c r="A801" i="26"/>
  <c r="C801" i="26"/>
  <c r="V801" i="26" s="1"/>
  <c r="H801" i="26"/>
  <c r="D801" i="26"/>
  <c r="E1079" i="55"/>
  <c r="AL563" i="55"/>
  <c r="M801" i="26" l="1"/>
  <c r="N801" i="26" s="1"/>
  <c r="F801" i="26"/>
  <c r="R801" i="26" s="1"/>
  <c r="E802" i="26"/>
  <c r="X801" i="26"/>
  <c r="BK801" i="26" s="1"/>
  <c r="AJ801" i="26"/>
  <c r="AK801" i="26" s="1"/>
  <c r="AO801" i="26"/>
  <c r="G801" i="26"/>
  <c r="AP801" i="26"/>
  <c r="AV800" i="55"/>
  <c r="BT800" i="26"/>
  <c r="O801" i="26"/>
  <c r="AS801" i="26"/>
  <c r="BJ801" i="26" s="1"/>
  <c r="P801" i="26"/>
  <c r="U801" i="26"/>
  <c r="AF801" i="26" s="1"/>
  <c r="AN801" i="26" s="1"/>
  <c r="AK1079" i="55"/>
  <c r="O1079" i="55"/>
  <c r="AF1079" i="55"/>
  <c r="AI1079" i="55"/>
  <c r="Q1079" i="55"/>
  <c r="P1079" i="55"/>
  <c r="K1079" i="55"/>
  <c r="Z1079" i="55"/>
  <c r="AG1079" i="55"/>
  <c r="AD1079" i="55"/>
  <c r="AL1079" i="55"/>
  <c r="AO1079" i="55"/>
  <c r="AC1079" i="55"/>
  <c r="U1079" i="55"/>
  <c r="AH1079" i="55"/>
  <c r="G1079" i="55"/>
  <c r="L1079" i="55"/>
  <c r="M1079" i="55"/>
  <c r="B1079" i="55"/>
  <c r="AN1079" i="55"/>
  <c r="C1079" i="55"/>
  <c r="AQ1079" i="55"/>
  <c r="V1079" i="55"/>
  <c r="S1079" i="55"/>
  <c r="X1079" i="55"/>
  <c r="H1079" i="55"/>
  <c r="F1079" i="55"/>
  <c r="D1079" i="55"/>
  <c r="AX1079" i="55"/>
  <c r="AB1079" i="55"/>
  <c r="AW1079" i="55"/>
  <c r="N1079" i="55"/>
  <c r="W1079" i="55"/>
  <c r="AM1079" i="55"/>
  <c r="AT1079" i="55"/>
  <c r="I1079" i="55"/>
  <c r="A1079" i="55"/>
  <c r="AL562" i="55"/>
  <c r="AL801" i="26" l="1"/>
  <c r="AM801" i="26" s="1"/>
  <c r="AU801" i="26" s="1"/>
  <c r="AT801" i="26"/>
  <c r="S801" i="26"/>
  <c r="T801" i="26" s="1"/>
  <c r="BC801" i="26" s="1"/>
  <c r="W802" i="26"/>
  <c r="A802" i="26"/>
  <c r="B802" i="26"/>
  <c r="AP802" i="26" s="1"/>
  <c r="Q802" i="26"/>
  <c r="H802" i="26"/>
  <c r="L802" i="26"/>
  <c r="C802" i="26"/>
  <c r="U802" i="26" s="1"/>
  <c r="D802" i="26"/>
  <c r="X802" i="26"/>
  <c r="E1080" i="55"/>
  <c r="AL561" i="55"/>
  <c r="AF802" i="26" l="1"/>
  <c r="AN802" i="26" s="1"/>
  <c r="P802" i="26"/>
  <c r="E803" i="26"/>
  <c r="V802" i="26"/>
  <c r="AS802" i="26"/>
  <c r="BJ802" i="26" s="1"/>
  <c r="K802" i="26"/>
  <c r="M802" i="26" s="1"/>
  <c r="O802" i="26"/>
  <c r="G802" i="26"/>
  <c r="F802" i="26"/>
  <c r="R802" i="26" s="1"/>
  <c r="BL801" i="26"/>
  <c r="O1080" i="55"/>
  <c r="AO1080" i="55"/>
  <c r="Q1080" i="55"/>
  <c r="AI1080" i="55"/>
  <c r="P1080" i="55"/>
  <c r="K1080" i="55"/>
  <c r="Z1080" i="55"/>
  <c r="AG1080" i="55"/>
  <c r="AK1080" i="55"/>
  <c r="C1080" i="55"/>
  <c r="X1080" i="55"/>
  <c r="N1080" i="55"/>
  <c r="U1080" i="55"/>
  <c r="F1080" i="55"/>
  <c r="B1080" i="55"/>
  <c r="AT1080" i="55"/>
  <c r="AM1080" i="55"/>
  <c r="S1080" i="55"/>
  <c r="AC1080" i="55"/>
  <c r="AW1080" i="55"/>
  <c r="D1080" i="55"/>
  <c r="L1080" i="55"/>
  <c r="W1080" i="55"/>
  <c r="M1080" i="55"/>
  <c r="AB1080" i="55"/>
  <c r="A1080" i="55"/>
  <c r="G1080" i="55"/>
  <c r="AX1080" i="55"/>
  <c r="AQ1080" i="55"/>
  <c r="V1080" i="55"/>
  <c r="AH1080" i="55"/>
  <c r="AN1080" i="55"/>
  <c r="I1080" i="55"/>
  <c r="H1080" i="55"/>
  <c r="AD1080" i="55"/>
  <c r="AF1080" i="55"/>
  <c r="AL1080" i="55"/>
  <c r="AL560" i="55"/>
  <c r="AL802" i="26" l="1"/>
  <c r="AM802" i="26" s="1"/>
  <c r="AU802" i="26" s="1"/>
  <c r="AO802" i="26"/>
  <c r="AT802" i="26" s="1"/>
  <c r="BK802" i="26"/>
  <c r="BT801" i="26"/>
  <c r="AV801" i="55"/>
  <c r="S802" i="26"/>
  <c r="T802" i="26" s="1"/>
  <c r="BC802" i="26" s="1"/>
  <c r="Q803" i="26"/>
  <c r="L803" i="26"/>
  <c r="C803" i="26"/>
  <c r="B803" i="26"/>
  <c r="G803" i="26" s="1"/>
  <c r="A803" i="26"/>
  <c r="H803" i="26"/>
  <c r="W803" i="26"/>
  <c r="AP803" i="26"/>
  <c r="AS803" i="26"/>
  <c r="BJ803" i="26" s="1"/>
  <c r="X803" i="26"/>
  <c r="V803" i="26"/>
  <c r="U803" i="26"/>
  <c r="N802" i="26"/>
  <c r="AJ802" i="26"/>
  <c r="AK802" i="26" s="1"/>
  <c r="E1081" i="55"/>
  <c r="AL559" i="55"/>
  <c r="AO803" i="26" l="1"/>
  <c r="AT803" i="26" s="1"/>
  <c r="K803" i="26"/>
  <c r="M803" i="26" s="1"/>
  <c r="N803" i="26" s="1"/>
  <c r="BK803" i="26"/>
  <c r="AF803" i="26"/>
  <c r="AN803" i="26" s="1"/>
  <c r="D803" i="26"/>
  <c r="P803" i="26" s="1"/>
  <c r="F803" i="26"/>
  <c r="R803" i="26" s="1"/>
  <c r="BL802" i="26"/>
  <c r="O1081" i="55"/>
  <c r="AG1081" i="55"/>
  <c r="AK1081" i="55"/>
  <c r="AI1081" i="55"/>
  <c r="Q1081" i="55"/>
  <c r="P1081" i="55"/>
  <c r="K1081" i="55"/>
  <c r="AO1081" i="55"/>
  <c r="AL1081" i="55"/>
  <c r="H1081" i="55"/>
  <c r="AH1081" i="55"/>
  <c r="AM1081" i="55"/>
  <c r="W1081" i="55"/>
  <c r="M1081" i="55"/>
  <c r="F1081" i="55"/>
  <c r="AB1081" i="55"/>
  <c r="D1081" i="55"/>
  <c r="AX1081" i="55"/>
  <c r="G1081" i="55"/>
  <c r="N1081" i="55"/>
  <c r="AC1081" i="55"/>
  <c r="C1081" i="55"/>
  <c r="AN1081" i="55"/>
  <c r="AW1081" i="55"/>
  <c r="I1081" i="55"/>
  <c r="AQ1081" i="55"/>
  <c r="S1081" i="55"/>
  <c r="B1081" i="55"/>
  <c r="X1081" i="55"/>
  <c r="U1081" i="55"/>
  <c r="V1081" i="55"/>
  <c r="AT1081" i="55"/>
  <c r="L1081" i="55"/>
  <c r="A1081" i="55"/>
  <c r="Z1081" i="55"/>
  <c r="AF1081" i="55"/>
  <c r="AD1081" i="55"/>
  <c r="AL558" i="55"/>
  <c r="AJ803" i="26" l="1"/>
  <c r="AK803" i="26" s="1"/>
  <c r="O803" i="26"/>
  <c r="S803" i="26" s="1"/>
  <c r="T803" i="26" s="1"/>
  <c r="BC803" i="26" s="1"/>
  <c r="BT802" i="26"/>
  <c r="AV802" i="55"/>
  <c r="E804" i="26"/>
  <c r="E1082" i="55"/>
  <c r="AK1082" i="55" s="1"/>
  <c r="AL557" i="55"/>
  <c r="AL803" i="26" l="1"/>
  <c r="AM803" i="26" s="1"/>
  <c r="AU803" i="26" s="1"/>
  <c r="BL803" i="26"/>
  <c r="A804" i="26"/>
  <c r="C804" i="26"/>
  <c r="AS804" i="26" s="1"/>
  <c r="BJ804" i="26" s="1"/>
  <c r="W804" i="26"/>
  <c r="L804" i="26"/>
  <c r="B804" i="26"/>
  <c r="K804" i="26" s="1"/>
  <c r="H804" i="26"/>
  <c r="Q804" i="26"/>
  <c r="G804" i="26"/>
  <c r="V804" i="26"/>
  <c r="D804" i="26"/>
  <c r="O804" i="26" s="1"/>
  <c r="AL1082" i="55"/>
  <c r="AD1082" i="55"/>
  <c r="O1082" i="55"/>
  <c r="AF1082" i="55"/>
  <c r="AI1082" i="55"/>
  <c r="Q1082" i="55"/>
  <c r="K1082" i="55"/>
  <c r="P1082" i="55"/>
  <c r="Z1082" i="55"/>
  <c r="S1082" i="55"/>
  <c r="AH1082" i="55"/>
  <c r="AQ1082" i="55"/>
  <c r="D1082" i="55"/>
  <c r="V1082" i="55"/>
  <c r="AT1082" i="55"/>
  <c r="W1082" i="55"/>
  <c r="L1082" i="55"/>
  <c r="AX1082" i="55"/>
  <c r="AB1082" i="55"/>
  <c r="X1082" i="55"/>
  <c r="A1082" i="55"/>
  <c r="AM1082" i="55"/>
  <c r="I1082" i="55"/>
  <c r="U1082" i="55"/>
  <c r="M1082" i="55"/>
  <c r="AN1082" i="55"/>
  <c r="G1082" i="55"/>
  <c r="C1082" i="55"/>
  <c r="F1082" i="55"/>
  <c r="N1082" i="55"/>
  <c r="B1082" i="55"/>
  <c r="AW1082" i="55"/>
  <c r="H1082" i="55"/>
  <c r="AC1082" i="55"/>
  <c r="AO1082" i="55"/>
  <c r="AG1082" i="55"/>
  <c r="AL556" i="55"/>
  <c r="P804" i="26" l="1"/>
  <c r="F804" i="26"/>
  <c r="X804" i="26"/>
  <c r="AP804" i="26"/>
  <c r="AO804" i="26"/>
  <c r="M804" i="26"/>
  <c r="BK804" i="26"/>
  <c r="R804" i="26"/>
  <c r="U804" i="26"/>
  <c r="AF804" i="26" s="1"/>
  <c r="AN804" i="26" s="1"/>
  <c r="E805" i="26"/>
  <c r="BT803" i="26"/>
  <c r="AV803" i="55"/>
  <c r="E1083" i="55"/>
  <c r="AL555" i="55"/>
  <c r="AL804" i="26" l="1"/>
  <c r="AM804" i="26" s="1"/>
  <c r="AU804" i="26" s="1"/>
  <c r="AT804" i="26"/>
  <c r="S804" i="26"/>
  <c r="T804" i="26" s="1"/>
  <c r="BC804" i="26" s="1"/>
  <c r="L805" i="26"/>
  <c r="H805" i="26"/>
  <c r="AO805" i="26"/>
  <c r="W805" i="26"/>
  <c r="A805" i="26"/>
  <c r="B805" i="26"/>
  <c r="F805" i="26" s="1"/>
  <c r="C805" i="26"/>
  <c r="AS805" i="26" s="1"/>
  <c r="BJ805" i="26" s="1"/>
  <c r="Q805" i="26"/>
  <c r="V805" i="26"/>
  <c r="N804" i="26"/>
  <c r="AJ804" i="26"/>
  <c r="AK804" i="26" s="1"/>
  <c r="O1083" i="55"/>
  <c r="AK1083" i="55"/>
  <c r="AI1083" i="55"/>
  <c r="Q1083" i="55"/>
  <c r="P1083" i="55"/>
  <c r="K1083" i="55"/>
  <c r="AD1083" i="55"/>
  <c r="AO1083" i="55"/>
  <c r="AL1083" i="55"/>
  <c r="AF1083" i="55"/>
  <c r="AG1083" i="55"/>
  <c r="Z1083" i="55"/>
  <c r="AN1083" i="55"/>
  <c r="V1083" i="55"/>
  <c r="S1083" i="55"/>
  <c r="AC1083" i="55"/>
  <c r="B1083" i="55"/>
  <c r="L1083" i="55"/>
  <c r="AW1083" i="55"/>
  <c r="H1083" i="55"/>
  <c r="W1083" i="55"/>
  <c r="AB1083" i="55"/>
  <c r="AH1083" i="55"/>
  <c r="AM1083" i="55"/>
  <c r="I1083" i="55"/>
  <c r="G1083" i="55"/>
  <c r="X1083" i="55"/>
  <c r="AQ1083" i="55"/>
  <c r="A1083" i="55"/>
  <c r="AX1083" i="55"/>
  <c r="U1083" i="55"/>
  <c r="N1083" i="55"/>
  <c r="M1083" i="55"/>
  <c r="C1083" i="55"/>
  <c r="F1083" i="55"/>
  <c r="D1083" i="55"/>
  <c r="AT1083" i="55"/>
  <c r="AL554" i="55"/>
  <c r="U805" i="26" l="1"/>
  <c r="AF805" i="26" s="1"/>
  <c r="AN805" i="26" s="1"/>
  <c r="G805" i="26"/>
  <c r="D805" i="26"/>
  <c r="O805" i="26" s="1"/>
  <c r="X805" i="26"/>
  <c r="BK805" i="26" s="1"/>
  <c r="AP805" i="26"/>
  <c r="AT805" i="26" s="1"/>
  <c r="R805" i="26"/>
  <c r="K805" i="26"/>
  <c r="M805" i="26" s="1"/>
  <c r="BL804" i="26"/>
  <c r="E1084" i="55"/>
  <c r="AL553" i="55"/>
  <c r="S805" i="26" l="1"/>
  <c r="T805" i="26" s="1"/>
  <c r="BC805" i="26" s="1"/>
  <c r="BT804" i="26"/>
  <c r="AV804" i="55"/>
  <c r="AJ805" i="26"/>
  <c r="AK805" i="26" s="1"/>
  <c r="N805" i="26"/>
  <c r="E806" i="26"/>
  <c r="P805" i="26"/>
  <c r="O1084" i="55"/>
  <c r="AF1084" i="55"/>
  <c r="AI1084" i="55"/>
  <c r="Q1084" i="55"/>
  <c r="K1084" i="55"/>
  <c r="P1084" i="55"/>
  <c r="AL1084" i="55"/>
  <c r="AK1084" i="55"/>
  <c r="AO1084" i="55"/>
  <c r="AD1084" i="55"/>
  <c r="Z1084" i="55"/>
  <c r="AG1084" i="55"/>
  <c r="AT1084" i="55"/>
  <c r="AN1084" i="55"/>
  <c r="D1084" i="55"/>
  <c r="H1084" i="55"/>
  <c r="M1084" i="55"/>
  <c r="A1084" i="55"/>
  <c r="AB1084" i="55"/>
  <c r="V1084" i="55"/>
  <c r="U1084" i="55"/>
  <c r="C1084" i="55"/>
  <c r="AH1084" i="55"/>
  <c r="S1084" i="55"/>
  <c r="W1084" i="55"/>
  <c r="B1084" i="55"/>
  <c r="G1084" i="55"/>
  <c r="N1084" i="55"/>
  <c r="AM1084" i="55"/>
  <c r="AW1084" i="55"/>
  <c r="I1084" i="55"/>
  <c r="AC1084" i="55"/>
  <c r="AX1084" i="55"/>
  <c r="X1084" i="55"/>
  <c r="AQ1084" i="55"/>
  <c r="L1084" i="55"/>
  <c r="F1084" i="55"/>
  <c r="AL552" i="55"/>
  <c r="AL805" i="26" l="1"/>
  <c r="AM805" i="26" s="1"/>
  <c r="AU805" i="26" s="1"/>
  <c r="BL805" i="26"/>
  <c r="A806" i="26"/>
  <c r="W806" i="26"/>
  <c r="C806" i="26"/>
  <c r="L806" i="26"/>
  <c r="B806" i="26"/>
  <c r="X806" i="26" s="1"/>
  <c r="Q806" i="26"/>
  <c r="H806" i="26"/>
  <c r="F806" i="26"/>
  <c r="R806" i="26" s="1"/>
  <c r="U806" i="26"/>
  <c r="E1085" i="55"/>
  <c r="AL551" i="55"/>
  <c r="D806" i="26" l="1"/>
  <c r="AF806" i="26"/>
  <c r="AN806" i="26" s="1"/>
  <c r="E807" i="26"/>
  <c r="O806" i="26"/>
  <c r="G806" i="26"/>
  <c r="AP806" i="26"/>
  <c r="AS806" i="26"/>
  <c r="BJ806" i="26" s="1"/>
  <c r="V806" i="26"/>
  <c r="K806" i="26"/>
  <c r="M806" i="26" s="1"/>
  <c r="BT805" i="26"/>
  <c r="AV805" i="55"/>
  <c r="O1085" i="55"/>
  <c r="AF1085" i="55"/>
  <c r="AI1085" i="55"/>
  <c r="Q1085" i="55"/>
  <c r="P1085" i="55"/>
  <c r="K1085" i="55"/>
  <c r="AD1085" i="55"/>
  <c r="AG1085" i="55"/>
  <c r="I1085" i="55"/>
  <c r="X1085" i="55"/>
  <c r="AB1085" i="55"/>
  <c r="AQ1085" i="55"/>
  <c r="V1085" i="55"/>
  <c r="AC1085" i="55"/>
  <c r="AN1085" i="55"/>
  <c r="AT1085" i="55"/>
  <c r="G1085" i="55"/>
  <c r="M1085" i="55"/>
  <c r="F1085" i="55"/>
  <c r="A1085" i="55"/>
  <c r="N1085" i="55"/>
  <c r="U1085" i="55"/>
  <c r="AX1085" i="55"/>
  <c r="H1085" i="55"/>
  <c r="AH1085" i="55"/>
  <c r="AM1085" i="55"/>
  <c r="B1085" i="55"/>
  <c r="L1085" i="55"/>
  <c r="S1085" i="55"/>
  <c r="AW1085" i="55"/>
  <c r="W1085" i="55"/>
  <c r="D1085" i="55"/>
  <c r="C1085" i="55"/>
  <c r="Z1085" i="55"/>
  <c r="AO1085" i="55"/>
  <c r="AL1085" i="55"/>
  <c r="AK1085" i="55"/>
  <c r="AL550" i="55"/>
  <c r="P806" i="26" l="1"/>
  <c r="S806" i="26"/>
  <c r="T806" i="26" s="1"/>
  <c r="BC806" i="26" s="1"/>
  <c r="AJ806" i="26"/>
  <c r="AK806" i="26" s="1"/>
  <c r="N806" i="26"/>
  <c r="AO806" i="26"/>
  <c r="AT806" i="26" s="1"/>
  <c r="BK806" i="26"/>
  <c r="H807" i="26"/>
  <c r="Q807" i="26"/>
  <c r="P807" i="26"/>
  <c r="W807" i="26"/>
  <c r="L807" i="26"/>
  <c r="B807" i="26"/>
  <c r="D807" i="26" s="1"/>
  <c r="G807" i="26"/>
  <c r="A807" i="26"/>
  <c r="C807" i="26"/>
  <c r="U807" i="26" s="1"/>
  <c r="AF807" i="26" s="1"/>
  <c r="AN807" i="26" s="1"/>
  <c r="F807" i="26"/>
  <c r="R807" i="26" s="1"/>
  <c r="V807" i="26"/>
  <c r="AS807" i="26"/>
  <c r="BJ807" i="26" s="1"/>
  <c r="X807" i="26"/>
  <c r="E1086" i="55"/>
  <c r="AL549" i="55"/>
  <c r="AL806" i="26" l="1"/>
  <c r="AM806" i="26" s="1"/>
  <c r="AU806" i="26" s="1"/>
  <c r="K807" i="26"/>
  <c r="M807" i="26" s="1"/>
  <c r="O807" i="26"/>
  <c r="S807" i="26" s="1"/>
  <c r="T807" i="26" s="1"/>
  <c r="BC807" i="26" s="1"/>
  <c r="AO807" i="26"/>
  <c r="BK807" i="26"/>
  <c r="E808" i="26"/>
  <c r="AP807" i="26"/>
  <c r="BL806" i="26"/>
  <c r="O1086" i="55"/>
  <c r="AL1086" i="55"/>
  <c r="AI1086" i="55"/>
  <c r="Q1086" i="55"/>
  <c r="K1086" i="55"/>
  <c r="P1086" i="55"/>
  <c r="Z1086" i="55"/>
  <c r="AO1086" i="55"/>
  <c r="AK1086" i="55"/>
  <c r="AG1086" i="55"/>
  <c r="AF1086" i="55"/>
  <c r="AD1086" i="55"/>
  <c r="A1086" i="55"/>
  <c r="AN1086" i="55"/>
  <c r="AH1086" i="55"/>
  <c r="AX1086" i="55"/>
  <c r="I1086" i="55"/>
  <c r="B1086" i="55"/>
  <c r="F1086" i="55"/>
  <c r="AB1086" i="55"/>
  <c r="AQ1086" i="55"/>
  <c r="V1086" i="55"/>
  <c r="AC1086" i="55"/>
  <c r="AM1086" i="55"/>
  <c r="D1086" i="55"/>
  <c r="C1086" i="55"/>
  <c r="AT1086" i="55"/>
  <c r="H1086" i="55"/>
  <c r="AW1086" i="55"/>
  <c r="G1086" i="55"/>
  <c r="X1086" i="55"/>
  <c r="L1086" i="55"/>
  <c r="N1086" i="55"/>
  <c r="W1086" i="55"/>
  <c r="U1086" i="55"/>
  <c r="M1086" i="55"/>
  <c r="S1086" i="55"/>
  <c r="AL548" i="55"/>
  <c r="AL807" i="26" l="1"/>
  <c r="AM807" i="26" s="1"/>
  <c r="AU807" i="26" s="1"/>
  <c r="BL807" i="26"/>
  <c r="AV807" i="55"/>
  <c r="BT807" i="26"/>
  <c r="AT807" i="26"/>
  <c r="BT806" i="26"/>
  <c r="AV806" i="55"/>
  <c r="AJ807" i="26"/>
  <c r="AK807" i="26" s="1"/>
  <c r="N807" i="26"/>
  <c r="L808" i="26"/>
  <c r="A808" i="26"/>
  <c r="H808" i="26"/>
  <c r="F808" i="26"/>
  <c r="B808" i="26"/>
  <c r="G808" i="26" s="1"/>
  <c r="W808" i="26"/>
  <c r="Q808" i="26"/>
  <c r="C808" i="26"/>
  <c r="V808" i="26" s="1"/>
  <c r="AO808" i="26"/>
  <c r="K808" i="26"/>
  <c r="E1087" i="55"/>
  <c r="AL547" i="55"/>
  <c r="AP808" i="26" l="1"/>
  <c r="AT808" i="26" s="1"/>
  <c r="U808" i="26"/>
  <c r="AF808" i="26" s="1"/>
  <c r="AN808" i="26" s="1"/>
  <c r="M808" i="26"/>
  <c r="X808" i="26"/>
  <c r="BK808" i="26" s="1"/>
  <c r="AS808" i="26"/>
  <c r="BJ808" i="26" s="1"/>
  <c r="D808" i="26"/>
  <c r="R808" i="26"/>
  <c r="O1087" i="55"/>
  <c r="AL1087" i="55"/>
  <c r="AO1087" i="55"/>
  <c r="AI1087" i="55"/>
  <c r="Q1087" i="55"/>
  <c r="P1087" i="55"/>
  <c r="K1087" i="55"/>
  <c r="Z1087" i="55"/>
  <c r="AH1087" i="55"/>
  <c r="A1087" i="55"/>
  <c r="W1087" i="55"/>
  <c r="V1087" i="55"/>
  <c r="G1087" i="55"/>
  <c r="N1087" i="55"/>
  <c r="AT1087" i="55"/>
  <c r="AX1087" i="55"/>
  <c r="AQ1087" i="55"/>
  <c r="AM1087" i="55"/>
  <c r="D1087" i="55"/>
  <c r="B1087" i="55"/>
  <c r="F1087" i="55"/>
  <c r="H1087" i="55"/>
  <c r="AB1087" i="55"/>
  <c r="S1087" i="55"/>
  <c r="L1087" i="55"/>
  <c r="C1087" i="55"/>
  <c r="M1087" i="55"/>
  <c r="I1087" i="55"/>
  <c r="U1087" i="55"/>
  <c r="AC1087" i="55"/>
  <c r="AW1087" i="55"/>
  <c r="X1087" i="55"/>
  <c r="AN1087" i="55"/>
  <c r="AD1087" i="55"/>
  <c r="AF1087" i="55"/>
  <c r="AG1087" i="55"/>
  <c r="AK1087" i="55"/>
  <c r="AL546" i="55"/>
  <c r="E809" i="26" l="1"/>
  <c r="P808" i="26"/>
  <c r="O808" i="26"/>
  <c r="AJ808" i="26"/>
  <c r="AK808" i="26" s="1"/>
  <c r="N808" i="26"/>
  <c r="E1088" i="55"/>
  <c r="AL545" i="55"/>
  <c r="AL808" i="26" l="1"/>
  <c r="AM808" i="26" s="1"/>
  <c r="AU808" i="26" s="1"/>
  <c r="S808" i="26"/>
  <c r="T808" i="26" s="1"/>
  <c r="BC808" i="26" s="1"/>
  <c r="Q809" i="26"/>
  <c r="H809" i="26"/>
  <c r="A809" i="26"/>
  <c r="B809" i="26"/>
  <c r="C809" i="26"/>
  <c r="D809" i="26"/>
  <c r="L809" i="26"/>
  <c r="W809" i="26"/>
  <c r="K809" i="26"/>
  <c r="U809" i="26"/>
  <c r="AF809" i="26" s="1"/>
  <c r="AN809" i="26" s="1"/>
  <c r="F809" i="26"/>
  <c r="R809" i="26" s="1"/>
  <c r="V809" i="26"/>
  <c r="O1088" i="55"/>
  <c r="AO1088" i="55"/>
  <c r="Q1088" i="55"/>
  <c r="AI1088" i="55"/>
  <c r="P1088" i="55"/>
  <c r="K1088" i="55"/>
  <c r="Z1088" i="55"/>
  <c r="AL1088" i="55"/>
  <c r="AD1088" i="55"/>
  <c r="AF1088" i="55"/>
  <c r="AK1088" i="55"/>
  <c r="AG1088" i="55"/>
  <c r="F1088" i="55"/>
  <c r="AH1088" i="55"/>
  <c r="D1088" i="55"/>
  <c r="X1088" i="55"/>
  <c r="N1088" i="55"/>
  <c r="AQ1088" i="55"/>
  <c r="V1088" i="55"/>
  <c r="AC1088" i="55"/>
  <c r="C1088" i="55"/>
  <c r="AW1088" i="55"/>
  <c r="W1088" i="55"/>
  <c r="AN1088" i="55"/>
  <c r="AX1088" i="55"/>
  <c r="G1088" i="55"/>
  <c r="AB1088" i="55"/>
  <c r="M1088" i="55"/>
  <c r="B1088" i="55"/>
  <c r="A1088" i="55"/>
  <c r="AM1088" i="55"/>
  <c r="I1088" i="55"/>
  <c r="S1088" i="55"/>
  <c r="AT1088" i="55"/>
  <c r="H1088" i="55"/>
  <c r="U1088" i="55"/>
  <c r="L1088" i="55"/>
  <c r="AL544" i="55"/>
  <c r="AP809" i="26" l="1"/>
  <c r="AO809" i="26"/>
  <c r="O809" i="26"/>
  <c r="S809" i="26" s="1"/>
  <c r="T809" i="26" s="1"/>
  <c r="BC809" i="26" s="1"/>
  <c r="E810" i="26"/>
  <c r="P809" i="26"/>
  <c r="X809" i="26"/>
  <c r="BK809" i="26" s="1"/>
  <c r="G809" i="26"/>
  <c r="B810" i="26"/>
  <c r="A810" i="26"/>
  <c r="Q810" i="26"/>
  <c r="W810" i="26"/>
  <c r="C810" i="26"/>
  <c r="V810" i="26" s="1"/>
  <c r="L810" i="26"/>
  <c r="X810" i="26"/>
  <c r="M809" i="26"/>
  <c r="BL808" i="26"/>
  <c r="E1089" i="55"/>
  <c r="AL543" i="55"/>
  <c r="AL809" i="26" l="1"/>
  <c r="AM809" i="26" s="1"/>
  <c r="AU809" i="26" s="1"/>
  <c r="BL809" i="26"/>
  <c r="AT809" i="26"/>
  <c r="G810" i="26"/>
  <c r="K810" i="26"/>
  <c r="M810" i="26" s="1"/>
  <c r="F810" i="26"/>
  <c r="R810" i="26" s="1"/>
  <c r="AO810" i="26"/>
  <c r="H810" i="26"/>
  <c r="AV808" i="55"/>
  <c r="BT808" i="26"/>
  <c r="N809" i="26"/>
  <c r="AJ809" i="26"/>
  <c r="AK809" i="26" s="1"/>
  <c r="AP810" i="26"/>
  <c r="BK810" i="26"/>
  <c r="E811" i="26"/>
  <c r="U810" i="26"/>
  <c r="AF810" i="26" s="1"/>
  <c r="AN810" i="26" s="1"/>
  <c r="D810" i="26"/>
  <c r="AS810" i="26"/>
  <c r="BJ810" i="26" s="1"/>
  <c r="O1089" i="55"/>
  <c r="Z1089" i="55"/>
  <c r="AD1089" i="55"/>
  <c r="AG1089" i="55"/>
  <c r="AI1089" i="55"/>
  <c r="Q1089" i="55"/>
  <c r="P1089" i="55"/>
  <c r="K1089" i="55"/>
  <c r="AF1089" i="55"/>
  <c r="AL1089" i="55"/>
  <c r="AO1089" i="55"/>
  <c r="AK1089" i="55"/>
  <c r="M1089" i="55"/>
  <c r="B1089" i="55"/>
  <c r="A1089" i="55"/>
  <c r="AT1089" i="55"/>
  <c r="F1089" i="55"/>
  <c r="AX1089" i="55"/>
  <c r="X1089" i="55"/>
  <c r="H1089" i="55"/>
  <c r="V1089" i="55"/>
  <c r="G1089" i="55"/>
  <c r="AW1089" i="55"/>
  <c r="C1089" i="55"/>
  <c r="U1089" i="55"/>
  <c r="AN1089" i="55"/>
  <c r="I1089" i="55"/>
  <c r="W1089" i="55"/>
  <c r="L1089" i="55"/>
  <c r="AM1089" i="55"/>
  <c r="S1089" i="55"/>
  <c r="AB1089" i="55"/>
  <c r="AC1089" i="55"/>
  <c r="AH1089" i="55"/>
  <c r="AQ1089" i="55"/>
  <c r="N1089" i="55"/>
  <c r="D1089" i="55"/>
  <c r="AL542" i="55"/>
  <c r="N810" i="26" l="1"/>
  <c r="AJ810" i="26"/>
  <c r="AK810" i="26" s="1"/>
  <c r="AT810" i="26"/>
  <c r="W811" i="26"/>
  <c r="H811" i="26"/>
  <c r="L811" i="26"/>
  <c r="Q811" i="26"/>
  <c r="B811" i="26"/>
  <c r="A811" i="26"/>
  <c r="C811" i="26"/>
  <c r="E812" i="26" s="1"/>
  <c r="D811" i="26"/>
  <c r="K811" i="26"/>
  <c r="M811" i="26" s="1"/>
  <c r="AJ811" i="26" s="1"/>
  <c r="AK811" i="26" s="1"/>
  <c r="G811" i="26"/>
  <c r="O811" i="26"/>
  <c r="S811" i="26" s="1"/>
  <c r="T811" i="26" s="1"/>
  <c r="BL811" i="26" s="1"/>
  <c r="P811" i="26"/>
  <c r="F811" i="26"/>
  <c r="R811" i="26" s="1"/>
  <c r="O810" i="26"/>
  <c r="P810" i="26"/>
  <c r="AV809" i="55"/>
  <c r="BT809" i="26"/>
  <c r="E1090" i="55"/>
  <c r="AL541" i="55"/>
  <c r="N811" i="26" l="1"/>
  <c r="AL810" i="26"/>
  <c r="AM810" i="26" s="1"/>
  <c r="AU810" i="26" s="1"/>
  <c r="AL811" i="26"/>
  <c r="AM811" i="26" s="1"/>
  <c r="AU811" i="26" s="1"/>
  <c r="V811" i="26"/>
  <c r="X811" i="26"/>
  <c r="X812" i="26" s="1"/>
  <c r="BK812" i="26" s="1"/>
  <c r="AP811" i="26"/>
  <c r="AP812" i="26" s="1"/>
  <c r="U811" i="26"/>
  <c r="AF811" i="26" s="1"/>
  <c r="AN811" i="26" s="1"/>
  <c r="AS811" i="26"/>
  <c r="BJ811" i="26" s="1"/>
  <c r="W812" i="26"/>
  <c r="C812" i="26"/>
  <c r="A812" i="26"/>
  <c r="Q812" i="26"/>
  <c r="B812" i="26"/>
  <c r="K812" i="26" s="1"/>
  <c r="H812" i="26"/>
  <c r="L812" i="26"/>
  <c r="F812" i="26"/>
  <c r="D812" i="26"/>
  <c r="O812" i="26" s="1"/>
  <c r="V812" i="26"/>
  <c r="G812" i="26"/>
  <c r="U812" i="26"/>
  <c r="AF812" i="26" s="1"/>
  <c r="AN812" i="26" s="1"/>
  <c r="AS812" i="26"/>
  <c r="BJ812" i="26" s="1"/>
  <c r="P812" i="26"/>
  <c r="S810" i="26"/>
  <c r="T810" i="26" s="1"/>
  <c r="BC810" i="26" s="1"/>
  <c r="O1090" i="55"/>
  <c r="Z1090" i="55"/>
  <c r="AI1090" i="55"/>
  <c r="Q1090" i="55"/>
  <c r="K1090" i="55"/>
  <c r="P1090" i="55"/>
  <c r="AK1090" i="55"/>
  <c r="L1090" i="55"/>
  <c r="X1090" i="55"/>
  <c r="AC1090" i="55"/>
  <c r="W1090" i="55"/>
  <c r="B1090" i="55"/>
  <c r="I1090" i="55"/>
  <c r="N1090" i="55"/>
  <c r="AN1090" i="55"/>
  <c r="A1090" i="55"/>
  <c r="V1090" i="55"/>
  <c r="U1090" i="55"/>
  <c r="G1090" i="55"/>
  <c r="AM1090" i="55"/>
  <c r="D1090" i="55"/>
  <c r="AH1090" i="55"/>
  <c r="AT1090" i="55"/>
  <c r="AX1090" i="55"/>
  <c r="H1090" i="55"/>
  <c r="C1090" i="55"/>
  <c r="AQ1090" i="55"/>
  <c r="AW1090" i="55"/>
  <c r="M1090" i="55"/>
  <c r="F1090" i="55"/>
  <c r="S1090" i="55"/>
  <c r="AB1090" i="55"/>
  <c r="AD1090" i="55"/>
  <c r="AL1090" i="55"/>
  <c r="AO1090" i="55"/>
  <c r="AF1090" i="55"/>
  <c r="AG1090" i="55"/>
  <c r="AL540" i="55"/>
  <c r="BC811" i="26" l="1"/>
  <c r="R812" i="26"/>
  <c r="BK811" i="26"/>
  <c r="M812" i="26"/>
  <c r="AJ812" i="26" s="1"/>
  <c r="AK812" i="26" s="1"/>
  <c r="AO811" i="26"/>
  <c r="AT811" i="26" s="1"/>
  <c r="E813" i="26"/>
  <c r="BL810" i="26"/>
  <c r="AO812" i="26"/>
  <c r="AT812" i="26" s="1"/>
  <c r="E1091" i="55"/>
  <c r="AL539" i="55"/>
  <c r="N812" i="26" l="1"/>
  <c r="AL812" i="26"/>
  <c r="AM812" i="26" s="1"/>
  <c r="AU812" i="26" s="1"/>
  <c r="S812" i="26"/>
  <c r="T812" i="26" s="1"/>
  <c r="BL812" i="26" s="1"/>
  <c r="AV810" i="55"/>
  <c r="BT810" i="26"/>
  <c r="H813" i="26"/>
  <c r="L813" i="26"/>
  <c r="A813" i="26"/>
  <c r="Q813" i="26"/>
  <c r="C813" i="26"/>
  <c r="U813" i="26" s="1"/>
  <c r="B813" i="26"/>
  <c r="D813" i="26" s="1"/>
  <c r="W813" i="26"/>
  <c r="O1091" i="55"/>
  <c r="AI1091" i="55"/>
  <c r="Q1091" i="55"/>
  <c r="P1091" i="55"/>
  <c r="K1091" i="55"/>
  <c r="Z1091" i="55"/>
  <c r="AK1091" i="55"/>
  <c r="AL1091" i="55"/>
  <c r="AD1091" i="55"/>
  <c r="AO1091" i="55"/>
  <c r="AN1091" i="55"/>
  <c r="I1091" i="55"/>
  <c r="AH1091" i="55"/>
  <c r="L1091" i="55"/>
  <c r="V1091" i="55"/>
  <c r="N1091" i="55"/>
  <c r="AC1091" i="55"/>
  <c r="AW1091" i="55"/>
  <c r="AX1091" i="55"/>
  <c r="AB1091" i="55"/>
  <c r="U1091" i="55"/>
  <c r="G1091" i="55"/>
  <c r="AM1091" i="55"/>
  <c r="AQ1091" i="55"/>
  <c r="AT1091" i="55"/>
  <c r="C1091" i="55"/>
  <c r="W1091" i="55"/>
  <c r="X1091" i="55"/>
  <c r="B1091" i="55"/>
  <c r="H1091" i="55"/>
  <c r="F1091" i="55"/>
  <c r="M1091" i="55"/>
  <c r="D1091" i="55"/>
  <c r="A1091" i="55"/>
  <c r="S1091" i="55"/>
  <c r="AG1091" i="55"/>
  <c r="AF1091" i="55"/>
  <c r="AL538" i="55"/>
  <c r="BC812" i="26" l="1"/>
  <c r="K813" i="26"/>
  <c r="M813" i="26" s="1"/>
  <c r="G813" i="26"/>
  <c r="AP813" i="26"/>
  <c r="P813" i="26"/>
  <c r="F813" i="26"/>
  <c r="R813" i="26" s="1"/>
  <c r="AV811" i="55"/>
  <c r="BT811" i="26"/>
  <c r="X813" i="26"/>
  <c r="AF813" i="26"/>
  <c r="AN813" i="26" s="1"/>
  <c r="V813" i="26"/>
  <c r="AO813" i="26" s="1"/>
  <c r="E814" i="26"/>
  <c r="AS813" i="26"/>
  <c r="BJ813" i="26" s="1"/>
  <c r="O813" i="26"/>
  <c r="E1092" i="55"/>
  <c r="AL537" i="55"/>
  <c r="AL813" i="26" l="1"/>
  <c r="AM813" i="26" s="1"/>
  <c r="AU813" i="26" s="1"/>
  <c r="S813" i="26"/>
  <c r="T813" i="26" s="1"/>
  <c r="BC813" i="26" s="1"/>
  <c r="A814" i="26"/>
  <c r="AO814" i="26"/>
  <c r="C814" i="26"/>
  <c r="Q814" i="26"/>
  <c r="W814" i="26"/>
  <c r="H814" i="26"/>
  <c r="L814" i="26"/>
  <c r="B814" i="26"/>
  <c r="AP814" i="26" s="1"/>
  <c r="V814" i="26"/>
  <c r="U814" i="26"/>
  <c r="AF814" i="26" s="1"/>
  <c r="AN814" i="26" s="1"/>
  <c r="BK813" i="26"/>
  <c r="AT813" i="26"/>
  <c r="BT812" i="26"/>
  <c r="AV812" i="55"/>
  <c r="AJ813" i="26"/>
  <c r="AK813" i="26" s="1"/>
  <c r="N813" i="26"/>
  <c r="AF1092" i="55"/>
  <c r="O1092" i="55"/>
  <c r="AG1092" i="55"/>
  <c r="Q1092" i="55"/>
  <c r="AI1092" i="55"/>
  <c r="K1092" i="55"/>
  <c r="P1092" i="55"/>
  <c r="AD1092" i="55"/>
  <c r="Z1092" i="55"/>
  <c r="AK1092" i="55"/>
  <c r="AL1092" i="55"/>
  <c r="AO1092" i="55"/>
  <c r="AW1092" i="55"/>
  <c r="AC1092" i="55"/>
  <c r="W1092" i="55"/>
  <c r="M1092" i="55"/>
  <c r="D1092" i="55"/>
  <c r="AM1092" i="55"/>
  <c r="N1092" i="55"/>
  <c r="AX1092" i="55"/>
  <c r="X1092" i="55"/>
  <c r="C1092" i="55"/>
  <c r="A1092" i="55"/>
  <c r="H1092" i="55"/>
  <c r="G1092" i="55"/>
  <c r="L1092" i="55"/>
  <c r="U1092" i="55"/>
  <c r="AQ1092" i="55"/>
  <c r="AT1092" i="55"/>
  <c r="V1092" i="55"/>
  <c r="AN1092" i="55"/>
  <c r="AB1092" i="55"/>
  <c r="S1092" i="55"/>
  <c r="B1092" i="55"/>
  <c r="F1092" i="55"/>
  <c r="AH1092" i="55"/>
  <c r="I1092" i="55"/>
  <c r="AL536" i="55"/>
  <c r="AT814" i="26" l="1"/>
  <c r="K814" i="26"/>
  <c r="M814" i="26" s="1"/>
  <c r="O814" i="26"/>
  <c r="D814" i="26"/>
  <c r="X814" i="26"/>
  <c r="BK814" i="26" s="1"/>
  <c r="G814" i="26"/>
  <c r="F814" i="26"/>
  <c r="R814" i="26" s="1"/>
  <c r="AS814" i="26"/>
  <c r="BJ814" i="26" s="1"/>
  <c r="E815" i="26"/>
  <c r="BL813" i="26"/>
  <c r="E1093" i="55"/>
  <c r="AL535" i="55"/>
  <c r="P814" i="26" l="1"/>
  <c r="AJ814" i="26"/>
  <c r="AK814" i="26" s="1"/>
  <c r="N814" i="26"/>
  <c r="BT813" i="26"/>
  <c r="AV813" i="55"/>
  <c r="L815" i="26"/>
  <c r="U815" i="26"/>
  <c r="AO815" i="26"/>
  <c r="A815" i="26"/>
  <c r="F815" i="26"/>
  <c r="Q815" i="26"/>
  <c r="C815" i="26"/>
  <c r="R815" i="26"/>
  <c r="W815" i="26"/>
  <c r="H815" i="26"/>
  <c r="B815" i="26"/>
  <c r="K815" i="26" s="1"/>
  <c r="M815" i="26" s="1"/>
  <c r="D815" i="26"/>
  <c r="X815" i="26"/>
  <c r="V815" i="26"/>
  <c r="S814" i="26"/>
  <c r="T814" i="26" s="1"/>
  <c r="BC814" i="26" s="1"/>
  <c r="O1093" i="55"/>
  <c r="AF1093" i="55"/>
  <c r="AO1093" i="55"/>
  <c r="AI1093" i="55"/>
  <c r="Q1093" i="55"/>
  <c r="P1093" i="55"/>
  <c r="K1093" i="55"/>
  <c r="Z1093" i="55"/>
  <c r="AD1093" i="55"/>
  <c r="AL1093" i="55"/>
  <c r="AG1093" i="55"/>
  <c r="AK1093" i="55"/>
  <c r="AX1093" i="55"/>
  <c r="X1093" i="55"/>
  <c r="AQ1093" i="55"/>
  <c r="AT1093" i="55"/>
  <c r="B1093" i="55"/>
  <c r="AM1093" i="55"/>
  <c r="A1093" i="55"/>
  <c r="G1093" i="55"/>
  <c r="W1093" i="55"/>
  <c r="D1093" i="55"/>
  <c r="I1093" i="55"/>
  <c r="L1093" i="55"/>
  <c r="M1093" i="55"/>
  <c r="V1093" i="55"/>
  <c r="H1093" i="55"/>
  <c r="F1093" i="55"/>
  <c r="U1093" i="55"/>
  <c r="AB1093" i="55"/>
  <c r="S1093" i="55"/>
  <c r="N1093" i="55"/>
  <c r="AC1093" i="55"/>
  <c r="AN1093" i="55"/>
  <c r="AW1093" i="55"/>
  <c r="C1093" i="55"/>
  <c r="AH1093" i="55"/>
  <c r="AL534" i="55"/>
  <c r="AL814" i="26" l="1"/>
  <c r="AM814" i="26" s="1"/>
  <c r="AU814" i="26" s="1"/>
  <c r="AF815" i="26"/>
  <c r="AN815" i="26" s="1"/>
  <c r="AJ815" i="26"/>
  <c r="AK815" i="26" s="1"/>
  <c r="N815" i="26"/>
  <c r="BL814" i="26"/>
  <c r="E816" i="26"/>
  <c r="BK815" i="26"/>
  <c r="G815" i="26"/>
  <c r="O815" i="26"/>
  <c r="P815" i="26"/>
  <c r="AP815" i="26"/>
  <c r="AT815" i="26" s="1"/>
  <c r="AS815" i="26"/>
  <c r="BJ815" i="26" s="1"/>
  <c r="E1094" i="55"/>
  <c r="AL533" i="55"/>
  <c r="AL815" i="26" l="1"/>
  <c r="AM815" i="26" s="1"/>
  <c r="AU815" i="26" s="1"/>
  <c r="S815" i="26"/>
  <c r="T815" i="26" s="1"/>
  <c r="BC815" i="26" s="1"/>
  <c r="AV814" i="55"/>
  <c r="BT814" i="26"/>
  <c r="C816" i="26"/>
  <c r="H816" i="26"/>
  <c r="AS816" i="26"/>
  <c r="BJ816" i="26" s="1"/>
  <c r="Q816" i="26"/>
  <c r="B816" i="26"/>
  <c r="L816" i="26"/>
  <c r="V816" i="26"/>
  <c r="A816" i="26"/>
  <c r="U816" i="26"/>
  <c r="W816" i="26"/>
  <c r="O1094" i="55"/>
  <c r="AG1094" i="55"/>
  <c r="AI1094" i="55"/>
  <c r="K1094" i="55"/>
  <c r="Q1094" i="55"/>
  <c r="P1094" i="55"/>
  <c r="Z1094" i="55"/>
  <c r="AL1094" i="55"/>
  <c r="AO1094" i="55"/>
  <c r="AD1094" i="55"/>
  <c r="AF1094" i="55"/>
  <c r="AK1094" i="55"/>
  <c r="M1094" i="55"/>
  <c r="AT1094" i="55"/>
  <c r="L1094" i="55"/>
  <c r="AQ1094" i="55"/>
  <c r="X1094" i="55"/>
  <c r="G1094" i="55"/>
  <c r="AX1094" i="55"/>
  <c r="AN1094" i="55"/>
  <c r="AC1094" i="55"/>
  <c r="C1094" i="55"/>
  <c r="D1094" i="55"/>
  <c r="V1094" i="55"/>
  <c r="I1094" i="55"/>
  <c r="AB1094" i="55"/>
  <c r="AM1094" i="55"/>
  <c r="N1094" i="55"/>
  <c r="H1094" i="55"/>
  <c r="U1094" i="55"/>
  <c r="S1094" i="55"/>
  <c r="B1094" i="55"/>
  <c r="W1094" i="55"/>
  <c r="AH1094" i="55"/>
  <c r="AW1094" i="55"/>
  <c r="A1094" i="55"/>
  <c r="F1094" i="55"/>
  <c r="AL532" i="55"/>
  <c r="AO816" i="26" l="1"/>
  <c r="D816" i="26"/>
  <c r="K816" i="26"/>
  <c r="M816" i="26" s="1"/>
  <c r="X816" i="26"/>
  <c r="BK816" i="26" s="1"/>
  <c r="G816" i="26"/>
  <c r="F816" i="26"/>
  <c r="AF816" i="26"/>
  <c r="AN816" i="26" s="1"/>
  <c r="AP816" i="26"/>
  <c r="R816" i="26"/>
  <c r="E817" i="26"/>
  <c r="BL815" i="26"/>
  <c r="E1095" i="55"/>
  <c r="AL531" i="55"/>
  <c r="B817" i="26" l="1"/>
  <c r="D817" i="26" s="1"/>
  <c r="Q817" i="26"/>
  <c r="W817" i="26"/>
  <c r="P817" i="26"/>
  <c r="K817" i="26"/>
  <c r="C817" i="26"/>
  <c r="U817" i="26" s="1"/>
  <c r="AF817" i="26" s="1"/>
  <c r="AN817" i="26" s="1"/>
  <c r="G817" i="26"/>
  <c r="H817" i="26"/>
  <c r="O817" i="26"/>
  <c r="L817" i="26"/>
  <c r="F817" i="26"/>
  <c r="A817" i="26"/>
  <c r="X817" i="26"/>
  <c r="BT815" i="26"/>
  <c r="AV815" i="55"/>
  <c r="O816" i="26"/>
  <c r="N816" i="26"/>
  <c r="AJ816" i="26"/>
  <c r="AK816" i="26" s="1"/>
  <c r="AS817" i="26"/>
  <c r="BJ817" i="26" s="1"/>
  <c r="P816" i="26"/>
  <c r="AT816" i="26"/>
  <c r="O1095" i="55"/>
  <c r="Z1095" i="55"/>
  <c r="AI1095" i="55"/>
  <c r="Q1095" i="55"/>
  <c r="P1095" i="55"/>
  <c r="K1095" i="55"/>
  <c r="AL1095" i="55"/>
  <c r="AF1095" i="55"/>
  <c r="AD1095" i="55"/>
  <c r="AO1095" i="55"/>
  <c r="AG1095" i="55"/>
  <c r="AM1095" i="55"/>
  <c r="V1095" i="55"/>
  <c r="F1095" i="55"/>
  <c r="A1095" i="55"/>
  <c r="D1095" i="55"/>
  <c r="AB1095" i="55"/>
  <c r="N1095" i="55"/>
  <c r="B1095" i="55"/>
  <c r="I1095" i="55"/>
  <c r="H1095" i="55"/>
  <c r="L1095" i="55"/>
  <c r="S1095" i="55"/>
  <c r="AW1095" i="55"/>
  <c r="G1095" i="55"/>
  <c r="M1095" i="55"/>
  <c r="AT1095" i="55"/>
  <c r="AC1095" i="55"/>
  <c r="U1095" i="55"/>
  <c r="W1095" i="55"/>
  <c r="AX1095" i="55"/>
  <c r="C1095" i="55"/>
  <c r="AQ1095" i="55"/>
  <c r="AH1095" i="55"/>
  <c r="AN1095" i="55"/>
  <c r="X1095" i="55"/>
  <c r="AK1095" i="55"/>
  <c r="AL530" i="55"/>
  <c r="AL816" i="26" l="1"/>
  <c r="AM816" i="26" s="1"/>
  <c r="AU816" i="26" s="1"/>
  <c r="R817" i="26"/>
  <c r="AL817" i="26"/>
  <c r="AP817" i="26"/>
  <c r="E818" i="26"/>
  <c r="S816" i="26"/>
  <c r="T816" i="26" s="1"/>
  <c r="BC816" i="26" s="1"/>
  <c r="V817" i="26"/>
  <c r="AO817" i="26" s="1"/>
  <c r="M817" i="26"/>
  <c r="E1096" i="55"/>
  <c r="AL529" i="55"/>
  <c r="AT817" i="26" l="1"/>
  <c r="AM817" i="26"/>
  <c r="AU817" i="26" s="1"/>
  <c r="S817" i="26"/>
  <c r="T817" i="26" s="1"/>
  <c r="BL817" i="26" s="1"/>
  <c r="BL816" i="26"/>
  <c r="BK817" i="26"/>
  <c r="N817" i="26"/>
  <c r="AJ817" i="26"/>
  <c r="AK817" i="26" s="1"/>
  <c r="H818" i="26"/>
  <c r="Q818" i="26"/>
  <c r="L818" i="26"/>
  <c r="W818" i="26"/>
  <c r="A818" i="26"/>
  <c r="B818" i="26"/>
  <c r="C818" i="26"/>
  <c r="O1096" i="55"/>
  <c r="AF1096" i="55"/>
  <c r="AG1096" i="55"/>
  <c r="Q1096" i="55"/>
  <c r="AI1096" i="55"/>
  <c r="P1096" i="55"/>
  <c r="K1096" i="55"/>
  <c r="AD1096" i="55"/>
  <c r="AK1096" i="55"/>
  <c r="AL1096" i="55"/>
  <c r="AO1096" i="55"/>
  <c r="Z1096" i="55"/>
  <c r="C1096" i="55"/>
  <c r="N1096" i="55"/>
  <c r="W1096" i="55"/>
  <c r="I1096" i="55"/>
  <c r="H1096" i="55"/>
  <c r="AT1096" i="55"/>
  <c r="AB1096" i="55"/>
  <c r="AC1096" i="55"/>
  <c r="S1096" i="55"/>
  <c r="U1096" i="55"/>
  <c r="AN1096" i="55"/>
  <c r="AM1096" i="55"/>
  <c r="AH1096" i="55"/>
  <c r="L1096" i="55"/>
  <c r="AQ1096" i="55"/>
  <c r="AX1096" i="55"/>
  <c r="F1096" i="55"/>
  <c r="M1096" i="55"/>
  <c r="A1096" i="55"/>
  <c r="AW1096" i="55"/>
  <c r="G1096" i="55"/>
  <c r="V1096" i="55"/>
  <c r="X1096" i="55"/>
  <c r="B1096" i="55"/>
  <c r="D1096" i="55"/>
  <c r="AL528" i="55"/>
  <c r="D818" i="26" l="1"/>
  <c r="AP818" i="26"/>
  <c r="K818" i="26"/>
  <c r="M818" i="26" s="1"/>
  <c r="N818" i="26" s="1"/>
  <c r="BC817" i="26"/>
  <c r="AV816" i="55"/>
  <c r="BT816" i="26"/>
  <c r="AO818" i="26"/>
  <c r="AS818" i="26"/>
  <c r="BJ818" i="26" s="1"/>
  <c r="X818" i="26"/>
  <c r="G818" i="26"/>
  <c r="U818" i="26"/>
  <c r="AF818" i="26" s="1"/>
  <c r="AN818" i="26" s="1"/>
  <c r="E819" i="26"/>
  <c r="V818" i="26"/>
  <c r="F818" i="26"/>
  <c r="R818" i="26" s="1"/>
  <c r="O818" i="26"/>
  <c r="P818" i="26"/>
  <c r="E1097" i="55"/>
  <c r="AL527" i="55"/>
  <c r="AT818" i="26" l="1"/>
  <c r="AL818" i="26"/>
  <c r="AM818" i="26" s="1"/>
  <c r="AU818" i="26" s="1"/>
  <c r="AJ818" i="26"/>
  <c r="AK818" i="26" s="1"/>
  <c r="S818" i="26"/>
  <c r="T818" i="26" s="1"/>
  <c r="BC818" i="26" s="1"/>
  <c r="AV817" i="55"/>
  <c r="BT817" i="26"/>
  <c r="B819" i="26"/>
  <c r="Q819" i="26"/>
  <c r="K819" i="26"/>
  <c r="W819" i="26"/>
  <c r="A819" i="26"/>
  <c r="H819" i="26"/>
  <c r="G819" i="26"/>
  <c r="L819" i="26"/>
  <c r="F819" i="26"/>
  <c r="R819" i="26" s="1"/>
  <c r="C819" i="26"/>
  <c r="BK818" i="26"/>
  <c r="O1097" i="55"/>
  <c r="AL1097" i="55"/>
  <c r="AI1097" i="55"/>
  <c r="Q1097" i="55"/>
  <c r="P1097" i="55"/>
  <c r="K1097" i="55"/>
  <c r="Z1097" i="55"/>
  <c r="AK1097" i="55"/>
  <c r="AO1097" i="55"/>
  <c r="AG1097" i="55"/>
  <c r="AD1097" i="55"/>
  <c r="AF1097" i="55"/>
  <c r="U1097" i="55"/>
  <c r="AC1097" i="55"/>
  <c r="I1097" i="55"/>
  <c r="F1097" i="55"/>
  <c r="AT1097" i="55"/>
  <c r="N1097" i="55"/>
  <c r="H1097" i="55"/>
  <c r="L1097" i="55"/>
  <c r="AQ1097" i="55"/>
  <c r="AX1097" i="55"/>
  <c r="V1097" i="55"/>
  <c r="B1097" i="55"/>
  <c r="D1097" i="55"/>
  <c r="G1097" i="55"/>
  <c r="X1097" i="55"/>
  <c r="C1097" i="55"/>
  <c r="AB1097" i="55"/>
  <c r="S1097" i="55"/>
  <c r="AM1097" i="55"/>
  <c r="AN1097" i="55"/>
  <c r="W1097" i="55"/>
  <c r="AH1097" i="55"/>
  <c r="AW1097" i="55"/>
  <c r="A1097" i="55"/>
  <c r="M1097" i="55"/>
  <c r="AL526" i="55"/>
  <c r="V819" i="26" l="1"/>
  <c r="AO819" i="26" s="1"/>
  <c r="AS819" i="26"/>
  <c r="BJ819" i="26" s="1"/>
  <c r="U819" i="26"/>
  <c r="AF819" i="26" s="1"/>
  <c r="AN819" i="26" s="1"/>
  <c r="M819" i="26"/>
  <c r="D819" i="26"/>
  <c r="E820" i="26" s="1"/>
  <c r="AP819" i="26"/>
  <c r="X819" i="26"/>
  <c r="BK819" i="26" s="1"/>
  <c r="BL818" i="26"/>
  <c r="E1098" i="55"/>
  <c r="AL525" i="55"/>
  <c r="W820" i="26" l="1"/>
  <c r="C820" i="26"/>
  <c r="A820" i="26"/>
  <c r="L820" i="26"/>
  <c r="B820" i="26"/>
  <c r="F820" i="26" s="1"/>
  <c r="H820" i="26"/>
  <c r="Q820" i="26"/>
  <c r="V820" i="26"/>
  <c r="K820" i="26"/>
  <c r="M820" i="26" s="1"/>
  <c r="N820" i="26" s="1"/>
  <c r="X820" i="26"/>
  <c r="D820" i="26"/>
  <c r="BT818" i="26"/>
  <c r="AV818" i="55"/>
  <c r="P819" i="26"/>
  <c r="O819" i="26"/>
  <c r="S819" i="26" s="1"/>
  <c r="T819" i="26" s="1"/>
  <c r="BC819" i="26" s="1"/>
  <c r="AJ819" i="26"/>
  <c r="AK819" i="26" s="1"/>
  <c r="N819" i="26"/>
  <c r="AT819" i="26"/>
  <c r="BK820" i="26"/>
  <c r="P820" i="26"/>
  <c r="O820" i="26"/>
  <c r="O1098" i="55"/>
  <c r="AK1098" i="55"/>
  <c r="AI1098" i="55"/>
  <c r="Q1098" i="55"/>
  <c r="P1098" i="55"/>
  <c r="K1098" i="55"/>
  <c r="AG1098" i="55"/>
  <c r="AO1098" i="55"/>
  <c r="Z1098" i="55"/>
  <c r="AL1098" i="55"/>
  <c r="AM1098" i="55"/>
  <c r="W1098" i="55"/>
  <c r="AT1098" i="55"/>
  <c r="AH1098" i="55"/>
  <c r="A1098" i="55"/>
  <c r="AW1098" i="55"/>
  <c r="AB1098" i="55"/>
  <c r="AX1098" i="55"/>
  <c r="M1098" i="55"/>
  <c r="D1098" i="55"/>
  <c r="X1098" i="55"/>
  <c r="N1098" i="55"/>
  <c r="H1098" i="55"/>
  <c r="B1098" i="55"/>
  <c r="L1098" i="55"/>
  <c r="I1098" i="55"/>
  <c r="AQ1098" i="55"/>
  <c r="C1098" i="55"/>
  <c r="AN1098" i="55"/>
  <c r="S1098" i="55"/>
  <c r="AC1098" i="55"/>
  <c r="U1098" i="55"/>
  <c r="V1098" i="55"/>
  <c r="F1098" i="55"/>
  <c r="G1098" i="55"/>
  <c r="AF1098" i="55"/>
  <c r="AD1098" i="55"/>
  <c r="AL524" i="55"/>
  <c r="AL819" i="26" l="1"/>
  <c r="AM819" i="26" s="1"/>
  <c r="AU819" i="26" s="1"/>
  <c r="AJ820" i="26"/>
  <c r="AK820" i="26" s="1"/>
  <c r="E821" i="26"/>
  <c r="A821" i="26" s="1"/>
  <c r="AO820" i="26"/>
  <c r="U820" i="26"/>
  <c r="AF820" i="26" s="1"/>
  <c r="AN820" i="26" s="1"/>
  <c r="AS820" i="26"/>
  <c r="BJ820" i="26" s="1"/>
  <c r="BL819" i="26"/>
  <c r="AP820" i="26"/>
  <c r="R820" i="26"/>
  <c r="AL820" i="26" s="1"/>
  <c r="G820" i="26"/>
  <c r="E1099" i="55"/>
  <c r="AL523" i="55"/>
  <c r="C821" i="26" l="1"/>
  <c r="G821" i="26"/>
  <c r="AM820" i="26"/>
  <c r="AU820" i="26" s="1"/>
  <c r="W821" i="26"/>
  <c r="L821" i="26"/>
  <c r="B821" i="26"/>
  <c r="D821" i="26" s="1"/>
  <c r="AP821" i="26"/>
  <c r="V821" i="26"/>
  <c r="O821" i="26"/>
  <c r="H821" i="26"/>
  <c r="X821" i="26"/>
  <c r="BK821" i="26" s="1"/>
  <c r="AT820" i="26"/>
  <c r="Q821" i="26"/>
  <c r="S820" i="26"/>
  <c r="T820" i="26" s="1"/>
  <c r="BC820" i="26" s="1"/>
  <c r="P821" i="26"/>
  <c r="AO821" i="26"/>
  <c r="AV819" i="55"/>
  <c r="BT819" i="26"/>
  <c r="O1099" i="55"/>
  <c r="AG1099" i="55"/>
  <c r="AI1099" i="55"/>
  <c r="Q1099" i="55"/>
  <c r="K1099" i="55"/>
  <c r="P1099" i="55"/>
  <c r="Z1099" i="55"/>
  <c r="AL1099" i="55"/>
  <c r="AK1099" i="55"/>
  <c r="AF1099" i="55"/>
  <c r="AO1099" i="55"/>
  <c r="AD1099" i="55"/>
  <c r="B1099" i="55"/>
  <c r="AH1099" i="55"/>
  <c r="AW1099" i="55"/>
  <c r="H1099" i="55"/>
  <c r="AQ1099" i="55"/>
  <c r="C1099" i="55"/>
  <c r="AN1099" i="55"/>
  <c r="N1099" i="55"/>
  <c r="AB1099" i="55"/>
  <c r="AT1099" i="55"/>
  <c r="S1099" i="55"/>
  <c r="W1099" i="55"/>
  <c r="F1099" i="55"/>
  <c r="X1099" i="55"/>
  <c r="L1099" i="55"/>
  <c r="AX1099" i="55"/>
  <c r="U1099" i="55"/>
  <c r="A1099" i="55"/>
  <c r="I1099" i="55"/>
  <c r="M1099" i="55"/>
  <c r="D1099" i="55"/>
  <c r="AC1099" i="55"/>
  <c r="G1099" i="55"/>
  <c r="AM1099" i="55"/>
  <c r="V1099" i="55"/>
  <c r="AL522" i="55"/>
  <c r="U821" i="26" l="1"/>
  <c r="AF821" i="26" s="1"/>
  <c r="AN821" i="26" s="1"/>
  <c r="E822" i="26"/>
  <c r="F821" i="26"/>
  <c r="R821" i="26" s="1"/>
  <c r="AT821" i="26"/>
  <c r="BL820" i="26"/>
  <c r="K821" i="26"/>
  <c r="M821" i="26" s="1"/>
  <c r="AV820" i="55"/>
  <c r="BT820" i="26"/>
  <c r="E1100" i="55"/>
  <c r="AL521" i="55"/>
  <c r="AL821" i="26" l="1"/>
  <c r="S821" i="26"/>
  <c r="T821" i="26" s="1"/>
  <c r="N821" i="26"/>
  <c r="AJ821" i="26"/>
  <c r="AK821" i="26" s="1"/>
  <c r="L822" i="26"/>
  <c r="Q822" i="26"/>
  <c r="B822" i="26"/>
  <c r="H822" i="26"/>
  <c r="W822" i="26"/>
  <c r="C822" i="26"/>
  <c r="A822" i="26"/>
  <c r="O1100" i="55"/>
  <c r="AL1100" i="55"/>
  <c r="AI1100" i="55"/>
  <c r="Q1100" i="55"/>
  <c r="P1100" i="55"/>
  <c r="K1100" i="55"/>
  <c r="AG1100" i="55"/>
  <c r="AK1100" i="55"/>
  <c r="AF1100" i="55"/>
  <c r="AD1100" i="55"/>
  <c r="B1100" i="55"/>
  <c r="N1100" i="55"/>
  <c r="W1100" i="55"/>
  <c r="U1100" i="55"/>
  <c r="V1100" i="55"/>
  <c r="AH1100" i="55"/>
  <c r="S1100" i="55"/>
  <c r="F1100" i="55"/>
  <c r="C1100" i="55"/>
  <c r="D1100" i="55"/>
  <c r="M1100" i="55"/>
  <c r="G1100" i="55"/>
  <c r="I1100" i="55"/>
  <c r="X1100" i="55"/>
  <c r="AB1100" i="55"/>
  <c r="AX1100" i="55"/>
  <c r="AT1100" i="55"/>
  <c r="AC1100" i="55"/>
  <c r="H1100" i="55"/>
  <c r="AM1100" i="55"/>
  <c r="AN1100" i="55"/>
  <c r="L1100" i="55"/>
  <c r="AW1100" i="55"/>
  <c r="A1100" i="55"/>
  <c r="AQ1100" i="55"/>
  <c r="AO1100" i="55"/>
  <c r="Z1100" i="55"/>
  <c r="AL520" i="55"/>
  <c r="AM821" i="26" l="1"/>
  <c r="AU821" i="26" s="1"/>
  <c r="K822" i="26"/>
  <c r="M822" i="26" s="1"/>
  <c r="AP822" i="26"/>
  <c r="D822" i="26"/>
  <c r="BC821" i="26"/>
  <c r="BL821" i="26"/>
  <c r="U822" i="26"/>
  <c r="AF822" i="26" s="1"/>
  <c r="AN822" i="26" s="1"/>
  <c r="E823" i="26"/>
  <c r="AS822" i="26"/>
  <c r="BJ822" i="26" s="1"/>
  <c r="G822" i="26"/>
  <c r="F822" i="26"/>
  <c r="R822" i="26" s="1"/>
  <c r="V822" i="26"/>
  <c r="X822" i="26"/>
  <c r="E1101" i="55"/>
  <c r="AG1101" i="55" s="1"/>
  <c r="AL519" i="55"/>
  <c r="BK822" i="26" l="1"/>
  <c r="B823" i="26"/>
  <c r="F823" i="26"/>
  <c r="Q823" i="26"/>
  <c r="A823" i="26"/>
  <c r="W823" i="26"/>
  <c r="H823" i="26"/>
  <c r="L823" i="26"/>
  <c r="G823" i="26"/>
  <c r="C823" i="26"/>
  <c r="U823" i="26" s="1"/>
  <c r="AF823" i="26" s="1"/>
  <c r="AN823" i="26" s="1"/>
  <c r="O822" i="26"/>
  <c r="S822" i="26" s="1"/>
  <c r="T822" i="26" s="1"/>
  <c r="BL822" i="26" s="1"/>
  <c r="P822" i="26"/>
  <c r="N822" i="26"/>
  <c r="AJ822" i="26"/>
  <c r="AK822" i="26" s="1"/>
  <c r="V823" i="26"/>
  <c r="X823" i="26"/>
  <c r="BC822" i="26"/>
  <c r="BT821" i="26"/>
  <c r="AV821" i="55"/>
  <c r="AO822" i="26"/>
  <c r="AT822" i="26" s="1"/>
  <c r="BK823" i="26"/>
  <c r="O1101" i="55"/>
  <c r="AD1101" i="55"/>
  <c r="AL1101" i="55"/>
  <c r="AI1101" i="55"/>
  <c r="Q1101" i="55"/>
  <c r="P1101" i="55"/>
  <c r="K1101" i="55"/>
  <c r="AK1101" i="55"/>
  <c r="AF1101" i="55"/>
  <c r="AO1101" i="55"/>
  <c r="Z1101" i="55"/>
  <c r="AX1101" i="55"/>
  <c r="AH1101" i="55"/>
  <c r="D1101" i="55"/>
  <c r="AB1101" i="55"/>
  <c r="L1101" i="55"/>
  <c r="M1101" i="55"/>
  <c r="G1101" i="55"/>
  <c r="V1101" i="55"/>
  <c r="F1101" i="55"/>
  <c r="X1101" i="55"/>
  <c r="A1101" i="55"/>
  <c r="AM1101" i="55"/>
  <c r="AQ1101" i="55"/>
  <c r="W1101" i="55"/>
  <c r="AW1101" i="55"/>
  <c r="B1101" i="55"/>
  <c r="AN1101" i="55"/>
  <c r="AC1101" i="55"/>
  <c r="AT1101" i="55"/>
  <c r="S1101" i="55"/>
  <c r="I1101" i="55"/>
  <c r="U1101" i="55"/>
  <c r="C1101" i="55"/>
  <c r="H1101" i="55"/>
  <c r="N1101" i="55"/>
  <c r="AL518" i="55"/>
  <c r="AL822" i="26" l="1"/>
  <c r="AM822" i="26" s="1"/>
  <c r="AU822" i="26" s="1"/>
  <c r="AO823" i="26"/>
  <c r="AS823" i="26"/>
  <c r="BJ823" i="26" s="1"/>
  <c r="K823" i="26"/>
  <c r="M823" i="26" s="1"/>
  <c r="AP823" i="26"/>
  <c r="D823" i="26"/>
  <c r="AV822" i="55"/>
  <c r="BT822" i="26"/>
  <c r="R823" i="26"/>
  <c r="E1102" i="55"/>
  <c r="AL517" i="55"/>
  <c r="AJ823" i="26" l="1"/>
  <c r="AK823" i="26" s="1"/>
  <c r="N823" i="26"/>
  <c r="P823" i="26"/>
  <c r="O823" i="26"/>
  <c r="S823" i="26" s="1"/>
  <c r="T823" i="26" s="1"/>
  <c r="BC823" i="26" s="1"/>
  <c r="E824" i="26"/>
  <c r="AT823" i="26"/>
  <c r="O1102" i="55"/>
  <c r="AG1102" i="55"/>
  <c r="AI1102" i="55"/>
  <c r="Q1102" i="55"/>
  <c r="P1102" i="55"/>
  <c r="K1102" i="55"/>
  <c r="AO1102" i="55"/>
  <c r="AL1102" i="55"/>
  <c r="X1102" i="55"/>
  <c r="AW1102" i="55"/>
  <c r="W1102" i="55"/>
  <c r="AQ1102" i="55"/>
  <c r="C1102" i="55"/>
  <c r="AH1102" i="55"/>
  <c r="S1102" i="55"/>
  <c r="AN1102" i="55"/>
  <c r="AT1102" i="55"/>
  <c r="G1102" i="55"/>
  <c r="AX1102" i="55"/>
  <c r="H1102" i="55"/>
  <c r="AB1102" i="55"/>
  <c r="U1102" i="55"/>
  <c r="V1102" i="55"/>
  <c r="D1102" i="55"/>
  <c r="M1102" i="55"/>
  <c r="F1102" i="55"/>
  <c r="B1102" i="55"/>
  <c r="I1102" i="55"/>
  <c r="N1102" i="55"/>
  <c r="AM1102" i="55"/>
  <c r="L1102" i="55"/>
  <c r="AC1102" i="55"/>
  <c r="A1102" i="55"/>
  <c r="AD1102" i="55"/>
  <c r="Z1102" i="55"/>
  <c r="AF1102" i="55"/>
  <c r="AK1102" i="55"/>
  <c r="AL516" i="55"/>
  <c r="BL823" i="26" l="1"/>
  <c r="AL823" i="26"/>
  <c r="AM823" i="26" s="1"/>
  <c r="AU823" i="26" s="1"/>
  <c r="A824" i="26"/>
  <c r="C824" i="26"/>
  <c r="W824" i="26"/>
  <c r="F824" i="26"/>
  <c r="L824" i="26"/>
  <c r="AS824" i="26"/>
  <c r="BJ824" i="26" s="1"/>
  <c r="B824" i="26"/>
  <c r="G824" i="26" s="1"/>
  <c r="Q824" i="26"/>
  <c r="H824" i="26"/>
  <c r="U824" i="26"/>
  <c r="AF824" i="26" s="1"/>
  <c r="AN824" i="26" s="1"/>
  <c r="K824" i="26"/>
  <c r="M824" i="26" s="1"/>
  <c r="AV823" i="55"/>
  <c r="BT823" i="26"/>
  <c r="E1103" i="55"/>
  <c r="AL515" i="55"/>
  <c r="AJ824" i="26" l="1"/>
  <c r="AK824" i="26" s="1"/>
  <c r="N824" i="26"/>
  <c r="V824" i="26"/>
  <c r="AO824" i="26" s="1"/>
  <c r="E825" i="26"/>
  <c r="X824" i="26"/>
  <c r="BK824" i="26" s="1"/>
  <c r="R824" i="26"/>
  <c r="P824" i="26"/>
  <c r="AP824" i="26"/>
  <c r="D824" i="26"/>
  <c r="O1103" i="55"/>
  <c r="AK1103" i="55"/>
  <c r="AI1103" i="55"/>
  <c r="Q1103" i="55"/>
  <c r="P1103" i="55"/>
  <c r="K1103" i="55"/>
  <c r="AO1103" i="55"/>
  <c r="AL1103" i="55"/>
  <c r="AD1103" i="55"/>
  <c r="Z1103" i="55"/>
  <c r="N1103" i="55"/>
  <c r="M1103" i="55"/>
  <c r="G1103" i="55"/>
  <c r="B1103" i="55"/>
  <c r="X1103" i="55"/>
  <c r="A1103" i="55"/>
  <c r="H1103" i="55"/>
  <c r="AW1103" i="55"/>
  <c r="AM1103" i="55"/>
  <c r="AN1103" i="55"/>
  <c r="F1103" i="55"/>
  <c r="AQ1103" i="55"/>
  <c r="U1103" i="55"/>
  <c r="AT1103" i="55"/>
  <c r="S1103" i="55"/>
  <c r="AH1103" i="55"/>
  <c r="AB1103" i="55"/>
  <c r="D1103" i="55"/>
  <c r="V1103" i="55"/>
  <c r="AC1103" i="55"/>
  <c r="AX1103" i="55"/>
  <c r="W1103" i="55"/>
  <c r="L1103" i="55"/>
  <c r="C1103" i="55"/>
  <c r="I1103" i="55"/>
  <c r="AF1103" i="55"/>
  <c r="AG1103" i="55"/>
  <c r="AL514" i="55"/>
  <c r="O824" i="26" l="1"/>
  <c r="W825" i="26"/>
  <c r="B825" i="26"/>
  <c r="G825" i="26" s="1"/>
  <c r="AO825" i="26"/>
  <c r="L825" i="26"/>
  <c r="H825" i="26"/>
  <c r="A825" i="26"/>
  <c r="C825" i="26"/>
  <c r="V825" i="26" s="1"/>
  <c r="Q825" i="26"/>
  <c r="X825" i="26"/>
  <c r="BK825" i="26" s="1"/>
  <c r="K825" i="26"/>
  <c r="M825" i="26" s="1"/>
  <c r="AT824" i="26"/>
  <c r="D825" i="26"/>
  <c r="P825" i="26" s="1"/>
  <c r="AP825" i="26"/>
  <c r="E826" i="26"/>
  <c r="L826" i="26" s="1"/>
  <c r="O825" i="26"/>
  <c r="E1104" i="55"/>
  <c r="AL513" i="55"/>
  <c r="AL824" i="26" l="1"/>
  <c r="AM824" i="26" s="1"/>
  <c r="AU824" i="26" s="1"/>
  <c r="AT825" i="26"/>
  <c r="N825" i="26"/>
  <c r="AJ825" i="26"/>
  <c r="AK825" i="26" s="1"/>
  <c r="C826" i="26"/>
  <c r="AS826" i="26" s="1"/>
  <c r="BJ826" i="26" s="1"/>
  <c r="H826" i="26"/>
  <c r="B826" i="26"/>
  <c r="K826" i="26" s="1"/>
  <c r="M826" i="26" s="1"/>
  <c r="N826" i="26" s="1"/>
  <c r="U825" i="26"/>
  <c r="AF825" i="26" s="1"/>
  <c r="AN825" i="26" s="1"/>
  <c r="F825" i="26"/>
  <c r="R825" i="26" s="1"/>
  <c r="AL825" i="26" s="1"/>
  <c r="W826" i="26"/>
  <c r="AS825" i="26"/>
  <c r="BJ825" i="26" s="1"/>
  <c r="S824" i="26"/>
  <c r="T824" i="26" s="1"/>
  <c r="A826" i="26"/>
  <c r="Q826" i="26"/>
  <c r="S825" i="26"/>
  <c r="T825" i="26" s="1"/>
  <c r="G826" i="26"/>
  <c r="V826" i="26"/>
  <c r="U826" i="26"/>
  <c r="AF826" i="26" s="1"/>
  <c r="AN826" i="26" s="1"/>
  <c r="O1104" i="55"/>
  <c r="AL1104" i="55"/>
  <c r="Q1104" i="55"/>
  <c r="P1104" i="55"/>
  <c r="K1104" i="55"/>
  <c r="AI1104" i="55"/>
  <c r="AD1104" i="55"/>
  <c r="Z1104" i="55"/>
  <c r="AK1104" i="55"/>
  <c r="AO1104" i="55"/>
  <c r="AF1104" i="55"/>
  <c r="AG1104" i="55"/>
  <c r="AT1104" i="55"/>
  <c r="AC1104" i="55"/>
  <c r="AQ1104" i="55"/>
  <c r="AX1104" i="55"/>
  <c r="X1104" i="55"/>
  <c r="D1104" i="55"/>
  <c r="U1104" i="55"/>
  <c r="H1104" i="55"/>
  <c r="A1104" i="55"/>
  <c r="AN1104" i="55"/>
  <c r="AH1104" i="55"/>
  <c r="V1104" i="55"/>
  <c r="F1104" i="55"/>
  <c r="M1104" i="55"/>
  <c r="G1104" i="55"/>
  <c r="I1104" i="55"/>
  <c r="C1104" i="55"/>
  <c r="W1104" i="55"/>
  <c r="N1104" i="55"/>
  <c r="L1104" i="55"/>
  <c r="AM1104" i="55"/>
  <c r="S1104" i="55"/>
  <c r="AB1104" i="55"/>
  <c r="AW1104" i="55"/>
  <c r="B1104" i="55"/>
  <c r="AL512" i="55"/>
  <c r="BL824" i="26" l="1"/>
  <c r="BC824" i="26"/>
  <c r="AM825" i="26"/>
  <c r="AU825" i="26" s="1"/>
  <c r="AJ826" i="26"/>
  <c r="AK826" i="26" s="1"/>
  <c r="F826" i="26"/>
  <c r="R826" i="26" s="1"/>
  <c r="X826" i="26"/>
  <c r="BK826" i="26" s="1"/>
  <c r="D826" i="26"/>
  <c r="E827" i="26" s="1"/>
  <c r="C827" i="26" s="1"/>
  <c r="AP826" i="26"/>
  <c r="H827" i="26"/>
  <c r="L827" i="26"/>
  <c r="O826" i="26"/>
  <c r="W827" i="26"/>
  <c r="BL825" i="26"/>
  <c r="A827" i="26"/>
  <c r="AO826" i="26"/>
  <c r="E1105" i="55"/>
  <c r="AL511" i="55"/>
  <c r="V827" i="26" l="1"/>
  <c r="AS827" i="26"/>
  <c r="BJ827" i="26" s="1"/>
  <c r="K827" i="26"/>
  <c r="M827" i="26" s="1"/>
  <c r="Q827" i="26"/>
  <c r="BC825" i="26"/>
  <c r="AV824" i="55"/>
  <c r="BT824" i="26"/>
  <c r="B827" i="26"/>
  <c r="F827" i="26" s="1"/>
  <c r="R827" i="26" s="1"/>
  <c r="AO827" i="26"/>
  <c r="AT826" i="26"/>
  <c r="P826" i="26"/>
  <c r="AL826" i="26" s="1"/>
  <c r="U827" i="26"/>
  <c r="AF827" i="26" s="1"/>
  <c r="AN827" i="26" s="1"/>
  <c r="X827" i="26"/>
  <c r="BK827" i="26" s="1"/>
  <c r="AV825" i="55"/>
  <c r="BT825" i="26"/>
  <c r="S826" i="26"/>
  <c r="T826" i="26" s="1"/>
  <c r="AP827" i="26"/>
  <c r="O1105" i="55"/>
  <c r="AD1105" i="55"/>
  <c r="AF1105" i="55"/>
  <c r="AO1105" i="55"/>
  <c r="AI1105" i="55"/>
  <c r="Q1105" i="55"/>
  <c r="P1105" i="55"/>
  <c r="K1105" i="55"/>
  <c r="AG1105" i="55"/>
  <c r="AK1105" i="55"/>
  <c r="AL1105" i="55"/>
  <c r="Z1105" i="55"/>
  <c r="AN1105" i="55"/>
  <c r="U1105" i="55"/>
  <c r="D1105" i="55"/>
  <c r="S1105" i="55"/>
  <c r="AW1105" i="55"/>
  <c r="A1105" i="55"/>
  <c r="AH1105" i="55"/>
  <c r="AT1105" i="55"/>
  <c r="C1105" i="55"/>
  <c r="H1105" i="55"/>
  <c r="N1105" i="55"/>
  <c r="V1105" i="55"/>
  <c r="AB1105" i="55"/>
  <c r="W1105" i="55"/>
  <c r="I1105" i="55"/>
  <c r="X1105" i="55"/>
  <c r="F1105" i="55"/>
  <c r="AC1105" i="55"/>
  <c r="AM1105" i="55"/>
  <c r="B1105" i="55"/>
  <c r="M1105" i="55"/>
  <c r="L1105" i="55"/>
  <c r="AX1105" i="55"/>
  <c r="G1105" i="55"/>
  <c r="AQ1105" i="55"/>
  <c r="AL510" i="55"/>
  <c r="AM826" i="26" l="1"/>
  <c r="AU826" i="26" s="1"/>
  <c r="N827" i="26"/>
  <c r="AJ827" i="26"/>
  <c r="AK827" i="26" s="1"/>
  <c r="BC826" i="26"/>
  <c r="AT827" i="26"/>
  <c r="D827" i="26"/>
  <c r="G827" i="26"/>
  <c r="BL826" i="26"/>
  <c r="E1106" i="55"/>
  <c r="AL509" i="55"/>
  <c r="P827" i="26" l="1"/>
  <c r="O827" i="26"/>
  <c r="S827" i="26" s="1"/>
  <c r="T827" i="26" s="1"/>
  <c r="BL827" i="26" s="1"/>
  <c r="E828" i="26"/>
  <c r="AV826" i="55"/>
  <c r="BT826" i="26"/>
  <c r="O1106" i="55"/>
  <c r="AK1106" i="55"/>
  <c r="AI1106" i="55"/>
  <c r="Q1106" i="55"/>
  <c r="P1106" i="55"/>
  <c r="K1106" i="55"/>
  <c r="Z1106" i="55"/>
  <c r="AG1106" i="55"/>
  <c r="AO1106" i="55"/>
  <c r="AL1106" i="55"/>
  <c r="N1106" i="55"/>
  <c r="AQ1106" i="55"/>
  <c r="W1106" i="55"/>
  <c r="U1106" i="55"/>
  <c r="F1106" i="55"/>
  <c r="G1106" i="55"/>
  <c r="AC1106" i="55"/>
  <c r="S1106" i="55"/>
  <c r="H1106" i="55"/>
  <c r="I1106" i="55"/>
  <c r="AM1106" i="55"/>
  <c r="C1106" i="55"/>
  <c r="D1106" i="55"/>
  <c r="AX1106" i="55"/>
  <c r="AN1106" i="55"/>
  <c r="X1106" i="55"/>
  <c r="B1106" i="55"/>
  <c r="AH1106" i="55"/>
  <c r="AW1106" i="55"/>
  <c r="AT1106" i="55"/>
  <c r="L1106" i="55"/>
  <c r="AB1106" i="55"/>
  <c r="M1106" i="55"/>
  <c r="A1106" i="55"/>
  <c r="V1106" i="55"/>
  <c r="AD1106" i="55"/>
  <c r="AF1106" i="55"/>
  <c r="AL508" i="55"/>
  <c r="AL827" i="26" l="1"/>
  <c r="AM827" i="26" s="1"/>
  <c r="AU827" i="26" s="1"/>
  <c r="W828" i="26"/>
  <c r="G828" i="26"/>
  <c r="C828" i="26"/>
  <c r="A828" i="26"/>
  <c r="L828" i="26"/>
  <c r="H828" i="26"/>
  <c r="B828" i="26"/>
  <c r="Q828" i="26"/>
  <c r="BC827" i="26"/>
  <c r="BT827" i="26" s="1"/>
  <c r="E1107" i="55"/>
  <c r="AL507" i="55"/>
  <c r="AV827" i="55" l="1"/>
  <c r="U828" i="26"/>
  <c r="V828" i="26"/>
  <c r="E829" i="26"/>
  <c r="AS828" i="26"/>
  <c r="BJ828" i="26" s="1"/>
  <c r="K828" i="26"/>
  <c r="M828" i="26" s="1"/>
  <c r="AP828" i="26"/>
  <c r="F828" i="26"/>
  <c r="R828" i="26" s="1"/>
  <c r="X828" i="26"/>
  <c r="D828" i="26"/>
  <c r="O828" i="26"/>
  <c r="P828" i="26"/>
  <c r="AF828" i="26"/>
  <c r="AN828" i="26" s="1"/>
  <c r="O1107" i="55"/>
  <c r="AD1107" i="55"/>
  <c r="AI1107" i="55"/>
  <c r="Q1107" i="55"/>
  <c r="P1107" i="55"/>
  <c r="K1107" i="55"/>
  <c r="AO1107" i="55"/>
  <c r="AG1107" i="55"/>
  <c r="AK1107" i="55"/>
  <c r="Z1107" i="55"/>
  <c r="AF1107" i="55"/>
  <c r="G1107" i="55"/>
  <c r="AX1107" i="55"/>
  <c r="C1107" i="55"/>
  <c r="AT1107" i="55"/>
  <c r="F1107" i="55"/>
  <c r="U1107" i="55"/>
  <c r="S1107" i="55"/>
  <c r="AB1107" i="55"/>
  <c r="V1107" i="55"/>
  <c r="X1107" i="55"/>
  <c r="B1107" i="55"/>
  <c r="L1107" i="55"/>
  <c r="AH1107" i="55"/>
  <c r="A1107" i="55"/>
  <c r="W1107" i="55"/>
  <c r="AW1107" i="55"/>
  <c r="H1107" i="55"/>
  <c r="AQ1107" i="55"/>
  <c r="I1107" i="55"/>
  <c r="D1107" i="55"/>
  <c r="AN1107" i="55"/>
  <c r="M1107" i="55"/>
  <c r="N1107" i="55"/>
  <c r="AM1107" i="55"/>
  <c r="AC1107" i="55"/>
  <c r="AL1107" i="55"/>
  <c r="AL506" i="55"/>
  <c r="BK829" i="26" l="1"/>
  <c r="S828" i="26"/>
  <c r="T828" i="26" s="1"/>
  <c r="C829" i="26"/>
  <c r="W829" i="26"/>
  <c r="H829" i="26"/>
  <c r="Q829" i="26"/>
  <c r="B829" i="26"/>
  <c r="G829" i="26"/>
  <c r="F829" i="26"/>
  <c r="AS829" i="26"/>
  <c r="BJ829" i="26" s="1"/>
  <c r="X829" i="26"/>
  <c r="A829" i="26"/>
  <c r="AP829" i="26"/>
  <c r="L829" i="26"/>
  <c r="R829" i="26"/>
  <c r="D829" i="26"/>
  <c r="P829" i="26"/>
  <c r="V829" i="26"/>
  <c r="O829" i="26"/>
  <c r="S829" i="26" s="1"/>
  <c r="T829" i="26" s="1"/>
  <c r="BL829" i="26" s="1"/>
  <c r="AO828" i="26"/>
  <c r="AT828" i="26" s="1"/>
  <c r="BK828" i="26"/>
  <c r="N828" i="26"/>
  <c r="AJ828" i="26"/>
  <c r="AK828" i="26" s="1"/>
  <c r="E1108" i="55"/>
  <c r="AL505" i="55"/>
  <c r="AL828" i="26" l="1"/>
  <c r="AM828" i="26" s="1"/>
  <c r="AU828" i="26" s="1"/>
  <c r="AL829" i="26"/>
  <c r="AM829" i="26" s="1"/>
  <c r="AU829" i="26" s="1"/>
  <c r="BL828" i="26"/>
  <c r="BC828" i="26"/>
  <c r="K829" i="26"/>
  <c r="M829" i="26" s="1"/>
  <c r="U829" i="26"/>
  <c r="AF829" i="26" s="1"/>
  <c r="AN829" i="26" s="1"/>
  <c r="E830" i="26"/>
  <c r="AO829" i="26"/>
  <c r="AT829" i="26" s="1"/>
  <c r="O1108" i="55"/>
  <c r="AK1108" i="55"/>
  <c r="AI1108" i="55"/>
  <c r="Q1108" i="55"/>
  <c r="P1108" i="55"/>
  <c r="K1108" i="55"/>
  <c r="Z1108" i="55"/>
  <c r="AL1108" i="55"/>
  <c r="AO1108" i="55"/>
  <c r="AF1108" i="55"/>
  <c r="AD1108" i="55"/>
  <c r="AG1108" i="55"/>
  <c r="B1108" i="55"/>
  <c r="L1108" i="55"/>
  <c r="AC1108" i="55"/>
  <c r="F1108" i="55"/>
  <c r="AH1108" i="55"/>
  <c r="N1108" i="55"/>
  <c r="U1108" i="55"/>
  <c r="C1108" i="55"/>
  <c r="S1108" i="55"/>
  <c r="M1108" i="55"/>
  <c r="A1108" i="55"/>
  <c r="AT1108" i="55"/>
  <c r="X1108" i="55"/>
  <c r="I1108" i="55"/>
  <c r="W1108" i="55"/>
  <c r="AB1108" i="55"/>
  <c r="AQ1108" i="55"/>
  <c r="AM1108" i="55"/>
  <c r="V1108" i="55"/>
  <c r="AX1108" i="55"/>
  <c r="H1108" i="55"/>
  <c r="D1108" i="55"/>
  <c r="AN1108" i="55"/>
  <c r="G1108" i="55"/>
  <c r="AW1108" i="55"/>
  <c r="AL504" i="55"/>
  <c r="N829" i="26" l="1"/>
  <c r="AJ829" i="26"/>
  <c r="AK829" i="26" s="1"/>
  <c r="C830" i="26"/>
  <c r="L830" i="26"/>
  <c r="A830" i="26"/>
  <c r="B830" i="26"/>
  <c r="O830" i="26" s="1"/>
  <c r="S830" i="26" s="1"/>
  <c r="T830" i="26" s="1"/>
  <c r="BL830" i="26" s="1"/>
  <c r="H830" i="26"/>
  <c r="W830" i="26"/>
  <c r="Q830" i="26"/>
  <c r="AP830" i="26"/>
  <c r="D830" i="26"/>
  <c r="X830" i="26"/>
  <c r="K830" i="26"/>
  <c r="U830" i="26"/>
  <c r="AF830" i="26" s="1"/>
  <c r="AN830" i="26" s="1"/>
  <c r="G830" i="26"/>
  <c r="V830" i="26"/>
  <c r="F830" i="26"/>
  <c r="R830" i="26" s="1"/>
  <c r="BC829" i="26"/>
  <c r="BT828" i="26"/>
  <c r="AV828" i="55"/>
  <c r="E1109" i="55"/>
  <c r="AL503" i="55"/>
  <c r="AO830" i="26" l="1"/>
  <c r="AT830" i="26" s="1"/>
  <c r="P830" i="26"/>
  <c r="M830" i="26"/>
  <c r="AS830" i="26"/>
  <c r="BJ830" i="26" s="1"/>
  <c r="E831" i="26"/>
  <c r="BC830" i="26"/>
  <c r="BT830" i="26" s="1"/>
  <c r="BT829" i="26"/>
  <c r="AV829" i="55"/>
  <c r="BK830" i="26"/>
  <c r="O1109" i="55"/>
  <c r="AK1109" i="55"/>
  <c r="Q1109" i="55"/>
  <c r="AI1109" i="55"/>
  <c r="P1109" i="55"/>
  <c r="K1109" i="55"/>
  <c r="AO1109" i="55"/>
  <c r="AL1109" i="55"/>
  <c r="AF1109" i="55"/>
  <c r="Z1109" i="55"/>
  <c r="AG1109" i="55"/>
  <c r="AD1109" i="55"/>
  <c r="B1109" i="55"/>
  <c r="L1109" i="55"/>
  <c r="AC1109" i="55"/>
  <c r="D1109" i="55"/>
  <c r="C1109" i="55"/>
  <c r="AB1109" i="55"/>
  <c r="AN1109" i="55"/>
  <c r="M1109" i="55"/>
  <c r="AM1109" i="55"/>
  <c r="N1109" i="55"/>
  <c r="G1109" i="55"/>
  <c r="AH1109" i="55"/>
  <c r="AX1109" i="55"/>
  <c r="S1109" i="55"/>
  <c r="W1109" i="55"/>
  <c r="F1109" i="55"/>
  <c r="H1109" i="55"/>
  <c r="U1109" i="55"/>
  <c r="A1109" i="55"/>
  <c r="AQ1109" i="55"/>
  <c r="AT1109" i="55"/>
  <c r="V1109" i="55"/>
  <c r="X1109" i="55"/>
  <c r="I1109" i="55"/>
  <c r="AW1109" i="55"/>
  <c r="AL502" i="55"/>
  <c r="AL830" i="26" l="1"/>
  <c r="AM830" i="26" s="1"/>
  <c r="AU830" i="26" s="1"/>
  <c r="AJ830" i="26"/>
  <c r="AK830" i="26" s="1"/>
  <c r="N830" i="26"/>
  <c r="B831" i="26"/>
  <c r="H831" i="26"/>
  <c r="L831" i="26"/>
  <c r="K831" i="26"/>
  <c r="M831" i="26" s="1"/>
  <c r="A831" i="26"/>
  <c r="C831" i="26"/>
  <c r="V831" i="26" s="1"/>
  <c r="W831" i="26"/>
  <c r="Q831" i="26"/>
  <c r="AV830" i="55"/>
  <c r="E1110" i="55"/>
  <c r="AL501" i="55"/>
  <c r="AO831" i="26" l="1"/>
  <c r="F831" i="26"/>
  <c r="R831" i="26" s="1"/>
  <c r="AP831" i="26"/>
  <c r="AS831" i="26"/>
  <c r="BJ831" i="26" s="1"/>
  <c r="D831" i="26"/>
  <c r="N831" i="26"/>
  <c r="AJ831" i="26"/>
  <c r="AK831" i="26" s="1"/>
  <c r="X831" i="26"/>
  <c r="BK831" i="26" s="1"/>
  <c r="U831" i="26"/>
  <c r="AF831" i="26" s="1"/>
  <c r="AN831" i="26" s="1"/>
  <c r="G831" i="26"/>
  <c r="O831" i="26"/>
  <c r="S831" i="26" s="1"/>
  <c r="T831" i="26" s="1"/>
  <c r="BC831" i="26" s="1"/>
  <c r="O1110" i="55"/>
  <c r="AI1110" i="55"/>
  <c r="Q1110" i="55"/>
  <c r="K1110" i="55"/>
  <c r="P1110" i="55"/>
  <c r="AL1110" i="55"/>
  <c r="Z1110" i="55"/>
  <c r="AK1110" i="55"/>
  <c r="AB1110" i="55"/>
  <c r="U1110" i="55"/>
  <c r="AX1110" i="55"/>
  <c r="AW1110" i="55"/>
  <c r="AT1110" i="55"/>
  <c r="H1110" i="55"/>
  <c r="G1110" i="55"/>
  <c r="AM1110" i="55"/>
  <c r="V1110" i="55"/>
  <c r="N1110" i="55"/>
  <c r="D1110" i="55"/>
  <c r="B1110" i="55"/>
  <c r="M1110" i="55"/>
  <c r="AN1110" i="55"/>
  <c r="AH1110" i="55"/>
  <c r="C1110" i="55"/>
  <c r="AQ1110" i="55"/>
  <c r="AC1110" i="55"/>
  <c r="W1110" i="55"/>
  <c r="A1110" i="55"/>
  <c r="L1110" i="55"/>
  <c r="S1110" i="55"/>
  <c r="X1110" i="55"/>
  <c r="F1110" i="55"/>
  <c r="I1110" i="55"/>
  <c r="AF1110" i="55"/>
  <c r="AG1110" i="55"/>
  <c r="AD1110" i="55"/>
  <c r="AO1110" i="55"/>
  <c r="AL500" i="55"/>
  <c r="P831" i="26" l="1"/>
  <c r="BL831" i="26"/>
  <c r="AT831" i="26"/>
  <c r="E832" i="26"/>
  <c r="AV831" i="55"/>
  <c r="BT831" i="26"/>
  <c r="E1111" i="55"/>
  <c r="AL499" i="55"/>
  <c r="AL831" i="26" l="1"/>
  <c r="AM831" i="26" s="1"/>
  <c r="AU831" i="26" s="1"/>
  <c r="Q832" i="26"/>
  <c r="B832" i="26"/>
  <c r="F832" i="26" s="1"/>
  <c r="R832" i="26" s="1"/>
  <c r="L832" i="26"/>
  <c r="A832" i="26"/>
  <c r="C832" i="26"/>
  <c r="W832" i="26"/>
  <c r="H832" i="26"/>
  <c r="AP832" i="26"/>
  <c r="K832" i="26"/>
  <c r="M832" i="26" s="1"/>
  <c r="D832" i="26"/>
  <c r="AS832" i="26"/>
  <c r="BJ832" i="26" s="1"/>
  <c r="U832" i="26"/>
  <c r="AF832" i="26" s="1"/>
  <c r="AN832" i="26" s="1"/>
  <c r="G832" i="26"/>
  <c r="O1111" i="55"/>
  <c r="AL1111" i="55"/>
  <c r="AI1111" i="55"/>
  <c r="Q1111" i="55"/>
  <c r="P1111" i="55"/>
  <c r="K1111" i="55"/>
  <c r="AF1111" i="55"/>
  <c r="AO1111" i="55"/>
  <c r="AK1111" i="55"/>
  <c r="B1111" i="55"/>
  <c r="G1111" i="55"/>
  <c r="D1111" i="55"/>
  <c r="AB1111" i="55"/>
  <c r="S1111" i="55"/>
  <c r="AX1111" i="55"/>
  <c r="AH1111" i="55"/>
  <c r="N1111" i="55"/>
  <c r="AM1111" i="55"/>
  <c r="A1111" i="55"/>
  <c r="X1111" i="55"/>
  <c r="M1111" i="55"/>
  <c r="C1111" i="55"/>
  <c r="I1111" i="55"/>
  <c r="V1111" i="55"/>
  <c r="W1111" i="55"/>
  <c r="AN1111" i="55"/>
  <c r="L1111" i="55"/>
  <c r="AT1111" i="55"/>
  <c r="AQ1111" i="55"/>
  <c r="F1111" i="55"/>
  <c r="AW1111" i="55"/>
  <c r="U1111" i="55"/>
  <c r="AC1111" i="55"/>
  <c r="H1111" i="55"/>
  <c r="Z1111" i="55"/>
  <c r="AG1111" i="55"/>
  <c r="AD1111" i="55"/>
  <c r="AL498" i="55"/>
  <c r="AJ832" i="26" l="1"/>
  <c r="AK832" i="26" s="1"/>
  <c r="N832" i="26"/>
  <c r="O832" i="26"/>
  <c r="V832" i="26"/>
  <c r="AO832" i="26" s="1"/>
  <c r="AT832" i="26" s="1"/>
  <c r="E833" i="26"/>
  <c r="X832" i="26"/>
  <c r="P832" i="26"/>
  <c r="E1112" i="55"/>
  <c r="AL497" i="55"/>
  <c r="AL832" i="26" l="1"/>
  <c r="AM832" i="26" s="1"/>
  <c r="AU832" i="26" s="1"/>
  <c r="S832" i="26"/>
  <c r="T832" i="26" s="1"/>
  <c r="BK832" i="26"/>
  <c r="H833" i="26"/>
  <c r="Q833" i="26"/>
  <c r="C833" i="26"/>
  <c r="A833" i="26"/>
  <c r="W833" i="26"/>
  <c r="L833" i="26"/>
  <c r="B833" i="26"/>
  <c r="X833" i="26" s="1"/>
  <c r="F833" i="26"/>
  <c r="R833" i="26" s="1"/>
  <c r="AK1112" i="55"/>
  <c r="O1112" i="55"/>
  <c r="AO1112" i="55"/>
  <c r="AI1112" i="55"/>
  <c r="Q1112" i="55"/>
  <c r="P1112" i="55"/>
  <c r="K1112" i="55"/>
  <c r="AL1112" i="55"/>
  <c r="AD1112" i="55"/>
  <c r="Z1112" i="55"/>
  <c r="AG1112" i="55"/>
  <c r="AF1112" i="55"/>
  <c r="AX1112" i="55"/>
  <c r="S1112" i="55"/>
  <c r="G1112" i="55"/>
  <c r="AW1112" i="55"/>
  <c r="A1112" i="55"/>
  <c r="C1112" i="55"/>
  <c r="D1112" i="55"/>
  <c r="H1112" i="55"/>
  <c r="B1112" i="55"/>
  <c r="U1112" i="55"/>
  <c r="M1112" i="55"/>
  <c r="V1112" i="55"/>
  <c r="AH1112" i="55"/>
  <c r="X1112" i="55"/>
  <c r="L1112" i="55"/>
  <c r="AT1112" i="55"/>
  <c r="AQ1112" i="55"/>
  <c r="I1112" i="55"/>
  <c r="AM1112" i="55"/>
  <c r="AC1112" i="55"/>
  <c r="F1112" i="55"/>
  <c r="AN1112" i="55"/>
  <c r="N1112" i="55"/>
  <c r="AB1112" i="55"/>
  <c r="W1112" i="55"/>
  <c r="AL496" i="55"/>
  <c r="U833" i="26" l="1"/>
  <c r="AF833" i="26" s="1"/>
  <c r="AN833" i="26" s="1"/>
  <c r="E834" i="26"/>
  <c r="K833" i="26"/>
  <c r="M833" i="26" s="1"/>
  <c r="AP833" i="26"/>
  <c r="G833" i="26"/>
  <c r="V833" i="26"/>
  <c r="BK833" i="26" s="1"/>
  <c r="D833" i="26"/>
  <c r="AO833" i="26"/>
  <c r="BL832" i="26"/>
  <c r="BC832" i="26"/>
  <c r="E1113" i="55"/>
  <c r="AL495" i="55"/>
  <c r="AT833" i="26" l="1"/>
  <c r="AJ833" i="26"/>
  <c r="AK833" i="26" s="1"/>
  <c r="N833" i="26"/>
  <c r="W834" i="26"/>
  <c r="H834" i="26"/>
  <c r="Q834" i="26"/>
  <c r="C834" i="26"/>
  <c r="L834" i="26"/>
  <c r="K834" i="26"/>
  <c r="A834" i="26"/>
  <c r="B834" i="26"/>
  <c r="G834" i="26"/>
  <c r="AV832" i="55"/>
  <c r="BT832" i="26"/>
  <c r="P833" i="26"/>
  <c r="F834" i="26"/>
  <c r="R834" i="26" s="1"/>
  <c r="O833" i="26"/>
  <c r="O1113" i="55"/>
  <c r="Z1113" i="55"/>
  <c r="AI1113" i="55"/>
  <c r="Q1113" i="55"/>
  <c r="P1113" i="55"/>
  <c r="K1113" i="55"/>
  <c r="AK1113" i="55"/>
  <c r="AL1113" i="55"/>
  <c r="AG1113" i="55"/>
  <c r="AO1113" i="55"/>
  <c r="AD1113" i="55"/>
  <c r="AF1113" i="55"/>
  <c r="L1113" i="55"/>
  <c r="AQ1113" i="55"/>
  <c r="V1113" i="55"/>
  <c r="X1113" i="55"/>
  <c r="A1113" i="55"/>
  <c r="D1113" i="55"/>
  <c r="N1113" i="55"/>
  <c r="AM1113" i="55"/>
  <c r="U1113" i="55"/>
  <c r="F1113" i="55"/>
  <c r="S1113" i="55"/>
  <c r="AX1113" i="55"/>
  <c r="AH1113" i="55"/>
  <c r="AB1113" i="55"/>
  <c r="AN1113" i="55"/>
  <c r="AT1113" i="55"/>
  <c r="C1113" i="55"/>
  <c r="W1113" i="55"/>
  <c r="I1113" i="55"/>
  <c r="AW1113" i="55"/>
  <c r="G1113" i="55"/>
  <c r="M1113" i="55"/>
  <c r="B1113" i="55"/>
  <c r="H1113" i="55"/>
  <c r="AC1113" i="55"/>
  <c r="AL494" i="55"/>
  <c r="AL833" i="26" l="1"/>
  <c r="AM833" i="26" s="1"/>
  <c r="AU833" i="26" s="1"/>
  <c r="S833" i="26"/>
  <c r="T833" i="26" s="1"/>
  <c r="U834" i="26"/>
  <c r="V834" i="26"/>
  <c r="AS834" i="26"/>
  <c r="BJ834" i="26" s="1"/>
  <c r="M834" i="26"/>
  <c r="X834" i="26"/>
  <c r="AP834" i="26"/>
  <c r="D834" i="26"/>
  <c r="AF834" i="26"/>
  <c r="AN834" i="26" s="1"/>
  <c r="E1114" i="55"/>
  <c r="Z1114" i="55" s="1"/>
  <c r="AL493" i="55"/>
  <c r="BK834" i="26" l="1"/>
  <c r="AO834" i="26"/>
  <c r="AT834" i="26" s="1"/>
  <c r="N834" i="26"/>
  <c r="AJ834" i="26"/>
  <c r="AK834" i="26" s="1"/>
  <c r="P834" i="26"/>
  <c r="O834" i="26"/>
  <c r="BL833" i="26"/>
  <c r="BC833" i="26"/>
  <c r="E835" i="26"/>
  <c r="O1114" i="55"/>
  <c r="AF1114" i="55"/>
  <c r="AL1114" i="55"/>
  <c r="AG1114" i="55"/>
  <c r="AD1114" i="55"/>
  <c r="AO1114" i="55"/>
  <c r="AI1114" i="55"/>
  <c r="Q1114" i="55"/>
  <c r="P1114" i="55"/>
  <c r="K1114" i="55"/>
  <c r="AK1114" i="55"/>
  <c r="B1114" i="55"/>
  <c r="C1114" i="55"/>
  <c r="AC1114" i="55"/>
  <c r="S1114" i="55"/>
  <c r="AN1114" i="55"/>
  <c r="L1114" i="55"/>
  <c r="AW1114" i="55"/>
  <c r="F1114" i="55"/>
  <c r="G1114" i="55"/>
  <c r="V1114" i="55"/>
  <c r="I1114" i="55"/>
  <c r="M1114" i="55"/>
  <c r="H1114" i="55"/>
  <c r="AT1114" i="55"/>
  <c r="X1114" i="55"/>
  <c r="AH1114" i="55"/>
  <c r="U1114" i="55"/>
  <c r="AX1114" i="55"/>
  <c r="AQ1114" i="55"/>
  <c r="A1114" i="55"/>
  <c r="N1114" i="55"/>
  <c r="AM1114" i="55"/>
  <c r="AB1114" i="55"/>
  <c r="D1114" i="55"/>
  <c r="W1114" i="55"/>
  <c r="AL492" i="55"/>
  <c r="AL834" i="26" l="1"/>
  <c r="AM834" i="26" s="1"/>
  <c r="AU834" i="26" s="1"/>
  <c r="B835" i="26"/>
  <c r="K835" i="26" s="1"/>
  <c r="M835" i="26" s="1"/>
  <c r="N835" i="26" s="1"/>
  <c r="Q835" i="26"/>
  <c r="A835" i="26"/>
  <c r="L835" i="26"/>
  <c r="W835" i="26"/>
  <c r="H835" i="26"/>
  <c r="C835" i="26"/>
  <c r="U835" i="26"/>
  <c r="AF835" i="26" s="1"/>
  <c r="AN835" i="26" s="1"/>
  <c r="G835" i="26"/>
  <c r="F835" i="26"/>
  <c r="AS835" i="26"/>
  <c r="BJ835" i="26" s="1"/>
  <c r="X835" i="26"/>
  <c r="D835" i="26"/>
  <c r="AP835" i="26"/>
  <c r="BT833" i="26"/>
  <c r="AV833" i="55"/>
  <c r="S834" i="26"/>
  <c r="T834" i="26" s="1"/>
  <c r="BL834" i="26" s="1"/>
  <c r="O835" i="26"/>
  <c r="E1115" i="55"/>
  <c r="AL491" i="55"/>
  <c r="AJ835" i="26" l="1"/>
  <c r="AK835" i="26" s="1"/>
  <c r="R835" i="26"/>
  <c r="BC834" i="26"/>
  <c r="V835" i="26"/>
  <c r="AO835" i="26" s="1"/>
  <c r="AT835" i="26" s="1"/>
  <c r="E836" i="26"/>
  <c r="P835" i="26"/>
  <c r="O1115" i="55"/>
  <c r="AF1115" i="55"/>
  <c r="Q1115" i="55"/>
  <c r="AI1115" i="55"/>
  <c r="K1115" i="55"/>
  <c r="P1115" i="55"/>
  <c r="AL1115" i="55"/>
  <c r="Z1115" i="55"/>
  <c r="AD1115" i="55"/>
  <c r="AM1115" i="55"/>
  <c r="N1115" i="55"/>
  <c r="AX1115" i="55"/>
  <c r="AC1115" i="55"/>
  <c r="A1115" i="55"/>
  <c r="B1115" i="55"/>
  <c r="X1115" i="55"/>
  <c r="C1115" i="55"/>
  <c r="M1115" i="55"/>
  <c r="AT1115" i="55"/>
  <c r="AH1115" i="55"/>
  <c r="G1115" i="55"/>
  <c r="AW1115" i="55"/>
  <c r="D1115" i="55"/>
  <c r="I1115" i="55"/>
  <c r="U1115" i="55"/>
  <c r="V1115" i="55"/>
  <c r="AN1115" i="55"/>
  <c r="L1115" i="55"/>
  <c r="W1115" i="55"/>
  <c r="F1115" i="55"/>
  <c r="AB1115" i="55"/>
  <c r="S1115" i="55"/>
  <c r="AQ1115" i="55"/>
  <c r="H1115" i="55"/>
  <c r="AO1115" i="55"/>
  <c r="AK1115" i="55"/>
  <c r="AG1115" i="55"/>
  <c r="AL490" i="55"/>
  <c r="AL835" i="26" l="1"/>
  <c r="AM835" i="26" s="1"/>
  <c r="AU835" i="26" s="1"/>
  <c r="BK835" i="26"/>
  <c r="AV834" i="55"/>
  <c r="BT834" i="26"/>
  <c r="U836" i="26"/>
  <c r="W836" i="26"/>
  <c r="Q836" i="26"/>
  <c r="B836" i="26"/>
  <c r="F836" i="26" s="1"/>
  <c r="R836" i="26" s="1"/>
  <c r="A836" i="26"/>
  <c r="H836" i="26"/>
  <c r="C836" i="26"/>
  <c r="L836" i="26"/>
  <c r="S835" i="26"/>
  <c r="T835" i="26" s="1"/>
  <c r="BL835" i="26" s="1"/>
  <c r="E1116" i="55"/>
  <c r="AL489" i="55"/>
  <c r="K836" i="26" l="1"/>
  <c r="M836" i="26" s="1"/>
  <c r="G836" i="26"/>
  <c r="AF836" i="26"/>
  <c r="AN836" i="26" s="1"/>
  <c r="BC835" i="26"/>
  <c r="D836" i="26"/>
  <c r="X836" i="26"/>
  <c r="AP836" i="26"/>
  <c r="AS836" i="26"/>
  <c r="BJ836" i="26" s="1"/>
  <c r="E837" i="26"/>
  <c r="V836" i="26"/>
  <c r="P836" i="26"/>
  <c r="O1116" i="55"/>
  <c r="AD1116" i="55"/>
  <c r="AL1116" i="55"/>
  <c r="Z1116" i="55"/>
  <c r="AF1116" i="55"/>
  <c r="AG1116" i="55"/>
  <c r="AK1116" i="55"/>
  <c r="AI1116" i="55"/>
  <c r="Q1116" i="55"/>
  <c r="P1116" i="55"/>
  <c r="K1116" i="55"/>
  <c r="AO1116" i="55"/>
  <c r="F1116" i="55"/>
  <c r="A1116" i="55"/>
  <c r="C1116" i="55"/>
  <c r="AT1116" i="55"/>
  <c r="X1116" i="55"/>
  <c r="B1116" i="55"/>
  <c r="AQ1116" i="55"/>
  <c r="D1116" i="55"/>
  <c r="AB1116" i="55"/>
  <c r="S1116" i="55"/>
  <c r="U1116" i="55"/>
  <c r="AC1116" i="55"/>
  <c r="AW1116" i="55"/>
  <c r="I1116" i="55"/>
  <c r="AX1116" i="55"/>
  <c r="H1116" i="55"/>
  <c r="V1116" i="55"/>
  <c r="N1116" i="55"/>
  <c r="G1116" i="55"/>
  <c r="AH1116" i="55"/>
  <c r="M1116" i="55"/>
  <c r="AN1116" i="55"/>
  <c r="AM1116" i="55"/>
  <c r="L1116" i="55"/>
  <c r="W1116" i="55"/>
  <c r="AL488" i="55"/>
  <c r="AO836" i="26" l="1"/>
  <c r="AT836" i="26" s="1"/>
  <c r="BK836" i="26"/>
  <c r="C837" i="26"/>
  <c r="Q837" i="26"/>
  <c r="B837" i="26"/>
  <c r="W837" i="26"/>
  <c r="L837" i="26"/>
  <c r="A837" i="26"/>
  <c r="H837" i="26"/>
  <c r="O836" i="26"/>
  <c r="S836" i="26" s="1"/>
  <c r="T836" i="26" s="1"/>
  <c r="BL836" i="26" s="1"/>
  <c r="AV835" i="55"/>
  <c r="BT835" i="26"/>
  <c r="AJ836" i="26"/>
  <c r="AK836" i="26" s="1"/>
  <c r="N836" i="26"/>
  <c r="E1117" i="55"/>
  <c r="AL487" i="55"/>
  <c r="AL836" i="26" l="1"/>
  <c r="AM836" i="26" s="1"/>
  <c r="AU836" i="26" s="1"/>
  <c r="G837" i="26"/>
  <c r="X837" i="26"/>
  <c r="F837" i="26"/>
  <c r="R837" i="26" s="1"/>
  <c r="AP837" i="26"/>
  <c r="K837" i="26"/>
  <c r="M837" i="26" s="1"/>
  <c r="D837" i="26"/>
  <c r="BC836" i="26"/>
  <c r="U837" i="26"/>
  <c r="AF837" i="26" s="1"/>
  <c r="AN837" i="26" s="1"/>
  <c r="AS837" i="26"/>
  <c r="BJ837" i="26" s="1"/>
  <c r="V837" i="26"/>
  <c r="AK1117" i="55"/>
  <c r="O1117" i="55"/>
  <c r="AL1117" i="55"/>
  <c r="Q1117" i="55"/>
  <c r="AI1117" i="55"/>
  <c r="P1117" i="55"/>
  <c r="K1117" i="55"/>
  <c r="AG1117" i="55"/>
  <c r="AF1117" i="55"/>
  <c r="Z1117" i="55"/>
  <c r="AO1117" i="55"/>
  <c r="AD1117" i="55"/>
  <c r="M1117" i="55"/>
  <c r="AT1117" i="55"/>
  <c r="G1117" i="55"/>
  <c r="V1117" i="55"/>
  <c r="AH1117" i="55"/>
  <c r="N1117" i="55"/>
  <c r="AN1117" i="55"/>
  <c r="U1117" i="55"/>
  <c r="W1117" i="55"/>
  <c r="AW1117" i="55"/>
  <c r="A1117" i="55"/>
  <c r="L1117" i="55"/>
  <c r="X1117" i="55"/>
  <c r="AX1117" i="55"/>
  <c r="H1117" i="55"/>
  <c r="D1117" i="55"/>
  <c r="C1117" i="55"/>
  <c r="F1117" i="55"/>
  <c r="AQ1117" i="55"/>
  <c r="B1117" i="55"/>
  <c r="S1117" i="55"/>
  <c r="AB1117" i="55"/>
  <c r="I1117" i="55"/>
  <c r="AM1117" i="55"/>
  <c r="AC1117" i="55"/>
  <c r="AL486" i="55"/>
  <c r="BT836" i="26" l="1"/>
  <c r="AV836" i="55"/>
  <c r="BK837" i="26"/>
  <c r="AO837" i="26"/>
  <c r="AT837" i="26" s="1"/>
  <c r="O837" i="26"/>
  <c r="S837" i="26" s="1"/>
  <c r="T837" i="26" s="1"/>
  <c r="BL837" i="26" s="1"/>
  <c r="E838" i="26"/>
  <c r="N837" i="26"/>
  <c r="AJ837" i="26"/>
  <c r="AK837" i="26" s="1"/>
  <c r="P837" i="26"/>
  <c r="E1118" i="55"/>
  <c r="AL485" i="55"/>
  <c r="AL837" i="26" l="1"/>
  <c r="AM837" i="26" s="1"/>
  <c r="AU837" i="26" s="1"/>
  <c r="W838" i="26"/>
  <c r="Q838" i="26"/>
  <c r="L838" i="26"/>
  <c r="A838" i="26"/>
  <c r="B838" i="26"/>
  <c r="K838" i="26" s="1"/>
  <c r="M838" i="26" s="1"/>
  <c r="H838" i="26"/>
  <c r="C838" i="26"/>
  <c r="AO838" i="26"/>
  <c r="V838" i="26"/>
  <c r="BC837" i="26"/>
  <c r="AL1118" i="55"/>
  <c r="AK1118" i="55"/>
  <c r="O1118" i="55"/>
  <c r="AG1118" i="55"/>
  <c r="Z1118" i="55"/>
  <c r="AI1118" i="55"/>
  <c r="Q1118" i="55"/>
  <c r="P1118" i="55"/>
  <c r="K1118" i="55"/>
  <c r="AO1118" i="55"/>
  <c r="AF1118" i="55"/>
  <c r="AT1118" i="55"/>
  <c r="AN1118" i="55"/>
  <c r="D1118" i="55"/>
  <c r="AQ1118" i="55"/>
  <c r="AH1118" i="55"/>
  <c r="G1118" i="55"/>
  <c r="AB1118" i="55"/>
  <c r="A1118" i="55"/>
  <c r="F1118" i="55"/>
  <c r="AX1118" i="55"/>
  <c r="B1118" i="55"/>
  <c r="N1118" i="55"/>
  <c r="AW1118" i="55"/>
  <c r="H1118" i="55"/>
  <c r="M1118" i="55"/>
  <c r="U1118" i="55"/>
  <c r="AM1118" i="55"/>
  <c r="V1118" i="55"/>
  <c r="AC1118" i="55"/>
  <c r="W1118" i="55"/>
  <c r="X1118" i="55"/>
  <c r="L1118" i="55"/>
  <c r="S1118" i="55"/>
  <c r="C1118" i="55"/>
  <c r="I1118" i="55"/>
  <c r="AD1118" i="55"/>
  <c r="AL484" i="55"/>
  <c r="AJ838" i="26" l="1"/>
  <c r="AK838" i="26" s="1"/>
  <c r="AV837" i="55"/>
  <c r="BT837" i="26"/>
  <c r="G838" i="26"/>
  <c r="D838" i="26"/>
  <c r="X838" i="26"/>
  <c r="BK838" i="26" s="1"/>
  <c r="N838" i="26"/>
  <c r="F838" i="26"/>
  <c r="R838" i="26" s="1"/>
  <c r="U838" i="26"/>
  <c r="AF838" i="26"/>
  <c r="AN838" i="26" s="1"/>
  <c r="AS838" i="26"/>
  <c r="BJ838" i="26" s="1"/>
  <c r="AP838" i="26"/>
  <c r="AT838" i="26" s="1"/>
  <c r="E1119" i="55"/>
  <c r="AL483" i="55"/>
  <c r="P838" i="26" l="1"/>
  <c r="O838" i="26"/>
  <c r="S838" i="26" s="1"/>
  <c r="T838" i="26" s="1"/>
  <c r="E839" i="26"/>
  <c r="O1119" i="55"/>
  <c r="AI1119" i="55"/>
  <c r="Q1119" i="55"/>
  <c r="P1119" i="55"/>
  <c r="K1119" i="55"/>
  <c r="AD1119" i="55"/>
  <c r="AK1119" i="55"/>
  <c r="AG1119" i="55"/>
  <c r="AF1119" i="55"/>
  <c r="AL1119" i="55"/>
  <c r="D1119" i="55"/>
  <c r="X1119" i="55"/>
  <c r="AN1119" i="55"/>
  <c r="AC1119" i="55"/>
  <c r="U1119" i="55"/>
  <c r="L1119" i="55"/>
  <c r="AH1119" i="55"/>
  <c r="N1119" i="55"/>
  <c r="F1119" i="55"/>
  <c r="G1119" i="55"/>
  <c r="W1119" i="55"/>
  <c r="B1119" i="55"/>
  <c r="H1119" i="55"/>
  <c r="I1119" i="55"/>
  <c r="AB1119" i="55"/>
  <c r="AM1119" i="55"/>
  <c r="A1119" i="55"/>
  <c r="V1119" i="55"/>
  <c r="AW1119" i="55"/>
  <c r="AX1119" i="55"/>
  <c r="C1119" i="55"/>
  <c r="AT1119" i="55"/>
  <c r="S1119" i="55"/>
  <c r="M1119" i="55"/>
  <c r="AQ1119" i="55"/>
  <c r="AO1119" i="55"/>
  <c r="Z1119" i="55"/>
  <c r="AL482" i="55"/>
  <c r="AL838" i="26" l="1"/>
  <c r="AM838" i="26" s="1"/>
  <c r="AU838" i="26" s="1"/>
  <c r="BL838" i="26"/>
  <c r="BC838" i="26"/>
  <c r="B839" i="26"/>
  <c r="D839" i="26" s="1"/>
  <c r="F839" i="26"/>
  <c r="P839" i="26"/>
  <c r="C839" i="26"/>
  <c r="E840" i="26" s="1"/>
  <c r="L839" i="26"/>
  <c r="Q839" i="26"/>
  <c r="R839" i="26" s="1"/>
  <c r="AO839" i="26"/>
  <c r="O839" i="26"/>
  <c r="S839" i="26" s="1"/>
  <c r="T839" i="26" s="1"/>
  <c r="BL839" i="26" s="1"/>
  <c r="W839" i="26"/>
  <c r="G839" i="26"/>
  <c r="H839" i="26"/>
  <c r="K839" i="26"/>
  <c r="M839" i="26" s="1"/>
  <c r="A839" i="26"/>
  <c r="X839" i="26"/>
  <c r="AS839" i="26"/>
  <c r="BJ839" i="26" s="1"/>
  <c r="V839" i="26"/>
  <c r="BK839" i="26" s="1"/>
  <c r="U839" i="26"/>
  <c r="AF839" i="26" s="1"/>
  <c r="AN839" i="26" s="1"/>
  <c r="AP839" i="26"/>
  <c r="E1120" i="55"/>
  <c r="Z1120" i="55" s="1"/>
  <c r="AL481" i="55"/>
  <c r="AJ839" i="26" l="1"/>
  <c r="AK839" i="26" s="1"/>
  <c r="N839" i="26"/>
  <c r="AT839" i="26"/>
  <c r="AL839" i="26"/>
  <c r="AM839" i="26" s="1"/>
  <c r="AU839" i="26" s="1"/>
  <c r="BC839" i="26"/>
  <c r="AV838" i="55"/>
  <c r="BT838" i="26"/>
  <c r="W840" i="26"/>
  <c r="C840" i="26"/>
  <c r="A840" i="26"/>
  <c r="H840" i="26"/>
  <c r="B840" i="26"/>
  <c r="G840" i="26" s="1"/>
  <c r="Q840" i="26"/>
  <c r="L840" i="26"/>
  <c r="F840" i="26"/>
  <c r="K840" i="26"/>
  <c r="M840" i="26" s="1"/>
  <c r="N840" i="26" s="1"/>
  <c r="P840" i="26"/>
  <c r="AP840" i="26"/>
  <c r="D840" i="26"/>
  <c r="O840" i="26" s="1"/>
  <c r="O1120" i="55"/>
  <c r="AD1120" i="55"/>
  <c r="AG1120" i="55"/>
  <c r="AI1120" i="55"/>
  <c r="Q1120" i="55"/>
  <c r="P1120" i="55"/>
  <c r="K1120" i="55"/>
  <c r="AO1120" i="55"/>
  <c r="AF1120" i="55"/>
  <c r="AK1120" i="55"/>
  <c r="AL1120" i="55"/>
  <c r="U1120" i="55"/>
  <c r="N1120" i="55"/>
  <c r="F1120" i="55"/>
  <c r="W1120" i="55"/>
  <c r="AB1120" i="55"/>
  <c r="S1120" i="55"/>
  <c r="I1120" i="55"/>
  <c r="AT1120" i="55"/>
  <c r="L1120" i="55"/>
  <c r="AX1120" i="55"/>
  <c r="B1120" i="55"/>
  <c r="C1120" i="55"/>
  <c r="AN1120" i="55"/>
  <c r="AQ1120" i="55"/>
  <c r="G1120" i="55"/>
  <c r="AH1120" i="55"/>
  <c r="D1120" i="55"/>
  <c r="H1120" i="55"/>
  <c r="V1120" i="55"/>
  <c r="AC1120" i="55"/>
  <c r="AM1120" i="55"/>
  <c r="M1120" i="55"/>
  <c r="X1120" i="55"/>
  <c r="AW1120" i="55"/>
  <c r="A1120" i="55"/>
  <c r="AL480" i="55"/>
  <c r="AJ840" i="26" l="1"/>
  <c r="AK840" i="26" s="1"/>
  <c r="V840" i="26"/>
  <c r="AO840" i="26" s="1"/>
  <c r="AT840" i="26" s="1"/>
  <c r="E841" i="26"/>
  <c r="X840" i="26"/>
  <c r="U840" i="26"/>
  <c r="AF840" i="26" s="1"/>
  <c r="AN840" i="26" s="1"/>
  <c r="AS840" i="26"/>
  <c r="BJ840" i="26" s="1"/>
  <c r="R840" i="26"/>
  <c r="AV839" i="55"/>
  <c r="BT839" i="26"/>
  <c r="E1121" i="55"/>
  <c r="AL479" i="55"/>
  <c r="AL840" i="26" l="1"/>
  <c r="AM840" i="26" s="1"/>
  <c r="AU840" i="26" s="1"/>
  <c r="L841" i="26"/>
  <c r="C841" i="26"/>
  <c r="H841" i="26"/>
  <c r="A841" i="26"/>
  <c r="AO841" i="26"/>
  <c r="W841" i="26"/>
  <c r="Q841" i="26"/>
  <c r="U841" i="26"/>
  <c r="B841" i="26"/>
  <c r="G841" i="26" s="1"/>
  <c r="X841" i="26"/>
  <c r="D841" i="26"/>
  <c r="P841" i="26" s="1"/>
  <c r="V841" i="26"/>
  <c r="AP841" i="26"/>
  <c r="F841" i="26"/>
  <c r="R841" i="26" s="1"/>
  <c r="AS841" i="26"/>
  <c r="BJ841" i="26" s="1"/>
  <c r="AF841" i="26"/>
  <c r="AN841" i="26" s="1"/>
  <c r="K841" i="26"/>
  <c r="BK840" i="26"/>
  <c r="S840" i="26"/>
  <c r="T840" i="26" s="1"/>
  <c r="O1121" i="55"/>
  <c r="AI1121" i="55"/>
  <c r="Q1121" i="55"/>
  <c r="P1121" i="55"/>
  <c r="K1121" i="55"/>
  <c r="AO1121" i="55"/>
  <c r="AT1121" i="55"/>
  <c r="A1121" i="55"/>
  <c r="AB1121" i="55"/>
  <c r="I1121" i="55"/>
  <c r="H1121" i="55"/>
  <c r="AC1121" i="55"/>
  <c r="M1121" i="55"/>
  <c r="AN1121" i="55"/>
  <c r="S1121" i="55"/>
  <c r="W1121" i="55"/>
  <c r="U1121" i="55"/>
  <c r="AX1121" i="55"/>
  <c r="G1121" i="55"/>
  <c r="N1121" i="55"/>
  <c r="V1121" i="55"/>
  <c r="L1121" i="55"/>
  <c r="F1121" i="55"/>
  <c r="C1121" i="55"/>
  <c r="AQ1121" i="55"/>
  <c r="AH1121" i="55"/>
  <c r="B1121" i="55"/>
  <c r="AM1121" i="55"/>
  <c r="AW1121" i="55"/>
  <c r="D1121" i="55"/>
  <c r="X1121" i="55"/>
  <c r="AK1121" i="55"/>
  <c r="AD1121" i="55"/>
  <c r="Z1121" i="55"/>
  <c r="AF1121" i="55"/>
  <c r="AL1121" i="55"/>
  <c r="AG1121" i="55"/>
  <c r="AL478" i="55"/>
  <c r="AT841" i="26" l="1"/>
  <c r="M841" i="26"/>
  <c r="O841" i="26"/>
  <c r="E842" i="26"/>
  <c r="BL840" i="26"/>
  <c r="BC840" i="26"/>
  <c r="BK841" i="26"/>
  <c r="E1122" i="55"/>
  <c r="AL477" i="55"/>
  <c r="AL841" i="26" l="1"/>
  <c r="AM841" i="26" s="1"/>
  <c r="AU841" i="26" s="1"/>
  <c r="BT840" i="26"/>
  <c r="AV840" i="55"/>
  <c r="H842" i="26"/>
  <c r="A842" i="26"/>
  <c r="Q842" i="26"/>
  <c r="L842" i="26"/>
  <c r="C842" i="26"/>
  <c r="E843" i="26" s="1"/>
  <c r="W842" i="26"/>
  <c r="B842" i="26"/>
  <c r="D842" i="26" s="1"/>
  <c r="P842" i="26"/>
  <c r="F842" i="26"/>
  <c r="R842" i="26" s="1"/>
  <c r="O842" i="26"/>
  <c r="K842" i="26"/>
  <c r="M842" i="26" s="1"/>
  <c r="G842" i="26"/>
  <c r="S841" i="26"/>
  <c r="T841" i="26" s="1"/>
  <c r="BL841" i="26" s="1"/>
  <c r="AJ841" i="26"/>
  <c r="AK841" i="26" s="1"/>
  <c r="N841" i="26"/>
  <c r="O1122" i="55"/>
  <c r="AG1122" i="55"/>
  <c r="AI1122" i="55"/>
  <c r="Q1122" i="55"/>
  <c r="P1122" i="55"/>
  <c r="K1122" i="55"/>
  <c r="AK1122" i="55"/>
  <c r="AQ1122" i="55"/>
  <c r="AB1122" i="55"/>
  <c r="B1122" i="55"/>
  <c r="AW1122" i="55"/>
  <c r="AN1122" i="55"/>
  <c r="D1122" i="55"/>
  <c r="W1122" i="55"/>
  <c r="L1122" i="55"/>
  <c r="C1122" i="55"/>
  <c r="I1122" i="55"/>
  <c r="N1122" i="55"/>
  <c r="AC1122" i="55"/>
  <c r="A1122" i="55"/>
  <c r="F1122" i="55"/>
  <c r="AX1122" i="55"/>
  <c r="X1122" i="55"/>
  <c r="V1122" i="55"/>
  <c r="AT1122" i="55"/>
  <c r="M1122" i="55"/>
  <c r="S1122" i="55"/>
  <c r="AM1122" i="55"/>
  <c r="AH1122" i="55"/>
  <c r="U1122" i="55"/>
  <c r="G1122" i="55"/>
  <c r="H1122" i="55"/>
  <c r="AL1122" i="55"/>
  <c r="AF1122" i="55"/>
  <c r="Z1122" i="55"/>
  <c r="AO1122" i="55"/>
  <c r="AD1122" i="55"/>
  <c r="AL476" i="55"/>
  <c r="AJ842" i="26" l="1"/>
  <c r="AK842" i="26" s="1"/>
  <c r="AL842" i="26"/>
  <c r="AM842" i="26" s="1"/>
  <c r="AU842" i="26" s="1"/>
  <c r="B843" i="26"/>
  <c r="A843" i="26"/>
  <c r="L843" i="26"/>
  <c r="Q843" i="26"/>
  <c r="C843" i="26"/>
  <c r="V843" i="26" s="1"/>
  <c r="H843" i="26"/>
  <c r="W843" i="26"/>
  <c r="AS843" i="26"/>
  <c r="BJ843" i="26" s="1"/>
  <c r="S842" i="26"/>
  <c r="T842" i="26" s="1"/>
  <c r="BL842" i="26" s="1"/>
  <c r="V842" i="26"/>
  <c r="AP842" i="26"/>
  <c r="AP843" i="26" s="1"/>
  <c r="AF842" i="26"/>
  <c r="AN842" i="26" s="1"/>
  <c r="U842" i="26"/>
  <c r="N842" i="26"/>
  <c r="X842" i="26"/>
  <c r="AS842" i="26"/>
  <c r="BJ842" i="26" s="1"/>
  <c r="BC841" i="26"/>
  <c r="E1123" i="55"/>
  <c r="AL475" i="55"/>
  <c r="AO843" i="26" l="1"/>
  <c r="AT843" i="26" s="1"/>
  <c r="BK843" i="26"/>
  <c r="P843" i="26"/>
  <c r="G843" i="26"/>
  <c r="D843" i="26"/>
  <c r="O843" i="26"/>
  <c r="S843" i="26" s="1"/>
  <c r="T843" i="26" s="1"/>
  <c r="BL843" i="26" s="1"/>
  <c r="BK842" i="26"/>
  <c r="AO842" i="26"/>
  <c r="AT842" i="26" s="1"/>
  <c r="X843" i="26"/>
  <c r="F843" i="26"/>
  <c r="R843" i="26" s="1"/>
  <c r="U843" i="26"/>
  <c r="AF843" i="26" s="1"/>
  <c r="AN843" i="26" s="1"/>
  <c r="E844" i="26"/>
  <c r="BC842" i="26"/>
  <c r="BT841" i="26"/>
  <c r="AV841" i="55"/>
  <c r="K843" i="26"/>
  <c r="M843" i="26" s="1"/>
  <c r="O1123" i="55"/>
  <c r="AL1123" i="55"/>
  <c r="AI1123" i="55"/>
  <c r="Q1123" i="55"/>
  <c r="P1123" i="55"/>
  <c r="K1123" i="55"/>
  <c r="Z1123" i="55"/>
  <c r="M1123" i="55"/>
  <c r="A1123" i="55"/>
  <c r="AT1123" i="55"/>
  <c r="I1123" i="55"/>
  <c r="AX1123" i="55"/>
  <c r="AH1123" i="55"/>
  <c r="L1123" i="55"/>
  <c r="X1123" i="55"/>
  <c r="AM1123" i="55"/>
  <c r="S1123" i="55"/>
  <c r="W1123" i="55"/>
  <c r="AB1123" i="55"/>
  <c r="N1123" i="55"/>
  <c r="F1123" i="55"/>
  <c r="G1123" i="55"/>
  <c r="AN1123" i="55"/>
  <c r="AW1123" i="55"/>
  <c r="C1123" i="55"/>
  <c r="AC1123" i="55"/>
  <c r="B1123" i="55"/>
  <c r="U1123" i="55"/>
  <c r="H1123" i="55"/>
  <c r="D1123" i="55"/>
  <c r="V1123" i="55"/>
  <c r="AQ1123" i="55"/>
  <c r="AD1123" i="55"/>
  <c r="AF1123" i="55"/>
  <c r="AG1123" i="55"/>
  <c r="AK1123" i="55"/>
  <c r="AO1123" i="55"/>
  <c r="AL474" i="55"/>
  <c r="L844" i="26" l="1"/>
  <c r="W844" i="26"/>
  <c r="Q844" i="26"/>
  <c r="B844" i="26"/>
  <c r="C844" i="26"/>
  <c r="V844" i="26" s="1"/>
  <c r="K844" i="26"/>
  <c r="M844" i="26" s="1"/>
  <c r="N844" i="26" s="1"/>
  <c r="A844" i="26"/>
  <c r="H844" i="26"/>
  <c r="N843" i="26"/>
  <c r="AJ843" i="26"/>
  <c r="AK843" i="26" s="1"/>
  <c r="BC843" i="26"/>
  <c r="AV843" i="55" s="1"/>
  <c r="BT842" i="26"/>
  <c r="AV842" i="55"/>
  <c r="E1124" i="55"/>
  <c r="AL473" i="55"/>
  <c r="AJ844" i="26" l="1"/>
  <c r="AK844" i="26" s="1"/>
  <c r="AL843" i="26"/>
  <c r="AM843" i="26" s="1"/>
  <c r="AU843" i="26" s="1"/>
  <c r="AO844" i="26"/>
  <c r="U844" i="26"/>
  <c r="AF844" i="26" s="1"/>
  <c r="AN844" i="26" s="1"/>
  <c r="AS844" i="26"/>
  <c r="BJ844" i="26" s="1"/>
  <c r="D844" i="26"/>
  <c r="X844" i="26"/>
  <c r="BK844" i="26" s="1"/>
  <c r="AP844" i="26"/>
  <c r="O844" i="26"/>
  <c r="BT843" i="26"/>
  <c r="F844" i="26"/>
  <c r="R844" i="26" s="1"/>
  <c r="G844" i="26"/>
  <c r="O1124" i="55"/>
  <c r="AF1124" i="55"/>
  <c r="AI1124" i="55"/>
  <c r="Q1124" i="55"/>
  <c r="P1124" i="55"/>
  <c r="K1124" i="55"/>
  <c r="Z1124" i="55"/>
  <c r="AK1124" i="55"/>
  <c r="AD1124" i="55"/>
  <c r="AN1124" i="55"/>
  <c r="AM1124" i="55"/>
  <c r="AB1124" i="55"/>
  <c r="W1124" i="55"/>
  <c r="U1124" i="55"/>
  <c r="AC1124" i="55"/>
  <c r="AT1124" i="55"/>
  <c r="M1124" i="55"/>
  <c r="N1124" i="55"/>
  <c r="C1124" i="55"/>
  <c r="AQ1124" i="55"/>
  <c r="D1124" i="55"/>
  <c r="X1124" i="55"/>
  <c r="AX1124" i="55"/>
  <c r="AW1124" i="55"/>
  <c r="AH1124" i="55"/>
  <c r="G1124" i="55"/>
  <c r="I1124" i="55"/>
  <c r="B1124" i="55"/>
  <c r="S1124" i="55"/>
  <c r="L1124" i="55"/>
  <c r="A1124" i="55"/>
  <c r="H1124" i="55"/>
  <c r="V1124" i="55"/>
  <c r="F1124" i="55"/>
  <c r="AG1124" i="55"/>
  <c r="AL1124" i="55"/>
  <c r="AO1124" i="55"/>
  <c r="AL472" i="55"/>
  <c r="S844" i="26" l="1"/>
  <c r="T844" i="26" s="1"/>
  <c r="BC844" i="26" s="1"/>
  <c r="E845" i="26"/>
  <c r="AT844" i="26"/>
  <c r="P844" i="26"/>
  <c r="E1125" i="55"/>
  <c r="AL471" i="55"/>
  <c r="BL844" i="26" l="1"/>
  <c r="AL844" i="26"/>
  <c r="AM844" i="26" s="1"/>
  <c r="AU844" i="26" s="1"/>
  <c r="A845" i="26"/>
  <c r="L845" i="26"/>
  <c r="H845" i="26"/>
  <c r="F845" i="26"/>
  <c r="W845" i="26"/>
  <c r="B845" i="26"/>
  <c r="D845" i="26"/>
  <c r="C845" i="26"/>
  <c r="Q845" i="26"/>
  <c r="U845" i="26"/>
  <c r="AF845" i="26" s="1"/>
  <c r="AN845" i="26" s="1"/>
  <c r="BT844" i="26"/>
  <c r="AV844" i="55"/>
  <c r="O1125" i="55"/>
  <c r="Q1125" i="55"/>
  <c r="P1125" i="55"/>
  <c r="AI1125" i="55"/>
  <c r="K1125" i="55"/>
  <c r="AF1125" i="55"/>
  <c r="I1125" i="55"/>
  <c r="AW1125" i="55"/>
  <c r="AB1125" i="55"/>
  <c r="G1125" i="55"/>
  <c r="AQ1125" i="55"/>
  <c r="D1125" i="55"/>
  <c r="AH1125" i="55"/>
  <c r="U1125" i="55"/>
  <c r="AN1125" i="55"/>
  <c r="F1125" i="55"/>
  <c r="AX1125" i="55"/>
  <c r="AC1125" i="55"/>
  <c r="L1125" i="55"/>
  <c r="X1125" i="55"/>
  <c r="V1125" i="55"/>
  <c r="M1125" i="55"/>
  <c r="A1125" i="55"/>
  <c r="AT1125" i="55"/>
  <c r="W1125" i="55"/>
  <c r="H1125" i="55"/>
  <c r="C1125" i="55"/>
  <c r="N1125" i="55"/>
  <c r="B1125" i="55"/>
  <c r="AM1125" i="55"/>
  <c r="S1125" i="55"/>
  <c r="AO1125" i="55"/>
  <c r="Z1125" i="55"/>
  <c r="AD1125" i="55"/>
  <c r="AL1125" i="55"/>
  <c r="AK1125" i="55"/>
  <c r="AG1125" i="55"/>
  <c r="AL470" i="55"/>
  <c r="V845" i="26" l="1"/>
  <c r="AO845" i="26" s="1"/>
  <c r="E846" i="26"/>
  <c r="AP845" i="26"/>
  <c r="G845" i="26"/>
  <c r="R845" i="26"/>
  <c r="P845" i="26"/>
  <c r="K845" i="26"/>
  <c r="M845" i="26" s="1"/>
  <c r="O845" i="26"/>
  <c r="S845" i="26" s="1"/>
  <c r="T845" i="26" s="1"/>
  <c r="X845" i="26"/>
  <c r="BK845" i="26" s="1"/>
  <c r="E1126" i="55"/>
  <c r="AL469" i="55"/>
  <c r="AL845" i="26" l="1"/>
  <c r="AM845" i="26" s="1"/>
  <c r="AU845" i="26" s="1"/>
  <c r="L846" i="26"/>
  <c r="B846" i="26"/>
  <c r="G846" i="26"/>
  <c r="Q846" i="26"/>
  <c r="W846" i="26"/>
  <c r="C846" i="26"/>
  <c r="H846" i="26"/>
  <c r="A846" i="26"/>
  <c r="F846" i="26"/>
  <c r="D846" i="26"/>
  <c r="E847" i="26" s="1"/>
  <c r="X846" i="26"/>
  <c r="AJ845" i="26"/>
  <c r="AK845" i="26" s="1"/>
  <c r="N845" i="26"/>
  <c r="BL845" i="26"/>
  <c r="BC845" i="26"/>
  <c r="AT845" i="26"/>
  <c r="O846" i="26"/>
  <c r="P846" i="26"/>
  <c r="B847" i="26"/>
  <c r="G847" i="26" s="1"/>
  <c r="C847" i="26"/>
  <c r="AS847" i="26" s="1"/>
  <c r="BJ847" i="26" s="1"/>
  <c r="L847" i="26"/>
  <c r="H847" i="26"/>
  <c r="O1126" i="55"/>
  <c r="AK1126" i="55"/>
  <c r="AI1126" i="55"/>
  <c r="K1126" i="55"/>
  <c r="Q1126" i="55"/>
  <c r="P1126" i="55"/>
  <c r="AG1126" i="55"/>
  <c r="AD1126" i="55"/>
  <c r="AF1126" i="55"/>
  <c r="AO1126" i="55"/>
  <c r="B1126" i="55"/>
  <c r="S1126" i="55"/>
  <c r="V1126" i="55"/>
  <c r="N1126" i="55"/>
  <c r="AT1126" i="55"/>
  <c r="A1126" i="55"/>
  <c r="AX1126" i="55"/>
  <c r="C1126" i="55"/>
  <c r="AQ1126" i="55"/>
  <c r="AC1126" i="55"/>
  <c r="AH1126" i="55"/>
  <c r="H1126" i="55"/>
  <c r="AN1126" i="55"/>
  <c r="X1126" i="55"/>
  <c r="AM1126" i="55"/>
  <c r="AW1126" i="55"/>
  <c r="I1126" i="55"/>
  <c r="U1126" i="55"/>
  <c r="F1126" i="55"/>
  <c r="M1126" i="55"/>
  <c r="W1126" i="55"/>
  <c r="D1126" i="55"/>
  <c r="AB1126" i="55"/>
  <c r="L1126" i="55"/>
  <c r="G1126" i="55"/>
  <c r="Z1126" i="55"/>
  <c r="AL1126" i="55"/>
  <c r="AL468" i="55"/>
  <c r="BT845" i="26" l="1"/>
  <c r="AV845" i="55"/>
  <c r="AS846" i="26"/>
  <c r="BJ846" i="26" s="1"/>
  <c r="V846" i="26"/>
  <c r="W847" i="26"/>
  <c r="F847" i="26"/>
  <c r="K847" i="26"/>
  <c r="M847" i="26" s="1"/>
  <c r="V847" i="26"/>
  <c r="AO847" i="26" s="1"/>
  <c r="Q847" i="26"/>
  <c r="U847" i="26"/>
  <c r="AF847" i="26" s="1"/>
  <c r="AN847" i="26" s="1"/>
  <c r="X847" i="26"/>
  <c r="BK847" i="26" s="1"/>
  <c r="A847" i="26"/>
  <c r="U846" i="26"/>
  <c r="AF846" i="26" s="1"/>
  <c r="AN846" i="26" s="1"/>
  <c r="R846" i="26"/>
  <c r="K846" i="26"/>
  <c r="M846" i="26" s="1"/>
  <c r="AP846" i="26"/>
  <c r="AP847" i="26" s="1"/>
  <c r="D847" i="26"/>
  <c r="E848" i="26" s="1"/>
  <c r="E1127" i="55"/>
  <c r="AL467" i="55"/>
  <c r="AL846" i="26" l="1"/>
  <c r="AM846" i="26" s="1"/>
  <c r="AU846" i="26" s="1"/>
  <c r="AT847" i="26"/>
  <c r="AO846" i="26"/>
  <c r="AT846" i="26" s="1"/>
  <c r="BK846" i="26"/>
  <c r="AJ846" i="26"/>
  <c r="AK846" i="26" s="1"/>
  <c r="N846" i="26"/>
  <c r="R847" i="26"/>
  <c r="S846" i="26"/>
  <c r="T846" i="26" s="1"/>
  <c r="AJ847" i="26"/>
  <c r="AK847" i="26" s="1"/>
  <c r="N847" i="26"/>
  <c r="C848" i="26"/>
  <c r="V848" i="26" s="1"/>
  <c r="W848" i="26"/>
  <c r="A848" i="26"/>
  <c r="L848" i="26"/>
  <c r="B848" i="26"/>
  <c r="H848" i="26"/>
  <c r="Q848" i="26"/>
  <c r="O847" i="26"/>
  <c r="P847" i="26"/>
  <c r="O1127" i="55"/>
  <c r="AK1127" i="55"/>
  <c r="AI1127" i="55"/>
  <c r="Q1127" i="55"/>
  <c r="P1127" i="55"/>
  <c r="K1127" i="55"/>
  <c r="AF1127" i="55"/>
  <c r="AG1127" i="55"/>
  <c r="M1127" i="55"/>
  <c r="AM1127" i="55"/>
  <c r="AW1127" i="55"/>
  <c r="AB1127" i="55"/>
  <c r="G1127" i="55"/>
  <c r="X1127" i="55"/>
  <c r="U1127" i="55"/>
  <c r="AC1127" i="55"/>
  <c r="AX1127" i="55"/>
  <c r="W1127" i="55"/>
  <c r="I1127" i="55"/>
  <c r="S1127" i="55"/>
  <c r="V1127" i="55"/>
  <c r="B1127" i="55"/>
  <c r="F1127" i="55"/>
  <c r="A1127" i="55"/>
  <c r="C1127" i="55"/>
  <c r="AT1127" i="55"/>
  <c r="D1127" i="55"/>
  <c r="AH1127" i="55"/>
  <c r="L1127" i="55"/>
  <c r="AQ1127" i="55"/>
  <c r="H1127" i="55"/>
  <c r="N1127" i="55"/>
  <c r="AN1127" i="55"/>
  <c r="Z1127" i="55"/>
  <c r="AL1127" i="55"/>
  <c r="AD1127" i="55"/>
  <c r="AO1127" i="55"/>
  <c r="AL466" i="55"/>
  <c r="AL847" i="26" l="1"/>
  <c r="AM847" i="26" s="1"/>
  <c r="AU847" i="26" s="1"/>
  <c r="G848" i="26"/>
  <c r="AS848" i="26"/>
  <c r="BJ848" i="26" s="1"/>
  <c r="U848" i="26"/>
  <c r="AF848" i="26" s="1"/>
  <c r="AN848" i="26" s="1"/>
  <c r="BC846" i="26"/>
  <c r="BL846" i="26"/>
  <c r="AO848" i="26"/>
  <c r="K848" i="26"/>
  <c r="M848" i="26" s="1"/>
  <c r="D848" i="26"/>
  <c r="X848" i="26"/>
  <c r="BK848" i="26" s="1"/>
  <c r="S847" i="26"/>
  <c r="T847" i="26" s="1"/>
  <c r="AP848" i="26"/>
  <c r="F848" i="26"/>
  <c r="R848" i="26" s="1"/>
  <c r="E1128" i="55"/>
  <c r="AL465" i="55"/>
  <c r="BC847" i="26" l="1"/>
  <c r="BT846" i="26"/>
  <c r="AV846" i="55"/>
  <c r="AT848" i="26"/>
  <c r="P848" i="26"/>
  <c r="N848" i="26"/>
  <c r="AJ848" i="26"/>
  <c r="AK848" i="26" s="1"/>
  <c r="E849" i="26"/>
  <c r="BL847" i="26"/>
  <c r="O848" i="26"/>
  <c r="O1128" i="55"/>
  <c r="AO1128" i="55"/>
  <c r="AI1128" i="55"/>
  <c r="Q1128" i="55"/>
  <c r="P1128" i="55"/>
  <c r="K1128" i="55"/>
  <c r="Z1128" i="55"/>
  <c r="AL1128" i="55"/>
  <c r="W1128" i="55"/>
  <c r="H1128" i="55"/>
  <c r="A1128" i="55"/>
  <c r="AM1128" i="55"/>
  <c r="AQ1128" i="55"/>
  <c r="U1128" i="55"/>
  <c r="G1128" i="55"/>
  <c r="AX1128" i="55"/>
  <c r="X1128" i="55"/>
  <c r="AW1128" i="55"/>
  <c r="N1128" i="55"/>
  <c r="L1128" i="55"/>
  <c r="M1128" i="55"/>
  <c r="B1128" i="55"/>
  <c r="AB1128" i="55"/>
  <c r="S1128" i="55"/>
  <c r="C1128" i="55"/>
  <c r="D1128" i="55"/>
  <c r="F1128" i="55"/>
  <c r="AN1128" i="55"/>
  <c r="AH1128" i="55"/>
  <c r="AC1128" i="55"/>
  <c r="AT1128" i="55"/>
  <c r="I1128" i="55"/>
  <c r="V1128" i="55"/>
  <c r="AF1128" i="55"/>
  <c r="AK1128" i="55"/>
  <c r="AG1128" i="55"/>
  <c r="AD1128" i="55"/>
  <c r="AL464" i="55"/>
  <c r="AL848" i="26" l="1"/>
  <c r="AM848" i="26" s="1"/>
  <c r="AU848" i="26" s="1"/>
  <c r="AV847" i="55"/>
  <c r="BT847" i="26"/>
  <c r="B849" i="26"/>
  <c r="AP849" i="26" s="1"/>
  <c r="L849" i="26"/>
  <c r="W849" i="26"/>
  <c r="A849" i="26"/>
  <c r="Q849" i="26"/>
  <c r="H849" i="26"/>
  <c r="C849" i="26"/>
  <c r="V849" i="26" s="1"/>
  <c r="D849" i="26"/>
  <c r="O849" i="26"/>
  <c r="S848" i="26"/>
  <c r="T848" i="26" s="1"/>
  <c r="BC848" i="26" s="1"/>
  <c r="E1129" i="55"/>
  <c r="AL463" i="55"/>
  <c r="X849" i="26" l="1"/>
  <c r="P849" i="26"/>
  <c r="AS849" i="26"/>
  <c r="BJ849" i="26" s="1"/>
  <c r="BK849" i="26"/>
  <c r="AO849" i="26"/>
  <c r="AT849" i="26" s="1"/>
  <c r="G849" i="26"/>
  <c r="BL848" i="26"/>
  <c r="E850" i="26"/>
  <c r="U849" i="26"/>
  <c r="AF849" i="26" s="1"/>
  <c r="AN849" i="26" s="1"/>
  <c r="F849" i="26"/>
  <c r="R849" i="26" s="1"/>
  <c r="K849" i="26"/>
  <c r="M849" i="26" s="1"/>
  <c r="O1129" i="55"/>
  <c r="AD1129" i="55"/>
  <c r="AI1129" i="55"/>
  <c r="Q1129" i="55"/>
  <c r="P1129" i="55"/>
  <c r="K1129" i="55"/>
  <c r="AF1129" i="55"/>
  <c r="AL1129" i="55"/>
  <c r="AO1129" i="55"/>
  <c r="AK1129" i="55"/>
  <c r="Z1129" i="55"/>
  <c r="AG1129" i="55"/>
  <c r="D1129" i="55"/>
  <c r="AX1129" i="55"/>
  <c r="AH1129" i="55"/>
  <c r="X1129" i="55"/>
  <c r="AN1129" i="55"/>
  <c r="U1129" i="55"/>
  <c r="G1129" i="55"/>
  <c r="N1129" i="55"/>
  <c r="F1129" i="55"/>
  <c r="AB1129" i="55"/>
  <c r="C1129" i="55"/>
  <c r="S1129" i="55"/>
  <c r="V1129" i="55"/>
  <c r="AC1129" i="55"/>
  <c r="AQ1129" i="55"/>
  <c r="L1129" i="55"/>
  <c r="W1129" i="55"/>
  <c r="M1129" i="55"/>
  <c r="AT1129" i="55"/>
  <c r="I1129" i="55"/>
  <c r="H1129" i="55"/>
  <c r="AW1129" i="55"/>
  <c r="A1129" i="55"/>
  <c r="AM1129" i="55"/>
  <c r="B1129" i="55"/>
  <c r="AL462" i="55"/>
  <c r="AL849" i="26" l="1"/>
  <c r="AM849" i="26" s="1"/>
  <c r="AU849" i="26" s="1"/>
  <c r="B850" i="26"/>
  <c r="F850" i="26" s="1"/>
  <c r="W850" i="26"/>
  <c r="H850" i="26"/>
  <c r="L850" i="26"/>
  <c r="G850" i="26"/>
  <c r="Q850" i="26"/>
  <c r="C850" i="26"/>
  <c r="AS850" i="26" s="1"/>
  <c r="BJ850" i="26" s="1"/>
  <c r="D850" i="26"/>
  <c r="P850" i="26" s="1"/>
  <c r="A850" i="26"/>
  <c r="X850" i="26"/>
  <c r="O850" i="26"/>
  <c r="K850" i="26"/>
  <c r="M850" i="26" s="1"/>
  <c r="N850" i="26" s="1"/>
  <c r="S849" i="26"/>
  <c r="T849" i="26" s="1"/>
  <c r="BC849" i="26" s="1"/>
  <c r="AJ849" i="26"/>
  <c r="AK849" i="26" s="1"/>
  <c r="N849" i="26"/>
  <c r="AV848" i="55"/>
  <c r="BT848" i="26"/>
  <c r="E1130" i="55"/>
  <c r="AD1130" i="55" s="1"/>
  <c r="AL461" i="55"/>
  <c r="AP850" i="26" l="1"/>
  <c r="E851" i="26"/>
  <c r="AJ850" i="26"/>
  <c r="AK850" i="26" s="1"/>
  <c r="H851" i="26"/>
  <c r="A851" i="26"/>
  <c r="W851" i="26"/>
  <c r="R850" i="26"/>
  <c r="BL849" i="26"/>
  <c r="U850" i="26"/>
  <c r="AF850" i="26" s="1"/>
  <c r="AN850" i="26" s="1"/>
  <c r="V850" i="26"/>
  <c r="O1130" i="55"/>
  <c r="AK1130" i="55"/>
  <c r="Z1130" i="55"/>
  <c r="AG1130" i="55"/>
  <c r="AF1130" i="55"/>
  <c r="AL1130" i="55"/>
  <c r="AI1130" i="55"/>
  <c r="Q1130" i="55"/>
  <c r="P1130" i="55"/>
  <c r="K1130" i="55"/>
  <c r="AO1130" i="55"/>
  <c r="N1130" i="55"/>
  <c r="AB1130" i="55"/>
  <c r="W1130" i="55"/>
  <c r="AW1130" i="55"/>
  <c r="B1130" i="55"/>
  <c r="A1130" i="55"/>
  <c r="AQ1130" i="55"/>
  <c r="C1130" i="55"/>
  <c r="M1130" i="55"/>
  <c r="AX1130" i="55"/>
  <c r="AC1130" i="55"/>
  <c r="AH1130" i="55"/>
  <c r="G1130" i="55"/>
  <c r="AT1130" i="55"/>
  <c r="F1130" i="55"/>
  <c r="AN1130" i="55"/>
  <c r="S1130" i="55"/>
  <c r="I1130" i="55"/>
  <c r="D1130" i="55"/>
  <c r="AM1130" i="55"/>
  <c r="L1130" i="55"/>
  <c r="H1130" i="55"/>
  <c r="X1130" i="55"/>
  <c r="V1130" i="55"/>
  <c r="U1130" i="55"/>
  <c r="AL460" i="55"/>
  <c r="C851" i="26" l="1"/>
  <c r="AP851" i="26" s="1"/>
  <c r="B851" i="26"/>
  <c r="F851" i="26" s="1"/>
  <c r="Q851" i="26"/>
  <c r="R851" i="26" s="1"/>
  <c r="L851" i="26"/>
  <c r="K851" i="26"/>
  <c r="M851" i="26" s="1"/>
  <c r="X851" i="26"/>
  <c r="G851" i="26"/>
  <c r="D851" i="26"/>
  <c r="O851" i="26" s="1"/>
  <c r="AO850" i="26"/>
  <c r="AT850" i="26" s="1"/>
  <c r="BK850" i="26"/>
  <c r="AL850" i="26"/>
  <c r="S850" i="26"/>
  <c r="T850" i="26" s="1"/>
  <c r="BC850" i="26" s="1"/>
  <c r="E852" i="26"/>
  <c r="P851" i="26"/>
  <c r="BT849" i="26"/>
  <c r="AV849" i="55"/>
  <c r="E1131" i="55"/>
  <c r="AK1131" i="55" s="1"/>
  <c r="AL459" i="55"/>
  <c r="AL851" i="26" l="1"/>
  <c r="AM851" i="26" s="1"/>
  <c r="AU851" i="26" s="1"/>
  <c r="AM850" i="26"/>
  <c r="AU850" i="26" s="1"/>
  <c r="S851" i="26"/>
  <c r="T851" i="26" s="1"/>
  <c r="BL851" i="26" s="1"/>
  <c r="V851" i="26"/>
  <c r="U851" i="26"/>
  <c r="AF851" i="26"/>
  <c r="AN851" i="26" s="1"/>
  <c r="AS851" i="26"/>
  <c r="BJ851" i="26" s="1"/>
  <c r="L852" i="26"/>
  <c r="A852" i="26"/>
  <c r="Q852" i="26"/>
  <c r="C852" i="26"/>
  <c r="U852" i="26" s="1"/>
  <c r="W852" i="26"/>
  <c r="H852" i="26"/>
  <c r="B852" i="26"/>
  <c r="D852" i="26" s="1"/>
  <c r="N851" i="26"/>
  <c r="AJ851" i="26"/>
  <c r="AK851" i="26" s="1"/>
  <c r="BL850" i="26"/>
  <c r="O1131" i="55"/>
  <c r="AG1131" i="55"/>
  <c r="Q1131" i="55"/>
  <c r="AI1131" i="55"/>
  <c r="K1131" i="55"/>
  <c r="P1131" i="55"/>
  <c r="AO1131" i="55"/>
  <c r="V1131" i="55"/>
  <c r="AM1131" i="55"/>
  <c r="M1131" i="55"/>
  <c r="W1131" i="55"/>
  <c r="A1131" i="55"/>
  <c r="L1131" i="55"/>
  <c r="AH1131" i="55"/>
  <c r="C1131" i="55"/>
  <c r="I1131" i="55"/>
  <c r="F1131" i="55"/>
  <c r="X1131" i="55"/>
  <c r="AN1131" i="55"/>
  <c r="AB1131" i="55"/>
  <c r="G1131" i="55"/>
  <c r="AQ1131" i="55"/>
  <c r="N1131" i="55"/>
  <c r="B1131" i="55"/>
  <c r="U1131" i="55"/>
  <c r="AW1131" i="55"/>
  <c r="AX1131" i="55"/>
  <c r="AC1131" i="55"/>
  <c r="S1131" i="55"/>
  <c r="H1131" i="55"/>
  <c r="AT1131" i="55"/>
  <c r="D1131" i="55"/>
  <c r="AD1131" i="55"/>
  <c r="AL1131" i="55"/>
  <c r="AF1131" i="55"/>
  <c r="Z1131" i="55"/>
  <c r="AL458" i="55"/>
  <c r="BC851" i="26" l="1"/>
  <c r="BK851" i="26"/>
  <c r="AO851" i="26"/>
  <c r="AT851" i="26" s="1"/>
  <c r="P852" i="26"/>
  <c r="AF852" i="26"/>
  <c r="AN852" i="26" s="1"/>
  <c r="F852" i="26"/>
  <c r="G852" i="26"/>
  <c r="K852" i="26"/>
  <c r="M852" i="26" s="1"/>
  <c r="R852" i="26"/>
  <c r="BT850" i="26"/>
  <c r="AV850" i="55"/>
  <c r="X852" i="26"/>
  <c r="O852" i="26"/>
  <c r="AS852" i="26"/>
  <c r="BJ852" i="26" s="1"/>
  <c r="E853" i="26"/>
  <c r="AP852" i="26"/>
  <c r="V852" i="26"/>
  <c r="AO852" i="26" s="1"/>
  <c r="E1132" i="55"/>
  <c r="AL457" i="55"/>
  <c r="AL852" i="26" l="1"/>
  <c r="AM852" i="26" s="1"/>
  <c r="AU852" i="26" s="1"/>
  <c r="S852" i="26"/>
  <c r="T852" i="26" s="1"/>
  <c r="BC852" i="26" s="1"/>
  <c r="N852" i="26"/>
  <c r="AJ852" i="26"/>
  <c r="AK852" i="26" s="1"/>
  <c r="BT851" i="26"/>
  <c r="AV851" i="55"/>
  <c r="B853" i="26"/>
  <c r="Q853" i="26"/>
  <c r="W853" i="26"/>
  <c r="C853" i="26"/>
  <c r="V853" i="26" s="1"/>
  <c r="A853" i="26"/>
  <c r="H853" i="26"/>
  <c r="L853" i="26"/>
  <c r="AP853" i="26"/>
  <c r="AT852" i="26"/>
  <c r="BK852" i="26"/>
  <c r="O1132" i="55"/>
  <c r="AL1132" i="55"/>
  <c r="AI1132" i="55"/>
  <c r="Q1132" i="55"/>
  <c r="P1132" i="55"/>
  <c r="K1132" i="55"/>
  <c r="AD1132" i="55"/>
  <c r="AF1132" i="55"/>
  <c r="AG1132" i="55"/>
  <c r="AK1132" i="55"/>
  <c r="V1132" i="55"/>
  <c r="H1132" i="55"/>
  <c r="AQ1132" i="55"/>
  <c r="AX1132" i="55"/>
  <c r="F1132" i="55"/>
  <c r="M1132" i="55"/>
  <c r="AN1132" i="55"/>
  <c r="X1132" i="55"/>
  <c r="B1132" i="55"/>
  <c r="AT1132" i="55"/>
  <c r="AB1132" i="55"/>
  <c r="A1132" i="55"/>
  <c r="D1132" i="55"/>
  <c r="W1132" i="55"/>
  <c r="G1132" i="55"/>
  <c r="U1132" i="55"/>
  <c r="AW1132" i="55"/>
  <c r="N1132" i="55"/>
  <c r="C1132" i="55"/>
  <c r="AH1132" i="55"/>
  <c r="L1132" i="55"/>
  <c r="I1132" i="55"/>
  <c r="AC1132" i="55"/>
  <c r="S1132" i="55"/>
  <c r="AM1132" i="55"/>
  <c r="Z1132" i="55"/>
  <c r="AO1132" i="55"/>
  <c r="AL456" i="55"/>
  <c r="G853" i="26" l="1"/>
  <c r="K853" i="26"/>
  <c r="M853" i="26" s="1"/>
  <c r="BL852" i="26"/>
  <c r="U853" i="26"/>
  <c r="AF853" i="26" s="1"/>
  <c r="AN853" i="26" s="1"/>
  <c r="F853" i="26"/>
  <c r="R853" i="26" s="1"/>
  <c r="D853" i="26"/>
  <c r="X853" i="26"/>
  <c r="BK853" i="26" s="1"/>
  <c r="AS853" i="26"/>
  <c r="BJ853" i="26" s="1"/>
  <c r="AO853" i="26"/>
  <c r="AT853" i="26" s="1"/>
  <c r="AV852" i="55"/>
  <c r="BT852" i="26"/>
  <c r="E1133" i="55"/>
  <c r="AL455" i="55"/>
  <c r="P853" i="26" l="1"/>
  <c r="E854" i="26"/>
  <c r="O853" i="26"/>
  <c r="S853" i="26" s="1"/>
  <c r="T853" i="26" s="1"/>
  <c r="BC853" i="26" s="1"/>
  <c r="V854" i="26"/>
  <c r="W854" i="26"/>
  <c r="AO854" i="26"/>
  <c r="C854" i="26"/>
  <c r="AS854" i="26"/>
  <c r="BJ854" i="26" s="1"/>
  <c r="Q854" i="26"/>
  <c r="L854" i="26"/>
  <c r="AJ853" i="26"/>
  <c r="AK853" i="26" s="1"/>
  <c r="N853" i="26"/>
  <c r="Z1133" i="55"/>
  <c r="O1133" i="55"/>
  <c r="AG1133" i="55"/>
  <c r="AI1133" i="55"/>
  <c r="Q1133" i="55"/>
  <c r="P1133" i="55"/>
  <c r="K1133" i="55"/>
  <c r="AO1133" i="55"/>
  <c r="AK1133" i="55"/>
  <c r="AF1133" i="55"/>
  <c r="AL1133" i="55"/>
  <c r="AD1133" i="55"/>
  <c r="D1133" i="55"/>
  <c r="V1133" i="55"/>
  <c r="AB1133" i="55"/>
  <c r="AM1133" i="55"/>
  <c r="F1133" i="55"/>
  <c r="AQ1133" i="55"/>
  <c r="AH1133" i="55"/>
  <c r="H1133" i="55"/>
  <c r="U1133" i="55"/>
  <c r="AW1133" i="55"/>
  <c r="X1133" i="55"/>
  <c r="L1133" i="55"/>
  <c r="AC1133" i="55"/>
  <c r="AX1133" i="55"/>
  <c r="B1133" i="55"/>
  <c r="M1133" i="55"/>
  <c r="W1133" i="55"/>
  <c r="A1133" i="55"/>
  <c r="G1133" i="55"/>
  <c r="N1133" i="55"/>
  <c r="AN1133" i="55"/>
  <c r="I1133" i="55"/>
  <c r="S1133" i="55"/>
  <c r="C1133" i="55"/>
  <c r="AT1133" i="55"/>
  <c r="AL454" i="55"/>
  <c r="AL853" i="26" l="1"/>
  <c r="AM853" i="26" s="1"/>
  <c r="AU853" i="26" s="1"/>
  <c r="H854" i="26"/>
  <c r="A854" i="26"/>
  <c r="B854" i="26"/>
  <c r="K854" i="26" s="1"/>
  <c r="M854" i="26" s="1"/>
  <c r="X854" i="26"/>
  <c r="BK854" i="26" s="1"/>
  <c r="BL853" i="26"/>
  <c r="U854" i="26"/>
  <c r="E1134" i="55"/>
  <c r="AL453" i="55"/>
  <c r="AJ854" i="26" l="1"/>
  <c r="AK854" i="26" s="1"/>
  <c r="N854" i="26"/>
  <c r="AF854" i="26"/>
  <c r="AN854" i="26" s="1"/>
  <c r="D854" i="26"/>
  <c r="F854" i="26"/>
  <c r="R854" i="26" s="1"/>
  <c r="AP854" i="26"/>
  <c r="AT854" i="26" s="1"/>
  <c r="G854" i="26"/>
  <c r="O854" i="26"/>
  <c r="S854" i="26" s="1"/>
  <c r="T854" i="26" s="1"/>
  <c r="BT853" i="26"/>
  <c r="AV853" i="55"/>
  <c r="AD1134" i="55"/>
  <c r="AO1134" i="55"/>
  <c r="O1134" i="55"/>
  <c r="AF1134" i="55"/>
  <c r="AL1134" i="55"/>
  <c r="AG1134" i="55"/>
  <c r="AI1134" i="55"/>
  <c r="Q1134" i="55"/>
  <c r="P1134" i="55"/>
  <c r="K1134" i="55"/>
  <c r="AK1134" i="55"/>
  <c r="Z1134" i="55"/>
  <c r="AT1134" i="55"/>
  <c r="G1134" i="55"/>
  <c r="AQ1134" i="55"/>
  <c r="AM1134" i="55"/>
  <c r="I1134" i="55"/>
  <c r="X1134" i="55"/>
  <c r="AX1134" i="55"/>
  <c r="C1134" i="55"/>
  <c r="AN1134" i="55"/>
  <c r="AH1134" i="55"/>
  <c r="AW1134" i="55"/>
  <c r="AC1134" i="55"/>
  <c r="V1134" i="55"/>
  <c r="N1134" i="55"/>
  <c r="M1134" i="55"/>
  <c r="L1134" i="55"/>
  <c r="S1134" i="55"/>
  <c r="F1134" i="55"/>
  <c r="AB1134" i="55"/>
  <c r="B1134" i="55"/>
  <c r="H1134" i="55"/>
  <c r="U1134" i="55"/>
  <c r="D1134" i="55"/>
  <c r="W1134" i="55"/>
  <c r="A1134" i="55"/>
  <c r="AL452" i="55"/>
  <c r="E855" i="26" l="1"/>
  <c r="P854" i="26"/>
  <c r="BL854" i="26"/>
  <c r="BC854" i="26"/>
  <c r="AV854" i="55" s="1"/>
  <c r="E1135" i="55"/>
  <c r="AL451" i="55"/>
  <c r="BT854" i="26" l="1"/>
  <c r="AL854" i="26"/>
  <c r="AM854" i="26" s="1"/>
  <c r="AU854" i="26" s="1"/>
  <c r="B855" i="26"/>
  <c r="Q855" i="26"/>
  <c r="A855" i="26"/>
  <c r="L855" i="26"/>
  <c r="H855" i="26"/>
  <c r="C855" i="26"/>
  <c r="W855" i="26"/>
  <c r="D855" i="26"/>
  <c r="K855" i="26"/>
  <c r="M855" i="26" s="1"/>
  <c r="O1135" i="55"/>
  <c r="AK1135" i="55"/>
  <c r="AI1135" i="55"/>
  <c r="Q1135" i="55"/>
  <c r="P1135" i="55"/>
  <c r="K1135" i="55"/>
  <c r="AF1135" i="55"/>
  <c r="AD1135" i="55"/>
  <c r="Z1135" i="55"/>
  <c r="AO1135" i="55"/>
  <c r="D1135" i="55"/>
  <c r="V1135" i="55"/>
  <c r="AX1135" i="55"/>
  <c r="W1135" i="55"/>
  <c r="AT1135" i="55"/>
  <c r="AB1135" i="55"/>
  <c r="S1135" i="55"/>
  <c r="H1135" i="55"/>
  <c r="M1135" i="55"/>
  <c r="AQ1135" i="55"/>
  <c r="AH1135" i="55"/>
  <c r="AN1135" i="55"/>
  <c r="C1135" i="55"/>
  <c r="L1135" i="55"/>
  <c r="X1135" i="55"/>
  <c r="I1135" i="55"/>
  <c r="U1135" i="55"/>
  <c r="N1135" i="55"/>
  <c r="AW1135" i="55"/>
  <c r="AC1135" i="55"/>
  <c r="AM1135" i="55"/>
  <c r="F1135" i="55"/>
  <c r="A1135" i="55"/>
  <c r="B1135" i="55"/>
  <c r="G1135" i="55"/>
  <c r="AG1135" i="55"/>
  <c r="AL1135" i="55"/>
  <c r="AL450" i="55"/>
  <c r="N855" i="26" l="1"/>
  <c r="AJ855" i="26"/>
  <c r="AK855" i="26" s="1"/>
  <c r="F855" i="26"/>
  <c r="R855" i="26" s="1"/>
  <c r="G855" i="26"/>
  <c r="P855" i="26"/>
  <c r="AP855" i="26"/>
  <c r="O855" i="26"/>
  <c r="X855" i="26"/>
  <c r="V855" i="26"/>
  <c r="AS855" i="26"/>
  <c r="BJ855" i="26" s="1"/>
  <c r="U855" i="26"/>
  <c r="AF855" i="26" s="1"/>
  <c r="AN855" i="26" s="1"/>
  <c r="E856" i="26"/>
  <c r="E1136" i="55"/>
  <c r="AL449" i="55"/>
  <c r="AL855" i="26" l="1"/>
  <c r="AM855" i="26" s="1"/>
  <c r="AU855" i="26" s="1"/>
  <c r="B856" i="26"/>
  <c r="F856" i="26" s="1"/>
  <c r="R856" i="26" s="1"/>
  <c r="L856" i="26"/>
  <c r="W856" i="26"/>
  <c r="H856" i="26"/>
  <c r="Q856" i="26"/>
  <c r="A856" i="26"/>
  <c r="C856" i="26"/>
  <c r="S855" i="26"/>
  <c r="T855" i="26" s="1"/>
  <c r="BK855" i="26"/>
  <c r="AO855" i="26"/>
  <c r="AT855" i="26" s="1"/>
  <c r="O1136" i="55"/>
  <c r="AG1136" i="55"/>
  <c r="Q1136" i="55"/>
  <c r="AI1136" i="55"/>
  <c r="P1136" i="55"/>
  <c r="K1136" i="55"/>
  <c r="AK1136" i="55"/>
  <c r="Z1136" i="55"/>
  <c r="AF1136" i="55"/>
  <c r="AL1136" i="55"/>
  <c r="AD1136" i="55"/>
  <c r="AC1136" i="55"/>
  <c r="D1136" i="55"/>
  <c r="AM1136" i="55"/>
  <c r="AH1136" i="55"/>
  <c r="F1136" i="55"/>
  <c r="N1136" i="55"/>
  <c r="G1136" i="55"/>
  <c r="H1136" i="55"/>
  <c r="AX1136" i="55"/>
  <c r="U1136" i="55"/>
  <c r="V1136" i="55"/>
  <c r="L1136" i="55"/>
  <c r="C1136" i="55"/>
  <c r="AN1136" i="55"/>
  <c r="AB1136" i="55"/>
  <c r="X1136" i="55"/>
  <c r="M1136" i="55"/>
  <c r="I1136" i="55"/>
  <c r="AW1136" i="55"/>
  <c r="AQ1136" i="55"/>
  <c r="AT1136" i="55"/>
  <c r="W1136" i="55"/>
  <c r="S1136" i="55"/>
  <c r="A1136" i="55"/>
  <c r="B1136" i="55"/>
  <c r="AO1136" i="55"/>
  <c r="AL448" i="55"/>
  <c r="X856" i="26" l="1"/>
  <c r="U856" i="26"/>
  <c r="AF856" i="26" s="1"/>
  <c r="AN856" i="26" s="1"/>
  <c r="E857" i="26"/>
  <c r="V856" i="26"/>
  <c r="AP856" i="26"/>
  <c r="G856" i="26"/>
  <c r="O856" i="26"/>
  <c r="BC855" i="26"/>
  <c r="BL855" i="26"/>
  <c r="P856" i="26"/>
  <c r="AS856" i="26"/>
  <c r="BJ856" i="26" s="1"/>
  <c r="K856" i="26"/>
  <c r="M856" i="26" s="1"/>
  <c r="D856" i="26"/>
  <c r="E1137" i="55"/>
  <c r="AL447" i="55"/>
  <c r="AV855" i="55" l="1"/>
  <c r="BT855" i="26"/>
  <c r="AO856" i="26"/>
  <c r="AT856" i="26" s="1"/>
  <c r="BK856" i="26"/>
  <c r="S856" i="26"/>
  <c r="T856" i="26" s="1"/>
  <c r="BL856" i="26" s="1"/>
  <c r="L857" i="26"/>
  <c r="W857" i="26"/>
  <c r="A857" i="26"/>
  <c r="D857" i="26"/>
  <c r="B857" i="26"/>
  <c r="Q857" i="26"/>
  <c r="H857" i="26"/>
  <c r="F857" i="26"/>
  <c r="C857" i="26"/>
  <c r="G857" i="26"/>
  <c r="AL856" i="26"/>
  <c r="N856" i="26"/>
  <c r="AJ856" i="26"/>
  <c r="AK856" i="26" s="1"/>
  <c r="O1137" i="55"/>
  <c r="AD1137" i="55"/>
  <c r="AI1137" i="55"/>
  <c r="Q1137" i="55"/>
  <c r="K1137" i="55"/>
  <c r="P1137" i="55"/>
  <c r="AL1137" i="55"/>
  <c r="AO1137" i="55"/>
  <c r="AG1137" i="55"/>
  <c r="AK1137" i="55"/>
  <c r="Z1137" i="55"/>
  <c r="AF1137" i="55"/>
  <c r="AC1137" i="55"/>
  <c r="N1137" i="55"/>
  <c r="H1137" i="55"/>
  <c r="U1137" i="55"/>
  <c r="L1137" i="55"/>
  <c r="AX1137" i="55"/>
  <c r="B1137" i="55"/>
  <c r="W1137" i="55"/>
  <c r="X1137" i="55"/>
  <c r="I1137" i="55"/>
  <c r="AW1137" i="55"/>
  <c r="AQ1137" i="55"/>
  <c r="AM1137" i="55"/>
  <c r="M1137" i="55"/>
  <c r="A1137" i="55"/>
  <c r="AT1137" i="55"/>
  <c r="AH1137" i="55"/>
  <c r="D1137" i="55"/>
  <c r="AB1137" i="55"/>
  <c r="AN1137" i="55"/>
  <c r="V1137" i="55"/>
  <c r="F1137" i="55"/>
  <c r="S1137" i="55"/>
  <c r="C1137" i="55"/>
  <c r="G1137" i="55"/>
  <c r="AL446" i="55"/>
  <c r="BC856" i="26" l="1"/>
  <c r="BT856" i="26" s="1"/>
  <c r="AM856" i="26"/>
  <c r="AU856" i="26" s="1"/>
  <c r="AP857" i="26"/>
  <c r="E858" i="26"/>
  <c r="V857" i="26"/>
  <c r="AO857" i="26" s="1"/>
  <c r="P857" i="26"/>
  <c r="U857" i="26"/>
  <c r="AF857" i="26" s="1"/>
  <c r="AN857" i="26" s="1"/>
  <c r="X857" i="26"/>
  <c r="AV856" i="55"/>
  <c r="R857" i="26"/>
  <c r="K857" i="26"/>
  <c r="M857" i="26" s="1"/>
  <c r="O857" i="26"/>
  <c r="E1138" i="55"/>
  <c r="AL445" i="55"/>
  <c r="AT857" i="26" l="1"/>
  <c r="AL857" i="26"/>
  <c r="AM857" i="26" s="1"/>
  <c r="AU857" i="26" s="1"/>
  <c r="S857" i="26"/>
  <c r="T857" i="26" s="1"/>
  <c r="BK857" i="26"/>
  <c r="B858" i="26"/>
  <c r="H858" i="26"/>
  <c r="C858" i="26"/>
  <c r="A858" i="26"/>
  <c r="Q858" i="26"/>
  <c r="W858" i="26"/>
  <c r="L858" i="26"/>
  <c r="AJ857" i="26"/>
  <c r="AK857" i="26" s="1"/>
  <c r="N857" i="26"/>
  <c r="O1138" i="55"/>
  <c r="AL1138" i="55"/>
  <c r="AO1138" i="55"/>
  <c r="AI1138" i="55"/>
  <c r="Q1138" i="55"/>
  <c r="P1138" i="55"/>
  <c r="K1138" i="55"/>
  <c r="AF1138" i="55"/>
  <c r="AG1138" i="55"/>
  <c r="AD1138" i="55"/>
  <c r="Z1138" i="55"/>
  <c r="AK1138" i="55"/>
  <c r="AX1138" i="55"/>
  <c r="L1138" i="55"/>
  <c r="AM1138" i="55"/>
  <c r="AT1138" i="55"/>
  <c r="W1138" i="55"/>
  <c r="S1138" i="55"/>
  <c r="X1138" i="55"/>
  <c r="H1138" i="55"/>
  <c r="U1138" i="55"/>
  <c r="V1138" i="55"/>
  <c r="AW1138" i="55"/>
  <c r="AH1138" i="55"/>
  <c r="G1138" i="55"/>
  <c r="N1138" i="55"/>
  <c r="F1138" i="55"/>
  <c r="AB1138" i="55"/>
  <c r="A1138" i="55"/>
  <c r="I1138" i="55"/>
  <c r="M1138" i="55"/>
  <c r="AC1138" i="55"/>
  <c r="AQ1138" i="55"/>
  <c r="C1138" i="55"/>
  <c r="D1138" i="55"/>
  <c r="AN1138" i="55"/>
  <c r="B1138" i="55"/>
  <c r="AL444" i="55"/>
  <c r="F858" i="26" l="1"/>
  <c r="R858" i="26" s="1"/>
  <c r="K858" i="26"/>
  <c r="M858" i="26" s="1"/>
  <c r="AP858" i="26"/>
  <c r="D858" i="26"/>
  <c r="O858" i="26"/>
  <c r="X858" i="26"/>
  <c r="G858" i="26"/>
  <c r="AS858" i="26"/>
  <c r="BJ858" i="26" s="1"/>
  <c r="U858" i="26"/>
  <c r="AF858" i="26" s="1"/>
  <c r="AN858" i="26" s="1"/>
  <c r="V858" i="26"/>
  <c r="BC857" i="26"/>
  <c r="BL857" i="26"/>
  <c r="E1139" i="55"/>
  <c r="AL443" i="55"/>
  <c r="P858" i="26" l="1"/>
  <c r="E859" i="26"/>
  <c r="AV857" i="55"/>
  <c r="BT857" i="26"/>
  <c r="BK858" i="26"/>
  <c r="AO858" i="26"/>
  <c r="AT858" i="26" s="1"/>
  <c r="AJ858" i="26"/>
  <c r="AK858" i="26" s="1"/>
  <c r="N858" i="26"/>
  <c r="S858" i="26"/>
  <c r="T858" i="26" s="1"/>
  <c r="BL858" i="26" s="1"/>
  <c r="O1139" i="55"/>
  <c r="AD1139" i="55"/>
  <c r="AO1139" i="55"/>
  <c r="AF1139" i="55"/>
  <c r="AI1139" i="55"/>
  <c r="Q1139" i="55"/>
  <c r="P1139" i="55"/>
  <c r="K1139" i="55"/>
  <c r="AL1139" i="55"/>
  <c r="AG1139" i="55"/>
  <c r="N1139" i="55"/>
  <c r="AQ1139" i="55"/>
  <c r="S1139" i="55"/>
  <c r="AB1139" i="55"/>
  <c r="AH1139" i="55"/>
  <c r="A1139" i="55"/>
  <c r="AM1139" i="55"/>
  <c r="F1139" i="55"/>
  <c r="U1139" i="55"/>
  <c r="AC1139" i="55"/>
  <c r="I1139" i="55"/>
  <c r="AT1139" i="55"/>
  <c r="H1139" i="55"/>
  <c r="D1139" i="55"/>
  <c r="L1139" i="55"/>
  <c r="G1139" i="55"/>
  <c r="V1139" i="55"/>
  <c r="X1139" i="55"/>
  <c r="AN1139" i="55"/>
  <c r="W1139" i="55"/>
  <c r="C1139" i="55"/>
  <c r="AW1139" i="55"/>
  <c r="B1139" i="55"/>
  <c r="M1139" i="55"/>
  <c r="AX1139" i="55"/>
  <c r="AK1139" i="55"/>
  <c r="Z1139" i="55"/>
  <c r="AL442" i="55"/>
  <c r="AL858" i="26" l="1"/>
  <c r="AM858" i="26" s="1"/>
  <c r="AU858" i="26" s="1"/>
  <c r="Q859" i="26"/>
  <c r="H859" i="26"/>
  <c r="B859" i="26"/>
  <c r="A859" i="26"/>
  <c r="C859" i="26"/>
  <c r="L859" i="26"/>
  <c r="W859" i="26"/>
  <c r="BC858" i="26"/>
  <c r="E1140" i="55"/>
  <c r="AL441" i="55"/>
  <c r="X859" i="26" l="1"/>
  <c r="AO859" i="26"/>
  <c r="AS859" i="26"/>
  <c r="BJ859" i="26" s="1"/>
  <c r="U859" i="26"/>
  <c r="AF859" i="26" s="1"/>
  <c r="AN859" i="26" s="1"/>
  <c r="BT858" i="26"/>
  <c r="AV858" i="55"/>
  <c r="G859" i="26"/>
  <c r="K859" i="26"/>
  <c r="M859" i="26" s="1"/>
  <c r="F859" i="26"/>
  <c r="R859" i="26" s="1"/>
  <c r="D859" i="26"/>
  <c r="AP859" i="26"/>
  <c r="P859" i="26"/>
  <c r="V859" i="26"/>
  <c r="O1140" i="55"/>
  <c r="Z1140" i="55"/>
  <c r="AI1140" i="55"/>
  <c r="Q1140" i="55"/>
  <c r="P1140" i="55"/>
  <c r="K1140" i="55"/>
  <c r="AO1140" i="55"/>
  <c r="AK1140" i="55"/>
  <c r="AD1140" i="55"/>
  <c r="AF1140" i="55"/>
  <c r="M1140" i="55"/>
  <c r="AB1140" i="55"/>
  <c r="AX1140" i="55"/>
  <c r="H1140" i="55"/>
  <c r="W1140" i="55"/>
  <c r="AN1140" i="55"/>
  <c r="I1140" i="55"/>
  <c r="B1140" i="55"/>
  <c r="S1140" i="55"/>
  <c r="F1140" i="55"/>
  <c r="AT1140" i="55"/>
  <c r="AM1140" i="55"/>
  <c r="X1140" i="55"/>
  <c r="V1140" i="55"/>
  <c r="C1140" i="55"/>
  <c r="G1140" i="55"/>
  <c r="AW1140" i="55"/>
  <c r="L1140" i="55"/>
  <c r="AC1140" i="55"/>
  <c r="AH1140" i="55"/>
  <c r="A1140" i="55"/>
  <c r="D1140" i="55"/>
  <c r="AQ1140" i="55"/>
  <c r="N1140" i="55"/>
  <c r="U1140" i="55"/>
  <c r="AL1140" i="55"/>
  <c r="AG1140" i="55"/>
  <c r="AL440" i="55"/>
  <c r="AT859" i="26" l="1"/>
  <c r="N859" i="26"/>
  <c r="AJ859" i="26"/>
  <c r="AK859" i="26" s="1"/>
  <c r="BK859" i="26"/>
  <c r="E860" i="26"/>
  <c r="O859" i="26"/>
  <c r="S859" i="26" s="1"/>
  <c r="T859" i="26" s="1"/>
  <c r="BC859" i="26" s="1"/>
  <c r="E1141" i="55"/>
  <c r="AL439" i="55"/>
  <c r="AL859" i="26" l="1"/>
  <c r="AM859" i="26" s="1"/>
  <c r="AU859" i="26" s="1"/>
  <c r="A860" i="26"/>
  <c r="H860" i="26"/>
  <c r="X860" i="26"/>
  <c r="C860" i="26"/>
  <c r="AS860" i="26" s="1"/>
  <c r="BJ860" i="26" s="1"/>
  <c r="W860" i="26"/>
  <c r="K860" i="26"/>
  <c r="M860" i="26" s="1"/>
  <c r="B860" i="26"/>
  <c r="AP860" i="26" s="1"/>
  <c r="L860" i="26"/>
  <c r="Q860" i="26"/>
  <c r="U860" i="26"/>
  <c r="AF860" i="26" s="1"/>
  <c r="AN860" i="26" s="1"/>
  <c r="F860" i="26"/>
  <c r="R860" i="26" s="1"/>
  <c r="BL859" i="26"/>
  <c r="BT859" i="26"/>
  <c r="AV859" i="55"/>
  <c r="O1141" i="55"/>
  <c r="Q1141" i="55"/>
  <c r="AI1141" i="55"/>
  <c r="P1141" i="55"/>
  <c r="K1141" i="55"/>
  <c r="AD1141" i="55"/>
  <c r="A1141" i="55"/>
  <c r="F1141" i="55"/>
  <c r="L1141" i="55"/>
  <c r="AB1141" i="55"/>
  <c r="N1141" i="55"/>
  <c r="C1141" i="55"/>
  <c r="AQ1141" i="55"/>
  <c r="AW1141" i="55"/>
  <c r="V1141" i="55"/>
  <c r="W1141" i="55"/>
  <c r="AN1141" i="55"/>
  <c r="I1141" i="55"/>
  <c r="M1141" i="55"/>
  <c r="D1141" i="55"/>
  <c r="AH1141" i="55"/>
  <c r="AC1141" i="55"/>
  <c r="H1141" i="55"/>
  <c r="AX1141" i="55"/>
  <c r="U1141" i="55"/>
  <c r="AT1141" i="55"/>
  <c r="S1141" i="55"/>
  <c r="B1141" i="55"/>
  <c r="X1141" i="55"/>
  <c r="G1141" i="55"/>
  <c r="AM1141" i="55"/>
  <c r="AG1141" i="55"/>
  <c r="AK1141" i="55"/>
  <c r="AL1141" i="55"/>
  <c r="AO1141" i="55"/>
  <c r="AF1141" i="55"/>
  <c r="Z1141" i="55"/>
  <c r="AL438" i="55"/>
  <c r="AJ860" i="26" l="1"/>
  <c r="AK860" i="26" s="1"/>
  <c r="D860" i="26"/>
  <c r="V860" i="26"/>
  <c r="BK860" i="26" s="1"/>
  <c r="G860" i="26"/>
  <c r="N860" i="26"/>
  <c r="E861" i="26"/>
  <c r="AO860" i="26"/>
  <c r="AT860" i="26" s="1"/>
  <c r="E1142" i="55"/>
  <c r="AL437" i="55"/>
  <c r="B861" i="26" l="1"/>
  <c r="F861" i="26" s="1"/>
  <c r="Q861" i="26"/>
  <c r="W861" i="26"/>
  <c r="L861" i="26"/>
  <c r="C861" i="26"/>
  <c r="H861" i="26"/>
  <c r="K861" i="26"/>
  <c r="M861" i="26" s="1"/>
  <c r="A861" i="26"/>
  <c r="AS861" i="26"/>
  <c r="BJ861" i="26" s="1"/>
  <c r="U861" i="26"/>
  <c r="R861" i="26"/>
  <c r="P860" i="26"/>
  <c r="O860" i="26"/>
  <c r="S860" i="26" s="1"/>
  <c r="T860" i="26" s="1"/>
  <c r="O1142" i="55"/>
  <c r="AG1142" i="55"/>
  <c r="AI1142" i="55"/>
  <c r="Q1142" i="55"/>
  <c r="K1142" i="55"/>
  <c r="P1142" i="55"/>
  <c r="Z1142" i="55"/>
  <c r="AD1142" i="55"/>
  <c r="AO1142" i="55"/>
  <c r="AK1142" i="55"/>
  <c r="AL1142" i="55"/>
  <c r="AF1142" i="55"/>
  <c r="AH1142" i="55"/>
  <c r="H1142" i="55"/>
  <c r="AM1142" i="55"/>
  <c r="D1142" i="55"/>
  <c r="AX1142" i="55"/>
  <c r="L1142" i="55"/>
  <c r="A1142" i="55"/>
  <c r="AT1142" i="55"/>
  <c r="X1142" i="55"/>
  <c r="W1142" i="55"/>
  <c r="G1142" i="55"/>
  <c r="S1142" i="55"/>
  <c r="AQ1142" i="55"/>
  <c r="F1142" i="55"/>
  <c r="V1142" i="55"/>
  <c r="AB1142" i="55"/>
  <c r="AN1142" i="55"/>
  <c r="C1142" i="55"/>
  <c r="I1142" i="55"/>
  <c r="U1142" i="55"/>
  <c r="AC1142" i="55"/>
  <c r="B1142" i="55"/>
  <c r="AW1142" i="55"/>
  <c r="N1142" i="55"/>
  <c r="M1142" i="55"/>
  <c r="AL436" i="55"/>
  <c r="AL860" i="26" l="1"/>
  <c r="AM860" i="26" s="1"/>
  <c r="AU860" i="26" s="1"/>
  <c r="AJ861" i="26"/>
  <c r="AK861" i="26" s="1"/>
  <c r="N861" i="26"/>
  <c r="AF861" i="26"/>
  <c r="AN861" i="26" s="1"/>
  <c r="V861" i="26"/>
  <c r="AO861" i="26" s="1"/>
  <c r="BC860" i="26"/>
  <c r="BL860" i="26"/>
  <c r="G861" i="26"/>
  <c r="X861" i="26"/>
  <c r="BK861" i="26" s="1"/>
  <c r="P861" i="26"/>
  <c r="D861" i="26"/>
  <c r="AP861" i="26"/>
  <c r="E1143" i="55"/>
  <c r="AL435" i="55"/>
  <c r="AT861" i="26" l="1"/>
  <c r="O861" i="26"/>
  <c r="AV860" i="55"/>
  <c r="BT860" i="26"/>
  <c r="E862" i="26"/>
  <c r="O1143" i="55"/>
  <c r="AG1143" i="55"/>
  <c r="AL1143" i="55"/>
  <c r="AI1143" i="55"/>
  <c r="Q1143" i="55"/>
  <c r="P1143" i="55"/>
  <c r="K1143" i="55"/>
  <c r="AD1143" i="55"/>
  <c r="AF1143" i="55"/>
  <c r="AO1143" i="55"/>
  <c r="AK1143" i="55"/>
  <c r="Z1143" i="55"/>
  <c r="M1143" i="55"/>
  <c r="F1143" i="55"/>
  <c r="G1143" i="55"/>
  <c r="S1143" i="55"/>
  <c r="L1143" i="55"/>
  <c r="V1143" i="55"/>
  <c r="A1143" i="55"/>
  <c r="AQ1143" i="55"/>
  <c r="D1143" i="55"/>
  <c r="AC1143" i="55"/>
  <c r="X1143" i="55"/>
  <c r="AT1143" i="55"/>
  <c r="B1143" i="55"/>
  <c r="N1143" i="55"/>
  <c r="AW1143" i="55"/>
  <c r="AN1143" i="55"/>
  <c r="AH1143" i="55"/>
  <c r="AM1143" i="55"/>
  <c r="I1143" i="55"/>
  <c r="H1143" i="55"/>
  <c r="AX1143" i="55"/>
  <c r="W1143" i="55"/>
  <c r="C1143" i="55"/>
  <c r="U1143" i="55"/>
  <c r="AB1143" i="55"/>
  <c r="AL434" i="55"/>
  <c r="AL861" i="26" l="1"/>
  <c r="AM861" i="26" s="1"/>
  <c r="AU861" i="26" s="1"/>
  <c r="B862" i="26"/>
  <c r="D862" i="26" s="1"/>
  <c r="H862" i="26"/>
  <c r="C862" i="26"/>
  <c r="E863" i="26" s="1"/>
  <c r="F862" i="26"/>
  <c r="A862" i="26"/>
  <c r="W862" i="26"/>
  <c r="L862" i="26"/>
  <c r="Q862" i="26"/>
  <c r="P862" i="26"/>
  <c r="O862" i="26"/>
  <c r="V862" i="26"/>
  <c r="AS862" i="26"/>
  <c r="BJ862" i="26" s="1"/>
  <c r="U862" i="26"/>
  <c r="AF862" i="26"/>
  <c r="AN862" i="26" s="1"/>
  <c r="G862" i="26"/>
  <c r="X862" i="26"/>
  <c r="BK862" i="26" s="1"/>
  <c r="R862" i="26"/>
  <c r="S861" i="26"/>
  <c r="T861" i="26" s="1"/>
  <c r="E1144" i="55"/>
  <c r="AL433" i="55"/>
  <c r="AO862" i="26" l="1"/>
  <c r="AL862" i="26"/>
  <c r="AM862" i="26" s="1"/>
  <c r="AU862" i="26" s="1"/>
  <c r="S862" i="26"/>
  <c r="T862" i="26" s="1"/>
  <c r="BL862" i="26" s="1"/>
  <c r="BL861" i="26"/>
  <c r="BC861" i="26"/>
  <c r="L863" i="26"/>
  <c r="B863" i="26"/>
  <c r="G863" i="26" s="1"/>
  <c r="O863" i="26"/>
  <c r="S863" i="26" s="1"/>
  <c r="T863" i="26" s="1"/>
  <c r="BL863" i="26" s="1"/>
  <c r="A863" i="26"/>
  <c r="C863" i="26"/>
  <c r="D863" i="26"/>
  <c r="F863" i="26"/>
  <c r="Q863" i="26"/>
  <c r="P863" i="26"/>
  <c r="W863" i="26"/>
  <c r="H863" i="26"/>
  <c r="K863" i="26"/>
  <c r="V863" i="26"/>
  <c r="R863" i="26"/>
  <c r="U863" i="26"/>
  <c r="AF863" i="26" s="1"/>
  <c r="AN863" i="26" s="1"/>
  <c r="AP862" i="26"/>
  <c r="K862" i="26"/>
  <c r="M862" i="26" s="1"/>
  <c r="AG1144" i="55"/>
  <c r="O1144" i="55"/>
  <c r="AO1144" i="55"/>
  <c r="AI1144" i="55"/>
  <c r="Q1144" i="55"/>
  <c r="P1144" i="55"/>
  <c r="K1144" i="55"/>
  <c r="AK1144" i="55"/>
  <c r="AL1144" i="55"/>
  <c r="AF1144" i="55"/>
  <c r="Z1144" i="55"/>
  <c r="AD1144" i="55"/>
  <c r="AN1144" i="55"/>
  <c r="X1144" i="55"/>
  <c r="L1144" i="55"/>
  <c r="AT1144" i="55"/>
  <c r="D1144" i="55"/>
  <c r="AM1144" i="55"/>
  <c r="AX1144" i="55"/>
  <c r="S1144" i="55"/>
  <c r="U1144" i="55"/>
  <c r="AB1144" i="55"/>
  <c r="W1144" i="55"/>
  <c r="N1144" i="55"/>
  <c r="AW1144" i="55"/>
  <c r="F1144" i="55"/>
  <c r="AC1144" i="55"/>
  <c r="I1144" i="55"/>
  <c r="A1144" i="55"/>
  <c r="V1144" i="55"/>
  <c r="AH1144" i="55"/>
  <c r="C1144" i="55"/>
  <c r="M1144" i="55"/>
  <c r="AQ1144" i="55"/>
  <c r="H1144" i="55"/>
  <c r="G1144" i="55"/>
  <c r="B1144" i="55"/>
  <c r="AL432" i="55"/>
  <c r="AT862" i="26" l="1"/>
  <c r="AP863" i="26"/>
  <c r="AO863" i="26"/>
  <c r="M863" i="26"/>
  <c r="BC862" i="26"/>
  <c r="AV861" i="55"/>
  <c r="BT861" i="26"/>
  <c r="N862" i="26"/>
  <c r="AJ862" i="26"/>
  <c r="AK862" i="26" s="1"/>
  <c r="AL863" i="26"/>
  <c r="X863" i="26"/>
  <c r="BK863" i="26" s="1"/>
  <c r="E864" i="26"/>
  <c r="AS863" i="26"/>
  <c r="BJ863" i="26" s="1"/>
  <c r="E1145" i="55"/>
  <c r="AL431" i="55"/>
  <c r="AT863" i="26" l="1"/>
  <c r="AM863" i="26"/>
  <c r="AU863" i="26" s="1"/>
  <c r="BC863" i="26"/>
  <c r="AV862" i="55"/>
  <c r="BT862" i="26"/>
  <c r="B864" i="26"/>
  <c r="C864" i="26"/>
  <c r="U864" i="26" s="1"/>
  <c r="AF864" i="26" s="1"/>
  <c r="AN864" i="26" s="1"/>
  <c r="L864" i="26"/>
  <c r="W864" i="26"/>
  <c r="H864" i="26"/>
  <c r="A864" i="26"/>
  <c r="Q864" i="26"/>
  <c r="F864" i="26"/>
  <c r="R864" i="26" s="1"/>
  <c r="AP864" i="26"/>
  <c r="K864" i="26"/>
  <c r="G864" i="26"/>
  <c r="X864" i="26"/>
  <c r="V864" i="26"/>
  <c r="BK864" i="26" s="1"/>
  <c r="AJ863" i="26"/>
  <c r="AK863" i="26" s="1"/>
  <c r="N863" i="26"/>
  <c r="O1145" i="55"/>
  <c r="Z1145" i="55"/>
  <c r="AI1145" i="55"/>
  <c r="Q1145" i="55"/>
  <c r="P1145" i="55"/>
  <c r="K1145" i="55"/>
  <c r="AG1145" i="55"/>
  <c r="AK1145" i="55"/>
  <c r="H1145" i="55"/>
  <c r="D1145" i="55"/>
  <c r="L1145" i="55"/>
  <c r="U1145" i="55"/>
  <c r="F1145" i="55"/>
  <c r="AQ1145" i="55"/>
  <c r="M1145" i="55"/>
  <c r="V1145" i="55"/>
  <c r="X1145" i="55"/>
  <c r="AC1145" i="55"/>
  <c r="C1145" i="55"/>
  <c r="A1145" i="55"/>
  <c r="AN1145" i="55"/>
  <c r="AM1145" i="55"/>
  <c r="B1145" i="55"/>
  <c r="AH1145" i="55"/>
  <c r="AW1145" i="55"/>
  <c r="N1145" i="55"/>
  <c r="G1145" i="55"/>
  <c r="AT1145" i="55"/>
  <c r="S1145" i="55"/>
  <c r="W1145" i="55"/>
  <c r="AB1145" i="55"/>
  <c r="I1145" i="55"/>
  <c r="AX1145" i="55"/>
  <c r="AL1145" i="55"/>
  <c r="AD1145" i="55"/>
  <c r="AO1145" i="55"/>
  <c r="AF1145" i="55"/>
  <c r="AL430" i="55"/>
  <c r="AO864" i="26" l="1"/>
  <c r="AT864" i="26" s="1"/>
  <c r="AS864" i="26"/>
  <c r="BJ864" i="26" s="1"/>
  <c r="M864" i="26"/>
  <c r="BT863" i="26"/>
  <c r="AV863" i="55"/>
  <c r="D864" i="26"/>
  <c r="E1146" i="55"/>
  <c r="AL429" i="55"/>
  <c r="N864" i="26" l="1"/>
  <c r="AJ864" i="26"/>
  <c r="AK864" i="26" s="1"/>
  <c r="E865" i="26"/>
  <c r="O864" i="26"/>
  <c r="P864" i="26"/>
  <c r="O1146" i="55"/>
  <c r="AO1146" i="55"/>
  <c r="AL1146" i="55"/>
  <c r="Z1146" i="55"/>
  <c r="AF1146" i="55"/>
  <c r="AI1146" i="55"/>
  <c r="Q1146" i="55"/>
  <c r="P1146" i="55"/>
  <c r="K1146" i="55"/>
  <c r="AK1146" i="55"/>
  <c r="AG1146" i="55"/>
  <c r="H1146" i="55"/>
  <c r="AM1146" i="55"/>
  <c r="V1146" i="55"/>
  <c r="L1146" i="55"/>
  <c r="S1146" i="55"/>
  <c r="M1146" i="55"/>
  <c r="C1146" i="55"/>
  <c r="A1146" i="55"/>
  <c r="W1146" i="55"/>
  <c r="AN1146" i="55"/>
  <c r="U1146" i="55"/>
  <c r="G1146" i="55"/>
  <c r="AC1146" i="55"/>
  <c r="AX1146" i="55"/>
  <c r="AT1146" i="55"/>
  <c r="AQ1146" i="55"/>
  <c r="F1146" i="55"/>
  <c r="D1146" i="55"/>
  <c r="AH1146" i="55"/>
  <c r="B1146" i="55"/>
  <c r="N1146" i="55"/>
  <c r="X1146" i="55"/>
  <c r="I1146" i="55"/>
  <c r="AW1146" i="55"/>
  <c r="AB1146" i="55"/>
  <c r="AD1146" i="55"/>
  <c r="AL428" i="55"/>
  <c r="AL864" i="26" l="1"/>
  <c r="AM864" i="26" s="1"/>
  <c r="AU864" i="26" s="1"/>
  <c r="S864" i="26"/>
  <c r="T864" i="26" s="1"/>
  <c r="W865" i="26"/>
  <c r="H865" i="26"/>
  <c r="U865" i="26"/>
  <c r="C865" i="26"/>
  <c r="B865" i="26"/>
  <c r="AF865" i="26" s="1"/>
  <c r="AN865" i="26" s="1"/>
  <c r="Q865" i="26"/>
  <c r="A865" i="26"/>
  <c r="L865" i="26"/>
  <c r="V865" i="26"/>
  <c r="E1147" i="55"/>
  <c r="AL427" i="55"/>
  <c r="AO865" i="26" l="1"/>
  <c r="O865" i="26"/>
  <c r="S865" i="26" s="1"/>
  <c r="T865" i="26" s="1"/>
  <c r="BL865" i="26" s="1"/>
  <c r="AP865" i="26"/>
  <c r="K865" i="26"/>
  <c r="M865" i="26" s="1"/>
  <c r="F865" i="26"/>
  <c r="R865" i="26" s="1"/>
  <c r="D865" i="26"/>
  <c r="G865" i="26"/>
  <c r="X865" i="26"/>
  <c r="BK865" i="26" s="1"/>
  <c r="AS865" i="26"/>
  <c r="BJ865" i="26" s="1"/>
  <c r="E866" i="26"/>
  <c r="BL864" i="26"/>
  <c r="BC864" i="26"/>
  <c r="O1147" i="55"/>
  <c r="AK1147" i="55"/>
  <c r="Q1147" i="55"/>
  <c r="AI1147" i="55"/>
  <c r="P1147" i="55"/>
  <c r="K1147" i="55"/>
  <c r="Z1147" i="55"/>
  <c r="AF1147" i="55"/>
  <c r="AG1147" i="55"/>
  <c r="AD1147" i="55"/>
  <c r="AO1147" i="55"/>
  <c r="V1147" i="55"/>
  <c r="B1147" i="55"/>
  <c r="AX1147" i="55"/>
  <c r="C1147" i="55"/>
  <c r="AN1147" i="55"/>
  <c r="AQ1147" i="55"/>
  <c r="AB1147" i="55"/>
  <c r="AH1147" i="55"/>
  <c r="X1147" i="55"/>
  <c r="U1147" i="55"/>
  <c r="W1147" i="55"/>
  <c r="AM1147" i="55"/>
  <c r="M1147" i="55"/>
  <c r="AC1147" i="55"/>
  <c r="AW1147" i="55"/>
  <c r="D1147" i="55"/>
  <c r="A1147" i="55"/>
  <c r="S1147" i="55"/>
  <c r="G1147" i="55"/>
  <c r="I1147" i="55"/>
  <c r="L1147" i="55"/>
  <c r="H1147" i="55"/>
  <c r="F1147" i="55"/>
  <c r="N1147" i="55"/>
  <c r="AT1147" i="55"/>
  <c r="AL1147" i="55"/>
  <c r="AL426" i="55"/>
  <c r="AT865" i="26" l="1"/>
  <c r="L866" i="26"/>
  <c r="H866" i="26"/>
  <c r="Q866" i="26"/>
  <c r="AP866" i="26"/>
  <c r="W866" i="26"/>
  <c r="B866" i="26"/>
  <c r="K866" i="26" s="1"/>
  <c r="F866" i="26"/>
  <c r="R866" i="26" s="1"/>
  <c r="G866" i="26"/>
  <c r="C866" i="26"/>
  <c r="AS866" i="26"/>
  <c r="BJ866" i="26" s="1"/>
  <c r="A866" i="26"/>
  <c r="U866" i="26"/>
  <c r="AF866" i="26" s="1"/>
  <c r="AN866" i="26" s="1"/>
  <c r="X866" i="26"/>
  <c r="BC865" i="26"/>
  <c r="AV864" i="55"/>
  <c r="BT864" i="26"/>
  <c r="N865" i="26"/>
  <c r="AJ865" i="26"/>
  <c r="AK865" i="26" s="1"/>
  <c r="P865" i="26"/>
  <c r="E1148" i="55"/>
  <c r="AL425" i="55"/>
  <c r="AL865" i="26" l="1"/>
  <c r="AM865" i="26" s="1"/>
  <c r="AU865" i="26" s="1"/>
  <c r="M866" i="26"/>
  <c r="D866" i="26"/>
  <c r="E867" i="26" s="1"/>
  <c r="BT865" i="26"/>
  <c r="AV865" i="55"/>
  <c r="V866" i="26"/>
  <c r="O1148" i="55"/>
  <c r="AG1148" i="55"/>
  <c r="Z1148" i="55"/>
  <c r="AI1148" i="55"/>
  <c r="Q1148" i="55"/>
  <c r="P1148" i="55"/>
  <c r="K1148" i="55"/>
  <c r="AL1148" i="55"/>
  <c r="AD1148" i="55"/>
  <c r="AF1148" i="55"/>
  <c r="U1148" i="55"/>
  <c r="I1148" i="55"/>
  <c r="V1148" i="55"/>
  <c r="X1148" i="55"/>
  <c r="AT1148" i="55"/>
  <c r="AX1148" i="55"/>
  <c r="F1148" i="55"/>
  <c r="AB1148" i="55"/>
  <c r="AH1148" i="55"/>
  <c r="N1148" i="55"/>
  <c r="B1148" i="55"/>
  <c r="AC1148" i="55"/>
  <c r="H1148" i="55"/>
  <c r="AQ1148" i="55"/>
  <c r="W1148" i="55"/>
  <c r="AM1148" i="55"/>
  <c r="S1148" i="55"/>
  <c r="D1148" i="55"/>
  <c r="A1148" i="55"/>
  <c r="G1148" i="55"/>
  <c r="C1148" i="55"/>
  <c r="L1148" i="55"/>
  <c r="AN1148" i="55"/>
  <c r="M1148" i="55"/>
  <c r="AW1148" i="55"/>
  <c r="AK1148" i="55"/>
  <c r="AO1148" i="55"/>
  <c r="AL424" i="55"/>
  <c r="H867" i="26" l="1"/>
  <c r="C867" i="26"/>
  <c r="W867" i="26"/>
  <c r="D867" i="26"/>
  <c r="K867" i="26"/>
  <c r="M867" i="26" s="1"/>
  <c r="A867" i="26"/>
  <c r="L867" i="26"/>
  <c r="U867" i="26"/>
  <c r="B867" i="26"/>
  <c r="Q867" i="26"/>
  <c r="X867" i="26"/>
  <c r="AP867" i="26"/>
  <c r="P867" i="26"/>
  <c r="V867" i="26"/>
  <c r="G867" i="26"/>
  <c r="F867" i="26"/>
  <c r="AF867" i="26"/>
  <c r="AN867" i="26" s="1"/>
  <c r="O867" i="26"/>
  <c r="AO866" i="26"/>
  <c r="AT866" i="26" s="1"/>
  <c r="BK866" i="26"/>
  <c r="P866" i="26"/>
  <c r="O866" i="26"/>
  <c r="S866" i="26" s="1"/>
  <c r="T866" i="26" s="1"/>
  <c r="AJ866" i="26"/>
  <c r="AK866" i="26" s="1"/>
  <c r="N866" i="26"/>
  <c r="E1149" i="55"/>
  <c r="AL423" i="55"/>
  <c r="AO867" i="26" l="1"/>
  <c r="AT867" i="26" s="1"/>
  <c r="AJ867" i="26"/>
  <c r="AK867" i="26" s="1"/>
  <c r="AL866" i="26"/>
  <c r="AM866" i="26" s="1"/>
  <c r="AU866" i="26" s="1"/>
  <c r="BK867" i="26"/>
  <c r="AS867" i="26"/>
  <c r="BJ867" i="26" s="1"/>
  <c r="E868" i="26"/>
  <c r="R867" i="26"/>
  <c r="AL867" i="26" s="1"/>
  <c r="BL866" i="26"/>
  <c r="BC866" i="26"/>
  <c r="N867" i="26"/>
  <c r="O1149" i="55"/>
  <c r="AF1149" i="55"/>
  <c r="AD1149" i="55"/>
  <c r="AL1149" i="55"/>
  <c r="Q1149" i="55"/>
  <c r="AI1149" i="55"/>
  <c r="P1149" i="55"/>
  <c r="K1149" i="55"/>
  <c r="AG1149" i="55"/>
  <c r="AO1149" i="55"/>
  <c r="AK1149" i="55"/>
  <c r="AC1149" i="55"/>
  <c r="V1149" i="55"/>
  <c r="M1149" i="55"/>
  <c r="A1149" i="55"/>
  <c r="AX1149" i="55"/>
  <c r="G1149" i="55"/>
  <c r="W1149" i="55"/>
  <c r="C1149" i="55"/>
  <c r="L1149" i="55"/>
  <c r="AW1149" i="55"/>
  <c r="B1149" i="55"/>
  <c r="N1149" i="55"/>
  <c r="D1149" i="55"/>
  <c r="AM1149" i="55"/>
  <c r="I1149" i="55"/>
  <c r="AB1149" i="55"/>
  <c r="AT1149" i="55"/>
  <c r="AN1149" i="55"/>
  <c r="U1149" i="55"/>
  <c r="F1149" i="55"/>
  <c r="AH1149" i="55"/>
  <c r="X1149" i="55"/>
  <c r="S1149" i="55"/>
  <c r="AQ1149" i="55"/>
  <c r="H1149" i="55"/>
  <c r="Z1149" i="55"/>
  <c r="AL422" i="55"/>
  <c r="AV866" i="55" l="1"/>
  <c r="BT866" i="26"/>
  <c r="L868" i="26"/>
  <c r="Q868" i="26"/>
  <c r="H868" i="26"/>
  <c r="C868" i="26"/>
  <c r="A868" i="26"/>
  <c r="B868" i="26"/>
  <c r="D868" i="26" s="1"/>
  <c r="W868" i="26"/>
  <c r="P868" i="26"/>
  <c r="F868" i="26"/>
  <c r="AS868" i="26"/>
  <c r="BJ868" i="26" s="1"/>
  <c r="AP868" i="26"/>
  <c r="O868" i="26"/>
  <c r="U868" i="26"/>
  <c r="AF868" i="26" s="1"/>
  <c r="AN868" i="26" s="1"/>
  <c r="G868" i="26"/>
  <c r="AM867" i="26"/>
  <c r="AU867" i="26" s="1"/>
  <c r="S867" i="26"/>
  <c r="T867" i="26" s="1"/>
  <c r="BL867" i="26" s="1"/>
  <c r="E1150" i="55"/>
  <c r="AG1150" i="55" s="1"/>
  <c r="AL421" i="55"/>
  <c r="R868" i="26" l="1"/>
  <c r="V868" i="26"/>
  <c r="AO868" i="26" s="1"/>
  <c r="AT868" i="26" s="1"/>
  <c r="E869" i="26"/>
  <c r="K868" i="26"/>
  <c r="M868" i="26" s="1"/>
  <c r="X868" i="26"/>
  <c r="BC867" i="26"/>
  <c r="O1150" i="55"/>
  <c r="AL1150" i="55"/>
  <c r="AI1150" i="55"/>
  <c r="Q1150" i="55"/>
  <c r="P1150" i="55"/>
  <c r="K1150" i="55"/>
  <c r="Z1150" i="55"/>
  <c r="AD1150" i="55"/>
  <c r="AF1150" i="55"/>
  <c r="AX1150" i="55"/>
  <c r="B1150" i="55"/>
  <c r="X1150" i="55"/>
  <c r="AT1150" i="55"/>
  <c r="AQ1150" i="55"/>
  <c r="A1150" i="55"/>
  <c r="M1150" i="55"/>
  <c r="S1150" i="55"/>
  <c r="H1150" i="55"/>
  <c r="N1150" i="55"/>
  <c r="C1150" i="55"/>
  <c r="AN1150" i="55"/>
  <c r="AB1150" i="55"/>
  <c r="AM1150" i="55"/>
  <c r="AC1150" i="55"/>
  <c r="AH1150" i="55"/>
  <c r="G1150" i="55"/>
  <c r="F1150" i="55"/>
  <c r="V1150" i="55"/>
  <c r="U1150" i="55"/>
  <c r="L1150" i="55"/>
  <c r="W1150" i="55"/>
  <c r="AW1150" i="55"/>
  <c r="I1150" i="55"/>
  <c r="D1150" i="55"/>
  <c r="AO1150" i="55"/>
  <c r="AK1150" i="55"/>
  <c r="AL420" i="55"/>
  <c r="AL868" i="26" l="1"/>
  <c r="AM868" i="26" s="1"/>
  <c r="AU868" i="26" s="1"/>
  <c r="BT867" i="26"/>
  <c r="AV867" i="55"/>
  <c r="H869" i="26"/>
  <c r="A869" i="26"/>
  <c r="K869" i="26"/>
  <c r="M869" i="26" s="1"/>
  <c r="L869" i="26"/>
  <c r="C869" i="26"/>
  <c r="Q869" i="26"/>
  <c r="F869" i="26"/>
  <c r="R869" i="26" s="1"/>
  <c r="B869" i="26"/>
  <c r="G869" i="26" s="1"/>
  <c r="W869" i="26"/>
  <c r="AP869" i="26"/>
  <c r="V869" i="26"/>
  <c r="X869" i="26"/>
  <c r="BK869" i="26"/>
  <c r="BK868" i="26"/>
  <c r="AJ868" i="26"/>
  <c r="AK868" i="26" s="1"/>
  <c r="N868" i="26"/>
  <c r="S868" i="26"/>
  <c r="T868" i="26" s="1"/>
  <c r="BL868" i="26" s="1"/>
  <c r="E1151" i="55"/>
  <c r="AL419" i="55"/>
  <c r="AO869" i="26" l="1"/>
  <c r="AT869" i="26" s="1"/>
  <c r="AJ869" i="26"/>
  <c r="AK869" i="26" s="1"/>
  <c r="N869" i="26"/>
  <c r="D869" i="26"/>
  <c r="U869" i="26"/>
  <c r="AF869" i="26" s="1"/>
  <c r="AN869" i="26" s="1"/>
  <c r="BC868" i="26"/>
  <c r="AL1151" i="55"/>
  <c r="O1151" i="55"/>
  <c r="AG1151" i="55"/>
  <c r="AK1151" i="55"/>
  <c r="AI1151" i="55"/>
  <c r="Q1151" i="55"/>
  <c r="P1151" i="55"/>
  <c r="K1151" i="55"/>
  <c r="Z1151" i="55"/>
  <c r="AO1151" i="55"/>
  <c r="I1151" i="55"/>
  <c r="X1151" i="55"/>
  <c r="G1151" i="55"/>
  <c r="AX1151" i="55"/>
  <c r="A1151" i="55"/>
  <c r="D1151" i="55"/>
  <c r="W1151" i="55"/>
  <c r="AQ1151" i="55"/>
  <c r="C1151" i="55"/>
  <c r="AW1151" i="55"/>
  <c r="U1151" i="55"/>
  <c r="V1151" i="55"/>
  <c r="L1151" i="55"/>
  <c r="AM1151" i="55"/>
  <c r="N1151" i="55"/>
  <c r="B1151" i="55"/>
  <c r="AT1151" i="55"/>
  <c r="AN1151" i="55"/>
  <c r="AH1151" i="55"/>
  <c r="S1151" i="55"/>
  <c r="F1151" i="55"/>
  <c r="M1151" i="55"/>
  <c r="H1151" i="55"/>
  <c r="AC1151" i="55"/>
  <c r="AB1151" i="55"/>
  <c r="AD1151" i="55"/>
  <c r="AF1151" i="55"/>
  <c r="AL418" i="55"/>
  <c r="AV868" i="55" l="1"/>
  <c r="BT868" i="26"/>
  <c r="P869" i="26"/>
  <c r="O869" i="26"/>
  <c r="S869" i="26" s="1"/>
  <c r="T869" i="26" s="1"/>
  <c r="BL869" i="26" s="1"/>
  <c r="E870" i="26"/>
  <c r="E1152" i="55"/>
  <c r="AL417" i="55"/>
  <c r="AL869" i="26" l="1"/>
  <c r="AM869" i="26" s="1"/>
  <c r="AU869" i="26" s="1"/>
  <c r="L870" i="26"/>
  <c r="AO870" i="26"/>
  <c r="H870" i="26"/>
  <c r="AS870" i="26"/>
  <c r="BJ870" i="26" s="1"/>
  <c r="A870" i="26"/>
  <c r="W870" i="26"/>
  <c r="B870" i="26"/>
  <c r="AP870" i="26" s="1"/>
  <c r="Q870" i="26"/>
  <c r="C870" i="26"/>
  <c r="U870" i="26" s="1"/>
  <c r="AF870" i="26" s="1"/>
  <c r="AN870" i="26" s="1"/>
  <c r="V870" i="26"/>
  <c r="BC869" i="26"/>
  <c r="O1152" i="55"/>
  <c r="AG1152" i="55"/>
  <c r="AI1152" i="55"/>
  <c r="Q1152" i="55"/>
  <c r="P1152" i="55"/>
  <c r="K1152" i="55"/>
  <c r="AD1152" i="55"/>
  <c r="AK1152" i="55"/>
  <c r="AO1152" i="55"/>
  <c r="AF1152" i="55"/>
  <c r="H1152" i="55"/>
  <c r="D1152" i="55"/>
  <c r="V1152" i="55"/>
  <c r="AM1152" i="55"/>
  <c r="B1152" i="55"/>
  <c r="AB1152" i="55"/>
  <c r="A1152" i="55"/>
  <c r="M1152" i="55"/>
  <c r="AX1152" i="55"/>
  <c r="S1152" i="55"/>
  <c r="AC1152" i="55"/>
  <c r="AW1152" i="55"/>
  <c r="U1152" i="55"/>
  <c r="AH1152" i="55"/>
  <c r="AN1152" i="55"/>
  <c r="G1152" i="55"/>
  <c r="F1152" i="55"/>
  <c r="N1152" i="55"/>
  <c r="I1152" i="55"/>
  <c r="X1152" i="55"/>
  <c r="C1152" i="55"/>
  <c r="W1152" i="55"/>
  <c r="L1152" i="55"/>
  <c r="AT1152" i="55"/>
  <c r="AQ1152" i="55"/>
  <c r="Z1152" i="55"/>
  <c r="AL1152" i="55"/>
  <c r="AL416" i="55"/>
  <c r="AT870" i="26" l="1"/>
  <c r="AV869" i="55"/>
  <c r="BT869" i="26"/>
  <c r="K870" i="26"/>
  <c r="M870" i="26" s="1"/>
  <c r="F870" i="26"/>
  <c r="R870" i="26" s="1"/>
  <c r="G870" i="26"/>
  <c r="D870" i="26"/>
  <c r="X870" i="26"/>
  <c r="BK870" i="26" s="1"/>
  <c r="E871" i="26"/>
  <c r="E1153" i="55"/>
  <c r="AL415" i="55"/>
  <c r="Q871" i="26" l="1"/>
  <c r="B871" i="26"/>
  <c r="D871" i="26" s="1"/>
  <c r="A871" i="26"/>
  <c r="C871" i="26"/>
  <c r="E872" i="26" s="1"/>
  <c r="H871" i="26"/>
  <c r="L871" i="26"/>
  <c r="W871" i="26"/>
  <c r="K871" i="26"/>
  <c r="M871" i="26" s="1"/>
  <c r="P871" i="26"/>
  <c r="G871" i="26"/>
  <c r="F871" i="26"/>
  <c r="O871" i="26"/>
  <c r="AJ870" i="26"/>
  <c r="AK870" i="26" s="1"/>
  <c r="N870" i="26"/>
  <c r="P870" i="26"/>
  <c r="O870" i="26"/>
  <c r="S870" i="26" s="1"/>
  <c r="T870" i="26" s="1"/>
  <c r="O1153" i="55"/>
  <c r="AI1153" i="55"/>
  <c r="Q1153" i="55"/>
  <c r="K1153" i="55"/>
  <c r="P1153" i="55"/>
  <c r="AK1153" i="55"/>
  <c r="AL1153" i="55"/>
  <c r="Z1153" i="55"/>
  <c r="AG1153" i="55"/>
  <c r="AO1153" i="55"/>
  <c r="AD1153" i="55"/>
  <c r="AF1153" i="55"/>
  <c r="AH1153" i="55"/>
  <c r="AN1153" i="55"/>
  <c r="AQ1153" i="55"/>
  <c r="H1153" i="55"/>
  <c r="D1153" i="55"/>
  <c r="M1153" i="55"/>
  <c r="G1153" i="55"/>
  <c r="X1153" i="55"/>
  <c r="A1153" i="55"/>
  <c r="AC1153" i="55"/>
  <c r="U1153" i="55"/>
  <c r="V1153" i="55"/>
  <c r="AB1153" i="55"/>
  <c r="L1153" i="55"/>
  <c r="N1153" i="55"/>
  <c r="S1153" i="55"/>
  <c r="I1153" i="55"/>
  <c r="C1153" i="55"/>
  <c r="B1153" i="55"/>
  <c r="AM1153" i="55"/>
  <c r="AT1153" i="55"/>
  <c r="W1153" i="55"/>
  <c r="AL414" i="55"/>
  <c r="AJ871" i="26" l="1"/>
  <c r="AK871" i="26" s="1"/>
  <c r="AL870" i="26"/>
  <c r="AM870" i="26" s="1"/>
  <c r="AU870" i="26" s="1"/>
  <c r="W872" i="26"/>
  <c r="AO872" i="26"/>
  <c r="B872" i="26"/>
  <c r="D872" i="26" s="1"/>
  <c r="C872" i="26"/>
  <c r="L872" i="26"/>
  <c r="H872" i="26"/>
  <c r="Q872" i="26"/>
  <c r="A872" i="26"/>
  <c r="O872" i="26"/>
  <c r="U872" i="26"/>
  <c r="AF872" i="26" s="1"/>
  <c r="AN872" i="26" s="1"/>
  <c r="P872" i="26"/>
  <c r="K872" i="26"/>
  <c r="AS872" i="26"/>
  <c r="BJ872" i="26" s="1"/>
  <c r="G872" i="26"/>
  <c r="V872" i="26"/>
  <c r="BL870" i="26"/>
  <c r="BC870" i="26"/>
  <c r="R871" i="26"/>
  <c r="AL871" i="26" s="1"/>
  <c r="AP871" i="26"/>
  <c r="AP872" i="26" s="1"/>
  <c r="U871" i="26"/>
  <c r="AF871" i="26" s="1"/>
  <c r="AN871" i="26" s="1"/>
  <c r="N871" i="26"/>
  <c r="V871" i="26"/>
  <c r="X871" i="26"/>
  <c r="AS871" i="26"/>
  <c r="BJ871" i="26" s="1"/>
  <c r="E1154" i="55"/>
  <c r="AL413" i="55"/>
  <c r="BK871" i="26" l="1"/>
  <c r="AO871" i="26"/>
  <c r="AT871" i="26" s="1"/>
  <c r="F872" i="26"/>
  <c r="R872" i="26" s="1"/>
  <c r="AL872" i="26" s="1"/>
  <c r="AM871" i="26"/>
  <c r="AU871" i="26" s="1"/>
  <c r="AT872" i="26"/>
  <c r="AV870" i="55"/>
  <c r="BT870" i="26"/>
  <c r="BK872" i="26"/>
  <c r="M872" i="26"/>
  <c r="X872" i="26"/>
  <c r="E873" i="26"/>
  <c r="S871" i="26"/>
  <c r="T871" i="26" s="1"/>
  <c r="BL871" i="26" s="1"/>
  <c r="O1154" i="55"/>
  <c r="AK1154" i="55"/>
  <c r="AI1154" i="55"/>
  <c r="Q1154" i="55"/>
  <c r="P1154" i="55"/>
  <c r="K1154" i="55"/>
  <c r="AD1154" i="55"/>
  <c r="Z1154" i="55"/>
  <c r="AL1154" i="55"/>
  <c r="AO1154" i="55"/>
  <c r="AG1154" i="55"/>
  <c r="AF1154" i="55"/>
  <c r="G1154" i="55"/>
  <c r="AH1154" i="55"/>
  <c r="AN1154" i="55"/>
  <c r="C1154" i="55"/>
  <c r="D1154" i="55"/>
  <c r="I1154" i="55"/>
  <c r="L1154" i="55"/>
  <c r="A1154" i="55"/>
  <c r="N1154" i="55"/>
  <c r="B1154" i="55"/>
  <c r="AB1154" i="55"/>
  <c r="M1154" i="55"/>
  <c r="S1154" i="55"/>
  <c r="AM1154" i="55"/>
  <c r="W1154" i="55"/>
  <c r="V1154" i="55"/>
  <c r="AC1154" i="55"/>
  <c r="U1154" i="55"/>
  <c r="AQ1154" i="55"/>
  <c r="AT1154" i="55"/>
  <c r="H1154" i="55"/>
  <c r="X1154" i="55"/>
  <c r="AL412" i="55"/>
  <c r="AM872" i="26" l="1"/>
  <c r="AU872" i="26" s="1"/>
  <c r="N872" i="26"/>
  <c r="AJ872" i="26"/>
  <c r="AK872" i="26" s="1"/>
  <c r="BC871" i="26"/>
  <c r="B873" i="26"/>
  <c r="G873" i="26"/>
  <c r="L873" i="26"/>
  <c r="Q873" i="26"/>
  <c r="W873" i="26"/>
  <c r="H873" i="26"/>
  <c r="K873" i="26"/>
  <c r="A873" i="26"/>
  <c r="C873" i="26"/>
  <c r="X873" i="26" s="1"/>
  <c r="D873" i="26"/>
  <c r="AP873" i="26"/>
  <c r="P873" i="26"/>
  <c r="S872" i="26"/>
  <c r="T872" i="26" s="1"/>
  <c r="BL872" i="26" s="1"/>
  <c r="E1155" i="55"/>
  <c r="AL411" i="55"/>
  <c r="V873" i="26" l="1"/>
  <c r="BK873" i="26" s="1"/>
  <c r="U873" i="26"/>
  <c r="AF873" i="26" s="1"/>
  <c r="AN873" i="26" s="1"/>
  <c r="M873" i="26"/>
  <c r="F873" i="26"/>
  <c r="R873" i="26" s="1"/>
  <c r="O873" i="26"/>
  <c r="S873" i="26" s="1"/>
  <c r="T873" i="26" s="1"/>
  <c r="BL873" i="26" s="1"/>
  <c r="AS873" i="26"/>
  <c r="BJ873" i="26" s="1"/>
  <c r="AO873" i="26"/>
  <c r="AT873" i="26" s="1"/>
  <c r="E874" i="26"/>
  <c r="BC872" i="26"/>
  <c r="AV871" i="55"/>
  <c r="BT871" i="26"/>
  <c r="O1155" i="55"/>
  <c r="AG1155" i="55"/>
  <c r="AF1155" i="55"/>
  <c r="AI1155" i="55"/>
  <c r="Q1155" i="55"/>
  <c r="P1155" i="55"/>
  <c r="K1155" i="55"/>
  <c r="Z1155" i="55"/>
  <c r="AD1155" i="55"/>
  <c r="AL1155" i="55"/>
  <c r="AK1155" i="55"/>
  <c r="AO1155" i="55"/>
  <c r="AN1155" i="55"/>
  <c r="AQ1155" i="55"/>
  <c r="AM1155" i="55"/>
  <c r="A1155" i="55"/>
  <c r="AB1155" i="55"/>
  <c r="V1155" i="55"/>
  <c r="D1155" i="55"/>
  <c r="M1155" i="55"/>
  <c r="C1155" i="55"/>
  <c r="AT1155" i="55"/>
  <c r="AH1155" i="55"/>
  <c r="L1155" i="55"/>
  <c r="N1155" i="55"/>
  <c r="U1155" i="55"/>
  <c r="AC1155" i="55"/>
  <c r="I1155" i="55"/>
  <c r="B1155" i="55"/>
  <c r="H1155" i="55"/>
  <c r="S1155" i="55"/>
  <c r="G1155" i="55"/>
  <c r="W1155" i="55"/>
  <c r="X1155" i="55"/>
  <c r="AL410" i="55"/>
  <c r="AL873" i="26" l="1"/>
  <c r="AM873" i="26" s="1"/>
  <c r="AU873" i="26" s="1"/>
  <c r="A874" i="26"/>
  <c r="B874" i="26"/>
  <c r="W874" i="26"/>
  <c r="C874" i="26"/>
  <c r="AS874" i="26" s="1"/>
  <c r="BJ874" i="26" s="1"/>
  <c r="L874" i="26"/>
  <c r="F874" i="26"/>
  <c r="H874" i="26"/>
  <c r="Q874" i="26"/>
  <c r="G874" i="26"/>
  <c r="K874" i="26"/>
  <c r="M874" i="26" s="1"/>
  <c r="N874" i="26" s="1"/>
  <c r="D874" i="26"/>
  <c r="U874" i="26"/>
  <c r="AF874" i="26" s="1"/>
  <c r="AN874" i="26" s="1"/>
  <c r="X874" i="26"/>
  <c r="AP874" i="26"/>
  <c r="V874" i="26"/>
  <c r="N873" i="26"/>
  <c r="AJ873" i="26"/>
  <c r="AK873" i="26" s="1"/>
  <c r="BC873" i="26"/>
  <c r="BT872" i="26"/>
  <c r="AV872" i="55"/>
  <c r="AV873" i="55"/>
  <c r="BT873" i="26"/>
  <c r="E1156" i="55"/>
  <c r="AL409" i="55"/>
  <c r="E875" i="26" l="1"/>
  <c r="AJ874" i="26"/>
  <c r="AK874" i="26" s="1"/>
  <c r="R874" i="26"/>
  <c r="BK874" i="26"/>
  <c r="AO874" i="26"/>
  <c r="AT874" i="26" s="1"/>
  <c r="P874" i="26"/>
  <c r="O874" i="26"/>
  <c r="O1156" i="55"/>
  <c r="AK1156" i="55"/>
  <c r="AF1156" i="55"/>
  <c r="AI1156" i="55"/>
  <c r="Q1156" i="55"/>
  <c r="P1156" i="55"/>
  <c r="K1156" i="55"/>
  <c r="AD1156" i="55"/>
  <c r="AN1156" i="55"/>
  <c r="AH1156" i="55"/>
  <c r="N1156" i="55"/>
  <c r="AM1156" i="55"/>
  <c r="G1156" i="55"/>
  <c r="AB1156" i="55"/>
  <c r="S1156" i="55"/>
  <c r="C1156" i="55"/>
  <c r="A1156" i="55"/>
  <c r="B1156" i="55"/>
  <c r="W1156" i="55"/>
  <c r="M1156" i="55"/>
  <c r="L1156" i="55"/>
  <c r="D1156" i="55"/>
  <c r="V1156" i="55"/>
  <c r="X1156" i="55"/>
  <c r="AT1156" i="55"/>
  <c r="U1156" i="55"/>
  <c r="I1156" i="55"/>
  <c r="AC1156" i="55"/>
  <c r="H1156" i="55"/>
  <c r="AQ1156" i="55"/>
  <c r="AG1156" i="55"/>
  <c r="AO1156" i="55"/>
  <c r="Z1156" i="55"/>
  <c r="AL1156" i="55"/>
  <c r="AL408" i="55"/>
  <c r="AL874" i="26" l="1"/>
  <c r="AM874" i="26" s="1"/>
  <c r="AU874" i="26" s="1"/>
  <c r="S874" i="26"/>
  <c r="T874" i="26" s="1"/>
  <c r="A875" i="26"/>
  <c r="B875" i="26"/>
  <c r="D875" i="26" s="1"/>
  <c r="Q875" i="26"/>
  <c r="H875" i="26"/>
  <c r="U875" i="26"/>
  <c r="AF875" i="26" s="1"/>
  <c r="AN875" i="26" s="1"/>
  <c r="W875" i="26"/>
  <c r="C875" i="26"/>
  <c r="AS875" i="26"/>
  <c r="BJ875" i="26" s="1"/>
  <c r="L875" i="26"/>
  <c r="O875" i="26"/>
  <c r="K875" i="26"/>
  <c r="M875" i="26" s="1"/>
  <c r="AP875" i="26"/>
  <c r="F875" i="26"/>
  <c r="P875" i="26"/>
  <c r="X875" i="26"/>
  <c r="V875" i="26"/>
  <c r="BK875" i="26" s="1"/>
  <c r="G875" i="26"/>
  <c r="E1157" i="55"/>
  <c r="AL407" i="55"/>
  <c r="R875" i="26" l="1"/>
  <c r="AL875" i="26" s="1"/>
  <c r="AO875" i="26"/>
  <c r="AT875" i="26" s="1"/>
  <c r="E876" i="26"/>
  <c r="N875" i="26"/>
  <c r="AJ875" i="26"/>
  <c r="AK875" i="26" s="1"/>
  <c r="BC874" i="26"/>
  <c r="BL874" i="26"/>
  <c r="S875" i="26"/>
  <c r="T875" i="26" s="1"/>
  <c r="BL875" i="26" s="1"/>
  <c r="O1157" i="55"/>
  <c r="Q1157" i="55"/>
  <c r="AI1157" i="55"/>
  <c r="P1157" i="55"/>
  <c r="K1157" i="55"/>
  <c r="AL1157" i="55"/>
  <c r="Z1157" i="55"/>
  <c r="AK1157" i="55"/>
  <c r="AF1157" i="55"/>
  <c r="AG1157" i="55"/>
  <c r="AD1157" i="55"/>
  <c r="AO1157" i="55"/>
  <c r="M1157" i="55"/>
  <c r="H1157" i="55"/>
  <c r="AN1157" i="55"/>
  <c r="G1157" i="55"/>
  <c r="B1157" i="55"/>
  <c r="AQ1157" i="55"/>
  <c r="X1157" i="55"/>
  <c r="AH1157" i="55"/>
  <c r="V1157" i="55"/>
  <c r="W1157" i="55"/>
  <c r="U1157" i="55"/>
  <c r="L1157" i="55"/>
  <c r="D1157" i="55"/>
  <c r="AB1157" i="55"/>
  <c r="A1157" i="55"/>
  <c r="S1157" i="55"/>
  <c r="C1157" i="55"/>
  <c r="I1157" i="55"/>
  <c r="N1157" i="55"/>
  <c r="AC1157" i="55"/>
  <c r="AM1157" i="55"/>
  <c r="AT1157" i="55"/>
  <c r="AL406" i="55"/>
  <c r="AM875" i="26" l="1"/>
  <c r="AU875" i="26" s="1"/>
  <c r="BC875" i="26"/>
  <c r="BT874" i="26"/>
  <c r="AV874" i="55"/>
  <c r="W876" i="26"/>
  <c r="Q876" i="26"/>
  <c r="A876" i="26"/>
  <c r="H876" i="26"/>
  <c r="C876" i="26"/>
  <c r="B876" i="26"/>
  <c r="D876" i="26" s="1"/>
  <c r="L876" i="26"/>
  <c r="U876" i="26"/>
  <c r="AF876" i="26" s="1"/>
  <c r="AN876" i="26" s="1"/>
  <c r="G876" i="26"/>
  <c r="F876" i="26"/>
  <c r="K876" i="26"/>
  <c r="M876" i="26" s="1"/>
  <c r="N876" i="26" s="1"/>
  <c r="P876" i="26"/>
  <c r="O876" i="26"/>
  <c r="E1158" i="55"/>
  <c r="AL405" i="55"/>
  <c r="AJ876" i="26" l="1"/>
  <c r="AK876" i="26" s="1"/>
  <c r="V876" i="26"/>
  <c r="AO876" i="26" s="1"/>
  <c r="E877" i="26"/>
  <c r="X876" i="26"/>
  <c r="BK876" i="26" s="1"/>
  <c r="AP876" i="26"/>
  <c r="AS876" i="26"/>
  <c r="BJ876" i="26" s="1"/>
  <c r="R876" i="26"/>
  <c r="AL876" i="26" s="1"/>
  <c r="BT875" i="26"/>
  <c r="AV875" i="55"/>
  <c r="O1158" i="55"/>
  <c r="Z1158" i="55"/>
  <c r="AI1158" i="55"/>
  <c r="K1158" i="55"/>
  <c r="Q1158" i="55"/>
  <c r="P1158" i="55"/>
  <c r="AF1158" i="55"/>
  <c r="AG1158" i="55"/>
  <c r="AL1158" i="55"/>
  <c r="AD1158" i="55"/>
  <c r="AK1158" i="55"/>
  <c r="AO1158" i="55"/>
  <c r="B1158" i="55"/>
  <c r="AH1158" i="55"/>
  <c r="AN1158" i="55"/>
  <c r="D1158" i="55"/>
  <c r="I1158" i="55"/>
  <c r="W1158" i="55"/>
  <c r="N1158" i="55"/>
  <c r="X1158" i="55"/>
  <c r="G1158" i="55"/>
  <c r="S1158" i="55"/>
  <c r="V1158" i="55"/>
  <c r="U1158" i="55"/>
  <c r="L1158" i="55"/>
  <c r="AC1158" i="55"/>
  <c r="AT1158" i="55"/>
  <c r="AM1158" i="55"/>
  <c r="C1158" i="55"/>
  <c r="H1158" i="55"/>
  <c r="M1158" i="55"/>
  <c r="AB1158" i="55"/>
  <c r="A1158" i="55"/>
  <c r="AQ1158" i="55"/>
  <c r="AL404" i="55"/>
  <c r="AM876" i="26" l="1"/>
  <c r="AU876" i="26" s="1"/>
  <c r="S876" i="26"/>
  <c r="T876" i="26" s="1"/>
  <c r="Q877" i="26"/>
  <c r="C877" i="26"/>
  <c r="B877" i="26"/>
  <c r="H877" i="26"/>
  <c r="W877" i="26"/>
  <c r="L877" i="26"/>
  <c r="A877" i="26"/>
  <c r="D877" i="26"/>
  <c r="K877" i="26"/>
  <c r="AS877" i="26"/>
  <c r="BJ877" i="26" s="1"/>
  <c r="X877" i="26"/>
  <c r="F877" i="26"/>
  <c r="U877" i="26"/>
  <c r="AF877" i="26" s="1"/>
  <c r="AN877" i="26" s="1"/>
  <c r="AP877" i="26"/>
  <c r="G877" i="26"/>
  <c r="V877" i="26"/>
  <c r="BK877" i="26"/>
  <c r="AT876" i="26"/>
  <c r="E1159" i="55"/>
  <c r="AL403" i="55"/>
  <c r="M877" i="26" l="1"/>
  <c r="AO877" i="26"/>
  <c r="AT877" i="26" s="1"/>
  <c r="R877" i="26"/>
  <c r="P877" i="26"/>
  <c r="O877" i="26"/>
  <c r="S877" i="26" s="1"/>
  <c r="T877" i="26" s="1"/>
  <c r="BL877" i="26" s="1"/>
  <c r="E878" i="26"/>
  <c r="BL876" i="26"/>
  <c r="BC876" i="26"/>
  <c r="O1159" i="55"/>
  <c r="AL1159" i="55"/>
  <c r="AD1159" i="55"/>
  <c r="AI1159" i="55"/>
  <c r="Q1159" i="55"/>
  <c r="P1159" i="55"/>
  <c r="K1159" i="55"/>
  <c r="AG1159" i="55"/>
  <c r="Z1159" i="55"/>
  <c r="AO1159" i="55"/>
  <c r="AF1159" i="55"/>
  <c r="AK1159" i="55"/>
  <c r="N1159" i="55"/>
  <c r="AT1159" i="55"/>
  <c r="AB1159" i="55"/>
  <c r="C1159" i="55"/>
  <c r="M1159" i="55"/>
  <c r="AH1159" i="55"/>
  <c r="AN1159" i="55"/>
  <c r="D1159" i="55"/>
  <c r="AM1159" i="55"/>
  <c r="I1159" i="55"/>
  <c r="L1159" i="55"/>
  <c r="A1159" i="55"/>
  <c r="W1159" i="55"/>
  <c r="V1159" i="55"/>
  <c r="S1159" i="55"/>
  <c r="AC1159" i="55"/>
  <c r="AQ1159" i="55"/>
  <c r="B1159" i="55"/>
  <c r="X1159" i="55"/>
  <c r="U1159" i="55"/>
  <c r="G1159" i="55"/>
  <c r="H1159" i="55"/>
  <c r="AL402" i="55"/>
  <c r="AL877" i="26" l="1"/>
  <c r="AM877" i="26" s="1"/>
  <c r="AU877" i="26" s="1"/>
  <c r="H878" i="26"/>
  <c r="W878" i="26"/>
  <c r="Q878" i="26"/>
  <c r="L878" i="26"/>
  <c r="A878" i="26"/>
  <c r="B878" i="26"/>
  <c r="C878" i="26"/>
  <c r="BC877" i="26"/>
  <c r="BT877" i="26" s="1"/>
  <c r="BT876" i="26"/>
  <c r="AV876" i="55"/>
  <c r="AJ877" i="26"/>
  <c r="AK877" i="26" s="1"/>
  <c r="N877" i="26"/>
  <c r="E1160" i="55"/>
  <c r="AL401" i="55"/>
  <c r="AV877" i="55" l="1"/>
  <c r="AS878" i="26"/>
  <c r="BJ878" i="26" s="1"/>
  <c r="E879" i="26"/>
  <c r="V878" i="26"/>
  <c r="K878" i="26"/>
  <c r="M878" i="26" s="1"/>
  <c r="D878" i="26"/>
  <c r="F878" i="26"/>
  <c r="R878" i="26" s="1"/>
  <c r="AP878" i="26"/>
  <c r="G878" i="26"/>
  <c r="X878" i="26"/>
  <c r="BK878" i="26" s="1"/>
  <c r="P878" i="26"/>
  <c r="O878" i="26"/>
  <c r="U878" i="26"/>
  <c r="AF878" i="26" s="1"/>
  <c r="AN878" i="26" s="1"/>
  <c r="AO878" i="26"/>
  <c r="O1160" i="55"/>
  <c r="AF1160" i="55"/>
  <c r="AI1160" i="55"/>
  <c r="Q1160" i="55"/>
  <c r="P1160" i="55"/>
  <c r="K1160" i="55"/>
  <c r="AK1160" i="55"/>
  <c r="AD1160" i="55"/>
  <c r="Z1160" i="55"/>
  <c r="AO1160" i="55"/>
  <c r="AL1160" i="55"/>
  <c r="AQ1160" i="55"/>
  <c r="AH1160" i="55"/>
  <c r="C1160" i="55"/>
  <c r="V1160" i="55"/>
  <c r="S1160" i="55"/>
  <c r="B1160" i="55"/>
  <c r="X1160" i="55"/>
  <c r="U1160" i="55"/>
  <c r="AC1160" i="55"/>
  <c r="N1160" i="55"/>
  <c r="H1160" i="55"/>
  <c r="AT1160" i="55"/>
  <c r="D1160" i="55"/>
  <c r="AN1160" i="55"/>
  <c r="M1160" i="55"/>
  <c r="L1160" i="55"/>
  <c r="G1160" i="55"/>
  <c r="W1160" i="55"/>
  <c r="A1160" i="55"/>
  <c r="AB1160" i="55"/>
  <c r="I1160" i="55"/>
  <c r="AM1160" i="55"/>
  <c r="AG1160" i="55"/>
  <c r="AL400" i="55"/>
  <c r="AT878" i="26" l="1"/>
  <c r="S878" i="26"/>
  <c r="T878" i="26" s="1"/>
  <c r="B879" i="26"/>
  <c r="K879" i="26" s="1"/>
  <c r="M879" i="26" s="1"/>
  <c r="H879" i="26"/>
  <c r="Q879" i="26"/>
  <c r="C879" i="26"/>
  <c r="L879" i="26"/>
  <c r="U879" i="26"/>
  <c r="W879" i="26"/>
  <c r="G879" i="26"/>
  <c r="A879" i="26"/>
  <c r="AS879" i="26"/>
  <c r="BJ879" i="26" s="1"/>
  <c r="AJ878" i="26"/>
  <c r="AK878" i="26" s="1"/>
  <c r="N878" i="26"/>
  <c r="E1161" i="55"/>
  <c r="AL399" i="55"/>
  <c r="AL878" i="26" l="1"/>
  <c r="AM878" i="26" s="1"/>
  <c r="AU878" i="26" s="1"/>
  <c r="N879" i="26"/>
  <c r="AJ879" i="26"/>
  <c r="AK879" i="26" s="1"/>
  <c r="X879" i="26"/>
  <c r="AF879" i="26"/>
  <c r="AN879" i="26" s="1"/>
  <c r="AP879" i="26"/>
  <c r="D879" i="26"/>
  <c r="BC878" i="26"/>
  <c r="BL878" i="26"/>
  <c r="V879" i="26"/>
  <c r="BK879" i="26" s="1"/>
  <c r="F879" i="26"/>
  <c r="R879" i="26" s="1"/>
  <c r="O1161" i="55"/>
  <c r="AL1161" i="55"/>
  <c r="AI1161" i="55"/>
  <c r="Q1161" i="55"/>
  <c r="P1161" i="55"/>
  <c r="K1161" i="55"/>
  <c r="AD1161" i="55"/>
  <c r="AG1161" i="55"/>
  <c r="AK1161" i="55"/>
  <c r="Z1161" i="55"/>
  <c r="W1161" i="55"/>
  <c r="L1161" i="55"/>
  <c r="M1161" i="55"/>
  <c r="G1161" i="55"/>
  <c r="S1161" i="55"/>
  <c r="U1161" i="55"/>
  <c r="V1161" i="55"/>
  <c r="AB1161" i="55"/>
  <c r="H1161" i="55"/>
  <c r="AN1161" i="55"/>
  <c r="AC1161" i="55"/>
  <c r="AQ1161" i="55"/>
  <c r="I1161" i="55"/>
  <c r="B1161" i="55"/>
  <c r="D1161" i="55"/>
  <c r="AM1161" i="55"/>
  <c r="C1161" i="55"/>
  <c r="AH1161" i="55"/>
  <c r="N1161" i="55"/>
  <c r="A1161" i="55"/>
  <c r="X1161" i="55"/>
  <c r="AT1161" i="55"/>
  <c r="AO1161" i="55"/>
  <c r="AF1161" i="55"/>
  <c r="AL398" i="55"/>
  <c r="P879" i="26" l="1"/>
  <c r="O879" i="26"/>
  <c r="S879" i="26" s="1"/>
  <c r="T879" i="26" s="1"/>
  <c r="BL879" i="26" s="1"/>
  <c r="AV878" i="55"/>
  <c r="BT878" i="26"/>
  <c r="E880" i="26"/>
  <c r="AO879" i="26"/>
  <c r="AT879" i="26" s="1"/>
  <c r="E1162" i="55"/>
  <c r="AL397" i="55"/>
  <c r="AL879" i="26" l="1"/>
  <c r="AM879" i="26" s="1"/>
  <c r="AU879" i="26" s="1"/>
  <c r="A880" i="26"/>
  <c r="B880" i="26"/>
  <c r="C880" i="26"/>
  <c r="L880" i="26"/>
  <c r="F880" i="26"/>
  <c r="W880" i="26"/>
  <c r="Q880" i="26"/>
  <c r="H880" i="26"/>
  <c r="AP880" i="26"/>
  <c r="X880" i="26"/>
  <c r="D880" i="26"/>
  <c r="R880" i="26"/>
  <c r="U880" i="26"/>
  <c r="AF880" i="26" s="1"/>
  <c r="AN880" i="26" s="1"/>
  <c r="G880" i="26"/>
  <c r="BC879" i="26"/>
  <c r="O1162" i="55"/>
  <c r="AK1162" i="55"/>
  <c r="AI1162" i="55"/>
  <c r="Q1162" i="55"/>
  <c r="P1162" i="55"/>
  <c r="K1162" i="55"/>
  <c r="AO1162" i="55"/>
  <c r="Z1162" i="55"/>
  <c r="AF1162" i="55"/>
  <c r="AD1162" i="55"/>
  <c r="AG1162" i="55"/>
  <c r="AL1162" i="55"/>
  <c r="V1162" i="55"/>
  <c r="B1162" i="55"/>
  <c r="N1162" i="55"/>
  <c r="AB1162" i="55"/>
  <c r="AT1162" i="55"/>
  <c r="H1162" i="55"/>
  <c r="S1162" i="55"/>
  <c r="D1162" i="55"/>
  <c r="M1162" i="55"/>
  <c r="AQ1162" i="55"/>
  <c r="G1162" i="55"/>
  <c r="L1162" i="55"/>
  <c r="AC1162" i="55"/>
  <c r="I1162" i="55"/>
  <c r="C1162" i="55"/>
  <c r="AN1162" i="55"/>
  <c r="W1162" i="55"/>
  <c r="A1162" i="55"/>
  <c r="X1162" i="55"/>
  <c r="AM1162" i="55"/>
  <c r="U1162" i="55"/>
  <c r="AH1162" i="55"/>
  <c r="AL396" i="55"/>
  <c r="BT879" i="26" l="1"/>
  <c r="AV879" i="55"/>
  <c r="V880" i="26"/>
  <c r="AO880" i="26" s="1"/>
  <c r="AT880" i="26" s="1"/>
  <c r="E881" i="26"/>
  <c r="P880" i="26"/>
  <c r="AS880" i="26"/>
  <c r="BJ880" i="26" s="1"/>
  <c r="K880" i="26"/>
  <c r="M880" i="26" s="1"/>
  <c r="O880" i="26"/>
  <c r="S880" i="26" s="1"/>
  <c r="T880" i="26" s="1"/>
  <c r="BL880" i="26" s="1"/>
  <c r="E1163" i="55"/>
  <c r="AL395" i="55"/>
  <c r="AL880" i="26" l="1"/>
  <c r="AM880" i="26" s="1"/>
  <c r="AU880" i="26" s="1"/>
  <c r="AP881" i="26"/>
  <c r="W881" i="26"/>
  <c r="X881" i="26" s="1"/>
  <c r="B881" i="26"/>
  <c r="C881" i="26"/>
  <c r="A881" i="26"/>
  <c r="H881" i="26"/>
  <c r="Q881" i="26"/>
  <c r="L881" i="26"/>
  <c r="K881" i="26"/>
  <c r="M881" i="26" s="1"/>
  <c r="D881" i="26"/>
  <c r="U881" i="26"/>
  <c r="AF881" i="26" s="1"/>
  <c r="AN881" i="26" s="1"/>
  <c r="BC880" i="26"/>
  <c r="N880" i="26"/>
  <c r="AJ880" i="26"/>
  <c r="AK880" i="26" s="1"/>
  <c r="BK880" i="26"/>
  <c r="O1163" i="55"/>
  <c r="Z1163" i="55"/>
  <c r="Q1163" i="55"/>
  <c r="AI1163" i="55"/>
  <c r="K1163" i="55"/>
  <c r="P1163" i="55"/>
  <c r="AK1163" i="55"/>
  <c r="AL1163" i="55"/>
  <c r="AD1163" i="55"/>
  <c r="AG1163" i="55"/>
  <c r="I1163" i="55"/>
  <c r="AM1163" i="55"/>
  <c r="A1163" i="55"/>
  <c r="AN1163" i="55"/>
  <c r="S1163" i="55"/>
  <c r="C1163" i="55"/>
  <c r="W1163" i="55"/>
  <c r="D1163" i="55"/>
  <c r="AB1163" i="55"/>
  <c r="AQ1163" i="55"/>
  <c r="U1163" i="55"/>
  <c r="AC1163" i="55"/>
  <c r="X1163" i="55"/>
  <c r="V1163" i="55"/>
  <c r="M1163" i="55"/>
  <c r="H1163" i="55"/>
  <c r="AT1163" i="55"/>
  <c r="AH1163" i="55"/>
  <c r="L1163" i="55"/>
  <c r="N1163" i="55"/>
  <c r="G1163" i="55"/>
  <c r="B1163" i="55"/>
  <c r="AF1163" i="55"/>
  <c r="AO1163" i="55"/>
  <c r="AL394" i="55"/>
  <c r="N881" i="26" l="1"/>
  <c r="AJ881" i="26"/>
  <c r="AK881" i="26" s="1"/>
  <c r="P881" i="26"/>
  <c r="BT880" i="26"/>
  <c r="AV880" i="55"/>
  <c r="O881" i="26"/>
  <c r="S881" i="26" s="1"/>
  <c r="T881" i="26" s="1"/>
  <c r="BL881" i="26" s="1"/>
  <c r="V881" i="26"/>
  <c r="F881" i="26"/>
  <c r="R881" i="26" s="1"/>
  <c r="E882" i="26"/>
  <c r="G881" i="26"/>
  <c r="E1164" i="55"/>
  <c r="AL393" i="55"/>
  <c r="AL881" i="26" l="1"/>
  <c r="AM881" i="26" s="1"/>
  <c r="AU881" i="26" s="1"/>
  <c r="L882" i="26"/>
  <c r="A882" i="26"/>
  <c r="Q882" i="26"/>
  <c r="B882" i="26"/>
  <c r="H882" i="26"/>
  <c r="C882" i="26"/>
  <c r="W882" i="26"/>
  <c r="BC881" i="26"/>
  <c r="K882" i="26"/>
  <c r="M882" i="26" s="1"/>
  <c r="N882" i="26" s="1"/>
  <c r="AP882" i="26"/>
  <c r="U882" i="26"/>
  <c r="AF882" i="26" s="1"/>
  <c r="AN882" i="26" s="1"/>
  <c r="AO881" i="26"/>
  <c r="AT881" i="26" s="1"/>
  <c r="BK881" i="26"/>
  <c r="D882" i="26"/>
  <c r="F882" i="26"/>
  <c r="R882" i="26" s="1"/>
  <c r="O882" i="26"/>
  <c r="P882" i="26"/>
  <c r="E883" i="26"/>
  <c r="O1164" i="55"/>
  <c r="AF1164" i="55"/>
  <c r="AI1164" i="55"/>
  <c r="Q1164" i="55"/>
  <c r="P1164" i="55"/>
  <c r="K1164" i="55"/>
  <c r="AG1164" i="55"/>
  <c r="AD1164" i="55"/>
  <c r="Z1164" i="55"/>
  <c r="AK1164" i="55"/>
  <c r="AL1164" i="55"/>
  <c r="AO1164" i="55"/>
  <c r="G1164" i="55"/>
  <c r="V1164" i="55"/>
  <c r="M1164" i="55"/>
  <c r="D1164" i="55"/>
  <c r="AM1164" i="55"/>
  <c r="AB1164" i="55"/>
  <c r="C1164" i="55"/>
  <c r="AN1164" i="55"/>
  <c r="A1164" i="55"/>
  <c r="N1164" i="55"/>
  <c r="S1164" i="55"/>
  <c r="B1164" i="55"/>
  <c r="AT1164" i="55"/>
  <c r="X1164" i="55"/>
  <c r="AC1164" i="55"/>
  <c r="W1164" i="55"/>
  <c r="I1164" i="55"/>
  <c r="L1164" i="55"/>
  <c r="H1164" i="55"/>
  <c r="AH1164" i="55"/>
  <c r="U1164" i="55"/>
  <c r="AQ1164" i="55"/>
  <c r="AL392" i="55"/>
  <c r="AJ882" i="26" l="1"/>
  <c r="AK882" i="26" s="1"/>
  <c r="AL882" i="26"/>
  <c r="AM882" i="26" s="1"/>
  <c r="AU882" i="26" s="1"/>
  <c r="V882" i="26"/>
  <c r="AS882" i="26"/>
  <c r="BJ882" i="26" s="1"/>
  <c r="AV881" i="55"/>
  <c r="BT881" i="26"/>
  <c r="G882" i="26"/>
  <c r="X882" i="26"/>
  <c r="Q883" i="26"/>
  <c r="L883" i="26"/>
  <c r="B883" i="26"/>
  <c r="C883" i="26"/>
  <c r="AS883" i="26" s="1"/>
  <c r="BJ883" i="26" s="1"/>
  <c r="H883" i="26"/>
  <c r="W883" i="26"/>
  <c r="A883" i="26"/>
  <c r="S882" i="26"/>
  <c r="T882" i="26" s="1"/>
  <c r="BC882" i="26" s="1"/>
  <c r="E1165" i="55"/>
  <c r="AL391" i="55"/>
  <c r="BK882" i="26" l="1"/>
  <c r="AO882" i="26"/>
  <c r="AT882" i="26" s="1"/>
  <c r="U883" i="26"/>
  <c r="AF883" i="26" s="1"/>
  <c r="AN883" i="26" s="1"/>
  <c r="V883" i="26"/>
  <c r="AO883" i="26" s="1"/>
  <c r="BL882" i="26"/>
  <c r="G883" i="26"/>
  <c r="D883" i="26"/>
  <c r="X883" i="26"/>
  <c r="K883" i="26"/>
  <c r="M883" i="26" s="1"/>
  <c r="AP883" i="26"/>
  <c r="F883" i="26"/>
  <c r="R883" i="26" s="1"/>
  <c r="O1165" i="55"/>
  <c r="AO1165" i="55"/>
  <c r="AI1165" i="55"/>
  <c r="Q1165" i="55"/>
  <c r="P1165" i="55"/>
  <c r="K1165" i="55"/>
  <c r="AF1165" i="55"/>
  <c r="AK1165" i="55"/>
  <c r="Z1165" i="55"/>
  <c r="AD1165" i="55"/>
  <c r="AL1165" i="55"/>
  <c r="AG1165" i="55"/>
  <c r="AN1165" i="55"/>
  <c r="L1165" i="55"/>
  <c r="W1165" i="55"/>
  <c r="V1165" i="55"/>
  <c r="AH1165" i="55"/>
  <c r="S1165" i="55"/>
  <c r="G1165" i="55"/>
  <c r="D1165" i="55"/>
  <c r="AM1165" i="55"/>
  <c r="B1165" i="55"/>
  <c r="AT1165" i="55"/>
  <c r="U1165" i="55"/>
  <c r="X1165" i="55"/>
  <c r="I1165" i="55"/>
  <c r="AB1165" i="55"/>
  <c r="A1165" i="55"/>
  <c r="M1165" i="55"/>
  <c r="N1165" i="55"/>
  <c r="C1165" i="55"/>
  <c r="AC1165" i="55"/>
  <c r="H1165" i="55"/>
  <c r="AQ1165" i="55"/>
  <c r="AL390" i="55"/>
  <c r="BK883" i="26" l="1"/>
  <c r="AT883" i="26"/>
  <c r="AJ883" i="26"/>
  <c r="AK883" i="26" s="1"/>
  <c r="N883" i="26"/>
  <c r="E884" i="26"/>
  <c r="P883" i="26"/>
  <c r="O883" i="26"/>
  <c r="BT882" i="26"/>
  <c r="AV882" i="55"/>
  <c r="E1166" i="55"/>
  <c r="AL389" i="55"/>
  <c r="AL883" i="26" l="1"/>
  <c r="AM883" i="26" s="1"/>
  <c r="AU883" i="26" s="1"/>
  <c r="S883" i="26"/>
  <c r="T883" i="26" s="1"/>
  <c r="BC883" i="26" s="1"/>
  <c r="L884" i="26"/>
  <c r="H884" i="26"/>
  <c r="W884" i="26"/>
  <c r="A884" i="26"/>
  <c r="Q884" i="26"/>
  <c r="C884" i="26"/>
  <c r="V884" i="26" s="1"/>
  <c r="B884" i="26"/>
  <c r="K884" i="26" s="1"/>
  <c r="M884" i="26" s="1"/>
  <c r="O1166" i="55"/>
  <c r="AI1166" i="55"/>
  <c r="P1166" i="55"/>
  <c r="Q1166" i="55"/>
  <c r="K1166" i="55"/>
  <c r="AG1166" i="55"/>
  <c r="AO1166" i="55"/>
  <c r="AL1166" i="55"/>
  <c r="Z1166" i="55"/>
  <c r="AF1166" i="55"/>
  <c r="AD1166" i="55"/>
  <c r="AK1166" i="55"/>
  <c r="D1166" i="55"/>
  <c r="AM1166" i="55"/>
  <c r="X1166" i="55"/>
  <c r="V1166" i="55"/>
  <c r="M1166" i="55"/>
  <c r="G1166" i="55"/>
  <c r="AB1166" i="55"/>
  <c r="W1166" i="55"/>
  <c r="AN1166" i="55"/>
  <c r="B1166" i="55"/>
  <c r="N1166" i="55"/>
  <c r="H1166" i="55"/>
  <c r="AH1166" i="55"/>
  <c r="S1166" i="55"/>
  <c r="U1166" i="55"/>
  <c r="AC1166" i="55"/>
  <c r="I1166" i="55"/>
  <c r="C1166" i="55"/>
  <c r="AQ1166" i="55"/>
  <c r="A1166" i="55"/>
  <c r="L1166" i="55"/>
  <c r="AT1166" i="55"/>
  <c r="AL388" i="55"/>
  <c r="AJ884" i="26" l="1"/>
  <c r="AK884" i="26" s="1"/>
  <c r="N884" i="26"/>
  <c r="F884" i="26"/>
  <c r="R884" i="26" s="1"/>
  <c r="AO884" i="26"/>
  <c r="U884" i="26"/>
  <c r="AF884" i="26" s="1"/>
  <c r="AN884" i="26" s="1"/>
  <c r="AS884" i="26"/>
  <c r="BJ884" i="26" s="1"/>
  <c r="AP884" i="26"/>
  <c r="X884" i="26"/>
  <c r="D884" i="26"/>
  <c r="O884" i="26" s="1"/>
  <c r="S884" i="26" s="1"/>
  <c r="T884" i="26" s="1"/>
  <c r="BC884" i="26" s="1"/>
  <c r="G884" i="26"/>
  <c r="BL883" i="26"/>
  <c r="E1167" i="55"/>
  <c r="AL387" i="55"/>
  <c r="AT884" i="26" l="1"/>
  <c r="BT884" i="26"/>
  <c r="BK884" i="26"/>
  <c r="AV884" i="55"/>
  <c r="BT883" i="26"/>
  <c r="AV883" i="55"/>
  <c r="P884" i="26"/>
  <c r="E885" i="26"/>
  <c r="BL884" i="26"/>
  <c r="O1167" i="55"/>
  <c r="AD1167" i="55"/>
  <c r="AI1167" i="55"/>
  <c r="Q1167" i="55"/>
  <c r="P1167" i="55"/>
  <c r="K1167" i="55"/>
  <c r="AK1167" i="55"/>
  <c r="AL1167" i="55"/>
  <c r="Z1167" i="55"/>
  <c r="AO1167" i="55"/>
  <c r="AF1167" i="55"/>
  <c r="AG1167" i="55"/>
  <c r="B1167" i="55"/>
  <c r="X1167" i="55"/>
  <c r="L1167" i="55"/>
  <c r="D1167" i="55"/>
  <c r="C1167" i="55"/>
  <c r="N1167" i="55"/>
  <c r="W1167" i="55"/>
  <c r="A1167" i="55"/>
  <c r="V1167" i="55"/>
  <c r="M1167" i="55"/>
  <c r="AC1167" i="55"/>
  <c r="AN1167" i="55"/>
  <c r="AM1167" i="55"/>
  <c r="S1167" i="55"/>
  <c r="H1167" i="55"/>
  <c r="AQ1167" i="55"/>
  <c r="I1167" i="55"/>
  <c r="AT1167" i="55"/>
  <c r="AB1167" i="55"/>
  <c r="G1167" i="55"/>
  <c r="AH1167" i="55"/>
  <c r="U1167" i="55"/>
  <c r="AL386" i="55"/>
  <c r="AL884" i="26" l="1"/>
  <c r="AM884" i="26" s="1"/>
  <c r="AU884" i="26" s="1"/>
  <c r="L885" i="26"/>
  <c r="Q885" i="26"/>
  <c r="H885" i="26"/>
  <c r="C885" i="26"/>
  <c r="V885" i="26" s="1"/>
  <c r="B885" i="26"/>
  <c r="F885" i="26" s="1"/>
  <c r="R885" i="26" s="1"/>
  <c r="W885" i="26"/>
  <c r="A885" i="26"/>
  <c r="E1168" i="55"/>
  <c r="AL385" i="55"/>
  <c r="U885" i="26" l="1"/>
  <c r="AF885" i="26" s="1"/>
  <c r="AN885" i="26" s="1"/>
  <c r="AS885" i="26"/>
  <c r="BJ885" i="26" s="1"/>
  <c r="G885" i="26"/>
  <c r="X885" i="26"/>
  <c r="D885" i="26"/>
  <c r="O885" i="26"/>
  <c r="S885" i="26" s="1"/>
  <c r="T885" i="26" s="1"/>
  <c r="BC885" i="26" s="1"/>
  <c r="AP885" i="26"/>
  <c r="K885" i="26"/>
  <c r="M885" i="26" s="1"/>
  <c r="O1168" i="55"/>
  <c r="Q1168" i="55"/>
  <c r="P1168" i="55"/>
  <c r="AI1168" i="55"/>
  <c r="K1168" i="55"/>
  <c r="AD1168" i="55"/>
  <c r="D1168" i="55"/>
  <c r="AB1168" i="55"/>
  <c r="AC1168" i="55"/>
  <c r="AM1168" i="55"/>
  <c r="AH1168" i="55"/>
  <c r="C1168" i="55"/>
  <c r="I1168" i="55"/>
  <c r="N1168" i="55"/>
  <c r="M1168" i="55"/>
  <c r="G1168" i="55"/>
  <c r="S1168" i="55"/>
  <c r="V1168" i="55"/>
  <c r="L1168" i="55"/>
  <c r="A1168" i="55"/>
  <c r="W1168" i="55"/>
  <c r="U1168" i="55"/>
  <c r="H1168" i="55"/>
  <c r="AQ1168" i="55"/>
  <c r="AN1168" i="55"/>
  <c r="AT1168" i="55"/>
  <c r="X1168" i="55"/>
  <c r="B1168" i="55"/>
  <c r="Z1168" i="55"/>
  <c r="AK1168" i="55"/>
  <c r="AF1168" i="55"/>
  <c r="AO1168" i="55"/>
  <c r="AL1168" i="55"/>
  <c r="AG1168" i="55"/>
  <c r="AL384" i="55"/>
  <c r="BK885" i="26" l="1"/>
  <c r="E886" i="26"/>
  <c r="P885" i="26"/>
  <c r="AJ885" i="26"/>
  <c r="AK885" i="26" s="1"/>
  <c r="N885" i="26"/>
  <c r="BL885" i="26"/>
  <c r="AO885" i="26"/>
  <c r="AT885" i="26" s="1"/>
  <c r="E1169" i="55"/>
  <c r="AL383" i="55"/>
  <c r="AL885" i="26" l="1"/>
  <c r="AM885" i="26" s="1"/>
  <c r="AU885" i="26" s="1"/>
  <c r="AV885" i="55"/>
  <c r="BT885" i="26"/>
  <c r="L886" i="26"/>
  <c r="H886" i="26"/>
  <c r="Q886" i="26"/>
  <c r="C886" i="26"/>
  <c r="V886" i="26" s="1"/>
  <c r="B886" i="26"/>
  <c r="W886" i="26"/>
  <c r="A886" i="26"/>
  <c r="X886" i="26"/>
  <c r="O1169" i="55"/>
  <c r="AG1169" i="55"/>
  <c r="AI1169" i="55"/>
  <c r="Q1169" i="55"/>
  <c r="P1169" i="55"/>
  <c r="K1169" i="55"/>
  <c r="Z1169" i="55"/>
  <c r="AO1169" i="55"/>
  <c r="AD1169" i="55"/>
  <c r="AK1169" i="55"/>
  <c r="C1169" i="55"/>
  <c r="G1169" i="55"/>
  <c r="D1169" i="55"/>
  <c r="AC1169" i="55"/>
  <c r="L1169" i="55"/>
  <c r="M1169" i="55"/>
  <c r="B1169" i="55"/>
  <c r="U1169" i="55"/>
  <c r="N1169" i="55"/>
  <c r="AM1169" i="55"/>
  <c r="AN1169" i="55"/>
  <c r="A1169" i="55"/>
  <c r="W1169" i="55"/>
  <c r="H1169" i="55"/>
  <c r="X1169" i="55"/>
  <c r="AH1169" i="55"/>
  <c r="S1169" i="55"/>
  <c r="AB1169" i="55"/>
  <c r="AQ1169" i="55"/>
  <c r="V1169" i="55"/>
  <c r="AT1169" i="55"/>
  <c r="I1169" i="55"/>
  <c r="AL1169" i="55"/>
  <c r="AF1169" i="55"/>
  <c r="AL382" i="55"/>
  <c r="U886" i="26" l="1"/>
  <c r="AS886" i="26"/>
  <c r="BJ886" i="26" s="1"/>
  <c r="AO886" i="26"/>
  <c r="G886" i="26"/>
  <c r="F886" i="26"/>
  <c r="R886" i="26" s="1"/>
  <c r="AF886" i="26"/>
  <c r="AN886" i="26" s="1"/>
  <c r="D886" i="26"/>
  <c r="O886" i="26" s="1"/>
  <c r="S886" i="26" s="1"/>
  <c r="T886" i="26" s="1"/>
  <c r="BC886" i="26" s="1"/>
  <c r="K886" i="26"/>
  <c r="M886" i="26" s="1"/>
  <c r="AP886" i="26"/>
  <c r="BK886" i="26"/>
  <c r="E1170" i="55"/>
  <c r="AL381" i="55"/>
  <c r="E887" i="26" l="1"/>
  <c r="P886" i="26"/>
  <c r="AT886" i="26"/>
  <c r="AJ886" i="26"/>
  <c r="AK886" i="26" s="1"/>
  <c r="N886" i="26"/>
  <c r="BL886" i="26"/>
  <c r="O1170" i="55"/>
  <c r="AL1170" i="55"/>
  <c r="AI1170" i="55"/>
  <c r="Q1170" i="55"/>
  <c r="P1170" i="55"/>
  <c r="K1170" i="55"/>
  <c r="AK1170" i="55"/>
  <c r="AF1170" i="55"/>
  <c r="Z1170" i="55"/>
  <c r="AG1170" i="55"/>
  <c r="B1170" i="55"/>
  <c r="AQ1170" i="55"/>
  <c r="L1170" i="55"/>
  <c r="W1170" i="55"/>
  <c r="AT1170" i="55"/>
  <c r="AB1170" i="55"/>
  <c r="I1170" i="55"/>
  <c r="X1170" i="55"/>
  <c r="N1170" i="55"/>
  <c r="AM1170" i="55"/>
  <c r="U1170" i="55"/>
  <c r="S1170" i="55"/>
  <c r="D1170" i="55"/>
  <c r="A1170" i="55"/>
  <c r="AC1170" i="55"/>
  <c r="C1170" i="55"/>
  <c r="AH1170" i="55"/>
  <c r="V1170" i="55"/>
  <c r="H1170" i="55"/>
  <c r="M1170" i="55"/>
  <c r="AN1170" i="55"/>
  <c r="G1170" i="55"/>
  <c r="AD1170" i="55"/>
  <c r="AO1170" i="55"/>
  <c r="AL380" i="55"/>
  <c r="AL886" i="26" l="1"/>
  <c r="AM886" i="26" s="1"/>
  <c r="AU886" i="26" s="1"/>
  <c r="Q887" i="26"/>
  <c r="B887" i="26"/>
  <c r="H887" i="26"/>
  <c r="A887" i="26"/>
  <c r="C887" i="26"/>
  <c r="W887" i="26"/>
  <c r="L887" i="26"/>
  <c r="AV886" i="55"/>
  <c r="BT886" i="26"/>
  <c r="E1171" i="55"/>
  <c r="AL379" i="55"/>
  <c r="AS887" i="26" l="1"/>
  <c r="BJ887" i="26" s="1"/>
  <c r="U887" i="26"/>
  <c r="AF887" i="26" s="1"/>
  <c r="AN887" i="26" s="1"/>
  <c r="G887" i="26"/>
  <c r="K887" i="26"/>
  <c r="M887" i="26" s="1"/>
  <c r="X887" i="26"/>
  <c r="F887" i="26"/>
  <c r="R887" i="26" s="1"/>
  <c r="AP887" i="26"/>
  <c r="D887" i="26"/>
  <c r="V887" i="26"/>
  <c r="O1171" i="55"/>
  <c r="AG1171" i="55"/>
  <c r="AI1171" i="55"/>
  <c r="Q1171" i="55"/>
  <c r="P1171" i="55"/>
  <c r="K1171" i="55"/>
  <c r="Z1171" i="55"/>
  <c r="AO1171" i="55"/>
  <c r="AL1171" i="55"/>
  <c r="N1171" i="55"/>
  <c r="AQ1171" i="55"/>
  <c r="AB1171" i="55"/>
  <c r="B1171" i="55"/>
  <c r="M1171" i="55"/>
  <c r="D1171" i="55"/>
  <c r="G1171" i="55"/>
  <c r="A1171" i="55"/>
  <c r="C1171" i="55"/>
  <c r="U1171" i="55"/>
  <c r="AM1171" i="55"/>
  <c r="I1171" i="55"/>
  <c r="H1171" i="55"/>
  <c r="X1171" i="55"/>
  <c r="AH1171" i="55"/>
  <c r="L1171" i="55"/>
  <c r="AC1171" i="55"/>
  <c r="W1171" i="55"/>
  <c r="V1171" i="55"/>
  <c r="AT1171" i="55"/>
  <c r="S1171" i="55"/>
  <c r="AN1171" i="55"/>
  <c r="AD1171" i="55"/>
  <c r="AF1171" i="55"/>
  <c r="AK1171" i="55"/>
  <c r="AL378" i="55"/>
  <c r="E888" i="26" l="1"/>
  <c r="P887" i="26"/>
  <c r="AJ887" i="26"/>
  <c r="AK887" i="26" s="1"/>
  <c r="N887" i="26"/>
  <c r="AO887" i="26"/>
  <c r="AT887" i="26" s="1"/>
  <c r="BK887" i="26"/>
  <c r="O887" i="26"/>
  <c r="E1172" i="55"/>
  <c r="AL377" i="55"/>
  <c r="AL887" i="26" l="1"/>
  <c r="AM887" i="26" s="1"/>
  <c r="AU887" i="26" s="1"/>
  <c r="C888" i="26"/>
  <c r="Q888" i="26"/>
  <c r="W888" i="26"/>
  <c r="A888" i="26"/>
  <c r="L888" i="26"/>
  <c r="U888" i="26"/>
  <c r="H888" i="26"/>
  <c r="B888" i="26"/>
  <c r="G888" i="26" s="1"/>
  <c r="S887" i="26"/>
  <c r="T887" i="26" s="1"/>
  <c r="BC887" i="26" s="1"/>
  <c r="O1172" i="55"/>
  <c r="AG1172" i="55"/>
  <c r="AK1172" i="55"/>
  <c r="AI1172" i="55"/>
  <c r="Q1172" i="55"/>
  <c r="P1172" i="55"/>
  <c r="K1172" i="55"/>
  <c r="AD1172" i="55"/>
  <c r="Z1172" i="55"/>
  <c r="G1172" i="55"/>
  <c r="C1172" i="55"/>
  <c r="A1172" i="55"/>
  <c r="AH1172" i="55"/>
  <c r="B1172" i="55"/>
  <c r="AT1172" i="55"/>
  <c r="D1172" i="55"/>
  <c r="W1172" i="55"/>
  <c r="S1172" i="55"/>
  <c r="H1172" i="55"/>
  <c r="AB1172" i="55"/>
  <c r="I1172" i="55"/>
  <c r="V1172" i="55"/>
  <c r="M1172" i="55"/>
  <c r="AQ1172" i="55"/>
  <c r="N1172" i="55"/>
  <c r="AN1172" i="55"/>
  <c r="AM1172" i="55"/>
  <c r="X1172" i="55"/>
  <c r="L1172" i="55"/>
  <c r="U1172" i="55"/>
  <c r="AC1172" i="55"/>
  <c r="AF1172" i="55"/>
  <c r="AL1172" i="55"/>
  <c r="AO1172" i="55"/>
  <c r="AL376" i="55"/>
  <c r="X888" i="26" l="1"/>
  <c r="D888" i="26"/>
  <c r="F888" i="26"/>
  <c r="R888" i="26" s="1"/>
  <c r="AP888" i="26"/>
  <c r="AF888" i="26"/>
  <c r="AN888" i="26" s="1"/>
  <c r="K888" i="26"/>
  <c r="M888" i="26" s="1"/>
  <c r="AS888" i="26"/>
  <c r="BJ888" i="26" s="1"/>
  <c r="E889" i="26"/>
  <c r="BL887" i="26"/>
  <c r="V888" i="26"/>
  <c r="E1173" i="55"/>
  <c r="AL375" i="55"/>
  <c r="O888" i="26" l="1"/>
  <c r="S888" i="26" s="1"/>
  <c r="T888" i="26" s="1"/>
  <c r="BC888" i="26" s="1"/>
  <c r="P888" i="26"/>
  <c r="N888" i="26"/>
  <c r="AJ888" i="26"/>
  <c r="AK888" i="26" s="1"/>
  <c r="BK888" i="26"/>
  <c r="AO888" i="26"/>
  <c r="AT888" i="26" s="1"/>
  <c r="H889" i="26"/>
  <c r="Q889" i="26"/>
  <c r="C889" i="26"/>
  <c r="L889" i="26"/>
  <c r="W889" i="26"/>
  <c r="A889" i="26"/>
  <c r="B889" i="26"/>
  <c r="G889" i="26" s="1"/>
  <c r="AS889" i="26"/>
  <c r="BJ889" i="26" s="1"/>
  <c r="BT887" i="26"/>
  <c r="AV887" i="55"/>
  <c r="O1173" i="55"/>
  <c r="AO1173" i="55"/>
  <c r="Q1173" i="55"/>
  <c r="AI1173" i="55"/>
  <c r="P1173" i="55"/>
  <c r="K1173" i="55"/>
  <c r="AL1173" i="55"/>
  <c r="AF1173" i="55"/>
  <c r="AD1173" i="55"/>
  <c r="AG1173" i="55"/>
  <c r="B1173" i="55"/>
  <c r="AT1173" i="55"/>
  <c r="AM1173" i="55"/>
  <c r="I1173" i="55"/>
  <c r="U1173" i="55"/>
  <c r="AH1173" i="55"/>
  <c r="AC1173" i="55"/>
  <c r="AB1173" i="55"/>
  <c r="AQ1173" i="55"/>
  <c r="C1173" i="55"/>
  <c r="AN1173" i="55"/>
  <c r="N1173" i="55"/>
  <c r="H1173" i="55"/>
  <c r="S1173" i="55"/>
  <c r="L1173" i="55"/>
  <c r="D1173" i="55"/>
  <c r="W1173" i="55"/>
  <c r="G1173" i="55"/>
  <c r="V1173" i="55"/>
  <c r="X1173" i="55"/>
  <c r="M1173" i="55"/>
  <c r="A1173" i="55"/>
  <c r="AK1173" i="55"/>
  <c r="Z1173" i="55"/>
  <c r="AL374" i="55"/>
  <c r="AL888" i="26" l="1"/>
  <c r="AM888" i="26" s="1"/>
  <c r="AU888" i="26" s="1"/>
  <c r="K889" i="26"/>
  <c r="M889" i="26" s="1"/>
  <c r="AJ889" i="26" s="1"/>
  <c r="AK889" i="26" s="1"/>
  <c r="BL888" i="26"/>
  <c r="F889" i="26"/>
  <c r="R889" i="26" s="1"/>
  <c r="AP889" i="26"/>
  <c r="X889" i="26"/>
  <c r="D889" i="26"/>
  <c r="E890" i="26" s="1"/>
  <c r="U889" i="26"/>
  <c r="AF889" i="26" s="1"/>
  <c r="AN889" i="26" s="1"/>
  <c r="V889" i="26"/>
  <c r="E1174" i="55"/>
  <c r="AL373" i="55"/>
  <c r="N889" i="26" l="1"/>
  <c r="P889" i="26"/>
  <c r="BK889" i="26"/>
  <c r="B890" i="26"/>
  <c r="K890" i="26"/>
  <c r="M890" i="26" s="1"/>
  <c r="H890" i="26"/>
  <c r="L890" i="26"/>
  <c r="F890" i="26"/>
  <c r="W890" i="26"/>
  <c r="C890" i="26"/>
  <c r="AP890" i="26" s="1"/>
  <c r="D890" i="26"/>
  <c r="Q890" i="26"/>
  <c r="A890" i="26"/>
  <c r="U890" i="26"/>
  <c r="AF890" i="26" s="1"/>
  <c r="AN890" i="26" s="1"/>
  <c r="O889" i="26"/>
  <c r="S889" i="26" s="1"/>
  <c r="T889" i="26" s="1"/>
  <c r="BC889" i="26" s="1"/>
  <c r="AS890" i="26"/>
  <c r="BJ890" i="26" s="1"/>
  <c r="X890" i="26"/>
  <c r="AO889" i="26"/>
  <c r="AT889" i="26" s="1"/>
  <c r="AV888" i="55"/>
  <c r="BT888" i="26"/>
  <c r="O1174" i="55"/>
  <c r="AI1174" i="55"/>
  <c r="P1174" i="55"/>
  <c r="Q1174" i="55"/>
  <c r="K1174" i="55"/>
  <c r="Z1174" i="55"/>
  <c r="AL1174" i="55"/>
  <c r="AO1174" i="55"/>
  <c r="AG1174" i="55"/>
  <c r="AD1174" i="55"/>
  <c r="H1174" i="55"/>
  <c r="AM1174" i="55"/>
  <c r="AB1174" i="55"/>
  <c r="U1174" i="55"/>
  <c r="S1174" i="55"/>
  <c r="C1174" i="55"/>
  <c r="G1174" i="55"/>
  <c r="L1174" i="55"/>
  <c r="X1174" i="55"/>
  <c r="W1174" i="55"/>
  <c r="AQ1174" i="55"/>
  <c r="AC1174" i="55"/>
  <c r="V1174" i="55"/>
  <c r="A1174" i="55"/>
  <c r="B1174" i="55"/>
  <c r="N1174" i="55"/>
  <c r="AN1174" i="55"/>
  <c r="AT1174" i="55"/>
  <c r="M1174" i="55"/>
  <c r="I1174" i="55"/>
  <c r="D1174" i="55"/>
  <c r="AH1174" i="55"/>
  <c r="AK1174" i="55"/>
  <c r="AF1174" i="55"/>
  <c r="AL372" i="55"/>
  <c r="AL889" i="26" l="1"/>
  <c r="AM889" i="26" s="1"/>
  <c r="AU889" i="26" s="1"/>
  <c r="P890" i="26"/>
  <c r="AJ890" i="26"/>
  <c r="AK890" i="26" s="1"/>
  <c r="BL889" i="26"/>
  <c r="R890" i="26"/>
  <c r="N890" i="26"/>
  <c r="E891" i="26"/>
  <c r="G890" i="26"/>
  <c r="O890" i="26"/>
  <c r="V890" i="26"/>
  <c r="E1175" i="55"/>
  <c r="AL371" i="55"/>
  <c r="AL890" i="26" l="1"/>
  <c r="AM890" i="26" s="1"/>
  <c r="AU890" i="26" s="1"/>
  <c r="W891" i="26"/>
  <c r="L891" i="26"/>
  <c r="C891" i="26"/>
  <c r="A891" i="26"/>
  <c r="Q891" i="26"/>
  <c r="H891" i="26"/>
  <c r="B891" i="26"/>
  <c r="D891" i="26" s="1"/>
  <c r="S890" i="26"/>
  <c r="T890" i="26" s="1"/>
  <c r="BC890" i="26" s="1"/>
  <c r="BK890" i="26"/>
  <c r="AO890" i="26"/>
  <c r="AT890" i="26" s="1"/>
  <c r="BT889" i="26"/>
  <c r="AV889" i="55"/>
  <c r="O1175" i="55"/>
  <c r="AK1175" i="55"/>
  <c r="AO1175" i="55"/>
  <c r="AI1175" i="55"/>
  <c r="Q1175" i="55"/>
  <c r="P1175" i="55"/>
  <c r="K1175" i="55"/>
  <c r="AF1175" i="55"/>
  <c r="AL1175" i="55"/>
  <c r="Z1175" i="55"/>
  <c r="AG1175" i="55"/>
  <c r="AD1175" i="55"/>
  <c r="B1175" i="55"/>
  <c r="H1175" i="55"/>
  <c r="L1175" i="55"/>
  <c r="AB1175" i="55"/>
  <c r="M1175" i="55"/>
  <c r="A1175" i="55"/>
  <c r="U1175" i="55"/>
  <c r="AN1175" i="55"/>
  <c r="V1175" i="55"/>
  <c r="N1175" i="55"/>
  <c r="AT1175" i="55"/>
  <c r="AC1175" i="55"/>
  <c r="D1175" i="55"/>
  <c r="G1175" i="55"/>
  <c r="S1175" i="55"/>
  <c r="C1175" i="55"/>
  <c r="I1175" i="55"/>
  <c r="AH1175" i="55"/>
  <c r="X1175" i="55"/>
  <c r="AM1175" i="55"/>
  <c r="AQ1175" i="55"/>
  <c r="W1175" i="55"/>
  <c r="AL370" i="55"/>
  <c r="X891" i="26" l="1"/>
  <c r="F891" i="26"/>
  <c r="R891" i="26" s="1"/>
  <c r="AP891" i="26"/>
  <c r="E892" i="26"/>
  <c r="BL890" i="26"/>
  <c r="O891" i="26"/>
  <c r="S891" i="26" s="1"/>
  <c r="T891" i="26" s="1"/>
  <c r="BC891" i="26" s="1"/>
  <c r="K891" i="26"/>
  <c r="M891" i="26" s="1"/>
  <c r="V891" i="26"/>
  <c r="AO891" i="26" s="1"/>
  <c r="P891" i="26"/>
  <c r="G891" i="26"/>
  <c r="U891" i="26"/>
  <c r="AF891" i="26" s="1"/>
  <c r="AN891" i="26" s="1"/>
  <c r="AS891" i="26"/>
  <c r="BJ891" i="26" s="1"/>
  <c r="E1176" i="55"/>
  <c r="AL369" i="55"/>
  <c r="AL891" i="26" l="1"/>
  <c r="AM891" i="26" s="1"/>
  <c r="AU891" i="26" s="1"/>
  <c r="H892" i="26"/>
  <c r="W892" i="26"/>
  <c r="Q892" i="26"/>
  <c r="L892" i="26"/>
  <c r="C892" i="26"/>
  <c r="A892" i="26"/>
  <c r="B892" i="26"/>
  <c r="F892" i="26" s="1"/>
  <c r="BK891" i="26"/>
  <c r="BL891" i="26"/>
  <c r="AJ891" i="26"/>
  <c r="AK891" i="26" s="1"/>
  <c r="N891" i="26"/>
  <c r="AV890" i="55"/>
  <c r="BT890" i="26"/>
  <c r="AT891" i="26"/>
  <c r="O1176" i="55"/>
  <c r="AK1176" i="55"/>
  <c r="AI1176" i="55"/>
  <c r="Q1176" i="55"/>
  <c r="P1176" i="55"/>
  <c r="K1176" i="55"/>
  <c r="AL1176" i="55"/>
  <c r="AG1176" i="55"/>
  <c r="AO1176" i="55"/>
  <c r="AD1176" i="55"/>
  <c r="AF1176" i="55"/>
  <c r="Z1176" i="55"/>
  <c r="B1176" i="55"/>
  <c r="AT1176" i="55"/>
  <c r="AC1176" i="55"/>
  <c r="AM1176" i="55"/>
  <c r="AN1176" i="55"/>
  <c r="S1176" i="55"/>
  <c r="W1176" i="55"/>
  <c r="A1176" i="55"/>
  <c r="C1176" i="55"/>
  <c r="AQ1176" i="55"/>
  <c r="I1176" i="55"/>
  <c r="V1176" i="55"/>
  <c r="H1176" i="55"/>
  <c r="X1176" i="55"/>
  <c r="G1176" i="55"/>
  <c r="U1176" i="55"/>
  <c r="D1176" i="55"/>
  <c r="L1176" i="55"/>
  <c r="M1176" i="55"/>
  <c r="AB1176" i="55"/>
  <c r="AH1176" i="55"/>
  <c r="N1176" i="55"/>
  <c r="AL368" i="55"/>
  <c r="X892" i="26" l="1"/>
  <c r="G892" i="26"/>
  <c r="D892" i="26"/>
  <c r="K892" i="26"/>
  <c r="M892" i="26" s="1"/>
  <c r="BT891" i="26"/>
  <c r="AV891" i="55"/>
  <c r="R892" i="26"/>
  <c r="AP892" i="26"/>
  <c r="AS892" i="26"/>
  <c r="BJ892" i="26" s="1"/>
  <c r="U892" i="26"/>
  <c r="AF892" i="26" s="1"/>
  <c r="AN892" i="26" s="1"/>
  <c r="V892" i="26"/>
  <c r="E1177" i="55"/>
  <c r="AL367" i="55"/>
  <c r="O892" i="26" l="1"/>
  <c r="S892" i="26" s="1"/>
  <c r="T892" i="26" s="1"/>
  <c r="BC892" i="26" s="1"/>
  <c r="P892" i="26"/>
  <c r="E893" i="26"/>
  <c r="AO892" i="26"/>
  <c r="AT892" i="26" s="1"/>
  <c r="BK892" i="26"/>
  <c r="C893" i="26"/>
  <c r="U893" i="26" s="1"/>
  <c r="B893" i="26"/>
  <c r="H893" i="26"/>
  <c r="W893" i="26"/>
  <c r="A893" i="26"/>
  <c r="L893" i="26"/>
  <c r="Q893" i="26"/>
  <c r="AJ892" i="26"/>
  <c r="AK892" i="26" s="1"/>
  <c r="N892" i="26"/>
  <c r="O1177" i="55"/>
  <c r="AD1177" i="55"/>
  <c r="AI1177" i="55"/>
  <c r="Q1177" i="55"/>
  <c r="P1177" i="55"/>
  <c r="K1177" i="55"/>
  <c r="Z1177" i="55"/>
  <c r="AG1177" i="55"/>
  <c r="AL1177" i="55"/>
  <c r="AO1177" i="55"/>
  <c r="AK1177" i="55"/>
  <c r="AF1177" i="55"/>
  <c r="AC1177" i="55"/>
  <c r="AH1177" i="55"/>
  <c r="AQ1177" i="55"/>
  <c r="V1177" i="55"/>
  <c r="G1177" i="55"/>
  <c r="B1177" i="55"/>
  <c r="X1177" i="55"/>
  <c r="U1177" i="55"/>
  <c r="A1177" i="55"/>
  <c r="D1177" i="55"/>
  <c r="M1177" i="55"/>
  <c r="C1177" i="55"/>
  <c r="N1177" i="55"/>
  <c r="AT1177" i="55"/>
  <c r="AB1177" i="55"/>
  <c r="AN1177" i="55"/>
  <c r="H1177" i="55"/>
  <c r="W1177" i="55"/>
  <c r="I1177" i="55"/>
  <c r="L1177" i="55"/>
  <c r="AM1177" i="55"/>
  <c r="S1177" i="55"/>
  <c r="AL366" i="55"/>
  <c r="AL892" i="26" l="1"/>
  <c r="AM892" i="26" s="1"/>
  <c r="AU892" i="26" s="1"/>
  <c r="AP893" i="26"/>
  <c r="V893" i="26"/>
  <c r="AO893" i="26" s="1"/>
  <c r="K893" i="26"/>
  <c r="M893" i="26" s="1"/>
  <c r="AJ893" i="26" s="1"/>
  <c r="AK893" i="26" s="1"/>
  <c r="D893" i="26"/>
  <c r="P893" i="26" s="1"/>
  <c r="X893" i="26"/>
  <c r="BK893" i="26" s="1"/>
  <c r="O893" i="26"/>
  <c r="G893" i="26"/>
  <c r="F893" i="26"/>
  <c r="R893" i="26" s="1"/>
  <c r="BL892" i="26"/>
  <c r="AF893" i="26"/>
  <c r="AN893" i="26" s="1"/>
  <c r="E894" i="26"/>
  <c r="E1178" i="55"/>
  <c r="AL365" i="55"/>
  <c r="N893" i="26" l="1"/>
  <c r="AT893" i="26"/>
  <c r="H894" i="26"/>
  <c r="C894" i="26"/>
  <c r="V894" i="26" s="1"/>
  <c r="A894" i="26"/>
  <c r="B894" i="26"/>
  <c r="Q894" i="26"/>
  <c r="L894" i="26"/>
  <c r="W894" i="26"/>
  <c r="AS894" i="26"/>
  <c r="BJ894" i="26" s="1"/>
  <c r="U894" i="26"/>
  <c r="BT892" i="26"/>
  <c r="AV892" i="55"/>
  <c r="S893" i="26"/>
  <c r="T893" i="26" s="1"/>
  <c r="BC893" i="26" s="1"/>
  <c r="O1178" i="55"/>
  <c r="AK1178" i="55"/>
  <c r="AI1178" i="55"/>
  <c r="P1178" i="55"/>
  <c r="Q1178" i="55"/>
  <c r="K1178" i="55"/>
  <c r="AL1178" i="55"/>
  <c r="AO1178" i="55"/>
  <c r="Z1178" i="55"/>
  <c r="AD1178" i="55"/>
  <c r="AG1178" i="55"/>
  <c r="AF1178" i="55"/>
  <c r="AQ1178" i="55"/>
  <c r="N1178" i="55"/>
  <c r="AB1178" i="55"/>
  <c r="X1178" i="55"/>
  <c r="W1178" i="55"/>
  <c r="M1178" i="55"/>
  <c r="C1178" i="55"/>
  <c r="H1178" i="55"/>
  <c r="D1178" i="55"/>
  <c r="AN1178" i="55"/>
  <c r="V1178" i="55"/>
  <c r="AH1178" i="55"/>
  <c r="B1178" i="55"/>
  <c r="S1178" i="55"/>
  <c r="I1178" i="55"/>
  <c r="AC1178" i="55"/>
  <c r="U1178" i="55"/>
  <c r="AT1178" i="55"/>
  <c r="A1178" i="55"/>
  <c r="AM1178" i="55"/>
  <c r="L1178" i="55"/>
  <c r="G1178" i="55"/>
  <c r="AL364" i="55"/>
  <c r="AL893" i="26" l="1"/>
  <c r="AM893" i="26" s="1"/>
  <c r="AU893" i="26" s="1"/>
  <c r="D894" i="26"/>
  <c r="AO894" i="26"/>
  <c r="AF894" i="26"/>
  <c r="AN894" i="26" s="1"/>
  <c r="X894" i="26"/>
  <c r="BK894" i="26" s="1"/>
  <c r="BL893" i="26"/>
  <c r="G894" i="26"/>
  <c r="F894" i="26"/>
  <c r="R894" i="26" s="1"/>
  <c r="K894" i="26"/>
  <c r="M894" i="26" s="1"/>
  <c r="AP894" i="26"/>
  <c r="E1179" i="55"/>
  <c r="AL363" i="55"/>
  <c r="AT894" i="26" l="1"/>
  <c r="O894" i="26"/>
  <c r="S894" i="26" s="1"/>
  <c r="T894" i="26" s="1"/>
  <c r="BC894" i="26" s="1"/>
  <c r="P894" i="26"/>
  <c r="E895" i="26"/>
  <c r="BT893" i="26"/>
  <c r="AV893" i="55"/>
  <c r="H895" i="26"/>
  <c r="B895" i="26"/>
  <c r="K895" i="26" s="1"/>
  <c r="C895" i="26"/>
  <c r="AS895" i="26" s="1"/>
  <c r="BJ895" i="26" s="1"/>
  <c r="W895" i="26"/>
  <c r="Q895" i="26"/>
  <c r="L895" i="26"/>
  <c r="N894" i="26"/>
  <c r="AJ894" i="26"/>
  <c r="AK894" i="26" s="1"/>
  <c r="O1179" i="55"/>
  <c r="Q1179" i="55"/>
  <c r="AI1179" i="55"/>
  <c r="K1179" i="55"/>
  <c r="P1179" i="55"/>
  <c r="AD1179" i="55"/>
  <c r="C1179" i="55"/>
  <c r="H1179" i="55"/>
  <c r="AT1179" i="55"/>
  <c r="M1179" i="55"/>
  <c r="U1179" i="55"/>
  <c r="AH1179" i="55"/>
  <c r="I1179" i="55"/>
  <c r="X1179" i="55"/>
  <c r="AQ1179" i="55"/>
  <c r="W1179" i="55"/>
  <c r="L1179" i="55"/>
  <c r="D1179" i="55"/>
  <c r="AB1179" i="55"/>
  <c r="G1179" i="55"/>
  <c r="B1179" i="55"/>
  <c r="V1179" i="55"/>
  <c r="AM1179" i="55"/>
  <c r="S1179" i="55"/>
  <c r="A1179" i="55"/>
  <c r="AC1179" i="55"/>
  <c r="AN1179" i="55"/>
  <c r="N1179" i="55"/>
  <c r="AF1179" i="55"/>
  <c r="AO1179" i="55"/>
  <c r="Z1179" i="55"/>
  <c r="AK1179" i="55"/>
  <c r="AL1179" i="55"/>
  <c r="AG1179" i="55"/>
  <c r="AL362" i="55"/>
  <c r="AL894" i="26" l="1"/>
  <c r="AM894" i="26" s="1"/>
  <c r="AU894" i="26" s="1"/>
  <c r="A895" i="26"/>
  <c r="U895" i="26"/>
  <c r="M895" i="26"/>
  <c r="N895" i="26" s="1"/>
  <c r="AP895" i="26"/>
  <c r="V895" i="26"/>
  <c r="BL894" i="26"/>
  <c r="AF895" i="26"/>
  <c r="AN895" i="26" s="1"/>
  <c r="X895" i="26"/>
  <c r="G895" i="26"/>
  <c r="D895" i="26"/>
  <c r="F895" i="26"/>
  <c r="R895" i="26" s="1"/>
  <c r="E1180" i="55"/>
  <c r="AL361" i="55"/>
  <c r="AJ895" i="26" l="1"/>
  <c r="AK895" i="26" s="1"/>
  <c r="P895" i="26"/>
  <c r="E896" i="26"/>
  <c r="AV894" i="55"/>
  <c r="BT894" i="26"/>
  <c r="O895" i="26"/>
  <c r="BK895" i="26"/>
  <c r="AO895" i="26"/>
  <c r="AT895" i="26" s="1"/>
  <c r="O1180" i="55"/>
  <c r="AK1180" i="55"/>
  <c r="AI1180" i="55"/>
  <c r="Q1180" i="55"/>
  <c r="P1180" i="55"/>
  <c r="K1180" i="55"/>
  <c r="AD1180" i="55"/>
  <c r="AL1180" i="55"/>
  <c r="Z1180" i="55"/>
  <c r="AO1180" i="55"/>
  <c r="AG1180" i="55"/>
  <c r="AF1180" i="55"/>
  <c r="AB1180" i="55"/>
  <c r="D1180" i="55"/>
  <c r="H1180" i="55"/>
  <c r="M1180" i="55"/>
  <c r="X1180" i="55"/>
  <c r="AT1180" i="55"/>
  <c r="AM1180" i="55"/>
  <c r="S1180" i="55"/>
  <c r="W1180" i="55"/>
  <c r="V1180" i="55"/>
  <c r="AC1180" i="55"/>
  <c r="AQ1180" i="55"/>
  <c r="U1180" i="55"/>
  <c r="I1180" i="55"/>
  <c r="L1180" i="55"/>
  <c r="B1180" i="55"/>
  <c r="G1180" i="55"/>
  <c r="C1180" i="55"/>
  <c r="AH1180" i="55"/>
  <c r="N1180" i="55"/>
  <c r="AN1180" i="55"/>
  <c r="A1180" i="55"/>
  <c r="AL360" i="55"/>
  <c r="AL895" i="26" l="1"/>
  <c r="AM895" i="26" s="1"/>
  <c r="AU895" i="26" s="1"/>
  <c r="B896" i="26"/>
  <c r="H896" i="26"/>
  <c r="Q896" i="26"/>
  <c r="L896" i="26"/>
  <c r="C896" i="26"/>
  <c r="AS896" i="26" s="1"/>
  <c r="BJ896" i="26" s="1"/>
  <c r="A896" i="26"/>
  <c r="W896" i="26"/>
  <c r="X896" i="26"/>
  <c r="F896" i="26"/>
  <c r="G896" i="26"/>
  <c r="S895" i="26"/>
  <c r="T895" i="26" s="1"/>
  <c r="BC895" i="26" s="1"/>
  <c r="E1181" i="55"/>
  <c r="AL359" i="55"/>
  <c r="R896" i="26" l="1"/>
  <c r="AP896" i="26"/>
  <c r="U896" i="26"/>
  <c r="AF896" i="26" s="1"/>
  <c r="AN896" i="26" s="1"/>
  <c r="K896" i="26"/>
  <c r="M896" i="26" s="1"/>
  <c r="BL895" i="26"/>
  <c r="E897" i="26"/>
  <c r="D896" i="26"/>
  <c r="O896" i="26" s="1"/>
  <c r="V896" i="26"/>
  <c r="BK896" i="26" s="1"/>
  <c r="O1181" i="55"/>
  <c r="AF1181" i="55"/>
  <c r="Q1181" i="55"/>
  <c r="AI1181" i="55"/>
  <c r="P1181" i="55"/>
  <c r="K1181" i="55"/>
  <c r="AL1181" i="55"/>
  <c r="Z1181" i="55"/>
  <c r="AD1181" i="55"/>
  <c r="AG1181" i="55"/>
  <c r="AO1181" i="55"/>
  <c r="AK1181" i="55"/>
  <c r="AT1181" i="55"/>
  <c r="H1181" i="55"/>
  <c r="X1181" i="55"/>
  <c r="G1181" i="55"/>
  <c r="L1181" i="55"/>
  <c r="U1181" i="55"/>
  <c r="A1181" i="55"/>
  <c r="D1181" i="55"/>
  <c r="B1181" i="55"/>
  <c r="I1181" i="55"/>
  <c r="AN1181" i="55"/>
  <c r="AQ1181" i="55"/>
  <c r="S1181" i="55"/>
  <c r="AC1181" i="55"/>
  <c r="V1181" i="55"/>
  <c r="AH1181" i="55"/>
  <c r="AB1181" i="55"/>
  <c r="AM1181" i="55"/>
  <c r="M1181" i="55"/>
  <c r="W1181" i="55"/>
  <c r="N1181" i="55"/>
  <c r="C1181" i="55"/>
  <c r="AL358" i="55"/>
  <c r="N896" i="26" l="1"/>
  <c r="AJ896" i="26"/>
  <c r="AK896" i="26" s="1"/>
  <c r="W897" i="26"/>
  <c r="Q897" i="26"/>
  <c r="C897" i="26"/>
  <c r="V897" i="26" s="1"/>
  <c r="H897" i="26"/>
  <c r="A897" i="26"/>
  <c r="L897" i="26"/>
  <c r="B897" i="26"/>
  <c r="G897" i="26" s="1"/>
  <c r="K897" i="26"/>
  <c r="AS897" i="26"/>
  <c r="BJ897" i="26" s="1"/>
  <c r="S896" i="26"/>
  <c r="T896" i="26" s="1"/>
  <c r="BC896" i="26" s="1"/>
  <c r="BT895" i="26"/>
  <c r="AV895" i="55"/>
  <c r="P896" i="26"/>
  <c r="AO896" i="26"/>
  <c r="AT896" i="26" s="1"/>
  <c r="E1182" i="55"/>
  <c r="AL357" i="55"/>
  <c r="AL896" i="26" l="1"/>
  <c r="AM896" i="26" s="1"/>
  <c r="AU896" i="26" s="1"/>
  <c r="M897" i="26"/>
  <c r="AJ897" i="26" s="1"/>
  <c r="AK897" i="26" s="1"/>
  <c r="AO897" i="26"/>
  <c r="AP897" i="26"/>
  <c r="X897" i="26"/>
  <c r="BK897" i="26" s="1"/>
  <c r="BL896" i="26"/>
  <c r="U897" i="26"/>
  <c r="O897" i="26"/>
  <c r="D897" i="26"/>
  <c r="E898" i="26" s="1"/>
  <c r="F897" i="26"/>
  <c r="R897" i="26" s="1"/>
  <c r="AF897" i="26"/>
  <c r="AN897" i="26" s="1"/>
  <c r="O1182" i="55"/>
  <c r="Z1182" i="55"/>
  <c r="AI1182" i="55"/>
  <c r="P1182" i="55"/>
  <c r="Q1182" i="55"/>
  <c r="K1182" i="55"/>
  <c r="AK1182" i="55"/>
  <c r="AF1182" i="55"/>
  <c r="AL1182" i="55"/>
  <c r="AO1182" i="55"/>
  <c r="AG1182" i="55"/>
  <c r="AD1182" i="55"/>
  <c r="AC1182" i="55"/>
  <c r="W1182" i="55"/>
  <c r="V1182" i="55"/>
  <c r="I1182" i="55"/>
  <c r="D1182" i="55"/>
  <c r="AM1182" i="55"/>
  <c r="A1182" i="55"/>
  <c r="B1182" i="55"/>
  <c r="H1182" i="55"/>
  <c r="L1182" i="55"/>
  <c r="U1182" i="55"/>
  <c r="C1182" i="55"/>
  <c r="AH1182" i="55"/>
  <c r="M1182" i="55"/>
  <c r="AN1182" i="55"/>
  <c r="AT1182" i="55"/>
  <c r="AQ1182" i="55"/>
  <c r="AB1182" i="55"/>
  <c r="G1182" i="55"/>
  <c r="N1182" i="55"/>
  <c r="X1182" i="55"/>
  <c r="S1182" i="55"/>
  <c r="AL356" i="55"/>
  <c r="N897" i="26" l="1"/>
  <c r="AT897" i="26"/>
  <c r="W898" i="26"/>
  <c r="L898" i="26"/>
  <c r="C898" i="26"/>
  <c r="Q898" i="26"/>
  <c r="H898" i="26"/>
  <c r="B898" i="26"/>
  <c r="F898" i="26" s="1"/>
  <c r="A898" i="26"/>
  <c r="G898" i="26"/>
  <c r="K898" i="26"/>
  <c r="M898" i="26" s="1"/>
  <c r="N898" i="26" s="1"/>
  <c r="D898" i="26"/>
  <c r="P898" i="26"/>
  <c r="O898" i="26"/>
  <c r="AV896" i="55"/>
  <c r="BT896" i="26"/>
  <c r="S897" i="26"/>
  <c r="T897" i="26" s="1"/>
  <c r="BC897" i="26" s="1"/>
  <c r="P897" i="26"/>
  <c r="E1183" i="55"/>
  <c r="AL355" i="55"/>
  <c r="AL897" i="26" l="1"/>
  <c r="AM897" i="26" s="1"/>
  <c r="AU897" i="26" s="1"/>
  <c r="AJ898" i="26"/>
  <c r="AK898" i="26" s="1"/>
  <c r="R898" i="26"/>
  <c r="AL898" i="26" s="1"/>
  <c r="U898" i="26"/>
  <c r="AF898" i="26" s="1"/>
  <c r="AN898" i="26" s="1"/>
  <c r="E899" i="26"/>
  <c r="AS898" i="26"/>
  <c r="BJ898" i="26" s="1"/>
  <c r="BL897" i="26"/>
  <c r="X898" i="26"/>
  <c r="AP898" i="26"/>
  <c r="V898" i="26"/>
  <c r="O1183" i="55"/>
  <c r="AL1183" i="55"/>
  <c r="AI1183" i="55"/>
  <c r="Q1183" i="55"/>
  <c r="P1183" i="55"/>
  <c r="K1183" i="55"/>
  <c r="AD1183" i="55"/>
  <c r="AO1183" i="55"/>
  <c r="AF1183" i="55"/>
  <c r="Z1183" i="55"/>
  <c r="AG1183" i="55"/>
  <c r="AK1183" i="55"/>
  <c r="V1183" i="55"/>
  <c r="G1183" i="55"/>
  <c r="AQ1183" i="55"/>
  <c r="X1183" i="55"/>
  <c r="N1183" i="55"/>
  <c r="AT1183" i="55"/>
  <c r="H1183" i="55"/>
  <c r="AN1183" i="55"/>
  <c r="AC1183" i="55"/>
  <c r="W1183" i="55"/>
  <c r="I1183" i="55"/>
  <c r="AH1183" i="55"/>
  <c r="A1183" i="55"/>
  <c r="U1183" i="55"/>
  <c r="AM1183" i="55"/>
  <c r="C1183" i="55"/>
  <c r="L1183" i="55"/>
  <c r="S1183" i="55"/>
  <c r="B1183" i="55"/>
  <c r="AB1183" i="55"/>
  <c r="M1183" i="55"/>
  <c r="D1183" i="55"/>
  <c r="AL354" i="55"/>
  <c r="AM898" i="26" l="1"/>
  <c r="AU898" i="26" s="1"/>
  <c r="S898" i="26"/>
  <c r="T898" i="26" s="1"/>
  <c r="BT897" i="26"/>
  <c r="AV897" i="55"/>
  <c r="C899" i="26"/>
  <c r="V899" i="26" s="1"/>
  <c r="H899" i="26"/>
  <c r="B899" i="26"/>
  <c r="D899" i="26" s="1"/>
  <c r="A899" i="26"/>
  <c r="W899" i="26"/>
  <c r="L899" i="26"/>
  <c r="Q899" i="26"/>
  <c r="AO898" i="26"/>
  <c r="AT898" i="26" s="1"/>
  <c r="BK898" i="26"/>
  <c r="E1184" i="55"/>
  <c r="AL353" i="55"/>
  <c r="BL898" i="26" l="1"/>
  <c r="BC898" i="26"/>
  <c r="BT898" i="26" s="1"/>
  <c r="G899" i="26"/>
  <c r="AS899" i="26"/>
  <c r="BJ899" i="26" s="1"/>
  <c r="E900" i="26"/>
  <c r="U899" i="26"/>
  <c r="AF899" i="26" s="1"/>
  <c r="AN899" i="26" s="1"/>
  <c r="AO899" i="26"/>
  <c r="AP899" i="26"/>
  <c r="P899" i="26"/>
  <c r="X899" i="26"/>
  <c r="BK899" i="26" s="1"/>
  <c r="F899" i="26"/>
  <c r="R899" i="26" s="1"/>
  <c r="K899" i="26"/>
  <c r="M899" i="26" s="1"/>
  <c r="O899" i="26"/>
  <c r="O1184" i="55"/>
  <c r="AO1184" i="55"/>
  <c r="AI1184" i="55"/>
  <c r="Q1184" i="55"/>
  <c r="P1184" i="55"/>
  <c r="K1184" i="55"/>
  <c r="AD1184" i="55"/>
  <c r="AK1184" i="55"/>
  <c r="AL1184" i="55"/>
  <c r="AF1184" i="55"/>
  <c r="AG1184" i="55"/>
  <c r="Z1184" i="55"/>
  <c r="B1184" i="55"/>
  <c r="AM1184" i="55"/>
  <c r="AQ1184" i="55"/>
  <c r="V1184" i="55"/>
  <c r="W1184" i="55"/>
  <c r="AH1184" i="55"/>
  <c r="AB1184" i="55"/>
  <c r="S1184" i="55"/>
  <c r="N1184" i="55"/>
  <c r="AN1184" i="55"/>
  <c r="I1184" i="55"/>
  <c r="AC1184" i="55"/>
  <c r="D1184" i="55"/>
  <c r="A1184" i="55"/>
  <c r="C1184" i="55"/>
  <c r="M1184" i="55"/>
  <c r="AT1184" i="55"/>
  <c r="G1184" i="55"/>
  <c r="L1184" i="55"/>
  <c r="X1184" i="55"/>
  <c r="H1184" i="55"/>
  <c r="U1184" i="55"/>
  <c r="AL352" i="55"/>
  <c r="AV898" i="55" l="1"/>
  <c r="AL899" i="26"/>
  <c r="AM899" i="26" s="1"/>
  <c r="AU899" i="26" s="1"/>
  <c r="N899" i="26"/>
  <c r="AJ899" i="26"/>
  <c r="AK899" i="26" s="1"/>
  <c r="AT899" i="26"/>
  <c r="S899" i="26"/>
  <c r="T899" i="26" s="1"/>
  <c r="BC899" i="26" s="1"/>
  <c r="A900" i="26"/>
  <c r="Q900" i="26"/>
  <c r="L900" i="26"/>
  <c r="H900" i="26"/>
  <c r="W900" i="26"/>
  <c r="C900" i="26"/>
  <c r="B900" i="26"/>
  <c r="E1185" i="55"/>
  <c r="AL351" i="55"/>
  <c r="K900" i="26" l="1"/>
  <c r="M900" i="26" s="1"/>
  <c r="D900" i="26"/>
  <c r="G900" i="26"/>
  <c r="X900" i="26"/>
  <c r="AP900" i="26"/>
  <c r="F900" i="26"/>
  <c r="R900" i="26" s="1"/>
  <c r="U900" i="26"/>
  <c r="AF900" i="26" s="1"/>
  <c r="AN900" i="26" s="1"/>
  <c r="AS900" i="26"/>
  <c r="BJ900" i="26" s="1"/>
  <c r="V900" i="26"/>
  <c r="AO900" i="26" s="1"/>
  <c r="O900" i="26"/>
  <c r="BL899" i="26"/>
  <c r="O1185" i="55"/>
  <c r="AO1185" i="55"/>
  <c r="AI1185" i="55"/>
  <c r="Q1185" i="55"/>
  <c r="P1185" i="55"/>
  <c r="K1185" i="55"/>
  <c r="AF1185" i="55"/>
  <c r="Z1185" i="55"/>
  <c r="AB1185" i="55"/>
  <c r="I1185" i="55"/>
  <c r="D1185" i="55"/>
  <c r="H1185" i="55"/>
  <c r="AQ1185" i="55"/>
  <c r="A1185" i="55"/>
  <c r="AH1185" i="55"/>
  <c r="X1185" i="55"/>
  <c r="AM1185" i="55"/>
  <c r="C1185" i="55"/>
  <c r="N1185" i="55"/>
  <c r="V1185" i="55"/>
  <c r="AT1185" i="55"/>
  <c r="AN1185" i="55"/>
  <c r="L1185" i="55"/>
  <c r="AC1185" i="55"/>
  <c r="B1185" i="55"/>
  <c r="W1185" i="55"/>
  <c r="M1185" i="55"/>
  <c r="U1185" i="55"/>
  <c r="G1185" i="55"/>
  <c r="S1185" i="55"/>
  <c r="AK1185" i="55"/>
  <c r="AL1185" i="55"/>
  <c r="AD1185" i="55"/>
  <c r="AG1185" i="55"/>
  <c r="AL350" i="55"/>
  <c r="AT900" i="26" l="1"/>
  <c r="S900" i="26"/>
  <c r="T900" i="26" s="1"/>
  <c r="BC900" i="26" s="1"/>
  <c r="BT899" i="26"/>
  <c r="AV899" i="55"/>
  <c r="P900" i="26"/>
  <c r="E901" i="26"/>
  <c r="BK900" i="26"/>
  <c r="N900" i="26"/>
  <c r="AJ900" i="26"/>
  <c r="AK900" i="26" s="1"/>
  <c r="E1186" i="55"/>
  <c r="AL349" i="55"/>
  <c r="AL900" i="26" l="1"/>
  <c r="AM900" i="26" s="1"/>
  <c r="AU900" i="26" s="1"/>
  <c r="BL900" i="26"/>
  <c r="A901" i="26"/>
  <c r="B901" i="26"/>
  <c r="K901" i="26" s="1"/>
  <c r="C901" i="26"/>
  <c r="AS901" i="26" s="1"/>
  <c r="BJ901" i="26" s="1"/>
  <c r="H901" i="26"/>
  <c r="L901" i="26"/>
  <c r="W901" i="26"/>
  <c r="Q901" i="26"/>
  <c r="O1186" i="55"/>
  <c r="AI1186" i="55"/>
  <c r="Q1186" i="55"/>
  <c r="P1186" i="55"/>
  <c r="K1186" i="55"/>
  <c r="AG1186" i="55"/>
  <c r="U1186" i="55"/>
  <c r="C1186" i="55"/>
  <c r="G1186" i="55"/>
  <c r="H1186" i="55"/>
  <c r="AM1186" i="55"/>
  <c r="S1186" i="55"/>
  <c r="AC1186" i="55"/>
  <c r="A1186" i="55"/>
  <c r="I1186" i="55"/>
  <c r="W1186" i="55"/>
  <c r="M1186" i="55"/>
  <c r="D1186" i="55"/>
  <c r="AN1186" i="55"/>
  <c r="V1186" i="55"/>
  <c r="L1186" i="55"/>
  <c r="N1186" i="55"/>
  <c r="B1186" i="55"/>
  <c r="X1186" i="55"/>
  <c r="AH1186" i="55"/>
  <c r="AB1186" i="55"/>
  <c r="AT1186" i="55"/>
  <c r="AQ1186" i="55"/>
  <c r="AO1186" i="55"/>
  <c r="AF1186" i="55"/>
  <c r="Z1186" i="55"/>
  <c r="AL1186" i="55"/>
  <c r="AD1186" i="55"/>
  <c r="AK1186" i="55"/>
  <c r="AL348" i="55"/>
  <c r="X901" i="26" l="1"/>
  <c r="F901" i="26"/>
  <c r="G901" i="26"/>
  <c r="D901" i="26"/>
  <c r="BT900" i="26"/>
  <c r="AV900" i="55"/>
  <c r="R901" i="26"/>
  <c r="M901" i="26"/>
  <c r="U901" i="26"/>
  <c r="AF901" i="26" s="1"/>
  <c r="AN901" i="26" s="1"/>
  <c r="AP901" i="26"/>
  <c r="V901" i="26"/>
  <c r="BK901" i="26" s="1"/>
  <c r="E902" i="26"/>
  <c r="E1187" i="55"/>
  <c r="AL347" i="55"/>
  <c r="O901" i="26" l="1"/>
  <c r="P901" i="26"/>
  <c r="A902" i="26"/>
  <c r="W902" i="26"/>
  <c r="L902" i="26"/>
  <c r="B902" i="26"/>
  <c r="H902" i="26"/>
  <c r="Q902" i="26"/>
  <c r="C902" i="26"/>
  <c r="U902" i="26" s="1"/>
  <c r="AF902" i="26" s="1"/>
  <c r="AN902" i="26" s="1"/>
  <c r="G902" i="26"/>
  <c r="D902" i="26"/>
  <c r="AS902" i="26"/>
  <c r="BJ902" i="26" s="1"/>
  <c r="F902" i="26"/>
  <c r="R902" i="26" s="1"/>
  <c r="AO901" i="26"/>
  <c r="AT901" i="26" s="1"/>
  <c r="N901" i="26"/>
  <c r="AJ901" i="26"/>
  <c r="AK901" i="26" s="1"/>
  <c r="AL901" i="26"/>
  <c r="S901" i="26"/>
  <c r="T901" i="26" s="1"/>
  <c r="BC901" i="26" s="1"/>
  <c r="O1187" i="55"/>
  <c r="AI1187" i="55"/>
  <c r="Q1187" i="55"/>
  <c r="K1187" i="55"/>
  <c r="P1187" i="55"/>
  <c r="Z1187" i="55"/>
  <c r="AD1187" i="55"/>
  <c r="AL1187" i="55"/>
  <c r="AO1187" i="55"/>
  <c r="AF1187" i="55"/>
  <c r="AK1187" i="55"/>
  <c r="AG1187" i="55"/>
  <c r="L1187" i="55"/>
  <c r="AB1187" i="55"/>
  <c r="A1187" i="55"/>
  <c r="N1187" i="55"/>
  <c r="H1187" i="55"/>
  <c r="W1187" i="55"/>
  <c r="AT1187" i="55"/>
  <c r="AC1187" i="55"/>
  <c r="G1187" i="55"/>
  <c r="D1187" i="55"/>
  <c r="AH1187" i="55"/>
  <c r="U1187" i="55"/>
  <c r="AQ1187" i="55"/>
  <c r="X1187" i="55"/>
  <c r="AN1187" i="55"/>
  <c r="B1187" i="55"/>
  <c r="C1187" i="55"/>
  <c r="I1187" i="55"/>
  <c r="AM1187" i="55"/>
  <c r="S1187" i="55"/>
  <c r="V1187" i="55"/>
  <c r="M1187" i="55"/>
  <c r="AL346" i="55"/>
  <c r="AM901" i="26" l="1"/>
  <c r="AU901" i="26" s="1"/>
  <c r="AP902" i="26"/>
  <c r="K902" i="26"/>
  <c r="M902" i="26" s="1"/>
  <c r="AJ902" i="26" s="1"/>
  <c r="AK902" i="26" s="1"/>
  <c r="E903" i="26"/>
  <c r="BL901" i="26"/>
  <c r="X902" i="26"/>
  <c r="P902" i="26"/>
  <c r="O902" i="26"/>
  <c r="V902" i="26"/>
  <c r="AO902" i="26" s="1"/>
  <c r="E1188" i="55"/>
  <c r="AL345" i="55"/>
  <c r="AL902" i="26" l="1"/>
  <c r="AM902" i="26" s="1"/>
  <c r="AU902" i="26" s="1"/>
  <c r="AT902" i="26"/>
  <c r="N902" i="26"/>
  <c r="S902" i="26"/>
  <c r="T902" i="26" s="1"/>
  <c r="BC902" i="26" s="1"/>
  <c r="AV901" i="55"/>
  <c r="BT901" i="26"/>
  <c r="BK902" i="26"/>
  <c r="A903" i="26"/>
  <c r="C903" i="26"/>
  <c r="V903" i="26" s="1"/>
  <c r="Q903" i="26"/>
  <c r="L903" i="26"/>
  <c r="H903" i="26"/>
  <c r="W903" i="26"/>
  <c r="B903" i="26"/>
  <c r="G903" i="26" s="1"/>
  <c r="O1188" i="55"/>
  <c r="AD1188" i="55"/>
  <c r="AI1188" i="55"/>
  <c r="Q1188" i="55"/>
  <c r="P1188" i="55"/>
  <c r="K1188" i="55"/>
  <c r="AF1188" i="55"/>
  <c r="AL1188" i="55"/>
  <c r="AO1188" i="55"/>
  <c r="AK1188" i="55"/>
  <c r="AB1188" i="55"/>
  <c r="N1188" i="55"/>
  <c r="C1188" i="55"/>
  <c r="AT1188" i="55"/>
  <c r="AN1188" i="55"/>
  <c r="L1188" i="55"/>
  <c r="G1188" i="55"/>
  <c r="D1188" i="55"/>
  <c r="S1188" i="55"/>
  <c r="AQ1188" i="55"/>
  <c r="A1188" i="55"/>
  <c r="X1188" i="55"/>
  <c r="AC1188" i="55"/>
  <c r="H1188" i="55"/>
  <c r="V1188" i="55"/>
  <c r="B1188" i="55"/>
  <c r="I1188" i="55"/>
  <c r="U1188" i="55"/>
  <c r="AH1188" i="55"/>
  <c r="M1188" i="55"/>
  <c r="AM1188" i="55"/>
  <c r="W1188" i="55"/>
  <c r="Z1188" i="55"/>
  <c r="AG1188" i="55"/>
  <c r="AL344" i="55"/>
  <c r="F903" i="26" l="1"/>
  <c r="R903" i="26" s="1"/>
  <c r="D903" i="26"/>
  <c r="AP903" i="26"/>
  <c r="K903" i="26"/>
  <c r="M903" i="26" s="1"/>
  <c r="AS903" i="26"/>
  <c r="BJ903" i="26" s="1"/>
  <c r="U903" i="26"/>
  <c r="AF903" i="26" s="1"/>
  <c r="AN903" i="26" s="1"/>
  <c r="AO903" i="26"/>
  <c r="X903" i="26"/>
  <c r="BK903" i="26" s="1"/>
  <c r="P903" i="26"/>
  <c r="O903" i="26"/>
  <c r="BL902" i="26"/>
  <c r="E904" i="26"/>
  <c r="E1189" i="55"/>
  <c r="AL343" i="55"/>
  <c r="AT903" i="26" l="1"/>
  <c r="AL903" i="26"/>
  <c r="AM903" i="26" s="1"/>
  <c r="AU903" i="26" s="1"/>
  <c r="N903" i="26"/>
  <c r="AJ903" i="26"/>
  <c r="AK903" i="26" s="1"/>
  <c r="AV902" i="55"/>
  <c r="BT902" i="26"/>
  <c r="S903" i="26"/>
  <c r="T903" i="26" s="1"/>
  <c r="BC903" i="26" s="1"/>
  <c r="C904" i="26"/>
  <c r="V904" i="26" s="1"/>
  <c r="Q904" i="26"/>
  <c r="W904" i="26"/>
  <c r="A904" i="26"/>
  <c r="H904" i="26"/>
  <c r="L904" i="26"/>
  <c r="B904" i="26"/>
  <c r="G904" i="26" s="1"/>
  <c r="O1189" i="55"/>
  <c r="AG1189" i="55"/>
  <c r="Q1189" i="55"/>
  <c r="P1189" i="55"/>
  <c r="AI1189" i="55"/>
  <c r="K1189" i="55"/>
  <c r="AO1189" i="55"/>
  <c r="AL1189" i="55"/>
  <c r="AK1189" i="55"/>
  <c r="AD1189" i="55"/>
  <c r="AF1189" i="55"/>
  <c r="AB1189" i="55"/>
  <c r="X1189" i="55"/>
  <c r="H1189" i="55"/>
  <c r="AQ1189" i="55"/>
  <c r="AM1189" i="55"/>
  <c r="M1189" i="55"/>
  <c r="A1189" i="55"/>
  <c r="B1189" i="55"/>
  <c r="W1189" i="55"/>
  <c r="D1189" i="55"/>
  <c r="G1189" i="55"/>
  <c r="AH1189" i="55"/>
  <c r="U1189" i="55"/>
  <c r="I1189" i="55"/>
  <c r="L1189" i="55"/>
  <c r="AC1189" i="55"/>
  <c r="AT1189" i="55"/>
  <c r="C1189" i="55"/>
  <c r="S1189" i="55"/>
  <c r="N1189" i="55"/>
  <c r="V1189" i="55"/>
  <c r="AN1189" i="55"/>
  <c r="Z1189" i="55"/>
  <c r="AL342" i="55"/>
  <c r="AS904" i="26" l="1"/>
  <c r="BJ904" i="26" s="1"/>
  <c r="U904" i="26"/>
  <c r="AF904" i="26" s="1"/>
  <c r="AN904" i="26" s="1"/>
  <c r="AO904" i="26"/>
  <c r="BL903" i="26"/>
  <c r="F904" i="26"/>
  <c r="R904" i="26" s="1"/>
  <c r="AP904" i="26"/>
  <c r="D904" i="26"/>
  <c r="O904" i="26" s="1"/>
  <c r="K904" i="26"/>
  <c r="M904" i="26" s="1"/>
  <c r="X904" i="26"/>
  <c r="BK904" i="26" s="1"/>
  <c r="E1190" i="55"/>
  <c r="AL341" i="55"/>
  <c r="AT904" i="26" l="1"/>
  <c r="E905" i="26"/>
  <c r="P904" i="26"/>
  <c r="AV903" i="55"/>
  <c r="BT903" i="26"/>
  <c r="S904" i="26"/>
  <c r="T904" i="26" s="1"/>
  <c r="AJ904" i="26"/>
  <c r="AK904" i="26" s="1"/>
  <c r="N904" i="26"/>
  <c r="O1190" i="55"/>
  <c r="AG1190" i="55"/>
  <c r="AK1190" i="55"/>
  <c r="AI1190" i="55"/>
  <c r="P1190" i="55"/>
  <c r="K1190" i="55"/>
  <c r="Q1190" i="55"/>
  <c r="AF1190" i="55"/>
  <c r="AL1190" i="55"/>
  <c r="Z1190" i="55"/>
  <c r="AD1190" i="55"/>
  <c r="AO1190" i="55"/>
  <c r="V1190" i="55"/>
  <c r="S1190" i="55"/>
  <c r="AN1190" i="55"/>
  <c r="I1190" i="55"/>
  <c r="AM1190" i="55"/>
  <c r="H1190" i="55"/>
  <c r="L1190" i="55"/>
  <c r="AC1190" i="55"/>
  <c r="U1190" i="55"/>
  <c r="AB1190" i="55"/>
  <c r="G1190" i="55"/>
  <c r="X1190" i="55"/>
  <c r="C1190" i="55"/>
  <c r="AH1190" i="55"/>
  <c r="AT1190" i="55"/>
  <c r="D1190" i="55"/>
  <c r="AQ1190" i="55"/>
  <c r="B1190" i="55"/>
  <c r="M1190" i="55"/>
  <c r="A1190" i="55"/>
  <c r="W1190" i="55"/>
  <c r="N1190" i="55"/>
  <c r="AL340" i="55"/>
  <c r="AL904" i="26" l="1"/>
  <c r="AM904" i="26" s="1"/>
  <c r="AU904" i="26" s="1"/>
  <c r="BL904" i="26"/>
  <c r="BC904" i="26"/>
  <c r="BT904" i="26" s="1"/>
  <c r="W905" i="26"/>
  <c r="Q905" i="26"/>
  <c r="H905" i="26"/>
  <c r="B905" i="26"/>
  <c r="F905" i="26" s="1"/>
  <c r="R905" i="26" s="1"/>
  <c r="L905" i="26"/>
  <c r="C905" i="26"/>
  <c r="U905" i="26" s="1"/>
  <c r="A905" i="26"/>
  <c r="E1191" i="55"/>
  <c r="AL339" i="55"/>
  <c r="AV904" i="55" l="1"/>
  <c r="X905" i="26"/>
  <c r="G905" i="26"/>
  <c r="K905" i="26"/>
  <c r="M905" i="26" s="1"/>
  <c r="AP905" i="26"/>
  <c r="D905" i="26"/>
  <c r="O905" i="26" s="1"/>
  <c r="S905" i="26" s="1"/>
  <c r="T905" i="26" s="1"/>
  <c r="BC905" i="26" s="1"/>
  <c r="AF905" i="26"/>
  <c r="AN905" i="26" s="1"/>
  <c r="V905" i="26"/>
  <c r="O1191" i="55"/>
  <c r="AF1191" i="55"/>
  <c r="AI1191" i="55"/>
  <c r="Q1191" i="55"/>
  <c r="P1191" i="55"/>
  <c r="K1191" i="55"/>
  <c r="AG1191" i="55"/>
  <c r="Z1191" i="55"/>
  <c r="AO1191" i="55"/>
  <c r="AL1191" i="55"/>
  <c r="I1191" i="55"/>
  <c r="B1191" i="55"/>
  <c r="AH1191" i="55"/>
  <c r="AB1191" i="55"/>
  <c r="X1191" i="55"/>
  <c r="A1191" i="55"/>
  <c r="G1191" i="55"/>
  <c r="M1191" i="55"/>
  <c r="V1191" i="55"/>
  <c r="U1191" i="55"/>
  <c r="AN1191" i="55"/>
  <c r="N1191" i="55"/>
  <c r="W1191" i="55"/>
  <c r="L1191" i="55"/>
  <c r="AT1191" i="55"/>
  <c r="AQ1191" i="55"/>
  <c r="D1191" i="55"/>
  <c r="H1191" i="55"/>
  <c r="C1191" i="55"/>
  <c r="AC1191" i="55"/>
  <c r="S1191" i="55"/>
  <c r="AM1191" i="55"/>
  <c r="AD1191" i="55"/>
  <c r="AK1191" i="55"/>
  <c r="AL338" i="55"/>
  <c r="N905" i="26" l="1"/>
  <c r="AJ905" i="26"/>
  <c r="AK905" i="26" s="1"/>
  <c r="BK905" i="26"/>
  <c r="AO905" i="26"/>
  <c r="AT905" i="26" s="1"/>
  <c r="P905" i="26"/>
  <c r="E906" i="26"/>
  <c r="BL905" i="26"/>
  <c r="E1192" i="55"/>
  <c r="AL337" i="55"/>
  <c r="AL905" i="26" l="1"/>
  <c r="AM905" i="26" s="1"/>
  <c r="AU905" i="26" s="1"/>
  <c r="C906" i="26"/>
  <c r="H906" i="26"/>
  <c r="B906" i="26"/>
  <c r="K906" i="26" s="1"/>
  <c r="M906" i="26" s="1"/>
  <c r="N906" i="26" s="1"/>
  <c r="A906" i="26"/>
  <c r="L906" i="26"/>
  <c r="Q906" i="26"/>
  <c r="W906" i="26"/>
  <c r="AV905" i="55"/>
  <c r="BT905" i="26"/>
  <c r="O1192" i="55"/>
  <c r="AO1192" i="55"/>
  <c r="AI1192" i="55"/>
  <c r="Q1192" i="55"/>
  <c r="P1192" i="55"/>
  <c r="K1192" i="55"/>
  <c r="AK1192" i="55"/>
  <c r="AF1192" i="55"/>
  <c r="AG1192" i="55"/>
  <c r="AD1192" i="55"/>
  <c r="AL1192" i="55"/>
  <c r="Z1192" i="55"/>
  <c r="I1192" i="55"/>
  <c r="B1192" i="55"/>
  <c r="D1192" i="55"/>
  <c r="AN1192" i="55"/>
  <c r="G1192" i="55"/>
  <c r="H1192" i="55"/>
  <c r="A1192" i="55"/>
  <c r="AT1192" i="55"/>
  <c r="C1192" i="55"/>
  <c r="V1192" i="55"/>
  <c r="S1192" i="55"/>
  <c r="L1192" i="55"/>
  <c r="AQ1192" i="55"/>
  <c r="AB1192" i="55"/>
  <c r="W1192" i="55"/>
  <c r="AC1192" i="55"/>
  <c r="U1192" i="55"/>
  <c r="M1192" i="55"/>
  <c r="N1192" i="55"/>
  <c r="AH1192" i="55"/>
  <c r="AM1192" i="55"/>
  <c r="X1192" i="55"/>
  <c r="AL336" i="55"/>
  <c r="F906" i="26" l="1"/>
  <c r="R906" i="26" s="1"/>
  <c r="AP906" i="26"/>
  <c r="D906" i="26"/>
  <c r="O906" i="26" s="1"/>
  <c r="X906" i="26"/>
  <c r="G906" i="26"/>
  <c r="AJ906" i="26"/>
  <c r="AK906" i="26" s="1"/>
  <c r="AS906" i="26"/>
  <c r="BJ906" i="26" s="1"/>
  <c r="E907" i="26"/>
  <c r="U906" i="26"/>
  <c r="AF906" i="26" s="1"/>
  <c r="AN906" i="26" s="1"/>
  <c r="P906" i="26"/>
  <c r="V906" i="26"/>
  <c r="AO906" i="26" s="1"/>
  <c r="E1193" i="55"/>
  <c r="AL335" i="55"/>
  <c r="AL906" i="26" l="1"/>
  <c r="BK906" i="26"/>
  <c r="C907" i="26"/>
  <c r="H907" i="26"/>
  <c r="Q907" i="26"/>
  <c r="A907" i="26"/>
  <c r="B907" i="26"/>
  <c r="W907" i="26"/>
  <c r="L907" i="26"/>
  <c r="AT906" i="26"/>
  <c r="S906" i="26"/>
  <c r="T906" i="26" s="1"/>
  <c r="BC906" i="26" s="1"/>
  <c r="AF1193" i="55"/>
  <c r="AL1193" i="55"/>
  <c r="O1193" i="55"/>
  <c r="AD1193" i="55"/>
  <c r="AK1193" i="55"/>
  <c r="AI1193" i="55"/>
  <c r="Q1193" i="55"/>
  <c r="P1193" i="55"/>
  <c r="K1193" i="55"/>
  <c r="Z1193" i="55"/>
  <c r="AG1193" i="55"/>
  <c r="AO1193" i="55"/>
  <c r="AB1193" i="55"/>
  <c r="AC1193" i="55"/>
  <c r="V1193" i="55"/>
  <c r="W1193" i="55"/>
  <c r="L1193" i="55"/>
  <c r="D1193" i="55"/>
  <c r="B1193" i="55"/>
  <c r="H1193" i="55"/>
  <c r="I1193" i="55"/>
  <c r="AM1193" i="55"/>
  <c r="G1193" i="55"/>
  <c r="X1193" i="55"/>
  <c r="AN1193" i="55"/>
  <c r="S1193" i="55"/>
  <c r="N1193" i="55"/>
  <c r="M1193" i="55"/>
  <c r="AT1193" i="55"/>
  <c r="A1193" i="55"/>
  <c r="U1193" i="55"/>
  <c r="C1193" i="55"/>
  <c r="AH1193" i="55"/>
  <c r="AQ1193" i="55"/>
  <c r="AL334" i="55"/>
  <c r="AM906" i="26" l="1"/>
  <c r="AU906" i="26" s="1"/>
  <c r="AP907" i="26"/>
  <c r="K907" i="26"/>
  <c r="M907" i="26" s="1"/>
  <c r="AS907" i="26"/>
  <c r="BJ907" i="26" s="1"/>
  <c r="U907" i="26"/>
  <c r="AF907" i="26" s="1"/>
  <c r="AN907" i="26" s="1"/>
  <c r="BL906" i="26"/>
  <c r="G907" i="26"/>
  <c r="D907" i="26"/>
  <c r="X907" i="26"/>
  <c r="V907" i="26"/>
  <c r="AO907" i="26" s="1"/>
  <c r="F907" i="26"/>
  <c r="R907" i="26" s="1"/>
  <c r="E1194" i="55"/>
  <c r="AL333" i="55"/>
  <c r="AT907" i="26" l="1"/>
  <c r="BK907" i="26"/>
  <c r="AJ907" i="26"/>
  <c r="AK907" i="26" s="1"/>
  <c r="N907" i="26"/>
  <c r="O907" i="26"/>
  <c r="P907" i="26"/>
  <c r="BT906" i="26"/>
  <c r="AV906" i="55"/>
  <c r="E908" i="26"/>
  <c r="O1194" i="55"/>
  <c r="AG1194" i="55"/>
  <c r="AI1194" i="55"/>
  <c r="P1194" i="55"/>
  <c r="Q1194" i="55"/>
  <c r="K1194" i="55"/>
  <c r="AO1194" i="55"/>
  <c r="AF1194" i="55"/>
  <c r="AL1194" i="55"/>
  <c r="Z1194" i="55"/>
  <c r="AK1194" i="55"/>
  <c r="AD1194" i="55"/>
  <c r="I1194" i="55"/>
  <c r="AM1194" i="55"/>
  <c r="S1194" i="55"/>
  <c r="M1194" i="55"/>
  <c r="L1194" i="55"/>
  <c r="AT1194" i="55"/>
  <c r="X1194" i="55"/>
  <c r="U1194" i="55"/>
  <c r="AB1194" i="55"/>
  <c r="N1194" i="55"/>
  <c r="G1194" i="55"/>
  <c r="D1194" i="55"/>
  <c r="AC1194" i="55"/>
  <c r="AN1194" i="55"/>
  <c r="C1194" i="55"/>
  <c r="AQ1194" i="55"/>
  <c r="V1194" i="55"/>
  <c r="B1194" i="55"/>
  <c r="A1194" i="55"/>
  <c r="W1194" i="55"/>
  <c r="AH1194" i="55"/>
  <c r="H1194" i="55"/>
  <c r="AL332" i="55"/>
  <c r="AL907" i="26" l="1"/>
  <c r="AM907" i="26" s="1"/>
  <c r="AU907" i="26" s="1"/>
  <c r="S907" i="26"/>
  <c r="T907" i="26" s="1"/>
  <c r="BC907" i="26" s="1"/>
  <c r="L908" i="26"/>
  <c r="H908" i="26"/>
  <c r="A908" i="26"/>
  <c r="W908" i="26"/>
  <c r="B908" i="26"/>
  <c r="D908" i="26" s="1"/>
  <c r="Q908" i="26"/>
  <c r="C908" i="26"/>
  <c r="AS908" i="26"/>
  <c r="BJ908" i="26" s="1"/>
  <c r="F908" i="26"/>
  <c r="R908" i="26" s="1"/>
  <c r="E1195" i="55"/>
  <c r="AO1195" i="55" s="1"/>
  <c r="AL331" i="55"/>
  <c r="P908" i="26" l="1"/>
  <c r="X908" i="26"/>
  <c r="E909" i="26"/>
  <c r="K908" i="26"/>
  <c r="M908" i="26" s="1"/>
  <c r="N908" i="26" s="1"/>
  <c r="O908" i="26"/>
  <c r="S908" i="26" s="1"/>
  <c r="T908" i="26" s="1"/>
  <c r="BL908" i="26" s="1"/>
  <c r="BL907" i="26"/>
  <c r="V908" i="26"/>
  <c r="B909" i="26"/>
  <c r="H909" i="26"/>
  <c r="L909" i="26"/>
  <c r="W909" i="26"/>
  <c r="C909" i="26"/>
  <c r="A909" i="26"/>
  <c r="Q909" i="26"/>
  <c r="U908" i="26"/>
  <c r="AF908" i="26" s="1"/>
  <c r="AN908" i="26" s="1"/>
  <c r="AP908" i="26"/>
  <c r="G908" i="26"/>
  <c r="AG1195" i="55"/>
  <c r="AF1195" i="55"/>
  <c r="Z1195" i="55"/>
  <c r="O1195" i="55"/>
  <c r="AD1195" i="55"/>
  <c r="Q1195" i="55"/>
  <c r="AI1195" i="55"/>
  <c r="K1195" i="55"/>
  <c r="P1195" i="55"/>
  <c r="AK1195" i="55"/>
  <c r="AL1195" i="55"/>
  <c r="AC1195" i="55"/>
  <c r="AT1195" i="55"/>
  <c r="B1195" i="55"/>
  <c r="AH1195" i="55"/>
  <c r="G1195" i="55"/>
  <c r="N1195" i="55"/>
  <c r="S1195" i="55"/>
  <c r="C1195" i="55"/>
  <c r="AN1195" i="55"/>
  <c r="X1195" i="55"/>
  <c r="A1195" i="55"/>
  <c r="I1195" i="55"/>
  <c r="W1195" i="55"/>
  <c r="AB1195" i="55"/>
  <c r="U1195" i="55"/>
  <c r="H1195" i="55"/>
  <c r="M1195" i="55"/>
  <c r="L1195" i="55"/>
  <c r="D1195" i="55"/>
  <c r="AM1195" i="55"/>
  <c r="V1195" i="55"/>
  <c r="AQ1195" i="55"/>
  <c r="AL330" i="55"/>
  <c r="AJ908" i="26" l="1"/>
  <c r="AK908" i="26" s="1"/>
  <c r="AL908" i="26"/>
  <c r="AM908" i="26" s="1"/>
  <c r="AU908" i="26" s="1"/>
  <c r="K909" i="26"/>
  <c r="M909" i="26" s="1"/>
  <c r="N909" i="26" s="1"/>
  <c r="BK908" i="26"/>
  <c r="BC908" i="26"/>
  <c r="AS909" i="26"/>
  <c r="BJ909" i="26" s="1"/>
  <c r="D909" i="26"/>
  <c r="V909" i="26"/>
  <c r="X909" i="26"/>
  <c r="F909" i="26"/>
  <c r="R909" i="26" s="1"/>
  <c r="U909" i="26"/>
  <c r="AF909" i="26" s="1"/>
  <c r="AN909" i="26" s="1"/>
  <c r="G909" i="26"/>
  <c r="AP909" i="26"/>
  <c r="BT907" i="26"/>
  <c r="AV907" i="55"/>
  <c r="AO908" i="26"/>
  <c r="AT908" i="26" s="1"/>
  <c r="E1196" i="55"/>
  <c r="AL329" i="55"/>
  <c r="AJ909" i="26" l="1"/>
  <c r="AK909" i="26" s="1"/>
  <c r="AV908" i="55"/>
  <c r="BT908" i="26"/>
  <c r="P909" i="26"/>
  <c r="O909" i="26"/>
  <c r="BK909" i="26"/>
  <c r="E910" i="26"/>
  <c r="AO909" i="26"/>
  <c r="AT909" i="26" s="1"/>
  <c r="O1196" i="55"/>
  <c r="AF1196" i="55"/>
  <c r="AI1196" i="55"/>
  <c r="Q1196" i="55"/>
  <c r="P1196" i="55"/>
  <c r="K1196" i="55"/>
  <c r="AD1196" i="55"/>
  <c r="Z1196" i="55"/>
  <c r="AG1196" i="55"/>
  <c r="AO1196" i="55"/>
  <c r="AL1196" i="55"/>
  <c r="AK1196" i="55"/>
  <c r="V1196" i="55"/>
  <c r="D1196" i="55"/>
  <c r="I1196" i="55"/>
  <c r="A1196" i="55"/>
  <c r="AT1196" i="55"/>
  <c r="AN1196" i="55"/>
  <c r="G1196" i="55"/>
  <c r="W1196" i="55"/>
  <c r="U1196" i="55"/>
  <c r="AC1196" i="55"/>
  <c r="X1196" i="55"/>
  <c r="L1196" i="55"/>
  <c r="H1196" i="55"/>
  <c r="AH1196" i="55"/>
  <c r="C1196" i="55"/>
  <c r="AQ1196" i="55"/>
  <c r="B1196" i="55"/>
  <c r="S1196" i="55"/>
  <c r="AM1196" i="55"/>
  <c r="M1196" i="55"/>
  <c r="AB1196" i="55"/>
  <c r="N1196" i="55"/>
  <c r="AL328" i="55"/>
  <c r="AL909" i="26" l="1"/>
  <c r="AM909" i="26" s="1"/>
  <c r="AU909" i="26" s="1"/>
  <c r="W910" i="26"/>
  <c r="H910" i="26"/>
  <c r="L910" i="26"/>
  <c r="B910" i="26"/>
  <c r="Q910" i="26"/>
  <c r="A910" i="26"/>
  <c r="C910" i="26"/>
  <c r="AP910" i="26" s="1"/>
  <c r="F910" i="26"/>
  <c r="G910" i="26"/>
  <c r="U910" i="26"/>
  <c r="AF910" i="26" s="1"/>
  <c r="AN910" i="26" s="1"/>
  <c r="D910" i="26"/>
  <c r="AS910" i="26"/>
  <c r="BJ910" i="26" s="1"/>
  <c r="X910" i="26"/>
  <c r="S909" i="26"/>
  <c r="T909" i="26" s="1"/>
  <c r="BC909" i="26" s="1"/>
  <c r="E1197" i="55"/>
  <c r="AL327" i="55"/>
  <c r="BL909" i="26" l="1"/>
  <c r="O910" i="26"/>
  <c r="R910" i="26"/>
  <c r="E911" i="26"/>
  <c r="K910" i="26"/>
  <c r="M910" i="26" s="1"/>
  <c r="P910" i="26"/>
  <c r="V910" i="26"/>
  <c r="AL1197" i="55"/>
  <c r="O1197" i="55"/>
  <c r="AF1197" i="55"/>
  <c r="AO1197" i="55"/>
  <c r="AI1197" i="55"/>
  <c r="Q1197" i="55"/>
  <c r="P1197" i="55"/>
  <c r="K1197" i="55"/>
  <c r="AD1197" i="55"/>
  <c r="Z1197" i="55"/>
  <c r="AK1197" i="55"/>
  <c r="AG1197" i="55"/>
  <c r="AB1197" i="55"/>
  <c r="U1197" i="55"/>
  <c r="M1197" i="55"/>
  <c r="W1197" i="55"/>
  <c r="I1197" i="55"/>
  <c r="N1197" i="55"/>
  <c r="L1197" i="55"/>
  <c r="AN1197" i="55"/>
  <c r="X1197" i="55"/>
  <c r="V1197" i="55"/>
  <c r="C1197" i="55"/>
  <c r="AT1197" i="55"/>
  <c r="G1197" i="55"/>
  <c r="AM1197" i="55"/>
  <c r="S1197" i="55"/>
  <c r="AC1197" i="55"/>
  <c r="AH1197" i="55"/>
  <c r="D1197" i="55"/>
  <c r="H1197" i="55"/>
  <c r="AQ1197" i="55"/>
  <c r="A1197" i="55"/>
  <c r="B1197" i="55"/>
  <c r="AL326" i="55"/>
  <c r="AL910" i="26" l="1"/>
  <c r="AM910" i="26" s="1"/>
  <c r="AU910" i="26" s="1"/>
  <c r="N910" i="26"/>
  <c r="AJ910" i="26"/>
  <c r="AK910" i="26" s="1"/>
  <c r="S910" i="26"/>
  <c r="T910" i="26" s="1"/>
  <c r="BC910" i="26" s="1"/>
  <c r="C911" i="26"/>
  <c r="Q911" i="26"/>
  <c r="L911" i="26"/>
  <c r="B911" i="26"/>
  <c r="D911" i="26" s="1"/>
  <c r="A911" i="26"/>
  <c r="W911" i="26"/>
  <c r="H911" i="26"/>
  <c r="K911" i="26"/>
  <c r="AS911" i="26"/>
  <c r="BJ911" i="26" s="1"/>
  <c r="F911" i="26"/>
  <c r="G911" i="26"/>
  <c r="AV909" i="55"/>
  <c r="BT909" i="26"/>
  <c r="BK910" i="26"/>
  <c r="AO910" i="26"/>
  <c r="AT910" i="26" s="1"/>
  <c r="E1198" i="55"/>
  <c r="AL325" i="55"/>
  <c r="R911" i="26" l="1"/>
  <c r="M911" i="26"/>
  <c r="P911" i="26"/>
  <c r="O911" i="26"/>
  <c r="U911" i="26"/>
  <c r="AF911" i="26" s="1"/>
  <c r="AN911" i="26" s="1"/>
  <c r="E912" i="26"/>
  <c r="BL910" i="26"/>
  <c r="X911" i="26"/>
  <c r="AP911" i="26"/>
  <c r="V911" i="26"/>
  <c r="O1198" i="55"/>
  <c r="AF1198" i="55"/>
  <c r="AI1198" i="55"/>
  <c r="P1198" i="55"/>
  <c r="Q1198" i="55"/>
  <c r="K1198" i="55"/>
  <c r="Z1198" i="55"/>
  <c r="AK1198" i="55"/>
  <c r="AL1198" i="55"/>
  <c r="AD1198" i="55"/>
  <c r="AG1198" i="55"/>
  <c r="AO1198" i="55"/>
  <c r="W1198" i="55"/>
  <c r="N1198" i="55"/>
  <c r="I1198" i="55"/>
  <c r="AN1198" i="55"/>
  <c r="S1198" i="55"/>
  <c r="B1198" i="55"/>
  <c r="G1198" i="55"/>
  <c r="AB1198" i="55"/>
  <c r="X1198" i="55"/>
  <c r="AM1198" i="55"/>
  <c r="AQ1198" i="55"/>
  <c r="V1198" i="55"/>
  <c r="U1198" i="55"/>
  <c r="AH1198" i="55"/>
  <c r="A1198" i="55"/>
  <c r="AC1198" i="55"/>
  <c r="L1198" i="55"/>
  <c r="D1198" i="55"/>
  <c r="H1198" i="55"/>
  <c r="C1198" i="55"/>
  <c r="M1198" i="55"/>
  <c r="AT1198" i="55"/>
  <c r="AL324" i="55"/>
  <c r="AL911" i="26" l="1"/>
  <c r="AM911" i="26" s="1"/>
  <c r="AU911" i="26" s="1"/>
  <c r="N911" i="26"/>
  <c r="AJ911" i="26"/>
  <c r="AK911" i="26" s="1"/>
  <c r="S911" i="26"/>
  <c r="T911" i="26" s="1"/>
  <c r="BC911" i="26" s="1"/>
  <c r="W912" i="26"/>
  <c r="B912" i="26"/>
  <c r="L912" i="26"/>
  <c r="C912" i="26"/>
  <c r="AS912" i="26" s="1"/>
  <c r="BJ912" i="26" s="1"/>
  <c r="Q912" i="26"/>
  <c r="A912" i="26"/>
  <c r="H912" i="26"/>
  <c r="BT910" i="26"/>
  <c r="AV910" i="55"/>
  <c r="BK911" i="26"/>
  <c r="AO911" i="26"/>
  <c r="AT911" i="26" s="1"/>
  <c r="E1199" i="55"/>
  <c r="AL323" i="55"/>
  <c r="P912" i="26" l="1"/>
  <c r="D912" i="26"/>
  <c r="K912" i="26"/>
  <c r="M912" i="26" s="1"/>
  <c r="N912" i="26" s="1"/>
  <c r="G912" i="26"/>
  <c r="E913" i="26"/>
  <c r="W913" i="26"/>
  <c r="B913" i="26"/>
  <c r="Q913" i="26"/>
  <c r="L913" i="26"/>
  <c r="A913" i="26"/>
  <c r="C913" i="26"/>
  <c r="AS913" i="26" s="1"/>
  <c r="BJ913" i="26" s="1"/>
  <c r="H913" i="26"/>
  <c r="BL911" i="26"/>
  <c r="U913" i="26"/>
  <c r="X912" i="26"/>
  <c r="AP912" i="26"/>
  <c r="V912" i="26"/>
  <c r="U912" i="26"/>
  <c r="AF912" i="26" s="1"/>
  <c r="AN912" i="26" s="1"/>
  <c r="F912" i="26"/>
  <c r="R912" i="26" s="1"/>
  <c r="O1199" i="55"/>
  <c r="AO1199" i="55"/>
  <c r="AI1199" i="55"/>
  <c r="Q1199" i="55"/>
  <c r="P1199" i="55"/>
  <c r="K1199" i="55"/>
  <c r="AF1199" i="55"/>
  <c r="Z1199" i="55"/>
  <c r="AD1199" i="55"/>
  <c r="AG1199" i="55"/>
  <c r="AK1199" i="55"/>
  <c r="AL1199" i="55"/>
  <c r="AM1199" i="55"/>
  <c r="D1199" i="55"/>
  <c r="AC1199" i="55"/>
  <c r="I1199" i="55"/>
  <c r="U1199" i="55"/>
  <c r="A1199" i="55"/>
  <c r="N1199" i="55"/>
  <c r="C1199" i="55"/>
  <c r="AT1199" i="55"/>
  <c r="X1199" i="55"/>
  <c r="AB1199" i="55"/>
  <c r="V1199" i="55"/>
  <c r="M1199" i="55"/>
  <c r="L1199" i="55"/>
  <c r="B1199" i="55"/>
  <c r="AQ1199" i="55"/>
  <c r="AH1199" i="55"/>
  <c r="S1199" i="55"/>
  <c r="G1199" i="55"/>
  <c r="W1199" i="55"/>
  <c r="H1199" i="55"/>
  <c r="AN1199" i="55"/>
  <c r="AL322" i="55"/>
  <c r="AJ912" i="26" l="1"/>
  <c r="AK912" i="26" s="1"/>
  <c r="AF913" i="26"/>
  <c r="AN913" i="26" s="1"/>
  <c r="BK912" i="26"/>
  <c r="F913" i="26"/>
  <c r="R913" i="26" s="1"/>
  <c r="O912" i="26"/>
  <c r="S912" i="26" s="1"/>
  <c r="T912" i="26" s="1"/>
  <c r="BC912" i="26" s="1"/>
  <c r="AO912" i="26"/>
  <c r="AT912" i="26" s="1"/>
  <c r="BT911" i="26"/>
  <c r="AV911" i="55"/>
  <c r="G913" i="26"/>
  <c r="X913" i="26"/>
  <c r="D913" i="26"/>
  <c r="AP913" i="26"/>
  <c r="K913" i="26"/>
  <c r="M913" i="26" s="1"/>
  <c r="V913" i="26"/>
  <c r="AO913" i="26" s="1"/>
  <c r="E1200" i="55"/>
  <c r="AL321" i="55"/>
  <c r="AL912" i="26" l="1"/>
  <c r="AM912" i="26" s="1"/>
  <c r="AU912" i="26" s="1"/>
  <c r="AT913" i="26"/>
  <c r="BK913" i="26"/>
  <c r="AJ913" i="26"/>
  <c r="AK913" i="26" s="1"/>
  <c r="N913" i="26"/>
  <c r="BL912" i="26"/>
  <c r="E914" i="26"/>
  <c r="P913" i="26"/>
  <c r="O913" i="26"/>
  <c r="O1200" i="55"/>
  <c r="AL1200" i="55"/>
  <c r="AG1200" i="55"/>
  <c r="AD1200" i="55"/>
  <c r="AO1200" i="55"/>
  <c r="Q1200" i="55"/>
  <c r="AI1200" i="55"/>
  <c r="P1200" i="55"/>
  <c r="K1200" i="55"/>
  <c r="AF1200" i="55"/>
  <c r="AK1200" i="55"/>
  <c r="Z1200" i="55"/>
  <c r="G1200" i="55"/>
  <c r="D1200" i="55"/>
  <c r="AH1200" i="55"/>
  <c r="A1200" i="55"/>
  <c r="AM1200" i="55"/>
  <c r="L1200" i="55"/>
  <c r="AB1200" i="55"/>
  <c r="X1200" i="55"/>
  <c r="W1200" i="55"/>
  <c r="AQ1200" i="55"/>
  <c r="I1200" i="55"/>
  <c r="V1200" i="55"/>
  <c r="AC1200" i="55"/>
  <c r="N1200" i="55"/>
  <c r="M1200" i="55"/>
  <c r="B1200" i="55"/>
  <c r="S1200" i="55"/>
  <c r="AT1200" i="55"/>
  <c r="C1200" i="55"/>
  <c r="U1200" i="55"/>
  <c r="H1200" i="55"/>
  <c r="AN1200" i="55"/>
  <c r="AL320" i="55"/>
  <c r="AL913" i="26" l="1"/>
  <c r="AM913" i="26" s="1"/>
  <c r="AU913" i="26" s="1"/>
  <c r="S913" i="26"/>
  <c r="T913" i="26" s="1"/>
  <c r="BC913" i="26" s="1"/>
  <c r="AV912" i="55"/>
  <c r="BT912" i="26"/>
  <c r="A914" i="26"/>
  <c r="Q914" i="26"/>
  <c r="L914" i="26"/>
  <c r="W914" i="26"/>
  <c r="H914" i="26"/>
  <c r="C914" i="26"/>
  <c r="B914" i="26"/>
  <c r="E1201" i="55"/>
  <c r="AL319" i="55"/>
  <c r="F914" i="26" l="1"/>
  <c r="R914" i="26" s="1"/>
  <c r="G914" i="26"/>
  <c r="AP914" i="26"/>
  <c r="D914" i="26"/>
  <c r="K914" i="26"/>
  <c r="M914" i="26" s="1"/>
  <c r="X914" i="26"/>
  <c r="BL913" i="26"/>
  <c r="AS914" i="26"/>
  <c r="BJ914" i="26" s="1"/>
  <c r="U914" i="26"/>
  <c r="AF914" i="26" s="1"/>
  <c r="AN914" i="26" s="1"/>
  <c r="E915" i="26"/>
  <c r="V914" i="26"/>
  <c r="O1201" i="55"/>
  <c r="AD1201" i="55"/>
  <c r="AO1201" i="55"/>
  <c r="AI1201" i="55"/>
  <c r="Q1201" i="55"/>
  <c r="P1201" i="55"/>
  <c r="K1201" i="55"/>
  <c r="AG1201" i="55"/>
  <c r="AF1201" i="55"/>
  <c r="Z1201" i="55"/>
  <c r="AL1201" i="55"/>
  <c r="AK1201" i="55"/>
  <c r="V1201" i="55"/>
  <c r="L1201" i="55"/>
  <c r="I1201" i="55"/>
  <c r="D1201" i="55"/>
  <c r="AB1201" i="55"/>
  <c r="A1201" i="55"/>
  <c r="AT1201" i="55"/>
  <c r="AC1201" i="55"/>
  <c r="W1201" i="55"/>
  <c r="AH1201" i="55"/>
  <c r="X1201" i="55"/>
  <c r="U1201" i="55"/>
  <c r="G1201" i="55"/>
  <c r="AM1201" i="55"/>
  <c r="S1201" i="55"/>
  <c r="N1201" i="55"/>
  <c r="AQ1201" i="55"/>
  <c r="AN1201" i="55"/>
  <c r="H1201" i="55"/>
  <c r="M1201" i="55"/>
  <c r="B1201" i="55"/>
  <c r="C1201" i="55"/>
  <c r="AL318" i="55"/>
  <c r="L915" i="26" l="1"/>
  <c r="W915" i="26"/>
  <c r="BT913" i="26"/>
  <c r="AV913" i="55"/>
  <c r="A915" i="26"/>
  <c r="H915" i="26"/>
  <c r="B915" i="26"/>
  <c r="F915" i="26" s="1"/>
  <c r="O914" i="26"/>
  <c r="C915" i="26"/>
  <c r="U915" i="26" s="1"/>
  <c r="Q915" i="26"/>
  <c r="BK914" i="26"/>
  <c r="AO914" i="26"/>
  <c r="AT914" i="26" s="1"/>
  <c r="AJ914" i="26"/>
  <c r="AK914" i="26" s="1"/>
  <c r="N914" i="26"/>
  <c r="P914" i="26"/>
  <c r="AF915" i="26"/>
  <c r="AN915" i="26" s="1"/>
  <c r="E1202" i="55"/>
  <c r="AL317" i="55"/>
  <c r="AL914" i="26" l="1"/>
  <c r="AM914" i="26" s="1"/>
  <c r="AU914" i="26" s="1"/>
  <c r="K915" i="26"/>
  <c r="M915" i="26" s="1"/>
  <c r="AP915" i="26"/>
  <c r="AS915" i="26"/>
  <c r="BJ915" i="26" s="1"/>
  <c r="G915" i="26"/>
  <c r="S914" i="26"/>
  <c r="T914" i="26" s="1"/>
  <c r="BC914" i="26" s="1"/>
  <c r="R915" i="26"/>
  <c r="X915" i="26"/>
  <c r="D915" i="26"/>
  <c r="V915" i="26"/>
  <c r="AO915" i="26" s="1"/>
  <c r="O1202" i="55"/>
  <c r="AO1202" i="55"/>
  <c r="AI1202" i="55"/>
  <c r="Q1202" i="55"/>
  <c r="P1202" i="55"/>
  <c r="K1202" i="55"/>
  <c r="AG1202" i="55"/>
  <c r="AF1202" i="55"/>
  <c r="AD1202" i="55"/>
  <c r="AL1202" i="55"/>
  <c r="AK1202" i="55"/>
  <c r="Z1202" i="55"/>
  <c r="S1202" i="55"/>
  <c r="V1202" i="55"/>
  <c r="B1202" i="55"/>
  <c r="AB1202" i="55"/>
  <c r="AN1202" i="55"/>
  <c r="AC1202" i="55"/>
  <c r="I1202" i="55"/>
  <c r="AM1202" i="55"/>
  <c r="A1202" i="55"/>
  <c r="M1202" i="55"/>
  <c r="N1202" i="55"/>
  <c r="D1202" i="55"/>
  <c r="U1202" i="55"/>
  <c r="AH1202" i="55"/>
  <c r="C1202" i="55"/>
  <c r="H1202" i="55"/>
  <c r="G1202" i="55"/>
  <c r="AT1202" i="55"/>
  <c r="L1202" i="55"/>
  <c r="X1202" i="55"/>
  <c r="W1202" i="55"/>
  <c r="AQ1202" i="55"/>
  <c r="AL316" i="55"/>
  <c r="BK915" i="26" l="1"/>
  <c r="AT915" i="26"/>
  <c r="AJ915" i="26"/>
  <c r="AK915" i="26" s="1"/>
  <c r="N915" i="26"/>
  <c r="O915" i="26"/>
  <c r="P915" i="26"/>
  <c r="E916" i="26"/>
  <c r="BL914" i="26"/>
  <c r="E1203" i="55"/>
  <c r="AL315" i="55"/>
  <c r="AL915" i="26" l="1"/>
  <c r="AM915" i="26" s="1"/>
  <c r="AU915" i="26" s="1"/>
  <c r="AV914" i="55"/>
  <c r="BT914" i="26"/>
  <c r="S915" i="26"/>
  <c r="T915" i="26" s="1"/>
  <c r="BC915" i="26" s="1"/>
  <c r="W916" i="26"/>
  <c r="A916" i="26"/>
  <c r="C916" i="26"/>
  <c r="Q916" i="26"/>
  <c r="L916" i="26"/>
  <c r="H916" i="26"/>
  <c r="B916" i="26"/>
  <c r="G916" i="26" s="1"/>
  <c r="O1203" i="55"/>
  <c r="AG1203" i="55"/>
  <c r="AI1203" i="55"/>
  <c r="Q1203" i="55"/>
  <c r="P1203" i="55"/>
  <c r="K1203" i="55"/>
  <c r="AL1203" i="55"/>
  <c r="AK1203" i="55"/>
  <c r="AD1203" i="55"/>
  <c r="AO1203" i="55"/>
  <c r="AF1203" i="55"/>
  <c r="Z1203" i="55"/>
  <c r="AT1203" i="55"/>
  <c r="AC1203" i="55"/>
  <c r="W1203" i="55"/>
  <c r="I1203" i="55"/>
  <c r="AM1203" i="55"/>
  <c r="L1203" i="55"/>
  <c r="D1203" i="55"/>
  <c r="AN1203" i="55"/>
  <c r="AQ1203" i="55"/>
  <c r="B1203" i="55"/>
  <c r="M1203" i="55"/>
  <c r="H1203" i="55"/>
  <c r="AH1203" i="55"/>
  <c r="X1203" i="55"/>
  <c r="V1203" i="55"/>
  <c r="AB1203" i="55"/>
  <c r="A1203" i="55"/>
  <c r="C1203" i="55"/>
  <c r="N1203" i="55"/>
  <c r="U1203" i="55"/>
  <c r="G1203" i="55"/>
  <c r="S1203" i="55"/>
  <c r="AL314" i="55"/>
  <c r="AS916" i="26" l="1"/>
  <c r="BJ916" i="26" s="1"/>
  <c r="BU917" i="26"/>
  <c r="F916" i="26"/>
  <c r="D916" i="26"/>
  <c r="E917" i="26" s="1"/>
  <c r="X916" i="26"/>
  <c r="AP916" i="26"/>
  <c r="R916" i="26"/>
  <c r="V916" i="26"/>
  <c r="AO916" i="26" s="1"/>
  <c r="K916" i="26"/>
  <c r="M916" i="26" s="1"/>
  <c r="U916" i="26"/>
  <c r="AF916" i="26" s="1"/>
  <c r="AN916" i="26" s="1"/>
  <c r="AZ916" i="26" s="1"/>
  <c r="BL915" i="26"/>
  <c r="E1204" i="55"/>
  <c r="AL313" i="55"/>
  <c r="AT916" i="26" l="1"/>
  <c r="BF917" i="26"/>
  <c r="BC917" i="26"/>
  <c r="AV917" i="55" s="1"/>
  <c r="BD917" i="26"/>
  <c r="AX917" i="26"/>
  <c r="V917" i="26"/>
  <c r="AW917" i="26"/>
  <c r="B917" i="26"/>
  <c r="AP917" i="26"/>
  <c r="AO917" i="26"/>
  <c r="AT917" i="26" s="1"/>
  <c r="C917" i="26"/>
  <c r="AF917" i="26"/>
  <c r="P917" i="26"/>
  <c r="O917" i="26"/>
  <c r="S917" i="26" s="1"/>
  <c r="T917" i="26" s="1"/>
  <c r="W917" i="26"/>
  <c r="BW917" i="26"/>
  <c r="U917" i="26"/>
  <c r="G917" i="26"/>
  <c r="K917" i="26"/>
  <c r="M917" i="26" s="1"/>
  <c r="N917" i="26"/>
  <c r="BX917" i="26"/>
  <c r="L917" i="26"/>
  <c r="D917" i="26"/>
  <c r="BG917" i="26"/>
  <c r="Q917" i="26"/>
  <c r="X917" i="26"/>
  <c r="AM917" i="26"/>
  <c r="AU917" i="26" s="1"/>
  <c r="BT917" i="26"/>
  <c r="A917" i="26"/>
  <c r="F917" i="26"/>
  <c r="R917" i="26" s="1"/>
  <c r="H917" i="26"/>
  <c r="AJ917" i="26"/>
  <c r="AK917" i="26" s="1"/>
  <c r="BK916" i="26"/>
  <c r="P916" i="26"/>
  <c r="BQ916" i="26"/>
  <c r="O916" i="26"/>
  <c r="AV915" i="55"/>
  <c r="BT915" i="26"/>
  <c r="AJ916" i="26"/>
  <c r="AK916" i="26" s="1"/>
  <c r="N916" i="26"/>
  <c r="O1204" i="55"/>
  <c r="AK1204" i="55"/>
  <c r="AG1204" i="55"/>
  <c r="AI1204" i="55"/>
  <c r="Q1204" i="55"/>
  <c r="P1204" i="55"/>
  <c r="K1204" i="55"/>
  <c r="AO1204" i="55"/>
  <c r="AF1204" i="55"/>
  <c r="AD1204" i="55"/>
  <c r="Z1204" i="55"/>
  <c r="AL1204" i="55"/>
  <c r="AT1204" i="55"/>
  <c r="W1204" i="55"/>
  <c r="U1204" i="55"/>
  <c r="AQ1204" i="55"/>
  <c r="C1204" i="55"/>
  <c r="G1204" i="55"/>
  <c r="AB1204" i="55"/>
  <c r="I1204" i="55"/>
  <c r="L1204" i="55"/>
  <c r="AM1204" i="55"/>
  <c r="M1204" i="55"/>
  <c r="V1204" i="55"/>
  <c r="AN1204" i="55"/>
  <c r="D1204" i="55"/>
  <c r="H1204" i="55"/>
  <c r="S1204" i="55"/>
  <c r="A1204" i="55"/>
  <c r="B1204" i="55"/>
  <c r="X1204" i="55"/>
  <c r="AH1204" i="55"/>
  <c r="N1204" i="55"/>
  <c r="AC1204" i="55"/>
  <c r="AL312" i="55"/>
  <c r="AL916" i="26" l="1"/>
  <c r="AM916" i="26" s="1"/>
  <c r="S916" i="26"/>
  <c r="T916" i="26" s="1"/>
  <c r="BC916" i="26" s="1"/>
  <c r="BW916" i="26"/>
  <c r="E918" i="26"/>
  <c r="BD918" i="26" s="1"/>
  <c r="E1205" i="55"/>
  <c r="AL311" i="55"/>
  <c r="BN916" i="26" l="1"/>
  <c r="BF918" i="26"/>
  <c r="BC918" i="26"/>
  <c r="AV918" i="55" s="1"/>
  <c r="BU918" i="26"/>
  <c r="BO916" i="26"/>
  <c r="V918" i="26"/>
  <c r="N918" i="26"/>
  <c r="AM918" i="26"/>
  <c r="AJ918" i="26"/>
  <c r="AK918" i="26" s="1"/>
  <c r="P918" i="26"/>
  <c r="S918" i="26"/>
  <c r="T918" i="26" s="1"/>
  <c r="AT918" i="26"/>
  <c r="W918" i="26"/>
  <c r="B918" i="26"/>
  <c r="F918" i="26" s="1"/>
  <c r="R918" i="26" s="1"/>
  <c r="Q918" i="26"/>
  <c r="M918" i="26"/>
  <c r="AO918" i="26"/>
  <c r="AX918" i="26"/>
  <c r="L918" i="26"/>
  <c r="X918" i="26"/>
  <c r="BK918" i="26" s="1"/>
  <c r="A918" i="26"/>
  <c r="K918" i="26"/>
  <c r="H918" i="26"/>
  <c r="O918" i="26"/>
  <c r="AS918" i="26"/>
  <c r="BJ918" i="26" s="1"/>
  <c r="AW918" i="26"/>
  <c r="AU918" i="26"/>
  <c r="AR918" i="26" s="1"/>
  <c r="G918" i="26"/>
  <c r="D918" i="26"/>
  <c r="AP918" i="26"/>
  <c r="BL918" i="26"/>
  <c r="C918" i="26"/>
  <c r="AF918" i="26"/>
  <c r="BT918" i="26"/>
  <c r="U918" i="26"/>
  <c r="BL916" i="26"/>
  <c r="BU916" i="26" s="1"/>
  <c r="BU915" i="26" s="1"/>
  <c r="BU914" i="26" s="1"/>
  <c r="BU913" i="26" s="1"/>
  <c r="BU912" i="26" s="1"/>
  <c r="BU911" i="26" s="1"/>
  <c r="BU910" i="26" s="1"/>
  <c r="BU909" i="26" s="1"/>
  <c r="BU908" i="26" s="1"/>
  <c r="BU907" i="26" s="1"/>
  <c r="BU906" i="26" s="1"/>
  <c r="BU905" i="26" s="1"/>
  <c r="BU904" i="26" s="1"/>
  <c r="BU903" i="26" s="1"/>
  <c r="BU902" i="26" s="1"/>
  <c r="BU901" i="26" s="1"/>
  <c r="BU900" i="26" s="1"/>
  <c r="BU899" i="26" s="1"/>
  <c r="BU898" i="26" s="1"/>
  <c r="BU897" i="26" s="1"/>
  <c r="BU896" i="26" s="1"/>
  <c r="BU895" i="26" s="1"/>
  <c r="BU894" i="26" s="1"/>
  <c r="BU893" i="26" s="1"/>
  <c r="BU892" i="26" s="1"/>
  <c r="BU891" i="26" s="1"/>
  <c r="BU890" i="26" s="1"/>
  <c r="BU889" i="26" s="1"/>
  <c r="BU888" i="26" s="1"/>
  <c r="BU887" i="26" s="1"/>
  <c r="BU886" i="26" s="1"/>
  <c r="BU885" i="26" s="1"/>
  <c r="BU884" i="26" s="1"/>
  <c r="BU883" i="26" s="1"/>
  <c r="BU882" i="26" s="1"/>
  <c r="BU881" i="26" s="1"/>
  <c r="BU880" i="26" s="1"/>
  <c r="BU879" i="26" s="1"/>
  <c r="BU878" i="26" s="1"/>
  <c r="BU877" i="26" s="1"/>
  <c r="BU876" i="26" s="1"/>
  <c r="BU875" i="26" s="1"/>
  <c r="BU874" i="26" s="1"/>
  <c r="BU873" i="26" s="1"/>
  <c r="BU872" i="26" s="1"/>
  <c r="BU871" i="26" s="1"/>
  <c r="BU870" i="26" s="1"/>
  <c r="BU869" i="26" s="1"/>
  <c r="BU868" i="26" s="1"/>
  <c r="BU867" i="26" s="1"/>
  <c r="BU866" i="26" s="1"/>
  <c r="BU865" i="26" s="1"/>
  <c r="BU864" i="26" s="1"/>
  <c r="BU863" i="26" s="1"/>
  <c r="BU862" i="26" s="1"/>
  <c r="BU861" i="26" s="1"/>
  <c r="BU860" i="26" s="1"/>
  <c r="BU859" i="26" s="1"/>
  <c r="BU858" i="26" s="1"/>
  <c r="BU857" i="26" s="1"/>
  <c r="BU856" i="26" s="1"/>
  <c r="BU855" i="26" s="1"/>
  <c r="BU854" i="26" s="1"/>
  <c r="BU853" i="26" s="1"/>
  <c r="BU852" i="26" s="1"/>
  <c r="BU851" i="26" s="1"/>
  <c r="BU850" i="26" s="1"/>
  <c r="BU849" i="26" s="1"/>
  <c r="BU848" i="26" s="1"/>
  <c r="BU847" i="26" s="1"/>
  <c r="BU846" i="26" s="1"/>
  <c r="BU845" i="26" s="1"/>
  <c r="BU844" i="26" s="1"/>
  <c r="BU843" i="26" s="1"/>
  <c r="BU842" i="26" s="1"/>
  <c r="BU841" i="26" s="1"/>
  <c r="BU840" i="26" s="1"/>
  <c r="BU839" i="26" s="1"/>
  <c r="BU838" i="26" s="1"/>
  <c r="BU837" i="26" s="1"/>
  <c r="BU836" i="26" s="1"/>
  <c r="BU835" i="26" s="1"/>
  <c r="BU834" i="26" s="1"/>
  <c r="BU833" i="26" s="1"/>
  <c r="BU832" i="26" s="1"/>
  <c r="BU831" i="26" s="1"/>
  <c r="BU830" i="26" s="1"/>
  <c r="BU829" i="26" s="1"/>
  <c r="BU828" i="26" s="1"/>
  <c r="BU827" i="26" s="1"/>
  <c r="BU826" i="26" s="1"/>
  <c r="BU825" i="26" s="1"/>
  <c r="BU824" i="26" s="1"/>
  <c r="BU823" i="26" s="1"/>
  <c r="BU822" i="26" s="1"/>
  <c r="BU821" i="26" s="1"/>
  <c r="BU820" i="26" s="1"/>
  <c r="BU819" i="26" s="1"/>
  <c r="BU818" i="26" s="1"/>
  <c r="BU817" i="26" s="1"/>
  <c r="BU816" i="26" s="1"/>
  <c r="BU815" i="26" s="1"/>
  <c r="BU814" i="26" s="1"/>
  <c r="BU813" i="26" s="1"/>
  <c r="BU812" i="26" s="1"/>
  <c r="BU811" i="26" s="1"/>
  <c r="BU810" i="26" s="1"/>
  <c r="BU809" i="26" s="1"/>
  <c r="BU808" i="26" s="1"/>
  <c r="BU807" i="26" s="1"/>
  <c r="BU806" i="26" s="1"/>
  <c r="BU805" i="26" s="1"/>
  <c r="BU804" i="26" s="1"/>
  <c r="BU803" i="26" s="1"/>
  <c r="BU802" i="26" s="1"/>
  <c r="BU801" i="26" s="1"/>
  <c r="BU800" i="26" s="1"/>
  <c r="BU799" i="26" s="1"/>
  <c r="BU798" i="26" s="1"/>
  <c r="BU797" i="26" s="1"/>
  <c r="BU796" i="26" s="1"/>
  <c r="BU795" i="26" s="1"/>
  <c r="BU794" i="26" s="1"/>
  <c r="BU793" i="26" s="1"/>
  <c r="BU792" i="26" s="1"/>
  <c r="BU791" i="26" s="1"/>
  <c r="BU790" i="26" s="1"/>
  <c r="BU789" i="26" s="1"/>
  <c r="BU788" i="26" s="1"/>
  <c r="BU787" i="26" s="1"/>
  <c r="BU786" i="26" s="1"/>
  <c r="BU785" i="26" s="1"/>
  <c r="BU784" i="26" s="1"/>
  <c r="BU783" i="26" s="1"/>
  <c r="BU782" i="26" s="1"/>
  <c r="BU781" i="26" s="1"/>
  <c r="BU780" i="26" s="1"/>
  <c r="BU779" i="26" s="1"/>
  <c r="BU778" i="26" s="1"/>
  <c r="BU777" i="26" s="1"/>
  <c r="BU776" i="26" s="1"/>
  <c r="BU775" i="26" s="1"/>
  <c r="BU774" i="26" s="1"/>
  <c r="BU773" i="26" s="1"/>
  <c r="BU772" i="26" s="1"/>
  <c r="BU771" i="26" s="1"/>
  <c r="BU770" i="26" s="1"/>
  <c r="BU769" i="26" s="1"/>
  <c r="BU768" i="26" s="1"/>
  <c r="BU767" i="26" s="1"/>
  <c r="BU766" i="26" s="1"/>
  <c r="BU765" i="26" s="1"/>
  <c r="BU764" i="26" s="1"/>
  <c r="BU763" i="26" s="1"/>
  <c r="BU762" i="26" s="1"/>
  <c r="BU761" i="26" s="1"/>
  <c r="BU760" i="26" s="1"/>
  <c r="BU759" i="26" s="1"/>
  <c r="BU758" i="26" s="1"/>
  <c r="BU757" i="26" s="1"/>
  <c r="BU756" i="26" s="1"/>
  <c r="BU755" i="26" s="1"/>
  <c r="BU754" i="26" s="1"/>
  <c r="BU753" i="26" s="1"/>
  <c r="BU752" i="26" s="1"/>
  <c r="BU751" i="26" s="1"/>
  <c r="BU750" i="26" s="1"/>
  <c r="BU749" i="26" s="1"/>
  <c r="BU748" i="26" s="1"/>
  <c r="BU747" i="26" s="1"/>
  <c r="BU746" i="26" s="1"/>
  <c r="BU745" i="26" s="1"/>
  <c r="BU744" i="26" s="1"/>
  <c r="BU743" i="26" s="1"/>
  <c r="BU742" i="26" s="1"/>
  <c r="BU741" i="26" s="1"/>
  <c r="BU740" i="26" s="1"/>
  <c r="BU739" i="26" s="1"/>
  <c r="BU738" i="26" s="1"/>
  <c r="BU737" i="26" s="1"/>
  <c r="BU736" i="26" s="1"/>
  <c r="BU735" i="26" s="1"/>
  <c r="BU734" i="26" s="1"/>
  <c r="BU733" i="26" s="1"/>
  <c r="BU732" i="26" s="1"/>
  <c r="BU731" i="26" s="1"/>
  <c r="BU730" i="26" s="1"/>
  <c r="BU729" i="26" s="1"/>
  <c r="BU728" i="26" s="1"/>
  <c r="BU727" i="26" s="1"/>
  <c r="BU726" i="26" s="1"/>
  <c r="BU725" i="26" s="1"/>
  <c r="BU724" i="26" s="1"/>
  <c r="BU723" i="26" s="1"/>
  <c r="BU722" i="26" s="1"/>
  <c r="BU721" i="26" s="1"/>
  <c r="BU720" i="26" s="1"/>
  <c r="BU719" i="26" s="1"/>
  <c r="BU718" i="26" s="1"/>
  <c r="BU717" i="26" s="1"/>
  <c r="BU716" i="26" s="1"/>
  <c r="BU715" i="26" s="1"/>
  <c r="BU714" i="26" s="1"/>
  <c r="BU713" i="26" s="1"/>
  <c r="BU712" i="26" s="1"/>
  <c r="BU711" i="26" s="1"/>
  <c r="BU710" i="26" s="1"/>
  <c r="BU709" i="26" s="1"/>
  <c r="BU708" i="26" s="1"/>
  <c r="BU707" i="26" s="1"/>
  <c r="BU706" i="26" s="1"/>
  <c r="BU705" i="26" s="1"/>
  <c r="BU704" i="26" s="1"/>
  <c r="BU703" i="26" s="1"/>
  <c r="BU702" i="26" s="1"/>
  <c r="BU701" i="26" s="1"/>
  <c r="BU700" i="26" s="1"/>
  <c r="BU699" i="26" s="1"/>
  <c r="BU698" i="26" s="1"/>
  <c r="BU697" i="26" s="1"/>
  <c r="BU696" i="26" s="1"/>
  <c r="BU695" i="26" s="1"/>
  <c r="BU694" i="26" s="1"/>
  <c r="BU693" i="26" s="1"/>
  <c r="BU692" i="26" s="1"/>
  <c r="BU691" i="26" s="1"/>
  <c r="BU690" i="26" s="1"/>
  <c r="BU689" i="26" s="1"/>
  <c r="BU688" i="26" s="1"/>
  <c r="BU687" i="26" s="1"/>
  <c r="BU686" i="26" s="1"/>
  <c r="BU685" i="26" s="1"/>
  <c r="BU684" i="26" s="1"/>
  <c r="BU683" i="26" s="1"/>
  <c r="BU682" i="26" s="1"/>
  <c r="BU681" i="26" s="1"/>
  <c r="BU680" i="26" s="1"/>
  <c r="BU679" i="26" s="1"/>
  <c r="BU678" i="26" s="1"/>
  <c r="BU677" i="26" s="1"/>
  <c r="BU676" i="26" s="1"/>
  <c r="BU675" i="26" s="1"/>
  <c r="BU674" i="26" s="1"/>
  <c r="BU673" i="26" s="1"/>
  <c r="BU672" i="26" s="1"/>
  <c r="BU671" i="26" s="1"/>
  <c r="BU670" i="26" s="1"/>
  <c r="BU669" i="26" s="1"/>
  <c r="BU668" i="26" s="1"/>
  <c r="BU667" i="26" s="1"/>
  <c r="BU666" i="26" s="1"/>
  <c r="BU665" i="26" s="1"/>
  <c r="BU664" i="26" s="1"/>
  <c r="BU663" i="26" s="1"/>
  <c r="BU662" i="26" s="1"/>
  <c r="BU661" i="26" s="1"/>
  <c r="BU660" i="26" s="1"/>
  <c r="BU659" i="26" s="1"/>
  <c r="BU658" i="26" s="1"/>
  <c r="BU657" i="26" s="1"/>
  <c r="BU656" i="26" s="1"/>
  <c r="BU655" i="26" s="1"/>
  <c r="BU654" i="26" s="1"/>
  <c r="BU653" i="26" s="1"/>
  <c r="BU652" i="26" s="1"/>
  <c r="BU651" i="26" s="1"/>
  <c r="BU650" i="26" s="1"/>
  <c r="BU649" i="26" s="1"/>
  <c r="BU648" i="26" s="1"/>
  <c r="BU647" i="26" s="1"/>
  <c r="BU646" i="26" s="1"/>
  <c r="BU645" i="26" s="1"/>
  <c r="BU644" i="26" s="1"/>
  <c r="BU643" i="26" s="1"/>
  <c r="BU642" i="26" s="1"/>
  <c r="BU641" i="26" s="1"/>
  <c r="BU640" i="26" s="1"/>
  <c r="BU639" i="26" s="1"/>
  <c r="BU638" i="26" s="1"/>
  <c r="BU637" i="26" s="1"/>
  <c r="BU636" i="26" s="1"/>
  <c r="BU635" i="26" s="1"/>
  <c r="BU634" i="26" s="1"/>
  <c r="BU633" i="26" s="1"/>
  <c r="BU632" i="26" s="1"/>
  <c r="BU631" i="26" s="1"/>
  <c r="BU630" i="26" s="1"/>
  <c r="BU629" i="26" s="1"/>
  <c r="BU628" i="26" s="1"/>
  <c r="BU627" i="26" s="1"/>
  <c r="BU626" i="26" s="1"/>
  <c r="BU625" i="26" s="1"/>
  <c r="BU624" i="26" s="1"/>
  <c r="BU623" i="26" s="1"/>
  <c r="BU622" i="26" s="1"/>
  <c r="BU621" i="26" s="1"/>
  <c r="BU620" i="26" s="1"/>
  <c r="BU619" i="26" s="1"/>
  <c r="BU618" i="26" s="1"/>
  <c r="BU617" i="26" s="1"/>
  <c r="BU616" i="26" s="1"/>
  <c r="BU615" i="26" s="1"/>
  <c r="BU614" i="26" s="1"/>
  <c r="BU613" i="26" s="1"/>
  <c r="BU612" i="26" s="1"/>
  <c r="BU611" i="26" s="1"/>
  <c r="BU610" i="26" s="1"/>
  <c r="BU609" i="26" s="1"/>
  <c r="BU608" i="26" s="1"/>
  <c r="BU607" i="26" s="1"/>
  <c r="BU606" i="26" s="1"/>
  <c r="BU605" i="26" s="1"/>
  <c r="BU604" i="26" s="1"/>
  <c r="BU603" i="26" s="1"/>
  <c r="BU602" i="26" s="1"/>
  <c r="BU601" i="26" s="1"/>
  <c r="BU600" i="26" s="1"/>
  <c r="BU599" i="26" s="1"/>
  <c r="BU598" i="26" s="1"/>
  <c r="BU597" i="26" s="1"/>
  <c r="BU596" i="26" s="1"/>
  <c r="BU595" i="26" s="1"/>
  <c r="BU594" i="26" s="1"/>
  <c r="BU593" i="26" s="1"/>
  <c r="BU592" i="26" s="1"/>
  <c r="BU591" i="26" s="1"/>
  <c r="BU590" i="26" s="1"/>
  <c r="BU589" i="26" s="1"/>
  <c r="BU588" i="26" s="1"/>
  <c r="BU587" i="26" s="1"/>
  <c r="BU586" i="26" s="1"/>
  <c r="BU585" i="26" s="1"/>
  <c r="BU584" i="26" s="1"/>
  <c r="BU583" i="26" s="1"/>
  <c r="BU582" i="26" s="1"/>
  <c r="BU581" i="26" s="1"/>
  <c r="BU580" i="26" s="1"/>
  <c r="BU579" i="26" s="1"/>
  <c r="BU578" i="26" s="1"/>
  <c r="BU577" i="26" s="1"/>
  <c r="BU576" i="26" s="1"/>
  <c r="BU575" i="26" s="1"/>
  <c r="BU574" i="26" s="1"/>
  <c r="BU573" i="26" s="1"/>
  <c r="BU572" i="26" s="1"/>
  <c r="BU571" i="26" s="1"/>
  <c r="BU570" i="26" s="1"/>
  <c r="BU569" i="26" s="1"/>
  <c r="BU568" i="26" s="1"/>
  <c r="BU567" i="26" s="1"/>
  <c r="BU566" i="26" s="1"/>
  <c r="BU565" i="26" s="1"/>
  <c r="BU564" i="26" s="1"/>
  <c r="BU563" i="26" s="1"/>
  <c r="BU562" i="26" s="1"/>
  <c r="BU561" i="26" s="1"/>
  <c r="BU560" i="26" s="1"/>
  <c r="BU559" i="26" s="1"/>
  <c r="BU558" i="26" s="1"/>
  <c r="BU557" i="26" s="1"/>
  <c r="BU556" i="26" s="1"/>
  <c r="BU555" i="26" s="1"/>
  <c r="BU554" i="26" s="1"/>
  <c r="BU553" i="26" s="1"/>
  <c r="BU552" i="26" s="1"/>
  <c r="BU551" i="26" s="1"/>
  <c r="BU550" i="26" s="1"/>
  <c r="BU549" i="26" s="1"/>
  <c r="BU548" i="26" s="1"/>
  <c r="BU547" i="26" s="1"/>
  <c r="BU546" i="26" s="1"/>
  <c r="BU545" i="26" s="1"/>
  <c r="BU544" i="26" s="1"/>
  <c r="BU543" i="26" s="1"/>
  <c r="BU542" i="26" s="1"/>
  <c r="BU541" i="26" s="1"/>
  <c r="BU540" i="26" s="1"/>
  <c r="BU539" i="26" s="1"/>
  <c r="BU538" i="26" s="1"/>
  <c r="BU537" i="26" s="1"/>
  <c r="BU536" i="26" s="1"/>
  <c r="BU535" i="26" s="1"/>
  <c r="BU534" i="26" s="1"/>
  <c r="BU533" i="26" s="1"/>
  <c r="BU532" i="26" s="1"/>
  <c r="BU531" i="26" s="1"/>
  <c r="BU530" i="26" s="1"/>
  <c r="BU529" i="26" s="1"/>
  <c r="BU528" i="26" s="1"/>
  <c r="BU527" i="26" s="1"/>
  <c r="BU526" i="26" s="1"/>
  <c r="BU525" i="26" s="1"/>
  <c r="BU524" i="26" s="1"/>
  <c r="BU523" i="26" s="1"/>
  <c r="BU522" i="26" s="1"/>
  <c r="BU521" i="26" s="1"/>
  <c r="BU520" i="26" s="1"/>
  <c r="BU519" i="26" s="1"/>
  <c r="BU518" i="26" s="1"/>
  <c r="BU517" i="26" s="1"/>
  <c r="BU516" i="26" s="1"/>
  <c r="BU515" i="26" s="1"/>
  <c r="BU514" i="26" s="1"/>
  <c r="BU513" i="26" s="1"/>
  <c r="BU512" i="26" s="1"/>
  <c r="BU511" i="26" s="1"/>
  <c r="BU510" i="26" s="1"/>
  <c r="BU509" i="26" s="1"/>
  <c r="BU508" i="26" s="1"/>
  <c r="BU507" i="26" s="1"/>
  <c r="BU506" i="26" s="1"/>
  <c r="BU505" i="26" s="1"/>
  <c r="BU504" i="26" s="1"/>
  <c r="BU503" i="26" s="1"/>
  <c r="BU502" i="26" s="1"/>
  <c r="BU501" i="26" s="1"/>
  <c r="BU500" i="26" s="1"/>
  <c r="BU499" i="26" s="1"/>
  <c r="BU498" i="26" s="1"/>
  <c r="BU497" i="26" s="1"/>
  <c r="BU496" i="26" s="1"/>
  <c r="BU495" i="26" s="1"/>
  <c r="BU494" i="26" s="1"/>
  <c r="BU493" i="26" s="1"/>
  <c r="BU492" i="26" s="1"/>
  <c r="BU491" i="26" s="1"/>
  <c r="BU490" i="26" s="1"/>
  <c r="BU489" i="26" s="1"/>
  <c r="BU488" i="26" s="1"/>
  <c r="BU487" i="26" s="1"/>
  <c r="BU486" i="26" s="1"/>
  <c r="BU485" i="26" s="1"/>
  <c r="BU484" i="26" s="1"/>
  <c r="BU483" i="26" s="1"/>
  <c r="BU482" i="26" s="1"/>
  <c r="BU481" i="26" s="1"/>
  <c r="BU480" i="26" s="1"/>
  <c r="BU479" i="26" s="1"/>
  <c r="BU478" i="26" s="1"/>
  <c r="BU477" i="26" s="1"/>
  <c r="BU476" i="26" s="1"/>
  <c r="BU475" i="26" s="1"/>
  <c r="BU474" i="26" s="1"/>
  <c r="BU473" i="26" s="1"/>
  <c r="BU472" i="26" s="1"/>
  <c r="BU471" i="26" s="1"/>
  <c r="BU470" i="26" s="1"/>
  <c r="BU469" i="26" s="1"/>
  <c r="BU468" i="26" s="1"/>
  <c r="BU467" i="26" s="1"/>
  <c r="BU466" i="26" s="1"/>
  <c r="BU465" i="26" s="1"/>
  <c r="BU464" i="26" s="1"/>
  <c r="BU463" i="26" s="1"/>
  <c r="BU462" i="26" s="1"/>
  <c r="BU461" i="26" s="1"/>
  <c r="BU460" i="26" s="1"/>
  <c r="BU459" i="26" s="1"/>
  <c r="BU458" i="26" s="1"/>
  <c r="BU457" i="26" s="1"/>
  <c r="BU456" i="26" s="1"/>
  <c r="BU455" i="26" s="1"/>
  <c r="BU454" i="26" s="1"/>
  <c r="BU453" i="26" s="1"/>
  <c r="BU452" i="26" s="1"/>
  <c r="BU451" i="26" s="1"/>
  <c r="BU450" i="26" s="1"/>
  <c r="BU449" i="26" s="1"/>
  <c r="BU448" i="26" s="1"/>
  <c r="BU447" i="26" s="1"/>
  <c r="BU446" i="26" s="1"/>
  <c r="BU445" i="26" s="1"/>
  <c r="BU444" i="26" s="1"/>
  <c r="BU443" i="26" s="1"/>
  <c r="BU442" i="26" s="1"/>
  <c r="BU441" i="26" s="1"/>
  <c r="BU440" i="26" s="1"/>
  <c r="BU439" i="26" s="1"/>
  <c r="BU438" i="26" s="1"/>
  <c r="BU437" i="26" s="1"/>
  <c r="BU436" i="26" s="1"/>
  <c r="BU435" i="26" s="1"/>
  <c r="BU434" i="26" s="1"/>
  <c r="BU433" i="26" s="1"/>
  <c r="BU432" i="26" s="1"/>
  <c r="BU431" i="26" s="1"/>
  <c r="BU430" i="26" s="1"/>
  <c r="BU429" i="26" s="1"/>
  <c r="BU428" i="26" s="1"/>
  <c r="BU427" i="26" s="1"/>
  <c r="BU426" i="26" s="1"/>
  <c r="BU425" i="26" s="1"/>
  <c r="BU424" i="26" s="1"/>
  <c r="BU423" i="26" s="1"/>
  <c r="BU422" i="26" s="1"/>
  <c r="BU421" i="26" s="1"/>
  <c r="BU420" i="26" s="1"/>
  <c r="BU419" i="26" s="1"/>
  <c r="BU418" i="26" s="1"/>
  <c r="BU417" i="26" s="1"/>
  <c r="BU416" i="26" s="1"/>
  <c r="BU415" i="26" s="1"/>
  <c r="BU414" i="26" s="1"/>
  <c r="BU413" i="26" s="1"/>
  <c r="BU412" i="26" s="1"/>
  <c r="BU411" i="26" s="1"/>
  <c r="BU410" i="26" s="1"/>
  <c r="BU409" i="26" s="1"/>
  <c r="BU408" i="26" s="1"/>
  <c r="BU407" i="26" s="1"/>
  <c r="BU406" i="26" s="1"/>
  <c r="BU405" i="26" s="1"/>
  <c r="BU404" i="26" s="1"/>
  <c r="BU403" i="26" s="1"/>
  <c r="BU402" i="26" s="1"/>
  <c r="BU401" i="26" s="1"/>
  <c r="BU400" i="26" s="1"/>
  <c r="BU399" i="26" s="1"/>
  <c r="BU398" i="26" s="1"/>
  <c r="BU397" i="26" s="1"/>
  <c r="BU396" i="26" s="1"/>
  <c r="BU395" i="26" s="1"/>
  <c r="BU394" i="26" s="1"/>
  <c r="BU393" i="26" s="1"/>
  <c r="BU392" i="26" s="1"/>
  <c r="BU391" i="26" s="1"/>
  <c r="BU390" i="26" s="1"/>
  <c r="BU389" i="26" s="1"/>
  <c r="BU388" i="26" s="1"/>
  <c r="BU387" i="26" s="1"/>
  <c r="BU386" i="26" s="1"/>
  <c r="BU385" i="26" s="1"/>
  <c r="BU384" i="26" s="1"/>
  <c r="BU383" i="26" s="1"/>
  <c r="BU382" i="26" s="1"/>
  <c r="BU381" i="26" s="1"/>
  <c r="BU380" i="26" s="1"/>
  <c r="BU379" i="26" s="1"/>
  <c r="BU378" i="26" s="1"/>
  <c r="BU377" i="26" s="1"/>
  <c r="BU376" i="26" s="1"/>
  <c r="BU375" i="26" s="1"/>
  <c r="BU374" i="26" s="1"/>
  <c r="BU373" i="26" s="1"/>
  <c r="BU372" i="26" s="1"/>
  <c r="BU371" i="26" s="1"/>
  <c r="BU370" i="26" s="1"/>
  <c r="BU369" i="26" s="1"/>
  <c r="BU368" i="26" s="1"/>
  <c r="BU367" i="26" s="1"/>
  <c r="BU366" i="26" s="1"/>
  <c r="BU365" i="26" s="1"/>
  <c r="BU364" i="26" s="1"/>
  <c r="BU363" i="26" s="1"/>
  <c r="BU362" i="26" s="1"/>
  <c r="BU361" i="26" s="1"/>
  <c r="BU360" i="26" s="1"/>
  <c r="BU359" i="26" s="1"/>
  <c r="BU358" i="26" s="1"/>
  <c r="BU357" i="26" s="1"/>
  <c r="BU356" i="26" s="1"/>
  <c r="BU355" i="26" s="1"/>
  <c r="BU354" i="26" s="1"/>
  <c r="BU353" i="26" s="1"/>
  <c r="BU352" i="26" s="1"/>
  <c r="BU351" i="26" s="1"/>
  <c r="BU350" i="26" s="1"/>
  <c r="BU349" i="26" s="1"/>
  <c r="BU348" i="26" s="1"/>
  <c r="BU347" i="26" s="1"/>
  <c r="BU346" i="26" s="1"/>
  <c r="BU345" i="26" s="1"/>
  <c r="BU344" i="26" s="1"/>
  <c r="BU343" i="26" s="1"/>
  <c r="BU342" i="26" s="1"/>
  <c r="BU341" i="26" s="1"/>
  <c r="BU340" i="26" s="1"/>
  <c r="BU339" i="26" s="1"/>
  <c r="BU338" i="26" s="1"/>
  <c r="BU337" i="26" s="1"/>
  <c r="BU336" i="26" s="1"/>
  <c r="BU335" i="26" s="1"/>
  <c r="BU334" i="26" s="1"/>
  <c r="BU333" i="26" s="1"/>
  <c r="BU332" i="26" s="1"/>
  <c r="BU331" i="26" s="1"/>
  <c r="BU330" i="26" s="1"/>
  <c r="BU329" i="26" s="1"/>
  <c r="BU328" i="26" s="1"/>
  <c r="BU327" i="26" s="1"/>
  <c r="BU326" i="26" s="1"/>
  <c r="BU325" i="26" s="1"/>
  <c r="BU324" i="26" s="1"/>
  <c r="BU323" i="26" s="1"/>
  <c r="BU322" i="26" s="1"/>
  <c r="BU321" i="26" s="1"/>
  <c r="BU320" i="26" s="1"/>
  <c r="BU319" i="26" s="1"/>
  <c r="BU318" i="26" s="1"/>
  <c r="BU317" i="26" s="1"/>
  <c r="BU316" i="26" s="1"/>
  <c r="BU315" i="26" s="1"/>
  <c r="BU314" i="26" s="1"/>
  <c r="BU313" i="26" s="1"/>
  <c r="BU312" i="26" s="1"/>
  <c r="BU311" i="26" s="1"/>
  <c r="BU310" i="26" s="1"/>
  <c r="BU309" i="26" s="1"/>
  <c r="BU308" i="26" s="1"/>
  <c r="BU307" i="26" s="1"/>
  <c r="BU306" i="26" s="1"/>
  <c r="BU305" i="26" s="1"/>
  <c r="BU304" i="26" s="1"/>
  <c r="BU303" i="26" s="1"/>
  <c r="BU302" i="26" s="1"/>
  <c r="BU301" i="26" s="1"/>
  <c r="BU300" i="26" s="1"/>
  <c r="BU299" i="26" s="1"/>
  <c r="BU298" i="26" s="1"/>
  <c r="BU297" i="26" s="1"/>
  <c r="BU296" i="26" s="1"/>
  <c r="BU295" i="26" s="1"/>
  <c r="BU294" i="26" s="1"/>
  <c r="BU293" i="26" s="1"/>
  <c r="BU292" i="26" s="1"/>
  <c r="BU291" i="26" s="1"/>
  <c r="BU290" i="26" s="1"/>
  <c r="BU289" i="26" s="1"/>
  <c r="BU288" i="26" s="1"/>
  <c r="BU287" i="26" s="1"/>
  <c r="BU286" i="26" s="1"/>
  <c r="BU285" i="26" s="1"/>
  <c r="BU284" i="26" s="1"/>
  <c r="BU283" i="26" s="1"/>
  <c r="BU282" i="26" s="1"/>
  <c r="BU281" i="26" s="1"/>
  <c r="BU280" i="26" s="1"/>
  <c r="BU279" i="26" s="1"/>
  <c r="BU278" i="26" s="1"/>
  <c r="BU277" i="26" s="1"/>
  <c r="BU276" i="26" s="1"/>
  <c r="BU275" i="26" s="1"/>
  <c r="BU274" i="26" s="1"/>
  <c r="BU273" i="26" s="1"/>
  <c r="BU272" i="26" s="1"/>
  <c r="BU271" i="26" s="1"/>
  <c r="BU270" i="26" s="1"/>
  <c r="BU269" i="26" s="1"/>
  <c r="BU268" i="26" s="1"/>
  <c r="BU267" i="26" s="1"/>
  <c r="BU266" i="26" s="1"/>
  <c r="BU265" i="26" s="1"/>
  <c r="BU264" i="26" s="1"/>
  <c r="BU263" i="26" s="1"/>
  <c r="BU262" i="26" s="1"/>
  <c r="BU261" i="26" s="1"/>
  <c r="BU260" i="26" s="1"/>
  <c r="BU259" i="26" s="1"/>
  <c r="BU258" i="26" s="1"/>
  <c r="BU257" i="26" s="1"/>
  <c r="BU256" i="26" s="1"/>
  <c r="BU255" i="26" s="1"/>
  <c r="BU254" i="26" s="1"/>
  <c r="BU253" i="26" s="1"/>
  <c r="BU252" i="26" s="1"/>
  <c r="BU251" i="26" s="1"/>
  <c r="BU250" i="26" s="1"/>
  <c r="BU249" i="26" s="1"/>
  <c r="BU248" i="26" s="1"/>
  <c r="BU247" i="26" s="1"/>
  <c r="BU246" i="26" s="1"/>
  <c r="BU245" i="26" s="1"/>
  <c r="BU244" i="26" s="1"/>
  <c r="BU243" i="26" s="1"/>
  <c r="BU242" i="26" s="1"/>
  <c r="BU241" i="26" s="1"/>
  <c r="BU240" i="26" s="1"/>
  <c r="BU239" i="26" s="1"/>
  <c r="BU238" i="26" s="1"/>
  <c r="BU237" i="26" s="1"/>
  <c r="BU236" i="26" s="1"/>
  <c r="BU235" i="26" s="1"/>
  <c r="BU234" i="26" s="1"/>
  <c r="BU233" i="26" s="1"/>
  <c r="BU232" i="26" s="1"/>
  <c r="BU231" i="26" s="1"/>
  <c r="BU230" i="26" s="1"/>
  <c r="BU229" i="26" s="1"/>
  <c r="BU228" i="26" s="1"/>
  <c r="BU227" i="26" s="1"/>
  <c r="BU226" i="26" s="1"/>
  <c r="BU225" i="26" s="1"/>
  <c r="BU224" i="26" s="1"/>
  <c r="BU223" i="26" s="1"/>
  <c r="BU222" i="26" s="1"/>
  <c r="BU221" i="26" s="1"/>
  <c r="BU220" i="26" s="1"/>
  <c r="BU219" i="26" s="1"/>
  <c r="BU218" i="26" s="1"/>
  <c r="BU217" i="26" s="1"/>
  <c r="BU216" i="26" s="1"/>
  <c r="BU215" i="26" s="1"/>
  <c r="BU214" i="26" s="1"/>
  <c r="BU213" i="26" s="1"/>
  <c r="BU212" i="26" s="1"/>
  <c r="BU211" i="26" s="1"/>
  <c r="BU210" i="26" s="1"/>
  <c r="BU209" i="26" s="1"/>
  <c r="BU208" i="26" s="1"/>
  <c r="BU207" i="26" s="1"/>
  <c r="BU206" i="26" s="1"/>
  <c r="BU205" i="26" s="1"/>
  <c r="BU204" i="26" s="1"/>
  <c r="BU203" i="26" s="1"/>
  <c r="BU202" i="26" s="1"/>
  <c r="BU201" i="26" s="1"/>
  <c r="BU200" i="26" s="1"/>
  <c r="BU199" i="26" s="1"/>
  <c r="BU198" i="26" s="1"/>
  <c r="BU197" i="26" s="1"/>
  <c r="BU196" i="26" s="1"/>
  <c r="BU195" i="26" s="1"/>
  <c r="BU194" i="26" s="1"/>
  <c r="BU193" i="26" s="1"/>
  <c r="BU192" i="26" s="1"/>
  <c r="BU191" i="26" s="1"/>
  <c r="BU190" i="26" s="1"/>
  <c r="BU189" i="26" s="1"/>
  <c r="BU188" i="26" s="1"/>
  <c r="BU187" i="26" s="1"/>
  <c r="BU186" i="26" s="1"/>
  <c r="BU185" i="26" s="1"/>
  <c r="BU184" i="26" s="1"/>
  <c r="BU183" i="26" s="1"/>
  <c r="BU182" i="26" s="1"/>
  <c r="BU181" i="26" s="1"/>
  <c r="BU180" i="26" s="1"/>
  <c r="BU179" i="26" s="1"/>
  <c r="BU178" i="26" s="1"/>
  <c r="BU177" i="26" s="1"/>
  <c r="BU176" i="26" s="1"/>
  <c r="BU175" i="26" s="1"/>
  <c r="BU174" i="26" s="1"/>
  <c r="BU173" i="26" s="1"/>
  <c r="BU172" i="26" s="1"/>
  <c r="BU171" i="26" s="1"/>
  <c r="BU170" i="26" s="1"/>
  <c r="BU169" i="26" s="1"/>
  <c r="BU168" i="26" s="1"/>
  <c r="BU167" i="26" s="1"/>
  <c r="BU166" i="26" s="1"/>
  <c r="BU165" i="26" s="1"/>
  <c r="BU164" i="26" s="1"/>
  <c r="BU163" i="26" s="1"/>
  <c r="BU162" i="26" s="1"/>
  <c r="BU161" i="26" s="1"/>
  <c r="BU160" i="26" s="1"/>
  <c r="BU159" i="26" s="1"/>
  <c r="BU158" i="26" s="1"/>
  <c r="BU157" i="26" s="1"/>
  <c r="BU156" i="26" s="1"/>
  <c r="BU155" i="26" s="1"/>
  <c r="BU154" i="26" s="1"/>
  <c r="BU153" i="26" s="1"/>
  <c r="BU152" i="26" s="1"/>
  <c r="BU151" i="26" s="1"/>
  <c r="BU150" i="26" s="1"/>
  <c r="BU149" i="26" s="1"/>
  <c r="BU148" i="26" s="1"/>
  <c r="BU147" i="26" s="1"/>
  <c r="BU146" i="26" s="1"/>
  <c r="BU145" i="26" s="1"/>
  <c r="BU144" i="26" s="1"/>
  <c r="BU143" i="26" s="1"/>
  <c r="BU142" i="26" s="1"/>
  <c r="BU141" i="26" s="1"/>
  <c r="BU140" i="26" s="1"/>
  <c r="BU139" i="26" s="1"/>
  <c r="BU138" i="26" s="1"/>
  <c r="BU137" i="26" s="1"/>
  <c r="BU136" i="26" s="1"/>
  <c r="BU135" i="26" s="1"/>
  <c r="BU134" i="26" s="1"/>
  <c r="BU133" i="26" s="1"/>
  <c r="BU132" i="26" s="1"/>
  <c r="BU131" i="26" s="1"/>
  <c r="BU130" i="26" s="1"/>
  <c r="BU129" i="26" s="1"/>
  <c r="BU128" i="26" s="1"/>
  <c r="BU127" i="26" s="1"/>
  <c r="BU126" i="26" s="1"/>
  <c r="BU125" i="26" s="1"/>
  <c r="BU124" i="26" s="1"/>
  <c r="BU123" i="26" s="1"/>
  <c r="BU122" i="26" s="1"/>
  <c r="BU121" i="26" s="1"/>
  <c r="BU120" i="26" s="1"/>
  <c r="BU119" i="26" s="1"/>
  <c r="BU118" i="26" s="1"/>
  <c r="BU117" i="26" s="1"/>
  <c r="BU116" i="26" s="1"/>
  <c r="BU115" i="26" s="1"/>
  <c r="BU114" i="26" s="1"/>
  <c r="BU113" i="26" s="1"/>
  <c r="BU112" i="26" s="1"/>
  <c r="BU111" i="26" s="1"/>
  <c r="BU110" i="26" s="1"/>
  <c r="BU109" i="26" s="1"/>
  <c r="BU108" i="26" s="1"/>
  <c r="BU107" i="26" s="1"/>
  <c r="BU106" i="26" s="1"/>
  <c r="BU105" i="26" s="1"/>
  <c r="BU104" i="26" s="1"/>
  <c r="BU103" i="26" s="1"/>
  <c r="BU102" i="26" s="1"/>
  <c r="BU101" i="26" s="1"/>
  <c r="BU100" i="26" s="1"/>
  <c r="BU99" i="26" s="1"/>
  <c r="BU98" i="26" s="1"/>
  <c r="BU97" i="26" s="1"/>
  <c r="BU96" i="26" s="1"/>
  <c r="BU95" i="26" s="1"/>
  <c r="BU94" i="26" s="1"/>
  <c r="BU93" i="26" s="1"/>
  <c r="BU92" i="26" s="1"/>
  <c r="BU91" i="26" s="1"/>
  <c r="BU90" i="26" s="1"/>
  <c r="BU89" i="26" s="1"/>
  <c r="BU88" i="26" s="1"/>
  <c r="BU87" i="26" s="1"/>
  <c r="BU86" i="26" s="1"/>
  <c r="BU85" i="26" s="1"/>
  <c r="BU84" i="26" s="1"/>
  <c r="BU83" i="26" s="1"/>
  <c r="BU82" i="26" s="1"/>
  <c r="BU81" i="26" s="1"/>
  <c r="BU80" i="26" s="1"/>
  <c r="BU79" i="26" s="1"/>
  <c r="BU78" i="26" s="1"/>
  <c r="BU77" i="26" s="1"/>
  <c r="BU76" i="26" s="1"/>
  <c r="BU75" i="26" s="1"/>
  <c r="BU74" i="26" s="1"/>
  <c r="BU73" i="26" s="1"/>
  <c r="BU72" i="26" s="1"/>
  <c r="BU71" i="26" s="1"/>
  <c r="BU70" i="26" s="1"/>
  <c r="BU69" i="26" s="1"/>
  <c r="BU68" i="26" s="1"/>
  <c r="BU67" i="26" s="1"/>
  <c r="BU66" i="26" s="1"/>
  <c r="BU65" i="26" s="1"/>
  <c r="BU64" i="26" s="1"/>
  <c r="BU63" i="26" s="1"/>
  <c r="BU62" i="26" s="1"/>
  <c r="BU61" i="26" s="1"/>
  <c r="BU60" i="26" s="1"/>
  <c r="BU59" i="26" s="1"/>
  <c r="BU58" i="26" s="1"/>
  <c r="BU57" i="26" s="1"/>
  <c r="BU56" i="26" s="1"/>
  <c r="BU55" i="26" s="1"/>
  <c r="BU54" i="26" s="1"/>
  <c r="BU53" i="26" s="1"/>
  <c r="BU52" i="26" s="1"/>
  <c r="BU51" i="26" s="1"/>
  <c r="BU50" i="26" s="1"/>
  <c r="BU49" i="26" s="1"/>
  <c r="BU48" i="26" s="1"/>
  <c r="BU47" i="26" s="1"/>
  <c r="BU46" i="26" s="1"/>
  <c r="BU45" i="26" s="1"/>
  <c r="BU44" i="26" s="1"/>
  <c r="BU43" i="26" s="1"/>
  <c r="BU42" i="26" s="1"/>
  <c r="BU41" i="26" s="1"/>
  <c r="BU40" i="26" s="1"/>
  <c r="BU39" i="26" s="1"/>
  <c r="BU38" i="26" s="1"/>
  <c r="BU37" i="26" s="1"/>
  <c r="BU36" i="26" s="1"/>
  <c r="BU35" i="26" s="1"/>
  <c r="BU34" i="26" s="1"/>
  <c r="BU33" i="26" s="1"/>
  <c r="BU32" i="26" s="1"/>
  <c r="BU31" i="26" s="1"/>
  <c r="BU30" i="26" s="1"/>
  <c r="BU29" i="26" s="1"/>
  <c r="BU28" i="26" s="1"/>
  <c r="BU27" i="26" s="1"/>
  <c r="BU26" i="26" s="1"/>
  <c r="BU25" i="26" s="1"/>
  <c r="BU24" i="26" s="1"/>
  <c r="BU23" i="26" s="1"/>
  <c r="BU22" i="26" s="1"/>
  <c r="BU21" i="26" s="1"/>
  <c r="BU20" i="26" s="1"/>
  <c r="BU19" i="26" s="1"/>
  <c r="BU18" i="26" s="1"/>
  <c r="BU17" i="26" s="1"/>
  <c r="BU16" i="26" s="1"/>
  <c r="BU15" i="26" s="1"/>
  <c r="BU14" i="26" s="1"/>
  <c r="BU13" i="26" s="1"/>
  <c r="BU12" i="26" s="1"/>
  <c r="BU11" i="26" s="1"/>
  <c r="BU10" i="26" s="1"/>
  <c r="BU9" i="26" s="1"/>
  <c r="BU8" i="26" s="1"/>
  <c r="BU7" i="26" s="1"/>
  <c r="BU6" i="26" s="1"/>
  <c r="BU5" i="26" s="1"/>
  <c r="AV918" i="26"/>
  <c r="AY918" i="26" s="1"/>
  <c r="BA918" i="26" s="1"/>
  <c r="AU916" i="26"/>
  <c r="O1205" i="55"/>
  <c r="AK1205" i="55"/>
  <c r="Q1205" i="55"/>
  <c r="AI1205" i="55"/>
  <c r="P1205" i="55"/>
  <c r="K1205" i="55"/>
  <c r="AD1205" i="55"/>
  <c r="AF1205" i="55"/>
  <c r="AG1205" i="55"/>
  <c r="Z1205" i="55"/>
  <c r="AL1205" i="55"/>
  <c r="AO1205" i="55"/>
  <c r="M1205" i="55"/>
  <c r="AC1205" i="55"/>
  <c r="N1205" i="55"/>
  <c r="I1205" i="55"/>
  <c r="W1205" i="55"/>
  <c r="G1205" i="55"/>
  <c r="AH1205" i="55"/>
  <c r="B1205" i="55"/>
  <c r="C1205" i="55"/>
  <c r="S1205" i="55"/>
  <c r="AM1205" i="55"/>
  <c r="AT1205" i="55"/>
  <c r="U1205" i="55"/>
  <c r="AQ1205" i="55"/>
  <c r="L1205" i="55"/>
  <c r="X1205" i="55"/>
  <c r="V1205" i="55"/>
  <c r="A1205" i="55"/>
  <c r="AB1205" i="55"/>
  <c r="H1205" i="55"/>
  <c r="D1205" i="55"/>
  <c r="AN1205" i="55"/>
  <c r="AL310" i="55"/>
  <c r="E919" i="26" l="1"/>
  <c r="BD919" i="26" s="1"/>
  <c r="BU919" i="26"/>
  <c r="BD916" i="26"/>
  <c r="BD915" i="26" s="1"/>
  <c r="BD914" i="26" s="1"/>
  <c r="BD913" i="26" s="1"/>
  <c r="BD912" i="26" s="1"/>
  <c r="BD911" i="26" s="1"/>
  <c r="BD910" i="26" s="1"/>
  <c r="BD909" i="26" s="1"/>
  <c r="BD908" i="26" s="1"/>
  <c r="BD907" i="26" s="1"/>
  <c r="BD906" i="26" s="1"/>
  <c r="BD905" i="26" s="1"/>
  <c r="BD904" i="26" s="1"/>
  <c r="BD903" i="26" s="1"/>
  <c r="BD902" i="26" s="1"/>
  <c r="BD901" i="26" s="1"/>
  <c r="BD900" i="26" s="1"/>
  <c r="BD899" i="26" s="1"/>
  <c r="BD898" i="26" s="1"/>
  <c r="BD897" i="26" s="1"/>
  <c r="BD896" i="26" s="1"/>
  <c r="BD895" i="26" s="1"/>
  <c r="BD894" i="26" s="1"/>
  <c r="BD893" i="26" s="1"/>
  <c r="BD892" i="26" s="1"/>
  <c r="BD891" i="26" s="1"/>
  <c r="BD890" i="26" s="1"/>
  <c r="BD889" i="26" s="1"/>
  <c r="BD888" i="26" s="1"/>
  <c r="BD887" i="26" s="1"/>
  <c r="BD886" i="26" s="1"/>
  <c r="BD885" i="26" s="1"/>
  <c r="BD884" i="26" s="1"/>
  <c r="BD883" i="26" s="1"/>
  <c r="BD882" i="26" s="1"/>
  <c r="BD881" i="26" s="1"/>
  <c r="BD880" i="26" s="1"/>
  <c r="BD879" i="26" s="1"/>
  <c r="BD878" i="26" s="1"/>
  <c r="BD877" i="26" s="1"/>
  <c r="BD876" i="26" s="1"/>
  <c r="BD875" i="26" s="1"/>
  <c r="BD874" i="26" s="1"/>
  <c r="BD873" i="26" s="1"/>
  <c r="BD872" i="26" s="1"/>
  <c r="BD871" i="26" s="1"/>
  <c r="BD870" i="26" s="1"/>
  <c r="BD869" i="26" s="1"/>
  <c r="BD868" i="26" s="1"/>
  <c r="BD867" i="26" s="1"/>
  <c r="BD866" i="26" s="1"/>
  <c r="BD865" i="26" s="1"/>
  <c r="BD864" i="26" s="1"/>
  <c r="BD863" i="26" s="1"/>
  <c r="BD862" i="26" s="1"/>
  <c r="BD861" i="26" s="1"/>
  <c r="BD860" i="26" s="1"/>
  <c r="BD859" i="26" s="1"/>
  <c r="BD858" i="26" s="1"/>
  <c r="BD857" i="26" s="1"/>
  <c r="BD856" i="26" s="1"/>
  <c r="BD855" i="26" s="1"/>
  <c r="BD854" i="26" s="1"/>
  <c r="BD853" i="26" s="1"/>
  <c r="BD852" i="26" s="1"/>
  <c r="BD851" i="26" s="1"/>
  <c r="BD850" i="26" s="1"/>
  <c r="BD849" i="26" s="1"/>
  <c r="BD848" i="26" s="1"/>
  <c r="BD847" i="26" s="1"/>
  <c r="BD846" i="26" s="1"/>
  <c r="BD845" i="26" s="1"/>
  <c r="BD844" i="26" s="1"/>
  <c r="BD843" i="26" s="1"/>
  <c r="BD842" i="26" s="1"/>
  <c r="BD841" i="26" s="1"/>
  <c r="BD840" i="26" s="1"/>
  <c r="BD839" i="26" s="1"/>
  <c r="BD838" i="26" s="1"/>
  <c r="BD837" i="26" s="1"/>
  <c r="BD836" i="26" s="1"/>
  <c r="BD835" i="26" s="1"/>
  <c r="BD834" i="26" s="1"/>
  <c r="BD833" i="26" s="1"/>
  <c r="BD832" i="26" s="1"/>
  <c r="BD831" i="26" s="1"/>
  <c r="BD830" i="26" s="1"/>
  <c r="BD829" i="26" s="1"/>
  <c r="BD828" i="26" s="1"/>
  <c r="BD827" i="26" s="1"/>
  <c r="BD826" i="26" s="1"/>
  <c r="BD825" i="26" s="1"/>
  <c r="BD824" i="26" s="1"/>
  <c r="BD823" i="26" s="1"/>
  <c r="BD822" i="26" s="1"/>
  <c r="BD821" i="26" s="1"/>
  <c r="BD820" i="26" s="1"/>
  <c r="BD819" i="26" s="1"/>
  <c r="BD818" i="26" s="1"/>
  <c r="BD817" i="26" s="1"/>
  <c r="BD816" i="26" s="1"/>
  <c r="BD815" i="26" s="1"/>
  <c r="BD814" i="26" s="1"/>
  <c r="BD813" i="26" s="1"/>
  <c r="BD812" i="26" s="1"/>
  <c r="BD811" i="26" s="1"/>
  <c r="BD810" i="26" s="1"/>
  <c r="BD809" i="26" s="1"/>
  <c r="BD808" i="26" s="1"/>
  <c r="BD807" i="26" s="1"/>
  <c r="BD806" i="26" s="1"/>
  <c r="BD805" i="26" s="1"/>
  <c r="BD804" i="26" s="1"/>
  <c r="BD803" i="26" s="1"/>
  <c r="BD802" i="26" s="1"/>
  <c r="BD801" i="26" s="1"/>
  <c r="BD800" i="26" s="1"/>
  <c r="BD799" i="26" s="1"/>
  <c r="BD798" i="26" s="1"/>
  <c r="BD797" i="26" s="1"/>
  <c r="BD796" i="26" s="1"/>
  <c r="BD795" i="26" s="1"/>
  <c r="BD794" i="26" s="1"/>
  <c r="BD793" i="26" s="1"/>
  <c r="BD792" i="26" s="1"/>
  <c r="BD791" i="26" s="1"/>
  <c r="BD790" i="26" s="1"/>
  <c r="BD789" i="26" s="1"/>
  <c r="BD788" i="26" s="1"/>
  <c r="BD787" i="26" s="1"/>
  <c r="BD786" i="26" s="1"/>
  <c r="BD785" i="26" s="1"/>
  <c r="BD784" i="26" s="1"/>
  <c r="BD783" i="26" s="1"/>
  <c r="BD782" i="26" s="1"/>
  <c r="BD781" i="26" s="1"/>
  <c r="BD780" i="26" s="1"/>
  <c r="BD779" i="26" s="1"/>
  <c r="BD778" i="26" s="1"/>
  <c r="BD777" i="26" s="1"/>
  <c r="BD776" i="26" s="1"/>
  <c r="BD775" i="26" s="1"/>
  <c r="BD774" i="26" s="1"/>
  <c r="BD773" i="26" s="1"/>
  <c r="BD772" i="26" s="1"/>
  <c r="BD771" i="26" s="1"/>
  <c r="BD770" i="26" s="1"/>
  <c r="BD769" i="26" s="1"/>
  <c r="BD768" i="26" s="1"/>
  <c r="BD767" i="26" s="1"/>
  <c r="BD766" i="26" s="1"/>
  <c r="BD765" i="26" s="1"/>
  <c r="BD764" i="26" s="1"/>
  <c r="BD763" i="26" s="1"/>
  <c r="BD762" i="26" s="1"/>
  <c r="BD761" i="26" s="1"/>
  <c r="BD760" i="26" s="1"/>
  <c r="BD759" i="26" s="1"/>
  <c r="BD758" i="26" s="1"/>
  <c r="BD757" i="26" s="1"/>
  <c r="BD756" i="26" s="1"/>
  <c r="BD755" i="26" s="1"/>
  <c r="BD754" i="26" s="1"/>
  <c r="BD753" i="26" s="1"/>
  <c r="BD752" i="26" s="1"/>
  <c r="BD751" i="26" s="1"/>
  <c r="BD750" i="26" s="1"/>
  <c r="BD749" i="26" s="1"/>
  <c r="BD748" i="26" s="1"/>
  <c r="BD747" i="26" s="1"/>
  <c r="BD746" i="26" s="1"/>
  <c r="BD745" i="26" s="1"/>
  <c r="BD744" i="26" s="1"/>
  <c r="BD743" i="26" s="1"/>
  <c r="BD742" i="26" s="1"/>
  <c r="BD741" i="26" s="1"/>
  <c r="BD740" i="26" s="1"/>
  <c r="BD739" i="26" s="1"/>
  <c r="BD738" i="26" s="1"/>
  <c r="BD737" i="26" s="1"/>
  <c r="BD736" i="26" s="1"/>
  <c r="BD735" i="26" s="1"/>
  <c r="BD734" i="26" s="1"/>
  <c r="BD733" i="26" s="1"/>
  <c r="BD732" i="26" s="1"/>
  <c r="BD731" i="26" s="1"/>
  <c r="BD730" i="26" s="1"/>
  <c r="BD729" i="26" s="1"/>
  <c r="BD728" i="26" s="1"/>
  <c r="BD727" i="26" s="1"/>
  <c r="BD726" i="26" s="1"/>
  <c r="BD725" i="26" s="1"/>
  <c r="BD724" i="26" s="1"/>
  <c r="BD723" i="26" s="1"/>
  <c r="BD722" i="26" s="1"/>
  <c r="BD721" i="26" s="1"/>
  <c r="BD720" i="26" s="1"/>
  <c r="BD719" i="26" s="1"/>
  <c r="BD718" i="26" s="1"/>
  <c r="BD717" i="26" s="1"/>
  <c r="BD716" i="26" s="1"/>
  <c r="BD715" i="26" s="1"/>
  <c r="BD714" i="26" s="1"/>
  <c r="BD713" i="26" s="1"/>
  <c r="BD712" i="26" s="1"/>
  <c r="BD711" i="26" s="1"/>
  <c r="BD710" i="26" s="1"/>
  <c r="BD709" i="26" s="1"/>
  <c r="BD708" i="26" s="1"/>
  <c r="BD707" i="26" s="1"/>
  <c r="BD706" i="26" s="1"/>
  <c r="BD705" i="26" s="1"/>
  <c r="BD704" i="26" s="1"/>
  <c r="BD703" i="26" s="1"/>
  <c r="BD702" i="26" s="1"/>
  <c r="BD701" i="26" s="1"/>
  <c r="BD700" i="26" s="1"/>
  <c r="BD699" i="26" s="1"/>
  <c r="BD698" i="26" s="1"/>
  <c r="BD697" i="26" s="1"/>
  <c r="BD696" i="26" s="1"/>
  <c r="BD695" i="26" s="1"/>
  <c r="BD694" i="26" s="1"/>
  <c r="BD693" i="26" s="1"/>
  <c r="BD692" i="26" s="1"/>
  <c r="BD691" i="26" s="1"/>
  <c r="BD690" i="26" s="1"/>
  <c r="BD689" i="26" s="1"/>
  <c r="BD688" i="26" s="1"/>
  <c r="BD687" i="26" s="1"/>
  <c r="BD686" i="26" s="1"/>
  <c r="BD685" i="26" s="1"/>
  <c r="BD684" i="26" s="1"/>
  <c r="BD683" i="26" s="1"/>
  <c r="BD682" i="26" s="1"/>
  <c r="BD681" i="26" s="1"/>
  <c r="BD680" i="26" s="1"/>
  <c r="BD679" i="26" s="1"/>
  <c r="BD678" i="26" s="1"/>
  <c r="BD677" i="26" s="1"/>
  <c r="BD676" i="26" s="1"/>
  <c r="BD675" i="26" s="1"/>
  <c r="BD674" i="26" s="1"/>
  <c r="BD673" i="26" s="1"/>
  <c r="BD672" i="26" s="1"/>
  <c r="BD671" i="26" s="1"/>
  <c r="BD670" i="26" s="1"/>
  <c r="BD669" i="26" s="1"/>
  <c r="BD668" i="26" s="1"/>
  <c r="BD667" i="26" s="1"/>
  <c r="BD666" i="26" s="1"/>
  <c r="BD665" i="26" s="1"/>
  <c r="BD664" i="26" s="1"/>
  <c r="BD663" i="26" s="1"/>
  <c r="BD662" i="26" s="1"/>
  <c r="BD661" i="26" s="1"/>
  <c r="BD660" i="26" s="1"/>
  <c r="BD659" i="26" s="1"/>
  <c r="BD658" i="26" s="1"/>
  <c r="BD657" i="26" s="1"/>
  <c r="BD656" i="26" s="1"/>
  <c r="BD655" i="26" s="1"/>
  <c r="BD654" i="26" s="1"/>
  <c r="BD653" i="26" s="1"/>
  <c r="BD652" i="26" s="1"/>
  <c r="BD651" i="26" s="1"/>
  <c r="BD650" i="26" s="1"/>
  <c r="BD649" i="26" s="1"/>
  <c r="BD648" i="26" s="1"/>
  <c r="BD647" i="26" s="1"/>
  <c r="BD646" i="26" s="1"/>
  <c r="BD645" i="26" s="1"/>
  <c r="BD644" i="26" s="1"/>
  <c r="BD643" i="26" s="1"/>
  <c r="BD642" i="26" s="1"/>
  <c r="BD641" i="26" s="1"/>
  <c r="BD640" i="26" s="1"/>
  <c r="BD639" i="26" s="1"/>
  <c r="BD638" i="26" s="1"/>
  <c r="BD637" i="26" s="1"/>
  <c r="BD636" i="26" s="1"/>
  <c r="BD635" i="26" s="1"/>
  <c r="BD634" i="26" s="1"/>
  <c r="BD633" i="26" s="1"/>
  <c r="BD632" i="26" s="1"/>
  <c r="BD631" i="26" s="1"/>
  <c r="BD630" i="26" s="1"/>
  <c r="BD629" i="26" s="1"/>
  <c r="BD628" i="26" s="1"/>
  <c r="BD627" i="26" s="1"/>
  <c r="BD626" i="26" s="1"/>
  <c r="BD625" i="26" s="1"/>
  <c r="BD624" i="26" s="1"/>
  <c r="BD623" i="26" s="1"/>
  <c r="BD622" i="26" s="1"/>
  <c r="BD621" i="26" s="1"/>
  <c r="BD620" i="26" s="1"/>
  <c r="BD619" i="26" s="1"/>
  <c r="BD618" i="26" s="1"/>
  <c r="BD617" i="26" s="1"/>
  <c r="BD616" i="26" s="1"/>
  <c r="BD615" i="26" s="1"/>
  <c r="BD614" i="26" s="1"/>
  <c r="BD613" i="26" s="1"/>
  <c r="BD612" i="26" s="1"/>
  <c r="BD611" i="26" s="1"/>
  <c r="BD610" i="26" s="1"/>
  <c r="BD609" i="26" s="1"/>
  <c r="BD608" i="26" s="1"/>
  <c r="BD607" i="26" s="1"/>
  <c r="BD606" i="26" s="1"/>
  <c r="BD605" i="26" s="1"/>
  <c r="BD604" i="26" s="1"/>
  <c r="BD603" i="26" s="1"/>
  <c r="BD602" i="26" s="1"/>
  <c r="BD601" i="26" s="1"/>
  <c r="BD600" i="26" s="1"/>
  <c r="BD599" i="26" s="1"/>
  <c r="BD598" i="26" s="1"/>
  <c r="BD597" i="26" s="1"/>
  <c r="BD596" i="26" s="1"/>
  <c r="BD595" i="26" s="1"/>
  <c r="BD594" i="26" s="1"/>
  <c r="BD593" i="26" s="1"/>
  <c r="BD592" i="26" s="1"/>
  <c r="BD591" i="26" s="1"/>
  <c r="BD590" i="26" s="1"/>
  <c r="BD589" i="26" s="1"/>
  <c r="BD588" i="26" s="1"/>
  <c r="BD587" i="26" s="1"/>
  <c r="BD586" i="26" s="1"/>
  <c r="BD585" i="26" s="1"/>
  <c r="BD584" i="26" s="1"/>
  <c r="BD583" i="26" s="1"/>
  <c r="BD582" i="26" s="1"/>
  <c r="BD581" i="26" s="1"/>
  <c r="BD580" i="26" s="1"/>
  <c r="BD579" i="26" s="1"/>
  <c r="BD578" i="26" s="1"/>
  <c r="BD577" i="26" s="1"/>
  <c r="BD576" i="26" s="1"/>
  <c r="BD575" i="26" s="1"/>
  <c r="BD574" i="26" s="1"/>
  <c r="BD573" i="26" s="1"/>
  <c r="BD572" i="26" s="1"/>
  <c r="BD571" i="26" s="1"/>
  <c r="BD570" i="26" s="1"/>
  <c r="BD569" i="26" s="1"/>
  <c r="BD568" i="26" s="1"/>
  <c r="BD567" i="26" s="1"/>
  <c r="BD566" i="26" s="1"/>
  <c r="BD565" i="26" s="1"/>
  <c r="BD564" i="26" s="1"/>
  <c r="BD563" i="26" s="1"/>
  <c r="BD562" i="26" s="1"/>
  <c r="BD561" i="26" s="1"/>
  <c r="BD560" i="26" s="1"/>
  <c r="BD559" i="26" s="1"/>
  <c r="BD558" i="26" s="1"/>
  <c r="BD557" i="26" s="1"/>
  <c r="BD556" i="26" s="1"/>
  <c r="BD555" i="26" s="1"/>
  <c r="BD554" i="26" s="1"/>
  <c r="BD553" i="26" s="1"/>
  <c r="BD552" i="26" s="1"/>
  <c r="BD551" i="26" s="1"/>
  <c r="BD550" i="26" s="1"/>
  <c r="BD549" i="26" s="1"/>
  <c r="BD548" i="26" s="1"/>
  <c r="BD547" i="26" s="1"/>
  <c r="BD546" i="26" s="1"/>
  <c r="BD545" i="26" s="1"/>
  <c r="BD544" i="26" s="1"/>
  <c r="BD543" i="26" s="1"/>
  <c r="BD542" i="26" s="1"/>
  <c r="BD541" i="26" s="1"/>
  <c r="BD540" i="26" s="1"/>
  <c r="BD539" i="26" s="1"/>
  <c r="BD538" i="26" s="1"/>
  <c r="BD537" i="26" s="1"/>
  <c r="BD536" i="26" s="1"/>
  <c r="BD535" i="26" s="1"/>
  <c r="BD534" i="26" s="1"/>
  <c r="BD533" i="26" s="1"/>
  <c r="BD532" i="26" s="1"/>
  <c r="BD531" i="26" s="1"/>
  <c r="BD530" i="26" s="1"/>
  <c r="BD529" i="26" s="1"/>
  <c r="BD528" i="26" s="1"/>
  <c r="BD527" i="26" s="1"/>
  <c r="BD526" i="26" s="1"/>
  <c r="BD525" i="26" s="1"/>
  <c r="BD524" i="26" s="1"/>
  <c r="BD523" i="26" s="1"/>
  <c r="BD522" i="26" s="1"/>
  <c r="BD521" i="26" s="1"/>
  <c r="BD520" i="26" s="1"/>
  <c r="BD519" i="26" s="1"/>
  <c r="BD518" i="26" s="1"/>
  <c r="BD517" i="26" s="1"/>
  <c r="BD516" i="26" s="1"/>
  <c r="BD515" i="26" s="1"/>
  <c r="BD514" i="26" s="1"/>
  <c r="BD513" i="26" s="1"/>
  <c r="BD512" i="26" s="1"/>
  <c r="BD511" i="26" s="1"/>
  <c r="BD510" i="26" s="1"/>
  <c r="BD509" i="26" s="1"/>
  <c r="BD508" i="26" s="1"/>
  <c r="BD507" i="26" s="1"/>
  <c r="BD506" i="26" s="1"/>
  <c r="BD505" i="26" s="1"/>
  <c r="BD504" i="26" s="1"/>
  <c r="BD503" i="26" s="1"/>
  <c r="BD502" i="26" s="1"/>
  <c r="BD501" i="26" s="1"/>
  <c r="BD500" i="26" s="1"/>
  <c r="BD499" i="26" s="1"/>
  <c r="BD498" i="26" s="1"/>
  <c r="BD497" i="26" s="1"/>
  <c r="BD496" i="26" s="1"/>
  <c r="BD495" i="26" s="1"/>
  <c r="BD494" i="26" s="1"/>
  <c r="BD493" i="26" s="1"/>
  <c r="BD492" i="26" s="1"/>
  <c r="BD491" i="26" s="1"/>
  <c r="BD490" i="26" s="1"/>
  <c r="BD489" i="26" s="1"/>
  <c r="BD488" i="26" s="1"/>
  <c r="BD487" i="26" s="1"/>
  <c r="BD486" i="26" s="1"/>
  <c r="BD485" i="26" s="1"/>
  <c r="BD484" i="26" s="1"/>
  <c r="BD483" i="26" s="1"/>
  <c r="BD482" i="26" s="1"/>
  <c r="BD481" i="26" s="1"/>
  <c r="BD480" i="26" s="1"/>
  <c r="BD479" i="26" s="1"/>
  <c r="BD478" i="26" s="1"/>
  <c r="BD477" i="26" s="1"/>
  <c r="BD476" i="26" s="1"/>
  <c r="BD475" i="26" s="1"/>
  <c r="BD474" i="26" s="1"/>
  <c r="BD473" i="26" s="1"/>
  <c r="BD472" i="26" s="1"/>
  <c r="BD471" i="26" s="1"/>
  <c r="BD470" i="26" s="1"/>
  <c r="BD469" i="26" s="1"/>
  <c r="BD468" i="26" s="1"/>
  <c r="BD467" i="26" s="1"/>
  <c r="BD466" i="26" s="1"/>
  <c r="BD465" i="26" s="1"/>
  <c r="BD464" i="26" s="1"/>
  <c r="BD463" i="26" s="1"/>
  <c r="BD462" i="26" s="1"/>
  <c r="BD461" i="26" s="1"/>
  <c r="BD460" i="26" s="1"/>
  <c r="BD459" i="26" s="1"/>
  <c r="BD458" i="26" s="1"/>
  <c r="BD457" i="26" s="1"/>
  <c r="BD456" i="26" s="1"/>
  <c r="BD455" i="26" s="1"/>
  <c r="BD454" i="26" s="1"/>
  <c r="BD453" i="26" s="1"/>
  <c r="BD452" i="26" s="1"/>
  <c r="BD451" i="26" s="1"/>
  <c r="BD450" i="26" s="1"/>
  <c r="BD449" i="26" s="1"/>
  <c r="BD448" i="26" s="1"/>
  <c r="BD447" i="26" s="1"/>
  <c r="BD446" i="26" s="1"/>
  <c r="BD445" i="26" s="1"/>
  <c r="BD444" i="26" s="1"/>
  <c r="BD443" i="26" s="1"/>
  <c r="BD442" i="26" s="1"/>
  <c r="BD441" i="26" s="1"/>
  <c r="BD440" i="26" s="1"/>
  <c r="BD439" i="26" s="1"/>
  <c r="BD438" i="26" s="1"/>
  <c r="BD437" i="26" s="1"/>
  <c r="BD436" i="26" s="1"/>
  <c r="BD435" i="26" s="1"/>
  <c r="BD434" i="26" s="1"/>
  <c r="BD433" i="26" s="1"/>
  <c r="BD432" i="26" s="1"/>
  <c r="BD431" i="26" s="1"/>
  <c r="BD430" i="26" s="1"/>
  <c r="BD429" i="26" s="1"/>
  <c r="BD428" i="26" s="1"/>
  <c r="BD427" i="26" s="1"/>
  <c r="BD426" i="26" s="1"/>
  <c r="BD425" i="26" s="1"/>
  <c r="BD424" i="26" s="1"/>
  <c r="BD423" i="26" s="1"/>
  <c r="BD422" i="26" s="1"/>
  <c r="BD421" i="26" s="1"/>
  <c r="BD420" i="26" s="1"/>
  <c r="BD419" i="26" s="1"/>
  <c r="BD418" i="26" s="1"/>
  <c r="BD417" i="26" s="1"/>
  <c r="BD416" i="26" s="1"/>
  <c r="BD415" i="26" s="1"/>
  <c r="BD414" i="26" s="1"/>
  <c r="BD413" i="26" s="1"/>
  <c r="BD412" i="26" s="1"/>
  <c r="BD411" i="26" s="1"/>
  <c r="BD410" i="26" s="1"/>
  <c r="BD409" i="26" s="1"/>
  <c r="BD408" i="26" s="1"/>
  <c r="BD407" i="26" s="1"/>
  <c r="BD406" i="26" s="1"/>
  <c r="BD405" i="26" s="1"/>
  <c r="BD404" i="26" s="1"/>
  <c r="BD403" i="26" s="1"/>
  <c r="BD402" i="26" s="1"/>
  <c r="BD401" i="26" s="1"/>
  <c r="BD400" i="26" s="1"/>
  <c r="BD399" i="26" s="1"/>
  <c r="BD398" i="26" s="1"/>
  <c r="BD397" i="26" s="1"/>
  <c r="BD396" i="26" s="1"/>
  <c r="BD395" i="26" s="1"/>
  <c r="BD394" i="26" s="1"/>
  <c r="BD393" i="26" s="1"/>
  <c r="BD392" i="26" s="1"/>
  <c r="BD391" i="26" s="1"/>
  <c r="BD390" i="26" s="1"/>
  <c r="BD389" i="26" s="1"/>
  <c r="BD388" i="26" s="1"/>
  <c r="BD387" i="26" s="1"/>
  <c r="BD386" i="26" s="1"/>
  <c r="BD385" i="26" s="1"/>
  <c r="BD384" i="26" s="1"/>
  <c r="BD383" i="26" s="1"/>
  <c r="BD382" i="26" s="1"/>
  <c r="BD381" i="26" s="1"/>
  <c r="BD380" i="26" s="1"/>
  <c r="BD379" i="26" s="1"/>
  <c r="BD378" i="26" s="1"/>
  <c r="BD377" i="26" s="1"/>
  <c r="BD376" i="26" s="1"/>
  <c r="BD375" i="26" s="1"/>
  <c r="BD374" i="26" s="1"/>
  <c r="BD373" i="26" s="1"/>
  <c r="BD372" i="26" s="1"/>
  <c r="BD371" i="26" s="1"/>
  <c r="BD370" i="26" s="1"/>
  <c r="BD369" i="26" s="1"/>
  <c r="BD368" i="26" s="1"/>
  <c r="BD367" i="26" s="1"/>
  <c r="BD366" i="26" s="1"/>
  <c r="BD365" i="26" s="1"/>
  <c r="BD364" i="26" s="1"/>
  <c r="BD363" i="26" s="1"/>
  <c r="BD362" i="26" s="1"/>
  <c r="BD361" i="26" s="1"/>
  <c r="BD360" i="26" s="1"/>
  <c r="BD359" i="26" s="1"/>
  <c r="BD358" i="26" s="1"/>
  <c r="BD357" i="26" s="1"/>
  <c r="BD356" i="26" s="1"/>
  <c r="BD355" i="26" s="1"/>
  <c r="BD354" i="26" s="1"/>
  <c r="BD353" i="26" s="1"/>
  <c r="BD352" i="26" s="1"/>
  <c r="BD351" i="26" s="1"/>
  <c r="BD350" i="26" s="1"/>
  <c r="BD349" i="26" s="1"/>
  <c r="BD348" i="26" s="1"/>
  <c r="BD347" i="26" s="1"/>
  <c r="BD346" i="26" s="1"/>
  <c r="BD345" i="26" s="1"/>
  <c r="BD344" i="26" s="1"/>
  <c r="BD343" i="26" s="1"/>
  <c r="BD342" i="26" s="1"/>
  <c r="BD341" i="26" s="1"/>
  <c r="BD340" i="26" s="1"/>
  <c r="BD339" i="26" s="1"/>
  <c r="BD338" i="26" s="1"/>
  <c r="BD337" i="26" s="1"/>
  <c r="BD336" i="26" s="1"/>
  <c r="BD335" i="26" s="1"/>
  <c r="BD334" i="26" s="1"/>
  <c r="BD333" i="26" s="1"/>
  <c r="BD332" i="26" s="1"/>
  <c r="BD331" i="26" s="1"/>
  <c r="BD330" i="26" s="1"/>
  <c r="BD329" i="26" s="1"/>
  <c r="BD328" i="26" s="1"/>
  <c r="BD327" i="26" s="1"/>
  <c r="BD326" i="26" s="1"/>
  <c r="BD325" i="26" s="1"/>
  <c r="BD324" i="26" s="1"/>
  <c r="BD323" i="26" s="1"/>
  <c r="BD322" i="26" s="1"/>
  <c r="BD321" i="26" s="1"/>
  <c r="BD320" i="26" s="1"/>
  <c r="BD319" i="26" s="1"/>
  <c r="BD318" i="26" s="1"/>
  <c r="BD317" i="26" s="1"/>
  <c r="BD316" i="26" s="1"/>
  <c r="BD315" i="26" s="1"/>
  <c r="BD314" i="26" s="1"/>
  <c r="BD313" i="26" s="1"/>
  <c r="BD312" i="26" s="1"/>
  <c r="BD311" i="26" s="1"/>
  <c r="BD310" i="26" s="1"/>
  <c r="BD309" i="26" s="1"/>
  <c r="BD308" i="26" s="1"/>
  <c r="BD307" i="26" s="1"/>
  <c r="BD306" i="26" s="1"/>
  <c r="BD305" i="26" s="1"/>
  <c r="BD304" i="26" s="1"/>
  <c r="BD303" i="26" s="1"/>
  <c r="BD302" i="26" s="1"/>
  <c r="BD301" i="26" s="1"/>
  <c r="BD300" i="26" s="1"/>
  <c r="BD299" i="26" s="1"/>
  <c r="BD298" i="26" s="1"/>
  <c r="BD297" i="26" s="1"/>
  <c r="BD296" i="26" s="1"/>
  <c r="BD295" i="26" s="1"/>
  <c r="BD294" i="26" s="1"/>
  <c r="BD293" i="26" s="1"/>
  <c r="BD292" i="26" s="1"/>
  <c r="BD291" i="26" s="1"/>
  <c r="BD290" i="26" s="1"/>
  <c r="BD289" i="26" s="1"/>
  <c r="BD288" i="26" s="1"/>
  <c r="BD287" i="26" s="1"/>
  <c r="BD286" i="26" s="1"/>
  <c r="BD285" i="26" s="1"/>
  <c r="BD284" i="26" s="1"/>
  <c r="BD283" i="26" s="1"/>
  <c r="BD282" i="26" s="1"/>
  <c r="BD281" i="26" s="1"/>
  <c r="BD280" i="26" s="1"/>
  <c r="BD279" i="26" s="1"/>
  <c r="BD278" i="26" s="1"/>
  <c r="BD277" i="26" s="1"/>
  <c r="BD276" i="26" s="1"/>
  <c r="BD275" i="26" s="1"/>
  <c r="BD274" i="26" s="1"/>
  <c r="BD273" i="26" s="1"/>
  <c r="BD272" i="26" s="1"/>
  <c r="BD271" i="26" s="1"/>
  <c r="BD270" i="26" s="1"/>
  <c r="BD269" i="26" s="1"/>
  <c r="BD268" i="26" s="1"/>
  <c r="BD267" i="26" s="1"/>
  <c r="BD266" i="26" s="1"/>
  <c r="BD265" i="26" s="1"/>
  <c r="BD264" i="26" s="1"/>
  <c r="BD263" i="26" s="1"/>
  <c r="BD262" i="26" s="1"/>
  <c r="BD261" i="26" s="1"/>
  <c r="BD260" i="26" s="1"/>
  <c r="BD259" i="26" s="1"/>
  <c r="BD258" i="26" s="1"/>
  <c r="BD257" i="26" s="1"/>
  <c r="BD256" i="26" s="1"/>
  <c r="BD255" i="26" s="1"/>
  <c r="BD254" i="26" s="1"/>
  <c r="BD253" i="26" s="1"/>
  <c r="BD252" i="26" s="1"/>
  <c r="BD251" i="26" s="1"/>
  <c r="BD250" i="26" s="1"/>
  <c r="BD249" i="26" s="1"/>
  <c r="BD248" i="26" s="1"/>
  <c r="BD247" i="26" s="1"/>
  <c r="BD246" i="26" s="1"/>
  <c r="BD245" i="26" s="1"/>
  <c r="BD244" i="26" s="1"/>
  <c r="BD243" i="26" s="1"/>
  <c r="BD242" i="26" s="1"/>
  <c r="BD241" i="26" s="1"/>
  <c r="BD240" i="26" s="1"/>
  <c r="BD239" i="26" s="1"/>
  <c r="BD238" i="26" s="1"/>
  <c r="BD237" i="26" s="1"/>
  <c r="BD236" i="26" s="1"/>
  <c r="BD235" i="26" s="1"/>
  <c r="BD234" i="26" s="1"/>
  <c r="BD233" i="26" s="1"/>
  <c r="BD232" i="26" s="1"/>
  <c r="BD231" i="26" s="1"/>
  <c r="BD230" i="26" s="1"/>
  <c r="BD229" i="26" s="1"/>
  <c r="BD228" i="26" s="1"/>
  <c r="BD227" i="26" s="1"/>
  <c r="BD226" i="26" s="1"/>
  <c r="BD225" i="26" s="1"/>
  <c r="BD224" i="26" s="1"/>
  <c r="BD223" i="26" s="1"/>
  <c r="BD222" i="26" s="1"/>
  <c r="BD221" i="26" s="1"/>
  <c r="BD220" i="26" s="1"/>
  <c r="BD219" i="26" s="1"/>
  <c r="BD218" i="26" s="1"/>
  <c r="BD217" i="26" s="1"/>
  <c r="BD216" i="26" s="1"/>
  <c r="BD215" i="26" s="1"/>
  <c r="BD214" i="26" s="1"/>
  <c r="BD213" i="26" s="1"/>
  <c r="BD212" i="26" s="1"/>
  <c r="BD211" i="26" s="1"/>
  <c r="BD210" i="26" s="1"/>
  <c r="BD209" i="26" s="1"/>
  <c r="BD208" i="26" s="1"/>
  <c r="BD207" i="26" s="1"/>
  <c r="BD206" i="26" s="1"/>
  <c r="BD205" i="26" s="1"/>
  <c r="BD204" i="26" s="1"/>
  <c r="BD203" i="26" s="1"/>
  <c r="BD202" i="26" s="1"/>
  <c r="BD201" i="26" s="1"/>
  <c r="BD200" i="26" s="1"/>
  <c r="BD199" i="26" s="1"/>
  <c r="BD198" i="26" s="1"/>
  <c r="BD197" i="26" s="1"/>
  <c r="BD196" i="26" s="1"/>
  <c r="BD195" i="26" s="1"/>
  <c r="BD194" i="26" s="1"/>
  <c r="BD193" i="26" s="1"/>
  <c r="BD192" i="26" s="1"/>
  <c r="BD191" i="26" s="1"/>
  <c r="BD190" i="26" s="1"/>
  <c r="BD189" i="26" s="1"/>
  <c r="BD188" i="26" s="1"/>
  <c r="BD187" i="26" s="1"/>
  <c r="BD186" i="26" s="1"/>
  <c r="BD185" i="26" s="1"/>
  <c r="BD184" i="26" s="1"/>
  <c r="BD183" i="26" s="1"/>
  <c r="BD182" i="26" s="1"/>
  <c r="BD181" i="26" s="1"/>
  <c r="BD180" i="26" s="1"/>
  <c r="BD179" i="26" s="1"/>
  <c r="BD178" i="26" s="1"/>
  <c r="BD177" i="26" s="1"/>
  <c r="BD176" i="26" s="1"/>
  <c r="BD175" i="26" s="1"/>
  <c r="BD174" i="26" s="1"/>
  <c r="BD173" i="26" s="1"/>
  <c r="BD172" i="26" s="1"/>
  <c r="BD171" i="26" s="1"/>
  <c r="BD170" i="26" s="1"/>
  <c r="BD169" i="26" s="1"/>
  <c r="BD168" i="26" s="1"/>
  <c r="BD167" i="26" s="1"/>
  <c r="BD166" i="26" s="1"/>
  <c r="BD165" i="26" s="1"/>
  <c r="BD164" i="26" s="1"/>
  <c r="BD163" i="26" s="1"/>
  <c r="BD162" i="26" s="1"/>
  <c r="BD161" i="26" s="1"/>
  <c r="BD160" i="26" s="1"/>
  <c r="BD159" i="26" s="1"/>
  <c r="BD158" i="26" s="1"/>
  <c r="BD157" i="26" s="1"/>
  <c r="BD156" i="26" s="1"/>
  <c r="BD155" i="26" s="1"/>
  <c r="BD154" i="26" s="1"/>
  <c r="BD153" i="26" s="1"/>
  <c r="BD152" i="26" s="1"/>
  <c r="BD151" i="26" s="1"/>
  <c r="BD150" i="26" s="1"/>
  <c r="BD149" i="26" s="1"/>
  <c r="BD148" i="26" s="1"/>
  <c r="BD147" i="26" s="1"/>
  <c r="BD146" i="26" s="1"/>
  <c r="BD145" i="26" s="1"/>
  <c r="BD144" i="26" s="1"/>
  <c r="BD143" i="26" s="1"/>
  <c r="BD142" i="26" s="1"/>
  <c r="BD141" i="26" s="1"/>
  <c r="BD140" i="26" s="1"/>
  <c r="BD139" i="26" s="1"/>
  <c r="BD138" i="26" s="1"/>
  <c r="BD137" i="26" s="1"/>
  <c r="BD136" i="26" s="1"/>
  <c r="BD135" i="26" s="1"/>
  <c r="BD134" i="26" s="1"/>
  <c r="BD133" i="26" s="1"/>
  <c r="BD132" i="26" s="1"/>
  <c r="BD131" i="26" s="1"/>
  <c r="BD130" i="26" s="1"/>
  <c r="BD129" i="26" s="1"/>
  <c r="BD128" i="26" s="1"/>
  <c r="BD127" i="26" s="1"/>
  <c r="BD126" i="26" s="1"/>
  <c r="BD125" i="26" s="1"/>
  <c r="BD124" i="26" s="1"/>
  <c r="BD123" i="26" s="1"/>
  <c r="BD122" i="26" s="1"/>
  <c r="BD121" i="26" s="1"/>
  <c r="BD120" i="26" s="1"/>
  <c r="BD119" i="26" s="1"/>
  <c r="BD118" i="26" s="1"/>
  <c r="BD117" i="26" s="1"/>
  <c r="BD116" i="26" s="1"/>
  <c r="BD115" i="26" s="1"/>
  <c r="BD114" i="26" s="1"/>
  <c r="BD113" i="26" s="1"/>
  <c r="BD112" i="26" s="1"/>
  <c r="BD111" i="26" s="1"/>
  <c r="BD110" i="26" s="1"/>
  <c r="BD109" i="26" s="1"/>
  <c r="BD108" i="26" s="1"/>
  <c r="BD107" i="26" s="1"/>
  <c r="BD106" i="26" s="1"/>
  <c r="BD105" i="26" s="1"/>
  <c r="BD104" i="26" s="1"/>
  <c r="BD103" i="26" s="1"/>
  <c r="BD102" i="26" s="1"/>
  <c r="BD101" i="26" s="1"/>
  <c r="BD100" i="26" s="1"/>
  <c r="BD99" i="26" s="1"/>
  <c r="BD98" i="26" s="1"/>
  <c r="BD97" i="26" s="1"/>
  <c r="BD96" i="26" s="1"/>
  <c r="BD95" i="26" s="1"/>
  <c r="BD94" i="26" s="1"/>
  <c r="BD93" i="26" s="1"/>
  <c r="BD92" i="26" s="1"/>
  <c r="BD91" i="26" s="1"/>
  <c r="BD90" i="26" s="1"/>
  <c r="BD89" i="26" s="1"/>
  <c r="BD88" i="26" s="1"/>
  <c r="BD87" i="26" s="1"/>
  <c r="BD86" i="26" s="1"/>
  <c r="BD85" i="26" s="1"/>
  <c r="BD84" i="26" s="1"/>
  <c r="BD83" i="26" s="1"/>
  <c r="BD82" i="26" s="1"/>
  <c r="BD81" i="26" s="1"/>
  <c r="BD80" i="26" s="1"/>
  <c r="BD79" i="26" s="1"/>
  <c r="BD78" i="26" s="1"/>
  <c r="BD77" i="26" s="1"/>
  <c r="BD76" i="26" s="1"/>
  <c r="BD75" i="26" s="1"/>
  <c r="BD74" i="26" s="1"/>
  <c r="BD73" i="26" s="1"/>
  <c r="BD72" i="26" s="1"/>
  <c r="BD71" i="26" s="1"/>
  <c r="BD70" i="26" s="1"/>
  <c r="BD69" i="26" s="1"/>
  <c r="BD68" i="26" s="1"/>
  <c r="BD67" i="26" s="1"/>
  <c r="BD66" i="26" s="1"/>
  <c r="BD65" i="26" s="1"/>
  <c r="BD64" i="26" s="1"/>
  <c r="BD63" i="26" s="1"/>
  <c r="BD62" i="26" s="1"/>
  <c r="BD61" i="26" s="1"/>
  <c r="BD60" i="26" s="1"/>
  <c r="BD59" i="26" s="1"/>
  <c r="BD58" i="26" s="1"/>
  <c r="BD57" i="26" s="1"/>
  <c r="BD56" i="26" s="1"/>
  <c r="BD55" i="26" s="1"/>
  <c r="BD54" i="26" s="1"/>
  <c r="BD53" i="26" s="1"/>
  <c r="BD52" i="26" s="1"/>
  <c r="BD51" i="26" s="1"/>
  <c r="BD50" i="26" s="1"/>
  <c r="BD49" i="26" s="1"/>
  <c r="BD48" i="26" s="1"/>
  <c r="BD47" i="26" s="1"/>
  <c r="BD46" i="26" s="1"/>
  <c r="BD45" i="26" s="1"/>
  <c r="BD44" i="26" s="1"/>
  <c r="BD43" i="26" s="1"/>
  <c r="BD42" i="26" s="1"/>
  <c r="BD41" i="26" s="1"/>
  <c r="BD40" i="26" s="1"/>
  <c r="BD39" i="26" s="1"/>
  <c r="BD38" i="26" s="1"/>
  <c r="BD37" i="26" s="1"/>
  <c r="BD36" i="26" s="1"/>
  <c r="BD35" i="26" s="1"/>
  <c r="BD34" i="26" s="1"/>
  <c r="BD33" i="26" s="1"/>
  <c r="BD32" i="26" s="1"/>
  <c r="BD31" i="26" s="1"/>
  <c r="BD30" i="26" s="1"/>
  <c r="BD29" i="26" s="1"/>
  <c r="BD28" i="26" s="1"/>
  <c r="BD27" i="26" s="1"/>
  <c r="BD26" i="26" s="1"/>
  <c r="BD25" i="26" s="1"/>
  <c r="BD24" i="26" s="1"/>
  <c r="BD23" i="26" s="1"/>
  <c r="BD22" i="26" s="1"/>
  <c r="BD21" i="26" s="1"/>
  <c r="BD20" i="26" s="1"/>
  <c r="BD19" i="26" s="1"/>
  <c r="BD18" i="26" s="1"/>
  <c r="BD17" i="26" s="1"/>
  <c r="BD16" i="26" s="1"/>
  <c r="BD15" i="26" s="1"/>
  <c r="BD14" i="26" s="1"/>
  <c r="BD13" i="26" s="1"/>
  <c r="BD12" i="26" s="1"/>
  <c r="BD11" i="26" s="1"/>
  <c r="BD10" i="26" s="1"/>
  <c r="BD9" i="26" s="1"/>
  <c r="BD8" i="26" s="1"/>
  <c r="BD7" i="26" s="1"/>
  <c r="BD6" i="26" s="1"/>
  <c r="BD5" i="26" s="1"/>
  <c r="AU919" i="26"/>
  <c r="AR919" i="26" s="1"/>
  <c r="BK919" i="26"/>
  <c r="X919" i="26"/>
  <c r="AW919" i="26"/>
  <c r="AM919" i="26"/>
  <c r="G919" i="26"/>
  <c r="W919" i="26"/>
  <c r="BT916" i="26"/>
  <c r="BX916" i="26" s="1"/>
  <c r="AV916" i="55"/>
  <c r="S919" i="26"/>
  <c r="T919" i="26" s="1"/>
  <c r="V919" i="26"/>
  <c r="R919" i="26"/>
  <c r="L919" i="26"/>
  <c r="Q919" i="26"/>
  <c r="C919" i="26"/>
  <c r="AO919" i="26"/>
  <c r="BI916" i="26"/>
  <c r="AP919" i="26"/>
  <c r="AV919" i="26"/>
  <c r="AY919" i="26"/>
  <c r="BA919" i="26" s="1"/>
  <c r="BT919" i="26"/>
  <c r="E1206" i="55"/>
  <c r="AL309" i="55"/>
  <c r="AT919" i="26" l="1"/>
  <c r="K919" i="26"/>
  <c r="M919" i="26" s="1"/>
  <c r="N919" i="26" s="1"/>
  <c r="AJ919" i="26"/>
  <c r="AK919" i="26" s="1"/>
  <c r="A919" i="26"/>
  <c r="BF919" i="26"/>
  <c r="BC919" i="26"/>
  <c r="AV919" i="55" s="1"/>
  <c r="H919" i="26"/>
  <c r="AS919" i="26"/>
  <c r="BJ919" i="26" s="1"/>
  <c r="B919" i="26"/>
  <c r="D919" i="26" s="1"/>
  <c r="E920" i="26" s="1"/>
  <c r="AM920" i="26" s="1"/>
  <c r="BL919" i="26"/>
  <c r="F919" i="26"/>
  <c r="O919" i="26"/>
  <c r="AX919" i="26"/>
  <c r="U919" i="26"/>
  <c r="AF919" i="26" s="1"/>
  <c r="P919" i="26"/>
  <c r="S920" i="26"/>
  <c r="T920" i="26" s="1"/>
  <c r="BM916" i="26"/>
  <c r="BQ915" i="26" s="1"/>
  <c r="W920" i="26"/>
  <c r="K920" i="26"/>
  <c r="M920" i="26" s="1"/>
  <c r="G920" i="26"/>
  <c r="A920" i="26"/>
  <c r="C920" i="26"/>
  <c r="L920" i="26"/>
  <c r="B920" i="26"/>
  <c r="D920" i="26" s="1"/>
  <c r="O920" i="26"/>
  <c r="AP920" i="26"/>
  <c r="F920" i="26"/>
  <c r="AF920" i="26"/>
  <c r="AS920" i="26"/>
  <c r="BJ920" i="26" s="1"/>
  <c r="X920" i="26"/>
  <c r="R920" i="26"/>
  <c r="P920" i="26"/>
  <c r="AU920" i="26"/>
  <c r="AW920" i="26"/>
  <c r="AR920" i="26"/>
  <c r="BL920" i="26"/>
  <c r="O1206" i="55"/>
  <c r="AL1206" i="55"/>
  <c r="AI1206" i="55"/>
  <c r="P1206" i="55"/>
  <c r="Q1206" i="55"/>
  <c r="K1206" i="55"/>
  <c r="AF1206" i="55"/>
  <c r="AG1206" i="55"/>
  <c r="AD1206" i="55"/>
  <c r="Z1206" i="55"/>
  <c r="AK1206" i="55"/>
  <c r="AO1206" i="55"/>
  <c r="I1206" i="55"/>
  <c r="AB1206" i="55"/>
  <c r="V1206" i="55"/>
  <c r="D1206" i="55"/>
  <c r="C1206" i="55"/>
  <c r="M1206" i="55"/>
  <c r="AN1206" i="55"/>
  <c r="AC1206" i="55"/>
  <c r="AH1206" i="55"/>
  <c r="A1206" i="55"/>
  <c r="B1206" i="55"/>
  <c r="U1206" i="55"/>
  <c r="X1206" i="55"/>
  <c r="AT1206" i="55"/>
  <c r="AM1206" i="55"/>
  <c r="L1206" i="55"/>
  <c r="G1206" i="55"/>
  <c r="H1206" i="55"/>
  <c r="N1206" i="55"/>
  <c r="AQ1206" i="55"/>
  <c r="W1206" i="55"/>
  <c r="S1206" i="55"/>
  <c r="AL308" i="55"/>
  <c r="AX920" i="26" l="1"/>
  <c r="N920" i="26"/>
  <c r="AJ920" i="26"/>
  <c r="AK920" i="26" s="1"/>
  <c r="BK920" i="26"/>
  <c r="AO920" i="26"/>
  <c r="AT920" i="26" s="1"/>
  <c r="Q920" i="26"/>
  <c r="H920" i="26"/>
  <c r="V920" i="26"/>
  <c r="BF920" i="26"/>
  <c r="BC920" i="26"/>
  <c r="AV920" i="55" s="1"/>
  <c r="BD920" i="26"/>
  <c r="BU920" i="26"/>
  <c r="BP916" i="26"/>
  <c r="BR916" i="26" s="1"/>
  <c r="BO915" i="26"/>
  <c r="BW915" i="26"/>
  <c r="BX915" i="26" s="1"/>
  <c r="BN915" i="26"/>
  <c r="BI915" i="26"/>
  <c r="U920" i="26"/>
  <c r="E921" i="26"/>
  <c r="BD921" i="26" s="1"/>
  <c r="AV920" i="26"/>
  <c r="AY920" i="26" s="1"/>
  <c r="BA920" i="26" s="1"/>
  <c r="BT920" i="26"/>
  <c r="AM921" i="26"/>
  <c r="AU921" i="26" s="1"/>
  <c r="AJ921" i="26"/>
  <c r="AK921" i="26" s="1"/>
  <c r="E1207" i="55"/>
  <c r="AL307" i="55"/>
  <c r="V921" i="26" l="1"/>
  <c r="BF921" i="26"/>
  <c r="BC921" i="26"/>
  <c r="BU921" i="26"/>
  <c r="N921" i="26"/>
  <c r="S921" i="26"/>
  <c r="T921" i="26" s="1"/>
  <c r="BM915" i="26"/>
  <c r="BQ914" i="26" s="1"/>
  <c r="P921" i="26"/>
  <c r="W921" i="26"/>
  <c r="AO921" i="26"/>
  <c r="AS921" i="26"/>
  <c r="BJ921" i="26" s="1"/>
  <c r="B921" i="26"/>
  <c r="H921" i="26"/>
  <c r="A921" i="26"/>
  <c r="Q921" i="26"/>
  <c r="L921" i="26"/>
  <c r="C921" i="26"/>
  <c r="U921" i="26"/>
  <c r="K921" i="26"/>
  <c r="M921" i="26" s="1"/>
  <c r="G921" i="26"/>
  <c r="D921" i="26"/>
  <c r="O921" i="26" s="1"/>
  <c r="AF921" i="26"/>
  <c r="AT921" i="26"/>
  <c r="AP921" i="26"/>
  <c r="F921" i="26"/>
  <c r="R921" i="26" s="1"/>
  <c r="X921" i="26"/>
  <c r="BK921" i="26" s="1"/>
  <c r="AW921" i="26"/>
  <c r="AR921" i="26"/>
  <c r="BL921" i="26"/>
  <c r="AX921" i="26"/>
  <c r="O1207" i="55"/>
  <c r="AK1207" i="55"/>
  <c r="AF1207" i="55"/>
  <c r="AO1207" i="55"/>
  <c r="AI1207" i="55"/>
  <c r="Q1207" i="55"/>
  <c r="P1207" i="55"/>
  <c r="K1207" i="55"/>
  <c r="Z1207" i="55"/>
  <c r="AD1207" i="55"/>
  <c r="AG1207" i="55"/>
  <c r="AL1207" i="55"/>
  <c r="G1207" i="55"/>
  <c r="AB1207" i="55"/>
  <c r="L1207" i="55"/>
  <c r="U1207" i="55"/>
  <c r="AM1207" i="55"/>
  <c r="B1207" i="55"/>
  <c r="S1207" i="55"/>
  <c r="V1207" i="55"/>
  <c r="W1207" i="55"/>
  <c r="X1207" i="55"/>
  <c r="A1207" i="55"/>
  <c r="H1207" i="55"/>
  <c r="N1207" i="55"/>
  <c r="AN1207" i="55"/>
  <c r="AC1207" i="55"/>
  <c r="C1207" i="55"/>
  <c r="M1207" i="55"/>
  <c r="AQ1207" i="55"/>
  <c r="D1207" i="55"/>
  <c r="AT1207" i="55"/>
  <c r="AH1207" i="55"/>
  <c r="I1207" i="55"/>
  <c r="AL306" i="55"/>
  <c r="BP915" i="26" l="1"/>
  <c r="BR915" i="26" s="1"/>
  <c r="BW914" i="26"/>
  <c r="BX914" i="26" s="1"/>
  <c r="BO914" i="26"/>
  <c r="BN914" i="26"/>
  <c r="BI914" i="26"/>
  <c r="E922" i="26"/>
  <c r="BD922" i="26" s="1"/>
  <c r="AV921" i="26"/>
  <c r="AY921" i="26" s="1"/>
  <c r="BA921" i="26" s="1"/>
  <c r="AV921" i="55"/>
  <c r="BT921" i="26"/>
  <c r="E1208" i="55"/>
  <c r="AL305" i="55"/>
  <c r="BF922" i="26" l="1"/>
  <c r="BC922" i="26"/>
  <c r="BU922" i="26"/>
  <c r="V922" i="26"/>
  <c r="AT922" i="26"/>
  <c r="AX922" i="26"/>
  <c r="K922" i="26"/>
  <c r="M922" i="26" s="1"/>
  <c r="N922" i="26" s="1"/>
  <c r="A922" i="26"/>
  <c r="AM922" i="26"/>
  <c r="AU922" i="26" s="1"/>
  <c r="D922" i="26"/>
  <c r="F922" i="26"/>
  <c r="R922" i="26" s="1"/>
  <c r="S922" i="26"/>
  <c r="T922" i="26" s="1"/>
  <c r="B922" i="26"/>
  <c r="X922" i="26" s="1"/>
  <c r="C922" i="26"/>
  <c r="Q922" i="26"/>
  <c r="BM914" i="26"/>
  <c r="BQ913" i="26" s="1"/>
  <c r="W922" i="26"/>
  <c r="G922" i="26"/>
  <c r="L922" i="26"/>
  <c r="AP922" i="26"/>
  <c r="AS922" i="26"/>
  <c r="BJ922" i="26" s="1"/>
  <c r="H922" i="26"/>
  <c r="U922" i="26"/>
  <c r="O922" i="26"/>
  <c r="AO922" i="26"/>
  <c r="BK922" i="26"/>
  <c r="AF922" i="26"/>
  <c r="P922" i="26"/>
  <c r="AJ922" i="26"/>
  <c r="AK922" i="26" s="1"/>
  <c r="BL922" i="26"/>
  <c r="AW922" i="26"/>
  <c r="AR922" i="26"/>
  <c r="O1208" i="55"/>
  <c r="AO1208" i="55"/>
  <c r="AI1208" i="55"/>
  <c r="Q1208" i="55"/>
  <c r="P1208" i="55"/>
  <c r="K1208" i="55"/>
  <c r="AF1208" i="55"/>
  <c r="AG1208" i="55"/>
  <c r="AK1208" i="55"/>
  <c r="Z1208" i="55"/>
  <c r="AL1208" i="55"/>
  <c r="AD1208" i="55"/>
  <c r="L1208" i="55"/>
  <c r="AN1208" i="55"/>
  <c r="H1208" i="55"/>
  <c r="AM1208" i="55"/>
  <c r="V1208" i="55"/>
  <c r="AB1208" i="55"/>
  <c r="C1208" i="55"/>
  <c r="M1208" i="55"/>
  <c r="D1208" i="55"/>
  <c r="AT1208" i="55"/>
  <c r="AQ1208" i="55"/>
  <c r="N1208" i="55"/>
  <c r="X1208" i="55"/>
  <c r="AH1208" i="55"/>
  <c r="B1208" i="55"/>
  <c r="A1208" i="55"/>
  <c r="S1208" i="55"/>
  <c r="W1208" i="55"/>
  <c r="U1208" i="55"/>
  <c r="G1208" i="55"/>
  <c r="I1208" i="55"/>
  <c r="AC1208" i="55"/>
  <c r="AL304" i="55"/>
  <c r="E923" i="26" l="1"/>
  <c r="BU923" i="26"/>
  <c r="BD923" i="26"/>
  <c r="BP914" i="26"/>
  <c r="BR914" i="26" s="1"/>
  <c r="X923" i="26"/>
  <c r="BK923" i="26" s="1"/>
  <c r="V923" i="26"/>
  <c r="BI913" i="26"/>
  <c r="BW913" i="26"/>
  <c r="BX913" i="26" s="1"/>
  <c r="BO913" i="26"/>
  <c r="BN913" i="26"/>
  <c r="S923" i="26"/>
  <c r="T923" i="26" s="1"/>
  <c r="W923" i="26"/>
  <c r="L923" i="26"/>
  <c r="Q923" i="26"/>
  <c r="R923" i="26"/>
  <c r="G923" i="26"/>
  <c r="C923" i="26"/>
  <c r="AP923" i="26"/>
  <c r="B923" i="26"/>
  <c r="O923" i="26" s="1"/>
  <c r="AO923" i="26"/>
  <c r="AT923" i="26" s="1"/>
  <c r="D923" i="26"/>
  <c r="P923" i="26"/>
  <c r="F923" i="26"/>
  <c r="H923" i="26"/>
  <c r="A923" i="26"/>
  <c r="K923" i="26"/>
  <c r="M923" i="26" s="1"/>
  <c r="AM923" i="26"/>
  <c r="AU923" i="26" s="1"/>
  <c r="U923" i="26"/>
  <c r="AX923" i="26"/>
  <c r="AJ923" i="26"/>
  <c r="AK923" i="26" s="1"/>
  <c r="N923" i="26"/>
  <c r="AF923" i="26"/>
  <c r="AV922" i="55"/>
  <c r="BT922" i="26"/>
  <c r="AY922" i="26"/>
  <c r="BA922" i="26" s="1"/>
  <c r="AV922" i="26"/>
  <c r="AR923" i="26"/>
  <c r="AW923" i="26"/>
  <c r="BL923" i="26"/>
  <c r="E1209" i="55"/>
  <c r="AL303" i="55"/>
  <c r="BF923" i="26" l="1"/>
  <c r="BC923" i="26"/>
  <c r="BM913" i="26"/>
  <c r="BQ912" i="26" s="1"/>
  <c r="AS923" i="26"/>
  <c r="BJ923" i="26" s="1"/>
  <c r="E924" i="26"/>
  <c r="BD924" i="26" s="1"/>
  <c r="AV923" i="26"/>
  <c r="AY923" i="26"/>
  <c r="BA923" i="26" s="1"/>
  <c r="AV923" i="55"/>
  <c r="BT923" i="26"/>
  <c r="O1209" i="55"/>
  <c r="AD1209" i="55"/>
  <c r="AI1209" i="55"/>
  <c r="Q1209" i="55"/>
  <c r="P1209" i="55"/>
  <c r="K1209" i="55"/>
  <c r="AK1209" i="55"/>
  <c r="AL1209" i="55"/>
  <c r="AG1209" i="55"/>
  <c r="Z1209" i="55"/>
  <c r="AO1209" i="55"/>
  <c r="AF1209" i="55"/>
  <c r="W1209" i="55"/>
  <c r="S1209" i="55"/>
  <c r="M1209" i="55"/>
  <c r="D1209" i="55"/>
  <c r="N1209" i="55"/>
  <c r="AT1209" i="55"/>
  <c r="X1209" i="55"/>
  <c r="AN1209" i="55"/>
  <c r="AC1209" i="55"/>
  <c r="H1209" i="55"/>
  <c r="G1209" i="55"/>
  <c r="AH1209" i="55"/>
  <c r="C1209" i="55"/>
  <c r="L1209" i="55"/>
  <c r="AB1209" i="55"/>
  <c r="I1209" i="55"/>
  <c r="A1209" i="55"/>
  <c r="V1209" i="55"/>
  <c r="AQ1209" i="55"/>
  <c r="U1209" i="55"/>
  <c r="AM1209" i="55"/>
  <c r="B1209" i="55"/>
  <c r="AL302" i="55"/>
  <c r="BF924" i="26" l="1"/>
  <c r="BC924" i="26"/>
  <c r="BU924" i="26"/>
  <c r="K924" i="26"/>
  <c r="M924" i="26" s="1"/>
  <c r="V924" i="26"/>
  <c r="O924" i="26"/>
  <c r="BP913" i="26"/>
  <c r="BR913" i="26" s="1"/>
  <c r="BN912" i="26"/>
  <c r="BW912" i="26"/>
  <c r="BX912" i="26" s="1"/>
  <c r="BO912" i="26"/>
  <c r="BI912" i="26"/>
  <c r="P924" i="26"/>
  <c r="G924" i="26"/>
  <c r="AF924" i="26"/>
  <c r="AO924" i="26"/>
  <c r="AT924" i="26" s="1"/>
  <c r="W924" i="26"/>
  <c r="Q924" i="26"/>
  <c r="R924" i="26" s="1"/>
  <c r="BK924" i="26"/>
  <c r="A924" i="26"/>
  <c r="H924" i="26"/>
  <c r="B924" i="26"/>
  <c r="X924" i="26"/>
  <c r="C924" i="26"/>
  <c r="U924" i="26"/>
  <c r="L924" i="26"/>
  <c r="AP924" i="26"/>
  <c r="F924" i="26"/>
  <c r="AS924" i="26"/>
  <c r="BJ924" i="26" s="1"/>
  <c r="D924" i="26"/>
  <c r="AM924" i="26"/>
  <c r="AU924" i="26" s="1"/>
  <c r="AX924" i="26"/>
  <c r="S924" i="26"/>
  <c r="T924" i="26" s="1"/>
  <c r="N924" i="26"/>
  <c r="AJ924" i="26"/>
  <c r="AK924" i="26" s="1"/>
  <c r="E1210" i="55"/>
  <c r="AL301" i="55"/>
  <c r="BM912" i="26" l="1"/>
  <c r="BQ911" i="26" s="1"/>
  <c r="E925" i="26"/>
  <c r="BL924" i="26"/>
  <c r="AR924" i="26"/>
  <c r="AW924" i="26"/>
  <c r="O1210" i="55"/>
  <c r="AL1210" i="55"/>
  <c r="AK1210" i="55"/>
  <c r="AI1210" i="55"/>
  <c r="P1210" i="55"/>
  <c r="Q1210" i="55"/>
  <c r="K1210" i="55"/>
  <c r="AG1210" i="55"/>
  <c r="AF1210" i="55"/>
  <c r="AD1210" i="55"/>
  <c r="Z1210" i="55"/>
  <c r="AO1210" i="55"/>
  <c r="W1210" i="55"/>
  <c r="AC1210" i="55"/>
  <c r="AT1210" i="55"/>
  <c r="A1210" i="55"/>
  <c r="I1210" i="55"/>
  <c r="N1210" i="55"/>
  <c r="AB1210" i="55"/>
  <c r="C1210" i="55"/>
  <c r="V1210" i="55"/>
  <c r="AN1210" i="55"/>
  <c r="G1210" i="55"/>
  <c r="D1210" i="55"/>
  <c r="X1210" i="55"/>
  <c r="M1210" i="55"/>
  <c r="L1210" i="55"/>
  <c r="H1210" i="55"/>
  <c r="S1210" i="55"/>
  <c r="U1210" i="55"/>
  <c r="AM1210" i="55"/>
  <c r="AQ1210" i="55"/>
  <c r="AH1210" i="55"/>
  <c r="B1210" i="55"/>
  <c r="AL300" i="55"/>
  <c r="V925" i="26" l="1"/>
  <c r="BF925" i="26"/>
  <c r="BC925" i="26"/>
  <c r="BD925" i="26"/>
  <c r="BU925" i="26"/>
  <c r="BP912" i="26"/>
  <c r="BR912" i="26" s="1"/>
  <c r="BI911" i="26"/>
  <c r="BW911" i="26"/>
  <c r="BX911" i="26" s="1"/>
  <c r="BO911" i="26"/>
  <c r="BN911" i="26"/>
  <c r="C925" i="26"/>
  <c r="K925" i="26"/>
  <c r="M925" i="26" s="1"/>
  <c r="B925" i="26"/>
  <c r="AO925" i="26"/>
  <c r="AT925" i="26" s="1"/>
  <c r="D925" i="26"/>
  <c r="H925" i="26"/>
  <c r="G925" i="26"/>
  <c r="U925" i="26"/>
  <c r="Q925" i="26"/>
  <c r="F925" i="26"/>
  <c r="BJ925" i="26"/>
  <c r="W925" i="26"/>
  <c r="L925" i="26"/>
  <c r="AP925" i="26"/>
  <c r="AS925" i="26"/>
  <c r="A925" i="26"/>
  <c r="X925" i="26"/>
  <c r="AF925" i="26"/>
  <c r="O925" i="26"/>
  <c r="P925" i="26"/>
  <c r="BK925" i="26"/>
  <c r="N925" i="26"/>
  <c r="R925" i="26"/>
  <c r="AJ925" i="26"/>
  <c r="AK925" i="26" s="1"/>
  <c r="AR925" i="26"/>
  <c r="AV924" i="55"/>
  <c r="BT924" i="26"/>
  <c r="AV924" i="26"/>
  <c r="AY924" i="26" s="1"/>
  <c r="BA924" i="26" s="1"/>
  <c r="AM925" i="26"/>
  <c r="AU925" i="26" s="1"/>
  <c r="S925" i="26"/>
  <c r="T925" i="26" s="1"/>
  <c r="E1211" i="55"/>
  <c r="AL299" i="55"/>
  <c r="BM911" i="26" l="1"/>
  <c r="BQ910" i="26" s="1"/>
  <c r="E926" i="26"/>
  <c r="BL925" i="26"/>
  <c r="AX925" i="26"/>
  <c r="AV925" i="26"/>
  <c r="AY925" i="26" s="1"/>
  <c r="BA925" i="26" s="1"/>
  <c r="AW925" i="26"/>
  <c r="O1211" i="55"/>
  <c r="AK1211" i="55"/>
  <c r="Q1211" i="55"/>
  <c r="AI1211" i="55"/>
  <c r="K1211" i="55"/>
  <c r="P1211" i="55"/>
  <c r="AO1211" i="55"/>
  <c r="Z1211" i="55"/>
  <c r="AD1211" i="55"/>
  <c r="AL1211" i="55"/>
  <c r="AF1211" i="55"/>
  <c r="AG1211" i="55"/>
  <c r="U1211" i="55"/>
  <c r="C1211" i="55"/>
  <c r="V1211" i="55"/>
  <c r="AM1211" i="55"/>
  <c r="AC1211" i="55"/>
  <c r="L1211" i="55"/>
  <c r="N1211" i="55"/>
  <c r="D1211" i="55"/>
  <c r="W1211" i="55"/>
  <c r="H1211" i="55"/>
  <c r="G1211" i="55"/>
  <c r="X1211" i="55"/>
  <c r="AN1211" i="55"/>
  <c r="AB1211" i="55"/>
  <c r="AH1211" i="55"/>
  <c r="M1211" i="55"/>
  <c r="AQ1211" i="55"/>
  <c r="A1211" i="55"/>
  <c r="S1211" i="55"/>
  <c r="AT1211" i="55"/>
  <c r="I1211" i="55"/>
  <c r="B1211" i="55"/>
  <c r="AL298" i="55"/>
  <c r="BF926" i="26" l="1"/>
  <c r="BC926" i="26"/>
  <c r="BD926" i="26"/>
  <c r="BU926" i="26"/>
  <c r="BP911" i="26"/>
  <c r="BR911" i="26" s="1"/>
  <c r="D926" i="26"/>
  <c r="V926" i="26"/>
  <c r="BO910" i="26"/>
  <c r="BI910" i="26"/>
  <c r="BW910" i="26"/>
  <c r="BX910" i="26" s="1"/>
  <c r="BN910" i="26"/>
  <c r="M926" i="26"/>
  <c r="AP926" i="26"/>
  <c r="AT926" i="26" s="1"/>
  <c r="G926" i="26"/>
  <c r="O926" i="26"/>
  <c r="Q926" i="26"/>
  <c r="H926" i="26"/>
  <c r="W926" i="26"/>
  <c r="U926" i="26"/>
  <c r="B926" i="26"/>
  <c r="K926" i="26" s="1"/>
  <c r="F926" i="26"/>
  <c r="R926" i="26" s="1"/>
  <c r="A926" i="26"/>
  <c r="C926" i="26"/>
  <c r="AS926" i="26"/>
  <c r="BJ926" i="26" s="1"/>
  <c r="AO926" i="26"/>
  <c r="L926" i="26"/>
  <c r="X926" i="26"/>
  <c r="BK926" i="26" s="1"/>
  <c r="AF926" i="26"/>
  <c r="AM926" i="26"/>
  <c r="AU926" i="26" s="1"/>
  <c r="P926" i="26"/>
  <c r="AJ926" i="26"/>
  <c r="AK926" i="26" s="1"/>
  <c r="N926" i="26"/>
  <c r="S926" i="26"/>
  <c r="T926" i="26" s="1"/>
  <c r="AV925" i="55"/>
  <c r="BT925" i="26"/>
  <c r="E1212" i="55"/>
  <c r="AL297" i="55"/>
  <c r="E927" i="26" l="1"/>
  <c r="BU927" i="26"/>
  <c r="BD927" i="26"/>
  <c r="B927" i="26"/>
  <c r="V927" i="26"/>
  <c r="L927" i="26"/>
  <c r="BM910" i="26"/>
  <c r="BQ909" i="26" s="1"/>
  <c r="W927" i="26"/>
  <c r="A927" i="26"/>
  <c r="K927" i="26"/>
  <c r="M927" i="26" s="1"/>
  <c r="H927" i="26"/>
  <c r="AF927" i="26"/>
  <c r="Q927" i="26"/>
  <c r="AO927" i="26"/>
  <c r="C927" i="26"/>
  <c r="AJ927" i="26"/>
  <c r="AK927" i="26" s="1"/>
  <c r="N927" i="26"/>
  <c r="R927" i="26"/>
  <c r="AX926" i="26"/>
  <c r="X927" i="26"/>
  <c r="BK927" i="26" s="1"/>
  <c r="F927" i="26"/>
  <c r="AP927" i="26"/>
  <c r="AT927" i="26" s="1"/>
  <c r="G927" i="26"/>
  <c r="BL926" i="26"/>
  <c r="AR926" i="26"/>
  <c r="AW926" i="26"/>
  <c r="D927" i="26"/>
  <c r="O1212" i="55"/>
  <c r="AD1212" i="55"/>
  <c r="AI1212" i="55"/>
  <c r="Q1212" i="55"/>
  <c r="P1212" i="55"/>
  <c r="K1212" i="55"/>
  <c r="AO1212" i="55"/>
  <c r="AL1212" i="55"/>
  <c r="AF1212" i="55"/>
  <c r="Z1212" i="55"/>
  <c r="AG1212" i="55"/>
  <c r="AK1212" i="55"/>
  <c r="AQ1212" i="55"/>
  <c r="X1212" i="55"/>
  <c r="L1212" i="55"/>
  <c r="C1212" i="55"/>
  <c r="AC1212" i="55"/>
  <c r="D1212" i="55"/>
  <c r="H1212" i="55"/>
  <c r="V1212" i="55"/>
  <c r="B1212" i="55"/>
  <c r="S1212" i="55"/>
  <c r="AH1212" i="55"/>
  <c r="AN1212" i="55"/>
  <c r="W1212" i="55"/>
  <c r="U1212" i="55"/>
  <c r="I1212" i="55"/>
  <c r="AT1212" i="55"/>
  <c r="AB1212" i="55"/>
  <c r="A1212" i="55"/>
  <c r="N1212" i="55"/>
  <c r="M1212" i="55"/>
  <c r="AM1212" i="55"/>
  <c r="G1212" i="55"/>
  <c r="AL296" i="55"/>
  <c r="AS927" i="26" l="1"/>
  <c r="BJ927" i="26" s="1"/>
  <c r="BF927" i="26"/>
  <c r="BC927" i="26"/>
  <c r="U927" i="26"/>
  <c r="BN909" i="26"/>
  <c r="BO909" i="26"/>
  <c r="BW909" i="26"/>
  <c r="BX909" i="26" s="1"/>
  <c r="BI909" i="26"/>
  <c r="BP910" i="26"/>
  <c r="BR910" i="26" s="1"/>
  <c r="O927" i="26"/>
  <c r="P927" i="26"/>
  <c r="AY926" i="26"/>
  <c r="BA926" i="26" s="1"/>
  <c r="AV926" i="26"/>
  <c r="E928" i="26"/>
  <c r="AV926" i="55"/>
  <c r="BT926" i="26"/>
  <c r="E1213" i="55"/>
  <c r="AL295" i="55"/>
  <c r="BF928" i="26" l="1"/>
  <c r="BC928" i="26"/>
  <c r="BU928" i="26"/>
  <c r="BD928" i="26"/>
  <c r="L928" i="26"/>
  <c r="V928" i="26"/>
  <c r="C928" i="26"/>
  <c r="Q928" i="26"/>
  <c r="B928" i="26"/>
  <c r="AF928" i="26" s="1"/>
  <c r="BM909" i="26"/>
  <c r="BQ908" i="26" s="1"/>
  <c r="U928" i="26"/>
  <c r="AO928" i="26"/>
  <c r="H928" i="26"/>
  <c r="A928" i="26"/>
  <c r="W928" i="26"/>
  <c r="X928" i="26"/>
  <c r="BK928" i="26"/>
  <c r="AP928" i="26"/>
  <c r="AT928" i="26" s="1"/>
  <c r="F928" i="26"/>
  <c r="R928" i="26" s="1"/>
  <c r="G928" i="26"/>
  <c r="AW927" i="26"/>
  <c r="D928" i="26"/>
  <c r="K928" i="26"/>
  <c r="M928" i="26" s="1"/>
  <c r="S927" i="26"/>
  <c r="T927" i="26" s="1"/>
  <c r="AM927" i="26"/>
  <c r="O1213" i="55"/>
  <c r="Z1213" i="55"/>
  <c r="AF1213" i="55"/>
  <c r="AD1213" i="55"/>
  <c r="Q1213" i="55"/>
  <c r="AI1213" i="55"/>
  <c r="P1213" i="55"/>
  <c r="K1213" i="55"/>
  <c r="AG1213" i="55"/>
  <c r="AO1213" i="55"/>
  <c r="AL1213" i="55"/>
  <c r="AK1213" i="55"/>
  <c r="M1213" i="55"/>
  <c r="AN1213" i="55"/>
  <c r="D1213" i="55"/>
  <c r="AC1213" i="55"/>
  <c r="AM1213" i="55"/>
  <c r="W1213" i="55"/>
  <c r="I1213" i="55"/>
  <c r="A1213" i="55"/>
  <c r="N1213" i="55"/>
  <c r="AQ1213" i="55"/>
  <c r="AB1213" i="55"/>
  <c r="X1213" i="55"/>
  <c r="S1213" i="55"/>
  <c r="V1213" i="55"/>
  <c r="H1213" i="55"/>
  <c r="B1213" i="55"/>
  <c r="AH1213" i="55"/>
  <c r="L1213" i="55"/>
  <c r="G1213" i="55"/>
  <c r="AT1213" i="55"/>
  <c r="U1213" i="55"/>
  <c r="C1213" i="55"/>
  <c r="AL294" i="55"/>
  <c r="AS928" i="26" l="1"/>
  <c r="BJ928" i="26" s="1"/>
  <c r="BD929" i="26"/>
  <c r="BP909" i="26"/>
  <c r="BR909" i="26" s="1"/>
  <c r="BO908" i="26"/>
  <c r="BW908" i="26"/>
  <c r="BX908" i="26" s="1"/>
  <c r="BI908" i="26"/>
  <c r="BN908" i="26"/>
  <c r="E929" i="26"/>
  <c r="BL927" i="26"/>
  <c r="O928" i="26"/>
  <c r="P928" i="26"/>
  <c r="AU927" i="26"/>
  <c r="AX927" i="26"/>
  <c r="N928" i="26"/>
  <c r="AJ928" i="26"/>
  <c r="AK928" i="26" s="1"/>
  <c r="L929" i="26"/>
  <c r="G929" i="26"/>
  <c r="B929" i="26"/>
  <c r="Q929" i="26"/>
  <c r="K929" i="26"/>
  <c r="M929" i="26" s="1"/>
  <c r="N929" i="26" s="1"/>
  <c r="H929" i="26"/>
  <c r="W929" i="26"/>
  <c r="AP929" i="26" s="1"/>
  <c r="C929" i="26"/>
  <c r="E1214" i="55"/>
  <c r="AL293" i="55"/>
  <c r="V929" i="26" l="1"/>
  <c r="BF929" i="26"/>
  <c r="BC929" i="26"/>
  <c r="BU929" i="26"/>
  <c r="A929" i="26"/>
  <c r="BM908" i="26"/>
  <c r="BQ907" i="26" s="1"/>
  <c r="R929" i="26"/>
  <c r="F929" i="26"/>
  <c r="U929" i="26"/>
  <c r="AJ929" i="26"/>
  <c r="AK929" i="26" s="1"/>
  <c r="AV927" i="55"/>
  <c r="BT927" i="26"/>
  <c r="X929" i="26"/>
  <c r="S928" i="26"/>
  <c r="T928" i="26" s="1"/>
  <c r="AM928" i="26"/>
  <c r="AU928" i="26" s="1"/>
  <c r="AR928" i="26" s="1"/>
  <c r="AW928" i="26"/>
  <c r="D929" i="26"/>
  <c r="E930" i="26" s="1"/>
  <c r="AR927" i="26"/>
  <c r="O1214" i="55"/>
  <c r="AF1214" i="55"/>
  <c r="AI1214" i="55"/>
  <c r="P1214" i="55"/>
  <c r="Q1214" i="55"/>
  <c r="K1214" i="55"/>
  <c r="AO1214" i="55"/>
  <c r="Z1214" i="55"/>
  <c r="AD1214" i="55"/>
  <c r="AK1214" i="55"/>
  <c r="AG1214" i="55"/>
  <c r="AL1214" i="55"/>
  <c r="G1214" i="55"/>
  <c r="M1214" i="55"/>
  <c r="AQ1214" i="55"/>
  <c r="U1214" i="55"/>
  <c r="AN1214" i="55"/>
  <c r="AC1214" i="55"/>
  <c r="AB1214" i="55"/>
  <c r="B1214" i="55"/>
  <c r="A1214" i="55"/>
  <c r="C1214" i="55"/>
  <c r="V1214" i="55"/>
  <c r="S1214" i="55"/>
  <c r="L1214" i="55"/>
  <c r="H1214" i="55"/>
  <c r="X1214" i="55"/>
  <c r="AH1214" i="55"/>
  <c r="D1214" i="55"/>
  <c r="AT1214" i="55"/>
  <c r="I1214" i="55"/>
  <c r="AM1214" i="55"/>
  <c r="W1214" i="55"/>
  <c r="N1214" i="55"/>
  <c r="AL292" i="55"/>
  <c r="V930" i="26" l="1"/>
  <c r="BF930" i="26"/>
  <c r="BC930" i="26"/>
  <c r="BD930" i="26"/>
  <c r="BU930" i="26"/>
  <c r="BP908" i="26"/>
  <c r="BR908" i="26" s="1"/>
  <c r="BI907" i="26"/>
  <c r="BW907" i="26"/>
  <c r="BX907" i="26" s="1"/>
  <c r="BN907" i="26"/>
  <c r="BO907" i="26"/>
  <c r="AV928" i="26"/>
  <c r="AV927" i="26"/>
  <c r="AY927" i="26" s="1"/>
  <c r="BA927" i="26" s="1"/>
  <c r="AX928" i="26"/>
  <c r="AY928" i="26" s="1"/>
  <c r="BA928" i="26" s="1"/>
  <c r="AF929" i="26"/>
  <c r="P929" i="26"/>
  <c r="O929" i="26"/>
  <c r="BL928" i="26"/>
  <c r="BK929" i="26"/>
  <c r="AO929" i="26"/>
  <c r="AT929" i="26" s="1"/>
  <c r="H930" i="26"/>
  <c r="L930" i="26"/>
  <c r="K930" i="26"/>
  <c r="M930" i="26" s="1"/>
  <c r="N930" i="26" s="1"/>
  <c r="A930" i="26"/>
  <c r="W930" i="26"/>
  <c r="Q930" i="26"/>
  <c r="C930" i="26"/>
  <c r="B930" i="26"/>
  <c r="E1215" i="55"/>
  <c r="AL291" i="55"/>
  <c r="AS930" i="26" l="1"/>
  <c r="BJ930" i="26" s="1"/>
  <c r="BM907" i="26"/>
  <c r="BQ906" i="26" s="1"/>
  <c r="AO930" i="26"/>
  <c r="AJ930" i="26"/>
  <c r="AK930" i="26" s="1"/>
  <c r="X930" i="26"/>
  <c r="U930" i="26"/>
  <c r="D930" i="26"/>
  <c r="P930" i="26" s="1"/>
  <c r="AF930" i="26"/>
  <c r="F930" i="26"/>
  <c r="R930" i="26" s="1"/>
  <c r="G930" i="26"/>
  <c r="AP930" i="26"/>
  <c r="AV928" i="55"/>
  <c r="BT928" i="26"/>
  <c r="S929" i="26"/>
  <c r="T929" i="26" s="1"/>
  <c r="AM929" i="26"/>
  <c r="O1215" i="55"/>
  <c r="AL1215" i="55"/>
  <c r="AI1215" i="55"/>
  <c r="Q1215" i="55"/>
  <c r="P1215" i="55"/>
  <c r="K1215" i="55"/>
  <c r="AO1215" i="55"/>
  <c r="Z1215" i="55"/>
  <c r="AG1215" i="55"/>
  <c r="AF1215" i="55"/>
  <c r="AD1215" i="55"/>
  <c r="AK1215" i="55"/>
  <c r="G1215" i="55"/>
  <c r="B1215" i="55"/>
  <c r="S1215" i="55"/>
  <c r="C1215" i="55"/>
  <c r="W1215" i="55"/>
  <c r="I1215" i="55"/>
  <c r="AH1215" i="55"/>
  <c r="D1215" i="55"/>
  <c r="V1215" i="55"/>
  <c r="AN1215" i="55"/>
  <c r="L1215" i="55"/>
  <c r="AC1215" i="55"/>
  <c r="U1215" i="55"/>
  <c r="X1215" i="55"/>
  <c r="A1215" i="55"/>
  <c r="N1215" i="55"/>
  <c r="H1215" i="55"/>
  <c r="AQ1215" i="55"/>
  <c r="M1215" i="55"/>
  <c r="AB1215" i="55"/>
  <c r="AM1215" i="55"/>
  <c r="AT1215" i="55"/>
  <c r="AL290" i="55"/>
  <c r="BP907" i="26" l="1"/>
  <c r="BR907" i="26" s="1"/>
  <c r="BI906" i="26"/>
  <c r="BW906" i="26"/>
  <c r="BX906" i="26" s="1"/>
  <c r="BO906" i="26"/>
  <c r="BN906" i="26"/>
  <c r="AU929" i="26"/>
  <c r="AX929" i="26"/>
  <c r="AW929" i="26"/>
  <c r="AT930" i="26"/>
  <c r="BK930" i="26"/>
  <c r="BL929" i="26"/>
  <c r="E931" i="26"/>
  <c r="O930" i="26"/>
  <c r="E1216" i="55"/>
  <c r="AL289" i="55"/>
  <c r="BF931" i="26" l="1"/>
  <c r="BC931" i="26"/>
  <c r="BD931" i="26"/>
  <c r="BU931" i="26"/>
  <c r="H931" i="26"/>
  <c r="V931" i="26"/>
  <c r="BM906" i="26"/>
  <c r="BQ905" i="26" s="1"/>
  <c r="L931" i="26"/>
  <c r="B931" i="26"/>
  <c r="AP931" i="26" s="1"/>
  <c r="C931" i="26"/>
  <c r="AS931" i="26"/>
  <c r="BJ931" i="26"/>
  <c r="AO931" i="26"/>
  <c r="AT931" i="26" s="1"/>
  <c r="Q931" i="26"/>
  <c r="K931" i="26"/>
  <c r="M931" i="26" s="1"/>
  <c r="N931" i="26" s="1"/>
  <c r="BK931" i="26"/>
  <c r="A931" i="26"/>
  <c r="F931" i="26"/>
  <c r="R931" i="26" s="1"/>
  <c r="X931" i="26"/>
  <c r="W931" i="26"/>
  <c r="AF931" i="26"/>
  <c r="D931" i="26"/>
  <c r="G931" i="26"/>
  <c r="P931" i="26"/>
  <c r="AJ931" i="26"/>
  <c r="AK931" i="26" s="1"/>
  <c r="S930" i="26"/>
  <c r="T930" i="26" s="1"/>
  <c r="AM930" i="26"/>
  <c r="AV929" i="55"/>
  <c r="BT929" i="26"/>
  <c r="O1216" i="55"/>
  <c r="AK1216" i="55"/>
  <c r="AG1216" i="55"/>
  <c r="Z1216" i="55"/>
  <c r="AI1216" i="55"/>
  <c r="Q1216" i="55"/>
  <c r="P1216" i="55"/>
  <c r="K1216" i="55"/>
  <c r="AL1216" i="55"/>
  <c r="AF1216" i="55"/>
  <c r="AD1216" i="55"/>
  <c r="AO1216" i="55"/>
  <c r="V1216" i="55"/>
  <c r="S1216" i="55"/>
  <c r="AN1216" i="55"/>
  <c r="H1216" i="55"/>
  <c r="A1216" i="55"/>
  <c r="N1216" i="55"/>
  <c r="D1216" i="55"/>
  <c r="X1216" i="55"/>
  <c r="AQ1216" i="55"/>
  <c r="L1216" i="55"/>
  <c r="W1216" i="55"/>
  <c r="B1216" i="55"/>
  <c r="I1216" i="55"/>
  <c r="AT1216" i="55"/>
  <c r="C1216" i="55"/>
  <c r="M1216" i="55"/>
  <c r="G1216" i="55"/>
  <c r="AM1216" i="55"/>
  <c r="U1216" i="55"/>
  <c r="AH1216" i="55"/>
  <c r="AB1216" i="55"/>
  <c r="AC1216" i="55"/>
  <c r="AL288" i="55"/>
  <c r="U931" i="26" l="1"/>
  <c r="BU932" i="26"/>
  <c r="BN905" i="26"/>
  <c r="BW905" i="26"/>
  <c r="BX905" i="26" s="1"/>
  <c r="BO905" i="26"/>
  <c r="BP906" i="26"/>
  <c r="BR906" i="26" s="1"/>
  <c r="E932" i="26"/>
  <c r="BD932" i="26" s="1"/>
  <c r="O931" i="26"/>
  <c r="AU930" i="26"/>
  <c r="AX930" i="26"/>
  <c r="AW930" i="26"/>
  <c r="AR930" i="26"/>
  <c r="BL930" i="26"/>
  <c r="C932" i="26"/>
  <c r="B932" i="26"/>
  <c r="A932" i="26"/>
  <c r="D932" i="26"/>
  <c r="Q932" i="26"/>
  <c r="R932" i="26" s="1"/>
  <c r="W932" i="26"/>
  <c r="G932" i="26"/>
  <c r="O932" i="26"/>
  <c r="AP932" i="26"/>
  <c r="L932" i="26"/>
  <c r="P932" i="26"/>
  <c r="BK932" i="26"/>
  <c r="X932" i="26"/>
  <c r="H932" i="26"/>
  <c r="AF932" i="26"/>
  <c r="AS932" i="26"/>
  <c r="BJ932" i="26" s="1"/>
  <c r="F932" i="26"/>
  <c r="AO932" i="26"/>
  <c r="AT932" i="26" s="1"/>
  <c r="E1217" i="55"/>
  <c r="AL287" i="55"/>
  <c r="BF932" i="26" l="1"/>
  <c r="BC932" i="26"/>
  <c r="U932" i="26"/>
  <c r="V932" i="26"/>
  <c r="K932" i="26"/>
  <c r="AM932" i="26"/>
  <c r="AU932" i="26" s="1"/>
  <c r="S932" i="26"/>
  <c r="T932" i="26" s="1"/>
  <c r="AX932" i="26"/>
  <c r="AW932" i="26"/>
  <c r="M932" i="26"/>
  <c r="AV930" i="26"/>
  <c r="AY930" i="26" s="1"/>
  <c r="BA930" i="26" s="1"/>
  <c r="AV930" i="55"/>
  <c r="BT930" i="26"/>
  <c r="S931" i="26"/>
  <c r="T931" i="26" s="1"/>
  <c r="AM931" i="26"/>
  <c r="O1217" i="55"/>
  <c r="E933" i="26"/>
  <c r="BU933" i="26" s="1"/>
  <c r="Z1217" i="55"/>
  <c r="AI1217" i="55"/>
  <c r="Q1217" i="55"/>
  <c r="P1217" i="55"/>
  <c r="K1217" i="55"/>
  <c r="AL1217" i="55"/>
  <c r="AD1217" i="55"/>
  <c r="AK1217" i="55"/>
  <c r="AF1217" i="55"/>
  <c r="AG1217" i="55"/>
  <c r="AO1217" i="55"/>
  <c r="A1217" i="55"/>
  <c r="B1217" i="55"/>
  <c r="L1217" i="55"/>
  <c r="D1217" i="55"/>
  <c r="C1217" i="55"/>
  <c r="H1217" i="55"/>
  <c r="S1217" i="55"/>
  <c r="AB1217" i="55"/>
  <c r="V1217" i="55"/>
  <c r="AN1217" i="55"/>
  <c r="I1217" i="55"/>
  <c r="W1217" i="55"/>
  <c r="AM1217" i="55"/>
  <c r="G1217" i="55"/>
  <c r="AH1217" i="55"/>
  <c r="N1217" i="55"/>
  <c r="AQ1217" i="55"/>
  <c r="M1217" i="55"/>
  <c r="U1217" i="55"/>
  <c r="AT1217" i="55"/>
  <c r="X1217" i="55"/>
  <c r="AC1217" i="55"/>
  <c r="AL286" i="55"/>
  <c r="V933" i="26" l="1"/>
  <c r="BF933" i="26"/>
  <c r="BC933" i="26"/>
  <c r="BD933" i="26"/>
  <c r="BL932" i="26"/>
  <c r="AU931" i="26"/>
  <c r="AX931" i="26"/>
  <c r="BL931" i="26"/>
  <c r="AW931" i="26"/>
  <c r="N932" i="26"/>
  <c r="AJ932" i="26"/>
  <c r="AK932" i="26" s="1"/>
  <c r="AR932" i="26"/>
  <c r="C933" i="26"/>
  <c r="W933" i="26"/>
  <c r="U933" i="26"/>
  <c r="Q933" i="26"/>
  <c r="L933" i="26"/>
  <c r="AO933" i="26"/>
  <c r="AF933" i="26"/>
  <c r="H933" i="26"/>
  <c r="B933" i="26"/>
  <c r="F933" i="26" s="1"/>
  <c r="AS933" i="26"/>
  <c r="BJ933" i="26" s="1"/>
  <c r="A933" i="26"/>
  <c r="E1218" i="55"/>
  <c r="AL285" i="55"/>
  <c r="AT933" i="26" l="1"/>
  <c r="R933" i="26"/>
  <c r="AP933" i="26"/>
  <c r="D933" i="26"/>
  <c r="X933" i="26"/>
  <c r="BK933" i="26" s="1"/>
  <c r="P933" i="26"/>
  <c r="AV932" i="26"/>
  <c r="AY932" i="26" s="1"/>
  <c r="BA932" i="26" s="1"/>
  <c r="G933" i="26"/>
  <c r="K933" i="26"/>
  <c r="M933" i="26" s="1"/>
  <c r="AR931" i="26"/>
  <c r="AV931" i="55"/>
  <c r="BT931" i="26"/>
  <c r="O1218" i="55"/>
  <c r="AL1218" i="55"/>
  <c r="AI1218" i="55"/>
  <c r="Q1218" i="55"/>
  <c r="P1218" i="55"/>
  <c r="K1218" i="55"/>
  <c r="AO1218" i="55"/>
  <c r="AK1218" i="55"/>
  <c r="AF1218" i="55"/>
  <c r="AD1218" i="55"/>
  <c r="AG1218" i="55"/>
  <c r="Z1218" i="55"/>
  <c r="L1218" i="55"/>
  <c r="W1218" i="55"/>
  <c r="I1218" i="55"/>
  <c r="X1218" i="55"/>
  <c r="AH1218" i="55"/>
  <c r="U1218" i="55"/>
  <c r="AC1218" i="55"/>
  <c r="G1218" i="55"/>
  <c r="M1218" i="55"/>
  <c r="A1218" i="55"/>
  <c r="AT1218" i="55"/>
  <c r="AQ1218" i="55"/>
  <c r="AN1218" i="55"/>
  <c r="D1218" i="55"/>
  <c r="C1218" i="55"/>
  <c r="H1218" i="55"/>
  <c r="AB1218" i="55"/>
  <c r="AM1218" i="55"/>
  <c r="N1218" i="55"/>
  <c r="S1218" i="55"/>
  <c r="B1218" i="55"/>
  <c r="V1218" i="55"/>
  <c r="AL284" i="55"/>
  <c r="E934" i="26" l="1"/>
  <c r="AV931" i="26"/>
  <c r="AY931" i="26" s="1"/>
  <c r="BA931" i="26" s="1"/>
  <c r="O933" i="26"/>
  <c r="AV932" i="55"/>
  <c r="BT932" i="26"/>
  <c r="N933" i="26"/>
  <c r="AJ933" i="26"/>
  <c r="AK933" i="26" s="1"/>
  <c r="K934" i="26"/>
  <c r="M934" i="26" s="1"/>
  <c r="N934" i="26" s="1"/>
  <c r="X934" i="26"/>
  <c r="W934" i="26"/>
  <c r="B934" i="26"/>
  <c r="H934" i="26"/>
  <c r="G934" i="26"/>
  <c r="AJ934" i="26"/>
  <c r="AK934" i="26" s="1"/>
  <c r="AP934" i="26"/>
  <c r="AS934" i="26"/>
  <c r="BJ934" i="26" s="1"/>
  <c r="E1219" i="55"/>
  <c r="AL283" i="55"/>
  <c r="V934" i="26" l="1"/>
  <c r="BF934" i="26"/>
  <c r="BC934" i="26"/>
  <c r="A934" i="26"/>
  <c r="Q934" i="26"/>
  <c r="R934" i="26" s="1"/>
  <c r="AO934" i="26"/>
  <c r="AT934" i="26" s="1"/>
  <c r="D934" i="26"/>
  <c r="O934" i="26" s="1"/>
  <c r="BD934" i="26"/>
  <c r="F934" i="26"/>
  <c r="C934" i="26"/>
  <c r="U934" i="26"/>
  <c r="L934" i="26"/>
  <c r="BU934" i="26"/>
  <c r="S934" i="26"/>
  <c r="T934" i="26" s="1"/>
  <c r="AF934" i="26"/>
  <c r="AM934" i="26"/>
  <c r="P934" i="26"/>
  <c r="S933" i="26"/>
  <c r="T933" i="26" s="1"/>
  <c r="AM933" i="26"/>
  <c r="O1219" i="55"/>
  <c r="E935" i="26"/>
  <c r="AO1219" i="55"/>
  <c r="AI1219" i="55"/>
  <c r="Q1219" i="55"/>
  <c r="K1219" i="55"/>
  <c r="P1219" i="55"/>
  <c r="AL1219" i="55"/>
  <c r="AK1219" i="55"/>
  <c r="AG1219" i="55"/>
  <c r="AD1219" i="55"/>
  <c r="AF1219" i="55"/>
  <c r="Z1219" i="55"/>
  <c r="I1219" i="55"/>
  <c r="AN1219" i="55"/>
  <c r="S1219" i="55"/>
  <c r="G1219" i="55"/>
  <c r="AC1219" i="55"/>
  <c r="N1219" i="55"/>
  <c r="D1219" i="55"/>
  <c r="H1219" i="55"/>
  <c r="V1219" i="55"/>
  <c r="B1219" i="55"/>
  <c r="AQ1219" i="55"/>
  <c r="AT1219" i="55"/>
  <c r="A1219" i="55"/>
  <c r="U1219" i="55"/>
  <c r="X1219" i="55"/>
  <c r="C1219" i="55"/>
  <c r="AB1219" i="55"/>
  <c r="AM1219" i="55"/>
  <c r="AH1219" i="55"/>
  <c r="L1219" i="55"/>
  <c r="M1219" i="55"/>
  <c r="W1219" i="55"/>
  <c r="AL282" i="55"/>
  <c r="V935" i="26" l="1"/>
  <c r="BF935" i="26"/>
  <c r="BC935" i="26"/>
  <c r="BK934" i="26"/>
  <c r="BU935" i="26"/>
  <c r="BD935" i="26"/>
  <c r="AU934" i="26"/>
  <c r="AW934" i="26"/>
  <c r="AX934" i="26"/>
  <c r="AR934" i="26"/>
  <c r="AU933" i="26"/>
  <c r="AR933" i="26"/>
  <c r="AX933" i="26"/>
  <c r="AW933" i="26"/>
  <c r="BL933" i="26"/>
  <c r="BL934" i="26"/>
  <c r="Q935" i="26"/>
  <c r="C935" i="26"/>
  <c r="AS935" i="26"/>
  <c r="AP935" i="26"/>
  <c r="W935" i="26"/>
  <c r="G935" i="26"/>
  <c r="L935" i="26"/>
  <c r="F935" i="26"/>
  <c r="R935" i="26" s="1"/>
  <c r="B935" i="26"/>
  <c r="D935" i="26" s="1"/>
  <c r="U935" i="26"/>
  <c r="H935" i="26"/>
  <c r="AO935" i="26"/>
  <c r="AT935" i="26" s="1"/>
  <c r="BK935" i="26"/>
  <c r="K935" i="26"/>
  <c r="M935" i="26" s="1"/>
  <c r="N935" i="26" s="1"/>
  <c r="A935" i="26"/>
  <c r="BJ935" i="26"/>
  <c r="X935" i="26"/>
  <c r="AF935" i="26"/>
  <c r="E1220" i="55"/>
  <c r="AL281" i="55"/>
  <c r="O935" i="26" l="1"/>
  <c r="P935" i="26"/>
  <c r="AJ935" i="26"/>
  <c r="AK935" i="26" s="1"/>
  <c r="AV933" i="55"/>
  <c r="BT933" i="26"/>
  <c r="AV933" i="26"/>
  <c r="AY933" i="26" s="1"/>
  <c r="BA933" i="26" s="1"/>
  <c r="AV934" i="26"/>
  <c r="AY934" i="26"/>
  <c r="BA934" i="26" s="1"/>
  <c r="AV934" i="55"/>
  <c r="BT934" i="26"/>
  <c r="O1220" i="55"/>
  <c r="E936" i="26"/>
  <c r="BD936" i="26" s="1"/>
  <c r="Z1220" i="55"/>
  <c r="AI1220" i="55"/>
  <c r="Q1220" i="55"/>
  <c r="P1220" i="55"/>
  <c r="K1220" i="55"/>
  <c r="AF1220" i="55"/>
  <c r="AG1220" i="55"/>
  <c r="AL1220" i="55"/>
  <c r="AO1220" i="55"/>
  <c r="AD1220" i="55"/>
  <c r="AK1220" i="55"/>
  <c r="H1220" i="55"/>
  <c r="AH1220" i="55"/>
  <c r="A1220" i="55"/>
  <c r="C1220" i="55"/>
  <c r="AN1220" i="55"/>
  <c r="X1220" i="55"/>
  <c r="G1220" i="55"/>
  <c r="N1220" i="55"/>
  <c r="AC1220" i="55"/>
  <c r="M1220" i="55"/>
  <c r="AB1220" i="55"/>
  <c r="S1220" i="55"/>
  <c r="B1220" i="55"/>
  <c r="D1220" i="55"/>
  <c r="L1220" i="55"/>
  <c r="W1220" i="55"/>
  <c r="AQ1220" i="55"/>
  <c r="AT1220" i="55"/>
  <c r="AM1220" i="55"/>
  <c r="V1220" i="55"/>
  <c r="U1220" i="55"/>
  <c r="I1220" i="55"/>
  <c r="AL280" i="55"/>
  <c r="V936" i="26" l="1"/>
  <c r="BF936" i="26"/>
  <c r="BC936" i="26"/>
  <c r="BU936" i="26"/>
  <c r="S935" i="26"/>
  <c r="T935" i="26" s="1"/>
  <c r="AM935" i="26"/>
  <c r="AU935" i="26" s="1"/>
  <c r="Q936" i="26"/>
  <c r="AJ936" i="26"/>
  <c r="AK936" i="26" s="1"/>
  <c r="W936" i="26"/>
  <c r="A936" i="26"/>
  <c r="B936" i="26"/>
  <c r="P936" i="26" s="1"/>
  <c r="H936" i="26"/>
  <c r="L936" i="26"/>
  <c r="G936" i="26"/>
  <c r="C936" i="26"/>
  <c r="D936" i="26"/>
  <c r="O936" i="26"/>
  <c r="AF936" i="26"/>
  <c r="X936" i="26"/>
  <c r="AO936" i="26"/>
  <c r="AS936" i="26"/>
  <c r="BJ936" i="26"/>
  <c r="K936" i="26"/>
  <c r="M936" i="26" s="1"/>
  <c r="N936" i="26" s="1"/>
  <c r="R936" i="26"/>
  <c r="U936" i="26"/>
  <c r="F936" i="26"/>
  <c r="E1221" i="55"/>
  <c r="AL279" i="55"/>
  <c r="AM936" i="26" l="1"/>
  <c r="AU936" i="26" s="1"/>
  <c r="BK936" i="26"/>
  <c r="AP936" i="26"/>
  <c r="AT936" i="26" s="1"/>
  <c r="AW935" i="26"/>
  <c r="S936" i="26"/>
  <c r="T936" i="26" s="1"/>
  <c r="BL935" i="26"/>
  <c r="AR935" i="26"/>
  <c r="AX935" i="26"/>
  <c r="O1221" i="55"/>
  <c r="E937" i="26"/>
  <c r="BD937" i="26" s="1"/>
  <c r="AO1221" i="55"/>
  <c r="Q1221" i="55"/>
  <c r="AI1221" i="55"/>
  <c r="P1221" i="55"/>
  <c r="K1221" i="55"/>
  <c r="AG1221" i="55"/>
  <c r="AF1221" i="55"/>
  <c r="AK1221" i="55"/>
  <c r="Z1221" i="55"/>
  <c r="AL1221" i="55"/>
  <c r="AD1221" i="55"/>
  <c r="M1221" i="55"/>
  <c r="AT1221" i="55"/>
  <c r="AB1221" i="55"/>
  <c r="S1221" i="55"/>
  <c r="A1221" i="55"/>
  <c r="D1221" i="55"/>
  <c r="B1221" i="55"/>
  <c r="AQ1221" i="55"/>
  <c r="C1221" i="55"/>
  <c r="X1221" i="55"/>
  <c r="N1221" i="55"/>
  <c r="W1221" i="55"/>
  <c r="AH1221" i="55"/>
  <c r="G1221" i="55"/>
  <c r="AC1221" i="55"/>
  <c r="U1221" i="55"/>
  <c r="H1221" i="55"/>
  <c r="V1221" i="55"/>
  <c r="I1221" i="55"/>
  <c r="L1221" i="55"/>
  <c r="AN1221" i="55"/>
  <c r="AM1221" i="55"/>
  <c r="AL278" i="55"/>
  <c r="V937" i="26" l="1"/>
  <c r="BF937" i="26"/>
  <c r="BC937" i="26"/>
  <c r="BU937" i="26"/>
  <c r="AV935" i="55"/>
  <c r="BT935" i="26"/>
  <c r="AW936" i="26"/>
  <c r="AR936" i="26"/>
  <c r="AV935" i="26"/>
  <c r="AY935" i="26" s="1"/>
  <c r="BA935" i="26" s="1"/>
  <c r="AX936" i="26"/>
  <c r="BL936" i="26"/>
  <c r="A937" i="26"/>
  <c r="C937" i="26"/>
  <c r="AO937" i="26"/>
  <c r="AT937" i="26" s="1"/>
  <c r="F937" i="26"/>
  <c r="B937" i="26"/>
  <c r="P937" i="26" s="1"/>
  <c r="L937" i="26"/>
  <c r="U937" i="26"/>
  <c r="D937" i="26"/>
  <c r="AP937" i="26"/>
  <c r="W937" i="26"/>
  <c r="O937" i="26"/>
  <c r="H937" i="26"/>
  <c r="Q937" i="26"/>
  <c r="R937" i="26" s="1"/>
  <c r="E1222" i="55"/>
  <c r="AL277" i="55"/>
  <c r="X937" i="26" l="1"/>
  <c r="BD938" i="26"/>
  <c r="S937" i="26"/>
  <c r="T937" i="26" s="1"/>
  <c r="AV936" i="55"/>
  <c r="BT936" i="26"/>
  <c r="BK937" i="26"/>
  <c r="AF937" i="26"/>
  <c r="AY936" i="26"/>
  <c r="BA936" i="26" s="1"/>
  <c r="AV936" i="26"/>
  <c r="AX937" i="26"/>
  <c r="AS937" i="26"/>
  <c r="BJ937" i="26" s="1"/>
  <c r="G937" i="26"/>
  <c r="K937" i="26"/>
  <c r="M937" i="26" s="1"/>
  <c r="AM937" i="26"/>
  <c r="AU937" i="26" s="1"/>
  <c r="O1222" i="55"/>
  <c r="E938" i="26"/>
  <c r="BU938" i="26" s="1"/>
  <c r="AL1222" i="55"/>
  <c r="AI1222" i="55"/>
  <c r="P1222" i="55"/>
  <c r="K1222" i="55"/>
  <c r="Q1222" i="55"/>
  <c r="Z1222" i="55"/>
  <c r="AD1222" i="55"/>
  <c r="AF1222" i="55"/>
  <c r="AO1222" i="55"/>
  <c r="AK1222" i="55"/>
  <c r="AG1222" i="55"/>
  <c r="W1222" i="55"/>
  <c r="V1222" i="55"/>
  <c r="AB1222" i="55"/>
  <c r="AQ1222" i="55"/>
  <c r="D1222" i="55"/>
  <c r="L1222" i="55"/>
  <c r="AN1222" i="55"/>
  <c r="B1222" i="55"/>
  <c r="U1222" i="55"/>
  <c r="AC1222" i="55"/>
  <c r="I1222" i="55"/>
  <c r="S1222" i="55"/>
  <c r="AT1222" i="55"/>
  <c r="X1222" i="55"/>
  <c r="AH1222" i="55"/>
  <c r="N1222" i="55"/>
  <c r="C1222" i="55"/>
  <c r="A1222" i="55"/>
  <c r="M1222" i="55"/>
  <c r="G1222" i="55"/>
  <c r="AM1222" i="55"/>
  <c r="H1222" i="55"/>
  <c r="AL276" i="55"/>
  <c r="V938" i="26" l="1"/>
  <c r="BF938" i="26"/>
  <c r="BC938" i="26"/>
  <c r="N937" i="26"/>
  <c r="AJ937" i="26"/>
  <c r="AK937" i="26" s="1"/>
  <c r="AR937" i="26" s="1"/>
  <c r="AW937" i="26"/>
  <c r="BL937" i="26"/>
  <c r="B938" i="26"/>
  <c r="AP938" i="26" s="1"/>
  <c r="W938" i="26"/>
  <c r="A938" i="26"/>
  <c r="C938" i="26"/>
  <c r="F938" i="26"/>
  <c r="H938" i="26"/>
  <c r="U938" i="26"/>
  <c r="AS938" i="26"/>
  <c r="BJ938" i="26" s="1"/>
  <c r="AF938" i="26"/>
  <c r="G938" i="26"/>
  <c r="K938" i="26"/>
  <c r="D938" i="26"/>
  <c r="AO938" i="26"/>
  <c r="L938" i="26"/>
  <c r="Q938" i="26"/>
  <c r="R938" i="26" s="1"/>
  <c r="E1223" i="55"/>
  <c r="AL275" i="55"/>
  <c r="X938" i="26" l="1"/>
  <c r="BD939" i="26"/>
  <c r="AV937" i="26"/>
  <c r="AY937" i="26"/>
  <c r="BA937" i="26" s="1"/>
  <c r="BK938" i="26"/>
  <c r="AT938" i="26"/>
  <c r="M938" i="26"/>
  <c r="O938" i="26"/>
  <c r="AV937" i="55"/>
  <c r="BT937" i="26"/>
  <c r="P938" i="26"/>
  <c r="O1223" i="55"/>
  <c r="E939" i="26"/>
  <c r="AG1223" i="55"/>
  <c r="AI1223" i="55"/>
  <c r="Q1223" i="55"/>
  <c r="P1223" i="55"/>
  <c r="K1223" i="55"/>
  <c r="AK1223" i="55"/>
  <c r="AL1223" i="55"/>
  <c r="Z1223" i="55"/>
  <c r="AD1223" i="55"/>
  <c r="AF1223" i="55"/>
  <c r="AO1223" i="55"/>
  <c r="G1223" i="55"/>
  <c r="W1223" i="55"/>
  <c r="M1223" i="55"/>
  <c r="AC1223" i="55"/>
  <c r="A1223" i="55"/>
  <c r="X1223" i="55"/>
  <c r="N1223" i="55"/>
  <c r="AT1223" i="55"/>
  <c r="AQ1223" i="55"/>
  <c r="AN1223" i="55"/>
  <c r="D1223" i="55"/>
  <c r="I1223" i="55"/>
  <c r="S1223" i="55"/>
  <c r="H1223" i="55"/>
  <c r="V1223" i="55"/>
  <c r="U1223" i="55"/>
  <c r="AH1223" i="55"/>
  <c r="AM1223" i="55"/>
  <c r="C1223" i="55"/>
  <c r="AB1223" i="55"/>
  <c r="L1223" i="55"/>
  <c r="B1223" i="55"/>
  <c r="AL274" i="55"/>
  <c r="V939" i="26" l="1"/>
  <c r="BF939" i="26"/>
  <c r="BC939" i="26"/>
  <c r="BU939" i="26"/>
  <c r="N938" i="26"/>
  <c r="AJ938" i="26"/>
  <c r="AK938" i="26" s="1"/>
  <c r="S938" i="26"/>
  <c r="T938" i="26" s="1"/>
  <c r="AM938" i="26"/>
  <c r="AP939" i="26"/>
  <c r="U939" i="26"/>
  <c r="A939" i="26"/>
  <c r="W939" i="26"/>
  <c r="C939" i="26"/>
  <c r="Q939" i="26"/>
  <c r="AS939" i="26"/>
  <c r="BJ939" i="26" s="1"/>
  <c r="L939" i="26"/>
  <c r="B939" i="26"/>
  <c r="D939" i="26" s="1"/>
  <c r="BK939" i="26"/>
  <c r="K939" i="26"/>
  <c r="M939" i="26" s="1"/>
  <c r="N939" i="26" s="1"/>
  <c r="AF939" i="26"/>
  <c r="X939" i="26"/>
  <c r="H939" i="26"/>
  <c r="AO939" i="26"/>
  <c r="AT939" i="26" s="1"/>
  <c r="E1224" i="55"/>
  <c r="AL273" i="55"/>
  <c r="P939" i="26" l="1"/>
  <c r="O939" i="26"/>
  <c r="AW938" i="26"/>
  <c r="AU938" i="26"/>
  <c r="AR938" i="26"/>
  <c r="AX938" i="26"/>
  <c r="BL938" i="26"/>
  <c r="G939" i="26"/>
  <c r="AJ939" i="26"/>
  <c r="AK939" i="26" s="1"/>
  <c r="F939" i="26"/>
  <c r="R939" i="26" s="1"/>
  <c r="O1224" i="55"/>
  <c r="E940" i="26"/>
  <c r="AK1224" i="55"/>
  <c r="AI1224" i="55"/>
  <c r="Q1224" i="55"/>
  <c r="P1224" i="55"/>
  <c r="K1224" i="55"/>
  <c r="AG1224" i="55"/>
  <c r="AD1224" i="55"/>
  <c r="AO1224" i="55"/>
  <c r="A1224" i="55"/>
  <c r="B1224" i="55"/>
  <c r="U1224" i="55"/>
  <c r="D1224" i="55"/>
  <c r="AN1224" i="55"/>
  <c r="AH1224" i="55"/>
  <c r="H1224" i="55"/>
  <c r="AQ1224" i="55"/>
  <c r="AM1224" i="55"/>
  <c r="AT1224" i="55"/>
  <c r="C1224" i="55"/>
  <c r="S1224" i="55"/>
  <c r="G1224" i="55"/>
  <c r="W1224" i="55"/>
  <c r="X1224" i="55"/>
  <c r="M1224" i="55"/>
  <c r="L1224" i="55"/>
  <c r="N1224" i="55"/>
  <c r="AC1224" i="55"/>
  <c r="AB1224" i="55"/>
  <c r="V1224" i="55"/>
  <c r="I1224" i="55"/>
  <c r="AL1224" i="55"/>
  <c r="Z1224" i="55"/>
  <c r="AF1224" i="55"/>
  <c r="AL272" i="55"/>
  <c r="V940" i="26" l="1"/>
  <c r="BF940" i="26"/>
  <c r="BC940" i="26"/>
  <c r="BD940" i="26"/>
  <c r="BU940" i="26"/>
  <c r="AV938" i="26"/>
  <c r="AY938" i="26"/>
  <c r="BA938" i="26" s="1"/>
  <c r="S939" i="26"/>
  <c r="T939" i="26" s="1"/>
  <c r="AM939" i="26"/>
  <c r="AV938" i="55"/>
  <c r="BT938" i="26"/>
  <c r="AO940" i="26"/>
  <c r="W940" i="26"/>
  <c r="Q940" i="26"/>
  <c r="A940" i="26"/>
  <c r="L940" i="26"/>
  <c r="B940" i="26"/>
  <c r="G940" i="26" s="1"/>
  <c r="C940" i="26"/>
  <c r="H940" i="26"/>
  <c r="E1225" i="55"/>
  <c r="AL271" i="55"/>
  <c r="U940" i="26" l="1"/>
  <c r="BK940" i="26"/>
  <c r="AP940" i="26"/>
  <c r="AT940" i="26" s="1"/>
  <c r="BL939" i="26"/>
  <c r="K940" i="26"/>
  <c r="M940" i="26" s="1"/>
  <c r="AF940" i="26"/>
  <c r="F940" i="26"/>
  <c r="R940" i="26" s="1"/>
  <c r="AS940" i="26"/>
  <c r="BJ940" i="26" s="1"/>
  <c r="D940" i="26"/>
  <c r="AU939" i="26"/>
  <c r="AR939" i="26"/>
  <c r="AX939" i="26"/>
  <c r="AW939" i="26"/>
  <c r="X940" i="26"/>
  <c r="P940" i="26"/>
  <c r="O1225" i="55"/>
  <c r="AK1225" i="55"/>
  <c r="AI1225" i="55"/>
  <c r="Q1225" i="55"/>
  <c r="P1225" i="55"/>
  <c r="K1225" i="55"/>
  <c r="AL1225" i="55"/>
  <c r="AD1225" i="55"/>
  <c r="AO1225" i="55"/>
  <c r="AF1225" i="55"/>
  <c r="C1225" i="55"/>
  <c r="G1225" i="55"/>
  <c r="W1225" i="55"/>
  <c r="AN1225" i="55"/>
  <c r="V1225" i="55"/>
  <c r="D1225" i="55"/>
  <c r="H1225" i="55"/>
  <c r="AC1225" i="55"/>
  <c r="U1225" i="55"/>
  <c r="N1225" i="55"/>
  <c r="AB1225" i="55"/>
  <c r="B1225" i="55"/>
  <c r="S1225" i="55"/>
  <c r="A1225" i="55"/>
  <c r="AT1225" i="55"/>
  <c r="M1225" i="55"/>
  <c r="I1225" i="55"/>
  <c r="AH1225" i="55"/>
  <c r="L1225" i="55"/>
  <c r="AM1225" i="55"/>
  <c r="X1225" i="55"/>
  <c r="AQ1225" i="55"/>
  <c r="AG1225" i="55"/>
  <c r="Z1225" i="55"/>
  <c r="AL270" i="55"/>
  <c r="AV939" i="26" l="1"/>
  <c r="AY939" i="26" s="1"/>
  <c r="BA939" i="26" s="1"/>
  <c r="O940" i="26"/>
  <c r="E941" i="26"/>
  <c r="N940" i="26"/>
  <c r="AJ940" i="26"/>
  <c r="AK940" i="26" s="1"/>
  <c r="AV939" i="55"/>
  <c r="BT939" i="26"/>
  <c r="L941" i="26"/>
  <c r="Q941" i="26"/>
  <c r="E1226" i="55"/>
  <c r="AL269" i="55"/>
  <c r="A941" i="26" l="1"/>
  <c r="BF941" i="26"/>
  <c r="BC941" i="26"/>
  <c r="BD941" i="26"/>
  <c r="B941" i="26"/>
  <c r="F941" i="26" s="1"/>
  <c r="R941" i="26" s="1"/>
  <c r="BU941" i="26"/>
  <c r="C941" i="26"/>
  <c r="V941" i="26"/>
  <c r="W941" i="26"/>
  <c r="X941" i="26"/>
  <c r="H941" i="26"/>
  <c r="G941" i="26"/>
  <c r="AF941" i="26"/>
  <c r="K941" i="26"/>
  <c r="M941" i="26" s="1"/>
  <c r="AP941" i="26"/>
  <c r="S940" i="26"/>
  <c r="T940" i="26" s="1"/>
  <c r="AM940" i="26"/>
  <c r="AW940" i="26" s="1"/>
  <c r="D941" i="26"/>
  <c r="E942" i="26" s="1"/>
  <c r="O1226" i="55"/>
  <c r="AO1226" i="55"/>
  <c r="AI1226" i="55"/>
  <c r="P1226" i="55"/>
  <c r="Q1226" i="55"/>
  <c r="K1226" i="55"/>
  <c r="AK1226" i="55"/>
  <c r="AF1226" i="55"/>
  <c r="Z1226" i="55"/>
  <c r="AL1226" i="55"/>
  <c r="AG1226" i="55"/>
  <c r="AD1226" i="55"/>
  <c r="N1226" i="55"/>
  <c r="A1226" i="55"/>
  <c r="G1226" i="55"/>
  <c r="I1226" i="55"/>
  <c r="X1226" i="55"/>
  <c r="M1226" i="55"/>
  <c r="C1226" i="55"/>
  <c r="AT1226" i="55"/>
  <c r="AN1226" i="55"/>
  <c r="B1226" i="55"/>
  <c r="S1226" i="55"/>
  <c r="D1226" i="55"/>
  <c r="U1226" i="55"/>
  <c r="AB1226" i="55"/>
  <c r="H1226" i="55"/>
  <c r="L1226" i="55"/>
  <c r="AC1226" i="55"/>
  <c r="AM1226" i="55"/>
  <c r="AH1226" i="55"/>
  <c r="V1226" i="55"/>
  <c r="AQ1226" i="55"/>
  <c r="W1226" i="55"/>
  <c r="AL268" i="55"/>
  <c r="V942" i="26" l="1"/>
  <c r="BF942" i="26"/>
  <c r="BC942" i="26"/>
  <c r="U941" i="26"/>
  <c r="BU942" i="26"/>
  <c r="BD942" i="26"/>
  <c r="BK941" i="26"/>
  <c r="AO941" i="26"/>
  <c r="AT941" i="26" s="1"/>
  <c r="BL940" i="26"/>
  <c r="N941" i="26"/>
  <c r="AJ941" i="26"/>
  <c r="AK941" i="26" s="1"/>
  <c r="P941" i="26"/>
  <c r="O941" i="26"/>
  <c r="AU940" i="26"/>
  <c r="AX940" i="26"/>
  <c r="AR940" i="26"/>
  <c r="A942" i="26"/>
  <c r="U942" i="26"/>
  <c r="K942" i="26"/>
  <c r="Q942" i="26"/>
  <c r="L942" i="26"/>
  <c r="C942" i="26"/>
  <c r="D942" i="26"/>
  <c r="H942" i="26"/>
  <c r="W942" i="26"/>
  <c r="AP942" i="26"/>
  <c r="AO942" i="26"/>
  <c r="AT942" i="26" s="1"/>
  <c r="AS942" i="26"/>
  <c r="BJ942" i="26" s="1"/>
  <c r="B942" i="26"/>
  <c r="F942" i="26" s="1"/>
  <c r="R942" i="26" s="1"/>
  <c r="O942" i="26"/>
  <c r="G942" i="26"/>
  <c r="AF942" i="26"/>
  <c r="E1227" i="55"/>
  <c r="AL267" i="55"/>
  <c r="S942" i="26" l="1"/>
  <c r="T942" i="26" s="1"/>
  <c r="X942" i="26"/>
  <c r="BK942" i="26" s="1"/>
  <c r="P942" i="26"/>
  <c r="AM942" i="26" s="1"/>
  <c r="AY940" i="26"/>
  <c r="BA940" i="26" s="1"/>
  <c r="AV940" i="26"/>
  <c r="M942" i="26"/>
  <c r="AM941" i="26"/>
  <c r="S941" i="26"/>
  <c r="T941" i="26" s="1"/>
  <c r="AV940" i="55"/>
  <c r="BT940" i="26"/>
  <c r="O1227" i="55"/>
  <c r="E943" i="26"/>
  <c r="BD943" i="26" s="1"/>
  <c r="AF1227" i="55"/>
  <c r="AK1227" i="55"/>
  <c r="AO1227" i="55"/>
  <c r="Q1227" i="55"/>
  <c r="AI1227" i="55"/>
  <c r="K1227" i="55"/>
  <c r="P1227" i="55"/>
  <c r="AG1227" i="55"/>
  <c r="AD1227" i="55"/>
  <c r="AL1227" i="55"/>
  <c r="AH1227" i="55"/>
  <c r="AQ1227" i="55"/>
  <c r="I1227" i="55"/>
  <c r="A1227" i="55"/>
  <c r="C1227" i="55"/>
  <c r="U1227" i="55"/>
  <c r="D1227" i="55"/>
  <c r="L1227" i="55"/>
  <c r="W1227" i="55"/>
  <c r="H1227" i="55"/>
  <c r="AT1227" i="55"/>
  <c r="B1227" i="55"/>
  <c r="X1227" i="55"/>
  <c r="AB1227" i="55"/>
  <c r="S1227" i="55"/>
  <c r="AM1227" i="55"/>
  <c r="G1227" i="55"/>
  <c r="AC1227" i="55"/>
  <c r="AN1227" i="55"/>
  <c r="N1227" i="55"/>
  <c r="M1227" i="55"/>
  <c r="V1227" i="55"/>
  <c r="Z1227" i="55"/>
  <c r="AL266" i="55"/>
  <c r="V943" i="26" l="1"/>
  <c r="BF943" i="26"/>
  <c r="BC943" i="26"/>
  <c r="BU943" i="26"/>
  <c r="AU942" i="26"/>
  <c r="AX942" i="26"/>
  <c r="AU941" i="26"/>
  <c r="AX941" i="26"/>
  <c r="BL941" i="26"/>
  <c r="AW942" i="26"/>
  <c r="AR942" i="26"/>
  <c r="BL942" i="26"/>
  <c r="N942" i="26"/>
  <c r="AJ942" i="26"/>
  <c r="AK942" i="26" s="1"/>
  <c r="AW941" i="26"/>
  <c r="W943" i="26"/>
  <c r="A943" i="26"/>
  <c r="L943" i="26"/>
  <c r="C943" i="26"/>
  <c r="AP943" i="26"/>
  <c r="X943" i="26"/>
  <c r="B943" i="26"/>
  <c r="BK943" i="26"/>
  <c r="AS943" i="26"/>
  <c r="H943" i="26"/>
  <c r="G943" i="26"/>
  <c r="Q943" i="26"/>
  <c r="K943" i="26"/>
  <c r="M943" i="26" s="1"/>
  <c r="N943" i="26" s="1"/>
  <c r="AO943" i="26"/>
  <c r="AT943" i="26" s="1"/>
  <c r="BJ943" i="26"/>
  <c r="E1228" i="55"/>
  <c r="AL265" i="55"/>
  <c r="U943" i="26" l="1"/>
  <c r="F943" i="26"/>
  <c r="R943" i="26" s="1"/>
  <c r="AF943" i="26"/>
  <c r="AJ943" i="26"/>
  <c r="AK943" i="26" s="1"/>
  <c r="AV941" i="55"/>
  <c r="BT941" i="26"/>
  <c r="AV942" i="26"/>
  <c r="AY942" i="26" s="1"/>
  <c r="BA942" i="26" s="1"/>
  <c r="D943" i="26"/>
  <c r="P943" i="26" s="1"/>
  <c r="AV942" i="55"/>
  <c r="BT942" i="26"/>
  <c r="O1228" i="55"/>
  <c r="AG1228" i="55"/>
  <c r="AI1228" i="55"/>
  <c r="Q1228" i="55"/>
  <c r="P1228" i="55"/>
  <c r="K1228" i="55"/>
  <c r="AK1228" i="55"/>
  <c r="AO1228" i="55"/>
  <c r="AL1228" i="55"/>
  <c r="AD1228" i="55"/>
  <c r="AF1228" i="55"/>
  <c r="Z1228" i="55"/>
  <c r="AQ1228" i="55"/>
  <c r="C1228" i="55"/>
  <c r="AM1228" i="55"/>
  <c r="D1228" i="55"/>
  <c r="I1228" i="55"/>
  <c r="L1228" i="55"/>
  <c r="X1228" i="55"/>
  <c r="AN1228" i="55"/>
  <c r="G1228" i="55"/>
  <c r="AH1228" i="55"/>
  <c r="U1228" i="55"/>
  <c r="H1228" i="55"/>
  <c r="W1228" i="55"/>
  <c r="AB1228" i="55"/>
  <c r="AC1228" i="55"/>
  <c r="V1228" i="55"/>
  <c r="S1228" i="55"/>
  <c r="A1228" i="55"/>
  <c r="B1228" i="55"/>
  <c r="N1228" i="55"/>
  <c r="M1228" i="55"/>
  <c r="AT1228" i="55"/>
  <c r="AL264" i="55"/>
  <c r="O943" i="26" l="1"/>
  <c r="E944" i="26"/>
  <c r="E1229" i="55"/>
  <c r="AL263" i="55"/>
  <c r="BF944" i="26" l="1"/>
  <c r="BC944" i="26"/>
  <c r="BU944" i="26"/>
  <c r="BD944" i="26"/>
  <c r="Q944" i="26"/>
  <c r="V944" i="26"/>
  <c r="K944" i="26"/>
  <c r="M944" i="26" s="1"/>
  <c r="N944" i="26" s="1"/>
  <c r="U944" i="26"/>
  <c r="B944" i="26"/>
  <c r="P944" i="26" s="1"/>
  <c r="AP944" i="26"/>
  <c r="G944" i="26"/>
  <c r="L944" i="26"/>
  <c r="H944" i="26"/>
  <c r="D944" i="26"/>
  <c r="X944" i="26"/>
  <c r="C944" i="26"/>
  <c r="A944" i="26"/>
  <c r="O944" i="26"/>
  <c r="W944" i="26"/>
  <c r="BK944" i="26"/>
  <c r="AO944" i="26"/>
  <c r="AT944" i="26" s="1"/>
  <c r="AF944" i="26"/>
  <c r="S943" i="26"/>
  <c r="T943" i="26" s="1"/>
  <c r="AM943" i="26"/>
  <c r="F944" i="26"/>
  <c r="R944" i="26" s="1"/>
  <c r="AS944" i="26"/>
  <c r="BJ944" i="26" s="1"/>
  <c r="AJ944" i="26"/>
  <c r="AK944" i="26" s="1"/>
  <c r="AK1229" i="55"/>
  <c r="O1229" i="55"/>
  <c r="AG1229" i="55"/>
  <c r="AO1229" i="55"/>
  <c r="AI1229" i="55"/>
  <c r="Q1229" i="55"/>
  <c r="P1229" i="55"/>
  <c r="K1229" i="55"/>
  <c r="Z1229" i="55"/>
  <c r="AF1229" i="55"/>
  <c r="AL1229" i="55"/>
  <c r="AD1229" i="55"/>
  <c r="I1229" i="55"/>
  <c r="AT1229" i="55"/>
  <c r="AH1229" i="55"/>
  <c r="X1229" i="55"/>
  <c r="G1229" i="55"/>
  <c r="A1229" i="55"/>
  <c r="N1229" i="55"/>
  <c r="H1229" i="55"/>
  <c r="B1229" i="55"/>
  <c r="AC1229" i="55"/>
  <c r="V1229" i="55"/>
  <c r="M1229" i="55"/>
  <c r="AQ1229" i="55"/>
  <c r="W1229" i="55"/>
  <c r="U1229" i="55"/>
  <c r="D1229" i="55"/>
  <c r="C1229" i="55"/>
  <c r="AN1229" i="55"/>
  <c r="S1229" i="55"/>
  <c r="L1229" i="55"/>
  <c r="AM1229" i="55"/>
  <c r="AB1229" i="55"/>
  <c r="AL262" i="55"/>
  <c r="BD945" i="26" l="1"/>
  <c r="E945" i="26"/>
  <c r="S944" i="26"/>
  <c r="T944" i="26" s="1"/>
  <c r="AU943" i="26"/>
  <c r="AW943" i="26"/>
  <c r="AX943" i="26"/>
  <c r="AR943" i="26"/>
  <c r="AM944" i="26"/>
  <c r="AU944" i="26" s="1"/>
  <c r="BL943" i="26"/>
  <c r="AW944" i="26"/>
  <c r="B945" i="26"/>
  <c r="AP945" i="26"/>
  <c r="C945" i="26"/>
  <c r="W945" i="26"/>
  <c r="H945" i="26"/>
  <c r="L945" i="26"/>
  <c r="F945" i="26"/>
  <c r="K945" i="26"/>
  <c r="AS945" i="26"/>
  <c r="D945" i="26"/>
  <c r="A945" i="26"/>
  <c r="Q945" i="26"/>
  <c r="R945" i="26" s="1"/>
  <c r="G945" i="26"/>
  <c r="BJ945" i="26"/>
  <c r="O945" i="26"/>
  <c r="E1230" i="55"/>
  <c r="AL261" i="55"/>
  <c r="X945" i="26" l="1"/>
  <c r="V945" i="26"/>
  <c r="BF945" i="26"/>
  <c r="BC945" i="26"/>
  <c r="BU945" i="26"/>
  <c r="S945" i="26"/>
  <c r="T945" i="26" s="1"/>
  <c r="BK945" i="26"/>
  <c r="P945" i="26"/>
  <c r="AM945" i="26" s="1"/>
  <c r="AU945" i="26" s="1"/>
  <c r="AX944" i="26"/>
  <c r="AR944" i="26"/>
  <c r="U945" i="26"/>
  <c r="AV943" i="55"/>
  <c r="BT943" i="26"/>
  <c r="M945" i="26"/>
  <c r="AV943" i="26"/>
  <c r="AY943" i="26" s="1"/>
  <c r="BA943" i="26" s="1"/>
  <c r="BL944" i="26"/>
  <c r="E946" i="26"/>
  <c r="BD946" i="26" s="1"/>
  <c r="AK1230" i="55"/>
  <c r="O1230" i="55"/>
  <c r="AF1230" i="55"/>
  <c r="Z1230" i="55"/>
  <c r="AD1230" i="55"/>
  <c r="AI1230" i="55"/>
  <c r="P1230" i="55"/>
  <c r="Q1230" i="55"/>
  <c r="K1230" i="55"/>
  <c r="AO1230" i="55"/>
  <c r="AL1230" i="55"/>
  <c r="AG1230" i="55"/>
  <c r="G1230" i="55"/>
  <c r="AN1230" i="55"/>
  <c r="L1230" i="55"/>
  <c r="I1230" i="55"/>
  <c r="X1230" i="55"/>
  <c r="AM1230" i="55"/>
  <c r="AT1230" i="55"/>
  <c r="U1230" i="55"/>
  <c r="V1230" i="55"/>
  <c r="AQ1230" i="55"/>
  <c r="S1230" i="55"/>
  <c r="AH1230" i="55"/>
  <c r="B1230" i="55"/>
  <c r="N1230" i="55"/>
  <c r="AB1230" i="55"/>
  <c r="A1230" i="55"/>
  <c r="M1230" i="55"/>
  <c r="D1230" i="55"/>
  <c r="H1230" i="55"/>
  <c r="W1230" i="55"/>
  <c r="AC1230" i="55"/>
  <c r="C1230" i="55"/>
  <c r="AL260" i="55"/>
  <c r="V946" i="26" l="1"/>
  <c r="BF946" i="26"/>
  <c r="BC946" i="26"/>
  <c r="BU946" i="26"/>
  <c r="AO945" i="26"/>
  <c r="AT945" i="26" s="1"/>
  <c r="AF945" i="26"/>
  <c r="N945" i="26"/>
  <c r="AJ945" i="26"/>
  <c r="AK945" i="26" s="1"/>
  <c r="AR945" i="26" s="1"/>
  <c r="AV944" i="26"/>
  <c r="AY944" i="26" s="1"/>
  <c r="BA944" i="26" s="1"/>
  <c r="AW945" i="26"/>
  <c r="BL945" i="26"/>
  <c r="AV944" i="55"/>
  <c r="BT944" i="26"/>
  <c r="AX945" i="26"/>
  <c r="A946" i="26"/>
  <c r="W946" i="26"/>
  <c r="Q946" i="26"/>
  <c r="H946" i="26"/>
  <c r="B946" i="26"/>
  <c r="G946" i="26"/>
  <c r="F946" i="26"/>
  <c r="AJ946" i="26"/>
  <c r="AK946" i="26" s="1"/>
  <c r="C946" i="26"/>
  <c r="R946" i="26"/>
  <c r="AP946" i="26"/>
  <c r="K946" i="26"/>
  <c r="M946" i="26" s="1"/>
  <c r="N946" i="26" s="1"/>
  <c r="L946" i="26"/>
  <c r="E1231" i="55"/>
  <c r="AL259" i="55"/>
  <c r="U946" i="26" l="1"/>
  <c r="BD947" i="26"/>
  <c r="AV945" i="26"/>
  <c r="AY945" i="26" s="1"/>
  <c r="BA945" i="26" s="1"/>
  <c r="AO946" i="26"/>
  <c r="AT946" i="26" s="1"/>
  <c r="P946" i="26"/>
  <c r="AF946" i="26"/>
  <c r="D946" i="26"/>
  <c r="E947" i="26" s="1"/>
  <c r="X946" i="26"/>
  <c r="AV945" i="55"/>
  <c r="BT945" i="26"/>
  <c r="AS946" i="26"/>
  <c r="BJ946" i="26" s="1"/>
  <c r="O1231" i="55"/>
  <c r="AF1231" i="55"/>
  <c r="Z1231" i="55"/>
  <c r="AD1231" i="55"/>
  <c r="AL1231" i="55"/>
  <c r="AK1231" i="55"/>
  <c r="AI1231" i="55"/>
  <c r="Q1231" i="55"/>
  <c r="P1231" i="55"/>
  <c r="K1231" i="55"/>
  <c r="AO1231" i="55"/>
  <c r="AG1231" i="55"/>
  <c r="M1231" i="55"/>
  <c r="W1231" i="55"/>
  <c r="H1231" i="55"/>
  <c r="AQ1231" i="55"/>
  <c r="C1231" i="55"/>
  <c r="AC1231" i="55"/>
  <c r="A1231" i="55"/>
  <c r="G1231" i="55"/>
  <c r="X1231" i="55"/>
  <c r="B1231" i="55"/>
  <c r="U1231" i="55"/>
  <c r="AM1231" i="55"/>
  <c r="AB1231" i="55"/>
  <c r="AH1231" i="55"/>
  <c r="AT1231" i="55"/>
  <c r="N1231" i="55"/>
  <c r="S1231" i="55"/>
  <c r="I1231" i="55"/>
  <c r="L1231" i="55"/>
  <c r="V1231" i="55"/>
  <c r="D1231" i="55"/>
  <c r="AN1231" i="55"/>
  <c r="AL258" i="55"/>
  <c r="V947" i="26" l="1"/>
  <c r="BF947" i="26"/>
  <c r="BC947" i="26"/>
  <c r="BU947" i="26"/>
  <c r="O946" i="26"/>
  <c r="BK946" i="26"/>
  <c r="Q947" i="26"/>
  <c r="W947" i="26"/>
  <c r="L947" i="26"/>
  <c r="B947" i="26"/>
  <c r="A947" i="26"/>
  <c r="H947" i="26"/>
  <c r="C947" i="26"/>
  <c r="E1232" i="55"/>
  <c r="AL257" i="55"/>
  <c r="AO947" i="26" l="1"/>
  <c r="U947" i="26"/>
  <c r="AM946" i="26"/>
  <c r="S946" i="26"/>
  <c r="T946" i="26" s="1"/>
  <c r="K947" i="26"/>
  <c r="M947" i="26" s="1"/>
  <c r="AS947" i="26"/>
  <c r="BJ947" i="26" s="1"/>
  <c r="P947" i="26"/>
  <c r="AP947" i="26"/>
  <c r="D947" i="26"/>
  <c r="E948" i="26" s="1"/>
  <c r="X947" i="26"/>
  <c r="BK947" i="26" s="1"/>
  <c r="O947" i="26"/>
  <c r="F947" i="26"/>
  <c r="R947" i="26" s="1"/>
  <c r="G947" i="26"/>
  <c r="AL1232" i="55"/>
  <c r="AD1232" i="55"/>
  <c r="O1232" i="55"/>
  <c r="AO1232" i="55"/>
  <c r="Q1232" i="55"/>
  <c r="P1232" i="55"/>
  <c r="AI1232" i="55"/>
  <c r="K1232" i="55"/>
  <c r="AF1232" i="55"/>
  <c r="AK1232" i="55"/>
  <c r="AG1232" i="55"/>
  <c r="Z1232" i="55"/>
  <c r="L1232" i="55"/>
  <c r="V1232" i="55"/>
  <c r="H1232" i="55"/>
  <c r="I1232" i="55"/>
  <c r="C1232" i="55"/>
  <c r="X1232" i="55"/>
  <c r="AN1232" i="55"/>
  <c r="N1232" i="55"/>
  <c r="AT1232" i="55"/>
  <c r="U1232" i="55"/>
  <c r="AH1232" i="55"/>
  <c r="AC1232" i="55"/>
  <c r="AB1232" i="55"/>
  <c r="G1232" i="55"/>
  <c r="W1232" i="55"/>
  <c r="AM1232" i="55"/>
  <c r="D1232" i="55"/>
  <c r="S1232" i="55"/>
  <c r="B1232" i="55"/>
  <c r="M1232" i="55"/>
  <c r="AQ1232" i="55"/>
  <c r="A1232" i="55"/>
  <c r="AL256" i="55"/>
  <c r="V948" i="26" l="1"/>
  <c r="BF948" i="26"/>
  <c r="BC948" i="26"/>
  <c r="BU948" i="26"/>
  <c r="BD948" i="26"/>
  <c r="AU946" i="26"/>
  <c r="AR946" i="26"/>
  <c r="AW946" i="26"/>
  <c r="AX946" i="26"/>
  <c r="S947" i="26"/>
  <c r="T947" i="26" s="1"/>
  <c r="AM947" i="26"/>
  <c r="N947" i="26"/>
  <c r="AJ947" i="26"/>
  <c r="AK947" i="26" s="1"/>
  <c r="BL946" i="26"/>
  <c r="AF947" i="26"/>
  <c r="AT947" i="26"/>
  <c r="BJ948" i="26"/>
  <c r="A948" i="26"/>
  <c r="C948" i="26"/>
  <c r="H948" i="26"/>
  <c r="W948" i="26"/>
  <c r="B948" i="26"/>
  <c r="K948" i="26" s="1"/>
  <c r="M948" i="26" s="1"/>
  <c r="Q948" i="26"/>
  <c r="AS948" i="26"/>
  <c r="L948" i="26"/>
  <c r="G948" i="26"/>
  <c r="E1233" i="55"/>
  <c r="AL255" i="55"/>
  <c r="U948" i="26" l="1"/>
  <c r="BU949" i="26"/>
  <c r="AU947" i="26"/>
  <c r="AX947" i="26"/>
  <c r="AR947" i="26"/>
  <c r="AW947" i="26"/>
  <c r="N948" i="26"/>
  <c r="AJ948" i="26"/>
  <c r="AK948" i="26" s="1"/>
  <c r="BK948" i="26"/>
  <c r="AO948" i="26"/>
  <c r="X948" i="26"/>
  <c r="AV946" i="55"/>
  <c r="BT946" i="26"/>
  <c r="D948" i="26"/>
  <c r="BD949" i="26" s="1"/>
  <c r="O948" i="26"/>
  <c r="F948" i="26"/>
  <c r="R948" i="26" s="1"/>
  <c r="BL947" i="26"/>
  <c r="AV946" i="26"/>
  <c r="AY946" i="26" s="1"/>
  <c r="BA946" i="26" s="1"/>
  <c r="AP948" i="26"/>
  <c r="AF948" i="26"/>
  <c r="O1233" i="55"/>
  <c r="E949" i="26"/>
  <c r="AK1233" i="55"/>
  <c r="AI1233" i="55"/>
  <c r="Q1233" i="55"/>
  <c r="P1233" i="55"/>
  <c r="K1233" i="55"/>
  <c r="AL1233" i="55"/>
  <c r="AD1233" i="55"/>
  <c r="Z1233" i="55"/>
  <c r="AO1233" i="55"/>
  <c r="AG1233" i="55"/>
  <c r="AF1233" i="55"/>
  <c r="M1233" i="55"/>
  <c r="AC1233" i="55"/>
  <c r="W1233" i="55"/>
  <c r="AN1233" i="55"/>
  <c r="D1233" i="55"/>
  <c r="AH1233" i="55"/>
  <c r="A1233" i="55"/>
  <c r="C1233" i="55"/>
  <c r="U1233" i="55"/>
  <c r="X1233" i="55"/>
  <c r="AQ1233" i="55"/>
  <c r="B1233" i="55"/>
  <c r="L1233" i="55"/>
  <c r="I1233" i="55"/>
  <c r="AM1233" i="55"/>
  <c r="V1233" i="55"/>
  <c r="G1233" i="55"/>
  <c r="H1233" i="55"/>
  <c r="N1233" i="55"/>
  <c r="AB1233" i="55"/>
  <c r="S1233" i="55"/>
  <c r="AT1233" i="55"/>
  <c r="AL254" i="55"/>
  <c r="V949" i="26" l="1"/>
  <c r="BF949" i="26"/>
  <c r="BC949" i="26"/>
  <c r="S948" i="26"/>
  <c r="T948" i="26" s="1"/>
  <c r="AV947" i="26"/>
  <c r="AY947" i="26" s="1"/>
  <c r="BA947" i="26" s="1"/>
  <c r="P948" i="26"/>
  <c r="AM948" i="26"/>
  <c r="AT948" i="26"/>
  <c r="AV947" i="55"/>
  <c r="BT947" i="26"/>
  <c r="L949" i="26"/>
  <c r="H949" i="26"/>
  <c r="W949" i="26"/>
  <c r="F949" i="26"/>
  <c r="C949" i="26"/>
  <c r="B949" i="26"/>
  <c r="D949" i="26" s="1"/>
  <c r="A949" i="26"/>
  <c r="Q949" i="26"/>
  <c r="R949" i="26" s="1"/>
  <c r="E1234" i="55"/>
  <c r="AL253" i="55"/>
  <c r="AU948" i="26" l="1"/>
  <c r="AR948" i="26"/>
  <c r="AX948" i="26"/>
  <c r="AW948" i="26"/>
  <c r="AO949" i="26"/>
  <c r="P949" i="26"/>
  <c r="K949" i="26"/>
  <c r="M949" i="26" s="1"/>
  <c r="O949" i="26"/>
  <c r="AS949" i="26"/>
  <c r="BJ949" i="26" s="1"/>
  <c r="BL948" i="26"/>
  <c r="AF949" i="26"/>
  <c r="X949" i="26"/>
  <c r="BK949" i="26" s="1"/>
  <c r="U949" i="26"/>
  <c r="G949" i="26"/>
  <c r="AP949" i="26"/>
  <c r="AG1234" i="55"/>
  <c r="E950" i="26"/>
  <c r="BD950" i="26" s="1"/>
  <c r="Z1234" i="55"/>
  <c r="O1234" i="55"/>
  <c r="AD1234" i="55"/>
  <c r="AL1234" i="55"/>
  <c r="AF1234" i="55"/>
  <c r="AI1234" i="55"/>
  <c r="Q1234" i="55"/>
  <c r="P1234" i="55"/>
  <c r="K1234" i="55"/>
  <c r="AK1234" i="55"/>
  <c r="AO1234" i="55"/>
  <c r="M1234" i="55"/>
  <c r="AH1234" i="55"/>
  <c r="AN1234" i="55"/>
  <c r="L1234" i="55"/>
  <c r="AQ1234" i="55"/>
  <c r="B1234" i="55"/>
  <c r="X1234" i="55"/>
  <c r="V1234" i="55"/>
  <c r="G1234" i="55"/>
  <c r="W1234" i="55"/>
  <c r="C1234" i="55"/>
  <c r="AB1234" i="55"/>
  <c r="U1234" i="55"/>
  <c r="I1234" i="55"/>
  <c r="AM1234" i="55"/>
  <c r="S1234" i="55"/>
  <c r="AC1234" i="55"/>
  <c r="N1234" i="55"/>
  <c r="H1234" i="55"/>
  <c r="AT1234" i="55"/>
  <c r="A1234" i="55"/>
  <c r="D1234" i="55"/>
  <c r="AL252" i="55"/>
  <c r="V950" i="26" l="1"/>
  <c r="BF950" i="26"/>
  <c r="BC950" i="26"/>
  <c r="BU950" i="26"/>
  <c r="AT949" i="26"/>
  <c r="AM949" i="26"/>
  <c r="S949" i="26"/>
  <c r="T949" i="26" s="1"/>
  <c r="AV948" i="26"/>
  <c r="AY948" i="26" s="1"/>
  <c r="BA948" i="26" s="1"/>
  <c r="N949" i="26"/>
  <c r="AJ949" i="26"/>
  <c r="AK949" i="26" s="1"/>
  <c r="AV948" i="55"/>
  <c r="BT948" i="26"/>
  <c r="K950" i="26"/>
  <c r="M950" i="26" s="1"/>
  <c r="N950" i="26" s="1"/>
  <c r="AO950" i="26"/>
  <c r="AT950" i="26" s="1"/>
  <c r="AP950" i="26"/>
  <c r="AS950" i="26"/>
  <c r="BJ950" i="26" s="1"/>
  <c r="A950" i="26"/>
  <c r="W950" i="26"/>
  <c r="P950" i="26"/>
  <c r="F950" i="26"/>
  <c r="C950" i="26"/>
  <c r="D950" i="26"/>
  <c r="AJ950" i="26"/>
  <c r="AK950" i="26" s="1"/>
  <c r="R950" i="26"/>
  <c r="L950" i="26"/>
  <c r="H950" i="26"/>
  <c r="B950" i="26"/>
  <c r="X950" i="26" s="1"/>
  <c r="BK950" i="26" s="1"/>
  <c r="Q950" i="26"/>
  <c r="E1235" i="55"/>
  <c r="AL251" i="55"/>
  <c r="U950" i="26" l="1"/>
  <c r="BD951" i="26"/>
  <c r="AF950" i="26"/>
  <c r="BL949" i="26"/>
  <c r="O950" i="26"/>
  <c r="AU949" i="26"/>
  <c r="AR949" i="26" s="1"/>
  <c r="AW949" i="26"/>
  <c r="AX949" i="26"/>
  <c r="G950" i="26"/>
  <c r="O1235" i="55"/>
  <c r="E951" i="26"/>
  <c r="Z1235" i="55"/>
  <c r="AI1235" i="55"/>
  <c r="Q1235" i="55"/>
  <c r="P1235" i="55"/>
  <c r="K1235" i="55"/>
  <c r="AL1235" i="55"/>
  <c r="AG1235" i="55"/>
  <c r="AF1235" i="55"/>
  <c r="AO1235" i="55"/>
  <c r="AD1235" i="55"/>
  <c r="AK1235" i="55"/>
  <c r="S1235" i="55"/>
  <c r="W1235" i="55"/>
  <c r="AT1235" i="55"/>
  <c r="AQ1235" i="55"/>
  <c r="AN1235" i="55"/>
  <c r="U1235" i="55"/>
  <c r="N1235" i="55"/>
  <c r="AH1235" i="55"/>
  <c r="V1235" i="55"/>
  <c r="D1235" i="55"/>
  <c r="I1235" i="55"/>
  <c r="M1235" i="55"/>
  <c r="H1235" i="55"/>
  <c r="AM1235" i="55"/>
  <c r="A1235" i="55"/>
  <c r="C1235" i="55"/>
  <c r="G1235" i="55"/>
  <c r="X1235" i="55"/>
  <c r="AC1235" i="55"/>
  <c r="L1235" i="55"/>
  <c r="B1235" i="55"/>
  <c r="AB1235" i="55"/>
  <c r="AL250" i="55"/>
  <c r="V951" i="26" l="1"/>
  <c r="BF951" i="26"/>
  <c r="BC951" i="26"/>
  <c r="BU951" i="26"/>
  <c r="AV949" i="26"/>
  <c r="AY949" i="26" s="1"/>
  <c r="BA949" i="26" s="1"/>
  <c r="AV949" i="55"/>
  <c r="BT949" i="26"/>
  <c r="AM950" i="26"/>
  <c r="S950" i="26"/>
  <c r="T950" i="26" s="1"/>
  <c r="A951" i="26"/>
  <c r="L951" i="26"/>
  <c r="H951" i="26"/>
  <c r="W951" i="26"/>
  <c r="C951" i="26"/>
  <c r="B951" i="26"/>
  <c r="K951" i="26" s="1"/>
  <c r="M951" i="26" s="1"/>
  <c r="Q951" i="26"/>
  <c r="E1236" i="55"/>
  <c r="AL249" i="55"/>
  <c r="AS951" i="26" l="1"/>
  <c r="BJ951" i="26" s="1"/>
  <c r="N951" i="26"/>
  <c r="AJ951" i="26"/>
  <c r="AK951" i="26" s="1"/>
  <c r="AP951" i="26"/>
  <c r="U951" i="26"/>
  <c r="AU950" i="26"/>
  <c r="AW950" i="26"/>
  <c r="AX950" i="26"/>
  <c r="BL950" i="26"/>
  <c r="F951" i="26"/>
  <c r="R951" i="26" s="1"/>
  <c r="G951" i="26"/>
  <c r="X951" i="26"/>
  <c r="D951" i="26"/>
  <c r="BU952" i="26" s="1"/>
  <c r="AF951" i="26"/>
  <c r="O1236" i="55"/>
  <c r="E952" i="26"/>
  <c r="BD952" i="26" s="1"/>
  <c r="AO1236" i="55"/>
  <c r="AI1236" i="55"/>
  <c r="Q1236" i="55"/>
  <c r="P1236" i="55"/>
  <c r="K1236" i="55"/>
  <c r="AL1236" i="55"/>
  <c r="Z1236" i="55"/>
  <c r="AD1236" i="55"/>
  <c r="AF1236" i="55"/>
  <c r="AG1236" i="55"/>
  <c r="AK1236" i="55"/>
  <c r="N1236" i="55"/>
  <c r="X1236" i="55"/>
  <c r="S1236" i="55"/>
  <c r="I1236" i="55"/>
  <c r="AH1236" i="55"/>
  <c r="D1236" i="55"/>
  <c r="AC1236" i="55"/>
  <c r="H1236" i="55"/>
  <c r="W1236" i="55"/>
  <c r="V1236" i="55"/>
  <c r="AB1236" i="55"/>
  <c r="AN1236" i="55"/>
  <c r="U1236" i="55"/>
  <c r="AQ1236" i="55"/>
  <c r="L1236" i="55"/>
  <c r="A1236" i="55"/>
  <c r="AT1236" i="55"/>
  <c r="C1236" i="55"/>
  <c r="B1236" i="55"/>
  <c r="AM1236" i="55"/>
  <c r="G1236" i="55"/>
  <c r="M1236" i="55"/>
  <c r="AL248" i="55"/>
  <c r="V952" i="26" l="1"/>
  <c r="BF952" i="26"/>
  <c r="BC952" i="26"/>
  <c r="AV950" i="55"/>
  <c r="BT950" i="26"/>
  <c r="P951" i="26"/>
  <c r="BK951" i="26"/>
  <c r="AO951" i="26"/>
  <c r="AT951" i="26" s="1"/>
  <c r="AR950" i="26"/>
  <c r="O951" i="26"/>
  <c r="Q952" i="26"/>
  <c r="O952" i="26"/>
  <c r="S952" i="26" s="1"/>
  <c r="T952" i="26" s="1"/>
  <c r="A952" i="26"/>
  <c r="C952" i="26"/>
  <c r="W952" i="26"/>
  <c r="B952" i="26"/>
  <c r="K952" i="26" s="1"/>
  <c r="M952" i="26" s="1"/>
  <c r="D952" i="26"/>
  <c r="F952" i="26"/>
  <c r="U952" i="26"/>
  <c r="L952" i="26"/>
  <c r="H952" i="26"/>
  <c r="AO952" i="26"/>
  <c r="G952" i="26"/>
  <c r="R952" i="26"/>
  <c r="E1237" i="55"/>
  <c r="AL247" i="55"/>
  <c r="AS952" i="26" l="1"/>
  <c r="BJ952" i="26" s="1"/>
  <c r="BD953" i="26"/>
  <c r="N952" i="26"/>
  <c r="AJ952" i="26"/>
  <c r="AK952" i="26" s="1"/>
  <c r="BL952" i="26"/>
  <c r="AM952" i="26"/>
  <c r="AU952" i="26" s="1"/>
  <c r="P952" i="26"/>
  <c r="X952" i="26"/>
  <c r="BK952" i="26" s="1"/>
  <c r="AP952" i="26"/>
  <c r="AT952" i="26" s="1"/>
  <c r="S951" i="26"/>
  <c r="T951" i="26" s="1"/>
  <c r="AM951" i="26"/>
  <c r="AF952" i="26"/>
  <c r="AV950" i="26"/>
  <c r="AY950" i="26" s="1"/>
  <c r="BA950" i="26" s="1"/>
  <c r="AW951" i="26"/>
  <c r="Z1237" i="55"/>
  <c r="E953" i="26"/>
  <c r="O1237" i="55"/>
  <c r="AD1237" i="55"/>
  <c r="Q1237" i="55"/>
  <c r="AI1237" i="55"/>
  <c r="P1237" i="55"/>
  <c r="K1237" i="55"/>
  <c r="AG1237" i="55"/>
  <c r="AF1237" i="55"/>
  <c r="AK1237" i="55"/>
  <c r="AO1237" i="55"/>
  <c r="AL1237" i="55"/>
  <c r="B1237" i="55"/>
  <c r="I1237" i="55"/>
  <c r="A1237" i="55"/>
  <c r="AH1237" i="55"/>
  <c r="C1237" i="55"/>
  <c r="V1237" i="55"/>
  <c r="S1237" i="55"/>
  <c r="M1237" i="55"/>
  <c r="AC1237" i="55"/>
  <c r="D1237" i="55"/>
  <c r="L1237" i="55"/>
  <c r="W1237" i="55"/>
  <c r="AM1237" i="55"/>
  <c r="G1237" i="55"/>
  <c r="U1237" i="55"/>
  <c r="AN1237" i="55"/>
  <c r="H1237" i="55"/>
  <c r="AB1237" i="55"/>
  <c r="AT1237" i="55"/>
  <c r="N1237" i="55"/>
  <c r="AQ1237" i="55"/>
  <c r="X1237" i="55"/>
  <c r="AL246" i="55"/>
  <c r="V953" i="26" l="1"/>
  <c r="BF953" i="26"/>
  <c r="BC953" i="26"/>
  <c r="BU953" i="26"/>
  <c r="AU951" i="26"/>
  <c r="AX951" i="26"/>
  <c r="AX952" i="26"/>
  <c r="AR952" i="26"/>
  <c r="BL951" i="26"/>
  <c r="AW952" i="26"/>
  <c r="U953" i="26"/>
  <c r="W953" i="26"/>
  <c r="L953" i="26"/>
  <c r="B953" i="26"/>
  <c r="X953" i="26" s="1"/>
  <c r="H953" i="26"/>
  <c r="A953" i="26"/>
  <c r="F953" i="26"/>
  <c r="G953" i="26"/>
  <c r="D953" i="26"/>
  <c r="Q953" i="26"/>
  <c r="R953" i="26"/>
  <c r="C953" i="26"/>
  <c r="K953" i="26"/>
  <c r="AF953" i="26"/>
  <c r="E1238" i="55"/>
  <c r="AL245" i="55"/>
  <c r="M953" i="26" l="1"/>
  <c r="O953" i="26"/>
  <c r="BK953" i="26"/>
  <c r="AV951" i="55"/>
  <c r="BT951" i="26"/>
  <c r="AR951" i="26"/>
  <c r="P953" i="26"/>
  <c r="AP953" i="26"/>
  <c r="AV952" i="26"/>
  <c r="AY952" i="26" s="1"/>
  <c r="BA952" i="26" s="1"/>
  <c r="E954" i="26"/>
  <c r="AO1238" i="55"/>
  <c r="O1238" i="55"/>
  <c r="AL1238" i="55"/>
  <c r="Z1238" i="55"/>
  <c r="AD1238" i="55"/>
  <c r="AI1238" i="55"/>
  <c r="P1238" i="55"/>
  <c r="Q1238" i="55"/>
  <c r="K1238" i="55"/>
  <c r="AF1238" i="55"/>
  <c r="AK1238" i="55"/>
  <c r="AG1238" i="55"/>
  <c r="L1238" i="55"/>
  <c r="AT1238" i="55"/>
  <c r="A1238" i="55"/>
  <c r="M1238" i="55"/>
  <c r="X1238" i="55"/>
  <c r="G1238" i="55"/>
  <c r="AQ1238" i="55"/>
  <c r="D1238" i="55"/>
  <c r="AC1238" i="55"/>
  <c r="S1238" i="55"/>
  <c r="B1238" i="55"/>
  <c r="AN1238" i="55"/>
  <c r="H1238" i="55"/>
  <c r="W1238" i="55"/>
  <c r="I1238" i="55"/>
  <c r="AH1238" i="55"/>
  <c r="AB1238" i="55"/>
  <c r="U1238" i="55"/>
  <c r="AM1238" i="55"/>
  <c r="C1238" i="55"/>
  <c r="V1238" i="55"/>
  <c r="N1238" i="55"/>
  <c r="V954" i="26" l="1"/>
  <c r="BF954" i="26"/>
  <c r="BC954" i="26"/>
  <c r="BD954" i="26"/>
  <c r="BU954" i="26"/>
  <c r="AM953" i="26"/>
  <c r="AU953" i="26" s="1"/>
  <c r="S953" i="26"/>
  <c r="T953" i="26" s="1"/>
  <c r="N953" i="26"/>
  <c r="AJ953" i="26"/>
  <c r="AK953" i="26" s="1"/>
  <c r="AO953" i="26"/>
  <c r="AT953" i="26" s="1"/>
  <c r="AV952" i="55"/>
  <c r="BT952" i="26"/>
  <c r="AV951" i="26"/>
  <c r="AY951" i="26"/>
  <c r="BA951" i="26" s="1"/>
  <c r="AW953" i="26"/>
  <c r="AX953" i="26"/>
  <c r="H954" i="26"/>
  <c r="W954" i="26"/>
  <c r="AO954" i="26"/>
  <c r="F954" i="26"/>
  <c r="C954" i="26"/>
  <c r="AS954" i="26"/>
  <c r="BJ954" i="26" s="1"/>
  <c r="Q954" i="26"/>
  <c r="R954" i="26" s="1"/>
  <c r="U954" i="26"/>
  <c r="AF954" i="26" s="1"/>
  <c r="B954" i="26"/>
  <c r="K954" i="26" s="1"/>
  <c r="M954" i="26" s="1"/>
  <c r="A954" i="26"/>
  <c r="L954" i="26"/>
  <c r="E1239" i="55"/>
  <c r="AG1239" i="55" s="1"/>
  <c r="N954" i="26" l="1"/>
  <c r="AJ954" i="26"/>
  <c r="AK954" i="26" s="1"/>
  <c r="AP954" i="26"/>
  <c r="AT954" i="26" s="1"/>
  <c r="G954" i="26"/>
  <c r="D954" i="26"/>
  <c r="BL953" i="26"/>
  <c r="X954" i="26"/>
  <c r="BK954" i="26" s="1"/>
  <c r="AD1239" i="55"/>
  <c r="Z1239" i="55"/>
  <c r="O1239" i="55"/>
  <c r="AK1239" i="55"/>
  <c r="AI1239" i="55"/>
  <c r="Q1239" i="55"/>
  <c r="P1239" i="55"/>
  <c r="K1239" i="55"/>
  <c r="AO1239" i="55"/>
  <c r="AF1239" i="55"/>
  <c r="AL1239" i="55"/>
  <c r="M1239" i="55"/>
  <c r="N1239" i="55"/>
  <c r="A1239" i="55"/>
  <c r="D1239" i="55"/>
  <c r="AB1239" i="55"/>
  <c r="H1239" i="55"/>
  <c r="X1239" i="55"/>
  <c r="U1239" i="55"/>
  <c r="I1239" i="55"/>
  <c r="B1239" i="55"/>
  <c r="L1239" i="55"/>
  <c r="V1239" i="55"/>
  <c r="AQ1239" i="55"/>
  <c r="G1239" i="55"/>
  <c r="W1239" i="55"/>
  <c r="AT1239" i="55"/>
  <c r="S1239" i="55"/>
  <c r="C1239" i="55"/>
  <c r="AN1239" i="55"/>
  <c r="AM1239" i="55"/>
  <c r="AC1239" i="55"/>
  <c r="AH1239" i="55"/>
  <c r="O954" i="26" l="1"/>
  <c r="E955" i="26"/>
  <c r="AV953" i="55"/>
  <c r="BT953" i="26"/>
  <c r="P954" i="26"/>
  <c r="E1240" i="55"/>
  <c r="BF955" i="26" l="1"/>
  <c r="BC955" i="26"/>
  <c r="BD955" i="26"/>
  <c r="BU955" i="26"/>
  <c r="A955" i="26"/>
  <c r="V955" i="26"/>
  <c r="AO955" i="26"/>
  <c r="H955" i="26"/>
  <c r="Q955" i="26"/>
  <c r="L955" i="26"/>
  <c r="W955" i="26"/>
  <c r="C955" i="26"/>
  <c r="U955" i="26"/>
  <c r="S954" i="26"/>
  <c r="T954" i="26" s="1"/>
  <c r="AM954" i="26"/>
  <c r="B955" i="26"/>
  <c r="AW954" i="26"/>
  <c r="O1240" i="55"/>
  <c r="AK1240" i="55"/>
  <c r="AI1240" i="55"/>
  <c r="Q1240" i="55"/>
  <c r="P1240" i="55"/>
  <c r="K1240" i="55"/>
  <c r="AD1240" i="55"/>
  <c r="AO1240" i="55"/>
  <c r="Z1240" i="55"/>
  <c r="AG1240" i="55"/>
  <c r="AL1240" i="55"/>
  <c r="AF1240" i="55"/>
  <c r="B1240" i="55"/>
  <c r="AN1240" i="55"/>
  <c r="S1240" i="55"/>
  <c r="AQ1240" i="55"/>
  <c r="G1240" i="55"/>
  <c r="N1240" i="55"/>
  <c r="V1240" i="55"/>
  <c r="H1240" i="55"/>
  <c r="AH1240" i="55"/>
  <c r="AB1240" i="55"/>
  <c r="C1240" i="55"/>
  <c r="M1240" i="55"/>
  <c r="AT1240" i="55"/>
  <c r="W1240" i="55"/>
  <c r="A1240" i="55"/>
  <c r="L1240" i="55"/>
  <c r="AC1240" i="55"/>
  <c r="I1240" i="55"/>
  <c r="D1240" i="55"/>
  <c r="U1240" i="55"/>
  <c r="AM1240" i="55"/>
  <c r="X1240" i="55"/>
  <c r="AS955" i="26" l="1"/>
  <c r="BJ955" i="26" s="1"/>
  <c r="AP955" i="26"/>
  <c r="AT955" i="26" s="1"/>
  <c r="AF955" i="26"/>
  <c r="X955" i="26"/>
  <c r="BK955" i="26" s="1"/>
  <c r="D955" i="26"/>
  <c r="G955" i="26"/>
  <c r="F955" i="26"/>
  <c r="R955" i="26" s="1"/>
  <c r="AU954" i="26"/>
  <c r="AX954" i="26"/>
  <c r="AR954" i="26"/>
  <c r="K955" i="26"/>
  <c r="M955" i="26" s="1"/>
  <c r="BL954" i="26"/>
  <c r="E1241" i="55"/>
  <c r="AV954" i="55" l="1"/>
  <c r="BT954" i="26"/>
  <c r="AY954" i="26"/>
  <c r="BA954" i="26" s="1"/>
  <c r="AV954" i="26"/>
  <c r="O955" i="26"/>
  <c r="E956" i="26"/>
  <c r="N955" i="26"/>
  <c r="AJ955" i="26"/>
  <c r="AK955" i="26" s="1"/>
  <c r="P955" i="26"/>
  <c r="O1241" i="55"/>
  <c r="AL1241" i="55"/>
  <c r="AK1241" i="55"/>
  <c r="AI1241" i="55"/>
  <c r="Q1241" i="55"/>
  <c r="P1241" i="55"/>
  <c r="K1241" i="55"/>
  <c r="AO1241" i="55"/>
  <c r="AG1241" i="55"/>
  <c r="AD1241" i="55"/>
  <c r="AF1241" i="55"/>
  <c r="Z1241" i="55"/>
  <c r="M1241" i="55"/>
  <c r="A1241" i="55"/>
  <c r="G1241" i="55"/>
  <c r="S1241" i="55"/>
  <c r="L1241" i="55"/>
  <c r="U1241" i="55"/>
  <c r="H1241" i="55"/>
  <c r="X1241" i="55"/>
  <c r="C1241" i="55"/>
  <c r="AC1241" i="55"/>
  <c r="AM1241" i="55"/>
  <c r="N1241" i="55"/>
  <c r="W1241" i="55"/>
  <c r="AN1241" i="55"/>
  <c r="AT1241" i="55"/>
  <c r="B1241" i="55"/>
  <c r="D1241" i="55"/>
  <c r="AQ1241" i="55"/>
  <c r="AH1241" i="55"/>
  <c r="I1241" i="55"/>
  <c r="V1241" i="55"/>
  <c r="AB1241" i="55"/>
  <c r="V956" i="26" l="1"/>
  <c r="BF956" i="26"/>
  <c r="BC956" i="26"/>
  <c r="BD956" i="26"/>
  <c r="BU956" i="26"/>
  <c r="S955" i="26"/>
  <c r="T955" i="26" s="1"/>
  <c r="AM955" i="26"/>
  <c r="AU955" i="26" s="1"/>
  <c r="AR955" i="26"/>
  <c r="AW955" i="26"/>
  <c r="W956" i="26"/>
  <c r="C956" i="26"/>
  <c r="L956" i="26"/>
  <c r="B956" i="26"/>
  <c r="U956" i="26"/>
  <c r="A956" i="26"/>
  <c r="H956" i="26"/>
  <c r="G956" i="26"/>
  <c r="Q956" i="26"/>
  <c r="AX955" i="26"/>
  <c r="E1242" i="55"/>
  <c r="K956" i="26" l="1"/>
  <c r="M956" i="26" s="1"/>
  <c r="AF956" i="26"/>
  <c r="F956" i="26"/>
  <c r="R956" i="26" s="1"/>
  <c r="AP956" i="26"/>
  <c r="AS956" i="26"/>
  <c r="BJ956" i="26" s="1"/>
  <c r="BL955" i="26"/>
  <c r="AY955" i="26"/>
  <c r="BA955" i="26" s="1"/>
  <c r="AV955" i="26"/>
  <c r="X956" i="26"/>
  <c r="D956" i="26"/>
  <c r="E957" i="26" s="1"/>
  <c r="AL1242" i="55"/>
  <c r="Z1242" i="55"/>
  <c r="O1242" i="55"/>
  <c r="AG1242" i="55"/>
  <c r="AF1242" i="55"/>
  <c r="AI1242" i="55"/>
  <c r="P1242" i="55"/>
  <c r="Q1242" i="55"/>
  <c r="K1242" i="55"/>
  <c r="AO1242" i="55"/>
  <c r="AK1242" i="55"/>
  <c r="AD1242" i="55"/>
  <c r="X1242" i="55"/>
  <c r="C1242" i="55"/>
  <c r="L1242" i="55"/>
  <c r="S1242" i="55"/>
  <c r="AT1242" i="55"/>
  <c r="B1242" i="55"/>
  <c r="W1242" i="55"/>
  <c r="AQ1242" i="55"/>
  <c r="N1242" i="55"/>
  <c r="A1242" i="55"/>
  <c r="U1242" i="55"/>
  <c r="I1242" i="55"/>
  <c r="AH1242" i="55"/>
  <c r="M1242" i="55"/>
  <c r="AM1242" i="55"/>
  <c r="V1242" i="55"/>
  <c r="AN1242" i="55"/>
  <c r="H1242" i="55"/>
  <c r="G1242" i="55"/>
  <c r="D1242" i="55"/>
  <c r="AB1242" i="55"/>
  <c r="AC1242" i="55"/>
  <c r="BD957" i="26" l="1"/>
  <c r="V957" i="26"/>
  <c r="BF957" i="26"/>
  <c r="BC957" i="26"/>
  <c r="BU957" i="26"/>
  <c r="W957" i="26"/>
  <c r="L957" i="26"/>
  <c r="U957" i="26"/>
  <c r="F957" i="26"/>
  <c r="C957" i="26"/>
  <c r="K957" i="26"/>
  <c r="M957" i="26" s="1"/>
  <c r="N957" i="26" s="1"/>
  <c r="AF957" i="26"/>
  <c r="B957" i="26"/>
  <c r="G957" i="26" s="1"/>
  <c r="H957" i="26"/>
  <c r="R957" i="26"/>
  <c r="AP957" i="26"/>
  <c r="Q957" i="26"/>
  <c r="X957" i="26"/>
  <c r="A957" i="26"/>
  <c r="D957" i="26"/>
  <c r="AO956" i="26"/>
  <c r="AT956" i="26" s="1"/>
  <c r="BK956" i="26"/>
  <c r="AV955" i="55"/>
  <c r="BT955" i="26"/>
  <c r="O956" i="26"/>
  <c r="P956" i="26"/>
  <c r="N956" i="26"/>
  <c r="AJ956" i="26"/>
  <c r="AK956" i="26" s="1"/>
  <c r="E1243" i="55"/>
  <c r="AS957" i="26" l="1"/>
  <c r="BJ957" i="26" s="1"/>
  <c r="BD958" i="26"/>
  <c r="O957" i="26"/>
  <c r="P957" i="26"/>
  <c r="S956" i="26"/>
  <c r="T956" i="26" s="1"/>
  <c r="AM956" i="26"/>
  <c r="AJ957" i="26"/>
  <c r="AK957" i="26" s="1"/>
  <c r="E958" i="26"/>
  <c r="BK957" i="26"/>
  <c r="O1243" i="55"/>
  <c r="AO1243" i="55"/>
  <c r="Q1243" i="55"/>
  <c r="AI1243" i="55"/>
  <c r="K1243" i="55"/>
  <c r="P1243" i="55"/>
  <c r="AL1243" i="55"/>
  <c r="AF1243" i="55"/>
  <c r="AG1243" i="55"/>
  <c r="AK1243" i="55"/>
  <c r="AD1243" i="55"/>
  <c r="Z1243" i="55"/>
  <c r="I1243" i="55"/>
  <c r="G1243" i="55"/>
  <c r="S1243" i="55"/>
  <c r="AQ1243" i="55"/>
  <c r="L1243" i="55"/>
  <c r="D1243" i="55"/>
  <c r="AM1243" i="55"/>
  <c r="C1243" i="55"/>
  <c r="B1243" i="55"/>
  <c r="V1243" i="55"/>
  <c r="AB1243" i="55"/>
  <c r="N1243" i="55"/>
  <c r="H1243" i="55"/>
  <c r="W1243" i="55"/>
  <c r="AC1243" i="55"/>
  <c r="M1243" i="55"/>
  <c r="AT1243" i="55"/>
  <c r="A1243" i="55"/>
  <c r="AN1243" i="55"/>
  <c r="AH1243" i="55"/>
  <c r="X1243" i="55"/>
  <c r="U1243" i="55"/>
  <c r="V958" i="26" l="1"/>
  <c r="BF958" i="26"/>
  <c r="BC958" i="26"/>
  <c r="BU958" i="26"/>
  <c r="BL956" i="26"/>
  <c r="Q958" i="26"/>
  <c r="B958" i="26"/>
  <c r="F958" i="26" s="1"/>
  <c r="R958" i="26" s="1"/>
  <c r="L958" i="26"/>
  <c r="H958" i="26"/>
  <c r="AO958" i="26"/>
  <c r="W958" i="26"/>
  <c r="A958" i="26"/>
  <c r="C958" i="26"/>
  <c r="AF958" i="26"/>
  <c r="U958" i="26"/>
  <c r="BK958" i="26"/>
  <c r="X958" i="26"/>
  <c r="AU956" i="26"/>
  <c r="AR956" i="26" s="1"/>
  <c r="AW956" i="26"/>
  <c r="AX956" i="26"/>
  <c r="AM957" i="26"/>
  <c r="S957" i="26"/>
  <c r="T957" i="26" s="1"/>
  <c r="AO957" i="26"/>
  <c r="AT957" i="26" s="1"/>
  <c r="E1244" i="55"/>
  <c r="AY956" i="26" l="1"/>
  <c r="BA956" i="26" s="1"/>
  <c r="AV956" i="26"/>
  <c r="BL957" i="26"/>
  <c r="AV956" i="55"/>
  <c r="BT956" i="26"/>
  <c r="K958" i="26"/>
  <c r="M958" i="26" s="1"/>
  <c r="D958" i="26"/>
  <c r="E959" i="26" s="1"/>
  <c r="AP958" i="26"/>
  <c r="AT958" i="26" s="1"/>
  <c r="AU957" i="26"/>
  <c r="AX957" i="26"/>
  <c r="AW957" i="26"/>
  <c r="AR957" i="26"/>
  <c r="O958" i="26"/>
  <c r="P958" i="26"/>
  <c r="AS958" i="26"/>
  <c r="BJ958" i="26" s="1"/>
  <c r="G958" i="26"/>
  <c r="O1244" i="55"/>
  <c r="AO1244" i="55"/>
  <c r="AI1244" i="55"/>
  <c r="Q1244" i="55"/>
  <c r="P1244" i="55"/>
  <c r="K1244" i="55"/>
  <c r="AL1244" i="55"/>
  <c r="AF1244" i="55"/>
  <c r="Z1244" i="55"/>
  <c r="AG1244" i="55"/>
  <c r="AK1244" i="55"/>
  <c r="AD1244" i="55"/>
  <c r="X1244" i="55"/>
  <c r="L1244" i="55"/>
  <c r="AN1244" i="55"/>
  <c r="C1244" i="55"/>
  <c r="M1244" i="55"/>
  <c r="AM1244" i="55"/>
  <c r="I1244" i="55"/>
  <c r="N1244" i="55"/>
  <c r="G1244" i="55"/>
  <c r="AH1244" i="55"/>
  <c r="H1244" i="55"/>
  <c r="AC1244" i="55"/>
  <c r="U1244" i="55"/>
  <c r="D1244" i="55"/>
  <c r="AQ1244" i="55"/>
  <c r="S1244" i="55"/>
  <c r="B1244" i="55"/>
  <c r="AB1244" i="55"/>
  <c r="A1244" i="55"/>
  <c r="V1244" i="55"/>
  <c r="W1244" i="55"/>
  <c r="AT1244" i="55"/>
  <c r="BD959" i="26" l="1"/>
  <c r="V959" i="26"/>
  <c r="BF959" i="26"/>
  <c r="BC959" i="26"/>
  <c r="BU959" i="26"/>
  <c r="AV957" i="55"/>
  <c r="BT957" i="26"/>
  <c r="A959" i="26"/>
  <c r="C959" i="26"/>
  <c r="B959" i="26"/>
  <c r="G959" i="26" s="1"/>
  <c r="W959" i="26"/>
  <c r="L959" i="26"/>
  <c r="K959" i="26"/>
  <c r="M959" i="26" s="1"/>
  <c r="N959" i="26" s="1"/>
  <c r="Q959" i="26"/>
  <c r="AJ959" i="26"/>
  <c r="AK959" i="26" s="1"/>
  <c r="H959" i="26"/>
  <c r="D959" i="26"/>
  <c r="AM958" i="26"/>
  <c r="AV957" i="26"/>
  <c r="AY957" i="26"/>
  <c r="BA957" i="26" s="1"/>
  <c r="S958" i="26"/>
  <c r="T958" i="26" s="1"/>
  <c r="N958" i="26"/>
  <c r="AJ958" i="26"/>
  <c r="AK958" i="26" s="1"/>
  <c r="E1245" i="55"/>
  <c r="E960" i="26" l="1"/>
  <c r="BU960" i="26" s="1"/>
  <c r="AU958" i="26"/>
  <c r="AX958" i="26"/>
  <c r="BL958" i="26"/>
  <c r="AF959" i="26"/>
  <c r="F959" i="26"/>
  <c r="R959" i="26" s="1"/>
  <c r="U959" i="26"/>
  <c r="W960" i="26"/>
  <c r="P959" i="26"/>
  <c r="AW958" i="26"/>
  <c r="AR958" i="26"/>
  <c r="F960" i="26"/>
  <c r="O959" i="26"/>
  <c r="X959" i="26"/>
  <c r="AS959" i="26"/>
  <c r="BJ959" i="26" s="1"/>
  <c r="AP959" i="26"/>
  <c r="O1245" i="55"/>
  <c r="AD1245" i="55"/>
  <c r="Q1245" i="55"/>
  <c r="AI1245" i="55"/>
  <c r="P1245" i="55"/>
  <c r="K1245" i="55"/>
  <c r="Z1245" i="55"/>
  <c r="AK1245" i="55"/>
  <c r="AF1245" i="55"/>
  <c r="AL1245" i="55"/>
  <c r="L1245" i="55"/>
  <c r="N1245" i="55"/>
  <c r="X1245" i="55"/>
  <c r="AN1245" i="55"/>
  <c r="I1245" i="55"/>
  <c r="V1245" i="55"/>
  <c r="AT1245" i="55"/>
  <c r="AB1245" i="55"/>
  <c r="S1245" i="55"/>
  <c r="M1245" i="55"/>
  <c r="AC1245" i="55"/>
  <c r="B1245" i="55"/>
  <c r="A1245" i="55"/>
  <c r="C1245" i="55"/>
  <c r="D1245" i="55"/>
  <c r="AM1245" i="55"/>
  <c r="H1245" i="55"/>
  <c r="G1245" i="55"/>
  <c r="W1245" i="55"/>
  <c r="AH1245" i="55"/>
  <c r="AQ1245" i="55"/>
  <c r="U1245" i="55"/>
  <c r="AO1245" i="55"/>
  <c r="AG1245" i="55"/>
  <c r="D960" i="26" l="1"/>
  <c r="R960" i="26"/>
  <c r="P960" i="26"/>
  <c r="A960" i="26"/>
  <c r="Q960" i="26"/>
  <c r="BF960" i="26"/>
  <c r="BC960" i="26"/>
  <c r="G960" i="26"/>
  <c r="BD960" i="26"/>
  <c r="H960" i="26"/>
  <c r="V960" i="26"/>
  <c r="L960" i="26"/>
  <c r="B960" i="26"/>
  <c r="C960" i="26"/>
  <c r="BK959" i="26"/>
  <c r="AO959" i="26"/>
  <c r="AT959" i="26" s="1"/>
  <c r="U960" i="26"/>
  <c r="X960" i="26"/>
  <c r="AV958" i="55"/>
  <c r="BT958" i="26"/>
  <c r="AP960" i="26"/>
  <c r="AY958" i="26"/>
  <c r="BA958" i="26" s="1"/>
  <c r="AV958" i="26"/>
  <c r="BK960" i="26"/>
  <c r="O960" i="26"/>
  <c r="S959" i="26"/>
  <c r="T959" i="26" s="1"/>
  <c r="AM959" i="26"/>
  <c r="K960" i="26"/>
  <c r="M960" i="26" s="1"/>
  <c r="AF960" i="26"/>
  <c r="AO960" i="26"/>
  <c r="AT960" i="26" s="1"/>
  <c r="E1246" i="55"/>
  <c r="AS960" i="26" l="1"/>
  <c r="BJ960" i="26" s="1"/>
  <c r="E961" i="26"/>
  <c r="BL959" i="26"/>
  <c r="AF961" i="26"/>
  <c r="S960" i="26"/>
  <c r="T960" i="26" s="1"/>
  <c r="AM960" i="26"/>
  <c r="P961" i="26"/>
  <c r="N960" i="26"/>
  <c r="AJ960" i="26"/>
  <c r="AK960" i="26" s="1"/>
  <c r="AU959" i="26"/>
  <c r="AW959" i="26"/>
  <c r="AR959" i="26"/>
  <c r="AX959" i="26"/>
  <c r="O1246" i="55"/>
  <c r="AK1246" i="55"/>
  <c r="AO1246" i="55"/>
  <c r="AI1246" i="55"/>
  <c r="P1246" i="55"/>
  <c r="Q1246" i="55"/>
  <c r="K1246" i="55"/>
  <c r="AL1246" i="55"/>
  <c r="B1246" i="55"/>
  <c r="V1246" i="55"/>
  <c r="D1246" i="55"/>
  <c r="S1246" i="55"/>
  <c r="H1246" i="55"/>
  <c r="AT1246" i="55"/>
  <c r="M1246" i="55"/>
  <c r="A1246" i="55"/>
  <c r="AH1246" i="55"/>
  <c r="G1246" i="55"/>
  <c r="I1246" i="55"/>
  <c r="X1246" i="55"/>
  <c r="AC1246" i="55"/>
  <c r="AB1246" i="55"/>
  <c r="U1246" i="55"/>
  <c r="AQ1246" i="55"/>
  <c r="C1246" i="55"/>
  <c r="AN1246" i="55"/>
  <c r="N1246" i="55"/>
  <c r="L1246" i="55"/>
  <c r="W1246" i="55"/>
  <c r="AM1246" i="55"/>
  <c r="Z1246" i="55"/>
  <c r="AG1246" i="55"/>
  <c r="AF1246" i="55"/>
  <c r="AD1246" i="55"/>
  <c r="BF961" i="26" l="1"/>
  <c r="BC961" i="26"/>
  <c r="G961" i="26"/>
  <c r="BD961" i="26"/>
  <c r="S961" i="26"/>
  <c r="T961" i="26" s="1"/>
  <c r="BU961" i="26"/>
  <c r="AS961" i="26"/>
  <c r="BJ961" i="26" s="1"/>
  <c r="V961" i="26"/>
  <c r="AM961" i="26"/>
  <c r="B961" i="26"/>
  <c r="O961" i="26" s="1"/>
  <c r="H961" i="26"/>
  <c r="K961" i="26"/>
  <c r="M961" i="26" s="1"/>
  <c r="N961" i="26" s="1"/>
  <c r="W961" i="26"/>
  <c r="C961" i="26"/>
  <c r="AO961" i="26"/>
  <c r="Q961" i="26"/>
  <c r="A961" i="26"/>
  <c r="U961" i="26"/>
  <c r="F961" i="26"/>
  <c r="R961" i="26" s="1"/>
  <c r="L961" i="26"/>
  <c r="AJ961" i="26"/>
  <c r="AK961" i="26" s="1"/>
  <c r="D961" i="26"/>
  <c r="X961" i="26"/>
  <c r="BK961" i="26" s="1"/>
  <c r="AP961" i="26"/>
  <c r="AT961" i="26" s="1"/>
  <c r="AU961" i="26"/>
  <c r="AR961" i="26" s="1"/>
  <c r="AX961" i="26"/>
  <c r="AW961" i="26"/>
  <c r="BL960" i="26"/>
  <c r="AV959" i="55"/>
  <c r="BT959" i="26"/>
  <c r="AY959" i="26"/>
  <c r="BA959" i="26" s="1"/>
  <c r="AV959" i="26"/>
  <c r="AU960" i="26"/>
  <c r="AR960" i="26"/>
  <c r="AX960" i="26"/>
  <c r="AW960" i="26"/>
  <c r="BL961" i="26"/>
  <c r="E1247" i="55"/>
  <c r="E962" i="26" l="1"/>
  <c r="BD962" i="26" s="1"/>
  <c r="AV961" i="26"/>
  <c r="AY961" i="26"/>
  <c r="BA961" i="26" s="1"/>
  <c r="AV961" i="55"/>
  <c r="BT961" i="26"/>
  <c r="AV960" i="55"/>
  <c r="BT960" i="26"/>
  <c r="AY960" i="26"/>
  <c r="BA960" i="26" s="1"/>
  <c r="AV960" i="26"/>
  <c r="O1247" i="55"/>
  <c r="AK1247" i="55"/>
  <c r="AO1247" i="55"/>
  <c r="AI1247" i="55"/>
  <c r="Q1247" i="55"/>
  <c r="P1247" i="55"/>
  <c r="K1247" i="55"/>
  <c r="AG1247" i="55"/>
  <c r="AL1247" i="55"/>
  <c r="Z1247" i="55"/>
  <c r="AF1247" i="55"/>
  <c r="AD1247" i="55"/>
  <c r="I1247" i="55"/>
  <c r="M1247" i="55"/>
  <c r="AC1247" i="55"/>
  <c r="AN1247" i="55"/>
  <c r="G1247" i="55"/>
  <c r="S1247" i="55"/>
  <c r="D1247" i="55"/>
  <c r="L1247" i="55"/>
  <c r="H1247" i="55"/>
  <c r="W1247" i="55"/>
  <c r="U1247" i="55"/>
  <c r="AH1247" i="55"/>
  <c r="AQ1247" i="55"/>
  <c r="C1247" i="55"/>
  <c r="X1247" i="55"/>
  <c r="AM1247" i="55"/>
  <c r="AB1247" i="55"/>
  <c r="V1247" i="55"/>
  <c r="B1247" i="55"/>
  <c r="N1247" i="55"/>
  <c r="A1247" i="55"/>
  <c r="AT1247" i="55"/>
  <c r="AJ962" i="26" l="1"/>
  <c r="AK962" i="26" s="1"/>
  <c r="AT962" i="26"/>
  <c r="BF962" i="26"/>
  <c r="BC962" i="26"/>
  <c r="BU962" i="26"/>
  <c r="O962" i="26"/>
  <c r="P962" i="26"/>
  <c r="V962" i="26"/>
  <c r="AP962" i="26"/>
  <c r="R962" i="26"/>
  <c r="G962" i="26"/>
  <c r="AF962" i="26"/>
  <c r="C962" i="26"/>
  <c r="BJ962" i="26"/>
  <c r="L962" i="26"/>
  <c r="A962" i="26"/>
  <c r="D962" i="26"/>
  <c r="BK962" i="26"/>
  <c r="AS962" i="26"/>
  <c r="K962" i="26"/>
  <c r="M962" i="26" s="1"/>
  <c r="N962" i="26" s="1"/>
  <c r="Q962" i="26"/>
  <c r="U962" i="26"/>
  <c r="H962" i="26"/>
  <c r="AO962" i="26"/>
  <c r="W962" i="26"/>
  <c r="X962" i="26"/>
  <c r="B962" i="26"/>
  <c r="F962" i="26" s="1"/>
  <c r="AM962" i="26"/>
  <c r="AU962" i="26" s="1"/>
  <c r="S962" i="26"/>
  <c r="T962" i="26" s="1"/>
  <c r="E1248" i="55"/>
  <c r="E963" i="26" l="1"/>
  <c r="BD963" i="26" s="1"/>
  <c r="AW962" i="26"/>
  <c r="AR962" i="26"/>
  <c r="AX962" i="26"/>
  <c r="BL962" i="26"/>
  <c r="O1248" i="55"/>
  <c r="AG1248" i="55"/>
  <c r="AI1248" i="55"/>
  <c r="Q1248" i="55"/>
  <c r="P1248" i="55"/>
  <c r="K1248" i="55"/>
  <c r="AO1248" i="55"/>
  <c r="AF1248" i="55"/>
  <c r="Z1248" i="55"/>
  <c r="AD1248" i="55"/>
  <c r="AL1248" i="55"/>
  <c r="AK1248" i="55"/>
  <c r="C1248" i="55"/>
  <c r="U1248" i="55"/>
  <c r="W1248" i="55"/>
  <c r="AC1248" i="55"/>
  <c r="G1248" i="55"/>
  <c r="H1248" i="55"/>
  <c r="AM1248" i="55"/>
  <c r="AH1248" i="55"/>
  <c r="M1248" i="55"/>
  <c r="AQ1248" i="55"/>
  <c r="D1248" i="55"/>
  <c r="S1248" i="55"/>
  <c r="A1248" i="55"/>
  <c r="X1248" i="55"/>
  <c r="AN1248" i="55"/>
  <c r="L1248" i="55"/>
  <c r="V1248" i="55"/>
  <c r="N1248" i="55"/>
  <c r="B1248" i="55"/>
  <c r="AT1248" i="55"/>
  <c r="AB1248" i="55"/>
  <c r="I1248" i="55"/>
  <c r="F963" i="26" l="1"/>
  <c r="R963" i="26" s="1"/>
  <c r="BF963" i="26"/>
  <c r="BC963" i="26"/>
  <c r="BU963" i="26"/>
  <c r="L963" i="26"/>
  <c r="V963" i="26"/>
  <c r="K963" i="26"/>
  <c r="M963" i="26" s="1"/>
  <c r="AP963" i="26"/>
  <c r="AT963" i="26" s="1"/>
  <c r="X963" i="26"/>
  <c r="BK963" i="26" s="1"/>
  <c r="Q963" i="26"/>
  <c r="D963" i="26"/>
  <c r="P963" i="26" s="1"/>
  <c r="W963" i="26"/>
  <c r="C963" i="26"/>
  <c r="H963" i="26"/>
  <c r="AF963" i="26"/>
  <c r="O963" i="26"/>
  <c r="B963" i="26"/>
  <c r="G963" i="26" s="1"/>
  <c r="AS963" i="26"/>
  <c r="BJ963" i="26" s="1"/>
  <c r="A963" i="26"/>
  <c r="AO963" i="26"/>
  <c r="U963" i="26"/>
  <c r="AM963" i="26"/>
  <c r="S963" i="26"/>
  <c r="T963" i="26" s="1"/>
  <c r="N963" i="26"/>
  <c r="AJ963" i="26"/>
  <c r="AK963" i="26" s="1"/>
  <c r="AV962" i="55"/>
  <c r="BT962" i="26"/>
  <c r="AV962" i="26"/>
  <c r="AY962" i="26" s="1"/>
  <c r="BA962" i="26" s="1"/>
  <c r="E1249" i="55"/>
  <c r="E964" i="26" l="1"/>
  <c r="AU963" i="26"/>
  <c r="AX963" i="26"/>
  <c r="AW963" i="26"/>
  <c r="AR963" i="26"/>
  <c r="BL963" i="26"/>
  <c r="O1249" i="55"/>
  <c r="Z1249" i="55"/>
  <c r="AI1249" i="55"/>
  <c r="Q1249" i="55"/>
  <c r="P1249" i="55"/>
  <c r="K1249" i="55"/>
  <c r="AO1249" i="55"/>
  <c r="AD1249" i="55"/>
  <c r="AK1249" i="55"/>
  <c r="AG1249" i="55"/>
  <c r="AL1249" i="55"/>
  <c r="AF1249" i="55"/>
  <c r="AB1249" i="55"/>
  <c r="S1249" i="55"/>
  <c r="V1249" i="55"/>
  <c r="AC1249" i="55"/>
  <c r="I1249" i="55"/>
  <c r="AN1249" i="55"/>
  <c r="U1249" i="55"/>
  <c r="AT1249" i="55"/>
  <c r="M1249" i="55"/>
  <c r="C1249" i="55"/>
  <c r="N1249" i="55"/>
  <c r="B1249" i="55"/>
  <c r="W1249" i="55"/>
  <c r="H1249" i="55"/>
  <c r="A1249" i="55"/>
  <c r="AQ1249" i="55"/>
  <c r="D1249" i="55"/>
  <c r="AM1249" i="55"/>
  <c r="G1249" i="55"/>
  <c r="X1249" i="55"/>
  <c r="AH1249" i="55"/>
  <c r="L1249" i="55"/>
  <c r="N964" i="26" l="1"/>
  <c r="BF964" i="26"/>
  <c r="BC964" i="26"/>
  <c r="U964" i="26"/>
  <c r="X964" i="26"/>
  <c r="G964" i="26"/>
  <c r="D964" i="26"/>
  <c r="AF964" i="26"/>
  <c r="O964" i="26"/>
  <c r="BU964" i="26"/>
  <c r="AP964" i="26"/>
  <c r="P964" i="26"/>
  <c r="F964" i="26"/>
  <c r="R964" i="26" s="1"/>
  <c r="BD964" i="26"/>
  <c r="A964" i="26"/>
  <c r="V964" i="26"/>
  <c r="Q964" i="26"/>
  <c r="C964" i="26"/>
  <c r="W964" i="26"/>
  <c r="L964" i="26"/>
  <c r="AJ964" i="26"/>
  <c r="AK964" i="26" s="1"/>
  <c r="B964" i="26"/>
  <c r="K964" i="26" s="1"/>
  <c r="M964" i="26" s="1"/>
  <c r="H964" i="26"/>
  <c r="S964" i="26"/>
  <c r="T964" i="26" s="1"/>
  <c r="AV963" i="26"/>
  <c r="AY963" i="26"/>
  <c r="BA963" i="26" s="1"/>
  <c r="AO964" i="26"/>
  <c r="AT964" i="26" s="1"/>
  <c r="BK964" i="26"/>
  <c r="AM964" i="26"/>
  <c r="AV963" i="55"/>
  <c r="BT963" i="26"/>
  <c r="E1250" i="55"/>
  <c r="AS964" i="26" l="1"/>
  <c r="BJ964" i="26" s="1"/>
  <c r="BU965" i="26"/>
  <c r="E965" i="26"/>
  <c r="AU964" i="26"/>
  <c r="AX964" i="26"/>
  <c r="BL964" i="26"/>
  <c r="AR964" i="26"/>
  <c r="AW964" i="26"/>
  <c r="O1250" i="55"/>
  <c r="AL1250" i="55"/>
  <c r="AI1250" i="55"/>
  <c r="Q1250" i="55"/>
  <c r="P1250" i="55"/>
  <c r="K1250" i="55"/>
  <c r="Z1250" i="55"/>
  <c r="AG1250" i="55"/>
  <c r="AK1250" i="55"/>
  <c r="AD1250" i="55"/>
  <c r="AC1250" i="55"/>
  <c r="G1250" i="55"/>
  <c r="X1250" i="55"/>
  <c r="H1250" i="55"/>
  <c r="W1250" i="55"/>
  <c r="N1250" i="55"/>
  <c r="M1250" i="55"/>
  <c r="V1250" i="55"/>
  <c r="S1250" i="55"/>
  <c r="AM1250" i="55"/>
  <c r="I1250" i="55"/>
  <c r="AT1250" i="55"/>
  <c r="AB1250" i="55"/>
  <c r="L1250" i="55"/>
  <c r="AN1250" i="55"/>
  <c r="A1250" i="55"/>
  <c r="C1250" i="55"/>
  <c r="B1250" i="55"/>
  <c r="AQ1250" i="55"/>
  <c r="AH1250" i="55"/>
  <c r="U1250" i="55"/>
  <c r="D1250" i="55"/>
  <c r="AF1250" i="55"/>
  <c r="AO1250" i="55"/>
  <c r="BF965" i="26" l="1"/>
  <c r="BC965" i="26"/>
  <c r="AP965" i="26"/>
  <c r="C965" i="26"/>
  <c r="BD965" i="26"/>
  <c r="AJ965" i="26"/>
  <c r="AK965" i="26" s="1"/>
  <c r="H965" i="26"/>
  <c r="O965" i="26"/>
  <c r="L965" i="26"/>
  <c r="B965" i="26"/>
  <c r="X965" i="26" s="1"/>
  <c r="AF965" i="26"/>
  <c r="D965" i="26"/>
  <c r="K965" i="26"/>
  <c r="M965" i="26" s="1"/>
  <c r="N965" i="26" s="1"/>
  <c r="V965" i="26"/>
  <c r="W965" i="26"/>
  <c r="G965" i="26"/>
  <c r="A965" i="26"/>
  <c r="F965" i="26"/>
  <c r="P965" i="26"/>
  <c r="Q965" i="26"/>
  <c r="R965" i="26" s="1"/>
  <c r="AO965" i="26"/>
  <c r="AT965" i="26" s="1"/>
  <c r="BK965" i="26"/>
  <c r="S965" i="26"/>
  <c r="T965" i="26" s="1"/>
  <c r="AM965" i="26"/>
  <c r="AU965" i="26" s="1"/>
  <c r="AV964" i="26"/>
  <c r="AY964" i="26" s="1"/>
  <c r="BA964" i="26" s="1"/>
  <c r="AV964" i="55"/>
  <c r="BT964" i="26"/>
  <c r="E1251" i="55"/>
  <c r="U965" i="26" l="1"/>
  <c r="BD966" i="26"/>
  <c r="E966" i="26"/>
  <c r="AW965" i="26"/>
  <c r="BL965" i="26"/>
  <c r="AX965" i="26"/>
  <c r="O1251" i="55"/>
  <c r="AK1251" i="55"/>
  <c r="AL1251" i="55"/>
  <c r="AD1251" i="55"/>
  <c r="AG1251" i="55"/>
  <c r="AI1251" i="55"/>
  <c r="Q1251" i="55"/>
  <c r="K1251" i="55"/>
  <c r="P1251" i="55"/>
  <c r="AO1251" i="55"/>
  <c r="Z1251" i="55"/>
  <c r="AF1251" i="55"/>
  <c r="AQ1251" i="55"/>
  <c r="AT1251" i="55"/>
  <c r="I1251" i="55"/>
  <c r="S1251" i="55"/>
  <c r="V1251" i="55"/>
  <c r="AB1251" i="55"/>
  <c r="U1251" i="55"/>
  <c r="L1251" i="55"/>
  <c r="M1251" i="55"/>
  <c r="N1251" i="55"/>
  <c r="AC1251" i="55"/>
  <c r="D1251" i="55"/>
  <c r="G1251" i="55"/>
  <c r="C1251" i="55"/>
  <c r="H1251" i="55"/>
  <c r="AM1251" i="55"/>
  <c r="AH1251" i="55"/>
  <c r="B1251" i="55"/>
  <c r="AN1251" i="55"/>
  <c r="W1251" i="55"/>
  <c r="A1251" i="55"/>
  <c r="X1251" i="55"/>
  <c r="BK966" i="26" l="1"/>
  <c r="BF966" i="26"/>
  <c r="BC966" i="26"/>
  <c r="X966" i="26"/>
  <c r="BU966" i="26"/>
  <c r="AF966" i="26"/>
  <c r="AP966" i="26"/>
  <c r="AO966" i="26"/>
  <c r="AT966" i="26" s="1"/>
  <c r="F966" i="26"/>
  <c r="R966" i="26" s="1"/>
  <c r="V966" i="26"/>
  <c r="L966" i="26"/>
  <c r="U966" i="26"/>
  <c r="D966" i="26"/>
  <c r="AJ966" i="26"/>
  <c r="AK966" i="26" s="1"/>
  <c r="A966" i="26"/>
  <c r="C966" i="26"/>
  <c r="P966" i="26"/>
  <c r="B966" i="26"/>
  <c r="G966" i="26" s="1"/>
  <c r="Q966" i="26"/>
  <c r="O966" i="26"/>
  <c r="W966" i="26"/>
  <c r="H966" i="26"/>
  <c r="K966" i="26"/>
  <c r="M966" i="26" s="1"/>
  <c r="N966" i="26" s="1"/>
  <c r="AM966" i="26"/>
  <c r="S966" i="26"/>
  <c r="T966" i="26" s="1"/>
  <c r="AV965" i="55"/>
  <c r="BT965" i="26"/>
  <c r="E1252" i="55"/>
  <c r="AS966" i="26" l="1"/>
  <c r="BJ966" i="26" s="1"/>
  <c r="E967" i="26"/>
  <c r="AU966" i="26"/>
  <c r="AW966" i="26"/>
  <c r="AR966" i="26"/>
  <c r="AX966" i="26"/>
  <c r="BL966" i="26"/>
  <c r="U967" i="26"/>
  <c r="D967" i="26"/>
  <c r="O967" i="26" s="1"/>
  <c r="AD1252" i="55"/>
  <c r="O1252" i="55"/>
  <c r="Z1252" i="55"/>
  <c r="AI1252" i="55"/>
  <c r="Q1252" i="55"/>
  <c r="P1252" i="55"/>
  <c r="K1252" i="55"/>
  <c r="AF1252" i="55"/>
  <c r="AO1252" i="55"/>
  <c r="AK1252" i="55"/>
  <c r="AL1252" i="55"/>
  <c r="AG1252" i="55"/>
  <c r="C1252" i="55"/>
  <c r="I1252" i="55"/>
  <c r="S1252" i="55"/>
  <c r="U1252" i="55"/>
  <c r="N1252" i="55"/>
  <c r="AM1252" i="55"/>
  <c r="H1252" i="55"/>
  <c r="B1252" i="55"/>
  <c r="D1252" i="55"/>
  <c r="W1252" i="55"/>
  <c r="AT1252" i="55"/>
  <c r="M1252" i="55"/>
  <c r="AC1252" i="55"/>
  <c r="X1252" i="55"/>
  <c r="AB1252" i="55"/>
  <c r="A1252" i="55"/>
  <c r="L1252" i="55"/>
  <c r="G1252" i="55"/>
  <c r="V1252" i="55"/>
  <c r="AQ1252" i="55"/>
  <c r="AH1252" i="55"/>
  <c r="AN1252" i="55"/>
  <c r="AJ967" i="26" l="1"/>
  <c r="AK967" i="26" s="1"/>
  <c r="BF967" i="26"/>
  <c r="BC967" i="26"/>
  <c r="X967" i="26"/>
  <c r="BD967" i="26"/>
  <c r="G967" i="26"/>
  <c r="N967" i="26"/>
  <c r="BU967" i="26"/>
  <c r="V967" i="26"/>
  <c r="W967" i="26"/>
  <c r="B967" i="26"/>
  <c r="K967" i="26" s="1"/>
  <c r="M967" i="26" s="1"/>
  <c r="C967" i="26"/>
  <c r="Q967" i="26"/>
  <c r="R967" i="26" s="1"/>
  <c r="L967" i="26"/>
  <c r="H967" i="26"/>
  <c r="A967" i="26"/>
  <c r="F967" i="26"/>
  <c r="AP967" i="26"/>
  <c r="S967" i="26"/>
  <c r="T967" i="26" s="1"/>
  <c r="P967" i="26"/>
  <c r="AV966" i="26"/>
  <c r="AY966" i="26"/>
  <c r="BA966" i="26" s="1"/>
  <c r="AM967" i="26"/>
  <c r="AV966" i="55"/>
  <c r="BT966" i="26"/>
  <c r="AF967" i="26"/>
  <c r="AO967" i="26"/>
  <c r="AT967" i="26" s="1"/>
  <c r="BK967" i="26"/>
  <c r="E1253" i="55"/>
  <c r="AS967" i="26" l="1"/>
  <c r="BJ967" i="26" s="1"/>
  <c r="BD968" i="26"/>
  <c r="E968" i="26"/>
  <c r="A968" i="26"/>
  <c r="Q968" i="26"/>
  <c r="R968" i="26" s="1"/>
  <c r="H968" i="26"/>
  <c r="AU967" i="26"/>
  <c r="AR967" i="26"/>
  <c r="AW967" i="26"/>
  <c r="AX967" i="26"/>
  <c r="G968" i="26"/>
  <c r="D968" i="26"/>
  <c r="K968" i="26"/>
  <c r="M968" i="26" s="1"/>
  <c r="U968" i="26"/>
  <c r="BL967" i="26"/>
  <c r="O1253" i="55"/>
  <c r="AK1253" i="55"/>
  <c r="Q1253" i="55"/>
  <c r="AI1253" i="55"/>
  <c r="P1253" i="55"/>
  <c r="K1253" i="55"/>
  <c r="AG1253" i="55"/>
  <c r="AT1253" i="55"/>
  <c r="W1253" i="55"/>
  <c r="AH1253" i="55"/>
  <c r="C1253" i="55"/>
  <c r="N1253" i="55"/>
  <c r="A1253" i="55"/>
  <c r="AC1253" i="55"/>
  <c r="AN1253" i="55"/>
  <c r="AB1253" i="55"/>
  <c r="AM1253" i="55"/>
  <c r="V1253" i="55"/>
  <c r="B1253" i="55"/>
  <c r="M1253" i="55"/>
  <c r="H1253" i="55"/>
  <c r="G1253" i="55"/>
  <c r="I1253" i="55"/>
  <c r="U1253" i="55"/>
  <c r="D1253" i="55"/>
  <c r="X1253" i="55"/>
  <c r="S1253" i="55"/>
  <c r="AQ1253" i="55"/>
  <c r="L1253" i="55"/>
  <c r="Z1253" i="55"/>
  <c r="AL1253" i="55"/>
  <c r="AO1253" i="55"/>
  <c r="AD1253" i="55"/>
  <c r="AF1253" i="55"/>
  <c r="F968" i="26" l="1"/>
  <c r="BF968" i="26"/>
  <c r="BC968" i="26"/>
  <c r="V968" i="26"/>
  <c r="BU968" i="26"/>
  <c r="L968" i="26"/>
  <c r="C968" i="26"/>
  <c r="E969" i="26" s="1"/>
  <c r="B968" i="26"/>
  <c r="X968" i="26" s="1"/>
  <c r="AP968" i="26"/>
  <c r="W968" i="26"/>
  <c r="N968" i="26"/>
  <c r="AJ968" i="26"/>
  <c r="AK968" i="26" s="1"/>
  <c r="AF968" i="26"/>
  <c r="AO968" i="26"/>
  <c r="AT968" i="26" s="1"/>
  <c r="BK968" i="26"/>
  <c r="AV967" i="26"/>
  <c r="AY967" i="26"/>
  <c r="BA967" i="26" s="1"/>
  <c r="AV967" i="55"/>
  <c r="BT967" i="26"/>
  <c r="P968" i="26"/>
  <c r="O968" i="26"/>
  <c r="E1254" i="55"/>
  <c r="V969" i="26" l="1"/>
  <c r="BF969" i="26"/>
  <c r="BC969" i="26"/>
  <c r="Q969" i="26"/>
  <c r="A969" i="26"/>
  <c r="C969" i="26"/>
  <c r="B969" i="26"/>
  <c r="D969" i="26" s="1"/>
  <c r="E970" i="26" s="1"/>
  <c r="W969" i="26"/>
  <c r="G969" i="26"/>
  <c r="H969" i="26"/>
  <c r="L969" i="26"/>
  <c r="AS968" i="26"/>
  <c r="BJ968" i="26" s="1"/>
  <c r="BU969" i="26"/>
  <c r="BD969" i="26"/>
  <c r="AO969" i="26"/>
  <c r="P969" i="26"/>
  <c r="O969" i="26"/>
  <c r="U969" i="26"/>
  <c r="S968" i="26"/>
  <c r="T968" i="26" s="1"/>
  <c r="AM968" i="26"/>
  <c r="F969" i="26"/>
  <c r="R969" i="26" s="1"/>
  <c r="AF969" i="26"/>
  <c r="AS969" i="26"/>
  <c r="BJ969" i="26" s="1"/>
  <c r="X969" i="26"/>
  <c r="BK969" i="26" s="1"/>
  <c r="K969" i="26"/>
  <c r="M969" i="26" s="1"/>
  <c r="AP969" i="26"/>
  <c r="AW968" i="26"/>
  <c r="O1254" i="55"/>
  <c r="AG1254" i="55"/>
  <c r="AI1254" i="55"/>
  <c r="P1254" i="55"/>
  <c r="K1254" i="55"/>
  <c r="Q1254" i="55"/>
  <c r="AO1254" i="55"/>
  <c r="AF1254" i="55"/>
  <c r="AD1254" i="55"/>
  <c r="Z1254" i="55"/>
  <c r="AL1254" i="55"/>
  <c r="AK1254" i="55"/>
  <c r="D1254" i="55"/>
  <c r="X1254" i="55"/>
  <c r="I1254" i="55"/>
  <c r="W1254" i="55"/>
  <c r="AC1254" i="55"/>
  <c r="L1254" i="55"/>
  <c r="AT1254" i="55"/>
  <c r="AQ1254" i="55"/>
  <c r="B1254" i="55"/>
  <c r="S1254" i="55"/>
  <c r="V1254" i="55"/>
  <c r="C1254" i="55"/>
  <c r="AN1254" i="55"/>
  <c r="M1254" i="55"/>
  <c r="H1254" i="55"/>
  <c r="N1254" i="55"/>
  <c r="U1254" i="55"/>
  <c r="AB1254" i="55"/>
  <c r="AM1254" i="55"/>
  <c r="A1254" i="55"/>
  <c r="G1254" i="55"/>
  <c r="AH1254" i="55"/>
  <c r="V970" i="26" l="1"/>
  <c r="BF970" i="26"/>
  <c r="BC970" i="26"/>
  <c r="BU970" i="26"/>
  <c r="BD970" i="26"/>
  <c r="AU968" i="26"/>
  <c r="AX968" i="26"/>
  <c r="AT969" i="26"/>
  <c r="N969" i="26"/>
  <c r="AJ969" i="26"/>
  <c r="AK969" i="26" s="1"/>
  <c r="BL968" i="26"/>
  <c r="AM969" i="26"/>
  <c r="S969" i="26"/>
  <c r="T969" i="26" s="1"/>
  <c r="H970" i="26"/>
  <c r="A970" i="26"/>
  <c r="Q970" i="26"/>
  <c r="U970" i="26"/>
  <c r="B970" i="26"/>
  <c r="AP970" i="26" s="1"/>
  <c r="L970" i="26"/>
  <c r="W970" i="26"/>
  <c r="X970" i="26"/>
  <c r="C970" i="26"/>
  <c r="E1255" i="55"/>
  <c r="AS970" i="26" l="1"/>
  <c r="BJ970" i="26" s="1"/>
  <c r="AO970" i="26"/>
  <c r="AT970" i="26" s="1"/>
  <c r="G970" i="26"/>
  <c r="F970" i="26"/>
  <c r="R970" i="26" s="1"/>
  <c r="AU969" i="26"/>
  <c r="AX969" i="26"/>
  <c r="AW969" i="26"/>
  <c r="AR968" i="26"/>
  <c r="K970" i="26"/>
  <c r="M970" i="26" s="1"/>
  <c r="AF970" i="26"/>
  <c r="BK970" i="26"/>
  <c r="AV968" i="55"/>
  <c r="BT968" i="26"/>
  <c r="AR969" i="26"/>
  <c r="O970" i="26"/>
  <c r="D970" i="26"/>
  <c r="E971" i="26" s="1"/>
  <c r="BL969" i="26"/>
  <c r="AG1255" i="55"/>
  <c r="O1255" i="55"/>
  <c r="AD1255" i="55"/>
  <c r="AF1255" i="55"/>
  <c r="AI1255" i="55"/>
  <c r="Q1255" i="55"/>
  <c r="P1255" i="55"/>
  <c r="K1255" i="55"/>
  <c r="AL1255" i="55"/>
  <c r="AO1255" i="55"/>
  <c r="AK1255" i="55"/>
  <c r="Z1255" i="55"/>
  <c r="AC1255" i="55"/>
  <c r="U1255" i="55"/>
  <c r="AT1255" i="55"/>
  <c r="AB1255" i="55"/>
  <c r="X1255" i="55"/>
  <c r="AN1255" i="55"/>
  <c r="L1255" i="55"/>
  <c r="M1255" i="55"/>
  <c r="A1255" i="55"/>
  <c r="B1255" i="55"/>
  <c r="V1255" i="55"/>
  <c r="W1255" i="55"/>
  <c r="S1255" i="55"/>
  <c r="AH1255" i="55"/>
  <c r="C1255" i="55"/>
  <c r="D1255" i="55"/>
  <c r="G1255" i="55"/>
  <c r="N1255" i="55"/>
  <c r="H1255" i="55"/>
  <c r="AQ1255" i="55"/>
  <c r="AM1255" i="55"/>
  <c r="I1255" i="55"/>
  <c r="V971" i="26" l="1"/>
  <c r="BF971" i="26"/>
  <c r="BC971" i="26"/>
  <c r="BD971" i="26"/>
  <c r="BU971" i="26"/>
  <c r="AV969" i="26"/>
  <c r="AY969" i="26"/>
  <c r="BA969" i="26" s="1"/>
  <c r="AV968" i="26"/>
  <c r="AY968" i="26" s="1"/>
  <c r="BA968" i="26" s="1"/>
  <c r="AV969" i="55"/>
  <c r="BT969" i="26"/>
  <c r="P970" i="26"/>
  <c r="AM970" i="26"/>
  <c r="N970" i="26"/>
  <c r="AJ970" i="26"/>
  <c r="AK970" i="26" s="1"/>
  <c r="S970" i="26"/>
  <c r="T970" i="26" s="1"/>
  <c r="D971" i="26"/>
  <c r="P971" i="26" s="1"/>
  <c r="Q971" i="26"/>
  <c r="R971" i="26" s="1"/>
  <c r="O971" i="26"/>
  <c r="AM971" i="26" s="1"/>
  <c r="AU971" i="26" s="1"/>
  <c r="AS971" i="26"/>
  <c r="BJ971" i="26" s="1"/>
  <c r="K971" i="26"/>
  <c r="B971" i="26"/>
  <c r="A971" i="26"/>
  <c r="H971" i="26"/>
  <c r="G971" i="26"/>
  <c r="F971" i="26"/>
  <c r="X971" i="26"/>
  <c r="W971" i="26"/>
  <c r="L971" i="26"/>
  <c r="C971" i="26"/>
  <c r="E1256" i="55"/>
  <c r="U971" i="26" l="1"/>
  <c r="BD972" i="26"/>
  <c r="AW971" i="26"/>
  <c r="AX971" i="26"/>
  <c r="AU970" i="26"/>
  <c r="AX970" i="26"/>
  <c r="AF971" i="26"/>
  <c r="S971" i="26"/>
  <c r="T971" i="26" s="1"/>
  <c r="AP971" i="26"/>
  <c r="M971" i="26"/>
  <c r="BL970" i="26"/>
  <c r="AW970" i="26"/>
  <c r="AR970" i="26"/>
  <c r="O1256" i="55"/>
  <c r="E972" i="26"/>
  <c r="AL1256" i="55"/>
  <c r="AI1256" i="55"/>
  <c r="Q1256" i="55"/>
  <c r="P1256" i="55"/>
  <c r="K1256" i="55"/>
  <c r="AD1256" i="55"/>
  <c r="AO1256" i="55"/>
  <c r="AG1256" i="55"/>
  <c r="AF1256" i="55"/>
  <c r="Z1256" i="55"/>
  <c r="AK1256" i="55"/>
  <c r="A1256" i="55"/>
  <c r="AH1256" i="55"/>
  <c r="L1256" i="55"/>
  <c r="D1256" i="55"/>
  <c r="AQ1256" i="55"/>
  <c r="AN1256" i="55"/>
  <c r="I1256" i="55"/>
  <c r="B1256" i="55"/>
  <c r="M1256" i="55"/>
  <c r="AC1256" i="55"/>
  <c r="AM1256" i="55"/>
  <c r="N1256" i="55"/>
  <c r="V1256" i="55"/>
  <c r="AB1256" i="55"/>
  <c r="W1256" i="55"/>
  <c r="C1256" i="55"/>
  <c r="H1256" i="55"/>
  <c r="AT1256" i="55"/>
  <c r="S1256" i="55"/>
  <c r="G1256" i="55"/>
  <c r="U1256" i="55"/>
  <c r="X1256" i="55"/>
  <c r="V972" i="26" l="1"/>
  <c r="BF972" i="26"/>
  <c r="BC972" i="26"/>
  <c r="BU972" i="26"/>
  <c r="AV970" i="26"/>
  <c r="AY970" i="26"/>
  <c r="BA970" i="26" s="1"/>
  <c r="AV970" i="55"/>
  <c r="BT970" i="26"/>
  <c r="BK971" i="26"/>
  <c r="AO971" i="26"/>
  <c r="AT971" i="26" s="1"/>
  <c r="N971" i="26"/>
  <c r="AJ971" i="26"/>
  <c r="AK971" i="26" s="1"/>
  <c r="AR971" i="26" s="1"/>
  <c r="BL971" i="26"/>
  <c r="W972" i="26"/>
  <c r="AS972" i="26"/>
  <c r="BJ972" i="26" s="1"/>
  <c r="AO972" i="26"/>
  <c r="BK972" i="26"/>
  <c r="X972" i="26"/>
  <c r="L972" i="26"/>
  <c r="B972" i="26"/>
  <c r="AF972" i="26" s="1"/>
  <c r="Q972" i="26"/>
  <c r="C972" i="26"/>
  <c r="H972" i="26"/>
  <c r="A972" i="26"/>
  <c r="E1257" i="55"/>
  <c r="U972" i="26" l="1"/>
  <c r="BD973" i="26"/>
  <c r="F972" i="26"/>
  <c r="R972" i="26" s="1"/>
  <c r="D972" i="26"/>
  <c r="BU973" i="26" s="1"/>
  <c r="K972" i="26"/>
  <c r="M972" i="26" s="1"/>
  <c r="G972" i="26"/>
  <c r="P972" i="26"/>
  <c r="AV971" i="55"/>
  <c r="BT971" i="26"/>
  <c r="AP972" i="26"/>
  <c r="AT972" i="26" s="1"/>
  <c r="AV971" i="26"/>
  <c r="AY971" i="26"/>
  <c r="BA971" i="26" s="1"/>
  <c r="O1257" i="55"/>
  <c r="E973" i="26"/>
  <c r="AO1257" i="55"/>
  <c r="AI1257" i="55"/>
  <c r="Q1257" i="55"/>
  <c r="P1257" i="55"/>
  <c r="K1257" i="55"/>
  <c r="AG1257" i="55"/>
  <c r="AL1257" i="55"/>
  <c r="AD1257" i="55"/>
  <c r="Z1257" i="55"/>
  <c r="V1257" i="55"/>
  <c r="U1257" i="55"/>
  <c r="AT1257" i="55"/>
  <c r="AH1257" i="55"/>
  <c r="G1257" i="55"/>
  <c r="W1257" i="55"/>
  <c r="A1257" i="55"/>
  <c r="I1257" i="55"/>
  <c r="AC1257" i="55"/>
  <c r="AN1257" i="55"/>
  <c r="M1257" i="55"/>
  <c r="AB1257" i="55"/>
  <c r="D1257" i="55"/>
  <c r="B1257" i="55"/>
  <c r="S1257" i="55"/>
  <c r="AQ1257" i="55"/>
  <c r="X1257" i="55"/>
  <c r="N1257" i="55"/>
  <c r="H1257" i="55"/>
  <c r="C1257" i="55"/>
  <c r="L1257" i="55"/>
  <c r="AM1257" i="55"/>
  <c r="AK1257" i="55"/>
  <c r="AF1257" i="55"/>
  <c r="V973" i="26" l="1"/>
  <c r="BF973" i="26"/>
  <c r="BC973" i="26"/>
  <c r="O972" i="26"/>
  <c r="N972" i="26"/>
  <c r="AJ972" i="26"/>
  <c r="AK972" i="26" s="1"/>
  <c r="X973" i="26"/>
  <c r="Q973" i="26"/>
  <c r="A973" i="26"/>
  <c r="H973" i="26"/>
  <c r="L973" i="26"/>
  <c r="AS973" i="26"/>
  <c r="BJ973" i="26" s="1"/>
  <c r="C973" i="26"/>
  <c r="W973" i="26"/>
  <c r="K973" i="26"/>
  <c r="M973" i="26" s="1"/>
  <c r="N973" i="26" s="1"/>
  <c r="B973" i="26"/>
  <c r="AO973" i="26"/>
  <c r="AT973" i="26" s="1"/>
  <c r="AP973" i="26"/>
  <c r="E1258" i="55"/>
  <c r="BK973" i="26" l="1"/>
  <c r="AF973" i="26"/>
  <c r="AJ973" i="26"/>
  <c r="AK973" i="26" s="1"/>
  <c r="U973" i="26"/>
  <c r="F973" i="26"/>
  <c r="R973" i="26" s="1"/>
  <c r="G973" i="26"/>
  <c r="D973" i="26"/>
  <c r="O973" i="26" s="1"/>
  <c r="S972" i="26"/>
  <c r="T972" i="26" s="1"/>
  <c r="AM972" i="26"/>
  <c r="AU972" i="26" s="1"/>
  <c r="AW972" i="26"/>
  <c r="AR972" i="26"/>
  <c r="O1258" i="55"/>
  <c r="AF1258" i="55"/>
  <c r="AI1258" i="55"/>
  <c r="P1258" i="55"/>
  <c r="Q1258" i="55"/>
  <c r="K1258" i="55"/>
  <c r="Z1258" i="55"/>
  <c r="AD1258" i="55"/>
  <c r="AG1258" i="55"/>
  <c r="AL1258" i="55"/>
  <c r="AK1258" i="55"/>
  <c r="AO1258" i="55"/>
  <c r="U1258" i="55"/>
  <c r="H1258" i="55"/>
  <c r="A1258" i="55"/>
  <c r="AQ1258" i="55"/>
  <c r="M1258" i="55"/>
  <c r="X1258" i="55"/>
  <c r="N1258" i="55"/>
  <c r="G1258" i="55"/>
  <c r="AM1258" i="55"/>
  <c r="AT1258" i="55"/>
  <c r="L1258" i="55"/>
  <c r="AH1258" i="55"/>
  <c r="W1258" i="55"/>
  <c r="D1258" i="55"/>
  <c r="I1258" i="55"/>
  <c r="V1258" i="55"/>
  <c r="AB1258" i="55"/>
  <c r="AC1258" i="55"/>
  <c r="AN1258" i="55"/>
  <c r="S1258" i="55"/>
  <c r="C1258" i="55"/>
  <c r="B1258" i="55"/>
  <c r="BU974" i="26" l="1"/>
  <c r="E974" i="26"/>
  <c r="S973" i="26"/>
  <c r="T973" i="26" s="1"/>
  <c r="BL972" i="26"/>
  <c r="AV972" i="26"/>
  <c r="AY972" i="26" s="1"/>
  <c r="BA972" i="26" s="1"/>
  <c r="AM973" i="26"/>
  <c r="P973" i="26"/>
  <c r="AX972" i="26"/>
  <c r="B974" i="26"/>
  <c r="X974" i="26" s="1"/>
  <c r="BK974" i="26" s="1"/>
  <c r="C974" i="26"/>
  <c r="A974" i="26"/>
  <c r="D974" i="26"/>
  <c r="AP974" i="26"/>
  <c r="F974" i="26"/>
  <c r="R974" i="26" s="1"/>
  <c r="G974" i="26"/>
  <c r="AO974" i="26"/>
  <c r="AT974" i="26" s="1"/>
  <c r="H974" i="26"/>
  <c r="P974" i="26"/>
  <c r="L974" i="26"/>
  <c r="Q974" i="26"/>
  <c r="E1259" i="55"/>
  <c r="BF974" i="26" l="1"/>
  <c r="BC974" i="26"/>
  <c r="AS974" i="26"/>
  <c r="BJ974" i="26" s="1"/>
  <c r="BD975" i="26"/>
  <c r="BD974" i="26"/>
  <c r="W974" i="26"/>
  <c r="V974" i="26"/>
  <c r="AU973" i="26"/>
  <c r="AX973" i="26"/>
  <c r="O974" i="26"/>
  <c r="AV972" i="55"/>
  <c r="BT972" i="26"/>
  <c r="U974" i="26"/>
  <c r="K974" i="26"/>
  <c r="M974" i="26" s="1"/>
  <c r="AR973" i="26"/>
  <c r="AW973" i="26"/>
  <c r="BL973" i="26"/>
  <c r="O1259" i="55"/>
  <c r="E975" i="26"/>
  <c r="BU975" i="26" s="1"/>
  <c r="Z1259" i="55"/>
  <c r="Q1259" i="55"/>
  <c r="AI1259" i="55"/>
  <c r="K1259" i="55"/>
  <c r="P1259" i="55"/>
  <c r="AD1259" i="55"/>
  <c r="AL1259" i="55"/>
  <c r="AK1259" i="55"/>
  <c r="AF1259" i="55"/>
  <c r="AG1259" i="55"/>
  <c r="AO1259" i="55"/>
  <c r="AC1259" i="55"/>
  <c r="AH1259" i="55"/>
  <c r="M1259" i="55"/>
  <c r="B1259" i="55"/>
  <c r="AT1259" i="55"/>
  <c r="AB1259" i="55"/>
  <c r="S1259" i="55"/>
  <c r="H1259" i="55"/>
  <c r="V1259" i="55"/>
  <c r="C1259" i="55"/>
  <c r="AN1259" i="55"/>
  <c r="W1259" i="55"/>
  <c r="X1259" i="55"/>
  <c r="AQ1259" i="55"/>
  <c r="A1259" i="55"/>
  <c r="D1259" i="55"/>
  <c r="I1259" i="55"/>
  <c r="U1259" i="55"/>
  <c r="AM1259" i="55"/>
  <c r="L1259" i="55"/>
  <c r="N1259" i="55"/>
  <c r="G1259" i="55"/>
  <c r="V975" i="26" l="1"/>
  <c r="BF975" i="26"/>
  <c r="BC975" i="26"/>
  <c r="AR974" i="26"/>
  <c r="AV973" i="55"/>
  <c r="BT973" i="26"/>
  <c r="AY973" i="26"/>
  <c r="BA973" i="26" s="1"/>
  <c r="AV973" i="26"/>
  <c r="AM974" i="26"/>
  <c r="AU974" i="26" s="1"/>
  <c r="S974" i="26"/>
  <c r="T974" i="26" s="1"/>
  <c r="N974" i="26"/>
  <c r="AJ974" i="26"/>
  <c r="AK974" i="26" s="1"/>
  <c r="AF974" i="26"/>
  <c r="B975" i="26"/>
  <c r="C975" i="26"/>
  <c r="AF975" i="26"/>
  <c r="Q975" i="26"/>
  <c r="R975" i="26" s="1"/>
  <c r="AP975" i="26"/>
  <c r="U975" i="26"/>
  <c r="G975" i="26"/>
  <c r="D975" i="26"/>
  <c r="W975" i="26"/>
  <c r="A975" i="26"/>
  <c r="P975" i="26"/>
  <c r="F975" i="26"/>
  <c r="AO975" i="26"/>
  <c r="AT975" i="26" s="1"/>
  <c r="L975" i="26"/>
  <c r="H975" i="26"/>
  <c r="K975" i="26"/>
  <c r="E1260" i="55"/>
  <c r="X975" i="26" l="1"/>
  <c r="BU976" i="26"/>
  <c r="BK975" i="26"/>
  <c r="O975" i="26"/>
  <c r="BL974" i="26"/>
  <c r="AW974" i="26"/>
  <c r="AV974" i="26"/>
  <c r="AY974" i="26"/>
  <c r="BA974" i="26" s="1"/>
  <c r="M975" i="26"/>
  <c r="AS975" i="26"/>
  <c r="BJ975" i="26" s="1"/>
  <c r="AX974" i="26"/>
  <c r="E976" i="26"/>
  <c r="BD976" i="26" s="1"/>
  <c r="O1260" i="55"/>
  <c r="Z1260" i="55"/>
  <c r="AI1260" i="55"/>
  <c r="Q1260" i="55"/>
  <c r="P1260" i="55"/>
  <c r="K1260" i="55"/>
  <c r="AO1260" i="55"/>
  <c r="AL1260" i="55"/>
  <c r="AK1260" i="55"/>
  <c r="AG1260" i="55"/>
  <c r="AF1260" i="55"/>
  <c r="AD1260" i="55"/>
  <c r="S1260" i="55"/>
  <c r="V1260" i="55"/>
  <c r="I1260" i="55"/>
  <c r="W1260" i="55"/>
  <c r="AH1260" i="55"/>
  <c r="AC1260" i="55"/>
  <c r="D1260" i="55"/>
  <c r="M1260" i="55"/>
  <c r="U1260" i="55"/>
  <c r="AN1260" i="55"/>
  <c r="G1260" i="55"/>
  <c r="AB1260" i="55"/>
  <c r="L1260" i="55"/>
  <c r="AM1260" i="55"/>
  <c r="AT1260" i="55"/>
  <c r="C1260" i="55"/>
  <c r="B1260" i="55"/>
  <c r="N1260" i="55"/>
  <c r="H1260" i="55"/>
  <c r="A1260" i="55"/>
  <c r="AQ1260" i="55"/>
  <c r="X1260" i="55"/>
  <c r="V976" i="26" l="1"/>
  <c r="BF976" i="26"/>
  <c r="BC976" i="26"/>
  <c r="N975" i="26"/>
  <c r="AJ975" i="26"/>
  <c r="AK975" i="26" s="1"/>
  <c r="AM975" i="26"/>
  <c r="S975" i="26"/>
  <c r="T975" i="26" s="1"/>
  <c r="AV974" i="55"/>
  <c r="BT974" i="26"/>
  <c r="H976" i="26"/>
  <c r="Q976" i="26"/>
  <c r="L976" i="26"/>
  <c r="B976" i="26"/>
  <c r="K976" i="26" s="1"/>
  <c r="M976" i="26" s="1"/>
  <c r="C976" i="26"/>
  <c r="A976" i="26"/>
  <c r="W976" i="26"/>
  <c r="AS976" i="26"/>
  <c r="BJ976" i="26" s="1"/>
  <c r="E1261" i="55"/>
  <c r="N976" i="26" l="1"/>
  <c r="AJ976" i="26"/>
  <c r="AK976" i="26" s="1"/>
  <c r="AO976" i="26"/>
  <c r="AP976" i="26"/>
  <c r="X976" i="26"/>
  <c r="BK976" i="26" s="1"/>
  <c r="BL975" i="26"/>
  <c r="P976" i="26"/>
  <c r="U976" i="26"/>
  <c r="F976" i="26"/>
  <c r="R976" i="26" s="1"/>
  <c r="AU975" i="26"/>
  <c r="AX975" i="26"/>
  <c r="AW975" i="26"/>
  <c r="AR975" i="26"/>
  <c r="D976" i="26"/>
  <c r="E977" i="26" s="1"/>
  <c r="G976" i="26"/>
  <c r="O1261" i="55"/>
  <c r="AG1261" i="55"/>
  <c r="AI1261" i="55"/>
  <c r="Q1261" i="55"/>
  <c r="P1261" i="55"/>
  <c r="K1261" i="55"/>
  <c r="Z1261" i="55"/>
  <c r="AF1261" i="55"/>
  <c r="AD1261" i="55"/>
  <c r="AL1261" i="55"/>
  <c r="AK1261" i="55"/>
  <c r="AO1261" i="55"/>
  <c r="D1261" i="55"/>
  <c r="A1261" i="55"/>
  <c r="U1261" i="55"/>
  <c r="X1261" i="55"/>
  <c r="AT1261" i="55"/>
  <c r="AH1261" i="55"/>
  <c r="G1261" i="55"/>
  <c r="S1261" i="55"/>
  <c r="AM1261" i="55"/>
  <c r="M1261" i="55"/>
  <c r="W1261" i="55"/>
  <c r="L1261" i="55"/>
  <c r="I1261" i="55"/>
  <c r="AN1261" i="55"/>
  <c r="B1261" i="55"/>
  <c r="V1261" i="55"/>
  <c r="N1261" i="55"/>
  <c r="AB1261" i="55"/>
  <c r="C1261" i="55"/>
  <c r="AC1261" i="55"/>
  <c r="H1261" i="55"/>
  <c r="AQ1261" i="55"/>
  <c r="BD977" i="26" l="1"/>
  <c r="BF977" i="26"/>
  <c r="BC977" i="26"/>
  <c r="BU977" i="26"/>
  <c r="V977" i="26"/>
  <c r="AY975" i="26"/>
  <c r="BA975" i="26" s="1"/>
  <c r="AV975" i="26"/>
  <c r="AT976" i="26"/>
  <c r="AV975" i="55"/>
  <c r="BT975" i="26"/>
  <c r="O976" i="26"/>
  <c r="AF976" i="26"/>
  <c r="H977" i="26"/>
  <c r="B977" i="26"/>
  <c r="T977" i="26"/>
  <c r="AV977" i="26"/>
  <c r="BR977" i="26"/>
  <c r="AY977" i="26"/>
  <c r="U977" i="26"/>
  <c r="Q977" i="26"/>
  <c r="R977" i="26"/>
  <c r="K977" i="26"/>
  <c r="M977" i="26" s="1"/>
  <c r="N977" i="26" s="1"/>
  <c r="AT977" i="26"/>
  <c r="BW977" i="26"/>
  <c r="S977" i="26"/>
  <c r="AJ977" i="26"/>
  <c r="BG977" i="26"/>
  <c r="BO977" i="26"/>
  <c r="P977" i="26"/>
  <c r="BV977" i="26"/>
  <c r="BN977" i="26"/>
  <c r="BT977" i="26"/>
  <c r="A977" i="26"/>
  <c r="AX977" i="26"/>
  <c r="BL977" i="26"/>
  <c r="D977" i="26"/>
  <c r="AM977" i="26"/>
  <c r="AO977" i="26"/>
  <c r="BJ977" i="26"/>
  <c r="BQ976" i="26" s="1"/>
  <c r="BA977" i="26"/>
  <c r="BI977" i="26"/>
  <c r="X977" i="26"/>
  <c r="AU977" i="26"/>
  <c r="AR977" i="26"/>
  <c r="F977" i="26"/>
  <c r="I977" i="26"/>
  <c r="BP977" i="26"/>
  <c r="BX977" i="26"/>
  <c r="O977" i="26"/>
  <c r="AP977" i="26"/>
  <c r="AS977" i="26"/>
  <c r="L977" i="26"/>
  <c r="C977" i="26"/>
  <c r="AK977" i="26"/>
  <c r="W977" i="26"/>
  <c r="BQ977" i="26"/>
  <c r="AW977" i="26"/>
  <c r="BK977" i="26"/>
  <c r="BM977" i="26"/>
  <c r="BE977" i="26"/>
  <c r="AF977" i="26"/>
  <c r="G977" i="26"/>
  <c r="AV977" i="55"/>
  <c r="E1262" i="55"/>
  <c r="BW976" i="26" l="1"/>
  <c r="AM976" i="26"/>
  <c r="AU976" i="26" s="1"/>
  <c r="S976" i="26"/>
  <c r="T976" i="26" s="1"/>
  <c r="O1262" i="55"/>
  <c r="E978" i="26"/>
  <c r="AI1262" i="55"/>
  <c r="P1262" i="55"/>
  <c r="Q1262" i="55"/>
  <c r="K1262" i="55"/>
  <c r="AO1262" i="55"/>
  <c r="AL1262" i="55"/>
  <c r="AG1262" i="55"/>
  <c r="AD1262" i="55"/>
  <c r="Z1262" i="55"/>
  <c r="D1262" i="55"/>
  <c r="C1262" i="55"/>
  <c r="AN1262" i="55"/>
  <c r="S1262" i="55"/>
  <c r="I1262" i="55"/>
  <c r="AT1262" i="55"/>
  <c r="G1262" i="55"/>
  <c r="N1262" i="55"/>
  <c r="AC1262" i="55"/>
  <c r="M1262" i="55"/>
  <c r="AQ1262" i="55"/>
  <c r="AM1262" i="55"/>
  <c r="V1262" i="55"/>
  <c r="A1262" i="55"/>
  <c r="W1262" i="55"/>
  <c r="AH1262" i="55"/>
  <c r="L1262" i="55"/>
  <c r="B1262" i="55"/>
  <c r="AB1262" i="55"/>
  <c r="X1262" i="55"/>
  <c r="U1262" i="55"/>
  <c r="H1262" i="55"/>
  <c r="AK1262" i="55"/>
  <c r="AF1262" i="55"/>
  <c r="BF978" i="26" l="1"/>
  <c r="BC978" i="26"/>
  <c r="BD978" i="26"/>
  <c r="BU978" i="26"/>
  <c r="V978" i="26"/>
  <c r="BE975" i="26"/>
  <c r="BL976" i="26"/>
  <c r="AW976" i="26"/>
  <c r="BN976" i="26"/>
  <c r="AX976" i="26"/>
  <c r="BO976" i="26"/>
  <c r="BI976" i="26"/>
  <c r="AR976" i="26"/>
  <c r="BA978" i="26"/>
  <c r="G978" i="26"/>
  <c r="D978" i="26"/>
  <c r="AT978" i="26"/>
  <c r="BI978" i="26"/>
  <c r="BL978" i="26"/>
  <c r="BX978" i="26"/>
  <c r="U978" i="26"/>
  <c r="AX978" i="26"/>
  <c r="H978" i="26"/>
  <c r="BM978" i="26"/>
  <c r="Q978" i="26"/>
  <c r="I978" i="26"/>
  <c r="BP978" i="26"/>
  <c r="BG978" i="26"/>
  <c r="AY978" i="26"/>
  <c r="T978" i="26"/>
  <c r="BW978" i="26"/>
  <c r="W978" i="26"/>
  <c r="BO978" i="26"/>
  <c r="BN978" i="26"/>
  <c r="BK978" i="26"/>
  <c r="P978" i="26"/>
  <c r="AP978" i="26"/>
  <c r="BQ978" i="26"/>
  <c r="R978" i="26"/>
  <c r="AR978" i="26"/>
  <c r="AU978" i="26"/>
  <c r="AV978" i="26"/>
  <c r="BJ978" i="26"/>
  <c r="L978" i="26"/>
  <c r="X978" i="26"/>
  <c r="AO978" i="26"/>
  <c r="O978" i="26"/>
  <c r="AS978" i="26"/>
  <c r="A978" i="26"/>
  <c r="AW978" i="26"/>
  <c r="AV978" i="55"/>
  <c r="AF978" i="26"/>
  <c r="AK978" i="26"/>
  <c r="B978" i="26"/>
  <c r="AM978" i="26"/>
  <c r="BT978" i="26"/>
  <c r="F978" i="26"/>
  <c r="BE978" i="26"/>
  <c r="C978" i="26"/>
  <c r="K978" i="26"/>
  <c r="M978" i="26" s="1"/>
  <c r="N978" i="26" s="1"/>
  <c r="AJ978" i="26"/>
  <c r="BR978" i="26"/>
  <c r="BV978" i="26"/>
  <c r="S978" i="26"/>
  <c r="E1263" i="55"/>
  <c r="AV976" i="26" l="1"/>
  <c r="AY976" i="26" s="1"/>
  <c r="BA976" i="26" s="1"/>
  <c r="AV976" i="55"/>
  <c r="BT976" i="26"/>
  <c r="BG976" i="26"/>
  <c r="BE976" i="26"/>
  <c r="BP976" i="26"/>
  <c r="BR976" i="26" s="1"/>
  <c r="BM976" i="26"/>
  <c r="BQ975" i="26" s="1"/>
  <c r="BE974" i="26"/>
  <c r="O1263" i="55"/>
  <c r="E979" i="26"/>
  <c r="AF1263" i="55"/>
  <c r="AL1263" i="55"/>
  <c r="Z1263" i="55"/>
  <c r="AK1263" i="55"/>
  <c r="AO1263" i="55"/>
  <c r="AI1263" i="55"/>
  <c r="Q1263" i="55"/>
  <c r="P1263" i="55"/>
  <c r="K1263" i="55"/>
  <c r="AD1263" i="55"/>
  <c r="AG1263" i="55"/>
  <c r="S1263" i="55"/>
  <c r="W1263" i="55"/>
  <c r="AT1263" i="55"/>
  <c r="AM1263" i="55"/>
  <c r="M1263" i="55"/>
  <c r="AC1263" i="55"/>
  <c r="G1263" i="55"/>
  <c r="V1263" i="55"/>
  <c r="I1263" i="55"/>
  <c r="C1263" i="55"/>
  <c r="A1263" i="55"/>
  <c r="H1263" i="55"/>
  <c r="B1263" i="55"/>
  <c r="N1263" i="55"/>
  <c r="L1263" i="55"/>
  <c r="AH1263" i="55"/>
  <c r="U1263" i="55"/>
  <c r="AN1263" i="55"/>
  <c r="X1263" i="55"/>
  <c r="D1263" i="55"/>
  <c r="AB1263" i="55"/>
  <c r="AQ1263" i="55"/>
  <c r="BF979" i="26" l="1"/>
  <c r="BC979" i="26"/>
  <c r="AV979" i="55" s="1"/>
  <c r="BD979" i="26"/>
  <c r="BU979" i="26"/>
  <c r="V979" i="26"/>
  <c r="BW975" i="26"/>
  <c r="BX975" i="26" s="1"/>
  <c r="BI975" i="26"/>
  <c r="BG975" i="26"/>
  <c r="BN975" i="26"/>
  <c r="BO975" i="26"/>
  <c r="BE973" i="26"/>
  <c r="BX976" i="26"/>
  <c r="BV976" i="26"/>
  <c r="BV975" i="26"/>
  <c r="H979" i="26"/>
  <c r="AP979" i="26"/>
  <c r="BA979" i="26"/>
  <c r="AW979" i="26"/>
  <c r="T979" i="26"/>
  <c r="C979" i="26"/>
  <c r="AM979" i="26"/>
  <c r="BI979" i="26"/>
  <c r="BJ979" i="26"/>
  <c r="R979" i="26"/>
  <c r="BV979" i="26"/>
  <c r="AF979" i="26"/>
  <c r="BN979" i="26"/>
  <c r="AY979" i="26"/>
  <c r="O979" i="26"/>
  <c r="X979" i="26"/>
  <c r="Q979" i="26"/>
  <c r="AT979" i="26"/>
  <c r="AK979" i="26"/>
  <c r="AO979" i="26"/>
  <c r="BM979" i="26"/>
  <c r="AS979" i="26"/>
  <c r="BK979" i="26"/>
  <c r="BQ979" i="26"/>
  <c r="G979" i="26"/>
  <c r="AX979" i="26"/>
  <c r="W979" i="26"/>
  <c r="AV979" i="26"/>
  <c r="I979" i="26"/>
  <c r="BW979" i="26"/>
  <c r="BO979" i="26"/>
  <c r="BE979" i="26"/>
  <c r="L979" i="26"/>
  <c r="BT979" i="26"/>
  <c r="BL979" i="26"/>
  <c r="P979" i="26"/>
  <c r="U979" i="26"/>
  <c r="K979" i="26"/>
  <c r="M979" i="26" s="1"/>
  <c r="N979" i="26" s="1"/>
  <c r="S979" i="26"/>
  <c r="AJ979" i="26"/>
  <c r="D979" i="26"/>
  <c r="B979" i="26"/>
  <c r="BP979" i="26"/>
  <c r="F979" i="26"/>
  <c r="AU979" i="26"/>
  <c r="A979" i="26"/>
  <c r="BX979" i="26"/>
  <c r="BG979" i="26"/>
  <c r="AR979" i="26"/>
  <c r="BR979" i="26"/>
  <c r="E1264" i="55"/>
  <c r="BV974" i="26" l="1"/>
  <c r="BE972" i="26"/>
  <c r="BM975" i="26"/>
  <c r="BQ974" i="26" s="1"/>
  <c r="O1264" i="55"/>
  <c r="E980" i="26"/>
  <c r="AK1264" i="55"/>
  <c r="Q1264" i="55"/>
  <c r="AI1264" i="55"/>
  <c r="P1264" i="55"/>
  <c r="K1264" i="55"/>
  <c r="AF1264" i="55"/>
  <c r="AD1264" i="55"/>
  <c r="AG1264" i="55"/>
  <c r="Z1264" i="55"/>
  <c r="A1264" i="55"/>
  <c r="V1264" i="55"/>
  <c r="AQ1264" i="55"/>
  <c r="U1264" i="55"/>
  <c r="L1264" i="55"/>
  <c r="B1264" i="55"/>
  <c r="I1264" i="55"/>
  <c r="H1264" i="55"/>
  <c r="AH1264" i="55"/>
  <c r="D1264" i="55"/>
  <c r="G1264" i="55"/>
  <c r="AC1264" i="55"/>
  <c r="S1264" i="55"/>
  <c r="AT1264" i="55"/>
  <c r="AN1264" i="55"/>
  <c r="C1264" i="55"/>
  <c r="AM1264" i="55"/>
  <c r="M1264" i="55"/>
  <c r="N1264" i="55"/>
  <c r="W1264" i="55"/>
  <c r="X1264" i="55"/>
  <c r="AB1264" i="55"/>
  <c r="AL1264" i="55"/>
  <c r="AO1264" i="55"/>
  <c r="BF980" i="26" l="1"/>
  <c r="BC980" i="26"/>
  <c r="BU980" i="26"/>
  <c r="BD980" i="26"/>
  <c r="V980" i="26"/>
  <c r="BE971" i="26"/>
  <c r="BN974" i="26"/>
  <c r="BW974" i="26"/>
  <c r="BX974" i="26" s="1"/>
  <c r="BG974" i="26"/>
  <c r="BI974" i="26"/>
  <c r="BO974" i="26"/>
  <c r="BP975" i="26"/>
  <c r="BR975" i="26" s="1"/>
  <c r="BV973" i="26"/>
  <c r="BI980" i="26"/>
  <c r="P980" i="26"/>
  <c r="D980" i="26"/>
  <c r="I980" i="26"/>
  <c r="BR980" i="26"/>
  <c r="K980" i="26"/>
  <c r="M980" i="26" s="1"/>
  <c r="N980" i="26" s="1"/>
  <c r="S980" i="26"/>
  <c r="BT980" i="26"/>
  <c r="AW980" i="26"/>
  <c r="BP980" i="26"/>
  <c r="BK980" i="26"/>
  <c r="W980" i="26"/>
  <c r="AJ980" i="26"/>
  <c r="AS980" i="26"/>
  <c r="BJ980" i="26"/>
  <c r="AV980" i="26"/>
  <c r="L980" i="26"/>
  <c r="BA980" i="26"/>
  <c r="BW980" i="26"/>
  <c r="BO980" i="26"/>
  <c r="AR980" i="26"/>
  <c r="O980" i="26"/>
  <c r="BE980" i="26"/>
  <c r="Q980" i="26"/>
  <c r="F980" i="26"/>
  <c r="AX980" i="26"/>
  <c r="BV980" i="26"/>
  <c r="AU980" i="26"/>
  <c r="BX980" i="26"/>
  <c r="G980" i="26"/>
  <c r="AP980" i="26"/>
  <c r="BG980" i="26"/>
  <c r="A980" i="26"/>
  <c r="AM980" i="26"/>
  <c r="AV980" i="55"/>
  <c r="AT980" i="26"/>
  <c r="H980" i="26"/>
  <c r="BL980" i="26"/>
  <c r="BN980" i="26"/>
  <c r="R980" i="26"/>
  <c r="AK980" i="26"/>
  <c r="AF980" i="26"/>
  <c r="U980" i="26"/>
  <c r="BM980" i="26"/>
  <c r="B980" i="26"/>
  <c r="X980" i="26"/>
  <c r="C980" i="26"/>
  <c r="AY980" i="26"/>
  <c r="T980" i="26"/>
  <c r="AO980" i="26"/>
  <c r="BQ980" i="26"/>
  <c r="E1265" i="55"/>
  <c r="BV972" i="26" l="1"/>
  <c r="BP974" i="26"/>
  <c r="BR974" i="26" s="1"/>
  <c r="BM974" i="26"/>
  <c r="BQ973" i="26" s="1"/>
  <c r="BE970" i="26"/>
  <c r="O1265" i="55"/>
  <c r="E981" i="26"/>
  <c r="Z1265" i="55"/>
  <c r="AK1265" i="55"/>
  <c r="AI1265" i="55"/>
  <c r="Q1265" i="55"/>
  <c r="P1265" i="55"/>
  <c r="K1265" i="55"/>
  <c r="AO1265" i="55"/>
  <c r="AL1265" i="55"/>
  <c r="AD1265" i="55"/>
  <c r="AF1265" i="55"/>
  <c r="AG1265" i="55"/>
  <c r="AH1265" i="55"/>
  <c r="AN1265" i="55"/>
  <c r="H1265" i="55"/>
  <c r="L1265" i="55"/>
  <c r="U1265" i="55"/>
  <c r="I1265" i="55"/>
  <c r="C1265" i="55"/>
  <c r="G1265" i="55"/>
  <c r="AT1265" i="55"/>
  <c r="M1265" i="55"/>
  <c r="AC1265" i="55"/>
  <c r="AM1265" i="55"/>
  <c r="D1265" i="55"/>
  <c r="AQ1265" i="55"/>
  <c r="A1265" i="55"/>
  <c r="AB1265" i="55"/>
  <c r="N1265" i="55"/>
  <c r="W1265" i="55"/>
  <c r="X1265" i="55"/>
  <c r="B1265" i="55"/>
  <c r="V1265" i="55"/>
  <c r="S1265" i="55"/>
  <c r="BF981" i="26" l="1"/>
  <c r="BC981" i="26"/>
  <c r="BU981" i="26"/>
  <c r="BD981" i="26"/>
  <c r="V981" i="26"/>
  <c r="BW973" i="26"/>
  <c r="BX973" i="26" s="1"/>
  <c r="BN973" i="26"/>
  <c r="BG973" i="26"/>
  <c r="BI973" i="26"/>
  <c r="BO973" i="26"/>
  <c r="BE969" i="26"/>
  <c r="BV971" i="26"/>
  <c r="R981" i="26"/>
  <c r="BP981" i="26"/>
  <c r="AJ981" i="26"/>
  <c r="I981" i="26"/>
  <c r="T981" i="26"/>
  <c r="BR981" i="26"/>
  <c r="AR981" i="26"/>
  <c r="BL981" i="26"/>
  <c r="F981" i="26"/>
  <c r="H981" i="26"/>
  <c r="G981" i="26"/>
  <c r="AV981" i="26"/>
  <c r="BA981" i="26"/>
  <c r="C981" i="26"/>
  <c r="Q981" i="26"/>
  <c r="AX981" i="26"/>
  <c r="BW981" i="26"/>
  <c r="AO981" i="26"/>
  <c r="AP981" i="26"/>
  <c r="K981" i="26"/>
  <c r="M981" i="26" s="1"/>
  <c r="N981" i="26" s="1"/>
  <c r="W981" i="26"/>
  <c r="AF981" i="26"/>
  <c r="AK981" i="26"/>
  <c r="BJ981" i="26"/>
  <c r="BK981" i="26"/>
  <c r="L981" i="26"/>
  <c r="S981" i="26"/>
  <c r="U981" i="26"/>
  <c r="A981" i="26"/>
  <c r="BQ981" i="26"/>
  <c r="BX981" i="26"/>
  <c r="BE981" i="26"/>
  <c r="AS981" i="26"/>
  <c r="B981" i="26"/>
  <c r="AW981" i="26"/>
  <c r="BN981" i="26"/>
  <c r="BI981" i="26"/>
  <c r="BM981" i="26"/>
  <c r="X981" i="26"/>
  <c r="AM981" i="26"/>
  <c r="P981" i="26"/>
  <c r="AT981" i="26"/>
  <c r="AV981" i="55"/>
  <c r="D981" i="26"/>
  <c r="BT981" i="26"/>
  <c r="BO981" i="26"/>
  <c r="BG981" i="26"/>
  <c r="O981" i="26"/>
  <c r="BV981" i="26"/>
  <c r="AU981" i="26"/>
  <c r="AY981" i="26"/>
  <c r="E1266" i="55"/>
  <c r="BM973" i="26" l="1"/>
  <c r="BQ972" i="26" s="1"/>
  <c r="BE968" i="26"/>
  <c r="BV970" i="26"/>
  <c r="O1266" i="55"/>
  <c r="AD1266" i="55"/>
  <c r="E982" i="26"/>
  <c r="AF1266" i="55"/>
  <c r="AI1266" i="55"/>
  <c r="Q1266" i="55"/>
  <c r="P1266" i="55"/>
  <c r="K1266" i="55"/>
  <c r="AO1266" i="55"/>
  <c r="AL1266" i="55"/>
  <c r="Z1266" i="55"/>
  <c r="AK1266" i="55"/>
  <c r="AG1266" i="55"/>
  <c r="D1266" i="55"/>
  <c r="H1266" i="55"/>
  <c r="W1266" i="55"/>
  <c r="G1266" i="55"/>
  <c r="I1266" i="55"/>
  <c r="M1266" i="55"/>
  <c r="AB1266" i="55"/>
  <c r="AN1266" i="55"/>
  <c r="V1266" i="55"/>
  <c r="S1266" i="55"/>
  <c r="U1266" i="55"/>
  <c r="X1266" i="55"/>
  <c r="A1266" i="55"/>
  <c r="AT1266" i="55"/>
  <c r="N1266" i="55"/>
  <c r="AH1266" i="55"/>
  <c r="AM1266" i="55"/>
  <c r="B1266" i="55"/>
  <c r="C1266" i="55"/>
  <c r="AQ1266" i="55"/>
  <c r="AC1266" i="55"/>
  <c r="L1266" i="55"/>
  <c r="BF982" i="26" l="1"/>
  <c r="BC982" i="26"/>
  <c r="AV982" i="55" s="1"/>
  <c r="BD982" i="26"/>
  <c r="BU982" i="26"/>
  <c r="V982" i="26"/>
  <c r="BE967" i="26"/>
  <c r="BN972" i="26"/>
  <c r="BG972" i="26"/>
  <c r="BI972" i="26"/>
  <c r="BW972" i="26"/>
  <c r="BX972" i="26" s="1"/>
  <c r="BO972" i="26"/>
  <c r="BV969" i="26"/>
  <c r="BP973" i="26"/>
  <c r="BR973" i="26" s="1"/>
  <c r="B982" i="26"/>
  <c r="BQ982" i="26"/>
  <c r="AV982" i="26"/>
  <c r="K982" i="26"/>
  <c r="M982" i="26" s="1"/>
  <c r="N982" i="26" s="1"/>
  <c r="BO982" i="26"/>
  <c r="BL982" i="26"/>
  <c r="AY982" i="26"/>
  <c r="AT982" i="26"/>
  <c r="AP982" i="26"/>
  <c r="AS982" i="26"/>
  <c r="BJ982" i="26"/>
  <c r="BX982" i="26"/>
  <c r="Q982" i="26"/>
  <c r="BT982" i="26"/>
  <c r="D982" i="26"/>
  <c r="O982" i="26"/>
  <c r="I982" i="26"/>
  <c r="BA982" i="26"/>
  <c r="AR982" i="26"/>
  <c r="T982" i="26"/>
  <c r="AX982" i="26"/>
  <c r="W982" i="26"/>
  <c r="C982" i="26"/>
  <c r="X982" i="26"/>
  <c r="G982" i="26"/>
  <c r="BP982" i="26"/>
  <c r="AK982" i="26"/>
  <c r="BV982" i="26"/>
  <c r="S982" i="26"/>
  <c r="AO982" i="26"/>
  <c r="P982" i="26"/>
  <c r="L982" i="26"/>
  <c r="BE982" i="26"/>
  <c r="F982" i="26"/>
  <c r="AM982" i="26"/>
  <c r="AF982" i="26"/>
  <c r="AJ982" i="26"/>
  <c r="A982" i="26"/>
  <c r="BW982" i="26"/>
  <c r="AU982" i="26"/>
  <c r="BK982" i="26"/>
  <c r="BN982" i="26"/>
  <c r="R982" i="26"/>
  <c r="BM982" i="26"/>
  <c r="BR982" i="26"/>
  <c r="BI982" i="26"/>
  <c r="U982" i="26"/>
  <c r="AW982" i="26"/>
  <c r="BG982" i="26"/>
  <c r="H982" i="26"/>
  <c r="E1267" i="55"/>
  <c r="BM972" i="26" l="1"/>
  <c r="BQ971" i="26" s="1"/>
  <c r="BP972" i="26"/>
  <c r="BR972" i="26" s="1"/>
  <c r="BV968" i="26"/>
  <c r="BE966" i="26"/>
  <c r="O1267" i="55"/>
  <c r="E983" i="26"/>
  <c r="Z1267" i="55"/>
  <c r="AI1267" i="55"/>
  <c r="Q1267" i="55"/>
  <c r="P1267" i="55"/>
  <c r="K1267" i="55"/>
  <c r="AG1267" i="55"/>
  <c r="AO1267" i="55"/>
  <c r="AK1267" i="55"/>
  <c r="AD1267" i="55"/>
  <c r="AF1267" i="55"/>
  <c r="AL1267" i="55"/>
  <c r="G1267" i="55"/>
  <c r="L1267" i="55"/>
  <c r="X1267" i="55"/>
  <c r="A1267" i="55"/>
  <c r="AB1267" i="55"/>
  <c r="AM1267" i="55"/>
  <c r="S1267" i="55"/>
  <c r="N1267" i="55"/>
  <c r="AQ1267" i="55"/>
  <c r="W1267" i="55"/>
  <c r="I1267" i="55"/>
  <c r="AH1267" i="55"/>
  <c r="V1267" i="55"/>
  <c r="AT1267" i="55"/>
  <c r="B1267" i="55"/>
  <c r="AC1267" i="55"/>
  <c r="D1267" i="55"/>
  <c r="M1267" i="55"/>
  <c r="AN1267" i="55"/>
  <c r="U1267" i="55"/>
  <c r="C1267" i="55"/>
  <c r="H1267" i="55"/>
  <c r="BF983" i="26" l="1"/>
  <c r="BC983" i="26"/>
  <c r="AV983" i="55" s="1"/>
  <c r="BD983" i="26"/>
  <c r="BU983" i="26"/>
  <c r="V983" i="26"/>
  <c r="BV967" i="26"/>
  <c r="BE965" i="26"/>
  <c r="BG971" i="26"/>
  <c r="BI971" i="26"/>
  <c r="BW971" i="26"/>
  <c r="BX971" i="26" s="1"/>
  <c r="BN971" i="26"/>
  <c r="BO971" i="26"/>
  <c r="F983" i="26"/>
  <c r="AP983" i="26"/>
  <c r="BK983" i="26"/>
  <c r="X983" i="26"/>
  <c r="O983" i="26"/>
  <c r="AT983" i="26"/>
  <c r="AK983" i="26"/>
  <c r="BQ983" i="26"/>
  <c r="AO983" i="26"/>
  <c r="AJ983" i="26"/>
  <c r="BI983" i="26"/>
  <c r="BP983" i="26"/>
  <c r="BJ983" i="26"/>
  <c r="BV983" i="26"/>
  <c r="AX983" i="26"/>
  <c r="K983" i="26"/>
  <c r="M983" i="26" s="1"/>
  <c r="N983" i="26" s="1"/>
  <c r="U983" i="26"/>
  <c r="BG983" i="26"/>
  <c r="B983" i="26"/>
  <c r="C983" i="26"/>
  <c r="BO983" i="26"/>
  <c r="AM983" i="26"/>
  <c r="D983" i="26"/>
  <c r="L983" i="26"/>
  <c r="G983" i="26"/>
  <c r="AF983" i="26"/>
  <c r="AV983" i="26"/>
  <c r="H983" i="26"/>
  <c r="W983" i="26"/>
  <c r="P983" i="26"/>
  <c r="BE983" i="26"/>
  <c r="I983" i="26"/>
  <c r="AU983" i="26"/>
  <c r="BM983" i="26"/>
  <c r="S983" i="26"/>
  <c r="BT983" i="26"/>
  <c r="AS983" i="26"/>
  <c r="T983" i="26"/>
  <c r="BN983" i="26"/>
  <c r="BX983" i="26"/>
  <c r="R983" i="26"/>
  <c r="BL983" i="26"/>
  <c r="BW983" i="26"/>
  <c r="AW983" i="26"/>
  <c r="AY983" i="26"/>
  <c r="A983" i="26"/>
  <c r="BR983" i="26"/>
  <c r="Q983" i="26"/>
  <c r="AR983" i="26"/>
  <c r="BA983" i="26"/>
  <c r="E1268" i="55"/>
  <c r="BD984" i="26" l="1"/>
  <c r="BE964" i="26"/>
  <c r="BP971" i="26"/>
  <c r="BR971" i="26" s="1"/>
  <c r="BM971" i="26"/>
  <c r="BQ970" i="26" s="1"/>
  <c r="BV966" i="26"/>
  <c r="O1268" i="55"/>
  <c r="E984" i="26"/>
  <c r="AF1268" i="55"/>
  <c r="AI1268" i="55"/>
  <c r="Q1268" i="55"/>
  <c r="P1268" i="55"/>
  <c r="K1268" i="55"/>
  <c r="AG1268" i="55"/>
  <c r="AK1268" i="55"/>
  <c r="AO1268" i="55"/>
  <c r="Z1268" i="55"/>
  <c r="AD1268" i="55"/>
  <c r="AL1268" i="55"/>
  <c r="G1268" i="55"/>
  <c r="C1268" i="55"/>
  <c r="L1268" i="55"/>
  <c r="D1268" i="55"/>
  <c r="AQ1268" i="55"/>
  <c r="AT1268" i="55"/>
  <c r="AN1268" i="55"/>
  <c r="U1268" i="55"/>
  <c r="AC1268" i="55"/>
  <c r="AM1268" i="55"/>
  <c r="B1268" i="55"/>
  <c r="A1268" i="55"/>
  <c r="H1268" i="55"/>
  <c r="AB1268" i="55"/>
  <c r="V1268" i="55"/>
  <c r="M1268" i="55"/>
  <c r="I1268" i="55"/>
  <c r="AH1268" i="55"/>
  <c r="N1268" i="55"/>
  <c r="W1268" i="55"/>
  <c r="S1268" i="55"/>
  <c r="X1268" i="55"/>
  <c r="BF984" i="26" l="1"/>
  <c r="BC984" i="26"/>
  <c r="AV984" i="55" s="1"/>
  <c r="BU984" i="26"/>
  <c r="V984" i="26"/>
  <c r="BG970" i="26"/>
  <c r="BN970" i="26"/>
  <c r="BW970" i="26"/>
  <c r="BX970" i="26" s="1"/>
  <c r="BI970" i="26"/>
  <c r="BO970" i="26"/>
  <c r="BV965" i="26"/>
  <c r="BE963" i="26"/>
  <c r="BO984" i="26"/>
  <c r="C984" i="26"/>
  <c r="W984" i="26"/>
  <c r="I984" i="26"/>
  <c r="BT984" i="26"/>
  <c r="K984" i="26"/>
  <c r="M984" i="26" s="1"/>
  <c r="N984" i="26" s="1"/>
  <c r="B984" i="26"/>
  <c r="A984" i="26"/>
  <c r="BM984" i="26"/>
  <c r="BN984" i="26"/>
  <c r="X984" i="26"/>
  <c r="AR984" i="26"/>
  <c r="BX984" i="26"/>
  <c r="G984" i="26"/>
  <c r="AY984" i="26"/>
  <c r="BI984" i="26"/>
  <c r="BA984" i="26"/>
  <c r="AT984" i="26"/>
  <c r="T984" i="26"/>
  <c r="BG984" i="26"/>
  <c r="BR984" i="26"/>
  <c r="O984" i="26"/>
  <c r="U984" i="26"/>
  <c r="AS984" i="26"/>
  <c r="BQ984" i="26"/>
  <c r="AK984" i="26"/>
  <c r="BP984" i="26"/>
  <c r="D984" i="26"/>
  <c r="AO984" i="26"/>
  <c r="BE984" i="26"/>
  <c r="BK984" i="26"/>
  <c r="L984" i="26"/>
  <c r="BJ984" i="26"/>
  <c r="R984" i="26"/>
  <c r="AU984" i="26"/>
  <c r="S984" i="26"/>
  <c r="H984" i="26"/>
  <c r="BL984" i="26"/>
  <c r="BW984" i="26"/>
  <c r="AF984" i="26"/>
  <c r="AV984" i="26"/>
  <c r="BV984" i="26"/>
  <c r="AP984" i="26"/>
  <c r="AM984" i="26"/>
  <c r="AW984" i="26"/>
  <c r="F984" i="26"/>
  <c r="AJ984" i="26"/>
  <c r="P984" i="26"/>
  <c r="AX984" i="26"/>
  <c r="Q984" i="26"/>
  <c r="E1269" i="55"/>
  <c r="BD985" i="26" l="1"/>
  <c r="BM970" i="26"/>
  <c r="BQ969" i="26" s="1"/>
  <c r="BP970" i="26"/>
  <c r="BR970" i="26" s="1"/>
  <c r="BV964" i="26"/>
  <c r="BE962" i="26"/>
  <c r="O1269" i="55"/>
  <c r="E985" i="26"/>
  <c r="AF1269" i="55"/>
  <c r="Q1269" i="55"/>
  <c r="AI1269" i="55"/>
  <c r="P1269" i="55"/>
  <c r="K1269" i="55"/>
  <c r="AD1269" i="55"/>
  <c r="Z1269" i="55"/>
  <c r="AK1269" i="55"/>
  <c r="AO1269" i="55"/>
  <c r="AG1269" i="55"/>
  <c r="AL1269" i="55"/>
  <c r="M1269" i="55"/>
  <c r="AM1269" i="55"/>
  <c r="A1269" i="55"/>
  <c r="C1269" i="55"/>
  <c r="S1269" i="55"/>
  <c r="AT1269" i="55"/>
  <c r="H1269" i="55"/>
  <c r="AN1269" i="55"/>
  <c r="B1269" i="55"/>
  <c r="AH1269" i="55"/>
  <c r="N1269" i="55"/>
  <c r="G1269" i="55"/>
  <c r="U1269" i="55"/>
  <c r="D1269" i="55"/>
  <c r="AC1269" i="55"/>
  <c r="AQ1269" i="55"/>
  <c r="X1269" i="55"/>
  <c r="I1269" i="55"/>
  <c r="V1269" i="55"/>
  <c r="W1269" i="55"/>
  <c r="L1269" i="55"/>
  <c r="AB1269" i="55"/>
  <c r="V985" i="26" l="1"/>
  <c r="BF985" i="26"/>
  <c r="BC985" i="26"/>
  <c r="AV985" i="55" s="1"/>
  <c r="BU985" i="26"/>
  <c r="BV963" i="26"/>
  <c r="BE961" i="26"/>
  <c r="BI969" i="26"/>
  <c r="BN969" i="26"/>
  <c r="BG969" i="26"/>
  <c r="BW969" i="26"/>
  <c r="BX969" i="26" s="1"/>
  <c r="BO969" i="26"/>
  <c r="AP985" i="26"/>
  <c r="BT985" i="26"/>
  <c r="U985" i="26"/>
  <c r="BI985" i="26"/>
  <c r="A985" i="26"/>
  <c r="G985" i="26"/>
  <c r="AM985" i="26"/>
  <c r="AU985" i="26"/>
  <c r="C985" i="26"/>
  <c r="T985" i="26"/>
  <c r="BL985" i="26"/>
  <c r="BX985" i="26"/>
  <c r="AR985" i="26"/>
  <c r="BN985" i="26"/>
  <c r="R985" i="26"/>
  <c r="H985" i="26"/>
  <c r="S985" i="26"/>
  <c r="BW985" i="26"/>
  <c r="BP985" i="26"/>
  <c r="AY985" i="26"/>
  <c r="AT985" i="26"/>
  <c r="BO985" i="26"/>
  <c r="AX985" i="26"/>
  <c r="L985" i="26"/>
  <c r="F985" i="26"/>
  <c r="AW985" i="26"/>
  <c r="Q985" i="26"/>
  <c r="X985" i="26"/>
  <c r="BK985" i="26"/>
  <c r="P985" i="26"/>
  <c r="W985" i="26"/>
  <c r="AV985" i="26"/>
  <c r="O985" i="26"/>
  <c r="B985" i="26"/>
  <c r="AO985" i="26"/>
  <c r="AK985" i="26"/>
  <c r="K985" i="26"/>
  <c r="M985" i="26" s="1"/>
  <c r="N985" i="26" s="1"/>
  <c r="BG985" i="26"/>
  <c r="BA985" i="26"/>
  <c r="D985" i="26"/>
  <c r="BE985" i="26"/>
  <c r="BM985" i="26"/>
  <c r="BQ985" i="26"/>
  <c r="I985" i="26"/>
  <c r="AS985" i="26"/>
  <c r="BJ985" i="26"/>
  <c r="BV985" i="26"/>
  <c r="AF985" i="26"/>
  <c r="AJ985" i="26"/>
  <c r="BR985" i="26"/>
  <c r="E1270" i="55"/>
  <c r="BD986" i="26" l="1"/>
  <c r="BE960" i="26"/>
  <c r="BP969" i="26"/>
  <c r="BR969" i="26" s="1"/>
  <c r="BM969" i="26"/>
  <c r="BQ968" i="26" s="1"/>
  <c r="BV962" i="26"/>
  <c r="O1270" i="55"/>
  <c r="E986" i="26"/>
  <c r="AI1270" i="55"/>
  <c r="P1270" i="55"/>
  <c r="Q1270" i="55"/>
  <c r="K1270" i="55"/>
  <c r="AO1270" i="55"/>
  <c r="AK1270" i="55"/>
  <c r="Z1270" i="55"/>
  <c r="AG1270" i="55"/>
  <c r="AD1270" i="55"/>
  <c r="AL1270" i="55"/>
  <c r="AF1270" i="55"/>
  <c r="AC1270" i="55"/>
  <c r="D1270" i="55"/>
  <c r="C1270" i="55"/>
  <c r="S1270" i="55"/>
  <c r="X1270" i="55"/>
  <c r="AH1270" i="55"/>
  <c r="H1270" i="55"/>
  <c r="L1270" i="55"/>
  <c r="M1270" i="55"/>
  <c r="V1270" i="55"/>
  <c r="B1270" i="55"/>
  <c r="A1270" i="55"/>
  <c r="N1270" i="55"/>
  <c r="W1270" i="55"/>
  <c r="AM1270" i="55"/>
  <c r="AQ1270" i="55"/>
  <c r="U1270" i="55"/>
  <c r="AT1270" i="55"/>
  <c r="G1270" i="55"/>
  <c r="AN1270" i="55"/>
  <c r="AB1270" i="55"/>
  <c r="I1270" i="55"/>
  <c r="BF986" i="26" l="1"/>
  <c r="BC986" i="26"/>
  <c r="BU986" i="26"/>
  <c r="V986" i="26"/>
  <c r="BN968" i="26"/>
  <c r="BI968" i="26"/>
  <c r="BG968" i="26"/>
  <c r="BW968" i="26"/>
  <c r="BX968" i="26" s="1"/>
  <c r="BO968" i="26"/>
  <c r="BV961" i="26"/>
  <c r="BE959" i="26"/>
  <c r="AV986" i="55"/>
  <c r="G986" i="26"/>
  <c r="AS986" i="26"/>
  <c r="BN986" i="26"/>
  <c r="BE986" i="26"/>
  <c r="BR986" i="26"/>
  <c r="U986" i="26"/>
  <c r="AT986" i="26"/>
  <c r="D986" i="26"/>
  <c r="BQ986" i="26"/>
  <c r="AR986" i="26"/>
  <c r="BP986" i="26"/>
  <c r="K986" i="26"/>
  <c r="M986" i="26" s="1"/>
  <c r="N986" i="26" s="1"/>
  <c r="AW986" i="26"/>
  <c r="AO986" i="26"/>
  <c r="AK986" i="26"/>
  <c r="BX986" i="26"/>
  <c r="L986" i="26"/>
  <c r="H986" i="26"/>
  <c r="AF986" i="26"/>
  <c r="BV986" i="26"/>
  <c r="AY986" i="26"/>
  <c r="Q986" i="26"/>
  <c r="S986" i="26"/>
  <c r="R986" i="26"/>
  <c r="BK986" i="26"/>
  <c r="C986" i="26"/>
  <c r="BT986" i="26"/>
  <c r="BM986" i="26"/>
  <c r="F986" i="26"/>
  <c r="P986" i="26"/>
  <c r="AP986" i="26"/>
  <c r="BJ986" i="26"/>
  <c r="O986" i="26"/>
  <c r="B986" i="26"/>
  <c r="A986" i="26"/>
  <c r="AU986" i="26"/>
  <c r="W986" i="26"/>
  <c r="BO986" i="26"/>
  <c r="BW986" i="26"/>
  <c r="AM986" i="26"/>
  <c r="BL986" i="26"/>
  <c r="AX986" i="26"/>
  <c r="AJ986" i="26"/>
  <c r="BA986" i="26"/>
  <c r="AV986" i="26"/>
  <c r="BI986" i="26"/>
  <c r="I986" i="26"/>
  <c r="T986" i="26"/>
  <c r="BG986" i="26"/>
  <c r="X986" i="26"/>
  <c r="E1271" i="55"/>
  <c r="BD987" i="26" l="1"/>
  <c r="BV960" i="26"/>
  <c r="BP968" i="26"/>
  <c r="BR968" i="26" s="1"/>
  <c r="BM968" i="26"/>
  <c r="BQ967" i="26" s="1"/>
  <c r="BE958" i="26"/>
  <c r="O1271" i="55"/>
  <c r="E987" i="26"/>
  <c r="AG1271" i="55"/>
  <c r="AI1271" i="55"/>
  <c r="Q1271" i="55"/>
  <c r="P1271" i="55"/>
  <c r="K1271" i="55"/>
  <c r="AO1271" i="55"/>
  <c r="AF1271" i="55"/>
  <c r="Z1271" i="55"/>
  <c r="AD1271" i="55"/>
  <c r="AL1271" i="55"/>
  <c r="AK1271" i="55"/>
  <c r="M1271" i="55"/>
  <c r="B1271" i="55"/>
  <c r="AC1271" i="55"/>
  <c r="AB1271" i="55"/>
  <c r="W1271" i="55"/>
  <c r="AM1271" i="55"/>
  <c r="H1271" i="55"/>
  <c r="X1271" i="55"/>
  <c r="V1271" i="55"/>
  <c r="G1271" i="55"/>
  <c r="C1271" i="55"/>
  <c r="S1271" i="55"/>
  <c r="A1271" i="55"/>
  <c r="AT1271" i="55"/>
  <c r="N1271" i="55"/>
  <c r="AH1271" i="55"/>
  <c r="AN1271" i="55"/>
  <c r="D1271" i="55"/>
  <c r="AQ1271" i="55"/>
  <c r="I1271" i="55"/>
  <c r="L1271" i="55"/>
  <c r="U1271" i="55"/>
  <c r="BF987" i="26" l="1"/>
  <c r="BC987" i="26"/>
  <c r="BU987" i="26"/>
  <c r="V987" i="26"/>
  <c r="BN967" i="26"/>
  <c r="BW967" i="26"/>
  <c r="BX967" i="26" s="1"/>
  <c r="BG967" i="26"/>
  <c r="BI967" i="26"/>
  <c r="BO967" i="26"/>
  <c r="BE957" i="26"/>
  <c r="BV959" i="26"/>
  <c r="W987" i="26"/>
  <c r="I987" i="26"/>
  <c r="BG987" i="26"/>
  <c r="R987" i="26"/>
  <c r="C987" i="26"/>
  <c r="AM987" i="26"/>
  <c r="AU987" i="26"/>
  <c r="F987" i="26"/>
  <c r="O987" i="26"/>
  <c r="T987" i="26"/>
  <c r="BJ987" i="26"/>
  <c r="B987" i="26"/>
  <c r="BI987" i="26"/>
  <c r="BL987" i="26"/>
  <c r="P987" i="26"/>
  <c r="H987" i="26"/>
  <c r="BK987" i="26"/>
  <c r="BX987" i="26"/>
  <c r="AO987" i="26"/>
  <c r="BQ987" i="26"/>
  <c r="L987" i="26"/>
  <c r="BA987" i="26"/>
  <c r="BE987" i="26"/>
  <c r="BW987" i="26"/>
  <c r="AT987" i="26"/>
  <c r="BR987" i="26"/>
  <c r="BN987" i="26"/>
  <c r="X987" i="26"/>
  <c r="D987" i="26"/>
  <c r="S987" i="26"/>
  <c r="BO987" i="26"/>
  <c r="AS987" i="26"/>
  <c r="G987" i="26"/>
  <c r="AP987" i="26"/>
  <c r="AX987" i="26"/>
  <c r="A987" i="26"/>
  <c r="AR987" i="26"/>
  <c r="AY987" i="26"/>
  <c r="K987" i="26"/>
  <c r="M987" i="26" s="1"/>
  <c r="N987" i="26" s="1"/>
  <c r="Q987" i="26"/>
  <c r="AV987" i="55"/>
  <c r="U987" i="26"/>
  <c r="BP987" i="26"/>
  <c r="AV987" i="26"/>
  <c r="AW987" i="26"/>
  <c r="BT987" i="26"/>
  <c r="BM987" i="26"/>
  <c r="AK987" i="26"/>
  <c r="AF987" i="26"/>
  <c r="BV987" i="26"/>
  <c r="AJ987" i="26"/>
  <c r="E1272" i="55"/>
  <c r="BE956" i="26" l="1"/>
  <c r="BM967" i="26"/>
  <c r="BQ966" i="26" s="1"/>
  <c r="BV958" i="26"/>
  <c r="O1272" i="55"/>
  <c r="E988" i="26"/>
  <c r="AI1272" i="55"/>
  <c r="Q1272" i="55"/>
  <c r="P1272" i="55"/>
  <c r="K1272" i="55"/>
  <c r="Z1272" i="55"/>
  <c r="AK1272" i="55"/>
  <c r="AO1272" i="55"/>
  <c r="AG1272" i="55"/>
  <c r="AL1272" i="55"/>
  <c r="AD1272" i="55"/>
  <c r="AF1272" i="55"/>
  <c r="AQ1272" i="55"/>
  <c r="C1272" i="55"/>
  <c r="AH1272" i="55"/>
  <c r="G1272" i="55"/>
  <c r="H1272" i="55"/>
  <c r="AN1272" i="55"/>
  <c r="V1272" i="55"/>
  <c r="AB1272" i="55"/>
  <c r="AC1272" i="55"/>
  <c r="I1272" i="55"/>
  <c r="AM1272" i="55"/>
  <c r="W1272" i="55"/>
  <c r="S1272" i="55"/>
  <c r="U1272" i="55"/>
  <c r="A1272" i="55"/>
  <c r="AT1272" i="55"/>
  <c r="M1272" i="55"/>
  <c r="B1272" i="55"/>
  <c r="L1272" i="55"/>
  <c r="N1272" i="55"/>
  <c r="X1272" i="55"/>
  <c r="D1272" i="55"/>
  <c r="BF988" i="26" l="1"/>
  <c r="BC988" i="26"/>
  <c r="BD988" i="26"/>
  <c r="BU988" i="26"/>
  <c r="V988" i="26"/>
  <c r="BI966" i="26"/>
  <c r="BG966" i="26"/>
  <c r="BW966" i="26"/>
  <c r="BX966" i="26" s="1"/>
  <c r="BN966" i="26"/>
  <c r="BO966" i="26"/>
  <c r="BP967" i="26"/>
  <c r="BR967" i="26" s="1"/>
  <c r="BV957" i="26"/>
  <c r="BE955" i="26"/>
  <c r="AV988" i="55"/>
  <c r="BM988" i="26"/>
  <c r="BW988" i="26"/>
  <c r="W988" i="26"/>
  <c r="AU988" i="26"/>
  <c r="BT988" i="26"/>
  <c r="BA988" i="26"/>
  <c r="BO988" i="26"/>
  <c r="F988" i="26"/>
  <c r="BX988" i="26"/>
  <c r="D988" i="26"/>
  <c r="R988" i="26"/>
  <c r="Q988" i="26"/>
  <c r="AM988" i="26"/>
  <c r="BI988" i="26"/>
  <c r="AY988" i="26"/>
  <c r="AK988" i="26"/>
  <c r="L988" i="26"/>
  <c r="AO988" i="26"/>
  <c r="C988" i="26"/>
  <c r="T988" i="26"/>
  <c r="O988" i="26"/>
  <c r="B988" i="26"/>
  <c r="K988" i="26"/>
  <c r="M988" i="26" s="1"/>
  <c r="N988" i="26" s="1"/>
  <c r="AV988" i="26"/>
  <c r="I988" i="26"/>
  <c r="AJ988" i="26"/>
  <c r="X988" i="26"/>
  <c r="AF988" i="26"/>
  <c r="BQ988" i="26"/>
  <c r="P988" i="26"/>
  <c r="BN988" i="26"/>
  <c r="AS988" i="26"/>
  <c r="BK988" i="26"/>
  <c r="H988" i="26"/>
  <c r="BV988" i="26"/>
  <c r="G988" i="26"/>
  <c r="AR988" i="26"/>
  <c r="U988" i="26"/>
  <c r="BR988" i="26"/>
  <c r="AT988" i="26"/>
  <c r="BE988" i="26"/>
  <c r="BG988" i="26"/>
  <c r="AP988" i="26"/>
  <c r="BL988" i="26"/>
  <c r="A988" i="26"/>
  <c r="AX988" i="26"/>
  <c r="AW988" i="26"/>
  <c r="S988" i="26"/>
  <c r="BP988" i="26"/>
  <c r="BJ988" i="26"/>
  <c r="E1273" i="55"/>
  <c r="BV956" i="26" l="1"/>
  <c r="BE954" i="26"/>
  <c r="BM966" i="26"/>
  <c r="BQ965" i="26" s="1"/>
  <c r="O1273" i="55"/>
  <c r="E989" i="26"/>
  <c r="AK1273" i="55"/>
  <c r="AI1273" i="55"/>
  <c r="Q1273" i="55"/>
  <c r="P1273" i="55"/>
  <c r="K1273" i="55"/>
  <c r="AL1273" i="55"/>
  <c r="AO1273" i="55"/>
  <c r="AD1273" i="55"/>
  <c r="Z1273" i="55"/>
  <c r="AF1273" i="55"/>
  <c r="AG1273" i="55"/>
  <c r="V1273" i="55"/>
  <c r="G1273" i="55"/>
  <c r="AH1273" i="55"/>
  <c r="AQ1273" i="55"/>
  <c r="AN1273" i="55"/>
  <c r="L1273" i="55"/>
  <c r="X1273" i="55"/>
  <c r="AM1273" i="55"/>
  <c r="M1273" i="55"/>
  <c r="H1273" i="55"/>
  <c r="AB1273" i="55"/>
  <c r="A1273" i="55"/>
  <c r="B1273" i="55"/>
  <c r="S1273" i="55"/>
  <c r="N1273" i="55"/>
  <c r="AC1273" i="55"/>
  <c r="I1273" i="55"/>
  <c r="D1273" i="55"/>
  <c r="AT1273" i="55"/>
  <c r="U1273" i="55"/>
  <c r="W1273" i="55"/>
  <c r="C1273" i="55"/>
  <c r="BF989" i="26" l="1"/>
  <c r="BC989" i="26"/>
  <c r="BD989" i="26"/>
  <c r="BU989" i="26"/>
  <c r="V989" i="26"/>
  <c r="BP966" i="26"/>
  <c r="BR966" i="26" s="1"/>
  <c r="BE953" i="26"/>
  <c r="BW965" i="26"/>
  <c r="BX965" i="26" s="1"/>
  <c r="BG965" i="26"/>
  <c r="BN965" i="26"/>
  <c r="BO965" i="26"/>
  <c r="BV955" i="26"/>
  <c r="BV989" i="26"/>
  <c r="BP989" i="26"/>
  <c r="BQ989" i="26"/>
  <c r="L989" i="26"/>
  <c r="AX989" i="26"/>
  <c r="G989" i="26"/>
  <c r="Q989" i="26"/>
  <c r="D989" i="26"/>
  <c r="AT989" i="26"/>
  <c r="BT989" i="26"/>
  <c r="BG989" i="26"/>
  <c r="AO989" i="26"/>
  <c r="X989" i="26"/>
  <c r="BW989" i="26"/>
  <c r="BI989" i="26"/>
  <c r="U989" i="26"/>
  <c r="AV989" i="55"/>
  <c r="F989" i="26"/>
  <c r="O989" i="26"/>
  <c r="AU989" i="26"/>
  <c r="AM989" i="26"/>
  <c r="I989" i="26"/>
  <c r="AF989" i="26"/>
  <c r="AP989" i="26"/>
  <c r="A989" i="26"/>
  <c r="BN989" i="26"/>
  <c r="R989" i="26"/>
  <c r="C989" i="26"/>
  <c r="AK989" i="26"/>
  <c r="BE989" i="26"/>
  <c r="AV989" i="26"/>
  <c r="BL989" i="26"/>
  <c r="K989" i="26"/>
  <c r="M989" i="26" s="1"/>
  <c r="N989" i="26" s="1"/>
  <c r="BR989" i="26"/>
  <c r="S989" i="26"/>
  <c r="BK989" i="26"/>
  <c r="BO989" i="26"/>
  <c r="AW989" i="26"/>
  <c r="AS989" i="26"/>
  <c r="B989" i="26"/>
  <c r="BM989" i="26"/>
  <c r="BX989" i="26"/>
  <c r="BJ989" i="26"/>
  <c r="P989" i="26"/>
  <c r="T989" i="26"/>
  <c r="W989" i="26"/>
  <c r="AR989" i="26"/>
  <c r="H989" i="26"/>
  <c r="BA989" i="26"/>
  <c r="AY989" i="26"/>
  <c r="AJ989" i="26"/>
  <c r="E1274" i="55"/>
  <c r="BV954" i="26" l="1"/>
  <c r="BE952" i="26"/>
  <c r="AL1274" i="55"/>
  <c r="E990" i="26"/>
  <c r="BD990" i="26" s="1"/>
  <c r="O1274" i="55"/>
  <c r="Z1274" i="55"/>
  <c r="AI1274" i="55"/>
  <c r="P1274" i="55"/>
  <c r="Q1274" i="55"/>
  <c r="K1274" i="55"/>
  <c r="AK1274" i="55"/>
  <c r="AO1274" i="55"/>
  <c r="AG1274" i="55"/>
  <c r="AD1274" i="55"/>
  <c r="AF1274" i="55"/>
  <c r="D1274" i="55"/>
  <c r="I1274" i="55"/>
  <c r="B1274" i="55"/>
  <c r="M1274" i="55"/>
  <c r="L1274" i="55"/>
  <c r="U1274" i="55"/>
  <c r="V1274" i="55"/>
  <c r="AN1274" i="55"/>
  <c r="W1274" i="55"/>
  <c r="G1274" i="55"/>
  <c r="AT1274" i="55"/>
  <c r="AH1274" i="55"/>
  <c r="A1274" i="55"/>
  <c r="X1274" i="55"/>
  <c r="H1274" i="55"/>
  <c r="AM1274" i="55"/>
  <c r="AB1274" i="55"/>
  <c r="AQ1274" i="55"/>
  <c r="N1274" i="55"/>
  <c r="AC1274" i="55"/>
  <c r="C1274" i="55"/>
  <c r="S1274" i="55"/>
  <c r="BF990" i="26" l="1"/>
  <c r="BC990" i="26"/>
  <c r="BU990" i="26"/>
  <c r="V990" i="26"/>
  <c r="BE951" i="26"/>
  <c r="BV953" i="26"/>
  <c r="AU990" i="26"/>
  <c r="BQ990" i="26"/>
  <c r="T990" i="26"/>
  <c r="AK990" i="26"/>
  <c r="BM990" i="26"/>
  <c r="AV990" i="55"/>
  <c r="BN990" i="26"/>
  <c r="P990" i="26"/>
  <c r="S990" i="26"/>
  <c r="BT990" i="26"/>
  <c r="F990" i="26"/>
  <c r="AS990" i="26"/>
  <c r="B990" i="26"/>
  <c r="AX990" i="26"/>
  <c r="BL990" i="26"/>
  <c r="AO990" i="26"/>
  <c r="BE990" i="26"/>
  <c r="AV990" i="26"/>
  <c r="BW990" i="26"/>
  <c r="X990" i="26"/>
  <c r="R990" i="26"/>
  <c r="AY990" i="26"/>
  <c r="BR990" i="26"/>
  <c r="I990" i="26"/>
  <c r="C990" i="26"/>
  <c r="O990" i="26"/>
  <c r="BV990" i="26"/>
  <c r="AW990" i="26"/>
  <c r="BX990" i="26"/>
  <c r="AP990" i="26"/>
  <c r="BJ990" i="26"/>
  <c r="BI990" i="26"/>
  <c r="D990" i="26"/>
  <c r="L990" i="26"/>
  <c r="W990" i="26"/>
  <c r="BP990" i="26"/>
  <c r="H990" i="26"/>
  <c r="AJ990" i="26"/>
  <c r="BG990" i="26"/>
  <c r="BK990" i="26"/>
  <c r="Q990" i="26"/>
  <c r="K990" i="26"/>
  <c r="M990" i="26" s="1"/>
  <c r="N990" i="26" s="1"/>
  <c r="AT990" i="26"/>
  <c r="BO990" i="26"/>
  <c r="U990" i="26"/>
  <c r="BA990" i="26"/>
  <c r="AM990" i="26"/>
  <c r="A990" i="26"/>
  <c r="AR990" i="26"/>
  <c r="AF990" i="26"/>
  <c r="G990" i="26"/>
  <c r="E1275" i="55"/>
  <c r="BD991" i="26" l="1"/>
  <c r="BV952" i="26"/>
  <c r="BE950" i="26"/>
  <c r="E991" i="26"/>
  <c r="AO1275" i="55"/>
  <c r="O1275" i="55"/>
  <c r="AL1275" i="55"/>
  <c r="Z1275" i="55"/>
  <c r="Q1275" i="55"/>
  <c r="AI1275" i="55"/>
  <c r="K1275" i="55"/>
  <c r="P1275" i="55"/>
  <c r="AF1275" i="55"/>
  <c r="AK1275" i="55"/>
  <c r="AH1275" i="55"/>
  <c r="I1275" i="55"/>
  <c r="C1275" i="55"/>
  <c r="H1275" i="55"/>
  <c r="L1275" i="55"/>
  <c r="AT1275" i="55"/>
  <c r="W1275" i="55"/>
  <c r="AM1275" i="55"/>
  <c r="N1275" i="55"/>
  <c r="D1275" i="55"/>
  <c r="A1275" i="55"/>
  <c r="S1275" i="55"/>
  <c r="M1275" i="55"/>
  <c r="U1275" i="55"/>
  <c r="AQ1275" i="55"/>
  <c r="X1275" i="55"/>
  <c r="V1275" i="55"/>
  <c r="AN1275" i="55"/>
  <c r="AC1275" i="55"/>
  <c r="AB1275" i="55"/>
  <c r="G1275" i="55"/>
  <c r="B1275" i="55"/>
  <c r="AG1275" i="55"/>
  <c r="AD1275" i="55"/>
  <c r="BF991" i="26" l="1"/>
  <c r="BC991" i="26"/>
  <c r="AV991" i="55" s="1"/>
  <c r="BU991" i="26"/>
  <c r="V991" i="26"/>
  <c r="BE949" i="26"/>
  <c r="BV951" i="26"/>
  <c r="BW991" i="26"/>
  <c r="H991" i="26"/>
  <c r="R991" i="26"/>
  <c r="AU991" i="26"/>
  <c r="BO991" i="26"/>
  <c r="BN991" i="26"/>
  <c r="T991" i="26"/>
  <c r="AR991" i="26"/>
  <c r="AK991" i="26"/>
  <c r="S991" i="26"/>
  <c r="F991" i="26"/>
  <c r="W991" i="26"/>
  <c r="AS991" i="26"/>
  <c r="BA991" i="26"/>
  <c r="BJ991" i="26"/>
  <c r="BV991" i="26"/>
  <c r="BM991" i="26"/>
  <c r="AO991" i="26"/>
  <c r="P991" i="26"/>
  <c r="X991" i="26"/>
  <c r="A991" i="26"/>
  <c r="AF991" i="26"/>
  <c r="O991" i="26"/>
  <c r="L991" i="26"/>
  <c r="BX991" i="26"/>
  <c r="AW991" i="26"/>
  <c r="K991" i="26"/>
  <c r="M991" i="26" s="1"/>
  <c r="N991" i="26" s="1"/>
  <c r="BI991" i="26"/>
  <c r="B991" i="26"/>
  <c r="AT991" i="26"/>
  <c r="AX991" i="26"/>
  <c r="BL991" i="26"/>
  <c r="BG991" i="26"/>
  <c r="BK991" i="26"/>
  <c r="G991" i="26"/>
  <c r="AV991" i="26"/>
  <c r="BE991" i="26"/>
  <c r="D991" i="26"/>
  <c r="U991" i="26"/>
  <c r="AP991" i="26"/>
  <c r="BP991" i="26"/>
  <c r="C991" i="26"/>
  <c r="I991" i="26"/>
  <c r="BR991" i="26"/>
  <c r="AM991" i="26"/>
  <c r="AY991" i="26"/>
  <c r="AJ991" i="26"/>
  <c r="Q991" i="26"/>
  <c r="BT991" i="26"/>
  <c r="BQ991" i="26"/>
  <c r="E1276" i="55"/>
  <c r="BU992" i="26" l="1"/>
  <c r="BV950" i="26"/>
  <c r="BE948" i="26"/>
  <c r="AF1276" i="55"/>
  <c r="AO1276" i="55"/>
  <c r="E992" i="26"/>
  <c r="AL1276" i="55"/>
  <c r="AD1276" i="55"/>
  <c r="O1276" i="55"/>
  <c r="AG1276" i="55"/>
  <c r="AI1276" i="55"/>
  <c r="Q1276" i="55"/>
  <c r="P1276" i="55"/>
  <c r="K1276" i="55"/>
  <c r="Z1276" i="55"/>
  <c r="AK1276" i="55"/>
  <c r="L1276" i="55"/>
  <c r="C1276" i="55"/>
  <c r="G1276" i="55"/>
  <c r="AM1276" i="55"/>
  <c r="AQ1276" i="55"/>
  <c r="AB1276" i="55"/>
  <c r="N1276" i="55"/>
  <c r="U1276" i="55"/>
  <c r="AT1276" i="55"/>
  <c r="AC1276" i="55"/>
  <c r="M1276" i="55"/>
  <c r="I1276" i="55"/>
  <c r="A1276" i="55"/>
  <c r="AH1276" i="55"/>
  <c r="H1276" i="55"/>
  <c r="S1276" i="55"/>
  <c r="V1276" i="55"/>
  <c r="B1276" i="55"/>
  <c r="W1276" i="55"/>
  <c r="AN1276" i="55"/>
  <c r="D1276" i="55"/>
  <c r="X1276" i="55"/>
  <c r="V992" i="26" l="1"/>
  <c r="BF992" i="26"/>
  <c r="BC992" i="26"/>
  <c r="AV992" i="55" s="1"/>
  <c r="BD992" i="26"/>
  <c r="BE947" i="26"/>
  <c r="BV949" i="26"/>
  <c r="AO992" i="26"/>
  <c r="BA992" i="26"/>
  <c r="AJ992" i="26"/>
  <c r="BG992" i="26"/>
  <c r="Q992" i="26"/>
  <c r="C992" i="26"/>
  <c r="BJ992" i="26"/>
  <c r="AT992" i="26"/>
  <c r="BX992" i="26"/>
  <c r="BO992" i="26"/>
  <c r="AX992" i="26"/>
  <c r="BT992" i="26"/>
  <c r="A992" i="26"/>
  <c r="AK992" i="26"/>
  <c r="BR992" i="26"/>
  <c r="L992" i="26"/>
  <c r="BP992" i="26"/>
  <c r="D992" i="26"/>
  <c r="BM992" i="26"/>
  <c r="U992" i="26"/>
  <c r="AU992" i="26"/>
  <c r="AS992" i="26"/>
  <c r="P992" i="26"/>
  <c r="G992" i="26"/>
  <c r="O992" i="26"/>
  <c r="BV992" i="26"/>
  <c r="AP992" i="26"/>
  <c r="X992" i="26"/>
  <c r="K992" i="26"/>
  <c r="M992" i="26" s="1"/>
  <c r="N992" i="26" s="1"/>
  <c r="BQ992" i="26"/>
  <c r="BN992" i="26"/>
  <c r="AM992" i="26"/>
  <c r="AY992" i="26"/>
  <c r="W992" i="26"/>
  <c r="R992" i="26"/>
  <c r="T992" i="26"/>
  <c r="BE992" i="26"/>
  <c r="BI992" i="26"/>
  <c r="S992" i="26"/>
  <c r="F992" i="26"/>
  <c r="AV992" i="26"/>
  <c r="AF992" i="26"/>
  <c r="H992" i="26"/>
  <c r="I992" i="26"/>
  <c r="BW992" i="26"/>
  <c r="BL992" i="26"/>
  <c r="AW992" i="26"/>
  <c r="B992" i="26"/>
  <c r="AR992" i="26"/>
  <c r="BK992" i="26"/>
  <c r="E1277" i="55"/>
  <c r="BV948" i="26" l="1"/>
  <c r="BE946" i="26"/>
  <c r="O1277" i="55"/>
  <c r="E993" i="26"/>
  <c r="AD1277" i="55"/>
  <c r="Q1277" i="55"/>
  <c r="AI1277" i="55"/>
  <c r="P1277" i="55"/>
  <c r="K1277" i="55"/>
  <c r="AO1277" i="55"/>
  <c r="AL1277" i="55"/>
  <c r="Z1277" i="55"/>
  <c r="AF1277" i="55"/>
  <c r="AK1277" i="55"/>
  <c r="AG1277" i="55"/>
  <c r="A1277" i="55"/>
  <c r="D1277" i="55"/>
  <c r="M1277" i="55"/>
  <c r="I1277" i="55"/>
  <c r="G1277" i="55"/>
  <c r="AM1277" i="55"/>
  <c r="AH1277" i="55"/>
  <c r="H1277" i="55"/>
  <c r="B1277" i="55"/>
  <c r="V1277" i="55"/>
  <c r="N1277" i="55"/>
  <c r="S1277" i="55"/>
  <c r="AB1277" i="55"/>
  <c r="X1277" i="55"/>
  <c r="AQ1277" i="55"/>
  <c r="L1277" i="55"/>
  <c r="AC1277" i="55"/>
  <c r="AT1277" i="55"/>
  <c r="C1277" i="55"/>
  <c r="U1277" i="55"/>
  <c r="W1277" i="55"/>
  <c r="AN1277" i="55"/>
  <c r="BF993" i="26" l="1"/>
  <c r="BC993" i="26"/>
  <c r="AV993" i="55" s="1"/>
  <c r="BD993" i="26"/>
  <c r="BU993" i="26"/>
  <c r="V993" i="26"/>
  <c r="BE945" i="26"/>
  <c r="BV947" i="26"/>
  <c r="BP993" i="26"/>
  <c r="BX993" i="26"/>
  <c r="AT993" i="26"/>
  <c r="BN993" i="26"/>
  <c r="AY993" i="26"/>
  <c r="P993" i="26"/>
  <c r="I993" i="26"/>
  <c r="BL993" i="26"/>
  <c r="AU993" i="26"/>
  <c r="BI993" i="26"/>
  <c r="AJ993" i="26"/>
  <c r="H993" i="26"/>
  <c r="BO993" i="26"/>
  <c r="R993" i="26"/>
  <c r="BA993" i="26"/>
  <c r="F993" i="26"/>
  <c r="A993" i="26"/>
  <c r="AM993" i="26"/>
  <c r="AP993" i="26"/>
  <c r="BK993" i="26"/>
  <c r="X993" i="26"/>
  <c r="BE993" i="26"/>
  <c r="U993" i="26"/>
  <c r="G993" i="26"/>
  <c r="D993" i="26"/>
  <c r="AR993" i="26"/>
  <c r="B993" i="26"/>
  <c r="AS993" i="26"/>
  <c r="O993" i="26"/>
  <c r="S993" i="26"/>
  <c r="W993" i="26"/>
  <c r="BM993" i="26"/>
  <c r="AK993" i="26"/>
  <c r="L993" i="26"/>
  <c r="BV993" i="26"/>
  <c r="AW993" i="26"/>
  <c r="AO993" i="26"/>
  <c r="AF993" i="26"/>
  <c r="BQ993" i="26"/>
  <c r="BJ993" i="26"/>
  <c r="AV993" i="26"/>
  <c r="BR993" i="26"/>
  <c r="K993" i="26"/>
  <c r="M993" i="26" s="1"/>
  <c r="N993" i="26" s="1"/>
  <c r="T993" i="26"/>
  <c r="AX993" i="26"/>
  <c r="BW993" i="26"/>
  <c r="Q993" i="26"/>
  <c r="C993" i="26"/>
  <c r="BT993" i="26"/>
  <c r="BG993" i="26"/>
  <c r="E1278" i="55"/>
  <c r="BV946" i="26" l="1"/>
  <c r="BE944" i="26"/>
  <c r="O1278" i="55"/>
  <c r="E994" i="26"/>
  <c r="AO1278" i="55"/>
  <c r="Z1278" i="55"/>
  <c r="AI1278" i="55"/>
  <c r="P1278" i="55"/>
  <c r="Q1278" i="55"/>
  <c r="K1278" i="55"/>
  <c r="AD1278" i="55"/>
  <c r="AF1278" i="55"/>
  <c r="AL1278" i="55"/>
  <c r="AG1278" i="55"/>
  <c r="AK1278" i="55"/>
  <c r="AT1278" i="55"/>
  <c r="U1278" i="55"/>
  <c r="AC1278" i="55"/>
  <c r="H1278" i="55"/>
  <c r="AQ1278" i="55"/>
  <c r="S1278" i="55"/>
  <c r="AM1278" i="55"/>
  <c r="D1278" i="55"/>
  <c r="A1278" i="55"/>
  <c r="AB1278" i="55"/>
  <c r="AN1278" i="55"/>
  <c r="L1278" i="55"/>
  <c r="C1278" i="55"/>
  <c r="X1278" i="55"/>
  <c r="I1278" i="55"/>
  <c r="B1278" i="55"/>
  <c r="G1278" i="55"/>
  <c r="AH1278" i="55"/>
  <c r="W1278" i="55"/>
  <c r="N1278" i="55"/>
  <c r="V1278" i="55"/>
  <c r="M1278" i="55"/>
  <c r="BF994" i="26" l="1"/>
  <c r="BC994" i="26"/>
  <c r="AV994" i="55" s="1"/>
  <c r="BD994" i="26"/>
  <c r="BU994" i="26"/>
  <c r="V994" i="26"/>
  <c r="BE943" i="26"/>
  <c r="BV945" i="26"/>
  <c r="AS994" i="26"/>
  <c r="BX994" i="26"/>
  <c r="AM994" i="26"/>
  <c r="G994" i="26"/>
  <c r="B994" i="26"/>
  <c r="O994" i="26"/>
  <c r="AF994" i="26"/>
  <c r="H994" i="26"/>
  <c r="C994" i="26"/>
  <c r="BE994" i="26"/>
  <c r="A994" i="26"/>
  <c r="BM994" i="26"/>
  <c r="AR994" i="26"/>
  <c r="BQ994" i="26"/>
  <c r="AX994" i="26"/>
  <c r="K994" i="26"/>
  <c r="M994" i="26" s="1"/>
  <c r="N994" i="26" s="1"/>
  <c r="I994" i="26"/>
  <c r="BI994" i="26"/>
  <c r="D994" i="26"/>
  <c r="BJ994" i="26"/>
  <c r="P994" i="26"/>
  <c r="AU994" i="26"/>
  <c r="U994" i="26"/>
  <c r="AP994" i="26"/>
  <c r="BO994" i="26"/>
  <c r="AK994" i="26"/>
  <c r="BL994" i="26"/>
  <c r="AV994" i="26"/>
  <c r="S994" i="26"/>
  <c r="BG994" i="26"/>
  <c r="BN994" i="26"/>
  <c r="BK994" i="26"/>
  <c r="AJ994" i="26"/>
  <c r="BT994" i="26"/>
  <c r="AT994" i="26"/>
  <c r="BW994" i="26"/>
  <c r="F994" i="26"/>
  <c r="T994" i="26"/>
  <c r="Q994" i="26"/>
  <c r="AY994" i="26"/>
  <c r="L994" i="26"/>
  <c r="X994" i="26"/>
  <c r="BA994" i="26"/>
  <c r="AW994" i="26"/>
  <c r="AO994" i="26"/>
  <c r="BV994" i="26"/>
  <c r="BP994" i="26"/>
  <c r="W994" i="26"/>
  <c r="BR994" i="26"/>
  <c r="R994" i="26"/>
  <c r="E1279" i="55"/>
  <c r="BV944" i="26" l="1"/>
  <c r="BE942" i="26"/>
  <c r="O1279" i="55"/>
  <c r="E995" i="26"/>
  <c r="AF1279" i="55"/>
  <c r="AI1279" i="55"/>
  <c r="Q1279" i="55"/>
  <c r="P1279" i="55"/>
  <c r="K1279" i="55"/>
  <c r="AG1279" i="55"/>
  <c r="AD1279" i="55"/>
  <c r="Z1279" i="55"/>
  <c r="AO1279" i="55"/>
  <c r="AL1279" i="55"/>
  <c r="AK1279" i="55"/>
  <c r="N1279" i="55"/>
  <c r="H1279" i="55"/>
  <c r="U1279" i="55"/>
  <c r="D1279" i="55"/>
  <c r="L1279" i="55"/>
  <c r="AT1279" i="55"/>
  <c r="AC1279" i="55"/>
  <c r="AQ1279" i="55"/>
  <c r="AH1279" i="55"/>
  <c r="AM1279" i="55"/>
  <c r="V1279" i="55"/>
  <c r="C1279" i="55"/>
  <c r="AN1279" i="55"/>
  <c r="AB1279" i="55"/>
  <c r="G1279" i="55"/>
  <c r="X1279" i="55"/>
  <c r="I1279" i="55"/>
  <c r="B1279" i="55"/>
  <c r="M1279" i="55"/>
  <c r="A1279" i="55"/>
  <c r="W1279" i="55"/>
  <c r="S1279" i="55"/>
  <c r="BF995" i="26" l="1"/>
  <c r="BC995" i="26"/>
  <c r="BD995" i="26"/>
  <c r="BU995" i="26"/>
  <c r="V995" i="26"/>
  <c r="BE941" i="26"/>
  <c r="BV943" i="26"/>
  <c r="C995" i="26"/>
  <c r="BN995" i="26"/>
  <c r="BT995" i="26"/>
  <c r="W995" i="26"/>
  <c r="I995" i="26"/>
  <c r="BE995" i="26"/>
  <c r="BK995" i="26"/>
  <c r="A995" i="26"/>
  <c r="BV995" i="26"/>
  <c r="AF995" i="26"/>
  <c r="AV995" i="26"/>
  <c r="AT995" i="26"/>
  <c r="K995" i="26"/>
  <c r="M995" i="26" s="1"/>
  <c r="N995" i="26" s="1"/>
  <c r="AU995" i="26"/>
  <c r="AX995" i="26"/>
  <c r="S995" i="26"/>
  <c r="G995" i="26"/>
  <c r="X995" i="26"/>
  <c r="T995" i="26"/>
  <c r="BM995" i="26"/>
  <c r="O995" i="26"/>
  <c r="AV995" i="55"/>
  <c r="AS995" i="26"/>
  <c r="AW995" i="26"/>
  <c r="AO995" i="26"/>
  <c r="BR995" i="26"/>
  <c r="H995" i="26"/>
  <c r="BP995" i="26"/>
  <c r="R995" i="26"/>
  <c r="L995" i="26"/>
  <c r="AR995" i="26"/>
  <c r="AM995" i="26"/>
  <c r="BW995" i="26"/>
  <c r="D995" i="26"/>
  <c r="U995" i="26"/>
  <c r="BA995" i="26"/>
  <c r="BJ995" i="26"/>
  <c r="AK995" i="26"/>
  <c r="BI995" i="26"/>
  <c r="AP995" i="26"/>
  <c r="AJ995" i="26"/>
  <c r="BO995" i="26"/>
  <c r="BX995" i="26"/>
  <c r="AY995" i="26"/>
  <c r="F995" i="26"/>
  <c r="B995" i="26"/>
  <c r="BQ995" i="26"/>
  <c r="Q995" i="26"/>
  <c r="BG995" i="26"/>
  <c r="BL995" i="26"/>
  <c r="P995" i="26"/>
  <c r="E1280" i="55"/>
  <c r="BV942" i="26" l="1"/>
  <c r="BE940" i="26"/>
  <c r="O1280" i="55"/>
  <c r="E996" i="26"/>
  <c r="AK1280" i="55"/>
  <c r="AI1280" i="55"/>
  <c r="Q1280" i="55"/>
  <c r="P1280" i="55"/>
  <c r="K1280" i="55"/>
  <c r="AL1280" i="55"/>
  <c r="AG1280" i="55"/>
  <c r="AF1280" i="55"/>
  <c r="AO1280" i="55"/>
  <c r="AD1280" i="55"/>
  <c r="Z1280" i="55"/>
  <c r="V1280" i="55"/>
  <c r="C1280" i="55"/>
  <c r="AT1280" i="55"/>
  <c r="N1280" i="55"/>
  <c r="AN1280" i="55"/>
  <c r="D1280" i="55"/>
  <c r="H1280" i="55"/>
  <c r="B1280" i="55"/>
  <c r="W1280" i="55"/>
  <c r="G1280" i="55"/>
  <c r="U1280" i="55"/>
  <c r="S1280" i="55"/>
  <c r="L1280" i="55"/>
  <c r="A1280" i="55"/>
  <c r="AM1280" i="55"/>
  <c r="M1280" i="55"/>
  <c r="I1280" i="55"/>
  <c r="AQ1280" i="55"/>
  <c r="AC1280" i="55"/>
  <c r="X1280" i="55"/>
  <c r="AB1280" i="55"/>
  <c r="AH1280" i="55"/>
  <c r="BF996" i="26" l="1"/>
  <c r="BC996" i="26"/>
  <c r="AV996" i="55" s="1"/>
  <c r="BU996" i="26"/>
  <c r="BD996" i="26"/>
  <c r="V996" i="26"/>
  <c r="BE939" i="26"/>
  <c r="BV941" i="26"/>
  <c r="BL996" i="26"/>
  <c r="AX996" i="26"/>
  <c r="BX996" i="26"/>
  <c r="AR996" i="26"/>
  <c r="X996" i="26"/>
  <c r="G996" i="26"/>
  <c r="W996" i="26"/>
  <c r="D996" i="26"/>
  <c r="BJ996" i="26"/>
  <c r="R996" i="26"/>
  <c r="T996" i="26"/>
  <c r="S996" i="26"/>
  <c r="AY996" i="26"/>
  <c r="BK996" i="26"/>
  <c r="AP996" i="26"/>
  <c r="BE996" i="26"/>
  <c r="K996" i="26"/>
  <c r="M996" i="26" s="1"/>
  <c r="N996" i="26" s="1"/>
  <c r="BM996" i="26"/>
  <c r="BA996" i="26"/>
  <c r="BT996" i="26"/>
  <c r="P996" i="26"/>
  <c r="Q996" i="26"/>
  <c r="AU996" i="26"/>
  <c r="AJ996" i="26"/>
  <c r="BO996" i="26"/>
  <c r="O996" i="26"/>
  <c r="H996" i="26"/>
  <c r="AW996" i="26"/>
  <c r="I996" i="26"/>
  <c r="BQ996" i="26"/>
  <c r="U996" i="26"/>
  <c r="BW996" i="26"/>
  <c r="BI996" i="26"/>
  <c r="BN996" i="26"/>
  <c r="BV996" i="26"/>
  <c r="AO996" i="26"/>
  <c r="AS996" i="26"/>
  <c r="L996" i="26"/>
  <c r="F996" i="26"/>
  <c r="AV996" i="26"/>
  <c r="AF996" i="26"/>
  <c r="C996" i="26"/>
  <c r="AT996" i="26"/>
  <c r="AM996" i="26"/>
  <c r="BG996" i="26"/>
  <c r="BP996" i="26"/>
  <c r="AK996" i="26"/>
  <c r="BR996" i="26"/>
  <c r="A996" i="26"/>
  <c r="B996" i="26"/>
  <c r="E1281" i="55"/>
  <c r="BV940" i="26" l="1"/>
  <c r="BE938" i="26"/>
  <c r="O1281" i="55"/>
  <c r="E997" i="26"/>
  <c r="AG1281" i="55"/>
  <c r="AI1281" i="55"/>
  <c r="Q1281" i="55"/>
  <c r="P1281" i="55"/>
  <c r="K1281" i="55"/>
  <c r="AD1281" i="55"/>
  <c r="AL1281" i="55"/>
  <c r="AF1281" i="55"/>
  <c r="Z1281" i="55"/>
  <c r="AK1281" i="55"/>
  <c r="AQ1281" i="55"/>
  <c r="I1281" i="55"/>
  <c r="X1281" i="55"/>
  <c r="N1281" i="55"/>
  <c r="AB1281" i="55"/>
  <c r="L1281" i="55"/>
  <c r="AN1281" i="55"/>
  <c r="AM1281" i="55"/>
  <c r="S1281" i="55"/>
  <c r="AH1281" i="55"/>
  <c r="V1281" i="55"/>
  <c r="H1281" i="55"/>
  <c r="U1281" i="55"/>
  <c r="G1281" i="55"/>
  <c r="A1281" i="55"/>
  <c r="AT1281" i="55"/>
  <c r="AC1281" i="55"/>
  <c r="W1281" i="55"/>
  <c r="B1281" i="55"/>
  <c r="C1281" i="55"/>
  <c r="D1281" i="55"/>
  <c r="M1281" i="55"/>
  <c r="AO1281" i="55"/>
  <c r="BF997" i="26" l="1"/>
  <c r="BC997" i="26"/>
  <c r="AV997" i="55" s="1"/>
  <c r="BU997" i="26"/>
  <c r="BD997" i="26"/>
  <c r="V997" i="26"/>
  <c r="BE937" i="26"/>
  <c r="BV939" i="26"/>
  <c r="BA997" i="26"/>
  <c r="BO997" i="26"/>
  <c r="B997" i="26"/>
  <c r="AJ997" i="26"/>
  <c r="AX997" i="26"/>
  <c r="AM997" i="26"/>
  <c r="X997" i="26"/>
  <c r="C997" i="26"/>
  <c r="BW997" i="26"/>
  <c r="I997" i="26"/>
  <c r="D997" i="26"/>
  <c r="AU997" i="26"/>
  <c r="F997" i="26"/>
  <c r="BJ997" i="26"/>
  <c r="AT997" i="26"/>
  <c r="S997" i="26"/>
  <c r="AK997" i="26"/>
  <c r="AV997" i="26"/>
  <c r="O997" i="26"/>
  <c r="AF997" i="26"/>
  <c r="H997" i="26"/>
  <c r="Q997" i="26"/>
  <c r="AR997" i="26"/>
  <c r="BT997" i="26"/>
  <c r="BM997" i="26"/>
  <c r="BX997" i="26"/>
  <c r="BG997" i="26"/>
  <c r="BE997" i="26"/>
  <c r="AW997" i="26"/>
  <c r="AS997" i="26"/>
  <c r="AP997" i="26"/>
  <c r="BV997" i="26"/>
  <c r="U997" i="26"/>
  <c r="L997" i="26"/>
  <c r="A997" i="26"/>
  <c r="AO997" i="26"/>
  <c r="BR997" i="26"/>
  <c r="R997" i="26"/>
  <c r="G997" i="26"/>
  <c r="T997" i="26"/>
  <c r="BP997" i="26"/>
  <c r="BL997" i="26"/>
  <c r="BQ997" i="26"/>
  <c r="P997" i="26"/>
  <c r="W997" i="26"/>
  <c r="BK997" i="26"/>
  <c r="AY997" i="26"/>
  <c r="BI997" i="26"/>
  <c r="K997" i="26"/>
  <c r="M997" i="26" s="1"/>
  <c r="N997" i="26" s="1"/>
  <c r="BN997" i="26"/>
  <c r="E1282" i="55"/>
  <c r="BV938" i="26" l="1"/>
  <c r="BE936" i="26"/>
  <c r="O1282" i="55"/>
  <c r="E998" i="26"/>
  <c r="AL1282" i="55"/>
  <c r="AI1282" i="55"/>
  <c r="Q1282" i="55"/>
  <c r="P1282" i="55"/>
  <c r="K1282" i="55"/>
  <c r="AD1282" i="55"/>
  <c r="AF1282" i="55"/>
  <c r="AG1282" i="55"/>
  <c r="AK1282" i="55"/>
  <c r="AO1282" i="55"/>
  <c r="Z1282" i="55"/>
  <c r="AB1282" i="55"/>
  <c r="D1282" i="55"/>
  <c r="AC1282" i="55"/>
  <c r="I1282" i="55"/>
  <c r="C1282" i="55"/>
  <c r="M1282" i="55"/>
  <c r="AM1282" i="55"/>
  <c r="X1282" i="55"/>
  <c r="N1282" i="55"/>
  <c r="S1282" i="55"/>
  <c r="G1282" i="55"/>
  <c r="W1282" i="55"/>
  <c r="AN1282" i="55"/>
  <c r="U1282" i="55"/>
  <c r="H1282" i="55"/>
  <c r="A1282" i="55"/>
  <c r="AH1282" i="55"/>
  <c r="AT1282" i="55"/>
  <c r="L1282" i="55"/>
  <c r="AQ1282" i="55"/>
  <c r="V1282" i="55"/>
  <c r="B1282" i="55"/>
  <c r="BF998" i="26" l="1"/>
  <c r="BC998" i="26"/>
  <c r="BD998" i="26"/>
  <c r="BU998" i="26"/>
  <c r="V998" i="26"/>
  <c r="BE935" i="26"/>
  <c r="BV937" i="26"/>
  <c r="H998" i="26"/>
  <c r="AS998" i="26"/>
  <c r="AO998" i="26"/>
  <c r="P998" i="26"/>
  <c r="BJ998" i="26"/>
  <c r="AW998" i="26"/>
  <c r="A998" i="26"/>
  <c r="U998" i="26"/>
  <c r="BG998" i="26"/>
  <c r="BO998" i="26"/>
  <c r="I998" i="26"/>
  <c r="BV998" i="26"/>
  <c r="AK998" i="26"/>
  <c r="BE998" i="26"/>
  <c r="X998" i="26"/>
  <c r="AJ998" i="26"/>
  <c r="BP998" i="26"/>
  <c r="T998" i="26"/>
  <c r="AT998" i="26"/>
  <c r="K998" i="26"/>
  <c r="M998" i="26" s="1"/>
  <c r="N998" i="26" s="1"/>
  <c r="F998" i="26"/>
  <c r="AF998" i="26"/>
  <c r="AV998" i="26"/>
  <c r="BL998" i="26"/>
  <c r="BQ998" i="26"/>
  <c r="BX998" i="26"/>
  <c r="R998" i="26"/>
  <c r="L998" i="26"/>
  <c r="AM998" i="26"/>
  <c r="BI998" i="26"/>
  <c r="AP998" i="26"/>
  <c r="C998" i="26"/>
  <c r="D998" i="26"/>
  <c r="G998" i="26"/>
  <c r="Q998" i="26"/>
  <c r="AY998" i="26"/>
  <c r="BT998" i="26"/>
  <c r="BW998" i="26"/>
  <c r="BR998" i="26"/>
  <c r="BM998" i="26"/>
  <c r="W998" i="26"/>
  <c r="AX998" i="26"/>
  <c r="O998" i="26"/>
  <c r="BK998" i="26"/>
  <c r="B998" i="26"/>
  <c r="S998" i="26"/>
  <c r="BA998" i="26"/>
  <c r="AU998" i="26"/>
  <c r="BN998" i="26"/>
  <c r="AR998" i="26"/>
  <c r="AV998" i="55"/>
  <c r="E1283" i="55"/>
  <c r="BV936" i="26" l="1"/>
  <c r="BE934" i="26"/>
  <c r="O1283" i="55"/>
  <c r="E999" i="26"/>
  <c r="BD999" i="26" s="1"/>
  <c r="AO1283" i="55"/>
  <c r="AI1283" i="55"/>
  <c r="Q1283" i="55"/>
  <c r="K1283" i="55"/>
  <c r="P1283" i="55"/>
  <c r="AD1283" i="55"/>
  <c r="AF1283" i="55"/>
  <c r="Z1283" i="55"/>
  <c r="AG1283" i="55"/>
  <c r="AL1283" i="55"/>
  <c r="AK1283" i="55"/>
  <c r="A1283" i="55"/>
  <c r="AC1283" i="55"/>
  <c r="M1283" i="55"/>
  <c r="I1283" i="55"/>
  <c r="X1283" i="55"/>
  <c r="S1283" i="55"/>
  <c r="C1283" i="55"/>
  <c r="AQ1283" i="55"/>
  <c r="AN1283" i="55"/>
  <c r="N1283" i="55"/>
  <c r="G1283" i="55"/>
  <c r="V1283" i="55"/>
  <c r="AM1283" i="55"/>
  <c r="AH1283" i="55"/>
  <c r="U1283" i="55"/>
  <c r="D1283" i="55"/>
  <c r="AB1283" i="55"/>
  <c r="L1283" i="55"/>
  <c r="B1283" i="55"/>
  <c r="AT1283" i="55"/>
  <c r="H1283" i="55"/>
  <c r="W1283" i="55"/>
  <c r="BF999" i="26" l="1"/>
  <c r="BC999" i="26"/>
  <c r="BU999" i="26"/>
  <c r="V999" i="26"/>
  <c r="BE933" i="26"/>
  <c r="BV935" i="26"/>
  <c r="F999" i="26"/>
  <c r="BQ999" i="26"/>
  <c r="R999" i="26"/>
  <c r="AW999" i="26"/>
  <c r="AK999" i="26"/>
  <c r="K999" i="26"/>
  <c r="M999" i="26" s="1"/>
  <c r="N999" i="26" s="1"/>
  <c r="AV999" i="55"/>
  <c r="A999" i="26"/>
  <c r="BW999" i="26"/>
  <c r="AP999" i="26"/>
  <c r="AV999" i="26"/>
  <c r="H999" i="26"/>
  <c r="BT999" i="26"/>
  <c r="BG999" i="26"/>
  <c r="D999" i="26"/>
  <c r="BP999" i="26"/>
  <c r="AS999" i="26"/>
  <c r="C999" i="26"/>
  <c r="G999" i="26"/>
  <c r="AO999" i="26"/>
  <c r="BE999" i="26"/>
  <c r="X999" i="26"/>
  <c r="O999" i="26"/>
  <c r="AJ999" i="26"/>
  <c r="BN999" i="26"/>
  <c r="W999" i="26"/>
  <c r="AR999" i="26"/>
  <c r="T999" i="26"/>
  <c r="BL999" i="26"/>
  <c r="S999" i="26"/>
  <c r="BM999" i="26"/>
  <c r="L999" i="26"/>
  <c r="BO999" i="26"/>
  <c r="U999" i="26"/>
  <c r="P999" i="26"/>
  <c r="I999" i="26"/>
  <c r="AX999" i="26"/>
  <c r="AY999" i="26"/>
  <c r="AU999" i="26"/>
  <c r="BR999" i="26"/>
  <c r="AT999" i="26"/>
  <c r="AF999" i="26"/>
  <c r="BA999" i="26"/>
  <c r="AM999" i="26"/>
  <c r="Q999" i="26"/>
  <c r="BV999" i="26"/>
  <c r="BK999" i="26"/>
  <c r="BX999" i="26"/>
  <c r="B999" i="26"/>
  <c r="BI999" i="26"/>
  <c r="BJ999" i="26"/>
  <c r="E1284" i="55"/>
  <c r="BU1000" i="26" l="1"/>
  <c r="BV934" i="26"/>
  <c r="BE932" i="26"/>
  <c r="O1284" i="55"/>
  <c r="E1000" i="26"/>
  <c r="AK1284" i="55"/>
  <c r="AL1284" i="55"/>
  <c r="AO1284" i="55"/>
  <c r="Z1284" i="55"/>
  <c r="AI1284" i="55"/>
  <c r="Q1284" i="55"/>
  <c r="P1284" i="55"/>
  <c r="K1284" i="55"/>
  <c r="AG1284" i="55"/>
  <c r="AF1284" i="55"/>
  <c r="AD1284" i="55"/>
  <c r="M1284" i="55"/>
  <c r="AC1284" i="55"/>
  <c r="L1284" i="55"/>
  <c r="V1284" i="55"/>
  <c r="D1284" i="55"/>
  <c r="AT1284" i="55"/>
  <c r="A1284" i="55"/>
  <c r="AM1284" i="55"/>
  <c r="I1284" i="55"/>
  <c r="W1284" i="55"/>
  <c r="G1284" i="55"/>
  <c r="N1284" i="55"/>
  <c r="AH1284" i="55"/>
  <c r="U1284" i="55"/>
  <c r="C1284" i="55"/>
  <c r="X1284" i="55"/>
  <c r="H1284" i="55"/>
  <c r="B1284" i="55"/>
  <c r="S1284" i="55"/>
  <c r="AN1284" i="55"/>
  <c r="AQ1284" i="55"/>
  <c r="AB1284" i="55"/>
  <c r="BF1000" i="26" l="1"/>
  <c r="BC1000" i="26"/>
  <c r="BD1000" i="26"/>
  <c r="V1000" i="26"/>
  <c r="BE931" i="26"/>
  <c r="BV933" i="26"/>
  <c r="I1000" i="26"/>
  <c r="AU1000" i="26"/>
  <c r="AS1000" i="26"/>
  <c r="S1000" i="26"/>
  <c r="BT1000" i="26"/>
  <c r="BA1000" i="26"/>
  <c r="B1000" i="26"/>
  <c r="BP1000" i="26"/>
  <c r="R1000" i="26"/>
  <c r="BX1000" i="26"/>
  <c r="BK1000" i="26"/>
  <c r="AT1000" i="26"/>
  <c r="AV1000" i="55"/>
  <c r="P1000" i="26"/>
  <c r="AK1000" i="26"/>
  <c r="AV1000" i="26"/>
  <c r="BQ1000" i="26"/>
  <c r="AX1000" i="26"/>
  <c r="Q1000" i="26"/>
  <c r="D1000" i="26"/>
  <c r="BN1000" i="26"/>
  <c r="W1000" i="26"/>
  <c r="C1000" i="26"/>
  <c r="BW1000" i="26"/>
  <c r="BI1000" i="26"/>
  <c r="H1000" i="26"/>
  <c r="T1000" i="26"/>
  <c r="BV1000" i="26"/>
  <c r="AY1000" i="26"/>
  <c r="U1000" i="26"/>
  <c r="BG1000" i="26"/>
  <c r="AJ1000" i="26"/>
  <c r="F1000" i="26"/>
  <c r="BJ1000" i="26"/>
  <c r="AR1000" i="26"/>
  <c r="BR1000" i="26"/>
  <c r="L1000" i="26"/>
  <c r="AO1000" i="26"/>
  <c r="BM1000" i="26"/>
  <c r="AF1000" i="26"/>
  <c r="G1000" i="26"/>
  <c r="AP1000" i="26"/>
  <c r="AW1000" i="26"/>
  <c r="O1000" i="26"/>
  <c r="BE1000" i="26"/>
  <c r="BO1000" i="26"/>
  <c r="AM1000" i="26"/>
  <c r="K1000" i="26"/>
  <c r="M1000" i="26" s="1"/>
  <c r="N1000" i="26" s="1"/>
  <c r="BL1000" i="26"/>
  <c r="A1000" i="26"/>
  <c r="X1000" i="26"/>
  <c r="E1285" i="55"/>
  <c r="BV932" i="26" l="1"/>
  <c r="BE930" i="26"/>
  <c r="AL1285" i="55"/>
  <c r="E1001" i="26"/>
  <c r="AD1285" i="55"/>
  <c r="O1285" i="55"/>
  <c r="AK1285" i="55"/>
  <c r="Q1285" i="55"/>
  <c r="AI1285" i="55"/>
  <c r="P1285" i="55"/>
  <c r="K1285" i="55"/>
  <c r="AF1285" i="55"/>
  <c r="Z1285" i="55"/>
  <c r="AG1285" i="55"/>
  <c r="AO1285" i="55"/>
  <c r="C1285" i="55"/>
  <c r="AC1285" i="55"/>
  <c r="H1285" i="55"/>
  <c r="AH1285" i="55"/>
  <c r="AQ1285" i="55"/>
  <c r="U1285" i="55"/>
  <c r="D1285" i="55"/>
  <c r="G1285" i="55"/>
  <c r="S1285" i="55"/>
  <c r="L1285" i="55"/>
  <c r="A1285" i="55"/>
  <c r="M1285" i="55"/>
  <c r="AT1285" i="55"/>
  <c r="AM1285" i="55"/>
  <c r="N1285" i="55"/>
  <c r="W1285" i="55"/>
  <c r="AB1285" i="55"/>
  <c r="I1285" i="55"/>
  <c r="X1285" i="55"/>
  <c r="AN1285" i="55"/>
  <c r="V1285" i="55"/>
  <c r="B1285" i="55"/>
  <c r="BF1001" i="26" l="1"/>
  <c r="BC1001" i="26"/>
  <c r="AV1001" i="55" s="1"/>
  <c r="BD1001" i="26"/>
  <c r="BU1001" i="26"/>
  <c r="V1001" i="26"/>
  <c r="BE929" i="26"/>
  <c r="BV931" i="26"/>
  <c r="Q1001" i="26"/>
  <c r="B1001" i="26"/>
  <c r="BK1001" i="26"/>
  <c r="AS1001" i="26"/>
  <c r="BA1001" i="26"/>
  <c r="S1001" i="26"/>
  <c r="AM1001" i="26"/>
  <c r="AX1001" i="26"/>
  <c r="R1001" i="26"/>
  <c r="AJ1001" i="26"/>
  <c r="BL1001" i="26"/>
  <c r="BV1001" i="26"/>
  <c r="BQ1001" i="26"/>
  <c r="BP1001" i="26"/>
  <c r="AY1001" i="26"/>
  <c r="BN1001" i="26"/>
  <c r="AR1001" i="26"/>
  <c r="D1001" i="26"/>
  <c r="BR1001" i="26"/>
  <c r="F1001" i="26"/>
  <c r="P1001" i="26"/>
  <c r="AT1001" i="26"/>
  <c r="G1001" i="26"/>
  <c r="BG1001" i="26"/>
  <c r="BO1001" i="26"/>
  <c r="L1001" i="26"/>
  <c r="AO1001" i="26"/>
  <c r="U1001" i="26"/>
  <c r="BT1001" i="26"/>
  <c r="AF1001" i="26"/>
  <c r="BW1001" i="26"/>
  <c r="K1001" i="26"/>
  <c r="M1001" i="26" s="1"/>
  <c r="N1001" i="26" s="1"/>
  <c r="A1001" i="26"/>
  <c r="O1001" i="26"/>
  <c r="BX1001" i="26"/>
  <c r="BE1001" i="26"/>
  <c r="T1001" i="26"/>
  <c r="AV1001" i="26"/>
  <c r="BM1001" i="26"/>
  <c r="BI1001" i="26"/>
  <c r="H1001" i="26"/>
  <c r="AK1001" i="26"/>
  <c r="W1001" i="26"/>
  <c r="I1001" i="26"/>
  <c r="BJ1001" i="26"/>
  <c r="AP1001" i="26"/>
  <c r="AU1001" i="26"/>
  <c r="C1001" i="26"/>
  <c r="AW1001" i="26"/>
  <c r="X1001" i="26"/>
  <c r="E1286" i="55"/>
  <c r="BU1002" i="26" l="1"/>
  <c r="BV930" i="26"/>
  <c r="BE928" i="26"/>
  <c r="O1286" i="55"/>
  <c r="E1002" i="26"/>
  <c r="AD1286" i="55"/>
  <c r="AI1286" i="55"/>
  <c r="P1286" i="55"/>
  <c r="K1286" i="55"/>
  <c r="Q1286" i="55"/>
  <c r="AL1286" i="55"/>
  <c r="AG1286" i="55"/>
  <c r="AK1286" i="55"/>
  <c r="Z1286" i="55"/>
  <c r="AF1286" i="55"/>
  <c r="AO1286" i="55"/>
  <c r="M1286" i="55"/>
  <c r="C1286" i="55"/>
  <c r="X1286" i="55"/>
  <c r="W1286" i="55"/>
  <c r="D1286" i="55"/>
  <c r="AQ1286" i="55"/>
  <c r="S1286" i="55"/>
  <c r="I1286" i="55"/>
  <c r="A1286" i="55"/>
  <c r="AB1286" i="55"/>
  <c r="AM1286" i="55"/>
  <c r="H1286" i="55"/>
  <c r="B1286" i="55"/>
  <c r="V1286" i="55"/>
  <c r="AH1286" i="55"/>
  <c r="L1286" i="55"/>
  <c r="U1286" i="55"/>
  <c r="AC1286" i="55"/>
  <c r="N1286" i="55"/>
  <c r="AT1286" i="55"/>
  <c r="G1286" i="55"/>
  <c r="AN1286" i="55"/>
  <c r="BF1002" i="26" l="1"/>
  <c r="BC1002" i="26"/>
  <c r="BD1002" i="26"/>
  <c r="V1002" i="26"/>
  <c r="BE927" i="26"/>
  <c r="BV929" i="26"/>
  <c r="BG1002" i="26"/>
  <c r="BJ1002" i="26"/>
  <c r="AX1002" i="26"/>
  <c r="X1002" i="26"/>
  <c r="BV1002" i="26"/>
  <c r="F1002" i="26"/>
  <c r="D1002" i="26"/>
  <c r="AU1002" i="26"/>
  <c r="AS1002" i="26"/>
  <c r="BQ1002" i="26"/>
  <c r="BW1002" i="26"/>
  <c r="H1002" i="26"/>
  <c r="BE1002" i="26"/>
  <c r="AF1002" i="26"/>
  <c r="C1002" i="26"/>
  <c r="R1002" i="26"/>
  <c r="BO1002" i="26"/>
  <c r="BL1002" i="26"/>
  <c r="BM1002" i="26"/>
  <c r="G1002" i="26"/>
  <c r="AV1002" i="26"/>
  <c r="O1002" i="26"/>
  <c r="BP1002" i="26"/>
  <c r="BX1002" i="26"/>
  <c r="BK1002" i="26"/>
  <c r="Q1002" i="26"/>
  <c r="BR1002" i="26"/>
  <c r="T1002" i="26"/>
  <c r="AK1002" i="26"/>
  <c r="AP1002" i="26"/>
  <c r="K1002" i="26"/>
  <c r="M1002" i="26" s="1"/>
  <c r="N1002" i="26" s="1"/>
  <c r="A1002" i="26"/>
  <c r="AM1002" i="26"/>
  <c r="BA1002" i="26"/>
  <c r="U1002" i="26"/>
  <c r="I1002" i="26"/>
  <c r="B1002" i="26"/>
  <c r="BT1002" i="26"/>
  <c r="AO1002" i="26"/>
  <c r="BI1002" i="26"/>
  <c r="BN1002" i="26"/>
  <c r="W1002" i="26"/>
  <c r="AV1002" i="55"/>
  <c r="AT1002" i="26"/>
  <c r="P1002" i="26"/>
  <c r="AY1002" i="26"/>
  <c r="AR1002" i="26"/>
  <c r="AJ1002" i="26"/>
  <c r="S1002" i="26"/>
  <c r="AW1002" i="26"/>
  <c r="L1002" i="26"/>
  <c r="E1287" i="55"/>
  <c r="BV928" i="26" l="1"/>
  <c r="BE926" i="26"/>
  <c r="O1287" i="55"/>
  <c r="E1003" i="26"/>
  <c r="AO1287" i="55"/>
  <c r="AI1287" i="55"/>
  <c r="Q1287" i="55"/>
  <c r="P1287" i="55"/>
  <c r="K1287" i="55"/>
  <c r="AL1287" i="55"/>
  <c r="AG1287" i="55"/>
  <c r="AF1287" i="55"/>
  <c r="AD1287" i="55"/>
  <c r="AK1287" i="55"/>
  <c r="Z1287" i="55"/>
  <c r="AC1287" i="55"/>
  <c r="V1287" i="55"/>
  <c r="G1287" i="55"/>
  <c r="AN1287" i="55"/>
  <c r="W1287" i="55"/>
  <c r="C1287" i="55"/>
  <c r="X1287" i="55"/>
  <c r="M1287" i="55"/>
  <c r="AT1287" i="55"/>
  <c r="U1287" i="55"/>
  <c r="S1287" i="55"/>
  <c r="AB1287" i="55"/>
  <c r="I1287" i="55"/>
  <c r="AQ1287" i="55"/>
  <c r="H1287" i="55"/>
  <c r="D1287" i="55"/>
  <c r="B1287" i="55"/>
  <c r="L1287" i="55"/>
  <c r="A1287" i="55"/>
  <c r="AM1287" i="55"/>
  <c r="AH1287" i="55"/>
  <c r="N1287" i="55"/>
  <c r="BF1003" i="26" l="1"/>
  <c r="BC1003" i="26"/>
  <c r="BD1003" i="26"/>
  <c r="BU1003" i="26"/>
  <c r="V1003" i="26"/>
  <c r="BE925" i="26"/>
  <c r="BV927" i="26"/>
  <c r="W1003" i="26"/>
  <c r="AP1003" i="26"/>
  <c r="C1003" i="26"/>
  <c r="S1003" i="26"/>
  <c r="AU1003" i="26"/>
  <c r="R1003" i="26"/>
  <c r="BL1003" i="26"/>
  <c r="BO1003" i="26"/>
  <c r="BE1003" i="26"/>
  <c r="U1003" i="26"/>
  <c r="BT1003" i="26"/>
  <c r="BV1003" i="26"/>
  <c r="I1003" i="26"/>
  <c r="AJ1003" i="26"/>
  <c r="BJ1003" i="26"/>
  <c r="X1003" i="26"/>
  <c r="T1003" i="26"/>
  <c r="BA1003" i="26"/>
  <c r="P1003" i="26"/>
  <c r="BX1003" i="26"/>
  <c r="AS1003" i="26"/>
  <c r="AW1003" i="26"/>
  <c r="AO1003" i="26"/>
  <c r="AT1003" i="26"/>
  <c r="BP1003" i="26"/>
  <c r="D1003" i="26"/>
  <c r="AR1003" i="26"/>
  <c r="AX1003" i="26"/>
  <c r="K1003" i="26"/>
  <c r="M1003" i="26" s="1"/>
  <c r="N1003" i="26" s="1"/>
  <c r="F1003" i="26"/>
  <c r="O1003" i="26"/>
  <c r="AV1003" i="55"/>
  <c r="AY1003" i="26"/>
  <c r="AM1003" i="26"/>
  <c r="Q1003" i="26"/>
  <c r="H1003" i="26"/>
  <c r="AK1003" i="26"/>
  <c r="BQ1003" i="26"/>
  <c r="AV1003" i="26"/>
  <c r="BG1003" i="26"/>
  <c r="BI1003" i="26"/>
  <c r="BW1003" i="26"/>
  <c r="AF1003" i="26"/>
  <c r="BN1003" i="26"/>
  <c r="G1003" i="26"/>
  <c r="BR1003" i="26"/>
  <c r="BM1003" i="26"/>
  <c r="L1003" i="26"/>
  <c r="BK1003" i="26"/>
  <c r="B1003" i="26"/>
  <c r="A1003" i="26"/>
  <c r="E1288" i="55"/>
  <c r="BV926" i="26" l="1"/>
  <c r="BE924" i="26"/>
  <c r="O1288" i="55"/>
  <c r="E1004" i="26"/>
  <c r="AG1288" i="55"/>
  <c r="AI1288" i="55"/>
  <c r="Q1288" i="55"/>
  <c r="P1288" i="55"/>
  <c r="K1288" i="55"/>
  <c r="AK1288" i="55"/>
  <c r="AL1288" i="55"/>
  <c r="AO1288" i="55"/>
  <c r="AD1288" i="55"/>
  <c r="Z1288" i="55"/>
  <c r="AF1288" i="55"/>
  <c r="B1288" i="55"/>
  <c r="V1288" i="55"/>
  <c r="S1288" i="55"/>
  <c r="W1288" i="55"/>
  <c r="M1288" i="55"/>
  <c r="D1288" i="55"/>
  <c r="AM1288" i="55"/>
  <c r="AH1288" i="55"/>
  <c r="A1288" i="55"/>
  <c r="AQ1288" i="55"/>
  <c r="AN1288" i="55"/>
  <c r="AC1288" i="55"/>
  <c r="G1288" i="55"/>
  <c r="H1288" i="55"/>
  <c r="C1288" i="55"/>
  <c r="X1288" i="55"/>
  <c r="L1288" i="55"/>
  <c r="AB1288" i="55"/>
  <c r="U1288" i="55"/>
  <c r="N1288" i="55"/>
  <c r="I1288" i="55"/>
  <c r="AT1288" i="55"/>
  <c r="BF1004" i="26" l="1"/>
  <c r="BC1004" i="26"/>
  <c r="AV1004" i="55" s="1"/>
  <c r="BD1004" i="26"/>
  <c r="BU1004" i="26"/>
  <c r="V1004" i="26"/>
  <c r="BE923" i="26"/>
  <c r="BV925" i="26"/>
  <c r="F1004" i="26"/>
  <c r="AW1004" i="26"/>
  <c r="BA1004" i="26"/>
  <c r="S1004" i="26"/>
  <c r="D1004" i="26"/>
  <c r="AX1004" i="26"/>
  <c r="AK1004" i="26"/>
  <c r="AV1004" i="26"/>
  <c r="BE1004" i="26"/>
  <c r="AP1004" i="26"/>
  <c r="BX1004" i="26"/>
  <c r="I1004" i="26"/>
  <c r="BR1004" i="26"/>
  <c r="AS1004" i="26"/>
  <c r="BT1004" i="26"/>
  <c r="BK1004" i="26"/>
  <c r="L1004" i="26"/>
  <c r="BN1004" i="26"/>
  <c r="AF1004" i="26"/>
  <c r="X1004" i="26"/>
  <c r="B1004" i="26"/>
  <c r="O1004" i="26"/>
  <c r="K1004" i="26"/>
  <c r="M1004" i="26" s="1"/>
  <c r="N1004" i="26" s="1"/>
  <c r="BG1004" i="26"/>
  <c r="BP1004" i="26"/>
  <c r="AT1004" i="26"/>
  <c r="AJ1004" i="26"/>
  <c r="BO1004" i="26"/>
  <c r="Q1004" i="26"/>
  <c r="AO1004" i="26"/>
  <c r="G1004" i="26"/>
  <c r="AM1004" i="26"/>
  <c r="BI1004" i="26"/>
  <c r="BM1004" i="26"/>
  <c r="C1004" i="26"/>
  <c r="BQ1004" i="26"/>
  <c r="BJ1004" i="26"/>
  <c r="U1004" i="26"/>
  <c r="A1004" i="26"/>
  <c r="P1004" i="26"/>
  <c r="W1004" i="26"/>
  <c r="R1004" i="26"/>
  <c r="AY1004" i="26"/>
  <c r="BL1004" i="26"/>
  <c r="AU1004" i="26"/>
  <c r="T1004" i="26"/>
  <c r="H1004" i="26"/>
  <c r="BV1004" i="26"/>
  <c r="BW1004" i="26"/>
  <c r="AR1004" i="26"/>
  <c r="E1289" i="55"/>
  <c r="BV924" i="26" l="1"/>
  <c r="BE922" i="26"/>
  <c r="O1289" i="55"/>
  <c r="E1005" i="26"/>
  <c r="AD1289" i="55"/>
  <c r="AI1289" i="55"/>
  <c r="Q1289" i="55"/>
  <c r="P1289" i="55"/>
  <c r="K1289" i="55"/>
  <c r="AO1289" i="55"/>
  <c r="AK1289" i="55"/>
  <c r="AF1289" i="55"/>
  <c r="AG1289" i="55"/>
  <c r="AL1289" i="55"/>
  <c r="Z1289" i="55"/>
  <c r="C1289" i="55"/>
  <c r="G1289" i="55"/>
  <c r="A1289" i="55"/>
  <c r="V1289" i="55"/>
  <c r="AN1289" i="55"/>
  <c r="D1289" i="55"/>
  <c r="M1289" i="55"/>
  <c r="AH1289" i="55"/>
  <c r="AC1289" i="55"/>
  <c r="AQ1289" i="55"/>
  <c r="W1289" i="55"/>
  <c r="H1289" i="55"/>
  <c r="AM1289" i="55"/>
  <c r="N1289" i="55"/>
  <c r="L1289" i="55"/>
  <c r="U1289" i="55"/>
  <c r="B1289" i="55"/>
  <c r="S1289" i="55"/>
  <c r="AT1289" i="55"/>
  <c r="I1289" i="55"/>
  <c r="AB1289" i="55"/>
  <c r="X1289" i="55"/>
  <c r="BF1005" i="26" l="1"/>
  <c r="BC1005" i="26"/>
  <c r="BD1005" i="26"/>
  <c r="BU1005" i="26"/>
  <c r="V1005" i="26"/>
  <c r="BE921" i="26"/>
  <c r="BV923" i="26"/>
  <c r="BK1005" i="26"/>
  <c r="AW1005" i="26"/>
  <c r="B1005" i="26"/>
  <c r="X1005" i="26"/>
  <c r="BE1005" i="26"/>
  <c r="I1005" i="26"/>
  <c r="BT1005" i="26"/>
  <c r="BI1005" i="26"/>
  <c r="BX1005" i="26"/>
  <c r="Q1005" i="26"/>
  <c r="BP1005" i="26"/>
  <c r="BG1005" i="26"/>
  <c r="G1005" i="26"/>
  <c r="AV1005" i="26"/>
  <c r="R1005" i="26"/>
  <c r="O1005" i="26"/>
  <c r="AY1005" i="26"/>
  <c r="F1005" i="26"/>
  <c r="AP1005" i="26"/>
  <c r="AT1005" i="26"/>
  <c r="BW1005" i="26"/>
  <c r="L1005" i="26"/>
  <c r="W1005" i="26"/>
  <c r="AX1005" i="26"/>
  <c r="D1005" i="26"/>
  <c r="K1005" i="26"/>
  <c r="M1005" i="26" s="1"/>
  <c r="N1005" i="26" s="1"/>
  <c r="S1005" i="26"/>
  <c r="AJ1005" i="26"/>
  <c r="AR1005" i="26"/>
  <c r="T1005" i="26"/>
  <c r="U1005" i="26"/>
  <c r="P1005" i="26"/>
  <c r="C1005" i="26"/>
  <c r="A1005" i="26"/>
  <c r="BJ1005" i="26"/>
  <c r="BV1005" i="26"/>
  <c r="AS1005" i="26"/>
  <c r="BL1005" i="26"/>
  <c r="BN1005" i="26"/>
  <c r="AV1005" i="55"/>
  <c r="AU1005" i="26"/>
  <c r="BO1005" i="26"/>
  <c r="AF1005" i="26"/>
  <c r="H1005" i="26"/>
  <c r="BA1005" i="26"/>
  <c r="BM1005" i="26"/>
  <c r="AO1005" i="26"/>
  <c r="AK1005" i="26"/>
  <c r="BR1005" i="26"/>
  <c r="BQ1005" i="26"/>
  <c r="AM1005" i="26"/>
  <c r="E1290" i="55"/>
  <c r="BV922" i="26" l="1"/>
  <c r="BE920" i="26"/>
  <c r="O1290" i="55"/>
  <c r="E1006" i="26"/>
  <c r="AO1290" i="55"/>
  <c r="AI1290" i="55"/>
  <c r="P1290" i="55"/>
  <c r="Q1290" i="55"/>
  <c r="K1290" i="55"/>
  <c r="AD1290" i="55"/>
  <c r="AK1290" i="55"/>
  <c r="Z1290" i="55"/>
  <c r="AL1290" i="55"/>
  <c r="AG1290" i="55"/>
  <c r="AF1290" i="55"/>
  <c r="X1290" i="55"/>
  <c r="AN1290" i="55"/>
  <c r="W1290" i="55"/>
  <c r="L1290" i="55"/>
  <c r="U1290" i="55"/>
  <c r="AC1290" i="55"/>
  <c r="V1290" i="55"/>
  <c r="AT1290" i="55"/>
  <c r="AM1290" i="55"/>
  <c r="AH1290" i="55"/>
  <c r="D1290" i="55"/>
  <c r="H1290" i="55"/>
  <c r="C1290" i="55"/>
  <c r="S1290" i="55"/>
  <c r="N1290" i="55"/>
  <c r="I1290" i="55"/>
  <c r="B1290" i="55"/>
  <c r="AB1290" i="55"/>
  <c r="G1290" i="55"/>
  <c r="AQ1290" i="55"/>
  <c r="M1290" i="55"/>
  <c r="A1290" i="55"/>
  <c r="BF1006" i="26" l="1"/>
  <c r="BC1006" i="26"/>
  <c r="AV1006" i="55" s="1"/>
  <c r="BD1006" i="26"/>
  <c r="BU1006" i="26"/>
  <c r="V1006" i="26"/>
  <c r="BE919" i="26"/>
  <c r="BV921" i="26"/>
  <c r="AF1006" i="26"/>
  <c r="BA1006" i="26"/>
  <c r="BN1006" i="26"/>
  <c r="S1006" i="26"/>
  <c r="AP1006" i="26"/>
  <c r="BG1006" i="26"/>
  <c r="BP1006" i="26"/>
  <c r="BM1006" i="26"/>
  <c r="AV1006" i="26"/>
  <c r="BO1006" i="26"/>
  <c r="AT1006" i="26"/>
  <c r="G1006" i="26"/>
  <c r="A1006" i="26"/>
  <c r="O1006" i="26"/>
  <c r="BX1006" i="26"/>
  <c r="AS1006" i="26"/>
  <c r="P1006" i="26"/>
  <c r="BK1006" i="26"/>
  <c r="AU1006" i="26"/>
  <c r="AR1006" i="26"/>
  <c r="H1006" i="26"/>
  <c r="AW1006" i="26"/>
  <c r="BV1006" i="26"/>
  <c r="I1006" i="26"/>
  <c r="BJ1006" i="26"/>
  <c r="BR1006" i="26"/>
  <c r="BL1006" i="26"/>
  <c r="AJ1006" i="26"/>
  <c r="U1006" i="26"/>
  <c r="B1006" i="26"/>
  <c r="D1006" i="26"/>
  <c r="AY1006" i="26"/>
  <c r="L1006" i="26"/>
  <c r="T1006" i="26"/>
  <c r="F1006" i="26"/>
  <c r="K1006" i="26"/>
  <c r="M1006" i="26" s="1"/>
  <c r="N1006" i="26" s="1"/>
  <c r="AX1006" i="26"/>
  <c r="BE1006" i="26"/>
  <c r="BQ1006" i="26"/>
  <c r="AK1006" i="26"/>
  <c r="Q1006" i="26"/>
  <c r="X1006" i="26"/>
  <c r="AO1006" i="26"/>
  <c r="BI1006" i="26"/>
  <c r="R1006" i="26"/>
  <c r="BW1006" i="26"/>
  <c r="BT1006" i="26"/>
  <c r="AM1006" i="26"/>
  <c r="C1006" i="26"/>
  <c r="W1006" i="26"/>
  <c r="E1291" i="55"/>
  <c r="BV920" i="26" l="1"/>
  <c r="BE918" i="26"/>
  <c r="O1291" i="55"/>
  <c r="E1007" i="26"/>
  <c r="AL1291" i="55"/>
  <c r="AD1291" i="55"/>
  <c r="AK1291" i="55"/>
  <c r="Z1291" i="55"/>
  <c r="AG1291" i="55"/>
  <c r="Q1291" i="55"/>
  <c r="AI1291" i="55"/>
  <c r="K1291" i="55"/>
  <c r="P1291" i="55"/>
  <c r="AF1291" i="55"/>
  <c r="AO1291" i="55"/>
  <c r="X1291" i="55"/>
  <c r="N1291" i="55"/>
  <c r="W1291" i="55"/>
  <c r="M1291" i="55"/>
  <c r="G1291" i="55"/>
  <c r="C1291" i="55"/>
  <c r="H1291" i="55"/>
  <c r="AN1291" i="55"/>
  <c r="AQ1291" i="55"/>
  <c r="AC1291" i="55"/>
  <c r="AH1291" i="55"/>
  <c r="A1291" i="55"/>
  <c r="I1291" i="55"/>
  <c r="AM1291" i="55"/>
  <c r="B1291" i="55"/>
  <c r="V1291" i="55"/>
  <c r="D1291" i="55"/>
  <c r="AB1291" i="55"/>
  <c r="AT1291" i="55"/>
  <c r="S1291" i="55"/>
  <c r="L1291" i="55"/>
  <c r="U1291" i="55"/>
  <c r="BF1007" i="26" l="1"/>
  <c r="BC1007" i="26"/>
  <c r="AV1007" i="55" s="1"/>
  <c r="BD1007" i="26"/>
  <c r="BU1007" i="26"/>
  <c r="V1007" i="26"/>
  <c r="BE917" i="26"/>
  <c r="BV919" i="26"/>
  <c r="F1007" i="26"/>
  <c r="R1007" i="26"/>
  <c r="C1007" i="26"/>
  <c r="BA1007" i="26"/>
  <c r="L1007" i="26"/>
  <c r="BT1007" i="26"/>
  <c r="U1007" i="26"/>
  <c r="A1007" i="26"/>
  <c r="W1007" i="26"/>
  <c r="I1007" i="26"/>
  <c r="BV1007" i="26"/>
  <c r="D1007" i="26"/>
  <c r="AY1007" i="26"/>
  <c r="AP1007" i="26"/>
  <c r="AK1007" i="26"/>
  <c r="G1007" i="26"/>
  <c r="P1007" i="26"/>
  <c r="K1007" i="26"/>
  <c r="M1007" i="26" s="1"/>
  <c r="N1007" i="26" s="1"/>
  <c r="BJ1007" i="26"/>
  <c r="AJ1007" i="26"/>
  <c r="Q1007" i="26"/>
  <c r="X1007" i="26"/>
  <c r="BP1007" i="26"/>
  <c r="AO1007" i="26"/>
  <c r="AW1007" i="26"/>
  <c r="BO1007" i="26"/>
  <c r="B1007" i="26"/>
  <c r="O1007" i="26"/>
  <c r="BX1007" i="26"/>
  <c r="BN1007" i="26"/>
  <c r="AS1007" i="26"/>
  <c r="AX1007" i="26"/>
  <c r="BE1007" i="26"/>
  <c r="BQ1007" i="26"/>
  <c r="BI1007" i="26"/>
  <c r="BM1007" i="26"/>
  <c r="AT1007" i="26"/>
  <c r="AV1007" i="26"/>
  <c r="BW1007" i="26"/>
  <c r="H1007" i="26"/>
  <c r="T1007" i="26"/>
  <c r="AR1007" i="26"/>
  <c r="AU1007" i="26"/>
  <c r="BR1007" i="26"/>
  <c r="BK1007" i="26"/>
  <c r="BG1007" i="26"/>
  <c r="AF1007" i="26"/>
  <c r="AM1007" i="26"/>
  <c r="S1007" i="26"/>
  <c r="BL1007" i="26"/>
  <c r="E1292" i="55"/>
  <c r="BV918" i="26" l="1"/>
  <c r="BE916" i="26"/>
  <c r="O1292" i="55"/>
  <c r="E1008" i="26"/>
  <c r="AO1292" i="55"/>
  <c r="AI1292" i="55"/>
  <c r="Q1292" i="55"/>
  <c r="P1292" i="55"/>
  <c r="K1292" i="55"/>
  <c r="AG1292" i="55"/>
  <c r="AL1292" i="55"/>
  <c r="AD1292" i="55"/>
  <c r="AK1292" i="55"/>
  <c r="AF1292" i="55"/>
  <c r="Z1292" i="55"/>
  <c r="AB1292" i="55"/>
  <c r="B1292" i="55"/>
  <c r="N1292" i="55"/>
  <c r="D1292" i="55"/>
  <c r="A1292" i="55"/>
  <c r="S1292" i="55"/>
  <c r="AM1292" i="55"/>
  <c r="L1292" i="55"/>
  <c r="U1292" i="55"/>
  <c r="M1292" i="55"/>
  <c r="AQ1292" i="55"/>
  <c r="W1292" i="55"/>
  <c r="X1292" i="55"/>
  <c r="AN1292" i="55"/>
  <c r="C1292" i="55"/>
  <c r="G1292" i="55"/>
  <c r="AC1292" i="55"/>
  <c r="V1292" i="55"/>
  <c r="H1292" i="55"/>
  <c r="AH1292" i="55"/>
  <c r="AT1292" i="55"/>
  <c r="I1292" i="55"/>
  <c r="BF1008" i="26" l="1"/>
  <c r="BC1008" i="26"/>
  <c r="BU1008" i="26"/>
  <c r="BD1008" i="26"/>
  <c r="V1008" i="26"/>
  <c r="BE915" i="26"/>
  <c r="BV917" i="26"/>
  <c r="BP1008" i="26"/>
  <c r="AM1008" i="26"/>
  <c r="AK1008" i="26"/>
  <c r="Q1008" i="26"/>
  <c r="BE1008" i="26"/>
  <c r="D1008" i="26"/>
  <c r="BK1008" i="26"/>
  <c r="T1008" i="26"/>
  <c r="BR1008" i="26"/>
  <c r="X1008" i="26"/>
  <c r="BT1008" i="26"/>
  <c r="BX1008" i="26"/>
  <c r="A1008" i="26"/>
  <c r="B1008" i="26"/>
  <c r="AJ1008" i="26"/>
  <c r="AF1008" i="26"/>
  <c r="AV1008" i="55"/>
  <c r="O1008" i="26"/>
  <c r="AU1008" i="26"/>
  <c r="BJ1008" i="26"/>
  <c r="C1008" i="26"/>
  <c r="BM1008" i="26"/>
  <c r="BW1008" i="26"/>
  <c r="H1008" i="26"/>
  <c r="AT1008" i="26"/>
  <c r="P1008" i="26"/>
  <c r="AW1008" i="26"/>
  <c r="BV1008" i="26"/>
  <c r="S1008" i="26"/>
  <c r="G1008" i="26"/>
  <c r="AV1008" i="26"/>
  <c r="AY1008" i="26"/>
  <c r="AO1008" i="26"/>
  <c r="W1008" i="26"/>
  <c r="BG1008" i="26"/>
  <c r="AS1008" i="26"/>
  <c r="R1008" i="26"/>
  <c r="AR1008" i="26"/>
  <c r="K1008" i="26"/>
  <c r="M1008" i="26" s="1"/>
  <c r="N1008" i="26" s="1"/>
  <c r="I1008" i="26"/>
  <c r="F1008" i="26"/>
  <c r="BI1008" i="26"/>
  <c r="AP1008" i="26"/>
  <c r="BL1008" i="26"/>
  <c r="BQ1008" i="26"/>
  <c r="L1008" i="26"/>
  <c r="BA1008" i="26"/>
  <c r="BO1008" i="26"/>
  <c r="AX1008" i="26"/>
  <c r="U1008" i="26"/>
  <c r="BN1008" i="26"/>
  <c r="E1293" i="55"/>
  <c r="BV916" i="26" l="1"/>
  <c r="BE914" i="26"/>
  <c r="O1293" i="55"/>
  <c r="E1009" i="26"/>
  <c r="AL1293" i="55"/>
  <c r="AI1293" i="55"/>
  <c r="Q1293" i="55"/>
  <c r="P1293" i="55"/>
  <c r="K1293" i="55"/>
  <c r="AD1293" i="55"/>
  <c r="AF1293" i="55"/>
  <c r="AO1293" i="55"/>
  <c r="Z1293" i="55"/>
  <c r="AG1293" i="55"/>
  <c r="AK1293" i="55"/>
  <c r="AB1293" i="55"/>
  <c r="V1293" i="55"/>
  <c r="A1293" i="55"/>
  <c r="M1293" i="55"/>
  <c r="I1293" i="55"/>
  <c r="X1293" i="55"/>
  <c r="W1293" i="55"/>
  <c r="AQ1293" i="55"/>
  <c r="D1293" i="55"/>
  <c r="B1293" i="55"/>
  <c r="AM1293" i="55"/>
  <c r="AT1293" i="55"/>
  <c r="H1293" i="55"/>
  <c r="AC1293" i="55"/>
  <c r="N1293" i="55"/>
  <c r="C1293" i="55"/>
  <c r="S1293" i="55"/>
  <c r="AN1293" i="55"/>
  <c r="U1293" i="55"/>
  <c r="L1293" i="55"/>
  <c r="AH1293" i="55"/>
  <c r="G1293" i="55"/>
  <c r="BF1009" i="26" l="1"/>
  <c r="BC1009" i="26"/>
  <c r="AV1009" i="55" s="1"/>
  <c r="BD1009" i="26"/>
  <c r="BU1009" i="26"/>
  <c r="V1009" i="26"/>
  <c r="BE913" i="26"/>
  <c r="BV915" i="26"/>
  <c r="AM1009" i="26"/>
  <c r="BN1009" i="26"/>
  <c r="AF1009" i="26"/>
  <c r="BI1009" i="26"/>
  <c r="AO1009" i="26"/>
  <c r="AV1009" i="26"/>
  <c r="T1009" i="26"/>
  <c r="P1009" i="26"/>
  <c r="AY1009" i="26"/>
  <c r="X1009" i="26"/>
  <c r="BX1009" i="26"/>
  <c r="Q1009" i="26"/>
  <c r="H1009" i="26"/>
  <c r="BP1009" i="26"/>
  <c r="C1009" i="26"/>
  <c r="B1009" i="26"/>
  <c r="AP1009" i="26"/>
  <c r="BE1009" i="26"/>
  <c r="W1009" i="26"/>
  <c r="L1009" i="26"/>
  <c r="BT1009" i="26"/>
  <c r="O1009" i="26"/>
  <c r="D1009" i="26"/>
  <c r="G1009" i="26"/>
  <c r="AR1009" i="26"/>
  <c r="BM1009" i="26"/>
  <c r="AK1009" i="26"/>
  <c r="BW1009" i="26"/>
  <c r="BK1009" i="26"/>
  <c r="AU1009" i="26"/>
  <c r="AS1009" i="26"/>
  <c r="AX1009" i="26"/>
  <c r="BO1009" i="26"/>
  <c r="F1009" i="26"/>
  <c r="BG1009" i="26"/>
  <c r="AW1009" i="26"/>
  <c r="BV1009" i="26"/>
  <c r="BA1009" i="26"/>
  <c r="BR1009" i="26"/>
  <c r="I1009" i="26"/>
  <c r="K1009" i="26"/>
  <c r="M1009" i="26" s="1"/>
  <c r="N1009" i="26" s="1"/>
  <c r="U1009" i="26"/>
  <c r="BL1009" i="26"/>
  <c r="BJ1009" i="26"/>
  <c r="BQ1009" i="26"/>
  <c r="AT1009" i="26"/>
  <c r="S1009" i="26"/>
  <c r="A1009" i="26"/>
  <c r="R1009" i="26"/>
  <c r="AJ1009" i="26"/>
  <c r="E1294" i="55"/>
  <c r="BV914" i="26" l="1"/>
  <c r="BE912" i="26"/>
  <c r="E1010" i="26"/>
  <c r="BD1010" i="26" s="1"/>
  <c r="AL1294" i="55"/>
  <c r="O1294" i="55"/>
  <c r="AI1294" i="55"/>
  <c r="P1294" i="55"/>
  <c r="Q1294" i="55"/>
  <c r="K1294" i="55"/>
  <c r="Z1294" i="55"/>
  <c r="AO1294" i="55"/>
  <c r="AF1294" i="55"/>
  <c r="AD1294" i="55"/>
  <c r="AG1294" i="55"/>
  <c r="AK1294" i="55"/>
  <c r="AT1294" i="55"/>
  <c r="AH1294" i="55"/>
  <c r="AM1294" i="55"/>
  <c r="B1294" i="55"/>
  <c r="AN1294" i="55"/>
  <c r="W1294" i="55"/>
  <c r="M1294" i="55"/>
  <c r="AQ1294" i="55"/>
  <c r="V1294" i="55"/>
  <c r="L1294" i="55"/>
  <c r="H1294" i="55"/>
  <c r="S1294" i="55"/>
  <c r="I1294" i="55"/>
  <c r="G1294" i="55"/>
  <c r="A1294" i="55"/>
  <c r="AC1294" i="55"/>
  <c r="X1294" i="55"/>
  <c r="C1294" i="55"/>
  <c r="N1294" i="55"/>
  <c r="AB1294" i="55"/>
  <c r="U1294" i="55"/>
  <c r="D1294" i="55"/>
  <c r="BF1010" i="26" l="1"/>
  <c r="BC1010" i="26"/>
  <c r="BU1010" i="26"/>
  <c r="V1010" i="26"/>
  <c r="BE911" i="26"/>
  <c r="BV913" i="26"/>
  <c r="R1010" i="26"/>
  <c r="BL1010" i="26"/>
  <c r="BO1010" i="26"/>
  <c r="S1010" i="26"/>
  <c r="AK1010" i="26"/>
  <c r="BV1010" i="26"/>
  <c r="AT1010" i="26"/>
  <c r="F1010" i="26"/>
  <c r="AR1010" i="26"/>
  <c r="BT1010" i="26"/>
  <c r="BX1010" i="26"/>
  <c r="AF1010" i="26"/>
  <c r="H1010" i="26"/>
  <c r="K1010" i="26"/>
  <c r="M1010" i="26" s="1"/>
  <c r="N1010" i="26" s="1"/>
  <c r="BA1010" i="26"/>
  <c r="Q1010" i="26"/>
  <c r="AV1010" i="26"/>
  <c r="BE1010" i="26"/>
  <c r="G1010" i="26"/>
  <c r="BQ1010" i="26"/>
  <c r="I1010" i="26"/>
  <c r="T1010" i="26"/>
  <c r="BK1010" i="26"/>
  <c r="X1010" i="26"/>
  <c r="AO1010" i="26"/>
  <c r="W1010" i="26"/>
  <c r="AW1010" i="26"/>
  <c r="AP1010" i="26"/>
  <c r="BI1010" i="26"/>
  <c r="U1010" i="26"/>
  <c r="AU1010" i="26"/>
  <c r="L1010" i="26"/>
  <c r="BP1010" i="26"/>
  <c r="AS1010" i="26"/>
  <c r="A1010" i="26"/>
  <c r="BM1010" i="26"/>
  <c r="C1010" i="26"/>
  <c r="BG1010" i="26"/>
  <c r="O1010" i="26"/>
  <c r="AM1010" i="26"/>
  <c r="D1010" i="26"/>
  <c r="AX1010" i="26"/>
  <c r="B1010" i="26"/>
  <c r="BN1010" i="26"/>
  <c r="BR1010" i="26"/>
  <c r="P1010" i="26"/>
  <c r="BJ1010" i="26"/>
  <c r="BW1010" i="26"/>
  <c r="AJ1010" i="26"/>
  <c r="AY1010" i="26"/>
  <c r="AV1010" i="55"/>
  <c r="E1295" i="55"/>
  <c r="BV912" i="26" l="1"/>
  <c r="BE910" i="26"/>
  <c r="O1295" i="55"/>
  <c r="E1011" i="26"/>
  <c r="AD1295" i="55"/>
  <c r="AI1295" i="55"/>
  <c r="Q1295" i="55"/>
  <c r="P1295" i="55"/>
  <c r="K1295" i="55"/>
  <c r="AG1295" i="55"/>
  <c r="Z1295" i="55"/>
  <c r="AO1295" i="55"/>
  <c r="AL1295" i="55"/>
  <c r="AK1295" i="55"/>
  <c r="AF1295" i="55"/>
  <c r="B1295" i="55"/>
  <c r="V1295" i="55"/>
  <c r="AQ1295" i="55"/>
  <c r="G1295" i="55"/>
  <c r="X1295" i="55"/>
  <c r="I1295" i="55"/>
  <c r="L1295" i="55"/>
  <c r="AH1295" i="55"/>
  <c r="U1295" i="55"/>
  <c r="M1295" i="55"/>
  <c r="N1295" i="55"/>
  <c r="AB1295" i="55"/>
  <c r="W1295" i="55"/>
  <c r="AM1295" i="55"/>
  <c r="AC1295" i="55"/>
  <c r="D1295" i="55"/>
  <c r="S1295" i="55"/>
  <c r="C1295" i="55"/>
  <c r="AT1295" i="55"/>
  <c r="H1295" i="55"/>
  <c r="A1295" i="55"/>
  <c r="AN1295" i="55"/>
  <c r="BF1011" i="26" l="1"/>
  <c r="BC1011" i="26"/>
  <c r="BD1011" i="26"/>
  <c r="BU1011" i="26"/>
  <c r="V1011" i="26"/>
  <c r="BE909" i="26"/>
  <c r="BV911" i="26"/>
  <c r="AJ1011" i="26"/>
  <c r="T1011" i="26"/>
  <c r="BG1011" i="26"/>
  <c r="A1011" i="26"/>
  <c r="F1011" i="26"/>
  <c r="B1011" i="26"/>
  <c r="AV1011" i="26"/>
  <c r="AW1011" i="26"/>
  <c r="BV1011" i="26"/>
  <c r="BX1011" i="26"/>
  <c r="K1011" i="26"/>
  <c r="M1011" i="26" s="1"/>
  <c r="N1011" i="26" s="1"/>
  <c r="BW1011" i="26"/>
  <c r="O1011" i="26"/>
  <c r="AP1011" i="26"/>
  <c r="H1011" i="26"/>
  <c r="AF1011" i="26"/>
  <c r="AR1011" i="26"/>
  <c r="BR1011" i="26"/>
  <c r="I1011" i="26"/>
  <c r="BI1011" i="26"/>
  <c r="L1011" i="26"/>
  <c r="AY1011" i="26"/>
  <c r="Q1011" i="26"/>
  <c r="BP1011" i="26"/>
  <c r="D1011" i="26"/>
  <c r="AV1011" i="55"/>
  <c r="AT1011" i="26"/>
  <c r="C1011" i="26"/>
  <c r="AX1011" i="26"/>
  <c r="BO1011" i="26"/>
  <c r="S1011" i="26"/>
  <c r="AK1011" i="26"/>
  <c r="R1011" i="26"/>
  <c r="U1011" i="26"/>
  <c r="BT1011" i="26"/>
  <c r="AS1011" i="26"/>
  <c r="AM1011" i="26"/>
  <c r="X1011" i="26"/>
  <c r="BN1011" i="26"/>
  <c r="BK1011" i="26"/>
  <c r="BQ1011" i="26"/>
  <c r="G1011" i="26"/>
  <c r="W1011" i="26"/>
  <c r="AO1011" i="26"/>
  <c r="BL1011" i="26"/>
  <c r="BM1011" i="26"/>
  <c r="AU1011" i="26"/>
  <c r="BE1011" i="26"/>
  <c r="P1011" i="26"/>
  <c r="BJ1011" i="26"/>
  <c r="BA1011" i="26"/>
  <c r="E1296" i="55"/>
  <c r="BV910" i="26" l="1"/>
  <c r="BE908" i="26"/>
  <c r="O1296" i="55"/>
  <c r="E1012" i="26"/>
  <c r="AD1296" i="55"/>
  <c r="Q1296" i="55"/>
  <c r="P1296" i="55"/>
  <c r="AI1296" i="55"/>
  <c r="K1296" i="55"/>
  <c r="AL1296" i="55"/>
  <c r="AF1296" i="55"/>
  <c r="AG1296" i="55"/>
  <c r="AO1296" i="55"/>
  <c r="AK1296" i="55"/>
  <c r="Z1296" i="55"/>
  <c r="X1296" i="55"/>
  <c r="AT1296" i="55"/>
  <c r="M1296" i="55"/>
  <c r="G1296" i="55"/>
  <c r="AN1296" i="55"/>
  <c r="D1296" i="55"/>
  <c r="AM1296" i="55"/>
  <c r="AQ1296" i="55"/>
  <c r="S1296" i="55"/>
  <c r="N1296" i="55"/>
  <c r="AB1296" i="55"/>
  <c r="AH1296" i="55"/>
  <c r="C1296" i="55"/>
  <c r="W1296" i="55"/>
  <c r="H1296" i="55"/>
  <c r="B1296" i="55"/>
  <c r="L1296" i="55"/>
  <c r="V1296" i="55"/>
  <c r="I1296" i="55"/>
  <c r="A1296" i="55"/>
  <c r="U1296" i="55"/>
  <c r="AC1296" i="55"/>
  <c r="BF1012" i="26" l="1"/>
  <c r="BC1012" i="26"/>
  <c r="BU1012" i="26"/>
  <c r="BD1012" i="26"/>
  <c r="V1012" i="26"/>
  <c r="BE907" i="26"/>
  <c r="BV909" i="26"/>
  <c r="AY1012" i="26"/>
  <c r="T1012" i="26"/>
  <c r="B1012" i="26"/>
  <c r="BV1012" i="26"/>
  <c r="AJ1012" i="26"/>
  <c r="BA1012" i="26"/>
  <c r="AX1012" i="26"/>
  <c r="BG1012" i="26"/>
  <c r="W1012" i="26"/>
  <c r="AW1012" i="26"/>
  <c r="AF1012" i="26"/>
  <c r="AS1012" i="26"/>
  <c r="R1012" i="26"/>
  <c r="O1012" i="26"/>
  <c r="D1012" i="26"/>
  <c r="BW1012" i="26"/>
  <c r="L1012" i="26"/>
  <c r="BO1012" i="26"/>
  <c r="AM1012" i="26"/>
  <c r="BJ1012" i="26"/>
  <c r="BT1012" i="26"/>
  <c r="K1012" i="26"/>
  <c r="M1012" i="26" s="1"/>
  <c r="N1012" i="26" s="1"/>
  <c r="BP1012" i="26"/>
  <c r="G1012" i="26"/>
  <c r="AV1012" i="55"/>
  <c r="BE1012" i="26"/>
  <c r="BQ1012" i="26"/>
  <c r="X1012" i="26"/>
  <c r="A1012" i="26"/>
  <c r="BR1012" i="26"/>
  <c r="AU1012" i="26"/>
  <c r="BN1012" i="26"/>
  <c r="F1012" i="26"/>
  <c r="BL1012" i="26"/>
  <c r="AP1012" i="26"/>
  <c r="S1012" i="26"/>
  <c r="BK1012" i="26"/>
  <c r="BI1012" i="26"/>
  <c r="AV1012" i="26"/>
  <c r="P1012" i="26"/>
  <c r="C1012" i="26"/>
  <c r="U1012" i="26"/>
  <c r="Q1012" i="26"/>
  <c r="BM1012" i="26"/>
  <c r="AR1012" i="26"/>
  <c r="AO1012" i="26"/>
  <c r="AT1012" i="26"/>
  <c r="AK1012" i="26"/>
  <c r="I1012" i="26"/>
  <c r="BX1012" i="26"/>
  <c r="H1012" i="26"/>
  <c r="E1297" i="55"/>
  <c r="BV908" i="26" l="1"/>
  <c r="BE906" i="26"/>
  <c r="O1297" i="55"/>
  <c r="E1013" i="26"/>
  <c r="AK1297" i="55"/>
  <c r="AF1297" i="55"/>
  <c r="AD1297" i="55"/>
  <c r="Z1297" i="55"/>
  <c r="AI1297" i="55"/>
  <c r="Q1297" i="55"/>
  <c r="P1297" i="55"/>
  <c r="K1297" i="55"/>
  <c r="AL1297" i="55"/>
  <c r="AG1297" i="55"/>
  <c r="AO1297" i="55"/>
  <c r="V1297" i="55"/>
  <c r="AN1297" i="55"/>
  <c r="AT1297" i="55"/>
  <c r="G1297" i="55"/>
  <c r="C1297" i="55"/>
  <c r="N1297" i="55"/>
  <c r="AQ1297" i="55"/>
  <c r="S1297" i="55"/>
  <c r="AH1297" i="55"/>
  <c r="M1297" i="55"/>
  <c r="AC1297" i="55"/>
  <c r="X1297" i="55"/>
  <c r="U1297" i="55"/>
  <c r="D1297" i="55"/>
  <c r="W1297" i="55"/>
  <c r="I1297" i="55"/>
  <c r="H1297" i="55"/>
  <c r="B1297" i="55"/>
  <c r="AB1297" i="55"/>
  <c r="L1297" i="55"/>
  <c r="A1297" i="55"/>
  <c r="AM1297" i="55"/>
  <c r="BF1013" i="26" l="1"/>
  <c r="BC1013" i="26"/>
  <c r="AV1013" i="55" s="1"/>
  <c r="BU1013" i="26"/>
  <c r="BD1013" i="26"/>
  <c r="V1013" i="26"/>
  <c r="BE905" i="26"/>
  <c r="BV907" i="26"/>
  <c r="BL1013" i="26"/>
  <c r="C1013" i="26"/>
  <c r="AT1013" i="26"/>
  <c r="Q1013" i="26"/>
  <c r="AV1013" i="26"/>
  <c r="AW1013" i="26"/>
  <c r="BW1013" i="26"/>
  <c r="AX1013" i="26"/>
  <c r="BT1013" i="26"/>
  <c r="H1013" i="26"/>
  <c r="F1013" i="26"/>
  <c r="AR1013" i="26"/>
  <c r="X1013" i="26"/>
  <c r="O1013" i="26"/>
  <c r="T1013" i="26"/>
  <c r="G1013" i="26"/>
  <c r="L1013" i="26"/>
  <c r="AF1013" i="26"/>
  <c r="AM1013" i="26"/>
  <c r="S1013" i="26"/>
  <c r="BV1013" i="26"/>
  <c r="R1013" i="26"/>
  <c r="BP1013" i="26"/>
  <c r="BQ1013" i="26"/>
  <c r="AP1013" i="26"/>
  <c r="BM1013" i="26"/>
  <c r="D1013" i="26"/>
  <c r="AO1013" i="26"/>
  <c r="BO1013" i="26"/>
  <c r="A1013" i="26"/>
  <c r="W1013" i="26"/>
  <c r="BJ1013" i="26"/>
  <c r="U1013" i="26"/>
  <c r="BK1013" i="26"/>
  <c r="BA1013" i="26"/>
  <c r="I1013" i="26"/>
  <c r="BX1013" i="26"/>
  <c r="AU1013" i="26"/>
  <c r="BE1013" i="26"/>
  <c r="AJ1013" i="26"/>
  <c r="P1013" i="26"/>
  <c r="BR1013" i="26"/>
  <c r="BI1013" i="26"/>
  <c r="AK1013" i="26"/>
  <c r="AY1013" i="26"/>
  <c r="AS1013" i="26"/>
  <c r="BN1013" i="26"/>
  <c r="K1013" i="26"/>
  <c r="M1013" i="26" s="1"/>
  <c r="N1013" i="26" s="1"/>
  <c r="BG1013" i="26"/>
  <c r="B1013" i="26"/>
  <c r="E1298" i="55"/>
  <c r="BV906" i="26" l="1"/>
  <c r="BE904" i="26"/>
  <c r="O1298" i="55"/>
  <c r="E1014" i="26"/>
  <c r="Z1298" i="55"/>
  <c r="AI1298" i="55"/>
  <c r="Q1298" i="55"/>
  <c r="P1298" i="55"/>
  <c r="K1298" i="55"/>
  <c r="AO1298" i="55"/>
  <c r="AG1298" i="55"/>
  <c r="AF1298" i="55"/>
  <c r="AL1298" i="55"/>
  <c r="AD1298" i="55"/>
  <c r="AK1298" i="55"/>
  <c r="U1298" i="55"/>
  <c r="AM1298" i="55"/>
  <c r="H1298" i="55"/>
  <c r="L1298" i="55"/>
  <c r="N1298" i="55"/>
  <c r="G1298" i="55"/>
  <c r="V1298" i="55"/>
  <c r="A1298" i="55"/>
  <c r="AN1298" i="55"/>
  <c r="AB1298" i="55"/>
  <c r="M1298" i="55"/>
  <c r="W1298" i="55"/>
  <c r="D1298" i="55"/>
  <c r="AC1298" i="55"/>
  <c r="S1298" i="55"/>
  <c r="AH1298" i="55"/>
  <c r="I1298" i="55"/>
  <c r="AT1298" i="55"/>
  <c r="AQ1298" i="55"/>
  <c r="C1298" i="55"/>
  <c r="X1298" i="55"/>
  <c r="B1298" i="55"/>
  <c r="BF1014" i="26" l="1"/>
  <c r="BC1014" i="26"/>
  <c r="BD1014" i="26"/>
  <c r="BU1014" i="26"/>
  <c r="V1014" i="26"/>
  <c r="BE903" i="26"/>
  <c r="BV905" i="26"/>
  <c r="Q1014" i="26"/>
  <c r="BQ1014" i="26"/>
  <c r="AK1014" i="26"/>
  <c r="AO1014" i="26"/>
  <c r="H1014" i="26"/>
  <c r="BX1014" i="26"/>
  <c r="BN1014" i="26"/>
  <c r="AV1014" i="55"/>
  <c r="BK1014" i="26"/>
  <c r="F1014" i="26"/>
  <c r="A1014" i="26"/>
  <c r="C1014" i="26"/>
  <c r="L1014" i="26"/>
  <c r="AJ1014" i="26"/>
  <c r="G1014" i="26"/>
  <c r="O1014" i="26"/>
  <c r="BV1014" i="26"/>
  <c r="U1014" i="26"/>
  <c r="BP1014" i="26"/>
  <c r="AM1014" i="26"/>
  <c r="AV1014" i="26"/>
  <c r="T1014" i="26"/>
  <c r="BE1014" i="26"/>
  <c r="BM1014" i="26"/>
  <c r="B1014" i="26"/>
  <c r="BJ1014" i="26"/>
  <c r="BR1014" i="26"/>
  <c r="BW1014" i="26"/>
  <c r="BG1014" i="26"/>
  <c r="P1014" i="26"/>
  <c r="K1014" i="26"/>
  <c r="M1014" i="26" s="1"/>
  <c r="N1014" i="26" s="1"/>
  <c r="AU1014" i="26"/>
  <c r="AF1014" i="26"/>
  <c r="AX1014" i="26"/>
  <c r="I1014" i="26"/>
  <c r="BA1014" i="26"/>
  <c r="BL1014" i="26"/>
  <c r="AR1014" i="26"/>
  <c r="W1014" i="26"/>
  <c r="AW1014" i="26"/>
  <c r="BO1014" i="26"/>
  <c r="AY1014" i="26"/>
  <c r="BI1014" i="26"/>
  <c r="S1014" i="26"/>
  <c r="AP1014" i="26"/>
  <c r="X1014" i="26"/>
  <c r="D1014" i="26"/>
  <c r="AS1014" i="26"/>
  <c r="BT1014" i="26"/>
  <c r="R1014" i="26"/>
  <c r="AT1014" i="26"/>
  <c r="E1299" i="55"/>
  <c r="BV904" i="26" l="1"/>
  <c r="BE902" i="26"/>
  <c r="O1299" i="55"/>
  <c r="E1015" i="26"/>
  <c r="Z1299" i="55"/>
  <c r="AI1299" i="55"/>
  <c r="Q1299" i="55"/>
  <c r="P1299" i="55"/>
  <c r="K1299" i="55"/>
  <c r="AK1299" i="55"/>
  <c r="AO1299" i="55"/>
  <c r="AF1299" i="55"/>
  <c r="AG1299" i="55"/>
  <c r="AD1299" i="55"/>
  <c r="AL1299" i="55"/>
  <c r="AM1299" i="55"/>
  <c r="L1299" i="55"/>
  <c r="W1299" i="55"/>
  <c r="I1299" i="55"/>
  <c r="M1299" i="55"/>
  <c r="U1299" i="55"/>
  <c r="X1299" i="55"/>
  <c r="AN1299" i="55"/>
  <c r="AC1299" i="55"/>
  <c r="AB1299" i="55"/>
  <c r="H1299" i="55"/>
  <c r="AQ1299" i="55"/>
  <c r="S1299" i="55"/>
  <c r="V1299" i="55"/>
  <c r="AT1299" i="55"/>
  <c r="C1299" i="55"/>
  <c r="N1299" i="55"/>
  <c r="D1299" i="55"/>
  <c r="A1299" i="55"/>
  <c r="B1299" i="55"/>
  <c r="G1299" i="55"/>
  <c r="AH1299" i="55"/>
  <c r="BF1015" i="26" l="1"/>
  <c r="BC1015" i="26"/>
  <c r="AV1015" i="55" s="1"/>
  <c r="BD1015" i="26"/>
  <c r="BU1015" i="26"/>
  <c r="V1015" i="26"/>
  <c r="BV903" i="26"/>
  <c r="BE901" i="26"/>
  <c r="R1015" i="26"/>
  <c r="X1015" i="26"/>
  <c r="BJ1015" i="26"/>
  <c r="AV1015" i="26"/>
  <c r="A1015" i="26"/>
  <c r="AM1015" i="26"/>
  <c r="AK1015" i="26"/>
  <c r="AR1015" i="26"/>
  <c r="BI1015" i="26"/>
  <c r="C1015" i="26"/>
  <c r="U1015" i="26"/>
  <c r="BT1015" i="26"/>
  <c r="AF1015" i="26"/>
  <c r="AJ1015" i="26"/>
  <c r="BX1015" i="26"/>
  <c r="BA1015" i="26"/>
  <c r="BM1015" i="26"/>
  <c r="D1015" i="26"/>
  <c r="AS1015" i="26"/>
  <c r="BP1015" i="26"/>
  <c r="P1015" i="26"/>
  <c r="BL1015" i="26"/>
  <c r="BO1015" i="26"/>
  <c r="BG1015" i="26"/>
  <c r="BQ1015" i="26"/>
  <c r="BR1015" i="26"/>
  <c r="AW1015" i="26"/>
  <c r="K1015" i="26"/>
  <c r="M1015" i="26" s="1"/>
  <c r="N1015" i="26" s="1"/>
  <c r="BN1015" i="26"/>
  <c r="BW1015" i="26"/>
  <c r="G1015" i="26"/>
  <c r="AP1015" i="26"/>
  <c r="AY1015" i="26"/>
  <c r="L1015" i="26"/>
  <c r="AO1015" i="26"/>
  <c r="T1015" i="26"/>
  <c r="O1015" i="26"/>
  <c r="BK1015" i="26"/>
  <c r="B1015" i="26"/>
  <c r="BV1015" i="26"/>
  <c r="S1015" i="26"/>
  <c r="F1015" i="26"/>
  <c r="AT1015" i="26"/>
  <c r="AU1015" i="26"/>
  <c r="AX1015" i="26"/>
  <c r="BE1015" i="26"/>
  <c r="H1015" i="26"/>
  <c r="W1015" i="26"/>
  <c r="Q1015" i="26"/>
  <c r="I1015" i="26"/>
  <c r="E1300" i="55"/>
  <c r="BE900" i="26" l="1"/>
  <c r="BV902" i="26"/>
  <c r="E1016" i="26"/>
  <c r="BD1016" i="26" s="1"/>
  <c r="AK1300" i="55"/>
  <c r="O1300" i="55"/>
  <c r="Z1300" i="55"/>
  <c r="AI1300" i="55"/>
  <c r="Q1300" i="55"/>
  <c r="P1300" i="55"/>
  <c r="K1300" i="55"/>
  <c r="AF1300" i="55"/>
  <c r="AO1300" i="55"/>
  <c r="AL1300" i="55"/>
  <c r="AD1300" i="55"/>
  <c r="AG1300" i="55"/>
  <c r="L1300" i="55"/>
  <c r="AC1300" i="55"/>
  <c r="G1300" i="55"/>
  <c r="C1300" i="55"/>
  <c r="D1300" i="55"/>
  <c r="V1300" i="55"/>
  <c r="AB1300" i="55"/>
  <c r="W1300" i="55"/>
  <c r="N1300" i="55"/>
  <c r="AH1300" i="55"/>
  <c r="H1300" i="55"/>
  <c r="B1300" i="55"/>
  <c r="AM1300" i="55"/>
  <c r="AT1300" i="55"/>
  <c r="AN1300" i="55"/>
  <c r="S1300" i="55"/>
  <c r="AQ1300" i="55"/>
  <c r="U1300" i="55"/>
  <c r="I1300" i="55"/>
  <c r="M1300" i="55"/>
  <c r="A1300" i="55"/>
  <c r="X1300" i="55"/>
  <c r="BF1016" i="26" l="1"/>
  <c r="BC1016" i="26"/>
  <c r="AV1016" i="55" s="1"/>
  <c r="BU1016" i="26"/>
  <c r="V1016" i="26"/>
  <c r="BV901" i="26"/>
  <c r="BE899" i="26"/>
  <c r="D1016" i="26"/>
  <c r="BV1016" i="26"/>
  <c r="AX1016" i="26"/>
  <c r="BN1016" i="26"/>
  <c r="AU1016" i="26"/>
  <c r="BT1016" i="26"/>
  <c r="BM1016" i="26"/>
  <c r="K1016" i="26"/>
  <c r="M1016" i="26" s="1"/>
  <c r="N1016" i="26" s="1"/>
  <c r="AT1016" i="26"/>
  <c r="BW1016" i="26"/>
  <c r="C1016" i="26"/>
  <c r="AS1016" i="26"/>
  <c r="L1016" i="26"/>
  <c r="AF1016" i="26"/>
  <c r="W1016" i="26"/>
  <c r="AP1016" i="26"/>
  <c r="U1016" i="26"/>
  <c r="BA1016" i="26"/>
  <c r="R1016" i="26"/>
  <c r="AJ1016" i="26"/>
  <c r="BR1016" i="26"/>
  <c r="BP1016" i="26"/>
  <c r="AM1016" i="26"/>
  <c r="AW1016" i="26"/>
  <c r="T1016" i="26"/>
  <c r="BJ1016" i="26"/>
  <c r="I1016" i="26"/>
  <c r="BK1016" i="26"/>
  <c r="A1016" i="26"/>
  <c r="F1016" i="26"/>
  <c r="BX1016" i="26"/>
  <c r="AY1016" i="26"/>
  <c r="O1016" i="26"/>
  <c r="BO1016" i="26"/>
  <c r="P1016" i="26"/>
  <c r="AR1016" i="26"/>
  <c r="X1016" i="26"/>
  <c r="AO1016" i="26"/>
  <c r="BL1016" i="26"/>
  <c r="BI1016" i="26"/>
  <c r="BE1016" i="26"/>
  <c r="BG1016" i="26"/>
  <c r="H1016" i="26"/>
  <c r="AV1016" i="26"/>
  <c r="Q1016" i="26"/>
  <c r="B1016" i="26"/>
  <c r="G1016" i="26"/>
  <c r="S1016" i="26"/>
  <c r="BQ1016" i="26"/>
  <c r="AK1016" i="26"/>
  <c r="E1301" i="55"/>
  <c r="BE898" i="26" l="1"/>
  <c r="BV900" i="26"/>
  <c r="O1301" i="55"/>
  <c r="E1017" i="26"/>
  <c r="AG1301" i="55"/>
  <c r="Q1301" i="55"/>
  <c r="AI1301" i="55"/>
  <c r="P1301" i="55"/>
  <c r="K1301" i="55"/>
  <c r="AO1301" i="55"/>
  <c r="AL1301" i="55"/>
  <c r="AD1301" i="55"/>
  <c r="Z1301" i="55"/>
  <c r="AF1301" i="55"/>
  <c r="AK1301" i="55"/>
  <c r="G1301" i="55"/>
  <c r="X1301" i="55"/>
  <c r="U1301" i="55"/>
  <c r="H1301" i="55"/>
  <c r="AC1301" i="55"/>
  <c r="L1301" i="55"/>
  <c r="AB1301" i="55"/>
  <c r="M1301" i="55"/>
  <c r="S1301" i="55"/>
  <c r="AQ1301" i="55"/>
  <c r="V1301" i="55"/>
  <c r="AM1301" i="55"/>
  <c r="AT1301" i="55"/>
  <c r="N1301" i="55"/>
  <c r="AN1301" i="55"/>
  <c r="A1301" i="55"/>
  <c r="C1301" i="55"/>
  <c r="I1301" i="55"/>
  <c r="D1301" i="55"/>
  <c r="W1301" i="55"/>
  <c r="AH1301" i="55"/>
  <c r="B1301" i="55"/>
  <c r="BF1017" i="26" l="1"/>
  <c r="BC1017" i="26"/>
  <c r="BD1017" i="26"/>
  <c r="BU1017" i="26"/>
  <c r="V1017" i="26"/>
  <c r="BV899" i="26"/>
  <c r="BE897" i="26"/>
  <c r="W1017" i="26"/>
  <c r="X1017" i="26"/>
  <c r="AX1017" i="26"/>
  <c r="A1017" i="26"/>
  <c r="BA1017" i="26"/>
  <c r="Q1017" i="26"/>
  <c r="BN1017" i="26"/>
  <c r="T1017" i="26"/>
  <c r="BX1017" i="26"/>
  <c r="U1017" i="26"/>
  <c r="BM1017" i="26"/>
  <c r="AS1017" i="26"/>
  <c r="BQ1017" i="26"/>
  <c r="AV1017" i="55"/>
  <c r="F1017" i="26"/>
  <c r="BI1017" i="26"/>
  <c r="I1017" i="26"/>
  <c r="AF1017" i="26"/>
  <c r="BT1017" i="26"/>
  <c r="BW1017" i="26"/>
  <c r="G1017" i="26"/>
  <c r="BP1017" i="26"/>
  <c r="AT1017" i="26"/>
  <c r="AW1017" i="26"/>
  <c r="P1017" i="26"/>
  <c r="L1017" i="26"/>
  <c r="BG1017" i="26"/>
  <c r="BK1017" i="26"/>
  <c r="BV1017" i="26"/>
  <c r="H1017" i="26"/>
  <c r="AP1017" i="26"/>
  <c r="AR1017" i="26"/>
  <c r="BO1017" i="26"/>
  <c r="BE1017" i="26"/>
  <c r="BL1017" i="26"/>
  <c r="AV1017" i="26"/>
  <c r="O1017" i="26"/>
  <c r="AU1017" i="26"/>
  <c r="AY1017" i="26"/>
  <c r="S1017" i="26"/>
  <c r="AJ1017" i="26"/>
  <c r="AO1017" i="26"/>
  <c r="BR1017" i="26"/>
  <c r="R1017" i="26"/>
  <c r="K1017" i="26"/>
  <c r="M1017" i="26" s="1"/>
  <c r="N1017" i="26" s="1"/>
  <c r="D1017" i="26"/>
  <c r="B1017" i="26"/>
  <c r="BJ1017" i="26"/>
  <c r="AM1017" i="26"/>
  <c r="C1017" i="26"/>
  <c r="AK1017" i="26"/>
  <c r="E1302" i="55"/>
  <c r="BE896" i="26" l="1"/>
  <c r="BV898" i="26"/>
  <c r="O1302" i="55"/>
  <c r="E1018" i="26"/>
  <c r="AO1302" i="55"/>
  <c r="AG1302" i="55"/>
  <c r="AI1302" i="55"/>
  <c r="P1302" i="55"/>
  <c r="Q1302" i="55"/>
  <c r="K1302" i="55"/>
  <c r="AD1302" i="55"/>
  <c r="Z1302" i="55"/>
  <c r="AK1302" i="55"/>
  <c r="AL1302" i="55"/>
  <c r="AF1302" i="55"/>
  <c r="V1302" i="55"/>
  <c r="S1302" i="55"/>
  <c r="X1302" i="55"/>
  <c r="L1302" i="55"/>
  <c r="AT1302" i="55"/>
  <c r="D1302" i="55"/>
  <c r="W1302" i="55"/>
  <c r="AQ1302" i="55"/>
  <c r="M1302" i="55"/>
  <c r="AM1302" i="55"/>
  <c r="A1302" i="55"/>
  <c r="AH1302" i="55"/>
  <c r="H1302" i="55"/>
  <c r="B1302" i="55"/>
  <c r="C1302" i="55"/>
  <c r="N1302" i="55"/>
  <c r="AB1302" i="55"/>
  <c r="G1302" i="55"/>
  <c r="AC1302" i="55"/>
  <c r="I1302" i="55"/>
  <c r="U1302" i="55"/>
  <c r="AN1302" i="55"/>
  <c r="BF1018" i="26" l="1"/>
  <c r="BC1018" i="26"/>
  <c r="BD1018" i="26"/>
  <c r="BU1018" i="26"/>
  <c r="V1018" i="26"/>
  <c r="BV897" i="26"/>
  <c r="BE895" i="26"/>
  <c r="BE1018" i="26"/>
  <c r="BO1018" i="26"/>
  <c r="AT1018" i="26"/>
  <c r="AP1018" i="26"/>
  <c r="BV1018" i="26"/>
  <c r="I1018" i="26"/>
  <c r="BI1018" i="26"/>
  <c r="F1018" i="26"/>
  <c r="BX1018" i="26"/>
  <c r="AW1018" i="26"/>
  <c r="AS1018" i="26"/>
  <c r="AV1018" i="55"/>
  <c r="G1018" i="26"/>
  <c r="AM1018" i="26"/>
  <c r="AU1018" i="26"/>
  <c r="H1018" i="26"/>
  <c r="AK1018" i="26"/>
  <c r="AF1018" i="26"/>
  <c r="R1018" i="26"/>
  <c r="AO1018" i="26"/>
  <c r="AY1018" i="26"/>
  <c r="AR1018" i="26"/>
  <c r="BR1018" i="26"/>
  <c r="AV1018" i="26"/>
  <c r="BN1018" i="26"/>
  <c r="B1018" i="26"/>
  <c r="BM1018" i="26"/>
  <c r="O1018" i="26"/>
  <c r="P1018" i="26"/>
  <c r="BP1018" i="26"/>
  <c r="D1018" i="26"/>
  <c r="T1018" i="26"/>
  <c r="X1018" i="26"/>
  <c r="W1018" i="26"/>
  <c r="U1018" i="26"/>
  <c r="L1018" i="26"/>
  <c r="S1018" i="26"/>
  <c r="BG1018" i="26"/>
  <c r="K1018" i="26"/>
  <c r="M1018" i="26" s="1"/>
  <c r="N1018" i="26" s="1"/>
  <c r="BA1018" i="26"/>
  <c r="A1018" i="26"/>
  <c r="AX1018" i="26"/>
  <c r="AJ1018" i="26"/>
  <c r="BW1018" i="26"/>
  <c r="BQ1018" i="26"/>
  <c r="BJ1018" i="26"/>
  <c r="BL1018" i="26"/>
  <c r="C1018" i="26"/>
  <c r="BK1018" i="26"/>
  <c r="Q1018" i="26"/>
  <c r="BT1018" i="26"/>
  <c r="E1303" i="55"/>
  <c r="BE894" i="26" l="1"/>
  <c r="BV896" i="26"/>
  <c r="E1019" i="26"/>
  <c r="BD1019" i="26" s="1"/>
  <c r="AG1303" i="55"/>
  <c r="O1303" i="55"/>
  <c r="AL1303" i="55"/>
  <c r="AO1303" i="55"/>
  <c r="AI1303" i="55"/>
  <c r="Q1303" i="55"/>
  <c r="P1303" i="55"/>
  <c r="K1303" i="55"/>
  <c r="AF1303" i="55"/>
  <c r="AD1303" i="55"/>
  <c r="AK1303" i="55"/>
  <c r="Z1303" i="55"/>
  <c r="V1303" i="55"/>
  <c r="B1303" i="55"/>
  <c r="C1303" i="55"/>
  <c r="H1303" i="55"/>
  <c r="X1303" i="55"/>
  <c r="AM1303" i="55"/>
  <c r="AH1303" i="55"/>
  <c r="L1303" i="55"/>
  <c r="N1303" i="55"/>
  <c r="AT1303" i="55"/>
  <c r="AC1303" i="55"/>
  <c r="W1303" i="55"/>
  <c r="M1303" i="55"/>
  <c r="D1303" i="55"/>
  <c r="G1303" i="55"/>
  <c r="U1303" i="55"/>
  <c r="S1303" i="55"/>
  <c r="AB1303" i="55"/>
  <c r="AQ1303" i="55"/>
  <c r="I1303" i="55"/>
  <c r="A1303" i="55"/>
  <c r="AN1303" i="55"/>
  <c r="V1019" i="26" l="1"/>
  <c r="BF1019" i="26"/>
  <c r="BC1019" i="26"/>
  <c r="AV1019" i="55" s="1"/>
  <c r="BU1019" i="26"/>
  <c r="BV895" i="26"/>
  <c r="BE893" i="26"/>
  <c r="AT1019" i="26"/>
  <c r="AV1019" i="26"/>
  <c r="AW1019" i="26"/>
  <c r="BE1019" i="26"/>
  <c r="F1019" i="26"/>
  <c r="L1019" i="26"/>
  <c r="K1019" i="26"/>
  <c r="M1019" i="26" s="1"/>
  <c r="N1019" i="26" s="1"/>
  <c r="G1019" i="26"/>
  <c r="BP1019" i="26"/>
  <c r="S1019" i="26"/>
  <c r="U1019" i="26"/>
  <c r="BW1019" i="26"/>
  <c r="AO1019" i="26"/>
  <c r="AJ1019" i="26"/>
  <c r="A1019" i="26"/>
  <c r="BL1019" i="26"/>
  <c r="AU1019" i="26"/>
  <c r="AK1019" i="26"/>
  <c r="C1019" i="26"/>
  <c r="AR1019" i="26"/>
  <c r="BM1019" i="26"/>
  <c r="BT1019" i="26"/>
  <c r="O1019" i="26"/>
  <c r="T1019" i="26"/>
  <c r="BJ1019" i="26"/>
  <c r="I1019" i="26"/>
  <c r="Q1019" i="26"/>
  <c r="BX1019" i="26"/>
  <c r="BV1019" i="26"/>
  <c r="X1019" i="26"/>
  <c r="BN1019" i="26"/>
  <c r="AS1019" i="26"/>
  <c r="BA1019" i="26"/>
  <c r="H1019" i="26"/>
  <c r="AY1019" i="26"/>
  <c r="BQ1019" i="26"/>
  <c r="AX1019" i="26"/>
  <c r="BI1019" i="26"/>
  <c r="D1019" i="26"/>
  <c r="P1019" i="26"/>
  <c r="BG1019" i="26"/>
  <c r="BR1019" i="26"/>
  <c r="BK1019" i="26"/>
  <c r="AF1019" i="26"/>
  <c r="W1019" i="26"/>
  <c r="R1019" i="26"/>
  <c r="B1019" i="26"/>
  <c r="BO1019" i="26"/>
  <c r="AM1019" i="26"/>
  <c r="AP1019" i="26"/>
  <c r="E1304" i="55"/>
  <c r="BE892" i="26" l="1"/>
  <c r="BV894" i="26"/>
  <c r="O1304" i="55"/>
  <c r="E1020" i="26"/>
  <c r="AF1304" i="55"/>
  <c r="AI1304" i="55"/>
  <c r="Q1304" i="55"/>
  <c r="P1304" i="55"/>
  <c r="K1304" i="55"/>
  <c r="AO1304" i="55"/>
  <c r="AD1304" i="55"/>
  <c r="Z1304" i="55"/>
  <c r="AG1304" i="55"/>
  <c r="AL1304" i="55"/>
  <c r="AK1304" i="55"/>
  <c r="W1304" i="55"/>
  <c r="AN1304" i="55"/>
  <c r="H1304" i="55"/>
  <c r="G1304" i="55"/>
  <c r="D1304" i="55"/>
  <c r="I1304" i="55"/>
  <c r="AC1304" i="55"/>
  <c r="C1304" i="55"/>
  <c r="U1304" i="55"/>
  <c r="AT1304" i="55"/>
  <c r="AQ1304" i="55"/>
  <c r="L1304" i="55"/>
  <c r="N1304" i="55"/>
  <c r="A1304" i="55"/>
  <c r="M1304" i="55"/>
  <c r="AB1304" i="55"/>
  <c r="V1304" i="55"/>
  <c r="AH1304" i="55"/>
  <c r="X1304" i="55"/>
  <c r="S1304" i="55"/>
  <c r="AM1304" i="55"/>
  <c r="B1304" i="55"/>
  <c r="BF1020" i="26" l="1"/>
  <c r="BC1020" i="26"/>
  <c r="AV1020" i="55" s="1"/>
  <c r="BD1020" i="26"/>
  <c r="BU1020" i="26"/>
  <c r="V1020" i="26"/>
  <c r="BE891" i="26"/>
  <c r="BV893" i="26"/>
  <c r="BE1020" i="26"/>
  <c r="I1020" i="26"/>
  <c r="AK1020" i="26"/>
  <c r="A1020" i="26"/>
  <c r="R1020" i="26"/>
  <c r="BO1020" i="26"/>
  <c r="AU1020" i="26"/>
  <c r="BL1020" i="26"/>
  <c r="D1020" i="26"/>
  <c r="X1020" i="26"/>
  <c r="BR1020" i="26"/>
  <c r="BJ1020" i="26"/>
  <c r="H1020" i="26"/>
  <c r="BK1020" i="26"/>
  <c r="BN1020" i="26"/>
  <c r="BV1020" i="26"/>
  <c r="BI1020" i="26"/>
  <c r="BW1020" i="26"/>
  <c r="BQ1020" i="26"/>
  <c r="U1020" i="26"/>
  <c r="S1020" i="26"/>
  <c r="K1020" i="26"/>
  <c r="M1020" i="26" s="1"/>
  <c r="N1020" i="26" s="1"/>
  <c r="BG1020" i="26"/>
  <c r="Q1020" i="26"/>
  <c r="BT1020" i="26"/>
  <c r="T1020" i="26"/>
  <c r="BP1020" i="26"/>
  <c r="AS1020" i="26"/>
  <c r="AM1020" i="26"/>
  <c r="BX1020" i="26"/>
  <c r="O1020" i="26"/>
  <c r="BM1020" i="26"/>
  <c r="AX1020" i="26"/>
  <c r="AT1020" i="26"/>
  <c r="AP1020" i="26"/>
  <c r="AF1020" i="26"/>
  <c r="C1020" i="26"/>
  <c r="W1020" i="26"/>
  <c r="AV1020" i="26"/>
  <c r="F1020" i="26"/>
  <c r="AJ1020" i="26"/>
  <c r="L1020" i="26"/>
  <c r="B1020" i="26"/>
  <c r="BA1020" i="26"/>
  <c r="G1020" i="26"/>
  <c r="AW1020" i="26"/>
  <c r="AR1020" i="26"/>
  <c r="AY1020" i="26"/>
  <c r="AO1020" i="26"/>
  <c r="P1020" i="26"/>
  <c r="E1305" i="55"/>
  <c r="BE890" i="26" l="1"/>
  <c r="BV892" i="26"/>
  <c r="O1305" i="55"/>
  <c r="E1021" i="26"/>
  <c r="Z1305" i="55"/>
  <c r="AI1305" i="55"/>
  <c r="Q1305" i="55"/>
  <c r="P1305" i="55"/>
  <c r="K1305" i="55"/>
  <c r="AL1305" i="55"/>
  <c r="AG1305" i="55"/>
  <c r="AO1305" i="55"/>
  <c r="AK1305" i="55"/>
  <c r="AF1305" i="55"/>
  <c r="AD1305" i="55"/>
  <c r="N1305" i="55"/>
  <c r="H1305" i="55"/>
  <c r="A1305" i="55"/>
  <c r="AM1305" i="55"/>
  <c r="C1305" i="55"/>
  <c r="U1305" i="55"/>
  <c r="S1305" i="55"/>
  <c r="I1305" i="55"/>
  <c r="AC1305" i="55"/>
  <c r="AB1305" i="55"/>
  <c r="L1305" i="55"/>
  <c r="B1305" i="55"/>
  <c r="AH1305" i="55"/>
  <c r="X1305" i="55"/>
  <c r="D1305" i="55"/>
  <c r="V1305" i="55"/>
  <c r="M1305" i="55"/>
  <c r="AN1305" i="55"/>
  <c r="AT1305" i="55"/>
  <c r="G1305" i="55"/>
  <c r="W1305" i="55"/>
  <c r="AQ1305" i="55"/>
  <c r="BF1021" i="26" l="1"/>
  <c r="BC1021" i="26"/>
  <c r="AV1021" i="55" s="1"/>
  <c r="BD1021" i="26"/>
  <c r="BU1021" i="26"/>
  <c r="V1021" i="26"/>
  <c r="BV891" i="26"/>
  <c r="BE889" i="26"/>
  <c r="H1021" i="26"/>
  <c r="BJ1021" i="26"/>
  <c r="R1021" i="26"/>
  <c r="BP1021" i="26"/>
  <c r="U1021" i="26"/>
  <c r="T1021" i="26"/>
  <c r="AP1021" i="26"/>
  <c r="I1021" i="26"/>
  <c r="AK1021" i="26"/>
  <c r="BX1021" i="26"/>
  <c r="BA1021" i="26"/>
  <c r="W1021" i="26"/>
  <c r="BV1021" i="26"/>
  <c r="BE1021" i="26"/>
  <c r="AY1021" i="26"/>
  <c r="AV1021" i="26"/>
  <c r="BI1021" i="26"/>
  <c r="B1021" i="26"/>
  <c r="AR1021" i="26"/>
  <c r="AU1021" i="26"/>
  <c r="O1021" i="26"/>
  <c r="BT1021" i="26"/>
  <c r="BL1021" i="26"/>
  <c r="BO1021" i="26"/>
  <c r="X1021" i="26"/>
  <c r="D1021" i="26"/>
  <c r="AS1021" i="26"/>
  <c r="BR1021" i="26"/>
  <c r="AJ1021" i="26"/>
  <c r="BN1021" i="26"/>
  <c r="BW1021" i="26"/>
  <c r="BM1021" i="26"/>
  <c r="BG1021" i="26"/>
  <c r="AF1021" i="26"/>
  <c r="AO1021" i="26"/>
  <c r="L1021" i="26"/>
  <c r="F1021" i="26"/>
  <c r="S1021" i="26"/>
  <c r="K1021" i="26"/>
  <c r="M1021" i="26" s="1"/>
  <c r="N1021" i="26" s="1"/>
  <c r="Q1021" i="26"/>
  <c r="BQ1021" i="26"/>
  <c r="A1021" i="26"/>
  <c r="AX1021" i="26"/>
  <c r="AM1021" i="26"/>
  <c r="BK1021" i="26"/>
  <c r="AT1021" i="26"/>
  <c r="AW1021" i="26"/>
  <c r="P1021" i="26"/>
  <c r="G1021" i="26"/>
  <c r="C1021" i="26"/>
  <c r="E1306" i="55"/>
  <c r="BE888" i="26" l="1"/>
  <c r="BV890" i="26"/>
  <c r="E1022" i="26"/>
  <c r="BD1022" i="26" s="1"/>
  <c r="AL1306" i="55"/>
  <c r="O1306" i="55"/>
  <c r="AG1306" i="55"/>
  <c r="AI1306" i="55"/>
  <c r="P1306" i="55"/>
  <c r="Q1306" i="55"/>
  <c r="K1306" i="55"/>
  <c r="AK1306" i="55"/>
  <c r="AF1306" i="55"/>
  <c r="AO1306" i="55"/>
  <c r="AD1306" i="55"/>
  <c r="Z1306" i="55"/>
  <c r="AT1306" i="55"/>
  <c r="AB1306" i="55"/>
  <c r="N1306" i="55"/>
  <c r="D1306" i="55"/>
  <c r="AC1306" i="55"/>
  <c r="AH1306" i="55"/>
  <c r="H1306" i="55"/>
  <c r="AN1306" i="55"/>
  <c r="AM1306" i="55"/>
  <c r="U1306" i="55"/>
  <c r="I1306" i="55"/>
  <c r="A1306" i="55"/>
  <c r="X1306" i="55"/>
  <c r="L1306" i="55"/>
  <c r="AQ1306" i="55"/>
  <c r="V1306" i="55"/>
  <c r="C1306" i="55"/>
  <c r="W1306" i="55"/>
  <c r="S1306" i="55"/>
  <c r="B1306" i="55"/>
  <c r="M1306" i="55"/>
  <c r="G1306" i="55"/>
  <c r="BF1022" i="26" l="1"/>
  <c r="BC1022" i="26"/>
  <c r="BU1022" i="26"/>
  <c r="V1022" i="26"/>
  <c r="BV889" i="26"/>
  <c r="BE887" i="26"/>
  <c r="AR1022" i="26"/>
  <c r="C1022" i="26"/>
  <c r="AF1022" i="26"/>
  <c r="H1022" i="26"/>
  <c r="AJ1022" i="26"/>
  <c r="BT1022" i="26"/>
  <c r="AT1022" i="26"/>
  <c r="W1022" i="26"/>
  <c r="BP1022" i="26"/>
  <c r="O1022" i="26"/>
  <c r="AY1022" i="26"/>
  <c r="AM1022" i="26"/>
  <c r="AW1022" i="26"/>
  <c r="BA1022" i="26"/>
  <c r="BV1022" i="26"/>
  <c r="F1022" i="26"/>
  <c r="P1022" i="26"/>
  <c r="G1022" i="26"/>
  <c r="AO1022" i="26"/>
  <c r="D1022" i="26"/>
  <c r="BQ1022" i="26"/>
  <c r="AX1022" i="26"/>
  <c r="BN1022" i="26"/>
  <c r="BJ1022" i="26"/>
  <c r="X1022" i="26"/>
  <c r="BM1022" i="26"/>
  <c r="BO1022" i="26"/>
  <c r="AS1022" i="26"/>
  <c r="AP1022" i="26"/>
  <c r="T1022" i="26"/>
  <c r="AU1022" i="26"/>
  <c r="U1022" i="26"/>
  <c r="BK1022" i="26"/>
  <c r="L1022" i="26"/>
  <c r="BW1022" i="26"/>
  <c r="BE1022" i="26"/>
  <c r="BX1022" i="26"/>
  <c r="A1022" i="26"/>
  <c r="S1022" i="26"/>
  <c r="AV1022" i="55"/>
  <c r="BI1022" i="26"/>
  <c r="AV1022" i="26"/>
  <c r="AK1022" i="26"/>
  <c r="BG1022" i="26"/>
  <c r="K1022" i="26"/>
  <c r="M1022" i="26" s="1"/>
  <c r="N1022" i="26" s="1"/>
  <c r="I1022" i="26"/>
  <c r="B1022" i="26"/>
  <c r="Q1022" i="26"/>
  <c r="R1022" i="26"/>
  <c r="BL1022" i="26"/>
  <c r="BR1022" i="26"/>
  <c r="E1307" i="55"/>
  <c r="BV888" i="26" l="1"/>
  <c r="BE886" i="26"/>
  <c r="AF1307" i="55"/>
  <c r="E1023" i="26"/>
  <c r="AD1307" i="55"/>
  <c r="O1307" i="55"/>
  <c r="AK1307" i="55"/>
  <c r="Q1307" i="55"/>
  <c r="AI1307" i="55"/>
  <c r="K1307" i="55"/>
  <c r="P1307" i="55"/>
  <c r="AL1307" i="55"/>
  <c r="Z1307" i="55"/>
  <c r="AO1307" i="55"/>
  <c r="AG1307" i="55"/>
  <c r="D1307" i="55"/>
  <c r="AH1307" i="55"/>
  <c r="V1307" i="55"/>
  <c r="X1307" i="55"/>
  <c r="H1307" i="55"/>
  <c r="AQ1307" i="55"/>
  <c r="L1307" i="55"/>
  <c r="S1307" i="55"/>
  <c r="C1307" i="55"/>
  <c r="AC1307" i="55"/>
  <c r="B1307" i="55"/>
  <c r="G1307" i="55"/>
  <c r="AT1307" i="55"/>
  <c r="AB1307" i="55"/>
  <c r="A1307" i="55"/>
  <c r="N1307" i="55"/>
  <c r="W1307" i="55"/>
  <c r="M1307" i="55"/>
  <c r="AN1307" i="55"/>
  <c r="AM1307" i="55"/>
  <c r="U1307" i="55"/>
  <c r="I1307" i="55"/>
  <c r="BF1023" i="26" l="1"/>
  <c r="BC1023" i="26"/>
  <c r="AV1023" i="55" s="1"/>
  <c r="BD1023" i="26"/>
  <c r="BU1023" i="26"/>
  <c r="V1023" i="26"/>
  <c r="BE885" i="26"/>
  <c r="BV887" i="26"/>
  <c r="AS1023" i="26"/>
  <c r="BI1023" i="26"/>
  <c r="AU1023" i="26"/>
  <c r="AR1023" i="26"/>
  <c r="AO1023" i="26"/>
  <c r="A1023" i="26"/>
  <c r="R1023" i="26"/>
  <c r="AP1023" i="26"/>
  <c r="D1023" i="26"/>
  <c r="Q1023" i="26"/>
  <c r="BP1023" i="26"/>
  <c r="BJ1023" i="26"/>
  <c r="AT1023" i="26"/>
  <c r="I1023" i="26"/>
  <c r="BL1023" i="26"/>
  <c r="AF1023" i="26"/>
  <c r="P1023" i="26"/>
  <c r="AX1023" i="26"/>
  <c r="L1023" i="26"/>
  <c r="AY1023" i="26"/>
  <c r="T1023" i="26"/>
  <c r="BA1023" i="26"/>
  <c r="S1023" i="26"/>
  <c r="F1023" i="26"/>
  <c r="BV1023" i="26"/>
  <c r="O1023" i="26"/>
  <c r="BX1023" i="26"/>
  <c r="U1023" i="26"/>
  <c r="BE1023" i="26"/>
  <c r="AW1023" i="26"/>
  <c r="AJ1023" i="26"/>
  <c r="AK1023" i="26"/>
  <c r="AM1023" i="26"/>
  <c r="G1023" i="26"/>
  <c r="BK1023" i="26"/>
  <c r="BR1023" i="26"/>
  <c r="BW1023" i="26"/>
  <c r="W1023" i="26"/>
  <c r="K1023" i="26"/>
  <c r="M1023" i="26" s="1"/>
  <c r="N1023" i="26" s="1"/>
  <c r="BT1023" i="26"/>
  <c r="B1023" i="26"/>
  <c r="X1023" i="26"/>
  <c r="H1023" i="26"/>
  <c r="BM1023" i="26"/>
  <c r="BN1023" i="26"/>
  <c r="BQ1023" i="26"/>
  <c r="AV1023" i="26"/>
  <c r="BG1023" i="26"/>
  <c r="BO1023" i="26"/>
  <c r="C1023" i="26"/>
  <c r="E1308" i="55"/>
  <c r="BV886" i="26" l="1"/>
  <c r="BE884" i="26"/>
  <c r="O1308" i="55"/>
  <c r="E1024" i="26"/>
  <c r="AL1308" i="55"/>
  <c r="AI1308" i="55"/>
  <c r="Q1308" i="55"/>
  <c r="P1308" i="55"/>
  <c r="K1308" i="55"/>
  <c r="Z1308" i="55"/>
  <c r="AO1308" i="55"/>
  <c r="AF1308" i="55"/>
  <c r="AD1308" i="55"/>
  <c r="AK1308" i="55"/>
  <c r="AG1308" i="55"/>
  <c r="M1308" i="55"/>
  <c r="V1308" i="55"/>
  <c r="AT1308" i="55"/>
  <c r="H1308" i="55"/>
  <c r="D1308" i="55"/>
  <c r="AQ1308" i="55"/>
  <c r="AM1308" i="55"/>
  <c r="AN1308" i="55"/>
  <c r="C1308" i="55"/>
  <c r="N1308" i="55"/>
  <c r="L1308" i="55"/>
  <c r="AC1308" i="55"/>
  <c r="S1308" i="55"/>
  <c r="AH1308" i="55"/>
  <c r="X1308" i="55"/>
  <c r="W1308" i="55"/>
  <c r="I1308" i="55"/>
  <c r="AB1308" i="55"/>
  <c r="U1308" i="55"/>
  <c r="B1308" i="55"/>
  <c r="G1308" i="55"/>
  <c r="A1308" i="55"/>
  <c r="BF1024" i="26" l="1"/>
  <c r="BC1024" i="26"/>
  <c r="AV1024" i="55" s="1"/>
  <c r="BD1024" i="26"/>
  <c r="BU1024" i="26"/>
  <c r="V1024" i="26"/>
  <c r="BE883" i="26"/>
  <c r="BV885" i="26"/>
  <c r="W1024" i="26"/>
  <c r="AS1024" i="26"/>
  <c r="BR1024" i="26"/>
  <c r="AJ1024" i="26"/>
  <c r="U1024" i="26"/>
  <c r="AY1024" i="26"/>
  <c r="Q1024" i="26"/>
  <c r="AO1024" i="26"/>
  <c r="A1024" i="26"/>
  <c r="AM1024" i="26"/>
  <c r="R1024" i="26"/>
  <c r="F1024" i="26"/>
  <c r="BV1024" i="26"/>
  <c r="B1024" i="26"/>
  <c r="BJ1024" i="26"/>
  <c r="BK1024" i="26"/>
  <c r="S1024" i="26"/>
  <c r="AV1024" i="26"/>
  <c r="BW1024" i="26"/>
  <c r="K1024" i="26"/>
  <c r="M1024" i="26" s="1"/>
  <c r="N1024" i="26" s="1"/>
  <c r="BO1024" i="26"/>
  <c r="BL1024" i="26"/>
  <c r="AF1024" i="26"/>
  <c r="AT1024" i="26"/>
  <c r="BT1024" i="26"/>
  <c r="P1024" i="26"/>
  <c r="AW1024" i="26"/>
  <c r="AU1024" i="26"/>
  <c r="BP1024" i="26"/>
  <c r="AK1024" i="26"/>
  <c r="L1024" i="26"/>
  <c r="BE1024" i="26"/>
  <c r="I1024" i="26"/>
  <c r="AR1024" i="26"/>
  <c r="BA1024" i="26"/>
  <c r="BM1024" i="26"/>
  <c r="BX1024" i="26"/>
  <c r="O1024" i="26"/>
  <c r="D1024" i="26"/>
  <c r="C1024" i="26"/>
  <c r="AP1024" i="26"/>
  <c r="X1024" i="26"/>
  <c r="BN1024" i="26"/>
  <c r="G1024" i="26"/>
  <c r="BI1024" i="26"/>
  <c r="BG1024" i="26"/>
  <c r="H1024" i="26"/>
  <c r="BQ1024" i="26"/>
  <c r="AX1024" i="26"/>
  <c r="T1024" i="26"/>
  <c r="E1309" i="55"/>
  <c r="BV884" i="26" l="1"/>
  <c r="BE882" i="26"/>
  <c r="O1309" i="55"/>
  <c r="E1025" i="26"/>
  <c r="Q1309" i="55"/>
  <c r="AI1309" i="55"/>
  <c r="P1309" i="55"/>
  <c r="K1309" i="55"/>
  <c r="AK1309" i="55"/>
  <c r="AO1309" i="55"/>
  <c r="AF1309" i="55"/>
  <c r="AG1309" i="55"/>
  <c r="Z1309" i="55"/>
  <c r="AD1309" i="55"/>
  <c r="AL1309" i="55"/>
  <c r="AN1309" i="55"/>
  <c r="AQ1309" i="55"/>
  <c r="B1309" i="55"/>
  <c r="H1309" i="55"/>
  <c r="L1309" i="55"/>
  <c r="AT1309" i="55"/>
  <c r="N1309" i="55"/>
  <c r="G1309" i="55"/>
  <c r="AH1309" i="55"/>
  <c r="M1309" i="55"/>
  <c r="W1309" i="55"/>
  <c r="S1309" i="55"/>
  <c r="A1309" i="55"/>
  <c r="D1309" i="55"/>
  <c r="V1309" i="55"/>
  <c r="C1309" i="55"/>
  <c r="AC1309" i="55"/>
  <c r="X1309" i="55"/>
  <c r="U1309" i="55"/>
  <c r="I1309" i="55"/>
  <c r="AM1309" i="55"/>
  <c r="AB1309" i="55"/>
  <c r="BF1025" i="26" l="1"/>
  <c r="BC1025" i="26"/>
  <c r="AV1025" i="55" s="1"/>
  <c r="BD1025" i="26"/>
  <c r="BU1025" i="26"/>
  <c r="V1025" i="26"/>
  <c r="BE881" i="26"/>
  <c r="BV883" i="26"/>
  <c r="D1025" i="26"/>
  <c r="AJ1025" i="26"/>
  <c r="H1025" i="26"/>
  <c r="BV1025" i="26"/>
  <c r="AR1025" i="26"/>
  <c r="S1025" i="26"/>
  <c r="AP1025" i="26"/>
  <c r="AY1025" i="26"/>
  <c r="U1025" i="26"/>
  <c r="BJ1025" i="26"/>
  <c r="L1025" i="26"/>
  <c r="BI1025" i="26"/>
  <c r="AS1025" i="26"/>
  <c r="BG1025" i="26"/>
  <c r="G1025" i="26"/>
  <c r="I1025" i="26"/>
  <c r="W1025" i="26"/>
  <c r="BP1025" i="26"/>
  <c r="F1025" i="26"/>
  <c r="AK1025" i="26"/>
  <c r="AO1025" i="26"/>
  <c r="O1025" i="26"/>
  <c r="AU1025" i="26"/>
  <c r="BW1025" i="26"/>
  <c r="BA1025" i="26"/>
  <c r="P1025" i="26"/>
  <c r="AW1025" i="26"/>
  <c r="BT1025" i="26"/>
  <c r="C1025" i="26"/>
  <c r="K1025" i="26"/>
  <c r="M1025" i="26" s="1"/>
  <c r="N1025" i="26" s="1"/>
  <c r="B1025" i="26"/>
  <c r="BE1025" i="26"/>
  <c r="AM1025" i="26"/>
  <c r="BL1025" i="26"/>
  <c r="AF1025" i="26"/>
  <c r="BN1025" i="26"/>
  <c r="BO1025" i="26"/>
  <c r="AV1025" i="26"/>
  <c r="BX1025" i="26"/>
  <c r="BQ1025" i="26"/>
  <c r="BR1025" i="26"/>
  <c r="A1025" i="26"/>
  <c r="BK1025" i="26"/>
  <c r="Q1025" i="26"/>
  <c r="X1025" i="26"/>
  <c r="T1025" i="26"/>
  <c r="AT1025" i="26"/>
  <c r="BM1025" i="26"/>
  <c r="AX1025" i="26"/>
  <c r="R1025" i="26"/>
  <c r="E1310" i="55"/>
  <c r="BV882" i="26" l="1"/>
  <c r="BE880" i="26"/>
  <c r="AG1310" i="55"/>
  <c r="E1026" i="26"/>
  <c r="AO1310" i="55"/>
  <c r="O1310" i="55"/>
  <c r="Z1310" i="55"/>
  <c r="AI1310" i="55"/>
  <c r="P1310" i="55"/>
  <c r="Q1310" i="55"/>
  <c r="K1310" i="55"/>
  <c r="AD1310" i="55"/>
  <c r="AL1310" i="55"/>
  <c r="AK1310" i="55"/>
  <c r="AF1310" i="55"/>
  <c r="X1310" i="55"/>
  <c r="M1310" i="55"/>
  <c r="U1310" i="55"/>
  <c r="AH1310" i="55"/>
  <c r="A1310" i="55"/>
  <c r="V1310" i="55"/>
  <c r="S1310" i="55"/>
  <c r="I1310" i="55"/>
  <c r="AM1310" i="55"/>
  <c r="H1310" i="55"/>
  <c r="G1310" i="55"/>
  <c r="AN1310" i="55"/>
  <c r="AQ1310" i="55"/>
  <c r="N1310" i="55"/>
  <c r="W1310" i="55"/>
  <c r="L1310" i="55"/>
  <c r="AT1310" i="55"/>
  <c r="AB1310" i="55"/>
  <c r="C1310" i="55"/>
  <c r="B1310" i="55"/>
  <c r="D1310" i="55"/>
  <c r="AC1310" i="55"/>
  <c r="BF1026" i="26" l="1"/>
  <c r="BC1026" i="26"/>
  <c r="AV1026" i="55" s="1"/>
  <c r="BD1026" i="26"/>
  <c r="BU1026" i="26"/>
  <c r="V1026" i="26"/>
  <c r="BE879" i="26"/>
  <c r="BV881" i="26"/>
  <c r="AP1026" i="26"/>
  <c r="AJ1026" i="26"/>
  <c r="BQ1026" i="26"/>
  <c r="AT1026" i="26"/>
  <c r="BW1026" i="26"/>
  <c r="I1026" i="26"/>
  <c r="W1026" i="26"/>
  <c r="L1026" i="26"/>
  <c r="AW1026" i="26"/>
  <c r="BM1026" i="26"/>
  <c r="AS1026" i="26"/>
  <c r="K1026" i="26"/>
  <c r="M1026" i="26" s="1"/>
  <c r="N1026" i="26" s="1"/>
  <c r="BJ1026" i="26"/>
  <c r="AU1026" i="26"/>
  <c r="BX1026" i="26"/>
  <c r="G1026" i="26"/>
  <c r="T1026" i="26"/>
  <c r="Q1026" i="26"/>
  <c r="BP1026" i="26"/>
  <c r="U1026" i="26"/>
  <c r="BI1026" i="26"/>
  <c r="R1026" i="26"/>
  <c r="AR1026" i="26"/>
  <c r="BR1026" i="26"/>
  <c r="BK1026" i="26"/>
  <c r="BG1026" i="26"/>
  <c r="BO1026" i="26"/>
  <c r="X1026" i="26"/>
  <c r="AY1026" i="26"/>
  <c r="BN1026" i="26"/>
  <c r="AV1026" i="26"/>
  <c r="BT1026" i="26"/>
  <c r="P1026" i="26"/>
  <c r="B1026" i="26"/>
  <c r="C1026" i="26"/>
  <c r="AM1026" i="26"/>
  <c r="D1026" i="26"/>
  <c r="BV1026" i="26"/>
  <c r="AK1026" i="26"/>
  <c r="AO1026" i="26"/>
  <c r="AF1026" i="26"/>
  <c r="BA1026" i="26"/>
  <c r="H1026" i="26"/>
  <c r="O1026" i="26"/>
  <c r="AX1026" i="26"/>
  <c r="S1026" i="26"/>
  <c r="BL1026" i="26"/>
  <c r="A1026" i="26"/>
  <c r="F1026" i="26"/>
  <c r="BE1026" i="26"/>
  <c r="E1311" i="55"/>
  <c r="BE878" i="26" l="1"/>
  <c r="BV880" i="26"/>
  <c r="O1311" i="55"/>
  <c r="E1027" i="26"/>
  <c r="AD1311" i="55"/>
  <c r="AI1311" i="55"/>
  <c r="Q1311" i="55"/>
  <c r="P1311" i="55"/>
  <c r="K1311" i="55"/>
  <c r="AF1311" i="55"/>
  <c r="AO1311" i="55"/>
  <c r="AK1311" i="55"/>
  <c r="AG1311" i="55"/>
  <c r="AL1311" i="55"/>
  <c r="Z1311" i="55"/>
  <c r="AT1311" i="55"/>
  <c r="AH1311" i="55"/>
  <c r="B1311" i="55"/>
  <c r="A1311" i="55"/>
  <c r="I1311" i="55"/>
  <c r="AB1311" i="55"/>
  <c r="N1311" i="55"/>
  <c r="U1311" i="55"/>
  <c r="D1311" i="55"/>
  <c r="C1311" i="55"/>
  <c r="W1311" i="55"/>
  <c r="AQ1311" i="55"/>
  <c r="AC1311" i="55"/>
  <c r="AM1311" i="55"/>
  <c r="M1311" i="55"/>
  <c r="V1311" i="55"/>
  <c r="AN1311" i="55"/>
  <c r="S1311" i="55"/>
  <c r="L1311" i="55"/>
  <c r="X1311" i="55"/>
  <c r="H1311" i="55"/>
  <c r="G1311" i="55"/>
  <c r="BF1027" i="26" l="1"/>
  <c r="BC1027" i="26"/>
  <c r="BD1027" i="26"/>
  <c r="BU1027" i="26"/>
  <c r="V1027" i="26"/>
  <c r="BE877" i="26"/>
  <c r="BV879" i="26"/>
  <c r="BX1027" i="26"/>
  <c r="A1027" i="26"/>
  <c r="BN1027" i="26"/>
  <c r="AO1027" i="26"/>
  <c r="O1027" i="26"/>
  <c r="AV1027" i="26"/>
  <c r="F1027" i="26"/>
  <c r="G1027" i="26"/>
  <c r="AX1027" i="26"/>
  <c r="AV1027" i="55"/>
  <c r="AJ1027" i="26"/>
  <c r="BG1027" i="26"/>
  <c r="AK1027" i="26"/>
  <c r="K1027" i="26"/>
  <c r="M1027" i="26" s="1"/>
  <c r="N1027" i="26" s="1"/>
  <c r="BV1027" i="26"/>
  <c r="AU1027" i="26"/>
  <c r="AS1027" i="26"/>
  <c r="H1027" i="26"/>
  <c r="BM1027" i="26"/>
  <c r="AT1027" i="26"/>
  <c r="BW1027" i="26"/>
  <c r="AR1027" i="26"/>
  <c r="BT1027" i="26"/>
  <c r="BK1027" i="26"/>
  <c r="BO1027" i="26"/>
  <c r="BI1027" i="26"/>
  <c r="W1027" i="26"/>
  <c r="Q1027" i="26"/>
  <c r="AP1027" i="26"/>
  <c r="AF1027" i="26"/>
  <c r="B1027" i="26"/>
  <c r="BA1027" i="26"/>
  <c r="BR1027" i="26"/>
  <c r="BJ1027" i="26"/>
  <c r="BQ1027" i="26"/>
  <c r="P1027" i="26"/>
  <c r="AM1027" i="26"/>
  <c r="BE1027" i="26"/>
  <c r="AY1027" i="26"/>
  <c r="I1027" i="26"/>
  <c r="X1027" i="26"/>
  <c r="S1027" i="26"/>
  <c r="C1027" i="26"/>
  <c r="L1027" i="26"/>
  <c r="D1027" i="26"/>
  <c r="U1027" i="26"/>
  <c r="BP1027" i="26"/>
  <c r="BL1027" i="26"/>
  <c r="AW1027" i="26"/>
  <c r="R1027" i="26"/>
  <c r="T1027" i="26"/>
  <c r="E1312" i="55"/>
  <c r="BE876" i="26" l="1"/>
  <c r="BV878" i="26"/>
  <c r="O1312" i="55"/>
  <c r="E1028" i="26"/>
  <c r="AI1312" i="55"/>
  <c r="Q1312" i="55"/>
  <c r="P1312" i="55"/>
  <c r="K1312" i="55"/>
  <c r="Z1312" i="55"/>
  <c r="AL1312" i="55"/>
  <c r="AD1312" i="55"/>
  <c r="AF1312" i="55"/>
  <c r="AG1312" i="55"/>
  <c r="AK1312" i="55"/>
  <c r="AO1312" i="55"/>
  <c r="L1312" i="55"/>
  <c r="AB1312" i="55"/>
  <c r="A1312" i="55"/>
  <c r="W1312" i="55"/>
  <c r="AQ1312" i="55"/>
  <c r="X1312" i="55"/>
  <c r="H1312" i="55"/>
  <c r="C1312" i="55"/>
  <c r="M1312" i="55"/>
  <c r="U1312" i="55"/>
  <c r="D1312" i="55"/>
  <c r="G1312" i="55"/>
  <c r="AN1312" i="55"/>
  <c r="AM1312" i="55"/>
  <c r="B1312" i="55"/>
  <c r="I1312" i="55"/>
  <c r="AC1312" i="55"/>
  <c r="AT1312" i="55"/>
  <c r="AH1312" i="55"/>
  <c r="N1312" i="55"/>
  <c r="S1312" i="55"/>
  <c r="V1312" i="55"/>
  <c r="BF1028" i="26" l="1"/>
  <c r="BC1028" i="26"/>
  <c r="AV1028" i="55" s="1"/>
  <c r="BD1028" i="26"/>
  <c r="BU1028" i="26"/>
  <c r="V1028" i="26"/>
  <c r="BV877" i="26"/>
  <c r="BE875" i="26"/>
  <c r="BI1028" i="26"/>
  <c r="P1028" i="26"/>
  <c r="BR1028" i="26"/>
  <c r="BQ1028" i="26"/>
  <c r="BW1028" i="26"/>
  <c r="BT1028" i="26"/>
  <c r="BO1028" i="26"/>
  <c r="AS1028" i="26"/>
  <c r="AU1028" i="26"/>
  <c r="A1028" i="26"/>
  <c r="BM1028" i="26"/>
  <c r="AT1028" i="26"/>
  <c r="AF1028" i="26"/>
  <c r="AJ1028" i="26"/>
  <c r="AY1028" i="26"/>
  <c r="BJ1028" i="26"/>
  <c r="AV1028" i="26"/>
  <c r="I1028" i="26"/>
  <c r="X1028" i="26"/>
  <c r="S1028" i="26"/>
  <c r="BA1028" i="26"/>
  <c r="BG1028" i="26"/>
  <c r="T1028" i="26"/>
  <c r="BP1028" i="26"/>
  <c r="B1028" i="26"/>
  <c r="W1028" i="26"/>
  <c r="BN1028" i="26"/>
  <c r="L1028" i="26"/>
  <c r="AP1028" i="26"/>
  <c r="U1028" i="26"/>
  <c r="AO1028" i="26"/>
  <c r="R1028" i="26"/>
  <c r="BE1028" i="26"/>
  <c r="D1028" i="26"/>
  <c r="BV1028" i="26"/>
  <c r="BK1028" i="26"/>
  <c r="AR1028" i="26"/>
  <c r="AW1028" i="26"/>
  <c r="Q1028" i="26"/>
  <c r="C1028" i="26"/>
  <c r="BL1028" i="26"/>
  <c r="AM1028" i="26"/>
  <c r="G1028" i="26"/>
  <c r="K1028" i="26"/>
  <c r="M1028" i="26" s="1"/>
  <c r="N1028" i="26" s="1"/>
  <c r="O1028" i="26"/>
  <c r="BX1028" i="26"/>
  <c r="AK1028" i="26"/>
  <c r="F1028" i="26"/>
  <c r="AX1028" i="26"/>
  <c r="H1028" i="26"/>
  <c r="E1313" i="55"/>
  <c r="BE874" i="26" l="1"/>
  <c r="BV876" i="26"/>
  <c r="O1313" i="55"/>
  <c r="E1029" i="26"/>
  <c r="AI1313" i="55"/>
  <c r="Q1313" i="55"/>
  <c r="P1313" i="55"/>
  <c r="K1313" i="55"/>
  <c r="AG1313" i="55"/>
  <c r="AF1313" i="55"/>
  <c r="AL1313" i="55"/>
  <c r="Z1313" i="55"/>
  <c r="AO1313" i="55"/>
  <c r="AD1313" i="55"/>
  <c r="AK1313" i="55"/>
  <c r="V1313" i="55"/>
  <c r="AN1313" i="55"/>
  <c r="U1313" i="55"/>
  <c r="AH1313" i="55"/>
  <c r="C1313" i="55"/>
  <c r="H1313" i="55"/>
  <c r="X1313" i="55"/>
  <c r="AC1313" i="55"/>
  <c r="AT1313" i="55"/>
  <c r="AB1313" i="55"/>
  <c r="G1313" i="55"/>
  <c r="L1313" i="55"/>
  <c r="B1313" i="55"/>
  <c r="AM1313" i="55"/>
  <c r="W1313" i="55"/>
  <c r="AQ1313" i="55"/>
  <c r="A1313" i="55"/>
  <c r="S1313" i="55"/>
  <c r="D1313" i="55"/>
  <c r="N1313" i="55"/>
  <c r="M1313" i="55"/>
  <c r="I1313" i="55"/>
  <c r="BF1029" i="26" l="1"/>
  <c r="BC1029" i="26"/>
  <c r="AV1029" i="55" s="1"/>
  <c r="BD1029" i="26"/>
  <c r="BU1029" i="26"/>
  <c r="V1029" i="26"/>
  <c r="BV875" i="26"/>
  <c r="BE873" i="26"/>
  <c r="BG1029" i="26"/>
  <c r="I1029" i="26"/>
  <c r="A1029" i="26"/>
  <c r="AO1029" i="26"/>
  <c r="AJ1029" i="26"/>
  <c r="BQ1029" i="26"/>
  <c r="S1029" i="26"/>
  <c r="L1029" i="26"/>
  <c r="BL1029" i="26"/>
  <c r="AU1029" i="26"/>
  <c r="K1029" i="26"/>
  <c r="M1029" i="26" s="1"/>
  <c r="N1029" i="26" s="1"/>
  <c r="BX1029" i="26"/>
  <c r="BJ1029" i="26"/>
  <c r="B1029" i="26"/>
  <c r="Q1029" i="26"/>
  <c r="O1029" i="26"/>
  <c r="AP1029" i="26"/>
  <c r="AR1029" i="26"/>
  <c r="H1029" i="26"/>
  <c r="U1029" i="26"/>
  <c r="AX1029" i="26"/>
  <c r="W1029" i="26"/>
  <c r="BI1029" i="26"/>
  <c r="R1029" i="26"/>
  <c r="X1029" i="26"/>
  <c r="BK1029" i="26"/>
  <c r="C1029" i="26"/>
  <c r="BT1029" i="26"/>
  <c r="T1029" i="26"/>
  <c r="BE1029" i="26"/>
  <c r="BW1029" i="26"/>
  <c r="P1029" i="26"/>
  <c r="BA1029" i="26"/>
  <c r="BR1029" i="26"/>
  <c r="BO1029" i="26"/>
  <c r="AK1029" i="26"/>
  <c r="AW1029" i="26"/>
  <c r="BM1029" i="26"/>
  <c r="F1029" i="26"/>
  <c r="AM1029" i="26"/>
  <c r="AT1029" i="26"/>
  <c r="AS1029" i="26"/>
  <c r="G1029" i="26"/>
  <c r="BN1029" i="26"/>
  <c r="AF1029" i="26"/>
  <c r="D1029" i="26"/>
  <c r="BV1029" i="26"/>
  <c r="AV1029" i="26"/>
  <c r="AY1029" i="26"/>
  <c r="BP1029" i="26"/>
  <c r="E1314" i="55"/>
  <c r="BE872" i="26" l="1"/>
  <c r="BV874" i="26"/>
  <c r="O1314" i="55"/>
  <c r="E1030" i="26"/>
  <c r="AL1314" i="55"/>
  <c r="AG1314" i="55"/>
  <c r="AI1314" i="55"/>
  <c r="Q1314" i="55"/>
  <c r="P1314" i="55"/>
  <c r="K1314" i="55"/>
  <c r="Z1314" i="55"/>
  <c r="AK1314" i="55"/>
  <c r="AD1314" i="55"/>
  <c r="AF1314" i="55"/>
  <c r="AO1314" i="55"/>
  <c r="AH1314" i="55"/>
  <c r="N1314" i="55"/>
  <c r="V1314" i="55"/>
  <c r="L1314" i="55"/>
  <c r="X1314" i="55"/>
  <c r="A1314" i="55"/>
  <c r="AQ1314" i="55"/>
  <c r="M1314" i="55"/>
  <c r="W1314" i="55"/>
  <c r="AC1314" i="55"/>
  <c r="G1314" i="55"/>
  <c r="B1314" i="55"/>
  <c r="C1314" i="55"/>
  <c r="AM1314" i="55"/>
  <c r="AT1314" i="55"/>
  <c r="AB1314" i="55"/>
  <c r="H1314" i="55"/>
  <c r="AN1314" i="55"/>
  <c r="I1314" i="55"/>
  <c r="S1314" i="55"/>
  <c r="U1314" i="55"/>
  <c r="D1314" i="55"/>
  <c r="BF1030" i="26" l="1"/>
  <c r="BC1030" i="26"/>
  <c r="BD1030" i="26"/>
  <c r="BU1030" i="26"/>
  <c r="V1030" i="26"/>
  <c r="BV873" i="26"/>
  <c r="BE871" i="26"/>
  <c r="AV1030" i="26"/>
  <c r="AX1030" i="26"/>
  <c r="Q1030" i="26"/>
  <c r="BO1030" i="26"/>
  <c r="BG1030" i="26"/>
  <c r="AR1030" i="26"/>
  <c r="P1030" i="26"/>
  <c r="W1030" i="26"/>
  <c r="AU1030" i="26"/>
  <c r="D1030" i="26"/>
  <c r="AP1030" i="26"/>
  <c r="BA1030" i="26"/>
  <c r="S1030" i="26"/>
  <c r="AT1030" i="26"/>
  <c r="U1030" i="26"/>
  <c r="L1030" i="26"/>
  <c r="BI1030" i="26"/>
  <c r="BR1030" i="26"/>
  <c r="BM1030" i="26"/>
  <c r="H1030" i="26"/>
  <c r="AM1030" i="26"/>
  <c r="G1030" i="26"/>
  <c r="A1030" i="26"/>
  <c r="X1030" i="26"/>
  <c r="B1030" i="26"/>
  <c r="BT1030" i="26"/>
  <c r="AW1030" i="26"/>
  <c r="AK1030" i="26"/>
  <c r="BW1030" i="26"/>
  <c r="AS1030" i="26"/>
  <c r="AV1030" i="55"/>
  <c r="K1030" i="26"/>
  <c r="M1030" i="26" s="1"/>
  <c r="N1030" i="26" s="1"/>
  <c r="AY1030" i="26"/>
  <c r="AJ1030" i="26"/>
  <c r="AO1030" i="26"/>
  <c r="BP1030" i="26"/>
  <c r="BX1030" i="26"/>
  <c r="BJ1030" i="26"/>
  <c r="BV1030" i="26"/>
  <c r="BN1030" i="26"/>
  <c r="BL1030" i="26"/>
  <c r="BE1030" i="26"/>
  <c r="R1030" i="26"/>
  <c r="I1030" i="26"/>
  <c r="T1030" i="26"/>
  <c r="BQ1030" i="26"/>
  <c r="F1030" i="26"/>
  <c r="BK1030" i="26"/>
  <c r="C1030" i="26"/>
  <c r="O1030" i="26"/>
  <c r="AF1030" i="26"/>
  <c r="E1315" i="55"/>
  <c r="BE870" i="26" l="1"/>
  <c r="BV872" i="26"/>
  <c r="E1031" i="26"/>
  <c r="BD1031" i="26" s="1"/>
  <c r="AF1315" i="55"/>
  <c r="O1315" i="55"/>
  <c r="Z1315" i="55"/>
  <c r="AG1315" i="55"/>
  <c r="AO1315" i="55"/>
  <c r="AI1315" i="55"/>
  <c r="Q1315" i="55"/>
  <c r="K1315" i="55"/>
  <c r="P1315" i="55"/>
  <c r="AK1315" i="55"/>
  <c r="AD1315" i="55"/>
  <c r="AL1315" i="55"/>
  <c r="V1315" i="55"/>
  <c r="B1315" i="55"/>
  <c r="S1315" i="55"/>
  <c r="C1315" i="55"/>
  <c r="W1315" i="55"/>
  <c r="H1315" i="55"/>
  <c r="L1315" i="55"/>
  <c r="G1315" i="55"/>
  <c r="D1315" i="55"/>
  <c r="AB1315" i="55"/>
  <c r="AM1315" i="55"/>
  <c r="AT1315" i="55"/>
  <c r="AC1315" i="55"/>
  <c r="AN1315" i="55"/>
  <c r="X1315" i="55"/>
  <c r="AH1315" i="55"/>
  <c r="N1315" i="55"/>
  <c r="U1315" i="55"/>
  <c r="I1315" i="55"/>
  <c r="M1315" i="55"/>
  <c r="AQ1315" i="55"/>
  <c r="A1315" i="55"/>
  <c r="BF1031" i="26" l="1"/>
  <c r="BC1031" i="26"/>
  <c r="AV1031" i="55" s="1"/>
  <c r="BU1031" i="26"/>
  <c r="V1031" i="26"/>
  <c r="BV871" i="26"/>
  <c r="BE869" i="26"/>
  <c r="AS1031" i="26"/>
  <c r="F1031" i="26"/>
  <c r="G1031" i="26"/>
  <c r="BL1031" i="26"/>
  <c r="AM1031" i="26"/>
  <c r="AW1031" i="26"/>
  <c r="BW1031" i="26"/>
  <c r="BP1031" i="26"/>
  <c r="AK1031" i="26"/>
  <c r="AV1031" i="26"/>
  <c r="U1031" i="26"/>
  <c r="BO1031" i="26"/>
  <c r="X1031" i="26"/>
  <c r="BI1031" i="26"/>
  <c r="BA1031" i="26"/>
  <c r="AX1031" i="26"/>
  <c r="BX1031" i="26"/>
  <c r="BJ1031" i="26"/>
  <c r="AT1031" i="26"/>
  <c r="BT1031" i="26"/>
  <c r="I1031" i="26"/>
  <c r="AJ1031" i="26"/>
  <c r="P1031" i="26"/>
  <c r="R1031" i="26"/>
  <c r="BK1031" i="26"/>
  <c r="BG1031" i="26"/>
  <c r="BN1031" i="26"/>
  <c r="B1031" i="26"/>
  <c r="BM1031" i="26"/>
  <c r="BQ1031" i="26"/>
  <c r="Q1031" i="26"/>
  <c r="AY1031" i="26"/>
  <c r="BV1031" i="26"/>
  <c r="AU1031" i="26"/>
  <c r="H1031" i="26"/>
  <c r="A1031" i="26"/>
  <c r="AP1031" i="26"/>
  <c r="K1031" i="26"/>
  <c r="M1031" i="26" s="1"/>
  <c r="N1031" i="26" s="1"/>
  <c r="W1031" i="26"/>
  <c r="AR1031" i="26"/>
  <c r="L1031" i="26"/>
  <c r="BR1031" i="26"/>
  <c r="D1031" i="26"/>
  <c r="T1031" i="26"/>
  <c r="AO1031" i="26"/>
  <c r="S1031" i="26"/>
  <c r="AF1031" i="26"/>
  <c r="O1031" i="26"/>
  <c r="BE1031" i="26"/>
  <c r="C1031" i="26"/>
  <c r="E1316" i="55"/>
  <c r="BE868" i="26" l="1"/>
  <c r="BV870" i="26"/>
  <c r="O1316" i="55"/>
  <c r="E1032" i="26"/>
  <c r="Z1316" i="55"/>
  <c r="AI1316" i="55"/>
  <c r="Q1316" i="55"/>
  <c r="P1316" i="55"/>
  <c r="K1316" i="55"/>
  <c r="AK1316" i="55"/>
  <c r="AD1316" i="55"/>
  <c r="AO1316" i="55"/>
  <c r="AF1316" i="55"/>
  <c r="AG1316" i="55"/>
  <c r="AL1316" i="55"/>
  <c r="W1316" i="55"/>
  <c r="C1316" i="55"/>
  <c r="AQ1316" i="55"/>
  <c r="AM1316" i="55"/>
  <c r="L1316" i="55"/>
  <c r="B1316" i="55"/>
  <c r="G1316" i="55"/>
  <c r="A1316" i="55"/>
  <c r="M1316" i="55"/>
  <c r="X1316" i="55"/>
  <c r="N1316" i="55"/>
  <c r="D1316" i="55"/>
  <c r="V1316" i="55"/>
  <c r="I1316" i="55"/>
  <c r="AN1316" i="55"/>
  <c r="AT1316" i="55"/>
  <c r="AB1316" i="55"/>
  <c r="S1316" i="55"/>
  <c r="U1316" i="55"/>
  <c r="AC1316" i="55"/>
  <c r="H1316" i="55"/>
  <c r="AH1316" i="55"/>
  <c r="BF1032" i="26" l="1"/>
  <c r="BC1032" i="26"/>
  <c r="BD1032" i="26"/>
  <c r="BU1032" i="26"/>
  <c r="V1032" i="26"/>
  <c r="BV869" i="26"/>
  <c r="BE867" i="26"/>
  <c r="L1032" i="26"/>
  <c r="B1032" i="26"/>
  <c r="AV1032" i="26"/>
  <c r="BV1032" i="26"/>
  <c r="BP1032" i="26"/>
  <c r="D1032" i="26"/>
  <c r="P1032" i="26"/>
  <c r="U1032" i="26"/>
  <c r="O1032" i="26"/>
  <c r="BK1032" i="26"/>
  <c r="G1032" i="26"/>
  <c r="AR1032" i="26"/>
  <c r="R1032" i="26"/>
  <c r="AV1032" i="55"/>
  <c r="BW1032" i="26"/>
  <c r="C1032" i="26"/>
  <c r="BN1032" i="26"/>
  <c r="BR1032" i="26"/>
  <c r="BQ1032" i="26"/>
  <c r="K1032" i="26"/>
  <c r="M1032" i="26" s="1"/>
  <c r="N1032" i="26" s="1"/>
  <c r="AT1032" i="26"/>
  <c r="BM1032" i="26"/>
  <c r="BL1032" i="26"/>
  <c r="AX1032" i="26"/>
  <c r="X1032" i="26"/>
  <c r="AP1032" i="26"/>
  <c r="F1032" i="26"/>
  <c r="W1032" i="26"/>
  <c r="BI1032" i="26"/>
  <c r="H1032" i="26"/>
  <c r="S1032" i="26"/>
  <c r="AK1032" i="26"/>
  <c r="BO1032" i="26"/>
  <c r="BX1032" i="26"/>
  <c r="AY1032" i="26"/>
  <c r="AU1032" i="26"/>
  <c r="AF1032" i="26"/>
  <c r="AO1032" i="26"/>
  <c r="A1032" i="26"/>
  <c r="BA1032" i="26"/>
  <c r="BG1032" i="26"/>
  <c r="AS1032" i="26"/>
  <c r="T1032" i="26"/>
  <c r="Q1032" i="26"/>
  <c r="AM1032" i="26"/>
  <c r="I1032" i="26"/>
  <c r="BT1032" i="26"/>
  <c r="BE1032" i="26"/>
  <c r="BJ1032" i="26"/>
  <c r="AJ1032" i="26"/>
  <c r="AW1032" i="26"/>
  <c r="E1317" i="55"/>
  <c r="BE866" i="26" l="1"/>
  <c r="BV868" i="26"/>
  <c r="O1317" i="55"/>
  <c r="E1033" i="26"/>
  <c r="AD1317" i="55"/>
  <c r="Q1317" i="55"/>
  <c r="P1317" i="55"/>
  <c r="AI1317" i="55"/>
  <c r="K1317" i="55"/>
  <c r="AG1317" i="55"/>
  <c r="AO1317" i="55"/>
  <c r="Z1317" i="55"/>
  <c r="AF1317" i="55"/>
  <c r="AL1317" i="55"/>
  <c r="AK1317" i="55"/>
  <c r="H1317" i="55"/>
  <c r="X1317" i="55"/>
  <c r="L1317" i="55"/>
  <c r="AN1317" i="55"/>
  <c r="A1317" i="55"/>
  <c r="V1317" i="55"/>
  <c r="C1317" i="55"/>
  <c r="W1317" i="55"/>
  <c r="AQ1317" i="55"/>
  <c r="U1317" i="55"/>
  <c r="AM1317" i="55"/>
  <c r="D1317" i="55"/>
  <c r="AC1317" i="55"/>
  <c r="B1317" i="55"/>
  <c r="AH1317" i="55"/>
  <c r="I1317" i="55"/>
  <c r="N1317" i="55"/>
  <c r="M1317" i="55"/>
  <c r="S1317" i="55"/>
  <c r="G1317" i="55"/>
  <c r="AT1317" i="55"/>
  <c r="AB1317" i="55"/>
  <c r="BF1033" i="26" l="1"/>
  <c r="BC1033" i="26"/>
  <c r="AV1033" i="55" s="1"/>
  <c r="BD1033" i="26"/>
  <c r="BU1033" i="26"/>
  <c r="V1033" i="26"/>
  <c r="BV867" i="26"/>
  <c r="BE865" i="26"/>
  <c r="BW1033" i="26"/>
  <c r="AR1033" i="26"/>
  <c r="AS1033" i="26"/>
  <c r="S1033" i="26"/>
  <c r="BL1033" i="26"/>
  <c r="AY1033" i="26"/>
  <c r="C1033" i="26"/>
  <c r="BX1033" i="26"/>
  <c r="R1033" i="26"/>
  <c r="P1033" i="26"/>
  <c r="AM1033" i="26"/>
  <c r="AW1033" i="26"/>
  <c r="U1033" i="26"/>
  <c r="BO1033" i="26"/>
  <c r="F1033" i="26"/>
  <c r="BV1033" i="26"/>
  <c r="AP1033" i="26"/>
  <c r="T1033" i="26"/>
  <c r="L1033" i="26"/>
  <c r="AU1033" i="26"/>
  <c r="AO1033" i="26"/>
  <c r="AV1033" i="26"/>
  <c r="AJ1033" i="26"/>
  <c r="D1033" i="26"/>
  <c r="BG1033" i="26"/>
  <c r="AX1033" i="26"/>
  <c r="G1033" i="26"/>
  <c r="I1033" i="26"/>
  <c r="BR1033" i="26"/>
  <c r="BI1033" i="26"/>
  <c r="BE1033" i="26"/>
  <c r="B1033" i="26"/>
  <c r="BM1033" i="26"/>
  <c r="BJ1033" i="26"/>
  <c r="BN1033" i="26"/>
  <c r="K1033" i="26"/>
  <c r="M1033" i="26" s="1"/>
  <c r="N1033" i="26" s="1"/>
  <c r="AF1033" i="26"/>
  <c r="W1033" i="26"/>
  <c r="AT1033" i="26"/>
  <c r="A1033" i="26"/>
  <c r="AK1033" i="26"/>
  <c r="O1033" i="26"/>
  <c r="BA1033" i="26"/>
  <c r="X1033" i="26"/>
  <c r="BK1033" i="26"/>
  <c r="BP1033" i="26"/>
  <c r="BQ1033" i="26"/>
  <c r="H1033" i="26"/>
  <c r="Q1033" i="26"/>
  <c r="BT1033" i="26"/>
  <c r="E1318" i="55"/>
  <c r="BE864" i="26" l="1"/>
  <c r="BV866" i="26"/>
  <c r="O1318" i="55"/>
  <c r="E1034" i="26"/>
  <c r="AK1318" i="55"/>
  <c r="Z1318" i="55"/>
  <c r="AF1318" i="55"/>
  <c r="AG1318" i="55"/>
  <c r="AD1318" i="55"/>
  <c r="AI1318" i="55"/>
  <c r="P1318" i="55"/>
  <c r="K1318" i="55"/>
  <c r="Q1318" i="55"/>
  <c r="AL1318" i="55"/>
  <c r="AO1318" i="55"/>
  <c r="V1318" i="55"/>
  <c r="L1318" i="55"/>
  <c r="AQ1318" i="55"/>
  <c r="G1318" i="55"/>
  <c r="B1318" i="55"/>
  <c r="X1318" i="55"/>
  <c r="AT1318" i="55"/>
  <c r="N1318" i="55"/>
  <c r="S1318" i="55"/>
  <c r="AC1318" i="55"/>
  <c r="D1318" i="55"/>
  <c r="U1318" i="55"/>
  <c r="AM1318" i="55"/>
  <c r="W1318" i="55"/>
  <c r="AN1318" i="55"/>
  <c r="I1318" i="55"/>
  <c r="AB1318" i="55"/>
  <c r="AH1318" i="55"/>
  <c r="C1318" i="55"/>
  <c r="M1318" i="55"/>
  <c r="A1318" i="55"/>
  <c r="H1318" i="55"/>
  <c r="BF1034" i="26" l="1"/>
  <c r="BC1034" i="26"/>
  <c r="BD1034" i="26"/>
  <c r="BU1034" i="26"/>
  <c r="V1034" i="26"/>
  <c r="BV865" i="26"/>
  <c r="BE863" i="26"/>
  <c r="AF1034" i="26"/>
  <c r="AV1034" i="26"/>
  <c r="K1034" i="26"/>
  <c r="M1034" i="26" s="1"/>
  <c r="N1034" i="26" s="1"/>
  <c r="AK1034" i="26"/>
  <c r="O1034" i="26"/>
  <c r="BR1034" i="26"/>
  <c r="X1034" i="26"/>
  <c r="BG1034" i="26"/>
  <c r="BX1034" i="26"/>
  <c r="AU1034" i="26"/>
  <c r="AR1034" i="26"/>
  <c r="W1034" i="26"/>
  <c r="BW1034" i="26"/>
  <c r="BJ1034" i="26"/>
  <c r="AO1034" i="26"/>
  <c r="L1034" i="26"/>
  <c r="AP1034" i="26"/>
  <c r="D1034" i="26"/>
  <c r="AT1034" i="26"/>
  <c r="S1034" i="26"/>
  <c r="BI1034" i="26"/>
  <c r="BM1034" i="26"/>
  <c r="A1034" i="26"/>
  <c r="AM1034" i="26"/>
  <c r="P1034" i="26"/>
  <c r="B1034" i="26"/>
  <c r="BO1034" i="26"/>
  <c r="C1034" i="26"/>
  <c r="BE1034" i="26"/>
  <c r="Q1034" i="26"/>
  <c r="U1034" i="26"/>
  <c r="F1034" i="26"/>
  <c r="AJ1034" i="26"/>
  <c r="AX1034" i="26"/>
  <c r="I1034" i="26"/>
  <c r="BQ1034" i="26"/>
  <c r="AW1034" i="26"/>
  <c r="R1034" i="26"/>
  <c r="H1034" i="26"/>
  <c r="BN1034" i="26"/>
  <c r="T1034" i="26"/>
  <c r="AS1034" i="26"/>
  <c r="AV1034" i="55"/>
  <c r="AY1034" i="26"/>
  <c r="BV1034" i="26"/>
  <c r="BA1034" i="26"/>
  <c r="BK1034" i="26"/>
  <c r="G1034" i="26"/>
  <c r="BL1034" i="26"/>
  <c r="BP1034" i="26"/>
  <c r="BT1034" i="26"/>
  <c r="E1319" i="55"/>
  <c r="BV864" i="26" l="1"/>
  <c r="BE862" i="26"/>
  <c r="O1319" i="55"/>
  <c r="E1035" i="26"/>
  <c r="AF1319" i="55"/>
  <c r="AI1319" i="55"/>
  <c r="Q1319" i="55"/>
  <c r="P1319" i="55"/>
  <c r="K1319" i="55"/>
  <c r="AL1319" i="55"/>
  <c r="AK1319" i="55"/>
  <c r="AD1319" i="55"/>
  <c r="AG1319" i="55"/>
  <c r="AO1319" i="55"/>
  <c r="Z1319" i="55"/>
  <c r="M1319" i="55"/>
  <c r="D1319" i="55"/>
  <c r="AM1319" i="55"/>
  <c r="AC1319" i="55"/>
  <c r="W1319" i="55"/>
  <c r="H1319" i="55"/>
  <c r="A1319" i="55"/>
  <c r="V1319" i="55"/>
  <c r="AQ1319" i="55"/>
  <c r="AB1319" i="55"/>
  <c r="AN1319" i="55"/>
  <c r="S1319" i="55"/>
  <c r="AH1319" i="55"/>
  <c r="X1319" i="55"/>
  <c r="G1319" i="55"/>
  <c r="B1319" i="55"/>
  <c r="C1319" i="55"/>
  <c r="N1319" i="55"/>
  <c r="L1319" i="55"/>
  <c r="AT1319" i="55"/>
  <c r="I1319" i="55"/>
  <c r="U1319" i="55"/>
  <c r="BF1035" i="26" l="1"/>
  <c r="BC1035" i="26"/>
  <c r="BD1035" i="26"/>
  <c r="BU1035" i="26"/>
  <c r="V1035" i="26"/>
  <c r="BE861" i="26"/>
  <c r="BV863" i="26"/>
  <c r="BX1035" i="26"/>
  <c r="L1035" i="26"/>
  <c r="AW1035" i="26"/>
  <c r="P1035" i="26"/>
  <c r="AX1035" i="26"/>
  <c r="BJ1035" i="26"/>
  <c r="AF1035" i="26"/>
  <c r="O1035" i="26"/>
  <c r="X1035" i="26"/>
  <c r="BL1035" i="26"/>
  <c r="AR1035" i="26"/>
  <c r="AP1035" i="26"/>
  <c r="H1035" i="26"/>
  <c r="AV1035" i="26"/>
  <c r="AK1035" i="26"/>
  <c r="BV1035" i="26"/>
  <c r="A1035" i="26"/>
  <c r="S1035" i="26"/>
  <c r="K1035" i="26"/>
  <c r="M1035" i="26" s="1"/>
  <c r="N1035" i="26" s="1"/>
  <c r="BE1035" i="26"/>
  <c r="AM1035" i="26"/>
  <c r="T1035" i="26"/>
  <c r="BK1035" i="26"/>
  <c r="U1035" i="26"/>
  <c r="BG1035" i="26"/>
  <c r="I1035" i="26"/>
  <c r="G1035" i="26"/>
  <c r="AS1035" i="26"/>
  <c r="R1035" i="26"/>
  <c r="BA1035" i="26"/>
  <c r="BM1035" i="26"/>
  <c r="BI1035" i="26"/>
  <c r="AU1035" i="26"/>
  <c r="B1035" i="26"/>
  <c r="D1035" i="26"/>
  <c r="AO1035" i="26"/>
  <c r="BO1035" i="26"/>
  <c r="F1035" i="26"/>
  <c r="BN1035" i="26"/>
  <c r="W1035" i="26"/>
  <c r="AT1035" i="26"/>
  <c r="AY1035" i="26"/>
  <c r="BT1035" i="26"/>
  <c r="AJ1035" i="26"/>
  <c r="AV1035" i="55"/>
  <c r="C1035" i="26"/>
  <c r="Q1035" i="26"/>
  <c r="BQ1035" i="26"/>
  <c r="BR1035" i="26"/>
  <c r="BW1035" i="26"/>
  <c r="BP1035" i="26"/>
  <c r="E1320" i="55"/>
  <c r="BV862" i="26" l="1"/>
  <c r="BE860" i="26"/>
  <c r="O1320" i="55"/>
  <c r="E1036" i="26"/>
  <c r="Z1320" i="55"/>
  <c r="AI1320" i="55"/>
  <c r="Q1320" i="55"/>
  <c r="P1320" i="55"/>
  <c r="K1320" i="55"/>
  <c r="AK1320" i="55"/>
  <c r="AF1320" i="55"/>
  <c r="AO1320" i="55"/>
  <c r="AD1320" i="55"/>
  <c r="AL1320" i="55"/>
  <c r="AG1320" i="55"/>
  <c r="C1320" i="55"/>
  <c r="M1320" i="55"/>
  <c r="U1320" i="55"/>
  <c r="L1320" i="55"/>
  <c r="G1320" i="55"/>
  <c r="AN1320" i="55"/>
  <c r="I1320" i="55"/>
  <c r="AQ1320" i="55"/>
  <c r="A1320" i="55"/>
  <c r="W1320" i="55"/>
  <c r="AM1320" i="55"/>
  <c r="H1320" i="55"/>
  <c r="S1320" i="55"/>
  <c r="V1320" i="55"/>
  <c r="X1320" i="55"/>
  <c r="AT1320" i="55"/>
  <c r="D1320" i="55"/>
  <c r="AB1320" i="55"/>
  <c r="AH1320" i="55"/>
  <c r="AC1320" i="55"/>
  <c r="N1320" i="55"/>
  <c r="B1320" i="55"/>
  <c r="BF1036" i="26" l="1"/>
  <c r="BC1036" i="26"/>
  <c r="AV1036" i="55" s="1"/>
  <c r="BD1036" i="26"/>
  <c r="BU1036" i="26"/>
  <c r="V1036" i="26"/>
  <c r="BV861" i="26"/>
  <c r="BE859" i="26"/>
  <c r="AF1036" i="26"/>
  <c r="C1036" i="26"/>
  <c r="BV1036" i="26"/>
  <c r="BO1036" i="26"/>
  <c r="BA1036" i="26"/>
  <c r="P1036" i="26"/>
  <c r="BI1036" i="26"/>
  <c r="BT1036" i="26"/>
  <c r="U1036" i="26"/>
  <c r="BK1036" i="26"/>
  <c r="W1036" i="26"/>
  <c r="BE1036" i="26"/>
  <c r="AW1036" i="26"/>
  <c r="BR1036" i="26"/>
  <c r="AR1036" i="26"/>
  <c r="AJ1036" i="26"/>
  <c r="A1036" i="26"/>
  <c r="AX1036" i="26"/>
  <c r="B1036" i="26"/>
  <c r="H1036" i="26"/>
  <c r="BP1036" i="26"/>
  <c r="K1036" i="26"/>
  <c r="M1036" i="26" s="1"/>
  <c r="N1036" i="26" s="1"/>
  <c r="AM1036" i="26"/>
  <c r="G1036" i="26"/>
  <c r="BX1036" i="26"/>
  <c r="AK1036" i="26"/>
  <c r="AU1036" i="26"/>
  <c r="AO1036" i="26"/>
  <c r="Q1036" i="26"/>
  <c r="D1036" i="26"/>
  <c r="AY1036" i="26"/>
  <c r="S1036" i="26"/>
  <c r="BG1036" i="26"/>
  <c r="AT1036" i="26"/>
  <c r="O1036" i="26"/>
  <c r="T1036" i="26"/>
  <c r="X1036" i="26"/>
  <c r="AV1036" i="26"/>
  <c r="BM1036" i="26"/>
  <c r="BN1036" i="26"/>
  <c r="BW1036" i="26"/>
  <c r="I1036" i="26"/>
  <c r="F1036" i="26"/>
  <c r="BL1036" i="26"/>
  <c r="AS1036" i="26"/>
  <c r="BQ1036" i="26"/>
  <c r="AP1036" i="26"/>
  <c r="L1036" i="26"/>
  <c r="R1036" i="26"/>
  <c r="BJ1036" i="26"/>
  <c r="E1321" i="55"/>
  <c r="BE858" i="26" l="1"/>
  <c r="BV860" i="26"/>
  <c r="O1321" i="55"/>
  <c r="E1037" i="26"/>
  <c r="Z1321" i="55"/>
  <c r="AO1321" i="55"/>
  <c r="AD1321" i="55"/>
  <c r="AI1321" i="55"/>
  <c r="Q1321" i="55"/>
  <c r="P1321" i="55"/>
  <c r="K1321" i="55"/>
  <c r="AG1321" i="55"/>
  <c r="AF1321" i="55"/>
  <c r="AL1321" i="55"/>
  <c r="AK1321" i="55"/>
  <c r="W1321" i="55"/>
  <c r="A1321" i="55"/>
  <c r="G1321" i="55"/>
  <c r="S1321" i="55"/>
  <c r="AC1321" i="55"/>
  <c r="V1321" i="55"/>
  <c r="D1321" i="55"/>
  <c r="H1321" i="55"/>
  <c r="C1321" i="55"/>
  <c r="AN1321" i="55"/>
  <c r="N1321" i="55"/>
  <c r="I1321" i="55"/>
  <c r="L1321" i="55"/>
  <c r="AT1321" i="55"/>
  <c r="AQ1321" i="55"/>
  <c r="AB1321" i="55"/>
  <c r="B1321" i="55"/>
  <c r="AM1321" i="55"/>
  <c r="U1321" i="55"/>
  <c r="AH1321" i="55"/>
  <c r="X1321" i="55"/>
  <c r="M1321" i="55"/>
  <c r="V1037" i="26" l="1"/>
  <c r="BF1037" i="26"/>
  <c r="BC1037" i="26"/>
  <c r="AV1037" i="55" s="1"/>
  <c r="BD1037" i="26"/>
  <c r="BU1037" i="26"/>
  <c r="BV859" i="26"/>
  <c r="BE856" i="26"/>
  <c r="BQ1037" i="26"/>
  <c r="BA1037" i="26"/>
  <c r="AK1037" i="26"/>
  <c r="BP1037" i="26"/>
  <c r="AO1037" i="26"/>
  <c r="AV1037" i="26"/>
  <c r="AJ1037" i="26"/>
  <c r="BN1037" i="26"/>
  <c r="B1037" i="26"/>
  <c r="AS1037" i="26"/>
  <c r="AR1037" i="26"/>
  <c r="P1037" i="26"/>
  <c r="H1037" i="26"/>
  <c r="I1037" i="26"/>
  <c r="AM1037" i="26"/>
  <c r="U1037" i="26"/>
  <c r="BE1037" i="26"/>
  <c r="AW1037" i="26"/>
  <c r="W1037" i="26"/>
  <c r="R1037" i="26"/>
  <c r="BM1037" i="26"/>
  <c r="BI1037" i="26"/>
  <c r="L1037" i="26"/>
  <c r="BX1037" i="26"/>
  <c r="AT1037" i="26"/>
  <c r="BG1037" i="26"/>
  <c r="O1037" i="26"/>
  <c r="X1037" i="26"/>
  <c r="AX1037" i="26"/>
  <c r="T1037" i="26"/>
  <c r="AU1037" i="26"/>
  <c r="S1037" i="26"/>
  <c r="BW1037" i="26"/>
  <c r="F1037" i="26"/>
  <c r="K1037" i="26"/>
  <c r="M1037" i="26" s="1"/>
  <c r="N1037" i="26" s="1"/>
  <c r="C1037" i="26"/>
  <c r="G1037" i="26"/>
  <c r="D1037" i="26"/>
  <c r="AY1037" i="26"/>
  <c r="BL1037" i="26"/>
  <c r="AP1037" i="26"/>
  <c r="BO1037" i="26"/>
  <c r="BK1037" i="26"/>
  <c r="BR1037" i="26"/>
  <c r="BJ1037" i="26"/>
  <c r="AF1037" i="26"/>
  <c r="BV1037" i="26"/>
  <c r="BT1037" i="26"/>
  <c r="A1037" i="26"/>
  <c r="Q1037" i="26"/>
  <c r="E1322" i="55"/>
  <c r="BE855" i="26" l="1"/>
  <c r="BV858" i="26"/>
  <c r="AK1322" i="55"/>
  <c r="E1038" i="26"/>
  <c r="Z1322" i="55"/>
  <c r="O1322" i="55"/>
  <c r="AI1322" i="55"/>
  <c r="P1322" i="55"/>
  <c r="Q1322" i="55"/>
  <c r="K1322" i="55"/>
  <c r="AO1322" i="55"/>
  <c r="AL1322" i="55"/>
  <c r="AG1322" i="55"/>
  <c r="AF1322" i="55"/>
  <c r="AD1322" i="55"/>
  <c r="AQ1322" i="55"/>
  <c r="AM1322" i="55"/>
  <c r="U1322" i="55"/>
  <c r="AH1322" i="55"/>
  <c r="X1322" i="55"/>
  <c r="D1322" i="55"/>
  <c r="N1322" i="55"/>
  <c r="A1322" i="55"/>
  <c r="G1322" i="55"/>
  <c r="AN1322" i="55"/>
  <c r="M1322" i="55"/>
  <c r="I1322" i="55"/>
  <c r="V1322" i="55"/>
  <c r="L1322" i="55"/>
  <c r="B1322" i="55"/>
  <c r="W1322" i="55"/>
  <c r="AC1322" i="55"/>
  <c r="C1322" i="55"/>
  <c r="AT1322" i="55"/>
  <c r="S1322" i="55"/>
  <c r="H1322" i="55"/>
  <c r="AB1322" i="55"/>
  <c r="BF1038" i="26" l="1"/>
  <c r="BC1038" i="26"/>
  <c r="BD1038" i="26"/>
  <c r="BU1038" i="26"/>
  <c r="V1038" i="26"/>
  <c r="BV857" i="26"/>
  <c r="BE854" i="26"/>
  <c r="D1038" i="26"/>
  <c r="AP1038" i="26"/>
  <c r="BJ1038" i="26"/>
  <c r="AU1038" i="26"/>
  <c r="BT1038" i="26"/>
  <c r="BG1038" i="26"/>
  <c r="AV1038" i="55"/>
  <c r="K1038" i="26"/>
  <c r="M1038" i="26" s="1"/>
  <c r="N1038" i="26" s="1"/>
  <c r="AT1038" i="26"/>
  <c r="I1038" i="26"/>
  <c r="AM1038" i="26"/>
  <c r="AS1038" i="26"/>
  <c r="S1038" i="26"/>
  <c r="BW1038" i="26"/>
  <c r="AY1038" i="26"/>
  <c r="P1038" i="26"/>
  <c r="BL1038" i="26"/>
  <c r="AO1038" i="26"/>
  <c r="O1038" i="26"/>
  <c r="BA1038" i="26"/>
  <c r="C1038" i="26"/>
  <c r="BO1038" i="26"/>
  <c r="AX1038" i="26"/>
  <c r="BP1038" i="26"/>
  <c r="B1038" i="26"/>
  <c r="AK1038" i="26"/>
  <c r="AW1038" i="26"/>
  <c r="AV1038" i="26"/>
  <c r="T1038" i="26"/>
  <c r="Q1038" i="26"/>
  <c r="X1038" i="26"/>
  <c r="BM1038" i="26"/>
  <c r="BV1038" i="26"/>
  <c r="L1038" i="26"/>
  <c r="A1038" i="26"/>
  <c r="BQ1038" i="26"/>
  <c r="F1038" i="26"/>
  <c r="AR1038" i="26"/>
  <c r="W1038" i="26"/>
  <c r="H1038" i="26"/>
  <c r="BE1038" i="26"/>
  <c r="G1038" i="26"/>
  <c r="BR1038" i="26"/>
  <c r="BI1038" i="26"/>
  <c r="AF1038" i="26"/>
  <c r="BX1038" i="26"/>
  <c r="U1038" i="26"/>
  <c r="BK1038" i="26"/>
  <c r="BN1038" i="26"/>
  <c r="R1038" i="26"/>
  <c r="AJ1038" i="26"/>
  <c r="E1323" i="55"/>
  <c r="BE853" i="26" l="1"/>
  <c r="BV856" i="26"/>
  <c r="E1039" i="26"/>
  <c r="BD1039" i="26" s="1"/>
  <c r="AF1323" i="55"/>
  <c r="O1323" i="55"/>
  <c r="AD1323" i="55"/>
  <c r="Q1323" i="55"/>
  <c r="AI1323" i="55"/>
  <c r="K1323" i="55"/>
  <c r="P1323" i="55"/>
  <c r="AK1323" i="55"/>
  <c r="AO1323" i="55"/>
  <c r="Z1323" i="55"/>
  <c r="AL1323" i="55"/>
  <c r="AG1323" i="55"/>
  <c r="AQ1323" i="55"/>
  <c r="L1323" i="55"/>
  <c r="H1323" i="55"/>
  <c r="U1323" i="55"/>
  <c r="I1323" i="55"/>
  <c r="X1323" i="55"/>
  <c r="G1323" i="55"/>
  <c r="AH1323" i="55"/>
  <c r="S1323" i="55"/>
  <c r="M1323" i="55"/>
  <c r="N1323" i="55"/>
  <c r="V1323" i="55"/>
  <c r="AN1323" i="55"/>
  <c r="W1323" i="55"/>
  <c r="A1323" i="55"/>
  <c r="B1323" i="55"/>
  <c r="D1323" i="55"/>
  <c r="C1323" i="55"/>
  <c r="AB1323" i="55"/>
  <c r="AC1323" i="55"/>
  <c r="AT1323" i="55"/>
  <c r="AM1323" i="55"/>
  <c r="V1039" i="26" l="1"/>
  <c r="BF1039" i="26"/>
  <c r="BC1039" i="26"/>
  <c r="AV1039" i="55" s="1"/>
  <c r="BU1039" i="26"/>
  <c r="BV855" i="26"/>
  <c r="BE852" i="26"/>
  <c r="BJ1039" i="26"/>
  <c r="B1039" i="26"/>
  <c r="BE1039" i="26"/>
  <c r="AK1039" i="26"/>
  <c r="AW1039" i="26"/>
  <c r="Q1039" i="26"/>
  <c r="U1039" i="26"/>
  <c r="BW1039" i="26"/>
  <c r="AT1039" i="26"/>
  <c r="AR1039" i="26"/>
  <c r="D1039" i="26"/>
  <c r="AJ1039" i="26"/>
  <c r="BT1039" i="26"/>
  <c r="AX1039" i="26"/>
  <c r="K1039" i="26"/>
  <c r="M1039" i="26" s="1"/>
  <c r="N1039" i="26" s="1"/>
  <c r="W1039" i="26"/>
  <c r="G1039" i="26"/>
  <c r="AM1039" i="26"/>
  <c r="BK1039" i="26"/>
  <c r="BM1039" i="26"/>
  <c r="AY1039" i="26"/>
  <c r="X1039" i="26"/>
  <c r="I1039" i="26"/>
  <c r="F1039" i="26"/>
  <c r="BL1039" i="26"/>
  <c r="L1039" i="26"/>
  <c r="AS1039" i="26"/>
  <c r="BP1039" i="26"/>
  <c r="BR1039" i="26"/>
  <c r="BV1039" i="26"/>
  <c r="BI1039" i="26"/>
  <c r="AV1039" i="26"/>
  <c r="BQ1039" i="26"/>
  <c r="BN1039" i="26"/>
  <c r="S1039" i="26"/>
  <c r="O1039" i="26"/>
  <c r="BG1039" i="26"/>
  <c r="BO1039" i="26"/>
  <c r="H1039" i="26"/>
  <c r="AO1039" i="26"/>
  <c r="T1039" i="26"/>
  <c r="C1039" i="26"/>
  <c r="BX1039" i="26"/>
  <c r="AU1039" i="26"/>
  <c r="AP1039" i="26"/>
  <c r="P1039" i="26"/>
  <c r="AF1039" i="26"/>
  <c r="BA1039" i="26"/>
  <c r="R1039" i="26"/>
  <c r="A1039" i="26"/>
  <c r="E1324" i="55"/>
  <c r="BE851" i="26" l="1"/>
  <c r="BV854" i="26"/>
  <c r="AG1324" i="55"/>
  <c r="E1040" i="26"/>
  <c r="Z1324" i="55"/>
  <c r="AK1324" i="55"/>
  <c r="O1324" i="55"/>
  <c r="AI1324" i="55"/>
  <c r="Q1324" i="55"/>
  <c r="P1324" i="55"/>
  <c r="K1324" i="55"/>
  <c r="AD1324" i="55"/>
  <c r="AL1324" i="55"/>
  <c r="AO1324" i="55"/>
  <c r="AF1324" i="55"/>
  <c r="I1324" i="55"/>
  <c r="AQ1324" i="55"/>
  <c r="H1324" i="55"/>
  <c r="A1324" i="55"/>
  <c r="AM1324" i="55"/>
  <c r="G1324" i="55"/>
  <c r="W1324" i="55"/>
  <c r="C1324" i="55"/>
  <c r="B1324" i="55"/>
  <c r="X1324" i="55"/>
  <c r="AC1324" i="55"/>
  <c r="N1324" i="55"/>
  <c r="M1324" i="55"/>
  <c r="AT1324" i="55"/>
  <c r="S1324" i="55"/>
  <c r="D1324" i="55"/>
  <c r="V1324" i="55"/>
  <c r="AB1324" i="55"/>
  <c r="U1324" i="55"/>
  <c r="AH1324" i="55"/>
  <c r="L1324" i="55"/>
  <c r="AN1324" i="55"/>
  <c r="BF1040" i="26" l="1"/>
  <c r="BC1040" i="26"/>
  <c r="AV1040" i="55" s="1"/>
  <c r="BD1040" i="26"/>
  <c r="BU1040" i="26"/>
  <c r="V1040" i="26"/>
  <c r="BV853" i="26"/>
  <c r="BE850" i="26"/>
  <c r="AV1040" i="26"/>
  <c r="BQ1040" i="26"/>
  <c r="T1040" i="26"/>
  <c r="BX1040" i="26"/>
  <c r="F1040" i="26"/>
  <c r="AM1040" i="26"/>
  <c r="Q1040" i="26"/>
  <c r="AU1040" i="26"/>
  <c r="BO1040" i="26"/>
  <c r="P1040" i="26"/>
  <c r="BP1040" i="26"/>
  <c r="S1040" i="26"/>
  <c r="BM1040" i="26"/>
  <c r="D1040" i="26"/>
  <c r="R1040" i="26"/>
  <c r="BW1040" i="26"/>
  <c r="BA1040" i="26"/>
  <c r="BR1040" i="26"/>
  <c r="W1040" i="26"/>
  <c r="A1040" i="26"/>
  <c r="BI1040" i="26"/>
  <c r="BN1040" i="26"/>
  <c r="AF1040" i="26"/>
  <c r="BL1040" i="26"/>
  <c r="BE1040" i="26"/>
  <c r="X1040" i="26"/>
  <c r="BG1040" i="26"/>
  <c r="AJ1040" i="26"/>
  <c r="AY1040" i="26"/>
  <c r="U1040" i="26"/>
  <c r="AX1040" i="26"/>
  <c r="BV1040" i="26"/>
  <c r="BJ1040" i="26"/>
  <c r="B1040" i="26"/>
  <c r="BT1040" i="26"/>
  <c r="K1040" i="26"/>
  <c r="M1040" i="26" s="1"/>
  <c r="N1040" i="26" s="1"/>
  <c r="H1040" i="26"/>
  <c r="O1040" i="26"/>
  <c r="BK1040" i="26"/>
  <c r="I1040" i="26"/>
  <c r="AO1040" i="26"/>
  <c r="G1040" i="26"/>
  <c r="L1040" i="26"/>
  <c r="AW1040" i="26"/>
  <c r="AS1040" i="26"/>
  <c r="AK1040" i="26"/>
  <c r="AP1040" i="26"/>
  <c r="C1040" i="26"/>
  <c r="AT1040" i="26"/>
  <c r="AR1040" i="26"/>
  <c r="E1325" i="55"/>
  <c r="BE849" i="26" l="1"/>
  <c r="BV852" i="26"/>
  <c r="O1325" i="55"/>
  <c r="E1041" i="26"/>
  <c r="AO1325" i="55"/>
  <c r="AI1325" i="55"/>
  <c r="Q1325" i="55"/>
  <c r="P1325" i="55"/>
  <c r="K1325" i="55"/>
  <c r="AK1325" i="55"/>
  <c r="AD1325" i="55"/>
  <c r="Z1325" i="55"/>
  <c r="AG1325" i="55"/>
  <c r="AF1325" i="55"/>
  <c r="AL1325" i="55"/>
  <c r="M1325" i="55"/>
  <c r="A1325" i="55"/>
  <c r="V1325" i="55"/>
  <c r="AN1325" i="55"/>
  <c r="AM1325" i="55"/>
  <c r="D1325" i="55"/>
  <c r="C1325" i="55"/>
  <c r="I1325" i="55"/>
  <c r="AB1325" i="55"/>
  <c r="L1325" i="55"/>
  <c r="W1325" i="55"/>
  <c r="G1325" i="55"/>
  <c r="S1325" i="55"/>
  <c r="AH1325" i="55"/>
  <c r="AQ1325" i="55"/>
  <c r="U1325" i="55"/>
  <c r="X1325" i="55"/>
  <c r="AT1325" i="55"/>
  <c r="H1325" i="55"/>
  <c r="AC1325" i="55"/>
  <c r="N1325" i="55"/>
  <c r="B1325" i="55"/>
  <c r="BF1041" i="26" l="1"/>
  <c r="BC1041" i="26"/>
  <c r="BD1041" i="26"/>
  <c r="BU1041" i="26"/>
  <c r="V1041" i="26"/>
  <c r="BV851" i="26"/>
  <c r="BE848" i="26"/>
  <c r="AV1041" i="26"/>
  <c r="P1041" i="26"/>
  <c r="S1041" i="26"/>
  <c r="BA1041" i="26"/>
  <c r="BW1041" i="26"/>
  <c r="K1041" i="26"/>
  <c r="M1041" i="26" s="1"/>
  <c r="N1041" i="26" s="1"/>
  <c r="C1041" i="26"/>
  <c r="T1041" i="26"/>
  <c r="AP1041" i="26"/>
  <c r="BP1041" i="26"/>
  <c r="AJ1041" i="26"/>
  <c r="W1041" i="26"/>
  <c r="BK1041" i="26"/>
  <c r="H1041" i="26"/>
  <c r="AS1041" i="26"/>
  <c r="BJ1041" i="26"/>
  <c r="U1041" i="26"/>
  <c r="BE1041" i="26"/>
  <c r="AX1041" i="26"/>
  <c r="AM1041" i="26"/>
  <c r="R1041" i="26"/>
  <c r="AV1041" i="55"/>
  <c r="BM1041" i="26"/>
  <c r="BG1041" i="26"/>
  <c r="Q1041" i="26"/>
  <c r="AW1041" i="26"/>
  <c r="AF1041" i="26"/>
  <c r="A1041" i="26"/>
  <c r="AO1041" i="26"/>
  <c r="X1041" i="26"/>
  <c r="AR1041" i="26"/>
  <c r="BX1041" i="26"/>
  <c r="BR1041" i="26"/>
  <c r="AY1041" i="26"/>
  <c r="BT1041" i="26"/>
  <c r="BN1041" i="26"/>
  <c r="B1041" i="26"/>
  <c r="BV1041" i="26"/>
  <c r="O1041" i="26"/>
  <c r="BQ1041" i="26"/>
  <c r="D1041" i="26"/>
  <c r="L1041" i="26"/>
  <c r="AU1041" i="26"/>
  <c r="AT1041" i="26"/>
  <c r="F1041" i="26"/>
  <c r="AK1041" i="26"/>
  <c r="BL1041" i="26"/>
  <c r="BO1041" i="26"/>
  <c r="BI1041" i="26"/>
  <c r="I1041" i="26"/>
  <c r="G1041" i="26"/>
  <c r="E1326" i="55"/>
  <c r="BE847" i="26" l="1"/>
  <c r="BV850" i="26"/>
  <c r="O1326" i="55"/>
  <c r="E1042" i="26"/>
  <c r="AD1326" i="55"/>
  <c r="AO1326" i="55"/>
  <c r="Z1326" i="55"/>
  <c r="AI1326" i="55"/>
  <c r="P1326" i="55"/>
  <c r="Q1326" i="55"/>
  <c r="K1326" i="55"/>
  <c r="AK1326" i="55"/>
  <c r="AL1326" i="55"/>
  <c r="AG1326" i="55"/>
  <c r="AF1326" i="55"/>
  <c r="H1326" i="55"/>
  <c r="AB1326" i="55"/>
  <c r="D1326" i="55"/>
  <c r="C1326" i="55"/>
  <c r="AH1326" i="55"/>
  <c r="L1326" i="55"/>
  <c r="S1326" i="55"/>
  <c r="X1326" i="55"/>
  <c r="AN1326" i="55"/>
  <c r="G1326" i="55"/>
  <c r="AM1326" i="55"/>
  <c r="AT1326" i="55"/>
  <c r="AQ1326" i="55"/>
  <c r="AC1326" i="55"/>
  <c r="M1326" i="55"/>
  <c r="U1326" i="55"/>
  <c r="B1326" i="55"/>
  <c r="N1326" i="55"/>
  <c r="V1326" i="55"/>
  <c r="I1326" i="55"/>
  <c r="A1326" i="55"/>
  <c r="W1326" i="55"/>
  <c r="BF1042" i="26" l="1"/>
  <c r="BC1042" i="26"/>
  <c r="BD1042" i="26"/>
  <c r="BU1042" i="26"/>
  <c r="V1042" i="26"/>
  <c r="BV849" i="26"/>
  <c r="BE846" i="26"/>
  <c r="BX1042" i="26"/>
  <c r="BL1042" i="26"/>
  <c r="R1042" i="26"/>
  <c r="BQ1042" i="26"/>
  <c r="AT1042" i="26"/>
  <c r="AM1042" i="26"/>
  <c r="T1042" i="26"/>
  <c r="AU1042" i="26"/>
  <c r="BP1042" i="26"/>
  <c r="BE1042" i="26"/>
  <c r="AV1042" i="26"/>
  <c r="BJ1042" i="26"/>
  <c r="AW1042" i="26"/>
  <c r="W1042" i="26"/>
  <c r="BN1042" i="26"/>
  <c r="D1042" i="26"/>
  <c r="BW1042" i="26"/>
  <c r="AS1042" i="26"/>
  <c r="BK1042" i="26"/>
  <c r="AJ1042" i="26"/>
  <c r="O1042" i="26"/>
  <c r="G1042" i="26"/>
  <c r="AP1042" i="26"/>
  <c r="BI1042" i="26"/>
  <c r="F1042" i="26"/>
  <c r="A1042" i="26"/>
  <c r="P1042" i="26"/>
  <c r="AO1042" i="26"/>
  <c r="I1042" i="26"/>
  <c r="BT1042" i="26"/>
  <c r="C1042" i="26"/>
  <c r="BR1042" i="26"/>
  <c r="AX1042" i="26"/>
  <c r="U1042" i="26"/>
  <c r="Q1042" i="26"/>
  <c r="BM1042" i="26"/>
  <c r="AR1042" i="26"/>
  <c r="H1042" i="26"/>
  <c r="BV1042" i="26"/>
  <c r="AF1042" i="26"/>
  <c r="L1042" i="26"/>
  <c r="AY1042" i="26"/>
  <c r="BO1042" i="26"/>
  <c r="B1042" i="26"/>
  <c r="S1042" i="26"/>
  <c r="AK1042" i="26"/>
  <c r="K1042" i="26"/>
  <c r="M1042" i="26" s="1"/>
  <c r="N1042" i="26" s="1"/>
  <c r="AV1042" i="55"/>
  <c r="BA1042" i="26"/>
  <c r="BG1042" i="26"/>
  <c r="X1042" i="26"/>
  <c r="E1327" i="55"/>
  <c r="BE845" i="26" l="1"/>
  <c r="BV848" i="26"/>
  <c r="O1327" i="55"/>
  <c r="E1043" i="26"/>
  <c r="AG1327" i="55"/>
  <c r="AI1327" i="55"/>
  <c r="Q1327" i="55"/>
  <c r="P1327" i="55"/>
  <c r="K1327" i="55"/>
  <c r="AF1327" i="55"/>
  <c r="Z1327" i="55"/>
  <c r="AO1327" i="55"/>
  <c r="AL1327" i="55"/>
  <c r="AD1327" i="55"/>
  <c r="AK1327" i="55"/>
  <c r="AT1327" i="55"/>
  <c r="AH1327" i="55"/>
  <c r="X1327" i="55"/>
  <c r="AQ1327" i="55"/>
  <c r="C1327" i="55"/>
  <c r="H1327" i="55"/>
  <c r="S1327" i="55"/>
  <c r="AM1327" i="55"/>
  <c r="I1327" i="55"/>
  <c r="D1327" i="55"/>
  <c r="AB1327" i="55"/>
  <c r="A1327" i="55"/>
  <c r="G1327" i="55"/>
  <c r="W1327" i="55"/>
  <c r="V1327" i="55"/>
  <c r="N1327" i="55"/>
  <c r="AN1327" i="55"/>
  <c r="U1327" i="55"/>
  <c r="B1327" i="55"/>
  <c r="L1327" i="55"/>
  <c r="M1327" i="55"/>
  <c r="AC1327" i="55"/>
  <c r="BF1043" i="26" l="1"/>
  <c r="BC1043" i="26"/>
  <c r="AV1043" i="55" s="1"/>
  <c r="BD1043" i="26"/>
  <c r="BU1043" i="26"/>
  <c r="V1043" i="26"/>
  <c r="BV847" i="26"/>
  <c r="BE844" i="26"/>
  <c r="X1043" i="26"/>
  <c r="BA1043" i="26"/>
  <c r="BV1043" i="26"/>
  <c r="AW1043" i="26"/>
  <c r="AU1043" i="26"/>
  <c r="P1043" i="26"/>
  <c r="BX1043" i="26"/>
  <c r="BG1043" i="26"/>
  <c r="BI1043" i="26"/>
  <c r="AK1043" i="26"/>
  <c r="AS1043" i="26"/>
  <c r="H1043" i="26"/>
  <c r="BJ1043" i="26"/>
  <c r="AR1043" i="26"/>
  <c r="F1043" i="26"/>
  <c r="AO1043" i="26"/>
  <c r="W1043" i="26"/>
  <c r="BT1043" i="26"/>
  <c r="AP1043" i="26"/>
  <c r="L1043" i="26"/>
  <c r="BW1043" i="26"/>
  <c r="AJ1043" i="26"/>
  <c r="C1043" i="26"/>
  <c r="AM1043" i="26"/>
  <c r="I1043" i="26"/>
  <c r="Q1043" i="26"/>
  <c r="AF1043" i="26"/>
  <c r="AY1043" i="26"/>
  <c r="U1043" i="26"/>
  <c r="D1043" i="26"/>
  <c r="BL1043" i="26"/>
  <c r="O1043" i="26"/>
  <c r="B1043" i="26"/>
  <c r="BR1043" i="26"/>
  <c r="T1043" i="26"/>
  <c r="BO1043" i="26"/>
  <c r="S1043" i="26"/>
  <c r="R1043" i="26"/>
  <c r="A1043" i="26"/>
  <c r="BM1043" i="26"/>
  <c r="BN1043" i="26"/>
  <c r="AT1043" i="26"/>
  <c r="G1043" i="26"/>
  <c r="BQ1043" i="26"/>
  <c r="BE1043" i="26"/>
  <c r="BP1043" i="26"/>
  <c r="AX1043" i="26"/>
  <c r="AV1043" i="26"/>
  <c r="K1043" i="26"/>
  <c r="M1043" i="26" s="1"/>
  <c r="N1043" i="26" s="1"/>
  <c r="BK1043" i="26"/>
  <c r="E1328" i="55"/>
  <c r="BE843" i="26" l="1"/>
  <c r="BV846" i="26"/>
  <c r="AD1328" i="55"/>
  <c r="AK1328" i="55"/>
  <c r="E1044" i="26"/>
  <c r="Z1328" i="55"/>
  <c r="AG1328" i="55"/>
  <c r="AF1328" i="55"/>
  <c r="O1328" i="55"/>
  <c r="AL1328" i="55"/>
  <c r="Q1328" i="55"/>
  <c r="AI1328" i="55"/>
  <c r="P1328" i="55"/>
  <c r="K1328" i="55"/>
  <c r="AO1328" i="55"/>
  <c r="V1328" i="55"/>
  <c r="G1328" i="55"/>
  <c r="C1328" i="55"/>
  <c r="N1328" i="55"/>
  <c r="W1328" i="55"/>
  <c r="U1328" i="55"/>
  <c r="AN1328" i="55"/>
  <c r="AB1328" i="55"/>
  <c r="I1328" i="55"/>
  <c r="AH1328" i="55"/>
  <c r="D1328" i="55"/>
  <c r="M1328" i="55"/>
  <c r="AM1328" i="55"/>
  <c r="AC1328" i="55"/>
  <c r="L1328" i="55"/>
  <c r="A1328" i="55"/>
  <c r="H1328" i="55"/>
  <c r="S1328" i="55"/>
  <c r="X1328" i="55"/>
  <c r="AT1328" i="55"/>
  <c r="AQ1328" i="55"/>
  <c r="B1328" i="55"/>
  <c r="BF1044" i="26" l="1"/>
  <c r="BC1044" i="26"/>
  <c r="AV1044" i="55" s="1"/>
  <c r="BU1044" i="26"/>
  <c r="BD1044" i="26"/>
  <c r="V1044" i="26"/>
  <c r="BE842" i="26"/>
  <c r="BV845" i="26"/>
  <c r="AT1044" i="26"/>
  <c r="AR1044" i="26"/>
  <c r="BO1044" i="26"/>
  <c r="BA1044" i="26"/>
  <c r="AJ1044" i="26"/>
  <c r="A1044" i="26"/>
  <c r="BR1044" i="26"/>
  <c r="O1044" i="26"/>
  <c r="S1044" i="26"/>
  <c r="AS1044" i="26"/>
  <c r="BI1044" i="26"/>
  <c r="AO1044" i="26"/>
  <c r="BM1044" i="26"/>
  <c r="G1044" i="26"/>
  <c r="AF1044" i="26"/>
  <c r="AP1044" i="26"/>
  <c r="B1044" i="26"/>
  <c r="P1044" i="26"/>
  <c r="AK1044" i="26"/>
  <c r="C1044" i="26"/>
  <c r="BP1044" i="26"/>
  <c r="AV1044" i="26"/>
  <c r="BK1044" i="26"/>
  <c r="BN1044" i="26"/>
  <c r="T1044" i="26"/>
  <c r="L1044" i="26"/>
  <c r="K1044" i="26"/>
  <c r="M1044" i="26" s="1"/>
  <c r="N1044" i="26" s="1"/>
  <c r="W1044" i="26"/>
  <c r="X1044" i="26"/>
  <c r="I1044" i="26"/>
  <c r="BG1044" i="26"/>
  <c r="BJ1044" i="26"/>
  <c r="AM1044" i="26"/>
  <c r="BT1044" i="26"/>
  <c r="BL1044" i="26"/>
  <c r="BV1044" i="26"/>
  <c r="R1044" i="26"/>
  <c r="F1044" i="26"/>
  <c r="BW1044" i="26"/>
  <c r="AU1044" i="26"/>
  <c r="H1044" i="26"/>
  <c r="AW1044" i="26"/>
  <c r="BE1044" i="26"/>
  <c r="D1044" i="26"/>
  <c r="AY1044" i="26"/>
  <c r="Q1044" i="26"/>
  <c r="BX1044" i="26"/>
  <c r="AX1044" i="26"/>
  <c r="BQ1044" i="26"/>
  <c r="U1044" i="26"/>
  <c r="E1329" i="55"/>
  <c r="BV844" i="26" l="1"/>
  <c r="BE841" i="26"/>
  <c r="O1329" i="55"/>
  <c r="E1045" i="26"/>
  <c r="AG1329" i="55"/>
  <c r="AI1329" i="55"/>
  <c r="Q1329" i="55"/>
  <c r="P1329" i="55"/>
  <c r="K1329" i="55"/>
  <c r="AK1329" i="55"/>
  <c r="AL1329" i="55"/>
  <c r="AD1329" i="55"/>
  <c r="AO1329" i="55"/>
  <c r="AF1329" i="55"/>
  <c r="Z1329" i="55"/>
  <c r="M1329" i="55"/>
  <c r="AN1329" i="55"/>
  <c r="D1329" i="55"/>
  <c r="A1329" i="55"/>
  <c r="L1329" i="55"/>
  <c r="B1329" i="55"/>
  <c r="AQ1329" i="55"/>
  <c r="AM1329" i="55"/>
  <c r="AC1329" i="55"/>
  <c r="AT1329" i="55"/>
  <c r="AH1329" i="55"/>
  <c r="C1329" i="55"/>
  <c r="S1329" i="55"/>
  <c r="U1329" i="55"/>
  <c r="G1329" i="55"/>
  <c r="I1329" i="55"/>
  <c r="X1329" i="55"/>
  <c r="H1329" i="55"/>
  <c r="AB1329" i="55"/>
  <c r="W1329" i="55"/>
  <c r="V1329" i="55"/>
  <c r="N1329" i="55"/>
  <c r="BF1045" i="26" l="1"/>
  <c r="BC1045" i="26"/>
  <c r="BU1045" i="26"/>
  <c r="BD1045" i="26"/>
  <c r="V1045" i="26"/>
  <c r="BV843" i="26"/>
  <c r="BE840" i="26"/>
  <c r="AX1045" i="26"/>
  <c r="BW1045" i="26"/>
  <c r="BL1045" i="26"/>
  <c r="AS1045" i="26"/>
  <c r="O1045" i="26"/>
  <c r="BT1045" i="26"/>
  <c r="BP1045" i="26"/>
  <c r="D1045" i="26"/>
  <c r="AM1045" i="26"/>
  <c r="AW1045" i="26"/>
  <c r="BN1045" i="26"/>
  <c r="B1045" i="26"/>
  <c r="AV1045" i="55"/>
  <c r="U1045" i="26"/>
  <c r="C1045" i="26"/>
  <c r="AU1045" i="26"/>
  <c r="BQ1045" i="26"/>
  <c r="G1045" i="26"/>
  <c r="K1045" i="26"/>
  <c r="M1045" i="26" s="1"/>
  <c r="N1045" i="26" s="1"/>
  <c r="BA1045" i="26"/>
  <c r="R1045" i="26"/>
  <c r="W1045" i="26"/>
  <c r="BE1045" i="26"/>
  <c r="BK1045" i="26"/>
  <c r="S1045" i="26"/>
  <c r="AV1045" i="26"/>
  <c r="BX1045" i="26"/>
  <c r="X1045" i="26"/>
  <c r="BO1045" i="26"/>
  <c r="AY1045" i="26"/>
  <c r="AR1045" i="26"/>
  <c r="BR1045" i="26"/>
  <c r="AK1045" i="26"/>
  <c r="T1045" i="26"/>
  <c r="AT1045" i="26"/>
  <c r="I1045" i="26"/>
  <c r="AF1045" i="26"/>
  <c r="AP1045" i="26"/>
  <c r="L1045" i="26"/>
  <c r="BI1045" i="26"/>
  <c r="BG1045" i="26"/>
  <c r="Q1045" i="26"/>
  <c r="BM1045" i="26"/>
  <c r="AO1045" i="26"/>
  <c r="BV1045" i="26"/>
  <c r="H1045" i="26"/>
  <c r="AJ1045" i="26"/>
  <c r="F1045" i="26"/>
  <c r="A1045" i="26"/>
  <c r="P1045" i="26"/>
  <c r="BJ1045" i="26"/>
  <c r="E1330" i="55"/>
  <c r="BE839" i="26" l="1"/>
  <c r="BV842" i="26"/>
  <c r="O1330" i="55"/>
  <c r="E1046" i="26"/>
  <c r="AF1330" i="55"/>
  <c r="AI1330" i="55"/>
  <c r="Q1330" i="55"/>
  <c r="P1330" i="55"/>
  <c r="K1330" i="55"/>
  <c r="AD1330" i="55"/>
  <c r="AK1330" i="55"/>
  <c r="Z1330" i="55"/>
  <c r="AG1330" i="55"/>
  <c r="AO1330" i="55"/>
  <c r="AL1330" i="55"/>
  <c r="M1330" i="55"/>
  <c r="X1330" i="55"/>
  <c r="S1330" i="55"/>
  <c r="AH1330" i="55"/>
  <c r="C1330" i="55"/>
  <c r="D1330" i="55"/>
  <c r="L1330" i="55"/>
  <c r="V1330" i="55"/>
  <c r="AC1330" i="55"/>
  <c r="W1330" i="55"/>
  <c r="AN1330" i="55"/>
  <c r="U1330" i="55"/>
  <c r="N1330" i="55"/>
  <c r="H1330" i="55"/>
  <c r="G1330" i="55"/>
  <c r="AM1330" i="55"/>
  <c r="AQ1330" i="55"/>
  <c r="B1330" i="55"/>
  <c r="I1330" i="55"/>
  <c r="AT1330" i="55"/>
  <c r="AB1330" i="55"/>
  <c r="A1330" i="55"/>
  <c r="V1046" i="26" l="1"/>
  <c r="BF1046" i="26"/>
  <c r="BC1046" i="26"/>
  <c r="AV1046" i="55" s="1"/>
  <c r="BD1046" i="26"/>
  <c r="BU1046" i="26"/>
  <c r="BV841" i="26"/>
  <c r="BE838" i="26"/>
  <c r="X1046" i="26"/>
  <c r="BK1046" i="26"/>
  <c r="A1046" i="26"/>
  <c r="BW1046" i="26"/>
  <c r="AP1046" i="26"/>
  <c r="Q1046" i="26"/>
  <c r="BX1046" i="26"/>
  <c r="T1046" i="26"/>
  <c r="AF1046" i="26"/>
  <c r="D1046" i="26"/>
  <c r="BJ1046" i="26"/>
  <c r="BV1046" i="26"/>
  <c r="AT1046" i="26"/>
  <c r="BM1046" i="26"/>
  <c r="BQ1046" i="26"/>
  <c r="AU1046" i="26"/>
  <c r="AM1046" i="26"/>
  <c r="BT1046" i="26"/>
  <c r="BP1046" i="26"/>
  <c r="AY1046" i="26"/>
  <c r="AW1046" i="26"/>
  <c r="C1046" i="26"/>
  <c r="AS1046" i="26"/>
  <c r="AK1046" i="26"/>
  <c r="U1046" i="26"/>
  <c r="BN1046" i="26"/>
  <c r="B1046" i="26"/>
  <c r="S1046" i="26"/>
  <c r="W1046" i="26"/>
  <c r="P1046" i="26"/>
  <c r="R1046" i="26"/>
  <c r="K1046" i="26"/>
  <c r="M1046" i="26" s="1"/>
  <c r="N1046" i="26" s="1"/>
  <c r="AV1046" i="26"/>
  <c r="BI1046" i="26"/>
  <c r="G1046" i="26"/>
  <c r="BA1046" i="26"/>
  <c r="L1046" i="26"/>
  <c r="O1046" i="26"/>
  <c r="AR1046" i="26"/>
  <c r="H1046" i="26"/>
  <c r="I1046" i="26"/>
  <c r="BO1046" i="26"/>
  <c r="AJ1046" i="26"/>
  <c r="BG1046" i="26"/>
  <c r="F1046" i="26"/>
  <c r="BL1046" i="26"/>
  <c r="BE1046" i="26"/>
  <c r="AO1046" i="26"/>
  <c r="AX1046" i="26"/>
  <c r="BR1046" i="26"/>
  <c r="E1331" i="55"/>
  <c r="BE837" i="26" l="1"/>
  <c r="BV840" i="26"/>
  <c r="O1331" i="55"/>
  <c r="E1047" i="26"/>
  <c r="AD1331" i="55"/>
  <c r="AG1331" i="55"/>
  <c r="AK1331" i="55"/>
  <c r="AL1331" i="55"/>
  <c r="Z1331" i="55"/>
  <c r="AO1331" i="55"/>
  <c r="AI1331" i="55"/>
  <c r="Q1331" i="55"/>
  <c r="P1331" i="55"/>
  <c r="K1331" i="55"/>
  <c r="AF1331" i="55"/>
  <c r="N1331" i="55"/>
  <c r="V1331" i="55"/>
  <c r="AT1331" i="55"/>
  <c r="C1331" i="55"/>
  <c r="L1331" i="55"/>
  <c r="A1331" i="55"/>
  <c r="AM1331" i="55"/>
  <c r="I1331" i="55"/>
  <c r="S1331" i="55"/>
  <c r="D1331" i="55"/>
  <c r="AC1331" i="55"/>
  <c r="U1331" i="55"/>
  <c r="AB1331" i="55"/>
  <c r="M1331" i="55"/>
  <c r="AN1331" i="55"/>
  <c r="H1331" i="55"/>
  <c r="AH1331" i="55"/>
  <c r="X1331" i="55"/>
  <c r="W1331" i="55"/>
  <c r="B1331" i="55"/>
  <c r="AQ1331" i="55"/>
  <c r="G1331" i="55"/>
  <c r="BF1047" i="26" l="1"/>
  <c r="BC1047" i="26"/>
  <c r="BD1047" i="26"/>
  <c r="BU1047" i="26"/>
  <c r="V1047" i="26"/>
  <c r="BV839" i="26"/>
  <c r="BE836" i="26"/>
  <c r="AT1047" i="26"/>
  <c r="AS1047" i="26"/>
  <c r="BL1047" i="26"/>
  <c r="AF1047" i="26"/>
  <c r="K1047" i="26"/>
  <c r="M1047" i="26" s="1"/>
  <c r="N1047" i="26" s="1"/>
  <c r="R1047" i="26"/>
  <c r="BR1047" i="26"/>
  <c r="AV1047" i="26"/>
  <c r="BN1047" i="26"/>
  <c r="BM1047" i="26"/>
  <c r="I1047" i="26"/>
  <c r="AY1047" i="26"/>
  <c r="BP1047" i="26"/>
  <c r="Q1047" i="26"/>
  <c r="F1047" i="26"/>
  <c r="AJ1047" i="26"/>
  <c r="BE1047" i="26"/>
  <c r="C1047" i="26"/>
  <c r="B1047" i="26"/>
  <c r="X1047" i="26"/>
  <c r="W1047" i="26"/>
  <c r="BX1047" i="26"/>
  <c r="AR1047" i="26"/>
  <c r="D1047" i="26"/>
  <c r="BO1047" i="26"/>
  <c r="O1047" i="26"/>
  <c r="AM1047" i="26"/>
  <c r="A1047" i="26"/>
  <c r="G1047" i="26"/>
  <c r="AO1047" i="26"/>
  <c r="BK1047" i="26"/>
  <c r="AX1047" i="26"/>
  <c r="BJ1047" i="26"/>
  <c r="S1047" i="26"/>
  <c r="BA1047" i="26"/>
  <c r="AU1047" i="26"/>
  <c r="BG1047" i="26"/>
  <c r="L1047" i="26"/>
  <c r="U1047" i="26"/>
  <c r="T1047" i="26"/>
  <c r="P1047" i="26"/>
  <c r="H1047" i="26"/>
  <c r="AK1047" i="26"/>
  <c r="AV1047" i="55"/>
  <c r="AW1047" i="26"/>
  <c r="BV1047" i="26"/>
  <c r="AP1047" i="26"/>
  <c r="BT1047" i="26"/>
  <c r="BQ1047" i="26"/>
  <c r="BW1047" i="26"/>
  <c r="BI1047" i="26"/>
  <c r="E1332" i="55"/>
  <c r="BE835" i="26" l="1"/>
  <c r="BV838" i="26"/>
  <c r="O1332" i="55"/>
  <c r="E1048" i="26"/>
  <c r="AD1332" i="55"/>
  <c r="Z1332" i="55"/>
  <c r="AI1332" i="55"/>
  <c r="Q1332" i="55"/>
  <c r="P1332" i="55"/>
  <c r="K1332" i="55"/>
  <c r="AL1332" i="55"/>
  <c r="AG1332" i="55"/>
  <c r="AO1332" i="55"/>
  <c r="AF1332" i="55"/>
  <c r="AK1332" i="55"/>
  <c r="A1332" i="55"/>
  <c r="B1332" i="55"/>
  <c r="W1332" i="55"/>
  <c r="S1332" i="55"/>
  <c r="C1332" i="55"/>
  <c r="AM1332" i="55"/>
  <c r="H1332" i="55"/>
  <c r="AB1332" i="55"/>
  <c r="U1332" i="55"/>
  <c r="I1332" i="55"/>
  <c r="N1332" i="55"/>
  <c r="D1332" i="55"/>
  <c r="L1332" i="55"/>
  <c r="V1332" i="55"/>
  <c r="AN1332" i="55"/>
  <c r="X1332" i="55"/>
  <c r="AT1332" i="55"/>
  <c r="M1332" i="55"/>
  <c r="G1332" i="55"/>
  <c r="AC1332" i="55"/>
  <c r="AQ1332" i="55"/>
  <c r="AH1332" i="55"/>
  <c r="BF1048" i="26" l="1"/>
  <c r="BC1048" i="26"/>
  <c r="BD1048" i="26"/>
  <c r="BU1048" i="26"/>
  <c r="V1048" i="26"/>
  <c r="BV837" i="26"/>
  <c r="BE834" i="26"/>
  <c r="AJ1048" i="26"/>
  <c r="W1048" i="26"/>
  <c r="C1048" i="26"/>
  <c r="BG1048" i="26"/>
  <c r="BX1048" i="26"/>
  <c r="S1048" i="26"/>
  <c r="A1048" i="26"/>
  <c r="BA1048" i="26"/>
  <c r="AT1048" i="26"/>
  <c r="AW1048" i="26"/>
  <c r="BQ1048" i="26"/>
  <c r="BL1048" i="26"/>
  <c r="O1048" i="26"/>
  <c r="AK1048" i="26"/>
  <c r="BM1048" i="26"/>
  <c r="L1048" i="26"/>
  <c r="AP1048" i="26"/>
  <c r="X1048" i="26"/>
  <c r="AY1048" i="26"/>
  <c r="BK1048" i="26"/>
  <c r="T1048" i="26"/>
  <c r="AS1048" i="26"/>
  <c r="BN1048" i="26"/>
  <c r="BW1048" i="26"/>
  <c r="K1048" i="26"/>
  <c r="M1048" i="26" s="1"/>
  <c r="N1048" i="26" s="1"/>
  <c r="BR1048" i="26"/>
  <c r="F1048" i="26"/>
  <c r="P1048" i="26"/>
  <c r="B1048" i="26"/>
  <c r="AF1048" i="26"/>
  <c r="BV1048" i="26"/>
  <c r="H1048" i="26"/>
  <c r="Q1048" i="26"/>
  <c r="BE1048" i="26"/>
  <c r="BT1048" i="26"/>
  <c r="AX1048" i="26"/>
  <c r="AR1048" i="26"/>
  <c r="AV1048" i="26"/>
  <c r="AM1048" i="26"/>
  <c r="I1048" i="26"/>
  <c r="BI1048" i="26"/>
  <c r="BJ1048" i="26"/>
  <c r="D1048" i="26"/>
  <c r="G1048" i="26"/>
  <c r="BP1048" i="26"/>
  <c r="AU1048" i="26"/>
  <c r="AO1048" i="26"/>
  <c r="U1048" i="26"/>
  <c r="BO1048" i="26"/>
  <c r="R1048" i="26"/>
  <c r="AV1048" i="55"/>
  <c r="E1333" i="55"/>
  <c r="BE833" i="26" l="1"/>
  <c r="BV836" i="26"/>
  <c r="O1333" i="55"/>
  <c r="E1049" i="26"/>
  <c r="AK1333" i="55"/>
  <c r="Q1333" i="55"/>
  <c r="AI1333" i="55"/>
  <c r="P1333" i="55"/>
  <c r="K1333" i="55"/>
  <c r="AF1333" i="55"/>
  <c r="AD1333" i="55"/>
  <c r="Z1333" i="55"/>
  <c r="AG1333" i="55"/>
  <c r="AL1333" i="55"/>
  <c r="AO1333" i="55"/>
  <c r="A1333" i="55"/>
  <c r="C1333" i="55"/>
  <c r="U1333" i="55"/>
  <c r="AT1333" i="55"/>
  <c r="AB1333" i="55"/>
  <c r="AC1333" i="55"/>
  <c r="D1333" i="55"/>
  <c r="AN1333" i="55"/>
  <c r="AH1333" i="55"/>
  <c r="M1333" i="55"/>
  <c r="I1333" i="55"/>
  <c r="L1333" i="55"/>
  <c r="AQ1333" i="55"/>
  <c r="N1333" i="55"/>
  <c r="AM1333" i="55"/>
  <c r="G1333" i="55"/>
  <c r="H1333" i="55"/>
  <c r="S1333" i="55"/>
  <c r="W1333" i="55"/>
  <c r="V1333" i="55"/>
  <c r="X1333" i="55"/>
  <c r="B1333" i="55"/>
  <c r="BF1049" i="26" l="1"/>
  <c r="BC1049" i="26"/>
  <c r="BD1049" i="26"/>
  <c r="BU1049" i="26"/>
  <c r="V1049" i="26"/>
  <c r="BV835" i="26"/>
  <c r="BE832" i="26"/>
  <c r="BN1049" i="26"/>
  <c r="BR1049" i="26"/>
  <c r="AW1049" i="26"/>
  <c r="BO1049" i="26"/>
  <c r="BX1049" i="26"/>
  <c r="AV1049" i="55"/>
  <c r="K1049" i="26"/>
  <c r="M1049" i="26" s="1"/>
  <c r="N1049" i="26" s="1"/>
  <c r="AO1049" i="26"/>
  <c r="AP1049" i="26"/>
  <c r="BE1049" i="26"/>
  <c r="H1049" i="26"/>
  <c r="BJ1049" i="26"/>
  <c r="BI1049" i="26"/>
  <c r="L1049" i="26"/>
  <c r="G1049" i="26"/>
  <c r="BL1049" i="26"/>
  <c r="AR1049" i="26"/>
  <c r="BP1049" i="26"/>
  <c r="AM1049" i="26"/>
  <c r="O1049" i="26"/>
  <c r="X1049" i="26"/>
  <c r="S1049" i="26"/>
  <c r="AX1049" i="26"/>
  <c r="C1049" i="26"/>
  <c r="AT1049" i="26"/>
  <c r="AJ1049" i="26"/>
  <c r="I1049" i="26"/>
  <c r="Q1049" i="26"/>
  <c r="B1049" i="26"/>
  <c r="AF1049" i="26"/>
  <c r="R1049" i="26"/>
  <c r="BA1049" i="26"/>
  <c r="W1049" i="26"/>
  <c r="U1049" i="26"/>
  <c r="BK1049" i="26"/>
  <c r="A1049" i="26"/>
  <c r="BV1049" i="26"/>
  <c r="AU1049" i="26"/>
  <c r="F1049" i="26"/>
  <c r="BM1049" i="26"/>
  <c r="D1049" i="26"/>
  <c r="AV1049" i="26"/>
  <c r="T1049" i="26"/>
  <c r="BW1049" i="26"/>
  <c r="AS1049" i="26"/>
  <c r="BQ1049" i="26"/>
  <c r="BT1049" i="26"/>
  <c r="AK1049" i="26"/>
  <c r="AY1049" i="26"/>
  <c r="BG1049" i="26"/>
  <c r="P1049" i="26"/>
  <c r="E1334" i="55"/>
  <c r="BE831" i="26" l="1"/>
  <c r="BV834" i="26"/>
  <c r="O1334" i="55"/>
  <c r="E1050" i="26"/>
  <c r="Z1334" i="55"/>
  <c r="AI1334" i="55"/>
  <c r="P1334" i="55"/>
  <c r="Q1334" i="55"/>
  <c r="K1334" i="55"/>
  <c r="AO1334" i="55"/>
  <c r="AL1334" i="55"/>
  <c r="AK1334" i="55"/>
  <c r="AF1334" i="55"/>
  <c r="AD1334" i="55"/>
  <c r="AG1334" i="55"/>
  <c r="L1334" i="55"/>
  <c r="A1334" i="55"/>
  <c r="AM1334" i="55"/>
  <c r="S1334" i="55"/>
  <c r="C1334" i="55"/>
  <c r="X1334" i="55"/>
  <c r="AC1334" i="55"/>
  <c r="H1334" i="55"/>
  <c r="AH1334" i="55"/>
  <c r="M1334" i="55"/>
  <c r="N1334" i="55"/>
  <c r="AT1334" i="55"/>
  <c r="W1334" i="55"/>
  <c r="G1334" i="55"/>
  <c r="I1334" i="55"/>
  <c r="B1334" i="55"/>
  <c r="V1334" i="55"/>
  <c r="AQ1334" i="55"/>
  <c r="AB1334" i="55"/>
  <c r="AN1334" i="55"/>
  <c r="D1334" i="55"/>
  <c r="U1334" i="55"/>
  <c r="BF1050" i="26" l="1"/>
  <c r="BC1050" i="26"/>
  <c r="BD1050" i="26"/>
  <c r="BU1050" i="26"/>
  <c r="V1050" i="26"/>
  <c r="BV833" i="26"/>
  <c r="BE830" i="26"/>
  <c r="AX1050" i="26"/>
  <c r="AJ1050" i="26"/>
  <c r="G1050" i="26"/>
  <c r="AS1050" i="26"/>
  <c r="AF1050" i="26"/>
  <c r="AK1050" i="26"/>
  <c r="BX1050" i="26"/>
  <c r="L1050" i="26"/>
  <c r="K1050" i="26"/>
  <c r="M1050" i="26" s="1"/>
  <c r="N1050" i="26" s="1"/>
  <c r="H1050" i="26"/>
  <c r="AW1050" i="26"/>
  <c r="D1050" i="26"/>
  <c r="P1050" i="26"/>
  <c r="BR1050" i="26"/>
  <c r="AV1050" i="55"/>
  <c r="AV1050" i="26"/>
  <c r="BW1050" i="26"/>
  <c r="BK1050" i="26"/>
  <c r="BO1050" i="26"/>
  <c r="S1050" i="26"/>
  <c r="T1050" i="26"/>
  <c r="AT1050" i="26"/>
  <c r="W1050" i="26"/>
  <c r="AR1050" i="26"/>
  <c r="BG1050" i="26"/>
  <c r="BA1050" i="26"/>
  <c r="BV1050" i="26"/>
  <c r="BI1050" i="26"/>
  <c r="BT1050" i="26"/>
  <c r="I1050" i="26"/>
  <c r="A1050" i="26"/>
  <c r="U1050" i="26"/>
  <c r="BP1050" i="26"/>
  <c r="C1050" i="26"/>
  <c r="O1050" i="26"/>
  <c r="R1050" i="26"/>
  <c r="AU1050" i="26"/>
  <c r="AO1050" i="26"/>
  <c r="F1050" i="26"/>
  <c r="BM1050" i="26"/>
  <c r="BJ1050" i="26"/>
  <c r="X1050" i="26"/>
  <c r="AY1050" i="26"/>
  <c r="B1050" i="26"/>
  <c r="Q1050" i="26"/>
  <c r="BE1050" i="26"/>
  <c r="BN1050" i="26"/>
  <c r="BL1050" i="26"/>
  <c r="BQ1050" i="26"/>
  <c r="AM1050" i="26"/>
  <c r="AP1050" i="26"/>
  <c r="E1335" i="55"/>
  <c r="BD1051" i="26" l="1"/>
  <c r="BE829" i="26"/>
  <c r="BV832" i="26"/>
  <c r="E1051" i="26"/>
  <c r="AK1335" i="55"/>
  <c r="O1335" i="55"/>
  <c r="AO1335" i="55"/>
  <c r="AI1335" i="55"/>
  <c r="Q1335" i="55"/>
  <c r="P1335" i="55"/>
  <c r="K1335" i="55"/>
  <c r="AF1335" i="55"/>
  <c r="AL1335" i="55"/>
  <c r="Z1335" i="55"/>
  <c r="AD1335" i="55"/>
  <c r="AG1335" i="55"/>
  <c r="A1335" i="55"/>
  <c r="M1335" i="55"/>
  <c r="AN1335" i="55"/>
  <c r="B1335" i="55"/>
  <c r="AM1335" i="55"/>
  <c r="W1335" i="55"/>
  <c r="D1335" i="55"/>
  <c r="AH1335" i="55"/>
  <c r="I1335" i="55"/>
  <c r="C1335" i="55"/>
  <c r="AC1335" i="55"/>
  <c r="H1335" i="55"/>
  <c r="G1335" i="55"/>
  <c r="AT1335" i="55"/>
  <c r="U1335" i="55"/>
  <c r="X1335" i="55"/>
  <c r="N1335" i="55"/>
  <c r="AQ1335" i="55"/>
  <c r="L1335" i="55"/>
  <c r="AB1335" i="55"/>
  <c r="S1335" i="55"/>
  <c r="V1335" i="55"/>
  <c r="BF1051" i="26" l="1"/>
  <c r="BC1051" i="26"/>
  <c r="BU1051" i="26"/>
  <c r="V1051" i="26"/>
  <c r="BV831" i="26"/>
  <c r="BE828" i="26"/>
  <c r="AV1051" i="55"/>
  <c r="F1051" i="26"/>
  <c r="BV1051" i="26"/>
  <c r="BO1051" i="26"/>
  <c r="R1051" i="26"/>
  <c r="G1051" i="26"/>
  <c r="O1051" i="26"/>
  <c r="Q1051" i="26"/>
  <c r="AF1051" i="26"/>
  <c r="BE1051" i="26"/>
  <c r="S1051" i="26"/>
  <c r="AJ1051" i="26"/>
  <c r="A1051" i="26"/>
  <c r="BG1051" i="26"/>
  <c r="BJ1051" i="26"/>
  <c r="C1051" i="26"/>
  <c r="D1051" i="26"/>
  <c r="K1051" i="26"/>
  <c r="M1051" i="26" s="1"/>
  <c r="N1051" i="26" s="1"/>
  <c r="AT1051" i="26"/>
  <c r="AK1051" i="26"/>
  <c r="U1051" i="26"/>
  <c r="H1051" i="26"/>
  <c r="AR1051" i="26"/>
  <c r="X1051" i="26"/>
  <c r="AU1051" i="26"/>
  <c r="BT1051" i="26"/>
  <c r="L1051" i="26"/>
  <c r="W1051" i="26"/>
  <c r="BW1051" i="26"/>
  <c r="BM1051" i="26"/>
  <c r="AY1051" i="26"/>
  <c r="BQ1051" i="26"/>
  <c r="BL1051" i="26"/>
  <c r="P1051" i="26"/>
  <c r="AP1051" i="26"/>
  <c r="BX1051" i="26"/>
  <c r="AM1051" i="26"/>
  <c r="BR1051" i="26"/>
  <c r="AS1051" i="26"/>
  <c r="BK1051" i="26"/>
  <c r="AO1051" i="26"/>
  <c r="AV1051" i="26"/>
  <c r="B1051" i="26"/>
  <c r="BP1051" i="26"/>
  <c r="T1051" i="26"/>
  <c r="BA1051" i="26"/>
  <c r="AW1051" i="26"/>
  <c r="AX1051" i="26"/>
  <c r="BI1051" i="26"/>
  <c r="I1051" i="26"/>
  <c r="BN1051" i="26"/>
  <c r="E1336" i="55"/>
  <c r="BE827" i="26" l="1"/>
  <c r="BV830" i="26"/>
  <c r="AL1336" i="55"/>
  <c r="E1052" i="26"/>
  <c r="AD1336" i="55"/>
  <c r="O1336" i="55"/>
  <c r="AF1336" i="55"/>
  <c r="AI1336" i="55"/>
  <c r="Q1336" i="55"/>
  <c r="P1336" i="55"/>
  <c r="K1336" i="55"/>
  <c r="AK1336" i="55"/>
  <c r="Z1336" i="55"/>
  <c r="AG1336" i="55"/>
  <c r="AO1336" i="55"/>
  <c r="AM1336" i="55"/>
  <c r="AN1336" i="55"/>
  <c r="AQ1336" i="55"/>
  <c r="B1336" i="55"/>
  <c r="C1336" i="55"/>
  <c r="W1336" i="55"/>
  <c r="M1336" i="55"/>
  <c r="H1336" i="55"/>
  <c r="AB1336" i="55"/>
  <c r="I1336" i="55"/>
  <c r="X1336" i="55"/>
  <c r="AT1336" i="55"/>
  <c r="N1336" i="55"/>
  <c r="V1336" i="55"/>
  <c r="A1336" i="55"/>
  <c r="S1336" i="55"/>
  <c r="G1336" i="55"/>
  <c r="D1336" i="55"/>
  <c r="AC1336" i="55"/>
  <c r="L1336" i="55"/>
  <c r="U1336" i="55"/>
  <c r="AH1336" i="55"/>
  <c r="BF1052" i="26" l="1"/>
  <c r="BC1052" i="26"/>
  <c r="AV1052" i="55" s="1"/>
  <c r="BD1052" i="26"/>
  <c r="BU1052" i="26"/>
  <c r="V1052" i="26"/>
  <c r="BV829" i="26"/>
  <c r="BE826" i="26"/>
  <c r="AO1052" i="26"/>
  <c r="C1052" i="26"/>
  <c r="BK1052" i="26"/>
  <c r="BG1052" i="26"/>
  <c r="T1052" i="26"/>
  <c r="O1052" i="26"/>
  <c r="X1052" i="26"/>
  <c r="R1052" i="26"/>
  <c r="AT1052" i="26"/>
  <c r="BQ1052" i="26"/>
  <c r="F1052" i="26"/>
  <c r="K1052" i="26"/>
  <c r="M1052" i="26" s="1"/>
  <c r="N1052" i="26" s="1"/>
  <c r="B1052" i="26"/>
  <c r="AJ1052" i="26"/>
  <c r="W1052" i="26"/>
  <c r="AU1052" i="26"/>
  <c r="S1052" i="26"/>
  <c r="BV1052" i="26"/>
  <c r="BX1052" i="26"/>
  <c r="AX1052" i="26"/>
  <c r="AK1052" i="26"/>
  <c r="BM1052" i="26"/>
  <c r="U1052" i="26"/>
  <c r="G1052" i="26"/>
  <c r="BO1052" i="26"/>
  <c r="BN1052" i="26"/>
  <c r="AF1052" i="26"/>
  <c r="D1052" i="26"/>
  <c r="BA1052" i="26"/>
  <c r="A1052" i="26"/>
  <c r="BR1052" i="26"/>
  <c r="AP1052" i="26"/>
  <c r="BE1052" i="26"/>
  <c r="BP1052" i="26"/>
  <c r="H1052" i="26"/>
  <c r="BJ1052" i="26"/>
  <c r="AS1052" i="26"/>
  <c r="BI1052" i="26"/>
  <c r="Q1052" i="26"/>
  <c r="AM1052" i="26"/>
  <c r="L1052" i="26"/>
  <c r="BL1052" i="26"/>
  <c r="AW1052" i="26"/>
  <c r="BT1052" i="26"/>
  <c r="I1052" i="26"/>
  <c r="AV1052" i="26"/>
  <c r="AY1052" i="26"/>
  <c r="BW1052" i="26"/>
  <c r="P1052" i="26"/>
  <c r="AR1052" i="26"/>
  <c r="E1337" i="55"/>
  <c r="BE825" i="26" l="1"/>
  <c r="BV828" i="26"/>
  <c r="O1337" i="55"/>
  <c r="E1053" i="26"/>
  <c r="AD1337" i="55"/>
  <c r="AI1337" i="55"/>
  <c r="Q1337" i="55"/>
  <c r="P1337" i="55"/>
  <c r="K1337" i="55"/>
  <c r="AG1337" i="55"/>
  <c r="AF1337" i="55"/>
  <c r="AL1337" i="55"/>
  <c r="AO1337" i="55"/>
  <c r="Z1337" i="55"/>
  <c r="AK1337" i="55"/>
  <c r="W1337" i="55"/>
  <c r="H1337" i="55"/>
  <c r="D1337" i="55"/>
  <c r="X1337" i="55"/>
  <c r="I1337" i="55"/>
  <c r="A1337" i="55"/>
  <c r="S1337" i="55"/>
  <c r="AN1337" i="55"/>
  <c r="L1337" i="55"/>
  <c r="U1337" i="55"/>
  <c r="AM1337" i="55"/>
  <c r="V1337" i="55"/>
  <c r="M1337" i="55"/>
  <c r="AT1337" i="55"/>
  <c r="AQ1337" i="55"/>
  <c r="B1337" i="55"/>
  <c r="AH1337" i="55"/>
  <c r="C1337" i="55"/>
  <c r="AC1337" i="55"/>
  <c r="G1337" i="55"/>
  <c r="N1337" i="55"/>
  <c r="AB1337" i="55"/>
  <c r="BF1053" i="26" l="1"/>
  <c r="BC1053" i="26"/>
  <c r="BD1053" i="26"/>
  <c r="BU1053" i="26"/>
  <c r="V1053" i="26"/>
  <c r="BE824" i="26"/>
  <c r="BV827" i="26"/>
  <c r="AV1053" i="55"/>
  <c r="B1053" i="26"/>
  <c r="BI1053" i="26"/>
  <c r="U1053" i="26"/>
  <c r="O1053" i="26"/>
  <c r="T1053" i="26"/>
  <c r="S1053" i="26"/>
  <c r="BJ1053" i="26"/>
  <c r="AJ1053" i="26"/>
  <c r="K1053" i="26"/>
  <c r="M1053" i="26" s="1"/>
  <c r="N1053" i="26" s="1"/>
  <c r="AM1053" i="26"/>
  <c r="AW1053" i="26"/>
  <c r="AV1053" i="26"/>
  <c r="Q1053" i="26"/>
  <c r="BG1053" i="26"/>
  <c r="D1053" i="26"/>
  <c r="A1053" i="26"/>
  <c r="BW1053" i="26"/>
  <c r="I1053" i="26"/>
  <c r="C1053" i="26"/>
  <c r="AU1053" i="26"/>
  <c r="AO1053" i="26"/>
  <c r="BE1053" i="26"/>
  <c r="BQ1053" i="26"/>
  <c r="BP1053" i="26"/>
  <c r="BO1053" i="26"/>
  <c r="AP1053" i="26"/>
  <c r="BR1053" i="26"/>
  <c r="BX1053" i="26"/>
  <c r="BL1053" i="26"/>
  <c r="AY1053" i="26"/>
  <c r="BM1053" i="26"/>
  <c r="AT1053" i="26"/>
  <c r="AX1053" i="26"/>
  <c r="AK1053" i="26"/>
  <c r="P1053" i="26"/>
  <c r="AS1053" i="26"/>
  <c r="AR1053" i="26"/>
  <c r="BK1053" i="26"/>
  <c r="AF1053" i="26"/>
  <c r="L1053" i="26"/>
  <c r="X1053" i="26"/>
  <c r="BT1053" i="26"/>
  <c r="BA1053" i="26"/>
  <c r="R1053" i="26"/>
  <c r="W1053" i="26"/>
  <c r="BV1053" i="26"/>
  <c r="BN1053" i="26"/>
  <c r="G1053" i="26"/>
  <c r="F1053" i="26"/>
  <c r="H1053" i="26"/>
  <c r="E1338" i="55"/>
  <c r="AD1338" i="55" s="1"/>
  <c r="BV826" i="26" l="1"/>
  <c r="BE823" i="26"/>
  <c r="O1338" i="55"/>
  <c r="E1054" i="26"/>
  <c r="AO1338" i="55"/>
  <c r="Z1338" i="55"/>
  <c r="AI1338" i="55"/>
  <c r="P1338" i="55"/>
  <c r="Q1338" i="55"/>
  <c r="K1338" i="55"/>
  <c r="AL1338" i="55"/>
  <c r="AG1338" i="55"/>
  <c r="AF1338" i="55"/>
  <c r="AK1338" i="55"/>
  <c r="U1338" i="55"/>
  <c r="M1338" i="55"/>
  <c r="W1338" i="55"/>
  <c r="AN1338" i="55"/>
  <c r="C1338" i="55"/>
  <c r="N1338" i="55"/>
  <c r="AQ1338" i="55"/>
  <c r="G1338" i="55"/>
  <c r="L1338" i="55"/>
  <c r="I1338" i="55"/>
  <c r="AM1338" i="55"/>
  <c r="V1338" i="55"/>
  <c r="AH1338" i="55"/>
  <c r="H1338" i="55"/>
  <c r="X1338" i="55"/>
  <c r="A1338" i="55"/>
  <c r="AB1338" i="55"/>
  <c r="AT1338" i="55"/>
  <c r="AC1338" i="55"/>
  <c r="D1338" i="55"/>
  <c r="S1338" i="55"/>
  <c r="B1338" i="55"/>
  <c r="BF1054" i="26" l="1"/>
  <c r="BC1054" i="26"/>
  <c r="BD1054" i="26"/>
  <c r="BU1054" i="26"/>
  <c r="V1054" i="26"/>
  <c r="BE822" i="26"/>
  <c r="BV825" i="26"/>
  <c r="R1054" i="26"/>
  <c r="G1054" i="26"/>
  <c r="BE1054" i="26"/>
  <c r="C1054" i="26"/>
  <c r="BR1054" i="26"/>
  <c r="AK1054" i="26"/>
  <c r="AW1054" i="26"/>
  <c r="BQ1054" i="26"/>
  <c r="AJ1054" i="26"/>
  <c r="L1054" i="26"/>
  <c r="AX1054" i="26"/>
  <c r="AU1054" i="26"/>
  <c r="O1054" i="26"/>
  <c r="D1054" i="26"/>
  <c r="BI1054" i="26"/>
  <c r="BT1054" i="26"/>
  <c r="BA1054" i="26"/>
  <c r="Q1054" i="26"/>
  <c r="A1054" i="26"/>
  <c r="S1054" i="26"/>
  <c r="BM1054" i="26"/>
  <c r="AV1054" i="55"/>
  <c r="BK1054" i="26"/>
  <c r="BP1054" i="26"/>
  <c r="F1054" i="26"/>
  <c r="AR1054" i="26"/>
  <c r="AV1054" i="26"/>
  <c r="BW1054" i="26"/>
  <c r="BG1054" i="26"/>
  <c r="AM1054" i="26"/>
  <c r="AF1054" i="26"/>
  <c r="U1054" i="26"/>
  <c r="AT1054" i="26"/>
  <c r="X1054" i="26"/>
  <c r="BJ1054" i="26"/>
  <c r="I1054" i="26"/>
  <c r="AS1054" i="26"/>
  <c r="BX1054" i="26"/>
  <c r="T1054" i="26"/>
  <c r="P1054" i="26"/>
  <c r="BL1054" i="26"/>
  <c r="BO1054" i="26"/>
  <c r="BN1054" i="26"/>
  <c r="W1054" i="26"/>
  <c r="AY1054" i="26"/>
  <c r="B1054" i="26"/>
  <c r="H1054" i="26"/>
  <c r="BV1054" i="26"/>
  <c r="AO1054" i="26"/>
  <c r="K1054" i="26"/>
  <c r="M1054" i="26" s="1"/>
  <c r="N1054" i="26" s="1"/>
  <c r="AP1054" i="26"/>
  <c r="E1339" i="55"/>
  <c r="BV824" i="26" l="1"/>
  <c r="BE821" i="26"/>
  <c r="O1339" i="55"/>
  <c r="E1055" i="26"/>
  <c r="AK1339" i="55"/>
  <c r="Q1339" i="55"/>
  <c r="AI1339" i="55"/>
  <c r="K1339" i="55"/>
  <c r="P1339" i="55"/>
  <c r="AL1339" i="55"/>
  <c r="AG1339" i="55"/>
  <c r="Z1339" i="55"/>
  <c r="AO1339" i="55"/>
  <c r="AF1339" i="55"/>
  <c r="AD1339" i="55"/>
  <c r="M1339" i="55"/>
  <c r="B1339" i="55"/>
  <c r="X1339" i="55"/>
  <c r="U1339" i="55"/>
  <c r="AN1339" i="55"/>
  <c r="V1339" i="55"/>
  <c r="AQ1339" i="55"/>
  <c r="S1339" i="55"/>
  <c r="L1339" i="55"/>
  <c r="AM1339" i="55"/>
  <c r="N1339" i="55"/>
  <c r="W1339" i="55"/>
  <c r="D1339" i="55"/>
  <c r="A1339" i="55"/>
  <c r="AB1339" i="55"/>
  <c r="C1339" i="55"/>
  <c r="AH1339" i="55"/>
  <c r="I1339" i="55"/>
  <c r="G1339" i="55"/>
  <c r="H1339" i="55"/>
  <c r="AT1339" i="55"/>
  <c r="AC1339" i="55"/>
  <c r="BF1055" i="26" l="1"/>
  <c r="BC1055" i="26"/>
  <c r="BD1055" i="26"/>
  <c r="BU1055" i="26"/>
  <c r="V1055" i="26"/>
  <c r="BE820" i="26"/>
  <c r="BV823" i="26"/>
  <c r="BA1055" i="26"/>
  <c r="T1055" i="26"/>
  <c r="D1055" i="26"/>
  <c r="B1055" i="26"/>
  <c r="BQ1055" i="26"/>
  <c r="BP1055" i="26"/>
  <c r="G1055" i="26"/>
  <c r="AS1055" i="26"/>
  <c r="AK1055" i="26"/>
  <c r="K1055" i="26"/>
  <c r="M1055" i="26" s="1"/>
  <c r="N1055" i="26" s="1"/>
  <c r="AF1055" i="26"/>
  <c r="Q1055" i="26"/>
  <c r="AM1055" i="26"/>
  <c r="BJ1055" i="26"/>
  <c r="BX1055" i="26"/>
  <c r="AR1055" i="26"/>
  <c r="AV1055" i="26"/>
  <c r="R1055" i="26"/>
  <c r="S1055" i="26"/>
  <c r="F1055" i="26"/>
  <c r="BE1055" i="26"/>
  <c r="BT1055" i="26"/>
  <c r="AV1055" i="55"/>
  <c r="P1055" i="26"/>
  <c r="BW1055" i="26"/>
  <c r="O1055" i="26"/>
  <c r="L1055" i="26"/>
  <c r="BG1055" i="26"/>
  <c r="AT1055" i="26"/>
  <c r="U1055" i="26"/>
  <c r="AO1055" i="26"/>
  <c r="AY1055" i="26"/>
  <c r="AW1055" i="26"/>
  <c r="A1055" i="26"/>
  <c r="AP1055" i="26"/>
  <c r="AX1055" i="26"/>
  <c r="AJ1055" i="26"/>
  <c r="BV1055" i="26"/>
  <c r="BL1055" i="26"/>
  <c r="H1055" i="26"/>
  <c r="X1055" i="26"/>
  <c r="BR1055" i="26"/>
  <c r="BI1055" i="26"/>
  <c r="I1055" i="26"/>
  <c r="W1055" i="26"/>
  <c r="BK1055" i="26"/>
  <c r="C1055" i="26"/>
  <c r="BM1055" i="26"/>
  <c r="AU1055" i="26"/>
  <c r="BN1055" i="26"/>
  <c r="BO1055" i="26"/>
  <c r="E1340" i="55"/>
  <c r="BV822" i="26" l="1"/>
  <c r="BE819" i="26"/>
  <c r="O1340" i="55"/>
  <c r="E1056" i="26"/>
  <c r="AG1340" i="55"/>
  <c r="Z1340" i="55"/>
  <c r="AO1340" i="55"/>
  <c r="AD1340" i="55"/>
  <c r="AF1340" i="55"/>
  <c r="AK1340" i="55"/>
  <c r="AI1340" i="55"/>
  <c r="Q1340" i="55"/>
  <c r="P1340" i="55"/>
  <c r="K1340" i="55"/>
  <c r="AL1340" i="55"/>
  <c r="AM1340" i="55"/>
  <c r="S1340" i="55"/>
  <c r="B1340" i="55"/>
  <c r="AN1340" i="55"/>
  <c r="H1340" i="55"/>
  <c r="D1340" i="55"/>
  <c r="AQ1340" i="55"/>
  <c r="N1340" i="55"/>
  <c r="G1340" i="55"/>
  <c r="W1340" i="55"/>
  <c r="AC1340" i="55"/>
  <c r="AH1340" i="55"/>
  <c r="V1340" i="55"/>
  <c r="A1340" i="55"/>
  <c r="I1340" i="55"/>
  <c r="X1340" i="55"/>
  <c r="C1340" i="55"/>
  <c r="M1340" i="55"/>
  <c r="L1340" i="55"/>
  <c r="AB1340" i="55"/>
  <c r="U1340" i="55"/>
  <c r="AT1340" i="55"/>
  <c r="BF1056" i="26" l="1"/>
  <c r="BC1056" i="26"/>
  <c r="BD1056" i="26"/>
  <c r="BU1056" i="26"/>
  <c r="V1056" i="26"/>
  <c r="BE818" i="26"/>
  <c r="BV821" i="26"/>
  <c r="L1056" i="26"/>
  <c r="G1056" i="26"/>
  <c r="AS1056" i="26"/>
  <c r="Q1056" i="26"/>
  <c r="BR1056" i="26"/>
  <c r="K1056" i="26"/>
  <c r="M1056" i="26" s="1"/>
  <c r="N1056" i="26" s="1"/>
  <c r="BO1056" i="26"/>
  <c r="I1056" i="26"/>
  <c r="BA1056" i="26"/>
  <c r="BJ1056" i="26"/>
  <c r="BQ1056" i="26"/>
  <c r="AP1056" i="26"/>
  <c r="BN1056" i="26"/>
  <c r="AV1056" i="26"/>
  <c r="AM1056" i="26"/>
  <c r="BE1056" i="26"/>
  <c r="W1056" i="26"/>
  <c r="C1056" i="26"/>
  <c r="BX1056" i="26"/>
  <c r="AV1056" i="55"/>
  <c r="AO1056" i="26"/>
  <c r="BI1056" i="26"/>
  <c r="BP1056" i="26"/>
  <c r="BW1056" i="26"/>
  <c r="AX1056" i="26"/>
  <c r="BL1056" i="26"/>
  <c r="B1056" i="26"/>
  <c r="AY1056" i="26"/>
  <c r="AW1056" i="26"/>
  <c r="BM1056" i="26"/>
  <c r="BK1056" i="26"/>
  <c r="S1056" i="26"/>
  <c r="AF1056" i="26"/>
  <c r="P1056" i="26"/>
  <c r="BT1056" i="26"/>
  <c r="AU1056" i="26"/>
  <c r="H1056" i="26"/>
  <c r="F1056" i="26"/>
  <c r="AT1056" i="26"/>
  <c r="U1056" i="26"/>
  <c r="AJ1056" i="26"/>
  <c r="R1056" i="26"/>
  <c r="AR1056" i="26"/>
  <c r="AK1056" i="26"/>
  <c r="BV1056" i="26"/>
  <c r="O1056" i="26"/>
  <c r="T1056" i="26"/>
  <c r="X1056" i="26"/>
  <c r="D1056" i="26"/>
  <c r="BG1056" i="26"/>
  <c r="A1056" i="26"/>
  <c r="E1341" i="55"/>
  <c r="BV820" i="26" l="1"/>
  <c r="BE817" i="26"/>
  <c r="O1341" i="55"/>
  <c r="E1057" i="26"/>
  <c r="AD1341" i="55"/>
  <c r="Q1341" i="55"/>
  <c r="AI1341" i="55"/>
  <c r="P1341" i="55"/>
  <c r="K1341" i="55"/>
  <c r="AO1341" i="55"/>
  <c r="Z1341" i="55"/>
  <c r="AF1341" i="55"/>
  <c r="AK1341" i="55"/>
  <c r="AG1341" i="55"/>
  <c r="AL1341" i="55"/>
  <c r="I1341" i="55"/>
  <c r="V1341" i="55"/>
  <c r="A1341" i="55"/>
  <c r="N1341" i="55"/>
  <c r="H1341" i="55"/>
  <c r="M1341" i="55"/>
  <c r="AT1341" i="55"/>
  <c r="AB1341" i="55"/>
  <c r="AN1341" i="55"/>
  <c r="D1341" i="55"/>
  <c r="L1341" i="55"/>
  <c r="S1341" i="55"/>
  <c r="AQ1341" i="55"/>
  <c r="AC1341" i="55"/>
  <c r="AH1341" i="55"/>
  <c r="AM1341" i="55"/>
  <c r="B1341" i="55"/>
  <c r="C1341" i="55"/>
  <c r="W1341" i="55"/>
  <c r="X1341" i="55"/>
  <c r="U1341" i="55"/>
  <c r="G1341" i="55"/>
  <c r="BF1057" i="26" l="1"/>
  <c r="BC1057" i="26"/>
  <c r="AV1057" i="55" s="1"/>
  <c r="BD1057" i="26"/>
  <c r="BU1057" i="26"/>
  <c r="V1057" i="26"/>
  <c r="BE816" i="26"/>
  <c r="BV819" i="26"/>
  <c r="BG1057" i="26"/>
  <c r="H1057" i="26"/>
  <c r="AT1057" i="26"/>
  <c r="AO1057" i="26"/>
  <c r="AJ1057" i="26"/>
  <c r="BJ1057" i="26"/>
  <c r="G1057" i="26"/>
  <c r="X1057" i="26"/>
  <c r="AS1057" i="26"/>
  <c r="BT1057" i="26"/>
  <c r="T1057" i="26"/>
  <c r="AU1057" i="26"/>
  <c r="L1057" i="26"/>
  <c r="K1057" i="26"/>
  <c r="M1057" i="26" s="1"/>
  <c r="N1057" i="26" s="1"/>
  <c r="BX1057" i="26"/>
  <c r="AK1057" i="26"/>
  <c r="P1057" i="26"/>
  <c r="U1057" i="26"/>
  <c r="D1057" i="26"/>
  <c r="W1057" i="26"/>
  <c r="F1057" i="26"/>
  <c r="AR1057" i="26"/>
  <c r="AF1057" i="26"/>
  <c r="BW1057" i="26"/>
  <c r="BI1057" i="26"/>
  <c r="BQ1057" i="26"/>
  <c r="BK1057" i="26"/>
  <c r="BV1057" i="26"/>
  <c r="AY1057" i="26"/>
  <c r="S1057" i="26"/>
  <c r="BR1057" i="26"/>
  <c r="BA1057" i="26"/>
  <c r="AM1057" i="26"/>
  <c r="AV1057" i="26"/>
  <c r="BE1057" i="26"/>
  <c r="I1057" i="26"/>
  <c r="BM1057" i="26"/>
  <c r="A1057" i="26"/>
  <c r="BP1057" i="26"/>
  <c r="R1057" i="26"/>
  <c r="O1057" i="26"/>
  <c r="BL1057" i="26"/>
  <c r="BO1057" i="26"/>
  <c r="AW1057" i="26"/>
  <c r="AX1057" i="26"/>
  <c r="BN1057" i="26"/>
  <c r="C1057" i="26"/>
  <c r="Q1057" i="26"/>
  <c r="AP1057" i="26"/>
  <c r="B1057" i="26"/>
  <c r="E1342" i="55"/>
  <c r="BV818" i="26" l="1"/>
  <c r="BE815" i="26"/>
  <c r="E1058" i="26"/>
  <c r="BD1058" i="26" s="1"/>
  <c r="AD1342" i="55"/>
  <c r="O1342" i="55"/>
  <c r="AL1342" i="55"/>
  <c r="AI1342" i="55"/>
  <c r="P1342" i="55"/>
  <c r="Q1342" i="55"/>
  <c r="K1342" i="55"/>
  <c r="AG1342" i="55"/>
  <c r="Z1342" i="55"/>
  <c r="AF1342" i="55"/>
  <c r="AK1342" i="55"/>
  <c r="AO1342" i="55"/>
  <c r="V1342" i="55"/>
  <c r="AB1342" i="55"/>
  <c r="A1342" i="55"/>
  <c r="AT1342" i="55"/>
  <c r="H1342" i="55"/>
  <c r="AM1342" i="55"/>
  <c r="AH1342" i="55"/>
  <c r="S1342" i="55"/>
  <c r="AN1342" i="55"/>
  <c r="U1342" i="55"/>
  <c r="I1342" i="55"/>
  <c r="X1342" i="55"/>
  <c r="C1342" i="55"/>
  <c r="G1342" i="55"/>
  <c r="B1342" i="55"/>
  <c r="D1342" i="55"/>
  <c r="N1342" i="55"/>
  <c r="M1342" i="55"/>
  <c r="L1342" i="55"/>
  <c r="AQ1342" i="55"/>
  <c r="AC1342" i="55"/>
  <c r="W1342" i="55"/>
  <c r="BF1058" i="26" l="1"/>
  <c r="BC1058" i="26"/>
  <c r="BU1058" i="26"/>
  <c r="V1058" i="26"/>
  <c r="BE814" i="26"/>
  <c r="BV817" i="26"/>
  <c r="AX1058" i="26"/>
  <c r="AK1058" i="26"/>
  <c r="W1058" i="26"/>
  <c r="AS1058" i="26"/>
  <c r="BL1058" i="26"/>
  <c r="X1058" i="26"/>
  <c r="BP1058" i="26"/>
  <c r="B1058" i="26"/>
  <c r="BI1058" i="26"/>
  <c r="BQ1058" i="26"/>
  <c r="K1058" i="26"/>
  <c r="M1058" i="26" s="1"/>
  <c r="N1058" i="26" s="1"/>
  <c r="A1058" i="26"/>
  <c r="AO1058" i="26"/>
  <c r="C1058" i="26"/>
  <c r="AP1058" i="26"/>
  <c r="BV1058" i="26"/>
  <c r="O1058" i="26"/>
  <c r="BW1058" i="26"/>
  <c r="S1058" i="26"/>
  <c r="L1058" i="26"/>
  <c r="AV1058" i="26"/>
  <c r="AJ1058" i="26"/>
  <c r="BM1058" i="26"/>
  <c r="P1058" i="26"/>
  <c r="AY1058" i="26"/>
  <c r="AU1058" i="26"/>
  <c r="U1058" i="26"/>
  <c r="BK1058" i="26"/>
  <c r="AF1058" i="26"/>
  <c r="BN1058" i="26"/>
  <c r="T1058" i="26"/>
  <c r="AM1058" i="26"/>
  <c r="G1058" i="26"/>
  <c r="AR1058" i="26"/>
  <c r="H1058" i="26"/>
  <c r="BR1058" i="26"/>
  <c r="D1058" i="26"/>
  <c r="BE1058" i="26"/>
  <c r="I1058" i="26"/>
  <c r="Q1058" i="26"/>
  <c r="AW1058" i="26"/>
  <c r="AT1058" i="26"/>
  <c r="BX1058" i="26"/>
  <c r="BJ1058" i="26"/>
  <c r="BA1058" i="26"/>
  <c r="R1058" i="26"/>
  <c r="BO1058" i="26"/>
  <c r="BT1058" i="26"/>
  <c r="AV1058" i="55"/>
  <c r="F1058" i="26"/>
  <c r="BG1058" i="26"/>
  <c r="E1343" i="55"/>
  <c r="BV816" i="26" l="1"/>
  <c r="BE813" i="26"/>
  <c r="E1059" i="26"/>
  <c r="BD1059" i="26" s="1"/>
  <c r="O1343" i="55"/>
  <c r="AF1343" i="55"/>
  <c r="AI1343" i="55"/>
  <c r="Q1343" i="55"/>
  <c r="P1343" i="55"/>
  <c r="K1343" i="55"/>
  <c r="AK1343" i="55"/>
  <c r="AO1343" i="55"/>
  <c r="AD1343" i="55"/>
  <c r="AG1343" i="55"/>
  <c r="AL1343" i="55"/>
  <c r="Z1343" i="55"/>
  <c r="M1343" i="55"/>
  <c r="B1343" i="55"/>
  <c r="AB1343" i="55"/>
  <c r="W1343" i="55"/>
  <c r="S1343" i="55"/>
  <c r="U1343" i="55"/>
  <c r="D1343" i="55"/>
  <c r="H1343" i="55"/>
  <c r="AM1343" i="55"/>
  <c r="V1343" i="55"/>
  <c r="AH1343" i="55"/>
  <c r="C1343" i="55"/>
  <c r="I1343" i="55"/>
  <c r="X1343" i="55"/>
  <c r="G1343" i="55"/>
  <c r="AC1343" i="55"/>
  <c r="AN1343" i="55"/>
  <c r="L1343" i="55"/>
  <c r="AQ1343" i="55"/>
  <c r="A1343" i="55"/>
  <c r="N1343" i="55"/>
  <c r="AT1343" i="55"/>
  <c r="BF1059" i="26" l="1"/>
  <c r="BC1059" i="26"/>
  <c r="BU1059" i="26"/>
  <c r="V1059" i="26"/>
  <c r="BE812" i="26"/>
  <c r="BV815" i="26"/>
  <c r="BR1059" i="26"/>
  <c r="U1059" i="26"/>
  <c r="AK1059" i="26"/>
  <c r="C1059" i="26"/>
  <c r="D1059" i="26"/>
  <c r="AS1059" i="26"/>
  <c r="BA1059" i="26"/>
  <c r="BN1059" i="26"/>
  <c r="L1059" i="26"/>
  <c r="BP1059" i="26"/>
  <c r="Q1059" i="26"/>
  <c r="T1059" i="26"/>
  <c r="BX1059" i="26"/>
  <c r="AP1059" i="26"/>
  <c r="W1059" i="26"/>
  <c r="BK1059" i="26"/>
  <c r="BG1059" i="26"/>
  <c r="BV1059" i="26"/>
  <c r="R1059" i="26"/>
  <c r="BL1059" i="26"/>
  <c r="BO1059" i="26"/>
  <c r="F1059" i="26"/>
  <c r="AY1059" i="26"/>
  <c r="X1059" i="26"/>
  <c r="BJ1059" i="26"/>
  <c r="AM1059" i="26"/>
  <c r="I1059" i="26"/>
  <c r="B1059" i="26"/>
  <c r="AJ1059" i="26"/>
  <c r="AW1059" i="26"/>
  <c r="BQ1059" i="26"/>
  <c r="AV1059" i="55"/>
  <c r="BT1059" i="26"/>
  <c r="S1059" i="26"/>
  <c r="BM1059" i="26"/>
  <c r="A1059" i="26"/>
  <c r="AR1059" i="26"/>
  <c r="H1059" i="26"/>
  <c r="O1059" i="26"/>
  <c r="K1059" i="26"/>
  <c r="M1059" i="26" s="1"/>
  <c r="N1059" i="26" s="1"/>
  <c r="AT1059" i="26"/>
  <c r="BW1059" i="26"/>
  <c r="BE1059" i="26"/>
  <c r="AX1059" i="26"/>
  <c r="AO1059" i="26"/>
  <c r="AU1059" i="26"/>
  <c r="P1059" i="26"/>
  <c r="G1059" i="26"/>
  <c r="BI1059" i="26"/>
  <c r="AF1059" i="26"/>
  <c r="AV1059" i="26"/>
  <c r="E1344" i="55"/>
  <c r="BV814" i="26" l="1"/>
  <c r="BE811" i="26"/>
  <c r="O1344" i="55"/>
  <c r="E1060" i="26"/>
  <c r="AK1344" i="55"/>
  <c r="AI1344" i="55"/>
  <c r="Q1344" i="55"/>
  <c r="P1344" i="55"/>
  <c r="K1344" i="55"/>
  <c r="AL1344" i="55"/>
  <c r="AF1344" i="55"/>
  <c r="AG1344" i="55"/>
  <c r="AD1344" i="55"/>
  <c r="AO1344" i="55"/>
  <c r="Z1344" i="55"/>
  <c r="A1344" i="55"/>
  <c r="AC1344" i="55"/>
  <c r="AB1344" i="55"/>
  <c r="W1344" i="55"/>
  <c r="C1344" i="55"/>
  <c r="V1344" i="55"/>
  <c r="AM1344" i="55"/>
  <c r="I1344" i="55"/>
  <c r="AT1344" i="55"/>
  <c r="B1344" i="55"/>
  <c r="AQ1344" i="55"/>
  <c r="H1344" i="55"/>
  <c r="AN1344" i="55"/>
  <c r="G1344" i="55"/>
  <c r="D1344" i="55"/>
  <c r="U1344" i="55"/>
  <c r="M1344" i="55"/>
  <c r="AH1344" i="55"/>
  <c r="X1344" i="55"/>
  <c r="S1344" i="55"/>
  <c r="N1344" i="55"/>
  <c r="L1344" i="55"/>
  <c r="BF1060" i="26" l="1"/>
  <c r="BC1060" i="26"/>
  <c r="AV1060" i="55" s="1"/>
  <c r="BD1060" i="26"/>
  <c r="BU1060" i="26"/>
  <c r="V1060" i="26"/>
  <c r="BV813" i="26"/>
  <c r="BE810" i="26"/>
  <c r="L1060" i="26"/>
  <c r="D1060" i="26"/>
  <c r="BI1060" i="26"/>
  <c r="BR1060" i="26"/>
  <c r="AO1060" i="26"/>
  <c r="AP1060" i="26"/>
  <c r="K1060" i="26"/>
  <c r="M1060" i="26" s="1"/>
  <c r="N1060" i="26" s="1"/>
  <c r="BV1060" i="26"/>
  <c r="BX1060" i="26"/>
  <c r="S1060" i="26"/>
  <c r="BE1060" i="26"/>
  <c r="AS1060" i="26"/>
  <c r="AW1060" i="26"/>
  <c r="AK1060" i="26"/>
  <c r="AJ1060" i="26"/>
  <c r="BO1060" i="26"/>
  <c r="BK1060" i="26"/>
  <c r="AF1060" i="26"/>
  <c r="AM1060" i="26"/>
  <c r="A1060" i="26"/>
  <c r="AV1060" i="26"/>
  <c r="BA1060" i="26"/>
  <c r="AR1060" i="26"/>
  <c r="T1060" i="26"/>
  <c r="AX1060" i="26"/>
  <c r="R1060" i="26"/>
  <c r="BL1060" i="26"/>
  <c r="Q1060" i="26"/>
  <c r="C1060" i="26"/>
  <c r="P1060" i="26"/>
  <c r="BM1060" i="26"/>
  <c r="BJ1060" i="26"/>
  <c r="F1060" i="26"/>
  <c r="BT1060" i="26"/>
  <c r="BP1060" i="26"/>
  <c r="AY1060" i="26"/>
  <c r="X1060" i="26"/>
  <c r="AT1060" i="26"/>
  <c r="BN1060" i="26"/>
  <c r="G1060" i="26"/>
  <c r="O1060" i="26"/>
  <c r="AU1060" i="26"/>
  <c r="BQ1060" i="26"/>
  <c r="B1060" i="26"/>
  <c r="W1060" i="26"/>
  <c r="BG1060" i="26"/>
  <c r="BW1060" i="26"/>
  <c r="U1060" i="26"/>
  <c r="H1060" i="26"/>
  <c r="I1060" i="26"/>
  <c r="E1345" i="55"/>
  <c r="BV812" i="26" l="1"/>
  <c r="BE809" i="26"/>
  <c r="O1345" i="55"/>
  <c r="E1061" i="26"/>
  <c r="AK1345" i="55"/>
  <c r="AF1345" i="55"/>
  <c r="AO1345" i="55"/>
  <c r="AI1345" i="55"/>
  <c r="Q1345" i="55"/>
  <c r="P1345" i="55"/>
  <c r="K1345" i="55"/>
  <c r="AL1345" i="55"/>
  <c r="AG1345" i="55"/>
  <c r="AD1345" i="55"/>
  <c r="Z1345" i="55"/>
  <c r="G1345" i="55"/>
  <c r="W1345" i="55"/>
  <c r="D1345" i="55"/>
  <c r="AB1345" i="55"/>
  <c r="C1345" i="55"/>
  <c r="H1345" i="55"/>
  <c r="AT1345" i="55"/>
  <c r="N1345" i="55"/>
  <c r="AH1345" i="55"/>
  <c r="A1345" i="55"/>
  <c r="B1345" i="55"/>
  <c r="L1345" i="55"/>
  <c r="AQ1345" i="55"/>
  <c r="X1345" i="55"/>
  <c r="AN1345" i="55"/>
  <c r="V1345" i="55"/>
  <c r="S1345" i="55"/>
  <c r="I1345" i="55"/>
  <c r="M1345" i="55"/>
  <c r="AM1345" i="55"/>
  <c r="U1345" i="55"/>
  <c r="AC1345" i="55"/>
  <c r="V1061" i="26" l="1"/>
  <c r="BF1061" i="26"/>
  <c r="BC1061" i="26"/>
  <c r="BD1061" i="26"/>
  <c r="BU1061" i="26"/>
  <c r="BV811" i="26"/>
  <c r="BE808" i="26"/>
  <c r="AK1061" i="26"/>
  <c r="AO1061" i="26"/>
  <c r="F1061" i="26"/>
  <c r="BJ1061" i="26"/>
  <c r="S1061" i="26"/>
  <c r="B1061" i="26"/>
  <c r="BT1061" i="26"/>
  <c r="BI1061" i="26"/>
  <c r="AS1061" i="26"/>
  <c r="BV1061" i="26"/>
  <c r="C1061" i="26"/>
  <c r="BW1061" i="26"/>
  <c r="P1061" i="26"/>
  <c r="BQ1061" i="26"/>
  <c r="AY1061" i="26"/>
  <c r="AX1061" i="26"/>
  <c r="I1061" i="26"/>
  <c r="L1061" i="26"/>
  <c r="BK1061" i="26"/>
  <c r="BE1061" i="26"/>
  <c r="D1061" i="26"/>
  <c r="AT1061" i="26"/>
  <c r="BN1061" i="26"/>
  <c r="AW1061" i="26"/>
  <c r="AV1061" i="26"/>
  <c r="BM1061" i="26"/>
  <c r="AV1061" i="55"/>
  <c r="O1061" i="26"/>
  <c r="W1061" i="26"/>
  <c r="BO1061" i="26"/>
  <c r="U1061" i="26"/>
  <c r="H1061" i="26"/>
  <c r="BX1061" i="26"/>
  <c r="G1061" i="26"/>
  <c r="AR1061" i="26"/>
  <c r="BA1061" i="26"/>
  <c r="AF1061" i="26"/>
  <c r="A1061" i="26"/>
  <c r="R1061" i="26"/>
  <c r="Q1061" i="26"/>
  <c r="T1061" i="26"/>
  <c r="BR1061" i="26"/>
  <c r="K1061" i="26"/>
  <c r="M1061" i="26" s="1"/>
  <c r="N1061" i="26" s="1"/>
  <c r="AM1061" i="26"/>
  <c r="BL1061" i="26"/>
  <c r="X1061" i="26"/>
  <c r="BG1061" i="26"/>
  <c r="BP1061" i="26"/>
  <c r="AP1061" i="26"/>
  <c r="AU1061" i="26"/>
  <c r="AJ1061" i="26"/>
  <c r="E1346" i="55"/>
  <c r="BV810" i="26" l="1"/>
  <c r="BE807" i="26"/>
  <c r="O1346" i="55"/>
  <c r="E1062" i="26"/>
  <c r="AG1346" i="55"/>
  <c r="Z1346" i="55"/>
  <c r="AI1346" i="55"/>
  <c r="Q1346" i="55"/>
  <c r="P1346" i="55"/>
  <c r="K1346" i="55"/>
  <c r="AO1346" i="55"/>
  <c r="AF1346" i="55"/>
  <c r="AK1346" i="55"/>
  <c r="AD1346" i="55"/>
  <c r="AL1346" i="55"/>
  <c r="B1346" i="55"/>
  <c r="A1346" i="55"/>
  <c r="M1346" i="55"/>
  <c r="L1346" i="55"/>
  <c r="AM1346" i="55"/>
  <c r="W1346" i="55"/>
  <c r="I1346" i="55"/>
  <c r="AN1346" i="55"/>
  <c r="AC1346" i="55"/>
  <c r="D1346" i="55"/>
  <c r="AQ1346" i="55"/>
  <c r="V1346" i="55"/>
  <c r="S1346" i="55"/>
  <c r="H1346" i="55"/>
  <c r="U1346" i="55"/>
  <c r="C1346" i="55"/>
  <c r="G1346" i="55"/>
  <c r="AT1346" i="55"/>
  <c r="N1346" i="55"/>
  <c r="AH1346" i="55"/>
  <c r="X1346" i="55"/>
  <c r="AB1346" i="55"/>
  <c r="BF1062" i="26" l="1"/>
  <c r="BC1062" i="26"/>
  <c r="AV1062" i="55" s="1"/>
  <c r="BD1062" i="26"/>
  <c r="BU1062" i="26"/>
  <c r="V1062" i="26"/>
  <c r="BE806" i="26"/>
  <c r="BV809" i="26"/>
  <c r="BI1062" i="26"/>
  <c r="AP1062" i="26"/>
  <c r="P1062" i="26"/>
  <c r="BA1062" i="26"/>
  <c r="BE1062" i="26"/>
  <c r="BK1062" i="26"/>
  <c r="BL1062" i="26"/>
  <c r="Q1062" i="26"/>
  <c r="L1062" i="26"/>
  <c r="AV1062" i="26"/>
  <c r="AT1062" i="26"/>
  <c r="BJ1062" i="26"/>
  <c r="F1062" i="26"/>
  <c r="AF1062" i="26"/>
  <c r="BO1062" i="26"/>
  <c r="BX1062" i="26"/>
  <c r="AY1062" i="26"/>
  <c r="I1062" i="26"/>
  <c r="BT1062" i="26"/>
  <c r="BW1062" i="26"/>
  <c r="H1062" i="26"/>
  <c r="BM1062" i="26"/>
  <c r="A1062" i="26"/>
  <c r="AO1062" i="26"/>
  <c r="AM1062" i="26"/>
  <c r="AU1062" i="26"/>
  <c r="BN1062" i="26"/>
  <c r="BG1062" i="26"/>
  <c r="AR1062" i="26"/>
  <c r="O1062" i="26"/>
  <c r="BP1062" i="26"/>
  <c r="W1062" i="26"/>
  <c r="G1062" i="26"/>
  <c r="BV1062" i="26"/>
  <c r="BQ1062" i="26"/>
  <c r="U1062" i="26"/>
  <c r="AS1062" i="26"/>
  <c r="AX1062" i="26"/>
  <c r="C1062" i="26"/>
  <c r="D1062" i="26"/>
  <c r="S1062" i="26"/>
  <c r="B1062" i="26"/>
  <c r="AJ1062" i="26"/>
  <c r="K1062" i="26"/>
  <c r="M1062" i="26" s="1"/>
  <c r="N1062" i="26" s="1"/>
  <c r="T1062" i="26"/>
  <c r="AK1062" i="26"/>
  <c r="R1062" i="26"/>
  <c r="BR1062" i="26"/>
  <c r="X1062" i="26"/>
  <c r="AW1062" i="26"/>
  <c r="E1347" i="55"/>
  <c r="BV808" i="26" l="1"/>
  <c r="BE805" i="26"/>
  <c r="O1347" i="55"/>
  <c r="E1063" i="26"/>
  <c r="AL1347" i="55"/>
  <c r="AI1347" i="55"/>
  <c r="Q1347" i="55"/>
  <c r="K1347" i="55"/>
  <c r="P1347" i="55"/>
  <c r="AG1347" i="55"/>
  <c r="AO1347" i="55"/>
  <c r="AK1347" i="55"/>
  <c r="AF1347" i="55"/>
  <c r="AD1347" i="55"/>
  <c r="Z1347" i="55"/>
  <c r="AH1347" i="55"/>
  <c r="W1347" i="55"/>
  <c r="AB1347" i="55"/>
  <c r="H1347" i="55"/>
  <c r="I1347" i="55"/>
  <c r="AN1347" i="55"/>
  <c r="V1347" i="55"/>
  <c r="A1347" i="55"/>
  <c r="X1347" i="55"/>
  <c r="L1347" i="55"/>
  <c r="S1347" i="55"/>
  <c r="AQ1347" i="55"/>
  <c r="M1347" i="55"/>
  <c r="N1347" i="55"/>
  <c r="AM1347" i="55"/>
  <c r="AC1347" i="55"/>
  <c r="D1347" i="55"/>
  <c r="AT1347" i="55"/>
  <c r="G1347" i="55"/>
  <c r="C1347" i="55"/>
  <c r="B1347" i="55"/>
  <c r="U1347" i="55"/>
  <c r="BF1063" i="26" l="1"/>
  <c r="BC1063" i="26"/>
  <c r="BD1063" i="26"/>
  <c r="BU1063" i="26"/>
  <c r="V1063" i="26"/>
  <c r="BE804" i="26"/>
  <c r="BV807" i="26"/>
  <c r="I1063" i="26"/>
  <c r="AF1063" i="26"/>
  <c r="BT1063" i="26"/>
  <c r="Q1063" i="26"/>
  <c r="AM1063" i="26"/>
  <c r="W1063" i="26"/>
  <c r="AP1063" i="26"/>
  <c r="K1063" i="26"/>
  <c r="M1063" i="26" s="1"/>
  <c r="N1063" i="26" s="1"/>
  <c r="B1063" i="26"/>
  <c r="AK1063" i="26"/>
  <c r="H1063" i="26"/>
  <c r="F1063" i="26"/>
  <c r="AJ1063" i="26"/>
  <c r="BP1063" i="26"/>
  <c r="O1063" i="26"/>
  <c r="T1063" i="26"/>
  <c r="BX1063" i="26"/>
  <c r="S1063" i="26"/>
  <c r="U1063" i="26"/>
  <c r="BQ1063" i="26"/>
  <c r="BE1063" i="26"/>
  <c r="BO1063" i="26"/>
  <c r="BI1063" i="26"/>
  <c r="AT1063" i="26"/>
  <c r="BJ1063" i="26"/>
  <c r="BN1063" i="26"/>
  <c r="AX1063" i="26"/>
  <c r="BV1063" i="26"/>
  <c r="AO1063" i="26"/>
  <c r="R1063" i="26"/>
  <c r="AU1063" i="26"/>
  <c r="BA1063" i="26"/>
  <c r="AW1063" i="26"/>
  <c r="AS1063" i="26"/>
  <c r="A1063" i="26"/>
  <c r="BW1063" i="26"/>
  <c r="AV1063" i="26"/>
  <c r="X1063" i="26"/>
  <c r="C1063" i="26"/>
  <c r="D1063" i="26"/>
  <c r="BL1063" i="26"/>
  <c r="BR1063" i="26"/>
  <c r="P1063" i="26"/>
  <c r="AY1063" i="26"/>
  <c r="BK1063" i="26"/>
  <c r="AV1063" i="55"/>
  <c r="BM1063" i="26"/>
  <c r="L1063" i="26"/>
  <c r="BG1063" i="26"/>
  <c r="G1063" i="26"/>
  <c r="AR1063" i="26"/>
  <c r="E1348" i="55"/>
  <c r="BV806" i="26" l="1"/>
  <c r="BE803" i="26"/>
  <c r="O1348" i="55"/>
  <c r="E1064" i="26"/>
  <c r="AO1348" i="55"/>
  <c r="AD1348" i="55"/>
  <c r="AK1348" i="55"/>
  <c r="AF1348" i="55"/>
  <c r="AI1348" i="55"/>
  <c r="Q1348" i="55"/>
  <c r="P1348" i="55"/>
  <c r="K1348" i="55"/>
  <c r="Z1348" i="55"/>
  <c r="AL1348" i="55"/>
  <c r="AG1348" i="55"/>
  <c r="AN1348" i="55"/>
  <c r="W1348" i="55"/>
  <c r="L1348" i="55"/>
  <c r="G1348" i="55"/>
  <c r="I1348" i="55"/>
  <c r="S1348" i="55"/>
  <c r="AQ1348" i="55"/>
  <c r="C1348" i="55"/>
  <c r="A1348" i="55"/>
  <c r="D1348" i="55"/>
  <c r="AM1348" i="55"/>
  <c r="AC1348" i="55"/>
  <c r="N1348" i="55"/>
  <c r="U1348" i="55"/>
  <c r="X1348" i="55"/>
  <c r="AB1348" i="55"/>
  <c r="M1348" i="55"/>
  <c r="B1348" i="55"/>
  <c r="AT1348" i="55"/>
  <c r="AH1348" i="55"/>
  <c r="H1348" i="55"/>
  <c r="V1348" i="55"/>
  <c r="BF1064" i="26" l="1"/>
  <c r="BC1064" i="26"/>
  <c r="BD1064" i="26"/>
  <c r="BU1064" i="26"/>
  <c r="V1064" i="26"/>
  <c r="BE802" i="26"/>
  <c r="BV805" i="26"/>
  <c r="G1064" i="26"/>
  <c r="BV1064" i="26"/>
  <c r="T1064" i="26"/>
  <c r="R1064" i="26"/>
  <c r="A1064" i="26"/>
  <c r="BP1064" i="26"/>
  <c r="D1064" i="26"/>
  <c r="X1064" i="26"/>
  <c r="AS1064" i="26"/>
  <c r="W1064" i="26"/>
  <c r="BJ1064" i="26"/>
  <c r="BI1064" i="26"/>
  <c r="BX1064" i="26"/>
  <c r="B1064" i="26"/>
  <c r="L1064" i="26"/>
  <c r="F1064" i="26"/>
  <c r="AM1064" i="26"/>
  <c r="BK1064" i="26"/>
  <c r="AY1064" i="26"/>
  <c r="AR1064" i="26"/>
  <c r="BT1064" i="26"/>
  <c r="S1064" i="26"/>
  <c r="P1064" i="26"/>
  <c r="AF1064" i="26"/>
  <c r="AU1064" i="26"/>
  <c r="BM1064" i="26"/>
  <c r="BO1064" i="26"/>
  <c r="U1064" i="26"/>
  <c r="AJ1064" i="26"/>
  <c r="BL1064" i="26"/>
  <c r="BG1064" i="26"/>
  <c r="BR1064" i="26"/>
  <c r="AT1064" i="26"/>
  <c r="BE1064" i="26"/>
  <c r="AV1064" i="55"/>
  <c r="BW1064" i="26"/>
  <c r="Q1064" i="26"/>
  <c r="K1064" i="26"/>
  <c r="M1064" i="26" s="1"/>
  <c r="N1064" i="26" s="1"/>
  <c r="BA1064" i="26"/>
  <c r="C1064" i="26"/>
  <c r="AW1064" i="26"/>
  <c r="AV1064" i="26"/>
  <c r="BN1064" i="26"/>
  <c r="AP1064" i="26"/>
  <c r="O1064" i="26"/>
  <c r="I1064" i="26"/>
  <c r="H1064" i="26"/>
  <c r="AK1064" i="26"/>
  <c r="AX1064" i="26"/>
  <c r="AO1064" i="26"/>
  <c r="BQ1064" i="26"/>
  <c r="E1349" i="55"/>
  <c r="BV804" i="26" l="1"/>
  <c r="BE801" i="26"/>
  <c r="O1349" i="55"/>
  <c r="E1065" i="26"/>
  <c r="AF1349" i="55"/>
  <c r="Q1349" i="55"/>
  <c r="AI1349" i="55"/>
  <c r="P1349" i="55"/>
  <c r="K1349" i="55"/>
  <c r="Z1349" i="55"/>
  <c r="AO1349" i="55"/>
  <c r="AD1349" i="55"/>
  <c r="AL1349" i="55"/>
  <c r="AG1349" i="55"/>
  <c r="AK1349" i="55"/>
  <c r="AC1349" i="55"/>
  <c r="AN1349" i="55"/>
  <c r="M1349" i="55"/>
  <c r="AT1349" i="55"/>
  <c r="A1349" i="55"/>
  <c r="AB1349" i="55"/>
  <c r="I1349" i="55"/>
  <c r="U1349" i="55"/>
  <c r="L1349" i="55"/>
  <c r="G1349" i="55"/>
  <c r="V1349" i="55"/>
  <c r="X1349" i="55"/>
  <c r="S1349" i="55"/>
  <c r="D1349" i="55"/>
  <c r="AH1349" i="55"/>
  <c r="H1349" i="55"/>
  <c r="W1349" i="55"/>
  <c r="B1349" i="55"/>
  <c r="AQ1349" i="55"/>
  <c r="N1349" i="55"/>
  <c r="AM1349" i="55"/>
  <c r="C1349" i="55"/>
  <c r="BF1065" i="26" l="1"/>
  <c r="BC1065" i="26"/>
  <c r="AV1065" i="55" s="1"/>
  <c r="BD1065" i="26"/>
  <c r="BU1065" i="26"/>
  <c r="V1065" i="26"/>
  <c r="BE800" i="26"/>
  <c r="BV803" i="26"/>
  <c r="Q1065" i="26"/>
  <c r="AK1065" i="26"/>
  <c r="BE1065" i="26"/>
  <c r="AV1065" i="26"/>
  <c r="AR1065" i="26"/>
  <c r="AT1065" i="26"/>
  <c r="BK1065" i="26"/>
  <c r="I1065" i="26"/>
  <c r="AS1065" i="26"/>
  <c r="AM1065" i="26"/>
  <c r="C1065" i="26"/>
  <c r="P1065" i="26"/>
  <c r="BO1065" i="26"/>
  <c r="BV1065" i="26"/>
  <c r="AF1065" i="26"/>
  <c r="D1065" i="26"/>
  <c r="BT1065" i="26"/>
  <c r="AP1065" i="26"/>
  <c r="BW1065" i="26"/>
  <c r="BQ1065" i="26"/>
  <c r="AO1065" i="26"/>
  <c r="BP1065" i="26"/>
  <c r="BI1065" i="26"/>
  <c r="BR1065" i="26"/>
  <c r="AY1065" i="26"/>
  <c r="F1065" i="26"/>
  <c r="BX1065" i="26"/>
  <c r="BN1065" i="26"/>
  <c r="AU1065" i="26"/>
  <c r="U1065" i="26"/>
  <c r="H1065" i="26"/>
  <c r="S1065" i="26"/>
  <c r="AJ1065" i="26"/>
  <c r="AW1065" i="26"/>
  <c r="K1065" i="26"/>
  <c r="M1065" i="26" s="1"/>
  <c r="N1065" i="26" s="1"/>
  <c r="A1065" i="26"/>
  <c r="BL1065" i="26"/>
  <c r="L1065" i="26"/>
  <c r="BJ1065" i="26"/>
  <c r="B1065" i="26"/>
  <c r="BG1065" i="26"/>
  <c r="T1065" i="26"/>
  <c r="X1065" i="26"/>
  <c r="BA1065" i="26"/>
  <c r="AX1065" i="26"/>
  <c r="O1065" i="26"/>
  <c r="G1065" i="26"/>
  <c r="R1065" i="26"/>
  <c r="W1065" i="26"/>
  <c r="BM1065" i="26"/>
  <c r="E1350" i="55"/>
  <c r="BV802" i="26" l="1"/>
  <c r="BE799" i="26"/>
  <c r="O1350" i="55"/>
  <c r="E1066" i="26"/>
  <c r="AF1350" i="55"/>
  <c r="AO1350" i="55"/>
  <c r="AI1350" i="55"/>
  <c r="P1350" i="55"/>
  <c r="K1350" i="55"/>
  <c r="Q1350" i="55"/>
  <c r="AG1350" i="55"/>
  <c r="Z1350" i="55"/>
  <c r="AL1350" i="55"/>
  <c r="AD1350" i="55"/>
  <c r="AK1350" i="55"/>
  <c r="AH1350" i="55"/>
  <c r="H1350" i="55"/>
  <c r="I1350" i="55"/>
  <c r="D1350" i="55"/>
  <c r="C1350" i="55"/>
  <c r="B1350" i="55"/>
  <c r="M1350" i="55"/>
  <c r="AN1350" i="55"/>
  <c r="AM1350" i="55"/>
  <c r="AB1350" i="55"/>
  <c r="A1350" i="55"/>
  <c r="L1350" i="55"/>
  <c r="X1350" i="55"/>
  <c r="AQ1350" i="55"/>
  <c r="S1350" i="55"/>
  <c r="G1350" i="55"/>
  <c r="AT1350" i="55"/>
  <c r="N1350" i="55"/>
  <c r="AC1350" i="55"/>
  <c r="U1350" i="55"/>
  <c r="V1350" i="55"/>
  <c r="W1350" i="55"/>
  <c r="BF1066" i="26" l="1"/>
  <c r="BC1066" i="26"/>
  <c r="BD1066" i="26"/>
  <c r="BU1066" i="26"/>
  <c r="V1066" i="26"/>
  <c r="BE798" i="26"/>
  <c r="BV801" i="26"/>
  <c r="AX1066" i="26"/>
  <c r="AV1066" i="26"/>
  <c r="BP1066" i="26"/>
  <c r="AV1066" i="55"/>
  <c r="Q1066" i="26"/>
  <c r="BA1066" i="26"/>
  <c r="U1066" i="26"/>
  <c r="B1066" i="26"/>
  <c r="S1066" i="26"/>
  <c r="AJ1066" i="26"/>
  <c r="BL1066" i="26"/>
  <c r="AU1066" i="26"/>
  <c r="AR1066" i="26"/>
  <c r="I1066" i="26"/>
  <c r="AO1066" i="26"/>
  <c r="BX1066" i="26"/>
  <c r="BR1066" i="26"/>
  <c r="L1066" i="26"/>
  <c r="T1066" i="26"/>
  <c r="BT1066" i="26"/>
  <c r="D1066" i="26"/>
  <c r="BG1066" i="26"/>
  <c r="AS1066" i="26"/>
  <c r="BK1066" i="26"/>
  <c r="P1066" i="26"/>
  <c r="BE1066" i="26"/>
  <c r="H1066" i="26"/>
  <c r="BN1066" i="26"/>
  <c r="C1066" i="26"/>
  <c r="AM1066" i="26"/>
  <c r="AW1066" i="26"/>
  <c r="AP1066" i="26"/>
  <c r="BJ1066" i="26"/>
  <c r="AK1066" i="26"/>
  <c r="BI1066" i="26"/>
  <c r="F1066" i="26"/>
  <c r="A1066" i="26"/>
  <c r="BM1066" i="26"/>
  <c r="AF1066" i="26"/>
  <c r="BV1066" i="26"/>
  <c r="X1066" i="26"/>
  <c r="K1066" i="26"/>
  <c r="M1066" i="26" s="1"/>
  <c r="N1066" i="26" s="1"/>
  <c r="G1066" i="26"/>
  <c r="BW1066" i="26"/>
  <c r="AY1066" i="26"/>
  <c r="O1066" i="26"/>
  <c r="R1066" i="26"/>
  <c r="AT1066" i="26"/>
  <c r="BQ1066" i="26"/>
  <c r="W1066" i="26"/>
  <c r="BO1066" i="26"/>
  <c r="E1351" i="55"/>
  <c r="BV800" i="26" l="1"/>
  <c r="BE797" i="26"/>
  <c r="E1067" i="26"/>
  <c r="BD1067" i="26" s="1"/>
  <c r="AD1351" i="55"/>
  <c r="O1351" i="55"/>
  <c r="Z1351" i="55"/>
  <c r="AI1351" i="55"/>
  <c r="Q1351" i="55"/>
  <c r="P1351" i="55"/>
  <c r="K1351" i="55"/>
  <c r="AK1351" i="55"/>
  <c r="AG1351" i="55"/>
  <c r="AL1351" i="55"/>
  <c r="AF1351" i="55"/>
  <c r="AO1351" i="55"/>
  <c r="AB1351" i="55"/>
  <c r="V1351" i="55"/>
  <c r="I1351" i="55"/>
  <c r="D1351" i="55"/>
  <c r="M1351" i="55"/>
  <c r="AM1351" i="55"/>
  <c r="S1351" i="55"/>
  <c r="N1351" i="55"/>
  <c r="AT1351" i="55"/>
  <c r="X1351" i="55"/>
  <c r="A1351" i="55"/>
  <c r="U1351" i="55"/>
  <c r="AQ1351" i="55"/>
  <c r="L1351" i="55"/>
  <c r="W1351" i="55"/>
  <c r="B1351" i="55"/>
  <c r="H1351" i="55"/>
  <c r="AN1351" i="55"/>
  <c r="C1351" i="55"/>
  <c r="AC1351" i="55"/>
  <c r="AH1351" i="55"/>
  <c r="G1351" i="55"/>
  <c r="BF1067" i="26" l="1"/>
  <c r="BC1067" i="26"/>
  <c r="BU1067" i="26"/>
  <c r="V1067" i="26"/>
  <c r="BE796" i="26"/>
  <c r="BV799" i="26"/>
  <c r="BV1067" i="26"/>
  <c r="B1067" i="26"/>
  <c r="AU1067" i="26"/>
  <c r="BX1067" i="26"/>
  <c r="AR1067" i="26"/>
  <c r="BW1067" i="26"/>
  <c r="AY1067" i="26"/>
  <c r="AV1067" i="55"/>
  <c r="BE1067" i="26"/>
  <c r="R1067" i="26"/>
  <c r="P1067" i="26"/>
  <c r="BN1067" i="26"/>
  <c r="S1067" i="26"/>
  <c r="U1067" i="26"/>
  <c r="X1067" i="26"/>
  <c r="K1067" i="26"/>
  <c r="M1067" i="26" s="1"/>
  <c r="N1067" i="26" s="1"/>
  <c r="Q1067" i="26"/>
  <c r="BG1067" i="26"/>
  <c r="T1067" i="26"/>
  <c r="A1067" i="26"/>
  <c r="BP1067" i="26"/>
  <c r="AJ1067" i="26"/>
  <c r="BR1067" i="26"/>
  <c r="C1067" i="26"/>
  <c r="I1067" i="26"/>
  <c r="BJ1067" i="26"/>
  <c r="BT1067" i="26"/>
  <c r="AV1067" i="26"/>
  <c r="AP1067" i="26"/>
  <c r="L1067" i="26"/>
  <c r="AT1067" i="26"/>
  <c r="AF1067" i="26"/>
  <c r="BA1067" i="26"/>
  <c r="W1067" i="26"/>
  <c r="BL1067" i="26"/>
  <c r="BM1067" i="26"/>
  <c r="BO1067" i="26"/>
  <c r="AS1067" i="26"/>
  <c r="G1067" i="26"/>
  <c r="BK1067" i="26"/>
  <c r="D1067" i="26"/>
  <c r="BQ1067" i="26"/>
  <c r="O1067" i="26"/>
  <c r="AK1067" i="26"/>
  <c r="F1067" i="26"/>
  <c r="AX1067" i="26"/>
  <c r="AO1067" i="26"/>
  <c r="AM1067" i="26"/>
  <c r="BI1067" i="26"/>
  <c r="H1067" i="26"/>
  <c r="AW1067" i="26"/>
  <c r="E1352" i="55"/>
  <c r="BV798" i="26" l="1"/>
  <c r="BE795" i="26"/>
  <c r="O1352" i="55"/>
  <c r="E1068" i="26"/>
  <c r="Z1352" i="55"/>
  <c r="AI1352" i="55"/>
  <c r="Q1352" i="55"/>
  <c r="P1352" i="55"/>
  <c r="K1352" i="55"/>
  <c r="AD1352" i="55"/>
  <c r="M1352" i="55"/>
  <c r="L1352" i="55"/>
  <c r="S1352" i="55"/>
  <c r="D1352" i="55"/>
  <c r="I1352" i="55"/>
  <c r="C1352" i="55"/>
  <c r="AH1352" i="55"/>
  <c r="H1352" i="55"/>
  <c r="U1352" i="55"/>
  <c r="AQ1352" i="55"/>
  <c r="AM1352" i="55"/>
  <c r="X1352" i="55"/>
  <c r="A1352" i="55"/>
  <c r="AT1352" i="55"/>
  <c r="B1352" i="55"/>
  <c r="V1352" i="55"/>
  <c r="N1352" i="55"/>
  <c r="W1352" i="55"/>
  <c r="AN1352" i="55"/>
  <c r="AB1352" i="55"/>
  <c r="G1352" i="55"/>
  <c r="AC1352" i="55"/>
  <c r="AF1352" i="55"/>
  <c r="AG1352" i="55"/>
  <c r="AL1352" i="55"/>
  <c r="AK1352" i="55"/>
  <c r="AO1352" i="55"/>
  <c r="BF1068" i="26" l="1"/>
  <c r="BC1068" i="26"/>
  <c r="AV1068" i="55" s="1"/>
  <c r="BD1068" i="26"/>
  <c r="BU1068" i="26"/>
  <c r="V1068" i="26"/>
  <c r="BE794" i="26"/>
  <c r="BV797" i="26"/>
  <c r="BK1068" i="26"/>
  <c r="U1068" i="26"/>
  <c r="BO1068" i="26"/>
  <c r="L1068" i="26"/>
  <c r="AF1068" i="26"/>
  <c r="G1068" i="26"/>
  <c r="B1068" i="26"/>
  <c r="AK1068" i="26"/>
  <c r="AO1068" i="26"/>
  <c r="AR1068" i="26"/>
  <c r="AJ1068" i="26"/>
  <c r="F1068" i="26"/>
  <c r="A1068" i="26"/>
  <c r="BW1068" i="26"/>
  <c r="Q1068" i="26"/>
  <c r="AY1068" i="26"/>
  <c r="BG1068" i="26"/>
  <c r="W1068" i="26"/>
  <c r="BA1068" i="26"/>
  <c r="AW1068" i="26"/>
  <c r="AS1068" i="26"/>
  <c r="BN1068" i="26"/>
  <c r="AV1068" i="26"/>
  <c r="BX1068" i="26"/>
  <c r="C1068" i="26"/>
  <c r="BL1068" i="26"/>
  <c r="O1068" i="26"/>
  <c r="BP1068" i="26"/>
  <c r="BM1068" i="26"/>
  <c r="T1068" i="26"/>
  <c r="BR1068" i="26"/>
  <c r="I1068" i="26"/>
  <c r="R1068" i="26"/>
  <c r="BE1068" i="26"/>
  <c r="H1068" i="26"/>
  <c r="BJ1068" i="26"/>
  <c r="D1068" i="26"/>
  <c r="AM1068" i="26"/>
  <c r="AX1068" i="26"/>
  <c r="AP1068" i="26"/>
  <c r="BT1068" i="26"/>
  <c r="BV1068" i="26"/>
  <c r="AU1068" i="26"/>
  <c r="AT1068" i="26"/>
  <c r="X1068" i="26"/>
  <c r="K1068" i="26"/>
  <c r="M1068" i="26" s="1"/>
  <c r="N1068" i="26" s="1"/>
  <c r="BI1068" i="26"/>
  <c r="P1068" i="26"/>
  <c r="S1068" i="26"/>
  <c r="BQ1068" i="26"/>
  <c r="E1353" i="55"/>
  <c r="BV796" i="26" l="1"/>
  <c r="BE793" i="26"/>
  <c r="O1353" i="55"/>
  <c r="E1069" i="26"/>
  <c r="Z1353" i="55"/>
  <c r="AI1353" i="55"/>
  <c r="Q1353" i="55"/>
  <c r="P1353" i="55"/>
  <c r="K1353" i="55"/>
  <c r="AO1353" i="55"/>
  <c r="AG1353" i="55"/>
  <c r="AL1353" i="55"/>
  <c r="AF1353" i="55"/>
  <c r="AB1353" i="55"/>
  <c r="AN1353" i="55"/>
  <c r="M1353" i="55"/>
  <c r="AC1353" i="55"/>
  <c r="D1353" i="55"/>
  <c r="N1353" i="55"/>
  <c r="AT1353" i="55"/>
  <c r="U1353" i="55"/>
  <c r="X1353" i="55"/>
  <c r="V1353" i="55"/>
  <c r="W1353" i="55"/>
  <c r="C1353" i="55"/>
  <c r="G1353" i="55"/>
  <c r="AH1353" i="55"/>
  <c r="S1353" i="55"/>
  <c r="AM1353" i="55"/>
  <c r="A1353" i="55"/>
  <c r="H1353" i="55"/>
  <c r="L1353" i="55"/>
  <c r="I1353" i="55"/>
  <c r="AQ1353" i="55"/>
  <c r="B1353" i="55"/>
  <c r="AD1353" i="55"/>
  <c r="AK1353" i="55"/>
  <c r="BF1069" i="26" l="1"/>
  <c r="BC1069" i="26"/>
  <c r="BD1069" i="26"/>
  <c r="BU1069" i="26"/>
  <c r="V1069" i="26"/>
  <c r="BE792" i="26"/>
  <c r="BV795" i="26"/>
  <c r="BK1069" i="26"/>
  <c r="AP1069" i="26"/>
  <c r="I1069" i="26"/>
  <c r="AF1069" i="26"/>
  <c r="O1069" i="26"/>
  <c r="U1069" i="26"/>
  <c r="D1069" i="26"/>
  <c r="S1069" i="26"/>
  <c r="W1069" i="26"/>
  <c r="BL1069" i="26"/>
  <c r="AJ1069" i="26"/>
  <c r="BM1069" i="26"/>
  <c r="BJ1069" i="26"/>
  <c r="AT1069" i="26"/>
  <c r="Q1069" i="26"/>
  <c r="F1069" i="26"/>
  <c r="BI1069" i="26"/>
  <c r="K1069" i="26"/>
  <c r="M1069" i="26" s="1"/>
  <c r="N1069" i="26" s="1"/>
  <c r="BE1069" i="26"/>
  <c r="AS1069" i="26"/>
  <c r="BO1069" i="26"/>
  <c r="BQ1069" i="26"/>
  <c r="AU1069" i="26"/>
  <c r="AY1069" i="26"/>
  <c r="AM1069" i="26"/>
  <c r="G1069" i="26"/>
  <c r="AR1069" i="26"/>
  <c r="BT1069" i="26"/>
  <c r="BA1069" i="26"/>
  <c r="BW1069" i="26"/>
  <c r="BN1069" i="26"/>
  <c r="B1069" i="26"/>
  <c r="H1069" i="26"/>
  <c r="BX1069" i="26"/>
  <c r="A1069" i="26"/>
  <c r="C1069" i="26"/>
  <c r="X1069" i="26"/>
  <c r="BG1069" i="26"/>
  <c r="P1069" i="26"/>
  <c r="BR1069" i="26"/>
  <c r="AO1069" i="26"/>
  <c r="BV1069" i="26"/>
  <c r="BP1069" i="26"/>
  <c r="T1069" i="26"/>
  <c r="L1069" i="26"/>
  <c r="R1069" i="26"/>
  <c r="AK1069" i="26"/>
  <c r="AW1069" i="26"/>
  <c r="AX1069" i="26"/>
  <c r="AV1069" i="26"/>
  <c r="AV1069" i="55"/>
  <c r="E1354" i="55"/>
  <c r="BV794" i="26" l="1"/>
  <c r="BE791" i="26"/>
  <c r="O1354" i="55"/>
  <c r="E1070" i="26"/>
  <c r="AL1354" i="55"/>
  <c r="AD1354" i="55"/>
  <c r="AI1354" i="55"/>
  <c r="P1354" i="55"/>
  <c r="Q1354" i="55"/>
  <c r="K1354" i="55"/>
  <c r="AO1354" i="55"/>
  <c r="AK1354" i="55"/>
  <c r="Z1354" i="55"/>
  <c r="AF1354" i="55"/>
  <c r="AG1354" i="55"/>
  <c r="U1354" i="55"/>
  <c r="AC1354" i="55"/>
  <c r="AB1354" i="55"/>
  <c r="L1354" i="55"/>
  <c r="W1354" i="55"/>
  <c r="AT1354" i="55"/>
  <c r="V1354" i="55"/>
  <c r="H1354" i="55"/>
  <c r="AM1354" i="55"/>
  <c r="B1354" i="55"/>
  <c r="AQ1354" i="55"/>
  <c r="M1354" i="55"/>
  <c r="AH1354" i="55"/>
  <c r="C1354" i="55"/>
  <c r="S1354" i="55"/>
  <c r="G1354" i="55"/>
  <c r="I1354" i="55"/>
  <c r="AN1354" i="55"/>
  <c r="X1354" i="55"/>
  <c r="N1354" i="55"/>
  <c r="D1354" i="55"/>
  <c r="A1354" i="55"/>
  <c r="BF1070" i="26" l="1"/>
  <c r="BC1070" i="26"/>
  <c r="BD1070" i="26"/>
  <c r="BU1070" i="26"/>
  <c r="V1070" i="26"/>
  <c r="BE790" i="26"/>
  <c r="BV793" i="26"/>
  <c r="O1070" i="26"/>
  <c r="BT1070" i="26"/>
  <c r="U1070" i="26"/>
  <c r="BR1070" i="26"/>
  <c r="BI1070" i="26"/>
  <c r="X1070" i="26"/>
  <c r="BO1070" i="26"/>
  <c r="BV1070" i="26"/>
  <c r="Q1070" i="26"/>
  <c r="R1070" i="26"/>
  <c r="BW1070" i="26"/>
  <c r="BQ1070" i="26"/>
  <c r="AJ1070" i="26"/>
  <c r="AO1070" i="26"/>
  <c r="L1070" i="26"/>
  <c r="AW1070" i="26"/>
  <c r="BX1070" i="26"/>
  <c r="BL1070" i="26"/>
  <c r="AR1070" i="26"/>
  <c r="AT1070" i="26"/>
  <c r="AV1070" i="55"/>
  <c r="BJ1070" i="26"/>
  <c r="A1070" i="26"/>
  <c r="AF1070" i="26"/>
  <c r="G1070" i="26"/>
  <c r="P1070" i="26"/>
  <c r="AY1070" i="26"/>
  <c r="AU1070" i="26"/>
  <c r="T1070" i="26"/>
  <c r="AS1070" i="26"/>
  <c r="I1070" i="26"/>
  <c r="AP1070" i="26"/>
  <c r="W1070" i="26"/>
  <c r="AM1070" i="26"/>
  <c r="C1070" i="26"/>
  <c r="BG1070" i="26"/>
  <c r="B1070" i="26"/>
  <c r="K1070" i="26"/>
  <c r="M1070" i="26" s="1"/>
  <c r="N1070" i="26" s="1"/>
  <c r="F1070" i="26"/>
  <c r="AV1070" i="26"/>
  <c r="BM1070" i="26"/>
  <c r="AX1070" i="26"/>
  <c r="BE1070" i="26"/>
  <c r="H1070" i="26"/>
  <c r="BN1070" i="26"/>
  <c r="BA1070" i="26"/>
  <c r="D1070" i="26"/>
  <c r="BP1070" i="26"/>
  <c r="S1070" i="26"/>
  <c r="AK1070" i="26"/>
  <c r="BK1070" i="26"/>
  <c r="E1355" i="55"/>
  <c r="BV792" i="26" l="1"/>
  <c r="BE789" i="26"/>
  <c r="E1071" i="26"/>
  <c r="BD1071" i="26" s="1"/>
  <c r="AO1355" i="55"/>
  <c r="O1355" i="55"/>
  <c r="Z1355" i="55"/>
  <c r="Q1355" i="55"/>
  <c r="AI1355" i="55"/>
  <c r="K1355" i="55"/>
  <c r="P1355" i="55"/>
  <c r="AK1355" i="55"/>
  <c r="AG1355" i="55"/>
  <c r="AF1355" i="55"/>
  <c r="AD1355" i="55"/>
  <c r="AL1355" i="55"/>
  <c r="H1355" i="55"/>
  <c r="G1355" i="55"/>
  <c r="W1355" i="55"/>
  <c r="C1355" i="55"/>
  <c r="V1355" i="55"/>
  <c r="D1355" i="55"/>
  <c r="AH1355" i="55"/>
  <c r="AQ1355" i="55"/>
  <c r="N1355" i="55"/>
  <c r="I1355" i="55"/>
  <c r="A1355" i="55"/>
  <c r="AC1355" i="55"/>
  <c r="AB1355" i="55"/>
  <c r="X1355" i="55"/>
  <c r="AN1355" i="55"/>
  <c r="AM1355" i="55"/>
  <c r="U1355" i="55"/>
  <c r="AT1355" i="55"/>
  <c r="S1355" i="55"/>
  <c r="M1355" i="55"/>
  <c r="B1355" i="55"/>
  <c r="L1355" i="55"/>
  <c r="BF1071" i="26" l="1"/>
  <c r="BC1071" i="26"/>
  <c r="BU1071" i="26"/>
  <c r="V1071" i="26"/>
  <c r="BE788" i="26"/>
  <c r="BV791" i="26"/>
  <c r="AP1071" i="26"/>
  <c r="X1071" i="26"/>
  <c r="BE1071" i="26"/>
  <c r="H1071" i="26"/>
  <c r="BP1071" i="26"/>
  <c r="D1071" i="26"/>
  <c r="AX1071" i="26"/>
  <c r="BW1071" i="26"/>
  <c r="BV1071" i="26"/>
  <c r="BJ1071" i="26"/>
  <c r="AU1071" i="26"/>
  <c r="BO1071" i="26"/>
  <c r="AO1071" i="26"/>
  <c r="AT1071" i="26"/>
  <c r="BQ1071" i="26"/>
  <c r="A1071" i="26"/>
  <c r="BK1071" i="26"/>
  <c r="AY1071" i="26"/>
  <c r="BT1071" i="26"/>
  <c r="BX1071" i="26"/>
  <c r="B1071" i="26"/>
  <c r="BL1071" i="26"/>
  <c r="BA1071" i="26"/>
  <c r="AW1071" i="26"/>
  <c r="C1071" i="26"/>
  <c r="S1071" i="26"/>
  <c r="AM1071" i="26"/>
  <c r="Q1071" i="26"/>
  <c r="BR1071" i="26"/>
  <c r="AS1071" i="26"/>
  <c r="F1071" i="26"/>
  <c r="BN1071" i="26"/>
  <c r="K1071" i="26"/>
  <c r="M1071" i="26" s="1"/>
  <c r="N1071" i="26" s="1"/>
  <c r="U1071" i="26"/>
  <c r="R1071" i="26"/>
  <c r="I1071" i="26"/>
  <c r="P1071" i="26"/>
  <c r="W1071" i="26"/>
  <c r="BI1071" i="26"/>
  <c r="BG1071" i="26"/>
  <c r="BM1071" i="26"/>
  <c r="AJ1071" i="26"/>
  <c r="O1071" i="26"/>
  <c r="AF1071" i="26"/>
  <c r="T1071" i="26"/>
  <c r="AV1071" i="26"/>
  <c r="G1071" i="26"/>
  <c r="AV1071" i="55"/>
  <c r="AR1071" i="26"/>
  <c r="AK1071" i="26"/>
  <c r="L1071" i="26"/>
  <c r="E1356" i="55"/>
  <c r="BV790" i="26" l="1"/>
  <c r="BE787" i="26"/>
  <c r="O1356" i="55"/>
  <c r="E1072" i="26"/>
  <c r="AO1356" i="55"/>
  <c r="AI1356" i="55"/>
  <c r="Q1356" i="55"/>
  <c r="P1356" i="55"/>
  <c r="K1356" i="55"/>
  <c r="AF1356" i="55"/>
  <c r="AD1356" i="55"/>
  <c r="AG1356" i="55"/>
  <c r="AK1356" i="55"/>
  <c r="AL1356" i="55"/>
  <c r="Z1356" i="55"/>
  <c r="AH1356" i="55"/>
  <c r="L1356" i="55"/>
  <c r="AT1356" i="55"/>
  <c r="G1356" i="55"/>
  <c r="W1356" i="55"/>
  <c r="C1356" i="55"/>
  <c r="AC1356" i="55"/>
  <c r="X1356" i="55"/>
  <c r="M1356" i="55"/>
  <c r="S1356" i="55"/>
  <c r="N1356" i="55"/>
  <c r="B1356" i="55"/>
  <c r="H1356" i="55"/>
  <c r="V1356" i="55"/>
  <c r="AN1356" i="55"/>
  <c r="AB1356" i="55"/>
  <c r="AQ1356" i="55"/>
  <c r="I1356" i="55"/>
  <c r="D1356" i="55"/>
  <c r="A1356" i="55"/>
  <c r="AM1356" i="55"/>
  <c r="U1356" i="55"/>
  <c r="BF1072" i="26" l="1"/>
  <c r="BC1072" i="26"/>
  <c r="AV1072" i="55" s="1"/>
  <c r="BD1072" i="26"/>
  <c r="BU1072" i="26"/>
  <c r="V1072" i="26"/>
  <c r="BE786" i="26"/>
  <c r="BV789" i="26"/>
  <c r="BJ1072" i="26"/>
  <c r="R1072" i="26"/>
  <c r="AV1072" i="26"/>
  <c r="BN1072" i="26"/>
  <c r="U1072" i="26"/>
  <c r="AM1072" i="26"/>
  <c r="AW1072" i="26"/>
  <c r="D1072" i="26"/>
  <c r="BV1072" i="26"/>
  <c r="BE1072" i="26"/>
  <c r="AS1072" i="26"/>
  <c r="I1072" i="26"/>
  <c r="P1072" i="26"/>
  <c r="B1072" i="26"/>
  <c r="AK1072" i="26"/>
  <c r="H1072" i="26"/>
  <c r="S1072" i="26"/>
  <c r="Q1072" i="26"/>
  <c r="L1072" i="26"/>
  <c r="BX1072" i="26"/>
  <c r="BK1072" i="26"/>
  <c r="F1072" i="26"/>
  <c r="BW1072" i="26"/>
  <c r="BO1072" i="26"/>
  <c r="BQ1072" i="26"/>
  <c r="BP1072" i="26"/>
  <c r="AO1072" i="26"/>
  <c r="BM1072" i="26"/>
  <c r="O1072" i="26"/>
  <c r="AP1072" i="26"/>
  <c r="C1072" i="26"/>
  <c r="K1072" i="26"/>
  <c r="M1072" i="26" s="1"/>
  <c r="N1072" i="26" s="1"/>
  <c r="BA1072" i="26"/>
  <c r="AT1072" i="26"/>
  <c r="BG1072" i="26"/>
  <c r="AY1072" i="26"/>
  <c r="BI1072" i="26"/>
  <c r="AF1072" i="26"/>
  <c r="AR1072" i="26"/>
  <c r="X1072" i="26"/>
  <c r="AX1072" i="26"/>
  <c r="BL1072" i="26"/>
  <c r="BR1072" i="26"/>
  <c r="BT1072" i="26"/>
  <c r="AJ1072" i="26"/>
  <c r="W1072" i="26"/>
  <c r="AU1072" i="26"/>
  <c r="T1072" i="26"/>
  <c r="A1072" i="26"/>
  <c r="G1072" i="26"/>
  <c r="E1357" i="55"/>
  <c r="BV788" i="26" l="1"/>
  <c r="BE785" i="26"/>
  <c r="O1357" i="55"/>
  <c r="E1073" i="26"/>
  <c r="Z1357" i="55"/>
  <c r="AI1357" i="55"/>
  <c r="Q1357" i="55"/>
  <c r="P1357" i="55"/>
  <c r="K1357" i="55"/>
  <c r="AO1357" i="55"/>
  <c r="AF1357" i="55"/>
  <c r="AD1357" i="55"/>
  <c r="AL1357" i="55"/>
  <c r="AG1357" i="55"/>
  <c r="AK1357" i="55"/>
  <c r="N1357" i="55"/>
  <c r="AM1357" i="55"/>
  <c r="AH1357" i="55"/>
  <c r="AT1357" i="55"/>
  <c r="L1357" i="55"/>
  <c r="V1357" i="55"/>
  <c r="AN1357" i="55"/>
  <c r="M1357" i="55"/>
  <c r="X1357" i="55"/>
  <c r="C1357" i="55"/>
  <c r="S1357" i="55"/>
  <c r="G1357" i="55"/>
  <c r="W1357" i="55"/>
  <c r="B1357" i="55"/>
  <c r="AQ1357" i="55"/>
  <c r="A1357" i="55"/>
  <c r="D1357" i="55"/>
  <c r="AB1357" i="55"/>
  <c r="U1357" i="55"/>
  <c r="AC1357" i="55"/>
  <c r="H1357" i="55"/>
  <c r="I1357" i="55"/>
  <c r="BF1073" i="26" l="1"/>
  <c r="BC1073" i="26"/>
  <c r="AV1073" i="55" s="1"/>
  <c r="BD1073" i="26"/>
  <c r="BU1073" i="26"/>
  <c r="V1073" i="26"/>
  <c r="BE784" i="26"/>
  <c r="BV787" i="26"/>
  <c r="U1073" i="26"/>
  <c r="W1073" i="26"/>
  <c r="AK1073" i="26"/>
  <c r="BX1073" i="26"/>
  <c r="BJ1073" i="26"/>
  <c r="AT1073" i="26"/>
  <c r="AR1073" i="26"/>
  <c r="R1073" i="26"/>
  <c r="P1073" i="26"/>
  <c r="AU1073" i="26"/>
  <c r="C1073" i="26"/>
  <c r="AS1073" i="26"/>
  <c r="AJ1073" i="26"/>
  <c r="BG1073" i="26"/>
  <c r="D1073" i="26"/>
  <c r="BM1073" i="26"/>
  <c r="AO1073" i="26"/>
  <c r="BL1073" i="26"/>
  <c r="S1073" i="26"/>
  <c r="AP1073" i="26"/>
  <c r="O1073" i="26"/>
  <c r="BN1073" i="26"/>
  <c r="T1073" i="26"/>
  <c r="BV1073" i="26"/>
  <c r="B1073" i="26"/>
  <c r="BE1073" i="26"/>
  <c r="AX1073" i="26"/>
  <c r="BR1073" i="26"/>
  <c r="BW1073" i="26"/>
  <c r="F1073" i="26"/>
  <c r="BI1073" i="26"/>
  <c r="AY1073" i="26"/>
  <c r="AW1073" i="26"/>
  <c r="H1073" i="26"/>
  <c r="BA1073" i="26"/>
  <c r="K1073" i="26"/>
  <c r="M1073" i="26" s="1"/>
  <c r="N1073" i="26" s="1"/>
  <c r="G1073" i="26"/>
  <c r="AV1073" i="26"/>
  <c r="BP1073" i="26"/>
  <c r="X1073" i="26"/>
  <c r="I1073" i="26"/>
  <c r="BK1073" i="26"/>
  <c r="AM1073" i="26"/>
  <c r="BO1073" i="26"/>
  <c r="BQ1073" i="26"/>
  <c r="AF1073" i="26"/>
  <c r="Q1073" i="26"/>
  <c r="A1073" i="26"/>
  <c r="L1073" i="26"/>
  <c r="BT1073" i="26"/>
  <c r="E1358" i="55"/>
  <c r="BV786" i="26" l="1"/>
  <c r="BE783" i="26"/>
  <c r="O1358" i="55"/>
  <c r="E1074" i="26"/>
  <c r="AO1358" i="55"/>
  <c r="AI1358" i="55"/>
  <c r="P1358" i="55"/>
  <c r="Q1358" i="55"/>
  <c r="K1358" i="55"/>
  <c r="AK1358" i="55"/>
  <c r="AD1358" i="55"/>
  <c r="Z1358" i="55"/>
  <c r="AF1358" i="55"/>
  <c r="AG1358" i="55"/>
  <c r="AL1358" i="55"/>
  <c r="M1358" i="55"/>
  <c r="D1358" i="55"/>
  <c r="X1358" i="55"/>
  <c r="V1358" i="55"/>
  <c r="N1358" i="55"/>
  <c r="B1358" i="55"/>
  <c r="AN1358" i="55"/>
  <c r="C1358" i="55"/>
  <c r="AT1358" i="55"/>
  <c r="AC1358" i="55"/>
  <c r="AH1358" i="55"/>
  <c r="I1358" i="55"/>
  <c r="H1358" i="55"/>
  <c r="L1358" i="55"/>
  <c r="AM1358" i="55"/>
  <c r="A1358" i="55"/>
  <c r="W1358" i="55"/>
  <c r="S1358" i="55"/>
  <c r="U1358" i="55"/>
  <c r="AB1358" i="55"/>
  <c r="AQ1358" i="55"/>
  <c r="G1358" i="55"/>
  <c r="BF1074" i="26" l="1"/>
  <c r="BC1074" i="26"/>
  <c r="BD1074" i="26"/>
  <c r="BU1074" i="26"/>
  <c r="V1074" i="26"/>
  <c r="BE782" i="26"/>
  <c r="BV785" i="26"/>
  <c r="AX1074" i="26"/>
  <c r="BQ1074" i="26"/>
  <c r="F1074" i="26"/>
  <c r="AY1074" i="26"/>
  <c r="W1074" i="26"/>
  <c r="AJ1074" i="26"/>
  <c r="S1074" i="26"/>
  <c r="AO1074" i="26"/>
  <c r="I1074" i="26"/>
  <c r="BV1074" i="26"/>
  <c r="BA1074" i="26"/>
  <c r="Q1074" i="26"/>
  <c r="AM1074" i="26"/>
  <c r="AW1074" i="26"/>
  <c r="BO1074" i="26"/>
  <c r="BJ1074" i="26"/>
  <c r="BP1074" i="26"/>
  <c r="BT1074" i="26"/>
  <c r="K1074" i="26"/>
  <c r="M1074" i="26" s="1"/>
  <c r="N1074" i="26" s="1"/>
  <c r="C1074" i="26"/>
  <c r="BW1074" i="26"/>
  <c r="L1074" i="26"/>
  <c r="D1074" i="26"/>
  <c r="BK1074" i="26"/>
  <c r="P1074" i="26"/>
  <c r="AP1074" i="26"/>
  <c r="AR1074" i="26"/>
  <c r="BM1074" i="26"/>
  <c r="B1074" i="26"/>
  <c r="AK1074" i="26"/>
  <c r="G1074" i="26"/>
  <c r="AV1074" i="55"/>
  <c r="AS1074" i="26"/>
  <c r="AV1074" i="26"/>
  <c r="BN1074" i="26"/>
  <c r="X1074" i="26"/>
  <c r="O1074" i="26"/>
  <c r="BL1074" i="26"/>
  <c r="BG1074" i="26"/>
  <c r="R1074" i="26"/>
  <c r="BE1074" i="26"/>
  <c r="U1074" i="26"/>
  <c r="H1074" i="26"/>
  <c r="AU1074" i="26"/>
  <c r="AF1074" i="26"/>
  <c r="BI1074" i="26"/>
  <c r="BX1074" i="26"/>
  <c r="BR1074" i="26"/>
  <c r="T1074" i="26"/>
  <c r="AT1074" i="26"/>
  <c r="A1074" i="26"/>
  <c r="E1359" i="55"/>
  <c r="BV784" i="26" l="1"/>
  <c r="BE781" i="26"/>
  <c r="O1359" i="55"/>
  <c r="E1075" i="26"/>
  <c r="Z1359" i="55"/>
  <c r="AI1359" i="55"/>
  <c r="Q1359" i="55"/>
  <c r="P1359" i="55"/>
  <c r="K1359" i="55"/>
  <c r="AL1359" i="55"/>
  <c r="AK1359" i="55"/>
  <c r="AD1359" i="55"/>
  <c r="AO1359" i="55"/>
  <c r="I1359" i="55"/>
  <c r="AC1359" i="55"/>
  <c r="W1359" i="55"/>
  <c r="AT1359" i="55"/>
  <c r="N1359" i="55"/>
  <c r="AB1359" i="55"/>
  <c r="D1359" i="55"/>
  <c r="AM1359" i="55"/>
  <c r="C1359" i="55"/>
  <c r="AH1359" i="55"/>
  <c r="AN1359" i="55"/>
  <c r="H1359" i="55"/>
  <c r="A1359" i="55"/>
  <c r="S1359" i="55"/>
  <c r="V1359" i="55"/>
  <c r="G1359" i="55"/>
  <c r="U1359" i="55"/>
  <c r="X1359" i="55"/>
  <c r="B1359" i="55"/>
  <c r="L1359" i="55"/>
  <c r="M1359" i="55"/>
  <c r="AQ1359" i="55"/>
  <c r="AG1359" i="55"/>
  <c r="AF1359" i="55"/>
  <c r="BF1075" i="26" l="1"/>
  <c r="BC1075" i="26"/>
  <c r="BD1075" i="26"/>
  <c r="BU1075" i="26"/>
  <c r="V1075" i="26"/>
  <c r="BE780" i="26"/>
  <c r="BV783" i="26"/>
  <c r="AO1075" i="26"/>
  <c r="BP1075" i="26"/>
  <c r="AR1075" i="26"/>
  <c r="U1075" i="26"/>
  <c r="BG1075" i="26"/>
  <c r="BW1075" i="26"/>
  <c r="AX1075" i="26"/>
  <c r="BK1075" i="26"/>
  <c r="AJ1075" i="26"/>
  <c r="BX1075" i="26"/>
  <c r="A1075" i="26"/>
  <c r="H1075" i="26"/>
  <c r="BE1075" i="26"/>
  <c r="AY1075" i="26"/>
  <c r="D1075" i="26"/>
  <c r="BN1075" i="26"/>
  <c r="G1075" i="26"/>
  <c r="I1075" i="26"/>
  <c r="BJ1075" i="26"/>
  <c r="Q1075" i="26"/>
  <c r="BQ1075" i="26"/>
  <c r="AS1075" i="26"/>
  <c r="AK1075" i="26"/>
  <c r="B1075" i="26"/>
  <c r="AM1075" i="26"/>
  <c r="W1075" i="26"/>
  <c r="AU1075" i="26"/>
  <c r="P1075" i="26"/>
  <c r="O1075" i="26"/>
  <c r="AP1075" i="26"/>
  <c r="AT1075" i="26"/>
  <c r="BL1075" i="26"/>
  <c r="AV1075" i="26"/>
  <c r="BA1075" i="26"/>
  <c r="S1075" i="26"/>
  <c r="X1075" i="26"/>
  <c r="T1075" i="26"/>
  <c r="C1075" i="26"/>
  <c r="BM1075" i="26"/>
  <c r="F1075" i="26"/>
  <c r="BR1075" i="26"/>
  <c r="L1075" i="26"/>
  <c r="AV1075" i="55"/>
  <c r="R1075" i="26"/>
  <c r="AW1075" i="26"/>
  <c r="K1075" i="26"/>
  <c r="M1075" i="26" s="1"/>
  <c r="N1075" i="26" s="1"/>
  <c r="AF1075" i="26"/>
  <c r="BO1075" i="26"/>
  <c r="BV1075" i="26"/>
  <c r="BI1075" i="26"/>
  <c r="BT1075" i="26"/>
  <c r="E1360" i="55"/>
  <c r="BV782" i="26" l="1"/>
  <c r="BE779" i="26"/>
  <c r="O1360" i="55"/>
  <c r="E1076" i="26"/>
  <c r="AO1360" i="55"/>
  <c r="Q1360" i="55"/>
  <c r="P1360" i="55"/>
  <c r="K1360" i="55"/>
  <c r="AI1360" i="55"/>
  <c r="AK1360" i="55"/>
  <c r="AG1360" i="55"/>
  <c r="AF1360" i="55"/>
  <c r="AL1360" i="55"/>
  <c r="AD1360" i="55"/>
  <c r="Z1360" i="55"/>
  <c r="C1360" i="55"/>
  <c r="D1360" i="55"/>
  <c r="A1360" i="55"/>
  <c r="W1360" i="55"/>
  <c r="AN1360" i="55"/>
  <c r="G1360" i="55"/>
  <c r="L1360" i="55"/>
  <c r="AH1360" i="55"/>
  <c r="AC1360" i="55"/>
  <c r="U1360" i="55"/>
  <c r="S1360" i="55"/>
  <c r="B1360" i="55"/>
  <c r="AT1360" i="55"/>
  <c r="AM1360" i="55"/>
  <c r="I1360" i="55"/>
  <c r="H1360" i="55"/>
  <c r="AB1360" i="55"/>
  <c r="AQ1360" i="55"/>
  <c r="N1360" i="55"/>
  <c r="V1360" i="55"/>
  <c r="X1360" i="55"/>
  <c r="M1360" i="55"/>
  <c r="BF1076" i="26" l="1"/>
  <c r="BC1076" i="26"/>
  <c r="AV1076" i="55" s="1"/>
  <c r="BD1076" i="26"/>
  <c r="BU1076" i="26"/>
  <c r="V1076" i="26"/>
  <c r="BE778" i="26"/>
  <c r="BV781" i="26"/>
  <c r="H1076" i="26"/>
  <c r="BA1076" i="26"/>
  <c r="BK1076" i="26"/>
  <c r="U1076" i="26"/>
  <c r="W1076" i="26"/>
  <c r="BJ1076" i="26"/>
  <c r="AR1076" i="26"/>
  <c r="AS1076" i="26"/>
  <c r="BO1076" i="26"/>
  <c r="S1076" i="26"/>
  <c r="BV1076" i="26"/>
  <c r="BE1076" i="26"/>
  <c r="AW1076" i="26"/>
  <c r="BW1076" i="26"/>
  <c r="BR1076" i="26"/>
  <c r="L1076" i="26"/>
  <c r="AY1076" i="26"/>
  <c r="O1076" i="26"/>
  <c r="Q1076" i="26"/>
  <c r="BP1076" i="26"/>
  <c r="G1076" i="26"/>
  <c r="AX1076" i="26"/>
  <c r="A1076" i="26"/>
  <c r="P1076" i="26"/>
  <c r="D1076" i="26"/>
  <c r="BX1076" i="26"/>
  <c r="BN1076" i="26"/>
  <c r="R1076" i="26"/>
  <c r="AT1076" i="26"/>
  <c r="BM1076" i="26"/>
  <c r="BQ1076" i="26"/>
  <c r="AP1076" i="26"/>
  <c r="C1076" i="26"/>
  <c r="AJ1076" i="26"/>
  <c r="AV1076" i="26"/>
  <c r="AU1076" i="26"/>
  <c r="AK1076" i="26"/>
  <c r="AO1076" i="26"/>
  <c r="B1076" i="26"/>
  <c r="BL1076" i="26"/>
  <c r="BI1076" i="26"/>
  <c r="X1076" i="26"/>
  <c r="AM1076" i="26"/>
  <c r="AF1076" i="26"/>
  <c r="K1076" i="26"/>
  <c r="M1076" i="26" s="1"/>
  <c r="N1076" i="26" s="1"/>
  <c r="BT1076" i="26"/>
  <c r="BG1076" i="26"/>
  <c r="T1076" i="26"/>
  <c r="F1076" i="26"/>
  <c r="I1076" i="26"/>
  <c r="E1361" i="55"/>
  <c r="BV780" i="26" l="1"/>
  <c r="BE777" i="26"/>
  <c r="O1361" i="55"/>
  <c r="E1077" i="26"/>
  <c r="AL1361" i="55"/>
  <c r="AI1361" i="55"/>
  <c r="Q1361" i="55"/>
  <c r="P1361" i="55"/>
  <c r="K1361" i="55"/>
  <c r="AD1361" i="55"/>
  <c r="AO1361" i="55"/>
  <c r="AG1361" i="55"/>
  <c r="Z1361" i="55"/>
  <c r="AF1361" i="55"/>
  <c r="AK1361" i="55"/>
  <c r="I1361" i="55"/>
  <c r="AM1361" i="55"/>
  <c r="B1361" i="55"/>
  <c r="S1361" i="55"/>
  <c r="H1361" i="55"/>
  <c r="U1361" i="55"/>
  <c r="A1361" i="55"/>
  <c r="M1361" i="55"/>
  <c r="G1361" i="55"/>
  <c r="AH1361" i="55"/>
  <c r="AN1361" i="55"/>
  <c r="N1361" i="55"/>
  <c r="AT1361" i="55"/>
  <c r="AC1361" i="55"/>
  <c r="AB1361" i="55"/>
  <c r="X1361" i="55"/>
  <c r="L1361" i="55"/>
  <c r="C1361" i="55"/>
  <c r="D1361" i="55"/>
  <c r="V1361" i="55"/>
  <c r="W1361" i="55"/>
  <c r="AQ1361" i="55"/>
  <c r="BF1077" i="26" l="1"/>
  <c r="BC1077" i="26"/>
  <c r="BU1077" i="26"/>
  <c r="BD1077" i="26"/>
  <c r="V1077" i="26"/>
  <c r="BV779" i="26"/>
  <c r="BE776" i="26"/>
  <c r="L1077" i="26"/>
  <c r="BT1077" i="26"/>
  <c r="P1077" i="26"/>
  <c r="K1077" i="26"/>
  <c r="M1077" i="26" s="1"/>
  <c r="N1077" i="26" s="1"/>
  <c r="AM1077" i="26"/>
  <c r="BE1077" i="26"/>
  <c r="AX1077" i="26"/>
  <c r="AR1077" i="26"/>
  <c r="B1077" i="26"/>
  <c r="AP1077" i="26"/>
  <c r="BR1077" i="26"/>
  <c r="AJ1077" i="26"/>
  <c r="BW1077" i="26"/>
  <c r="AV1077" i="26"/>
  <c r="AY1077" i="26"/>
  <c r="C1077" i="26"/>
  <c r="BV1077" i="26"/>
  <c r="BO1077" i="26"/>
  <c r="BQ1077" i="26"/>
  <c r="BI1077" i="26"/>
  <c r="I1077" i="26"/>
  <c r="BX1077" i="26"/>
  <c r="BL1077" i="26"/>
  <c r="S1077" i="26"/>
  <c r="BA1077" i="26"/>
  <c r="AF1077" i="26"/>
  <c r="R1077" i="26"/>
  <c r="W1077" i="26"/>
  <c r="X1077" i="26"/>
  <c r="BN1077" i="26"/>
  <c r="G1077" i="26"/>
  <c r="T1077" i="26"/>
  <c r="BK1077" i="26"/>
  <c r="BJ1077" i="26"/>
  <c r="O1077" i="26"/>
  <c r="F1077" i="26"/>
  <c r="AK1077" i="26"/>
  <c r="BG1077" i="26"/>
  <c r="AV1077" i="55"/>
  <c r="Q1077" i="26"/>
  <c r="A1077" i="26"/>
  <c r="D1077" i="26"/>
  <c r="AS1077" i="26"/>
  <c r="H1077" i="26"/>
  <c r="BM1077" i="26"/>
  <c r="AT1077" i="26"/>
  <c r="AO1077" i="26"/>
  <c r="BP1077" i="26"/>
  <c r="AU1077" i="26"/>
  <c r="U1077" i="26"/>
  <c r="AW1077" i="26"/>
  <c r="E1362" i="55"/>
  <c r="BE775" i="26" l="1"/>
  <c r="BV778" i="26"/>
  <c r="O1362" i="55"/>
  <c r="E1078" i="26"/>
  <c r="AK1362" i="55"/>
  <c r="AI1362" i="55"/>
  <c r="Q1362" i="55"/>
  <c r="P1362" i="55"/>
  <c r="K1362" i="55"/>
  <c r="AF1362" i="55"/>
  <c r="AL1362" i="55"/>
  <c r="AD1362" i="55"/>
  <c r="AO1362" i="55"/>
  <c r="Z1362" i="55"/>
  <c r="AG1362" i="55"/>
  <c r="M1362" i="55"/>
  <c r="X1362" i="55"/>
  <c r="AT1362" i="55"/>
  <c r="AC1362" i="55"/>
  <c r="AB1362" i="55"/>
  <c r="I1362" i="55"/>
  <c r="G1362" i="55"/>
  <c r="V1362" i="55"/>
  <c r="S1362" i="55"/>
  <c r="H1362" i="55"/>
  <c r="D1362" i="55"/>
  <c r="C1362" i="55"/>
  <c r="L1362" i="55"/>
  <c r="N1362" i="55"/>
  <c r="AN1362" i="55"/>
  <c r="AH1362" i="55"/>
  <c r="W1362" i="55"/>
  <c r="B1362" i="55"/>
  <c r="AQ1362" i="55"/>
  <c r="A1362" i="55"/>
  <c r="AM1362" i="55"/>
  <c r="U1362" i="55"/>
  <c r="BF1078" i="26" l="1"/>
  <c r="BC1078" i="26"/>
  <c r="AV1078" i="55" s="1"/>
  <c r="BD1078" i="26"/>
  <c r="BU1078" i="26"/>
  <c r="V1078" i="26"/>
  <c r="BV777" i="26"/>
  <c r="BE774" i="26"/>
  <c r="L1078" i="26"/>
  <c r="AM1078" i="26"/>
  <c r="AK1078" i="26"/>
  <c r="BM1078" i="26"/>
  <c r="C1078" i="26"/>
  <c r="BO1078" i="26"/>
  <c r="BP1078" i="26"/>
  <c r="AS1078" i="26"/>
  <c r="BT1078" i="26"/>
  <c r="BQ1078" i="26"/>
  <c r="AR1078" i="26"/>
  <c r="BV1078" i="26"/>
  <c r="BW1078" i="26"/>
  <c r="AY1078" i="26"/>
  <c r="BJ1078" i="26"/>
  <c r="D1078" i="26"/>
  <c r="BL1078" i="26"/>
  <c r="BA1078" i="26"/>
  <c r="AJ1078" i="26"/>
  <c r="BE1078" i="26"/>
  <c r="BR1078" i="26"/>
  <c r="AX1078" i="26"/>
  <c r="G1078" i="26"/>
  <c r="AP1078" i="26"/>
  <c r="BG1078" i="26"/>
  <c r="U1078" i="26"/>
  <c r="P1078" i="26"/>
  <c r="S1078" i="26"/>
  <c r="K1078" i="26"/>
  <c r="M1078" i="26" s="1"/>
  <c r="N1078" i="26" s="1"/>
  <c r="Q1078" i="26"/>
  <c r="BN1078" i="26"/>
  <c r="BI1078" i="26"/>
  <c r="AW1078" i="26"/>
  <c r="AF1078" i="26"/>
  <c r="AT1078" i="26"/>
  <c r="T1078" i="26"/>
  <c r="AO1078" i="26"/>
  <c r="B1078" i="26"/>
  <c r="R1078" i="26"/>
  <c r="F1078" i="26"/>
  <c r="BX1078" i="26"/>
  <c r="BK1078" i="26"/>
  <c r="O1078" i="26"/>
  <c r="I1078" i="26"/>
  <c r="H1078" i="26"/>
  <c r="AU1078" i="26"/>
  <c r="W1078" i="26"/>
  <c r="X1078" i="26"/>
  <c r="AV1078" i="26"/>
  <c r="A1078" i="26"/>
  <c r="E1363" i="55"/>
  <c r="BE773" i="26" l="1"/>
  <c r="BV776" i="26"/>
  <c r="E1079" i="26"/>
  <c r="BD1079" i="26" s="1"/>
  <c r="AD1363" i="55"/>
  <c r="O1363" i="55"/>
  <c r="AF1363" i="55"/>
  <c r="AI1363" i="55"/>
  <c r="Q1363" i="55"/>
  <c r="P1363" i="55"/>
  <c r="K1363" i="55"/>
  <c r="Z1363" i="55"/>
  <c r="AK1363" i="55"/>
  <c r="AL1363" i="55"/>
  <c r="AG1363" i="55"/>
  <c r="AO1363" i="55"/>
  <c r="AH1363" i="55"/>
  <c r="L1363" i="55"/>
  <c r="X1363" i="55"/>
  <c r="AB1363" i="55"/>
  <c r="H1363" i="55"/>
  <c r="AM1363" i="55"/>
  <c r="U1363" i="55"/>
  <c r="A1363" i="55"/>
  <c r="AC1363" i="55"/>
  <c r="M1363" i="55"/>
  <c r="I1363" i="55"/>
  <c r="V1363" i="55"/>
  <c r="S1363" i="55"/>
  <c r="AN1363" i="55"/>
  <c r="G1363" i="55"/>
  <c r="AT1363" i="55"/>
  <c r="D1363" i="55"/>
  <c r="C1363" i="55"/>
  <c r="B1363" i="55"/>
  <c r="W1363" i="55"/>
  <c r="N1363" i="55"/>
  <c r="AQ1363" i="55"/>
  <c r="BF1079" i="26" l="1"/>
  <c r="BC1079" i="26"/>
  <c r="BU1079" i="26"/>
  <c r="V1079" i="26"/>
  <c r="BE772" i="26"/>
  <c r="BV775" i="26"/>
  <c r="I1079" i="26"/>
  <c r="B1079" i="26"/>
  <c r="AV1079" i="55"/>
  <c r="BE1079" i="26"/>
  <c r="AY1079" i="26"/>
  <c r="AU1079" i="26"/>
  <c r="P1079" i="26"/>
  <c r="AK1079" i="26"/>
  <c r="BJ1079" i="26"/>
  <c r="BR1079" i="26"/>
  <c r="K1079" i="26"/>
  <c r="M1079" i="26" s="1"/>
  <c r="N1079" i="26" s="1"/>
  <c r="AV1079" i="26"/>
  <c r="R1079" i="26"/>
  <c r="A1079" i="26"/>
  <c r="AO1079" i="26"/>
  <c r="BL1079" i="26"/>
  <c r="F1079" i="26"/>
  <c r="BI1079" i="26"/>
  <c r="BT1079" i="26"/>
  <c r="AP1079" i="26"/>
  <c r="D1079" i="26"/>
  <c r="BV1079" i="26"/>
  <c r="O1079" i="26"/>
  <c r="S1079" i="26"/>
  <c r="AR1079" i="26"/>
  <c r="Q1079" i="26"/>
  <c r="BK1079" i="26"/>
  <c r="AS1079" i="26"/>
  <c r="C1079" i="26"/>
  <c r="BX1079" i="26"/>
  <c r="W1079" i="26"/>
  <c r="BP1079" i="26"/>
  <c r="X1079" i="26"/>
  <c r="AJ1079" i="26"/>
  <c r="U1079" i="26"/>
  <c r="G1079" i="26"/>
  <c r="AM1079" i="26"/>
  <c r="AF1079" i="26"/>
  <c r="AW1079" i="26"/>
  <c r="H1079" i="26"/>
  <c r="BQ1079" i="26"/>
  <c r="BM1079" i="26"/>
  <c r="AX1079" i="26"/>
  <c r="L1079" i="26"/>
  <c r="BA1079" i="26"/>
  <c r="BW1079" i="26"/>
  <c r="BN1079" i="26"/>
  <c r="AT1079" i="26"/>
  <c r="T1079" i="26"/>
  <c r="BO1079" i="26"/>
  <c r="BG1079" i="26"/>
  <c r="E1364" i="55"/>
  <c r="AK1364" i="55" s="1"/>
  <c r="BV774" i="26" l="1"/>
  <c r="BE771" i="26"/>
  <c r="O1364" i="55"/>
  <c r="E1080" i="26"/>
  <c r="AD1364" i="55"/>
  <c r="AI1364" i="55"/>
  <c r="Q1364" i="55"/>
  <c r="P1364" i="55"/>
  <c r="K1364" i="55"/>
  <c r="AG1364" i="55"/>
  <c r="AF1364" i="55"/>
  <c r="Z1364" i="55"/>
  <c r="AO1364" i="55"/>
  <c r="AL1364" i="55"/>
  <c r="C1364" i="55"/>
  <c r="X1364" i="55"/>
  <c r="S1364" i="55"/>
  <c r="M1364" i="55"/>
  <c r="B1364" i="55"/>
  <c r="W1364" i="55"/>
  <c r="V1364" i="55"/>
  <c r="D1364" i="55"/>
  <c r="AH1364" i="55"/>
  <c r="AN1364" i="55"/>
  <c r="G1364" i="55"/>
  <c r="U1364" i="55"/>
  <c r="H1364" i="55"/>
  <c r="AM1364" i="55"/>
  <c r="AQ1364" i="55"/>
  <c r="I1364" i="55"/>
  <c r="AB1364" i="55"/>
  <c r="N1364" i="55"/>
  <c r="AT1364" i="55"/>
  <c r="L1364" i="55"/>
  <c r="AC1364" i="55"/>
  <c r="A1364" i="55"/>
  <c r="BF1080" i="26" l="1"/>
  <c r="BC1080" i="26"/>
  <c r="BD1080" i="26"/>
  <c r="BU1080" i="26"/>
  <c r="V1080" i="26"/>
  <c r="BV773" i="26"/>
  <c r="BE770" i="26"/>
  <c r="W1080" i="26"/>
  <c r="AR1080" i="26"/>
  <c r="BA1080" i="26"/>
  <c r="BI1080" i="26"/>
  <c r="BO1080" i="26"/>
  <c r="AU1080" i="26"/>
  <c r="BE1080" i="26"/>
  <c r="AM1080" i="26"/>
  <c r="AX1080" i="26"/>
  <c r="BM1080" i="26"/>
  <c r="BJ1080" i="26"/>
  <c r="BT1080" i="26"/>
  <c r="BK1080" i="26"/>
  <c r="AO1080" i="26"/>
  <c r="F1080" i="26"/>
  <c r="BG1080" i="26"/>
  <c r="BV1080" i="26"/>
  <c r="BW1080" i="26"/>
  <c r="BL1080" i="26"/>
  <c r="A1080" i="26"/>
  <c r="P1080" i="26"/>
  <c r="D1080" i="26"/>
  <c r="BR1080" i="26"/>
  <c r="AJ1080" i="26"/>
  <c r="AY1080" i="26"/>
  <c r="C1080" i="26"/>
  <c r="U1080" i="26"/>
  <c r="R1080" i="26"/>
  <c r="BN1080" i="26"/>
  <c r="B1080" i="26"/>
  <c r="I1080" i="26"/>
  <c r="T1080" i="26"/>
  <c r="AF1080" i="26"/>
  <c r="AS1080" i="26"/>
  <c r="AT1080" i="26"/>
  <c r="BX1080" i="26"/>
  <c r="L1080" i="26"/>
  <c r="AV1080" i="55"/>
  <c r="Q1080" i="26"/>
  <c r="AV1080" i="26"/>
  <c r="BQ1080" i="26"/>
  <c r="BP1080" i="26"/>
  <c r="O1080" i="26"/>
  <c r="H1080" i="26"/>
  <c r="AK1080" i="26"/>
  <c r="G1080" i="26"/>
  <c r="S1080" i="26"/>
  <c r="X1080" i="26"/>
  <c r="AW1080" i="26"/>
  <c r="K1080" i="26"/>
  <c r="M1080" i="26" s="1"/>
  <c r="N1080" i="26" s="1"/>
  <c r="AP1080" i="26"/>
  <c r="E1365" i="55"/>
  <c r="BE769" i="26" l="1"/>
  <c r="BV772" i="26"/>
  <c r="O1365" i="55"/>
  <c r="E1081" i="26"/>
  <c r="AL1365" i="55"/>
  <c r="AG1365" i="55"/>
  <c r="AO1365" i="55"/>
  <c r="Z1365" i="55"/>
  <c r="AD1365" i="55"/>
  <c r="Q1365" i="55"/>
  <c r="AI1365" i="55"/>
  <c r="P1365" i="55"/>
  <c r="K1365" i="55"/>
  <c r="AK1365" i="55"/>
  <c r="AF1365" i="55"/>
  <c r="H1365" i="55"/>
  <c r="AQ1365" i="55"/>
  <c r="AB1365" i="55"/>
  <c r="A1365" i="55"/>
  <c r="W1365" i="55"/>
  <c r="AN1365" i="55"/>
  <c r="AT1365" i="55"/>
  <c r="L1365" i="55"/>
  <c r="N1365" i="55"/>
  <c r="S1365" i="55"/>
  <c r="AH1365" i="55"/>
  <c r="G1365" i="55"/>
  <c r="U1365" i="55"/>
  <c r="D1365" i="55"/>
  <c r="I1365" i="55"/>
  <c r="AM1365" i="55"/>
  <c r="M1365" i="55"/>
  <c r="AC1365" i="55"/>
  <c r="B1365" i="55"/>
  <c r="X1365" i="55"/>
  <c r="V1365" i="55"/>
  <c r="C1365" i="55"/>
  <c r="BF1081" i="26" l="1"/>
  <c r="BC1081" i="26"/>
  <c r="AV1081" i="55" s="1"/>
  <c r="BD1081" i="26"/>
  <c r="BU1081" i="26"/>
  <c r="V1081" i="26"/>
  <c r="BV771" i="26"/>
  <c r="BE768" i="26"/>
  <c r="L1081" i="26"/>
  <c r="T1081" i="26"/>
  <c r="BO1081" i="26"/>
  <c r="AJ1081" i="26"/>
  <c r="S1081" i="26"/>
  <c r="BR1081" i="26"/>
  <c r="AY1081" i="26"/>
  <c r="BI1081" i="26"/>
  <c r="B1081" i="26"/>
  <c r="P1081" i="26"/>
  <c r="AU1081" i="26"/>
  <c r="H1081" i="26"/>
  <c r="BK1081" i="26"/>
  <c r="AW1081" i="26"/>
  <c r="AR1081" i="26"/>
  <c r="BM1081" i="26"/>
  <c r="X1081" i="26"/>
  <c r="BJ1081" i="26"/>
  <c r="F1081" i="26"/>
  <c r="AK1081" i="26"/>
  <c r="BV1081" i="26"/>
  <c r="W1081" i="26"/>
  <c r="G1081" i="26"/>
  <c r="BT1081" i="26"/>
  <c r="AX1081" i="26"/>
  <c r="U1081" i="26"/>
  <c r="AV1081" i="26"/>
  <c r="BE1081" i="26"/>
  <c r="BN1081" i="26"/>
  <c r="K1081" i="26"/>
  <c r="M1081" i="26" s="1"/>
  <c r="N1081" i="26" s="1"/>
  <c r="BW1081" i="26"/>
  <c r="A1081" i="26"/>
  <c r="BX1081" i="26"/>
  <c r="AF1081" i="26"/>
  <c r="BL1081" i="26"/>
  <c r="D1081" i="26"/>
  <c r="I1081" i="26"/>
  <c r="C1081" i="26"/>
  <c r="R1081" i="26"/>
  <c r="AS1081" i="26"/>
  <c r="AT1081" i="26"/>
  <c r="BP1081" i="26"/>
  <c r="Q1081" i="26"/>
  <c r="BQ1081" i="26"/>
  <c r="BA1081" i="26"/>
  <c r="O1081" i="26"/>
  <c r="BG1081" i="26"/>
  <c r="AO1081" i="26"/>
  <c r="AP1081" i="26"/>
  <c r="AM1081" i="26"/>
  <c r="E1366" i="55"/>
  <c r="BV770" i="26" l="1"/>
  <c r="BE767" i="26"/>
  <c r="E1082" i="26"/>
  <c r="BD1082" i="26" s="1"/>
  <c r="AD1366" i="55"/>
  <c r="O1366" i="55"/>
  <c r="AF1366" i="55"/>
  <c r="AI1366" i="55"/>
  <c r="P1366" i="55"/>
  <c r="Q1366" i="55"/>
  <c r="K1366" i="55"/>
  <c r="Z1366" i="55"/>
  <c r="AK1366" i="55"/>
  <c r="AL1366" i="55"/>
  <c r="AO1366" i="55"/>
  <c r="AG1366" i="55"/>
  <c r="AN1366" i="55"/>
  <c r="S1366" i="55"/>
  <c r="U1366" i="55"/>
  <c r="AQ1366" i="55"/>
  <c r="H1366" i="55"/>
  <c r="AB1366" i="55"/>
  <c r="A1366" i="55"/>
  <c r="AH1366" i="55"/>
  <c r="D1366" i="55"/>
  <c r="AT1366" i="55"/>
  <c r="B1366" i="55"/>
  <c r="X1366" i="55"/>
  <c r="I1366" i="55"/>
  <c r="AM1366" i="55"/>
  <c r="L1366" i="55"/>
  <c r="C1366" i="55"/>
  <c r="AC1366" i="55"/>
  <c r="N1366" i="55"/>
  <c r="W1366" i="55"/>
  <c r="G1366" i="55"/>
  <c r="M1366" i="55"/>
  <c r="V1366" i="55"/>
  <c r="BF1082" i="26" l="1"/>
  <c r="BC1082" i="26"/>
  <c r="BU1082" i="26"/>
  <c r="V1082" i="26"/>
  <c r="BE766" i="26"/>
  <c r="BV769" i="26"/>
  <c r="O1082" i="26"/>
  <c r="AM1082" i="26"/>
  <c r="P1082" i="26"/>
  <c r="F1082" i="26"/>
  <c r="D1082" i="26"/>
  <c r="A1082" i="26"/>
  <c r="AU1082" i="26"/>
  <c r="K1082" i="26"/>
  <c r="M1082" i="26" s="1"/>
  <c r="N1082" i="26" s="1"/>
  <c r="AF1082" i="26"/>
  <c r="BM1082" i="26"/>
  <c r="T1082" i="26"/>
  <c r="H1082" i="26"/>
  <c r="AR1082" i="26"/>
  <c r="AJ1082" i="26"/>
  <c r="B1082" i="26"/>
  <c r="L1082" i="26"/>
  <c r="BN1082" i="26"/>
  <c r="BG1082" i="26"/>
  <c r="C1082" i="26"/>
  <c r="AV1082" i="26"/>
  <c r="BA1082" i="26"/>
  <c r="AX1082" i="26"/>
  <c r="AY1082" i="26"/>
  <c r="AS1082" i="26"/>
  <c r="AK1082" i="26"/>
  <c r="BL1082" i="26"/>
  <c r="Q1082" i="26"/>
  <c r="AV1082" i="55"/>
  <c r="BI1082" i="26"/>
  <c r="BR1082" i="26"/>
  <c r="BW1082" i="26"/>
  <c r="BQ1082" i="26"/>
  <c r="AW1082" i="26"/>
  <c r="BX1082" i="26"/>
  <c r="AT1082" i="26"/>
  <c r="AO1082" i="26"/>
  <c r="AP1082" i="26"/>
  <c r="BP1082" i="26"/>
  <c r="X1082" i="26"/>
  <c r="BV1082" i="26"/>
  <c r="U1082" i="26"/>
  <c r="W1082" i="26"/>
  <c r="BO1082" i="26"/>
  <c r="I1082" i="26"/>
  <c r="BJ1082" i="26"/>
  <c r="BK1082" i="26"/>
  <c r="BE1082" i="26"/>
  <c r="S1082" i="26"/>
  <c r="BT1082" i="26"/>
  <c r="R1082" i="26"/>
  <c r="G1082" i="26"/>
  <c r="E1367" i="55"/>
  <c r="BV768" i="26" l="1"/>
  <c r="BE765" i="26"/>
  <c r="O1367" i="55"/>
  <c r="E1083" i="26"/>
  <c r="AO1367" i="55"/>
  <c r="AG1367" i="55"/>
  <c r="AI1367" i="55"/>
  <c r="Q1367" i="55"/>
  <c r="P1367" i="55"/>
  <c r="K1367" i="55"/>
  <c r="Z1367" i="55"/>
  <c r="AK1367" i="55"/>
  <c r="AF1367" i="55"/>
  <c r="AQ1367" i="55"/>
  <c r="U1367" i="55"/>
  <c r="S1367" i="55"/>
  <c r="W1367" i="55"/>
  <c r="N1367" i="55"/>
  <c r="I1367" i="55"/>
  <c r="L1367" i="55"/>
  <c r="AM1367" i="55"/>
  <c r="B1367" i="55"/>
  <c r="AH1367" i="55"/>
  <c r="D1367" i="55"/>
  <c r="H1367" i="55"/>
  <c r="G1367" i="55"/>
  <c r="AN1367" i="55"/>
  <c r="C1367" i="55"/>
  <c r="AT1367" i="55"/>
  <c r="X1367" i="55"/>
  <c r="M1367" i="55"/>
  <c r="AB1367" i="55"/>
  <c r="V1367" i="55"/>
  <c r="AC1367" i="55"/>
  <c r="A1367" i="55"/>
  <c r="AL1367" i="55"/>
  <c r="AD1367" i="55"/>
  <c r="BF1083" i="26" l="1"/>
  <c r="BC1083" i="26"/>
  <c r="BD1083" i="26"/>
  <c r="BU1083" i="26"/>
  <c r="V1083" i="26"/>
  <c r="BE764" i="26"/>
  <c r="BV767" i="26"/>
  <c r="BT1083" i="26"/>
  <c r="BV1083" i="26"/>
  <c r="H1083" i="26"/>
  <c r="C1083" i="26"/>
  <c r="BN1083" i="26"/>
  <c r="W1083" i="26"/>
  <c r="B1083" i="26"/>
  <c r="S1083" i="26"/>
  <c r="O1083" i="26"/>
  <c r="AU1083" i="26"/>
  <c r="A1083" i="26"/>
  <c r="X1083" i="26"/>
  <c r="BO1083" i="26"/>
  <c r="BI1083" i="26"/>
  <c r="BG1083" i="26"/>
  <c r="BE1083" i="26"/>
  <c r="AS1083" i="26"/>
  <c r="F1083" i="26"/>
  <c r="AK1083" i="26"/>
  <c r="BA1083" i="26"/>
  <c r="BW1083" i="26"/>
  <c r="AP1083" i="26"/>
  <c r="BX1083" i="26"/>
  <c r="AV1083" i="26"/>
  <c r="AR1083" i="26"/>
  <c r="AJ1083" i="26"/>
  <c r="L1083" i="26"/>
  <c r="U1083" i="26"/>
  <c r="I1083" i="26"/>
  <c r="BL1083" i="26"/>
  <c r="AV1083" i="55"/>
  <c r="T1083" i="26"/>
  <c r="AW1083" i="26"/>
  <c r="D1083" i="26"/>
  <c r="K1083" i="26"/>
  <c r="M1083" i="26" s="1"/>
  <c r="N1083" i="26" s="1"/>
  <c r="AY1083" i="26"/>
  <c r="BJ1083" i="26"/>
  <c r="R1083" i="26"/>
  <c r="BP1083" i="26"/>
  <c r="G1083" i="26"/>
  <c r="AT1083" i="26"/>
  <c r="BK1083" i="26"/>
  <c r="AF1083" i="26"/>
  <c r="BQ1083" i="26"/>
  <c r="P1083" i="26"/>
  <c r="Q1083" i="26"/>
  <c r="AO1083" i="26"/>
  <c r="BM1083" i="26"/>
  <c r="AM1083" i="26"/>
  <c r="BR1083" i="26"/>
  <c r="AX1083" i="26"/>
  <c r="E1368" i="55"/>
  <c r="BV766" i="26" l="1"/>
  <c r="BE763" i="26"/>
  <c r="O1368" i="55"/>
  <c r="E1084" i="26"/>
  <c r="AG1368" i="55"/>
  <c r="AI1368" i="55"/>
  <c r="Q1368" i="55"/>
  <c r="P1368" i="55"/>
  <c r="K1368" i="55"/>
  <c r="AO1368" i="55"/>
  <c r="AD1368" i="55"/>
  <c r="Z1368" i="55"/>
  <c r="AL1368" i="55"/>
  <c r="I1368" i="55"/>
  <c r="H1368" i="55"/>
  <c r="D1368" i="55"/>
  <c r="AN1368" i="55"/>
  <c r="A1368" i="55"/>
  <c r="AC1368" i="55"/>
  <c r="AH1368" i="55"/>
  <c r="M1368" i="55"/>
  <c r="AM1368" i="55"/>
  <c r="V1368" i="55"/>
  <c r="AQ1368" i="55"/>
  <c r="G1368" i="55"/>
  <c r="AT1368" i="55"/>
  <c r="S1368" i="55"/>
  <c r="U1368" i="55"/>
  <c r="X1368" i="55"/>
  <c r="AB1368" i="55"/>
  <c r="L1368" i="55"/>
  <c r="W1368" i="55"/>
  <c r="N1368" i="55"/>
  <c r="C1368" i="55"/>
  <c r="B1368" i="55"/>
  <c r="AK1368" i="55"/>
  <c r="AF1368" i="55"/>
  <c r="BF1084" i="26" l="1"/>
  <c r="BC1084" i="26"/>
  <c r="BD1084" i="26"/>
  <c r="BU1084" i="26"/>
  <c r="V1084" i="26"/>
  <c r="BE762" i="26"/>
  <c r="BV765" i="26"/>
  <c r="BW1084" i="26"/>
  <c r="C1084" i="26"/>
  <c r="BX1084" i="26"/>
  <c r="BE1084" i="26"/>
  <c r="BK1084" i="26"/>
  <c r="A1084" i="26"/>
  <c r="W1084" i="26"/>
  <c r="P1084" i="26"/>
  <c r="AV1084" i="26"/>
  <c r="BA1084" i="26"/>
  <c r="AP1084" i="26"/>
  <c r="I1084" i="26"/>
  <c r="BI1084" i="26"/>
  <c r="BN1084" i="26"/>
  <c r="F1084" i="26"/>
  <c r="G1084" i="26"/>
  <c r="D1084" i="26"/>
  <c r="BO1084" i="26"/>
  <c r="BJ1084" i="26"/>
  <c r="BP1084" i="26"/>
  <c r="AF1084" i="26"/>
  <c r="AM1084" i="26"/>
  <c r="AV1084" i="55"/>
  <c r="AT1084" i="26"/>
  <c r="H1084" i="26"/>
  <c r="BM1084" i="26"/>
  <c r="AS1084" i="26"/>
  <c r="BQ1084" i="26"/>
  <c r="AK1084" i="26"/>
  <c r="BT1084" i="26"/>
  <c r="R1084" i="26"/>
  <c r="AO1084" i="26"/>
  <c r="AY1084" i="26"/>
  <c r="AX1084" i="26"/>
  <c r="BV1084" i="26"/>
  <c r="AW1084" i="26"/>
  <c r="K1084" i="26"/>
  <c r="M1084" i="26" s="1"/>
  <c r="N1084" i="26" s="1"/>
  <c r="BL1084" i="26"/>
  <c r="U1084" i="26"/>
  <c r="X1084" i="26"/>
  <c r="O1084" i="26"/>
  <c r="AU1084" i="26"/>
  <c r="Q1084" i="26"/>
  <c r="T1084" i="26"/>
  <c r="L1084" i="26"/>
  <c r="BR1084" i="26"/>
  <c r="AR1084" i="26"/>
  <c r="AJ1084" i="26"/>
  <c r="B1084" i="26"/>
  <c r="BG1084" i="26"/>
  <c r="S1084" i="26"/>
  <c r="E1369" i="55"/>
  <c r="BV764" i="26" l="1"/>
  <c r="BE761" i="26"/>
  <c r="E1085" i="26"/>
  <c r="BD1085" i="26" s="1"/>
  <c r="Z1369" i="55"/>
  <c r="O1369" i="55"/>
  <c r="AI1369" i="55"/>
  <c r="Q1369" i="55"/>
  <c r="P1369" i="55"/>
  <c r="K1369" i="55"/>
  <c r="AD1369" i="55"/>
  <c r="AK1369" i="55"/>
  <c r="AO1369" i="55"/>
  <c r="AF1369" i="55"/>
  <c r="AN1369" i="55"/>
  <c r="G1369" i="55"/>
  <c r="B1369" i="55"/>
  <c r="D1369" i="55"/>
  <c r="S1369" i="55"/>
  <c r="AQ1369" i="55"/>
  <c r="C1369" i="55"/>
  <c r="H1369" i="55"/>
  <c r="L1369" i="55"/>
  <c r="V1369" i="55"/>
  <c r="W1369" i="55"/>
  <c r="M1369" i="55"/>
  <c r="AM1369" i="55"/>
  <c r="AB1369" i="55"/>
  <c r="U1369" i="55"/>
  <c r="I1369" i="55"/>
  <c r="AH1369" i="55"/>
  <c r="AC1369" i="55"/>
  <c r="A1369" i="55"/>
  <c r="N1369" i="55"/>
  <c r="AT1369" i="55"/>
  <c r="X1369" i="55"/>
  <c r="AG1369" i="55"/>
  <c r="AL1369" i="55"/>
  <c r="BF1085" i="26" l="1"/>
  <c r="BC1085" i="26"/>
  <c r="AV1085" i="55" s="1"/>
  <c r="BU1085" i="26"/>
  <c r="V1085" i="26"/>
  <c r="BE760" i="26"/>
  <c r="BV763" i="26"/>
  <c r="BG1085" i="26"/>
  <c r="A1085" i="26"/>
  <c r="I1085" i="26"/>
  <c r="AJ1085" i="26"/>
  <c r="W1085" i="26"/>
  <c r="U1085" i="26"/>
  <c r="Q1085" i="26"/>
  <c r="BJ1085" i="26"/>
  <c r="H1085" i="26"/>
  <c r="AU1085" i="26"/>
  <c r="AV1085" i="26"/>
  <c r="BQ1085" i="26"/>
  <c r="P1085" i="26"/>
  <c r="AR1085" i="26"/>
  <c r="AX1085" i="26"/>
  <c r="B1085" i="26"/>
  <c r="T1085" i="26"/>
  <c r="F1085" i="26"/>
  <c r="BP1085" i="26"/>
  <c r="AW1085" i="26"/>
  <c r="BL1085" i="26"/>
  <c r="AT1085" i="26"/>
  <c r="BR1085" i="26"/>
  <c r="AS1085" i="26"/>
  <c r="BI1085" i="26"/>
  <c r="AO1085" i="26"/>
  <c r="C1085" i="26"/>
  <c r="BM1085" i="26"/>
  <c r="BT1085" i="26"/>
  <c r="AF1085" i="26"/>
  <c r="BV1085" i="26"/>
  <c r="D1085" i="26"/>
  <c r="BW1085" i="26"/>
  <c r="S1085" i="26"/>
  <c r="BK1085" i="26"/>
  <c r="O1085" i="26"/>
  <c r="G1085" i="26"/>
  <c r="AK1085" i="26"/>
  <c r="BX1085" i="26"/>
  <c r="AP1085" i="26"/>
  <c r="AY1085" i="26"/>
  <c r="AM1085" i="26"/>
  <c r="BA1085" i="26"/>
  <c r="BO1085" i="26"/>
  <c r="BE1085" i="26"/>
  <c r="X1085" i="26"/>
  <c r="R1085" i="26"/>
  <c r="K1085" i="26"/>
  <c r="M1085" i="26" s="1"/>
  <c r="N1085" i="26" s="1"/>
  <c r="L1085" i="26"/>
  <c r="BN1085" i="26"/>
  <c r="E1370" i="55"/>
  <c r="BV762" i="26" l="1"/>
  <c r="BE759" i="26"/>
  <c r="O1370" i="55"/>
  <c r="E1086" i="26"/>
  <c r="AO1370" i="55"/>
  <c r="AI1370" i="55"/>
  <c r="P1370" i="55"/>
  <c r="Q1370" i="55"/>
  <c r="K1370" i="55"/>
  <c r="Z1370" i="55"/>
  <c r="AK1370" i="55"/>
  <c r="AG1370" i="55"/>
  <c r="AD1370" i="55"/>
  <c r="AF1370" i="55"/>
  <c r="AL1370" i="55"/>
  <c r="AC1370" i="55"/>
  <c r="X1370" i="55"/>
  <c r="M1370" i="55"/>
  <c r="B1370" i="55"/>
  <c r="S1370" i="55"/>
  <c r="I1370" i="55"/>
  <c r="G1370" i="55"/>
  <c r="A1370" i="55"/>
  <c r="AM1370" i="55"/>
  <c r="N1370" i="55"/>
  <c r="L1370" i="55"/>
  <c r="D1370" i="55"/>
  <c r="AH1370" i="55"/>
  <c r="AT1370" i="55"/>
  <c r="AB1370" i="55"/>
  <c r="W1370" i="55"/>
  <c r="C1370" i="55"/>
  <c r="U1370" i="55"/>
  <c r="AQ1370" i="55"/>
  <c r="AN1370" i="55"/>
  <c r="H1370" i="55"/>
  <c r="V1370" i="55"/>
  <c r="BF1086" i="26" l="1"/>
  <c r="BC1086" i="26"/>
  <c r="AV1086" i="55" s="1"/>
  <c r="BD1086" i="26"/>
  <c r="BU1086" i="26"/>
  <c r="V1086" i="26"/>
  <c r="BE758" i="26"/>
  <c r="BV761" i="26"/>
  <c r="W1086" i="26"/>
  <c r="AX1086" i="26"/>
  <c r="AP1086" i="26"/>
  <c r="BG1086" i="26"/>
  <c r="A1086" i="26"/>
  <c r="AO1086" i="26"/>
  <c r="BJ1086" i="26"/>
  <c r="BQ1086" i="26"/>
  <c r="AU1086" i="26"/>
  <c r="AM1086" i="26"/>
  <c r="AS1086" i="26"/>
  <c r="AT1086" i="26"/>
  <c r="AJ1086" i="26"/>
  <c r="BI1086" i="26"/>
  <c r="I1086" i="26"/>
  <c r="AV1086" i="26"/>
  <c r="C1086" i="26"/>
  <c r="BP1086" i="26"/>
  <c r="P1086" i="26"/>
  <c r="BM1086" i="26"/>
  <c r="F1086" i="26"/>
  <c r="BN1086" i="26"/>
  <c r="BW1086" i="26"/>
  <c r="AY1086" i="26"/>
  <c r="BV1086" i="26"/>
  <c r="T1086" i="26"/>
  <c r="K1086" i="26"/>
  <c r="M1086" i="26" s="1"/>
  <c r="N1086" i="26" s="1"/>
  <c r="R1086" i="26"/>
  <c r="L1086" i="26"/>
  <c r="BL1086" i="26"/>
  <c r="U1086" i="26"/>
  <c r="S1086" i="26"/>
  <c r="B1086" i="26"/>
  <c r="BX1086" i="26"/>
  <c r="H1086" i="26"/>
  <c r="AR1086" i="26"/>
  <c r="BA1086" i="26"/>
  <c r="AK1086" i="26"/>
  <c r="D1086" i="26"/>
  <c r="BE1086" i="26"/>
  <c r="BO1086" i="26"/>
  <c r="BR1086" i="26"/>
  <c r="AF1086" i="26"/>
  <c r="BK1086" i="26"/>
  <c r="O1086" i="26"/>
  <c r="AW1086" i="26"/>
  <c r="BT1086" i="26"/>
  <c r="X1086" i="26"/>
  <c r="Q1086" i="26"/>
  <c r="G1086" i="26"/>
  <c r="E1371" i="55"/>
  <c r="BV760" i="26" l="1"/>
  <c r="BE757" i="26"/>
  <c r="E1087" i="26"/>
  <c r="BD1087" i="26" s="1"/>
  <c r="AG1371" i="55"/>
  <c r="O1371" i="55"/>
  <c r="Q1371" i="55"/>
  <c r="AI1371" i="55"/>
  <c r="K1371" i="55"/>
  <c r="P1371" i="55"/>
  <c r="AL1371" i="55"/>
  <c r="Z1371" i="55"/>
  <c r="AO1371" i="55"/>
  <c r="AF1371" i="55"/>
  <c r="AB1371" i="55"/>
  <c r="AQ1371" i="55"/>
  <c r="W1371" i="55"/>
  <c r="H1371" i="55"/>
  <c r="I1371" i="55"/>
  <c r="G1371" i="55"/>
  <c r="U1371" i="55"/>
  <c r="S1371" i="55"/>
  <c r="AN1371" i="55"/>
  <c r="B1371" i="55"/>
  <c r="X1371" i="55"/>
  <c r="N1371" i="55"/>
  <c r="AM1371" i="55"/>
  <c r="L1371" i="55"/>
  <c r="D1371" i="55"/>
  <c r="AH1371" i="55"/>
  <c r="AT1371" i="55"/>
  <c r="A1371" i="55"/>
  <c r="AC1371" i="55"/>
  <c r="V1371" i="55"/>
  <c r="M1371" i="55"/>
  <c r="C1371" i="55"/>
  <c r="AK1371" i="55"/>
  <c r="AD1371" i="55"/>
  <c r="BF1087" i="26" l="1"/>
  <c r="BC1087" i="26"/>
  <c r="BU1087" i="26"/>
  <c r="V1087" i="26"/>
  <c r="BE756" i="26"/>
  <c r="BV759" i="26"/>
  <c r="AR1087" i="26"/>
  <c r="BA1087" i="26"/>
  <c r="BE1087" i="26"/>
  <c r="O1087" i="26"/>
  <c r="Q1087" i="26"/>
  <c r="G1087" i="26"/>
  <c r="BM1087" i="26"/>
  <c r="AW1087" i="26"/>
  <c r="C1087" i="26"/>
  <c r="AK1087" i="26"/>
  <c r="L1087" i="26"/>
  <c r="BL1087" i="26"/>
  <c r="BQ1087" i="26"/>
  <c r="BV1087" i="26"/>
  <c r="BP1087" i="26"/>
  <c r="BI1087" i="26"/>
  <c r="AT1087" i="26"/>
  <c r="W1087" i="26"/>
  <c r="BX1087" i="26"/>
  <c r="A1087" i="26"/>
  <c r="AV1087" i="55"/>
  <c r="T1087" i="26"/>
  <c r="BT1087" i="26"/>
  <c r="S1087" i="26"/>
  <c r="F1087" i="26"/>
  <c r="B1087" i="26"/>
  <c r="AY1087" i="26"/>
  <c r="BN1087" i="26"/>
  <c r="P1087" i="26"/>
  <c r="R1087" i="26"/>
  <c r="H1087" i="26"/>
  <c r="AO1087" i="26"/>
  <c r="AP1087" i="26"/>
  <c r="AU1087" i="26"/>
  <c r="BJ1087" i="26"/>
  <c r="AX1087" i="26"/>
  <c r="BW1087" i="26"/>
  <c r="AJ1087" i="26"/>
  <c r="AM1087" i="26"/>
  <c r="BR1087" i="26"/>
  <c r="BG1087" i="26"/>
  <c r="X1087" i="26"/>
  <c r="U1087" i="26"/>
  <c r="BO1087" i="26"/>
  <c r="BK1087" i="26"/>
  <c r="D1087" i="26"/>
  <c r="I1087" i="26"/>
  <c r="AF1087" i="26"/>
  <c r="K1087" i="26"/>
  <c r="M1087" i="26" s="1"/>
  <c r="N1087" i="26" s="1"/>
  <c r="AS1087" i="26"/>
  <c r="AV1087" i="26"/>
  <c r="E1372" i="55"/>
  <c r="BV758" i="26" l="1"/>
  <c r="BE755" i="26"/>
  <c r="O1372" i="55"/>
  <c r="E1088" i="26"/>
  <c r="AG1372" i="55"/>
  <c r="AD1372" i="55"/>
  <c r="AK1372" i="55"/>
  <c r="AI1372" i="55"/>
  <c r="Q1372" i="55"/>
  <c r="P1372" i="55"/>
  <c r="K1372" i="55"/>
  <c r="Z1372" i="55"/>
  <c r="AF1372" i="55"/>
  <c r="AO1372" i="55"/>
  <c r="AL1372" i="55"/>
  <c r="AQ1372" i="55"/>
  <c r="H1372" i="55"/>
  <c r="AH1372" i="55"/>
  <c r="AB1372" i="55"/>
  <c r="M1372" i="55"/>
  <c r="I1372" i="55"/>
  <c r="W1372" i="55"/>
  <c r="X1372" i="55"/>
  <c r="G1372" i="55"/>
  <c r="C1372" i="55"/>
  <c r="AC1372" i="55"/>
  <c r="N1372" i="55"/>
  <c r="V1372" i="55"/>
  <c r="AT1372" i="55"/>
  <c r="AM1372" i="55"/>
  <c r="U1372" i="55"/>
  <c r="A1372" i="55"/>
  <c r="AN1372" i="55"/>
  <c r="B1372" i="55"/>
  <c r="L1372" i="55"/>
  <c r="D1372" i="55"/>
  <c r="S1372" i="55"/>
  <c r="BF1088" i="26" l="1"/>
  <c r="BC1088" i="26"/>
  <c r="BD1088" i="26"/>
  <c r="BU1088" i="26"/>
  <c r="V1088" i="26"/>
  <c r="BE754" i="26"/>
  <c r="BV757" i="26"/>
  <c r="K1088" i="26"/>
  <c r="M1088" i="26" s="1"/>
  <c r="N1088" i="26" s="1"/>
  <c r="H1088" i="26"/>
  <c r="AX1088" i="26"/>
  <c r="B1088" i="26"/>
  <c r="AJ1088" i="26"/>
  <c r="BL1088" i="26"/>
  <c r="I1088" i="26"/>
  <c r="L1088" i="26"/>
  <c r="AK1088" i="26"/>
  <c r="BO1088" i="26"/>
  <c r="U1088" i="26"/>
  <c r="AF1088" i="26"/>
  <c r="O1088" i="26"/>
  <c r="A1088" i="26"/>
  <c r="BA1088" i="26"/>
  <c r="BQ1088" i="26"/>
  <c r="AS1088" i="26"/>
  <c r="AY1088" i="26"/>
  <c r="BM1088" i="26"/>
  <c r="AP1088" i="26"/>
  <c r="AW1088" i="26"/>
  <c r="BE1088" i="26"/>
  <c r="AV1088" i="26"/>
  <c r="Q1088" i="26"/>
  <c r="BW1088" i="26"/>
  <c r="P1088" i="26"/>
  <c r="BN1088" i="26"/>
  <c r="BR1088" i="26"/>
  <c r="AO1088" i="26"/>
  <c r="BI1088" i="26"/>
  <c r="T1088" i="26"/>
  <c r="BK1088" i="26"/>
  <c r="F1088" i="26"/>
  <c r="W1088" i="26"/>
  <c r="R1088" i="26"/>
  <c r="BP1088" i="26"/>
  <c r="AR1088" i="26"/>
  <c r="BJ1088" i="26"/>
  <c r="X1088" i="26"/>
  <c r="AU1088" i="26"/>
  <c r="D1088" i="26"/>
  <c r="AM1088" i="26"/>
  <c r="BX1088" i="26"/>
  <c r="BV1088" i="26"/>
  <c r="BT1088" i="26"/>
  <c r="BG1088" i="26"/>
  <c r="G1088" i="26"/>
  <c r="AT1088" i="26"/>
  <c r="C1088" i="26"/>
  <c r="AV1088" i="55"/>
  <c r="S1088" i="26"/>
  <c r="E1373" i="55"/>
  <c r="BV756" i="26" l="1"/>
  <c r="BE753" i="26"/>
  <c r="O1373" i="55"/>
  <c r="E1089" i="26"/>
  <c r="AG1373" i="55"/>
  <c r="AL1373" i="55"/>
  <c r="AK1373" i="55"/>
  <c r="Q1373" i="55"/>
  <c r="AI1373" i="55"/>
  <c r="P1373" i="55"/>
  <c r="K1373" i="55"/>
  <c r="AD1373" i="55"/>
  <c r="Z1373" i="55"/>
  <c r="AF1373" i="55"/>
  <c r="AO1373" i="55"/>
  <c r="A1373" i="55"/>
  <c r="V1373" i="55"/>
  <c r="AB1373" i="55"/>
  <c r="G1373" i="55"/>
  <c r="M1373" i="55"/>
  <c r="N1373" i="55"/>
  <c r="AQ1373" i="55"/>
  <c r="S1373" i="55"/>
  <c r="B1373" i="55"/>
  <c r="D1373" i="55"/>
  <c r="AC1373" i="55"/>
  <c r="W1373" i="55"/>
  <c r="AT1373" i="55"/>
  <c r="C1373" i="55"/>
  <c r="H1373" i="55"/>
  <c r="L1373" i="55"/>
  <c r="AN1373" i="55"/>
  <c r="AM1373" i="55"/>
  <c r="X1373" i="55"/>
  <c r="I1373" i="55"/>
  <c r="U1373" i="55"/>
  <c r="AH1373" i="55"/>
  <c r="BF1089" i="26" l="1"/>
  <c r="BC1089" i="26"/>
  <c r="AV1089" i="55" s="1"/>
  <c r="BD1089" i="26"/>
  <c r="BU1089" i="26"/>
  <c r="V1089" i="26"/>
  <c r="BV755" i="26"/>
  <c r="BE752" i="26"/>
  <c r="S1089" i="26"/>
  <c r="A1089" i="26"/>
  <c r="AV1089" i="26"/>
  <c r="BQ1089" i="26"/>
  <c r="BI1089" i="26"/>
  <c r="AU1089" i="26"/>
  <c r="W1089" i="26"/>
  <c r="AJ1089" i="26"/>
  <c r="BE1089" i="26"/>
  <c r="AX1089" i="26"/>
  <c r="BR1089" i="26"/>
  <c r="O1089" i="26"/>
  <c r="U1089" i="26"/>
  <c r="BJ1089" i="26"/>
  <c r="AK1089" i="26"/>
  <c r="AO1089" i="26"/>
  <c r="BL1089" i="26"/>
  <c r="BO1089" i="26"/>
  <c r="R1089" i="26"/>
  <c r="BP1089" i="26"/>
  <c r="BM1089" i="26"/>
  <c r="BA1089" i="26"/>
  <c r="AP1089" i="26"/>
  <c r="P1089" i="26"/>
  <c r="BK1089" i="26"/>
  <c r="B1089" i="26"/>
  <c r="AS1089" i="26"/>
  <c r="I1089" i="26"/>
  <c r="BW1089" i="26"/>
  <c r="AF1089" i="26"/>
  <c r="BG1089" i="26"/>
  <c r="Q1089" i="26"/>
  <c r="BN1089" i="26"/>
  <c r="AW1089" i="26"/>
  <c r="BT1089" i="26"/>
  <c r="AR1089" i="26"/>
  <c r="H1089" i="26"/>
  <c r="D1089" i="26"/>
  <c r="BX1089" i="26"/>
  <c r="T1089" i="26"/>
  <c r="K1089" i="26"/>
  <c r="M1089" i="26" s="1"/>
  <c r="N1089" i="26" s="1"/>
  <c r="AY1089" i="26"/>
  <c r="X1089" i="26"/>
  <c r="L1089" i="26"/>
  <c r="F1089" i="26"/>
  <c r="BV1089" i="26"/>
  <c r="AT1089" i="26"/>
  <c r="G1089" i="26"/>
  <c r="AM1089" i="26"/>
  <c r="C1089" i="26"/>
  <c r="E1374" i="55"/>
  <c r="BE751" i="26" l="1"/>
  <c r="BV754" i="26"/>
  <c r="O1374" i="55"/>
  <c r="E1090" i="26"/>
  <c r="AI1374" i="55"/>
  <c r="P1374" i="55"/>
  <c r="Q1374" i="55"/>
  <c r="K1374" i="55"/>
  <c r="AK1374" i="55"/>
  <c r="Z1374" i="55"/>
  <c r="AL1374" i="55"/>
  <c r="AG1374" i="55"/>
  <c r="AF1374" i="55"/>
  <c r="AD1374" i="55"/>
  <c r="AO1374" i="55"/>
  <c r="V1374" i="55"/>
  <c r="W1374" i="55"/>
  <c r="M1374" i="55"/>
  <c r="D1374" i="55"/>
  <c r="AT1374" i="55"/>
  <c r="L1374" i="55"/>
  <c r="X1374" i="55"/>
  <c r="A1374" i="55"/>
  <c r="AM1374" i="55"/>
  <c r="H1374" i="55"/>
  <c r="U1374" i="55"/>
  <c r="AB1374" i="55"/>
  <c r="B1374" i="55"/>
  <c r="N1374" i="55"/>
  <c r="S1374" i="55"/>
  <c r="AH1374" i="55"/>
  <c r="I1374" i="55"/>
  <c r="G1374" i="55"/>
  <c r="C1374" i="55"/>
  <c r="AN1374" i="55"/>
  <c r="AC1374" i="55"/>
  <c r="AQ1374" i="55"/>
  <c r="BF1090" i="26" l="1"/>
  <c r="BC1090" i="26"/>
  <c r="AV1090" i="55" s="1"/>
  <c r="BD1090" i="26"/>
  <c r="BU1090" i="26"/>
  <c r="V1090" i="26"/>
  <c r="BV753" i="26"/>
  <c r="BE750" i="26"/>
  <c r="K1090" i="26"/>
  <c r="M1090" i="26" s="1"/>
  <c r="N1090" i="26" s="1"/>
  <c r="X1090" i="26"/>
  <c r="D1090" i="26"/>
  <c r="AP1090" i="26"/>
  <c r="H1090" i="26"/>
  <c r="C1090" i="26"/>
  <c r="AU1090" i="26"/>
  <c r="AV1090" i="26"/>
  <c r="BE1090" i="26"/>
  <c r="BW1090" i="26"/>
  <c r="AS1090" i="26"/>
  <c r="U1090" i="26"/>
  <c r="AW1090" i="26"/>
  <c r="AM1090" i="26"/>
  <c r="BN1090" i="26"/>
  <c r="BA1090" i="26"/>
  <c r="BO1090" i="26"/>
  <c r="R1090" i="26"/>
  <c r="L1090" i="26"/>
  <c r="A1090" i="26"/>
  <c r="AX1090" i="26"/>
  <c r="AJ1090" i="26"/>
  <c r="AY1090" i="26"/>
  <c r="W1090" i="26"/>
  <c r="BP1090" i="26"/>
  <c r="F1090" i="26"/>
  <c r="BR1090" i="26"/>
  <c r="S1090" i="26"/>
  <c r="O1090" i="26"/>
  <c r="BQ1090" i="26"/>
  <c r="BV1090" i="26"/>
  <c r="G1090" i="26"/>
  <c r="Q1090" i="26"/>
  <c r="AK1090" i="26"/>
  <c r="B1090" i="26"/>
  <c r="BI1090" i="26"/>
  <c r="AF1090" i="26"/>
  <c r="BK1090" i="26"/>
  <c r="BL1090" i="26"/>
  <c r="AO1090" i="26"/>
  <c r="AT1090" i="26"/>
  <c r="BT1090" i="26"/>
  <c r="I1090" i="26"/>
  <c r="P1090" i="26"/>
  <c r="BG1090" i="26"/>
  <c r="T1090" i="26"/>
  <c r="AR1090" i="26"/>
  <c r="BX1090" i="26"/>
  <c r="BJ1090" i="26"/>
  <c r="BM1090" i="26"/>
  <c r="E1375" i="55"/>
  <c r="BE749" i="26" l="1"/>
  <c r="BV752" i="26"/>
  <c r="AO1375" i="55"/>
  <c r="E1091" i="26"/>
  <c r="AL1375" i="55"/>
  <c r="O1375" i="55"/>
  <c r="AF1375" i="55"/>
  <c r="AI1375" i="55"/>
  <c r="Q1375" i="55"/>
  <c r="P1375" i="55"/>
  <c r="K1375" i="55"/>
  <c r="AD1375" i="55"/>
  <c r="AK1375" i="55"/>
  <c r="Z1375" i="55"/>
  <c r="AG1375" i="55"/>
  <c r="A1375" i="55"/>
  <c r="AN1375" i="55"/>
  <c r="D1375" i="55"/>
  <c r="C1375" i="55"/>
  <c r="AM1375" i="55"/>
  <c r="M1375" i="55"/>
  <c r="V1375" i="55"/>
  <c r="AC1375" i="55"/>
  <c r="I1375" i="55"/>
  <c r="AH1375" i="55"/>
  <c r="H1375" i="55"/>
  <c r="AQ1375" i="55"/>
  <c r="N1375" i="55"/>
  <c r="X1375" i="55"/>
  <c r="U1375" i="55"/>
  <c r="S1375" i="55"/>
  <c r="AB1375" i="55"/>
  <c r="AT1375" i="55"/>
  <c r="L1375" i="55"/>
  <c r="W1375" i="55"/>
  <c r="G1375" i="55"/>
  <c r="B1375" i="55"/>
  <c r="BF1091" i="26" l="1"/>
  <c r="BC1091" i="26"/>
  <c r="BD1091" i="26"/>
  <c r="BU1091" i="26"/>
  <c r="V1091" i="26"/>
  <c r="BV751" i="26"/>
  <c r="BE748" i="26"/>
  <c r="AT1091" i="26"/>
  <c r="AS1091" i="26"/>
  <c r="AF1091" i="26"/>
  <c r="O1091" i="26"/>
  <c r="R1091" i="26"/>
  <c r="AP1091" i="26"/>
  <c r="AJ1091" i="26"/>
  <c r="BP1091" i="26"/>
  <c r="C1091" i="26"/>
  <c r="BG1091" i="26"/>
  <c r="BR1091" i="26"/>
  <c r="BE1091" i="26"/>
  <c r="U1091" i="26"/>
  <c r="BI1091" i="26"/>
  <c r="K1091" i="26"/>
  <c r="M1091" i="26" s="1"/>
  <c r="N1091" i="26" s="1"/>
  <c r="AV1091" i="55"/>
  <c r="S1091" i="26"/>
  <c r="I1091" i="26"/>
  <c r="AY1091" i="26"/>
  <c r="D1091" i="26"/>
  <c r="H1091" i="26"/>
  <c r="F1091" i="26"/>
  <c r="AR1091" i="26"/>
  <c r="BV1091" i="26"/>
  <c r="BW1091" i="26"/>
  <c r="P1091" i="26"/>
  <c r="BA1091" i="26"/>
  <c r="A1091" i="26"/>
  <c r="BN1091" i="26"/>
  <c r="AU1091" i="26"/>
  <c r="W1091" i="26"/>
  <c r="BM1091" i="26"/>
  <c r="AK1091" i="26"/>
  <c r="T1091" i="26"/>
  <c r="Q1091" i="26"/>
  <c r="AW1091" i="26"/>
  <c r="X1091" i="26"/>
  <c r="BL1091" i="26"/>
  <c r="BX1091" i="26"/>
  <c r="BO1091" i="26"/>
  <c r="G1091" i="26"/>
  <c r="AX1091" i="26"/>
  <c r="AM1091" i="26"/>
  <c r="AO1091" i="26"/>
  <c r="BJ1091" i="26"/>
  <c r="AV1091" i="26"/>
  <c r="BK1091" i="26"/>
  <c r="BQ1091" i="26"/>
  <c r="B1091" i="26"/>
  <c r="BT1091" i="26"/>
  <c r="L1091" i="26"/>
  <c r="E1376" i="55"/>
  <c r="BE747" i="26" l="1"/>
  <c r="BV750" i="26"/>
  <c r="O1376" i="55"/>
  <c r="E1092" i="26"/>
  <c r="AO1376" i="55"/>
  <c r="AI1376" i="55"/>
  <c r="Q1376" i="55"/>
  <c r="P1376" i="55"/>
  <c r="K1376" i="55"/>
  <c r="AL1376" i="55"/>
  <c r="AG1376" i="55"/>
  <c r="AD1376" i="55"/>
  <c r="AF1376" i="55"/>
  <c r="AK1376" i="55"/>
  <c r="Z1376" i="55"/>
  <c r="W1376" i="55"/>
  <c r="N1376" i="55"/>
  <c r="C1376" i="55"/>
  <c r="D1376" i="55"/>
  <c r="B1376" i="55"/>
  <c r="A1376" i="55"/>
  <c r="M1376" i="55"/>
  <c r="AQ1376" i="55"/>
  <c r="AH1376" i="55"/>
  <c r="AB1376" i="55"/>
  <c r="V1376" i="55"/>
  <c r="AC1376" i="55"/>
  <c r="AM1376" i="55"/>
  <c r="L1376" i="55"/>
  <c r="AN1376" i="55"/>
  <c r="X1376" i="55"/>
  <c r="U1376" i="55"/>
  <c r="AT1376" i="55"/>
  <c r="I1376" i="55"/>
  <c r="G1376" i="55"/>
  <c r="S1376" i="55"/>
  <c r="H1376" i="55"/>
  <c r="BF1092" i="26" l="1"/>
  <c r="BC1092" i="26"/>
  <c r="AV1092" i="55" s="1"/>
  <c r="BD1092" i="26"/>
  <c r="BU1092" i="26"/>
  <c r="V1092" i="26"/>
  <c r="BV749" i="26"/>
  <c r="BE746" i="26"/>
  <c r="AU1092" i="26"/>
  <c r="AV1092" i="26"/>
  <c r="AO1092" i="26"/>
  <c r="D1092" i="26"/>
  <c r="BJ1092" i="26"/>
  <c r="BN1092" i="26"/>
  <c r="BX1092" i="26"/>
  <c r="W1092" i="26"/>
  <c r="A1092" i="26"/>
  <c r="U1092" i="26"/>
  <c r="AF1092" i="26"/>
  <c r="H1092" i="26"/>
  <c r="C1092" i="26"/>
  <c r="L1092" i="26"/>
  <c r="BM1092" i="26"/>
  <c r="P1092" i="26"/>
  <c r="BP1092" i="26"/>
  <c r="BG1092" i="26"/>
  <c r="AJ1092" i="26"/>
  <c r="F1092" i="26"/>
  <c r="AR1092" i="26"/>
  <c r="BI1092" i="26"/>
  <c r="I1092" i="26"/>
  <c r="BQ1092" i="26"/>
  <c r="B1092" i="26"/>
  <c r="Q1092" i="26"/>
  <c r="AT1092" i="26"/>
  <c r="BA1092" i="26"/>
  <c r="K1092" i="26"/>
  <c r="M1092" i="26" s="1"/>
  <c r="N1092" i="26" s="1"/>
  <c r="BK1092" i="26"/>
  <c r="AP1092" i="26"/>
  <c r="S1092" i="26"/>
  <c r="AS1092" i="26"/>
  <c r="AY1092" i="26"/>
  <c r="AX1092" i="26"/>
  <c r="BO1092" i="26"/>
  <c r="BV1092" i="26"/>
  <c r="BR1092" i="26"/>
  <c r="BW1092" i="26"/>
  <c r="R1092" i="26"/>
  <c r="O1092" i="26"/>
  <c r="X1092" i="26"/>
  <c r="AW1092" i="26"/>
  <c r="T1092" i="26"/>
  <c r="AM1092" i="26"/>
  <c r="BL1092" i="26"/>
  <c r="BE1092" i="26"/>
  <c r="AK1092" i="26"/>
  <c r="G1092" i="26"/>
  <c r="BT1092" i="26"/>
  <c r="E1377" i="55"/>
  <c r="BE745" i="26" l="1"/>
  <c r="BV748" i="26"/>
  <c r="O1377" i="55"/>
  <c r="E1093" i="26"/>
  <c r="AD1377" i="55"/>
  <c r="AO1377" i="55"/>
  <c r="AG1377" i="55"/>
  <c r="AI1377" i="55"/>
  <c r="Q1377" i="55"/>
  <c r="P1377" i="55"/>
  <c r="K1377" i="55"/>
  <c r="Z1377" i="55"/>
  <c r="AF1377" i="55"/>
  <c r="AK1377" i="55"/>
  <c r="AL1377" i="55"/>
  <c r="S1377" i="55"/>
  <c r="AC1377" i="55"/>
  <c r="A1377" i="55"/>
  <c r="M1377" i="55"/>
  <c r="AB1377" i="55"/>
  <c r="AT1377" i="55"/>
  <c r="V1377" i="55"/>
  <c r="D1377" i="55"/>
  <c r="W1377" i="55"/>
  <c r="L1377" i="55"/>
  <c r="N1377" i="55"/>
  <c r="X1377" i="55"/>
  <c r="AQ1377" i="55"/>
  <c r="H1377" i="55"/>
  <c r="G1377" i="55"/>
  <c r="AN1377" i="55"/>
  <c r="U1377" i="55"/>
  <c r="AH1377" i="55"/>
  <c r="I1377" i="55"/>
  <c r="AM1377" i="55"/>
  <c r="B1377" i="55"/>
  <c r="C1377" i="55"/>
  <c r="BF1093" i="26" l="1"/>
  <c r="BC1093" i="26"/>
  <c r="BD1093" i="26"/>
  <c r="BU1093" i="26"/>
  <c r="V1093" i="26"/>
  <c r="BV747" i="26"/>
  <c r="BE744" i="26"/>
  <c r="AX1093" i="26"/>
  <c r="K1093" i="26"/>
  <c r="M1093" i="26" s="1"/>
  <c r="N1093" i="26" s="1"/>
  <c r="G1093" i="26"/>
  <c r="BX1093" i="26"/>
  <c r="BW1093" i="26"/>
  <c r="BT1093" i="26"/>
  <c r="D1093" i="26"/>
  <c r="BR1093" i="26"/>
  <c r="BO1093" i="26"/>
  <c r="Q1093" i="26"/>
  <c r="C1093" i="26"/>
  <c r="W1093" i="26"/>
  <c r="A1093" i="26"/>
  <c r="AP1093" i="26"/>
  <c r="P1093" i="26"/>
  <c r="BV1093" i="26"/>
  <c r="AO1093" i="26"/>
  <c r="AF1093" i="26"/>
  <c r="BE1093" i="26"/>
  <c r="AK1093" i="26"/>
  <c r="AS1093" i="26"/>
  <c r="S1093" i="26"/>
  <c r="L1093" i="26"/>
  <c r="AY1093" i="26"/>
  <c r="AU1093" i="26"/>
  <c r="BL1093" i="26"/>
  <c r="B1093" i="26"/>
  <c r="U1093" i="26"/>
  <c r="BI1093" i="26"/>
  <c r="BN1093" i="26"/>
  <c r="AW1093" i="26"/>
  <c r="X1093" i="26"/>
  <c r="BG1093" i="26"/>
  <c r="H1093" i="26"/>
  <c r="BQ1093" i="26"/>
  <c r="R1093" i="26"/>
  <c r="T1093" i="26"/>
  <c r="BP1093" i="26"/>
  <c r="AV1093" i="55"/>
  <c r="BA1093" i="26"/>
  <c r="BJ1093" i="26"/>
  <c r="AR1093" i="26"/>
  <c r="AM1093" i="26"/>
  <c r="AJ1093" i="26"/>
  <c r="O1093" i="26"/>
  <c r="AT1093" i="26"/>
  <c r="BM1093" i="26"/>
  <c r="F1093" i="26"/>
  <c r="AV1093" i="26"/>
  <c r="I1093" i="26"/>
  <c r="BK1093" i="26"/>
  <c r="E1378" i="55"/>
  <c r="BE743" i="26" l="1"/>
  <c r="BV746" i="26"/>
  <c r="O1378" i="55"/>
  <c r="E1094" i="26"/>
  <c r="AL1378" i="55"/>
  <c r="AD1378" i="55"/>
  <c r="AI1378" i="55"/>
  <c r="Q1378" i="55"/>
  <c r="P1378" i="55"/>
  <c r="K1378" i="55"/>
  <c r="AG1378" i="55"/>
  <c r="AF1378" i="55"/>
  <c r="AO1378" i="55"/>
  <c r="AK1378" i="55"/>
  <c r="Z1378" i="55"/>
  <c r="C1378" i="55"/>
  <c r="X1378" i="55"/>
  <c r="S1378" i="55"/>
  <c r="AB1378" i="55"/>
  <c r="M1378" i="55"/>
  <c r="G1378" i="55"/>
  <c r="A1378" i="55"/>
  <c r="AH1378" i="55"/>
  <c r="AM1378" i="55"/>
  <c r="B1378" i="55"/>
  <c r="W1378" i="55"/>
  <c r="H1378" i="55"/>
  <c r="V1378" i="55"/>
  <c r="D1378" i="55"/>
  <c r="AC1378" i="55"/>
  <c r="AQ1378" i="55"/>
  <c r="I1378" i="55"/>
  <c r="L1378" i="55"/>
  <c r="AT1378" i="55"/>
  <c r="N1378" i="55"/>
  <c r="AN1378" i="55"/>
  <c r="U1378" i="55"/>
  <c r="BF1094" i="26" l="1"/>
  <c r="BC1094" i="26"/>
  <c r="BD1094" i="26"/>
  <c r="BU1094" i="26"/>
  <c r="V1094" i="26"/>
  <c r="BV745" i="26"/>
  <c r="BE742" i="26"/>
  <c r="S1094" i="26"/>
  <c r="AX1094" i="26"/>
  <c r="BL1094" i="26"/>
  <c r="C1094" i="26"/>
  <c r="K1094" i="26"/>
  <c r="M1094" i="26" s="1"/>
  <c r="N1094" i="26" s="1"/>
  <c r="AV1094" i="26"/>
  <c r="AF1094" i="26"/>
  <c r="L1094" i="26"/>
  <c r="AM1094" i="26"/>
  <c r="AS1094" i="26"/>
  <c r="AP1094" i="26"/>
  <c r="R1094" i="26"/>
  <c r="BE1094" i="26"/>
  <c r="F1094" i="26"/>
  <c r="AW1094" i="26"/>
  <c r="AY1094" i="26"/>
  <c r="BT1094" i="26"/>
  <c r="D1094" i="26"/>
  <c r="BW1094" i="26"/>
  <c r="BA1094" i="26"/>
  <c r="BO1094" i="26"/>
  <c r="BK1094" i="26"/>
  <c r="AO1094" i="26"/>
  <c r="P1094" i="26"/>
  <c r="BI1094" i="26"/>
  <c r="BV1094" i="26"/>
  <c r="B1094" i="26"/>
  <c r="BP1094" i="26"/>
  <c r="G1094" i="26"/>
  <c r="X1094" i="26"/>
  <c r="AT1094" i="26"/>
  <c r="BG1094" i="26"/>
  <c r="O1094" i="26"/>
  <c r="U1094" i="26"/>
  <c r="Q1094" i="26"/>
  <c r="BJ1094" i="26"/>
  <c r="I1094" i="26"/>
  <c r="BR1094" i="26"/>
  <c r="BN1094" i="26"/>
  <c r="AV1094" i="55"/>
  <c r="T1094" i="26"/>
  <c r="W1094" i="26"/>
  <c r="BQ1094" i="26"/>
  <c r="BX1094" i="26"/>
  <c r="H1094" i="26"/>
  <c r="AU1094" i="26"/>
  <c r="AR1094" i="26"/>
  <c r="BM1094" i="26"/>
  <c r="AJ1094" i="26"/>
  <c r="AK1094" i="26"/>
  <c r="A1094" i="26"/>
  <c r="E1379" i="55"/>
  <c r="BV744" i="26" l="1"/>
  <c r="BE741" i="26"/>
  <c r="AD1379" i="55"/>
  <c r="E1095" i="26"/>
  <c r="Z1379" i="55"/>
  <c r="O1379" i="55"/>
  <c r="AF1379" i="55"/>
  <c r="AI1379" i="55"/>
  <c r="Q1379" i="55"/>
  <c r="K1379" i="55"/>
  <c r="P1379" i="55"/>
  <c r="AK1379" i="55"/>
  <c r="AO1379" i="55"/>
  <c r="AL1379" i="55"/>
  <c r="AG1379" i="55"/>
  <c r="AH1379" i="55"/>
  <c r="AT1379" i="55"/>
  <c r="I1379" i="55"/>
  <c r="B1379" i="55"/>
  <c r="AB1379" i="55"/>
  <c r="AN1379" i="55"/>
  <c r="U1379" i="55"/>
  <c r="A1379" i="55"/>
  <c r="X1379" i="55"/>
  <c r="S1379" i="55"/>
  <c r="W1379" i="55"/>
  <c r="AC1379" i="55"/>
  <c r="M1379" i="55"/>
  <c r="AQ1379" i="55"/>
  <c r="L1379" i="55"/>
  <c r="AM1379" i="55"/>
  <c r="H1379" i="55"/>
  <c r="C1379" i="55"/>
  <c r="V1379" i="55"/>
  <c r="G1379" i="55"/>
  <c r="N1379" i="55"/>
  <c r="D1379" i="55"/>
  <c r="BF1095" i="26" l="1"/>
  <c r="BC1095" i="26"/>
  <c r="AV1095" i="55" s="1"/>
  <c r="BD1095" i="26"/>
  <c r="BU1095" i="26"/>
  <c r="V1095" i="26"/>
  <c r="BE740" i="26"/>
  <c r="BV743" i="26"/>
  <c r="AM1095" i="26"/>
  <c r="BT1095" i="26"/>
  <c r="AU1095" i="26"/>
  <c r="BL1095" i="26"/>
  <c r="AY1095" i="26"/>
  <c r="H1095" i="26"/>
  <c r="BW1095" i="26"/>
  <c r="AK1095" i="26"/>
  <c r="S1095" i="26"/>
  <c r="U1095" i="26"/>
  <c r="K1095" i="26"/>
  <c r="M1095" i="26" s="1"/>
  <c r="N1095" i="26" s="1"/>
  <c r="BV1095" i="26"/>
  <c r="BO1095" i="26"/>
  <c r="B1095" i="26"/>
  <c r="W1095" i="26"/>
  <c r="BR1095" i="26"/>
  <c r="AX1095" i="26"/>
  <c r="P1095" i="26"/>
  <c r="BX1095" i="26"/>
  <c r="BJ1095" i="26"/>
  <c r="AO1095" i="26"/>
  <c r="X1095" i="26"/>
  <c r="BA1095" i="26"/>
  <c r="C1095" i="26"/>
  <c r="BQ1095" i="26"/>
  <c r="AW1095" i="26"/>
  <c r="AP1095" i="26"/>
  <c r="T1095" i="26"/>
  <c r="O1095" i="26"/>
  <c r="AT1095" i="26"/>
  <c r="D1095" i="26"/>
  <c r="AJ1095" i="26"/>
  <c r="G1095" i="26"/>
  <c r="AS1095" i="26"/>
  <c r="Q1095" i="26"/>
  <c r="BI1095" i="26"/>
  <c r="I1095" i="26"/>
  <c r="A1095" i="26"/>
  <c r="AF1095" i="26"/>
  <c r="AV1095" i="26"/>
  <c r="BE1095" i="26"/>
  <c r="L1095" i="26"/>
  <c r="BM1095" i="26"/>
  <c r="BG1095" i="26"/>
  <c r="BK1095" i="26"/>
  <c r="BP1095" i="26"/>
  <c r="R1095" i="26"/>
  <c r="F1095" i="26"/>
  <c r="AR1095" i="26"/>
  <c r="BN1095" i="26"/>
  <c r="E1380" i="55"/>
  <c r="BV742" i="26" l="1"/>
  <c r="BE739" i="26"/>
  <c r="O1380" i="55"/>
  <c r="E1096" i="26"/>
  <c r="AF1380" i="55"/>
  <c r="Z1380" i="55"/>
  <c r="AI1380" i="55"/>
  <c r="Q1380" i="55"/>
  <c r="P1380" i="55"/>
  <c r="K1380" i="55"/>
  <c r="AD1380" i="55"/>
  <c r="AO1380" i="55"/>
  <c r="AL1380" i="55"/>
  <c r="AG1380" i="55"/>
  <c r="AK1380" i="55"/>
  <c r="V1380" i="55"/>
  <c r="D1380" i="55"/>
  <c r="L1380" i="55"/>
  <c r="A1380" i="55"/>
  <c r="C1380" i="55"/>
  <c r="U1380" i="55"/>
  <c r="S1380" i="55"/>
  <c r="AN1380" i="55"/>
  <c r="AB1380" i="55"/>
  <c r="AM1380" i="55"/>
  <c r="H1380" i="55"/>
  <c r="M1380" i="55"/>
  <c r="AC1380" i="55"/>
  <c r="B1380" i="55"/>
  <c r="G1380" i="55"/>
  <c r="N1380" i="55"/>
  <c r="I1380" i="55"/>
  <c r="W1380" i="55"/>
  <c r="X1380" i="55"/>
  <c r="AH1380" i="55"/>
  <c r="AT1380" i="55"/>
  <c r="AQ1380" i="55"/>
  <c r="BF1096" i="26" l="1"/>
  <c r="BC1096" i="26"/>
  <c r="BD1096" i="26"/>
  <c r="BU1096" i="26"/>
  <c r="V1096" i="26"/>
  <c r="BE738" i="26"/>
  <c r="BV741" i="26"/>
  <c r="U1096" i="26"/>
  <c r="F1096" i="26"/>
  <c r="AW1096" i="26"/>
  <c r="I1096" i="26"/>
  <c r="BN1096" i="26"/>
  <c r="BP1096" i="26"/>
  <c r="AT1096" i="26"/>
  <c r="AP1096" i="26"/>
  <c r="BV1096" i="26"/>
  <c r="H1096" i="26"/>
  <c r="S1096" i="26"/>
  <c r="AK1096" i="26"/>
  <c r="AF1096" i="26"/>
  <c r="BG1096" i="26"/>
  <c r="BQ1096" i="26"/>
  <c r="BW1096" i="26"/>
  <c r="G1096" i="26"/>
  <c r="B1096" i="26"/>
  <c r="AX1096" i="26"/>
  <c r="BM1096" i="26"/>
  <c r="AO1096" i="26"/>
  <c r="AV1096" i="26"/>
  <c r="C1096" i="26"/>
  <c r="AS1096" i="26"/>
  <c r="A1096" i="26"/>
  <c r="BT1096" i="26"/>
  <c r="AR1096" i="26"/>
  <c r="AJ1096" i="26"/>
  <c r="BJ1096" i="26"/>
  <c r="D1096" i="26"/>
  <c r="BK1096" i="26"/>
  <c r="P1096" i="26"/>
  <c r="L1096" i="26"/>
  <c r="R1096" i="26"/>
  <c r="K1096" i="26"/>
  <c r="M1096" i="26" s="1"/>
  <c r="N1096" i="26" s="1"/>
  <c r="BI1096" i="26"/>
  <c r="AY1096" i="26"/>
  <c r="T1096" i="26"/>
  <c r="BE1096" i="26"/>
  <c r="BX1096" i="26"/>
  <c r="Q1096" i="26"/>
  <c r="BL1096" i="26"/>
  <c r="AV1096" i="55"/>
  <c r="X1096" i="26"/>
  <c r="AU1096" i="26"/>
  <c r="BO1096" i="26"/>
  <c r="W1096" i="26"/>
  <c r="BR1096" i="26"/>
  <c r="O1096" i="26"/>
  <c r="AM1096" i="26"/>
  <c r="BA1096" i="26"/>
  <c r="E1381" i="55"/>
  <c r="BD1097" i="26" l="1"/>
  <c r="BV740" i="26"/>
  <c r="BE737" i="26"/>
  <c r="E1097" i="26"/>
  <c r="Z1381" i="55"/>
  <c r="O1381" i="55"/>
  <c r="Q1381" i="55"/>
  <c r="AI1381" i="55"/>
  <c r="P1381" i="55"/>
  <c r="K1381" i="55"/>
  <c r="AF1381" i="55"/>
  <c r="AL1381" i="55"/>
  <c r="AO1381" i="55"/>
  <c r="AD1381" i="55"/>
  <c r="AG1381" i="55"/>
  <c r="AK1381" i="55"/>
  <c r="X1381" i="55"/>
  <c r="N1381" i="55"/>
  <c r="A1381" i="55"/>
  <c r="C1381" i="55"/>
  <c r="D1381" i="55"/>
  <c r="S1381" i="55"/>
  <c r="M1381" i="55"/>
  <c r="AT1381" i="55"/>
  <c r="V1381" i="55"/>
  <c r="B1381" i="55"/>
  <c r="AN1381" i="55"/>
  <c r="AQ1381" i="55"/>
  <c r="U1381" i="55"/>
  <c r="H1381" i="55"/>
  <c r="L1381" i="55"/>
  <c r="I1381" i="55"/>
  <c r="W1381" i="55"/>
  <c r="G1381" i="55"/>
  <c r="AM1381" i="55"/>
  <c r="AC1381" i="55"/>
  <c r="AB1381" i="55"/>
  <c r="AH1381" i="55"/>
  <c r="BF1097" i="26" l="1"/>
  <c r="BC1097" i="26"/>
  <c r="BU1097" i="26"/>
  <c r="V1097" i="26"/>
  <c r="BE736" i="26"/>
  <c r="BV739" i="26"/>
  <c r="BV1097" i="26"/>
  <c r="Q1097" i="26"/>
  <c r="AV1097" i="55"/>
  <c r="BR1097" i="26"/>
  <c r="R1097" i="26"/>
  <c r="BQ1097" i="26"/>
  <c r="L1097" i="26"/>
  <c r="BT1097" i="26"/>
  <c r="AS1097" i="26"/>
  <c r="BA1097" i="26"/>
  <c r="AO1097" i="26"/>
  <c r="D1097" i="26"/>
  <c r="AR1097" i="26"/>
  <c r="B1097" i="26"/>
  <c r="AY1097" i="26"/>
  <c r="BL1097" i="26"/>
  <c r="BG1097" i="26"/>
  <c r="AW1097" i="26"/>
  <c r="AJ1097" i="26"/>
  <c r="G1097" i="26"/>
  <c r="O1097" i="26"/>
  <c r="C1097" i="26"/>
  <c r="BK1097" i="26"/>
  <c r="BP1097" i="26"/>
  <c r="AK1097" i="26"/>
  <c r="BX1097" i="26"/>
  <c r="K1097" i="26"/>
  <c r="M1097" i="26" s="1"/>
  <c r="N1097" i="26" s="1"/>
  <c r="AV1097" i="26"/>
  <c r="BJ1097" i="26"/>
  <c r="BW1097" i="26"/>
  <c r="BI1097" i="26"/>
  <c r="P1097" i="26"/>
  <c r="A1097" i="26"/>
  <c r="H1097" i="26"/>
  <c r="F1097" i="26"/>
  <c r="T1097" i="26"/>
  <c r="X1097" i="26"/>
  <c r="BE1097" i="26"/>
  <c r="AP1097" i="26"/>
  <c r="S1097" i="26"/>
  <c r="AX1097" i="26"/>
  <c r="W1097" i="26"/>
  <c r="U1097" i="26"/>
  <c r="I1097" i="26"/>
  <c r="BO1097" i="26"/>
  <c r="BM1097" i="26"/>
  <c r="AM1097" i="26"/>
  <c r="AF1097" i="26"/>
  <c r="AT1097" i="26"/>
  <c r="BN1097" i="26"/>
  <c r="AU1097" i="26"/>
  <c r="E1382" i="55"/>
  <c r="BV738" i="26" l="1"/>
  <c r="BE735" i="26"/>
  <c r="E1098" i="26"/>
  <c r="BD1098" i="26" s="1"/>
  <c r="AG1382" i="55"/>
  <c r="O1382" i="55"/>
  <c r="AD1382" i="55"/>
  <c r="AO1382" i="55"/>
  <c r="AI1382" i="55"/>
  <c r="P1382" i="55"/>
  <c r="K1382" i="55"/>
  <c r="Q1382" i="55"/>
  <c r="Z1382" i="55"/>
  <c r="AF1382" i="55"/>
  <c r="AK1382" i="55"/>
  <c r="AL1382" i="55"/>
  <c r="AB1382" i="55"/>
  <c r="V1382" i="55"/>
  <c r="N1382" i="55"/>
  <c r="W1382" i="55"/>
  <c r="I1382" i="55"/>
  <c r="S1382" i="55"/>
  <c r="AC1382" i="55"/>
  <c r="L1382" i="55"/>
  <c r="U1382" i="55"/>
  <c r="AH1382" i="55"/>
  <c r="H1382" i="55"/>
  <c r="AM1382" i="55"/>
  <c r="AQ1382" i="55"/>
  <c r="B1382" i="55"/>
  <c r="A1382" i="55"/>
  <c r="AN1382" i="55"/>
  <c r="AT1382" i="55"/>
  <c r="M1382" i="55"/>
  <c r="X1382" i="55"/>
  <c r="C1382" i="55"/>
  <c r="G1382" i="55"/>
  <c r="D1382" i="55"/>
  <c r="BF1098" i="26" l="1"/>
  <c r="BC1098" i="26"/>
  <c r="BU1098" i="26"/>
  <c r="V1098" i="26"/>
  <c r="BE734" i="26"/>
  <c r="BV737" i="26"/>
  <c r="BV1098" i="26"/>
  <c r="C1098" i="26"/>
  <c r="AX1098" i="26"/>
  <c r="BO1098" i="26"/>
  <c r="K1098" i="26"/>
  <c r="M1098" i="26" s="1"/>
  <c r="N1098" i="26" s="1"/>
  <c r="H1098" i="26"/>
  <c r="Q1098" i="26"/>
  <c r="O1098" i="26"/>
  <c r="BR1098" i="26"/>
  <c r="T1098" i="26"/>
  <c r="AR1098" i="26"/>
  <c r="BX1098" i="26"/>
  <c r="AY1098" i="26"/>
  <c r="BL1098" i="26"/>
  <c r="BG1098" i="26"/>
  <c r="AT1098" i="26"/>
  <c r="D1098" i="26"/>
  <c r="AO1098" i="26"/>
  <c r="BI1098" i="26"/>
  <c r="AU1098" i="26"/>
  <c r="R1098" i="26"/>
  <c r="AP1098" i="26"/>
  <c r="AS1098" i="26"/>
  <c r="BW1098" i="26"/>
  <c r="AV1098" i="55"/>
  <c r="B1098" i="26"/>
  <c r="BE1098" i="26"/>
  <c r="BK1098" i="26"/>
  <c r="I1098" i="26"/>
  <c r="U1098" i="26"/>
  <c r="BA1098" i="26"/>
  <c r="BM1098" i="26"/>
  <c r="AW1098" i="26"/>
  <c r="BN1098" i="26"/>
  <c r="BT1098" i="26"/>
  <c r="S1098" i="26"/>
  <c r="X1098" i="26"/>
  <c r="F1098" i="26"/>
  <c r="AV1098" i="26"/>
  <c r="P1098" i="26"/>
  <c r="BQ1098" i="26"/>
  <c r="AM1098" i="26"/>
  <c r="AF1098" i="26"/>
  <c r="A1098" i="26"/>
  <c r="W1098" i="26"/>
  <c r="AK1098" i="26"/>
  <c r="L1098" i="26"/>
  <c r="BJ1098" i="26"/>
  <c r="G1098" i="26"/>
  <c r="AJ1098" i="26"/>
  <c r="BP1098" i="26"/>
  <c r="E1383" i="55"/>
  <c r="BV736" i="26" l="1"/>
  <c r="BE733" i="26"/>
  <c r="E1099" i="26"/>
  <c r="BD1099" i="26" s="1"/>
  <c r="AD1383" i="55"/>
  <c r="O1383" i="55"/>
  <c r="AL1383" i="55"/>
  <c r="AI1383" i="55"/>
  <c r="Q1383" i="55"/>
  <c r="P1383" i="55"/>
  <c r="K1383" i="55"/>
  <c r="AG1383" i="55"/>
  <c r="AO1383" i="55"/>
  <c r="AK1383" i="55"/>
  <c r="Z1383" i="55"/>
  <c r="AF1383" i="55"/>
  <c r="G1383" i="55"/>
  <c r="AM1383" i="55"/>
  <c r="C1383" i="55"/>
  <c r="B1383" i="55"/>
  <c r="W1383" i="55"/>
  <c r="AN1383" i="55"/>
  <c r="AH1383" i="55"/>
  <c r="N1383" i="55"/>
  <c r="AQ1383" i="55"/>
  <c r="I1383" i="55"/>
  <c r="X1383" i="55"/>
  <c r="L1383" i="55"/>
  <c r="D1383" i="55"/>
  <c r="AB1383" i="55"/>
  <c r="V1383" i="55"/>
  <c r="S1383" i="55"/>
  <c r="M1383" i="55"/>
  <c r="AT1383" i="55"/>
  <c r="AC1383" i="55"/>
  <c r="U1383" i="55"/>
  <c r="H1383" i="55"/>
  <c r="A1383" i="55"/>
  <c r="BF1099" i="26" l="1"/>
  <c r="BC1099" i="26"/>
  <c r="BU1099" i="26"/>
  <c r="V1099" i="26"/>
  <c r="BE732" i="26"/>
  <c r="BV735" i="26"/>
  <c r="BW1099" i="26"/>
  <c r="BG1099" i="26"/>
  <c r="P1099" i="26"/>
  <c r="A1099" i="26"/>
  <c r="K1099" i="26"/>
  <c r="M1099" i="26" s="1"/>
  <c r="N1099" i="26" s="1"/>
  <c r="AJ1099" i="26"/>
  <c r="BA1099" i="26"/>
  <c r="O1099" i="26"/>
  <c r="AR1099" i="26"/>
  <c r="AV1099" i="55"/>
  <c r="AT1099" i="26"/>
  <c r="AV1099" i="26"/>
  <c r="BI1099" i="26"/>
  <c r="AM1099" i="26"/>
  <c r="W1099" i="26"/>
  <c r="B1099" i="26"/>
  <c r="BT1099" i="26"/>
  <c r="BO1099" i="26"/>
  <c r="AO1099" i="26"/>
  <c r="BR1099" i="26"/>
  <c r="R1099" i="26"/>
  <c r="BP1099" i="26"/>
  <c r="T1099" i="26"/>
  <c r="BL1099" i="26"/>
  <c r="AP1099" i="26"/>
  <c r="AW1099" i="26"/>
  <c r="Q1099" i="26"/>
  <c r="AU1099" i="26"/>
  <c r="U1099" i="26"/>
  <c r="F1099" i="26"/>
  <c r="AS1099" i="26"/>
  <c r="G1099" i="26"/>
  <c r="D1099" i="26"/>
  <c r="C1099" i="26"/>
  <c r="BQ1099" i="26"/>
  <c r="S1099" i="26"/>
  <c r="BM1099" i="26"/>
  <c r="H1099" i="26"/>
  <c r="AX1099" i="26"/>
  <c r="I1099" i="26"/>
  <c r="BK1099" i="26"/>
  <c r="BN1099" i="26"/>
  <c r="AK1099" i="26"/>
  <c r="BX1099" i="26"/>
  <c r="BJ1099" i="26"/>
  <c r="L1099" i="26"/>
  <c r="BV1099" i="26"/>
  <c r="BE1099" i="26"/>
  <c r="AY1099" i="26"/>
  <c r="AF1099" i="26"/>
  <c r="X1099" i="26"/>
  <c r="E1384" i="55"/>
  <c r="BV734" i="26" l="1"/>
  <c r="BE731" i="26"/>
  <c r="O1384" i="55"/>
  <c r="E1100" i="26"/>
  <c r="AL1384" i="55"/>
  <c r="AD1384" i="55"/>
  <c r="AI1384" i="55"/>
  <c r="Q1384" i="55"/>
  <c r="P1384" i="55"/>
  <c r="K1384" i="55"/>
  <c r="AO1384" i="55"/>
  <c r="AG1384" i="55"/>
  <c r="Z1384" i="55"/>
  <c r="AF1384" i="55"/>
  <c r="AK1384" i="55"/>
  <c r="B1384" i="55"/>
  <c r="AH1384" i="55"/>
  <c r="AC1384" i="55"/>
  <c r="C1384" i="55"/>
  <c r="AM1384" i="55"/>
  <c r="S1384" i="55"/>
  <c r="AT1384" i="55"/>
  <c r="D1384" i="55"/>
  <c r="M1384" i="55"/>
  <c r="G1384" i="55"/>
  <c r="V1384" i="55"/>
  <c r="L1384" i="55"/>
  <c r="U1384" i="55"/>
  <c r="AN1384" i="55"/>
  <c r="AB1384" i="55"/>
  <c r="W1384" i="55"/>
  <c r="H1384" i="55"/>
  <c r="AQ1384" i="55"/>
  <c r="A1384" i="55"/>
  <c r="N1384" i="55"/>
  <c r="I1384" i="55"/>
  <c r="X1384" i="55"/>
  <c r="BF1100" i="26" l="1"/>
  <c r="BC1100" i="26"/>
  <c r="AV1100" i="55" s="1"/>
  <c r="BD1100" i="26"/>
  <c r="BU1100" i="26"/>
  <c r="V1100" i="26"/>
  <c r="BE730" i="26"/>
  <c r="BV733" i="26"/>
  <c r="P1100" i="26"/>
  <c r="BL1100" i="26"/>
  <c r="B1100" i="26"/>
  <c r="BV1100" i="26"/>
  <c r="G1100" i="26"/>
  <c r="BP1100" i="26"/>
  <c r="AJ1100" i="26"/>
  <c r="BK1100" i="26"/>
  <c r="F1100" i="26"/>
  <c r="BA1100" i="26"/>
  <c r="H1100" i="26"/>
  <c r="BN1100" i="26"/>
  <c r="AP1100" i="26"/>
  <c r="K1100" i="26"/>
  <c r="M1100" i="26" s="1"/>
  <c r="N1100" i="26" s="1"/>
  <c r="AS1100" i="26"/>
  <c r="BE1100" i="26"/>
  <c r="U1100" i="26"/>
  <c r="AF1100" i="26"/>
  <c r="Q1100" i="26"/>
  <c r="D1100" i="26"/>
  <c r="BO1100" i="26"/>
  <c r="X1100" i="26"/>
  <c r="AT1100" i="26"/>
  <c r="BG1100" i="26"/>
  <c r="BQ1100" i="26"/>
  <c r="AU1100" i="26"/>
  <c r="AY1100" i="26"/>
  <c r="BI1100" i="26"/>
  <c r="S1100" i="26"/>
  <c r="BR1100" i="26"/>
  <c r="O1100" i="26"/>
  <c r="AR1100" i="26"/>
  <c r="AX1100" i="26"/>
  <c r="AO1100" i="26"/>
  <c r="BM1100" i="26"/>
  <c r="I1100" i="26"/>
  <c r="AK1100" i="26"/>
  <c r="AM1100" i="26"/>
  <c r="W1100" i="26"/>
  <c r="BJ1100" i="26"/>
  <c r="L1100" i="26"/>
  <c r="BX1100" i="26"/>
  <c r="AV1100" i="26"/>
  <c r="R1100" i="26"/>
  <c r="T1100" i="26"/>
  <c r="A1100" i="26"/>
  <c r="C1100" i="26"/>
  <c r="BW1100" i="26"/>
  <c r="BT1100" i="26"/>
  <c r="AW1100" i="26"/>
  <c r="E1385" i="55"/>
  <c r="BV732" i="26" l="1"/>
  <c r="BE729" i="26"/>
  <c r="E1101" i="26"/>
  <c r="BD1101" i="26" s="1"/>
  <c r="AG1385" i="55"/>
  <c r="O1385" i="55"/>
  <c r="AO1385" i="55"/>
  <c r="AI1385" i="55"/>
  <c r="Q1385" i="55"/>
  <c r="P1385" i="55"/>
  <c r="K1385" i="55"/>
  <c r="AK1385" i="55"/>
  <c r="AF1385" i="55"/>
  <c r="AL1385" i="55"/>
  <c r="Z1385" i="55"/>
  <c r="AD1385" i="55"/>
  <c r="C1385" i="55"/>
  <c r="AB1385" i="55"/>
  <c r="M1385" i="55"/>
  <c r="AM1385" i="55"/>
  <c r="A1385" i="55"/>
  <c r="L1385" i="55"/>
  <c r="N1385" i="55"/>
  <c r="D1385" i="55"/>
  <c r="G1385" i="55"/>
  <c r="AH1385" i="55"/>
  <c r="X1385" i="55"/>
  <c r="U1385" i="55"/>
  <c r="I1385" i="55"/>
  <c r="B1385" i="55"/>
  <c r="V1385" i="55"/>
  <c r="S1385" i="55"/>
  <c r="AC1385" i="55"/>
  <c r="AQ1385" i="55"/>
  <c r="AT1385" i="55"/>
  <c r="H1385" i="55"/>
  <c r="W1385" i="55"/>
  <c r="AN1385" i="55"/>
  <c r="BF1101" i="26" l="1"/>
  <c r="BC1101" i="26"/>
  <c r="BU1101" i="26"/>
  <c r="V1101" i="26"/>
  <c r="BE728" i="26"/>
  <c r="BV731" i="26"/>
  <c r="BT1101" i="26"/>
  <c r="F1101" i="26"/>
  <c r="AV1101" i="26"/>
  <c r="BG1101" i="26"/>
  <c r="B1101" i="26"/>
  <c r="BP1101" i="26"/>
  <c r="AF1101" i="26"/>
  <c r="BI1101" i="26"/>
  <c r="T1101" i="26"/>
  <c r="AU1101" i="26"/>
  <c r="L1101" i="26"/>
  <c r="R1101" i="26"/>
  <c r="BW1101" i="26"/>
  <c r="U1101" i="26"/>
  <c r="BR1101" i="26"/>
  <c r="AM1101" i="26"/>
  <c r="D1101" i="26"/>
  <c r="BO1101" i="26"/>
  <c r="BN1101" i="26"/>
  <c r="BA1101" i="26"/>
  <c r="AK1101" i="26"/>
  <c r="BM1101" i="26"/>
  <c r="BK1101" i="26"/>
  <c r="X1101" i="26"/>
  <c r="H1101" i="26"/>
  <c r="AY1101" i="26"/>
  <c r="BX1101" i="26"/>
  <c r="K1101" i="26"/>
  <c r="M1101" i="26" s="1"/>
  <c r="N1101" i="26" s="1"/>
  <c r="O1101" i="26"/>
  <c r="AV1101" i="55"/>
  <c r="BV1101" i="26"/>
  <c r="BE1101" i="26"/>
  <c r="BQ1101" i="26"/>
  <c r="G1101" i="26"/>
  <c r="W1101" i="26"/>
  <c r="AR1101" i="26"/>
  <c r="BL1101" i="26"/>
  <c r="AX1101" i="26"/>
  <c r="AW1101" i="26"/>
  <c r="Q1101" i="26"/>
  <c r="AP1101" i="26"/>
  <c r="I1101" i="26"/>
  <c r="BJ1101" i="26"/>
  <c r="S1101" i="26"/>
  <c r="C1101" i="26"/>
  <c r="AS1101" i="26"/>
  <c r="AT1101" i="26"/>
  <c r="A1101" i="26"/>
  <c r="AJ1101" i="26"/>
  <c r="AO1101" i="26"/>
  <c r="P1101" i="26"/>
  <c r="E1386" i="55"/>
  <c r="BE727" i="26" l="1"/>
  <c r="BV730" i="26"/>
  <c r="O1386" i="55"/>
  <c r="E1102" i="26"/>
  <c r="AD1386" i="55"/>
  <c r="AI1386" i="55"/>
  <c r="P1386" i="55"/>
  <c r="Q1386" i="55"/>
  <c r="K1386" i="55"/>
  <c r="AK1386" i="55"/>
  <c r="Z1386" i="55"/>
  <c r="AL1386" i="55"/>
  <c r="AO1386" i="55"/>
  <c r="AF1386" i="55"/>
  <c r="AG1386" i="55"/>
  <c r="AH1386" i="55"/>
  <c r="I1386" i="55"/>
  <c r="AQ1386" i="55"/>
  <c r="W1386" i="55"/>
  <c r="S1386" i="55"/>
  <c r="B1386" i="55"/>
  <c r="AC1386" i="55"/>
  <c r="A1386" i="55"/>
  <c r="L1386" i="55"/>
  <c r="C1386" i="55"/>
  <c r="U1386" i="55"/>
  <c r="D1386" i="55"/>
  <c r="AB1386" i="55"/>
  <c r="G1386" i="55"/>
  <c r="N1386" i="55"/>
  <c r="H1386" i="55"/>
  <c r="X1386" i="55"/>
  <c r="M1386" i="55"/>
  <c r="AM1386" i="55"/>
  <c r="AT1386" i="55"/>
  <c r="AN1386" i="55"/>
  <c r="V1386" i="55"/>
  <c r="BF1102" i="26" l="1"/>
  <c r="BC1102" i="26"/>
  <c r="BD1102" i="26"/>
  <c r="BU1102" i="26"/>
  <c r="V1102" i="26"/>
  <c r="BV729" i="26"/>
  <c r="BE726" i="26"/>
  <c r="BN1102" i="26"/>
  <c r="H1102" i="26"/>
  <c r="BK1102" i="26"/>
  <c r="T1102" i="26"/>
  <c r="BW1102" i="26"/>
  <c r="BP1102" i="26"/>
  <c r="X1102" i="26"/>
  <c r="BG1102" i="26"/>
  <c r="D1102" i="26"/>
  <c r="AF1102" i="26"/>
  <c r="O1102" i="26"/>
  <c r="L1102" i="26"/>
  <c r="AP1102" i="26"/>
  <c r="C1102" i="26"/>
  <c r="BI1102" i="26"/>
  <c r="W1102" i="26"/>
  <c r="BO1102" i="26"/>
  <c r="BL1102" i="26"/>
  <c r="G1102" i="26"/>
  <c r="AK1102" i="26"/>
  <c r="BQ1102" i="26"/>
  <c r="Q1102" i="26"/>
  <c r="AM1102" i="26"/>
  <c r="BA1102" i="26"/>
  <c r="AX1102" i="26"/>
  <c r="AJ1102" i="26"/>
  <c r="U1102" i="26"/>
  <c r="AU1102" i="26"/>
  <c r="P1102" i="26"/>
  <c r="AV1102" i="26"/>
  <c r="BX1102" i="26"/>
  <c r="BT1102" i="26"/>
  <c r="A1102" i="26"/>
  <c r="AO1102" i="26"/>
  <c r="B1102" i="26"/>
  <c r="F1102" i="26"/>
  <c r="BM1102" i="26"/>
  <c r="R1102" i="26"/>
  <c r="AR1102" i="26"/>
  <c r="AW1102" i="26"/>
  <c r="AV1102" i="55"/>
  <c r="AT1102" i="26"/>
  <c r="S1102" i="26"/>
  <c r="I1102" i="26"/>
  <c r="AS1102" i="26"/>
  <c r="BV1102" i="26"/>
  <c r="BJ1102" i="26"/>
  <c r="BE1102" i="26"/>
  <c r="K1102" i="26"/>
  <c r="M1102" i="26" s="1"/>
  <c r="N1102" i="26" s="1"/>
  <c r="BR1102" i="26"/>
  <c r="AY1102" i="26"/>
  <c r="E1387" i="55"/>
  <c r="BE725" i="26" l="1"/>
  <c r="BV728" i="26"/>
  <c r="O1387" i="55"/>
  <c r="E1103" i="26"/>
  <c r="Z1387" i="55"/>
  <c r="Q1387" i="55"/>
  <c r="AI1387" i="55"/>
  <c r="K1387" i="55"/>
  <c r="P1387" i="55"/>
  <c r="AK1387" i="55"/>
  <c r="AF1387" i="55"/>
  <c r="AO1387" i="55"/>
  <c r="AD1387" i="55"/>
  <c r="AL1387" i="55"/>
  <c r="AG1387" i="55"/>
  <c r="H1387" i="55"/>
  <c r="AM1387" i="55"/>
  <c r="X1387" i="55"/>
  <c r="S1387" i="55"/>
  <c r="AB1387" i="55"/>
  <c r="AN1387" i="55"/>
  <c r="AQ1387" i="55"/>
  <c r="U1387" i="55"/>
  <c r="AT1387" i="55"/>
  <c r="L1387" i="55"/>
  <c r="B1387" i="55"/>
  <c r="M1387" i="55"/>
  <c r="G1387" i="55"/>
  <c r="I1387" i="55"/>
  <c r="A1387" i="55"/>
  <c r="W1387" i="55"/>
  <c r="V1387" i="55"/>
  <c r="C1387" i="55"/>
  <c r="AH1387" i="55"/>
  <c r="AC1387" i="55"/>
  <c r="D1387" i="55"/>
  <c r="N1387" i="55"/>
  <c r="BF1103" i="26" l="1"/>
  <c r="BC1103" i="26"/>
  <c r="BD1103" i="26"/>
  <c r="BU1103" i="26"/>
  <c r="V1103" i="26"/>
  <c r="BV727" i="26"/>
  <c r="BE724" i="26"/>
  <c r="I1103" i="26"/>
  <c r="X1103" i="26"/>
  <c r="BO1103" i="26"/>
  <c r="K1103" i="26"/>
  <c r="M1103" i="26" s="1"/>
  <c r="N1103" i="26" s="1"/>
  <c r="F1103" i="26"/>
  <c r="BP1103" i="26"/>
  <c r="R1103" i="26"/>
  <c r="AT1103" i="26"/>
  <c r="AS1103" i="26"/>
  <c r="AO1103" i="26"/>
  <c r="P1103" i="26"/>
  <c r="AF1103" i="26"/>
  <c r="BL1103" i="26"/>
  <c r="BI1103" i="26"/>
  <c r="T1103" i="26"/>
  <c r="BE1103" i="26"/>
  <c r="BM1103" i="26"/>
  <c r="A1103" i="26"/>
  <c r="AV1103" i="55"/>
  <c r="BR1103" i="26"/>
  <c r="B1103" i="26"/>
  <c r="AU1103" i="26"/>
  <c r="AX1103" i="26"/>
  <c r="AK1103" i="26"/>
  <c r="L1103" i="26"/>
  <c r="BA1103" i="26"/>
  <c r="AV1103" i="26"/>
  <c r="C1103" i="26"/>
  <c r="BQ1103" i="26"/>
  <c r="O1103" i="26"/>
  <c r="BG1103" i="26"/>
  <c r="D1103" i="26"/>
  <c r="AY1103" i="26"/>
  <c r="AP1103" i="26"/>
  <c r="AJ1103" i="26"/>
  <c r="BK1103" i="26"/>
  <c r="Q1103" i="26"/>
  <c r="BX1103" i="26"/>
  <c r="W1103" i="26"/>
  <c r="BJ1103" i="26"/>
  <c r="BT1103" i="26"/>
  <c r="H1103" i="26"/>
  <c r="BV1103" i="26"/>
  <c r="AM1103" i="26"/>
  <c r="AW1103" i="26"/>
  <c r="U1103" i="26"/>
  <c r="G1103" i="26"/>
  <c r="S1103" i="26"/>
  <c r="BW1103" i="26"/>
  <c r="AR1103" i="26"/>
  <c r="BN1103" i="26"/>
  <c r="E1388" i="55"/>
  <c r="BE723" i="26" l="1"/>
  <c r="BV726" i="26"/>
  <c r="O1388" i="55"/>
  <c r="E1104" i="26"/>
  <c r="AD1388" i="55"/>
  <c r="AO1388" i="55"/>
  <c r="Z1388" i="55"/>
  <c r="AI1388" i="55"/>
  <c r="Q1388" i="55"/>
  <c r="P1388" i="55"/>
  <c r="K1388" i="55"/>
  <c r="AL1388" i="55"/>
  <c r="AK1388" i="55"/>
  <c r="AF1388" i="55"/>
  <c r="AG1388" i="55"/>
  <c r="G1388" i="55"/>
  <c r="M1388" i="55"/>
  <c r="A1388" i="55"/>
  <c r="N1388" i="55"/>
  <c r="AB1388" i="55"/>
  <c r="AT1388" i="55"/>
  <c r="C1388" i="55"/>
  <c r="AC1388" i="55"/>
  <c r="AN1388" i="55"/>
  <c r="S1388" i="55"/>
  <c r="X1388" i="55"/>
  <c r="AM1388" i="55"/>
  <c r="W1388" i="55"/>
  <c r="U1388" i="55"/>
  <c r="H1388" i="55"/>
  <c r="B1388" i="55"/>
  <c r="L1388" i="55"/>
  <c r="AH1388" i="55"/>
  <c r="I1388" i="55"/>
  <c r="AQ1388" i="55"/>
  <c r="D1388" i="55"/>
  <c r="V1388" i="55"/>
  <c r="BF1104" i="26" l="1"/>
  <c r="BC1104" i="26"/>
  <c r="AV1104" i="55" s="1"/>
  <c r="BD1104" i="26"/>
  <c r="BU1104" i="26"/>
  <c r="V1104" i="26"/>
  <c r="BV725" i="26"/>
  <c r="BE722" i="26"/>
  <c r="Q1104" i="26"/>
  <c r="BQ1104" i="26"/>
  <c r="BR1104" i="26"/>
  <c r="BW1104" i="26"/>
  <c r="O1104" i="26"/>
  <c r="BJ1104" i="26"/>
  <c r="AM1104" i="26"/>
  <c r="BP1104" i="26"/>
  <c r="AU1104" i="26"/>
  <c r="AX1104" i="26"/>
  <c r="AW1104" i="26"/>
  <c r="F1104" i="26"/>
  <c r="BO1104" i="26"/>
  <c r="H1104" i="26"/>
  <c r="S1104" i="26"/>
  <c r="T1104" i="26"/>
  <c r="AF1104" i="26"/>
  <c r="AS1104" i="26"/>
  <c r="AT1104" i="26"/>
  <c r="BL1104" i="26"/>
  <c r="BG1104" i="26"/>
  <c r="A1104" i="26"/>
  <c r="BA1104" i="26"/>
  <c r="BE1104" i="26"/>
  <c r="BI1104" i="26"/>
  <c r="BT1104" i="26"/>
  <c r="AR1104" i="26"/>
  <c r="BN1104" i="26"/>
  <c r="I1104" i="26"/>
  <c r="L1104" i="26"/>
  <c r="U1104" i="26"/>
  <c r="BM1104" i="26"/>
  <c r="AJ1104" i="26"/>
  <c r="G1104" i="26"/>
  <c r="BX1104" i="26"/>
  <c r="P1104" i="26"/>
  <c r="BV1104" i="26"/>
  <c r="K1104" i="26"/>
  <c r="M1104" i="26" s="1"/>
  <c r="N1104" i="26" s="1"/>
  <c r="AP1104" i="26"/>
  <c r="C1104" i="26"/>
  <c r="AK1104" i="26"/>
  <c r="AV1104" i="26"/>
  <c r="R1104" i="26"/>
  <c r="AY1104" i="26"/>
  <c r="AO1104" i="26"/>
  <c r="BK1104" i="26"/>
  <c r="D1104" i="26"/>
  <c r="W1104" i="26"/>
  <c r="B1104" i="26"/>
  <c r="X1104" i="26"/>
  <c r="E1389" i="55"/>
  <c r="BE721" i="26" l="1"/>
  <c r="BV724" i="26"/>
  <c r="O1389" i="55"/>
  <c r="E1105" i="26"/>
  <c r="AG1389" i="55"/>
  <c r="AI1389" i="55"/>
  <c r="Q1389" i="55"/>
  <c r="P1389" i="55"/>
  <c r="K1389" i="55"/>
  <c r="AK1389" i="55"/>
  <c r="AF1389" i="55"/>
  <c r="AO1389" i="55"/>
  <c r="AD1389" i="55"/>
  <c r="AL1389" i="55"/>
  <c r="Z1389" i="55"/>
  <c r="AB1389" i="55"/>
  <c r="X1389" i="55"/>
  <c r="M1389" i="55"/>
  <c r="U1389" i="55"/>
  <c r="AN1389" i="55"/>
  <c r="W1389" i="55"/>
  <c r="B1389" i="55"/>
  <c r="A1389" i="55"/>
  <c r="AT1389" i="55"/>
  <c r="N1389" i="55"/>
  <c r="L1389" i="55"/>
  <c r="AM1389" i="55"/>
  <c r="AH1389" i="55"/>
  <c r="V1389" i="55"/>
  <c r="AQ1389" i="55"/>
  <c r="D1389" i="55"/>
  <c r="AC1389" i="55"/>
  <c r="S1389" i="55"/>
  <c r="C1389" i="55"/>
  <c r="I1389" i="55"/>
  <c r="G1389" i="55"/>
  <c r="H1389" i="55"/>
  <c r="BF1105" i="26" l="1"/>
  <c r="BC1105" i="26"/>
  <c r="AV1105" i="55" s="1"/>
  <c r="BD1105" i="26"/>
  <c r="BU1105" i="26"/>
  <c r="V1105" i="26"/>
  <c r="BE720" i="26"/>
  <c r="BV723" i="26"/>
  <c r="BW1105" i="26"/>
  <c r="AF1105" i="26"/>
  <c r="X1105" i="26"/>
  <c r="AK1105" i="26"/>
  <c r="AT1105" i="26"/>
  <c r="F1105" i="26"/>
  <c r="AO1105" i="26"/>
  <c r="W1105" i="26"/>
  <c r="U1105" i="26"/>
  <c r="AX1105" i="26"/>
  <c r="R1105" i="26"/>
  <c r="BK1105" i="26"/>
  <c r="S1105" i="26"/>
  <c r="BL1105" i="26"/>
  <c r="T1105" i="26"/>
  <c r="C1105" i="26"/>
  <c r="AM1105" i="26"/>
  <c r="D1105" i="26"/>
  <c r="AJ1105" i="26"/>
  <c r="A1105" i="26"/>
  <c r="K1105" i="26"/>
  <c r="M1105" i="26" s="1"/>
  <c r="N1105" i="26" s="1"/>
  <c r="BR1105" i="26"/>
  <c r="Q1105" i="26"/>
  <c r="AP1105" i="26"/>
  <c r="BN1105" i="26"/>
  <c r="L1105" i="26"/>
  <c r="BA1105" i="26"/>
  <c r="BV1105" i="26"/>
  <c r="BE1105" i="26"/>
  <c r="P1105" i="26"/>
  <c r="H1105" i="26"/>
  <c r="AW1105" i="26"/>
  <c r="BQ1105" i="26"/>
  <c r="BP1105" i="26"/>
  <c r="B1105" i="26"/>
  <c r="BT1105" i="26"/>
  <c r="BM1105" i="26"/>
  <c r="BX1105" i="26"/>
  <c r="AR1105" i="26"/>
  <c r="O1105" i="26"/>
  <c r="AV1105" i="26"/>
  <c r="BI1105" i="26"/>
  <c r="I1105" i="26"/>
  <c r="G1105" i="26"/>
  <c r="AS1105" i="26"/>
  <c r="BO1105" i="26"/>
  <c r="AU1105" i="26"/>
  <c r="AY1105" i="26"/>
  <c r="BG1105" i="26"/>
  <c r="BJ1105" i="26"/>
  <c r="E1390" i="55"/>
  <c r="BV722" i="26" l="1"/>
  <c r="BE719" i="26"/>
  <c r="E1106" i="26"/>
  <c r="BD1106" i="26" s="1"/>
  <c r="AG1390" i="55"/>
  <c r="O1390" i="55"/>
  <c r="Z1390" i="55"/>
  <c r="AI1390" i="55"/>
  <c r="P1390" i="55"/>
  <c r="Q1390" i="55"/>
  <c r="K1390" i="55"/>
  <c r="AO1390" i="55"/>
  <c r="AK1390" i="55"/>
  <c r="AD1390" i="55"/>
  <c r="AL1390" i="55"/>
  <c r="AF1390" i="55"/>
  <c r="H1390" i="55"/>
  <c r="N1390" i="55"/>
  <c r="AH1390" i="55"/>
  <c r="B1390" i="55"/>
  <c r="L1390" i="55"/>
  <c r="W1390" i="55"/>
  <c r="AT1390" i="55"/>
  <c r="M1390" i="55"/>
  <c r="C1390" i="55"/>
  <c r="U1390" i="55"/>
  <c r="X1390" i="55"/>
  <c r="V1390" i="55"/>
  <c r="AQ1390" i="55"/>
  <c r="AB1390" i="55"/>
  <c r="I1390" i="55"/>
  <c r="AN1390" i="55"/>
  <c r="G1390" i="55"/>
  <c r="AC1390" i="55"/>
  <c r="A1390" i="55"/>
  <c r="S1390" i="55"/>
  <c r="AM1390" i="55"/>
  <c r="D1390" i="55"/>
  <c r="BF1106" i="26" l="1"/>
  <c r="BC1106" i="26"/>
  <c r="BU1106" i="26"/>
  <c r="V1106" i="26"/>
  <c r="BE718" i="26"/>
  <c r="BV721" i="26"/>
  <c r="U1106" i="26"/>
  <c r="AW1106" i="26"/>
  <c r="G1106" i="26"/>
  <c r="S1106" i="26"/>
  <c r="AV1106" i="26"/>
  <c r="BX1106" i="26"/>
  <c r="AP1106" i="26"/>
  <c r="AR1106" i="26"/>
  <c r="H1106" i="26"/>
  <c r="BM1106" i="26"/>
  <c r="AO1106" i="26"/>
  <c r="A1106" i="26"/>
  <c r="BE1106" i="26"/>
  <c r="AT1106" i="26"/>
  <c r="AK1106" i="26"/>
  <c r="BW1106" i="26"/>
  <c r="D1106" i="26"/>
  <c r="BA1106" i="26"/>
  <c r="F1106" i="26"/>
  <c r="Q1106" i="26"/>
  <c r="I1106" i="26"/>
  <c r="X1106" i="26"/>
  <c r="B1106" i="26"/>
  <c r="BR1106" i="26"/>
  <c r="BL1106" i="26"/>
  <c r="L1106" i="26"/>
  <c r="BQ1106" i="26"/>
  <c r="P1106" i="26"/>
  <c r="O1106" i="26"/>
  <c r="R1106" i="26"/>
  <c r="BP1106" i="26"/>
  <c r="T1106" i="26"/>
  <c r="AX1106" i="26"/>
  <c r="BN1106" i="26"/>
  <c r="AU1106" i="26"/>
  <c r="AS1106" i="26"/>
  <c r="BO1106" i="26"/>
  <c r="BK1106" i="26"/>
  <c r="AJ1106" i="26"/>
  <c r="W1106" i="26"/>
  <c r="AF1106" i="26"/>
  <c r="AY1106" i="26"/>
  <c r="BV1106" i="26"/>
  <c r="BT1106" i="26"/>
  <c r="AM1106" i="26"/>
  <c r="K1106" i="26"/>
  <c r="M1106" i="26" s="1"/>
  <c r="N1106" i="26" s="1"/>
  <c r="C1106" i="26"/>
  <c r="BG1106" i="26"/>
  <c r="BJ1106" i="26"/>
  <c r="AV1106" i="55"/>
  <c r="BI1106" i="26"/>
  <c r="E1391" i="55"/>
  <c r="BE717" i="26" l="1"/>
  <c r="BV720" i="26"/>
  <c r="Z1391" i="55"/>
  <c r="E1107" i="26"/>
  <c r="AL1391" i="55"/>
  <c r="O1391" i="55"/>
  <c r="AO1391" i="55"/>
  <c r="AI1391" i="55"/>
  <c r="Q1391" i="55"/>
  <c r="P1391" i="55"/>
  <c r="K1391" i="55"/>
  <c r="AG1391" i="55"/>
  <c r="AK1391" i="55"/>
  <c r="AD1391" i="55"/>
  <c r="AF1391" i="55"/>
  <c r="C1391" i="55"/>
  <c r="AM1391" i="55"/>
  <c r="L1391" i="55"/>
  <c r="A1391" i="55"/>
  <c r="W1391" i="55"/>
  <c r="B1391" i="55"/>
  <c r="D1391" i="55"/>
  <c r="AQ1391" i="55"/>
  <c r="X1391" i="55"/>
  <c r="M1391" i="55"/>
  <c r="AH1391" i="55"/>
  <c r="AT1391" i="55"/>
  <c r="G1391" i="55"/>
  <c r="V1391" i="55"/>
  <c r="U1391" i="55"/>
  <c r="AC1391" i="55"/>
  <c r="I1391" i="55"/>
  <c r="N1391" i="55"/>
  <c r="AB1391" i="55"/>
  <c r="H1391" i="55"/>
  <c r="AN1391" i="55"/>
  <c r="S1391" i="55"/>
  <c r="BF1107" i="26" l="1"/>
  <c r="BC1107" i="26"/>
  <c r="AV1107" i="55" s="1"/>
  <c r="BD1107" i="26"/>
  <c r="BU1107" i="26"/>
  <c r="V1107" i="26"/>
  <c r="BV719" i="26"/>
  <c r="BE716" i="26"/>
  <c r="BX1107" i="26"/>
  <c r="BT1107" i="26"/>
  <c r="AK1107" i="26"/>
  <c r="AV1107" i="26"/>
  <c r="BK1107" i="26"/>
  <c r="AT1107" i="26"/>
  <c r="BI1107" i="26"/>
  <c r="H1107" i="26"/>
  <c r="BR1107" i="26"/>
  <c r="L1107" i="26"/>
  <c r="AY1107" i="26"/>
  <c r="BM1107" i="26"/>
  <c r="X1107" i="26"/>
  <c r="AX1107" i="26"/>
  <c r="W1107" i="26"/>
  <c r="BO1107" i="26"/>
  <c r="BV1107" i="26"/>
  <c r="BE1107" i="26"/>
  <c r="R1107" i="26"/>
  <c r="K1107" i="26"/>
  <c r="M1107" i="26" s="1"/>
  <c r="N1107" i="26" s="1"/>
  <c r="BQ1107" i="26"/>
  <c r="AP1107" i="26"/>
  <c r="AR1107" i="26"/>
  <c r="BJ1107" i="26"/>
  <c r="BP1107" i="26"/>
  <c r="BL1107" i="26"/>
  <c r="O1107" i="26"/>
  <c r="AW1107" i="26"/>
  <c r="AU1107" i="26"/>
  <c r="AS1107" i="26"/>
  <c r="I1107" i="26"/>
  <c r="U1107" i="26"/>
  <c r="AJ1107" i="26"/>
  <c r="BG1107" i="26"/>
  <c r="A1107" i="26"/>
  <c r="S1107" i="26"/>
  <c r="BA1107" i="26"/>
  <c r="D1107" i="26"/>
  <c r="G1107" i="26"/>
  <c r="AM1107" i="26"/>
  <c r="AF1107" i="26"/>
  <c r="T1107" i="26"/>
  <c r="C1107" i="26"/>
  <c r="BN1107" i="26"/>
  <c r="P1107" i="26"/>
  <c r="BW1107" i="26"/>
  <c r="B1107" i="26"/>
  <c r="Q1107" i="26"/>
  <c r="AO1107" i="26"/>
  <c r="F1107" i="26"/>
  <c r="E1392" i="55"/>
  <c r="BE715" i="26" l="1"/>
  <c r="BV718" i="26"/>
  <c r="O1392" i="55"/>
  <c r="E1108" i="26"/>
  <c r="Q1392" i="55"/>
  <c r="AI1392" i="55"/>
  <c r="P1392" i="55"/>
  <c r="K1392" i="55"/>
  <c r="AO1392" i="55"/>
  <c r="AD1392" i="55"/>
  <c r="AL1392" i="55"/>
  <c r="AF1392" i="55"/>
  <c r="AG1392" i="55"/>
  <c r="Z1392" i="55"/>
  <c r="AK1392" i="55"/>
  <c r="U1392" i="55"/>
  <c r="AT1392" i="55"/>
  <c r="AN1392" i="55"/>
  <c r="AC1392" i="55"/>
  <c r="AM1392" i="55"/>
  <c r="H1392" i="55"/>
  <c r="N1392" i="55"/>
  <c r="C1392" i="55"/>
  <c r="W1392" i="55"/>
  <c r="AQ1392" i="55"/>
  <c r="AB1392" i="55"/>
  <c r="L1392" i="55"/>
  <c r="X1392" i="55"/>
  <c r="A1392" i="55"/>
  <c r="G1392" i="55"/>
  <c r="D1392" i="55"/>
  <c r="AH1392" i="55"/>
  <c r="V1392" i="55"/>
  <c r="B1392" i="55"/>
  <c r="M1392" i="55"/>
  <c r="I1392" i="55"/>
  <c r="S1392" i="55"/>
  <c r="BF1108" i="26" l="1"/>
  <c r="BC1108" i="26"/>
  <c r="AV1108" i="55" s="1"/>
  <c r="BU1108" i="26"/>
  <c r="BD1108" i="26"/>
  <c r="V1108" i="26"/>
  <c r="BV717" i="26"/>
  <c r="BE714" i="26"/>
  <c r="X1108" i="26"/>
  <c r="AK1108" i="26"/>
  <c r="BX1108" i="26"/>
  <c r="BO1108" i="26"/>
  <c r="AW1108" i="26"/>
  <c r="BN1108" i="26"/>
  <c r="BP1108" i="26"/>
  <c r="D1108" i="26"/>
  <c r="AY1108" i="26"/>
  <c r="P1108" i="26"/>
  <c r="AT1108" i="26"/>
  <c r="BM1108" i="26"/>
  <c r="BV1108" i="26"/>
  <c r="BJ1108" i="26"/>
  <c r="S1108" i="26"/>
  <c r="AR1108" i="26"/>
  <c r="U1108" i="26"/>
  <c r="AU1108" i="26"/>
  <c r="K1108" i="26"/>
  <c r="M1108" i="26" s="1"/>
  <c r="N1108" i="26" s="1"/>
  <c r="G1108" i="26"/>
  <c r="BT1108" i="26"/>
  <c r="I1108" i="26"/>
  <c r="R1108" i="26"/>
  <c r="BK1108" i="26"/>
  <c r="C1108" i="26"/>
  <c r="BQ1108" i="26"/>
  <c r="H1108" i="26"/>
  <c r="T1108" i="26"/>
  <c r="B1108" i="26"/>
  <c r="W1108" i="26"/>
  <c r="BR1108" i="26"/>
  <c r="AV1108" i="26"/>
  <c r="L1108" i="26"/>
  <c r="AS1108" i="26"/>
  <c r="Q1108" i="26"/>
  <c r="AO1108" i="26"/>
  <c r="BG1108" i="26"/>
  <c r="O1108" i="26"/>
  <c r="AP1108" i="26"/>
  <c r="AF1108" i="26"/>
  <c r="F1108" i="26"/>
  <c r="AM1108" i="26"/>
  <c r="BE1108" i="26"/>
  <c r="BA1108" i="26"/>
  <c r="BI1108" i="26"/>
  <c r="BL1108" i="26"/>
  <c r="AJ1108" i="26"/>
  <c r="BW1108" i="26"/>
  <c r="A1108" i="26"/>
  <c r="AX1108" i="26"/>
  <c r="E1393" i="55"/>
  <c r="BE713" i="26" l="1"/>
  <c r="BV716" i="26"/>
  <c r="O1393" i="55"/>
  <c r="E1109" i="26"/>
  <c r="Z1393" i="55"/>
  <c r="AG1393" i="55"/>
  <c r="AL1393" i="55"/>
  <c r="AI1393" i="55"/>
  <c r="Q1393" i="55"/>
  <c r="P1393" i="55"/>
  <c r="K1393" i="55"/>
  <c r="AD1393" i="55"/>
  <c r="AK1393" i="55"/>
  <c r="AO1393" i="55"/>
  <c r="AF1393" i="55"/>
  <c r="D1393" i="55"/>
  <c r="AN1393" i="55"/>
  <c r="AH1393" i="55"/>
  <c r="A1393" i="55"/>
  <c r="AT1393" i="55"/>
  <c r="X1393" i="55"/>
  <c r="S1393" i="55"/>
  <c r="H1393" i="55"/>
  <c r="AQ1393" i="55"/>
  <c r="N1393" i="55"/>
  <c r="AB1393" i="55"/>
  <c r="AM1393" i="55"/>
  <c r="G1393" i="55"/>
  <c r="AC1393" i="55"/>
  <c r="U1393" i="55"/>
  <c r="I1393" i="55"/>
  <c r="M1393" i="55"/>
  <c r="L1393" i="55"/>
  <c r="C1393" i="55"/>
  <c r="V1393" i="55"/>
  <c r="W1393" i="55"/>
  <c r="B1393" i="55"/>
  <c r="BF1109" i="26" l="1"/>
  <c r="BC1109" i="26"/>
  <c r="BU1109" i="26"/>
  <c r="BD1109" i="26"/>
  <c r="V1109" i="26"/>
  <c r="BV715" i="26"/>
  <c r="BE712" i="26"/>
  <c r="AX1109" i="26"/>
  <c r="S1109" i="26"/>
  <c r="O1109" i="26"/>
  <c r="AM1109" i="26"/>
  <c r="BX1109" i="26"/>
  <c r="AS1109" i="26"/>
  <c r="AK1109" i="26"/>
  <c r="I1109" i="26"/>
  <c r="G1109" i="26"/>
  <c r="AP1109" i="26"/>
  <c r="C1109" i="26"/>
  <c r="BP1109" i="26"/>
  <c r="D1109" i="26"/>
  <c r="U1109" i="26"/>
  <c r="BJ1109" i="26"/>
  <c r="BG1109" i="26"/>
  <c r="BV1109" i="26"/>
  <c r="BK1109" i="26"/>
  <c r="T1109" i="26"/>
  <c r="A1109" i="26"/>
  <c r="BM1109" i="26"/>
  <c r="AY1109" i="26"/>
  <c r="Q1109" i="26"/>
  <c r="K1109" i="26"/>
  <c r="M1109" i="26" s="1"/>
  <c r="N1109" i="26" s="1"/>
  <c r="F1109" i="26"/>
  <c r="X1109" i="26"/>
  <c r="AT1109" i="26"/>
  <c r="H1109" i="26"/>
  <c r="BT1109" i="26"/>
  <c r="AU1109" i="26"/>
  <c r="AR1109" i="26"/>
  <c r="BW1109" i="26"/>
  <c r="AF1109" i="26"/>
  <c r="AV1109" i="55"/>
  <c r="BI1109" i="26"/>
  <c r="BA1109" i="26"/>
  <c r="B1109" i="26"/>
  <c r="R1109" i="26"/>
  <c r="P1109" i="26"/>
  <c r="L1109" i="26"/>
  <c r="BR1109" i="26"/>
  <c r="AO1109" i="26"/>
  <c r="BO1109" i="26"/>
  <c r="W1109" i="26"/>
  <c r="BQ1109" i="26"/>
  <c r="BN1109" i="26"/>
  <c r="BL1109" i="26"/>
  <c r="AW1109" i="26"/>
  <c r="BE1109" i="26"/>
  <c r="AV1109" i="26"/>
  <c r="AJ1109" i="26"/>
  <c r="E1394" i="55"/>
  <c r="BE711" i="26" l="1"/>
  <c r="BV714" i="26"/>
  <c r="O1394" i="55"/>
  <c r="E1110" i="26"/>
  <c r="AF1394" i="55"/>
  <c r="AO1394" i="55"/>
  <c r="AI1394" i="55"/>
  <c r="Q1394" i="55"/>
  <c r="P1394" i="55"/>
  <c r="K1394" i="55"/>
  <c r="AL1394" i="55"/>
  <c r="AD1394" i="55"/>
  <c r="Z1394" i="55"/>
  <c r="AG1394" i="55"/>
  <c r="AK1394" i="55"/>
  <c r="N1394" i="55"/>
  <c r="AQ1394" i="55"/>
  <c r="AC1394" i="55"/>
  <c r="W1394" i="55"/>
  <c r="AN1394" i="55"/>
  <c r="U1394" i="55"/>
  <c r="M1394" i="55"/>
  <c r="AH1394" i="55"/>
  <c r="C1394" i="55"/>
  <c r="A1394" i="55"/>
  <c r="V1394" i="55"/>
  <c r="AM1394" i="55"/>
  <c r="S1394" i="55"/>
  <c r="L1394" i="55"/>
  <c r="G1394" i="55"/>
  <c r="AT1394" i="55"/>
  <c r="D1394" i="55"/>
  <c r="I1394" i="55"/>
  <c r="X1394" i="55"/>
  <c r="AB1394" i="55"/>
  <c r="H1394" i="55"/>
  <c r="B1394" i="55"/>
  <c r="BF1110" i="26" l="1"/>
  <c r="BC1110" i="26"/>
  <c r="BD1110" i="26"/>
  <c r="BU1110" i="26"/>
  <c r="V1110" i="26"/>
  <c r="BV713" i="26"/>
  <c r="BE710" i="26"/>
  <c r="AV1110" i="55"/>
  <c r="Q1110" i="26"/>
  <c r="BJ1110" i="26"/>
  <c r="AU1110" i="26"/>
  <c r="BA1110" i="26"/>
  <c r="BK1110" i="26"/>
  <c r="I1110" i="26"/>
  <c r="AF1110" i="26"/>
  <c r="AX1110" i="26"/>
  <c r="O1110" i="26"/>
  <c r="AO1110" i="26"/>
  <c r="G1110" i="26"/>
  <c r="BE1110" i="26"/>
  <c r="H1110" i="26"/>
  <c r="BG1110" i="26"/>
  <c r="C1110" i="26"/>
  <c r="AP1110" i="26"/>
  <c r="AK1110" i="26"/>
  <c r="BV1110" i="26"/>
  <c r="BQ1110" i="26"/>
  <c r="B1110" i="26"/>
  <c r="AJ1110" i="26"/>
  <c r="BM1110" i="26"/>
  <c r="AM1110" i="26"/>
  <c r="S1110" i="26"/>
  <c r="AS1110" i="26"/>
  <c r="BP1110" i="26"/>
  <c r="AV1110" i="26"/>
  <c r="U1110" i="26"/>
  <c r="F1110" i="26"/>
  <c r="BI1110" i="26"/>
  <c r="BO1110" i="26"/>
  <c r="D1110" i="26"/>
  <c r="BT1110" i="26"/>
  <c r="P1110" i="26"/>
  <c r="AR1110" i="26"/>
  <c r="L1110" i="26"/>
  <c r="AW1110" i="26"/>
  <c r="A1110" i="26"/>
  <c r="AT1110" i="26"/>
  <c r="R1110" i="26"/>
  <c r="T1110" i="26"/>
  <c r="K1110" i="26"/>
  <c r="M1110" i="26" s="1"/>
  <c r="N1110" i="26" s="1"/>
  <c r="BX1110" i="26"/>
  <c r="AY1110" i="26"/>
  <c r="W1110" i="26"/>
  <c r="X1110" i="26"/>
  <c r="BL1110" i="26"/>
  <c r="BR1110" i="26"/>
  <c r="BN1110" i="26"/>
  <c r="BW1110" i="26"/>
  <c r="E1395" i="55"/>
  <c r="BD1111" i="26" l="1"/>
  <c r="BE709" i="26"/>
  <c r="BV712" i="26"/>
  <c r="E1111" i="26"/>
  <c r="AL1395" i="55"/>
  <c r="AO1395" i="55"/>
  <c r="O1395" i="55"/>
  <c r="AG1395" i="55"/>
  <c r="AI1395" i="55"/>
  <c r="Q1395" i="55"/>
  <c r="P1395" i="55"/>
  <c r="K1395" i="55"/>
  <c r="Z1395" i="55"/>
  <c r="AD1395" i="55"/>
  <c r="AK1395" i="55"/>
  <c r="AF1395" i="55"/>
  <c r="AT1395" i="55"/>
  <c r="U1395" i="55"/>
  <c r="C1395" i="55"/>
  <c r="AQ1395" i="55"/>
  <c r="AM1395" i="55"/>
  <c r="B1395" i="55"/>
  <c r="V1395" i="55"/>
  <c r="G1395" i="55"/>
  <c r="AN1395" i="55"/>
  <c r="D1395" i="55"/>
  <c r="H1395" i="55"/>
  <c r="AB1395" i="55"/>
  <c r="AH1395" i="55"/>
  <c r="L1395" i="55"/>
  <c r="M1395" i="55"/>
  <c r="W1395" i="55"/>
  <c r="S1395" i="55"/>
  <c r="X1395" i="55"/>
  <c r="AC1395" i="55"/>
  <c r="N1395" i="55"/>
  <c r="A1395" i="55"/>
  <c r="I1395" i="55"/>
  <c r="BF1111" i="26" l="1"/>
  <c r="BC1111" i="26"/>
  <c r="BU1111" i="26"/>
  <c r="V1111" i="26"/>
  <c r="BE708" i="26"/>
  <c r="BV711" i="26"/>
  <c r="BL1111" i="26"/>
  <c r="AF1111" i="26"/>
  <c r="AT1111" i="26"/>
  <c r="BW1111" i="26"/>
  <c r="U1111" i="26"/>
  <c r="R1111" i="26"/>
  <c r="BE1111" i="26"/>
  <c r="BQ1111" i="26"/>
  <c r="AR1111" i="26"/>
  <c r="L1111" i="26"/>
  <c r="BR1111" i="26"/>
  <c r="BV1111" i="26"/>
  <c r="I1111" i="26"/>
  <c r="BG1111" i="26"/>
  <c r="C1111" i="26"/>
  <c r="AK1111" i="26"/>
  <c r="T1111" i="26"/>
  <c r="AW1111" i="26"/>
  <c r="AS1111" i="26"/>
  <c r="AU1111" i="26"/>
  <c r="BI1111" i="26"/>
  <c r="BO1111" i="26"/>
  <c r="H1111" i="26"/>
  <c r="BM1111" i="26"/>
  <c r="S1111" i="26"/>
  <c r="Q1111" i="26"/>
  <c r="K1111" i="26"/>
  <c r="M1111" i="26" s="1"/>
  <c r="N1111" i="26" s="1"/>
  <c r="A1111" i="26"/>
  <c r="BN1111" i="26"/>
  <c r="BJ1111" i="26"/>
  <c r="BK1111" i="26"/>
  <c r="AP1111" i="26"/>
  <c r="X1111" i="26"/>
  <c r="AV1111" i="26"/>
  <c r="D1111" i="26"/>
  <c r="W1111" i="26"/>
  <c r="G1111" i="26"/>
  <c r="F1111" i="26"/>
  <c r="BA1111" i="26"/>
  <c r="BT1111" i="26"/>
  <c r="AO1111" i="26"/>
  <c r="AM1111" i="26"/>
  <c r="BX1111" i="26"/>
  <c r="AJ1111" i="26"/>
  <c r="B1111" i="26"/>
  <c r="AX1111" i="26"/>
  <c r="AY1111" i="26"/>
  <c r="BP1111" i="26"/>
  <c r="AV1111" i="55"/>
  <c r="O1111" i="26"/>
  <c r="P1111" i="26"/>
  <c r="E1396" i="55"/>
  <c r="BV710" i="26" l="1"/>
  <c r="BE707" i="26"/>
  <c r="O1396" i="55"/>
  <c r="E1112" i="26"/>
  <c r="AG1396" i="55"/>
  <c r="AO1396" i="55"/>
  <c r="AI1396" i="55"/>
  <c r="Q1396" i="55"/>
  <c r="P1396" i="55"/>
  <c r="K1396" i="55"/>
  <c r="AF1396" i="55"/>
  <c r="AK1396" i="55"/>
  <c r="AD1396" i="55"/>
  <c r="AL1396" i="55"/>
  <c r="Z1396" i="55"/>
  <c r="C1396" i="55"/>
  <c r="AT1396" i="55"/>
  <c r="W1396" i="55"/>
  <c r="AC1396" i="55"/>
  <c r="V1396" i="55"/>
  <c r="X1396" i="55"/>
  <c r="AN1396" i="55"/>
  <c r="AQ1396" i="55"/>
  <c r="AM1396" i="55"/>
  <c r="G1396" i="55"/>
  <c r="H1396" i="55"/>
  <c r="M1396" i="55"/>
  <c r="A1396" i="55"/>
  <c r="AH1396" i="55"/>
  <c r="B1396" i="55"/>
  <c r="N1396" i="55"/>
  <c r="S1396" i="55"/>
  <c r="D1396" i="55"/>
  <c r="U1396" i="55"/>
  <c r="AB1396" i="55"/>
  <c r="I1396" i="55"/>
  <c r="L1396" i="55"/>
  <c r="BF1112" i="26" l="1"/>
  <c r="BC1112" i="26"/>
  <c r="BD1112" i="26"/>
  <c r="BU1112" i="26"/>
  <c r="V1112" i="26"/>
  <c r="BE706" i="26"/>
  <c r="BV709" i="26"/>
  <c r="C1112" i="26"/>
  <c r="BX1112" i="26"/>
  <c r="I1112" i="26"/>
  <c r="Q1112" i="26"/>
  <c r="BL1112" i="26"/>
  <c r="BV1112" i="26"/>
  <c r="BO1112" i="26"/>
  <c r="AT1112" i="26"/>
  <c r="AV1112" i="26"/>
  <c r="F1112" i="26"/>
  <c r="AM1112" i="26"/>
  <c r="AF1112" i="26"/>
  <c r="BP1112" i="26"/>
  <c r="L1112" i="26"/>
  <c r="BQ1112" i="26"/>
  <c r="BW1112" i="26"/>
  <c r="W1112" i="26"/>
  <c r="R1112" i="26"/>
  <c r="AX1112" i="26"/>
  <c r="B1112" i="26"/>
  <c r="AW1112" i="26"/>
  <c r="D1112" i="26"/>
  <c r="T1112" i="26"/>
  <c r="AP1112" i="26"/>
  <c r="AV1112" i="55"/>
  <c r="AK1112" i="26"/>
  <c r="S1112" i="26"/>
  <c r="BT1112" i="26"/>
  <c r="AJ1112" i="26"/>
  <c r="AY1112" i="26"/>
  <c r="O1112" i="26"/>
  <c r="X1112" i="26"/>
  <c r="BA1112" i="26"/>
  <c r="U1112" i="26"/>
  <c r="K1112" i="26"/>
  <c r="M1112" i="26" s="1"/>
  <c r="N1112" i="26" s="1"/>
  <c r="BN1112" i="26"/>
  <c r="H1112" i="26"/>
  <c r="BR1112" i="26"/>
  <c r="G1112" i="26"/>
  <c r="A1112" i="26"/>
  <c r="AR1112" i="26"/>
  <c r="BE1112" i="26"/>
  <c r="P1112" i="26"/>
  <c r="AS1112" i="26"/>
  <c r="BG1112" i="26"/>
  <c r="AO1112" i="26"/>
  <c r="AU1112" i="26"/>
  <c r="BK1112" i="26"/>
  <c r="BJ1112" i="26"/>
  <c r="BI1112" i="26"/>
  <c r="BM1112" i="26"/>
  <c r="E1397" i="55"/>
  <c r="BV708" i="26" l="1"/>
  <c r="BE705" i="26"/>
  <c r="O1397" i="55"/>
  <c r="E1113" i="26"/>
  <c r="AK1397" i="55"/>
  <c r="AF1397" i="55"/>
  <c r="Q1397" i="55"/>
  <c r="AI1397" i="55"/>
  <c r="P1397" i="55"/>
  <c r="K1397" i="55"/>
  <c r="AO1397" i="55"/>
  <c r="AL1397" i="55"/>
  <c r="Z1397" i="55"/>
  <c r="AG1397" i="55"/>
  <c r="AD1397" i="55"/>
  <c r="U1397" i="55"/>
  <c r="A1397" i="55"/>
  <c r="AQ1397" i="55"/>
  <c r="I1397" i="55"/>
  <c r="AB1397" i="55"/>
  <c r="AT1397" i="55"/>
  <c r="G1397" i="55"/>
  <c r="W1397" i="55"/>
  <c r="S1397" i="55"/>
  <c r="AC1397" i="55"/>
  <c r="AM1397" i="55"/>
  <c r="L1397" i="55"/>
  <c r="B1397" i="55"/>
  <c r="H1397" i="55"/>
  <c r="AH1397" i="55"/>
  <c r="V1397" i="55"/>
  <c r="D1397" i="55"/>
  <c r="M1397" i="55"/>
  <c r="N1397" i="55"/>
  <c r="C1397" i="55"/>
  <c r="X1397" i="55"/>
  <c r="AN1397" i="55"/>
  <c r="BF1113" i="26" l="1"/>
  <c r="BC1113" i="26"/>
  <c r="BD1113" i="26"/>
  <c r="BU1113" i="26"/>
  <c r="V1113" i="26"/>
  <c r="BE704" i="26"/>
  <c r="BV707" i="26"/>
  <c r="AK1113" i="26"/>
  <c r="W1113" i="26"/>
  <c r="BL1113" i="26"/>
  <c r="AS1113" i="26"/>
  <c r="AW1113" i="26"/>
  <c r="AF1113" i="26"/>
  <c r="AV1113" i="26"/>
  <c r="BJ1113" i="26"/>
  <c r="I1113" i="26"/>
  <c r="AP1113" i="26"/>
  <c r="BV1113" i="26"/>
  <c r="AT1113" i="26"/>
  <c r="O1113" i="26"/>
  <c r="D1113" i="26"/>
  <c r="P1113" i="26"/>
  <c r="BI1113" i="26"/>
  <c r="BW1113" i="26"/>
  <c r="S1113" i="26"/>
  <c r="AR1113" i="26"/>
  <c r="U1113" i="26"/>
  <c r="A1113" i="26"/>
  <c r="BT1113" i="26"/>
  <c r="AX1113" i="26"/>
  <c r="H1113" i="26"/>
  <c r="AY1113" i="26"/>
  <c r="F1113" i="26"/>
  <c r="BQ1113" i="26"/>
  <c r="B1113" i="26"/>
  <c r="BM1113" i="26"/>
  <c r="BR1113" i="26"/>
  <c r="BK1113" i="26"/>
  <c r="K1113" i="26"/>
  <c r="M1113" i="26" s="1"/>
  <c r="N1113" i="26" s="1"/>
  <c r="AO1113" i="26"/>
  <c r="BA1113" i="26"/>
  <c r="Q1113" i="26"/>
  <c r="R1113" i="26"/>
  <c r="AU1113" i="26"/>
  <c r="AM1113" i="26"/>
  <c r="T1113" i="26"/>
  <c r="AV1113" i="55"/>
  <c r="BX1113" i="26"/>
  <c r="G1113" i="26"/>
  <c r="BE1113" i="26"/>
  <c r="BN1113" i="26"/>
  <c r="BO1113" i="26"/>
  <c r="L1113" i="26"/>
  <c r="C1113" i="26"/>
  <c r="BG1113" i="26"/>
  <c r="X1113" i="26"/>
  <c r="BP1113" i="26"/>
  <c r="AJ1113" i="26"/>
  <c r="E1398" i="55"/>
  <c r="BV706" i="26" l="1"/>
  <c r="BE703" i="26"/>
  <c r="O1398" i="55"/>
  <c r="E1114" i="26"/>
  <c r="AO1398" i="55"/>
  <c r="AI1398" i="55"/>
  <c r="P1398" i="55"/>
  <c r="Q1398" i="55"/>
  <c r="K1398" i="55"/>
  <c r="AG1398" i="55"/>
  <c r="Z1398" i="55"/>
  <c r="AD1398" i="55"/>
  <c r="AK1398" i="55"/>
  <c r="AF1398" i="55"/>
  <c r="I1398" i="55"/>
  <c r="A1398" i="55"/>
  <c r="AH1398" i="55"/>
  <c r="AN1398" i="55"/>
  <c r="AM1398" i="55"/>
  <c r="AB1398" i="55"/>
  <c r="M1398" i="55"/>
  <c r="AQ1398" i="55"/>
  <c r="U1398" i="55"/>
  <c r="AT1398" i="55"/>
  <c r="L1398" i="55"/>
  <c r="W1398" i="55"/>
  <c r="V1398" i="55"/>
  <c r="H1398" i="55"/>
  <c r="B1398" i="55"/>
  <c r="N1398" i="55"/>
  <c r="G1398" i="55"/>
  <c r="AC1398" i="55"/>
  <c r="D1398" i="55"/>
  <c r="X1398" i="55"/>
  <c r="C1398" i="55"/>
  <c r="S1398" i="55"/>
  <c r="AL1398" i="55"/>
  <c r="BF1114" i="26" l="1"/>
  <c r="BC1114" i="26"/>
  <c r="AV1114" i="55" s="1"/>
  <c r="BD1114" i="26"/>
  <c r="BU1114" i="26"/>
  <c r="V1114" i="26"/>
  <c r="BE702" i="26"/>
  <c r="BV705" i="26"/>
  <c r="BK1114" i="26"/>
  <c r="T1114" i="26"/>
  <c r="AX1114" i="26"/>
  <c r="C1114" i="26"/>
  <c r="BR1114" i="26"/>
  <c r="A1114" i="26"/>
  <c r="K1114" i="26"/>
  <c r="M1114" i="26" s="1"/>
  <c r="N1114" i="26" s="1"/>
  <c r="AR1114" i="26"/>
  <c r="BJ1114" i="26"/>
  <c r="BA1114" i="26"/>
  <c r="BL1114" i="26"/>
  <c r="S1114" i="26"/>
  <c r="BG1114" i="26"/>
  <c r="BN1114" i="26"/>
  <c r="B1114" i="26"/>
  <c r="AY1114" i="26"/>
  <c r="G1114" i="26"/>
  <c r="BO1114" i="26"/>
  <c r="U1114" i="26"/>
  <c r="I1114" i="26"/>
  <c r="AO1114" i="26"/>
  <c r="AM1114" i="26"/>
  <c r="X1114" i="26"/>
  <c r="BI1114" i="26"/>
  <c r="BV1114" i="26"/>
  <c r="AS1114" i="26"/>
  <c r="BM1114" i="26"/>
  <c r="Q1114" i="26"/>
  <c r="AW1114" i="26"/>
  <c r="BP1114" i="26"/>
  <c r="BQ1114" i="26"/>
  <c r="BE1114" i="26"/>
  <c r="BX1114" i="26"/>
  <c r="AJ1114" i="26"/>
  <c r="P1114" i="26"/>
  <c r="O1114" i="26"/>
  <c r="AK1114" i="26"/>
  <c r="AF1114" i="26"/>
  <c r="W1114" i="26"/>
  <c r="AU1114" i="26"/>
  <c r="L1114" i="26"/>
  <c r="AP1114" i="26"/>
  <c r="H1114" i="26"/>
  <c r="D1114" i="26"/>
  <c r="AV1114" i="26"/>
  <c r="BW1114" i="26"/>
  <c r="R1114" i="26"/>
  <c r="BT1114" i="26"/>
  <c r="AT1114" i="26"/>
  <c r="F1114" i="26"/>
  <c r="E1399" i="55"/>
  <c r="BV704" i="26" l="1"/>
  <c r="BE701" i="26"/>
  <c r="O1399" i="55"/>
  <c r="E1115" i="26"/>
  <c r="AD1399" i="55"/>
  <c r="AO1399" i="55"/>
  <c r="AG1399" i="55"/>
  <c r="AI1399" i="55"/>
  <c r="Q1399" i="55"/>
  <c r="P1399" i="55"/>
  <c r="K1399" i="55"/>
  <c r="AK1399" i="55"/>
  <c r="Z1399" i="55"/>
  <c r="AF1399" i="55"/>
  <c r="AL1399" i="55"/>
  <c r="I1399" i="55"/>
  <c r="G1399" i="55"/>
  <c r="C1399" i="55"/>
  <c r="M1399" i="55"/>
  <c r="AT1399" i="55"/>
  <c r="H1399" i="55"/>
  <c r="U1399" i="55"/>
  <c r="N1399" i="55"/>
  <c r="L1399" i="55"/>
  <c r="AH1399" i="55"/>
  <c r="D1399" i="55"/>
  <c r="V1399" i="55"/>
  <c r="AC1399" i="55"/>
  <c r="AB1399" i="55"/>
  <c r="AQ1399" i="55"/>
  <c r="AM1399" i="55"/>
  <c r="S1399" i="55"/>
  <c r="W1399" i="55"/>
  <c r="AN1399" i="55"/>
  <c r="A1399" i="55"/>
  <c r="X1399" i="55"/>
  <c r="B1399" i="55"/>
  <c r="BF1115" i="26" l="1"/>
  <c r="BC1115" i="26"/>
  <c r="BD1115" i="26"/>
  <c r="BU1115" i="26"/>
  <c r="V1115" i="26"/>
  <c r="BE700" i="26"/>
  <c r="BV703" i="26"/>
  <c r="AF1115" i="26"/>
  <c r="R1115" i="26"/>
  <c r="H1115" i="26"/>
  <c r="BR1115" i="26"/>
  <c r="G1115" i="26"/>
  <c r="BO1115" i="26"/>
  <c r="C1115" i="26"/>
  <c r="AX1115" i="26"/>
  <c r="AJ1115" i="26"/>
  <c r="BG1115" i="26"/>
  <c r="BX1115" i="26"/>
  <c r="AO1115" i="26"/>
  <c r="AV1115" i="26"/>
  <c r="S1115" i="26"/>
  <c r="BI1115" i="26"/>
  <c r="BN1115" i="26"/>
  <c r="AT1115" i="26"/>
  <c r="AP1115" i="26"/>
  <c r="AV1115" i="55"/>
  <c r="F1115" i="26"/>
  <c r="P1115" i="26"/>
  <c r="BV1115" i="26"/>
  <c r="BP1115" i="26"/>
  <c r="BM1115" i="26"/>
  <c r="AM1115" i="26"/>
  <c r="AS1115" i="26"/>
  <c r="BA1115" i="26"/>
  <c r="BJ1115" i="26"/>
  <c r="X1115" i="26"/>
  <c r="D1115" i="26"/>
  <c r="BW1115" i="26"/>
  <c r="O1115" i="26"/>
  <c r="B1115" i="26"/>
  <c r="AK1115" i="26"/>
  <c r="I1115" i="26"/>
  <c r="BK1115" i="26"/>
  <c r="BL1115" i="26"/>
  <c r="K1115" i="26"/>
  <c r="M1115" i="26" s="1"/>
  <c r="N1115" i="26" s="1"/>
  <c r="AR1115" i="26"/>
  <c r="L1115" i="26"/>
  <c r="AY1115" i="26"/>
  <c r="BE1115" i="26"/>
  <c r="Q1115" i="26"/>
  <c r="BQ1115" i="26"/>
  <c r="U1115" i="26"/>
  <c r="T1115" i="26"/>
  <c r="AU1115" i="26"/>
  <c r="W1115" i="26"/>
  <c r="AW1115" i="26"/>
  <c r="A1115" i="26"/>
  <c r="BT1115" i="26"/>
  <c r="E1400" i="55"/>
  <c r="BV702" i="26" l="1"/>
  <c r="BE699" i="26"/>
  <c r="O1400" i="55"/>
  <c r="E1116" i="26"/>
  <c r="AF1400" i="55"/>
  <c r="AK1400" i="55"/>
  <c r="AI1400" i="55"/>
  <c r="Q1400" i="55"/>
  <c r="P1400" i="55"/>
  <c r="K1400" i="55"/>
  <c r="AG1400" i="55"/>
  <c r="AL1400" i="55"/>
  <c r="AO1400" i="55"/>
  <c r="Z1400" i="55"/>
  <c r="AD1400" i="55"/>
  <c r="L1400" i="55"/>
  <c r="AM1400" i="55"/>
  <c r="AB1400" i="55"/>
  <c r="C1400" i="55"/>
  <c r="AC1400" i="55"/>
  <c r="I1400" i="55"/>
  <c r="AH1400" i="55"/>
  <c r="V1400" i="55"/>
  <c r="AT1400" i="55"/>
  <c r="A1400" i="55"/>
  <c r="X1400" i="55"/>
  <c r="G1400" i="55"/>
  <c r="M1400" i="55"/>
  <c r="AQ1400" i="55"/>
  <c r="N1400" i="55"/>
  <c r="U1400" i="55"/>
  <c r="S1400" i="55"/>
  <c r="W1400" i="55"/>
  <c r="D1400" i="55"/>
  <c r="B1400" i="55"/>
  <c r="AN1400" i="55"/>
  <c r="H1400" i="55"/>
  <c r="BF1116" i="26" l="1"/>
  <c r="BC1116" i="26"/>
  <c r="AV1116" i="55" s="1"/>
  <c r="BD1116" i="26"/>
  <c r="BU1116" i="26"/>
  <c r="V1116" i="26"/>
  <c r="BE698" i="26"/>
  <c r="BV701" i="26"/>
  <c r="AT1116" i="26"/>
  <c r="O1116" i="26"/>
  <c r="BL1116" i="26"/>
  <c r="I1116" i="26"/>
  <c r="BO1116" i="26"/>
  <c r="BX1116" i="26"/>
  <c r="U1116" i="26"/>
  <c r="F1116" i="26"/>
  <c r="B1116" i="26"/>
  <c r="AU1116" i="26"/>
  <c r="BE1116" i="26"/>
  <c r="BV1116" i="26"/>
  <c r="H1116" i="26"/>
  <c r="L1116" i="26"/>
  <c r="BR1116" i="26"/>
  <c r="BJ1116" i="26"/>
  <c r="R1116" i="26"/>
  <c r="BN1116" i="26"/>
  <c r="Q1116" i="26"/>
  <c r="C1116" i="26"/>
  <c r="X1116" i="26"/>
  <c r="K1116" i="26"/>
  <c r="M1116" i="26" s="1"/>
  <c r="N1116" i="26" s="1"/>
  <c r="BK1116" i="26"/>
  <c r="AX1116" i="26"/>
  <c r="S1116" i="26"/>
  <c r="AV1116" i="26"/>
  <c r="A1116" i="26"/>
  <c r="AJ1116" i="26"/>
  <c r="G1116" i="26"/>
  <c r="AP1116" i="26"/>
  <c r="D1116" i="26"/>
  <c r="BG1116" i="26"/>
  <c r="BT1116" i="26"/>
  <c r="AW1116" i="26"/>
  <c r="BI1116" i="26"/>
  <c r="AS1116" i="26"/>
  <c r="T1116" i="26"/>
  <c r="AY1116" i="26"/>
  <c r="P1116" i="26"/>
  <c r="BQ1116" i="26"/>
  <c r="BM1116" i="26"/>
  <c r="AR1116" i="26"/>
  <c r="BW1116" i="26"/>
  <c r="BP1116" i="26"/>
  <c r="AF1116" i="26"/>
  <c r="AM1116" i="26"/>
  <c r="AK1116" i="26"/>
  <c r="AO1116" i="26"/>
  <c r="W1116" i="26"/>
  <c r="BA1116" i="26"/>
  <c r="E1401" i="55"/>
  <c r="BV700" i="26" l="1"/>
  <c r="BE697" i="26"/>
  <c r="O1401" i="55"/>
  <c r="E1117" i="26"/>
  <c r="AI1401" i="55"/>
  <c r="Q1401" i="55"/>
  <c r="P1401" i="55"/>
  <c r="K1401" i="55"/>
  <c r="AF1401" i="55"/>
  <c r="AO1401" i="55"/>
  <c r="AD1401" i="55"/>
  <c r="Z1401" i="55"/>
  <c r="AG1401" i="55"/>
  <c r="AK1401" i="55"/>
  <c r="AL1401" i="55"/>
  <c r="N1401" i="55"/>
  <c r="AC1401" i="55"/>
  <c r="X1401" i="55"/>
  <c r="W1401" i="55"/>
  <c r="AH1401" i="55"/>
  <c r="V1401" i="55"/>
  <c r="G1401" i="55"/>
  <c r="C1401" i="55"/>
  <c r="U1401" i="55"/>
  <c r="AN1401" i="55"/>
  <c r="D1401" i="55"/>
  <c r="B1401" i="55"/>
  <c r="I1401" i="55"/>
  <c r="S1401" i="55"/>
  <c r="L1401" i="55"/>
  <c r="AT1401" i="55"/>
  <c r="AQ1401" i="55"/>
  <c r="AB1401" i="55"/>
  <c r="AM1401" i="55"/>
  <c r="H1401" i="55"/>
  <c r="A1401" i="55"/>
  <c r="M1401" i="55"/>
  <c r="BF1117" i="26" l="1"/>
  <c r="BC1117" i="26"/>
  <c r="BD1117" i="26"/>
  <c r="BU1117" i="26"/>
  <c r="V1117" i="26"/>
  <c r="BE696" i="26"/>
  <c r="BV699" i="26"/>
  <c r="BR1117" i="26"/>
  <c r="D1117" i="26"/>
  <c r="A1117" i="26"/>
  <c r="AX1117" i="26"/>
  <c r="BW1117" i="26"/>
  <c r="AV1117" i="55"/>
  <c r="X1117" i="26"/>
  <c r="AW1117" i="26"/>
  <c r="Q1117" i="26"/>
  <c r="AP1117" i="26"/>
  <c r="L1117" i="26"/>
  <c r="BE1117" i="26"/>
  <c r="BT1117" i="26"/>
  <c r="K1117" i="26"/>
  <c r="M1117" i="26" s="1"/>
  <c r="N1117" i="26" s="1"/>
  <c r="AV1117" i="26"/>
  <c r="AU1117" i="26"/>
  <c r="S1117" i="26"/>
  <c r="T1117" i="26"/>
  <c r="BI1117" i="26"/>
  <c r="BG1117" i="26"/>
  <c r="AO1117" i="26"/>
  <c r="U1117" i="26"/>
  <c r="AK1117" i="26"/>
  <c r="W1117" i="26"/>
  <c r="AM1117" i="26"/>
  <c r="BX1117" i="26"/>
  <c r="AT1117" i="26"/>
  <c r="AJ1117" i="26"/>
  <c r="BM1117" i="26"/>
  <c r="AY1117" i="26"/>
  <c r="F1117" i="26"/>
  <c r="BA1117" i="26"/>
  <c r="P1117" i="26"/>
  <c r="BO1117" i="26"/>
  <c r="I1117" i="26"/>
  <c r="B1117" i="26"/>
  <c r="R1117" i="26"/>
  <c r="BP1117" i="26"/>
  <c r="BL1117" i="26"/>
  <c r="AF1117" i="26"/>
  <c r="BJ1117" i="26"/>
  <c r="O1117" i="26"/>
  <c r="H1117" i="26"/>
  <c r="AR1117" i="26"/>
  <c r="AS1117" i="26"/>
  <c r="BQ1117" i="26"/>
  <c r="BK1117" i="26"/>
  <c r="C1117" i="26"/>
  <c r="BV1117" i="26"/>
  <c r="G1117" i="26"/>
  <c r="BN1117" i="26"/>
  <c r="E1402" i="55"/>
  <c r="BV698" i="26" l="1"/>
  <c r="BE695" i="26"/>
  <c r="O1402" i="55"/>
  <c r="E1118" i="26"/>
  <c r="AG1402" i="55"/>
  <c r="AI1402" i="55"/>
  <c r="P1402" i="55"/>
  <c r="Q1402" i="55"/>
  <c r="K1402" i="55"/>
  <c r="Z1402" i="55"/>
  <c r="AF1402" i="55"/>
  <c r="AK1402" i="55"/>
  <c r="AL1402" i="55"/>
  <c r="AO1402" i="55"/>
  <c r="AD1402" i="55"/>
  <c r="M1402" i="55"/>
  <c r="AN1402" i="55"/>
  <c r="V1402" i="55"/>
  <c r="AQ1402" i="55"/>
  <c r="X1402" i="55"/>
  <c r="AT1402" i="55"/>
  <c r="AM1402" i="55"/>
  <c r="L1402" i="55"/>
  <c r="G1402" i="55"/>
  <c r="B1402" i="55"/>
  <c r="U1402" i="55"/>
  <c r="AB1402" i="55"/>
  <c r="AH1402" i="55"/>
  <c r="C1402" i="55"/>
  <c r="AC1402" i="55"/>
  <c r="W1402" i="55"/>
  <c r="N1402" i="55"/>
  <c r="I1402" i="55"/>
  <c r="A1402" i="55"/>
  <c r="S1402" i="55"/>
  <c r="D1402" i="55"/>
  <c r="H1402" i="55"/>
  <c r="BF1118" i="26" l="1"/>
  <c r="BC1118" i="26"/>
  <c r="BD1118" i="26"/>
  <c r="BU1118" i="26"/>
  <c r="V1118" i="26"/>
  <c r="BE694" i="26"/>
  <c r="BV697" i="26"/>
  <c r="BE1118" i="26"/>
  <c r="BQ1118" i="26"/>
  <c r="X1118" i="26"/>
  <c r="BL1118" i="26"/>
  <c r="O1118" i="26"/>
  <c r="BK1118" i="26"/>
  <c r="B1118" i="26"/>
  <c r="BG1118" i="26"/>
  <c r="AM1118" i="26"/>
  <c r="BI1118" i="26"/>
  <c r="A1118" i="26"/>
  <c r="BJ1118" i="26"/>
  <c r="S1118" i="26"/>
  <c r="P1118" i="26"/>
  <c r="AV1118" i="55"/>
  <c r="BV1118" i="26"/>
  <c r="BX1118" i="26"/>
  <c r="AX1118" i="26"/>
  <c r="AJ1118" i="26"/>
  <c r="L1118" i="26"/>
  <c r="AK1118" i="26"/>
  <c r="C1118" i="26"/>
  <c r="AP1118" i="26"/>
  <c r="F1118" i="26"/>
  <c r="BA1118" i="26"/>
  <c r="AY1118" i="26"/>
  <c r="G1118" i="26"/>
  <c r="U1118" i="26"/>
  <c r="W1118" i="26"/>
  <c r="AF1118" i="26"/>
  <c r="H1118" i="26"/>
  <c r="AV1118" i="26"/>
  <c r="AU1118" i="26"/>
  <c r="BN1118" i="26"/>
  <c r="D1118" i="26"/>
  <c r="Q1118" i="26"/>
  <c r="AS1118" i="26"/>
  <c r="I1118" i="26"/>
  <c r="T1118" i="26"/>
  <c r="BT1118" i="26"/>
  <c r="BP1118" i="26"/>
  <c r="R1118" i="26"/>
  <c r="BR1118" i="26"/>
  <c r="BM1118" i="26"/>
  <c r="AR1118" i="26"/>
  <c r="AT1118" i="26"/>
  <c r="BO1118" i="26"/>
  <c r="AO1118" i="26"/>
  <c r="AW1118" i="26"/>
  <c r="K1118" i="26"/>
  <c r="M1118" i="26" s="1"/>
  <c r="N1118" i="26" s="1"/>
  <c r="BW1118" i="26"/>
  <c r="E1403" i="55"/>
  <c r="BE693" i="26" l="1"/>
  <c r="BV696" i="26"/>
  <c r="O1403" i="55"/>
  <c r="E1119" i="26"/>
  <c r="AF1403" i="55"/>
  <c r="Q1403" i="55"/>
  <c r="AI1403" i="55"/>
  <c r="K1403" i="55"/>
  <c r="P1403" i="55"/>
  <c r="AK1403" i="55"/>
  <c r="AG1403" i="55"/>
  <c r="Z1403" i="55"/>
  <c r="AD1403" i="55"/>
  <c r="AL1403" i="55"/>
  <c r="AO1403" i="55"/>
  <c r="AT1403" i="55"/>
  <c r="M1403" i="55"/>
  <c r="S1403" i="55"/>
  <c r="AM1403" i="55"/>
  <c r="L1403" i="55"/>
  <c r="G1403" i="55"/>
  <c r="X1403" i="55"/>
  <c r="V1403" i="55"/>
  <c r="B1403" i="55"/>
  <c r="W1403" i="55"/>
  <c r="AN1403" i="55"/>
  <c r="H1403" i="55"/>
  <c r="A1403" i="55"/>
  <c r="AC1403" i="55"/>
  <c r="AQ1403" i="55"/>
  <c r="AB1403" i="55"/>
  <c r="AH1403" i="55"/>
  <c r="I1403" i="55"/>
  <c r="D1403" i="55"/>
  <c r="U1403" i="55"/>
  <c r="C1403" i="55"/>
  <c r="N1403" i="55"/>
  <c r="V1119" i="26" l="1"/>
  <c r="BF1119" i="26"/>
  <c r="BC1119" i="26"/>
  <c r="AV1119" i="55" s="1"/>
  <c r="BD1119" i="26"/>
  <c r="BU1119" i="26"/>
  <c r="BV695" i="26"/>
  <c r="BE692" i="26"/>
  <c r="R1119" i="26"/>
  <c r="BL1119" i="26"/>
  <c r="BJ1119" i="26"/>
  <c r="BG1119" i="26"/>
  <c r="BX1119" i="26"/>
  <c r="D1119" i="26"/>
  <c r="BO1119" i="26"/>
  <c r="L1119" i="26"/>
  <c r="S1119" i="26"/>
  <c r="X1119" i="26"/>
  <c r="BN1119" i="26"/>
  <c r="AV1119" i="26"/>
  <c r="BK1119" i="26"/>
  <c r="AP1119" i="26"/>
  <c r="BI1119" i="26"/>
  <c r="W1119" i="26"/>
  <c r="U1119" i="26"/>
  <c r="AO1119" i="26"/>
  <c r="BV1119" i="26"/>
  <c r="AS1119" i="26"/>
  <c r="T1119" i="26"/>
  <c r="G1119" i="26"/>
  <c r="B1119" i="26"/>
  <c r="AU1119" i="26"/>
  <c r="BE1119" i="26"/>
  <c r="BM1119" i="26"/>
  <c r="C1119" i="26"/>
  <c r="I1119" i="26"/>
  <c r="AT1119" i="26"/>
  <c r="AJ1119" i="26"/>
  <c r="AW1119" i="26"/>
  <c r="O1119" i="26"/>
  <c r="AF1119" i="26"/>
  <c r="BW1119" i="26"/>
  <c r="P1119" i="26"/>
  <c r="AX1119" i="26"/>
  <c r="AY1119" i="26"/>
  <c r="BP1119" i="26"/>
  <c r="A1119" i="26"/>
  <c r="BT1119" i="26"/>
  <c r="AR1119" i="26"/>
  <c r="F1119" i="26"/>
  <c r="BA1119" i="26"/>
  <c r="Q1119" i="26"/>
  <c r="BQ1119" i="26"/>
  <c r="AK1119" i="26"/>
  <c r="AM1119" i="26"/>
  <c r="BR1119" i="26"/>
  <c r="H1119" i="26"/>
  <c r="K1119" i="26"/>
  <c r="M1119" i="26" s="1"/>
  <c r="N1119" i="26" s="1"/>
  <c r="E1404" i="55"/>
  <c r="BE691" i="26" l="1"/>
  <c r="BV694" i="26"/>
  <c r="O1404" i="55"/>
  <c r="E1120" i="26"/>
  <c r="AF1404" i="55"/>
  <c r="AI1404" i="55"/>
  <c r="Q1404" i="55"/>
  <c r="P1404" i="55"/>
  <c r="K1404" i="55"/>
  <c r="AG1404" i="55"/>
  <c r="AO1404" i="55"/>
  <c r="AL1404" i="55"/>
  <c r="AD1404" i="55"/>
  <c r="AK1404" i="55"/>
  <c r="Z1404" i="55"/>
  <c r="N1404" i="55"/>
  <c r="A1404" i="55"/>
  <c r="AB1404" i="55"/>
  <c r="L1404" i="55"/>
  <c r="C1404" i="55"/>
  <c r="AH1404" i="55"/>
  <c r="S1404" i="55"/>
  <c r="V1404" i="55"/>
  <c r="AM1404" i="55"/>
  <c r="AQ1404" i="55"/>
  <c r="AT1404" i="55"/>
  <c r="AN1404" i="55"/>
  <c r="B1404" i="55"/>
  <c r="AC1404" i="55"/>
  <c r="X1404" i="55"/>
  <c r="H1404" i="55"/>
  <c r="U1404" i="55"/>
  <c r="W1404" i="55"/>
  <c r="D1404" i="55"/>
  <c r="I1404" i="55"/>
  <c r="M1404" i="55"/>
  <c r="G1404" i="55"/>
  <c r="BF1120" i="26" l="1"/>
  <c r="BC1120" i="26"/>
  <c r="BD1120" i="26"/>
  <c r="BU1120" i="26"/>
  <c r="V1120" i="26"/>
  <c r="BV693" i="26"/>
  <c r="BE690" i="26"/>
  <c r="Q1120" i="26"/>
  <c r="AJ1120" i="26"/>
  <c r="X1120" i="26"/>
  <c r="AK1120" i="26"/>
  <c r="AM1120" i="26"/>
  <c r="AY1120" i="26"/>
  <c r="S1120" i="26"/>
  <c r="BT1120" i="26"/>
  <c r="BI1120" i="26"/>
  <c r="P1120" i="26"/>
  <c r="W1120" i="26"/>
  <c r="AT1120" i="26"/>
  <c r="BO1120" i="26"/>
  <c r="AR1120" i="26"/>
  <c r="AS1120" i="26"/>
  <c r="G1120" i="26"/>
  <c r="BM1120" i="26"/>
  <c r="BK1120" i="26"/>
  <c r="BQ1120" i="26"/>
  <c r="BG1120" i="26"/>
  <c r="H1120" i="26"/>
  <c r="C1120" i="26"/>
  <c r="A1120" i="26"/>
  <c r="AX1120" i="26"/>
  <c r="BR1120" i="26"/>
  <c r="AP1120" i="26"/>
  <c r="T1120" i="26"/>
  <c r="I1120" i="26"/>
  <c r="AW1120" i="26"/>
  <c r="BP1120" i="26"/>
  <c r="AU1120" i="26"/>
  <c r="BA1120" i="26"/>
  <c r="BN1120" i="26"/>
  <c r="AF1120" i="26"/>
  <c r="B1120" i="26"/>
  <c r="R1120" i="26"/>
  <c r="U1120" i="26"/>
  <c r="O1120" i="26"/>
  <c r="AV1120" i="26"/>
  <c r="L1120" i="26"/>
  <c r="BJ1120" i="26"/>
  <c r="K1120" i="26"/>
  <c r="M1120" i="26" s="1"/>
  <c r="N1120" i="26" s="1"/>
  <c r="D1120" i="26"/>
  <c r="BL1120" i="26"/>
  <c r="AV1120" i="55"/>
  <c r="BV1120" i="26"/>
  <c r="BE1120" i="26"/>
  <c r="AO1120" i="26"/>
  <c r="F1120" i="26"/>
  <c r="BX1120" i="26"/>
  <c r="BW1120" i="26"/>
  <c r="E1405" i="55"/>
  <c r="BE689" i="26" l="1"/>
  <c r="BV692" i="26"/>
  <c r="O1405" i="55"/>
  <c r="E1121" i="26"/>
  <c r="AD1405" i="55"/>
  <c r="Q1405" i="55"/>
  <c r="AI1405" i="55"/>
  <c r="P1405" i="55"/>
  <c r="K1405" i="55"/>
  <c r="AG1405" i="55"/>
  <c r="AK1405" i="55"/>
  <c r="AF1405" i="55"/>
  <c r="Z1405" i="55"/>
  <c r="AL1405" i="55"/>
  <c r="AO1405" i="55"/>
  <c r="S1405" i="55"/>
  <c r="M1405" i="55"/>
  <c r="AT1405" i="55"/>
  <c r="B1405" i="55"/>
  <c r="H1405" i="55"/>
  <c r="D1405" i="55"/>
  <c r="AQ1405" i="55"/>
  <c r="AB1405" i="55"/>
  <c r="A1405" i="55"/>
  <c r="W1405" i="55"/>
  <c r="C1405" i="55"/>
  <c r="AM1405" i="55"/>
  <c r="L1405" i="55"/>
  <c r="U1405" i="55"/>
  <c r="AH1405" i="55"/>
  <c r="AC1405" i="55"/>
  <c r="AN1405" i="55"/>
  <c r="I1405" i="55"/>
  <c r="X1405" i="55"/>
  <c r="N1405" i="55"/>
  <c r="V1405" i="55"/>
  <c r="G1405" i="55"/>
  <c r="BF1121" i="26" l="1"/>
  <c r="BC1121" i="26"/>
  <c r="AV1121" i="55" s="1"/>
  <c r="BD1121" i="26"/>
  <c r="BU1121" i="26"/>
  <c r="V1121" i="26"/>
  <c r="BV691" i="26"/>
  <c r="BE688" i="26"/>
  <c r="BM1121" i="26"/>
  <c r="BG1121" i="26"/>
  <c r="AM1121" i="26"/>
  <c r="BJ1121" i="26"/>
  <c r="BK1121" i="26"/>
  <c r="AJ1121" i="26"/>
  <c r="BQ1121" i="26"/>
  <c r="BE1121" i="26"/>
  <c r="S1121" i="26"/>
  <c r="D1121" i="26"/>
  <c r="AO1121" i="26"/>
  <c r="X1121" i="26"/>
  <c r="K1121" i="26"/>
  <c r="M1121" i="26" s="1"/>
  <c r="N1121" i="26" s="1"/>
  <c r="BT1121" i="26"/>
  <c r="BX1121" i="26"/>
  <c r="F1121" i="26"/>
  <c r="AK1121" i="26"/>
  <c r="I1121" i="26"/>
  <c r="C1121" i="26"/>
  <c r="AX1121" i="26"/>
  <c r="B1121" i="26"/>
  <c r="L1121" i="26"/>
  <c r="BO1121" i="26"/>
  <c r="BR1121" i="26"/>
  <c r="AU1121" i="26"/>
  <c r="O1121" i="26"/>
  <c r="R1121" i="26"/>
  <c r="AT1121" i="26"/>
  <c r="AF1121" i="26"/>
  <c r="G1121" i="26"/>
  <c r="H1121" i="26"/>
  <c r="P1121" i="26"/>
  <c r="BI1121" i="26"/>
  <c r="BW1121" i="26"/>
  <c r="AR1121" i="26"/>
  <c r="A1121" i="26"/>
  <c r="AP1121" i="26"/>
  <c r="AV1121" i="26"/>
  <c r="BN1121" i="26"/>
  <c r="AS1121" i="26"/>
  <c r="T1121" i="26"/>
  <c r="U1121" i="26"/>
  <c r="AW1121" i="26"/>
  <c r="BL1121" i="26"/>
  <c r="BA1121" i="26"/>
  <c r="AY1121" i="26"/>
  <c r="BP1121" i="26"/>
  <c r="BV1121" i="26"/>
  <c r="W1121" i="26"/>
  <c r="Q1121" i="26"/>
  <c r="E1406" i="55"/>
  <c r="BE687" i="26" l="1"/>
  <c r="BV690" i="26"/>
  <c r="O1406" i="55"/>
  <c r="E1122" i="26"/>
  <c r="AG1406" i="55"/>
  <c r="AO1406" i="55"/>
  <c r="AL1406" i="55"/>
  <c r="AI1406" i="55"/>
  <c r="P1406" i="55"/>
  <c r="Q1406" i="55"/>
  <c r="K1406" i="55"/>
  <c r="Z1406" i="55"/>
  <c r="AF1406" i="55"/>
  <c r="AD1406" i="55"/>
  <c r="AK1406" i="55"/>
  <c r="S1406" i="55"/>
  <c r="M1406" i="55"/>
  <c r="H1406" i="55"/>
  <c r="L1406" i="55"/>
  <c r="AB1406" i="55"/>
  <c r="C1406" i="55"/>
  <c r="AM1406" i="55"/>
  <c r="AT1406" i="55"/>
  <c r="AC1406" i="55"/>
  <c r="AQ1406" i="55"/>
  <c r="A1406" i="55"/>
  <c r="G1406" i="55"/>
  <c r="I1406" i="55"/>
  <c r="W1406" i="55"/>
  <c r="V1406" i="55"/>
  <c r="AH1406" i="55"/>
  <c r="AN1406" i="55"/>
  <c r="B1406" i="55"/>
  <c r="X1406" i="55"/>
  <c r="N1406" i="55"/>
  <c r="D1406" i="55"/>
  <c r="U1406" i="55"/>
  <c r="BF1122" i="26" l="1"/>
  <c r="BC1122" i="26"/>
  <c r="BD1122" i="26"/>
  <c r="BU1122" i="26"/>
  <c r="V1122" i="26"/>
  <c r="BV689" i="26"/>
  <c r="BE686" i="26"/>
  <c r="BQ1122" i="26"/>
  <c r="R1122" i="26"/>
  <c r="AV1122" i="26"/>
  <c r="AJ1122" i="26"/>
  <c r="BJ1122" i="26"/>
  <c r="AU1122" i="26"/>
  <c r="AS1122" i="26"/>
  <c r="AX1122" i="26"/>
  <c r="C1122" i="26"/>
  <c r="BM1122" i="26"/>
  <c r="BL1122" i="26"/>
  <c r="W1122" i="26"/>
  <c r="L1122" i="26"/>
  <c r="U1122" i="26"/>
  <c r="BV1122" i="26"/>
  <c r="AR1122" i="26"/>
  <c r="Q1122" i="26"/>
  <c r="B1122" i="26"/>
  <c r="AY1122" i="26"/>
  <c r="BX1122" i="26"/>
  <c r="BI1122" i="26"/>
  <c r="O1122" i="26"/>
  <c r="BA1122" i="26"/>
  <c r="AK1122" i="26"/>
  <c r="K1122" i="26"/>
  <c r="M1122" i="26" s="1"/>
  <c r="N1122" i="26" s="1"/>
  <c r="G1122" i="26"/>
  <c r="AP1122" i="26"/>
  <c r="BP1122" i="26"/>
  <c r="BO1122" i="26"/>
  <c r="AT1122" i="26"/>
  <c r="BK1122" i="26"/>
  <c r="AV1122" i="55"/>
  <c r="P1122" i="26"/>
  <c r="X1122" i="26"/>
  <c r="A1122" i="26"/>
  <c r="BE1122" i="26"/>
  <c r="AF1122" i="26"/>
  <c r="BN1122" i="26"/>
  <c r="AM1122" i="26"/>
  <c r="H1122" i="26"/>
  <c r="BW1122" i="26"/>
  <c r="I1122" i="26"/>
  <c r="BG1122" i="26"/>
  <c r="AW1122" i="26"/>
  <c r="BT1122" i="26"/>
  <c r="AO1122" i="26"/>
  <c r="D1122" i="26"/>
  <c r="BR1122" i="26"/>
  <c r="S1122" i="26"/>
  <c r="F1122" i="26"/>
  <c r="T1122" i="26"/>
  <c r="E1407" i="55"/>
  <c r="BE685" i="26" l="1"/>
  <c r="BV688" i="26"/>
  <c r="O1407" i="55"/>
  <c r="E1123" i="26"/>
  <c r="AO1407" i="55"/>
  <c r="Z1407" i="55"/>
  <c r="AI1407" i="55"/>
  <c r="Q1407" i="55"/>
  <c r="P1407" i="55"/>
  <c r="K1407" i="55"/>
  <c r="AF1407" i="55"/>
  <c r="AD1407" i="55"/>
  <c r="AK1407" i="55"/>
  <c r="AG1407" i="55"/>
  <c r="AL1407" i="55"/>
  <c r="V1407" i="55"/>
  <c r="AT1407" i="55"/>
  <c r="AB1407" i="55"/>
  <c r="I1407" i="55"/>
  <c r="M1407" i="55"/>
  <c r="AQ1407" i="55"/>
  <c r="A1407" i="55"/>
  <c r="W1407" i="55"/>
  <c r="L1407" i="55"/>
  <c r="H1407" i="55"/>
  <c r="N1407" i="55"/>
  <c r="C1407" i="55"/>
  <c r="AH1407" i="55"/>
  <c r="AC1407" i="55"/>
  <c r="D1407" i="55"/>
  <c r="S1407" i="55"/>
  <c r="G1407" i="55"/>
  <c r="AM1407" i="55"/>
  <c r="B1407" i="55"/>
  <c r="U1407" i="55"/>
  <c r="AN1407" i="55"/>
  <c r="X1407" i="55"/>
  <c r="BF1123" i="26" l="1"/>
  <c r="BC1123" i="26"/>
  <c r="BD1123" i="26"/>
  <c r="BU1123" i="26"/>
  <c r="V1123" i="26"/>
  <c r="BV687" i="26"/>
  <c r="BE684" i="26"/>
  <c r="BN1123" i="26"/>
  <c r="BO1123" i="26"/>
  <c r="A1123" i="26"/>
  <c r="AX1123" i="26"/>
  <c r="L1123" i="26"/>
  <c r="S1123" i="26"/>
  <c r="BP1123" i="26"/>
  <c r="BW1123" i="26"/>
  <c r="AP1123" i="26"/>
  <c r="U1123" i="26"/>
  <c r="AV1123" i="55"/>
  <c r="AM1123" i="26"/>
  <c r="BE1123" i="26"/>
  <c r="F1123" i="26"/>
  <c r="BM1123" i="26"/>
  <c r="AY1123" i="26"/>
  <c r="T1123" i="26"/>
  <c r="AJ1123" i="26"/>
  <c r="H1123" i="26"/>
  <c r="C1123" i="26"/>
  <c r="BX1123" i="26"/>
  <c r="D1123" i="26"/>
  <c r="BT1123" i="26"/>
  <c r="X1123" i="26"/>
  <c r="BA1123" i="26"/>
  <c r="G1123" i="26"/>
  <c r="I1123" i="26"/>
  <c r="AO1123" i="26"/>
  <c r="AT1123" i="26"/>
  <c r="BQ1123" i="26"/>
  <c r="AU1123" i="26"/>
  <c r="AV1123" i="26"/>
  <c r="B1123" i="26"/>
  <c r="BR1123" i="26"/>
  <c r="AK1123" i="26"/>
  <c r="R1123" i="26"/>
  <c r="K1123" i="26"/>
  <c r="M1123" i="26" s="1"/>
  <c r="N1123" i="26" s="1"/>
  <c r="AR1123" i="26"/>
  <c r="W1123" i="26"/>
  <c r="BJ1123" i="26"/>
  <c r="BI1123" i="26"/>
  <c r="BG1123" i="26"/>
  <c r="O1123" i="26"/>
  <c r="Q1123" i="26"/>
  <c r="AS1123" i="26"/>
  <c r="BK1123" i="26"/>
  <c r="P1123" i="26"/>
  <c r="BL1123" i="26"/>
  <c r="AW1123" i="26"/>
  <c r="AF1123" i="26"/>
  <c r="BV1123" i="26"/>
  <c r="E1408" i="55"/>
  <c r="BE683" i="26" l="1"/>
  <c r="BV686" i="26"/>
  <c r="O1408" i="55"/>
  <c r="Z1408" i="55"/>
  <c r="E1124" i="26"/>
  <c r="BD1124" i="26" s="1"/>
  <c r="AL1408" i="55"/>
  <c r="AI1408" i="55"/>
  <c r="Q1408" i="55"/>
  <c r="P1408" i="55"/>
  <c r="K1408" i="55"/>
  <c r="AF1408" i="55"/>
  <c r="AO1408" i="55"/>
  <c r="AD1408" i="55"/>
  <c r="AK1408" i="55"/>
  <c r="AG1408" i="55"/>
  <c r="H1408" i="55"/>
  <c r="AM1408" i="55"/>
  <c r="D1408" i="55"/>
  <c r="C1408" i="55"/>
  <c r="S1408" i="55"/>
  <c r="V1408" i="55"/>
  <c r="AB1408" i="55"/>
  <c r="AQ1408" i="55"/>
  <c r="AH1408" i="55"/>
  <c r="AT1408" i="55"/>
  <c r="A1408" i="55"/>
  <c r="N1408" i="55"/>
  <c r="L1408" i="55"/>
  <c r="G1408" i="55"/>
  <c r="U1408" i="55"/>
  <c r="W1408" i="55"/>
  <c r="I1408" i="55"/>
  <c r="AC1408" i="55"/>
  <c r="B1408" i="55"/>
  <c r="M1408" i="55"/>
  <c r="AN1408" i="55"/>
  <c r="X1408" i="55"/>
  <c r="V1124" i="26" l="1"/>
  <c r="BF1124" i="26"/>
  <c r="BC1124" i="26"/>
  <c r="BU1124" i="26"/>
  <c r="BV685" i="26"/>
  <c r="BE682" i="26"/>
  <c r="G1124" i="26"/>
  <c r="AJ1124" i="26"/>
  <c r="T1124" i="26"/>
  <c r="B1124" i="26"/>
  <c r="AU1124" i="26"/>
  <c r="AV1124" i="26"/>
  <c r="AT1124" i="26"/>
  <c r="BM1124" i="26"/>
  <c r="AO1124" i="26"/>
  <c r="BR1124" i="26"/>
  <c r="BG1124" i="26"/>
  <c r="AR1124" i="26"/>
  <c r="BL1124" i="26"/>
  <c r="A1124" i="26"/>
  <c r="BJ1124" i="26"/>
  <c r="AP1124" i="26"/>
  <c r="BT1124" i="26"/>
  <c r="W1124" i="26"/>
  <c r="C1124" i="26"/>
  <c r="BX1124" i="26"/>
  <c r="X1124" i="26"/>
  <c r="BN1124" i="26"/>
  <c r="AF1124" i="26"/>
  <c r="D1124" i="26"/>
  <c r="BV1124" i="26"/>
  <c r="P1124" i="26"/>
  <c r="S1124" i="26"/>
  <c r="BQ1124" i="26"/>
  <c r="K1124" i="26"/>
  <c r="M1124" i="26" s="1"/>
  <c r="N1124" i="26" s="1"/>
  <c r="BK1124" i="26"/>
  <c r="L1124" i="26"/>
  <c r="AW1124" i="26"/>
  <c r="I1124" i="26"/>
  <c r="AX1124" i="26"/>
  <c r="AK1124" i="26"/>
  <c r="BP1124" i="26"/>
  <c r="O1124" i="26"/>
  <c r="Q1124" i="26"/>
  <c r="BA1124" i="26"/>
  <c r="AS1124" i="26"/>
  <c r="BW1124" i="26"/>
  <c r="AM1124" i="26"/>
  <c r="AY1124" i="26"/>
  <c r="BO1124" i="26"/>
  <c r="U1124" i="26"/>
  <c r="R1124" i="26"/>
  <c r="F1124" i="26"/>
  <c r="BI1124" i="26"/>
  <c r="BE1124" i="26"/>
  <c r="H1124" i="26"/>
  <c r="AV1124" i="55"/>
  <c r="E1409" i="55"/>
  <c r="BV684" i="26" l="1"/>
  <c r="BE681" i="26"/>
  <c r="O1409" i="55"/>
  <c r="E1125" i="26"/>
  <c r="AL1409" i="55"/>
  <c r="AK1409" i="55"/>
  <c r="AI1409" i="55"/>
  <c r="Q1409" i="55"/>
  <c r="P1409" i="55"/>
  <c r="K1409" i="55"/>
  <c r="AO1409" i="55"/>
  <c r="AD1409" i="55"/>
  <c r="AG1409" i="55"/>
  <c r="AF1409" i="55"/>
  <c r="Z1409" i="55"/>
  <c r="X1409" i="55"/>
  <c r="AC1409" i="55"/>
  <c r="AN1409" i="55"/>
  <c r="AQ1409" i="55"/>
  <c r="B1409" i="55"/>
  <c r="D1409" i="55"/>
  <c r="AB1409" i="55"/>
  <c r="AH1409" i="55"/>
  <c r="H1409" i="55"/>
  <c r="C1409" i="55"/>
  <c r="W1409" i="55"/>
  <c r="V1409" i="55"/>
  <c r="A1409" i="55"/>
  <c r="L1409" i="55"/>
  <c r="AM1409" i="55"/>
  <c r="I1409" i="55"/>
  <c r="S1409" i="55"/>
  <c r="U1409" i="55"/>
  <c r="G1409" i="55"/>
  <c r="M1409" i="55"/>
  <c r="AT1409" i="55"/>
  <c r="N1409" i="55"/>
  <c r="BF1125" i="26" l="1"/>
  <c r="BC1125" i="26"/>
  <c r="BD1125" i="26"/>
  <c r="BU1125" i="26"/>
  <c r="V1125" i="26"/>
  <c r="BV683" i="26"/>
  <c r="BE680" i="26"/>
  <c r="R1125" i="26"/>
  <c r="BK1125" i="26"/>
  <c r="BT1125" i="26"/>
  <c r="T1125" i="26"/>
  <c r="BW1125" i="26"/>
  <c r="S1125" i="26"/>
  <c r="B1125" i="26"/>
  <c r="BG1125" i="26"/>
  <c r="AT1125" i="26"/>
  <c r="H1125" i="26"/>
  <c r="I1125" i="26"/>
  <c r="AR1125" i="26"/>
  <c r="AU1125" i="26"/>
  <c r="P1125" i="26"/>
  <c r="W1125" i="26"/>
  <c r="AX1125" i="26"/>
  <c r="K1125" i="26"/>
  <c r="M1125" i="26" s="1"/>
  <c r="N1125" i="26" s="1"/>
  <c r="D1125" i="26"/>
  <c r="AP1125" i="26"/>
  <c r="BR1125" i="26"/>
  <c r="AJ1125" i="26"/>
  <c r="BO1125" i="26"/>
  <c r="U1125" i="26"/>
  <c r="AK1125" i="26"/>
  <c r="AM1125" i="26"/>
  <c r="BM1125" i="26"/>
  <c r="BL1125" i="26"/>
  <c r="F1125" i="26"/>
  <c r="AS1125" i="26"/>
  <c r="AY1125" i="26"/>
  <c r="BJ1125" i="26"/>
  <c r="L1125" i="26"/>
  <c r="BQ1125" i="26"/>
  <c r="X1125" i="26"/>
  <c r="O1125" i="26"/>
  <c r="Q1125" i="26"/>
  <c r="BA1125" i="26"/>
  <c r="BV1125" i="26"/>
  <c r="AV1125" i="55"/>
  <c r="BI1125" i="26"/>
  <c r="A1125" i="26"/>
  <c r="BP1125" i="26"/>
  <c r="BE1125" i="26"/>
  <c r="G1125" i="26"/>
  <c r="AW1125" i="26"/>
  <c r="BX1125" i="26"/>
  <c r="AV1125" i="26"/>
  <c r="BN1125" i="26"/>
  <c r="AO1125" i="26"/>
  <c r="C1125" i="26"/>
  <c r="AF1125" i="26"/>
  <c r="E1410" i="55"/>
  <c r="AL1410" i="55" s="1"/>
  <c r="BE679" i="26" l="1"/>
  <c r="BV682" i="26"/>
  <c r="O1410" i="55"/>
  <c r="E1126" i="26"/>
  <c r="AK1410" i="55"/>
  <c r="AG1410" i="55"/>
  <c r="AI1410" i="55"/>
  <c r="Q1410" i="55"/>
  <c r="P1410" i="55"/>
  <c r="K1410" i="55"/>
  <c r="AO1410" i="55"/>
  <c r="AF1410" i="55"/>
  <c r="AD1410" i="55"/>
  <c r="Z1410" i="55"/>
  <c r="W1410" i="55"/>
  <c r="I1410" i="55"/>
  <c r="AM1410" i="55"/>
  <c r="B1410" i="55"/>
  <c r="N1410" i="55"/>
  <c r="AQ1410" i="55"/>
  <c r="AC1410" i="55"/>
  <c r="D1410" i="55"/>
  <c r="H1410" i="55"/>
  <c r="S1410" i="55"/>
  <c r="G1410" i="55"/>
  <c r="V1410" i="55"/>
  <c r="M1410" i="55"/>
  <c r="U1410" i="55"/>
  <c r="A1410" i="55"/>
  <c r="AN1410" i="55"/>
  <c r="AB1410" i="55"/>
  <c r="AT1410" i="55"/>
  <c r="AH1410" i="55"/>
  <c r="X1410" i="55"/>
  <c r="C1410" i="55"/>
  <c r="L1410" i="55"/>
  <c r="BF1126" i="26" l="1"/>
  <c r="BC1126" i="26"/>
  <c r="BD1126" i="26"/>
  <c r="BU1126" i="26"/>
  <c r="V1126" i="26"/>
  <c r="BV681" i="26"/>
  <c r="BE678" i="26"/>
  <c r="AX1126" i="26"/>
  <c r="AS1126" i="26"/>
  <c r="BG1126" i="26"/>
  <c r="BX1126" i="26"/>
  <c r="BJ1126" i="26"/>
  <c r="AO1126" i="26"/>
  <c r="BQ1126" i="26"/>
  <c r="BV1126" i="26"/>
  <c r="AV1126" i="26"/>
  <c r="BT1126" i="26"/>
  <c r="AR1126" i="26"/>
  <c r="BP1126" i="26"/>
  <c r="F1126" i="26"/>
  <c r="O1126" i="26"/>
  <c r="AV1126" i="55"/>
  <c r="U1126" i="26"/>
  <c r="S1126" i="26"/>
  <c r="K1126" i="26"/>
  <c r="M1126" i="26" s="1"/>
  <c r="N1126" i="26" s="1"/>
  <c r="BI1126" i="26"/>
  <c r="AK1126" i="26"/>
  <c r="L1126" i="26"/>
  <c r="R1126" i="26"/>
  <c r="BA1126" i="26"/>
  <c r="T1126" i="26"/>
  <c r="Q1126" i="26"/>
  <c r="AP1126" i="26"/>
  <c r="BL1126" i="26"/>
  <c r="AU1126" i="26"/>
  <c r="AM1126" i="26"/>
  <c r="AY1126" i="26"/>
  <c r="B1126" i="26"/>
  <c r="AJ1126" i="26"/>
  <c r="A1126" i="26"/>
  <c r="AT1126" i="26"/>
  <c r="X1126" i="26"/>
  <c r="BN1126" i="26"/>
  <c r="D1126" i="26"/>
  <c r="BR1126" i="26"/>
  <c r="I1126" i="26"/>
  <c r="BW1126" i="26"/>
  <c r="P1126" i="26"/>
  <c r="H1126" i="26"/>
  <c r="BO1126" i="26"/>
  <c r="G1126" i="26"/>
  <c r="BE1126" i="26"/>
  <c r="W1126" i="26"/>
  <c r="BK1126" i="26"/>
  <c r="AF1126" i="26"/>
  <c r="BM1126" i="26"/>
  <c r="AW1126" i="26"/>
  <c r="C1126" i="26"/>
  <c r="E1411" i="55"/>
  <c r="BE677" i="26" l="1"/>
  <c r="BV680" i="26"/>
  <c r="O1411" i="55"/>
  <c r="AL1411" i="55"/>
  <c r="E1127" i="26"/>
  <c r="BD1127" i="26" s="1"/>
  <c r="AD1411" i="55"/>
  <c r="AI1411" i="55"/>
  <c r="Q1411" i="55"/>
  <c r="K1411" i="55"/>
  <c r="P1411" i="55"/>
  <c r="AG1411" i="55"/>
  <c r="Z1411" i="55"/>
  <c r="AK1411" i="55"/>
  <c r="AF1411" i="55"/>
  <c r="AO1411" i="55"/>
  <c r="D1411" i="55"/>
  <c r="U1411" i="55"/>
  <c r="X1411" i="55"/>
  <c r="W1411" i="55"/>
  <c r="S1411" i="55"/>
  <c r="AM1411" i="55"/>
  <c r="I1411" i="55"/>
  <c r="C1411" i="55"/>
  <c r="AQ1411" i="55"/>
  <c r="L1411" i="55"/>
  <c r="M1411" i="55"/>
  <c r="H1411" i="55"/>
  <c r="AC1411" i="55"/>
  <c r="AB1411" i="55"/>
  <c r="A1411" i="55"/>
  <c r="AH1411" i="55"/>
  <c r="G1411" i="55"/>
  <c r="N1411" i="55"/>
  <c r="AT1411" i="55"/>
  <c r="AN1411" i="55"/>
  <c r="B1411" i="55"/>
  <c r="V1411" i="55"/>
  <c r="BF1127" i="26" l="1"/>
  <c r="BC1127" i="26"/>
  <c r="AV1127" i="55" s="1"/>
  <c r="BU1127" i="26"/>
  <c r="V1127" i="26"/>
  <c r="BV679" i="26"/>
  <c r="BE676" i="26"/>
  <c r="AY1127" i="26"/>
  <c r="X1127" i="26"/>
  <c r="AO1127" i="26"/>
  <c r="P1127" i="26"/>
  <c r="AV1127" i="26"/>
  <c r="AU1127" i="26"/>
  <c r="L1127" i="26"/>
  <c r="BJ1127" i="26"/>
  <c r="BE1127" i="26"/>
  <c r="AX1127" i="26"/>
  <c r="C1127" i="26"/>
  <c r="AR1127" i="26"/>
  <c r="F1127" i="26"/>
  <c r="BA1127" i="26"/>
  <c r="BX1127" i="26"/>
  <c r="BR1127" i="26"/>
  <c r="T1127" i="26"/>
  <c r="A1127" i="26"/>
  <c r="BW1127" i="26"/>
  <c r="S1127" i="26"/>
  <c r="BQ1127" i="26"/>
  <c r="BO1127" i="26"/>
  <c r="AK1127" i="26"/>
  <c r="D1127" i="26"/>
  <c r="BP1127" i="26"/>
  <c r="AF1127" i="26"/>
  <c r="AM1127" i="26"/>
  <c r="O1127" i="26"/>
  <c r="W1127" i="26"/>
  <c r="AJ1127" i="26"/>
  <c r="BK1127" i="26"/>
  <c r="BT1127" i="26"/>
  <c r="B1127" i="26"/>
  <c r="Q1127" i="26"/>
  <c r="AS1127" i="26"/>
  <c r="U1127" i="26"/>
  <c r="R1127" i="26"/>
  <c r="AT1127" i="26"/>
  <c r="BV1127" i="26"/>
  <c r="BN1127" i="26"/>
  <c r="AW1127" i="26"/>
  <c r="K1127" i="26"/>
  <c r="M1127" i="26" s="1"/>
  <c r="N1127" i="26" s="1"/>
  <c r="H1127" i="26"/>
  <c r="AP1127" i="26"/>
  <c r="BM1127" i="26"/>
  <c r="BG1127" i="26"/>
  <c r="I1127" i="26"/>
  <c r="BI1127" i="26"/>
  <c r="BL1127" i="26"/>
  <c r="G1127" i="26"/>
  <c r="E1412" i="55"/>
  <c r="BE675" i="26" l="1"/>
  <c r="BV678" i="26"/>
  <c r="O1412" i="55"/>
  <c r="E1128" i="26"/>
  <c r="AO1412" i="55"/>
  <c r="AI1412" i="55"/>
  <c r="Q1412" i="55"/>
  <c r="P1412" i="55"/>
  <c r="K1412" i="55"/>
  <c r="AD1412" i="55"/>
  <c r="AG1412" i="55"/>
  <c r="AK1412" i="55"/>
  <c r="AL1412" i="55"/>
  <c r="AF1412" i="55"/>
  <c r="Z1412" i="55"/>
  <c r="C1412" i="55"/>
  <c r="AM1412" i="55"/>
  <c r="AN1412" i="55"/>
  <c r="A1412" i="55"/>
  <c r="V1412" i="55"/>
  <c r="AB1412" i="55"/>
  <c r="I1412" i="55"/>
  <c r="U1412" i="55"/>
  <c r="L1412" i="55"/>
  <c r="X1412" i="55"/>
  <c r="S1412" i="55"/>
  <c r="G1412" i="55"/>
  <c r="W1412" i="55"/>
  <c r="D1412" i="55"/>
  <c r="M1412" i="55"/>
  <c r="AT1412" i="55"/>
  <c r="B1412" i="55"/>
  <c r="AH1412" i="55"/>
  <c r="AQ1412" i="55"/>
  <c r="AC1412" i="55"/>
  <c r="N1412" i="55"/>
  <c r="H1412" i="55"/>
  <c r="BF1128" i="26" l="1"/>
  <c r="BC1128" i="26"/>
  <c r="BD1128" i="26"/>
  <c r="BU1128" i="26"/>
  <c r="V1128" i="26"/>
  <c r="BV677" i="26"/>
  <c r="BE674" i="26"/>
  <c r="A1128" i="26"/>
  <c r="P1128" i="26"/>
  <c r="BT1128" i="26"/>
  <c r="BA1128" i="26"/>
  <c r="C1128" i="26"/>
  <c r="AS1128" i="26"/>
  <c r="S1128" i="26"/>
  <c r="AT1128" i="26"/>
  <c r="BN1128" i="26"/>
  <c r="BK1128" i="26"/>
  <c r="H1128" i="26"/>
  <c r="AU1128" i="26"/>
  <c r="AM1128" i="26"/>
  <c r="BP1128" i="26"/>
  <c r="AO1128" i="26"/>
  <c r="AR1128" i="26"/>
  <c r="AW1128" i="26"/>
  <c r="BV1128" i="26"/>
  <c r="AV1128" i="55"/>
  <c r="F1128" i="26"/>
  <c r="AP1128" i="26"/>
  <c r="B1128" i="26"/>
  <c r="BG1128" i="26"/>
  <c r="K1128" i="26"/>
  <c r="M1128" i="26" s="1"/>
  <c r="N1128" i="26" s="1"/>
  <c r="O1128" i="26"/>
  <c r="BL1128" i="26"/>
  <c r="AX1128" i="26"/>
  <c r="AY1128" i="26"/>
  <c r="BR1128" i="26"/>
  <c r="BJ1128" i="26"/>
  <c r="AF1128" i="26"/>
  <c r="BO1128" i="26"/>
  <c r="BM1128" i="26"/>
  <c r="BW1128" i="26"/>
  <c r="BQ1128" i="26"/>
  <c r="I1128" i="26"/>
  <c r="G1128" i="26"/>
  <c r="W1128" i="26"/>
  <c r="BX1128" i="26"/>
  <c r="L1128" i="26"/>
  <c r="X1128" i="26"/>
  <c r="D1128" i="26"/>
  <c r="AV1128" i="26"/>
  <c r="T1128" i="26"/>
  <c r="BI1128" i="26"/>
  <c r="R1128" i="26"/>
  <c r="U1128" i="26"/>
  <c r="Q1128" i="26"/>
  <c r="BE1128" i="26"/>
  <c r="AJ1128" i="26"/>
  <c r="AK1128" i="26"/>
  <c r="E1413" i="55"/>
  <c r="BE673" i="26" l="1"/>
  <c r="BV676" i="26"/>
  <c r="O1413" i="55"/>
  <c r="E1129" i="26"/>
  <c r="AF1413" i="55"/>
  <c r="Q1413" i="55"/>
  <c r="AI1413" i="55"/>
  <c r="P1413" i="55"/>
  <c r="K1413" i="55"/>
  <c r="AL1413" i="55"/>
  <c r="AK1413" i="55"/>
  <c r="AG1413" i="55"/>
  <c r="Z1413" i="55"/>
  <c r="AD1413" i="55"/>
  <c r="AO1413" i="55"/>
  <c r="V1413" i="55"/>
  <c r="D1413" i="55"/>
  <c r="AC1413" i="55"/>
  <c r="AB1413" i="55"/>
  <c r="N1413" i="55"/>
  <c r="U1413" i="55"/>
  <c r="AM1413" i="55"/>
  <c r="W1413" i="55"/>
  <c r="S1413" i="55"/>
  <c r="L1413" i="55"/>
  <c r="H1413" i="55"/>
  <c r="C1413" i="55"/>
  <c r="AN1413" i="55"/>
  <c r="AT1413" i="55"/>
  <c r="I1413" i="55"/>
  <c r="A1413" i="55"/>
  <c r="X1413" i="55"/>
  <c r="AH1413" i="55"/>
  <c r="G1413" i="55"/>
  <c r="B1413" i="55"/>
  <c r="M1413" i="55"/>
  <c r="AQ1413" i="55"/>
  <c r="BF1129" i="26" l="1"/>
  <c r="BC1129" i="26"/>
  <c r="BD1129" i="26"/>
  <c r="BU1129" i="26"/>
  <c r="V1129" i="26"/>
  <c r="BV675" i="26"/>
  <c r="BE672" i="26"/>
  <c r="X1129" i="26"/>
  <c r="W1129" i="26"/>
  <c r="C1129" i="26"/>
  <c r="BO1129" i="26"/>
  <c r="BP1129" i="26"/>
  <c r="AK1129" i="26"/>
  <c r="D1129" i="26"/>
  <c r="BG1129" i="26"/>
  <c r="BQ1129" i="26"/>
  <c r="K1129" i="26"/>
  <c r="M1129" i="26" s="1"/>
  <c r="N1129" i="26" s="1"/>
  <c r="BV1129" i="26"/>
  <c r="BW1129" i="26"/>
  <c r="L1129" i="26"/>
  <c r="I1129" i="26"/>
  <c r="O1129" i="26"/>
  <c r="AV1129" i="26"/>
  <c r="AY1129" i="26"/>
  <c r="AF1129" i="26"/>
  <c r="S1129" i="26"/>
  <c r="AU1129" i="26"/>
  <c r="BA1129" i="26"/>
  <c r="G1129" i="26"/>
  <c r="AV1129" i="55"/>
  <c r="AO1129" i="26"/>
  <c r="BR1129" i="26"/>
  <c r="BE1129" i="26"/>
  <c r="AS1129" i="26"/>
  <c r="U1129" i="26"/>
  <c r="AR1129" i="26"/>
  <c r="T1129" i="26"/>
  <c r="R1129" i="26"/>
  <c r="AP1129" i="26"/>
  <c r="AJ1129" i="26"/>
  <c r="BX1129" i="26"/>
  <c r="B1129" i="26"/>
  <c r="BM1129" i="26"/>
  <c r="Q1129" i="26"/>
  <c r="BJ1129" i="26"/>
  <c r="H1129" i="26"/>
  <c r="BK1129" i="26"/>
  <c r="A1129" i="26"/>
  <c r="BI1129" i="26"/>
  <c r="AT1129" i="26"/>
  <c r="BN1129" i="26"/>
  <c r="AX1129" i="26"/>
  <c r="BT1129" i="26"/>
  <c r="AM1129" i="26"/>
  <c r="AW1129" i="26"/>
  <c r="P1129" i="26"/>
  <c r="BL1129" i="26"/>
  <c r="F1129" i="26"/>
  <c r="E1414" i="55"/>
  <c r="BE671" i="26" l="1"/>
  <c r="BV674" i="26"/>
  <c r="O1414" i="55"/>
  <c r="E1130" i="26"/>
  <c r="AK1414" i="55"/>
  <c r="AI1414" i="55"/>
  <c r="P1414" i="55"/>
  <c r="K1414" i="55"/>
  <c r="Q1414" i="55"/>
  <c r="AD1414" i="55"/>
  <c r="Z1414" i="55"/>
  <c r="AF1414" i="55"/>
  <c r="AG1414" i="55"/>
  <c r="AL1414" i="55"/>
  <c r="AO1414" i="55"/>
  <c r="X1414" i="55"/>
  <c r="A1414" i="55"/>
  <c r="AN1414" i="55"/>
  <c r="AM1414" i="55"/>
  <c r="AC1414" i="55"/>
  <c r="D1414" i="55"/>
  <c r="AB1414" i="55"/>
  <c r="I1414" i="55"/>
  <c r="H1414" i="55"/>
  <c r="S1414" i="55"/>
  <c r="N1414" i="55"/>
  <c r="B1414" i="55"/>
  <c r="AQ1414" i="55"/>
  <c r="C1414" i="55"/>
  <c r="AH1414" i="55"/>
  <c r="AT1414" i="55"/>
  <c r="G1414" i="55"/>
  <c r="V1414" i="55"/>
  <c r="M1414" i="55"/>
  <c r="L1414" i="55"/>
  <c r="U1414" i="55"/>
  <c r="W1414" i="55"/>
  <c r="BF1130" i="26" l="1"/>
  <c r="BC1130" i="26"/>
  <c r="BD1130" i="26"/>
  <c r="BU1130" i="26"/>
  <c r="V1130" i="26"/>
  <c r="BV673" i="26"/>
  <c r="BE670" i="26"/>
  <c r="BJ1130" i="26"/>
  <c r="AP1130" i="26"/>
  <c r="BK1130" i="26"/>
  <c r="U1130" i="26"/>
  <c r="BP1130" i="26"/>
  <c r="AM1130" i="26"/>
  <c r="BV1130" i="26"/>
  <c r="Q1130" i="26"/>
  <c r="AV1130" i="26"/>
  <c r="L1130" i="26"/>
  <c r="R1130" i="26"/>
  <c r="B1130" i="26"/>
  <c r="AT1130" i="26"/>
  <c r="S1130" i="26"/>
  <c r="BI1130" i="26"/>
  <c r="AF1130" i="26"/>
  <c r="T1130" i="26"/>
  <c r="X1130" i="26"/>
  <c r="AV1130" i="55"/>
  <c r="O1130" i="26"/>
  <c r="G1130" i="26"/>
  <c r="BR1130" i="26"/>
  <c r="AR1130" i="26"/>
  <c r="A1130" i="26"/>
  <c r="AY1130" i="26"/>
  <c r="F1130" i="26"/>
  <c r="K1130" i="26"/>
  <c r="M1130" i="26" s="1"/>
  <c r="N1130" i="26" s="1"/>
  <c r="BL1130" i="26"/>
  <c r="BQ1130" i="26"/>
  <c r="AS1130" i="26"/>
  <c r="P1130" i="26"/>
  <c r="H1130" i="26"/>
  <c r="BG1130" i="26"/>
  <c r="AX1130" i="26"/>
  <c r="BW1130" i="26"/>
  <c r="I1130" i="26"/>
  <c r="C1130" i="26"/>
  <c r="AJ1130" i="26"/>
  <c r="D1130" i="26"/>
  <c r="AW1130" i="26"/>
  <c r="AK1130" i="26"/>
  <c r="AO1130" i="26"/>
  <c r="BO1130" i="26"/>
  <c r="BE1130" i="26"/>
  <c r="BT1130" i="26"/>
  <c r="BN1130" i="26"/>
  <c r="BM1130" i="26"/>
  <c r="BX1130" i="26"/>
  <c r="AU1130" i="26"/>
  <c r="W1130" i="26"/>
  <c r="BA1130" i="26"/>
  <c r="E1415" i="55"/>
  <c r="BE669" i="26" l="1"/>
  <c r="BV672" i="26"/>
  <c r="E1131" i="26"/>
  <c r="BD1131" i="26" s="1"/>
  <c r="AL1415" i="55"/>
  <c r="O1415" i="55"/>
  <c r="AK1415" i="55"/>
  <c r="AF1415" i="55"/>
  <c r="AI1415" i="55"/>
  <c r="Q1415" i="55"/>
  <c r="P1415" i="55"/>
  <c r="K1415" i="55"/>
  <c r="AD1415" i="55"/>
  <c r="AO1415" i="55"/>
  <c r="AG1415" i="55"/>
  <c r="Z1415" i="55"/>
  <c r="A1415" i="55"/>
  <c r="N1415" i="55"/>
  <c r="C1415" i="55"/>
  <c r="U1415" i="55"/>
  <c r="M1415" i="55"/>
  <c r="AH1415" i="55"/>
  <c r="I1415" i="55"/>
  <c r="D1415" i="55"/>
  <c r="W1415" i="55"/>
  <c r="G1415" i="55"/>
  <c r="B1415" i="55"/>
  <c r="S1415" i="55"/>
  <c r="V1415" i="55"/>
  <c r="H1415" i="55"/>
  <c r="AC1415" i="55"/>
  <c r="AN1415" i="55"/>
  <c r="AQ1415" i="55"/>
  <c r="X1415" i="55"/>
  <c r="L1415" i="55"/>
  <c r="AT1415" i="55"/>
  <c r="AB1415" i="55"/>
  <c r="AM1415" i="55"/>
  <c r="BF1131" i="26" l="1"/>
  <c r="BC1131" i="26"/>
  <c r="BU1131" i="26"/>
  <c r="V1131" i="26"/>
  <c r="BV671" i="26"/>
  <c r="BE668" i="26"/>
  <c r="T1131" i="26"/>
  <c r="BA1131" i="26"/>
  <c r="A1131" i="26"/>
  <c r="AV1131" i="26"/>
  <c r="BL1131" i="26"/>
  <c r="S1131" i="26"/>
  <c r="K1131" i="26"/>
  <c r="M1131" i="26" s="1"/>
  <c r="N1131" i="26" s="1"/>
  <c r="H1131" i="26"/>
  <c r="AV1131" i="55"/>
  <c r="AS1131" i="26"/>
  <c r="AY1131" i="26"/>
  <c r="BO1131" i="26"/>
  <c r="BW1131" i="26"/>
  <c r="L1131" i="26"/>
  <c r="I1131" i="26"/>
  <c r="BI1131" i="26"/>
  <c r="U1131" i="26"/>
  <c r="BE1131" i="26"/>
  <c r="AM1131" i="26"/>
  <c r="BV1131" i="26"/>
  <c r="AX1131" i="26"/>
  <c r="AJ1131" i="26"/>
  <c r="BK1131" i="26"/>
  <c r="Q1131" i="26"/>
  <c r="W1131" i="26"/>
  <c r="BX1131" i="26"/>
  <c r="AR1131" i="26"/>
  <c r="AF1131" i="26"/>
  <c r="BT1131" i="26"/>
  <c r="AP1131" i="26"/>
  <c r="BJ1131" i="26"/>
  <c r="P1131" i="26"/>
  <c r="BP1131" i="26"/>
  <c r="BG1131" i="26"/>
  <c r="AU1131" i="26"/>
  <c r="O1131" i="26"/>
  <c r="AK1131" i="26"/>
  <c r="AO1131" i="26"/>
  <c r="R1131" i="26"/>
  <c r="G1131" i="26"/>
  <c r="D1131" i="26"/>
  <c r="X1131" i="26"/>
  <c r="F1131" i="26"/>
  <c r="BN1131" i="26"/>
  <c r="C1131" i="26"/>
  <c r="BR1131" i="26"/>
  <c r="AW1131" i="26"/>
  <c r="BM1131" i="26"/>
  <c r="BQ1131" i="26"/>
  <c r="AT1131" i="26"/>
  <c r="B1131" i="26"/>
  <c r="E1416" i="55"/>
  <c r="BE667" i="26" l="1"/>
  <c r="BV670" i="26"/>
  <c r="E1132" i="26"/>
  <c r="BD1132" i="26" s="1"/>
  <c r="Z1416" i="55"/>
  <c r="O1416" i="55"/>
  <c r="AO1416" i="55"/>
  <c r="AI1416" i="55"/>
  <c r="Q1416" i="55"/>
  <c r="P1416" i="55"/>
  <c r="K1416" i="55"/>
  <c r="AK1416" i="55"/>
  <c r="AD1416" i="55"/>
  <c r="AL1416" i="55"/>
  <c r="AG1416" i="55"/>
  <c r="AF1416" i="55"/>
  <c r="C1416" i="55"/>
  <c r="G1416" i="55"/>
  <c r="H1416" i="55"/>
  <c r="N1416" i="55"/>
  <c r="I1416" i="55"/>
  <c r="AN1416" i="55"/>
  <c r="W1416" i="55"/>
  <c r="AT1416" i="55"/>
  <c r="S1416" i="55"/>
  <c r="AH1416" i="55"/>
  <c r="AB1416" i="55"/>
  <c r="L1416" i="55"/>
  <c r="X1416" i="55"/>
  <c r="A1416" i="55"/>
  <c r="M1416" i="55"/>
  <c r="V1416" i="55"/>
  <c r="AC1416" i="55"/>
  <c r="B1416" i="55"/>
  <c r="AM1416" i="55"/>
  <c r="AQ1416" i="55"/>
  <c r="D1416" i="55"/>
  <c r="U1416" i="55"/>
  <c r="BF1132" i="26" l="1"/>
  <c r="BC1132" i="26"/>
  <c r="AV1132" i="55" s="1"/>
  <c r="BU1132" i="26"/>
  <c r="V1132" i="26"/>
  <c r="BV669" i="26"/>
  <c r="BE666" i="26"/>
  <c r="BW1132" i="26"/>
  <c r="U1132" i="26"/>
  <c r="AR1132" i="26"/>
  <c r="BE1132" i="26"/>
  <c r="S1132" i="26"/>
  <c r="AK1132" i="26"/>
  <c r="L1132" i="26"/>
  <c r="AU1132" i="26"/>
  <c r="AM1132" i="26"/>
  <c r="BV1132" i="26"/>
  <c r="AV1132" i="26"/>
  <c r="Q1132" i="26"/>
  <c r="BA1132" i="26"/>
  <c r="G1132" i="26"/>
  <c r="BT1132" i="26"/>
  <c r="BJ1132" i="26"/>
  <c r="BO1132" i="26"/>
  <c r="I1132" i="26"/>
  <c r="AS1132" i="26"/>
  <c r="W1132" i="26"/>
  <c r="D1132" i="26"/>
  <c r="BL1132" i="26"/>
  <c r="BM1132" i="26"/>
  <c r="BG1132" i="26"/>
  <c r="X1132" i="26"/>
  <c r="P1132" i="26"/>
  <c r="K1132" i="26"/>
  <c r="M1132" i="26" s="1"/>
  <c r="N1132" i="26" s="1"/>
  <c r="BR1132" i="26"/>
  <c r="BX1132" i="26"/>
  <c r="A1132" i="26"/>
  <c r="O1132" i="26"/>
  <c r="AY1132" i="26"/>
  <c r="F1132" i="26"/>
  <c r="AP1132" i="26"/>
  <c r="AT1132" i="26"/>
  <c r="R1132" i="26"/>
  <c r="C1132" i="26"/>
  <c r="BQ1132" i="26"/>
  <c r="BP1132" i="26"/>
  <c r="BN1132" i="26"/>
  <c r="AO1132" i="26"/>
  <c r="H1132" i="26"/>
  <c r="B1132" i="26"/>
  <c r="AX1132" i="26"/>
  <c r="AJ1132" i="26"/>
  <c r="AW1132" i="26"/>
  <c r="T1132" i="26"/>
  <c r="AF1132" i="26"/>
  <c r="BK1132" i="26"/>
  <c r="BI1132" i="26"/>
  <c r="E1417" i="55"/>
  <c r="BV668" i="26" l="1"/>
  <c r="BE665" i="26"/>
  <c r="O1417" i="55"/>
  <c r="E1133" i="26"/>
  <c r="AG1417" i="55"/>
  <c r="AI1417" i="55"/>
  <c r="Q1417" i="55"/>
  <c r="P1417" i="55"/>
  <c r="K1417" i="55"/>
  <c r="AO1417" i="55"/>
  <c r="AK1417" i="55"/>
  <c r="AD1417" i="55"/>
  <c r="AF1417" i="55"/>
  <c r="Z1417" i="55"/>
  <c r="AL1417" i="55"/>
  <c r="B1417" i="55"/>
  <c r="AH1417" i="55"/>
  <c r="AN1417" i="55"/>
  <c r="U1417" i="55"/>
  <c r="AB1417" i="55"/>
  <c r="AQ1417" i="55"/>
  <c r="L1417" i="55"/>
  <c r="AM1417" i="55"/>
  <c r="V1417" i="55"/>
  <c r="A1417" i="55"/>
  <c r="W1417" i="55"/>
  <c r="G1417" i="55"/>
  <c r="N1417" i="55"/>
  <c r="S1417" i="55"/>
  <c r="AT1417" i="55"/>
  <c r="H1417" i="55"/>
  <c r="D1417" i="55"/>
  <c r="X1417" i="55"/>
  <c r="M1417" i="55"/>
  <c r="I1417" i="55"/>
  <c r="C1417" i="55"/>
  <c r="AC1417" i="55"/>
  <c r="BF1133" i="26" l="1"/>
  <c r="BC1133" i="26"/>
  <c r="AV1133" i="55" s="1"/>
  <c r="BD1133" i="26"/>
  <c r="BU1133" i="26"/>
  <c r="V1133" i="26"/>
  <c r="BE664" i="26"/>
  <c r="BV667" i="26"/>
  <c r="BE1133" i="26"/>
  <c r="Q1133" i="26"/>
  <c r="AW1133" i="26"/>
  <c r="AS1133" i="26"/>
  <c r="W1133" i="26"/>
  <c r="BI1133" i="26"/>
  <c r="K1133" i="26"/>
  <c r="M1133" i="26" s="1"/>
  <c r="N1133" i="26" s="1"/>
  <c r="BR1133" i="26"/>
  <c r="BW1133" i="26"/>
  <c r="B1133" i="26"/>
  <c r="S1133" i="26"/>
  <c r="AF1133" i="26"/>
  <c r="AP1133" i="26"/>
  <c r="AJ1133" i="26"/>
  <c r="G1133" i="26"/>
  <c r="BA1133" i="26"/>
  <c r="F1133" i="26"/>
  <c r="BV1133" i="26"/>
  <c r="U1133" i="26"/>
  <c r="BO1133" i="26"/>
  <c r="A1133" i="26"/>
  <c r="AY1133" i="26"/>
  <c r="T1133" i="26"/>
  <c r="P1133" i="26"/>
  <c r="BP1133" i="26"/>
  <c r="AK1133" i="26"/>
  <c r="BN1133" i="26"/>
  <c r="AV1133" i="26"/>
  <c r="AT1133" i="26"/>
  <c r="R1133" i="26"/>
  <c r="BT1133" i="26"/>
  <c r="O1133" i="26"/>
  <c r="I1133" i="26"/>
  <c r="BX1133" i="26"/>
  <c r="X1133" i="26"/>
  <c r="AO1133" i="26"/>
  <c r="AU1133" i="26"/>
  <c r="BK1133" i="26"/>
  <c r="H1133" i="26"/>
  <c r="BG1133" i="26"/>
  <c r="C1133" i="26"/>
  <c r="BJ1133" i="26"/>
  <c r="AR1133" i="26"/>
  <c r="BL1133" i="26"/>
  <c r="L1133" i="26"/>
  <c r="BQ1133" i="26"/>
  <c r="AM1133" i="26"/>
  <c r="BM1133" i="26"/>
  <c r="AX1133" i="26"/>
  <c r="D1133" i="26"/>
  <c r="E1418" i="55"/>
  <c r="BE663" i="26" l="1"/>
  <c r="BV666" i="26"/>
  <c r="O1418" i="55"/>
  <c r="E1134" i="26"/>
  <c r="AF1418" i="55"/>
  <c r="AK1418" i="55"/>
  <c r="AI1418" i="55"/>
  <c r="P1418" i="55"/>
  <c r="Q1418" i="55"/>
  <c r="K1418" i="55"/>
  <c r="AL1418" i="55"/>
  <c r="AG1418" i="55"/>
  <c r="AD1418" i="55"/>
  <c r="Z1418" i="55"/>
  <c r="AO1418" i="55"/>
  <c r="A1418" i="55"/>
  <c r="I1418" i="55"/>
  <c r="S1418" i="55"/>
  <c r="AN1418" i="55"/>
  <c r="AM1418" i="55"/>
  <c r="H1418" i="55"/>
  <c r="W1418" i="55"/>
  <c r="V1418" i="55"/>
  <c r="B1418" i="55"/>
  <c r="AT1418" i="55"/>
  <c r="M1418" i="55"/>
  <c r="AB1418" i="55"/>
  <c r="AQ1418" i="55"/>
  <c r="AC1418" i="55"/>
  <c r="G1418" i="55"/>
  <c r="L1418" i="55"/>
  <c r="C1418" i="55"/>
  <c r="N1418" i="55"/>
  <c r="X1418" i="55"/>
  <c r="D1418" i="55"/>
  <c r="AH1418" i="55"/>
  <c r="U1418" i="55"/>
  <c r="BF1134" i="26" l="1"/>
  <c r="BC1134" i="26"/>
  <c r="BD1134" i="26"/>
  <c r="BU1134" i="26"/>
  <c r="V1134" i="26"/>
  <c r="BV665" i="26"/>
  <c r="BE662" i="26"/>
  <c r="L1134" i="26"/>
  <c r="I1134" i="26"/>
  <c r="AR1134" i="26"/>
  <c r="BR1134" i="26"/>
  <c r="D1134" i="26"/>
  <c r="AF1134" i="26"/>
  <c r="BQ1134" i="26"/>
  <c r="BX1134" i="26"/>
  <c r="AP1134" i="26"/>
  <c r="AW1134" i="26"/>
  <c r="S1134" i="26"/>
  <c r="AV1134" i="55"/>
  <c r="AU1134" i="26"/>
  <c r="BK1134" i="26"/>
  <c r="T1134" i="26"/>
  <c r="H1134" i="26"/>
  <c r="W1134" i="26"/>
  <c r="O1134" i="26"/>
  <c r="Q1134" i="26"/>
  <c r="BP1134" i="26"/>
  <c r="AX1134" i="26"/>
  <c r="BT1134" i="26"/>
  <c r="AS1134" i="26"/>
  <c r="BW1134" i="26"/>
  <c r="AK1134" i="26"/>
  <c r="P1134" i="26"/>
  <c r="AT1134" i="26"/>
  <c r="B1134" i="26"/>
  <c r="BE1134" i="26"/>
  <c r="BJ1134" i="26"/>
  <c r="AO1134" i="26"/>
  <c r="AV1134" i="26"/>
  <c r="K1134" i="26"/>
  <c r="M1134" i="26" s="1"/>
  <c r="N1134" i="26" s="1"/>
  <c r="X1134" i="26"/>
  <c r="G1134" i="26"/>
  <c r="BL1134" i="26"/>
  <c r="C1134" i="26"/>
  <c r="AY1134" i="26"/>
  <c r="BG1134" i="26"/>
  <c r="AM1134" i="26"/>
  <c r="BM1134" i="26"/>
  <c r="U1134" i="26"/>
  <c r="R1134" i="26"/>
  <c r="BO1134" i="26"/>
  <c r="BV1134" i="26"/>
  <c r="BA1134" i="26"/>
  <c r="BI1134" i="26"/>
  <c r="BN1134" i="26"/>
  <c r="F1134" i="26"/>
  <c r="A1134" i="26"/>
  <c r="AJ1134" i="26"/>
  <c r="E1419" i="55"/>
  <c r="AO1419" i="55" s="1"/>
  <c r="BE661" i="26" l="1"/>
  <c r="BV664" i="26"/>
  <c r="AK1419" i="55"/>
  <c r="E1135" i="26"/>
  <c r="AG1419" i="55"/>
  <c r="O1419" i="55"/>
  <c r="Z1419" i="55"/>
  <c r="Q1419" i="55"/>
  <c r="AI1419" i="55"/>
  <c r="K1419" i="55"/>
  <c r="P1419" i="55"/>
  <c r="AL1419" i="55"/>
  <c r="AD1419" i="55"/>
  <c r="AF1419" i="55"/>
  <c r="I1419" i="55"/>
  <c r="AH1419" i="55"/>
  <c r="G1419" i="55"/>
  <c r="M1419" i="55"/>
  <c r="AC1419" i="55"/>
  <c r="AN1419" i="55"/>
  <c r="X1419" i="55"/>
  <c r="AT1419" i="55"/>
  <c r="W1419" i="55"/>
  <c r="AB1419" i="55"/>
  <c r="H1419" i="55"/>
  <c r="AQ1419" i="55"/>
  <c r="N1419" i="55"/>
  <c r="V1419" i="55"/>
  <c r="S1419" i="55"/>
  <c r="C1419" i="55"/>
  <c r="A1419" i="55"/>
  <c r="AM1419" i="55"/>
  <c r="D1419" i="55"/>
  <c r="L1419" i="55"/>
  <c r="U1419" i="55"/>
  <c r="B1419" i="55"/>
  <c r="BF1135" i="26" l="1"/>
  <c r="BC1135" i="26"/>
  <c r="BD1135" i="26"/>
  <c r="BU1135" i="26"/>
  <c r="V1135" i="26"/>
  <c r="BE660" i="26"/>
  <c r="BV663" i="26"/>
  <c r="AM1135" i="26"/>
  <c r="BW1135" i="26"/>
  <c r="T1135" i="26"/>
  <c r="X1135" i="26"/>
  <c r="BX1135" i="26"/>
  <c r="K1135" i="26"/>
  <c r="M1135" i="26" s="1"/>
  <c r="N1135" i="26" s="1"/>
  <c r="I1135" i="26"/>
  <c r="AJ1135" i="26"/>
  <c r="BE1135" i="26"/>
  <c r="AR1135" i="26"/>
  <c r="BO1135" i="26"/>
  <c r="BM1135" i="26"/>
  <c r="U1135" i="26"/>
  <c r="R1135" i="26"/>
  <c r="AF1135" i="26"/>
  <c r="AP1135" i="26"/>
  <c r="AV1135" i="55"/>
  <c r="AK1135" i="26"/>
  <c r="BK1135" i="26"/>
  <c r="W1135" i="26"/>
  <c r="BA1135" i="26"/>
  <c r="Q1135" i="26"/>
  <c r="AX1135" i="26"/>
  <c r="AU1135" i="26"/>
  <c r="BP1135" i="26"/>
  <c r="O1135" i="26"/>
  <c r="AT1135" i="26"/>
  <c r="BR1135" i="26"/>
  <c r="A1135" i="26"/>
  <c r="G1135" i="26"/>
  <c r="B1135" i="26"/>
  <c r="H1135" i="26"/>
  <c r="AY1135" i="26"/>
  <c r="AW1135" i="26"/>
  <c r="BI1135" i="26"/>
  <c r="BV1135" i="26"/>
  <c r="BG1135" i="26"/>
  <c r="AV1135" i="26"/>
  <c r="BQ1135" i="26"/>
  <c r="BT1135" i="26"/>
  <c r="AS1135" i="26"/>
  <c r="BL1135" i="26"/>
  <c r="BN1135" i="26"/>
  <c r="C1135" i="26"/>
  <c r="P1135" i="26"/>
  <c r="S1135" i="26"/>
  <c r="AO1135" i="26"/>
  <c r="L1135" i="26"/>
  <c r="BJ1135" i="26"/>
  <c r="F1135" i="26"/>
  <c r="D1135" i="26"/>
  <c r="E1420" i="55"/>
  <c r="BV662" i="26" l="1"/>
  <c r="BE659" i="26"/>
  <c r="O1420" i="55"/>
  <c r="E1136" i="26"/>
  <c r="AI1420" i="55"/>
  <c r="Q1420" i="55"/>
  <c r="P1420" i="55"/>
  <c r="K1420" i="55"/>
  <c r="AF1420" i="55"/>
  <c r="AO1420" i="55"/>
  <c r="AD1420" i="55"/>
  <c r="W1420" i="55"/>
  <c r="AB1420" i="55"/>
  <c r="C1420" i="55"/>
  <c r="H1420" i="55"/>
  <c r="G1420" i="55"/>
  <c r="U1420" i="55"/>
  <c r="AN1420" i="55"/>
  <c r="V1420" i="55"/>
  <c r="B1420" i="55"/>
  <c r="I1420" i="55"/>
  <c r="N1420" i="55"/>
  <c r="X1420" i="55"/>
  <c r="D1420" i="55"/>
  <c r="A1420" i="55"/>
  <c r="AT1420" i="55"/>
  <c r="S1420" i="55"/>
  <c r="AC1420" i="55"/>
  <c r="M1420" i="55"/>
  <c r="AH1420" i="55"/>
  <c r="AM1420" i="55"/>
  <c r="L1420" i="55"/>
  <c r="AQ1420" i="55"/>
  <c r="AL1420" i="55"/>
  <c r="AG1420" i="55"/>
  <c r="AK1420" i="55"/>
  <c r="Z1420" i="55"/>
  <c r="BF1136" i="26" l="1"/>
  <c r="BC1136" i="26"/>
  <c r="AV1136" i="55" s="1"/>
  <c r="BD1136" i="26"/>
  <c r="BU1136" i="26"/>
  <c r="V1136" i="26"/>
  <c r="BE658" i="26"/>
  <c r="BV661" i="26"/>
  <c r="AF1136" i="26"/>
  <c r="A1136" i="26"/>
  <c r="F1136" i="26"/>
  <c r="BO1136" i="26"/>
  <c r="BA1136" i="26"/>
  <c r="O1136" i="26"/>
  <c r="BW1136" i="26"/>
  <c r="H1136" i="26"/>
  <c r="AW1136" i="26"/>
  <c r="BE1136" i="26"/>
  <c r="AP1136" i="26"/>
  <c r="AJ1136" i="26"/>
  <c r="BL1136" i="26"/>
  <c r="Q1136" i="26"/>
  <c r="BJ1136" i="26"/>
  <c r="AO1136" i="26"/>
  <c r="BX1136" i="26"/>
  <c r="I1136" i="26"/>
  <c r="AX1136" i="26"/>
  <c r="BQ1136" i="26"/>
  <c r="AY1136" i="26"/>
  <c r="AT1136" i="26"/>
  <c r="BR1136" i="26"/>
  <c r="AS1136" i="26"/>
  <c r="R1136" i="26"/>
  <c r="W1136" i="26"/>
  <c r="G1136" i="26"/>
  <c r="AV1136" i="26"/>
  <c r="BN1136" i="26"/>
  <c r="BK1136" i="26"/>
  <c r="U1136" i="26"/>
  <c r="BM1136" i="26"/>
  <c r="AM1136" i="26"/>
  <c r="X1136" i="26"/>
  <c r="BG1136" i="26"/>
  <c r="BI1136" i="26"/>
  <c r="BT1136" i="26"/>
  <c r="AU1136" i="26"/>
  <c r="D1136" i="26"/>
  <c r="S1136" i="26"/>
  <c r="AR1136" i="26"/>
  <c r="BV1136" i="26"/>
  <c r="T1136" i="26"/>
  <c r="L1136" i="26"/>
  <c r="BP1136" i="26"/>
  <c r="C1136" i="26"/>
  <c r="AK1136" i="26"/>
  <c r="P1136" i="26"/>
  <c r="B1136" i="26"/>
  <c r="K1136" i="26"/>
  <c r="M1136" i="26" s="1"/>
  <c r="N1136" i="26" s="1"/>
  <c r="E1421" i="55"/>
  <c r="BV660" i="26" l="1"/>
  <c r="BE657" i="26"/>
  <c r="O1421" i="55"/>
  <c r="E1137" i="26"/>
  <c r="AO1421" i="55"/>
  <c r="AI1421" i="55"/>
  <c r="Q1421" i="55"/>
  <c r="P1421" i="55"/>
  <c r="K1421" i="55"/>
  <c r="AG1421" i="55"/>
  <c r="AK1421" i="55"/>
  <c r="Z1421" i="55"/>
  <c r="AD1421" i="55"/>
  <c r="AF1421" i="55"/>
  <c r="AL1421" i="55"/>
  <c r="W1421" i="55"/>
  <c r="C1421" i="55"/>
  <c r="AT1421" i="55"/>
  <c r="U1421" i="55"/>
  <c r="H1421" i="55"/>
  <c r="AB1421" i="55"/>
  <c r="D1421" i="55"/>
  <c r="AM1421" i="55"/>
  <c r="X1421" i="55"/>
  <c r="AH1421" i="55"/>
  <c r="N1421" i="55"/>
  <c r="S1421" i="55"/>
  <c r="L1421" i="55"/>
  <c r="AC1421" i="55"/>
  <c r="I1421" i="55"/>
  <c r="AN1421" i="55"/>
  <c r="V1421" i="55"/>
  <c r="B1421" i="55"/>
  <c r="AQ1421" i="55"/>
  <c r="A1421" i="55"/>
  <c r="M1421" i="55"/>
  <c r="G1421" i="55"/>
  <c r="BF1137" i="26" l="1"/>
  <c r="BC1137" i="26"/>
  <c r="AV1137" i="55" s="1"/>
  <c r="BD1137" i="26"/>
  <c r="BU1137" i="26"/>
  <c r="V1137" i="26"/>
  <c r="BE656" i="26"/>
  <c r="BV659" i="26"/>
  <c r="AT1137" i="26"/>
  <c r="H1137" i="26"/>
  <c r="D1137" i="26"/>
  <c r="BP1137" i="26"/>
  <c r="L1137" i="26"/>
  <c r="AS1137" i="26"/>
  <c r="BI1137" i="26"/>
  <c r="AF1137" i="26"/>
  <c r="AX1137" i="26"/>
  <c r="AR1137" i="26"/>
  <c r="A1137" i="26"/>
  <c r="AW1137" i="26"/>
  <c r="BT1137" i="26"/>
  <c r="BW1137" i="26"/>
  <c r="B1137" i="26"/>
  <c r="BM1137" i="26"/>
  <c r="F1137" i="26"/>
  <c r="BG1137" i="26"/>
  <c r="AY1137" i="26"/>
  <c r="U1137" i="26"/>
  <c r="BR1137" i="26"/>
  <c r="O1137" i="26"/>
  <c r="I1137" i="26"/>
  <c r="C1137" i="26"/>
  <c r="AV1137" i="26"/>
  <c r="AJ1137" i="26"/>
  <c r="AP1137" i="26"/>
  <c r="BA1137" i="26"/>
  <c r="G1137" i="26"/>
  <c r="AM1137" i="26"/>
  <c r="AU1137" i="26"/>
  <c r="AK1137" i="26"/>
  <c r="T1137" i="26"/>
  <c r="Q1137" i="26"/>
  <c r="BK1137" i="26"/>
  <c r="BJ1137" i="26"/>
  <c r="W1137" i="26"/>
  <c r="BV1137" i="26"/>
  <c r="BO1137" i="26"/>
  <c r="X1137" i="26"/>
  <c r="BX1137" i="26"/>
  <c r="P1137" i="26"/>
  <c r="R1137" i="26"/>
  <c r="AO1137" i="26"/>
  <c r="K1137" i="26"/>
  <c r="M1137" i="26" s="1"/>
  <c r="N1137" i="26" s="1"/>
  <c r="S1137" i="26"/>
  <c r="BQ1137" i="26"/>
  <c r="BN1137" i="26"/>
  <c r="BE1137" i="26"/>
  <c r="BL1137" i="26"/>
  <c r="E1422" i="55"/>
  <c r="BV658" i="26" l="1"/>
  <c r="BE655" i="26"/>
  <c r="Z1422" i="55"/>
  <c r="E1138" i="26"/>
  <c r="AK1422" i="55"/>
  <c r="AO1422" i="55"/>
  <c r="O1422" i="55"/>
  <c r="AL1422" i="55"/>
  <c r="AI1422" i="55"/>
  <c r="P1422" i="55"/>
  <c r="Q1422" i="55"/>
  <c r="K1422" i="55"/>
  <c r="AF1422" i="55"/>
  <c r="AG1422" i="55"/>
  <c r="AD1422" i="55"/>
  <c r="N1422" i="55"/>
  <c r="AB1422" i="55"/>
  <c r="H1422" i="55"/>
  <c r="C1422" i="55"/>
  <c r="AT1422" i="55"/>
  <c r="AQ1422" i="55"/>
  <c r="A1422" i="55"/>
  <c r="X1422" i="55"/>
  <c r="L1422" i="55"/>
  <c r="AH1422" i="55"/>
  <c r="W1422" i="55"/>
  <c r="AN1422" i="55"/>
  <c r="V1422" i="55"/>
  <c r="D1422" i="55"/>
  <c r="S1422" i="55"/>
  <c r="I1422" i="55"/>
  <c r="AC1422" i="55"/>
  <c r="AM1422" i="55"/>
  <c r="M1422" i="55"/>
  <c r="G1422" i="55"/>
  <c r="U1422" i="55"/>
  <c r="B1422" i="55"/>
  <c r="BF1138" i="26" l="1"/>
  <c r="BC1138" i="26"/>
  <c r="BD1138" i="26"/>
  <c r="BU1138" i="26"/>
  <c r="V1138" i="26"/>
  <c r="BE654" i="26"/>
  <c r="BV657" i="26"/>
  <c r="AY1138" i="26"/>
  <c r="AW1138" i="26"/>
  <c r="A1138" i="26"/>
  <c r="BN1138" i="26"/>
  <c r="D1138" i="26"/>
  <c r="AV1138" i="26"/>
  <c r="C1138" i="26"/>
  <c r="BA1138" i="26"/>
  <c r="BL1138" i="26"/>
  <c r="BT1138" i="26"/>
  <c r="P1138" i="26"/>
  <c r="AK1138" i="26"/>
  <c r="S1138" i="26"/>
  <c r="BW1138" i="26"/>
  <c r="AR1138" i="26"/>
  <c r="AP1138" i="26"/>
  <c r="BM1138" i="26"/>
  <c r="AF1138" i="26"/>
  <c r="BR1138" i="26"/>
  <c r="K1138" i="26"/>
  <c r="M1138" i="26" s="1"/>
  <c r="N1138" i="26" s="1"/>
  <c r="L1138" i="26"/>
  <c r="BV1138" i="26"/>
  <c r="AO1138" i="26"/>
  <c r="F1138" i="26"/>
  <c r="AV1138" i="55"/>
  <c r="H1138" i="26"/>
  <c r="I1138" i="26"/>
  <c r="AX1138" i="26"/>
  <c r="BG1138" i="26"/>
  <c r="BK1138" i="26"/>
  <c r="AU1138" i="26"/>
  <c r="U1138" i="26"/>
  <c r="BI1138" i="26"/>
  <c r="X1138" i="26"/>
  <c r="BJ1138" i="26"/>
  <c r="W1138" i="26"/>
  <c r="O1138" i="26"/>
  <c r="Q1138" i="26"/>
  <c r="BO1138" i="26"/>
  <c r="BQ1138" i="26"/>
  <c r="BP1138" i="26"/>
  <c r="AT1138" i="26"/>
  <c r="BX1138" i="26"/>
  <c r="BE1138" i="26"/>
  <c r="B1138" i="26"/>
  <c r="AS1138" i="26"/>
  <c r="R1138" i="26"/>
  <c r="AM1138" i="26"/>
  <c r="AJ1138" i="26"/>
  <c r="G1138" i="26"/>
  <c r="T1138" i="26"/>
  <c r="E1423" i="55"/>
  <c r="BV656" i="26" l="1"/>
  <c r="BE653" i="26"/>
  <c r="O1423" i="55"/>
  <c r="E1139" i="26"/>
  <c r="AD1423" i="55"/>
  <c r="AO1423" i="55"/>
  <c r="AI1423" i="55"/>
  <c r="Q1423" i="55"/>
  <c r="P1423" i="55"/>
  <c r="K1423" i="55"/>
  <c r="AL1423" i="55"/>
  <c r="AK1423" i="55"/>
  <c r="Z1423" i="55"/>
  <c r="AF1423" i="55"/>
  <c r="AG1423" i="55"/>
  <c r="N1423" i="55"/>
  <c r="B1423" i="55"/>
  <c r="AN1423" i="55"/>
  <c r="AB1423" i="55"/>
  <c r="AQ1423" i="55"/>
  <c r="S1423" i="55"/>
  <c r="I1423" i="55"/>
  <c r="D1423" i="55"/>
  <c r="AM1423" i="55"/>
  <c r="M1423" i="55"/>
  <c r="X1423" i="55"/>
  <c r="V1423" i="55"/>
  <c r="L1423" i="55"/>
  <c r="H1423" i="55"/>
  <c r="A1423" i="55"/>
  <c r="AT1423" i="55"/>
  <c r="W1423" i="55"/>
  <c r="G1423" i="55"/>
  <c r="C1423" i="55"/>
  <c r="AH1423" i="55"/>
  <c r="AC1423" i="55"/>
  <c r="U1423" i="55"/>
  <c r="BF1139" i="26" l="1"/>
  <c r="BC1139" i="26"/>
  <c r="BD1139" i="26"/>
  <c r="BU1139" i="26"/>
  <c r="V1139" i="26"/>
  <c r="BE652" i="26"/>
  <c r="BV655" i="26"/>
  <c r="O1139" i="26"/>
  <c r="AT1139" i="26"/>
  <c r="AW1139" i="26"/>
  <c r="BG1139" i="26"/>
  <c r="AF1139" i="26"/>
  <c r="A1139" i="26"/>
  <c r="BR1139" i="26"/>
  <c r="BQ1139" i="26"/>
  <c r="BA1139" i="26"/>
  <c r="G1139" i="26"/>
  <c r="BX1139" i="26"/>
  <c r="BW1139" i="26"/>
  <c r="BO1139" i="26"/>
  <c r="BV1139" i="26"/>
  <c r="AJ1139" i="26"/>
  <c r="T1139" i="26"/>
  <c r="R1139" i="26"/>
  <c r="BK1139" i="26"/>
  <c r="BP1139" i="26"/>
  <c r="AV1139" i="55"/>
  <c r="H1139" i="26"/>
  <c r="F1139" i="26"/>
  <c r="BJ1139" i="26"/>
  <c r="AK1139" i="26"/>
  <c r="B1139" i="26"/>
  <c r="BE1139" i="26"/>
  <c r="AX1139" i="26"/>
  <c r="BL1139" i="26"/>
  <c r="P1139" i="26"/>
  <c r="I1139" i="26"/>
  <c r="AS1139" i="26"/>
  <c r="X1139" i="26"/>
  <c r="AV1139" i="26"/>
  <c r="BI1139" i="26"/>
  <c r="D1139" i="26"/>
  <c r="U1139" i="26"/>
  <c r="AP1139" i="26"/>
  <c r="Q1139" i="26"/>
  <c r="K1139" i="26"/>
  <c r="M1139" i="26" s="1"/>
  <c r="N1139" i="26" s="1"/>
  <c r="BM1139" i="26"/>
  <c r="AY1139" i="26"/>
  <c r="AR1139" i="26"/>
  <c r="AM1139" i="26"/>
  <c r="BT1139" i="26"/>
  <c r="L1139" i="26"/>
  <c r="S1139" i="26"/>
  <c r="C1139" i="26"/>
  <c r="BN1139" i="26"/>
  <c r="AU1139" i="26"/>
  <c r="AO1139" i="26"/>
  <c r="W1139" i="26"/>
  <c r="E1424" i="55"/>
  <c r="BV654" i="26" l="1"/>
  <c r="BE651" i="26"/>
  <c r="E1140" i="26"/>
  <c r="BD1140" i="26" s="1"/>
  <c r="AO1424" i="55"/>
  <c r="O1424" i="55"/>
  <c r="AG1424" i="55"/>
  <c r="Q1424" i="55"/>
  <c r="P1424" i="55"/>
  <c r="AI1424" i="55"/>
  <c r="K1424" i="55"/>
  <c r="AL1424" i="55"/>
  <c r="AF1424" i="55"/>
  <c r="Z1424" i="55"/>
  <c r="AD1424" i="55"/>
  <c r="AK1424" i="55"/>
  <c r="M1424" i="55"/>
  <c r="AM1424" i="55"/>
  <c r="H1424" i="55"/>
  <c r="AC1424" i="55"/>
  <c r="A1424" i="55"/>
  <c r="X1424" i="55"/>
  <c r="V1424" i="55"/>
  <c r="G1424" i="55"/>
  <c r="C1424" i="55"/>
  <c r="I1424" i="55"/>
  <c r="B1424" i="55"/>
  <c r="AQ1424" i="55"/>
  <c r="S1424" i="55"/>
  <c r="L1424" i="55"/>
  <c r="U1424" i="55"/>
  <c r="W1424" i="55"/>
  <c r="AT1424" i="55"/>
  <c r="AB1424" i="55"/>
  <c r="AH1424" i="55"/>
  <c r="AN1424" i="55"/>
  <c r="D1424" i="55"/>
  <c r="N1424" i="55"/>
  <c r="BF1140" i="26" l="1"/>
  <c r="BC1140" i="26"/>
  <c r="AV1140" i="55" s="1"/>
  <c r="BU1140" i="26"/>
  <c r="V1140" i="26"/>
  <c r="BE650" i="26"/>
  <c r="BV653" i="26"/>
  <c r="S1140" i="26"/>
  <c r="BP1140" i="26"/>
  <c r="BI1140" i="26"/>
  <c r="L1140" i="26"/>
  <c r="BR1140" i="26"/>
  <c r="BA1140" i="26"/>
  <c r="BG1140" i="26"/>
  <c r="W1140" i="26"/>
  <c r="BW1140" i="26"/>
  <c r="BX1140" i="26"/>
  <c r="AJ1140" i="26"/>
  <c r="G1140" i="26"/>
  <c r="BJ1140" i="26"/>
  <c r="BE1140" i="26"/>
  <c r="AK1140" i="26"/>
  <c r="AS1140" i="26"/>
  <c r="BO1140" i="26"/>
  <c r="D1140" i="26"/>
  <c r="AR1140" i="26"/>
  <c r="BV1140" i="26"/>
  <c r="BT1140" i="26"/>
  <c r="R1140" i="26"/>
  <c r="BK1140" i="26"/>
  <c r="F1140" i="26"/>
  <c r="AP1140" i="26"/>
  <c r="U1140" i="26"/>
  <c r="AX1140" i="26"/>
  <c r="AT1140" i="26"/>
  <c r="Q1140" i="26"/>
  <c r="AY1140" i="26"/>
  <c r="T1140" i="26"/>
  <c r="C1140" i="26"/>
  <c r="AU1140" i="26"/>
  <c r="O1140" i="26"/>
  <c r="H1140" i="26"/>
  <c r="P1140" i="26"/>
  <c r="AO1140" i="26"/>
  <c r="AV1140" i="26"/>
  <c r="B1140" i="26"/>
  <c r="A1140" i="26"/>
  <c r="BN1140" i="26"/>
  <c r="BQ1140" i="26"/>
  <c r="X1140" i="26"/>
  <c r="AM1140" i="26"/>
  <c r="AW1140" i="26"/>
  <c r="BM1140" i="26"/>
  <c r="I1140" i="26"/>
  <c r="K1140" i="26"/>
  <c r="M1140" i="26" s="1"/>
  <c r="N1140" i="26" s="1"/>
  <c r="BL1140" i="26"/>
  <c r="AF1140" i="26"/>
  <c r="E1425" i="55"/>
  <c r="BV652" i="26" l="1"/>
  <c r="BE649" i="26"/>
  <c r="O1425" i="55"/>
  <c r="E1141" i="26"/>
  <c r="AF1425" i="55"/>
  <c r="Z1425" i="55"/>
  <c r="AI1425" i="55"/>
  <c r="Q1425" i="55"/>
  <c r="P1425" i="55"/>
  <c r="K1425" i="55"/>
  <c r="AL1425" i="55"/>
  <c r="AG1425" i="55"/>
  <c r="AK1425" i="55"/>
  <c r="AO1425" i="55"/>
  <c r="AD1425" i="55"/>
  <c r="G1425" i="55"/>
  <c r="AT1425" i="55"/>
  <c r="B1425" i="55"/>
  <c r="AN1425" i="55"/>
  <c r="W1425" i="55"/>
  <c r="V1425" i="55"/>
  <c r="X1425" i="55"/>
  <c r="AM1425" i="55"/>
  <c r="C1425" i="55"/>
  <c r="AB1425" i="55"/>
  <c r="L1425" i="55"/>
  <c r="I1425" i="55"/>
  <c r="AQ1425" i="55"/>
  <c r="S1425" i="55"/>
  <c r="D1425" i="55"/>
  <c r="AC1425" i="55"/>
  <c r="M1425" i="55"/>
  <c r="A1425" i="55"/>
  <c r="H1425" i="55"/>
  <c r="N1425" i="55"/>
  <c r="AH1425" i="55"/>
  <c r="U1425" i="55"/>
  <c r="BF1141" i="26" l="1"/>
  <c r="BC1141" i="26"/>
  <c r="BU1141" i="26"/>
  <c r="BD1141" i="26"/>
  <c r="V1141" i="26"/>
  <c r="BV651" i="26"/>
  <c r="BE648" i="26"/>
  <c r="A1141" i="26"/>
  <c r="AU1141" i="26"/>
  <c r="BG1141" i="26"/>
  <c r="AJ1141" i="26"/>
  <c r="AS1141" i="26"/>
  <c r="H1141" i="26"/>
  <c r="L1141" i="26"/>
  <c r="B1141" i="26"/>
  <c r="BI1141" i="26"/>
  <c r="F1141" i="26"/>
  <c r="BV1141" i="26"/>
  <c r="BL1141" i="26"/>
  <c r="BQ1141" i="26"/>
  <c r="G1141" i="26"/>
  <c r="Q1141" i="26"/>
  <c r="BO1141" i="26"/>
  <c r="BA1141" i="26"/>
  <c r="AV1141" i="55"/>
  <c r="BT1141" i="26"/>
  <c r="O1141" i="26"/>
  <c r="AV1141" i="26"/>
  <c r="R1141" i="26"/>
  <c r="AM1141" i="26"/>
  <c r="D1141" i="26"/>
  <c r="BK1141" i="26"/>
  <c r="BE1141" i="26"/>
  <c r="I1141" i="26"/>
  <c r="W1141" i="26"/>
  <c r="AY1141" i="26"/>
  <c r="S1141" i="26"/>
  <c r="U1141" i="26"/>
  <c r="BJ1141" i="26"/>
  <c r="K1141" i="26"/>
  <c r="M1141" i="26" s="1"/>
  <c r="N1141" i="26" s="1"/>
  <c r="X1141" i="26"/>
  <c r="BN1141" i="26"/>
  <c r="AP1141" i="26"/>
  <c r="AX1141" i="26"/>
  <c r="AW1141" i="26"/>
  <c r="BW1141" i="26"/>
  <c r="P1141" i="26"/>
  <c r="AF1141" i="26"/>
  <c r="AT1141" i="26"/>
  <c r="AO1141" i="26"/>
  <c r="BM1141" i="26"/>
  <c r="C1141" i="26"/>
  <c r="BX1141" i="26"/>
  <c r="BR1141" i="26"/>
  <c r="BP1141" i="26"/>
  <c r="AK1141" i="26"/>
  <c r="T1141" i="26"/>
  <c r="AR1141" i="26"/>
  <c r="E1426" i="55"/>
  <c r="BE647" i="26" l="1"/>
  <c r="BV650" i="26"/>
  <c r="O1426" i="55"/>
  <c r="E1142" i="26"/>
  <c r="AO1426" i="55"/>
  <c r="AI1426" i="55"/>
  <c r="Q1426" i="55"/>
  <c r="P1426" i="55"/>
  <c r="K1426" i="55"/>
  <c r="Z1426" i="55"/>
  <c r="AL1426" i="55"/>
  <c r="AC1426" i="55"/>
  <c r="N1426" i="55"/>
  <c r="W1426" i="55"/>
  <c r="U1426" i="55"/>
  <c r="AT1426" i="55"/>
  <c r="A1426" i="55"/>
  <c r="AQ1426" i="55"/>
  <c r="AB1426" i="55"/>
  <c r="X1426" i="55"/>
  <c r="AM1426" i="55"/>
  <c r="V1426" i="55"/>
  <c r="AH1426" i="55"/>
  <c r="B1426" i="55"/>
  <c r="AN1426" i="55"/>
  <c r="I1426" i="55"/>
  <c r="D1426" i="55"/>
  <c r="M1426" i="55"/>
  <c r="S1426" i="55"/>
  <c r="L1426" i="55"/>
  <c r="C1426" i="55"/>
  <c r="H1426" i="55"/>
  <c r="G1426" i="55"/>
  <c r="AK1426" i="55"/>
  <c r="AG1426" i="55"/>
  <c r="AD1426" i="55"/>
  <c r="AF1426" i="55"/>
  <c r="BF1142" i="26" l="1"/>
  <c r="BC1142" i="26"/>
  <c r="BD1142" i="26"/>
  <c r="BU1142" i="26"/>
  <c r="V1142" i="26"/>
  <c r="BV649" i="26"/>
  <c r="BE646" i="26"/>
  <c r="K1142" i="26"/>
  <c r="M1142" i="26" s="1"/>
  <c r="N1142" i="26" s="1"/>
  <c r="W1142" i="26"/>
  <c r="BP1142" i="26"/>
  <c r="P1142" i="26"/>
  <c r="AU1142" i="26"/>
  <c r="BW1142" i="26"/>
  <c r="AV1142" i="26"/>
  <c r="AR1142" i="26"/>
  <c r="F1142" i="26"/>
  <c r="BE1142" i="26"/>
  <c r="AP1142" i="26"/>
  <c r="AO1142" i="26"/>
  <c r="AW1142" i="26"/>
  <c r="B1142" i="26"/>
  <c r="L1142" i="26"/>
  <c r="BJ1142" i="26"/>
  <c r="BG1142" i="26"/>
  <c r="Q1142" i="26"/>
  <c r="AF1142" i="26"/>
  <c r="BI1142" i="26"/>
  <c r="BA1142" i="26"/>
  <c r="T1142" i="26"/>
  <c r="BR1142" i="26"/>
  <c r="I1142" i="26"/>
  <c r="AS1142" i="26"/>
  <c r="BM1142" i="26"/>
  <c r="O1142" i="26"/>
  <c r="BO1142" i="26"/>
  <c r="AY1142" i="26"/>
  <c r="AJ1142" i="26"/>
  <c r="BQ1142" i="26"/>
  <c r="A1142" i="26"/>
  <c r="BX1142" i="26"/>
  <c r="AX1142" i="26"/>
  <c r="BN1142" i="26"/>
  <c r="X1142" i="26"/>
  <c r="G1142" i="26"/>
  <c r="BT1142" i="26"/>
  <c r="R1142" i="26"/>
  <c r="U1142" i="26"/>
  <c r="AK1142" i="26"/>
  <c r="C1142" i="26"/>
  <c r="AT1142" i="26"/>
  <c r="AM1142" i="26"/>
  <c r="S1142" i="26"/>
  <c r="D1142" i="26"/>
  <c r="H1142" i="26"/>
  <c r="BK1142" i="26"/>
  <c r="BV1142" i="26"/>
  <c r="BL1142" i="26"/>
  <c r="AV1142" i="55"/>
  <c r="E1427" i="55"/>
  <c r="BE645" i="26" l="1"/>
  <c r="BV648" i="26"/>
  <c r="E1143" i="26"/>
  <c r="BD1143" i="26" s="1"/>
  <c r="AG1427" i="55"/>
  <c r="O1427" i="55"/>
  <c r="AI1427" i="55"/>
  <c r="Q1427" i="55"/>
  <c r="P1427" i="55"/>
  <c r="K1427" i="55"/>
  <c r="AO1427" i="55"/>
  <c r="AL1427" i="55"/>
  <c r="Z1427" i="55"/>
  <c r="AK1427" i="55"/>
  <c r="A1427" i="55"/>
  <c r="B1427" i="55"/>
  <c r="L1427" i="55"/>
  <c r="G1427" i="55"/>
  <c r="I1427" i="55"/>
  <c r="AB1427" i="55"/>
  <c r="X1427" i="55"/>
  <c r="S1427" i="55"/>
  <c r="M1427" i="55"/>
  <c r="U1427" i="55"/>
  <c r="AN1427" i="55"/>
  <c r="AH1427" i="55"/>
  <c r="AC1427" i="55"/>
  <c r="C1427" i="55"/>
  <c r="V1427" i="55"/>
  <c r="AQ1427" i="55"/>
  <c r="AT1427" i="55"/>
  <c r="D1427" i="55"/>
  <c r="N1427" i="55"/>
  <c r="AM1427" i="55"/>
  <c r="W1427" i="55"/>
  <c r="H1427" i="55"/>
  <c r="AD1427" i="55"/>
  <c r="AF1427" i="55"/>
  <c r="BF1143" i="26" l="1"/>
  <c r="BC1143" i="26"/>
  <c r="AV1143" i="55" s="1"/>
  <c r="BU1143" i="26"/>
  <c r="V1143" i="26"/>
  <c r="BV647" i="26"/>
  <c r="BE644" i="26"/>
  <c r="A1143" i="26"/>
  <c r="Q1143" i="26"/>
  <c r="BE1143" i="26"/>
  <c r="BQ1143" i="26"/>
  <c r="BI1143" i="26"/>
  <c r="BA1143" i="26"/>
  <c r="D1143" i="26"/>
  <c r="AK1143" i="26"/>
  <c r="BW1143" i="26"/>
  <c r="H1143" i="26"/>
  <c r="BO1143" i="26"/>
  <c r="AJ1143" i="26"/>
  <c r="I1143" i="26"/>
  <c r="AR1143" i="26"/>
  <c r="BJ1143" i="26"/>
  <c r="R1143" i="26"/>
  <c r="BK1143" i="26"/>
  <c r="AX1143" i="26"/>
  <c r="AP1143" i="26"/>
  <c r="AF1143" i="26"/>
  <c r="S1143" i="26"/>
  <c r="AU1143" i="26"/>
  <c r="W1143" i="26"/>
  <c r="BT1143" i="26"/>
  <c r="P1143" i="26"/>
  <c r="G1143" i="26"/>
  <c r="AM1143" i="26"/>
  <c r="T1143" i="26"/>
  <c r="BM1143" i="26"/>
  <c r="BV1143" i="26"/>
  <c r="K1143" i="26"/>
  <c r="M1143" i="26" s="1"/>
  <c r="N1143" i="26" s="1"/>
  <c r="BN1143" i="26"/>
  <c r="AW1143" i="26"/>
  <c r="O1143" i="26"/>
  <c r="AY1143" i="26"/>
  <c r="BX1143" i="26"/>
  <c r="X1143" i="26"/>
  <c r="C1143" i="26"/>
  <c r="AS1143" i="26"/>
  <c r="BP1143" i="26"/>
  <c r="AO1143" i="26"/>
  <c r="BR1143" i="26"/>
  <c r="F1143" i="26"/>
  <c r="B1143" i="26"/>
  <c r="AT1143" i="26"/>
  <c r="U1143" i="26"/>
  <c r="BL1143" i="26"/>
  <c r="AV1143" i="26"/>
  <c r="BG1143" i="26"/>
  <c r="L1143" i="26"/>
  <c r="E1428" i="55"/>
  <c r="BE643" i="26" l="1"/>
  <c r="BV646" i="26"/>
  <c r="O1428" i="55"/>
  <c r="E1144" i="26"/>
  <c r="AG1428" i="55"/>
  <c r="AI1428" i="55"/>
  <c r="Q1428" i="55"/>
  <c r="P1428" i="55"/>
  <c r="K1428" i="55"/>
  <c r="AO1428" i="55"/>
  <c r="AK1428" i="55"/>
  <c r="Z1428" i="55"/>
  <c r="AL1428" i="55"/>
  <c r="AD1428" i="55"/>
  <c r="AF1428" i="55"/>
  <c r="M1428" i="55"/>
  <c r="D1428" i="55"/>
  <c r="V1428" i="55"/>
  <c r="A1428" i="55"/>
  <c r="U1428" i="55"/>
  <c r="I1428" i="55"/>
  <c r="N1428" i="55"/>
  <c r="X1428" i="55"/>
  <c r="W1428" i="55"/>
  <c r="H1428" i="55"/>
  <c r="G1428" i="55"/>
  <c r="AB1428" i="55"/>
  <c r="AN1428" i="55"/>
  <c r="AC1428" i="55"/>
  <c r="AM1428" i="55"/>
  <c r="C1428" i="55"/>
  <c r="AT1428" i="55"/>
  <c r="L1428" i="55"/>
  <c r="AH1428" i="55"/>
  <c r="B1428" i="55"/>
  <c r="S1428" i="55"/>
  <c r="AQ1428" i="55"/>
  <c r="BF1144" i="26" l="1"/>
  <c r="BC1144" i="26"/>
  <c r="BD1144" i="26"/>
  <c r="BU1144" i="26"/>
  <c r="V1144" i="26"/>
  <c r="BV645" i="26"/>
  <c r="BE642" i="26"/>
  <c r="BQ1144" i="26"/>
  <c r="BJ1144" i="26"/>
  <c r="BG1144" i="26"/>
  <c r="AF1144" i="26"/>
  <c r="K1144" i="26"/>
  <c r="M1144" i="26" s="1"/>
  <c r="N1144" i="26" s="1"/>
  <c r="BK1144" i="26"/>
  <c r="AR1144" i="26"/>
  <c r="BN1144" i="26"/>
  <c r="L1144" i="26"/>
  <c r="AO1144" i="26"/>
  <c r="AU1144" i="26"/>
  <c r="AK1144" i="26"/>
  <c r="BR1144" i="26"/>
  <c r="BP1144" i="26"/>
  <c r="U1144" i="26"/>
  <c r="G1144" i="26"/>
  <c r="BA1144" i="26"/>
  <c r="O1144" i="26"/>
  <c r="BO1144" i="26"/>
  <c r="AY1144" i="26"/>
  <c r="AW1144" i="26"/>
  <c r="AT1144" i="26"/>
  <c r="H1144" i="26"/>
  <c r="P1144" i="26"/>
  <c r="BI1144" i="26"/>
  <c r="AP1144" i="26"/>
  <c r="BT1144" i="26"/>
  <c r="AM1144" i="26"/>
  <c r="X1144" i="26"/>
  <c r="R1144" i="26"/>
  <c r="I1144" i="26"/>
  <c r="T1144" i="26"/>
  <c r="A1144" i="26"/>
  <c r="BW1144" i="26"/>
  <c r="W1144" i="26"/>
  <c r="BL1144" i="26"/>
  <c r="BV1144" i="26"/>
  <c r="AV1144" i="55"/>
  <c r="AV1144" i="26"/>
  <c r="BM1144" i="26"/>
  <c r="BX1144" i="26"/>
  <c r="S1144" i="26"/>
  <c r="B1144" i="26"/>
  <c r="D1144" i="26"/>
  <c r="F1144" i="26"/>
  <c r="AS1144" i="26"/>
  <c r="AX1144" i="26"/>
  <c r="Q1144" i="26"/>
  <c r="C1144" i="26"/>
  <c r="AJ1144" i="26"/>
  <c r="BE1144" i="26"/>
  <c r="E1429" i="55"/>
  <c r="BE641" i="26" l="1"/>
  <c r="BV644" i="26"/>
  <c r="O1429" i="55"/>
  <c r="E1145" i="26"/>
  <c r="AF1429" i="55"/>
  <c r="Q1429" i="55"/>
  <c r="AI1429" i="55"/>
  <c r="P1429" i="55"/>
  <c r="K1429" i="55"/>
  <c r="AG1429" i="55"/>
  <c r="AK1429" i="55"/>
  <c r="AL1429" i="55"/>
  <c r="AD1429" i="55"/>
  <c r="AO1429" i="55"/>
  <c r="Z1429" i="55"/>
  <c r="A1429" i="55"/>
  <c r="AQ1429" i="55"/>
  <c r="L1429" i="55"/>
  <c r="AN1429" i="55"/>
  <c r="AB1429" i="55"/>
  <c r="AC1429" i="55"/>
  <c r="G1429" i="55"/>
  <c r="C1429" i="55"/>
  <c r="U1429" i="55"/>
  <c r="AT1429" i="55"/>
  <c r="W1429" i="55"/>
  <c r="V1429" i="55"/>
  <c r="I1429" i="55"/>
  <c r="X1429" i="55"/>
  <c r="H1429" i="55"/>
  <c r="AH1429" i="55"/>
  <c r="B1429" i="55"/>
  <c r="S1429" i="55"/>
  <c r="D1429" i="55"/>
  <c r="N1429" i="55"/>
  <c r="M1429" i="55"/>
  <c r="AM1429" i="55"/>
  <c r="BF1145" i="26" l="1"/>
  <c r="BC1145" i="26"/>
  <c r="BD1145" i="26"/>
  <c r="BU1145" i="26"/>
  <c r="V1145" i="26"/>
  <c r="BV643" i="26"/>
  <c r="BE640" i="26"/>
  <c r="I1145" i="26"/>
  <c r="BK1145" i="26"/>
  <c r="L1145" i="26"/>
  <c r="AR1145" i="26"/>
  <c r="BX1145" i="26"/>
  <c r="BV1145" i="26"/>
  <c r="F1145" i="26"/>
  <c r="BN1145" i="26"/>
  <c r="AM1145" i="26"/>
  <c r="BR1145" i="26"/>
  <c r="AT1145" i="26"/>
  <c r="BT1145" i="26"/>
  <c r="AY1145" i="26"/>
  <c r="G1145" i="26"/>
  <c r="BQ1145" i="26"/>
  <c r="AO1145" i="26"/>
  <c r="BP1145" i="26"/>
  <c r="X1145" i="26"/>
  <c r="AP1145" i="26"/>
  <c r="K1145" i="26"/>
  <c r="M1145" i="26" s="1"/>
  <c r="N1145" i="26" s="1"/>
  <c r="AF1145" i="26"/>
  <c r="BG1145" i="26"/>
  <c r="T1145" i="26"/>
  <c r="AX1145" i="26"/>
  <c r="BA1145" i="26"/>
  <c r="AV1145" i="26"/>
  <c r="B1145" i="26"/>
  <c r="P1145" i="26"/>
  <c r="U1145" i="26"/>
  <c r="AU1145" i="26"/>
  <c r="BL1145" i="26"/>
  <c r="O1145" i="26"/>
  <c r="R1145" i="26"/>
  <c r="AS1145" i="26"/>
  <c r="AJ1145" i="26"/>
  <c r="AV1145" i="55"/>
  <c r="D1145" i="26"/>
  <c r="A1145" i="26"/>
  <c r="C1145" i="26"/>
  <c r="H1145" i="26"/>
  <c r="BM1145" i="26"/>
  <c r="AK1145" i="26"/>
  <c r="BW1145" i="26"/>
  <c r="BI1145" i="26"/>
  <c r="BE1145" i="26"/>
  <c r="Q1145" i="26"/>
  <c r="W1145" i="26"/>
  <c r="S1145" i="26"/>
  <c r="BO1145" i="26"/>
  <c r="BJ1145" i="26"/>
  <c r="AW1145" i="26"/>
  <c r="E1430" i="55"/>
  <c r="BE639" i="26" l="1"/>
  <c r="BV642" i="26"/>
  <c r="O1430" i="55"/>
  <c r="E1146" i="26"/>
  <c r="AL1430" i="55"/>
  <c r="AI1430" i="55"/>
  <c r="P1430" i="55"/>
  <c r="Q1430" i="55"/>
  <c r="K1430" i="55"/>
  <c r="AF1430" i="55"/>
  <c r="L1430" i="55"/>
  <c r="X1430" i="55"/>
  <c r="D1430" i="55"/>
  <c r="AC1430" i="55"/>
  <c r="C1430" i="55"/>
  <c r="N1430" i="55"/>
  <c r="A1430" i="55"/>
  <c r="H1430" i="55"/>
  <c r="AT1430" i="55"/>
  <c r="I1430" i="55"/>
  <c r="M1430" i="55"/>
  <c r="AM1430" i="55"/>
  <c r="U1430" i="55"/>
  <c r="W1430" i="55"/>
  <c r="AN1430" i="55"/>
  <c r="AH1430" i="55"/>
  <c r="AQ1430" i="55"/>
  <c r="AB1430" i="55"/>
  <c r="V1430" i="55"/>
  <c r="B1430" i="55"/>
  <c r="S1430" i="55"/>
  <c r="G1430" i="55"/>
  <c r="AD1430" i="55"/>
  <c r="Z1430" i="55"/>
  <c r="AG1430" i="55"/>
  <c r="AO1430" i="55"/>
  <c r="AK1430" i="55"/>
  <c r="BF1146" i="26" l="1"/>
  <c r="BC1146" i="26"/>
  <c r="AV1146" i="55" s="1"/>
  <c r="BD1146" i="26"/>
  <c r="BU1146" i="26"/>
  <c r="V1146" i="26"/>
  <c r="BV641" i="26"/>
  <c r="BE638" i="26"/>
  <c r="AY1146" i="26"/>
  <c r="AV1146" i="26"/>
  <c r="BO1146" i="26"/>
  <c r="BJ1146" i="26"/>
  <c r="AF1146" i="26"/>
  <c r="BL1146" i="26"/>
  <c r="BI1146" i="26"/>
  <c r="AW1146" i="26"/>
  <c r="AR1146" i="26"/>
  <c r="W1146" i="26"/>
  <c r="A1146" i="26"/>
  <c r="BQ1146" i="26"/>
  <c r="BM1146" i="26"/>
  <c r="BA1146" i="26"/>
  <c r="Q1146" i="26"/>
  <c r="BP1146" i="26"/>
  <c r="F1146" i="26"/>
  <c r="AM1146" i="26"/>
  <c r="BE1146" i="26"/>
  <c r="BV1146" i="26"/>
  <c r="R1146" i="26"/>
  <c r="AP1146" i="26"/>
  <c r="BN1146" i="26"/>
  <c r="AO1146" i="26"/>
  <c r="O1146" i="26"/>
  <c r="BR1146" i="26"/>
  <c r="AK1146" i="26"/>
  <c r="C1146" i="26"/>
  <c r="T1146" i="26"/>
  <c r="S1146" i="26"/>
  <c r="H1146" i="26"/>
  <c r="B1146" i="26"/>
  <c r="AX1146" i="26"/>
  <c r="BX1146" i="26"/>
  <c r="D1146" i="26"/>
  <c r="BK1146" i="26"/>
  <c r="X1146" i="26"/>
  <c r="U1146" i="26"/>
  <c r="AT1146" i="26"/>
  <c r="G1146" i="26"/>
  <c r="L1146" i="26"/>
  <c r="I1146" i="26"/>
  <c r="AS1146" i="26"/>
  <c r="BT1146" i="26"/>
  <c r="AU1146" i="26"/>
  <c r="BW1146" i="26"/>
  <c r="K1146" i="26"/>
  <c r="M1146" i="26" s="1"/>
  <c r="N1146" i="26" s="1"/>
  <c r="AJ1146" i="26"/>
  <c r="P1146" i="26"/>
  <c r="BG1146" i="26"/>
  <c r="E1431" i="55"/>
  <c r="BE637" i="26" l="1"/>
  <c r="BV640" i="26"/>
  <c r="E1147" i="26"/>
  <c r="BD1147" i="26" s="1"/>
  <c r="AO1431" i="55"/>
  <c r="O1431" i="55"/>
  <c r="AL1431" i="55"/>
  <c r="AI1431" i="55"/>
  <c r="Q1431" i="55"/>
  <c r="P1431" i="55"/>
  <c r="K1431" i="55"/>
  <c r="AK1431" i="55"/>
  <c r="Z1431" i="55"/>
  <c r="AF1431" i="55"/>
  <c r="AD1431" i="55"/>
  <c r="AG1431" i="55"/>
  <c r="W1431" i="55"/>
  <c r="V1431" i="55"/>
  <c r="AT1431" i="55"/>
  <c r="I1431" i="55"/>
  <c r="S1431" i="55"/>
  <c r="G1431" i="55"/>
  <c r="H1431" i="55"/>
  <c r="AM1431" i="55"/>
  <c r="X1431" i="55"/>
  <c r="L1431" i="55"/>
  <c r="AQ1431" i="55"/>
  <c r="AN1431" i="55"/>
  <c r="AH1431" i="55"/>
  <c r="U1431" i="55"/>
  <c r="B1431" i="55"/>
  <c r="N1431" i="55"/>
  <c r="C1431" i="55"/>
  <c r="D1431" i="55"/>
  <c r="AB1431" i="55"/>
  <c r="M1431" i="55"/>
  <c r="A1431" i="55"/>
  <c r="AC1431" i="55"/>
  <c r="BF1147" i="26" l="1"/>
  <c r="BC1147" i="26"/>
  <c r="BU1147" i="26"/>
  <c r="V1147" i="26"/>
  <c r="BV639" i="26"/>
  <c r="BE636" i="26"/>
  <c r="AO1147" i="26"/>
  <c r="P1147" i="26"/>
  <c r="BR1147" i="26"/>
  <c r="AR1147" i="26"/>
  <c r="BE1147" i="26"/>
  <c r="BA1147" i="26"/>
  <c r="AW1147" i="26"/>
  <c r="BX1147" i="26"/>
  <c r="AV1147" i="26"/>
  <c r="BQ1147" i="26"/>
  <c r="AK1147" i="26"/>
  <c r="C1147" i="26"/>
  <c r="I1147" i="26"/>
  <c r="AY1147" i="26"/>
  <c r="X1147" i="26"/>
  <c r="O1147" i="26"/>
  <c r="BL1147" i="26"/>
  <c r="BP1147" i="26"/>
  <c r="A1147" i="26"/>
  <c r="AF1147" i="26"/>
  <c r="G1147" i="26"/>
  <c r="BM1147" i="26"/>
  <c r="BN1147" i="26"/>
  <c r="U1147" i="26"/>
  <c r="B1147" i="26"/>
  <c r="AM1147" i="26"/>
  <c r="R1147" i="26"/>
  <c r="AJ1147" i="26"/>
  <c r="AS1147" i="26"/>
  <c r="Q1147" i="26"/>
  <c r="BO1147" i="26"/>
  <c r="D1147" i="26"/>
  <c r="BI1147" i="26"/>
  <c r="K1147" i="26"/>
  <c r="M1147" i="26" s="1"/>
  <c r="N1147" i="26" s="1"/>
  <c r="AT1147" i="26"/>
  <c r="S1147" i="26"/>
  <c r="BK1147" i="26"/>
  <c r="AX1147" i="26"/>
  <c r="BT1147" i="26"/>
  <c r="H1147" i="26"/>
  <c r="BV1147" i="26"/>
  <c r="W1147" i="26"/>
  <c r="BJ1147" i="26"/>
  <c r="AV1147" i="55"/>
  <c r="AU1147" i="26"/>
  <c r="F1147" i="26"/>
  <c r="BW1147" i="26"/>
  <c r="BG1147" i="26"/>
  <c r="AP1147" i="26"/>
  <c r="T1147" i="26"/>
  <c r="L1147" i="26"/>
  <c r="E1432" i="55"/>
  <c r="BE635" i="26" l="1"/>
  <c r="BV638" i="26"/>
  <c r="O1432" i="55"/>
  <c r="E1148" i="26"/>
  <c r="AD1432" i="55"/>
  <c r="AI1432" i="55"/>
  <c r="Q1432" i="55"/>
  <c r="P1432" i="55"/>
  <c r="K1432" i="55"/>
  <c r="AF1432" i="55"/>
  <c r="Z1432" i="55"/>
  <c r="AG1432" i="55"/>
  <c r="AK1432" i="55"/>
  <c r="AL1432" i="55"/>
  <c r="AO1432" i="55"/>
  <c r="AB1432" i="55"/>
  <c r="W1432" i="55"/>
  <c r="V1432" i="55"/>
  <c r="AQ1432" i="55"/>
  <c r="C1432" i="55"/>
  <c r="M1432" i="55"/>
  <c r="N1432" i="55"/>
  <c r="H1432" i="55"/>
  <c r="U1432" i="55"/>
  <c r="S1432" i="55"/>
  <c r="AM1432" i="55"/>
  <c r="I1432" i="55"/>
  <c r="AN1432" i="55"/>
  <c r="A1432" i="55"/>
  <c r="X1432" i="55"/>
  <c r="B1432" i="55"/>
  <c r="D1432" i="55"/>
  <c r="AH1432" i="55"/>
  <c r="AC1432" i="55"/>
  <c r="L1432" i="55"/>
  <c r="G1432" i="55"/>
  <c r="AT1432" i="55"/>
  <c r="BF1148" i="26" l="1"/>
  <c r="BC1148" i="26"/>
  <c r="BD1148" i="26"/>
  <c r="BU1148" i="26"/>
  <c r="V1148" i="26"/>
  <c r="BV637" i="26"/>
  <c r="BE634" i="26"/>
  <c r="AT1148" i="26"/>
  <c r="AJ1148" i="26"/>
  <c r="I1148" i="26"/>
  <c r="D1148" i="26"/>
  <c r="Q1148" i="26"/>
  <c r="U1148" i="26"/>
  <c r="BT1148" i="26"/>
  <c r="BW1148" i="26"/>
  <c r="AO1148" i="26"/>
  <c r="R1148" i="26"/>
  <c r="H1148" i="26"/>
  <c r="AY1148" i="26"/>
  <c r="BV1148" i="26"/>
  <c r="AV1148" i="26"/>
  <c r="BO1148" i="26"/>
  <c r="AW1148" i="26"/>
  <c r="O1148" i="26"/>
  <c r="AP1148" i="26"/>
  <c r="BA1148" i="26"/>
  <c r="BL1148" i="26"/>
  <c r="BK1148" i="26"/>
  <c r="G1148" i="26"/>
  <c r="AF1148" i="26"/>
  <c r="AM1148" i="26"/>
  <c r="L1148" i="26"/>
  <c r="C1148" i="26"/>
  <c r="P1148" i="26"/>
  <c r="X1148" i="26"/>
  <c r="BG1148" i="26"/>
  <c r="AV1148" i="55"/>
  <c r="S1148" i="26"/>
  <c r="BN1148" i="26"/>
  <c r="K1148" i="26"/>
  <c r="M1148" i="26" s="1"/>
  <c r="N1148" i="26" s="1"/>
  <c r="BR1148" i="26"/>
  <c r="BJ1148" i="26"/>
  <c r="A1148" i="26"/>
  <c r="AU1148" i="26"/>
  <c r="BP1148" i="26"/>
  <c r="BE1148" i="26"/>
  <c r="T1148" i="26"/>
  <c r="W1148" i="26"/>
  <c r="BQ1148" i="26"/>
  <c r="AR1148" i="26"/>
  <c r="AX1148" i="26"/>
  <c r="F1148" i="26"/>
  <c r="BM1148" i="26"/>
  <c r="BI1148" i="26"/>
  <c r="AK1148" i="26"/>
  <c r="B1148" i="26"/>
  <c r="AS1148" i="26"/>
  <c r="BX1148" i="26"/>
  <c r="E1433" i="55"/>
  <c r="BE633" i="26" l="1"/>
  <c r="BV636" i="26"/>
  <c r="O1433" i="55"/>
  <c r="E1149" i="26"/>
  <c r="AL1433" i="55"/>
  <c r="AI1433" i="55"/>
  <c r="Q1433" i="55"/>
  <c r="P1433" i="55"/>
  <c r="K1433" i="55"/>
  <c r="AO1433" i="55"/>
  <c r="AD1433" i="55"/>
  <c r="AF1433" i="55"/>
  <c r="Z1433" i="55"/>
  <c r="AK1433" i="55"/>
  <c r="AG1433" i="55"/>
  <c r="M1433" i="55"/>
  <c r="AQ1433" i="55"/>
  <c r="B1433" i="55"/>
  <c r="U1433" i="55"/>
  <c r="A1433" i="55"/>
  <c r="V1433" i="55"/>
  <c r="C1433" i="55"/>
  <c r="AT1433" i="55"/>
  <c r="AN1433" i="55"/>
  <c r="H1433" i="55"/>
  <c r="AB1433" i="55"/>
  <c r="G1433" i="55"/>
  <c r="AH1433" i="55"/>
  <c r="L1433" i="55"/>
  <c r="AC1433" i="55"/>
  <c r="N1433" i="55"/>
  <c r="I1433" i="55"/>
  <c r="S1433" i="55"/>
  <c r="AM1433" i="55"/>
  <c r="D1433" i="55"/>
  <c r="X1433" i="55"/>
  <c r="W1433" i="55"/>
  <c r="BF1149" i="26" l="1"/>
  <c r="BC1149" i="26"/>
  <c r="AV1149" i="55" s="1"/>
  <c r="BD1149" i="26"/>
  <c r="BU1149" i="26"/>
  <c r="V1149" i="26"/>
  <c r="BE632" i="26"/>
  <c r="BV635" i="26"/>
  <c r="BO1149" i="26"/>
  <c r="BQ1149" i="26"/>
  <c r="O1149" i="26"/>
  <c r="K1149" i="26"/>
  <c r="M1149" i="26" s="1"/>
  <c r="N1149" i="26" s="1"/>
  <c r="AM1149" i="26"/>
  <c r="BN1149" i="26"/>
  <c r="AP1149" i="26"/>
  <c r="BG1149" i="26"/>
  <c r="AS1149" i="26"/>
  <c r="AU1149" i="26"/>
  <c r="BW1149" i="26"/>
  <c r="BK1149" i="26"/>
  <c r="AW1149" i="26"/>
  <c r="BX1149" i="26"/>
  <c r="F1149" i="26"/>
  <c r="AT1149" i="26"/>
  <c r="BP1149" i="26"/>
  <c r="P1149" i="26"/>
  <c r="X1149" i="26"/>
  <c r="L1149" i="26"/>
  <c r="BL1149" i="26"/>
  <c r="AJ1149" i="26"/>
  <c r="AO1149" i="26"/>
  <c r="BM1149" i="26"/>
  <c r="BE1149" i="26"/>
  <c r="R1149" i="26"/>
  <c r="BI1149" i="26"/>
  <c r="C1149" i="26"/>
  <c r="AV1149" i="26"/>
  <c r="AY1149" i="26"/>
  <c r="A1149" i="26"/>
  <c r="AR1149" i="26"/>
  <c r="H1149" i="26"/>
  <c r="AF1149" i="26"/>
  <c r="D1149" i="26"/>
  <c r="BV1149" i="26"/>
  <c r="B1149" i="26"/>
  <c r="BJ1149" i="26"/>
  <c r="U1149" i="26"/>
  <c r="Q1149" i="26"/>
  <c r="T1149" i="26"/>
  <c r="S1149" i="26"/>
  <c r="AK1149" i="26"/>
  <c r="AX1149" i="26"/>
  <c r="BA1149" i="26"/>
  <c r="I1149" i="26"/>
  <c r="BR1149" i="26"/>
  <c r="BT1149" i="26"/>
  <c r="G1149" i="26"/>
  <c r="W1149" i="26"/>
  <c r="E1434" i="55"/>
  <c r="BV634" i="26" l="1"/>
  <c r="BE631" i="26"/>
  <c r="O1434" i="55"/>
  <c r="E1150" i="26"/>
  <c r="AL1434" i="55"/>
  <c r="AI1434" i="55"/>
  <c r="P1434" i="55"/>
  <c r="Q1434" i="55"/>
  <c r="K1434" i="55"/>
  <c r="AK1434" i="55"/>
  <c r="Z1434" i="55"/>
  <c r="AO1434" i="55"/>
  <c r="AF1434" i="55"/>
  <c r="AD1434" i="55"/>
  <c r="AG1434" i="55"/>
  <c r="AB1434" i="55"/>
  <c r="H1434" i="55"/>
  <c r="B1434" i="55"/>
  <c r="AN1434" i="55"/>
  <c r="U1434" i="55"/>
  <c r="W1434" i="55"/>
  <c r="AM1434" i="55"/>
  <c r="M1434" i="55"/>
  <c r="AQ1434" i="55"/>
  <c r="L1434" i="55"/>
  <c r="S1434" i="55"/>
  <c r="A1434" i="55"/>
  <c r="AH1434" i="55"/>
  <c r="N1434" i="55"/>
  <c r="X1434" i="55"/>
  <c r="AC1434" i="55"/>
  <c r="C1434" i="55"/>
  <c r="V1434" i="55"/>
  <c r="D1434" i="55"/>
  <c r="I1434" i="55"/>
  <c r="AT1434" i="55"/>
  <c r="G1434" i="55"/>
  <c r="BF1150" i="26" l="1"/>
  <c r="BC1150" i="26"/>
  <c r="AV1150" i="55" s="1"/>
  <c r="BD1150" i="26"/>
  <c r="BU1150" i="26"/>
  <c r="V1150" i="26"/>
  <c r="BE630" i="26"/>
  <c r="BV633" i="26"/>
  <c r="BX1150" i="26"/>
  <c r="BT1150" i="26"/>
  <c r="W1150" i="26"/>
  <c r="R1150" i="26"/>
  <c r="AM1150" i="26"/>
  <c r="BP1150" i="26"/>
  <c r="BG1150" i="26"/>
  <c r="BL1150" i="26"/>
  <c r="AP1150" i="26"/>
  <c r="G1150" i="26"/>
  <c r="BW1150" i="26"/>
  <c r="BA1150" i="26"/>
  <c r="Q1150" i="26"/>
  <c r="I1150" i="26"/>
  <c r="A1150" i="26"/>
  <c r="D1150" i="26"/>
  <c r="U1150" i="26"/>
  <c r="L1150" i="26"/>
  <c r="B1150" i="26"/>
  <c r="AY1150" i="26"/>
  <c r="AR1150" i="26"/>
  <c r="F1150" i="26"/>
  <c r="C1150" i="26"/>
  <c r="BO1150" i="26"/>
  <c r="AX1150" i="26"/>
  <c r="T1150" i="26"/>
  <c r="AT1150" i="26"/>
  <c r="O1150" i="26"/>
  <c r="H1150" i="26"/>
  <c r="AU1150" i="26"/>
  <c r="AF1150" i="26"/>
  <c r="BV1150" i="26"/>
  <c r="BK1150" i="26"/>
  <c r="AS1150" i="26"/>
  <c r="S1150" i="26"/>
  <c r="AO1150" i="26"/>
  <c r="BE1150" i="26"/>
  <c r="BJ1150" i="26"/>
  <c r="K1150" i="26"/>
  <c r="M1150" i="26" s="1"/>
  <c r="N1150" i="26" s="1"/>
  <c r="AW1150" i="26"/>
  <c r="P1150" i="26"/>
  <c r="AV1150" i="26"/>
  <c r="BN1150" i="26"/>
  <c r="BI1150" i="26"/>
  <c r="BM1150" i="26"/>
  <c r="AK1150" i="26"/>
  <c r="BQ1150" i="26"/>
  <c r="AJ1150" i="26"/>
  <c r="BR1150" i="26"/>
  <c r="X1150" i="26"/>
  <c r="E1435" i="55"/>
  <c r="BV632" i="26" l="1"/>
  <c r="BE629" i="26"/>
  <c r="O1435" i="55"/>
  <c r="E1151" i="26"/>
  <c r="Z1435" i="55"/>
  <c r="Q1435" i="55"/>
  <c r="AI1435" i="55"/>
  <c r="K1435" i="55"/>
  <c r="P1435" i="55"/>
  <c r="AF1435" i="55"/>
  <c r="AG1435" i="55"/>
  <c r="AL1435" i="55"/>
  <c r="AK1435" i="55"/>
  <c r="AD1435" i="55"/>
  <c r="AO1435" i="55"/>
  <c r="AB1435" i="55"/>
  <c r="S1435" i="55"/>
  <c r="V1435" i="55"/>
  <c r="H1435" i="55"/>
  <c r="AH1435" i="55"/>
  <c r="W1435" i="55"/>
  <c r="D1435" i="55"/>
  <c r="L1435" i="55"/>
  <c r="AM1435" i="55"/>
  <c r="U1435" i="55"/>
  <c r="AC1435" i="55"/>
  <c r="AQ1435" i="55"/>
  <c r="A1435" i="55"/>
  <c r="I1435" i="55"/>
  <c r="C1435" i="55"/>
  <c r="N1435" i="55"/>
  <c r="M1435" i="55"/>
  <c r="AN1435" i="55"/>
  <c r="AT1435" i="55"/>
  <c r="X1435" i="55"/>
  <c r="G1435" i="55"/>
  <c r="B1435" i="55"/>
  <c r="BF1151" i="26" l="1"/>
  <c r="BC1151" i="26"/>
  <c r="BD1151" i="26"/>
  <c r="BU1151" i="26"/>
  <c r="V1151" i="26"/>
  <c r="BV631" i="26"/>
  <c r="BE628" i="26"/>
  <c r="AK1151" i="26"/>
  <c r="B1151" i="26"/>
  <c r="AX1151" i="26"/>
  <c r="C1151" i="26"/>
  <c r="BW1151" i="26"/>
  <c r="BA1151" i="26"/>
  <c r="H1151" i="26"/>
  <c r="R1151" i="26"/>
  <c r="BL1151" i="26"/>
  <c r="BN1151" i="26"/>
  <c r="AW1151" i="26"/>
  <c r="BI1151" i="26"/>
  <c r="A1151" i="26"/>
  <c r="AM1151" i="26"/>
  <c r="BT1151" i="26"/>
  <c r="AJ1151" i="26"/>
  <c r="AF1151" i="26"/>
  <c r="BP1151" i="26"/>
  <c r="BV1151" i="26"/>
  <c r="L1151" i="26"/>
  <c r="X1151" i="26"/>
  <c r="AS1151" i="26"/>
  <c r="BK1151" i="26"/>
  <c r="BE1151" i="26"/>
  <c r="U1151" i="26"/>
  <c r="O1151" i="26"/>
  <c r="AT1151" i="26"/>
  <c r="BG1151" i="26"/>
  <c r="P1151" i="26"/>
  <c r="AU1151" i="26"/>
  <c r="D1151" i="26"/>
  <c r="S1151" i="26"/>
  <c r="F1151" i="26"/>
  <c r="BO1151" i="26"/>
  <c r="I1151" i="26"/>
  <c r="K1151" i="26"/>
  <c r="M1151" i="26" s="1"/>
  <c r="N1151" i="26" s="1"/>
  <c r="BJ1151" i="26"/>
  <c r="AY1151" i="26"/>
  <c r="AO1151" i="26"/>
  <c r="W1151" i="26"/>
  <c r="AP1151" i="26"/>
  <c r="T1151" i="26"/>
  <c r="BQ1151" i="26"/>
  <c r="BR1151" i="26"/>
  <c r="AV1151" i="55"/>
  <c r="BX1151" i="26"/>
  <c r="Q1151" i="26"/>
  <c r="G1151" i="26"/>
  <c r="BM1151" i="26"/>
  <c r="AV1151" i="26"/>
  <c r="AR1151" i="26"/>
  <c r="E1436" i="55"/>
  <c r="BE627" i="26" l="1"/>
  <c r="BV630" i="26"/>
  <c r="O1436" i="55"/>
  <c r="E1152" i="26"/>
  <c r="AK1436" i="55"/>
  <c r="AI1436" i="55"/>
  <c r="Q1436" i="55"/>
  <c r="P1436" i="55"/>
  <c r="K1436" i="55"/>
  <c r="AF1436" i="55"/>
  <c r="Z1436" i="55"/>
  <c r="AG1436" i="55"/>
  <c r="AD1436" i="55"/>
  <c r="AO1436" i="55"/>
  <c r="AL1436" i="55"/>
  <c r="D1436" i="55"/>
  <c r="AT1436" i="55"/>
  <c r="U1436" i="55"/>
  <c r="AN1436" i="55"/>
  <c r="N1436" i="55"/>
  <c r="V1436" i="55"/>
  <c r="C1436" i="55"/>
  <c r="M1436" i="55"/>
  <c r="AH1436" i="55"/>
  <c r="G1436" i="55"/>
  <c r="A1436" i="55"/>
  <c r="AC1436" i="55"/>
  <c r="W1436" i="55"/>
  <c r="H1436" i="55"/>
  <c r="AM1436" i="55"/>
  <c r="B1436" i="55"/>
  <c r="I1436" i="55"/>
  <c r="AB1436" i="55"/>
  <c r="S1436" i="55"/>
  <c r="L1436" i="55"/>
  <c r="X1436" i="55"/>
  <c r="AQ1436" i="55"/>
  <c r="BF1152" i="26" l="1"/>
  <c r="BC1152" i="26"/>
  <c r="BD1152" i="26"/>
  <c r="BU1152" i="26"/>
  <c r="V1152" i="26"/>
  <c r="BV629" i="26"/>
  <c r="BE626" i="26"/>
  <c r="X1152" i="26"/>
  <c r="AY1152" i="26"/>
  <c r="BR1152" i="26"/>
  <c r="AP1152" i="26"/>
  <c r="T1152" i="26"/>
  <c r="BG1152" i="26"/>
  <c r="BJ1152" i="26"/>
  <c r="AV1152" i="55"/>
  <c r="W1152" i="26"/>
  <c r="P1152" i="26"/>
  <c r="BV1152" i="26"/>
  <c r="Q1152" i="26"/>
  <c r="U1152" i="26"/>
  <c r="I1152" i="26"/>
  <c r="BX1152" i="26"/>
  <c r="B1152" i="26"/>
  <c r="G1152" i="26"/>
  <c r="BN1152" i="26"/>
  <c r="L1152" i="26"/>
  <c r="AV1152" i="26"/>
  <c r="BK1152" i="26"/>
  <c r="H1152" i="26"/>
  <c r="BL1152" i="26"/>
  <c r="AU1152" i="26"/>
  <c r="S1152" i="26"/>
  <c r="BW1152" i="26"/>
  <c r="C1152" i="26"/>
  <c r="D1152" i="26"/>
  <c r="AR1152" i="26"/>
  <c r="K1152" i="26"/>
  <c r="M1152" i="26" s="1"/>
  <c r="N1152" i="26" s="1"/>
  <c r="BI1152" i="26"/>
  <c r="AF1152" i="26"/>
  <c r="AT1152" i="26"/>
  <c r="A1152" i="26"/>
  <c r="BP1152" i="26"/>
  <c r="BT1152" i="26"/>
  <c r="AJ1152" i="26"/>
  <c r="AO1152" i="26"/>
  <c r="BO1152" i="26"/>
  <c r="AM1152" i="26"/>
  <c r="R1152" i="26"/>
  <c r="O1152" i="26"/>
  <c r="AK1152" i="26"/>
  <c r="AW1152" i="26"/>
  <c r="BQ1152" i="26"/>
  <c r="F1152" i="26"/>
  <c r="BA1152" i="26"/>
  <c r="BE1152" i="26"/>
  <c r="BM1152" i="26"/>
  <c r="AS1152" i="26"/>
  <c r="AX1152" i="26"/>
  <c r="E1437" i="55"/>
  <c r="BE625" i="26" l="1"/>
  <c r="BV628" i="26"/>
  <c r="E1153" i="26"/>
  <c r="AG1437" i="55"/>
  <c r="O1437" i="55"/>
  <c r="Z1437" i="55"/>
  <c r="Q1437" i="55"/>
  <c r="AI1437" i="55"/>
  <c r="P1437" i="55"/>
  <c r="K1437" i="55"/>
  <c r="AD1437" i="55"/>
  <c r="AF1437" i="55"/>
  <c r="AK1437" i="55"/>
  <c r="AL1437" i="55"/>
  <c r="AO1437" i="55"/>
  <c r="G1437" i="55"/>
  <c r="AN1437" i="55"/>
  <c r="AH1437" i="55"/>
  <c r="B1437" i="55"/>
  <c r="L1437" i="55"/>
  <c r="S1437" i="55"/>
  <c r="AT1437" i="55"/>
  <c r="V1437" i="55"/>
  <c r="D1437" i="55"/>
  <c r="C1437" i="55"/>
  <c r="U1437" i="55"/>
  <c r="AM1437" i="55"/>
  <c r="H1437" i="55"/>
  <c r="N1437" i="55"/>
  <c r="AB1437" i="55"/>
  <c r="A1437" i="55"/>
  <c r="X1437" i="55"/>
  <c r="M1437" i="55"/>
  <c r="AC1437" i="55"/>
  <c r="W1437" i="55"/>
  <c r="I1437" i="55"/>
  <c r="AQ1437" i="55"/>
  <c r="V1153" i="26" l="1"/>
  <c r="BC1153" i="26"/>
  <c r="AV1153" i="55" s="1"/>
  <c r="BD1153" i="26"/>
  <c r="BV627" i="26"/>
  <c r="BE624" i="26"/>
  <c r="AR1153" i="26"/>
  <c r="AP1153" i="26"/>
  <c r="BQ1153" i="26"/>
  <c r="BR1153" i="26"/>
  <c r="U1153" i="26"/>
  <c r="AX1153" i="26"/>
  <c r="AF1153" i="26"/>
  <c r="S1153" i="26"/>
  <c r="O1153" i="26"/>
  <c r="M1153" i="26"/>
  <c r="AU1153" i="26"/>
  <c r="I1153" i="26"/>
  <c r="D1153" i="26"/>
  <c r="C1153" i="26"/>
  <c r="BL1153" i="26"/>
  <c r="AO1153" i="26"/>
  <c r="P1153" i="26"/>
  <c r="BN1153" i="26"/>
  <c r="W1153" i="26"/>
  <c r="AV1153" i="26"/>
  <c r="AT1153" i="26"/>
  <c r="BA1153" i="26"/>
  <c r="AW1153" i="26"/>
  <c r="R1153" i="26"/>
  <c r="X1153" i="26"/>
  <c r="AJ1153" i="26"/>
  <c r="AM1153" i="26"/>
  <c r="BM1153" i="26"/>
  <c r="Q1153" i="26"/>
  <c r="H1153" i="26"/>
  <c r="N1153" i="26"/>
  <c r="K1153" i="26"/>
  <c r="T1153" i="26"/>
  <c r="BI1153" i="26"/>
  <c r="AY1153" i="26"/>
  <c r="AK1153" i="26"/>
  <c r="BO1153" i="26"/>
  <c r="BJ1153" i="26"/>
  <c r="AS1153" i="26"/>
  <c r="B1153" i="26"/>
  <c r="BP1153" i="26"/>
  <c r="BK1153" i="26"/>
  <c r="A1153" i="26"/>
  <c r="G1153" i="26"/>
  <c r="L1153" i="26"/>
  <c r="E1438" i="55"/>
  <c r="BE623" i="26" l="1"/>
  <c r="BV626" i="26"/>
  <c r="E1154" i="26"/>
  <c r="O1438" i="55"/>
  <c r="AF1438" i="55"/>
  <c r="AL1438" i="55"/>
  <c r="AK1438" i="55"/>
  <c r="AI1438" i="55"/>
  <c r="P1438" i="55"/>
  <c r="Q1438" i="55"/>
  <c r="K1438" i="55"/>
  <c r="Z1438" i="55"/>
  <c r="AG1438" i="55"/>
  <c r="AO1438" i="55"/>
  <c r="AD1438" i="55"/>
  <c r="AT1438" i="55"/>
  <c r="C1438" i="55"/>
  <c r="AH1438" i="55"/>
  <c r="A1438" i="55"/>
  <c r="H1438" i="55"/>
  <c r="AB1438" i="55"/>
  <c r="V1438" i="55"/>
  <c r="S1438" i="55"/>
  <c r="AC1438" i="55"/>
  <c r="AN1438" i="55"/>
  <c r="G1438" i="55"/>
  <c r="AQ1438" i="55"/>
  <c r="L1438" i="55"/>
  <c r="AM1438" i="55"/>
  <c r="X1438" i="55"/>
  <c r="B1438" i="55"/>
  <c r="D1438" i="55"/>
  <c r="W1438" i="55"/>
  <c r="M1438" i="55"/>
  <c r="U1438" i="55"/>
  <c r="I1438" i="55"/>
  <c r="N1438" i="55"/>
  <c r="BC1154" i="26" l="1"/>
  <c r="BD1154" i="26"/>
  <c r="V1154" i="26"/>
  <c r="BV625" i="26"/>
  <c r="BE622" i="26"/>
  <c r="L1154" i="26"/>
  <c r="BJ1154" i="26"/>
  <c r="BI1154" i="26"/>
  <c r="BQ1154" i="26"/>
  <c r="AF1154" i="26"/>
  <c r="BK1154" i="26"/>
  <c r="BL1154" i="26"/>
  <c r="AS1154" i="26"/>
  <c r="AR1154" i="26"/>
  <c r="K1154" i="26"/>
  <c r="D1154" i="26"/>
  <c r="S1154" i="26"/>
  <c r="A1154" i="26"/>
  <c r="B1154" i="26"/>
  <c r="AK1154" i="26"/>
  <c r="AO1154" i="26"/>
  <c r="T1154" i="26"/>
  <c r="AT1154" i="26"/>
  <c r="M1154" i="26"/>
  <c r="BO1154" i="26"/>
  <c r="R1154" i="26"/>
  <c r="BN1154" i="26"/>
  <c r="AV1154" i="55"/>
  <c r="G1154" i="26"/>
  <c r="BR1154" i="26"/>
  <c r="AP1154" i="26"/>
  <c r="BA1154" i="26"/>
  <c r="AV1154" i="26"/>
  <c r="W1154" i="26"/>
  <c r="AJ1154" i="26"/>
  <c r="AW1154" i="26"/>
  <c r="O1154" i="26"/>
  <c r="AM1154" i="26"/>
  <c r="X1154" i="26"/>
  <c r="AU1154" i="26"/>
  <c r="BM1154" i="26"/>
  <c r="U1154" i="26"/>
  <c r="AX1154" i="26"/>
  <c r="I1154" i="26"/>
  <c r="H1154" i="26"/>
  <c r="C1154" i="26"/>
  <c r="Q1154" i="26"/>
  <c r="N1154" i="26"/>
  <c r="BP1154" i="26"/>
  <c r="P1154" i="26"/>
  <c r="AY1154" i="26"/>
  <c r="E1439" i="55"/>
  <c r="BE621" i="26" l="1"/>
  <c r="BV624" i="26"/>
  <c r="O1439" i="55"/>
  <c r="E1155" i="26"/>
  <c r="AL1439" i="55"/>
  <c r="AI1439" i="55"/>
  <c r="Q1439" i="55"/>
  <c r="P1439" i="55"/>
  <c r="K1439" i="55"/>
  <c r="Z1439" i="55"/>
  <c r="AK1439" i="55"/>
  <c r="AO1439" i="55"/>
  <c r="AG1439" i="55"/>
  <c r="AD1439" i="55"/>
  <c r="AF1439" i="55"/>
  <c r="AM1439" i="55"/>
  <c r="AC1439" i="55"/>
  <c r="B1439" i="55"/>
  <c r="I1439" i="55"/>
  <c r="AQ1439" i="55"/>
  <c r="W1439" i="55"/>
  <c r="AT1439" i="55"/>
  <c r="G1439" i="55"/>
  <c r="H1439" i="55"/>
  <c r="C1439" i="55"/>
  <c r="AH1439" i="55"/>
  <c r="AB1439" i="55"/>
  <c r="L1439" i="55"/>
  <c r="M1439" i="55"/>
  <c r="AN1439" i="55"/>
  <c r="X1439" i="55"/>
  <c r="A1439" i="55"/>
  <c r="V1439" i="55"/>
  <c r="N1439" i="55"/>
  <c r="D1439" i="55"/>
  <c r="U1439" i="55"/>
  <c r="S1439" i="55"/>
  <c r="BC1155" i="26" l="1"/>
  <c r="BD1155" i="26"/>
  <c r="V1155" i="26"/>
  <c r="BV623" i="26"/>
  <c r="BE620" i="26"/>
  <c r="BR1155" i="26"/>
  <c r="I1155" i="26"/>
  <c r="AV1155" i="26"/>
  <c r="BL1155" i="26"/>
  <c r="R1155" i="26"/>
  <c r="AM1155" i="26"/>
  <c r="W1155" i="26"/>
  <c r="AS1155" i="26"/>
  <c r="AY1155" i="26"/>
  <c r="AO1155" i="26"/>
  <c r="BQ1155" i="26"/>
  <c r="BA1155" i="26"/>
  <c r="X1155" i="26"/>
  <c r="BN1155" i="26"/>
  <c r="N1155" i="26"/>
  <c r="AX1155" i="26"/>
  <c r="AJ1155" i="26"/>
  <c r="K1155" i="26"/>
  <c r="B1155" i="26"/>
  <c r="BM1155" i="26"/>
  <c r="AT1155" i="26"/>
  <c r="P1155" i="26"/>
  <c r="AR1155" i="26"/>
  <c r="AP1155" i="26"/>
  <c r="BI1155" i="26"/>
  <c r="M1155" i="26"/>
  <c r="H1155" i="26"/>
  <c r="BJ1155" i="26"/>
  <c r="AU1155" i="26"/>
  <c r="AV1155" i="55"/>
  <c r="BK1155" i="26"/>
  <c r="AW1155" i="26"/>
  <c r="BP1155" i="26"/>
  <c r="U1155" i="26"/>
  <c r="A1155" i="26"/>
  <c r="G1155" i="26"/>
  <c r="S1155" i="26"/>
  <c r="T1155" i="26"/>
  <c r="Q1155" i="26"/>
  <c r="BO1155" i="26"/>
  <c r="O1155" i="26"/>
  <c r="L1155" i="26"/>
  <c r="AK1155" i="26"/>
  <c r="AF1155" i="26"/>
  <c r="C1155" i="26"/>
  <c r="D1155" i="26"/>
  <c r="E1440" i="55"/>
  <c r="BE619" i="26" l="1"/>
  <c r="BV622" i="26"/>
  <c r="E1156" i="26"/>
  <c r="O1440" i="55"/>
  <c r="C1156" i="26"/>
  <c r="AF1156" i="26"/>
  <c r="AU1156" i="26"/>
  <c r="M1156" i="26"/>
  <c r="AF1440" i="55"/>
  <c r="AI1440" i="55"/>
  <c r="Q1440" i="55"/>
  <c r="P1440" i="55"/>
  <c r="K1440" i="55"/>
  <c r="AL1440" i="55"/>
  <c r="AG1440" i="55"/>
  <c r="AD1440" i="55"/>
  <c r="AO1440" i="55"/>
  <c r="Z1440" i="55"/>
  <c r="AK1440" i="55"/>
  <c r="H1440" i="55"/>
  <c r="I1440" i="55"/>
  <c r="AN1440" i="55"/>
  <c r="G1440" i="55"/>
  <c r="C1440" i="55"/>
  <c r="X1440" i="55"/>
  <c r="V1440" i="55"/>
  <c r="AB1440" i="55"/>
  <c r="M1440" i="55"/>
  <c r="AH1440" i="55"/>
  <c r="AQ1440" i="55"/>
  <c r="B1440" i="55"/>
  <c r="AM1440" i="55"/>
  <c r="A1440" i="55"/>
  <c r="N1440" i="55"/>
  <c r="AT1440" i="55"/>
  <c r="AC1440" i="55"/>
  <c r="U1440" i="55"/>
  <c r="D1440" i="55"/>
  <c r="L1440" i="55"/>
  <c r="W1440" i="55"/>
  <c r="S1440" i="55"/>
  <c r="BC1156" i="26" l="1"/>
  <c r="H1156" i="26"/>
  <c r="S1156" i="26"/>
  <c r="AW1156" i="26"/>
  <c r="BD1156" i="26"/>
  <c r="V1156" i="26"/>
  <c r="X1156" i="26"/>
  <c r="BA1156" i="26"/>
  <c r="P1156" i="26"/>
  <c r="R1156" i="26"/>
  <c r="BK1156" i="26"/>
  <c r="AT1156" i="26"/>
  <c r="AR1156" i="26"/>
  <c r="T1156" i="26"/>
  <c r="L1156" i="26"/>
  <c r="AK1156" i="26"/>
  <c r="BJ1156" i="26"/>
  <c r="BQ1156" i="26"/>
  <c r="BO1156" i="26"/>
  <c r="Q1156" i="26"/>
  <c r="AV1156" i="26"/>
  <c r="A1156" i="26"/>
  <c r="K1156" i="26"/>
  <c r="BL1156" i="26"/>
  <c r="AP1156" i="26"/>
  <c r="AS1156" i="26"/>
  <c r="AO1156" i="26"/>
  <c r="U1156" i="26"/>
  <c r="AY1156" i="26"/>
  <c r="AV1156" i="55"/>
  <c r="O1156" i="26"/>
  <c r="AX1156" i="26"/>
  <c r="B1156" i="26"/>
  <c r="BP1156" i="26"/>
  <c r="BI1156" i="26"/>
  <c r="AM1156" i="26"/>
  <c r="N1156" i="26"/>
  <c r="G1156" i="26"/>
  <c r="BM1156" i="26"/>
  <c r="W1156" i="26"/>
  <c r="D1156" i="26"/>
  <c r="I1156" i="26"/>
  <c r="BR1156" i="26"/>
  <c r="AJ1156" i="26"/>
  <c r="BV621" i="26"/>
  <c r="BE618" i="26"/>
  <c r="BN1156" i="26"/>
  <c r="E1441" i="55"/>
  <c r="E1157" i="26" l="1"/>
  <c r="BE617" i="26"/>
  <c r="BV620" i="26"/>
  <c r="O1441" i="55"/>
  <c r="AG1441" i="55"/>
  <c r="AI1441" i="55"/>
  <c r="Q1441" i="55"/>
  <c r="P1441" i="55"/>
  <c r="K1441" i="55"/>
  <c r="AK1441" i="55"/>
  <c r="AD1441" i="55"/>
  <c r="AL1441" i="55"/>
  <c r="AF1441" i="55"/>
  <c r="AO1441" i="55"/>
  <c r="Z1441" i="55"/>
  <c r="W1441" i="55"/>
  <c r="AQ1441" i="55"/>
  <c r="A1441" i="55"/>
  <c r="X1441" i="55"/>
  <c r="AM1441" i="55"/>
  <c r="AB1441" i="55"/>
  <c r="D1441" i="55"/>
  <c r="I1441" i="55"/>
  <c r="M1441" i="55"/>
  <c r="AH1441" i="55"/>
  <c r="H1441" i="55"/>
  <c r="AN1441" i="55"/>
  <c r="AT1441" i="55"/>
  <c r="V1441" i="55"/>
  <c r="AC1441" i="55"/>
  <c r="G1441" i="55"/>
  <c r="L1441" i="55"/>
  <c r="N1441" i="55"/>
  <c r="S1441" i="55"/>
  <c r="C1441" i="55"/>
  <c r="B1441" i="55"/>
  <c r="U1441" i="55"/>
  <c r="V1157" i="26" l="1"/>
  <c r="BC1157" i="26"/>
  <c r="BD1157" i="26"/>
  <c r="BR1157" i="26"/>
  <c r="M1157" i="26"/>
  <c r="X1157" i="26"/>
  <c r="B1157" i="26"/>
  <c r="BL1157" i="26"/>
  <c r="BM1157" i="26"/>
  <c r="AY1157" i="26"/>
  <c r="L1157" i="26"/>
  <c r="AK1157" i="26"/>
  <c r="BA1157" i="26"/>
  <c r="AW1157" i="26"/>
  <c r="S1157" i="26"/>
  <c r="BQ1157" i="26"/>
  <c r="AV1157" i="26"/>
  <c r="AR1157" i="26"/>
  <c r="AX1157" i="26"/>
  <c r="BK1157" i="26"/>
  <c r="AJ1157" i="26"/>
  <c r="AS1157" i="26"/>
  <c r="BI1157" i="26"/>
  <c r="T1157" i="26"/>
  <c r="AM1157" i="26"/>
  <c r="H1157" i="26"/>
  <c r="A1157" i="26"/>
  <c r="P1157" i="26"/>
  <c r="I1157" i="26"/>
  <c r="W1157" i="26"/>
  <c r="C1157" i="26"/>
  <c r="BJ1157" i="26"/>
  <c r="D1157" i="26"/>
  <c r="AU1157" i="26"/>
  <c r="R1157" i="26"/>
  <c r="K1157" i="26"/>
  <c r="BO1157" i="26"/>
  <c r="G1157" i="26"/>
  <c r="AT1157" i="26"/>
  <c r="U1157" i="26"/>
  <c r="O1157" i="26"/>
  <c r="Q1157" i="26"/>
  <c r="AP1157" i="26"/>
  <c r="AO1157" i="26"/>
  <c r="AF1157" i="26"/>
  <c r="BP1157" i="26"/>
  <c r="N1157" i="26"/>
  <c r="BN1157" i="26"/>
  <c r="AV1157" i="55"/>
  <c r="BV619" i="26"/>
  <c r="BE616" i="26"/>
  <c r="E1442" i="55"/>
  <c r="E1158" i="26" l="1"/>
  <c r="AK1158" i="26" s="1"/>
  <c r="BD1158" i="26"/>
  <c r="V1158" i="26"/>
  <c r="BJ1158" i="26"/>
  <c r="W1158" i="26"/>
  <c r="P1158" i="26"/>
  <c r="AW1158" i="26"/>
  <c r="L1158" i="26"/>
  <c r="N1158" i="26"/>
  <c r="BR1158" i="26"/>
  <c r="I1158" i="26"/>
  <c r="BO1158" i="26"/>
  <c r="H1158" i="26"/>
  <c r="AT1158" i="26"/>
  <c r="AR1158" i="26"/>
  <c r="AV1158" i="26"/>
  <c r="U1158" i="26"/>
  <c r="BM1158" i="26"/>
  <c r="AY1158" i="26"/>
  <c r="AU1158" i="26"/>
  <c r="BK1158" i="26"/>
  <c r="O1158" i="26"/>
  <c r="AF1158" i="26"/>
  <c r="BA1158" i="26"/>
  <c r="Q1158" i="26"/>
  <c r="BN1158" i="26"/>
  <c r="D1158" i="26"/>
  <c r="BL1158" i="26"/>
  <c r="AX1158" i="26"/>
  <c r="BI1158" i="26"/>
  <c r="AJ1158" i="26"/>
  <c r="K1158" i="26"/>
  <c r="T1158" i="26"/>
  <c r="AM1158" i="26"/>
  <c r="AP1158" i="26"/>
  <c r="BQ1158" i="26"/>
  <c r="X1158" i="26"/>
  <c r="G1158" i="26"/>
  <c r="S1158" i="26"/>
  <c r="AO1158" i="26"/>
  <c r="BP1158" i="26"/>
  <c r="M1158" i="26"/>
  <c r="AS1158" i="26"/>
  <c r="A1158" i="26"/>
  <c r="B1158" i="26"/>
  <c r="C1158" i="26"/>
  <c r="BE615" i="26"/>
  <c r="BV618" i="26"/>
  <c r="O1442" i="55"/>
  <c r="AI1442" i="55"/>
  <c r="Q1442" i="55"/>
  <c r="P1442" i="55"/>
  <c r="K1442" i="55"/>
  <c r="AO1442" i="55"/>
  <c r="AG1442" i="55"/>
  <c r="Z1442" i="55"/>
  <c r="AD1442" i="55"/>
  <c r="AL1442" i="55"/>
  <c r="AF1442" i="55"/>
  <c r="AK1442" i="55"/>
  <c r="C1442" i="55"/>
  <c r="AM1442" i="55"/>
  <c r="X1442" i="55"/>
  <c r="H1442" i="55"/>
  <c r="I1442" i="55"/>
  <c r="AH1442" i="55"/>
  <c r="AB1442" i="55"/>
  <c r="AT1442" i="55"/>
  <c r="AN1442" i="55"/>
  <c r="AQ1442" i="55"/>
  <c r="S1442" i="55"/>
  <c r="AC1442" i="55"/>
  <c r="B1442" i="55"/>
  <c r="A1442" i="55"/>
  <c r="D1442" i="55"/>
  <c r="G1442" i="55"/>
  <c r="N1442" i="55"/>
  <c r="M1442" i="55"/>
  <c r="U1442" i="55"/>
  <c r="L1442" i="55"/>
  <c r="W1442" i="55"/>
  <c r="V1442" i="55"/>
  <c r="R1158" i="26" l="1"/>
  <c r="BC1158" i="26"/>
  <c r="AV1158" i="55" s="1"/>
  <c r="E1159" i="26"/>
  <c r="H1159" i="26"/>
  <c r="I1159" i="26"/>
  <c r="AO1159" i="26"/>
  <c r="U1159" i="26"/>
  <c r="AR1159" i="26"/>
  <c r="AW1159" i="26"/>
  <c r="BL1159" i="26"/>
  <c r="R1159" i="26"/>
  <c r="AT1159" i="26"/>
  <c r="BI1159" i="26"/>
  <c r="BK1159" i="26"/>
  <c r="X1159" i="26"/>
  <c r="BQ1159" i="26"/>
  <c r="BO1159" i="26"/>
  <c r="AS1159" i="26"/>
  <c r="AP1159" i="26"/>
  <c r="AY1159" i="26"/>
  <c r="BV617" i="26"/>
  <c r="BE614" i="26"/>
  <c r="E1443" i="55"/>
  <c r="V1159" i="26" l="1"/>
  <c r="BC1159" i="26"/>
  <c r="AV1159" i="55" s="1"/>
  <c r="AF1159" i="26"/>
  <c r="BP1159" i="26"/>
  <c r="K1159" i="26"/>
  <c r="AJ1159" i="26"/>
  <c r="Q1159" i="26"/>
  <c r="W1159" i="26"/>
  <c r="BD1159" i="26"/>
  <c r="N1159" i="26"/>
  <c r="AM1159" i="26"/>
  <c r="S1159" i="26"/>
  <c r="B1159" i="26"/>
  <c r="D1159" i="26"/>
  <c r="BM1159" i="26"/>
  <c r="O1159" i="26"/>
  <c r="BR1159" i="26"/>
  <c r="AK1159" i="26"/>
  <c r="BJ1159" i="26"/>
  <c r="C1159" i="26"/>
  <c r="AU1159" i="26"/>
  <c r="A1159" i="26"/>
  <c r="P1159" i="26"/>
  <c r="AV1159" i="26"/>
  <c r="AX1159" i="26"/>
  <c r="BA1159" i="26"/>
  <c r="G1159" i="26"/>
  <c r="L1159" i="26"/>
  <c r="BN1159" i="26"/>
  <c r="T1159" i="26"/>
  <c r="M1159" i="26"/>
  <c r="BE613" i="26"/>
  <c r="BV616" i="26"/>
  <c r="AK1443" i="55"/>
  <c r="O1443" i="55"/>
  <c r="Z1443" i="55"/>
  <c r="AI1443" i="55"/>
  <c r="Q1443" i="55"/>
  <c r="K1443" i="55"/>
  <c r="P1443" i="55"/>
  <c r="AF1443" i="55"/>
  <c r="AL1443" i="55"/>
  <c r="AD1443" i="55"/>
  <c r="AG1443" i="55"/>
  <c r="AO1443" i="55"/>
  <c r="X1443" i="55"/>
  <c r="C1443" i="55"/>
  <c r="AM1443" i="55"/>
  <c r="AQ1443" i="55"/>
  <c r="AT1443" i="55"/>
  <c r="H1443" i="55"/>
  <c r="A1443" i="55"/>
  <c r="L1443" i="55"/>
  <c r="U1443" i="55"/>
  <c r="M1443" i="55"/>
  <c r="B1443" i="55"/>
  <c r="AC1443" i="55"/>
  <c r="AB1443" i="55"/>
  <c r="D1443" i="55"/>
  <c r="G1443" i="55"/>
  <c r="AH1443" i="55"/>
  <c r="AN1443" i="55"/>
  <c r="I1443" i="55"/>
  <c r="N1443" i="55"/>
  <c r="V1443" i="55"/>
  <c r="S1443" i="55"/>
  <c r="W1443" i="55"/>
  <c r="E1160" i="26" l="1"/>
  <c r="I1160" i="26" s="1"/>
  <c r="BD1160" i="26"/>
  <c r="AV1160" i="26"/>
  <c r="A1160" i="26"/>
  <c r="BV615" i="26"/>
  <c r="BE612" i="26"/>
  <c r="E1444" i="55"/>
  <c r="V1160" i="26" l="1"/>
  <c r="BC1160" i="26"/>
  <c r="AV1160" i="55" s="1"/>
  <c r="BR1160" i="26"/>
  <c r="AO1160" i="26"/>
  <c r="BI1160" i="26"/>
  <c r="G1160" i="26"/>
  <c r="BA1160" i="26"/>
  <c r="BP1160" i="26"/>
  <c r="BO1160" i="26"/>
  <c r="X1160" i="26"/>
  <c r="U1160" i="26"/>
  <c r="H1160" i="26"/>
  <c r="T1160" i="26"/>
  <c r="AJ1160" i="26"/>
  <c r="L1160" i="26"/>
  <c r="AY1160" i="26"/>
  <c r="R1160" i="26"/>
  <c r="AT1160" i="26"/>
  <c r="B1160" i="26"/>
  <c r="BQ1160" i="26"/>
  <c r="P1160" i="26"/>
  <c r="AU1160" i="26"/>
  <c r="Q1160" i="26"/>
  <c r="M1160" i="26"/>
  <c r="O1160" i="26"/>
  <c r="AM1160" i="26"/>
  <c r="AS1160" i="26"/>
  <c r="BM1160" i="26"/>
  <c r="AR1160" i="26"/>
  <c r="AF1160" i="26"/>
  <c r="AP1160" i="26"/>
  <c r="W1160" i="26"/>
  <c r="BN1160" i="26"/>
  <c r="BJ1160" i="26"/>
  <c r="C1160" i="26"/>
  <c r="S1160" i="26"/>
  <c r="AX1160" i="26"/>
  <c r="N1160" i="26"/>
  <c r="AK1160" i="26"/>
  <c r="BK1160" i="26"/>
  <c r="K1160" i="26"/>
  <c r="BL1160" i="26"/>
  <c r="AW1160" i="26"/>
  <c r="D1160" i="26"/>
  <c r="E1161" i="26" s="1"/>
  <c r="BV614" i="26"/>
  <c r="BE611" i="26"/>
  <c r="O1444" i="55"/>
  <c r="Z1444" i="55"/>
  <c r="AG1444" i="55"/>
  <c r="AI1444" i="55"/>
  <c r="Q1444" i="55"/>
  <c r="P1444" i="55"/>
  <c r="K1444" i="55"/>
  <c r="AF1444" i="55"/>
  <c r="AK1444" i="55"/>
  <c r="AL1444" i="55"/>
  <c r="AD1444" i="55"/>
  <c r="AO1444" i="55"/>
  <c r="B1444" i="55"/>
  <c r="S1444" i="55"/>
  <c r="AB1444" i="55"/>
  <c r="W1444" i="55"/>
  <c r="I1444" i="55"/>
  <c r="AH1444" i="55"/>
  <c r="H1444" i="55"/>
  <c r="AQ1444" i="55"/>
  <c r="D1444" i="55"/>
  <c r="N1444" i="55"/>
  <c r="L1444" i="55"/>
  <c r="AM1444" i="55"/>
  <c r="AT1444" i="55"/>
  <c r="C1444" i="55"/>
  <c r="AN1444" i="55"/>
  <c r="M1444" i="55"/>
  <c r="X1444" i="55"/>
  <c r="A1444" i="55"/>
  <c r="AC1444" i="55"/>
  <c r="U1444" i="55"/>
  <c r="G1444" i="55"/>
  <c r="V1444" i="55"/>
  <c r="V1161" i="26" l="1"/>
  <c r="BC1161" i="26"/>
  <c r="AV1161" i="55" s="1"/>
  <c r="AU1161" i="26"/>
  <c r="B1161" i="26"/>
  <c r="P1161" i="26"/>
  <c r="AF1161" i="26"/>
  <c r="BI1161" i="26"/>
  <c r="AO1161" i="26"/>
  <c r="S1161" i="26"/>
  <c r="AT1161" i="26"/>
  <c r="R1161" i="26"/>
  <c r="AY1161" i="26"/>
  <c r="H1161" i="26"/>
  <c r="BJ1161" i="26"/>
  <c r="D1161" i="26"/>
  <c r="A1161" i="26"/>
  <c r="AK1161" i="26"/>
  <c r="U1161" i="26"/>
  <c r="AW1161" i="26"/>
  <c r="M1161" i="26"/>
  <c r="AM1161" i="26"/>
  <c r="AP1161" i="26"/>
  <c r="G1161" i="26"/>
  <c r="K1161" i="26"/>
  <c r="BL1161" i="26"/>
  <c r="BK1161" i="26"/>
  <c r="W1161" i="26"/>
  <c r="AS1161" i="26"/>
  <c r="Q1161" i="26"/>
  <c r="O1161" i="26"/>
  <c r="N1161" i="26"/>
  <c r="BP1161" i="26"/>
  <c r="AV1161" i="26"/>
  <c r="BN1161" i="26"/>
  <c r="BM1161" i="26"/>
  <c r="BO1161" i="26"/>
  <c r="BQ1161" i="26"/>
  <c r="AR1161" i="26"/>
  <c r="AX1161" i="26"/>
  <c r="BR1161" i="26"/>
  <c r="I1161" i="26"/>
  <c r="X1161" i="26"/>
  <c r="L1161" i="26"/>
  <c r="C1161" i="26"/>
  <c r="BA1161" i="26"/>
  <c r="AJ1161" i="26"/>
  <c r="T1161" i="26"/>
  <c r="BD1161" i="26"/>
  <c r="BV613" i="26"/>
  <c r="BE610" i="26"/>
  <c r="E1162" i="26" l="1"/>
  <c r="BD1162" i="26"/>
  <c r="BE609" i="26"/>
  <c r="BV612" i="26"/>
  <c r="BC1162" i="26" l="1"/>
  <c r="AV1162" i="55" s="1"/>
  <c r="BJ1162" i="26"/>
  <c r="W1162" i="26"/>
  <c r="R1162" i="26"/>
  <c r="BK1162" i="26"/>
  <c r="N1162" i="26"/>
  <c r="O1162" i="26"/>
  <c r="BL1162" i="26"/>
  <c r="BI1162" i="26"/>
  <c r="S1162" i="26"/>
  <c r="BP1162" i="26"/>
  <c r="BQ1162" i="26"/>
  <c r="T1162" i="26"/>
  <c r="K1162" i="26"/>
  <c r="L1162" i="26"/>
  <c r="U1162" i="26"/>
  <c r="AP1162" i="26"/>
  <c r="P1162" i="26"/>
  <c r="G1162" i="26"/>
  <c r="BR1162" i="26"/>
  <c r="AK1162" i="26"/>
  <c r="BA1162" i="26"/>
  <c r="H1162" i="26"/>
  <c r="B1162" i="26"/>
  <c r="D1162" i="26"/>
  <c r="AW1162" i="26"/>
  <c r="AU1162" i="26"/>
  <c r="AJ1162" i="26"/>
  <c r="AS1162" i="26"/>
  <c r="V1162" i="26"/>
  <c r="M1162" i="26"/>
  <c r="AV1162" i="26"/>
  <c r="AX1162" i="26"/>
  <c r="X1162" i="26"/>
  <c r="I1162" i="26"/>
  <c r="BN1162" i="26"/>
  <c r="AT1162" i="26"/>
  <c r="Q1162" i="26"/>
  <c r="A1162" i="26"/>
  <c r="BM1162" i="26"/>
  <c r="C1162" i="26"/>
  <c r="BO1162" i="26"/>
  <c r="AF1162" i="26"/>
  <c r="AY1162" i="26"/>
  <c r="AR1162" i="26"/>
  <c r="AM1162" i="26"/>
  <c r="AO1162" i="26"/>
  <c r="BV611" i="26"/>
  <c r="BE608" i="26"/>
  <c r="E1163" i="26" l="1"/>
  <c r="BE607" i="26"/>
  <c r="BV610" i="26"/>
  <c r="R1163" i="26" l="1"/>
  <c r="BC1163" i="26"/>
  <c r="AV1163" i="55" s="1"/>
  <c r="BL1163" i="26"/>
  <c r="BO1163" i="26"/>
  <c r="AK1163" i="26"/>
  <c r="K1163" i="26"/>
  <c r="V1163" i="26"/>
  <c r="N1163" i="26"/>
  <c r="AW1163" i="26"/>
  <c r="AM1163" i="26"/>
  <c r="O1163" i="26"/>
  <c r="AF1163" i="26"/>
  <c r="M1163" i="26"/>
  <c r="BI1163" i="26"/>
  <c r="AX1163" i="26"/>
  <c r="S1163" i="26"/>
  <c r="AS1163" i="26"/>
  <c r="L1163" i="26"/>
  <c r="AR1163" i="26"/>
  <c r="T1163" i="26"/>
  <c r="G1163" i="26"/>
  <c r="A1163" i="26"/>
  <c r="BJ1163" i="26"/>
  <c r="AO1163" i="26"/>
  <c r="BN1163" i="26"/>
  <c r="BA1163" i="26"/>
  <c r="BM1163" i="26"/>
  <c r="BP1163" i="26"/>
  <c r="BK1163" i="26"/>
  <c r="P1163" i="26"/>
  <c r="X1163" i="26"/>
  <c r="B1163" i="26"/>
  <c r="Q1163" i="26"/>
  <c r="AV1163" i="26"/>
  <c r="D1163" i="26"/>
  <c r="AU1163" i="26"/>
  <c r="H1163" i="26"/>
  <c r="AP1163" i="26"/>
  <c r="U1163" i="26"/>
  <c r="AT1163" i="26"/>
  <c r="BQ1163" i="26"/>
  <c r="AY1163" i="26"/>
  <c r="C1163" i="26"/>
  <c r="W1163" i="26"/>
  <c r="AJ1163" i="26"/>
  <c r="I1163" i="26"/>
  <c r="BR1163" i="26"/>
  <c r="BD1163" i="26"/>
  <c r="BV609" i="26"/>
  <c r="BE606" i="26"/>
  <c r="E1164" i="26" l="1"/>
  <c r="BE605" i="26"/>
  <c r="BV608" i="26"/>
  <c r="BC1164" i="26" l="1"/>
  <c r="AV1164" i="55" s="1"/>
  <c r="BR1164" i="26"/>
  <c r="D1164" i="26"/>
  <c r="BO1164" i="26"/>
  <c r="H1164" i="26"/>
  <c r="BL1164" i="26"/>
  <c r="M1164" i="26"/>
  <c r="B1164" i="26"/>
  <c r="L1164" i="26"/>
  <c r="BM1164" i="26"/>
  <c r="BP1164" i="26"/>
  <c r="Q1164" i="26"/>
  <c r="G1164" i="26"/>
  <c r="AS1164" i="26"/>
  <c r="AT1164" i="26"/>
  <c r="AX1164" i="26"/>
  <c r="V1164" i="26"/>
  <c r="AU1164" i="26"/>
  <c r="C1164" i="26"/>
  <c r="BQ1164" i="26"/>
  <c r="AR1164" i="26"/>
  <c r="AW1164" i="26"/>
  <c r="AY1164" i="26"/>
  <c r="AO1164" i="26"/>
  <c r="P1164" i="26"/>
  <c r="AJ1164" i="26"/>
  <c r="U1164" i="26"/>
  <c r="W1164" i="26"/>
  <c r="X1164" i="26"/>
  <c r="BA1164" i="26"/>
  <c r="AK1164" i="26"/>
  <c r="AP1164" i="26"/>
  <c r="R1164" i="26"/>
  <c r="T1164" i="26"/>
  <c r="N1164" i="26"/>
  <c r="BJ1164" i="26"/>
  <c r="BN1164" i="26"/>
  <c r="BI1164" i="26"/>
  <c r="BK1164" i="26"/>
  <c r="S1164" i="26"/>
  <c r="O1164" i="26"/>
  <c r="AF1164" i="26"/>
  <c r="I1164" i="26"/>
  <c r="A1164" i="26"/>
  <c r="K1164" i="26"/>
  <c r="AV1164" i="26"/>
  <c r="AM1164" i="26"/>
  <c r="BD1164" i="26"/>
  <c r="BV607" i="26"/>
  <c r="BE604" i="26"/>
  <c r="E1165" i="26" l="1"/>
  <c r="BE603" i="26"/>
  <c r="BV606" i="26"/>
  <c r="BC1165" i="26" l="1"/>
  <c r="AV1165" i="55" s="1"/>
  <c r="X1165" i="26"/>
  <c r="S1165" i="26"/>
  <c r="BM1165" i="26"/>
  <c r="T1165" i="26"/>
  <c r="AP1165" i="26"/>
  <c r="Q1165" i="26"/>
  <c r="W1165" i="26"/>
  <c r="BL1165" i="26"/>
  <c r="AT1165" i="26"/>
  <c r="G1165" i="26"/>
  <c r="BN1165" i="26"/>
  <c r="BP1165" i="26"/>
  <c r="R1165" i="26"/>
  <c r="D1165" i="26"/>
  <c r="P1165" i="26"/>
  <c r="M1165" i="26"/>
  <c r="AO1165" i="26"/>
  <c r="N1165" i="26"/>
  <c r="BJ1165" i="26"/>
  <c r="BR1165" i="26"/>
  <c r="BK1165" i="26"/>
  <c r="K1165" i="26"/>
  <c r="AF1165" i="26"/>
  <c r="U1165" i="26"/>
  <c r="AM1165" i="26"/>
  <c r="BQ1165" i="26"/>
  <c r="AR1165" i="26"/>
  <c r="L1165" i="26"/>
  <c r="V1165" i="26"/>
  <c r="I1165" i="26"/>
  <c r="BO1165" i="26"/>
  <c r="AX1165" i="26"/>
  <c r="H1165" i="26"/>
  <c r="C1165" i="26"/>
  <c r="AS1165" i="26"/>
  <c r="AU1165" i="26"/>
  <c r="BA1165" i="26"/>
  <c r="O1165" i="26"/>
  <c r="AY1165" i="26"/>
  <c r="AV1165" i="26"/>
  <c r="AK1165" i="26"/>
  <c r="A1165" i="26"/>
  <c r="BI1165" i="26"/>
  <c r="AW1165" i="26"/>
  <c r="AJ1165" i="26"/>
  <c r="B1165" i="26"/>
  <c r="BD1165" i="26"/>
  <c r="BV605" i="26"/>
  <c r="BE602" i="26"/>
  <c r="E1166" i="26" l="1"/>
  <c r="BE601" i="26"/>
  <c r="BV604" i="26"/>
  <c r="BC1166" i="26" l="1"/>
  <c r="AV1166" i="55" s="1"/>
  <c r="AK1166" i="26"/>
  <c r="BK1166" i="26"/>
  <c r="BN1166" i="26"/>
  <c r="AM1166" i="26"/>
  <c r="BJ1166" i="26"/>
  <c r="AX1166" i="26"/>
  <c r="AR1166" i="26"/>
  <c r="G1166" i="26"/>
  <c r="BR1166" i="26"/>
  <c r="H1166" i="26"/>
  <c r="AT1166" i="26"/>
  <c r="AS1166" i="26"/>
  <c r="D1166" i="26"/>
  <c r="S1166" i="26"/>
  <c r="P1166" i="26"/>
  <c r="BL1166" i="26"/>
  <c r="C1166" i="26"/>
  <c r="AP1166" i="26"/>
  <c r="L1166" i="26"/>
  <c r="R1166" i="26"/>
  <c r="AF1166" i="26"/>
  <c r="BA1166" i="26"/>
  <c r="AV1166" i="26"/>
  <c r="Q1166" i="26"/>
  <c r="AU1166" i="26"/>
  <c r="BQ1166" i="26"/>
  <c r="T1166" i="26"/>
  <c r="V1166" i="26"/>
  <c r="O1166" i="26"/>
  <c r="AO1166" i="26"/>
  <c r="AY1166" i="26"/>
  <c r="BP1166" i="26"/>
  <c r="A1166" i="26"/>
  <c r="BI1166" i="26"/>
  <c r="B1166" i="26"/>
  <c r="N1166" i="26"/>
  <c r="AW1166" i="26"/>
  <c r="I1166" i="26"/>
  <c r="X1166" i="26"/>
  <c r="BM1166" i="26"/>
  <c r="AJ1166" i="26"/>
  <c r="W1166" i="26"/>
  <c r="U1166" i="26"/>
  <c r="K1166" i="26"/>
  <c r="BO1166" i="26"/>
  <c r="M1166" i="26"/>
  <c r="BD1166" i="26"/>
  <c r="BV603" i="26"/>
  <c r="BE600" i="26"/>
  <c r="E1167" i="26" l="1"/>
  <c r="BE599" i="26"/>
  <c r="BV602" i="26"/>
  <c r="BC1167" i="26" l="1"/>
  <c r="AV1167" i="55" s="1"/>
  <c r="BM1167" i="26"/>
  <c r="Q1167" i="26"/>
  <c r="AP1167" i="26"/>
  <c r="AW1167" i="26"/>
  <c r="AR1167" i="26"/>
  <c r="L1167" i="26"/>
  <c r="AT1167" i="26"/>
  <c r="M1167" i="26"/>
  <c r="S1167" i="26"/>
  <c r="AO1167" i="26"/>
  <c r="AY1167" i="26"/>
  <c r="BO1167" i="26"/>
  <c r="B1167" i="26"/>
  <c r="N1167" i="26"/>
  <c r="K1167" i="26"/>
  <c r="BQ1167" i="26"/>
  <c r="W1167" i="26"/>
  <c r="A1167" i="26"/>
  <c r="O1167" i="26"/>
  <c r="I1167" i="26"/>
  <c r="D1167" i="26"/>
  <c r="BA1167" i="26"/>
  <c r="BK1167" i="26"/>
  <c r="BR1167" i="26"/>
  <c r="G1167" i="26"/>
  <c r="AM1167" i="26"/>
  <c r="BL1167" i="26"/>
  <c r="V1167" i="26"/>
  <c r="AF1167" i="26"/>
  <c r="BI1167" i="26"/>
  <c r="AX1167" i="26"/>
  <c r="AU1167" i="26"/>
  <c r="AK1167" i="26"/>
  <c r="X1167" i="26"/>
  <c r="BP1167" i="26"/>
  <c r="U1167" i="26"/>
  <c r="P1167" i="26"/>
  <c r="BJ1167" i="26"/>
  <c r="AV1167" i="26"/>
  <c r="BN1167" i="26"/>
  <c r="AJ1167" i="26"/>
  <c r="AS1167" i="26"/>
  <c r="R1167" i="26"/>
  <c r="T1167" i="26"/>
  <c r="C1167" i="26"/>
  <c r="H1167" i="26"/>
  <c r="BD1167" i="26"/>
  <c r="BV601" i="26"/>
  <c r="BE598" i="26"/>
  <c r="E1168" i="26" l="1"/>
  <c r="BE597" i="26"/>
  <c r="BV600" i="26"/>
  <c r="BC1168" i="26" l="1"/>
  <c r="AV1168" i="55" s="1"/>
  <c r="B1168" i="26"/>
  <c r="I1168" i="26"/>
  <c r="AT1168" i="26"/>
  <c r="BO1168" i="26"/>
  <c r="Q1168" i="26"/>
  <c r="T1168" i="26"/>
  <c r="BM1168" i="26"/>
  <c r="BQ1168" i="26"/>
  <c r="BN1168" i="26"/>
  <c r="BJ1168" i="26"/>
  <c r="M1168" i="26"/>
  <c r="O1168" i="26"/>
  <c r="AJ1168" i="26"/>
  <c r="AR1168" i="26"/>
  <c r="AS1168" i="26"/>
  <c r="AW1168" i="26"/>
  <c r="AP1168" i="26"/>
  <c r="R1168" i="26"/>
  <c r="W1168" i="26"/>
  <c r="N1168" i="26"/>
  <c r="C1168" i="26"/>
  <c r="AK1168" i="26"/>
  <c r="L1168" i="26"/>
  <c r="AX1168" i="26"/>
  <c r="BP1168" i="26"/>
  <c r="AO1168" i="26"/>
  <c r="BA1168" i="26"/>
  <c r="V1168" i="26"/>
  <c r="BK1168" i="26"/>
  <c r="H1168" i="26"/>
  <c r="U1168" i="26"/>
  <c r="S1168" i="26"/>
  <c r="A1168" i="26"/>
  <c r="K1168" i="26"/>
  <c r="P1168" i="26"/>
  <c r="X1168" i="26"/>
  <c r="AU1168" i="26"/>
  <c r="G1168" i="26"/>
  <c r="BI1168" i="26"/>
  <c r="AM1168" i="26"/>
  <c r="AV1168" i="26"/>
  <c r="BL1168" i="26"/>
  <c r="D1168" i="26"/>
  <c r="AY1168" i="26"/>
  <c r="BR1168" i="26"/>
  <c r="AF1168" i="26"/>
  <c r="BD1168" i="26"/>
  <c r="BV599" i="26"/>
  <c r="BE596" i="26"/>
  <c r="E1169" i="26" l="1"/>
  <c r="BE595" i="26"/>
  <c r="BV598" i="26"/>
  <c r="BC1169" i="26" l="1"/>
  <c r="AV1169" i="55" s="1"/>
  <c r="T1169" i="26"/>
  <c r="AY1169" i="26"/>
  <c r="AX1169" i="26"/>
  <c r="U1169" i="26"/>
  <c r="Q1169" i="26"/>
  <c r="BQ1169" i="26"/>
  <c r="BA1169" i="26"/>
  <c r="B1169" i="26"/>
  <c r="S1169" i="26"/>
  <c r="AS1169" i="26"/>
  <c r="N1169" i="26"/>
  <c r="BI1169" i="26"/>
  <c r="A1169" i="26"/>
  <c r="P1169" i="26"/>
  <c r="H1169" i="26"/>
  <c r="AJ1169" i="26"/>
  <c r="W1169" i="26"/>
  <c r="AM1169" i="26"/>
  <c r="BK1169" i="26"/>
  <c r="AF1169" i="26"/>
  <c r="AV1169" i="26"/>
  <c r="BJ1169" i="26"/>
  <c r="BN1169" i="26"/>
  <c r="BO1169" i="26"/>
  <c r="AT1169" i="26"/>
  <c r="AU1169" i="26"/>
  <c r="D1169" i="26"/>
  <c r="O1169" i="26"/>
  <c r="BM1169" i="26"/>
  <c r="C1169" i="26"/>
  <c r="AP1169" i="26"/>
  <c r="AO1169" i="26"/>
  <c r="BL1169" i="26"/>
  <c r="I1169" i="26"/>
  <c r="R1169" i="26"/>
  <c r="AW1169" i="26"/>
  <c r="AK1169" i="26"/>
  <c r="M1169" i="26"/>
  <c r="X1169" i="26"/>
  <c r="K1169" i="26"/>
  <c r="AR1169" i="26"/>
  <c r="BP1169" i="26"/>
  <c r="BR1169" i="26"/>
  <c r="L1169" i="26"/>
  <c r="V1169" i="26"/>
  <c r="G1169" i="26"/>
  <c r="BD1169" i="26"/>
  <c r="BE594" i="26"/>
  <c r="BV597" i="26"/>
  <c r="E1170" i="26" l="1"/>
  <c r="BV596" i="26"/>
  <c r="BE593" i="26"/>
  <c r="BC1170" i="26" l="1"/>
  <c r="AV1170" i="55" s="1"/>
  <c r="BN1170" i="26"/>
  <c r="AF1170" i="26"/>
  <c r="AS1170" i="26"/>
  <c r="BR1170" i="26"/>
  <c r="AJ1170" i="26"/>
  <c r="D1170" i="26"/>
  <c r="W1170" i="26"/>
  <c r="G1170" i="26"/>
  <c r="BI1170" i="26"/>
  <c r="BQ1170" i="26"/>
  <c r="AK1170" i="26"/>
  <c r="H1170" i="26"/>
  <c r="I1170" i="26"/>
  <c r="BO1170" i="26"/>
  <c r="BJ1170" i="26"/>
  <c r="AR1170" i="26"/>
  <c r="AY1170" i="26"/>
  <c r="X1170" i="26"/>
  <c r="BP1170" i="26"/>
  <c r="T1170" i="26"/>
  <c r="A1170" i="26"/>
  <c r="C1170" i="26"/>
  <c r="N1170" i="26"/>
  <c r="R1170" i="26"/>
  <c r="AW1170" i="26"/>
  <c r="P1170" i="26"/>
  <c r="K1170" i="26"/>
  <c r="B1170" i="26"/>
  <c r="U1170" i="26"/>
  <c r="AP1170" i="26"/>
  <c r="L1170" i="26"/>
  <c r="BM1170" i="26"/>
  <c r="V1170" i="26"/>
  <c r="O1170" i="26"/>
  <c r="AU1170" i="26"/>
  <c r="BL1170" i="26"/>
  <c r="AV1170" i="26"/>
  <c r="AX1170" i="26"/>
  <c r="S1170" i="26"/>
  <c r="AO1170" i="26"/>
  <c r="AT1170" i="26"/>
  <c r="M1170" i="26"/>
  <c r="Q1170" i="26"/>
  <c r="BK1170" i="26"/>
  <c r="BA1170" i="26"/>
  <c r="AM1170" i="26"/>
  <c r="BD1170" i="26"/>
  <c r="BE592" i="26"/>
  <c r="BV595" i="26"/>
  <c r="E1171" i="26" l="1"/>
  <c r="BV594" i="26"/>
  <c r="BE591" i="26"/>
  <c r="V1171" i="26" l="1"/>
  <c r="BC1171" i="26"/>
  <c r="AV1171" i="55" s="1"/>
  <c r="BI1171" i="26"/>
  <c r="R1171" i="26"/>
  <c r="AP1171" i="26"/>
  <c r="P1171" i="26"/>
  <c r="AR1171" i="26"/>
  <c r="A1171" i="26"/>
  <c r="AW1171" i="26"/>
  <c r="AF1171" i="26"/>
  <c r="AJ1171" i="26"/>
  <c r="AM1171" i="26"/>
  <c r="B1171" i="26"/>
  <c r="G1171" i="26"/>
  <c r="BK1171" i="26"/>
  <c r="AV1171" i="26"/>
  <c r="AX1171" i="26"/>
  <c r="X1171" i="26"/>
  <c r="AU1171" i="26"/>
  <c r="T1171" i="26"/>
  <c r="W1171" i="26"/>
  <c r="AK1171" i="26"/>
  <c r="BL1171" i="26"/>
  <c r="M1171" i="26"/>
  <c r="K1171" i="26"/>
  <c r="AT1171" i="26"/>
  <c r="H1171" i="26"/>
  <c r="BR1171" i="26"/>
  <c r="BP1171" i="26"/>
  <c r="BJ1171" i="26"/>
  <c r="S1171" i="26"/>
  <c r="BM1171" i="26"/>
  <c r="BQ1171" i="26"/>
  <c r="BA1171" i="26"/>
  <c r="N1171" i="26"/>
  <c r="I1171" i="26"/>
  <c r="BN1171" i="26"/>
  <c r="Q1171" i="26"/>
  <c r="BO1171" i="26"/>
  <c r="U1171" i="26"/>
  <c r="L1171" i="26"/>
  <c r="AY1171" i="26"/>
  <c r="O1171" i="26"/>
  <c r="D1171" i="26"/>
  <c r="AO1171" i="26"/>
  <c r="C1171" i="26"/>
  <c r="AS1171" i="26"/>
  <c r="BD1171" i="26"/>
  <c r="BE590" i="26"/>
  <c r="BV593" i="26"/>
  <c r="E1172" i="26" l="1"/>
  <c r="BV592" i="26"/>
  <c r="BE589" i="26"/>
  <c r="V1172" i="26" l="1"/>
  <c r="BC1172" i="26"/>
  <c r="AV1172" i="55" s="1"/>
  <c r="AS1172" i="26"/>
  <c r="BM1172" i="26"/>
  <c r="X1172" i="26"/>
  <c r="AV1172" i="26"/>
  <c r="AJ1172" i="26"/>
  <c r="BO1172" i="26"/>
  <c r="A1172" i="26"/>
  <c r="T1172" i="26"/>
  <c r="AO1172" i="26"/>
  <c r="G1172" i="26"/>
  <c r="BR1172" i="26"/>
  <c r="BI1172" i="26"/>
  <c r="AX1172" i="26"/>
  <c r="BJ1172" i="26"/>
  <c r="R1172" i="26"/>
  <c r="AM1172" i="26"/>
  <c r="W1172" i="26"/>
  <c r="M1172" i="26"/>
  <c r="BN1172" i="26"/>
  <c r="I1172" i="26"/>
  <c r="BP1172" i="26"/>
  <c r="D1172" i="26"/>
  <c r="AF1172" i="26"/>
  <c r="C1172" i="26"/>
  <c r="AT1172" i="26"/>
  <c r="BL1172" i="26"/>
  <c r="AK1172" i="26"/>
  <c r="AP1172" i="26"/>
  <c r="BA1172" i="26"/>
  <c r="K1172" i="26"/>
  <c r="Q1172" i="26"/>
  <c r="H1172" i="26"/>
  <c r="P1172" i="26"/>
  <c r="AW1172" i="26"/>
  <c r="O1172" i="26"/>
  <c r="AY1172" i="26"/>
  <c r="S1172" i="26"/>
  <c r="N1172" i="26"/>
  <c r="BQ1172" i="26"/>
  <c r="BK1172" i="26"/>
  <c r="B1172" i="26"/>
  <c r="U1172" i="26"/>
  <c r="AU1172" i="26"/>
  <c r="AR1172" i="26"/>
  <c r="L1172" i="26"/>
  <c r="BD1172" i="26"/>
  <c r="BE588" i="26"/>
  <c r="BV591" i="26"/>
  <c r="E1173" i="26" l="1"/>
  <c r="BD1173" i="26"/>
  <c r="BV590" i="26"/>
  <c r="BE587" i="26"/>
  <c r="V1173" i="26" l="1"/>
  <c r="BC1173" i="26"/>
  <c r="AV1173" i="55" s="1"/>
  <c r="R1173" i="26"/>
  <c r="M1173" i="26"/>
  <c r="BK1173" i="26"/>
  <c r="B1173" i="26"/>
  <c r="BO1173" i="26"/>
  <c r="BA1173" i="26"/>
  <c r="AW1173" i="26"/>
  <c r="G1173" i="26"/>
  <c r="AO1173" i="26"/>
  <c r="A1173" i="26"/>
  <c r="Q1173" i="26"/>
  <c r="AX1173" i="26"/>
  <c r="BN1173" i="26"/>
  <c r="D1173" i="26"/>
  <c r="AJ1173" i="26"/>
  <c r="BQ1173" i="26"/>
  <c r="AS1173" i="26"/>
  <c r="BJ1173" i="26"/>
  <c r="P1173" i="26"/>
  <c r="AM1173" i="26"/>
  <c r="AU1173" i="26"/>
  <c r="AY1173" i="26"/>
  <c r="AK1173" i="26"/>
  <c r="AF1173" i="26"/>
  <c r="C1173" i="26"/>
  <c r="U1173" i="26"/>
  <c r="AV1173" i="26"/>
  <c r="AP1173" i="26"/>
  <c r="H1173" i="26"/>
  <c r="L1173" i="26"/>
  <c r="O1173" i="26"/>
  <c r="S1173" i="26"/>
  <c r="W1173" i="26"/>
  <c r="AR1173" i="26"/>
  <c r="BM1173" i="26"/>
  <c r="BL1173" i="26"/>
  <c r="T1173" i="26"/>
  <c r="BP1173" i="26"/>
  <c r="K1173" i="26"/>
  <c r="N1173" i="26"/>
  <c r="I1173" i="26"/>
  <c r="AT1173" i="26"/>
  <c r="X1173" i="26"/>
  <c r="BI1173" i="26"/>
  <c r="BR1173" i="26"/>
  <c r="BE586" i="26"/>
  <c r="BV589" i="26"/>
  <c r="E1174" i="26" l="1"/>
  <c r="BE585" i="26"/>
  <c r="BV588" i="26"/>
  <c r="V1174" i="26" l="1"/>
  <c r="BC1174" i="26"/>
  <c r="AV1174" i="55" s="1"/>
  <c r="L1174" i="26"/>
  <c r="I1174" i="26"/>
  <c r="AT1174" i="26"/>
  <c r="O1174" i="26"/>
  <c r="BA1174" i="26"/>
  <c r="H1174" i="26"/>
  <c r="U1174" i="26"/>
  <c r="AY1174" i="26"/>
  <c r="AR1174" i="26"/>
  <c r="AU1174" i="26"/>
  <c r="BJ1174" i="26"/>
  <c r="AP1174" i="26"/>
  <c r="BI1174" i="26"/>
  <c r="AK1174" i="26"/>
  <c r="AJ1174" i="26"/>
  <c r="N1174" i="26"/>
  <c r="M1174" i="26"/>
  <c r="AV1174" i="26"/>
  <c r="W1174" i="26"/>
  <c r="AO1174" i="26"/>
  <c r="AX1174" i="26"/>
  <c r="D1174" i="26"/>
  <c r="AF1174" i="26"/>
  <c r="AS1174" i="26"/>
  <c r="T1174" i="26"/>
  <c r="K1174" i="26"/>
  <c r="BO1174" i="26"/>
  <c r="BP1174" i="26"/>
  <c r="BQ1174" i="26"/>
  <c r="C1174" i="26"/>
  <c r="Q1174" i="26"/>
  <c r="S1174" i="26"/>
  <c r="BL1174" i="26"/>
  <c r="BK1174" i="26"/>
  <c r="R1174" i="26"/>
  <c r="X1174" i="26"/>
  <c r="BN1174" i="26"/>
  <c r="G1174" i="26"/>
  <c r="BM1174" i="26"/>
  <c r="B1174" i="26"/>
  <c r="A1174" i="26"/>
  <c r="AM1174" i="26"/>
  <c r="BR1174" i="26"/>
  <c r="P1174" i="26"/>
  <c r="AW1174" i="26"/>
  <c r="BD1174" i="26"/>
  <c r="BV587" i="26"/>
  <c r="BE584" i="26"/>
  <c r="E1175" i="26" l="1"/>
  <c r="BE583" i="26"/>
  <c r="BV586" i="26"/>
  <c r="V1175" i="26" l="1"/>
  <c r="BC1175" i="26"/>
  <c r="AV1175" i="55" s="1"/>
  <c r="AV1175" i="26"/>
  <c r="S1175" i="26"/>
  <c r="AX1175" i="26"/>
  <c r="BQ1175" i="26"/>
  <c r="U1175" i="26"/>
  <c r="W1175" i="26"/>
  <c r="BA1175" i="26"/>
  <c r="BM1175" i="26"/>
  <c r="BK1175" i="26"/>
  <c r="BP1175" i="26"/>
  <c r="BN1175" i="26"/>
  <c r="I1175" i="26"/>
  <c r="H1175" i="26"/>
  <c r="P1175" i="26"/>
  <c r="T1175" i="26"/>
  <c r="X1175" i="26"/>
  <c r="A1175" i="26"/>
  <c r="N1175" i="26"/>
  <c r="BL1175" i="26"/>
  <c r="Q1175" i="26"/>
  <c r="AY1175" i="26"/>
  <c r="O1175" i="26"/>
  <c r="M1175" i="26"/>
  <c r="BO1175" i="26"/>
  <c r="R1175" i="26"/>
  <c r="G1175" i="26"/>
  <c r="D1175" i="26"/>
  <c r="AP1175" i="26"/>
  <c r="K1175" i="26"/>
  <c r="L1175" i="26"/>
  <c r="AO1175" i="26"/>
  <c r="AW1175" i="26"/>
  <c r="B1175" i="26"/>
  <c r="AK1175" i="26"/>
  <c r="BI1175" i="26"/>
  <c r="AU1175" i="26"/>
  <c r="AT1175" i="26"/>
  <c r="BJ1175" i="26"/>
  <c r="AJ1175" i="26"/>
  <c r="C1175" i="26"/>
  <c r="AM1175" i="26"/>
  <c r="BR1175" i="26"/>
  <c r="AF1175" i="26"/>
  <c r="AS1175" i="26"/>
  <c r="AR1175" i="26"/>
  <c r="BD1175" i="26"/>
  <c r="BV585" i="26"/>
  <c r="BE582" i="26"/>
  <c r="E1176" i="26" l="1"/>
  <c r="BE581" i="26"/>
  <c r="BV584" i="26"/>
  <c r="V1176" i="26" l="1"/>
  <c r="BC1176" i="26"/>
  <c r="AV1176" i="55" s="1"/>
  <c r="AW1176" i="26"/>
  <c r="M1176" i="26"/>
  <c r="AR1176" i="26"/>
  <c r="AS1176" i="26"/>
  <c r="X1176" i="26"/>
  <c r="S1176" i="26"/>
  <c r="BQ1176" i="26"/>
  <c r="AK1176" i="26"/>
  <c r="AF1176" i="26"/>
  <c r="BK1176" i="26"/>
  <c r="I1176" i="26"/>
  <c r="H1176" i="26"/>
  <c r="BM1176" i="26"/>
  <c r="BI1176" i="26"/>
  <c r="BP1176" i="26"/>
  <c r="K1176" i="26"/>
  <c r="D1176" i="26"/>
  <c r="T1176" i="26"/>
  <c r="AX1176" i="26"/>
  <c r="N1176" i="26"/>
  <c r="B1176" i="26"/>
  <c r="U1176" i="26"/>
  <c r="G1176" i="26"/>
  <c r="AT1176" i="26"/>
  <c r="BR1176" i="26"/>
  <c r="AM1176" i="26"/>
  <c r="R1176" i="26"/>
  <c r="C1176" i="26"/>
  <c r="BL1176" i="26"/>
  <c r="BN1176" i="26"/>
  <c r="AO1176" i="26"/>
  <c r="O1176" i="26"/>
  <c r="A1176" i="26"/>
  <c r="L1176" i="26"/>
  <c r="W1176" i="26"/>
  <c r="P1176" i="26"/>
  <c r="AV1176" i="26"/>
  <c r="AY1176" i="26"/>
  <c r="Q1176" i="26"/>
  <c r="AP1176" i="26"/>
  <c r="BJ1176" i="26"/>
  <c r="BO1176" i="26"/>
  <c r="AJ1176" i="26"/>
  <c r="AU1176" i="26"/>
  <c r="BA1176" i="26"/>
  <c r="BD1176" i="26"/>
  <c r="BV583" i="26"/>
  <c r="BE580" i="26"/>
  <c r="E1177" i="26" l="1"/>
  <c r="BE579" i="26"/>
  <c r="BV582" i="26"/>
  <c r="V1177" i="26" l="1"/>
  <c r="BC1177" i="26"/>
  <c r="AV1177" i="55" s="1"/>
  <c r="BL1177" i="26"/>
  <c r="G1177" i="26"/>
  <c r="AX1177" i="26"/>
  <c r="L1177" i="26"/>
  <c r="BN1177" i="26"/>
  <c r="P1177" i="26"/>
  <c r="S1177" i="26"/>
  <c r="AW1177" i="26"/>
  <c r="BJ1177" i="26"/>
  <c r="BM1177" i="26"/>
  <c r="AR1177" i="26"/>
  <c r="H1177" i="26"/>
  <c r="BR1177" i="26"/>
  <c r="AF1177" i="26"/>
  <c r="U1177" i="26"/>
  <c r="R1177" i="26"/>
  <c r="AM1177" i="26"/>
  <c r="AV1177" i="26"/>
  <c r="D1177" i="26"/>
  <c r="AT1177" i="26"/>
  <c r="AP1177" i="26"/>
  <c r="B1177" i="26"/>
  <c r="X1177" i="26"/>
  <c r="O1177" i="26"/>
  <c r="A1177" i="26"/>
  <c r="BP1177" i="26"/>
  <c r="C1177" i="26"/>
  <c r="AO1177" i="26"/>
  <c r="AK1177" i="26"/>
  <c r="N1177" i="26"/>
  <c r="I1177" i="26"/>
  <c r="BO1177" i="26"/>
  <c r="BI1177" i="26"/>
  <c r="AJ1177" i="26"/>
  <c r="AY1177" i="26"/>
  <c r="Q1177" i="26"/>
  <c r="BQ1177" i="26"/>
  <c r="BK1177" i="26"/>
  <c r="K1177" i="26"/>
  <c r="AS1177" i="26"/>
  <c r="T1177" i="26"/>
  <c r="M1177" i="26"/>
  <c r="W1177" i="26"/>
  <c r="BA1177" i="26"/>
  <c r="AU1177" i="26"/>
  <c r="BD1177" i="26"/>
  <c r="BV581" i="26"/>
  <c r="BE578" i="26"/>
  <c r="E1178" i="26" l="1"/>
  <c r="BE577" i="26"/>
  <c r="BV580" i="26"/>
  <c r="V1178" i="26" l="1"/>
  <c r="BC1178" i="26"/>
  <c r="AV1178" i="55" s="1"/>
  <c r="BK1178" i="26"/>
  <c r="I1178" i="26"/>
  <c r="W1178" i="26"/>
  <c r="A1178" i="26"/>
  <c r="BM1178" i="26"/>
  <c r="U1178" i="26"/>
  <c r="AX1178" i="26"/>
  <c r="BR1178" i="26"/>
  <c r="AU1178" i="26"/>
  <c r="AK1178" i="26"/>
  <c r="BQ1178" i="26"/>
  <c r="R1178" i="26"/>
  <c r="AV1178" i="26"/>
  <c r="BI1178" i="26"/>
  <c r="D1178" i="26"/>
  <c r="G1178" i="26"/>
  <c r="BJ1178" i="26"/>
  <c r="Q1178" i="26"/>
  <c r="AF1178" i="26"/>
  <c r="M1178" i="26"/>
  <c r="AO1178" i="26"/>
  <c r="S1178" i="26"/>
  <c r="BA1178" i="26"/>
  <c r="X1178" i="26"/>
  <c r="N1178" i="26"/>
  <c r="BO1178" i="26"/>
  <c r="AW1178" i="26"/>
  <c r="T1178" i="26"/>
  <c r="AM1178" i="26"/>
  <c r="AS1178" i="26"/>
  <c r="BP1178" i="26"/>
  <c r="P1178" i="26"/>
  <c r="O1178" i="26"/>
  <c r="H1178" i="26"/>
  <c r="AT1178" i="26"/>
  <c r="AR1178" i="26"/>
  <c r="AJ1178" i="26"/>
  <c r="BL1178" i="26"/>
  <c r="B1178" i="26"/>
  <c r="K1178" i="26"/>
  <c r="AY1178" i="26"/>
  <c r="C1178" i="26"/>
  <c r="L1178" i="26"/>
  <c r="BN1178" i="26"/>
  <c r="AP1178" i="26"/>
  <c r="BD1178" i="26"/>
  <c r="BV579" i="26"/>
  <c r="BE576" i="26"/>
  <c r="E1179" i="26" l="1"/>
  <c r="BV578" i="26"/>
  <c r="BE575" i="26"/>
  <c r="V1179" i="26" l="1"/>
  <c r="BC1179" i="26"/>
  <c r="AV1179" i="55" s="1"/>
  <c r="AY1179" i="26"/>
  <c r="O1179" i="26"/>
  <c r="U1179" i="26"/>
  <c r="X1179" i="26"/>
  <c r="D1179" i="26"/>
  <c r="S1179" i="26"/>
  <c r="AS1179" i="26"/>
  <c r="C1179" i="26"/>
  <c r="BL1179" i="26"/>
  <c r="BQ1179" i="26"/>
  <c r="BI1179" i="26"/>
  <c r="AU1179" i="26"/>
  <c r="BO1179" i="26"/>
  <c r="P1179" i="26"/>
  <c r="BM1179" i="26"/>
  <c r="BA1179" i="26"/>
  <c r="BJ1179" i="26"/>
  <c r="H1179" i="26"/>
  <c r="K1179" i="26"/>
  <c r="AW1179" i="26"/>
  <c r="M1179" i="26"/>
  <c r="AP1179" i="26"/>
  <c r="AO1179" i="26"/>
  <c r="N1179" i="26"/>
  <c r="BR1179" i="26"/>
  <c r="AT1179" i="26"/>
  <c r="W1179" i="26"/>
  <c r="AF1179" i="26"/>
  <c r="AX1179" i="26"/>
  <c r="AK1179" i="26"/>
  <c r="Q1179" i="26"/>
  <c r="T1179" i="26"/>
  <c r="BK1179" i="26"/>
  <c r="AR1179" i="26"/>
  <c r="AV1179" i="26"/>
  <c r="R1179" i="26"/>
  <c r="AJ1179" i="26"/>
  <c r="A1179" i="26"/>
  <c r="B1179" i="26"/>
  <c r="I1179" i="26"/>
  <c r="AM1179" i="26"/>
  <c r="L1179" i="26"/>
  <c r="G1179" i="26"/>
  <c r="BN1179" i="26"/>
  <c r="BP1179" i="26"/>
  <c r="BD1179" i="26"/>
  <c r="BE574" i="26"/>
  <c r="BV577" i="26"/>
  <c r="E1180" i="26" l="1"/>
  <c r="BD1180" i="26" s="1"/>
  <c r="BV576" i="26"/>
  <c r="BE573" i="26"/>
  <c r="V1180" i="26" l="1"/>
  <c r="BC1180" i="26"/>
  <c r="AV1180" i="55" s="1"/>
  <c r="U1180" i="26"/>
  <c r="AR1180" i="26"/>
  <c r="K1180" i="26"/>
  <c r="AJ1180" i="26"/>
  <c r="S1180" i="26"/>
  <c r="M1180" i="26"/>
  <c r="AM1180" i="26"/>
  <c r="BA1180" i="26"/>
  <c r="O1180" i="26"/>
  <c r="R1180" i="26"/>
  <c r="BJ1180" i="26"/>
  <c r="AU1180" i="26"/>
  <c r="N1180" i="26"/>
  <c r="AW1180" i="26"/>
  <c r="BP1180" i="26"/>
  <c r="BN1180" i="26"/>
  <c r="AT1180" i="26"/>
  <c r="X1180" i="26"/>
  <c r="BO1180" i="26"/>
  <c r="G1180" i="26"/>
  <c r="T1180" i="26"/>
  <c r="H1180" i="26"/>
  <c r="W1180" i="26"/>
  <c r="AK1180" i="26"/>
  <c r="AX1180" i="26"/>
  <c r="BK1180" i="26"/>
  <c r="C1180" i="26"/>
  <c r="AY1180" i="26"/>
  <c r="Q1180" i="26"/>
  <c r="AO1180" i="26"/>
  <c r="BI1180" i="26"/>
  <c r="I1180" i="26"/>
  <c r="AS1180" i="26"/>
  <c r="A1180" i="26"/>
  <c r="BL1180" i="26"/>
  <c r="BQ1180" i="26"/>
  <c r="P1180" i="26"/>
  <c r="D1180" i="26"/>
  <c r="AP1180" i="26"/>
  <c r="AV1180" i="26"/>
  <c r="BM1180" i="26"/>
  <c r="B1180" i="26"/>
  <c r="L1180" i="26"/>
  <c r="BR1180" i="26"/>
  <c r="AF1180" i="26"/>
  <c r="BE572" i="26"/>
  <c r="BV575" i="26"/>
  <c r="E1181" i="26" l="1"/>
  <c r="BE571" i="26"/>
  <c r="BV574" i="26"/>
  <c r="V1181" i="26" l="1"/>
  <c r="BC1181" i="26"/>
  <c r="AV1181" i="55" s="1"/>
  <c r="AJ1181" i="26"/>
  <c r="A1181" i="26"/>
  <c r="H1181" i="26"/>
  <c r="G1181" i="26"/>
  <c r="AK1181" i="26"/>
  <c r="U1181" i="26"/>
  <c r="R1181" i="26"/>
  <c r="X1181" i="26"/>
  <c r="BM1181" i="26"/>
  <c r="AT1181" i="26"/>
  <c r="P1181" i="26"/>
  <c r="BN1181" i="26"/>
  <c r="AY1181" i="26"/>
  <c r="AV1181" i="26"/>
  <c r="BA1181" i="26"/>
  <c r="AU1181" i="26"/>
  <c r="BQ1181" i="26"/>
  <c r="D1181" i="26"/>
  <c r="S1181" i="26"/>
  <c r="C1181" i="26"/>
  <c r="AP1181" i="26"/>
  <c r="N1181" i="26"/>
  <c r="BP1181" i="26"/>
  <c r="T1181" i="26"/>
  <c r="BO1181" i="26"/>
  <c r="M1181" i="26"/>
  <c r="BJ1181" i="26"/>
  <c r="K1181" i="26"/>
  <c r="AR1181" i="26"/>
  <c r="BI1181" i="26"/>
  <c r="AS1181" i="26"/>
  <c r="I1181" i="26"/>
  <c r="AO1181" i="26"/>
  <c r="BR1181" i="26"/>
  <c r="BL1181" i="26"/>
  <c r="AW1181" i="26"/>
  <c r="W1181" i="26"/>
  <c r="AF1181" i="26"/>
  <c r="L1181" i="26"/>
  <c r="O1181" i="26"/>
  <c r="Q1181" i="26"/>
  <c r="BK1181" i="26"/>
  <c r="AM1181" i="26"/>
  <c r="B1181" i="26"/>
  <c r="AX1181" i="26"/>
  <c r="BD1181" i="26"/>
  <c r="BV573" i="26"/>
  <c r="BE570" i="26"/>
  <c r="E1182" i="26" l="1"/>
  <c r="BE569" i="26"/>
  <c r="BV572" i="26"/>
  <c r="H1182" i="26" l="1"/>
  <c r="BC1182" i="26"/>
  <c r="AV1182" i="55" s="1"/>
  <c r="AO1182" i="26"/>
  <c r="R1182" i="26"/>
  <c r="BA1182" i="26"/>
  <c r="AU1182" i="26"/>
  <c r="AY1182" i="26"/>
  <c r="U1182" i="26"/>
  <c r="Q1182" i="26"/>
  <c r="BM1182" i="26"/>
  <c r="AF1182" i="26"/>
  <c r="AS1182" i="26"/>
  <c r="AK1182" i="26"/>
  <c r="AM1182" i="26"/>
  <c r="BO1182" i="26"/>
  <c r="W1182" i="26"/>
  <c r="B1182" i="26"/>
  <c r="AW1182" i="26"/>
  <c r="AP1182" i="26"/>
  <c r="BN1182" i="26"/>
  <c r="BJ1182" i="26"/>
  <c r="T1182" i="26"/>
  <c r="AX1182" i="26"/>
  <c r="AT1182" i="26"/>
  <c r="BR1182" i="26"/>
  <c r="AJ1182" i="26"/>
  <c r="K1182" i="26"/>
  <c r="L1182" i="26"/>
  <c r="P1182" i="26"/>
  <c r="AV1182" i="26"/>
  <c r="D1182" i="26"/>
  <c r="BK1182" i="26"/>
  <c r="N1182" i="26"/>
  <c r="BQ1182" i="26"/>
  <c r="BP1182" i="26"/>
  <c r="A1182" i="26"/>
  <c r="I1182" i="26"/>
  <c r="S1182" i="26"/>
  <c r="O1182" i="26"/>
  <c r="C1182" i="26"/>
  <c r="M1182" i="26"/>
  <c r="G1182" i="26"/>
  <c r="AR1182" i="26"/>
  <c r="X1182" i="26"/>
  <c r="V1182" i="26"/>
  <c r="BI1182" i="26"/>
  <c r="BL1182" i="26"/>
  <c r="BD1182" i="26"/>
  <c r="BV571" i="26"/>
  <c r="BE568" i="26"/>
  <c r="E1183" i="26" l="1"/>
  <c r="BE567" i="26"/>
  <c r="BV570" i="26"/>
  <c r="G1183" i="26" l="1"/>
  <c r="BC1183" i="26"/>
  <c r="AV1183" i="55" s="1"/>
  <c r="I1183" i="26"/>
  <c r="D1183" i="26"/>
  <c r="BN1183" i="26"/>
  <c r="AV1183" i="26"/>
  <c r="Q1183" i="26"/>
  <c r="AK1183" i="26"/>
  <c r="R1183" i="26"/>
  <c r="BM1183" i="26"/>
  <c r="BR1183" i="26"/>
  <c r="AY1183" i="26"/>
  <c r="AP1183" i="26"/>
  <c r="AJ1183" i="26"/>
  <c r="S1183" i="26"/>
  <c r="C1183" i="26"/>
  <c r="AX1183" i="26"/>
  <c r="AO1183" i="26"/>
  <c r="BQ1183" i="26"/>
  <c r="BK1183" i="26"/>
  <c r="B1183" i="26"/>
  <c r="A1183" i="26"/>
  <c r="V1183" i="26"/>
  <c r="L1183" i="26"/>
  <c r="K1183" i="26"/>
  <c r="BA1183" i="26"/>
  <c r="AW1183" i="26"/>
  <c r="BL1183" i="26"/>
  <c r="BJ1183" i="26"/>
  <c r="AS1183" i="26"/>
  <c r="T1183" i="26"/>
  <c r="M1183" i="26"/>
  <c r="AR1183" i="26"/>
  <c r="W1183" i="26"/>
  <c r="BI1183" i="26"/>
  <c r="BP1183" i="26"/>
  <c r="H1183" i="26"/>
  <c r="P1183" i="26"/>
  <c r="BO1183" i="26"/>
  <c r="X1183" i="26"/>
  <c r="AM1183" i="26"/>
  <c r="N1183" i="26"/>
  <c r="U1183" i="26"/>
  <c r="O1183" i="26"/>
  <c r="AF1183" i="26"/>
  <c r="AT1183" i="26"/>
  <c r="AU1183" i="26"/>
  <c r="BD1183" i="26"/>
  <c r="BV569" i="26"/>
  <c r="BE566" i="26"/>
  <c r="E1184" i="26" l="1"/>
  <c r="BE565" i="26"/>
  <c r="BV568" i="26"/>
  <c r="V1184" i="26" l="1"/>
  <c r="BC1184" i="26"/>
  <c r="AV1184" i="55" s="1"/>
  <c r="K1184" i="26"/>
  <c r="BN1184" i="26"/>
  <c r="BO1184" i="26"/>
  <c r="AR1184" i="26"/>
  <c r="N1184" i="26"/>
  <c r="S1184" i="26"/>
  <c r="BA1184" i="26"/>
  <c r="H1184" i="26"/>
  <c r="AS1184" i="26"/>
  <c r="D1184" i="26"/>
  <c r="W1184" i="26"/>
  <c r="AU1184" i="26"/>
  <c r="C1184" i="26"/>
  <c r="U1184" i="26"/>
  <c r="B1184" i="26"/>
  <c r="I1184" i="26"/>
  <c r="BQ1184" i="26"/>
  <c r="AK1184" i="26"/>
  <c r="AJ1184" i="26"/>
  <c r="AO1184" i="26"/>
  <c r="AW1184" i="26"/>
  <c r="BL1184" i="26"/>
  <c r="BJ1184" i="26"/>
  <c r="BP1184" i="26"/>
  <c r="AV1184" i="26"/>
  <c r="AF1184" i="26"/>
  <c r="O1184" i="26"/>
  <c r="BK1184" i="26"/>
  <c r="AX1184" i="26"/>
  <c r="L1184" i="26"/>
  <c r="BI1184" i="26"/>
  <c r="X1184" i="26"/>
  <c r="BR1184" i="26"/>
  <c r="A1184" i="26"/>
  <c r="R1184" i="26"/>
  <c r="G1184" i="26"/>
  <c r="AM1184" i="26"/>
  <c r="AY1184" i="26"/>
  <c r="Q1184" i="26"/>
  <c r="P1184" i="26"/>
  <c r="AT1184" i="26"/>
  <c r="AP1184" i="26"/>
  <c r="T1184" i="26"/>
  <c r="BM1184" i="26"/>
  <c r="M1184" i="26"/>
  <c r="BD1184" i="26"/>
  <c r="BV567" i="26"/>
  <c r="BE564" i="26"/>
  <c r="E1185" i="26" l="1"/>
  <c r="BV566" i="26"/>
  <c r="BE563" i="26"/>
  <c r="V1185" i="26" l="1"/>
  <c r="BC1185" i="26"/>
  <c r="AV1185" i="55" s="1"/>
  <c r="G1185" i="26"/>
  <c r="A1185" i="26"/>
  <c r="AK1185" i="26"/>
  <c r="Q1185" i="26"/>
  <c r="P1185" i="26"/>
  <c r="AO1185" i="26"/>
  <c r="K1185" i="26"/>
  <c r="O1185" i="26"/>
  <c r="H1185" i="26"/>
  <c r="BQ1185" i="26"/>
  <c r="L1185" i="26"/>
  <c r="AX1185" i="26"/>
  <c r="AM1185" i="26"/>
  <c r="X1185" i="26"/>
  <c r="AU1185" i="26"/>
  <c r="AJ1185" i="26"/>
  <c r="BN1185" i="26"/>
  <c r="BK1185" i="26"/>
  <c r="U1185" i="26"/>
  <c r="AF1185" i="26"/>
  <c r="BM1185" i="26"/>
  <c r="AV1185" i="26"/>
  <c r="BR1185" i="26"/>
  <c r="B1185" i="26"/>
  <c r="R1185" i="26"/>
  <c r="BL1185" i="26"/>
  <c r="BA1185" i="26"/>
  <c r="BJ1185" i="26"/>
  <c r="M1185" i="26"/>
  <c r="AY1185" i="26"/>
  <c r="BO1185" i="26"/>
  <c r="W1185" i="26"/>
  <c r="D1185" i="26"/>
  <c r="BI1185" i="26"/>
  <c r="AP1185" i="26"/>
  <c r="S1185" i="26"/>
  <c r="T1185" i="26"/>
  <c r="AT1185" i="26"/>
  <c r="AS1185" i="26"/>
  <c r="AW1185" i="26"/>
  <c r="N1185" i="26"/>
  <c r="C1185" i="26"/>
  <c r="BP1185" i="26"/>
  <c r="AR1185" i="26"/>
  <c r="I1185" i="26"/>
  <c r="BD1185" i="26"/>
  <c r="BE562" i="26"/>
  <c r="BV565" i="26"/>
  <c r="E1186" i="26" l="1"/>
  <c r="BD1186" i="26" s="1"/>
  <c r="BV564" i="26"/>
  <c r="BE561" i="26"/>
  <c r="V1186" i="26" l="1"/>
  <c r="BC1186" i="26"/>
  <c r="AV1186" i="55" s="1"/>
  <c r="Q1186" i="26"/>
  <c r="AY1186" i="26"/>
  <c r="M1186" i="26"/>
  <c r="S1186" i="26"/>
  <c r="C1186" i="26"/>
  <c r="AF1186" i="26"/>
  <c r="AV1186" i="26"/>
  <c r="N1186" i="26"/>
  <c r="BP1186" i="26"/>
  <c r="G1186" i="26"/>
  <c r="AJ1186" i="26"/>
  <c r="L1186" i="26"/>
  <c r="BO1186" i="26"/>
  <c r="A1186" i="26"/>
  <c r="H1186" i="26"/>
  <c r="T1186" i="26"/>
  <c r="D1186" i="26"/>
  <c r="R1186" i="26"/>
  <c r="AM1186" i="26"/>
  <c r="AR1186" i="26"/>
  <c r="AX1186" i="26"/>
  <c r="X1186" i="26"/>
  <c r="BJ1186" i="26"/>
  <c r="BI1186" i="26"/>
  <c r="AP1186" i="26"/>
  <c r="O1186" i="26"/>
  <c r="AU1186" i="26"/>
  <c r="BL1186" i="26"/>
  <c r="I1186" i="26"/>
  <c r="AW1186" i="26"/>
  <c r="B1186" i="26"/>
  <c r="W1186" i="26"/>
  <c r="BA1186" i="26"/>
  <c r="AK1186" i="26"/>
  <c r="K1186" i="26"/>
  <c r="AS1186" i="26"/>
  <c r="BR1186" i="26"/>
  <c r="BN1186" i="26"/>
  <c r="AT1186" i="26"/>
  <c r="BQ1186" i="26"/>
  <c r="U1186" i="26"/>
  <c r="BM1186" i="26"/>
  <c r="AO1186" i="26"/>
  <c r="P1186" i="26"/>
  <c r="BK1186" i="26"/>
  <c r="BE560" i="26"/>
  <c r="BV563" i="26"/>
  <c r="E1187" i="26" l="1"/>
  <c r="BV562" i="26"/>
  <c r="BE559" i="26"/>
  <c r="AR1187" i="26" l="1"/>
  <c r="BC1187" i="26"/>
  <c r="AV1187" i="55" s="1"/>
  <c r="BO1187" i="26"/>
  <c r="W1187" i="26"/>
  <c r="Q1187" i="26"/>
  <c r="BJ1187" i="26"/>
  <c r="BA1187" i="26"/>
  <c r="AO1187" i="26"/>
  <c r="A1187" i="26"/>
  <c r="BL1187" i="26"/>
  <c r="H1187" i="26"/>
  <c r="BN1187" i="26"/>
  <c r="G1187" i="26"/>
  <c r="U1187" i="26"/>
  <c r="BM1187" i="26"/>
  <c r="AJ1187" i="26"/>
  <c r="AU1187" i="26"/>
  <c r="AF1187" i="26"/>
  <c r="M1187" i="26"/>
  <c r="BP1187" i="26"/>
  <c r="BK1187" i="26"/>
  <c r="L1187" i="26"/>
  <c r="P1187" i="26"/>
  <c r="BQ1187" i="26"/>
  <c r="AV1187" i="26"/>
  <c r="D1187" i="26"/>
  <c r="X1187" i="26"/>
  <c r="N1187" i="26"/>
  <c r="T1187" i="26"/>
  <c r="AT1187" i="26"/>
  <c r="S1187" i="26"/>
  <c r="AP1187" i="26"/>
  <c r="K1187" i="26"/>
  <c r="AS1187" i="26"/>
  <c r="I1187" i="26"/>
  <c r="AX1187" i="26"/>
  <c r="O1187" i="26"/>
  <c r="AK1187" i="26"/>
  <c r="AY1187" i="26"/>
  <c r="BR1187" i="26"/>
  <c r="AM1187" i="26"/>
  <c r="AW1187" i="26"/>
  <c r="C1187" i="26"/>
  <c r="B1187" i="26"/>
  <c r="BI1187" i="26"/>
  <c r="V1187" i="26"/>
  <c r="R1187" i="26"/>
  <c r="BD1187" i="26"/>
  <c r="BE558" i="26"/>
  <c r="BV561" i="26"/>
  <c r="E1188" i="26" l="1"/>
  <c r="BV560" i="26"/>
  <c r="BE557" i="26"/>
  <c r="V1188" i="26" l="1"/>
  <c r="BC1188" i="26"/>
  <c r="AV1188" i="55" s="1"/>
  <c r="G1188" i="26"/>
  <c r="AY1188" i="26"/>
  <c r="AS1188" i="26"/>
  <c r="D1188" i="26"/>
  <c r="I1188" i="26"/>
  <c r="P1188" i="26"/>
  <c r="BM1188" i="26"/>
  <c r="C1188" i="26"/>
  <c r="X1188" i="26"/>
  <c r="AT1188" i="26"/>
  <c r="AF1188" i="26"/>
  <c r="BK1188" i="26"/>
  <c r="AJ1188" i="26"/>
  <c r="AO1188" i="26"/>
  <c r="BO1188" i="26"/>
  <c r="L1188" i="26"/>
  <c r="N1188" i="26"/>
  <c r="K1188" i="26"/>
  <c r="BJ1188" i="26"/>
  <c r="W1188" i="26"/>
  <c r="U1188" i="26"/>
  <c r="O1188" i="26"/>
  <c r="BP1188" i="26"/>
  <c r="B1188" i="26"/>
  <c r="AV1188" i="26"/>
  <c r="AU1188" i="26"/>
  <c r="AR1188" i="26"/>
  <c r="AX1188" i="26"/>
  <c r="AK1188" i="26"/>
  <c r="AW1188" i="26"/>
  <c r="BR1188" i="26"/>
  <c r="BN1188" i="26"/>
  <c r="Q1188" i="26"/>
  <c r="AM1188" i="26"/>
  <c r="BA1188" i="26"/>
  <c r="M1188" i="26"/>
  <c r="R1188" i="26"/>
  <c r="H1188" i="26"/>
  <c r="T1188" i="26"/>
  <c r="AP1188" i="26"/>
  <c r="A1188" i="26"/>
  <c r="BQ1188" i="26"/>
  <c r="BI1188" i="26"/>
  <c r="S1188" i="26"/>
  <c r="BL1188" i="26"/>
  <c r="BD1188" i="26"/>
  <c r="BE556" i="26"/>
  <c r="BV559" i="26"/>
  <c r="E1189" i="26" l="1"/>
  <c r="BV558" i="26"/>
  <c r="BE555" i="26"/>
  <c r="V1189" i="26" l="1"/>
  <c r="BC1189" i="26"/>
  <c r="AV1189" i="55" s="1"/>
  <c r="AU1189" i="26"/>
  <c r="AK1189" i="26"/>
  <c r="O1189" i="26"/>
  <c r="W1189" i="26"/>
  <c r="BJ1189" i="26"/>
  <c r="S1189" i="26"/>
  <c r="AX1189" i="26"/>
  <c r="N1189" i="26"/>
  <c r="C1189" i="26"/>
  <c r="BO1189" i="26"/>
  <c r="AV1189" i="26"/>
  <c r="AW1189" i="26"/>
  <c r="P1189" i="26"/>
  <c r="BR1189" i="26"/>
  <c r="D1189" i="26"/>
  <c r="AY1189" i="26"/>
  <c r="AS1189" i="26"/>
  <c r="T1189" i="26"/>
  <c r="BM1189" i="26"/>
  <c r="G1189" i="26"/>
  <c r="BP1189" i="26"/>
  <c r="BN1189" i="26"/>
  <c r="Q1189" i="26"/>
  <c r="BI1189" i="26"/>
  <c r="BL1189" i="26"/>
  <c r="BK1189" i="26"/>
  <c r="X1189" i="26"/>
  <c r="AO1189" i="26"/>
  <c r="AF1189" i="26"/>
  <c r="K1189" i="26"/>
  <c r="BQ1189" i="26"/>
  <c r="I1189" i="26"/>
  <c r="BA1189" i="26"/>
  <c r="L1189" i="26"/>
  <c r="AR1189" i="26"/>
  <c r="AP1189" i="26"/>
  <c r="AM1189" i="26"/>
  <c r="H1189" i="26"/>
  <c r="M1189" i="26"/>
  <c r="AJ1189" i="26"/>
  <c r="B1189" i="26"/>
  <c r="AT1189" i="26"/>
  <c r="U1189" i="26"/>
  <c r="R1189" i="26"/>
  <c r="A1189" i="26"/>
  <c r="BD1189" i="26"/>
  <c r="BE554" i="26"/>
  <c r="BV557" i="26"/>
  <c r="E1190" i="26" l="1"/>
  <c r="BV556" i="26"/>
  <c r="BE553" i="26"/>
  <c r="B1190" i="26" l="1"/>
  <c r="BC1190" i="26"/>
  <c r="AV1190" i="55" s="1"/>
  <c r="BK1190" i="26"/>
  <c r="BL1190" i="26"/>
  <c r="S1190" i="26"/>
  <c r="A1190" i="26"/>
  <c r="W1190" i="26"/>
  <c r="C1190" i="26"/>
  <c r="M1190" i="26"/>
  <c r="BJ1190" i="26"/>
  <c r="AT1190" i="26"/>
  <c r="G1190" i="26"/>
  <c r="AM1190" i="26"/>
  <c r="AO1190" i="26"/>
  <c r="BM1190" i="26"/>
  <c r="AY1190" i="26"/>
  <c r="BQ1190" i="26"/>
  <c r="BI1190" i="26"/>
  <c r="AJ1190" i="26"/>
  <c r="T1190" i="26"/>
  <c r="AP1190" i="26"/>
  <c r="D1190" i="26"/>
  <c r="X1190" i="26"/>
  <c r="BP1190" i="26"/>
  <c r="AX1190" i="26"/>
  <c r="K1190" i="26"/>
  <c r="P1190" i="26"/>
  <c r="BO1190" i="26"/>
  <c r="AR1190" i="26"/>
  <c r="AK1190" i="26"/>
  <c r="AW1190" i="26"/>
  <c r="L1190" i="26"/>
  <c r="AF1190" i="26"/>
  <c r="I1190" i="26"/>
  <c r="AV1190" i="26"/>
  <c r="AS1190" i="26"/>
  <c r="U1190" i="26"/>
  <c r="AU1190" i="26"/>
  <c r="BN1190" i="26"/>
  <c r="N1190" i="26"/>
  <c r="R1190" i="26"/>
  <c r="V1190" i="26"/>
  <c r="BA1190" i="26"/>
  <c r="BR1190" i="26"/>
  <c r="H1190" i="26"/>
  <c r="O1190" i="26"/>
  <c r="Q1190" i="26"/>
  <c r="BD1190" i="26"/>
  <c r="BE552" i="26"/>
  <c r="BV555" i="26"/>
  <c r="E1191" i="26" l="1"/>
  <c r="BD1191" i="26" s="1"/>
  <c r="BV554" i="26"/>
  <c r="BE551" i="26"/>
  <c r="BC1191" i="26" l="1"/>
  <c r="AV1191" i="55" s="1"/>
  <c r="O1191" i="26"/>
  <c r="BI1191" i="26"/>
  <c r="W1191" i="26"/>
  <c r="R1191" i="26"/>
  <c r="U1191" i="26"/>
  <c r="K1191" i="26"/>
  <c r="BL1191" i="26"/>
  <c r="X1191" i="26"/>
  <c r="AF1191" i="26"/>
  <c r="AT1191" i="26"/>
  <c r="AS1191" i="26"/>
  <c r="S1191" i="26"/>
  <c r="B1191" i="26"/>
  <c r="AK1191" i="26"/>
  <c r="BN1191" i="26"/>
  <c r="AW1191" i="26"/>
  <c r="BR1191" i="26"/>
  <c r="AX1191" i="26"/>
  <c r="BJ1191" i="26"/>
  <c r="AP1191" i="26"/>
  <c r="C1191" i="26"/>
  <c r="BA1191" i="26"/>
  <c r="AO1191" i="26"/>
  <c r="I1191" i="26"/>
  <c r="M1191" i="26"/>
  <c r="AM1191" i="26"/>
  <c r="Q1191" i="26"/>
  <c r="AU1191" i="26"/>
  <c r="BQ1191" i="26"/>
  <c r="BO1191" i="26"/>
  <c r="L1191" i="26"/>
  <c r="N1191" i="26"/>
  <c r="AV1191" i="26"/>
  <c r="D1191" i="26"/>
  <c r="AY1191" i="26"/>
  <c r="BM1191" i="26"/>
  <c r="T1191" i="26"/>
  <c r="BP1191" i="26"/>
  <c r="H1191" i="26"/>
  <c r="BK1191" i="26"/>
  <c r="V1191" i="26"/>
  <c r="A1191" i="26"/>
  <c r="P1191" i="26"/>
  <c r="G1191" i="26"/>
  <c r="AJ1191" i="26"/>
  <c r="AR1191" i="26"/>
  <c r="BE550" i="26"/>
  <c r="BV553" i="26"/>
  <c r="E1192" i="26" l="1"/>
  <c r="BV552" i="26"/>
  <c r="BE549" i="26"/>
  <c r="BC1192" i="26" l="1"/>
  <c r="AV1192" i="55" s="1"/>
  <c r="D1192" i="26"/>
  <c r="AP1192" i="26"/>
  <c r="X1192" i="26"/>
  <c r="BR1192" i="26"/>
  <c r="AW1192" i="26"/>
  <c r="BP1192" i="26"/>
  <c r="G1192" i="26"/>
  <c r="AO1192" i="26"/>
  <c r="BN1192" i="26"/>
  <c r="BA1192" i="26"/>
  <c r="BL1192" i="26"/>
  <c r="P1192" i="26"/>
  <c r="B1192" i="26"/>
  <c r="BK1192" i="26"/>
  <c r="AK1192" i="26"/>
  <c r="A1192" i="26"/>
  <c r="AY1192" i="26"/>
  <c r="BQ1192" i="26"/>
  <c r="W1192" i="26"/>
  <c r="BJ1192" i="26"/>
  <c r="AM1192" i="26"/>
  <c r="AS1192" i="26"/>
  <c r="Q1192" i="26"/>
  <c r="C1192" i="26"/>
  <c r="V1192" i="26"/>
  <c r="AV1192" i="26"/>
  <c r="K1192" i="26"/>
  <c r="AF1192" i="26"/>
  <c r="N1192" i="26"/>
  <c r="BM1192" i="26"/>
  <c r="BO1192" i="26"/>
  <c r="M1192" i="26"/>
  <c r="R1192" i="26"/>
  <c r="U1192" i="26"/>
  <c r="AJ1192" i="26"/>
  <c r="AU1192" i="26"/>
  <c r="L1192" i="26"/>
  <c r="O1192" i="26"/>
  <c r="H1192" i="26"/>
  <c r="AT1192" i="26"/>
  <c r="AX1192" i="26"/>
  <c r="BI1192" i="26"/>
  <c r="T1192" i="26"/>
  <c r="S1192" i="26"/>
  <c r="AR1192" i="26"/>
  <c r="I1192" i="26"/>
  <c r="BD1192" i="26"/>
  <c r="BV551" i="26"/>
  <c r="BE548" i="26"/>
  <c r="E1193" i="26" l="1"/>
  <c r="BE547" i="26"/>
  <c r="BV550" i="26"/>
  <c r="BC1193" i="26" l="1"/>
  <c r="AV1193" i="55" s="1"/>
  <c r="T1193" i="26"/>
  <c r="BR1193" i="26"/>
  <c r="A1193" i="26"/>
  <c r="BK1193" i="26"/>
  <c r="BP1193" i="26"/>
  <c r="AY1193" i="26"/>
  <c r="AT1193" i="26"/>
  <c r="AP1193" i="26"/>
  <c r="K1193" i="26"/>
  <c r="R1193" i="26"/>
  <c r="C1193" i="26"/>
  <c r="V1193" i="26"/>
  <c r="H1193" i="26"/>
  <c r="B1193" i="26"/>
  <c r="AM1193" i="26"/>
  <c r="I1193" i="26"/>
  <c r="BM1193" i="26"/>
  <c r="AR1193" i="26"/>
  <c r="BN1193" i="26"/>
  <c r="AU1193" i="26"/>
  <c r="BI1193" i="26"/>
  <c r="AS1193" i="26"/>
  <c r="S1193" i="26"/>
  <c r="Q1193" i="26"/>
  <c r="M1193" i="26"/>
  <c r="BQ1193" i="26"/>
  <c r="AX1193" i="26"/>
  <c r="P1193" i="26"/>
  <c r="BO1193" i="26"/>
  <c r="D1193" i="26"/>
  <c r="AF1193" i="26"/>
  <c r="BL1193" i="26"/>
  <c r="O1193" i="26"/>
  <c r="BJ1193" i="26"/>
  <c r="L1193" i="26"/>
  <c r="G1193" i="26"/>
  <c r="BA1193" i="26"/>
  <c r="AK1193" i="26"/>
  <c r="X1193" i="26"/>
  <c r="AJ1193" i="26"/>
  <c r="AW1193" i="26"/>
  <c r="AO1193" i="26"/>
  <c r="U1193" i="26"/>
  <c r="AV1193" i="26"/>
  <c r="W1193" i="26"/>
  <c r="N1193" i="26"/>
  <c r="BD1193" i="26"/>
  <c r="BV549" i="26"/>
  <c r="BE546" i="26"/>
  <c r="E1194" i="26" l="1"/>
  <c r="BE545" i="26"/>
  <c r="BV548" i="26"/>
  <c r="BC1194" i="26" l="1"/>
  <c r="AV1194" i="55" s="1"/>
  <c r="AM1194" i="26"/>
  <c r="AV1194" i="26"/>
  <c r="BA1194" i="26"/>
  <c r="W1194" i="26"/>
  <c r="N1194" i="26"/>
  <c r="A1194" i="26"/>
  <c r="AR1194" i="26"/>
  <c r="AJ1194" i="26"/>
  <c r="BK1194" i="26"/>
  <c r="AT1194" i="26"/>
  <c r="BQ1194" i="26"/>
  <c r="G1194" i="26"/>
  <c r="BM1194" i="26"/>
  <c r="AP1194" i="26"/>
  <c r="U1194" i="26"/>
  <c r="T1194" i="26"/>
  <c r="R1194" i="26"/>
  <c r="AX1194" i="26"/>
  <c r="K1194" i="26"/>
  <c r="BL1194" i="26"/>
  <c r="I1194" i="26"/>
  <c r="AW1194" i="26"/>
  <c r="Q1194" i="26"/>
  <c r="AU1194" i="26"/>
  <c r="D1194" i="26"/>
  <c r="BN1194" i="26"/>
  <c r="AO1194" i="26"/>
  <c r="AY1194" i="26"/>
  <c r="C1194" i="26"/>
  <c r="H1194" i="26"/>
  <c r="BJ1194" i="26"/>
  <c r="BI1194" i="26"/>
  <c r="L1194" i="26"/>
  <c r="S1194" i="26"/>
  <c r="B1194" i="26"/>
  <c r="X1194" i="26"/>
  <c r="BR1194" i="26"/>
  <c r="O1194" i="26"/>
  <c r="P1194" i="26"/>
  <c r="BP1194" i="26"/>
  <c r="AS1194" i="26"/>
  <c r="V1194" i="26"/>
  <c r="AK1194" i="26"/>
  <c r="AF1194" i="26"/>
  <c r="M1194" i="26"/>
  <c r="BO1194" i="26"/>
  <c r="BD1194" i="26"/>
  <c r="BV547" i="26"/>
  <c r="BE544" i="26"/>
  <c r="E1195" i="26" l="1"/>
  <c r="BE543" i="26"/>
  <c r="BV546" i="26"/>
  <c r="BC1195" i="26" l="1"/>
  <c r="AV1195" i="55" s="1"/>
  <c r="AM1195" i="26"/>
  <c r="BJ1195" i="26"/>
  <c r="AU1195" i="26"/>
  <c r="I1195" i="26"/>
  <c r="Q1195" i="26"/>
  <c r="AX1195" i="26"/>
  <c r="K1195" i="26"/>
  <c r="BI1195" i="26"/>
  <c r="AF1195" i="26"/>
  <c r="T1195" i="26"/>
  <c r="U1195" i="26"/>
  <c r="BQ1195" i="26"/>
  <c r="L1195" i="26"/>
  <c r="W1195" i="26"/>
  <c r="BA1195" i="26"/>
  <c r="AS1195" i="26"/>
  <c r="BN1195" i="26"/>
  <c r="BM1195" i="26"/>
  <c r="V1195" i="26"/>
  <c r="BP1195" i="26"/>
  <c r="M1195" i="26"/>
  <c r="BO1195" i="26"/>
  <c r="AK1195" i="26"/>
  <c r="D1195" i="26"/>
  <c r="H1195" i="26"/>
  <c r="AO1195" i="26"/>
  <c r="B1195" i="26"/>
  <c r="P1195" i="26"/>
  <c r="AP1195" i="26"/>
  <c r="N1195" i="26"/>
  <c r="C1195" i="26"/>
  <c r="AW1195" i="26"/>
  <c r="AJ1195" i="26"/>
  <c r="AV1195" i="26"/>
  <c r="R1195" i="26"/>
  <c r="X1195" i="26"/>
  <c r="BK1195" i="26"/>
  <c r="AY1195" i="26"/>
  <c r="AR1195" i="26"/>
  <c r="AT1195" i="26"/>
  <c r="O1195" i="26"/>
  <c r="BR1195" i="26"/>
  <c r="S1195" i="26"/>
  <c r="BL1195" i="26"/>
  <c r="A1195" i="26"/>
  <c r="G1195" i="26"/>
  <c r="BD1195" i="26"/>
  <c r="BV545" i="26"/>
  <c r="BE542" i="26"/>
  <c r="E1196" i="26" l="1"/>
  <c r="BE541" i="26"/>
  <c r="BV544" i="26"/>
  <c r="BC1196" i="26" l="1"/>
  <c r="AV1196" i="55" s="1"/>
  <c r="BO1196" i="26"/>
  <c r="B1196" i="26"/>
  <c r="BP1196" i="26"/>
  <c r="I1196" i="26"/>
  <c r="P1196" i="26"/>
  <c r="N1196" i="26"/>
  <c r="AY1196" i="26"/>
  <c r="C1196" i="26"/>
  <c r="AU1196" i="26"/>
  <c r="T1196" i="26"/>
  <c r="W1196" i="26"/>
  <c r="A1196" i="26"/>
  <c r="AM1196" i="26"/>
  <c r="O1196" i="26"/>
  <c r="D1196" i="26"/>
  <c r="AF1196" i="26"/>
  <c r="K1196" i="26"/>
  <c r="S1196" i="26"/>
  <c r="AV1196" i="26"/>
  <c r="X1196" i="26"/>
  <c r="AR1196" i="26"/>
  <c r="BA1196" i="26"/>
  <c r="AT1196" i="26"/>
  <c r="AP1196" i="26"/>
  <c r="BR1196" i="26"/>
  <c r="BQ1196" i="26"/>
  <c r="R1196" i="26"/>
  <c r="M1196" i="26"/>
  <c r="AS1196" i="26"/>
  <c r="BK1196" i="26"/>
  <c r="L1196" i="26"/>
  <c r="BI1196" i="26"/>
  <c r="Q1196" i="26"/>
  <c r="BJ1196" i="26"/>
  <c r="BM1196" i="26"/>
  <c r="H1196" i="26"/>
  <c r="AJ1196" i="26"/>
  <c r="AK1196" i="26"/>
  <c r="V1196" i="26"/>
  <c r="AX1196" i="26"/>
  <c r="AW1196" i="26"/>
  <c r="BL1196" i="26"/>
  <c r="AO1196" i="26"/>
  <c r="BN1196" i="26"/>
  <c r="G1196" i="26"/>
  <c r="U1196" i="26"/>
  <c r="BD1196" i="26"/>
  <c r="BV543" i="26"/>
  <c r="BE540" i="26"/>
  <c r="E1197" i="26" l="1"/>
  <c r="BE539" i="26"/>
  <c r="BV542" i="26"/>
  <c r="BC1197" i="26" l="1"/>
  <c r="AV1197" i="55" s="1"/>
  <c r="AM1197" i="26"/>
  <c r="AR1197" i="26"/>
  <c r="M1197" i="26"/>
  <c r="AS1197" i="26"/>
  <c r="BL1197" i="26"/>
  <c r="Q1197" i="26"/>
  <c r="S1197" i="26"/>
  <c r="AW1197" i="26"/>
  <c r="H1197" i="26"/>
  <c r="BK1197" i="26"/>
  <c r="V1197" i="26"/>
  <c r="R1197" i="26"/>
  <c r="A1197" i="26"/>
  <c r="AT1197" i="26"/>
  <c r="AO1197" i="26"/>
  <c r="W1197" i="26"/>
  <c r="AU1197" i="26"/>
  <c r="O1197" i="26"/>
  <c r="L1197" i="26"/>
  <c r="AP1197" i="26"/>
  <c r="B1197" i="26"/>
  <c r="P1197" i="26"/>
  <c r="BI1197" i="26"/>
  <c r="BA1197" i="26"/>
  <c r="BN1197" i="26"/>
  <c r="D1197" i="26"/>
  <c r="K1197" i="26"/>
  <c r="BO1197" i="26"/>
  <c r="X1197" i="26"/>
  <c r="AV1197" i="26"/>
  <c r="BM1197" i="26"/>
  <c r="AX1197" i="26"/>
  <c r="T1197" i="26"/>
  <c r="U1197" i="26"/>
  <c r="I1197" i="26"/>
  <c r="G1197" i="26"/>
  <c r="AY1197" i="26"/>
  <c r="BQ1197" i="26"/>
  <c r="N1197" i="26"/>
  <c r="AK1197" i="26"/>
  <c r="BJ1197" i="26"/>
  <c r="AF1197" i="26"/>
  <c r="BR1197" i="26"/>
  <c r="AJ1197" i="26"/>
  <c r="C1197" i="26"/>
  <c r="BP1197" i="26"/>
  <c r="BD1197" i="26"/>
  <c r="BV541" i="26"/>
  <c r="BE538" i="26"/>
  <c r="E1198" i="26" l="1"/>
  <c r="BE537" i="26"/>
  <c r="BV540" i="26"/>
  <c r="BC1198" i="26" l="1"/>
  <c r="AV1198" i="55" s="1"/>
  <c r="BI1198" i="26"/>
  <c r="X1198" i="26"/>
  <c r="U1198" i="26"/>
  <c r="AY1198" i="26"/>
  <c r="AX1198" i="26"/>
  <c r="B1198" i="26"/>
  <c r="BJ1198" i="26"/>
  <c r="BO1198" i="26"/>
  <c r="BQ1198" i="26"/>
  <c r="BN1198" i="26"/>
  <c r="AW1198" i="26"/>
  <c r="AS1198" i="26"/>
  <c r="AF1198" i="26"/>
  <c r="P1198" i="26"/>
  <c r="I1198" i="26"/>
  <c r="AK1198" i="26"/>
  <c r="L1198" i="26"/>
  <c r="BA1198" i="26"/>
  <c r="AO1198" i="26"/>
  <c r="T1198" i="26"/>
  <c r="N1198" i="26"/>
  <c r="AT1198" i="26"/>
  <c r="AV1198" i="26"/>
  <c r="D1198" i="26"/>
  <c r="AR1198" i="26"/>
  <c r="AM1198" i="26"/>
  <c r="AP1198" i="26"/>
  <c r="H1198" i="26"/>
  <c r="O1198" i="26"/>
  <c r="AU1198" i="26"/>
  <c r="BR1198" i="26"/>
  <c r="AJ1198" i="26"/>
  <c r="G1198" i="26"/>
  <c r="BK1198" i="26"/>
  <c r="BM1198" i="26"/>
  <c r="C1198" i="26"/>
  <c r="R1198" i="26"/>
  <c r="Q1198" i="26"/>
  <c r="V1198" i="26"/>
  <c r="W1198" i="26"/>
  <c r="BP1198" i="26"/>
  <c r="M1198" i="26"/>
  <c r="A1198" i="26"/>
  <c r="S1198" i="26"/>
  <c r="K1198" i="26"/>
  <c r="BL1198" i="26"/>
  <c r="BD1198" i="26"/>
  <c r="BV539" i="26"/>
  <c r="BE536" i="26"/>
  <c r="E1199" i="26" l="1"/>
  <c r="BE535" i="26"/>
  <c r="BV538" i="26"/>
  <c r="BC1199" i="26" l="1"/>
  <c r="AV1199" i="55" s="1"/>
  <c r="A1199" i="26"/>
  <c r="C1199" i="26"/>
  <c r="O1199" i="26"/>
  <c r="BL1199" i="26"/>
  <c r="AS1199" i="26"/>
  <c r="I1199" i="26"/>
  <c r="AX1199" i="26"/>
  <c r="L1199" i="26"/>
  <c r="Q1199" i="26"/>
  <c r="M1199" i="26"/>
  <c r="BR1199" i="26"/>
  <c r="V1199" i="26"/>
  <c r="P1199" i="26"/>
  <c r="AV1199" i="26"/>
  <c r="BN1199" i="26"/>
  <c r="BQ1199" i="26"/>
  <c r="AW1199" i="26"/>
  <c r="BP1199" i="26"/>
  <c r="BM1199" i="26"/>
  <c r="BI1199" i="26"/>
  <c r="BA1199" i="26"/>
  <c r="AU1199" i="26"/>
  <c r="AM1199" i="26"/>
  <c r="U1199" i="26"/>
  <c r="BO1199" i="26"/>
  <c r="W1199" i="26"/>
  <c r="D1199" i="26"/>
  <c r="T1199" i="26"/>
  <c r="AP1199" i="26"/>
  <c r="G1199" i="26"/>
  <c r="AR1199" i="26"/>
  <c r="N1199" i="26"/>
  <c r="B1199" i="26"/>
  <c r="AO1199" i="26"/>
  <c r="H1199" i="26"/>
  <c r="AT1199" i="26"/>
  <c r="AF1199" i="26"/>
  <c r="S1199" i="26"/>
  <c r="AJ1199" i="26"/>
  <c r="AY1199" i="26"/>
  <c r="AK1199" i="26"/>
  <c r="R1199" i="26"/>
  <c r="BJ1199" i="26"/>
  <c r="X1199" i="26"/>
  <c r="K1199" i="26"/>
  <c r="BK1199" i="26"/>
  <c r="BD1199" i="26"/>
  <c r="BV537" i="26"/>
  <c r="BE534" i="26"/>
  <c r="E1200" i="26" l="1"/>
  <c r="BE533" i="26"/>
  <c r="BV536" i="26"/>
  <c r="BC1200" i="26" l="1"/>
  <c r="AV1200" i="55" s="1"/>
  <c r="AR1200" i="26"/>
  <c r="Q1200" i="26"/>
  <c r="A1200" i="26"/>
  <c r="W1200" i="26"/>
  <c r="AS1200" i="26"/>
  <c r="B1200" i="26"/>
  <c r="AX1200" i="26"/>
  <c r="P1200" i="26"/>
  <c r="AP1200" i="26"/>
  <c r="AT1200" i="26"/>
  <c r="BR1200" i="26"/>
  <c r="K1200" i="26"/>
  <c r="V1200" i="26"/>
  <c r="BA1200" i="26"/>
  <c r="H1200" i="26"/>
  <c r="BK1200" i="26"/>
  <c r="BQ1200" i="26"/>
  <c r="R1200" i="26"/>
  <c r="BJ1200" i="26"/>
  <c r="S1200" i="26"/>
  <c r="AY1200" i="26"/>
  <c r="AO1200" i="26"/>
  <c r="BN1200" i="26"/>
  <c r="C1200" i="26"/>
  <c r="L1200" i="26"/>
  <c r="D1200" i="26"/>
  <c r="BO1200" i="26"/>
  <c r="T1200" i="26"/>
  <c r="X1200" i="26"/>
  <c r="BI1200" i="26"/>
  <c r="O1200" i="26"/>
  <c r="U1200" i="26"/>
  <c r="AU1200" i="26"/>
  <c r="G1200" i="26"/>
  <c r="N1200" i="26"/>
  <c r="AK1200" i="26"/>
  <c r="AW1200" i="26"/>
  <c r="AF1200" i="26"/>
  <c r="M1200" i="26"/>
  <c r="BM1200" i="26"/>
  <c r="AM1200" i="26"/>
  <c r="AV1200" i="26"/>
  <c r="BP1200" i="26"/>
  <c r="AJ1200" i="26"/>
  <c r="BL1200" i="26"/>
  <c r="I1200" i="26"/>
  <c r="BD1200" i="26"/>
  <c r="BV535" i="26"/>
  <c r="BE532" i="26"/>
  <c r="E1201" i="26" l="1"/>
  <c r="BE531" i="26"/>
  <c r="BV534" i="26"/>
  <c r="BC1201" i="26" l="1"/>
  <c r="AV1201" i="55" s="1"/>
  <c r="AW1201" i="26"/>
  <c r="BI1201" i="26"/>
  <c r="AX1201" i="26"/>
  <c r="BA1201" i="26"/>
  <c r="S1201" i="26"/>
  <c r="AO1201" i="26"/>
  <c r="BJ1201" i="26"/>
  <c r="AR1201" i="26"/>
  <c r="AF1201" i="26"/>
  <c r="BN1201" i="26"/>
  <c r="BP1201" i="26"/>
  <c r="I1201" i="26"/>
  <c r="AT1201" i="26"/>
  <c r="BQ1201" i="26"/>
  <c r="AU1201" i="26"/>
  <c r="H1201" i="26"/>
  <c r="L1201" i="26"/>
  <c r="C1201" i="26"/>
  <c r="BM1201" i="26"/>
  <c r="B1201" i="26"/>
  <c r="W1201" i="26"/>
  <c r="X1201" i="26"/>
  <c r="AS1201" i="26"/>
  <c r="V1201" i="26"/>
  <c r="AM1201" i="26"/>
  <c r="K1201" i="26"/>
  <c r="AJ1201" i="26"/>
  <c r="T1201" i="26"/>
  <c r="BR1201" i="26"/>
  <c r="AP1201" i="26"/>
  <c r="N1201" i="26"/>
  <c r="A1201" i="26"/>
  <c r="AY1201" i="26"/>
  <c r="AK1201" i="26"/>
  <c r="Q1201" i="26"/>
  <c r="G1201" i="26"/>
  <c r="R1201" i="26"/>
  <c r="D1201" i="26"/>
  <c r="BK1201" i="26"/>
  <c r="AV1201" i="26"/>
  <c r="U1201" i="26"/>
  <c r="O1201" i="26"/>
  <c r="BO1201" i="26"/>
  <c r="P1201" i="26"/>
  <c r="BL1201" i="26"/>
  <c r="M1201" i="26"/>
  <c r="BD1201" i="26"/>
  <c r="BV533" i="26"/>
  <c r="BE530" i="26"/>
  <c r="E1202" i="26" l="1"/>
  <c r="BE529" i="26"/>
  <c r="BV532" i="26"/>
  <c r="BC1202" i="26" l="1"/>
  <c r="AV1202" i="55" s="1"/>
  <c r="BP1202" i="26"/>
  <c r="AF1202" i="26"/>
  <c r="AK1202" i="26"/>
  <c r="AT1202" i="26"/>
  <c r="BM1202" i="26"/>
  <c r="AS1202" i="26"/>
  <c r="AR1202" i="26"/>
  <c r="V1202" i="26"/>
  <c r="R1202" i="26"/>
  <c r="N1202" i="26"/>
  <c r="L1202" i="26"/>
  <c r="AY1202" i="26"/>
  <c r="BI1202" i="26"/>
  <c r="X1202" i="26"/>
  <c r="BL1202" i="26"/>
  <c r="P1202" i="26"/>
  <c r="I1202" i="26"/>
  <c r="BA1202" i="26"/>
  <c r="AV1202" i="26"/>
  <c r="AO1202" i="26"/>
  <c r="S1202" i="26"/>
  <c r="W1202" i="26"/>
  <c r="B1202" i="26"/>
  <c r="BO1202" i="26"/>
  <c r="U1202" i="26"/>
  <c r="AM1202" i="26"/>
  <c r="AJ1202" i="26"/>
  <c r="BJ1202" i="26"/>
  <c r="K1202" i="26"/>
  <c r="BQ1202" i="26"/>
  <c r="M1202" i="26"/>
  <c r="H1202" i="26"/>
  <c r="G1202" i="26"/>
  <c r="A1202" i="26"/>
  <c r="BR1202" i="26"/>
  <c r="BN1202" i="26"/>
  <c r="Q1202" i="26"/>
  <c r="BK1202" i="26"/>
  <c r="D1202" i="26"/>
  <c r="AP1202" i="26"/>
  <c r="T1202" i="26"/>
  <c r="AX1202" i="26"/>
  <c r="C1202" i="26"/>
  <c r="AU1202" i="26"/>
  <c r="O1202" i="26"/>
  <c r="AW1202" i="26"/>
  <c r="BD1202" i="26"/>
  <c r="BV531" i="26"/>
  <c r="BE528" i="26"/>
  <c r="E1203" i="26" l="1"/>
  <c r="BE527" i="26"/>
  <c r="BV530" i="26"/>
  <c r="BC1203" i="26" l="1"/>
  <c r="AV1203" i="55" s="1"/>
  <c r="AY1203" i="26"/>
  <c r="G1203" i="26"/>
  <c r="H1203" i="26"/>
  <c r="BJ1203" i="26"/>
  <c r="K1203" i="26"/>
  <c r="L1203" i="26"/>
  <c r="AM1203" i="26"/>
  <c r="BN1203" i="26"/>
  <c r="V1203" i="26"/>
  <c r="BR1203" i="26"/>
  <c r="M1203" i="26"/>
  <c r="O1203" i="26"/>
  <c r="X1203" i="26"/>
  <c r="BP1203" i="26"/>
  <c r="AX1203" i="26"/>
  <c r="C1203" i="26"/>
  <c r="AF1203" i="26"/>
  <c r="S1203" i="26"/>
  <c r="I1203" i="26"/>
  <c r="AP1203" i="26"/>
  <c r="AJ1203" i="26"/>
  <c r="BM1203" i="26"/>
  <c r="AR1203" i="26"/>
  <c r="BQ1203" i="26"/>
  <c r="W1203" i="26"/>
  <c r="D1203" i="26"/>
  <c r="AS1203" i="26"/>
  <c r="AW1203" i="26"/>
  <c r="BI1203" i="26"/>
  <c r="R1203" i="26"/>
  <c r="Q1203" i="26"/>
  <c r="A1203" i="26"/>
  <c r="P1203" i="26"/>
  <c r="BK1203" i="26"/>
  <c r="AU1203" i="26"/>
  <c r="BL1203" i="26"/>
  <c r="T1203" i="26"/>
  <c r="N1203" i="26"/>
  <c r="AO1203" i="26"/>
  <c r="BO1203" i="26"/>
  <c r="BA1203" i="26"/>
  <c r="AT1203" i="26"/>
  <c r="AV1203" i="26"/>
  <c r="B1203" i="26"/>
  <c r="U1203" i="26"/>
  <c r="AK1203" i="26"/>
  <c r="BD1203" i="26"/>
  <c r="BV529" i="26"/>
  <c r="BE526" i="26"/>
  <c r="E1204" i="26" l="1"/>
  <c r="BE525" i="26"/>
  <c r="BV528" i="26"/>
  <c r="BC1204" i="26" l="1"/>
  <c r="AV1204" i="55" s="1"/>
  <c r="BR1204" i="26"/>
  <c r="AK1204" i="26"/>
  <c r="AM1204" i="26"/>
  <c r="AT1204" i="26"/>
  <c r="BQ1204" i="26"/>
  <c r="BO1204" i="26"/>
  <c r="BP1204" i="26"/>
  <c r="I1204" i="26"/>
  <c r="AU1204" i="26"/>
  <c r="B1204" i="26"/>
  <c r="BJ1204" i="26"/>
  <c r="U1204" i="26"/>
  <c r="N1204" i="26"/>
  <c r="X1204" i="26"/>
  <c r="O1204" i="26"/>
  <c r="AV1204" i="26"/>
  <c r="S1204" i="26"/>
  <c r="BN1204" i="26"/>
  <c r="W1204" i="26"/>
  <c r="AJ1204" i="26"/>
  <c r="AF1204" i="26"/>
  <c r="G1204" i="26"/>
  <c r="AR1204" i="26"/>
  <c r="V1204" i="26"/>
  <c r="T1204" i="26"/>
  <c r="P1204" i="26"/>
  <c r="BM1204" i="26"/>
  <c r="L1204" i="26"/>
  <c r="AX1204" i="26"/>
  <c r="R1204" i="26"/>
  <c r="AO1204" i="26"/>
  <c r="BL1204" i="26"/>
  <c r="AY1204" i="26"/>
  <c r="K1204" i="26"/>
  <c r="AS1204" i="26"/>
  <c r="D1204" i="26"/>
  <c r="BK1204" i="26"/>
  <c r="Q1204" i="26"/>
  <c r="BI1204" i="26"/>
  <c r="A1204" i="26"/>
  <c r="C1204" i="26"/>
  <c r="AW1204" i="26"/>
  <c r="BA1204" i="26"/>
  <c r="H1204" i="26"/>
  <c r="M1204" i="26"/>
  <c r="AP1204" i="26"/>
  <c r="BD1204" i="26"/>
  <c r="BV527" i="26"/>
  <c r="BE524" i="26"/>
  <c r="E1205" i="26" l="1"/>
  <c r="BE523" i="26"/>
  <c r="BV526" i="26"/>
  <c r="BC1205" i="26" l="1"/>
  <c r="AV1205" i="55" s="1"/>
  <c r="BP1205" i="26"/>
  <c r="X1205" i="26"/>
  <c r="I1205" i="26"/>
  <c r="C1205" i="26"/>
  <c r="G1205" i="26"/>
  <c r="AS1205" i="26"/>
  <c r="U1205" i="26"/>
  <c r="A1205" i="26"/>
  <c r="R1205" i="26"/>
  <c r="D1205" i="26"/>
  <c r="BI1205" i="26"/>
  <c r="P1205" i="26"/>
  <c r="B1205" i="26"/>
  <c r="AX1205" i="26"/>
  <c r="W1205" i="26"/>
  <c r="L1205" i="26"/>
  <c r="T1205" i="26"/>
  <c r="BO1205" i="26"/>
  <c r="BK1205" i="26"/>
  <c r="BR1205" i="26"/>
  <c r="AR1205" i="26"/>
  <c r="AP1205" i="26"/>
  <c r="BL1205" i="26"/>
  <c r="BQ1205" i="26"/>
  <c r="M1205" i="26"/>
  <c r="BN1205" i="26"/>
  <c r="AO1205" i="26"/>
  <c r="AV1205" i="26"/>
  <c r="O1205" i="26"/>
  <c r="AF1205" i="26"/>
  <c r="BA1205" i="26"/>
  <c r="Q1205" i="26"/>
  <c r="N1205" i="26"/>
  <c r="AJ1205" i="26"/>
  <c r="AY1205" i="26"/>
  <c r="BJ1205" i="26"/>
  <c r="AK1205" i="26"/>
  <c r="K1205" i="26"/>
  <c r="BM1205" i="26"/>
  <c r="H1205" i="26"/>
  <c r="V1205" i="26"/>
  <c r="S1205" i="26"/>
  <c r="AW1205" i="26"/>
  <c r="AM1205" i="26"/>
  <c r="AU1205" i="26"/>
  <c r="AT1205" i="26"/>
  <c r="BD1205" i="26"/>
  <c r="BV525" i="26"/>
  <c r="BE522" i="26"/>
  <c r="E1206" i="26" l="1"/>
  <c r="BE521" i="26"/>
  <c r="BV524" i="26"/>
  <c r="BC1206" i="26" l="1"/>
  <c r="AV1206" i="55" s="1"/>
  <c r="AM1206" i="26"/>
  <c r="L1206" i="26"/>
  <c r="BI1206" i="26"/>
  <c r="AR1206" i="26"/>
  <c r="BJ1206" i="26"/>
  <c r="BN1206" i="26"/>
  <c r="AO1206" i="26"/>
  <c r="V1206" i="26"/>
  <c r="AS1206" i="26"/>
  <c r="AV1206" i="26"/>
  <c r="BL1206" i="26"/>
  <c r="BP1206" i="26"/>
  <c r="BR1206" i="26"/>
  <c r="Q1206" i="26"/>
  <c r="T1206" i="26"/>
  <c r="BM1206" i="26"/>
  <c r="P1206" i="26"/>
  <c r="N1206" i="26"/>
  <c r="D1206" i="26"/>
  <c r="H1206" i="26"/>
  <c r="AY1206" i="26"/>
  <c r="AK1206" i="26"/>
  <c r="R1206" i="26"/>
  <c r="S1206" i="26"/>
  <c r="M1206" i="26"/>
  <c r="BK1206" i="26"/>
  <c r="K1206" i="26"/>
  <c r="AJ1206" i="26"/>
  <c r="AP1206" i="26"/>
  <c r="W1206" i="26"/>
  <c r="BO1206" i="26"/>
  <c r="AW1206" i="26"/>
  <c r="B1206" i="26"/>
  <c r="BQ1206" i="26"/>
  <c r="C1206" i="26"/>
  <c r="I1206" i="26"/>
  <c r="AU1206" i="26"/>
  <c r="U1206" i="26"/>
  <c r="AF1206" i="26"/>
  <c r="AT1206" i="26"/>
  <c r="O1206" i="26"/>
  <c r="A1206" i="26"/>
  <c r="AX1206" i="26"/>
  <c r="BA1206" i="26"/>
  <c r="G1206" i="26"/>
  <c r="X1206" i="26"/>
  <c r="BD1206" i="26"/>
  <c r="BV523" i="26"/>
  <c r="BE520" i="26"/>
  <c r="E1207" i="26" l="1"/>
  <c r="BV522" i="26"/>
  <c r="BE519" i="26"/>
  <c r="BC1207" i="26" l="1"/>
  <c r="AV1207" i="55" s="1"/>
  <c r="AT1207" i="26"/>
  <c r="BQ1207" i="26"/>
  <c r="BM1207" i="26"/>
  <c r="S1207" i="26"/>
  <c r="A1207" i="26"/>
  <c r="L1207" i="26"/>
  <c r="AJ1207" i="26"/>
  <c r="AS1207" i="26"/>
  <c r="K1207" i="26"/>
  <c r="M1207" i="26"/>
  <c r="R1207" i="26"/>
  <c r="B1207" i="26"/>
  <c r="T1207" i="26"/>
  <c r="I1207" i="26"/>
  <c r="BR1207" i="26"/>
  <c r="BP1207" i="26"/>
  <c r="N1207" i="26"/>
  <c r="BL1207" i="26"/>
  <c r="AW1207" i="26"/>
  <c r="C1207" i="26"/>
  <c r="AM1207" i="26"/>
  <c r="BO1207" i="26"/>
  <c r="V1207" i="26"/>
  <c r="BN1207" i="26"/>
  <c r="BI1207" i="26"/>
  <c r="AR1207" i="26"/>
  <c r="BA1207" i="26"/>
  <c r="AP1207" i="26"/>
  <c r="G1207" i="26"/>
  <c r="AF1207" i="26"/>
  <c r="BK1207" i="26"/>
  <c r="P1207" i="26"/>
  <c r="H1207" i="26"/>
  <c r="AY1207" i="26"/>
  <c r="X1207" i="26"/>
  <c r="U1207" i="26"/>
  <c r="W1207" i="26"/>
  <c r="O1207" i="26"/>
  <c r="AK1207" i="26"/>
  <c r="AX1207" i="26"/>
  <c r="AU1207" i="26"/>
  <c r="D1207" i="26"/>
  <c r="AV1207" i="26"/>
  <c r="Q1207" i="26"/>
  <c r="BJ1207" i="26"/>
  <c r="AO1207" i="26"/>
  <c r="BD1207" i="26"/>
  <c r="BE518" i="26"/>
  <c r="BV521" i="26"/>
  <c r="E1208" i="26" l="1"/>
  <c r="BV520" i="26"/>
  <c r="BE517" i="26"/>
  <c r="BC1208" i="26" l="1"/>
  <c r="AV1208" i="55" s="1"/>
  <c r="L1208" i="26"/>
  <c r="BQ1208" i="26"/>
  <c r="P1208" i="26"/>
  <c r="G1208" i="26"/>
  <c r="R1208" i="26"/>
  <c r="AM1208" i="26"/>
  <c r="AT1208" i="26"/>
  <c r="BP1208" i="26"/>
  <c r="BN1208" i="26"/>
  <c r="BA1208" i="26"/>
  <c r="I1208" i="26"/>
  <c r="W1208" i="26"/>
  <c r="AU1208" i="26"/>
  <c r="O1208" i="26"/>
  <c r="AR1208" i="26"/>
  <c r="AW1208" i="26"/>
  <c r="BI1208" i="26"/>
  <c r="BK1208" i="26"/>
  <c r="BO1208" i="26"/>
  <c r="AO1208" i="26"/>
  <c r="N1208" i="26"/>
  <c r="H1208" i="26"/>
  <c r="AS1208" i="26"/>
  <c r="AF1208" i="26"/>
  <c r="BJ1208" i="26"/>
  <c r="BR1208" i="26"/>
  <c r="BM1208" i="26"/>
  <c r="AV1208" i="26"/>
  <c r="T1208" i="26"/>
  <c r="AP1208" i="26"/>
  <c r="AK1208" i="26"/>
  <c r="M1208" i="26"/>
  <c r="BL1208" i="26"/>
  <c r="D1208" i="26"/>
  <c r="AY1208" i="26"/>
  <c r="AX1208" i="26"/>
  <c r="Q1208" i="26"/>
  <c r="A1208" i="26"/>
  <c r="X1208" i="26"/>
  <c r="B1208" i="26"/>
  <c r="AJ1208" i="26"/>
  <c r="V1208" i="26"/>
  <c r="U1208" i="26"/>
  <c r="C1208" i="26"/>
  <c r="K1208" i="26"/>
  <c r="S1208" i="26"/>
  <c r="BD1208" i="26"/>
  <c r="BE516" i="26"/>
  <c r="BV519" i="26"/>
  <c r="E1209" i="26" l="1"/>
  <c r="BV518" i="26"/>
  <c r="BE515" i="26"/>
  <c r="BC1209" i="26" l="1"/>
  <c r="AV1209" i="55" s="1"/>
  <c r="AP1209" i="26"/>
  <c r="AF1209" i="26"/>
  <c r="AR1209" i="26"/>
  <c r="AT1209" i="26"/>
  <c r="D1209" i="26"/>
  <c r="O1209" i="26"/>
  <c r="G1209" i="26"/>
  <c r="U1209" i="26"/>
  <c r="X1209" i="26"/>
  <c r="BJ1209" i="26"/>
  <c r="BI1209" i="26"/>
  <c r="R1209" i="26"/>
  <c r="BL1209" i="26"/>
  <c r="A1209" i="26"/>
  <c r="K1209" i="26"/>
  <c r="BA1209" i="26"/>
  <c r="AJ1209" i="26"/>
  <c r="S1209" i="26"/>
  <c r="BM1209" i="26"/>
  <c r="N1209" i="26"/>
  <c r="W1209" i="26"/>
  <c r="B1209" i="26"/>
  <c r="AW1209" i="26"/>
  <c r="AK1209" i="26"/>
  <c r="V1209" i="26"/>
  <c r="H1209" i="26"/>
  <c r="BR1209" i="26"/>
  <c r="P1209" i="26"/>
  <c r="AX1209" i="26"/>
  <c r="AY1209" i="26"/>
  <c r="L1209" i="26"/>
  <c r="AM1209" i="26"/>
  <c r="AV1209" i="26"/>
  <c r="AU1209" i="26"/>
  <c r="BN1209" i="26"/>
  <c r="BQ1209" i="26"/>
  <c r="M1209" i="26"/>
  <c r="BP1209" i="26"/>
  <c r="Q1209" i="26"/>
  <c r="BO1209" i="26"/>
  <c r="I1209" i="26"/>
  <c r="C1209" i="26"/>
  <c r="AS1209" i="26"/>
  <c r="AO1209" i="26"/>
  <c r="BK1209" i="26"/>
  <c r="T1209" i="26"/>
  <c r="BD1209" i="26"/>
  <c r="BE514" i="26"/>
  <c r="BV517" i="26"/>
  <c r="E1210" i="26" l="1"/>
  <c r="BV516" i="26"/>
  <c r="BE513" i="26"/>
  <c r="BC1210" i="26" l="1"/>
  <c r="AV1210" i="55" s="1"/>
  <c r="O1210" i="26"/>
  <c r="AK1210" i="26"/>
  <c r="AR1210" i="26"/>
  <c r="AU1210" i="26"/>
  <c r="L1210" i="26"/>
  <c r="BJ1210" i="26"/>
  <c r="AP1210" i="26"/>
  <c r="BI1210" i="26"/>
  <c r="AS1210" i="26"/>
  <c r="P1210" i="26"/>
  <c r="BP1210" i="26"/>
  <c r="BO1210" i="26"/>
  <c r="M1210" i="26"/>
  <c r="AJ1210" i="26"/>
  <c r="U1210" i="26"/>
  <c r="N1210" i="26"/>
  <c r="W1210" i="26"/>
  <c r="C1210" i="26"/>
  <c r="BM1210" i="26"/>
  <c r="D1210" i="26"/>
  <c r="V1210" i="26"/>
  <c r="H1210" i="26"/>
  <c r="AF1210" i="26"/>
  <c r="BR1210" i="26"/>
  <c r="G1210" i="26"/>
  <c r="BL1210" i="26"/>
  <c r="BK1210" i="26"/>
  <c r="S1210" i="26"/>
  <c r="A1210" i="26"/>
  <c r="BA1210" i="26"/>
  <c r="AV1210" i="26"/>
  <c r="AX1210" i="26"/>
  <c r="AO1210" i="26"/>
  <c r="B1210" i="26"/>
  <c r="AM1210" i="26"/>
  <c r="K1210" i="26"/>
  <c r="AW1210" i="26"/>
  <c r="AT1210" i="26"/>
  <c r="Q1210" i="26"/>
  <c r="T1210" i="26"/>
  <c r="AY1210" i="26"/>
  <c r="R1210" i="26"/>
  <c r="BN1210" i="26"/>
  <c r="BQ1210" i="26"/>
  <c r="X1210" i="26"/>
  <c r="I1210" i="26"/>
  <c r="BD1210" i="26"/>
  <c r="BE512" i="26"/>
  <c r="BV515" i="26"/>
  <c r="E1211" i="26" l="1"/>
  <c r="BV514" i="26"/>
  <c r="BE511" i="26"/>
  <c r="BC1211" i="26" l="1"/>
  <c r="AV1211" i="55" s="1"/>
  <c r="BP1211" i="26"/>
  <c r="BO1211" i="26"/>
  <c r="AP1211" i="26"/>
  <c r="AJ1211" i="26"/>
  <c r="BK1211" i="26"/>
  <c r="M1211" i="26"/>
  <c r="BN1211" i="26"/>
  <c r="C1211" i="26"/>
  <c r="K1211" i="26"/>
  <c r="B1211" i="26"/>
  <c r="W1211" i="26"/>
  <c r="U1211" i="26"/>
  <c r="O1211" i="26"/>
  <c r="BA1211" i="26"/>
  <c r="BL1211" i="26"/>
  <c r="BM1211" i="26"/>
  <c r="R1211" i="26"/>
  <c r="T1211" i="26"/>
  <c r="AO1211" i="26"/>
  <c r="X1211" i="26"/>
  <c r="BJ1211" i="26"/>
  <c r="AS1211" i="26"/>
  <c r="AF1211" i="26"/>
  <c r="I1211" i="26"/>
  <c r="L1211" i="26"/>
  <c r="AR1211" i="26"/>
  <c r="S1211" i="26"/>
  <c r="AU1211" i="26"/>
  <c r="D1211" i="26"/>
  <c r="Q1211" i="26"/>
  <c r="H1211" i="26"/>
  <c r="V1211" i="26"/>
  <c r="AX1211" i="26"/>
  <c r="AK1211" i="26"/>
  <c r="AT1211" i="26"/>
  <c r="BQ1211" i="26"/>
  <c r="AY1211" i="26"/>
  <c r="AV1211" i="26"/>
  <c r="AM1211" i="26"/>
  <c r="P1211" i="26"/>
  <c r="N1211" i="26"/>
  <c r="G1211" i="26"/>
  <c r="AW1211" i="26"/>
  <c r="BI1211" i="26"/>
  <c r="A1211" i="26"/>
  <c r="BR1211" i="26"/>
  <c r="BD1211" i="26"/>
  <c r="BE510" i="26"/>
  <c r="BV513" i="26"/>
  <c r="E1212" i="26" l="1"/>
  <c r="BV512" i="26"/>
  <c r="BE509" i="26"/>
  <c r="BC1212" i="26" l="1"/>
  <c r="AV1212" i="55" s="1"/>
  <c r="AK1212" i="26"/>
  <c r="BR1212" i="26"/>
  <c r="N1212" i="26"/>
  <c r="AR1212" i="26"/>
  <c r="AT1212" i="26"/>
  <c r="X1212" i="26"/>
  <c r="I1212" i="26"/>
  <c r="BL1212" i="26"/>
  <c r="P1212" i="26"/>
  <c r="AM1212" i="26"/>
  <c r="R1212" i="26"/>
  <c r="BJ1212" i="26"/>
  <c r="AU1212" i="26"/>
  <c r="A1212" i="26"/>
  <c r="M1212" i="26"/>
  <c r="AJ1212" i="26"/>
  <c r="W1212" i="26"/>
  <c r="BI1212" i="26"/>
  <c r="BQ1212" i="26"/>
  <c r="BA1212" i="26"/>
  <c r="V1212" i="26"/>
  <c r="AO1212" i="26"/>
  <c r="S1212" i="26"/>
  <c r="K1212" i="26"/>
  <c r="B1212" i="26"/>
  <c r="U1212" i="26"/>
  <c r="AS1212" i="26"/>
  <c r="O1212" i="26"/>
  <c r="Q1212" i="26"/>
  <c r="AP1212" i="26"/>
  <c r="BP1212" i="26"/>
  <c r="C1212" i="26"/>
  <c r="G1212" i="26"/>
  <c r="L1212" i="26"/>
  <c r="AV1212" i="26"/>
  <c r="BN1212" i="26"/>
  <c r="AX1212" i="26"/>
  <c r="BO1212" i="26"/>
  <c r="BM1212" i="26"/>
  <c r="AW1212" i="26"/>
  <c r="AY1212" i="26"/>
  <c r="H1212" i="26"/>
  <c r="AF1212" i="26"/>
  <c r="BK1212" i="26"/>
  <c r="D1212" i="26"/>
  <c r="T1212" i="26"/>
  <c r="BD1212" i="26"/>
  <c r="BE508" i="26"/>
  <c r="BV511" i="26"/>
  <c r="E1213" i="26" l="1"/>
  <c r="BV510" i="26"/>
  <c r="BE507" i="26"/>
  <c r="BC1213" i="26" l="1"/>
  <c r="AV1213" i="55" s="1"/>
  <c r="AY1213" i="26"/>
  <c r="BA1213" i="26"/>
  <c r="AT1213" i="26"/>
  <c r="I1213" i="26"/>
  <c r="A1213" i="26"/>
  <c r="H1213" i="26"/>
  <c r="AP1213" i="26"/>
  <c r="BQ1213" i="26"/>
  <c r="AX1213" i="26"/>
  <c r="AF1213" i="26"/>
  <c r="AR1213" i="26"/>
  <c r="S1213" i="26"/>
  <c r="G1213" i="26"/>
  <c r="B1213" i="26"/>
  <c r="BR1213" i="26"/>
  <c r="O1213" i="26"/>
  <c r="N1213" i="26"/>
  <c r="M1213" i="26"/>
  <c r="L1213" i="26"/>
  <c r="W1213" i="26"/>
  <c r="K1213" i="26"/>
  <c r="BP1213" i="26"/>
  <c r="V1213" i="26"/>
  <c r="AJ1213" i="26"/>
  <c r="AK1213" i="26"/>
  <c r="Q1213" i="26"/>
  <c r="BN1213" i="26"/>
  <c r="BK1213" i="26"/>
  <c r="AS1213" i="26"/>
  <c r="T1213" i="26"/>
  <c r="C1213" i="26"/>
  <c r="P1213" i="26"/>
  <c r="D1213" i="26"/>
  <c r="BL1213" i="26"/>
  <c r="BJ1213" i="26"/>
  <c r="AM1213" i="26"/>
  <c r="AW1213" i="26"/>
  <c r="BM1213" i="26"/>
  <c r="AO1213" i="26"/>
  <c r="R1213" i="26"/>
  <c r="U1213" i="26"/>
  <c r="X1213" i="26"/>
  <c r="BO1213" i="26"/>
  <c r="AV1213" i="26"/>
  <c r="BI1213" i="26"/>
  <c r="AU1213" i="26"/>
  <c r="BD1213" i="26"/>
  <c r="BV509" i="26"/>
  <c r="BE506" i="26"/>
  <c r="E1214" i="26" l="1"/>
  <c r="BE505" i="26"/>
  <c r="BV508" i="26"/>
  <c r="BC1214" i="26" l="1"/>
  <c r="AV1214" i="55" s="1"/>
  <c r="K1214" i="26"/>
  <c r="M1214" i="26"/>
  <c r="BO1214" i="26"/>
  <c r="BM1214" i="26"/>
  <c r="U1214" i="26"/>
  <c r="AJ1214" i="26"/>
  <c r="H1214" i="26"/>
  <c r="BI1214" i="26"/>
  <c r="B1214" i="26"/>
  <c r="W1214" i="26"/>
  <c r="V1214" i="26"/>
  <c r="N1214" i="26"/>
  <c r="I1214" i="26"/>
  <c r="AW1214" i="26"/>
  <c r="AF1214" i="26"/>
  <c r="AK1214" i="26"/>
  <c r="AY1214" i="26"/>
  <c r="R1214" i="26"/>
  <c r="BL1214" i="26"/>
  <c r="BJ1214" i="26"/>
  <c r="AP1214" i="26"/>
  <c r="BR1214" i="26"/>
  <c r="S1214" i="26"/>
  <c r="T1214" i="26"/>
  <c r="BQ1214" i="26"/>
  <c r="BA1214" i="26"/>
  <c r="L1214" i="26"/>
  <c r="AX1214" i="26"/>
  <c r="AV1214" i="26"/>
  <c r="AU1214" i="26"/>
  <c r="AT1214" i="26"/>
  <c r="O1214" i="26"/>
  <c r="AR1214" i="26"/>
  <c r="BK1214" i="26"/>
  <c r="AM1214" i="26"/>
  <c r="D1214" i="26"/>
  <c r="C1214" i="26"/>
  <c r="G1214" i="26"/>
  <c r="AO1214" i="26"/>
  <c r="X1214" i="26"/>
  <c r="BN1214" i="26"/>
  <c r="A1214" i="26"/>
  <c r="Q1214" i="26"/>
  <c r="AS1214" i="26"/>
  <c r="BP1214" i="26"/>
  <c r="P1214" i="26"/>
  <c r="BD1214" i="26"/>
  <c r="BV507" i="26"/>
  <c r="BE504" i="26"/>
  <c r="E1215" i="26" l="1"/>
  <c r="BE503" i="26"/>
  <c r="BV506" i="26"/>
  <c r="BC1215" i="26" l="1"/>
  <c r="AV1215" i="55" s="1"/>
  <c r="R1215" i="26"/>
  <c r="BP1215" i="26"/>
  <c r="AT1215" i="26"/>
  <c r="S1215" i="26"/>
  <c r="Q1215" i="26"/>
  <c r="BK1215" i="26"/>
  <c r="BM1215" i="26"/>
  <c r="AF1215" i="26"/>
  <c r="AP1215" i="26"/>
  <c r="AS1215" i="26"/>
  <c r="U1215" i="26"/>
  <c r="M1215" i="26"/>
  <c r="H1215" i="26"/>
  <c r="L1215" i="26"/>
  <c r="AJ1215" i="26"/>
  <c r="AM1215" i="26"/>
  <c r="AX1215" i="26"/>
  <c r="BL1215" i="26"/>
  <c r="G1215" i="26"/>
  <c r="N1215" i="26"/>
  <c r="BJ1215" i="26"/>
  <c r="C1215" i="26"/>
  <c r="O1215" i="26"/>
  <c r="D1215" i="26"/>
  <c r="A1215" i="26"/>
  <c r="AO1215" i="26"/>
  <c r="AK1215" i="26"/>
  <c r="BR1215" i="26"/>
  <c r="B1215" i="26"/>
  <c r="P1215" i="26"/>
  <c r="AR1215" i="26"/>
  <c r="V1215" i="26"/>
  <c r="AY1215" i="26"/>
  <c r="I1215" i="26"/>
  <c r="BO1215" i="26"/>
  <c r="BA1215" i="26"/>
  <c r="X1215" i="26"/>
  <c r="BN1215" i="26"/>
  <c r="W1215" i="26"/>
  <c r="AU1215" i="26"/>
  <c r="BI1215" i="26"/>
  <c r="AW1215" i="26"/>
  <c r="AV1215" i="26"/>
  <c r="BQ1215" i="26"/>
  <c r="K1215" i="26"/>
  <c r="T1215" i="26"/>
  <c r="BD1215" i="26"/>
  <c r="BV505" i="26"/>
  <c r="BE502" i="26"/>
  <c r="E1216" i="26" l="1"/>
  <c r="BE501" i="26"/>
  <c r="BV504" i="26"/>
  <c r="BC1216" i="26" l="1"/>
  <c r="AV1216" i="55" s="1"/>
  <c r="K1216" i="26"/>
  <c r="BJ1216" i="26"/>
  <c r="AX1216" i="26"/>
  <c r="X1216" i="26"/>
  <c r="H1216" i="26"/>
  <c r="Q1216" i="26"/>
  <c r="A1216" i="26"/>
  <c r="AF1216" i="26"/>
  <c r="P1216" i="26"/>
  <c r="T1216" i="26"/>
  <c r="U1216" i="26"/>
  <c r="G1216" i="26"/>
  <c r="L1216" i="26"/>
  <c r="M1216" i="26"/>
  <c r="C1216" i="26"/>
  <c r="W1216" i="26"/>
  <c r="BN1216" i="26"/>
  <c r="D1216" i="26"/>
  <c r="AU1216" i="26"/>
  <c r="BO1216" i="26"/>
  <c r="V1216" i="26"/>
  <c r="BM1216" i="26"/>
  <c r="AM1216" i="26"/>
  <c r="BK1216" i="26"/>
  <c r="BL1216" i="26"/>
  <c r="AP1216" i="26"/>
  <c r="BI1216" i="26"/>
  <c r="N1216" i="26"/>
  <c r="AY1216" i="26"/>
  <c r="O1216" i="26"/>
  <c r="BP1216" i="26"/>
  <c r="I1216" i="26"/>
  <c r="AS1216" i="26"/>
  <c r="AO1216" i="26"/>
  <c r="AW1216" i="26"/>
  <c r="BA1216" i="26"/>
  <c r="AV1216" i="26"/>
  <c r="BR1216" i="26"/>
  <c r="B1216" i="26"/>
  <c r="AT1216" i="26"/>
  <c r="R1216" i="26"/>
  <c r="S1216" i="26"/>
  <c r="AK1216" i="26"/>
  <c r="AR1216" i="26"/>
  <c r="BQ1216" i="26"/>
  <c r="AJ1216" i="26"/>
  <c r="BD1216" i="26"/>
  <c r="BV503" i="26"/>
  <c r="BE500" i="26"/>
  <c r="E1217" i="26" l="1"/>
  <c r="BE499" i="26"/>
  <c r="BV502" i="26"/>
  <c r="BC1217" i="26" l="1"/>
  <c r="AV1217" i="55" s="1"/>
  <c r="BI1217" i="26"/>
  <c r="K1217" i="26"/>
  <c r="AY1217" i="26"/>
  <c r="Q1217" i="26"/>
  <c r="AO1217" i="26"/>
  <c r="BR1217" i="26"/>
  <c r="M1217" i="26"/>
  <c r="AW1217" i="26"/>
  <c r="D1217" i="26"/>
  <c r="BP1217" i="26"/>
  <c r="BO1217" i="26"/>
  <c r="BM1217" i="26"/>
  <c r="AF1217" i="26"/>
  <c r="AJ1217" i="26"/>
  <c r="AX1217" i="26"/>
  <c r="AR1217" i="26"/>
  <c r="P1217" i="26"/>
  <c r="V1217" i="26"/>
  <c r="I1217" i="26"/>
  <c r="AV1217" i="26"/>
  <c r="L1217" i="26"/>
  <c r="BQ1217" i="26"/>
  <c r="G1217" i="26"/>
  <c r="W1217" i="26"/>
  <c r="BJ1217" i="26"/>
  <c r="N1217" i="26"/>
  <c r="X1217" i="26"/>
  <c r="BL1217" i="26"/>
  <c r="AT1217" i="26"/>
  <c r="BA1217" i="26"/>
  <c r="U1217" i="26"/>
  <c r="BK1217" i="26"/>
  <c r="A1217" i="26"/>
  <c r="AM1217" i="26"/>
  <c r="C1217" i="26"/>
  <c r="AU1217" i="26"/>
  <c r="B1217" i="26"/>
  <c r="AK1217" i="26"/>
  <c r="O1217" i="26"/>
  <c r="T1217" i="26"/>
  <c r="R1217" i="26"/>
  <c r="S1217" i="26"/>
  <c r="BN1217" i="26"/>
  <c r="AP1217" i="26"/>
  <c r="AS1217" i="26"/>
  <c r="H1217" i="26"/>
  <c r="BD1217" i="26"/>
  <c r="BV501" i="26"/>
  <c r="BE498" i="26"/>
  <c r="E1218" i="26" l="1"/>
  <c r="BE497" i="26"/>
  <c r="BV500" i="26"/>
  <c r="BC1218" i="26" l="1"/>
  <c r="AV1218" i="55" s="1"/>
  <c r="B1218" i="26"/>
  <c r="BO1218" i="26"/>
  <c r="BL1218" i="26"/>
  <c r="BQ1218" i="26"/>
  <c r="BA1218" i="26"/>
  <c r="AT1218" i="26"/>
  <c r="I1218" i="26"/>
  <c r="X1218" i="26"/>
  <c r="Q1218" i="26"/>
  <c r="AK1218" i="26"/>
  <c r="G1218" i="26"/>
  <c r="H1218" i="26"/>
  <c r="AW1218" i="26"/>
  <c r="D1218" i="26"/>
  <c r="AO1218" i="26"/>
  <c r="N1218" i="26"/>
  <c r="T1218" i="26"/>
  <c r="K1218" i="26"/>
  <c r="BR1218" i="26"/>
  <c r="BI1218" i="26"/>
  <c r="AF1218" i="26"/>
  <c r="BJ1218" i="26"/>
  <c r="BP1218" i="26"/>
  <c r="U1218" i="26"/>
  <c r="C1218" i="26"/>
  <c r="AM1218" i="26"/>
  <c r="AR1218" i="26"/>
  <c r="A1218" i="26"/>
  <c r="BM1218" i="26"/>
  <c r="R1218" i="26"/>
  <c r="AV1218" i="26"/>
  <c r="L1218" i="26"/>
  <c r="O1218" i="26"/>
  <c r="BN1218" i="26"/>
  <c r="S1218" i="26"/>
  <c r="V1218" i="26"/>
  <c r="BK1218" i="26"/>
  <c r="W1218" i="26"/>
  <c r="AY1218" i="26"/>
  <c r="AU1218" i="26"/>
  <c r="M1218" i="26"/>
  <c r="AX1218" i="26"/>
  <c r="AJ1218" i="26"/>
  <c r="P1218" i="26"/>
  <c r="AP1218" i="26"/>
  <c r="AS1218" i="26"/>
  <c r="BD1218" i="26"/>
  <c r="BV499" i="26"/>
  <c r="BE496" i="26"/>
  <c r="E1219" i="26" l="1"/>
  <c r="BV498" i="26"/>
  <c r="BE495" i="26"/>
  <c r="BC1219" i="26" l="1"/>
  <c r="AV1219" i="55" s="1"/>
  <c r="U1219" i="26"/>
  <c r="M1219" i="26"/>
  <c r="AU1219" i="26"/>
  <c r="B1219" i="26"/>
  <c r="A1219" i="26"/>
  <c r="AX1219" i="26"/>
  <c r="BR1219" i="26"/>
  <c r="G1219" i="26"/>
  <c r="N1219" i="26"/>
  <c r="C1219" i="26"/>
  <c r="AR1219" i="26"/>
  <c r="AW1219" i="26"/>
  <c r="AF1219" i="26"/>
  <c r="H1219" i="26"/>
  <c r="AM1219" i="26"/>
  <c r="X1219" i="26"/>
  <c r="V1219" i="26"/>
  <c r="BN1219" i="26"/>
  <c r="AT1219" i="26"/>
  <c r="BQ1219" i="26"/>
  <c r="BM1219" i="26"/>
  <c r="P1219" i="26"/>
  <c r="AY1219" i="26"/>
  <c r="L1219" i="26"/>
  <c r="BL1219" i="26"/>
  <c r="AO1219" i="26"/>
  <c r="T1219" i="26"/>
  <c r="AP1219" i="26"/>
  <c r="BK1219" i="26"/>
  <c r="Q1219" i="26"/>
  <c r="S1219" i="26"/>
  <c r="BA1219" i="26"/>
  <c r="BO1219" i="26"/>
  <c r="BP1219" i="26"/>
  <c r="AJ1219" i="26"/>
  <c r="K1219" i="26"/>
  <c r="O1219" i="26"/>
  <c r="AS1219" i="26"/>
  <c r="W1219" i="26"/>
  <c r="R1219" i="26"/>
  <c r="AV1219" i="26"/>
  <c r="BI1219" i="26"/>
  <c r="BJ1219" i="26"/>
  <c r="AK1219" i="26"/>
  <c r="D1219" i="26"/>
  <c r="I1219" i="26"/>
  <c r="BD1219" i="26"/>
  <c r="BE494" i="26"/>
  <c r="BV497" i="26"/>
  <c r="E1220" i="26" l="1"/>
  <c r="BV496" i="26"/>
  <c r="BE493" i="26"/>
  <c r="BC1220" i="26" l="1"/>
  <c r="AV1220" i="55" s="1"/>
  <c r="AT1220" i="26"/>
  <c r="I1220" i="26"/>
  <c r="BM1220" i="26"/>
  <c r="BO1220" i="26"/>
  <c r="AO1220" i="26"/>
  <c r="M1220" i="26"/>
  <c r="D1220" i="26"/>
  <c r="AR1220" i="26"/>
  <c r="BP1220" i="26"/>
  <c r="Q1220" i="26"/>
  <c r="C1220" i="26"/>
  <c r="BN1220" i="26"/>
  <c r="P1220" i="26"/>
  <c r="AM1220" i="26"/>
  <c r="U1220" i="26"/>
  <c r="AY1220" i="26"/>
  <c r="S1220" i="26"/>
  <c r="BR1220" i="26"/>
  <c r="AJ1220" i="26"/>
  <c r="BK1220" i="26"/>
  <c r="T1220" i="26"/>
  <c r="V1220" i="26"/>
  <c r="K1220" i="26"/>
  <c r="AV1220" i="26"/>
  <c r="R1220" i="26"/>
  <c r="X1220" i="26"/>
  <c r="H1220" i="26"/>
  <c r="AK1220" i="26"/>
  <c r="BQ1220" i="26"/>
  <c r="A1220" i="26"/>
  <c r="G1220" i="26"/>
  <c r="O1220" i="26"/>
  <c r="AX1220" i="26"/>
  <c r="BA1220" i="26"/>
  <c r="BL1220" i="26"/>
  <c r="AF1220" i="26"/>
  <c r="AU1220" i="26"/>
  <c r="L1220" i="26"/>
  <c r="AW1220" i="26"/>
  <c r="N1220" i="26"/>
  <c r="BJ1220" i="26"/>
  <c r="B1220" i="26"/>
  <c r="W1220" i="26"/>
  <c r="AP1220" i="26"/>
  <c r="AS1220" i="26"/>
  <c r="BI1220" i="26"/>
  <c r="BD1220" i="26"/>
  <c r="BE492" i="26"/>
  <c r="BV495" i="26"/>
  <c r="E1221" i="26" l="1"/>
  <c r="BV494" i="26"/>
  <c r="BE491" i="26"/>
  <c r="BC1221" i="26" l="1"/>
  <c r="AV1221" i="55" s="1"/>
  <c r="BN1221" i="26"/>
  <c r="N1221" i="26"/>
  <c r="AP1221" i="26"/>
  <c r="BP1221" i="26"/>
  <c r="BO1221" i="26"/>
  <c r="BA1221" i="26"/>
  <c r="AJ1221" i="26"/>
  <c r="AX1221" i="26"/>
  <c r="BK1221" i="26"/>
  <c r="BR1221" i="26"/>
  <c r="P1221" i="26"/>
  <c r="AV1221" i="26"/>
  <c r="V1221" i="26"/>
  <c r="X1221" i="26"/>
  <c r="AO1221" i="26"/>
  <c r="L1221" i="26"/>
  <c r="BI1221" i="26"/>
  <c r="BJ1221" i="26"/>
  <c r="AF1221" i="26"/>
  <c r="AY1221" i="26"/>
  <c r="A1221" i="26"/>
  <c r="M1221" i="26"/>
  <c r="BM1221" i="26"/>
  <c r="O1221" i="26"/>
  <c r="S1221" i="26"/>
  <c r="AR1221" i="26"/>
  <c r="AK1221" i="26"/>
  <c r="AU1221" i="26"/>
  <c r="K1221" i="26"/>
  <c r="AS1221" i="26"/>
  <c r="I1221" i="26"/>
  <c r="G1221" i="26"/>
  <c r="T1221" i="26"/>
  <c r="AM1221" i="26"/>
  <c r="Q1221" i="26"/>
  <c r="C1221" i="26"/>
  <c r="AW1221" i="26"/>
  <c r="BL1221" i="26"/>
  <c r="D1221" i="26"/>
  <c r="R1221" i="26"/>
  <c r="BQ1221" i="26"/>
  <c r="W1221" i="26"/>
  <c r="B1221" i="26"/>
  <c r="AT1221" i="26"/>
  <c r="H1221" i="26"/>
  <c r="U1221" i="26"/>
  <c r="BD1221" i="26"/>
  <c r="BE490" i="26"/>
  <c r="BV493" i="26"/>
  <c r="E1222" i="26" l="1"/>
  <c r="BV492" i="26"/>
  <c r="BE489" i="26"/>
  <c r="BC1222" i="26" l="1"/>
  <c r="AV1222" i="55" s="1"/>
  <c r="AK1222" i="26"/>
  <c r="BJ1222" i="26"/>
  <c r="BL1222" i="26"/>
  <c r="H1222" i="26"/>
  <c r="G1222" i="26"/>
  <c r="BP1222" i="26"/>
  <c r="BO1222" i="26"/>
  <c r="AJ1222" i="26"/>
  <c r="I1222" i="26"/>
  <c r="BR1222" i="26"/>
  <c r="V1222" i="26"/>
  <c r="AS1222" i="26"/>
  <c r="AM1222" i="26"/>
  <c r="B1222" i="26"/>
  <c r="W1222" i="26"/>
  <c r="L1222" i="26"/>
  <c r="BK1222" i="26"/>
  <c r="BI1222" i="26"/>
  <c r="AR1222" i="26"/>
  <c r="P1222" i="26"/>
  <c r="AU1222" i="26"/>
  <c r="BN1222" i="26"/>
  <c r="U1222" i="26"/>
  <c r="BQ1222" i="26"/>
  <c r="BA1222" i="26"/>
  <c r="N1222" i="26"/>
  <c r="A1222" i="26"/>
  <c r="R1222" i="26"/>
  <c r="M1222" i="26"/>
  <c r="BM1222" i="26"/>
  <c r="D1222" i="26"/>
  <c r="AY1222" i="26"/>
  <c r="AW1222" i="26"/>
  <c r="AT1222" i="26"/>
  <c r="Q1222" i="26"/>
  <c r="S1222" i="26"/>
  <c r="O1222" i="26"/>
  <c r="X1222" i="26"/>
  <c r="AX1222" i="26"/>
  <c r="AV1222" i="26"/>
  <c r="AP1222" i="26"/>
  <c r="K1222" i="26"/>
  <c r="T1222" i="26"/>
  <c r="C1222" i="26"/>
  <c r="AO1222" i="26"/>
  <c r="AF1222" i="26"/>
  <c r="BD1222" i="26"/>
  <c r="BE488" i="26"/>
  <c r="BV491" i="26"/>
  <c r="E1223" i="26" l="1"/>
  <c r="BV490" i="26"/>
  <c r="BE487" i="26"/>
  <c r="BC1223" i="26" l="1"/>
  <c r="AV1223" i="55" s="1"/>
  <c r="X1223" i="26"/>
  <c r="I1223" i="26"/>
  <c r="AW1223" i="26"/>
  <c r="AY1223" i="26"/>
  <c r="Q1223" i="26"/>
  <c r="AV1223" i="26"/>
  <c r="K1223" i="26"/>
  <c r="BA1223" i="26"/>
  <c r="R1223" i="26"/>
  <c r="AJ1223" i="26"/>
  <c r="BP1223" i="26"/>
  <c r="V1223" i="26"/>
  <c r="S1223" i="26"/>
  <c r="H1223" i="26"/>
  <c r="N1223" i="26"/>
  <c r="BR1223" i="26"/>
  <c r="AK1223" i="26"/>
  <c r="AR1223" i="26"/>
  <c r="AU1223" i="26"/>
  <c r="W1223" i="26"/>
  <c r="BJ1223" i="26"/>
  <c r="AO1223" i="26"/>
  <c r="A1223" i="26"/>
  <c r="AP1223" i="26"/>
  <c r="AS1223" i="26"/>
  <c r="BN1223" i="26"/>
  <c r="C1223" i="26"/>
  <c r="P1223" i="26"/>
  <c r="BI1223" i="26"/>
  <c r="T1223" i="26"/>
  <c r="BM1223" i="26"/>
  <c r="M1223" i="26"/>
  <c r="BL1223" i="26"/>
  <c r="AT1223" i="26"/>
  <c r="AM1223" i="26"/>
  <c r="O1223" i="26"/>
  <c r="AX1223" i="26"/>
  <c r="B1223" i="26"/>
  <c r="D1223" i="26"/>
  <c r="BQ1223" i="26"/>
  <c r="G1223" i="26"/>
  <c r="AF1223" i="26"/>
  <c r="BO1223" i="26"/>
  <c r="L1223" i="26"/>
  <c r="BK1223" i="26"/>
  <c r="U1223" i="26"/>
  <c r="BD1223" i="26"/>
  <c r="BE486" i="26"/>
  <c r="BV489" i="26"/>
  <c r="E1224" i="26" l="1"/>
  <c r="BV488" i="26"/>
  <c r="BE485" i="26"/>
  <c r="BC1224" i="26" l="1"/>
  <c r="AV1224" i="55" s="1"/>
  <c r="AJ1224" i="26"/>
  <c r="AV1224" i="26"/>
  <c r="K1224" i="26"/>
  <c r="BR1224" i="26"/>
  <c r="BL1224" i="26"/>
  <c r="I1224" i="26"/>
  <c r="N1224" i="26"/>
  <c r="AR1224" i="26"/>
  <c r="AK1224" i="26"/>
  <c r="AU1224" i="26"/>
  <c r="O1224" i="26"/>
  <c r="P1224" i="26"/>
  <c r="AX1224" i="26"/>
  <c r="AY1224" i="26"/>
  <c r="V1224" i="26"/>
  <c r="A1224" i="26"/>
  <c r="BK1224" i="26"/>
  <c r="AP1224" i="26"/>
  <c r="BI1224" i="26"/>
  <c r="BM1224" i="26"/>
  <c r="BO1224" i="26"/>
  <c r="D1224" i="26"/>
  <c r="BQ1224" i="26"/>
  <c r="C1224" i="26"/>
  <c r="M1224" i="26"/>
  <c r="U1224" i="26"/>
  <c r="BA1224" i="26"/>
  <c r="L1224" i="26"/>
  <c r="BJ1224" i="26"/>
  <c r="AS1224" i="26"/>
  <c r="AT1224" i="26"/>
  <c r="W1224" i="26"/>
  <c r="G1224" i="26"/>
  <c r="AW1224" i="26"/>
  <c r="T1224" i="26"/>
  <c r="BN1224" i="26"/>
  <c r="H1224" i="26"/>
  <c r="BP1224" i="26"/>
  <c r="Q1224" i="26"/>
  <c r="X1224" i="26"/>
  <c r="S1224" i="26"/>
  <c r="AO1224" i="26"/>
  <c r="AM1224" i="26"/>
  <c r="B1224" i="26"/>
  <c r="R1224" i="26"/>
  <c r="AF1224" i="26"/>
  <c r="BD1224" i="26"/>
  <c r="BE484" i="26"/>
  <c r="BV487" i="26"/>
  <c r="E1225" i="26" l="1"/>
  <c r="BV486" i="26"/>
  <c r="BE483" i="26"/>
  <c r="BC1225" i="26" l="1"/>
  <c r="AV1225" i="55" s="1"/>
  <c r="R1225" i="26"/>
  <c r="BJ1225" i="26"/>
  <c r="H1225" i="26"/>
  <c r="B1225" i="26"/>
  <c r="Q1225" i="26"/>
  <c r="BN1225" i="26"/>
  <c r="AF1225" i="26"/>
  <c r="AU1225" i="26"/>
  <c r="C1225" i="26"/>
  <c r="BR1225" i="26"/>
  <c r="BO1225" i="26"/>
  <c r="AV1225" i="26"/>
  <c r="W1225" i="26"/>
  <c r="AO1225" i="26"/>
  <c r="M1225" i="26"/>
  <c r="AR1225" i="26"/>
  <c r="AW1225" i="26"/>
  <c r="V1225" i="26"/>
  <c r="AS1225" i="26"/>
  <c r="U1225" i="26"/>
  <c r="BI1225" i="26"/>
  <c r="I1225" i="26"/>
  <c r="AT1225" i="26"/>
  <c r="D1225" i="26"/>
  <c r="A1225" i="26"/>
  <c r="L1225" i="26"/>
  <c r="AK1225" i="26"/>
  <c r="T1225" i="26"/>
  <c r="AJ1225" i="26"/>
  <c r="AY1225" i="26"/>
  <c r="N1225" i="26"/>
  <c r="P1225" i="26"/>
  <c r="BL1225" i="26"/>
  <c r="BK1225" i="26"/>
  <c r="G1225" i="26"/>
  <c r="AM1225" i="26"/>
  <c r="X1225" i="26"/>
  <c r="BA1225" i="26"/>
  <c r="O1225" i="26"/>
  <c r="BP1225" i="26"/>
  <c r="K1225" i="26"/>
  <c r="S1225" i="26"/>
  <c r="AP1225" i="26"/>
  <c r="AX1225" i="26"/>
  <c r="BM1225" i="26"/>
  <c r="BQ1225" i="26"/>
  <c r="BD1225" i="26"/>
  <c r="BE482" i="26"/>
  <c r="BV485" i="26"/>
  <c r="E1226" i="26" l="1"/>
  <c r="BV484" i="26"/>
  <c r="BE481" i="26"/>
  <c r="BC1226" i="26" l="1"/>
  <c r="AV1226" i="55" s="1"/>
  <c r="R1226" i="26"/>
  <c r="AM1226" i="26"/>
  <c r="BQ1226" i="26"/>
  <c r="BA1226" i="26"/>
  <c r="D1226" i="26"/>
  <c r="C1226" i="26"/>
  <c r="W1226" i="26"/>
  <c r="AP1226" i="26"/>
  <c r="BM1226" i="26"/>
  <c r="BK1226" i="26"/>
  <c r="X1226" i="26"/>
  <c r="BJ1226" i="26"/>
  <c r="M1226" i="26"/>
  <c r="A1226" i="26"/>
  <c r="AR1226" i="26"/>
  <c r="AS1226" i="26"/>
  <c r="S1226" i="26"/>
  <c r="AX1226" i="26"/>
  <c r="P1226" i="26"/>
  <c r="G1226" i="26"/>
  <c r="Q1226" i="26"/>
  <c r="T1226" i="26"/>
  <c r="K1226" i="26"/>
  <c r="AU1226" i="26"/>
  <c r="AW1226" i="26"/>
  <c r="H1226" i="26"/>
  <c r="O1226" i="26"/>
  <c r="BO1226" i="26"/>
  <c r="AV1226" i="26"/>
  <c r="U1226" i="26"/>
  <c r="BL1226" i="26"/>
  <c r="AF1226" i="26"/>
  <c r="V1226" i="26"/>
  <c r="AY1226" i="26"/>
  <c r="I1226" i="26"/>
  <c r="BR1226" i="26"/>
  <c r="AT1226" i="26"/>
  <c r="L1226" i="26"/>
  <c r="N1226" i="26"/>
  <c r="AJ1226" i="26"/>
  <c r="AK1226" i="26"/>
  <c r="BI1226" i="26"/>
  <c r="BP1226" i="26"/>
  <c r="B1226" i="26"/>
  <c r="BN1226" i="26"/>
  <c r="AO1226" i="26"/>
  <c r="BD1226" i="26"/>
  <c r="BE480" i="26"/>
  <c r="BV483" i="26"/>
  <c r="E1227" i="26" l="1"/>
  <c r="BV482" i="26"/>
  <c r="BE479" i="26"/>
  <c r="BC1227" i="26" l="1"/>
  <c r="AV1227" i="55" s="1"/>
  <c r="BI1227" i="26"/>
  <c r="AF1227" i="26"/>
  <c r="AK1227" i="26"/>
  <c r="BO1227" i="26"/>
  <c r="BL1227" i="26"/>
  <c r="AO1227" i="26"/>
  <c r="R1227" i="26"/>
  <c r="BR1227" i="26"/>
  <c r="BM1227" i="26"/>
  <c r="AR1227" i="26"/>
  <c r="BN1227" i="26"/>
  <c r="I1227" i="26"/>
  <c r="AV1227" i="26"/>
  <c r="W1227" i="26"/>
  <c r="D1227" i="26"/>
  <c r="X1227" i="26"/>
  <c r="BJ1227" i="26"/>
  <c r="AU1227" i="26"/>
  <c r="U1227" i="26"/>
  <c r="AM1227" i="26"/>
  <c r="T1227" i="26"/>
  <c r="C1227" i="26"/>
  <c r="BQ1227" i="26"/>
  <c r="O1227" i="26"/>
  <c r="AX1227" i="26"/>
  <c r="K1227" i="26"/>
  <c r="AS1227" i="26"/>
  <c r="BP1227" i="26"/>
  <c r="L1227" i="26"/>
  <c r="BK1227" i="26"/>
  <c r="V1227" i="26"/>
  <c r="BA1227" i="26"/>
  <c r="S1227" i="26"/>
  <c r="AY1227" i="26"/>
  <c r="AP1227" i="26"/>
  <c r="H1227" i="26"/>
  <c r="P1227" i="26"/>
  <c r="B1227" i="26"/>
  <c r="M1227" i="26"/>
  <c r="AW1227" i="26"/>
  <c r="Q1227" i="26"/>
  <c r="A1227" i="26"/>
  <c r="N1227" i="26"/>
  <c r="AT1227" i="26"/>
  <c r="AJ1227" i="26"/>
  <c r="G1227" i="26"/>
  <c r="BD1227" i="26"/>
  <c r="BE478" i="26"/>
  <c r="BV481" i="26"/>
  <c r="E1228" i="26" l="1"/>
  <c r="BV480" i="26"/>
  <c r="BE477" i="26"/>
  <c r="BC1228" i="26" l="1"/>
  <c r="AV1228" i="55" s="1"/>
  <c r="AF1228" i="26"/>
  <c r="BI1228" i="26"/>
  <c r="H1228" i="26"/>
  <c r="BN1228" i="26"/>
  <c r="X1228" i="26"/>
  <c r="BP1228" i="26"/>
  <c r="BO1228" i="26"/>
  <c r="AR1228" i="26"/>
  <c r="BM1228" i="26"/>
  <c r="S1228" i="26"/>
  <c r="W1228" i="26"/>
  <c r="AU1228" i="26"/>
  <c r="BK1228" i="26"/>
  <c r="G1228" i="26"/>
  <c r="BR1228" i="26"/>
  <c r="U1228" i="26"/>
  <c r="AX1228" i="26"/>
  <c r="T1228" i="26"/>
  <c r="AJ1228" i="26"/>
  <c r="N1228" i="26"/>
  <c r="V1228" i="26"/>
  <c r="L1228" i="26"/>
  <c r="BA1228" i="26"/>
  <c r="O1228" i="26"/>
  <c r="C1228" i="26"/>
  <c r="AT1228" i="26"/>
  <c r="A1228" i="26"/>
  <c r="D1228" i="26"/>
  <c r="AW1228" i="26"/>
  <c r="BL1228" i="26"/>
  <c r="AS1228" i="26"/>
  <c r="AP1228" i="26"/>
  <c r="AM1228" i="26"/>
  <c r="AY1228" i="26"/>
  <c r="R1228" i="26"/>
  <c r="I1228" i="26"/>
  <c r="M1228" i="26"/>
  <c r="K1228" i="26"/>
  <c r="Q1228" i="26"/>
  <c r="P1228" i="26"/>
  <c r="AO1228" i="26"/>
  <c r="AV1228" i="26"/>
  <c r="AK1228" i="26"/>
  <c r="BQ1228" i="26"/>
  <c r="B1228" i="26"/>
  <c r="BJ1228" i="26"/>
  <c r="BD1228" i="26"/>
  <c r="BE476" i="26"/>
  <c r="BV479" i="26"/>
  <c r="E1229" i="26" l="1"/>
  <c r="BV478" i="26"/>
  <c r="BE475" i="26"/>
  <c r="BC1229" i="26" l="1"/>
  <c r="AV1229" i="55" s="1"/>
  <c r="BQ1229" i="26"/>
  <c r="B1229" i="26"/>
  <c r="R1229" i="26"/>
  <c r="AK1229" i="26"/>
  <c r="T1229" i="26"/>
  <c r="AS1229" i="26"/>
  <c r="M1229" i="26"/>
  <c r="AW1229" i="26"/>
  <c r="BI1229" i="26"/>
  <c r="S1229" i="26"/>
  <c r="BM1229" i="26"/>
  <c r="Q1229" i="26"/>
  <c r="AJ1229" i="26"/>
  <c r="BK1229" i="26"/>
  <c r="A1229" i="26"/>
  <c r="D1229" i="26"/>
  <c r="N1229" i="26"/>
  <c r="U1229" i="26"/>
  <c r="AF1229" i="26"/>
  <c r="O1229" i="26"/>
  <c r="K1229" i="26"/>
  <c r="BJ1229" i="26"/>
  <c r="G1229" i="26"/>
  <c r="BR1229" i="26"/>
  <c r="AU1229" i="26"/>
  <c r="AP1229" i="26"/>
  <c r="BN1229" i="26"/>
  <c r="AT1229" i="26"/>
  <c r="BO1229" i="26"/>
  <c r="I1229" i="26"/>
  <c r="AO1229" i="26"/>
  <c r="V1229" i="26"/>
  <c r="AV1229" i="26"/>
  <c r="AY1229" i="26"/>
  <c r="C1229" i="26"/>
  <c r="BA1229" i="26"/>
  <c r="AM1229" i="26"/>
  <c r="X1229" i="26"/>
  <c r="H1229" i="26"/>
  <c r="BL1229" i="26"/>
  <c r="AX1229" i="26"/>
  <c r="AR1229" i="26"/>
  <c r="W1229" i="26"/>
  <c r="P1229" i="26"/>
  <c r="L1229" i="26"/>
  <c r="BP1229" i="26"/>
  <c r="BD1229" i="26"/>
  <c r="BE474" i="26"/>
  <c r="BV477" i="26"/>
  <c r="E1230" i="26" l="1"/>
  <c r="BV476" i="26"/>
  <c r="BE473" i="26"/>
  <c r="BC1230" i="26" l="1"/>
  <c r="AV1230" i="55" s="1"/>
  <c r="Q1230" i="26"/>
  <c r="AP1230" i="26"/>
  <c r="AS1230" i="26"/>
  <c r="AV1230" i="26"/>
  <c r="S1230" i="26"/>
  <c r="N1230" i="26"/>
  <c r="O1230" i="26"/>
  <c r="BA1230" i="26"/>
  <c r="BL1230" i="26"/>
  <c r="BM1230" i="26"/>
  <c r="V1230" i="26"/>
  <c r="C1230" i="26"/>
  <c r="BI1230" i="26"/>
  <c r="M1230" i="26"/>
  <c r="BO1230" i="26"/>
  <c r="AY1230" i="26"/>
  <c r="BQ1230" i="26"/>
  <c r="P1230" i="26"/>
  <c r="BR1230" i="26"/>
  <c r="D1230" i="26"/>
  <c r="G1230" i="26"/>
  <c r="AW1230" i="26"/>
  <c r="BP1230" i="26"/>
  <c r="X1230" i="26"/>
  <c r="R1230" i="26"/>
  <c r="AO1230" i="26"/>
  <c r="H1230" i="26"/>
  <c r="AM1230" i="26"/>
  <c r="K1230" i="26"/>
  <c r="AT1230" i="26"/>
  <c r="AX1230" i="26"/>
  <c r="AF1230" i="26"/>
  <c r="BK1230" i="26"/>
  <c r="I1230" i="26"/>
  <c r="A1230" i="26"/>
  <c r="W1230" i="26"/>
  <c r="BN1230" i="26"/>
  <c r="AJ1230" i="26"/>
  <c r="T1230" i="26"/>
  <c r="U1230" i="26"/>
  <c r="AK1230" i="26"/>
  <c r="B1230" i="26"/>
  <c r="BJ1230" i="26"/>
  <c r="L1230" i="26"/>
  <c r="AU1230" i="26"/>
  <c r="AR1230" i="26"/>
  <c r="BD1230" i="26"/>
  <c r="BE472" i="26"/>
  <c r="BV475" i="26"/>
  <c r="E1231" i="26" l="1"/>
  <c r="BV474" i="26"/>
  <c r="BE471" i="26"/>
  <c r="BC1231" i="26" l="1"/>
  <c r="AV1231" i="55" s="1"/>
  <c r="AF1231" i="26"/>
  <c r="BM1231" i="26"/>
  <c r="BJ1231" i="26"/>
  <c r="K1231" i="26"/>
  <c r="AK1231" i="26"/>
  <c r="AJ1231" i="26"/>
  <c r="AT1231" i="26"/>
  <c r="AV1231" i="26"/>
  <c r="BN1231" i="26"/>
  <c r="AW1231" i="26"/>
  <c r="M1231" i="26"/>
  <c r="S1231" i="26"/>
  <c r="AP1231" i="26"/>
  <c r="BL1231" i="26"/>
  <c r="Q1231" i="26"/>
  <c r="P1231" i="26"/>
  <c r="BK1231" i="26"/>
  <c r="L1231" i="26"/>
  <c r="C1231" i="26"/>
  <c r="W1231" i="26"/>
  <c r="BP1231" i="26"/>
  <c r="AY1231" i="26"/>
  <c r="I1231" i="26"/>
  <c r="BO1231" i="26"/>
  <c r="AO1231" i="26"/>
  <c r="BI1231" i="26"/>
  <c r="AS1231" i="26"/>
  <c r="X1231" i="26"/>
  <c r="T1231" i="26"/>
  <c r="BA1231" i="26"/>
  <c r="AM1231" i="26"/>
  <c r="AR1231" i="26"/>
  <c r="D1231" i="26"/>
  <c r="BQ1231" i="26"/>
  <c r="BR1231" i="26"/>
  <c r="H1231" i="26"/>
  <c r="A1231" i="26"/>
  <c r="N1231" i="26"/>
  <c r="B1231" i="26"/>
  <c r="AX1231" i="26"/>
  <c r="R1231" i="26"/>
  <c r="U1231" i="26"/>
  <c r="V1231" i="26"/>
  <c r="AU1231" i="26"/>
  <c r="G1231" i="26"/>
  <c r="O1231" i="26"/>
  <c r="BD1231" i="26"/>
  <c r="BE470" i="26"/>
  <c r="BV473" i="26"/>
  <c r="E1232" i="26" l="1"/>
  <c r="BV472" i="26"/>
  <c r="BE469" i="26"/>
  <c r="BC1232" i="26" l="1"/>
  <c r="AV1232" i="55" s="1"/>
  <c r="BM1232" i="26"/>
  <c r="AP1232" i="26"/>
  <c r="O1232" i="26"/>
  <c r="K1232" i="26"/>
  <c r="T1232" i="26"/>
  <c r="AS1232" i="26"/>
  <c r="M1232" i="26"/>
  <c r="AF1232" i="26"/>
  <c r="A1232" i="26"/>
  <c r="P1232" i="26"/>
  <c r="X1232" i="26"/>
  <c r="D1232" i="26"/>
  <c r="BN1232" i="26"/>
  <c r="AO1232" i="26"/>
  <c r="B1232" i="26"/>
  <c r="AJ1232" i="26"/>
  <c r="BO1232" i="26"/>
  <c r="W1232" i="26"/>
  <c r="BJ1232" i="26"/>
  <c r="BL1232" i="26"/>
  <c r="Q1232" i="26"/>
  <c r="V1232" i="26"/>
  <c r="R1232" i="26"/>
  <c r="AK1232" i="26"/>
  <c r="BK1232" i="26"/>
  <c r="AW1232" i="26"/>
  <c r="H1232" i="26"/>
  <c r="BP1232" i="26"/>
  <c r="G1232" i="26"/>
  <c r="BQ1232" i="26"/>
  <c r="U1232" i="26"/>
  <c r="S1232" i="26"/>
  <c r="AU1232" i="26"/>
  <c r="N1232" i="26"/>
  <c r="C1232" i="26"/>
  <c r="L1232" i="26"/>
  <c r="I1232" i="26"/>
  <c r="BR1232" i="26"/>
  <c r="AX1232" i="26"/>
  <c r="AM1232" i="26"/>
  <c r="AR1232" i="26"/>
  <c r="BI1232" i="26"/>
  <c r="AY1232" i="26"/>
  <c r="AV1232" i="26"/>
  <c r="AT1232" i="26"/>
  <c r="BA1232" i="26"/>
  <c r="BD1232" i="26"/>
  <c r="BE468" i="26"/>
  <c r="BV471" i="26"/>
  <c r="E1233" i="26" l="1"/>
  <c r="BV470" i="26"/>
  <c r="BE467" i="26"/>
  <c r="BC1233" i="26" l="1"/>
  <c r="AV1233" i="55" s="1"/>
  <c r="O1233" i="26"/>
  <c r="Q1233" i="26"/>
  <c r="AU1233" i="26"/>
  <c r="M1233" i="26"/>
  <c r="AM1233" i="26"/>
  <c r="BQ1233" i="26"/>
  <c r="AK1233" i="26"/>
  <c r="BJ1233" i="26"/>
  <c r="C1233" i="26"/>
  <c r="G1233" i="26"/>
  <c r="AF1233" i="26"/>
  <c r="AV1233" i="26"/>
  <c r="I1233" i="26"/>
  <c r="AO1233" i="26"/>
  <c r="R1233" i="26"/>
  <c r="BL1233" i="26"/>
  <c r="P1233" i="26"/>
  <c r="B1233" i="26"/>
  <c r="BM1233" i="26"/>
  <c r="W1233" i="26"/>
  <c r="X1233" i="26"/>
  <c r="S1233" i="26"/>
  <c r="AR1233" i="26"/>
  <c r="T1233" i="26"/>
  <c r="AP1233" i="26"/>
  <c r="L1233" i="26"/>
  <c r="N1233" i="26"/>
  <c r="AW1233" i="26"/>
  <c r="AT1233" i="26"/>
  <c r="BI1233" i="26"/>
  <c r="A1233" i="26"/>
  <c r="BP1233" i="26"/>
  <c r="BA1233" i="26"/>
  <c r="BN1233" i="26"/>
  <c r="H1233" i="26"/>
  <c r="BR1233" i="26"/>
  <c r="D1233" i="26"/>
  <c r="U1233" i="26"/>
  <c r="BO1233" i="26"/>
  <c r="V1233" i="26"/>
  <c r="AS1233" i="26"/>
  <c r="K1233" i="26"/>
  <c r="AY1233" i="26"/>
  <c r="AX1233" i="26"/>
  <c r="AJ1233" i="26"/>
  <c r="BK1233" i="26"/>
  <c r="BD1233" i="26"/>
  <c r="BE466" i="26"/>
  <c r="BV469" i="26"/>
  <c r="E1234" i="26" l="1"/>
  <c r="BV468" i="26"/>
  <c r="BE465" i="26"/>
  <c r="BC1234" i="26" l="1"/>
  <c r="AV1234" i="55" s="1"/>
  <c r="B1234" i="26"/>
  <c r="AS1234" i="26"/>
  <c r="BQ1234" i="26"/>
  <c r="W1234" i="26"/>
  <c r="BP1234" i="26"/>
  <c r="O1234" i="26"/>
  <c r="BM1234" i="26"/>
  <c r="BA1234" i="26"/>
  <c r="BR1234" i="26"/>
  <c r="V1234" i="26"/>
  <c r="K1234" i="26"/>
  <c r="AV1234" i="26"/>
  <c r="R1234" i="26"/>
  <c r="AJ1234" i="26"/>
  <c r="AY1234" i="26"/>
  <c r="AX1234" i="26"/>
  <c r="I1234" i="26"/>
  <c r="M1234" i="26"/>
  <c r="AF1234" i="26"/>
  <c r="N1234" i="26"/>
  <c r="P1234" i="26"/>
  <c r="AT1234" i="26"/>
  <c r="A1234" i="26"/>
  <c r="AU1234" i="26"/>
  <c r="BJ1234" i="26"/>
  <c r="AM1234" i="26"/>
  <c r="T1234" i="26"/>
  <c r="X1234" i="26"/>
  <c r="Q1234" i="26"/>
  <c r="AK1234" i="26"/>
  <c r="G1234" i="26"/>
  <c r="C1234" i="26"/>
  <c r="BL1234" i="26"/>
  <c r="BK1234" i="26"/>
  <c r="AP1234" i="26"/>
  <c r="D1234" i="26"/>
  <c r="U1234" i="26"/>
  <c r="L1234" i="26"/>
  <c r="AW1234" i="26"/>
  <c r="H1234" i="26"/>
  <c r="BI1234" i="26"/>
  <c r="BO1234" i="26"/>
  <c r="BN1234" i="26"/>
  <c r="AR1234" i="26"/>
  <c r="AO1234" i="26"/>
  <c r="S1234" i="26"/>
  <c r="BD1234" i="26"/>
  <c r="BE464" i="26"/>
  <c r="BV467" i="26"/>
  <c r="E1235" i="26" l="1"/>
  <c r="BV466" i="26"/>
  <c r="BE463" i="26"/>
  <c r="BC1235" i="26" l="1"/>
  <c r="AV1235" i="55" s="1"/>
  <c r="AJ1235" i="26"/>
  <c r="BQ1235" i="26"/>
  <c r="I1235" i="26"/>
  <c r="R1235" i="26"/>
  <c r="L1235" i="26"/>
  <c r="AS1235" i="26"/>
  <c r="AX1235" i="26"/>
  <c r="AW1235" i="26"/>
  <c r="V1235" i="26"/>
  <c r="AF1235" i="26"/>
  <c r="BL1235" i="26"/>
  <c r="U1235" i="26"/>
  <c r="BO1235" i="26"/>
  <c r="BP1235" i="26"/>
  <c r="BR1235" i="26"/>
  <c r="AV1235" i="26"/>
  <c r="G1235" i="26"/>
  <c r="Q1235" i="26"/>
  <c r="AT1235" i="26"/>
  <c r="D1235" i="26"/>
  <c r="M1235" i="26"/>
  <c r="BA1235" i="26"/>
  <c r="AU1235" i="26"/>
  <c r="A1235" i="26"/>
  <c r="S1235" i="26"/>
  <c r="BM1235" i="26"/>
  <c r="BJ1235" i="26"/>
  <c r="BN1235" i="26"/>
  <c r="X1235" i="26"/>
  <c r="K1235" i="26"/>
  <c r="N1235" i="26"/>
  <c r="B1235" i="26"/>
  <c r="AK1235" i="26"/>
  <c r="BK1235" i="26"/>
  <c r="C1235" i="26"/>
  <c r="AO1235" i="26"/>
  <c r="BI1235" i="26"/>
  <c r="H1235" i="26"/>
  <c r="W1235" i="26"/>
  <c r="O1235" i="26"/>
  <c r="T1235" i="26"/>
  <c r="AR1235" i="26"/>
  <c r="AM1235" i="26"/>
  <c r="P1235" i="26"/>
  <c r="AP1235" i="26"/>
  <c r="AY1235" i="26"/>
  <c r="BD1235" i="26"/>
  <c r="BE462" i="26"/>
  <c r="BV465" i="26"/>
  <c r="E1236" i="26" l="1"/>
  <c r="BV464" i="26"/>
  <c r="BE461" i="26"/>
  <c r="BC1236" i="26" l="1"/>
  <c r="AV1236" i="55" s="1"/>
  <c r="A1236" i="26"/>
  <c r="L1236" i="26"/>
  <c r="T1236" i="26"/>
  <c r="C1236" i="26"/>
  <c r="BJ1236" i="26"/>
  <c r="AY1236" i="26"/>
  <c r="AK1236" i="26"/>
  <c r="X1236" i="26"/>
  <c r="AP1236" i="26"/>
  <c r="AS1236" i="26"/>
  <c r="Q1236" i="26"/>
  <c r="U1236" i="26"/>
  <c r="BO1236" i="26"/>
  <c r="AR1236" i="26"/>
  <c r="AO1236" i="26"/>
  <c r="AW1236" i="26"/>
  <c r="BR1236" i="26"/>
  <c r="BM1236" i="26"/>
  <c r="AV1236" i="26"/>
  <c r="I1236" i="26"/>
  <c r="R1236" i="26"/>
  <c r="AU1236" i="26"/>
  <c r="BL1236" i="26"/>
  <c r="S1236" i="26"/>
  <c r="BQ1236" i="26"/>
  <c r="O1236" i="26"/>
  <c r="AX1236" i="26"/>
  <c r="M1236" i="26"/>
  <c r="AT1236" i="26"/>
  <c r="BA1236" i="26"/>
  <c r="BK1236" i="26"/>
  <c r="AF1236" i="26"/>
  <c r="K1236" i="26"/>
  <c r="P1236" i="26"/>
  <c r="BN1236" i="26"/>
  <c r="H1236" i="26"/>
  <c r="AM1236" i="26"/>
  <c r="D1236" i="26"/>
  <c r="BI1236" i="26"/>
  <c r="W1236" i="26"/>
  <c r="BP1236" i="26"/>
  <c r="G1236" i="26"/>
  <c r="AJ1236" i="26"/>
  <c r="V1236" i="26"/>
  <c r="N1236" i="26"/>
  <c r="B1236" i="26"/>
  <c r="BD1236" i="26"/>
  <c r="BE460" i="26"/>
  <c r="BV463" i="26"/>
  <c r="E1237" i="26" l="1"/>
  <c r="BV462" i="26"/>
  <c r="BE459" i="26"/>
  <c r="BC1237" i="26" l="1"/>
  <c r="AV1237" i="55" s="1"/>
  <c r="BQ1237" i="26"/>
  <c r="AR1237" i="26"/>
  <c r="AK1237" i="26"/>
  <c r="BL1237" i="26"/>
  <c r="R1237" i="26"/>
  <c r="BJ1237" i="26"/>
  <c r="AS1237" i="26"/>
  <c r="C1237" i="26"/>
  <c r="S1237" i="26"/>
  <c r="G1237" i="26"/>
  <c r="Q1237" i="26"/>
  <c r="AF1237" i="26"/>
  <c r="W1237" i="26"/>
  <c r="K1237" i="26"/>
  <c r="BN1237" i="26"/>
  <c r="BO1237" i="26"/>
  <c r="BM1237" i="26"/>
  <c r="X1237" i="26"/>
  <c r="AV1237" i="26"/>
  <c r="D1237" i="26"/>
  <c r="BK1237" i="26"/>
  <c r="AO1237" i="26"/>
  <c r="AX1237" i="26"/>
  <c r="B1237" i="26"/>
  <c r="BR1237" i="26"/>
  <c r="P1237" i="26"/>
  <c r="BA1237" i="26"/>
  <c r="AP1237" i="26"/>
  <c r="H1237" i="26"/>
  <c r="N1237" i="26"/>
  <c r="BP1237" i="26"/>
  <c r="T1237" i="26"/>
  <c r="U1237" i="26"/>
  <c r="I1237" i="26"/>
  <c r="AU1237" i="26"/>
  <c r="AT1237" i="26"/>
  <c r="O1237" i="26"/>
  <c r="L1237" i="26"/>
  <c r="AM1237" i="26"/>
  <c r="A1237" i="26"/>
  <c r="AY1237" i="26"/>
  <c r="V1237" i="26"/>
  <c r="BI1237" i="26"/>
  <c r="AJ1237" i="26"/>
  <c r="M1237" i="26"/>
  <c r="AW1237" i="26"/>
  <c r="BD1237" i="26"/>
  <c r="BE458" i="26"/>
  <c r="BV461" i="26"/>
  <c r="E1238" i="26" l="1"/>
  <c r="BV460" i="26"/>
  <c r="BE457" i="26"/>
  <c r="BC1238" i="26" l="1"/>
  <c r="AV1238" i="55" s="1"/>
  <c r="P1238" i="26"/>
  <c r="N1238" i="26"/>
  <c r="T1238" i="26"/>
  <c r="K1238" i="26"/>
  <c r="AT1238" i="26"/>
  <c r="V1238" i="26"/>
  <c r="R1238" i="26"/>
  <c r="U1238" i="26"/>
  <c r="BN1238" i="26"/>
  <c r="O1238" i="26"/>
  <c r="L1238" i="26"/>
  <c r="AO1238" i="26"/>
  <c r="AY1238" i="26"/>
  <c r="BM1238" i="26"/>
  <c r="AX1238" i="26"/>
  <c r="H1238" i="26"/>
  <c r="BI1238" i="26"/>
  <c r="AS1238" i="26"/>
  <c r="AK1238" i="26"/>
  <c r="BA1238" i="26"/>
  <c r="BL1238" i="26"/>
  <c r="AF1238" i="26"/>
  <c r="C1238" i="26"/>
  <c r="BK1238" i="26"/>
  <c r="D1238" i="26"/>
  <c r="AM1238" i="26"/>
  <c r="A1238" i="26"/>
  <c r="BO1238" i="26"/>
  <c r="BJ1238" i="26"/>
  <c r="S1238" i="26"/>
  <c r="G1238" i="26"/>
  <c r="AV1238" i="26"/>
  <c r="I1238" i="26"/>
  <c r="AR1238" i="26"/>
  <c r="BP1238" i="26"/>
  <c r="AW1238" i="26"/>
  <c r="AP1238" i="26"/>
  <c r="X1238" i="26"/>
  <c r="BR1238" i="26"/>
  <c r="B1238" i="26"/>
  <c r="AJ1238" i="26"/>
  <c r="M1238" i="26"/>
  <c r="Q1238" i="26"/>
  <c r="BQ1238" i="26"/>
  <c r="AU1238" i="26"/>
  <c r="W1238" i="26"/>
  <c r="BD1238" i="26"/>
  <c r="BE456" i="26"/>
  <c r="BV459" i="26"/>
  <c r="E1239" i="26" l="1"/>
  <c r="BV458" i="26"/>
  <c r="BE455" i="26"/>
  <c r="BC1239" i="26" l="1"/>
  <c r="AV1239" i="55" s="1"/>
  <c r="I1239" i="26"/>
  <c r="BK1239" i="26"/>
  <c r="O1239" i="26"/>
  <c r="AX1239" i="26"/>
  <c r="BM1239" i="26"/>
  <c r="D1239" i="26"/>
  <c r="M1239" i="26"/>
  <c r="Q1239" i="26"/>
  <c r="L1239" i="26"/>
  <c r="BR1239" i="26"/>
  <c r="BJ1239" i="26"/>
  <c r="AP1239" i="26"/>
  <c r="A1239" i="26"/>
  <c r="AW1239" i="26"/>
  <c r="AF1239" i="26"/>
  <c r="G1239" i="26"/>
  <c r="AV1239" i="26"/>
  <c r="AT1239" i="26"/>
  <c r="K1239" i="26"/>
  <c r="BN1239" i="26"/>
  <c r="C1239" i="26"/>
  <c r="AR1239" i="26"/>
  <c r="N1239" i="26"/>
  <c r="B1239" i="26"/>
  <c r="AU1239" i="26"/>
  <c r="BP1239" i="26"/>
  <c r="BL1239" i="26"/>
  <c r="BA1239" i="26"/>
  <c r="V1239" i="26"/>
  <c r="BO1239" i="26"/>
  <c r="BI1239" i="26"/>
  <c r="S1239" i="26"/>
  <c r="AK1239" i="26"/>
  <c r="H1239" i="26"/>
  <c r="X1239" i="26"/>
  <c r="AM1239" i="26"/>
  <c r="AS1239" i="26"/>
  <c r="T1239" i="26"/>
  <c r="W1239" i="26"/>
  <c r="BQ1239" i="26"/>
  <c r="P1239" i="26"/>
  <c r="U1239" i="26"/>
  <c r="AO1239" i="26"/>
  <c r="AY1239" i="26"/>
  <c r="R1239" i="26"/>
  <c r="AJ1239" i="26"/>
  <c r="BD1239" i="26"/>
  <c r="BE454" i="26"/>
  <c r="BV457" i="26"/>
  <c r="E1240" i="26" l="1"/>
  <c r="BV456" i="26"/>
  <c r="BE453" i="26"/>
  <c r="BC1240" i="26" l="1"/>
  <c r="AV1240" i="55" s="1"/>
  <c r="AF1240" i="26"/>
  <c r="P1240" i="26"/>
  <c r="AW1240" i="26"/>
  <c r="AP1240" i="26"/>
  <c r="BQ1240" i="26"/>
  <c r="BP1240" i="26"/>
  <c r="S1240" i="26"/>
  <c r="A1240" i="26"/>
  <c r="BN1240" i="26"/>
  <c r="W1240" i="26"/>
  <c r="U1240" i="26"/>
  <c r="AO1240" i="26"/>
  <c r="AS1240" i="26"/>
  <c r="G1240" i="26"/>
  <c r="BK1240" i="26"/>
  <c r="AX1240" i="26"/>
  <c r="O1240" i="26"/>
  <c r="AU1240" i="26"/>
  <c r="N1240" i="26"/>
  <c r="T1240" i="26"/>
  <c r="Q1240" i="26"/>
  <c r="X1240" i="26"/>
  <c r="AM1240" i="26"/>
  <c r="BM1240" i="26"/>
  <c r="M1240" i="26"/>
  <c r="D1240" i="26"/>
  <c r="K1240" i="26"/>
  <c r="H1240" i="26"/>
  <c r="B1240" i="26"/>
  <c r="BI1240" i="26"/>
  <c r="BL1240" i="26"/>
  <c r="BA1240" i="26"/>
  <c r="R1240" i="26"/>
  <c r="BO1240" i="26"/>
  <c r="AY1240" i="26"/>
  <c r="AJ1240" i="26"/>
  <c r="BR1240" i="26"/>
  <c r="AT1240" i="26"/>
  <c r="AK1240" i="26"/>
  <c r="AV1240" i="26"/>
  <c r="BJ1240" i="26"/>
  <c r="V1240" i="26"/>
  <c r="AR1240" i="26"/>
  <c r="L1240" i="26"/>
  <c r="C1240" i="26"/>
  <c r="I1240" i="26"/>
  <c r="BD1240" i="26"/>
  <c r="BE452" i="26"/>
  <c r="BV455" i="26"/>
  <c r="E1241" i="26" l="1"/>
  <c r="BE451" i="26"/>
  <c r="BV454" i="26"/>
  <c r="BC1241" i="26" l="1"/>
  <c r="AV1241" i="55" s="1"/>
  <c r="L1241" i="26"/>
  <c r="V1241" i="26"/>
  <c r="Q1241" i="26"/>
  <c r="U1241" i="26"/>
  <c r="AK1241" i="26"/>
  <c r="AJ1241" i="26"/>
  <c r="D1241" i="26"/>
  <c r="AF1241" i="26"/>
  <c r="AT1241" i="26"/>
  <c r="BA1241" i="26"/>
  <c r="BQ1241" i="26"/>
  <c r="A1241" i="26"/>
  <c r="C1241" i="26"/>
  <c r="BO1241" i="26"/>
  <c r="BL1241" i="26"/>
  <c r="AM1241" i="26"/>
  <c r="AX1241" i="26"/>
  <c r="BN1241" i="26"/>
  <c r="AP1241" i="26"/>
  <c r="X1241" i="26"/>
  <c r="T1241" i="26"/>
  <c r="BJ1241" i="26"/>
  <c r="AO1241" i="26"/>
  <c r="M1241" i="26"/>
  <c r="AR1241" i="26"/>
  <c r="AY1241" i="26"/>
  <c r="K1241" i="26"/>
  <c r="P1241" i="26"/>
  <c r="N1241" i="26"/>
  <c r="AS1241" i="26"/>
  <c r="W1241" i="26"/>
  <c r="O1241" i="26"/>
  <c r="BI1241" i="26"/>
  <c r="BK1241" i="26"/>
  <c r="S1241" i="26"/>
  <c r="AV1241" i="26"/>
  <c r="BP1241" i="26"/>
  <c r="B1241" i="26"/>
  <c r="BM1241" i="26"/>
  <c r="R1241" i="26"/>
  <c r="AU1241" i="26"/>
  <c r="BR1241" i="26"/>
  <c r="H1241" i="26"/>
  <c r="AW1241" i="26"/>
  <c r="I1241" i="26"/>
  <c r="G1241" i="26"/>
  <c r="BD1241" i="26"/>
  <c r="BV453" i="26"/>
  <c r="BE450" i="26"/>
  <c r="E1242" i="26" l="1"/>
  <c r="BE449" i="26"/>
  <c r="BV452" i="26"/>
  <c r="BC1242" i="26" l="1"/>
  <c r="AV1242" i="55" s="1"/>
  <c r="B1242" i="26"/>
  <c r="BR1242" i="26"/>
  <c r="AK1242" i="26"/>
  <c r="R1242" i="26"/>
  <c r="K1242" i="26"/>
  <c r="C1242" i="26"/>
  <c r="BP1242" i="26"/>
  <c r="AT1242" i="26"/>
  <c r="AS1242" i="26"/>
  <c r="T1242" i="26"/>
  <c r="L1242" i="26"/>
  <c r="O1242" i="26"/>
  <c r="AM1242" i="26"/>
  <c r="V1242" i="26"/>
  <c r="AW1242" i="26"/>
  <c r="AF1242" i="26"/>
  <c r="BN1242" i="26"/>
  <c r="X1242" i="26"/>
  <c r="BM1242" i="26"/>
  <c r="G1242" i="26"/>
  <c r="AY1242" i="26"/>
  <c r="A1242" i="26"/>
  <c r="BA1242" i="26"/>
  <c r="AR1242" i="26"/>
  <c r="S1242" i="26"/>
  <c r="N1242" i="26"/>
  <c r="U1242" i="26"/>
  <c r="BK1242" i="26"/>
  <c r="H1242" i="26"/>
  <c r="I1242" i="26"/>
  <c r="Q1242" i="26"/>
  <c r="P1242" i="26"/>
  <c r="BJ1242" i="26"/>
  <c r="BO1242" i="26"/>
  <c r="D1242" i="26"/>
  <c r="AV1242" i="26"/>
  <c r="AU1242" i="26"/>
  <c r="W1242" i="26"/>
  <c r="BL1242" i="26"/>
  <c r="BQ1242" i="26"/>
  <c r="AP1242" i="26"/>
  <c r="AJ1242" i="26"/>
  <c r="BI1242" i="26"/>
  <c r="AO1242" i="26"/>
  <c r="AX1242" i="26"/>
  <c r="M1242" i="26"/>
  <c r="BD1242" i="26"/>
  <c r="BV451" i="26"/>
  <c r="BE448" i="26"/>
  <c r="E1243" i="26" l="1"/>
  <c r="BE447" i="26"/>
  <c r="BV450" i="26"/>
  <c r="BC1243" i="26" l="1"/>
  <c r="AV1243" i="55" s="1"/>
  <c r="AF1243" i="26"/>
  <c r="AK1243" i="26"/>
  <c r="BO1243" i="26"/>
  <c r="AM1243" i="26"/>
  <c r="T1243" i="26"/>
  <c r="BM1243" i="26"/>
  <c r="K1243" i="26"/>
  <c r="L1243" i="26"/>
  <c r="AS1243" i="26"/>
  <c r="BN1243" i="26"/>
  <c r="I1243" i="26"/>
  <c r="W1243" i="26"/>
  <c r="B1243" i="26"/>
  <c r="BP1243" i="26"/>
  <c r="S1243" i="26"/>
  <c r="BA1243" i="26"/>
  <c r="BI1243" i="26"/>
  <c r="A1243" i="26"/>
  <c r="AW1243" i="26"/>
  <c r="O1243" i="26"/>
  <c r="BR1243" i="26"/>
  <c r="AR1243" i="26"/>
  <c r="BJ1243" i="26"/>
  <c r="AJ1243" i="26"/>
  <c r="AU1243" i="26"/>
  <c r="AY1243" i="26"/>
  <c r="V1243" i="26"/>
  <c r="AT1243" i="26"/>
  <c r="BQ1243" i="26"/>
  <c r="C1243" i="26"/>
  <c r="X1243" i="26"/>
  <c r="Q1243" i="26"/>
  <c r="N1243" i="26"/>
  <c r="M1243" i="26"/>
  <c r="BK1243" i="26"/>
  <c r="AP1243" i="26"/>
  <c r="D1243" i="26"/>
  <c r="H1243" i="26"/>
  <c r="BL1243" i="26"/>
  <c r="R1243" i="26"/>
  <c r="P1243" i="26"/>
  <c r="AV1243" i="26"/>
  <c r="AO1243" i="26"/>
  <c r="G1243" i="26"/>
  <c r="U1243" i="26"/>
  <c r="AX1243" i="26"/>
  <c r="BD1243" i="26"/>
  <c r="BV449" i="26"/>
  <c r="BE446" i="26"/>
  <c r="E1244" i="26" l="1"/>
  <c r="BE445" i="26"/>
  <c r="BV448" i="26"/>
  <c r="BC1244" i="26" l="1"/>
  <c r="AV1244" i="55" s="1"/>
  <c r="G1244" i="26"/>
  <c r="N1244" i="26"/>
  <c r="AM1244" i="26"/>
  <c r="AS1244" i="26"/>
  <c r="AU1244" i="26"/>
  <c r="BM1244" i="26"/>
  <c r="AP1244" i="26"/>
  <c r="S1244" i="26"/>
  <c r="BR1244" i="26"/>
  <c r="BA1244" i="26"/>
  <c r="AX1244" i="26"/>
  <c r="AJ1244" i="26"/>
  <c r="O1244" i="26"/>
  <c r="M1244" i="26"/>
  <c r="BQ1244" i="26"/>
  <c r="BI1244" i="26"/>
  <c r="AF1244" i="26"/>
  <c r="X1244" i="26"/>
  <c r="R1244" i="26"/>
  <c r="BJ1244" i="26"/>
  <c r="AR1244" i="26"/>
  <c r="AK1244" i="26"/>
  <c r="AT1244" i="26"/>
  <c r="BK1244" i="26"/>
  <c r="B1244" i="26"/>
  <c r="AO1244" i="26"/>
  <c r="AV1244" i="26"/>
  <c r="T1244" i="26"/>
  <c r="BL1244" i="26"/>
  <c r="BO1244" i="26"/>
  <c r="D1244" i="26"/>
  <c r="Q1244" i="26"/>
  <c r="H1244" i="26"/>
  <c r="L1244" i="26"/>
  <c r="P1244" i="26"/>
  <c r="U1244" i="26"/>
  <c r="AW1244" i="26"/>
  <c r="K1244" i="26"/>
  <c r="BN1244" i="26"/>
  <c r="A1244" i="26"/>
  <c r="V1244" i="26"/>
  <c r="BP1244" i="26"/>
  <c r="AY1244" i="26"/>
  <c r="I1244" i="26"/>
  <c r="W1244" i="26"/>
  <c r="C1244" i="26"/>
  <c r="BD1244" i="26"/>
  <c r="BV447" i="26"/>
  <c r="BE444" i="26"/>
  <c r="E1245" i="26" l="1"/>
  <c r="BE443" i="26"/>
  <c r="BV446" i="26"/>
  <c r="BC1245" i="26" l="1"/>
  <c r="AV1245" i="55" s="1"/>
  <c r="H1245" i="26"/>
  <c r="AS1245" i="26"/>
  <c r="AT1245" i="26"/>
  <c r="AF1245" i="26"/>
  <c r="BP1245" i="26"/>
  <c r="W1245" i="26"/>
  <c r="BN1245" i="26"/>
  <c r="A1245" i="26"/>
  <c r="AX1245" i="26"/>
  <c r="D1245" i="26"/>
  <c r="BL1245" i="26"/>
  <c r="BJ1245" i="26"/>
  <c r="M1245" i="26"/>
  <c r="BA1245" i="26"/>
  <c r="B1245" i="26"/>
  <c r="AK1245" i="26"/>
  <c r="X1245" i="26"/>
  <c r="G1245" i="26"/>
  <c r="AW1245" i="26"/>
  <c r="C1245" i="26"/>
  <c r="R1245" i="26"/>
  <c r="BQ1245" i="26"/>
  <c r="S1245" i="26"/>
  <c r="AO1245" i="26"/>
  <c r="I1245" i="26"/>
  <c r="K1245" i="26"/>
  <c r="BM1245" i="26"/>
  <c r="BR1245" i="26"/>
  <c r="U1245" i="26"/>
  <c r="O1245" i="26"/>
  <c r="T1245" i="26"/>
  <c r="BK1245" i="26"/>
  <c r="BI1245" i="26"/>
  <c r="Q1245" i="26"/>
  <c r="AY1245" i="26"/>
  <c r="AR1245" i="26"/>
  <c r="AJ1245" i="26"/>
  <c r="P1245" i="26"/>
  <c r="AM1245" i="26"/>
  <c r="N1245" i="26"/>
  <c r="L1245" i="26"/>
  <c r="AV1245" i="26"/>
  <c r="V1245" i="26"/>
  <c r="AU1245" i="26"/>
  <c r="BO1245" i="26"/>
  <c r="AP1245" i="26"/>
  <c r="BD1245" i="26"/>
  <c r="BV445" i="26"/>
  <c r="BE442" i="26"/>
  <c r="E1246" i="26" l="1"/>
  <c r="BE441" i="26"/>
  <c r="BV444" i="26"/>
  <c r="BC1246" i="26" l="1"/>
  <c r="AV1246" i="55" s="1"/>
  <c r="BJ1246" i="26"/>
  <c r="P1246" i="26"/>
  <c r="X1246" i="26"/>
  <c r="BL1246" i="26"/>
  <c r="O1246" i="26"/>
  <c r="Q1246" i="26"/>
  <c r="AO1246" i="26"/>
  <c r="BA1246" i="26"/>
  <c r="AW1246" i="26"/>
  <c r="BO1246" i="26"/>
  <c r="T1246" i="26"/>
  <c r="K1246" i="26"/>
  <c r="L1246" i="26"/>
  <c r="N1246" i="26"/>
  <c r="C1246" i="26"/>
  <c r="M1246" i="26"/>
  <c r="AF1246" i="26"/>
  <c r="H1246" i="26"/>
  <c r="D1246" i="26"/>
  <c r="AM1246" i="26"/>
  <c r="BQ1246" i="26"/>
  <c r="AK1246" i="26"/>
  <c r="S1246" i="26"/>
  <c r="B1246" i="26"/>
  <c r="A1246" i="26"/>
  <c r="AJ1246" i="26"/>
  <c r="BP1246" i="26"/>
  <c r="AP1246" i="26"/>
  <c r="R1246" i="26"/>
  <c r="AX1246" i="26"/>
  <c r="BI1246" i="26"/>
  <c r="BN1246" i="26"/>
  <c r="AR1246" i="26"/>
  <c r="AV1246" i="26"/>
  <c r="AS1246" i="26"/>
  <c r="I1246" i="26"/>
  <c r="BR1246" i="26"/>
  <c r="W1246" i="26"/>
  <c r="G1246" i="26"/>
  <c r="BM1246" i="26"/>
  <c r="U1246" i="26"/>
  <c r="BK1246" i="26"/>
  <c r="V1246" i="26"/>
  <c r="AT1246" i="26"/>
  <c r="AU1246" i="26"/>
  <c r="AY1246" i="26"/>
  <c r="BD1246" i="26"/>
  <c r="BE440" i="26"/>
  <c r="BV443" i="26"/>
  <c r="E1247" i="26" l="1"/>
  <c r="BV442" i="26"/>
  <c r="BE439" i="26"/>
  <c r="BC1247" i="26" l="1"/>
  <c r="AV1247" i="55" s="1"/>
  <c r="AP1247" i="26"/>
  <c r="A1247" i="26"/>
  <c r="AK1247" i="26"/>
  <c r="R1247" i="26"/>
  <c r="W1247" i="26"/>
  <c r="BP1247" i="26"/>
  <c r="AO1247" i="26"/>
  <c r="BN1247" i="26"/>
  <c r="AJ1247" i="26"/>
  <c r="AT1247" i="26"/>
  <c r="T1247" i="26"/>
  <c r="AY1247" i="26"/>
  <c r="U1247" i="26"/>
  <c r="BI1247" i="26"/>
  <c r="BO1247" i="26"/>
  <c r="AV1247" i="26"/>
  <c r="I1247" i="26"/>
  <c r="P1247" i="26"/>
  <c r="L1247" i="26"/>
  <c r="AR1247" i="26"/>
  <c r="Q1247" i="26"/>
  <c r="V1247" i="26"/>
  <c r="C1247" i="26"/>
  <c r="BM1247" i="26"/>
  <c r="K1247" i="26"/>
  <c r="AS1247" i="26"/>
  <c r="AX1247" i="26"/>
  <c r="D1247" i="26"/>
  <c r="H1247" i="26"/>
  <c r="BK1247" i="26"/>
  <c r="O1247" i="26"/>
  <c r="AW1247" i="26"/>
  <c r="X1247" i="26"/>
  <c r="M1247" i="26"/>
  <c r="AM1247" i="26"/>
  <c r="BJ1247" i="26"/>
  <c r="BR1247" i="26"/>
  <c r="S1247" i="26"/>
  <c r="AF1247" i="26"/>
  <c r="BA1247" i="26"/>
  <c r="N1247" i="26"/>
  <c r="BL1247" i="26"/>
  <c r="AU1247" i="26"/>
  <c r="G1247" i="26"/>
  <c r="BQ1247" i="26"/>
  <c r="B1247" i="26"/>
  <c r="BD1247" i="26"/>
  <c r="BE438" i="26"/>
  <c r="BV441" i="26"/>
  <c r="E1248" i="26" l="1"/>
  <c r="BV440" i="26"/>
  <c r="BE437" i="26"/>
  <c r="BC1248" i="26" l="1"/>
  <c r="AV1248" i="55" s="1"/>
  <c r="T1248" i="26"/>
  <c r="K1248" i="26"/>
  <c r="C1248" i="26"/>
  <c r="BJ1248" i="26"/>
  <c r="D1248" i="26"/>
  <c r="AM1248" i="26"/>
  <c r="U1248" i="26"/>
  <c r="N1248" i="26"/>
  <c r="AK1248" i="26"/>
  <c r="BQ1248" i="26"/>
  <c r="AW1248" i="26"/>
  <c r="B1248" i="26"/>
  <c r="BP1248" i="26"/>
  <c r="H1248" i="26"/>
  <c r="AV1248" i="26"/>
  <c r="AT1248" i="26"/>
  <c r="AR1248" i="26"/>
  <c r="BL1248" i="26"/>
  <c r="AY1248" i="26"/>
  <c r="AF1248" i="26"/>
  <c r="I1248" i="26"/>
  <c r="M1248" i="26"/>
  <c r="AP1248" i="26"/>
  <c r="V1248" i="26"/>
  <c r="O1248" i="26"/>
  <c r="W1248" i="26"/>
  <c r="AU1248" i="26"/>
  <c r="R1248" i="26"/>
  <c r="BM1248" i="26"/>
  <c r="L1248" i="26"/>
  <c r="BK1248" i="26"/>
  <c r="A1248" i="26"/>
  <c r="BR1248" i="26"/>
  <c r="AJ1248" i="26"/>
  <c r="AX1248" i="26"/>
  <c r="G1248" i="26"/>
  <c r="X1248" i="26"/>
  <c r="AO1248" i="26"/>
  <c r="Q1248" i="26"/>
  <c r="P1248" i="26"/>
  <c r="S1248" i="26"/>
  <c r="BN1248" i="26"/>
  <c r="BA1248" i="26"/>
  <c r="AS1248" i="26"/>
  <c r="BI1248" i="26"/>
  <c r="BO1248" i="26"/>
  <c r="BD1248" i="26"/>
  <c r="BE436" i="26"/>
  <c r="BV439" i="26"/>
  <c r="E1249" i="26" l="1"/>
  <c r="BV438" i="26"/>
  <c r="BE435" i="26"/>
  <c r="V1249" i="26" l="1"/>
  <c r="BC1249" i="26"/>
  <c r="AV1249" i="55" s="1"/>
  <c r="BL1249" i="26"/>
  <c r="AM1249" i="26"/>
  <c r="AK1249" i="26"/>
  <c r="N1249" i="26"/>
  <c r="BQ1249" i="26"/>
  <c r="R1249" i="26"/>
  <c r="O1249" i="26"/>
  <c r="U1249" i="26"/>
  <c r="BN1249" i="26"/>
  <c r="X1249" i="26"/>
  <c r="K1249" i="26"/>
  <c r="BR1249" i="26"/>
  <c r="BK1249" i="26"/>
  <c r="S1249" i="26"/>
  <c r="AJ1249" i="26"/>
  <c r="AV1249" i="26"/>
  <c r="D1249" i="26"/>
  <c r="A1249" i="26"/>
  <c r="Q1249" i="26"/>
  <c r="L1249" i="26"/>
  <c r="BM1249" i="26"/>
  <c r="P1249" i="26"/>
  <c r="BA1249" i="26"/>
  <c r="AU1249" i="26"/>
  <c r="I1249" i="26"/>
  <c r="AW1249" i="26"/>
  <c r="AP1249" i="26"/>
  <c r="C1249" i="26"/>
  <c r="BI1249" i="26"/>
  <c r="B1249" i="26"/>
  <c r="AR1249" i="26"/>
  <c r="AO1249" i="26"/>
  <c r="AY1249" i="26"/>
  <c r="BO1249" i="26"/>
  <c r="BP1249" i="26"/>
  <c r="W1249" i="26"/>
  <c r="T1249" i="26"/>
  <c r="AX1249" i="26"/>
  <c r="AF1249" i="26"/>
  <c r="G1249" i="26"/>
  <c r="AS1249" i="26"/>
  <c r="BJ1249" i="26"/>
  <c r="M1249" i="26"/>
  <c r="AT1249" i="26"/>
  <c r="H1249" i="26"/>
  <c r="BD1249" i="26"/>
  <c r="BE434" i="26"/>
  <c r="BV437" i="26"/>
  <c r="E1250" i="26" l="1"/>
  <c r="BV436" i="26"/>
  <c r="BE433" i="26"/>
  <c r="BC1250" i="26" l="1"/>
  <c r="AV1250" i="55" s="1"/>
  <c r="B1250" i="26"/>
  <c r="AW1250" i="26"/>
  <c r="W1250" i="26"/>
  <c r="C1250" i="26"/>
  <c r="P1250" i="26"/>
  <c r="N1250" i="26"/>
  <c r="AJ1250" i="26"/>
  <c r="V1250" i="26"/>
  <c r="I1250" i="26"/>
  <c r="T1250" i="26"/>
  <c r="AU1250" i="26"/>
  <c r="BR1250" i="26"/>
  <c r="AV1250" i="26"/>
  <c r="BO1250" i="26"/>
  <c r="O1250" i="26"/>
  <c r="BA1250" i="26"/>
  <c r="Q1250" i="26"/>
  <c r="U1250" i="26"/>
  <c r="AX1250" i="26"/>
  <c r="AO1250" i="26"/>
  <c r="BL1250" i="26"/>
  <c r="BP1250" i="26"/>
  <c r="K1250" i="26"/>
  <c r="M1250" i="26"/>
  <c r="H1250" i="26"/>
  <c r="AS1250" i="26"/>
  <c r="AF1250" i="26"/>
  <c r="BK1250" i="26"/>
  <c r="S1250" i="26"/>
  <c r="BJ1250" i="26"/>
  <c r="AY1250" i="26"/>
  <c r="AM1250" i="26"/>
  <c r="G1250" i="26"/>
  <c r="AP1250" i="26"/>
  <c r="AR1250" i="26"/>
  <c r="R1250" i="26"/>
  <c r="D1250" i="26"/>
  <c r="AK1250" i="26"/>
  <c r="BM1250" i="26"/>
  <c r="A1250" i="26"/>
  <c r="BN1250" i="26"/>
  <c r="X1250" i="26"/>
  <c r="L1250" i="26"/>
  <c r="AT1250" i="26"/>
  <c r="BQ1250" i="26"/>
  <c r="BI1250" i="26"/>
  <c r="BD1250" i="26"/>
  <c r="BE432" i="26"/>
  <c r="BV435" i="26"/>
  <c r="E1251" i="26" l="1"/>
  <c r="BV434" i="26"/>
  <c r="BE431" i="26"/>
  <c r="BC1251" i="26" l="1"/>
  <c r="AV1251" i="55" s="1"/>
  <c r="AU1251" i="26"/>
  <c r="BI1251" i="26"/>
  <c r="S1251" i="26"/>
  <c r="Q1251" i="26"/>
  <c r="D1251" i="26"/>
  <c r="AY1251" i="26"/>
  <c r="V1251" i="26"/>
  <c r="N1251" i="26"/>
  <c r="W1251" i="26"/>
  <c r="AJ1251" i="26"/>
  <c r="P1251" i="26"/>
  <c r="B1251" i="26"/>
  <c r="H1251" i="26"/>
  <c r="T1251" i="26"/>
  <c r="BN1251" i="26"/>
  <c r="O1251" i="26"/>
  <c r="AT1251" i="26"/>
  <c r="X1251" i="26"/>
  <c r="BL1251" i="26"/>
  <c r="BJ1251" i="26"/>
  <c r="A1251" i="26"/>
  <c r="AX1251" i="26"/>
  <c r="AW1251" i="26"/>
  <c r="BK1251" i="26"/>
  <c r="BM1251" i="26"/>
  <c r="U1251" i="26"/>
  <c r="AF1251" i="26"/>
  <c r="C1251" i="26"/>
  <c r="AM1251" i="26"/>
  <c r="AS1251" i="26"/>
  <c r="BP1251" i="26"/>
  <c r="BQ1251" i="26"/>
  <c r="AR1251" i="26"/>
  <c r="R1251" i="26"/>
  <c r="BA1251" i="26"/>
  <c r="BR1251" i="26"/>
  <c r="M1251" i="26"/>
  <c r="K1251" i="26"/>
  <c r="AO1251" i="26"/>
  <c r="I1251" i="26"/>
  <c r="AP1251" i="26"/>
  <c r="AV1251" i="26"/>
  <c r="G1251" i="26"/>
  <c r="AK1251" i="26"/>
  <c r="BO1251" i="26"/>
  <c r="L1251" i="26"/>
  <c r="BD1251" i="26"/>
  <c r="BE430" i="26"/>
  <c r="BV433" i="26"/>
  <c r="E1252" i="26" l="1"/>
  <c r="BE429" i="26"/>
  <c r="BV432" i="26"/>
  <c r="BC1252" i="26" l="1"/>
  <c r="AV1252" i="55" s="1"/>
  <c r="K1252" i="26"/>
  <c r="D1252" i="26"/>
  <c r="N1252" i="26"/>
  <c r="C1252" i="26"/>
  <c r="S1252" i="26"/>
  <c r="AX1252" i="26"/>
  <c r="BQ1252" i="26"/>
  <c r="BJ1252" i="26"/>
  <c r="AW1252" i="26"/>
  <c r="V1252" i="26"/>
  <c r="AO1252" i="26"/>
  <c r="AJ1252" i="26"/>
  <c r="G1252" i="26"/>
  <c r="BL1252" i="26"/>
  <c r="BP1252" i="26"/>
  <c r="W1252" i="26"/>
  <c r="O1252" i="26"/>
  <c r="L1252" i="26"/>
  <c r="P1252" i="26"/>
  <c r="B1252" i="26"/>
  <c r="AY1252" i="26"/>
  <c r="I1252" i="26"/>
  <c r="BR1252" i="26"/>
  <c r="BI1252" i="26"/>
  <c r="AV1252" i="26"/>
  <c r="BK1252" i="26"/>
  <c r="X1252" i="26"/>
  <c r="U1252" i="26"/>
  <c r="R1252" i="26"/>
  <c r="AF1252" i="26"/>
  <c r="AS1252" i="26"/>
  <c r="M1252" i="26"/>
  <c r="BM1252" i="26"/>
  <c r="BO1252" i="26"/>
  <c r="AK1252" i="26"/>
  <c r="BA1252" i="26"/>
  <c r="AR1252" i="26"/>
  <c r="AP1252" i="26"/>
  <c r="BN1252" i="26"/>
  <c r="A1252" i="26"/>
  <c r="Q1252" i="26"/>
  <c r="T1252" i="26"/>
  <c r="AM1252" i="26"/>
  <c r="AT1252" i="26"/>
  <c r="H1252" i="26"/>
  <c r="AU1252" i="26"/>
  <c r="BD1252" i="26"/>
  <c r="BV431" i="26"/>
  <c r="BE428" i="26"/>
  <c r="E1253" i="26" l="1"/>
  <c r="BE427" i="26"/>
  <c r="BV430" i="26"/>
  <c r="BC1253" i="26" l="1"/>
  <c r="AV1253" i="55" s="1"/>
  <c r="C1253" i="26"/>
  <c r="BM1253" i="26"/>
  <c r="AV1253" i="26"/>
  <c r="AK1253" i="26"/>
  <c r="U1253" i="26"/>
  <c r="BR1253" i="26"/>
  <c r="AW1253" i="26"/>
  <c r="AU1253" i="26"/>
  <c r="A1253" i="26"/>
  <c r="BO1253" i="26"/>
  <c r="N1253" i="26"/>
  <c r="BA1253" i="26"/>
  <c r="S1253" i="26"/>
  <c r="AF1253" i="26"/>
  <c r="AR1253" i="26"/>
  <c r="BI1253" i="26"/>
  <c r="AX1253" i="26"/>
  <c r="AP1253" i="26"/>
  <c r="BN1253" i="26"/>
  <c r="AT1253" i="26"/>
  <c r="Q1253" i="26"/>
  <c r="AO1253" i="26"/>
  <c r="BK1253" i="26"/>
  <c r="T1253" i="26"/>
  <c r="V1253" i="26"/>
  <c r="M1253" i="26"/>
  <c r="AY1253" i="26"/>
  <c r="H1253" i="26"/>
  <c r="BJ1253" i="26"/>
  <c r="BQ1253" i="26"/>
  <c r="P1253" i="26"/>
  <c r="X1253" i="26"/>
  <c r="AJ1253" i="26"/>
  <c r="BL1253" i="26"/>
  <c r="O1253" i="26"/>
  <c r="I1253" i="26"/>
  <c r="B1253" i="26"/>
  <c r="BP1253" i="26"/>
  <c r="L1253" i="26"/>
  <c r="W1253" i="26"/>
  <c r="AS1253" i="26"/>
  <c r="G1253" i="26"/>
  <c r="R1253" i="26"/>
  <c r="K1253" i="26"/>
  <c r="D1253" i="26"/>
  <c r="AM1253" i="26"/>
  <c r="BD1253" i="26"/>
  <c r="BV429" i="26"/>
  <c r="BE426" i="26"/>
  <c r="E1254" i="26" l="1"/>
  <c r="BE425" i="26"/>
  <c r="BV428" i="26"/>
  <c r="BC1254" i="26" l="1"/>
  <c r="AV1254" i="55" s="1"/>
  <c r="BQ1254" i="26"/>
  <c r="A1254" i="26"/>
  <c r="AO1254" i="26"/>
  <c r="G1254" i="26"/>
  <c r="H1254" i="26"/>
  <c r="M1254" i="26"/>
  <c r="N1254" i="26"/>
  <c r="BI1254" i="26"/>
  <c r="BJ1254" i="26"/>
  <c r="AY1254" i="26"/>
  <c r="S1254" i="26"/>
  <c r="BA1254" i="26"/>
  <c r="AU1254" i="26"/>
  <c r="AM1254" i="26"/>
  <c r="P1254" i="26"/>
  <c r="T1254" i="26"/>
  <c r="AT1254" i="26"/>
  <c r="BP1254" i="26"/>
  <c r="C1254" i="26"/>
  <c r="AW1254" i="26"/>
  <c r="V1254" i="26"/>
  <c r="D1254" i="26"/>
  <c r="K1254" i="26"/>
  <c r="BK1254" i="26"/>
  <c r="AR1254" i="26"/>
  <c r="BN1254" i="26"/>
  <c r="AJ1254" i="26"/>
  <c r="U1254" i="26"/>
  <c r="AP1254" i="26"/>
  <c r="BL1254" i="26"/>
  <c r="AS1254" i="26"/>
  <c r="BO1254" i="26"/>
  <c r="X1254" i="26"/>
  <c r="B1254" i="26"/>
  <c r="BM1254" i="26"/>
  <c r="O1254" i="26"/>
  <c r="AK1254" i="26"/>
  <c r="BR1254" i="26"/>
  <c r="AV1254" i="26"/>
  <c r="L1254" i="26"/>
  <c r="Q1254" i="26"/>
  <c r="I1254" i="26"/>
  <c r="R1254" i="26"/>
  <c r="AX1254" i="26"/>
  <c r="AF1254" i="26"/>
  <c r="W1254" i="26"/>
  <c r="BD1254" i="26"/>
  <c r="BV427" i="26"/>
  <c r="BE424" i="26"/>
  <c r="E1255" i="26" l="1"/>
  <c r="BE423" i="26"/>
  <c r="BV426" i="26"/>
  <c r="BC1255" i="26" l="1"/>
  <c r="AV1255" i="55" s="1"/>
  <c r="P1255" i="26"/>
  <c r="BP1255" i="26"/>
  <c r="R1255" i="26"/>
  <c r="BN1255" i="26"/>
  <c r="V1255" i="26"/>
  <c r="BA1255" i="26"/>
  <c r="AV1255" i="26"/>
  <c r="AK1255" i="26"/>
  <c r="H1255" i="26"/>
  <c r="AW1255" i="26"/>
  <c r="AM1255" i="26"/>
  <c r="BL1255" i="26"/>
  <c r="T1255" i="26"/>
  <c r="S1255" i="26"/>
  <c r="B1255" i="26"/>
  <c r="M1255" i="26"/>
  <c r="X1255" i="26"/>
  <c r="BM1255" i="26"/>
  <c r="W1255" i="26"/>
  <c r="AJ1255" i="26"/>
  <c r="I1255" i="26"/>
  <c r="AT1255" i="26"/>
  <c r="N1255" i="26"/>
  <c r="AO1255" i="26"/>
  <c r="BQ1255" i="26"/>
  <c r="BR1255" i="26"/>
  <c r="BI1255" i="26"/>
  <c r="A1255" i="26"/>
  <c r="AX1255" i="26"/>
  <c r="O1255" i="26"/>
  <c r="AY1255" i="26"/>
  <c r="BK1255" i="26"/>
  <c r="L1255" i="26"/>
  <c r="AF1255" i="26"/>
  <c r="C1255" i="26"/>
  <c r="AP1255" i="26"/>
  <c r="AU1255" i="26"/>
  <c r="AS1255" i="26"/>
  <c r="D1255" i="26"/>
  <c r="BO1255" i="26"/>
  <c r="K1255" i="26"/>
  <c r="U1255" i="26"/>
  <c r="Q1255" i="26"/>
  <c r="AR1255" i="26"/>
  <c r="BJ1255" i="26"/>
  <c r="G1255" i="26"/>
  <c r="BD1255" i="26"/>
  <c r="BV425" i="26"/>
  <c r="BE422" i="26"/>
  <c r="E1256" i="26" l="1"/>
  <c r="BE421" i="26"/>
  <c r="BV424" i="26"/>
  <c r="BC1256" i="26" l="1"/>
  <c r="AV1256" i="55" s="1"/>
  <c r="AW1256" i="26"/>
  <c r="AX1256" i="26"/>
  <c r="BN1256" i="26"/>
  <c r="BI1256" i="26"/>
  <c r="R1256" i="26"/>
  <c r="M1256" i="26"/>
  <c r="O1256" i="26"/>
  <c r="U1256" i="26"/>
  <c r="BL1256" i="26"/>
  <c r="BR1256" i="26"/>
  <c r="K1256" i="26"/>
  <c r="AK1256" i="26"/>
  <c r="N1256" i="26"/>
  <c r="AO1256" i="26"/>
  <c r="A1256" i="26"/>
  <c r="I1256" i="26"/>
  <c r="G1256" i="26"/>
  <c r="BP1256" i="26"/>
  <c r="BK1256" i="26"/>
  <c r="X1256" i="26"/>
  <c r="T1256" i="26"/>
  <c r="S1256" i="26"/>
  <c r="AV1256" i="26"/>
  <c r="BQ1256" i="26"/>
  <c r="C1256" i="26"/>
  <c r="BJ1256" i="26"/>
  <c r="W1256" i="26"/>
  <c r="AT1256" i="26"/>
  <c r="AJ1256" i="26"/>
  <c r="BA1256" i="26"/>
  <c r="AY1256" i="26"/>
  <c r="AM1256" i="26"/>
  <c r="L1256" i="26"/>
  <c r="P1256" i="26"/>
  <c r="Q1256" i="26"/>
  <c r="D1256" i="26"/>
  <c r="AR1256" i="26"/>
  <c r="B1256" i="26"/>
  <c r="BM1256" i="26"/>
  <c r="H1256" i="26"/>
  <c r="BO1256" i="26"/>
  <c r="AP1256" i="26"/>
  <c r="AS1256" i="26"/>
  <c r="V1256" i="26"/>
  <c r="AF1256" i="26"/>
  <c r="AU1256" i="26"/>
  <c r="BD1256" i="26"/>
  <c r="BV423" i="26"/>
  <c r="BE420" i="26"/>
  <c r="E1257" i="26" l="1"/>
  <c r="BE419" i="26"/>
  <c r="BV422" i="26"/>
  <c r="BC1257" i="26" l="1"/>
  <c r="AV1257" i="55" s="1"/>
  <c r="AX1257" i="26"/>
  <c r="W1257" i="26"/>
  <c r="AS1257" i="26"/>
  <c r="AJ1257" i="26"/>
  <c r="AT1257" i="26"/>
  <c r="BQ1257" i="26"/>
  <c r="O1257" i="26"/>
  <c r="G1257" i="26"/>
  <c r="BO1257" i="26"/>
  <c r="I1257" i="26"/>
  <c r="B1257" i="26"/>
  <c r="BP1257" i="26"/>
  <c r="H1257" i="26"/>
  <c r="AM1257" i="26"/>
  <c r="BM1257" i="26"/>
  <c r="C1257" i="26"/>
  <c r="D1257" i="26"/>
  <c r="BN1257" i="26"/>
  <c r="AF1257" i="26"/>
  <c r="BR1257" i="26"/>
  <c r="AW1257" i="26"/>
  <c r="BK1257" i="26"/>
  <c r="U1257" i="26"/>
  <c r="S1257" i="26"/>
  <c r="AR1257" i="26"/>
  <c r="BL1257" i="26"/>
  <c r="V1257" i="26"/>
  <c r="N1257" i="26"/>
  <c r="P1257" i="26"/>
  <c r="K1257" i="26"/>
  <c r="Q1257" i="26"/>
  <c r="M1257" i="26"/>
  <c r="AY1257" i="26"/>
  <c r="L1257" i="26"/>
  <c r="BA1257" i="26"/>
  <c r="AU1257" i="26"/>
  <c r="AO1257" i="26"/>
  <c r="R1257" i="26"/>
  <c r="T1257" i="26"/>
  <c r="BI1257" i="26"/>
  <c r="AK1257" i="26"/>
  <c r="AP1257" i="26"/>
  <c r="A1257" i="26"/>
  <c r="BJ1257" i="26"/>
  <c r="X1257" i="26"/>
  <c r="AV1257" i="26"/>
  <c r="BD1257" i="26"/>
  <c r="BV421" i="26"/>
  <c r="BE418" i="26"/>
  <c r="E1258" i="26" l="1"/>
  <c r="BE417" i="26"/>
  <c r="BV420" i="26"/>
  <c r="BC1258" i="26" l="1"/>
  <c r="AV1258" i="55" s="1"/>
  <c r="AU1258" i="26"/>
  <c r="BK1258" i="26"/>
  <c r="BQ1258" i="26"/>
  <c r="B1258" i="26"/>
  <c r="BL1258" i="26"/>
  <c r="BJ1258" i="26"/>
  <c r="BO1258" i="26"/>
  <c r="D1258" i="26"/>
  <c r="AY1258" i="26"/>
  <c r="N1258" i="26"/>
  <c r="G1258" i="26"/>
  <c r="AP1258" i="26"/>
  <c r="BR1258" i="26"/>
  <c r="L1258" i="26"/>
  <c r="AS1258" i="26"/>
  <c r="M1258" i="26"/>
  <c r="T1258" i="26"/>
  <c r="BM1258" i="26"/>
  <c r="U1258" i="26"/>
  <c r="AX1258" i="26"/>
  <c r="AW1258" i="26"/>
  <c r="AR1258" i="26"/>
  <c r="S1258" i="26"/>
  <c r="X1258" i="26"/>
  <c r="W1258" i="26"/>
  <c r="I1258" i="26"/>
  <c r="AM1258" i="26"/>
  <c r="V1258" i="26"/>
  <c r="AF1258" i="26"/>
  <c r="C1258" i="26"/>
  <c r="AO1258" i="26"/>
  <c r="AV1258" i="26"/>
  <c r="R1258" i="26"/>
  <c r="O1258" i="26"/>
  <c r="AK1258" i="26"/>
  <c r="H1258" i="26"/>
  <c r="P1258" i="26"/>
  <c r="A1258" i="26"/>
  <c r="K1258" i="26"/>
  <c r="BN1258" i="26"/>
  <c r="Q1258" i="26"/>
  <c r="AT1258" i="26"/>
  <c r="BI1258" i="26"/>
  <c r="BP1258" i="26"/>
  <c r="AJ1258" i="26"/>
  <c r="BA1258" i="26"/>
  <c r="BD1258" i="26"/>
  <c r="BV419" i="26"/>
  <c r="BE416" i="26"/>
  <c r="E1259" i="26" l="1"/>
  <c r="BE415" i="26"/>
  <c r="BV418" i="26"/>
  <c r="BC1259" i="26" l="1"/>
  <c r="AV1259" i="55" s="1"/>
  <c r="AF1259" i="26"/>
  <c r="Q1259" i="26"/>
  <c r="P1259" i="26"/>
  <c r="BI1259" i="26"/>
  <c r="S1259" i="26"/>
  <c r="N1259" i="26"/>
  <c r="AT1259" i="26"/>
  <c r="D1259" i="26"/>
  <c r="BL1259" i="26"/>
  <c r="AY1259" i="26"/>
  <c r="BQ1259" i="26"/>
  <c r="W1259" i="26"/>
  <c r="O1259" i="26"/>
  <c r="AS1259" i="26"/>
  <c r="M1259" i="26"/>
  <c r="C1259" i="26"/>
  <c r="AJ1259" i="26"/>
  <c r="BO1259" i="26"/>
  <c r="I1259" i="26"/>
  <c r="BK1259" i="26"/>
  <c r="G1259" i="26"/>
  <c r="B1259" i="26"/>
  <c r="AW1259" i="26"/>
  <c r="BA1259" i="26"/>
  <c r="BN1259" i="26"/>
  <c r="A1259" i="26"/>
  <c r="AU1259" i="26"/>
  <c r="H1259" i="26"/>
  <c r="X1259" i="26"/>
  <c r="L1259" i="26"/>
  <c r="R1259" i="26"/>
  <c r="U1259" i="26"/>
  <c r="K1259" i="26"/>
  <c r="BJ1259" i="26"/>
  <c r="BR1259" i="26"/>
  <c r="AK1259" i="26"/>
  <c r="BP1259" i="26"/>
  <c r="AX1259" i="26"/>
  <c r="T1259" i="26"/>
  <c r="V1259" i="26"/>
  <c r="BM1259" i="26"/>
  <c r="AR1259" i="26"/>
  <c r="AO1259" i="26"/>
  <c r="AV1259" i="26"/>
  <c r="AP1259" i="26"/>
  <c r="AM1259" i="26"/>
  <c r="BD1259" i="26"/>
  <c r="BV417" i="26"/>
  <c r="BE414" i="26"/>
  <c r="E1260" i="26" l="1"/>
  <c r="BE413" i="26"/>
  <c r="BV416" i="26"/>
  <c r="BC1260" i="26" l="1"/>
  <c r="AV1260" i="55" s="1"/>
  <c r="AF1260" i="26"/>
  <c r="BK1260" i="26"/>
  <c r="R1260" i="26"/>
  <c r="AV1260" i="26"/>
  <c r="AP1260" i="26"/>
  <c r="L1260" i="26"/>
  <c r="W1260" i="26"/>
  <c r="AX1260" i="26"/>
  <c r="U1260" i="26"/>
  <c r="M1260" i="26"/>
  <c r="AW1260" i="26"/>
  <c r="BL1260" i="26"/>
  <c r="AS1260" i="26"/>
  <c r="Q1260" i="26"/>
  <c r="BO1260" i="26"/>
  <c r="AY1260" i="26"/>
  <c r="C1260" i="26"/>
  <c r="BR1260" i="26"/>
  <c r="AR1260" i="26"/>
  <c r="AM1260" i="26"/>
  <c r="BM1260" i="26"/>
  <c r="A1260" i="26"/>
  <c r="BJ1260" i="26"/>
  <c r="AJ1260" i="26"/>
  <c r="X1260" i="26"/>
  <c r="V1260" i="26"/>
  <c r="BP1260" i="26"/>
  <c r="K1260" i="26"/>
  <c r="AT1260" i="26"/>
  <c r="D1260" i="26"/>
  <c r="O1260" i="26"/>
  <c r="G1260" i="26"/>
  <c r="N1260" i="26"/>
  <c r="AO1260" i="26"/>
  <c r="BA1260" i="26"/>
  <c r="AK1260" i="26"/>
  <c r="BQ1260" i="26"/>
  <c r="BN1260" i="26"/>
  <c r="S1260" i="26"/>
  <c r="B1260" i="26"/>
  <c r="BI1260" i="26"/>
  <c r="AU1260" i="26"/>
  <c r="H1260" i="26"/>
  <c r="P1260" i="26"/>
  <c r="T1260" i="26"/>
  <c r="I1260" i="26"/>
  <c r="BD1260" i="26"/>
  <c r="BV415" i="26"/>
  <c r="BE412" i="26"/>
  <c r="E1261" i="26" l="1"/>
  <c r="BE411" i="26"/>
  <c r="BV414" i="26"/>
  <c r="BC1261" i="26" l="1"/>
  <c r="AV1261" i="55" s="1"/>
  <c r="W1261" i="26"/>
  <c r="BI1261" i="26"/>
  <c r="AY1261" i="26"/>
  <c r="BJ1261" i="26"/>
  <c r="AW1261" i="26"/>
  <c r="P1261" i="26"/>
  <c r="BP1261" i="26"/>
  <c r="BL1261" i="26"/>
  <c r="AJ1261" i="26"/>
  <c r="AV1261" i="26"/>
  <c r="T1261" i="26"/>
  <c r="BN1261" i="26"/>
  <c r="AX1261" i="26"/>
  <c r="BR1261" i="26"/>
  <c r="O1261" i="26"/>
  <c r="Q1261" i="26"/>
  <c r="AR1261" i="26"/>
  <c r="BM1261" i="26"/>
  <c r="L1261" i="26"/>
  <c r="B1261" i="26"/>
  <c r="I1261" i="26"/>
  <c r="AS1261" i="26"/>
  <c r="AU1261" i="26"/>
  <c r="BQ1261" i="26"/>
  <c r="AK1261" i="26"/>
  <c r="BO1261" i="26"/>
  <c r="AT1261" i="26"/>
  <c r="K1261" i="26"/>
  <c r="AO1261" i="26"/>
  <c r="R1261" i="26"/>
  <c r="AM1261" i="26"/>
  <c r="AP1261" i="26"/>
  <c r="C1261" i="26"/>
  <c r="G1261" i="26"/>
  <c r="M1261" i="26"/>
  <c r="D1261" i="26"/>
  <c r="BA1261" i="26"/>
  <c r="AF1261" i="26"/>
  <c r="N1261" i="26"/>
  <c r="U1261" i="26"/>
  <c r="BK1261" i="26"/>
  <c r="H1261" i="26"/>
  <c r="V1261" i="26"/>
  <c r="X1261" i="26"/>
  <c r="A1261" i="26"/>
  <c r="S1261" i="26"/>
  <c r="BD1261" i="26"/>
  <c r="BV413" i="26"/>
  <c r="BE410" i="26"/>
  <c r="E1262" i="26" l="1"/>
  <c r="BE409" i="26"/>
  <c r="BV412" i="26"/>
  <c r="BC1262" i="26" l="1"/>
  <c r="AV1262" i="55" s="1"/>
  <c r="BN1262" i="26"/>
  <c r="AS1262" i="26"/>
  <c r="AK1262" i="26"/>
  <c r="AR1262" i="26"/>
  <c r="AF1262" i="26"/>
  <c r="BA1262" i="26"/>
  <c r="AO1262" i="26"/>
  <c r="BK1262" i="26"/>
  <c r="BQ1262" i="26"/>
  <c r="H1262" i="26"/>
  <c r="G1262" i="26"/>
  <c r="A1262" i="26"/>
  <c r="AW1262" i="26"/>
  <c r="AP1262" i="26"/>
  <c r="D1262" i="26"/>
  <c r="I1262" i="26"/>
  <c r="L1262" i="26"/>
  <c r="B1262" i="26"/>
  <c r="Q1262" i="26"/>
  <c r="V1262" i="26"/>
  <c r="AT1262" i="26"/>
  <c r="AJ1262" i="26"/>
  <c r="AX1262" i="26"/>
  <c r="BM1262" i="26"/>
  <c r="W1262" i="26"/>
  <c r="BL1262" i="26"/>
  <c r="AV1262" i="26"/>
  <c r="M1262" i="26"/>
  <c r="BO1262" i="26"/>
  <c r="T1262" i="26"/>
  <c r="U1262" i="26"/>
  <c r="X1262" i="26"/>
  <c r="C1262" i="26"/>
  <c r="AM1262" i="26"/>
  <c r="AU1262" i="26"/>
  <c r="R1262" i="26"/>
  <c r="AY1262" i="26"/>
  <c r="O1262" i="26"/>
  <c r="BJ1262" i="26"/>
  <c r="N1262" i="26"/>
  <c r="BP1262" i="26"/>
  <c r="P1262" i="26"/>
  <c r="BR1262" i="26"/>
  <c r="S1262" i="26"/>
  <c r="BI1262" i="26"/>
  <c r="K1262" i="26"/>
  <c r="BD1262" i="26"/>
  <c r="BV411" i="26"/>
  <c r="BE408" i="26"/>
  <c r="E1263" i="26" l="1"/>
  <c r="BE407" i="26"/>
  <c r="BV410" i="26"/>
  <c r="BC1263" i="26" l="1"/>
  <c r="AV1263" i="55" s="1"/>
  <c r="C1263" i="26"/>
  <c r="AY1263" i="26"/>
  <c r="BK1263" i="26"/>
  <c r="BQ1263" i="26"/>
  <c r="BN1263" i="26"/>
  <c r="R1263" i="26"/>
  <c r="BJ1263" i="26"/>
  <c r="BI1263" i="26"/>
  <c r="A1263" i="26"/>
  <c r="N1263" i="26"/>
  <c r="AO1263" i="26"/>
  <c r="K1263" i="26"/>
  <c r="X1263" i="26"/>
  <c r="AU1263" i="26"/>
  <c r="AX1263" i="26"/>
  <c r="S1263" i="26"/>
  <c r="AP1263" i="26"/>
  <c r="AJ1263" i="26"/>
  <c r="M1263" i="26"/>
  <c r="P1263" i="26"/>
  <c r="V1263" i="26"/>
  <c r="AS1263" i="26"/>
  <c r="BA1263" i="26"/>
  <c r="AV1263" i="26"/>
  <c r="O1263" i="26"/>
  <c r="W1263" i="26"/>
  <c r="BR1263" i="26"/>
  <c r="B1263" i="26"/>
  <c r="G1263" i="26"/>
  <c r="AK1263" i="26"/>
  <c r="H1263" i="26"/>
  <c r="AM1263" i="26"/>
  <c r="AW1263" i="26"/>
  <c r="BP1263" i="26"/>
  <c r="I1263" i="26"/>
  <c r="AF1263" i="26"/>
  <c r="D1263" i="26"/>
  <c r="BM1263" i="26"/>
  <c r="AT1263" i="26"/>
  <c r="BL1263" i="26"/>
  <c r="BO1263" i="26"/>
  <c r="AR1263" i="26"/>
  <c r="Q1263" i="26"/>
  <c r="L1263" i="26"/>
  <c r="T1263" i="26"/>
  <c r="U1263" i="26"/>
  <c r="BD1263" i="26"/>
  <c r="BV409" i="26"/>
  <c r="BE406" i="26"/>
  <c r="E1264" i="26" l="1"/>
  <c r="BE405" i="26"/>
  <c r="BV408" i="26"/>
  <c r="BC1264" i="26" l="1"/>
  <c r="AV1264" i="55" s="1"/>
  <c r="AU1264" i="26"/>
  <c r="U1264" i="26"/>
  <c r="BJ1264" i="26"/>
  <c r="AF1264" i="26"/>
  <c r="C1264" i="26"/>
  <c r="AK1264" i="26"/>
  <c r="BR1264" i="26"/>
  <c r="AS1264" i="26"/>
  <c r="AW1264" i="26"/>
  <c r="K1264" i="26"/>
  <c r="BP1264" i="26"/>
  <c r="T1264" i="26"/>
  <c r="N1264" i="26"/>
  <c r="Q1264" i="26"/>
  <c r="L1264" i="26"/>
  <c r="BM1264" i="26"/>
  <c r="AT1264" i="26"/>
  <c r="BO1264" i="26"/>
  <c r="BA1264" i="26"/>
  <c r="W1264" i="26"/>
  <c r="BL1264" i="26"/>
  <c r="X1264" i="26"/>
  <c r="P1264" i="26"/>
  <c r="BK1264" i="26"/>
  <c r="AP1264" i="26"/>
  <c r="AR1264" i="26"/>
  <c r="H1264" i="26"/>
  <c r="S1264" i="26"/>
  <c r="I1264" i="26"/>
  <c r="B1264" i="26"/>
  <c r="AV1264" i="26"/>
  <c r="M1264" i="26"/>
  <c r="AJ1264" i="26"/>
  <c r="AY1264" i="26"/>
  <c r="BI1264" i="26"/>
  <c r="O1264" i="26"/>
  <c r="AO1264" i="26"/>
  <c r="AM1264" i="26"/>
  <c r="A1264" i="26"/>
  <c r="BN1264" i="26"/>
  <c r="AX1264" i="26"/>
  <c r="R1264" i="26"/>
  <c r="D1264" i="26"/>
  <c r="V1264" i="26"/>
  <c r="BQ1264" i="26"/>
  <c r="G1264" i="26"/>
  <c r="BD1264" i="26"/>
  <c r="BV407" i="26"/>
  <c r="BE404" i="26"/>
  <c r="E1265" i="26" l="1"/>
  <c r="BE403" i="26"/>
  <c r="BV406" i="26"/>
  <c r="BC1265" i="26" l="1"/>
  <c r="AV1265" i="55" s="1"/>
  <c r="X1265" i="26"/>
  <c r="C1265" i="26"/>
  <c r="R1265" i="26"/>
  <c r="M1265" i="26"/>
  <c r="S1265" i="26"/>
  <c r="AY1265" i="26"/>
  <c r="V1265" i="26"/>
  <c r="AR1265" i="26"/>
  <c r="Q1265" i="26"/>
  <c r="H1265" i="26"/>
  <c r="AM1265" i="26"/>
  <c r="I1265" i="26"/>
  <c r="AJ1265" i="26"/>
  <c r="BQ1265" i="26"/>
  <c r="BO1265" i="26"/>
  <c r="BL1265" i="26"/>
  <c r="L1265" i="26"/>
  <c r="BK1265" i="26"/>
  <c r="BI1265" i="26"/>
  <c r="O1265" i="26"/>
  <c r="U1265" i="26"/>
  <c r="BR1265" i="26"/>
  <c r="G1265" i="26"/>
  <c r="AV1265" i="26"/>
  <c r="BN1265" i="26"/>
  <c r="N1265" i="26"/>
  <c r="AU1265" i="26"/>
  <c r="BA1265" i="26"/>
  <c r="BP1265" i="26"/>
  <c r="P1265" i="26"/>
  <c r="AW1265" i="26"/>
  <c r="AF1265" i="26"/>
  <c r="T1265" i="26"/>
  <c r="B1265" i="26"/>
  <c r="BJ1265" i="26"/>
  <c r="K1265" i="26"/>
  <c r="AK1265" i="26"/>
  <c r="AO1265" i="26"/>
  <c r="AX1265" i="26"/>
  <c r="AP1265" i="26"/>
  <c r="D1265" i="26"/>
  <c r="BM1265" i="26"/>
  <c r="W1265" i="26"/>
  <c r="AT1265" i="26"/>
  <c r="A1265" i="26"/>
  <c r="AS1265" i="26"/>
  <c r="BD1265" i="26"/>
  <c r="BV405" i="26"/>
  <c r="BE402" i="26"/>
  <c r="E1266" i="26" l="1"/>
  <c r="BV404" i="26"/>
  <c r="BE401" i="26"/>
  <c r="V1266" i="26" l="1"/>
  <c r="BC1266" i="26"/>
  <c r="AV1266" i="55" s="1"/>
  <c r="AS1266" i="26"/>
  <c r="BL1266" i="26"/>
  <c r="AU1266" i="26"/>
  <c r="W1266" i="26"/>
  <c r="AY1266" i="26"/>
  <c r="BP1266" i="26"/>
  <c r="AF1266" i="26"/>
  <c r="BR1266" i="26"/>
  <c r="S1266" i="26"/>
  <c r="AM1266" i="26"/>
  <c r="A1266" i="26"/>
  <c r="H1266" i="26"/>
  <c r="B1266" i="26"/>
  <c r="I1266" i="26"/>
  <c r="BA1266" i="26"/>
  <c r="T1266" i="26"/>
  <c r="BJ1266" i="26"/>
  <c r="AK1266" i="26"/>
  <c r="AT1266" i="26"/>
  <c r="C1266" i="26"/>
  <c r="U1266" i="26"/>
  <c r="M1266" i="26"/>
  <c r="G1266" i="26"/>
  <c r="AX1266" i="26"/>
  <c r="R1266" i="26"/>
  <c r="D1266" i="26"/>
  <c r="BM1266" i="26"/>
  <c r="AO1266" i="26"/>
  <c r="BQ1266" i="26"/>
  <c r="N1266" i="26"/>
  <c r="AR1266" i="26"/>
  <c r="X1266" i="26"/>
  <c r="L1266" i="26"/>
  <c r="BK1266" i="26"/>
  <c r="K1266" i="26"/>
  <c r="AV1266" i="26"/>
  <c r="O1266" i="26"/>
  <c r="AW1266" i="26"/>
  <c r="Q1266" i="26"/>
  <c r="AJ1266" i="26"/>
  <c r="BN1266" i="26"/>
  <c r="BI1266" i="26"/>
  <c r="AP1266" i="26"/>
  <c r="BO1266" i="26"/>
  <c r="P1266" i="26"/>
  <c r="BD1266" i="26"/>
  <c r="BE400" i="26"/>
  <c r="BV403" i="26"/>
  <c r="E1267" i="26" l="1"/>
  <c r="BE399" i="26"/>
  <c r="BV402" i="26"/>
  <c r="BC1267" i="26" l="1"/>
  <c r="AV1267" i="55" s="1"/>
  <c r="AM1267" i="26"/>
  <c r="BQ1267" i="26"/>
  <c r="R1267" i="26"/>
  <c r="AK1267" i="26"/>
  <c r="L1267" i="26"/>
  <c r="C1267" i="26"/>
  <c r="A1267" i="26"/>
  <c r="BL1267" i="26"/>
  <c r="BM1267" i="26"/>
  <c r="AV1267" i="26"/>
  <c r="AF1267" i="26"/>
  <c r="AW1267" i="26"/>
  <c r="K1267" i="26"/>
  <c r="T1267" i="26"/>
  <c r="X1267" i="26"/>
  <c r="Q1267" i="26"/>
  <c r="G1267" i="26"/>
  <c r="N1267" i="26"/>
  <c r="BN1267" i="26"/>
  <c r="BK1267" i="26"/>
  <c r="V1267" i="26"/>
  <c r="AS1267" i="26"/>
  <c r="AX1267" i="26"/>
  <c r="BR1267" i="26"/>
  <c r="O1267" i="26"/>
  <c r="BJ1267" i="26"/>
  <c r="U1267" i="26"/>
  <c r="D1267" i="26"/>
  <c r="BA1267" i="26"/>
  <c r="S1267" i="26"/>
  <c r="BI1267" i="26"/>
  <c r="AY1267" i="26"/>
  <c r="AJ1267" i="26"/>
  <c r="B1267" i="26"/>
  <c r="AU1267" i="26"/>
  <c r="W1267" i="26"/>
  <c r="AT1267" i="26"/>
  <c r="AO1267" i="26"/>
  <c r="P1267" i="26"/>
  <c r="BP1267" i="26"/>
  <c r="I1267" i="26"/>
  <c r="H1267" i="26"/>
  <c r="M1267" i="26"/>
  <c r="AP1267" i="26"/>
  <c r="AR1267" i="26"/>
  <c r="BO1267" i="26"/>
  <c r="BD1267" i="26"/>
  <c r="BV401" i="26"/>
  <c r="BE398" i="26"/>
  <c r="E1268" i="26" l="1"/>
  <c r="BV400" i="26"/>
  <c r="BE397" i="26"/>
  <c r="BC1268" i="26" l="1"/>
  <c r="AV1268" i="55" s="1"/>
  <c r="L1268" i="26"/>
  <c r="AF1268" i="26"/>
  <c r="AX1268" i="26"/>
  <c r="BK1268" i="26"/>
  <c r="BL1268" i="26"/>
  <c r="BI1268" i="26"/>
  <c r="BP1268" i="26"/>
  <c r="AP1268" i="26"/>
  <c r="V1268" i="26"/>
  <c r="AW1268" i="26"/>
  <c r="BJ1268" i="26"/>
  <c r="AM1268" i="26"/>
  <c r="I1268" i="26"/>
  <c r="BN1268" i="26"/>
  <c r="N1268" i="26"/>
  <c r="W1268" i="26"/>
  <c r="AO1268" i="26"/>
  <c r="C1268" i="26"/>
  <c r="AU1268" i="26"/>
  <c r="Q1268" i="26"/>
  <c r="U1268" i="26"/>
  <c r="K1268" i="26"/>
  <c r="T1268" i="26"/>
  <c r="BQ1268" i="26"/>
  <c r="A1268" i="26"/>
  <c r="BO1268" i="26"/>
  <c r="X1268" i="26"/>
  <c r="BA1268" i="26"/>
  <c r="O1268" i="26"/>
  <c r="D1268" i="26"/>
  <c r="P1268" i="26"/>
  <c r="R1268" i="26"/>
  <c r="M1268" i="26"/>
  <c r="B1268" i="26"/>
  <c r="AT1268" i="26"/>
  <c r="BM1268" i="26"/>
  <c r="AK1268" i="26"/>
  <c r="BR1268" i="26"/>
  <c r="G1268" i="26"/>
  <c r="AY1268" i="26"/>
  <c r="S1268" i="26"/>
  <c r="AS1268" i="26"/>
  <c r="AJ1268" i="26"/>
  <c r="AR1268" i="26"/>
  <c r="H1268" i="26"/>
  <c r="AV1268" i="26"/>
  <c r="BD1268" i="26"/>
  <c r="BE396" i="26"/>
  <c r="BV399" i="26"/>
  <c r="E1269" i="26" l="1"/>
  <c r="BV398" i="26"/>
  <c r="BE395" i="26"/>
  <c r="BC1269" i="26" l="1"/>
  <c r="AV1269" i="55" s="1"/>
  <c r="C1269" i="26"/>
  <c r="N1269" i="26"/>
  <c r="AY1269" i="26"/>
  <c r="AR1269" i="26"/>
  <c r="BJ1269" i="26"/>
  <c r="U1269" i="26"/>
  <c r="AM1269" i="26"/>
  <c r="A1269" i="26"/>
  <c r="R1269" i="26"/>
  <c r="L1269" i="26"/>
  <c r="X1269" i="26"/>
  <c r="B1269" i="26"/>
  <c r="BA1269" i="26"/>
  <c r="BP1269" i="26"/>
  <c r="AV1269" i="26"/>
  <c r="H1269" i="26"/>
  <c r="BR1269" i="26"/>
  <c r="W1269" i="26"/>
  <c r="M1269" i="26"/>
  <c r="G1269" i="26"/>
  <c r="BK1269" i="26"/>
  <c r="D1269" i="26"/>
  <c r="K1269" i="26"/>
  <c r="T1269" i="26"/>
  <c r="BO1269" i="26"/>
  <c r="Q1269" i="26"/>
  <c r="BM1269" i="26"/>
  <c r="AX1269" i="26"/>
  <c r="S1269" i="26"/>
  <c r="AF1269" i="26"/>
  <c r="AT1269" i="26"/>
  <c r="AP1269" i="26"/>
  <c r="AK1269" i="26"/>
  <c r="BI1269" i="26"/>
  <c r="P1269" i="26"/>
  <c r="AW1269" i="26"/>
  <c r="AU1269" i="26"/>
  <c r="AJ1269" i="26"/>
  <c r="BN1269" i="26"/>
  <c r="O1269" i="26"/>
  <c r="AS1269" i="26"/>
  <c r="AO1269" i="26"/>
  <c r="V1269" i="26"/>
  <c r="I1269" i="26"/>
  <c r="BL1269" i="26"/>
  <c r="BQ1269" i="26"/>
  <c r="BD1269" i="26"/>
  <c r="BE394" i="26"/>
  <c r="BV397" i="26"/>
  <c r="E1270" i="26" l="1"/>
  <c r="BV396" i="26"/>
  <c r="BE393" i="26"/>
  <c r="BC1270" i="26" l="1"/>
  <c r="AV1270" i="55" s="1"/>
  <c r="AK1270" i="26"/>
  <c r="K1270" i="26"/>
  <c r="M1270" i="26"/>
  <c r="P1270" i="26"/>
  <c r="S1270" i="26"/>
  <c r="AW1270" i="26"/>
  <c r="BN1270" i="26"/>
  <c r="L1270" i="26"/>
  <c r="U1270" i="26"/>
  <c r="BR1270" i="26"/>
  <c r="AP1270" i="26"/>
  <c r="AU1270" i="26"/>
  <c r="H1270" i="26"/>
  <c r="BK1270" i="26"/>
  <c r="AF1270" i="26"/>
  <c r="BL1270" i="26"/>
  <c r="N1270" i="26"/>
  <c r="V1270" i="26"/>
  <c r="BM1270" i="26"/>
  <c r="O1270" i="26"/>
  <c r="BP1270" i="26"/>
  <c r="G1270" i="26"/>
  <c r="BJ1270" i="26"/>
  <c r="AV1270" i="26"/>
  <c r="AY1270" i="26"/>
  <c r="Q1270" i="26"/>
  <c r="I1270" i="26"/>
  <c r="R1270" i="26"/>
  <c r="AX1270" i="26"/>
  <c r="AM1270" i="26"/>
  <c r="W1270" i="26"/>
  <c r="BI1270" i="26"/>
  <c r="BA1270" i="26"/>
  <c r="BQ1270" i="26"/>
  <c r="C1270" i="26"/>
  <c r="AS1270" i="26"/>
  <c r="AJ1270" i="26"/>
  <c r="A1270" i="26"/>
  <c r="B1270" i="26"/>
  <c r="AR1270" i="26"/>
  <c r="AO1270" i="26"/>
  <c r="BO1270" i="26"/>
  <c r="T1270" i="26"/>
  <c r="AT1270" i="26"/>
  <c r="D1270" i="26"/>
  <c r="X1270" i="26"/>
  <c r="BD1270" i="26"/>
  <c r="BV395" i="26"/>
  <c r="BE392" i="26"/>
  <c r="E1271" i="26" l="1"/>
  <c r="BE391" i="26"/>
  <c r="BV394" i="26"/>
  <c r="BC1271" i="26" l="1"/>
  <c r="AV1271" i="55" s="1"/>
  <c r="K1271" i="26"/>
  <c r="BP1271" i="26"/>
  <c r="AK1271" i="26"/>
  <c r="BQ1271" i="26"/>
  <c r="BN1271" i="26"/>
  <c r="AV1271" i="26"/>
  <c r="U1271" i="26"/>
  <c r="AR1271" i="26"/>
  <c r="C1271" i="26"/>
  <c r="P1271" i="26"/>
  <c r="AX1271" i="26"/>
  <c r="H1271" i="26"/>
  <c r="BR1271" i="26"/>
  <c r="BA1271" i="26"/>
  <c r="X1271" i="26"/>
  <c r="AJ1271" i="26"/>
  <c r="AM1271" i="26"/>
  <c r="AT1271" i="26"/>
  <c r="G1271" i="26"/>
  <c r="L1271" i="26"/>
  <c r="I1271" i="26"/>
  <c r="BM1271" i="26"/>
  <c r="BO1271" i="26"/>
  <c r="AP1271" i="26"/>
  <c r="N1271" i="26"/>
  <c r="O1271" i="26"/>
  <c r="R1271" i="26"/>
  <c r="AY1271" i="26"/>
  <c r="Q1271" i="26"/>
  <c r="T1271" i="26"/>
  <c r="AU1271" i="26"/>
  <c r="BJ1271" i="26"/>
  <c r="BI1271" i="26"/>
  <c r="BL1271" i="26"/>
  <c r="A1271" i="26"/>
  <c r="B1271" i="26"/>
  <c r="D1271" i="26"/>
  <c r="BK1271" i="26"/>
  <c r="AW1271" i="26"/>
  <c r="W1271" i="26"/>
  <c r="V1271" i="26"/>
  <c r="AS1271" i="26"/>
  <c r="AO1271" i="26"/>
  <c r="S1271" i="26"/>
  <c r="AF1271" i="26"/>
  <c r="M1271" i="26"/>
  <c r="BD1271" i="26"/>
  <c r="BV393" i="26"/>
  <c r="BE390" i="26"/>
  <c r="E1272" i="26" l="1"/>
  <c r="BE389" i="26"/>
  <c r="BV392" i="26"/>
  <c r="BC1272" i="26" l="1"/>
  <c r="AV1272" i="55" s="1"/>
  <c r="AR1272" i="26"/>
  <c r="Q1272" i="26"/>
  <c r="AU1272" i="26"/>
  <c r="P1272" i="26"/>
  <c r="BJ1272" i="26"/>
  <c r="AJ1272" i="26"/>
  <c r="AS1272" i="26"/>
  <c r="N1272" i="26"/>
  <c r="C1272" i="26"/>
  <c r="L1272" i="26"/>
  <c r="A1272" i="26"/>
  <c r="I1272" i="26"/>
  <c r="BL1272" i="26"/>
  <c r="BN1272" i="26"/>
  <c r="B1272" i="26"/>
  <c r="O1272" i="26"/>
  <c r="K1272" i="26"/>
  <c r="AK1272" i="26"/>
  <c r="G1272" i="26"/>
  <c r="S1272" i="26"/>
  <c r="V1272" i="26"/>
  <c r="AP1272" i="26"/>
  <c r="X1272" i="26"/>
  <c r="M1272" i="26"/>
  <c r="BM1272" i="26"/>
  <c r="BQ1272" i="26"/>
  <c r="W1272" i="26"/>
  <c r="BP1272" i="26"/>
  <c r="AF1272" i="26"/>
  <c r="U1272" i="26"/>
  <c r="BI1272" i="26"/>
  <c r="BO1272" i="26"/>
  <c r="BK1272" i="26"/>
  <c r="R1272" i="26"/>
  <c r="D1272" i="26"/>
  <c r="AM1272" i="26"/>
  <c r="AX1272" i="26"/>
  <c r="AY1272" i="26"/>
  <c r="T1272" i="26"/>
  <c r="AV1272" i="26"/>
  <c r="BA1272" i="26"/>
  <c r="AT1272" i="26"/>
  <c r="AW1272" i="26"/>
  <c r="H1272" i="26"/>
  <c r="AO1272" i="26"/>
  <c r="BR1272" i="26"/>
  <c r="BD1272" i="26"/>
  <c r="BV391" i="26"/>
  <c r="BE388" i="26"/>
  <c r="E1273" i="26" l="1"/>
  <c r="BE387" i="26"/>
  <c r="BV390" i="26"/>
  <c r="BC1273" i="26" l="1"/>
  <c r="AV1273" i="55" s="1"/>
  <c r="BI1273" i="26"/>
  <c r="AO1273" i="26"/>
  <c r="G1273" i="26"/>
  <c r="X1273" i="26"/>
  <c r="U1273" i="26"/>
  <c r="O1273" i="26"/>
  <c r="B1273" i="26"/>
  <c r="M1273" i="26"/>
  <c r="AV1273" i="26"/>
  <c r="L1273" i="26"/>
  <c r="A1273" i="26"/>
  <c r="S1273" i="26"/>
  <c r="BK1273" i="26"/>
  <c r="BM1273" i="26"/>
  <c r="BA1273" i="26"/>
  <c r="BP1273" i="26"/>
  <c r="AS1273" i="26"/>
  <c r="C1273" i="26"/>
  <c r="BJ1273" i="26"/>
  <c r="AW1273" i="26"/>
  <c r="W1273" i="26"/>
  <c r="AR1273" i="26"/>
  <c r="AX1273" i="26"/>
  <c r="AU1273" i="26"/>
  <c r="N1273" i="26"/>
  <c r="AJ1273" i="26"/>
  <c r="R1273" i="26"/>
  <c r="T1273" i="26"/>
  <c r="AF1273" i="26"/>
  <c r="BO1273" i="26"/>
  <c r="AK1273" i="26"/>
  <c r="AY1273" i="26"/>
  <c r="I1273" i="26"/>
  <c r="AT1273" i="26"/>
  <c r="BR1273" i="26"/>
  <c r="BL1273" i="26"/>
  <c r="P1273" i="26"/>
  <c r="D1273" i="26"/>
  <c r="AM1273" i="26"/>
  <c r="V1273" i="26"/>
  <c r="BQ1273" i="26"/>
  <c r="Q1273" i="26"/>
  <c r="AP1273" i="26"/>
  <c r="H1273" i="26"/>
  <c r="BN1273" i="26"/>
  <c r="K1273" i="26"/>
  <c r="BD1273" i="26"/>
  <c r="BV389" i="26"/>
  <c r="BE386" i="26"/>
  <c r="E1274" i="26" l="1"/>
  <c r="BE385" i="26"/>
  <c r="BV388" i="26"/>
  <c r="BC1274" i="26" l="1"/>
  <c r="AV1274" i="55" s="1"/>
  <c r="AO1274" i="26"/>
  <c r="BO1274" i="26"/>
  <c r="P1274" i="26"/>
  <c r="BQ1274" i="26"/>
  <c r="BN1274" i="26"/>
  <c r="AY1274" i="26"/>
  <c r="AM1274" i="26"/>
  <c r="T1274" i="26"/>
  <c r="BA1274" i="26"/>
  <c r="AW1274" i="26"/>
  <c r="M1274" i="26"/>
  <c r="I1274" i="26"/>
  <c r="BL1274" i="26"/>
  <c r="U1274" i="26"/>
  <c r="Q1274" i="26"/>
  <c r="O1274" i="26"/>
  <c r="G1274" i="26"/>
  <c r="AU1274" i="26"/>
  <c r="BJ1274" i="26"/>
  <c r="H1274" i="26"/>
  <c r="N1274" i="26"/>
  <c r="BI1274" i="26"/>
  <c r="R1274" i="26"/>
  <c r="BP1274" i="26"/>
  <c r="AK1274" i="26"/>
  <c r="AF1274" i="26"/>
  <c r="V1274" i="26"/>
  <c r="AV1274" i="26"/>
  <c r="L1274" i="26"/>
  <c r="B1274" i="26"/>
  <c r="AT1274" i="26"/>
  <c r="AJ1274" i="26"/>
  <c r="D1274" i="26"/>
  <c r="X1274" i="26"/>
  <c r="BK1274" i="26"/>
  <c r="AX1274" i="26"/>
  <c r="BM1274" i="26"/>
  <c r="A1274" i="26"/>
  <c r="AR1274" i="26"/>
  <c r="C1274" i="26"/>
  <c r="W1274" i="26"/>
  <c r="AP1274" i="26"/>
  <c r="K1274" i="26"/>
  <c r="BR1274" i="26"/>
  <c r="AS1274" i="26"/>
  <c r="S1274" i="26"/>
  <c r="BD1274" i="26"/>
  <c r="BV387" i="26"/>
  <c r="BE384" i="26"/>
  <c r="E1275" i="26" l="1"/>
  <c r="BE383" i="26"/>
  <c r="BV386" i="26"/>
  <c r="BC1275" i="26" l="1"/>
  <c r="AV1275" i="55" s="1"/>
  <c r="AP1275" i="26"/>
  <c r="P1275" i="26"/>
  <c r="R1275" i="26"/>
  <c r="AU1275" i="26"/>
  <c r="AK1275" i="26"/>
  <c r="AF1275" i="26"/>
  <c r="I1275" i="26"/>
  <c r="H1275" i="26"/>
  <c r="BO1275" i="26"/>
  <c r="BA1275" i="26"/>
  <c r="V1275" i="26"/>
  <c r="L1275" i="26"/>
  <c r="X1275" i="26"/>
  <c r="AT1275" i="26"/>
  <c r="BK1275" i="26"/>
  <c r="D1275" i="26"/>
  <c r="AO1275" i="26"/>
  <c r="T1275" i="26"/>
  <c r="BM1275" i="26"/>
  <c r="G1275" i="26"/>
  <c r="C1275" i="26"/>
  <c r="W1275" i="26"/>
  <c r="A1275" i="26"/>
  <c r="M1275" i="26"/>
  <c r="S1275" i="26"/>
  <c r="AM1275" i="26"/>
  <c r="N1275" i="26"/>
  <c r="AW1275" i="26"/>
  <c r="AS1275" i="26"/>
  <c r="B1275" i="26"/>
  <c r="AR1275" i="26"/>
  <c r="BI1275" i="26"/>
  <c r="BN1275" i="26"/>
  <c r="AX1275" i="26"/>
  <c r="K1275" i="26"/>
  <c r="BL1275" i="26"/>
  <c r="BP1275" i="26"/>
  <c r="U1275" i="26"/>
  <c r="BQ1275" i="26"/>
  <c r="AJ1275" i="26"/>
  <c r="BR1275" i="26"/>
  <c r="Q1275" i="26"/>
  <c r="BJ1275" i="26"/>
  <c r="O1275" i="26"/>
  <c r="AV1275" i="26"/>
  <c r="AY1275" i="26"/>
  <c r="BD1275" i="26"/>
  <c r="BV385" i="26"/>
  <c r="BE382" i="26"/>
  <c r="E1276" i="26" l="1"/>
  <c r="BE381" i="26"/>
  <c r="BV384" i="26"/>
  <c r="BC1276" i="26" l="1"/>
  <c r="AV1276" i="55" s="1"/>
  <c r="AF1276" i="26"/>
  <c r="L1276" i="26"/>
  <c r="D1276" i="26"/>
  <c r="T1276" i="26"/>
  <c r="I1276" i="26"/>
  <c r="AU1276" i="26"/>
  <c r="N1276" i="26"/>
  <c r="V1276" i="26"/>
  <c r="AY1276" i="26"/>
  <c r="C1276" i="26"/>
  <c r="R1276" i="26"/>
  <c r="AM1276" i="26"/>
  <c r="BI1276" i="26"/>
  <c r="AP1276" i="26"/>
  <c r="M1276" i="26"/>
  <c r="AX1276" i="26"/>
  <c r="AR1276" i="26"/>
  <c r="AK1276" i="26"/>
  <c r="K1276" i="26"/>
  <c r="A1276" i="26"/>
  <c r="X1276" i="26"/>
  <c r="BN1276" i="26"/>
  <c r="AV1276" i="26"/>
  <c r="O1276" i="26"/>
  <c r="B1276" i="26"/>
  <c r="BK1276" i="26"/>
  <c r="AT1276" i="26"/>
  <c r="AS1276" i="26"/>
  <c r="BA1276" i="26"/>
  <c r="BQ1276" i="26"/>
  <c r="BM1276" i="26"/>
  <c r="U1276" i="26"/>
  <c r="W1276" i="26"/>
  <c r="BJ1276" i="26"/>
  <c r="S1276" i="26"/>
  <c r="AO1276" i="26"/>
  <c r="Q1276" i="26"/>
  <c r="AW1276" i="26"/>
  <c r="BO1276" i="26"/>
  <c r="G1276" i="26"/>
  <c r="AJ1276" i="26"/>
  <c r="BL1276" i="26"/>
  <c r="BR1276" i="26"/>
  <c r="BP1276" i="26"/>
  <c r="H1276" i="26"/>
  <c r="P1276" i="26"/>
  <c r="BD1276" i="26"/>
  <c r="BV383" i="26"/>
  <c r="BE380" i="26"/>
  <c r="E1277" i="26" l="1"/>
  <c r="BE379" i="26"/>
  <c r="BV382" i="26"/>
  <c r="BC1277" i="26" l="1"/>
  <c r="AV1277" i="55" s="1"/>
  <c r="BI1277" i="26"/>
  <c r="BM1277" i="26"/>
  <c r="Q1277" i="26"/>
  <c r="AS1277" i="26"/>
  <c r="AP1277" i="26"/>
  <c r="BN1277" i="26"/>
  <c r="X1277" i="26"/>
  <c r="T1277" i="26"/>
  <c r="AU1277" i="26"/>
  <c r="V1277" i="26"/>
  <c r="BO1277" i="26"/>
  <c r="AX1277" i="26"/>
  <c r="M1277" i="26"/>
  <c r="K1277" i="26"/>
  <c r="O1277" i="26"/>
  <c r="AM1277" i="26"/>
  <c r="W1277" i="26"/>
  <c r="N1277" i="26"/>
  <c r="AT1277" i="26"/>
  <c r="AK1277" i="26"/>
  <c r="BA1277" i="26"/>
  <c r="BR1277" i="26"/>
  <c r="C1277" i="26"/>
  <c r="A1277" i="26"/>
  <c r="AO1277" i="26"/>
  <c r="I1277" i="26"/>
  <c r="R1277" i="26"/>
  <c r="AR1277" i="26"/>
  <c r="BK1277" i="26"/>
  <c r="H1277" i="26"/>
  <c r="U1277" i="26"/>
  <c r="AF1277" i="26"/>
  <c r="BP1277" i="26"/>
  <c r="AV1277" i="26"/>
  <c r="BQ1277" i="26"/>
  <c r="P1277" i="26"/>
  <c r="D1277" i="26"/>
  <c r="BJ1277" i="26"/>
  <c r="BL1277" i="26"/>
  <c r="B1277" i="26"/>
  <c r="AY1277" i="26"/>
  <c r="G1277" i="26"/>
  <c r="L1277" i="26"/>
  <c r="S1277" i="26"/>
  <c r="AW1277" i="26"/>
  <c r="AJ1277" i="26"/>
  <c r="BD1277" i="26"/>
  <c r="BV381" i="26"/>
  <c r="BE378" i="26"/>
  <c r="E1278" i="26" l="1"/>
  <c r="BE377" i="26"/>
  <c r="BV380" i="26"/>
  <c r="BC1278" i="26" l="1"/>
  <c r="AV1278" i="55" s="1"/>
  <c r="T1278" i="26"/>
  <c r="AW1278" i="26"/>
  <c r="R1278" i="26"/>
  <c r="X1278" i="26"/>
  <c r="BP1278" i="26"/>
  <c r="V1278" i="26"/>
  <c r="AO1278" i="26"/>
  <c r="G1278" i="26"/>
  <c r="AK1278" i="26"/>
  <c r="C1278" i="26"/>
  <c r="A1278" i="26"/>
  <c r="O1278" i="26"/>
  <c r="S1278" i="26"/>
  <c r="D1278" i="26"/>
  <c r="B1278" i="26"/>
  <c r="U1278" i="26"/>
  <c r="BN1278" i="26"/>
  <c r="BA1278" i="26"/>
  <c r="N1278" i="26"/>
  <c r="BJ1278" i="26"/>
  <c r="BQ1278" i="26"/>
  <c r="BK1278" i="26"/>
  <c r="AP1278" i="26"/>
  <c r="AR1278" i="26"/>
  <c r="AJ1278" i="26"/>
  <c r="BL1278" i="26"/>
  <c r="H1278" i="26"/>
  <c r="AY1278" i="26"/>
  <c r="K1278" i="26"/>
  <c r="AV1278" i="26"/>
  <c r="I1278" i="26"/>
  <c r="AX1278" i="26"/>
  <c r="AS1278" i="26"/>
  <c r="AT1278" i="26"/>
  <c r="M1278" i="26"/>
  <c r="AF1278" i="26"/>
  <c r="BM1278" i="26"/>
  <c r="BI1278" i="26"/>
  <c r="P1278" i="26"/>
  <c r="BO1278" i="26"/>
  <c r="BR1278" i="26"/>
  <c r="AM1278" i="26"/>
  <c r="AU1278" i="26"/>
  <c r="L1278" i="26"/>
  <c r="Q1278" i="26"/>
  <c r="W1278" i="26"/>
  <c r="BD1278" i="26"/>
  <c r="BV379" i="26"/>
  <c r="BE376" i="26"/>
  <c r="E1279" i="26" l="1"/>
  <c r="BE375" i="26"/>
  <c r="BV378" i="26"/>
  <c r="BC1279" i="26" l="1"/>
  <c r="AV1279" i="55" s="1"/>
  <c r="AX1279" i="26"/>
  <c r="BL1279" i="26"/>
  <c r="BI1279" i="26"/>
  <c r="AK1279" i="26"/>
  <c r="BN1279" i="26"/>
  <c r="AY1279" i="26"/>
  <c r="O1279" i="26"/>
  <c r="V1279" i="26"/>
  <c r="BA1279" i="26"/>
  <c r="AV1279" i="26"/>
  <c r="BK1279" i="26"/>
  <c r="U1279" i="26"/>
  <c r="BP1279" i="26"/>
  <c r="AR1279" i="26"/>
  <c r="L1279" i="26"/>
  <c r="AS1279" i="26"/>
  <c r="N1279" i="26"/>
  <c r="BR1279" i="26"/>
  <c r="A1279" i="26"/>
  <c r="G1279" i="26"/>
  <c r="AJ1279" i="26"/>
  <c r="W1279" i="26"/>
  <c r="AW1279" i="26"/>
  <c r="BJ1279" i="26"/>
  <c r="D1279" i="26"/>
  <c r="H1279" i="26"/>
  <c r="R1279" i="26"/>
  <c r="M1279" i="26"/>
  <c r="Q1279" i="26"/>
  <c r="K1279" i="26"/>
  <c r="BO1279" i="26"/>
  <c r="I1279" i="26"/>
  <c r="AF1279" i="26"/>
  <c r="AM1279" i="26"/>
  <c r="BQ1279" i="26"/>
  <c r="S1279" i="26"/>
  <c r="AU1279" i="26"/>
  <c r="BM1279" i="26"/>
  <c r="AT1279" i="26"/>
  <c r="C1279" i="26"/>
  <c r="X1279" i="26"/>
  <c r="B1279" i="26"/>
  <c r="AP1279" i="26"/>
  <c r="T1279" i="26"/>
  <c r="P1279" i="26"/>
  <c r="AO1279" i="26"/>
  <c r="BD1279" i="26"/>
  <c r="BV377" i="26"/>
  <c r="BE374" i="26"/>
  <c r="E1280" i="26" l="1"/>
  <c r="BE373" i="26"/>
  <c r="BV376" i="26"/>
  <c r="BC1280" i="26" l="1"/>
  <c r="AV1280" i="55" s="1"/>
  <c r="BP1280" i="26"/>
  <c r="K1280" i="26"/>
  <c r="AP1280" i="26"/>
  <c r="D1280" i="26"/>
  <c r="I1280" i="26"/>
  <c r="X1280" i="26"/>
  <c r="BM1280" i="26"/>
  <c r="H1280" i="26"/>
  <c r="BQ1280" i="26"/>
  <c r="AJ1280" i="26"/>
  <c r="BK1280" i="26"/>
  <c r="R1280" i="26"/>
  <c r="BJ1280" i="26"/>
  <c r="N1280" i="26"/>
  <c r="BR1280" i="26"/>
  <c r="BO1280" i="26"/>
  <c r="AX1280" i="26"/>
  <c r="BI1280" i="26"/>
  <c r="AF1280" i="26"/>
  <c r="AT1280" i="26"/>
  <c r="AK1280" i="26"/>
  <c r="AY1280" i="26"/>
  <c r="AS1280" i="26"/>
  <c r="AU1280" i="26"/>
  <c r="AV1280" i="26"/>
  <c r="BL1280" i="26"/>
  <c r="B1280" i="26"/>
  <c r="BN1280" i="26"/>
  <c r="U1280" i="26"/>
  <c r="AM1280" i="26"/>
  <c r="Q1280" i="26"/>
  <c r="C1280" i="26"/>
  <c r="T1280" i="26"/>
  <c r="AO1280" i="26"/>
  <c r="A1280" i="26"/>
  <c r="AR1280" i="26"/>
  <c r="AW1280" i="26"/>
  <c r="S1280" i="26"/>
  <c r="BA1280" i="26"/>
  <c r="G1280" i="26"/>
  <c r="P1280" i="26"/>
  <c r="M1280" i="26"/>
  <c r="V1280" i="26"/>
  <c r="L1280" i="26"/>
  <c r="O1280" i="26"/>
  <c r="W1280" i="26"/>
  <c r="BD1280" i="26"/>
  <c r="BV375" i="26"/>
  <c r="BE372" i="26"/>
  <c r="E1281" i="26" l="1"/>
  <c r="BE371" i="26"/>
  <c r="BV374" i="26"/>
  <c r="BC1281" i="26" l="1"/>
  <c r="AV1281" i="55" s="1"/>
  <c r="BM1281" i="26"/>
  <c r="BQ1281" i="26"/>
  <c r="D1281" i="26"/>
  <c r="AT1281" i="26"/>
  <c r="B1281" i="26"/>
  <c r="I1281" i="26"/>
  <c r="P1281" i="26"/>
  <c r="T1281" i="26"/>
  <c r="V1281" i="26"/>
  <c r="AR1281" i="26"/>
  <c r="R1281" i="26"/>
  <c r="BO1281" i="26"/>
  <c r="AV1281" i="26"/>
  <c r="A1281" i="26"/>
  <c r="L1281" i="26"/>
  <c r="H1281" i="26"/>
  <c r="W1281" i="26"/>
  <c r="N1281" i="26"/>
  <c r="BK1281" i="26"/>
  <c r="C1281" i="26"/>
  <c r="BR1281" i="26"/>
  <c r="AJ1281" i="26"/>
  <c r="Q1281" i="26"/>
  <c r="AX1281" i="26"/>
  <c r="BL1281" i="26"/>
  <c r="AW1281" i="26"/>
  <c r="AF1281" i="26"/>
  <c r="O1281" i="26"/>
  <c r="K1281" i="26"/>
  <c r="AP1281" i="26"/>
  <c r="BI1281" i="26"/>
  <c r="AO1281" i="26"/>
  <c r="G1281" i="26"/>
  <c r="AY1281" i="26"/>
  <c r="BN1281" i="26"/>
  <c r="S1281" i="26"/>
  <c r="X1281" i="26"/>
  <c r="AK1281" i="26"/>
  <c r="AU1281" i="26"/>
  <c r="BA1281" i="26"/>
  <c r="M1281" i="26"/>
  <c r="AM1281" i="26"/>
  <c r="AS1281" i="26"/>
  <c r="BJ1281" i="26"/>
  <c r="BP1281" i="26"/>
  <c r="U1281" i="26"/>
  <c r="BD1281" i="26"/>
  <c r="BV373" i="26"/>
  <c r="BE370" i="26"/>
  <c r="E1282" i="26" l="1"/>
  <c r="BE369" i="26"/>
  <c r="BV372" i="26"/>
  <c r="BC1282" i="26" l="1"/>
  <c r="AV1282" i="55" s="1"/>
  <c r="BP1282" i="26"/>
  <c r="G1282" i="26"/>
  <c r="T1282" i="26"/>
  <c r="AV1282" i="26"/>
  <c r="BO1282" i="26"/>
  <c r="BA1282" i="26"/>
  <c r="M1282" i="26"/>
  <c r="BQ1282" i="26"/>
  <c r="AP1282" i="26"/>
  <c r="AS1282" i="26"/>
  <c r="X1282" i="26"/>
  <c r="BJ1282" i="26"/>
  <c r="P1282" i="26"/>
  <c r="B1282" i="26"/>
  <c r="AJ1282" i="26"/>
  <c r="AU1282" i="26"/>
  <c r="AW1282" i="26"/>
  <c r="L1282" i="26"/>
  <c r="N1282" i="26"/>
  <c r="C1282" i="26"/>
  <c r="AT1282" i="26"/>
  <c r="O1282" i="26"/>
  <c r="V1282" i="26"/>
  <c r="K1282" i="26"/>
  <c r="W1282" i="26"/>
  <c r="R1282" i="26"/>
  <c r="AO1282" i="26"/>
  <c r="U1282" i="26"/>
  <c r="AR1282" i="26"/>
  <c r="Q1282" i="26"/>
  <c r="H1282" i="26"/>
  <c r="S1282" i="26"/>
  <c r="AX1282" i="26"/>
  <c r="AF1282" i="26"/>
  <c r="BM1282" i="26"/>
  <c r="AM1282" i="26"/>
  <c r="BK1282" i="26"/>
  <c r="AK1282" i="26"/>
  <c r="A1282" i="26"/>
  <c r="BL1282" i="26"/>
  <c r="BR1282" i="26"/>
  <c r="I1282" i="26"/>
  <c r="D1282" i="26"/>
  <c r="AY1282" i="26"/>
  <c r="BI1282" i="26"/>
  <c r="BN1282" i="26"/>
  <c r="BD1282" i="26"/>
  <c r="BE368" i="26"/>
  <c r="BV371" i="26"/>
  <c r="E1283" i="26" l="1"/>
  <c r="BV370" i="26"/>
  <c r="BE367" i="26"/>
  <c r="BC1283" i="26" l="1"/>
  <c r="AV1283" i="55" s="1"/>
  <c r="AW1283" i="26"/>
  <c r="T1283" i="26"/>
  <c r="BJ1283" i="26"/>
  <c r="BA1283" i="26"/>
  <c r="AM1283" i="26"/>
  <c r="C1283" i="26"/>
  <c r="V1283" i="26"/>
  <c r="Q1283" i="26"/>
  <c r="R1283" i="26"/>
  <c r="H1283" i="26"/>
  <c r="BR1283" i="26"/>
  <c r="N1283" i="26"/>
  <c r="D1283" i="26"/>
  <c r="K1283" i="26"/>
  <c r="BP1283" i="26"/>
  <c r="AY1283" i="26"/>
  <c r="AP1283" i="26"/>
  <c r="U1283" i="26"/>
  <c r="BL1283" i="26"/>
  <c r="AT1283" i="26"/>
  <c r="G1283" i="26"/>
  <c r="AJ1283" i="26"/>
  <c r="BN1283" i="26"/>
  <c r="A1283" i="26"/>
  <c r="BK1283" i="26"/>
  <c r="X1283" i="26"/>
  <c r="BM1283" i="26"/>
  <c r="O1283" i="26"/>
  <c r="AO1283" i="26"/>
  <c r="BI1283" i="26"/>
  <c r="I1283" i="26"/>
  <c r="AK1283" i="26"/>
  <c r="AR1283" i="26"/>
  <c r="B1283" i="26"/>
  <c r="L1283" i="26"/>
  <c r="AU1283" i="26"/>
  <c r="S1283" i="26"/>
  <c r="AS1283" i="26"/>
  <c r="AF1283" i="26"/>
  <c r="AX1283" i="26"/>
  <c r="BQ1283" i="26"/>
  <c r="BO1283" i="26"/>
  <c r="M1283" i="26"/>
  <c r="W1283" i="26"/>
  <c r="AV1283" i="26"/>
  <c r="P1283" i="26"/>
  <c r="BD1283" i="26"/>
  <c r="BE366" i="26"/>
  <c r="BV369" i="26"/>
  <c r="E1284" i="26" l="1"/>
  <c r="BV368" i="26"/>
  <c r="BE365" i="26"/>
  <c r="BC1284" i="26" l="1"/>
  <c r="AV1284" i="55" s="1"/>
  <c r="C1284" i="26"/>
  <c r="AO1284" i="26"/>
  <c r="AV1284" i="26"/>
  <c r="V1284" i="26"/>
  <c r="BL1284" i="26"/>
  <c r="AK1284" i="26"/>
  <c r="M1284" i="26"/>
  <c r="P1284" i="26"/>
  <c r="X1284" i="26"/>
  <c r="AM1284" i="26"/>
  <c r="R1284" i="26"/>
  <c r="AU1284" i="26"/>
  <c r="I1284" i="26"/>
  <c r="AF1284" i="26"/>
  <c r="BP1284" i="26"/>
  <c r="BN1284" i="26"/>
  <c r="AX1284" i="26"/>
  <c r="AJ1284" i="26"/>
  <c r="BI1284" i="26"/>
  <c r="O1284" i="26"/>
  <c r="U1284" i="26"/>
  <c r="G1284" i="26"/>
  <c r="AW1284" i="26"/>
  <c r="BM1284" i="26"/>
  <c r="S1284" i="26"/>
  <c r="AY1284" i="26"/>
  <c r="L1284" i="26"/>
  <c r="AT1284" i="26"/>
  <c r="AR1284" i="26"/>
  <c r="BO1284" i="26"/>
  <c r="AS1284" i="26"/>
  <c r="BK1284" i="26"/>
  <c r="BR1284" i="26"/>
  <c r="BJ1284" i="26"/>
  <c r="AP1284" i="26"/>
  <c r="BQ1284" i="26"/>
  <c r="A1284" i="26"/>
  <c r="W1284" i="26"/>
  <c r="D1284" i="26"/>
  <c r="B1284" i="26"/>
  <c r="H1284" i="26"/>
  <c r="BA1284" i="26"/>
  <c r="N1284" i="26"/>
  <c r="K1284" i="26"/>
  <c r="Q1284" i="26"/>
  <c r="T1284" i="26"/>
  <c r="BD1284" i="26"/>
  <c r="BE364" i="26"/>
  <c r="BV367" i="26"/>
  <c r="E1285" i="26" l="1"/>
  <c r="BV366" i="26"/>
  <c r="BE363" i="26"/>
  <c r="BC1285" i="26" l="1"/>
  <c r="AV1285" i="55" s="1"/>
  <c r="N1285" i="26"/>
  <c r="AT1285" i="26"/>
  <c r="B1285" i="26"/>
  <c r="I1285" i="26"/>
  <c r="AU1285" i="26"/>
  <c r="AJ1285" i="26"/>
  <c r="D1285" i="26"/>
  <c r="A1285" i="26"/>
  <c r="BK1285" i="26"/>
  <c r="AF1285" i="26"/>
  <c r="AX1285" i="26"/>
  <c r="P1285" i="26"/>
  <c r="U1285" i="26"/>
  <c r="AR1285" i="26"/>
  <c r="BN1285" i="26"/>
  <c r="AK1285" i="26"/>
  <c r="AS1285" i="26"/>
  <c r="BM1285" i="26"/>
  <c r="BA1285" i="26"/>
  <c r="BR1285" i="26"/>
  <c r="L1285" i="26"/>
  <c r="AY1285" i="26"/>
  <c r="G1285" i="26"/>
  <c r="H1285" i="26"/>
  <c r="W1285" i="26"/>
  <c r="AP1285" i="26"/>
  <c r="AV1285" i="26"/>
  <c r="AM1285" i="26"/>
  <c r="X1285" i="26"/>
  <c r="C1285" i="26"/>
  <c r="R1285" i="26"/>
  <c r="Q1285" i="26"/>
  <c r="O1285" i="26"/>
  <c r="AW1285" i="26"/>
  <c r="M1285" i="26"/>
  <c r="AO1285" i="26"/>
  <c r="BL1285" i="26"/>
  <c r="BP1285" i="26"/>
  <c r="BO1285" i="26"/>
  <c r="BJ1285" i="26"/>
  <c r="V1285" i="26"/>
  <c r="K1285" i="26"/>
  <c r="S1285" i="26"/>
  <c r="T1285" i="26"/>
  <c r="BI1285" i="26"/>
  <c r="BQ1285" i="26"/>
  <c r="BD1285" i="26"/>
  <c r="BE362" i="26"/>
  <c r="BV365" i="26"/>
  <c r="E1286" i="26" l="1"/>
  <c r="BV364" i="26"/>
  <c r="BE361" i="26"/>
  <c r="BC1286" i="26" l="1"/>
  <c r="AV1286" i="55" s="1"/>
  <c r="BI1286" i="26"/>
  <c r="W1286" i="26"/>
  <c r="H1286" i="26"/>
  <c r="AX1286" i="26"/>
  <c r="U1286" i="26"/>
  <c r="BM1286" i="26"/>
  <c r="O1286" i="26"/>
  <c r="AU1286" i="26"/>
  <c r="AO1286" i="26"/>
  <c r="A1286" i="26"/>
  <c r="AF1286" i="26"/>
  <c r="AR1286" i="26"/>
  <c r="M1286" i="26"/>
  <c r="X1286" i="26"/>
  <c r="BL1286" i="26"/>
  <c r="BA1286" i="26"/>
  <c r="BK1286" i="26"/>
  <c r="AV1286" i="26"/>
  <c r="R1286" i="26"/>
  <c r="AK1286" i="26"/>
  <c r="BR1286" i="26"/>
  <c r="C1286" i="26"/>
  <c r="V1286" i="26"/>
  <c r="BJ1286" i="26"/>
  <c r="AY1286" i="26"/>
  <c r="BO1286" i="26"/>
  <c r="P1286" i="26"/>
  <c r="L1286" i="26"/>
  <c r="T1286" i="26"/>
  <c r="AW1286" i="26"/>
  <c r="AM1286" i="26"/>
  <c r="Q1286" i="26"/>
  <c r="AP1286" i="26"/>
  <c r="D1286" i="26"/>
  <c r="N1286" i="26"/>
  <c r="K1286" i="26"/>
  <c r="B1286" i="26"/>
  <c r="BQ1286" i="26"/>
  <c r="BP1286" i="26"/>
  <c r="I1286" i="26"/>
  <c r="BN1286" i="26"/>
  <c r="AJ1286" i="26"/>
  <c r="AS1286" i="26"/>
  <c r="G1286" i="26"/>
  <c r="AT1286" i="26"/>
  <c r="S1286" i="26"/>
  <c r="BD1286" i="26"/>
  <c r="BE360" i="26"/>
  <c r="BV363" i="26"/>
  <c r="E1287" i="26" l="1"/>
  <c r="BV362" i="26"/>
  <c r="BE359" i="26"/>
  <c r="BC1287" i="26" l="1"/>
  <c r="AV1287" i="55" s="1"/>
  <c r="C1287" i="26"/>
  <c r="AW1287" i="26"/>
  <c r="BL1287" i="26"/>
  <c r="AJ1287" i="26"/>
  <c r="AY1287" i="26"/>
  <c r="AT1287" i="26"/>
  <c r="BP1287" i="26"/>
  <c r="AO1287" i="26"/>
  <c r="Q1287" i="26"/>
  <c r="BI1287" i="26"/>
  <c r="BR1287" i="26"/>
  <c r="AV1287" i="26"/>
  <c r="U1287" i="26"/>
  <c r="R1287" i="26"/>
  <c r="S1287" i="26"/>
  <c r="K1287" i="26"/>
  <c r="AR1287" i="26"/>
  <c r="M1287" i="26"/>
  <c r="H1287" i="26"/>
  <c r="X1287" i="26"/>
  <c r="G1287" i="26"/>
  <c r="D1287" i="26"/>
  <c r="BJ1287" i="26"/>
  <c r="V1287" i="26"/>
  <c r="N1287" i="26"/>
  <c r="AK1287" i="26"/>
  <c r="AP1287" i="26"/>
  <c r="P1287" i="26"/>
  <c r="AU1287" i="26"/>
  <c r="B1287" i="26"/>
  <c r="BK1287" i="26"/>
  <c r="AF1287" i="26"/>
  <c r="BM1287" i="26"/>
  <c r="AS1287" i="26"/>
  <c r="T1287" i="26"/>
  <c r="BN1287" i="26"/>
  <c r="L1287" i="26"/>
  <c r="BO1287" i="26"/>
  <c r="O1287" i="26"/>
  <c r="AM1287" i="26"/>
  <c r="BQ1287" i="26"/>
  <c r="W1287" i="26"/>
  <c r="BA1287" i="26"/>
  <c r="I1287" i="26"/>
  <c r="A1287" i="26"/>
  <c r="AX1287" i="26"/>
  <c r="BD1287" i="26"/>
  <c r="BE358" i="26"/>
  <c r="BV361" i="26"/>
  <c r="E1288" i="26" l="1"/>
  <c r="BV360" i="26"/>
  <c r="BE357" i="26"/>
  <c r="BC1288" i="26" l="1"/>
  <c r="AV1288" i="55" s="1"/>
  <c r="BP1288" i="26"/>
  <c r="BK1288" i="26"/>
  <c r="M1288" i="26"/>
  <c r="AY1288" i="26"/>
  <c r="BJ1288" i="26"/>
  <c r="AV1288" i="26"/>
  <c r="W1288" i="26"/>
  <c r="AK1288" i="26"/>
  <c r="BI1288" i="26"/>
  <c r="AR1288" i="26"/>
  <c r="O1288" i="26"/>
  <c r="C1288" i="26"/>
  <c r="B1288" i="26"/>
  <c r="S1288" i="26"/>
  <c r="BN1288" i="26"/>
  <c r="AP1288" i="26"/>
  <c r="N1288" i="26"/>
  <c r="AO1288" i="26"/>
  <c r="U1288" i="26"/>
  <c r="AT1288" i="26"/>
  <c r="Q1288" i="26"/>
  <c r="V1288" i="26"/>
  <c r="AW1288" i="26"/>
  <c r="AX1288" i="26"/>
  <c r="AF1288" i="26"/>
  <c r="T1288" i="26"/>
  <c r="BO1288" i="26"/>
  <c r="L1288" i="26"/>
  <c r="BL1288" i="26"/>
  <c r="BQ1288" i="26"/>
  <c r="AM1288" i="26"/>
  <c r="D1288" i="26"/>
  <c r="BA1288" i="26"/>
  <c r="R1288" i="26"/>
  <c r="K1288" i="26"/>
  <c r="BR1288" i="26"/>
  <c r="AJ1288" i="26"/>
  <c r="AS1288" i="26"/>
  <c r="P1288" i="26"/>
  <c r="G1288" i="26"/>
  <c r="AU1288" i="26"/>
  <c r="BM1288" i="26"/>
  <c r="H1288" i="26"/>
  <c r="I1288" i="26"/>
  <c r="A1288" i="26"/>
  <c r="X1288" i="26"/>
  <c r="BD1288" i="26"/>
  <c r="BE356" i="26"/>
  <c r="BV359" i="26"/>
  <c r="E1289" i="26" l="1"/>
  <c r="BV358" i="26"/>
  <c r="BE355" i="26"/>
  <c r="BC1289" i="26" l="1"/>
  <c r="AV1289" i="55" s="1"/>
  <c r="R1289" i="26"/>
  <c r="AY1289" i="26"/>
  <c r="AO1289" i="26"/>
  <c r="C1289" i="26"/>
  <c r="BA1289" i="26"/>
  <c r="A1289" i="26"/>
  <c r="AM1289" i="26"/>
  <c r="BO1289" i="26"/>
  <c r="Q1289" i="26"/>
  <c r="S1289" i="26"/>
  <c r="BI1289" i="26"/>
  <c r="I1289" i="26"/>
  <c r="W1289" i="26"/>
  <c r="AT1289" i="26"/>
  <c r="BJ1289" i="26"/>
  <c r="AU1289" i="26"/>
  <c r="AW1289" i="26"/>
  <c r="BR1289" i="26"/>
  <c r="AJ1289" i="26"/>
  <c r="X1289" i="26"/>
  <c r="BL1289" i="26"/>
  <c r="BN1289" i="26"/>
  <c r="V1289" i="26"/>
  <c r="AS1289" i="26"/>
  <c r="BM1289" i="26"/>
  <c r="BQ1289" i="26"/>
  <c r="K1289" i="26"/>
  <c r="M1289" i="26"/>
  <c r="AX1289" i="26"/>
  <c r="L1289" i="26"/>
  <c r="P1289" i="26"/>
  <c r="H1289" i="26"/>
  <c r="O1289" i="26"/>
  <c r="AP1289" i="26"/>
  <c r="B1289" i="26"/>
  <c r="N1289" i="26"/>
  <c r="BK1289" i="26"/>
  <c r="AR1289" i="26"/>
  <c r="BP1289" i="26"/>
  <c r="G1289" i="26"/>
  <c r="AV1289" i="26"/>
  <c r="AF1289" i="26"/>
  <c r="AK1289" i="26"/>
  <c r="D1289" i="26"/>
  <c r="T1289" i="26"/>
  <c r="U1289" i="26"/>
  <c r="BD1289" i="26"/>
  <c r="BE354" i="26"/>
  <c r="BV357" i="26"/>
  <c r="E1290" i="26" l="1"/>
  <c r="BV356" i="26"/>
  <c r="BE353" i="26"/>
  <c r="BC1290" i="26" l="1"/>
  <c r="AV1290" i="55" s="1"/>
  <c r="U1290" i="26"/>
  <c r="O1290" i="26"/>
  <c r="M1290" i="26"/>
  <c r="T1290" i="26"/>
  <c r="AV1290" i="26"/>
  <c r="BL1290" i="26"/>
  <c r="X1290" i="26"/>
  <c r="BQ1290" i="26"/>
  <c r="A1290" i="26"/>
  <c r="BA1290" i="26"/>
  <c r="N1290" i="26"/>
  <c r="C1290" i="26"/>
  <c r="AJ1290" i="26"/>
  <c r="AU1290" i="26"/>
  <c r="BP1290" i="26"/>
  <c r="H1290" i="26"/>
  <c r="BK1290" i="26"/>
  <c r="BO1290" i="26"/>
  <c r="R1290" i="26"/>
  <c r="BM1290" i="26"/>
  <c r="AO1290" i="26"/>
  <c r="W1290" i="26"/>
  <c r="AP1290" i="26"/>
  <c r="V1290" i="26"/>
  <c r="AS1290" i="26"/>
  <c r="BJ1290" i="26"/>
  <c r="AW1290" i="26"/>
  <c r="S1290" i="26"/>
  <c r="AX1290" i="26"/>
  <c r="AR1290" i="26"/>
  <c r="D1290" i="26"/>
  <c r="AK1290" i="26"/>
  <c r="G1290" i="26"/>
  <c r="BR1290" i="26"/>
  <c r="K1290" i="26"/>
  <c r="BN1290" i="26"/>
  <c r="AT1290" i="26"/>
  <c r="B1290" i="26"/>
  <c r="Q1290" i="26"/>
  <c r="P1290" i="26"/>
  <c r="AY1290" i="26"/>
  <c r="BI1290" i="26"/>
  <c r="I1290" i="26"/>
  <c r="AM1290" i="26"/>
  <c r="L1290" i="26"/>
  <c r="AF1290" i="26"/>
  <c r="BD1290" i="26"/>
  <c r="BE352" i="26"/>
  <c r="BV355" i="26"/>
  <c r="E1291" i="26" l="1"/>
  <c r="BV354" i="26"/>
  <c r="BE351" i="26"/>
  <c r="BC1291" i="26" l="1"/>
  <c r="AV1291" i="55" s="1"/>
  <c r="R1291" i="26"/>
  <c r="X1291" i="26"/>
  <c r="AU1291" i="26"/>
  <c r="A1291" i="26"/>
  <c r="M1291" i="26"/>
  <c r="BA1291" i="26"/>
  <c r="I1291" i="26"/>
  <c r="BI1291" i="26"/>
  <c r="BK1291" i="26"/>
  <c r="AM1291" i="26"/>
  <c r="BP1291" i="26"/>
  <c r="AW1291" i="26"/>
  <c r="AY1291" i="26"/>
  <c r="AK1291" i="26"/>
  <c r="AO1291" i="26"/>
  <c r="P1291" i="26"/>
  <c r="BN1291" i="26"/>
  <c r="AT1291" i="26"/>
  <c r="BJ1291" i="26"/>
  <c r="AV1291" i="26"/>
  <c r="AX1291" i="26"/>
  <c r="BM1291" i="26"/>
  <c r="N1291" i="26"/>
  <c r="V1291" i="26"/>
  <c r="C1291" i="26"/>
  <c r="AR1291" i="26"/>
  <c r="O1291" i="26"/>
  <c r="BO1291" i="26"/>
  <c r="L1291" i="26"/>
  <c r="AJ1291" i="26"/>
  <c r="AF1291" i="26"/>
  <c r="BR1291" i="26"/>
  <c r="T1291" i="26"/>
  <c r="BQ1291" i="26"/>
  <c r="Q1291" i="26"/>
  <c r="B1291" i="26"/>
  <c r="D1291" i="26"/>
  <c r="S1291" i="26"/>
  <c r="W1291" i="26"/>
  <c r="AP1291" i="26"/>
  <c r="K1291" i="26"/>
  <c r="BL1291" i="26"/>
  <c r="G1291" i="26"/>
  <c r="AS1291" i="26"/>
  <c r="H1291" i="26"/>
  <c r="U1291" i="26"/>
  <c r="BD1291" i="26"/>
  <c r="BE350" i="26"/>
  <c r="BV353" i="26"/>
  <c r="E1292" i="26" l="1"/>
  <c r="BV352" i="26"/>
  <c r="BE349" i="26"/>
  <c r="BC1292" i="26" l="1"/>
  <c r="AV1292" i="55" s="1"/>
  <c r="AX1292" i="26"/>
  <c r="O1292" i="26"/>
  <c r="R1292" i="26"/>
  <c r="BO1292" i="26"/>
  <c r="AP1292" i="26"/>
  <c r="AT1292" i="26"/>
  <c r="D1292" i="26"/>
  <c r="S1292" i="26"/>
  <c r="M1292" i="26"/>
  <c r="BN1292" i="26"/>
  <c r="C1292" i="26"/>
  <c r="L1292" i="26"/>
  <c r="X1292" i="26"/>
  <c r="W1292" i="26"/>
  <c r="T1292" i="26"/>
  <c r="A1292" i="26"/>
  <c r="P1292" i="26"/>
  <c r="AY1292" i="26"/>
  <c r="BI1292" i="26"/>
  <c r="AV1292" i="26"/>
  <c r="AW1292" i="26"/>
  <c r="BQ1292" i="26"/>
  <c r="BM1292" i="26"/>
  <c r="BK1292" i="26"/>
  <c r="AK1292" i="26"/>
  <c r="N1292" i="26"/>
  <c r="H1292" i="26"/>
  <c r="Q1292" i="26"/>
  <c r="K1292" i="26"/>
  <c r="G1292" i="26"/>
  <c r="BP1292" i="26"/>
  <c r="BL1292" i="26"/>
  <c r="AJ1292" i="26"/>
  <c r="AU1292" i="26"/>
  <c r="AO1292" i="26"/>
  <c r="BA1292" i="26"/>
  <c r="BJ1292" i="26"/>
  <c r="I1292" i="26"/>
  <c r="U1292" i="26"/>
  <c r="AR1292" i="26"/>
  <c r="V1292" i="26"/>
  <c r="BR1292" i="26"/>
  <c r="AM1292" i="26"/>
  <c r="AS1292" i="26"/>
  <c r="AF1292" i="26"/>
  <c r="B1292" i="26"/>
  <c r="BD1292" i="26"/>
  <c r="BE348" i="26"/>
  <c r="BV351" i="26"/>
  <c r="E1293" i="26" l="1"/>
  <c r="BV350" i="26"/>
  <c r="BE347" i="26"/>
  <c r="BC1293" i="26" l="1"/>
  <c r="AV1293" i="55" s="1"/>
  <c r="T1293" i="26"/>
  <c r="AF1293" i="26"/>
  <c r="G1293" i="26"/>
  <c r="H1293" i="26"/>
  <c r="B1293" i="26"/>
  <c r="AV1293" i="26"/>
  <c r="Q1293" i="26"/>
  <c r="AR1293" i="26"/>
  <c r="AO1293" i="26"/>
  <c r="AM1293" i="26"/>
  <c r="AW1293" i="26"/>
  <c r="K1293" i="26"/>
  <c r="AX1293" i="26"/>
  <c r="C1293" i="26"/>
  <c r="AS1293" i="26"/>
  <c r="X1293" i="26"/>
  <c r="BJ1293" i="26"/>
  <c r="A1293" i="26"/>
  <c r="BP1293" i="26"/>
  <c r="L1293" i="26"/>
  <c r="BO1293" i="26"/>
  <c r="O1293" i="26"/>
  <c r="BL1293" i="26"/>
  <c r="BM1293" i="26"/>
  <c r="BK1293" i="26"/>
  <c r="V1293" i="26"/>
  <c r="N1293" i="26"/>
  <c r="BA1293" i="26"/>
  <c r="AT1293" i="26"/>
  <c r="AP1293" i="26"/>
  <c r="W1293" i="26"/>
  <c r="I1293" i="26"/>
  <c r="S1293" i="26"/>
  <c r="D1293" i="26"/>
  <c r="BN1293" i="26"/>
  <c r="BR1293" i="26"/>
  <c r="U1293" i="26"/>
  <c r="AJ1293" i="26"/>
  <c r="AK1293" i="26"/>
  <c r="AY1293" i="26"/>
  <c r="BI1293" i="26"/>
  <c r="BQ1293" i="26"/>
  <c r="R1293" i="26"/>
  <c r="AU1293" i="26"/>
  <c r="P1293" i="26"/>
  <c r="M1293" i="26"/>
  <c r="BD1293" i="26"/>
  <c r="BE346" i="26"/>
  <c r="BV349" i="26"/>
  <c r="E1294" i="26" l="1"/>
  <c r="BV348" i="26"/>
  <c r="BE345" i="26"/>
  <c r="BC1294" i="26" l="1"/>
  <c r="AV1294" i="55" s="1"/>
  <c r="M1294" i="26"/>
  <c r="AR1294" i="26"/>
  <c r="BR1294" i="26"/>
  <c r="BL1294" i="26"/>
  <c r="AF1294" i="26"/>
  <c r="I1294" i="26"/>
  <c r="N1294" i="26"/>
  <c r="T1294" i="26"/>
  <c r="BA1294" i="26"/>
  <c r="AY1294" i="26"/>
  <c r="AM1294" i="26"/>
  <c r="C1294" i="26"/>
  <c r="B1294" i="26"/>
  <c r="U1294" i="26"/>
  <c r="P1294" i="26"/>
  <c r="BK1294" i="26"/>
  <c r="A1294" i="26"/>
  <c r="AJ1294" i="26"/>
  <c r="O1294" i="26"/>
  <c r="W1294" i="26"/>
  <c r="G1294" i="26"/>
  <c r="R1294" i="26"/>
  <c r="BM1294" i="26"/>
  <c r="AK1294" i="26"/>
  <c r="L1294" i="26"/>
  <c r="AX1294" i="26"/>
  <c r="AT1294" i="26"/>
  <c r="AW1294" i="26"/>
  <c r="BO1294" i="26"/>
  <c r="H1294" i="26"/>
  <c r="S1294" i="26"/>
  <c r="BN1294" i="26"/>
  <c r="AS1294" i="26"/>
  <c r="BI1294" i="26"/>
  <c r="BJ1294" i="26"/>
  <c r="AP1294" i="26"/>
  <c r="AU1294" i="26"/>
  <c r="X1294" i="26"/>
  <c r="BP1294" i="26"/>
  <c r="V1294" i="26"/>
  <c r="AO1294" i="26"/>
  <c r="D1294" i="26"/>
  <c r="K1294" i="26"/>
  <c r="BQ1294" i="26"/>
  <c r="AV1294" i="26"/>
  <c r="Q1294" i="26"/>
  <c r="BD1294" i="26"/>
  <c r="BE344" i="26"/>
  <c r="BV347" i="26"/>
  <c r="E1295" i="26" l="1"/>
  <c r="BV346" i="26"/>
  <c r="BE343" i="26"/>
  <c r="BC1295" i="26" l="1"/>
  <c r="AV1295" i="55" s="1"/>
  <c r="BP1295" i="26"/>
  <c r="BL1295" i="26"/>
  <c r="X1295" i="26"/>
  <c r="BO1295" i="26"/>
  <c r="P1295" i="26"/>
  <c r="D1295" i="26"/>
  <c r="V1295" i="26"/>
  <c r="O1295" i="26"/>
  <c r="AW1295" i="26"/>
  <c r="K1295" i="26"/>
  <c r="BR1295" i="26"/>
  <c r="U1295" i="26"/>
  <c r="R1295" i="26"/>
  <c r="I1295" i="26"/>
  <c r="AT1295" i="26"/>
  <c r="Q1295" i="26"/>
  <c r="S1295" i="26"/>
  <c r="B1295" i="26"/>
  <c r="AR1295" i="26"/>
  <c r="BQ1295" i="26"/>
  <c r="BK1295" i="26"/>
  <c r="AU1295" i="26"/>
  <c r="AX1295" i="26"/>
  <c r="G1295" i="26"/>
  <c r="C1295" i="26"/>
  <c r="AF1295" i="26"/>
  <c r="AJ1295" i="26"/>
  <c r="AV1295" i="26"/>
  <c r="BA1295" i="26"/>
  <c r="BI1295" i="26"/>
  <c r="M1295" i="26"/>
  <c r="AP1295" i="26"/>
  <c r="N1295" i="26"/>
  <c r="BN1295" i="26"/>
  <c r="BJ1295" i="26"/>
  <c r="L1295" i="26"/>
  <c r="W1295" i="26"/>
  <c r="AM1295" i="26"/>
  <c r="BM1295" i="26"/>
  <c r="T1295" i="26"/>
  <c r="H1295" i="26"/>
  <c r="AS1295" i="26"/>
  <c r="AY1295" i="26"/>
  <c r="AK1295" i="26"/>
  <c r="AO1295" i="26"/>
  <c r="A1295" i="26"/>
  <c r="BD1295" i="26"/>
  <c r="BE342" i="26"/>
  <c r="BV345" i="26"/>
  <c r="E1296" i="26" l="1"/>
  <c r="BV344" i="26"/>
  <c r="BE341" i="26"/>
  <c r="BC1296" i="26" l="1"/>
  <c r="AV1296" i="55" s="1"/>
  <c r="BM1296" i="26"/>
  <c r="X1296" i="26"/>
  <c r="K1296" i="26"/>
  <c r="AX1296" i="26"/>
  <c r="AU1296" i="26"/>
  <c r="AK1296" i="26"/>
  <c r="AM1296" i="26"/>
  <c r="BJ1296" i="26"/>
  <c r="BA1296" i="26"/>
  <c r="AJ1296" i="26"/>
  <c r="BO1296" i="26"/>
  <c r="BR1296" i="26"/>
  <c r="P1296" i="26"/>
  <c r="S1296" i="26"/>
  <c r="AF1296" i="26"/>
  <c r="G1296" i="26"/>
  <c r="B1296" i="26"/>
  <c r="D1296" i="26"/>
  <c r="R1296" i="26"/>
  <c r="W1296" i="26"/>
  <c r="L1296" i="26"/>
  <c r="AO1296" i="26"/>
  <c r="BL1296" i="26"/>
  <c r="BN1296" i="26"/>
  <c r="AS1296" i="26"/>
  <c r="BQ1296" i="26"/>
  <c r="BK1296" i="26"/>
  <c r="BP1296" i="26"/>
  <c r="AP1296" i="26"/>
  <c r="O1296" i="26"/>
  <c r="AT1296" i="26"/>
  <c r="AR1296" i="26"/>
  <c r="H1296" i="26"/>
  <c r="AW1296" i="26"/>
  <c r="N1296" i="26"/>
  <c r="Q1296" i="26"/>
  <c r="AY1296" i="26"/>
  <c r="U1296" i="26"/>
  <c r="M1296" i="26"/>
  <c r="A1296" i="26"/>
  <c r="V1296" i="26"/>
  <c r="AV1296" i="26"/>
  <c r="I1296" i="26"/>
  <c r="T1296" i="26"/>
  <c r="BI1296" i="26"/>
  <c r="C1296" i="26"/>
  <c r="BD1296" i="26"/>
  <c r="BE340" i="26"/>
  <c r="BV343" i="26"/>
  <c r="E1297" i="26" l="1"/>
  <c r="BV342" i="26"/>
  <c r="BE339" i="26"/>
  <c r="BC1297" i="26" l="1"/>
  <c r="AV1297" i="55" s="1"/>
  <c r="D1297" i="26"/>
  <c r="AS1297" i="26"/>
  <c r="AX1297" i="26"/>
  <c r="AP1297" i="26"/>
  <c r="BA1297" i="26"/>
  <c r="BP1297" i="26"/>
  <c r="AU1297" i="26"/>
  <c r="H1297" i="26"/>
  <c r="W1297" i="26"/>
  <c r="AK1297" i="26"/>
  <c r="L1297" i="26"/>
  <c r="BM1297" i="26"/>
  <c r="BO1297" i="26"/>
  <c r="BK1297" i="26"/>
  <c r="Q1297" i="26"/>
  <c r="BL1297" i="26"/>
  <c r="BJ1297" i="26"/>
  <c r="V1297" i="26"/>
  <c r="AR1297" i="26"/>
  <c r="AM1297" i="26"/>
  <c r="AY1297" i="26"/>
  <c r="AW1297" i="26"/>
  <c r="AO1297" i="26"/>
  <c r="B1297" i="26"/>
  <c r="R1297" i="26"/>
  <c r="AJ1297" i="26"/>
  <c r="K1297" i="26"/>
  <c r="BI1297" i="26"/>
  <c r="A1297" i="26"/>
  <c r="S1297" i="26"/>
  <c r="N1297" i="26"/>
  <c r="G1297" i="26"/>
  <c r="X1297" i="26"/>
  <c r="C1297" i="26"/>
  <c r="BQ1297" i="26"/>
  <c r="T1297" i="26"/>
  <c r="U1297" i="26"/>
  <c r="AF1297" i="26"/>
  <c r="AT1297" i="26"/>
  <c r="M1297" i="26"/>
  <c r="BN1297" i="26"/>
  <c r="BR1297" i="26"/>
  <c r="I1297" i="26"/>
  <c r="O1297" i="26"/>
  <c r="P1297" i="26"/>
  <c r="AV1297" i="26"/>
  <c r="BD1297" i="26"/>
  <c r="BE338" i="26"/>
  <c r="BV341" i="26"/>
  <c r="E1298" i="26" l="1"/>
  <c r="BV340" i="26"/>
  <c r="BE337" i="26"/>
  <c r="BC1298" i="26" l="1"/>
  <c r="AV1298" i="55" s="1"/>
  <c r="BK1298" i="26"/>
  <c r="M1298" i="26"/>
  <c r="C1298" i="26"/>
  <c r="AO1298" i="26"/>
  <c r="BM1298" i="26"/>
  <c r="AW1298" i="26"/>
  <c r="Q1298" i="26"/>
  <c r="BR1298" i="26"/>
  <c r="T1298" i="26"/>
  <c r="X1298" i="26"/>
  <c r="P1298" i="26"/>
  <c r="BI1298" i="26"/>
  <c r="AS1298" i="26"/>
  <c r="H1298" i="26"/>
  <c r="AF1298" i="26"/>
  <c r="O1298" i="26"/>
  <c r="K1298" i="26"/>
  <c r="L1298" i="26"/>
  <c r="W1298" i="26"/>
  <c r="AX1298" i="26"/>
  <c r="S1298" i="26"/>
  <c r="AP1298" i="26"/>
  <c r="AT1298" i="26"/>
  <c r="AU1298" i="26"/>
  <c r="AR1298" i="26"/>
  <c r="A1298" i="26"/>
  <c r="AM1298" i="26"/>
  <c r="BO1298" i="26"/>
  <c r="N1298" i="26"/>
  <c r="AJ1298" i="26"/>
  <c r="BQ1298" i="26"/>
  <c r="AY1298" i="26"/>
  <c r="G1298" i="26"/>
  <c r="D1298" i="26"/>
  <c r="B1298" i="26"/>
  <c r="AV1298" i="26"/>
  <c r="AK1298" i="26"/>
  <c r="BL1298" i="26"/>
  <c r="BN1298" i="26"/>
  <c r="I1298" i="26"/>
  <c r="BJ1298" i="26"/>
  <c r="V1298" i="26"/>
  <c r="BP1298" i="26"/>
  <c r="BA1298" i="26"/>
  <c r="R1298" i="26"/>
  <c r="U1298" i="26"/>
  <c r="BD1298" i="26"/>
  <c r="BE336" i="26"/>
  <c r="BV339" i="26"/>
  <c r="E1299" i="26" l="1"/>
  <c r="BV338" i="26"/>
  <c r="BE335" i="26"/>
  <c r="BC1299" i="26" l="1"/>
  <c r="AV1299" i="55" s="1"/>
  <c r="W1299" i="26"/>
  <c r="B1299" i="26"/>
  <c r="AR1299" i="26"/>
  <c r="BK1299" i="26"/>
  <c r="AM1299" i="26"/>
  <c r="AX1299" i="26"/>
  <c r="AF1299" i="26"/>
  <c r="AJ1299" i="26"/>
  <c r="P1299" i="26"/>
  <c r="N1299" i="26"/>
  <c r="AU1299" i="26"/>
  <c r="BM1299" i="26"/>
  <c r="M1299" i="26"/>
  <c r="I1299" i="26"/>
  <c r="BN1299" i="26"/>
  <c r="BA1299" i="26"/>
  <c r="AV1299" i="26"/>
  <c r="T1299" i="26"/>
  <c r="U1299" i="26"/>
  <c r="AT1299" i="26"/>
  <c r="V1299" i="26"/>
  <c r="O1299" i="26"/>
  <c r="AS1299" i="26"/>
  <c r="AW1299" i="26"/>
  <c r="D1299" i="26"/>
  <c r="AO1299" i="26"/>
  <c r="C1299" i="26"/>
  <c r="AY1299" i="26"/>
  <c r="G1299" i="26"/>
  <c r="BP1299" i="26"/>
  <c r="H1299" i="26"/>
  <c r="BI1299" i="26"/>
  <c r="AK1299" i="26"/>
  <c r="R1299" i="26"/>
  <c r="K1299" i="26"/>
  <c r="BQ1299" i="26"/>
  <c r="L1299" i="26"/>
  <c r="Q1299" i="26"/>
  <c r="S1299" i="26"/>
  <c r="BJ1299" i="26"/>
  <c r="BR1299" i="26"/>
  <c r="X1299" i="26"/>
  <c r="A1299" i="26"/>
  <c r="BL1299" i="26"/>
  <c r="AP1299" i="26"/>
  <c r="BO1299" i="26"/>
  <c r="BD1299" i="26"/>
  <c r="BE334" i="26"/>
  <c r="BV337" i="26"/>
  <c r="E1300" i="26" l="1"/>
  <c r="BV336" i="26"/>
  <c r="BE333" i="26"/>
  <c r="BC1300" i="26" l="1"/>
  <c r="AV1300" i="55" s="1"/>
  <c r="Q1300" i="26"/>
  <c r="C1300" i="26"/>
  <c r="AS1300" i="26"/>
  <c r="AT1300" i="26"/>
  <c r="BR1300" i="26"/>
  <c r="T1300" i="26"/>
  <c r="BJ1300" i="26"/>
  <c r="V1300" i="26"/>
  <c r="X1300" i="26"/>
  <c r="BP1300" i="26"/>
  <c r="BL1300" i="26"/>
  <c r="O1300" i="26"/>
  <c r="M1300" i="26"/>
  <c r="U1300" i="26"/>
  <c r="BM1300" i="26"/>
  <c r="W1300" i="26"/>
  <c r="G1300" i="26"/>
  <c r="AO1300" i="26"/>
  <c r="BK1300" i="26"/>
  <c r="S1300" i="26"/>
  <c r="AP1300" i="26"/>
  <c r="D1300" i="26"/>
  <c r="BI1300" i="26"/>
  <c r="AY1300" i="26"/>
  <c r="P1300" i="26"/>
  <c r="L1300" i="26"/>
  <c r="N1300" i="26"/>
  <c r="K1300" i="26"/>
  <c r="BA1300" i="26"/>
  <c r="AK1300" i="26"/>
  <c r="AX1300" i="26"/>
  <c r="BN1300" i="26"/>
  <c r="B1300" i="26"/>
  <c r="AF1300" i="26"/>
  <c r="H1300" i="26"/>
  <c r="AJ1300" i="26"/>
  <c r="AW1300" i="26"/>
  <c r="BQ1300" i="26"/>
  <c r="AR1300" i="26"/>
  <c r="AU1300" i="26"/>
  <c r="I1300" i="26"/>
  <c r="A1300" i="26"/>
  <c r="AV1300" i="26"/>
  <c r="AM1300" i="26"/>
  <c r="BO1300" i="26"/>
  <c r="R1300" i="26"/>
  <c r="BD1300" i="26"/>
  <c r="BE332" i="26"/>
  <c r="BV335" i="26"/>
  <c r="E1301" i="26" l="1"/>
  <c r="BV334" i="26"/>
  <c r="BE331" i="26"/>
  <c r="BC1301" i="26" l="1"/>
  <c r="AV1301" i="55" s="1"/>
  <c r="BL1301" i="26"/>
  <c r="H1301" i="26"/>
  <c r="O1301" i="26"/>
  <c r="AM1301" i="26"/>
  <c r="S1301" i="26"/>
  <c r="BP1301" i="26"/>
  <c r="X1301" i="26"/>
  <c r="AS1301" i="26"/>
  <c r="AV1301" i="26"/>
  <c r="BI1301" i="26"/>
  <c r="BJ1301" i="26"/>
  <c r="T1301" i="26"/>
  <c r="Q1301" i="26"/>
  <c r="AX1301" i="26"/>
  <c r="A1301" i="26"/>
  <c r="BN1301" i="26"/>
  <c r="B1301" i="26"/>
  <c r="AF1301" i="26"/>
  <c r="G1301" i="26"/>
  <c r="BO1301" i="26"/>
  <c r="W1301" i="26"/>
  <c r="BQ1301" i="26"/>
  <c r="P1301" i="26"/>
  <c r="N1301" i="26"/>
  <c r="V1301" i="26"/>
  <c r="BR1301" i="26"/>
  <c r="U1301" i="26"/>
  <c r="D1301" i="26"/>
  <c r="R1301" i="26"/>
  <c r="I1301" i="26"/>
  <c r="AO1301" i="26"/>
  <c r="K1301" i="26"/>
  <c r="AK1301" i="26"/>
  <c r="BM1301" i="26"/>
  <c r="AJ1301" i="26"/>
  <c r="BK1301" i="26"/>
  <c r="AY1301" i="26"/>
  <c r="BA1301" i="26"/>
  <c r="AT1301" i="26"/>
  <c r="M1301" i="26"/>
  <c r="AU1301" i="26"/>
  <c r="L1301" i="26"/>
  <c r="AR1301" i="26"/>
  <c r="AP1301" i="26"/>
  <c r="C1301" i="26"/>
  <c r="AW1301" i="26"/>
  <c r="BD1301" i="26"/>
  <c r="BE330" i="26"/>
  <c r="BV333" i="26"/>
  <c r="E1302" i="26" l="1"/>
  <c r="BV332" i="26"/>
  <c r="BE329" i="26"/>
  <c r="BC1302" i="26" l="1"/>
  <c r="AV1302" i="55" s="1"/>
  <c r="AR1302" i="26"/>
  <c r="BK1302" i="26"/>
  <c r="BP1302" i="26"/>
  <c r="Q1302" i="26"/>
  <c r="AP1302" i="26"/>
  <c r="BM1302" i="26"/>
  <c r="O1302" i="26"/>
  <c r="BR1302" i="26"/>
  <c r="AX1302" i="26"/>
  <c r="BA1302" i="26"/>
  <c r="M1302" i="26"/>
  <c r="A1302" i="26"/>
  <c r="AW1302" i="26"/>
  <c r="BI1302" i="26"/>
  <c r="T1302" i="26"/>
  <c r="BO1302" i="26"/>
  <c r="N1302" i="26"/>
  <c r="S1302" i="26"/>
  <c r="I1302" i="26"/>
  <c r="P1302" i="26"/>
  <c r="X1302" i="26"/>
  <c r="K1302" i="26"/>
  <c r="AJ1302" i="26"/>
  <c r="R1302" i="26"/>
  <c r="W1302" i="26"/>
  <c r="BQ1302" i="26"/>
  <c r="C1302" i="26"/>
  <c r="L1302" i="26"/>
  <c r="AO1302" i="26"/>
  <c r="AV1302" i="26"/>
  <c r="AU1302" i="26"/>
  <c r="H1302" i="26"/>
  <c r="AY1302" i="26"/>
  <c r="AT1302" i="26"/>
  <c r="AF1302" i="26"/>
  <c r="AS1302" i="26"/>
  <c r="B1302" i="26"/>
  <c r="G1302" i="26"/>
  <c r="BJ1302" i="26"/>
  <c r="D1302" i="26"/>
  <c r="V1302" i="26"/>
  <c r="U1302" i="26"/>
  <c r="BN1302" i="26"/>
  <c r="AK1302" i="26"/>
  <c r="BL1302" i="26"/>
  <c r="AM1302" i="26"/>
  <c r="BD1302" i="26"/>
  <c r="BE328" i="26"/>
  <c r="BV331" i="26"/>
  <c r="E1303" i="26" l="1"/>
  <c r="BV330" i="26"/>
  <c r="BE327" i="26"/>
  <c r="BC1303" i="26" l="1"/>
  <c r="AV1303" i="55" s="1"/>
  <c r="S1303" i="26"/>
  <c r="BA1303" i="26"/>
  <c r="AW1303" i="26"/>
  <c r="X1303" i="26"/>
  <c r="U1303" i="26"/>
  <c r="C1303" i="26"/>
  <c r="L1303" i="26"/>
  <c r="BM1303" i="26"/>
  <c r="AF1303" i="26"/>
  <c r="BL1303" i="26"/>
  <c r="AR1303" i="26"/>
  <c r="I1303" i="26"/>
  <c r="BR1303" i="26"/>
  <c r="B1303" i="26"/>
  <c r="P1303" i="26"/>
  <c r="BK1303" i="26"/>
  <c r="AM1303" i="26"/>
  <c r="BO1303" i="26"/>
  <c r="BQ1303" i="26"/>
  <c r="AY1303" i="26"/>
  <c r="T1303" i="26"/>
  <c r="BI1303" i="26"/>
  <c r="V1303" i="26"/>
  <c r="AX1303" i="26"/>
  <c r="AK1303" i="26"/>
  <c r="O1303" i="26"/>
  <c r="AT1303" i="26"/>
  <c r="Q1303" i="26"/>
  <c r="D1303" i="26"/>
  <c r="AV1303" i="26"/>
  <c r="H1303" i="26"/>
  <c r="AJ1303" i="26"/>
  <c r="AP1303" i="26"/>
  <c r="G1303" i="26"/>
  <c r="K1303" i="26"/>
  <c r="M1303" i="26"/>
  <c r="BJ1303" i="26"/>
  <c r="N1303" i="26"/>
  <c r="R1303" i="26"/>
  <c r="BP1303" i="26"/>
  <c r="A1303" i="26"/>
  <c r="W1303" i="26"/>
  <c r="BN1303" i="26"/>
  <c r="AU1303" i="26"/>
  <c r="AS1303" i="26"/>
  <c r="AO1303" i="26"/>
  <c r="BD1303" i="26"/>
  <c r="BE326" i="26"/>
  <c r="BV329" i="26"/>
  <c r="E1304" i="26" l="1"/>
  <c r="BV328" i="26"/>
  <c r="BE325" i="26"/>
  <c r="BC1304" i="26" l="1"/>
  <c r="AV1304" i="55" s="1"/>
  <c r="X1304" i="26"/>
  <c r="K1304" i="26"/>
  <c r="M1304" i="26"/>
  <c r="C1304" i="26"/>
  <c r="AK1304" i="26"/>
  <c r="BM1304" i="26"/>
  <c r="V1304" i="26"/>
  <c r="N1304" i="26"/>
  <c r="L1304" i="26"/>
  <c r="AV1304" i="26"/>
  <c r="BJ1304" i="26"/>
  <c r="BR1304" i="26"/>
  <c r="AY1304" i="26"/>
  <c r="BA1304" i="26"/>
  <c r="O1304" i="26"/>
  <c r="S1304" i="26"/>
  <c r="BL1304" i="26"/>
  <c r="H1304" i="26"/>
  <c r="BN1304" i="26"/>
  <c r="W1304" i="26"/>
  <c r="B1304" i="26"/>
  <c r="U1304" i="26"/>
  <c r="AX1304" i="26"/>
  <c r="AF1304" i="26"/>
  <c r="P1304" i="26"/>
  <c r="AW1304" i="26"/>
  <c r="BI1304" i="26"/>
  <c r="BO1304" i="26"/>
  <c r="AR1304" i="26"/>
  <c r="BQ1304" i="26"/>
  <c r="AO1304" i="26"/>
  <c r="BK1304" i="26"/>
  <c r="BP1304" i="26"/>
  <c r="D1304" i="26"/>
  <c r="AT1304" i="26"/>
  <c r="I1304" i="26"/>
  <c r="AJ1304" i="26"/>
  <c r="T1304" i="26"/>
  <c r="AM1304" i="26"/>
  <c r="AP1304" i="26"/>
  <c r="R1304" i="26"/>
  <c r="G1304" i="26"/>
  <c r="AU1304" i="26"/>
  <c r="Q1304" i="26"/>
  <c r="A1304" i="26"/>
  <c r="AS1304" i="26"/>
  <c r="BD1304" i="26"/>
  <c r="BE324" i="26"/>
  <c r="BV327" i="26"/>
  <c r="E1305" i="26" l="1"/>
  <c r="BV326" i="26"/>
  <c r="BE323" i="26"/>
  <c r="BC1305" i="26" l="1"/>
  <c r="AV1305" i="55" s="1"/>
  <c r="N1305" i="26"/>
  <c r="AR1305" i="26"/>
  <c r="U1305" i="26"/>
  <c r="X1305" i="26"/>
  <c r="BJ1305" i="26"/>
  <c r="H1305" i="26"/>
  <c r="BO1305" i="26"/>
  <c r="S1305" i="26"/>
  <c r="V1305" i="26"/>
  <c r="AY1305" i="26"/>
  <c r="O1305" i="26"/>
  <c r="M1305" i="26"/>
  <c r="BA1305" i="26"/>
  <c r="AK1305" i="26"/>
  <c r="AT1305" i="26"/>
  <c r="AM1305" i="26"/>
  <c r="AV1305" i="26"/>
  <c r="AX1305" i="26"/>
  <c r="BM1305" i="26"/>
  <c r="AF1305" i="26"/>
  <c r="BR1305" i="26"/>
  <c r="K1305" i="26"/>
  <c r="R1305" i="26"/>
  <c r="B1305" i="26"/>
  <c r="Q1305" i="26"/>
  <c r="P1305" i="26"/>
  <c r="AS1305" i="26"/>
  <c r="AW1305" i="26"/>
  <c r="T1305" i="26"/>
  <c r="AU1305" i="26"/>
  <c r="AJ1305" i="26"/>
  <c r="BK1305" i="26"/>
  <c r="BL1305" i="26"/>
  <c r="G1305" i="26"/>
  <c r="BI1305" i="26"/>
  <c r="D1305" i="26"/>
  <c r="L1305" i="26"/>
  <c r="BQ1305" i="26"/>
  <c r="A1305" i="26"/>
  <c r="W1305" i="26"/>
  <c r="C1305" i="26"/>
  <c r="AP1305" i="26"/>
  <c r="BP1305" i="26"/>
  <c r="BN1305" i="26"/>
  <c r="I1305" i="26"/>
  <c r="AO1305" i="26"/>
  <c r="BD1305" i="26"/>
  <c r="BE322" i="26"/>
  <c r="BV325" i="26"/>
  <c r="E1306" i="26" l="1"/>
  <c r="BV324" i="26"/>
  <c r="BE321" i="26"/>
  <c r="BC1306" i="26" l="1"/>
  <c r="AV1306" i="55" s="1"/>
  <c r="H1306" i="26"/>
  <c r="AF1306" i="26"/>
  <c r="BI1306" i="26"/>
  <c r="BM1306" i="26"/>
  <c r="U1306" i="26"/>
  <c r="O1306" i="26"/>
  <c r="N1306" i="26"/>
  <c r="L1306" i="26"/>
  <c r="AY1306" i="26"/>
  <c r="BN1306" i="26"/>
  <c r="BQ1306" i="26"/>
  <c r="AJ1306" i="26"/>
  <c r="BL1306" i="26"/>
  <c r="AP1306" i="26"/>
  <c r="AT1306" i="26"/>
  <c r="W1306" i="26"/>
  <c r="X1306" i="26"/>
  <c r="BO1306" i="26"/>
  <c r="T1306" i="26"/>
  <c r="D1306" i="26"/>
  <c r="V1306" i="26"/>
  <c r="BR1306" i="26"/>
  <c r="S1306" i="26"/>
  <c r="A1306" i="26"/>
  <c r="M1306" i="26"/>
  <c r="I1306" i="26"/>
  <c r="BJ1306" i="26"/>
  <c r="AO1306" i="26"/>
  <c r="AX1306" i="26"/>
  <c r="R1306" i="26"/>
  <c r="B1306" i="26"/>
  <c r="G1306" i="26"/>
  <c r="AR1306" i="26"/>
  <c r="BK1306" i="26"/>
  <c r="AU1306" i="26"/>
  <c r="AS1306" i="26"/>
  <c r="AK1306" i="26"/>
  <c r="K1306" i="26"/>
  <c r="AM1306" i="26"/>
  <c r="BA1306" i="26"/>
  <c r="C1306" i="26"/>
  <c r="BP1306" i="26"/>
  <c r="AW1306" i="26"/>
  <c r="P1306" i="26"/>
  <c r="Q1306" i="26"/>
  <c r="AV1306" i="26"/>
  <c r="BD1306" i="26"/>
  <c r="BE320" i="26"/>
  <c r="BV323" i="26"/>
  <c r="E1307" i="26" l="1"/>
  <c r="BV322" i="26"/>
  <c r="BE319" i="26"/>
  <c r="BC1307" i="26" l="1"/>
  <c r="AV1307" i="55" s="1"/>
  <c r="B1307" i="26"/>
  <c r="AP1307" i="26"/>
  <c r="AT1307" i="26"/>
  <c r="G1307" i="26"/>
  <c r="D1307" i="26"/>
  <c r="AO1307" i="26"/>
  <c r="AK1307" i="26"/>
  <c r="AR1307" i="26"/>
  <c r="M1307" i="26"/>
  <c r="AM1307" i="26"/>
  <c r="S1307" i="26"/>
  <c r="L1307" i="26"/>
  <c r="A1307" i="26"/>
  <c r="BO1307" i="26"/>
  <c r="BN1307" i="26"/>
  <c r="V1307" i="26"/>
  <c r="AU1307" i="26"/>
  <c r="AF1307" i="26"/>
  <c r="C1307" i="26"/>
  <c r="BJ1307" i="26"/>
  <c r="W1307" i="26"/>
  <c r="I1307" i="26"/>
  <c r="BQ1307" i="26"/>
  <c r="AV1307" i="26"/>
  <c r="BK1307" i="26"/>
  <c r="AJ1307" i="26"/>
  <c r="X1307" i="26"/>
  <c r="BR1307" i="26"/>
  <c r="U1307" i="26"/>
  <c r="BI1307" i="26"/>
  <c r="BP1307" i="26"/>
  <c r="AS1307" i="26"/>
  <c r="O1307" i="26"/>
  <c r="R1307" i="26"/>
  <c r="K1307" i="26"/>
  <c r="P1307" i="26"/>
  <c r="BL1307" i="26"/>
  <c r="BA1307" i="26"/>
  <c r="N1307" i="26"/>
  <c r="BM1307" i="26"/>
  <c r="AW1307" i="26"/>
  <c r="H1307" i="26"/>
  <c r="AX1307" i="26"/>
  <c r="Q1307" i="26"/>
  <c r="T1307" i="26"/>
  <c r="AY1307" i="26"/>
  <c r="BD1307" i="26"/>
  <c r="BE318" i="26"/>
  <c r="BV321" i="26"/>
  <c r="E1308" i="26" l="1"/>
  <c r="BV320" i="26"/>
  <c r="BE317" i="26"/>
  <c r="BC1308" i="26" l="1"/>
  <c r="AV1308" i="55" s="1"/>
  <c r="AP1308" i="26"/>
  <c r="AM1308" i="26"/>
  <c r="W1308" i="26"/>
  <c r="AX1308" i="26"/>
  <c r="K1308" i="26"/>
  <c r="BA1308" i="26"/>
  <c r="BO1308" i="26"/>
  <c r="A1308" i="26"/>
  <c r="AY1308" i="26"/>
  <c r="BJ1308" i="26"/>
  <c r="AS1308" i="26"/>
  <c r="G1308" i="26"/>
  <c r="AV1308" i="26"/>
  <c r="BI1308" i="26"/>
  <c r="O1308" i="26"/>
  <c r="I1308" i="26"/>
  <c r="M1308" i="26"/>
  <c r="B1308" i="26"/>
  <c r="AO1308" i="26"/>
  <c r="Q1308" i="26"/>
  <c r="AT1308" i="26"/>
  <c r="BL1308" i="26"/>
  <c r="U1308" i="26"/>
  <c r="AR1308" i="26"/>
  <c r="T1308" i="26"/>
  <c r="D1308" i="26"/>
  <c r="C1308" i="26"/>
  <c r="P1308" i="26"/>
  <c r="R1308" i="26"/>
  <c r="X1308" i="26"/>
  <c r="S1308" i="26"/>
  <c r="BN1308" i="26"/>
  <c r="AF1308" i="26"/>
  <c r="BQ1308" i="26"/>
  <c r="AK1308" i="26"/>
  <c r="BK1308" i="26"/>
  <c r="N1308" i="26"/>
  <c r="AJ1308" i="26"/>
  <c r="BR1308" i="26"/>
  <c r="L1308" i="26"/>
  <c r="AU1308" i="26"/>
  <c r="V1308" i="26"/>
  <c r="BP1308" i="26"/>
  <c r="AW1308" i="26"/>
  <c r="BM1308" i="26"/>
  <c r="H1308" i="26"/>
  <c r="BD1308" i="26"/>
  <c r="BE316" i="26"/>
  <c r="BV319" i="26"/>
  <c r="E1309" i="26" l="1"/>
  <c r="BV318" i="26"/>
  <c r="BE315" i="26"/>
  <c r="BC1309" i="26" l="1"/>
  <c r="AV1309" i="55" s="1"/>
  <c r="AY1309" i="26"/>
  <c r="G1309" i="26"/>
  <c r="BI1309" i="26"/>
  <c r="K1309" i="26"/>
  <c r="O1309" i="26"/>
  <c r="D1309" i="26"/>
  <c r="BQ1309" i="26"/>
  <c r="AX1309" i="26"/>
  <c r="AK1309" i="26"/>
  <c r="P1309" i="26"/>
  <c r="I1309" i="26"/>
  <c r="BO1309" i="26"/>
  <c r="BM1309" i="26"/>
  <c r="T1309" i="26"/>
  <c r="W1309" i="26"/>
  <c r="AT1309" i="26"/>
  <c r="AJ1309" i="26"/>
  <c r="AS1309" i="26"/>
  <c r="X1309" i="26"/>
  <c r="BL1309" i="26"/>
  <c r="BR1309" i="26"/>
  <c r="A1309" i="26"/>
  <c r="AO1309" i="26"/>
  <c r="V1309" i="26"/>
  <c r="S1309" i="26"/>
  <c r="BP1309" i="26"/>
  <c r="H1309" i="26"/>
  <c r="M1309" i="26"/>
  <c r="AP1309" i="26"/>
  <c r="BA1309" i="26"/>
  <c r="AU1309" i="26"/>
  <c r="AM1309" i="26"/>
  <c r="N1309" i="26"/>
  <c r="AF1309" i="26"/>
  <c r="Q1309" i="26"/>
  <c r="C1309" i="26"/>
  <c r="AW1309" i="26"/>
  <c r="AR1309" i="26"/>
  <c r="B1309" i="26"/>
  <c r="BN1309" i="26"/>
  <c r="AV1309" i="26"/>
  <c r="R1309" i="26"/>
  <c r="BK1309" i="26"/>
  <c r="L1309" i="26"/>
  <c r="BJ1309" i="26"/>
  <c r="U1309" i="26"/>
  <c r="BD1309" i="26"/>
  <c r="BE314" i="26"/>
  <c r="BV317" i="26"/>
  <c r="E1310" i="26" l="1"/>
  <c r="BV316" i="26"/>
  <c r="BE313" i="26"/>
  <c r="BC1310" i="26" l="1"/>
  <c r="AV1310" i="55" s="1"/>
  <c r="A1310" i="26"/>
  <c r="G1310" i="26"/>
  <c r="R1310" i="26"/>
  <c r="AJ1310" i="26"/>
  <c r="B1310" i="26"/>
  <c r="O1310" i="26"/>
  <c r="I1310" i="26"/>
  <c r="D1310" i="26"/>
  <c r="T1310" i="26"/>
  <c r="U1310" i="26"/>
  <c r="AV1310" i="26"/>
  <c r="BP1310" i="26"/>
  <c r="AW1310" i="26"/>
  <c r="BO1310" i="26"/>
  <c r="X1310" i="26"/>
  <c r="BA1310" i="26"/>
  <c r="Q1310" i="26"/>
  <c r="AU1310" i="26"/>
  <c r="AX1310" i="26"/>
  <c r="S1310" i="26"/>
  <c r="BI1310" i="26"/>
  <c r="P1310" i="26"/>
  <c r="AO1310" i="26"/>
  <c r="AR1310" i="26"/>
  <c r="AY1310" i="26"/>
  <c r="AS1310" i="26"/>
  <c r="BM1310" i="26"/>
  <c r="BN1310" i="26"/>
  <c r="AT1310" i="26"/>
  <c r="BK1310" i="26"/>
  <c r="M1310" i="26"/>
  <c r="L1310" i="26"/>
  <c r="AF1310" i="26"/>
  <c r="K1310" i="26"/>
  <c r="AK1310" i="26"/>
  <c r="W1310" i="26"/>
  <c r="C1310" i="26"/>
  <c r="BQ1310" i="26"/>
  <c r="AM1310" i="26"/>
  <c r="N1310" i="26"/>
  <c r="V1310" i="26"/>
  <c r="BR1310" i="26"/>
  <c r="BJ1310" i="26"/>
  <c r="H1310" i="26"/>
  <c r="AP1310" i="26"/>
  <c r="BL1310" i="26"/>
  <c r="BD1310" i="26"/>
  <c r="BE312" i="26"/>
  <c r="BV315" i="26"/>
  <c r="E1311" i="26" l="1"/>
  <c r="BV314" i="26"/>
  <c r="BE311" i="26"/>
  <c r="BC1311" i="26" l="1"/>
  <c r="AV1311" i="55" s="1"/>
  <c r="AM1311" i="26"/>
  <c r="BA1311" i="26"/>
  <c r="AJ1311" i="26"/>
  <c r="AF1311" i="26"/>
  <c r="U1311" i="26"/>
  <c r="W1311" i="26"/>
  <c r="R1311" i="26"/>
  <c r="X1311" i="26"/>
  <c r="B1311" i="26"/>
  <c r="BR1311" i="26"/>
  <c r="T1311" i="26"/>
  <c r="D1311" i="26"/>
  <c r="AO1311" i="26"/>
  <c r="AS1311" i="26"/>
  <c r="BO1311" i="26"/>
  <c r="AY1311" i="26"/>
  <c r="BL1311" i="26"/>
  <c r="I1311" i="26"/>
  <c r="AV1311" i="26"/>
  <c r="L1311" i="26"/>
  <c r="AT1311" i="26"/>
  <c r="AP1311" i="26"/>
  <c r="V1311" i="26"/>
  <c r="O1311" i="26"/>
  <c r="A1311" i="26"/>
  <c r="BJ1311" i="26"/>
  <c r="AK1311" i="26"/>
  <c r="BN1311" i="26"/>
  <c r="G1311" i="26"/>
  <c r="BQ1311" i="26"/>
  <c r="P1311" i="26"/>
  <c r="S1311" i="26"/>
  <c r="BP1311" i="26"/>
  <c r="BM1311" i="26"/>
  <c r="AX1311" i="26"/>
  <c r="H1311" i="26"/>
  <c r="AW1311" i="26"/>
  <c r="BK1311" i="26"/>
  <c r="N1311" i="26"/>
  <c r="M1311" i="26"/>
  <c r="K1311" i="26"/>
  <c r="BI1311" i="26"/>
  <c r="Q1311" i="26"/>
  <c r="C1311" i="26"/>
  <c r="AR1311" i="26"/>
  <c r="AU1311" i="26"/>
  <c r="BD1311" i="26"/>
  <c r="BE310" i="26"/>
  <c r="BV313" i="26"/>
  <c r="E1312" i="26" l="1"/>
  <c r="BV312" i="26"/>
  <c r="BE309" i="26"/>
  <c r="BC1312" i="26" l="1"/>
  <c r="AV1312" i="55" s="1"/>
  <c r="AS1312" i="26"/>
  <c r="B1312" i="26"/>
  <c r="AT1312" i="26"/>
  <c r="H1312" i="26"/>
  <c r="X1312" i="26"/>
  <c r="AW1312" i="26"/>
  <c r="D1312" i="26"/>
  <c r="AV1312" i="26"/>
  <c r="AY1312" i="26"/>
  <c r="G1312" i="26"/>
  <c r="K1312" i="26"/>
  <c r="W1312" i="26"/>
  <c r="BM1312" i="26"/>
  <c r="M1312" i="26"/>
  <c r="R1312" i="26"/>
  <c r="AM1312" i="26"/>
  <c r="I1312" i="26"/>
  <c r="O1312" i="26"/>
  <c r="AU1312" i="26"/>
  <c r="S1312" i="26"/>
  <c r="AO1312" i="26"/>
  <c r="T1312" i="26"/>
  <c r="U1312" i="26"/>
  <c r="BO1312" i="26"/>
  <c r="AF1312" i="26"/>
  <c r="BL1312" i="26"/>
  <c r="AP1312" i="26"/>
  <c r="BK1312" i="26"/>
  <c r="BQ1312" i="26"/>
  <c r="BN1312" i="26"/>
  <c r="L1312" i="26"/>
  <c r="C1312" i="26"/>
  <c r="AX1312" i="26"/>
  <c r="AK1312" i="26"/>
  <c r="BR1312" i="26"/>
  <c r="P1312" i="26"/>
  <c r="BJ1312" i="26"/>
  <c r="AJ1312" i="26"/>
  <c r="Q1312" i="26"/>
  <c r="BP1312" i="26"/>
  <c r="AR1312" i="26"/>
  <c r="V1312" i="26"/>
  <c r="BI1312" i="26"/>
  <c r="N1312" i="26"/>
  <c r="A1312" i="26"/>
  <c r="BA1312" i="26"/>
  <c r="BD1312" i="26"/>
  <c r="BE308" i="26"/>
  <c r="BV311" i="26"/>
  <c r="E1313" i="26" l="1"/>
  <c r="BV310" i="26"/>
  <c r="BE307" i="26"/>
  <c r="BC1313" i="26" l="1"/>
  <c r="AV1313" i="55" s="1"/>
  <c r="AO1313" i="26"/>
  <c r="AS1313" i="26"/>
  <c r="BN1313" i="26"/>
  <c r="BR1313" i="26"/>
  <c r="R1313" i="26"/>
  <c r="AT1313" i="26"/>
  <c r="BJ1313" i="26"/>
  <c r="AP1313" i="26"/>
  <c r="AF1313" i="26"/>
  <c r="M1313" i="26"/>
  <c r="L1313" i="26"/>
  <c r="V1313" i="26"/>
  <c r="AY1313" i="26"/>
  <c r="T1313" i="26"/>
  <c r="AX1313" i="26"/>
  <c r="AR1313" i="26"/>
  <c r="K1313" i="26"/>
  <c r="AK1313" i="26"/>
  <c r="S1313" i="26"/>
  <c r="AU1313" i="26"/>
  <c r="H1313" i="26"/>
  <c r="BP1313" i="26"/>
  <c r="BM1313" i="26"/>
  <c r="AJ1313" i="26"/>
  <c r="P1313" i="26"/>
  <c r="BQ1313" i="26"/>
  <c r="D1313" i="26"/>
  <c r="AV1313" i="26"/>
  <c r="BL1313" i="26"/>
  <c r="G1313" i="26"/>
  <c r="U1313" i="26"/>
  <c r="C1313" i="26"/>
  <c r="AM1313" i="26"/>
  <c r="I1313" i="26"/>
  <c r="W1313" i="26"/>
  <c r="N1313" i="26"/>
  <c r="X1313" i="26"/>
  <c r="Q1313" i="26"/>
  <c r="AW1313" i="26"/>
  <c r="A1313" i="26"/>
  <c r="O1313" i="26"/>
  <c r="BI1313" i="26"/>
  <c r="BK1313" i="26"/>
  <c r="B1313" i="26"/>
  <c r="BO1313" i="26"/>
  <c r="BA1313" i="26"/>
  <c r="BD1313" i="26"/>
  <c r="BE306" i="26"/>
  <c r="BV309" i="26"/>
  <c r="E1314" i="26" l="1"/>
  <c r="BV308" i="26"/>
  <c r="BE305" i="26"/>
  <c r="BC1314" i="26" l="1"/>
  <c r="AV1314" i="55" s="1"/>
  <c r="N1314" i="26"/>
  <c r="R1314" i="26"/>
  <c r="AY1314" i="26"/>
  <c r="BK1314" i="26"/>
  <c r="T1314" i="26"/>
  <c r="B1314" i="26"/>
  <c r="AK1314" i="26"/>
  <c r="AM1314" i="26"/>
  <c r="AU1314" i="26"/>
  <c r="U1314" i="26"/>
  <c r="BP1314" i="26"/>
  <c r="BR1314" i="26"/>
  <c r="H1314" i="26"/>
  <c r="BJ1314" i="26"/>
  <c r="X1314" i="26"/>
  <c r="M1314" i="26"/>
  <c r="AS1314" i="26"/>
  <c r="AV1314" i="26"/>
  <c r="K1314" i="26"/>
  <c r="BM1314" i="26"/>
  <c r="V1314" i="26"/>
  <c r="AW1314" i="26"/>
  <c r="A1314" i="26"/>
  <c r="AF1314" i="26"/>
  <c r="L1314" i="26"/>
  <c r="Q1314" i="26"/>
  <c r="W1314" i="26"/>
  <c r="BI1314" i="26"/>
  <c r="AP1314" i="26"/>
  <c r="C1314" i="26"/>
  <c r="AR1314" i="26"/>
  <c r="S1314" i="26"/>
  <c r="BA1314" i="26"/>
  <c r="I1314" i="26"/>
  <c r="BL1314" i="26"/>
  <c r="BQ1314" i="26"/>
  <c r="O1314" i="26"/>
  <c r="P1314" i="26"/>
  <c r="BO1314" i="26"/>
  <c r="AT1314" i="26"/>
  <c r="D1314" i="26"/>
  <c r="AJ1314" i="26"/>
  <c r="AO1314" i="26"/>
  <c r="G1314" i="26"/>
  <c r="BN1314" i="26"/>
  <c r="AX1314" i="26"/>
  <c r="BD1314" i="26"/>
  <c r="BE304" i="26"/>
  <c r="BV307" i="26"/>
  <c r="E1315" i="26" l="1"/>
  <c r="BV306" i="26"/>
  <c r="BE303" i="26"/>
  <c r="BC1315" i="26" l="1"/>
  <c r="AV1315" i="55" s="1"/>
  <c r="D1315" i="26"/>
  <c r="N1315" i="26"/>
  <c r="W1315" i="26"/>
  <c r="BO1315" i="26"/>
  <c r="H1315" i="26"/>
  <c r="L1315" i="26"/>
  <c r="AS1315" i="26"/>
  <c r="O1315" i="26"/>
  <c r="P1315" i="26"/>
  <c r="C1315" i="26"/>
  <c r="X1315" i="26"/>
  <c r="K1315" i="26"/>
  <c r="A1315" i="26"/>
  <c r="BA1315" i="26"/>
  <c r="BM1315" i="26"/>
  <c r="G1315" i="26"/>
  <c r="AM1315" i="26"/>
  <c r="AJ1315" i="26"/>
  <c r="BP1315" i="26"/>
  <c r="BI1315" i="26"/>
  <c r="I1315" i="26"/>
  <c r="AR1315" i="26"/>
  <c r="T1315" i="26"/>
  <c r="M1315" i="26"/>
  <c r="BN1315" i="26"/>
  <c r="U1315" i="26"/>
  <c r="BJ1315" i="26"/>
  <c r="AU1315" i="26"/>
  <c r="AP1315" i="26"/>
  <c r="BR1315" i="26"/>
  <c r="V1315" i="26"/>
  <c r="B1315" i="26"/>
  <c r="AO1315" i="26"/>
  <c r="AX1315" i="26"/>
  <c r="Q1315" i="26"/>
  <c r="S1315" i="26"/>
  <c r="BK1315" i="26"/>
  <c r="AT1315" i="26"/>
  <c r="BL1315" i="26"/>
  <c r="AY1315" i="26"/>
  <c r="AF1315" i="26"/>
  <c r="R1315" i="26"/>
  <c r="BQ1315" i="26"/>
  <c r="AK1315" i="26"/>
  <c r="AW1315" i="26"/>
  <c r="AV1315" i="26"/>
  <c r="BD1315" i="26"/>
  <c r="BE302" i="26"/>
  <c r="BV305" i="26"/>
  <c r="E1316" i="26" l="1"/>
  <c r="BV304" i="26"/>
  <c r="BE301" i="26"/>
  <c r="BC1316" i="26" l="1"/>
  <c r="AV1316" i="55" s="1"/>
  <c r="O1316" i="26"/>
  <c r="BK1316" i="26"/>
  <c r="T1316" i="26"/>
  <c r="AT1316" i="26"/>
  <c r="AY1316" i="26"/>
  <c r="W1316" i="26"/>
  <c r="BN1316" i="26"/>
  <c r="A1316" i="26"/>
  <c r="BI1316" i="26"/>
  <c r="U1316" i="26"/>
  <c r="L1316" i="26"/>
  <c r="R1316" i="26"/>
  <c r="AM1316" i="26"/>
  <c r="AP1316" i="26"/>
  <c r="AK1316" i="26"/>
  <c r="D1316" i="26"/>
  <c r="K1316" i="26"/>
  <c r="B1316" i="26"/>
  <c r="BJ1316" i="26"/>
  <c r="C1316" i="26"/>
  <c r="BM1316" i="26"/>
  <c r="BL1316" i="26"/>
  <c r="AO1316" i="26"/>
  <c r="H1316" i="26"/>
  <c r="I1316" i="26"/>
  <c r="AX1316" i="26"/>
  <c r="AV1316" i="26"/>
  <c r="AW1316" i="26"/>
  <c r="V1316" i="26"/>
  <c r="BP1316" i="26"/>
  <c r="G1316" i="26"/>
  <c r="S1316" i="26"/>
  <c r="AR1316" i="26"/>
  <c r="BQ1316" i="26"/>
  <c r="AF1316" i="26"/>
  <c r="BR1316" i="26"/>
  <c r="BO1316" i="26"/>
  <c r="M1316" i="26"/>
  <c r="AU1316" i="26"/>
  <c r="X1316" i="26"/>
  <c r="BA1316" i="26"/>
  <c r="AS1316" i="26"/>
  <c r="P1316" i="26"/>
  <c r="Q1316" i="26"/>
  <c r="N1316" i="26"/>
  <c r="AJ1316" i="26"/>
  <c r="BD1316" i="26"/>
  <c r="BE300" i="26"/>
  <c r="BV303" i="26"/>
  <c r="E1317" i="26" l="1"/>
  <c r="BV302" i="26"/>
  <c r="BE299" i="26"/>
  <c r="BC1317" i="26" l="1"/>
  <c r="AV1317" i="55" s="1"/>
  <c r="AF1317" i="26"/>
  <c r="BM1317" i="26"/>
  <c r="H1317" i="26"/>
  <c r="U1317" i="26"/>
  <c r="BK1317" i="26"/>
  <c r="D1317" i="26"/>
  <c r="C1317" i="26"/>
  <c r="B1317" i="26"/>
  <c r="BP1317" i="26"/>
  <c r="BR1317" i="26"/>
  <c r="O1317" i="26"/>
  <c r="AU1317" i="26"/>
  <c r="I1317" i="26"/>
  <c r="AY1317" i="26"/>
  <c r="AV1317" i="26"/>
  <c r="AM1317" i="26"/>
  <c r="M1317" i="26"/>
  <c r="R1317" i="26"/>
  <c r="BL1317" i="26"/>
  <c r="AK1317" i="26"/>
  <c r="X1317" i="26"/>
  <c r="G1317" i="26"/>
  <c r="K1317" i="26"/>
  <c r="AP1317" i="26"/>
  <c r="L1317" i="26"/>
  <c r="BN1317" i="26"/>
  <c r="P1317" i="26"/>
  <c r="AX1317" i="26"/>
  <c r="V1317" i="26"/>
  <c r="AR1317" i="26"/>
  <c r="BI1317" i="26"/>
  <c r="AO1317" i="26"/>
  <c r="BO1317" i="26"/>
  <c r="T1317" i="26"/>
  <c r="S1317" i="26"/>
  <c r="N1317" i="26"/>
  <c r="W1317" i="26"/>
  <c r="AS1317" i="26"/>
  <c r="BA1317" i="26"/>
  <c r="AW1317" i="26"/>
  <c r="AT1317" i="26"/>
  <c r="BQ1317" i="26"/>
  <c r="BJ1317" i="26"/>
  <c r="A1317" i="26"/>
  <c r="AJ1317" i="26"/>
  <c r="Q1317" i="26"/>
  <c r="BD1317" i="26"/>
  <c r="BE298" i="26"/>
  <c r="BV301" i="26"/>
  <c r="E1318" i="26" l="1"/>
  <c r="BV300" i="26"/>
  <c r="BE297" i="26"/>
  <c r="BC1318" i="26" l="1"/>
  <c r="AV1318" i="55" s="1"/>
  <c r="I1318" i="26"/>
  <c r="BM1318" i="26"/>
  <c r="AO1318" i="26"/>
  <c r="AX1318" i="26"/>
  <c r="BI1318" i="26"/>
  <c r="U1318" i="26"/>
  <c r="AP1318" i="26"/>
  <c r="R1318" i="26"/>
  <c r="B1318" i="26"/>
  <c r="AY1318" i="26"/>
  <c r="G1318" i="26"/>
  <c r="AW1318" i="26"/>
  <c r="BL1318" i="26"/>
  <c r="BK1318" i="26"/>
  <c r="O1318" i="26"/>
  <c r="W1318" i="26"/>
  <c r="AM1318" i="26"/>
  <c r="BA1318" i="26"/>
  <c r="AJ1318" i="26"/>
  <c r="C1318" i="26"/>
  <c r="H1318" i="26"/>
  <c r="L1318" i="26"/>
  <c r="A1318" i="26"/>
  <c r="X1318" i="26"/>
  <c r="AK1318" i="26"/>
  <c r="S1318" i="26"/>
  <c r="Q1318" i="26"/>
  <c r="AT1318" i="26"/>
  <c r="AR1318" i="26"/>
  <c r="BP1318" i="26"/>
  <c r="AF1318" i="26"/>
  <c r="N1318" i="26"/>
  <c r="T1318" i="26"/>
  <c r="D1318" i="26"/>
  <c r="BQ1318" i="26"/>
  <c r="AV1318" i="26"/>
  <c r="BO1318" i="26"/>
  <c r="BJ1318" i="26"/>
  <c r="M1318" i="26"/>
  <c r="AU1318" i="26"/>
  <c r="BN1318" i="26"/>
  <c r="V1318" i="26"/>
  <c r="AS1318" i="26"/>
  <c r="P1318" i="26"/>
  <c r="BR1318" i="26"/>
  <c r="K1318" i="26"/>
  <c r="BD1318" i="26"/>
  <c r="BE296" i="26"/>
  <c r="BV299" i="26"/>
  <c r="E1319" i="26" l="1"/>
  <c r="BV298" i="26"/>
  <c r="BE295" i="26"/>
  <c r="BC1319" i="26" l="1"/>
  <c r="AV1319" i="55" s="1"/>
  <c r="AU1319" i="26"/>
  <c r="K1319" i="26"/>
  <c r="AR1319" i="26"/>
  <c r="BM1319" i="26"/>
  <c r="M1319" i="26"/>
  <c r="BK1319" i="26"/>
  <c r="AK1319" i="26"/>
  <c r="R1319" i="26"/>
  <c r="AP1319" i="26"/>
  <c r="U1319" i="26"/>
  <c r="BP1319" i="26"/>
  <c r="N1319" i="26"/>
  <c r="AF1319" i="26"/>
  <c r="P1319" i="26"/>
  <c r="V1319" i="26"/>
  <c r="T1319" i="26"/>
  <c r="G1319" i="26"/>
  <c r="D1319" i="26"/>
  <c r="X1319" i="26"/>
  <c r="AS1319" i="26"/>
  <c r="A1319" i="26"/>
  <c r="AW1319" i="26"/>
  <c r="I1319" i="26"/>
  <c r="BA1319" i="26"/>
  <c r="S1319" i="26"/>
  <c r="AT1319" i="26"/>
  <c r="BO1319" i="26"/>
  <c r="AY1319" i="26"/>
  <c r="AX1319" i="26"/>
  <c r="BR1319" i="26"/>
  <c r="B1319" i="26"/>
  <c r="W1319" i="26"/>
  <c r="AO1319" i="26"/>
  <c r="BQ1319" i="26"/>
  <c r="O1319" i="26"/>
  <c r="AM1319" i="26"/>
  <c r="BJ1319" i="26"/>
  <c r="C1319" i="26"/>
  <c r="AV1319" i="26"/>
  <c r="BN1319" i="26"/>
  <c r="BL1319" i="26"/>
  <c r="H1319" i="26"/>
  <c r="AJ1319" i="26"/>
  <c r="BI1319" i="26"/>
  <c r="L1319" i="26"/>
  <c r="Q1319" i="26"/>
  <c r="BD1319" i="26"/>
  <c r="BV297" i="26"/>
  <c r="BE294" i="26"/>
  <c r="E1320" i="26" l="1"/>
  <c r="BV296" i="26"/>
  <c r="BE293" i="26"/>
  <c r="BC1320" i="26" l="1"/>
  <c r="AV1320" i="55" s="1"/>
  <c r="W1320" i="26"/>
  <c r="AT1320" i="26"/>
  <c r="C1320" i="26"/>
  <c r="AP1320" i="26"/>
  <c r="Q1320" i="26"/>
  <c r="AY1320" i="26"/>
  <c r="BQ1320" i="26"/>
  <c r="BA1320" i="26"/>
  <c r="S1320" i="26"/>
  <c r="X1320" i="26"/>
  <c r="U1320" i="26"/>
  <c r="AV1320" i="26"/>
  <c r="AR1320" i="26"/>
  <c r="T1320" i="26"/>
  <c r="BO1320" i="26"/>
  <c r="G1320" i="26"/>
  <c r="B1320" i="26"/>
  <c r="AU1320" i="26"/>
  <c r="BP1320" i="26"/>
  <c r="O1320" i="26"/>
  <c r="L1320" i="26"/>
  <c r="K1320" i="26"/>
  <c r="BR1320" i="26"/>
  <c r="A1320" i="26"/>
  <c r="AX1320" i="26"/>
  <c r="I1320" i="26"/>
  <c r="D1320" i="26"/>
  <c r="AS1320" i="26"/>
  <c r="R1320" i="26"/>
  <c r="BN1320" i="26"/>
  <c r="BK1320" i="26"/>
  <c r="BL1320" i="26"/>
  <c r="AF1320" i="26"/>
  <c r="AW1320" i="26"/>
  <c r="M1320" i="26"/>
  <c r="BJ1320" i="26"/>
  <c r="N1320" i="26"/>
  <c r="BI1320" i="26"/>
  <c r="BM1320" i="26"/>
  <c r="AJ1320" i="26"/>
  <c r="AK1320" i="26"/>
  <c r="H1320" i="26"/>
  <c r="V1320" i="26"/>
  <c r="AO1320" i="26"/>
  <c r="P1320" i="26"/>
  <c r="AM1320" i="26"/>
  <c r="BD1320" i="26"/>
  <c r="BE292" i="26"/>
  <c r="BV295" i="26"/>
  <c r="E1321" i="26" l="1"/>
  <c r="BE291" i="26"/>
  <c r="BV294" i="26"/>
  <c r="BC1321" i="26" l="1"/>
  <c r="AV1321" i="55" s="1"/>
  <c r="BO1321" i="26"/>
  <c r="G1321" i="26"/>
  <c r="AX1321" i="26"/>
  <c r="W1321" i="26"/>
  <c r="AP1321" i="26"/>
  <c r="H1321" i="26"/>
  <c r="AY1321" i="26"/>
  <c r="O1321" i="26"/>
  <c r="R1321" i="26"/>
  <c r="BN1321" i="26"/>
  <c r="BI1321" i="26"/>
  <c r="AM1321" i="26"/>
  <c r="B1321" i="26"/>
  <c r="BK1321" i="26"/>
  <c r="AJ1321" i="26"/>
  <c r="AR1321" i="26"/>
  <c r="BJ1321" i="26"/>
  <c r="AW1321" i="26"/>
  <c r="M1321" i="26"/>
  <c r="AU1321" i="26"/>
  <c r="P1321" i="26"/>
  <c r="D1321" i="26"/>
  <c r="AS1321" i="26"/>
  <c r="BQ1321" i="26"/>
  <c r="BR1321" i="26"/>
  <c r="V1321" i="26"/>
  <c r="U1321" i="26"/>
  <c r="N1321" i="26"/>
  <c r="BM1321" i="26"/>
  <c r="BL1321" i="26"/>
  <c r="AK1321" i="26"/>
  <c r="BA1321" i="26"/>
  <c r="S1321" i="26"/>
  <c r="T1321" i="26"/>
  <c r="X1321" i="26"/>
  <c r="A1321" i="26"/>
  <c r="BP1321" i="26"/>
  <c r="AO1321" i="26"/>
  <c r="Q1321" i="26"/>
  <c r="AF1321" i="26"/>
  <c r="L1321" i="26"/>
  <c r="K1321" i="26"/>
  <c r="AT1321" i="26"/>
  <c r="AV1321" i="26"/>
  <c r="C1321" i="26"/>
  <c r="I1321" i="26"/>
  <c r="BD1321" i="26"/>
  <c r="BV293" i="26"/>
  <c r="BE290" i="26"/>
  <c r="E1322" i="26" l="1"/>
  <c r="BE289" i="26"/>
  <c r="BV292" i="26"/>
  <c r="BC1322" i="26" l="1"/>
  <c r="AV1322" i="55" s="1"/>
  <c r="AM1322" i="26"/>
  <c r="AJ1322" i="26"/>
  <c r="BR1322" i="26"/>
  <c r="X1322" i="26"/>
  <c r="AW1322" i="26"/>
  <c r="N1322" i="26"/>
  <c r="G1322" i="26"/>
  <c r="BA1322" i="26"/>
  <c r="BI1322" i="26"/>
  <c r="BL1322" i="26"/>
  <c r="AF1322" i="26"/>
  <c r="BN1322" i="26"/>
  <c r="AT1322" i="26"/>
  <c r="AR1322" i="26"/>
  <c r="BJ1322" i="26"/>
  <c r="AK1322" i="26"/>
  <c r="BQ1322" i="26"/>
  <c r="BP1322" i="26"/>
  <c r="Q1322" i="26"/>
  <c r="AO1322" i="26"/>
  <c r="AS1322" i="26"/>
  <c r="L1322" i="26"/>
  <c r="K1322" i="26"/>
  <c r="S1322" i="26"/>
  <c r="B1322" i="26"/>
  <c r="C1322" i="26"/>
  <c r="BM1322" i="26"/>
  <c r="AU1322" i="26"/>
  <c r="V1322" i="26"/>
  <c r="U1322" i="26"/>
  <c r="A1322" i="26"/>
  <c r="W1322" i="26"/>
  <c r="T1322" i="26"/>
  <c r="AX1322" i="26"/>
  <c r="O1322" i="26"/>
  <c r="D1322" i="26"/>
  <c r="BK1322" i="26"/>
  <c r="AY1322" i="26"/>
  <c r="H1322" i="26"/>
  <c r="P1322" i="26"/>
  <c r="I1322" i="26"/>
  <c r="R1322" i="26"/>
  <c r="M1322" i="26"/>
  <c r="AP1322" i="26"/>
  <c r="AV1322" i="26"/>
  <c r="BO1322" i="26"/>
  <c r="BD1322" i="26"/>
  <c r="BV291" i="26"/>
  <c r="BE288" i="26"/>
  <c r="E1323" i="26" l="1"/>
  <c r="BE287" i="26"/>
  <c r="BV290" i="26"/>
  <c r="BC1323" i="26" l="1"/>
  <c r="AV1323" i="55" s="1"/>
  <c r="X1323" i="26"/>
  <c r="AK1323" i="26"/>
  <c r="BQ1323" i="26"/>
  <c r="G1323" i="26"/>
  <c r="O1323" i="26"/>
  <c r="I1323" i="26"/>
  <c r="AO1323" i="26"/>
  <c r="BR1323" i="26"/>
  <c r="D1323" i="26"/>
  <c r="H1323" i="26"/>
  <c r="AP1323" i="26"/>
  <c r="L1323" i="26"/>
  <c r="BK1323" i="26"/>
  <c r="P1323" i="26"/>
  <c r="W1323" i="26"/>
  <c r="AV1323" i="26"/>
  <c r="S1323" i="26"/>
  <c r="A1323" i="26"/>
  <c r="AX1323" i="26"/>
  <c r="AT1323" i="26"/>
  <c r="BM1323" i="26"/>
  <c r="BJ1323" i="26"/>
  <c r="T1323" i="26"/>
  <c r="AW1323" i="26"/>
  <c r="BL1323" i="26"/>
  <c r="AM1323" i="26"/>
  <c r="C1323" i="26"/>
  <c r="U1323" i="26"/>
  <c r="Q1323" i="26"/>
  <c r="AJ1323" i="26"/>
  <c r="M1323" i="26"/>
  <c r="AY1323" i="26"/>
  <c r="AR1323" i="26"/>
  <c r="AU1323" i="26"/>
  <c r="AS1323" i="26"/>
  <c r="K1323" i="26"/>
  <c r="BP1323" i="26"/>
  <c r="B1323" i="26"/>
  <c r="BN1323" i="26"/>
  <c r="BO1323" i="26"/>
  <c r="BA1323" i="26"/>
  <c r="R1323" i="26"/>
  <c r="V1323" i="26"/>
  <c r="N1323" i="26"/>
  <c r="AF1323" i="26"/>
  <c r="BI1323" i="26"/>
  <c r="BD1323" i="26"/>
  <c r="BV289" i="26"/>
  <c r="BE286" i="26"/>
  <c r="E1324" i="26" l="1"/>
  <c r="BV288" i="26"/>
  <c r="BE285" i="26"/>
  <c r="BC1324" i="26" l="1"/>
  <c r="AV1324" i="55" s="1"/>
  <c r="B1324" i="26"/>
  <c r="A1324" i="26"/>
  <c r="K1324" i="26"/>
  <c r="AW1324" i="26"/>
  <c r="Q1324" i="26"/>
  <c r="I1324" i="26"/>
  <c r="AP1324" i="26"/>
  <c r="AJ1324" i="26"/>
  <c r="BK1324" i="26"/>
  <c r="C1324" i="26"/>
  <c r="BO1324" i="26"/>
  <c r="P1324" i="26"/>
  <c r="AF1324" i="26"/>
  <c r="M1324" i="26"/>
  <c r="AR1324" i="26"/>
  <c r="U1324" i="26"/>
  <c r="BI1324" i="26"/>
  <c r="AV1324" i="26"/>
  <c r="R1324" i="26"/>
  <c r="D1324" i="26"/>
  <c r="S1324" i="26"/>
  <c r="BJ1324" i="26"/>
  <c r="L1324" i="26"/>
  <c r="H1324" i="26"/>
  <c r="AK1324" i="26"/>
  <c r="V1324" i="26"/>
  <c r="AU1324" i="26"/>
  <c r="BR1324" i="26"/>
  <c r="BP1324" i="26"/>
  <c r="AT1324" i="26"/>
  <c r="N1324" i="26"/>
  <c r="AX1324" i="26"/>
  <c r="AM1324" i="26"/>
  <c r="AS1324" i="26"/>
  <c r="G1324" i="26"/>
  <c r="BQ1324" i="26"/>
  <c r="X1324" i="26"/>
  <c r="AY1324" i="26"/>
  <c r="BA1324" i="26"/>
  <c r="T1324" i="26"/>
  <c r="BN1324" i="26"/>
  <c r="O1324" i="26"/>
  <c r="AO1324" i="26"/>
  <c r="BM1324" i="26"/>
  <c r="BL1324" i="26"/>
  <c r="W1324" i="26"/>
  <c r="BD1324" i="26"/>
  <c r="BV287" i="26"/>
  <c r="BE284" i="26"/>
  <c r="E1325" i="26" l="1"/>
  <c r="BV286" i="26"/>
  <c r="BE283" i="26"/>
  <c r="BC1325" i="26" l="1"/>
  <c r="AV1325" i="55" s="1"/>
  <c r="BL1325" i="26"/>
  <c r="BO1325" i="26"/>
  <c r="R1325" i="26"/>
  <c r="AO1325" i="26"/>
  <c r="AM1325" i="26"/>
  <c r="D1325" i="26"/>
  <c r="BJ1325" i="26"/>
  <c r="I1325" i="26"/>
  <c r="BP1325" i="26"/>
  <c r="U1325" i="26"/>
  <c r="BQ1325" i="26"/>
  <c r="Q1325" i="26"/>
  <c r="N1325" i="26"/>
  <c r="AP1325" i="26"/>
  <c r="V1325" i="26"/>
  <c r="BK1325" i="26"/>
  <c r="AR1325" i="26"/>
  <c r="L1325" i="26"/>
  <c r="C1325" i="26"/>
  <c r="K1325" i="26"/>
  <c r="G1325" i="26"/>
  <c r="BM1325" i="26"/>
  <c r="O1325" i="26"/>
  <c r="T1325" i="26"/>
  <c r="B1325" i="26"/>
  <c r="X1325" i="26"/>
  <c r="BN1325" i="26"/>
  <c r="H1325" i="26"/>
  <c r="M1325" i="26"/>
  <c r="AV1325" i="26"/>
  <c r="BA1325" i="26"/>
  <c r="AJ1325" i="26"/>
  <c r="AK1325" i="26"/>
  <c r="AU1325" i="26"/>
  <c r="AS1325" i="26"/>
  <c r="AT1325" i="26"/>
  <c r="W1325" i="26"/>
  <c r="AX1325" i="26"/>
  <c r="A1325" i="26"/>
  <c r="S1325" i="26"/>
  <c r="BR1325" i="26"/>
  <c r="AF1325" i="26"/>
  <c r="BI1325" i="26"/>
  <c r="AW1325" i="26"/>
  <c r="P1325" i="26"/>
  <c r="AY1325" i="26"/>
  <c r="BD1325" i="26"/>
  <c r="BE282" i="26"/>
  <c r="BV285" i="26"/>
  <c r="E1326" i="26" l="1"/>
  <c r="BV284" i="26"/>
  <c r="BE281" i="26"/>
  <c r="BC1326" i="26" l="1"/>
  <c r="AV1326" i="55" s="1"/>
  <c r="BP1326" i="26"/>
  <c r="AO1326" i="26"/>
  <c r="AM1326" i="26"/>
  <c r="AW1326" i="26"/>
  <c r="BN1326" i="26"/>
  <c r="AV1326" i="26"/>
  <c r="AP1326" i="26"/>
  <c r="B1326" i="26"/>
  <c r="W1326" i="26"/>
  <c r="R1326" i="26"/>
  <c r="V1326" i="26"/>
  <c r="BI1326" i="26"/>
  <c r="BL1326" i="26"/>
  <c r="AX1326" i="26"/>
  <c r="AS1326" i="26"/>
  <c r="Q1326" i="26"/>
  <c r="G1326" i="26"/>
  <c r="AK1326" i="26"/>
  <c r="BA1326" i="26"/>
  <c r="I1326" i="26"/>
  <c r="D1326" i="26"/>
  <c r="X1326" i="26"/>
  <c r="BJ1326" i="26"/>
  <c r="AR1326" i="26"/>
  <c r="BK1326" i="26"/>
  <c r="AJ1326" i="26"/>
  <c r="T1326" i="26"/>
  <c r="N1326" i="26"/>
  <c r="BO1326" i="26"/>
  <c r="AY1326" i="26"/>
  <c r="K1326" i="26"/>
  <c r="BR1326" i="26"/>
  <c r="P1326" i="26"/>
  <c r="AT1326" i="26"/>
  <c r="AF1326" i="26"/>
  <c r="BM1326" i="26"/>
  <c r="AU1326" i="26"/>
  <c r="BQ1326" i="26"/>
  <c r="A1326" i="26"/>
  <c r="S1326" i="26"/>
  <c r="O1326" i="26"/>
  <c r="M1326" i="26"/>
  <c r="C1326" i="26"/>
  <c r="U1326" i="26"/>
  <c r="H1326" i="26"/>
  <c r="L1326" i="26"/>
  <c r="BD1326" i="26"/>
  <c r="BE280" i="26"/>
  <c r="BV283" i="26"/>
  <c r="E1327" i="26" l="1"/>
  <c r="BV282" i="26"/>
  <c r="BE279" i="26"/>
  <c r="BC1327" i="26" l="1"/>
  <c r="AV1327" i="55" s="1"/>
  <c r="AO1327" i="26"/>
  <c r="AM1327" i="26"/>
  <c r="AT1327" i="26"/>
  <c r="BI1327" i="26"/>
  <c r="H1327" i="26"/>
  <c r="AF1327" i="26"/>
  <c r="L1327" i="26"/>
  <c r="R1327" i="26"/>
  <c r="B1327" i="26"/>
  <c r="BM1327" i="26"/>
  <c r="AK1327" i="26"/>
  <c r="C1327" i="26"/>
  <c r="O1327" i="26"/>
  <c r="T1327" i="26"/>
  <c r="AS1327" i="26"/>
  <c r="W1327" i="26"/>
  <c r="BP1327" i="26"/>
  <c r="X1327" i="26"/>
  <c r="AR1327" i="26"/>
  <c r="BR1327" i="26"/>
  <c r="N1327" i="26"/>
  <c r="S1327" i="26"/>
  <c r="AX1327" i="26"/>
  <c r="D1327" i="26"/>
  <c r="BQ1327" i="26"/>
  <c r="AV1327" i="26"/>
  <c r="AJ1327" i="26"/>
  <c r="BJ1327" i="26"/>
  <c r="AP1327" i="26"/>
  <c r="I1327" i="26"/>
  <c r="K1327" i="26"/>
  <c r="A1327" i="26"/>
  <c r="U1327" i="26"/>
  <c r="BA1327" i="26"/>
  <c r="BK1327" i="26"/>
  <c r="M1327" i="26"/>
  <c r="BN1327" i="26"/>
  <c r="BO1327" i="26"/>
  <c r="AY1327" i="26"/>
  <c r="Q1327" i="26"/>
  <c r="P1327" i="26"/>
  <c r="G1327" i="26"/>
  <c r="V1327" i="26"/>
  <c r="AU1327" i="26"/>
  <c r="AW1327" i="26"/>
  <c r="BL1327" i="26"/>
  <c r="BD1327" i="26"/>
  <c r="BE278" i="26"/>
  <c r="BV281" i="26"/>
  <c r="E1328" i="26" l="1"/>
  <c r="BV280" i="26"/>
  <c r="BE277" i="26"/>
  <c r="BC1328" i="26" l="1"/>
  <c r="AV1328" i="55" s="1"/>
  <c r="AY1328" i="26"/>
  <c r="BM1328" i="26"/>
  <c r="C1328" i="26"/>
  <c r="AR1328" i="26"/>
  <c r="BL1328" i="26"/>
  <c r="L1328" i="26"/>
  <c r="BR1328" i="26"/>
  <c r="AP1328" i="26"/>
  <c r="R1328" i="26"/>
  <c r="BK1328" i="26"/>
  <c r="Q1328" i="26"/>
  <c r="AT1328" i="26"/>
  <c r="A1328" i="26"/>
  <c r="O1328" i="26"/>
  <c r="U1328" i="26"/>
  <c r="W1328" i="26"/>
  <c r="I1328" i="26"/>
  <c r="AK1328" i="26"/>
  <c r="S1328" i="26"/>
  <c r="N1328" i="26"/>
  <c r="AF1328" i="26"/>
  <c r="G1328" i="26"/>
  <c r="AS1328" i="26"/>
  <c r="BN1328" i="26"/>
  <c r="BA1328" i="26"/>
  <c r="BO1328" i="26"/>
  <c r="BQ1328" i="26"/>
  <c r="AW1328" i="26"/>
  <c r="V1328" i="26"/>
  <c r="BP1328" i="26"/>
  <c r="BI1328" i="26"/>
  <c r="X1328" i="26"/>
  <c r="M1328" i="26"/>
  <c r="H1328" i="26"/>
  <c r="K1328" i="26"/>
  <c r="AU1328" i="26"/>
  <c r="AJ1328" i="26"/>
  <c r="D1328" i="26"/>
  <c r="AV1328" i="26"/>
  <c r="B1328" i="26"/>
  <c r="AM1328" i="26"/>
  <c r="AO1328" i="26"/>
  <c r="P1328" i="26"/>
  <c r="BJ1328" i="26"/>
  <c r="AX1328" i="26"/>
  <c r="T1328" i="26"/>
  <c r="BD1328" i="26"/>
  <c r="BE276" i="26"/>
  <c r="BV279" i="26"/>
  <c r="E1329" i="26" l="1"/>
  <c r="BV278" i="26"/>
  <c r="BE275" i="26"/>
  <c r="BC1329" i="26" l="1"/>
  <c r="AV1329" i="55" s="1"/>
  <c r="T1329" i="26"/>
  <c r="BK1329" i="26"/>
  <c r="O1329" i="26"/>
  <c r="AM1329" i="26"/>
  <c r="BR1329" i="26"/>
  <c r="AF1329" i="26"/>
  <c r="U1329" i="26"/>
  <c r="M1329" i="26"/>
  <c r="AK1329" i="26"/>
  <c r="B1329" i="26"/>
  <c r="R1329" i="26"/>
  <c r="X1329" i="26"/>
  <c r="AO1329" i="26"/>
  <c r="BQ1329" i="26"/>
  <c r="I1329" i="26"/>
  <c r="AJ1329" i="26"/>
  <c r="AT1329" i="26"/>
  <c r="C1329" i="26"/>
  <c r="AR1329" i="26"/>
  <c r="K1329" i="26"/>
  <c r="AW1329" i="26"/>
  <c r="AP1329" i="26"/>
  <c r="BI1329" i="26"/>
  <c r="A1329" i="26"/>
  <c r="H1329" i="26"/>
  <c r="G1329" i="26"/>
  <c r="V1329" i="26"/>
  <c r="L1329" i="26"/>
  <c r="BN1329" i="26"/>
  <c r="D1329" i="26"/>
  <c r="BM1329" i="26"/>
  <c r="AY1329" i="26"/>
  <c r="BO1329" i="26"/>
  <c r="Q1329" i="26"/>
  <c r="AV1329" i="26"/>
  <c r="BJ1329" i="26"/>
  <c r="BL1329" i="26"/>
  <c r="BA1329" i="26"/>
  <c r="S1329" i="26"/>
  <c r="AS1329" i="26"/>
  <c r="N1329" i="26"/>
  <c r="BP1329" i="26"/>
  <c r="P1329" i="26"/>
  <c r="AX1329" i="26"/>
  <c r="W1329" i="26"/>
  <c r="AU1329" i="26"/>
  <c r="BD1329" i="26"/>
  <c r="BE274" i="26"/>
  <c r="BV277" i="26"/>
  <c r="E1330" i="26" l="1"/>
  <c r="BV276" i="26"/>
  <c r="BE273" i="26"/>
  <c r="BC1330" i="26" l="1"/>
  <c r="AV1330" i="55" s="1"/>
  <c r="H1330" i="26"/>
  <c r="L1330" i="26"/>
  <c r="A1330" i="26"/>
  <c r="P1330" i="26"/>
  <c r="AW1330" i="26"/>
  <c r="T1330" i="26"/>
  <c r="M1330" i="26"/>
  <c r="Q1330" i="26"/>
  <c r="C1330" i="26"/>
  <c r="BA1330" i="26"/>
  <c r="AR1330" i="26"/>
  <c r="AJ1330" i="26"/>
  <c r="X1330" i="26"/>
  <c r="V1330" i="26"/>
  <c r="AS1330" i="26"/>
  <c r="AP1330" i="26"/>
  <c r="U1330" i="26"/>
  <c r="D1330" i="26"/>
  <c r="N1330" i="26"/>
  <c r="BQ1330" i="26"/>
  <c r="AX1330" i="26"/>
  <c r="BK1330" i="26"/>
  <c r="K1330" i="26"/>
  <c r="AY1330" i="26"/>
  <c r="I1330" i="26"/>
  <c r="BN1330" i="26"/>
  <c r="BJ1330" i="26"/>
  <c r="BM1330" i="26"/>
  <c r="O1330" i="26"/>
  <c r="G1330" i="26"/>
  <c r="BP1330" i="26"/>
  <c r="AO1330" i="26"/>
  <c r="W1330" i="26"/>
  <c r="R1330" i="26"/>
  <c r="BI1330" i="26"/>
  <c r="BL1330" i="26"/>
  <c r="AV1330" i="26"/>
  <c r="AF1330" i="26"/>
  <c r="S1330" i="26"/>
  <c r="AK1330" i="26"/>
  <c r="BO1330" i="26"/>
  <c r="B1330" i="26"/>
  <c r="AU1330" i="26"/>
  <c r="AM1330" i="26"/>
  <c r="AT1330" i="26"/>
  <c r="BR1330" i="26"/>
  <c r="BD1330" i="26"/>
  <c r="BE272" i="26"/>
  <c r="BV275" i="26"/>
  <c r="E1331" i="26" l="1"/>
  <c r="BE271" i="26"/>
  <c r="BV274" i="26"/>
  <c r="BC1331" i="26" l="1"/>
  <c r="AV1331" i="55" s="1"/>
  <c r="AW1331" i="26"/>
  <c r="O1331" i="26"/>
  <c r="BL1331" i="26"/>
  <c r="C1331" i="26"/>
  <c r="BR1331" i="26"/>
  <c r="BM1331" i="26"/>
  <c r="BI1331" i="26"/>
  <c r="I1331" i="26"/>
  <c r="AS1331" i="26"/>
  <c r="AF1331" i="26"/>
  <c r="D1331" i="26"/>
  <c r="H1331" i="26"/>
  <c r="AV1331" i="26"/>
  <c r="A1331" i="26"/>
  <c r="AR1331" i="26"/>
  <c r="AK1331" i="26"/>
  <c r="B1331" i="26"/>
  <c r="AU1331" i="26"/>
  <c r="AY1331" i="26"/>
  <c r="AM1331" i="26"/>
  <c r="AJ1331" i="26"/>
  <c r="AT1331" i="26"/>
  <c r="BA1331" i="26"/>
  <c r="K1331" i="26"/>
  <c r="N1331" i="26"/>
  <c r="S1331" i="26"/>
  <c r="W1331" i="26"/>
  <c r="AX1331" i="26"/>
  <c r="P1331" i="26"/>
  <c r="BJ1331" i="26"/>
  <c r="BK1331" i="26"/>
  <c r="Q1331" i="26"/>
  <c r="BN1331" i="26"/>
  <c r="L1331" i="26"/>
  <c r="AO1331" i="26"/>
  <c r="BO1331" i="26"/>
  <c r="T1331" i="26"/>
  <c r="U1331" i="26"/>
  <c r="AP1331" i="26"/>
  <c r="BQ1331" i="26"/>
  <c r="V1331" i="26"/>
  <c r="G1331" i="26"/>
  <c r="M1331" i="26"/>
  <c r="BP1331" i="26"/>
  <c r="X1331" i="26"/>
  <c r="R1331" i="26"/>
  <c r="BD1331" i="26"/>
  <c r="BV273" i="26"/>
  <c r="BE270" i="26"/>
  <c r="E1332" i="26" l="1"/>
  <c r="BE269" i="26"/>
  <c r="BV272" i="26"/>
  <c r="BC1332" i="26" l="1"/>
  <c r="AV1332" i="55" s="1"/>
  <c r="M1332" i="26"/>
  <c r="P1332" i="26"/>
  <c r="Q1332" i="26"/>
  <c r="U1332" i="26"/>
  <c r="BL1332" i="26"/>
  <c r="BQ1332" i="26"/>
  <c r="V1332" i="26"/>
  <c r="L1332" i="26"/>
  <c r="AP1332" i="26"/>
  <c r="T1332" i="26"/>
  <c r="C1332" i="26"/>
  <c r="AT1332" i="26"/>
  <c r="BK1332" i="26"/>
  <c r="AK1332" i="26"/>
  <c r="AJ1332" i="26"/>
  <c r="AU1332" i="26"/>
  <c r="N1332" i="26"/>
  <c r="K1332" i="26"/>
  <c r="AR1332" i="26"/>
  <c r="D1332" i="26"/>
  <c r="AX1332" i="26"/>
  <c r="AM1332" i="26"/>
  <c r="R1332" i="26"/>
  <c r="H1332" i="26"/>
  <c r="AV1332" i="26"/>
  <c r="A1332" i="26"/>
  <c r="AF1332" i="26"/>
  <c r="G1332" i="26"/>
  <c r="AW1332" i="26"/>
  <c r="BA1332" i="26"/>
  <c r="AS1332" i="26"/>
  <c r="BI1332" i="26"/>
  <c r="O1332" i="26"/>
  <c r="BR1332" i="26"/>
  <c r="BO1332" i="26"/>
  <c r="W1332" i="26"/>
  <c r="B1332" i="26"/>
  <c r="BM1332" i="26"/>
  <c r="S1332" i="26"/>
  <c r="AO1332" i="26"/>
  <c r="X1332" i="26"/>
  <c r="AY1332" i="26"/>
  <c r="BN1332" i="26"/>
  <c r="BP1332" i="26"/>
  <c r="BJ1332" i="26"/>
  <c r="I1332" i="26"/>
  <c r="BD1332" i="26"/>
  <c r="BV271" i="26"/>
  <c r="BE268" i="26"/>
  <c r="E1333" i="26" l="1"/>
  <c r="BV270" i="26"/>
  <c r="BE267" i="26"/>
  <c r="BC1333" i="26" l="1"/>
  <c r="AV1333" i="55" s="1"/>
  <c r="X1333" i="26"/>
  <c r="N1333" i="26"/>
  <c r="AP1333" i="26"/>
  <c r="I1333" i="26"/>
  <c r="BM1333" i="26"/>
  <c r="BI1333" i="26"/>
  <c r="M1333" i="26"/>
  <c r="AY1333" i="26"/>
  <c r="C1333" i="26"/>
  <c r="A1333" i="26"/>
  <c r="O1333" i="26"/>
  <c r="BA1333" i="26"/>
  <c r="G1333" i="26"/>
  <c r="AT1333" i="26"/>
  <c r="D1333" i="26"/>
  <c r="AX1333" i="26"/>
  <c r="BO1333" i="26"/>
  <c r="B1333" i="26"/>
  <c r="BK1333" i="26"/>
  <c r="BR1333" i="26"/>
  <c r="S1333" i="26"/>
  <c r="AK1333" i="26"/>
  <c r="H1333" i="26"/>
  <c r="AU1333" i="26"/>
  <c r="W1333" i="26"/>
  <c r="K1333" i="26"/>
  <c r="Q1333" i="26"/>
  <c r="P1333" i="26"/>
  <c r="V1333" i="26"/>
  <c r="BQ1333" i="26"/>
  <c r="L1333" i="26"/>
  <c r="BN1333" i="26"/>
  <c r="R1333" i="26"/>
  <c r="AR1333" i="26"/>
  <c r="AM1333" i="26"/>
  <c r="BL1333" i="26"/>
  <c r="BJ1333" i="26"/>
  <c r="AW1333" i="26"/>
  <c r="AF1333" i="26"/>
  <c r="U1333" i="26"/>
  <c r="T1333" i="26"/>
  <c r="AS1333" i="26"/>
  <c r="AV1333" i="26"/>
  <c r="BP1333" i="26"/>
  <c r="AO1333" i="26"/>
  <c r="AJ1333" i="26"/>
  <c r="BD1333" i="26"/>
  <c r="BE266" i="26"/>
  <c r="BV269" i="26"/>
  <c r="E1334" i="26" l="1"/>
  <c r="BV268" i="26"/>
  <c r="BE265" i="26"/>
  <c r="BC1334" i="26" l="1"/>
  <c r="AV1334" i="55" s="1"/>
  <c r="BK1334" i="26"/>
  <c r="BQ1334" i="26"/>
  <c r="AR1334" i="26"/>
  <c r="BL1334" i="26"/>
  <c r="R1334" i="26"/>
  <c r="L1334" i="26"/>
  <c r="U1334" i="26"/>
  <c r="P1334" i="26"/>
  <c r="N1334" i="26"/>
  <c r="I1334" i="26"/>
  <c r="M1334" i="26"/>
  <c r="AW1334" i="26"/>
  <c r="BJ1334" i="26"/>
  <c r="AP1334" i="26"/>
  <c r="BM1334" i="26"/>
  <c r="H1334" i="26"/>
  <c r="S1334" i="26"/>
  <c r="AM1334" i="26"/>
  <c r="AO1334" i="26"/>
  <c r="D1334" i="26"/>
  <c r="BO1334" i="26"/>
  <c r="AV1334" i="26"/>
  <c r="C1334" i="26"/>
  <c r="T1334" i="26"/>
  <c r="V1334" i="26"/>
  <c r="AT1334" i="26"/>
  <c r="AJ1334" i="26"/>
  <c r="AX1334" i="26"/>
  <c r="BI1334" i="26"/>
  <c r="AU1334" i="26"/>
  <c r="AK1334" i="26"/>
  <c r="X1334" i="26"/>
  <c r="Q1334" i="26"/>
  <c r="K1334" i="26"/>
  <c r="W1334" i="26"/>
  <c r="O1334" i="26"/>
  <c r="G1334" i="26"/>
  <c r="A1334" i="26"/>
  <c r="AS1334" i="26"/>
  <c r="B1334" i="26"/>
  <c r="BN1334" i="26"/>
  <c r="BR1334" i="26"/>
  <c r="AF1334" i="26"/>
  <c r="AY1334" i="26"/>
  <c r="BP1334" i="26"/>
  <c r="BA1334" i="26"/>
  <c r="BD1334" i="26"/>
  <c r="BE264" i="26"/>
  <c r="BV267" i="26"/>
  <c r="E1335" i="26" l="1"/>
  <c r="BV266" i="26"/>
  <c r="BE263" i="26"/>
  <c r="BC1335" i="26" l="1"/>
  <c r="AV1335" i="55" s="1"/>
  <c r="A1335" i="26"/>
  <c r="P1335" i="26"/>
  <c r="BM1335" i="26"/>
  <c r="T1335" i="26"/>
  <c r="K1335" i="26"/>
  <c r="AJ1335" i="26"/>
  <c r="O1335" i="26"/>
  <c r="BN1335" i="26"/>
  <c r="G1335" i="26"/>
  <c r="AT1335" i="26"/>
  <c r="AF1335" i="26"/>
  <c r="BO1335" i="26"/>
  <c r="S1335" i="26"/>
  <c r="N1335" i="26"/>
  <c r="BA1335" i="26"/>
  <c r="Q1335" i="26"/>
  <c r="BJ1335" i="26"/>
  <c r="L1335" i="26"/>
  <c r="M1335" i="26"/>
  <c r="AW1335" i="26"/>
  <c r="V1335" i="26"/>
  <c r="B1335" i="26"/>
  <c r="D1335" i="26"/>
  <c r="AY1335" i="26"/>
  <c r="I1335" i="26"/>
  <c r="H1335" i="26"/>
  <c r="AP1335" i="26"/>
  <c r="AU1335" i="26"/>
  <c r="R1335" i="26"/>
  <c r="BI1335" i="26"/>
  <c r="BR1335" i="26"/>
  <c r="U1335" i="26"/>
  <c r="AK1335" i="26"/>
  <c r="AR1335" i="26"/>
  <c r="AM1335" i="26"/>
  <c r="BK1335" i="26"/>
  <c r="AV1335" i="26"/>
  <c r="BL1335" i="26"/>
  <c r="C1335" i="26"/>
  <c r="AS1335" i="26"/>
  <c r="W1335" i="26"/>
  <c r="BQ1335" i="26"/>
  <c r="AO1335" i="26"/>
  <c r="X1335" i="26"/>
  <c r="BP1335" i="26"/>
  <c r="AX1335" i="26"/>
  <c r="BD1335" i="26"/>
  <c r="BE262" i="26"/>
  <c r="BV265" i="26"/>
  <c r="E1336" i="26" l="1"/>
  <c r="BV264" i="26"/>
  <c r="BE261" i="26"/>
  <c r="BC1336" i="26" l="1"/>
  <c r="AV1336" i="55" s="1"/>
  <c r="AX1336" i="26"/>
  <c r="AU1336" i="26"/>
  <c r="D1336" i="26"/>
  <c r="B1336" i="26"/>
  <c r="U1336" i="26"/>
  <c r="AM1336" i="26"/>
  <c r="BN1336" i="26"/>
  <c r="BL1336" i="26"/>
  <c r="V1336" i="26"/>
  <c r="AY1336" i="26"/>
  <c r="AP1336" i="26"/>
  <c r="BK1336" i="26"/>
  <c r="AT1336" i="26"/>
  <c r="R1336" i="26"/>
  <c r="BO1336" i="26"/>
  <c r="S1336" i="26"/>
  <c r="AF1336" i="26"/>
  <c r="AK1336" i="26"/>
  <c r="AO1336" i="26"/>
  <c r="P1336" i="26"/>
  <c r="H1336" i="26"/>
  <c r="BQ1336" i="26"/>
  <c r="T1336" i="26"/>
  <c r="BM1336" i="26"/>
  <c r="I1336" i="26"/>
  <c r="G1336" i="26"/>
  <c r="C1336" i="26"/>
  <c r="BI1336" i="26"/>
  <c r="W1336" i="26"/>
  <c r="AS1336" i="26"/>
  <c r="BJ1336" i="26"/>
  <c r="AV1336" i="26"/>
  <c r="AW1336" i="26"/>
  <c r="BR1336" i="26"/>
  <c r="X1336" i="26"/>
  <c r="BP1336" i="26"/>
  <c r="Q1336" i="26"/>
  <c r="L1336" i="26"/>
  <c r="N1336" i="26"/>
  <c r="AR1336" i="26"/>
  <c r="BA1336" i="26"/>
  <c r="A1336" i="26"/>
  <c r="AJ1336" i="26"/>
  <c r="O1336" i="26"/>
  <c r="K1336" i="26"/>
  <c r="M1336" i="26"/>
  <c r="BD1336" i="26"/>
  <c r="BE260" i="26"/>
  <c r="BV263" i="26"/>
  <c r="E1337" i="26" l="1"/>
  <c r="BV262" i="26"/>
  <c r="BE259" i="26"/>
  <c r="V1337" i="26" l="1"/>
  <c r="BC1337" i="26"/>
  <c r="AV1337" i="55" s="1"/>
  <c r="B1337" i="26"/>
  <c r="BR1337" i="26"/>
  <c r="S1337" i="26"/>
  <c r="T1337" i="26"/>
  <c r="BP1337" i="26"/>
  <c r="BL1337" i="26"/>
  <c r="C1337" i="26"/>
  <c r="AX1337" i="26"/>
  <c r="M1337" i="26"/>
  <c r="BN1337" i="26"/>
  <c r="AR1337" i="26"/>
  <c r="AT1337" i="26"/>
  <c r="P1337" i="26"/>
  <c r="AF1337" i="26"/>
  <c r="G1337" i="26"/>
  <c r="R1337" i="26"/>
  <c r="BM1337" i="26"/>
  <c r="AV1337" i="26"/>
  <c r="AU1337" i="26"/>
  <c r="BQ1337" i="26"/>
  <c r="BJ1337" i="26"/>
  <c r="D1337" i="26"/>
  <c r="AO1337" i="26"/>
  <c r="BA1337" i="26"/>
  <c r="U1337" i="26"/>
  <c r="W1337" i="26"/>
  <c r="A1337" i="26"/>
  <c r="O1337" i="26"/>
  <c r="AM1337" i="26"/>
  <c r="L1337" i="26"/>
  <c r="Q1337" i="26"/>
  <c r="X1337" i="26"/>
  <c r="AK1337" i="26"/>
  <c r="N1337" i="26"/>
  <c r="BO1337" i="26"/>
  <c r="AJ1337" i="26"/>
  <c r="AW1337" i="26"/>
  <c r="BI1337" i="26"/>
  <c r="BK1337" i="26"/>
  <c r="AP1337" i="26"/>
  <c r="AY1337" i="26"/>
  <c r="I1337" i="26"/>
  <c r="AS1337" i="26"/>
  <c r="H1337" i="26"/>
  <c r="K1337" i="26"/>
  <c r="BD1337" i="26"/>
  <c r="BE258" i="26"/>
  <c r="BV261" i="26"/>
  <c r="E1338" i="26" l="1"/>
  <c r="BV260" i="26"/>
  <c r="BE257" i="26"/>
  <c r="BC1338" i="26" l="1"/>
  <c r="AV1338" i="55" s="1"/>
  <c r="BJ1338" i="26"/>
  <c r="AM1338" i="26"/>
  <c r="BQ1338" i="26"/>
  <c r="U1338" i="26"/>
  <c r="Q1338" i="26"/>
  <c r="AO1338" i="26"/>
  <c r="M1338" i="26"/>
  <c r="BP1338" i="26"/>
  <c r="AX1338" i="26"/>
  <c r="AR1338" i="26"/>
  <c r="AF1338" i="26"/>
  <c r="O1338" i="26"/>
  <c r="H1338" i="26"/>
  <c r="C1338" i="26"/>
  <c r="K1338" i="26"/>
  <c r="BO1338" i="26"/>
  <c r="BA1338" i="26"/>
  <c r="G1338" i="26"/>
  <c r="L1338" i="26"/>
  <c r="AU1338" i="26"/>
  <c r="AW1338" i="26"/>
  <c r="AV1338" i="26"/>
  <c r="AP1338" i="26"/>
  <c r="W1338" i="26"/>
  <c r="BN1338" i="26"/>
  <c r="AS1338" i="26"/>
  <c r="BL1338" i="26"/>
  <c r="N1338" i="26"/>
  <c r="BR1338" i="26"/>
  <c r="BM1338" i="26"/>
  <c r="B1338" i="26"/>
  <c r="S1338" i="26"/>
  <c r="AK1338" i="26"/>
  <c r="D1338" i="26"/>
  <c r="BI1338" i="26"/>
  <c r="T1338" i="26"/>
  <c r="P1338" i="26"/>
  <c r="BK1338" i="26"/>
  <c r="AY1338" i="26"/>
  <c r="V1338" i="26"/>
  <c r="A1338" i="26"/>
  <c r="R1338" i="26"/>
  <c r="AT1338" i="26"/>
  <c r="AJ1338" i="26"/>
  <c r="X1338" i="26"/>
  <c r="I1338" i="26"/>
  <c r="BD1338" i="26"/>
  <c r="BE256" i="26"/>
  <c r="BV259" i="26"/>
  <c r="E1339" i="26" l="1"/>
  <c r="BV258" i="26"/>
  <c r="BE255" i="26"/>
  <c r="BC1339" i="26" l="1"/>
  <c r="AV1339" i="55" s="1"/>
  <c r="BJ1339" i="26"/>
  <c r="T1339" i="26"/>
  <c r="R1339" i="26"/>
  <c r="U1339" i="26"/>
  <c r="BI1339" i="26"/>
  <c r="C1339" i="26"/>
  <c r="A1339" i="26"/>
  <c r="W1339" i="26"/>
  <c r="D1339" i="26"/>
  <c r="O1339" i="26"/>
  <c r="AP1339" i="26"/>
  <c r="BM1339" i="26"/>
  <c r="K1339" i="26"/>
  <c r="AW1339" i="26"/>
  <c r="AS1339" i="26"/>
  <c r="X1339" i="26"/>
  <c r="BL1339" i="26"/>
  <c r="AT1339" i="26"/>
  <c r="AV1339" i="26"/>
  <c r="BN1339" i="26"/>
  <c r="G1339" i="26"/>
  <c r="BA1339" i="26"/>
  <c r="AU1339" i="26"/>
  <c r="N1339" i="26"/>
  <c r="AR1339" i="26"/>
  <c r="S1339" i="26"/>
  <c r="M1339" i="26"/>
  <c r="AF1339" i="26"/>
  <c r="H1339" i="26"/>
  <c r="AJ1339" i="26"/>
  <c r="I1339" i="26"/>
  <c r="BP1339" i="26"/>
  <c r="AM1339" i="26"/>
  <c r="BK1339" i="26"/>
  <c r="BR1339" i="26"/>
  <c r="AY1339" i="26"/>
  <c r="BQ1339" i="26"/>
  <c r="AX1339" i="26"/>
  <c r="B1339" i="26"/>
  <c r="V1339" i="26"/>
  <c r="Q1339" i="26"/>
  <c r="L1339" i="26"/>
  <c r="AK1339" i="26"/>
  <c r="BO1339" i="26"/>
  <c r="AO1339" i="26"/>
  <c r="P1339" i="26"/>
  <c r="BD1339" i="26"/>
  <c r="BV257" i="26"/>
  <c r="BE254" i="26"/>
  <c r="E1340" i="26" l="1"/>
  <c r="BE253" i="26"/>
  <c r="BV256" i="26"/>
  <c r="BC1340" i="26" l="1"/>
  <c r="AV1340" i="55" s="1"/>
  <c r="T1340" i="26"/>
  <c r="AF1340" i="26"/>
  <c r="R1340" i="26"/>
  <c r="C1340" i="26"/>
  <c r="BO1340" i="26"/>
  <c r="L1340" i="26"/>
  <c r="AM1340" i="26"/>
  <c r="AS1340" i="26"/>
  <c r="BQ1340" i="26"/>
  <c r="I1340" i="26"/>
  <c r="H1340" i="26"/>
  <c r="M1340" i="26"/>
  <c r="AO1340" i="26"/>
  <c r="W1340" i="26"/>
  <c r="BL1340" i="26"/>
  <c r="A1340" i="26"/>
  <c r="AT1340" i="26"/>
  <c r="N1340" i="26"/>
  <c r="B1340" i="26"/>
  <c r="U1340" i="26"/>
  <c r="S1340" i="26"/>
  <c r="AR1340" i="26"/>
  <c r="BR1340" i="26"/>
  <c r="BM1340" i="26"/>
  <c r="AX1340" i="26"/>
  <c r="BA1340" i="26"/>
  <c r="AU1340" i="26"/>
  <c r="P1340" i="26"/>
  <c r="D1340" i="26"/>
  <c r="BP1340" i="26"/>
  <c r="O1340" i="26"/>
  <c r="AW1340" i="26"/>
  <c r="K1340" i="26"/>
  <c r="AK1340" i="26"/>
  <c r="Q1340" i="26"/>
  <c r="X1340" i="26"/>
  <c r="AP1340" i="26"/>
  <c r="AJ1340" i="26"/>
  <c r="BI1340" i="26"/>
  <c r="BN1340" i="26"/>
  <c r="BK1340" i="26"/>
  <c r="AY1340" i="26"/>
  <c r="AV1340" i="26"/>
  <c r="V1340" i="26"/>
  <c r="BJ1340" i="26"/>
  <c r="G1340" i="26"/>
  <c r="BD1340" i="26"/>
  <c r="BV255" i="26"/>
  <c r="BE252" i="26"/>
  <c r="E1341" i="26" l="1"/>
  <c r="BE251" i="26"/>
  <c r="BV254" i="26"/>
  <c r="BC1341" i="26" l="1"/>
  <c r="AV1341" i="55" s="1"/>
  <c r="S1341" i="26"/>
  <c r="BQ1341" i="26"/>
  <c r="U1341" i="26"/>
  <c r="AV1341" i="26"/>
  <c r="P1341" i="26"/>
  <c r="BO1341" i="26"/>
  <c r="BJ1341" i="26"/>
  <c r="D1341" i="26"/>
  <c r="O1341" i="26"/>
  <c r="BN1341" i="26"/>
  <c r="AT1341" i="26"/>
  <c r="AP1341" i="26"/>
  <c r="AU1341" i="26"/>
  <c r="H1341" i="26"/>
  <c r="AY1341" i="26"/>
  <c r="B1341" i="26"/>
  <c r="AX1341" i="26"/>
  <c r="AF1341" i="26"/>
  <c r="AS1341" i="26"/>
  <c r="R1341" i="26"/>
  <c r="AJ1341" i="26"/>
  <c r="W1341" i="26"/>
  <c r="BL1341" i="26"/>
  <c r="BI1341" i="26"/>
  <c r="T1341" i="26"/>
  <c r="L1341" i="26"/>
  <c r="V1341" i="26"/>
  <c r="AO1341" i="26"/>
  <c r="BK1341" i="26"/>
  <c r="BM1341" i="26"/>
  <c r="X1341" i="26"/>
  <c r="K1341" i="26"/>
  <c r="I1341" i="26"/>
  <c r="M1341" i="26"/>
  <c r="Q1341" i="26"/>
  <c r="C1341" i="26"/>
  <c r="AR1341" i="26"/>
  <c r="AM1341" i="26"/>
  <c r="BR1341" i="26"/>
  <c r="G1341" i="26"/>
  <c r="N1341" i="26"/>
  <c r="BP1341" i="26"/>
  <c r="BA1341" i="26"/>
  <c r="A1341" i="26"/>
  <c r="AK1341" i="26"/>
  <c r="AW1341" i="26"/>
  <c r="BD1341" i="26"/>
  <c r="BE250" i="26"/>
  <c r="BV253" i="26"/>
  <c r="E1342" i="26" l="1"/>
  <c r="BV252" i="26"/>
  <c r="BE249" i="26"/>
  <c r="BC1342" i="26" l="1"/>
  <c r="AV1342" i="55" s="1"/>
  <c r="BQ1342" i="26"/>
  <c r="BL1342" i="26"/>
  <c r="BJ1342" i="26"/>
  <c r="M1342" i="26"/>
  <c r="C1342" i="26"/>
  <c r="BP1342" i="26"/>
  <c r="AU1342" i="26"/>
  <c r="O1342" i="26"/>
  <c r="L1342" i="26"/>
  <c r="AR1342" i="26"/>
  <c r="AP1342" i="26"/>
  <c r="AM1342" i="26"/>
  <c r="AJ1342" i="26"/>
  <c r="BK1342" i="26"/>
  <c r="AF1342" i="26"/>
  <c r="AY1342" i="26"/>
  <c r="K1342" i="26"/>
  <c r="AT1342" i="26"/>
  <c r="B1342" i="26"/>
  <c r="N1342" i="26"/>
  <c r="T1342" i="26"/>
  <c r="BI1342" i="26"/>
  <c r="AO1342" i="26"/>
  <c r="R1342" i="26"/>
  <c r="BR1342" i="26"/>
  <c r="W1342" i="26"/>
  <c r="AV1342" i="26"/>
  <c r="D1342" i="26"/>
  <c r="BO1342" i="26"/>
  <c r="X1342" i="26"/>
  <c r="I1342" i="26"/>
  <c r="P1342" i="26"/>
  <c r="BM1342" i="26"/>
  <c r="U1342" i="26"/>
  <c r="AW1342" i="26"/>
  <c r="AK1342" i="26"/>
  <c r="BN1342" i="26"/>
  <c r="H1342" i="26"/>
  <c r="A1342" i="26"/>
  <c r="AS1342" i="26"/>
  <c r="V1342" i="26"/>
  <c r="S1342" i="26"/>
  <c r="G1342" i="26"/>
  <c r="Q1342" i="26"/>
  <c r="AX1342" i="26"/>
  <c r="BA1342" i="26"/>
  <c r="BD1342" i="26"/>
  <c r="BE248" i="26"/>
  <c r="BV251" i="26"/>
  <c r="E1343" i="26" l="1"/>
  <c r="BV250" i="26"/>
  <c r="BE247" i="26"/>
  <c r="BC1343" i="26" l="1"/>
  <c r="AV1343" i="55" s="1"/>
  <c r="AJ1343" i="26"/>
  <c r="W1343" i="26"/>
  <c r="BM1343" i="26"/>
  <c r="BA1343" i="26"/>
  <c r="L1343" i="26"/>
  <c r="AR1343" i="26"/>
  <c r="AS1343" i="26"/>
  <c r="A1343" i="26"/>
  <c r="BI1343" i="26"/>
  <c r="I1343" i="26"/>
  <c r="Q1343" i="26"/>
  <c r="O1343" i="26"/>
  <c r="AP1343" i="26"/>
  <c r="C1343" i="26"/>
  <c r="X1343" i="26"/>
  <c r="AV1343" i="26"/>
  <c r="S1343" i="26"/>
  <c r="BP1343" i="26"/>
  <c r="AU1343" i="26"/>
  <c r="BL1343" i="26"/>
  <c r="R1343" i="26"/>
  <c r="G1343" i="26"/>
  <c r="AK1343" i="26"/>
  <c r="H1343" i="26"/>
  <c r="V1343" i="26"/>
  <c r="N1343" i="26"/>
  <c r="AY1343" i="26"/>
  <c r="D1343" i="26"/>
  <c r="BK1343" i="26"/>
  <c r="BR1343" i="26"/>
  <c r="BO1343" i="26"/>
  <c r="BQ1343" i="26"/>
  <c r="BN1343" i="26"/>
  <c r="AW1343" i="26"/>
  <c r="BJ1343" i="26"/>
  <c r="AX1343" i="26"/>
  <c r="K1343" i="26"/>
  <c r="U1343" i="26"/>
  <c r="T1343" i="26"/>
  <c r="AF1343" i="26"/>
  <c r="AO1343" i="26"/>
  <c r="B1343" i="26"/>
  <c r="M1343" i="26"/>
  <c r="AM1343" i="26"/>
  <c r="AT1343" i="26"/>
  <c r="P1343" i="26"/>
  <c r="BD1343" i="26"/>
  <c r="BE246" i="26"/>
  <c r="BV249" i="26"/>
  <c r="E1344" i="26" l="1"/>
  <c r="BV248" i="26"/>
  <c r="BE245" i="26"/>
  <c r="BC1344" i="26" l="1"/>
  <c r="AV1344" i="55" s="1"/>
  <c r="U1344" i="26"/>
  <c r="AJ1344" i="26"/>
  <c r="S1344" i="26"/>
  <c r="AY1344" i="26"/>
  <c r="K1344" i="26"/>
  <c r="BR1344" i="26"/>
  <c r="AX1344" i="26"/>
  <c r="AF1344" i="26"/>
  <c r="AR1344" i="26"/>
  <c r="X1344" i="26"/>
  <c r="BA1344" i="26"/>
  <c r="Q1344" i="26"/>
  <c r="AK1344" i="26"/>
  <c r="AW1344" i="26"/>
  <c r="N1344" i="26"/>
  <c r="C1344" i="26"/>
  <c r="BO1344" i="26"/>
  <c r="A1344" i="26"/>
  <c r="W1344" i="26"/>
  <c r="BI1344" i="26"/>
  <c r="O1344" i="26"/>
  <c r="V1344" i="26"/>
  <c r="AT1344" i="26"/>
  <c r="T1344" i="26"/>
  <c r="B1344" i="26"/>
  <c r="BK1344" i="26"/>
  <c r="BL1344" i="26"/>
  <c r="AU1344" i="26"/>
  <c r="BJ1344" i="26"/>
  <c r="AP1344" i="26"/>
  <c r="M1344" i="26"/>
  <c r="BN1344" i="26"/>
  <c r="G1344" i="26"/>
  <c r="R1344" i="26"/>
  <c r="BQ1344" i="26"/>
  <c r="AO1344" i="26"/>
  <c r="D1344" i="26"/>
  <c r="AV1344" i="26"/>
  <c r="AM1344" i="26"/>
  <c r="AS1344" i="26"/>
  <c r="BM1344" i="26"/>
  <c r="H1344" i="26"/>
  <c r="L1344" i="26"/>
  <c r="I1344" i="26"/>
  <c r="BP1344" i="26"/>
  <c r="P1344" i="26"/>
  <c r="BD1344" i="26"/>
  <c r="BE244" i="26"/>
  <c r="BV247" i="26"/>
  <c r="E1345" i="26" l="1"/>
  <c r="BV246" i="26"/>
  <c r="BE243" i="26"/>
  <c r="BC1345" i="26" l="1"/>
  <c r="AV1345" i="55" s="1"/>
  <c r="N1345" i="26"/>
  <c r="BP1345" i="26"/>
  <c r="P1345" i="26"/>
  <c r="AK1345" i="26"/>
  <c r="O1345" i="26"/>
  <c r="BL1345" i="26"/>
  <c r="R1345" i="26"/>
  <c r="AP1345" i="26"/>
  <c r="K1345" i="26"/>
  <c r="BM1345" i="26"/>
  <c r="H1345" i="26"/>
  <c r="T1345" i="26"/>
  <c r="AY1345" i="26"/>
  <c r="BR1345" i="26"/>
  <c r="I1345" i="26"/>
  <c r="AM1345" i="26"/>
  <c r="AU1345" i="26"/>
  <c r="S1345" i="26"/>
  <c r="AF1345" i="26"/>
  <c r="V1345" i="26"/>
  <c r="BQ1345" i="26"/>
  <c r="B1345" i="26"/>
  <c r="BI1345" i="26"/>
  <c r="AV1345" i="26"/>
  <c r="BO1345" i="26"/>
  <c r="BN1345" i="26"/>
  <c r="AW1345" i="26"/>
  <c r="U1345" i="26"/>
  <c r="A1345" i="26"/>
  <c r="AS1345" i="26"/>
  <c r="G1345" i="26"/>
  <c r="AO1345" i="26"/>
  <c r="L1345" i="26"/>
  <c r="M1345" i="26"/>
  <c r="AJ1345" i="26"/>
  <c r="AR1345" i="26"/>
  <c r="AX1345" i="26"/>
  <c r="C1345" i="26"/>
  <c r="BA1345" i="26"/>
  <c r="BJ1345" i="26"/>
  <c r="D1345" i="26"/>
  <c r="X1345" i="26"/>
  <c r="BK1345" i="26"/>
  <c r="AT1345" i="26"/>
  <c r="W1345" i="26"/>
  <c r="Q1345" i="26"/>
  <c r="BD1345" i="26"/>
  <c r="BE242" i="26"/>
  <c r="BV245" i="26"/>
  <c r="E1346" i="26" l="1"/>
  <c r="BV244" i="26"/>
  <c r="BE241" i="26"/>
  <c r="BC1346" i="26" l="1"/>
  <c r="AV1346" i="55" s="1"/>
  <c r="AO1346" i="26"/>
  <c r="BN1346" i="26"/>
  <c r="G1346" i="26"/>
  <c r="BL1346" i="26"/>
  <c r="BA1346" i="26"/>
  <c r="D1346" i="26"/>
  <c r="V1346" i="26"/>
  <c r="BK1346" i="26"/>
  <c r="AY1346" i="26"/>
  <c r="AR1346" i="26"/>
  <c r="AK1346" i="26"/>
  <c r="U1346" i="26"/>
  <c r="BM1346" i="26"/>
  <c r="AM1346" i="26"/>
  <c r="AX1346" i="26"/>
  <c r="AF1346" i="26"/>
  <c r="BQ1346" i="26"/>
  <c r="BI1346" i="26"/>
  <c r="BR1346" i="26"/>
  <c r="O1346" i="26"/>
  <c r="AU1346" i="26"/>
  <c r="AP1346" i="26"/>
  <c r="BJ1346" i="26"/>
  <c r="BO1346" i="26"/>
  <c r="L1346" i="26"/>
  <c r="N1346" i="26"/>
  <c r="H1346" i="26"/>
  <c r="P1346" i="26"/>
  <c r="S1346" i="26"/>
  <c r="I1346" i="26"/>
  <c r="AV1346" i="26"/>
  <c r="A1346" i="26"/>
  <c r="C1346" i="26"/>
  <c r="AS1346" i="26"/>
  <c r="AW1346" i="26"/>
  <c r="T1346" i="26"/>
  <c r="K1346" i="26"/>
  <c r="AJ1346" i="26"/>
  <c r="AT1346" i="26"/>
  <c r="X1346" i="26"/>
  <c r="M1346" i="26"/>
  <c r="B1346" i="26"/>
  <c r="W1346" i="26"/>
  <c r="R1346" i="26"/>
  <c r="Q1346" i="26"/>
  <c r="BP1346" i="26"/>
  <c r="BD1346" i="26"/>
  <c r="BE240" i="26"/>
  <c r="BV243" i="26"/>
  <c r="E1347" i="26" l="1"/>
  <c r="BV242" i="26"/>
  <c r="BE239" i="26"/>
  <c r="BC1347" i="26" l="1"/>
  <c r="AV1347" i="55" s="1"/>
  <c r="AR1347" i="26"/>
  <c r="H1347" i="26"/>
  <c r="AT1347" i="26"/>
  <c r="BJ1347" i="26"/>
  <c r="AV1347" i="26"/>
  <c r="R1347" i="26"/>
  <c r="W1347" i="26"/>
  <c r="BP1347" i="26"/>
  <c r="V1347" i="26"/>
  <c r="I1347" i="26"/>
  <c r="AY1347" i="26"/>
  <c r="U1347" i="26"/>
  <c r="O1347" i="26"/>
  <c r="C1347" i="26"/>
  <c r="BA1347" i="26"/>
  <c r="AU1347" i="26"/>
  <c r="AP1347" i="26"/>
  <c r="BK1347" i="26"/>
  <c r="AJ1347" i="26"/>
  <c r="D1347" i="26"/>
  <c r="AK1347" i="26"/>
  <c r="AW1347" i="26"/>
  <c r="AS1347" i="26"/>
  <c r="BM1347" i="26"/>
  <c r="BO1347" i="26"/>
  <c r="P1347" i="26"/>
  <c r="Q1347" i="26"/>
  <c r="T1347" i="26"/>
  <c r="B1347" i="26"/>
  <c r="M1347" i="26"/>
  <c r="N1347" i="26"/>
  <c r="AX1347" i="26"/>
  <c r="L1347" i="26"/>
  <c r="BQ1347" i="26"/>
  <c r="A1347" i="26"/>
  <c r="AO1347" i="26"/>
  <c r="BI1347" i="26"/>
  <c r="BR1347" i="26"/>
  <c r="BL1347" i="26"/>
  <c r="K1347" i="26"/>
  <c r="S1347" i="26"/>
  <c r="G1347" i="26"/>
  <c r="AM1347" i="26"/>
  <c r="X1347" i="26"/>
  <c r="BN1347" i="26"/>
  <c r="AF1347" i="26"/>
  <c r="BD1347" i="26"/>
  <c r="BE238" i="26"/>
  <c r="BV241" i="26"/>
  <c r="E1348" i="26" l="1"/>
  <c r="BV240" i="26"/>
  <c r="BE237" i="26"/>
  <c r="BC1348" i="26" l="1"/>
  <c r="AV1348" i="55" s="1"/>
  <c r="D1348" i="26"/>
  <c r="P1348" i="26"/>
  <c r="BP1348" i="26"/>
  <c r="AV1348" i="26"/>
  <c r="T1348" i="26"/>
  <c r="BO1348" i="26"/>
  <c r="BL1348" i="26"/>
  <c r="AM1348" i="26"/>
  <c r="AO1348" i="26"/>
  <c r="H1348" i="26"/>
  <c r="O1348" i="26"/>
  <c r="R1348" i="26"/>
  <c r="BK1348" i="26"/>
  <c r="AF1348" i="26"/>
  <c r="U1348" i="26"/>
  <c r="AT1348" i="26"/>
  <c r="I1348" i="26"/>
  <c r="AX1348" i="26"/>
  <c r="BI1348" i="26"/>
  <c r="V1348" i="26"/>
  <c r="K1348" i="26"/>
  <c r="BN1348" i="26"/>
  <c r="B1348" i="26"/>
  <c r="AJ1348" i="26"/>
  <c r="AW1348" i="26"/>
  <c r="AU1348" i="26"/>
  <c r="M1348" i="26"/>
  <c r="L1348" i="26"/>
  <c r="G1348" i="26"/>
  <c r="Q1348" i="26"/>
  <c r="N1348" i="26"/>
  <c r="S1348" i="26"/>
  <c r="AR1348" i="26"/>
  <c r="BJ1348" i="26"/>
  <c r="AK1348" i="26"/>
  <c r="BR1348" i="26"/>
  <c r="W1348" i="26"/>
  <c r="X1348" i="26"/>
  <c r="BA1348" i="26"/>
  <c r="A1348" i="26"/>
  <c r="AY1348" i="26"/>
  <c r="AS1348" i="26"/>
  <c r="BQ1348" i="26"/>
  <c r="C1348" i="26"/>
  <c r="BM1348" i="26"/>
  <c r="AP1348" i="26"/>
  <c r="BD1348" i="26"/>
  <c r="BE236" i="26"/>
  <c r="BV239" i="26"/>
  <c r="E1349" i="26" l="1"/>
  <c r="BV238" i="26"/>
  <c r="BE235" i="26"/>
  <c r="BC1349" i="26" l="1"/>
  <c r="AV1349" i="55" s="1"/>
  <c r="BN1349" i="26"/>
  <c r="BQ1349" i="26"/>
  <c r="BO1349" i="26"/>
  <c r="BR1349" i="26"/>
  <c r="AF1349" i="26"/>
  <c r="AS1349" i="26"/>
  <c r="A1349" i="26"/>
  <c r="AO1349" i="26"/>
  <c r="BL1349" i="26"/>
  <c r="B1349" i="26"/>
  <c r="R1349" i="26"/>
  <c r="P1349" i="26"/>
  <c r="BK1349" i="26"/>
  <c r="AR1349" i="26"/>
  <c r="AK1349" i="26"/>
  <c r="Q1349" i="26"/>
  <c r="H1349" i="26"/>
  <c r="BJ1349" i="26"/>
  <c r="T1349" i="26"/>
  <c r="I1349" i="26"/>
  <c r="S1349" i="26"/>
  <c r="V1349" i="26"/>
  <c r="AM1349" i="26"/>
  <c r="AP1349" i="26"/>
  <c r="O1349" i="26"/>
  <c r="AU1349" i="26"/>
  <c r="BI1349" i="26"/>
  <c r="AJ1349" i="26"/>
  <c r="N1349" i="26"/>
  <c r="M1349" i="26"/>
  <c r="BP1349" i="26"/>
  <c r="D1349" i="26"/>
  <c r="AV1349" i="26"/>
  <c r="L1349" i="26"/>
  <c r="K1349" i="26"/>
  <c r="AX1349" i="26"/>
  <c r="AW1349" i="26"/>
  <c r="AT1349" i="26"/>
  <c r="X1349" i="26"/>
  <c r="BM1349" i="26"/>
  <c r="BA1349" i="26"/>
  <c r="U1349" i="26"/>
  <c r="W1349" i="26"/>
  <c r="G1349" i="26"/>
  <c r="C1349" i="26"/>
  <c r="AY1349" i="26"/>
  <c r="BD1349" i="26"/>
  <c r="BE234" i="26"/>
  <c r="BV237" i="26"/>
  <c r="E1350" i="26" l="1"/>
  <c r="BE233" i="26"/>
  <c r="BV236" i="26"/>
  <c r="BC1350" i="26" l="1"/>
  <c r="AV1350" i="55" s="1"/>
  <c r="AK1350" i="26"/>
  <c r="BO1350" i="26"/>
  <c r="AJ1350" i="26"/>
  <c r="AO1350" i="26"/>
  <c r="AR1350" i="26"/>
  <c r="G1350" i="26"/>
  <c r="BM1350" i="26"/>
  <c r="AY1350" i="26"/>
  <c r="D1350" i="26"/>
  <c r="AT1350" i="26"/>
  <c r="BA1350" i="26"/>
  <c r="W1350" i="26"/>
  <c r="O1350" i="26"/>
  <c r="M1350" i="26"/>
  <c r="BK1350" i="26"/>
  <c r="K1350" i="26"/>
  <c r="AS1350" i="26"/>
  <c r="U1350" i="26"/>
  <c r="AM1350" i="26"/>
  <c r="S1350" i="26"/>
  <c r="V1350" i="26"/>
  <c r="AF1350" i="26"/>
  <c r="T1350" i="26"/>
  <c r="AU1350" i="26"/>
  <c r="BR1350" i="26"/>
  <c r="AW1350" i="26"/>
  <c r="R1350" i="26"/>
  <c r="BL1350" i="26"/>
  <c r="AP1350" i="26"/>
  <c r="A1350" i="26"/>
  <c r="B1350" i="26"/>
  <c r="P1350" i="26"/>
  <c r="Q1350" i="26"/>
  <c r="I1350" i="26"/>
  <c r="AX1350" i="26"/>
  <c r="H1350" i="26"/>
  <c r="BN1350" i="26"/>
  <c r="L1350" i="26"/>
  <c r="BI1350" i="26"/>
  <c r="BJ1350" i="26"/>
  <c r="N1350" i="26"/>
  <c r="BQ1350" i="26"/>
  <c r="AV1350" i="26"/>
  <c r="C1350" i="26"/>
  <c r="BP1350" i="26"/>
  <c r="X1350" i="26"/>
  <c r="BD1350" i="26"/>
  <c r="BV235" i="26"/>
  <c r="BE232" i="26"/>
  <c r="E1351" i="26" l="1"/>
  <c r="BV234" i="26"/>
  <c r="BE231" i="26"/>
  <c r="BC1351" i="26" l="1"/>
  <c r="AV1351" i="55" s="1"/>
  <c r="AY1351" i="26"/>
  <c r="BP1351" i="26"/>
  <c r="K1351" i="26"/>
  <c r="C1351" i="26"/>
  <c r="B1351" i="26"/>
  <c r="BK1351" i="26"/>
  <c r="V1351" i="26"/>
  <c r="H1351" i="26"/>
  <c r="A1351" i="26"/>
  <c r="BO1351" i="26"/>
  <c r="O1351" i="26"/>
  <c r="Q1351" i="26"/>
  <c r="R1351" i="26"/>
  <c r="W1351" i="26"/>
  <c r="AR1351" i="26"/>
  <c r="D1351" i="26"/>
  <c r="AM1351" i="26"/>
  <c r="P1351" i="26"/>
  <c r="BN1351" i="26"/>
  <c r="L1351" i="26"/>
  <c r="AF1351" i="26"/>
  <c r="BR1351" i="26"/>
  <c r="AW1351" i="26"/>
  <c r="BI1351" i="26"/>
  <c r="BJ1351" i="26"/>
  <c r="AP1351" i="26"/>
  <c r="AJ1351" i="26"/>
  <c r="BQ1351" i="26"/>
  <c r="AU1351" i="26"/>
  <c r="BL1351" i="26"/>
  <c r="BA1351" i="26"/>
  <c r="X1351" i="26"/>
  <c r="BM1351" i="26"/>
  <c r="AO1351" i="26"/>
  <c r="M1351" i="26"/>
  <c r="T1351" i="26"/>
  <c r="AX1351" i="26"/>
  <c r="AS1351" i="26"/>
  <c r="AT1351" i="26"/>
  <c r="AK1351" i="26"/>
  <c r="G1351" i="26"/>
  <c r="S1351" i="26"/>
  <c r="U1351" i="26"/>
  <c r="AV1351" i="26"/>
  <c r="I1351" i="26"/>
  <c r="N1351" i="26"/>
  <c r="BD1351" i="26"/>
  <c r="BE230" i="26"/>
  <c r="BV233" i="26"/>
  <c r="E1352" i="26" l="1"/>
  <c r="BV232" i="26"/>
  <c r="BE229" i="26"/>
  <c r="BC1352" i="26" l="1"/>
  <c r="AV1352" i="55" s="1"/>
  <c r="BI1352" i="26"/>
  <c r="AU1352" i="26"/>
  <c r="BJ1352" i="26"/>
  <c r="D1352" i="26"/>
  <c r="T1352" i="26"/>
  <c r="V1352" i="26"/>
  <c r="BK1352" i="26"/>
  <c r="AV1352" i="26"/>
  <c r="AP1352" i="26"/>
  <c r="AT1352" i="26"/>
  <c r="B1352" i="26"/>
  <c r="C1352" i="26"/>
  <c r="O1352" i="26"/>
  <c r="K1352" i="26"/>
  <c r="L1352" i="26"/>
  <c r="AR1352" i="26"/>
  <c r="BP1352" i="26"/>
  <c r="AM1352" i="26"/>
  <c r="AJ1352" i="26"/>
  <c r="S1352" i="26"/>
  <c r="AW1352" i="26"/>
  <c r="I1352" i="26"/>
  <c r="BN1352" i="26"/>
  <c r="H1352" i="26"/>
  <c r="BM1352" i="26"/>
  <c r="AK1352" i="26"/>
  <c r="Q1352" i="26"/>
  <c r="G1352" i="26"/>
  <c r="N1352" i="26"/>
  <c r="AX1352" i="26"/>
  <c r="M1352" i="26"/>
  <c r="P1352" i="26"/>
  <c r="BL1352" i="26"/>
  <c r="BR1352" i="26"/>
  <c r="A1352" i="26"/>
  <c r="BA1352" i="26"/>
  <c r="AO1352" i="26"/>
  <c r="W1352" i="26"/>
  <c r="BO1352" i="26"/>
  <c r="AF1352" i="26"/>
  <c r="AS1352" i="26"/>
  <c r="X1352" i="26"/>
  <c r="BQ1352" i="26"/>
  <c r="U1352" i="26"/>
  <c r="R1352" i="26"/>
  <c r="AY1352" i="26"/>
  <c r="BD1352" i="26"/>
  <c r="BE228" i="26"/>
  <c r="BV231" i="26"/>
  <c r="E1353" i="26" l="1"/>
  <c r="BV230" i="26"/>
  <c r="BE227" i="26"/>
  <c r="BC1353" i="26" l="1"/>
  <c r="AV1353" i="55" s="1"/>
  <c r="N1353" i="26"/>
  <c r="AS1353" i="26"/>
  <c r="BR1353" i="26"/>
  <c r="AW1353" i="26"/>
  <c r="AJ1353" i="26"/>
  <c r="BO1353" i="26"/>
  <c r="K1353" i="26"/>
  <c r="D1353" i="26"/>
  <c r="V1353" i="26"/>
  <c r="G1353" i="26"/>
  <c r="BL1353" i="26"/>
  <c r="M1353" i="26"/>
  <c r="I1353" i="26"/>
  <c r="BA1353" i="26"/>
  <c r="BP1353" i="26"/>
  <c r="BJ1353" i="26"/>
  <c r="AR1353" i="26"/>
  <c r="L1353" i="26"/>
  <c r="BQ1353" i="26"/>
  <c r="AT1353" i="26"/>
  <c r="C1353" i="26"/>
  <c r="W1353" i="26"/>
  <c r="O1353" i="26"/>
  <c r="BN1353" i="26"/>
  <c r="AP1353" i="26"/>
  <c r="BK1353" i="26"/>
  <c r="AU1353" i="26"/>
  <c r="BM1353" i="26"/>
  <c r="H1353" i="26"/>
  <c r="AY1353" i="26"/>
  <c r="AV1353" i="26"/>
  <c r="S1353" i="26"/>
  <c r="T1353" i="26"/>
  <c r="R1353" i="26"/>
  <c r="AF1353" i="26"/>
  <c r="B1353" i="26"/>
  <c r="BI1353" i="26"/>
  <c r="Q1353" i="26"/>
  <c r="A1353" i="26"/>
  <c r="AX1353" i="26"/>
  <c r="AK1353" i="26"/>
  <c r="X1353" i="26"/>
  <c r="AO1353" i="26"/>
  <c r="U1353" i="26"/>
  <c r="AM1353" i="26"/>
  <c r="P1353" i="26"/>
  <c r="BD1353" i="26"/>
  <c r="BE226" i="26"/>
  <c r="BV229" i="26"/>
  <c r="E1354" i="26" l="1"/>
  <c r="BV228" i="26"/>
  <c r="BE225" i="26"/>
  <c r="BC1354" i="26" l="1"/>
  <c r="AV1354" i="55" s="1"/>
  <c r="AM1354" i="26"/>
  <c r="I1354" i="26"/>
  <c r="AP1354" i="26"/>
  <c r="U1354" i="26"/>
  <c r="O1354" i="26"/>
  <c r="AT1354" i="26"/>
  <c r="P1354" i="26"/>
  <c r="G1354" i="26"/>
  <c r="AX1354" i="26"/>
  <c r="BA1354" i="26"/>
  <c r="M1354" i="26"/>
  <c r="X1354" i="26"/>
  <c r="K1354" i="26"/>
  <c r="AY1354" i="26"/>
  <c r="BI1354" i="26"/>
  <c r="AS1354" i="26"/>
  <c r="AO1354" i="26"/>
  <c r="BM1354" i="26"/>
  <c r="H1354" i="26"/>
  <c r="BJ1354" i="26"/>
  <c r="R1354" i="26"/>
  <c r="C1354" i="26"/>
  <c r="N1354" i="26"/>
  <c r="BP1354" i="26"/>
  <c r="W1354" i="26"/>
  <c r="BL1354" i="26"/>
  <c r="BN1354" i="26"/>
  <c r="Q1354" i="26"/>
  <c r="D1354" i="26"/>
  <c r="B1354" i="26"/>
  <c r="T1354" i="26"/>
  <c r="AK1354" i="26"/>
  <c r="AV1354" i="26"/>
  <c r="AW1354" i="26"/>
  <c r="BO1354" i="26"/>
  <c r="BQ1354" i="26"/>
  <c r="AR1354" i="26"/>
  <c r="AF1354" i="26"/>
  <c r="AJ1354" i="26"/>
  <c r="BK1354" i="26"/>
  <c r="V1354" i="26"/>
  <c r="BR1354" i="26"/>
  <c r="A1354" i="26"/>
  <c r="AU1354" i="26"/>
  <c r="S1354" i="26"/>
  <c r="L1354" i="26"/>
  <c r="BD1354" i="26"/>
  <c r="BE224" i="26"/>
  <c r="BV227" i="26"/>
  <c r="E1355" i="26" l="1"/>
  <c r="BV226" i="26"/>
  <c r="BE223" i="26"/>
  <c r="BC1355" i="26" l="1"/>
  <c r="AV1355" i="55" s="1"/>
  <c r="AV1355" i="26"/>
  <c r="N1355" i="26"/>
  <c r="BM1355" i="26"/>
  <c r="BP1355" i="26"/>
  <c r="G1355" i="26"/>
  <c r="Q1355" i="26"/>
  <c r="AT1355" i="26"/>
  <c r="AY1355" i="26"/>
  <c r="BR1355" i="26"/>
  <c r="BA1355" i="26"/>
  <c r="H1355" i="26"/>
  <c r="S1355" i="26"/>
  <c r="AP1355" i="26"/>
  <c r="AR1355" i="26"/>
  <c r="A1355" i="26"/>
  <c r="BJ1355" i="26"/>
  <c r="BO1355" i="26"/>
  <c r="K1355" i="26"/>
  <c r="BN1355" i="26"/>
  <c r="AU1355" i="26"/>
  <c r="BL1355" i="26"/>
  <c r="O1355" i="26"/>
  <c r="AF1355" i="26"/>
  <c r="AS1355" i="26"/>
  <c r="AK1355" i="26"/>
  <c r="P1355" i="26"/>
  <c r="AW1355" i="26"/>
  <c r="AJ1355" i="26"/>
  <c r="D1355" i="26"/>
  <c r="BI1355" i="26"/>
  <c r="B1355" i="26"/>
  <c r="T1355" i="26"/>
  <c r="BK1355" i="26"/>
  <c r="BQ1355" i="26"/>
  <c r="R1355" i="26"/>
  <c r="AX1355" i="26"/>
  <c r="M1355" i="26"/>
  <c r="AO1355" i="26"/>
  <c r="C1355" i="26"/>
  <c r="U1355" i="26"/>
  <c r="I1355" i="26"/>
  <c r="V1355" i="26"/>
  <c r="AM1355" i="26"/>
  <c r="L1355" i="26"/>
  <c r="X1355" i="26"/>
  <c r="W1355" i="26"/>
  <c r="BD1355" i="26"/>
  <c r="BE222" i="26"/>
  <c r="BV225" i="26"/>
  <c r="E1356" i="26" l="1"/>
  <c r="BV224" i="26"/>
  <c r="BE221" i="26"/>
  <c r="BC1356" i="26" l="1"/>
  <c r="AV1356" i="55" s="1"/>
  <c r="BA1356" i="26"/>
  <c r="BR1356" i="26"/>
  <c r="BN1356" i="26"/>
  <c r="BL1356" i="26"/>
  <c r="B1356" i="26"/>
  <c r="AT1356" i="26"/>
  <c r="H1356" i="26"/>
  <c r="T1356" i="26"/>
  <c r="I1356" i="26"/>
  <c r="L1356" i="26"/>
  <c r="W1356" i="26"/>
  <c r="M1356" i="26"/>
  <c r="AU1356" i="26"/>
  <c r="G1356" i="26"/>
  <c r="AR1356" i="26"/>
  <c r="U1356" i="26"/>
  <c r="BI1356" i="26"/>
  <c r="AM1356" i="26"/>
  <c r="P1356" i="26"/>
  <c r="N1356" i="26"/>
  <c r="AP1356" i="26"/>
  <c r="BM1356" i="26"/>
  <c r="K1356" i="26"/>
  <c r="AF1356" i="26"/>
  <c r="BJ1356" i="26"/>
  <c r="BO1356" i="26"/>
  <c r="X1356" i="26"/>
  <c r="S1356" i="26"/>
  <c r="BQ1356" i="26"/>
  <c r="AW1356" i="26"/>
  <c r="C1356" i="26"/>
  <c r="A1356" i="26"/>
  <c r="AY1356" i="26"/>
  <c r="BP1356" i="26"/>
  <c r="AV1356" i="26"/>
  <c r="AX1356" i="26"/>
  <c r="D1356" i="26"/>
  <c r="O1356" i="26"/>
  <c r="AK1356" i="26"/>
  <c r="AJ1356" i="26"/>
  <c r="V1356" i="26"/>
  <c r="AO1356" i="26"/>
  <c r="BK1356" i="26"/>
  <c r="R1356" i="26"/>
  <c r="Q1356" i="26"/>
  <c r="AS1356" i="26"/>
  <c r="BD1356" i="26"/>
  <c r="BE220" i="26"/>
  <c r="BV223" i="26"/>
  <c r="E1357" i="26" l="1"/>
  <c r="BV222" i="26"/>
  <c r="BE219" i="26"/>
  <c r="BC1357" i="26" l="1"/>
  <c r="AV1357" i="55" s="1"/>
  <c r="AP1357" i="26"/>
  <c r="AO1357" i="26"/>
  <c r="K1357" i="26"/>
  <c r="AY1357" i="26"/>
  <c r="BJ1357" i="26"/>
  <c r="AR1357" i="26"/>
  <c r="C1357" i="26"/>
  <c r="W1357" i="26"/>
  <c r="O1357" i="26"/>
  <c r="S1357" i="26"/>
  <c r="Q1357" i="26"/>
  <c r="AJ1357" i="26"/>
  <c r="BR1357" i="26"/>
  <c r="BO1357" i="26"/>
  <c r="BK1357" i="26"/>
  <c r="BM1357" i="26"/>
  <c r="D1357" i="26"/>
  <c r="A1357" i="26"/>
  <c r="AS1357" i="26"/>
  <c r="AT1357" i="26"/>
  <c r="AU1357" i="26"/>
  <c r="H1357" i="26"/>
  <c r="BQ1357" i="26"/>
  <c r="BI1357" i="26"/>
  <c r="I1357" i="26"/>
  <c r="T1357" i="26"/>
  <c r="X1357" i="26"/>
  <c r="BN1357" i="26"/>
  <c r="AK1357" i="26"/>
  <c r="M1357" i="26"/>
  <c r="G1357" i="26"/>
  <c r="P1357" i="26"/>
  <c r="R1357" i="26"/>
  <c r="AV1357" i="26"/>
  <c r="N1357" i="26"/>
  <c r="AM1357" i="26"/>
  <c r="BP1357" i="26"/>
  <c r="BA1357" i="26"/>
  <c r="BL1357" i="26"/>
  <c r="U1357" i="26"/>
  <c r="V1357" i="26"/>
  <c r="AF1357" i="26"/>
  <c r="L1357" i="26"/>
  <c r="AX1357" i="26"/>
  <c r="B1357" i="26"/>
  <c r="AW1357" i="26"/>
  <c r="BD1357" i="26"/>
  <c r="BE218" i="26"/>
  <c r="BV221" i="26"/>
  <c r="E1358" i="26" l="1"/>
  <c r="BV220" i="26"/>
  <c r="BE217" i="26"/>
  <c r="BC1358" i="26" l="1"/>
  <c r="AV1358" i="55" s="1"/>
  <c r="AJ1358" i="26"/>
  <c r="AW1358" i="26"/>
  <c r="AF1358" i="26"/>
  <c r="P1358" i="26"/>
  <c r="AM1358" i="26"/>
  <c r="C1358" i="26"/>
  <c r="AT1358" i="26"/>
  <c r="W1358" i="26"/>
  <c r="H1358" i="26"/>
  <c r="X1358" i="26"/>
  <c r="B1358" i="26"/>
  <c r="AY1358" i="26"/>
  <c r="BK1358" i="26"/>
  <c r="AR1358" i="26"/>
  <c r="AP1358" i="26"/>
  <c r="AV1358" i="26"/>
  <c r="BL1358" i="26"/>
  <c r="BQ1358" i="26"/>
  <c r="BN1358" i="26"/>
  <c r="G1358" i="26"/>
  <c r="O1358" i="26"/>
  <c r="N1358" i="26"/>
  <c r="AK1358" i="26"/>
  <c r="BP1358" i="26"/>
  <c r="BI1358" i="26"/>
  <c r="BR1358" i="26"/>
  <c r="AS1358" i="26"/>
  <c r="K1358" i="26"/>
  <c r="AX1358" i="26"/>
  <c r="BO1358" i="26"/>
  <c r="BM1358" i="26"/>
  <c r="R1358" i="26"/>
  <c r="AO1358" i="26"/>
  <c r="BJ1358" i="26"/>
  <c r="L1358" i="26"/>
  <c r="I1358" i="26"/>
  <c r="AU1358" i="26"/>
  <c r="D1358" i="26"/>
  <c r="T1358" i="26"/>
  <c r="M1358" i="26"/>
  <c r="S1358" i="26"/>
  <c r="V1358" i="26"/>
  <c r="BA1358" i="26"/>
  <c r="U1358" i="26"/>
  <c r="A1358" i="26"/>
  <c r="Q1358" i="26"/>
  <c r="BD1358" i="26"/>
  <c r="BE216" i="26"/>
  <c r="BV219" i="26"/>
  <c r="E1359" i="26" l="1"/>
  <c r="BE215" i="26"/>
  <c r="BV218" i="26"/>
  <c r="BC1359" i="26" l="1"/>
  <c r="AV1359" i="55" s="1"/>
  <c r="AO1359" i="26"/>
  <c r="BK1359" i="26"/>
  <c r="AX1359" i="26"/>
  <c r="BN1359" i="26"/>
  <c r="AT1359" i="26"/>
  <c r="H1359" i="26"/>
  <c r="W1359" i="26"/>
  <c r="C1359" i="26"/>
  <c r="O1359" i="26"/>
  <c r="AS1359" i="26"/>
  <c r="P1359" i="26"/>
  <c r="U1359" i="26"/>
  <c r="BL1359" i="26"/>
  <c r="AF1359" i="26"/>
  <c r="X1359" i="26"/>
  <c r="T1359" i="26"/>
  <c r="M1359" i="26"/>
  <c r="AM1359" i="26"/>
  <c r="AR1359" i="26"/>
  <c r="BR1359" i="26"/>
  <c r="BI1359" i="26"/>
  <c r="AV1359" i="26"/>
  <c r="BO1359" i="26"/>
  <c r="R1359" i="26"/>
  <c r="B1359" i="26"/>
  <c r="AU1359" i="26"/>
  <c r="AK1359" i="26"/>
  <c r="BJ1359" i="26"/>
  <c r="BP1359" i="26"/>
  <c r="Q1359" i="26"/>
  <c r="S1359" i="26"/>
  <c r="BA1359" i="26"/>
  <c r="AW1359" i="26"/>
  <c r="BQ1359" i="26"/>
  <c r="AJ1359" i="26"/>
  <c r="A1359" i="26"/>
  <c r="K1359" i="26"/>
  <c r="L1359" i="26"/>
  <c r="I1359" i="26"/>
  <c r="AP1359" i="26"/>
  <c r="BM1359" i="26"/>
  <c r="V1359" i="26"/>
  <c r="G1359" i="26"/>
  <c r="N1359" i="26"/>
  <c r="D1359" i="26"/>
  <c r="AY1359" i="26"/>
  <c r="BD1359" i="26"/>
  <c r="BV217" i="26"/>
  <c r="BE214" i="26"/>
  <c r="E1360" i="26" l="1"/>
  <c r="BE213" i="26"/>
  <c r="BV216" i="26"/>
  <c r="BC1360" i="26" l="1"/>
  <c r="AV1360" i="55" s="1"/>
  <c r="BK1360" i="26"/>
  <c r="D1360" i="26"/>
  <c r="O1360" i="26"/>
  <c r="S1360" i="26"/>
  <c r="AX1360" i="26"/>
  <c r="AF1360" i="26"/>
  <c r="AS1360" i="26"/>
  <c r="AP1360" i="26"/>
  <c r="G1360" i="26"/>
  <c r="BP1360" i="26"/>
  <c r="AO1360" i="26"/>
  <c r="N1360" i="26"/>
  <c r="C1360" i="26"/>
  <c r="I1360" i="26"/>
  <c r="P1360" i="26"/>
  <c r="AU1360" i="26"/>
  <c r="B1360" i="26"/>
  <c r="K1360" i="26"/>
  <c r="BJ1360" i="26"/>
  <c r="L1360" i="26"/>
  <c r="BO1360" i="26"/>
  <c r="BI1360" i="26"/>
  <c r="AT1360" i="26"/>
  <c r="BL1360" i="26"/>
  <c r="AK1360" i="26"/>
  <c r="BA1360" i="26"/>
  <c r="AJ1360" i="26"/>
  <c r="BR1360" i="26"/>
  <c r="AY1360" i="26"/>
  <c r="BN1360" i="26"/>
  <c r="Q1360" i="26"/>
  <c r="AR1360" i="26"/>
  <c r="AM1360" i="26"/>
  <c r="W1360" i="26"/>
  <c r="AV1360" i="26"/>
  <c r="R1360" i="26"/>
  <c r="T1360" i="26"/>
  <c r="BM1360" i="26"/>
  <c r="H1360" i="26"/>
  <c r="A1360" i="26"/>
  <c r="X1360" i="26"/>
  <c r="V1360" i="26"/>
  <c r="M1360" i="26"/>
  <c r="AW1360" i="26"/>
  <c r="BQ1360" i="26"/>
  <c r="U1360" i="26"/>
  <c r="BD1360" i="26"/>
  <c r="BV215" i="26"/>
  <c r="BE212" i="26"/>
  <c r="E1361" i="26" l="1"/>
  <c r="BV214" i="26"/>
  <c r="BE211" i="26"/>
  <c r="BC1361" i="26" l="1"/>
  <c r="AV1361" i="55" s="1"/>
  <c r="AV1361" i="26"/>
  <c r="L1361" i="26"/>
  <c r="A1361" i="26"/>
  <c r="BO1361" i="26"/>
  <c r="P1361" i="26"/>
  <c r="BP1361" i="26"/>
  <c r="T1361" i="26"/>
  <c r="BN1361" i="26"/>
  <c r="C1361" i="26"/>
  <c r="AP1361" i="26"/>
  <c r="BM1361" i="26"/>
  <c r="BR1361" i="26"/>
  <c r="W1361" i="26"/>
  <c r="K1361" i="26"/>
  <c r="G1361" i="26"/>
  <c r="Q1361" i="26"/>
  <c r="O1361" i="26"/>
  <c r="BA1361" i="26"/>
  <c r="AS1361" i="26"/>
  <c r="S1361" i="26"/>
  <c r="U1361" i="26"/>
  <c r="AT1361" i="26"/>
  <c r="AF1361" i="26"/>
  <c r="BK1361" i="26"/>
  <c r="N1361" i="26"/>
  <c r="B1361" i="26"/>
  <c r="AO1361" i="26"/>
  <c r="AU1361" i="26"/>
  <c r="AX1361" i="26"/>
  <c r="AK1361" i="26"/>
  <c r="AR1361" i="26"/>
  <c r="AW1361" i="26"/>
  <c r="AM1361" i="26"/>
  <c r="I1361" i="26"/>
  <c r="BJ1361" i="26"/>
  <c r="BL1361" i="26"/>
  <c r="AY1361" i="26"/>
  <c r="BI1361" i="26"/>
  <c r="M1361" i="26"/>
  <c r="V1361" i="26"/>
  <c r="R1361" i="26"/>
  <c r="D1361" i="26"/>
  <c r="X1361" i="26"/>
  <c r="H1361" i="26"/>
  <c r="BQ1361" i="26"/>
  <c r="AJ1361" i="26"/>
  <c r="BD1361" i="26"/>
  <c r="BE210" i="26"/>
  <c r="BV213" i="26"/>
  <c r="E1362" i="26" l="1"/>
  <c r="BV212" i="26"/>
  <c r="BE209" i="26"/>
  <c r="BC1362" i="26" l="1"/>
  <c r="AV1362" i="55" s="1"/>
  <c r="M1362" i="26"/>
  <c r="BL1362" i="26"/>
  <c r="AU1362" i="26"/>
  <c r="BP1362" i="26"/>
  <c r="AW1362" i="26"/>
  <c r="AV1362" i="26"/>
  <c r="X1362" i="26"/>
  <c r="AP1362" i="26"/>
  <c r="N1362" i="26"/>
  <c r="AO1362" i="26"/>
  <c r="B1362" i="26"/>
  <c r="AT1362" i="26"/>
  <c r="H1362" i="26"/>
  <c r="BM1362" i="26"/>
  <c r="Q1362" i="26"/>
  <c r="AF1362" i="26"/>
  <c r="O1362" i="26"/>
  <c r="K1362" i="26"/>
  <c r="I1362" i="26"/>
  <c r="L1362" i="26"/>
  <c r="AX1362" i="26"/>
  <c r="C1362" i="26"/>
  <c r="V1362" i="26"/>
  <c r="BO1362" i="26"/>
  <c r="BA1362" i="26"/>
  <c r="P1362" i="26"/>
  <c r="AJ1362" i="26"/>
  <c r="BR1362" i="26"/>
  <c r="AK1362" i="26"/>
  <c r="BN1362" i="26"/>
  <c r="U1362" i="26"/>
  <c r="BQ1362" i="26"/>
  <c r="D1362" i="26"/>
  <c r="A1362" i="26"/>
  <c r="S1362" i="26"/>
  <c r="AY1362" i="26"/>
  <c r="AM1362" i="26"/>
  <c r="BK1362" i="26"/>
  <c r="G1362" i="26"/>
  <c r="AR1362" i="26"/>
  <c r="BI1362" i="26"/>
  <c r="BJ1362" i="26"/>
  <c r="T1362" i="26"/>
  <c r="W1362" i="26"/>
  <c r="AS1362" i="26"/>
  <c r="R1362" i="26"/>
  <c r="BD1362" i="26"/>
  <c r="BE208" i="26"/>
  <c r="BV211" i="26"/>
  <c r="E1363" i="26" l="1"/>
  <c r="BV210" i="26"/>
  <c r="BE207" i="26"/>
  <c r="BC1363" i="26" l="1"/>
  <c r="AV1363" i="55" s="1"/>
  <c r="D1363" i="26"/>
  <c r="AT1363" i="26"/>
  <c r="AJ1363" i="26"/>
  <c r="X1363" i="26"/>
  <c r="AS1363" i="26"/>
  <c r="BK1363" i="26"/>
  <c r="AO1363" i="26"/>
  <c r="AM1363" i="26"/>
  <c r="V1363" i="26"/>
  <c r="I1363" i="26"/>
  <c r="BP1363" i="26"/>
  <c r="BR1363" i="26"/>
  <c r="A1363" i="26"/>
  <c r="BJ1363" i="26"/>
  <c r="O1363" i="26"/>
  <c r="C1363" i="26"/>
  <c r="BQ1363" i="26"/>
  <c r="BI1363" i="26"/>
  <c r="AW1363" i="26"/>
  <c r="N1363" i="26"/>
  <c r="M1363" i="26"/>
  <c r="AF1363" i="26"/>
  <c r="R1363" i="26"/>
  <c r="T1363" i="26"/>
  <c r="AK1363" i="26"/>
  <c r="H1363" i="26"/>
  <c r="AX1363" i="26"/>
  <c r="G1363" i="26"/>
  <c r="Q1363" i="26"/>
  <c r="B1363" i="26"/>
  <c r="BO1363" i="26"/>
  <c r="BM1363" i="26"/>
  <c r="AV1363" i="26"/>
  <c r="BL1363" i="26"/>
  <c r="L1363" i="26"/>
  <c r="BN1363" i="26"/>
  <c r="AU1363" i="26"/>
  <c r="AR1363" i="26"/>
  <c r="AY1363" i="26"/>
  <c r="W1363" i="26"/>
  <c r="P1363" i="26"/>
  <c r="U1363" i="26"/>
  <c r="S1363" i="26"/>
  <c r="AP1363" i="26"/>
  <c r="BA1363" i="26"/>
  <c r="K1363" i="26"/>
  <c r="BD1363" i="26"/>
  <c r="BE206" i="26"/>
  <c r="BV209" i="26"/>
  <c r="E1364" i="26" l="1"/>
  <c r="BV208" i="26"/>
  <c r="BE205" i="26"/>
  <c r="BC1364" i="26" l="1"/>
  <c r="AV1364" i="55" s="1"/>
  <c r="AV1364" i="26"/>
  <c r="T1364" i="26"/>
  <c r="BM1364" i="26"/>
  <c r="W1364" i="26"/>
  <c r="A1364" i="26"/>
  <c r="AK1364" i="26"/>
  <c r="K1364" i="26"/>
  <c r="AY1364" i="26"/>
  <c r="AF1364" i="26"/>
  <c r="Q1364" i="26"/>
  <c r="BN1364" i="26"/>
  <c r="X1364" i="26"/>
  <c r="D1364" i="26"/>
  <c r="BR1364" i="26"/>
  <c r="M1364" i="26"/>
  <c r="BA1364" i="26"/>
  <c r="R1364" i="26"/>
  <c r="I1364" i="26"/>
  <c r="BO1364" i="26"/>
  <c r="V1364" i="26"/>
  <c r="AJ1364" i="26"/>
  <c r="AU1364" i="26"/>
  <c r="C1364" i="26"/>
  <c r="AR1364" i="26"/>
  <c r="BK1364" i="26"/>
  <c r="AS1364" i="26"/>
  <c r="U1364" i="26"/>
  <c r="BP1364" i="26"/>
  <c r="O1364" i="26"/>
  <c r="H1364" i="26"/>
  <c r="L1364" i="26"/>
  <c r="BI1364" i="26"/>
  <c r="N1364" i="26"/>
  <c r="AO1364" i="26"/>
  <c r="B1364" i="26"/>
  <c r="BJ1364" i="26"/>
  <c r="P1364" i="26"/>
  <c r="G1364" i="26"/>
  <c r="AW1364" i="26"/>
  <c r="AX1364" i="26"/>
  <c r="AT1364" i="26"/>
  <c r="S1364" i="26"/>
  <c r="BL1364" i="26"/>
  <c r="AP1364" i="26"/>
  <c r="AM1364" i="26"/>
  <c r="BQ1364" i="26"/>
  <c r="BD1364" i="26"/>
  <c r="BE204" i="26"/>
  <c r="BV207" i="26"/>
  <c r="E1365" i="26" l="1"/>
  <c r="BV206" i="26"/>
  <c r="BE203" i="26"/>
  <c r="BC1365" i="26" l="1"/>
  <c r="AV1365" i="55" s="1"/>
  <c r="C1365" i="26"/>
  <c r="BL1365" i="26"/>
  <c r="S1365" i="26"/>
  <c r="AM1365" i="26"/>
  <c r="P1365" i="26"/>
  <c r="AK1365" i="26"/>
  <c r="G1365" i="26"/>
  <c r="BM1365" i="26"/>
  <c r="W1365" i="26"/>
  <c r="U1365" i="26"/>
  <c r="BJ1365" i="26"/>
  <c r="BP1365" i="26"/>
  <c r="D1365" i="26"/>
  <c r="N1365" i="26"/>
  <c r="AX1365" i="26"/>
  <c r="AU1365" i="26"/>
  <c r="BK1365" i="26"/>
  <c r="K1365" i="26"/>
  <c r="AR1365" i="26"/>
  <c r="AJ1365" i="26"/>
  <c r="AW1365" i="26"/>
  <c r="AO1365" i="26"/>
  <c r="A1365" i="26"/>
  <c r="BI1365" i="26"/>
  <c r="T1365" i="26"/>
  <c r="AP1365" i="26"/>
  <c r="Q1365" i="26"/>
  <c r="X1365" i="26"/>
  <c r="BO1365" i="26"/>
  <c r="AT1365" i="26"/>
  <c r="AV1365" i="26"/>
  <c r="BR1365" i="26"/>
  <c r="BN1365" i="26"/>
  <c r="O1365" i="26"/>
  <c r="AF1365" i="26"/>
  <c r="R1365" i="26"/>
  <c r="H1365" i="26"/>
  <c r="M1365" i="26"/>
  <c r="AY1365" i="26"/>
  <c r="V1365" i="26"/>
  <c r="AS1365" i="26"/>
  <c r="BQ1365" i="26"/>
  <c r="B1365" i="26"/>
  <c r="L1365" i="26"/>
  <c r="I1365" i="26"/>
  <c r="BA1365" i="26"/>
  <c r="BD1365" i="26"/>
  <c r="BE202" i="26"/>
  <c r="BV205" i="26"/>
  <c r="E1366" i="26" l="1"/>
  <c r="BV204" i="26"/>
  <c r="BE201" i="26"/>
  <c r="BC1366" i="26" l="1"/>
  <c r="AV1366" i="55" s="1"/>
  <c r="X1366" i="26"/>
  <c r="W1366" i="26"/>
  <c r="AY1366" i="26"/>
  <c r="AV1366" i="26"/>
  <c r="N1366" i="26"/>
  <c r="C1366" i="26"/>
  <c r="BR1366" i="26"/>
  <c r="AP1366" i="26"/>
  <c r="BO1366" i="26"/>
  <c r="L1366" i="26"/>
  <c r="AR1366" i="26"/>
  <c r="BJ1366" i="26"/>
  <c r="H1366" i="26"/>
  <c r="AF1366" i="26"/>
  <c r="A1366" i="26"/>
  <c r="D1366" i="26"/>
  <c r="T1366" i="26"/>
  <c r="G1366" i="26"/>
  <c r="U1366" i="26"/>
  <c r="AO1366" i="26"/>
  <c r="AT1366" i="26"/>
  <c r="BL1366" i="26"/>
  <c r="I1366" i="26"/>
  <c r="AJ1366" i="26"/>
  <c r="K1366" i="26"/>
  <c r="BA1366" i="26"/>
  <c r="BN1366" i="26"/>
  <c r="BP1366" i="26"/>
  <c r="BM1366" i="26"/>
  <c r="R1366" i="26"/>
  <c r="Q1366" i="26"/>
  <c r="P1366" i="26"/>
  <c r="BI1366" i="26"/>
  <c r="M1366" i="26"/>
  <c r="B1366" i="26"/>
  <c r="AX1366" i="26"/>
  <c r="AS1366" i="26"/>
  <c r="O1366" i="26"/>
  <c r="BQ1366" i="26"/>
  <c r="AW1366" i="26"/>
  <c r="AM1366" i="26"/>
  <c r="V1366" i="26"/>
  <c r="BK1366" i="26"/>
  <c r="AU1366" i="26"/>
  <c r="AK1366" i="26"/>
  <c r="S1366" i="26"/>
  <c r="BD1366" i="26"/>
  <c r="BE200" i="26"/>
  <c r="BV203" i="26"/>
  <c r="E1367" i="26" l="1"/>
  <c r="BV202" i="26"/>
  <c r="BE199" i="26"/>
  <c r="BC1367" i="26" l="1"/>
  <c r="AV1367" i="55" s="1"/>
  <c r="AY1367" i="26"/>
  <c r="N1367" i="26"/>
  <c r="BK1367" i="26"/>
  <c r="U1367" i="26"/>
  <c r="P1367" i="26"/>
  <c r="C1367" i="26"/>
  <c r="BI1367" i="26"/>
  <c r="M1367" i="26"/>
  <c r="V1367" i="26"/>
  <c r="Q1367" i="26"/>
  <c r="AS1367" i="26"/>
  <c r="BA1367" i="26"/>
  <c r="AJ1367" i="26"/>
  <c r="BM1367" i="26"/>
  <c r="AW1367" i="26"/>
  <c r="R1367" i="26"/>
  <c r="AV1367" i="26"/>
  <c r="X1367" i="26"/>
  <c r="D1367" i="26"/>
  <c r="H1367" i="26"/>
  <c r="AM1367" i="26"/>
  <c r="AX1367" i="26"/>
  <c r="O1367" i="26"/>
  <c r="AF1367" i="26"/>
  <c r="K1367" i="26"/>
  <c r="I1367" i="26"/>
  <c r="BL1367" i="26"/>
  <c r="AU1367" i="26"/>
  <c r="BP1367" i="26"/>
  <c r="BN1367" i="26"/>
  <c r="L1367" i="26"/>
  <c r="G1367" i="26"/>
  <c r="AR1367" i="26"/>
  <c r="BR1367" i="26"/>
  <c r="AK1367" i="26"/>
  <c r="B1367" i="26"/>
  <c r="AT1367" i="26"/>
  <c r="T1367" i="26"/>
  <c r="BO1367" i="26"/>
  <c r="A1367" i="26"/>
  <c r="W1367" i="26"/>
  <c r="BQ1367" i="26"/>
  <c r="AP1367" i="26"/>
  <c r="S1367" i="26"/>
  <c r="AO1367" i="26"/>
  <c r="BJ1367" i="26"/>
  <c r="BD1367" i="26"/>
  <c r="BE198" i="26"/>
  <c r="BV201" i="26"/>
  <c r="E1368" i="26" l="1"/>
  <c r="BV200" i="26"/>
  <c r="BE197" i="26"/>
  <c r="BC1368" i="26" l="1"/>
  <c r="AV1368" i="55" s="1"/>
  <c r="AM1368" i="26"/>
  <c r="AP1368" i="26"/>
  <c r="A1368" i="26"/>
  <c r="C1368" i="26"/>
  <c r="AY1368" i="26"/>
  <c r="K1368" i="26"/>
  <c r="G1368" i="26"/>
  <c r="BM1368" i="26"/>
  <c r="T1368" i="26"/>
  <c r="BO1368" i="26"/>
  <c r="BQ1368" i="26"/>
  <c r="BL1368" i="26"/>
  <c r="W1368" i="26"/>
  <c r="BA1368" i="26"/>
  <c r="R1368" i="26"/>
  <c r="I1368" i="26"/>
  <c r="AS1368" i="26"/>
  <c r="AF1368" i="26"/>
  <c r="BP1368" i="26"/>
  <c r="Q1368" i="26"/>
  <c r="BR1368" i="26"/>
  <c r="AV1368" i="26"/>
  <c r="AK1368" i="26"/>
  <c r="AW1368" i="26"/>
  <c r="L1368" i="26"/>
  <c r="S1368" i="26"/>
  <c r="BJ1368" i="26"/>
  <c r="AO1368" i="26"/>
  <c r="B1368" i="26"/>
  <c r="H1368" i="26"/>
  <c r="U1368" i="26"/>
  <c r="M1368" i="26"/>
  <c r="AJ1368" i="26"/>
  <c r="D1368" i="26"/>
  <c r="X1368" i="26"/>
  <c r="AX1368" i="26"/>
  <c r="BI1368" i="26"/>
  <c r="BK1368" i="26"/>
  <c r="O1368" i="26"/>
  <c r="AT1368" i="26"/>
  <c r="AU1368" i="26"/>
  <c r="V1368" i="26"/>
  <c r="P1368" i="26"/>
  <c r="BN1368" i="26"/>
  <c r="N1368" i="26"/>
  <c r="AR1368" i="26"/>
  <c r="BD1368" i="26"/>
  <c r="BE196" i="26"/>
  <c r="BV199" i="26"/>
  <c r="E1369" i="26" l="1"/>
  <c r="BV198" i="26"/>
  <c r="BE195" i="26"/>
  <c r="BC1369" i="26" l="1"/>
  <c r="AV1369" i="55" s="1"/>
  <c r="BJ1369" i="26"/>
  <c r="AK1369" i="26"/>
  <c r="BO1369" i="26"/>
  <c r="AX1369" i="26"/>
  <c r="AJ1369" i="26"/>
  <c r="AO1369" i="26"/>
  <c r="BQ1369" i="26"/>
  <c r="D1369" i="26"/>
  <c r="BI1369" i="26"/>
  <c r="BM1369" i="26"/>
  <c r="M1369" i="26"/>
  <c r="B1369" i="26"/>
  <c r="AR1369" i="26"/>
  <c r="AS1369" i="26"/>
  <c r="N1369" i="26"/>
  <c r="R1369" i="26"/>
  <c r="AU1369" i="26"/>
  <c r="T1369" i="26"/>
  <c r="BP1369" i="26"/>
  <c r="S1369" i="26"/>
  <c r="AF1369" i="26"/>
  <c r="C1369" i="26"/>
  <c r="AT1369" i="26"/>
  <c r="I1369" i="26"/>
  <c r="V1369" i="26"/>
  <c r="H1369" i="26"/>
  <c r="BK1369" i="26"/>
  <c r="X1369" i="26"/>
  <c r="A1369" i="26"/>
  <c r="G1369" i="26"/>
  <c r="K1369" i="26"/>
  <c r="W1369" i="26"/>
  <c r="U1369" i="26"/>
  <c r="AY1369" i="26"/>
  <c r="BA1369" i="26"/>
  <c r="P1369" i="26"/>
  <c r="BR1369" i="26"/>
  <c r="AP1369" i="26"/>
  <c r="AV1369" i="26"/>
  <c r="BL1369" i="26"/>
  <c r="L1369" i="26"/>
  <c r="BN1369" i="26"/>
  <c r="Q1369" i="26"/>
  <c r="AW1369" i="26"/>
  <c r="AM1369" i="26"/>
  <c r="O1369" i="26"/>
  <c r="BD1369" i="26"/>
  <c r="BE194" i="26"/>
  <c r="BV197" i="26"/>
  <c r="E1370" i="26" l="1"/>
  <c r="BV196" i="26"/>
  <c r="BE193" i="26"/>
  <c r="BC1370" i="26" l="1"/>
  <c r="AV1370" i="55" s="1"/>
  <c r="BO1370" i="26"/>
  <c r="C1370" i="26"/>
  <c r="AM1370" i="26"/>
  <c r="O1370" i="26"/>
  <c r="S1370" i="26"/>
  <c r="D1370" i="26"/>
  <c r="AP1370" i="26"/>
  <c r="BL1370" i="26"/>
  <c r="R1370" i="26"/>
  <c r="AY1370" i="26"/>
  <c r="AX1370" i="26"/>
  <c r="BK1370" i="26"/>
  <c r="AW1370" i="26"/>
  <c r="AU1370" i="26"/>
  <c r="AF1370" i="26"/>
  <c r="BQ1370" i="26"/>
  <c r="H1370" i="26"/>
  <c r="T1370" i="26"/>
  <c r="AK1370" i="26"/>
  <c r="AS1370" i="26"/>
  <c r="G1370" i="26"/>
  <c r="BR1370" i="26"/>
  <c r="P1370" i="26"/>
  <c r="X1370" i="26"/>
  <c r="L1370" i="26"/>
  <c r="BM1370" i="26"/>
  <c r="B1370" i="26"/>
  <c r="AR1370" i="26"/>
  <c r="BA1370" i="26"/>
  <c r="M1370" i="26"/>
  <c r="BP1370" i="26"/>
  <c r="AT1370" i="26"/>
  <c r="K1370" i="26"/>
  <c r="W1370" i="26"/>
  <c r="I1370" i="26"/>
  <c r="U1370" i="26"/>
  <c r="Q1370" i="26"/>
  <c r="AJ1370" i="26"/>
  <c r="AV1370" i="26"/>
  <c r="BN1370" i="26"/>
  <c r="N1370" i="26"/>
  <c r="V1370" i="26"/>
  <c r="A1370" i="26"/>
  <c r="AO1370" i="26"/>
  <c r="BJ1370" i="26"/>
  <c r="BI1370" i="26"/>
  <c r="BD1370" i="26"/>
  <c r="BE192" i="26"/>
  <c r="BV195" i="26"/>
  <c r="E1371" i="26" l="1"/>
  <c r="BV194" i="26"/>
  <c r="BE191" i="26"/>
  <c r="BC1371" i="26" l="1"/>
  <c r="AV1371" i="55" s="1"/>
  <c r="AJ1371" i="26"/>
  <c r="N1371" i="26"/>
  <c r="L1371" i="26"/>
  <c r="AX1371" i="26"/>
  <c r="AF1371" i="26"/>
  <c r="BK1371" i="26"/>
  <c r="BN1371" i="26"/>
  <c r="BM1371" i="26"/>
  <c r="T1371" i="26"/>
  <c r="BI1371" i="26"/>
  <c r="O1371" i="26"/>
  <c r="W1371" i="26"/>
  <c r="AW1371" i="26"/>
  <c r="BJ1371" i="26"/>
  <c r="AT1371" i="26"/>
  <c r="AR1371" i="26"/>
  <c r="U1371" i="26"/>
  <c r="BO1371" i="26"/>
  <c r="K1371" i="26"/>
  <c r="C1371" i="26"/>
  <c r="AP1371" i="26"/>
  <c r="AY1371" i="26"/>
  <c r="AU1371" i="26"/>
  <c r="H1371" i="26"/>
  <c r="B1371" i="26"/>
  <c r="AO1371" i="26"/>
  <c r="AM1371" i="26"/>
  <c r="BL1371" i="26"/>
  <c r="S1371" i="26"/>
  <c r="I1371" i="26"/>
  <c r="BQ1371" i="26"/>
  <c r="G1371" i="26"/>
  <c r="BP1371" i="26"/>
  <c r="R1371" i="26"/>
  <c r="BA1371" i="26"/>
  <c r="M1371" i="26"/>
  <c r="X1371" i="26"/>
  <c r="AS1371" i="26"/>
  <c r="A1371" i="26"/>
  <c r="AK1371" i="26"/>
  <c r="V1371" i="26"/>
  <c r="P1371" i="26"/>
  <c r="BR1371" i="26"/>
  <c r="D1371" i="26"/>
  <c r="Q1371" i="26"/>
  <c r="AV1371" i="26"/>
  <c r="BD1371" i="26"/>
  <c r="BE190" i="26"/>
  <c r="BV193" i="26"/>
  <c r="E1372" i="26" l="1"/>
  <c r="BV192" i="26"/>
  <c r="BE189" i="26"/>
  <c r="BC1372" i="26" l="1"/>
  <c r="AV1372" i="55" s="1"/>
  <c r="S1372" i="26"/>
  <c r="K1372" i="26"/>
  <c r="AS1372" i="26"/>
  <c r="BP1372" i="26"/>
  <c r="V1372" i="26"/>
  <c r="AV1372" i="26"/>
  <c r="L1372" i="26"/>
  <c r="BJ1372" i="26"/>
  <c r="A1372" i="26"/>
  <c r="D1372" i="26"/>
  <c r="AF1372" i="26"/>
  <c r="AR1372" i="26"/>
  <c r="AJ1372" i="26"/>
  <c r="P1372" i="26"/>
  <c r="AO1372" i="26"/>
  <c r="AU1372" i="26"/>
  <c r="BO1372" i="26"/>
  <c r="BN1372" i="26"/>
  <c r="BK1372" i="26"/>
  <c r="G1372" i="26"/>
  <c r="AY1372" i="26"/>
  <c r="AW1372" i="26"/>
  <c r="N1372" i="26"/>
  <c r="BA1372" i="26"/>
  <c r="AT1372" i="26"/>
  <c r="BI1372" i="26"/>
  <c r="AM1372" i="26"/>
  <c r="T1372" i="26"/>
  <c r="BQ1372" i="26"/>
  <c r="Q1372" i="26"/>
  <c r="H1372" i="26"/>
  <c r="AX1372" i="26"/>
  <c r="R1372" i="26"/>
  <c r="C1372" i="26"/>
  <c r="AK1372" i="26"/>
  <c r="B1372" i="26"/>
  <c r="X1372" i="26"/>
  <c r="M1372" i="26"/>
  <c r="I1372" i="26"/>
  <c r="AP1372" i="26"/>
  <c r="U1372" i="26"/>
  <c r="BM1372" i="26"/>
  <c r="BL1372" i="26"/>
  <c r="O1372" i="26"/>
  <c r="W1372" i="26"/>
  <c r="BR1372" i="26"/>
  <c r="BD1372" i="26"/>
  <c r="BE188" i="26"/>
  <c r="BV191" i="26"/>
  <c r="E1373" i="26" l="1"/>
  <c r="BV190" i="26"/>
  <c r="BE187" i="26"/>
  <c r="BC1373" i="26" l="1"/>
  <c r="AV1373" i="55" s="1"/>
  <c r="A1373" i="26"/>
  <c r="BP1373" i="26"/>
  <c r="AJ1373" i="26"/>
  <c r="BO1373" i="26"/>
  <c r="AM1373" i="26"/>
  <c r="S1373" i="26"/>
  <c r="AS1373" i="26"/>
  <c r="P1373" i="26"/>
  <c r="B1373" i="26"/>
  <c r="I1373" i="26"/>
  <c r="BI1373" i="26"/>
  <c r="D1373" i="26"/>
  <c r="AR1373" i="26"/>
  <c r="AP1373" i="26"/>
  <c r="O1373" i="26"/>
  <c r="R1373" i="26"/>
  <c r="U1373" i="26"/>
  <c r="AV1373" i="26"/>
  <c r="AY1373" i="26"/>
  <c r="N1373" i="26"/>
  <c r="X1373" i="26"/>
  <c r="V1373" i="26"/>
  <c r="AK1373" i="26"/>
  <c r="G1373" i="26"/>
  <c r="BQ1373" i="26"/>
  <c r="AF1373" i="26"/>
  <c r="Q1373" i="26"/>
  <c r="AU1373" i="26"/>
  <c r="BK1373" i="26"/>
  <c r="C1373" i="26"/>
  <c r="T1373" i="26"/>
  <c r="BN1373" i="26"/>
  <c r="M1373" i="26"/>
  <c r="AW1373" i="26"/>
  <c r="W1373" i="26"/>
  <c r="H1373" i="26"/>
  <c r="BL1373" i="26"/>
  <c r="BJ1373" i="26"/>
  <c r="AT1373" i="26"/>
  <c r="BM1373" i="26"/>
  <c r="AX1373" i="26"/>
  <c r="K1373" i="26"/>
  <c r="BA1373" i="26"/>
  <c r="AO1373" i="26"/>
  <c r="L1373" i="26"/>
  <c r="BR1373" i="26"/>
  <c r="BD1373" i="26"/>
  <c r="BE186" i="26"/>
  <c r="BV189" i="26"/>
  <c r="E1374" i="26" l="1"/>
  <c r="BE185" i="26"/>
  <c r="BV188" i="26"/>
  <c r="BC1374" i="26" l="1"/>
  <c r="AV1374" i="55" s="1"/>
  <c r="BL1374" i="26"/>
  <c r="AX1374" i="26"/>
  <c r="AO1374" i="26"/>
  <c r="V1374" i="26"/>
  <c r="AF1374" i="26"/>
  <c r="AW1374" i="26"/>
  <c r="BM1374" i="26"/>
  <c r="AK1374" i="26"/>
  <c r="AM1374" i="26"/>
  <c r="R1374" i="26"/>
  <c r="P1374" i="26"/>
  <c r="S1374" i="26"/>
  <c r="BO1374" i="26"/>
  <c r="L1374" i="26"/>
  <c r="AT1374" i="26"/>
  <c r="G1374" i="26"/>
  <c r="AV1374" i="26"/>
  <c r="B1374" i="26"/>
  <c r="AR1374" i="26"/>
  <c r="W1374" i="26"/>
  <c r="I1374" i="26"/>
  <c r="C1374" i="26"/>
  <c r="BK1374" i="26"/>
  <c r="AU1374" i="26"/>
  <c r="BR1374" i="26"/>
  <c r="BP1374" i="26"/>
  <c r="M1374" i="26"/>
  <c r="U1374" i="26"/>
  <c r="AJ1374" i="26"/>
  <c r="A1374" i="26"/>
  <c r="D1374" i="26"/>
  <c r="K1374" i="26"/>
  <c r="AS1374" i="26"/>
  <c r="BQ1374" i="26"/>
  <c r="T1374" i="26"/>
  <c r="O1374" i="26"/>
  <c r="BI1374" i="26"/>
  <c r="N1374" i="26"/>
  <c r="AP1374" i="26"/>
  <c r="BN1374" i="26"/>
  <c r="X1374" i="26"/>
  <c r="H1374" i="26"/>
  <c r="AY1374" i="26"/>
  <c r="BA1374" i="26"/>
  <c r="BJ1374" i="26"/>
  <c r="Q1374" i="26"/>
  <c r="BD1374" i="26"/>
  <c r="BV187" i="26"/>
  <c r="BE184" i="26"/>
  <c r="E1375" i="26" l="1"/>
  <c r="BV186" i="26"/>
  <c r="BE183" i="26"/>
  <c r="BC1375" i="26" l="1"/>
  <c r="AV1375" i="55" s="1"/>
  <c r="BL1375" i="26"/>
  <c r="AO1375" i="26"/>
  <c r="BI1375" i="26"/>
  <c r="BA1375" i="26"/>
  <c r="V1375" i="26"/>
  <c r="S1375" i="26"/>
  <c r="M1375" i="26"/>
  <c r="BR1375" i="26"/>
  <c r="BN1375" i="26"/>
  <c r="BO1375" i="26"/>
  <c r="C1375" i="26"/>
  <c r="BM1375" i="26"/>
  <c r="I1375" i="26"/>
  <c r="AW1375" i="26"/>
  <c r="W1375" i="26"/>
  <c r="BQ1375" i="26"/>
  <c r="BJ1375" i="26"/>
  <c r="AS1375" i="26"/>
  <c r="T1375" i="26"/>
  <c r="Q1375" i="26"/>
  <c r="AJ1375" i="26"/>
  <c r="X1375" i="26"/>
  <c r="AM1375" i="26"/>
  <c r="B1375" i="26"/>
  <c r="A1375" i="26"/>
  <c r="P1375" i="26"/>
  <c r="AT1375" i="26"/>
  <c r="U1375" i="26"/>
  <c r="D1375" i="26"/>
  <c r="BK1375" i="26"/>
  <c r="H1375" i="26"/>
  <c r="N1375" i="26"/>
  <c r="O1375" i="26"/>
  <c r="AV1375" i="26"/>
  <c r="AF1375" i="26"/>
  <c r="L1375" i="26"/>
  <c r="AX1375" i="26"/>
  <c r="AU1375" i="26"/>
  <c r="AP1375" i="26"/>
  <c r="AK1375" i="26"/>
  <c r="AY1375" i="26"/>
  <c r="K1375" i="26"/>
  <c r="BP1375" i="26"/>
  <c r="R1375" i="26"/>
  <c r="AR1375" i="26"/>
  <c r="G1375" i="26"/>
  <c r="BD1375" i="26"/>
  <c r="BE182" i="26"/>
  <c r="BV185" i="26"/>
  <c r="E1376" i="26" l="1"/>
  <c r="BV184" i="26"/>
  <c r="BE181" i="26"/>
  <c r="BC1376" i="26" l="1"/>
  <c r="AV1376" i="55" s="1"/>
  <c r="BJ1376" i="26"/>
  <c r="AO1376" i="26"/>
  <c r="AR1376" i="26"/>
  <c r="H1376" i="26"/>
  <c r="AU1376" i="26"/>
  <c r="AP1376" i="26"/>
  <c r="BP1376" i="26"/>
  <c r="BI1376" i="26"/>
  <c r="Q1376" i="26"/>
  <c r="AM1376" i="26"/>
  <c r="N1376" i="26"/>
  <c r="M1376" i="26"/>
  <c r="AV1376" i="26"/>
  <c r="R1376" i="26"/>
  <c r="BK1376" i="26"/>
  <c r="AT1376" i="26"/>
  <c r="P1376" i="26"/>
  <c r="O1376" i="26"/>
  <c r="W1376" i="26"/>
  <c r="D1376" i="26"/>
  <c r="I1376" i="26"/>
  <c r="A1376" i="26"/>
  <c r="BR1376" i="26"/>
  <c r="BN1376" i="26"/>
  <c r="B1376" i="26"/>
  <c r="U1376" i="26"/>
  <c r="K1376" i="26"/>
  <c r="AY1376" i="26"/>
  <c r="T1376" i="26"/>
  <c r="AK1376" i="26"/>
  <c r="BL1376" i="26"/>
  <c r="L1376" i="26"/>
  <c r="BM1376" i="26"/>
  <c r="C1376" i="26"/>
  <c r="AS1376" i="26"/>
  <c r="AW1376" i="26"/>
  <c r="AJ1376" i="26"/>
  <c r="S1376" i="26"/>
  <c r="BA1376" i="26"/>
  <c r="AX1376" i="26"/>
  <c r="X1376" i="26"/>
  <c r="V1376" i="26"/>
  <c r="BO1376" i="26"/>
  <c r="AF1376" i="26"/>
  <c r="BQ1376" i="26"/>
  <c r="G1376" i="26"/>
  <c r="BD1376" i="26"/>
  <c r="BE180" i="26"/>
  <c r="BV183" i="26"/>
  <c r="E1377" i="26" l="1"/>
  <c r="BV182" i="26"/>
  <c r="BE179" i="26"/>
  <c r="BC1377" i="26" l="1"/>
  <c r="AV1377" i="55" s="1"/>
  <c r="U1377" i="26"/>
  <c r="S1377" i="26"/>
  <c r="BL1377" i="26"/>
  <c r="C1377" i="26"/>
  <c r="D1377" i="26"/>
  <c r="BO1377" i="26"/>
  <c r="AK1377" i="26"/>
  <c r="AR1377" i="26"/>
  <c r="AS1377" i="26"/>
  <c r="AV1377" i="26"/>
  <c r="BI1377" i="26"/>
  <c r="X1377" i="26"/>
  <c r="BP1377" i="26"/>
  <c r="I1377" i="26"/>
  <c r="AO1377" i="26"/>
  <c r="K1377" i="26"/>
  <c r="AW1377" i="26"/>
  <c r="Q1377" i="26"/>
  <c r="G1377" i="26"/>
  <c r="AX1377" i="26"/>
  <c r="BM1377" i="26"/>
  <c r="AJ1377" i="26"/>
  <c r="BK1377" i="26"/>
  <c r="B1377" i="26"/>
  <c r="AY1377" i="26"/>
  <c r="O1377" i="26"/>
  <c r="V1377" i="26"/>
  <c r="P1377" i="26"/>
  <c r="BR1377" i="26"/>
  <c r="AF1377" i="26"/>
  <c r="M1377" i="26"/>
  <c r="W1377" i="26"/>
  <c r="L1377" i="26"/>
  <c r="A1377" i="26"/>
  <c r="N1377" i="26"/>
  <c r="AT1377" i="26"/>
  <c r="AU1377" i="26"/>
  <c r="H1377" i="26"/>
  <c r="T1377" i="26"/>
  <c r="AM1377" i="26"/>
  <c r="BJ1377" i="26"/>
  <c r="BQ1377" i="26"/>
  <c r="BA1377" i="26"/>
  <c r="R1377" i="26"/>
  <c r="BN1377" i="26"/>
  <c r="AP1377" i="26"/>
  <c r="BD1377" i="26"/>
  <c r="BE178" i="26"/>
  <c r="BV181" i="26"/>
  <c r="E1378" i="26" l="1"/>
  <c r="BV180" i="26"/>
  <c r="BE177" i="26"/>
  <c r="BC1378" i="26" l="1"/>
  <c r="AV1378" i="55" s="1"/>
  <c r="AX1378" i="26"/>
  <c r="BQ1378" i="26"/>
  <c r="G1378" i="26"/>
  <c r="I1378" i="26"/>
  <c r="AK1378" i="26"/>
  <c r="AY1378" i="26"/>
  <c r="S1378" i="26"/>
  <c r="BR1378" i="26"/>
  <c r="B1378" i="26"/>
  <c r="R1378" i="26"/>
  <c r="BA1378" i="26"/>
  <c r="AT1378" i="26"/>
  <c r="U1378" i="26"/>
  <c r="T1378" i="26"/>
  <c r="AU1378" i="26"/>
  <c r="X1378" i="26"/>
  <c r="AO1378" i="26"/>
  <c r="O1378" i="26"/>
  <c r="V1378" i="26"/>
  <c r="K1378" i="26"/>
  <c r="AM1378" i="26"/>
  <c r="AR1378" i="26"/>
  <c r="AW1378" i="26"/>
  <c r="L1378" i="26"/>
  <c r="W1378" i="26"/>
  <c r="BM1378" i="26"/>
  <c r="H1378" i="26"/>
  <c r="BO1378" i="26"/>
  <c r="N1378" i="26"/>
  <c r="AP1378" i="26"/>
  <c r="BI1378" i="26"/>
  <c r="AF1378" i="26"/>
  <c r="BP1378" i="26"/>
  <c r="BK1378" i="26"/>
  <c r="Q1378" i="26"/>
  <c r="AS1378" i="26"/>
  <c r="BJ1378" i="26"/>
  <c r="AV1378" i="26"/>
  <c r="AJ1378" i="26"/>
  <c r="P1378" i="26"/>
  <c r="BL1378" i="26"/>
  <c r="A1378" i="26"/>
  <c r="D1378" i="26"/>
  <c r="M1378" i="26"/>
  <c r="C1378" i="26"/>
  <c r="BN1378" i="26"/>
  <c r="BD1378" i="26"/>
  <c r="BE176" i="26"/>
  <c r="BV179" i="26"/>
  <c r="E1379" i="26" l="1"/>
  <c r="BV178" i="26"/>
  <c r="BE175" i="26"/>
  <c r="BC1379" i="26" l="1"/>
  <c r="AV1379" i="55" s="1"/>
  <c r="B1379" i="26"/>
  <c r="O1379" i="26"/>
  <c r="R1379" i="26"/>
  <c r="AU1379" i="26"/>
  <c r="BR1379" i="26"/>
  <c r="S1379" i="26"/>
  <c r="V1379" i="26"/>
  <c r="AY1379" i="26"/>
  <c r="X1379" i="26"/>
  <c r="W1379" i="26"/>
  <c r="C1379" i="26"/>
  <c r="BP1379" i="26"/>
  <c r="L1379" i="26"/>
  <c r="AK1379" i="26"/>
  <c r="AF1379" i="26"/>
  <c r="P1379" i="26"/>
  <c r="BA1379" i="26"/>
  <c r="K1379" i="26"/>
  <c r="G1379" i="26"/>
  <c r="AT1379" i="26"/>
  <c r="AX1379" i="26"/>
  <c r="T1379" i="26"/>
  <c r="H1379" i="26"/>
  <c r="BQ1379" i="26"/>
  <c r="AS1379" i="26"/>
  <c r="A1379" i="26"/>
  <c r="BL1379" i="26"/>
  <c r="AV1379" i="26"/>
  <c r="AR1379" i="26"/>
  <c r="BM1379" i="26"/>
  <c r="BN1379" i="26"/>
  <c r="BK1379" i="26"/>
  <c r="M1379" i="26"/>
  <c r="AM1379" i="26"/>
  <c r="BJ1379" i="26"/>
  <c r="BI1379" i="26"/>
  <c r="Q1379" i="26"/>
  <c r="U1379" i="26"/>
  <c r="D1379" i="26"/>
  <c r="AJ1379" i="26"/>
  <c r="BO1379" i="26"/>
  <c r="AW1379" i="26"/>
  <c r="N1379" i="26"/>
  <c r="AO1379" i="26"/>
  <c r="AP1379" i="26"/>
  <c r="I1379" i="26"/>
  <c r="BD1379" i="26"/>
  <c r="BE174" i="26"/>
  <c r="BV177" i="26"/>
  <c r="E1380" i="26" l="1"/>
  <c r="BV176" i="26"/>
  <c r="BE173" i="26"/>
  <c r="BC1380" i="26" l="1"/>
  <c r="AV1380" i="55" s="1"/>
  <c r="AS1380" i="26"/>
  <c r="X1380" i="26"/>
  <c r="T1380" i="26"/>
  <c r="AF1380" i="26"/>
  <c r="B1380" i="26"/>
  <c r="BO1380" i="26"/>
  <c r="R1380" i="26"/>
  <c r="AU1380" i="26"/>
  <c r="BJ1380" i="26"/>
  <c r="AY1380" i="26"/>
  <c r="BM1380" i="26"/>
  <c r="AJ1380" i="26"/>
  <c r="G1380" i="26"/>
  <c r="AT1380" i="26"/>
  <c r="U1380" i="26"/>
  <c r="AM1380" i="26"/>
  <c r="D1380" i="26"/>
  <c r="AV1380" i="26"/>
  <c r="Q1380" i="26"/>
  <c r="C1380" i="26"/>
  <c r="BN1380" i="26"/>
  <c r="V1380" i="26"/>
  <c r="BP1380" i="26"/>
  <c r="L1380" i="26"/>
  <c r="AR1380" i="26"/>
  <c r="AP1380" i="26"/>
  <c r="BK1380" i="26"/>
  <c r="H1380" i="26"/>
  <c r="N1380" i="26"/>
  <c r="P1380" i="26"/>
  <c r="BR1380" i="26"/>
  <c r="A1380" i="26"/>
  <c r="W1380" i="26"/>
  <c r="AX1380" i="26"/>
  <c r="AK1380" i="26"/>
  <c r="M1380" i="26"/>
  <c r="S1380" i="26"/>
  <c r="I1380" i="26"/>
  <c r="K1380" i="26"/>
  <c r="AW1380" i="26"/>
  <c r="BL1380" i="26"/>
  <c r="BQ1380" i="26"/>
  <c r="BI1380" i="26"/>
  <c r="O1380" i="26"/>
  <c r="AO1380" i="26"/>
  <c r="BA1380" i="26"/>
  <c r="BD1380" i="26"/>
  <c r="BE172" i="26"/>
  <c r="BV175" i="26"/>
  <c r="E1381" i="26" l="1"/>
  <c r="BE171" i="26"/>
  <c r="BV174" i="26"/>
  <c r="BC1381" i="26" l="1"/>
  <c r="AV1381" i="55" s="1"/>
  <c r="BO1381" i="26"/>
  <c r="AT1381" i="26"/>
  <c r="B1381" i="26"/>
  <c r="AJ1381" i="26"/>
  <c r="K1381" i="26"/>
  <c r="BQ1381" i="26"/>
  <c r="BI1381" i="26"/>
  <c r="AS1381" i="26"/>
  <c r="A1381" i="26"/>
  <c r="BL1381" i="26"/>
  <c r="H1381" i="26"/>
  <c r="AM1381" i="26"/>
  <c r="P1381" i="26"/>
  <c r="AU1381" i="26"/>
  <c r="BM1381" i="26"/>
  <c r="AY1381" i="26"/>
  <c r="G1381" i="26"/>
  <c r="BP1381" i="26"/>
  <c r="AK1381" i="26"/>
  <c r="C1381" i="26"/>
  <c r="Q1381" i="26"/>
  <c r="BN1381" i="26"/>
  <c r="S1381" i="26"/>
  <c r="BR1381" i="26"/>
  <c r="AP1381" i="26"/>
  <c r="V1381" i="26"/>
  <c r="R1381" i="26"/>
  <c r="X1381" i="26"/>
  <c r="N1381" i="26"/>
  <c r="L1381" i="26"/>
  <c r="AV1381" i="26"/>
  <c r="AR1381" i="26"/>
  <c r="W1381" i="26"/>
  <c r="AF1381" i="26"/>
  <c r="M1381" i="26"/>
  <c r="BK1381" i="26"/>
  <c r="AX1381" i="26"/>
  <c r="AW1381" i="26"/>
  <c r="AO1381" i="26"/>
  <c r="I1381" i="26"/>
  <c r="O1381" i="26"/>
  <c r="BA1381" i="26"/>
  <c r="T1381" i="26"/>
  <c r="D1381" i="26"/>
  <c r="U1381" i="26"/>
  <c r="BJ1381" i="26"/>
  <c r="BD1381" i="26"/>
  <c r="BV173" i="26"/>
  <c r="BE170" i="26"/>
  <c r="E1382" i="26" l="1"/>
  <c r="BE169" i="26"/>
  <c r="BV172" i="26"/>
  <c r="BC1382" i="26" l="1"/>
  <c r="AV1382" i="55" s="1"/>
  <c r="AM1382" i="26"/>
  <c r="B1382" i="26"/>
  <c r="Q1382" i="26"/>
  <c r="AS1382" i="26"/>
  <c r="BR1382" i="26"/>
  <c r="D1382" i="26"/>
  <c r="BK1382" i="26"/>
  <c r="AT1382" i="26"/>
  <c r="BM1382" i="26"/>
  <c r="X1382" i="26"/>
  <c r="AX1382" i="26"/>
  <c r="P1382" i="26"/>
  <c r="AO1382" i="26"/>
  <c r="O1382" i="26"/>
  <c r="AP1382" i="26"/>
  <c r="M1382" i="26"/>
  <c r="AU1382" i="26"/>
  <c r="BA1382" i="26"/>
  <c r="AW1382" i="26"/>
  <c r="BQ1382" i="26"/>
  <c r="AF1382" i="26"/>
  <c r="AY1382" i="26"/>
  <c r="H1382" i="26"/>
  <c r="AR1382" i="26"/>
  <c r="BN1382" i="26"/>
  <c r="R1382" i="26"/>
  <c r="L1382" i="26"/>
  <c r="K1382" i="26"/>
  <c r="A1382" i="26"/>
  <c r="N1382" i="26"/>
  <c r="S1382" i="26"/>
  <c r="BO1382" i="26"/>
  <c r="BJ1382" i="26"/>
  <c r="BI1382" i="26"/>
  <c r="AK1382" i="26"/>
  <c r="U1382" i="26"/>
  <c r="G1382" i="26"/>
  <c r="BL1382" i="26"/>
  <c r="AJ1382" i="26"/>
  <c r="BP1382" i="26"/>
  <c r="I1382" i="26"/>
  <c r="T1382" i="26"/>
  <c r="AV1382" i="26"/>
  <c r="C1382" i="26"/>
  <c r="V1382" i="26"/>
  <c r="W1382" i="26"/>
  <c r="BD1382" i="26"/>
  <c r="BV171" i="26"/>
  <c r="BE168" i="26"/>
  <c r="E1383" i="26" l="1"/>
  <c r="BE167" i="26"/>
  <c r="BV170" i="26"/>
  <c r="BC1383" i="26" l="1"/>
  <c r="AV1383" i="55" s="1"/>
  <c r="AP1383" i="26"/>
  <c r="L1383" i="26"/>
  <c r="T1383" i="26"/>
  <c r="BM1383" i="26"/>
  <c r="AR1383" i="26"/>
  <c r="AK1383" i="26"/>
  <c r="AW1383" i="26"/>
  <c r="AX1383" i="26"/>
  <c r="Q1383" i="26"/>
  <c r="S1383" i="26"/>
  <c r="I1383" i="26"/>
  <c r="AO1383" i="26"/>
  <c r="R1383" i="26"/>
  <c r="C1383" i="26"/>
  <c r="BI1383" i="26"/>
  <c r="U1383" i="26"/>
  <c r="BP1383" i="26"/>
  <c r="B1383" i="26"/>
  <c r="BL1383" i="26"/>
  <c r="P1383" i="26"/>
  <c r="AJ1383" i="26"/>
  <c r="M1383" i="26"/>
  <c r="AS1383" i="26"/>
  <c r="AM1383" i="26"/>
  <c r="BJ1383" i="26"/>
  <c r="BO1383" i="26"/>
  <c r="N1383" i="26"/>
  <c r="BN1383" i="26"/>
  <c r="H1383" i="26"/>
  <c r="W1383" i="26"/>
  <c r="AV1383" i="26"/>
  <c r="G1383" i="26"/>
  <c r="D1383" i="26"/>
  <c r="AU1383" i="26"/>
  <c r="AT1383" i="26"/>
  <c r="X1383" i="26"/>
  <c r="AF1383" i="26"/>
  <c r="BK1383" i="26"/>
  <c r="A1383" i="26"/>
  <c r="BR1383" i="26"/>
  <c r="V1383" i="26"/>
  <c r="BQ1383" i="26"/>
  <c r="BA1383" i="26"/>
  <c r="O1383" i="26"/>
  <c r="K1383" i="26"/>
  <c r="AY1383" i="26"/>
  <c r="BD1383" i="26"/>
  <c r="BV169" i="26"/>
  <c r="BE166" i="26"/>
  <c r="E1384" i="26" l="1"/>
  <c r="BE165" i="26"/>
  <c r="BV168" i="26"/>
  <c r="BC1384" i="26" l="1"/>
  <c r="AV1384" i="55" s="1"/>
  <c r="L1384" i="26"/>
  <c r="K1384" i="26"/>
  <c r="AJ1384" i="26"/>
  <c r="X1384" i="26"/>
  <c r="BN1384" i="26"/>
  <c r="A1384" i="26"/>
  <c r="I1384" i="26"/>
  <c r="U1384" i="26"/>
  <c r="G1384" i="26"/>
  <c r="BP1384" i="26"/>
  <c r="AS1384" i="26"/>
  <c r="M1384" i="26"/>
  <c r="AK1384" i="26"/>
  <c r="BA1384" i="26"/>
  <c r="N1384" i="26"/>
  <c r="BJ1384" i="26"/>
  <c r="O1384" i="26"/>
  <c r="BO1384" i="26"/>
  <c r="AO1384" i="26"/>
  <c r="V1384" i="26"/>
  <c r="AM1384" i="26"/>
  <c r="BQ1384" i="26"/>
  <c r="AF1384" i="26"/>
  <c r="BL1384" i="26"/>
  <c r="AT1384" i="26"/>
  <c r="BI1384" i="26"/>
  <c r="W1384" i="26"/>
  <c r="Q1384" i="26"/>
  <c r="T1384" i="26"/>
  <c r="AW1384" i="26"/>
  <c r="AY1384" i="26"/>
  <c r="S1384" i="26"/>
  <c r="AV1384" i="26"/>
  <c r="AP1384" i="26"/>
  <c r="BM1384" i="26"/>
  <c r="R1384" i="26"/>
  <c r="AR1384" i="26"/>
  <c r="AU1384" i="26"/>
  <c r="P1384" i="26"/>
  <c r="BK1384" i="26"/>
  <c r="BR1384" i="26"/>
  <c r="AX1384" i="26"/>
  <c r="C1384" i="26"/>
  <c r="B1384" i="26"/>
  <c r="H1384" i="26"/>
  <c r="D1384" i="26"/>
  <c r="BD1384" i="26"/>
  <c r="BV167" i="26"/>
  <c r="BE164" i="26"/>
  <c r="E1385" i="26" l="1"/>
  <c r="BE163" i="26"/>
  <c r="BV166" i="26"/>
  <c r="BC1385" i="26" l="1"/>
  <c r="AV1385" i="55" s="1"/>
  <c r="T1385" i="26"/>
  <c r="P1385" i="26"/>
  <c r="BI1385" i="26"/>
  <c r="AX1385" i="26"/>
  <c r="BL1385" i="26"/>
  <c r="AJ1385" i="26"/>
  <c r="AO1385" i="26"/>
  <c r="AP1385" i="26"/>
  <c r="BO1385" i="26"/>
  <c r="K1385" i="26"/>
  <c r="AS1385" i="26"/>
  <c r="BN1385" i="26"/>
  <c r="A1385" i="26"/>
  <c r="O1385" i="26"/>
  <c r="D1385" i="26"/>
  <c r="Q1385" i="26"/>
  <c r="AW1385" i="26"/>
  <c r="AK1385" i="26"/>
  <c r="AF1385" i="26"/>
  <c r="BK1385" i="26"/>
  <c r="H1385" i="26"/>
  <c r="S1385" i="26"/>
  <c r="AT1385" i="26"/>
  <c r="L1385" i="26"/>
  <c r="M1385" i="26"/>
  <c r="BJ1385" i="26"/>
  <c r="W1385" i="26"/>
  <c r="R1385" i="26"/>
  <c r="BM1385" i="26"/>
  <c r="BQ1385" i="26"/>
  <c r="AV1385" i="26"/>
  <c r="C1385" i="26"/>
  <c r="U1385" i="26"/>
  <c r="X1385" i="26"/>
  <c r="BA1385" i="26"/>
  <c r="AU1385" i="26"/>
  <c r="N1385" i="26"/>
  <c r="BR1385" i="26"/>
  <c r="I1385" i="26"/>
  <c r="BP1385" i="26"/>
  <c r="V1385" i="26"/>
  <c r="B1385" i="26"/>
  <c r="G1385" i="26"/>
  <c r="AM1385" i="26"/>
  <c r="AY1385" i="26"/>
  <c r="AR1385" i="26"/>
  <c r="BD1385" i="26"/>
  <c r="BV165" i="26"/>
  <c r="BE162" i="26"/>
  <c r="E1386" i="26" l="1"/>
  <c r="BE161" i="26"/>
  <c r="BV164" i="26"/>
  <c r="BC1386" i="26" l="1"/>
  <c r="AV1386" i="55" s="1"/>
  <c r="S1386" i="26"/>
  <c r="BA1386" i="26"/>
  <c r="BK1386" i="26"/>
  <c r="AV1386" i="26"/>
  <c r="BQ1386" i="26"/>
  <c r="Q1386" i="26"/>
  <c r="AU1386" i="26"/>
  <c r="K1386" i="26"/>
  <c r="AP1386" i="26"/>
  <c r="AF1386" i="26"/>
  <c r="AK1386" i="26"/>
  <c r="AJ1386" i="26"/>
  <c r="H1386" i="26"/>
  <c r="AO1386" i="26"/>
  <c r="AW1386" i="26"/>
  <c r="C1386" i="26"/>
  <c r="P1386" i="26"/>
  <c r="T1386" i="26"/>
  <c r="X1386" i="26"/>
  <c r="V1386" i="26"/>
  <c r="AM1386" i="26"/>
  <c r="BM1386" i="26"/>
  <c r="BN1386" i="26"/>
  <c r="M1386" i="26"/>
  <c r="U1386" i="26"/>
  <c r="AT1386" i="26"/>
  <c r="AR1386" i="26"/>
  <c r="BJ1386" i="26"/>
  <c r="BL1386" i="26"/>
  <c r="N1386" i="26"/>
  <c r="B1386" i="26"/>
  <c r="BO1386" i="26"/>
  <c r="BI1386" i="26"/>
  <c r="L1386" i="26"/>
  <c r="AX1386" i="26"/>
  <c r="D1386" i="26"/>
  <c r="I1386" i="26"/>
  <c r="R1386" i="26"/>
  <c r="W1386" i="26"/>
  <c r="G1386" i="26"/>
  <c r="BR1386" i="26"/>
  <c r="AS1386" i="26"/>
  <c r="BP1386" i="26"/>
  <c r="O1386" i="26"/>
  <c r="AY1386" i="26"/>
  <c r="A1386" i="26"/>
  <c r="BD1386" i="26"/>
  <c r="BV163" i="26"/>
  <c r="BE160" i="26"/>
  <c r="E1387" i="26" l="1"/>
  <c r="BE159" i="26"/>
  <c r="BV162" i="26"/>
  <c r="BC1387" i="26" l="1"/>
  <c r="AV1387" i="55" s="1"/>
  <c r="L1387" i="26"/>
  <c r="BL1387" i="26"/>
  <c r="BO1387" i="26"/>
  <c r="BR1387" i="26"/>
  <c r="D1387" i="26"/>
  <c r="W1387" i="26"/>
  <c r="H1387" i="26"/>
  <c r="BQ1387" i="26"/>
  <c r="AF1387" i="26"/>
  <c r="BJ1387" i="26"/>
  <c r="AU1387" i="26"/>
  <c r="AX1387" i="26"/>
  <c r="N1387" i="26"/>
  <c r="BA1387" i="26"/>
  <c r="AJ1387" i="26"/>
  <c r="BP1387" i="26"/>
  <c r="P1387" i="26"/>
  <c r="AP1387" i="26"/>
  <c r="AR1387" i="26"/>
  <c r="A1387" i="26"/>
  <c r="Q1387" i="26"/>
  <c r="G1387" i="26"/>
  <c r="AV1387" i="26"/>
  <c r="AY1387" i="26"/>
  <c r="AO1387" i="26"/>
  <c r="M1387" i="26"/>
  <c r="AK1387" i="26"/>
  <c r="T1387" i="26"/>
  <c r="BN1387" i="26"/>
  <c r="C1387" i="26"/>
  <c r="BI1387" i="26"/>
  <c r="AW1387" i="26"/>
  <c r="U1387" i="26"/>
  <c r="S1387" i="26"/>
  <c r="AM1387" i="26"/>
  <c r="I1387" i="26"/>
  <c r="BK1387" i="26"/>
  <c r="R1387" i="26"/>
  <c r="X1387" i="26"/>
  <c r="V1387" i="26"/>
  <c r="AS1387" i="26"/>
  <c r="K1387" i="26"/>
  <c r="B1387" i="26"/>
  <c r="BM1387" i="26"/>
  <c r="AT1387" i="26"/>
  <c r="O1387" i="26"/>
  <c r="BD1387" i="26"/>
  <c r="BV161" i="26"/>
  <c r="BE158" i="26"/>
  <c r="E1388" i="26" l="1"/>
  <c r="BE157" i="26"/>
  <c r="BV160" i="26"/>
  <c r="BC1388" i="26" l="1"/>
  <c r="AV1388" i="55" s="1"/>
  <c r="AT1388" i="26"/>
  <c r="BR1388" i="26"/>
  <c r="U1388" i="26"/>
  <c r="BO1388" i="26"/>
  <c r="BK1388" i="26"/>
  <c r="B1388" i="26"/>
  <c r="P1388" i="26"/>
  <c r="V1388" i="26"/>
  <c r="D1388" i="26"/>
  <c r="A1388" i="26"/>
  <c r="BN1388" i="26"/>
  <c r="AJ1388" i="26"/>
  <c r="H1388" i="26"/>
  <c r="AS1388" i="26"/>
  <c r="R1388" i="26"/>
  <c r="BJ1388" i="26"/>
  <c r="AX1388" i="26"/>
  <c r="O1388" i="26"/>
  <c r="BM1388" i="26"/>
  <c r="BI1388" i="26"/>
  <c r="Q1388" i="26"/>
  <c r="AU1388" i="26"/>
  <c r="AP1388" i="26"/>
  <c r="C1388" i="26"/>
  <c r="T1388" i="26"/>
  <c r="I1388" i="26"/>
  <c r="M1388" i="26"/>
  <c r="AM1388" i="26"/>
  <c r="BP1388" i="26"/>
  <c r="G1388" i="26"/>
  <c r="K1388" i="26"/>
  <c r="AK1388" i="26"/>
  <c r="BA1388" i="26"/>
  <c r="N1388" i="26"/>
  <c r="BL1388" i="26"/>
  <c r="AR1388" i="26"/>
  <c r="AO1388" i="26"/>
  <c r="L1388" i="26"/>
  <c r="BQ1388" i="26"/>
  <c r="S1388" i="26"/>
  <c r="AV1388" i="26"/>
  <c r="X1388" i="26"/>
  <c r="AY1388" i="26"/>
  <c r="AF1388" i="26"/>
  <c r="AW1388" i="26"/>
  <c r="W1388" i="26"/>
  <c r="BD1388" i="26"/>
  <c r="BV159" i="26"/>
  <c r="BE156" i="26"/>
  <c r="E1389" i="26" l="1"/>
  <c r="BE155" i="26"/>
  <c r="BV158" i="26"/>
  <c r="BC1389" i="26" l="1"/>
  <c r="AV1389" i="55" s="1"/>
  <c r="Q1389" i="26"/>
  <c r="AP1389" i="26"/>
  <c r="BO1389" i="26"/>
  <c r="U1389" i="26"/>
  <c r="BN1389" i="26"/>
  <c r="R1389" i="26"/>
  <c r="AO1389" i="26"/>
  <c r="BJ1389" i="26"/>
  <c r="X1389" i="26"/>
  <c r="AX1389" i="26"/>
  <c r="BL1389" i="26"/>
  <c r="A1389" i="26"/>
  <c r="AF1389" i="26"/>
  <c r="I1389" i="26"/>
  <c r="AR1389" i="26"/>
  <c r="BQ1389" i="26"/>
  <c r="AJ1389" i="26"/>
  <c r="AU1389" i="26"/>
  <c r="BA1389" i="26"/>
  <c r="BP1389" i="26"/>
  <c r="AT1389" i="26"/>
  <c r="AS1389" i="26"/>
  <c r="W1389" i="26"/>
  <c r="V1389" i="26"/>
  <c r="S1389" i="26"/>
  <c r="N1389" i="26"/>
  <c r="O1389" i="26"/>
  <c r="AY1389" i="26"/>
  <c r="G1389" i="26"/>
  <c r="AM1389" i="26"/>
  <c r="P1389" i="26"/>
  <c r="BM1389" i="26"/>
  <c r="AV1389" i="26"/>
  <c r="BR1389" i="26"/>
  <c r="AW1389" i="26"/>
  <c r="D1389" i="26"/>
  <c r="BK1389" i="26"/>
  <c r="H1389" i="26"/>
  <c r="BI1389" i="26"/>
  <c r="C1389" i="26"/>
  <c r="K1389" i="26"/>
  <c r="AK1389" i="26"/>
  <c r="L1389" i="26"/>
  <c r="T1389" i="26"/>
  <c r="B1389" i="26"/>
  <c r="M1389" i="26"/>
  <c r="BD1389" i="26"/>
  <c r="BV157" i="26"/>
  <c r="BE154" i="26"/>
  <c r="E1390" i="26" l="1"/>
  <c r="BE153" i="26"/>
  <c r="BV156" i="26"/>
  <c r="BC1390" i="26" l="1"/>
  <c r="AV1390" i="55" s="1"/>
  <c r="BA1390" i="26"/>
  <c r="AK1390" i="26"/>
  <c r="BO1390" i="26"/>
  <c r="AX1390" i="26"/>
  <c r="AM1390" i="26"/>
  <c r="BK1390" i="26"/>
  <c r="I1390" i="26"/>
  <c r="BI1390" i="26"/>
  <c r="C1390" i="26"/>
  <c r="T1390" i="26"/>
  <c r="W1390" i="26"/>
  <c r="AS1390" i="26"/>
  <c r="AP1390" i="26"/>
  <c r="AR1390" i="26"/>
  <c r="AW1390" i="26"/>
  <c r="N1390" i="26"/>
  <c r="AJ1390" i="26"/>
  <c r="BP1390" i="26"/>
  <c r="AO1390" i="26"/>
  <c r="S1390" i="26"/>
  <c r="D1390" i="26"/>
  <c r="V1390" i="26"/>
  <c r="BR1390" i="26"/>
  <c r="U1390" i="26"/>
  <c r="R1390" i="26"/>
  <c r="AV1390" i="26"/>
  <c r="P1390" i="26"/>
  <c r="AT1390" i="26"/>
  <c r="O1390" i="26"/>
  <c r="L1390" i="26"/>
  <c r="X1390" i="26"/>
  <c r="BM1390" i="26"/>
  <c r="AU1390" i="26"/>
  <c r="M1390" i="26"/>
  <c r="BL1390" i="26"/>
  <c r="K1390" i="26"/>
  <c r="BQ1390" i="26"/>
  <c r="AY1390" i="26"/>
  <c r="B1390" i="26"/>
  <c r="AF1390" i="26"/>
  <c r="BJ1390" i="26"/>
  <c r="BN1390" i="26"/>
  <c r="G1390" i="26"/>
  <c r="A1390" i="26"/>
  <c r="Q1390" i="26"/>
  <c r="H1390" i="26"/>
  <c r="BD1390" i="26"/>
  <c r="BV155" i="26"/>
  <c r="BE152" i="26"/>
  <c r="E1391" i="26" l="1"/>
  <c r="BE151" i="26"/>
  <c r="BV154" i="26"/>
  <c r="BC1391" i="26" l="1"/>
  <c r="AV1391" i="55" s="1"/>
  <c r="AX1391" i="26"/>
  <c r="K1391" i="26"/>
  <c r="P1391" i="26"/>
  <c r="BL1391" i="26"/>
  <c r="AS1391" i="26"/>
  <c r="X1391" i="26"/>
  <c r="W1391" i="26"/>
  <c r="S1391" i="26"/>
  <c r="N1391" i="26"/>
  <c r="Q1391" i="26"/>
  <c r="BK1391" i="26"/>
  <c r="AT1391" i="26"/>
  <c r="H1391" i="26"/>
  <c r="AU1391" i="26"/>
  <c r="U1391" i="26"/>
  <c r="R1391" i="26"/>
  <c r="BO1391" i="26"/>
  <c r="BP1391" i="26"/>
  <c r="BJ1391" i="26"/>
  <c r="BN1391" i="26"/>
  <c r="V1391" i="26"/>
  <c r="AR1391" i="26"/>
  <c r="BQ1391" i="26"/>
  <c r="D1391" i="26"/>
  <c r="BI1391" i="26"/>
  <c r="AK1391" i="26"/>
  <c r="AP1391" i="26"/>
  <c r="AM1391" i="26"/>
  <c r="B1391" i="26"/>
  <c r="C1391" i="26"/>
  <c r="BA1391" i="26"/>
  <c r="O1391" i="26"/>
  <c r="M1391" i="26"/>
  <c r="AJ1391" i="26"/>
  <c r="AF1391" i="26"/>
  <c r="AY1391" i="26"/>
  <c r="I1391" i="26"/>
  <c r="AV1391" i="26"/>
  <c r="BM1391" i="26"/>
  <c r="G1391" i="26"/>
  <c r="T1391" i="26"/>
  <c r="AW1391" i="26"/>
  <c r="A1391" i="26"/>
  <c r="AO1391" i="26"/>
  <c r="BR1391" i="26"/>
  <c r="L1391" i="26"/>
  <c r="BD1391" i="26"/>
  <c r="BV153" i="26"/>
  <c r="BE150" i="26"/>
  <c r="E1392" i="26" l="1"/>
  <c r="BE149" i="26"/>
  <c r="BV152" i="26"/>
  <c r="BC1392" i="26" l="1"/>
  <c r="AV1392" i="55" s="1"/>
  <c r="S1392" i="26"/>
  <c r="BO1392" i="26"/>
  <c r="AV1392" i="26"/>
  <c r="AY1392" i="26"/>
  <c r="BP1392" i="26"/>
  <c r="BL1392" i="26"/>
  <c r="D1392" i="26"/>
  <c r="BA1392" i="26"/>
  <c r="C1392" i="26"/>
  <c r="V1392" i="26"/>
  <c r="H1392" i="26"/>
  <c r="X1392" i="26"/>
  <c r="AF1392" i="26"/>
  <c r="AX1392" i="26"/>
  <c r="BK1392" i="26"/>
  <c r="BN1392" i="26"/>
  <c r="M1392" i="26"/>
  <c r="AO1392" i="26"/>
  <c r="W1392" i="26"/>
  <c r="AT1392" i="26"/>
  <c r="R1392" i="26"/>
  <c r="T1392" i="26"/>
  <c r="P1392" i="26"/>
  <c r="I1392" i="26"/>
  <c r="AP1392" i="26"/>
  <c r="N1392" i="26"/>
  <c r="BI1392" i="26"/>
  <c r="AW1392" i="26"/>
  <c r="G1392" i="26"/>
  <c r="AM1392" i="26"/>
  <c r="BM1392" i="26"/>
  <c r="AU1392" i="26"/>
  <c r="AR1392" i="26"/>
  <c r="BQ1392" i="26"/>
  <c r="U1392" i="26"/>
  <c r="AS1392" i="26"/>
  <c r="L1392" i="26"/>
  <c r="AK1392" i="26"/>
  <c r="O1392" i="26"/>
  <c r="B1392" i="26"/>
  <c r="AJ1392" i="26"/>
  <c r="A1392" i="26"/>
  <c r="BR1392" i="26"/>
  <c r="Q1392" i="26"/>
  <c r="K1392" i="26"/>
  <c r="BJ1392" i="26"/>
  <c r="BD1392" i="26"/>
  <c r="BV151" i="26"/>
  <c r="BE148" i="26"/>
  <c r="E1393" i="26" l="1"/>
  <c r="BE147" i="26"/>
  <c r="BV150" i="26"/>
  <c r="BC1393" i="26" l="1"/>
  <c r="AV1393" i="55" s="1"/>
  <c r="AJ1393" i="26"/>
  <c r="L1393" i="26"/>
  <c r="AF1393" i="26"/>
  <c r="X1393" i="26"/>
  <c r="AM1393" i="26"/>
  <c r="R1393" i="26"/>
  <c r="U1393" i="26"/>
  <c r="AO1393" i="26"/>
  <c r="BQ1393" i="26"/>
  <c r="AX1393" i="26"/>
  <c r="BN1393" i="26"/>
  <c r="I1393" i="26"/>
  <c r="H1393" i="26"/>
  <c r="T1393" i="26"/>
  <c r="BK1393" i="26"/>
  <c r="G1393" i="26"/>
  <c r="A1393" i="26"/>
  <c r="AW1393" i="26"/>
  <c r="AK1393" i="26"/>
  <c r="AR1393" i="26"/>
  <c r="AY1393" i="26"/>
  <c r="BO1393" i="26"/>
  <c r="BA1393" i="26"/>
  <c r="AP1393" i="26"/>
  <c r="K1393" i="26"/>
  <c r="AT1393" i="26"/>
  <c r="BR1393" i="26"/>
  <c r="BI1393" i="26"/>
  <c r="C1393" i="26"/>
  <c r="O1393" i="26"/>
  <c r="BL1393" i="26"/>
  <c r="AV1393" i="26"/>
  <c r="W1393" i="26"/>
  <c r="BM1393" i="26"/>
  <c r="S1393" i="26"/>
  <c r="P1393" i="26"/>
  <c r="M1393" i="26"/>
  <c r="Q1393" i="26"/>
  <c r="V1393" i="26"/>
  <c r="N1393" i="26"/>
  <c r="D1393" i="26"/>
  <c r="BJ1393" i="26"/>
  <c r="BP1393" i="26"/>
  <c r="B1393" i="26"/>
  <c r="AU1393" i="26"/>
  <c r="AS1393" i="26"/>
  <c r="BD1393" i="26"/>
  <c r="BV149" i="26"/>
  <c r="BE146" i="26"/>
  <c r="E1394" i="26" l="1"/>
  <c r="BE145" i="26"/>
  <c r="BV148" i="26"/>
  <c r="BC1394" i="26" l="1"/>
  <c r="AV1394" i="55" s="1"/>
  <c r="I1394" i="26"/>
  <c r="AK1394" i="26"/>
  <c r="AS1394" i="26"/>
  <c r="G1394" i="26"/>
  <c r="AM1394" i="26"/>
  <c r="N1394" i="26"/>
  <c r="A1394" i="26"/>
  <c r="H1394" i="26"/>
  <c r="K1394" i="26"/>
  <c r="BI1394" i="26"/>
  <c r="AR1394" i="26"/>
  <c r="AT1394" i="26"/>
  <c r="W1394" i="26"/>
  <c r="R1394" i="26"/>
  <c r="BQ1394" i="26"/>
  <c r="C1394" i="26"/>
  <c r="AW1394" i="26"/>
  <c r="X1394" i="26"/>
  <c r="AY1394" i="26"/>
  <c r="AJ1394" i="26"/>
  <c r="AX1394" i="26"/>
  <c r="V1394" i="26"/>
  <c r="B1394" i="26"/>
  <c r="BA1394" i="26"/>
  <c r="U1394" i="26"/>
  <c r="BJ1394" i="26"/>
  <c r="O1394" i="26"/>
  <c r="AP1394" i="26"/>
  <c r="M1394" i="26"/>
  <c r="P1394" i="26"/>
  <c r="BP1394" i="26"/>
  <c r="BN1394" i="26"/>
  <c r="S1394" i="26"/>
  <c r="AU1394" i="26"/>
  <c r="BL1394" i="26"/>
  <c r="T1394" i="26"/>
  <c r="AF1394" i="26"/>
  <c r="AV1394" i="26"/>
  <c r="Q1394" i="26"/>
  <c r="L1394" i="26"/>
  <c r="AO1394" i="26"/>
  <c r="D1394" i="26"/>
  <c r="BR1394" i="26"/>
  <c r="BK1394" i="26"/>
  <c r="BO1394" i="26"/>
  <c r="BM1394" i="26"/>
  <c r="BD1394" i="26"/>
  <c r="BV147" i="26"/>
  <c r="BE144" i="26"/>
  <c r="E1395" i="26" l="1"/>
  <c r="BV146" i="26"/>
  <c r="BE143" i="26"/>
  <c r="BC1395" i="26" l="1"/>
  <c r="AV1395" i="55" s="1"/>
  <c r="AJ1395" i="26"/>
  <c r="H1395" i="26"/>
  <c r="R1395" i="26"/>
  <c r="BP1395" i="26"/>
  <c r="N1395" i="26"/>
  <c r="AS1395" i="26"/>
  <c r="L1395" i="26"/>
  <c r="X1395" i="26"/>
  <c r="BQ1395" i="26"/>
  <c r="U1395" i="26"/>
  <c r="AY1395" i="26"/>
  <c r="AF1395" i="26"/>
  <c r="BK1395" i="26"/>
  <c r="Q1395" i="26"/>
  <c r="I1395" i="26"/>
  <c r="O1395" i="26"/>
  <c r="S1395" i="26"/>
  <c r="AR1395" i="26"/>
  <c r="AP1395" i="26"/>
  <c r="AO1395" i="26"/>
  <c r="A1395" i="26"/>
  <c r="BJ1395" i="26"/>
  <c r="T1395" i="26"/>
  <c r="BN1395" i="26"/>
  <c r="AV1395" i="26"/>
  <c r="BO1395" i="26"/>
  <c r="B1395" i="26"/>
  <c r="AM1395" i="26"/>
  <c r="AX1395" i="26"/>
  <c r="BA1395" i="26"/>
  <c r="AU1395" i="26"/>
  <c r="AT1395" i="26"/>
  <c r="BR1395" i="26"/>
  <c r="BI1395" i="26"/>
  <c r="G1395" i="26"/>
  <c r="AK1395" i="26"/>
  <c r="W1395" i="26"/>
  <c r="P1395" i="26"/>
  <c r="V1395" i="26"/>
  <c r="BM1395" i="26"/>
  <c r="M1395" i="26"/>
  <c r="C1395" i="26"/>
  <c r="D1395" i="26"/>
  <c r="BL1395" i="26"/>
  <c r="AW1395" i="26"/>
  <c r="K1395" i="26"/>
  <c r="BD1395" i="26"/>
  <c r="BV145" i="26"/>
  <c r="BE142" i="26"/>
  <c r="E1396" i="26" l="1"/>
  <c r="BE141" i="26"/>
  <c r="BV144" i="26"/>
  <c r="BC1396" i="26" l="1"/>
  <c r="AV1396" i="55" s="1"/>
  <c r="BI1396" i="26"/>
  <c r="BK1396" i="26"/>
  <c r="AK1396" i="26"/>
  <c r="BQ1396" i="26"/>
  <c r="V1396" i="26"/>
  <c r="P1396" i="26"/>
  <c r="N1396" i="26"/>
  <c r="A1396" i="26"/>
  <c r="L1396" i="26"/>
  <c r="AS1396" i="26"/>
  <c r="AR1396" i="26"/>
  <c r="W1396" i="26"/>
  <c r="BR1396" i="26"/>
  <c r="R1396" i="26"/>
  <c r="BP1396" i="26"/>
  <c r="M1396" i="26"/>
  <c r="B1396" i="26"/>
  <c r="BN1396" i="26"/>
  <c r="BO1396" i="26"/>
  <c r="AU1396" i="26"/>
  <c r="BJ1396" i="26"/>
  <c r="AT1396" i="26"/>
  <c r="AY1396" i="26"/>
  <c r="O1396" i="26"/>
  <c r="I1396" i="26"/>
  <c r="Q1396" i="26"/>
  <c r="AJ1396" i="26"/>
  <c r="BA1396" i="26"/>
  <c r="U1396" i="26"/>
  <c r="AV1396" i="26"/>
  <c r="AM1396" i="26"/>
  <c r="X1396" i="26"/>
  <c r="AX1396" i="26"/>
  <c r="K1396" i="26"/>
  <c r="AO1396" i="26"/>
  <c r="C1396" i="26"/>
  <c r="AF1396" i="26"/>
  <c r="S1396" i="26"/>
  <c r="BL1396" i="26"/>
  <c r="T1396" i="26"/>
  <c r="G1396" i="26"/>
  <c r="D1396" i="26"/>
  <c r="H1396" i="26"/>
  <c r="BM1396" i="26"/>
  <c r="AP1396" i="26"/>
  <c r="AW1396" i="26"/>
  <c r="BD1396" i="26"/>
  <c r="BV143" i="26"/>
  <c r="BE140" i="26"/>
  <c r="E1397" i="26" l="1"/>
  <c r="BE139" i="26"/>
  <c r="BV142" i="26"/>
  <c r="BC1397" i="26" l="1"/>
  <c r="AV1397" i="55" s="1"/>
  <c r="AY1397" i="26"/>
  <c r="AP1397" i="26"/>
  <c r="R1397" i="26"/>
  <c r="U1397" i="26"/>
  <c r="BN1397" i="26"/>
  <c r="Q1397" i="26"/>
  <c r="S1397" i="26"/>
  <c r="P1397" i="26"/>
  <c r="M1397" i="26"/>
  <c r="X1397" i="26"/>
  <c r="BA1397" i="26"/>
  <c r="N1397" i="26"/>
  <c r="AS1397" i="26"/>
  <c r="AR1397" i="26"/>
  <c r="AM1397" i="26"/>
  <c r="AF1397" i="26"/>
  <c r="AK1397" i="26"/>
  <c r="D1397" i="26"/>
  <c r="BJ1397" i="26"/>
  <c r="BQ1397" i="26"/>
  <c r="T1397" i="26"/>
  <c r="BI1397" i="26"/>
  <c r="C1397" i="26"/>
  <c r="AT1397" i="26"/>
  <c r="V1397" i="26"/>
  <c r="AV1397" i="26"/>
  <c r="AU1397" i="26"/>
  <c r="BK1397" i="26"/>
  <c r="K1397" i="26"/>
  <c r="BM1397" i="26"/>
  <c r="BR1397" i="26"/>
  <c r="L1397" i="26"/>
  <c r="AO1397" i="26"/>
  <c r="I1397" i="26"/>
  <c r="BL1397" i="26"/>
  <c r="AX1397" i="26"/>
  <c r="W1397" i="26"/>
  <c r="AW1397" i="26"/>
  <c r="O1397" i="26"/>
  <c r="BP1397" i="26"/>
  <c r="B1397" i="26"/>
  <c r="H1397" i="26"/>
  <c r="AJ1397" i="26"/>
  <c r="G1397" i="26"/>
  <c r="A1397" i="26"/>
  <c r="BO1397" i="26"/>
  <c r="BD1397" i="26"/>
  <c r="BV141" i="26"/>
  <c r="BE138" i="26"/>
  <c r="E1398" i="26" l="1"/>
  <c r="BE137" i="26"/>
  <c r="BV140" i="26"/>
  <c r="BC1398" i="26" l="1"/>
  <c r="AV1398" i="55" s="1"/>
  <c r="BJ1398" i="26"/>
  <c r="I1398" i="26"/>
  <c r="X1398" i="26"/>
  <c r="AF1398" i="26"/>
  <c r="V1398" i="26"/>
  <c r="BN1398" i="26"/>
  <c r="A1398" i="26"/>
  <c r="G1398" i="26"/>
  <c r="AJ1398" i="26"/>
  <c r="AM1398" i="26"/>
  <c r="R1398" i="26"/>
  <c r="W1398" i="26"/>
  <c r="BP1398" i="26"/>
  <c r="AV1398" i="26"/>
  <c r="K1398" i="26"/>
  <c r="O1398" i="26"/>
  <c r="BA1398" i="26"/>
  <c r="AW1398" i="26"/>
  <c r="L1398" i="26"/>
  <c r="AO1398" i="26"/>
  <c r="BM1398" i="26"/>
  <c r="N1398" i="26"/>
  <c r="D1398" i="26"/>
  <c r="M1398" i="26"/>
  <c r="AP1398" i="26"/>
  <c r="AS1398" i="26"/>
  <c r="B1398" i="26"/>
  <c r="AT1398" i="26"/>
  <c r="BI1398" i="26"/>
  <c r="C1398" i="26"/>
  <c r="AY1398" i="26"/>
  <c r="AX1398" i="26"/>
  <c r="BL1398" i="26"/>
  <c r="U1398" i="26"/>
  <c r="BR1398" i="26"/>
  <c r="T1398" i="26"/>
  <c r="BQ1398" i="26"/>
  <c r="BK1398" i="26"/>
  <c r="S1398" i="26"/>
  <c r="H1398" i="26"/>
  <c r="P1398" i="26"/>
  <c r="AU1398" i="26"/>
  <c r="AR1398" i="26"/>
  <c r="BO1398" i="26"/>
  <c r="AK1398" i="26"/>
  <c r="Q1398" i="26"/>
  <c r="BD1398" i="26"/>
  <c r="BV139" i="26"/>
  <c r="BE136" i="26"/>
  <c r="E1399" i="26" l="1"/>
  <c r="BE135" i="26"/>
  <c r="BV138" i="26"/>
  <c r="BC1399" i="26" l="1"/>
  <c r="AV1399" i="55" s="1"/>
  <c r="H1399" i="26"/>
  <c r="BP1399" i="26"/>
  <c r="AY1399" i="26"/>
  <c r="G1399" i="26"/>
  <c r="I1399" i="26"/>
  <c r="P1399" i="26"/>
  <c r="BO1399" i="26"/>
  <c r="AO1399" i="26"/>
  <c r="AM1399" i="26"/>
  <c r="C1399" i="26"/>
  <c r="A1399" i="26"/>
  <c r="BR1399" i="26"/>
  <c r="AS1399" i="26"/>
  <c r="K1399" i="26"/>
  <c r="AP1399" i="26"/>
  <c r="BI1399" i="26"/>
  <c r="BJ1399" i="26"/>
  <c r="W1399" i="26"/>
  <c r="O1399" i="26"/>
  <c r="BA1399" i="26"/>
  <c r="BK1399" i="26"/>
  <c r="AK1399" i="26"/>
  <c r="V1399" i="26"/>
  <c r="AX1399" i="26"/>
  <c r="AF1399" i="26"/>
  <c r="X1399" i="26"/>
  <c r="BL1399" i="26"/>
  <c r="U1399" i="26"/>
  <c r="Q1399" i="26"/>
  <c r="S1399" i="26"/>
  <c r="BM1399" i="26"/>
  <c r="L1399" i="26"/>
  <c r="AT1399" i="26"/>
  <c r="BN1399" i="26"/>
  <c r="BQ1399" i="26"/>
  <c r="AU1399" i="26"/>
  <c r="AR1399" i="26"/>
  <c r="B1399" i="26"/>
  <c r="AW1399" i="26"/>
  <c r="AJ1399" i="26"/>
  <c r="D1399" i="26"/>
  <c r="M1399" i="26"/>
  <c r="T1399" i="26"/>
  <c r="R1399" i="26"/>
  <c r="N1399" i="26"/>
  <c r="AV1399" i="26"/>
  <c r="BD1399" i="26"/>
  <c r="BV137" i="26"/>
  <c r="BE134" i="26"/>
  <c r="E1400" i="26" l="1"/>
  <c r="BE133" i="26"/>
  <c r="BV136" i="26"/>
  <c r="BC1400" i="26" l="1"/>
  <c r="AV1400" i="55" s="1"/>
  <c r="BO1400" i="26"/>
  <c r="AT1400" i="26"/>
  <c r="D1400" i="26"/>
  <c r="BR1400" i="26"/>
  <c r="U1400" i="26"/>
  <c r="L1400" i="26"/>
  <c r="AP1400" i="26"/>
  <c r="BI1400" i="26"/>
  <c r="K1400" i="26"/>
  <c r="AW1400" i="26"/>
  <c r="BQ1400" i="26"/>
  <c r="G1400" i="26"/>
  <c r="BK1400" i="26"/>
  <c r="AO1400" i="26"/>
  <c r="X1400" i="26"/>
  <c r="AY1400" i="26"/>
  <c r="O1400" i="26"/>
  <c r="H1400" i="26"/>
  <c r="W1400" i="26"/>
  <c r="C1400" i="26"/>
  <c r="BA1400" i="26"/>
  <c r="AX1400" i="26"/>
  <c r="AV1400" i="26"/>
  <c r="AK1400" i="26"/>
  <c r="N1400" i="26"/>
  <c r="AU1400" i="26"/>
  <c r="BP1400" i="26"/>
  <c r="M1400" i="26"/>
  <c r="B1400" i="26"/>
  <c r="A1400" i="26"/>
  <c r="R1400" i="26"/>
  <c r="AF1400" i="26"/>
  <c r="AR1400" i="26"/>
  <c r="P1400" i="26"/>
  <c r="I1400" i="26"/>
  <c r="AM1400" i="26"/>
  <c r="Q1400" i="26"/>
  <c r="BL1400" i="26"/>
  <c r="BJ1400" i="26"/>
  <c r="V1400" i="26"/>
  <c r="BN1400" i="26"/>
  <c r="T1400" i="26"/>
  <c r="S1400" i="26"/>
  <c r="AS1400" i="26"/>
  <c r="AJ1400" i="26"/>
  <c r="BM1400" i="26"/>
  <c r="BD1400" i="26"/>
  <c r="BV135" i="26"/>
  <c r="BE132" i="26"/>
  <c r="E1401" i="26" l="1"/>
  <c r="BE131" i="26"/>
  <c r="BV134" i="26"/>
  <c r="BC1401" i="26" l="1"/>
  <c r="AV1401" i="55" s="1"/>
  <c r="AS1401" i="26"/>
  <c r="AU1401" i="26"/>
  <c r="N1401" i="26"/>
  <c r="U1401" i="26"/>
  <c r="AY1401" i="26"/>
  <c r="K1401" i="26"/>
  <c r="AP1401" i="26"/>
  <c r="AO1401" i="26"/>
  <c r="O1401" i="26"/>
  <c r="P1401" i="26"/>
  <c r="BR1401" i="26"/>
  <c r="BQ1401" i="26"/>
  <c r="AJ1401" i="26"/>
  <c r="BK1401" i="26"/>
  <c r="BI1401" i="26"/>
  <c r="W1401" i="26"/>
  <c r="C1401" i="26"/>
  <c r="BJ1401" i="26"/>
  <c r="BA1401" i="26"/>
  <c r="B1401" i="26"/>
  <c r="X1401" i="26"/>
  <c r="A1401" i="26"/>
  <c r="BO1401" i="26"/>
  <c r="BN1401" i="26"/>
  <c r="L1401" i="26"/>
  <c r="AR1401" i="26"/>
  <c r="S1401" i="26"/>
  <c r="T1401" i="26"/>
  <c r="AK1401" i="26"/>
  <c r="M1401" i="26"/>
  <c r="AM1401" i="26"/>
  <c r="I1401" i="26"/>
  <c r="BL1401" i="26"/>
  <c r="BP1401" i="26"/>
  <c r="AX1401" i="26"/>
  <c r="AW1401" i="26"/>
  <c r="Q1401" i="26"/>
  <c r="H1401" i="26"/>
  <c r="AF1401" i="26"/>
  <c r="BM1401" i="26"/>
  <c r="V1401" i="26"/>
  <c r="AT1401" i="26"/>
  <c r="D1401" i="26"/>
  <c r="AV1401" i="26"/>
  <c r="G1401" i="26"/>
  <c r="R1401" i="26"/>
  <c r="BD1401" i="26"/>
  <c r="BV133" i="26"/>
  <c r="BE130" i="26"/>
  <c r="E1402" i="26" l="1"/>
  <c r="BE129" i="26"/>
  <c r="BV132" i="26"/>
  <c r="BC1402" i="26" l="1"/>
  <c r="AV1402" i="55" s="1"/>
  <c r="T1402" i="26"/>
  <c r="AV1402" i="26"/>
  <c r="BP1402" i="26"/>
  <c r="BJ1402" i="26"/>
  <c r="D1402" i="26"/>
  <c r="M1402" i="26"/>
  <c r="AU1402" i="26"/>
  <c r="BI1402" i="26"/>
  <c r="AK1402" i="26"/>
  <c r="V1402" i="26"/>
  <c r="BK1402" i="26"/>
  <c r="P1402" i="26"/>
  <c r="A1402" i="26"/>
  <c r="AF1402" i="26"/>
  <c r="N1402" i="26"/>
  <c r="C1402" i="26"/>
  <c r="O1402" i="26"/>
  <c r="AP1402" i="26"/>
  <c r="B1402" i="26"/>
  <c r="BN1402" i="26"/>
  <c r="U1402" i="26"/>
  <c r="AT1402" i="26"/>
  <c r="AY1402" i="26"/>
  <c r="BA1402" i="26"/>
  <c r="X1402" i="26"/>
  <c r="AW1402" i="26"/>
  <c r="R1402" i="26"/>
  <c r="BO1402" i="26"/>
  <c r="W1402" i="26"/>
  <c r="BQ1402" i="26"/>
  <c r="AX1402" i="26"/>
  <c r="K1402" i="26"/>
  <c r="AR1402" i="26"/>
  <c r="AS1402" i="26"/>
  <c r="AO1402" i="26"/>
  <c r="BL1402" i="26"/>
  <c r="Q1402" i="26"/>
  <c r="I1402" i="26"/>
  <c r="G1402" i="26"/>
  <c r="H1402" i="26"/>
  <c r="AJ1402" i="26"/>
  <c r="L1402" i="26"/>
  <c r="BR1402" i="26"/>
  <c r="S1402" i="26"/>
  <c r="BM1402" i="26"/>
  <c r="AM1402" i="26"/>
  <c r="BD1402" i="26"/>
  <c r="BV131" i="26"/>
  <c r="BE128" i="26"/>
  <c r="E1403" i="26" l="1"/>
  <c r="BE127" i="26"/>
  <c r="BV130" i="26"/>
  <c r="BC1403" i="26" l="1"/>
  <c r="AV1403" i="55" s="1"/>
  <c r="C1403" i="26"/>
  <c r="K1403" i="26"/>
  <c r="T1403" i="26"/>
  <c r="S1403" i="26"/>
  <c r="H1403" i="26"/>
  <c r="D1403" i="26"/>
  <c r="AP1403" i="26"/>
  <c r="AJ1403" i="26"/>
  <c r="A1403" i="26"/>
  <c r="AW1403" i="26"/>
  <c r="BN1403" i="26"/>
  <c r="AK1403" i="26"/>
  <c r="BJ1403" i="26"/>
  <c r="M1403" i="26"/>
  <c r="BI1403" i="26"/>
  <c r="AF1403" i="26"/>
  <c r="BQ1403" i="26"/>
  <c r="W1403" i="26"/>
  <c r="AS1403" i="26"/>
  <c r="V1403" i="26"/>
  <c r="BP1403" i="26"/>
  <c r="BR1403" i="26"/>
  <c r="P1403" i="26"/>
  <c r="AT1403" i="26"/>
  <c r="N1403" i="26"/>
  <c r="O1403" i="26"/>
  <c r="BO1403" i="26"/>
  <c r="Q1403" i="26"/>
  <c r="R1403" i="26"/>
  <c r="AU1403" i="26"/>
  <c r="I1403" i="26"/>
  <c r="BM1403" i="26"/>
  <c r="AR1403" i="26"/>
  <c r="AY1403" i="26"/>
  <c r="G1403" i="26"/>
  <c r="B1403" i="26"/>
  <c r="BL1403" i="26"/>
  <c r="BA1403" i="26"/>
  <c r="L1403" i="26"/>
  <c r="X1403" i="26"/>
  <c r="AO1403" i="26"/>
  <c r="AM1403" i="26"/>
  <c r="BK1403" i="26"/>
  <c r="U1403" i="26"/>
  <c r="AV1403" i="26"/>
  <c r="AX1403" i="26"/>
  <c r="BD1403" i="26"/>
  <c r="BV129" i="26"/>
  <c r="BE126" i="26"/>
  <c r="E1404" i="26" l="1"/>
  <c r="BE125" i="26"/>
  <c r="BV128" i="26"/>
  <c r="BC1404" i="26" l="1"/>
  <c r="AV1404" i="55" s="1"/>
  <c r="AR1404" i="26"/>
  <c r="AM1404" i="26"/>
  <c r="AO1404" i="26"/>
  <c r="S1404" i="26"/>
  <c r="D1404" i="26"/>
  <c r="AX1404" i="26"/>
  <c r="I1404" i="26"/>
  <c r="BP1404" i="26"/>
  <c r="BO1404" i="26"/>
  <c r="L1404" i="26"/>
  <c r="A1404" i="26"/>
  <c r="Q1404" i="26"/>
  <c r="H1404" i="26"/>
  <c r="K1404" i="26"/>
  <c r="BR1404" i="26"/>
  <c r="BQ1404" i="26"/>
  <c r="AY1404" i="26"/>
  <c r="AK1404" i="26"/>
  <c r="AP1404" i="26"/>
  <c r="N1404" i="26"/>
  <c r="AV1404" i="26"/>
  <c r="V1404" i="26"/>
  <c r="M1404" i="26"/>
  <c r="BK1404" i="26"/>
  <c r="T1404" i="26"/>
  <c r="AT1404" i="26"/>
  <c r="BN1404" i="26"/>
  <c r="R1404" i="26"/>
  <c r="C1404" i="26"/>
  <c r="AF1404" i="26"/>
  <c r="BL1404" i="26"/>
  <c r="X1404" i="26"/>
  <c r="BI1404" i="26"/>
  <c r="O1404" i="26"/>
  <c r="P1404" i="26"/>
  <c r="AJ1404" i="26"/>
  <c r="AS1404" i="26"/>
  <c r="U1404" i="26"/>
  <c r="AW1404" i="26"/>
  <c r="BM1404" i="26"/>
  <c r="W1404" i="26"/>
  <c r="B1404" i="26"/>
  <c r="BJ1404" i="26"/>
  <c r="BA1404" i="26"/>
  <c r="AU1404" i="26"/>
  <c r="G1404" i="26"/>
  <c r="BD1404" i="26"/>
  <c r="BV127" i="26"/>
  <c r="BE124" i="26"/>
  <c r="E1405" i="26" l="1"/>
  <c r="BE123" i="26"/>
  <c r="BV126" i="26"/>
  <c r="BC1405" i="26" l="1"/>
  <c r="AV1405" i="55" s="1"/>
  <c r="K1405" i="26"/>
  <c r="L1405" i="26"/>
  <c r="BI1405" i="26"/>
  <c r="BQ1405" i="26"/>
  <c r="AJ1405" i="26"/>
  <c r="BJ1405" i="26"/>
  <c r="AR1405" i="26"/>
  <c r="AF1405" i="26"/>
  <c r="AV1405" i="26"/>
  <c r="AP1405" i="26"/>
  <c r="BR1405" i="26"/>
  <c r="B1405" i="26"/>
  <c r="S1405" i="26"/>
  <c r="H1405" i="26"/>
  <c r="BN1405" i="26"/>
  <c r="U1405" i="26"/>
  <c r="BM1405" i="26"/>
  <c r="I1405" i="26"/>
  <c r="X1405" i="26"/>
  <c r="AM1405" i="26"/>
  <c r="AY1405" i="26"/>
  <c r="V1405" i="26"/>
  <c r="P1405" i="26"/>
  <c r="O1405" i="26"/>
  <c r="AS1405" i="26"/>
  <c r="T1405" i="26"/>
  <c r="BL1405" i="26"/>
  <c r="Q1405" i="26"/>
  <c r="BP1405" i="26"/>
  <c r="AO1405" i="26"/>
  <c r="W1405" i="26"/>
  <c r="BK1405" i="26"/>
  <c r="AX1405" i="26"/>
  <c r="AT1405" i="26"/>
  <c r="G1405" i="26"/>
  <c r="AU1405" i="26"/>
  <c r="D1405" i="26"/>
  <c r="BO1405" i="26"/>
  <c r="AK1405" i="26"/>
  <c r="R1405" i="26"/>
  <c r="C1405" i="26"/>
  <c r="AW1405" i="26"/>
  <c r="BA1405" i="26"/>
  <c r="M1405" i="26"/>
  <c r="N1405" i="26"/>
  <c r="A1405" i="26"/>
  <c r="BD1405" i="26"/>
  <c r="BV125" i="26"/>
  <c r="BE122" i="26"/>
  <c r="E1406" i="26" l="1"/>
  <c r="BE121" i="26"/>
  <c r="BV124" i="26"/>
  <c r="BC1406" i="26" l="1"/>
  <c r="AV1406" i="55" s="1"/>
  <c r="C1406" i="26"/>
  <c r="BN1406" i="26"/>
  <c r="AJ1406" i="26"/>
  <c r="G1406" i="26"/>
  <c r="D1406" i="26"/>
  <c r="BA1406" i="26"/>
  <c r="V1406" i="26"/>
  <c r="P1406" i="26"/>
  <c r="L1406" i="26"/>
  <c r="W1406" i="26"/>
  <c r="AT1406" i="26"/>
  <c r="AK1406" i="26"/>
  <c r="BR1406" i="26"/>
  <c r="AM1406" i="26"/>
  <c r="BO1406" i="26"/>
  <c r="AS1406" i="26"/>
  <c r="B1406" i="26"/>
  <c r="A1406" i="26"/>
  <c r="AX1406" i="26"/>
  <c r="BI1406" i="26"/>
  <c r="AU1406" i="26"/>
  <c r="AY1406" i="26"/>
  <c r="BL1406" i="26"/>
  <c r="O1406" i="26"/>
  <c r="AW1406" i="26"/>
  <c r="BM1406" i="26"/>
  <c r="N1406" i="26"/>
  <c r="I1406" i="26"/>
  <c r="M1406" i="26"/>
  <c r="BK1406" i="26"/>
  <c r="U1406" i="26"/>
  <c r="AO1406" i="26"/>
  <c r="AR1406" i="26"/>
  <c r="BJ1406" i="26"/>
  <c r="X1406" i="26"/>
  <c r="AV1406" i="26"/>
  <c r="T1406" i="26"/>
  <c r="K1406" i="26"/>
  <c r="S1406" i="26"/>
  <c r="AP1406" i="26"/>
  <c r="H1406" i="26"/>
  <c r="AF1406" i="26"/>
  <c r="BQ1406" i="26"/>
  <c r="R1406" i="26"/>
  <c r="Q1406" i="26"/>
  <c r="BP1406" i="26"/>
  <c r="BD1406" i="26"/>
  <c r="BV123" i="26"/>
  <c r="BE120" i="26"/>
  <c r="E1407" i="26" l="1"/>
  <c r="BE119" i="26"/>
  <c r="BV122" i="26"/>
  <c r="BC1407" i="26" l="1"/>
  <c r="AV1407" i="55" s="1"/>
  <c r="AT1407" i="26"/>
  <c r="BJ1407" i="26"/>
  <c r="O1407" i="26"/>
  <c r="U1407" i="26"/>
  <c r="AF1407" i="26"/>
  <c r="C1407" i="26"/>
  <c r="V1407" i="26"/>
  <c r="S1407" i="26"/>
  <c r="BL1407" i="26"/>
  <c r="K1407" i="26"/>
  <c r="BP1407" i="26"/>
  <c r="BM1407" i="26"/>
  <c r="AP1407" i="26"/>
  <c r="I1407" i="26"/>
  <c r="B1407" i="26"/>
  <c r="R1407" i="26"/>
  <c r="A1407" i="26"/>
  <c r="BR1407" i="26"/>
  <c r="BK1407" i="26"/>
  <c r="P1407" i="26"/>
  <c r="BN1407" i="26"/>
  <c r="AW1407" i="26"/>
  <c r="AY1407" i="26"/>
  <c r="N1407" i="26"/>
  <c r="BA1407" i="26"/>
  <c r="BQ1407" i="26"/>
  <c r="G1407" i="26"/>
  <c r="W1407" i="26"/>
  <c r="AJ1407" i="26"/>
  <c r="T1407" i="26"/>
  <c r="AR1407" i="26"/>
  <c r="AO1407" i="26"/>
  <c r="AS1407" i="26"/>
  <c r="AU1407" i="26"/>
  <c r="AK1407" i="26"/>
  <c r="AM1407" i="26"/>
  <c r="AV1407" i="26"/>
  <c r="X1407" i="26"/>
  <c r="M1407" i="26"/>
  <c r="Q1407" i="26"/>
  <c r="H1407" i="26"/>
  <c r="BO1407" i="26"/>
  <c r="L1407" i="26"/>
  <c r="AX1407" i="26"/>
  <c r="BI1407" i="26"/>
  <c r="D1407" i="26"/>
  <c r="BD1407" i="26"/>
  <c r="BV121" i="26"/>
  <c r="BE118" i="26"/>
  <c r="E1408" i="26" l="1"/>
  <c r="BE117" i="26"/>
  <c r="BV120" i="26"/>
  <c r="BC1408" i="26" l="1"/>
  <c r="AV1408" i="55" s="1"/>
  <c r="X1408" i="26"/>
  <c r="W1408" i="26"/>
  <c r="BM1408" i="26"/>
  <c r="A1408" i="26"/>
  <c r="T1408" i="26"/>
  <c r="K1408" i="26"/>
  <c r="P1408" i="26"/>
  <c r="BI1408" i="26"/>
  <c r="BP1408" i="26"/>
  <c r="BQ1408" i="26"/>
  <c r="B1408" i="26"/>
  <c r="M1408" i="26"/>
  <c r="AX1408" i="26"/>
  <c r="AK1408" i="26"/>
  <c r="AM1408" i="26"/>
  <c r="O1408" i="26"/>
  <c r="BJ1408" i="26"/>
  <c r="N1408" i="26"/>
  <c r="BN1408" i="26"/>
  <c r="BK1408" i="26"/>
  <c r="D1408" i="26"/>
  <c r="U1408" i="26"/>
  <c r="V1408" i="26"/>
  <c r="AV1408" i="26"/>
  <c r="AF1408" i="26"/>
  <c r="BR1408" i="26"/>
  <c r="C1408" i="26"/>
  <c r="H1408" i="26"/>
  <c r="G1408" i="26"/>
  <c r="BO1408" i="26"/>
  <c r="AU1408" i="26"/>
  <c r="S1408" i="26"/>
  <c r="AY1408" i="26"/>
  <c r="AR1408" i="26"/>
  <c r="BA1408" i="26"/>
  <c r="I1408" i="26"/>
  <c r="AO1408" i="26"/>
  <c r="Q1408" i="26"/>
  <c r="BL1408" i="26"/>
  <c r="L1408" i="26"/>
  <c r="AP1408" i="26"/>
  <c r="AS1408" i="26"/>
  <c r="AT1408" i="26"/>
  <c r="R1408" i="26"/>
  <c r="AW1408" i="26"/>
  <c r="AJ1408" i="26"/>
  <c r="BD1408" i="26"/>
  <c r="BV119" i="26"/>
  <c r="BE116" i="26"/>
  <c r="E1409" i="26" l="1"/>
  <c r="BE115" i="26"/>
  <c r="BV118" i="26"/>
  <c r="BC1409" i="26" l="1"/>
  <c r="AV1409" i="55" s="1"/>
  <c r="O1409" i="26"/>
  <c r="T1409" i="26"/>
  <c r="S1409" i="26"/>
  <c r="Q1409" i="26"/>
  <c r="N1409" i="26"/>
  <c r="BP1409" i="26"/>
  <c r="H1409" i="26"/>
  <c r="L1409" i="26"/>
  <c r="AO1409" i="26"/>
  <c r="AV1409" i="26"/>
  <c r="BN1409" i="26"/>
  <c r="AP1409" i="26"/>
  <c r="AJ1409" i="26"/>
  <c r="M1409" i="26"/>
  <c r="K1409" i="26"/>
  <c r="AK1409" i="26"/>
  <c r="AT1409" i="26"/>
  <c r="AS1409" i="26"/>
  <c r="W1409" i="26"/>
  <c r="AW1409" i="26"/>
  <c r="AR1409" i="26"/>
  <c r="BR1409" i="26"/>
  <c r="BA1409" i="26"/>
  <c r="BQ1409" i="26"/>
  <c r="AU1409" i="26"/>
  <c r="BJ1409" i="26"/>
  <c r="V1409" i="26"/>
  <c r="BK1409" i="26"/>
  <c r="U1409" i="26"/>
  <c r="G1409" i="26"/>
  <c r="X1409" i="26"/>
  <c r="A1409" i="26"/>
  <c r="BO1409" i="26"/>
  <c r="P1409" i="26"/>
  <c r="AX1409" i="26"/>
  <c r="BM1409" i="26"/>
  <c r="AF1409" i="26"/>
  <c r="BL1409" i="26"/>
  <c r="C1409" i="26"/>
  <c r="R1409" i="26"/>
  <c r="D1409" i="26"/>
  <c r="AY1409" i="26"/>
  <c r="BI1409" i="26"/>
  <c r="I1409" i="26"/>
  <c r="AM1409" i="26"/>
  <c r="B1409" i="26"/>
  <c r="BD1409" i="26"/>
  <c r="BV117" i="26"/>
  <c r="BE114" i="26"/>
  <c r="E1410" i="26" l="1"/>
  <c r="BE113" i="26"/>
  <c r="BV116" i="26"/>
  <c r="BC1410" i="26" l="1"/>
  <c r="AV1410" i="55" s="1"/>
  <c r="BA1410" i="26"/>
  <c r="BO1410" i="26"/>
  <c r="AW1410" i="26"/>
  <c r="G1410" i="26"/>
  <c r="X1410" i="26"/>
  <c r="AY1410" i="26"/>
  <c r="D1410" i="26"/>
  <c r="K1410" i="26"/>
  <c r="V1410" i="26"/>
  <c r="BJ1410" i="26"/>
  <c r="I1410" i="26"/>
  <c r="P1410" i="26"/>
  <c r="BP1410" i="26"/>
  <c r="R1410" i="26"/>
  <c r="BM1410" i="26"/>
  <c r="H1410" i="26"/>
  <c r="BR1410" i="26"/>
  <c r="AP1410" i="26"/>
  <c r="AU1410" i="26"/>
  <c r="T1410" i="26"/>
  <c r="Q1410" i="26"/>
  <c r="AJ1410" i="26"/>
  <c r="AT1410" i="26"/>
  <c r="AV1410" i="26"/>
  <c r="A1410" i="26"/>
  <c r="BN1410" i="26"/>
  <c r="N1410" i="26"/>
  <c r="BI1410" i="26"/>
  <c r="AO1410" i="26"/>
  <c r="BL1410" i="26"/>
  <c r="BQ1410" i="26"/>
  <c r="BK1410" i="26"/>
  <c r="S1410" i="26"/>
  <c r="C1410" i="26"/>
  <c r="AK1410" i="26"/>
  <c r="AR1410" i="26"/>
  <c r="W1410" i="26"/>
  <c r="L1410" i="26"/>
  <c r="AM1410" i="26"/>
  <c r="AF1410" i="26"/>
  <c r="M1410" i="26"/>
  <c r="AX1410" i="26"/>
  <c r="U1410" i="26"/>
  <c r="AS1410" i="26"/>
  <c r="O1410" i="26"/>
  <c r="B1410" i="26"/>
  <c r="BD1410" i="26"/>
  <c r="BV115" i="26"/>
  <c r="BE112" i="26"/>
  <c r="E1411" i="26" l="1"/>
  <c r="BE111" i="26"/>
  <c r="BV114" i="26"/>
  <c r="BC1411" i="26" l="1"/>
  <c r="AV1411" i="55" s="1"/>
  <c r="L1411" i="26"/>
  <c r="U1411" i="26"/>
  <c r="AU1411" i="26"/>
  <c r="AJ1411" i="26"/>
  <c r="S1411" i="26"/>
  <c r="AT1411" i="26"/>
  <c r="BA1411" i="26"/>
  <c r="B1411" i="26"/>
  <c r="AP1411" i="26"/>
  <c r="BI1411" i="26"/>
  <c r="AO1411" i="26"/>
  <c r="BL1411" i="26"/>
  <c r="G1411" i="26"/>
  <c r="BO1411" i="26"/>
  <c r="N1411" i="26"/>
  <c r="A1411" i="26"/>
  <c r="I1411" i="26"/>
  <c r="BQ1411" i="26"/>
  <c r="D1411" i="26"/>
  <c r="AF1411" i="26"/>
  <c r="H1411" i="26"/>
  <c r="AM1411" i="26"/>
  <c r="AV1411" i="26"/>
  <c r="BJ1411" i="26"/>
  <c r="X1411" i="26"/>
  <c r="BK1411" i="26"/>
  <c r="AW1411" i="26"/>
  <c r="BP1411" i="26"/>
  <c r="W1411" i="26"/>
  <c r="T1411" i="26"/>
  <c r="M1411" i="26"/>
  <c r="AK1411" i="26"/>
  <c r="K1411" i="26"/>
  <c r="BM1411" i="26"/>
  <c r="P1411" i="26"/>
  <c r="AY1411" i="26"/>
  <c r="AS1411" i="26"/>
  <c r="BR1411" i="26"/>
  <c r="O1411" i="26"/>
  <c r="R1411" i="26"/>
  <c r="C1411" i="26"/>
  <c r="V1411" i="26"/>
  <c r="BN1411" i="26"/>
  <c r="AR1411" i="26"/>
  <c r="AX1411" i="26"/>
  <c r="Q1411" i="26"/>
  <c r="BD1411" i="26"/>
  <c r="BV113" i="26"/>
  <c r="BE110" i="26"/>
  <c r="E1412" i="26" l="1"/>
  <c r="BE109" i="26"/>
  <c r="BV112" i="26"/>
  <c r="BC1412" i="26" l="1"/>
  <c r="AV1412" i="55" s="1"/>
  <c r="O1412" i="26"/>
  <c r="BK1412" i="26"/>
  <c r="G1412" i="26"/>
  <c r="Q1412" i="26"/>
  <c r="BQ1412" i="26"/>
  <c r="AX1412" i="26"/>
  <c r="V1412" i="26"/>
  <c r="R1412" i="26"/>
  <c r="AY1412" i="26"/>
  <c r="A1412" i="26"/>
  <c r="AR1412" i="26"/>
  <c r="BR1412" i="26"/>
  <c r="I1412" i="26"/>
  <c r="B1412" i="26"/>
  <c r="C1412" i="26"/>
  <c r="H1412" i="26"/>
  <c r="T1412" i="26"/>
  <c r="AJ1412" i="26"/>
  <c r="AS1412" i="26"/>
  <c r="L1412" i="26"/>
  <c r="K1412" i="26"/>
  <c r="N1412" i="26"/>
  <c r="BN1412" i="26"/>
  <c r="AW1412" i="26"/>
  <c r="AK1412" i="26"/>
  <c r="AP1412" i="26"/>
  <c r="BM1412" i="26"/>
  <c r="AM1412" i="26"/>
  <c r="S1412" i="26"/>
  <c r="BL1412" i="26"/>
  <c r="M1412" i="26"/>
  <c r="W1412" i="26"/>
  <c r="X1412" i="26"/>
  <c r="BJ1412" i="26"/>
  <c r="BI1412" i="26"/>
  <c r="BA1412" i="26"/>
  <c r="AV1412" i="26"/>
  <c r="AF1412" i="26"/>
  <c r="AO1412" i="26"/>
  <c r="D1412" i="26"/>
  <c r="BP1412" i="26"/>
  <c r="P1412" i="26"/>
  <c r="BO1412" i="26"/>
  <c r="AU1412" i="26"/>
  <c r="AT1412" i="26"/>
  <c r="U1412" i="26"/>
  <c r="BD1412" i="26"/>
  <c r="BV111" i="26"/>
  <c r="BE108" i="26"/>
  <c r="E1413" i="26" l="1"/>
  <c r="BV110" i="26"/>
  <c r="BE107" i="26"/>
  <c r="BC1413" i="26" l="1"/>
  <c r="AV1413" i="55" s="1"/>
  <c r="AP1413" i="26"/>
  <c r="H1413" i="26"/>
  <c r="K1413" i="26"/>
  <c r="R1413" i="26"/>
  <c r="BI1413" i="26"/>
  <c r="Q1413" i="26"/>
  <c r="AS1413" i="26"/>
  <c r="I1413" i="26"/>
  <c r="A1413" i="26"/>
  <c r="BR1413" i="26"/>
  <c r="T1413" i="26"/>
  <c r="BA1413" i="26"/>
  <c r="BM1413" i="26"/>
  <c r="AV1413" i="26"/>
  <c r="D1413" i="26"/>
  <c r="C1413" i="26"/>
  <c r="M1413" i="26"/>
  <c r="AM1413" i="26"/>
  <c r="B1413" i="26"/>
  <c r="AR1413" i="26"/>
  <c r="BQ1413" i="26"/>
  <c r="G1413" i="26"/>
  <c r="AW1413" i="26"/>
  <c r="BP1413" i="26"/>
  <c r="X1413" i="26"/>
  <c r="N1413" i="26"/>
  <c r="L1413" i="26"/>
  <c r="BO1413" i="26"/>
  <c r="AT1413" i="26"/>
  <c r="BJ1413" i="26"/>
  <c r="O1413" i="26"/>
  <c r="AF1413" i="26"/>
  <c r="BK1413" i="26"/>
  <c r="AK1413" i="26"/>
  <c r="AU1413" i="26"/>
  <c r="BL1413" i="26"/>
  <c r="P1413" i="26"/>
  <c r="AJ1413" i="26"/>
  <c r="AO1413" i="26"/>
  <c r="S1413" i="26"/>
  <c r="BN1413" i="26"/>
  <c r="V1413" i="26"/>
  <c r="AY1413" i="26"/>
  <c r="AX1413" i="26"/>
  <c r="W1413" i="26"/>
  <c r="U1413" i="26"/>
  <c r="BD1413" i="26"/>
  <c r="BE106" i="26"/>
  <c r="BV109" i="26"/>
  <c r="E1414" i="26" l="1"/>
  <c r="BV108" i="26"/>
  <c r="BE105" i="26"/>
  <c r="BC1414" i="26" l="1"/>
  <c r="AV1414" i="55" s="1"/>
  <c r="BR1414" i="26"/>
  <c r="BA1414" i="26"/>
  <c r="AU1414" i="26"/>
  <c r="AF1414" i="26"/>
  <c r="AJ1414" i="26"/>
  <c r="BK1414" i="26"/>
  <c r="I1414" i="26"/>
  <c r="BN1414" i="26"/>
  <c r="AX1414" i="26"/>
  <c r="AV1414" i="26"/>
  <c r="BM1414" i="26"/>
  <c r="BI1414" i="26"/>
  <c r="U1414" i="26"/>
  <c r="Q1414" i="26"/>
  <c r="BJ1414" i="26"/>
  <c r="C1414" i="26"/>
  <c r="AR1414" i="26"/>
  <c r="D1414" i="26"/>
  <c r="O1414" i="26"/>
  <c r="T1414" i="26"/>
  <c r="AW1414" i="26"/>
  <c r="AM1414" i="26"/>
  <c r="V1414" i="26"/>
  <c r="AO1414" i="26"/>
  <c r="P1414" i="26"/>
  <c r="M1414" i="26"/>
  <c r="R1414" i="26"/>
  <c r="B1414" i="26"/>
  <c r="L1414" i="26"/>
  <c r="S1414" i="26"/>
  <c r="BL1414" i="26"/>
  <c r="AT1414" i="26"/>
  <c r="BO1414" i="26"/>
  <c r="H1414" i="26"/>
  <c r="AP1414" i="26"/>
  <c r="BP1414" i="26"/>
  <c r="AK1414" i="26"/>
  <c r="X1414" i="26"/>
  <c r="N1414" i="26"/>
  <c r="AS1414" i="26"/>
  <c r="W1414" i="26"/>
  <c r="AY1414" i="26"/>
  <c r="A1414" i="26"/>
  <c r="G1414" i="26"/>
  <c r="BQ1414" i="26"/>
  <c r="K1414" i="26"/>
  <c r="BD1414" i="26"/>
  <c r="BE104" i="26"/>
  <c r="BV107" i="26"/>
  <c r="E1415" i="26" l="1"/>
  <c r="BV106" i="26"/>
  <c r="BE103" i="26"/>
  <c r="BC1415" i="26" l="1"/>
  <c r="AV1415" i="55" s="1"/>
  <c r="M1415" i="26"/>
  <c r="BJ1415" i="26"/>
  <c r="BO1415" i="26"/>
  <c r="BN1415" i="26"/>
  <c r="AF1415" i="26"/>
  <c r="BQ1415" i="26"/>
  <c r="AO1415" i="26"/>
  <c r="BL1415" i="26"/>
  <c r="BK1415" i="26"/>
  <c r="I1415" i="26"/>
  <c r="H1415" i="26"/>
  <c r="AM1415" i="26"/>
  <c r="AX1415" i="26"/>
  <c r="B1415" i="26"/>
  <c r="W1415" i="26"/>
  <c r="R1415" i="26"/>
  <c r="BA1415" i="26"/>
  <c r="AJ1415" i="26"/>
  <c r="Q1415" i="26"/>
  <c r="AS1415" i="26"/>
  <c r="AW1415" i="26"/>
  <c r="BP1415" i="26"/>
  <c r="AV1415" i="26"/>
  <c r="L1415" i="26"/>
  <c r="AR1415" i="26"/>
  <c r="P1415" i="26"/>
  <c r="G1415" i="26"/>
  <c r="O1415" i="26"/>
  <c r="AU1415" i="26"/>
  <c r="D1415" i="26"/>
  <c r="AK1415" i="26"/>
  <c r="C1415" i="26"/>
  <c r="AT1415" i="26"/>
  <c r="N1415" i="26"/>
  <c r="A1415" i="26"/>
  <c r="BR1415" i="26"/>
  <c r="AP1415" i="26"/>
  <c r="X1415" i="26"/>
  <c r="U1415" i="26"/>
  <c r="V1415" i="26"/>
  <c r="T1415" i="26"/>
  <c r="S1415" i="26"/>
  <c r="AY1415" i="26"/>
  <c r="BI1415" i="26"/>
  <c r="K1415" i="26"/>
  <c r="BM1415" i="26"/>
  <c r="BD1415" i="26"/>
  <c r="BE102" i="26"/>
  <c r="BV105" i="26"/>
  <c r="E1416" i="26" l="1"/>
  <c r="BE101" i="26"/>
  <c r="BV104" i="26"/>
  <c r="BC1416" i="26" l="1"/>
  <c r="AV1416" i="55" s="1"/>
  <c r="AY1416" i="26"/>
  <c r="H1416" i="26"/>
  <c r="AT1416" i="26"/>
  <c r="BQ1416" i="26"/>
  <c r="K1416" i="26"/>
  <c r="L1416" i="26"/>
  <c r="AV1416" i="26"/>
  <c r="U1416" i="26"/>
  <c r="AX1416" i="26"/>
  <c r="AS1416" i="26"/>
  <c r="D1416" i="26"/>
  <c r="BN1416" i="26"/>
  <c r="BL1416" i="26"/>
  <c r="BA1416" i="26"/>
  <c r="P1416" i="26"/>
  <c r="M1416" i="26"/>
  <c r="C1416" i="26"/>
  <c r="BI1416" i="26"/>
  <c r="T1416" i="26"/>
  <c r="S1416" i="26"/>
  <c r="V1416" i="26"/>
  <c r="AF1416" i="26"/>
  <c r="BR1416" i="26"/>
  <c r="AR1416" i="26"/>
  <c r="AW1416" i="26"/>
  <c r="AO1416" i="26"/>
  <c r="BK1416" i="26"/>
  <c r="AM1416" i="26"/>
  <c r="B1416" i="26"/>
  <c r="W1416" i="26"/>
  <c r="BO1416" i="26"/>
  <c r="X1416" i="26"/>
  <c r="R1416" i="26"/>
  <c r="BP1416" i="26"/>
  <c r="I1416" i="26"/>
  <c r="O1416" i="26"/>
  <c r="AP1416" i="26"/>
  <c r="BM1416" i="26"/>
  <c r="N1416" i="26"/>
  <c r="AU1416" i="26"/>
  <c r="BJ1416" i="26"/>
  <c r="G1416" i="26"/>
  <c r="Q1416" i="26"/>
  <c r="AK1416" i="26"/>
  <c r="A1416" i="26"/>
  <c r="AJ1416" i="26"/>
  <c r="BD1416" i="26"/>
  <c r="BV103" i="26"/>
  <c r="BE100" i="26"/>
  <c r="E1417" i="26" l="1"/>
  <c r="BE99" i="26"/>
  <c r="BV102" i="26"/>
  <c r="BC1417" i="26" l="1"/>
  <c r="AV1417" i="55" s="1"/>
  <c r="H1417" i="26"/>
  <c r="AR1417" i="26"/>
  <c r="BM1417" i="26"/>
  <c r="A1417" i="26"/>
  <c r="AK1417" i="26"/>
  <c r="I1417" i="26"/>
  <c r="W1417" i="26"/>
  <c r="BK1417" i="26"/>
  <c r="BR1417" i="26"/>
  <c r="AY1417" i="26"/>
  <c r="O1417" i="26"/>
  <c r="S1417" i="26"/>
  <c r="AF1417" i="26"/>
  <c r="AT1417" i="26"/>
  <c r="BJ1417" i="26"/>
  <c r="M1417" i="26"/>
  <c r="K1417" i="26"/>
  <c r="AX1417" i="26"/>
  <c r="BO1417" i="26"/>
  <c r="U1417" i="26"/>
  <c r="P1417" i="26"/>
  <c r="AJ1417" i="26"/>
  <c r="V1417" i="26"/>
  <c r="B1417" i="26"/>
  <c r="AO1417" i="26"/>
  <c r="BP1417" i="26"/>
  <c r="AP1417" i="26"/>
  <c r="T1417" i="26"/>
  <c r="BI1417" i="26"/>
  <c r="BA1417" i="26"/>
  <c r="BL1417" i="26"/>
  <c r="AS1417" i="26"/>
  <c r="G1417" i="26"/>
  <c r="Q1417" i="26"/>
  <c r="BQ1417" i="26"/>
  <c r="AW1417" i="26"/>
  <c r="R1417" i="26"/>
  <c r="D1417" i="26"/>
  <c r="AV1417" i="26"/>
  <c r="L1417" i="26"/>
  <c r="N1417" i="26"/>
  <c r="C1417" i="26"/>
  <c r="AM1417" i="26"/>
  <c r="AU1417" i="26"/>
  <c r="BN1417" i="26"/>
  <c r="X1417" i="26"/>
  <c r="BD1417" i="26"/>
  <c r="BV101" i="26"/>
  <c r="BE98" i="26"/>
  <c r="E1418" i="26" l="1"/>
  <c r="I917" i="55"/>
  <c r="U917" i="55" s="1"/>
  <c r="V917" i="55" s="1"/>
  <c r="I918" i="55"/>
  <c r="I919" i="55"/>
  <c r="I920" i="55"/>
  <c r="I921" i="55"/>
  <c r="I922" i="55"/>
  <c r="I923" i="55"/>
  <c r="I924" i="55"/>
  <c r="I925" i="55"/>
  <c r="I926" i="55"/>
  <c r="I927" i="55"/>
  <c r="I928" i="55"/>
  <c r="I929" i="55"/>
  <c r="U929" i="55" s="1"/>
  <c r="V929" i="55" s="1"/>
  <c r="I930" i="55"/>
  <c r="I931" i="55"/>
  <c r="I932" i="55"/>
  <c r="I933" i="55"/>
  <c r="I934" i="55"/>
  <c r="I935" i="55"/>
  <c r="I936" i="55"/>
  <c r="I937" i="55"/>
  <c r="I938" i="55"/>
  <c r="I939" i="55"/>
  <c r="I940" i="55"/>
  <c r="I941" i="55"/>
  <c r="U941" i="55" s="1"/>
  <c r="V941" i="55" s="1"/>
  <c r="I942" i="55"/>
  <c r="I943" i="55"/>
  <c r="I944" i="55"/>
  <c r="I945" i="55"/>
  <c r="I946" i="55"/>
  <c r="I947" i="55"/>
  <c r="I948" i="55"/>
  <c r="I949" i="55"/>
  <c r="I950" i="55"/>
  <c r="I951" i="55"/>
  <c r="I952" i="55"/>
  <c r="I953" i="55"/>
  <c r="U953" i="55" s="1"/>
  <c r="V953" i="55" s="1"/>
  <c r="I954" i="55"/>
  <c r="I955" i="55"/>
  <c r="I956" i="55"/>
  <c r="I957" i="55"/>
  <c r="I958" i="55"/>
  <c r="I959" i="55"/>
  <c r="I960" i="55"/>
  <c r="I961" i="55"/>
  <c r="I962" i="55"/>
  <c r="I963" i="55"/>
  <c r="I964" i="55"/>
  <c r="I965" i="55"/>
  <c r="U965" i="55" s="1"/>
  <c r="V965" i="55" s="1"/>
  <c r="I966" i="55"/>
  <c r="I967" i="55"/>
  <c r="I968" i="55"/>
  <c r="I969" i="55"/>
  <c r="I970" i="55"/>
  <c r="I971" i="55"/>
  <c r="I972" i="55"/>
  <c r="I973" i="55"/>
  <c r="I974" i="55"/>
  <c r="I975" i="55"/>
  <c r="I976" i="55"/>
  <c r="I917" i="26"/>
  <c r="AS917" i="26" s="1"/>
  <c r="AR917" i="26" s="1"/>
  <c r="I918" i="26"/>
  <c r="I919" i="26"/>
  <c r="I920" i="26"/>
  <c r="I921" i="26"/>
  <c r="I922" i="26"/>
  <c r="I923" i="26"/>
  <c r="I924" i="26"/>
  <c r="I925" i="26"/>
  <c r="I926" i="26"/>
  <c r="I927" i="26"/>
  <c r="I928" i="26"/>
  <c r="I929" i="26"/>
  <c r="AS929" i="26" s="1"/>
  <c r="I930" i="26"/>
  <c r="I931" i="26"/>
  <c r="I932" i="26"/>
  <c r="I933" i="26"/>
  <c r="I934" i="26"/>
  <c r="I935" i="26"/>
  <c r="I936" i="26"/>
  <c r="I937" i="26"/>
  <c r="I938" i="26"/>
  <c r="I939" i="26"/>
  <c r="I940" i="26"/>
  <c r="I941" i="26"/>
  <c r="AS941" i="26" s="1"/>
  <c r="I942" i="26"/>
  <c r="I943" i="26"/>
  <c r="I944" i="26"/>
  <c r="I945" i="26"/>
  <c r="I946" i="26"/>
  <c r="I947" i="26"/>
  <c r="I948" i="26"/>
  <c r="I949" i="26"/>
  <c r="I950" i="26"/>
  <c r="I951" i="26"/>
  <c r="I952" i="26"/>
  <c r="I953" i="26"/>
  <c r="AS953" i="26" s="1"/>
  <c r="I954" i="26"/>
  <c r="I955" i="26"/>
  <c r="I956" i="26"/>
  <c r="I957" i="26"/>
  <c r="I958" i="26"/>
  <c r="I959" i="26"/>
  <c r="I960" i="26"/>
  <c r="I961" i="26"/>
  <c r="I962" i="26"/>
  <c r="I963" i="26"/>
  <c r="I964" i="26"/>
  <c r="I965" i="26"/>
  <c r="AS965" i="26" s="1"/>
  <c r="I966" i="26"/>
  <c r="I967" i="26"/>
  <c r="I968" i="26"/>
  <c r="I969" i="26"/>
  <c r="I970" i="26"/>
  <c r="I971" i="26"/>
  <c r="I972" i="26"/>
  <c r="I973" i="26"/>
  <c r="I974" i="26"/>
  <c r="I975" i="26"/>
  <c r="I976" i="26"/>
  <c r="BE97" i="26"/>
  <c r="BV100" i="26"/>
  <c r="BC1418" i="26" l="1"/>
  <c r="AV1418" i="55" s="1"/>
  <c r="G1418" i="26"/>
  <c r="AT1418" i="26"/>
  <c r="BO1418" i="26"/>
  <c r="BP1418" i="26"/>
  <c r="AF1418" i="26"/>
  <c r="W1418" i="26"/>
  <c r="BM1418" i="26"/>
  <c r="V1418" i="26"/>
  <c r="AR1418" i="26"/>
  <c r="A1418" i="26"/>
  <c r="I1418" i="26"/>
  <c r="R1418" i="26"/>
  <c r="U1418" i="26"/>
  <c r="AX1418" i="26"/>
  <c r="B1418" i="26"/>
  <c r="D1418" i="26"/>
  <c r="BN1418" i="26"/>
  <c r="AS1418" i="26"/>
  <c r="AM1418" i="26"/>
  <c r="S1418" i="26"/>
  <c r="N1418" i="26"/>
  <c r="BI1418" i="26"/>
  <c r="AP1418" i="26"/>
  <c r="AJ1418" i="26"/>
  <c r="AK1418" i="26"/>
  <c r="L1418" i="26"/>
  <c r="C1418" i="26"/>
  <c r="AU1418" i="26"/>
  <c r="BJ1418" i="26"/>
  <c r="H1418" i="26"/>
  <c r="BL1418" i="26"/>
  <c r="AY1418" i="26"/>
  <c r="BK1418" i="26"/>
  <c r="AW1418" i="26"/>
  <c r="T1418" i="26"/>
  <c r="BR1418" i="26"/>
  <c r="P1418" i="26"/>
  <c r="BA1418" i="26"/>
  <c r="K1418" i="26"/>
  <c r="Q1418" i="26"/>
  <c r="AO1418" i="26"/>
  <c r="AV1418" i="26"/>
  <c r="BQ1418" i="26"/>
  <c r="M1418" i="26"/>
  <c r="X1418" i="26"/>
  <c r="O1418" i="26"/>
  <c r="BD1418" i="26"/>
  <c r="BV99" i="26"/>
  <c r="BE96" i="26"/>
  <c r="BJ965" i="26"/>
  <c r="AR965" i="26"/>
  <c r="BJ953" i="26"/>
  <c r="AR953" i="26"/>
  <c r="BJ941" i="26"/>
  <c r="AR941" i="26"/>
  <c r="BJ929" i="26"/>
  <c r="AR929" i="26"/>
  <c r="AV917" i="26"/>
  <c r="BA917" i="26"/>
  <c r="Z965" i="55"/>
  <c r="Z964" i="55" s="1"/>
  <c r="Z963" i="55" s="1"/>
  <c r="Z962" i="55" s="1"/>
  <c r="Z961" i="55" s="1"/>
  <c r="Z960" i="55" s="1"/>
  <c r="Z959" i="55" s="1"/>
  <c r="Z958" i="55" s="1"/>
  <c r="Z957" i="55" s="1"/>
  <c r="Z956" i="55" s="1"/>
  <c r="Z955" i="55" s="1"/>
  <c r="Z954" i="55" s="1"/>
  <c r="Z953" i="55" s="1"/>
  <c r="Z952" i="55" s="1"/>
  <c r="Z951" i="55" s="1"/>
  <c r="Z950" i="55" s="1"/>
  <c r="Z949" i="55" s="1"/>
  <c r="Z948" i="55" s="1"/>
  <c r="Z947" i="55" s="1"/>
  <c r="Z946" i="55" s="1"/>
  <c r="Z945" i="55" s="1"/>
  <c r="Z944" i="55" s="1"/>
  <c r="Z943" i="55" s="1"/>
  <c r="Z942" i="55" s="1"/>
  <c r="Z941" i="55" s="1"/>
  <c r="Z940" i="55" s="1"/>
  <c r="Z939" i="55" s="1"/>
  <c r="Z938" i="55" s="1"/>
  <c r="Z937" i="55" s="1"/>
  <c r="Z936" i="55" s="1"/>
  <c r="Z935" i="55" s="1"/>
  <c r="Z934" i="55" s="1"/>
  <c r="Z933" i="55" s="1"/>
  <c r="Z932" i="55" s="1"/>
  <c r="Z931" i="55" s="1"/>
  <c r="Z930" i="55" s="1"/>
  <c r="Z929" i="55" s="1"/>
  <c r="Z928" i="55" s="1"/>
  <c r="Z927" i="55" s="1"/>
  <c r="Z926" i="55" s="1"/>
  <c r="Z925" i="55" s="1"/>
  <c r="Z924" i="55" s="1"/>
  <c r="Z923" i="55" s="1"/>
  <c r="Z922" i="55" s="1"/>
  <c r="Z921" i="55" s="1"/>
  <c r="Z920" i="55" s="1"/>
  <c r="Z919" i="55" s="1"/>
  <c r="Z918" i="55" s="1"/>
  <c r="Z917" i="55" s="1"/>
  <c r="Z916" i="55" s="1"/>
  <c r="Z915" i="55" s="1"/>
  <c r="Z914" i="55" s="1"/>
  <c r="Z913" i="55" s="1"/>
  <c r="Z912" i="55" s="1"/>
  <c r="Z911" i="55" s="1"/>
  <c r="Z910" i="55" s="1"/>
  <c r="Z909" i="55" s="1"/>
  <c r="Z908" i="55" s="1"/>
  <c r="Z907" i="55" s="1"/>
  <c r="Z906" i="55" s="1"/>
  <c r="BF916" i="26" l="1"/>
  <c r="BG916" i="26" s="1"/>
  <c r="AX916" i="26"/>
  <c r="AW916" i="26"/>
  <c r="AR916" i="26"/>
  <c r="AV916" i="26" s="1"/>
  <c r="E1419" i="26"/>
  <c r="AB919" i="55"/>
  <c r="AC919" i="55" s="1"/>
  <c r="AB923" i="55"/>
  <c r="AC923" i="55" s="1"/>
  <c r="AB927" i="55"/>
  <c r="AC927" i="55" s="1"/>
  <c r="AB931" i="55"/>
  <c r="AC931" i="55" s="1"/>
  <c r="AB935" i="55"/>
  <c r="AC935" i="55" s="1"/>
  <c r="AB939" i="55"/>
  <c r="AC939" i="55" s="1"/>
  <c r="AB943" i="55"/>
  <c r="AC943" i="55" s="1"/>
  <c r="AB947" i="55"/>
  <c r="AC947" i="55" s="1"/>
  <c r="AB951" i="55"/>
  <c r="AC951" i="55" s="1"/>
  <c r="AB955" i="55"/>
  <c r="AC955" i="55" s="1"/>
  <c r="AB959" i="55"/>
  <c r="AC959" i="55" s="1"/>
  <c r="AB963" i="55"/>
  <c r="AC963" i="55" s="1"/>
  <c r="AB967" i="55"/>
  <c r="AC967" i="55" s="1"/>
  <c r="AB971" i="55"/>
  <c r="AC971" i="55" s="1"/>
  <c r="AB975" i="55"/>
  <c r="AC975" i="55" s="1"/>
  <c r="AB917" i="55"/>
  <c r="AC917" i="55" s="1"/>
  <c r="AB933" i="55"/>
  <c r="AC933" i="55" s="1"/>
  <c r="AB941" i="55"/>
  <c r="AC941" i="55" s="1"/>
  <c r="AB953" i="55"/>
  <c r="AC953" i="55" s="1"/>
  <c r="AB965" i="55"/>
  <c r="AC965" i="55" s="1"/>
  <c r="AB920" i="55"/>
  <c r="AC920" i="55" s="1"/>
  <c r="AB924" i="55"/>
  <c r="AC924" i="55" s="1"/>
  <c r="AB928" i="55"/>
  <c r="AC928" i="55" s="1"/>
  <c r="AB932" i="55"/>
  <c r="AC932" i="55" s="1"/>
  <c r="AB936" i="55"/>
  <c r="AC936" i="55" s="1"/>
  <c r="AB940" i="55"/>
  <c r="AC940" i="55" s="1"/>
  <c r="AB944" i="55"/>
  <c r="AC944" i="55" s="1"/>
  <c r="AB948" i="55"/>
  <c r="AC948" i="55" s="1"/>
  <c r="AB952" i="55"/>
  <c r="AC952" i="55" s="1"/>
  <c r="AB956" i="55"/>
  <c r="AC956" i="55" s="1"/>
  <c r="AB960" i="55"/>
  <c r="AC960" i="55" s="1"/>
  <c r="AB964" i="55"/>
  <c r="AC964" i="55" s="1"/>
  <c r="AB968" i="55"/>
  <c r="AC968" i="55" s="1"/>
  <c r="AB972" i="55"/>
  <c r="AC972" i="55" s="1"/>
  <c r="AB976" i="55"/>
  <c r="AC976" i="55" s="1"/>
  <c r="AB921" i="55"/>
  <c r="AC921" i="55" s="1"/>
  <c r="AB929" i="55"/>
  <c r="AC929" i="55" s="1"/>
  <c r="AB937" i="55"/>
  <c r="AC937" i="55" s="1"/>
  <c r="AB949" i="55"/>
  <c r="AC949" i="55" s="1"/>
  <c r="AB961" i="55"/>
  <c r="AC961" i="55" s="1"/>
  <c r="AB973" i="55"/>
  <c r="AC973" i="55" s="1"/>
  <c r="AB918" i="55"/>
  <c r="AC918" i="55" s="1"/>
  <c r="AB922" i="55"/>
  <c r="AC922" i="55" s="1"/>
  <c r="AB926" i="55"/>
  <c r="AC926" i="55" s="1"/>
  <c r="AB930" i="55"/>
  <c r="AC930" i="55" s="1"/>
  <c r="AB934" i="55"/>
  <c r="AC934" i="55" s="1"/>
  <c r="AB938" i="55"/>
  <c r="AC938" i="55" s="1"/>
  <c r="AB942" i="55"/>
  <c r="AC942" i="55" s="1"/>
  <c r="AB946" i="55"/>
  <c r="AC946" i="55" s="1"/>
  <c r="AB950" i="55"/>
  <c r="AC950" i="55" s="1"/>
  <c r="AB954" i="55"/>
  <c r="AC954" i="55" s="1"/>
  <c r="AB958" i="55"/>
  <c r="AC958" i="55" s="1"/>
  <c r="AB962" i="55"/>
  <c r="AC962" i="55" s="1"/>
  <c r="AB966" i="55"/>
  <c r="AC966" i="55" s="1"/>
  <c r="AB970" i="55"/>
  <c r="AC970" i="55" s="1"/>
  <c r="AB974" i="55"/>
  <c r="AC974" i="55" s="1"/>
  <c r="AB925" i="55"/>
  <c r="AC925" i="55" s="1"/>
  <c r="AB945" i="55"/>
  <c r="AC945" i="55" s="1"/>
  <c r="AB957" i="55"/>
  <c r="AC957" i="55" s="1"/>
  <c r="AB969" i="55"/>
  <c r="AC969" i="55" s="1"/>
  <c r="AV965" i="26"/>
  <c r="AY965" i="26" s="1"/>
  <c r="BA965" i="26" s="1"/>
  <c r="BI965" i="26"/>
  <c r="BV98" i="26"/>
  <c r="AV941" i="26"/>
  <c r="AY941" i="26" s="1"/>
  <c r="BA941" i="26" s="1"/>
  <c r="AV929" i="26"/>
  <c r="AY929" i="26" s="1"/>
  <c r="BA929" i="26" s="1"/>
  <c r="AV953" i="26"/>
  <c r="AY953" i="26"/>
  <c r="BA953" i="26" s="1"/>
  <c r="BE95" i="26"/>
  <c r="AZ915" i="26" l="1"/>
  <c r="BF915" i="26" s="1"/>
  <c r="BG915" i="26" s="1"/>
  <c r="AY916" i="26"/>
  <c r="BC1419" i="26"/>
  <c r="AV1419" i="55" s="1"/>
  <c r="AR1419" i="26"/>
  <c r="N1419" i="26"/>
  <c r="BI1419" i="26"/>
  <c r="S1419" i="26"/>
  <c r="H1419" i="26"/>
  <c r="U1419" i="26"/>
  <c r="C1419" i="26"/>
  <c r="AP1419" i="26"/>
  <c r="BN1419" i="26"/>
  <c r="BK1419" i="26"/>
  <c r="I1419" i="26"/>
  <c r="O1419" i="26"/>
  <c r="G1419" i="26"/>
  <c r="AU1419" i="26"/>
  <c r="A1419" i="26"/>
  <c r="AS1419" i="26"/>
  <c r="AJ1419" i="26"/>
  <c r="BR1419" i="26"/>
  <c r="V1419" i="26"/>
  <c r="BQ1419" i="26"/>
  <c r="Q1419" i="26"/>
  <c r="AV1419" i="26"/>
  <c r="AF1419" i="26"/>
  <c r="AK1419" i="26"/>
  <c r="AW1419" i="26"/>
  <c r="K1419" i="26"/>
  <c r="AM1419" i="26"/>
  <c r="AY1419" i="26"/>
  <c r="L1419" i="26"/>
  <c r="AO1419" i="26"/>
  <c r="BA1419" i="26"/>
  <c r="X1419" i="26"/>
  <c r="BJ1419" i="26"/>
  <c r="BM1419" i="26"/>
  <c r="AT1419" i="26"/>
  <c r="B1419" i="26"/>
  <c r="BP1419" i="26"/>
  <c r="BO1419" i="26"/>
  <c r="R1419" i="26"/>
  <c r="D1419" i="26"/>
  <c r="BL1419" i="26"/>
  <c r="AX1419" i="26"/>
  <c r="W1419" i="26"/>
  <c r="P1419" i="26"/>
  <c r="M1419" i="26"/>
  <c r="T1419" i="26"/>
  <c r="BD1419" i="26"/>
  <c r="BE94" i="26"/>
  <c r="BM965" i="26"/>
  <c r="BQ964" i="26" s="1"/>
  <c r="AF976" i="55"/>
  <c r="AF975" i="55" s="1"/>
  <c r="AF974" i="55" s="1"/>
  <c r="AF973" i="55" s="1"/>
  <c r="AF972" i="55" s="1"/>
  <c r="AF971" i="55" s="1"/>
  <c r="AF970" i="55" s="1"/>
  <c r="AF969" i="55" s="1"/>
  <c r="AF968" i="55" s="1"/>
  <c r="AF967" i="55" s="1"/>
  <c r="AF966" i="55" s="1"/>
  <c r="AF965" i="55" s="1"/>
  <c r="AF964" i="55" s="1"/>
  <c r="AF963" i="55" s="1"/>
  <c r="AF962" i="55" s="1"/>
  <c r="AF961" i="55" s="1"/>
  <c r="AF960" i="55" s="1"/>
  <c r="AF959" i="55" s="1"/>
  <c r="AF958" i="55" s="1"/>
  <c r="AF957" i="55" s="1"/>
  <c r="AF956" i="55" s="1"/>
  <c r="AF955" i="55" s="1"/>
  <c r="AF954" i="55" s="1"/>
  <c r="AF953" i="55" s="1"/>
  <c r="AF952" i="55" s="1"/>
  <c r="AF951" i="55" s="1"/>
  <c r="AF950" i="55" s="1"/>
  <c r="AF949" i="55" s="1"/>
  <c r="AF948" i="55" s="1"/>
  <c r="AF947" i="55" s="1"/>
  <c r="AF946" i="55" s="1"/>
  <c r="AF945" i="55" s="1"/>
  <c r="AF944" i="55" s="1"/>
  <c r="AF943" i="55" s="1"/>
  <c r="AF942" i="55" s="1"/>
  <c r="AF941" i="55" s="1"/>
  <c r="AF940" i="55" s="1"/>
  <c r="AF939" i="55" s="1"/>
  <c r="AF938" i="55" s="1"/>
  <c r="AF937" i="55" s="1"/>
  <c r="AF936" i="55" s="1"/>
  <c r="AF935" i="55" s="1"/>
  <c r="AF934" i="55" s="1"/>
  <c r="AF933" i="55" s="1"/>
  <c r="AF932" i="55" s="1"/>
  <c r="AF931" i="55" s="1"/>
  <c r="AF930" i="55" s="1"/>
  <c r="AF929" i="55" s="1"/>
  <c r="AF928" i="55" s="1"/>
  <c r="AF927" i="55" s="1"/>
  <c r="AF926" i="55" s="1"/>
  <c r="AF925" i="55" s="1"/>
  <c r="AF924" i="55" s="1"/>
  <c r="AF923" i="55" s="1"/>
  <c r="AF922" i="55" s="1"/>
  <c r="AF921" i="55" s="1"/>
  <c r="AF920" i="55" s="1"/>
  <c r="AF919" i="55" s="1"/>
  <c r="AF918" i="55" s="1"/>
  <c r="AF917" i="55" s="1"/>
  <c r="AD976" i="55"/>
  <c r="AD975" i="55" s="1"/>
  <c r="AD974" i="55" s="1"/>
  <c r="AD973" i="55" s="1"/>
  <c r="AD972" i="55" s="1"/>
  <c r="AD971" i="55" s="1"/>
  <c r="AD970" i="55" s="1"/>
  <c r="AD969" i="55" s="1"/>
  <c r="AD968" i="55" s="1"/>
  <c r="AD967" i="55" s="1"/>
  <c r="AD966" i="55" s="1"/>
  <c r="AD965" i="55" s="1"/>
  <c r="AD964" i="55" s="1"/>
  <c r="AD963" i="55" s="1"/>
  <c r="AD962" i="55" s="1"/>
  <c r="AD961" i="55" s="1"/>
  <c r="AD960" i="55" s="1"/>
  <c r="AD959" i="55" s="1"/>
  <c r="AD958" i="55" s="1"/>
  <c r="AD957" i="55" s="1"/>
  <c r="AD956" i="55" s="1"/>
  <c r="AD955" i="55" s="1"/>
  <c r="AD954" i="55" s="1"/>
  <c r="AD953" i="55" s="1"/>
  <c r="AD952" i="55" s="1"/>
  <c r="AD951" i="55" s="1"/>
  <c r="AD950" i="55" s="1"/>
  <c r="AD949" i="55" s="1"/>
  <c r="AD948" i="55" s="1"/>
  <c r="AD947" i="55" s="1"/>
  <c r="AD946" i="55" s="1"/>
  <c r="AD945" i="55" s="1"/>
  <c r="AD944" i="55" s="1"/>
  <c r="AD943" i="55" s="1"/>
  <c r="AD942" i="55" s="1"/>
  <c r="AD941" i="55" s="1"/>
  <c r="AD940" i="55" s="1"/>
  <c r="AD939" i="55" s="1"/>
  <c r="AD938" i="55" s="1"/>
  <c r="AD937" i="55" s="1"/>
  <c r="AD936" i="55" s="1"/>
  <c r="AD935" i="55" s="1"/>
  <c r="AD934" i="55" s="1"/>
  <c r="AD933" i="55" s="1"/>
  <c r="AD932" i="55" s="1"/>
  <c r="AD931" i="55" s="1"/>
  <c r="AD930" i="55" s="1"/>
  <c r="AD929" i="55" s="1"/>
  <c r="AD928" i="55" s="1"/>
  <c r="AD927" i="55" s="1"/>
  <c r="AD926" i="55" s="1"/>
  <c r="AD925" i="55" s="1"/>
  <c r="AD924" i="55" s="1"/>
  <c r="AD923" i="55" s="1"/>
  <c r="AD922" i="55" s="1"/>
  <c r="AD921" i="55" s="1"/>
  <c r="AD920" i="55" s="1"/>
  <c r="AD919" i="55" s="1"/>
  <c r="AD918" i="55" s="1"/>
  <c r="AD917" i="55" s="1"/>
  <c r="BV97" i="26"/>
  <c r="E1420" i="26" l="1"/>
  <c r="AH917" i="55"/>
  <c r="AI917" i="55" s="1"/>
  <c r="AH918" i="55"/>
  <c r="AI918" i="55" s="1"/>
  <c r="AH919" i="55"/>
  <c r="AI919" i="55" s="1"/>
  <c r="AH920" i="55"/>
  <c r="AI920" i="55" s="1"/>
  <c r="AH921" i="55"/>
  <c r="AI921" i="55" s="1"/>
  <c r="AH922" i="55"/>
  <c r="AI922" i="55" s="1"/>
  <c r="AH923" i="55"/>
  <c r="AI923" i="55" s="1"/>
  <c r="AH924" i="55"/>
  <c r="AI924" i="55" s="1"/>
  <c r="AH925" i="55"/>
  <c r="AI925" i="55" s="1"/>
  <c r="AH926" i="55"/>
  <c r="AI926" i="55" s="1"/>
  <c r="AH927" i="55"/>
  <c r="AI927" i="55" s="1"/>
  <c r="AH928" i="55"/>
  <c r="AI928" i="55" s="1"/>
  <c r="AH929" i="55"/>
  <c r="AI929" i="55" s="1"/>
  <c r="AH930" i="55"/>
  <c r="AI930" i="55" s="1"/>
  <c r="AH931" i="55"/>
  <c r="AI931" i="55" s="1"/>
  <c r="AH932" i="55"/>
  <c r="AI932" i="55" s="1"/>
  <c r="AH933" i="55"/>
  <c r="AI933" i="55" s="1"/>
  <c r="AH934" i="55"/>
  <c r="AI934" i="55" s="1"/>
  <c r="AH935" i="55"/>
  <c r="AI935" i="55" s="1"/>
  <c r="AH936" i="55"/>
  <c r="AI936" i="55" s="1"/>
  <c r="AH937" i="55"/>
  <c r="AI937" i="55" s="1"/>
  <c r="AH938" i="55"/>
  <c r="AI938" i="55" s="1"/>
  <c r="AH939" i="55"/>
  <c r="AI939" i="55" s="1"/>
  <c r="AH940" i="55"/>
  <c r="AI940" i="55" s="1"/>
  <c r="AH941" i="55"/>
  <c r="AI941" i="55" s="1"/>
  <c r="AH942" i="55"/>
  <c r="AI942" i="55" s="1"/>
  <c r="AH943" i="55"/>
  <c r="AI943" i="55" s="1"/>
  <c r="AH944" i="55"/>
  <c r="AI944" i="55" s="1"/>
  <c r="AH945" i="55"/>
  <c r="AI945" i="55" s="1"/>
  <c r="AH946" i="55"/>
  <c r="AI946" i="55" s="1"/>
  <c r="AH947" i="55"/>
  <c r="AI947" i="55" s="1"/>
  <c r="AH948" i="55"/>
  <c r="AI948" i="55" s="1"/>
  <c r="AH949" i="55"/>
  <c r="AI949" i="55" s="1"/>
  <c r="AH950" i="55"/>
  <c r="AI950" i="55" s="1"/>
  <c r="AH951" i="55"/>
  <c r="AI951" i="55" s="1"/>
  <c r="AH952" i="55"/>
  <c r="AI952" i="55" s="1"/>
  <c r="AH953" i="55"/>
  <c r="AI953" i="55" s="1"/>
  <c r="AH954" i="55"/>
  <c r="AI954" i="55" s="1"/>
  <c r="AH955" i="55"/>
  <c r="AI955" i="55" s="1"/>
  <c r="AH956" i="55"/>
  <c r="AI956" i="55" s="1"/>
  <c r="AH957" i="55"/>
  <c r="AI957" i="55" s="1"/>
  <c r="AH958" i="55"/>
  <c r="AI958" i="55" s="1"/>
  <c r="AH959" i="55"/>
  <c r="AI959" i="55" s="1"/>
  <c r="AH960" i="55"/>
  <c r="AI960" i="55" s="1"/>
  <c r="AH961" i="55"/>
  <c r="AI961" i="55" s="1"/>
  <c r="AH962" i="55"/>
  <c r="AI962" i="55" s="1"/>
  <c r="AH963" i="55"/>
  <c r="AI963" i="55" s="1"/>
  <c r="AH964" i="55"/>
  <c r="AI964" i="55" s="1"/>
  <c r="AH965" i="55"/>
  <c r="AI965" i="55" s="1"/>
  <c r="AH966" i="55"/>
  <c r="AI966" i="55" s="1"/>
  <c r="AH967" i="55"/>
  <c r="AI967" i="55" s="1"/>
  <c r="AH968" i="55"/>
  <c r="AI968" i="55" s="1"/>
  <c r="AH969" i="55"/>
  <c r="AI969" i="55" s="1"/>
  <c r="AH970" i="55"/>
  <c r="AI970" i="55" s="1"/>
  <c r="AH971" i="55"/>
  <c r="AI971" i="55" s="1"/>
  <c r="AH972" i="55"/>
  <c r="AI972" i="55" s="1"/>
  <c r="AH973" i="55"/>
  <c r="AI973" i="55" s="1"/>
  <c r="AH974" i="55"/>
  <c r="AI974" i="55" s="1"/>
  <c r="AH975" i="55"/>
  <c r="AI975" i="55" s="1"/>
  <c r="AH976" i="55"/>
  <c r="AI976" i="55" s="1"/>
  <c r="BV96" i="26"/>
  <c r="BN964" i="26"/>
  <c r="BI964" i="26"/>
  <c r="BW964" i="26"/>
  <c r="BX964" i="26" s="1"/>
  <c r="BG964" i="26"/>
  <c r="BO964" i="26"/>
  <c r="BP965" i="26"/>
  <c r="BR965" i="26" s="1"/>
  <c r="BE93" i="26"/>
  <c r="BC1420" i="26" l="1"/>
  <c r="AV1420" i="55" s="1"/>
  <c r="BP1420" i="26"/>
  <c r="BM1420" i="26"/>
  <c r="AV1420" i="26"/>
  <c r="AR1420" i="26"/>
  <c r="AU1420" i="26"/>
  <c r="A1420" i="26"/>
  <c r="AX1420" i="26"/>
  <c r="Q1420" i="26"/>
  <c r="V1420" i="26"/>
  <c r="AJ1420" i="26"/>
  <c r="D1420" i="26"/>
  <c r="O1420" i="26"/>
  <c r="K1420" i="26"/>
  <c r="BA1420" i="26"/>
  <c r="L1420" i="26"/>
  <c r="AP1420" i="26"/>
  <c r="AT1420" i="26"/>
  <c r="X1420" i="26"/>
  <c r="BJ1420" i="26"/>
  <c r="M1420" i="26"/>
  <c r="U1420" i="26"/>
  <c r="H1420" i="26"/>
  <c r="R1420" i="26"/>
  <c r="AO1420" i="26"/>
  <c r="AY1420" i="26"/>
  <c r="BI1420" i="26"/>
  <c r="BR1420" i="26"/>
  <c r="C1420" i="26"/>
  <c r="W1420" i="26"/>
  <c r="S1420" i="26"/>
  <c r="BL1420" i="26"/>
  <c r="I1420" i="26"/>
  <c r="P1420" i="26"/>
  <c r="BN1420" i="26"/>
  <c r="BK1420" i="26"/>
  <c r="AS1420" i="26"/>
  <c r="N1420" i="26"/>
  <c r="AK1420" i="26"/>
  <c r="AM1420" i="26"/>
  <c r="B1420" i="26"/>
  <c r="BO1420" i="26"/>
  <c r="BQ1420" i="26"/>
  <c r="G1420" i="26"/>
  <c r="AW1420" i="26"/>
  <c r="T1420" i="26"/>
  <c r="AF1420" i="26"/>
  <c r="BD1420" i="26"/>
  <c r="BM964" i="26"/>
  <c r="BQ963" i="26" s="1"/>
  <c r="BP964" i="26"/>
  <c r="BR964" i="26" s="1"/>
  <c r="AN976" i="55"/>
  <c r="AO976" i="55" s="1"/>
  <c r="AQ976" i="55" s="1"/>
  <c r="AK976" i="55"/>
  <c r="AN972" i="55"/>
  <c r="AN968" i="55"/>
  <c r="AN964" i="55"/>
  <c r="AN960" i="55"/>
  <c r="AN956" i="55"/>
  <c r="AN952" i="55"/>
  <c r="AN948" i="55"/>
  <c r="AN944" i="55"/>
  <c r="AN940" i="55"/>
  <c r="AN936" i="55"/>
  <c r="AN932" i="55"/>
  <c r="AN928" i="55"/>
  <c r="AN924" i="55"/>
  <c r="AN920" i="55"/>
  <c r="BE92" i="26"/>
  <c r="AN971" i="55"/>
  <c r="AN959" i="55"/>
  <c r="AN951" i="55"/>
  <c r="AN939" i="55"/>
  <c r="AN935" i="55"/>
  <c r="AN931" i="55"/>
  <c r="AN927" i="55"/>
  <c r="AN923" i="55"/>
  <c r="AN974" i="55"/>
  <c r="AN970" i="55"/>
  <c r="AN966" i="55"/>
  <c r="AN962" i="55"/>
  <c r="AN958" i="55"/>
  <c r="AN954" i="55"/>
  <c r="AN950" i="55"/>
  <c r="AN946" i="55"/>
  <c r="AN942" i="55"/>
  <c r="AN938" i="55"/>
  <c r="AN934" i="55"/>
  <c r="AN930" i="55"/>
  <c r="AN926" i="55"/>
  <c r="AN922" i="55"/>
  <c r="AN918" i="55"/>
  <c r="AN975" i="55"/>
  <c r="AK975" i="55"/>
  <c r="AK974" i="55" s="1"/>
  <c r="AK973" i="55" s="1"/>
  <c r="AK972" i="55" s="1"/>
  <c r="AK971" i="55" s="1"/>
  <c r="AK970" i="55" s="1"/>
  <c r="AK969" i="55" s="1"/>
  <c r="AK968" i="55" s="1"/>
  <c r="AK967" i="55" s="1"/>
  <c r="AK966" i="55" s="1"/>
  <c r="AK965" i="55" s="1"/>
  <c r="AK964" i="55" s="1"/>
  <c r="AK963" i="55" s="1"/>
  <c r="AK962" i="55" s="1"/>
  <c r="AK961" i="55" s="1"/>
  <c r="AK960" i="55" s="1"/>
  <c r="AK959" i="55" s="1"/>
  <c r="AK958" i="55" s="1"/>
  <c r="AK957" i="55" s="1"/>
  <c r="AK956" i="55" s="1"/>
  <c r="AK955" i="55" s="1"/>
  <c r="AK954" i="55" s="1"/>
  <c r="AK953" i="55" s="1"/>
  <c r="AK952" i="55" s="1"/>
  <c r="AK951" i="55" s="1"/>
  <c r="AK950" i="55" s="1"/>
  <c r="AK949" i="55" s="1"/>
  <c r="AK948" i="55" s="1"/>
  <c r="AK947" i="55" s="1"/>
  <c r="AK946" i="55" s="1"/>
  <c r="AK945" i="55" s="1"/>
  <c r="AK944" i="55" s="1"/>
  <c r="AK943" i="55" s="1"/>
  <c r="AK942" i="55" s="1"/>
  <c r="AK941" i="55" s="1"/>
  <c r="AK940" i="55" s="1"/>
  <c r="AK939" i="55" s="1"/>
  <c r="AK938" i="55" s="1"/>
  <c r="AK937" i="55" s="1"/>
  <c r="AK936" i="55" s="1"/>
  <c r="AK935" i="55" s="1"/>
  <c r="AK934" i="55" s="1"/>
  <c r="AK933" i="55" s="1"/>
  <c r="AK932" i="55" s="1"/>
  <c r="AK931" i="55" s="1"/>
  <c r="AK930" i="55" s="1"/>
  <c r="AK929" i="55" s="1"/>
  <c r="AK928" i="55" s="1"/>
  <c r="AK927" i="55" s="1"/>
  <c r="AK926" i="55" s="1"/>
  <c r="AK925" i="55" s="1"/>
  <c r="AK924" i="55" s="1"/>
  <c r="AK923" i="55" s="1"/>
  <c r="AK922" i="55" s="1"/>
  <c r="AK921" i="55" s="1"/>
  <c r="AK920" i="55" s="1"/>
  <c r="AK919" i="55" s="1"/>
  <c r="AK918" i="55" s="1"/>
  <c r="AK917" i="55" s="1"/>
  <c r="AN967" i="55"/>
  <c r="AN963" i="55"/>
  <c r="AN955" i="55"/>
  <c r="AN947" i="55"/>
  <c r="AN943" i="55"/>
  <c r="AN919" i="55"/>
  <c r="BV95" i="26"/>
  <c r="AN973" i="55"/>
  <c r="AN969" i="55"/>
  <c r="AN965" i="55"/>
  <c r="AN961" i="55"/>
  <c r="AN957" i="55"/>
  <c r="AN953" i="55"/>
  <c r="AN949" i="55"/>
  <c r="AN945" i="55"/>
  <c r="AN941" i="55"/>
  <c r="AN937" i="55"/>
  <c r="AN933" i="55"/>
  <c r="AN929" i="55"/>
  <c r="AN925" i="55"/>
  <c r="AN921" i="55"/>
  <c r="AN917" i="55"/>
  <c r="E1421" i="26" l="1"/>
  <c r="BE91" i="26"/>
  <c r="BV94" i="26"/>
  <c r="AO975" i="55"/>
  <c r="AQ975" i="55" s="1"/>
  <c r="BG963" i="26"/>
  <c r="BW963" i="26"/>
  <c r="BX963" i="26" s="1"/>
  <c r="BI963" i="26"/>
  <c r="BN963" i="26"/>
  <c r="BO963" i="26"/>
  <c r="BC1421" i="26" l="1"/>
  <c r="AV1421" i="55" s="1"/>
  <c r="B1421" i="26"/>
  <c r="BQ1421" i="26"/>
  <c r="C1421" i="26"/>
  <c r="AT1421" i="26"/>
  <c r="AR1421" i="26"/>
  <c r="BI1421" i="26"/>
  <c r="AF1421" i="26"/>
  <c r="BL1421" i="26"/>
  <c r="G1421" i="26"/>
  <c r="AV1421" i="26"/>
  <c r="AO1421" i="26"/>
  <c r="AJ1421" i="26"/>
  <c r="BK1421" i="26"/>
  <c r="O1421" i="26"/>
  <c r="AM1421" i="26"/>
  <c r="BJ1421" i="26"/>
  <c r="H1421" i="26"/>
  <c r="Q1421" i="26"/>
  <c r="AX1421" i="26"/>
  <c r="D1421" i="26"/>
  <c r="A1421" i="26"/>
  <c r="R1421" i="26"/>
  <c r="M1421" i="26"/>
  <c r="BA1421" i="26"/>
  <c r="BM1421" i="26"/>
  <c r="T1421" i="26"/>
  <c r="BO1421" i="26"/>
  <c r="BR1421" i="26"/>
  <c r="U1421" i="26"/>
  <c r="AY1421" i="26"/>
  <c r="K1421" i="26"/>
  <c r="P1421" i="26"/>
  <c r="S1421" i="26"/>
  <c r="W1421" i="26"/>
  <c r="AK1421" i="26"/>
  <c r="AW1421" i="26"/>
  <c r="L1421" i="26"/>
  <c r="BP1421" i="26"/>
  <c r="AU1421" i="26"/>
  <c r="AS1421" i="26"/>
  <c r="V1421" i="26"/>
  <c r="BN1421" i="26"/>
  <c r="AP1421" i="26"/>
  <c r="X1421" i="26"/>
  <c r="I1421" i="26"/>
  <c r="N1421" i="26"/>
  <c r="BD1421" i="26"/>
  <c r="BM963" i="26"/>
  <c r="BQ962" i="26" s="1"/>
  <c r="AO974" i="55"/>
  <c r="BE90" i="26"/>
  <c r="BV93" i="26"/>
  <c r="E1422" i="26" l="1"/>
  <c r="BV92" i="26"/>
  <c r="BI962" i="26"/>
  <c r="BO962" i="26"/>
  <c r="BW962" i="26"/>
  <c r="BX962" i="26" s="1"/>
  <c r="BG962" i="26"/>
  <c r="BN962" i="26"/>
  <c r="AQ974" i="55"/>
  <c r="AO973" i="55"/>
  <c r="BE89" i="26"/>
  <c r="BP963" i="26"/>
  <c r="BR963" i="26" s="1"/>
  <c r="BC1422" i="26" l="1"/>
  <c r="AV1422" i="55" s="1"/>
  <c r="AF1422" i="26"/>
  <c r="AM1422" i="26"/>
  <c r="AW1422" i="26"/>
  <c r="R1422" i="26"/>
  <c r="N1422" i="26"/>
  <c r="B1422" i="26"/>
  <c r="BM1422" i="26"/>
  <c r="I1422" i="26"/>
  <c r="BP1422" i="26"/>
  <c r="T1422" i="26"/>
  <c r="BA1422" i="26"/>
  <c r="AJ1422" i="26"/>
  <c r="L1422" i="26"/>
  <c r="AX1422" i="26"/>
  <c r="AY1422" i="26"/>
  <c r="O1422" i="26"/>
  <c r="Q1422" i="26"/>
  <c r="P1422" i="26"/>
  <c r="AK1422" i="26"/>
  <c r="AV1422" i="26"/>
  <c r="AU1422" i="26"/>
  <c r="U1422" i="26"/>
  <c r="S1422" i="26"/>
  <c r="K1422" i="26"/>
  <c r="AS1422" i="26"/>
  <c r="W1422" i="26"/>
  <c r="V1422" i="26"/>
  <c r="BO1422" i="26"/>
  <c r="BR1422" i="26"/>
  <c r="AR1422" i="26"/>
  <c r="BI1422" i="26"/>
  <c r="C1422" i="26"/>
  <c r="H1422" i="26"/>
  <c r="X1422" i="26"/>
  <c r="AO1422" i="26"/>
  <c r="A1422" i="26"/>
  <c r="AP1422" i="26"/>
  <c r="BL1422" i="26"/>
  <c r="D1422" i="26"/>
  <c r="BJ1422" i="26"/>
  <c r="G1422" i="26"/>
  <c r="BQ1422" i="26"/>
  <c r="BN1422" i="26"/>
  <c r="AT1422" i="26"/>
  <c r="BK1422" i="26"/>
  <c r="M1422" i="26"/>
  <c r="BD1422" i="26"/>
  <c r="BM962" i="26"/>
  <c r="BQ961" i="26" s="1"/>
  <c r="AQ973" i="55"/>
  <c r="AO972" i="55"/>
  <c r="BV91" i="26"/>
  <c r="BE88" i="26"/>
  <c r="E1423" i="26" l="1"/>
  <c r="AQ972" i="55"/>
  <c r="AO971" i="55"/>
  <c r="BE87" i="26"/>
  <c r="BN961" i="26"/>
  <c r="BI961" i="26"/>
  <c r="BG961" i="26"/>
  <c r="BW961" i="26"/>
  <c r="BX961" i="26" s="1"/>
  <c r="BO961" i="26"/>
  <c r="BV90" i="26"/>
  <c r="BP962" i="26"/>
  <c r="BR962" i="26" s="1"/>
  <c r="BC1423" i="26" l="1"/>
  <c r="AV1423" i="55" s="1"/>
  <c r="AP1423" i="26"/>
  <c r="M1423" i="26"/>
  <c r="BK1423" i="26"/>
  <c r="AK1423" i="26"/>
  <c r="O1423" i="26"/>
  <c r="BA1423" i="26"/>
  <c r="I1423" i="26"/>
  <c r="AF1423" i="26"/>
  <c r="BJ1423" i="26"/>
  <c r="P1423" i="26"/>
  <c r="S1423" i="26"/>
  <c r="AR1423" i="26"/>
  <c r="U1423" i="26"/>
  <c r="A1423" i="26"/>
  <c r="AO1423" i="26"/>
  <c r="BN1423" i="26"/>
  <c r="AT1423" i="26"/>
  <c r="C1423" i="26"/>
  <c r="AU1423" i="26"/>
  <c r="BL1423" i="26"/>
  <c r="BQ1423" i="26"/>
  <c r="T1423" i="26"/>
  <c r="BR1423" i="26"/>
  <c r="D1423" i="26"/>
  <c r="Q1423" i="26"/>
  <c r="BO1423" i="26"/>
  <c r="K1423" i="26"/>
  <c r="L1423" i="26"/>
  <c r="BM1423" i="26"/>
  <c r="AY1423" i="26"/>
  <c r="AV1423" i="26"/>
  <c r="B1423" i="26"/>
  <c r="AJ1423" i="26"/>
  <c r="AS1423" i="26"/>
  <c r="AX1423" i="26"/>
  <c r="AM1423" i="26"/>
  <c r="X1423" i="26"/>
  <c r="BP1423" i="26"/>
  <c r="H1423" i="26"/>
  <c r="G1423" i="26"/>
  <c r="AW1423" i="26"/>
  <c r="V1423" i="26"/>
  <c r="R1423" i="26"/>
  <c r="N1423" i="26"/>
  <c r="BI1423" i="26"/>
  <c r="W1423" i="26"/>
  <c r="BD1423" i="26"/>
  <c r="BV89" i="26"/>
  <c r="BM961" i="26"/>
  <c r="BQ960" i="26" s="1"/>
  <c r="AQ971" i="55"/>
  <c r="AO970" i="55"/>
  <c r="BE86" i="26"/>
  <c r="E1424" i="26" l="1"/>
  <c r="BE85" i="26"/>
  <c r="BP961" i="26"/>
  <c r="BR961" i="26" s="1"/>
  <c r="AQ970" i="55"/>
  <c r="AO969" i="55"/>
  <c r="BV88" i="26"/>
  <c r="BG960" i="26"/>
  <c r="BW960" i="26"/>
  <c r="BX960" i="26" s="1"/>
  <c r="BI960" i="26"/>
  <c r="BN960" i="26"/>
  <c r="BO960" i="26"/>
  <c r="BC1424" i="26" l="1"/>
  <c r="AV1424" i="55" s="1"/>
  <c r="L1424" i="26"/>
  <c r="W1424" i="26"/>
  <c r="AV1424" i="26"/>
  <c r="AS1424" i="26"/>
  <c r="BP1424" i="26"/>
  <c r="AP1424" i="26"/>
  <c r="BI1424" i="26"/>
  <c r="AJ1424" i="26"/>
  <c r="R1424" i="26"/>
  <c r="AR1424" i="26"/>
  <c r="AY1424" i="26"/>
  <c r="BL1424" i="26"/>
  <c r="A1424" i="26"/>
  <c r="AK1424" i="26"/>
  <c r="BM1424" i="26"/>
  <c r="K1424" i="26"/>
  <c r="T1424" i="26"/>
  <c r="AT1424" i="26"/>
  <c r="P1424" i="26"/>
  <c r="V1424" i="26"/>
  <c r="AU1424" i="26"/>
  <c r="Q1424" i="26"/>
  <c r="D1424" i="26"/>
  <c r="BA1424" i="26"/>
  <c r="N1424" i="26"/>
  <c r="BN1424" i="26"/>
  <c r="M1424" i="26"/>
  <c r="X1424" i="26"/>
  <c r="AO1424" i="26"/>
  <c r="I1424" i="26"/>
  <c r="BQ1424" i="26"/>
  <c r="BK1424" i="26"/>
  <c r="H1424" i="26"/>
  <c r="C1424" i="26"/>
  <c r="AW1424" i="26"/>
  <c r="AM1424" i="26"/>
  <c r="S1424" i="26"/>
  <c r="U1424" i="26"/>
  <c r="BO1424" i="26"/>
  <c r="G1424" i="26"/>
  <c r="BJ1424" i="26"/>
  <c r="AF1424" i="26"/>
  <c r="AX1424" i="26"/>
  <c r="B1424" i="26"/>
  <c r="BR1424" i="26"/>
  <c r="O1424" i="26"/>
  <c r="BD1424" i="26"/>
  <c r="BM960" i="26"/>
  <c r="BQ959" i="26" s="1"/>
  <c r="BV87" i="26"/>
  <c r="BE84" i="26"/>
  <c r="AQ969" i="55"/>
  <c r="AO968" i="55"/>
  <c r="E1425" i="26" l="1"/>
  <c r="BV86" i="26"/>
  <c r="AQ968" i="55"/>
  <c r="AO967" i="55"/>
  <c r="BP960" i="26"/>
  <c r="BR960" i="26" s="1"/>
  <c r="BE83" i="26"/>
  <c r="BW959" i="26"/>
  <c r="BX959" i="26" s="1"/>
  <c r="BG959" i="26"/>
  <c r="BI959" i="26"/>
  <c r="BN959" i="26"/>
  <c r="BO959" i="26"/>
  <c r="BC1425" i="26" l="1"/>
  <c r="AV1425" i="55" s="1"/>
  <c r="AW1425" i="26"/>
  <c r="AM1425" i="26"/>
  <c r="H1425" i="26"/>
  <c r="BJ1425" i="26"/>
  <c r="AJ1425" i="26"/>
  <c r="AF1425" i="26"/>
  <c r="K1425" i="26"/>
  <c r="C1425" i="26"/>
  <c r="A1425" i="26"/>
  <c r="BQ1425" i="26"/>
  <c r="N1425" i="26"/>
  <c r="BA1425" i="26"/>
  <c r="BO1425" i="26"/>
  <c r="X1425" i="26"/>
  <c r="AS1425" i="26"/>
  <c r="AU1425" i="26"/>
  <c r="AK1425" i="26"/>
  <c r="BP1425" i="26"/>
  <c r="AV1425" i="26"/>
  <c r="AO1425" i="26"/>
  <c r="BR1425" i="26"/>
  <c r="T1425" i="26"/>
  <c r="U1425" i="26"/>
  <c r="I1425" i="26"/>
  <c r="BK1425" i="26"/>
  <c r="AX1425" i="26"/>
  <c r="V1425" i="26"/>
  <c r="B1425" i="26"/>
  <c r="BI1425" i="26"/>
  <c r="BN1425" i="26"/>
  <c r="AY1425" i="26"/>
  <c r="S1425" i="26"/>
  <c r="BM1425" i="26"/>
  <c r="Q1425" i="26"/>
  <c r="G1425" i="26"/>
  <c r="O1425" i="26"/>
  <c r="R1425" i="26"/>
  <c r="L1425" i="26"/>
  <c r="AP1425" i="26"/>
  <c r="D1425" i="26"/>
  <c r="M1425" i="26"/>
  <c r="W1425" i="26"/>
  <c r="AR1425" i="26"/>
  <c r="BL1425" i="26"/>
  <c r="P1425" i="26"/>
  <c r="AT1425" i="26"/>
  <c r="BD1425" i="26"/>
  <c r="BE82" i="26"/>
  <c r="AQ967" i="55"/>
  <c r="AO966" i="55"/>
  <c r="BM959" i="26"/>
  <c r="BQ958" i="26" s="1"/>
  <c r="BP959" i="26"/>
  <c r="BR959" i="26" s="1"/>
  <c r="BV85" i="26"/>
  <c r="E1426" i="26" l="1"/>
  <c r="AQ966" i="55"/>
  <c r="AO965" i="55"/>
  <c r="BE81" i="26"/>
  <c r="BV84" i="26"/>
  <c r="BI958" i="26"/>
  <c r="BG958" i="26"/>
  <c r="BN958" i="26"/>
  <c r="BW958" i="26"/>
  <c r="BX958" i="26" s="1"/>
  <c r="BO958" i="26"/>
  <c r="BC1426" i="26" l="1"/>
  <c r="AV1426" i="55" s="1"/>
  <c r="AY1426" i="26"/>
  <c r="BO1426" i="26"/>
  <c r="BM1426" i="26"/>
  <c r="AV1426" i="26"/>
  <c r="AU1426" i="26"/>
  <c r="O1426" i="26"/>
  <c r="AT1426" i="26"/>
  <c r="AX1426" i="26"/>
  <c r="N1426" i="26"/>
  <c r="D1426" i="26"/>
  <c r="V1426" i="26"/>
  <c r="P1426" i="26"/>
  <c r="AM1426" i="26"/>
  <c r="R1426" i="26"/>
  <c r="Q1426" i="26"/>
  <c r="BL1426" i="26"/>
  <c r="B1426" i="26"/>
  <c r="G1426" i="26"/>
  <c r="AW1426" i="26"/>
  <c r="U1426" i="26"/>
  <c r="BR1426" i="26"/>
  <c r="AK1426" i="26"/>
  <c r="BN1426" i="26"/>
  <c r="BI1426" i="26"/>
  <c r="AR1426" i="26"/>
  <c r="A1426" i="26"/>
  <c r="S1426" i="26"/>
  <c r="AP1426" i="26"/>
  <c r="AF1426" i="26"/>
  <c r="BQ1426" i="26"/>
  <c r="T1426" i="26"/>
  <c r="M1426" i="26"/>
  <c r="K1426" i="26"/>
  <c r="BP1426" i="26"/>
  <c r="L1426" i="26"/>
  <c r="H1426" i="26"/>
  <c r="I1426" i="26"/>
  <c r="AS1426" i="26"/>
  <c r="AJ1426" i="26"/>
  <c r="X1426" i="26"/>
  <c r="BK1426" i="26"/>
  <c r="C1426" i="26"/>
  <c r="BJ1426" i="26"/>
  <c r="W1426" i="26"/>
  <c r="AO1426" i="26"/>
  <c r="BA1426" i="26"/>
  <c r="BD1426" i="26"/>
  <c r="BM958" i="26"/>
  <c r="BQ957" i="26" s="1"/>
  <c r="BE80" i="26"/>
  <c r="AQ965" i="55"/>
  <c r="AO964" i="55"/>
  <c r="BV83" i="26"/>
  <c r="E1427" i="26" l="1"/>
  <c r="BV82" i="26"/>
  <c r="BE79" i="26"/>
  <c r="AQ964" i="55"/>
  <c r="AO963" i="55"/>
  <c r="BG957" i="26"/>
  <c r="BI957" i="26"/>
  <c r="BN957" i="26"/>
  <c r="BW957" i="26"/>
  <c r="BX957" i="26" s="1"/>
  <c r="BO957" i="26"/>
  <c r="BP958" i="26"/>
  <c r="BR958" i="26" s="1"/>
  <c r="BC1427" i="26" l="1"/>
  <c r="AV1427" i="55" s="1"/>
  <c r="BP1427" i="26"/>
  <c r="A1427" i="26"/>
  <c r="AP1427" i="26"/>
  <c r="AJ1427" i="26"/>
  <c r="I1427" i="26"/>
  <c r="BO1427" i="26"/>
  <c r="H1427" i="26"/>
  <c r="AF1427" i="26"/>
  <c r="N1427" i="26"/>
  <c r="AX1427" i="26"/>
  <c r="W1427" i="26"/>
  <c r="V1427" i="26"/>
  <c r="BN1427" i="26"/>
  <c r="L1427" i="26"/>
  <c r="AY1427" i="26"/>
  <c r="BA1427" i="26"/>
  <c r="X1427" i="26"/>
  <c r="BJ1427" i="26"/>
  <c r="K1427" i="26"/>
  <c r="AT1427" i="26"/>
  <c r="AO1427" i="26"/>
  <c r="AK1427" i="26"/>
  <c r="BQ1427" i="26"/>
  <c r="BK1427" i="26"/>
  <c r="BL1427" i="26"/>
  <c r="B1427" i="26"/>
  <c r="AM1427" i="26"/>
  <c r="Q1427" i="26"/>
  <c r="AU1427" i="26"/>
  <c r="AR1427" i="26"/>
  <c r="U1427" i="26"/>
  <c r="T1427" i="26"/>
  <c r="AS1427" i="26"/>
  <c r="AV1427" i="26"/>
  <c r="D1427" i="26"/>
  <c r="BR1427" i="26"/>
  <c r="O1427" i="26"/>
  <c r="G1427" i="26"/>
  <c r="P1427" i="26"/>
  <c r="AW1427" i="26"/>
  <c r="R1427" i="26"/>
  <c r="BM1427" i="26"/>
  <c r="C1427" i="26"/>
  <c r="BI1427" i="26"/>
  <c r="S1427" i="26"/>
  <c r="M1427" i="26"/>
  <c r="BD1427" i="26"/>
  <c r="BE78" i="26"/>
  <c r="AQ963" i="55"/>
  <c r="AO962" i="55"/>
  <c r="BP957" i="26"/>
  <c r="BR957" i="26" s="1"/>
  <c r="BM957" i="26"/>
  <c r="BQ956" i="26" s="1"/>
  <c r="AT965" i="55"/>
  <c r="AW965" i="55" s="1"/>
  <c r="AX965" i="55" s="1"/>
  <c r="AT966" i="55"/>
  <c r="AW966" i="55" s="1"/>
  <c r="AX966" i="55" s="1"/>
  <c r="AT967" i="55"/>
  <c r="AW967" i="55" s="1"/>
  <c r="AX967" i="55" s="1"/>
  <c r="AT968" i="55"/>
  <c r="AW968" i="55" s="1"/>
  <c r="AX968" i="55" s="1"/>
  <c r="AT969" i="55"/>
  <c r="AW969" i="55" s="1"/>
  <c r="AX969" i="55" s="1"/>
  <c r="AT970" i="55"/>
  <c r="AW970" i="55" s="1"/>
  <c r="AX970" i="55" s="1"/>
  <c r="AT971" i="55"/>
  <c r="AW971" i="55" s="1"/>
  <c r="AX971" i="55" s="1"/>
  <c r="AT972" i="55"/>
  <c r="AW972" i="55" s="1"/>
  <c r="AX972" i="55" s="1"/>
  <c r="AT973" i="55"/>
  <c r="AW973" i="55" s="1"/>
  <c r="AX973" i="55" s="1"/>
  <c r="AT974" i="55"/>
  <c r="AW974" i="55" s="1"/>
  <c r="AX974" i="55" s="1"/>
  <c r="AT975" i="55"/>
  <c r="AW975" i="55" s="1"/>
  <c r="AX975" i="55" s="1"/>
  <c r="AT976" i="55"/>
  <c r="AW976" i="55" s="1"/>
  <c r="AX976" i="55" s="1"/>
  <c r="BV81" i="26"/>
  <c r="E1428" i="26" l="1"/>
  <c r="BV80" i="26"/>
  <c r="AQ962" i="55"/>
  <c r="AO961" i="55"/>
  <c r="BW956" i="26"/>
  <c r="BX956" i="26" s="1"/>
  <c r="BI956" i="26"/>
  <c r="BG956" i="26"/>
  <c r="BN956" i="26"/>
  <c r="BO956" i="26"/>
  <c r="BE77" i="26"/>
  <c r="BC1428" i="26" l="1"/>
  <c r="AV1428" i="55" s="1"/>
  <c r="L1428" i="26"/>
  <c r="G1428" i="26"/>
  <c r="AR1428" i="26"/>
  <c r="C1428" i="26"/>
  <c r="AO1428" i="26"/>
  <c r="N1428" i="26"/>
  <c r="BL1428" i="26"/>
  <c r="AJ1428" i="26"/>
  <c r="AX1428" i="26"/>
  <c r="AT1428" i="26"/>
  <c r="AU1428" i="26"/>
  <c r="D1428" i="26"/>
  <c r="BJ1428" i="26"/>
  <c r="AY1428" i="26"/>
  <c r="AS1428" i="26"/>
  <c r="Q1428" i="26"/>
  <c r="BO1428" i="26"/>
  <c r="AM1428" i="26"/>
  <c r="S1428" i="26"/>
  <c r="I1428" i="26"/>
  <c r="P1428" i="26"/>
  <c r="BI1428" i="26"/>
  <c r="BP1428" i="26"/>
  <c r="X1428" i="26"/>
  <c r="AF1428" i="26"/>
  <c r="V1428" i="26"/>
  <c r="K1428" i="26"/>
  <c r="U1428" i="26"/>
  <c r="B1428" i="26"/>
  <c r="BK1428" i="26"/>
  <c r="BM1428" i="26"/>
  <c r="O1428" i="26"/>
  <c r="BN1428" i="26"/>
  <c r="BQ1428" i="26"/>
  <c r="T1428" i="26"/>
  <c r="H1428" i="26"/>
  <c r="R1428" i="26"/>
  <c r="AP1428" i="26"/>
  <c r="AK1428" i="26"/>
  <c r="BR1428" i="26"/>
  <c r="W1428" i="26"/>
  <c r="A1428" i="26"/>
  <c r="AW1428" i="26"/>
  <c r="M1428" i="26"/>
  <c r="BA1428" i="26"/>
  <c r="AV1428" i="26"/>
  <c r="BD1428" i="26"/>
  <c r="AQ961" i="55"/>
  <c r="AO960" i="55"/>
  <c r="BP956" i="26"/>
  <c r="BR956" i="26" s="1"/>
  <c r="BM956" i="26"/>
  <c r="BQ955" i="26" s="1"/>
  <c r="BV79" i="26"/>
  <c r="BE76" i="26"/>
  <c r="E1429" i="26" l="1"/>
  <c r="BE75" i="26"/>
  <c r="BG955" i="26"/>
  <c r="BN955" i="26"/>
  <c r="BI955" i="26"/>
  <c r="BO955" i="26"/>
  <c r="BW955" i="26"/>
  <c r="BX955" i="26" s="1"/>
  <c r="BV78" i="26"/>
  <c r="AQ960" i="55"/>
  <c r="AO959" i="55"/>
  <c r="BC1429" i="26" l="1"/>
  <c r="AV1429" i="55" s="1"/>
  <c r="H1429" i="26"/>
  <c r="AO1429" i="26"/>
  <c r="AP1429" i="26"/>
  <c r="AY1429" i="26"/>
  <c r="A1429" i="26"/>
  <c r="AF1429" i="26"/>
  <c r="AM1429" i="26"/>
  <c r="D1429" i="26"/>
  <c r="W1429" i="26"/>
  <c r="V1429" i="26"/>
  <c r="P1429" i="26"/>
  <c r="BL1429" i="26"/>
  <c r="AV1429" i="26"/>
  <c r="BO1429" i="26"/>
  <c r="AX1429" i="26"/>
  <c r="AW1429" i="26"/>
  <c r="BR1429" i="26"/>
  <c r="G1429" i="26"/>
  <c r="AT1429" i="26"/>
  <c r="BA1429" i="26"/>
  <c r="M1429" i="26"/>
  <c r="BN1429" i="26"/>
  <c r="I1429" i="26"/>
  <c r="AR1429" i="26"/>
  <c r="BQ1429" i="26"/>
  <c r="C1429" i="26"/>
  <c r="AU1429" i="26"/>
  <c r="O1429" i="26"/>
  <c r="BP1429" i="26"/>
  <c r="BM1429" i="26"/>
  <c r="T1429" i="26"/>
  <c r="X1429" i="26"/>
  <c r="AK1429" i="26"/>
  <c r="B1429" i="26"/>
  <c r="BK1429" i="26"/>
  <c r="BJ1429" i="26"/>
  <c r="N1429" i="26"/>
  <c r="L1429" i="26"/>
  <c r="AJ1429" i="26"/>
  <c r="BI1429" i="26"/>
  <c r="R1429" i="26"/>
  <c r="S1429" i="26"/>
  <c r="Q1429" i="26"/>
  <c r="AS1429" i="26"/>
  <c r="K1429" i="26"/>
  <c r="U1429" i="26"/>
  <c r="BD1429" i="26"/>
  <c r="BM955" i="26"/>
  <c r="BQ954" i="26" s="1"/>
  <c r="BP955" i="26"/>
  <c r="BR955" i="26" s="1"/>
  <c r="BE74" i="26"/>
  <c r="AQ959" i="55"/>
  <c r="AO958" i="55"/>
  <c r="BV77" i="26"/>
  <c r="E1430" i="26" l="1"/>
  <c r="BE73" i="26"/>
  <c r="AQ958" i="55"/>
  <c r="AO957" i="55"/>
  <c r="BV76" i="26"/>
  <c r="BN954" i="26"/>
  <c r="BG954" i="26"/>
  <c r="BI954" i="26"/>
  <c r="BW954" i="26"/>
  <c r="BX954" i="26" s="1"/>
  <c r="BO954" i="26"/>
  <c r="BC1430" i="26" l="1"/>
  <c r="AV1430" i="55" s="1"/>
  <c r="AJ1430" i="26"/>
  <c r="O1430" i="26"/>
  <c r="BO1430" i="26"/>
  <c r="AK1430" i="26"/>
  <c r="AV1430" i="26"/>
  <c r="BI1430" i="26"/>
  <c r="R1430" i="26"/>
  <c r="BP1430" i="26"/>
  <c r="BR1430" i="26"/>
  <c r="D1430" i="26"/>
  <c r="H1430" i="26"/>
  <c r="I1430" i="26"/>
  <c r="AR1430" i="26"/>
  <c r="BL1430" i="26"/>
  <c r="K1430" i="26"/>
  <c r="AP1430" i="26"/>
  <c r="Q1430" i="26"/>
  <c r="BN1430" i="26"/>
  <c r="C1430" i="26"/>
  <c r="T1430" i="26"/>
  <c r="X1430" i="26"/>
  <c r="G1430" i="26"/>
  <c r="M1430" i="26"/>
  <c r="AU1430" i="26"/>
  <c r="AX1430" i="26"/>
  <c r="U1430" i="26"/>
  <c r="N1430" i="26"/>
  <c r="AM1430" i="26"/>
  <c r="B1430" i="26"/>
  <c r="AT1430" i="26"/>
  <c r="BQ1430" i="26"/>
  <c r="L1430" i="26"/>
  <c r="W1430" i="26"/>
  <c r="S1430" i="26"/>
  <c r="AY1430" i="26"/>
  <c r="BM1430" i="26"/>
  <c r="BA1430" i="26"/>
  <c r="AO1430" i="26"/>
  <c r="V1430" i="26"/>
  <c r="A1430" i="26"/>
  <c r="AS1430" i="26"/>
  <c r="AW1430" i="26"/>
  <c r="BK1430" i="26"/>
  <c r="AF1430" i="26"/>
  <c r="P1430" i="26"/>
  <c r="BJ1430" i="26"/>
  <c r="BD1430" i="26"/>
  <c r="AQ957" i="55"/>
  <c r="AO956" i="55"/>
  <c r="BM954" i="26"/>
  <c r="BQ953" i="26" s="1"/>
  <c r="BE72" i="26"/>
  <c r="BV75" i="26"/>
  <c r="E1431" i="26" l="1"/>
  <c r="BV74" i="26"/>
  <c r="BP954" i="26"/>
  <c r="BR954" i="26" s="1"/>
  <c r="BI953" i="26"/>
  <c r="BO953" i="26"/>
  <c r="BG953" i="26"/>
  <c r="BW953" i="26"/>
  <c r="BX953" i="26" s="1"/>
  <c r="BN953" i="26"/>
  <c r="AQ956" i="55"/>
  <c r="AO955" i="55"/>
  <c r="BE71" i="26"/>
  <c r="BC1431" i="26" l="1"/>
  <c r="AV1431" i="55" s="1"/>
  <c r="BP1431" i="26"/>
  <c r="BK1431" i="26"/>
  <c r="BN1431" i="26"/>
  <c r="M1431" i="26"/>
  <c r="AF1431" i="26"/>
  <c r="O1431" i="26"/>
  <c r="AT1431" i="26"/>
  <c r="U1431" i="26"/>
  <c r="S1431" i="26"/>
  <c r="P1431" i="26"/>
  <c r="BJ1431" i="26"/>
  <c r="AU1431" i="26"/>
  <c r="V1431" i="26"/>
  <c r="AK1431" i="26"/>
  <c r="Q1431" i="26"/>
  <c r="AS1431" i="26"/>
  <c r="X1431" i="26"/>
  <c r="G1431" i="26"/>
  <c r="C1431" i="26"/>
  <c r="D1431" i="26"/>
  <c r="BM1431" i="26"/>
  <c r="W1431" i="26"/>
  <c r="T1431" i="26"/>
  <c r="AM1431" i="26"/>
  <c r="L1431" i="26"/>
  <c r="K1431" i="26"/>
  <c r="AJ1431" i="26"/>
  <c r="BL1431" i="26"/>
  <c r="BI1431" i="26"/>
  <c r="BA1431" i="26"/>
  <c r="AW1431" i="26"/>
  <c r="BO1431" i="26"/>
  <c r="AV1431" i="26"/>
  <c r="BQ1431" i="26"/>
  <c r="AR1431" i="26"/>
  <c r="AP1431" i="26"/>
  <c r="BR1431" i="26"/>
  <c r="H1431" i="26"/>
  <c r="A1431" i="26"/>
  <c r="I1431" i="26"/>
  <c r="AY1431" i="26"/>
  <c r="N1431" i="26"/>
  <c r="AO1431" i="26"/>
  <c r="AX1431" i="26"/>
  <c r="B1431" i="26"/>
  <c r="R1431" i="26"/>
  <c r="BD1431" i="26"/>
  <c r="BE70" i="26"/>
  <c r="BP953" i="26"/>
  <c r="BR953" i="26" s="1"/>
  <c r="BM953" i="26"/>
  <c r="BQ952" i="26" s="1"/>
  <c r="BV73" i="26"/>
  <c r="AQ955" i="55"/>
  <c r="AO954" i="55"/>
  <c r="E1432" i="26" l="1"/>
  <c r="AQ954" i="55"/>
  <c r="AO953" i="55"/>
  <c r="BO952" i="26"/>
  <c r="BG952" i="26"/>
  <c r="BI952" i="26"/>
  <c r="BN952" i="26"/>
  <c r="BW952" i="26"/>
  <c r="BX952" i="26" s="1"/>
  <c r="BE69" i="26"/>
  <c r="BV72" i="26"/>
  <c r="BC1432" i="26" l="1"/>
  <c r="AV1432" i="55" s="1"/>
  <c r="C1432" i="26"/>
  <c r="W1432" i="26"/>
  <c r="AM1432" i="26"/>
  <c r="A1432" i="26"/>
  <c r="S1432" i="26"/>
  <c r="O1432" i="26"/>
  <c r="G1432" i="26"/>
  <c r="BQ1432" i="26"/>
  <c r="AF1432" i="26"/>
  <c r="BR1432" i="26"/>
  <c r="AT1432" i="26"/>
  <c r="BA1432" i="26"/>
  <c r="P1432" i="26"/>
  <c r="AJ1432" i="26"/>
  <c r="Q1432" i="26"/>
  <c r="AR1432" i="26"/>
  <c r="BO1432" i="26"/>
  <c r="B1432" i="26"/>
  <c r="N1432" i="26"/>
  <c r="AU1432" i="26"/>
  <c r="AX1432" i="26"/>
  <c r="M1432" i="26"/>
  <c r="AW1432" i="26"/>
  <c r="U1432" i="26"/>
  <c r="BI1432" i="26"/>
  <c r="V1432" i="26"/>
  <c r="BK1432" i="26"/>
  <c r="K1432" i="26"/>
  <c r="R1432" i="26"/>
  <c r="I1432" i="26"/>
  <c r="AP1432" i="26"/>
  <c r="BN1432" i="26"/>
  <c r="BP1432" i="26"/>
  <c r="BL1432" i="26"/>
  <c r="BM1432" i="26"/>
  <c r="AK1432" i="26"/>
  <c r="BJ1432" i="26"/>
  <c r="AS1432" i="26"/>
  <c r="T1432" i="26"/>
  <c r="L1432" i="26"/>
  <c r="D1432" i="26"/>
  <c r="X1432" i="26"/>
  <c r="AV1432" i="26"/>
  <c r="AO1432" i="26"/>
  <c r="H1432" i="26"/>
  <c r="AY1432" i="26"/>
  <c r="BD1432" i="26"/>
  <c r="BV71" i="26"/>
  <c r="BE68" i="26"/>
  <c r="AQ953" i="55"/>
  <c r="AO952" i="55"/>
  <c r="BP952" i="26"/>
  <c r="BR952" i="26" s="1"/>
  <c r="BM952" i="26"/>
  <c r="BQ951" i="26" s="1"/>
  <c r="E1433" i="26" l="1"/>
  <c r="BW951" i="26"/>
  <c r="BX951" i="26" s="1"/>
  <c r="BI951" i="26"/>
  <c r="BN951" i="26"/>
  <c r="BG951" i="26"/>
  <c r="BO951" i="26"/>
  <c r="BE67" i="26"/>
  <c r="AQ952" i="55"/>
  <c r="AO951" i="55"/>
  <c r="BV70" i="26"/>
  <c r="BC1433" i="26" l="1"/>
  <c r="AV1433" i="55" s="1"/>
  <c r="AJ1433" i="26"/>
  <c r="A1433" i="26"/>
  <c r="AM1433" i="26"/>
  <c r="C1433" i="26"/>
  <c r="S1433" i="26"/>
  <c r="R1433" i="26"/>
  <c r="U1433" i="26"/>
  <c r="AK1433" i="26"/>
  <c r="W1433" i="26"/>
  <c r="H1433" i="26"/>
  <c r="BK1433" i="26"/>
  <c r="BL1433" i="26"/>
  <c r="BQ1433" i="26"/>
  <c r="D1433" i="26"/>
  <c r="AY1433" i="26"/>
  <c r="X1433" i="26"/>
  <c r="BI1433" i="26"/>
  <c r="I1433" i="26"/>
  <c r="AO1433" i="26"/>
  <c r="AR1433" i="26"/>
  <c r="T1433" i="26"/>
  <c r="G1433" i="26"/>
  <c r="BN1433" i="26"/>
  <c r="AS1433" i="26"/>
  <c r="BP1433" i="26"/>
  <c r="BJ1433" i="26"/>
  <c r="BO1433" i="26"/>
  <c r="AF1433" i="26"/>
  <c r="AT1433" i="26"/>
  <c r="V1433" i="26"/>
  <c r="AX1433" i="26"/>
  <c r="N1433" i="26"/>
  <c r="Q1433" i="26"/>
  <c r="M1433" i="26"/>
  <c r="AV1433" i="26"/>
  <c r="AW1433" i="26"/>
  <c r="AP1433" i="26"/>
  <c r="B1433" i="26"/>
  <c r="O1433" i="26"/>
  <c r="BA1433" i="26"/>
  <c r="K1433" i="26"/>
  <c r="P1433" i="26"/>
  <c r="BM1433" i="26"/>
  <c r="BR1433" i="26"/>
  <c r="AU1433" i="26"/>
  <c r="L1433" i="26"/>
  <c r="BD1433" i="26"/>
  <c r="BV69" i="26"/>
  <c r="BE66" i="26"/>
  <c r="AQ951" i="55"/>
  <c r="AO950" i="55"/>
  <c r="BP951" i="26"/>
  <c r="BR951" i="26" s="1"/>
  <c r="BM951" i="26"/>
  <c r="BQ950" i="26" s="1"/>
  <c r="AT953" i="55"/>
  <c r="AW953" i="55" s="1"/>
  <c r="AX953" i="55" s="1"/>
  <c r="AT954" i="55"/>
  <c r="AW954" i="55" s="1"/>
  <c r="AX954" i="55" s="1"/>
  <c r="AT955" i="55"/>
  <c r="AW955" i="55" s="1"/>
  <c r="AX955" i="55" s="1"/>
  <c r="AT956" i="55"/>
  <c r="AW956" i="55" s="1"/>
  <c r="AX956" i="55" s="1"/>
  <c r="AT957" i="55"/>
  <c r="AW957" i="55" s="1"/>
  <c r="AX957" i="55" s="1"/>
  <c r="AT958" i="55"/>
  <c r="AW958" i="55" s="1"/>
  <c r="AX958" i="55" s="1"/>
  <c r="AT959" i="55"/>
  <c r="AW959" i="55" s="1"/>
  <c r="AX959" i="55" s="1"/>
  <c r="AT960" i="55"/>
  <c r="AW960" i="55" s="1"/>
  <c r="AX960" i="55" s="1"/>
  <c r="AT961" i="55"/>
  <c r="AW961" i="55" s="1"/>
  <c r="AX961" i="55" s="1"/>
  <c r="AT962" i="55"/>
  <c r="AW962" i="55" s="1"/>
  <c r="AX962" i="55" s="1"/>
  <c r="AT963" i="55"/>
  <c r="AW963" i="55" s="1"/>
  <c r="AX963" i="55" s="1"/>
  <c r="AT964" i="55"/>
  <c r="AW964" i="55" s="1"/>
  <c r="AX964" i="55" s="1"/>
  <c r="E1434" i="26" l="1"/>
  <c r="BE65" i="26"/>
  <c r="BN950" i="26"/>
  <c r="BW950" i="26"/>
  <c r="BX950" i="26" s="1"/>
  <c r="BG950" i="26"/>
  <c r="BI950" i="26"/>
  <c r="BO950" i="26"/>
  <c r="AQ950" i="55"/>
  <c r="AO949" i="55"/>
  <c r="BV68" i="26"/>
  <c r="BC1434" i="26" l="1"/>
  <c r="AV1434" i="55" s="1"/>
  <c r="AM1434" i="26"/>
  <c r="AS1434" i="26"/>
  <c r="M1434" i="26"/>
  <c r="N1434" i="26"/>
  <c r="BJ1434" i="26"/>
  <c r="BO1434" i="26"/>
  <c r="BR1434" i="26"/>
  <c r="AK1434" i="26"/>
  <c r="W1434" i="26"/>
  <c r="C1434" i="26"/>
  <c r="R1434" i="26"/>
  <c r="AP1434" i="26"/>
  <c r="AJ1434" i="26"/>
  <c r="BL1434" i="26"/>
  <c r="BA1434" i="26"/>
  <c r="L1434" i="26"/>
  <c r="Q1434" i="26"/>
  <c r="V1434" i="26"/>
  <c r="S1434" i="26"/>
  <c r="A1434" i="26"/>
  <c r="AT1434" i="26"/>
  <c r="I1434" i="26"/>
  <c r="U1434" i="26"/>
  <c r="T1434" i="26"/>
  <c r="D1434" i="26"/>
  <c r="AF1434" i="26"/>
  <c r="O1434" i="26"/>
  <c r="K1434" i="26"/>
  <c r="BK1434" i="26"/>
  <c r="BP1434" i="26"/>
  <c r="P1434" i="26"/>
  <c r="AU1434" i="26"/>
  <c r="B1434" i="26"/>
  <c r="BQ1434" i="26"/>
  <c r="AW1434" i="26"/>
  <c r="AY1434" i="26"/>
  <c r="BI1434" i="26"/>
  <c r="AV1434" i="26"/>
  <c r="AX1434" i="26"/>
  <c r="H1434" i="26"/>
  <c r="X1434" i="26"/>
  <c r="AR1434" i="26"/>
  <c r="BM1434" i="26"/>
  <c r="BN1434" i="26"/>
  <c r="G1434" i="26"/>
  <c r="AO1434" i="26"/>
  <c r="BD1434" i="26"/>
  <c r="BV67" i="26"/>
  <c r="BP950" i="26"/>
  <c r="BR950" i="26" s="1"/>
  <c r="BM950" i="26"/>
  <c r="BQ949" i="26" s="1"/>
  <c r="AQ949" i="55"/>
  <c r="AO948" i="55"/>
  <c r="BE64" i="26"/>
  <c r="E1435" i="26" l="1"/>
  <c r="BE63" i="26"/>
  <c r="BW949" i="26"/>
  <c r="BX949" i="26" s="1"/>
  <c r="BN949" i="26"/>
  <c r="BI949" i="26"/>
  <c r="BG949" i="26"/>
  <c r="BO949" i="26"/>
  <c r="AQ948" i="55"/>
  <c r="AO947" i="55"/>
  <c r="BV66" i="26"/>
  <c r="BC1435" i="26" l="1"/>
  <c r="AV1435" i="55" s="1"/>
  <c r="H1435" i="26"/>
  <c r="X1435" i="26"/>
  <c r="AF1435" i="26"/>
  <c r="BP1435" i="26"/>
  <c r="AX1435" i="26"/>
  <c r="BA1435" i="26"/>
  <c r="BR1435" i="26"/>
  <c r="AV1435" i="26"/>
  <c r="A1435" i="26"/>
  <c r="U1435" i="26"/>
  <c r="AT1435" i="26"/>
  <c r="BN1435" i="26"/>
  <c r="BJ1435" i="26"/>
  <c r="D1435" i="26"/>
  <c r="L1435" i="26"/>
  <c r="AU1435" i="26"/>
  <c r="AP1435" i="26"/>
  <c r="R1435" i="26"/>
  <c r="AJ1435" i="26"/>
  <c r="P1435" i="26"/>
  <c r="AW1435" i="26"/>
  <c r="AO1435" i="26"/>
  <c r="N1435" i="26"/>
  <c r="BL1435" i="26"/>
  <c r="G1435" i="26"/>
  <c r="T1435" i="26"/>
  <c r="AM1435" i="26"/>
  <c r="M1435" i="26"/>
  <c r="BM1435" i="26"/>
  <c r="W1435" i="26"/>
  <c r="S1435" i="26"/>
  <c r="BK1435" i="26"/>
  <c r="V1435" i="26"/>
  <c r="AY1435" i="26"/>
  <c r="AK1435" i="26"/>
  <c r="C1435" i="26"/>
  <c r="AR1435" i="26"/>
  <c r="BI1435" i="26"/>
  <c r="O1435" i="26"/>
  <c r="AS1435" i="26"/>
  <c r="Q1435" i="26"/>
  <c r="B1435" i="26"/>
  <c r="BO1435" i="26"/>
  <c r="I1435" i="26"/>
  <c r="BQ1435" i="26"/>
  <c r="K1435" i="26"/>
  <c r="BD1435" i="26"/>
  <c r="BV65" i="26"/>
  <c r="AQ947" i="55"/>
  <c r="AO946" i="55"/>
  <c r="BM949" i="26"/>
  <c r="BQ948" i="26" s="1"/>
  <c r="BE62" i="26"/>
  <c r="E1436" i="26" l="1"/>
  <c r="X14" i="2"/>
  <c r="Z14" i="2"/>
  <c r="W14" i="2"/>
  <c r="Y14" i="2"/>
  <c r="AB14" i="2"/>
  <c r="AA14" i="2"/>
  <c r="AC14" i="2"/>
  <c r="AD14" i="2"/>
  <c r="AE14" i="2"/>
  <c r="AF14" i="2"/>
  <c r="AG14" i="2"/>
  <c r="AH14" i="2"/>
  <c r="AJ14" i="2"/>
  <c r="AI14" i="2"/>
  <c r="AK14" i="2"/>
  <c r="AL14" i="2"/>
  <c r="AN14" i="2"/>
  <c r="AM14" i="2"/>
  <c r="AO14" i="2"/>
  <c r="AP14" i="2"/>
  <c r="AQ14" i="2"/>
  <c r="AR14" i="2"/>
  <c r="AS14" i="2"/>
  <c r="AT14" i="2"/>
  <c r="AV14" i="2"/>
  <c r="AU14" i="2"/>
  <c r="AW14" i="2"/>
  <c r="AX14" i="2"/>
  <c r="AZ14" i="2"/>
  <c r="AY14" i="2"/>
  <c r="BA14" i="2"/>
  <c r="BB14" i="2"/>
  <c r="BD14" i="2"/>
  <c r="BC14" i="2"/>
  <c r="BE14" i="2"/>
  <c r="BF14" i="2"/>
  <c r="BI14" i="2"/>
  <c r="BH14" i="2"/>
  <c r="BG14" i="2"/>
  <c r="BJ14" i="2"/>
  <c r="BK14" i="2"/>
  <c r="BM14" i="2"/>
  <c r="BL14" i="2"/>
  <c r="BN14" i="2"/>
  <c r="BO14" i="2"/>
  <c r="BP14" i="2"/>
  <c r="BQ14" i="2"/>
  <c r="BS14" i="2"/>
  <c r="BR14" i="2"/>
  <c r="BT14" i="2"/>
  <c r="BU14" i="2"/>
  <c r="BV14" i="2"/>
  <c r="BW14" i="2"/>
  <c r="BX14" i="2"/>
  <c r="BY14" i="2"/>
  <c r="BE61" i="26"/>
  <c r="AQ946" i="55"/>
  <c r="AO945" i="55"/>
  <c r="BP949" i="26"/>
  <c r="BR949" i="26" s="1"/>
  <c r="BI948" i="26"/>
  <c r="BW948" i="26"/>
  <c r="BX948" i="26" s="1"/>
  <c r="BG948" i="26"/>
  <c r="BN948" i="26"/>
  <c r="BO948" i="26"/>
  <c r="BV64" i="26"/>
  <c r="BC1436" i="26" l="1"/>
  <c r="AV1436" i="55" s="1"/>
  <c r="Q1436" i="26"/>
  <c r="T1436" i="26"/>
  <c r="U1436" i="26"/>
  <c r="BR1436" i="26"/>
  <c r="S1436" i="26"/>
  <c r="L1436" i="26"/>
  <c r="N1436" i="26"/>
  <c r="BI1436" i="26"/>
  <c r="AU1436" i="26"/>
  <c r="AS1436" i="26"/>
  <c r="BJ1436" i="26"/>
  <c r="BL1436" i="26"/>
  <c r="V1436" i="26"/>
  <c r="BP1436" i="26"/>
  <c r="BA1436" i="26"/>
  <c r="BQ1436" i="26"/>
  <c r="B1436" i="26"/>
  <c r="K1436" i="26"/>
  <c r="AX1436" i="26"/>
  <c r="H1436" i="26"/>
  <c r="AM1436" i="26"/>
  <c r="I1436" i="26"/>
  <c r="AR1436" i="26"/>
  <c r="AF1436" i="26"/>
  <c r="R1436" i="26"/>
  <c r="AK1436" i="26"/>
  <c r="BM1436" i="26"/>
  <c r="D1436" i="26"/>
  <c r="AO1436" i="26"/>
  <c r="M1436" i="26"/>
  <c r="O1436" i="26"/>
  <c r="G1436" i="26"/>
  <c r="W1436" i="26"/>
  <c r="P1436" i="26"/>
  <c r="X1436" i="26"/>
  <c r="AW1436" i="26"/>
  <c r="A1436" i="26"/>
  <c r="AJ1436" i="26"/>
  <c r="BK1436" i="26"/>
  <c r="AP1436" i="26"/>
  <c r="AV1436" i="26"/>
  <c r="C1436" i="26"/>
  <c r="BN1436" i="26"/>
  <c r="AY1436" i="26"/>
  <c r="AT1436" i="26"/>
  <c r="BO1436" i="26"/>
  <c r="BD1436" i="26"/>
  <c r="I808" i="55"/>
  <c r="I799" i="55"/>
  <c r="I806" i="26"/>
  <c r="I799" i="26"/>
  <c r="I807" i="55"/>
  <c r="I808" i="26"/>
  <c r="I805" i="26"/>
  <c r="I807" i="26"/>
  <c r="I798" i="26"/>
  <c r="I801" i="26"/>
  <c r="I797" i="55"/>
  <c r="U797" i="55" s="1"/>
  <c r="V797" i="55" s="1"/>
  <c r="I802" i="55"/>
  <c r="I803" i="26"/>
  <c r="I805" i="55"/>
  <c r="I804" i="55"/>
  <c r="I803" i="55"/>
  <c r="I800" i="55"/>
  <c r="I798" i="55"/>
  <c r="I802" i="26"/>
  <c r="I801" i="55"/>
  <c r="I806" i="55"/>
  <c r="I804" i="26"/>
  <c r="I797" i="26"/>
  <c r="AS797" i="26" s="1"/>
  <c r="BJ797" i="26" s="1"/>
  <c r="I800" i="26"/>
  <c r="I677" i="26"/>
  <c r="AS677" i="26" s="1"/>
  <c r="BJ677" i="26" s="1"/>
  <c r="I683" i="55"/>
  <c r="I686" i="26"/>
  <c r="I679" i="26"/>
  <c r="I679" i="55"/>
  <c r="I688" i="26"/>
  <c r="I677" i="55"/>
  <c r="U677" i="55" s="1"/>
  <c r="V677" i="55" s="1"/>
  <c r="I681" i="26"/>
  <c r="I684" i="55"/>
  <c r="I685" i="55"/>
  <c r="I683" i="26"/>
  <c r="I682" i="55"/>
  <c r="I680" i="55"/>
  <c r="I681" i="55"/>
  <c r="I682" i="26"/>
  <c r="I688" i="55"/>
  <c r="I687" i="55"/>
  <c r="I684" i="26"/>
  <c r="I678" i="26"/>
  <c r="I685" i="26"/>
  <c r="I686" i="55"/>
  <c r="I680" i="26"/>
  <c r="I678" i="55"/>
  <c r="I687" i="26"/>
  <c r="I562" i="55"/>
  <c r="I565" i="55"/>
  <c r="I559" i="55"/>
  <c r="I564" i="55"/>
  <c r="I562" i="26"/>
  <c r="I566" i="26"/>
  <c r="I557" i="26"/>
  <c r="AS557" i="26" s="1"/>
  <c r="BJ557" i="26" s="1"/>
  <c r="I559" i="26"/>
  <c r="I558" i="26"/>
  <c r="I561" i="55"/>
  <c r="I563" i="26"/>
  <c r="I567" i="26"/>
  <c r="I563" i="55"/>
  <c r="I560" i="55"/>
  <c r="I558" i="55"/>
  <c r="I568" i="55"/>
  <c r="I561" i="26"/>
  <c r="I565" i="26"/>
  <c r="I557" i="55"/>
  <c r="U557" i="55" s="1"/>
  <c r="V557" i="55" s="1"/>
  <c r="I564" i="26"/>
  <c r="I566" i="55"/>
  <c r="I567" i="55"/>
  <c r="I568" i="26"/>
  <c r="I560" i="26"/>
  <c r="I414" i="55"/>
  <c r="I418" i="55"/>
  <c r="I423" i="55"/>
  <c r="I416" i="26"/>
  <c r="I420" i="26"/>
  <c r="I424" i="26"/>
  <c r="I416" i="55"/>
  <c r="I413" i="55"/>
  <c r="U413" i="55" s="1"/>
  <c r="V413" i="55" s="1"/>
  <c r="I421" i="55"/>
  <c r="I415" i="55"/>
  <c r="I417" i="26"/>
  <c r="I421" i="26"/>
  <c r="I413" i="26"/>
  <c r="AS413" i="26" s="1"/>
  <c r="BJ413" i="26" s="1"/>
  <c r="I422" i="55"/>
  <c r="I417" i="55"/>
  <c r="I415" i="26"/>
  <c r="I419" i="26"/>
  <c r="I423" i="26"/>
  <c r="I420" i="55"/>
  <c r="I424" i="55"/>
  <c r="I422" i="26"/>
  <c r="I414" i="26"/>
  <c r="I418" i="26"/>
  <c r="I419" i="55"/>
  <c r="I328" i="55"/>
  <c r="I322" i="55"/>
  <c r="I327" i="55"/>
  <c r="I320" i="26"/>
  <c r="I324" i="26"/>
  <c r="I328" i="26"/>
  <c r="I318" i="55"/>
  <c r="I317" i="55"/>
  <c r="U317" i="55" s="1"/>
  <c r="V317" i="55" s="1"/>
  <c r="I326" i="55"/>
  <c r="I318" i="26"/>
  <c r="I321" i="26"/>
  <c r="I325" i="26"/>
  <c r="I324" i="55"/>
  <c r="I325" i="55"/>
  <c r="I323" i="55"/>
  <c r="I319" i="26"/>
  <c r="I323" i="26"/>
  <c r="I327" i="26"/>
  <c r="I317" i="26"/>
  <c r="AS317" i="26" s="1"/>
  <c r="BJ317" i="26" s="1"/>
  <c r="I320" i="55"/>
  <c r="I322" i="26"/>
  <c r="I319" i="55"/>
  <c r="I321" i="55"/>
  <c r="I326" i="26"/>
  <c r="I827" i="55"/>
  <c r="I822" i="55"/>
  <c r="I830" i="26"/>
  <c r="I823" i="26"/>
  <c r="I830" i="55"/>
  <c r="I832" i="26"/>
  <c r="I822" i="26"/>
  <c r="I825" i="26"/>
  <c r="I824" i="55"/>
  <c r="I825" i="55"/>
  <c r="I827" i="26"/>
  <c r="I832" i="55"/>
  <c r="I823" i="55"/>
  <c r="I821" i="55"/>
  <c r="U821" i="55" s="1"/>
  <c r="V821" i="55" s="1"/>
  <c r="I826" i="26"/>
  <c r="I828" i="55"/>
  <c r="I829" i="55"/>
  <c r="I828" i="26"/>
  <c r="I826" i="55"/>
  <c r="I831" i="55"/>
  <c r="I831" i="26"/>
  <c r="I821" i="26"/>
  <c r="AS821" i="26" s="1"/>
  <c r="BJ821" i="26" s="1"/>
  <c r="I824" i="26"/>
  <c r="I829" i="26"/>
  <c r="I771" i="55"/>
  <c r="I765" i="55"/>
  <c r="I770" i="26"/>
  <c r="I763" i="26"/>
  <c r="I762" i="55"/>
  <c r="I772" i="26"/>
  <c r="I762" i="26"/>
  <c r="I765" i="26"/>
  <c r="I770" i="55"/>
  <c r="I768" i="55"/>
  <c r="I767" i="26"/>
  <c r="I767" i="55"/>
  <c r="I766" i="55"/>
  <c r="I764" i="55"/>
  <c r="I766" i="26"/>
  <c r="I763" i="55"/>
  <c r="I772" i="55"/>
  <c r="I768" i="26"/>
  <c r="I769" i="26"/>
  <c r="I764" i="26"/>
  <c r="I761" i="26"/>
  <c r="AS761" i="26" s="1"/>
  <c r="BJ761" i="26" s="1"/>
  <c r="I761" i="55"/>
  <c r="U761" i="55" s="1"/>
  <c r="V761" i="55" s="1"/>
  <c r="I771" i="26"/>
  <c r="I769" i="55"/>
  <c r="I718" i="55"/>
  <c r="I721" i="26"/>
  <c r="I714" i="26"/>
  <c r="I715" i="55"/>
  <c r="I723" i="26"/>
  <c r="I716" i="26"/>
  <c r="I723" i="55"/>
  <c r="I717" i="55"/>
  <c r="I718" i="26"/>
  <c r="I720" i="55"/>
  <c r="I714" i="55"/>
  <c r="I720" i="26"/>
  <c r="I713" i="55"/>
  <c r="U713" i="55" s="1"/>
  <c r="V713" i="55" s="1"/>
  <c r="I717" i="26"/>
  <c r="I716" i="55"/>
  <c r="I721" i="55"/>
  <c r="I719" i="26"/>
  <c r="I724" i="55"/>
  <c r="I713" i="26"/>
  <c r="AS713" i="26" s="1"/>
  <c r="BJ713" i="26" s="1"/>
  <c r="I719" i="55"/>
  <c r="I722" i="26"/>
  <c r="I722" i="55"/>
  <c r="I724" i="26"/>
  <c r="I715" i="26"/>
  <c r="I669" i="55"/>
  <c r="I673" i="26"/>
  <c r="I666" i="26"/>
  <c r="I672" i="55"/>
  <c r="I675" i="26"/>
  <c r="I668" i="26"/>
  <c r="I673" i="55"/>
  <c r="I667" i="55"/>
  <c r="I670" i="26"/>
  <c r="I670" i="55"/>
  <c r="I675" i="55"/>
  <c r="I672" i="26"/>
  <c r="I665" i="26"/>
  <c r="AS665" i="26" s="1"/>
  <c r="BJ665" i="26" s="1"/>
  <c r="I669" i="26"/>
  <c r="I666" i="55"/>
  <c r="I671" i="55"/>
  <c r="I671" i="26"/>
  <c r="I674" i="55"/>
  <c r="I665" i="55"/>
  <c r="U665" i="55" s="1"/>
  <c r="V665" i="55" s="1"/>
  <c r="I676" i="55"/>
  <c r="I674" i="26"/>
  <c r="I668" i="55"/>
  <c r="I676" i="26"/>
  <c r="I667" i="26"/>
  <c r="I617" i="26"/>
  <c r="AS617" i="26" s="1"/>
  <c r="BJ617" i="26" s="1"/>
  <c r="I626" i="55"/>
  <c r="I626" i="26"/>
  <c r="I619" i="26"/>
  <c r="I621" i="55"/>
  <c r="I628" i="26"/>
  <c r="I622" i="55"/>
  <c r="I621" i="26"/>
  <c r="I618" i="55"/>
  <c r="I617" i="55"/>
  <c r="U617" i="55" s="1"/>
  <c r="V617" i="55" s="1"/>
  <c r="I623" i="26"/>
  <c r="I620" i="55"/>
  <c r="I625" i="55"/>
  <c r="I619" i="55"/>
  <c r="I622" i="26"/>
  <c r="I624" i="55"/>
  <c r="I628" i="55"/>
  <c r="I625" i="26"/>
  <c r="I627" i="55"/>
  <c r="I627" i="26"/>
  <c r="I624" i="26"/>
  <c r="I620" i="26"/>
  <c r="I618" i="26"/>
  <c r="I623" i="55"/>
  <c r="I579" i="55"/>
  <c r="I575" i="55"/>
  <c r="I570" i="55"/>
  <c r="I572" i="26"/>
  <c r="I576" i="26"/>
  <c r="I580" i="26"/>
  <c r="I578" i="55"/>
  <c r="I574" i="55"/>
  <c r="I576" i="55"/>
  <c r="I569" i="26"/>
  <c r="AS569" i="26" s="1"/>
  <c r="BJ569" i="26" s="1"/>
  <c r="I573" i="26"/>
  <c r="I577" i="26"/>
  <c r="I580" i="55"/>
  <c r="I573" i="55"/>
  <c r="I577" i="55"/>
  <c r="I571" i="26"/>
  <c r="I575" i="26"/>
  <c r="I579" i="26"/>
  <c r="I571" i="55"/>
  <c r="I569" i="55"/>
  <c r="U569" i="55" s="1"/>
  <c r="V569" i="55" s="1"/>
  <c r="I570" i="26"/>
  <c r="I578" i="26"/>
  <c r="I572" i="55"/>
  <c r="I574" i="26"/>
  <c r="I521" i="26"/>
  <c r="AS521" i="26" s="1"/>
  <c r="BJ521" i="26" s="1"/>
  <c r="I530" i="55"/>
  <c r="I529" i="26"/>
  <c r="I523" i="26"/>
  <c r="I521" i="55"/>
  <c r="U521" i="55" s="1"/>
  <c r="V521" i="55" s="1"/>
  <c r="I532" i="26"/>
  <c r="I532" i="55"/>
  <c r="I525" i="26"/>
  <c r="I529" i="55"/>
  <c r="I522" i="55"/>
  <c r="I527" i="26"/>
  <c r="I531" i="55"/>
  <c r="I527" i="55"/>
  <c r="I523" i="55"/>
  <c r="I526" i="26"/>
  <c r="I528" i="55"/>
  <c r="I526" i="55"/>
  <c r="I528" i="26"/>
  <c r="I525" i="55"/>
  <c r="I524" i="55"/>
  <c r="I531" i="26"/>
  <c r="I522" i="26"/>
  <c r="I530" i="26"/>
  <c r="I524" i="26"/>
  <c r="I479" i="55"/>
  <c r="I473" i="55"/>
  <c r="U473" i="55" s="1"/>
  <c r="V473" i="55" s="1"/>
  <c r="I483" i="55"/>
  <c r="I476" i="26"/>
  <c r="I480" i="26"/>
  <c r="I484" i="26"/>
  <c r="I474" i="26"/>
  <c r="I474" i="55"/>
  <c r="I477" i="55"/>
  <c r="I475" i="55"/>
  <c r="I477" i="26"/>
  <c r="I481" i="26"/>
  <c r="I473" i="26"/>
  <c r="AS473" i="26" s="1"/>
  <c r="BJ473" i="26" s="1"/>
  <c r="I476" i="55"/>
  <c r="I482" i="55"/>
  <c r="I475" i="26"/>
  <c r="I479" i="26"/>
  <c r="I483" i="26"/>
  <c r="I481" i="55"/>
  <c r="I480" i="55"/>
  <c r="I482" i="26"/>
  <c r="I478" i="55"/>
  <c r="I478" i="26"/>
  <c r="I484" i="55"/>
  <c r="I433" i="55"/>
  <c r="I425" i="55"/>
  <c r="U425" i="55" s="1"/>
  <c r="V425" i="55" s="1"/>
  <c r="I425" i="26"/>
  <c r="AS425" i="26" s="1"/>
  <c r="BJ425" i="26" s="1"/>
  <c r="I428" i="26"/>
  <c r="I432" i="26"/>
  <c r="I436" i="26"/>
  <c r="I436" i="55"/>
  <c r="I434" i="55"/>
  <c r="I435" i="55"/>
  <c r="I427" i="26"/>
  <c r="I429" i="26"/>
  <c r="I433" i="26"/>
  <c r="I431" i="55"/>
  <c r="I427" i="55"/>
  <c r="I428" i="55"/>
  <c r="I426" i="26"/>
  <c r="I431" i="26"/>
  <c r="I435" i="26"/>
  <c r="I432" i="55"/>
  <c r="I430" i="26"/>
  <c r="I430" i="55"/>
  <c r="I434" i="26"/>
  <c r="I429" i="55"/>
  <c r="I426" i="55"/>
  <c r="I387" i="55"/>
  <c r="I388" i="55"/>
  <c r="I377" i="26"/>
  <c r="AS377" i="26" s="1"/>
  <c r="BJ377" i="26" s="1"/>
  <c r="I382" i="55"/>
  <c r="I382" i="26"/>
  <c r="I386" i="26"/>
  <c r="I380" i="55"/>
  <c r="I384" i="55"/>
  <c r="I386" i="55"/>
  <c r="I378" i="55"/>
  <c r="I383" i="26"/>
  <c r="I387" i="26"/>
  <c r="I385" i="55"/>
  <c r="I381" i="55"/>
  <c r="I383" i="55"/>
  <c r="I377" i="55"/>
  <c r="U377" i="55" s="1"/>
  <c r="V377" i="55" s="1"/>
  <c r="I381" i="26"/>
  <c r="I385" i="26"/>
  <c r="I378" i="26"/>
  <c r="I384" i="26"/>
  <c r="I379" i="26"/>
  <c r="I388" i="26"/>
  <c r="I380" i="26"/>
  <c r="I379" i="55"/>
  <c r="I332" i="55"/>
  <c r="I340" i="55"/>
  <c r="I334" i="55"/>
  <c r="I339" i="55"/>
  <c r="I334" i="26"/>
  <c r="I338" i="26"/>
  <c r="I337" i="55"/>
  <c r="I329" i="26"/>
  <c r="AS329" i="26" s="1"/>
  <c r="BJ329" i="26" s="1"/>
  <c r="I335" i="55"/>
  <c r="I333" i="55"/>
  <c r="I335" i="26"/>
  <c r="I339" i="26"/>
  <c r="I336" i="55"/>
  <c r="I331" i="55"/>
  <c r="I338" i="55"/>
  <c r="I330" i="26"/>
  <c r="I333" i="26"/>
  <c r="I337" i="26"/>
  <c r="I329" i="55"/>
  <c r="U329" i="55" s="1"/>
  <c r="V329" i="55" s="1"/>
  <c r="I336" i="26"/>
  <c r="I332" i="26"/>
  <c r="I330" i="55"/>
  <c r="I331" i="26"/>
  <c r="I340" i="26"/>
  <c r="I273" i="55"/>
  <c r="I270" i="55"/>
  <c r="I271" i="55"/>
  <c r="I276" i="55"/>
  <c r="I274" i="26"/>
  <c r="I278" i="26"/>
  <c r="I277" i="55"/>
  <c r="I274" i="55"/>
  <c r="I275" i="55"/>
  <c r="I280" i="55"/>
  <c r="I275" i="26"/>
  <c r="I279" i="26"/>
  <c r="I269" i="55"/>
  <c r="U269" i="55" s="1"/>
  <c r="V269" i="55" s="1"/>
  <c r="I272" i="55"/>
  <c r="I270" i="26"/>
  <c r="I271" i="26"/>
  <c r="I273" i="26"/>
  <c r="I277" i="26"/>
  <c r="I269" i="26"/>
  <c r="AS269" i="26" s="1"/>
  <c r="BJ269" i="26" s="1"/>
  <c r="I276" i="26"/>
  <c r="I278" i="55"/>
  <c r="I280" i="26"/>
  <c r="I272" i="26"/>
  <c r="I279" i="55"/>
  <c r="I746" i="55"/>
  <c r="I744" i="55"/>
  <c r="I746" i="26"/>
  <c r="I739" i="26"/>
  <c r="I737" i="55"/>
  <c r="U737" i="55" s="1"/>
  <c r="V737" i="55" s="1"/>
  <c r="I748" i="26"/>
  <c r="I737" i="26"/>
  <c r="AS737" i="26" s="1"/>
  <c r="BJ737" i="26" s="1"/>
  <c r="I741" i="26"/>
  <c r="I745" i="55"/>
  <c r="I743" i="55"/>
  <c r="I743" i="26"/>
  <c r="I742" i="55"/>
  <c r="I741" i="55"/>
  <c r="I739" i="55"/>
  <c r="I742" i="26"/>
  <c r="I738" i="55"/>
  <c r="I747" i="55"/>
  <c r="I744" i="26"/>
  <c r="I748" i="55"/>
  <c r="I740" i="55"/>
  <c r="I747" i="26"/>
  <c r="I738" i="26"/>
  <c r="I745" i="26"/>
  <c r="I740" i="26"/>
  <c r="I605" i="26"/>
  <c r="AS605" i="26" s="1"/>
  <c r="BJ605" i="26" s="1"/>
  <c r="I606" i="55"/>
  <c r="I614" i="26"/>
  <c r="I607" i="26"/>
  <c r="I616" i="55"/>
  <c r="I616" i="26"/>
  <c r="I607" i="55"/>
  <c r="I609" i="26"/>
  <c r="I609" i="55"/>
  <c r="I605" i="55"/>
  <c r="U605" i="55" s="1"/>
  <c r="V605" i="55" s="1"/>
  <c r="I611" i="26"/>
  <c r="I610" i="55"/>
  <c r="I614" i="55"/>
  <c r="I613" i="55"/>
  <c r="I610" i="26"/>
  <c r="I615" i="55"/>
  <c r="I611" i="55"/>
  <c r="I612" i="26"/>
  <c r="I613" i="26"/>
  <c r="I608" i="26"/>
  <c r="I606" i="26"/>
  <c r="I608" i="55"/>
  <c r="I615" i="26"/>
  <c r="I612" i="55"/>
  <c r="I462" i="55"/>
  <c r="I461" i="55"/>
  <c r="U461" i="55" s="1"/>
  <c r="V461" i="55" s="1"/>
  <c r="I461" i="26"/>
  <c r="AS461" i="26" s="1"/>
  <c r="BJ461" i="26" s="1"/>
  <c r="I464" i="55"/>
  <c r="I466" i="26"/>
  <c r="I471" i="55"/>
  <c r="I472" i="55"/>
  <c r="I470" i="55"/>
  <c r="I463" i="26"/>
  <c r="I467" i="26"/>
  <c r="I471" i="26"/>
  <c r="I466" i="55"/>
  <c r="I467" i="55"/>
  <c r="I463" i="55"/>
  <c r="I465" i="55"/>
  <c r="I465" i="26"/>
  <c r="I469" i="26"/>
  <c r="I462" i="26"/>
  <c r="I472" i="26"/>
  <c r="I469" i="55"/>
  <c r="I464" i="26"/>
  <c r="I468" i="55"/>
  <c r="I470" i="26"/>
  <c r="I468" i="26"/>
  <c r="I366" i="26"/>
  <c r="I374" i="55"/>
  <c r="I369" i="55"/>
  <c r="I368" i="26"/>
  <c r="I372" i="26"/>
  <c r="I376" i="26"/>
  <c r="I367" i="26"/>
  <c r="I376" i="55"/>
  <c r="I366" i="55"/>
  <c r="I372" i="55"/>
  <c r="I369" i="26"/>
  <c r="I373" i="26"/>
  <c r="I365" i="26"/>
  <c r="AS365" i="26" s="1"/>
  <c r="BJ365" i="26" s="1"/>
  <c r="I373" i="55"/>
  <c r="I371" i="55"/>
  <c r="I368" i="55"/>
  <c r="I371" i="26"/>
  <c r="I375" i="26"/>
  <c r="I367" i="55"/>
  <c r="I374" i="26"/>
  <c r="I365" i="55"/>
  <c r="U365" i="55" s="1"/>
  <c r="V365" i="55" s="1"/>
  <c r="I370" i="55"/>
  <c r="I370" i="26"/>
  <c r="I375" i="55"/>
  <c r="I255" i="55"/>
  <c r="I251" i="55"/>
  <c r="I246" i="55"/>
  <c r="I248" i="26"/>
  <c r="I252" i="26"/>
  <c r="I256" i="26"/>
  <c r="I252" i="55"/>
  <c r="I247" i="55"/>
  <c r="I247" i="26"/>
  <c r="I245" i="26"/>
  <c r="AS245" i="26" s="1"/>
  <c r="BJ245" i="26" s="1"/>
  <c r="I256" i="55"/>
  <c r="I249" i="26"/>
  <c r="I253" i="26"/>
  <c r="I249" i="55"/>
  <c r="I254" i="55"/>
  <c r="I250" i="55"/>
  <c r="I248" i="55"/>
  <c r="I245" i="55"/>
  <c r="U245" i="55" s="1"/>
  <c r="V245" i="55" s="1"/>
  <c r="I246" i="26"/>
  <c r="I251" i="26"/>
  <c r="I255" i="26"/>
  <c r="I253" i="55"/>
  <c r="I250" i="26"/>
  <c r="I254" i="26"/>
  <c r="I851" i="55"/>
  <c r="I915" i="55"/>
  <c r="I872" i="55"/>
  <c r="I901" i="55"/>
  <c r="I890" i="55"/>
  <c r="I833" i="26"/>
  <c r="AS833" i="26" s="1"/>
  <c r="BJ833" i="26" s="1"/>
  <c r="I849" i="26"/>
  <c r="I865" i="26"/>
  <c r="I881" i="26"/>
  <c r="AS881" i="26" s="1"/>
  <c r="BJ881" i="26" s="1"/>
  <c r="I897" i="26"/>
  <c r="I913" i="26"/>
  <c r="I887" i="55"/>
  <c r="I844" i="55"/>
  <c r="I908" i="55"/>
  <c r="I862" i="55"/>
  <c r="I853" i="55"/>
  <c r="I842" i="26"/>
  <c r="I858" i="26"/>
  <c r="I874" i="26"/>
  <c r="I890" i="26"/>
  <c r="I906" i="26"/>
  <c r="I859" i="55"/>
  <c r="I849" i="55"/>
  <c r="I880" i="55"/>
  <c r="I834" i="55"/>
  <c r="I898" i="55"/>
  <c r="I835" i="26"/>
  <c r="I851" i="26"/>
  <c r="I867" i="26"/>
  <c r="I883" i="26"/>
  <c r="I899" i="26"/>
  <c r="I915" i="26"/>
  <c r="I895" i="55"/>
  <c r="I852" i="55"/>
  <c r="I916" i="55"/>
  <c r="I870" i="55"/>
  <c r="I869" i="55"/>
  <c r="U869" i="55" s="1"/>
  <c r="V869" i="55" s="1"/>
  <c r="I844" i="26"/>
  <c r="I860" i="26"/>
  <c r="I876" i="26"/>
  <c r="I892" i="26"/>
  <c r="I908" i="26"/>
  <c r="I867" i="55"/>
  <c r="I877" i="55"/>
  <c r="I888" i="55"/>
  <c r="I842" i="55"/>
  <c r="I906" i="55"/>
  <c r="I837" i="26"/>
  <c r="I853" i="26"/>
  <c r="I869" i="26"/>
  <c r="AS869" i="26" s="1"/>
  <c r="BJ869" i="26" s="1"/>
  <c r="I885" i="26"/>
  <c r="I901" i="26"/>
  <c r="I839" i="55"/>
  <c r="I903" i="55"/>
  <c r="I860" i="55"/>
  <c r="I857" i="55"/>
  <c r="U857" i="55" s="1"/>
  <c r="V857" i="55" s="1"/>
  <c r="I878" i="55"/>
  <c r="I893" i="55"/>
  <c r="U893" i="55" s="1"/>
  <c r="V893" i="55" s="1"/>
  <c r="I846" i="26"/>
  <c r="I862" i="26"/>
  <c r="I878" i="26"/>
  <c r="I894" i="26"/>
  <c r="I910" i="26"/>
  <c r="I875" i="55"/>
  <c r="I905" i="55"/>
  <c r="U905" i="55" s="1"/>
  <c r="V905" i="55" s="1"/>
  <c r="Z905" i="55" s="1"/>
  <c r="Z904" i="55" s="1"/>
  <c r="Z903" i="55" s="1"/>
  <c r="Z902" i="55" s="1"/>
  <c r="Z901" i="55" s="1"/>
  <c r="Z900" i="55" s="1"/>
  <c r="Z899" i="55" s="1"/>
  <c r="Z898" i="55" s="1"/>
  <c r="Z897" i="55" s="1"/>
  <c r="Z896" i="55" s="1"/>
  <c r="Z895" i="55" s="1"/>
  <c r="Z894" i="55" s="1"/>
  <c r="I896" i="55"/>
  <c r="I850" i="55"/>
  <c r="I914" i="55"/>
  <c r="I839" i="26"/>
  <c r="I855" i="26"/>
  <c r="I871" i="26"/>
  <c r="I887" i="26"/>
  <c r="I903" i="26"/>
  <c r="I847" i="55"/>
  <c r="I911" i="55"/>
  <c r="I868" i="55"/>
  <c r="I885" i="55"/>
  <c r="I886" i="55"/>
  <c r="I909" i="55"/>
  <c r="I848" i="26"/>
  <c r="I864" i="26"/>
  <c r="I880" i="26"/>
  <c r="I896" i="26"/>
  <c r="I912" i="26"/>
  <c r="I835" i="55"/>
  <c r="I899" i="55"/>
  <c r="I856" i="55"/>
  <c r="I845" i="55"/>
  <c r="U845" i="55" s="1"/>
  <c r="V845" i="55" s="1"/>
  <c r="I874" i="55"/>
  <c r="I881" i="55"/>
  <c r="U881" i="55" s="1"/>
  <c r="V881" i="55" s="1"/>
  <c r="I845" i="26"/>
  <c r="AS845" i="26" s="1"/>
  <c r="BJ845" i="26" s="1"/>
  <c r="I861" i="26"/>
  <c r="I877" i="26"/>
  <c r="I893" i="26"/>
  <c r="AS893" i="26" s="1"/>
  <c r="BJ893" i="26" s="1"/>
  <c r="I909" i="26"/>
  <c r="I871" i="55"/>
  <c r="I889" i="55"/>
  <c r="I892" i="55"/>
  <c r="I846" i="55"/>
  <c r="I910" i="55"/>
  <c r="I838" i="26"/>
  <c r="I854" i="26"/>
  <c r="I870" i="26"/>
  <c r="I886" i="26"/>
  <c r="I902" i="26"/>
  <c r="I843" i="55"/>
  <c r="I907" i="55"/>
  <c r="I864" i="55"/>
  <c r="I873" i="55"/>
  <c r="I882" i="55"/>
  <c r="I897" i="55"/>
  <c r="I847" i="26"/>
  <c r="I863" i="26"/>
  <c r="I879" i="26"/>
  <c r="I895" i="26"/>
  <c r="I911" i="26"/>
  <c r="I879" i="55"/>
  <c r="I836" i="55"/>
  <c r="I900" i="55"/>
  <c r="I854" i="55"/>
  <c r="I837" i="55"/>
  <c r="I840" i="26"/>
  <c r="I856" i="26"/>
  <c r="I872" i="26"/>
  <c r="I888" i="26"/>
  <c r="I904" i="26"/>
  <c r="I904" i="55"/>
  <c r="I857" i="26"/>
  <c r="AS857" i="26" s="1"/>
  <c r="BJ857" i="26" s="1"/>
  <c r="I855" i="55"/>
  <c r="I894" i="55"/>
  <c r="I882" i="26"/>
  <c r="I848" i="55"/>
  <c r="I843" i="26"/>
  <c r="I907" i="26"/>
  <c r="I838" i="55"/>
  <c r="I868" i="26"/>
  <c r="I841" i="55"/>
  <c r="I850" i="26"/>
  <c r="I875" i="26"/>
  <c r="I900" i="26"/>
  <c r="I858" i="55"/>
  <c r="I873" i="26"/>
  <c r="I833" i="55"/>
  <c r="U833" i="55" s="1"/>
  <c r="V833" i="55" s="1"/>
  <c r="I834" i="26"/>
  <c r="I898" i="26"/>
  <c r="I912" i="55"/>
  <c r="I859" i="26"/>
  <c r="I863" i="55"/>
  <c r="I902" i="55"/>
  <c r="I884" i="26"/>
  <c r="I883" i="55"/>
  <c r="I876" i="55"/>
  <c r="I866" i="55"/>
  <c r="I836" i="26"/>
  <c r="I840" i="55"/>
  <c r="I841" i="26"/>
  <c r="I905" i="26"/>
  <c r="AS905" i="26" s="1"/>
  <c r="BJ905" i="26" s="1"/>
  <c r="BI905" i="26" s="1"/>
  <c r="I913" i="55"/>
  <c r="I866" i="26"/>
  <c r="I891" i="55"/>
  <c r="I861" i="55"/>
  <c r="I891" i="26"/>
  <c r="I884" i="55"/>
  <c r="I852" i="26"/>
  <c r="I916" i="26"/>
  <c r="I889" i="26"/>
  <c r="I914" i="26"/>
  <c r="I865" i="55"/>
  <c r="I792" i="55"/>
  <c r="I790" i="55"/>
  <c r="I794" i="26"/>
  <c r="I787" i="26"/>
  <c r="I796" i="55"/>
  <c r="I796" i="26"/>
  <c r="I793" i="26"/>
  <c r="I788" i="26"/>
  <c r="I786" i="26"/>
  <c r="I789" i="26"/>
  <c r="I791" i="55"/>
  <c r="I789" i="55"/>
  <c r="I791" i="26"/>
  <c r="I788" i="55"/>
  <c r="I786" i="55"/>
  <c r="I794" i="55"/>
  <c r="I787" i="55"/>
  <c r="I785" i="55"/>
  <c r="U785" i="55" s="1"/>
  <c r="V785" i="55" s="1"/>
  <c r="I790" i="26"/>
  <c r="I795" i="55"/>
  <c r="I793" i="55"/>
  <c r="I792" i="26"/>
  <c r="I785" i="26"/>
  <c r="AS785" i="26" s="1"/>
  <c r="BJ785" i="26" s="1"/>
  <c r="I795" i="26"/>
  <c r="I749" i="26"/>
  <c r="AS749" i="26" s="1"/>
  <c r="BJ749" i="26" s="1"/>
  <c r="I757" i="55"/>
  <c r="I758" i="26"/>
  <c r="I751" i="26"/>
  <c r="I754" i="55"/>
  <c r="I752" i="55"/>
  <c r="I753" i="26"/>
  <c r="I751" i="55"/>
  <c r="I760" i="55"/>
  <c r="I755" i="26"/>
  <c r="I759" i="55"/>
  <c r="I758" i="55"/>
  <c r="I756" i="55"/>
  <c r="I754" i="26"/>
  <c r="I755" i="55"/>
  <c r="I749" i="55"/>
  <c r="U749" i="55" s="1"/>
  <c r="V749" i="55" s="1"/>
  <c r="I756" i="26"/>
  <c r="I757" i="26"/>
  <c r="I752" i="26"/>
  <c r="I750" i="26"/>
  <c r="I760" i="26"/>
  <c r="I753" i="55"/>
  <c r="I759" i="26"/>
  <c r="I750" i="55"/>
  <c r="I689" i="26"/>
  <c r="AS689" i="26" s="1"/>
  <c r="BJ689" i="26" s="1"/>
  <c r="I693" i="26"/>
  <c r="I694" i="55"/>
  <c r="I697" i="26"/>
  <c r="I690" i="26"/>
  <c r="I697" i="55"/>
  <c r="I699" i="26"/>
  <c r="I692" i="26"/>
  <c r="I692" i="55"/>
  <c r="I694" i="26"/>
  <c r="I691" i="55"/>
  <c r="I700" i="55"/>
  <c r="I696" i="26"/>
  <c r="I699" i="55"/>
  <c r="I698" i="55"/>
  <c r="I696" i="55"/>
  <c r="I695" i="26"/>
  <c r="I695" i="55"/>
  <c r="I698" i="26"/>
  <c r="I691" i="26"/>
  <c r="I689" i="55"/>
  <c r="U689" i="55" s="1"/>
  <c r="V689" i="55" s="1"/>
  <c r="I693" i="55"/>
  <c r="I700" i="26"/>
  <c r="I690" i="55"/>
  <c r="I639" i="55"/>
  <c r="I637" i="26"/>
  <c r="I630" i="26"/>
  <c r="I637" i="55"/>
  <c r="I639" i="26"/>
  <c r="I632" i="26"/>
  <c r="I635" i="55"/>
  <c r="I636" i="55"/>
  <c r="I634" i="26"/>
  <c r="I640" i="55"/>
  <c r="I634" i="55"/>
  <c r="I636" i="26"/>
  <c r="I633" i="55"/>
  <c r="I633" i="26"/>
  <c r="I630" i="55"/>
  <c r="I629" i="55"/>
  <c r="U629" i="55" s="1"/>
  <c r="V629" i="55" s="1"/>
  <c r="I635" i="26"/>
  <c r="I632" i="55"/>
  <c r="I629" i="26"/>
  <c r="AS629" i="26" s="1"/>
  <c r="BJ629" i="26" s="1"/>
  <c r="I638" i="55"/>
  <c r="I638" i="26"/>
  <c r="I631" i="55"/>
  <c r="I640" i="26"/>
  <c r="I631" i="26"/>
  <c r="I592" i="55"/>
  <c r="I589" i="26"/>
  <c r="I582" i="26"/>
  <c r="I587" i="55"/>
  <c r="I591" i="26"/>
  <c r="I584" i="26"/>
  <c r="I591" i="55"/>
  <c r="I588" i="55"/>
  <c r="I586" i="26"/>
  <c r="I581" i="55"/>
  <c r="U581" i="55" s="1"/>
  <c r="V581" i="55" s="1"/>
  <c r="I584" i="55"/>
  <c r="I588" i="26"/>
  <c r="I585" i="55"/>
  <c r="I585" i="26"/>
  <c r="I583" i="55"/>
  <c r="I582" i="55"/>
  <c r="I587" i="26"/>
  <c r="I590" i="55"/>
  <c r="I590" i="26"/>
  <c r="I583" i="26"/>
  <c r="I586" i="55"/>
  <c r="I589" i="55"/>
  <c r="I592" i="26"/>
  <c r="I581" i="26"/>
  <c r="AS581" i="26" s="1"/>
  <c r="BJ581" i="26" s="1"/>
  <c r="I536" i="55"/>
  <c r="I534" i="55"/>
  <c r="I540" i="55"/>
  <c r="I536" i="26"/>
  <c r="I540" i="26"/>
  <c r="I544" i="26"/>
  <c r="I533" i="55"/>
  <c r="U533" i="55" s="1"/>
  <c r="V533" i="55" s="1"/>
  <c r="I533" i="26"/>
  <c r="AS533" i="26" s="1"/>
  <c r="BJ533" i="26" s="1"/>
  <c r="I534" i="26"/>
  <c r="I535" i="55"/>
  <c r="I537" i="26"/>
  <c r="I541" i="26"/>
  <c r="I542" i="55"/>
  <c r="I541" i="55"/>
  <c r="I543" i="55"/>
  <c r="I535" i="26"/>
  <c r="I539" i="26"/>
  <c r="I543" i="26"/>
  <c r="I537" i="55"/>
  <c r="I538" i="26"/>
  <c r="I539" i="55"/>
  <c r="I542" i="26"/>
  <c r="I538" i="55"/>
  <c r="I544" i="55"/>
  <c r="I498" i="55"/>
  <c r="I499" i="55"/>
  <c r="I497" i="55"/>
  <c r="U497" i="55" s="1"/>
  <c r="V497" i="55" s="1"/>
  <c r="I504" i="55"/>
  <c r="I502" i="26"/>
  <c r="I506" i="26"/>
  <c r="I508" i="55"/>
  <c r="I506" i="55"/>
  <c r="I498" i="26"/>
  <c r="I499" i="26"/>
  <c r="I503" i="26"/>
  <c r="I507" i="26"/>
  <c r="I507" i="55"/>
  <c r="I500" i="55"/>
  <c r="I502" i="55"/>
  <c r="I497" i="26"/>
  <c r="AS497" i="26" s="1"/>
  <c r="BJ497" i="26" s="1"/>
  <c r="I501" i="26"/>
  <c r="I505" i="26"/>
  <c r="I505" i="55"/>
  <c r="I500" i="26"/>
  <c r="I504" i="26"/>
  <c r="I503" i="55"/>
  <c r="I508" i="26"/>
  <c r="I501" i="55"/>
  <c r="I444" i="55"/>
  <c r="I448" i="55"/>
  <c r="I438" i="26"/>
  <c r="I440" i="26"/>
  <c r="I444" i="26"/>
  <c r="I448" i="26"/>
  <c r="I438" i="55"/>
  <c r="I437" i="55"/>
  <c r="U437" i="55" s="1"/>
  <c r="V437" i="55" s="1"/>
  <c r="I447" i="55"/>
  <c r="I442" i="55"/>
  <c r="I441" i="26"/>
  <c r="I445" i="26"/>
  <c r="I443" i="55"/>
  <c r="I441" i="55"/>
  <c r="I440" i="55"/>
  <c r="I439" i="26"/>
  <c r="I443" i="26"/>
  <c r="I447" i="26"/>
  <c r="I437" i="26"/>
  <c r="AS437" i="26" s="1"/>
  <c r="BJ437" i="26" s="1"/>
  <c r="I446" i="55"/>
  <c r="I442" i="26"/>
  <c r="I445" i="55"/>
  <c r="I439" i="55"/>
  <c r="I446" i="26"/>
  <c r="I392" i="55"/>
  <c r="I389" i="55"/>
  <c r="U389" i="55" s="1"/>
  <c r="V389" i="55" s="1"/>
  <c r="I399" i="55"/>
  <c r="I397" i="55"/>
  <c r="I394" i="26"/>
  <c r="I398" i="26"/>
  <c r="I393" i="55"/>
  <c r="I390" i="55"/>
  <c r="I396" i="55"/>
  <c r="I398" i="55"/>
  <c r="I395" i="26"/>
  <c r="I399" i="26"/>
  <c r="I391" i="55"/>
  <c r="I394" i="55"/>
  <c r="I400" i="55"/>
  <c r="I389" i="26"/>
  <c r="AS389" i="26" s="1"/>
  <c r="BJ389" i="26" s="1"/>
  <c r="I393" i="26"/>
  <c r="I397" i="26"/>
  <c r="I390" i="26"/>
  <c r="I395" i="55"/>
  <c r="I392" i="26"/>
  <c r="I396" i="26"/>
  <c r="I391" i="26"/>
  <c r="I400" i="26"/>
  <c r="I354" i="26"/>
  <c r="I356" i="55"/>
  <c r="I363" i="55"/>
  <c r="I356" i="26"/>
  <c r="I360" i="26"/>
  <c r="I364" i="26"/>
  <c r="I360" i="55"/>
  <c r="I355" i="55"/>
  <c r="I353" i="26"/>
  <c r="AS353" i="26" s="1"/>
  <c r="BJ353" i="26" s="1"/>
  <c r="I359" i="55"/>
  <c r="I357" i="26"/>
  <c r="I361" i="26"/>
  <c r="I357" i="55"/>
  <c r="I362" i="55"/>
  <c r="I353" i="55"/>
  <c r="U353" i="55" s="1"/>
  <c r="V353" i="55" s="1"/>
  <c r="I355" i="26"/>
  <c r="I359" i="26"/>
  <c r="I363" i="26"/>
  <c r="I358" i="55"/>
  <c r="I358" i="26"/>
  <c r="I354" i="55"/>
  <c r="I362" i="26"/>
  <c r="I364" i="55"/>
  <c r="I361" i="55"/>
  <c r="I296" i="55"/>
  <c r="I297" i="55"/>
  <c r="I298" i="55"/>
  <c r="I296" i="26"/>
  <c r="I300" i="26"/>
  <c r="I304" i="26"/>
  <c r="I295" i="55"/>
  <c r="I300" i="55"/>
  <c r="I301" i="55"/>
  <c r="I302" i="55"/>
  <c r="I297" i="26"/>
  <c r="I301" i="26"/>
  <c r="I303" i="55"/>
  <c r="I293" i="55"/>
  <c r="U293" i="55" s="1"/>
  <c r="V293" i="55" s="1"/>
  <c r="I294" i="55"/>
  <c r="I295" i="26"/>
  <c r="I299" i="26"/>
  <c r="I303" i="26"/>
  <c r="I304" i="55"/>
  <c r="I302" i="26"/>
  <c r="I293" i="26"/>
  <c r="AS293" i="26" s="1"/>
  <c r="BJ293" i="26" s="1"/>
  <c r="I299" i="55"/>
  <c r="I298" i="26"/>
  <c r="I294" i="26"/>
  <c r="I286" i="55"/>
  <c r="I289" i="55"/>
  <c r="I283" i="55"/>
  <c r="I284" i="26"/>
  <c r="I288" i="26"/>
  <c r="I292" i="26"/>
  <c r="I284" i="55"/>
  <c r="I282" i="26"/>
  <c r="I281" i="26"/>
  <c r="AS281" i="26" s="1"/>
  <c r="BJ281" i="26" s="1"/>
  <c r="I287" i="55"/>
  <c r="I285" i="26"/>
  <c r="I289" i="26"/>
  <c r="I292" i="55"/>
  <c r="I285" i="55"/>
  <c r="I282" i="55"/>
  <c r="I290" i="55"/>
  <c r="I287" i="26"/>
  <c r="I291" i="26"/>
  <c r="I283" i="26"/>
  <c r="I286" i="26"/>
  <c r="I290" i="26"/>
  <c r="I291" i="55"/>
  <c r="I288" i="55"/>
  <c r="I281" i="55"/>
  <c r="U281" i="55" s="1"/>
  <c r="V281" i="55" s="1"/>
  <c r="I655" i="26"/>
  <c r="I661" i="55"/>
  <c r="I664" i="55"/>
  <c r="I656" i="26"/>
  <c r="I660" i="26"/>
  <c r="I664" i="26"/>
  <c r="I662" i="55"/>
  <c r="I653" i="26"/>
  <c r="AS653" i="26" s="1"/>
  <c r="BJ653" i="26" s="1"/>
  <c r="I654" i="26"/>
  <c r="I659" i="55"/>
  <c r="I657" i="26"/>
  <c r="I661" i="26"/>
  <c r="I657" i="55"/>
  <c r="I653" i="55"/>
  <c r="U653" i="55" s="1"/>
  <c r="V653" i="55" s="1"/>
  <c r="I658" i="55"/>
  <c r="I654" i="55"/>
  <c r="I659" i="26"/>
  <c r="I663" i="26"/>
  <c r="I663" i="55"/>
  <c r="I662" i="26"/>
  <c r="I655" i="55"/>
  <c r="I660" i="55"/>
  <c r="I658" i="26"/>
  <c r="I656" i="55"/>
  <c r="I516" i="55"/>
  <c r="I517" i="26"/>
  <c r="I510" i="26"/>
  <c r="I513" i="55"/>
  <c r="I519" i="26"/>
  <c r="I512" i="26"/>
  <c r="I510" i="55"/>
  <c r="I520" i="55"/>
  <c r="I514" i="26"/>
  <c r="I514" i="55"/>
  <c r="I509" i="55"/>
  <c r="U509" i="55" s="1"/>
  <c r="V509" i="55" s="1"/>
  <c r="I516" i="26"/>
  <c r="I518" i="55"/>
  <c r="I513" i="26"/>
  <c r="I512" i="55"/>
  <c r="I515" i="55"/>
  <c r="I515" i="26"/>
  <c r="I517" i="55"/>
  <c r="I509" i="26"/>
  <c r="AS509" i="26" s="1"/>
  <c r="BJ509" i="26" s="1"/>
  <c r="I511" i="55"/>
  <c r="I519" i="55"/>
  <c r="I520" i="26"/>
  <c r="I511" i="26"/>
  <c r="I518" i="26"/>
  <c r="I813" i="55"/>
  <c r="I820" i="55"/>
  <c r="I819" i="26"/>
  <c r="I811" i="26"/>
  <c r="I812" i="55"/>
  <c r="I820" i="26"/>
  <c r="I809" i="26"/>
  <c r="AS809" i="26" s="1"/>
  <c r="BJ809" i="26" s="1"/>
  <c r="I813" i="26"/>
  <c r="I810" i="55"/>
  <c r="I815" i="55"/>
  <c r="I815" i="26"/>
  <c r="I818" i="55"/>
  <c r="I809" i="55"/>
  <c r="U809" i="55" s="1"/>
  <c r="V809" i="55" s="1"/>
  <c r="I811" i="55"/>
  <c r="I814" i="26"/>
  <c r="I814" i="55"/>
  <c r="I819" i="55"/>
  <c r="I816" i="26"/>
  <c r="I817" i="55"/>
  <c r="I816" i="55"/>
  <c r="I818" i="26"/>
  <c r="I810" i="26"/>
  <c r="I812" i="26"/>
  <c r="I817" i="26"/>
  <c r="I775" i="55"/>
  <c r="I781" i="26"/>
  <c r="I773" i="26"/>
  <c r="AS773" i="26" s="1"/>
  <c r="BJ773" i="26" s="1"/>
  <c r="I783" i="55"/>
  <c r="I783" i="26"/>
  <c r="I776" i="26"/>
  <c r="I780" i="55"/>
  <c r="I774" i="55"/>
  <c r="I778" i="26"/>
  <c r="I773" i="55"/>
  <c r="U773" i="55" s="1"/>
  <c r="V773" i="55" s="1"/>
  <c r="I782" i="55"/>
  <c r="I780" i="26"/>
  <c r="I774" i="26"/>
  <c r="I777" i="26"/>
  <c r="I784" i="55"/>
  <c r="I778" i="55"/>
  <c r="I779" i="26"/>
  <c r="I777" i="55"/>
  <c r="I781" i="55"/>
  <c r="I776" i="55"/>
  <c r="I779" i="55"/>
  <c r="I784" i="26"/>
  <c r="I775" i="26"/>
  <c r="I782" i="26"/>
  <c r="I727" i="55"/>
  <c r="I733" i="26"/>
  <c r="I725" i="26"/>
  <c r="AS725" i="26" s="1"/>
  <c r="BJ725" i="26" s="1"/>
  <c r="I735" i="55"/>
  <c r="I735" i="26"/>
  <c r="I728" i="26"/>
  <c r="I732" i="55"/>
  <c r="I726" i="55"/>
  <c r="I730" i="26"/>
  <c r="I725" i="55"/>
  <c r="U725" i="55" s="1"/>
  <c r="V725" i="55" s="1"/>
  <c r="I734" i="55"/>
  <c r="I732" i="26"/>
  <c r="I727" i="26"/>
  <c r="I729" i="26"/>
  <c r="I736" i="55"/>
  <c r="I730" i="55"/>
  <c r="I731" i="26"/>
  <c r="I729" i="55"/>
  <c r="I734" i="26"/>
  <c r="I726" i="26"/>
  <c r="I733" i="55"/>
  <c r="I731" i="55"/>
  <c r="I736" i="26"/>
  <c r="I728" i="55"/>
  <c r="I701" i="26"/>
  <c r="AS701" i="26" s="1"/>
  <c r="BJ701" i="26" s="1"/>
  <c r="I709" i="55"/>
  <c r="I710" i="26"/>
  <c r="I703" i="26"/>
  <c r="I706" i="55"/>
  <c r="I712" i="26"/>
  <c r="I702" i="26"/>
  <c r="I704" i="55"/>
  <c r="I705" i="26"/>
  <c r="I703" i="55"/>
  <c r="I712" i="55"/>
  <c r="I707" i="26"/>
  <c r="I711" i="55"/>
  <c r="I705" i="55"/>
  <c r="I702" i="55"/>
  <c r="I710" i="55"/>
  <c r="I708" i="55"/>
  <c r="I706" i="26"/>
  <c r="I707" i="55"/>
  <c r="I701" i="55"/>
  <c r="U701" i="55" s="1"/>
  <c r="V701" i="55" s="1"/>
  <c r="I708" i="26"/>
  <c r="I709" i="26"/>
  <c r="I711" i="26"/>
  <c r="I704" i="26"/>
  <c r="I649" i="55"/>
  <c r="I651" i="55"/>
  <c r="I647" i="55"/>
  <c r="I642" i="26"/>
  <c r="I646" i="26"/>
  <c r="I650" i="26"/>
  <c r="I652" i="55"/>
  <c r="I641" i="55"/>
  <c r="U641" i="55" s="1"/>
  <c r="V641" i="55" s="1"/>
  <c r="I642" i="55"/>
  <c r="I643" i="26"/>
  <c r="I647" i="26"/>
  <c r="I651" i="26"/>
  <c r="I646" i="55"/>
  <c r="I641" i="26"/>
  <c r="AS641" i="26" s="1"/>
  <c r="BJ641" i="26" s="1"/>
  <c r="I643" i="55"/>
  <c r="I645" i="55"/>
  <c r="I645" i="26"/>
  <c r="I649" i="26"/>
  <c r="I644" i="55"/>
  <c r="I644" i="26"/>
  <c r="I650" i="55"/>
  <c r="I648" i="55"/>
  <c r="I652" i="26"/>
  <c r="I648" i="26"/>
  <c r="I600" i="55"/>
  <c r="I599" i="26"/>
  <c r="I593" i="26"/>
  <c r="AS593" i="26" s="1"/>
  <c r="BJ593" i="26" s="1"/>
  <c r="I603" i="26"/>
  <c r="I602" i="26"/>
  <c r="I595" i="55"/>
  <c r="I593" i="55"/>
  <c r="U593" i="55" s="1"/>
  <c r="V593" i="55" s="1"/>
  <c r="I601" i="55"/>
  <c r="I597" i="55"/>
  <c r="I595" i="26"/>
  <c r="I599" i="55"/>
  <c r="I596" i="26"/>
  <c r="I594" i="26"/>
  <c r="I600" i="26"/>
  <c r="I594" i="55"/>
  <c r="I604" i="26"/>
  <c r="I602" i="55"/>
  <c r="I601" i="26"/>
  <c r="I604" i="55"/>
  <c r="I598" i="55"/>
  <c r="I603" i="55"/>
  <c r="I596" i="55"/>
  <c r="I598" i="26"/>
  <c r="I597" i="26"/>
  <c r="I554" i="55"/>
  <c r="I555" i="55"/>
  <c r="I552" i="55"/>
  <c r="I553" i="55"/>
  <c r="I550" i="26"/>
  <c r="I554" i="26"/>
  <c r="I551" i="55"/>
  <c r="I547" i="55"/>
  <c r="I545" i="55"/>
  <c r="U545" i="55" s="1"/>
  <c r="V545" i="55" s="1"/>
  <c r="I547" i="26"/>
  <c r="I551" i="26"/>
  <c r="I555" i="26"/>
  <c r="I546" i="26"/>
  <c r="I546" i="55"/>
  <c r="I549" i="55"/>
  <c r="I550" i="55"/>
  <c r="I549" i="26"/>
  <c r="I553" i="26"/>
  <c r="I548" i="55"/>
  <c r="I552" i="26"/>
  <c r="I548" i="26"/>
  <c r="I545" i="26"/>
  <c r="AS545" i="26" s="1"/>
  <c r="BJ545" i="26" s="1"/>
  <c r="I556" i="55"/>
  <c r="I556" i="26"/>
  <c r="I486" i="55"/>
  <c r="I492" i="55"/>
  <c r="I489" i="55"/>
  <c r="I488" i="26"/>
  <c r="I492" i="26"/>
  <c r="I496" i="26"/>
  <c r="I494" i="55"/>
  <c r="I485" i="55"/>
  <c r="U485" i="55" s="1"/>
  <c r="V485" i="55" s="1"/>
  <c r="I485" i="26"/>
  <c r="AS485" i="26" s="1"/>
  <c r="BJ485" i="26" s="1"/>
  <c r="I491" i="55"/>
  <c r="I489" i="26"/>
  <c r="I493" i="26"/>
  <c r="I496" i="55"/>
  <c r="I486" i="26"/>
  <c r="I487" i="55"/>
  <c r="I487" i="26"/>
  <c r="I491" i="26"/>
  <c r="I495" i="26"/>
  <c r="I495" i="55"/>
  <c r="I494" i="26"/>
  <c r="I488" i="55"/>
  <c r="I490" i="55"/>
  <c r="I490" i="26"/>
  <c r="I493" i="55"/>
  <c r="I456" i="55"/>
  <c r="I458" i="55"/>
  <c r="I450" i="26"/>
  <c r="I451" i="26"/>
  <c r="I454" i="26"/>
  <c r="I458" i="26"/>
  <c r="I460" i="55"/>
  <c r="I451" i="55"/>
  <c r="I449" i="55"/>
  <c r="U449" i="55" s="1"/>
  <c r="V449" i="55" s="1"/>
  <c r="I455" i="55"/>
  <c r="I455" i="26"/>
  <c r="I459" i="26"/>
  <c r="I452" i="55"/>
  <c r="I450" i="55"/>
  <c r="I449" i="26"/>
  <c r="AS449" i="26" s="1"/>
  <c r="BJ449" i="26" s="1"/>
  <c r="I459" i="55"/>
  <c r="I453" i="26"/>
  <c r="I457" i="26"/>
  <c r="I454" i="55"/>
  <c r="I456" i="26"/>
  <c r="I457" i="55"/>
  <c r="I460" i="26"/>
  <c r="I452" i="26"/>
  <c r="I453" i="55"/>
  <c r="I410" i="55"/>
  <c r="I412" i="55"/>
  <c r="I404" i="55"/>
  <c r="I404" i="26"/>
  <c r="I408" i="26"/>
  <c r="I412" i="26"/>
  <c r="I403" i="55"/>
  <c r="I410" i="26"/>
  <c r="I406" i="55"/>
  <c r="I402" i="55"/>
  <c r="I409" i="55"/>
  <c r="I407" i="55"/>
  <c r="I405" i="26"/>
  <c r="I409" i="26"/>
  <c r="I408" i="55"/>
  <c r="I402" i="26"/>
  <c r="I405" i="55"/>
  <c r="I411" i="55"/>
  <c r="I401" i="26"/>
  <c r="AS401" i="26" s="1"/>
  <c r="BJ401" i="26" s="1"/>
  <c r="I403" i="26"/>
  <c r="I407" i="26"/>
  <c r="I411" i="26"/>
  <c r="I401" i="55"/>
  <c r="U401" i="55" s="1"/>
  <c r="V401" i="55" s="1"/>
  <c r="I406" i="26"/>
  <c r="I346" i="55"/>
  <c r="I345" i="55"/>
  <c r="I352" i="55"/>
  <c r="I344" i="26"/>
  <c r="I348" i="26"/>
  <c r="I352" i="26"/>
  <c r="I347" i="55"/>
  <c r="I341" i="26"/>
  <c r="AS341" i="26" s="1"/>
  <c r="BJ341" i="26" s="1"/>
  <c r="I344" i="55"/>
  <c r="I343" i="26"/>
  <c r="I341" i="55"/>
  <c r="U341" i="55" s="1"/>
  <c r="V341" i="55" s="1"/>
  <c r="I345" i="26"/>
  <c r="I349" i="26"/>
  <c r="I343" i="55"/>
  <c r="I342" i="26"/>
  <c r="I350" i="26"/>
  <c r="I350" i="55"/>
  <c r="I348" i="55"/>
  <c r="I342" i="55"/>
  <c r="I351" i="55"/>
  <c r="I347" i="26"/>
  <c r="I351" i="26"/>
  <c r="I349" i="55"/>
  <c r="I346" i="26"/>
  <c r="I306" i="26"/>
  <c r="I316" i="55"/>
  <c r="I305" i="26"/>
  <c r="AS305" i="26" s="1"/>
  <c r="BJ305" i="26" s="1"/>
  <c r="I308" i="26"/>
  <c r="I312" i="26"/>
  <c r="I316" i="26"/>
  <c r="I310" i="55"/>
  <c r="I315" i="55"/>
  <c r="I314" i="26"/>
  <c r="I306" i="55"/>
  <c r="I307" i="55"/>
  <c r="I305" i="55"/>
  <c r="U305" i="55" s="1"/>
  <c r="V305" i="55" s="1"/>
  <c r="I311" i="55"/>
  <c r="I309" i="26"/>
  <c r="I313" i="26"/>
  <c r="I309" i="55"/>
  <c r="I314" i="55"/>
  <c r="I312" i="55"/>
  <c r="I313" i="55"/>
  <c r="I307" i="26"/>
  <c r="I311" i="26"/>
  <c r="I315" i="26"/>
  <c r="I308" i="55"/>
  <c r="I310" i="26"/>
  <c r="I267" i="55"/>
  <c r="I264" i="55"/>
  <c r="I260" i="26"/>
  <c r="I268" i="26"/>
  <c r="I259" i="26"/>
  <c r="I260" i="55"/>
  <c r="I262" i="55"/>
  <c r="I257" i="26"/>
  <c r="AS257" i="26" s="1"/>
  <c r="BJ257" i="26" s="1"/>
  <c r="I261" i="26"/>
  <c r="I265" i="26"/>
  <c r="I263" i="55"/>
  <c r="I266" i="55"/>
  <c r="I261" i="55"/>
  <c r="I258" i="26"/>
  <c r="I263" i="26"/>
  <c r="I267" i="26"/>
  <c r="I265" i="55"/>
  <c r="I264" i="26"/>
  <c r="I259" i="55"/>
  <c r="I262" i="26"/>
  <c r="I268" i="55"/>
  <c r="I266" i="26"/>
  <c r="I257" i="55"/>
  <c r="U257" i="55" s="1"/>
  <c r="V257" i="55" s="1"/>
  <c r="I258" i="55"/>
  <c r="BV63" i="26"/>
  <c r="AQ945" i="55"/>
  <c r="AO944" i="55"/>
  <c r="BM948" i="26"/>
  <c r="BQ947" i="26" s="1"/>
  <c r="BP948" i="26"/>
  <c r="BR948" i="26" s="1"/>
  <c r="BE60" i="26"/>
  <c r="E1437" i="26" l="1"/>
  <c r="Z893" i="55"/>
  <c r="Z892" i="55" s="1"/>
  <c r="Z891" i="55" s="1"/>
  <c r="Z890" i="55" s="1"/>
  <c r="Z889" i="55" s="1"/>
  <c r="Z888" i="55" s="1"/>
  <c r="Z887" i="55" s="1"/>
  <c r="Z886" i="55" s="1"/>
  <c r="Z885" i="55" s="1"/>
  <c r="Z884" i="55" s="1"/>
  <c r="Z883" i="55" s="1"/>
  <c r="Z882" i="55" s="1"/>
  <c r="Z881" i="55" s="1"/>
  <c r="Z880" i="55" s="1"/>
  <c r="Z879" i="55" s="1"/>
  <c r="Z878" i="55" s="1"/>
  <c r="Z877" i="55" s="1"/>
  <c r="Z876" i="55" s="1"/>
  <c r="Z875" i="55" s="1"/>
  <c r="Z874" i="55" s="1"/>
  <c r="Z873" i="55" s="1"/>
  <c r="Z872" i="55" s="1"/>
  <c r="Z871" i="55" s="1"/>
  <c r="Z870" i="55" s="1"/>
  <c r="Z869" i="55" s="1"/>
  <c r="Z868" i="55" s="1"/>
  <c r="Z867" i="55" s="1"/>
  <c r="Z866" i="55" s="1"/>
  <c r="Z865" i="55" s="1"/>
  <c r="Z864" i="55" s="1"/>
  <c r="Z863" i="55" s="1"/>
  <c r="Z862" i="55" s="1"/>
  <c r="Z861" i="55" s="1"/>
  <c r="Z860" i="55" s="1"/>
  <c r="Z859" i="55" s="1"/>
  <c r="Z858" i="55" s="1"/>
  <c r="Z857" i="55" s="1"/>
  <c r="Z856" i="55" s="1"/>
  <c r="Z855" i="55" s="1"/>
  <c r="Z854" i="55" s="1"/>
  <c r="Z853" i="55" s="1"/>
  <c r="Z852" i="55" s="1"/>
  <c r="Z851" i="55" s="1"/>
  <c r="Z850" i="55" s="1"/>
  <c r="Z849" i="55" s="1"/>
  <c r="Z848" i="55" s="1"/>
  <c r="Z847" i="55" s="1"/>
  <c r="Z846" i="55" s="1"/>
  <c r="Z845" i="55" s="1"/>
  <c r="Z844" i="55" s="1"/>
  <c r="Z843" i="55" s="1"/>
  <c r="Z842" i="55" s="1"/>
  <c r="Z841" i="55" s="1"/>
  <c r="Z840" i="55" s="1"/>
  <c r="Z839" i="55" s="1"/>
  <c r="Z838" i="55" s="1"/>
  <c r="Z837" i="55" s="1"/>
  <c r="Z836" i="55" s="1"/>
  <c r="Z835" i="55" s="1"/>
  <c r="Z834" i="55" s="1"/>
  <c r="Z833" i="55" s="1"/>
  <c r="Z832" i="55" s="1"/>
  <c r="Z831" i="55" s="1"/>
  <c r="Z830" i="55" s="1"/>
  <c r="Z829" i="55" s="1"/>
  <c r="Z828" i="55" s="1"/>
  <c r="Z827" i="55" s="1"/>
  <c r="Z826" i="55" s="1"/>
  <c r="Z825" i="55" s="1"/>
  <c r="Z824" i="55" s="1"/>
  <c r="Z823" i="55" s="1"/>
  <c r="Z822" i="55" s="1"/>
  <c r="Z821" i="55" s="1"/>
  <c r="Z820" i="55" s="1"/>
  <c r="Z819" i="55" s="1"/>
  <c r="Z818" i="55" s="1"/>
  <c r="Z817" i="55" s="1"/>
  <c r="Z816" i="55" s="1"/>
  <c r="Z815" i="55" s="1"/>
  <c r="Z814" i="55" s="1"/>
  <c r="Z813" i="55" s="1"/>
  <c r="Z812" i="55" s="1"/>
  <c r="Z811" i="55" s="1"/>
  <c r="Z810" i="55" s="1"/>
  <c r="Z809" i="55" s="1"/>
  <c r="Z808" i="55" s="1"/>
  <c r="Z807" i="55" s="1"/>
  <c r="Z806" i="55" s="1"/>
  <c r="Z805" i="55" s="1"/>
  <c r="Z804" i="55" s="1"/>
  <c r="Z803" i="55" s="1"/>
  <c r="Z802" i="55" s="1"/>
  <c r="Z801" i="55" s="1"/>
  <c r="Z800" i="55" s="1"/>
  <c r="Z799" i="55" s="1"/>
  <c r="Z798" i="55" s="1"/>
  <c r="Z797" i="55" s="1"/>
  <c r="Z796" i="55" s="1"/>
  <c r="Z795" i="55" s="1"/>
  <c r="Z794" i="55" s="1"/>
  <c r="Z793" i="55" s="1"/>
  <c r="Z792" i="55" s="1"/>
  <c r="Z791" i="55" s="1"/>
  <c r="Z790" i="55" s="1"/>
  <c r="Z789" i="55" s="1"/>
  <c r="Z788" i="55" s="1"/>
  <c r="Z787" i="55" s="1"/>
  <c r="Z786" i="55" s="1"/>
  <c r="Z785" i="55" s="1"/>
  <c r="Z784" i="55" s="1"/>
  <c r="Z783" i="55" s="1"/>
  <c r="Z782" i="55" s="1"/>
  <c r="Z781" i="55" s="1"/>
  <c r="Z780" i="55" s="1"/>
  <c r="Z779" i="55" s="1"/>
  <c r="Z778" i="55" s="1"/>
  <c r="Z777" i="55" s="1"/>
  <c r="Z776" i="55" s="1"/>
  <c r="Z775" i="55" s="1"/>
  <c r="Z774" i="55" s="1"/>
  <c r="Z773" i="55" s="1"/>
  <c r="Z772" i="55" s="1"/>
  <c r="Z771" i="55" s="1"/>
  <c r="Z770" i="55" s="1"/>
  <c r="Z769" i="55" s="1"/>
  <c r="Z768" i="55" s="1"/>
  <c r="Z767" i="55" s="1"/>
  <c r="Z766" i="55" s="1"/>
  <c r="Z765" i="55" s="1"/>
  <c r="Z764" i="55" s="1"/>
  <c r="Z763" i="55" s="1"/>
  <c r="Z762" i="55" s="1"/>
  <c r="Z761" i="55" s="1"/>
  <c r="Z760" i="55" s="1"/>
  <c r="Z759" i="55" s="1"/>
  <c r="Z758" i="55" s="1"/>
  <c r="Z757" i="55" s="1"/>
  <c r="Z756" i="55" s="1"/>
  <c r="Z755" i="55" s="1"/>
  <c r="Z754" i="55" s="1"/>
  <c r="Z753" i="55" s="1"/>
  <c r="Z752" i="55" s="1"/>
  <c r="Z751" i="55" s="1"/>
  <c r="Z750" i="55" s="1"/>
  <c r="Z749" i="55" s="1"/>
  <c r="Z748" i="55" s="1"/>
  <c r="Z747" i="55" s="1"/>
  <c r="Z746" i="55" s="1"/>
  <c r="Z745" i="55" s="1"/>
  <c r="Z744" i="55" s="1"/>
  <c r="Z743" i="55" s="1"/>
  <c r="Z742" i="55" s="1"/>
  <c r="Z741" i="55" s="1"/>
  <c r="Z740" i="55" s="1"/>
  <c r="Z739" i="55" s="1"/>
  <c r="Z738" i="55" s="1"/>
  <c r="Z737" i="55" s="1"/>
  <c r="Z736" i="55" s="1"/>
  <c r="Z735" i="55" s="1"/>
  <c r="Z734" i="55" s="1"/>
  <c r="Z733" i="55" s="1"/>
  <c r="Z732" i="55" s="1"/>
  <c r="Z731" i="55" s="1"/>
  <c r="Z730" i="55" s="1"/>
  <c r="Z729" i="55" s="1"/>
  <c r="Z728" i="55" s="1"/>
  <c r="Z727" i="55" s="1"/>
  <c r="Z726" i="55" s="1"/>
  <c r="Z725" i="55" s="1"/>
  <c r="Z724" i="55" s="1"/>
  <c r="Z723" i="55" s="1"/>
  <c r="Z722" i="55" s="1"/>
  <c r="Z721" i="55" s="1"/>
  <c r="Z720" i="55" s="1"/>
  <c r="Z719" i="55" s="1"/>
  <c r="Z718" i="55" s="1"/>
  <c r="Z717" i="55" s="1"/>
  <c r="Z716" i="55" s="1"/>
  <c r="Z715" i="55" s="1"/>
  <c r="Z714" i="55" s="1"/>
  <c r="Z713" i="55" s="1"/>
  <c r="Z712" i="55" s="1"/>
  <c r="Z711" i="55" s="1"/>
  <c r="Z710" i="55" s="1"/>
  <c r="Z709" i="55" s="1"/>
  <c r="Z708" i="55" s="1"/>
  <c r="Z707" i="55" s="1"/>
  <c r="Z706" i="55" s="1"/>
  <c r="Z705" i="55" s="1"/>
  <c r="Z704" i="55" s="1"/>
  <c r="Z703" i="55" s="1"/>
  <c r="Z702" i="55" s="1"/>
  <c r="Z701" i="55" s="1"/>
  <c r="Z700" i="55" s="1"/>
  <c r="Z699" i="55" s="1"/>
  <c r="Z698" i="55" s="1"/>
  <c r="Z697" i="55" s="1"/>
  <c r="Z696" i="55" s="1"/>
  <c r="Z695" i="55" s="1"/>
  <c r="Z694" i="55" s="1"/>
  <c r="Z693" i="55" s="1"/>
  <c r="Z692" i="55" s="1"/>
  <c r="Z691" i="55" s="1"/>
  <c r="Z690" i="55" s="1"/>
  <c r="Z689" i="55" s="1"/>
  <c r="Z688" i="55" s="1"/>
  <c r="Z687" i="55" s="1"/>
  <c r="Z686" i="55" s="1"/>
  <c r="Z685" i="55" s="1"/>
  <c r="Z684" i="55" s="1"/>
  <c r="Z683" i="55" s="1"/>
  <c r="Z682" i="55" s="1"/>
  <c r="Z681" i="55" s="1"/>
  <c r="Z680" i="55" s="1"/>
  <c r="Z679" i="55" s="1"/>
  <c r="Z678" i="55" s="1"/>
  <c r="Z677" i="55" s="1"/>
  <c r="Z676" i="55" s="1"/>
  <c r="Z675" i="55" s="1"/>
  <c r="Z674" i="55" s="1"/>
  <c r="Z673" i="55" s="1"/>
  <c r="Z672" i="55" s="1"/>
  <c r="Z671" i="55" s="1"/>
  <c r="Z670" i="55" s="1"/>
  <c r="Z669" i="55" s="1"/>
  <c r="Z668" i="55" s="1"/>
  <c r="Z667" i="55" s="1"/>
  <c r="Z666" i="55" s="1"/>
  <c r="Z665" i="55" s="1"/>
  <c r="Z664" i="55" s="1"/>
  <c r="Z663" i="55" s="1"/>
  <c r="Z662" i="55" s="1"/>
  <c r="Z661" i="55" s="1"/>
  <c r="Z660" i="55" s="1"/>
  <c r="Z659" i="55" s="1"/>
  <c r="Z658" i="55" s="1"/>
  <c r="Z657" i="55" s="1"/>
  <c r="Z656" i="55" s="1"/>
  <c r="Z655" i="55" s="1"/>
  <c r="Z654" i="55" s="1"/>
  <c r="Z653" i="55" s="1"/>
  <c r="Z652" i="55" s="1"/>
  <c r="Z651" i="55" s="1"/>
  <c r="Z650" i="55" s="1"/>
  <c r="Z649" i="55" s="1"/>
  <c r="Z648" i="55" s="1"/>
  <c r="Z647" i="55" s="1"/>
  <c r="Z646" i="55" s="1"/>
  <c r="Z645" i="55" s="1"/>
  <c r="Z644" i="55" s="1"/>
  <c r="Z643" i="55" s="1"/>
  <c r="Z642" i="55" s="1"/>
  <c r="Z641" i="55" s="1"/>
  <c r="Z640" i="55" s="1"/>
  <c r="Z639" i="55" s="1"/>
  <c r="Z638" i="55" s="1"/>
  <c r="Z637" i="55" s="1"/>
  <c r="Z636" i="55" s="1"/>
  <c r="Z635" i="55" s="1"/>
  <c r="Z634" i="55" s="1"/>
  <c r="Z633" i="55" s="1"/>
  <c r="Z632" i="55" s="1"/>
  <c r="Z631" i="55" s="1"/>
  <c r="Z630" i="55" s="1"/>
  <c r="Z629" i="55" s="1"/>
  <c r="Z628" i="55" s="1"/>
  <c r="Z627" i="55" s="1"/>
  <c r="Z626" i="55" s="1"/>
  <c r="Z625" i="55" s="1"/>
  <c r="Z624" i="55" s="1"/>
  <c r="Z623" i="55" s="1"/>
  <c r="Z622" i="55" s="1"/>
  <c r="Z621" i="55" s="1"/>
  <c r="Z620" i="55" s="1"/>
  <c r="Z619" i="55" s="1"/>
  <c r="Z618" i="55" s="1"/>
  <c r="Z617" i="55" s="1"/>
  <c r="Z616" i="55" s="1"/>
  <c r="Z615" i="55" s="1"/>
  <c r="Z614" i="55" s="1"/>
  <c r="Z613" i="55" s="1"/>
  <c r="Z612" i="55" s="1"/>
  <c r="Z611" i="55" s="1"/>
  <c r="Z610" i="55" s="1"/>
  <c r="Z609" i="55" s="1"/>
  <c r="Z608" i="55" s="1"/>
  <c r="Z607" i="55" s="1"/>
  <c r="Z606" i="55" s="1"/>
  <c r="Z605" i="55" s="1"/>
  <c r="Z604" i="55" s="1"/>
  <c r="Z603" i="55" s="1"/>
  <c r="Z602" i="55" s="1"/>
  <c r="Z601" i="55" s="1"/>
  <c r="Z600" i="55" s="1"/>
  <c r="Z599" i="55" s="1"/>
  <c r="Z598" i="55" s="1"/>
  <c r="Z597" i="55" s="1"/>
  <c r="Z596" i="55" s="1"/>
  <c r="Z595" i="55" s="1"/>
  <c r="Z594" i="55" s="1"/>
  <c r="Z593" i="55" s="1"/>
  <c r="Z592" i="55" s="1"/>
  <c r="Z591" i="55" s="1"/>
  <c r="Z590" i="55" s="1"/>
  <c r="Z589" i="55" s="1"/>
  <c r="Z588" i="55" s="1"/>
  <c r="Z587" i="55" s="1"/>
  <c r="Z586" i="55" s="1"/>
  <c r="Z585" i="55" s="1"/>
  <c r="Z584" i="55" s="1"/>
  <c r="Z583" i="55" s="1"/>
  <c r="Z582" i="55" s="1"/>
  <c r="Z581" i="55" s="1"/>
  <c r="Z580" i="55" s="1"/>
  <c r="Z579" i="55" s="1"/>
  <c r="Z578" i="55" s="1"/>
  <c r="Z577" i="55" s="1"/>
  <c r="Z576" i="55" s="1"/>
  <c r="Z575" i="55" s="1"/>
  <c r="Z574" i="55" s="1"/>
  <c r="Z573" i="55" s="1"/>
  <c r="Z572" i="55" s="1"/>
  <c r="Z571" i="55" s="1"/>
  <c r="Z570" i="55" s="1"/>
  <c r="Z569" i="55" s="1"/>
  <c r="Z568" i="55" s="1"/>
  <c r="Z567" i="55" s="1"/>
  <c r="Z566" i="55" s="1"/>
  <c r="Z565" i="55" s="1"/>
  <c r="Z564" i="55" s="1"/>
  <c r="Z563" i="55" s="1"/>
  <c r="Z562" i="55" s="1"/>
  <c r="Z561" i="55" s="1"/>
  <c r="Z560" i="55" s="1"/>
  <c r="Z559" i="55" s="1"/>
  <c r="Z558" i="55" s="1"/>
  <c r="Z557" i="55" s="1"/>
  <c r="Z556" i="55" s="1"/>
  <c r="Z555" i="55" s="1"/>
  <c r="Z554" i="55" s="1"/>
  <c r="Z553" i="55" s="1"/>
  <c r="Z552" i="55" s="1"/>
  <c r="Z551" i="55" s="1"/>
  <c r="Z550" i="55" s="1"/>
  <c r="Z549" i="55" s="1"/>
  <c r="Z548" i="55" s="1"/>
  <c r="Z547" i="55" s="1"/>
  <c r="Z546" i="55" s="1"/>
  <c r="Z545" i="55" s="1"/>
  <c r="Z544" i="55" s="1"/>
  <c r="Z543" i="55" s="1"/>
  <c r="Z542" i="55" s="1"/>
  <c r="Z541" i="55" s="1"/>
  <c r="Z540" i="55" s="1"/>
  <c r="Z539" i="55" s="1"/>
  <c r="Z538" i="55" s="1"/>
  <c r="Z537" i="55" s="1"/>
  <c r="Z536" i="55" s="1"/>
  <c r="Z535" i="55" s="1"/>
  <c r="Z534" i="55" s="1"/>
  <c r="Z533" i="55" s="1"/>
  <c r="Z532" i="55" s="1"/>
  <c r="Z531" i="55" s="1"/>
  <c r="Z530" i="55" s="1"/>
  <c r="Z529" i="55" s="1"/>
  <c r="Z528" i="55" s="1"/>
  <c r="Z527" i="55" s="1"/>
  <c r="Z526" i="55" s="1"/>
  <c r="Z525" i="55" s="1"/>
  <c r="Z524" i="55" s="1"/>
  <c r="Z523" i="55" s="1"/>
  <c r="Z522" i="55" s="1"/>
  <c r="Z521" i="55" s="1"/>
  <c r="Z520" i="55" s="1"/>
  <c r="Z519" i="55" s="1"/>
  <c r="Z518" i="55" s="1"/>
  <c r="Z517" i="55" s="1"/>
  <c r="Z516" i="55" s="1"/>
  <c r="Z515" i="55" s="1"/>
  <c r="Z514" i="55" s="1"/>
  <c r="Z513" i="55" s="1"/>
  <c r="Z512" i="55" s="1"/>
  <c r="Z511" i="55" s="1"/>
  <c r="Z510" i="55" s="1"/>
  <c r="Z509" i="55" s="1"/>
  <c r="Z508" i="55" s="1"/>
  <c r="Z507" i="55" s="1"/>
  <c r="Z506" i="55" s="1"/>
  <c r="Z505" i="55" s="1"/>
  <c r="Z504" i="55" s="1"/>
  <c r="Z503" i="55" s="1"/>
  <c r="Z502" i="55" s="1"/>
  <c r="Z501" i="55" s="1"/>
  <c r="Z500" i="55" s="1"/>
  <c r="Z499" i="55" s="1"/>
  <c r="Z498" i="55" s="1"/>
  <c r="Z497" i="55" s="1"/>
  <c r="Z496" i="55" s="1"/>
  <c r="Z495" i="55" s="1"/>
  <c r="Z494" i="55" s="1"/>
  <c r="Z493" i="55" s="1"/>
  <c r="Z492" i="55" s="1"/>
  <c r="Z491" i="55" s="1"/>
  <c r="Z490" i="55" s="1"/>
  <c r="Z489" i="55" s="1"/>
  <c r="Z488" i="55" s="1"/>
  <c r="Z487" i="55" s="1"/>
  <c r="Z486" i="55" s="1"/>
  <c r="Z485" i="55" s="1"/>
  <c r="Z484" i="55" s="1"/>
  <c r="Z483" i="55" s="1"/>
  <c r="Z482" i="55" s="1"/>
  <c r="Z481" i="55" s="1"/>
  <c r="Z480" i="55" s="1"/>
  <c r="Z479" i="55" s="1"/>
  <c r="Z478" i="55" s="1"/>
  <c r="Z477" i="55" s="1"/>
  <c r="Z476" i="55" s="1"/>
  <c r="Z475" i="55" s="1"/>
  <c r="Z474" i="55" s="1"/>
  <c r="Z473" i="55" s="1"/>
  <c r="Z472" i="55" s="1"/>
  <c r="Z471" i="55" s="1"/>
  <c r="Z470" i="55" s="1"/>
  <c r="Z469" i="55" s="1"/>
  <c r="Z468" i="55" s="1"/>
  <c r="Z467" i="55" s="1"/>
  <c r="Z466" i="55" s="1"/>
  <c r="Z465" i="55" s="1"/>
  <c r="Z464" i="55" s="1"/>
  <c r="Z463" i="55" s="1"/>
  <c r="Z462" i="55" s="1"/>
  <c r="Z461" i="55" s="1"/>
  <c r="Z460" i="55" s="1"/>
  <c r="Z459" i="55" s="1"/>
  <c r="Z458" i="55" s="1"/>
  <c r="Z457" i="55" s="1"/>
  <c r="Z456" i="55" s="1"/>
  <c r="Z455" i="55" s="1"/>
  <c r="Z454" i="55" s="1"/>
  <c r="Z453" i="55" s="1"/>
  <c r="Z452" i="55" s="1"/>
  <c r="Z451" i="55" s="1"/>
  <c r="Z450" i="55" s="1"/>
  <c r="Z449" i="55" s="1"/>
  <c r="Z448" i="55" s="1"/>
  <c r="Z447" i="55" s="1"/>
  <c r="Z446" i="55" s="1"/>
  <c r="Z445" i="55" s="1"/>
  <c r="Z444" i="55" s="1"/>
  <c r="Z443" i="55" s="1"/>
  <c r="Z442" i="55" s="1"/>
  <c r="Z441" i="55" s="1"/>
  <c r="Z440" i="55" s="1"/>
  <c r="Z439" i="55" s="1"/>
  <c r="Z438" i="55" s="1"/>
  <c r="Z437" i="55" s="1"/>
  <c r="Z436" i="55" s="1"/>
  <c r="Z435" i="55" s="1"/>
  <c r="Z434" i="55" s="1"/>
  <c r="Z433" i="55" s="1"/>
  <c r="Z432" i="55" s="1"/>
  <c r="Z431" i="55" s="1"/>
  <c r="Z430" i="55" s="1"/>
  <c r="Z429" i="55" s="1"/>
  <c r="Z428" i="55" s="1"/>
  <c r="Z427" i="55" s="1"/>
  <c r="Z426" i="55" s="1"/>
  <c r="Z425" i="55" s="1"/>
  <c r="Z424" i="55" s="1"/>
  <c r="Z423" i="55" s="1"/>
  <c r="Z422" i="55" s="1"/>
  <c r="Z421" i="55" s="1"/>
  <c r="Z420" i="55" s="1"/>
  <c r="Z419" i="55" s="1"/>
  <c r="Z418" i="55" s="1"/>
  <c r="Z417" i="55" s="1"/>
  <c r="Z416" i="55" s="1"/>
  <c r="Z415" i="55" s="1"/>
  <c r="Z414" i="55" s="1"/>
  <c r="Z413" i="55" s="1"/>
  <c r="Z412" i="55" s="1"/>
  <c r="Z411" i="55" s="1"/>
  <c r="Z410" i="55" s="1"/>
  <c r="Z409" i="55" s="1"/>
  <c r="Z408" i="55" s="1"/>
  <c r="Z407" i="55" s="1"/>
  <c r="Z406" i="55" s="1"/>
  <c r="Z405" i="55" s="1"/>
  <c r="Z404" i="55" s="1"/>
  <c r="Z403" i="55" s="1"/>
  <c r="Z402" i="55" s="1"/>
  <c r="Z401" i="55" s="1"/>
  <c r="Z400" i="55" s="1"/>
  <c r="Z399" i="55" s="1"/>
  <c r="Z398" i="55" s="1"/>
  <c r="Z397" i="55" s="1"/>
  <c r="Z396" i="55" s="1"/>
  <c r="Z395" i="55" s="1"/>
  <c r="Z394" i="55" s="1"/>
  <c r="Z393" i="55" s="1"/>
  <c r="Z392" i="55" s="1"/>
  <c r="Z391" i="55" s="1"/>
  <c r="Z390" i="55" s="1"/>
  <c r="Z389" i="55" s="1"/>
  <c r="Z388" i="55" s="1"/>
  <c r="Z387" i="55" s="1"/>
  <c r="Z386" i="55" s="1"/>
  <c r="Z385" i="55" s="1"/>
  <c r="Z384" i="55" s="1"/>
  <c r="Z383" i="55" s="1"/>
  <c r="Z382" i="55" s="1"/>
  <c r="Z381" i="55" s="1"/>
  <c r="Z380" i="55" s="1"/>
  <c r="Z379" i="55" s="1"/>
  <c r="Z378" i="55" s="1"/>
  <c r="Z377" i="55" s="1"/>
  <c r="Z376" i="55" s="1"/>
  <c r="Z375" i="55" s="1"/>
  <c r="Z374" i="55" s="1"/>
  <c r="Z373" i="55" s="1"/>
  <c r="Z372" i="55" s="1"/>
  <c r="Z371" i="55" s="1"/>
  <c r="Z370" i="55" s="1"/>
  <c r="Z369" i="55" s="1"/>
  <c r="Z368" i="55" s="1"/>
  <c r="Z367" i="55" s="1"/>
  <c r="Z366" i="55" s="1"/>
  <c r="Z365" i="55" s="1"/>
  <c r="Z364" i="55" s="1"/>
  <c r="Z363" i="55" s="1"/>
  <c r="Z362" i="55" s="1"/>
  <c r="Z361" i="55" s="1"/>
  <c r="Z360" i="55" s="1"/>
  <c r="Z359" i="55" s="1"/>
  <c r="Z358" i="55" s="1"/>
  <c r="Z357" i="55" s="1"/>
  <c r="Z356" i="55" s="1"/>
  <c r="Z355" i="55" s="1"/>
  <c r="Z354" i="55" s="1"/>
  <c r="Z353" i="55" s="1"/>
  <c r="Z352" i="55" s="1"/>
  <c r="Z351" i="55" s="1"/>
  <c r="Z350" i="55" s="1"/>
  <c r="Z349" i="55" s="1"/>
  <c r="Z348" i="55" s="1"/>
  <c r="Z347" i="55" s="1"/>
  <c r="Z346" i="55" s="1"/>
  <c r="Z345" i="55" s="1"/>
  <c r="Z344" i="55" s="1"/>
  <c r="Z343" i="55" s="1"/>
  <c r="Z342" i="55" s="1"/>
  <c r="Z341" i="55" s="1"/>
  <c r="Z340" i="55" s="1"/>
  <c r="Z339" i="55" s="1"/>
  <c r="Z338" i="55" s="1"/>
  <c r="Z337" i="55" s="1"/>
  <c r="Z336" i="55" s="1"/>
  <c r="Z335" i="55" s="1"/>
  <c r="Z334" i="55" s="1"/>
  <c r="Z333" i="55" s="1"/>
  <c r="Z332" i="55" s="1"/>
  <c r="Z331" i="55" s="1"/>
  <c r="Z330" i="55" s="1"/>
  <c r="Z329" i="55" s="1"/>
  <c r="Z328" i="55" s="1"/>
  <c r="Z327" i="55" s="1"/>
  <c r="Z326" i="55" s="1"/>
  <c r="Z325" i="55" s="1"/>
  <c r="Z324" i="55" s="1"/>
  <c r="Z323" i="55" s="1"/>
  <c r="Z322" i="55" s="1"/>
  <c r="Z321" i="55" s="1"/>
  <c r="Z320" i="55" s="1"/>
  <c r="Z319" i="55" s="1"/>
  <c r="Z318" i="55" s="1"/>
  <c r="Z317" i="55" s="1"/>
  <c r="Z316" i="55" s="1"/>
  <c r="Z315" i="55" s="1"/>
  <c r="Z314" i="55" s="1"/>
  <c r="Z313" i="55" s="1"/>
  <c r="Z312" i="55" s="1"/>
  <c r="Z311" i="55" s="1"/>
  <c r="Z310" i="55" s="1"/>
  <c r="Z309" i="55" s="1"/>
  <c r="Z308" i="55" s="1"/>
  <c r="Z307" i="55" s="1"/>
  <c r="Z306" i="55" s="1"/>
  <c r="Z305" i="55" s="1"/>
  <c r="Z304" i="55" s="1"/>
  <c r="Z303" i="55" s="1"/>
  <c r="Z302" i="55" s="1"/>
  <c r="Z301" i="55" s="1"/>
  <c r="Z300" i="55" s="1"/>
  <c r="Z299" i="55" s="1"/>
  <c r="Z298" i="55" s="1"/>
  <c r="Z297" i="55" s="1"/>
  <c r="Z296" i="55" s="1"/>
  <c r="Z295" i="55" s="1"/>
  <c r="Z294" i="55" s="1"/>
  <c r="Z293" i="55" s="1"/>
  <c r="Z292" i="55" s="1"/>
  <c r="Z291" i="55" s="1"/>
  <c r="Z290" i="55" s="1"/>
  <c r="Z289" i="55" s="1"/>
  <c r="Z288" i="55" s="1"/>
  <c r="Z287" i="55" s="1"/>
  <c r="Z286" i="55" s="1"/>
  <c r="Z285" i="55" s="1"/>
  <c r="Z284" i="55" s="1"/>
  <c r="Z283" i="55" s="1"/>
  <c r="Z282" i="55" s="1"/>
  <c r="Z281" i="55" s="1"/>
  <c r="Z280" i="55" s="1"/>
  <c r="Z279" i="55" s="1"/>
  <c r="Z278" i="55" s="1"/>
  <c r="Z277" i="55" s="1"/>
  <c r="Z276" i="55" s="1"/>
  <c r="Z275" i="55" s="1"/>
  <c r="Z274" i="55" s="1"/>
  <c r="Z273" i="55" s="1"/>
  <c r="Z272" i="55" s="1"/>
  <c r="Z271" i="55" s="1"/>
  <c r="Z270" i="55" s="1"/>
  <c r="Z269" i="55" s="1"/>
  <c r="Z268" i="55" s="1"/>
  <c r="Z267" i="55" s="1"/>
  <c r="Z266" i="55" s="1"/>
  <c r="Z265" i="55" s="1"/>
  <c r="Z264" i="55" s="1"/>
  <c r="Z263" i="55" s="1"/>
  <c r="Z262" i="55" s="1"/>
  <c r="Z261" i="55" s="1"/>
  <c r="Z260" i="55" s="1"/>
  <c r="Z259" i="55" s="1"/>
  <c r="Z258" i="55" s="1"/>
  <c r="Z257" i="55" s="1"/>
  <c r="Z256" i="55" s="1"/>
  <c r="Z255" i="55" s="1"/>
  <c r="Z254" i="55" s="1"/>
  <c r="Z253" i="55" s="1"/>
  <c r="Z252" i="55" s="1"/>
  <c r="Z251" i="55" s="1"/>
  <c r="Z250" i="55" s="1"/>
  <c r="Z249" i="55" s="1"/>
  <c r="Z248" i="55" s="1"/>
  <c r="Z247" i="55" s="1"/>
  <c r="Z246" i="55" s="1"/>
  <c r="Z245" i="55" s="1"/>
  <c r="Z244" i="55" s="1"/>
  <c r="Z243" i="55" s="1"/>
  <c r="Z242" i="55" s="1"/>
  <c r="Z241" i="55" s="1"/>
  <c r="Z240" i="55" s="1"/>
  <c r="Z239" i="55" s="1"/>
  <c r="Z238" i="55" s="1"/>
  <c r="Z237" i="55" s="1"/>
  <c r="Z236" i="55" s="1"/>
  <c r="Z235" i="55" s="1"/>
  <c r="Z234" i="55" s="1"/>
  <c r="Z233" i="55" s="1"/>
  <c r="Z232" i="55" s="1"/>
  <c r="Z231" i="55" s="1"/>
  <c r="Z230" i="55" s="1"/>
  <c r="Z229" i="55" s="1"/>
  <c r="Z228" i="55" s="1"/>
  <c r="Z227" i="55" s="1"/>
  <c r="Z226" i="55" s="1"/>
  <c r="Z225" i="55" s="1"/>
  <c r="Z224" i="55" s="1"/>
  <c r="Z223" i="55" s="1"/>
  <c r="Z222" i="55" s="1"/>
  <c r="Z221" i="55" s="1"/>
  <c r="Z220" i="55" s="1"/>
  <c r="Z219" i="55" s="1"/>
  <c r="Z218" i="55" s="1"/>
  <c r="Z217" i="55" s="1"/>
  <c r="Z216" i="55" s="1"/>
  <c r="Z215" i="55" s="1"/>
  <c r="Z214" i="55" s="1"/>
  <c r="Z213" i="55" s="1"/>
  <c r="Z212" i="55" s="1"/>
  <c r="Z211" i="55" s="1"/>
  <c r="Z210" i="55" s="1"/>
  <c r="Z209" i="55" s="1"/>
  <c r="Z208" i="55" s="1"/>
  <c r="Z207" i="55" s="1"/>
  <c r="Z206" i="55" s="1"/>
  <c r="Z205" i="55" s="1"/>
  <c r="Z204" i="55" s="1"/>
  <c r="Z203" i="55" s="1"/>
  <c r="Z202" i="55" s="1"/>
  <c r="Z201" i="55" s="1"/>
  <c r="Z200" i="55" s="1"/>
  <c r="Z199" i="55" s="1"/>
  <c r="Z198" i="55" s="1"/>
  <c r="Z197" i="55" s="1"/>
  <c r="Z196" i="55" s="1"/>
  <c r="Z195" i="55" s="1"/>
  <c r="Z194" i="55" s="1"/>
  <c r="Z193" i="55" s="1"/>
  <c r="Z192" i="55" s="1"/>
  <c r="Z191" i="55" s="1"/>
  <c r="Z190" i="55" s="1"/>
  <c r="Z189" i="55" s="1"/>
  <c r="Z188" i="55" s="1"/>
  <c r="Z187" i="55" s="1"/>
  <c r="Z186" i="55" s="1"/>
  <c r="Z185" i="55" s="1"/>
  <c r="Z184" i="55" s="1"/>
  <c r="Z183" i="55" s="1"/>
  <c r="Z182" i="55" s="1"/>
  <c r="Z181" i="55" s="1"/>
  <c r="Z180" i="55" s="1"/>
  <c r="Z179" i="55" s="1"/>
  <c r="Z178" i="55" s="1"/>
  <c r="Z177" i="55" s="1"/>
  <c r="Z176" i="55" s="1"/>
  <c r="Z175" i="55" s="1"/>
  <c r="Z174" i="55" s="1"/>
  <c r="Z173" i="55" s="1"/>
  <c r="Z172" i="55" s="1"/>
  <c r="Z171" i="55" s="1"/>
  <c r="Z170" i="55" s="1"/>
  <c r="Z169" i="55" s="1"/>
  <c r="Z168" i="55" s="1"/>
  <c r="Z167" i="55" s="1"/>
  <c r="Z166" i="55" s="1"/>
  <c r="Z165" i="55" s="1"/>
  <c r="Z164" i="55" s="1"/>
  <c r="Z163" i="55" s="1"/>
  <c r="Z162" i="55" s="1"/>
  <c r="Z161" i="55" s="1"/>
  <c r="Z160" i="55" s="1"/>
  <c r="Z159" i="55" s="1"/>
  <c r="Z158" i="55" s="1"/>
  <c r="Z157" i="55" s="1"/>
  <c r="Z156" i="55" s="1"/>
  <c r="Z155" i="55" s="1"/>
  <c r="Z154" i="55" s="1"/>
  <c r="Z153" i="55" s="1"/>
  <c r="Z152" i="55" s="1"/>
  <c r="Z151" i="55" s="1"/>
  <c r="Z150" i="55" s="1"/>
  <c r="Z149" i="55" s="1"/>
  <c r="Z148" i="55" s="1"/>
  <c r="Z147" i="55" s="1"/>
  <c r="Z146" i="55" s="1"/>
  <c r="Z145" i="55" s="1"/>
  <c r="Z144" i="55" s="1"/>
  <c r="Z143" i="55" s="1"/>
  <c r="Z142" i="55" s="1"/>
  <c r="Z141" i="55" s="1"/>
  <c r="Z140" i="55" s="1"/>
  <c r="Z139" i="55" s="1"/>
  <c r="Z138" i="55" s="1"/>
  <c r="Z137" i="55" s="1"/>
  <c r="Z136" i="55" s="1"/>
  <c r="Z135" i="55" s="1"/>
  <c r="Z134" i="55" s="1"/>
  <c r="Z133" i="55" s="1"/>
  <c r="Z132" i="55" s="1"/>
  <c r="Z131" i="55" s="1"/>
  <c r="Z130" i="55" s="1"/>
  <c r="Z129" i="55" s="1"/>
  <c r="Z128" i="55" s="1"/>
  <c r="Z127" i="55" s="1"/>
  <c r="Z126" i="55" s="1"/>
  <c r="Z125" i="55" s="1"/>
  <c r="Z124" i="55" s="1"/>
  <c r="Z123" i="55" s="1"/>
  <c r="Z122" i="55" s="1"/>
  <c r="Z121" i="55" s="1"/>
  <c r="Z120" i="55" s="1"/>
  <c r="Z119" i="55" s="1"/>
  <c r="Z118" i="55" s="1"/>
  <c r="Z117" i="55" s="1"/>
  <c r="Z116" i="55" s="1"/>
  <c r="Z115" i="55" s="1"/>
  <c r="Z114" i="55" s="1"/>
  <c r="Z113" i="55" s="1"/>
  <c r="Z112" i="55" s="1"/>
  <c r="Z111" i="55" s="1"/>
  <c r="Z110" i="55" s="1"/>
  <c r="Z109" i="55" s="1"/>
  <c r="Z108" i="55" s="1"/>
  <c r="Z107" i="55" s="1"/>
  <c r="Z106" i="55" s="1"/>
  <c r="Z105" i="55" s="1"/>
  <c r="Z104" i="55" s="1"/>
  <c r="Z103" i="55" s="1"/>
  <c r="Z102" i="55" s="1"/>
  <c r="Z101" i="55" s="1"/>
  <c r="Z100" i="55" s="1"/>
  <c r="Z99" i="55" s="1"/>
  <c r="Z98" i="55" s="1"/>
  <c r="Z97" i="55" s="1"/>
  <c r="Z96" i="55" s="1"/>
  <c r="Z95" i="55" s="1"/>
  <c r="Z94" i="55" s="1"/>
  <c r="Z93" i="55" s="1"/>
  <c r="Z92" i="55" s="1"/>
  <c r="Z91" i="55" s="1"/>
  <c r="Z90" i="55" s="1"/>
  <c r="Z89" i="55" s="1"/>
  <c r="Z88" i="55" s="1"/>
  <c r="Z87" i="55" s="1"/>
  <c r="Z86" i="55" s="1"/>
  <c r="Z85" i="55" s="1"/>
  <c r="Z84" i="55" s="1"/>
  <c r="Z83" i="55" s="1"/>
  <c r="Z82" i="55" s="1"/>
  <c r="Z81" i="55" s="1"/>
  <c r="Z80" i="55" s="1"/>
  <c r="Z79" i="55" s="1"/>
  <c r="Z78" i="55" s="1"/>
  <c r="Z77" i="55" s="1"/>
  <c r="Z76" i="55" s="1"/>
  <c r="Z75" i="55" s="1"/>
  <c r="Z74" i="55" s="1"/>
  <c r="Z73" i="55" s="1"/>
  <c r="Z72" i="55" s="1"/>
  <c r="Z71" i="55" s="1"/>
  <c r="Z70" i="55" s="1"/>
  <c r="Z69" i="55" s="1"/>
  <c r="Z68" i="55" s="1"/>
  <c r="Z67" i="55" s="1"/>
  <c r="Z66" i="55" s="1"/>
  <c r="Z65" i="55" s="1"/>
  <c r="Z64" i="55" s="1"/>
  <c r="Z63" i="55" s="1"/>
  <c r="Z62" i="55" s="1"/>
  <c r="Z61" i="55" s="1"/>
  <c r="Z60" i="55" s="1"/>
  <c r="Z59" i="55" s="1"/>
  <c r="Z58" i="55" s="1"/>
  <c r="Z57" i="55" s="1"/>
  <c r="Z56" i="55" s="1"/>
  <c r="Z55" i="55" s="1"/>
  <c r="Z54" i="55" s="1"/>
  <c r="Z53" i="55" s="1"/>
  <c r="Z52" i="55" s="1"/>
  <c r="Z51" i="55" s="1"/>
  <c r="Z50" i="55" s="1"/>
  <c r="Z49" i="55" s="1"/>
  <c r="Z48" i="55" s="1"/>
  <c r="Z47" i="55" s="1"/>
  <c r="Z46" i="55" s="1"/>
  <c r="Z45" i="55" s="1"/>
  <c r="Z44" i="55" s="1"/>
  <c r="Z43" i="55" s="1"/>
  <c r="Z42" i="55" s="1"/>
  <c r="Z41" i="55" s="1"/>
  <c r="Z40" i="55" s="1"/>
  <c r="Z39" i="55" s="1"/>
  <c r="Z38" i="55" s="1"/>
  <c r="Z37" i="55" s="1"/>
  <c r="Z36" i="55" s="1"/>
  <c r="Z35" i="55" s="1"/>
  <c r="Z34" i="55" s="1"/>
  <c r="Z33" i="55" s="1"/>
  <c r="Z32" i="55" s="1"/>
  <c r="Z31" i="55" s="1"/>
  <c r="Z30" i="55" s="1"/>
  <c r="Z29" i="55" s="1"/>
  <c r="Z28" i="55" s="1"/>
  <c r="Z27" i="55" s="1"/>
  <c r="Z26" i="55" s="1"/>
  <c r="Z25" i="55" s="1"/>
  <c r="Z24" i="55" s="1"/>
  <c r="Z23" i="55" s="1"/>
  <c r="Z22" i="55" s="1"/>
  <c r="Z21" i="55" s="1"/>
  <c r="Z20" i="55" s="1"/>
  <c r="Z19" i="55" s="1"/>
  <c r="Z18" i="55" s="1"/>
  <c r="Z17" i="55" s="1"/>
  <c r="Z16" i="55" s="1"/>
  <c r="Z15" i="55" s="1"/>
  <c r="Z14" i="55" s="1"/>
  <c r="Z13" i="55" s="1"/>
  <c r="Z12" i="55" s="1"/>
  <c r="Z11" i="55" s="1"/>
  <c r="Z10" i="55" s="1"/>
  <c r="Z9" i="55" s="1"/>
  <c r="Z8" i="55" s="1"/>
  <c r="Z7" i="55" s="1"/>
  <c r="Z6" i="55" s="1"/>
  <c r="Z5" i="55" s="1"/>
  <c r="BM905" i="26"/>
  <c r="BQ904" i="26" s="1"/>
  <c r="BE59" i="26"/>
  <c r="AQ944" i="55"/>
  <c r="AO943" i="55"/>
  <c r="BV62" i="26"/>
  <c r="BI947" i="26"/>
  <c r="BN947" i="26"/>
  <c r="BW947" i="26"/>
  <c r="BX947" i="26" s="1"/>
  <c r="BG947" i="26"/>
  <c r="BO947" i="26"/>
  <c r="BC1437" i="26" l="1"/>
  <c r="AV1437" i="55" s="1"/>
  <c r="P1437" i="26"/>
  <c r="AY1437" i="26"/>
  <c r="AJ1437" i="26"/>
  <c r="AK1437" i="26"/>
  <c r="T1437" i="26"/>
  <c r="BJ1437" i="26"/>
  <c r="AU1437" i="26"/>
  <c r="BM1437" i="26"/>
  <c r="AO1437" i="26"/>
  <c r="BK1437" i="26"/>
  <c r="AP1437" i="26"/>
  <c r="AX1437" i="26"/>
  <c r="U1437" i="26"/>
  <c r="O1437" i="26"/>
  <c r="AT1437" i="26"/>
  <c r="BR1437" i="26"/>
  <c r="V1437" i="26"/>
  <c r="W1437" i="26"/>
  <c r="A1437" i="26"/>
  <c r="BI1437" i="26"/>
  <c r="R1437" i="26"/>
  <c r="AF1437" i="26"/>
  <c r="L1437" i="26"/>
  <c r="BN1437" i="26"/>
  <c r="AW1437" i="26"/>
  <c r="BO1437" i="26"/>
  <c r="M1437" i="26"/>
  <c r="B1437" i="26"/>
  <c r="Q1437" i="26"/>
  <c r="AS1437" i="26"/>
  <c r="N1437" i="26"/>
  <c r="S1437" i="26"/>
  <c r="AR1437" i="26"/>
  <c r="BQ1437" i="26"/>
  <c r="C1437" i="26"/>
  <c r="BP1437" i="26"/>
  <c r="BL1437" i="26"/>
  <c r="I1437" i="26"/>
  <c r="AV1437" i="26"/>
  <c r="D1437" i="26"/>
  <c r="G1437" i="26"/>
  <c r="BA1437" i="26"/>
  <c r="K1437" i="26"/>
  <c r="X1437" i="26"/>
  <c r="AM1437" i="26"/>
  <c r="H1437" i="26"/>
  <c r="BD1437" i="26"/>
  <c r="BP905" i="26"/>
  <c r="BR905" i="26" s="1"/>
  <c r="BI904" i="26"/>
  <c r="BW904" i="26"/>
  <c r="BX904" i="26" s="1"/>
  <c r="BO904" i="26"/>
  <c r="BN904" i="26"/>
  <c r="BM947" i="26"/>
  <c r="BQ946" i="26" s="1"/>
  <c r="AQ943" i="55"/>
  <c r="AO942" i="55"/>
  <c r="BV61" i="26"/>
  <c r="BE58" i="26"/>
  <c r="E1438" i="26" l="1"/>
  <c r="BM904" i="26"/>
  <c r="BQ903" i="26" s="1"/>
  <c r="BE57" i="26"/>
  <c r="AQ942" i="55"/>
  <c r="AO941" i="55"/>
  <c r="BI946" i="26"/>
  <c r="BN946" i="26"/>
  <c r="BG946" i="26"/>
  <c r="BW946" i="26"/>
  <c r="BX946" i="26" s="1"/>
  <c r="BO946" i="26"/>
  <c r="BV60" i="26"/>
  <c r="BP947" i="26"/>
  <c r="BR947" i="26" s="1"/>
  <c r="BC1438" i="26" l="1"/>
  <c r="AV1438" i="55" s="1"/>
  <c r="BM1438" i="26"/>
  <c r="O1438" i="26"/>
  <c r="AO1438" i="26"/>
  <c r="BJ1438" i="26"/>
  <c r="BO1438" i="26"/>
  <c r="AV1438" i="26"/>
  <c r="AJ1438" i="26"/>
  <c r="R1438" i="26"/>
  <c r="BA1438" i="26"/>
  <c r="BQ1438" i="26"/>
  <c r="BL1438" i="26"/>
  <c r="L1438" i="26"/>
  <c r="AP1438" i="26"/>
  <c r="C1438" i="26"/>
  <c r="BI1438" i="26"/>
  <c r="Q1438" i="26"/>
  <c r="AU1438" i="26"/>
  <c r="AM1438" i="26"/>
  <c r="H1438" i="26"/>
  <c r="W1438" i="26"/>
  <c r="AT1438" i="26"/>
  <c r="N1438" i="26"/>
  <c r="U1438" i="26"/>
  <c r="BK1438" i="26"/>
  <c r="AR1438" i="26"/>
  <c r="V1438" i="26"/>
  <c r="B1438" i="26"/>
  <c r="T1438" i="26"/>
  <c r="AS1438" i="26"/>
  <c r="G1438" i="26"/>
  <c r="X1438" i="26"/>
  <c r="AY1438" i="26"/>
  <c r="AK1438" i="26"/>
  <c r="D1438" i="26"/>
  <c r="A1438" i="26"/>
  <c r="P1438" i="26"/>
  <c r="BN1438" i="26"/>
  <c r="S1438" i="26"/>
  <c r="K1438" i="26"/>
  <c r="I1438" i="26"/>
  <c r="M1438" i="26"/>
  <c r="BR1438" i="26"/>
  <c r="AW1438" i="26"/>
  <c r="BP1438" i="26"/>
  <c r="AF1438" i="26"/>
  <c r="AX1438" i="26"/>
  <c r="BD1438" i="26"/>
  <c r="BP904" i="26"/>
  <c r="BR904" i="26" s="1"/>
  <c r="BN903" i="26"/>
  <c r="BI903" i="26"/>
  <c r="BO903" i="26"/>
  <c r="BW903" i="26"/>
  <c r="BX903" i="26" s="1"/>
  <c r="BV59" i="26"/>
  <c r="AQ941" i="55"/>
  <c r="AO940" i="55"/>
  <c r="BE56" i="26"/>
  <c r="BM946" i="26"/>
  <c r="BQ945" i="26" s="1"/>
  <c r="E1439" i="26" l="1"/>
  <c r="BM903" i="26"/>
  <c r="BQ902" i="26" s="1"/>
  <c r="BP946" i="26"/>
  <c r="BR946" i="26" s="1"/>
  <c r="AQ940" i="55"/>
  <c r="AO939" i="55"/>
  <c r="BI945" i="26"/>
  <c r="BW945" i="26"/>
  <c r="BX945" i="26" s="1"/>
  <c r="BG945" i="26"/>
  <c r="BN945" i="26"/>
  <c r="BO945" i="26"/>
  <c r="BE55" i="26"/>
  <c r="BV58" i="26"/>
  <c r="BC1439" i="26" l="1"/>
  <c r="AV1439" i="55" s="1"/>
  <c r="AT1439" i="26"/>
  <c r="AK1439" i="26"/>
  <c r="H1439" i="26"/>
  <c r="BM1439" i="26"/>
  <c r="AY1439" i="26"/>
  <c r="AX1439" i="26"/>
  <c r="M1439" i="26"/>
  <c r="S1439" i="26"/>
  <c r="AR1439" i="26"/>
  <c r="L1439" i="26"/>
  <c r="BN1439" i="26"/>
  <c r="AF1439" i="26"/>
  <c r="AO1439" i="26"/>
  <c r="BL1439" i="26"/>
  <c r="BJ1439" i="26"/>
  <c r="U1439" i="26"/>
  <c r="W1439" i="26"/>
  <c r="V1439" i="26"/>
  <c r="I1439" i="26"/>
  <c r="AP1439" i="26"/>
  <c r="BO1439" i="26"/>
  <c r="BP1439" i="26"/>
  <c r="BA1439" i="26"/>
  <c r="C1439" i="26"/>
  <c r="T1439" i="26"/>
  <c r="O1439" i="26"/>
  <c r="A1439" i="26"/>
  <c r="K1439" i="26"/>
  <c r="P1439" i="26"/>
  <c r="AJ1439" i="26"/>
  <c r="B1439" i="26"/>
  <c r="D1439" i="26"/>
  <c r="AW1439" i="26"/>
  <c r="BK1439" i="26"/>
  <c r="AU1439" i="26"/>
  <c r="X1439" i="26"/>
  <c r="R1439" i="26"/>
  <c r="AV1439" i="26"/>
  <c r="Q1439" i="26"/>
  <c r="G1439" i="26"/>
  <c r="BQ1439" i="26"/>
  <c r="BI1439" i="26"/>
  <c r="BR1439" i="26"/>
  <c r="AM1439" i="26"/>
  <c r="N1439" i="26"/>
  <c r="AS1439" i="26"/>
  <c r="BD1439" i="26"/>
  <c r="BP903" i="26"/>
  <c r="BR903" i="26" s="1"/>
  <c r="BN902" i="26"/>
  <c r="BI902" i="26"/>
  <c r="BW902" i="26"/>
  <c r="BX902" i="26" s="1"/>
  <c r="BO902" i="26"/>
  <c r="BM945" i="26"/>
  <c r="BQ944" i="26" s="1"/>
  <c r="BE54" i="26"/>
  <c r="AT941" i="55"/>
  <c r="AW941" i="55" s="1"/>
  <c r="AX941" i="55" s="1"/>
  <c r="AT942" i="55"/>
  <c r="AW942" i="55" s="1"/>
  <c r="AX942" i="55" s="1"/>
  <c r="AT943" i="55"/>
  <c r="AW943" i="55" s="1"/>
  <c r="AX943" i="55" s="1"/>
  <c r="AT944" i="55"/>
  <c r="AW944" i="55" s="1"/>
  <c r="AX944" i="55" s="1"/>
  <c r="AT945" i="55"/>
  <c r="AW945" i="55" s="1"/>
  <c r="AX945" i="55" s="1"/>
  <c r="AT946" i="55"/>
  <c r="AW946" i="55" s="1"/>
  <c r="AX946" i="55" s="1"/>
  <c r="AT947" i="55"/>
  <c r="AW947" i="55" s="1"/>
  <c r="AX947" i="55" s="1"/>
  <c r="AT948" i="55"/>
  <c r="AW948" i="55" s="1"/>
  <c r="AX948" i="55" s="1"/>
  <c r="AT949" i="55"/>
  <c r="AW949" i="55" s="1"/>
  <c r="AX949" i="55" s="1"/>
  <c r="AT950" i="55"/>
  <c r="AW950" i="55" s="1"/>
  <c r="AX950" i="55" s="1"/>
  <c r="AT951" i="55"/>
  <c r="AW951" i="55" s="1"/>
  <c r="AX951" i="55" s="1"/>
  <c r="AT952" i="55"/>
  <c r="AW952" i="55" s="1"/>
  <c r="AX952" i="55" s="1"/>
  <c r="AQ939" i="55"/>
  <c r="AO938" i="55"/>
  <c r="BV57" i="26"/>
  <c r="E1440" i="26" l="1"/>
  <c r="BM902" i="26"/>
  <c r="BQ901" i="26" s="1"/>
  <c r="BV56" i="26"/>
  <c r="BE53" i="26"/>
  <c r="AQ938" i="55"/>
  <c r="AO937" i="55"/>
  <c r="BI944" i="26"/>
  <c r="BN944" i="26"/>
  <c r="BW944" i="26"/>
  <c r="BX944" i="26" s="1"/>
  <c r="BG944" i="26"/>
  <c r="BO944" i="26"/>
  <c r="BP945" i="26"/>
  <c r="BR945" i="26" s="1"/>
  <c r="BC1440" i="26" l="1"/>
  <c r="AV1440" i="55" s="1"/>
  <c r="AX1440" i="26"/>
  <c r="BA1440" i="26"/>
  <c r="K1440" i="26"/>
  <c r="X1440" i="26"/>
  <c r="AK1440" i="26"/>
  <c r="D1440" i="26"/>
  <c r="W1440" i="26"/>
  <c r="Q1440" i="26"/>
  <c r="A1440" i="26"/>
  <c r="AO1440" i="26"/>
  <c r="AU1440" i="26"/>
  <c r="M1440" i="26"/>
  <c r="AS1440" i="26"/>
  <c r="BI1440" i="26"/>
  <c r="AR1440" i="26"/>
  <c r="L1440" i="26"/>
  <c r="BK1440" i="26"/>
  <c r="AJ1440" i="26"/>
  <c r="I1440" i="26"/>
  <c r="AM1440" i="26"/>
  <c r="U1440" i="26"/>
  <c r="BR1440" i="26"/>
  <c r="BN1440" i="26"/>
  <c r="N1440" i="26"/>
  <c r="BM1440" i="26"/>
  <c r="BP1440" i="26"/>
  <c r="H1440" i="26"/>
  <c r="AF1440" i="26"/>
  <c r="S1440" i="26"/>
  <c r="G1440" i="26"/>
  <c r="R1440" i="26"/>
  <c r="BJ1440" i="26"/>
  <c r="AP1440" i="26"/>
  <c r="AW1440" i="26"/>
  <c r="T1440" i="26"/>
  <c r="P1440" i="26"/>
  <c r="AT1440" i="26"/>
  <c r="BL1440" i="26"/>
  <c r="B1440" i="26"/>
  <c r="O1440" i="26"/>
  <c r="C1440" i="26"/>
  <c r="AV1440" i="26"/>
  <c r="V1440" i="26"/>
  <c r="AY1440" i="26"/>
  <c r="BO1440" i="26"/>
  <c r="BQ1440" i="26"/>
  <c r="BD1440" i="26"/>
  <c r="BP902" i="26"/>
  <c r="BR902" i="26" s="1"/>
  <c r="BI901" i="26"/>
  <c r="BW901" i="26"/>
  <c r="BX901" i="26" s="1"/>
  <c r="BO901" i="26"/>
  <c r="BN901" i="26"/>
  <c r="BE52" i="26"/>
  <c r="BP944" i="26"/>
  <c r="BR944" i="26" s="1"/>
  <c r="BM944" i="26"/>
  <c r="BQ943" i="26" s="1"/>
  <c r="AQ937" i="55"/>
  <c r="AO936" i="55"/>
  <c r="BV55" i="26"/>
  <c r="E1441" i="26" l="1"/>
  <c r="BM901" i="26"/>
  <c r="BQ900" i="26" s="1"/>
  <c r="BV54" i="26"/>
  <c r="BI943" i="26"/>
  <c r="BG943" i="26"/>
  <c r="BW943" i="26"/>
  <c r="BX943" i="26" s="1"/>
  <c r="BN943" i="26"/>
  <c r="BO943" i="26"/>
  <c r="AQ936" i="55"/>
  <c r="AO935" i="55"/>
  <c r="BE51" i="26"/>
  <c r="BC1441" i="26" l="1"/>
  <c r="AV1441" i="55" s="1"/>
  <c r="BP1441" i="26"/>
  <c r="M1441" i="26"/>
  <c r="AX1441" i="26"/>
  <c r="BR1441" i="26"/>
  <c r="L1441" i="26"/>
  <c r="AW1441" i="26"/>
  <c r="BJ1441" i="26"/>
  <c r="AY1441" i="26"/>
  <c r="AV1441" i="26"/>
  <c r="X1441" i="26"/>
  <c r="BL1441" i="26"/>
  <c r="BO1441" i="26"/>
  <c r="AO1441" i="26"/>
  <c r="BN1441" i="26"/>
  <c r="C1441" i="26"/>
  <c r="I1441" i="26"/>
  <c r="AF1441" i="26"/>
  <c r="H1441" i="26"/>
  <c r="B1441" i="26"/>
  <c r="BM1441" i="26"/>
  <c r="AT1441" i="26"/>
  <c r="AK1441" i="26"/>
  <c r="BA1441" i="26"/>
  <c r="AS1441" i="26"/>
  <c r="R1441" i="26"/>
  <c r="AM1441" i="26"/>
  <c r="A1441" i="26"/>
  <c r="AJ1441" i="26"/>
  <c r="BI1441" i="26"/>
  <c r="O1441" i="26"/>
  <c r="BK1441" i="26"/>
  <c r="BQ1441" i="26"/>
  <c r="K1441" i="26"/>
  <c r="Q1441" i="26"/>
  <c r="T1441" i="26"/>
  <c r="W1441" i="26"/>
  <c r="G1441" i="26"/>
  <c r="AU1441" i="26"/>
  <c r="V1441" i="26"/>
  <c r="D1441" i="26"/>
  <c r="P1441" i="26"/>
  <c r="N1441" i="26"/>
  <c r="S1441" i="26"/>
  <c r="AP1441" i="26"/>
  <c r="U1441" i="26"/>
  <c r="AR1441" i="26"/>
  <c r="BD1441" i="26"/>
  <c r="BP901" i="26"/>
  <c r="BR901" i="26" s="1"/>
  <c r="BN900" i="26"/>
  <c r="BW900" i="26"/>
  <c r="BX900" i="26" s="1"/>
  <c r="BO900" i="26"/>
  <c r="BI900" i="26"/>
  <c r="BM943" i="26"/>
  <c r="BQ942" i="26" s="1"/>
  <c r="BE50" i="26"/>
  <c r="AQ935" i="55"/>
  <c r="AO934" i="55"/>
  <c r="BV53" i="26"/>
  <c r="E1442" i="26" l="1"/>
  <c r="BM900" i="26"/>
  <c r="BQ899" i="26" s="1"/>
  <c r="BE49" i="26"/>
  <c r="AQ934" i="55"/>
  <c r="AO933" i="55"/>
  <c r="BI942" i="26"/>
  <c r="BW942" i="26"/>
  <c r="BX942" i="26" s="1"/>
  <c r="BG942" i="26"/>
  <c r="BN942" i="26"/>
  <c r="BO942" i="26"/>
  <c r="BV52" i="26"/>
  <c r="BP943" i="26"/>
  <c r="BR943" i="26" s="1"/>
  <c r="BC1442" i="26" l="1"/>
  <c r="AV1442" i="55" s="1"/>
  <c r="AJ1442" i="26"/>
  <c r="K1442" i="26"/>
  <c r="B1442" i="26"/>
  <c r="BP1442" i="26"/>
  <c r="AP1442" i="26"/>
  <c r="BA1442" i="26"/>
  <c r="BK1442" i="26"/>
  <c r="L1442" i="26"/>
  <c r="AM1442" i="26"/>
  <c r="R1442" i="26"/>
  <c r="AF1442" i="26"/>
  <c r="U1442" i="26"/>
  <c r="BJ1442" i="26"/>
  <c r="AU1442" i="26"/>
  <c r="N1442" i="26"/>
  <c r="BO1442" i="26"/>
  <c r="T1442" i="26"/>
  <c r="I1442" i="26"/>
  <c r="AS1442" i="26"/>
  <c r="BM1442" i="26"/>
  <c r="O1442" i="26"/>
  <c r="S1442" i="26"/>
  <c r="A1442" i="26"/>
  <c r="AT1442" i="26"/>
  <c r="W1442" i="26"/>
  <c r="C1442" i="26"/>
  <c r="Q1442" i="26"/>
  <c r="P1442" i="26"/>
  <c r="V1442" i="26"/>
  <c r="D1442" i="26"/>
  <c r="BQ1442" i="26"/>
  <c r="AV1442" i="26"/>
  <c r="AY1442" i="26"/>
  <c r="BN1442" i="26"/>
  <c r="AX1442" i="26"/>
  <c r="BR1442" i="26"/>
  <c r="AO1442" i="26"/>
  <c r="H1442" i="26"/>
  <c r="G1442" i="26"/>
  <c r="AW1442" i="26"/>
  <c r="BI1442" i="26"/>
  <c r="AK1442" i="26"/>
  <c r="X1442" i="26"/>
  <c r="M1442" i="26"/>
  <c r="AR1442" i="26"/>
  <c r="BL1442" i="26"/>
  <c r="BD1442" i="26"/>
  <c r="BP900" i="26"/>
  <c r="BR900" i="26" s="1"/>
  <c r="BO899" i="26"/>
  <c r="BI899" i="26"/>
  <c r="BW899" i="26"/>
  <c r="BX899" i="26" s="1"/>
  <c r="BN899" i="26"/>
  <c r="BV51" i="26"/>
  <c r="AQ933" i="55"/>
  <c r="AO932" i="55"/>
  <c r="BM942" i="26"/>
  <c r="BQ941" i="26" s="1"/>
  <c r="BE48" i="26"/>
  <c r="E1443" i="26" l="1"/>
  <c r="BM899" i="26"/>
  <c r="BQ898" i="26" s="1"/>
  <c r="BE47" i="26"/>
  <c r="AQ932" i="55"/>
  <c r="AO931" i="55"/>
  <c r="BW941" i="26"/>
  <c r="BX941" i="26" s="1"/>
  <c r="BG941" i="26"/>
  <c r="BN941" i="26"/>
  <c r="BI941" i="26"/>
  <c r="BO941" i="26"/>
  <c r="BV50" i="26"/>
  <c r="BP942" i="26"/>
  <c r="BR942" i="26" s="1"/>
  <c r="BC1443" i="26" l="1"/>
  <c r="AV1443" i="55" s="1"/>
  <c r="D1443" i="26"/>
  <c r="AT1443" i="26"/>
  <c r="AJ1443" i="26"/>
  <c r="BK1443" i="26"/>
  <c r="AP1443" i="26"/>
  <c r="O1443" i="26"/>
  <c r="AF1443" i="26"/>
  <c r="Q1443" i="26"/>
  <c r="BJ1443" i="26"/>
  <c r="W1443" i="26"/>
  <c r="N1443" i="26"/>
  <c r="AY1443" i="26"/>
  <c r="T1443" i="26"/>
  <c r="H1443" i="26"/>
  <c r="B1443" i="26"/>
  <c r="BM1443" i="26"/>
  <c r="AO1443" i="26"/>
  <c r="C1443" i="26"/>
  <c r="BR1443" i="26"/>
  <c r="BP1443" i="26"/>
  <c r="BO1443" i="26"/>
  <c r="L1443" i="26"/>
  <c r="BA1443" i="26"/>
  <c r="A1443" i="26"/>
  <c r="BI1443" i="26"/>
  <c r="AK1443" i="26"/>
  <c r="I1443" i="26"/>
  <c r="K1443" i="26"/>
  <c r="U1443" i="26"/>
  <c r="M1443" i="26"/>
  <c r="X1443" i="26"/>
  <c r="AR1443" i="26"/>
  <c r="G1443" i="26"/>
  <c r="AS1443" i="26"/>
  <c r="AU1443" i="26"/>
  <c r="AX1443" i="26"/>
  <c r="AW1443" i="26"/>
  <c r="S1443" i="26"/>
  <c r="AV1443" i="26"/>
  <c r="AM1443" i="26"/>
  <c r="V1443" i="26"/>
  <c r="BN1443" i="26"/>
  <c r="R1443" i="26"/>
  <c r="P1443" i="26"/>
  <c r="BL1443" i="26"/>
  <c r="BQ1443" i="26"/>
  <c r="BD1443" i="26"/>
  <c r="BP899" i="26"/>
  <c r="BR899" i="26" s="1"/>
  <c r="BI898" i="26"/>
  <c r="BN898" i="26"/>
  <c r="BO898" i="26"/>
  <c r="BW898" i="26"/>
  <c r="BX898" i="26" s="1"/>
  <c r="AQ931" i="55"/>
  <c r="AO930" i="55"/>
  <c r="BE46" i="26"/>
  <c r="BV49" i="26"/>
  <c r="BM941" i="26"/>
  <c r="BQ940" i="26" s="1"/>
  <c r="E1444" i="26" l="1"/>
  <c r="BM898" i="26"/>
  <c r="BQ897" i="26" s="1"/>
  <c r="BE45" i="26"/>
  <c r="BP941" i="26"/>
  <c r="BR941" i="26" s="1"/>
  <c r="BG940" i="26"/>
  <c r="BN940" i="26"/>
  <c r="BW940" i="26"/>
  <c r="BX940" i="26" s="1"/>
  <c r="BI940" i="26"/>
  <c r="BO940" i="26"/>
  <c r="AQ930" i="55"/>
  <c r="AO929" i="55"/>
  <c r="BV48" i="26"/>
  <c r="BC1444" i="26" l="1"/>
  <c r="AV1444" i="55" s="1"/>
  <c r="K1444" i="26"/>
  <c r="P1444" i="26"/>
  <c r="AK1444" i="26"/>
  <c r="D1444" i="26"/>
  <c r="N1444" i="26"/>
  <c r="BO1444" i="26"/>
  <c r="AY1444" i="26"/>
  <c r="Q1444" i="26"/>
  <c r="U1444" i="26"/>
  <c r="O1444" i="26"/>
  <c r="AM1444" i="26"/>
  <c r="B1444" i="26"/>
  <c r="BR1444" i="26"/>
  <c r="AV1444" i="26"/>
  <c r="BA1444" i="26"/>
  <c r="M1444" i="26"/>
  <c r="I1444" i="26"/>
  <c r="BN1444" i="26"/>
  <c r="BJ1444" i="26"/>
  <c r="BI1444" i="26"/>
  <c r="X1444" i="26"/>
  <c r="AU1444" i="26"/>
  <c r="W1444" i="26"/>
  <c r="V1444" i="26"/>
  <c r="AF1444" i="26"/>
  <c r="AP1444" i="26"/>
  <c r="C1444" i="26"/>
  <c r="T1444" i="26"/>
  <c r="G1444" i="26"/>
  <c r="BM1444" i="26"/>
  <c r="AJ1444" i="26"/>
  <c r="S1444" i="26"/>
  <c r="BL1444" i="26"/>
  <c r="A1444" i="26"/>
  <c r="AO1444" i="26"/>
  <c r="AW1444" i="26"/>
  <c r="H1444" i="26"/>
  <c r="BP1444" i="26"/>
  <c r="BQ1444" i="26"/>
  <c r="AX1444" i="26"/>
  <c r="AR1444" i="26"/>
  <c r="R1444" i="26"/>
  <c r="L1444" i="26"/>
  <c r="AT1444" i="26"/>
  <c r="BK1444" i="26"/>
  <c r="AS1444" i="26"/>
  <c r="BD1444" i="26"/>
  <c r="BP898" i="26"/>
  <c r="BR898" i="26" s="1"/>
  <c r="BW897" i="26"/>
  <c r="BX897" i="26" s="1"/>
  <c r="BO897" i="26"/>
  <c r="BI897" i="26"/>
  <c r="BN897" i="26"/>
  <c r="BM940" i="26"/>
  <c r="BQ939" i="26" s="1"/>
  <c r="BP940" i="26"/>
  <c r="BR940" i="26" s="1"/>
  <c r="BE44" i="26"/>
  <c r="AQ929" i="55"/>
  <c r="AO928" i="55"/>
  <c r="BV47" i="26"/>
  <c r="BM897" i="26" l="1"/>
  <c r="BQ896" i="26" s="1"/>
  <c r="BV46" i="26"/>
  <c r="BE43" i="26"/>
  <c r="AQ928" i="55"/>
  <c r="AO927" i="55"/>
  <c r="BN939" i="26"/>
  <c r="BI939" i="26"/>
  <c r="BW939" i="26"/>
  <c r="BX939" i="26" s="1"/>
  <c r="BG939" i="26"/>
  <c r="BO939" i="26"/>
  <c r="BP897" i="26" l="1"/>
  <c r="BR897" i="26" s="1"/>
  <c r="BO896" i="26"/>
  <c r="BN896" i="26"/>
  <c r="BI896" i="26"/>
  <c r="BW896" i="26"/>
  <c r="BX896" i="26" s="1"/>
  <c r="BE42" i="26"/>
  <c r="AQ927" i="55"/>
  <c r="AO926" i="55"/>
  <c r="BP939" i="26"/>
  <c r="BR939" i="26" s="1"/>
  <c r="BM939" i="26"/>
  <c r="BQ938" i="26" s="1"/>
  <c r="AT929" i="55"/>
  <c r="AW929" i="55" s="1"/>
  <c r="AX929" i="55" s="1"/>
  <c r="AT930" i="55"/>
  <c r="AW930" i="55" s="1"/>
  <c r="AX930" i="55" s="1"/>
  <c r="AT931" i="55"/>
  <c r="AW931" i="55" s="1"/>
  <c r="AX931" i="55" s="1"/>
  <c r="AT932" i="55"/>
  <c r="AW932" i="55" s="1"/>
  <c r="AX932" i="55" s="1"/>
  <c r="AT933" i="55"/>
  <c r="AW933" i="55" s="1"/>
  <c r="AX933" i="55" s="1"/>
  <c r="AT934" i="55"/>
  <c r="AW934" i="55" s="1"/>
  <c r="AX934" i="55" s="1"/>
  <c r="AT935" i="55"/>
  <c r="AW935" i="55" s="1"/>
  <c r="AX935" i="55" s="1"/>
  <c r="AT936" i="55"/>
  <c r="AW936" i="55" s="1"/>
  <c r="AX936" i="55" s="1"/>
  <c r="AT937" i="55"/>
  <c r="AW937" i="55" s="1"/>
  <c r="AX937" i="55" s="1"/>
  <c r="AT938" i="55"/>
  <c r="AW938" i="55" s="1"/>
  <c r="AX938" i="55" s="1"/>
  <c r="AT939" i="55"/>
  <c r="AW939" i="55" s="1"/>
  <c r="AX939" i="55" s="1"/>
  <c r="AT940" i="55"/>
  <c r="AW940" i="55" s="1"/>
  <c r="AX940" i="55" s="1"/>
  <c r="BV45" i="26"/>
  <c r="BM896" i="26" l="1"/>
  <c r="BQ895" i="26" s="1"/>
  <c r="BV44" i="26"/>
  <c r="AQ926" i="55"/>
  <c r="AO925" i="55"/>
  <c r="BO938" i="26"/>
  <c r="BI938" i="26"/>
  <c r="BW938" i="26"/>
  <c r="BX938" i="26" s="1"/>
  <c r="BN938" i="26"/>
  <c r="BG938" i="26"/>
  <c r="BE41" i="26"/>
  <c r="BP896" i="26" l="1"/>
  <c r="BR896" i="26" s="1"/>
  <c r="BO895" i="26"/>
  <c r="BW895" i="26"/>
  <c r="BX895" i="26" s="1"/>
  <c r="BN895" i="26"/>
  <c r="BI895" i="26"/>
  <c r="BE40" i="26"/>
  <c r="AQ925" i="55"/>
  <c r="AO924" i="55"/>
  <c r="BM938" i="26"/>
  <c r="BQ937" i="26" s="1"/>
  <c r="BV43" i="26"/>
  <c r="BM895" i="26" l="1"/>
  <c r="BQ894" i="26" s="1"/>
  <c r="AQ924" i="55"/>
  <c r="AO923" i="55"/>
  <c r="BV42" i="26"/>
  <c r="BP938" i="26"/>
  <c r="BR938" i="26" s="1"/>
  <c r="BI937" i="26"/>
  <c r="BN937" i="26"/>
  <c r="BW937" i="26"/>
  <c r="BX937" i="26" s="1"/>
  <c r="BG937" i="26"/>
  <c r="BO937" i="26"/>
  <c r="BE39" i="26"/>
  <c r="BP895" i="26" l="1"/>
  <c r="BR895" i="26" s="1"/>
  <c r="BI894" i="26"/>
  <c r="BW894" i="26"/>
  <c r="BX894" i="26" s="1"/>
  <c r="BO894" i="26"/>
  <c r="BN894" i="26"/>
  <c r="BE38" i="26"/>
  <c r="BV41" i="26"/>
  <c r="BP937" i="26"/>
  <c r="BR937" i="26" s="1"/>
  <c r="BM937" i="26"/>
  <c r="BQ936" i="26" s="1"/>
  <c r="AQ923" i="55"/>
  <c r="AO922" i="55"/>
  <c r="BM894" i="26" l="1"/>
  <c r="BQ893" i="26" s="1"/>
  <c r="AQ922" i="55"/>
  <c r="AO921" i="55"/>
  <c r="BV40" i="26"/>
  <c r="BI936" i="26"/>
  <c r="BN936" i="26"/>
  <c r="BW936" i="26"/>
  <c r="BX936" i="26" s="1"/>
  <c r="BG936" i="26"/>
  <c r="BO936" i="26"/>
  <c r="BE37" i="26"/>
  <c r="BP894" i="26" l="1"/>
  <c r="BR894" i="26" s="1"/>
  <c r="BO893" i="26"/>
  <c r="BI893" i="26"/>
  <c r="BW893" i="26"/>
  <c r="BX893" i="26" s="1"/>
  <c r="BN893" i="26"/>
  <c r="AQ921" i="55"/>
  <c r="AO920" i="55"/>
  <c r="BE36" i="26"/>
  <c r="BV39" i="26"/>
  <c r="BM936" i="26"/>
  <c r="BQ935" i="26" s="1"/>
  <c r="BM893" i="26" l="1"/>
  <c r="BQ892" i="26" s="1"/>
  <c r="BP936" i="26"/>
  <c r="BR936" i="26" s="1"/>
  <c r="BW935" i="26"/>
  <c r="BX935" i="26" s="1"/>
  <c r="BN935" i="26"/>
  <c r="BI935" i="26"/>
  <c r="BG935" i="26"/>
  <c r="BO935" i="26"/>
  <c r="AQ920" i="55"/>
  <c r="AO919" i="55"/>
  <c r="BE35" i="26"/>
  <c r="BV38" i="26"/>
  <c r="BP893" i="26" l="1"/>
  <c r="BR893" i="26" s="1"/>
  <c r="BO892" i="26"/>
  <c r="BI892" i="26"/>
  <c r="BW892" i="26"/>
  <c r="BX892" i="26" s="1"/>
  <c r="BN892" i="26"/>
  <c r="BE34" i="26"/>
  <c r="BV37" i="26"/>
  <c r="AQ919" i="55"/>
  <c r="AO918" i="55"/>
  <c r="BP935" i="26"/>
  <c r="BR935" i="26" s="1"/>
  <c r="BM935" i="26"/>
  <c r="BQ934" i="26" s="1"/>
  <c r="BM892" i="26" l="1"/>
  <c r="BQ891" i="26" s="1"/>
  <c r="BW934" i="26"/>
  <c r="BX934" i="26" s="1"/>
  <c r="BN934" i="26"/>
  <c r="BI934" i="26"/>
  <c r="BG934" i="26"/>
  <c r="BO934" i="26"/>
  <c r="BV36" i="26"/>
  <c r="AQ918" i="55"/>
  <c r="AO917" i="55"/>
  <c r="BE33" i="26"/>
  <c r="BP892" i="26" l="1"/>
  <c r="BR892" i="26" s="1"/>
  <c r="BI891" i="26"/>
  <c r="BN891" i="26"/>
  <c r="BO891" i="26"/>
  <c r="BW891" i="26"/>
  <c r="BX891" i="26" s="1"/>
  <c r="BE32" i="26"/>
  <c r="BV35" i="26"/>
  <c r="BM934" i="26"/>
  <c r="BQ933" i="26" s="1"/>
  <c r="AQ917" i="55"/>
  <c r="BM891" i="26" l="1"/>
  <c r="BQ890" i="26" s="1"/>
  <c r="BV34" i="26"/>
  <c r="BP934" i="26"/>
  <c r="BR934" i="26" s="1"/>
  <c r="BN933" i="26"/>
  <c r="BG933" i="26"/>
  <c r="BW933" i="26"/>
  <c r="BX933" i="26" s="1"/>
  <c r="BI933" i="26"/>
  <c r="BO933" i="26"/>
  <c r="BE31" i="26"/>
  <c r="BP891" i="26" l="1"/>
  <c r="BR891" i="26" s="1"/>
  <c r="BN890" i="26"/>
  <c r="BO890" i="26"/>
  <c r="BW890" i="26"/>
  <c r="BX890" i="26" s="1"/>
  <c r="BI890" i="26"/>
  <c r="BV33" i="26"/>
  <c r="BE30" i="26"/>
  <c r="BM933" i="26"/>
  <c r="BQ932" i="26" s="1"/>
  <c r="AT917" i="55"/>
  <c r="AW917" i="55" s="1"/>
  <c r="AX917" i="55" s="1"/>
  <c r="AT918" i="55"/>
  <c r="AW918" i="55" s="1"/>
  <c r="AX918" i="55" s="1"/>
  <c r="AT919" i="55"/>
  <c r="AW919" i="55" s="1"/>
  <c r="AX919" i="55" s="1"/>
  <c r="AT920" i="55"/>
  <c r="AW920" i="55" s="1"/>
  <c r="AX920" i="55" s="1"/>
  <c r="AT921" i="55"/>
  <c r="AW921" i="55" s="1"/>
  <c r="AX921" i="55" s="1"/>
  <c r="AT922" i="55"/>
  <c r="AW922" i="55" s="1"/>
  <c r="AX922" i="55" s="1"/>
  <c r="AT923" i="55"/>
  <c r="AW923" i="55" s="1"/>
  <c r="AX923" i="55" s="1"/>
  <c r="AT924" i="55"/>
  <c r="AW924" i="55" s="1"/>
  <c r="AX924" i="55" s="1"/>
  <c r="AT925" i="55"/>
  <c r="AW925" i="55" s="1"/>
  <c r="AX925" i="55" s="1"/>
  <c r="AT926" i="55"/>
  <c r="AW926" i="55" s="1"/>
  <c r="AX926" i="55" s="1"/>
  <c r="AT927" i="55"/>
  <c r="AW927" i="55" s="1"/>
  <c r="AX927" i="55" s="1"/>
  <c r="AT928" i="55"/>
  <c r="AW928" i="55" s="1"/>
  <c r="AX928" i="55" s="1"/>
  <c r="BM890" i="26" l="1"/>
  <c r="BQ889" i="26" s="1"/>
  <c r="BE29" i="26"/>
  <c r="BO932" i="26"/>
  <c r="BI932" i="26"/>
  <c r="BW932" i="26"/>
  <c r="BX932" i="26" s="1"/>
  <c r="BG932" i="26"/>
  <c r="BN932" i="26"/>
  <c r="BV32" i="26"/>
  <c r="BP933" i="26"/>
  <c r="BR933" i="26" s="1"/>
  <c r="BP890" i="26" l="1"/>
  <c r="BR890" i="26" s="1"/>
  <c r="BW889" i="26"/>
  <c r="BX889" i="26" s="1"/>
  <c r="BI889" i="26"/>
  <c r="BN889" i="26"/>
  <c r="BO889" i="26"/>
  <c r="BV31" i="26"/>
  <c r="BM932" i="26"/>
  <c r="BQ931" i="26" s="1"/>
  <c r="BE28" i="26"/>
  <c r="BM889" i="26" l="1"/>
  <c r="BQ888" i="26" s="1"/>
  <c r="BV30" i="26"/>
  <c r="BE27" i="26"/>
  <c r="BW931" i="26"/>
  <c r="BX931" i="26" s="1"/>
  <c r="BI931" i="26"/>
  <c r="BN931" i="26"/>
  <c r="BG931" i="26"/>
  <c r="BO931" i="26"/>
  <c r="BP932" i="26"/>
  <c r="BR932" i="26" s="1"/>
  <c r="BP889" i="26" l="1"/>
  <c r="BR889" i="26" s="1"/>
  <c r="BN888" i="26"/>
  <c r="BI888" i="26"/>
  <c r="BW888" i="26"/>
  <c r="BX888" i="26" s="1"/>
  <c r="BO888" i="26"/>
  <c r="BE26" i="26"/>
  <c r="BM931" i="26"/>
  <c r="BQ930" i="26" s="1"/>
  <c r="BP931" i="26"/>
  <c r="BR931" i="26" s="1"/>
  <c r="BV29" i="26"/>
  <c r="BM888" i="26" l="1"/>
  <c r="BQ887" i="26" s="1"/>
  <c r="BE25" i="26"/>
  <c r="BV28" i="26"/>
  <c r="BN930" i="26"/>
  <c r="BW930" i="26"/>
  <c r="BX930" i="26" s="1"/>
  <c r="BI930" i="26"/>
  <c r="BG930" i="26"/>
  <c r="BO930" i="26"/>
  <c r="BP888" i="26" l="1"/>
  <c r="BR888" i="26" s="1"/>
  <c r="BN887" i="26"/>
  <c r="BI887" i="26"/>
  <c r="BW887" i="26"/>
  <c r="BX887" i="26" s="1"/>
  <c r="BO887" i="26"/>
  <c r="BE24" i="26"/>
  <c r="BP930" i="26"/>
  <c r="BR930" i="26" s="1"/>
  <c r="BM930" i="26"/>
  <c r="BQ929" i="26" s="1"/>
  <c r="BV27" i="26"/>
  <c r="BM887" i="26" l="1"/>
  <c r="BQ886" i="26" s="1"/>
  <c r="BN929" i="26"/>
  <c r="BI929" i="26"/>
  <c r="BW929" i="26"/>
  <c r="BX929" i="26" s="1"/>
  <c r="BG929" i="26"/>
  <c r="BO929" i="26"/>
  <c r="BV26" i="26"/>
  <c r="BE23" i="26"/>
  <c r="BP887" i="26" l="1"/>
  <c r="BR887" i="26" s="1"/>
  <c r="BO886" i="26"/>
  <c r="BW886" i="26"/>
  <c r="BX886" i="26" s="1"/>
  <c r="BN886" i="26"/>
  <c r="BI886" i="26"/>
  <c r="BE22" i="26"/>
  <c r="BP929" i="26"/>
  <c r="BR929" i="26" s="1"/>
  <c r="BM929" i="26"/>
  <c r="BQ928" i="26" s="1"/>
  <c r="BV25" i="26"/>
  <c r="BM886" i="26" l="1"/>
  <c r="BQ885" i="26" s="1"/>
  <c r="BW928" i="26"/>
  <c r="BX928" i="26" s="1"/>
  <c r="BI928" i="26"/>
  <c r="BG928" i="26"/>
  <c r="BN928" i="26"/>
  <c r="BO928" i="26"/>
  <c r="BV24" i="26"/>
  <c r="BE21" i="26"/>
  <c r="BP886" i="26" l="1"/>
  <c r="BR886" i="26" s="1"/>
  <c r="BN885" i="26"/>
  <c r="BO885" i="26"/>
  <c r="BI885" i="26"/>
  <c r="BW885" i="26"/>
  <c r="BX885" i="26" s="1"/>
  <c r="BM928" i="26"/>
  <c r="BQ927" i="26" s="1"/>
  <c r="BE20" i="26"/>
  <c r="BV23" i="26"/>
  <c r="BM885" i="26" l="1"/>
  <c r="BQ884" i="26" s="1"/>
  <c r="BE19" i="26"/>
  <c r="BP928" i="26"/>
  <c r="BR928" i="26" s="1"/>
  <c r="BV22" i="26"/>
  <c r="BW927" i="26"/>
  <c r="BX927" i="26" s="1"/>
  <c r="BO927" i="26"/>
  <c r="BI927" i="26"/>
  <c r="BN927" i="26"/>
  <c r="BG927" i="26"/>
  <c r="BP885" i="26" l="1"/>
  <c r="BR885" i="26" s="1"/>
  <c r="BI884" i="26"/>
  <c r="BO884" i="26"/>
  <c r="BN884" i="26"/>
  <c r="BW884" i="26"/>
  <c r="BX884" i="26" s="1"/>
  <c r="BE18" i="26"/>
  <c r="BP927" i="26"/>
  <c r="BR927" i="26" s="1"/>
  <c r="BM927" i="26"/>
  <c r="BQ926" i="26" s="1"/>
  <c r="BV21" i="26"/>
  <c r="BM884" i="26" l="1"/>
  <c r="BQ883" i="26" s="1"/>
  <c r="BV20" i="26"/>
  <c r="BW926" i="26"/>
  <c r="BX926" i="26" s="1"/>
  <c r="BN926" i="26"/>
  <c r="BO926" i="26"/>
  <c r="BG926" i="26"/>
  <c r="BI926" i="26"/>
  <c r="BE17" i="26"/>
  <c r="BP884" i="26" l="1"/>
  <c r="BR884" i="26" s="1"/>
  <c r="BI883" i="26"/>
  <c r="BW883" i="26"/>
  <c r="BX883" i="26" s="1"/>
  <c r="BO883" i="26"/>
  <c r="BN883" i="26"/>
  <c r="BE16" i="26"/>
  <c r="BP926" i="26"/>
  <c r="BR926" i="26" s="1"/>
  <c r="BM926" i="26"/>
  <c r="BQ925" i="26" s="1"/>
  <c r="BV19" i="26"/>
  <c r="BM883" i="26" l="1"/>
  <c r="BQ882" i="26" s="1"/>
  <c r="BV18" i="26"/>
  <c r="BE15" i="26"/>
  <c r="BN925" i="26"/>
  <c r="BI925" i="26"/>
  <c r="BW925" i="26"/>
  <c r="BX925" i="26" s="1"/>
  <c r="BG925" i="26"/>
  <c r="BO925" i="26"/>
  <c r="BP883" i="26" l="1"/>
  <c r="BR883" i="26" s="1"/>
  <c r="BO882" i="26"/>
  <c r="BW882" i="26"/>
  <c r="BX882" i="26" s="1"/>
  <c r="BI882" i="26"/>
  <c r="BN882" i="26"/>
  <c r="BE14" i="26"/>
  <c r="BP925" i="26"/>
  <c r="BR925" i="26" s="1"/>
  <c r="BM925" i="26"/>
  <c r="BQ924" i="26" s="1"/>
  <c r="BV17" i="26"/>
  <c r="BM882" i="26" l="1"/>
  <c r="BQ881" i="26" s="1"/>
  <c r="BV16" i="26"/>
  <c r="BN924" i="26"/>
  <c r="BG924" i="26"/>
  <c r="BO924" i="26"/>
  <c r="BI924" i="26"/>
  <c r="BW924" i="26"/>
  <c r="BX924" i="26" s="1"/>
  <c r="BE13" i="26"/>
  <c r="BP882" i="26" l="1"/>
  <c r="BR882" i="26" s="1"/>
  <c r="BO881" i="26"/>
  <c r="BW881" i="26"/>
  <c r="BX881" i="26" s="1"/>
  <c r="BN881" i="26"/>
  <c r="BI881" i="26"/>
  <c r="BE12" i="26"/>
  <c r="BM924" i="26"/>
  <c r="BQ923" i="26" s="1"/>
  <c r="BV15" i="26"/>
  <c r="BM881" i="26" l="1"/>
  <c r="BQ880" i="26" s="1"/>
  <c r="BG923" i="26"/>
  <c r="BN923" i="26"/>
  <c r="BI923" i="26"/>
  <c r="BW923" i="26"/>
  <c r="BX923" i="26" s="1"/>
  <c r="BO923" i="26"/>
  <c r="BP924" i="26"/>
  <c r="BR924" i="26" s="1"/>
  <c r="BE11" i="26"/>
  <c r="BV14" i="26"/>
  <c r="BP881" i="26" l="1"/>
  <c r="BR881" i="26" s="1"/>
  <c r="BN880" i="26"/>
  <c r="BW880" i="26"/>
  <c r="BX880" i="26" s="1"/>
  <c r="BO880" i="26"/>
  <c r="BI880" i="26"/>
  <c r="BM923" i="26"/>
  <c r="BQ922" i="26" s="1"/>
  <c r="BV13" i="26"/>
  <c r="BE10" i="26"/>
  <c r="BM880" i="26" l="1"/>
  <c r="BQ879" i="26" s="1"/>
  <c r="BV12" i="26"/>
  <c r="BN922" i="26"/>
  <c r="BI922" i="26"/>
  <c r="BW922" i="26"/>
  <c r="BX922" i="26" s="1"/>
  <c r="BG922" i="26"/>
  <c r="BO922" i="26"/>
  <c r="BE9" i="26"/>
  <c r="BP923" i="26"/>
  <c r="BR923" i="26" s="1"/>
  <c r="BP880" i="26" l="1"/>
  <c r="BR880" i="26" s="1"/>
  <c r="BW879" i="26"/>
  <c r="BX879" i="26" s="1"/>
  <c r="BI879" i="26"/>
  <c r="BN879" i="26"/>
  <c r="BO879" i="26"/>
  <c r="BV11" i="26"/>
  <c r="BE8" i="26"/>
  <c r="BM922" i="26"/>
  <c r="BQ921" i="26" s="1"/>
  <c r="BM879" i="26" l="1"/>
  <c r="BQ878" i="26" s="1"/>
  <c r="BG921" i="26"/>
  <c r="BW921" i="26"/>
  <c r="BX921" i="26" s="1"/>
  <c r="BN921" i="26"/>
  <c r="BI921" i="26"/>
  <c r="BO921" i="26"/>
  <c r="BV10" i="26"/>
  <c r="BE7" i="26"/>
  <c r="BP922" i="26"/>
  <c r="BR922" i="26" s="1"/>
  <c r="BP879" i="26" l="1"/>
  <c r="BR879" i="26" s="1"/>
  <c r="BO878" i="26"/>
  <c r="BW878" i="26"/>
  <c r="BX878" i="26" s="1"/>
  <c r="BI878" i="26"/>
  <c r="BN878" i="26"/>
  <c r="BE6" i="26"/>
  <c r="BE5" i="26"/>
  <c r="BP921" i="26"/>
  <c r="BR921" i="26" s="1"/>
  <c r="BM921" i="26"/>
  <c r="BQ920" i="26" s="1"/>
  <c r="BV9" i="26"/>
  <c r="BM878" i="26" l="1"/>
  <c r="BQ877" i="26" s="1"/>
  <c r="BV8" i="26"/>
  <c r="BG920" i="26"/>
  <c r="BW920" i="26"/>
  <c r="BX920" i="26" s="1"/>
  <c r="BI920" i="26"/>
  <c r="BN920" i="26"/>
  <c r="BO920" i="26"/>
  <c r="BP878" i="26" l="1"/>
  <c r="BR878" i="26" s="1"/>
  <c r="BI877" i="26"/>
  <c r="BN877" i="26"/>
  <c r="BO877" i="26"/>
  <c r="BW877" i="26"/>
  <c r="BX877" i="26" s="1"/>
  <c r="BV7" i="26"/>
  <c r="BM920" i="26"/>
  <c r="BQ919" i="26" s="1"/>
  <c r="BM877" i="26" l="1"/>
  <c r="BQ876" i="26" s="1"/>
  <c r="BV6" i="26"/>
  <c r="BV5" i="26"/>
  <c r="BW919" i="26"/>
  <c r="BX919" i="26" s="1"/>
  <c r="BG919" i="26"/>
  <c r="BI919" i="26"/>
  <c r="BN919" i="26"/>
  <c r="BO919" i="26"/>
  <c r="BP920" i="26"/>
  <c r="BR920" i="26" s="1"/>
  <c r="BP877" i="26" l="1"/>
  <c r="BR877" i="26" s="1"/>
  <c r="BN876" i="26"/>
  <c r="BO876" i="26"/>
  <c r="BI876" i="26"/>
  <c r="BW876" i="26"/>
  <c r="BX876" i="26" s="1"/>
  <c r="BM919" i="26"/>
  <c r="BQ918" i="26" s="1"/>
  <c r="BM876" i="26" l="1"/>
  <c r="BQ875" i="26" s="1"/>
  <c r="BP919" i="26"/>
  <c r="BR919" i="26" s="1"/>
  <c r="BG918" i="26"/>
  <c r="BI918" i="26"/>
  <c r="BN918" i="26"/>
  <c r="BW918" i="26"/>
  <c r="BX918" i="26" s="1"/>
  <c r="BO918" i="26"/>
  <c r="BP876" i="26" l="1"/>
  <c r="BR876" i="26" s="1"/>
  <c r="BI875" i="26"/>
  <c r="BO875" i="26"/>
  <c r="BN875" i="26"/>
  <c r="BW875" i="26"/>
  <c r="BX875" i="26" s="1"/>
  <c r="BP918" i="26"/>
  <c r="BR918" i="26" s="1"/>
  <c r="BM918" i="26"/>
  <c r="BM875" i="26" l="1"/>
  <c r="BQ874" i="26" s="1"/>
  <c r="BP875" i="26" l="1"/>
  <c r="BR875" i="26" s="1"/>
  <c r="BN874" i="26"/>
  <c r="BW874" i="26"/>
  <c r="BX874" i="26" s="1"/>
  <c r="BO874" i="26"/>
  <c r="BI874" i="26"/>
  <c r="BM874" i="26" l="1"/>
  <c r="BQ873" i="26" s="1"/>
  <c r="BP874" i="26" l="1"/>
  <c r="BR874" i="26" s="1"/>
  <c r="BN873" i="26"/>
  <c r="BW873" i="26"/>
  <c r="BX873" i="26" s="1"/>
  <c r="BI873" i="26"/>
  <c r="BO873" i="26"/>
  <c r="BM873" i="26" l="1"/>
  <c r="BQ872" i="26" s="1"/>
  <c r="BP873" i="26" l="1"/>
  <c r="BR873" i="26" s="1"/>
  <c r="BI872" i="26"/>
  <c r="BW872" i="26"/>
  <c r="BX872" i="26" s="1"/>
  <c r="BN872" i="26"/>
  <c r="BO872" i="26"/>
  <c r="BM872" i="26" l="1"/>
  <c r="BQ871" i="26" s="1"/>
  <c r="BP872" i="26" l="1"/>
  <c r="BR872" i="26" s="1"/>
  <c r="BN871" i="26"/>
  <c r="BO871" i="26"/>
  <c r="BW871" i="26"/>
  <c r="BX871" i="26" s="1"/>
  <c r="BI871" i="26"/>
  <c r="BM871" i="26" l="1"/>
  <c r="BQ870" i="26" s="1"/>
  <c r="BP871" i="26" l="1"/>
  <c r="BR871" i="26" s="1"/>
  <c r="BI870" i="26"/>
  <c r="BW870" i="26"/>
  <c r="BX870" i="26" s="1"/>
  <c r="BO870" i="26"/>
  <c r="BN870" i="26"/>
  <c r="BM870" i="26" l="1"/>
  <c r="BQ869" i="26" s="1"/>
  <c r="BP870" i="26" l="1"/>
  <c r="BR870" i="26" s="1"/>
  <c r="BO869" i="26"/>
  <c r="BI869" i="26"/>
  <c r="BN869" i="26"/>
  <c r="BW869" i="26"/>
  <c r="BX869" i="26" s="1"/>
  <c r="BM869" i="26" l="1"/>
  <c r="BQ868" i="26" s="1"/>
  <c r="BP869" i="26" l="1"/>
  <c r="BR869" i="26" s="1"/>
  <c r="BW868" i="26"/>
  <c r="BX868" i="26" s="1"/>
  <c r="BI868" i="26"/>
  <c r="BN868" i="26"/>
  <c r="BO868" i="26"/>
  <c r="BM868" i="26" l="1"/>
  <c r="BQ867" i="26" s="1"/>
  <c r="BP868" i="26" l="1"/>
  <c r="BR868" i="26" s="1"/>
  <c r="BN867" i="26"/>
  <c r="BI867" i="26"/>
  <c r="BW867" i="26"/>
  <c r="BX867" i="26" s="1"/>
  <c r="BO867" i="26"/>
  <c r="BM867" i="26" l="1"/>
  <c r="BQ866" i="26" s="1"/>
  <c r="BP867" i="26" l="1"/>
  <c r="BR867" i="26" s="1"/>
  <c r="BW866" i="26"/>
  <c r="BX866" i="26" s="1"/>
  <c r="BN866" i="26"/>
  <c r="BO866" i="26"/>
  <c r="BI866" i="26"/>
  <c r="BM866" i="26" l="1"/>
  <c r="BQ865" i="26" s="1"/>
  <c r="BP866" i="26" l="1"/>
  <c r="BR866" i="26" s="1"/>
  <c r="BW865" i="26"/>
  <c r="BX865" i="26" s="1"/>
  <c r="BO865" i="26"/>
  <c r="BN865" i="26"/>
  <c r="BI865" i="26"/>
  <c r="BM865" i="26" l="1"/>
  <c r="BQ864" i="26" s="1"/>
  <c r="BP865" i="26" l="1"/>
  <c r="BR865" i="26" s="1"/>
  <c r="BW864" i="26"/>
  <c r="BX864" i="26" s="1"/>
  <c r="BI864" i="26"/>
  <c r="BO864" i="26"/>
  <c r="BN864" i="26"/>
  <c r="BM864" i="26" l="1"/>
  <c r="BQ863" i="26" s="1"/>
  <c r="BP864" i="26" l="1"/>
  <c r="BR864" i="26" s="1"/>
  <c r="BW863" i="26"/>
  <c r="BX863" i="26" s="1"/>
  <c r="BO863" i="26"/>
  <c r="BI863" i="26"/>
  <c r="BN863" i="26"/>
  <c r="BM863" i="26" l="1"/>
  <c r="BQ862" i="26" s="1"/>
  <c r="BP863" i="26" l="1"/>
  <c r="BR863" i="26" s="1"/>
  <c r="BO862" i="26"/>
  <c r="BN862" i="26"/>
  <c r="BW862" i="26"/>
  <c r="BX862" i="26" s="1"/>
  <c r="BI862" i="26"/>
  <c r="BM862" i="26" l="1"/>
  <c r="BQ861" i="26" s="1"/>
  <c r="BP862" i="26" l="1"/>
  <c r="BR862" i="26" s="1"/>
  <c r="BW861" i="26"/>
  <c r="BX861" i="26" s="1"/>
  <c r="BO861" i="26"/>
  <c r="BI861" i="26"/>
  <c r="BN861" i="26"/>
  <c r="BM861" i="26" l="1"/>
  <c r="BQ860" i="26" s="1"/>
  <c r="BP861" i="26" l="1"/>
  <c r="BR861" i="26" s="1"/>
  <c r="BN860" i="26"/>
  <c r="BW860" i="26"/>
  <c r="BX860" i="26" s="1"/>
  <c r="BI860" i="26"/>
  <c r="BO860" i="26"/>
  <c r="BM860" i="26" l="1"/>
  <c r="BQ859" i="26" s="1"/>
  <c r="BP860" i="26" l="1"/>
  <c r="BR860" i="26" s="1"/>
  <c r="BW859" i="26"/>
  <c r="BX859" i="26" s="1"/>
  <c r="BO859" i="26"/>
  <c r="BI859" i="26"/>
  <c r="BN859" i="26"/>
  <c r="BM859" i="26" l="1"/>
  <c r="BQ858" i="26" s="1"/>
  <c r="BP859" i="26" l="1"/>
  <c r="BR859" i="26" s="1"/>
  <c r="BO858" i="26"/>
  <c r="BN858" i="26"/>
  <c r="BI858" i="26"/>
  <c r="BW858" i="26"/>
  <c r="BX858" i="26" s="1"/>
  <c r="BM858" i="26" l="1"/>
  <c r="BQ857" i="26" s="1"/>
  <c r="BP858" i="26" l="1"/>
  <c r="BR858" i="26" s="1"/>
  <c r="BW857" i="26"/>
  <c r="BX857" i="26" s="1"/>
  <c r="BI857" i="26"/>
  <c r="BN857" i="26"/>
  <c r="BO857" i="26"/>
  <c r="BM857" i="26" l="1"/>
  <c r="BQ856" i="26" s="1"/>
  <c r="BP857" i="26" l="1"/>
  <c r="BR857" i="26" s="1"/>
  <c r="BN856" i="26"/>
  <c r="BW856" i="26"/>
  <c r="BX856" i="26" s="1"/>
  <c r="BO856" i="26"/>
  <c r="BI856" i="26"/>
  <c r="BM856" i="26" l="1"/>
  <c r="BQ855" i="26" s="1"/>
  <c r="BP856" i="26" l="1"/>
  <c r="BR856" i="26" s="1"/>
  <c r="BN855" i="26"/>
  <c r="BO855" i="26"/>
  <c r="BW855" i="26"/>
  <c r="BX855" i="26" s="1"/>
  <c r="BI855" i="26"/>
  <c r="BM855" i="26" l="1"/>
  <c r="BQ854" i="26" s="1"/>
  <c r="BP855" i="26" l="1"/>
  <c r="BR855" i="26" s="1"/>
  <c r="BI854" i="26"/>
  <c r="BW854" i="26"/>
  <c r="BX854" i="26" s="1"/>
  <c r="BN854" i="26"/>
  <c r="BO854" i="26"/>
  <c r="BM854" i="26" l="1"/>
  <c r="BQ853" i="26" s="1"/>
  <c r="BP854" i="26" l="1"/>
  <c r="BR854" i="26" s="1"/>
  <c r="BW853" i="26"/>
  <c r="BX853" i="26" s="1"/>
  <c r="BI853" i="26"/>
  <c r="BN853" i="26"/>
  <c r="BO853" i="26"/>
  <c r="BM853" i="26" l="1"/>
  <c r="BQ852" i="26" s="1"/>
  <c r="BP853" i="26" l="1"/>
  <c r="BR853" i="26" s="1"/>
  <c r="BN852" i="26"/>
  <c r="BW852" i="26"/>
  <c r="BX852" i="26" s="1"/>
  <c r="BI852" i="26"/>
  <c r="BO852" i="26"/>
  <c r="BM852" i="26" l="1"/>
  <c r="BQ851" i="26" s="1"/>
  <c r="BP852" i="26" l="1"/>
  <c r="BR852" i="26" s="1"/>
  <c r="BN851" i="26"/>
  <c r="BW851" i="26"/>
  <c r="BX851" i="26" s="1"/>
  <c r="BO851" i="26"/>
  <c r="BI851" i="26"/>
  <c r="BM851" i="26" l="1"/>
  <c r="BQ850" i="26" s="1"/>
  <c r="BP851" i="26" l="1"/>
  <c r="BR851" i="26" s="1"/>
  <c r="BI850" i="26"/>
  <c r="BN850" i="26"/>
  <c r="BO850" i="26"/>
  <c r="BW850" i="26"/>
  <c r="BX850" i="26" s="1"/>
  <c r="BM850" i="26" l="1"/>
  <c r="BQ849" i="26" s="1"/>
  <c r="BP850" i="26" l="1"/>
  <c r="BR850" i="26" s="1"/>
  <c r="BN849" i="26"/>
  <c r="BW849" i="26"/>
  <c r="BX849" i="26" s="1"/>
  <c r="BI849" i="26"/>
  <c r="BO849" i="26"/>
  <c r="BM849" i="26" l="1"/>
  <c r="BQ848" i="26" s="1"/>
  <c r="BP849" i="26" l="1"/>
  <c r="BR849" i="26" s="1"/>
  <c r="BO848" i="26"/>
  <c r="BW848" i="26"/>
  <c r="BX848" i="26" s="1"/>
  <c r="BN848" i="26"/>
  <c r="BI848" i="26"/>
  <c r="BM848" i="26" l="1"/>
  <c r="BQ847" i="26" s="1"/>
  <c r="BP848" i="26" l="1"/>
  <c r="BR848" i="26" s="1"/>
  <c r="BW847" i="26"/>
  <c r="BX847" i="26" s="1"/>
  <c r="BN847" i="26"/>
  <c r="BI847" i="26"/>
  <c r="BO847" i="26"/>
  <c r="BM847" i="26" l="1"/>
  <c r="BQ846" i="26" s="1"/>
  <c r="BP847" i="26" l="1"/>
  <c r="BR847" i="26" s="1"/>
  <c r="BO846" i="26"/>
  <c r="BW846" i="26"/>
  <c r="BX846" i="26" s="1"/>
  <c r="BI846" i="26"/>
  <c r="BN846" i="26"/>
  <c r="BM846" i="26" l="1"/>
  <c r="BQ845" i="26" s="1"/>
  <c r="BP846" i="26" l="1"/>
  <c r="BR846" i="26" s="1"/>
  <c r="BI845" i="26"/>
  <c r="BO845" i="26"/>
  <c r="BN845" i="26"/>
  <c r="BW845" i="26"/>
  <c r="BX845" i="26" s="1"/>
  <c r="BM845" i="26" l="1"/>
  <c r="BQ844" i="26" s="1"/>
  <c r="BP845" i="26" l="1"/>
  <c r="BR845" i="26" s="1"/>
  <c r="BO844" i="26"/>
  <c r="BI844" i="26"/>
  <c r="BN844" i="26"/>
  <c r="BW844" i="26"/>
  <c r="BX844" i="26" s="1"/>
  <c r="BM844" i="26" l="1"/>
  <c r="BQ843" i="26" s="1"/>
  <c r="BP844" i="26" l="1"/>
  <c r="BR844" i="26" s="1"/>
  <c r="BN843" i="26"/>
  <c r="BW843" i="26"/>
  <c r="BX843" i="26" s="1"/>
  <c r="BO843" i="26"/>
  <c r="BI843" i="26"/>
  <c r="BM843" i="26" l="1"/>
  <c r="BQ842" i="26" s="1"/>
  <c r="BP843" i="26" l="1"/>
  <c r="BR843" i="26" s="1"/>
  <c r="BN842" i="26"/>
  <c r="BO842" i="26"/>
  <c r="BI842" i="26"/>
  <c r="BW842" i="26"/>
  <c r="BX842" i="26" s="1"/>
  <c r="BM842" i="26" l="1"/>
  <c r="BQ841" i="26" s="1"/>
  <c r="BP842" i="26" l="1"/>
  <c r="BR842" i="26" s="1"/>
  <c r="BI841" i="26"/>
  <c r="BN841" i="26"/>
  <c r="BW841" i="26"/>
  <c r="BX841" i="26" s="1"/>
  <c r="BO841" i="26"/>
  <c r="BM841" i="26" l="1"/>
  <c r="BQ840" i="26" s="1"/>
  <c r="BP841" i="26" l="1"/>
  <c r="BR841" i="26" s="1"/>
  <c r="BN840" i="26"/>
  <c r="BW840" i="26"/>
  <c r="BX840" i="26" s="1"/>
  <c r="BO840" i="26"/>
  <c r="BI840" i="26"/>
  <c r="BM840" i="26" l="1"/>
  <c r="BQ839" i="26" s="1"/>
  <c r="BP840" i="26" l="1"/>
  <c r="BR840" i="26" s="1"/>
  <c r="BN839" i="26"/>
  <c r="BW839" i="26"/>
  <c r="BX839" i="26" s="1"/>
  <c r="BI839" i="26"/>
  <c r="BO839" i="26"/>
  <c r="BM839" i="26" l="1"/>
  <c r="BQ838" i="26" s="1"/>
  <c r="BP839" i="26" l="1"/>
  <c r="BR839" i="26" s="1"/>
  <c r="BO838" i="26"/>
  <c r="BN838" i="26"/>
  <c r="BW838" i="26"/>
  <c r="BX838" i="26" s="1"/>
  <c r="BI838" i="26"/>
  <c r="BM838" i="26" l="1"/>
  <c r="BQ837" i="26" s="1"/>
  <c r="BP838" i="26" l="1"/>
  <c r="BR838" i="26" s="1"/>
  <c r="BN837" i="26"/>
  <c r="BO837" i="26"/>
  <c r="BI837" i="26"/>
  <c r="BW837" i="26"/>
  <c r="BX837" i="26" s="1"/>
  <c r="BM837" i="26" l="1"/>
  <c r="BQ836" i="26" s="1"/>
  <c r="BP837" i="26" l="1"/>
  <c r="BR837" i="26" s="1"/>
  <c r="BN836" i="26"/>
  <c r="BO836" i="26"/>
  <c r="BW836" i="26"/>
  <c r="BX836" i="26" s="1"/>
  <c r="BI836" i="26"/>
  <c r="BM836" i="26" l="1"/>
  <c r="BQ835" i="26" s="1"/>
  <c r="BP836" i="26" l="1"/>
  <c r="BR836" i="26" s="1"/>
  <c r="BN835" i="26"/>
  <c r="BW835" i="26"/>
  <c r="BX835" i="26" s="1"/>
  <c r="BO835" i="26"/>
  <c r="BI835" i="26"/>
  <c r="BM835" i="26" l="1"/>
  <c r="BQ834" i="26" s="1"/>
  <c r="BP835" i="26" l="1"/>
  <c r="BR835" i="26" s="1"/>
  <c r="BI834" i="26"/>
  <c r="BN834" i="26"/>
  <c r="BW834" i="26"/>
  <c r="BX834" i="26" s="1"/>
  <c r="BO834" i="26"/>
  <c r="BM834" i="26" l="1"/>
  <c r="BQ833" i="26" s="1"/>
  <c r="BP834" i="26" l="1"/>
  <c r="BR834" i="26" s="1"/>
  <c r="BI833" i="26"/>
  <c r="BO833" i="26"/>
  <c r="BN833" i="26"/>
  <c r="BW833" i="26"/>
  <c r="BX833" i="26" s="1"/>
  <c r="BM833" i="26" l="1"/>
  <c r="BQ832" i="26" s="1"/>
  <c r="BP833" i="26" l="1"/>
  <c r="BR833" i="26" s="1"/>
  <c r="BN832" i="26"/>
  <c r="BI832" i="26"/>
  <c r="BO832" i="26"/>
  <c r="BW832" i="26"/>
  <c r="BX832" i="26" s="1"/>
  <c r="BM832" i="26" l="1"/>
  <c r="BQ831" i="26" s="1"/>
  <c r="BP832" i="26" l="1"/>
  <c r="BR832" i="26" s="1"/>
  <c r="BI831" i="26"/>
  <c r="BO831" i="26"/>
  <c r="BN831" i="26"/>
  <c r="BW831" i="26"/>
  <c r="BX831" i="26" s="1"/>
  <c r="BM831" i="26" l="1"/>
  <c r="BQ830" i="26" s="1"/>
  <c r="BP831" i="26" l="1"/>
  <c r="BR831" i="26" s="1"/>
  <c r="BI830" i="26"/>
  <c r="BO830" i="26"/>
  <c r="BN830" i="26"/>
  <c r="BW830" i="26"/>
  <c r="BX830" i="26" s="1"/>
  <c r="BM830" i="26" l="1"/>
  <c r="BQ829" i="26" s="1"/>
  <c r="BP830" i="26" l="1"/>
  <c r="BR830" i="26" s="1"/>
  <c r="BN829" i="26"/>
  <c r="BI829" i="26"/>
  <c r="BW829" i="26"/>
  <c r="BX829" i="26" s="1"/>
  <c r="BO829" i="26"/>
  <c r="BM829" i="26" l="1"/>
  <c r="BQ828" i="26" s="1"/>
  <c r="BP829" i="26" l="1"/>
  <c r="BR829" i="26" s="1"/>
  <c r="BW828" i="26"/>
  <c r="BX828" i="26" s="1"/>
  <c r="BN828" i="26"/>
  <c r="BO828" i="26"/>
  <c r="BI828" i="26"/>
  <c r="BM828" i="26" l="1"/>
  <c r="BQ827" i="26" s="1"/>
  <c r="BP828" i="26" l="1"/>
  <c r="BR828" i="26" s="1"/>
  <c r="BI827" i="26"/>
  <c r="BO827" i="26"/>
  <c r="BW827" i="26"/>
  <c r="BX827" i="26" s="1"/>
  <c r="BN827" i="26"/>
  <c r="BM827" i="26" l="1"/>
  <c r="BQ826" i="26" s="1"/>
  <c r="BP827" i="26" l="1"/>
  <c r="BR827" i="26" s="1"/>
  <c r="BO826" i="26"/>
  <c r="BI826" i="26"/>
  <c r="BN826" i="26"/>
  <c r="BW826" i="26"/>
  <c r="BX826" i="26" s="1"/>
  <c r="BM826" i="26" l="1"/>
  <c r="BQ825" i="26" s="1"/>
  <c r="BP826" i="26" l="1"/>
  <c r="BR826" i="26" s="1"/>
  <c r="BI825" i="26"/>
  <c r="BN825" i="26"/>
  <c r="BW825" i="26"/>
  <c r="BX825" i="26" s="1"/>
  <c r="BO825" i="26"/>
  <c r="BM825" i="26" l="1"/>
  <c r="BQ824" i="26" s="1"/>
  <c r="BP825" i="26" l="1"/>
  <c r="BR825" i="26" s="1"/>
  <c r="BW824" i="26"/>
  <c r="BX824" i="26" s="1"/>
  <c r="BO824" i="26"/>
  <c r="BN824" i="26"/>
  <c r="BI824" i="26"/>
  <c r="BM824" i="26" l="1"/>
  <c r="BQ823" i="26" s="1"/>
  <c r="BP824" i="26" l="1"/>
  <c r="BR824" i="26" s="1"/>
  <c r="BI823" i="26"/>
  <c r="BO823" i="26"/>
  <c r="BW823" i="26"/>
  <c r="BX823" i="26" s="1"/>
  <c r="BN823" i="26"/>
  <c r="BM823" i="26" l="1"/>
  <c r="BQ822" i="26" s="1"/>
  <c r="BP823" i="26" l="1"/>
  <c r="BR823" i="26" s="1"/>
  <c r="BI822" i="26"/>
  <c r="BO822" i="26"/>
  <c r="BN822" i="26"/>
  <c r="BW822" i="26"/>
  <c r="BX822" i="26" s="1"/>
  <c r="BM822" i="26" l="1"/>
  <c r="BQ821" i="26" s="1"/>
  <c r="BP822" i="26" l="1"/>
  <c r="BR822" i="26" s="1"/>
  <c r="BO821" i="26"/>
  <c r="BN821" i="26"/>
  <c r="BI821" i="26"/>
  <c r="BW821" i="26"/>
  <c r="BX821" i="26" s="1"/>
  <c r="BM821" i="26" l="1"/>
  <c r="BQ820" i="26" s="1"/>
  <c r="BP821" i="26" l="1"/>
  <c r="BR821" i="26" s="1"/>
  <c r="BI820" i="26"/>
  <c r="BN820" i="26"/>
  <c r="BO820" i="26"/>
  <c r="BW820" i="26"/>
  <c r="BX820" i="26" s="1"/>
  <c r="BM820" i="26" l="1"/>
  <c r="BQ819" i="26" s="1"/>
  <c r="BP820" i="26" l="1"/>
  <c r="BR820" i="26" s="1"/>
  <c r="BI819" i="26"/>
  <c r="BN819" i="26"/>
  <c r="BW819" i="26"/>
  <c r="BX819" i="26" s="1"/>
  <c r="BO819" i="26"/>
  <c r="BM819" i="26" l="1"/>
  <c r="BQ818" i="26" s="1"/>
  <c r="BP819" i="26" l="1"/>
  <c r="BR819" i="26" s="1"/>
  <c r="BI818" i="26"/>
  <c r="BO818" i="26"/>
  <c r="BN818" i="26"/>
  <c r="BW818" i="26"/>
  <c r="BX818" i="26" s="1"/>
  <c r="BM818" i="26" l="1"/>
  <c r="BQ817" i="26" s="1"/>
  <c r="BP818" i="26" l="1"/>
  <c r="BR818" i="26" s="1"/>
  <c r="BI817" i="26"/>
  <c r="BO817" i="26"/>
  <c r="BW817" i="26"/>
  <c r="BX817" i="26" s="1"/>
  <c r="BN817" i="26"/>
  <c r="BM817" i="26" l="1"/>
  <c r="BQ816" i="26" s="1"/>
  <c r="BP817" i="26" l="1"/>
  <c r="BR817" i="26" s="1"/>
  <c r="BO816" i="26"/>
  <c r="BI816" i="26"/>
  <c r="BW816" i="26"/>
  <c r="BX816" i="26" s="1"/>
  <c r="BN816" i="26"/>
  <c r="BM816" i="26" l="1"/>
  <c r="BQ815" i="26" s="1"/>
  <c r="BP816" i="26" l="1"/>
  <c r="BR816" i="26" s="1"/>
  <c r="BN815" i="26"/>
  <c r="BO815" i="26"/>
  <c r="BI815" i="26"/>
  <c r="BW815" i="26"/>
  <c r="BX815" i="26" s="1"/>
  <c r="BM815" i="26" l="1"/>
  <c r="BQ814" i="26" s="1"/>
  <c r="BP815" i="26" l="1"/>
  <c r="BR815" i="26" s="1"/>
  <c r="BO814" i="26"/>
  <c r="BW814" i="26"/>
  <c r="BX814" i="26" s="1"/>
  <c r="BN814" i="26"/>
  <c r="BI814" i="26"/>
  <c r="BM814" i="26" l="1"/>
  <c r="BQ813" i="26" s="1"/>
  <c r="BP814" i="26" l="1"/>
  <c r="BR814" i="26" s="1"/>
  <c r="BI813" i="26"/>
  <c r="BO813" i="26"/>
  <c r="BW813" i="26"/>
  <c r="BX813" i="26" s="1"/>
  <c r="BN813" i="26"/>
  <c r="BM813" i="26" l="1"/>
  <c r="BQ812" i="26" s="1"/>
  <c r="BP813" i="26" l="1"/>
  <c r="BR813" i="26" s="1"/>
  <c r="BO812" i="26"/>
  <c r="BW812" i="26"/>
  <c r="BX812" i="26" s="1"/>
  <c r="BN812" i="26"/>
  <c r="BI812" i="26"/>
  <c r="BM812" i="26" l="1"/>
  <c r="BQ811" i="26" s="1"/>
  <c r="BP812" i="26" l="1"/>
  <c r="BR812" i="26" s="1"/>
  <c r="BN811" i="26"/>
  <c r="BI811" i="26"/>
  <c r="BW811" i="26"/>
  <c r="BX811" i="26" s="1"/>
  <c r="BO811" i="26"/>
  <c r="BM811" i="26" l="1"/>
  <c r="BQ810" i="26" s="1"/>
  <c r="BP811" i="26" l="1"/>
  <c r="BR811" i="26" s="1"/>
  <c r="BW810" i="26"/>
  <c r="BX810" i="26" s="1"/>
  <c r="BN810" i="26"/>
  <c r="BI810" i="26"/>
  <c r="BO810" i="26"/>
  <c r="BM810" i="26" l="1"/>
  <c r="BQ809" i="26" s="1"/>
  <c r="BP810" i="26" l="1"/>
  <c r="BR810" i="26" s="1"/>
  <c r="BW809" i="26"/>
  <c r="BX809" i="26" s="1"/>
  <c r="BI809" i="26"/>
  <c r="BN809" i="26"/>
  <c r="BO809" i="26"/>
  <c r="BM809" i="26" l="1"/>
  <c r="BQ808" i="26" s="1"/>
  <c r="BP809" i="26" l="1"/>
  <c r="BR809" i="26" s="1"/>
  <c r="BI808" i="26"/>
  <c r="BO808" i="26"/>
  <c r="BW808" i="26"/>
  <c r="BX808" i="26" s="1"/>
  <c r="BN808" i="26"/>
  <c r="BM808" i="26" l="1"/>
  <c r="BQ807" i="26" s="1"/>
  <c r="BP808" i="26" l="1"/>
  <c r="BR808" i="26" s="1"/>
  <c r="BN807" i="26"/>
  <c r="BO807" i="26"/>
  <c r="BW807" i="26"/>
  <c r="BX807" i="26" s="1"/>
  <c r="BI807" i="26"/>
  <c r="BM807" i="26" l="1"/>
  <c r="BQ806" i="26" s="1"/>
  <c r="BP807" i="26" l="1"/>
  <c r="BR807" i="26" s="1"/>
  <c r="BI806" i="26"/>
  <c r="BO806" i="26"/>
  <c r="BN806" i="26"/>
  <c r="BW806" i="26"/>
  <c r="BX806" i="26" s="1"/>
  <c r="BM806" i="26" l="1"/>
  <c r="BQ805" i="26" s="1"/>
  <c r="AM917" i="55"/>
  <c r="AM918" i="55"/>
  <c r="AM919" i="55"/>
  <c r="AM920" i="55"/>
  <c r="AM921" i="55"/>
  <c r="AM922" i="55"/>
  <c r="AM923" i="55"/>
  <c r="AM924" i="55"/>
  <c r="AM925" i="55"/>
  <c r="AM926" i="55"/>
  <c r="AM927" i="55"/>
  <c r="AM928" i="55"/>
  <c r="AM929" i="55"/>
  <c r="AM930" i="55"/>
  <c r="AM931" i="55"/>
  <c r="AM932" i="55"/>
  <c r="AM933" i="55"/>
  <c r="AM934" i="55"/>
  <c r="AM935" i="55"/>
  <c r="AM936" i="55"/>
  <c r="AM937" i="55"/>
  <c r="AM938" i="55"/>
  <c r="AM939" i="55"/>
  <c r="AM940" i="55"/>
  <c r="AM941" i="55"/>
  <c r="AM942" i="55"/>
  <c r="AM943" i="55"/>
  <c r="AM944" i="55"/>
  <c r="AM945" i="55"/>
  <c r="AM946" i="55"/>
  <c r="AM947" i="55"/>
  <c r="AM948" i="55"/>
  <c r="AM949" i="55"/>
  <c r="AM950" i="55"/>
  <c r="AM951" i="55"/>
  <c r="AM952" i="55"/>
  <c r="AM953" i="55"/>
  <c r="AM954" i="55"/>
  <c r="AM955" i="55"/>
  <c r="AM956" i="55"/>
  <c r="AM957" i="55"/>
  <c r="AM958" i="55"/>
  <c r="AM959" i="55"/>
  <c r="AM960" i="55"/>
  <c r="AM961" i="55"/>
  <c r="AM962" i="55"/>
  <c r="AM963" i="55"/>
  <c r="AM964" i="55"/>
  <c r="AM965" i="55"/>
  <c r="AM966" i="55"/>
  <c r="AM967" i="55"/>
  <c r="AM968" i="55"/>
  <c r="AM969" i="55"/>
  <c r="AM970" i="55"/>
  <c r="AM971" i="55"/>
  <c r="AM972" i="55"/>
  <c r="AM973" i="55"/>
  <c r="AM974" i="55"/>
  <c r="AM975" i="55"/>
  <c r="AM976" i="55"/>
  <c r="BP806" i="26" l="1"/>
  <c r="BR806" i="26" s="1"/>
  <c r="BW805" i="26"/>
  <c r="BX805" i="26" s="1"/>
  <c r="BI805" i="26"/>
  <c r="BN805" i="26"/>
  <c r="BO805" i="26"/>
  <c r="BM805" i="26" l="1"/>
  <c r="BQ804" i="26" s="1"/>
  <c r="BP805" i="26" l="1"/>
  <c r="BR805" i="26" s="1"/>
  <c r="BN804" i="26"/>
  <c r="BI804" i="26"/>
  <c r="BO804" i="26"/>
  <c r="BW804" i="26"/>
  <c r="BX804" i="26" s="1"/>
  <c r="BM804" i="26" l="1"/>
  <c r="BQ803" i="26" s="1"/>
  <c r="BP804" i="26" l="1"/>
  <c r="BR804" i="26" s="1"/>
  <c r="BO803" i="26"/>
  <c r="BI803" i="26"/>
  <c r="BW803" i="26"/>
  <c r="BX803" i="26" s="1"/>
  <c r="BN803" i="26"/>
  <c r="BM803" i="26" l="1"/>
  <c r="BQ802" i="26" s="1"/>
  <c r="BP803" i="26" l="1"/>
  <c r="BR803" i="26" s="1"/>
  <c r="BW802" i="26"/>
  <c r="BX802" i="26" s="1"/>
  <c r="BO802" i="26"/>
  <c r="BN802" i="26"/>
  <c r="BI802" i="26"/>
  <c r="BM802" i="26" l="1"/>
  <c r="BQ801" i="26" s="1"/>
  <c r="BP802" i="26" l="1"/>
  <c r="BR802" i="26" s="1"/>
  <c r="BW801" i="26"/>
  <c r="BX801" i="26" s="1"/>
  <c r="BO801" i="26"/>
  <c r="BN801" i="26"/>
  <c r="BI801" i="26"/>
  <c r="BM801" i="26" l="1"/>
  <c r="BQ800" i="26" s="1"/>
  <c r="BP801" i="26" l="1"/>
  <c r="BR801" i="26" s="1"/>
  <c r="BN800" i="26"/>
  <c r="BO800" i="26"/>
  <c r="BW800" i="26"/>
  <c r="BX800" i="26" s="1"/>
  <c r="BI800" i="26"/>
  <c r="BM800" i="26" l="1"/>
  <c r="BQ799" i="26" s="1"/>
  <c r="BP800" i="26" l="1"/>
  <c r="BR800" i="26" s="1"/>
  <c r="BW799" i="26"/>
  <c r="BX799" i="26" s="1"/>
  <c r="BN799" i="26"/>
  <c r="BI799" i="26"/>
  <c r="BO799" i="26"/>
  <c r="BM799" i="26" l="1"/>
  <c r="BQ798" i="26" s="1"/>
  <c r="BP799" i="26" l="1"/>
  <c r="BR799" i="26" s="1"/>
  <c r="BN798" i="26"/>
  <c r="BO798" i="26"/>
  <c r="BI798" i="26"/>
  <c r="BW798" i="26"/>
  <c r="BX798" i="26" s="1"/>
  <c r="BM798" i="26" l="1"/>
  <c r="BQ797" i="26" s="1"/>
  <c r="BP798" i="26" l="1"/>
  <c r="BR798" i="26" s="1"/>
  <c r="BW797" i="26"/>
  <c r="BX797" i="26" s="1"/>
  <c r="BN797" i="26"/>
  <c r="BI797" i="26"/>
  <c r="BO797" i="26"/>
  <c r="BM797" i="26" l="1"/>
  <c r="BQ796" i="26" s="1"/>
  <c r="BP797" i="26" l="1"/>
  <c r="BR797" i="26" s="1"/>
  <c r="BI796" i="26"/>
  <c r="BW796" i="26"/>
  <c r="BX796" i="26" s="1"/>
  <c r="BO796" i="26"/>
  <c r="BN796" i="26"/>
  <c r="BM796" i="26" l="1"/>
  <c r="BQ795" i="26" s="1"/>
  <c r="BP796" i="26" l="1"/>
  <c r="BR796" i="26" s="1"/>
  <c r="BO795" i="26"/>
  <c r="BN795" i="26"/>
  <c r="BW795" i="26"/>
  <c r="BX795" i="26" s="1"/>
  <c r="BI795" i="26"/>
  <c r="BM795" i="26" l="1"/>
  <c r="BQ794" i="26" s="1"/>
  <c r="BP795" i="26" l="1"/>
  <c r="BR795" i="26" s="1"/>
  <c r="BO794" i="26"/>
  <c r="BW794" i="26"/>
  <c r="BX794" i="26" s="1"/>
  <c r="BI794" i="26"/>
  <c r="BN794" i="26"/>
  <c r="BM794" i="26" l="1"/>
  <c r="BQ793" i="26" s="1"/>
  <c r="BP794" i="26" l="1"/>
  <c r="BR794" i="26" s="1"/>
  <c r="BO793" i="26"/>
  <c r="BW793" i="26"/>
  <c r="BX793" i="26" s="1"/>
  <c r="BN793" i="26"/>
  <c r="BI793" i="26"/>
  <c r="BM793" i="26" l="1"/>
  <c r="BQ792" i="26" s="1"/>
  <c r="BP793" i="26" l="1"/>
  <c r="BR793" i="26" s="1"/>
  <c r="BN792" i="26"/>
  <c r="BW792" i="26"/>
  <c r="BX792" i="26" s="1"/>
  <c r="BO792" i="26"/>
  <c r="BI792" i="26"/>
  <c r="BM792" i="26" l="1"/>
  <c r="BQ791" i="26" s="1"/>
  <c r="BP792" i="26" l="1"/>
  <c r="BR792" i="26" s="1"/>
  <c r="BW791" i="26"/>
  <c r="BX791" i="26" s="1"/>
  <c r="BO791" i="26"/>
  <c r="BI791" i="26"/>
  <c r="BN791" i="26"/>
  <c r="BM791" i="26" l="1"/>
  <c r="BQ790" i="26" s="1"/>
  <c r="BP791" i="26" l="1"/>
  <c r="BR791" i="26" s="1"/>
  <c r="BN790" i="26"/>
  <c r="BI790" i="26"/>
  <c r="BO790" i="26"/>
  <c r="BW790" i="26"/>
  <c r="BX790" i="26" s="1"/>
  <c r="BM790" i="26" l="1"/>
  <c r="BQ789" i="26" s="1"/>
  <c r="BP790" i="26" l="1"/>
  <c r="BR790" i="26" s="1"/>
  <c r="BI789" i="26"/>
  <c r="BW789" i="26"/>
  <c r="BX789" i="26" s="1"/>
  <c r="BO789" i="26"/>
  <c r="BN789" i="26"/>
  <c r="BM789" i="26" l="1"/>
  <c r="BQ788" i="26" s="1"/>
  <c r="BP789" i="26" l="1"/>
  <c r="BR789" i="26" s="1"/>
  <c r="BO788" i="26"/>
  <c r="BI788" i="26"/>
  <c r="BW788" i="26"/>
  <c r="BX788" i="26" s="1"/>
  <c r="BN788" i="26"/>
  <c r="BM788" i="26" l="1"/>
  <c r="BQ787" i="26" s="1"/>
  <c r="BP788" i="26" l="1"/>
  <c r="BR788" i="26" s="1"/>
  <c r="BW787" i="26"/>
  <c r="BX787" i="26" s="1"/>
  <c r="BI787" i="26"/>
  <c r="BN787" i="26"/>
  <c r="BO787" i="26"/>
  <c r="BM787" i="26" l="1"/>
  <c r="BQ786" i="26" s="1"/>
  <c r="BP787" i="26" l="1"/>
  <c r="BR787" i="26" s="1"/>
  <c r="BW786" i="26"/>
  <c r="BX786" i="26" s="1"/>
  <c r="BO786" i="26"/>
  <c r="BN786" i="26"/>
  <c r="BI786" i="26"/>
  <c r="BM786" i="26" l="1"/>
  <c r="BQ785" i="26" s="1"/>
  <c r="BP786" i="26" l="1"/>
  <c r="BR786" i="26" s="1"/>
  <c r="BN785" i="26"/>
  <c r="BO785" i="26"/>
  <c r="BI785" i="26"/>
  <c r="BW785" i="26"/>
  <c r="BX785" i="26" s="1"/>
  <c r="BM785" i="26" l="1"/>
  <c r="BQ784" i="26" s="1"/>
  <c r="BP785" i="26" l="1"/>
  <c r="BR785" i="26" s="1"/>
  <c r="BO784" i="26"/>
  <c r="BN784" i="26"/>
  <c r="BW784" i="26"/>
  <c r="BX784" i="26" s="1"/>
  <c r="BI784" i="26"/>
  <c r="BM784" i="26" l="1"/>
  <c r="BQ783" i="26" s="1"/>
  <c r="BP784" i="26" l="1"/>
  <c r="BR784" i="26" s="1"/>
  <c r="BI783" i="26"/>
  <c r="BN783" i="26"/>
  <c r="BO783" i="26"/>
  <c r="BW783" i="26"/>
  <c r="BX783" i="26" s="1"/>
  <c r="BM783" i="26" l="1"/>
  <c r="BQ782" i="26" s="1"/>
  <c r="BP783" i="26" l="1"/>
  <c r="BR783" i="26" s="1"/>
  <c r="BI782" i="26"/>
  <c r="BO782" i="26"/>
  <c r="BN782" i="26"/>
  <c r="BW782" i="26"/>
  <c r="BX782" i="26" s="1"/>
  <c r="BM782" i="26" l="1"/>
  <c r="BQ781" i="26" s="1"/>
  <c r="BP782" i="26" l="1"/>
  <c r="BR782" i="26" s="1"/>
  <c r="BI781" i="26"/>
  <c r="BW781" i="26"/>
  <c r="BX781" i="26" s="1"/>
  <c r="BO781" i="26"/>
  <c r="BN781" i="26"/>
  <c r="BM781" i="26" l="1"/>
  <c r="BQ780" i="26" s="1"/>
  <c r="BP781" i="26" l="1"/>
  <c r="BR781" i="26" s="1"/>
  <c r="BW780" i="26"/>
  <c r="BX780" i="26" s="1"/>
  <c r="BI780" i="26"/>
  <c r="BN780" i="26"/>
  <c r="BO780" i="26"/>
  <c r="BM780" i="26" l="1"/>
  <c r="BQ779" i="26" s="1"/>
  <c r="BP780" i="26" l="1"/>
  <c r="BR780" i="26" s="1"/>
  <c r="BN779" i="26"/>
  <c r="BI779" i="26"/>
  <c r="BO779" i="26"/>
  <c r="BW779" i="26"/>
  <c r="BX779" i="26" s="1"/>
  <c r="BM779" i="26" l="1"/>
  <c r="BQ778" i="26" s="1"/>
  <c r="BP779" i="26" l="1"/>
  <c r="BR779" i="26" s="1"/>
  <c r="BW778" i="26"/>
  <c r="BX778" i="26" s="1"/>
  <c r="BN778" i="26"/>
  <c r="BI778" i="26"/>
  <c r="BO778" i="26"/>
  <c r="BM778" i="26" l="1"/>
  <c r="BQ777" i="26" s="1"/>
  <c r="BP778" i="26" l="1"/>
  <c r="BR778" i="26" s="1"/>
  <c r="BI777" i="26"/>
  <c r="BW777" i="26"/>
  <c r="BX777" i="26" s="1"/>
  <c r="BO777" i="26"/>
  <c r="BN777" i="26"/>
  <c r="BM777" i="26" l="1"/>
  <c r="BQ776" i="26" s="1"/>
  <c r="BP777" i="26" l="1"/>
  <c r="BR777" i="26" s="1"/>
  <c r="BO776" i="26"/>
  <c r="BI776" i="26"/>
  <c r="BW776" i="26"/>
  <c r="BX776" i="26" s="1"/>
  <c r="BN776" i="26"/>
  <c r="BM776" i="26" l="1"/>
  <c r="BQ775" i="26" s="1"/>
  <c r="BP776" i="26" l="1"/>
  <c r="BR776" i="26" s="1"/>
  <c r="BW775" i="26"/>
  <c r="BX775" i="26" s="1"/>
  <c r="BI775" i="26"/>
  <c r="BO775" i="26"/>
  <c r="BN775" i="26"/>
  <c r="BM775" i="26" l="1"/>
  <c r="BQ774" i="26" s="1"/>
  <c r="BP775" i="26" l="1"/>
  <c r="BR775" i="26" s="1"/>
  <c r="BI774" i="26"/>
  <c r="BW774" i="26"/>
  <c r="BX774" i="26" s="1"/>
  <c r="BN774" i="26"/>
  <c r="BO774" i="26"/>
  <c r="BM774" i="26" l="1"/>
  <c r="BQ773" i="26" s="1"/>
  <c r="BP774" i="26" l="1"/>
  <c r="BR774" i="26" s="1"/>
  <c r="BW773" i="26"/>
  <c r="BX773" i="26" s="1"/>
  <c r="BI773" i="26"/>
  <c r="BN773" i="26"/>
  <c r="BO773" i="26"/>
  <c r="BM773" i="26" l="1"/>
  <c r="BQ772" i="26" s="1"/>
  <c r="BP773" i="26" l="1"/>
  <c r="BR773" i="26" s="1"/>
  <c r="BN772" i="26"/>
  <c r="BW772" i="26"/>
  <c r="BX772" i="26" s="1"/>
  <c r="BI772" i="26"/>
  <c r="BO772" i="26"/>
  <c r="BM772" i="26" l="1"/>
  <c r="BQ771" i="26" s="1"/>
  <c r="BP772" i="26" l="1"/>
  <c r="BR772" i="26" s="1"/>
  <c r="BN771" i="26"/>
  <c r="BI771" i="26"/>
  <c r="BW771" i="26"/>
  <c r="BX771" i="26" s="1"/>
  <c r="BO771" i="26"/>
  <c r="BM771" i="26" l="1"/>
  <c r="BQ770" i="26" s="1"/>
  <c r="BP771" i="26" l="1"/>
  <c r="BR771" i="26" s="1"/>
  <c r="BI770" i="26"/>
  <c r="BO770" i="26"/>
  <c r="BW770" i="26"/>
  <c r="BX770" i="26" s="1"/>
  <c r="BN770" i="26"/>
  <c r="BM770" i="26" l="1"/>
  <c r="BQ769" i="26" s="1"/>
  <c r="BP770" i="26" l="1"/>
  <c r="BR770" i="26" s="1"/>
  <c r="BI769" i="26"/>
  <c r="BW769" i="26"/>
  <c r="BX769" i="26" s="1"/>
  <c r="BO769" i="26"/>
  <c r="BN769" i="26"/>
  <c r="BM769" i="26" l="1"/>
  <c r="BQ768" i="26" s="1"/>
  <c r="BP769" i="26" l="1"/>
  <c r="BR769" i="26" s="1"/>
  <c r="BI768" i="26"/>
  <c r="BW768" i="26"/>
  <c r="BX768" i="26" s="1"/>
  <c r="BN768" i="26"/>
  <c r="BO768" i="26"/>
  <c r="BM768" i="26" l="1"/>
  <c r="BQ767" i="26" s="1"/>
  <c r="BP768" i="26" l="1"/>
  <c r="BR768" i="26" s="1"/>
  <c r="BO767" i="26"/>
  <c r="BW767" i="26"/>
  <c r="BX767" i="26" s="1"/>
  <c r="BN767" i="26"/>
  <c r="BI767" i="26"/>
  <c r="BM767" i="26" l="1"/>
  <c r="BQ766" i="26" s="1"/>
  <c r="BP767" i="26" l="1"/>
  <c r="BR767" i="26" s="1"/>
  <c r="BO766" i="26"/>
  <c r="BI766" i="26"/>
  <c r="BN766" i="26"/>
  <c r="BW766" i="26"/>
  <c r="BX766" i="26" s="1"/>
  <c r="BM766" i="26" l="1"/>
  <c r="BQ765" i="26" s="1"/>
  <c r="BP766" i="26" l="1"/>
  <c r="BR766" i="26" s="1"/>
  <c r="BN765" i="26"/>
  <c r="BW765" i="26"/>
  <c r="BX765" i="26" s="1"/>
  <c r="BI765" i="26"/>
  <c r="BO765" i="26"/>
  <c r="BM765" i="26" l="1"/>
  <c r="BQ764" i="26" s="1"/>
  <c r="BP765" i="26" l="1"/>
  <c r="BR765" i="26" s="1"/>
  <c r="BW764" i="26"/>
  <c r="BX764" i="26" s="1"/>
  <c r="BI764" i="26"/>
  <c r="BN764" i="26"/>
  <c r="BO764" i="26"/>
  <c r="BM764" i="26" l="1"/>
  <c r="BQ763" i="26" s="1"/>
  <c r="BP764" i="26" l="1"/>
  <c r="BR764" i="26" s="1"/>
  <c r="BN763" i="26"/>
  <c r="BO763" i="26"/>
  <c r="BI763" i="26"/>
  <c r="BW763" i="26"/>
  <c r="BX763" i="26" s="1"/>
  <c r="BM763" i="26" l="1"/>
  <c r="BQ762" i="26" s="1"/>
  <c r="BP763" i="26" l="1"/>
  <c r="BR763" i="26" s="1"/>
  <c r="BN762" i="26"/>
  <c r="BI762" i="26"/>
  <c r="BW762" i="26"/>
  <c r="BX762" i="26" s="1"/>
  <c r="BO762" i="26"/>
  <c r="BM762" i="26" l="1"/>
  <c r="BQ761" i="26" s="1"/>
  <c r="BP762" i="26" l="1"/>
  <c r="BR762" i="26" s="1"/>
  <c r="BW761" i="26"/>
  <c r="BX761" i="26" s="1"/>
  <c r="BN761" i="26"/>
  <c r="BI761" i="26"/>
  <c r="BO761" i="26"/>
  <c r="BM761" i="26" l="1"/>
  <c r="BQ760" i="26" s="1"/>
  <c r="BP761" i="26" l="1"/>
  <c r="BR761" i="26" s="1"/>
  <c r="BN760" i="26"/>
  <c r="BO760" i="26"/>
  <c r="BI760" i="26"/>
  <c r="BW760" i="26"/>
  <c r="BX760" i="26" s="1"/>
  <c r="BM760" i="26" l="1"/>
  <c r="BQ759" i="26" s="1"/>
  <c r="BP760" i="26" l="1"/>
  <c r="BR760" i="26" s="1"/>
  <c r="BO759" i="26"/>
  <c r="BI759" i="26"/>
  <c r="BW759" i="26"/>
  <c r="BX759" i="26" s="1"/>
  <c r="BN759" i="26"/>
  <c r="BM759" i="26" l="1"/>
  <c r="BQ758" i="26" s="1"/>
  <c r="BP759" i="26" l="1"/>
  <c r="BR759" i="26" s="1"/>
  <c r="BI758" i="26"/>
  <c r="BN758" i="26"/>
  <c r="BO758" i="26"/>
  <c r="BW758" i="26"/>
  <c r="BX758" i="26" s="1"/>
  <c r="BM758" i="26" l="1"/>
  <c r="BQ757" i="26" s="1"/>
  <c r="BP758" i="26" l="1"/>
  <c r="BR758" i="26" s="1"/>
  <c r="BI757" i="26"/>
  <c r="BN757" i="26"/>
  <c r="BW757" i="26"/>
  <c r="BX757" i="26" s="1"/>
  <c r="BO757" i="26"/>
  <c r="BM757" i="26" l="1"/>
  <c r="BQ756" i="26" s="1"/>
  <c r="BP757" i="26" l="1"/>
  <c r="BR757" i="26" s="1"/>
  <c r="BO756" i="26"/>
  <c r="BI756" i="26"/>
  <c r="BW756" i="26"/>
  <c r="BX756" i="26" s="1"/>
  <c r="BN756" i="26"/>
  <c r="BM756" i="26" l="1"/>
  <c r="BQ755" i="26" s="1"/>
  <c r="BP756" i="26" l="1"/>
  <c r="BR756" i="26" s="1"/>
  <c r="BW755" i="26"/>
  <c r="BX755" i="26" s="1"/>
  <c r="BO755" i="26"/>
  <c r="BN755" i="26"/>
  <c r="BI755" i="26"/>
  <c r="BM755" i="26" l="1"/>
  <c r="BQ754" i="26" s="1"/>
  <c r="BP755" i="26" l="1"/>
  <c r="BR755" i="26" s="1"/>
  <c r="BO754" i="26"/>
  <c r="BN754" i="26"/>
  <c r="BW754" i="26"/>
  <c r="BX754" i="26" s="1"/>
  <c r="BI754" i="26"/>
  <c r="BM754" i="26" l="1"/>
  <c r="BQ753" i="26" s="1"/>
  <c r="BP754" i="26" l="1"/>
  <c r="BR754" i="26" s="1"/>
  <c r="BN753" i="26"/>
  <c r="BI753" i="26"/>
  <c r="BO753" i="26"/>
  <c r="BW753" i="26"/>
  <c r="BX753" i="26" s="1"/>
  <c r="BM753" i="26" l="1"/>
  <c r="BQ752" i="26" s="1"/>
  <c r="BP753" i="26" l="1"/>
  <c r="BR753" i="26" s="1"/>
  <c r="BN752" i="26"/>
  <c r="BO752" i="26"/>
  <c r="BW752" i="26"/>
  <c r="BX752" i="26" s="1"/>
  <c r="BI752" i="26"/>
  <c r="BM752" i="26" l="1"/>
  <c r="BQ751" i="26" s="1"/>
  <c r="BP752" i="26" l="1"/>
  <c r="BR752" i="26" s="1"/>
  <c r="BN751" i="26"/>
  <c r="BW751" i="26"/>
  <c r="BX751" i="26" s="1"/>
  <c r="BO751" i="26"/>
  <c r="BI751" i="26"/>
  <c r="BM751" i="26" l="1"/>
  <c r="BQ750" i="26" s="1"/>
  <c r="BP751" i="26" l="1"/>
  <c r="BR751" i="26" s="1"/>
  <c r="BN750" i="26"/>
  <c r="BO750" i="26"/>
  <c r="BI750" i="26"/>
  <c r="BW750" i="26"/>
  <c r="BX750" i="26" s="1"/>
  <c r="BM750" i="26" l="1"/>
  <c r="BQ749" i="26" s="1"/>
  <c r="BP750" i="26" l="1"/>
  <c r="BR750" i="26" s="1"/>
  <c r="BI749" i="26"/>
  <c r="BW749" i="26"/>
  <c r="BX749" i="26" s="1"/>
  <c r="BN749" i="26"/>
  <c r="BO749" i="26"/>
  <c r="BM749" i="26" l="1"/>
  <c r="BQ748" i="26" s="1"/>
  <c r="BP749" i="26" l="1"/>
  <c r="BR749" i="26" s="1"/>
  <c r="BI748" i="26"/>
  <c r="BO748" i="26"/>
  <c r="BW748" i="26"/>
  <c r="BX748" i="26" s="1"/>
  <c r="BN748" i="26"/>
  <c r="BM748" i="26" l="1"/>
  <c r="BQ747" i="26" s="1"/>
  <c r="BP748" i="26" l="1"/>
  <c r="BR748" i="26" s="1"/>
  <c r="BI747" i="26"/>
  <c r="BO747" i="26"/>
  <c r="BN747" i="26"/>
  <c r="BW747" i="26"/>
  <c r="BX747" i="26" s="1"/>
  <c r="BM747" i="26" l="1"/>
  <c r="BQ746" i="26" s="1"/>
  <c r="BP747" i="26" l="1"/>
  <c r="BR747" i="26" s="1"/>
  <c r="BN746" i="26"/>
  <c r="BW746" i="26"/>
  <c r="BX746" i="26" s="1"/>
  <c r="BO746" i="26"/>
  <c r="BI746" i="26"/>
  <c r="BM746" i="26" l="1"/>
  <c r="BQ745" i="26" s="1"/>
  <c r="BP746" i="26" l="1"/>
  <c r="BR746" i="26" s="1"/>
  <c r="BN745" i="26"/>
  <c r="BI745" i="26"/>
  <c r="BO745" i="26"/>
  <c r="BW745" i="26"/>
  <c r="BX745" i="26" s="1"/>
  <c r="BM745" i="26" l="1"/>
  <c r="BQ744" i="26" s="1"/>
  <c r="BP745" i="26" l="1"/>
  <c r="BR745" i="26" s="1"/>
  <c r="BN744" i="26"/>
  <c r="BW744" i="26"/>
  <c r="BX744" i="26" s="1"/>
  <c r="BO744" i="26"/>
  <c r="BI744" i="26"/>
  <c r="BM744" i="26" l="1"/>
  <c r="BQ743" i="26" s="1"/>
  <c r="BP744" i="26" l="1"/>
  <c r="BR744" i="26" s="1"/>
  <c r="BW743" i="26"/>
  <c r="BX743" i="26" s="1"/>
  <c r="BO743" i="26"/>
  <c r="BI743" i="26"/>
  <c r="BN743" i="26"/>
  <c r="BM743" i="26" l="1"/>
  <c r="BQ742" i="26" s="1"/>
  <c r="BP743" i="26" l="1"/>
  <c r="BR743" i="26" s="1"/>
  <c r="BW742" i="26"/>
  <c r="BX742" i="26" s="1"/>
  <c r="BI742" i="26"/>
  <c r="BO742" i="26"/>
  <c r="BN742" i="26"/>
  <c r="BM742" i="26" l="1"/>
  <c r="BQ741" i="26" s="1"/>
  <c r="BP742" i="26" l="1"/>
  <c r="BR742" i="26" s="1"/>
  <c r="BN741" i="26"/>
  <c r="BW741" i="26"/>
  <c r="BX741" i="26" s="1"/>
  <c r="BI741" i="26"/>
  <c r="BO741" i="26"/>
  <c r="BM741" i="26" l="1"/>
  <c r="BQ740" i="26" s="1"/>
  <c r="BP741" i="26" l="1"/>
  <c r="BR741" i="26" s="1"/>
  <c r="BI740" i="26"/>
  <c r="BN740" i="26"/>
  <c r="BO740" i="26"/>
  <c r="BW740" i="26"/>
  <c r="BX740" i="26" s="1"/>
  <c r="BM740" i="26" l="1"/>
  <c r="BQ739" i="26" s="1"/>
  <c r="BP740" i="26" l="1"/>
  <c r="BR740" i="26" s="1"/>
  <c r="BN739" i="26"/>
  <c r="BI739" i="26"/>
  <c r="BO739" i="26"/>
  <c r="BW739" i="26"/>
  <c r="BX739" i="26" s="1"/>
  <c r="BM739" i="26" l="1"/>
  <c r="BQ738" i="26" s="1"/>
  <c r="BP739" i="26" l="1"/>
  <c r="BR739" i="26" s="1"/>
  <c r="BI738" i="26"/>
  <c r="BW738" i="26"/>
  <c r="BX738" i="26" s="1"/>
  <c r="BN738" i="26"/>
  <c r="BO738" i="26"/>
  <c r="BM738" i="26" l="1"/>
  <c r="BQ737" i="26" s="1"/>
  <c r="BP738" i="26" l="1"/>
  <c r="BR738" i="26" s="1"/>
  <c r="BO737" i="26"/>
  <c r="BW737" i="26"/>
  <c r="BX737" i="26" s="1"/>
  <c r="BI737" i="26"/>
  <c r="BN737" i="26"/>
  <c r="BM737" i="26" l="1"/>
  <c r="BQ736" i="26" s="1"/>
  <c r="BP737" i="26" l="1"/>
  <c r="BR737" i="26" s="1"/>
  <c r="BN736" i="26"/>
  <c r="BW736" i="26"/>
  <c r="BX736" i="26" s="1"/>
  <c r="BO736" i="26"/>
  <c r="BI736" i="26"/>
  <c r="BM736" i="26" l="1"/>
  <c r="BQ735" i="26" s="1"/>
  <c r="BP736" i="26" l="1"/>
  <c r="BR736" i="26" s="1"/>
  <c r="BW735" i="26"/>
  <c r="BX735" i="26" s="1"/>
  <c r="BI735" i="26"/>
  <c r="BO735" i="26"/>
  <c r="BN735" i="26"/>
  <c r="BM735" i="26" l="1"/>
  <c r="BQ734" i="26" s="1"/>
  <c r="BP735" i="26" l="1"/>
  <c r="BR735" i="26" s="1"/>
  <c r="BW734" i="26"/>
  <c r="BX734" i="26" s="1"/>
  <c r="BO734" i="26"/>
  <c r="BN734" i="26"/>
  <c r="BI734" i="26"/>
  <c r="BM734" i="26" l="1"/>
  <c r="BQ733" i="26" s="1"/>
  <c r="BP734" i="26" l="1"/>
  <c r="BR734" i="26" s="1"/>
  <c r="BN733" i="26"/>
  <c r="BI733" i="26"/>
  <c r="BW733" i="26"/>
  <c r="BX733" i="26" s="1"/>
  <c r="BO733" i="26"/>
  <c r="BM733" i="26" l="1"/>
  <c r="BQ732" i="26" s="1"/>
  <c r="BP733" i="26" l="1"/>
  <c r="BR733" i="26" s="1"/>
  <c r="BN732" i="26"/>
  <c r="BO732" i="26"/>
  <c r="BI732" i="26"/>
  <c r="BW732" i="26"/>
  <c r="BX732" i="26" s="1"/>
  <c r="BM732" i="26" l="1"/>
  <c r="BQ731" i="26" s="1"/>
  <c r="BP732" i="26" l="1"/>
  <c r="BR732" i="26" s="1"/>
  <c r="BO731" i="26"/>
  <c r="BN731" i="26"/>
  <c r="BW731" i="26"/>
  <c r="BX731" i="26" s="1"/>
  <c r="BI731" i="26"/>
  <c r="BM731" i="26" l="1"/>
  <c r="BQ730" i="26" s="1"/>
  <c r="BP731" i="26" l="1"/>
  <c r="BR731" i="26" s="1"/>
  <c r="BI730" i="26"/>
  <c r="BN730" i="26"/>
  <c r="BW730" i="26"/>
  <c r="BX730" i="26" s="1"/>
  <c r="BO730" i="26"/>
  <c r="BM730" i="26" l="1"/>
  <c r="BQ729" i="26" s="1"/>
  <c r="BP730" i="26" l="1"/>
  <c r="BR730" i="26" s="1"/>
  <c r="BO729" i="26"/>
  <c r="BW729" i="26"/>
  <c r="BX729" i="26" s="1"/>
  <c r="BN729" i="26"/>
  <c r="BI729" i="26"/>
  <c r="BM729" i="26" l="1"/>
  <c r="BQ728" i="26" s="1"/>
  <c r="BP729" i="26" l="1"/>
  <c r="BR729" i="26" s="1"/>
  <c r="BN728" i="26"/>
  <c r="BI728" i="26"/>
  <c r="BO728" i="26"/>
  <c r="BW728" i="26"/>
  <c r="BX728" i="26" s="1"/>
  <c r="BM728" i="26" l="1"/>
  <c r="BQ727" i="26" s="1"/>
  <c r="BP728" i="26" l="1"/>
  <c r="BR728" i="26" s="1"/>
  <c r="BO727" i="26"/>
  <c r="BN727" i="26"/>
  <c r="BI727" i="26"/>
  <c r="BW727" i="26"/>
  <c r="BX727" i="26" s="1"/>
  <c r="BM727" i="26" l="1"/>
  <c r="BQ726" i="26" s="1"/>
  <c r="BP727" i="26" l="1"/>
  <c r="BR727" i="26" s="1"/>
  <c r="BW726" i="26"/>
  <c r="BX726" i="26" s="1"/>
  <c r="BO726" i="26"/>
  <c r="BN726" i="26"/>
  <c r="BI726" i="26"/>
  <c r="BM726" i="26" l="1"/>
  <c r="BQ725" i="26" s="1"/>
  <c r="BP726" i="26" l="1"/>
  <c r="BR726" i="26" s="1"/>
  <c r="BW725" i="26"/>
  <c r="BX725" i="26" s="1"/>
  <c r="BN725" i="26"/>
  <c r="BO725" i="26"/>
  <c r="BI725" i="26"/>
  <c r="BM725" i="26" l="1"/>
  <c r="BQ724" i="26" s="1"/>
  <c r="BP725" i="26" l="1"/>
  <c r="BR725" i="26" s="1"/>
  <c r="BN724" i="26"/>
  <c r="BO724" i="26"/>
  <c r="BW724" i="26"/>
  <c r="BX724" i="26" s="1"/>
  <c r="BI724" i="26"/>
  <c r="BM724" i="26" l="1"/>
  <c r="BQ723" i="26" s="1"/>
  <c r="BP724" i="26" l="1"/>
  <c r="BR724" i="26" s="1"/>
  <c r="BI723" i="26"/>
  <c r="BO723" i="26"/>
  <c r="BW723" i="26"/>
  <c r="BX723" i="26" s="1"/>
  <c r="BN723" i="26"/>
  <c r="BM723" i="26" l="1"/>
  <c r="BQ722" i="26" s="1"/>
  <c r="BP723" i="26" l="1"/>
  <c r="BR723" i="26" s="1"/>
  <c r="BN722" i="26"/>
  <c r="BO722" i="26"/>
  <c r="BW722" i="26"/>
  <c r="BX722" i="26" s="1"/>
  <c r="BI722" i="26"/>
  <c r="BM722" i="26" l="1"/>
  <c r="BQ721" i="26" s="1"/>
  <c r="BP722" i="26" l="1"/>
  <c r="BR722" i="26" s="1"/>
  <c r="BI721" i="26"/>
  <c r="BN721" i="26"/>
  <c r="BO721" i="26"/>
  <c r="BW721" i="26"/>
  <c r="BX721" i="26" s="1"/>
  <c r="BM721" i="26" l="1"/>
  <c r="BQ720" i="26" s="1"/>
  <c r="BP721" i="26" l="1"/>
  <c r="BR721" i="26" s="1"/>
  <c r="BO720" i="26"/>
  <c r="BN720" i="26"/>
  <c r="BW720" i="26"/>
  <c r="BX720" i="26" s="1"/>
  <c r="BI720" i="26"/>
  <c r="BM720" i="26" l="1"/>
  <c r="BQ719" i="26" s="1"/>
  <c r="BP720" i="26" l="1"/>
  <c r="BR720" i="26" s="1"/>
  <c r="BI719" i="26"/>
  <c r="BW719" i="26"/>
  <c r="BX719" i="26" s="1"/>
  <c r="BO719" i="26"/>
  <c r="BN719" i="26"/>
  <c r="BM719" i="26" l="1"/>
  <c r="BQ718" i="26" s="1"/>
  <c r="BP719" i="26" l="1"/>
  <c r="BR719" i="26" s="1"/>
  <c r="BN718" i="26"/>
  <c r="BW718" i="26"/>
  <c r="BX718" i="26" s="1"/>
  <c r="BI718" i="26"/>
  <c r="BO718" i="26"/>
  <c r="BM718" i="26" l="1"/>
  <c r="BQ717" i="26" s="1"/>
  <c r="BP718" i="26" l="1"/>
  <c r="BR718" i="26" s="1"/>
  <c r="BN717" i="26"/>
  <c r="BI717" i="26"/>
  <c r="BO717" i="26"/>
  <c r="BW717" i="26"/>
  <c r="BX717" i="26" s="1"/>
  <c r="BM717" i="26" l="1"/>
  <c r="BQ716" i="26" s="1"/>
  <c r="BP717" i="26" l="1"/>
  <c r="BR717" i="26" s="1"/>
  <c r="BO716" i="26"/>
  <c r="BN716" i="26"/>
  <c r="BW716" i="26"/>
  <c r="BX716" i="26" s="1"/>
  <c r="BI716" i="26"/>
  <c r="BM716" i="26" l="1"/>
  <c r="BQ715" i="26" s="1"/>
  <c r="BP716" i="26" l="1"/>
  <c r="BR716" i="26" s="1"/>
  <c r="BN715" i="26"/>
  <c r="BW715" i="26"/>
  <c r="BX715" i="26" s="1"/>
  <c r="BO715" i="26"/>
  <c r="BI715" i="26"/>
  <c r="BM715" i="26" l="1"/>
  <c r="BQ714" i="26" s="1"/>
  <c r="BP715" i="26" l="1"/>
  <c r="BR715" i="26" s="1"/>
  <c r="BN714" i="26"/>
  <c r="BI714" i="26"/>
  <c r="BO714" i="26"/>
  <c r="BW714" i="26"/>
  <c r="BX714" i="26" s="1"/>
  <c r="BM714" i="26" l="1"/>
  <c r="BQ713" i="26" s="1"/>
  <c r="BP714" i="26" l="1"/>
  <c r="BR714" i="26" s="1"/>
  <c r="BI713" i="26"/>
  <c r="BN713" i="26"/>
  <c r="BW713" i="26"/>
  <c r="BX713" i="26" s="1"/>
  <c r="BO713" i="26"/>
  <c r="BM713" i="26" l="1"/>
  <c r="BQ712" i="26" s="1"/>
  <c r="BP713" i="26" l="1"/>
  <c r="BR713" i="26" s="1"/>
  <c r="BO712" i="26"/>
  <c r="BN712" i="26"/>
  <c r="BW712" i="26"/>
  <c r="BX712" i="26" s="1"/>
  <c r="BI712" i="26"/>
  <c r="BM712" i="26" l="1"/>
  <c r="BQ711" i="26" s="1"/>
  <c r="BP712" i="26" l="1"/>
  <c r="BR712" i="26" s="1"/>
  <c r="BO711" i="26"/>
  <c r="BN711" i="26"/>
  <c r="BI711" i="26"/>
  <c r="BW711" i="26"/>
  <c r="BX711" i="26" s="1"/>
  <c r="BM711" i="26" l="1"/>
  <c r="BQ710" i="26" s="1"/>
  <c r="BP711" i="26" l="1"/>
  <c r="BR711" i="26" s="1"/>
  <c r="BI710" i="26"/>
  <c r="BO710" i="26"/>
  <c r="BN710" i="26"/>
  <c r="BW710" i="26"/>
  <c r="BX710" i="26" s="1"/>
  <c r="BM710" i="26" l="1"/>
  <c r="BQ709" i="26" s="1"/>
  <c r="BP710" i="26" l="1"/>
  <c r="BR710" i="26" s="1"/>
  <c r="BO709" i="26"/>
  <c r="BI709" i="26"/>
  <c r="BW709" i="26"/>
  <c r="BX709" i="26" s="1"/>
  <c r="BN709" i="26"/>
  <c r="BM709" i="26" l="1"/>
  <c r="BQ708" i="26" s="1"/>
  <c r="BP709" i="26" l="1"/>
  <c r="BR709" i="26" s="1"/>
  <c r="BO708" i="26"/>
  <c r="BI708" i="26"/>
  <c r="BN708" i="26"/>
  <c r="BW708" i="26"/>
  <c r="BX708" i="26" s="1"/>
  <c r="BM708" i="26" l="1"/>
  <c r="BQ707" i="26" s="1"/>
  <c r="BP708" i="26" l="1"/>
  <c r="BR708" i="26" s="1"/>
  <c r="BO707" i="26"/>
  <c r="BI707" i="26"/>
  <c r="BW707" i="26"/>
  <c r="BX707" i="26" s="1"/>
  <c r="BN707" i="26"/>
  <c r="BM707" i="26" l="1"/>
  <c r="BQ706" i="26" s="1"/>
  <c r="BP707" i="26" l="1"/>
  <c r="BR707" i="26" s="1"/>
  <c r="BO706" i="26"/>
  <c r="BI706" i="26"/>
  <c r="BN706" i="26"/>
  <c r="BW706" i="26"/>
  <c r="BX706" i="26" s="1"/>
  <c r="BM706" i="26" l="1"/>
  <c r="BQ705" i="26" s="1"/>
  <c r="BP706" i="26" l="1"/>
  <c r="BR706" i="26" s="1"/>
  <c r="BO705" i="26"/>
  <c r="BI705" i="26"/>
  <c r="BN705" i="26"/>
  <c r="BW705" i="26"/>
  <c r="BX705" i="26" s="1"/>
  <c r="BM705" i="26" l="1"/>
  <c r="BQ704" i="26" s="1"/>
  <c r="BP705" i="26" l="1"/>
  <c r="BR705" i="26" s="1"/>
  <c r="BI704" i="26"/>
  <c r="BN704" i="26"/>
  <c r="BO704" i="26"/>
  <c r="BW704" i="26"/>
  <c r="BX704" i="26" s="1"/>
  <c r="BM704" i="26" l="1"/>
  <c r="BQ703" i="26" s="1"/>
  <c r="BP704" i="26" l="1"/>
  <c r="BR704" i="26" s="1"/>
  <c r="BO703" i="26"/>
  <c r="BW703" i="26"/>
  <c r="BX703" i="26" s="1"/>
  <c r="BN703" i="26"/>
  <c r="BI703" i="26"/>
  <c r="BM703" i="26" l="1"/>
  <c r="BQ702" i="26" s="1"/>
  <c r="BP703" i="26" l="1"/>
  <c r="BR703" i="26" s="1"/>
  <c r="BO702" i="26"/>
  <c r="BN702" i="26"/>
  <c r="BI702" i="26"/>
  <c r="BW702" i="26"/>
  <c r="BX702" i="26" s="1"/>
  <c r="BM702" i="26" l="1"/>
  <c r="BQ701" i="26" s="1"/>
  <c r="BP702" i="26" l="1"/>
  <c r="BR702" i="26" s="1"/>
  <c r="BN701" i="26"/>
  <c r="BI701" i="26"/>
  <c r="BW701" i="26"/>
  <c r="BX701" i="26" s="1"/>
  <c r="BO701" i="26"/>
  <c r="BM701" i="26" l="1"/>
  <c r="BQ700" i="26" s="1"/>
  <c r="BP701" i="26" l="1"/>
  <c r="BR701" i="26" s="1"/>
  <c r="BO700" i="26"/>
  <c r="BN700" i="26"/>
  <c r="BW700" i="26"/>
  <c r="BX700" i="26" s="1"/>
  <c r="BI700" i="26"/>
  <c r="BM700" i="26" l="1"/>
  <c r="BQ699" i="26" s="1"/>
  <c r="BP700" i="26" l="1"/>
  <c r="BR700" i="26" s="1"/>
  <c r="BO699" i="26"/>
  <c r="BW699" i="26"/>
  <c r="BX699" i="26" s="1"/>
  <c r="BI699" i="26"/>
  <c r="BN699" i="26"/>
  <c r="BM699" i="26" l="1"/>
  <c r="BQ698" i="26" s="1"/>
  <c r="BP699" i="26" l="1"/>
  <c r="BR699" i="26" s="1"/>
  <c r="BO698" i="26"/>
  <c r="BW698" i="26"/>
  <c r="BX698" i="26" s="1"/>
  <c r="BN698" i="26"/>
  <c r="BI698" i="26"/>
  <c r="BM698" i="26" l="1"/>
  <c r="BQ697" i="26" s="1"/>
  <c r="BP698" i="26" l="1"/>
  <c r="BR698" i="26" s="1"/>
  <c r="BI697" i="26"/>
  <c r="BN697" i="26"/>
  <c r="BW697" i="26"/>
  <c r="BX697" i="26" s="1"/>
  <c r="BO697" i="26"/>
  <c r="BM697" i="26" l="1"/>
  <c r="BQ696" i="26" s="1"/>
  <c r="BP697" i="26" l="1"/>
  <c r="BR697" i="26" s="1"/>
  <c r="BO696" i="26"/>
  <c r="BW696" i="26"/>
  <c r="BX696" i="26" s="1"/>
  <c r="BN696" i="26"/>
  <c r="BI696" i="26"/>
  <c r="BM696" i="26" l="1"/>
  <c r="BQ695" i="26" s="1"/>
  <c r="BP696" i="26" l="1"/>
  <c r="BR696" i="26" s="1"/>
  <c r="BO695" i="26"/>
  <c r="BI695" i="26"/>
  <c r="BN695" i="26"/>
  <c r="BW695" i="26"/>
  <c r="BX695" i="26" s="1"/>
  <c r="BM695" i="26" l="1"/>
  <c r="BQ694" i="26" s="1"/>
  <c r="BP695" i="26" l="1"/>
  <c r="BR695" i="26" s="1"/>
  <c r="BO694" i="26"/>
  <c r="BW694" i="26"/>
  <c r="BX694" i="26" s="1"/>
  <c r="BN694" i="26"/>
  <c r="BI694" i="26"/>
  <c r="BM694" i="26" l="1"/>
  <c r="BQ693" i="26" s="1"/>
  <c r="BP694" i="26" l="1"/>
  <c r="BR694" i="26" s="1"/>
  <c r="BW693" i="26"/>
  <c r="BX693" i="26" s="1"/>
  <c r="BI693" i="26"/>
  <c r="BN693" i="26"/>
  <c r="BO693" i="26"/>
  <c r="BM693" i="26" l="1"/>
  <c r="BQ692" i="26" s="1"/>
  <c r="BP693" i="26" l="1"/>
  <c r="BR693" i="26" s="1"/>
  <c r="BN692" i="26"/>
  <c r="BO692" i="26"/>
  <c r="BW692" i="26"/>
  <c r="BX692" i="26" s="1"/>
  <c r="BI692" i="26"/>
  <c r="BM692" i="26" l="1"/>
  <c r="BQ691" i="26" s="1"/>
  <c r="BP692" i="26" l="1"/>
  <c r="BR692" i="26" s="1"/>
  <c r="BW691" i="26"/>
  <c r="BX691" i="26" s="1"/>
  <c r="BN691" i="26"/>
  <c r="BI691" i="26"/>
  <c r="BO691" i="26"/>
  <c r="BM691" i="26" l="1"/>
  <c r="BQ690" i="26" s="1"/>
  <c r="BP691" i="26" l="1"/>
  <c r="BR691" i="26" s="1"/>
  <c r="BI690" i="26"/>
  <c r="BO690" i="26"/>
  <c r="BN690" i="26"/>
  <c r="BW690" i="26"/>
  <c r="BX690" i="26" s="1"/>
  <c r="BM690" i="26" l="1"/>
  <c r="BQ689" i="26" s="1"/>
  <c r="BP690" i="26" l="1"/>
  <c r="BR690" i="26" s="1"/>
  <c r="BN689" i="26"/>
  <c r="BO689" i="26"/>
  <c r="BI689" i="26"/>
  <c r="BW689" i="26"/>
  <c r="BX689" i="26" s="1"/>
  <c r="BM689" i="26" l="1"/>
  <c r="BQ688" i="26" s="1"/>
  <c r="BP689" i="26" l="1"/>
  <c r="BR689" i="26" s="1"/>
  <c r="BW688" i="26"/>
  <c r="BX688" i="26" s="1"/>
  <c r="BI688" i="26"/>
  <c r="BN688" i="26"/>
  <c r="BO688" i="26"/>
  <c r="BM688" i="26" l="1"/>
  <c r="BQ687" i="26" s="1"/>
  <c r="BP688" i="26" l="1"/>
  <c r="BR688" i="26" s="1"/>
  <c r="BW687" i="26"/>
  <c r="BX687" i="26" s="1"/>
  <c r="BO687" i="26"/>
  <c r="BI687" i="26"/>
  <c r="BN687" i="26"/>
  <c r="BM687" i="26" l="1"/>
  <c r="BQ686" i="26" s="1"/>
  <c r="BP687" i="26" l="1"/>
  <c r="BR687" i="26" s="1"/>
  <c r="BW686" i="26"/>
  <c r="BX686" i="26" s="1"/>
  <c r="BO686" i="26"/>
  <c r="BN686" i="26"/>
  <c r="BI686" i="26"/>
  <c r="BM686" i="26" l="1"/>
  <c r="BQ685" i="26" s="1"/>
  <c r="BP686" i="26" l="1"/>
  <c r="BR686" i="26" s="1"/>
  <c r="BW685" i="26"/>
  <c r="BX685" i="26" s="1"/>
  <c r="BI685" i="26"/>
  <c r="BN685" i="26"/>
  <c r="BO685" i="26"/>
  <c r="BM685" i="26" l="1"/>
  <c r="BQ684" i="26" s="1"/>
  <c r="BP685" i="26" l="1"/>
  <c r="BR685" i="26" s="1"/>
  <c r="BI684" i="26"/>
  <c r="BW684" i="26"/>
  <c r="BX684" i="26" s="1"/>
  <c r="BN684" i="26"/>
  <c r="BO684" i="26"/>
  <c r="BM684" i="26" l="1"/>
  <c r="BQ683" i="26" s="1"/>
  <c r="BP684" i="26" l="1"/>
  <c r="BR684" i="26" s="1"/>
  <c r="BI683" i="26"/>
  <c r="BN683" i="26"/>
  <c r="BW683" i="26"/>
  <c r="BX683" i="26" s="1"/>
  <c r="BO683" i="26"/>
  <c r="BM683" i="26" l="1"/>
  <c r="BQ682" i="26" s="1"/>
  <c r="BP683" i="26" l="1"/>
  <c r="BR683" i="26" s="1"/>
  <c r="BN682" i="26"/>
  <c r="BI682" i="26"/>
  <c r="BW682" i="26"/>
  <c r="BX682" i="26" s="1"/>
  <c r="BO682" i="26"/>
  <c r="BM682" i="26" l="1"/>
  <c r="BQ681" i="26" s="1"/>
  <c r="BP682" i="26" l="1"/>
  <c r="BR682" i="26" s="1"/>
  <c r="BW681" i="26"/>
  <c r="BX681" i="26" s="1"/>
  <c r="BI681" i="26"/>
  <c r="BN681" i="26"/>
  <c r="BO681" i="26"/>
  <c r="BM681" i="26" l="1"/>
  <c r="BQ680" i="26" s="1"/>
  <c r="BP681" i="26" l="1"/>
  <c r="BR681" i="26" s="1"/>
  <c r="BI680" i="26"/>
  <c r="BW680" i="26"/>
  <c r="BX680" i="26" s="1"/>
  <c r="BN680" i="26"/>
  <c r="BO680" i="26"/>
  <c r="BM680" i="26" l="1"/>
  <c r="BQ679" i="26" s="1"/>
  <c r="BP680" i="26" l="1"/>
  <c r="BR680" i="26" s="1"/>
  <c r="BI679" i="26"/>
  <c r="BN679" i="26"/>
  <c r="BO679" i="26"/>
  <c r="BW679" i="26"/>
  <c r="BX679" i="26" s="1"/>
  <c r="BM679" i="26" l="1"/>
  <c r="BQ678" i="26" s="1"/>
  <c r="BP679" i="26" l="1"/>
  <c r="BR679" i="26" s="1"/>
  <c r="BN678" i="26"/>
  <c r="BO678" i="26"/>
  <c r="BI678" i="26"/>
  <c r="BW678" i="26"/>
  <c r="BX678" i="26" s="1"/>
  <c r="BM678" i="26" l="1"/>
  <c r="BQ677" i="26" s="1"/>
  <c r="BP678" i="26" l="1"/>
  <c r="BR678" i="26" s="1"/>
  <c r="BO677" i="26"/>
  <c r="BN677" i="26"/>
  <c r="BW677" i="26"/>
  <c r="BX677" i="26" s="1"/>
  <c r="BI677" i="26"/>
  <c r="BM677" i="26" l="1"/>
  <c r="BQ676" i="26" s="1"/>
  <c r="BP677" i="26" l="1"/>
  <c r="BR677" i="26" s="1"/>
  <c r="BO676" i="26"/>
  <c r="BN676" i="26"/>
  <c r="BI676" i="26"/>
  <c r="BW676" i="26"/>
  <c r="BX676" i="26" s="1"/>
  <c r="BM676" i="26" l="1"/>
  <c r="BQ675" i="26" s="1"/>
  <c r="BP676" i="26" l="1"/>
  <c r="BR676" i="26" s="1"/>
  <c r="BN675" i="26"/>
  <c r="BI675" i="26"/>
  <c r="BW675" i="26"/>
  <c r="BX675" i="26" s="1"/>
  <c r="BO675" i="26"/>
  <c r="BM675" i="26" l="1"/>
  <c r="BQ674" i="26" s="1"/>
  <c r="BP675" i="26" l="1"/>
  <c r="BR675" i="26" s="1"/>
  <c r="BI674" i="26"/>
  <c r="BN674" i="26"/>
  <c r="BO674" i="26"/>
  <c r="BW674" i="26"/>
  <c r="BX674" i="26" s="1"/>
  <c r="BM674" i="26" l="1"/>
  <c r="BQ673" i="26" s="1"/>
  <c r="BP674" i="26" l="1"/>
  <c r="BR674" i="26" s="1"/>
  <c r="BN673" i="26"/>
  <c r="BI673" i="26"/>
  <c r="BO673" i="26"/>
  <c r="BW673" i="26"/>
  <c r="BX673" i="26" s="1"/>
  <c r="BM673" i="26" l="1"/>
  <c r="BQ672" i="26" s="1"/>
  <c r="BP673" i="26" l="1"/>
  <c r="BR673" i="26" s="1"/>
  <c r="BN672" i="26"/>
  <c r="BW672" i="26"/>
  <c r="BX672" i="26" s="1"/>
  <c r="BO672" i="26"/>
  <c r="BI672" i="26"/>
  <c r="BM672" i="26" l="1"/>
  <c r="BQ671" i="26" s="1"/>
  <c r="BP672" i="26" l="1"/>
  <c r="BR672" i="26" s="1"/>
  <c r="BW671" i="26"/>
  <c r="BX671" i="26" s="1"/>
  <c r="BI671" i="26"/>
  <c r="BO671" i="26"/>
  <c r="BN671" i="26"/>
  <c r="BM671" i="26" l="1"/>
  <c r="BQ670" i="26" s="1"/>
  <c r="BP671" i="26" l="1"/>
  <c r="BR671" i="26" s="1"/>
  <c r="BO670" i="26"/>
  <c r="BW670" i="26"/>
  <c r="BX670" i="26" s="1"/>
  <c r="BI670" i="26"/>
  <c r="BN670" i="26"/>
  <c r="BM670" i="26" l="1"/>
  <c r="BQ669" i="26" s="1"/>
  <c r="BP670" i="26" l="1"/>
  <c r="BR670" i="26" s="1"/>
  <c r="BW669" i="26"/>
  <c r="BX669" i="26" s="1"/>
  <c r="BO669" i="26"/>
  <c r="BI669" i="26"/>
  <c r="BN669" i="26"/>
  <c r="BM669" i="26" l="1"/>
  <c r="BQ668" i="26" s="1"/>
  <c r="BP669" i="26" l="1"/>
  <c r="BR669" i="26" s="1"/>
  <c r="BW668" i="26"/>
  <c r="BX668" i="26" s="1"/>
  <c r="BI668" i="26"/>
  <c r="BN668" i="26"/>
  <c r="BO668" i="26"/>
  <c r="BM668" i="26" l="1"/>
  <c r="BQ667" i="26" s="1"/>
  <c r="BP668" i="26" l="1"/>
  <c r="BR668" i="26" s="1"/>
  <c r="BW667" i="26"/>
  <c r="BX667" i="26" s="1"/>
  <c r="BO667" i="26"/>
  <c r="BN667" i="26"/>
  <c r="BI667" i="26"/>
  <c r="BM667" i="26" l="1"/>
  <c r="BQ666" i="26" s="1"/>
  <c r="BP667" i="26" l="1"/>
  <c r="BR667" i="26" s="1"/>
  <c r="BW666" i="26"/>
  <c r="BX666" i="26" s="1"/>
  <c r="BI666" i="26"/>
  <c r="BN666" i="26"/>
  <c r="BO666" i="26"/>
  <c r="BM666" i="26" l="1"/>
  <c r="BQ665" i="26" s="1"/>
  <c r="BP666" i="26" l="1"/>
  <c r="BR666" i="26" s="1"/>
  <c r="BW665" i="26"/>
  <c r="BX665" i="26" s="1"/>
  <c r="BO665" i="26"/>
  <c r="BI665" i="26"/>
  <c r="BN665" i="26"/>
  <c r="BM665" i="26" l="1"/>
  <c r="BQ664" i="26" s="1"/>
  <c r="BP665" i="26" l="1"/>
  <c r="BR665" i="26" s="1"/>
  <c r="BN664" i="26"/>
  <c r="BW664" i="26"/>
  <c r="BX664" i="26" s="1"/>
  <c r="BO664" i="26"/>
  <c r="BI664" i="26"/>
  <c r="BM664" i="26" l="1"/>
  <c r="BQ663" i="26" s="1"/>
  <c r="BP664" i="26" l="1"/>
  <c r="BR664" i="26" s="1"/>
  <c r="BN663" i="26"/>
  <c r="BW663" i="26"/>
  <c r="BX663" i="26" s="1"/>
  <c r="BO663" i="26"/>
  <c r="BI663" i="26"/>
  <c r="BM663" i="26" l="1"/>
  <c r="BQ662" i="26" s="1"/>
  <c r="BP663" i="26" l="1"/>
  <c r="BR663" i="26" s="1"/>
  <c r="BO662" i="26"/>
  <c r="BN662" i="26"/>
  <c r="BI662" i="26"/>
  <c r="BW662" i="26"/>
  <c r="BX662" i="26" s="1"/>
  <c r="BM662" i="26" l="1"/>
  <c r="BQ661" i="26" s="1"/>
  <c r="BP662" i="26" l="1"/>
  <c r="BR662" i="26" s="1"/>
  <c r="BO661" i="26"/>
  <c r="BW661" i="26"/>
  <c r="BX661" i="26" s="1"/>
  <c r="BN661" i="26"/>
  <c r="BI661" i="26"/>
  <c r="BM661" i="26" l="1"/>
  <c r="BQ660" i="26" s="1"/>
  <c r="BP661" i="26" l="1"/>
  <c r="BR661" i="26" s="1"/>
  <c r="BO660" i="26"/>
  <c r="BI660" i="26"/>
  <c r="BN660" i="26"/>
  <c r="BW660" i="26"/>
  <c r="BX660" i="26" s="1"/>
  <c r="BM660" i="26" l="1"/>
  <c r="BQ659" i="26" s="1"/>
  <c r="BP660" i="26" l="1"/>
  <c r="BR660" i="26" s="1"/>
  <c r="BO659" i="26"/>
  <c r="BI659" i="26"/>
  <c r="BW659" i="26"/>
  <c r="BX659" i="26" s="1"/>
  <c r="BN659" i="26"/>
  <c r="BM659" i="26" l="1"/>
  <c r="BQ658" i="26" s="1"/>
  <c r="BP659" i="26" l="1"/>
  <c r="BR659" i="26" s="1"/>
  <c r="BW658" i="26"/>
  <c r="BX658" i="26" s="1"/>
  <c r="BI658" i="26"/>
  <c r="BO658" i="26"/>
  <c r="BN658" i="26"/>
  <c r="BM658" i="26" l="1"/>
  <c r="BQ657" i="26" s="1"/>
  <c r="BP658" i="26" l="1"/>
  <c r="BR658" i="26" s="1"/>
  <c r="BN657" i="26"/>
  <c r="BW657" i="26"/>
  <c r="BX657" i="26" s="1"/>
  <c r="BO657" i="26"/>
  <c r="BI657" i="26"/>
  <c r="BM657" i="26" l="1"/>
  <c r="BQ656" i="26" s="1"/>
  <c r="BP657" i="26" l="1"/>
  <c r="BR657" i="26" s="1"/>
  <c r="BI656" i="26"/>
  <c r="BN656" i="26"/>
  <c r="BO656" i="26"/>
  <c r="BW656" i="26"/>
  <c r="BX656" i="26" s="1"/>
  <c r="BM656" i="26" l="1"/>
  <c r="BQ655" i="26" s="1"/>
  <c r="BP656" i="26" l="1"/>
  <c r="BR656" i="26" s="1"/>
  <c r="BW655" i="26"/>
  <c r="BX655" i="26" s="1"/>
  <c r="BN655" i="26"/>
  <c r="BO655" i="26"/>
  <c r="BI655" i="26"/>
  <c r="BM655" i="26" l="1"/>
  <c r="BQ654" i="26" s="1"/>
  <c r="BP655" i="26" l="1"/>
  <c r="BR655" i="26" s="1"/>
  <c r="BN654" i="26"/>
  <c r="BO654" i="26"/>
  <c r="BI654" i="26"/>
  <c r="BW654" i="26"/>
  <c r="BX654" i="26" s="1"/>
  <c r="BM654" i="26" l="1"/>
  <c r="BQ653" i="26" s="1"/>
  <c r="BP654" i="26" l="1"/>
  <c r="BR654" i="26" s="1"/>
  <c r="BN653" i="26"/>
  <c r="BI653" i="26"/>
  <c r="BO653" i="26"/>
  <c r="BW653" i="26"/>
  <c r="BX653" i="26" s="1"/>
  <c r="BM653" i="26" l="1"/>
  <c r="BQ652" i="26" s="1"/>
  <c r="BP653" i="26" l="1"/>
  <c r="BR653" i="26" s="1"/>
  <c r="BI652" i="26"/>
  <c r="BW652" i="26"/>
  <c r="BX652" i="26" s="1"/>
  <c r="BO652" i="26"/>
  <c r="BN652" i="26"/>
  <c r="BM652" i="26" l="1"/>
  <c r="BQ651" i="26" s="1"/>
  <c r="BP652" i="26" l="1"/>
  <c r="BR652" i="26" s="1"/>
  <c r="BN651" i="26"/>
  <c r="BW651" i="26"/>
  <c r="BX651" i="26" s="1"/>
  <c r="BO651" i="26"/>
  <c r="BI651" i="26"/>
  <c r="BM651" i="26" l="1"/>
  <c r="BQ650" i="26" s="1"/>
  <c r="BP651" i="26" l="1"/>
  <c r="BR651" i="26" s="1"/>
  <c r="BO650" i="26"/>
  <c r="BI650" i="26"/>
  <c r="BW650" i="26"/>
  <c r="BX650" i="26" s="1"/>
  <c r="BN650" i="26"/>
  <c r="BM650" i="26" l="1"/>
  <c r="BQ649" i="26" s="1"/>
  <c r="BP650" i="26" l="1"/>
  <c r="BR650" i="26" s="1"/>
  <c r="BN649" i="26"/>
  <c r="BO649" i="26"/>
  <c r="BW649" i="26"/>
  <c r="BX649" i="26" s="1"/>
  <c r="BI649" i="26"/>
  <c r="BM649" i="26" l="1"/>
  <c r="BQ648" i="26" s="1"/>
  <c r="BP649" i="26" l="1"/>
  <c r="BR649" i="26" s="1"/>
  <c r="BN648" i="26"/>
  <c r="BW648" i="26"/>
  <c r="BX648" i="26" s="1"/>
  <c r="BO648" i="26"/>
  <c r="BI648" i="26"/>
  <c r="BM648" i="26" l="1"/>
  <c r="BQ647" i="26" s="1"/>
  <c r="BP648" i="26" l="1"/>
  <c r="BR648" i="26" s="1"/>
  <c r="BI647" i="26"/>
  <c r="BO647" i="26"/>
  <c r="BW647" i="26"/>
  <c r="BX647" i="26" s="1"/>
  <c r="BN647" i="26"/>
  <c r="BM647" i="26" l="1"/>
  <c r="BQ646" i="26" s="1"/>
  <c r="BP647" i="26" l="1"/>
  <c r="BR647" i="26" s="1"/>
  <c r="BI646" i="26"/>
  <c r="BN646" i="26"/>
  <c r="BO646" i="26"/>
  <c r="BW646" i="26"/>
  <c r="BX646" i="26" s="1"/>
  <c r="BM646" i="26" l="1"/>
  <c r="BQ645" i="26" s="1"/>
  <c r="BP646" i="26" l="1"/>
  <c r="BR646" i="26" s="1"/>
  <c r="BW645" i="26"/>
  <c r="BX645" i="26" s="1"/>
  <c r="BI645" i="26"/>
  <c r="BO645" i="26"/>
  <c r="BN645" i="26"/>
  <c r="BM645" i="26" l="1"/>
  <c r="BQ644" i="26" s="1"/>
  <c r="BP645" i="26" l="1"/>
  <c r="BR645" i="26" s="1"/>
  <c r="BN644" i="26"/>
  <c r="BO644" i="26"/>
  <c r="BW644" i="26"/>
  <c r="BX644" i="26" s="1"/>
  <c r="BI644" i="26"/>
  <c r="BM644" i="26" l="1"/>
  <c r="BQ643" i="26" s="1"/>
  <c r="BP644" i="26" l="1"/>
  <c r="BR644" i="26" s="1"/>
  <c r="BI643" i="26"/>
  <c r="BO643" i="26"/>
  <c r="BW643" i="26"/>
  <c r="BX643" i="26" s="1"/>
  <c r="BN643" i="26"/>
  <c r="BM643" i="26" l="1"/>
  <c r="BQ642" i="26" s="1"/>
  <c r="BP643" i="26" l="1"/>
  <c r="BR643" i="26" s="1"/>
  <c r="BO642" i="26"/>
  <c r="BW642" i="26"/>
  <c r="BX642" i="26" s="1"/>
  <c r="BI642" i="26"/>
  <c r="BN642" i="26"/>
  <c r="BM642" i="26" l="1"/>
  <c r="BQ641" i="26" s="1"/>
  <c r="BP642" i="26" l="1"/>
  <c r="BR642" i="26" s="1"/>
  <c r="BW641" i="26"/>
  <c r="BX641" i="26" s="1"/>
  <c r="BO641" i="26"/>
  <c r="BN641" i="26"/>
  <c r="BI641" i="26"/>
  <c r="BM641" i="26" l="1"/>
  <c r="BQ640" i="26" s="1"/>
  <c r="BP641" i="26" l="1"/>
  <c r="BR641" i="26" s="1"/>
  <c r="BI640" i="26"/>
  <c r="BO640" i="26"/>
  <c r="BN640" i="26"/>
  <c r="BW640" i="26"/>
  <c r="BX640" i="26" s="1"/>
  <c r="BM640" i="26" l="1"/>
  <c r="BQ639" i="26" s="1"/>
  <c r="BP640" i="26" l="1"/>
  <c r="BR640" i="26" s="1"/>
  <c r="BI639" i="26"/>
  <c r="BN639" i="26"/>
  <c r="BO639" i="26"/>
  <c r="BW639" i="26"/>
  <c r="BX639" i="26" s="1"/>
  <c r="BM639" i="26" l="1"/>
  <c r="BQ638" i="26" s="1"/>
  <c r="BP639" i="26" l="1"/>
  <c r="BR639" i="26" s="1"/>
  <c r="BN638" i="26"/>
  <c r="BI638" i="26"/>
  <c r="BO638" i="26"/>
  <c r="BW638" i="26"/>
  <c r="BX638" i="26" s="1"/>
  <c r="BM638" i="26" l="1"/>
  <c r="BQ637" i="26" s="1"/>
  <c r="BP638" i="26" l="1"/>
  <c r="BR638" i="26" s="1"/>
  <c r="BW637" i="26"/>
  <c r="BX637" i="26" s="1"/>
  <c r="BI637" i="26"/>
  <c r="BO637" i="26"/>
  <c r="BN637" i="26"/>
  <c r="BM637" i="26" l="1"/>
  <c r="BQ636" i="26" s="1"/>
  <c r="BP637" i="26" l="1"/>
  <c r="BR637" i="26" s="1"/>
  <c r="BW636" i="26"/>
  <c r="BX636" i="26" s="1"/>
  <c r="BO636" i="26"/>
  <c r="BN636" i="26"/>
  <c r="BI636" i="26"/>
  <c r="BM636" i="26" l="1"/>
  <c r="BQ635" i="26" s="1"/>
  <c r="BP636" i="26" l="1"/>
  <c r="BR636" i="26" s="1"/>
  <c r="BN635" i="26"/>
  <c r="BO635" i="26"/>
  <c r="BI635" i="26"/>
  <c r="BW635" i="26"/>
  <c r="BX635" i="26" s="1"/>
  <c r="BM635" i="26" l="1"/>
  <c r="BQ634" i="26" s="1"/>
  <c r="BP635" i="26" l="1"/>
  <c r="BR635" i="26" s="1"/>
  <c r="BN634" i="26"/>
  <c r="BO634" i="26"/>
  <c r="BI634" i="26"/>
  <c r="BW634" i="26"/>
  <c r="BX634" i="26" s="1"/>
  <c r="BM634" i="26" l="1"/>
  <c r="BQ633" i="26" s="1"/>
  <c r="BP634" i="26" l="1"/>
  <c r="BR634" i="26" s="1"/>
  <c r="BO633" i="26"/>
  <c r="BW633" i="26"/>
  <c r="BX633" i="26" s="1"/>
  <c r="BN633" i="26"/>
  <c r="BI633" i="26"/>
  <c r="BM633" i="26" l="1"/>
  <c r="BQ632" i="26" s="1"/>
  <c r="BP633" i="26" l="1"/>
  <c r="BR633" i="26" s="1"/>
  <c r="BI632" i="26"/>
  <c r="BO632" i="26"/>
  <c r="BN632" i="26"/>
  <c r="BW632" i="26"/>
  <c r="BX632" i="26" s="1"/>
  <c r="BM632" i="26" l="1"/>
  <c r="BQ631" i="26" s="1"/>
  <c r="BP632" i="26" l="1"/>
  <c r="BR632" i="26" s="1"/>
  <c r="BN631" i="26"/>
  <c r="BI631" i="26"/>
  <c r="BW631" i="26"/>
  <c r="BX631" i="26" s="1"/>
  <c r="BO631" i="26"/>
  <c r="BM631" i="26" l="1"/>
  <c r="BQ630" i="26" s="1"/>
  <c r="BP631" i="26" l="1"/>
  <c r="BR631" i="26" s="1"/>
  <c r="BW630" i="26"/>
  <c r="BX630" i="26" s="1"/>
  <c r="BO630" i="26"/>
  <c r="BI630" i="26"/>
  <c r="BN630" i="26"/>
  <c r="BM630" i="26" l="1"/>
  <c r="BQ629" i="26" s="1"/>
  <c r="BP630" i="26" l="1"/>
  <c r="BR630" i="26" s="1"/>
  <c r="BN629" i="26"/>
  <c r="BW629" i="26"/>
  <c r="BX629" i="26" s="1"/>
  <c r="BO629" i="26"/>
  <c r="BI629" i="26"/>
  <c r="BM629" i="26" l="1"/>
  <c r="BQ628" i="26" s="1"/>
  <c r="BP629" i="26" l="1"/>
  <c r="BR629" i="26" s="1"/>
  <c r="BO628" i="26"/>
  <c r="BI628" i="26"/>
  <c r="BW628" i="26"/>
  <c r="BX628" i="26" s="1"/>
  <c r="BN628" i="26"/>
  <c r="BM628" i="26" l="1"/>
  <c r="BQ627" i="26" s="1"/>
  <c r="BP628" i="26" l="1"/>
  <c r="BR628" i="26" s="1"/>
  <c r="BN627" i="26"/>
  <c r="BI627" i="26"/>
  <c r="BO627" i="26"/>
  <c r="BW627" i="26"/>
  <c r="BX627" i="26" s="1"/>
  <c r="BM627" i="26" l="1"/>
  <c r="BQ626" i="26" s="1"/>
  <c r="BP627" i="26" l="1"/>
  <c r="BR627" i="26" s="1"/>
  <c r="BN626" i="26"/>
  <c r="BI626" i="26"/>
  <c r="BW626" i="26"/>
  <c r="BX626" i="26" s="1"/>
  <c r="BO626" i="26"/>
  <c r="BM626" i="26" l="1"/>
  <c r="BQ625" i="26" s="1"/>
  <c r="BP626" i="26" l="1"/>
  <c r="BR626" i="26" s="1"/>
  <c r="BW625" i="26"/>
  <c r="BX625" i="26" s="1"/>
  <c r="BI625" i="26"/>
  <c r="BN625" i="26"/>
  <c r="BO625" i="26"/>
  <c r="BM625" i="26" l="1"/>
  <c r="BQ624" i="26" s="1"/>
  <c r="BP625" i="26" l="1"/>
  <c r="BR625" i="26" s="1"/>
  <c r="BO624" i="26"/>
  <c r="BI624" i="26"/>
  <c r="BN624" i="26"/>
  <c r="BW624" i="26"/>
  <c r="BX624" i="26" s="1"/>
  <c r="BM624" i="26" l="1"/>
  <c r="BQ623" i="26" s="1"/>
  <c r="BP624" i="26" l="1"/>
  <c r="BR624" i="26" s="1"/>
  <c r="BI623" i="26"/>
  <c r="BW623" i="26"/>
  <c r="BX623" i="26" s="1"/>
  <c r="BN623" i="26"/>
  <c r="BO623" i="26"/>
  <c r="BM623" i="26" l="1"/>
  <c r="BQ622" i="26" s="1"/>
  <c r="BP623" i="26" l="1"/>
  <c r="BR623" i="26" s="1"/>
  <c r="BN622" i="26"/>
  <c r="BO622" i="26"/>
  <c r="BW622" i="26"/>
  <c r="BX622" i="26" s="1"/>
  <c r="BI622" i="26"/>
  <c r="BM622" i="26" l="1"/>
  <c r="BQ621" i="26" s="1"/>
  <c r="BP622" i="26" l="1"/>
  <c r="BR622" i="26" s="1"/>
  <c r="BW621" i="26"/>
  <c r="BX621" i="26" s="1"/>
  <c r="BN621" i="26"/>
  <c r="BI621" i="26"/>
  <c r="BO621" i="26"/>
  <c r="BM621" i="26" l="1"/>
  <c r="BQ620" i="26" s="1"/>
  <c r="BP621" i="26" l="1"/>
  <c r="BR621" i="26" s="1"/>
  <c r="BO620" i="26"/>
  <c r="BN620" i="26"/>
  <c r="BI620" i="26"/>
  <c r="BW620" i="26"/>
  <c r="BX620" i="26" s="1"/>
  <c r="BM620" i="26" l="1"/>
  <c r="BQ619" i="26" s="1"/>
  <c r="BP620" i="26" l="1"/>
  <c r="BR620" i="26" s="1"/>
  <c r="BW619" i="26"/>
  <c r="BX619" i="26" s="1"/>
  <c r="BN619" i="26"/>
  <c r="BO619" i="26"/>
  <c r="BI619" i="26"/>
  <c r="BM619" i="26" l="1"/>
  <c r="BQ618" i="26" s="1"/>
  <c r="BP619" i="26" l="1"/>
  <c r="BR619" i="26" s="1"/>
  <c r="BW618" i="26"/>
  <c r="BX618" i="26" s="1"/>
  <c r="BI618" i="26"/>
  <c r="BN618" i="26"/>
  <c r="BO618" i="26"/>
  <c r="BM618" i="26" l="1"/>
  <c r="BQ617" i="26" s="1"/>
  <c r="BP618" i="26" l="1"/>
  <c r="BR618" i="26" s="1"/>
  <c r="BI617" i="26"/>
  <c r="BO617" i="26"/>
  <c r="BN617" i="26"/>
  <c r="BW617" i="26"/>
  <c r="BX617" i="26" s="1"/>
  <c r="BM617" i="26" l="1"/>
  <c r="BQ616" i="26" s="1"/>
  <c r="BP617" i="26" l="1"/>
  <c r="BR617" i="26" s="1"/>
  <c r="BN616" i="26"/>
  <c r="BO616" i="26"/>
  <c r="BI616" i="26"/>
  <c r="BW616" i="26"/>
  <c r="BX616" i="26" s="1"/>
  <c r="BM616" i="26" l="1"/>
  <c r="BQ615" i="26" s="1"/>
  <c r="BP616" i="26" l="1"/>
  <c r="BR616" i="26" s="1"/>
  <c r="BO615" i="26"/>
  <c r="BN615" i="26"/>
  <c r="BW615" i="26"/>
  <c r="BX615" i="26" s="1"/>
  <c r="BI615" i="26"/>
  <c r="BM615" i="26" l="1"/>
  <c r="BQ614" i="26" s="1"/>
  <c r="BP615" i="26" l="1"/>
  <c r="BR615" i="26" s="1"/>
  <c r="BN614" i="26"/>
  <c r="BW614" i="26"/>
  <c r="BX614" i="26" s="1"/>
  <c r="BI614" i="26"/>
  <c r="BO614" i="26"/>
  <c r="BM614" i="26" l="1"/>
  <c r="BQ613" i="26" s="1"/>
  <c r="BP614" i="26" l="1"/>
  <c r="BR614" i="26" s="1"/>
  <c r="BW613" i="26"/>
  <c r="BX613" i="26" s="1"/>
  <c r="BN613" i="26"/>
  <c r="BO613" i="26"/>
  <c r="BI613" i="26"/>
  <c r="BM613" i="26" l="1"/>
  <c r="BQ612" i="26" s="1"/>
  <c r="BP613" i="26" l="1"/>
  <c r="BR613" i="26" s="1"/>
  <c r="BO612" i="26"/>
  <c r="BW612" i="26"/>
  <c r="BX612" i="26" s="1"/>
  <c r="BI612" i="26"/>
  <c r="BN612" i="26"/>
  <c r="BM612" i="26" l="1"/>
  <c r="BQ611" i="26" s="1"/>
  <c r="BP612" i="26" l="1"/>
  <c r="BR612" i="26" s="1"/>
  <c r="BW611" i="26"/>
  <c r="BX611" i="26" s="1"/>
  <c r="BN611" i="26"/>
  <c r="BI611" i="26"/>
  <c r="BO611" i="26"/>
  <c r="BM611" i="26" l="1"/>
  <c r="BQ610" i="26" s="1"/>
  <c r="BP611" i="26" l="1"/>
  <c r="BR611" i="26" s="1"/>
  <c r="BI610" i="26"/>
  <c r="BO610" i="26"/>
  <c r="BN610" i="26"/>
  <c r="BW610" i="26"/>
  <c r="BX610" i="26" s="1"/>
  <c r="BM610" i="26" l="1"/>
  <c r="BQ609" i="26" s="1"/>
  <c r="BP610" i="26" l="1"/>
  <c r="BR610" i="26" s="1"/>
  <c r="BW609" i="26"/>
  <c r="BX609" i="26" s="1"/>
  <c r="BN609" i="26"/>
  <c r="BI609" i="26"/>
  <c r="BO609" i="26"/>
  <c r="BM609" i="26" l="1"/>
  <c r="BQ608" i="26" s="1"/>
  <c r="BP609" i="26" l="1"/>
  <c r="BR609" i="26" s="1"/>
  <c r="BI608" i="26"/>
  <c r="BO608" i="26"/>
  <c r="BN608" i="26"/>
  <c r="BW608" i="26"/>
  <c r="BX608" i="26" s="1"/>
  <c r="BM608" i="26" l="1"/>
  <c r="BQ607" i="26" s="1"/>
  <c r="BP608" i="26" l="1"/>
  <c r="BR608" i="26" s="1"/>
  <c r="BN607" i="26"/>
  <c r="BI607" i="26"/>
  <c r="BW607" i="26"/>
  <c r="BX607" i="26" s="1"/>
  <c r="BO607" i="26"/>
  <c r="BM607" i="26" l="1"/>
  <c r="BQ606" i="26" s="1"/>
  <c r="BP607" i="26" l="1"/>
  <c r="BR607" i="26" s="1"/>
  <c r="BN606" i="26"/>
  <c r="BO606" i="26"/>
  <c r="BW606" i="26"/>
  <c r="BX606" i="26" s="1"/>
  <c r="BI606" i="26"/>
  <c r="BM606" i="26" l="1"/>
  <c r="BQ605" i="26" s="1"/>
  <c r="BP606" i="26" l="1"/>
  <c r="BR606" i="26" s="1"/>
  <c r="BI605" i="26"/>
  <c r="BO605" i="26"/>
  <c r="BN605" i="26"/>
  <c r="BW605" i="26"/>
  <c r="BX605" i="26" s="1"/>
  <c r="BM605" i="26" l="1"/>
  <c r="BQ604" i="26" s="1"/>
  <c r="BP605" i="26" l="1"/>
  <c r="BR605" i="26" s="1"/>
  <c r="BO604" i="26"/>
  <c r="BN604" i="26"/>
  <c r="BW604" i="26"/>
  <c r="BX604" i="26" s="1"/>
  <c r="BI604" i="26"/>
  <c r="BM604" i="26" l="1"/>
  <c r="BQ603" i="26" s="1"/>
  <c r="BP604" i="26" l="1"/>
  <c r="BR604" i="26" s="1"/>
  <c r="BI603" i="26"/>
  <c r="BN603" i="26"/>
  <c r="BW603" i="26"/>
  <c r="BX603" i="26" s="1"/>
  <c r="BO603" i="26"/>
  <c r="BM603" i="26" l="1"/>
  <c r="BQ602" i="26" s="1"/>
  <c r="BP603" i="26" l="1"/>
  <c r="BR603" i="26" s="1"/>
  <c r="BO602" i="26"/>
  <c r="BI602" i="26"/>
  <c r="BN602" i="26"/>
  <c r="BW602" i="26"/>
  <c r="BX602" i="26" s="1"/>
  <c r="BM602" i="26" l="1"/>
  <c r="BQ601" i="26" s="1"/>
  <c r="BP602" i="26" l="1"/>
  <c r="BR602" i="26" s="1"/>
  <c r="BI601" i="26"/>
  <c r="BW601" i="26"/>
  <c r="BX601" i="26" s="1"/>
  <c r="BN601" i="26"/>
  <c r="BO601" i="26"/>
  <c r="BM601" i="26" l="1"/>
  <c r="BQ600" i="26" s="1"/>
  <c r="BP601" i="26" l="1"/>
  <c r="BR601" i="26" s="1"/>
  <c r="BW600" i="26"/>
  <c r="BX600" i="26" s="1"/>
  <c r="BI600" i="26"/>
  <c r="BN600" i="26"/>
  <c r="BO600" i="26"/>
  <c r="BM600" i="26" l="1"/>
  <c r="BQ599" i="26" s="1"/>
  <c r="BP600" i="26" l="1"/>
  <c r="BR600" i="26" s="1"/>
  <c r="BN599" i="26"/>
  <c r="BI599" i="26"/>
  <c r="BW599" i="26"/>
  <c r="BX599" i="26" s="1"/>
  <c r="BO599" i="26"/>
  <c r="BM599" i="26" l="1"/>
  <c r="BQ598" i="26" s="1"/>
  <c r="BP599" i="26" l="1"/>
  <c r="BR599" i="26" s="1"/>
  <c r="BI598" i="26"/>
  <c r="BW598" i="26"/>
  <c r="BX598" i="26" s="1"/>
  <c r="BO598" i="26"/>
  <c r="BN598" i="26"/>
  <c r="BM598" i="26" l="1"/>
  <c r="BQ597" i="26" s="1"/>
  <c r="BP598" i="26" l="1"/>
  <c r="BR598" i="26" s="1"/>
  <c r="BO597" i="26"/>
  <c r="BI597" i="26"/>
  <c r="BN597" i="26"/>
  <c r="BW597" i="26"/>
  <c r="BX597" i="26" s="1"/>
  <c r="BM597" i="26" l="1"/>
  <c r="BQ596" i="26" s="1"/>
  <c r="BP597" i="26" l="1"/>
  <c r="BR597" i="26" s="1"/>
  <c r="BI596" i="26"/>
  <c r="BO596" i="26"/>
  <c r="BW596" i="26"/>
  <c r="BX596" i="26" s="1"/>
  <c r="BN596" i="26"/>
  <c r="BM596" i="26" l="1"/>
  <c r="BQ595" i="26" s="1"/>
  <c r="BP596" i="26" l="1"/>
  <c r="BR596" i="26" s="1"/>
  <c r="BN595" i="26"/>
  <c r="BI595" i="26"/>
  <c r="BW595" i="26"/>
  <c r="BX595" i="26" s="1"/>
  <c r="BO595" i="26"/>
  <c r="BM595" i="26" l="1"/>
  <c r="BQ594" i="26" s="1"/>
  <c r="BP595" i="26" l="1"/>
  <c r="BR595" i="26" s="1"/>
  <c r="BN594" i="26"/>
  <c r="BW594" i="26"/>
  <c r="BX594" i="26" s="1"/>
  <c r="BO594" i="26"/>
  <c r="BI594" i="26"/>
  <c r="BM594" i="26" l="1"/>
  <c r="BQ593" i="26" s="1"/>
  <c r="BP594" i="26" l="1"/>
  <c r="BR594" i="26" s="1"/>
  <c r="BO593" i="26"/>
  <c r="BN593" i="26"/>
  <c r="BW593" i="26"/>
  <c r="BX593" i="26" s="1"/>
  <c r="BI593" i="26"/>
  <c r="BM593" i="26" l="1"/>
  <c r="BQ592" i="26" s="1"/>
  <c r="BP593" i="26" l="1"/>
  <c r="BR593" i="26" s="1"/>
  <c r="BW592" i="26"/>
  <c r="BX592" i="26" s="1"/>
  <c r="BI592" i="26"/>
  <c r="BN592" i="26"/>
  <c r="BO592" i="26"/>
  <c r="BM592" i="26" l="1"/>
  <c r="BQ591" i="26" s="1"/>
  <c r="BP592" i="26" l="1"/>
  <c r="BR592" i="26" s="1"/>
  <c r="BN591" i="26"/>
  <c r="BW591" i="26"/>
  <c r="BX591" i="26" s="1"/>
  <c r="BO591" i="26"/>
  <c r="BI591" i="26"/>
  <c r="BM591" i="26" l="1"/>
  <c r="BQ590" i="26" s="1"/>
  <c r="BP591" i="26" l="1"/>
  <c r="BR591" i="26" s="1"/>
  <c r="BO590" i="26"/>
  <c r="BI590" i="26"/>
  <c r="BW590" i="26"/>
  <c r="BX590" i="26" s="1"/>
  <c r="BN590" i="26"/>
  <c r="BA916" i="26"/>
  <c r="BM590" i="26" l="1"/>
  <c r="BQ589" i="26" s="1"/>
  <c r="AR915" i="26"/>
  <c r="AX915" i="26"/>
  <c r="AW915" i="26"/>
  <c r="BP590" i="26" l="1"/>
  <c r="BR590" i="26" s="1"/>
  <c r="BW589" i="26"/>
  <c r="BX589" i="26" s="1"/>
  <c r="BO589" i="26"/>
  <c r="BN589" i="26"/>
  <c r="BI589" i="26"/>
  <c r="AV915" i="26"/>
  <c r="AZ914" i="26" l="1"/>
  <c r="BF914" i="26" s="1"/>
  <c r="BG914" i="26" s="1"/>
  <c r="BM589" i="26"/>
  <c r="BQ588" i="26" s="1"/>
  <c r="AY915" i="26"/>
  <c r="BP589" i="26" l="1"/>
  <c r="BR589" i="26" s="1"/>
  <c r="AX914" i="26"/>
  <c r="AW914" i="26"/>
  <c r="AR914" i="26"/>
  <c r="AV914" i="26" s="1"/>
  <c r="BN588" i="26"/>
  <c r="BI588" i="26"/>
  <c r="BO588" i="26"/>
  <c r="BW588" i="26"/>
  <c r="BX588" i="26" s="1"/>
  <c r="BA915" i="26"/>
  <c r="AZ913" i="26" l="1"/>
  <c r="BF913" i="26" s="1"/>
  <c r="BG913" i="26" s="1"/>
  <c r="BM588" i="26"/>
  <c r="BQ587" i="26" s="1"/>
  <c r="AY914" i="26"/>
  <c r="AW913" i="26" l="1"/>
  <c r="AR913" i="26"/>
  <c r="AV913" i="26" s="1"/>
  <c r="AX913" i="26"/>
  <c r="BP588" i="26"/>
  <c r="BR588" i="26" s="1"/>
  <c r="BW587" i="26"/>
  <c r="BX587" i="26" s="1"/>
  <c r="BO587" i="26"/>
  <c r="BN587" i="26"/>
  <c r="BI587" i="26"/>
  <c r="BA914" i="26"/>
  <c r="AZ912" i="26" l="1"/>
  <c r="BF912" i="26" s="1"/>
  <c r="BG912" i="26" s="1"/>
  <c r="BM587" i="26"/>
  <c r="BQ586" i="26" s="1"/>
  <c r="AY913" i="26"/>
  <c r="AW912" i="26" l="1"/>
  <c r="AR912" i="26"/>
  <c r="AV912" i="26" s="1"/>
  <c r="AX912" i="26"/>
  <c r="BP587" i="26"/>
  <c r="BR587" i="26" s="1"/>
  <c r="BN586" i="26"/>
  <c r="BW586" i="26"/>
  <c r="BX586" i="26" s="1"/>
  <c r="BO586" i="26"/>
  <c r="BI586" i="26"/>
  <c r="BA913" i="26"/>
  <c r="AZ911" i="26" l="1"/>
  <c r="BF911" i="26" s="1"/>
  <c r="BG911" i="26" s="1"/>
  <c r="BM586" i="26"/>
  <c r="BQ585" i="26" s="1"/>
  <c r="AY912" i="26"/>
  <c r="AW911" i="26" l="1"/>
  <c r="AR911" i="26"/>
  <c r="AV911" i="26" s="1"/>
  <c r="AX911" i="26"/>
  <c r="BP586" i="26"/>
  <c r="BR586" i="26" s="1"/>
  <c r="BO585" i="26"/>
  <c r="BW585" i="26"/>
  <c r="BX585" i="26" s="1"/>
  <c r="BI585" i="26"/>
  <c r="BN585" i="26"/>
  <c r="BA912" i="26"/>
  <c r="AZ910" i="26" l="1"/>
  <c r="BF910" i="26" s="1"/>
  <c r="BG910" i="26" s="1"/>
  <c r="BM585" i="26"/>
  <c r="BQ584" i="26" s="1"/>
  <c r="AY911" i="26"/>
  <c r="AW910" i="26" l="1"/>
  <c r="AR910" i="26"/>
  <c r="AV910" i="26" s="1"/>
  <c r="AX910" i="26"/>
  <c r="BP585" i="26"/>
  <c r="BR585" i="26" s="1"/>
  <c r="BN584" i="26"/>
  <c r="BW584" i="26"/>
  <c r="BX584" i="26" s="1"/>
  <c r="BO584" i="26"/>
  <c r="BI584" i="26"/>
  <c r="BA911" i="26"/>
  <c r="AZ909" i="26" l="1"/>
  <c r="BF909" i="26" s="1"/>
  <c r="BG909" i="26" s="1"/>
  <c r="BM584" i="26"/>
  <c r="BQ583" i="26" s="1"/>
  <c r="AY910" i="26"/>
  <c r="AW909" i="26" l="1"/>
  <c r="AR909" i="26"/>
  <c r="AV909" i="26" s="1"/>
  <c r="AX909" i="26"/>
  <c r="BP584" i="26"/>
  <c r="BR584" i="26" s="1"/>
  <c r="BI583" i="26"/>
  <c r="BW583" i="26"/>
  <c r="BX583" i="26" s="1"/>
  <c r="BO583" i="26"/>
  <c r="BN583" i="26"/>
  <c r="BA910" i="26"/>
  <c r="AZ908" i="26" l="1"/>
  <c r="BF908" i="26" s="1"/>
  <c r="BG908" i="26" s="1"/>
  <c r="BM583" i="26"/>
  <c r="BQ582" i="26" s="1"/>
  <c r="AY909" i="26"/>
  <c r="AW908" i="26" l="1"/>
  <c r="AR908" i="26"/>
  <c r="AV908" i="26" s="1"/>
  <c r="AX908" i="26"/>
  <c r="BP583" i="26"/>
  <c r="BR583" i="26" s="1"/>
  <c r="BN582" i="26"/>
  <c r="BO582" i="26"/>
  <c r="BI582" i="26"/>
  <c r="BW582" i="26"/>
  <c r="BX582" i="26" s="1"/>
  <c r="BA909" i="26"/>
  <c r="AZ907" i="26" l="1"/>
  <c r="BF907" i="26" s="1"/>
  <c r="BG907" i="26" s="1"/>
  <c r="BM582" i="26"/>
  <c r="BQ581" i="26" s="1"/>
  <c r="AY908" i="26"/>
  <c r="AW907" i="26" l="1"/>
  <c r="AR907" i="26"/>
  <c r="AV907" i="26" s="1"/>
  <c r="AX907" i="26"/>
  <c r="BP582" i="26"/>
  <c r="BR582" i="26" s="1"/>
  <c r="BW581" i="26"/>
  <c r="BX581" i="26" s="1"/>
  <c r="BN581" i="26"/>
  <c r="BI581" i="26"/>
  <c r="BO581" i="26"/>
  <c r="BA908" i="26"/>
  <c r="AZ906" i="26" l="1"/>
  <c r="BF906" i="26" s="1"/>
  <c r="BG906" i="26" s="1"/>
  <c r="BM581" i="26"/>
  <c r="BQ580" i="26" s="1"/>
  <c r="AY907" i="26"/>
  <c r="AW906" i="26" l="1"/>
  <c r="AR906" i="26"/>
  <c r="AV906" i="26" s="1"/>
  <c r="AX906" i="26"/>
  <c r="BP581" i="26"/>
  <c r="BR581" i="26" s="1"/>
  <c r="BI580" i="26"/>
  <c r="BO580" i="26"/>
  <c r="BW580" i="26"/>
  <c r="BX580" i="26" s="1"/>
  <c r="BN580" i="26"/>
  <c r="BA907" i="26"/>
  <c r="AZ905" i="26" l="1"/>
  <c r="BF905" i="26" s="1"/>
  <c r="BG905" i="26" s="1"/>
  <c r="BM580" i="26"/>
  <c r="BQ579" i="26" s="1"/>
  <c r="AY906" i="26"/>
  <c r="AW905" i="26" l="1"/>
  <c r="AR905" i="26"/>
  <c r="AV905" i="26" s="1"/>
  <c r="AX905" i="26"/>
  <c r="BP580" i="26"/>
  <c r="BR580" i="26" s="1"/>
  <c r="BW579" i="26"/>
  <c r="BX579" i="26" s="1"/>
  <c r="BN579" i="26"/>
  <c r="BI579" i="26"/>
  <c r="BO579" i="26"/>
  <c r="BA906" i="26"/>
  <c r="AZ904" i="26" l="1"/>
  <c r="BF904" i="26" s="1"/>
  <c r="BG904" i="26" s="1"/>
  <c r="BM579" i="26"/>
  <c r="BQ578" i="26" s="1"/>
  <c r="AY905" i="26"/>
  <c r="AR904" i="26" l="1"/>
  <c r="AV904" i="26" s="1"/>
  <c r="AW904" i="26"/>
  <c r="AX904" i="26"/>
  <c r="BP579" i="26"/>
  <c r="BR579" i="26" s="1"/>
  <c r="BI578" i="26"/>
  <c r="BO578" i="26"/>
  <c r="BN578" i="26"/>
  <c r="BW578" i="26"/>
  <c r="BX578" i="26" s="1"/>
  <c r="BA905" i="26"/>
  <c r="AZ903" i="26" l="1"/>
  <c r="BF903" i="26" s="1"/>
  <c r="BG903" i="26" s="1"/>
  <c r="BM578" i="26"/>
  <c r="BQ577" i="26" s="1"/>
  <c r="AY904" i="26"/>
  <c r="AR903" i="26" l="1"/>
  <c r="AV903" i="26" s="1"/>
  <c r="AW903" i="26"/>
  <c r="AX903" i="26"/>
  <c r="BP578" i="26"/>
  <c r="BR578" i="26" s="1"/>
  <c r="BI577" i="26"/>
  <c r="BN577" i="26"/>
  <c r="BW577" i="26"/>
  <c r="BX577" i="26" s="1"/>
  <c r="BO577" i="26"/>
  <c r="BA904" i="26"/>
  <c r="AZ902" i="26" l="1"/>
  <c r="BF902" i="26" s="1"/>
  <c r="BG902" i="26" s="1"/>
  <c r="BM577" i="26"/>
  <c r="BQ576" i="26" s="1"/>
  <c r="AY903" i="26"/>
  <c r="AR902" i="26" l="1"/>
  <c r="AV902" i="26" s="1"/>
  <c r="AW902" i="26"/>
  <c r="AX902" i="26"/>
  <c r="BP577" i="26"/>
  <c r="BR577" i="26" s="1"/>
  <c r="BO576" i="26"/>
  <c r="BN576" i="26"/>
  <c r="BW576" i="26"/>
  <c r="BX576" i="26" s="1"/>
  <c r="BI576" i="26"/>
  <c r="BA903" i="26"/>
  <c r="AZ901" i="26" l="1"/>
  <c r="BF901" i="26" s="1"/>
  <c r="BG901" i="26" s="1"/>
  <c r="BM576" i="26"/>
  <c r="BQ575" i="26" s="1"/>
  <c r="AY902" i="26"/>
  <c r="AR901" i="26" l="1"/>
  <c r="AV901" i="26" s="1"/>
  <c r="AW901" i="26"/>
  <c r="AX901" i="26"/>
  <c r="BP576" i="26"/>
  <c r="BR576" i="26" s="1"/>
  <c r="BN575" i="26"/>
  <c r="BO575" i="26"/>
  <c r="BI575" i="26"/>
  <c r="BW575" i="26"/>
  <c r="BX575" i="26" s="1"/>
  <c r="BA902" i="26"/>
  <c r="AZ900" i="26" l="1"/>
  <c r="BF900" i="26" s="1"/>
  <c r="BG900" i="26" s="1"/>
  <c r="BM575" i="26"/>
  <c r="BQ574" i="26" s="1"/>
  <c r="AY901" i="26"/>
  <c r="AR900" i="26" l="1"/>
  <c r="AV900" i="26" s="1"/>
  <c r="AW900" i="26"/>
  <c r="AX900" i="26"/>
  <c r="BP575" i="26"/>
  <c r="BR575" i="26" s="1"/>
  <c r="BN574" i="26"/>
  <c r="BI574" i="26"/>
  <c r="BO574" i="26"/>
  <c r="BW574" i="26"/>
  <c r="BX574" i="26" s="1"/>
  <c r="BA901" i="26"/>
  <c r="AZ899" i="26" l="1"/>
  <c r="BF899" i="26" s="1"/>
  <c r="BG899" i="26" s="1"/>
  <c r="BM574" i="26"/>
  <c r="BQ573" i="26" s="1"/>
  <c r="AY900" i="26"/>
  <c r="AR899" i="26" l="1"/>
  <c r="AV899" i="26" s="1"/>
  <c r="AW899" i="26"/>
  <c r="AX899" i="26"/>
  <c r="BP574" i="26"/>
  <c r="BR574" i="26" s="1"/>
  <c r="BI573" i="26"/>
  <c r="BO573" i="26"/>
  <c r="BN573" i="26"/>
  <c r="BW573" i="26"/>
  <c r="BX573" i="26" s="1"/>
  <c r="BA900" i="26"/>
  <c r="AZ898" i="26" l="1"/>
  <c r="BF898" i="26" s="1"/>
  <c r="BG898" i="26" s="1"/>
  <c r="BM573" i="26"/>
  <c r="BQ572" i="26" s="1"/>
  <c r="AY899" i="26"/>
  <c r="AR898" i="26" l="1"/>
  <c r="AV898" i="26" s="1"/>
  <c r="AW898" i="26"/>
  <c r="AX898" i="26"/>
  <c r="BP573" i="26"/>
  <c r="BR573" i="26" s="1"/>
  <c r="BN572" i="26"/>
  <c r="BI572" i="26"/>
  <c r="BW572" i="26"/>
  <c r="BX572" i="26" s="1"/>
  <c r="BO572" i="26"/>
  <c r="BA899" i="26"/>
  <c r="AZ897" i="26" l="1"/>
  <c r="BF897" i="26" s="1"/>
  <c r="BG897" i="26" s="1"/>
  <c r="BM572" i="26"/>
  <c r="BQ571" i="26" s="1"/>
  <c r="AY898" i="26"/>
  <c r="AR897" i="26" l="1"/>
  <c r="AV897" i="26" s="1"/>
  <c r="AW897" i="26"/>
  <c r="AX897" i="26"/>
  <c r="BP572" i="26"/>
  <c r="BR572" i="26" s="1"/>
  <c r="BO571" i="26"/>
  <c r="BI571" i="26"/>
  <c r="BW571" i="26"/>
  <c r="BX571" i="26" s="1"/>
  <c r="BN571" i="26"/>
  <c r="BA898" i="26"/>
  <c r="AZ896" i="26" l="1"/>
  <c r="BF896" i="26" s="1"/>
  <c r="BG896" i="26" s="1"/>
  <c r="BM571" i="26"/>
  <c r="BQ570" i="26" s="1"/>
  <c r="AY897" i="26"/>
  <c r="AR896" i="26" l="1"/>
  <c r="AV896" i="26" s="1"/>
  <c r="AW896" i="26"/>
  <c r="AX896" i="26"/>
  <c r="BP571" i="26"/>
  <c r="BR571" i="26" s="1"/>
  <c r="BI570" i="26"/>
  <c r="BO570" i="26"/>
  <c r="BW570" i="26"/>
  <c r="BX570" i="26" s="1"/>
  <c r="BN570" i="26"/>
  <c r="BA897" i="26"/>
  <c r="AZ895" i="26" l="1"/>
  <c r="BF895" i="26" s="1"/>
  <c r="BG895" i="26" s="1"/>
  <c r="BM570" i="26"/>
  <c r="BQ569" i="26" s="1"/>
  <c r="AY896" i="26"/>
  <c r="AR895" i="26" l="1"/>
  <c r="AV895" i="26" s="1"/>
  <c r="AW895" i="26"/>
  <c r="AX895" i="26"/>
  <c r="BP570" i="26"/>
  <c r="BR570" i="26" s="1"/>
  <c r="BO569" i="26"/>
  <c r="BW569" i="26"/>
  <c r="BX569" i="26" s="1"/>
  <c r="BN569" i="26"/>
  <c r="BI569" i="26"/>
  <c r="BA896" i="26"/>
  <c r="AZ894" i="26" l="1"/>
  <c r="BF894" i="26" s="1"/>
  <c r="BG894" i="26" s="1"/>
  <c r="BM569" i="26"/>
  <c r="BQ568" i="26" s="1"/>
  <c r="AY895" i="26"/>
  <c r="AR894" i="26" l="1"/>
  <c r="AV894" i="26" s="1"/>
  <c r="AW894" i="26"/>
  <c r="AX894" i="26"/>
  <c r="BP569" i="26"/>
  <c r="BR569" i="26" s="1"/>
  <c r="BW568" i="26"/>
  <c r="BX568" i="26" s="1"/>
  <c r="BI568" i="26"/>
  <c r="BO568" i="26"/>
  <c r="BN568" i="26"/>
  <c r="BA895" i="26"/>
  <c r="AZ893" i="26" l="1"/>
  <c r="BF893" i="26" s="1"/>
  <c r="BG893" i="26" s="1"/>
  <c r="BM568" i="26"/>
  <c r="BQ567" i="26" s="1"/>
  <c r="AY894" i="26"/>
  <c r="AR893" i="26" l="1"/>
  <c r="AV893" i="26" s="1"/>
  <c r="AW893" i="26"/>
  <c r="AX893" i="26"/>
  <c r="BP568" i="26"/>
  <c r="BR568" i="26" s="1"/>
  <c r="BW567" i="26"/>
  <c r="BX567" i="26" s="1"/>
  <c r="BN567" i="26"/>
  <c r="BO567" i="26"/>
  <c r="BI567" i="26"/>
  <c r="BA894" i="26"/>
  <c r="AZ892" i="26" l="1"/>
  <c r="BF892" i="26" s="1"/>
  <c r="BG892" i="26" s="1"/>
  <c r="BM567" i="26"/>
  <c r="BQ566" i="26" s="1"/>
  <c r="AY893" i="26"/>
  <c r="AR892" i="26" l="1"/>
  <c r="AV892" i="26" s="1"/>
  <c r="AW892" i="26"/>
  <c r="AX892" i="26"/>
  <c r="BP567" i="26"/>
  <c r="BR567" i="26" s="1"/>
  <c r="BW566" i="26"/>
  <c r="BX566" i="26" s="1"/>
  <c r="BO566" i="26"/>
  <c r="BI566" i="26"/>
  <c r="BN566" i="26"/>
  <c r="BA893" i="26"/>
  <c r="AZ891" i="26" l="1"/>
  <c r="BF891" i="26" s="1"/>
  <c r="BG891" i="26" s="1"/>
  <c r="BM566" i="26"/>
  <c r="BQ565" i="26" s="1"/>
  <c r="AY892" i="26"/>
  <c r="AR891" i="26" l="1"/>
  <c r="AV891" i="26" s="1"/>
  <c r="AW891" i="26"/>
  <c r="AX891" i="26"/>
  <c r="BP566" i="26"/>
  <c r="BR566" i="26" s="1"/>
  <c r="BI565" i="26"/>
  <c r="BO565" i="26"/>
  <c r="BW565" i="26"/>
  <c r="BX565" i="26" s="1"/>
  <c r="BN565" i="26"/>
  <c r="BA892" i="26"/>
  <c r="AZ890" i="26" l="1"/>
  <c r="BF890" i="26" s="1"/>
  <c r="BG890" i="26" s="1"/>
  <c r="BM565" i="26"/>
  <c r="BQ564" i="26" s="1"/>
  <c r="AY891" i="26"/>
  <c r="AR890" i="26" l="1"/>
  <c r="AV890" i="26" s="1"/>
  <c r="AW890" i="26"/>
  <c r="AX890" i="26"/>
  <c r="BP565" i="26"/>
  <c r="BR565" i="26" s="1"/>
  <c r="BO564" i="26"/>
  <c r="BI564" i="26"/>
  <c r="BW564" i="26"/>
  <c r="BX564" i="26" s="1"/>
  <c r="BN564" i="26"/>
  <c r="BA891" i="26"/>
  <c r="AZ889" i="26" l="1"/>
  <c r="BF889" i="26" s="1"/>
  <c r="BG889" i="26" s="1"/>
  <c r="BM564" i="26"/>
  <c r="BQ563" i="26" s="1"/>
  <c r="AY890" i="26"/>
  <c r="AR889" i="26" l="1"/>
  <c r="AV889" i="26" s="1"/>
  <c r="AW889" i="26"/>
  <c r="AX889" i="26"/>
  <c r="BP564" i="26"/>
  <c r="BR564" i="26" s="1"/>
  <c r="BI563" i="26"/>
  <c r="BN563" i="26"/>
  <c r="BW563" i="26"/>
  <c r="BX563" i="26" s="1"/>
  <c r="BO563" i="26"/>
  <c r="BA890" i="26"/>
  <c r="AZ888" i="26" l="1"/>
  <c r="BF888" i="26" s="1"/>
  <c r="BG888" i="26" s="1"/>
  <c r="BM563" i="26"/>
  <c r="BQ562" i="26" s="1"/>
  <c r="AY889" i="26"/>
  <c r="AR888" i="26" l="1"/>
  <c r="AV888" i="26" s="1"/>
  <c r="AW888" i="26"/>
  <c r="AX888" i="26"/>
  <c r="BP563" i="26"/>
  <c r="BR563" i="26" s="1"/>
  <c r="BI562" i="26"/>
  <c r="BW562" i="26"/>
  <c r="BX562" i="26" s="1"/>
  <c r="BN562" i="26"/>
  <c r="BO562" i="26"/>
  <c r="BA889" i="26"/>
  <c r="AZ887" i="26" l="1"/>
  <c r="BF887" i="26" s="1"/>
  <c r="BG887" i="26" s="1"/>
  <c r="BM562" i="26"/>
  <c r="BQ561" i="26" s="1"/>
  <c r="AY888" i="26"/>
  <c r="AR887" i="26" l="1"/>
  <c r="AV887" i="26" s="1"/>
  <c r="AW887" i="26"/>
  <c r="AX887" i="26"/>
  <c r="BP562" i="26"/>
  <c r="BR562" i="26" s="1"/>
  <c r="BN561" i="26"/>
  <c r="BW561" i="26"/>
  <c r="BX561" i="26" s="1"/>
  <c r="BO561" i="26"/>
  <c r="BI561" i="26"/>
  <c r="BA888" i="26"/>
  <c r="AZ886" i="26" l="1"/>
  <c r="BF886" i="26" s="1"/>
  <c r="BG886" i="26" s="1"/>
  <c r="BM561" i="26"/>
  <c r="BQ560" i="26" s="1"/>
  <c r="AY887" i="26"/>
  <c r="AR886" i="26" l="1"/>
  <c r="AV886" i="26" s="1"/>
  <c r="AW886" i="26"/>
  <c r="AX886" i="26"/>
  <c r="BP561" i="26"/>
  <c r="BR561" i="26" s="1"/>
  <c r="BN560" i="26"/>
  <c r="BI560" i="26"/>
  <c r="BO560" i="26"/>
  <c r="BW560" i="26"/>
  <c r="BX560" i="26" s="1"/>
  <c r="BA887" i="26"/>
  <c r="AZ885" i="26" l="1"/>
  <c r="BF885" i="26" s="1"/>
  <c r="BG885" i="26" s="1"/>
  <c r="BM560" i="26"/>
  <c r="BQ559" i="26" s="1"/>
  <c r="AY886" i="26"/>
  <c r="AW885" i="26" l="1"/>
  <c r="AR885" i="26"/>
  <c r="AV885" i="26" s="1"/>
  <c r="AX885" i="26"/>
  <c r="BP560" i="26"/>
  <c r="BR560" i="26" s="1"/>
  <c r="BO559" i="26"/>
  <c r="BW559" i="26"/>
  <c r="BX559" i="26" s="1"/>
  <c r="BI559" i="26"/>
  <c r="BN559" i="26"/>
  <c r="BA886" i="26"/>
  <c r="AZ884" i="26" l="1"/>
  <c r="BF884" i="26" s="1"/>
  <c r="BG884" i="26" s="1"/>
  <c r="BM559" i="26"/>
  <c r="BQ558" i="26" s="1"/>
  <c r="AY885" i="26"/>
  <c r="AW884" i="26" l="1"/>
  <c r="AR884" i="26"/>
  <c r="AV884" i="26" s="1"/>
  <c r="AX884" i="26"/>
  <c r="BP559" i="26"/>
  <c r="BR559" i="26" s="1"/>
  <c r="BN558" i="26"/>
  <c r="BW558" i="26"/>
  <c r="BX558" i="26" s="1"/>
  <c r="BO558" i="26"/>
  <c r="BI558" i="26"/>
  <c r="BA885" i="26"/>
  <c r="AZ883" i="26" l="1"/>
  <c r="BF883" i="26" s="1"/>
  <c r="BG883" i="26" s="1"/>
  <c r="BM558" i="26"/>
  <c r="BQ557" i="26" s="1"/>
  <c r="AY884" i="26"/>
  <c r="AW883" i="26" l="1"/>
  <c r="AR883" i="26"/>
  <c r="AV883" i="26" s="1"/>
  <c r="AX883" i="26"/>
  <c r="BP558" i="26"/>
  <c r="BR558" i="26" s="1"/>
  <c r="BW557" i="26"/>
  <c r="BX557" i="26" s="1"/>
  <c r="BI557" i="26"/>
  <c r="BN557" i="26"/>
  <c r="BO557" i="26"/>
  <c r="BA884" i="26"/>
  <c r="AZ882" i="26" l="1"/>
  <c r="BF882" i="26" s="1"/>
  <c r="BG882" i="26" s="1"/>
  <c r="BM557" i="26"/>
  <c r="BQ556" i="26" s="1"/>
  <c r="AY883" i="26"/>
  <c r="AW882" i="26" l="1"/>
  <c r="AR882" i="26"/>
  <c r="AV882" i="26" s="1"/>
  <c r="AX882" i="26"/>
  <c r="BP557" i="26"/>
  <c r="BR557" i="26" s="1"/>
  <c r="BN556" i="26"/>
  <c r="BI556" i="26"/>
  <c r="BW556" i="26"/>
  <c r="BX556" i="26" s="1"/>
  <c r="BO556" i="26"/>
  <c r="BA883" i="26"/>
  <c r="AZ881" i="26" l="1"/>
  <c r="BF881" i="26" s="1"/>
  <c r="BG881" i="26" s="1"/>
  <c r="BM556" i="26"/>
  <c r="BQ555" i="26" s="1"/>
  <c r="AY882" i="26"/>
  <c r="AW881" i="26" l="1"/>
  <c r="AR881" i="26"/>
  <c r="AV881" i="26" s="1"/>
  <c r="AX881" i="26"/>
  <c r="BP556" i="26"/>
  <c r="BR556" i="26" s="1"/>
  <c r="BI555" i="26"/>
  <c r="BO555" i="26"/>
  <c r="BW555" i="26"/>
  <c r="BX555" i="26" s="1"/>
  <c r="BN555" i="26"/>
  <c r="BA882" i="26"/>
  <c r="AZ880" i="26" l="1"/>
  <c r="BF880" i="26" s="1"/>
  <c r="BG880" i="26" s="1"/>
  <c r="BM555" i="26"/>
  <c r="BQ554" i="26" s="1"/>
  <c r="AY881" i="26"/>
  <c r="AR880" i="26" l="1"/>
  <c r="AV880" i="26" s="1"/>
  <c r="AW880" i="26"/>
  <c r="AX880" i="26"/>
  <c r="BP555" i="26"/>
  <c r="BR555" i="26" s="1"/>
  <c r="BN554" i="26"/>
  <c r="BI554" i="26"/>
  <c r="BW554" i="26"/>
  <c r="BX554" i="26" s="1"/>
  <c r="BO554" i="26"/>
  <c r="BA881" i="26"/>
  <c r="AZ879" i="26" l="1"/>
  <c r="BF879" i="26" s="1"/>
  <c r="BG879" i="26" s="1"/>
  <c r="BM554" i="26"/>
  <c r="BQ553" i="26" s="1"/>
  <c r="AY880" i="26"/>
  <c r="AR879" i="26" l="1"/>
  <c r="AV879" i="26" s="1"/>
  <c r="AW879" i="26"/>
  <c r="AX879" i="26"/>
  <c r="BP554" i="26"/>
  <c r="BR554" i="26" s="1"/>
  <c r="BI553" i="26"/>
  <c r="BW553" i="26"/>
  <c r="BX553" i="26" s="1"/>
  <c r="BN553" i="26"/>
  <c r="BO553" i="26"/>
  <c r="BA880" i="26"/>
  <c r="AZ878" i="26" l="1"/>
  <c r="BF878" i="26" s="1"/>
  <c r="BG878" i="26" s="1"/>
  <c r="BM553" i="26"/>
  <c r="BQ552" i="26" s="1"/>
  <c r="AY879" i="26"/>
  <c r="AR878" i="26" l="1"/>
  <c r="AV878" i="26" s="1"/>
  <c r="AW878" i="26"/>
  <c r="AX878" i="26"/>
  <c r="BP553" i="26"/>
  <c r="BR553" i="26" s="1"/>
  <c r="BO552" i="26"/>
  <c r="BN552" i="26"/>
  <c r="BW552" i="26"/>
  <c r="BX552" i="26" s="1"/>
  <c r="BI552" i="26"/>
  <c r="BA879" i="26"/>
  <c r="AZ877" i="26" l="1"/>
  <c r="AR877" i="26" s="1"/>
  <c r="BM552" i="26"/>
  <c r="BQ551" i="26" s="1"/>
  <c r="AY878" i="26"/>
  <c r="AW877" i="26" l="1"/>
  <c r="AX877" i="26"/>
  <c r="BF877" i="26"/>
  <c r="BG877" i="26" s="1"/>
  <c r="BP552" i="26"/>
  <c r="BR552" i="26" s="1"/>
  <c r="BI551" i="26"/>
  <c r="BO551" i="26"/>
  <c r="BN551" i="26"/>
  <c r="BW551" i="26"/>
  <c r="BX551" i="26" s="1"/>
  <c r="BA878" i="26"/>
  <c r="AV877" i="26"/>
  <c r="AZ876" i="26" l="1"/>
  <c r="AR876" i="26" s="1"/>
  <c r="BM551" i="26"/>
  <c r="BQ550" i="26" s="1"/>
  <c r="AY877" i="26"/>
  <c r="AW876" i="26" l="1"/>
  <c r="AX876" i="26"/>
  <c r="BF876" i="26"/>
  <c r="BG876" i="26" s="1"/>
  <c r="BP551" i="26"/>
  <c r="BR551" i="26" s="1"/>
  <c r="BN550" i="26"/>
  <c r="BI550" i="26"/>
  <c r="BW550" i="26"/>
  <c r="BX550" i="26" s="1"/>
  <c r="BO550" i="26"/>
  <c r="BA877" i="26"/>
  <c r="AV876" i="26"/>
  <c r="AZ875" i="26" l="1"/>
  <c r="AR875" i="26" s="1"/>
  <c r="BM550" i="26"/>
  <c r="BQ549" i="26" s="1"/>
  <c r="AY876" i="26"/>
  <c r="AW875" i="26" l="1"/>
  <c r="AX875" i="26"/>
  <c r="BF875" i="26"/>
  <c r="BG875" i="26" s="1"/>
  <c r="BP550" i="26"/>
  <c r="BR550" i="26" s="1"/>
  <c r="BW549" i="26"/>
  <c r="BX549" i="26" s="1"/>
  <c r="BI549" i="26"/>
  <c r="BN549" i="26"/>
  <c r="BO549" i="26"/>
  <c r="BA876" i="26"/>
  <c r="AV875" i="26"/>
  <c r="AZ874" i="26" l="1"/>
  <c r="AR874" i="26" s="1"/>
  <c r="BM549" i="26"/>
  <c r="BQ548" i="26" s="1"/>
  <c r="AY875" i="26"/>
  <c r="AW874" i="26" l="1"/>
  <c r="AX874" i="26"/>
  <c r="BF874" i="26"/>
  <c r="BG874" i="26" s="1"/>
  <c r="BP549" i="26"/>
  <c r="BR549" i="26" s="1"/>
  <c r="BI548" i="26"/>
  <c r="BO548" i="26"/>
  <c r="BW548" i="26"/>
  <c r="BX548" i="26" s="1"/>
  <c r="BN548" i="26"/>
  <c r="BA875" i="26"/>
  <c r="AV874" i="26"/>
  <c r="AZ873" i="26" l="1"/>
  <c r="AR873" i="26" s="1"/>
  <c r="BM548" i="26"/>
  <c r="BQ547" i="26" s="1"/>
  <c r="AY874" i="26"/>
  <c r="AW873" i="26" l="1"/>
  <c r="AX873" i="26"/>
  <c r="BF873" i="26"/>
  <c r="BG873" i="26" s="1"/>
  <c r="BP548" i="26"/>
  <c r="BR548" i="26" s="1"/>
  <c r="BN547" i="26"/>
  <c r="BW547" i="26"/>
  <c r="BX547" i="26" s="1"/>
  <c r="BO547" i="26"/>
  <c r="BI547" i="26"/>
  <c r="BA874" i="26"/>
  <c r="AV873" i="26"/>
  <c r="AZ872" i="26" l="1"/>
  <c r="AR872" i="26" s="1"/>
  <c r="BM547" i="26"/>
  <c r="BQ546" i="26" s="1"/>
  <c r="AY873" i="26"/>
  <c r="AW872" i="26" l="1"/>
  <c r="AX872" i="26"/>
  <c r="BF872" i="26"/>
  <c r="BG872" i="26" s="1"/>
  <c r="BP547" i="26"/>
  <c r="BR547" i="26" s="1"/>
  <c r="BN546" i="26"/>
  <c r="BO546" i="26"/>
  <c r="BI546" i="26"/>
  <c r="BW546" i="26"/>
  <c r="BX546" i="26" s="1"/>
  <c r="BA873" i="26"/>
  <c r="AV872" i="26"/>
  <c r="AZ871" i="26" l="1"/>
  <c r="AR871" i="26" s="1"/>
  <c r="BM546" i="26"/>
  <c r="BQ545" i="26" s="1"/>
  <c r="AY872" i="26"/>
  <c r="AW871" i="26" l="1"/>
  <c r="AX871" i="26"/>
  <c r="BF871" i="26"/>
  <c r="BG871" i="26" s="1"/>
  <c r="BP546" i="26"/>
  <c r="BR546" i="26" s="1"/>
  <c r="BO545" i="26"/>
  <c r="BN545" i="26"/>
  <c r="BW545" i="26"/>
  <c r="BX545" i="26" s="1"/>
  <c r="BI545" i="26"/>
  <c r="BA872" i="26"/>
  <c r="AV871" i="26"/>
  <c r="AZ870" i="26" l="1"/>
  <c r="AR870" i="26" s="1"/>
  <c r="BM545" i="26"/>
  <c r="BQ544" i="26" s="1"/>
  <c r="AY871" i="26"/>
  <c r="AW870" i="26" l="1"/>
  <c r="AX870" i="26"/>
  <c r="BF870" i="26"/>
  <c r="BG870" i="26" s="1"/>
  <c r="BP545" i="26"/>
  <c r="BR545" i="26" s="1"/>
  <c r="BW544" i="26"/>
  <c r="BX544" i="26" s="1"/>
  <c r="BN544" i="26"/>
  <c r="BI544" i="26"/>
  <c r="BO544" i="26"/>
  <c r="BA871" i="26"/>
  <c r="AV870" i="26"/>
  <c r="AZ869" i="26" l="1"/>
  <c r="AR869" i="26" s="1"/>
  <c r="BM544" i="26"/>
  <c r="BQ543" i="26" s="1"/>
  <c r="AY870" i="26"/>
  <c r="AW869" i="26" l="1"/>
  <c r="AX869" i="26"/>
  <c r="BF869" i="26"/>
  <c r="BG869" i="26" s="1"/>
  <c r="BP544" i="26"/>
  <c r="BR544" i="26" s="1"/>
  <c r="BI543" i="26"/>
  <c r="BO543" i="26"/>
  <c r="BW543" i="26"/>
  <c r="BX543" i="26" s="1"/>
  <c r="BN543" i="26"/>
  <c r="BA870" i="26"/>
  <c r="AV869" i="26"/>
  <c r="AZ868" i="26" l="1"/>
  <c r="AR868" i="26" s="1"/>
  <c r="BM543" i="26"/>
  <c r="BQ542" i="26" s="1"/>
  <c r="AY869" i="26"/>
  <c r="AW868" i="26" l="1"/>
  <c r="AX868" i="26"/>
  <c r="BF868" i="26"/>
  <c r="BG868" i="26" s="1"/>
  <c r="BP543" i="26"/>
  <c r="BR543" i="26" s="1"/>
  <c r="BO542" i="26"/>
  <c r="BI542" i="26"/>
  <c r="BN542" i="26"/>
  <c r="BW542" i="26"/>
  <c r="BX542" i="26" s="1"/>
  <c r="BA869" i="26"/>
  <c r="AV868" i="26"/>
  <c r="AZ867" i="26" l="1"/>
  <c r="AR867" i="26" s="1"/>
  <c r="BM542" i="26"/>
  <c r="BQ541" i="26" s="1"/>
  <c r="AY868" i="26"/>
  <c r="AW867" i="26" l="1"/>
  <c r="AX867" i="26"/>
  <c r="BF867" i="26"/>
  <c r="BG867" i="26" s="1"/>
  <c r="BP542" i="26"/>
  <c r="BR542" i="26" s="1"/>
  <c r="BW541" i="26"/>
  <c r="BX541" i="26" s="1"/>
  <c r="BO541" i="26"/>
  <c r="BN541" i="26"/>
  <c r="BI541" i="26"/>
  <c r="BA868" i="26"/>
  <c r="AV867" i="26"/>
  <c r="AZ866" i="26" l="1"/>
  <c r="AR866" i="26" s="1"/>
  <c r="BM541" i="26"/>
  <c r="BQ540" i="26" s="1"/>
  <c r="AY867" i="26"/>
  <c r="AW866" i="26" l="1"/>
  <c r="AX866" i="26"/>
  <c r="BF866" i="26"/>
  <c r="BG866" i="26" s="1"/>
  <c r="BP541" i="26"/>
  <c r="BR541" i="26" s="1"/>
  <c r="BW540" i="26"/>
  <c r="BX540" i="26" s="1"/>
  <c r="BI540" i="26"/>
  <c r="BO540" i="26"/>
  <c r="BN540" i="26"/>
  <c r="BA867" i="26"/>
  <c r="AV866" i="26"/>
  <c r="AZ865" i="26" l="1"/>
  <c r="AR865" i="26" s="1"/>
  <c r="BM540" i="26"/>
  <c r="BQ539" i="26" s="1"/>
  <c r="AY866" i="26"/>
  <c r="AW865" i="26" l="1"/>
  <c r="AX865" i="26"/>
  <c r="BF865" i="26"/>
  <c r="BG865" i="26" s="1"/>
  <c r="BP540" i="26"/>
  <c r="BR540" i="26" s="1"/>
  <c r="BN539" i="26"/>
  <c r="BO539" i="26"/>
  <c r="BI539" i="26"/>
  <c r="BW539" i="26"/>
  <c r="BX539" i="26" s="1"/>
  <c r="BA866" i="26"/>
  <c r="AV865" i="26"/>
  <c r="AZ864" i="26" l="1"/>
  <c r="AR864" i="26" s="1"/>
  <c r="BM539" i="26"/>
  <c r="BQ538" i="26" s="1"/>
  <c r="AY865" i="26"/>
  <c r="AW864" i="26" l="1"/>
  <c r="AX864" i="26"/>
  <c r="BF864" i="26"/>
  <c r="BG864" i="26" s="1"/>
  <c r="BP539" i="26"/>
  <c r="BR539" i="26" s="1"/>
  <c r="BI538" i="26"/>
  <c r="BW538" i="26"/>
  <c r="BX538" i="26" s="1"/>
  <c r="BN538" i="26"/>
  <c r="BO538" i="26"/>
  <c r="BA865" i="26"/>
  <c r="AV864" i="26"/>
  <c r="AZ863" i="26" l="1"/>
  <c r="AR863" i="26" s="1"/>
  <c r="BM538" i="26"/>
  <c r="BQ537" i="26" s="1"/>
  <c r="AY864" i="26"/>
  <c r="AW863" i="26" l="1"/>
  <c r="AX863" i="26"/>
  <c r="BF863" i="26"/>
  <c r="BG863" i="26" s="1"/>
  <c r="BP538" i="26"/>
  <c r="BR538" i="26" s="1"/>
  <c r="BO537" i="26"/>
  <c r="BW537" i="26"/>
  <c r="BX537" i="26" s="1"/>
  <c r="BN537" i="26"/>
  <c r="BI537" i="26"/>
  <c r="BA864" i="26"/>
  <c r="AV863" i="26"/>
  <c r="AZ862" i="26" l="1"/>
  <c r="AR862" i="26" s="1"/>
  <c r="BM537" i="26"/>
  <c r="BQ536" i="26" s="1"/>
  <c r="AY863" i="26"/>
  <c r="AW862" i="26" l="1"/>
  <c r="AX862" i="26"/>
  <c r="BF862" i="26"/>
  <c r="BG862" i="26" s="1"/>
  <c r="BP537" i="26"/>
  <c r="BR537" i="26" s="1"/>
  <c r="BW536" i="26"/>
  <c r="BX536" i="26" s="1"/>
  <c r="BN536" i="26"/>
  <c r="BO536" i="26"/>
  <c r="BI536" i="26"/>
  <c r="BA863" i="26"/>
  <c r="AV862" i="26"/>
  <c r="AZ861" i="26" l="1"/>
  <c r="AR861" i="26" s="1"/>
  <c r="BM536" i="26"/>
  <c r="BQ535" i="26" s="1"/>
  <c r="AY862" i="26"/>
  <c r="AW861" i="26" l="1"/>
  <c r="AX861" i="26"/>
  <c r="BF861" i="26"/>
  <c r="BG861" i="26" s="1"/>
  <c r="BP536" i="26"/>
  <c r="BR536" i="26" s="1"/>
  <c r="BO535" i="26"/>
  <c r="BI535" i="26"/>
  <c r="BW535" i="26"/>
  <c r="BX535" i="26" s="1"/>
  <c r="BN535" i="26"/>
  <c r="BA862" i="26"/>
  <c r="AV861" i="26"/>
  <c r="AZ860" i="26" l="1"/>
  <c r="AW860" i="26" s="1"/>
  <c r="BM535" i="26"/>
  <c r="BQ534" i="26" s="1"/>
  <c r="AY861" i="26"/>
  <c r="BP535" i="26" l="1"/>
  <c r="BR535" i="26" s="1"/>
  <c r="AX860" i="26"/>
  <c r="AR860" i="26"/>
  <c r="AV860" i="26" s="1"/>
  <c r="BF860" i="26"/>
  <c r="BG860" i="26" s="1"/>
  <c r="BO534" i="26"/>
  <c r="BN534" i="26"/>
  <c r="BW534" i="26"/>
  <c r="BX534" i="26" s="1"/>
  <c r="BI534" i="26"/>
  <c r="BA861" i="26"/>
  <c r="AZ859" i="26" l="1"/>
  <c r="AR859" i="26" s="1"/>
  <c r="BM534" i="26"/>
  <c r="BQ533" i="26" s="1"/>
  <c r="AY860" i="26"/>
  <c r="AW859" i="26" l="1"/>
  <c r="AX859" i="26"/>
  <c r="BF859" i="26"/>
  <c r="BG859" i="26" s="1"/>
  <c r="BP534" i="26"/>
  <c r="BR534" i="26" s="1"/>
  <c r="BO533" i="26"/>
  <c r="BI533" i="26"/>
  <c r="BN533" i="26"/>
  <c r="BW533" i="26"/>
  <c r="BX533" i="26" s="1"/>
  <c r="BA860" i="26"/>
  <c r="AV859" i="26"/>
  <c r="AZ858" i="26" l="1"/>
  <c r="AR858" i="26" s="1"/>
  <c r="BM533" i="26"/>
  <c r="BQ532" i="26" s="1"/>
  <c r="AY859" i="26"/>
  <c r="AW858" i="26" l="1"/>
  <c r="AX858" i="26"/>
  <c r="BF858" i="26"/>
  <c r="BG858" i="26" s="1"/>
  <c r="BP533" i="26"/>
  <c r="BR533" i="26" s="1"/>
  <c r="BO532" i="26"/>
  <c r="BW532" i="26"/>
  <c r="BX532" i="26" s="1"/>
  <c r="BN532" i="26"/>
  <c r="BI532" i="26"/>
  <c r="BA859" i="26"/>
  <c r="AV858" i="26"/>
  <c r="AZ857" i="26" l="1"/>
  <c r="AR857" i="26" s="1"/>
  <c r="BM532" i="26"/>
  <c r="BQ531" i="26" s="1"/>
  <c r="AY858" i="26"/>
  <c r="AW857" i="26" l="1"/>
  <c r="AX857" i="26"/>
  <c r="BF857" i="26"/>
  <c r="BG857" i="26" s="1"/>
  <c r="BP532" i="26"/>
  <c r="BR532" i="26" s="1"/>
  <c r="BI531" i="26"/>
  <c r="BW531" i="26"/>
  <c r="BX531" i="26" s="1"/>
  <c r="BN531" i="26"/>
  <c r="BO531" i="26"/>
  <c r="BA858" i="26"/>
  <c r="AV857" i="26"/>
  <c r="AZ856" i="26" l="1"/>
  <c r="AR856" i="26" s="1"/>
  <c r="BM531" i="26"/>
  <c r="BQ530" i="26" s="1"/>
  <c r="AY857" i="26"/>
  <c r="AW856" i="26" l="1"/>
  <c r="AX856" i="26"/>
  <c r="BF856" i="26"/>
  <c r="BG856" i="26" s="1"/>
  <c r="BP531" i="26"/>
  <c r="BR531" i="26" s="1"/>
  <c r="BO530" i="26"/>
  <c r="BN530" i="26"/>
  <c r="BW530" i="26"/>
  <c r="BX530" i="26" s="1"/>
  <c r="BI530" i="26"/>
  <c r="BA857" i="26"/>
  <c r="AV856" i="26"/>
  <c r="AZ855" i="26" l="1"/>
  <c r="AR855" i="26" s="1"/>
  <c r="BM530" i="26"/>
  <c r="BQ529" i="26" s="1"/>
  <c r="AY856" i="26"/>
  <c r="AW855" i="26" l="1"/>
  <c r="AX855" i="26"/>
  <c r="BF855" i="26"/>
  <c r="BG855" i="26" s="1"/>
  <c r="BP530" i="26"/>
  <c r="BR530" i="26" s="1"/>
  <c r="BW529" i="26"/>
  <c r="BX529" i="26" s="1"/>
  <c r="BN529" i="26"/>
  <c r="BO529" i="26"/>
  <c r="BI529" i="26"/>
  <c r="BA856" i="26"/>
  <c r="AV855" i="26"/>
  <c r="AZ854" i="26" l="1"/>
  <c r="AW854" i="26" s="1"/>
  <c r="BM529" i="26"/>
  <c r="BQ528" i="26" s="1"/>
  <c r="AY855" i="26"/>
  <c r="BP529" i="26" l="1"/>
  <c r="BR529" i="26" s="1"/>
  <c r="AX854" i="26"/>
  <c r="AR854" i="26"/>
  <c r="AV854" i="26" s="1"/>
  <c r="BF854" i="26"/>
  <c r="BG854" i="26" s="1"/>
  <c r="BI528" i="26"/>
  <c r="BO528" i="26"/>
  <c r="BN528" i="26"/>
  <c r="BW528" i="26"/>
  <c r="BX528" i="26" s="1"/>
  <c r="BA855" i="26"/>
  <c r="AZ853" i="26" l="1"/>
  <c r="BF853" i="26" s="1"/>
  <c r="BG853" i="26" s="1"/>
  <c r="BM528" i="26"/>
  <c r="BQ527" i="26" s="1"/>
  <c r="AY854" i="26"/>
  <c r="AX853" i="26" l="1"/>
  <c r="AR853" i="26"/>
  <c r="AV853" i="26" s="1"/>
  <c r="AW853" i="26"/>
  <c r="BP528" i="26"/>
  <c r="BR528" i="26" s="1"/>
  <c r="BN527" i="26"/>
  <c r="BW527" i="26"/>
  <c r="BX527" i="26" s="1"/>
  <c r="BO527" i="26"/>
  <c r="BI527" i="26"/>
  <c r="BA854" i="26"/>
  <c r="AZ852" i="26" l="1"/>
  <c r="BF852" i="26" s="1"/>
  <c r="BG852" i="26" s="1"/>
  <c r="BM527" i="26"/>
  <c r="BQ526" i="26" s="1"/>
  <c r="AY853" i="26"/>
  <c r="AW852" i="26" l="1"/>
  <c r="AR852" i="26"/>
  <c r="AV852" i="26" s="1"/>
  <c r="AX852" i="26"/>
  <c r="BP527" i="26"/>
  <c r="BR527" i="26" s="1"/>
  <c r="BN526" i="26"/>
  <c r="BW526" i="26"/>
  <c r="BX526" i="26" s="1"/>
  <c r="BO526" i="26"/>
  <c r="BI526" i="26"/>
  <c r="BA853" i="26"/>
  <c r="AZ851" i="26" l="1"/>
  <c r="BF851" i="26" s="1"/>
  <c r="BG851" i="26" s="1"/>
  <c r="BM526" i="26"/>
  <c r="BQ525" i="26" s="1"/>
  <c r="AY852" i="26"/>
  <c r="BP526" i="26" l="1"/>
  <c r="BR526" i="26" s="1"/>
  <c r="AW851" i="26"/>
  <c r="AX851" i="26"/>
  <c r="AR851" i="26"/>
  <c r="AV851" i="26" s="1"/>
  <c r="BO525" i="26"/>
  <c r="BW525" i="26"/>
  <c r="BX525" i="26" s="1"/>
  <c r="BI525" i="26"/>
  <c r="BN525" i="26"/>
  <c r="BA852" i="26"/>
  <c r="AZ850" i="26" l="1"/>
  <c r="BF850" i="26" s="1"/>
  <c r="BG850" i="26" s="1"/>
  <c r="BM525" i="26"/>
  <c r="BQ524" i="26" s="1"/>
  <c r="AY851" i="26"/>
  <c r="AW850" i="26" l="1"/>
  <c r="AR850" i="26"/>
  <c r="AV850" i="26" s="1"/>
  <c r="AX850" i="26"/>
  <c r="BP525" i="26"/>
  <c r="BR525" i="26" s="1"/>
  <c r="BO524" i="26"/>
  <c r="BN524" i="26"/>
  <c r="BI524" i="26"/>
  <c r="BW524" i="26"/>
  <c r="BX524" i="26" s="1"/>
  <c r="BA851" i="26"/>
  <c r="AZ849" i="26" l="1"/>
  <c r="BF849" i="26" s="1"/>
  <c r="BG849" i="26" s="1"/>
  <c r="BM524" i="26"/>
  <c r="BQ523" i="26" s="1"/>
  <c r="AY850" i="26"/>
  <c r="BP524" i="26" l="1"/>
  <c r="BR524" i="26" s="1"/>
  <c r="AW849" i="26"/>
  <c r="AX849" i="26"/>
  <c r="AR849" i="26"/>
  <c r="AV849" i="26" s="1"/>
  <c r="BI523" i="26"/>
  <c r="BN523" i="26"/>
  <c r="BO523" i="26"/>
  <c r="BW523" i="26"/>
  <c r="BX523" i="26" s="1"/>
  <c r="BA850" i="26"/>
  <c r="AZ848" i="26" l="1"/>
  <c r="BF848" i="26" s="1"/>
  <c r="BG848" i="26" s="1"/>
  <c r="BM523" i="26"/>
  <c r="BQ522" i="26" s="1"/>
  <c r="AY849" i="26"/>
  <c r="AW848" i="26" l="1"/>
  <c r="AR848" i="26"/>
  <c r="AV848" i="26" s="1"/>
  <c r="AX848" i="26"/>
  <c r="BP523" i="26"/>
  <c r="BR523" i="26" s="1"/>
  <c r="BO522" i="26"/>
  <c r="BI522" i="26"/>
  <c r="BN522" i="26"/>
  <c r="BW522" i="26"/>
  <c r="BX522" i="26" s="1"/>
  <c r="BA849" i="26"/>
  <c r="AZ847" i="26" l="1"/>
  <c r="BF847" i="26" s="1"/>
  <c r="BG847" i="26" s="1"/>
  <c r="BM522" i="26"/>
  <c r="BQ521" i="26" s="1"/>
  <c r="AY848" i="26"/>
  <c r="AR847" i="26" l="1"/>
  <c r="AV847" i="26" s="1"/>
  <c r="AW847" i="26"/>
  <c r="AX847" i="26"/>
  <c r="BP522" i="26"/>
  <c r="BR522" i="26" s="1"/>
  <c r="BI521" i="26"/>
  <c r="BW521" i="26"/>
  <c r="BX521" i="26" s="1"/>
  <c r="BO521" i="26"/>
  <c r="BN521" i="26"/>
  <c r="BA848" i="26"/>
  <c r="AZ846" i="26" l="1"/>
  <c r="BF846" i="26" s="1"/>
  <c r="BG846" i="26" s="1"/>
  <c r="BM521" i="26"/>
  <c r="BQ520" i="26" s="1"/>
  <c r="AY847" i="26"/>
  <c r="AW846" i="26" l="1"/>
  <c r="AR846" i="26"/>
  <c r="AV846" i="26" s="1"/>
  <c r="AX846" i="26"/>
  <c r="BP521" i="26"/>
  <c r="BR521" i="26" s="1"/>
  <c r="BI520" i="26"/>
  <c r="BN520" i="26"/>
  <c r="BO520" i="26"/>
  <c r="BW520" i="26"/>
  <c r="BX520" i="26" s="1"/>
  <c r="BA847" i="26"/>
  <c r="AZ845" i="26" l="1"/>
  <c r="BF845" i="26" s="1"/>
  <c r="BG845" i="26" s="1"/>
  <c r="BM520" i="26"/>
  <c r="BQ519" i="26" s="1"/>
  <c r="AY846" i="26"/>
  <c r="AW845" i="26" l="1"/>
  <c r="AR845" i="26"/>
  <c r="AV845" i="26" s="1"/>
  <c r="AX845" i="26"/>
  <c r="BP520" i="26"/>
  <c r="BR520" i="26" s="1"/>
  <c r="BW519" i="26"/>
  <c r="BX519" i="26" s="1"/>
  <c r="BN519" i="26"/>
  <c r="BI519" i="26"/>
  <c r="BO519" i="26"/>
  <c r="BA846" i="26"/>
  <c r="AZ844" i="26" l="1"/>
  <c r="BF844" i="26" s="1"/>
  <c r="BG844" i="26" s="1"/>
  <c r="BM519" i="26"/>
  <c r="BQ518" i="26" s="1"/>
  <c r="AY845" i="26"/>
  <c r="AR844" i="26" l="1"/>
  <c r="AV844" i="26" s="1"/>
  <c r="AW844" i="26"/>
  <c r="AX844" i="26"/>
  <c r="BP519" i="26"/>
  <c r="BR519" i="26" s="1"/>
  <c r="BW518" i="26"/>
  <c r="BX518" i="26" s="1"/>
  <c r="BN518" i="26"/>
  <c r="BI518" i="26"/>
  <c r="BO518" i="26"/>
  <c r="BA845" i="26"/>
  <c r="AZ843" i="26" l="1"/>
  <c r="BF843" i="26" s="1"/>
  <c r="BG843" i="26" s="1"/>
  <c r="BM518" i="26"/>
  <c r="BQ517" i="26" s="1"/>
  <c r="AY844" i="26"/>
  <c r="AR843" i="26" l="1"/>
  <c r="AV843" i="26" s="1"/>
  <c r="AW843" i="26"/>
  <c r="AX843" i="26"/>
  <c r="BP518" i="26"/>
  <c r="BR518" i="26" s="1"/>
  <c r="BW517" i="26"/>
  <c r="BX517" i="26" s="1"/>
  <c r="BN517" i="26"/>
  <c r="BI517" i="26"/>
  <c r="BO517" i="26"/>
  <c r="BA844" i="26"/>
  <c r="AZ842" i="26" l="1"/>
  <c r="BF842" i="26" s="1"/>
  <c r="BG842" i="26" s="1"/>
  <c r="BM517" i="26"/>
  <c r="BQ516" i="26" s="1"/>
  <c r="AY843" i="26"/>
  <c r="BP517" i="26" l="1"/>
  <c r="BR517" i="26" s="1"/>
  <c r="AW842" i="26"/>
  <c r="AX842" i="26"/>
  <c r="AR842" i="26"/>
  <c r="AV842" i="26" s="1"/>
  <c r="BN516" i="26"/>
  <c r="BI516" i="26"/>
  <c r="BW516" i="26"/>
  <c r="BX516" i="26" s="1"/>
  <c r="BO516" i="26"/>
  <c r="BA843" i="26"/>
  <c r="AZ841" i="26" l="1"/>
  <c r="BF841" i="26" s="1"/>
  <c r="BG841" i="26" s="1"/>
  <c r="BM516" i="26"/>
  <c r="BQ515" i="26" s="1"/>
  <c r="AY842" i="26"/>
  <c r="AR841" i="26" l="1"/>
  <c r="AV841" i="26" s="1"/>
  <c r="AW841" i="26"/>
  <c r="AX841" i="26"/>
  <c r="BP516" i="26"/>
  <c r="BR516" i="26" s="1"/>
  <c r="BI515" i="26"/>
  <c r="BW515" i="26"/>
  <c r="BX515" i="26" s="1"/>
  <c r="BO515" i="26"/>
  <c r="BN515" i="26"/>
  <c r="BA842" i="26"/>
  <c r="AZ840" i="26" l="1"/>
  <c r="BF840" i="26" s="1"/>
  <c r="BG840" i="26" s="1"/>
  <c r="BM515" i="26"/>
  <c r="BQ514" i="26" s="1"/>
  <c r="AY841" i="26"/>
  <c r="AW840" i="26" l="1"/>
  <c r="AR840" i="26"/>
  <c r="AV840" i="26" s="1"/>
  <c r="AX840" i="26"/>
  <c r="BP515" i="26"/>
  <c r="BR515" i="26" s="1"/>
  <c r="BI514" i="26"/>
  <c r="BN514" i="26"/>
  <c r="BW514" i="26"/>
  <c r="BX514" i="26" s="1"/>
  <c r="BO514" i="26"/>
  <c r="BA841" i="26"/>
  <c r="AZ839" i="26" l="1"/>
  <c r="BF839" i="26" s="1"/>
  <c r="BG839" i="26" s="1"/>
  <c r="BM514" i="26"/>
  <c r="BQ513" i="26" s="1"/>
  <c r="AY840" i="26"/>
  <c r="AR839" i="26" l="1"/>
  <c r="AV839" i="26" s="1"/>
  <c r="AW839" i="26"/>
  <c r="AX839" i="26"/>
  <c r="BP514" i="26"/>
  <c r="BR514" i="26" s="1"/>
  <c r="BO513" i="26"/>
  <c r="BW513" i="26"/>
  <c r="BX513" i="26" s="1"/>
  <c r="BI513" i="26"/>
  <c r="BN513" i="26"/>
  <c r="BA840" i="26"/>
  <c r="AZ838" i="26" l="1"/>
  <c r="BF838" i="26" s="1"/>
  <c r="BG838" i="26" s="1"/>
  <c r="BM513" i="26"/>
  <c r="BQ512" i="26" s="1"/>
  <c r="AY839" i="26"/>
  <c r="BP513" i="26" l="1"/>
  <c r="BR513" i="26" s="1"/>
  <c r="AW838" i="26"/>
  <c r="AX838" i="26"/>
  <c r="AR838" i="26"/>
  <c r="AV838" i="26" s="1"/>
  <c r="BO512" i="26"/>
  <c r="BN512" i="26"/>
  <c r="BW512" i="26"/>
  <c r="BX512" i="26" s="1"/>
  <c r="BI512" i="26"/>
  <c r="BA839" i="26"/>
  <c r="AZ837" i="26" l="1"/>
  <c r="BF837" i="26" s="1"/>
  <c r="BG837" i="26" s="1"/>
  <c r="BM512" i="26"/>
  <c r="BQ511" i="26" s="1"/>
  <c r="AY838" i="26"/>
  <c r="AW837" i="26" l="1"/>
  <c r="AR837" i="26"/>
  <c r="AV837" i="26" s="1"/>
  <c r="AX837" i="26"/>
  <c r="BP512" i="26"/>
  <c r="BR512" i="26" s="1"/>
  <c r="BW511" i="26"/>
  <c r="BX511" i="26" s="1"/>
  <c r="BN511" i="26"/>
  <c r="BO511" i="26"/>
  <c r="BI511" i="26"/>
  <c r="BA838" i="26"/>
  <c r="AZ836" i="26" l="1"/>
  <c r="BF836" i="26" s="1"/>
  <c r="BG836" i="26" s="1"/>
  <c r="BM511" i="26"/>
  <c r="BQ510" i="26" s="1"/>
  <c r="AY837" i="26"/>
  <c r="AW836" i="26" l="1"/>
  <c r="AR836" i="26"/>
  <c r="AV836" i="26" s="1"/>
  <c r="AX836" i="26"/>
  <c r="BP511" i="26"/>
  <c r="BR511" i="26" s="1"/>
  <c r="BN510" i="26"/>
  <c r="BW510" i="26"/>
  <c r="BX510" i="26" s="1"/>
  <c r="BO510" i="26"/>
  <c r="BI510" i="26"/>
  <c r="BA837" i="26"/>
  <c r="AZ835" i="26" l="1"/>
  <c r="BF835" i="26" s="1"/>
  <c r="BG835" i="26" s="1"/>
  <c r="BM510" i="26"/>
  <c r="BQ509" i="26" s="1"/>
  <c r="AY836" i="26"/>
  <c r="AW835" i="26" l="1"/>
  <c r="AR835" i="26"/>
  <c r="AV835" i="26" s="1"/>
  <c r="AX835" i="26"/>
  <c r="BP510" i="26"/>
  <c r="BR510" i="26" s="1"/>
  <c r="BO509" i="26"/>
  <c r="BN509" i="26"/>
  <c r="BI509" i="26"/>
  <c r="BW509" i="26"/>
  <c r="BX509" i="26" s="1"/>
  <c r="BA836" i="26"/>
  <c r="AZ834" i="26" l="1"/>
  <c r="BF834" i="26" s="1"/>
  <c r="BG834" i="26" s="1"/>
  <c r="BM509" i="26"/>
  <c r="BQ508" i="26" s="1"/>
  <c r="AY835" i="26"/>
  <c r="AW834" i="26" l="1"/>
  <c r="AR834" i="26"/>
  <c r="AV834" i="26" s="1"/>
  <c r="AX834" i="26"/>
  <c r="BP509" i="26"/>
  <c r="BR509" i="26" s="1"/>
  <c r="BO508" i="26"/>
  <c r="BN508" i="26"/>
  <c r="BI508" i="26"/>
  <c r="BW508" i="26"/>
  <c r="BX508" i="26" s="1"/>
  <c r="BA835" i="26"/>
  <c r="AZ833" i="26" l="1"/>
  <c r="BF833" i="26" s="1"/>
  <c r="BG833" i="26" s="1"/>
  <c r="BM508" i="26"/>
  <c r="BQ507" i="26" s="1"/>
  <c r="AY834" i="26"/>
  <c r="AW833" i="26" l="1"/>
  <c r="AR833" i="26"/>
  <c r="AV833" i="26" s="1"/>
  <c r="AX833" i="26"/>
  <c r="BP508" i="26"/>
  <c r="BR508" i="26" s="1"/>
  <c r="BO507" i="26"/>
  <c r="BI507" i="26"/>
  <c r="BN507" i="26"/>
  <c r="BW507" i="26"/>
  <c r="BX507" i="26" s="1"/>
  <c r="BA834" i="26"/>
  <c r="AZ832" i="26" l="1"/>
  <c r="BF832" i="26" s="1"/>
  <c r="BG832" i="26" s="1"/>
  <c r="BM507" i="26"/>
  <c r="BQ506" i="26" s="1"/>
  <c r="AY833" i="26"/>
  <c r="AW832" i="26" l="1"/>
  <c r="AR832" i="26"/>
  <c r="AV832" i="26" s="1"/>
  <c r="AX832" i="26"/>
  <c r="BP507" i="26"/>
  <c r="BR507" i="26" s="1"/>
  <c r="BI506" i="26"/>
  <c r="BO506" i="26"/>
  <c r="BN506" i="26"/>
  <c r="BW506" i="26"/>
  <c r="BX506" i="26" s="1"/>
  <c r="BA833" i="26"/>
  <c r="AZ831" i="26" l="1"/>
  <c r="BF831" i="26" s="1"/>
  <c r="BG831" i="26" s="1"/>
  <c r="BM506" i="26"/>
  <c r="BQ505" i="26" s="1"/>
  <c r="AY832" i="26"/>
  <c r="AW831" i="26" l="1"/>
  <c r="AR831" i="26"/>
  <c r="AV831" i="26" s="1"/>
  <c r="AX831" i="26"/>
  <c r="BP506" i="26"/>
  <c r="BR506" i="26" s="1"/>
  <c r="BN505" i="26"/>
  <c r="BO505" i="26"/>
  <c r="BW505" i="26"/>
  <c r="BX505" i="26" s="1"/>
  <c r="BI505" i="26"/>
  <c r="BA832" i="26"/>
  <c r="AZ830" i="26" l="1"/>
  <c r="BF830" i="26" s="1"/>
  <c r="BG830" i="26" s="1"/>
  <c r="BM505" i="26"/>
  <c r="BQ504" i="26" s="1"/>
  <c r="AY831" i="26"/>
  <c r="AW830" i="26" l="1"/>
  <c r="AR830" i="26"/>
  <c r="AV830" i="26" s="1"/>
  <c r="AX830" i="26"/>
  <c r="BP505" i="26"/>
  <c r="BR505" i="26" s="1"/>
  <c r="BO504" i="26"/>
  <c r="BN504" i="26"/>
  <c r="BW504" i="26"/>
  <c r="BX504" i="26" s="1"/>
  <c r="BI504" i="26"/>
  <c r="BA831" i="26"/>
  <c r="AZ829" i="26" l="1"/>
  <c r="BF829" i="26" s="1"/>
  <c r="BG829" i="26" s="1"/>
  <c r="BM504" i="26"/>
  <c r="BQ503" i="26" s="1"/>
  <c r="AY830" i="26"/>
  <c r="AW829" i="26" l="1"/>
  <c r="AR829" i="26"/>
  <c r="AV829" i="26" s="1"/>
  <c r="AX829" i="26"/>
  <c r="BP504" i="26"/>
  <c r="BR504" i="26" s="1"/>
  <c r="BW503" i="26"/>
  <c r="BX503" i="26" s="1"/>
  <c r="BI503" i="26"/>
  <c r="BN503" i="26"/>
  <c r="BO503" i="26"/>
  <c r="BA830" i="26"/>
  <c r="AZ828" i="26" l="1"/>
  <c r="BF828" i="26" s="1"/>
  <c r="BG828" i="26" s="1"/>
  <c r="BM503" i="26"/>
  <c r="BQ502" i="26" s="1"/>
  <c r="AY829" i="26"/>
  <c r="AW828" i="26" l="1"/>
  <c r="AR828" i="26"/>
  <c r="AV828" i="26" s="1"/>
  <c r="AX828" i="26"/>
  <c r="BP503" i="26"/>
  <c r="BR503" i="26" s="1"/>
  <c r="BN502" i="26"/>
  <c r="BW502" i="26"/>
  <c r="BX502" i="26" s="1"/>
  <c r="BI502" i="26"/>
  <c r="BO502" i="26"/>
  <c r="BA829" i="26"/>
  <c r="AZ827" i="26" l="1"/>
  <c r="BF827" i="26" s="1"/>
  <c r="BG827" i="26" s="1"/>
  <c r="BM502" i="26"/>
  <c r="BQ501" i="26" s="1"/>
  <c r="AY828" i="26"/>
  <c r="AW827" i="26" l="1"/>
  <c r="AR827" i="26"/>
  <c r="AV827" i="26" s="1"/>
  <c r="AX827" i="26"/>
  <c r="BP502" i="26"/>
  <c r="BR502" i="26" s="1"/>
  <c r="BW501" i="26"/>
  <c r="BX501" i="26" s="1"/>
  <c r="BN501" i="26"/>
  <c r="BI501" i="26"/>
  <c r="BO501" i="26"/>
  <c r="BA828" i="26"/>
  <c r="AZ826" i="26" l="1"/>
  <c r="BF826" i="26" s="1"/>
  <c r="BG826" i="26" s="1"/>
  <c r="BM501" i="26"/>
  <c r="BQ500" i="26" s="1"/>
  <c r="AY827" i="26"/>
  <c r="AW826" i="26" l="1"/>
  <c r="AR826" i="26"/>
  <c r="AV826" i="26" s="1"/>
  <c r="AX826" i="26"/>
  <c r="BP501" i="26"/>
  <c r="BR501" i="26" s="1"/>
  <c r="BW500" i="26"/>
  <c r="BX500" i="26" s="1"/>
  <c r="BN500" i="26"/>
  <c r="BI500" i="26"/>
  <c r="BO500" i="26"/>
  <c r="BA827" i="26"/>
  <c r="AZ825" i="26" l="1"/>
  <c r="BF825" i="26" s="1"/>
  <c r="BG825" i="26" s="1"/>
  <c r="BM500" i="26"/>
  <c r="BQ499" i="26" s="1"/>
  <c r="AY826" i="26"/>
  <c r="AW825" i="26" l="1"/>
  <c r="AR825" i="26"/>
  <c r="AV825" i="26" s="1"/>
  <c r="AX825" i="26"/>
  <c r="BP500" i="26"/>
  <c r="BR500" i="26" s="1"/>
  <c r="BW499" i="26"/>
  <c r="BX499" i="26" s="1"/>
  <c r="BO499" i="26"/>
  <c r="BN499" i="26"/>
  <c r="BI499" i="26"/>
  <c r="BA826" i="26"/>
  <c r="AZ824" i="26" l="1"/>
  <c r="BF824" i="26" s="1"/>
  <c r="BG824" i="26" s="1"/>
  <c r="BM499" i="26"/>
  <c r="BQ498" i="26" s="1"/>
  <c r="AY825" i="26"/>
  <c r="AW824" i="26" l="1"/>
  <c r="AR824" i="26"/>
  <c r="AV824" i="26" s="1"/>
  <c r="AX824" i="26"/>
  <c r="BP499" i="26"/>
  <c r="BR499" i="26" s="1"/>
  <c r="BO498" i="26"/>
  <c r="BW498" i="26"/>
  <c r="BX498" i="26" s="1"/>
  <c r="BN498" i="26"/>
  <c r="BI498" i="26"/>
  <c r="BA825" i="26"/>
  <c r="AZ823" i="26" l="1"/>
  <c r="BF823" i="26" s="1"/>
  <c r="BG823" i="26" s="1"/>
  <c r="BM498" i="26"/>
  <c r="BQ497" i="26" s="1"/>
  <c r="AY824" i="26"/>
  <c r="AW823" i="26" l="1"/>
  <c r="AR823" i="26"/>
  <c r="AV823" i="26" s="1"/>
  <c r="AX823" i="26"/>
  <c r="BP498" i="26"/>
  <c r="BR498" i="26" s="1"/>
  <c r="BO497" i="26"/>
  <c r="BN497" i="26"/>
  <c r="BI497" i="26"/>
  <c r="BW497" i="26"/>
  <c r="BX497" i="26" s="1"/>
  <c r="BA824" i="26"/>
  <c r="AZ822" i="26" l="1"/>
  <c r="BF822" i="26" s="1"/>
  <c r="BG822" i="26" s="1"/>
  <c r="BM497" i="26"/>
  <c r="BQ496" i="26" s="1"/>
  <c r="AY823" i="26"/>
  <c r="AW822" i="26" l="1"/>
  <c r="AR822" i="26"/>
  <c r="AV822" i="26" s="1"/>
  <c r="AX822" i="26"/>
  <c r="BP497" i="26"/>
  <c r="BR497" i="26" s="1"/>
  <c r="BO496" i="26"/>
  <c r="BI496" i="26"/>
  <c r="BW496" i="26"/>
  <c r="BX496" i="26" s="1"/>
  <c r="BN496" i="26"/>
  <c r="BA823" i="26"/>
  <c r="AZ821" i="26" l="1"/>
  <c r="BF821" i="26" s="1"/>
  <c r="BG821" i="26" s="1"/>
  <c r="BM496" i="26"/>
  <c r="BQ495" i="26" s="1"/>
  <c r="AY822" i="26"/>
  <c r="AR821" i="26" l="1"/>
  <c r="AV821" i="26" s="1"/>
  <c r="AW821" i="26"/>
  <c r="AX821" i="26"/>
  <c r="BP496" i="26"/>
  <c r="BR496" i="26" s="1"/>
  <c r="BI495" i="26"/>
  <c r="BW495" i="26"/>
  <c r="BX495" i="26" s="1"/>
  <c r="BN495" i="26"/>
  <c r="BO495" i="26"/>
  <c r="BA822" i="26"/>
  <c r="AZ820" i="26" l="1"/>
  <c r="BF820" i="26" s="1"/>
  <c r="BG820" i="26" s="1"/>
  <c r="BM495" i="26"/>
  <c r="BQ494" i="26" s="1"/>
  <c r="AY821" i="26"/>
  <c r="AR820" i="26" l="1"/>
  <c r="AV820" i="26" s="1"/>
  <c r="AW820" i="26"/>
  <c r="AX820" i="26"/>
  <c r="BP495" i="26"/>
  <c r="BR495" i="26" s="1"/>
  <c r="BO494" i="26"/>
  <c r="BI494" i="26"/>
  <c r="BN494" i="26"/>
  <c r="BW494" i="26"/>
  <c r="BX494" i="26" s="1"/>
  <c r="BA821" i="26"/>
  <c r="AZ819" i="26" l="1"/>
  <c r="BF819" i="26" s="1"/>
  <c r="BG819" i="26" s="1"/>
  <c r="BM494" i="26"/>
  <c r="BQ493" i="26" s="1"/>
  <c r="AY820" i="26"/>
  <c r="BP494" i="26" l="1"/>
  <c r="BR494" i="26" s="1"/>
  <c r="AW819" i="26"/>
  <c r="AX819" i="26"/>
  <c r="AR819" i="26"/>
  <c r="AV819" i="26" s="1"/>
  <c r="BN493" i="26"/>
  <c r="BI493" i="26"/>
  <c r="BO493" i="26"/>
  <c r="BW493" i="26"/>
  <c r="BX493" i="26" s="1"/>
  <c r="BA820" i="26"/>
  <c r="AZ818" i="26" l="1"/>
  <c r="BF818" i="26" s="1"/>
  <c r="BG818" i="26" s="1"/>
  <c r="BM493" i="26"/>
  <c r="BQ492" i="26" s="1"/>
  <c r="AY819" i="26"/>
  <c r="AW818" i="26" l="1"/>
  <c r="AR818" i="26"/>
  <c r="AV818" i="26" s="1"/>
  <c r="AX818" i="26"/>
  <c r="BP493" i="26"/>
  <c r="BR493" i="26" s="1"/>
  <c r="BW492" i="26"/>
  <c r="BX492" i="26" s="1"/>
  <c r="BO492" i="26"/>
  <c r="BN492" i="26"/>
  <c r="BI492" i="26"/>
  <c r="BA819" i="26"/>
  <c r="AZ817" i="26" l="1"/>
  <c r="BF817" i="26" s="1"/>
  <c r="BG817" i="26" s="1"/>
  <c r="BM492" i="26"/>
  <c r="BQ491" i="26" s="1"/>
  <c r="AY818" i="26"/>
  <c r="BP492" i="26" l="1"/>
  <c r="BR492" i="26" s="1"/>
  <c r="AX817" i="26"/>
  <c r="AW817" i="26"/>
  <c r="AR817" i="26"/>
  <c r="AV817" i="26" s="1"/>
  <c r="BI491" i="26"/>
  <c r="BW491" i="26"/>
  <c r="BX491" i="26" s="1"/>
  <c r="BN491" i="26"/>
  <c r="BO491" i="26"/>
  <c r="BA818" i="26"/>
  <c r="AZ816" i="26" l="1"/>
  <c r="BF816" i="26" s="1"/>
  <c r="BG816" i="26" s="1"/>
  <c r="BM491" i="26"/>
  <c r="BQ490" i="26" s="1"/>
  <c r="AY817" i="26"/>
  <c r="AW816" i="26" l="1"/>
  <c r="AR816" i="26"/>
  <c r="AV816" i="26" s="1"/>
  <c r="AX816" i="26"/>
  <c r="BP491" i="26"/>
  <c r="BR491" i="26" s="1"/>
  <c r="BO490" i="26"/>
  <c r="BW490" i="26"/>
  <c r="BX490" i="26" s="1"/>
  <c r="BN490" i="26"/>
  <c r="BI490" i="26"/>
  <c r="BA817" i="26"/>
  <c r="AZ815" i="26" l="1"/>
  <c r="BF815" i="26" s="1"/>
  <c r="BG815" i="26" s="1"/>
  <c r="BM490" i="26"/>
  <c r="BQ489" i="26" s="1"/>
  <c r="AY816" i="26"/>
  <c r="AW815" i="26" l="1"/>
  <c r="AR815" i="26"/>
  <c r="AV815" i="26" s="1"/>
  <c r="AX815" i="26"/>
  <c r="BP490" i="26"/>
  <c r="BR490" i="26" s="1"/>
  <c r="BO489" i="26"/>
  <c r="BN489" i="26"/>
  <c r="BW489" i="26"/>
  <c r="BX489" i="26" s="1"/>
  <c r="BI489" i="26"/>
  <c r="BA816" i="26"/>
  <c r="AZ814" i="26" l="1"/>
  <c r="BF814" i="26" s="1"/>
  <c r="BG814" i="26" s="1"/>
  <c r="BM489" i="26"/>
  <c r="BQ488" i="26" s="1"/>
  <c r="AY815" i="26"/>
  <c r="AW814" i="26" l="1"/>
  <c r="AR814" i="26"/>
  <c r="AV814" i="26" s="1"/>
  <c r="AX814" i="26"/>
  <c r="BP489" i="26"/>
  <c r="BR489" i="26" s="1"/>
  <c r="BW488" i="26"/>
  <c r="BX488" i="26" s="1"/>
  <c r="BI488" i="26"/>
  <c r="BN488" i="26"/>
  <c r="BO488" i="26"/>
  <c r="BA815" i="26"/>
  <c r="AZ813" i="26" l="1"/>
  <c r="BF813" i="26" s="1"/>
  <c r="BG813" i="26" s="1"/>
  <c r="BM488" i="26"/>
  <c r="BQ487" i="26" s="1"/>
  <c r="AY814" i="26"/>
  <c r="AW813" i="26" l="1"/>
  <c r="AR813" i="26"/>
  <c r="AV813" i="26" s="1"/>
  <c r="AX813" i="26"/>
  <c r="BP488" i="26"/>
  <c r="BR488" i="26" s="1"/>
  <c r="BN487" i="26"/>
  <c r="BW487" i="26"/>
  <c r="BX487" i="26" s="1"/>
  <c r="BO487" i="26"/>
  <c r="BI487" i="26"/>
  <c r="BA814" i="26"/>
  <c r="AZ812" i="26" l="1"/>
  <c r="BF812" i="26" s="1"/>
  <c r="BG812" i="26" s="1"/>
  <c r="BM487" i="26"/>
  <c r="BQ486" i="26" s="1"/>
  <c r="AY813" i="26"/>
  <c r="AW812" i="26" l="1"/>
  <c r="AR812" i="26"/>
  <c r="AV812" i="26" s="1"/>
  <c r="AX812" i="26"/>
  <c r="BP487" i="26"/>
  <c r="BR487" i="26" s="1"/>
  <c r="BI486" i="26"/>
  <c r="BO486" i="26"/>
  <c r="BW486" i="26"/>
  <c r="BX486" i="26" s="1"/>
  <c r="BN486" i="26"/>
  <c r="BA813" i="26"/>
  <c r="AZ811" i="26" l="1"/>
  <c r="BF811" i="26" s="1"/>
  <c r="BG811" i="26" s="1"/>
  <c r="BM486" i="26"/>
  <c r="BQ485" i="26" s="1"/>
  <c r="AY812" i="26"/>
  <c r="AR811" i="26" l="1"/>
  <c r="AV811" i="26" s="1"/>
  <c r="AW811" i="26"/>
  <c r="AX811" i="26"/>
  <c r="BP486" i="26"/>
  <c r="BR486" i="26" s="1"/>
  <c r="BO485" i="26"/>
  <c r="BW485" i="26"/>
  <c r="BX485" i="26" s="1"/>
  <c r="BI485" i="26"/>
  <c r="BN485" i="26"/>
  <c r="BA812" i="26"/>
  <c r="AZ810" i="26" l="1"/>
  <c r="BF810" i="26" s="1"/>
  <c r="BG810" i="26" s="1"/>
  <c r="BM485" i="26"/>
  <c r="BQ484" i="26" s="1"/>
  <c r="AY811" i="26"/>
  <c r="AR810" i="26" l="1"/>
  <c r="AV810" i="26" s="1"/>
  <c r="AW810" i="26"/>
  <c r="AX810" i="26"/>
  <c r="BP485" i="26"/>
  <c r="BR485" i="26" s="1"/>
  <c r="BO484" i="26"/>
  <c r="BW484" i="26"/>
  <c r="BX484" i="26" s="1"/>
  <c r="BN484" i="26"/>
  <c r="BI484" i="26"/>
  <c r="BA811" i="26"/>
  <c r="AZ809" i="26" l="1"/>
  <c r="BF809" i="26" s="1"/>
  <c r="BG809" i="26" s="1"/>
  <c r="BM484" i="26"/>
  <c r="BQ483" i="26" s="1"/>
  <c r="AY810" i="26"/>
  <c r="AR809" i="26" l="1"/>
  <c r="AV809" i="26" s="1"/>
  <c r="AW809" i="26"/>
  <c r="AX809" i="26"/>
  <c r="BP484" i="26"/>
  <c r="BR484" i="26" s="1"/>
  <c r="BN483" i="26"/>
  <c r="BO483" i="26"/>
  <c r="BI483" i="26"/>
  <c r="BW483" i="26"/>
  <c r="BX483" i="26" s="1"/>
  <c r="BA810" i="26"/>
  <c r="AZ808" i="26" l="1"/>
  <c r="BF808" i="26" s="1"/>
  <c r="BG808" i="26" s="1"/>
  <c r="BM483" i="26"/>
  <c r="BQ482" i="26" s="1"/>
  <c r="AY809" i="26"/>
  <c r="AR808" i="26" l="1"/>
  <c r="AV808" i="26" s="1"/>
  <c r="AW808" i="26"/>
  <c r="AX808" i="26"/>
  <c r="BP483" i="26"/>
  <c r="BR483" i="26" s="1"/>
  <c r="BN482" i="26"/>
  <c r="BW482" i="26"/>
  <c r="BX482" i="26" s="1"/>
  <c r="BO482" i="26"/>
  <c r="BI482" i="26"/>
  <c r="BA809" i="26"/>
  <c r="AZ807" i="26" l="1"/>
  <c r="BF807" i="26" s="1"/>
  <c r="BG807" i="26" s="1"/>
  <c r="BM482" i="26"/>
  <c r="BQ481" i="26" s="1"/>
  <c r="AY808" i="26"/>
  <c r="AR807" i="26" l="1"/>
  <c r="AV807" i="26" s="1"/>
  <c r="AW807" i="26"/>
  <c r="AX807" i="26"/>
  <c r="BP482" i="26"/>
  <c r="BR482" i="26" s="1"/>
  <c r="BW481" i="26"/>
  <c r="BX481" i="26" s="1"/>
  <c r="BO481" i="26"/>
  <c r="BI481" i="26"/>
  <c r="BN481" i="26"/>
  <c r="BA808" i="26"/>
  <c r="AZ806" i="26" l="1"/>
  <c r="BF806" i="26" s="1"/>
  <c r="BG806" i="26" s="1"/>
  <c r="BM481" i="26"/>
  <c r="BQ480" i="26" s="1"/>
  <c r="AY807" i="26"/>
  <c r="AR806" i="26" l="1"/>
  <c r="AV806" i="26" s="1"/>
  <c r="AW806" i="26"/>
  <c r="AX806" i="26"/>
  <c r="BP481" i="26"/>
  <c r="BR481" i="26" s="1"/>
  <c r="BW480" i="26"/>
  <c r="BX480" i="26" s="1"/>
  <c r="BO480" i="26"/>
  <c r="BI480" i="26"/>
  <c r="BN480" i="26"/>
  <c r="BA807" i="26"/>
  <c r="AZ805" i="26" l="1"/>
  <c r="BF805" i="26" s="1"/>
  <c r="BG805" i="26" s="1"/>
  <c r="BM480" i="26"/>
  <c r="BQ479" i="26" s="1"/>
  <c r="AY806" i="26"/>
  <c r="AR805" i="26" l="1"/>
  <c r="AV805" i="26" s="1"/>
  <c r="AW805" i="26"/>
  <c r="AX805" i="26"/>
  <c r="BP480" i="26"/>
  <c r="BR480" i="26" s="1"/>
  <c r="BO479" i="26"/>
  <c r="BW479" i="26"/>
  <c r="BX479" i="26" s="1"/>
  <c r="BI479" i="26"/>
  <c r="BN479" i="26"/>
  <c r="BA806" i="26"/>
  <c r="AZ804" i="26" l="1"/>
  <c r="BF804" i="26" s="1"/>
  <c r="BG804" i="26" s="1"/>
  <c r="BM479" i="26"/>
  <c r="BQ478" i="26" s="1"/>
  <c r="AY805" i="26"/>
  <c r="AR804" i="26" l="1"/>
  <c r="AV804" i="26" s="1"/>
  <c r="AW804" i="26"/>
  <c r="AX804" i="26"/>
  <c r="BP479" i="26"/>
  <c r="BR479" i="26" s="1"/>
  <c r="BN478" i="26"/>
  <c r="BW478" i="26"/>
  <c r="BX478" i="26" s="1"/>
  <c r="BI478" i="26"/>
  <c r="BO478" i="26"/>
  <c r="BA805" i="26"/>
  <c r="AZ803" i="26" l="1"/>
  <c r="BF803" i="26" s="1"/>
  <c r="BG803" i="26" s="1"/>
  <c r="BM478" i="26"/>
  <c r="BQ477" i="26" s="1"/>
  <c r="AY804" i="26"/>
  <c r="AR803" i="26" l="1"/>
  <c r="AV803" i="26" s="1"/>
  <c r="AW803" i="26"/>
  <c r="AX803" i="26"/>
  <c r="BP478" i="26"/>
  <c r="BR478" i="26" s="1"/>
  <c r="BI477" i="26"/>
  <c r="BO477" i="26"/>
  <c r="BW477" i="26"/>
  <c r="BX477" i="26" s="1"/>
  <c r="BN477" i="26"/>
  <c r="BA804" i="26"/>
  <c r="AZ802" i="26" l="1"/>
  <c r="BF802" i="26" s="1"/>
  <c r="BG802" i="26" s="1"/>
  <c r="BM477" i="26"/>
  <c r="BQ476" i="26" s="1"/>
  <c r="AY803" i="26"/>
  <c r="AR802" i="26" l="1"/>
  <c r="AV802" i="26" s="1"/>
  <c r="AW802" i="26"/>
  <c r="AX802" i="26"/>
  <c r="BP477" i="26"/>
  <c r="BR477" i="26" s="1"/>
  <c r="BW476" i="26"/>
  <c r="BX476" i="26" s="1"/>
  <c r="BO476" i="26"/>
  <c r="BN476" i="26"/>
  <c r="BI476" i="26"/>
  <c r="BA803" i="26"/>
  <c r="AZ801" i="26" l="1"/>
  <c r="BF801" i="26" s="1"/>
  <c r="BG801" i="26" s="1"/>
  <c r="BM476" i="26"/>
  <c r="BQ475" i="26" s="1"/>
  <c r="AY802" i="26"/>
  <c r="AW801" i="26" l="1"/>
  <c r="AR801" i="26"/>
  <c r="AV801" i="26" s="1"/>
  <c r="AX801" i="26"/>
  <c r="BP476" i="26"/>
  <c r="BR476" i="26" s="1"/>
  <c r="BI475" i="26"/>
  <c r="BO475" i="26"/>
  <c r="BN475" i="26"/>
  <c r="BW475" i="26"/>
  <c r="BX475" i="26" s="1"/>
  <c r="BA802" i="26"/>
  <c r="AZ800" i="26" l="1"/>
  <c r="BF800" i="26" s="1"/>
  <c r="BG800" i="26" s="1"/>
  <c r="BM475" i="26"/>
  <c r="BQ474" i="26" s="1"/>
  <c r="AY801" i="26"/>
  <c r="AR800" i="26" l="1"/>
  <c r="AV800" i="26" s="1"/>
  <c r="AW800" i="26"/>
  <c r="AX800" i="26"/>
  <c r="BP475" i="26"/>
  <c r="BR475" i="26" s="1"/>
  <c r="BI474" i="26"/>
  <c r="BN474" i="26"/>
  <c r="BO474" i="26"/>
  <c r="BW474" i="26"/>
  <c r="BX474" i="26" s="1"/>
  <c r="BA801" i="26"/>
  <c r="AZ799" i="26" l="1"/>
  <c r="BF799" i="26" s="1"/>
  <c r="BG799" i="26" s="1"/>
  <c r="BM474" i="26"/>
  <c r="BQ473" i="26" s="1"/>
  <c r="AY800" i="26"/>
  <c r="AR799" i="26" l="1"/>
  <c r="AV799" i="26" s="1"/>
  <c r="AW799" i="26"/>
  <c r="AX799" i="26"/>
  <c r="BP474" i="26"/>
  <c r="BR474" i="26" s="1"/>
  <c r="BI473" i="26"/>
  <c r="BW473" i="26"/>
  <c r="BX473" i="26" s="1"/>
  <c r="BN473" i="26"/>
  <c r="BO473" i="26"/>
  <c r="BA800" i="26"/>
  <c r="AZ798" i="26" l="1"/>
  <c r="BF798" i="26" s="1"/>
  <c r="BG798" i="26" s="1"/>
  <c r="BM473" i="26"/>
  <c r="BQ472" i="26" s="1"/>
  <c r="AY799" i="26"/>
  <c r="AW798" i="26" l="1"/>
  <c r="AR798" i="26"/>
  <c r="AV798" i="26" s="1"/>
  <c r="AX798" i="26"/>
  <c r="BP473" i="26"/>
  <c r="BR473" i="26" s="1"/>
  <c r="BW472" i="26"/>
  <c r="BX472" i="26" s="1"/>
  <c r="BI472" i="26"/>
  <c r="BN472" i="26"/>
  <c r="BO472" i="26"/>
  <c r="BA799" i="26"/>
  <c r="AZ797" i="26" l="1"/>
  <c r="BF797" i="26" s="1"/>
  <c r="BG797" i="26" s="1"/>
  <c r="BM472" i="26"/>
  <c r="BQ471" i="26" s="1"/>
  <c r="AY798" i="26"/>
  <c r="AW797" i="26" l="1"/>
  <c r="AR797" i="26"/>
  <c r="AV797" i="26" s="1"/>
  <c r="AX797" i="26"/>
  <c r="BP472" i="26"/>
  <c r="BR472" i="26" s="1"/>
  <c r="BW471" i="26"/>
  <c r="BX471" i="26" s="1"/>
  <c r="BO471" i="26"/>
  <c r="BN471" i="26"/>
  <c r="BI471" i="26"/>
  <c r="BA798" i="26"/>
  <c r="AZ796" i="26" l="1"/>
  <c r="BF796" i="26" s="1"/>
  <c r="BG796" i="26" s="1"/>
  <c r="BM471" i="26"/>
  <c r="BQ470" i="26" s="1"/>
  <c r="AY797" i="26"/>
  <c r="AW796" i="26" l="1"/>
  <c r="AR796" i="26"/>
  <c r="AV796" i="26" s="1"/>
  <c r="AX796" i="26"/>
  <c r="BP471" i="26"/>
  <c r="BR471" i="26" s="1"/>
  <c r="BW470" i="26"/>
  <c r="BX470" i="26" s="1"/>
  <c r="BI470" i="26"/>
  <c r="BO470" i="26"/>
  <c r="BN470" i="26"/>
  <c r="BA797" i="26"/>
  <c r="AZ795" i="26" l="1"/>
  <c r="BF795" i="26" s="1"/>
  <c r="BG795" i="26" s="1"/>
  <c r="BM470" i="26"/>
  <c r="BQ469" i="26" s="1"/>
  <c r="AY796" i="26"/>
  <c r="AW795" i="26" l="1"/>
  <c r="AR795" i="26"/>
  <c r="AV795" i="26" s="1"/>
  <c r="AX795" i="26"/>
  <c r="BP470" i="26"/>
  <c r="BR470" i="26" s="1"/>
  <c r="BO469" i="26"/>
  <c r="BW469" i="26"/>
  <c r="BX469" i="26" s="1"/>
  <c r="BN469" i="26"/>
  <c r="BI469" i="26"/>
  <c r="BA796" i="26"/>
  <c r="AZ794" i="26" l="1"/>
  <c r="BF794" i="26" s="1"/>
  <c r="BG794" i="26" s="1"/>
  <c r="BM469" i="26"/>
  <c r="BQ468" i="26" s="1"/>
  <c r="AY795" i="26"/>
  <c r="AW794" i="26" l="1"/>
  <c r="AR794" i="26"/>
  <c r="AV794" i="26" s="1"/>
  <c r="AX794" i="26"/>
  <c r="BP469" i="26"/>
  <c r="BR469" i="26" s="1"/>
  <c r="BN468" i="26"/>
  <c r="BO468" i="26"/>
  <c r="BW468" i="26"/>
  <c r="BX468" i="26" s="1"/>
  <c r="BI468" i="26"/>
  <c r="BA795" i="26"/>
  <c r="AZ793" i="26" l="1"/>
  <c r="BF793" i="26" s="1"/>
  <c r="BG793" i="26" s="1"/>
  <c r="BM468" i="26"/>
  <c r="BQ467" i="26" s="1"/>
  <c r="AY794" i="26"/>
  <c r="AW793" i="26" l="1"/>
  <c r="AR793" i="26"/>
  <c r="AV793" i="26" s="1"/>
  <c r="AX793" i="26"/>
  <c r="BP468" i="26"/>
  <c r="BR468" i="26" s="1"/>
  <c r="BW467" i="26"/>
  <c r="BX467" i="26" s="1"/>
  <c r="BO467" i="26"/>
  <c r="BI467" i="26"/>
  <c r="BN467" i="26"/>
  <c r="BA794" i="26"/>
  <c r="AZ792" i="26" l="1"/>
  <c r="BF792" i="26" s="1"/>
  <c r="BG792" i="26" s="1"/>
  <c r="BM467" i="26"/>
  <c r="BQ466" i="26" s="1"/>
  <c r="AY793" i="26"/>
  <c r="AW792" i="26" l="1"/>
  <c r="AR792" i="26"/>
  <c r="AV792" i="26" s="1"/>
  <c r="AX792" i="26"/>
  <c r="BP467" i="26"/>
  <c r="BR467" i="26" s="1"/>
  <c r="BI466" i="26"/>
  <c r="BW466" i="26"/>
  <c r="BX466" i="26" s="1"/>
  <c r="BO466" i="26"/>
  <c r="BN466" i="26"/>
  <c r="BA793" i="26"/>
  <c r="AZ791" i="26" l="1"/>
  <c r="BF791" i="26" s="1"/>
  <c r="BG791" i="26" s="1"/>
  <c r="BM466" i="26"/>
  <c r="BQ465" i="26" s="1"/>
  <c r="AY792" i="26"/>
  <c r="AW791" i="26" l="1"/>
  <c r="AR791" i="26"/>
  <c r="AV791" i="26" s="1"/>
  <c r="AX791" i="26"/>
  <c r="BP466" i="26"/>
  <c r="BR466" i="26" s="1"/>
  <c r="BW465" i="26"/>
  <c r="BX465" i="26" s="1"/>
  <c r="BN465" i="26"/>
  <c r="BO465" i="26"/>
  <c r="BI465" i="26"/>
  <c r="BA792" i="26"/>
  <c r="AZ790" i="26" l="1"/>
  <c r="BF790" i="26" s="1"/>
  <c r="BG790" i="26" s="1"/>
  <c r="BM465" i="26"/>
  <c r="BQ464" i="26" s="1"/>
  <c r="AY791" i="26"/>
  <c r="AW790" i="26" l="1"/>
  <c r="AR790" i="26"/>
  <c r="AV790" i="26" s="1"/>
  <c r="AX790" i="26"/>
  <c r="BP465" i="26"/>
  <c r="BR465" i="26" s="1"/>
  <c r="BO464" i="26"/>
  <c r="BW464" i="26"/>
  <c r="BX464" i="26" s="1"/>
  <c r="BN464" i="26"/>
  <c r="BI464" i="26"/>
  <c r="BA791" i="26"/>
  <c r="AZ789" i="26" l="1"/>
  <c r="BF789" i="26" s="1"/>
  <c r="BG789" i="26" s="1"/>
  <c r="BM464" i="26"/>
  <c r="BQ463" i="26" s="1"/>
  <c r="AY790" i="26"/>
  <c r="AW789" i="26" l="1"/>
  <c r="AR789" i="26"/>
  <c r="AV789" i="26" s="1"/>
  <c r="AX789" i="26"/>
  <c r="BP464" i="26"/>
  <c r="BR464" i="26" s="1"/>
  <c r="BW463" i="26"/>
  <c r="BX463" i="26" s="1"/>
  <c r="BO463" i="26"/>
  <c r="BN463" i="26"/>
  <c r="BI463" i="26"/>
  <c r="BA790" i="26"/>
  <c r="AZ788" i="26" l="1"/>
  <c r="BF788" i="26" s="1"/>
  <c r="BG788" i="26" s="1"/>
  <c r="BM463" i="26"/>
  <c r="BQ462" i="26" s="1"/>
  <c r="AY789" i="26"/>
  <c r="AW788" i="26" l="1"/>
  <c r="AR788" i="26"/>
  <c r="AV788" i="26" s="1"/>
  <c r="AX788" i="26"/>
  <c r="BP463" i="26"/>
  <c r="BR463" i="26" s="1"/>
  <c r="BO462" i="26"/>
  <c r="BN462" i="26"/>
  <c r="BW462" i="26"/>
  <c r="BX462" i="26" s="1"/>
  <c r="BI462" i="26"/>
  <c r="BA789" i="26"/>
  <c r="AZ787" i="26" l="1"/>
  <c r="BF787" i="26" s="1"/>
  <c r="BG787" i="26" s="1"/>
  <c r="BM462" i="26"/>
  <c r="BQ461" i="26" s="1"/>
  <c r="AY788" i="26"/>
  <c r="AW787" i="26" l="1"/>
  <c r="AR787" i="26"/>
  <c r="AV787" i="26" s="1"/>
  <c r="AX787" i="26"/>
  <c r="BP462" i="26"/>
  <c r="BR462" i="26" s="1"/>
  <c r="BW461" i="26"/>
  <c r="BX461" i="26" s="1"/>
  <c r="BO461" i="26"/>
  <c r="BI461" i="26"/>
  <c r="BN461" i="26"/>
  <c r="BA788" i="26"/>
  <c r="AZ786" i="26" l="1"/>
  <c r="BF786" i="26" s="1"/>
  <c r="BG786" i="26" s="1"/>
  <c r="BM461" i="26"/>
  <c r="BQ460" i="26" s="1"/>
  <c r="AY787" i="26"/>
  <c r="AW786" i="26" l="1"/>
  <c r="AR786" i="26"/>
  <c r="AV786" i="26" s="1"/>
  <c r="AX786" i="26"/>
  <c r="BP461" i="26"/>
  <c r="BR461" i="26" s="1"/>
  <c r="BI460" i="26"/>
  <c r="BW460" i="26"/>
  <c r="BX460" i="26" s="1"/>
  <c r="BO460" i="26"/>
  <c r="BN460" i="26"/>
  <c r="BA787" i="26"/>
  <c r="AZ785" i="26" l="1"/>
  <c r="BF785" i="26" s="1"/>
  <c r="BG785" i="26" s="1"/>
  <c r="BM460" i="26"/>
  <c r="BQ459" i="26" s="1"/>
  <c r="AY786" i="26"/>
  <c r="AR785" i="26" l="1"/>
  <c r="AV785" i="26" s="1"/>
  <c r="AW785" i="26"/>
  <c r="AX785" i="26"/>
  <c r="BP460" i="26"/>
  <c r="BR460" i="26" s="1"/>
  <c r="BN459" i="26"/>
  <c r="BO459" i="26"/>
  <c r="BI459" i="26"/>
  <c r="BW459" i="26"/>
  <c r="BX459" i="26" s="1"/>
  <c r="BA786" i="26"/>
  <c r="AZ784" i="26" l="1"/>
  <c r="BF784" i="26" s="1"/>
  <c r="BG784" i="26" s="1"/>
  <c r="BM459" i="26"/>
  <c r="BQ458" i="26" s="1"/>
  <c r="AY785" i="26"/>
  <c r="AR784" i="26" l="1"/>
  <c r="AV784" i="26" s="1"/>
  <c r="AW784" i="26"/>
  <c r="AX784" i="26"/>
  <c r="BP459" i="26"/>
  <c r="BR459" i="26" s="1"/>
  <c r="BO458" i="26"/>
  <c r="BW458" i="26"/>
  <c r="BX458" i="26" s="1"/>
  <c r="BI458" i="26"/>
  <c r="BN458" i="26"/>
  <c r="BA785" i="26"/>
  <c r="AZ783" i="26" l="1"/>
  <c r="BF783" i="26" s="1"/>
  <c r="BG783" i="26" s="1"/>
  <c r="BM458" i="26"/>
  <c r="BQ457" i="26" s="1"/>
  <c r="AY784" i="26"/>
  <c r="AW783" i="26" l="1"/>
  <c r="AR783" i="26"/>
  <c r="AV783" i="26" s="1"/>
  <c r="AX783" i="26"/>
  <c r="BP458" i="26"/>
  <c r="BR458" i="26" s="1"/>
  <c r="BO457" i="26"/>
  <c r="BI457" i="26"/>
  <c r="BN457" i="26"/>
  <c r="BW457" i="26"/>
  <c r="BX457" i="26" s="1"/>
  <c r="BA784" i="26"/>
  <c r="AZ782" i="26" l="1"/>
  <c r="BF782" i="26" s="1"/>
  <c r="BG782" i="26" s="1"/>
  <c r="BM457" i="26"/>
  <c r="BQ456" i="26" s="1"/>
  <c r="AY783" i="26"/>
  <c r="AW782" i="26" l="1"/>
  <c r="AR782" i="26"/>
  <c r="AV782" i="26" s="1"/>
  <c r="AX782" i="26"/>
  <c r="BP457" i="26"/>
  <c r="BR457" i="26" s="1"/>
  <c r="BN456" i="26"/>
  <c r="BI456" i="26"/>
  <c r="BO456" i="26"/>
  <c r="BW456" i="26"/>
  <c r="BX456" i="26" s="1"/>
  <c r="BA783" i="26"/>
  <c r="AZ781" i="26" l="1"/>
  <c r="BF781" i="26" s="1"/>
  <c r="BG781" i="26" s="1"/>
  <c r="BM456" i="26"/>
  <c r="BQ455" i="26" s="1"/>
  <c r="AY782" i="26"/>
  <c r="AR781" i="26" l="1"/>
  <c r="AV781" i="26" s="1"/>
  <c r="AW781" i="26"/>
  <c r="AX781" i="26"/>
  <c r="BP456" i="26"/>
  <c r="BR456" i="26" s="1"/>
  <c r="BI455" i="26"/>
  <c r="BW455" i="26"/>
  <c r="BX455" i="26" s="1"/>
  <c r="BO455" i="26"/>
  <c r="BN455" i="26"/>
  <c r="BA782" i="26"/>
  <c r="AZ780" i="26" l="1"/>
  <c r="BF780" i="26" s="1"/>
  <c r="BG780" i="26" s="1"/>
  <c r="BM455" i="26"/>
  <c r="BQ454" i="26" s="1"/>
  <c r="AY781" i="26"/>
  <c r="AR780" i="26" l="1"/>
  <c r="AV780" i="26" s="1"/>
  <c r="AW780" i="26"/>
  <c r="AX780" i="26"/>
  <c r="BP455" i="26"/>
  <c r="BR455" i="26" s="1"/>
  <c r="BO454" i="26"/>
  <c r="BI454" i="26"/>
  <c r="BN454" i="26"/>
  <c r="BW454" i="26"/>
  <c r="BX454" i="26" s="1"/>
  <c r="BA781" i="26"/>
  <c r="AZ779" i="26" l="1"/>
  <c r="BF779" i="26" s="1"/>
  <c r="BG779" i="26" s="1"/>
  <c r="BM454" i="26"/>
  <c r="BQ453" i="26" s="1"/>
  <c r="AY780" i="26"/>
  <c r="AW779" i="26" l="1"/>
  <c r="AR779" i="26"/>
  <c r="AV779" i="26" s="1"/>
  <c r="AX779" i="26"/>
  <c r="BP454" i="26"/>
  <c r="BR454" i="26" s="1"/>
  <c r="BO453" i="26"/>
  <c r="BI453" i="26"/>
  <c r="BN453" i="26"/>
  <c r="BW453" i="26"/>
  <c r="BX453" i="26" s="1"/>
  <c r="BA780" i="26"/>
  <c r="AZ778" i="26" l="1"/>
  <c r="BF778" i="26" s="1"/>
  <c r="BG778" i="26" s="1"/>
  <c r="BM453" i="26"/>
  <c r="BQ452" i="26" s="1"/>
  <c r="AY779" i="26"/>
  <c r="AW778" i="26" l="1"/>
  <c r="AR778" i="26"/>
  <c r="AV778" i="26" s="1"/>
  <c r="AX778" i="26"/>
  <c r="BP453" i="26"/>
  <c r="BR453" i="26" s="1"/>
  <c r="BI452" i="26"/>
  <c r="BW452" i="26"/>
  <c r="BX452" i="26" s="1"/>
  <c r="BN452" i="26"/>
  <c r="BO452" i="26"/>
  <c r="BA779" i="26"/>
  <c r="AZ777" i="26" l="1"/>
  <c r="BF777" i="26" s="1"/>
  <c r="BG777" i="26" s="1"/>
  <c r="BM452" i="26"/>
  <c r="BQ451" i="26" s="1"/>
  <c r="AY778" i="26"/>
  <c r="AW777" i="26" l="1"/>
  <c r="AR777" i="26"/>
  <c r="AV777" i="26" s="1"/>
  <c r="AX777" i="26"/>
  <c r="BP452" i="26"/>
  <c r="BR452" i="26" s="1"/>
  <c r="BW451" i="26"/>
  <c r="BX451" i="26" s="1"/>
  <c r="BN451" i="26"/>
  <c r="BO451" i="26"/>
  <c r="BI451" i="26"/>
  <c r="BA778" i="26"/>
  <c r="AZ776" i="26" l="1"/>
  <c r="BF776" i="26" s="1"/>
  <c r="BG776" i="26" s="1"/>
  <c r="AY777" i="26"/>
  <c r="BA777" i="26" s="1"/>
  <c r="BM451" i="26"/>
  <c r="BQ450" i="26" s="1"/>
  <c r="AX776" i="26" l="1"/>
  <c r="AW776" i="26"/>
  <c r="AR776" i="26"/>
  <c r="AV776" i="26" s="1"/>
  <c r="AZ775" i="26" s="1"/>
  <c r="BP451" i="26"/>
  <c r="BR451" i="26" s="1"/>
  <c r="BI450" i="26"/>
  <c r="BO450" i="26"/>
  <c r="BN450" i="26"/>
  <c r="BW450" i="26"/>
  <c r="BX450" i="26" s="1"/>
  <c r="AY776" i="26" l="1"/>
  <c r="BA776" i="26" s="1"/>
  <c r="BF775" i="26"/>
  <c r="BG775" i="26" s="1"/>
  <c r="BM450" i="26"/>
  <c r="BQ449" i="26" s="1"/>
  <c r="AW775" i="26" l="1"/>
  <c r="AX775" i="26"/>
  <c r="AR775" i="26"/>
  <c r="AV775" i="26" s="1"/>
  <c r="BP450" i="26"/>
  <c r="BR450" i="26" s="1"/>
  <c r="BN449" i="26"/>
  <c r="BI449" i="26"/>
  <c r="BW449" i="26"/>
  <c r="BX449" i="26" s="1"/>
  <c r="BO449" i="26"/>
  <c r="AZ774" i="26" l="1"/>
  <c r="BF774" i="26" s="1"/>
  <c r="BG774" i="26" s="1"/>
  <c r="AY775" i="26"/>
  <c r="BA775" i="26" s="1"/>
  <c r="BM449" i="26"/>
  <c r="BQ448" i="26" s="1"/>
  <c r="AX774" i="26" l="1"/>
  <c r="AW774" i="26"/>
  <c r="AR774" i="26"/>
  <c r="AV774" i="26" s="1"/>
  <c r="AZ773" i="26" s="1"/>
  <c r="BP449" i="26"/>
  <c r="BR449" i="26" s="1"/>
  <c r="BN448" i="26"/>
  <c r="BO448" i="26"/>
  <c r="BW448" i="26"/>
  <c r="BX448" i="26" s="1"/>
  <c r="BI448" i="26"/>
  <c r="AY774" i="26" l="1"/>
  <c r="BA774" i="26" s="1"/>
  <c r="BF773" i="26"/>
  <c r="BG773" i="26" s="1"/>
  <c r="BM448" i="26"/>
  <c r="BQ447" i="26" s="1"/>
  <c r="AW773" i="26" l="1"/>
  <c r="AX773" i="26"/>
  <c r="AR773" i="26"/>
  <c r="AV773" i="26" s="1"/>
  <c r="AZ772" i="26" s="1"/>
  <c r="BP448" i="26"/>
  <c r="BR448" i="26" s="1"/>
  <c r="BN447" i="26"/>
  <c r="BW447" i="26"/>
  <c r="BX447" i="26" s="1"/>
  <c r="BI447" i="26"/>
  <c r="BO447" i="26"/>
  <c r="AY773" i="26" l="1"/>
  <c r="BA773" i="26" s="1"/>
  <c r="BF772" i="26"/>
  <c r="BG772" i="26" s="1"/>
  <c r="BM447" i="26"/>
  <c r="BQ446" i="26" s="1"/>
  <c r="AX772" i="26" l="1"/>
  <c r="AW772" i="26"/>
  <c r="AR772" i="26"/>
  <c r="AV772" i="26" s="1"/>
  <c r="AZ771" i="26" s="1"/>
  <c r="BP447" i="26"/>
  <c r="BR447" i="26" s="1"/>
  <c r="BI446" i="26"/>
  <c r="BW446" i="26"/>
  <c r="BX446" i="26" s="1"/>
  <c r="BO446" i="26"/>
  <c r="BN446" i="26"/>
  <c r="AY772" i="26" l="1"/>
  <c r="BA772" i="26" s="1"/>
  <c r="BF771" i="26"/>
  <c r="BG771" i="26" s="1"/>
  <c r="BM446" i="26"/>
  <c r="BQ445" i="26" s="1"/>
  <c r="AW771" i="26" l="1"/>
  <c r="AX771" i="26"/>
  <c r="AR771" i="26"/>
  <c r="AV771" i="26" s="1"/>
  <c r="BP446" i="26"/>
  <c r="BR446" i="26" s="1"/>
  <c r="BW445" i="26"/>
  <c r="BX445" i="26" s="1"/>
  <c r="BO445" i="26"/>
  <c r="BN445" i="26"/>
  <c r="BI445" i="26"/>
  <c r="AZ770" i="26" l="1"/>
  <c r="BF770" i="26" s="1"/>
  <c r="BG770" i="26" s="1"/>
  <c r="AY771" i="26"/>
  <c r="BA771" i="26" s="1"/>
  <c r="BM445" i="26"/>
  <c r="BQ444" i="26" s="1"/>
  <c r="AX770" i="26" l="1"/>
  <c r="AW770" i="26"/>
  <c r="AR770" i="26"/>
  <c r="AV770" i="26" s="1"/>
  <c r="AZ769" i="26" s="1"/>
  <c r="BP445" i="26"/>
  <c r="BR445" i="26" s="1"/>
  <c r="BI444" i="26"/>
  <c r="BN444" i="26"/>
  <c r="BW444" i="26"/>
  <c r="BX444" i="26" s="1"/>
  <c r="BO444" i="26"/>
  <c r="AY770" i="26" l="1"/>
  <c r="BA770" i="26" s="1"/>
  <c r="BF769" i="26"/>
  <c r="BG769" i="26" s="1"/>
  <c r="BM444" i="26"/>
  <c r="BQ443" i="26" s="1"/>
  <c r="AW769" i="26" l="1"/>
  <c r="AX769" i="26"/>
  <c r="AR769" i="26"/>
  <c r="AV769" i="26" s="1"/>
  <c r="BP444" i="26"/>
  <c r="BR444" i="26" s="1"/>
  <c r="BN443" i="26"/>
  <c r="BO443" i="26"/>
  <c r="BI443" i="26"/>
  <c r="BW443" i="26"/>
  <c r="BX443" i="26" s="1"/>
  <c r="AZ768" i="26" l="1"/>
  <c r="BF768" i="26" s="1"/>
  <c r="BG768" i="26" s="1"/>
  <c r="AY769" i="26"/>
  <c r="BA769" i="26" s="1"/>
  <c r="BM443" i="26"/>
  <c r="BQ442" i="26" s="1"/>
  <c r="AX768" i="26" l="1"/>
  <c r="AW768" i="26"/>
  <c r="AR768" i="26"/>
  <c r="AV768" i="26" s="1"/>
  <c r="BP443" i="26"/>
  <c r="BR443" i="26" s="1"/>
  <c r="BI442" i="26"/>
  <c r="BO442" i="26"/>
  <c r="BN442" i="26"/>
  <c r="BW442" i="26"/>
  <c r="BX442" i="26" s="1"/>
  <c r="AZ767" i="26" l="1"/>
  <c r="BF767" i="26" s="1"/>
  <c r="BG767" i="26" s="1"/>
  <c r="BM442" i="26"/>
  <c r="BQ441" i="26" s="1"/>
  <c r="AY768" i="26"/>
  <c r="BP442" i="26" l="1"/>
  <c r="BR442" i="26" s="1"/>
  <c r="AW767" i="26"/>
  <c r="AX767" i="26"/>
  <c r="AR767" i="26"/>
  <c r="AV767" i="26" s="1"/>
  <c r="AZ766" i="26" s="1"/>
  <c r="BI441" i="26"/>
  <c r="BO441" i="26"/>
  <c r="BN441" i="26"/>
  <c r="BW441" i="26"/>
  <c r="BX441" i="26" s="1"/>
  <c r="BA768" i="26"/>
  <c r="AY767" i="26" l="1"/>
  <c r="BA767" i="26" s="1"/>
  <c r="BF766" i="26"/>
  <c r="BG766" i="26" s="1"/>
  <c r="BM441" i="26"/>
  <c r="BQ440" i="26" s="1"/>
  <c r="AX766" i="26" l="1"/>
  <c r="AW766" i="26"/>
  <c r="AR766" i="26"/>
  <c r="AV766" i="26" s="1"/>
  <c r="AZ765" i="26" s="1"/>
  <c r="BP441" i="26"/>
  <c r="BR441" i="26" s="1"/>
  <c r="BI440" i="26"/>
  <c r="BN440" i="26"/>
  <c r="BW440" i="26"/>
  <c r="BX440" i="26" s="1"/>
  <c r="BO440" i="26"/>
  <c r="AY766" i="26" l="1"/>
  <c r="BA766" i="26" s="1"/>
  <c r="BF765" i="26"/>
  <c r="BG765" i="26" s="1"/>
  <c r="BM440" i="26"/>
  <c r="BQ439" i="26" s="1"/>
  <c r="AW765" i="26" l="1"/>
  <c r="AX765" i="26"/>
  <c r="AR765" i="26"/>
  <c r="AV765" i="26" s="1"/>
  <c r="BP440" i="26"/>
  <c r="BR440" i="26" s="1"/>
  <c r="BN439" i="26"/>
  <c r="BI439" i="26"/>
  <c r="BW439" i="26"/>
  <c r="BX439" i="26" s="1"/>
  <c r="BO439" i="26"/>
  <c r="AZ764" i="26" l="1"/>
  <c r="BF764" i="26" s="1"/>
  <c r="BG764" i="26" s="1"/>
  <c r="AY765" i="26"/>
  <c r="BA765" i="26" s="1"/>
  <c r="BM439" i="26"/>
  <c r="BQ438" i="26" s="1"/>
  <c r="AX764" i="26" l="1"/>
  <c r="AW764" i="26"/>
  <c r="AR764" i="26"/>
  <c r="AV764" i="26" s="1"/>
  <c r="BP439" i="26"/>
  <c r="BR439" i="26" s="1"/>
  <c r="BO438" i="26"/>
  <c r="BI438" i="26"/>
  <c r="BN438" i="26"/>
  <c r="BW438" i="26"/>
  <c r="BX438" i="26" s="1"/>
  <c r="AZ763" i="26" l="1"/>
  <c r="BF763" i="26" s="1"/>
  <c r="BG763" i="26" s="1"/>
  <c r="BM438" i="26"/>
  <c r="BQ437" i="26" s="1"/>
  <c r="AY764" i="26"/>
  <c r="BP438" i="26" l="1"/>
  <c r="BR438" i="26" s="1"/>
  <c r="AX763" i="26"/>
  <c r="AW763" i="26"/>
  <c r="AR763" i="26"/>
  <c r="AV763" i="26" s="1"/>
  <c r="BI437" i="26"/>
  <c r="BN437" i="26"/>
  <c r="BO437" i="26"/>
  <c r="BW437" i="26"/>
  <c r="BX437" i="26" s="1"/>
  <c r="BA764" i="26"/>
  <c r="AZ762" i="26" l="1"/>
  <c r="BF762" i="26" s="1"/>
  <c r="BG762" i="26" s="1"/>
  <c r="BM437" i="26"/>
  <c r="BQ436" i="26" s="1"/>
  <c r="AY763" i="26"/>
  <c r="AW762" i="26" l="1"/>
  <c r="AX762" i="26"/>
  <c r="AR762" i="26"/>
  <c r="AV762" i="26" s="1"/>
  <c r="BP437" i="26"/>
  <c r="BR437" i="26" s="1"/>
  <c r="BI436" i="26"/>
  <c r="BN436" i="26"/>
  <c r="BO436" i="26"/>
  <c r="BW436" i="26"/>
  <c r="BX436" i="26" s="1"/>
  <c r="BA763" i="26"/>
  <c r="AZ761" i="26" l="1"/>
  <c r="BF761" i="26" s="1"/>
  <c r="BG761" i="26" s="1"/>
  <c r="BM436" i="26"/>
  <c r="BQ435" i="26" s="1"/>
  <c r="AY762" i="26"/>
  <c r="BP436" i="26" l="1"/>
  <c r="BR436" i="26" s="1"/>
  <c r="AX761" i="26"/>
  <c r="AR761" i="26"/>
  <c r="AV761" i="26" s="1"/>
  <c r="AZ760" i="26" s="1"/>
  <c r="AW761" i="26"/>
  <c r="BW435" i="26"/>
  <c r="BX435" i="26" s="1"/>
  <c r="BN435" i="26"/>
  <c r="BI435" i="26"/>
  <c r="BO435" i="26"/>
  <c r="BA762" i="26"/>
  <c r="AY761" i="26" l="1"/>
  <c r="BA761" i="26" s="1"/>
  <c r="BF760" i="26"/>
  <c r="BG760" i="26" s="1"/>
  <c r="BM435" i="26"/>
  <c r="BQ434" i="26" s="1"/>
  <c r="AX760" i="26" l="1"/>
  <c r="AR760" i="26"/>
  <c r="AV760" i="26" s="1"/>
  <c r="AW760" i="26"/>
  <c r="BP435" i="26"/>
  <c r="BR435" i="26" s="1"/>
  <c r="BW434" i="26"/>
  <c r="BX434" i="26" s="1"/>
  <c r="BO434" i="26"/>
  <c r="BN434" i="26"/>
  <c r="BI434" i="26"/>
  <c r="AZ759" i="26" l="1"/>
  <c r="BF759" i="26" s="1"/>
  <c r="BG759" i="26" s="1"/>
  <c r="BM434" i="26"/>
  <c r="BQ433" i="26" s="1"/>
  <c r="AY760" i="26"/>
  <c r="AX759" i="26" l="1"/>
  <c r="AR759" i="26"/>
  <c r="AV759" i="26" s="1"/>
  <c r="AW759" i="26"/>
  <c r="BP434" i="26"/>
  <c r="BR434" i="26" s="1"/>
  <c r="BW433" i="26"/>
  <c r="BX433" i="26" s="1"/>
  <c r="BN433" i="26"/>
  <c r="BO433" i="26"/>
  <c r="BI433" i="26"/>
  <c r="BA760" i="26"/>
  <c r="AZ758" i="26" l="1"/>
  <c r="BF758" i="26" s="1"/>
  <c r="BG758" i="26" s="1"/>
  <c r="AY759" i="26"/>
  <c r="BA759" i="26" s="1"/>
  <c r="BM433" i="26"/>
  <c r="BQ432" i="26" s="1"/>
  <c r="AX758" i="26" l="1"/>
  <c r="AR758" i="26"/>
  <c r="AV758" i="26" s="1"/>
  <c r="AW758" i="26"/>
  <c r="BP433" i="26"/>
  <c r="BR433" i="26" s="1"/>
  <c r="BO432" i="26"/>
  <c r="BN432" i="26"/>
  <c r="BI432" i="26"/>
  <c r="BW432" i="26"/>
  <c r="BX432" i="26" s="1"/>
  <c r="AZ757" i="26" l="1"/>
  <c r="BF757" i="26" s="1"/>
  <c r="BG757" i="26" s="1"/>
  <c r="AY758" i="26"/>
  <c r="BA758" i="26" s="1"/>
  <c r="BM432" i="26"/>
  <c r="BQ431" i="26" s="1"/>
  <c r="AX757" i="26" l="1"/>
  <c r="AR757" i="26"/>
  <c r="AV757" i="26" s="1"/>
  <c r="AW757" i="26"/>
  <c r="BP432" i="26"/>
  <c r="BR432" i="26" s="1"/>
  <c r="BI431" i="26"/>
  <c r="BO431" i="26"/>
  <c r="BN431" i="26"/>
  <c r="BW431" i="26"/>
  <c r="BX431" i="26" s="1"/>
  <c r="AZ756" i="26" l="1"/>
  <c r="BF756" i="26" s="1"/>
  <c r="BG756" i="26" s="1"/>
  <c r="AY757" i="26"/>
  <c r="BA757" i="26" s="1"/>
  <c r="BM431" i="26"/>
  <c r="BQ430" i="26" s="1"/>
  <c r="AX756" i="26" l="1"/>
  <c r="AR756" i="26"/>
  <c r="AV756" i="26" s="1"/>
  <c r="AW756" i="26"/>
  <c r="BP431" i="26"/>
  <c r="BR431" i="26" s="1"/>
  <c r="BO430" i="26"/>
  <c r="BW430" i="26"/>
  <c r="BX430" i="26" s="1"/>
  <c r="BN430" i="26"/>
  <c r="BI430" i="26"/>
  <c r="AZ755" i="26" l="1"/>
  <c r="BF755" i="26" s="1"/>
  <c r="BG755" i="26" s="1"/>
  <c r="AY756" i="26"/>
  <c r="BA756" i="26" s="1"/>
  <c r="BM430" i="26"/>
  <c r="BQ429" i="26" s="1"/>
  <c r="AX755" i="26" l="1"/>
  <c r="AR755" i="26"/>
  <c r="AV755" i="26" s="1"/>
  <c r="AW755" i="26"/>
  <c r="BP430" i="26"/>
  <c r="BR430" i="26" s="1"/>
  <c r="BI429" i="26"/>
  <c r="BN429" i="26"/>
  <c r="BW429" i="26"/>
  <c r="BX429" i="26" s="1"/>
  <c r="BO429" i="26"/>
  <c r="AZ754" i="26" l="1"/>
  <c r="BF754" i="26" s="1"/>
  <c r="BG754" i="26" s="1"/>
  <c r="AY755" i="26"/>
  <c r="BA755" i="26" s="1"/>
  <c r="BM429" i="26"/>
  <c r="BQ428" i="26" s="1"/>
  <c r="AX754" i="26" l="1"/>
  <c r="AR754" i="26"/>
  <c r="AV754" i="26" s="1"/>
  <c r="AW754" i="26"/>
  <c r="BP429" i="26"/>
  <c r="BR429" i="26" s="1"/>
  <c r="BN428" i="26"/>
  <c r="BI428" i="26"/>
  <c r="BW428" i="26"/>
  <c r="BX428" i="26" s="1"/>
  <c r="BO428" i="26"/>
  <c r="AZ753" i="26" l="1"/>
  <c r="BF753" i="26" s="1"/>
  <c r="BG753" i="26" s="1"/>
  <c r="AY754" i="26"/>
  <c r="BA754" i="26" s="1"/>
  <c r="BM428" i="26"/>
  <c r="BQ427" i="26" s="1"/>
  <c r="AX753" i="26" l="1"/>
  <c r="AR753" i="26"/>
  <c r="AV753" i="26" s="1"/>
  <c r="AZ752" i="26" s="1"/>
  <c r="AW753" i="26"/>
  <c r="BP428" i="26"/>
  <c r="BR428" i="26" s="1"/>
  <c r="BN427" i="26"/>
  <c r="BW427" i="26"/>
  <c r="BX427" i="26" s="1"/>
  <c r="BI427" i="26"/>
  <c r="BO427" i="26"/>
  <c r="AY753" i="26" l="1"/>
  <c r="BA753" i="26" s="1"/>
  <c r="BF752" i="26"/>
  <c r="BG752" i="26" s="1"/>
  <c r="BM427" i="26"/>
  <c r="BQ426" i="26" s="1"/>
  <c r="AX752" i="26" l="1"/>
  <c r="AR752" i="26"/>
  <c r="AV752" i="26" s="1"/>
  <c r="AW752" i="26"/>
  <c r="BP427" i="26"/>
  <c r="BR427" i="26" s="1"/>
  <c r="BW426" i="26"/>
  <c r="BX426" i="26" s="1"/>
  <c r="BN426" i="26"/>
  <c r="BI426" i="26"/>
  <c r="BO426" i="26"/>
  <c r="AZ751" i="26" l="1"/>
  <c r="BF751" i="26" s="1"/>
  <c r="BG751" i="26" s="1"/>
  <c r="AY752" i="26"/>
  <c r="BA752" i="26" s="1"/>
  <c r="BM426" i="26"/>
  <c r="BQ425" i="26" s="1"/>
  <c r="AX751" i="26" l="1"/>
  <c r="AR751" i="26"/>
  <c r="AV751" i="26" s="1"/>
  <c r="AZ750" i="26" s="1"/>
  <c r="AW751" i="26"/>
  <c r="BP426" i="26"/>
  <c r="BR426" i="26" s="1"/>
  <c r="BI425" i="26"/>
  <c r="BO425" i="26"/>
  <c r="BW425" i="26"/>
  <c r="BX425" i="26" s="1"/>
  <c r="BN425" i="26"/>
  <c r="AY751" i="26" l="1"/>
  <c r="BA751" i="26" s="1"/>
  <c r="BF750" i="26"/>
  <c r="BG750" i="26" s="1"/>
  <c r="BM425" i="26"/>
  <c r="BQ424" i="26" s="1"/>
  <c r="AX750" i="26" l="1"/>
  <c r="AR750" i="26"/>
  <c r="AV750" i="26" s="1"/>
  <c r="AW750" i="26"/>
  <c r="BP425" i="26"/>
  <c r="BR425" i="26" s="1"/>
  <c r="BW424" i="26"/>
  <c r="BX424" i="26" s="1"/>
  <c r="BI424" i="26"/>
  <c r="BO424" i="26"/>
  <c r="BN424" i="26"/>
  <c r="AZ749" i="26" l="1"/>
  <c r="BF749" i="26" s="1"/>
  <c r="BG749" i="26" s="1"/>
  <c r="AY750" i="26"/>
  <c r="BA750" i="26" s="1"/>
  <c r="BM424" i="26"/>
  <c r="BQ423" i="26" s="1"/>
  <c r="AX749" i="26" l="1"/>
  <c r="AR749" i="26"/>
  <c r="AV749" i="26" s="1"/>
  <c r="AZ748" i="26" s="1"/>
  <c r="AW749" i="26"/>
  <c r="BP424" i="26"/>
  <c r="BR424" i="26" s="1"/>
  <c r="BO423" i="26"/>
  <c r="BI423" i="26"/>
  <c r="BN423" i="26"/>
  <c r="BW423" i="26"/>
  <c r="BX423" i="26" s="1"/>
  <c r="AY749" i="26" l="1"/>
  <c r="BA749" i="26" s="1"/>
  <c r="BF748" i="26"/>
  <c r="BG748" i="26" s="1"/>
  <c r="BM423" i="26"/>
  <c r="BQ422" i="26" s="1"/>
  <c r="AX748" i="26" l="1"/>
  <c r="AR748" i="26"/>
  <c r="AV748" i="26" s="1"/>
  <c r="AW748" i="26"/>
  <c r="BP423" i="26"/>
  <c r="BR423" i="26" s="1"/>
  <c r="BI422" i="26"/>
  <c r="BN422" i="26"/>
  <c r="BO422" i="26"/>
  <c r="BW422" i="26"/>
  <c r="BX422" i="26" s="1"/>
  <c r="AZ747" i="26" l="1"/>
  <c r="BF747" i="26" s="1"/>
  <c r="BG747" i="26" s="1"/>
  <c r="AY748" i="26"/>
  <c r="BA748" i="26" s="1"/>
  <c r="BM422" i="26"/>
  <c r="BQ421" i="26" s="1"/>
  <c r="AR747" i="26" l="1"/>
  <c r="AV747" i="26" s="1"/>
  <c r="AX747" i="26"/>
  <c r="AW747" i="26"/>
  <c r="BP422" i="26"/>
  <c r="BR422" i="26" s="1"/>
  <c r="BO421" i="26"/>
  <c r="BN421" i="26"/>
  <c r="BI421" i="26"/>
  <c r="BW421" i="26"/>
  <c r="BX421" i="26" s="1"/>
  <c r="AZ746" i="26" l="1"/>
  <c r="BF746" i="26" s="1"/>
  <c r="BG746" i="26" s="1"/>
  <c r="AY747" i="26"/>
  <c r="BA747" i="26" s="1"/>
  <c r="BM421" i="26"/>
  <c r="BQ420" i="26" s="1"/>
  <c r="BP421" i="26" l="1"/>
  <c r="BR421" i="26" s="1"/>
  <c r="AR746" i="26"/>
  <c r="AV746" i="26" s="1"/>
  <c r="AX746" i="26"/>
  <c r="AW746" i="26"/>
  <c r="BO420" i="26"/>
  <c r="BN420" i="26"/>
  <c r="BI420" i="26"/>
  <c r="BW420" i="26"/>
  <c r="BX420" i="26" s="1"/>
  <c r="AZ745" i="26" l="1"/>
  <c r="BF745" i="26" s="1"/>
  <c r="BG745" i="26" s="1"/>
  <c r="AY746" i="26"/>
  <c r="BA746" i="26" s="1"/>
  <c r="BM420" i="26"/>
  <c r="BQ419" i="26" s="1"/>
  <c r="AR745" i="26" l="1"/>
  <c r="AV745" i="26" s="1"/>
  <c r="AX745" i="26"/>
  <c r="AW745" i="26"/>
  <c r="BP420" i="26"/>
  <c r="BR420" i="26" s="1"/>
  <c r="BI419" i="26"/>
  <c r="BN419" i="26"/>
  <c r="BW419" i="26"/>
  <c r="BX419" i="26" s="1"/>
  <c r="BO419" i="26"/>
  <c r="AZ744" i="26" l="1"/>
  <c r="BF744" i="26" s="1"/>
  <c r="BG744" i="26" s="1"/>
  <c r="AY745" i="26"/>
  <c r="BA745" i="26" s="1"/>
  <c r="BM419" i="26"/>
  <c r="BQ418" i="26" s="1"/>
  <c r="AR744" i="26" l="1"/>
  <c r="AV744" i="26" s="1"/>
  <c r="AX744" i="26"/>
  <c r="AW744" i="26"/>
  <c r="BP419" i="26"/>
  <c r="BR419" i="26" s="1"/>
  <c r="BO418" i="26"/>
  <c r="BI418" i="26"/>
  <c r="BW418" i="26"/>
  <c r="BX418" i="26" s="1"/>
  <c r="BN418" i="26"/>
  <c r="AZ743" i="26" l="1"/>
  <c r="BF743" i="26" s="1"/>
  <c r="BG743" i="26" s="1"/>
  <c r="AY744" i="26"/>
  <c r="BA744" i="26" s="1"/>
  <c r="BM418" i="26"/>
  <c r="BQ417" i="26" s="1"/>
  <c r="AR743" i="26" l="1"/>
  <c r="AV743" i="26" s="1"/>
  <c r="AX743" i="26"/>
  <c r="AW743" i="26"/>
  <c r="BP418" i="26"/>
  <c r="BR418" i="26" s="1"/>
  <c r="BW417" i="26"/>
  <c r="BX417" i="26" s="1"/>
  <c r="BO417" i="26"/>
  <c r="BN417" i="26"/>
  <c r="BI417" i="26"/>
  <c r="AZ742" i="26" l="1"/>
  <c r="BF742" i="26" s="1"/>
  <c r="BG742" i="26" s="1"/>
  <c r="AY743" i="26"/>
  <c r="BA743" i="26" s="1"/>
  <c r="BM417" i="26"/>
  <c r="BQ416" i="26" s="1"/>
  <c r="AR742" i="26" l="1"/>
  <c r="AV742" i="26" s="1"/>
  <c r="AX742" i="26"/>
  <c r="AW742" i="26"/>
  <c r="BP417" i="26"/>
  <c r="BR417" i="26" s="1"/>
  <c r="BW416" i="26"/>
  <c r="BX416" i="26" s="1"/>
  <c r="BO416" i="26"/>
  <c r="BN416" i="26"/>
  <c r="BI416" i="26"/>
  <c r="AZ741" i="26" l="1"/>
  <c r="BF741" i="26" s="1"/>
  <c r="BG741" i="26" s="1"/>
  <c r="AY742" i="26"/>
  <c r="BA742" i="26" s="1"/>
  <c r="BM416" i="26"/>
  <c r="BQ415" i="26" s="1"/>
  <c r="AR741" i="26" l="1"/>
  <c r="AV741" i="26" s="1"/>
  <c r="AX741" i="26"/>
  <c r="AW741" i="26"/>
  <c r="BP416" i="26"/>
  <c r="BR416" i="26" s="1"/>
  <c r="BN415" i="26"/>
  <c r="BW415" i="26"/>
  <c r="BX415" i="26" s="1"/>
  <c r="BI415" i="26"/>
  <c r="BO415" i="26"/>
  <c r="AZ740" i="26" l="1"/>
  <c r="BF740" i="26" s="1"/>
  <c r="BG740" i="26" s="1"/>
  <c r="AY741" i="26"/>
  <c r="BA741" i="26" s="1"/>
  <c r="BM415" i="26"/>
  <c r="BQ414" i="26" s="1"/>
  <c r="AR740" i="26" l="1"/>
  <c r="AV740" i="26" s="1"/>
  <c r="AX740" i="26"/>
  <c r="AW740" i="26"/>
  <c r="BP415" i="26"/>
  <c r="BR415" i="26" s="1"/>
  <c r="BO414" i="26"/>
  <c r="BN414" i="26"/>
  <c r="BW414" i="26"/>
  <c r="BX414" i="26" s="1"/>
  <c r="BI414" i="26"/>
  <c r="AZ739" i="26" l="1"/>
  <c r="BF739" i="26" s="1"/>
  <c r="BG739" i="26" s="1"/>
  <c r="AY740" i="26"/>
  <c r="BA740" i="26" s="1"/>
  <c r="BM414" i="26"/>
  <c r="BQ413" i="26" s="1"/>
  <c r="AR739" i="26" l="1"/>
  <c r="AV739" i="26" s="1"/>
  <c r="AX739" i="26"/>
  <c r="AW739" i="26"/>
  <c r="BP414" i="26"/>
  <c r="BR414" i="26" s="1"/>
  <c r="BO413" i="26"/>
  <c r="BW413" i="26"/>
  <c r="BX413" i="26" s="1"/>
  <c r="BN413" i="26"/>
  <c r="BI413" i="26"/>
  <c r="AZ738" i="26" l="1"/>
  <c r="BF738" i="26" s="1"/>
  <c r="BG738" i="26" s="1"/>
  <c r="AY739" i="26"/>
  <c r="BA739" i="26" s="1"/>
  <c r="BM413" i="26"/>
  <c r="BQ412" i="26" s="1"/>
  <c r="AR738" i="26" l="1"/>
  <c r="AV738" i="26" s="1"/>
  <c r="AX738" i="26"/>
  <c r="AW738" i="26"/>
  <c r="BP413" i="26"/>
  <c r="BR413" i="26" s="1"/>
  <c r="BN412" i="26"/>
  <c r="BI412" i="26"/>
  <c r="BW412" i="26"/>
  <c r="BX412" i="26" s="1"/>
  <c r="BO412" i="26"/>
  <c r="AZ737" i="26" l="1"/>
  <c r="BF737" i="26" s="1"/>
  <c r="BG737" i="26" s="1"/>
  <c r="AY738" i="26"/>
  <c r="BA738" i="26" s="1"/>
  <c r="BM412" i="26"/>
  <c r="BQ411" i="26" s="1"/>
  <c r="AR737" i="26" l="1"/>
  <c r="AV737" i="26" s="1"/>
  <c r="AX737" i="26"/>
  <c r="AW737" i="26"/>
  <c r="BP412" i="26"/>
  <c r="BR412" i="26" s="1"/>
  <c r="BW411" i="26"/>
  <c r="BX411" i="26" s="1"/>
  <c r="BO411" i="26"/>
  <c r="BI411" i="26"/>
  <c r="BN411" i="26"/>
  <c r="AZ736" i="26" l="1"/>
  <c r="BF736" i="26" s="1"/>
  <c r="BG736" i="26" s="1"/>
  <c r="AY737" i="26"/>
  <c r="BA737" i="26" s="1"/>
  <c r="BM411" i="26"/>
  <c r="BQ410" i="26" s="1"/>
  <c r="AR736" i="26" l="1"/>
  <c r="AV736" i="26" s="1"/>
  <c r="AX736" i="26"/>
  <c r="AW736" i="26"/>
  <c r="BP411" i="26"/>
  <c r="BR411" i="26" s="1"/>
  <c r="BN410" i="26"/>
  <c r="BW410" i="26"/>
  <c r="BX410" i="26" s="1"/>
  <c r="BI410" i="26"/>
  <c r="BO410" i="26"/>
  <c r="AZ735" i="26" l="1"/>
  <c r="BF735" i="26" s="1"/>
  <c r="BG735" i="26" s="1"/>
  <c r="AY736" i="26"/>
  <c r="BA736" i="26" s="1"/>
  <c r="BM410" i="26"/>
  <c r="BQ409" i="26" s="1"/>
  <c r="AR735" i="26" l="1"/>
  <c r="AV735" i="26" s="1"/>
  <c r="AX735" i="26"/>
  <c r="AW735" i="26"/>
  <c r="BP410" i="26"/>
  <c r="BR410" i="26" s="1"/>
  <c r="BO409" i="26"/>
  <c r="BW409" i="26"/>
  <c r="BX409" i="26" s="1"/>
  <c r="BI409" i="26"/>
  <c r="BN409" i="26"/>
  <c r="AZ734" i="26" l="1"/>
  <c r="BF734" i="26" s="1"/>
  <c r="BG734" i="26" s="1"/>
  <c r="AY735" i="26"/>
  <c r="BA735" i="26" s="1"/>
  <c r="BM409" i="26"/>
  <c r="BQ408" i="26" s="1"/>
  <c r="AR734" i="26" l="1"/>
  <c r="AV734" i="26" s="1"/>
  <c r="AX734" i="26"/>
  <c r="AW734" i="26"/>
  <c r="BP409" i="26"/>
  <c r="BR409" i="26" s="1"/>
  <c r="BN408" i="26"/>
  <c r="BI408" i="26"/>
  <c r="BW408" i="26"/>
  <c r="BX408" i="26" s="1"/>
  <c r="BO408" i="26"/>
  <c r="AZ733" i="26" l="1"/>
  <c r="BF733" i="26" s="1"/>
  <c r="BG733" i="26" s="1"/>
  <c r="AY734" i="26"/>
  <c r="BA734" i="26" s="1"/>
  <c r="BM408" i="26"/>
  <c r="BQ407" i="26" s="1"/>
  <c r="AR733" i="26" l="1"/>
  <c r="AV733" i="26" s="1"/>
  <c r="AX733" i="26"/>
  <c r="AW733" i="26"/>
  <c r="BP408" i="26"/>
  <c r="BR408" i="26" s="1"/>
  <c r="BN407" i="26"/>
  <c r="BI407" i="26"/>
  <c r="BO407" i="26"/>
  <c r="BW407" i="26"/>
  <c r="BX407" i="26" s="1"/>
  <c r="AZ732" i="26" l="1"/>
  <c r="BF732" i="26" s="1"/>
  <c r="BG732" i="26" s="1"/>
  <c r="AY733" i="26"/>
  <c r="BA733" i="26" s="1"/>
  <c r="BM407" i="26"/>
  <c r="BQ406" i="26" s="1"/>
  <c r="AR732" i="26" l="1"/>
  <c r="AV732" i="26" s="1"/>
  <c r="AX732" i="26"/>
  <c r="AW732" i="26"/>
  <c r="BP407" i="26"/>
  <c r="BR407" i="26" s="1"/>
  <c r="BO406" i="26"/>
  <c r="BI406" i="26"/>
  <c r="BN406" i="26"/>
  <c r="BW406" i="26"/>
  <c r="BX406" i="26" s="1"/>
  <c r="AZ731" i="26" l="1"/>
  <c r="BF731" i="26" s="1"/>
  <c r="BG731" i="26" s="1"/>
  <c r="AY732" i="26"/>
  <c r="BA732" i="26" s="1"/>
  <c r="BM406" i="26"/>
  <c r="BQ405" i="26" s="1"/>
  <c r="AR731" i="26" l="1"/>
  <c r="AV731" i="26" s="1"/>
  <c r="AX731" i="26"/>
  <c r="AW731" i="26"/>
  <c r="BP406" i="26"/>
  <c r="BR406" i="26" s="1"/>
  <c r="BO405" i="26"/>
  <c r="BW405" i="26"/>
  <c r="BX405" i="26" s="1"/>
  <c r="BN405" i="26"/>
  <c r="BI405" i="26"/>
  <c r="AZ730" i="26" l="1"/>
  <c r="BF730" i="26" s="1"/>
  <c r="BG730" i="26" s="1"/>
  <c r="AY731" i="26"/>
  <c r="BA731" i="26" s="1"/>
  <c r="BM405" i="26"/>
  <c r="BQ404" i="26" s="1"/>
  <c r="AR730" i="26" l="1"/>
  <c r="AV730" i="26" s="1"/>
  <c r="AX730" i="26"/>
  <c r="AW730" i="26"/>
  <c r="BP405" i="26"/>
  <c r="BR405" i="26" s="1"/>
  <c r="BI404" i="26"/>
  <c r="BN404" i="26"/>
  <c r="BO404" i="26"/>
  <c r="BW404" i="26"/>
  <c r="BX404" i="26" s="1"/>
  <c r="AZ729" i="26" l="1"/>
  <c r="BF729" i="26" s="1"/>
  <c r="BG729" i="26" s="1"/>
  <c r="AY730" i="26"/>
  <c r="BA730" i="26" s="1"/>
  <c r="BM404" i="26"/>
  <c r="BQ403" i="26" s="1"/>
  <c r="AR729" i="26" l="1"/>
  <c r="AV729" i="26" s="1"/>
  <c r="AX729" i="26"/>
  <c r="AW729" i="26"/>
  <c r="BP404" i="26"/>
  <c r="BR404" i="26" s="1"/>
  <c r="BI403" i="26"/>
  <c r="BO403" i="26"/>
  <c r="BW403" i="26"/>
  <c r="BX403" i="26" s="1"/>
  <c r="BN403" i="26"/>
  <c r="AZ728" i="26" l="1"/>
  <c r="BF728" i="26" s="1"/>
  <c r="BG728" i="26" s="1"/>
  <c r="AY729" i="26"/>
  <c r="BA729" i="26" s="1"/>
  <c r="BM403" i="26"/>
  <c r="BQ402" i="26" s="1"/>
  <c r="AR728" i="26" l="1"/>
  <c r="AV728" i="26" s="1"/>
  <c r="AX728" i="26"/>
  <c r="AW728" i="26"/>
  <c r="BP403" i="26"/>
  <c r="BR403" i="26" s="1"/>
  <c r="BO402" i="26"/>
  <c r="BI402" i="26"/>
  <c r="BW402" i="26"/>
  <c r="BX402" i="26" s="1"/>
  <c r="BN402" i="26"/>
  <c r="AZ727" i="26" l="1"/>
  <c r="BF727" i="26" s="1"/>
  <c r="BG727" i="26" s="1"/>
  <c r="AY728" i="26"/>
  <c r="BA728" i="26" s="1"/>
  <c r="BM402" i="26"/>
  <c r="BQ401" i="26" s="1"/>
  <c r="AR727" i="26" l="1"/>
  <c r="AV727" i="26" s="1"/>
  <c r="AX727" i="26"/>
  <c r="AW727" i="26"/>
  <c r="BP402" i="26"/>
  <c r="BR402" i="26" s="1"/>
  <c r="BO401" i="26"/>
  <c r="BN401" i="26"/>
  <c r="BW401" i="26"/>
  <c r="BX401" i="26" s="1"/>
  <c r="BI401" i="26"/>
  <c r="AZ726" i="26" l="1"/>
  <c r="BF726" i="26" s="1"/>
  <c r="BG726" i="26" s="1"/>
  <c r="AY727" i="26"/>
  <c r="BA727" i="26" s="1"/>
  <c r="BM401" i="26"/>
  <c r="BQ400" i="26" s="1"/>
  <c r="AR726" i="26" l="1"/>
  <c r="AV726" i="26" s="1"/>
  <c r="AX726" i="26"/>
  <c r="AW726" i="26"/>
  <c r="BP401" i="26"/>
  <c r="BR401" i="26" s="1"/>
  <c r="BN400" i="26"/>
  <c r="BW400" i="26"/>
  <c r="BX400" i="26" s="1"/>
  <c r="BI400" i="26"/>
  <c r="BO400" i="26"/>
  <c r="AZ725" i="26" l="1"/>
  <c r="BF725" i="26" s="1"/>
  <c r="BG725" i="26" s="1"/>
  <c r="AY726" i="26"/>
  <c r="BA726" i="26" s="1"/>
  <c r="BM400" i="26"/>
  <c r="BQ399" i="26" s="1"/>
  <c r="AR725" i="26" l="1"/>
  <c r="AV725" i="26" s="1"/>
  <c r="AX725" i="26"/>
  <c r="AW725" i="26"/>
  <c r="BP400" i="26"/>
  <c r="BR400" i="26" s="1"/>
  <c r="BI399" i="26"/>
  <c r="BW399" i="26"/>
  <c r="BX399" i="26" s="1"/>
  <c r="BN399" i="26"/>
  <c r="BO399" i="26"/>
  <c r="AZ724" i="26" l="1"/>
  <c r="BF724" i="26" s="1"/>
  <c r="BG724" i="26" s="1"/>
  <c r="AY725" i="26"/>
  <c r="BA725" i="26" s="1"/>
  <c r="BM399" i="26"/>
  <c r="BQ398" i="26" s="1"/>
  <c r="AR724" i="26" l="1"/>
  <c r="AV724" i="26" s="1"/>
  <c r="AX724" i="26"/>
  <c r="AW724" i="26"/>
  <c r="BP399" i="26"/>
  <c r="BR399" i="26" s="1"/>
  <c r="BW398" i="26"/>
  <c r="BX398" i="26" s="1"/>
  <c r="BI398" i="26"/>
  <c r="BO398" i="26"/>
  <c r="BN398" i="26"/>
  <c r="AZ723" i="26" l="1"/>
  <c r="BF723" i="26" s="1"/>
  <c r="BG723" i="26" s="1"/>
  <c r="AY724" i="26"/>
  <c r="BA724" i="26" s="1"/>
  <c r="BM398" i="26"/>
  <c r="BQ397" i="26" s="1"/>
  <c r="AR723" i="26" l="1"/>
  <c r="AV723" i="26" s="1"/>
  <c r="AX723" i="26"/>
  <c r="AW723" i="26"/>
  <c r="BP398" i="26"/>
  <c r="BR398" i="26" s="1"/>
  <c r="BW397" i="26"/>
  <c r="BX397" i="26" s="1"/>
  <c r="BO397" i="26"/>
  <c r="BI397" i="26"/>
  <c r="BN397" i="26"/>
  <c r="AZ722" i="26" l="1"/>
  <c r="BF722" i="26" s="1"/>
  <c r="BG722" i="26" s="1"/>
  <c r="AY723" i="26"/>
  <c r="BA723" i="26" s="1"/>
  <c r="BM397" i="26"/>
  <c r="BQ396" i="26" s="1"/>
  <c r="BP397" i="26" l="1"/>
  <c r="BR397" i="26" s="1"/>
  <c r="AR722" i="26"/>
  <c r="AV722" i="26" s="1"/>
  <c r="AX722" i="26"/>
  <c r="AW722" i="26"/>
  <c r="BW396" i="26"/>
  <c r="BX396" i="26" s="1"/>
  <c r="BN396" i="26"/>
  <c r="BI396" i="26"/>
  <c r="BO396" i="26"/>
  <c r="AZ721" i="26" l="1"/>
  <c r="BF721" i="26" s="1"/>
  <c r="BG721" i="26" s="1"/>
  <c r="AY722" i="26"/>
  <c r="BA722" i="26" s="1"/>
  <c r="BM396" i="26"/>
  <c r="BQ395" i="26" s="1"/>
  <c r="AR721" i="26" l="1"/>
  <c r="AV721" i="26" s="1"/>
  <c r="AX721" i="26"/>
  <c r="AW721" i="26"/>
  <c r="BP396" i="26"/>
  <c r="BR396" i="26" s="1"/>
  <c r="BN395" i="26"/>
  <c r="BO395" i="26"/>
  <c r="BW395" i="26"/>
  <c r="BX395" i="26" s="1"/>
  <c r="BI395" i="26"/>
  <c r="AZ720" i="26" l="1"/>
  <c r="BF720" i="26" s="1"/>
  <c r="BG720" i="26" s="1"/>
  <c r="AY721" i="26"/>
  <c r="BA721" i="26" s="1"/>
  <c r="BM395" i="26"/>
  <c r="BQ394" i="26" s="1"/>
  <c r="AR720" i="26" l="1"/>
  <c r="AV720" i="26" s="1"/>
  <c r="AX720" i="26"/>
  <c r="AW720" i="26"/>
  <c r="BP395" i="26"/>
  <c r="BR395" i="26" s="1"/>
  <c r="BW394" i="26"/>
  <c r="BX394" i="26" s="1"/>
  <c r="BN394" i="26"/>
  <c r="BI394" i="26"/>
  <c r="BO394" i="26"/>
  <c r="AZ719" i="26" l="1"/>
  <c r="BF719" i="26" s="1"/>
  <c r="BG719" i="26" s="1"/>
  <c r="AY720" i="26"/>
  <c r="BA720" i="26" s="1"/>
  <c r="BM394" i="26"/>
  <c r="BQ393" i="26" s="1"/>
  <c r="AR719" i="26" l="1"/>
  <c r="AV719" i="26" s="1"/>
  <c r="AX719" i="26"/>
  <c r="AW719" i="26"/>
  <c r="BP394" i="26"/>
  <c r="BR394" i="26" s="1"/>
  <c r="BO393" i="26"/>
  <c r="BN393" i="26"/>
  <c r="BI393" i="26"/>
  <c r="BW393" i="26"/>
  <c r="BX393" i="26" s="1"/>
  <c r="AZ718" i="26" l="1"/>
  <c r="BF718" i="26" s="1"/>
  <c r="BG718" i="26" s="1"/>
  <c r="AY719" i="26"/>
  <c r="BA719" i="26" s="1"/>
  <c r="BM393" i="26"/>
  <c r="BQ392" i="26" s="1"/>
  <c r="AR718" i="26" l="1"/>
  <c r="AV718" i="26" s="1"/>
  <c r="AX718" i="26"/>
  <c r="AW718" i="26"/>
  <c r="BP393" i="26"/>
  <c r="BR393" i="26" s="1"/>
  <c r="BN392" i="26"/>
  <c r="BW392" i="26"/>
  <c r="BX392" i="26" s="1"/>
  <c r="BO392" i="26"/>
  <c r="BI392" i="26"/>
  <c r="AZ717" i="26" l="1"/>
  <c r="BF717" i="26" s="1"/>
  <c r="BG717" i="26" s="1"/>
  <c r="AY718" i="26"/>
  <c r="BA718" i="26" s="1"/>
  <c r="BM392" i="26"/>
  <c r="BQ391" i="26" s="1"/>
  <c r="AR717" i="26" l="1"/>
  <c r="AV717" i="26" s="1"/>
  <c r="AX717" i="26"/>
  <c r="AW717" i="26"/>
  <c r="BP392" i="26"/>
  <c r="BR392" i="26" s="1"/>
  <c r="BW391" i="26"/>
  <c r="BX391" i="26" s="1"/>
  <c r="BO391" i="26"/>
  <c r="BN391" i="26"/>
  <c r="BI391" i="26"/>
  <c r="AZ716" i="26" l="1"/>
  <c r="BF716" i="26" s="1"/>
  <c r="BG716" i="26" s="1"/>
  <c r="AY717" i="26"/>
  <c r="BA717" i="26" s="1"/>
  <c r="BM391" i="26"/>
  <c r="BQ390" i="26" s="1"/>
  <c r="AR716" i="26" l="1"/>
  <c r="AV716" i="26" s="1"/>
  <c r="AX716" i="26"/>
  <c r="AW716" i="26"/>
  <c r="BP391" i="26"/>
  <c r="BR391" i="26" s="1"/>
  <c r="BO390" i="26"/>
  <c r="BI390" i="26"/>
  <c r="BN390" i="26"/>
  <c r="BW390" i="26"/>
  <c r="BX390" i="26" s="1"/>
  <c r="AZ715" i="26" l="1"/>
  <c r="BF715" i="26" s="1"/>
  <c r="BG715" i="26" s="1"/>
  <c r="AY716" i="26"/>
  <c r="BA716" i="26" s="1"/>
  <c r="BM390" i="26"/>
  <c r="BQ389" i="26" s="1"/>
  <c r="AR715" i="26" l="1"/>
  <c r="AV715" i="26" s="1"/>
  <c r="AX715" i="26"/>
  <c r="AW715" i="26"/>
  <c r="BP390" i="26"/>
  <c r="BR390" i="26" s="1"/>
  <c r="BW389" i="26"/>
  <c r="BX389" i="26" s="1"/>
  <c r="BN389" i="26"/>
  <c r="BI389" i="26"/>
  <c r="BO389" i="26"/>
  <c r="AZ714" i="26" l="1"/>
  <c r="BF714" i="26" s="1"/>
  <c r="BG714" i="26" s="1"/>
  <c r="AY715" i="26"/>
  <c r="BA715" i="26" s="1"/>
  <c r="BM389" i="26"/>
  <c r="BQ388" i="26" s="1"/>
  <c r="BP389" i="26" l="1"/>
  <c r="BR389" i="26" s="1"/>
  <c r="AX714" i="26"/>
  <c r="AR714" i="26"/>
  <c r="AV714" i="26" s="1"/>
  <c r="AW714" i="26"/>
  <c r="BN388" i="26"/>
  <c r="BI388" i="26"/>
  <c r="BO388" i="26"/>
  <c r="BW388" i="26"/>
  <c r="BX388" i="26" s="1"/>
  <c r="AZ713" i="26" l="1"/>
  <c r="BF713" i="26" s="1"/>
  <c r="BG713" i="26" s="1"/>
  <c r="AY714" i="26"/>
  <c r="BA714" i="26" s="1"/>
  <c r="BM388" i="26"/>
  <c r="BQ387" i="26" s="1"/>
  <c r="AR713" i="26" l="1"/>
  <c r="AV713" i="26" s="1"/>
  <c r="AZ712" i="26" s="1"/>
  <c r="AX713" i="26"/>
  <c r="AW713" i="26"/>
  <c r="BP388" i="26"/>
  <c r="BR388" i="26" s="1"/>
  <c r="BI387" i="26"/>
  <c r="BO387" i="26"/>
  <c r="BN387" i="26"/>
  <c r="BW387" i="26"/>
  <c r="BX387" i="26" s="1"/>
  <c r="AY713" i="26" l="1"/>
  <c r="BA713" i="26" s="1"/>
  <c r="BF712" i="26"/>
  <c r="BG712" i="26" s="1"/>
  <c r="BM387" i="26"/>
  <c r="BQ386" i="26" s="1"/>
  <c r="AR712" i="26" l="1"/>
  <c r="AV712" i="26" s="1"/>
  <c r="AX712" i="26"/>
  <c r="AW712" i="26"/>
  <c r="BP387" i="26"/>
  <c r="BR387" i="26" s="1"/>
  <c r="BN386" i="26"/>
  <c r="BW386" i="26"/>
  <c r="BX386" i="26" s="1"/>
  <c r="BO386" i="26"/>
  <c r="BI386" i="26"/>
  <c r="AZ711" i="26" l="1"/>
  <c r="BF711" i="26" s="1"/>
  <c r="BG711" i="26" s="1"/>
  <c r="AY712" i="26"/>
  <c r="BA712" i="26" s="1"/>
  <c r="BM386" i="26"/>
  <c r="BQ385" i="26" s="1"/>
  <c r="AR711" i="26" l="1"/>
  <c r="AV711" i="26" s="1"/>
  <c r="AX711" i="26"/>
  <c r="AW711" i="26"/>
  <c r="BP386" i="26"/>
  <c r="BR386" i="26" s="1"/>
  <c r="BW385" i="26"/>
  <c r="BX385" i="26" s="1"/>
  <c r="BO385" i="26"/>
  <c r="BI385" i="26"/>
  <c r="BN385" i="26"/>
  <c r="AZ710" i="26" l="1"/>
  <c r="BF710" i="26" s="1"/>
  <c r="BG710" i="26" s="1"/>
  <c r="AY711" i="26"/>
  <c r="BA711" i="26" s="1"/>
  <c r="BM385" i="26"/>
  <c r="BQ384" i="26" s="1"/>
  <c r="AR710" i="26" l="1"/>
  <c r="AV710" i="26" s="1"/>
  <c r="AX710" i="26"/>
  <c r="AW710" i="26"/>
  <c r="BP385" i="26"/>
  <c r="BR385" i="26" s="1"/>
  <c r="BN384" i="26"/>
  <c r="BO384" i="26"/>
  <c r="BI384" i="26"/>
  <c r="BW384" i="26"/>
  <c r="BX384" i="26" s="1"/>
  <c r="AZ709" i="26" l="1"/>
  <c r="BF709" i="26" s="1"/>
  <c r="BG709" i="26" s="1"/>
  <c r="AY710" i="26"/>
  <c r="BA710" i="26" s="1"/>
  <c r="BM384" i="26"/>
  <c r="BQ383" i="26" s="1"/>
  <c r="AR709" i="26" l="1"/>
  <c r="AV709" i="26" s="1"/>
  <c r="AX709" i="26"/>
  <c r="AW709" i="26"/>
  <c r="BP384" i="26"/>
  <c r="BR384" i="26" s="1"/>
  <c r="BI383" i="26"/>
  <c r="BW383" i="26"/>
  <c r="BX383" i="26" s="1"/>
  <c r="BN383" i="26"/>
  <c r="BO383" i="26"/>
  <c r="AZ708" i="26" l="1"/>
  <c r="BF708" i="26" s="1"/>
  <c r="BG708" i="26" s="1"/>
  <c r="AY709" i="26"/>
  <c r="BA709" i="26" s="1"/>
  <c r="BM383" i="26"/>
  <c r="BQ382" i="26" s="1"/>
  <c r="BP383" i="26" l="1"/>
  <c r="BR383" i="26" s="1"/>
  <c r="AR708" i="26"/>
  <c r="AV708" i="26" s="1"/>
  <c r="AX708" i="26"/>
  <c r="AW708" i="26"/>
  <c r="BO382" i="26"/>
  <c r="BW382" i="26"/>
  <c r="BX382" i="26" s="1"/>
  <c r="BN382" i="26"/>
  <c r="BI382" i="26"/>
  <c r="AZ707" i="26" l="1"/>
  <c r="BF707" i="26" s="1"/>
  <c r="BG707" i="26" s="1"/>
  <c r="AY708" i="26"/>
  <c r="BA708" i="26" s="1"/>
  <c r="BM382" i="26"/>
  <c r="BQ381" i="26" s="1"/>
  <c r="AR707" i="26" l="1"/>
  <c r="AV707" i="26" s="1"/>
  <c r="AX707" i="26"/>
  <c r="AW707" i="26"/>
  <c r="BP382" i="26"/>
  <c r="BR382" i="26" s="1"/>
  <c r="BW381" i="26"/>
  <c r="BX381" i="26" s="1"/>
  <c r="BN381" i="26"/>
  <c r="BO381" i="26"/>
  <c r="BI381" i="26"/>
  <c r="AZ706" i="26" l="1"/>
  <c r="BF706" i="26" s="1"/>
  <c r="BG706" i="26" s="1"/>
  <c r="AY707" i="26"/>
  <c r="BA707" i="26" s="1"/>
  <c r="BM381" i="26"/>
  <c r="BQ380" i="26" s="1"/>
  <c r="AR706" i="26" l="1"/>
  <c r="AV706" i="26" s="1"/>
  <c r="AX706" i="26"/>
  <c r="AW706" i="26"/>
  <c r="BP381" i="26"/>
  <c r="BR381" i="26" s="1"/>
  <c r="BN380" i="26"/>
  <c r="BO380" i="26"/>
  <c r="BI380" i="26"/>
  <c r="BW380" i="26"/>
  <c r="BX380" i="26" s="1"/>
  <c r="AZ705" i="26" l="1"/>
  <c r="BF705" i="26" s="1"/>
  <c r="BG705" i="26" s="1"/>
  <c r="AY706" i="26"/>
  <c r="BA706" i="26" s="1"/>
  <c r="BM380" i="26"/>
  <c r="BQ379" i="26" s="1"/>
  <c r="AR705" i="26" l="1"/>
  <c r="AV705" i="26" s="1"/>
  <c r="AX705" i="26"/>
  <c r="AW705" i="26"/>
  <c r="BP380" i="26"/>
  <c r="BR380" i="26" s="1"/>
  <c r="BI379" i="26"/>
  <c r="BO379" i="26"/>
  <c r="BN379" i="26"/>
  <c r="BW379" i="26"/>
  <c r="BX379" i="26" s="1"/>
  <c r="AZ704" i="26" l="1"/>
  <c r="BF704" i="26" s="1"/>
  <c r="BG704" i="26" s="1"/>
  <c r="AY705" i="26"/>
  <c r="BA705" i="26" s="1"/>
  <c r="BM379" i="26"/>
  <c r="BQ378" i="26" s="1"/>
  <c r="AR704" i="26" l="1"/>
  <c r="AV704" i="26" s="1"/>
  <c r="AX704" i="26"/>
  <c r="AW704" i="26"/>
  <c r="BP379" i="26"/>
  <c r="BR379" i="26" s="1"/>
  <c r="BI378" i="26"/>
  <c r="BO378" i="26"/>
  <c r="BW378" i="26"/>
  <c r="BX378" i="26" s="1"/>
  <c r="BN378" i="26"/>
  <c r="AZ703" i="26" l="1"/>
  <c r="BF703" i="26" s="1"/>
  <c r="BG703" i="26" s="1"/>
  <c r="AY704" i="26"/>
  <c r="BA704" i="26" s="1"/>
  <c r="BM378" i="26"/>
  <c r="BQ377" i="26" s="1"/>
  <c r="AR703" i="26" l="1"/>
  <c r="AV703" i="26" s="1"/>
  <c r="AX703" i="26"/>
  <c r="AW703" i="26"/>
  <c r="BP378" i="26"/>
  <c r="BR378" i="26" s="1"/>
  <c r="BO377" i="26"/>
  <c r="BW377" i="26"/>
  <c r="BX377" i="26" s="1"/>
  <c r="BN377" i="26"/>
  <c r="BI377" i="26"/>
  <c r="AZ702" i="26" l="1"/>
  <c r="BF702" i="26" s="1"/>
  <c r="BG702" i="26" s="1"/>
  <c r="AY703" i="26"/>
  <c r="BA703" i="26" s="1"/>
  <c r="BM377" i="26"/>
  <c r="BQ376" i="26" s="1"/>
  <c r="AR702" i="26" l="1"/>
  <c r="AV702" i="26" s="1"/>
  <c r="AX702" i="26"/>
  <c r="AW702" i="26"/>
  <c r="BP377" i="26"/>
  <c r="BR377" i="26" s="1"/>
  <c r="BW376" i="26"/>
  <c r="BX376" i="26" s="1"/>
  <c r="BO376" i="26"/>
  <c r="BI376" i="26"/>
  <c r="BN376" i="26"/>
  <c r="AZ701" i="26" l="1"/>
  <c r="BF701" i="26" s="1"/>
  <c r="BG701" i="26" s="1"/>
  <c r="AY702" i="26"/>
  <c r="BA702" i="26" s="1"/>
  <c r="BM376" i="26"/>
  <c r="BQ375" i="26" s="1"/>
  <c r="AR701" i="26" l="1"/>
  <c r="AV701" i="26" s="1"/>
  <c r="AZ700" i="26" s="1"/>
  <c r="AX701" i="26"/>
  <c r="AW701" i="26"/>
  <c r="BP376" i="26"/>
  <c r="BR376" i="26" s="1"/>
  <c r="BI375" i="26"/>
  <c r="BW375" i="26"/>
  <c r="BX375" i="26" s="1"/>
  <c r="BN375" i="26"/>
  <c r="BO375" i="26"/>
  <c r="AY701" i="26" l="1"/>
  <c r="BA701" i="26" s="1"/>
  <c r="BF700" i="26"/>
  <c r="BG700" i="26" s="1"/>
  <c r="BM375" i="26"/>
  <c r="BQ374" i="26" s="1"/>
  <c r="AR700" i="26" l="1"/>
  <c r="AV700" i="26" s="1"/>
  <c r="AX700" i="26"/>
  <c r="AW700" i="26"/>
  <c r="BP375" i="26"/>
  <c r="BR375" i="26" s="1"/>
  <c r="BN374" i="26"/>
  <c r="BI374" i="26"/>
  <c r="BO374" i="26"/>
  <c r="BW374" i="26"/>
  <c r="BX374" i="26" s="1"/>
  <c r="AZ699" i="26" l="1"/>
  <c r="BF699" i="26" s="1"/>
  <c r="BG699" i="26" s="1"/>
  <c r="AY700" i="26"/>
  <c r="BA700" i="26" s="1"/>
  <c r="BM374" i="26"/>
  <c r="BQ373" i="26" s="1"/>
  <c r="AR699" i="26" l="1"/>
  <c r="AV699" i="26" s="1"/>
  <c r="AX699" i="26"/>
  <c r="AW699" i="26"/>
  <c r="BP374" i="26"/>
  <c r="BR374" i="26" s="1"/>
  <c r="BI373" i="26"/>
  <c r="BO373" i="26"/>
  <c r="BW373" i="26"/>
  <c r="BX373" i="26" s="1"/>
  <c r="BN373" i="26"/>
  <c r="AZ698" i="26" l="1"/>
  <c r="BF698" i="26" s="1"/>
  <c r="BG698" i="26" s="1"/>
  <c r="AY699" i="26"/>
  <c r="BA699" i="26" s="1"/>
  <c r="BM373" i="26"/>
  <c r="BQ372" i="26" s="1"/>
  <c r="AR698" i="26" l="1"/>
  <c r="AV698" i="26" s="1"/>
  <c r="AX698" i="26"/>
  <c r="AW698" i="26"/>
  <c r="BP373" i="26"/>
  <c r="BR373" i="26" s="1"/>
  <c r="BO372" i="26"/>
  <c r="BI372" i="26"/>
  <c r="BN372" i="26"/>
  <c r="BW372" i="26"/>
  <c r="BX372" i="26" s="1"/>
  <c r="AZ697" i="26" l="1"/>
  <c r="BF697" i="26" s="1"/>
  <c r="BG697" i="26" s="1"/>
  <c r="AY698" i="26"/>
  <c r="BA698" i="26" s="1"/>
  <c r="BM372" i="26"/>
  <c r="BQ371" i="26" s="1"/>
  <c r="AR697" i="26" l="1"/>
  <c r="AV697" i="26" s="1"/>
  <c r="AX697" i="26"/>
  <c r="AW697" i="26"/>
  <c r="BP372" i="26"/>
  <c r="BR372" i="26" s="1"/>
  <c r="BI371" i="26"/>
  <c r="BO371" i="26"/>
  <c r="BW371" i="26"/>
  <c r="BX371" i="26" s="1"/>
  <c r="BN371" i="26"/>
  <c r="AZ696" i="26" l="1"/>
  <c r="BF696" i="26" s="1"/>
  <c r="BG696" i="26" s="1"/>
  <c r="AY697" i="26"/>
  <c r="BA697" i="26" s="1"/>
  <c r="BM371" i="26"/>
  <c r="BQ370" i="26" s="1"/>
  <c r="BP371" i="26" l="1"/>
  <c r="BR371" i="26" s="1"/>
  <c r="AX696" i="26"/>
  <c r="AR696" i="26"/>
  <c r="AV696" i="26" s="1"/>
  <c r="AW696" i="26"/>
  <c r="BW370" i="26"/>
  <c r="BX370" i="26" s="1"/>
  <c r="BO370" i="26"/>
  <c r="BN370" i="26"/>
  <c r="BI370" i="26"/>
  <c r="AZ695" i="26" l="1"/>
  <c r="BF695" i="26" s="1"/>
  <c r="BG695" i="26" s="1"/>
  <c r="AY696" i="26"/>
  <c r="BA696" i="26" s="1"/>
  <c r="BM370" i="26"/>
  <c r="BQ369" i="26" s="1"/>
  <c r="AR695" i="26" l="1"/>
  <c r="AV695" i="26" s="1"/>
  <c r="AX695" i="26"/>
  <c r="AW695" i="26"/>
  <c r="BP370" i="26"/>
  <c r="BR370" i="26" s="1"/>
  <c r="BO369" i="26"/>
  <c r="BW369" i="26"/>
  <c r="BX369" i="26" s="1"/>
  <c r="BN369" i="26"/>
  <c r="BI369" i="26"/>
  <c r="AZ694" i="26" l="1"/>
  <c r="BF694" i="26" s="1"/>
  <c r="BG694" i="26" s="1"/>
  <c r="AY695" i="26"/>
  <c r="BA695" i="26" s="1"/>
  <c r="BM369" i="26"/>
  <c r="BQ368" i="26" s="1"/>
  <c r="AR694" i="26" l="1"/>
  <c r="AV694" i="26" s="1"/>
  <c r="AX694" i="26"/>
  <c r="AW694" i="26"/>
  <c r="BP369" i="26"/>
  <c r="BR369" i="26" s="1"/>
  <c r="BW368" i="26"/>
  <c r="BX368" i="26" s="1"/>
  <c r="BI368" i="26"/>
  <c r="BO368" i="26"/>
  <c r="BN368" i="26"/>
  <c r="AZ693" i="26" l="1"/>
  <c r="BF693" i="26" s="1"/>
  <c r="BG693" i="26" s="1"/>
  <c r="AY694" i="26"/>
  <c r="BA694" i="26" s="1"/>
  <c r="BM368" i="26"/>
  <c r="BQ367" i="26" s="1"/>
  <c r="BP368" i="26" l="1"/>
  <c r="BR368" i="26" s="1"/>
  <c r="AR693" i="26"/>
  <c r="AV693" i="26" s="1"/>
  <c r="AZ692" i="26" s="1"/>
  <c r="AX693" i="26"/>
  <c r="AW693" i="26"/>
  <c r="BI367" i="26"/>
  <c r="BN367" i="26"/>
  <c r="BO367" i="26"/>
  <c r="BW367" i="26"/>
  <c r="BX367" i="26" s="1"/>
  <c r="AY693" i="26" l="1"/>
  <c r="BA693" i="26" s="1"/>
  <c r="BF692" i="26"/>
  <c r="BG692" i="26" s="1"/>
  <c r="BM367" i="26"/>
  <c r="BQ366" i="26" s="1"/>
  <c r="AR692" i="26" l="1"/>
  <c r="AV692" i="26" s="1"/>
  <c r="AX692" i="26"/>
  <c r="AW692" i="26"/>
  <c r="BP367" i="26"/>
  <c r="BR367" i="26" s="1"/>
  <c r="BN366" i="26"/>
  <c r="BW366" i="26"/>
  <c r="BX366" i="26" s="1"/>
  <c r="BI366" i="26"/>
  <c r="BO366" i="26"/>
  <c r="AZ691" i="26" l="1"/>
  <c r="BF691" i="26" s="1"/>
  <c r="BG691" i="26" s="1"/>
  <c r="AY692" i="26"/>
  <c r="BA692" i="26" s="1"/>
  <c r="BM366" i="26"/>
  <c r="BQ365" i="26" s="1"/>
  <c r="AR691" i="26" l="1"/>
  <c r="AV691" i="26" s="1"/>
  <c r="AX691" i="26"/>
  <c r="AW691" i="26"/>
  <c r="BP366" i="26"/>
  <c r="BR366" i="26" s="1"/>
  <c r="BW365" i="26"/>
  <c r="BX365" i="26" s="1"/>
  <c r="BN365" i="26"/>
  <c r="BI365" i="26"/>
  <c r="BO365" i="26"/>
  <c r="AZ690" i="26" l="1"/>
  <c r="BF690" i="26" s="1"/>
  <c r="BG690" i="26" s="1"/>
  <c r="AY691" i="26"/>
  <c r="BA691" i="26" s="1"/>
  <c r="BM365" i="26"/>
  <c r="BQ364" i="26" s="1"/>
  <c r="AR690" i="26" l="1"/>
  <c r="AV690" i="26" s="1"/>
  <c r="AX690" i="26"/>
  <c r="AW690" i="26"/>
  <c r="BP365" i="26"/>
  <c r="BR365" i="26" s="1"/>
  <c r="BI364" i="26"/>
  <c r="BN364" i="26"/>
  <c r="BO364" i="26"/>
  <c r="BW364" i="26"/>
  <c r="BX364" i="26" s="1"/>
  <c r="AZ689" i="26" l="1"/>
  <c r="BF689" i="26" s="1"/>
  <c r="BG689" i="26" s="1"/>
  <c r="AY690" i="26"/>
  <c r="BA690" i="26" s="1"/>
  <c r="BM364" i="26"/>
  <c r="BQ363" i="26" s="1"/>
  <c r="AR689" i="26" l="1"/>
  <c r="AV689" i="26" s="1"/>
  <c r="AZ688" i="26" s="1"/>
  <c r="AX689" i="26"/>
  <c r="AW689" i="26"/>
  <c r="BP364" i="26"/>
  <c r="BR364" i="26" s="1"/>
  <c r="BN363" i="26"/>
  <c r="BI363" i="26"/>
  <c r="BO363" i="26"/>
  <c r="BW363" i="26"/>
  <c r="BX363" i="26" s="1"/>
  <c r="AY689" i="26" l="1"/>
  <c r="BA689" i="26" s="1"/>
  <c r="BF688" i="26"/>
  <c r="BG688" i="26" s="1"/>
  <c r="BM363" i="26"/>
  <c r="BQ362" i="26" s="1"/>
  <c r="AR688" i="26" l="1"/>
  <c r="AV688" i="26" s="1"/>
  <c r="AX688" i="26"/>
  <c r="AW688" i="26"/>
  <c r="BP363" i="26"/>
  <c r="BR363" i="26" s="1"/>
  <c r="BW362" i="26"/>
  <c r="BX362" i="26" s="1"/>
  <c r="BN362" i="26"/>
  <c r="BI362" i="26"/>
  <c r="BO362" i="26"/>
  <c r="AZ687" i="26" l="1"/>
  <c r="BF687" i="26" s="1"/>
  <c r="BG687" i="26" s="1"/>
  <c r="AY688" i="26"/>
  <c r="BA688" i="26" s="1"/>
  <c r="BM362" i="26"/>
  <c r="BQ361" i="26" s="1"/>
  <c r="BP362" i="26" l="1"/>
  <c r="BR362" i="26" s="1"/>
  <c r="AW687" i="26"/>
  <c r="AR687" i="26"/>
  <c r="AV687" i="26" s="1"/>
  <c r="AX687" i="26"/>
  <c r="BW361" i="26"/>
  <c r="BX361" i="26" s="1"/>
  <c r="BO361" i="26"/>
  <c r="BN361" i="26"/>
  <c r="BI361" i="26"/>
  <c r="AZ686" i="26" l="1"/>
  <c r="BF686" i="26" s="1"/>
  <c r="BG686" i="26" s="1"/>
  <c r="AY687" i="26"/>
  <c r="BA687" i="26" s="1"/>
  <c r="BM361" i="26"/>
  <c r="BQ360" i="26" s="1"/>
  <c r="AR686" i="26" l="1"/>
  <c r="AV686" i="26" s="1"/>
  <c r="AX686" i="26"/>
  <c r="AW686" i="26"/>
  <c r="BP361" i="26"/>
  <c r="BR361" i="26" s="1"/>
  <c r="BN360" i="26"/>
  <c r="BW360" i="26"/>
  <c r="BX360" i="26" s="1"/>
  <c r="BO360" i="26"/>
  <c r="BI360" i="26"/>
  <c r="AZ685" i="26" l="1"/>
  <c r="BF685" i="26" s="1"/>
  <c r="BG685" i="26" s="1"/>
  <c r="AY686" i="26"/>
  <c r="BA686" i="26" s="1"/>
  <c r="BM360" i="26"/>
  <c r="BQ359" i="26" s="1"/>
  <c r="AR685" i="26" l="1"/>
  <c r="AV685" i="26" s="1"/>
  <c r="AX685" i="26"/>
  <c r="AW685" i="26"/>
  <c r="BP360" i="26"/>
  <c r="BR360" i="26" s="1"/>
  <c r="BW359" i="26"/>
  <c r="BX359" i="26" s="1"/>
  <c r="BN359" i="26"/>
  <c r="BO359" i="26"/>
  <c r="BI359" i="26"/>
  <c r="AZ684" i="26" l="1"/>
  <c r="BF684" i="26" s="1"/>
  <c r="BG684" i="26" s="1"/>
  <c r="AY685" i="26"/>
  <c r="BA685" i="26" s="1"/>
  <c r="BM359" i="26"/>
  <c r="BQ358" i="26" s="1"/>
  <c r="AR684" i="26" l="1"/>
  <c r="AV684" i="26" s="1"/>
  <c r="AX684" i="26"/>
  <c r="AW684" i="26"/>
  <c r="BP359" i="26"/>
  <c r="BR359" i="26" s="1"/>
  <c r="BN358" i="26"/>
  <c r="BO358" i="26"/>
  <c r="BI358" i="26"/>
  <c r="BW358" i="26"/>
  <c r="BX358" i="26" s="1"/>
  <c r="AZ683" i="26" l="1"/>
  <c r="BF683" i="26" s="1"/>
  <c r="BG683" i="26" s="1"/>
  <c r="AY684" i="26"/>
  <c r="BA684" i="26" s="1"/>
  <c r="BM358" i="26"/>
  <c r="BQ357" i="26" s="1"/>
  <c r="AR683" i="26" l="1"/>
  <c r="AV683" i="26" s="1"/>
  <c r="AX683" i="26"/>
  <c r="AW683" i="26"/>
  <c r="BP358" i="26"/>
  <c r="BR358" i="26" s="1"/>
  <c r="BW357" i="26"/>
  <c r="BX357" i="26" s="1"/>
  <c r="BI357" i="26"/>
  <c r="BO357" i="26"/>
  <c r="BN357" i="26"/>
  <c r="AZ682" i="26" l="1"/>
  <c r="BF682" i="26" s="1"/>
  <c r="BG682" i="26" s="1"/>
  <c r="AY683" i="26"/>
  <c r="BA683" i="26" s="1"/>
  <c r="BM357" i="26"/>
  <c r="BQ356" i="26" s="1"/>
  <c r="AR682" i="26" l="1"/>
  <c r="AV682" i="26" s="1"/>
  <c r="AX682" i="26"/>
  <c r="AW682" i="26"/>
  <c r="BP357" i="26"/>
  <c r="BR357" i="26" s="1"/>
  <c r="BW356" i="26"/>
  <c r="BX356" i="26" s="1"/>
  <c r="BO356" i="26"/>
  <c r="BI356" i="26"/>
  <c r="BN356" i="26"/>
  <c r="AZ681" i="26" l="1"/>
  <c r="BF681" i="26" s="1"/>
  <c r="BG681" i="26" s="1"/>
  <c r="AY682" i="26"/>
  <c r="BA682" i="26" s="1"/>
  <c r="BM356" i="26"/>
  <c r="BQ355" i="26" s="1"/>
  <c r="AR681" i="26" l="1"/>
  <c r="AV681" i="26" s="1"/>
  <c r="AX681" i="26"/>
  <c r="AW681" i="26"/>
  <c r="BP356" i="26"/>
  <c r="BR356" i="26" s="1"/>
  <c r="BN355" i="26"/>
  <c r="BW355" i="26"/>
  <c r="BX355" i="26" s="1"/>
  <c r="BO355" i="26"/>
  <c r="BI355" i="26"/>
  <c r="AZ680" i="26" l="1"/>
  <c r="BF680" i="26" s="1"/>
  <c r="BG680" i="26" s="1"/>
  <c r="AY681" i="26"/>
  <c r="BA681" i="26" s="1"/>
  <c r="BM355" i="26"/>
  <c r="BQ354" i="26" s="1"/>
  <c r="AR680" i="26" l="1"/>
  <c r="AV680" i="26" s="1"/>
  <c r="AX680" i="26"/>
  <c r="AW680" i="26"/>
  <c r="BP355" i="26"/>
  <c r="BR355" i="26" s="1"/>
  <c r="BI354" i="26"/>
  <c r="BW354" i="26"/>
  <c r="BX354" i="26" s="1"/>
  <c r="BO354" i="26"/>
  <c r="BN354" i="26"/>
  <c r="AZ679" i="26" l="1"/>
  <c r="BF679" i="26" s="1"/>
  <c r="BG679" i="26" s="1"/>
  <c r="AY680" i="26"/>
  <c r="BA680" i="26" s="1"/>
  <c r="BM354" i="26"/>
  <c r="BQ353" i="26" s="1"/>
  <c r="AR679" i="26" l="1"/>
  <c r="AV679" i="26" s="1"/>
  <c r="AX679" i="26"/>
  <c r="AW679" i="26"/>
  <c r="BP354" i="26"/>
  <c r="BR354" i="26" s="1"/>
  <c r="BW353" i="26"/>
  <c r="BX353" i="26" s="1"/>
  <c r="BN353" i="26"/>
  <c r="BO353" i="26"/>
  <c r="BI353" i="26"/>
  <c r="AZ678" i="26" l="1"/>
  <c r="BF678" i="26" s="1"/>
  <c r="BG678" i="26" s="1"/>
  <c r="AY679" i="26"/>
  <c r="BA679" i="26" s="1"/>
  <c r="BM353" i="26"/>
  <c r="BQ352" i="26" s="1"/>
  <c r="AR678" i="26" l="1"/>
  <c r="AV678" i="26" s="1"/>
  <c r="AX678" i="26"/>
  <c r="AW678" i="26"/>
  <c r="BP353" i="26"/>
  <c r="BR353" i="26" s="1"/>
  <c r="BW352" i="26"/>
  <c r="BX352" i="26" s="1"/>
  <c r="BN352" i="26"/>
  <c r="BI352" i="26"/>
  <c r="BO352" i="26"/>
  <c r="AZ677" i="26" l="1"/>
  <c r="BF677" i="26" s="1"/>
  <c r="BG677" i="26" s="1"/>
  <c r="AY678" i="26"/>
  <c r="BA678" i="26" s="1"/>
  <c r="BM352" i="26"/>
  <c r="BQ351" i="26" s="1"/>
  <c r="BP352" i="26" l="1"/>
  <c r="BR352" i="26" s="1"/>
  <c r="AR677" i="26"/>
  <c r="AV677" i="26" s="1"/>
  <c r="AZ676" i="26" s="1"/>
  <c r="AX677" i="26"/>
  <c r="AW677" i="26"/>
  <c r="BN351" i="26"/>
  <c r="BW351" i="26"/>
  <c r="BX351" i="26" s="1"/>
  <c r="BO351" i="26"/>
  <c r="BI351" i="26"/>
  <c r="AY677" i="26" l="1"/>
  <c r="BA677" i="26" s="1"/>
  <c r="BF676" i="26"/>
  <c r="BG676" i="26" s="1"/>
  <c r="BM351" i="26"/>
  <c r="BQ350" i="26" s="1"/>
  <c r="AR676" i="26" l="1"/>
  <c r="AV676" i="26" s="1"/>
  <c r="AX676" i="26"/>
  <c r="AW676" i="26"/>
  <c r="BP351" i="26"/>
  <c r="BR351" i="26" s="1"/>
  <c r="BO350" i="26"/>
  <c r="BW350" i="26"/>
  <c r="BX350" i="26" s="1"/>
  <c r="BN350" i="26"/>
  <c r="BI350" i="26"/>
  <c r="AZ675" i="26" l="1"/>
  <c r="BF675" i="26" s="1"/>
  <c r="BG675" i="26" s="1"/>
  <c r="AY676" i="26"/>
  <c r="BA676" i="26" s="1"/>
  <c r="BM350" i="26"/>
  <c r="BQ349" i="26" s="1"/>
  <c r="AR675" i="26" l="1"/>
  <c r="AV675" i="26" s="1"/>
  <c r="AX675" i="26"/>
  <c r="AW675" i="26"/>
  <c r="BP350" i="26"/>
  <c r="BR350" i="26" s="1"/>
  <c r="BW349" i="26"/>
  <c r="BX349" i="26" s="1"/>
  <c r="BN349" i="26"/>
  <c r="BO349" i="26"/>
  <c r="BI349" i="26"/>
  <c r="AZ674" i="26" l="1"/>
  <c r="BF674" i="26" s="1"/>
  <c r="BG674" i="26" s="1"/>
  <c r="AY675" i="26"/>
  <c r="BA675" i="26" s="1"/>
  <c r="BM349" i="26"/>
  <c r="BQ348" i="26" s="1"/>
  <c r="AR674" i="26" l="1"/>
  <c r="AV674" i="26" s="1"/>
  <c r="AW674" i="26"/>
  <c r="AX674" i="26"/>
  <c r="BP349" i="26"/>
  <c r="BR349" i="26" s="1"/>
  <c r="BO348" i="26"/>
  <c r="BI348" i="26"/>
  <c r="BN348" i="26"/>
  <c r="BW348" i="26"/>
  <c r="BX348" i="26" s="1"/>
  <c r="AZ673" i="26" l="1"/>
  <c r="BF673" i="26" s="1"/>
  <c r="BG673" i="26" s="1"/>
  <c r="AY674" i="26"/>
  <c r="BA674" i="26" s="1"/>
  <c r="BM348" i="26"/>
  <c r="BQ347" i="26" s="1"/>
  <c r="AR673" i="26" l="1"/>
  <c r="AV673" i="26" s="1"/>
  <c r="AW673" i="26"/>
  <c r="AX673" i="26"/>
  <c r="BP348" i="26"/>
  <c r="BR348" i="26" s="1"/>
  <c r="BW347" i="26"/>
  <c r="BX347" i="26" s="1"/>
  <c r="BN347" i="26"/>
  <c r="BO347" i="26"/>
  <c r="BI347" i="26"/>
  <c r="AZ672" i="26" l="1"/>
  <c r="BF672" i="26" s="1"/>
  <c r="BG672" i="26" s="1"/>
  <c r="BM347" i="26"/>
  <c r="BQ346" i="26" s="1"/>
  <c r="AY673" i="26"/>
  <c r="AX672" i="26" l="1"/>
  <c r="AR672" i="26"/>
  <c r="AV672" i="26" s="1"/>
  <c r="AW672" i="26"/>
  <c r="BP347" i="26"/>
  <c r="BR347" i="26" s="1"/>
  <c r="BI346" i="26"/>
  <c r="BO346" i="26"/>
  <c r="BW346" i="26"/>
  <c r="BX346" i="26" s="1"/>
  <c r="BN346" i="26"/>
  <c r="BA673" i="26"/>
  <c r="AZ671" i="26" l="1"/>
  <c r="BF671" i="26" s="1"/>
  <c r="BG671" i="26" s="1"/>
  <c r="BM346" i="26"/>
  <c r="BQ345" i="26" s="1"/>
  <c r="AY672" i="26"/>
  <c r="AX671" i="26" l="1"/>
  <c r="AR671" i="26"/>
  <c r="AV671" i="26" s="1"/>
  <c r="AW671" i="26"/>
  <c r="BP346" i="26"/>
  <c r="BR346" i="26" s="1"/>
  <c r="BW345" i="26"/>
  <c r="BX345" i="26" s="1"/>
  <c r="BO345" i="26"/>
  <c r="BI345" i="26"/>
  <c r="BN345" i="26"/>
  <c r="BA672" i="26"/>
  <c r="AZ670" i="26" l="1"/>
  <c r="BF670" i="26" s="1"/>
  <c r="BG670" i="26" s="1"/>
  <c r="BM345" i="26"/>
  <c r="BQ344" i="26" s="1"/>
  <c r="AY671" i="26"/>
  <c r="AX670" i="26" l="1"/>
  <c r="AR670" i="26"/>
  <c r="AV670" i="26" s="1"/>
  <c r="AW670" i="26"/>
  <c r="BP345" i="26"/>
  <c r="BR345" i="26" s="1"/>
  <c r="BO344" i="26"/>
  <c r="BN344" i="26"/>
  <c r="BI344" i="26"/>
  <c r="BW344" i="26"/>
  <c r="BX344" i="26" s="1"/>
  <c r="BA671" i="26"/>
  <c r="AZ669" i="26" l="1"/>
  <c r="BF669" i="26" s="1"/>
  <c r="BG669" i="26" s="1"/>
  <c r="BM344" i="26"/>
  <c r="BQ343" i="26" s="1"/>
  <c r="AY670" i="26"/>
  <c r="AR669" i="26" l="1"/>
  <c r="AV669" i="26" s="1"/>
  <c r="AX669" i="26"/>
  <c r="AW669" i="26"/>
  <c r="BP344" i="26"/>
  <c r="BR344" i="26" s="1"/>
  <c r="BO343" i="26"/>
  <c r="BW343" i="26"/>
  <c r="BX343" i="26" s="1"/>
  <c r="BI343" i="26"/>
  <c r="BN343" i="26"/>
  <c r="BA670" i="26"/>
  <c r="AZ668" i="26" l="1"/>
  <c r="BF668" i="26" s="1"/>
  <c r="BG668" i="26" s="1"/>
  <c r="BM343" i="26"/>
  <c r="BQ342" i="26" s="1"/>
  <c r="AY669" i="26"/>
  <c r="AR668" i="26" l="1"/>
  <c r="AV668" i="26" s="1"/>
  <c r="AX668" i="26"/>
  <c r="AW668" i="26"/>
  <c r="BP343" i="26"/>
  <c r="BR343" i="26" s="1"/>
  <c r="BN342" i="26"/>
  <c r="BO342" i="26"/>
  <c r="BW342" i="26"/>
  <c r="BX342" i="26" s="1"/>
  <c r="BI342" i="26"/>
  <c r="BA669" i="26"/>
  <c r="AZ667" i="26" l="1"/>
  <c r="BF667" i="26" s="1"/>
  <c r="BG667" i="26" s="1"/>
  <c r="BM342" i="26"/>
  <c r="BQ341" i="26" s="1"/>
  <c r="AY668" i="26"/>
  <c r="AX667" i="26" l="1"/>
  <c r="AR667" i="26"/>
  <c r="AV667" i="26" s="1"/>
  <c r="AW667" i="26"/>
  <c r="BP342" i="26"/>
  <c r="BR342" i="26" s="1"/>
  <c r="BW341" i="26"/>
  <c r="BX341" i="26" s="1"/>
  <c r="BN341" i="26"/>
  <c r="BI341" i="26"/>
  <c r="BO341" i="26"/>
  <c r="BA668" i="26"/>
  <c r="AZ666" i="26" l="1"/>
  <c r="BF666" i="26" s="1"/>
  <c r="BG666" i="26" s="1"/>
  <c r="BM341" i="26"/>
  <c r="BQ340" i="26" s="1"/>
  <c r="AY667" i="26"/>
  <c r="AX666" i="26" l="1"/>
  <c r="AR666" i="26"/>
  <c r="AV666" i="26" s="1"/>
  <c r="AW666" i="26"/>
  <c r="BP341" i="26"/>
  <c r="BR341" i="26" s="1"/>
  <c r="BI340" i="26"/>
  <c r="BO340" i="26"/>
  <c r="BN340" i="26"/>
  <c r="BW340" i="26"/>
  <c r="BX340" i="26" s="1"/>
  <c r="BA667" i="26"/>
  <c r="AZ665" i="26" l="1"/>
  <c r="BF665" i="26" s="1"/>
  <c r="BG665" i="26" s="1"/>
  <c r="BM340" i="26"/>
  <c r="BQ339" i="26" s="1"/>
  <c r="AY666" i="26"/>
  <c r="AR665" i="26" l="1"/>
  <c r="AV665" i="26" s="1"/>
  <c r="AX665" i="26"/>
  <c r="AW665" i="26"/>
  <c r="BP340" i="26"/>
  <c r="BR340" i="26" s="1"/>
  <c r="BW339" i="26"/>
  <c r="BX339" i="26" s="1"/>
  <c r="BO339" i="26"/>
  <c r="BI339" i="26"/>
  <c r="BN339" i="26"/>
  <c r="BA666" i="26"/>
  <c r="AZ664" i="26" l="1"/>
  <c r="BF664" i="26" s="1"/>
  <c r="BG664" i="26" s="1"/>
  <c r="BM339" i="26"/>
  <c r="BQ338" i="26" s="1"/>
  <c r="AY665" i="26"/>
  <c r="AR664" i="26" l="1"/>
  <c r="AV664" i="26" s="1"/>
  <c r="AX664" i="26"/>
  <c r="AW664" i="26"/>
  <c r="BP339" i="26"/>
  <c r="BR339" i="26" s="1"/>
  <c r="BW338" i="26"/>
  <c r="BX338" i="26" s="1"/>
  <c r="BI338" i="26"/>
  <c r="BN338" i="26"/>
  <c r="BO338" i="26"/>
  <c r="BA665" i="26"/>
  <c r="AZ663" i="26" l="1"/>
  <c r="BF663" i="26" s="1"/>
  <c r="BG663" i="26" s="1"/>
  <c r="BM338" i="26"/>
  <c r="BQ337" i="26" s="1"/>
  <c r="AY664" i="26"/>
  <c r="AX663" i="26" l="1"/>
  <c r="AR663" i="26"/>
  <c r="AV663" i="26" s="1"/>
  <c r="AW663" i="26"/>
  <c r="BP338" i="26"/>
  <c r="BR338" i="26" s="1"/>
  <c r="BI337" i="26"/>
  <c r="BO337" i="26"/>
  <c r="BW337" i="26"/>
  <c r="BX337" i="26" s="1"/>
  <c r="BN337" i="26"/>
  <c r="BA664" i="26"/>
  <c r="AZ662" i="26" l="1"/>
  <c r="BF662" i="26" s="1"/>
  <c r="BG662" i="26" s="1"/>
  <c r="BM337" i="26"/>
  <c r="BQ336" i="26" s="1"/>
  <c r="AY663" i="26"/>
  <c r="AX662" i="26" l="1"/>
  <c r="AR662" i="26"/>
  <c r="AV662" i="26" s="1"/>
  <c r="AW662" i="26"/>
  <c r="BP337" i="26"/>
  <c r="BR337" i="26" s="1"/>
  <c r="BW336" i="26"/>
  <c r="BX336" i="26" s="1"/>
  <c r="BO336" i="26"/>
  <c r="BN336" i="26"/>
  <c r="BI336" i="26"/>
  <c r="BA663" i="26"/>
  <c r="AZ661" i="26" l="1"/>
  <c r="BF661" i="26" s="1"/>
  <c r="BG661" i="26" s="1"/>
  <c r="BM336" i="26"/>
  <c r="BQ335" i="26" s="1"/>
  <c r="AY662" i="26"/>
  <c r="AR661" i="26" l="1"/>
  <c r="AV661" i="26" s="1"/>
  <c r="AX661" i="26"/>
  <c r="AW661" i="26"/>
  <c r="BP336" i="26"/>
  <c r="BR336" i="26" s="1"/>
  <c r="BW335" i="26"/>
  <c r="BX335" i="26" s="1"/>
  <c r="BI335" i="26"/>
  <c r="BN335" i="26"/>
  <c r="BO335" i="26"/>
  <c r="BA662" i="26"/>
  <c r="AZ660" i="26" l="1"/>
  <c r="BF660" i="26" s="1"/>
  <c r="BG660" i="26" s="1"/>
  <c r="BM335" i="26"/>
  <c r="BQ334" i="26" s="1"/>
  <c r="AY661" i="26"/>
  <c r="AR660" i="26" l="1"/>
  <c r="AV660" i="26" s="1"/>
  <c r="AX660" i="26"/>
  <c r="AW660" i="26"/>
  <c r="BP335" i="26"/>
  <c r="BR335" i="26" s="1"/>
  <c r="BN334" i="26"/>
  <c r="BW334" i="26"/>
  <c r="BX334" i="26" s="1"/>
  <c r="BO334" i="26"/>
  <c r="BI334" i="26"/>
  <c r="BA661" i="26"/>
  <c r="AZ659" i="26" l="1"/>
  <c r="BF659" i="26" s="1"/>
  <c r="BG659" i="26" s="1"/>
  <c r="BM334" i="26"/>
  <c r="BQ333" i="26" s="1"/>
  <c r="AY660" i="26"/>
  <c r="AX659" i="26" l="1"/>
  <c r="AR659" i="26"/>
  <c r="AV659" i="26" s="1"/>
  <c r="AW659" i="26"/>
  <c r="BP334" i="26"/>
  <c r="BR334" i="26" s="1"/>
  <c r="BN333" i="26"/>
  <c r="BO333" i="26"/>
  <c r="BI333" i="26"/>
  <c r="BW333" i="26"/>
  <c r="BX333" i="26" s="1"/>
  <c r="BA660" i="26"/>
  <c r="AZ658" i="26" l="1"/>
  <c r="BF658" i="26" s="1"/>
  <c r="BG658" i="26" s="1"/>
  <c r="BM333" i="26"/>
  <c r="BQ332" i="26" s="1"/>
  <c r="AY659" i="26"/>
  <c r="BP333" i="26" l="1"/>
  <c r="BR333" i="26" s="1"/>
  <c r="AR658" i="26"/>
  <c r="AV658" i="26" s="1"/>
  <c r="AW658" i="26"/>
  <c r="AX658" i="26"/>
  <c r="BI332" i="26"/>
  <c r="BN332" i="26"/>
  <c r="BW332" i="26"/>
  <c r="BX332" i="26" s="1"/>
  <c r="BO332" i="26"/>
  <c r="BA659" i="26"/>
  <c r="AZ657" i="26" l="1"/>
  <c r="BF657" i="26" s="1"/>
  <c r="BG657" i="26" s="1"/>
  <c r="BM332" i="26"/>
  <c r="BQ331" i="26" s="1"/>
  <c r="AY658" i="26"/>
  <c r="AX657" i="26" l="1"/>
  <c r="AR657" i="26"/>
  <c r="AV657" i="26" s="1"/>
  <c r="AW657" i="26"/>
  <c r="BP332" i="26"/>
  <c r="BR332" i="26" s="1"/>
  <c r="BW331" i="26"/>
  <c r="BX331" i="26" s="1"/>
  <c r="BI331" i="26"/>
  <c r="BO331" i="26"/>
  <c r="BN331" i="26"/>
  <c r="BA658" i="26"/>
  <c r="AZ656" i="26" l="1"/>
  <c r="BF656" i="26" s="1"/>
  <c r="BG656" i="26" s="1"/>
  <c r="BM331" i="26"/>
  <c r="BQ330" i="26" s="1"/>
  <c r="AY657" i="26"/>
  <c r="AR656" i="26" l="1"/>
  <c r="AV656" i="26" s="1"/>
  <c r="AX656" i="26"/>
  <c r="AW656" i="26"/>
  <c r="BP331" i="26"/>
  <c r="BR331" i="26" s="1"/>
  <c r="BW330" i="26"/>
  <c r="BX330" i="26" s="1"/>
  <c r="BI330" i="26"/>
  <c r="BO330" i="26"/>
  <c r="BN330" i="26"/>
  <c r="BA657" i="26"/>
  <c r="AZ655" i="26" l="1"/>
  <c r="BF655" i="26" s="1"/>
  <c r="BG655" i="26" s="1"/>
  <c r="BM330" i="26"/>
  <c r="BQ329" i="26" s="1"/>
  <c r="AY656" i="26"/>
  <c r="AR655" i="26" l="1"/>
  <c r="AV655" i="26" s="1"/>
  <c r="AX655" i="26"/>
  <c r="AW655" i="26"/>
  <c r="BP330" i="26"/>
  <c r="BR330" i="26" s="1"/>
  <c r="BO329" i="26"/>
  <c r="BN329" i="26"/>
  <c r="BI329" i="26"/>
  <c r="BW329" i="26"/>
  <c r="BX329" i="26" s="1"/>
  <c r="BA656" i="26"/>
  <c r="AZ654" i="26" l="1"/>
  <c r="BF654" i="26" s="1"/>
  <c r="BG654" i="26" s="1"/>
  <c r="BM329" i="26"/>
  <c r="BQ328" i="26" s="1"/>
  <c r="AY655" i="26"/>
  <c r="AR654" i="26" l="1"/>
  <c r="AV654" i="26" s="1"/>
  <c r="AX654" i="26"/>
  <c r="AW654" i="26"/>
  <c r="BP329" i="26"/>
  <c r="BR329" i="26" s="1"/>
  <c r="BO328" i="26"/>
  <c r="BI328" i="26"/>
  <c r="BN328" i="26"/>
  <c r="BW328" i="26"/>
  <c r="BX328" i="26" s="1"/>
  <c r="BA655" i="26"/>
  <c r="AZ653" i="26" l="1"/>
  <c r="BF653" i="26" s="1"/>
  <c r="BG653" i="26" s="1"/>
  <c r="BM328" i="26"/>
  <c r="BQ327" i="26" s="1"/>
  <c r="AY654" i="26"/>
  <c r="BP328" i="26" l="1"/>
  <c r="BR328" i="26" s="1"/>
  <c r="AR653" i="26"/>
  <c r="AV653" i="26" s="1"/>
  <c r="AW653" i="26"/>
  <c r="AX653" i="26"/>
  <c r="BW327" i="26"/>
  <c r="BX327" i="26" s="1"/>
  <c r="BN327" i="26"/>
  <c r="BI327" i="26"/>
  <c r="BO327" i="26"/>
  <c r="BA654" i="26"/>
  <c r="AZ652" i="26" l="1"/>
  <c r="BF652" i="26" s="1"/>
  <c r="BG652" i="26" s="1"/>
  <c r="BM327" i="26"/>
  <c r="BQ326" i="26" s="1"/>
  <c r="AY653" i="26"/>
  <c r="AX652" i="26" l="1"/>
  <c r="AR652" i="26"/>
  <c r="AV652" i="26" s="1"/>
  <c r="AW652" i="26"/>
  <c r="BP327" i="26"/>
  <c r="BR327" i="26" s="1"/>
  <c r="BO326" i="26"/>
  <c r="BW326" i="26"/>
  <c r="BX326" i="26" s="1"/>
  <c r="BI326" i="26"/>
  <c r="BN326" i="26"/>
  <c r="BA653" i="26"/>
  <c r="AZ651" i="26" l="1"/>
  <c r="BF651" i="26" s="1"/>
  <c r="BG651" i="26" s="1"/>
  <c r="BM326" i="26"/>
  <c r="BQ325" i="26" s="1"/>
  <c r="AY652" i="26"/>
  <c r="AR651" i="26" l="1"/>
  <c r="AV651" i="26" s="1"/>
  <c r="AX651" i="26"/>
  <c r="AW651" i="26"/>
  <c r="BP326" i="26"/>
  <c r="BR326" i="26" s="1"/>
  <c r="BN325" i="26"/>
  <c r="BI325" i="26"/>
  <c r="BO325" i="26"/>
  <c r="BW325" i="26"/>
  <c r="BX325" i="26" s="1"/>
  <c r="BA652" i="26"/>
  <c r="AZ650" i="26" l="1"/>
  <c r="BF650" i="26" s="1"/>
  <c r="BG650" i="26" s="1"/>
  <c r="BM325" i="26"/>
  <c r="BQ324" i="26" s="1"/>
  <c r="AY651" i="26"/>
  <c r="AR650" i="26" l="1"/>
  <c r="AV650" i="26" s="1"/>
  <c r="AX650" i="26"/>
  <c r="AW650" i="26"/>
  <c r="BP325" i="26"/>
  <c r="BR325" i="26" s="1"/>
  <c r="BW324" i="26"/>
  <c r="BX324" i="26" s="1"/>
  <c r="BO324" i="26"/>
  <c r="BN324" i="26"/>
  <c r="BI324" i="26"/>
  <c r="BA651" i="26"/>
  <c r="AZ649" i="26" l="1"/>
  <c r="BF649" i="26" s="1"/>
  <c r="BG649" i="26" s="1"/>
  <c r="BM324" i="26"/>
  <c r="BQ323" i="26" s="1"/>
  <c r="AY650" i="26"/>
  <c r="AX649" i="26" l="1"/>
  <c r="AR649" i="26"/>
  <c r="AV649" i="26" s="1"/>
  <c r="AW649" i="26"/>
  <c r="BP324" i="26"/>
  <c r="BR324" i="26" s="1"/>
  <c r="BI323" i="26"/>
  <c r="BN323" i="26"/>
  <c r="BO323" i="26"/>
  <c r="BW323" i="26"/>
  <c r="BX323" i="26" s="1"/>
  <c r="BA650" i="26"/>
  <c r="AZ648" i="26" l="1"/>
  <c r="BF648" i="26" s="1"/>
  <c r="BG648" i="26" s="1"/>
  <c r="BM323" i="26"/>
  <c r="BQ322" i="26" s="1"/>
  <c r="AY649" i="26"/>
  <c r="AX648" i="26" l="1"/>
  <c r="AR648" i="26"/>
  <c r="AV648" i="26" s="1"/>
  <c r="AW648" i="26"/>
  <c r="BP323" i="26"/>
  <c r="BR323" i="26" s="1"/>
  <c r="BN322" i="26"/>
  <c r="BO322" i="26"/>
  <c r="BI322" i="26"/>
  <c r="BW322" i="26"/>
  <c r="BX322" i="26" s="1"/>
  <c r="BA649" i="26"/>
  <c r="AZ647" i="26" l="1"/>
  <c r="BF647" i="26" s="1"/>
  <c r="BG647" i="26" s="1"/>
  <c r="BM322" i="26"/>
  <c r="BQ321" i="26" s="1"/>
  <c r="AY648" i="26"/>
  <c r="BP322" i="26" l="1"/>
  <c r="BR322" i="26" s="1"/>
  <c r="AR647" i="26"/>
  <c r="AV647" i="26" s="1"/>
  <c r="AW647" i="26"/>
  <c r="AX647" i="26"/>
  <c r="BO321" i="26"/>
  <c r="BN321" i="26"/>
  <c r="BI321" i="26"/>
  <c r="BW321" i="26"/>
  <c r="BX321" i="26" s="1"/>
  <c r="BA648" i="26"/>
  <c r="AZ646" i="26" l="1"/>
  <c r="BF646" i="26" s="1"/>
  <c r="BG646" i="26" s="1"/>
  <c r="BM321" i="26"/>
  <c r="BQ320" i="26" s="1"/>
  <c r="AY647" i="26"/>
  <c r="AX646" i="26" l="1"/>
  <c r="AR646" i="26"/>
  <c r="AV646" i="26" s="1"/>
  <c r="AW646" i="26"/>
  <c r="BP321" i="26"/>
  <c r="BR321" i="26" s="1"/>
  <c r="BO320" i="26"/>
  <c r="BN320" i="26"/>
  <c r="BI320" i="26"/>
  <c r="BW320" i="26"/>
  <c r="BX320" i="26" s="1"/>
  <c r="BA647" i="26"/>
  <c r="AZ645" i="26" l="1"/>
  <c r="BF645" i="26" s="1"/>
  <c r="BG645" i="26" s="1"/>
  <c r="BM320" i="26"/>
  <c r="BQ319" i="26" s="1"/>
  <c r="AY646" i="26"/>
  <c r="AX645" i="26" l="1"/>
  <c r="AR645" i="26"/>
  <c r="AV645" i="26" s="1"/>
  <c r="AW645" i="26"/>
  <c r="BP320" i="26"/>
  <c r="BR320" i="26" s="1"/>
  <c r="BO319" i="26"/>
  <c r="BI319" i="26"/>
  <c r="BN319" i="26"/>
  <c r="BW319" i="26"/>
  <c r="BX319" i="26" s="1"/>
  <c r="BA646" i="26"/>
  <c r="AZ644" i="26" l="1"/>
  <c r="BF644" i="26" s="1"/>
  <c r="BG644" i="26" s="1"/>
  <c r="BM319" i="26"/>
  <c r="BQ318" i="26" s="1"/>
  <c r="AY645" i="26"/>
  <c r="AR644" i="26" l="1"/>
  <c r="AV644" i="26" s="1"/>
  <c r="AX644" i="26"/>
  <c r="AW644" i="26"/>
  <c r="BP319" i="26"/>
  <c r="BR319" i="26" s="1"/>
  <c r="BI318" i="26"/>
  <c r="BN318" i="26"/>
  <c r="BO318" i="26"/>
  <c r="BW318" i="26"/>
  <c r="BX318" i="26" s="1"/>
  <c r="BA645" i="26"/>
  <c r="AZ643" i="26" l="1"/>
  <c r="BF643" i="26" s="1"/>
  <c r="BG643" i="26" s="1"/>
  <c r="BM318" i="26"/>
  <c r="BQ317" i="26" s="1"/>
  <c r="AY644" i="26"/>
  <c r="AR643" i="26" l="1"/>
  <c r="AV643" i="26" s="1"/>
  <c r="AX643" i="26"/>
  <c r="AW643" i="26"/>
  <c r="BP318" i="26"/>
  <c r="BR318" i="26" s="1"/>
  <c r="BW317" i="26"/>
  <c r="BX317" i="26" s="1"/>
  <c r="BN317" i="26"/>
  <c r="BI317" i="26"/>
  <c r="BO317" i="26"/>
  <c r="BA644" i="26"/>
  <c r="AZ642" i="26" l="1"/>
  <c r="BF642" i="26" s="1"/>
  <c r="BG642" i="26" s="1"/>
  <c r="BM317" i="26"/>
  <c r="BQ316" i="26" s="1"/>
  <c r="AY643" i="26"/>
  <c r="BP317" i="26" l="1"/>
  <c r="BR317" i="26" s="1"/>
  <c r="AR642" i="26"/>
  <c r="AV642" i="26" s="1"/>
  <c r="AW642" i="26"/>
  <c r="AX642" i="26"/>
  <c r="BW316" i="26"/>
  <c r="BX316" i="26" s="1"/>
  <c r="BN316" i="26"/>
  <c r="BO316" i="26"/>
  <c r="BI316" i="26"/>
  <c r="BA643" i="26"/>
  <c r="AZ641" i="26" l="1"/>
  <c r="BF641" i="26" s="1"/>
  <c r="BG641" i="26" s="1"/>
  <c r="BM316" i="26"/>
  <c r="BQ315" i="26" s="1"/>
  <c r="AY642" i="26"/>
  <c r="AX641" i="26" l="1"/>
  <c r="AR641" i="26"/>
  <c r="AV641" i="26" s="1"/>
  <c r="AW641" i="26"/>
  <c r="BP316" i="26"/>
  <c r="BR316" i="26" s="1"/>
  <c r="BO315" i="26"/>
  <c r="BW315" i="26"/>
  <c r="BX315" i="26" s="1"/>
  <c r="BN315" i="26"/>
  <c r="BI315" i="26"/>
  <c r="BA642" i="26"/>
  <c r="AZ640" i="26" l="1"/>
  <c r="BF640" i="26" s="1"/>
  <c r="BG640" i="26" s="1"/>
  <c r="BM315" i="26"/>
  <c r="BQ314" i="26" s="1"/>
  <c r="AY641" i="26"/>
  <c r="AX640" i="26" l="1"/>
  <c r="AR640" i="26"/>
  <c r="AV640" i="26" s="1"/>
  <c r="AW640" i="26"/>
  <c r="BP315" i="26"/>
  <c r="BR315" i="26" s="1"/>
  <c r="BN314" i="26"/>
  <c r="BI314" i="26"/>
  <c r="BW314" i="26"/>
  <c r="BX314" i="26" s="1"/>
  <c r="BO314" i="26"/>
  <c r="BA641" i="26"/>
  <c r="AZ639" i="26" l="1"/>
  <c r="BF639" i="26" s="1"/>
  <c r="BG639" i="26" s="1"/>
  <c r="BM314" i="26"/>
  <c r="BQ313" i="26" s="1"/>
  <c r="AY640" i="26"/>
  <c r="AR639" i="26" l="1"/>
  <c r="AV639" i="26" s="1"/>
  <c r="AX639" i="26"/>
  <c r="AW639" i="26"/>
  <c r="BP314" i="26"/>
  <c r="BR314" i="26" s="1"/>
  <c r="BO313" i="26"/>
  <c r="BN313" i="26"/>
  <c r="BI313" i="26"/>
  <c r="BW313" i="26"/>
  <c r="BX313" i="26" s="1"/>
  <c r="BA640" i="26"/>
  <c r="AZ638" i="26" l="1"/>
  <c r="BF638" i="26" s="1"/>
  <c r="BG638" i="26" s="1"/>
  <c r="BM313" i="26"/>
  <c r="BQ312" i="26" s="1"/>
  <c r="AY639" i="26"/>
  <c r="AX638" i="26" l="1"/>
  <c r="AR638" i="26"/>
  <c r="AV638" i="26" s="1"/>
  <c r="AW638" i="26"/>
  <c r="BP313" i="26"/>
  <c r="BR313" i="26" s="1"/>
  <c r="BW312" i="26"/>
  <c r="BX312" i="26" s="1"/>
  <c r="BI312" i="26"/>
  <c r="BN312" i="26"/>
  <c r="BO312" i="26"/>
  <c r="BA639" i="26"/>
  <c r="AZ637" i="26" l="1"/>
  <c r="BF637" i="26" s="1"/>
  <c r="BG637" i="26" s="1"/>
  <c r="BM312" i="26"/>
  <c r="BQ311" i="26" s="1"/>
  <c r="AY638" i="26"/>
  <c r="AX637" i="26" l="1"/>
  <c r="AR637" i="26"/>
  <c r="AV637" i="26" s="1"/>
  <c r="AW637" i="26"/>
  <c r="BP312" i="26"/>
  <c r="BR312" i="26" s="1"/>
  <c r="BN311" i="26"/>
  <c r="BW311" i="26"/>
  <c r="BX311" i="26" s="1"/>
  <c r="BI311" i="26"/>
  <c r="BO311" i="26"/>
  <c r="BA638" i="26"/>
  <c r="AZ636" i="26" l="1"/>
  <c r="BF636" i="26" s="1"/>
  <c r="BG636" i="26" s="1"/>
  <c r="BM311" i="26"/>
  <c r="BQ310" i="26" s="1"/>
  <c r="AY637" i="26"/>
  <c r="AX636" i="26" l="1"/>
  <c r="AR636" i="26"/>
  <c r="AV636" i="26" s="1"/>
  <c r="AW636" i="26"/>
  <c r="BP311" i="26"/>
  <c r="BR311" i="26" s="1"/>
  <c r="BN310" i="26"/>
  <c r="BI310" i="26"/>
  <c r="BO310" i="26"/>
  <c r="BW310" i="26"/>
  <c r="BX310" i="26" s="1"/>
  <c r="BA637" i="26"/>
  <c r="AZ635" i="26" l="1"/>
  <c r="BF635" i="26" s="1"/>
  <c r="BG635" i="26" s="1"/>
  <c r="BM310" i="26"/>
  <c r="BQ309" i="26" s="1"/>
  <c r="AY636" i="26"/>
  <c r="AX635" i="26" l="1"/>
  <c r="AR635" i="26"/>
  <c r="AV635" i="26" s="1"/>
  <c r="AW635" i="26"/>
  <c r="BP310" i="26"/>
  <c r="BR310" i="26" s="1"/>
  <c r="BI309" i="26"/>
  <c r="BW309" i="26"/>
  <c r="BX309" i="26" s="1"/>
  <c r="BN309" i="26"/>
  <c r="BO309" i="26"/>
  <c r="BA636" i="26"/>
  <c r="AZ634" i="26" l="1"/>
  <c r="BF634" i="26" s="1"/>
  <c r="BG634" i="26" s="1"/>
  <c r="BM309" i="26"/>
  <c r="BQ308" i="26" s="1"/>
  <c r="AY635" i="26"/>
  <c r="AX634" i="26" l="1"/>
  <c r="AR634" i="26"/>
  <c r="AV634" i="26" s="1"/>
  <c r="AW634" i="26"/>
  <c r="BP309" i="26"/>
  <c r="BR309" i="26" s="1"/>
  <c r="BW308" i="26"/>
  <c r="BX308" i="26" s="1"/>
  <c r="BO308" i="26"/>
  <c r="BN308" i="26"/>
  <c r="BI308" i="26"/>
  <c r="BA635" i="26"/>
  <c r="AZ633" i="26" l="1"/>
  <c r="BF633" i="26" s="1"/>
  <c r="BG633" i="26" s="1"/>
  <c r="BM308" i="26"/>
  <c r="BQ307" i="26" s="1"/>
  <c r="AY634" i="26"/>
  <c r="AR633" i="26" l="1"/>
  <c r="AV633" i="26" s="1"/>
  <c r="AX633" i="26"/>
  <c r="AW633" i="26"/>
  <c r="BP308" i="26"/>
  <c r="BR308" i="26" s="1"/>
  <c r="BW307" i="26"/>
  <c r="BX307" i="26" s="1"/>
  <c r="BN307" i="26"/>
  <c r="BO307" i="26"/>
  <c r="BI307" i="26"/>
  <c r="BA634" i="26"/>
  <c r="AZ632" i="26" l="1"/>
  <c r="BF632" i="26" s="1"/>
  <c r="BG632" i="26" s="1"/>
  <c r="BM307" i="26"/>
  <c r="BQ306" i="26" s="1"/>
  <c r="AY633" i="26"/>
  <c r="AR632" i="26" l="1"/>
  <c r="AV632" i="26" s="1"/>
  <c r="AX632" i="26"/>
  <c r="AW632" i="26"/>
  <c r="BP307" i="26"/>
  <c r="BR307" i="26" s="1"/>
  <c r="BO306" i="26"/>
  <c r="BI306" i="26"/>
  <c r="BW306" i="26"/>
  <c r="BX306" i="26" s="1"/>
  <c r="BN306" i="26"/>
  <c r="BA633" i="26"/>
  <c r="AZ631" i="26" l="1"/>
  <c r="BF631" i="26" s="1"/>
  <c r="BG631" i="26" s="1"/>
  <c r="BM306" i="26"/>
  <c r="BQ305" i="26" s="1"/>
  <c r="AY632" i="26"/>
  <c r="AR631" i="26" l="1"/>
  <c r="AV631" i="26" s="1"/>
  <c r="AX631" i="26"/>
  <c r="AW631" i="26"/>
  <c r="BP306" i="26"/>
  <c r="BR306" i="26" s="1"/>
  <c r="BO305" i="26"/>
  <c r="BW305" i="26"/>
  <c r="BX305" i="26" s="1"/>
  <c r="BN305" i="26"/>
  <c r="BI305" i="26"/>
  <c r="BA632" i="26"/>
  <c r="AZ630" i="26" l="1"/>
  <c r="BF630" i="26" s="1"/>
  <c r="BG630" i="26" s="1"/>
  <c r="BM305" i="26"/>
  <c r="BQ304" i="26" s="1"/>
  <c r="AY631" i="26"/>
  <c r="AR630" i="26" l="1"/>
  <c r="AV630" i="26" s="1"/>
  <c r="AX630" i="26"/>
  <c r="AW630" i="26"/>
  <c r="BP305" i="26"/>
  <c r="BR305" i="26" s="1"/>
  <c r="BI304" i="26"/>
  <c r="BN304" i="26"/>
  <c r="BW304" i="26"/>
  <c r="BX304" i="26" s="1"/>
  <c r="BO304" i="26"/>
  <c r="BA631" i="26"/>
  <c r="AZ629" i="26" l="1"/>
  <c r="BF629" i="26" s="1"/>
  <c r="BG629" i="26" s="1"/>
  <c r="BM304" i="26"/>
  <c r="BQ303" i="26" s="1"/>
  <c r="AY630" i="26"/>
  <c r="AR629" i="26" l="1"/>
  <c r="AV629" i="26" s="1"/>
  <c r="AX629" i="26"/>
  <c r="AW629" i="26"/>
  <c r="BP304" i="26"/>
  <c r="BR304" i="26" s="1"/>
  <c r="BN303" i="26"/>
  <c r="BW303" i="26"/>
  <c r="BX303" i="26" s="1"/>
  <c r="BO303" i="26"/>
  <c r="BI303" i="26"/>
  <c r="BA630" i="26"/>
  <c r="AZ628" i="26" l="1"/>
  <c r="BF628" i="26" s="1"/>
  <c r="BG628" i="26" s="1"/>
  <c r="BM303" i="26"/>
  <c r="BQ302" i="26" s="1"/>
  <c r="AY629" i="26"/>
  <c r="AX628" i="26" l="1"/>
  <c r="AR628" i="26"/>
  <c r="AV628" i="26" s="1"/>
  <c r="AW628" i="26"/>
  <c r="BP303" i="26"/>
  <c r="BR303" i="26" s="1"/>
  <c r="BI302" i="26"/>
  <c r="BW302" i="26"/>
  <c r="BX302" i="26" s="1"/>
  <c r="BN302" i="26"/>
  <c r="BO302" i="26"/>
  <c r="BA629" i="26"/>
  <c r="AZ627" i="26" l="1"/>
  <c r="BF627" i="26" s="1"/>
  <c r="BG627" i="26" s="1"/>
  <c r="BM302" i="26"/>
  <c r="BQ301" i="26" s="1"/>
  <c r="AY628" i="26"/>
  <c r="AX627" i="26" l="1"/>
  <c r="AR627" i="26"/>
  <c r="AV627" i="26" s="1"/>
  <c r="AW627" i="26"/>
  <c r="BP302" i="26"/>
  <c r="BR302" i="26" s="1"/>
  <c r="BO301" i="26"/>
  <c r="BI301" i="26"/>
  <c r="BW301" i="26"/>
  <c r="BX301" i="26" s="1"/>
  <c r="BN301" i="26"/>
  <c r="BA628" i="26"/>
  <c r="AZ626" i="26" l="1"/>
  <c r="BF626" i="26" s="1"/>
  <c r="BG626" i="26" s="1"/>
  <c r="BM301" i="26"/>
  <c r="BQ300" i="26" s="1"/>
  <c r="AY627" i="26"/>
  <c r="AX626" i="26" l="1"/>
  <c r="AR626" i="26"/>
  <c r="AV626" i="26" s="1"/>
  <c r="AW626" i="26"/>
  <c r="BP301" i="26"/>
  <c r="BR301" i="26" s="1"/>
  <c r="BW300" i="26"/>
  <c r="BX300" i="26" s="1"/>
  <c r="BI300" i="26"/>
  <c r="BO300" i="26"/>
  <c r="BN300" i="26"/>
  <c r="BA627" i="26"/>
  <c r="AZ625" i="26" l="1"/>
  <c r="BF625" i="26" s="1"/>
  <c r="BG625" i="26" s="1"/>
  <c r="BM300" i="26"/>
  <c r="BQ299" i="26" s="1"/>
  <c r="AY626" i="26"/>
  <c r="AR625" i="26" l="1"/>
  <c r="AV625" i="26" s="1"/>
  <c r="AX625" i="26"/>
  <c r="AW625" i="26"/>
  <c r="BP300" i="26"/>
  <c r="BR300" i="26" s="1"/>
  <c r="BI299" i="26"/>
  <c r="BO299" i="26"/>
  <c r="BN299" i="26"/>
  <c r="BW299" i="26"/>
  <c r="BX299" i="26" s="1"/>
  <c r="BA626" i="26"/>
  <c r="AZ624" i="26" l="1"/>
  <c r="BF624" i="26" s="1"/>
  <c r="BG624" i="26" s="1"/>
  <c r="BM299" i="26"/>
  <c r="BQ298" i="26" s="1"/>
  <c r="AY625" i="26"/>
  <c r="AX624" i="26" l="1"/>
  <c r="AR624" i="26"/>
  <c r="AV624" i="26" s="1"/>
  <c r="AW624" i="26"/>
  <c r="BP299" i="26"/>
  <c r="BR299" i="26" s="1"/>
  <c r="BI298" i="26"/>
  <c r="BW298" i="26"/>
  <c r="BX298" i="26" s="1"/>
  <c r="BN298" i="26"/>
  <c r="BO298" i="26"/>
  <c r="BA625" i="26"/>
  <c r="AZ623" i="26" l="1"/>
  <c r="BF623" i="26" s="1"/>
  <c r="BG623" i="26" s="1"/>
  <c r="BM298" i="26"/>
  <c r="BQ297" i="26" s="1"/>
  <c r="AY624" i="26"/>
  <c r="AR623" i="26" l="1"/>
  <c r="AV623" i="26" s="1"/>
  <c r="AX623" i="26"/>
  <c r="AW623" i="26"/>
  <c r="BP298" i="26"/>
  <c r="BR298" i="26" s="1"/>
  <c r="BW297" i="26"/>
  <c r="BX297" i="26" s="1"/>
  <c r="BN297" i="26"/>
  <c r="BO297" i="26"/>
  <c r="BI297" i="26"/>
  <c r="BA624" i="26"/>
  <c r="AZ622" i="26" l="1"/>
  <c r="BF622" i="26" s="1"/>
  <c r="BG622" i="26" s="1"/>
  <c r="BM297" i="26"/>
  <c r="BQ296" i="26" s="1"/>
  <c r="AY623" i="26"/>
  <c r="AR622" i="26" l="1"/>
  <c r="AV622" i="26" s="1"/>
  <c r="AX622" i="26"/>
  <c r="AW622" i="26"/>
  <c r="BP297" i="26"/>
  <c r="BR297" i="26" s="1"/>
  <c r="BN296" i="26"/>
  <c r="BO296" i="26"/>
  <c r="BI296" i="26"/>
  <c r="BW296" i="26"/>
  <c r="BX296" i="26" s="1"/>
  <c r="BA623" i="26"/>
  <c r="AZ621" i="26" l="1"/>
  <c r="BF621" i="26" s="1"/>
  <c r="BG621" i="26" s="1"/>
  <c r="BM296" i="26"/>
  <c r="BQ295" i="26" s="1"/>
  <c r="AY622" i="26"/>
  <c r="AR621" i="26" l="1"/>
  <c r="AV621" i="26" s="1"/>
  <c r="AX621" i="26"/>
  <c r="AW621" i="26"/>
  <c r="BP296" i="26"/>
  <c r="BR296" i="26" s="1"/>
  <c r="BN295" i="26"/>
  <c r="BW295" i="26"/>
  <c r="BX295" i="26" s="1"/>
  <c r="BI295" i="26"/>
  <c r="BO295" i="26"/>
  <c r="BA622" i="26"/>
  <c r="AZ620" i="26" l="1"/>
  <c r="BF620" i="26" s="1"/>
  <c r="BG620" i="26" s="1"/>
  <c r="BM295" i="26"/>
  <c r="BQ294" i="26" s="1"/>
  <c r="AY621" i="26"/>
  <c r="BP295" i="26" l="1"/>
  <c r="BR295" i="26" s="1"/>
  <c r="AW620" i="26"/>
  <c r="AR620" i="26"/>
  <c r="AV620" i="26" s="1"/>
  <c r="AX620" i="26"/>
  <c r="BN294" i="26"/>
  <c r="BI294" i="26"/>
  <c r="BO294" i="26"/>
  <c r="BW294" i="26"/>
  <c r="BX294" i="26" s="1"/>
  <c r="BA621" i="26"/>
  <c r="AZ619" i="26" l="1"/>
  <c r="BF619" i="26" s="1"/>
  <c r="BG619" i="26" s="1"/>
  <c r="BM294" i="26"/>
  <c r="BQ293" i="26" s="1"/>
  <c r="AY620" i="26"/>
  <c r="AR619" i="26" l="1"/>
  <c r="AV619" i="26" s="1"/>
  <c r="AX619" i="26"/>
  <c r="AW619" i="26"/>
  <c r="BP294" i="26"/>
  <c r="BR294" i="26" s="1"/>
  <c r="BN293" i="26"/>
  <c r="BW293" i="26"/>
  <c r="BX293" i="26" s="1"/>
  <c r="BI293" i="26"/>
  <c r="BO293" i="26"/>
  <c r="BA620" i="26"/>
  <c r="AZ618" i="26" l="1"/>
  <c r="BF618" i="26" s="1"/>
  <c r="BG618" i="26" s="1"/>
  <c r="BM293" i="26"/>
  <c r="BQ292" i="26" s="1"/>
  <c r="AY619" i="26"/>
  <c r="AR618" i="26" l="1"/>
  <c r="AV618" i="26" s="1"/>
  <c r="AX618" i="26"/>
  <c r="AW618" i="26"/>
  <c r="BP293" i="26"/>
  <c r="BR293" i="26" s="1"/>
  <c r="BI292" i="26"/>
  <c r="BN292" i="26"/>
  <c r="BW292" i="26"/>
  <c r="BX292" i="26" s="1"/>
  <c r="BO292" i="26"/>
  <c r="BA619" i="26"/>
  <c r="AZ617" i="26" l="1"/>
  <c r="BF617" i="26" s="1"/>
  <c r="BG617" i="26" s="1"/>
  <c r="BM292" i="26"/>
  <c r="BQ291" i="26" s="1"/>
  <c r="AY618" i="26"/>
  <c r="BP292" i="26" l="1"/>
  <c r="BR292" i="26" s="1"/>
  <c r="AR617" i="26"/>
  <c r="AV617" i="26" s="1"/>
  <c r="AW617" i="26"/>
  <c r="AX617" i="26"/>
  <c r="BO291" i="26"/>
  <c r="BW291" i="26"/>
  <c r="BX291" i="26" s="1"/>
  <c r="BI291" i="26"/>
  <c r="BN291" i="26"/>
  <c r="BA618" i="26"/>
  <c r="AZ616" i="26" l="1"/>
  <c r="BF616" i="26" s="1"/>
  <c r="BG616" i="26" s="1"/>
  <c r="BM291" i="26"/>
  <c r="BQ290" i="26" s="1"/>
  <c r="AY617" i="26"/>
  <c r="AX616" i="26" l="1"/>
  <c r="AR616" i="26"/>
  <c r="AV616" i="26" s="1"/>
  <c r="AW616" i="26"/>
  <c r="BP291" i="26"/>
  <c r="BR291" i="26" s="1"/>
  <c r="BO290" i="26"/>
  <c r="BW290" i="26"/>
  <c r="BX290" i="26" s="1"/>
  <c r="BN290" i="26"/>
  <c r="BI290" i="26"/>
  <c r="BA617" i="26"/>
  <c r="AZ615" i="26" l="1"/>
  <c r="BF615" i="26" s="1"/>
  <c r="BG615" i="26" s="1"/>
  <c r="BM290" i="26"/>
  <c r="BQ289" i="26" s="1"/>
  <c r="AY616" i="26"/>
  <c r="AX615" i="26" l="1"/>
  <c r="AR615" i="26"/>
  <c r="AV615" i="26" s="1"/>
  <c r="AW615" i="26"/>
  <c r="BP290" i="26"/>
  <c r="BR290" i="26" s="1"/>
  <c r="BI289" i="26"/>
  <c r="BN289" i="26"/>
  <c r="BO289" i="26"/>
  <c r="BW289" i="26"/>
  <c r="BX289" i="26" s="1"/>
  <c r="BA616" i="26"/>
  <c r="AZ614" i="26" l="1"/>
  <c r="BF614" i="26" s="1"/>
  <c r="BG614" i="26" s="1"/>
  <c r="BM289" i="26"/>
  <c r="BQ288" i="26" s="1"/>
  <c r="AY615" i="26"/>
  <c r="AX614" i="26" l="1"/>
  <c r="AR614" i="26"/>
  <c r="AV614" i="26" s="1"/>
  <c r="AW614" i="26"/>
  <c r="BP289" i="26"/>
  <c r="BR289" i="26" s="1"/>
  <c r="BO288" i="26"/>
  <c r="BI288" i="26"/>
  <c r="BN288" i="26"/>
  <c r="BW288" i="26"/>
  <c r="BX288" i="26" s="1"/>
  <c r="BA615" i="26"/>
  <c r="AZ613" i="26" l="1"/>
  <c r="BF613" i="26" s="1"/>
  <c r="BG613" i="26" s="1"/>
  <c r="BM288" i="26"/>
  <c r="BQ287" i="26" s="1"/>
  <c r="AY614" i="26"/>
  <c r="AR613" i="26" l="1"/>
  <c r="AV613" i="26" s="1"/>
  <c r="AX613" i="26"/>
  <c r="AW613" i="26"/>
  <c r="BP288" i="26"/>
  <c r="BR288" i="26" s="1"/>
  <c r="BO287" i="26"/>
  <c r="BI287" i="26"/>
  <c r="BN287" i="26"/>
  <c r="BW287" i="26"/>
  <c r="BX287" i="26" s="1"/>
  <c r="BA614" i="26"/>
  <c r="AZ612" i="26" l="1"/>
  <c r="BF612" i="26" s="1"/>
  <c r="BG612" i="26" s="1"/>
  <c r="BM287" i="26"/>
  <c r="BQ286" i="26" s="1"/>
  <c r="AY613" i="26"/>
  <c r="AX612" i="26" l="1"/>
  <c r="AR612" i="26"/>
  <c r="AV612" i="26" s="1"/>
  <c r="AW612" i="26"/>
  <c r="BP287" i="26"/>
  <c r="BR287" i="26" s="1"/>
  <c r="BN286" i="26"/>
  <c r="BO286" i="26"/>
  <c r="BW286" i="26"/>
  <c r="BX286" i="26" s="1"/>
  <c r="BI286" i="26"/>
  <c r="BA613" i="26"/>
  <c r="AZ611" i="26" l="1"/>
  <c r="BF611" i="26" s="1"/>
  <c r="BG611" i="26" s="1"/>
  <c r="BM286" i="26"/>
  <c r="BQ285" i="26" s="1"/>
  <c r="AY612" i="26"/>
  <c r="AX611" i="26" l="1"/>
  <c r="AR611" i="26"/>
  <c r="AV611" i="26" s="1"/>
  <c r="AW611" i="26"/>
  <c r="BP286" i="26"/>
  <c r="BR286" i="26" s="1"/>
  <c r="BO285" i="26"/>
  <c r="BI285" i="26"/>
  <c r="BW285" i="26"/>
  <c r="BX285" i="26" s="1"/>
  <c r="BN285" i="26"/>
  <c r="BA612" i="26"/>
  <c r="AZ610" i="26" l="1"/>
  <c r="BF610" i="26" s="1"/>
  <c r="BG610" i="26" s="1"/>
  <c r="BM285" i="26"/>
  <c r="BQ284" i="26" s="1"/>
  <c r="AY611" i="26"/>
  <c r="BP285" i="26" l="1"/>
  <c r="BR285" i="26" s="1"/>
  <c r="AW610" i="26"/>
  <c r="AR610" i="26"/>
  <c r="AV610" i="26" s="1"/>
  <c r="AX610" i="26"/>
  <c r="BI284" i="26"/>
  <c r="BW284" i="26"/>
  <c r="BX284" i="26" s="1"/>
  <c r="BO284" i="26"/>
  <c r="BN284" i="26"/>
  <c r="BA611" i="26"/>
  <c r="AZ609" i="26" l="1"/>
  <c r="BF609" i="26" s="1"/>
  <c r="BG609" i="26" s="1"/>
  <c r="BM284" i="26"/>
  <c r="BQ283" i="26" s="1"/>
  <c r="AY610" i="26"/>
  <c r="AR609" i="26" l="1"/>
  <c r="AV609" i="26" s="1"/>
  <c r="AX609" i="26"/>
  <c r="AW609" i="26"/>
  <c r="BP284" i="26"/>
  <c r="BR284" i="26" s="1"/>
  <c r="BN283" i="26"/>
  <c r="BI283" i="26"/>
  <c r="BW283" i="26"/>
  <c r="BX283" i="26" s="1"/>
  <c r="BO283" i="26"/>
  <c r="BA610" i="26"/>
  <c r="AZ608" i="26" l="1"/>
  <c r="BF608" i="26" s="1"/>
  <c r="BG608" i="26" s="1"/>
  <c r="BM283" i="26"/>
  <c r="BQ282" i="26" s="1"/>
  <c r="AY609" i="26"/>
  <c r="AR608" i="26" l="1"/>
  <c r="AV608" i="26" s="1"/>
  <c r="AX608" i="26"/>
  <c r="AW608" i="26"/>
  <c r="BP283" i="26"/>
  <c r="BR283" i="26" s="1"/>
  <c r="BW282" i="26"/>
  <c r="BX282" i="26" s="1"/>
  <c r="BI282" i="26"/>
  <c r="BN282" i="26"/>
  <c r="BO282" i="26"/>
  <c r="BA609" i="26"/>
  <c r="AZ607" i="26" l="1"/>
  <c r="BF607" i="26" s="1"/>
  <c r="BG607" i="26" s="1"/>
  <c r="BM282" i="26"/>
  <c r="BQ281" i="26" s="1"/>
  <c r="AY608" i="26"/>
  <c r="BP282" i="26" l="1"/>
  <c r="BR282" i="26" s="1"/>
  <c r="AW607" i="26"/>
  <c r="AR607" i="26"/>
  <c r="AV607" i="26" s="1"/>
  <c r="AX607" i="26"/>
  <c r="BN281" i="26"/>
  <c r="BI281" i="26"/>
  <c r="BW281" i="26"/>
  <c r="BX281" i="26" s="1"/>
  <c r="BO281" i="26"/>
  <c r="BA608" i="26"/>
  <c r="AZ606" i="26" l="1"/>
  <c r="BF606" i="26" s="1"/>
  <c r="BG606" i="26" s="1"/>
  <c r="BM281" i="26"/>
  <c r="BQ280" i="26" s="1"/>
  <c r="AY607" i="26"/>
  <c r="AR606" i="26" l="1"/>
  <c r="AV606" i="26" s="1"/>
  <c r="AX606" i="26"/>
  <c r="AW606" i="26"/>
  <c r="BP281" i="26"/>
  <c r="BR281" i="26" s="1"/>
  <c r="BW280" i="26"/>
  <c r="BX280" i="26" s="1"/>
  <c r="BO280" i="26"/>
  <c r="BI280" i="26"/>
  <c r="BN280" i="26"/>
  <c r="BA607" i="26"/>
  <c r="AZ605" i="26" l="1"/>
  <c r="BF605" i="26" s="1"/>
  <c r="BG605" i="26" s="1"/>
  <c r="BM280" i="26"/>
  <c r="BQ279" i="26" s="1"/>
  <c r="AY606" i="26"/>
  <c r="AR605" i="26" l="1"/>
  <c r="AV605" i="26" s="1"/>
  <c r="AX605" i="26"/>
  <c r="AW605" i="26"/>
  <c r="BP280" i="26"/>
  <c r="BR280" i="26" s="1"/>
  <c r="BW279" i="26"/>
  <c r="BX279" i="26" s="1"/>
  <c r="BN279" i="26"/>
  <c r="BO279" i="26"/>
  <c r="BI279" i="26"/>
  <c r="BA606" i="26"/>
  <c r="AZ604" i="26" l="1"/>
  <c r="BF604" i="26" s="1"/>
  <c r="BG604" i="26" s="1"/>
  <c r="BM279" i="26"/>
  <c r="BQ278" i="26" s="1"/>
  <c r="AY605" i="26"/>
  <c r="AX604" i="26" l="1"/>
  <c r="AR604" i="26"/>
  <c r="AV604" i="26" s="1"/>
  <c r="AW604" i="26"/>
  <c r="BP279" i="26"/>
  <c r="BR279" i="26" s="1"/>
  <c r="BN278" i="26"/>
  <c r="BO278" i="26"/>
  <c r="BW278" i="26"/>
  <c r="BX278" i="26" s="1"/>
  <c r="BI278" i="26"/>
  <c r="BA605" i="26"/>
  <c r="AZ603" i="26" l="1"/>
  <c r="BF603" i="26" s="1"/>
  <c r="BG603" i="26" s="1"/>
  <c r="BM278" i="26"/>
  <c r="BQ277" i="26" s="1"/>
  <c r="AY604" i="26"/>
  <c r="AR603" i="26" l="1"/>
  <c r="AV603" i="26" s="1"/>
  <c r="AX603" i="26"/>
  <c r="AW603" i="26"/>
  <c r="BP278" i="26"/>
  <c r="BR278" i="26" s="1"/>
  <c r="BW277" i="26"/>
  <c r="BX277" i="26" s="1"/>
  <c r="BO277" i="26"/>
  <c r="BN277" i="26"/>
  <c r="BI277" i="26"/>
  <c r="BA604" i="26"/>
  <c r="AZ602" i="26" l="1"/>
  <c r="BF602" i="26" s="1"/>
  <c r="BG602" i="26" s="1"/>
  <c r="BM277" i="26"/>
  <c r="BQ276" i="26" s="1"/>
  <c r="AY603" i="26"/>
  <c r="AR602" i="26" l="1"/>
  <c r="AV602" i="26" s="1"/>
  <c r="AX602" i="26"/>
  <c r="AW602" i="26"/>
  <c r="BP277" i="26"/>
  <c r="BR277" i="26" s="1"/>
  <c r="BO276" i="26"/>
  <c r="BI276" i="26"/>
  <c r="BN276" i="26"/>
  <c r="BW276" i="26"/>
  <c r="BX276" i="26" s="1"/>
  <c r="BA603" i="26"/>
  <c r="AZ601" i="26" l="1"/>
  <c r="BF601" i="26" s="1"/>
  <c r="BG601" i="26" s="1"/>
  <c r="BM276" i="26"/>
  <c r="BQ275" i="26" s="1"/>
  <c r="AY602" i="26"/>
  <c r="BP276" i="26" l="1"/>
  <c r="BR276" i="26" s="1"/>
  <c r="AW601" i="26"/>
  <c r="AR601" i="26"/>
  <c r="AV601" i="26" s="1"/>
  <c r="AX601" i="26"/>
  <c r="BW275" i="26"/>
  <c r="BX275" i="26" s="1"/>
  <c r="BO275" i="26"/>
  <c r="BN275" i="26"/>
  <c r="BI275" i="26"/>
  <c r="BA602" i="26"/>
  <c r="AZ600" i="26" l="1"/>
  <c r="BF600" i="26" s="1"/>
  <c r="BG600" i="26" s="1"/>
  <c r="BM275" i="26"/>
  <c r="BQ274" i="26" s="1"/>
  <c r="AY601" i="26"/>
  <c r="AR600" i="26" l="1"/>
  <c r="AV600" i="26" s="1"/>
  <c r="AX600" i="26"/>
  <c r="AW600" i="26"/>
  <c r="BP275" i="26"/>
  <c r="BR275" i="26" s="1"/>
  <c r="BW274" i="26"/>
  <c r="BX274" i="26" s="1"/>
  <c r="BO274" i="26"/>
  <c r="BI274" i="26"/>
  <c r="BN274" i="26"/>
  <c r="BA601" i="26"/>
  <c r="AZ599" i="26" l="1"/>
  <c r="BF599" i="26" s="1"/>
  <c r="BG599" i="26" s="1"/>
  <c r="BM274" i="26"/>
  <c r="BQ273" i="26" s="1"/>
  <c r="AY600" i="26"/>
  <c r="BP274" i="26" l="1"/>
  <c r="BR274" i="26" s="1"/>
  <c r="AW599" i="26"/>
  <c r="AR599" i="26"/>
  <c r="AV599" i="26" s="1"/>
  <c r="AX599" i="26"/>
  <c r="BW273" i="26"/>
  <c r="BX273" i="26" s="1"/>
  <c r="BO273" i="26"/>
  <c r="BI273" i="26"/>
  <c r="BN273" i="26"/>
  <c r="BA600" i="26"/>
  <c r="AZ598" i="26" l="1"/>
  <c r="BF598" i="26" s="1"/>
  <c r="BG598" i="26" s="1"/>
  <c r="BM273" i="26"/>
  <c r="BQ272" i="26" s="1"/>
  <c r="AY599" i="26"/>
  <c r="AR598" i="26" l="1"/>
  <c r="AV598" i="26" s="1"/>
  <c r="AX598" i="26"/>
  <c r="AW598" i="26"/>
  <c r="BP273" i="26"/>
  <c r="BR273" i="26" s="1"/>
  <c r="BI272" i="26"/>
  <c r="BN272" i="26"/>
  <c r="BO272" i="26"/>
  <c r="BW272" i="26"/>
  <c r="BX272" i="26" s="1"/>
  <c r="BA599" i="26"/>
  <c r="AZ597" i="26" l="1"/>
  <c r="BF597" i="26" s="1"/>
  <c r="BG597" i="26" s="1"/>
  <c r="BM272" i="26"/>
  <c r="BQ271" i="26" s="1"/>
  <c r="AY598" i="26"/>
  <c r="AR597" i="26" l="1"/>
  <c r="AV597" i="26" s="1"/>
  <c r="AX597" i="26"/>
  <c r="AW597" i="26"/>
  <c r="BP272" i="26"/>
  <c r="BR272" i="26" s="1"/>
  <c r="BW271" i="26"/>
  <c r="BX271" i="26" s="1"/>
  <c r="BN271" i="26"/>
  <c r="BI271" i="26"/>
  <c r="BO271" i="26"/>
  <c r="BA598" i="26"/>
  <c r="AZ596" i="26" l="1"/>
  <c r="BF596" i="26" s="1"/>
  <c r="BG596" i="26" s="1"/>
  <c r="BM271" i="26"/>
  <c r="BQ270" i="26" s="1"/>
  <c r="AY597" i="26"/>
  <c r="AR596" i="26" l="1"/>
  <c r="AV596" i="26" s="1"/>
  <c r="AX596" i="26"/>
  <c r="AW596" i="26"/>
  <c r="BP271" i="26"/>
  <c r="BR271" i="26" s="1"/>
  <c r="BW270" i="26"/>
  <c r="BX270" i="26" s="1"/>
  <c r="BI270" i="26"/>
  <c r="BN270" i="26"/>
  <c r="BO270" i="26"/>
  <c r="BA597" i="26"/>
  <c r="AZ595" i="26" l="1"/>
  <c r="BF595" i="26" s="1"/>
  <c r="BG595" i="26" s="1"/>
  <c r="BM270" i="26"/>
  <c r="BQ269" i="26" s="1"/>
  <c r="AY596" i="26"/>
  <c r="BP270" i="26" l="1"/>
  <c r="BR270" i="26" s="1"/>
  <c r="AW595" i="26"/>
  <c r="AR595" i="26"/>
  <c r="AV595" i="26" s="1"/>
  <c r="AX595" i="26"/>
  <c r="BN269" i="26"/>
  <c r="BI269" i="26"/>
  <c r="BO269" i="26"/>
  <c r="BW269" i="26"/>
  <c r="BX269" i="26" s="1"/>
  <c r="BA596" i="26"/>
  <c r="AZ594" i="26" l="1"/>
  <c r="BF594" i="26" s="1"/>
  <c r="BG594" i="26" s="1"/>
  <c r="BM269" i="26"/>
  <c r="BQ268" i="26" s="1"/>
  <c r="AY595" i="26"/>
  <c r="AX594" i="26" l="1"/>
  <c r="AR594" i="26"/>
  <c r="AV594" i="26" s="1"/>
  <c r="AW594" i="26"/>
  <c r="BP269" i="26"/>
  <c r="BR269" i="26" s="1"/>
  <c r="BW268" i="26"/>
  <c r="BX268" i="26" s="1"/>
  <c r="BI268" i="26"/>
  <c r="BO268" i="26"/>
  <c r="BN268" i="26"/>
  <c r="BA595" i="26"/>
  <c r="AZ593" i="26" l="1"/>
  <c r="BF593" i="26" s="1"/>
  <c r="BG593" i="26" s="1"/>
  <c r="BM268" i="26"/>
  <c r="BQ267" i="26" s="1"/>
  <c r="AY594" i="26"/>
  <c r="AR593" i="26" l="1"/>
  <c r="AV593" i="26" s="1"/>
  <c r="AX593" i="26"/>
  <c r="AW593" i="26"/>
  <c r="BP268" i="26"/>
  <c r="BR268" i="26" s="1"/>
  <c r="BW267" i="26"/>
  <c r="BX267" i="26" s="1"/>
  <c r="BI267" i="26"/>
  <c r="BO267" i="26"/>
  <c r="BN267" i="26"/>
  <c r="BA594" i="26"/>
  <c r="AZ592" i="26" l="1"/>
  <c r="BF592" i="26" s="1"/>
  <c r="BG592" i="26" s="1"/>
  <c r="BM267" i="26"/>
  <c r="BQ266" i="26" s="1"/>
  <c r="AY593" i="26"/>
  <c r="AX592" i="26" l="1"/>
  <c r="AR592" i="26"/>
  <c r="AV592" i="26" s="1"/>
  <c r="AW592" i="26"/>
  <c r="BP267" i="26"/>
  <c r="BR267" i="26" s="1"/>
  <c r="BN266" i="26"/>
  <c r="BI266" i="26"/>
  <c r="BO266" i="26"/>
  <c r="BW266" i="26"/>
  <c r="BX266" i="26" s="1"/>
  <c r="BA593" i="26"/>
  <c r="AZ591" i="26" l="1"/>
  <c r="BF591" i="26" s="1"/>
  <c r="BG591" i="26" s="1"/>
  <c r="BM266" i="26"/>
  <c r="BQ265" i="26" s="1"/>
  <c r="AY592" i="26"/>
  <c r="AX591" i="26" l="1"/>
  <c r="AR591" i="26"/>
  <c r="AV591" i="26" s="1"/>
  <c r="AW591" i="26"/>
  <c r="BP266" i="26"/>
  <c r="BR266" i="26" s="1"/>
  <c r="BN265" i="26"/>
  <c r="BI265" i="26"/>
  <c r="BW265" i="26"/>
  <c r="BX265" i="26" s="1"/>
  <c r="BO265" i="26"/>
  <c r="BA592" i="26"/>
  <c r="AZ590" i="26" l="1"/>
  <c r="BF590" i="26" s="1"/>
  <c r="BG590" i="26" s="1"/>
  <c r="BM265" i="26"/>
  <c r="BQ264" i="26" s="1"/>
  <c r="AY591" i="26"/>
  <c r="AR590" i="26" l="1"/>
  <c r="AV590" i="26" s="1"/>
  <c r="AX590" i="26"/>
  <c r="AW590" i="26"/>
  <c r="BP265" i="26"/>
  <c r="BR265" i="26" s="1"/>
  <c r="BI264" i="26"/>
  <c r="BN264" i="26"/>
  <c r="BO264" i="26"/>
  <c r="BW264" i="26"/>
  <c r="BX264" i="26" s="1"/>
  <c r="BA591" i="26"/>
  <c r="AZ589" i="26" l="1"/>
  <c r="BF589" i="26" s="1"/>
  <c r="BG589" i="26" s="1"/>
  <c r="BM264" i="26"/>
  <c r="BQ263" i="26" s="1"/>
  <c r="AY590" i="26"/>
  <c r="AR589" i="26" l="1"/>
  <c r="AV589" i="26" s="1"/>
  <c r="AX589" i="26"/>
  <c r="AW589" i="26"/>
  <c r="BP264" i="26"/>
  <c r="BR264" i="26" s="1"/>
  <c r="BI263" i="26"/>
  <c r="BW263" i="26"/>
  <c r="BX263" i="26" s="1"/>
  <c r="BN263" i="26"/>
  <c r="BO263" i="26"/>
  <c r="BA590" i="26"/>
  <c r="AZ588" i="26" l="1"/>
  <c r="BF588" i="26" s="1"/>
  <c r="BG588" i="26" s="1"/>
  <c r="BM263" i="26"/>
  <c r="BQ262" i="26" s="1"/>
  <c r="AY589" i="26"/>
  <c r="AR588" i="26" l="1"/>
  <c r="AV588" i="26" s="1"/>
  <c r="AX588" i="26"/>
  <c r="AW588" i="26"/>
  <c r="BP263" i="26"/>
  <c r="BR263" i="26" s="1"/>
  <c r="BI262" i="26"/>
  <c r="BO262" i="26"/>
  <c r="BN262" i="26"/>
  <c r="BW262" i="26"/>
  <c r="BX262" i="26" s="1"/>
  <c r="BA589" i="26"/>
  <c r="AZ587" i="26" l="1"/>
  <c r="BF587" i="26" s="1"/>
  <c r="BG587" i="26" s="1"/>
  <c r="BM262" i="26"/>
  <c r="BQ261" i="26" s="1"/>
  <c r="AY588" i="26"/>
  <c r="AX587" i="26" l="1"/>
  <c r="AR587" i="26"/>
  <c r="AV587" i="26" s="1"/>
  <c r="AW587" i="26"/>
  <c r="BP262" i="26"/>
  <c r="BR262" i="26" s="1"/>
  <c r="BO261" i="26"/>
  <c r="BW261" i="26"/>
  <c r="BX261" i="26" s="1"/>
  <c r="BI261" i="26"/>
  <c r="BN261" i="26"/>
  <c r="BA588" i="26"/>
  <c r="AZ586" i="26" l="1"/>
  <c r="BF586" i="26" s="1"/>
  <c r="BG586" i="26" s="1"/>
  <c r="BM261" i="26"/>
  <c r="BQ260" i="26" s="1"/>
  <c r="AY587" i="26"/>
  <c r="AR586" i="26" l="1"/>
  <c r="AV586" i="26" s="1"/>
  <c r="AX586" i="26"/>
  <c r="AW586" i="26"/>
  <c r="BP261" i="26"/>
  <c r="BR261" i="26" s="1"/>
  <c r="BW260" i="26"/>
  <c r="BX260" i="26" s="1"/>
  <c r="BI260" i="26"/>
  <c r="BN260" i="26"/>
  <c r="BO260" i="26"/>
  <c r="BA587" i="26"/>
  <c r="AZ585" i="26" l="1"/>
  <c r="BF585" i="26" s="1"/>
  <c r="BG585" i="26" s="1"/>
  <c r="BM260" i="26"/>
  <c r="BQ259" i="26" s="1"/>
  <c r="AY586" i="26"/>
  <c r="AR585" i="26" l="1"/>
  <c r="AV585" i="26" s="1"/>
  <c r="AX585" i="26"/>
  <c r="AW585" i="26"/>
  <c r="BP260" i="26"/>
  <c r="BR260" i="26" s="1"/>
  <c r="BW259" i="26"/>
  <c r="BX259" i="26" s="1"/>
  <c r="BO259" i="26"/>
  <c r="BI259" i="26"/>
  <c r="BN259" i="26"/>
  <c r="BA586" i="26"/>
  <c r="AZ584" i="26" l="1"/>
  <c r="BF584" i="26" s="1"/>
  <c r="BG584" i="26" s="1"/>
  <c r="BM259" i="26"/>
  <c r="BQ258" i="26" s="1"/>
  <c r="AY585" i="26"/>
  <c r="AR584" i="26" l="1"/>
  <c r="AV584" i="26" s="1"/>
  <c r="AX584" i="26"/>
  <c r="AW584" i="26"/>
  <c r="BP259" i="26"/>
  <c r="BR259" i="26" s="1"/>
  <c r="BW258" i="26"/>
  <c r="BX258" i="26" s="1"/>
  <c r="BN258" i="26"/>
  <c r="BI258" i="26"/>
  <c r="BO258" i="26"/>
  <c r="BA585" i="26"/>
  <c r="AZ583" i="26" l="1"/>
  <c r="BF583" i="26" s="1"/>
  <c r="BG583" i="26" s="1"/>
  <c r="BM258" i="26"/>
  <c r="BQ257" i="26" s="1"/>
  <c r="AY584" i="26"/>
  <c r="AR583" i="26" l="1"/>
  <c r="AV583" i="26" s="1"/>
  <c r="AX583" i="26"/>
  <c r="AW583" i="26"/>
  <c r="BP258" i="26"/>
  <c r="BR258" i="26" s="1"/>
  <c r="BW257" i="26"/>
  <c r="BX257" i="26" s="1"/>
  <c r="BI257" i="26"/>
  <c r="BO257" i="26"/>
  <c r="BN257" i="26"/>
  <c r="BA584" i="26"/>
  <c r="AZ582" i="26" l="1"/>
  <c r="BF582" i="26" s="1"/>
  <c r="BG582" i="26" s="1"/>
  <c r="BM257" i="26"/>
  <c r="BQ256" i="26" s="1"/>
  <c r="AY583" i="26"/>
  <c r="AX582" i="26" l="1"/>
  <c r="AR582" i="26"/>
  <c r="AV582" i="26" s="1"/>
  <c r="AW582" i="26"/>
  <c r="BP257" i="26"/>
  <c r="BR257" i="26" s="1"/>
  <c r="BO256" i="26"/>
  <c r="BI256" i="26"/>
  <c r="BN256" i="26"/>
  <c r="BW256" i="26"/>
  <c r="BX256" i="26" s="1"/>
  <c r="BA583" i="26"/>
  <c r="AZ581" i="26" l="1"/>
  <c r="BF581" i="26" s="1"/>
  <c r="BG581" i="26" s="1"/>
  <c r="BM256" i="26"/>
  <c r="BQ255" i="26" s="1"/>
  <c r="AY582" i="26"/>
  <c r="AX581" i="26" l="1"/>
  <c r="AR581" i="26"/>
  <c r="AV581" i="26" s="1"/>
  <c r="AW581" i="26"/>
  <c r="BP256" i="26"/>
  <c r="BR256" i="26" s="1"/>
  <c r="BW255" i="26"/>
  <c r="BX255" i="26" s="1"/>
  <c r="BN255" i="26"/>
  <c r="BI255" i="26"/>
  <c r="BO255" i="26"/>
  <c r="BA582" i="26"/>
  <c r="AZ580" i="26" l="1"/>
  <c r="BF580" i="26" s="1"/>
  <c r="BG580" i="26" s="1"/>
  <c r="BM255" i="26"/>
  <c r="BQ254" i="26" s="1"/>
  <c r="AY581" i="26"/>
  <c r="AR580" i="26" l="1"/>
  <c r="AV580" i="26" s="1"/>
  <c r="AX580" i="26"/>
  <c r="AW580" i="26"/>
  <c r="BP255" i="26"/>
  <c r="BR255" i="26" s="1"/>
  <c r="BO254" i="26"/>
  <c r="BI254" i="26"/>
  <c r="BN254" i="26"/>
  <c r="BW254" i="26"/>
  <c r="BX254" i="26" s="1"/>
  <c r="BA581" i="26"/>
  <c r="AZ579" i="26" l="1"/>
  <c r="BF579" i="26" s="1"/>
  <c r="BG579" i="26" s="1"/>
  <c r="BM254" i="26"/>
  <c r="BQ253" i="26" s="1"/>
  <c r="AY580" i="26"/>
  <c r="AR579" i="26" l="1"/>
  <c r="AV579" i="26" s="1"/>
  <c r="AX579" i="26"/>
  <c r="AW579" i="26"/>
  <c r="BP254" i="26"/>
  <c r="BR254" i="26" s="1"/>
  <c r="BW253" i="26"/>
  <c r="BX253" i="26" s="1"/>
  <c r="BI253" i="26"/>
  <c r="BO253" i="26"/>
  <c r="BN253" i="26"/>
  <c r="BA580" i="26"/>
  <c r="AZ578" i="26" l="1"/>
  <c r="BF578" i="26" s="1"/>
  <c r="BG578" i="26" s="1"/>
  <c r="BM253" i="26"/>
  <c r="BQ252" i="26" s="1"/>
  <c r="AY579" i="26"/>
  <c r="AR578" i="26" l="1"/>
  <c r="AV578" i="26" s="1"/>
  <c r="AX578" i="26"/>
  <c r="AW578" i="26"/>
  <c r="BP253" i="26"/>
  <c r="BR253" i="26" s="1"/>
  <c r="BI252" i="26"/>
  <c r="BO252" i="26"/>
  <c r="BW252" i="26"/>
  <c r="BX252" i="26" s="1"/>
  <c r="BN252" i="26"/>
  <c r="BA579" i="26"/>
  <c r="AZ577" i="26" l="1"/>
  <c r="BF577" i="26" s="1"/>
  <c r="BG577" i="26" s="1"/>
  <c r="BM252" i="26"/>
  <c r="BQ251" i="26" s="1"/>
  <c r="AY578" i="26"/>
  <c r="AR577" i="26" l="1"/>
  <c r="AV577" i="26" s="1"/>
  <c r="AX577" i="26"/>
  <c r="AW577" i="26"/>
  <c r="BP252" i="26"/>
  <c r="BR252" i="26" s="1"/>
  <c r="BO251" i="26"/>
  <c r="BW251" i="26"/>
  <c r="BX251" i="26" s="1"/>
  <c r="BN251" i="26"/>
  <c r="BI251" i="26"/>
  <c r="BA578" i="26"/>
  <c r="AZ576" i="26" l="1"/>
  <c r="BF576" i="26" s="1"/>
  <c r="BG576" i="26" s="1"/>
  <c r="BM251" i="26"/>
  <c r="BQ250" i="26" s="1"/>
  <c r="AY577" i="26"/>
  <c r="AX576" i="26" l="1"/>
  <c r="AR576" i="26"/>
  <c r="AV576" i="26" s="1"/>
  <c r="AW576" i="26"/>
  <c r="BP251" i="26"/>
  <c r="BR251" i="26" s="1"/>
  <c r="BO250" i="26"/>
  <c r="BW250" i="26"/>
  <c r="BX250" i="26" s="1"/>
  <c r="BI250" i="26"/>
  <c r="BN250" i="26"/>
  <c r="BA577" i="26"/>
  <c r="AZ575" i="26" l="1"/>
  <c r="BF575" i="26" s="1"/>
  <c r="BG575" i="26" s="1"/>
  <c r="BM250" i="26"/>
  <c r="BQ249" i="26" s="1"/>
  <c r="AY576" i="26"/>
  <c r="AR575" i="26" l="1"/>
  <c r="AV575" i="26" s="1"/>
  <c r="AX575" i="26"/>
  <c r="AW575" i="26"/>
  <c r="BP250" i="26"/>
  <c r="BR250" i="26" s="1"/>
  <c r="BO249" i="26"/>
  <c r="BN249" i="26"/>
  <c r="BI249" i="26"/>
  <c r="BW249" i="26"/>
  <c r="BX249" i="26" s="1"/>
  <c r="BA576" i="26"/>
  <c r="AZ574" i="26" l="1"/>
  <c r="BF574" i="26" s="1"/>
  <c r="BG574" i="26" s="1"/>
  <c r="BM249" i="26"/>
  <c r="BQ248" i="26" s="1"/>
  <c r="AY575" i="26"/>
  <c r="AX574" i="26" l="1"/>
  <c r="AR574" i="26"/>
  <c r="AV574" i="26" s="1"/>
  <c r="AW574" i="26"/>
  <c r="BP249" i="26"/>
  <c r="BR249" i="26" s="1"/>
  <c r="BN248" i="26"/>
  <c r="BO248" i="26"/>
  <c r="BW248" i="26"/>
  <c r="BX248" i="26" s="1"/>
  <c r="BI248" i="26"/>
  <c r="BA575" i="26"/>
  <c r="AZ573" i="26" l="1"/>
  <c r="BF573" i="26" s="1"/>
  <c r="BG573" i="26" s="1"/>
  <c r="BM248" i="26"/>
  <c r="BQ247" i="26" s="1"/>
  <c r="AY574" i="26"/>
  <c r="AR573" i="26" l="1"/>
  <c r="AV573" i="26" s="1"/>
  <c r="AX573" i="26"/>
  <c r="AW573" i="26"/>
  <c r="BP248" i="26"/>
  <c r="BR248" i="26" s="1"/>
  <c r="BI247" i="26"/>
  <c r="BN247" i="26"/>
  <c r="BO247" i="26"/>
  <c r="BW247" i="26"/>
  <c r="BX247" i="26" s="1"/>
  <c r="BA574" i="26"/>
  <c r="AZ572" i="26" l="1"/>
  <c r="BF572" i="26" s="1"/>
  <c r="BG572" i="26" s="1"/>
  <c r="BM247" i="26"/>
  <c r="BQ246" i="26" s="1"/>
  <c r="AY573" i="26"/>
  <c r="AX572" i="26" l="1"/>
  <c r="AR572" i="26"/>
  <c r="AV572" i="26" s="1"/>
  <c r="AW572" i="26"/>
  <c r="BP247" i="26"/>
  <c r="BR247" i="26" s="1"/>
  <c r="BW246" i="26"/>
  <c r="BX246" i="26" s="1"/>
  <c r="BI246" i="26"/>
  <c r="BN246" i="26"/>
  <c r="BO246" i="26"/>
  <c r="BA573" i="26"/>
  <c r="AZ571" i="26" l="1"/>
  <c r="BF571" i="26" s="1"/>
  <c r="BG571" i="26" s="1"/>
  <c r="BM246" i="26"/>
  <c r="BQ245" i="26" s="1"/>
  <c r="AY572" i="26"/>
  <c r="AX571" i="26" l="1"/>
  <c r="AR571" i="26"/>
  <c r="AV571" i="26" s="1"/>
  <c r="AW571" i="26"/>
  <c r="BP246" i="26"/>
  <c r="BR246" i="26" s="1"/>
  <c r="BW245" i="26"/>
  <c r="BX245" i="26" s="1"/>
  <c r="BI245" i="26"/>
  <c r="BN245" i="26"/>
  <c r="BO245" i="26"/>
  <c r="BA572" i="26"/>
  <c r="AZ570" i="26" l="1"/>
  <c r="BF570" i="26" s="1"/>
  <c r="BG570" i="26" s="1"/>
  <c r="BM245" i="26"/>
  <c r="BQ244" i="26" s="1"/>
  <c r="AY571" i="26"/>
  <c r="AR570" i="26" l="1"/>
  <c r="AV570" i="26" s="1"/>
  <c r="AX570" i="26"/>
  <c r="AW570" i="26"/>
  <c r="BP245" i="26"/>
  <c r="BR245" i="26" s="1"/>
  <c r="BW244" i="26"/>
  <c r="BX244" i="26" s="1"/>
  <c r="F22" i="47" s="1"/>
  <c r="BN244" i="26"/>
  <c r="BI244" i="26"/>
  <c r="BO244" i="26"/>
  <c r="BA571" i="26"/>
  <c r="AZ569" i="26" l="1"/>
  <c r="BF569" i="26" s="1"/>
  <c r="BG569" i="26" s="1"/>
  <c r="BM244" i="26"/>
  <c r="BQ243" i="26" s="1"/>
  <c r="AY570" i="26"/>
  <c r="AX569" i="26" l="1"/>
  <c r="AR569" i="26"/>
  <c r="AV569" i="26" s="1"/>
  <c r="AW569" i="26"/>
  <c r="BP244" i="26"/>
  <c r="BR244" i="26" s="1"/>
  <c r="BI243" i="26"/>
  <c r="BO243" i="26"/>
  <c r="BW243" i="26"/>
  <c r="BX243" i="26" s="1"/>
  <c r="BN243" i="26"/>
  <c r="BA570" i="26"/>
  <c r="AZ568" i="26" l="1"/>
  <c r="BF568" i="26" s="1"/>
  <c r="BG568" i="26" s="1"/>
  <c r="BM243" i="26"/>
  <c r="BQ242" i="26" s="1"/>
  <c r="AY569" i="26"/>
  <c r="BP243" i="26" l="1"/>
  <c r="BR243" i="26" s="1"/>
  <c r="AR568" i="26"/>
  <c r="AV568" i="26" s="1"/>
  <c r="AW568" i="26"/>
  <c r="AX568" i="26"/>
  <c r="BI242" i="26"/>
  <c r="BW242" i="26"/>
  <c r="BX242" i="26" s="1"/>
  <c r="BN242" i="26"/>
  <c r="BO242" i="26"/>
  <c r="BA569" i="26"/>
  <c r="AZ567" i="26" l="1"/>
  <c r="BF567" i="26" s="1"/>
  <c r="BG567" i="26" s="1"/>
  <c r="BM242" i="26"/>
  <c r="BQ241" i="26" s="1"/>
  <c r="AY568" i="26"/>
  <c r="BP242" i="26" l="1"/>
  <c r="BR242" i="26" s="1"/>
  <c r="AR567" i="26"/>
  <c r="AV567" i="26" s="1"/>
  <c r="AW567" i="26"/>
  <c r="AX567" i="26"/>
  <c r="BW241" i="26"/>
  <c r="BX241" i="26" s="1"/>
  <c r="BI241" i="26"/>
  <c r="BN241" i="26"/>
  <c r="BO241" i="26"/>
  <c r="BA568" i="26"/>
  <c r="AZ566" i="26" l="1"/>
  <c r="BF566" i="26" s="1"/>
  <c r="BG566" i="26" s="1"/>
  <c r="BM241" i="26"/>
  <c r="BQ240" i="26" s="1"/>
  <c r="AY567" i="26"/>
  <c r="BP241" i="26" l="1"/>
  <c r="BR241" i="26" s="1"/>
  <c r="AR566" i="26"/>
  <c r="AV566" i="26" s="1"/>
  <c r="AW566" i="26"/>
  <c r="AX566" i="26"/>
  <c r="BN240" i="26"/>
  <c r="BW240" i="26"/>
  <c r="BX240" i="26" s="1"/>
  <c r="BI240" i="26"/>
  <c r="BO240" i="26"/>
  <c r="BA567" i="26"/>
  <c r="AZ565" i="26" l="1"/>
  <c r="BF565" i="26" s="1"/>
  <c r="BG565" i="26" s="1"/>
  <c r="BM240" i="26"/>
  <c r="BQ239" i="26" s="1"/>
  <c r="AY566" i="26"/>
  <c r="BP240" i="26" l="1"/>
  <c r="BR240" i="26" s="1"/>
  <c r="AW565" i="26"/>
  <c r="AR565" i="26"/>
  <c r="AV565" i="26" s="1"/>
  <c r="AX565" i="26"/>
  <c r="BW239" i="26"/>
  <c r="BX239" i="26" s="1"/>
  <c r="BI239" i="26"/>
  <c r="BO239" i="26"/>
  <c r="BN239" i="26"/>
  <c r="BA566" i="26"/>
  <c r="AZ564" i="26" l="1"/>
  <c r="BF564" i="26" s="1"/>
  <c r="BG564" i="26" s="1"/>
  <c r="BM239" i="26"/>
  <c r="BQ238" i="26" s="1"/>
  <c r="AY565" i="26"/>
  <c r="AR564" i="26" l="1"/>
  <c r="AV564" i="26" s="1"/>
  <c r="AX564" i="26"/>
  <c r="AW564" i="26"/>
  <c r="BP239" i="26"/>
  <c r="BR239" i="26" s="1"/>
  <c r="BN238" i="26"/>
  <c r="BO238" i="26"/>
  <c r="BI238" i="26"/>
  <c r="BW238" i="26"/>
  <c r="BX238" i="26" s="1"/>
  <c r="BA565" i="26"/>
  <c r="AZ563" i="26" l="1"/>
  <c r="BF563" i="26" s="1"/>
  <c r="BG563" i="26" s="1"/>
  <c r="BM238" i="26"/>
  <c r="BQ237" i="26" s="1"/>
  <c r="AY564" i="26"/>
  <c r="AX563" i="26" l="1"/>
  <c r="AR563" i="26"/>
  <c r="AV563" i="26" s="1"/>
  <c r="AW563" i="26"/>
  <c r="BP238" i="26"/>
  <c r="BR238" i="26" s="1"/>
  <c r="BN237" i="26"/>
  <c r="BI237" i="26"/>
  <c r="BO237" i="26"/>
  <c r="BW237" i="26"/>
  <c r="BX237" i="26" s="1"/>
  <c r="BA564" i="26"/>
  <c r="AZ562" i="26" l="1"/>
  <c r="BF562" i="26" s="1"/>
  <c r="BG562" i="26" s="1"/>
  <c r="BM237" i="26"/>
  <c r="BQ236" i="26" s="1"/>
  <c r="AY563" i="26"/>
  <c r="AR562" i="26" l="1"/>
  <c r="AV562" i="26" s="1"/>
  <c r="AX562" i="26"/>
  <c r="AW562" i="26"/>
  <c r="BP237" i="26"/>
  <c r="BR237" i="26" s="1"/>
  <c r="BI236" i="26"/>
  <c r="BW236" i="26"/>
  <c r="BX236" i="26" s="1"/>
  <c r="BN236" i="26"/>
  <c r="BO236" i="26"/>
  <c r="BA563" i="26"/>
  <c r="AZ561" i="26" l="1"/>
  <c r="BF561" i="26" s="1"/>
  <c r="BG561" i="26" s="1"/>
  <c r="BM236" i="26"/>
  <c r="BQ235" i="26" s="1"/>
  <c r="AY562" i="26"/>
  <c r="AR561" i="26" l="1"/>
  <c r="AV561" i="26" s="1"/>
  <c r="AX561" i="26"/>
  <c r="AW561" i="26"/>
  <c r="BP236" i="26"/>
  <c r="BR236" i="26" s="1"/>
  <c r="BN235" i="26"/>
  <c r="BW235" i="26"/>
  <c r="BX235" i="26" s="1"/>
  <c r="BI235" i="26"/>
  <c r="BO235" i="26"/>
  <c r="BA562" i="26"/>
  <c r="AZ560" i="26" l="1"/>
  <c r="BF560" i="26" s="1"/>
  <c r="BG560" i="26" s="1"/>
  <c r="BM235" i="26"/>
  <c r="BQ234" i="26" s="1"/>
  <c r="AY561" i="26"/>
  <c r="AR560" i="26" l="1"/>
  <c r="AV560" i="26" s="1"/>
  <c r="AX560" i="26"/>
  <c r="AW560" i="26"/>
  <c r="BP235" i="26"/>
  <c r="BR235" i="26" s="1"/>
  <c r="BN234" i="26"/>
  <c r="BI234" i="26"/>
  <c r="BW234" i="26"/>
  <c r="BX234" i="26" s="1"/>
  <c r="BO234" i="26"/>
  <c r="BA561" i="26"/>
  <c r="AZ559" i="26" l="1"/>
  <c r="BF559" i="26" s="1"/>
  <c r="BG559" i="26" s="1"/>
  <c r="BM234" i="26"/>
  <c r="BQ233" i="26" s="1"/>
  <c r="AY560" i="26"/>
  <c r="AX559" i="26" l="1"/>
  <c r="AR559" i="26"/>
  <c r="AV559" i="26" s="1"/>
  <c r="AW559" i="26"/>
  <c r="BP234" i="26"/>
  <c r="BR234" i="26" s="1"/>
  <c r="BO233" i="26"/>
  <c r="BW233" i="26"/>
  <c r="BX233" i="26" s="1"/>
  <c r="BI233" i="26"/>
  <c r="BN233" i="26"/>
  <c r="BA560" i="26"/>
  <c r="AZ558" i="26" l="1"/>
  <c r="BF558" i="26" s="1"/>
  <c r="BG558" i="26" s="1"/>
  <c r="BM233" i="26"/>
  <c r="BQ232" i="26" s="1"/>
  <c r="AY559" i="26"/>
  <c r="AR558" i="26" l="1"/>
  <c r="AV558" i="26" s="1"/>
  <c r="AX558" i="26"/>
  <c r="AW558" i="26"/>
  <c r="BP233" i="26"/>
  <c r="BR233" i="26" s="1"/>
  <c r="BO232" i="26"/>
  <c r="BI232" i="26"/>
  <c r="BN232" i="26"/>
  <c r="BW232" i="26"/>
  <c r="BX232" i="26" s="1"/>
  <c r="F21" i="47" s="1"/>
  <c r="BA559" i="26"/>
  <c r="AZ557" i="26" l="1"/>
  <c r="BF557" i="26" s="1"/>
  <c r="BG557" i="26" s="1"/>
  <c r="BM232" i="26"/>
  <c r="BQ231" i="26" s="1"/>
  <c r="AY558" i="26"/>
  <c r="AX557" i="26" l="1"/>
  <c r="AR557" i="26"/>
  <c r="AV557" i="26" s="1"/>
  <c r="AW557" i="26"/>
  <c r="BP232" i="26"/>
  <c r="BR232" i="26" s="1"/>
  <c r="BN231" i="26"/>
  <c r="BI231" i="26"/>
  <c r="BO231" i="26"/>
  <c r="BW231" i="26"/>
  <c r="BX231" i="26" s="1"/>
  <c r="BA558" i="26"/>
  <c r="AZ556" i="26" l="1"/>
  <c r="BF556" i="26" s="1"/>
  <c r="BG556" i="26" s="1"/>
  <c r="BM231" i="26"/>
  <c r="BQ230" i="26" s="1"/>
  <c r="AY557" i="26"/>
  <c r="AX556" i="26" l="1"/>
  <c r="AR556" i="26"/>
  <c r="AV556" i="26" s="1"/>
  <c r="AW556" i="26"/>
  <c r="BP231" i="26"/>
  <c r="BR231" i="26" s="1"/>
  <c r="BW230" i="26"/>
  <c r="BX230" i="26" s="1"/>
  <c r="BO230" i="26"/>
  <c r="BI230" i="26"/>
  <c r="BN230" i="26"/>
  <c r="BA557" i="26"/>
  <c r="AZ555" i="26" l="1"/>
  <c r="BF555" i="26" s="1"/>
  <c r="BG555" i="26" s="1"/>
  <c r="BM230" i="26"/>
  <c r="BQ229" i="26" s="1"/>
  <c r="AY556" i="26"/>
  <c r="AX555" i="26" l="1"/>
  <c r="AR555" i="26"/>
  <c r="AV555" i="26" s="1"/>
  <c r="AW555" i="26"/>
  <c r="BP230" i="26"/>
  <c r="BR230" i="26" s="1"/>
  <c r="BO229" i="26"/>
  <c r="BI229" i="26"/>
  <c r="BW229" i="26"/>
  <c r="BX229" i="26" s="1"/>
  <c r="BN229" i="26"/>
  <c r="BA556" i="26"/>
  <c r="AZ554" i="26" l="1"/>
  <c r="BF554" i="26" s="1"/>
  <c r="BG554" i="26" s="1"/>
  <c r="BM229" i="26"/>
  <c r="BQ228" i="26" s="1"/>
  <c r="AY555" i="26"/>
  <c r="BP229" i="26" l="1"/>
  <c r="BR229" i="26" s="1"/>
  <c r="AW554" i="26"/>
  <c r="AR554" i="26"/>
  <c r="AV554" i="26" s="1"/>
  <c r="AX554" i="26"/>
  <c r="BN228" i="26"/>
  <c r="BW228" i="26"/>
  <c r="BX228" i="26" s="1"/>
  <c r="BO228" i="26"/>
  <c r="BI228" i="26"/>
  <c r="BA555" i="26"/>
  <c r="AZ553" i="26" l="1"/>
  <c r="BF553" i="26" s="1"/>
  <c r="BG553" i="26" s="1"/>
  <c r="BM228" i="26"/>
  <c r="BQ227" i="26" s="1"/>
  <c r="AY554" i="26"/>
  <c r="AR553" i="26" l="1"/>
  <c r="AV553" i="26" s="1"/>
  <c r="AX553" i="26"/>
  <c r="AW553" i="26"/>
  <c r="BP228" i="26"/>
  <c r="BR228" i="26" s="1"/>
  <c r="BO227" i="26"/>
  <c r="BW227" i="26"/>
  <c r="BX227" i="26" s="1"/>
  <c r="BN227" i="26"/>
  <c r="BI227" i="26"/>
  <c r="BA554" i="26"/>
  <c r="AZ552" i="26" l="1"/>
  <c r="BF552" i="26" s="1"/>
  <c r="BG552" i="26" s="1"/>
  <c r="BM227" i="26"/>
  <c r="BQ226" i="26" s="1"/>
  <c r="AY553" i="26"/>
  <c r="AR552" i="26" l="1"/>
  <c r="AV552" i="26" s="1"/>
  <c r="AX552" i="26"/>
  <c r="AW552" i="26"/>
  <c r="BP227" i="26"/>
  <c r="BR227" i="26" s="1"/>
  <c r="BO226" i="26"/>
  <c r="BW226" i="26"/>
  <c r="BX226" i="26" s="1"/>
  <c r="BI226" i="26"/>
  <c r="BN226" i="26"/>
  <c r="BA553" i="26"/>
  <c r="AZ551" i="26" l="1"/>
  <c r="BF551" i="26" s="1"/>
  <c r="BG551" i="26" s="1"/>
  <c r="BM226" i="26"/>
  <c r="BQ225" i="26" s="1"/>
  <c r="AY552" i="26"/>
  <c r="AR551" i="26" l="1"/>
  <c r="AV551" i="26" s="1"/>
  <c r="AX551" i="26"/>
  <c r="AW551" i="26"/>
  <c r="BP226" i="26"/>
  <c r="BR226" i="26" s="1"/>
  <c r="BO225" i="26"/>
  <c r="BW225" i="26"/>
  <c r="BX225" i="26" s="1"/>
  <c r="BN225" i="26"/>
  <c r="BI225" i="26"/>
  <c r="BA552" i="26"/>
  <c r="AZ550" i="26" l="1"/>
  <c r="BF550" i="26" s="1"/>
  <c r="BG550" i="26" s="1"/>
  <c r="BM225" i="26"/>
  <c r="BQ224" i="26" s="1"/>
  <c r="AY551" i="26"/>
  <c r="AR550" i="26" l="1"/>
  <c r="AV550" i="26" s="1"/>
  <c r="AX550" i="26"/>
  <c r="AW550" i="26"/>
  <c r="BP225" i="26"/>
  <c r="BR225" i="26" s="1"/>
  <c r="BN224" i="26"/>
  <c r="BO224" i="26"/>
  <c r="BI224" i="26"/>
  <c r="BW224" i="26"/>
  <c r="BX224" i="26" s="1"/>
  <c r="BA551" i="26"/>
  <c r="AZ549" i="26" l="1"/>
  <c r="BF549" i="26" s="1"/>
  <c r="BG549" i="26" s="1"/>
  <c r="BM224" i="26"/>
  <c r="BQ223" i="26" s="1"/>
  <c r="AY550" i="26"/>
  <c r="BP224" i="26" l="1"/>
  <c r="BR224" i="26" s="1"/>
  <c r="AW549" i="26"/>
  <c r="AR549" i="26"/>
  <c r="AV549" i="26" s="1"/>
  <c r="AX549" i="26"/>
  <c r="BO223" i="26"/>
  <c r="BI223" i="26"/>
  <c r="BW223" i="26"/>
  <c r="BX223" i="26" s="1"/>
  <c r="BN223" i="26"/>
  <c r="BA550" i="26"/>
  <c r="AZ548" i="26" l="1"/>
  <c r="BF548" i="26" s="1"/>
  <c r="BG548" i="26" s="1"/>
  <c r="BM223" i="26"/>
  <c r="BQ222" i="26" s="1"/>
  <c r="AY549" i="26"/>
  <c r="AR548" i="26" l="1"/>
  <c r="AV548" i="26" s="1"/>
  <c r="AX548" i="26"/>
  <c r="AW548" i="26"/>
  <c r="BP223" i="26"/>
  <c r="BR223" i="26" s="1"/>
  <c r="BW222" i="26"/>
  <c r="BX222" i="26" s="1"/>
  <c r="BO222" i="26"/>
  <c r="BN222" i="26"/>
  <c r="BI222" i="26"/>
  <c r="BA549" i="26"/>
  <c r="AZ547" i="26" l="1"/>
  <c r="BF547" i="26" s="1"/>
  <c r="BG547" i="26" s="1"/>
  <c r="BM222" i="26"/>
  <c r="BQ221" i="26" s="1"/>
  <c r="AY548" i="26"/>
  <c r="BP222" i="26" l="1"/>
  <c r="BR222" i="26" s="1"/>
  <c r="AW547" i="26"/>
  <c r="AR547" i="26"/>
  <c r="AV547" i="26" s="1"/>
  <c r="AX547" i="26"/>
  <c r="BW221" i="26"/>
  <c r="BX221" i="26" s="1"/>
  <c r="BI221" i="26"/>
  <c r="BO221" i="26"/>
  <c r="BN221" i="26"/>
  <c r="BA548" i="26"/>
  <c r="AZ546" i="26" l="1"/>
  <c r="BF546" i="26" s="1"/>
  <c r="BG546" i="26" s="1"/>
  <c r="BM221" i="26"/>
  <c r="BQ220" i="26" s="1"/>
  <c r="AY547" i="26"/>
  <c r="BP221" i="26" l="1"/>
  <c r="BR221" i="26" s="1"/>
  <c r="AW546" i="26"/>
  <c r="AR546" i="26"/>
  <c r="AV546" i="26" s="1"/>
  <c r="AX546" i="26"/>
  <c r="BN220" i="26"/>
  <c r="BI220" i="26"/>
  <c r="BO220" i="26"/>
  <c r="BW220" i="26"/>
  <c r="BX220" i="26" s="1"/>
  <c r="F20" i="47" s="1"/>
  <c r="BA547" i="26"/>
  <c r="AZ545" i="26" l="1"/>
  <c r="BF545" i="26" s="1"/>
  <c r="BG545" i="26" s="1"/>
  <c r="BM220" i="26"/>
  <c r="BQ219" i="26" s="1"/>
  <c r="AY546" i="26"/>
  <c r="AR545" i="26" l="1"/>
  <c r="AV545" i="26" s="1"/>
  <c r="AX545" i="26"/>
  <c r="AW545" i="26"/>
  <c r="BP220" i="26"/>
  <c r="BR220" i="26" s="1"/>
  <c r="BI219" i="26"/>
  <c r="BW219" i="26"/>
  <c r="BX219" i="26" s="1"/>
  <c r="BN219" i="26"/>
  <c r="BO219" i="26"/>
  <c r="BA546" i="26"/>
  <c r="AZ544" i="26" l="1"/>
  <c r="BF544" i="26" s="1"/>
  <c r="BG544" i="26" s="1"/>
  <c r="BM219" i="26"/>
  <c r="BQ218" i="26" s="1"/>
  <c r="AY545" i="26"/>
  <c r="AX544" i="26" l="1"/>
  <c r="AR544" i="26"/>
  <c r="AV544" i="26" s="1"/>
  <c r="AW544" i="26"/>
  <c r="BP219" i="26"/>
  <c r="BR219" i="26" s="1"/>
  <c r="BW218" i="26"/>
  <c r="BX218" i="26" s="1"/>
  <c r="BI218" i="26"/>
  <c r="BO218" i="26"/>
  <c r="BN218" i="26"/>
  <c r="BA545" i="26"/>
  <c r="AZ543" i="26" l="1"/>
  <c r="BF543" i="26" s="1"/>
  <c r="BG543" i="26" s="1"/>
  <c r="BM218" i="26"/>
  <c r="BQ217" i="26" s="1"/>
  <c r="AY544" i="26"/>
  <c r="AR543" i="26" l="1"/>
  <c r="AV543" i="26" s="1"/>
  <c r="AX543" i="26"/>
  <c r="AW543" i="26"/>
  <c r="BP218" i="26"/>
  <c r="BR218" i="26" s="1"/>
  <c r="BN217" i="26"/>
  <c r="BI217" i="26"/>
  <c r="BW217" i="26"/>
  <c r="BX217" i="26" s="1"/>
  <c r="BO217" i="26"/>
  <c r="BA544" i="26"/>
  <c r="AZ542" i="26" l="1"/>
  <c r="BF542" i="26" s="1"/>
  <c r="BG542" i="26" s="1"/>
  <c r="BM217" i="26"/>
  <c r="BQ216" i="26" s="1"/>
  <c r="AY543" i="26"/>
  <c r="AR542" i="26" l="1"/>
  <c r="AV542" i="26" s="1"/>
  <c r="AX542" i="26"/>
  <c r="AW542" i="26"/>
  <c r="BP217" i="26"/>
  <c r="BR217" i="26" s="1"/>
  <c r="BO216" i="26"/>
  <c r="BW216" i="26"/>
  <c r="BX216" i="26" s="1"/>
  <c r="BN216" i="26"/>
  <c r="BI216" i="26"/>
  <c r="BA543" i="26"/>
  <c r="AZ541" i="26" l="1"/>
  <c r="BF541" i="26" s="1"/>
  <c r="BG541" i="26" s="1"/>
  <c r="BM216" i="26"/>
  <c r="BQ215" i="26" s="1"/>
  <c r="AY542" i="26"/>
  <c r="BP216" i="26" l="1"/>
  <c r="BR216" i="26" s="1"/>
  <c r="AW541" i="26"/>
  <c r="AR541" i="26"/>
  <c r="AV541" i="26" s="1"/>
  <c r="AX541" i="26"/>
  <c r="BW215" i="26"/>
  <c r="BX215" i="26" s="1"/>
  <c r="BI215" i="26"/>
  <c r="BN215" i="26"/>
  <c r="BO215" i="26"/>
  <c r="BA542" i="26"/>
  <c r="AZ540" i="26" l="1"/>
  <c r="BF540" i="26" s="1"/>
  <c r="BG540" i="26" s="1"/>
  <c r="BM215" i="26"/>
  <c r="BQ214" i="26" s="1"/>
  <c r="AY541" i="26"/>
  <c r="AR540" i="26" l="1"/>
  <c r="AV540" i="26" s="1"/>
  <c r="AX540" i="26"/>
  <c r="AW540" i="26"/>
  <c r="BP215" i="26"/>
  <c r="BR215" i="26" s="1"/>
  <c r="BI214" i="26"/>
  <c r="BW214" i="26"/>
  <c r="BX214" i="26" s="1"/>
  <c r="BO214" i="26"/>
  <c r="BN214" i="26"/>
  <c r="BA541" i="26"/>
  <c r="AZ539" i="26" l="1"/>
  <c r="BF539" i="26" s="1"/>
  <c r="BG539" i="26" s="1"/>
  <c r="BM214" i="26"/>
  <c r="BQ213" i="26" s="1"/>
  <c r="AY540" i="26"/>
  <c r="AX539" i="26" l="1"/>
  <c r="AR539" i="26"/>
  <c r="AV539" i="26" s="1"/>
  <c r="AW539" i="26"/>
  <c r="BP214" i="26"/>
  <c r="BR214" i="26" s="1"/>
  <c r="BN213" i="26"/>
  <c r="BO213" i="26"/>
  <c r="BI213" i="26"/>
  <c r="BW213" i="26"/>
  <c r="BX213" i="26" s="1"/>
  <c r="BA540" i="26"/>
  <c r="AZ538" i="26" l="1"/>
  <c r="BF538" i="26" s="1"/>
  <c r="BG538" i="26" s="1"/>
  <c r="BM213" i="26"/>
  <c r="BQ212" i="26" s="1"/>
  <c r="AY539" i="26"/>
  <c r="BP213" i="26" l="1"/>
  <c r="BR213" i="26" s="1"/>
  <c r="AR538" i="26"/>
  <c r="AV538" i="26" s="1"/>
  <c r="AW538" i="26"/>
  <c r="AX538" i="26"/>
  <c r="BN212" i="26"/>
  <c r="BI212" i="26"/>
  <c r="BO212" i="26"/>
  <c r="BW212" i="26"/>
  <c r="BX212" i="26" s="1"/>
  <c r="BA539" i="26"/>
  <c r="AZ537" i="26" l="1"/>
  <c r="BF537" i="26" s="1"/>
  <c r="BG537" i="26" s="1"/>
  <c r="BM212" i="26"/>
  <c r="BQ211" i="26" s="1"/>
  <c r="AY538" i="26"/>
  <c r="BP212" i="26" l="1"/>
  <c r="BR212" i="26" s="1"/>
  <c r="AR537" i="26"/>
  <c r="AV537" i="26" s="1"/>
  <c r="AW537" i="26"/>
  <c r="AX537" i="26"/>
  <c r="BW211" i="26"/>
  <c r="BX211" i="26" s="1"/>
  <c r="BN211" i="26"/>
  <c r="BO211" i="26"/>
  <c r="BI211" i="26"/>
  <c r="BA538" i="26"/>
  <c r="AZ536" i="26" l="1"/>
  <c r="BF536" i="26" s="1"/>
  <c r="BG536" i="26" s="1"/>
  <c r="BM211" i="26"/>
  <c r="BQ210" i="26" s="1"/>
  <c r="AY537" i="26"/>
  <c r="AX536" i="26" l="1"/>
  <c r="AR536" i="26"/>
  <c r="AV536" i="26" s="1"/>
  <c r="AW536" i="26"/>
  <c r="BP211" i="26"/>
  <c r="BR211" i="26" s="1"/>
  <c r="BI210" i="26"/>
  <c r="BW210" i="26"/>
  <c r="BX210" i="26" s="1"/>
  <c r="BN210" i="26"/>
  <c r="BO210" i="26"/>
  <c r="BA537" i="26"/>
  <c r="AZ535" i="26" l="1"/>
  <c r="BF535" i="26" s="1"/>
  <c r="BG535" i="26" s="1"/>
  <c r="BM210" i="26"/>
  <c r="BQ209" i="26" s="1"/>
  <c r="AY536" i="26"/>
  <c r="AR535" i="26" l="1"/>
  <c r="AV535" i="26" s="1"/>
  <c r="AX535" i="26"/>
  <c r="AW535" i="26"/>
  <c r="BP210" i="26"/>
  <c r="BR210" i="26" s="1"/>
  <c r="BN209" i="26"/>
  <c r="BI209" i="26"/>
  <c r="BO209" i="26"/>
  <c r="BW209" i="26"/>
  <c r="BX209" i="26" s="1"/>
  <c r="BA536" i="26"/>
  <c r="AZ534" i="26" l="1"/>
  <c r="BF534" i="26" s="1"/>
  <c r="BG534" i="26" s="1"/>
  <c r="BM209" i="26"/>
  <c r="BQ208" i="26" s="1"/>
  <c r="AY535" i="26"/>
  <c r="AR534" i="26" l="1"/>
  <c r="AV534" i="26" s="1"/>
  <c r="AX534" i="26"/>
  <c r="AW534" i="26"/>
  <c r="BP209" i="26"/>
  <c r="BR209" i="26" s="1"/>
  <c r="BO208" i="26"/>
  <c r="BI208" i="26"/>
  <c r="BN208" i="26"/>
  <c r="BW208" i="26"/>
  <c r="BX208" i="26" s="1"/>
  <c r="F19" i="47" s="1"/>
  <c r="BA535" i="26"/>
  <c r="AZ533" i="26" l="1"/>
  <c r="BF533" i="26" s="1"/>
  <c r="BG533" i="26" s="1"/>
  <c r="BM208" i="26"/>
  <c r="BQ207" i="26" s="1"/>
  <c r="AY534" i="26"/>
  <c r="AX533" i="26" l="1"/>
  <c r="AR533" i="26"/>
  <c r="AV533" i="26" s="1"/>
  <c r="AW533" i="26"/>
  <c r="BP208" i="26"/>
  <c r="BR208" i="26" s="1"/>
  <c r="BI207" i="26"/>
  <c r="BW207" i="26"/>
  <c r="BX207" i="26" s="1"/>
  <c r="BN207" i="26"/>
  <c r="BO207" i="26"/>
  <c r="BA534" i="26"/>
  <c r="AZ532" i="26" l="1"/>
  <c r="BF532" i="26" s="1"/>
  <c r="BG532" i="26" s="1"/>
  <c r="BM207" i="26"/>
  <c r="BQ206" i="26" s="1"/>
  <c r="AY533" i="26"/>
  <c r="AX532" i="26" l="1"/>
  <c r="AR532" i="26"/>
  <c r="AV532" i="26" s="1"/>
  <c r="AW532" i="26"/>
  <c r="BP207" i="26"/>
  <c r="BR207" i="26" s="1"/>
  <c r="BN206" i="26"/>
  <c r="BI206" i="26"/>
  <c r="BO206" i="26"/>
  <c r="BW206" i="26"/>
  <c r="BX206" i="26" s="1"/>
  <c r="BA533" i="26"/>
  <c r="AZ531" i="26" l="1"/>
  <c r="BF531" i="26" s="1"/>
  <c r="BG531" i="26" s="1"/>
  <c r="BM206" i="26"/>
  <c r="BQ205" i="26" s="1"/>
  <c r="AY532" i="26"/>
  <c r="AR531" i="26" l="1"/>
  <c r="AV531" i="26" s="1"/>
  <c r="AX531" i="26"/>
  <c r="AW531" i="26"/>
  <c r="BP206" i="26"/>
  <c r="BR206" i="26" s="1"/>
  <c r="BW205" i="26"/>
  <c r="BX205" i="26" s="1"/>
  <c r="BO205" i="26"/>
  <c r="BN205" i="26"/>
  <c r="BI205" i="26"/>
  <c r="BA532" i="26"/>
  <c r="AZ530" i="26" l="1"/>
  <c r="BF530" i="26" s="1"/>
  <c r="BG530" i="26" s="1"/>
  <c r="BM205" i="26"/>
  <c r="BQ204" i="26" s="1"/>
  <c r="AY531" i="26"/>
  <c r="AX530" i="26" l="1"/>
  <c r="AR530" i="26"/>
  <c r="AV530" i="26" s="1"/>
  <c r="AW530" i="26"/>
  <c r="BP205" i="26"/>
  <c r="BR205" i="26" s="1"/>
  <c r="BW204" i="26"/>
  <c r="BX204" i="26" s="1"/>
  <c r="BO204" i="26"/>
  <c r="BN204" i="26"/>
  <c r="BI204" i="26"/>
  <c r="BA531" i="26"/>
  <c r="AZ529" i="26" l="1"/>
  <c r="BF529" i="26" s="1"/>
  <c r="BG529" i="26" s="1"/>
  <c r="BM204" i="26"/>
  <c r="BQ203" i="26" s="1"/>
  <c r="AY530" i="26"/>
  <c r="AR529" i="26" l="1"/>
  <c r="AV529" i="26" s="1"/>
  <c r="AX529" i="26"/>
  <c r="AW529" i="26"/>
  <c r="BP204" i="26"/>
  <c r="BR204" i="26" s="1"/>
  <c r="BO203" i="26"/>
  <c r="BN203" i="26"/>
  <c r="BI203" i="26"/>
  <c r="BW203" i="26"/>
  <c r="BX203" i="26" s="1"/>
  <c r="BA530" i="26"/>
  <c r="AZ528" i="26" l="1"/>
  <c r="BF528" i="26" s="1"/>
  <c r="BG528" i="26" s="1"/>
  <c r="BM203" i="26"/>
  <c r="BQ202" i="26" s="1"/>
  <c r="AY529" i="26"/>
  <c r="AX528" i="26" l="1"/>
  <c r="AR528" i="26"/>
  <c r="AV528" i="26" s="1"/>
  <c r="AW528" i="26"/>
  <c r="BP203" i="26"/>
  <c r="BR203" i="26" s="1"/>
  <c r="BN202" i="26"/>
  <c r="BO202" i="26"/>
  <c r="BI202" i="26"/>
  <c r="BW202" i="26"/>
  <c r="BX202" i="26" s="1"/>
  <c r="BA529" i="26"/>
  <c r="AZ527" i="26" l="1"/>
  <c r="BF527" i="26" s="1"/>
  <c r="BG527" i="26" s="1"/>
  <c r="BM202" i="26"/>
  <c r="BQ201" i="26" s="1"/>
  <c r="AY528" i="26"/>
  <c r="BP202" i="26" l="1"/>
  <c r="BR202" i="26" s="1"/>
  <c r="AW527" i="26"/>
  <c r="AR527" i="26"/>
  <c r="AV527" i="26" s="1"/>
  <c r="AX527" i="26"/>
  <c r="BN201" i="26"/>
  <c r="BI201" i="26"/>
  <c r="BW201" i="26"/>
  <c r="BX201" i="26" s="1"/>
  <c r="BO201" i="26"/>
  <c r="BA528" i="26"/>
  <c r="AZ526" i="26" l="1"/>
  <c r="BF526" i="26" s="1"/>
  <c r="BG526" i="26" s="1"/>
  <c r="BM201" i="26"/>
  <c r="BQ200" i="26" s="1"/>
  <c r="AY527" i="26"/>
  <c r="BP201" i="26" l="1"/>
  <c r="BR201" i="26" s="1"/>
  <c r="AW526" i="26"/>
  <c r="AR526" i="26"/>
  <c r="AV526" i="26" s="1"/>
  <c r="AX526" i="26"/>
  <c r="BI200" i="26"/>
  <c r="BW200" i="26"/>
  <c r="BX200" i="26" s="1"/>
  <c r="BO200" i="26"/>
  <c r="BN200" i="26"/>
  <c r="BA527" i="26"/>
  <c r="AZ525" i="26" l="1"/>
  <c r="BF525" i="26" s="1"/>
  <c r="BG525" i="26" s="1"/>
  <c r="BM200" i="26"/>
  <c r="BQ199" i="26" s="1"/>
  <c r="AY526" i="26"/>
  <c r="BP200" i="26" l="1"/>
  <c r="BR200" i="26" s="1"/>
  <c r="AW525" i="26"/>
  <c r="AR525" i="26"/>
  <c r="AV525" i="26" s="1"/>
  <c r="AX525" i="26"/>
  <c r="BO199" i="26"/>
  <c r="BI199" i="26"/>
  <c r="BW199" i="26"/>
  <c r="BX199" i="26" s="1"/>
  <c r="BN199" i="26"/>
  <c r="BA526" i="26"/>
  <c r="AZ524" i="26" l="1"/>
  <c r="BF524" i="26" s="1"/>
  <c r="BG524" i="26" s="1"/>
  <c r="BM199" i="26"/>
  <c r="BQ198" i="26" s="1"/>
  <c r="AY525" i="26"/>
  <c r="AR524" i="26" l="1"/>
  <c r="AV524" i="26" s="1"/>
  <c r="AX524" i="26"/>
  <c r="AW524" i="26"/>
  <c r="BP199" i="26"/>
  <c r="BR199" i="26" s="1"/>
  <c r="BI198" i="26"/>
  <c r="BW198" i="26"/>
  <c r="BX198" i="26" s="1"/>
  <c r="BN198" i="26"/>
  <c r="BO198" i="26"/>
  <c r="BA525" i="26"/>
  <c r="AZ523" i="26" l="1"/>
  <c r="BF523" i="26" s="1"/>
  <c r="BG523" i="26" s="1"/>
  <c r="BM198" i="26"/>
  <c r="BQ197" i="26" s="1"/>
  <c r="AY524" i="26"/>
  <c r="AX523" i="26" l="1"/>
  <c r="AR523" i="26"/>
  <c r="AV523" i="26" s="1"/>
  <c r="AW523" i="26"/>
  <c r="BP198" i="26"/>
  <c r="BR198" i="26" s="1"/>
  <c r="BW197" i="26"/>
  <c r="BX197" i="26" s="1"/>
  <c r="BI197" i="26"/>
  <c r="BN197" i="26"/>
  <c r="BO197" i="26"/>
  <c r="BA524" i="26"/>
  <c r="AZ522" i="26" l="1"/>
  <c r="BF522" i="26" s="1"/>
  <c r="BG522" i="26" s="1"/>
  <c r="BM197" i="26"/>
  <c r="BQ196" i="26" s="1"/>
  <c r="AY523" i="26"/>
  <c r="AR522" i="26" l="1"/>
  <c r="AX522" i="26"/>
  <c r="AW522" i="26"/>
  <c r="BP197" i="26"/>
  <c r="BR197" i="26" s="1"/>
  <c r="BI196" i="26"/>
  <c r="BW196" i="26"/>
  <c r="BX196" i="26" s="1"/>
  <c r="F18" i="47" s="1"/>
  <c r="BO196" i="26"/>
  <c r="BN196" i="26"/>
  <c r="BA523" i="26"/>
  <c r="AV522" i="26"/>
  <c r="AZ521" i="26" l="1"/>
  <c r="BF521" i="26" s="1"/>
  <c r="BG521" i="26" s="1"/>
  <c r="BM196" i="26"/>
  <c r="BQ195" i="26" s="1"/>
  <c r="AY522" i="26"/>
  <c r="AX521" i="26" l="1"/>
  <c r="AR521" i="26"/>
  <c r="AV521" i="26" s="1"/>
  <c r="AW521" i="26"/>
  <c r="BP196" i="26"/>
  <c r="BR196" i="26" s="1"/>
  <c r="BN195" i="26"/>
  <c r="BO195" i="26"/>
  <c r="BI195" i="26"/>
  <c r="BW195" i="26"/>
  <c r="BX195" i="26" s="1"/>
  <c r="BA522" i="26"/>
  <c r="AZ520" i="26" l="1"/>
  <c r="BF520" i="26" s="1"/>
  <c r="BG520" i="26" s="1"/>
  <c r="BM195" i="26"/>
  <c r="BQ194" i="26" s="1"/>
  <c r="AY521" i="26"/>
  <c r="AX520" i="26" l="1"/>
  <c r="AR520" i="26"/>
  <c r="AV520" i="26" s="1"/>
  <c r="AW520" i="26"/>
  <c r="BP195" i="26"/>
  <c r="BR195" i="26" s="1"/>
  <c r="BI194" i="26"/>
  <c r="BO194" i="26"/>
  <c r="BW194" i="26"/>
  <c r="BX194" i="26" s="1"/>
  <c r="BN194" i="26"/>
  <c r="BA521" i="26"/>
  <c r="AZ519" i="26" l="1"/>
  <c r="BF519" i="26" s="1"/>
  <c r="BG519" i="26" s="1"/>
  <c r="BM194" i="26"/>
  <c r="BQ193" i="26" s="1"/>
  <c r="AY520" i="26"/>
  <c r="AX519" i="26" l="1"/>
  <c r="AR519" i="26"/>
  <c r="AV519" i="26" s="1"/>
  <c r="AW519" i="26"/>
  <c r="BP194" i="26"/>
  <c r="BR194" i="26" s="1"/>
  <c r="BI193" i="26"/>
  <c r="BN193" i="26"/>
  <c r="BO193" i="26"/>
  <c r="BW193" i="26"/>
  <c r="BX193" i="26" s="1"/>
  <c r="BA520" i="26"/>
  <c r="AZ518" i="26" l="1"/>
  <c r="BF518" i="26" s="1"/>
  <c r="BG518" i="26" s="1"/>
  <c r="BM193" i="26"/>
  <c r="BQ192" i="26" s="1"/>
  <c r="AY519" i="26"/>
  <c r="AX518" i="26" l="1"/>
  <c r="AR518" i="26"/>
  <c r="AV518" i="26" s="1"/>
  <c r="AW518" i="26"/>
  <c r="BP193" i="26"/>
  <c r="BR193" i="26" s="1"/>
  <c r="BI192" i="26"/>
  <c r="BN192" i="26"/>
  <c r="BO192" i="26"/>
  <c r="BW192" i="26"/>
  <c r="BX192" i="26" s="1"/>
  <c r="BA519" i="26"/>
  <c r="AZ517" i="26" l="1"/>
  <c r="BF517" i="26" s="1"/>
  <c r="BG517" i="26" s="1"/>
  <c r="BM192" i="26"/>
  <c r="BQ191" i="26" s="1"/>
  <c r="AY518" i="26"/>
  <c r="AX517" i="26" l="1"/>
  <c r="AR517" i="26"/>
  <c r="AV517" i="26" s="1"/>
  <c r="AW517" i="26"/>
  <c r="BP192" i="26"/>
  <c r="BR192" i="26" s="1"/>
  <c r="BI191" i="26"/>
  <c r="BW191" i="26"/>
  <c r="BX191" i="26" s="1"/>
  <c r="BN191" i="26"/>
  <c r="BO191" i="26"/>
  <c r="BA518" i="26"/>
  <c r="AZ516" i="26" l="1"/>
  <c r="BF516" i="26" s="1"/>
  <c r="BG516" i="26" s="1"/>
  <c r="BM191" i="26"/>
  <c r="BQ190" i="26" s="1"/>
  <c r="AY517" i="26"/>
  <c r="AX516" i="26" l="1"/>
  <c r="AR516" i="26"/>
  <c r="AV516" i="26" s="1"/>
  <c r="AW516" i="26"/>
  <c r="BP191" i="26"/>
  <c r="BR191" i="26" s="1"/>
  <c r="BN190" i="26"/>
  <c r="BI190" i="26"/>
  <c r="BW190" i="26"/>
  <c r="BX190" i="26" s="1"/>
  <c r="BO190" i="26"/>
  <c r="BA517" i="26"/>
  <c r="AZ515" i="26" l="1"/>
  <c r="BF515" i="26" s="1"/>
  <c r="BG515" i="26" s="1"/>
  <c r="BM190" i="26"/>
  <c r="BQ189" i="26" s="1"/>
  <c r="AY516" i="26"/>
  <c r="AX515" i="26" l="1"/>
  <c r="AR515" i="26"/>
  <c r="AV515" i="26" s="1"/>
  <c r="AW515" i="26"/>
  <c r="BP190" i="26"/>
  <c r="BR190" i="26" s="1"/>
  <c r="BW189" i="26"/>
  <c r="BX189" i="26" s="1"/>
  <c r="BI189" i="26"/>
  <c r="BO189" i="26"/>
  <c r="BN189" i="26"/>
  <c r="BA516" i="26"/>
  <c r="AZ514" i="26" l="1"/>
  <c r="BF514" i="26" s="1"/>
  <c r="BG514" i="26" s="1"/>
  <c r="BM189" i="26"/>
  <c r="BQ188" i="26" s="1"/>
  <c r="AY515" i="26"/>
  <c r="AX514" i="26" l="1"/>
  <c r="AR514" i="26"/>
  <c r="AV514" i="26" s="1"/>
  <c r="AW514" i="26"/>
  <c r="BP189" i="26"/>
  <c r="BR189" i="26" s="1"/>
  <c r="BW188" i="26"/>
  <c r="BX188" i="26" s="1"/>
  <c r="BI188" i="26"/>
  <c r="BN188" i="26"/>
  <c r="BO188" i="26"/>
  <c r="BA515" i="26"/>
  <c r="AZ513" i="26" l="1"/>
  <c r="BF513" i="26" s="1"/>
  <c r="BG513" i="26" s="1"/>
  <c r="BM188" i="26"/>
  <c r="BQ187" i="26" s="1"/>
  <c r="AY514" i="26"/>
  <c r="AX513" i="26" l="1"/>
  <c r="AR513" i="26"/>
  <c r="AV513" i="26" s="1"/>
  <c r="AW513" i="26"/>
  <c r="BP188" i="26"/>
  <c r="BR188" i="26" s="1"/>
  <c r="BI187" i="26"/>
  <c r="BO187" i="26"/>
  <c r="BW187" i="26"/>
  <c r="BX187" i="26" s="1"/>
  <c r="BN187" i="26"/>
  <c r="BA514" i="26"/>
  <c r="AZ512" i="26" l="1"/>
  <c r="BF512" i="26" s="1"/>
  <c r="BG512" i="26" s="1"/>
  <c r="BM187" i="26"/>
  <c r="BQ186" i="26" s="1"/>
  <c r="AY513" i="26"/>
  <c r="AX512" i="26" l="1"/>
  <c r="AR512" i="26"/>
  <c r="AV512" i="26" s="1"/>
  <c r="AW512" i="26"/>
  <c r="BP187" i="26"/>
  <c r="BR187" i="26" s="1"/>
  <c r="BN186" i="26"/>
  <c r="BI186" i="26"/>
  <c r="BW186" i="26"/>
  <c r="BX186" i="26" s="1"/>
  <c r="BO186" i="26"/>
  <c r="BA513" i="26"/>
  <c r="AZ511" i="26" l="1"/>
  <c r="BF511" i="26" s="1"/>
  <c r="BG511" i="26" s="1"/>
  <c r="BM186" i="26"/>
  <c r="BQ185" i="26" s="1"/>
  <c r="AY512" i="26"/>
  <c r="AX511" i="26" l="1"/>
  <c r="AR511" i="26"/>
  <c r="AV511" i="26" s="1"/>
  <c r="AW511" i="26"/>
  <c r="BP186" i="26"/>
  <c r="BR186" i="26" s="1"/>
  <c r="BW185" i="26"/>
  <c r="BX185" i="26" s="1"/>
  <c r="BI185" i="26"/>
  <c r="BN185" i="26"/>
  <c r="BO185" i="26"/>
  <c r="BA512" i="26"/>
  <c r="AZ510" i="26" l="1"/>
  <c r="BF510" i="26" s="1"/>
  <c r="BG510" i="26" s="1"/>
  <c r="BM185" i="26"/>
  <c r="BQ184" i="26" s="1"/>
  <c r="AY511" i="26"/>
  <c r="AX510" i="26" l="1"/>
  <c r="AR510" i="26"/>
  <c r="AV510" i="26" s="1"/>
  <c r="AW510" i="26"/>
  <c r="BP185" i="26"/>
  <c r="BR185" i="26" s="1"/>
  <c r="BI184" i="26"/>
  <c r="BN184" i="26"/>
  <c r="BW184" i="26"/>
  <c r="BX184" i="26" s="1"/>
  <c r="F17" i="47" s="1"/>
  <c r="BO184" i="26"/>
  <c r="BA511" i="26"/>
  <c r="AZ509" i="26" l="1"/>
  <c r="BF509" i="26" s="1"/>
  <c r="BG509" i="26" s="1"/>
  <c r="BM184" i="26"/>
  <c r="BQ183" i="26" s="1"/>
  <c r="AY510" i="26"/>
  <c r="AX509" i="26" l="1"/>
  <c r="AR509" i="26"/>
  <c r="AV509" i="26" s="1"/>
  <c r="AW509" i="26"/>
  <c r="BP184" i="26"/>
  <c r="BR184" i="26" s="1"/>
  <c r="BN183" i="26"/>
  <c r="BI183" i="26"/>
  <c r="BW183" i="26"/>
  <c r="BX183" i="26" s="1"/>
  <c r="BO183" i="26"/>
  <c r="BA510" i="26"/>
  <c r="AZ508" i="26" l="1"/>
  <c r="BF508" i="26" s="1"/>
  <c r="BG508" i="26" s="1"/>
  <c r="BM183" i="26"/>
  <c r="BQ182" i="26" s="1"/>
  <c r="AY509" i="26"/>
  <c r="AX508" i="26" l="1"/>
  <c r="AR508" i="26"/>
  <c r="AV508" i="26" s="1"/>
  <c r="AW508" i="26"/>
  <c r="BP183" i="26"/>
  <c r="BR183" i="26" s="1"/>
  <c r="BW182" i="26"/>
  <c r="BX182" i="26" s="1"/>
  <c r="BI182" i="26"/>
  <c r="BO182" i="26"/>
  <c r="BN182" i="26"/>
  <c r="BA509" i="26"/>
  <c r="AZ507" i="26" l="1"/>
  <c r="BF507" i="26" s="1"/>
  <c r="BG507" i="26" s="1"/>
  <c r="BM182" i="26"/>
  <c r="BQ181" i="26" s="1"/>
  <c r="AY508" i="26"/>
  <c r="AX507" i="26" l="1"/>
  <c r="AR507" i="26"/>
  <c r="AV507" i="26" s="1"/>
  <c r="AW507" i="26"/>
  <c r="BP182" i="26"/>
  <c r="BR182" i="26" s="1"/>
  <c r="BI181" i="26"/>
  <c r="BN181" i="26"/>
  <c r="BO181" i="26"/>
  <c r="BW181" i="26"/>
  <c r="BX181" i="26" s="1"/>
  <c r="BA508" i="26"/>
  <c r="AZ506" i="26" l="1"/>
  <c r="BF506" i="26" s="1"/>
  <c r="BG506" i="26" s="1"/>
  <c r="BM181" i="26"/>
  <c r="BQ180" i="26" s="1"/>
  <c r="AY507" i="26"/>
  <c r="AX506" i="26" l="1"/>
  <c r="AR506" i="26"/>
  <c r="AV506" i="26" s="1"/>
  <c r="AW506" i="26"/>
  <c r="BP181" i="26"/>
  <c r="BR181" i="26" s="1"/>
  <c r="BI180" i="26"/>
  <c r="BO180" i="26"/>
  <c r="BW180" i="26"/>
  <c r="BX180" i="26" s="1"/>
  <c r="BN180" i="26"/>
  <c r="BA507" i="26"/>
  <c r="AZ505" i="26" l="1"/>
  <c r="BF505" i="26" s="1"/>
  <c r="BG505" i="26" s="1"/>
  <c r="BM180" i="26"/>
  <c r="BQ179" i="26" s="1"/>
  <c r="AY506" i="26"/>
  <c r="AX505" i="26" l="1"/>
  <c r="AR505" i="26"/>
  <c r="AV505" i="26" s="1"/>
  <c r="AW505" i="26"/>
  <c r="BP180" i="26"/>
  <c r="BR180" i="26" s="1"/>
  <c r="BI179" i="26"/>
  <c r="BN179" i="26"/>
  <c r="BW179" i="26"/>
  <c r="BX179" i="26" s="1"/>
  <c r="BO179" i="26"/>
  <c r="BA506" i="26"/>
  <c r="AZ504" i="26" l="1"/>
  <c r="BF504" i="26" s="1"/>
  <c r="BG504" i="26" s="1"/>
  <c r="BM179" i="26"/>
  <c r="BQ178" i="26" s="1"/>
  <c r="AY505" i="26"/>
  <c r="AX504" i="26" l="1"/>
  <c r="AR504" i="26"/>
  <c r="AV504" i="26" s="1"/>
  <c r="AW504" i="26"/>
  <c r="BP179" i="26"/>
  <c r="BR179" i="26" s="1"/>
  <c r="BW178" i="26"/>
  <c r="BX178" i="26" s="1"/>
  <c r="BN178" i="26"/>
  <c r="BI178" i="26"/>
  <c r="BO178" i="26"/>
  <c r="BA505" i="26"/>
  <c r="AZ503" i="26" l="1"/>
  <c r="BF503" i="26" s="1"/>
  <c r="BG503" i="26" s="1"/>
  <c r="BM178" i="26"/>
  <c r="BQ177" i="26" s="1"/>
  <c r="AY504" i="26"/>
  <c r="AX503" i="26" l="1"/>
  <c r="AR503" i="26"/>
  <c r="AV503" i="26" s="1"/>
  <c r="AW503" i="26"/>
  <c r="BP178" i="26"/>
  <c r="BR178" i="26" s="1"/>
  <c r="BI177" i="26"/>
  <c r="BO177" i="26"/>
  <c r="BN177" i="26"/>
  <c r="BW177" i="26"/>
  <c r="BX177" i="26" s="1"/>
  <c r="BA504" i="26"/>
  <c r="AZ502" i="26" l="1"/>
  <c r="BF502" i="26" s="1"/>
  <c r="BG502" i="26" s="1"/>
  <c r="BM177" i="26"/>
  <c r="BQ176" i="26" s="1"/>
  <c r="AY503" i="26"/>
  <c r="AR502" i="26" l="1"/>
  <c r="AV502" i="26" s="1"/>
  <c r="AX502" i="26"/>
  <c r="AW502" i="26"/>
  <c r="BP177" i="26"/>
  <c r="BR177" i="26" s="1"/>
  <c r="BN176" i="26"/>
  <c r="BW176" i="26"/>
  <c r="BX176" i="26" s="1"/>
  <c r="BI176" i="26"/>
  <c r="BO176" i="26"/>
  <c r="BA503" i="26"/>
  <c r="AZ501" i="26" l="1"/>
  <c r="BF501" i="26" s="1"/>
  <c r="BG501" i="26" s="1"/>
  <c r="BM176" i="26"/>
  <c r="BQ175" i="26" s="1"/>
  <c r="AY502" i="26"/>
  <c r="BP176" i="26" l="1"/>
  <c r="BR176" i="26" s="1"/>
  <c r="AR501" i="26"/>
  <c r="AV501" i="26" s="1"/>
  <c r="AW501" i="26"/>
  <c r="AX501" i="26"/>
  <c r="BO175" i="26"/>
  <c r="BI175" i="26"/>
  <c r="BN175" i="26"/>
  <c r="BW175" i="26"/>
  <c r="BX175" i="26" s="1"/>
  <c r="BA502" i="26"/>
  <c r="AZ500" i="26" l="1"/>
  <c r="BF500" i="26" s="1"/>
  <c r="BG500" i="26" s="1"/>
  <c r="BM175" i="26"/>
  <c r="BQ174" i="26" s="1"/>
  <c r="AY501" i="26"/>
  <c r="AX500" i="26" l="1"/>
  <c r="AR500" i="26"/>
  <c r="AV500" i="26" s="1"/>
  <c r="AW500" i="26"/>
  <c r="BP175" i="26"/>
  <c r="BR175" i="26" s="1"/>
  <c r="BW174" i="26"/>
  <c r="BX174" i="26" s="1"/>
  <c r="BN174" i="26"/>
  <c r="BI174" i="26"/>
  <c r="BO174" i="26"/>
  <c r="BA501" i="26"/>
  <c r="AZ499" i="26" l="1"/>
  <c r="BF499" i="26" s="1"/>
  <c r="BG499" i="26" s="1"/>
  <c r="BM174" i="26"/>
  <c r="BQ173" i="26" s="1"/>
  <c r="AY500" i="26"/>
  <c r="AX499" i="26" l="1"/>
  <c r="AR499" i="26"/>
  <c r="AV499" i="26" s="1"/>
  <c r="AW499" i="26"/>
  <c r="BP174" i="26"/>
  <c r="BR174" i="26" s="1"/>
  <c r="BI173" i="26"/>
  <c r="BN173" i="26"/>
  <c r="BW173" i="26"/>
  <c r="BX173" i="26" s="1"/>
  <c r="BO173" i="26"/>
  <c r="BA500" i="26"/>
  <c r="AZ498" i="26" l="1"/>
  <c r="BF498" i="26" s="1"/>
  <c r="BG498" i="26" s="1"/>
  <c r="BM173" i="26"/>
  <c r="BQ172" i="26" s="1"/>
  <c r="AY499" i="26"/>
  <c r="AX498" i="26" l="1"/>
  <c r="AR498" i="26"/>
  <c r="AV498" i="26" s="1"/>
  <c r="AW498" i="26"/>
  <c r="BP173" i="26"/>
  <c r="BR173" i="26" s="1"/>
  <c r="BN172" i="26"/>
  <c r="BW172" i="26"/>
  <c r="BX172" i="26" s="1"/>
  <c r="F16" i="47" s="1"/>
  <c r="BI172" i="26"/>
  <c r="BO172" i="26"/>
  <c r="BA499" i="26"/>
  <c r="AZ497" i="26" l="1"/>
  <c r="BF497" i="26" s="1"/>
  <c r="BG497" i="26" s="1"/>
  <c r="BM172" i="26"/>
  <c r="BQ171" i="26" s="1"/>
  <c r="AY498" i="26"/>
  <c r="AX497" i="26" l="1"/>
  <c r="AR497" i="26"/>
  <c r="AV497" i="26" s="1"/>
  <c r="AW497" i="26"/>
  <c r="BP172" i="26"/>
  <c r="BR172" i="26" s="1"/>
  <c r="BO171" i="26"/>
  <c r="BW171" i="26"/>
  <c r="BX171" i="26" s="1"/>
  <c r="BN171" i="26"/>
  <c r="BI171" i="26"/>
  <c r="BA498" i="26"/>
  <c r="AZ496" i="26" l="1"/>
  <c r="BF496" i="26" s="1"/>
  <c r="BG496" i="26" s="1"/>
  <c r="BM171" i="26"/>
  <c r="BQ170" i="26" s="1"/>
  <c r="AY497" i="26"/>
  <c r="BP171" i="26" l="1"/>
  <c r="BR171" i="26" s="1"/>
  <c r="AR496" i="26"/>
  <c r="AV496" i="26" s="1"/>
  <c r="AW496" i="26"/>
  <c r="AX496" i="26"/>
  <c r="BW170" i="26"/>
  <c r="BX170" i="26" s="1"/>
  <c r="BI170" i="26"/>
  <c r="BN170" i="26"/>
  <c r="BO170" i="26"/>
  <c r="BA497" i="26"/>
  <c r="AZ495" i="26" l="1"/>
  <c r="BF495" i="26" s="1"/>
  <c r="BG495" i="26" s="1"/>
  <c r="BM170" i="26"/>
  <c r="BQ169" i="26" s="1"/>
  <c r="AY496" i="26"/>
  <c r="AX495" i="26" l="1"/>
  <c r="AR495" i="26"/>
  <c r="AV495" i="26" s="1"/>
  <c r="AW495" i="26"/>
  <c r="BP170" i="26"/>
  <c r="BR170" i="26" s="1"/>
  <c r="BN169" i="26"/>
  <c r="BI169" i="26"/>
  <c r="BW169" i="26"/>
  <c r="BX169" i="26" s="1"/>
  <c r="BO169" i="26"/>
  <c r="BA496" i="26"/>
  <c r="AZ494" i="26" l="1"/>
  <c r="BF494" i="26" s="1"/>
  <c r="BG494" i="26" s="1"/>
  <c r="BM169" i="26"/>
  <c r="BQ168" i="26" s="1"/>
  <c r="AY495" i="26"/>
  <c r="BP169" i="26" l="1"/>
  <c r="BR169" i="26" s="1"/>
  <c r="AR494" i="26"/>
  <c r="AV494" i="26" s="1"/>
  <c r="AW494" i="26"/>
  <c r="AX494" i="26"/>
  <c r="BW168" i="26"/>
  <c r="BX168" i="26" s="1"/>
  <c r="BO168" i="26"/>
  <c r="BI168" i="26"/>
  <c r="BN168" i="26"/>
  <c r="BA495" i="26"/>
  <c r="AZ493" i="26" l="1"/>
  <c r="BF493" i="26" s="1"/>
  <c r="BG493" i="26" s="1"/>
  <c r="BM168" i="26"/>
  <c r="BQ167" i="26" s="1"/>
  <c r="AY494" i="26"/>
  <c r="AX493" i="26" l="1"/>
  <c r="AR493" i="26"/>
  <c r="AV493" i="26" s="1"/>
  <c r="AW493" i="26"/>
  <c r="BP168" i="26"/>
  <c r="BR168" i="26" s="1"/>
  <c r="BI167" i="26"/>
  <c r="BN167" i="26"/>
  <c r="BW167" i="26"/>
  <c r="BX167" i="26" s="1"/>
  <c r="BO167" i="26"/>
  <c r="BA494" i="26"/>
  <c r="AZ492" i="26" l="1"/>
  <c r="BF492" i="26" s="1"/>
  <c r="BG492" i="26" s="1"/>
  <c r="BM167" i="26"/>
  <c r="BQ166" i="26" s="1"/>
  <c r="AY493" i="26"/>
  <c r="BP167" i="26" l="1"/>
  <c r="BR167" i="26" s="1"/>
  <c r="AR492" i="26"/>
  <c r="AV492" i="26" s="1"/>
  <c r="AW492" i="26"/>
  <c r="AX492" i="26"/>
  <c r="BN166" i="26"/>
  <c r="BI166" i="26"/>
  <c r="BW166" i="26"/>
  <c r="BX166" i="26" s="1"/>
  <c r="BO166" i="26"/>
  <c r="BA493" i="26"/>
  <c r="AZ491" i="26" l="1"/>
  <c r="BF491" i="26" s="1"/>
  <c r="BG491" i="26" s="1"/>
  <c r="BM166" i="26"/>
  <c r="BQ165" i="26" s="1"/>
  <c r="AY492" i="26"/>
  <c r="BP166" i="26" l="1"/>
  <c r="BR166" i="26" s="1"/>
  <c r="AR491" i="26"/>
  <c r="AV491" i="26" s="1"/>
  <c r="AW491" i="26"/>
  <c r="AX491" i="26"/>
  <c r="BI165" i="26"/>
  <c r="BN165" i="26"/>
  <c r="BW165" i="26"/>
  <c r="BX165" i="26" s="1"/>
  <c r="BO165" i="26"/>
  <c r="BA492" i="26"/>
  <c r="AZ490" i="26" l="1"/>
  <c r="BF490" i="26" s="1"/>
  <c r="BG490" i="26" s="1"/>
  <c r="BM165" i="26"/>
  <c r="BQ164" i="26" s="1"/>
  <c r="AY491" i="26"/>
  <c r="BP165" i="26" l="1"/>
  <c r="BR165" i="26" s="1"/>
  <c r="AR490" i="26"/>
  <c r="AV490" i="26" s="1"/>
  <c r="AW490" i="26"/>
  <c r="AX490" i="26"/>
  <c r="BW164" i="26"/>
  <c r="BX164" i="26" s="1"/>
  <c r="BO164" i="26"/>
  <c r="BI164" i="26"/>
  <c r="BN164" i="26"/>
  <c r="BA491" i="26"/>
  <c r="AZ489" i="26" l="1"/>
  <c r="BF489" i="26" s="1"/>
  <c r="BG489" i="26" s="1"/>
  <c r="BM164" i="26"/>
  <c r="BQ163" i="26" s="1"/>
  <c r="AY490" i="26"/>
  <c r="BP164" i="26" l="1"/>
  <c r="BR164" i="26" s="1"/>
  <c r="AR489" i="26"/>
  <c r="AV489" i="26" s="1"/>
  <c r="AW489" i="26"/>
  <c r="AX489" i="26"/>
  <c r="BI163" i="26"/>
  <c r="BW163" i="26"/>
  <c r="BX163" i="26" s="1"/>
  <c r="BN163" i="26"/>
  <c r="BO163" i="26"/>
  <c r="BA490" i="26"/>
  <c r="AZ488" i="26" l="1"/>
  <c r="BF488" i="26" s="1"/>
  <c r="BG488" i="26" s="1"/>
  <c r="BM163" i="26"/>
  <c r="BQ162" i="26" s="1"/>
  <c r="AY489" i="26"/>
  <c r="BP163" i="26" l="1"/>
  <c r="BR163" i="26" s="1"/>
  <c r="AR488" i="26"/>
  <c r="AV488" i="26" s="1"/>
  <c r="AW488" i="26"/>
  <c r="AX488" i="26"/>
  <c r="BN162" i="26"/>
  <c r="BO162" i="26"/>
  <c r="BI162" i="26"/>
  <c r="BW162" i="26"/>
  <c r="BX162" i="26" s="1"/>
  <c r="BA489" i="26"/>
  <c r="AZ487" i="26" l="1"/>
  <c r="BF487" i="26" s="1"/>
  <c r="BG487" i="26" s="1"/>
  <c r="BM162" i="26"/>
  <c r="BQ161" i="26" s="1"/>
  <c r="AY488" i="26"/>
  <c r="BP162" i="26" l="1"/>
  <c r="BR162" i="26" s="1"/>
  <c r="AR487" i="26"/>
  <c r="AV487" i="26" s="1"/>
  <c r="AW487" i="26"/>
  <c r="AX487" i="26"/>
  <c r="BW161" i="26"/>
  <c r="BX161" i="26" s="1"/>
  <c r="BN161" i="26"/>
  <c r="BI161" i="26"/>
  <c r="BO161" i="26"/>
  <c r="BA488" i="26"/>
  <c r="AZ486" i="26" l="1"/>
  <c r="BF486" i="26" s="1"/>
  <c r="BG486" i="26" s="1"/>
  <c r="BM161" i="26"/>
  <c r="BQ160" i="26" s="1"/>
  <c r="AY487" i="26"/>
  <c r="AX486" i="26" l="1"/>
  <c r="AR486" i="26"/>
  <c r="AV486" i="26" s="1"/>
  <c r="AW486" i="26"/>
  <c r="BP161" i="26"/>
  <c r="BR161" i="26" s="1"/>
  <c r="BI160" i="26"/>
  <c r="BN160" i="26"/>
  <c r="BO160" i="26"/>
  <c r="BW160" i="26"/>
  <c r="BX160" i="26" s="1"/>
  <c r="F15" i="47" s="1"/>
  <c r="BA487" i="26"/>
  <c r="AZ485" i="26" l="1"/>
  <c r="BF485" i="26" s="1"/>
  <c r="BG485" i="26" s="1"/>
  <c r="BM160" i="26"/>
  <c r="BQ159" i="26" s="1"/>
  <c r="AY486" i="26"/>
  <c r="AX485" i="26" l="1"/>
  <c r="AR485" i="26"/>
  <c r="AV485" i="26" s="1"/>
  <c r="AW485" i="26"/>
  <c r="BP160" i="26"/>
  <c r="BR160" i="26" s="1"/>
  <c r="BO159" i="26"/>
  <c r="BW159" i="26"/>
  <c r="BX159" i="26" s="1"/>
  <c r="BN159" i="26"/>
  <c r="BI159" i="26"/>
  <c r="BA486" i="26"/>
  <c r="AZ484" i="26" l="1"/>
  <c r="BF484" i="26" s="1"/>
  <c r="BG484" i="26" s="1"/>
  <c r="BM159" i="26"/>
  <c r="BQ158" i="26" s="1"/>
  <c r="AY485" i="26"/>
  <c r="AX484" i="26" l="1"/>
  <c r="AR484" i="26"/>
  <c r="AV484" i="26" s="1"/>
  <c r="AW484" i="26"/>
  <c r="BP159" i="26"/>
  <c r="BR159" i="26" s="1"/>
  <c r="BW158" i="26"/>
  <c r="BX158" i="26" s="1"/>
  <c r="BI158" i="26"/>
  <c r="BO158" i="26"/>
  <c r="BN158" i="26"/>
  <c r="BA485" i="26"/>
  <c r="AZ483" i="26" l="1"/>
  <c r="BF483" i="26" s="1"/>
  <c r="BG483" i="26" s="1"/>
  <c r="BM158" i="26"/>
  <c r="BQ157" i="26" s="1"/>
  <c r="AY484" i="26"/>
  <c r="AX483" i="26" l="1"/>
  <c r="AR483" i="26"/>
  <c r="AV483" i="26" s="1"/>
  <c r="AW483" i="26"/>
  <c r="BP158" i="26"/>
  <c r="BR158" i="26" s="1"/>
  <c r="BI157" i="26"/>
  <c r="BN157" i="26"/>
  <c r="BW157" i="26"/>
  <c r="BX157" i="26" s="1"/>
  <c r="BO157" i="26"/>
  <c r="BA484" i="26"/>
  <c r="AZ482" i="26" l="1"/>
  <c r="BF482" i="26" s="1"/>
  <c r="BG482" i="26" s="1"/>
  <c r="BM157" i="26"/>
  <c r="BQ156" i="26" s="1"/>
  <c r="AY483" i="26"/>
  <c r="AX482" i="26" l="1"/>
  <c r="AR482" i="26"/>
  <c r="AV482" i="26" s="1"/>
  <c r="AW482" i="26"/>
  <c r="BP157" i="26"/>
  <c r="BR157" i="26" s="1"/>
  <c r="BW156" i="26"/>
  <c r="BX156" i="26" s="1"/>
  <c r="BI156" i="26"/>
  <c r="BN156" i="26"/>
  <c r="BO156" i="26"/>
  <c r="BA483" i="26"/>
  <c r="AZ481" i="26" l="1"/>
  <c r="BF481" i="26" s="1"/>
  <c r="BG481" i="26" s="1"/>
  <c r="BM156" i="26"/>
  <c r="BQ155" i="26" s="1"/>
  <c r="AY482" i="26"/>
  <c r="AX481" i="26" l="1"/>
  <c r="AR481" i="26"/>
  <c r="AV481" i="26" s="1"/>
  <c r="AW481" i="26"/>
  <c r="BP156" i="26"/>
  <c r="BR156" i="26" s="1"/>
  <c r="BN155" i="26"/>
  <c r="BO155" i="26"/>
  <c r="BW155" i="26"/>
  <c r="BX155" i="26" s="1"/>
  <c r="BI155" i="26"/>
  <c r="BA482" i="26"/>
  <c r="AZ480" i="26" l="1"/>
  <c r="BF480" i="26" s="1"/>
  <c r="BG480" i="26" s="1"/>
  <c r="BM155" i="26"/>
  <c r="BQ154" i="26" s="1"/>
  <c r="AY481" i="26"/>
  <c r="AX480" i="26" l="1"/>
  <c r="AR480" i="26"/>
  <c r="AV480" i="26" s="1"/>
  <c r="AW480" i="26"/>
  <c r="BP155" i="26"/>
  <c r="BR155" i="26" s="1"/>
  <c r="BN154" i="26"/>
  <c r="BI154" i="26"/>
  <c r="BO154" i="26"/>
  <c r="BW154" i="26"/>
  <c r="BX154" i="26" s="1"/>
  <c r="BA481" i="26"/>
  <c r="AZ479" i="26" l="1"/>
  <c r="BF479" i="26" s="1"/>
  <c r="BG479" i="26" s="1"/>
  <c r="BM154" i="26"/>
  <c r="BQ153" i="26" s="1"/>
  <c r="AY480" i="26"/>
  <c r="AX479" i="26" l="1"/>
  <c r="AR479" i="26"/>
  <c r="AV479" i="26" s="1"/>
  <c r="AW479" i="26"/>
  <c r="BP154" i="26"/>
  <c r="BR154" i="26" s="1"/>
  <c r="BN153" i="26"/>
  <c r="BI153" i="26"/>
  <c r="BO153" i="26"/>
  <c r="BW153" i="26"/>
  <c r="BX153" i="26" s="1"/>
  <c r="BA480" i="26"/>
  <c r="AZ478" i="26" l="1"/>
  <c r="BF478" i="26" s="1"/>
  <c r="BG478" i="26" s="1"/>
  <c r="BM153" i="26"/>
  <c r="BQ152" i="26" s="1"/>
  <c r="AY479" i="26"/>
  <c r="AX478" i="26" l="1"/>
  <c r="AR478" i="26"/>
  <c r="AV478" i="26" s="1"/>
  <c r="AW478" i="26"/>
  <c r="BP153" i="26"/>
  <c r="BR153" i="26" s="1"/>
  <c r="BO152" i="26"/>
  <c r="BI152" i="26"/>
  <c r="BW152" i="26"/>
  <c r="BX152" i="26" s="1"/>
  <c r="BN152" i="26"/>
  <c r="BA479" i="26"/>
  <c r="AZ477" i="26" l="1"/>
  <c r="BF477" i="26" s="1"/>
  <c r="BG477" i="26" s="1"/>
  <c r="BM152" i="26"/>
  <c r="BQ151" i="26" s="1"/>
  <c r="AY478" i="26"/>
  <c r="AX477" i="26" l="1"/>
  <c r="AR477" i="26"/>
  <c r="AV477" i="26" s="1"/>
  <c r="AW477" i="26"/>
  <c r="BP152" i="26"/>
  <c r="BR152" i="26" s="1"/>
  <c r="BW151" i="26"/>
  <c r="BX151" i="26" s="1"/>
  <c r="BI151" i="26"/>
  <c r="BN151" i="26"/>
  <c r="BO151" i="26"/>
  <c r="BA478" i="26"/>
  <c r="AZ476" i="26" l="1"/>
  <c r="BF476" i="26" s="1"/>
  <c r="BG476" i="26" s="1"/>
  <c r="BM151" i="26"/>
  <c r="BQ150" i="26" s="1"/>
  <c r="AY477" i="26"/>
  <c r="AX476" i="26" l="1"/>
  <c r="AR476" i="26"/>
  <c r="AV476" i="26" s="1"/>
  <c r="AW476" i="26"/>
  <c r="BP151" i="26"/>
  <c r="BR151" i="26" s="1"/>
  <c r="BI150" i="26"/>
  <c r="BW150" i="26"/>
  <c r="BX150" i="26" s="1"/>
  <c r="BO150" i="26"/>
  <c r="BN150" i="26"/>
  <c r="BA477" i="26"/>
  <c r="AZ475" i="26" l="1"/>
  <c r="BF475" i="26" s="1"/>
  <c r="BG475" i="26" s="1"/>
  <c r="BM150" i="26"/>
  <c r="BQ149" i="26" s="1"/>
  <c r="AY476" i="26"/>
  <c r="AX475" i="26" l="1"/>
  <c r="AR475" i="26"/>
  <c r="AV475" i="26" s="1"/>
  <c r="AW475" i="26"/>
  <c r="BP150" i="26"/>
  <c r="BR150" i="26" s="1"/>
  <c r="BN149" i="26"/>
  <c r="BW149" i="26"/>
  <c r="BX149" i="26" s="1"/>
  <c r="BO149" i="26"/>
  <c r="BI149" i="26"/>
  <c r="BA476" i="26"/>
  <c r="AZ474" i="26" l="1"/>
  <c r="BF474" i="26" s="1"/>
  <c r="BG474" i="26" s="1"/>
  <c r="BM149" i="26"/>
  <c r="BQ148" i="26" s="1"/>
  <c r="AY475" i="26"/>
  <c r="AX474" i="26" l="1"/>
  <c r="AR474" i="26"/>
  <c r="AV474" i="26" s="1"/>
  <c r="AW474" i="26"/>
  <c r="BP149" i="26"/>
  <c r="BR149" i="26" s="1"/>
  <c r="BO148" i="26"/>
  <c r="BI148" i="26"/>
  <c r="BN148" i="26"/>
  <c r="BW148" i="26"/>
  <c r="BX148" i="26" s="1"/>
  <c r="F14" i="47" s="1"/>
  <c r="BA475" i="26"/>
  <c r="AZ473" i="26" l="1"/>
  <c r="BF473" i="26" s="1"/>
  <c r="BG473" i="26" s="1"/>
  <c r="BM148" i="26"/>
  <c r="BQ147" i="26" s="1"/>
  <c r="AY474" i="26"/>
  <c r="AX473" i="26" l="1"/>
  <c r="AR473" i="26"/>
  <c r="AV473" i="26" s="1"/>
  <c r="AW473" i="26"/>
  <c r="BP148" i="26"/>
  <c r="BR148" i="26" s="1"/>
  <c r="BO147" i="26"/>
  <c r="BN147" i="26"/>
  <c r="BI147" i="26"/>
  <c r="BW147" i="26"/>
  <c r="BX147" i="26" s="1"/>
  <c r="BA474" i="26"/>
  <c r="AZ472" i="26" l="1"/>
  <c r="BF472" i="26" s="1"/>
  <c r="BG472" i="26" s="1"/>
  <c r="BM147" i="26"/>
  <c r="BQ146" i="26" s="1"/>
  <c r="AY473" i="26"/>
  <c r="AX472" i="26" l="1"/>
  <c r="AR472" i="26"/>
  <c r="AV472" i="26" s="1"/>
  <c r="AW472" i="26"/>
  <c r="BP147" i="26"/>
  <c r="BR147" i="26" s="1"/>
  <c r="BI146" i="26"/>
  <c r="BO146" i="26"/>
  <c r="BN146" i="26"/>
  <c r="BW146" i="26"/>
  <c r="BX146" i="26" s="1"/>
  <c r="BA473" i="26"/>
  <c r="AZ471" i="26" l="1"/>
  <c r="BF471" i="26" s="1"/>
  <c r="BG471" i="26" s="1"/>
  <c r="BM146" i="26"/>
  <c r="BQ145" i="26" s="1"/>
  <c r="AY472" i="26"/>
  <c r="AX471" i="26" l="1"/>
  <c r="AR471" i="26"/>
  <c r="AV471" i="26" s="1"/>
  <c r="AW471" i="26"/>
  <c r="BP146" i="26"/>
  <c r="BR146" i="26" s="1"/>
  <c r="BW145" i="26"/>
  <c r="BX145" i="26" s="1"/>
  <c r="BO145" i="26"/>
  <c r="BN145" i="26"/>
  <c r="BI145" i="26"/>
  <c r="BA472" i="26"/>
  <c r="AZ470" i="26" l="1"/>
  <c r="BF470" i="26" s="1"/>
  <c r="BG470" i="26" s="1"/>
  <c r="BM145" i="26"/>
  <c r="BQ144" i="26" s="1"/>
  <c r="AY471" i="26"/>
  <c r="AX470" i="26" l="1"/>
  <c r="AR470" i="26"/>
  <c r="AV470" i="26" s="1"/>
  <c r="AW470" i="26"/>
  <c r="BP145" i="26"/>
  <c r="BR145" i="26" s="1"/>
  <c r="BI144" i="26"/>
  <c r="BN144" i="26"/>
  <c r="BW144" i="26"/>
  <c r="BX144" i="26" s="1"/>
  <c r="BO144" i="26"/>
  <c r="BA471" i="26"/>
  <c r="AZ469" i="26" l="1"/>
  <c r="BF469" i="26" s="1"/>
  <c r="BG469" i="26" s="1"/>
  <c r="BM144" i="26"/>
  <c r="BQ143" i="26" s="1"/>
  <c r="AY470" i="26"/>
  <c r="AX469" i="26" l="1"/>
  <c r="AR469" i="26"/>
  <c r="AV469" i="26" s="1"/>
  <c r="AW469" i="26"/>
  <c r="BP144" i="26"/>
  <c r="BR144" i="26" s="1"/>
  <c r="BI143" i="26"/>
  <c r="BW143" i="26"/>
  <c r="BX143" i="26" s="1"/>
  <c r="BO143" i="26"/>
  <c r="BN143" i="26"/>
  <c r="BA470" i="26"/>
  <c r="AZ468" i="26" l="1"/>
  <c r="BF468" i="26" s="1"/>
  <c r="BG468" i="26" s="1"/>
  <c r="BM143" i="26"/>
  <c r="BQ142" i="26" s="1"/>
  <c r="AY469" i="26"/>
  <c r="AX468" i="26" l="1"/>
  <c r="AR468" i="26"/>
  <c r="AV468" i="26" s="1"/>
  <c r="AW468" i="26"/>
  <c r="BP143" i="26"/>
  <c r="BR143" i="26" s="1"/>
  <c r="BN142" i="26"/>
  <c r="BO142" i="26"/>
  <c r="BW142" i="26"/>
  <c r="BX142" i="26" s="1"/>
  <c r="BI142" i="26"/>
  <c r="BA469" i="26"/>
  <c r="AZ467" i="26" l="1"/>
  <c r="BF467" i="26" s="1"/>
  <c r="BG467" i="26" s="1"/>
  <c r="BM142" i="26"/>
  <c r="BQ141" i="26" s="1"/>
  <c r="AY468" i="26"/>
  <c r="AX467" i="26" l="1"/>
  <c r="AR467" i="26"/>
  <c r="AV467" i="26" s="1"/>
  <c r="AW467" i="26"/>
  <c r="BP142" i="26"/>
  <c r="BR142" i="26" s="1"/>
  <c r="BN141" i="26"/>
  <c r="BO141" i="26"/>
  <c r="BW141" i="26"/>
  <c r="BX141" i="26" s="1"/>
  <c r="BI141" i="26"/>
  <c r="BA468" i="26"/>
  <c r="AZ466" i="26" l="1"/>
  <c r="BF466" i="26" s="1"/>
  <c r="BG466" i="26" s="1"/>
  <c r="BM141" i="26"/>
  <c r="BQ140" i="26" s="1"/>
  <c r="AY467" i="26"/>
  <c r="AX466" i="26" l="1"/>
  <c r="AR466" i="26"/>
  <c r="AV466" i="26" s="1"/>
  <c r="AW466" i="26"/>
  <c r="BP141" i="26"/>
  <c r="BR141" i="26" s="1"/>
  <c r="BO140" i="26"/>
  <c r="BI140" i="26"/>
  <c r="BN140" i="26"/>
  <c r="BW140" i="26"/>
  <c r="BX140" i="26" s="1"/>
  <c r="BA467" i="26"/>
  <c r="AZ465" i="26" l="1"/>
  <c r="BF465" i="26" s="1"/>
  <c r="BG465" i="26" s="1"/>
  <c r="BM140" i="26"/>
  <c r="BQ139" i="26" s="1"/>
  <c r="AY466" i="26"/>
  <c r="AX465" i="26" l="1"/>
  <c r="AR465" i="26"/>
  <c r="AV465" i="26" s="1"/>
  <c r="AW465" i="26"/>
  <c r="BP140" i="26"/>
  <c r="BR140" i="26" s="1"/>
  <c r="BO139" i="26"/>
  <c r="BN139" i="26"/>
  <c r="BW139" i="26"/>
  <c r="BX139" i="26" s="1"/>
  <c r="BI139" i="26"/>
  <c r="BA466" i="26"/>
  <c r="AZ464" i="26" l="1"/>
  <c r="BF464" i="26" s="1"/>
  <c r="BG464" i="26" s="1"/>
  <c r="BM139" i="26"/>
  <c r="BQ138" i="26" s="1"/>
  <c r="AY465" i="26"/>
  <c r="BP139" i="26" l="1"/>
  <c r="BR139" i="26" s="1"/>
  <c r="AR464" i="26"/>
  <c r="AV464" i="26" s="1"/>
  <c r="AW464" i="26"/>
  <c r="AX464" i="26"/>
  <c r="BW138" i="26"/>
  <c r="BX138" i="26" s="1"/>
  <c r="BI138" i="26"/>
  <c r="BN138" i="26"/>
  <c r="BO138" i="26"/>
  <c r="BA465" i="26"/>
  <c r="AZ463" i="26" l="1"/>
  <c r="BF463" i="26" s="1"/>
  <c r="BG463" i="26" s="1"/>
  <c r="BM138" i="26"/>
  <c r="BQ137" i="26" s="1"/>
  <c r="AY464" i="26"/>
  <c r="AX463" i="26" l="1"/>
  <c r="AR463" i="26"/>
  <c r="AV463" i="26" s="1"/>
  <c r="AW463" i="26"/>
  <c r="BP138" i="26"/>
  <c r="BR138" i="26" s="1"/>
  <c r="BI137" i="26"/>
  <c r="BW137" i="26"/>
  <c r="BX137" i="26" s="1"/>
  <c r="BN137" i="26"/>
  <c r="BO137" i="26"/>
  <c r="BA464" i="26"/>
  <c r="AZ462" i="26" l="1"/>
  <c r="BF462" i="26" s="1"/>
  <c r="BG462" i="26" s="1"/>
  <c r="BM137" i="26"/>
  <c r="BQ136" i="26" s="1"/>
  <c r="AY463" i="26"/>
  <c r="AX462" i="26" l="1"/>
  <c r="AR462" i="26"/>
  <c r="AV462" i="26" s="1"/>
  <c r="AW462" i="26"/>
  <c r="BP137" i="26"/>
  <c r="BR137" i="26" s="1"/>
  <c r="BO136" i="26"/>
  <c r="BW136" i="26"/>
  <c r="BX136" i="26" s="1"/>
  <c r="F13" i="47" s="1"/>
  <c r="BN136" i="26"/>
  <c r="BI136" i="26"/>
  <c r="BA463" i="26"/>
  <c r="AZ461" i="26" l="1"/>
  <c r="BF461" i="26" s="1"/>
  <c r="BG461" i="26" s="1"/>
  <c r="BM136" i="26"/>
  <c r="BQ135" i="26" s="1"/>
  <c r="AY462" i="26"/>
  <c r="AX461" i="26" l="1"/>
  <c r="AR461" i="26"/>
  <c r="AV461" i="26" s="1"/>
  <c r="AW461" i="26"/>
  <c r="BP136" i="26"/>
  <c r="BR136" i="26" s="1"/>
  <c r="BO135" i="26"/>
  <c r="BW135" i="26"/>
  <c r="BX135" i="26" s="1"/>
  <c r="BI135" i="26"/>
  <c r="BN135" i="26"/>
  <c r="BA462" i="26"/>
  <c r="AZ460" i="26" l="1"/>
  <c r="BF460" i="26" s="1"/>
  <c r="BG460" i="26" s="1"/>
  <c r="BM135" i="26"/>
  <c r="BQ134" i="26" s="1"/>
  <c r="AY461" i="26"/>
  <c r="AR460" i="26" l="1"/>
  <c r="AV460" i="26" s="1"/>
  <c r="AX460" i="26"/>
  <c r="AW460" i="26"/>
  <c r="BP135" i="26"/>
  <c r="BR135" i="26" s="1"/>
  <c r="BI134" i="26"/>
  <c r="BW134" i="26"/>
  <c r="BX134" i="26" s="1"/>
  <c r="BO134" i="26"/>
  <c r="BN134" i="26"/>
  <c r="BA461" i="26"/>
  <c r="AZ459" i="26" l="1"/>
  <c r="BF459" i="26" s="1"/>
  <c r="BG459" i="26" s="1"/>
  <c r="BM134" i="26"/>
  <c r="BQ133" i="26" s="1"/>
  <c r="AY460" i="26"/>
  <c r="AR459" i="26" l="1"/>
  <c r="AV459" i="26" s="1"/>
  <c r="AX459" i="26"/>
  <c r="AW459" i="26"/>
  <c r="BP134" i="26"/>
  <c r="BR134" i="26" s="1"/>
  <c r="BN133" i="26"/>
  <c r="BO133" i="26"/>
  <c r="BW133" i="26"/>
  <c r="BX133" i="26" s="1"/>
  <c r="BI133" i="26"/>
  <c r="BA460" i="26"/>
  <c r="AZ458" i="26" l="1"/>
  <c r="BF458" i="26" s="1"/>
  <c r="BG458" i="26" s="1"/>
  <c r="BM133" i="26"/>
  <c r="BQ132" i="26" s="1"/>
  <c r="AY459" i="26"/>
  <c r="AR458" i="26" l="1"/>
  <c r="AV458" i="26" s="1"/>
  <c r="AX458" i="26"/>
  <c r="AW458" i="26"/>
  <c r="BP133" i="26"/>
  <c r="BR133" i="26" s="1"/>
  <c r="BN132" i="26"/>
  <c r="BO132" i="26"/>
  <c r="BW132" i="26"/>
  <c r="BX132" i="26" s="1"/>
  <c r="BI132" i="26"/>
  <c r="BA459" i="26"/>
  <c r="AZ457" i="26" l="1"/>
  <c r="BF457" i="26" s="1"/>
  <c r="BG457" i="26" s="1"/>
  <c r="BM132" i="26"/>
  <c r="BQ131" i="26" s="1"/>
  <c r="AY458" i="26"/>
  <c r="AR457" i="26" l="1"/>
  <c r="AV457" i="26" s="1"/>
  <c r="AX457" i="26"/>
  <c r="AW457" i="26"/>
  <c r="BP132" i="26"/>
  <c r="BR132" i="26" s="1"/>
  <c r="BO131" i="26"/>
  <c r="BI131" i="26"/>
  <c r="BW131" i="26"/>
  <c r="BX131" i="26" s="1"/>
  <c r="BN131" i="26"/>
  <c r="BA458" i="26"/>
  <c r="AZ456" i="26" l="1"/>
  <c r="BF456" i="26" s="1"/>
  <c r="BG456" i="26" s="1"/>
  <c r="BM131" i="26"/>
  <c r="BQ130" i="26" s="1"/>
  <c r="AY457" i="26"/>
  <c r="AR456" i="26" l="1"/>
  <c r="AV456" i="26" s="1"/>
  <c r="AX456" i="26"/>
  <c r="AW456" i="26"/>
  <c r="BP131" i="26"/>
  <c r="BR131" i="26" s="1"/>
  <c r="BN130" i="26"/>
  <c r="BO130" i="26"/>
  <c r="BI130" i="26"/>
  <c r="BW130" i="26"/>
  <c r="BX130" i="26" s="1"/>
  <c r="BA457" i="26"/>
  <c r="AZ455" i="26" l="1"/>
  <c r="BF455" i="26" s="1"/>
  <c r="BG455" i="26" s="1"/>
  <c r="BM130" i="26"/>
  <c r="BQ129" i="26" s="1"/>
  <c r="AY456" i="26"/>
  <c r="BP130" i="26" l="1"/>
  <c r="BR130" i="26" s="1"/>
  <c r="AW455" i="26"/>
  <c r="AR455" i="26"/>
  <c r="AV455" i="26" s="1"/>
  <c r="AX455" i="26"/>
  <c r="BI129" i="26"/>
  <c r="BN129" i="26"/>
  <c r="BO129" i="26"/>
  <c r="BW129" i="26"/>
  <c r="BX129" i="26" s="1"/>
  <c r="BA456" i="26"/>
  <c r="AZ454" i="26" l="1"/>
  <c r="BF454" i="26" s="1"/>
  <c r="BG454" i="26" s="1"/>
  <c r="BM129" i="26"/>
  <c r="BQ128" i="26" s="1"/>
  <c r="AY455" i="26"/>
  <c r="BP129" i="26" l="1"/>
  <c r="BR129" i="26" s="1"/>
  <c r="AW454" i="26"/>
  <c r="AR454" i="26"/>
  <c r="AV454" i="26" s="1"/>
  <c r="AX454" i="26"/>
  <c r="BW128" i="26"/>
  <c r="BX128" i="26" s="1"/>
  <c r="BN128" i="26"/>
  <c r="BO128" i="26"/>
  <c r="BI128" i="26"/>
  <c r="BA455" i="26"/>
  <c r="AZ453" i="26" l="1"/>
  <c r="BF453" i="26" s="1"/>
  <c r="BG453" i="26" s="1"/>
  <c r="BM128" i="26"/>
  <c r="BQ127" i="26" s="1"/>
  <c r="AY454" i="26"/>
  <c r="BP128" i="26" l="1"/>
  <c r="BR128" i="26" s="1"/>
  <c r="AW453" i="26"/>
  <c r="AR453" i="26"/>
  <c r="AV453" i="26" s="1"/>
  <c r="AX453" i="26"/>
  <c r="BO127" i="26"/>
  <c r="BN127" i="26"/>
  <c r="BW127" i="26"/>
  <c r="BX127" i="26" s="1"/>
  <c r="BI127" i="26"/>
  <c r="BA454" i="26"/>
  <c r="AZ452" i="26" l="1"/>
  <c r="BF452" i="26" s="1"/>
  <c r="BG452" i="26" s="1"/>
  <c r="BM127" i="26"/>
  <c r="BQ126" i="26" s="1"/>
  <c r="AY453" i="26"/>
  <c r="AR452" i="26" l="1"/>
  <c r="AV452" i="26" s="1"/>
  <c r="AX452" i="26"/>
  <c r="AW452" i="26"/>
  <c r="BP127" i="26"/>
  <c r="BR127" i="26" s="1"/>
  <c r="BO126" i="26"/>
  <c r="BW126" i="26"/>
  <c r="BX126" i="26" s="1"/>
  <c r="BN126" i="26"/>
  <c r="BI126" i="26"/>
  <c r="BA453" i="26"/>
  <c r="AZ451" i="26" l="1"/>
  <c r="BF451" i="26" s="1"/>
  <c r="BG451" i="26" s="1"/>
  <c r="BM126" i="26"/>
  <c r="BQ125" i="26" s="1"/>
  <c r="AY452" i="26"/>
  <c r="AR451" i="26" l="1"/>
  <c r="AV451" i="26" s="1"/>
  <c r="AX451" i="26"/>
  <c r="AW451" i="26"/>
  <c r="BP126" i="26"/>
  <c r="BR126" i="26" s="1"/>
  <c r="BI125" i="26"/>
  <c r="BN125" i="26"/>
  <c r="BW125" i="26"/>
  <c r="BX125" i="26" s="1"/>
  <c r="BO125" i="26"/>
  <c r="BA452" i="26"/>
  <c r="AZ450" i="26" l="1"/>
  <c r="BF450" i="26" s="1"/>
  <c r="BG450" i="26" s="1"/>
  <c r="BM125" i="26"/>
  <c r="BQ124" i="26" s="1"/>
  <c r="AY451" i="26"/>
  <c r="AR450" i="26" l="1"/>
  <c r="AX450" i="26"/>
  <c r="AW450" i="26"/>
  <c r="BP125" i="26"/>
  <c r="BR125" i="26" s="1"/>
  <c r="BO124" i="26"/>
  <c r="BW124" i="26"/>
  <c r="BX124" i="26" s="1"/>
  <c r="F12" i="47" s="1"/>
  <c r="BI124" i="26"/>
  <c r="BN124" i="26"/>
  <c r="BA451" i="26"/>
  <c r="AV450" i="26"/>
  <c r="AZ449" i="26" l="1"/>
  <c r="BF449" i="26" s="1"/>
  <c r="BG449" i="26" s="1"/>
  <c r="BM124" i="26"/>
  <c r="BQ123" i="26" s="1"/>
  <c r="AY450" i="26"/>
  <c r="AR449" i="26" l="1"/>
  <c r="AV449" i="26" s="1"/>
  <c r="AX449" i="26"/>
  <c r="AW449" i="26"/>
  <c r="BP124" i="26"/>
  <c r="BR124" i="26" s="1"/>
  <c r="BI123" i="26"/>
  <c r="BW123" i="26"/>
  <c r="BX123" i="26" s="1"/>
  <c r="BN123" i="26"/>
  <c r="BO123" i="26"/>
  <c r="BA450" i="26"/>
  <c r="AZ448" i="26" l="1"/>
  <c r="BF448" i="26" s="1"/>
  <c r="BG448" i="26" s="1"/>
  <c r="BM123" i="26"/>
  <c r="BQ122" i="26" s="1"/>
  <c r="AY449" i="26"/>
  <c r="AR448" i="26" l="1"/>
  <c r="AV448" i="26" s="1"/>
  <c r="AX448" i="26"/>
  <c r="AW448" i="26"/>
  <c r="BP123" i="26"/>
  <c r="BR123" i="26" s="1"/>
  <c r="BN122" i="26"/>
  <c r="BW122" i="26"/>
  <c r="BX122" i="26" s="1"/>
  <c r="BO122" i="26"/>
  <c r="BI122" i="26"/>
  <c r="BA449" i="26"/>
  <c r="AZ447" i="26" l="1"/>
  <c r="BF447" i="26" s="1"/>
  <c r="BG447" i="26" s="1"/>
  <c r="BM122" i="26"/>
  <c r="BQ121" i="26" s="1"/>
  <c r="AY448" i="26"/>
  <c r="AR447" i="26" l="1"/>
  <c r="AV447" i="26" s="1"/>
  <c r="AX447" i="26"/>
  <c r="AW447" i="26"/>
  <c r="BP122" i="26"/>
  <c r="BR122" i="26" s="1"/>
  <c r="BO121" i="26"/>
  <c r="BI121" i="26"/>
  <c r="BN121" i="26"/>
  <c r="BW121" i="26"/>
  <c r="BX121" i="26" s="1"/>
  <c r="BA448" i="26"/>
  <c r="AZ446" i="26" l="1"/>
  <c r="BF446" i="26" s="1"/>
  <c r="BG446" i="26" s="1"/>
  <c r="BM121" i="26"/>
  <c r="BQ120" i="26" s="1"/>
  <c r="AY447" i="26"/>
  <c r="AR446" i="26" l="1"/>
  <c r="AV446" i="26" s="1"/>
  <c r="AX446" i="26"/>
  <c r="AW446" i="26"/>
  <c r="BP121" i="26"/>
  <c r="BR121" i="26" s="1"/>
  <c r="BN120" i="26"/>
  <c r="BO120" i="26"/>
  <c r="BW120" i="26"/>
  <c r="BX120" i="26" s="1"/>
  <c r="BI120" i="26"/>
  <c r="BA447" i="26"/>
  <c r="AZ445" i="26" l="1"/>
  <c r="BF445" i="26" s="1"/>
  <c r="BG445" i="26" s="1"/>
  <c r="BM120" i="26"/>
  <c r="BQ119" i="26" s="1"/>
  <c r="AY446" i="26"/>
  <c r="AR445" i="26" l="1"/>
  <c r="AV445" i="26" s="1"/>
  <c r="AX445" i="26"/>
  <c r="AW445" i="26"/>
  <c r="BP120" i="26"/>
  <c r="BR120" i="26" s="1"/>
  <c r="BI119" i="26"/>
  <c r="BW119" i="26"/>
  <c r="BX119" i="26" s="1"/>
  <c r="BO119" i="26"/>
  <c r="BN119" i="26"/>
  <c r="BA446" i="26"/>
  <c r="AZ444" i="26" l="1"/>
  <c r="BF444" i="26" s="1"/>
  <c r="BG444" i="26" s="1"/>
  <c r="BM119" i="26"/>
  <c r="BQ118" i="26" s="1"/>
  <c r="AY445" i="26"/>
  <c r="AR444" i="26" l="1"/>
  <c r="AV444" i="26" s="1"/>
  <c r="AX444" i="26"/>
  <c r="AW444" i="26"/>
  <c r="BP119" i="26"/>
  <c r="BR119" i="26" s="1"/>
  <c r="BO118" i="26"/>
  <c r="BN118" i="26"/>
  <c r="BW118" i="26"/>
  <c r="BX118" i="26" s="1"/>
  <c r="BI118" i="26"/>
  <c r="BA445" i="26"/>
  <c r="AZ443" i="26" l="1"/>
  <c r="BF443" i="26" s="1"/>
  <c r="BG443" i="26" s="1"/>
  <c r="BM118" i="26"/>
  <c r="BQ117" i="26" s="1"/>
  <c r="AY444" i="26"/>
  <c r="AR443" i="26" l="1"/>
  <c r="AV443" i="26" s="1"/>
  <c r="AX443" i="26"/>
  <c r="AW443" i="26"/>
  <c r="BP118" i="26"/>
  <c r="BR118" i="26" s="1"/>
  <c r="BN117" i="26"/>
  <c r="BO117" i="26"/>
  <c r="BW117" i="26"/>
  <c r="BX117" i="26" s="1"/>
  <c r="BI117" i="26"/>
  <c r="BA444" i="26"/>
  <c r="AZ442" i="26" l="1"/>
  <c r="BF442" i="26" s="1"/>
  <c r="BG442" i="26" s="1"/>
  <c r="BM117" i="26"/>
  <c r="BQ116" i="26" s="1"/>
  <c r="AY443" i="26"/>
  <c r="AR442" i="26" l="1"/>
  <c r="AV442" i="26" s="1"/>
  <c r="AX442" i="26"/>
  <c r="AW442" i="26"/>
  <c r="BP117" i="26"/>
  <c r="BR117" i="26" s="1"/>
  <c r="BI116" i="26"/>
  <c r="BW116" i="26"/>
  <c r="BX116" i="26" s="1"/>
  <c r="BO116" i="26"/>
  <c r="BN116" i="26"/>
  <c r="BA443" i="26"/>
  <c r="AZ441" i="26" l="1"/>
  <c r="BF441" i="26" s="1"/>
  <c r="BG441" i="26" s="1"/>
  <c r="BM116" i="26"/>
  <c r="BQ115" i="26" s="1"/>
  <c r="AY442" i="26"/>
  <c r="AR441" i="26" l="1"/>
  <c r="AV441" i="26" s="1"/>
  <c r="AX441" i="26"/>
  <c r="AW441" i="26"/>
  <c r="BP116" i="26"/>
  <c r="BR116" i="26" s="1"/>
  <c r="BW115" i="26"/>
  <c r="BX115" i="26" s="1"/>
  <c r="BO115" i="26"/>
  <c r="BN115" i="26"/>
  <c r="BI115" i="26"/>
  <c r="BA442" i="26"/>
  <c r="AZ440" i="26" l="1"/>
  <c r="BF440" i="26" s="1"/>
  <c r="BG440" i="26" s="1"/>
  <c r="BM115" i="26"/>
  <c r="BQ114" i="26" s="1"/>
  <c r="AY441" i="26"/>
  <c r="AR440" i="26" l="1"/>
  <c r="AV440" i="26" s="1"/>
  <c r="AX440" i="26"/>
  <c r="AW440" i="26"/>
  <c r="BP115" i="26"/>
  <c r="BR115" i="26" s="1"/>
  <c r="BO114" i="26"/>
  <c r="BN114" i="26"/>
  <c r="BW114" i="26"/>
  <c r="BX114" i="26" s="1"/>
  <c r="BI114" i="26"/>
  <c r="BA441" i="26"/>
  <c r="AZ439" i="26" l="1"/>
  <c r="BF439" i="26" s="1"/>
  <c r="BG439" i="26" s="1"/>
  <c r="BM114" i="26"/>
  <c r="BQ113" i="26" s="1"/>
  <c r="AY440" i="26"/>
  <c r="AR439" i="26" l="1"/>
  <c r="AV439" i="26" s="1"/>
  <c r="AX439" i="26"/>
  <c r="AW439" i="26"/>
  <c r="BP114" i="26"/>
  <c r="BR114" i="26" s="1"/>
  <c r="BN113" i="26"/>
  <c r="BO113" i="26"/>
  <c r="BI113" i="26"/>
  <c r="BW113" i="26"/>
  <c r="BX113" i="26" s="1"/>
  <c r="BA440" i="26"/>
  <c r="AZ438" i="26" l="1"/>
  <c r="BF438" i="26" s="1"/>
  <c r="BG438" i="26" s="1"/>
  <c r="BM113" i="26"/>
  <c r="BQ112" i="26" s="1"/>
  <c r="AY439" i="26"/>
  <c r="AR438" i="26" l="1"/>
  <c r="AV438" i="26" s="1"/>
  <c r="AX438" i="26"/>
  <c r="AW438" i="26"/>
  <c r="BP113" i="26"/>
  <c r="BR113" i="26" s="1"/>
  <c r="BW112" i="26"/>
  <c r="BX112" i="26" s="1"/>
  <c r="F11" i="47" s="1"/>
  <c r="BO112" i="26"/>
  <c r="BN112" i="26"/>
  <c r="BI112" i="26"/>
  <c r="BA439" i="26"/>
  <c r="AZ437" i="26" l="1"/>
  <c r="BF437" i="26" s="1"/>
  <c r="BG437" i="26" s="1"/>
  <c r="BM112" i="26"/>
  <c r="BQ111" i="26" s="1"/>
  <c r="AY438" i="26"/>
  <c r="AR437" i="26" l="1"/>
  <c r="AV437" i="26" s="1"/>
  <c r="AX437" i="26"/>
  <c r="AW437" i="26"/>
  <c r="BP112" i="26"/>
  <c r="BR112" i="26" s="1"/>
  <c r="BO111" i="26"/>
  <c r="BW111" i="26"/>
  <c r="BX111" i="26" s="1"/>
  <c r="BN111" i="26"/>
  <c r="BI111" i="26"/>
  <c r="BA438" i="26"/>
  <c r="AZ436" i="26" l="1"/>
  <c r="BF436" i="26" s="1"/>
  <c r="BG436" i="26" s="1"/>
  <c r="BM111" i="26"/>
  <c r="BQ110" i="26" s="1"/>
  <c r="AY437" i="26"/>
  <c r="AX436" i="26" l="1"/>
  <c r="AR436" i="26"/>
  <c r="AV436" i="26" s="1"/>
  <c r="AW436" i="26"/>
  <c r="BP111" i="26"/>
  <c r="BR111" i="26" s="1"/>
  <c r="BN110" i="26"/>
  <c r="BI110" i="26"/>
  <c r="BO110" i="26"/>
  <c r="BW110" i="26"/>
  <c r="BX110" i="26" s="1"/>
  <c r="BA437" i="26"/>
  <c r="AZ435" i="26" l="1"/>
  <c r="BF435" i="26" s="1"/>
  <c r="BG435" i="26" s="1"/>
  <c r="BM110" i="26"/>
  <c r="BQ109" i="26" s="1"/>
  <c r="AY436" i="26"/>
  <c r="BP110" i="26" l="1"/>
  <c r="BR110" i="26" s="1"/>
  <c r="AW435" i="26"/>
  <c r="AR435" i="26"/>
  <c r="AV435" i="26" s="1"/>
  <c r="AX435" i="26"/>
  <c r="BN109" i="26"/>
  <c r="BW109" i="26"/>
  <c r="BX109" i="26" s="1"/>
  <c r="BI109" i="26"/>
  <c r="BO109" i="26"/>
  <c r="BA436" i="26"/>
  <c r="AZ434" i="26" l="1"/>
  <c r="BF434" i="26" s="1"/>
  <c r="BG434" i="26" s="1"/>
  <c r="BM109" i="26"/>
  <c r="BQ108" i="26" s="1"/>
  <c r="AY435" i="26"/>
  <c r="AR434" i="26" l="1"/>
  <c r="AV434" i="26" s="1"/>
  <c r="AX434" i="26"/>
  <c r="AW434" i="26"/>
  <c r="BP109" i="26"/>
  <c r="BR109" i="26" s="1"/>
  <c r="BW108" i="26"/>
  <c r="BX108" i="26" s="1"/>
  <c r="BN108" i="26"/>
  <c r="BI108" i="26"/>
  <c r="BO108" i="26"/>
  <c r="BA435" i="26"/>
  <c r="AZ433" i="26" l="1"/>
  <c r="BF433" i="26" s="1"/>
  <c r="BG433" i="26" s="1"/>
  <c r="BM108" i="26"/>
  <c r="BQ107" i="26" s="1"/>
  <c r="AY434" i="26"/>
  <c r="AX433" i="26" l="1"/>
  <c r="AR433" i="26"/>
  <c r="AV433" i="26" s="1"/>
  <c r="AW433" i="26"/>
  <c r="BP108" i="26"/>
  <c r="BR108" i="26" s="1"/>
  <c r="BO107" i="26"/>
  <c r="BI107" i="26"/>
  <c r="BN107" i="26"/>
  <c r="BW107" i="26"/>
  <c r="BX107" i="26" s="1"/>
  <c r="BA434" i="26"/>
  <c r="AZ432" i="26" l="1"/>
  <c r="BF432" i="26" s="1"/>
  <c r="BG432" i="26" s="1"/>
  <c r="BM107" i="26"/>
  <c r="BQ106" i="26" s="1"/>
  <c r="AY433" i="26"/>
  <c r="AR432" i="26" l="1"/>
  <c r="AV432" i="26" s="1"/>
  <c r="AX432" i="26"/>
  <c r="AW432" i="26"/>
  <c r="BP107" i="26"/>
  <c r="BR107" i="26" s="1"/>
  <c r="BN106" i="26"/>
  <c r="BW106" i="26"/>
  <c r="BX106" i="26" s="1"/>
  <c r="BO106" i="26"/>
  <c r="BI106" i="26"/>
  <c r="BA433" i="26"/>
  <c r="AZ431" i="26" l="1"/>
  <c r="BF431" i="26" s="1"/>
  <c r="BG431" i="26" s="1"/>
  <c r="BM106" i="26"/>
  <c r="BQ105" i="26" s="1"/>
  <c r="AY432" i="26"/>
  <c r="AR431" i="26" l="1"/>
  <c r="AV431" i="26" s="1"/>
  <c r="AX431" i="26"/>
  <c r="AW431" i="26"/>
  <c r="BP106" i="26"/>
  <c r="BR106" i="26" s="1"/>
  <c r="BN105" i="26"/>
  <c r="BO105" i="26"/>
  <c r="BW105" i="26"/>
  <c r="BX105" i="26" s="1"/>
  <c r="BI105" i="26"/>
  <c r="BA432" i="26"/>
  <c r="AZ430" i="26" l="1"/>
  <c r="BF430" i="26" s="1"/>
  <c r="BG430" i="26" s="1"/>
  <c r="BM105" i="26"/>
  <c r="BQ104" i="26" s="1"/>
  <c r="AY431" i="26"/>
  <c r="BP105" i="26" l="1"/>
  <c r="BR105" i="26" s="1"/>
  <c r="AR430" i="26"/>
  <c r="AV430" i="26" s="1"/>
  <c r="AW430" i="26"/>
  <c r="AX430" i="26"/>
  <c r="BN104" i="26"/>
  <c r="BW104" i="26"/>
  <c r="BX104" i="26" s="1"/>
  <c r="BI104" i="26"/>
  <c r="BO104" i="26"/>
  <c r="BA431" i="26"/>
  <c r="AZ429" i="26" l="1"/>
  <c r="BF429" i="26" s="1"/>
  <c r="BG429" i="26" s="1"/>
  <c r="BM104" i="26"/>
  <c r="BQ103" i="26" s="1"/>
  <c r="AY430" i="26"/>
  <c r="AR429" i="26" l="1"/>
  <c r="AV429" i="26" s="1"/>
  <c r="AX429" i="26"/>
  <c r="AW429" i="26"/>
  <c r="BP104" i="26"/>
  <c r="BR104" i="26" s="1"/>
  <c r="BO103" i="26"/>
  <c r="BN103" i="26"/>
  <c r="BI103" i="26"/>
  <c r="BW103" i="26"/>
  <c r="BX103" i="26" s="1"/>
  <c r="BA430" i="26"/>
  <c r="AZ428" i="26" l="1"/>
  <c r="BF428" i="26" s="1"/>
  <c r="BG428" i="26" s="1"/>
  <c r="BM103" i="26"/>
  <c r="BQ102" i="26" s="1"/>
  <c r="AY429" i="26"/>
  <c r="BP103" i="26" l="1"/>
  <c r="BR103" i="26" s="1"/>
  <c r="AR428" i="26"/>
  <c r="AV428" i="26" s="1"/>
  <c r="AW428" i="26"/>
  <c r="AX428" i="26"/>
  <c r="BO102" i="26"/>
  <c r="BI102" i="26"/>
  <c r="BN102" i="26"/>
  <c r="BW102" i="26"/>
  <c r="BX102" i="26" s="1"/>
  <c r="BA429" i="26"/>
  <c r="AZ427" i="26" l="1"/>
  <c r="BF427" i="26" s="1"/>
  <c r="BG427" i="26" s="1"/>
  <c r="BM102" i="26"/>
  <c r="BQ101" i="26" s="1"/>
  <c r="AY428" i="26"/>
  <c r="AR427" i="26" l="1"/>
  <c r="AV427" i="26" s="1"/>
  <c r="AX427" i="26"/>
  <c r="AW427" i="26"/>
  <c r="BP102" i="26"/>
  <c r="BR102" i="26" s="1"/>
  <c r="BI101" i="26"/>
  <c r="BW101" i="26"/>
  <c r="BX101" i="26" s="1"/>
  <c r="BN101" i="26"/>
  <c r="BO101" i="26"/>
  <c r="BA428" i="26"/>
  <c r="AZ426" i="26" l="1"/>
  <c r="BF426" i="26" s="1"/>
  <c r="BG426" i="26" s="1"/>
  <c r="BM101" i="26"/>
  <c r="BQ100" i="26" s="1"/>
  <c r="AY427" i="26"/>
  <c r="AR426" i="26" l="1"/>
  <c r="AV426" i="26" s="1"/>
  <c r="AX426" i="26"/>
  <c r="AW426" i="26"/>
  <c r="BP101" i="26"/>
  <c r="BR101" i="26" s="1"/>
  <c r="BW100" i="26"/>
  <c r="BX100" i="26" s="1"/>
  <c r="F10" i="47" s="1"/>
  <c r="BO100" i="26"/>
  <c r="BI100" i="26"/>
  <c r="BN100" i="26"/>
  <c r="BA427" i="26"/>
  <c r="AZ425" i="26" l="1"/>
  <c r="BF425" i="26" s="1"/>
  <c r="BG425" i="26" s="1"/>
  <c r="BM100" i="26"/>
  <c r="BQ99" i="26" s="1"/>
  <c r="AY426" i="26"/>
  <c r="AR425" i="26" l="1"/>
  <c r="AV425" i="26" s="1"/>
  <c r="AX425" i="26"/>
  <c r="AW425" i="26"/>
  <c r="BP100" i="26"/>
  <c r="BR100" i="26" s="1"/>
  <c r="BO99" i="26"/>
  <c r="BN99" i="26"/>
  <c r="BI99" i="26"/>
  <c r="BW99" i="26"/>
  <c r="BX99" i="26" s="1"/>
  <c r="BA426" i="26"/>
  <c r="AZ424" i="26" l="1"/>
  <c r="BF424" i="26" s="1"/>
  <c r="BG424" i="26" s="1"/>
  <c r="BM99" i="26"/>
  <c r="BQ98" i="26" s="1"/>
  <c r="AY425" i="26"/>
  <c r="AR424" i="26" l="1"/>
  <c r="AV424" i="26" s="1"/>
  <c r="AX424" i="26"/>
  <c r="AW424" i="26"/>
  <c r="BP99" i="26"/>
  <c r="BR99" i="26" s="1"/>
  <c r="BN98" i="26"/>
  <c r="BI98" i="26"/>
  <c r="BW98" i="26"/>
  <c r="BX98" i="26" s="1"/>
  <c r="BO98" i="26"/>
  <c r="BA425" i="26"/>
  <c r="AZ423" i="26" l="1"/>
  <c r="BF423" i="26" s="1"/>
  <c r="BG423" i="26" s="1"/>
  <c r="BM98" i="26"/>
  <c r="BQ97" i="26" s="1"/>
  <c r="AY424" i="26"/>
  <c r="BP98" i="26" l="1"/>
  <c r="BR98" i="26" s="1"/>
  <c r="AR423" i="26"/>
  <c r="AV423" i="26" s="1"/>
  <c r="AW423" i="26"/>
  <c r="AX423" i="26"/>
  <c r="BN97" i="26"/>
  <c r="BW97" i="26"/>
  <c r="BX97" i="26" s="1"/>
  <c r="BO97" i="26"/>
  <c r="BI97" i="26"/>
  <c r="BA424" i="26"/>
  <c r="AZ422" i="26" l="1"/>
  <c r="BF422" i="26" s="1"/>
  <c r="BG422" i="26" s="1"/>
  <c r="BM97" i="26"/>
  <c r="BQ96" i="26" s="1"/>
  <c r="AY423" i="26"/>
  <c r="AR422" i="26" l="1"/>
  <c r="AV422" i="26" s="1"/>
  <c r="AX422" i="26"/>
  <c r="AW422" i="26"/>
  <c r="BP97" i="26"/>
  <c r="BR97" i="26" s="1"/>
  <c r="BN96" i="26"/>
  <c r="BI96" i="26"/>
  <c r="BO96" i="26"/>
  <c r="BW96" i="26"/>
  <c r="BX96" i="26" s="1"/>
  <c r="BA423" i="26"/>
  <c r="AZ421" i="26" l="1"/>
  <c r="BF421" i="26" s="1"/>
  <c r="BG421" i="26" s="1"/>
  <c r="BM96" i="26"/>
  <c r="BQ95" i="26" s="1"/>
  <c r="AY422" i="26"/>
  <c r="BP96" i="26" l="1"/>
  <c r="BR96" i="26" s="1"/>
  <c r="AR421" i="26"/>
  <c r="AV421" i="26" s="1"/>
  <c r="AW421" i="26"/>
  <c r="AX421" i="26"/>
  <c r="BW95" i="26"/>
  <c r="BX95" i="26" s="1"/>
  <c r="BN95" i="26"/>
  <c r="BI95" i="26"/>
  <c r="BO95" i="26"/>
  <c r="BA422" i="26"/>
  <c r="AZ420" i="26" l="1"/>
  <c r="BF420" i="26" s="1"/>
  <c r="BG420" i="26" s="1"/>
  <c r="BM95" i="26"/>
  <c r="BQ94" i="26" s="1"/>
  <c r="AY421" i="26"/>
  <c r="AR420" i="26" l="1"/>
  <c r="AV420" i="26" s="1"/>
  <c r="AX420" i="26"/>
  <c r="AW420" i="26"/>
  <c r="BP95" i="26"/>
  <c r="BR95" i="26" s="1"/>
  <c r="BN94" i="26"/>
  <c r="BI94" i="26"/>
  <c r="BW94" i="26"/>
  <c r="BX94" i="26" s="1"/>
  <c r="BO94" i="26"/>
  <c r="BA421" i="26"/>
  <c r="AZ419" i="26" l="1"/>
  <c r="BF419" i="26" s="1"/>
  <c r="BG419" i="26" s="1"/>
  <c r="BM94" i="26"/>
  <c r="BQ93" i="26" s="1"/>
  <c r="AY420" i="26"/>
  <c r="AR419" i="26" l="1"/>
  <c r="AV419" i="26" s="1"/>
  <c r="AX419" i="26"/>
  <c r="AW419" i="26"/>
  <c r="BP94" i="26"/>
  <c r="BR94" i="26" s="1"/>
  <c r="BO93" i="26"/>
  <c r="BW93" i="26"/>
  <c r="BX93" i="26" s="1"/>
  <c r="BI93" i="26"/>
  <c r="BN93" i="26"/>
  <c r="BA420" i="26"/>
  <c r="AZ418" i="26" l="1"/>
  <c r="BF418" i="26" s="1"/>
  <c r="BG418" i="26" s="1"/>
  <c r="BM93" i="26"/>
  <c r="BQ92" i="26" s="1"/>
  <c r="AY419" i="26"/>
  <c r="BP93" i="26" l="1"/>
  <c r="BR93" i="26" s="1"/>
  <c r="AR418" i="26"/>
  <c r="AV418" i="26" s="1"/>
  <c r="AW418" i="26"/>
  <c r="AX418" i="26"/>
  <c r="BW92" i="26"/>
  <c r="BX92" i="26" s="1"/>
  <c r="BI92" i="26"/>
  <c r="BO92" i="26"/>
  <c r="BN92" i="26"/>
  <c r="BA419" i="26"/>
  <c r="AZ417" i="26" l="1"/>
  <c r="BF417" i="26" s="1"/>
  <c r="BG417" i="26" s="1"/>
  <c r="BM92" i="26"/>
  <c r="BQ91" i="26" s="1"/>
  <c r="AY418" i="26"/>
  <c r="AR417" i="26" l="1"/>
  <c r="AV417" i="26" s="1"/>
  <c r="AX417" i="26"/>
  <c r="AW417" i="26"/>
  <c r="BP92" i="26"/>
  <c r="BR92" i="26" s="1"/>
  <c r="BO91" i="26"/>
  <c r="BI91" i="26"/>
  <c r="BN91" i="26"/>
  <c r="BW91" i="26"/>
  <c r="BX91" i="26" s="1"/>
  <c r="BA418" i="26"/>
  <c r="AZ416" i="26" l="1"/>
  <c r="BF416" i="26" s="1"/>
  <c r="BG416" i="26" s="1"/>
  <c r="BM91" i="26"/>
  <c r="BQ90" i="26" s="1"/>
  <c r="AY417" i="26"/>
  <c r="AR416" i="26" l="1"/>
  <c r="AV416" i="26" s="1"/>
  <c r="AX416" i="26"/>
  <c r="AW416" i="26"/>
  <c r="BP91" i="26"/>
  <c r="BR91" i="26" s="1"/>
  <c r="BO90" i="26"/>
  <c r="BW90" i="26"/>
  <c r="BX90" i="26" s="1"/>
  <c r="BI90" i="26"/>
  <c r="BN90" i="26"/>
  <c r="BA417" i="26"/>
  <c r="AZ415" i="26" l="1"/>
  <c r="BF415" i="26" s="1"/>
  <c r="BG415" i="26" s="1"/>
  <c r="BM90" i="26"/>
  <c r="BQ89" i="26" s="1"/>
  <c r="AY416" i="26"/>
  <c r="AR415" i="26" l="1"/>
  <c r="AV415" i="26" s="1"/>
  <c r="AX415" i="26"/>
  <c r="AW415" i="26"/>
  <c r="BP90" i="26"/>
  <c r="BR90" i="26" s="1"/>
  <c r="BO89" i="26"/>
  <c r="BN89" i="26"/>
  <c r="BI89" i="26"/>
  <c r="BW89" i="26"/>
  <c r="BX89" i="26" s="1"/>
  <c r="BA416" i="26"/>
  <c r="AZ414" i="26" l="1"/>
  <c r="BF414" i="26" s="1"/>
  <c r="BG414" i="26" s="1"/>
  <c r="BM89" i="26"/>
  <c r="BQ88" i="26" s="1"/>
  <c r="AY415" i="26"/>
  <c r="AR414" i="26" l="1"/>
  <c r="AV414" i="26" s="1"/>
  <c r="AX414" i="26"/>
  <c r="AW414" i="26"/>
  <c r="BP89" i="26"/>
  <c r="BR89" i="26" s="1"/>
  <c r="BW88" i="26"/>
  <c r="BX88" i="26" s="1"/>
  <c r="F9" i="47" s="1"/>
  <c r="BN88" i="26"/>
  <c r="BI88" i="26"/>
  <c r="BO88" i="26"/>
  <c r="BA415" i="26"/>
  <c r="AZ413" i="26" l="1"/>
  <c r="BF413" i="26" s="1"/>
  <c r="BG413" i="26" s="1"/>
  <c r="BM88" i="26"/>
  <c r="BQ87" i="26" s="1"/>
  <c r="AY414" i="26"/>
  <c r="AW413" i="26" l="1"/>
  <c r="AR413" i="26"/>
  <c r="AV413" i="26" s="1"/>
  <c r="AZ412" i="26" s="1"/>
  <c r="AX413" i="26"/>
  <c r="BP88" i="26"/>
  <c r="BR88" i="26" s="1"/>
  <c r="BO87" i="26"/>
  <c r="BN87" i="26"/>
  <c r="BI87" i="26"/>
  <c r="BW87" i="26"/>
  <c r="BX87" i="26" s="1"/>
  <c r="BA414" i="26"/>
  <c r="AY413" i="26" l="1"/>
  <c r="BA413" i="26" s="1"/>
  <c r="BF412" i="26"/>
  <c r="BG412" i="26" s="1"/>
  <c r="BM87" i="26"/>
  <c r="BQ86" i="26" s="1"/>
  <c r="AX412" i="26" l="1"/>
  <c r="AW412" i="26"/>
  <c r="AR412" i="26"/>
  <c r="AV412" i="26" s="1"/>
  <c r="BP87" i="26"/>
  <c r="BR87" i="26" s="1"/>
  <c r="BO86" i="26"/>
  <c r="BW86" i="26"/>
  <c r="BX86" i="26" s="1"/>
  <c r="BN86" i="26"/>
  <c r="BI86" i="26"/>
  <c r="AZ411" i="26" l="1"/>
  <c r="BF411" i="26" s="1"/>
  <c r="BG411" i="26" s="1"/>
  <c r="AY412" i="26"/>
  <c r="BA412" i="26" s="1"/>
  <c r="BM86" i="26"/>
  <c r="BQ85" i="26" s="1"/>
  <c r="AW411" i="26" l="1"/>
  <c r="AX411" i="26"/>
  <c r="AR411" i="26"/>
  <c r="AV411" i="26" s="1"/>
  <c r="AZ410" i="26" s="1"/>
  <c r="BP86" i="26"/>
  <c r="BR86" i="26" s="1"/>
  <c r="BO85" i="26"/>
  <c r="BW85" i="26"/>
  <c r="BX85" i="26" s="1"/>
  <c r="BN85" i="26"/>
  <c r="BI85" i="26"/>
  <c r="AY411" i="26" l="1"/>
  <c r="BA411" i="26" s="1"/>
  <c r="BF410" i="26"/>
  <c r="BG410" i="26" s="1"/>
  <c r="BM85" i="26"/>
  <c r="BQ84" i="26" s="1"/>
  <c r="AX410" i="26" l="1"/>
  <c r="AW410" i="26"/>
  <c r="AR410" i="26"/>
  <c r="AV410" i="26" s="1"/>
  <c r="AZ409" i="26" s="1"/>
  <c r="BP85" i="26"/>
  <c r="BR85" i="26" s="1"/>
  <c r="BO84" i="26"/>
  <c r="BN84" i="26"/>
  <c r="BI84" i="26"/>
  <c r="BW84" i="26"/>
  <c r="BX84" i="26" s="1"/>
  <c r="AY410" i="26" l="1"/>
  <c r="BA410" i="26" s="1"/>
  <c r="BF409" i="26"/>
  <c r="BG409" i="26" s="1"/>
  <c r="BM84" i="26"/>
  <c r="BQ83" i="26" s="1"/>
  <c r="AW409" i="26" l="1"/>
  <c r="AX409" i="26"/>
  <c r="AR409" i="26"/>
  <c r="AV409" i="26" s="1"/>
  <c r="AZ408" i="26" s="1"/>
  <c r="BP84" i="26"/>
  <c r="BR84" i="26" s="1"/>
  <c r="BI83" i="26"/>
  <c r="BW83" i="26"/>
  <c r="BX83" i="26" s="1"/>
  <c r="BO83" i="26"/>
  <c r="BN83" i="26"/>
  <c r="AY409" i="26" l="1"/>
  <c r="BA409" i="26" s="1"/>
  <c r="BF408" i="26"/>
  <c r="BG408" i="26" s="1"/>
  <c r="BM83" i="26"/>
  <c r="BQ82" i="26" s="1"/>
  <c r="AX408" i="26" l="1"/>
  <c r="AW408" i="26"/>
  <c r="AR408" i="26"/>
  <c r="AV408" i="26" s="1"/>
  <c r="AZ407" i="26" s="1"/>
  <c r="BP83" i="26"/>
  <c r="BR83" i="26" s="1"/>
  <c r="BN82" i="26"/>
  <c r="BI82" i="26"/>
  <c r="BW82" i="26"/>
  <c r="BX82" i="26" s="1"/>
  <c r="BO82" i="26"/>
  <c r="AY408" i="26" l="1"/>
  <c r="BA408" i="26" s="1"/>
  <c r="BF407" i="26"/>
  <c r="BG407" i="26" s="1"/>
  <c r="BM82" i="26"/>
  <c r="BQ81" i="26" s="1"/>
  <c r="AX407" i="26" l="1"/>
  <c r="AR407" i="26"/>
  <c r="AV407" i="26" s="1"/>
  <c r="AW407" i="26"/>
  <c r="BP82" i="26"/>
  <c r="BR82" i="26" s="1"/>
  <c r="BO81" i="26"/>
  <c r="BW81" i="26"/>
  <c r="BX81" i="26" s="1"/>
  <c r="BI81" i="26"/>
  <c r="BN81" i="26"/>
  <c r="AZ406" i="26" l="1"/>
  <c r="BF406" i="26" s="1"/>
  <c r="BG406" i="26" s="1"/>
  <c r="AY407" i="26"/>
  <c r="BA407" i="26" s="1"/>
  <c r="BM81" i="26"/>
  <c r="BQ80" i="26" s="1"/>
  <c r="AX406" i="26" l="1"/>
  <c r="AR406" i="26"/>
  <c r="AV406" i="26" s="1"/>
  <c r="AW406" i="26"/>
  <c r="BP81" i="26"/>
  <c r="BR81" i="26" s="1"/>
  <c r="BO80" i="26"/>
  <c r="BN80" i="26"/>
  <c r="BW80" i="26"/>
  <c r="BX80" i="26" s="1"/>
  <c r="BI80" i="26"/>
  <c r="AZ405" i="26" l="1"/>
  <c r="BF405" i="26" s="1"/>
  <c r="BG405" i="26" s="1"/>
  <c r="AY406" i="26"/>
  <c r="BA406" i="26" s="1"/>
  <c r="BM80" i="26"/>
  <c r="BQ79" i="26" s="1"/>
  <c r="AX405" i="26" l="1"/>
  <c r="AR405" i="26"/>
  <c r="AV405" i="26" s="1"/>
  <c r="AW405" i="26"/>
  <c r="BP80" i="26"/>
  <c r="BR80" i="26" s="1"/>
  <c r="BO79" i="26"/>
  <c r="BW79" i="26"/>
  <c r="BX79" i="26" s="1"/>
  <c r="BN79" i="26"/>
  <c r="BI79" i="26"/>
  <c r="AZ404" i="26" l="1"/>
  <c r="BF404" i="26" s="1"/>
  <c r="BG404" i="26" s="1"/>
  <c r="AY405" i="26"/>
  <c r="BA405" i="26" s="1"/>
  <c r="BM79" i="26"/>
  <c r="BQ78" i="26" s="1"/>
  <c r="AX404" i="26" l="1"/>
  <c r="AR404" i="26"/>
  <c r="AV404" i="26" s="1"/>
  <c r="AW404" i="26"/>
  <c r="BP79" i="26"/>
  <c r="BR79" i="26" s="1"/>
  <c r="BW78" i="26"/>
  <c r="BX78" i="26" s="1"/>
  <c r="BO78" i="26"/>
  <c r="BI78" i="26"/>
  <c r="BN78" i="26"/>
  <c r="AZ403" i="26" l="1"/>
  <c r="BF403" i="26" s="1"/>
  <c r="BG403" i="26" s="1"/>
  <c r="AY404" i="26"/>
  <c r="BA404" i="26" s="1"/>
  <c r="BM78" i="26"/>
  <c r="BQ77" i="26" s="1"/>
  <c r="AX403" i="26" l="1"/>
  <c r="AR403" i="26"/>
  <c r="AV403" i="26" s="1"/>
  <c r="AW403" i="26"/>
  <c r="BP78" i="26"/>
  <c r="BR78" i="26" s="1"/>
  <c r="BO77" i="26"/>
  <c r="BI77" i="26"/>
  <c r="BW77" i="26"/>
  <c r="BX77" i="26" s="1"/>
  <c r="BN77" i="26"/>
  <c r="AZ402" i="26" l="1"/>
  <c r="BF402" i="26" s="1"/>
  <c r="BG402" i="26" s="1"/>
  <c r="AY403" i="26"/>
  <c r="BA403" i="26" s="1"/>
  <c r="BM77" i="26"/>
  <c r="BQ76" i="26" s="1"/>
  <c r="AX402" i="26" l="1"/>
  <c r="AR402" i="26"/>
  <c r="AV402" i="26" s="1"/>
  <c r="AW402" i="26"/>
  <c r="BP77" i="26"/>
  <c r="BR77" i="26" s="1"/>
  <c r="BO76" i="26"/>
  <c r="BN76" i="26"/>
  <c r="BW76" i="26"/>
  <c r="BX76" i="26" s="1"/>
  <c r="F8" i="47" s="1"/>
  <c r="BI76" i="26"/>
  <c r="AZ401" i="26" l="1"/>
  <c r="BF401" i="26" s="1"/>
  <c r="BG401" i="26" s="1"/>
  <c r="AY402" i="26"/>
  <c r="BA402" i="26" s="1"/>
  <c r="BM76" i="26"/>
  <c r="BQ75" i="26" s="1"/>
  <c r="AX401" i="26" l="1"/>
  <c r="AR401" i="26"/>
  <c r="AV401" i="26" s="1"/>
  <c r="AW401" i="26"/>
  <c r="BP76" i="26"/>
  <c r="BR76" i="26" s="1"/>
  <c r="BN75" i="26"/>
  <c r="BW75" i="26"/>
  <c r="BX75" i="26" s="1"/>
  <c r="BO75" i="26"/>
  <c r="BI75" i="26"/>
  <c r="AZ400" i="26" l="1"/>
  <c r="BF400" i="26" s="1"/>
  <c r="BG400" i="26" s="1"/>
  <c r="AY401" i="26"/>
  <c r="BA401" i="26" s="1"/>
  <c r="BM75" i="26"/>
  <c r="BQ74" i="26" s="1"/>
  <c r="AX400" i="26" l="1"/>
  <c r="AR400" i="26"/>
  <c r="AV400" i="26" s="1"/>
  <c r="AW400" i="26"/>
  <c r="BP75" i="26"/>
  <c r="BR75" i="26" s="1"/>
  <c r="BI74" i="26"/>
  <c r="BN74" i="26"/>
  <c r="BO74" i="26"/>
  <c r="BW74" i="26"/>
  <c r="BX74" i="26" s="1"/>
  <c r="AZ399" i="26" l="1"/>
  <c r="BF399" i="26" s="1"/>
  <c r="BG399" i="26" s="1"/>
  <c r="AY400" i="26"/>
  <c r="BA400" i="26" s="1"/>
  <c r="BM74" i="26"/>
  <c r="BQ73" i="26" s="1"/>
  <c r="AX399" i="26" l="1"/>
  <c r="AR399" i="26"/>
  <c r="AV399" i="26" s="1"/>
  <c r="AW399" i="26"/>
  <c r="BP74" i="26"/>
  <c r="BR74" i="26" s="1"/>
  <c r="BI73" i="26"/>
  <c r="BW73" i="26"/>
  <c r="BX73" i="26" s="1"/>
  <c r="BN73" i="26"/>
  <c r="BO73" i="26"/>
  <c r="AZ398" i="26" l="1"/>
  <c r="BF398" i="26" s="1"/>
  <c r="BG398" i="26" s="1"/>
  <c r="AY399" i="26"/>
  <c r="BA399" i="26" s="1"/>
  <c r="BM73" i="26"/>
  <c r="BQ72" i="26" s="1"/>
  <c r="AX398" i="26" l="1"/>
  <c r="AR398" i="26"/>
  <c r="AV398" i="26" s="1"/>
  <c r="AW398" i="26"/>
  <c r="BP73" i="26"/>
  <c r="BR73" i="26" s="1"/>
  <c r="BO72" i="26"/>
  <c r="BI72" i="26"/>
  <c r="BW72" i="26"/>
  <c r="BX72" i="26" s="1"/>
  <c r="BN72" i="26"/>
  <c r="AZ397" i="26" l="1"/>
  <c r="BF397" i="26" s="1"/>
  <c r="BG397" i="26" s="1"/>
  <c r="AY398" i="26"/>
  <c r="BA398" i="26" s="1"/>
  <c r="BM72" i="26"/>
  <c r="BQ71" i="26" s="1"/>
  <c r="AX397" i="26" l="1"/>
  <c r="AR397" i="26"/>
  <c r="AV397" i="26" s="1"/>
  <c r="AW397" i="26"/>
  <c r="BP72" i="26"/>
  <c r="BR72" i="26" s="1"/>
  <c r="BI71" i="26"/>
  <c r="BO71" i="26"/>
  <c r="BW71" i="26"/>
  <c r="BX71" i="26" s="1"/>
  <c r="BN71" i="26"/>
  <c r="AZ396" i="26" l="1"/>
  <c r="BF396" i="26" s="1"/>
  <c r="BG396" i="26" s="1"/>
  <c r="AY397" i="26"/>
  <c r="BA397" i="26" s="1"/>
  <c r="BM71" i="26"/>
  <c r="BQ70" i="26" s="1"/>
  <c r="AX396" i="26" l="1"/>
  <c r="AR396" i="26"/>
  <c r="AV396" i="26" s="1"/>
  <c r="AW396" i="26"/>
  <c r="BP71" i="26"/>
  <c r="BR71" i="26" s="1"/>
  <c r="BI70" i="26"/>
  <c r="BN70" i="26"/>
  <c r="BO70" i="26"/>
  <c r="BW70" i="26"/>
  <c r="BX70" i="26" s="1"/>
  <c r="AZ395" i="26" l="1"/>
  <c r="BF395" i="26" s="1"/>
  <c r="BG395" i="26" s="1"/>
  <c r="AY396" i="26"/>
  <c r="BA396" i="26" s="1"/>
  <c r="BM70" i="26"/>
  <c r="BQ69" i="26" s="1"/>
  <c r="AX395" i="26" l="1"/>
  <c r="AR395" i="26"/>
  <c r="AV395" i="26" s="1"/>
  <c r="AW395" i="26"/>
  <c r="BP70" i="26"/>
  <c r="BR70" i="26" s="1"/>
  <c r="BW69" i="26"/>
  <c r="BX69" i="26" s="1"/>
  <c r="BO69" i="26"/>
  <c r="BI69" i="26"/>
  <c r="BN69" i="26"/>
  <c r="AZ394" i="26" l="1"/>
  <c r="BF394" i="26" s="1"/>
  <c r="BG394" i="26" s="1"/>
  <c r="AY395" i="26"/>
  <c r="BA395" i="26" s="1"/>
  <c r="BM69" i="26"/>
  <c r="BQ68" i="26" s="1"/>
  <c r="AX394" i="26" l="1"/>
  <c r="AR394" i="26"/>
  <c r="AV394" i="26" s="1"/>
  <c r="AW394" i="26"/>
  <c r="BP69" i="26"/>
  <c r="BR69" i="26" s="1"/>
  <c r="BO68" i="26"/>
  <c r="BI68" i="26"/>
  <c r="BN68" i="26"/>
  <c r="BW68" i="26"/>
  <c r="BX68" i="26" s="1"/>
  <c r="AZ393" i="26" l="1"/>
  <c r="BF393" i="26" s="1"/>
  <c r="BG393" i="26" s="1"/>
  <c r="AY394" i="26"/>
  <c r="BA394" i="26" s="1"/>
  <c r="BM68" i="26"/>
  <c r="BQ67" i="26" s="1"/>
  <c r="AX393" i="26" l="1"/>
  <c r="AR393" i="26"/>
  <c r="AV393" i="26" s="1"/>
  <c r="AW393" i="26"/>
  <c r="BP68" i="26"/>
  <c r="BR68" i="26" s="1"/>
  <c r="BN67" i="26"/>
  <c r="BI67" i="26"/>
  <c r="BW67" i="26"/>
  <c r="BX67" i="26" s="1"/>
  <c r="BO67" i="26"/>
  <c r="AZ392" i="26" l="1"/>
  <c r="BF392" i="26" s="1"/>
  <c r="BG392" i="26" s="1"/>
  <c r="AY393" i="26"/>
  <c r="BA393" i="26" s="1"/>
  <c r="BM67" i="26"/>
  <c r="BQ66" i="26" s="1"/>
  <c r="AX392" i="26" l="1"/>
  <c r="AR392" i="26"/>
  <c r="AV392" i="26" s="1"/>
  <c r="AW392" i="26"/>
  <c r="BP67" i="26"/>
  <c r="BR67" i="26" s="1"/>
  <c r="BO66" i="26"/>
  <c r="BN66" i="26"/>
  <c r="BI66" i="26"/>
  <c r="BW66" i="26"/>
  <c r="BX66" i="26" s="1"/>
  <c r="AZ391" i="26" l="1"/>
  <c r="BF391" i="26" s="1"/>
  <c r="BG391" i="26" s="1"/>
  <c r="AY392" i="26"/>
  <c r="BA392" i="26" s="1"/>
  <c r="BM66" i="26"/>
  <c r="BQ65" i="26" s="1"/>
  <c r="AX391" i="26" l="1"/>
  <c r="AR391" i="26"/>
  <c r="AV391" i="26" s="1"/>
  <c r="AW391" i="26"/>
  <c r="BP66" i="26"/>
  <c r="BR66" i="26" s="1"/>
  <c r="BN65" i="26"/>
  <c r="BW65" i="26"/>
  <c r="BX65" i="26" s="1"/>
  <c r="BO65" i="26"/>
  <c r="BI65" i="26"/>
  <c r="AZ390" i="26" l="1"/>
  <c r="BF390" i="26" s="1"/>
  <c r="BG390" i="26" s="1"/>
  <c r="AY391" i="26"/>
  <c r="BA391" i="26" s="1"/>
  <c r="BM65" i="26"/>
  <c r="BQ64" i="26" s="1"/>
  <c r="AR390" i="26" l="1"/>
  <c r="AV390" i="26" s="1"/>
  <c r="AX390" i="26"/>
  <c r="AW390" i="26"/>
  <c r="BP65" i="26"/>
  <c r="BR65" i="26" s="1"/>
  <c r="BN64" i="26"/>
  <c r="BO64" i="26"/>
  <c r="BI64" i="26"/>
  <c r="BW64" i="26"/>
  <c r="BX64" i="26" s="1"/>
  <c r="F7" i="47" s="1"/>
  <c r="AZ389" i="26" l="1"/>
  <c r="BF389" i="26" s="1"/>
  <c r="BG389" i="26" s="1"/>
  <c r="AY390" i="26"/>
  <c r="BA390" i="26" s="1"/>
  <c r="BM64" i="26"/>
  <c r="BQ63" i="26" s="1"/>
  <c r="AR389" i="26" l="1"/>
  <c r="AV389" i="26" s="1"/>
  <c r="AZ388" i="26" s="1"/>
  <c r="AX389" i="26"/>
  <c r="AW389" i="26"/>
  <c r="BP64" i="26"/>
  <c r="BR64" i="26" s="1"/>
  <c r="BW63" i="26"/>
  <c r="BX63" i="26" s="1"/>
  <c r="BI63" i="26"/>
  <c r="BN63" i="26"/>
  <c r="BO63" i="26"/>
  <c r="AY389" i="26" l="1"/>
  <c r="BA389" i="26" s="1"/>
  <c r="BF388" i="26"/>
  <c r="BG388" i="26" s="1"/>
  <c r="BM63" i="26"/>
  <c r="BQ62" i="26" s="1"/>
  <c r="AR388" i="26" l="1"/>
  <c r="AV388" i="26" s="1"/>
  <c r="AX388" i="26"/>
  <c r="AW388" i="26"/>
  <c r="BP63" i="26"/>
  <c r="BR63" i="26" s="1"/>
  <c r="BO62" i="26"/>
  <c r="BN62" i="26"/>
  <c r="BI62" i="26"/>
  <c r="BW62" i="26"/>
  <c r="BX62" i="26" s="1"/>
  <c r="AZ387" i="26" l="1"/>
  <c r="BF387" i="26" s="1"/>
  <c r="BG387" i="26" s="1"/>
  <c r="AY388" i="26"/>
  <c r="BA388" i="26" s="1"/>
  <c r="BM62" i="26"/>
  <c r="BQ61" i="26" s="1"/>
  <c r="BP62" i="26" l="1"/>
  <c r="BR62" i="26" s="1"/>
  <c r="AR387" i="26"/>
  <c r="AV387" i="26" s="1"/>
  <c r="AZ386" i="26" s="1"/>
  <c r="AX387" i="26"/>
  <c r="AW387" i="26"/>
  <c r="BO61" i="26"/>
  <c r="BI61" i="26"/>
  <c r="BW61" i="26"/>
  <c r="BX61" i="26" s="1"/>
  <c r="BN61" i="26"/>
  <c r="AY387" i="26" l="1"/>
  <c r="BA387" i="26" s="1"/>
  <c r="BF386" i="26"/>
  <c r="BG386" i="26" s="1"/>
  <c r="BM61" i="26"/>
  <c r="BQ60" i="26" s="1"/>
  <c r="AR386" i="26" l="1"/>
  <c r="AV386" i="26" s="1"/>
  <c r="AX386" i="26"/>
  <c r="AW386" i="26"/>
  <c r="BP61" i="26"/>
  <c r="BR61" i="26" s="1"/>
  <c r="BW60" i="26"/>
  <c r="BX60" i="26" s="1"/>
  <c r="BI60" i="26"/>
  <c r="BO60" i="26"/>
  <c r="BN60" i="26"/>
  <c r="AZ385" i="26" l="1"/>
  <c r="BF385" i="26" s="1"/>
  <c r="BG385" i="26" s="1"/>
  <c r="AY386" i="26"/>
  <c r="BA386" i="26" s="1"/>
  <c r="BM60" i="26"/>
  <c r="BQ59" i="26" s="1"/>
  <c r="AR385" i="26" l="1"/>
  <c r="AV385" i="26" s="1"/>
  <c r="AX385" i="26"/>
  <c r="AW385" i="26"/>
  <c r="BP60" i="26"/>
  <c r="BR60" i="26" s="1"/>
  <c r="BW59" i="26"/>
  <c r="BX59" i="26" s="1"/>
  <c r="BI59" i="26"/>
  <c r="BN59" i="26"/>
  <c r="BO59" i="26"/>
  <c r="AZ384" i="26" l="1"/>
  <c r="BF384" i="26" s="1"/>
  <c r="BG384" i="26" s="1"/>
  <c r="AY385" i="26"/>
  <c r="BA385" i="26" s="1"/>
  <c r="BM59" i="26"/>
  <c r="BQ58" i="26" s="1"/>
  <c r="AR384" i="26" l="1"/>
  <c r="AV384" i="26" s="1"/>
  <c r="AX384" i="26"/>
  <c r="AW384" i="26"/>
  <c r="BP59" i="26"/>
  <c r="BR59" i="26" s="1"/>
  <c r="BW58" i="26"/>
  <c r="BX58" i="26" s="1"/>
  <c r="BI58" i="26"/>
  <c r="BN58" i="26"/>
  <c r="BO58" i="26"/>
  <c r="AZ383" i="26" l="1"/>
  <c r="BF383" i="26" s="1"/>
  <c r="BG383" i="26" s="1"/>
  <c r="AY384" i="26"/>
  <c r="BA384" i="26" s="1"/>
  <c r="BM58" i="26"/>
  <c r="BQ57" i="26" s="1"/>
  <c r="AR383" i="26" l="1"/>
  <c r="AV383" i="26" s="1"/>
  <c r="AX383" i="26"/>
  <c r="AW383" i="26"/>
  <c r="BP58" i="26"/>
  <c r="BR58" i="26" s="1"/>
  <c r="BO57" i="26"/>
  <c r="BW57" i="26"/>
  <c r="BX57" i="26" s="1"/>
  <c r="BN57" i="26"/>
  <c r="BI57" i="26"/>
  <c r="AZ382" i="26" l="1"/>
  <c r="BF382" i="26" s="1"/>
  <c r="BG382" i="26" s="1"/>
  <c r="AY383" i="26"/>
  <c r="BA383" i="26" s="1"/>
  <c r="BM57" i="26"/>
  <c r="BQ56" i="26" s="1"/>
  <c r="AR382" i="26" l="1"/>
  <c r="AV382" i="26" s="1"/>
  <c r="AX382" i="26"/>
  <c r="AW382" i="26"/>
  <c r="BP57" i="26"/>
  <c r="BR57" i="26" s="1"/>
  <c r="BO56" i="26"/>
  <c r="BN56" i="26"/>
  <c r="BW56" i="26"/>
  <c r="BX56" i="26" s="1"/>
  <c r="BI56" i="26"/>
  <c r="AZ381" i="26" l="1"/>
  <c r="BF381" i="26" s="1"/>
  <c r="BG381" i="26" s="1"/>
  <c r="AY382" i="26"/>
  <c r="BA382" i="26" s="1"/>
  <c r="BM56" i="26"/>
  <c r="BQ55" i="26" s="1"/>
  <c r="AR381" i="26" l="1"/>
  <c r="AV381" i="26" s="1"/>
  <c r="AX381" i="26"/>
  <c r="AW381" i="26"/>
  <c r="BP56" i="26"/>
  <c r="BR56" i="26" s="1"/>
  <c r="BN55" i="26"/>
  <c r="BW55" i="26"/>
  <c r="BX55" i="26" s="1"/>
  <c r="BI55" i="26"/>
  <c r="BO55" i="26"/>
  <c r="AZ380" i="26" l="1"/>
  <c r="BF380" i="26" s="1"/>
  <c r="BG380" i="26" s="1"/>
  <c r="AY381" i="26"/>
  <c r="BA381" i="26" s="1"/>
  <c r="BM55" i="26"/>
  <c r="BQ54" i="26" s="1"/>
  <c r="AR380" i="26" l="1"/>
  <c r="AV380" i="26" s="1"/>
  <c r="AX380" i="26"/>
  <c r="AW380" i="26"/>
  <c r="BP55" i="26"/>
  <c r="BR55" i="26" s="1"/>
  <c r="BI54" i="26"/>
  <c r="BO54" i="26"/>
  <c r="BN54" i="26"/>
  <c r="BW54" i="26"/>
  <c r="BX54" i="26" s="1"/>
  <c r="AZ379" i="26" l="1"/>
  <c r="BF379" i="26" s="1"/>
  <c r="BG379" i="26" s="1"/>
  <c r="AY380" i="26"/>
  <c r="BA380" i="26" s="1"/>
  <c r="BM54" i="26"/>
  <c r="BQ53" i="26" s="1"/>
  <c r="AR379" i="26" l="1"/>
  <c r="AV379" i="26" s="1"/>
  <c r="AX379" i="26"/>
  <c r="AW379" i="26"/>
  <c r="BP54" i="26"/>
  <c r="BR54" i="26" s="1"/>
  <c r="BN53" i="26"/>
  <c r="BO53" i="26"/>
  <c r="BI53" i="26"/>
  <c r="BW53" i="26"/>
  <c r="BX53" i="26" s="1"/>
  <c r="AZ378" i="26" l="1"/>
  <c r="BF378" i="26" s="1"/>
  <c r="BG378" i="26" s="1"/>
  <c r="AY379" i="26"/>
  <c r="BA379" i="26" s="1"/>
  <c r="BM53" i="26"/>
  <c r="BQ52" i="26" s="1"/>
  <c r="AR378" i="26" l="1"/>
  <c r="AV378" i="26" s="1"/>
  <c r="AX378" i="26"/>
  <c r="AW378" i="26"/>
  <c r="BP53" i="26"/>
  <c r="BR53" i="26" s="1"/>
  <c r="BN52" i="26"/>
  <c r="BW52" i="26"/>
  <c r="BX52" i="26" s="1"/>
  <c r="F6" i="47" s="1"/>
  <c r="BO52" i="26"/>
  <c r="BI52" i="26"/>
  <c r="AZ377" i="26" l="1"/>
  <c r="BF377" i="26" s="1"/>
  <c r="BG377" i="26" s="1"/>
  <c r="AY378" i="26"/>
  <c r="BA378" i="26" s="1"/>
  <c r="BM52" i="26"/>
  <c r="BQ51" i="26" s="1"/>
  <c r="AR377" i="26" l="1"/>
  <c r="AV377" i="26" s="1"/>
  <c r="AX377" i="26"/>
  <c r="AW377" i="26"/>
  <c r="BP52" i="26"/>
  <c r="BR52" i="26" s="1"/>
  <c r="BI51" i="26"/>
  <c r="BO51" i="26"/>
  <c r="BW51" i="26"/>
  <c r="BX51" i="26" s="1"/>
  <c r="BN51" i="26"/>
  <c r="AZ376" i="26" l="1"/>
  <c r="BF376" i="26" s="1"/>
  <c r="BG376" i="26" s="1"/>
  <c r="AY377" i="26"/>
  <c r="BA377" i="26" s="1"/>
  <c r="BM51" i="26"/>
  <c r="BQ50" i="26" s="1"/>
  <c r="AR376" i="26" l="1"/>
  <c r="AV376" i="26" s="1"/>
  <c r="AX376" i="26"/>
  <c r="AW376" i="26"/>
  <c r="BP51" i="26"/>
  <c r="BR51" i="26" s="1"/>
  <c r="BN50" i="26"/>
  <c r="BW50" i="26"/>
  <c r="BX50" i="26" s="1"/>
  <c r="BI50" i="26"/>
  <c r="BO50" i="26"/>
  <c r="AZ375" i="26" l="1"/>
  <c r="BF375" i="26" s="1"/>
  <c r="BG375" i="26" s="1"/>
  <c r="AY376" i="26"/>
  <c r="BA376" i="26" s="1"/>
  <c r="BM50" i="26"/>
  <c r="BQ49" i="26" s="1"/>
  <c r="AR375" i="26" l="1"/>
  <c r="AV375" i="26" s="1"/>
  <c r="AX375" i="26"/>
  <c r="AW375" i="26"/>
  <c r="BP50" i="26"/>
  <c r="BR50" i="26" s="1"/>
  <c r="BO49" i="26"/>
  <c r="BW49" i="26"/>
  <c r="BX49" i="26" s="1"/>
  <c r="BI49" i="26"/>
  <c r="BN49" i="26"/>
  <c r="AZ374" i="26" l="1"/>
  <c r="BF374" i="26" s="1"/>
  <c r="BG374" i="26" s="1"/>
  <c r="AY375" i="26"/>
  <c r="BA375" i="26" s="1"/>
  <c r="BM49" i="26"/>
  <c r="BQ48" i="26" s="1"/>
  <c r="AR374" i="26" l="1"/>
  <c r="AV374" i="26" s="1"/>
  <c r="AX374" i="26"/>
  <c r="AW374" i="26"/>
  <c r="BP49" i="26"/>
  <c r="BR49" i="26" s="1"/>
  <c r="BO48" i="26"/>
  <c r="BW48" i="26"/>
  <c r="BX48" i="26" s="1"/>
  <c r="BN48" i="26"/>
  <c r="BI48" i="26"/>
  <c r="AZ373" i="26" l="1"/>
  <c r="BF373" i="26" s="1"/>
  <c r="BG373" i="26" s="1"/>
  <c r="AY374" i="26"/>
  <c r="BA374" i="26" s="1"/>
  <c r="BM48" i="26"/>
  <c r="BQ47" i="26" s="1"/>
  <c r="AR373" i="26" l="1"/>
  <c r="AV373" i="26" s="1"/>
  <c r="AX373" i="26"/>
  <c r="AW373" i="26"/>
  <c r="BP48" i="26"/>
  <c r="BR48" i="26" s="1"/>
  <c r="BI47" i="26"/>
  <c r="BO47" i="26"/>
  <c r="BW47" i="26"/>
  <c r="BX47" i="26" s="1"/>
  <c r="BN47" i="26"/>
  <c r="AZ372" i="26" l="1"/>
  <c r="BF372" i="26" s="1"/>
  <c r="BG372" i="26" s="1"/>
  <c r="AY373" i="26"/>
  <c r="BA373" i="26" s="1"/>
  <c r="BM47" i="26"/>
  <c r="BQ46" i="26" s="1"/>
  <c r="AR372" i="26" l="1"/>
  <c r="AV372" i="26" s="1"/>
  <c r="AX372" i="26"/>
  <c r="AW372" i="26"/>
  <c r="BP47" i="26"/>
  <c r="BR47" i="26" s="1"/>
  <c r="BN46" i="26"/>
  <c r="BI46" i="26"/>
  <c r="BW46" i="26"/>
  <c r="BX46" i="26" s="1"/>
  <c r="BO46" i="26"/>
  <c r="AZ371" i="26" l="1"/>
  <c r="BF371" i="26" s="1"/>
  <c r="BG371" i="26" s="1"/>
  <c r="AY372" i="26"/>
  <c r="BA372" i="26" s="1"/>
  <c r="BM46" i="26"/>
  <c r="BQ45" i="26" s="1"/>
  <c r="AR371" i="26" l="1"/>
  <c r="AV371" i="26" s="1"/>
  <c r="AX371" i="26"/>
  <c r="AW371" i="26"/>
  <c r="BP46" i="26"/>
  <c r="BR46" i="26" s="1"/>
  <c r="BN45" i="26"/>
  <c r="BI45" i="26"/>
  <c r="BO45" i="26"/>
  <c r="BW45" i="26"/>
  <c r="BX45" i="26" s="1"/>
  <c r="AZ370" i="26" l="1"/>
  <c r="BF370" i="26" s="1"/>
  <c r="BG370" i="26" s="1"/>
  <c r="AY371" i="26"/>
  <c r="BA371" i="26" s="1"/>
  <c r="BM45" i="26"/>
  <c r="BQ44" i="26" s="1"/>
  <c r="AR370" i="26" l="1"/>
  <c r="AV370" i="26" s="1"/>
  <c r="AX370" i="26"/>
  <c r="AW370" i="26"/>
  <c r="BP45" i="26"/>
  <c r="BR45" i="26" s="1"/>
  <c r="BI44" i="26"/>
  <c r="BN44" i="26"/>
  <c r="BO44" i="26"/>
  <c r="BW44" i="26"/>
  <c r="BX44" i="26" s="1"/>
  <c r="AZ369" i="26" l="1"/>
  <c r="BF369" i="26" s="1"/>
  <c r="BG369" i="26" s="1"/>
  <c r="AY370" i="26"/>
  <c r="BA370" i="26" s="1"/>
  <c r="BM44" i="26"/>
  <c r="BQ43" i="26" s="1"/>
  <c r="AR369" i="26" l="1"/>
  <c r="AV369" i="26" s="1"/>
  <c r="AX369" i="26"/>
  <c r="AW369" i="26"/>
  <c r="BP44" i="26"/>
  <c r="BR44" i="26" s="1"/>
  <c r="BW43" i="26"/>
  <c r="BX43" i="26" s="1"/>
  <c r="BN43" i="26"/>
  <c r="BO43" i="26"/>
  <c r="BI43" i="26"/>
  <c r="AZ368" i="26" l="1"/>
  <c r="BF368" i="26" s="1"/>
  <c r="BG368" i="26" s="1"/>
  <c r="AY369" i="26"/>
  <c r="BA369" i="26" s="1"/>
  <c r="BM43" i="26"/>
  <c r="BQ42" i="26" s="1"/>
  <c r="AR368" i="26" l="1"/>
  <c r="AV368" i="26" s="1"/>
  <c r="AX368" i="26"/>
  <c r="AW368" i="26"/>
  <c r="BP43" i="26"/>
  <c r="BR43" i="26" s="1"/>
  <c r="BW42" i="26"/>
  <c r="BX42" i="26" s="1"/>
  <c r="BN42" i="26"/>
  <c r="BO42" i="26"/>
  <c r="BI42" i="26"/>
  <c r="AZ367" i="26" l="1"/>
  <c r="BF367" i="26" s="1"/>
  <c r="BG367" i="26" s="1"/>
  <c r="AY368" i="26"/>
  <c r="BA368" i="26" s="1"/>
  <c r="BM42" i="26"/>
  <c r="BQ41" i="26" s="1"/>
  <c r="AR367" i="26" l="1"/>
  <c r="AV367" i="26" s="1"/>
  <c r="AX367" i="26"/>
  <c r="AW367" i="26"/>
  <c r="BP42" i="26"/>
  <c r="BR42" i="26" s="1"/>
  <c r="BW41" i="26"/>
  <c r="BX41" i="26" s="1"/>
  <c r="BN41" i="26"/>
  <c r="BI41" i="26"/>
  <c r="BO41" i="26"/>
  <c r="AZ366" i="26" l="1"/>
  <c r="BF366" i="26" s="1"/>
  <c r="BG366" i="26" s="1"/>
  <c r="AY367" i="26"/>
  <c r="BA367" i="26" s="1"/>
  <c r="BM41" i="26"/>
  <c r="BQ40" i="26" s="1"/>
  <c r="AR366" i="26" l="1"/>
  <c r="AV366" i="26" s="1"/>
  <c r="AX366" i="26"/>
  <c r="AW366" i="26"/>
  <c r="BP41" i="26"/>
  <c r="BR41" i="26" s="1"/>
  <c r="BN40" i="26"/>
  <c r="BW40" i="26"/>
  <c r="BX40" i="26" s="1"/>
  <c r="F5" i="47" s="1"/>
  <c r="BO40" i="26"/>
  <c r="BI40" i="26"/>
  <c r="AZ365" i="26" l="1"/>
  <c r="BF365" i="26" s="1"/>
  <c r="BG365" i="26" s="1"/>
  <c r="AY366" i="26"/>
  <c r="BA366" i="26" s="1"/>
  <c r="BM40" i="26"/>
  <c r="BQ39" i="26" s="1"/>
  <c r="AR365" i="26" l="1"/>
  <c r="AV365" i="26" s="1"/>
  <c r="AZ364" i="26" s="1"/>
  <c r="AX365" i="26"/>
  <c r="AW365" i="26"/>
  <c r="BP40" i="26"/>
  <c r="BR40" i="26" s="1"/>
  <c r="BI39" i="26"/>
  <c r="BW39" i="26"/>
  <c r="BX39" i="26" s="1"/>
  <c r="BN39" i="26"/>
  <c r="BO39" i="26"/>
  <c r="AY365" i="26" l="1"/>
  <c r="BA365" i="26" s="1"/>
  <c r="BF364" i="26"/>
  <c r="BG364" i="26" s="1"/>
  <c r="BM39" i="26"/>
  <c r="BQ38" i="26" s="1"/>
  <c r="AR364" i="26" l="1"/>
  <c r="AV364" i="26" s="1"/>
  <c r="AW364" i="26"/>
  <c r="AX364" i="26"/>
  <c r="BP39" i="26"/>
  <c r="BR39" i="26" s="1"/>
  <c r="BI38" i="26"/>
  <c r="BO38" i="26"/>
  <c r="BN38" i="26"/>
  <c r="BW38" i="26"/>
  <c r="BX38" i="26" s="1"/>
  <c r="AZ363" i="26" l="1"/>
  <c r="BF363" i="26" s="1"/>
  <c r="BG363" i="26" s="1"/>
  <c r="BM38" i="26"/>
  <c r="BQ37" i="26" s="1"/>
  <c r="AY364" i="26"/>
  <c r="AX363" i="26" l="1"/>
  <c r="AR363" i="26"/>
  <c r="AV363" i="26" s="1"/>
  <c r="AW363" i="26"/>
  <c r="BP38" i="26"/>
  <c r="BR38" i="26" s="1"/>
  <c r="BI37" i="26"/>
  <c r="BW37" i="26"/>
  <c r="BX37" i="26" s="1"/>
  <c r="BN37" i="26"/>
  <c r="BO37" i="26"/>
  <c r="BA364" i="26"/>
  <c r="AZ362" i="26" l="1"/>
  <c r="BF362" i="26" s="1"/>
  <c r="BG362" i="26" s="1"/>
  <c r="BM37" i="26"/>
  <c r="BQ36" i="26" s="1"/>
  <c r="AY363" i="26"/>
  <c r="AR362" i="26" l="1"/>
  <c r="AV362" i="26" s="1"/>
  <c r="AX362" i="26"/>
  <c r="AW362" i="26"/>
  <c r="BP37" i="26"/>
  <c r="BR37" i="26" s="1"/>
  <c r="BN36" i="26"/>
  <c r="BI36" i="26"/>
  <c r="BO36" i="26"/>
  <c r="BW36" i="26"/>
  <c r="BX36" i="26" s="1"/>
  <c r="BA363" i="26"/>
  <c r="AZ361" i="26" l="1"/>
  <c r="BF361" i="26" s="1"/>
  <c r="BG361" i="26" s="1"/>
  <c r="BM36" i="26"/>
  <c r="BQ35" i="26" s="1"/>
  <c r="AY362" i="26"/>
  <c r="AX361" i="26" l="1"/>
  <c r="AR361" i="26"/>
  <c r="AV361" i="26" s="1"/>
  <c r="AW361" i="26"/>
  <c r="BP36" i="26"/>
  <c r="BR36" i="26" s="1"/>
  <c r="BO35" i="26"/>
  <c r="BI35" i="26"/>
  <c r="BW35" i="26"/>
  <c r="BX35" i="26" s="1"/>
  <c r="BN35" i="26"/>
  <c r="BA362" i="26"/>
  <c r="AZ360" i="26" l="1"/>
  <c r="BF360" i="26" s="1"/>
  <c r="BG360" i="26" s="1"/>
  <c r="BM35" i="26"/>
  <c r="BQ34" i="26" s="1"/>
  <c r="AY361" i="26"/>
  <c r="AX360" i="26" l="1"/>
  <c r="AR360" i="26"/>
  <c r="AV360" i="26" s="1"/>
  <c r="AW360" i="26"/>
  <c r="BP35" i="26"/>
  <c r="BR35" i="26" s="1"/>
  <c r="BW34" i="26"/>
  <c r="BX34" i="26" s="1"/>
  <c r="BI34" i="26"/>
  <c r="BO34" i="26"/>
  <c r="BN34" i="26"/>
  <c r="BA361" i="26"/>
  <c r="AZ359" i="26" l="1"/>
  <c r="BF359" i="26" s="1"/>
  <c r="BG359" i="26" s="1"/>
  <c r="BM34" i="26"/>
  <c r="BQ33" i="26" s="1"/>
  <c r="AY360" i="26"/>
  <c r="AX359" i="26" l="1"/>
  <c r="AR359" i="26"/>
  <c r="AV359" i="26" s="1"/>
  <c r="AW359" i="26"/>
  <c r="BP34" i="26"/>
  <c r="BR34" i="26" s="1"/>
  <c r="BO33" i="26"/>
  <c r="BN33" i="26"/>
  <c r="BI33" i="26"/>
  <c r="BW33" i="26"/>
  <c r="BX33" i="26" s="1"/>
  <c r="BA360" i="26"/>
  <c r="AZ358" i="26" l="1"/>
  <c r="BF358" i="26" s="1"/>
  <c r="BG358" i="26" s="1"/>
  <c r="BM33" i="26"/>
  <c r="BQ32" i="26" s="1"/>
  <c r="AY359" i="26"/>
  <c r="AX358" i="26" l="1"/>
  <c r="AR358" i="26"/>
  <c r="AV358" i="26" s="1"/>
  <c r="AW358" i="26"/>
  <c r="BP33" i="26"/>
  <c r="BR33" i="26" s="1"/>
  <c r="BO32" i="26"/>
  <c r="BI32" i="26"/>
  <c r="BW32" i="26"/>
  <c r="BX32" i="26" s="1"/>
  <c r="BN32" i="26"/>
  <c r="BA359" i="26"/>
  <c r="AZ357" i="26" l="1"/>
  <c r="BF357" i="26" s="1"/>
  <c r="BG357" i="26" s="1"/>
  <c r="BM32" i="26"/>
  <c r="BQ31" i="26" s="1"/>
  <c r="AY358" i="26"/>
  <c r="AX357" i="26" l="1"/>
  <c r="AR357" i="26"/>
  <c r="AV357" i="26" s="1"/>
  <c r="AW357" i="26"/>
  <c r="BP32" i="26"/>
  <c r="BR32" i="26" s="1"/>
  <c r="BI31" i="26"/>
  <c r="BN31" i="26"/>
  <c r="BO31" i="26"/>
  <c r="BW31" i="26"/>
  <c r="BX31" i="26" s="1"/>
  <c r="BA358" i="26"/>
  <c r="AZ356" i="26" l="1"/>
  <c r="BF356" i="26" s="1"/>
  <c r="BG356" i="26" s="1"/>
  <c r="BM31" i="26"/>
  <c r="BQ30" i="26" s="1"/>
  <c r="AY357" i="26"/>
  <c r="AX356" i="26" l="1"/>
  <c r="AR356" i="26"/>
  <c r="AV356" i="26" s="1"/>
  <c r="AW356" i="26"/>
  <c r="BP31" i="26"/>
  <c r="BR31" i="26" s="1"/>
  <c r="BO30" i="26"/>
  <c r="BN30" i="26"/>
  <c r="BW30" i="26"/>
  <c r="BX30" i="26" s="1"/>
  <c r="BI30" i="26"/>
  <c r="BA357" i="26"/>
  <c r="AZ355" i="26" l="1"/>
  <c r="BF355" i="26" s="1"/>
  <c r="BG355" i="26" s="1"/>
  <c r="BM30" i="26"/>
  <c r="BQ29" i="26" s="1"/>
  <c r="AY356" i="26"/>
  <c r="AX355" i="26" l="1"/>
  <c r="AR355" i="26"/>
  <c r="AV355" i="26" s="1"/>
  <c r="AW355" i="26"/>
  <c r="BP30" i="26"/>
  <c r="BR30" i="26" s="1"/>
  <c r="BN29" i="26"/>
  <c r="BO29" i="26"/>
  <c r="BW29" i="26"/>
  <c r="BX29" i="26" s="1"/>
  <c r="BI29" i="26"/>
  <c r="BA356" i="26"/>
  <c r="AZ354" i="26" l="1"/>
  <c r="BF354" i="26" s="1"/>
  <c r="BG354" i="26" s="1"/>
  <c r="BM29" i="26"/>
  <c r="BQ28" i="26" s="1"/>
  <c r="AY355" i="26"/>
  <c r="AX354" i="26" l="1"/>
  <c r="AR354" i="26"/>
  <c r="AV354" i="26" s="1"/>
  <c r="AW354" i="26"/>
  <c r="BP29" i="26"/>
  <c r="BR29" i="26" s="1"/>
  <c r="BO28" i="26"/>
  <c r="BN28" i="26"/>
  <c r="BI28" i="26"/>
  <c r="BW28" i="26"/>
  <c r="BX28" i="26" s="1"/>
  <c r="F4" i="47" s="1"/>
  <c r="BA355" i="26"/>
  <c r="AZ353" i="26" l="1"/>
  <c r="BF353" i="26" s="1"/>
  <c r="BG353" i="26" s="1"/>
  <c r="BM28" i="26"/>
  <c r="BQ27" i="26" s="1"/>
  <c r="AY354" i="26"/>
  <c r="AR353" i="26" l="1"/>
  <c r="AV353" i="26" s="1"/>
  <c r="AX353" i="26"/>
  <c r="AW353" i="26"/>
  <c r="BP28" i="26"/>
  <c r="BR28" i="26" s="1"/>
  <c r="BW27" i="26"/>
  <c r="BX27" i="26" s="1"/>
  <c r="BN27" i="26"/>
  <c r="BI27" i="26"/>
  <c r="BO27" i="26"/>
  <c r="BA354" i="26"/>
  <c r="AZ352" i="26" l="1"/>
  <c r="BF352" i="26" s="1"/>
  <c r="BG352" i="26" s="1"/>
  <c r="BM27" i="26"/>
  <c r="BQ26" i="26" s="1"/>
  <c r="AY353" i="26"/>
  <c r="AX352" i="26" l="1"/>
  <c r="AR352" i="26"/>
  <c r="AV352" i="26" s="1"/>
  <c r="AW352" i="26"/>
  <c r="BP27" i="26"/>
  <c r="BR27" i="26" s="1"/>
  <c r="BO26" i="26"/>
  <c r="BI26" i="26"/>
  <c r="BW26" i="26"/>
  <c r="BX26" i="26" s="1"/>
  <c r="BN26" i="26"/>
  <c r="BA353" i="26"/>
  <c r="AZ351" i="26" l="1"/>
  <c r="BF351" i="26" s="1"/>
  <c r="BG351" i="26" s="1"/>
  <c r="BM26" i="26"/>
  <c r="BQ25" i="26" s="1"/>
  <c r="AY352" i="26"/>
  <c r="AX351" i="26" l="1"/>
  <c r="AR351" i="26"/>
  <c r="AV351" i="26" s="1"/>
  <c r="AW351" i="26"/>
  <c r="BP26" i="26"/>
  <c r="BR26" i="26" s="1"/>
  <c r="BW25" i="26"/>
  <c r="BX25" i="26" s="1"/>
  <c r="BO25" i="26"/>
  <c r="BN25" i="26"/>
  <c r="BI25" i="26"/>
  <c r="BA352" i="26"/>
  <c r="AZ350" i="26" l="1"/>
  <c r="BF350" i="26" s="1"/>
  <c r="BG350" i="26" s="1"/>
  <c r="BM25" i="26"/>
  <c r="BQ24" i="26" s="1"/>
  <c r="AY351" i="26"/>
  <c r="AX350" i="26" l="1"/>
  <c r="AR350" i="26"/>
  <c r="AV350" i="26" s="1"/>
  <c r="AW350" i="26"/>
  <c r="BP25" i="26"/>
  <c r="BR25" i="26" s="1"/>
  <c r="BO24" i="26"/>
  <c r="BN24" i="26"/>
  <c r="BW24" i="26"/>
  <c r="BX24" i="26" s="1"/>
  <c r="BI24" i="26"/>
  <c r="BA351" i="26"/>
  <c r="AZ349" i="26" l="1"/>
  <c r="BF349" i="26" s="1"/>
  <c r="BG349" i="26" s="1"/>
  <c r="BM24" i="26"/>
  <c r="BQ23" i="26" s="1"/>
  <c r="AY350" i="26"/>
  <c r="AX349" i="26" l="1"/>
  <c r="AR349" i="26"/>
  <c r="AV349" i="26" s="1"/>
  <c r="AW349" i="26"/>
  <c r="BP24" i="26"/>
  <c r="BR24" i="26" s="1"/>
  <c r="BO23" i="26"/>
  <c r="BW23" i="26"/>
  <c r="BX23" i="26" s="1"/>
  <c r="BN23" i="26"/>
  <c r="BI23" i="26"/>
  <c r="BA350" i="26"/>
  <c r="AZ348" i="26" l="1"/>
  <c r="BF348" i="26" s="1"/>
  <c r="BG348" i="26" s="1"/>
  <c r="BM23" i="26"/>
  <c r="BQ22" i="26" s="1"/>
  <c r="AY349" i="26"/>
  <c r="AX348" i="26" l="1"/>
  <c r="AR348" i="26"/>
  <c r="AV348" i="26" s="1"/>
  <c r="AW348" i="26"/>
  <c r="BP23" i="26"/>
  <c r="BR23" i="26" s="1"/>
  <c r="BO22" i="26"/>
  <c r="BN22" i="26"/>
  <c r="BI22" i="26"/>
  <c r="BW22" i="26"/>
  <c r="BX22" i="26" s="1"/>
  <c r="BA349" i="26"/>
  <c r="AZ347" i="26" l="1"/>
  <c r="BF347" i="26" s="1"/>
  <c r="BG347" i="26" s="1"/>
  <c r="BM22" i="26"/>
  <c r="BQ21" i="26" s="1"/>
  <c r="AY348" i="26"/>
  <c r="AX347" i="26" l="1"/>
  <c r="AR347" i="26"/>
  <c r="AV347" i="26" s="1"/>
  <c r="AW347" i="26"/>
  <c r="BP22" i="26"/>
  <c r="BR22" i="26" s="1"/>
  <c r="BI21" i="26"/>
  <c r="BW21" i="26"/>
  <c r="BX21" i="26" s="1"/>
  <c r="BN21" i="26"/>
  <c r="BO21" i="26"/>
  <c r="BA348" i="26"/>
  <c r="AZ346" i="26" l="1"/>
  <c r="BF346" i="26" s="1"/>
  <c r="BG346" i="26" s="1"/>
  <c r="BM21" i="26"/>
  <c r="BQ20" i="26" s="1"/>
  <c r="AY347" i="26"/>
  <c r="AX346" i="26" l="1"/>
  <c r="AR346" i="26"/>
  <c r="AV346" i="26" s="1"/>
  <c r="AW346" i="26"/>
  <c r="BP21" i="26"/>
  <c r="BR21" i="26" s="1"/>
  <c r="BN20" i="26"/>
  <c r="BI20" i="26"/>
  <c r="BW20" i="26"/>
  <c r="BX20" i="26" s="1"/>
  <c r="BO20" i="26"/>
  <c r="BA347" i="26"/>
  <c r="AZ345" i="26" l="1"/>
  <c r="BF345" i="26" s="1"/>
  <c r="BG345" i="26" s="1"/>
  <c r="BM20" i="26"/>
  <c r="BQ19" i="26" s="1"/>
  <c r="AY346" i="26"/>
  <c r="AX345" i="26" l="1"/>
  <c r="AR345" i="26"/>
  <c r="AV345" i="26" s="1"/>
  <c r="AW345" i="26"/>
  <c r="BP20" i="26"/>
  <c r="BR20" i="26" s="1"/>
  <c r="BN19" i="26"/>
  <c r="BI19" i="26"/>
  <c r="BW19" i="26"/>
  <c r="BX19" i="26" s="1"/>
  <c r="BO19" i="26"/>
  <c r="BA346" i="26"/>
  <c r="AZ344" i="26" l="1"/>
  <c r="BF344" i="26" s="1"/>
  <c r="BG344" i="26" s="1"/>
  <c r="BM19" i="26"/>
  <c r="BQ18" i="26" s="1"/>
  <c r="AY345" i="26"/>
  <c r="AX344" i="26" l="1"/>
  <c r="AR344" i="26"/>
  <c r="AV344" i="26" s="1"/>
  <c r="AW344" i="26"/>
  <c r="BP19" i="26"/>
  <c r="BR19" i="26" s="1"/>
  <c r="BI18" i="26"/>
  <c r="BO18" i="26"/>
  <c r="BW18" i="26"/>
  <c r="BX18" i="26" s="1"/>
  <c r="BN18" i="26"/>
  <c r="BA345" i="26"/>
  <c r="AZ343" i="26" l="1"/>
  <c r="BF343" i="26" s="1"/>
  <c r="BG343" i="26" s="1"/>
  <c r="BM18" i="26"/>
  <c r="BQ17" i="26" s="1"/>
  <c r="AY344" i="26"/>
  <c r="AX343" i="26" l="1"/>
  <c r="AR343" i="26"/>
  <c r="AV343" i="26" s="1"/>
  <c r="AW343" i="26"/>
  <c r="BP18" i="26"/>
  <c r="BR18" i="26" s="1"/>
  <c r="BW17" i="26"/>
  <c r="BX17" i="26" s="1"/>
  <c r="BN17" i="26"/>
  <c r="BO17" i="26"/>
  <c r="BI17" i="26"/>
  <c r="BA344" i="26"/>
  <c r="AZ342" i="26" l="1"/>
  <c r="BF342" i="26" s="1"/>
  <c r="BG342" i="26" s="1"/>
  <c r="BM17" i="26"/>
  <c r="BQ16" i="26" s="1"/>
  <c r="AY343" i="26"/>
  <c r="AX342" i="26" l="1"/>
  <c r="AR342" i="26"/>
  <c r="AV342" i="26" s="1"/>
  <c r="AW342" i="26"/>
  <c r="BP17" i="26"/>
  <c r="BR17" i="26" s="1"/>
  <c r="BO16" i="26"/>
  <c r="BW16" i="26"/>
  <c r="BX16" i="26" s="1"/>
  <c r="F3" i="47" s="1"/>
  <c r="BN16" i="26"/>
  <c r="BI16" i="26"/>
  <c r="BA343" i="26"/>
  <c r="AZ341" i="26" l="1"/>
  <c r="BF341" i="26" s="1"/>
  <c r="BG341" i="26" s="1"/>
  <c r="BM16" i="26"/>
  <c r="BQ15" i="26" s="1"/>
  <c r="AY342" i="26"/>
  <c r="AX341" i="26" l="1"/>
  <c r="AR341" i="26"/>
  <c r="AV341" i="26" s="1"/>
  <c r="AW341" i="26"/>
  <c r="BP16" i="26"/>
  <c r="BR16" i="26" s="1"/>
  <c r="BN15" i="26"/>
  <c r="BW15" i="26"/>
  <c r="BX15" i="26" s="1"/>
  <c r="BO15" i="26"/>
  <c r="BI15" i="26"/>
  <c r="BA342" i="26"/>
  <c r="AZ340" i="26" l="1"/>
  <c r="BF340" i="26" s="1"/>
  <c r="BG340" i="26" s="1"/>
  <c r="BM15" i="26"/>
  <c r="BQ14" i="26" s="1"/>
  <c r="AY341" i="26"/>
  <c r="AX340" i="26" l="1"/>
  <c r="AR340" i="26"/>
  <c r="AV340" i="26" s="1"/>
  <c r="AW340" i="26"/>
  <c r="BP15" i="26"/>
  <c r="BR15" i="26" s="1"/>
  <c r="BN14" i="26"/>
  <c r="BO14" i="26"/>
  <c r="BI14" i="26"/>
  <c r="BW14" i="26"/>
  <c r="BX14" i="26" s="1"/>
  <c r="BA341" i="26"/>
  <c r="AZ339" i="26" l="1"/>
  <c r="BF339" i="26" s="1"/>
  <c r="BG339" i="26" s="1"/>
  <c r="BM14" i="26"/>
  <c r="BQ13" i="26" s="1"/>
  <c r="AY340" i="26"/>
  <c r="AX339" i="26" l="1"/>
  <c r="AR339" i="26"/>
  <c r="AV339" i="26" s="1"/>
  <c r="AW339" i="26"/>
  <c r="BP14" i="26"/>
  <c r="BR14" i="26" s="1"/>
  <c r="BO13" i="26"/>
  <c r="BI13" i="26"/>
  <c r="BN13" i="26"/>
  <c r="BW13" i="26"/>
  <c r="BX13" i="26" s="1"/>
  <c r="BA340" i="26"/>
  <c r="AZ338" i="26" l="1"/>
  <c r="BF338" i="26" s="1"/>
  <c r="BG338" i="26" s="1"/>
  <c r="BM13" i="26"/>
  <c r="BQ12" i="26" s="1"/>
  <c r="AY339" i="26"/>
  <c r="AX338" i="26" l="1"/>
  <c r="AR338" i="26"/>
  <c r="AV338" i="26" s="1"/>
  <c r="AW338" i="26"/>
  <c r="BP13" i="26"/>
  <c r="BR13" i="26" s="1"/>
  <c r="BI12" i="26"/>
  <c r="BO12" i="26"/>
  <c r="BN12" i="26"/>
  <c r="BW12" i="26"/>
  <c r="BX12" i="26" s="1"/>
  <c r="BA339" i="26"/>
  <c r="AZ337" i="26" l="1"/>
  <c r="BF337" i="26" s="1"/>
  <c r="BG337" i="26" s="1"/>
  <c r="BM12" i="26"/>
  <c r="BQ11" i="26" s="1"/>
  <c r="AY338" i="26"/>
  <c r="AX337" i="26" l="1"/>
  <c r="AR337" i="26"/>
  <c r="AV337" i="26" s="1"/>
  <c r="AW337" i="26"/>
  <c r="BP12" i="26"/>
  <c r="BR12" i="26" s="1"/>
  <c r="BO11" i="26"/>
  <c r="BW11" i="26"/>
  <c r="BX11" i="26" s="1"/>
  <c r="BN11" i="26"/>
  <c r="BI11" i="26"/>
  <c r="BA338" i="26"/>
  <c r="AZ336" i="26" l="1"/>
  <c r="BF336" i="26" s="1"/>
  <c r="BG336" i="26" s="1"/>
  <c r="BM11" i="26"/>
  <c r="BQ10" i="26" s="1"/>
  <c r="AY337" i="26"/>
  <c r="AX336" i="26" l="1"/>
  <c r="AR336" i="26"/>
  <c r="AV336" i="26" s="1"/>
  <c r="AW336" i="26"/>
  <c r="BP11" i="26"/>
  <c r="BR11" i="26" s="1"/>
  <c r="BN10" i="26"/>
  <c r="BO10" i="26"/>
  <c r="BW10" i="26"/>
  <c r="BX10" i="26" s="1"/>
  <c r="BI10" i="26"/>
  <c r="BA337" i="26"/>
  <c r="AZ335" i="26" l="1"/>
  <c r="BF335" i="26" s="1"/>
  <c r="BG335" i="26" s="1"/>
  <c r="BM10" i="26"/>
  <c r="BQ9" i="26" s="1"/>
  <c r="AY336" i="26"/>
  <c r="AX335" i="26" l="1"/>
  <c r="AR335" i="26"/>
  <c r="AV335" i="26" s="1"/>
  <c r="AW335" i="26"/>
  <c r="BP10" i="26"/>
  <c r="BR10" i="26" s="1"/>
  <c r="BI9" i="26"/>
  <c r="BW9" i="26"/>
  <c r="BX9" i="26" s="1"/>
  <c r="BN9" i="26"/>
  <c r="BO9" i="26"/>
  <c r="BA336" i="26"/>
  <c r="AZ334" i="26" l="1"/>
  <c r="BF334" i="26" s="1"/>
  <c r="BG334" i="26" s="1"/>
  <c r="BM9" i="26"/>
  <c r="BQ8" i="26" s="1"/>
  <c r="AY335" i="26"/>
  <c r="AX334" i="26" l="1"/>
  <c r="AR334" i="26"/>
  <c r="AV334" i="26" s="1"/>
  <c r="AW334" i="26"/>
  <c r="BP9" i="26"/>
  <c r="BR9" i="26" s="1"/>
  <c r="BN8" i="26"/>
  <c r="BI8" i="26"/>
  <c r="BO8" i="26"/>
  <c r="BW8" i="26"/>
  <c r="BX8" i="26" s="1"/>
  <c r="BA335" i="26"/>
  <c r="AZ333" i="26" l="1"/>
  <c r="BF333" i="26" s="1"/>
  <c r="BG333" i="26" s="1"/>
  <c r="BM8" i="26"/>
  <c r="BQ7" i="26" s="1"/>
  <c r="AY334" i="26"/>
  <c r="AX333" i="26" l="1"/>
  <c r="AR333" i="26"/>
  <c r="AV333" i="26" s="1"/>
  <c r="AW333" i="26"/>
  <c r="BP8" i="26"/>
  <c r="BR8" i="26" s="1"/>
  <c r="BI7" i="26"/>
  <c r="BN7" i="26"/>
  <c r="BO7" i="26"/>
  <c r="BW7" i="26"/>
  <c r="BX7" i="26" s="1"/>
  <c r="BA334" i="26"/>
  <c r="AZ332" i="26" l="1"/>
  <c r="BF332" i="26" s="1"/>
  <c r="BG332" i="26" s="1"/>
  <c r="BM7" i="26"/>
  <c r="BQ6" i="26" s="1"/>
  <c r="AY333" i="26"/>
  <c r="AX332" i="26" l="1"/>
  <c r="AR332" i="26"/>
  <c r="AV332" i="26" s="1"/>
  <c r="AW332" i="26"/>
  <c r="BP7" i="26"/>
  <c r="BR7" i="26" s="1"/>
  <c r="BI6" i="26"/>
  <c r="BO6" i="26"/>
  <c r="BN6" i="26"/>
  <c r="BW6" i="26"/>
  <c r="BX6" i="26" s="1"/>
  <c r="BA333" i="26"/>
  <c r="AZ331" i="26" l="1"/>
  <c r="BF331" i="26" s="1"/>
  <c r="BG331" i="26" s="1"/>
  <c r="BM6" i="26"/>
  <c r="BQ5" i="26" s="1"/>
  <c r="AY332" i="26"/>
  <c r="AX331" i="26" l="1"/>
  <c r="AR331" i="26"/>
  <c r="AV331" i="26" s="1"/>
  <c r="AW331" i="26"/>
  <c r="BP6" i="26"/>
  <c r="BR6" i="26" s="1"/>
  <c r="BW5" i="26"/>
  <c r="BX5" i="26" s="1"/>
  <c r="BI5" i="26"/>
  <c r="BO5" i="26"/>
  <c r="BN5" i="26"/>
  <c r="BA332" i="26"/>
  <c r="AZ330" i="26" l="1"/>
  <c r="BF330" i="26" s="1"/>
  <c r="BG330" i="26" s="1"/>
  <c r="BM5" i="26"/>
  <c r="BP5" i="26" s="1"/>
  <c r="BR5" i="26" s="1"/>
  <c r="AY331" i="26"/>
  <c r="AX330" i="26" l="1"/>
  <c r="AR330" i="26"/>
  <c r="AV330" i="26" s="1"/>
  <c r="AW330" i="26"/>
  <c r="BA331" i="26"/>
  <c r="AZ329" i="26" l="1"/>
  <c r="BF329" i="26" s="1"/>
  <c r="BG329" i="26" s="1"/>
  <c r="AY330" i="26"/>
  <c r="AW329" i="26" l="1"/>
  <c r="AX329" i="26"/>
  <c r="AR329" i="26"/>
  <c r="AV329" i="26" s="1"/>
  <c r="BA330" i="26"/>
  <c r="AZ328" i="26" l="1"/>
  <c r="BF328" i="26" s="1"/>
  <c r="BG328" i="26" s="1"/>
  <c r="AY329" i="26"/>
  <c r="AW328" i="26" l="1"/>
  <c r="AX328" i="26"/>
  <c r="AR328" i="26"/>
  <c r="AV328" i="26" s="1"/>
  <c r="BA329" i="26"/>
  <c r="AZ327" i="26" l="1"/>
  <c r="BF327" i="26" s="1"/>
  <c r="BG327" i="26" s="1"/>
  <c r="AY328" i="26"/>
  <c r="AW327" i="26" l="1"/>
  <c r="AX327" i="26"/>
  <c r="AR327" i="26"/>
  <c r="AV327" i="26" s="1"/>
  <c r="BA328" i="26"/>
  <c r="AZ326" i="26" l="1"/>
  <c r="BF326" i="26" s="1"/>
  <c r="BG326" i="26" s="1"/>
  <c r="AY327" i="26"/>
  <c r="AW326" i="26" l="1"/>
  <c r="AX326" i="26"/>
  <c r="AR326" i="26"/>
  <c r="AV326" i="26" s="1"/>
  <c r="BA327" i="26"/>
  <c r="AZ325" i="26" l="1"/>
  <c r="BF325" i="26" s="1"/>
  <c r="BG325" i="26" s="1"/>
  <c r="AY326" i="26"/>
  <c r="AW325" i="26" l="1"/>
  <c r="AX325" i="26"/>
  <c r="AR325" i="26"/>
  <c r="AV325" i="26" s="1"/>
  <c r="BA326" i="26"/>
  <c r="AZ324" i="26" l="1"/>
  <c r="BF324" i="26" s="1"/>
  <c r="BG324" i="26" s="1"/>
  <c r="AY325" i="26"/>
  <c r="AW324" i="26" l="1"/>
  <c r="AX324" i="26"/>
  <c r="AR324" i="26"/>
  <c r="AV324" i="26" s="1"/>
  <c r="BA325" i="26"/>
  <c r="AZ323" i="26" l="1"/>
  <c r="BF323" i="26" s="1"/>
  <c r="BG323" i="26" s="1"/>
  <c r="AY324" i="26"/>
  <c r="AW323" i="26" l="1"/>
  <c r="AX323" i="26"/>
  <c r="AR323" i="26"/>
  <c r="AV323" i="26" s="1"/>
  <c r="BA324" i="26"/>
  <c r="AZ322" i="26" l="1"/>
  <c r="BF322" i="26" s="1"/>
  <c r="BG322" i="26" s="1"/>
  <c r="AY323" i="26"/>
  <c r="AW322" i="26" l="1"/>
  <c r="AX322" i="26"/>
  <c r="AR322" i="26"/>
  <c r="AV322" i="26" s="1"/>
  <c r="BA323" i="26"/>
  <c r="AZ321" i="26" l="1"/>
  <c r="BF321" i="26" s="1"/>
  <c r="BG321" i="26" s="1"/>
  <c r="AY322" i="26"/>
  <c r="AW321" i="26" l="1"/>
  <c r="AX321" i="26"/>
  <c r="AR321" i="26"/>
  <c r="AV321" i="26" s="1"/>
  <c r="BA322" i="26"/>
  <c r="AZ320" i="26" l="1"/>
  <c r="BF320" i="26" s="1"/>
  <c r="BG320" i="26" s="1"/>
  <c r="AY321" i="26"/>
  <c r="AW320" i="26" l="1"/>
  <c r="AX320" i="26"/>
  <c r="AR320" i="26"/>
  <c r="AV320" i="26" s="1"/>
  <c r="BA321" i="26"/>
  <c r="AZ319" i="26" l="1"/>
  <c r="BF319" i="26" s="1"/>
  <c r="BG319" i="26" s="1"/>
  <c r="AY320" i="26"/>
  <c r="AW319" i="26" l="1"/>
  <c r="AX319" i="26"/>
  <c r="AR319" i="26"/>
  <c r="AV319" i="26" s="1"/>
  <c r="BA320" i="26"/>
  <c r="AZ318" i="26" l="1"/>
  <c r="BF318" i="26" s="1"/>
  <c r="BG318" i="26" s="1"/>
  <c r="AY319" i="26"/>
  <c r="AW318" i="26" l="1"/>
  <c r="AX318" i="26"/>
  <c r="AR318" i="26"/>
  <c r="AV318" i="26" s="1"/>
  <c r="BA319" i="26"/>
  <c r="AZ317" i="26" l="1"/>
  <c r="BF317" i="26" s="1"/>
  <c r="BG317" i="26" s="1"/>
  <c r="AY318" i="26"/>
  <c r="AW317" i="26" l="1"/>
  <c r="AX317" i="26"/>
  <c r="AR317" i="26"/>
  <c r="AV317" i="26" s="1"/>
  <c r="BA318" i="26"/>
  <c r="AZ316" i="26" l="1"/>
  <c r="BF316" i="26" s="1"/>
  <c r="BG316" i="26" s="1"/>
  <c r="AY317" i="26"/>
  <c r="AW316" i="26" l="1"/>
  <c r="AX316" i="26"/>
  <c r="AR316" i="26"/>
  <c r="AV316" i="26" s="1"/>
  <c r="BA317" i="26"/>
  <c r="AZ315" i="26" l="1"/>
  <c r="BF315" i="26" s="1"/>
  <c r="BG315" i="26" s="1"/>
  <c r="AY316" i="26"/>
  <c r="AW315" i="26" l="1"/>
  <c r="AX315" i="26"/>
  <c r="AR315" i="26"/>
  <c r="AV315" i="26" s="1"/>
  <c r="BA316" i="26"/>
  <c r="AZ314" i="26" l="1"/>
  <c r="BF314" i="26" s="1"/>
  <c r="BG314" i="26" s="1"/>
  <c r="AY315" i="26"/>
  <c r="AW314" i="26" l="1"/>
  <c r="AX314" i="26"/>
  <c r="AR314" i="26"/>
  <c r="AV314" i="26" s="1"/>
  <c r="BA315" i="26"/>
  <c r="AZ313" i="26" l="1"/>
  <c r="BF313" i="26" s="1"/>
  <c r="BG313" i="26" s="1"/>
  <c r="AY314" i="26"/>
  <c r="AW313" i="26" l="1"/>
  <c r="AX313" i="26"/>
  <c r="AR313" i="26"/>
  <c r="AV313" i="26" s="1"/>
  <c r="BA314" i="26"/>
  <c r="AZ312" i="26" l="1"/>
  <c r="BF312" i="26" s="1"/>
  <c r="BG312" i="26" s="1"/>
  <c r="AY313" i="26"/>
  <c r="AW312" i="26" l="1"/>
  <c r="AX312" i="26"/>
  <c r="AR312" i="26"/>
  <c r="AV312" i="26" s="1"/>
  <c r="BA313" i="26"/>
  <c r="AZ311" i="26" l="1"/>
  <c r="BF311" i="26" s="1"/>
  <c r="BG311" i="26" s="1"/>
  <c r="AY312" i="26"/>
  <c r="AW311" i="26" l="1"/>
  <c r="AX311" i="26"/>
  <c r="AR311" i="26"/>
  <c r="AV311" i="26" s="1"/>
  <c r="BA312" i="26"/>
  <c r="AZ310" i="26" l="1"/>
  <c r="BF310" i="26" s="1"/>
  <c r="BG310" i="26" s="1"/>
  <c r="AY311" i="26"/>
  <c r="AW310" i="26" l="1"/>
  <c r="AX310" i="26"/>
  <c r="AR310" i="26"/>
  <c r="AV310" i="26" s="1"/>
  <c r="BA311" i="26"/>
  <c r="AZ309" i="26" l="1"/>
  <c r="BF309" i="26" s="1"/>
  <c r="BG309" i="26" s="1"/>
  <c r="AY310" i="26"/>
  <c r="AW309" i="26" l="1"/>
  <c r="AX309" i="26"/>
  <c r="AR309" i="26"/>
  <c r="AV309" i="26" s="1"/>
  <c r="BA310" i="26"/>
  <c r="AZ308" i="26" l="1"/>
  <c r="BF308" i="26" s="1"/>
  <c r="BG308" i="26" s="1"/>
  <c r="AY309" i="26"/>
  <c r="AW308" i="26" l="1"/>
  <c r="AX308" i="26"/>
  <c r="AR308" i="26"/>
  <c r="AV308" i="26" s="1"/>
  <c r="BA309" i="26"/>
  <c r="AZ307" i="26" l="1"/>
  <c r="BF307" i="26" s="1"/>
  <c r="BG307" i="26" s="1"/>
  <c r="AY308" i="26"/>
  <c r="AW307" i="26" l="1"/>
  <c r="AX307" i="26"/>
  <c r="AR307" i="26"/>
  <c r="AV307" i="26" s="1"/>
  <c r="BA308" i="26"/>
  <c r="AZ306" i="26" l="1"/>
  <c r="BF306" i="26" s="1"/>
  <c r="BG306" i="26" s="1"/>
  <c r="AY307" i="26"/>
  <c r="AW306" i="26" l="1"/>
  <c r="AX306" i="26"/>
  <c r="AR306" i="26"/>
  <c r="AV306" i="26" s="1"/>
  <c r="BA307" i="26"/>
  <c r="AZ305" i="26" l="1"/>
  <c r="BF305" i="26" s="1"/>
  <c r="BG305" i="26" s="1"/>
  <c r="AY306" i="26"/>
  <c r="AW305" i="26" l="1"/>
  <c r="AX305" i="26"/>
  <c r="AR305" i="26"/>
  <c r="AV305" i="26" s="1"/>
  <c r="BA306" i="26"/>
  <c r="AZ304" i="26" l="1"/>
  <c r="BF304" i="26" s="1"/>
  <c r="BG304" i="26" s="1"/>
  <c r="AY305" i="26"/>
  <c r="AW304" i="26" l="1"/>
  <c r="AX304" i="26"/>
  <c r="AR304" i="26"/>
  <c r="AV304" i="26" s="1"/>
  <c r="BA305" i="26"/>
  <c r="AZ303" i="26" l="1"/>
  <c r="BF303" i="26" s="1"/>
  <c r="BG303" i="26" s="1"/>
  <c r="AY304" i="26"/>
  <c r="AW303" i="26" l="1"/>
  <c r="AX303" i="26"/>
  <c r="AR303" i="26"/>
  <c r="AV303" i="26" s="1"/>
  <c r="BA304" i="26"/>
  <c r="AZ302" i="26" l="1"/>
  <c r="BF302" i="26" s="1"/>
  <c r="BG302" i="26" s="1"/>
  <c r="AY303" i="26"/>
  <c r="AW302" i="26" l="1"/>
  <c r="AX302" i="26"/>
  <c r="AR302" i="26"/>
  <c r="AV302" i="26" s="1"/>
  <c r="BA303" i="26"/>
  <c r="AZ301" i="26" l="1"/>
  <c r="BF301" i="26" s="1"/>
  <c r="BG301" i="26" s="1"/>
  <c r="AY302" i="26"/>
  <c r="AW301" i="26" l="1"/>
  <c r="AX301" i="26"/>
  <c r="AR301" i="26"/>
  <c r="AV301" i="26" s="1"/>
  <c r="BA302" i="26"/>
  <c r="AZ300" i="26" l="1"/>
  <c r="BF300" i="26" s="1"/>
  <c r="BG300" i="26" s="1"/>
  <c r="AY301" i="26"/>
  <c r="AW300" i="26" l="1"/>
  <c r="AX300" i="26"/>
  <c r="AR300" i="26"/>
  <c r="AV300" i="26" s="1"/>
  <c r="BA301" i="26"/>
  <c r="AZ299" i="26" l="1"/>
  <c r="BF299" i="26" s="1"/>
  <c r="BG299" i="26" s="1"/>
  <c r="AY300" i="26"/>
  <c r="AW299" i="26" l="1"/>
  <c r="AX299" i="26"/>
  <c r="AR299" i="26"/>
  <c r="AV299" i="26" s="1"/>
  <c r="BA300" i="26"/>
  <c r="AZ298" i="26" l="1"/>
  <c r="BF298" i="26" s="1"/>
  <c r="BG298" i="26" s="1"/>
  <c r="AY299" i="26"/>
  <c r="AW298" i="26" l="1"/>
  <c r="AX298" i="26"/>
  <c r="AR298" i="26"/>
  <c r="AV298" i="26" s="1"/>
  <c r="BA299" i="26"/>
  <c r="AZ297" i="26" l="1"/>
  <c r="BF297" i="26" s="1"/>
  <c r="BG297" i="26" s="1"/>
  <c r="AY298" i="26"/>
  <c r="AW297" i="26" l="1"/>
  <c r="AX297" i="26"/>
  <c r="AR297" i="26"/>
  <c r="AV297" i="26" s="1"/>
  <c r="BA298" i="26"/>
  <c r="AZ296" i="26" l="1"/>
  <c r="BF296" i="26" s="1"/>
  <c r="BG296" i="26" s="1"/>
  <c r="AY297" i="26"/>
  <c r="AW296" i="26" l="1"/>
  <c r="AX296" i="26"/>
  <c r="AR296" i="26"/>
  <c r="AV296" i="26" s="1"/>
  <c r="BA297" i="26"/>
  <c r="AZ295" i="26" l="1"/>
  <c r="BF295" i="26" s="1"/>
  <c r="BG295" i="26" s="1"/>
  <c r="AY296" i="26"/>
  <c r="AW295" i="26" l="1"/>
  <c r="AX295" i="26"/>
  <c r="AR295" i="26"/>
  <c r="AV295" i="26" s="1"/>
  <c r="BA296" i="26"/>
  <c r="AZ294" i="26" l="1"/>
  <c r="BF294" i="26" s="1"/>
  <c r="BG294" i="26" s="1"/>
  <c r="AY295" i="26"/>
  <c r="AW294" i="26" l="1"/>
  <c r="AX294" i="26"/>
  <c r="AR294" i="26"/>
  <c r="AV294" i="26" s="1"/>
  <c r="BA295" i="26"/>
  <c r="AZ293" i="26" l="1"/>
  <c r="BF293" i="26" s="1"/>
  <c r="BG293" i="26" s="1"/>
  <c r="AY294" i="26"/>
  <c r="AW293" i="26" l="1"/>
  <c r="AX293" i="26"/>
  <c r="AR293" i="26"/>
  <c r="AV293" i="26" s="1"/>
  <c r="BA294" i="26"/>
  <c r="AZ292" i="26" l="1"/>
  <c r="BF292" i="26" s="1"/>
  <c r="BG292" i="26" s="1"/>
  <c r="AY293" i="26"/>
  <c r="AW292" i="26" l="1"/>
  <c r="AX292" i="26"/>
  <c r="AR292" i="26"/>
  <c r="AV292" i="26" s="1"/>
  <c r="BA293" i="26"/>
  <c r="AZ291" i="26" l="1"/>
  <c r="BF291" i="26" s="1"/>
  <c r="BG291" i="26" s="1"/>
  <c r="AY292" i="26"/>
  <c r="AW291" i="26" l="1"/>
  <c r="AX291" i="26"/>
  <c r="AR291" i="26"/>
  <c r="AV291" i="26" s="1"/>
  <c r="BA292" i="26"/>
  <c r="AZ290" i="26" l="1"/>
  <c r="BF290" i="26" s="1"/>
  <c r="BG290" i="26" s="1"/>
  <c r="AY291" i="26"/>
  <c r="AW290" i="26" l="1"/>
  <c r="AX290" i="26"/>
  <c r="AR290" i="26"/>
  <c r="AV290" i="26" s="1"/>
  <c r="BA291" i="26"/>
  <c r="AZ289" i="26" l="1"/>
  <c r="BF289" i="26" s="1"/>
  <c r="BG289" i="26" s="1"/>
  <c r="AY290" i="26"/>
  <c r="AW289" i="26" l="1"/>
  <c r="AX289" i="26"/>
  <c r="AR289" i="26"/>
  <c r="AV289" i="26" s="1"/>
  <c r="BA290" i="26"/>
  <c r="AZ288" i="26" l="1"/>
  <c r="BF288" i="26" s="1"/>
  <c r="BG288" i="26" s="1"/>
  <c r="AY289" i="26"/>
  <c r="AW288" i="26" l="1"/>
  <c r="AX288" i="26"/>
  <c r="AR288" i="26"/>
  <c r="AV288" i="26" s="1"/>
  <c r="BA289" i="26"/>
  <c r="AZ287" i="26" l="1"/>
  <c r="BF287" i="26" s="1"/>
  <c r="BG287" i="26" s="1"/>
  <c r="AY288" i="26"/>
  <c r="AW287" i="26" l="1"/>
  <c r="AX287" i="26"/>
  <c r="AR287" i="26"/>
  <c r="AV287" i="26" s="1"/>
  <c r="BA288" i="26"/>
  <c r="AZ286" i="26" l="1"/>
  <c r="BF286" i="26" s="1"/>
  <c r="BG286" i="26" s="1"/>
  <c r="AY287" i="26"/>
  <c r="AW286" i="26" l="1"/>
  <c r="AX286" i="26"/>
  <c r="AR286" i="26"/>
  <c r="AV286" i="26" s="1"/>
  <c r="BA287" i="26"/>
  <c r="AZ285" i="26" l="1"/>
  <c r="BF285" i="26" s="1"/>
  <c r="BG285" i="26" s="1"/>
  <c r="AY286" i="26"/>
  <c r="AW285" i="26" l="1"/>
  <c r="AX285" i="26"/>
  <c r="AR285" i="26"/>
  <c r="AV285" i="26" s="1"/>
  <c r="BA286" i="26"/>
  <c r="AZ284" i="26" l="1"/>
  <c r="BF284" i="26" s="1"/>
  <c r="BG284" i="26" s="1"/>
  <c r="AY285" i="26"/>
  <c r="AW284" i="26" l="1"/>
  <c r="AX284" i="26"/>
  <c r="AR284" i="26"/>
  <c r="AV284" i="26" s="1"/>
  <c r="BA285" i="26"/>
  <c r="AZ283" i="26" l="1"/>
  <c r="BF283" i="26" s="1"/>
  <c r="BG283" i="26" s="1"/>
  <c r="AY284" i="26"/>
  <c r="AW283" i="26" l="1"/>
  <c r="AX283" i="26"/>
  <c r="AR283" i="26"/>
  <c r="AV283" i="26" s="1"/>
  <c r="BA284" i="26"/>
  <c r="AZ282" i="26" l="1"/>
  <c r="BF282" i="26" s="1"/>
  <c r="BG282" i="26" s="1"/>
  <c r="AY283" i="26"/>
  <c r="AW282" i="26" l="1"/>
  <c r="AX282" i="26"/>
  <c r="AR282" i="26"/>
  <c r="AV282" i="26" s="1"/>
  <c r="BA283" i="26"/>
  <c r="AZ281" i="26" l="1"/>
  <c r="BF281" i="26" s="1"/>
  <c r="BG281" i="26" s="1"/>
  <c r="AY282" i="26"/>
  <c r="AW281" i="26" l="1"/>
  <c r="AX281" i="26"/>
  <c r="AR281" i="26"/>
  <c r="AV281" i="26" s="1"/>
  <c r="BA282" i="26"/>
  <c r="AZ280" i="26" l="1"/>
  <c r="BF280" i="26" s="1"/>
  <c r="BG280" i="26" s="1"/>
  <c r="AY281" i="26"/>
  <c r="AW280" i="26" l="1"/>
  <c r="AX280" i="26"/>
  <c r="AR280" i="26"/>
  <c r="AV280" i="26" s="1"/>
  <c r="BA281" i="26"/>
  <c r="AZ279" i="26" l="1"/>
  <c r="BF279" i="26" s="1"/>
  <c r="BG279" i="26" s="1"/>
  <c r="AY280" i="26"/>
  <c r="AW279" i="26" l="1"/>
  <c r="AX279" i="26"/>
  <c r="AR279" i="26"/>
  <c r="AV279" i="26" s="1"/>
  <c r="BA280" i="26"/>
  <c r="AZ278" i="26" l="1"/>
  <c r="BF278" i="26" s="1"/>
  <c r="BG278" i="26" s="1"/>
  <c r="AY279" i="26"/>
  <c r="AW278" i="26" l="1"/>
  <c r="AX278" i="26"/>
  <c r="AR278" i="26"/>
  <c r="AV278" i="26" s="1"/>
  <c r="BA279" i="26"/>
  <c r="AZ277" i="26" l="1"/>
  <c r="BF277" i="26" s="1"/>
  <c r="BG277" i="26" s="1"/>
  <c r="AY278" i="26"/>
  <c r="AW277" i="26" l="1"/>
  <c r="AX277" i="26"/>
  <c r="AR277" i="26"/>
  <c r="AV277" i="26" s="1"/>
  <c r="BA278" i="26"/>
  <c r="AZ276" i="26" l="1"/>
  <c r="BF276" i="26" s="1"/>
  <c r="BG276" i="26" s="1"/>
  <c r="AY277" i="26"/>
  <c r="AW276" i="26" l="1"/>
  <c r="AX276" i="26"/>
  <c r="AR276" i="26"/>
  <c r="AV276" i="26" s="1"/>
  <c r="BA277" i="26"/>
  <c r="AZ275" i="26" l="1"/>
  <c r="BF275" i="26" s="1"/>
  <c r="BG275" i="26" s="1"/>
  <c r="AY276" i="26"/>
  <c r="AW275" i="26" l="1"/>
  <c r="AX275" i="26"/>
  <c r="AR275" i="26"/>
  <c r="AV275" i="26" s="1"/>
  <c r="BA276" i="26"/>
  <c r="AZ274" i="26" l="1"/>
  <c r="BF274" i="26" s="1"/>
  <c r="BG274" i="26" s="1"/>
  <c r="AY275" i="26"/>
  <c r="AW274" i="26" l="1"/>
  <c r="AX274" i="26"/>
  <c r="AR274" i="26"/>
  <c r="AV274" i="26" s="1"/>
  <c r="BA275" i="26"/>
  <c r="AZ273" i="26" l="1"/>
  <c r="BF273" i="26" s="1"/>
  <c r="BG273" i="26" s="1"/>
  <c r="AY274" i="26"/>
  <c r="AW273" i="26" l="1"/>
  <c r="AX273" i="26"/>
  <c r="AR273" i="26"/>
  <c r="AV273" i="26" s="1"/>
  <c r="BA274" i="26"/>
  <c r="AZ272" i="26" l="1"/>
  <c r="BF272" i="26" s="1"/>
  <c r="BG272" i="26" s="1"/>
  <c r="AY273" i="26"/>
  <c r="AW272" i="26" l="1"/>
  <c r="AX272" i="26"/>
  <c r="AR272" i="26"/>
  <c r="AV272" i="26" s="1"/>
  <c r="BA273" i="26"/>
  <c r="AZ271" i="26" l="1"/>
  <c r="BF271" i="26" s="1"/>
  <c r="BG271" i="26" s="1"/>
  <c r="AY272" i="26"/>
  <c r="AW271" i="26" l="1"/>
  <c r="AX271" i="26"/>
  <c r="AR271" i="26"/>
  <c r="AV271" i="26" s="1"/>
  <c r="BA272" i="26"/>
  <c r="AZ270" i="26" l="1"/>
  <c r="BF270" i="26" s="1"/>
  <c r="BG270" i="26" s="1"/>
  <c r="AY271" i="26"/>
  <c r="AW270" i="26" l="1"/>
  <c r="AX270" i="26"/>
  <c r="AR270" i="26"/>
  <c r="AV270" i="26" s="1"/>
  <c r="BA271" i="26"/>
  <c r="AZ269" i="26" l="1"/>
  <c r="BF269" i="26" s="1"/>
  <c r="BG269" i="26" s="1"/>
  <c r="AY270" i="26"/>
  <c r="AW269" i="26" l="1"/>
  <c r="AX269" i="26"/>
  <c r="AR269" i="26"/>
  <c r="AV269" i="26" s="1"/>
  <c r="BA270" i="26"/>
  <c r="AZ268" i="26" l="1"/>
  <c r="BF268" i="26" s="1"/>
  <c r="BG268" i="26" s="1"/>
  <c r="AY269" i="26"/>
  <c r="AW268" i="26" l="1"/>
  <c r="AX268" i="26"/>
  <c r="AR268" i="26"/>
  <c r="AV268" i="26" s="1"/>
  <c r="BA269" i="26"/>
  <c r="AZ267" i="26" l="1"/>
  <c r="BF267" i="26" s="1"/>
  <c r="BG267" i="26" s="1"/>
  <c r="AY268" i="26"/>
  <c r="AW267" i="26" l="1"/>
  <c r="AX267" i="26"/>
  <c r="AR267" i="26"/>
  <c r="AV267" i="26" s="1"/>
  <c r="BA268" i="26"/>
  <c r="AZ266" i="26" l="1"/>
  <c r="BF266" i="26" s="1"/>
  <c r="BG266" i="26" s="1"/>
  <c r="AY267" i="26"/>
  <c r="AW266" i="26" l="1"/>
  <c r="AX266" i="26"/>
  <c r="AR266" i="26"/>
  <c r="AV266" i="26" s="1"/>
  <c r="BA267" i="26"/>
  <c r="AZ265" i="26" l="1"/>
  <c r="BF265" i="26" s="1"/>
  <c r="BG265" i="26" s="1"/>
  <c r="AY266" i="26"/>
  <c r="AW265" i="26" l="1"/>
  <c r="AX265" i="26"/>
  <c r="AR265" i="26"/>
  <c r="AV265" i="26" s="1"/>
  <c r="BA266" i="26"/>
  <c r="AZ264" i="26" l="1"/>
  <c r="BF264" i="26" s="1"/>
  <c r="BG264" i="26" s="1"/>
  <c r="AY265" i="26"/>
  <c r="AW264" i="26" l="1"/>
  <c r="AX264" i="26"/>
  <c r="AR264" i="26"/>
  <c r="AV264" i="26" s="1"/>
  <c r="BA265" i="26"/>
  <c r="AZ263" i="26" l="1"/>
  <c r="BF263" i="26" s="1"/>
  <c r="BG263" i="26" s="1"/>
  <c r="AY264" i="26"/>
  <c r="AW263" i="26" l="1"/>
  <c r="AX263" i="26"/>
  <c r="AR263" i="26"/>
  <c r="AV263" i="26" s="1"/>
  <c r="BA264" i="26"/>
  <c r="AZ262" i="26" l="1"/>
  <c r="BF262" i="26" s="1"/>
  <c r="BG262" i="26" s="1"/>
  <c r="AY263" i="26"/>
  <c r="AW262" i="26" l="1"/>
  <c r="AX262" i="26"/>
  <c r="AR262" i="26"/>
  <c r="AV262" i="26" s="1"/>
  <c r="BA263" i="26"/>
  <c r="AZ261" i="26" l="1"/>
  <c r="BF261" i="26" s="1"/>
  <c r="BG261" i="26" s="1"/>
  <c r="AY262" i="26"/>
  <c r="AW261" i="26" l="1"/>
  <c r="AX261" i="26"/>
  <c r="AR261" i="26"/>
  <c r="AV261" i="26" s="1"/>
  <c r="BA262" i="26"/>
  <c r="AZ260" i="26" l="1"/>
  <c r="BF260" i="26" s="1"/>
  <c r="BG260" i="26" s="1"/>
  <c r="AY261" i="26"/>
  <c r="AW260" i="26" l="1"/>
  <c r="AX260" i="26"/>
  <c r="AR260" i="26"/>
  <c r="AV260" i="26" s="1"/>
  <c r="BA261" i="26"/>
  <c r="AZ259" i="26" l="1"/>
  <c r="BF259" i="26" s="1"/>
  <c r="BG259" i="26" s="1"/>
  <c r="AY260" i="26"/>
  <c r="AW259" i="26" l="1"/>
  <c r="AX259" i="26"/>
  <c r="AR259" i="26"/>
  <c r="AV259" i="26" s="1"/>
  <c r="BA260" i="26"/>
  <c r="AZ258" i="26" l="1"/>
  <c r="BF258" i="26" s="1"/>
  <c r="BG258" i="26" s="1"/>
  <c r="AY259" i="26"/>
  <c r="AW258" i="26" l="1"/>
  <c r="AX258" i="26"/>
  <c r="AR258" i="26"/>
  <c r="AV258" i="26" s="1"/>
  <c r="BA259" i="26"/>
  <c r="AZ257" i="26" l="1"/>
  <c r="BF257" i="26" s="1"/>
  <c r="BG257" i="26" s="1"/>
  <c r="AY258" i="26"/>
  <c r="AW257" i="26" l="1"/>
  <c r="AX257" i="26"/>
  <c r="AR257" i="26"/>
  <c r="AV257" i="26" s="1"/>
  <c r="BA258" i="26"/>
  <c r="AZ256" i="26" l="1"/>
  <c r="BF256" i="26" s="1"/>
  <c r="BG256" i="26" s="1"/>
  <c r="AY257" i="26"/>
  <c r="AW256" i="26" l="1"/>
  <c r="AX256" i="26"/>
  <c r="AR256" i="26"/>
  <c r="AV256" i="26" s="1"/>
  <c r="BA257" i="26"/>
  <c r="AZ255" i="26" l="1"/>
  <c r="BF255" i="26" s="1"/>
  <c r="BG255" i="26" s="1"/>
  <c r="AY256" i="26"/>
  <c r="AW255" i="26" l="1"/>
  <c r="AX255" i="26"/>
  <c r="AR255" i="26"/>
  <c r="AV255" i="26" s="1"/>
  <c r="BA256" i="26"/>
  <c r="AZ254" i="26" l="1"/>
  <c r="BF254" i="26" s="1"/>
  <c r="BG254" i="26" s="1"/>
  <c r="AY255" i="26"/>
  <c r="AW254" i="26" l="1"/>
  <c r="AX254" i="26"/>
  <c r="AR254" i="26"/>
  <c r="AV254" i="26" s="1"/>
  <c r="BA255" i="26"/>
  <c r="AZ253" i="26" l="1"/>
  <c r="BF253" i="26" s="1"/>
  <c r="BG253" i="26" s="1"/>
  <c r="AY254" i="26"/>
  <c r="AW253" i="26" l="1"/>
  <c r="AX253" i="26"/>
  <c r="AR253" i="26"/>
  <c r="AV253" i="26" s="1"/>
  <c r="BA254" i="26"/>
  <c r="AZ252" i="26" l="1"/>
  <c r="BF252" i="26" s="1"/>
  <c r="BG252" i="26" s="1"/>
  <c r="AY253" i="26"/>
  <c r="AW252" i="26" l="1"/>
  <c r="AX252" i="26"/>
  <c r="AR252" i="26"/>
  <c r="AV252" i="26" s="1"/>
  <c r="BA253" i="26"/>
  <c r="AZ251" i="26" l="1"/>
  <c r="BF251" i="26" s="1"/>
  <c r="BG251" i="26" s="1"/>
  <c r="AY252" i="26"/>
  <c r="AW251" i="26" l="1"/>
  <c r="AX251" i="26"/>
  <c r="AR251" i="26"/>
  <c r="AV251" i="26" s="1"/>
  <c r="BA252" i="26"/>
  <c r="AZ250" i="26" l="1"/>
  <c r="BF250" i="26" s="1"/>
  <c r="BG250" i="26" s="1"/>
  <c r="AY251" i="26"/>
  <c r="AW250" i="26" l="1"/>
  <c r="AX250" i="26"/>
  <c r="AR250" i="26"/>
  <c r="AV250" i="26" s="1"/>
  <c r="BA251" i="26"/>
  <c r="AZ249" i="26" l="1"/>
  <c r="BF249" i="26" s="1"/>
  <c r="BG249" i="26" s="1"/>
  <c r="AY250" i="26"/>
  <c r="AW249" i="26" l="1"/>
  <c r="AX249" i="26"/>
  <c r="AR249" i="26"/>
  <c r="AV249" i="26" s="1"/>
  <c r="BA250" i="26"/>
  <c r="AZ248" i="26" l="1"/>
  <c r="BF248" i="26" s="1"/>
  <c r="BG248" i="26" s="1"/>
  <c r="AY249" i="26"/>
  <c r="AW248" i="26" l="1"/>
  <c r="AX248" i="26"/>
  <c r="AR248" i="26"/>
  <c r="AV248" i="26" s="1"/>
  <c r="BA249" i="26"/>
  <c r="AZ247" i="26" l="1"/>
  <c r="BF247" i="26" s="1"/>
  <c r="BG247" i="26" s="1"/>
  <c r="AY248" i="26"/>
  <c r="AW247" i="26" l="1"/>
  <c r="AX247" i="26"/>
  <c r="AR247" i="26"/>
  <c r="AV247" i="26" s="1"/>
  <c r="BA248" i="26"/>
  <c r="AZ246" i="26" l="1"/>
  <c r="BF246" i="26" s="1"/>
  <c r="BG246" i="26" s="1"/>
  <c r="AY247" i="26"/>
  <c r="AW246" i="26" l="1"/>
  <c r="AX246" i="26"/>
  <c r="AR246" i="26"/>
  <c r="AV246" i="26" s="1"/>
  <c r="BA247" i="26"/>
  <c r="AZ245" i="26" l="1"/>
  <c r="BF245" i="26" s="1"/>
  <c r="BG245" i="26" s="1"/>
  <c r="AY246" i="26"/>
  <c r="AW245" i="26" l="1"/>
  <c r="AX245" i="26"/>
  <c r="AR245" i="26"/>
  <c r="AV245" i="26" s="1"/>
  <c r="BA246" i="26"/>
  <c r="AZ244" i="26" l="1"/>
  <c r="BF244" i="26" s="1"/>
  <c r="BG244" i="26" s="1"/>
  <c r="E22" i="47" s="1"/>
  <c r="AY245" i="26"/>
  <c r="AX244" i="26" l="1"/>
  <c r="AR244" i="26"/>
  <c r="AV244" i="26" s="1"/>
  <c r="AW244" i="26"/>
  <c r="BA245" i="26"/>
  <c r="AZ243" i="26" l="1"/>
  <c r="BF243" i="26" s="1"/>
  <c r="BG243" i="26" s="1"/>
  <c r="AY244" i="26"/>
  <c r="AX243" i="26" l="1"/>
  <c r="AR243" i="26"/>
  <c r="AV243" i="26" s="1"/>
  <c r="AW243" i="26"/>
  <c r="BA244" i="26"/>
  <c r="AZ242" i="26" l="1"/>
  <c r="BF242" i="26" s="1"/>
  <c r="BG242" i="26" s="1"/>
  <c r="AY243" i="26"/>
  <c r="AX242" i="26" l="1"/>
  <c r="AR242" i="26"/>
  <c r="AV242" i="26" s="1"/>
  <c r="AW242" i="26"/>
  <c r="BA243" i="26"/>
  <c r="AZ241" i="26" l="1"/>
  <c r="BF241" i="26" s="1"/>
  <c r="BG241" i="26" s="1"/>
  <c r="AY242" i="26"/>
  <c r="AR241" i="26" l="1"/>
  <c r="AV241" i="26" s="1"/>
  <c r="AX241" i="26"/>
  <c r="AW241" i="26"/>
  <c r="BA242" i="26"/>
  <c r="AZ240" i="26" l="1"/>
  <c r="BF240" i="26" s="1"/>
  <c r="BG240" i="26" s="1"/>
  <c r="AY241" i="26"/>
  <c r="AX240" i="26" l="1"/>
  <c r="AR240" i="26"/>
  <c r="AV240" i="26" s="1"/>
  <c r="AW240" i="26"/>
  <c r="BA241" i="26"/>
  <c r="AZ239" i="26" l="1"/>
  <c r="BF239" i="26" s="1"/>
  <c r="BG239" i="26" s="1"/>
  <c r="AY240" i="26"/>
  <c r="AX239" i="26" l="1"/>
  <c r="AR239" i="26"/>
  <c r="AV239" i="26" s="1"/>
  <c r="AW239" i="26"/>
  <c r="BA240" i="26"/>
  <c r="AZ238" i="26" l="1"/>
  <c r="BF238" i="26" s="1"/>
  <c r="BG238" i="26" s="1"/>
  <c r="AY239" i="26"/>
  <c r="AX238" i="26" l="1"/>
  <c r="AR238" i="26"/>
  <c r="AV238" i="26" s="1"/>
  <c r="AW238" i="26"/>
  <c r="BA239" i="26"/>
  <c r="AZ237" i="26" l="1"/>
  <c r="BF237" i="26" s="1"/>
  <c r="BG237" i="26" s="1"/>
  <c r="AY238" i="26"/>
  <c r="AX237" i="26" l="1"/>
  <c r="AR237" i="26"/>
  <c r="AV237" i="26" s="1"/>
  <c r="AW237" i="26"/>
  <c r="BA238" i="26"/>
  <c r="AZ236" i="26" l="1"/>
  <c r="BF236" i="26" s="1"/>
  <c r="BG236" i="26" s="1"/>
  <c r="AY237" i="26"/>
  <c r="AX236" i="26" l="1"/>
  <c r="AR236" i="26"/>
  <c r="AV236" i="26" s="1"/>
  <c r="AW236" i="26"/>
  <c r="BA237" i="26"/>
  <c r="AZ235" i="26" l="1"/>
  <c r="BF235" i="26" s="1"/>
  <c r="BG235" i="26" s="1"/>
  <c r="AY236" i="26"/>
  <c r="AX235" i="26" l="1"/>
  <c r="AR235" i="26"/>
  <c r="AV235" i="26" s="1"/>
  <c r="AW235" i="26"/>
  <c r="BA236" i="26"/>
  <c r="AZ234" i="26" l="1"/>
  <c r="BF234" i="26" s="1"/>
  <c r="BG234" i="26" s="1"/>
  <c r="AY235" i="26"/>
  <c r="AX234" i="26" l="1"/>
  <c r="AR234" i="26"/>
  <c r="AV234" i="26" s="1"/>
  <c r="AW234" i="26"/>
  <c r="BA235" i="26"/>
  <c r="AZ233" i="26" l="1"/>
  <c r="BF233" i="26" s="1"/>
  <c r="BG233" i="26" s="1"/>
  <c r="AY234" i="26"/>
  <c r="AX233" i="26" l="1"/>
  <c r="AR233" i="26"/>
  <c r="AV233" i="26" s="1"/>
  <c r="AW233" i="26"/>
  <c r="BA234" i="26"/>
  <c r="AZ232" i="26" l="1"/>
  <c r="BF232" i="26" s="1"/>
  <c r="BG232" i="26" s="1"/>
  <c r="E21" i="47" s="1"/>
  <c r="AY233" i="26"/>
  <c r="AX232" i="26" l="1"/>
  <c r="AR232" i="26"/>
  <c r="AV232" i="26" s="1"/>
  <c r="AW232" i="26"/>
  <c r="G21" i="47"/>
  <c r="BA233" i="26"/>
  <c r="AZ231" i="26" l="1"/>
  <c r="BF231" i="26" s="1"/>
  <c r="BG231" i="26" s="1"/>
  <c r="AY232" i="26"/>
  <c r="AR231" i="26" l="1"/>
  <c r="AV231" i="26" s="1"/>
  <c r="AX231" i="26"/>
  <c r="AW231" i="26"/>
  <c r="BA232" i="26"/>
  <c r="AZ230" i="26" l="1"/>
  <c r="BF230" i="26" s="1"/>
  <c r="BG230" i="26" s="1"/>
  <c r="AY231" i="26"/>
  <c r="AX230" i="26" l="1"/>
  <c r="AR230" i="26"/>
  <c r="AV230" i="26" s="1"/>
  <c r="AW230" i="26"/>
  <c r="BA231" i="26"/>
  <c r="AZ229" i="26" l="1"/>
  <c r="BF229" i="26" s="1"/>
  <c r="BG229" i="26" s="1"/>
  <c r="AY230" i="26"/>
  <c r="AX229" i="26" l="1"/>
  <c r="AR229" i="26"/>
  <c r="AV229" i="26" s="1"/>
  <c r="AW229" i="26"/>
  <c r="BA230" i="26"/>
  <c r="AZ228" i="26" l="1"/>
  <c r="BF228" i="26" s="1"/>
  <c r="BG228" i="26" s="1"/>
  <c r="AY229" i="26"/>
  <c r="AX228" i="26" l="1"/>
  <c r="AR228" i="26"/>
  <c r="AV228" i="26" s="1"/>
  <c r="AW228" i="26"/>
  <c r="BA229" i="26"/>
  <c r="AZ227" i="26" l="1"/>
  <c r="BF227" i="26" s="1"/>
  <c r="BG227" i="26" s="1"/>
  <c r="AY228" i="26"/>
  <c r="AX227" i="26" l="1"/>
  <c r="AR227" i="26"/>
  <c r="AV227" i="26" s="1"/>
  <c r="AW227" i="26"/>
  <c r="BA228" i="26"/>
  <c r="AZ226" i="26" l="1"/>
  <c r="BF226" i="26" s="1"/>
  <c r="BG226" i="26" s="1"/>
  <c r="AY227" i="26"/>
  <c r="AX226" i="26" l="1"/>
  <c r="AR226" i="26"/>
  <c r="AV226" i="26" s="1"/>
  <c r="AW226" i="26"/>
  <c r="BA227" i="26"/>
  <c r="AZ225" i="26" l="1"/>
  <c r="BF225" i="26" s="1"/>
  <c r="BG225" i="26" s="1"/>
  <c r="AY226" i="26"/>
  <c r="AX225" i="26" l="1"/>
  <c r="AR225" i="26"/>
  <c r="AV225" i="26" s="1"/>
  <c r="AW225" i="26"/>
  <c r="BA226" i="26"/>
  <c r="AZ224" i="26" l="1"/>
  <c r="BF224" i="26" s="1"/>
  <c r="BG224" i="26" s="1"/>
  <c r="AY225" i="26"/>
  <c r="AX224" i="26" l="1"/>
  <c r="AR224" i="26"/>
  <c r="AV224" i="26" s="1"/>
  <c r="AW224" i="26"/>
  <c r="BA225" i="26"/>
  <c r="AZ223" i="26" l="1"/>
  <c r="BF223" i="26" s="1"/>
  <c r="BG223" i="26" s="1"/>
  <c r="AY224" i="26"/>
  <c r="AR223" i="26" l="1"/>
  <c r="AV223" i="26" s="1"/>
  <c r="AX223" i="26"/>
  <c r="AW223" i="26"/>
  <c r="BA224" i="26"/>
  <c r="AZ222" i="26" l="1"/>
  <c r="BF222" i="26" s="1"/>
  <c r="BG222" i="26" s="1"/>
  <c r="AY223" i="26"/>
  <c r="AX222" i="26" l="1"/>
  <c r="AR222" i="26"/>
  <c r="AV222" i="26" s="1"/>
  <c r="AW222" i="26"/>
  <c r="BA223" i="26"/>
  <c r="AZ221" i="26" l="1"/>
  <c r="BF221" i="26" s="1"/>
  <c r="BG221" i="26" s="1"/>
  <c r="AY222" i="26"/>
  <c r="AX221" i="26" l="1"/>
  <c r="AR221" i="26"/>
  <c r="AV221" i="26" s="1"/>
  <c r="AW221" i="26"/>
  <c r="BA222" i="26"/>
  <c r="AZ220" i="26" l="1"/>
  <c r="BF220" i="26" s="1"/>
  <c r="BG220" i="26" s="1"/>
  <c r="E20" i="47" s="1"/>
  <c r="AY221" i="26"/>
  <c r="AX220" i="26" l="1"/>
  <c r="AR220" i="26"/>
  <c r="AV220" i="26" s="1"/>
  <c r="AW220" i="26"/>
  <c r="BA221" i="26"/>
  <c r="AZ219" i="26" l="1"/>
  <c r="BF219" i="26" s="1"/>
  <c r="BG219" i="26" s="1"/>
  <c r="G20" i="47"/>
  <c r="AY220" i="26"/>
  <c r="AR219" i="26" l="1"/>
  <c r="AV219" i="26" s="1"/>
  <c r="AW219" i="26"/>
  <c r="AX219" i="26"/>
  <c r="BA220" i="26"/>
  <c r="AZ218" i="26" l="1"/>
  <c r="BF218" i="26" s="1"/>
  <c r="BG218" i="26" s="1"/>
  <c r="AY219" i="26"/>
  <c r="AR218" i="26" l="1"/>
  <c r="AV218" i="26" s="1"/>
  <c r="AX218" i="26"/>
  <c r="AW218" i="26"/>
  <c r="BA219" i="26"/>
  <c r="AZ217" i="26" l="1"/>
  <c r="BF217" i="26" s="1"/>
  <c r="BG217" i="26" s="1"/>
  <c r="AY218" i="26"/>
  <c r="AW217" i="26" l="1"/>
  <c r="AX217" i="26"/>
  <c r="AR217" i="26"/>
  <c r="AV217" i="26" s="1"/>
  <c r="BA218" i="26"/>
  <c r="AZ216" i="26" l="1"/>
  <c r="BF216" i="26" s="1"/>
  <c r="BG216" i="26" s="1"/>
  <c r="AY217" i="26"/>
  <c r="BA217" i="26" s="1"/>
  <c r="AW216" i="26" l="1"/>
  <c r="AX216" i="26"/>
  <c r="AR216" i="26"/>
  <c r="AV216" i="26" s="1"/>
  <c r="AZ215" i="26" l="1"/>
  <c r="BF215" i="26" s="1"/>
  <c r="BG215" i="26" s="1"/>
  <c r="AY216" i="26"/>
  <c r="BA216" i="26" s="1"/>
  <c r="AX215" i="26" l="1"/>
  <c r="AW215" i="26"/>
  <c r="AR215" i="26"/>
  <c r="AV215" i="26" s="1"/>
  <c r="AZ214" i="26" l="1"/>
  <c r="BF214" i="26" s="1"/>
  <c r="BG214" i="26" s="1"/>
  <c r="AY215" i="26"/>
  <c r="BA215" i="26" s="1"/>
  <c r="AX214" i="26" l="1"/>
  <c r="AW214" i="26"/>
  <c r="AR214" i="26"/>
  <c r="AV214" i="26" s="1"/>
  <c r="AZ213" i="26" l="1"/>
  <c r="BF213" i="26" s="1"/>
  <c r="BG213" i="26" s="1"/>
  <c r="AY214" i="26"/>
  <c r="AW213" i="26" l="1"/>
  <c r="AX213" i="26"/>
  <c r="AR213" i="26"/>
  <c r="AV213" i="26" s="1"/>
  <c r="BA214" i="26"/>
  <c r="AZ212" i="26" l="1"/>
  <c r="BF212" i="26" s="1"/>
  <c r="BG212" i="26" s="1"/>
  <c r="AY213" i="26"/>
  <c r="BA213" i="26" s="1"/>
  <c r="AW212" i="26" l="1"/>
  <c r="AX212" i="26"/>
  <c r="AR212" i="26"/>
  <c r="AV212" i="26" s="1"/>
  <c r="AZ211" i="26" l="1"/>
  <c r="BF211" i="26" s="1"/>
  <c r="BG211" i="26" s="1"/>
  <c r="AY212" i="26"/>
  <c r="BA212" i="26" s="1"/>
  <c r="AX211" i="26" l="1"/>
  <c r="AW211" i="26"/>
  <c r="AR211" i="26"/>
  <c r="AV211" i="26" s="1"/>
  <c r="AZ210" i="26" l="1"/>
  <c r="BF210" i="26" s="1"/>
  <c r="BG210" i="26" s="1"/>
  <c r="AY211" i="26"/>
  <c r="AX210" i="26" l="1"/>
  <c r="AW210" i="26"/>
  <c r="AR210" i="26"/>
  <c r="AV210" i="26" s="1"/>
  <c r="BA211" i="26"/>
  <c r="AZ209" i="26" l="1"/>
  <c r="BF209" i="26" s="1"/>
  <c r="BG209" i="26" s="1"/>
  <c r="AY210" i="26"/>
  <c r="AW209" i="26" l="1"/>
  <c r="AX209" i="26"/>
  <c r="AR209" i="26"/>
  <c r="AV209" i="26" s="1"/>
  <c r="BA210" i="26"/>
  <c r="AZ208" i="26" l="1"/>
  <c r="BF208" i="26" s="1"/>
  <c r="BG208" i="26" s="1"/>
  <c r="E19" i="47" s="1"/>
  <c r="AY209" i="26"/>
  <c r="AW208" i="26" l="1"/>
  <c r="AX208" i="26"/>
  <c r="AR208" i="26"/>
  <c r="AV208" i="26" s="1"/>
  <c r="BA209" i="26"/>
  <c r="AZ207" i="26" l="1"/>
  <c r="BF207" i="26" s="1"/>
  <c r="BG207" i="26" s="1"/>
  <c r="G19" i="47"/>
  <c r="AY208" i="26"/>
  <c r="AX207" i="26" l="1"/>
  <c r="AW207" i="26"/>
  <c r="AR207" i="26"/>
  <c r="AV207" i="26" s="1"/>
  <c r="BA208" i="26"/>
  <c r="AZ206" i="26" l="1"/>
  <c r="BF206" i="26" s="1"/>
  <c r="BG206" i="26" s="1"/>
  <c r="AY207" i="26"/>
  <c r="AX206" i="26" l="1"/>
  <c r="AW206" i="26"/>
  <c r="AR206" i="26"/>
  <c r="AV206" i="26" s="1"/>
  <c r="BA207" i="26"/>
  <c r="AZ205" i="26" l="1"/>
  <c r="BF205" i="26" s="1"/>
  <c r="BG205" i="26" s="1"/>
  <c r="AY206" i="26"/>
  <c r="BA206" i="26" s="1"/>
  <c r="AX205" i="26" l="1"/>
  <c r="AW205" i="26"/>
  <c r="AR205" i="26"/>
  <c r="AV205" i="26" s="1"/>
  <c r="AZ204" i="26" l="1"/>
  <c r="BF204" i="26" s="1"/>
  <c r="BG204" i="26" s="1"/>
  <c r="AY205" i="26"/>
  <c r="AX204" i="26" l="1"/>
  <c r="AW204" i="26"/>
  <c r="AR204" i="26"/>
  <c r="AV204" i="26" s="1"/>
  <c r="BA205" i="26"/>
  <c r="AZ203" i="26" l="1"/>
  <c r="BF203" i="26" s="1"/>
  <c r="BG203" i="26" s="1"/>
  <c r="AY204" i="26"/>
  <c r="BA204" i="26" s="1"/>
  <c r="AX203" i="26" l="1"/>
  <c r="AW203" i="26"/>
  <c r="AR203" i="26"/>
  <c r="AV203" i="26" s="1"/>
  <c r="AZ202" i="26" l="1"/>
  <c r="BF202" i="26" s="1"/>
  <c r="BG202" i="26" s="1"/>
  <c r="AY203" i="26"/>
  <c r="AX202" i="26" l="1"/>
  <c r="AW202" i="26"/>
  <c r="AR202" i="26"/>
  <c r="AV202" i="26" s="1"/>
  <c r="BA203" i="26"/>
  <c r="AZ201" i="26" l="1"/>
  <c r="BF201" i="26" s="1"/>
  <c r="BG201" i="26" s="1"/>
  <c r="AY202" i="26"/>
  <c r="AX201" i="26" l="1"/>
  <c r="AW201" i="26"/>
  <c r="AR201" i="26"/>
  <c r="AV201" i="26" s="1"/>
  <c r="BA202" i="26"/>
  <c r="AZ200" i="26" l="1"/>
  <c r="BF200" i="26" s="1"/>
  <c r="BG200" i="26" s="1"/>
  <c r="AY201" i="26"/>
  <c r="BA201" i="26" s="1"/>
  <c r="AX200" i="26" l="1"/>
  <c r="AW200" i="26"/>
  <c r="AR200" i="26"/>
  <c r="AV200" i="26" s="1"/>
  <c r="AZ199" i="26" l="1"/>
  <c r="BF199" i="26" s="1"/>
  <c r="BG199" i="26" s="1"/>
  <c r="AY200" i="26"/>
  <c r="BA200" i="26" s="1"/>
  <c r="AX199" i="26" l="1"/>
  <c r="AW199" i="26"/>
  <c r="AR199" i="26"/>
  <c r="AV199" i="26" s="1"/>
  <c r="AZ198" i="26" l="1"/>
  <c r="BF198" i="26" s="1"/>
  <c r="BG198" i="26" s="1"/>
  <c r="AY199" i="26"/>
  <c r="BA199" i="26" s="1"/>
  <c r="AX198" i="26" l="1"/>
  <c r="AW198" i="26"/>
  <c r="AR198" i="26"/>
  <c r="AV198" i="26" s="1"/>
  <c r="AZ197" i="26" l="1"/>
  <c r="BF197" i="26" s="1"/>
  <c r="BG197" i="26" s="1"/>
  <c r="AY198" i="26"/>
  <c r="BA198" i="26" s="1"/>
  <c r="AX197" i="26" l="1"/>
  <c r="AW197" i="26"/>
  <c r="AR197" i="26"/>
  <c r="AV197" i="26" s="1"/>
  <c r="AZ196" i="26" l="1"/>
  <c r="BF196" i="26" s="1"/>
  <c r="BG196" i="26" s="1"/>
  <c r="E18" i="47" s="1"/>
  <c r="AY197" i="26"/>
  <c r="BA197" i="26" s="1"/>
  <c r="AX196" i="26" l="1"/>
  <c r="AW196" i="26"/>
  <c r="AR196" i="26"/>
  <c r="AV196" i="26" s="1"/>
  <c r="G18" i="47"/>
  <c r="AZ195" i="26" l="1"/>
  <c r="BF195" i="26" s="1"/>
  <c r="BG195" i="26" s="1"/>
  <c r="AY196" i="26"/>
  <c r="AW195" i="26" l="1"/>
  <c r="AX195" i="26"/>
  <c r="AR195" i="26"/>
  <c r="AV195" i="26" s="1"/>
  <c r="BA196" i="26"/>
  <c r="AZ194" i="26" l="1"/>
  <c r="BF194" i="26" s="1"/>
  <c r="BG194" i="26" s="1"/>
  <c r="AY195" i="26"/>
  <c r="BA195" i="26" s="1"/>
  <c r="AX194" i="26" l="1"/>
  <c r="AW194" i="26"/>
  <c r="AR194" i="26"/>
  <c r="AV194" i="26" s="1"/>
  <c r="AZ193" i="26" l="1"/>
  <c r="BF193" i="26" s="1"/>
  <c r="BG193" i="26" s="1"/>
  <c r="AY194" i="26"/>
  <c r="BA194" i="26" s="1"/>
  <c r="AX193" i="26" l="1"/>
  <c r="AW193" i="26"/>
  <c r="AR193" i="26"/>
  <c r="AV193" i="26" s="1"/>
  <c r="AZ192" i="26" l="1"/>
  <c r="BF192" i="26" s="1"/>
  <c r="BG192" i="26" s="1"/>
  <c r="AY193" i="26"/>
  <c r="BA193" i="26" s="1"/>
  <c r="AX192" i="26" l="1"/>
  <c r="AW192" i="26"/>
  <c r="AR192" i="26"/>
  <c r="AV192" i="26" s="1"/>
  <c r="AZ191" i="26" l="1"/>
  <c r="BF191" i="26" s="1"/>
  <c r="BG191" i="26" s="1"/>
  <c r="AY192" i="26"/>
  <c r="BA192" i="26" s="1"/>
  <c r="AX191" i="26" l="1"/>
  <c r="AW191" i="26"/>
  <c r="AR191" i="26"/>
  <c r="AV191" i="26" s="1"/>
  <c r="AZ190" i="26" l="1"/>
  <c r="BF190" i="26" s="1"/>
  <c r="BG190" i="26" s="1"/>
  <c r="AY191" i="26"/>
  <c r="AX190" i="26" l="1"/>
  <c r="AW190" i="26"/>
  <c r="AR190" i="26"/>
  <c r="AV190" i="26" s="1"/>
  <c r="BA191" i="26"/>
  <c r="AZ189" i="26" l="1"/>
  <c r="BF189" i="26" s="1"/>
  <c r="BG189" i="26" s="1"/>
  <c r="AY190" i="26"/>
  <c r="BA190" i="26" s="1"/>
  <c r="AX189" i="26" l="1"/>
  <c r="AW189" i="26"/>
  <c r="AR189" i="26"/>
  <c r="AV189" i="26" s="1"/>
  <c r="AZ188" i="26" l="1"/>
  <c r="BF188" i="26" s="1"/>
  <c r="BG188" i="26" s="1"/>
  <c r="AY189" i="26"/>
  <c r="BA189" i="26" s="1"/>
  <c r="AX188" i="26" l="1"/>
  <c r="AW188" i="26"/>
  <c r="AR188" i="26"/>
  <c r="AV188" i="26" s="1"/>
  <c r="AZ187" i="26" l="1"/>
  <c r="BF187" i="26" s="1"/>
  <c r="BG187" i="26" s="1"/>
  <c r="AY188" i="26"/>
  <c r="BA188" i="26" s="1"/>
  <c r="AX187" i="26" l="1"/>
  <c r="AW187" i="26"/>
  <c r="AR187" i="26"/>
  <c r="AV187" i="26" s="1"/>
  <c r="AZ186" i="26" l="1"/>
  <c r="BF186" i="26" s="1"/>
  <c r="BG186" i="26" s="1"/>
  <c r="AY187" i="26"/>
  <c r="AX186" i="26" l="1"/>
  <c r="AW186" i="26"/>
  <c r="AR186" i="26"/>
  <c r="AV186" i="26" s="1"/>
  <c r="BA187" i="26"/>
  <c r="AZ185" i="26" l="1"/>
  <c r="BF185" i="26" s="1"/>
  <c r="BG185" i="26" s="1"/>
  <c r="AY186" i="26"/>
  <c r="BA186" i="26" s="1"/>
  <c r="AX185" i="26" l="1"/>
  <c r="AW185" i="26"/>
  <c r="AR185" i="26"/>
  <c r="AV185" i="26" s="1"/>
  <c r="AZ184" i="26" l="1"/>
  <c r="BF184" i="26" s="1"/>
  <c r="BG184" i="26" s="1"/>
  <c r="E17" i="47" s="1"/>
  <c r="AY185" i="26"/>
  <c r="BA185" i="26" s="1"/>
  <c r="AX184" i="26" l="1"/>
  <c r="AW184" i="26"/>
  <c r="AR184" i="26"/>
  <c r="AV184" i="26" s="1"/>
  <c r="G17" i="47"/>
  <c r="AZ183" i="26" l="1"/>
  <c r="BF183" i="26" s="1"/>
  <c r="BG183" i="26" s="1"/>
  <c r="AY184" i="26"/>
  <c r="AX183" i="26" l="1"/>
  <c r="AW183" i="26"/>
  <c r="AR183" i="26"/>
  <c r="AV183" i="26" s="1"/>
  <c r="BA184" i="26"/>
  <c r="AZ182" i="26" l="1"/>
  <c r="BF182" i="26" s="1"/>
  <c r="BG182" i="26" s="1"/>
  <c r="AY183" i="26"/>
  <c r="BA183" i="26" s="1"/>
  <c r="AX182" i="26" l="1"/>
  <c r="AW182" i="26"/>
  <c r="AR182" i="26"/>
  <c r="AV182" i="26" s="1"/>
  <c r="AZ181" i="26" l="1"/>
  <c r="BF181" i="26" s="1"/>
  <c r="BG181" i="26" s="1"/>
  <c r="AY182" i="26"/>
  <c r="BA182" i="26" s="1"/>
  <c r="AX181" i="26" l="1"/>
  <c r="AW181" i="26"/>
  <c r="AR181" i="26"/>
  <c r="AV181" i="26" s="1"/>
  <c r="AZ180" i="26" l="1"/>
  <c r="BF180" i="26" s="1"/>
  <c r="BG180" i="26" s="1"/>
  <c r="AY181" i="26"/>
  <c r="AX180" i="26" l="1"/>
  <c r="AW180" i="26"/>
  <c r="AR180" i="26"/>
  <c r="AV180" i="26" s="1"/>
  <c r="BA181" i="26"/>
  <c r="AZ179" i="26" l="1"/>
  <c r="BF179" i="26" s="1"/>
  <c r="BG179" i="26" s="1"/>
  <c r="AY180" i="26"/>
  <c r="BA180" i="26" s="1"/>
  <c r="AX179" i="26" l="1"/>
  <c r="AW179" i="26"/>
  <c r="AR179" i="26"/>
  <c r="AV179" i="26" s="1"/>
  <c r="AZ178" i="26" l="1"/>
  <c r="BF178" i="26" s="1"/>
  <c r="BG178" i="26" s="1"/>
  <c r="AY179" i="26"/>
  <c r="BA179" i="26" s="1"/>
  <c r="AX178" i="26" l="1"/>
  <c r="AW178" i="26"/>
  <c r="AR178" i="26"/>
  <c r="AV178" i="26" s="1"/>
  <c r="AZ177" i="26" l="1"/>
  <c r="BF177" i="26" s="1"/>
  <c r="BG177" i="26" s="1"/>
  <c r="AY178" i="26"/>
  <c r="BA178" i="26" s="1"/>
  <c r="AX177" i="26" l="1"/>
  <c r="AW177" i="26"/>
  <c r="AR177" i="26"/>
  <c r="AV177" i="26" s="1"/>
  <c r="AZ176" i="26" l="1"/>
  <c r="BF176" i="26" s="1"/>
  <c r="BG176" i="26" s="1"/>
  <c r="AY177" i="26"/>
  <c r="BA177" i="26" s="1"/>
  <c r="AX176" i="26" l="1"/>
  <c r="AW176" i="26"/>
  <c r="AR176" i="26"/>
  <c r="AV176" i="26" s="1"/>
  <c r="AZ175" i="26" l="1"/>
  <c r="BF175" i="26" s="1"/>
  <c r="BG175" i="26" s="1"/>
  <c r="AY176" i="26"/>
  <c r="AX175" i="26" l="1"/>
  <c r="AW175" i="26"/>
  <c r="AR175" i="26"/>
  <c r="AV175" i="26" s="1"/>
  <c r="BA176" i="26"/>
  <c r="AZ174" i="26" l="1"/>
  <c r="BF174" i="26" s="1"/>
  <c r="BG174" i="26" s="1"/>
  <c r="AY175" i="26"/>
  <c r="BA175" i="26" s="1"/>
  <c r="AX174" i="26" l="1"/>
  <c r="AW174" i="26"/>
  <c r="AR174" i="26"/>
  <c r="AV174" i="26" s="1"/>
  <c r="AZ173" i="26" l="1"/>
  <c r="BF173" i="26" s="1"/>
  <c r="BG173" i="26" s="1"/>
  <c r="AY174" i="26"/>
  <c r="AX173" i="26" l="1"/>
  <c r="AW173" i="26"/>
  <c r="AR173" i="26"/>
  <c r="AV173" i="26" s="1"/>
  <c r="BA174" i="26"/>
  <c r="AZ172" i="26" l="1"/>
  <c r="BF172" i="26" s="1"/>
  <c r="BG172" i="26" s="1"/>
  <c r="E16" i="47" s="1"/>
  <c r="AY173" i="26"/>
  <c r="BA173" i="26" s="1"/>
  <c r="AX172" i="26" l="1"/>
  <c r="AW172" i="26"/>
  <c r="AR172" i="26"/>
  <c r="AV172" i="26" s="1"/>
  <c r="AZ171" i="26" l="1"/>
  <c r="BF171" i="26" s="1"/>
  <c r="BG171" i="26" s="1"/>
  <c r="G16" i="47"/>
  <c r="AY172" i="26"/>
  <c r="AX171" i="26" l="1"/>
  <c r="AW171" i="26"/>
  <c r="AR171" i="26"/>
  <c r="AV171" i="26" s="1"/>
  <c r="BA172" i="26"/>
  <c r="AZ170" i="26" l="1"/>
  <c r="BF170" i="26" s="1"/>
  <c r="BG170" i="26" s="1"/>
  <c r="AY171" i="26"/>
  <c r="BA171" i="26" s="1"/>
  <c r="AX170" i="26" l="1"/>
  <c r="AW170" i="26"/>
  <c r="AR170" i="26"/>
  <c r="AV170" i="26" s="1"/>
  <c r="AZ169" i="26" l="1"/>
  <c r="BF169" i="26" s="1"/>
  <c r="BG169" i="26" s="1"/>
  <c r="AY170" i="26"/>
  <c r="AX169" i="26" l="1"/>
  <c r="AW169" i="26"/>
  <c r="AR169" i="26"/>
  <c r="AV169" i="26" s="1"/>
  <c r="BA170" i="26"/>
  <c r="AZ168" i="26" l="1"/>
  <c r="BF168" i="26" s="1"/>
  <c r="BG168" i="26" s="1"/>
  <c r="AY169" i="26"/>
  <c r="BA169" i="26" s="1"/>
  <c r="AX168" i="26" l="1"/>
  <c r="AW168" i="26"/>
  <c r="AR168" i="26"/>
  <c r="AV168" i="26" s="1"/>
  <c r="AZ167" i="26" l="1"/>
  <c r="BF167" i="26" s="1"/>
  <c r="BG167" i="26" s="1"/>
  <c r="AY168" i="26"/>
  <c r="BA168" i="26" s="1"/>
  <c r="AX167" i="26" l="1"/>
  <c r="AW167" i="26"/>
  <c r="AR167" i="26"/>
  <c r="AV167" i="26" s="1"/>
  <c r="AZ166" i="26" l="1"/>
  <c r="BF166" i="26" s="1"/>
  <c r="BG166" i="26" s="1"/>
  <c r="AY167" i="26"/>
  <c r="AX166" i="26" l="1"/>
  <c r="AW166" i="26"/>
  <c r="AR166" i="26"/>
  <c r="AV166" i="26" s="1"/>
  <c r="BA167" i="26"/>
  <c r="AZ165" i="26" l="1"/>
  <c r="BF165" i="26" s="1"/>
  <c r="BG165" i="26" s="1"/>
  <c r="AY166" i="26"/>
  <c r="BA166" i="26" s="1"/>
  <c r="AX165" i="26" l="1"/>
  <c r="AW165" i="26"/>
  <c r="AR165" i="26"/>
  <c r="AV165" i="26" s="1"/>
  <c r="AZ164" i="26" l="1"/>
  <c r="BF164" i="26" s="1"/>
  <c r="BG164" i="26" s="1"/>
  <c r="AY165" i="26"/>
  <c r="AX164" i="26" l="1"/>
  <c r="AW164" i="26"/>
  <c r="AR164" i="26"/>
  <c r="AV164" i="26" s="1"/>
  <c r="BA165" i="26"/>
  <c r="AZ163" i="26" l="1"/>
  <c r="BF163" i="26" s="1"/>
  <c r="BG163" i="26" s="1"/>
  <c r="AY164" i="26"/>
  <c r="AX163" i="26" l="1"/>
  <c r="AW163" i="26"/>
  <c r="AR163" i="26"/>
  <c r="AV163" i="26" s="1"/>
  <c r="BA164" i="26"/>
  <c r="AZ162" i="26" l="1"/>
  <c r="BF162" i="26" s="1"/>
  <c r="BG162" i="26" s="1"/>
  <c r="AY163" i="26"/>
  <c r="BA163" i="26" s="1"/>
  <c r="AX162" i="26" l="1"/>
  <c r="AW162" i="26"/>
  <c r="AR162" i="26"/>
  <c r="AV162" i="26" s="1"/>
  <c r="AZ161" i="26" l="1"/>
  <c r="BF161" i="26" s="1"/>
  <c r="BG161" i="26" s="1"/>
  <c r="AY162" i="26"/>
  <c r="BA162" i="26" s="1"/>
  <c r="AX161" i="26" l="1"/>
  <c r="AW161" i="26"/>
  <c r="AR161" i="26"/>
  <c r="AV161" i="26" s="1"/>
  <c r="AZ160" i="26" l="1"/>
  <c r="BF160" i="26" s="1"/>
  <c r="BG160" i="26" s="1"/>
  <c r="E15" i="47" s="1"/>
  <c r="AY161" i="26"/>
  <c r="BA161" i="26" s="1"/>
  <c r="AX160" i="26" l="1"/>
  <c r="AW160" i="26"/>
  <c r="AR160" i="26"/>
  <c r="AV160" i="26" s="1"/>
  <c r="AZ159" i="26" l="1"/>
  <c r="BF159" i="26" s="1"/>
  <c r="BG159" i="26" s="1"/>
  <c r="G15" i="47"/>
  <c r="AY160" i="26"/>
  <c r="AR159" i="26" l="1"/>
  <c r="AV159" i="26" s="1"/>
  <c r="AX159" i="26"/>
  <c r="AW159" i="26"/>
  <c r="BA160" i="26"/>
  <c r="AZ158" i="26" l="1"/>
  <c r="BF158" i="26" s="1"/>
  <c r="BG158" i="26" s="1"/>
  <c r="AY159" i="26"/>
  <c r="BA159" i="26" s="1"/>
  <c r="AX158" i="26" l="1"/>
  <c r="AW158" i="26"/>
  <c r="AR158" i="26"/>
  <c r="AV158" i="26" s="1"/>
  <c r="AZ157" i="26" l="1"/>
  <c r="BF157" i="26" s="1"/>
  <c r="BG157" i="26" s="1"/>
  <c r="AY158" i="26"/>
  <c r="BA158" i="26" s="1"/>
  <c r="AX157" i="26" l="1"/>
  <c r="AW157" i="26"/>
  <c r="AR157" i="26"/>
  <c r="AV157" i="26" s="1"/>
  <c r="AZ156" i="26" l="1"/>
  <c r="BF156" i="26" s="1"/>
  <c r="BG156" i="26" s="1"/>
  <c r="AY157" i="26"/>
  <c r="BA157" i="26" s="1"/>
  <c r="AX156" i="26" l="1"/>
  <c r="AW156" i="26"/>
  <c r="AR156" i="26"/>
  <c r="AV156" i="26" s="1"/>
  <c r="AZ155" i="26" l="1"/>
  <c r="BF155" i="26" s="1"/>
  <c r="BG155" i="26" s="1"/>
  <c r="AY156" i="26"/>
  <c r="BA156" i="26" s="1"/>
  <c r="AX155" i="26" l="1"/>
  <c r="AW155" i="26"/>
  <c r="AR155" i="26"/>
  <c r="AV155" i="26" s="1"/>
  <c r="AZ154" i="26" l="1"/>
  <c r="BF154" i="26" s="1"/>
  <c r="BG154" i="26" s="1"/>
  <c r="AY155" i="26"/>
  <c r="BA155" i="26" s="1"/>
  <c r="AX154" i="26" l="1"/>
  <c r="AW154" i="26"/>
  <c r="AR154" i="26"/>
  <c r="AV154" i="26" s="1"/>
  <c r="AZ153" i="26" l="1"/>
  <c r="BF153" i="26" s="1"/>
  <c r="BG153" i="26" s="1"/>
  <c r="AY154" i="26"/>
  <c r="BA154" i="26" s="1"/>
  <c r="AR153" i="26" l="1"/>
  <c r="AV153" i="26" s="1"/>
  <c r="AW153" i="26"/>
  <c r="AX153" i="26"/>
  <c r="AZ152" i="26" l="1"/>
  <c r="BF152" i="26" s="1"/>
  <c r="BG152" i="26" s="1"/>
  <c r="AY153" i="26"/>
  <c r="AX152" i="26" l="1"/>
  <c r="AR152" i="26"/>
  <c r="AV152" i="26" s="1"/>
  <c r="AW152" i="26"/>
  <c r="BA153" i="26"/>
  <c r="AZ151" i="26" l="1"/>
  <c r="BF151" i="26" s="1"/>
  <c r="BG151" i="26" s="1"/>
  <c r="AY152" i="26"/>
  <c r="AR151" i="26" l="1"/>
  <c r="AV151" i="26" s="1"/>
  <c r="AX151" i="26"/>
  <c r="AW151" i="26"/>
  <c r="BA152" i="26"/>
  <c r="AZ150" i="26" l="1"/>
  <c r="BF150" i="26" s="1"/>
  <c r="BG150" i="26" s="1"/>
  <c r="AY151" i="26"/>
  <c r="AR150" i="26" l="1"/>
  <c r="AV150" i="26" s="1"/>
  <c r="AX150" i="26"/>
  <c r="AW150" i="26"/>
  <c r="BA151" i="26"/>
  <c r="AZ149" i="26" l="1"/>
  <c r="BF149" i="26" s="1"/>
  <c r="BG149" i="26" s="1"/>
  <c r="AY150" i="26"/>
  <c r="AR149" i="26" l="1"/>
  <c r="AV149" i="26" s="1"/>
  <c r="AX149" i="26"/>
  <c r="AW149" i="26"/>
  <c r="BA150" i="26"/>
  <c r="AZ148" i="26" l="1"/>
  <c r="BF148" i="26" s="1"/>
  <c r="BG148" i="26" s="1"/>
  <c r="E14" i="47" s="1"/>
  <c r="AY149" i="26"/>
  <c r="AR148" i="26" l="1"/>
  <c r="AV148" i="26" s="1"/>
  <c r="AX148" i="26"/>
  <c r="AW148" i="26"/>
  <c r="BA149" i="26"/>
  <c r="AZ147" i="26" l="1"/>
  <c r="BF147" i="26" s="1"/>
  <c r="BG147" i="26" s="1"/>
  <c r="G14" i="47"/>
  <c r="AY148" i="26"/>
  <c r="AR147" i="26" l="1"/>
  <c r="AV147" i="26" s="1"/>
  <c r="AW147" i="26"/>
  <c r="AX147" i="26"/>
  <c r="BA148" i="26"/>
  <c r="AZ146" i="26" l="1"/>
  <c r="BF146" i="26" s="1"/>
  <c r="BG146" i="26" s="1"/>
  <c r="AY147" i="26"/>
  <c r="AR146" i="26" l="1"/>
  <c r="AV146" i="26" s="1"/>
  <c r="AX146" i="26"/>
  <c r="AW146" i="26"/>
  <c r="BA147" i="26"/>
  <c r="AZ145" i="26" l="1"/>
  <c r="BF145" i="26" s="1"/>
  <c r="BG145" i="26" s="1"/>
  <c r="AY146" i="26"/>
  <c r="AX145" i="26" l="1"/>
  <c r="AR145" i="26"/>
  <c r="AV145" i="26" s="1"/>
  <c r="AW145" i="26"/>
  <c r="BA146" i="26"/>
  <c r="AZ144" i="26" l="1"/>
  <c r="BF144" i="26" s="1"/>
  <c r="BG144" i="26" s="1"/>
  <c r="AY145" i="26"/>
  <c r="AX144" i="26" l="1"/>
  <c r="AR144" i="26"/>
  <c r="AV144" i="26" s="1"/>
  <c r="AW144" i="26"/>
  <c r="BA145" i="26"/>
  <c r="AZ143" i="26" l="1"/>
  <c r="BF143" i="26" s="1"/>
  <c r="BG143" i="26" s="1"/>
  <c r="AY144" i="26"/>
  <c r="AX143" i="26" l="1"/>
  <c r="AR143" i="26"/>
  <c r="AV143" i="26" s="1"/>
  <c r="AW143" i="26"/>
  <c r="BA144" i="26"/>
  <c r="AZ142" i="26" l="1"/>
  <c r="BF142" i="26" s="1"/>
  <c r="BG142" i="26" s="1"/>
  <c r="AY143" i="26"/>
  <c r="AX142" i="26" l="1"/>
  <c r="AR142" i="26"/>
  <c r="AV142" i="26" s="1"/>
  <c r="AW142" i="26"/>
  <c r="BA143" i="26"/>
  <c r="AZ141" i="26" l="1"/>
  <c r="BF141" i="26" s="1"/>
  <c r="BG141" i="26" s="1"/>
  <c r="AY142" i="26"/>
  <c r="AR141" i="26" l="1"/>
  <c r="AV141" i="26" s="1"/>
  <c r="AX141" i="26"/>
  <c r="AW141" i="26"/>
  <c r="BA142" i="26"/>
  <c r="AZ140" i="26" l="1"/>
  <c r="BF140" i="26" s="1"/>
  <c r="BG140" i="26" s="1"/>
  <c r="AY141" i="26"/>
  <c r="AR140" i="26" l="1"/>
  <c r="AV140" i="26" s="1"/>
  <c r="AX140" i="26"/>
  <c r="AW140" i="26"/>
  <c r="BA141" i="26"/>
  <c r="AZ139" i="26" l="1"/>
  <c r="BF139" i="26" s="1"/>
  <c r="BG139" i="26" s="1"/>
  <c r="AY140" i="26"/>
  <c r="AX139" i="26" l="1"/>
  <c r="AR139" i="26"/>
  <c r="AV139" i="26" s="1"/>
  <c r="AW139" i="26"/>
  <c r="BA140" i="26"/>
  <c r="AZ138" i="26" l="1"/>
  <c r="BF138" i="26" s="1"/>
  <c r="BG138" i="26" s="1"/>
  <c r="AY139" i="26"/>
  <c r="AX138" i="26" l="1"/>
  <c r="AR138" i="26"/>
  <c r="AV138" i="26" s="1"/>
  <c r="AW138" i="26"/>
  <c r="BA139" i="26"/>
  <c r="AZ137" i="26" l="1"/>
  <c r="BF137" i="26" s="1"/>
  <c r="BG137" i="26" s="1"/>
  <c r="AY138" i="26"/>
  <c r="AR137" i="26" l="1"/>
  <c r="AV137" i="26" s="1"/>
  <c r="AX137" i="26"/>
  <c r="AW137" i="26"/>
  <c r="BA138" i="26"/>
  <c r="AZ136" i="26" l="1"/>
  <c r="BF136" i="26" s="1"/>
  <c r="BG136" i="26" s="1"/>
  <c r="E13" i="47" s="1"/>
  <c r="AY137" i="26"/>
  <c r="AR136" i="26" l="1"/>
  <c r="AV136" i="26" s="1"/>
  <c r="AX136" i="26"/>
  <c r="AW136" i="26"/>
  <c r="G13" i="47"/>
  <c r="BA137" i="26"/>
  <c r="AZ135" i="26" l="1"/>
  <c r="BF135" i="26" s="1"/>
  <c r="BG135" i="26" s="1"/>
  <c r="AY136" i="26"/>
  <c r="AR135" i="26" l="1"/>
  <c r="AV135" i="26" s="1"/>
  <c r="AX135" i="26"/>
  <c r="AW135" i="26"/>
  <c r="BA136" i="26"/>
  <c r="AZ134" i="26" l="1"/>
  <c r="BF134" i="26" s="1"/>
  <c r="BG134" i="26" s="1"/>
  <c r="AY135" i="26"/>
  <c r="AX134" i="26" l="1"/>
  <c r="AR134" i="26"/>
  <c r="AV134" i="26" s="1"/>
  <c r="AW134" i="26"/>
  <c r="BA135" i="26"/>
  <c r="AZ133" i="26" l="1"/>
  <c r="BF133" i="26" s="1"/>
  <c r="BG133" i="26" s="1"/>
  <c r="AY134" i="26"/>
  <c r="AR133" i="26" l="1"/>
  <c r="AV133" i="26" s="1"/>
  <c r="AX133" i="26"/>
  <c r="AW133" i="26"/>
  <c r="BA134" i="26"/>
  <c r="AZ132" i="26" l="1"/>
  <c r="BF132" i="26" s="1"/>
  <c r="BG132" i="26" s="1"/>
  <c r="AY133" i="26"/>
  <c r="AR132" i="26" l="1"/>
  <c r="AV132" i="26" s="1"/>
  <c r="AX132" i="26"/>
  <c r="AW132" i="26"/>
  <c r="BA133" i="26"/>
  <c r="AZ131" i="26" l="1"/>
  <c r="BF131" i="26" s="1"/>
  <c r="BG131" i="26" s="1"/>
  <c r="AY132" i="26"/>
  <c r="AX131" i="26" l="1"/>
  <c r="AR131" i="26"/>
  <c r="AV131" i="26" s="1"/>
  <c r="AW131" i="26"/>
  <c r="BA132" i="26"/>
  <c r="AZ130" i="26" l="1"/>
  <c r="BF130" i="26" s="1"/>
  <c r="BG130" i="26" s="1"/>
  <c r="AY131" i="26"/>
  <c r="AR130" i="26" l="1"/>
  <c r="AV130" i="26" s="1"/>
  <c r="AX130" i="26"/>
  <c r="AW130" i="26"/>
  <c r="BA131" i="26"/>
  <c r="AZ129" i="26" l="1"/>
  <c r="BF129" i="26" s="1"/>
  <c r="BG129" i="26" s="1"/>
  <c r="AY130" i="26"/>
  <c r="AR129" i="26" l="1"/>
  <c r="AV129" i="26" s="1"/>
  <c r="AX129" i="26"/>
  <c r="AW129" i="26"/>
  <c r="BA130" i="26"/>
  <c r="AZ128" i="26" l="1"/>
  <c r="BF128" i="26" s="1"/>
  <c r="BG128" i="26" s="1"/>
  <c r="AY129" i="26"/>
  <c r="AX128" i="26" l="1"/>
  <c r="AR128" i="26"/>
  <c r="AV128" i="26" s="1"/>
  <c r="AW128" i="26"/>
  <c r="BA129" i="26"/>
  <c r="AZ127" i="26" l="1"/>
  <c r="BF127" i="26" s="1"/>
  <c r="BG127" i="26" s="1"/>
  <c r="AY128" i="26"/>
  <c r="AX127" i="26" l="1"/>
  <c r="AR127" i="26"/>
  <c r="AV127" i="26" s="1"/>
  <c r="AW127" i="26"/>
  <c r="BA128" i="26"/>
  <c r="AZ126" i="26" l="1"/>
  <c r="BF126" i="26" s="1"/>
  <c r="BG126" i="26" s="1"/>
  <c r="AY127" i="26"/>
  <c r="AX126" i="26" l="1"/>
  <c r="AR126" i="26"/>
  <c r="AV126" i="26" s="1"/>
  <c r="AW126" i="26"/>
  <c r="BA127" i="26"/>
  <c r="AZ125" i="26" l="1"/>
  <c r="BF125" i="26" s="1"/>
  <c r="BG125" i="26" s="1"/>
  <c r="AY126" i="26"/>
  <c r="AX125" i="26" l="1"/>
  <c r="AR125" i="26"/>
  <c r="AV125" i="26" s="1"/>
  <c r="AW125" i="26"/>
  <c r="BA126" i="26"/>
  <c r="AZ124" i="26" l="1"/>
  <c r="BF124" i="26" s="1"/>
  <c r="BG124" i="26" s="1"/>
  <c r="E12" i="47" s="1"/>
  <c r="AY125" i="26"/>
  <c r="AX124" i="26" l="1"/>
  <c r="AR124" i="26"/>
  <c r="AV124" i="26" s="1"/>
  <c r="AW124" i="26"/>
  <c r="G12" i="47"/>
  <c r="BA125" i="26"/>
  <c r="AZ123" i="26" l="1"/>
  <c r="BF123" i="26" s="1"/>
  <c r="BG123" i="26" s="1"/>
  <c r="AY124" i="26"/>
  <c r="AX123" i="26" l="1"/>
  <c r="AR123" i="26"/>
  <c r="AV123" i="26" s="1"/>
  <c r="AW123" i="26"/>
  <c r="BA124" i="26"/>
  <c r="AZ122" i="26" l="1"/>
  <c r="BF122" i="26" s="1"/>
  <c r="BG122" i="26" s="1"/>
  <c r="AY123" i="26"/>
  <c r="AX122" i="26" l="1"/>
  <c r="AR122" i="26"/>
  <c r="AV122" i="26" s="1"/>
  <c r="AW122" i="26"/>
  <c r="BA123" i="26"/>
  <c r="AZ121" i="26" l="1"/>
  <c r="BF121" i="26" s="1"/>
  <c r="BG121" i="26" s="1"/>
  <c r="AY122" i="26"/>
  <c r="AX121" i="26" l="1"/>
  <c r="AR121" i="26"/>
  <c r="AV121" i="26" s="1"/>
  <c r="AW121" i="26"/>
  <c r="BA122" i="26"/>
  <c r="AZ120" i="26" l="1"/>
  <c r="BF120" i="26" s="1"/>
  <c r="BG120" i="26" s="1"/>
  <c r="AY121" i="26"/>
  <c r="AR120" i="26" l="1"/>
  <c r="AV120" i="26" s="1"/>
  <c r="AX120" i="26"/>
  <c r="AW120" i="26"/>
  <c r="BA121" i="26"/>
  <c r="AZ119" i="26" l="1"/>
  <c r="BF119" i="26" s="1"/>
  <c r="BG119" i="26" s="1"/>
  <c r="AY120" i="26"/>
  <c r="AR119" i="26" l="1"/>
  <c r="AV119" i="26" s="1"/>
  <c r="AX119" i="26"/>
  <c r="AW119" i="26"/>
  <c r="BA120" i="26"/>
  <c r="AZ118" i="26" l="1"/>
  <c r="BF118" i="26" s="1"/>
  <c r="BG118" i="26" s="1"/>
  <c r="AY119" i="26"/>
  <c r="AR118" i="26" l="1"/>
  <c r="AV118" i="26" s="1"/>
  <c r="AX118" i="26"/>
  <c r="AW118" i="26"/>
  <c r="BA119" i="26"/>
  <c r="AZ117" i="26" l="1"/>
  <c r="BF117" i="26" s="1"/>
  <c r="BG117" i="26" s="1"/>
  <c r="AY118" i="26"/>
  <c r="AX117" i="26" l="1"/>
  <c r="AR117" i="26"/>
  <c r="AV117" i="26" s="1"/>
  <c r="AW117" i="26"/>
  <c r="BA118" i="26"/>
  <c r="AZ116" i="26" l="1"/>
  <c r="BF116" i="26" s="1"/>
  <c r="BG116" i="26" s="1"/>
  <c r="AY117" i="26"/>
  <c r="AR116" i="26" l="1"/>
  <c r="AV116" i="26" s="1"/>
  <c r="AX116" i="26"/>
  <c r="AW116" i="26"/>
  <c r="BA117" i="26"/>
  <c r="AZ115" i="26" l="1"/>
  <c r="BF115" i="26" s="1"/>
  <c r="BG115" i="26" s="1"/>
  <c r="AY116" i="26"/>
  <c r="AW115" i="26" l="1"/>
  <c r="AX115" i="26"/>
  <c r="AR115" i="26"/>
  <c r="AV115" i="26" s="1"/>
  <c r="BA116" i="26"/>
  <c r="AZ114" i="26" l="1"/>
  <c r="BF114" i="26" s="1"/>
  <c r="BG114" i="26" s="1"/>
  <c r="AY115" i="26"/>
  <c r="AW114" i="26" l="1"/>
  <c r="AX114" i="26"/>
  <c r="AR114" i="26"/>
  <c r="AV114" i="26" s="1"/>
  <c r="BA115" i="26"/>
  <c r="AZ113" i="26" l="1"/>
  <c r="BF113" i="26" s="1"/>
  <c r="BG113" i="26" s="1"/>
  <c r="AY114" i="26"/>
  <c r="AX113" i="26" l="1"/>
  <c r="AR113" i="26"/>
  <c r="AV113" i="26" s="1"/>
  <c r="AW113" i="26"/>
  <c r="BA114" i="26"/>
  <c r="AZ112" i="26" l="1"/>
  <c r="BF112" i="26" s="1"/>
  <c r="BG112" i="26" s="1"/>
  <c r="E11" i="47" s="1"/>
  <c r="AY113" i="26"/>
  <c r="AX112" i="26" l="1"/>
  <c r="AR112" i="26"/>
  <c r="AV112" i="26" s="1"/>
  <c r="AW112" i="26"/>
  <c r="G11" i="47"/>
  <c r="BA113" i="26"/>
  <c r="AZ111" i="26" l="1"/>
  <c r="BF111" i="26" s="1"/>
  <c r="BG111" i="26" s="1"/>
  <c r="AY112" i="26"/>
  <c r="AR111" i="26" l="1"/>
  <c r="AV111" i="26" s="1"/>
  <c r="AX111" i="26"/>
  <c r="AW111" i="26"/>
  <c r="BA112" i="26"/>
  <c r="AZ110" i="26" l="1"/>
  <c r="BF110" i="26" s="1"/>
  <c r="BG110" i="26" s="1"/>
  <c r="AY111" i="26"/>
  <c r="AX110" i="26" l="1"/>
  <c r="AR110" i="26"/>
  <c r="AV110" i="26" s="1"/>
  <c r="AW110" i="26"/>
  <c r="BA111" i="26"/>
  <c r="AZ109" i="26" l="1"/>
  <c r="BF109" i="26" s="1"/>
  <c r="BG109" i="26" s="1"/>
  <c r="AY110" i="26"/>
  <c r="AX109" i="26" l="1"/>
  <c r="AR109" i="26"/>
  <c r="AV109" i="26" s="1"/>
  <c r="AW109" i="26"/>
  <c r="BA110" i="26"/>
  <c r="AZ108" i="26" l="1"/>
  <c r="BF108" i="26" s="1"/>
  <c r="BG108" i="26" s="1"/>
  <c r="AY109" i="26"/>
  <c r="AX108" i="26" l="1"/>
  <c r="AR108" i="26"/>
  <c r="AV108" i="26" s="1"/>
  <c r="AW108" i="26"/>
  <c r="BA109" i="26"/>
  <c r="AZ107" i="26" l="1"/>
  <c r="BF107" i="26" s="1"/>
  <c r="BG107" i="26" s="1"/>
  <c r="AY108" i="26"/>
  <c r="AX107" i="26" l="1"/>
  <c r="AR107" i="26"/>
  <c r="AV107" i="26" s="1"/>
  <c r="AW107" i="26"/>
  <c r="BA108" i="26"/>
  <c r="AZ106" i="26" l="1"/>
  <c r="BF106" i="26" s="1"/>
  <c r="BG106" i="26" s="1"/>
  <c r="AY107" i="26"/>
  <c r="AW106" i="26" l="1"/>
  <c r="AX106" i="26"/>
  <c r="AR106" i="26"/>
  <c r="AV106" i="26" s="1"/>
  <c r="BA107" i="26"/>
  <c r="AZ105" i="26" l="1"/>
  <c r="BF105" i="26" s="1"/>
  <c r="BG105" i="26" s="1"/>
  <c r="AY106" i="26"/>
  <c r="AX105" i="26" l="1"/>
  <c r="AR105" i="26"/>
  <c r="AV105" i="26" s="1"/>
  <c r="AW105" i="26"/>
  <c r="BA106" i="26"/>
  <c r="AZ104" i="26" l="1"/>
  <c r="BF104" i="26" s="1"/>
  <c r="BG104" i="26" s="1"/>
  <c r="AY105" i="26"/>
  <c r="AR104" i="26" l="1"/>
  <c r="AV104" i="26" s="1"/>
  <c r="AX104" i="26"/>
  <c r="AW104" i="26"/>
  <c r="BA105" i="26"/>
  <c r="AZ103" i="26" l="1"/>
  <c r="BF103" i="26" s="1"/>
  <c r="BG103" i="26" s="1"/>
  <c r="AY104" i="26"/>
  <c r="AX103" i="26" l="1"/>
  <c r="AR103" i="26"/>
  <c r="AV103" i="26" s="1"/>
  <c r="AW103" i="26"/>
  <c r="BA104" i="26"/>
  <c r="AZ102" i="26" l="1"/>
  <c r="BF102" i="26" s="1"/>
  <c r="BG102" i="26" s="1"/>
  <c r="AY103" i="26"/>
  <c r="AX102" i="26" l="1"/>
  <c r="AR102" i="26"/>
  <c r="AV102" i="26" s="1"/>
  <c r="AW102" i="26"/>
  <c r="BA103" i="26"/>
  <c r="AZ101" i="26" l="1"/>
  <c r="BF101" i="26" s="1"/>
  <c r="BG101" i="26" s="1"/>
  <c r="AY102" i="26"/>
  <c r="AR101" i="26" l="1"/>
  <c r="AV101" i="26" s="1"/>
  <c r="AX101" i="26"/>
  <c r="AW101" i="26"/>
  <c r="BA102" i="26"/>
  <c r="AZ100" i="26" l="1"/>
  <c r="BF100" i="26" s="1"/>
  <c r="BG100" i="26" s="1"/>
  <c r="E10" i="47" s="1"/>
  <c r="AY101" i="26"/>
  <c r="AX100" i="26" l="1"/>
  <c r="AR100" i="26"/>
  <c r="AV100" i="26" s="1"/>
  <c r="AW100" i="26"/>
  <c r="G10" i="47"/>
  <c r="BA101" i="26"/>
  <c r="AZ99" i="26" l="1"/>
  <c r="BF99" i="26" s="1"/>
  <c r="BG99" i="26" s="1"/>
  <c r="AY100" i="26"/>
  <c r="AX99" i="26" l="1"/>
  <c r="AR99" i="26"/>
  <c r="AV99" i="26" s="1"/>
  <c r="AW99" i="26"/>
  <c r="BA100" i="26"/>
  <c r="AZ98" i="26" l="1"/>
  <c r="BF98" i="26" s="1"/>
  <c r="BG98" i="26" s="1"/>
  <c r="AY99" i="26"/>
  <c r="AR98" i="26" l="1"/>
  <c r="AV98" i="26" s="1"/>
  <c r="AX98" i="26"/>
  <c r="AW98" i="26"/>
  <c r="BA99" i="26"/>
  <c r="AZ97" i="26" l="1"/>
  <c r="BF97" i="26" s="1"/>
  <c r="BG97" i="26" s="1"/>
  <c r="AY98" i="26"/>
  <c r="AX97" i="26" l="1"/>
  <c r="AR97" i="26"/>
  <c r="AV97" i="26" s="1"/>
  <c r="AW97" i="26"/>
  <c r="BA98" i="26"/>
  <c r="AZ96" i="26" l="1"/>
  <c r="BF96" i="26" s="1"/>
  <c r="BG96" i="26" s="1"/>
  <c r="AY97" i="26"/>
  <c r="AX96" i="26" l="1"/>
  <c r="AR96" i="26"/>
  <c r="AV96" i="26" s="1"/>
  <c r="AW96" i="26"/>
  <c r="BA97" i="26"/>
  <c r="AZ95" i="26" l="1"/>
  <c r="BF95" i="26" s="1"/>
  <c r="BG95" i="26" s="1"/>
  <c r="AY96" i="26"/>
  <c r="AW95" i="26" l="1"/>
  <c r="AR95" i="26"/>
  <c r="AV95" i="26" s="1"/>
  <c r="AX95" i="26"/>
  <c r="BA96" i="26"/>
  <c r="AZ94" i="26" l="1"/>
  <c r="BF94" i="26" s="1"/>
  <c r="BG94" i="26" s="1"/>
  <c r="AY95" i="26"/>
  <c r="AR94" i="26" l="1"/>
  <c r="AV94" i="26" s="1"/>
  <c r="AX94" i="26"/>
  <c r="AW94" i="26"/>
  <c r="BA95" i="26"/>
  <c r="AZ93" i="26" l="1"/>
  <c r="BF93" i="26" s="1"/>
  <c r="BG93" i="26" s="1"/>
  <c r="AY94" i="26"/>
  <c r="AR93" i="26" l="1"/>
  <c r="AV93" i="26" s="1"/>
  <c r="AX93" i="26"/>
  <c r="AW93" i="26"/>
  <c r="BA94" i="26"/>
  <c r="AZ92" i="26" l="1"/>
  <c r="BF92" i="26" s="1"/>
  <c r="BG92" i="26" s="1"/>
  <c r="AY93" i="26"/>
  <c r="AX92" i="26" l="1"/>
  <c r="AW92" i="26"/>
  <c r="AR92" i="26"/>
  <c r="AV92" i="26" s="1"/>
  <c r="BA93" i="26"/>
  <c r="AZ91" i="26" l="1"/>
  <c r="BF91" i="26" s="1"/>
  <c r="BG91" i="26" s="1"/>
  <c r="AY92" i="26"/>
  <c r="AX91" i="26" l="1"/>
  <c r="AR91" i="26"/>
  <c r="AV91" i="26" s="1"/>
  <c r="AW91" i="26"/>
  <c r="BA92" i="26"/>
  <c r="AZ90" i="26" l="1"/>
  <c r="BF90" i="26" s="1"/>
  <c r="BG90" i="26" s="1"/>
  <c r="AY91" i="26"/>
  <c r="AX90" i="26" l="1"/>
  <c r="AR90" i="26"/>
  <c r="AV90" i="26" s="1"/>
  <c r="AW90" i="26"/>
  <c r="BA91" i="26"/>
  <c r="AZ89" i="26" l="1"/>
  <c r="BF89" i="26" s="1"/>
  <c r="BG89" i="26" s="1"/>
  <c r="AY90" i="26"/>
  <c r="AR89" i="26" l="1"/>
  <c r="AV89" i="26" s="1"/>
  <c r="AX89" i="26"/>
  <c r="AW89" i="26"/>
  <c r="BA90" i="26"/>
  <c r="AZ88" i="26" l="1"/>
  <c r="BF88" i="26" s="1"/>
  <c r="BG88" i="26" s="1"/>
  <c r="E9" i="47" s="1"/>
  <c r="AY89" i="26"/>
  <c r="AR88" i="26" l="1"/>
  <c r="AV88" i="26" s="1"/>
  <c r="AX88" i="26"/>
  <c r="AW88" i="26"/>
  <c r="G9" i="47"/>
  <c r="BA89" i="26"/>
  <c r="AZ87" i="26" l="1"/>
  <c r="BF87" i="26" s="1"/>
  <c r="BG87" i="26" s="1"/>
  <c r="AY88" i="26"/>
  <c r="AX87" i="26" l="1"/>
  <c r="AR87" i="26"/>
  <c r="AV87" i="26" s="1"/>
  <c r="AW87" i="26"/>
  <c r="BA88" i="26"/>
  <c r="AZ86" i="26" l="1"/>
  <c r="BF86" i="26" s="1"/>
  <c r="BG86" i="26" s="1"/>
  <c r="AY87" i="26"/>
  <c r="AX86" i="26" l="1"/>
  <c r="AR86" i="26"/>
  <c r="AV86" i="26" s="1"/>
  <c r="AW86" i="26"/>
  <c r="BA87" i="26"/>
  <c r="AZ85" i="26" l="1"/>
  <c r="BF85" i="26" s="1"/>
  <c r="BG85" i="26" s="1"/>
  <c r="AY86" i="26"/>
  <c r="AR85" i="26" l="1"/>
  <c r="AV85" i="26" s="1"/>
  <c r="AX85" i="26"/>
  <c r="AW85" i="26"/>
  <c r="BA86" i="26"/>
  <c r="AZ84" i="26" l="1"/>
  <c r="BF84" i="26" s="1"/>
  <c r="BG84" i="26" s="1"/>
  <c r="AY85" i="26"/>
  <c r="AW84" i="26" l="1"/>
  <c r="AX84" i="26"/>
  <c r="AR84" i="26"/>
  <c r="AV84" i="26" s="1"/>
  <c r="BA85" i="26"/>
  <c r="AZ83" i="26" l="1"/>
  <c r="BF83" i="26" s="1"/>
  <c r="BG83" i="26" s="1"/>
  <c r="AY84" i="26"/>
  <c r="AX83" i="26" l="1"/>
  <c r="AR83" i="26"/>
  <c r="AV83" i="26" s="1"/>
  <c r="AW83" i="26"/>
  <c r="BA84" i="26"/>
  <c r="AZ82" i="26" l="1"/>
  <c r="BF82" i="26" s="1"/>
  <c r="BG82" i="26" s="1"/>
  <c r="AY83" i="26"/>
  <c r="AX82" i="26" l="1"/>
  <c r="AR82" i="26"/>
  <c r="AV82" i="26" s="1"/>
  <c r="AW82" i="26"/>
  <c r="BA83" i="26"/>
  <c r="AZ81" i="26" l="1"/>
  <c r="BF81" i="26" s="1"/>
  <c r="BG81" i="26" s="1"/>
  <c r="AY82" i="26"/>
  <c r="AX81" i="26" l="1"/>
  <c r="AR81" i="26"/>
  <c r="AV81" i="26" s="1"/>
  <c r="AW81" i="26"/>
  <c r="BA82" i="26"/>
  <c r="AZ80" i="26" l="1"/>
  <c r="BF80" i="26" s="1"/>
  <c r="BG80" i="26" s="1"/>
  <c r="AY81" i="26"/>
  <c r="AX80" i="26" l="1"/>
  <c r="AR80" i="26"/>
  <c r="AV80" i="26" s="1"/>
  <c r="AW80" i="26"/>
  <c r="BA81" i="26"/>
  <c r="AZ79" i="26" l="1"/>
  <c r="BF79" i="26" s="1"/>
  <c r="BG79" i="26" s="1"/>
  <c r="AY80" i="26"/>
  <c r="AR79" i="26" l="1"/>
  <c r="AV79" i="26" s="1"/>
  <c r="AX79" i="26"/>
  <c r="AW79" i="26"/>
  <c r="BA80" i="26"/>
  <c r="AZ78" i="26" l="1"/>
  <c r="BF78" i="26" s="1"/>
  <c r="BG78" i="26" s="1"/>
  <c r="AY79" i="26"/>
  <c r="AR78" i="26" l="1"/>
  <c r="AV78" i="26" s="1"/>
  <c r="AX78" i="26"/>
  <c r="AW78" i="26"/>
  <c r="BA79" i="26"/>
  <c r="AZ77" i="26" l="1"/>
  <c r="BF77" i="26" s="1"/>
  <c r="BG77" i="26" s="1"/>
  <c r="AY78" i="26"/>
  <c r="AX77" i="26" l="1"/>
  <c r="AR77" i="26"/>
  <c r="AV77" i="26" s="1"/>
  <c r="AW77" i="26"/>
  <c r="BA78" i="26"/>
  <c r="AZ76" i="26" l="1"/>
  <c r="BF76" i="26" s="1"/>
  <c r="BG76" i="26" s="1"/>
  <c r="E8" i="47" s="1"/>
  <c r="AY77" i="26"/>
  <c r="AR76" i="26" l="1"/>
  <c r="AV76" i="26" s="1"/>
  <c r="AX76" i="26"/>
  <c r="AW76" i="26"/>
  <c r="BA77" i="26"/>
  <c r="AZ75" i="26" l="1"/>
  <c r="BF75" i="26" s="1"/>
  <c r="BG75" i="26" s="1"/>
  <c r="G8" i="47"/>
  <c r="AY76" i="26"/>
  <c r="AR75" i="26" l="1"/>
  <c r="AV75" i="26" s="1"/>
  <c r="AW75" i="26"/>
  <c r="AX75" i="26"/>
  <c r="BA76" i="26"/>
  <c r="AZ74" i="26" l="1"/>
  <c r="BF74" i="26" s="1"/>
  <c r="BG74" i="26" s="1"/>
  <c r="AY75" i="26"/>
  <c r="AR74" i="26" l="1"/>
  <c r="AV74" i="26" s="1"/>
  <c r="AX74" i="26"/>
  <c r="AW74" i="26"/>
  <c r="BA75" i="26"/>
  <c r="AZ73" i="26" l="1"/>
  <c r="BF73" i="26" s="1"/>
  <c r="BG73" i="26" s="1"/>
  <c r="AY74" i="26"/>
  <c r="AR73" i="26" l="1"/>
  <c r="AV73" i="26" s="1"/>
  <c r="AX73" i="26"/>
  <c r="AW73" i="26"/>
  <c r="BA74" i="26"/>
  <c r="AZ72" i="26" l="1"/>
  <c r="BF72" i="26" s="1"/>
  <c r="BG72" i="26" s="1"/>
  <c r="AY73" i="26"/>
  <c r="AR72" i="26" l="1"/>
  <c r="AV72" i="26" s="1"/>
  <c r="AX72" i="26"/>
  <c r="AW72" i="26"/>
  <c r="BA73" i="26"/>
  <c r="AZ71" i="26" l="1"/>
  <c r="BF71" i="26" s="1"/>
  <c r="BG71" i="26" s="1"/>
  <c r="AY72" i="26"/>
  <c r="AR71" i="26" l="1"/>
  <c r="AV71" i="26" s="1"/>
  <c r="AX71" i="26"/>
  <c r="AW71" i="26"/>
  <c r="BA72" i="26"/>
  <c r="AZ70" i="26" l="1"/>
  <c r="BF70" i="26" s="1"/>
  <c r="BG70" i="26" s="1"/>
  <c r="AY71" i="26"/>
  <c r="AX70" i="26" l="1"/>
  <c r="AR70" i="26"/>
  <c r="AV70" i="26" s="1"/>
  <c r="AW70" i="26"/>
  <c r="BA71" i="26"/>
  <c r="AZ69" i="26" l="1"/>
  <c r="BF69" i="26" s="1"/>
  <c r="BG69" i="26" s="1"/>
  <c r="AY70" i="26"/>
  <c r="AW69" i="26" l="1"/>
  <c r="AX69" i="26"/>
  <c r="AR69" i="26"/>
  <c r="AV69" i="26" s="1"/>
  <c r="BA70" i="26"/>
  <c r="AZ68" i="26" l="1"/>
  <c r="BF68" i="26" s="1"/>
  <c r="BG68" i="26" s="1"/>
  <c r="AY69" i="26"/>
  <c r="AX68" i="26" l="1"/>
  <c r="AR68" i="26"/>
  <c r="AV68" i="26" s="1"/>
  <c r="AW68" i="26"/>
  <c r="BA69" i="26"/>
  <c r="AZ67" i="26" l="1"/>
  <c r="BF67" i="26" s="1"/>
  <c r="BG67" i="26" s="1"/>
  <c r="AY68" i="26"/>
  <c r="AX67" i="26" l="1"/>
  <c r="AR67" i="26"/>
  <c r="AV67" i="26" s="1"/>
  <c r="AW67" i="26"/>
  <c r="BA68" i="26"/>
  <c r="AZ66" i="26" l="1"/>
  <c r="BF66" i="26" s="1"/>
  <c r="BG66" i="26" s="1"/>
  <c r="AY67" i="26"/>
  <c r="AX66" i="26" l="1"/>
  <c r="AR66" i="26"/>
  <c r="AV66" i="26" s="1"/>
  <c r="AW66" i="26"/>
  <c r="BA67" i="26"/>
  <c r="AZ65" i="26" l="1"/>
  <c r="BF65" i="26" s="1"/>
  <c r="BG65" i="26" s="1"/>
  <c r="AY66" i="26"/>
  <c r="AR65" i="26" l="1"/>
  <c r="AV65" i="26" s="1"/>
  <c r="AX65" i="26"/>
  <c r="AW65" i="26"/>
  <c r="BA66" i="26"/>
  <c r="AZ64" i="26" l="1"/>
  <c r="BF64" i="26" s="1"/>
  <c r="BG64" i="26" s="1"/>
  <c r="E7" i="47" s="1"/>
  <c r="AY65" i="26"/>
  <c r="AR64" i="26" l="1"/>
  <c r="AV64" i="26" s="1"/>
  <c r="AX64" i="26"/>
  <c r="AW64" i="26"/>
  <c r="BA65" i="26"/>
  <c r="AZ63" i="26" l="1"/>
  <c r="BF63" i="26" s="1"/>
  <c r="BG63" i="26" s="1"/>
  <c r="G7" i="47"/>
  <c r="AY64" i="26"/>
  <c r="AR63" i="26" l="1"/>
  <c r="AV63" i="26" s="1"/>
  <c r="AW63" i="26"/>
  <c r="AX63" i="26"/>
  <c r="BA64" i="26"/>
  <c r="AZ62" i="26" l="1"/>
  <c r="BF62" i="26" s="1"/>
  <c r="BG62" i="26" s="1"/>
  <c r="AY63" i="26"/>
  <c r="AX62" i="26" l="1"/>
  <c r="AR62" i="26"/>
  <c r="AV62" i="26" s="1"/>
  <c r="AW62" i="26"/>
  <c r="BA63" i="26"/>
  <c r="AZ61" i="26" l="1"/>
  <c r="BF61" i="26" s="1"/>
  <c r="BG61" i="26" s="1"/>
  <c r="AY62" i="26"/>
  <c r="AX61" i="26" l="1"/>
  <c r="AR61" i="26"/>
  <c r="AV61" i="26" s="1"/>
  <c r="AW61" i="26"/>
  <c r="BA62" i="26"/>
  <c r="AZ60" i="26" l="1"/>
  <c r="BF60" i="26" s="1"/>
  <c r="BG60" i="26" s="1"/>
  <c r="AY61" i="26"/>
  <c r="AX60" i="26" l="1"/>
  <c r="AR60" i="26"/>
  <c r="AV60" i="26" s="1"/>
  <c r="AW60" i="26"/>
  <c r="BA61" i="26"/>
  <c r="AZ59" i="26" l="1"/>
  <c r="BF59" i="26" s="1"/>
  <c r="BG59" i="26" s="1"/>
  <c r="AY60" i="26"/>
  <c r="AX59" i="26" l="1"/>
  <c r="AR59" i="26"/>
  <c r="AV59" i="26" s="1"/>
  <c r="AW59" i="26"/>
  <c r="BA60" i="26"/>
  <c r="AZ58" i="26" l="1"/>
  <c r="BF58" i="26" s="1"/>
  <c r="BG58" i="26" s="1"/>
  <c r="AY59" i="26"/>
  <c r="AR58" i="26" l="1"/>
  <c r="AV58" i="26" s="1"/>
  <c r="AX58" i="26"/>
  <c r="AW58" i="26"/>
  <c r="BA59" i="26"/>
  <c r="AZ57" i="26" l="1"/>
  <c r="BF57" i="26" s="1"/>
  <c r="BG57" i="26" s="1"/>
  <c r="AY58" i="26"/>
  <c r="AX57" i="26" l="1"/>
  <c r="AR57" i="26"/>
  <c r="AV57" i="26" s="1"/>
  <c r="AW57" i="26"/>
  <c r="BA58" i="26"/>
  <c r="AZ56" i="26" l="1"/>
  <c r="BF56" i="26" s="1"/>
  <c r="BG56" i="26" s="1"/>
  <c r="AY57" i="26"/>
  <c r="AR56" i="26" l="1"/>
  <c r="AV56" i="26" s="1"/>
  <c r="AX56" i="26"/>
  <c r="AW56" i="26"/>
  <c r="BA57" i="26"/>
  <c r="AZ55" i="26" l="1"/>
  <c r="BF55" i="26" s="1"/>
  <c r="BG55" i="26" s="1"/>
  <c r="AY56" i="26"/>
  <c r="AX55" i="26" l="1"/>
  <c r="AR55" i="26"/>
  <c r="AV55" i="26" s="1"/>
  <c r="AW55" i="26"/>
  <c r="BA56" i="26"/>
  <c r="AZ54" i="26" l="1"/>
  <c r="BF54" i="26" s="1"/>
  <c r="BG54" i="26" s="1"/>
  <c r="AY55" i="26"/>
  <c r="AX54" i="26" l="1"/>
  <c r="AR54" i="26"/>
  <c r="AV54" i="26" s="1"/>
  <c r="AW54" i="26"/>
  <c r="BA55" i="26"/>
  <c r="AZ53" i="26" l="1"/>
  <c r="BF53" i="26" s="1"/>
  <c r="BG53" i="26" s="1"/>
  <c r="AY54" i="26"/>
  <c r="AX53" i="26" l="1"/>
  <c r="AR53" i="26"/>
  <c r="AV53" i="26" s="1"/>
  <c r="AW53" i="26"/>
  <c r="BA54" i="26"/>
  <c r="AZ52" i="26" l="1"/>
  <c r="BF52" i="26" s="1"/>
  <c r="BG52" i="26" s="1"/>
  <c r="E6" i="47" s="1"/>
  <c r="AY53" i="26"/>
  <c r="AX52" i="26" l="1"/>
  <c r="AR52" i="26"/>
  <c r="AV52" i="26" s="1"/>
  <c r="AW52" i="26"/>
  <c r="BA53" i="26"/>
  <c r="AZ51" i="26" l="1"/>
  <c r="BF51" i="26" s="1"/>
  <c r="BG51" i="26" s="1"/>
  <c r="G6" i="47"/>
  <c r="AY52" i="26"/>
  <c r="AR51" i="26" l="1"/>
  <c r="AV51" i="26" s="1"/>
  <c r="AW51" i="26"/>
  <c r="AX51" i="26"/>
  <c r="BA52" i="26"/>
  <c r="AZ50" i="26" l="1"/>
  <c r="BF50" i="26" s="1"/>
  <c r="BG50" i="26" s="1"/>
  <c r="AY51" i="26"/>
  <c r="AX50" i="26" l="1"/>
  <c r="AR50" i="26"/>
  <c r="AV50" i="26" s="1"/>
  <c r="AW50" i="26"/>
  <c r="BA51" i="26"/>
  <c r="AZ49" i="26" l="1"/>
  <c r="BF49" i="26" s="1"/>
  <c r="BG49" i="26" s="1"/>
  <c r="AY50" i="26"/>
  <c r="AX49" i="26" l="1"/>
  <c r="AR49" i="26"/>
  <c r="AV49" i="26" s="1"/>
  <c r="AW49" i="26"/>
  <c r="BA50" i="26"/>
  <c r="AZ48" i="26" l="1"/>
  <c r="BF48" i="26" s="1"/>
  <c r="BG48" i="26" s="1"/>
  <c r="AY49" i="26"/>
  <c r="AX48" i="26" l="1"/>
  <c r="AR48" i="26"/>
  <c r="AV48" i="26" s="1"/>
  <c r="AW48" i="26"/>
  <c r="BA49" i="26"/>
  <c r="AZ47" i="26" l="1"/>
  <c r="BF47" i="26" s="1"/>
  <c r="BG47" i="26" s="1"/>
  <c r="AY48" i="26"/>
  <c r="AX47" i="26" l="1"/>
  <c r="AR47" i="26"/>
  <c r="AV47" i="26" s="1"/>
  <c r="AW47" i="26"/>
  <c r="BA48" i="26"/>
  <c r="AZ46" i="26" l="1"/>
  <c r="BF46" i="26" s="1"/>
  <c r="BG46" i="26" s="1"/>
  <c r="AY47" i="26"/>
  <c r="AX46" i="26" l="1"/>
  <c r="AW46" i="26"/>
  <c r="AR46" i="26"/>
  <c r="AV46" i="26" s="1"/>
  <c r="BA47" i="26"/>
  <c r="AZ45" i="26" l="1"/>
  <c r="BF45" i="26" s="1"/>
  <c r="BG45" i="26" s="1"/>
  <c r="AY46" i="26"/>
  <c r="BA46" i="26" s="1"/>
  <c r="AX45" i="26" l="1"/>
  <c r="AW45" i="26"/>
  <c r="AR45" i="26"/>
  <c r="AV45" i="26" s="1"/>
  <c r="AZ44" i="26" l="1"/>
  <c r="BF44" i="26" s="1"/>
  <c r="BG44" i="26" s="1"/>
  <c r="AY45" i="26"/>
  <c r="BA45" i="26" s="1"/>
  <c r="AX44" i="26" l="1"/>
  <c r="AW44" i="26"/>
  <c r="AR44" i="26"/>
  <c r="AV44" i="26" s="1"/>
  <c r="AZ43" i="26" l="1"/>
  <c r="BF43" i="26" s="1"/>
  <c r="BG43" i="26" s="1"/>
  <c r="AY44" i="26"/>
  <c r="AX43" i="26" l="1"/>
  <c r="AW43" i="26"/>
  <c r="AR43" i="26"/>
  <c r="AV43" i="26" s="1"/>
  <c r="BA44" i="26"/>
  <c r="AZ42" i="26" l="1"/>
  <c r="BF42" i="26" s="1"/>
  <c r="BG42" i="26" s="1"/>
  <c r="AY43" i="26"/>
  <c r="BA43" i="26" s="1"/>
  <c r="AX42" i="26" l="1"/>
  <c r="AW42" i="26"/>
  <c r="AR42" i="26"/>
  <c r="AV42" i="26" s="1"/>
  <c r="AZ41" i="26" l="1"/>
  <c r="BF41" i="26" s="1"/>
  <c r="BG41" i="26" s="1"/>
  <c r="AY42" i="26"/>
  <c r="BA42" i="26" s="1"/>
  <c r="AX41" i="26" l="1"/>
  <c r="AW41" i="26"/>
  <c r="AR41" i="26"/>
  <c r="AV41" i="26" s="1"/>
  <c r="AZ40" i="26" l="1"/>
  <c r="BF40" i="26" s="1"/>
  <c r="BG40" i="26" s="1"/>
  <c r="E5" i="47" s="1"/>
  <c r="AY41" i="26"/>
  <c r="BA41" i="26" s="1"/>
  <c r="AX40" i="26" l="1"/>
  <c r="AW40" i="26"/>
  <c r="AR40" i="26"/>
  <c r="AV40" i="26" s="1"/>
  <c r="G5" i="47"/>
  <c r="AZ39" i="26" l="1"/>
  <c r="BF39" i="26" s="1"/>
  <c r="BG39" i="26" s="1"/>
  <c r="AY40" i="26"/>
  <c r="AX39" i="26" l="1"/>
  <c r="AW39" i="26"/>
  <c r="AR39" i="26"/>
  <c r="AV39" i="26" s="1"/>
  <c r="BA40" i="26"/>
  <c r="AZ38" i="26" l="1"/>
  <c r="BF38" i="26" s="1"/>
  <c r="BG38" i="26" s="1"/>
  <c r="AY39" i="26"/>
  <c r="BA39" i="26" s="1"/>
  <c r="AX38" i="26" l="1"/>
  <c r="AW38" i="26"/>
  <c r="AR38" i="26"/>
  <c r="AV38" i="26" s="1"/>
  <c r="AZ37" i="26" l="1"/>
  <c r="BF37" i="26" s="1"/>
  <c r="BG37" i="26" s="1"/>
  <c r="AY38" i="26"/>
  <c r="AX37" i="26" l="1"/>
  <c r="AW37" i="26"/>
  <c r="AR37" i="26"/>
  <c r="AV37" i="26" s="1"/>
  <c r="BA38" i="26"/>
  <c r="AZ36" i="26" l="1"/>
  <c r="BF36" i="26" s="1"/>
  <c r="BG36" i="26" s="1"/>
  <c r="AY37" i="26"/>
  <c r="AX36" i="26" l="1"/>
  <c r="AW36" i="26"/>
  <c r="AR36" i="26"/>
  <c r="AV36" i="26" s="1"/>
  <c r="BA37" i="26"/>
  <c r="AZ35" i="26" l="1"/>
  <c r="BF35" i="26" s="1"/>
  <c r="BG35" i="26" s="1"/>
  <c r="AY36" i="26"/>
  <c r="BA36" i="26" s="1"/>
  <c r="AX35" i="26" l="1"/>
  <c r="AW35" i="26"/>
  <c r="AR35" i="26"/>
  <c r="AV35" i="26" s="1"/>
  <c r="AZ34" i="26" l="1"/>
  <c r="BF34" i="26" s="1"/>
  <c r="BG34" i="26" s="1"/>
  <c r="AY35" i="26"/>
  <c r="AX34" i="26" l="1"/>
  <c r="AW34" i="26"/>
  <c r="AR34" i="26"/>
  <c r="AV34" i="26" s="1"/>
  <c r="BA35" i="26"/>
  <c r="AZ33" i="26" l="1"/>
  <c r="BF33" i="26" s="1"/>
  <c r="BG33" i="26" s="1"/>
  <c r="AY34" i="26"/>
  <c r="AX33" i="26" l="1"/>
  <c r="AW33" i="26"/>
  <c r="AR33" i="26"/>
  <c r="AV33" i="26" s="1"/>
  <c r="BA34" i="26"/>
  <c r="AZ32" i="26" l="1"/>
  <c r="BF32" i="26" s="1"/>
  <c r="BG32" i="26" s="1"/>
  <c r="AY33" i="26"/>
  <c r="AX32" i="26" l="1"/>
  <c r="AW32" i="26"/>
  <c r="AR32" i="26"/>
  <c r="AV32" i="26" s="1"/>
  <c r="BA33" i="26"/>
  <c r="AZ31" i="26" l="1"/>
  <c r="BF31" i="26" s="1"/>
  <c r="BG31" i="26" s="1"/>
  <c r="AY32" i="26"/>
  <c r="AX31" i="26" l="1"/>
  <c r="AW31" i="26"/>
  <c r="AR31" i="26"/>
  <c r="AV31" i="26" s="1"/>
  <c r="BA32" i="26"/>
  <c r="AZ30" i="26" l="1"/>
  <c r="BF30" i="26" s="1"/>
  <c r="BG30" i="26" s="1"/>
  <c r="AY31" i="26"/>
  <c r="AX30" i="26" l="1"/>
  <c r="AW30" i="26"/>
  <c r="AR30" i="26"/>
  <c r="AV30" i="26" s="1"/>
  <c r="BA31" i="26"/>
  <c r="AZ29" i="26" l="1"/>
  <c r="BF29" i="26" s="1"/>
  <c r="BG29" i="26" s="1"/>
  <c r="AY30" i="26"/>
  <c r="AX29" i="26" l="1"/>
  <c r="AW29" i="26"/>
  <c r="AR29" i="26"/>
  <c r="AV29" i="26" s="1"/>
  <c r="BA30" i="26"/>
  <c r="AZ28" i="26" l="1"/>
  <c r="BF28" i="26" s="1"/>
  <c r="BG28" i="26" s="1"/>
  <c r="E4" i="47" s="1"/>
  <c r="AY29" i="26"/>
  <c r="AX28" i="26" l="1"/>
  <c r="AW28" i="26"/>
  <c r="AR28" i="26"/>
  <c r="AV28" i="26" s="1"/>
  <c r="BA29" i="26"/>
  <c r="AZ27" i="26" l="1"/>
  <c r="BF27" i="26" s="1"/>
  <c r="BG27" i="26" s="1"/>
  <c r="G4" i="47"/>
  <c r="AY28" i="26"/>
  <c r="AX27" i="26" l="1"/>
  <c r="AW27" i="26"/>
  <c r="AR27" i="26"/>
  <c r="AV27" i="26" s="1"/>
  <c r="BA28" i="26"/>
  <c r="AZ26" i="26" l="1"/>
  <c r="BF26" i="26" s="1"/>
  <c r="BG26" i="26" s="1"/>
  <c r="AY27" i="26"/>
  <c r="AX26" i="26" l="1"/>
  <c r="AW26" i="26"/>
  <c r="AR26" i="26"/>
  <c r="AV26" i="26" s="1"/>
  <c r="BA27" i="26"/>
  <c r="AZ25" i="26" l="1"/>
  <c r="BF25" i="26" s="1"/>
  <c r="BG25" i="26" s="1"/>
  <c r="AY26" i="26"/>
  <c r="AX25" i="26" l="1"/>
  <c r="AW25" i="26"/>
  <c r="AR25" i="26"/>
  <c r="AV25" i="26" s="1"/>
  <c r="BA26" i="26"/>
  <c r="AZ24" i="26" l="1"/>
  <c r="BF24" i="26" s="1"/>
  <c r="BG24" i="26" s="1"/>
  <c r="AY25" i="26"/>
  <c r="AX24" i="26" l="1"/>
  <c r="AW24" i="26"/>
  <c r="AR24" i="26"/>
  <c r="AV24" i="26" s="1"/>
  <c r="BA25" i="26"/>
  <c r="AZ23" i="26" l="1"/>
  <c r="BF23" i="26" s="1"/>
  <c r="BG23" i="26" s="1"/>
  <c r="AY24" i="26"/>
  <c r="AX23" i="26" l="1"/>
  <c r="AW23" i="26"/>
  <c r="AR23" i="26"/>
  <c r="AV23" i="26" s="1"/>
  <c r="BA24" i="26"/>
  <c r="AZ22" i="26" l="1"/>
  <c r="BF22" i="26" s="1"/>
  <c r="BG22" i="26" s="1"/>
  <c r="AY23" i="26"/>
  <c r="AX22" i="26" l="1"/>
  <c r="AW22" i="26"/>
  <c r="AR22" i="26"/>
  <c r="AV22" i="26" s="1"/>
  <c r="BA23" i="26"/>
  <c r="AZ21" i="26" l="1"/>
  <c r="BF21" i="26" s="1"/>
  <c r="BG21" i="26" s="1"/>
  <c r="AY22" i="26"/>
  <c r="BA22" i="26" s="1"/>
  <c r="AX21" i="26" l="1"/>
  <c r="AW21" i="26"/>
  <c r="AR21" i="26"/>
  <c r="AV21" i="26" s="1"/>
  <c r="AZ20" i="26" l="1"/>
  <c r="BF20" i="26" s="1"/>
  <c r="BG20" i="26" s="1"/>
  <c r="AY21" i="26"/>
  <c r="AX20" i="26" l="1"/>
  <c r="AW20" i="26"/>
  <c r="AR20" i="26"/>
  <c r="AV20" i="26" s="1"/>
  <c r="BA21" i="26"/>
  <c r="AZ19" i="26" l="1"/>
  <c r="BF19" i="26" s="1"/>
  <c r="BG19" i="26" s="1"/>
  <c r="AY20" i="26"/>
  <c r="AX19" i="26" l="1"/>
  <c r="AW19" i="26"/>
  <c r="AR19" i="26"/>
  <c r="AV19" i="26" s="1"/>
  <c r="BA20" i="26"/>
  <c r="AZ18" i="26" l="1"/>
  <c r="BF18" i="26" s="1"/>
  <c r="BG18" i="26" s="1"/>
  <c r="AY19" i="26"/>
  <c r="AX18" i="26" l="1"/>
  <c r="AW18" i="26"/>
  <c r="AR18" i="26"/>
  <c r="AV18" i="26" s="1"/>
  <c r="BA19" i="26"/>
  <c r="AZ17" i="26" l="1"/>
  <c r="BF17" i="26" s="1"/>
  <c r="BG17" i="26" s="1"/>
  <c r="AY18" i="26"/>
  <c r="AX17" i="26" l="1"/>
  <c r="AW17" i="26"/>
  <c r="AR17" i="26"/>
  <c r="AV17" i="26" s="1"/>
  <c r="BA18" i="26"/>
  <c r="AZ16" i="26" l="1"/>
  <c r="BF16" i="26" s="1"/>
  <c r="BG16" i="26" s="1"/>
  <c r="E3" i="47" s="1"/>
  <c r="AY17" i="26"/>
  <c r="AX16" i="26" l="1"/>
  <c r="AW16" i="26"/>
  <c r="AR16" i="26"/>
  <c r="AV16" i="26" s="1"/>
  <c r="G3" i="47"/>
  <c r="BA17" i="26"/>
  <c r="AZ15" i="26" l="1"/>
  <c r="BF15" i="26" s="1"/>
  <c r="BG15" i="26" s="1"/>
  <c r="AY16" i="26"/>
  <c r="AX15" i="26" l="1"/>
  <c r="AW15" i="26"/>
  <c r="AR15" i="26"/>
  <c r="AV15" i="26" s="1"/>
  <c r="BA16" i="26"/>
  <c r="AZ14" i="26" l="1"/>
  <c r="BF14" i="26" s="1"/>
  <c r="BG14" i="26" s="1"/>
  <c r="AY15" i="26"/>
  <c r="BA15" i="26" s="1"/>
  <c r="AX14" i="26" l="1"/>
  <c r="AW14" i="26"/>
  <c r="AR14" i="26"/>
  <c r="AV14" i="26" s="1"/>
  <c r="AZ13" i="26" l="1"/>
  <c r="BF13" i="26" s="1"/>
  <c r="BG13" i="26" s="1"/>
  <c r="AY14" i="26"/>
  <c r="AX13" i="26" l="1"/>
  <c r="AW13" i="26"/>
  <c r="AR13" i="26"/>
  <c r="AV13" i="26" s="1"/>
  <c r="BA14" i="26"/>
  <c r="AZ12" i="26" l="1"/>
  <c r="BF12" i="26" s="1"/>
  <c r="BG12" i="26" s="1"/>
  <c r="AY13" i="26"/>
  <c r="AX12" i="26" l="1"/>
  <c r="AW12" i="26"/>
  <c r="AR12" i="26"/>
  <c r="AV12" i="26" s="1"/>
  <c r="BA13" i="26"/>
  <c r="AZ11" i="26" l="1"/>
  <c r="BF11" i="26" s="1"/>
  <c r="BG11" i="26" s="1"/>
  <c r="AY12" i="26"/>
  <c r="BA12" i="26" s="1"/>
  <c r="AX11" i="26" l="1"/>
  <c r="AW11" i="26"/>
  <c r="AR11" i="26"/>
  <c r="AV11" i="26" s="1"/>
  <c r="AZ10" i="26" l="1"/>
  <c r="BF10" i="26" s="1"/>
  <c r="BG10" i="26" s="1"/>
  <c r="AY11" i="26"/>
  <c r="AX10" i="26" l="1"/>
  <c r="AW10" i="26"/>
  <c r="AR10" i="26"/>
  <c r="AV10" i="26" s="1"/>
  <c r="BA11" i="26"/>
  <c r="AZ9" i="26" l="1"/>
  <c r="BF9" i="26" s="1"/>
  <c r="BG9" i="26" s="1"/>
  <c r="AY10" i="26"/>
  <c r="AX9" i="26" l="1"/>
  <c r="AW9" i="26"/>
  <c r="AR9" i="26"/>
  <c r="AV9" i="26" s="1"/>
  <c r="BA10" i="26"/>
  <c r="AZ8" i="26" l="1"/>
  <c r="BF8" i="26" s="1"/>
  <c r="BG8" i="26" s="1"/>
  <c r="AY9" i="26"/>
  <c r="BA9" i="26" s="1"/>
  <c r="AX8" i="26" l="1"/>
  <c r="AW8" i="26"/>
  <c r="AR8" i="26"/>
  <c r="AV8" i="26" s="1"/>
  <c r="AZ7" i="26" l="1"/>
  <c r="BF7" i="26" s="1"/>
  <c r="BG7" i="26" s="1"/>
  <c r="AY8" i="26"/>
  <c r="AX7" i="26" l="1"/>
  <c r="AW7" i="26"/>
  <c r="AR7" i="26"/>
  <c r="AV7" i="26" s="1"/>
  <c r="BA8" i="26"/>
  <c r="AZ6" i="26" l="1"/>
  <c r="BF6" i="26" s="1"/>
  <c r="BG6" i="26" s="1"/>
  <c r="AY7" i="26"/>
  <c r="BA7" i="26" s="1"/>
  <c r="AW6" i="26" l="1"/>
  <c r="AX6" i="26"/>
  <c r="AR6" i="26"/>
  <c r="AV6" i="26" s="1"/>
  <c r="AZ5" i="26" l="1"/>
  <c r="BF5" i="26" s="1"/>
  <c r="BG5" i="26" s="1"/>
  <c r="AY6" i="26"/>
  <c r="BA6" i="26" s="1"/>
  <c r="AX5" i="26" l="1"/>
  <c r="AR5" i="26"/>
  <c r="AV5" i="26" s="1"/>
  <c r="AW5" i="26"/>
  <c r="AY5" i="26" l="1"/>
  <c r="BA5" i="26" s="1"/>
  <c r="AB241" i="55" l="1"/>
  <c r="AC241" i="55" s="1"/>
  <c r="AB244" i="55"/>
  <c r="AC244" i="55" s="1"/>
  <c r="AB243" i="55"/>
  <c r="AC243" i="55" s="1"/>
  <c r="AB242" i="55"/>
  <c r="AC242" i="55" s="1"/>
  <c r="AB247" i="55"/>
  <c r="AC247" i="55" s="1"/>
  <c r="AB251" i="55"/>
  <c r="AC251" i="55" s="1"/>
  <c r="AB255" i="55"/>
  <c r="AC255" i="55" s="1"/>
  <c r="AB259" i="55"/>
  <c r="AC259" i="55" s="1"/>
  <c r="AB263" i="55"/>
  <c r="AC263" i="55" s="1"/>
  <c r="AB267" i="55"/>
  <c r="AC267" i="55" s="1"/>
  <c r="AB271" i="55"/>
  <c r="AC271" i="55" s="1"/>
  <c r="AB275" i="55"/>
  <c r="AC275" i="55" s="1"/>
  <c r="AB279" i="55"/>
  <c r="AC279" i="55" s="1"/>
  <c r="AB283" i="55"/>
  <c r="AC283" i="55" s="1"/>
  <c r="AB287" i="55"/>
  <c r="AC287" i="55" s="1"/>
  <c r="AB291" i="55"/>
  <c r="AC291" i="55" s="1"/>
  <c r="AB295" i="55"/>
  <c r="AC295" i="55" s="1"/>
  <c r="AB299" i="55"/>
  <c r="AC299" i="55" s="1"/>
  <c r="AB303" i="55"/>
  <c r="AC303" i="55" s="1"/>
  <c r="AB307" i="55"/>
  <c r="AC307" i="55" s="1"/>
  <c r="AB311" i="55"/>
  <c r="AC311" i="55" s="1"/>
  <c r="AB315" i="55"/>
  <c r="AC315" i="55" s="1"/>
  <c r="AB319" i="55"/>
  <c r="AC319" i="55" s="1"/>
  <c r="AB323" i="55"/>
  <c r="AC323" i="55" s="1"/>
  <c r="AB327" i="55"/>
  <c r="AC327" i="55" s="1"/>
  <c r="AB331" i="55"/>
  <c r="AC331" i="55" s="1"/>
  <c r="AB335" i="55"/>
  <c r="AC335" i="55" s="1"/>
  <c r="AB339" i="55"/>
  <c r="AC339" i="55" s="1"/>
  <c r="AB343" i="55"/>
  <c r="AC343" i="55" s="1"/>
  <c r="AB347" i="55"/>
  <c r="AC347" i="55" s="1"/>
  <c r="AB351" i="55"/>
  <c r="AC351" i="55" s="1"/>
  <c r="AB355" i="55"/>
  <c r="AC355" i="55" s="1"/>
  <c r="AB359" i="55"/>
  <c r="AC359" i="55" s="1"/>
  <c r="AB363" i="55"/>
  <c r="AC363" i="55" s="1"/>
  <c r="AB367" i="55"/>
  <c r="AC367" i="55" s="1"/>
  <c r="AB371" i="55"/>
  <c r="AC371" i="55" s="1"/>
  <c r="AB375" i="55"/>
  <c r="AC375" i="55" s="1"/>
  <c r="AB379" i="55"/>
  <c r="AC379" i="55" s="1"/>
  <c r="AB383" i="55"/>
  <c r="AC383" i="55" s="1"/>
  <c r="AB387" i="55"/>
  <c r="AC387" i="55" s="1"/>
  <c r="AB391" i="55"/>
  <c r="AC391" i="55" s="1"/>
  <c r="AB395" i="55"/>
  <c r="AC395" i="55" s="1"/>
  <c r="AB399" i="55"/>
  <c r="AC399" i="55" s="1"/>
  <c r="AB403" i="55"/>
  <c r="AC403" i="55" s="1"/>
  <c r="AB407" i="55"/>
  <c r="AC407" i="55" s="1"/>
  <c r="AB411" i="55"/>
  <c r="AC411" i="55" s="1"/>
  <c r="AB415" i="55"/>
  <c r="AC415" i="55" s="1"/>
  <c r="AB419" i="55"/>
  <c r="AC419" i="55" s="1"/>
  <c r="AB423" i="55"/>
  <c r="AC423" i="55" s="1"/>
  <c r="AB246" i="55"/>
  <c r="AC246" i="55" s="1"/>
  <c r="AB250" i="55"/>
  <c r="AC250" i="55" s="1"/>
  <c r="AB254" i="55"/>
  <c r="AC254" i="55" s="1"/>
  <c r="AB258" i="55"/>
  <c r="AC258" i="55" s="1"/>
  <c r="AB262" i="55"/>
  <c r="AC262" i="55" s="1"/>
  <c r="AB266" i="55"/>
  <c r="AC266" i="55" s="1"/>
  <c r="AB270" i="55"/>
  <c r="AC270" i="55" s="1"/>
  <c r="AB274" i="55"/>
  <c r="AC274" i="55" s="1"/>
  <c r="AB278" i="55"/>
  <c r="AC278" i="55" s="1"/>
  <c r="AB282" i="55"/>
  <c r="AC282" i="55" s="1"/>
  <c r="AB286" i="55"/>
  <c r="AC286" i="55" s="1"/>
  <c r="AB290" i="55"/>
  <c r="AC290" i="55" s="1"/>
  <c r="AB294" i="55"/>
  <c r="AC294" i="55" s="1"/>
  <c r="AB298" i="55"/>
  <c r="AC298" i="55" s="1"/>
  <c r="AB302" i="55"/>
  <c r="AC302" i="55" s="1"/>
  <c r="AB306" i="55"/>
  <c r="AC306" i="55" s="1"/>
  <c r="AB310" i="55"/>
  <c r="AC310" i="55" s="1"/>
  <c r="AB314" i="55"/>
  <c r="AC314" i="55" s="1"/>
  <c r="AB318" i="55"/>
  <c r="AC318" i="55" s="1"/>
  <c r="AB322" i="55"/>
  <c r="AC322" i="55" s="1"/>
  <c r="AB326" i="55"/>
  <c r="AC326" i="55" s="1"/>
  <c r="AB330" i="55"/>
  <c r="AC330" i="55" s="1"/>
  <c r="AB334" i="55"/>
  <c r="AC334" i="55" s="1"/>
  <c r="AB338" i="55"/>
  <c r="AC338" i="55" s="1"/>
  <c r="AB342" i="55"/>
  <c r="AC342" i="55" s="1"/>
  <c r="AB346" i="55"/>
  <c r="AC346" i="55" s="1"/>
  <c r="AB350" i="55"/>
  <c r="AC350" i="55" s="1"/>
  <c r="AB354" i="55"/>
  <c r="AC354" i="55" s="1"/>
  <c r="AB358" i="55"/>
  <c r="AC358" i="55" s="1"/>
  <c r="AB362" i="55"/>
  <c r="AC362" i="55" s="1"/>
  <c r="AB366" i="55"/>
  <c r="AC366" i="55" s="1"/>
  <c r="AB370" i="55"/>
  <c r="AC370" i="55" s="1"/>
  <c r="AB374" i="55"/>
  <c r="AC374" i="55" s="1"/>
  <c r="AB378" i="55"/>
  <c r="AC378" i="55" s="1"/>
  <c r="AB382" i="55"/>
  <c r="AC382" i="55" s="1"/>
  <c r="AB386" i="55"/>
  <c r="AC386" i="55" s="1"/>
  <c r="AB390" i="55"/>
  <c r="AC390" i="55" s="1"/>
  <c r="AB394" i="55"/>
  <c r="AC394" i="55" s="1"/>
  <c r="AB398" i="55"/>
  <c r="AC398" i="55" s="1"/>
  <c r="AB402" i="55"/>
  <c r="AC402" i="55" s="1"/>
  <c r="AB406" i="55"/>
  <c r="AC406" i="55" s="1"/>
  <c r="AB410" i="55"/>
  <c r="AC410" i="55" s="1"/>
  <c r="AB414" i="55"/>
  <c r="AC414" i="55" s="1"/>
  <c r="AB418" i="55"/>
  <c r="AC418" i="55" s="1"/>
  <c r="AB422" i="55"/>
  <c r="AC422" i="55" s="1"/>
  <c r="AB248" i="55"/>
  <c r="AC248" i="55" s="1"/>
  <c r="AB252" i="55"/>
  <c r="AC252" i="55" s="1"/>
  <c r="AB256" i="55"/>
  <c r="AC256" i="55" s="1"/>
  <c r="AB260" i="55"/>
  <c r="AC260" i="55" s="1"/>
  <c r="AB264" i="55"/>
  <c r="AC264" i="55" s="1"/>
  <c r="AB268" i="55"/>
  <c r="AC268" i="55" s="1"/>
  <c r="AB272" i="55"/>
  <c r="AC272" i="55" s="1"/>
  <c r="AB276" i="55"/>
  <c r="AC276" i="55" s="1"/>
  <c r="AB280" i="55"/>
  <c r="AC280" i="55" s="1"/>
  <c r="AB284" i="55"/>
  <c r="AC284" i="55" s="1"/>
  <c r="AB288" i="55"/>
  <c r="AC288" i="55" s="1"/>
  <c r="AB292" i="55"/>
  <c r="AC292" i="55" s="1"/>
  <c r="AB296" i="55"/>
  <c r="AC296" i="55" s="1"/>
  <c r="AB300" i="55"/>
  <c r="AC300" i="55" s="1"/>
  <c r="AB304" i="55"/>
  <c r="AC304" i="55" s="1"/>
  <c r="AB308" i="55"/>
  <c r="AC308" i="55" s="1"/>
  <c r="AB312" i="55"/>
  <c r="AC312" i="55" s="1"/>
  <c r="AB316" i="55"/>
  <c r="AC316" i="55" s="1"/>
  <c r="AB320" i="55"/>
  <c r="AC320" i="55" s="1"/>
  <c r="AB324" i="55"/>
  <c r="AC324" i="55" s="1"/>
  <c r="AB328" i="55"/>
  <c r="AC328" i="55" s="1"/>
  <c r="AB332" i="55"/>
  <c r="AC332" i="55" s="1"/>
  <c r="AB336" i="55"/>
  <c r="AC336" i="55" s="1"/>
  <c r="AB340" i="55"/>
  <c r="AC340" i="55" s="1"/>
  <c r="AB344" i="55"/>
  <c r="AC344" i="55" s="1"/>
  <c r="AB348" i="55"/>
  <c r="AC348" i="55" s="1"/>
  <c r="AB352" i="55"/>
  <c r="AC352" i="55" s="1"/>
  <c r="AB356" i="55"/>
  <c r="AC356" i="55" s="1"/>
  <c r="AB360" i="55"/>
  <c r="AC360" i="55" s="1"/>
  <c r="AB364" i="55"/>
  <c r="AC364" i="55" s="1"/>
  <c r="AB368" i="55"/>
  <c r="AC368" i="55" s="1"/>
  <c r="AB372" i="55"/>
  <c r="AC372" i="55" s="1"/>
  <c r="AB376" i="55"/>
  <c r="AC376" i="55" s="1"/>
  <c r="AB380" i="55"/>
  <c r="AC380" i="55" s="1"/>
  <c r="AB384" i="55"/>
  <c r="AC384" i="55" s="1"/>
  <c r="AB388" i="55"/>
  <c r="AC388" i="55" s="1"/>
  <c r="AB392" i="55"/>
  <c r="AC392" i="55" s="1"/>
  <c r="AB396" i="55"/>
  <c r="AC396" i="55" s="1"/>
  <c r="AB400" i="55"/>
  <c r="AC400" i="55" s="1"/>
  <c r="AB404" i="55"/>
  <c r="AC404" i="55" s="1"/>
  <c r="AB408" i="55"/>
  <c r="AC408" i="55" s="1"/>
  <c r="AB412" i="55"/>
  <c r="AC412" i="55" s="1"/>
  <c r="AB416" i="55"/>
  <c r="AC416" i="55" s="1"/>
  <c r="AB420" i="55"/>
  <c r="AC420" i="55" s="1"/>
  <c r="AB424" i="55"/>
  <c r="AC424" i="55" s="1"/>
  <c r="AB257" i="55"/>
  <c r="AC257" i="55" s="1"/>
  <c r="AB273" i="55"/>
  <c r="AC273" i="55" s="1"/>
  <c r="AB289" i="55"/>
  <c r="AC289" i="55" s="1"/>
  <c r="AB305" i="55"/>
  <c r="AC305" i="55" s="1"/>
  <c r="AB321" i="55"/>
  <c r="AC321" i="55" s="1"/>
  <c r="AB337" i="55"/>
  <c r="AC337" i="55" s="1"/>
  <c r="AB353" i="55"/>
  <c r="AC353" i="55" s="1"/>
  <c r="AB369" i="55"/>
  <c r="AC369" i="55" s="1"/>
  <c r="AB385" i="55"/>
  <c r="AC385" i="55" s="1"/>
  <c r="AB401" i="55"/>
  <c r="AC401" i="55" s="1"/>
  <c r="AB417" i="55"/>
  <c r="AC417" i="55" s="1"/>
  <c r="AB425" i="55"/>
  <c r="AC425" i="55" s="1"/>
  <c r="AB429" i="55"/>
  <c r="AC429" i="55" s="1"/>
  <c r="AB433" i="55"/>
  <c r="AC433" i="55" s="1"/>
  <c r="AB437" i="55"/>
  <c r="AC437" i="55" s="1"/>
  <c r="AB441" i="55"/>
  <c r="AC441" i="55" s="1"/>
  <c r="AB445" i="55"/>
  <c r="AC445" i="55" s="1"/>
  <c r="AB449" i="55"/>
  <c r="AC449" i="55" s="1"/>
  <c r="AB453" i="55"/>
  <c r="AC453" i="55" s="1"/>
  <c r="AB457" i="55"/>
  <c r="AC457" i="55" s="1"/>
  <c r="AB461" i="55"/>
  <c r="AC461" i="55" s="1"/>
  <c r="AB465" i="55"/>
  <c r="AC465" i="55" s="1"/>
  <c r="AB469" i="55"/>
  <c r="AC469" i="55" s="1"/>
  <c r="AB473" i="55"/>
  <c r="AC473" i="55" s="1"/>
  <c r="AB477" i="55"/>
  <c r="AC477" i="55" s="1"/>
  <c r="AB481" i="55"/>
  <c r="AC481" i="55" s="1"/>
  <c r="AB485" i="55"/>
  <c r="AC485" i="55" s="1"/>
  <c r="AB489" i="55"/>
  <c r="AC489" i="55" s="1"/>
  <c r="AB493" i="55"/>
  <c r="AC493" i="55" s="1"/>
  <c r="AB497" i="55"/>
  <c r="AC497" i="55" s="1"/>
  <c r="AB501" i="55"/>
  <c r="AC501" i="55" s="1"/>
  <c r="AB505" i="55"/>
  <c r="AC505" i="55" s="1"/>
  <c r="AB509" i="55"/>
  <c r="AC509" i="55" s="1"/>
  <c r="AB513" i="55"/>
  <c r="AC513" i="55" s="1"/>
  <c r="AB517" i="55"/>
  <c r="AC517" i="55" s="1"/>
  <c r="AB521" i="55"/>
  <c r="AC521" i="55" s="1"/>
  <c r="AB525" i="55"/>
  <c r="AC525" i="55" s="1"/>
  <c r="AB529" i="55"/>
  <c r="AC529" i="55" s="1"/>
  <c r="AB533" i="55"/>
  <c r="AC533" i="55" s="1"/>
  <c r="AB537" i="55"/>
  <c r="AC537" i="55" s="1"/>
  <c r="AB541" i="55"/>
  <c r="AC541" i="55" s="1"/>
  <c r="AB545" i="55"/>
  <c r="AC545" i="55" s="1"/>
  <c r="AB549" i="55"/>
  <c r="AC549" i="55" s="1"/>
  <c r="AB553" i="55"/>
  <c r="AC553" i="55" s="1"/>
  <c r="AB557" i="55"/>
  <c r="AC557" i="55" s="1"/>
  <c r="AB561" i="55"/>
  <c r="AC561" i="55" s="1"/>
  <c r="AB565" i="55"/>
  <c r="AC565" i="55" s="1"/>
  <c r="AB569" i="55"/>
  <c r="AC569" i="55" s="1"/>
  <c r="AB573" i="55"/>
  <c r="AC573" i="55" s="1"/>
  <c r="AB577" i="55"/>
  <c r="AC577" i="55" s="1"/>
  <c r="AB581" i="55"/>
  <c r="AC581" i="55" s="1"/>
  <c r="AB585" i="55"/>
  <c r="AC585" i="55" s="1"/>
  <c r="AB589" i="55"/>
  <c r="AC589" i="55" s="1"/>
  <c r="AB593" i="55"/>
  <c r="AC593" i="55" s="1"/>
  <c r="AB253" i="55"/>
  <c r="AC253" i="55" s="1"/>
  <c r="AB269" i="55"/>
  <c r="AC269" i="55" s="1"/>
  <c r="AB285" i="55"/>
  <c r="AC285" i="55" s="1"/>
  <c r="AB301" i="55"/>
  <c r="AC301" i="55" s="1"/>
  <c r="AB317" i="55"/>
  <c r="AC317" i="55" s="1"/>
  <c r="AB333" i="55"/>
  <c r="AC333" i="55" s="1"/>
  <c r="AB349" i="55"/>
  <c r="AC349" i="55" s="1"/>
  <c r="AB365" i="55"/>
  <c r="AC365" i="55" s="1"/>
  <c r="AB381" i="55"/>
  <c r="AC381" i="55" s="1"/>
  <c r="AB397" i="55"/>
  <c r="AC397" i="55" s="1"/>
  <c r="AB413" i="55"/>
  <c r="AC413" i="55" s="1"/>
  <c r="AB428" i="55"/>
  <c r="AC428" i="55" s="1"/>
  <c r="AB432" i="55"/>
  <c r="AC432" i="55" s="1"/>
  <c r="AB436" i="55"/>
  <c r="AC436" i="55" s="1"/>
  <c r="AB440" i="55"/>
  <c r="AC440" i="55" s="1"/>
  <c r="AB444" i="55"/>
  <c r="AC444" i="55" s="1"/>
  <c r="AB448" i="55"/>
  <c r="AC448" i="55" s="1"/>
  <c r="AB452" i="55"/>
  <c r="AC452" i="55" s="1"/>
  <c r="AB456" i="55"/>
  <c r="AC456" i="55" s="1"/>
  <c r="AB460" i="55"/>
  <c r="AC460" i="55" s="1"/>
  <c r="AB464" i="55"/>
  <c r="AC464" i="55" s="1"/>
  <c r="AB468" i="55"/>
  <c r="AC468" i="55" s="1"/>
  <c r="AB472" i="55"/>
  <c r="AC472" i="55" s="1"/>
  <c r="AB476" i="55"/>
  <c r="AC476" i="55" s="1"/>
  <c r="AB480" i="55"/>
  <c r="AC480" i="55" s="1"/>
  <c r="AB484" i="55"/>
  <c r="AC484" i="55" s="1"/>
  <c r="AB488" i="55"/>
  <c r="AC488" i="55" s="1"/>
  <c r="AB492" i="55"/>
  <c r="AC492" i="55" s="1"/>
  <c r="AB496" i="55"/>
  <c r="AC496" i="55" s="1"/>
  <c r="AB500" i="55"/>
  <c r="AC500" i="55" s="1"/>
  <c r="AB504" i="55"/>
  <c r="AC504" i="55" s="1"/>
  <c r="AB508" i="55"/>
  <c r="AC508" i="55" s="1"/>
  <c r="AB512" i="55"/>
  <c r="AC512" i="55" s="1"/>
  <c r="AB516" i="55"/>
  <c r="AC516" i="55" s="1"/>
  <c r="AB520" i="55"/>
  <c r="AC520" i="55" s="1"/>
  <c r="AB524" i="55"/>
  <c r="AC524" i="55" s="1"/>
  <c r="AB528" i="55"/>
  <c r="AC528" i="55" s="1"/>
  <c r="AB532" i="55"/>
  <c r="AC532" i="55" s="1"/>
  <c r="AB536" i="55"/>
  <c r="AC536" i="55" s="1"/>
  <c r="AB540" i="55"/>
  <c r="AC540" i="55" s="1"/>
  <c r="AB544" i="55"/>
  <c r="AC544" i="55" s="1"/>
  <c r="AB548" i="55"/>
  <c r="AC548" i="55" s="1"/>
  <c r="AB552" i="55"/>
  <c r="AC552" i="55" s="1"/>
  <c r="AB556" i="55"/>
  <c r="AC556" i="55" s="1"/>
  <c r="AB560" i="55"/>
  <c r="AC560" i="55" s="1"/>
  <c r="AB564" i="55"/>
  <c r="AC564" i="55" s="1"/>
  <c r="AB568" i="55"/>
  <c r="AC568" i="55" s="1"/>
  <c r="AB572" i="55"/>
  <c r="AC572" i="55" s="1"/>
  <c r="AB576" i="55"/>
  <c r="AC576" i="55" s="1"/>
  <c r="AB580" i="55"/>
  <c r="AC580" i="55" s="1"/>
  <c r="AB584" i="55"/>
  <c r="AC584" i="55" s="1"/>
  <c r="AB588" i="55"/>
  <c r="AC588" i="55" s="1"/>
  <c r="AB592" i="55"/>
  <c r="AC592" i="55" s="1"/>
  <c r="AB916" i="55"/>
  <c r="AC916" i="55" s="1"/>
  <c r="AB261" i="55"/>
  <c r="AC261" i="55" s="1"/>
  <c r="AB277" i="55"/>
  <c r="AC277" i="55" s="1"/>
  <c r="AB293" i="55"/>
  <c r="AC293" i="55" s="1"/>
  <c r="AB309" i="55"/>
  <c r="AC309" i="55" s="1"/>
  <c r="AB325" i="55"/>
  <c r="AC325" i="55" s="1"/>
  <c r="AB341" i="55"/>
  <c r="AC341" i="55" s="1"/>
  <c r="AB357" i="55"/>
  <c r="AC357" i="55" s="1"/>
  <c r="AB373" i="55"/>
  <c r="AC373" i="55" s="1"/>
  <c r="AB389" i="55"/>
  <c r="AC389" i="55" s="1"/>
  <c r="AB405" i="55"/>
  <c r="AC405" i="55" s="1"/>
  <c r="AB421" i="55"/>
  <c r="AC421" i="55" s="1"/>
  <c r="AB426" i="55"/>
  <c r="AC426" i="55" s="1"/>
  <c r="AB430" i="55"/>
  <c r="AC430" i="55" s="1"/>
  <c r="AB434" i="55"/>
  <c r="AC434" i="55" s="1"/>
  <c r="AB438" i="55"/>
  <c r="AC438" i="55" s="1"/>
  <c r="AB442" i="55"/>
  <c r="AC442" i="55" s="1"/>
  <c r="AB446" i="55"/>
  <c r="AC446" i="55" s="1"/>
  <c r="AB450" i="55"/>
  <c r="AC450" i="55" s="1"/>
  <c r="AB454" i="55"/>
  <c r="AC454" i="55" s="1"/>
  <c r="AB458" i="55"/>
  <c r="AC458" i="55" s="1"/>
  <c r="AB462" i="55"/>
  <c r="AC462" i="55" s="1"/>
  <c r="AB466" i="55"/>
  <c r="AC466" i="55" s="1"/>
  <c r="AB470" i="55"/>
  <c r="AC470" i="55" s="1"/>
  <c r="AB474" i="55"/>
  <c r="AC474" i="55" s="1"/>
  <c r="AB478" i="55"/>
  <c r="AC478" i="55" s="1"/>
  <c r="AB482" i="55"/>
  <c r="AC482" i="55" s="1"/>
  <c r="AB486" i="55"/>
  <c r="AC486" i="55" s="1"/>
  <c r="AB490" i="55"/>
  <c r="AC490" i="55" s="1"/>
  <c r="AB494" i="55"/>
  <c r="AC494" i="55" s="1"/>
  <c r="AB498" i="55"/>
  <c r="AC498" i="55" s="1"/>
  <c r="AB502" i="55"/>
  <c r="AC502" i="55" s="1"/>
  <c r="AB506" i="55"/>
  <c r="AC506" i="55" s="1"/>
  <c r="AB510" i="55"/>
  <c r="AC510" i="55" s="1"/>
  <c r="AB514" i="55"/>
  <c r="AC514" i="55" s="1"/>
  <c r="AB518" i="55"/>
  <c r="AC518" i="55" s="1"/>
  <c r="AB522" i="55"/>
  <c r="AC522" i="55" s="1"/>
  <c r="AB526" i="55"/>
  <c r="AC526" i="55" s="1"/>
  <c r="AB530" i="55"/>
  <c r="AC530" i="55" s="1"/>
  <c r="AB534" i="55"/>
  <c r="AC534" i="55" s="1"/>
  <c r="AB538" i="55"/>
  <c r="AC538" i="55" s="1"/>
  <c r="AB542" i="55"/>
  <c r="AC542" i="55" s="1"/>
  <c r="AB546" i="55"/>
  <c r="AC546" i="55" s="1"/>
  <c r="AB550" i="55"/>
  <c r="AC550" i="55" s="1"/>
  <c r="AB554" i="55"/>
  <c r="AC554" i="55" s="1"/>
  <c r="AB558" i="55"/>
  <c r="AC558" i="55" s="1"/>
  <c r="AB562" i="55"/>
  <c r="AC562" i="55" s="1"/>
  <c r="AB566" i="55"/>
  <c r="AC566" i="55" s="1"/>
  <c r="AB570" i="55"/>
  <c r="AC570" i="55" s="1"/>
  <c r="AB574" i="55"/>
  <c r="AC574" i="55" s="1"/>
  <c r="AB578" i="55"/>
  <c r="AC578" i="55" s="1"/>
  <c r="AB582" i="55"/>
  <c r="AC582" i="55" s="1"/>
  <c r="AB586" i="55"/>
  <c r="AC586" i="55" s="1"/>
  <c r="AB590" i="55"/>
  <c r="AC590" i="55" s="1"/>
  <c r="AB265" i="55"/>
  <c r="AC265" i="55" s="1"/>
  <c r="AB329" i="55"/>
  <c r="AC329" i="55" s="1"/>
  <c r="AB393" i="55"/>
  <c r="AC393" i="55" s="1"/>
  <c r="AB427" i="55"/>
  <c r="AC427" i="55" s="1"/>
  <c r="AB443" i="55"/>
  <c r="AC443" i="55" s="1"/>
  <c r="AB459" i="55"/>
  <c r="AC459" i="55" s="1"/>
  <c r="AB475" i="55"/>
  <c r="AC475" i="55" s="1"/>
  <c r="AB491" i="55"/>
  <c r="AC491" i="55" s="1"/>
  <c r="AB507" i="55"/>
  <c r="AC507" i="55" s="1"/>
  <c r="AB523" i="55"/>
  <c r="AC523" i="55" s="1"/>
  <c r="AB539" i="55"/>
  <c r="AC539" i="55" s="1"/>
  <c r="AB555" i="55"/>
  <c r="AC555" i="55" s="1"/>
  <c r="AB571" i="55"/>
  <c r="AC571" i="55" s="1"/>
  <c r="AB587" i="55"/>
  <c r="AC587" i="55" s="1"/>
  <c r="AB594" i="55"/>
  <c r="AC594" i="55" s="1"/>
  <c r="AB597" i="55"/>
  <c r="AC597" i="55" s="1"/>
  <c r="AB601" i="55"/>
  <c r="AC601" i="55" s="1"/>
  <c r="AB605" i="55"/>
  <c r="AC605" i="55" s="1"/>
  <c r="AB609" i="55"/>
  <c r="AC609" i="55" s="1"/>
  <c r="AB613" i="55"/>
  <c r="AC613" i="55" s="1"/>
  <c r="AB617" i="55"/>
  <c r="AC617" i="55" s="1"/>
  <c r="AB621" i="55"/>
  <c r="AC621" i="55" s="1"/>
  <c r="AB625" i="55"/>
  <c r="AC625" i="55" s="1"/>
  <c r="AB629" i="55"/>
  <c r="AC629" i="55" s="1"/>
  <c r="AB633" i="55"/>
  <c r="AC633" i="55" s="1"/>
  <c r="AB637" i="55"/>
  <c r="AC637" i="55" s="1"/>
  <c r="AB641" i="55"/>
  <c r="AC641" i="55" s="1"/>
  <c r="AB645" i="55"/>
  <c r="AC645" i="55" s="1"/>
  <c r="AB649" i="55"/>
  <c r="AC649" i="55" s="1"/>
  <c r="AB653" i="55"/>
  <c r="AC653" i="55" s="1"/>
  <c r="AB657" i="55"/>
  <c r="AC657" i="55" s="1"/>
  <c r="AB661" i="55"/>
  <c r="AC661" i="55" s="1"/>
  <c r="AB665" i="55"/>
  <c r="AC665" i="55" s="1"/>
  <c r="AB669" i="55"/>
  <c r="AC669" i="55" s="1"/>
  <c r="AB673" i="55"/>
  <c r="AC673" i="55" s="1"/>
  <c r="AB677" i="55"/>
  <c r="AC677" i="55" s="1"/>
  <c r="AB681" i="55"/>
  <c r="AC681" i="55" s="1"/>
  <c r="AB685" i="55"/>
  <c r="AC685" i="55" s="1"/>
  <c r="AB689" i="55"/>
  <c r="AC689" i="55" s="1"/>
  <c r="AB693" i="55"/>
  <c r="AC693" i="55" s="1"/>
  <c r="AB697" i="55"/>
  <c r="AC697" i="55" s="1"/>
  <c r="AB701" i="55"/>
  <c r="AC701" i="55" s="1"/>
  <c r="AB705" i="55"/>
  <c r="AC705" i="55" s="1"/>
  <c r="AB709" i="55"/>
  <c r="AC709" i="55" s="1"/>
  <c r="AB713" i="55"/>
  <c r="AC713" i="55" s="1"/>
  <c r="AB717" i="55"/>
  <c r="AC717" i="55" s="1"/>
  <c r="AB721" i="55"/>
  <c r="AC721" i="55" s="1"/>
  <c r="AB725" i="55"/>
  <c r="AC725" i="55" s="1"/>
  <c r="AB729" i="55"/>
  <c r="AC729" i="55" s="1"/>
  <c r="AB733" i="55"/>
  <c r="AC733" i="55" s="1"/>
  <c r="AB737" i="55"/>
  <c r="AC737" i="55" s="1"/>
  <c r="AB741" i="55"/>
  <c r="AC741" i="55" s="1"/>
  <c r="AB745" i="55"/>
  <c r="AC745" i="55" s="1"/>
  <c r="AB749" i="55"/>
  <c r="AC749" i="55" s="1"/>
  <c r="AB753" i="55"/>
  <c r="AC753" i="55" s="1"/>
  <c r="AB757" i="55"/>
  <c r="AC757" i="55" s="1"/>
  <c r="AB761" i="55"/>
  <c r="AC761" i="55" s="1"/>
  <c r="AB765" i="55"/>
  <c r="AC765" i="55" s="1"/>
  <c r="AB249" i="55"/>
  <c r="AC249" i="55" s="1"/>
  <c r="AB313" i="55"/>
  <c r="AC313" i="55" s="1"/>
  <c r="AB377" i="55"/>
  <c r="AC377" i="55" s="1"/>
  <c r="AB439" i="55"/>
  <c r="AC439" i="55" s="1"/>
  <c r="AB455" i="55"/>
  <c r="AC455" i="55" s="1"/>
  <c r="AB471" i="55"/>
  <c r="AC471" i="55" s="1"/>
  <c r="AB487" i="55"/>
  <c r="AC487" i="55" s="1"/>
  <c r="AB503" i="55"/>
  <c r="AC503" i="55" s="1"/>
  <c r="AB519" i="55"/>
  <c r="AC519" i="55" s="1"/>
  <c r="AB535" i="55"/>
  <c r="AC535" i="55" s="1"/>
  <c r="AB551" i="55"/>
  <c r="AC551" i="55" s="1"/>
  <c r="AB567" i="55"/>
  <c r="AC567" i="55" s="1"/>
  <c r="AB583" i="55"/>
  <c r="AC583" i="55" s="1"/>
  <c r="AB596" i="55"/>
  <c r="AC596" i="55" s="1"/>
  <c r="AB600" i="55"/>
  <c r="AC600" i="55" s="1"/>
  <c r="AB604" i="55"/>
  <c r="AC604" i="55" s="1"/>
  <c r="AB608" i="55"/>
  <c r="AC608" i="55" s="1"/>
  <c r="AB612" i="55"/>
  <c r="AC612" i="55" s="1"/>
  <c r="AB616" i="55"/>
  <c r="AC616" i="55" s="1"/>
  <c r="AB620" i="55"/>
  <c r="AC620" i="55" s="1"/>
  <c r="AB624" i="55"/>
  <c r="AC624" i="55" s="1"/>
  <c r="AB628" i="55"/>
  <c r="AC628" i="55" s="1"/>
  <c r="AB632" i="55"/>
  <c r="AC632" i="55" s="1"/>
  <c r="AB636" i="55"/>
  <c r="AC636" i="55" s="1"/>
  <c r="AB640" i="55"/>
  <c r="AC640" i="55" s="1"/>
  <c r="AB644" i="55"/>
  <c r="AC644" i="55" s="1"/>
  <c r="AB648" i="55"/>
  <c r="AC648" i="55" s="1"/>
  <c r="AB652" i="55"/>
  <c r="AC652" i="55" s="1"/>
  <c r="AB656" i="55"/>
  <c r="AC656" i="55" s="1"/>
  <c r="AB660" i="55"/>
  <c r="AC660" i="55" s="1"/>
  <c r="AB664" i="55"/>
  <c r="AC664" i="55" s="1"/>
  <c r="AB668" i="55"/>
  <c r="AC668" i="55" s="1"/>
  <c r="AB672" i="55"/>
  <c r="AC672" i="55" s="1"/>
  <c r="AB676" i="55"/>
  <c r="AC676" i="55" s="1"/>
  <c r="AB680" i="55"/>
  <c r="AC680" i="55" s="1"/>
  <c r="AB684" i="55"/>
  <c r="AC684" i="55" s="1"/>
  <c r="AB688" i="55"/>
  <c r="AC688" i="55" s="1"/>
  <c r="AB692" i="55"/>
  <c r="AC692" i="55" s="1"/>
  <c r="AB696" i="55"/>
  <c r="AC696" i="55" s="1"/>
  <c r="AB700" i="55"/>
  <c r="AC700" i="55" s="1"/>
  <c r="AB704" i="55"/>
  <c r="AC704" i="55" s="1"/>
  <c r="AB708" i="55"/>
  <c r="AC708" i="55" s="1"/>
  <c r="AB712" i="55"/>
  <c r="AC712" i="55" s="1"/>
  <c r="AB716" i="55"/>
  <c r="AC716" i="55" s="1"/>
  <c r="AB720" i="55"/>
  <c r="AC720" i="55" s="1"/>
  <c r="AB724" i="55"/>
  <c r="AC724" i="55" s="1"/>
  <c r="AB728" i="55"/>
  <c r="AC728" i="55" s="1"/>
  <c r="AB732" i="55"/>
  <c r="AC732" i="55" s="1"/>
  <c r="AB736" i="55"/>
  <c r="AC736" i="55" s="1"/>
  <c r="AB740" i="55"/>
  <c r="AC740" i="55" s="1"/>
  <c r="AB744" i="55"/>
  <c r="AC744" i="55" s="1"/>
  <c r="AB748" i="55"/>
  <c r="AC748" i="55" s="1"/>
  <c r="AB752" i="55"/>
  <c r="AC752" i="55" s="1"/>
  <c r="AB756" i="55"/>
  <c r="AC756" i="55" s="1"/>
  <c r="AB760" i="55"/>
  <c r="AC760" i="55" s="1"/>
  <c r="AB764" i="55"/>
  <c r="AC764" i="55" s="1"/>
  <c r="AB281" i="55"/>
  <c r="AC281" i="55" s="1"/>
  <c r="AB345" i="55"/>
  <c r="AC345" i="55" s="1"/>
  <c r="AB409" i="55"/>
  <c r="AC409" i="55" s="1"/>
  <c r="AB431" i="55"/>
  <c r="AC431" i="55" s="1"/>
  <c r="AB447" i="55"/>
  <c r="AC447" i="55" s="1"/>
  <c r="AB463" i="55"/>
  <c r="AC463" i="55" s="1"/>
  <c r="AB479" i="55"/>
  <c r="AC479" i="55" s="1"/>
  <c r="AB495" i="55"/>
  <c r="AC495" i="55" s="1"/>
  <c r="AB511" i="55"/>
  <c r="AC511" i="55" s="1"/>
  <c r="AB527" i="55"/>
  <c r="AC527" i="55" s="1"/>
  <c r="AB543" i="55"/>
  <c r="AC543" i="55" s="1"/>
  <c r="AB559" i="55"/>
  <c r="AC559" i="55" s="1"/>
  <c r="AB575" i="55"/>
  <c r="AC575" i="55" s="1"/>
  <c r="AB591" i="55"/>
  <c r="AC591" i="55" s="1"/>
  <c r="AB598" i="55"/>
  <c r="AC598" i="55" s="1"/>
  <c r="AB602" i="55"/>
  <c r="AC602" i="55" s="1"/>
  <c r="AB606" i="55"/>
  <c r="AC606" i="55" s="1"/>
  <c r="AB610" i="55"/>
  <c r="AC610" i="55" s="1"/>
  <c r="AB614" i="55"/>
  <c r="AC614" i="55" s="1"/>
  <c r="AB618" i="55"/>
  <c r="AC618" i="55" s="1"/>
  <c r="AB622" i="55"/>
  <c r="AC622" i="55" s="1"/>
  <c r="AB626" i="55"/>
  <c r="AC626" i="55" s="1"/>
  <c r="AB630" i="55"/>
  <c r="AC630" i="55" s="1"/>
  <c r="AB634" i="55"/>
  <c r="AC634" i="55" s="1"/>
  <c r="AB638" i="55"/>
  <c r="AC638" i="55" s="1"/>
  <c r="AB642" i="55"/>
  <c r="AC642" i="55" s="1"/>
  <c r="AB646" i="55"/>
  <c r="AC646" i="55" s="1"/>
  <c r="AB650" i="55"/>
  <c r="AC650" i="55" s="1"/>
  <c r="AB654" i="55"/>
  <c r="AC654" i="55" s="1"/>
  <c r="AB658" i="55"/>
  <c r="AC658" i="55" s="1"/>
  <c r="AB662" i="55"/>
  <c r="AC662" i="55" s="1"/>
  <c r="AB666" i="55"/>
  <c r="AC666" i="55" s="1"/>
  <c r="AB670" i="55"/>
  <c r="AC670" i="55" s="1"/>
  <c r="AB674" i="55"/>
  <c r="AC674" i="55" s="1"/>
  <c r="AB678" i="55"/>
  <c r="AC678" i="55" s="1"/>
  <c r="AB682" i="55"/>
  <c r="AC682" i="55" s="1"/>
  <c r="AB686" i="55"/>
  <c r="AC686" i="55" s="1"/>
  <c r="AB690" i="55"/>
  <c r="AC690" i="55" s="1"/>
  <c r="AB694" i="55"/>
  <c r="AC694" i="55" s="1"/>
  <c r="AB698" i="55"/>
  <c r="AC698" i="55" s="1"/>
  <c r="AB702" i="55"/>
  <c r="AC702" i="55" s="1"/>
  <c r="AB706" i="55"/>
  <c r="AC706" i="55" s="1"/>
  <c r="AB710" i="55"/>
  <c r="AC710" i="55" s="1"/>
  <c r="AB714" i="55"/>
  <c r="AC714" i="55" s="1"/>
  <c r="AB718" i="55"/>
  <c r="AC718" i="55" s="1"/>
  <c r="AB722" i="55"/>
  <c r="AC722" i="55" s="1"/>
  <c r="AB726" i="55"/>
  <c r="AC726" i="55" s="1"/>
  <c r="AB730" i="55"/>
  <c r="AC730" i="55" s="1"/>
  <c r="AB734" i="55"/>
  <c r="AC734" i="55" s="1"/>
  <c r="AB738" i="55"/>
  <c r="AC738" i="55" s="1"/>
  <c r="AB742" i="55"/>
  <c r="AC742" i="55" s="1"/>
  <c r="AB746" i="55"/>
  <c r="AC746" i="55" s="1"/>
  <c r="AB750" i="55"/>
  <c r="AC750" i="55" s="1"/>
  <c r="AB754" i="55"/>
  <c r="AC754" i="55" s="1"/>
  <c r="AB758" i="55"/>
  <c r="AC758" i="55" s="1"/>
  <c r="AB762" i="55"/>
  <c r="AC762" i="55" s="1"/>
  <c r="AB297" i="55"/>
  <c r="AC297" i="55" s="1"/>
  <c r="AB435" i="55"/>
  <c r="AC435" i="55" s="1"/>
  <c r="AB499" i="55"/>
  <c r="AC499" i="55" s="1"/>
  <c r="AB563" i="55"/>
  <c r="AC563" i="55" s="1"/>
  <c r="AB607" i="55"/>
  <c r="AC607" i="55" s="1"/>
  <c r="AB623" i="55"/>
  <c r="AC623" i="55" s="1"/>
  <c r="AB639" i="55"/>
  <c r="AC639" i="55" s="1"/>
  <c r="AB655" i="55"/>
  <c r="AC655" i="55" s="1"/>
  <c r="AB671" i="55"/>
  <c r="AC671" i="55" s="1"/>
  <c r="AB687" i="55"/>
  <c r="AC687" i="55" s="1"/>
  <c r="AB703" i="55"/>
  <c r="AC703" i="55" s="1"/>
  <c r="AB719" i="55"/>
  <c r="AC719" i="55" s="1"/>
  <c r="AB735" i="55"/>
  <c r="AC735" i="55" s="1"/>
  <c r="AB751" i="55"/>
  <c r="AC751" i="55" s="1"/>
  <c r="AB767" i="55"/>
  <c r="AC767" i="55" s="1"/>
  <c r="AB771" i="55"/>
  <c r="AC771" i="55" s="1"/>
  <c r="AB775" i="55"/>
  <c r="AC775" i="55" s="1"/>
  <c r="AB779" i="55"/>
  <c r="AC779" i="55" s="1"/>
  <c r="AB783" i="55"/>
  <c r="AC783" i="55" s="1"/>
  <c r="AB787" i="55"/>
  <c r="AC787" i="55" s="1"/>
  <c r="AB791" i="55"/>
  <c r="AC791" i="55" s="1"/>
  <c r="AB795" i="55"/>
  <c r="AC795" i="55" s="1"/>
  <c r="AB799" i="55"/>
  <c r="AC799" i="55" s="1"/>
  <c r="AB803" i="55"/>
  <c r="AC803" i="55" s="1"/>
  <c r="AB807" i="55"/>
  <c r="AC807" i="55" s="1"/>
  <c r="AB811" i="55"/>
  <c r="AC811" i="55" s="1"/>
  <c r="AB815" i="55"/>
  <c r="AC815" i="55" s="1"/>
  <c r="AB819" i="55"/>
  <c r="AC819" i="55" s="1"/>
  <c r="AB823" i="55"/>
  <c r="AC823" i="55" s="1"/>
  <c r="AB827" i="55"/>
  <c r="AC827" i="55" s="1"/>
  <c r="AB831" i="55"/>
  <c r="AC831" i="55" s="1"/>
  <c r="AB835" i="55"/>
  <c r="AC835" i="55" s="1"/>
  <c r="AB839" i="55"/>
  <c r="AC839" i="55" s="1"/>
  <c r="AB843" i="55"/>
  <c r="AC843" i="55" s="1"/>
  <c r="AB847" i="55"/>
  <c r="AC847" i="55" s="1"/>
  <c r="AB851" i="55"/>
  <c r="AC851" i="55" s="1"/>
  <c r="AB855" i="55"/>
  <c r="AC855" i="55" s="1"/>
  <c r="AB859" i="55"/>
  <c r="AC859" i="55" s="1"/>
  <c r="AB863" i="55"/>
  <c r="AC863" i="55" s="1"/>
  <c r="AB867" i="55"/>
  <c r="AC867" i="55" s="1"/>
  <c r="AB871" i="55"/>
  <c r="AC871" i="55" s="1"/>
  <c r="AB875" i="55"/>
  <c r="AC875" i="55" s="1"/>
  <c r="AB879" i="55"/>
  <c r="AC879" i="55" s="1"/>
  <c r="AB883" i="55"/>
  <c r="AC883" i="55" s="1"/>
  <c r="AB887" i="55"/>
  <c r="AC887" i="55" s="1"/>
  <c r="AB891" i="55"/>
  <c r="AC891" i="55" s="1"/>
  <c r="AB895" i="55"/>
  <c r="AC895" i="55" s="1"/>
  <c r="AB899" i="55"/>
  <c r="AC899" i="55" s="1"/>
  <c r="AB903" i="55"/>
  <c r="AC903" i="55" s="1"/>
  <c r="AB907" i="55"/>
  <c r="AC907" i="55" s="1"/>
  <c r="AB911" i="55"/>
  <c r="AC911" i="55" s="1"/>
  <c r="AB915" i="55"/>
  <c r="AC915" i="55" s="1"/>
  <c r="AB483" i="55"/>
  <c r="AC483" i="55" s="1"/>
  <c r="AB547" i="55"/>
  <c r="AC547" i="55" s="1"/>
  <c r="AB603" i="55"/>
  <c r="AC603" i="55" s="1"/>
  <c r="AB619" i="55"/>
  <c r="AC619" i="55" s="1"/>
  <c r="AB635" i="55"/>
  <c r="AC635" i="55" s="1"/>
  <c r="AB651" i="55"/>
  <c r="AC651" i="55" s="1"/>
  <c r="AB667" i="55"/>
  <c r="AC667" i="55" s="1"/>
  <c r="AB683" i="55"/>
  <c r="AC683" i="55" s="1"/>
  <c r="AB699" i="55"/>
  <c r="AC699" i="55" s="1"/>
  <c r="AB715" i="55"/>
  <c r="AC715" i="55" s="1"/>
  <c r="AB731" i="55"/>
  <c r="AC731" i="55" s="1"/>
  <c r="AB747" i="55"/>
  <c r="AC747" i="55" s="1"/>
  <c r="AB763" i="55"/>
  <c r="AC763" i="55" s="1"/>
  <c r="AB766" i="55"/>
  <c r="AC766" i="55" s="1"/>
  <c r="AB770" i="55"/>
  <c r="AC770" i="55" s="1"/>
  <c r="AB774" i="55"/>
  <c r="AC774" i="55" s="1"/>
  <c r="AB778" i="55"/>
  <c r="AC778" i="55" s="1"/>
  <c r="AB782" i="55"/>
  <c r="AC782" i="55" s="1"/>
  <c r="AB786" i="55"/>
  <c r="AC786" i="55" s="1"/>
  <c r="AB790" i="55"/>
  <c r="AC790" i="55" s="1"/>
  <c r="AB794" i="55"/>
  <c r="AC794" i="55" s="1"/>
  <c r="AB798" i="55"/>
  <c r="AC798" i="55" s="1"/>
  <c r="AB802" i="55"/>
  <c r="AC802" i="55" s="1"/>
  <c r="AB806" i="55"/>
  <c r="AC806" i="55" s="1"/>
  <c r="AB810" i="55"/>
  <c r="AC810" i="55" s="1"/>
  <c r="AB814" i="55"/>
  <c r="AC814" i="55" s="1"/>
  <c r="AB818" i="55"/>
  <c r="AC818" i="55" s="1"/>
  <c r="AB822" i="55"/>
  <c r="AC822" i="55" s="1"/>
  <c r="AB826" i="55"/>
  <c r="AC826" i="55" s="1"/>
  <c r="AB830" i="55"/>
  <c r="AC830" i="55" s="1"/>
  <c r="AB834" i="55"/>
  <c r="AC834" i="55" s="1"/>
  <c r="AB838" i="55"/>
  <c r="AC838" i="55" s="1"/>
  <c r="AB842" i="55"/>
  <c r="AC842" i="55" s="1"/>
  <c r="AB846" i="55"/>
  <c r="AC846" i="55" s="1"/>
  <c r="AB850" i="55"/>
  <c r="AC850" i="55" s="1"/>
  <c r="AB854" i="55"/>
  <c r="AC854" i="55" s="1"/>
  <c r="AB858" i="55"/>
  <c r="AC858" i="55" s="1"/>
  <c r="AB862" i="55"/>
  <c r="AC862" i="55" s="1"/>
  <c r="AB866" i="55"/>
  <c r="AC866" i="55" s="1"/>
  <c r="AB870" i="55"/>
  <c r="AC870" i="55" s="1"/>
  <c r="AB874" i="55"/>
  <c r="AC874" i="55" s="1"/>
  <c r="AB878" i="55"/>
  <c r="AC878" i="55" s="1"/>
  <c r="AB882" i="55"/>
  <c r="AC882" i="55" s="1"/>
  <c r="AB886" i="55"/>
  <c r="AC886" i="55" s="1"/>
  <c r="AB890" i="55"/>
  <c r="AC890" i="55" s="1"/>
  <c r="AB894" i="55"/>
  <c r="AC894" i="55" s="1"/>
  <c r="AB898" i="55"/>
  <c r="AC898" i="55" s="1"/>
  <c r="AB902" i="55"/>
  <c r="AC902" i="55" s="1"/>
  <c r="AB906" i="55"/>
  <c r="AC906" i="55" s="1"/>
  <c r="AB910" i="55"/>
  <c r="AC910" i="55" s="1"/>
  <c r="AB914" i="55"/>
  <c r="AC914" i="55" s="1"/>
  <c r="AB467" i="55"/>
  <c r="AC467" i="55" s="1"/>
  <c r="AB531" i="55"/>
  <c r="AC531" i="55" s="1"/>
  <c r="AB599" i="55"/>
  <c r="AC599" i="55" s="1"/>
  <c r="AB615" i="55"/>
  <c r="AC615" i="55" s="1"/>
  <c r="AB631" i="55"/>
  <c r="AC631" i="55" s="1"/>
  <c r="AB647" i="55"/>
  <c r="AC647" i="55" s="1"/>
  <c r="AB663" i="55"/>
  <c r="AC663" i="55" s="1"/>
  <c r="AB679" i="55"/>
  <c r="AC679" i="55" s="1"/>
  <c r="AB695" i="55"/>
  <c r="AC695" i="55" s="1"/>
  <c r="AB711" i="55"/>
  <c r="AC711" i="55" s="1"/>
  <c r="AB727" i="55"/>
  <c r="AC727" i="55" s="1"/>
  <c r="AB743" i="55"/>
  <c r="AC743" i="55" s="1"/>
  <c r="AB759" i="55"/>
  <c r="AC759" i="55" s="1"/>
  <c r="AB769" i="55"/>
  <c r="AC769" i="55" s="1"/>
  <c r="AB773" i="55"/>
  <c r="AC773" i="55" s="1"/>
  <c r="AB777" i="55"/>
  <c r="AC777" i="55" s="1"/>
  <c r="AB781" i="55"/>
  <c r="AC781" i="55" s="1"/>
  <c r="AB785" i="55"/>
  <c r="AC785" i="55" s="1"/>
  <c r="AB789" i="55"/>
  <c r="AC789" i="55" s="1"/>
  <c r="AB793" i="55"/>
  <c r="AC793" i="55" s="1"/>
  <c r="AB797" i="55"/>
  <c r="AC797" i="55" s="1"/>
  <c r="AB801" i="55"/>
  <c r="AC801" i="55" s="1"/>
  <c r="AB805" i="55"/>
  <c r="AC805" i="55" s="1"/>
  <c r="AB809" i="55"/>
  <c r="AC809" i="55" s="1"/>
  <c r="AB813" i="55"/>
  <c r="AC813" i="55" s="1"/>
  <c r="AB817" i="55"/>
  <c r="AC817" i="55" s="1"/>
  <c r="AB821" i="55"/>
  <c r="AC821" i="55" s="1"/>
  <c r="AB825" i="55"/>
  <c r="AC825" i="55" s="1"/>
  <c r="AB829" i="55"/>
  <c r="AC829" i="55" s="1"/>
  <c r="AB833" i="55"/>
  <c r="AC833" i="55" s="1"/>
  <c r="AB837" i="55"/>
  <c r="AC837" i="55" s="1"/>
  <c r="AB841" i="55"/>
  <c r="AC841" i="55" s="1"/>
  <c r="AB845" i="55"/>
  <c r="AC845" i="55" s="1"/>
  <c r="AB849" i="55"/>
  <c r="AC849" i="55" s="1"/>
  <c r="AB853" i="55"/>
  <c r="AC853" i="55" s="1"/>
  <c r="AB857" i="55"/>
  <c r="AC857" i="55" s="1"/>
  <c r="AB861" i="55"/>
  <c r="AC861" i="55" s="1"/>
  <c r="AB865" i="55"/>
  <c r="AC865" i="55" s="1"/>
  <c r="AB869" i="55"/>
  <c r="AC869" i="55" s="1"/>
  <c r="AB873" i="55"/>
  <c r="AC873" i="55" s="1"/>
  <c r="AB877" i="55"/>
  <c r="AC877" i="55" s="1"/>
  <c r="AB881" i="55"/>
  <c r="AC881" i="55" s="1"/>
  <c r="AB885" i="55"/>
  <c r="AC885" i="55" s="1"/>
  <c r="AB889" i="55"/>
  <c r="AC889" i="55" s="1"/>
  <c r="AB893" i="55"/>
  <c r="AC893" i="55" s="1"/>
  <c r="AB897" i="55"/>
  <c r="AC897" i="55" s="1"/>
  <c r="AB901" i="55"/>
  <c r="AC901" i="55" s="1"/>
  <c r="AB905" i="55"/>
  <c r="AC905" i="55" s="1"/>
  <c r="AB909" i="55"/>
  <c r="AC909" i="55" s="1"/>
  <c r="AB913" i="55"/>
  <c r="AC913" i="55" s="1"/>
  <c r="AB627" i="55"/>
  <c r="AC627" i="55" s="1"/>
  <c r="AB691" i="55"/>
  <c r="AC691" i="55" s="1"/>
  <c r="AB755" i="55"/>
  <c r="AC755" i="55" s="1"/>
  <c r="AB768" i="55"/>
  <c r="AC768" i="55" s="1"/>
  <c r="AB784" i="55"/>
  <c r="AC784" i="55" s="1"/>
  <c r="AB800" i="55"/>
  <c r="AC800" i="55" s="1"/>
  <c r="AB816" i="55"/>
  <c r="AC816" i="55" s="1"/>
  <c r="AB832" i="55"/>
  <c r="AC832" i="55" s="1"/>
  <c r="AB848" i="55"/>
  <c r="AC848" i="55" s="1"/>
  <c r="AB864" i="55"/>
  <c r="AC864" i="55" s="1"/>
  <c r="AB880" i="55"/>
  <c r="AC880" i="55" s="1"/>
  <c r="AB896" i="55"/>
  <c r="AC896" i="55" s="1"/>
  <c r="AB912" i="55"/>
  <c r="AC912" i="55" s="1"/>
  <c r="AB201" i="55"/>
  <c r="AC201" i="55" s="1"/>
  <c r="AB205" i="55"/>
  <c r="AC205" i="55" s="1"/>
  <c r="AB209" i="55"/>
  <c r="AC209" i="55" s="1"/>
  <c r="AB213" i="55"/>
  <c r="AC213" i="55" s="1"/>
  <c r="AB217" i="55"/>
  <c r="AC217" i="55" s="1"/>
  <c r="AB221" i="55"/>
  <c r="AC221" i="55" s="1"/>
  <c r="AB225" i="55"/>
  <c r="AC225" i="55" s="1"/>
  <c r="AB229" i="55"/>
  <c r="AC229" i="55" s="1"/>
  <c r="AB233" i="55"/>
  <c r="AC233" i="55" s="1"/>
  <c r="AB237" i="55"/>
  <c r="AC237" i="55" s="1"/>
  <c r="AB164" i="55"/>
  <c r="AC164" i="55" s="1"/>
  <c r="AB361" i="55"/>
  <c r="AC361" i="55" s="1"/>
  <c r="AB579" i="55"/>
  <c r="AC579" i="55" s="1"/>
  <c r="AB611" i="55"/>
  <c r="AC611" i="55" s="1"/>
  <c r="AB675" i="55"/>
  <c r="AC675" i="55" s="1"/>
  <c r="AB739" i="55"/>
  <c r="AC739" i="55" s="1"/>
  <c r="AB780" i="55"/>
  <c r="AC780" i="55" s="1"/>
  <c r="AB796" i="55"/>
  <c r="AC796" i="55" s="1"/>
  <c r="AB812" i="55"/>
  <c r="AC812" i="55" s="1"/>
  <c r="AB828" i="55"/>
  <c r="AC828" i="55" s="1"/>
  <c r="AB844" i="55"/>
  <c r="AC844" i="55" s="1"/>
  <c r="AB860" i="55"/>
  <c r="AC860" i="55" s="1"/>
  <c r="AB876" i="55"/>
  <c r="AC876" i="55" s="1"/>
  <c r="AB892" i="55"/>
  <c r="AC892" i="55" s="1"/>
  <c r="AB908" i="55"/>
  <c r="AC908" i="55" s="1"/>
  <c r="AB169" i="55"/>
  <c r="AC169" i="55" s="1"/>
  <c r="AB200" i="55"/>
  <c r="AC200" i="55" s="1"/>
  <c r="AB204" i="55"/>
  <c r="AC204" i="55" s="1"/>
  <c r="AB208" i="55"/>
  <c r="AC208" i="55" s="1"/>
  <c r="AB212" i="55"/>
  <c r="AC212" i="55" s="1"/>
  <c r="AB216" i="55"/>
  <c r="AC216" i="55" s="1"/>
  <c r="AB220" i="55"/>
  <c r="AC220" i="55" s="1"/>
  <c r="AB224" i="55"/>
  <c r="AC224" i="55" s="1"/>
  <c r="AB228" i="55"/>
  <c r="AC228" i="55" s="1"/>
  <c r="AB232" i="55"/>
  <c r="AC232" i="55" s="1"/>
  <c r="AB236" i="55"/>
  <c r="AC236" i="55" s="1"/>
  <c r="AB198" i="55"/>
  <c r="AC198" i="55" s="1"/>
  <c r="AB194" i="55"/>
  <c r="AC194" i="55" s="1"/>
  <c r="AB190" i="55"/>
  <c r="AC190" i="55" s="1"/>
  <c r="AB186" i="55"/>
  <c r="AC186" i="55" s="1"/>
  <c r="AB182" i="55"/>
  <c r="AC182" i="55" s="1"/>
  <c r="AB178" i="55"/>
  <c r="AC178" i="55" s="1"/>
  <c r="AB173" i="55"/>
  <c r="AC173" i="55" s="1"/>
  <c r="AB172" i="55"/>
  <c r="AC172" i="55" s="1"/>
  <c r="AB168" i="55"/>
  <c r="AC168" i="55" s="1"/>
  <c r="AB165" i="55"/>
  <c r="AC165" i="55" s="1"/>
  <c r="AB163" i="55"/>
  <c r="AC163" i="55" s="1"/>
  <c r="AB162" i="55"/>
  <c r="AC162" i="55" s="1"/>
  <c r="AB451" i="55"/>
  <c r="AC451" i="55" s="1"/>
  <c r="AB643" i="55"/>
  <c r="AC643" i="55" s="1"/>
  <c r="AB707" i="55"/>
  <c r="AC707" i="55" s="1"/>
  <c r="AB772" i="55"/>
  <c r="AC772" i="55" s="1"/>
  <c r="AB788" i="55"/>
  <c r="AC788" i="55" s="1"/>
  <c r="AB804" i="55"/>
  <c r="AC804" i="55" s="1"/>
  <c r="AB820" i="55"/>
  <c r="AC820" i="55" s="1"/>
  <c r="AB836" i="55"/>
  <c r="AC836" i="55" s="1"/>
  <c r="AB852" i="55"/>
  <c r="AC852" i="55" s="1"/>
  <c r="AB868" i="55"/>
  <c r="AC868" i="55" s="1"/>
  <c r="AB884" i="55"/>
  <c r="AC884" i="55" s="1"/>
  <c r="AB900" i="55"/>
  <c r="AC900" i="55" s="1"/>
  <c r="AB240" i="55"/>
  <c r="AC240" i="55" s="1"/>
  <c r="AB167" i="55"/>
  <c r="AC167" i="55" s="1"/>
  <c r="AB171" i="55"/>
  <c r="AC171" i="55" s="1"/>
  <c r="AB175" i="55"/>
  <c r="AC175" i="55" s="1"/>
  <c r="AB179" i="55"/>
  <c r="AC179" i="55" s="1"/>
  <c r="AB183" i="55"/>
  <c r="AC183" i="55" s="1"/>
  <c r="AB187" i="55"/>
  <c r="AC187" i="55" s="1"/>
  <c r="AB191" i="55"/>
  <c r="AC191" i="55" s="1"/>
  <c r="AB195" i="55"/>
  <c r="AC195" i="55" s="1"/>
  <c r="AB199" i="55"/>
  <c r="AC199" i="55" s="1"/>
  <c r="AB202" i="55"/>
  <c r="AC202" i="55" s="1"/>
  <c r="AB206" i="55"/>
  <c r="AC206" i="55" s="1"/>
  <c r="AB210" i="55"/>
  <c r="AC210" i="55" s="1"/>
  <c r="AB214" i="55"/>
  <c r="AC214" i="55" s="1"/>
  <c r="AB218" i="55"/>
  <c r="AC218" i="55" s="1"/>
  <c r="AB222" i="55"/>
  <c r="AC222" i="55" s="1"/>
  <c r="AB226" i="55"/>
  <c r="AC226" i="55" s="1"/>
  <c r="AB230" i="55"/>
  <c r="AC230" i="55" s="1"/>
  <c r="AB234" i="55"/>
  <c r="AC234" i="55" s="1"/>
  <c r="AB238" i="55"/>
  <c r="AC238" i="55" s="1"/>
  <c r="AB197" i="55"/>
  <c r="AC197" i="55" s="1"/>
  <c r="AB193" i="55"/>
  <c r="AC193" i="55" s="1"/>
  <c r="AB189" i="55"/>
  <c r="AC189" i="55" s="1"/>
  <c r="AB185" i="55"/>
  <c r="AC185" i="55" s="1"/>
  <c r="AB181" i="55"/>
  <c r="AC181" i="55" s="1"/>
  <c r="AB177" i="55"/>
  <c r="AC177" i="55" s="1"/>
  <c r="AB723" i="55"/>
  <c r="AC723" i="55" s="1"/>
  <c r="AB776" i="55"/>
  <c r="AC776" i="55" s="1"/>
  <c r="AB840" i="55"/>
  <c r="AC840" i="55" s="1"/>
  <c r="AB904" i="55"/>
  <c r="AC904" i="55" s="1"/>
  <c r="AB166" i="55"/>
  <c r="AC166" i="55" s="1"/>
  <c r="AB215" i="55"/>
  <c r="AC215" i="55" s="1"/>
  <c r="AB231" i="55"/>
  <c r="AC231" i="55" s="1"/>
  <c r="AB192" i="55"/>
  <c r="AC192" i="55" s="1"/>
  <c r="AB176" i="55"/>
  <c r="AC176" i="55" s="1"/>
  <c r="AB515" i="55"/>
  <c r="AC515" i="55" s="1"/>
  <c r="AB659" i="55"/>
  <c r="AC659" i="55" s="1"/>
  <c r="AB824" i="55"/>
  <c r="AC824" i="55" s="1"/>
  <c r="AB888" i="55"/>
  <c r="AC888" i="55" s="1"/>
  <c r="AB170" i="55"/>
  <c r="AC170" i="55" s="1"/>
  <c r="AB211" i="55"/>
  <c r="AC211" i="55" s="1"/>
  <c r="AB227" i="55"/>
  <c r="AC227" i="55" s="1"/>
  <c r="AB196" i="55"/>
  <c r="AC196" i="55" s="1"/>
  <c r="AB180" i="55"/>
  <c r="AC180" i="55" s="1"/>
  <c r="AB792" i="55"/>
  <c r="AC792" i="55" s="1"/>
  <c r="AB856" i="55"/>
  <c r="AC856" i="55" s="1"/>
  <c r="AB203" i="55"/>
  <c r="AC203" i="55" s="1"/>
  <c r="AB219" i="55"/>
  <c r="AC219" i="55" s="1"/>
  <c r="AB235" i="55"/>
  <c r="AC235" i="55" s="1"/>
  <c r="AB188" i="55"/>
  <c r="AC188" i="55" s="1"/>
  <c r="AB174" i="55"/>
  <c r="AC174" i="55" s="1"/>
  <c r="AB595" i="55"/>
  <c r="AC595" i="55" s="1"/>
  <c r="AB808" i="55"/>
  <c r="AC808" i="55" s="1"/>
  <c r="AB207" i="55"/>
  <c r="AC207" i="55" s="1"/>
  <c r="AB156" i="55"/>
  <c r="AC156" i="55" s="1"/>
  <c r="AB152" i="55"/>
  <c r="AC152" i="55" s="1"/>
  <c r="AB150" i="55"/>
  <c r="AC150" i="55" s="1"/>
  <c r="AB147" i="55"/>
  <c r="AC147" i="55" s="1"/>
  <c r="AB144" i="55"/>
  <c r="AC144" i="55" s="1"/>
  <c r="AB139" i="55"/>
  <c r="AC139" i="55" s="1"/>
  <c r="AB161" i="55"/>
  <c r="AC161" i="55" s="1"/>
  <c r="AB159" i="55"/>
  <c r="AC159" i="55" s="1"/>
  <c r="AB151" i="55"/>
  <c r="AC151" i="55" s="1"/>
  <c r="AB145" i="55"/>
  <c r="AC145" i="55" s="1"/>
  <c r="AB143" i="55"/>
  <c r="AC143" i="55" s="1"/>
  <c r="AB138" i="55"/>
  <c r="AC138" i="55" s="1"/>
  <c r="AB136" i="55"/>
  <c r="AC136" i="55" s="1"/>
  <c r="AB134" i="55"/>
  <c r="AC134" i="55" s="1"/>
  <c r="AB132" i="55"/>
  <c r="AC132" i="55" s="1"/>
  <c r="AB130" i="55"/>
  <c r="AC130" i="55" s="1"/>
  <c r="AB128" i="55"/>
  <c r="AC128" i="55" s="1"/>
  <c r="AB124" i="55"/>
  <c r="AC124" i="55" s="1"/>
  <c r="AB122" i="55"/>
  <c r="AC122" i="55" s="1"/>
  <c r="AB120" i="55"/>
  <c r="AC120" i="55" s="1"/>
  <c r="AB118" i="55"/>
  <c r="AC118" i="55" s="1"/>
  <c r="AB116" i="55"/>
  <c r="AC116" i="55" s="1"/>
  <c r="AB114" i="55"/>
  <c r="AC114" i="55" s="1"/>
  <c r="AB112" i="55"/>
  <c r="AC112" i="55" s="1"/>
  <c r="AB110" i="55"/>
  <c r="AC110" i="55" s="1"/>
  <c r="AB108" i="55"/>
  <c r="AC108" i="55" s="1"/>
  <c r="AB106" i="55"/>
  <c r="AC106" i="55" s="1"/>
  <c r="AB104" i="55"/>
  <c r="AC104" i="55" s="1"/>
  <c r="AB102" i="55"/>
  <c r="AC102" i="55" s="1"/>
  <c r="AB100" i="55"/>
  <c r="AC100" i="55" s="1"/>
  <c r="AB98" i="55"/>
  <c r="AC98" i="55" s="1"/>
  <c r="AB96" i="55"/>
  <c r="AC96" i="55" s="1"/>
  <c r="AB94" i="55"/>
  <c r="AC94" i="55" s="1"/>
  <c r="AB92" i="55"/>
  <c r="AC92" i="55" s="1"/>
  <c r="AB90" i="55"/>
  <c r="AC90" i="55" s="1"/>
  <c r="AB88" i="55"/>
  <c r="AC88" i="55" s="1"/>
  <c r="AB86" i="55"/>
  <c r="AC86" i="55" s="1"/>
  <c r="AB84" i="55"/>
  <c r="AC84" i="55" s="1"/>
  <c r="AB82" i="55"/>
  <c r="AC82" i="55" s="1"/>
  <c r="AB80" i="55"/>
  <c r="AC80" i="55" s="1"/>
  <c r="AB76" i="55"/>
  <c r="AC76" i="55" s="1"/>
  <c r="AB74" i="55"/>
  <c r="AC74" i="55" s="1"/>
  <c r="AB72" i="55"/>
  <c r="AC72" i="55" s="1"/>
  <c r="AB70" i="55"/>
  <c r="AC70" i="55" s="1"/>
  <c r="AB68" i="55"/>
  <c r="AC68" i="55" s="1"/>
  <c r="AB66" i="55"/>
  <c r="AC66" i="55" s="1"/>
  <c r="AB872" i="55"/>
  <c r="AC872" i="55" s="1"/>
  <c r="AB78" i="55"/>
  <c r="AC78" i="55" s="1"/>
  <c r="AB223" i="55"/>
  <c r="AC223" i="55" s="1"/>
  <c r="AB184" i="55"/>
  <c r="AC184" i="55" s="1"/>
  <c r="AB157" i="55"/>
  <c r="AC157" i="55" s="1"/>
  <c r="AB155" i="55"/>
  <c r="AC155" i="55" s="1"/>
  <c r="AB153" i="55"/>
  <c r="AC153" i="55" s="1"/>
  <c r="AB149" i="55"/>
  <c r="AC149" i="55" s="1"/>
  <c r="AB146" i="55"/>
  <c r="AC146" i="55" s="1"/>
  <c r="AB137" i="55"/>
  <c r="AC137" i="55" s="1"/>
  <c r="AB135" i="55"/>
  <c r="AC135" i="55" s="1"/>
  <c r="AB133" i="55"/>
  <c r="AC133" i="55" s="1"/>
  <c r="AB131" i="55"/>
  <c r="AC131" i="55" s="1"/>
  <c r="AB129" i="55"/>
  <c r="AC129" i="55" s="1"/>
  <c r="AB127" i="55"/>
  <c r="AC127" i="55" s="1"/>
  <c r="AB125" i="55"/>
  <c r="AC125" i="55" s="1"/>
  <c r="AB123" i="55"/>
  <c r="AC123" i="55" s="1"/>
  <c r="AB121" i="55"/>
  <c r="AC121" i="55" s="1"/>
  <c r="AB119" i="55"/>
  <c r="AC119" i="55" s="1"/>
  <c r="AB117" i="55"/>
  <c r="AC117" i="55" s="1"/>
  <c r="AB115" i="55"/>
  <c r="AC115" i="55" s="1"/>
  <c r="AB113" i="55"/>
  <c r="AC113" i="55" s="1"/>
  <c r="AB111" i="55"/>
  <c r="AC111" i="55" s="1"/>
  <c r="AB109" i="55"/>
  <c r="AC109" i="55" s="1"/>
  <c r="AB107" i="55"/>
  <c r="AC107" i="55" s="1"/>
  <c r="AB105" i="55"/>
  <c r="AC105" i="55" s="1"/>
  <c r="AB103" i="55"/>
  <c r="AC103" i="55" s="1"/>
  <c r="AB101" i="55"/>
  <c r="AC101" i="55" s="1"/>
  <c r="AB99" i="55"/>
  <c r="AC99" i="55" s="1"/>
  <c r="AB97" i="55"/>
  <c r="AC97" i="55" s="1"/>
  <c r="AB95" i="55"/>
  <c r="AC95" i="55" s="1"/>
  <c r="AB93" i="55"/>
  <c r="AC93" i="55" s="1"/>
  <c r="AB91" i="55"/>
  <c r="AC91" i="55" s="1"/>
  <c r="AB89" i="55"/>
  <c r="AC89" i="55" s="1"/>
  <c r="AB87" i="55"/>
  <c r="AC87" i="55" s="1"/>
  <c r="AB85" i="55"/>
  <c r="AC85" i="55" s="1"/>
  <c r="AB83" i="55"/>
  <c r="AC83" i="55" s="1"/>
  <c r="AB81" i="55"/>
  <c r="AC81" i="55" s="1"/>
  <c r="AB79" i="55"/>
  <c r="AC79" i="55" s="1"/>
  <c r="AB77" i="55"/>
  <c r="AC77" i="55" s="1"/>
  <c r="AB75" i="55"/>
  <c r="AC75" i="55" s="1"/>
  <c r="AB73" i="55"/>
  <c r="AC73" i="55" s="1"/>
  <c r="AB71" i="55"/>
  <c r="AC71" i="55" s="1"/>
  <c r="AB69" i="55"/>
  <c r="AC69" i="55" s="1"/>
  <c r="AB67" i="55"/>
  <c r="AC67" i="55" s="1"/>
  <c r="AB62" i="55"/>
  <c r="AC62" i="55" s="1"/>
  <c r="AB154" i="55"/>
  <c r="AC154" i="55" s="1"/>
  <c r="AB142" i="55"/>
  <c r="AC142" i="55" s="1"/>
  <c r="AB126" i="55"/>
  <c r="AC126" i="55" s="1"/>
  <c r="AB30" i="55"/>
  <c r="AC30" i="55" s="1"/>
  <c r="AB28" i="55"/>
  <c r="AC28" i="55" s="1"/>
  <c r="AB26" i="55"/>
  <c r="AC26" i="55" s="1"/>
  <c r="AB24" i="55"/>
  <c r="AC24" i="55" s="1"/>
  <c r="AB22" i="55"/>
  <c r="AC22" i="55" s="1"/>
  <c r="AB20" i="55"/>
  <c r="AC20" i="55" s="1"/>
  <c r="AB18" i="55"/>
  <c r="AC18" i="55" s="1"/>
  <c r="AB16" i="55"/>
  <c r="AC16" i="55" s="1"/>
  <c r="AB14" i="55"/>
  <c r="AC14" i="55" s="1"/>
  <c r="AB12" i="55"/>
  <c r="AC12" i="55" s="1"/>
  <c r="AB10" i="55"/>
  <c r="AC10" i="55" s="1"/>
  <c r="AB8" i="55"/>
  <c r="AC8" i="55" s="1"/>
  <c r="AB158" i="55"/>
  <c r="AC158" i="55" s="1"/>
  <c r="AB64" i="55"/>
  <c r="AC64" i="55" s="1"/>
  <c r="AB59" i="55"/>
  <c r="AC59" i="55" s="1"/>
  <c r="AB58" i="55"/>
  <c r="AC58" i="55" s="1"/>
  <c r="AB53" i="55"/>
  <c r="AC53" i="55" s="1"/>
  <c r="AB52" i="55"/>
  <c r="AC52" i="55" s="1"/>
  <c r="AB51" i="55"/>
  <c r="AC51" i="55" s="1"/>
  <c r="AB50" i="55"/>
  <c r="AC50" i="55" s="1"/>
  <c r="AB49" i="55"/>
  <c r="AC49" i="55" s="1"/>
  <c r="AB48" i="55"/>
  <c r="AC48" i="55" s="1"/>
  <c r="AB47" i="55"/>
  <c r="AC47" i="55" s="1"/>
  <c r="AB46" i="55"/>
  <c r="AC46" i="55" s="1"/>
  <c r="AB44" i="55"/>
  <c r="AC44" i="55" s="1"/>
  <c r="AB36" i="55"/>
  <c r="AC36" i="55" s="1"/>
  <c r="AB35" i="55"/>
  <c r="AC35" i="55" s="1"/>
  <c r="AB34" i="55"/>
  <c r="AC34" i="55" s="1"/>
  <c r="AB32" i="55"/>
  <c r="AC32" i="55" s="1"/>
  <c r="AB239" i="55"/>
  <c r="AC239" i="55" s="1"/>
  <c r="AB148" i="55"/>
  <c r="AC148" i="55" s="1"/>
  <c r="AB141" i="55"/>
  <c r="AC141" i="55" s="1"/>
  <c r="AB60" i="55"/>
  <c r="AC60" i="55" s="1"/>
  <c r="AB57" i="55"/>
  <c r="AC57" i="55" s="1"/>
  <c r="AB56" i="55"/>
  <c r="AC56" i="55" s="1"/>
  <c r="AB55" i="55"/>
  <c r="AC55" i="55" s="1"/>
  <c r="AB54" i="55"/>
  <c r="AC54" i="55" s="1"/>
  <c r="AB45" i="55"/>
  <c r="AC45" i="55" s="1"/>
  <c r="AB43" i="55"/>
  <c r="AC43" i="55" s="1"/>
  <c r="AB42" i="55"/>
  <c r="AC42" i="55" s="1"/>
  <c r="AB41" i="55"/>
  <c r="AC41" i="55" s="1"/>
  <c r="AB40" i="55"/>
  <c r="AC40" i="55" s="1"/>
  <c r="AB39" i="55"/>
  <c r="AC39" i="55" s="1"/>
  <c r="AB38" i="55"/>
  <c r="AC38" i="55" s="1"/>
  <c r="AB37" i="55"/>
  <c r="AC37" i="55" s="1"/>
  <c r="AB33" i="55"/>
  <c r="AC33" i="55" s="1"/>
  <c r="AB31" i="55"/>
  <c r="AC31" i="55" s="1"/>
  <c r="AB29" i="55"/>
  <c r="AC29" i="55" s="1"/>
  <c r="AB27" i="55"/>
  <c r="AC27" i="55" s="1"/>
  <c r="AB25" i="55"/>
  <c r="AC25" i="55" s="1"/>
  <c r="AB23" i="55"/>
  <c r="AC23" i="55" s="1"/>
  <c r="AB21" i="55"/>
  <c r="AC21" i="55" s="1"/>
  <c r="AB19" i="55"/>
  <c r="AC19" i="55" s="1"/>
  <c r="AB17" i="55"/>
  <c r="AC17" i="55" s="1"/>
  <c r="AB15" i="55"/>
  <c r="AC15" i="55" s="1"/>
  <c r="AB13" i="55"/>
  <c r="AC13" i="55" s="1"/>
  <c r="AB11" i="55"/>
  <c r="AC11" i="55" s="1"/>
  <c r="AB9" i="55"/>
  <c r="AC9" i="55" s="1"/>
  <c r="AB7" i="55"/>
  <c r="AC7" i="55" s="1"/>
  <c r="AB160" i="55"/>
  <c r="AC160" i="55" s="1"/>
  <c r="AB61" i="55"/>
  <c r="AC61" i="55" s="1"/>
  <c r="AB140" i="55"/>
  <c r="AC140" i="55" s="1"/>
  <c r="AB65" i="55"/>
  <c r="AC65" i="55" s="1"/>
  <c r="AB63" i="55"/>
  <c r="AC63" i="55" s="1"/>
  <c r="AB245" i="55"/>
  <c r="AC245" i="55" s="1"/>
  <c r="AB6" i="55"/>
  <c r="AC6" i="55" s="1"/>
  <c r="AB5" i="55"/>
  <c r="AC5" i="55" s="1"/>
  <c r="AF916" i="55" l="1"/>
  <c r="AF915" i="55" s="1"/>
  <c r="AF914" i="55" s="1"/>
  <c r="AF913" i="55" s="1"/>
  <c r="AF912" i="55" s="1"/>
  <c r="AF911" i="55" s="1"/>
  <c r="AF910" i="55" s="1"/>
  <c r="AF909" i="55" s="1"/>
  <c r="AF908" i="55" s="1"/>
  <c r="AF907" i="55" s="1"/>
  <c r="AF906" i="55" s="1"/>
  <c r="AF905" i="55" s="1"/>
  <c r="AF904" i="55" s="1"/>
  <c r="AF903" i="55" s="1"/>
  <c r="AF902" i="55" s="1"/>
  <c r="AF901" i="55" s="1"/>
  <c r="AF900" i="55" s="1"/>
  <c r="AF899" i="55" s="1"/>
  <c r="AF898" i="55" s="1"/>
  <c r="AF897" i="55" s="1"/>
  <c r="AF896" i="55" s="1"/>
  <c r="AF895" i="55" s="1"/>
  <c r="AF894" i="55" s="1"/>
  <c r="AF893" i="55" s="1"/>
  <c r="AF892" i="55" s="1"/>
  <c r="AF891" i="55" s="1"/>
  <c r="AF890" i="55" s="1"/>
  <c r="AF889" i="55" s="1"/>
  <c r="AF888" i="55" s="1"/>
  <c r="AF887" i="55" s="1"/>
  <c r="AF886" i="55" s="1"/>
  <c r="AF885" i="55" s="1"/>
  <c r="AF884" i="55" s="1"/>
  <c r="AF883" i="55" s="1"/>
  <c r="AF882" i="55" s="1"/>
  <c r="AF881" i="55" s="1"/>
  <c r="AF880" i="55" s="1"/>
  <c r="AF879" i="55" s="1"/>
  <c r="AF878" i="55" s="1"/>
  <c r="AF877" i="55" s="1"/>
  <c r="AF876" i="55" s="1"/>
  <c r="AF875" i="55" s="1"/>
  <c r="AF874" i="55" s="1"/>
  <c r="AF873" i="55" s="1"/>
  <c r="AF872" i="55" s="1"/>
  <c r="AF871" i="55" s="1"/>
  <c r="AF870" i="55" s="1"/>
  <c r="AF869" i="55" s="1"/>
  <c r="AF868" i="55" s="1"/>
  <c r="AF867" i="55" s="1"/>
  <c r="AF866" i="55" s="1"/>
  <c r="AF865" i="55" s="1"/>
  <c r="AF864" i="55" s="1"/>
  <c r="AF863" i="55" s="1"/>
  <c r="AF862" i="55" s="1"/>
  <c r="AF861" i="55" s="1"/>
  <c r="AF860" i="55" s="1"/>
  <c r="AF859" i="55" s="1"/>
  <c r="AF858" i="55" s="1"/>
  <c r="AF857" i="55" s="1"/>
  <c r="AF856" i="55" s="1"/>
  <c r="AF855" i="55" s="1"/>
  <c r="AF854" i="55" s="1"/>
  <c r="AF853" i="55" s="1"/>
  <c r="AF852" i="55" s="1"/>
  <c r="AF851" i="55" s="1"/>
  <c r="AF850" i="55" s="1"/>
  <c r="AF849" i="55" s="1"/>
  <c r="AF848" i="55" s="1"/>
  <c r="AF847" i="55" s="1"/>
  <c r="AF846" i="55" s="1"/>
  <c r="AF845" i="55" s="1"/>
  <c r="AF844" i="55" s="1"/>
  <c r="AF843" i="55" s="1"/>
  <c r="AF842" i="55" s="1"/>
  <c r="AF841" i="55" s="1"/>
  <c r="AF840" i="55" s="1"/>
  <c r="AF839" i="55" s="1"/>
  <c r="AF838" i="55" s="1"/>
  <c r="AF837" i="55" s="1"/>
  <c r="AF836" i="55" s="1"/>
  <c r="AF835" i="55" s="1"/>
  <c r="AF834" i="55" s="1"/>
  <c r="AF833" i="55" s="1"/>
  <c r="AF832" i="55" s="1"/>
  <c r="AF831" i="55" s="1"/>
  <c r="AF830" i="55" s="1"/>
  <c r="AF829" i="55" s="1"/>
  <c r="AF828" i="55" s="1"/>
  <c r="AF827" i="55" s="1"/>
  <c r="AF826" i="55" s="1"/>
  <c r="AF825" i="55" s="1"/>
  <c r="AF824" i="55" s="1"/>
  <c r="AF823" i="55" s="1"/>
  <c r="AF822" i="55" s="1"/>
  <c r="AF821" i="55" s="1"/>
  <c r="AF820" i="55" s="1"/>
  <c r="AF819" i="55" s="1"/>
  <c r="AF818" i="55" s="1"/>
  <c r="AF817" i="55" s="1"/>
  <c r="AF816" i="55" s="1"/>
  <c r="AF815" i="55" s="1"/>
  <c r="AF814" i="55" s="1"/>
  <c r="AF813" i="55" s="1"/>
  <c r="AF812" i="55" s="1"/>
  <c r="AF811" i="55" s="1"/>
  <c r="AF810" i="55" s="1"/>
  <c r="AF809" i="55" s="1"/>
  <c r="AF808" i="55" s="1"/>
  <c r="AF807" i="55" s="1"/>
  <c r="AF806" i="55" s="1"/>
  <c r="AF805" i="55" s="1"/>
  <c r="AF804" i="55" s="1"/>
  <c r="AF803" i="55" s="1"/>
  <c r="AF802" i="55" s="1"/>
  <c r="AF801" i="55" s="1"/>
  <c r="AF800" i="55" s="1"/>
  <c r="AF799" i="55" s="1"/>
  <c r="AF798" i="55" s="1"/>
  <c r="AF797" i="55" s="1"/>
  <c r="AF796" i="55" s="1"/>
  <c r="AF795" i="55" s="1"/>
  <c r="AF794" i="55" s="1"/>
  <c r="AF793" i="55" s="1"/>
  <c r="AF792" i="55" s="1"/>
  <c r="AF791" i="55" s="1"/>
  <c r="AF790" i="55" s="1"/>
  <c r="AF789" i="55" s="1"/>
  <c r="AF788" i="55" s="1"/>
  <c r="AF787" i="55" s="1"/>
  <c r="AF786" i="55" s="1"/>
  <c r="AF785" i="55" s="1"/>
  <c r="AF784" i="55" s="1"/>
  <c r="AF783" i="55" s="1"/>
  <c r="AF782" i="55" s="1"/>
  <c r="AF781" i="55" s="1"/>
  <c r="AF780" i="55" s="1"/>
  <c r="AF779" i="55" s="1"/>
  <c r="AF778" i="55" s="1"/>
  <c r="AF777" i="55" s="1"/>
  <c r="AF776" i="55" s="1"/>
  <c r="AF775" i="55" s="1"/>
  <c r="AF774" i="55" s="1"/>
  <c r="AF773" i="55" s="1"/>
  <c r="AF772" i="55" s="1"/>
  <c r="AF771" i="55" s="1"/>
  <c r="AF770" i="55" s="1"/>
  <c r="AF769" i="55" s="1"/>
  <c r="AF768" i="55" s="1"/>
  <c r="AF767" i="55" s="1"/>
  <c r="AF766" i="55" s="1"/>
  <c r="AF765" i="55" s="1"/>
  <c r="AF764" i="55" s="1"/>
  <c r="AF763" i="55" s="1"/>
  <c r="AF762" i="55" s="1"/>
  <c r="AF761" i="55" s="1"/>
  <c r="AF760" i="55" s="1"/>
  <c r="AF759" i="55" s="1"/>
  <c r="AF758" i="55" s="1"/>
  <c r="AF757" i="55" s="1"/>
  <c r="AF756" i="55" s="1"/>
  <c r="AF755" i="55" s="1"/>
  <c r="AF754" i="55" s="1"/>
  <c r="AF753" i="55" s="1"/>
  <c r="AF752" i="55" s="1"/>
  <c r="AF751" i="55" s="1"/>
  <c r="AF750" i="55" s="1"/>
  <c r="AF749" i="55" s="1"/>
  <c r="AF748" i="55" s="1"/>
  <c r="AF747" i="55" s="1"/>
  <c r="AF746" i="55" s="1"/>
  <c r="AF745" i="55" s="1"/>
  <c r="AF744" i="55" s="1"/>
  <c r="AF743" i="55" s="1"/>
  <c r="AF742" i="55" s="1"/>
  <c r="AF741" i="55" s="1"/>
  <c r="AF740" i="55" s="1"/>
  <c r="AF739" i="55" s="1"/>
  <c r="AF738" i="55" s="1"/>
  <c r="AF737" i="55" s="1"/>
  <c r="AF736" i="55" s="1"/>
  <c r="AF735" i="55" s="1"/>
  <c r="AF734" i="55" s="1"/>
  <c r="AF733" i="55" s="1"/>
  <c r="AF732" i="55" s="1"/>
  <c r="AF731" i="55" s="1"/>
  <c r="AF730" i="55" s="1"/>
  <c r="AF729" i="55" s="1"/>
  <c r="AF728" i="55" s="1"/>
  <c r="AF727" i="55" s="1"/>
  <c r="AF726" i="55" s="1"/>
  <c r="AF725" i="55" s="1"/>
  <c r="AF724" i="55" s="1"/>
  <c r="AF723" i="55" s="1"/>
  <c r="AF722" i="55" s="1"/>
  <c r="AF721" i="55" s="1"/>
  <c r="AF720" i="55" s="1"/>
  <c r="AF719" i="55" s="1"/>
  <c r="AF718" i="55" s="1"/>
  <c r="AF717" i="55" s="1"/>
  <c r="AF716" i="55" s="1"/>
  <c r="AF715" i="55" s="1"/>
  <c r="AF714" i="55" s="1"/>
  <c r="AF713" i="55" s="1"/>
  <c r="AF712" i="55" s="1"/>
  <c r="AF711" i="55" s="1"/>
  <c r="AF710" i="55" s="1"/>
  <c r="AF709" i="55" s="1"/>
  <c r="AF708" i="55" s="1"/>
  <c r="AF707" i="55" s="1"/>
  <c r="AF706" i="55" s="1"/>
  <c r="AF705" i="55" s="1"/>
  <c r="AF704" i="55" s="1"/>
  <c r="AF703" i="55" s="1"/>
  <c r="AF702" i="55" s="1"/>
  <c r="AF701" i="55" s="1"/>
  <c r="AF700" i="55" s="1"/>
  <c r="AF699" i="55" s="1"/>
  <c r="AF698" i="55" s="1"/>
  <c r="AF697" i="55" s="1"/>
  <c r="AF696" i="55" s="1"/>
  <c r="AF695" i="55" s="1"/>
  <c r="AF694" i="55" s="1"/>
  <c r="AF693" i="55" s="1"/>
  <c r="AF692" i="55" s="1"/>
  <c r="AF691" i="55" s="1"/>
  <c r="AF690" i="55" s="1"/>
  <c r="AF689" i="55" s="1"/>
  <c r="AF688" i="55" s="1"/>
  <c r="AF687" i="55" s="1"/>
  <c r="AF686" i="55" s="1"/>
  <c r="AF685" i="55" s="1"/>
  <c r="AF684" i="55" s="1"/>
  <c r="AF683" i="55" s="1"/>
  <c r="AF682" i="55" s="1"/>
  <c r="AF681" i="55" s="1"/>
  <c r="AF680" i="55" s="1"/>
  <c r="AF679" i="55" s="1"/>
  <c r="AF678" i="55" s="1"/>
  <c r="AF677" i="55" s="1"/>
  <c r="AF676" i="55" s="1"/>
  <c r="AF675" i="55" s="1"/>
  <c r="AF674" i="55" s="1"/>
  <c r="AF673" i="55" s="1"/>
  <c r="AF672" i="55" s="1"/>
  <c r="AF671" i="55" s="1"/>
  <c r="AF670" i="55" s="1"/>
  <c r="AF669" i="55" s="1"/>
  <c r="AF668" i="55" s="1"/>
  <c r="AF667" i="55" s="1"/>
  <c r="AF666" i="55" s="1"/>
  <c r="AF665" i="55" s="1"/>
  <c r="AF664" i="55" s="1"/>
  <c r="AF663" i="55" s="1"/>
  <c r="AF662" i="55" s="1"/>
  <c r="AF661" i="55" s="1"/>
  <c r="AF660" i="55" s="1"/>
  <c r="AF659" i="55" s="1"/>
  <c r="AF658" i="55" s="1"/>
  <c r="AF657" i="55" s="1"/>
  <c r="AF656" i="55" s="1"/>
  <c r="AF655" i="55" s="1"/>
  <c r="AF654" i="55" s="1"/>
  <c r="AF653" i="55" s="1"/>
  <c r="AF652" i="55" s="1"/>
  <c r="AF651" i="55" s="1"/>
  <c r="AF650" i="55" s="1"/>
  <c r="AF649" i="55" s="1"/>
  <c r="AF648" i="55" s="1"/>
  <c r="AF647" i="55" s="1"/>
  <c r="AF646" i="55" s="1"/>
  <c r="AF645" i="55" s="1"/>
  <c r="AF644" i="55" s="1"/>
  <c r="AF643" i="55" s="1"/>
  <c r="AF642" i="55" s="1"/>
  <c r="AF641" i="55" s="1"/>
  <c r="AF640" i="55" s="1"/>
  <c r="AF639" i="55" s="1"/>
  <c r="AF638" i="55" s="1"/>
  <c r="AF637" i="55" s="1"/>
  <c r="AF636" i="55" s="1"/>
  <c r="AF635" i="55" s="1"/>
  <c r="AF634" i="55" s="1"/>
  <c r="AF633" i="55" s="1"/>
  <c r="AF632" i="55" s="1"/>
  <c r="AF631" i="55" s="1"/>
  <c r="AF630" i="55" s="1"/>
  <c r="AF629" i="55" s="1"/>
  <c r="AF628" i="55" s="1"/>
  <c r="AF627" i="55" s="1"/>
  <c r="AF626" i="55" s="1"/>
  <c r="AF625" i="55" s="1"/>
  <c r="AF624" i="55" s="1"/>
  <c r="AF623" i="55" s="1"/>
  <c r="AF622" i="55" s="1"/>
  <c r="AF621" i="55" s="1"/>
  <c r="AF620" i="55" s="1"/>
  <c r="AF619" i="55" s="1"/>
  <c r="AF618" i="55" s="1"/>
  <c r="AF617" i="55" s="1"/>
  <c r="AF616" i="55" s="1"/>
  <c r="AF615" i="55" s="1"/>
  <c r="AF614" i="55" s="1"/>
  <c r="AF613" i="55" s="1"/>
  <c r="AF612" i="55" s="1"/>
  <c r="AF611" i="55" s="1"/>
  <c r="AF610" i="55" s="1"/>
  <c r="AF609" i="55" s="1"/>
  <c r="AF608" i="55" s="1"/>
  <c r="AF607" i="55" s="1"/>
  <c r="AF606" i="55" s="1"/>
  <c r="AF605" i="55" s="1"/>
  <c r="AF604" i="55" s="1"/>
  <c r="AF603" i="55" s="1"/>
  <c r="AF602" i="55" s="1"/>
  <c r="AF601" i="55" s="1"/>
  <c r="AF600" i="55" s="1"/>
  <c r="AF599" i="55" s="1"/>
  <c r="AF598" i="55" s="1"/>
  <c r="AF597" i="55" s="1"/>
  <c r="AF596" i="55" s="1"/>
  <c r="AF595" i="55" s="1"/>
  <c r="AF594" i="55" s="1"/>
  <c r="AF593" i="55" s="1"/>
  <c r="AF592" i="55" s="1"/>
  <c r="AF591" i="55" s="1"/>
  <c r="AF590" i="55" s="1"/>
  <c r="AF589" i="55" s="1"/>
  <c r="AF588" i="55" s="1"/>
  <c r="AF587" i="55" s="1"/>
  <c r="AF586" i="55" s="1"/>
  <c r="AF585" i="55" s="1"/>
  <c r="AF584" i="55" s="1"/>
  <c r="AF583" i="55" s="1"/>
  <c r="AF582" i="55" s="1"/>
  <c r="AF581" i="55" s="1"/>
  <c r="AF580" i="55" s="1"/>
  <c r="AF579" i="55" s="1"/>
  <c r="AF578" i="55" s="1"/>
  <c r="AF577" i="55" s="1"/>
  <c r="AF576" i="55" s="1"/>
  <c r="AF575" i="55" s="1"/>
  <c r="AF574" i="55" s="1"/>
  <c r="AF573" i="55" s="1"/>
  <c r="AF572" i="55" s="1"/>
  <c r="AF571" i="55" s="1"/>
  <c r="AF570" i="55" s="1"/>
  <c r="AF569" i="55" s="1"/>
  <c r="AF568" i="55" s="1"/>
  <c r="AF567" i="55" s="1"/>
  <c r="AF566" i="55" s="1"/>
  <c r="AF565" i="55" s="1"/>
  <c r="AF564" i="55" s="1"/>
  <c r="AF563" i="55" s="1"/>
  <c r="AF562" i="55" s="1"/>
  <c r="AF561" i="55" s="1"/>
  <c r="AF560" i="55" s="1"/>
  <c r="AF559" i="55" s="1"/>
  <c r="AF558" i="55" s="1"/>
  <c r="AF557" i="55" s="1"/>
  <c r="AF556" i="55" s="1"/>
  <c r="AF555" i="55" s="1"/>
  <c r="AF554" i="55" s="1"/>
  <c r="AF553" i="55" s="1"/>
  <c r="AF552" i="55" s="1"/>
  <c r="AF551" i="55" s="1"/>
  <c r="AF550" i="55" s="1"/>
  <c r="AF549" i="55" s="1"/>
  <c r="AF548" i="55" s="1"/>
  <c r="AF547" i="55" s="1"/>
  <c r="AF546" i="55" s="1"/>
  <c r="AF545" i="55" s="1"/>
  <c r="AF544" i="55" s="1"/>
  <c r="AF543" i="55" s="1"/>
  <c r="AF542" i="55" s="1"/>
  <c r="AF541" i="55" s="1"/>
  <c r="AF540" i="55" s="1"/>
  <c r="AF539" i="55" s="1"/>
  <c r="AF538" i="55" s="1"/>
  <c r="AF537" i="55" s="1"/>
  <c r="AF536" i="55" s="1"/>
  <c r="AF535" i="55" s="1"/>
  <c r="AF534" i="55" s="1"/>
  <c r="AF533" i="55" s="1"/>
  <c r="AF532" i="55" s="1"/>
  <c r="AF531" i="55" s="1"/>
  <c r="AF530" i="55" s="1"/>
  <c r="AF529" i="55" s="1"/>
  <c r="AF528" i="55" s="1"/>
  <c r="AF527" i="55" s="1"/>
  <c r="AF526" i="55" s="1"/>
  <c r="AF525" i="55" s="1"/>
  <c r="AF524" i="55" s="1"/>
  <c r="AF523" i="55" s="1"/>
  <c r="AF522" i="55" s="1"/>
  <c r="AF521" i="55" s="1"/>
  <c r="AF520" i="55" s="1"/>
  <c r="AF519" i="55" s="1"/>
  <c r="AF518" i="55" s="1"/>
  <c r="AF517" i="55" s="1"/>
  <c r="AF516" i="55" s="1"/>
  <c r="AF515" i="55" s="1"/>
  <c r="AF514" i="55" s="1"/>
  <c r="AF513" i="55" s="1"/>
  <c r="AF512" i="55" s="1"/>
  <c r="AF511" i="55" s="1"/>
  <c r="AF510" i="55" s="1"/>
  <c r="AF509" i="55" s="1"/>
  <c r="AF508" i="55" s="1"/>
  <c r="AF507" i="55" s="1"/>
  <c r="AF506" i="55" s="1"/>
  <c r="AF505" i="55" s="1"/>
  <c r="AF504" i="55" s="1"/>
  <c r="AF503" i="55" s="1"/>
  <c r="AF502" i="55" s="1"/>
  <c r="AF501" i="55" s="1"/>
  <c r="AF500" i="55" s="1"/>
  <c r="AF499" i="55" s="1"/>
  <c r="AF498" i="55" s="1"/>
  <c r="AF497" i="55" s="1"/>
  <c r="AF496" i="55" s="1"/>
  <c r="AF495" i="55" s="1"/>
  <c r="AF494" i="55" s="1"/>
  <c r="AF493" i="55" s="1"/>
  <c r="AF492" i="55" s="1"/>
  <c r="AF491" i="55" s="1"/>
  <c r="AF490" i="55" s="1"/>
  <c r="AF489" i="55" s="1"/>
  <c r="AF488" i="55" s="1"/>
  <c r="AF487" i="55" s="1"/>
  <c r="AF486" i="55" s="1"/>
  <c r="AF485" i="55" s="1"/>
  <c r="AF484" i="55" s="1"/>
  <c r="AF483" i="55" s="1"/>
  <c r="AF482" i="55" s="1"/>
  <c r="AF481" i="55" s="1"/>
  <c r="AF480" i="55" s="1"/>
  <c r="AF479" i="55" s="1"/>
  <c r="AF478" i="55" s="1"/>
  <c r="AF477" i="55" s="1"/>
  <c r="AF476" i="55" s="1"/>
  <c r="AF475" i="55" s="1"/>
  <c r="AF474" i="55" s="1"/>
  <c r="AF473" i="55" s="1"/>
  <c r="AF472" i="55" s="1"/>
  <c r="AF471" i="55" s="1"/>
  <c r="AF470" i="55" s="1"/>
  <c r="AF469" i="55" s="1"/>
  <c r="AF468" i="55" s="1"/>
  <c r="AF467" i="55" s="1"/>
  <c r="AF466" i="55" s="1"/>
  <c r="AF465" i="55" s="1"/>
  <c r="AF464" i="55" s="1"/>
  <c r="AF463" i="55" s="1"/>
  <c r="AF462" i="55" s="1"/>
  <c r="AF461" i="55" s="1"/>
  <c r="AF460" i="55" s="1"/>
  <c r="AF459" i="55" s="1"/>
  <c r="AF458" i="55" s="1"/>
  <c r="AF457" i="55" s="1"/>
  <c r="AF456" i="55" s="1"/>
  <c r="AF455" i="55" s="1"/>
  <c r="AF454" i="55" s="1"/>
  <c r="AF453" i="55" s="1"/>
  <c r="AF452" i="55" s="1"/>
  <c r="AF451" i="55" s="1"/>
  <c r="AF450" i="55" s="1"/>
  <c r="AF449" i="55" s="1"/>
  <c r="AF448" i="55" s="1"/>
  <c r="AF447" i="55" s="1"/>
  <c r="AF446" i="55" s="1"/>
  <c r="AF445" i="55" s="1"/>
  <c r="AF444" i="55" s="1"/>
  <c r="AF443" i="55" s="1"/>
  <c r="AF442" i="55" s="1"/>
  <c r="AF441" i="55" s="1"/>
  <c r="AF440" i="55" s="1"/>
  <c r="AF439" i="55" s="1"/>
  <c r="AF438" i="55" s="1"/>
  <c r="AF437" i="55" s="1"/>
  <c r="AF436" i="55" s="1"/>
  <c r="AF435" i="55" s="1"/>
  <c r="AF434" i="55" s="1"/>
  <c r="AF433" i="55" s="1"/>
  <c r="AF432" i="55" s="1"/>
  <c r="AF431" i="55" s="1"/>
  <c r="AF430" i="55" s="1"/>
  <c r="AF429" i="55" s="1"/>
  <c r="AF428" i="55" s="1"/>
  <c r="AF427" i="55" s="1"/>
  <c r="AF426" i="55" s="1"/>
  <c r="AF425" i="55" s="1"/>
  <c r="AF424" i="55" s="1"/>
  <c r="AF423" i="55" s="1"/>
  <c r="AF422" i="55" s="1"/>
  <c r="AF421" i="55" s="1"/>
  <c r="AF420" i="55" s="1"/>
  <c r="AF419" i="55" s="1"/>
  <c r="AF418" i="55" s="1"/>
  <c r="AF417" i="55" s="1"/>
  <c r="AF416" i="55" s="1"/>
  <c r="AF415" i="55" s="1"/>
  <c r="AF414" i="55" s="1"/>
  <c r="AF413" i="55" s="1"/>
  <c r="AF412" i="55" s="1"/>
  <c r="AF411" i="55" s="1"/>
  <c r="AF410" i="55" s="1"/>
  <c r="AF409" i="55" s="1"/>
  <c r="AF408" i="55" s="1"/>
  <c r="AF407" i="55" s="1"/>
  <c r="AF406" i="55" s="1"/>
  <c r="AF405" i="55" s="1"/>
  <c r="AF404" i="55" s="1"/>
  <c r="AF403" i="55" s="1"/>
  <c r="AF402" i="55" s="1"/>
  <c r="AF401" i="55" s="1"/>
  <c r="AF400" i="55" s="1"/>
  <c r="AF399" i="55" s="1"/>
  <c r="AF398" i="55" s="1"/>
  <c r="AF397" i="55" s="1"/>
  <c r="AF396" i="55" s="1"/>
  <c r="AF395" i="55" s="1"/>
  <c r="AF394" i="55" s="1"/>
  <c r="AF393" i="55" s="1"/>
  <c r="AF392" i="55" s="1"/>
  <c r="AF391" i="55" s="1"/>
  <c r="AF390" i="55" s="1"/>
  <c r="AF389" i="55" s="1"/>
  <c r="AF388" i="55" s="1"/>
  <c r="AF387" i="55" s="1"/>
  <c r="AF386" i="55" s="1"/>
  <c r="AF385" i="55" s="1"/>
  <c r="AF384" i="55" s="1"/>
  <c r="AF383" i="55" s="1"/>
  <c r="AF382" i="55" s="1"/>
  <c r="AF381" i="55" s="1"/>
  <c r="AF380" i="55" s="1"/>
  <c r="AF379" i="55" s="1"/>
  <c r="AF378" i="55" s="1"/>
  <c r="AF377" i="55" s="1"/>
  <c r="AF376" i="55" s="1"/>
  <c r="AF375" i="55" s="1"/>
  <c r="AF374" i="55" s="1"/>
  <c r="AF373" i="55" s="1"/>
  <c r="AF372" i="55" s="1"/>
  <c r="AF371" i="55" s="1"/>
  <c r="AF370" i="55" s="1"/>
  <c r="AF369" i="55" s="1"/>
  <c r="AF368" i="55" s="1"/>
  <c r="AF367" i="55" s="1"/>
  <c r="AF366" i="55" s="1"/>
  <c r="AF365" i="55" s="1"/>
  <c r="AF364" i="55" s="1"/>
  <c r="AF363" i="55" s="1"/>
  <c r="AF362" i="55" s="1"/>
  <c r="AF361" i="55" s="1"/>
  <c r="AF360" i="55" s="1"/>
  <c r="AF359" i="55" s="1"/>
  <c r="AF358" i="55" s="1"/>
  <c r="AF357" i="55" s="1"/>
  <c r="AF356" i="55" s="1"/>
  <c r="AF355" i="55" s="1"/>
  <c r="AF354" i="55" s="1"/>
  <c r="AF353" i="55" s="1"/>
  <c r="AF352" i="55" s="1"/>
  <c r="AF351" i="55" s="1"/>
  <c r="AF350" i="55" s="1"/>
  <c r="AF349" i="55" s="1"/>
  <c r="AF348" i="55" s="1"/>
  <c r="AF347" i="55" s="1"/>
  <c r="AF346" i="55" s="1"/>
  <c r="AF345" i="55" s="1"/>
  <c r="AF344" i="55" s="1"/>
  <c r="AF343" i="55" s="1"/>
  <c r="AF342" i="55" s="1"/>
  <c r="AF341" i="55" s="1"/>
  <c r="AF340" i="55" s="1"/>
  <c r="AF339" i="55" s="1"/>
  <c r="AF338" i="55" s="1"/>
  <c r="AF337" i="55" s="1"/>
  <c r="AF336" i="55" s="1"/>
  <c r="AF335" i="55" s="1"/>
  <c r="AF334" i="55" s="1"/>
  <c r="AF333" i="55" s="1"/>
  <c r="AF332" i="55" s="1"/>
  <c r="AF331" i="55" s="1"/>
  <c r="AF330" i="55" s="1"/>
  <c r="AF329" i="55" s="1"/>
  <c r="AF328" i="55" s="1"/>
  <c r="AF327" i="55" s="1"/>
  <c r="AF326" i="55" s="1"/>
  <c r="AF325" i="55" s="1"/>
  <c r="AF324" i="55" s="1"/>
  <c r="AF323" i="55" s="1"/>
  <c r="AF322" i="55" s="1"/>
  <c r="AF321" i="55" s="1"/>
  <c r="AF320" i="55" s="1"/>
  <c r="AF319" i="55" s="1"/>
  <c r="AF318" i="55" s="1"/>
  <c r="AF317" i="55" s="1"/>
  <c r="AF316" i="55" s="1"/>
  <c r="AF315" i="55" s="1"/>
  <c r="AF314" i="55" s="1"/>
  <c r="AF313" i="55" s="1"/>
  <c r="AF312" i="55" s="1"/>
  <c r="AF311" i="55" s="1"/>
  <c r="AF310" i="55" s="1"/>
  <c r="AF309" i="55" s="1"/>
  <c r="AF308" i="55" s="1"/>
  <c r="AF307" i="55" s="1"/>
  <c r="AF306" i="55" s="1"/>
  <c r="AF305" i="55" s="1"/>
  <c r="AF304" i="55" s="1"/>
  <c r="AF303" i="55" s="1"/>
  <c r="AF302" i="55" s="1"/>
  <c r="AF301" i="55" s="1"/>
  <c r="AF300" i="55" s="1"/>
  <c r="AF299" i="55" s="1"/>
  <c r="AF298" i="55" s="1"/>
  <c r="AF297" i="55" s="1"/>
  <c r="AF296" i="55" s="1"/>
  <c r="AF295" i="55" s="1"/>
  <c r="AF294" i="55" s="1"/>
  <c r="AF293" i="55" s="1"/>
  <c r="AF292" i="55" s="1"/>
  <c r="AF291" i="55" s="1"/>
  <c r="AF290" i="55" s="1"/>
  <c r="AF289" i="55" s="1"/>
  <c r="AF288" i="55" s="1"/>
  <c r="AF287" i="55" s="1"/>
  <c r="AF286" i="55" s="1"/>
  <c r="AF285" i="55" s="1"/>
  <c r="AF284" i="55" s="1"/>
  <c r="AF283" i="55" s="1"/>
  <c r="AF282" i="55" s="1"/>
  <c r="AF281" i="55" s="1"/>
  <c r="AF280" i="55" s="1"/>
  <c r="AF279" i="55" s="1"/>
  <c r="AF278" i="55" s="1"/>
  <c r="AF277" i="55" s="1"/>
  <c r="AF276" i="55" s="1"/>
  <c r="AF275" i="55" s="1"/>
  <c r="AF274" i="55" s="1"/>
  <c r="AF273" i="55" s="1"/>
  <c r="AF272" i="55" s="1"/>
  <c r="AF271" i="55" s="1"/>
  <c r="AF270" i="55" s="1"/>
  <c r="AF269" i="55" s="1"/>
  <c r="AF268" i="55" s="1"/>
  <c r="AF267" i="55" s="1"/>
  <c r="AF266" i="55" s="1"/>
  <c r="AF265" i="55" s="1"/>
  <c r="AF264" i="55" s="1"/>
  <c r="AF263" i="55" s="1"/>
  <c r="AF262" i="55" s="1"/>
  <c r="AF261" i="55" s="1"/>
  <c r="AF260" i="55" s="1"/>
  <c r="AF259" i="55" s="1"/>
  <c r="AF258" i="55" s="1"/>
  <c r="AF257" i="55" s="1"/>
  <c r="AF256" i="55" s="1"/>
  <c r="AF255" i="55" s="1"/>
  <c r="AF254" i="55" s="1"/>
  <c r="AF253" i="55" s="1"/>
  <c r="AF252" i="55" s="1"/>
  <c r="AF251" i="55" s="1"/>
  <c r="AF250" i="55" s="1"/>
  <c r="AF249" i="55" s="1"/>
  <c r="AF248" i="55" s="1"/>
  <c r="AF247" i="55" s="1"/>
  <c r="AF246" i="55" s="1"/>
  <c r="AF245" i="55" s="1"/>
  <c r="AF244" i="55" s="1"/>
  <c r="AF243" i="55" s="1"/>
  <c r="AF242" i="55" s="1"/>
  <c r="AF241" i="55" s="1"/>
  <c r="AF240" i="55" s="1"/>
  <c r="AF239" i="55" s="1"/>
  <c r="AF238" i="55" s="1"/>
  <c r="AF237" i="55" s="1"/>
  <c r="AF236" i="55" s="1"/>
  <c r="AF235" i="55" s="1"/>
  <c r="AF234" i="55" s="1"/>
  <c r="AF233" i="55" s="1"/>
  <c r="AF232" i="55" s="1"/>
  <c r="AF231" i="55" s="1"/>
  <c r="AF230" i="55" s="1"/>
  <c r="AF229" i="55" s="1"/>
  <c r="AF228" i="55" s="1"/>
  <c r="AF227" i="55" s="1"/>
  <c r="AF226" i="55" s="1"/>
  <c r="AF225" i="55" s="1"/>
  <c r="AF224" i="55" s="1"/>
  <c r="AF223" i="55" s="1"/>
  <c r="AF222" i="55" s="1"/>
  <c r="AF221" i="55" s="1"/>
  <c r="AF220" i="55" s="1"/>
  <c r="AF219" i="55" s="1"/>
  <c r="AF218" i="55" s="1"/>
  <c r="AF217" i="55" s="1"/>
  <c r="AF216" i="55" s="1"/>
  <c r="AF215" i="55" s="1"/>
  <c r="AF214" i="55" s="1"/>
  <c r="AF213" i="55" s="1"/>
  <c r="AF212" i="55" s="1"/>
  <c r="AF211" i="55" s="1"/>
  <c r="AF210" i="55" s="1"/>
  <c r="AF209" i="55" s="1"/>
  <c r="AF208" i="55" s="1"/>
  <c r="AF207" i="55" s="1"/>
  <c r="AF206" i="55" s="1"/>
  <c r="AF205" i="55" s="1"/>
  <c r="AF204" i="55" s="1"/>
  <c r="AF203" i="55" s="1"/>
  <c r="AF202" i="55" s="1"/>
  <c r="AF201" i="55" s="1"/>
  <c r="AF200" i="55" s="1"/>
  <c r="AF199" i="55" s="1"/>
  <c r="AF198" i="55" s="1"/>
  <c r="AF197" i="55" s="1"/>
  <c r="AF196" i="55" s="1"/>
  <c r="AF195" i="55" s="1"/>
  <c r="AF194" i="55" s="1"/>
  <c r="AF193" i="55" s="1"/>
  <c r="AF192" i="55" s="1"/>
  <c r="AF191" i="55" s="1"/>
  <c r="AF190" i="55" s="1"/>
  <c r="AF189" i="55" s="1"/>
  <c r="AF188" i="55" s="1"/>
  <c r="AF187" i="55" s="1"/>
  <c r="AF186" i="55" s="1"/>
  <c r="AF185" i="55" s="1"/>
  <c r="AF184" i="55" s="1"/>
  <c r="AF183" i="55" s="1"/>
  <c r="AF182" i="55" s="1"/>
  <c r="AF181" i="55" s="1"/>
  <c r="AF180" i="55" s="1"/>
  <c r="AF179" i="55" s="1"/>
  <c r="AF178" i="55" s="1"/>
  <c r="AF177" i="55" s="1"/>
  <c r="AF176" i="55" s="1"/>
  <c r="AF175" i="55" s="1"/>
  <c r="AF174" i="55" s="1"/>
  <c r="AF173" i="55" s="1"/>
  <c r="AF172" i="55" s="1"/>
  <c r="AF171" i="55" s="1"/>
  <c r="AF170" i="55" s="1"/>
  <c r="AF169" i="55" s="1"/>
  <c r="AF168" i="55" s="1"/>
  <c r="AF167" i="55" s="1"/>
  <c r="AF166" i="55" s="1"/>
  <c r="AF165" i="55" s="1"/>
  <c r="AF164" i="55" s="1"/>
  <c r="AF163" i="55" s="1"/>
  <c r="AF162" i="55" s="1"/>
  <c r="AF161" i="55" s="1"/>
  <c r="AF160" i="55" s="1"/>
  <c r="AF159" i="55" s="1"/>
  <c r="AF158" i="55" s="1"/>
  <c r="AF157" i="55" s="1"/>
  <c r="AF156" i="55" s="1"/>
  <c r="AF155" i="55" s="1"/>
  <c r="AF154" i="55" s="1"/>
  <c r="AF153" i="55" s="1"/>
  <c r="AF152" i="55" s="1"/>
  <c r="AF151" i="55" s="1"/>
  <c r="AF150" i="55" s="1"/>
  <c r="AF149" i="55" s="1"/>
  <c r="AF148" i="55" s="1"/>
  <c r="AF147" i="55" s="1"/>
  <c r="AF146" i="55" s="1"/>
  <c r="AF145" i="55" s="1"/>
  <c r="AF144" i="55" s="1"/>
  <c r="AF143" i="55" s="1"/>
  <c r="AF142" i="55" s="1"/>
  <c r="AF141" i="55" s="1"/>
  <c r="AF140" i="55" s="1"/>
  <c r="AF139" i="55" s="1"/>
  <c r="AF138" i="55" s="1"/>
  <c r="AF137" i="55" s="1"/>
  <c r="AF136" i="55" s="1"/>
  <c r="AF135" i="55" s="1"/>
  <c r="AF134" i="55" s="1"/>
  <c r="AF133" i="55" s="1"/>
  <c r="AF132" i="55" s="1"/>
  <c r="AF131" i="55" s="1"/>
  <c r="AF130" i="55" s="1"/>
  <c r="AF129" i="55" s="1"/>
  <c r="AF128" i="55" s="1"/>
  <c r="AF127" i="55" s="1"/>
  <c r="AF126" i="55" s="1"/>
  <c r="AF125" i="55" s="1"/>
  <c r="AF124" i="55" s="1"/>
  <c r="AF123" i="55" s="1"/>
  <c r="AF122" i="55" s="1"/>
  <c r="AF121" i="55" s="1"/>
  <c r="AF120" i="55" s="1"/>
  <c r="AF119" i="55" s="1"/>
  <c r="AF118" i="55" s="1"/>
  <c r="AF117" i="55" s="1"/>
  <c r="AF116" i="55" s="1"/>
  <c r="AF115" i="55" s="1"/>
  <c r="AF114" i="55" s="1"/>
  <c r="AF113" i="55" s="1"/>
  <c r="AF112" i="55" s="1"/>
  <c r="AF111" i="55" s="1"/>
  <c r="AF110" i="55" s="1"/>
  <c r="AF109" i="55" s="1"/>
  <c r="AF108" i="55" s="1"/>
  <c r="AF107" i="55" s="1"/>
  <c r="AF106" i="55" s="1"/>
  <c r="AF105" i="55" s="1"/>
  <c r="AF104" i="55" s="1"/>
  <c r="AF103" i="55" s="1"/>
  <c r="AF102" i="55" s="1"/>
  <c r="AF101" i="55" s="1"/>
  <c r="AF100" i="55" s="1"/>
  <c r="AF99" i="55" s="1"/>
  <c r="AF98" i="55" s="1"/>
  <c r="AF97" i="55" s="1"/>
  <c r="AF96" i="55" s="1"/>
  <c r="AF95" i="55" s="1"/>
  <c r="AF94" i="55" s="1"/>
  <c r="AF93" i="55" s="1"/>
  <c r="AF92" i="55" s="1"/>
  <c r="AF91" i="55" s="1"/>
  <c r="AF90" i="55" s="1"/>
  <c r="AF89" i="55" s="1"/>
  <c r="AF88" i="55" s="1"/>
  <c r="AF87" i="55" s="1"/>
  <c r="AF86" i="55" s="1"/>
  <c r="AF85" i="55" s="1"/>
  <c r="AF84" i="55" s="1"/>
  <c r="AF83" i="55" s="1"/>
  <c r="AF82" i="55" s="1"/>
  <c r="AF81" i="55" s="1"/>
  <c r="AF80" i="55" s="1"/>
  <c r="AF79" i="55" s="1"/>
  <c r="AF78" i="55" s="1"/>
  <c r="AF77" i="55" s="1"/>
  <c r="AF76" i="55" s="1"/>
  <c r="AF75" i="55" s="1"/>
  <c r="AF74" i="55" s="1"/>
  <c r="AF73" i="55" s="1"/>
  <c r="AF72" i="55" s="1"/>
  <c r="AF71" i="55" s="1"/>
  <c r="AF70" i="55" s="1"/>
  <c r="AF69" i="55" s="1"/>
  <c r="AF68" i="55" s="1"/>
  <c r="AF67" i="55" s="1"/>
  <c r="AF66" i="55" s="1"/>
  <c r="AF65" i="55" s="1"/>
  <c r="AF64" i="55" s="1"/>
  <c r="AF63" i="55" s="1"/>
  <c r="AF62" i="55" s="1"/>
  <c r="AF61" i="55" s="1"/>
  <c r="AF60" i="55" s="1"/>
  <c r="AF59" i="55" s="1"/>
  <c r="AF58" i="55" s="1"/>
  <c r="AF57" i="55" s="1"/>
  <c r="AF56" i="55" s="1"/>
  <c r="AF55" i="55" s="1"/>
  <c r="AF54" i="55" s="1"/>
  <c r="AF53" i="55" s="1"/>
  <c r="AF52" i="55" s="1"/>
  <c r="AF51" i="55" s="1"/>
  <c r="AF50" i="55" s="1"/>
  <c r="AF49" i="55" s="1"/>
  <c r="AF48" i="55" s="1"/>
  <c r="AF47" i="55" s="1"/>
  <c r="AF46" i="55" s="1"/>
  <c r="AF45" i="55" s="1"/>
  <c r="AF44" i="55" s="1"/>
  <c r="AF43" i="55" s="1"/>
  <c r="AF42" i="55" s="1"/>
  <c r="AF41" i="55" s="1"/>
  <c r="AF40" i="55" s="1"/>
  <c r="AF39" i="55" s="1"/>
  <c r="AF38" i="55" s="1"/>
  <c r="AF37" i="55" s="1"/>
  <c r="AF36" i="55" s="1"/>
  <c r="AF35" i="55" s="1"/>
  <c r="AF34" i="55" s="1"/>
  <c r="AF33" i="55" s="1"/>
  <c r="AF32" i="55" s="1"/>
  <c r="AF31" i="55" s="1"/>
  <c r="AF30" i="55" s="1"/>
  <c r="AF29" i="55" s="1"/>
  <c r="AF28" i="55" s="1"/>
  <c r="AF27" i="55" s="1"/>
  <c r="AF26" i="55" s="1"/>
  <c r="AF25" i="55" s="1"/>
  <c r="AF24" i="55" s="1"/>
  <c r="AF23" i="55" s="1"/>
  <c r="AF22" i="55" s="1"/>
  <c r="AF21" i="55" s="1"/>
  <c r="AF20" i="55" s="1"/>
  <c r="AF19" i="55" s="1"/>
  <c r="AF18" i="55" s="1"/>
  <c r="AF17" i="55" s="1"/>
  <c r="AF16" i="55" s="1"/>
  <c r="AF15" i="55" s="1"/>
  <c r="AF14" i="55" s="1"/>
  <c r="AF13" i="55" s="1"/>
  <c r="AF12" i="55" s="1"/>
  <c r="AF11" i="55" s="1"/>
  <c r="AF10" i="55" s="1"/>
  <c r="AF9" i="55" s="1"/>
  <c r="AF8" i="55" s="1"/>
  <c r="AF7" i="55" s="1"/>
  <c r="AF6" i="55" s="1"/>
  <c r="AF5" i="55" s="1"/>
  <c r="AD916" i="55"/>
  <c r="AD915" i="55" s="1"/>
  <c r="AD914" i="55" s="1"/>
  <c r="AD913" i="55" s="1"/>
  <c r="AD912" i="55" s="1"/>
  <c r="AD911" i="55" s="1"/>
  <c r="AD910" i="55" s="1"/>
  <c r="AD909" i="55" s="1"/>
  <c r="AD908" i="55" s="1"/>
  <c r="AD907" i="55" s="1"/>
  <c r="AD906" i="55" s="1"/>
  <c r="AD905" i="55" s="1"/>
  <c r="AD904" i="55" s="1"/>
  <c r="AD903" i="55" s="1"/>
  <c r="AD902" i="55" s="1"/>
  <c r="AD901" i="55" s="1"/>
  <c r="AD900" i="55" s="1"/>
  <c r="AD899" i="55" s="1"/>
  <c r="AD898" i="55" s="1"/>
  <c r="AD897" i="55" s="1"/>
  <c r="AD896" i="55" s="1"/>
  <c r="AD895" i="55" s="1"/>
  <c r="AD894" i="55" s="1"/>
  <c r="AD893" i="55" s="1"/>
  <c r="AD892" i="55" s="1"/>
  <c r="AD891" i="55" s="1"/>
  <c r="AD890" i="55" s="1"/>
  <c r="AD889" i="55" s="1"/>
  <c r="AD888" i="55" s="1"/>
  <c r="AD887" i="55" s="1"/>
  <c r="AD886" i="55" s="1"/>
  <c r="AD885" i="55" s="1"/>
  <c r="AD884" i="55" s="1"/>
  <c r="AD883" i="55" s="1"/>
  <c r="AD882" i="55" s="1"/>
  <c r="AD881" i="55" s="1"/>
  <c r="AD880" i="55" s="1"/>
  <c r="AD879" i="55" s="1"/>
  <c r="AD878" i="55" s="1"/>
  <c r="AD877" i="55" s="1"/>
  <c r="AD876" i="55" s="1"/>
  <c r="AD875" i="55" s="1"/>
  <c r="AD874" i="55" s="1"/>
  <c r="AD873" i="55" s="1"/>
  <c r="AD872" i="55" s="1"/>
  <c r="AD871" i="55" s="1"/>
  <c r="AD870" i="55" s="1"/>
  <c r="AD869" i="55" s="1"/>
  <c r="AD868" i="55" s="1"/>
  <c r="AD867" i="55" s="1"/>
  <c r="AD866" i="55" s="1"/>
  <c r="AD865" i="55" s="1"/>
  <c r="AD864" i="55" s="1"/>
  <c r="AD863" i="55" s="1"/>
  <c r="AD862" i="55" s="1"/>
  <c r="AD861" i="55" s="1"/>
  <c r="AD860" i="55" s="1"/>
  <c r="AD859" i="55" s="1"/>
  <c r="AD858" i="55" s="1"/>
  <c r="AD857" i="55" s="1"/>
  <c r="AD856" i="55" s="1"/>
  <c r="AD855" i="55" s="1"/>
  <c r="AD854" i="55" s="1"/>
  <c r="AD853" i="55" s="1"/>
  <c r="AD852" i="55" s="1"/>
  <c r="AD851" i="55" s="1"/>
  <c r="AD850" i="55" s="1"/>
  <c r="AD849" i="55" s="1"/>
  <c r="AD848" i="55" s="1"/>
  <c r="AD847" i="55" s="1"/>
  <c r="AD846" i="55" s="1"/>
  <c r="AD845" i="55" s="1"/>
  <c r="AD844" i="55" s="1"/>
  <c r="AD843" i="55" s="1"/>
  <c r="AD842" i="55" s="1"/>
  <c r="AD841" i="55" s="1"/>
  <c r="AD840" i="55" s="1"/>
  <c r="AD839" i="55" s="1"/>
  <c r="AD838" i="55" s="1"/>
  <c r="AD837" i="55" s="1"/>
  <c r="AD836" i="55" s="1"/>
  <c r="AD835" i="55" s="1"/>
  <c r="AD834" i="55" s="1"/>
  <c r="AD833" i="55" s="1"/>
  <c r="AD832" i="55" s="1"/>
  <c r="AD831" i="55" s="1"/>
  <c r="AD830" i="55" s="1"/>
  <c r="AD829" i="55" s="1"/>
  <c r="AD828" i="55" s="1"/>
  <c r="AD827" i="55" s="1"/>
  <c r="AD826" i="55" s="1"/>
  <c r="AD825" i="55" s="1"/>
  <c r="AD824" i="55" s="1"/>
  <c r="AD823" i="55" s="1"/>
  <c r="AD822" i="55" s="1"/>
  <c r="AD821" i="55" s="1"/>
  <c r="AD820" i="55" s="1"/>
  <c r="AD819" i="55" s="1"/>
  <c r="AD818" i="55" s="1"/>
  <c r="AD817" i="55" s="1"/>
  <c r="AD816" i="55" s="1"/>
  <c r="AD815" i="55" s="1"/>
  <c r="AD814" i="55" s="1"/>
  <c r="AD813" i="55" s="1"/>
  <c r="AD812" i="55" s="1"/>
  <c r="AD811" i="55" s="1"/>
  <c r="AD810" i="55" s="1"/>
  <c r="AD809" i="55" s="1"/>
  <c r="AD808" i="55" s="1"/>
  <c r="AD807" i="55" s="1"/>
  <c r="AD806" i="55" s="1"/>
  <c r="AD805" i="55" s="1"/>
  <c r="AD804" i="55" s="1"/>
  <c r="AD803" i="55" s="1"/>
  <c r="AD802" i="55" s="1"/>
  <c r="AD801" i="55" s="1"/>
  <c r="AD800" i="55" s="1"/>
  <c r="AD799" i="55" s="1"/>
  <c r="AD798" i="55" s="1"/>
  <c r="AD797" i="55" s="1"/>
  <c r="AD796" i="55" s="1"/>
  <c r="AD795" i="55" s="1"/>
  <c r="AD794" i="55" s="1"/>
  <c r="AD793" i="55" s="1"/>
  <c r="AD792" i="55" s="1"/>
  <c r="AD791" i="55" s="1"/>
  <c r="AD790" i="55" s="1"/>
  <c r="AD789" i="55" s="1"/>
  <c r="AD788" i="55" s="1"/>
  <c r="AD787" i="55" s="1"/>
  <c r="AD786" i="55" s="1"/>
  <c r="AD785" i="55" s="1"/>
  <c r="AD784" i="55" s="1"/>
  <c r="AD783" i="55" s="1"/>
  <c r="AD782" i="55" s="1"/>
  <c r="AD781" i="55" s="1"/>
  <c r="AD780" i="55" s="1"/>
  <c r="AD779" i="55" s="1"/>
  <c r="AD778" i="55" s="1"/>
  <c r="AD777" i="55" s="1"/>
  <c r="AD776" i="55" s="1"/>
  <c r="AD775" i="55" s="1"/>
  <c r="AD774" i="55" s="1"/>
  <c r="AD773" i="55" s="1"/>
  <c r="AD772" i="55" s="1"/>
  <c r="AD771" i="55" s="1"/>
  <c r="AD770" i="55" s="1"/>
  <c r="AD769" i="55" s="1"/>
  <c r="AD768" i="55" s="1"/>
  <c r="AD767" i="55" s="1"/>
  <c r="AD766" i="55" s="1"/>
  <c r="AD765" i="55" s="1"/>
  <c r="AD764" i="55" s="1"/>
  <c r="AD763" i="55" s="1"/>
  <c r="AD762" i="55" s="1"/>
  <c r="AD761" i="55" s="1"/>
  <c r="AD760" i="55" s="1"/>
  <c r="AD759" i="55" s="1"/>
  <c r="AD758" i="55" s="1"/>
  <c r="AD757" i="55" s="1"/>
  <c r="AD756" i="55" s="1"/>
  <c r="AD755" i="55" s="1"/>
  <c r="AD754" i="55" s="1"/>
  <c r="AD753" i="55" s="1"/>
  <c r="AD752" i="55" s="1"/>
  <c r="AD751" i="55" s="1"/>
  <c r="AD750" i="55" s="1"/>
  <c r="AD749" i="55" s="1"/>
  <c r="AD748" i="55" s="1"/>
  <c r="AD747" i="55" s="1"/>
  <c r="AD746" i="55" s="1"/>
  <c r="AD745" i="55" s="1"/>
  <c r="AD744" i="55" s="1"/>
  <c r="AD743" i="55" s="1"/>
  <c r="AD742" i="55" s="1"/>
  <c r="AD741" i="55" s="1"/>
  <c r="AD740" i="55" s="1"/>
  <c r="AD739" i="55" s="1"/>
  <c r="AD738" i="55" s="1"/>
  <c r="AD737" i="55" s="1"/>
  <c r="AD736" i="55" s="1"/>
  <c r="AD735" i="55" s="1"/>
  <c r="AD734" i="55" s="1"/>
  <c r="AD733" i="55" s="1"/>
  <c r="AD732" i="55" s="1"/>
  <c r="AD731" i="55" s="1"/>
  <c r="AD730" i="55" s="1"/>
  <c r="AD729" i="55" s="1"/>
  <c r="AD728" i="55" s="1"/>
  <c r="AD727" i="55" s="1"/>
  <c r="AD726" i="55" s="1"/>
  <c r="AD725" i="55" s="1"/>
  <c r="AD724" i="55" s="1"/>
  <c r="AD723" i="55" s="1"/>
  <c r="AD722" i="55" s="1"/>
  <c r="AD721" i="55" s="1"/>
  <c r="AD720" i="55" s="1"/>
  <c r="AD719" i="55" s="1"/>
  <c r="AD718" i="55" s="1"/>
  <c r="AD717" i="55" s="1"/>
  <c r="AD716" i="55" s="1"/>
  <c r="AD715" i="55" s="1"/>
  <c r="AD714" i="55" s="1"/>
  <c r="AD713" i="55" s="1"/>
  <c r="AD712" i="55" s="1"/>
  <c r="AD711" i="55" s="1"/>
  <c r="AD710" i="55" s="1"/>
  <c r="AD709" i="55" s="1"/>
  <c r="AD708" i="55" s="1"/>
  <c r="AD707" i="55" s="1"/>
  <c r="AD706" i="55" s="1"/>
  <c r="AD705" i="55" s="1"/>
  <c r="AD704" i="55" s="1"/>
  <c r="AD703" i="55" s="1"/>
  <c r="AD702" i="55" s="1"/>
  <c r="AD701" i="55" s="1"/>
  <c r="AD700" i="55" s="1"/>
  <c r="AD699" i="55" s="1"/>
  <c r="AD698" i="55" s="1"/>
  <c r="AD697" i="55" s="1"/>
  <c r="AD696" i="55" s="1"/>
  <c r="AD695" i="55" s="1"/>
  <c r="AD694" i="55" s="1"/>
  <c r="AD693" i="55" s="1"/>
  <c r="AD692" i="55" s="1"/>
  <c r="AD691" i="55" s="1"/>
  <c r="AD690" i="55" s="1"/>
  <c r="AD689" i="55" s="1"/>
  <c r="AD688" i="55" s="1"/>
  <c r="AD687" i="55" s="1"/>
  <c r="AD686" i="55" s="1"/>
  <c r="AD685" i="55" s="1"/>
  <c r="AD684" i="55" s="1"/>
  <c r="AD683" i="55" s="1"/>
  <c r="AD682" i="55" s="1"/>
  <c r="AD681" i="55" s="1"/>
  <c r="AD680" i="55" s="1"/>
  <c r="AD679" i="55" s="1"/>
  <c r="AD678" i="55" s="1"/>
  <c r="AD677" i="55" s="1"/>
  <c r="AD676" i="55" s="1"/>
  <c r="AD675" i="55" s="1"/>
  <c r="AD674" i="55" s="1"/>
  <c r="AD673" i="55" s="1"/>
  <c r="AD672" i="55" s="1"/>
  <c r="AD671" i="55" s="1"/>
  <c r="AD670" i="55" s="1"/>
  <c r="AD669" i="55" s="1"/>
  <c r="AD668" i="55" s="1"/>
  <c r="AD667" i="55" s="1"/>
  <c r="AD666" i="55" s="1"/>
  <c r="AD665" i="55" s="1"/>
  <c r="AD664" i="55" s="1"/>
  <c r="AD663" i="55" s="1"/>
  <c r="AD662" i="55" s="1"/>
  <c r="AD661" i="55" s="1"/>
  <c r="AD660" i="55" s="1"/>
  <c r="AD659" i="55" s="1"/>
  <c r="AD658" i="55" s="1"/>
  <c r="AD657" i="55" s="1"/>
  <c r="AD656" i="55" s="1"/>
  <c r="AD655" i="55" s="1"/>
  <c r="AD654" i="55" s="1"/>
  <c r="AD653" i="55" s="1"/>
  <c r="AD652" i="55" s="1"/>
  <c r="AD651" i="55" s="1"/>
  <c r="AD650" i="55" s="1"/>
  <c r="AD649" i="55" s="1"/>
  <c r="AD648" i="55" s="1"/>
  <c r="AD647" i="55" s="1"/>
  <c r="AD646" i="55" s="1"/>
  <c r="AD645" i="55" s="1"/>
  <c r="AD644" i="55" s="1"/>
  <c r="AD643" i="55" s="1"/>
  <c r="AD642" i="55" s="1"/>
  <c r="AD641" i="55" s="1"/>
  <c r="AD640" i="55" s="1"/>
  <c r="AD639" i="55" s="1"/>
  <c r="AD638" i="55" s="1"/>
  <c r="AD637" i="55" s="1"/>
  <c r="AD636" i="55" s="1"/>
  <c r="AD635" i="55" s="1"/>
  <c r="AD634" i="55" s="1"/>
  <c r="AD633" i="55" s="1"/>
  <c r="AD632" i="55" s="1"/>
  <c r="AD631" i="55" s="1"/>
  <c r="AD630" i="55" s="1"/>
  <c r="AD629" i="55" s="1"/>
  <c r="AD628" i="55" s="1"/>
  <c r="AD627" i="55" s="1"/>
  <c r="AD626" i="55" s="1"/>
  <c r="AD625" i="55" s="1"/>
  <c r="AD624" i="55" s="1"/>
  <c r="AD623" i="55" s="1"/>
  <c r="AD622" i="55" s="1"/>
  <c r="AD621" i="55" s="1"/>
  <c r="AD620" i="55" s="1"/>
  <c r="AD619" i="55" s="1"/>
  <c r="AD618" i="55" s="1"/>
  <c r="AD617" i="55" s="1"/>
  <c r="AD616" i="55" s="1"/>
  <c r="AD615" i="55" s="1"/>
  <c r="AD614" i="55" s="1"/>
  <c r="AD613" i="55" s="1"/>
  <c r="AD612" i="55" s="1"/>
  <c r="AD611" i="55" s="1"/>
  <c r="AD610" i="55" s="1"/>
  <c r="AD609" i="55" s="1"/>
  <c r="AD608" i="55" s="1"/>
  <c r="AD607" i="55" s="1"/>
  <c r="AD606" i="55" s="1"/>
  <c r="AD605" i="55" s="1"/>
  <c r="AD604" i="55" s="1"/>
  <c r="AD603" i="55" s="1"/>
  <c r="AD602" i="55" s="1"/>
  <c r="AD601" i="55" s="1"/>
  <c r="AD600" i="55" s="1"/>
  <c r="AD599" i="55" s="1"/>
  <c r="AD598" i="55" s="1"/>
  <c r="AD597" i="55" s="1"/>
  <c r="AD596" i="55" s="1"/>
  <c r="AD595" i="55" s="1"/>
  <c r="AD594" i="55" s="1"/>
  <c r="AD593" i="55" s="1"/>
  <c r="AD592" i="55" s="1"/>
  <c r="AD591" i="55" s="1"/>
  <c r="AD590" i="55" s="1"/>
  <c r="AD589" i="55" s="1"/>
  <c r="AD588" i="55" s="1"/>
  <c r="AD587" i="55" s="1"/>
  <c r="AD586" i="55" s="1"/>
  <c r="AD585" i="55" s="1"/>
  <c r="AD584" i="55" s="1"/>
  <c r="AD583" i="55" s="1"/>
  <c r="AD582" i="55" s="1"/>
  <c r="AD581" i="55" s="1"/>
  <c r="AD580" i="55" s="1"/>
  <c r="AD579" i="55" s="1"/>
  <c r="AD578" i="55" s="1"/>
  <c r="AD577" i="55" s="1"/>
  <c r="AD576" i="55" s="1"/>
  <c r="AD575" i="55" s="1"/>
  <c r="AD574" i="55" s="1"/>
  <c r="AD573" i="55" s="1"/>
  <c r="AD572" i="55" s="1"/>
  <c r="AD571" i="55" s="1"/>
  <c r="AD570" i="55" s="1"/>
  <c r="AD569" i="55" s="1"/>
  <c r="AD568" i="55" s="1"/>
  <c r="AD567" i="55" s="1"/>
  <c r="AD566" i="55" s="1"/>
  <c r="AD565" i="55" s="1"/>
  <c r="AD564" i="55" s="1"/>
  <c r="AD563" i="55" s="1"/>
  <c r="AD562" i="55" s="1"/>
  <c r="AD561" i="55" s="1"/>
  <c r="AD560" i="55" s="1"/>
  <c r="AD559" i="55" s="1"/>
  <c r="AD558" i="55" s="1"/>
  <c r="AD557" i="55" s="1"/>
  <c r="AD556" i="55" s="1"/>
  <c r="AD555" i="55" s="1"/>
  <c r="AD554" i="55" s="1"/>
  <c r="AD553" i="55" s="1"/>
  <c r="AD552" i="55" s="1"/>
  <c r="AD551" i="55" s="1"/>
  <c r="AD550" i="55" s="1"/>
  <c r="AD549" i="55" s="1"/>
  <c r="AD548" i="55" s="1"/>
  <c r="AD547" i="55" s="1"/>
  <c r="AD546" i="55" s="1"/>
  <c r="AD545" i="55" s="1"/>
  <c r="AD544" i="55" s="1"/>
  <c r="AD543" i="55" s="1"/>
  <c r="AD542" i="55" s="1"/>
  <c r="AD541" i="55" s="1"/>
  <c r="AD540" i="55" s="1"/>
  <c r="AD539" i="55" s="1"/>
  <c r="AD538" i="55" s="1"/>
  <c r="AD537" i="55" s="1"/>
  <c r="AD536" i="55" s="1"/>
  <c r="AD535" i="55" s="1"/>
  <c r="AD534" i="55" s="1"/>
  <c r="AD533" i="55" s="1"/>
  <c r="AD532" i="55" s="1"/>
  <c r="AD531" i="55" s="1"/>
  <c r="AD530" i="55" s="1"/>
  <c r="AD529" i="55" s="1"/>
  <c r="AD528" i="55" s="1"/>
  <c r="AD527" i="55" s="1"/>
  <c r="AD526" i="55" s="1"/>
  <c r="AD525" i="55" s="1"/>
  <c r="AD524" i="55" s="1"/>
  <c r="AD523" i="55" s="1"/>
  <c r="AD522" i="55" s="1"/>
  <c r="AD521" i="55" s="1"/>
  <c r="AD520" i="55" s="1"/>
  <c r="AD519" i="55" s="1"/>
  <c r="AD518" i="55" s="1"/>
  <c r="AD517" i="55" s="1"/>
  <c r="AD516" i="55" s="1"/>
  <c r="AD515" i="55" s="1"/>
  <c r="AD514" i="55" s="1"/>
  <c r="AD513" i="55" s="1"/>
  <c r="AD512" i="55" s="1"/>
  <c r="AD511" i="55" s="1"/>
  <c r="AD510" i="55" s="1"/>
  <c r="AD509" i="55" s="1"/>
  <c r="AD508" i="55" s="1"/>
  <c r="AD507" i="55" s="1"/>
  <c r="AD506" i="55" s="1"/>
  <c r="AD505" i="55" s="1"/>
  <c r="AD504" i="55" s="1"/>
  <c r="AD503" i="55" s="1"/>
  <c r="AD502" i="55" s="1"/>
  <c r="AD501" i="55" s="1"/>
  <c r="AD500" i="55" s="1"/>
  <c r="AD499" i="55" s="1"/>
  <c r="AD498" i="55" s="1"/>
  <c r="AD497" i="55" s="1"/>
  <c r="AD496" i="55" s="1"/>
  <c r="AD495" i="55" s="1"/>
  <c r="AD494" i="55" s="1"/>
  <c r="AD493" i="55" s="1"/>
  <c r="AD492" i="55" s="1"/>
  <c r="AD491" i="55" s="1"/>
  <c r="AD490" i="55" s="1"/>
  <c r="AD489" i="55" s="1"/>
  <c r="AD488" i="55" s="1"/>
  <c r="AD487" i="55" s="1"/>
  <c r="AD486" i="55" s="1"/>
  <c r="AD485" i="55" s="1"/>
  <c r="AD484" i="55" s="1"/>
  <c r="AD483" i="55" s="1"/>
  <c r="AD482" i="55" s="1"/>
  <c r="AD481" i="55" s="1"/>
  <c r="AD480" i="55" s="1"/>
  <c r="AD479" i="55" s="1"/>
  <c r="AD478" i="55" s="1"/>
  <c r="AD477" i="55" s="1"/>
  <c r="AD476" i="55" s="1"/>
  <c r="AD475" i="55" s="1"/>
  <c r="AD474" i="55" s="1"/>
  <c r="AD473" i="55" s="1"/>
  <c r="AD472" i="55" s="1"/>
  <c r="AD471" i="55" s="1"/>
  <c r="AD470" i="55" s="1"/>
  <c r="AD469" i="55" s="1"/>
  <c r="AD468" i="55" s="1"/>
  <c r="AD467" i="55" s="1"/>
  <c r="AD466" i="55" s="1"/>
  <c r="AD465" i="55" s="1"/>
  <c r="AD464" i="55" s="1"/>
  <c r="AD463" i="55" s="1"/>
  <c r="AD462" i="55" s="1"/>
  <c r="AD461" i="55" s="1"/>
  <c r="AD460" i="55" s="1"/>
  <c r="AD459" i="55" s="1"/>
  <c r="AD458" i="55" s="1"/>
  <c r="AD457" i="55" s="1"/>
  <c r="AD456" i="55" s="1"/>
  <c r="AD455" i="55" s="1"/>
  <c r="AD454" i="55" s="1"/>
  <c r="AD453" i="55" s="1"/>
  <c r="AD452" i="55" s="1"/>
  <c r="AD451" i="55" s="1"/>
  <c r="AD450" i="55" s="1"/>
  <c r="AD449" i="55" s="1"/>
  <c r="AD448" i="55" s="1"/>
  <c r="AD447" i="55" s="1"/>
  <c r="AD446" i="55" s="1"/>
  <c r="AD445" i="55" s="1"/>
  <c r="AD444" i="55" s="1"/>
  <c r="AD443" i="55" s="1"/>
  <c r="AD442" i="55" s="1"/>
  <c r="AD441" i="55" s="1"/>
  <c r="AD440" i="55" s="1"/>
  <c r="AD439" i="55" s="1"/>
  <c r="AD438" i="55" s="1"/>
  <c r="AD437" i="55" s="1"/>
  <c r="AD436" i="55" s="1"/>
  <c r="AD435" i="55" s="1"/>
  <c r="AD434" i="55" s="1"/>
  <c r="AD433" i="55" s="1"/>
  <c r="AD432" i="55" s="1"/>
  <c r="AD431" i="55" s="1"/>
  <c r="AD430" i="55" s="1"/>
  <c r="AD429" i="55" s="1"/>
  <c r="AD428" i="55" s="1"/>
  <c r="AD427" i="55" s="1"/>
  <c r="AD426" i="55" s="1"/>
  <c r="AD425" i="55" s="1"/>
  <c r="AD424" i="55" s="1"/>
  <c r="AD423" i="55" s="1"/>
  <c r="AD422" i="55" s="1"/>
  <c r="AD421" i="55" s="1"/>
  <c r="AD420" i="55" s="1"/>
  <c r="AD419" i="55" s="1"/>
  <c r="AD418" i="55" s="1"/>
  <c r="AD417" i="55" s="1"/>
  <c r="AD416" i="55" s="1"/>
  <c r="AD415" i="55" s="1"/>
  <c r="AD414" i="55" s="1"/>
  <c r="AD413" i="55" s="1"/>
  <c r="AD412" i="55" s="1"/>
  <c r="AD411" i="55" s="1"/>
  <c r="AD410" i="55" s="1"/>
  <c r="AD409" i="55" s="1"/>
  <c r="AD408" i="55" s="1"/>
  <c r="AD407" i="55" s="1"/>
  <c r="AD406" i="55" s="1"/>
  <c r="AD405" i="55" s="1"/>
  <c r="AD404" i="55" s="1"/>
  <c r="AD403" i="55" s="1"/>
  <c r="AD402" i="55" s="1"/>
  <c r="AD401" i="55" s="1"/>
  <c r="AD400" i="55" s="1"/>
  <c r="AD399" i="55" s="1"/>
  <c r="AD398" i="55" s="1"/>
  <c r="AD397" i="55" s="1"/>
  <c r="AD396" i="55" s="1"/>
  <c r="AD395" i="55" s="1"/>
  <c r="AD394" i="55" s="1"/>
  <c r="AD393" i="55" s="1"/>
  <c r="AD392" i="55" s="1"/>
  <c r="AD391" i="55" s="1"/>
  <c r="AD390" i="55" s="1"/>
  <c r="AD389" i="55" s="1"/>
  <c r="AD388" i="55" s="1"/>
  <c r="AD387" i="55" s="1"/>
  <c r="AD386" i="55" s="1"/>
  <c r="AD385" i="55" s="1"/>
  <c r="AD384" i="55" s="1"/>
  <c r="AD383" i="55" s="1"/>
  <c r="AD382" i="55" s="1"/>
  <c r="AD381" i="55" s="1"/>
  <c r="AD380" i="55" s="1"/>
  <c r="AD379" i="55" s="1"/>
  <c r="AD378" i="55" s="1"/>
  <c r="AD377" i="55" s="1"/>
  <c r="AD376" i="55" s="1"/>
  <c r="AD375" i="55" s="1"/>
  <c r="AD374" i="55" s="1"/>
  <c r="AD373" i="55" s="1"/>
  <c r="AD372" i="55" s="1"/>
  <c r="AD371" i="55" s="1"/>
  <c r="AD370" i="55" s="1"/>
  <c r="AD369" i="55" s="1"/>
  <c r="AD368" i="55" s="1"/>
  <c r="AD367" i="55" s="1"/>
  <c r="AD366" i="55" s="1"/>
  <c r="AD365" i="55" s="1"/>
  <c r="AD364" i="55" s="1"/>
  <c r="AD363" i="55" s="1"/>
  <c r="AD362" i="55" s="1"/>
  <c r="AD361" i="55" s="1"/>
  <c r="AD360" i="55" s="1"/>
  <c r="AD359" i="55" s="1"/>
  <c r="AD358" i="55" s="1"/>
  <c r="AD357" i="55" s="1"/>
  <c r="AD356" i="55" s="1"/>
  <c r="AD355" i="55" s="1"/>
  <c r="AD354" i="55" s="1"/>
  <c r="AD353" i="55" s="1"/>
  <c r="AD352" i="55" s="1"/>
  <c r="AD351" i="55" s="1"/>
  <c r="AD350" i="55" s="1"/>
  <c r="AD349" i="55" s="1"/>
  <c r="AD348" i="55" s="1"/>
  <c r="AD347" i="55" s="1"/>
  <c r="AD346" i="55" s="1"/>
  <c r="AD345" i="55" s="1"/>
  <c r="AD344" i="55" s="1"/>
  <c r="AD343" i="55" s="1"/>
  <c r="AD342" i="55" s="1"/>
  <c r="AD341" i="55" s="1"/>
  <c r="AD340" i="55" s="1"/>
  <c r="AD339" i="55" s="1"/>
  <c r="AD338" i="55" s="1"/>
  <c r="AD337" i="55" s="1"/>
  <c r="AD336" i="55" s="1"/>
  <c r="AD335" i="55" s="1"/>
  <c r="AD334" i="55" s="1"/>
  <c r="AD333" i="55" s="1"/>
  <c r="AD332" i="55" s="1"/>
  <c r="AD331" i="55" s="1"/>
  <c r="AD330" i="55" s="1"/>
  <c r="AD329" i="55" s="1"/>
  <c r="AD328" i="55" s="1"/>
  <c r="AD327" i="55" s="1"/>
  <c r="AD326" i="55" s="1"/>
  <c r="AD325" i="55" s="1"/>
  <c r="AD324" i="55" s="1"/>
  <c r="AD323" i="55" s="1"/>
  <c r="AD322" i="55" s="1"/>
  <c r="AD321" i="55" s="1"/>
  <c r="AD320" i="55" s="1"/>
  <c r="AD319" i="55" s="1"/>
  <c r="AD318" i="55" s="1"/>
  <c r="AD317" i="55" s="1"/>
  <c r="AD316" i="55" s="1"/>
  <c r="AD315" i="55" s="1"/>
  <c r="AD314" i="55" s="1"/>
  <c r="AD313" i="55" s="1"/>
  <c r="AD312" i="55" s="1"/>
  <c r="AD311" i="55" s="1"/>
  <c r="AD310" i="55" s="1"/>
  <c r="AD309" i="55" s="1"/>
  <c r="AD308" i="55" s="1"/>
  <c r="AD307" i="55" s="1"/>
  <c r="AD306" i="55" s="1"/>
  <c r="AD305" i="55" s="1"/>
  <c r="AD304" i="55" s="1"/>
  <c r="AD303" i="55" s="1"/>
  <c r="AD302" i="55" s="1"/>
  <c r="AD301" i="55" s="1"/>
  <c r="AD300" i="55" s="1"/>
  <c r="AD299" i="55" s="1"/>
  <c r="AD298" i="55" s="1"/>
  <c r="AD297" i="55" s="1"/>
  <c r="AD296" i="55" s="1"/>
  <c r="AD295" i="55" s="1"/>
  <c r="AD294" i="55" s="1"/>
  <c r="AD293" i="55" s="1"/>
  <c r="AD292" i="55" s="1"/>
  <c r="AD291" i="55" s="1"/>
  <c r="AD290" i="55" s="1"/>
  <c r="AD289" i="55" s="1"/>
  <c r="AD288" i="55" s="1"/>
  <c r="AD287" i="55" s="1"/>
  <c r="AD286" i="55" s="1"/>
  <c r="AD285" i="55" s="1"/>
  <c r="AD284" i="55" s="1"/>
  <c r="AD283" i="55" s="1"/>
  <c r="AD282" i="55" s="1"/>
  <c r="AD281" i="55" s="1"/>
  <c r="AD280" i="55" s="1"/>
  <c r="AD279" i="55" s="1"/>
  <c r="AD278" i="55" s="1"/>
  <c r="AD277" i="55" s="1"/>
  <c r="AD276" i="55" s="1"/>
  <c r="AD275" i="55" s="1"/>
  <c r="AD274" i="55" s="1"/>
  <c r="AD273" i="55" s="1"/>
  <c r="AD272" i="55" s="1"/>
  <c r="AD271" i="55" s="1"/>
  <c r="AD270" i="55" s="1"/>
  <c r="AD269" i="55" s="1"/>
  <c r="AD268" i="55" s="1"/>
  <c r="AD267" i="55" s="1"/>
  <c r="AD266" i="55" s="1"/>
  <c r="AD265" i="55" s="1"/>
  <c r="AD264" i="55" s="1"/>
  <c r="AD263" i="55" s="1"/>
  <c r="AD262" i="55" s="1"/>
  <c r="AD261" i="55" s="1"/>
  <c r="AD260" i="55" s="1"/>
  <c r="AD259" i="55" s="1"/>
  <c r="AD258" i="55" s="1"/>
  <c r="AD257" i="55" s="1"/>
  <c r="AD256" i="55" s="1"/>
  <c r="AD255" i="55" s="1"/>
  <c r="AD254" i="55" s="1"/>
  <c r="AD253" i="55" s="1"/>
  <c r="AD252" i="55" s="1"/>
  <c r="AD251" i="55" s="1"/>
  <c r="AD250" i="55" s="1"/>
  <c r="AD249" i="55" s="1"/>
  <c r="AD248" i="55" s="1"/>
  <c r="AD247" i="55" s="1"/>
  <c r="AD246" i="55" s="1"/>
  <c r="AD245" i="55" s="1"/>
  <c r="AD244" i="55" s="1"/>
  <c r="AD243" i="55" s="1"/>
  <c r="AD242" i="55" s="1"/>
  <c r="AD241" i="55" s="1"/>
  <c r="AD240" i="55" s="1"/>
  <c r="AD239" i="55" s="1"/>
  <c r="AD238" i="55" s="1"/>
  <c r="AD237" i="55" s="1"/>
  <c r="AD236" i="55" s="1"/>
  <c r="AD235" i="55" s="1"/>
  <c r="AD234" i="55" s="1"/>
  <c r="AD233" i="55" s="1"/>
  <c r="AD232" i="55" s="1"/>
  <c r="AD231" i="55" s="1"/>
  <c r="AD230" i="55" s="1"/>
  <c r="AD229" i="55" s="1"/>
  <c r="AD228" i="55" s="1"/>
  <c r="AD227" i="55" s="1"/>
  <c r="AD226" i="55" s="1"/>
  <c r="AD225" i="55" s="1"/>
  <c r="AD224" i="55" s="1"/>
  <c r="AD223" i="55" s="1"/>
  <c r="AD222" i="55" s="1"/>
  <c r="AD221" i="55" s="1"/>
  <c r="AD220" i="55" s="1"/>
  <c r="AD219" i="55" s="1"/>
  <c r="AD218" i="55" s="1"/>
  <c r="AD217" i="55" s="1"/>
  <c r="AD216" i="55" s="1"/>
  <c r="AD215" i="55" s="1"/>
  <c r="AD214" i="55" s="1"/>
  <c r="AD213" i="55" s="1"/>
  <c r="AD212" i="55" s="1"/>
  <c r="AD211" i="55" s="1"/>
  <c r="AD210" i="55" s="1"/>
  <c r="AD209" i="55" s="1"/>
  <c r="AD208" i="55" s="1"/>
  <c r="AD207" i="55" s="1"/>
  <c r="AD206" i="55" s="1"/>
  <c r="AD205" i="55" s="1"/>
  <c r="AD204" i="55" s="1"/>
  <c r="AD203" i="55" s="1"/>
  <c r="AD202" i="55" s="1"/>
  <c r="AD201" i="55" s="1"/>
  <c r="AD200" i="55" s="1"/>
  <c r="AD199" i="55" s="1"/>
  <c r="AD198" i="55" s="1"/>
  <c r="AD197" i="55" s="1"/>
  <c r="AD196" i="55" s="1"/>
  <c r="AD195" i="55" s="1"/>
  <c r="AD194" i="55" s="1"/>
  <c r="AD193" i="55" s="1"/>
  <c r="AD192" i="55" s="1"/>
  <c r="AD191" i="55" s="1"/>
  <c r="AD190" i="55" s="1"/>
  <c r="AD189" i="55" s="1"/>
  <c r="AD188" i="55" s="1"/>
  <c r="AD187" i="55" s="1"/>
  <c r="AD186" i="55" s="1"/>
  <c r="AD185" i="55" s="1"/>
  <c r="AD184" i="55" s="1"/>
  <c r="AD183" i="55" s="1"/>
  <c r="AD182" i="55" s="1"/>
  <c r="AD181" i="55" s="1"/>
  <c r="AD180" i="55" s="1"/>
  <c r="AD179" i="55" s="1"/>
  <c r="AD178" i="55" s="1"/>
  <c r="AD177" i="55" s="1"/>
  <c r="AD176" i="55" s="1"/>
  <c r="AD175" i="55" s="1"/>
  <c r="AD174" i="55" s="1"/>
  <c r="AD173" i="55" s="1"/>
  <c r="AD172" i="55" s="1"/>
  <c r="AD171" i="55" s="1"/>
  <c r="AD170" i="55" s="1"/>
  <c r="AD169" i="55" s="1"/>
  <c r="AD168" i="55" s="1"/>
  <c r="AD167" i="55" s="1"/>
  <c r="AD166" i="55" s="1"/>
  <c r="AD165" i="55" s="1"/>
  <c r="AD164" i="55" s="1"/>
  <c r="AD163" i="55" s="1"/>
  <c r="AD162" i="55" s="1"/>
  <c r="AD161" i="55" s="1"/>
  <c r="AD160" i="55" s="1"/>
  <c r="AD159" i="55" s="1"/>
  <c r="AD158" i="55" s="1"/>
  <c r="AD157" i="55" s="1"/>
  <c r="AD156" i="55" s="1"/>
  <c r="AD155" i="55" s="1"/>
  <c r="AD154" i="55" s="1"/>
  <c r="AD153" i="55" s="1"/>
  <c r="AD152" i="55" s="1"/>
  <c r="AD151" i="55" s="1"/>
  <c r="AD150" i="55" s="1"/>
  <c r="AD149" i="55" s="1"/>
  <c r="AD148" i="55" s="1"/>
  <c r="AD147" i="55" s="1"/>
  <c r="AD146" i="55" s="1"/>
  <c r="AD145" i="55" s="1"/>
  <c r="AD144" i="55" s="1"/>
  <c r="AD143" i="55" s="1"/>
  <c r="AD142" i="55" s="1"/>
  <c r="AD141" i="55" s="1"/>
  <c r="AD140" i="55" s="1"/>
  <c r="AD139" i="55" s="1"/>
  <c r="AD138" i="55" s="1"/>
  <c r="AD137" i="55" s="1"/>
  <c r="AD136" i="55" s="1"/>
  <c r="AD135" i="55" s="1"/>
  <c r="AD134" i="55" s="1"/>
  <c r="AD133" i="55" s="1"/>
  <c r="AD132" i="55" s="1"/>
  <c r="AD131" i="55" s="1"/>
  <c r="AD130" i="55" s="1"/>
  <c r="AD129" i="55" s="1"/>
  <c r="AD128" i="55" s="1"/>
  <c r="AD127" i="55" s="1"/>
  <c r="AD126" i="55" s="1"/>
  <c r="AD125" i="55" s="1"/>
  <c r="AD124" i="55" s="1"/>
  <c r="AD123" i="55" s="1"/>
  <c r="AD122" i="55" s="1"/>
  <c r="AD121" i="55" s="1"/>
  <c r="AD120" i="55" s="1"/>
  <c r="AD119" i="55" s="1"/>
  <c r="AD118" i="55" s="1"/>
  <c r="AD117" i="55" s="1"/>
  <c r="AD116" i="55" s="1"/>
  <c r="AD115" i="55" s="1"/>
  <c r="AD114" i="55" s="1"/>
  <c r="AD113" i="55" s="1"/>
  <c r="AD112" i="55" s="1"/>
  <c r="AD111" i="55" s="1"/>
  <c r="AD110" i="55" s="1"/>
  <c r="AD109" i="55" s="1"/>
  <c r="AD108" i="55" s="1"/>
  <c r="AD107" i="55" s="1"/>
  <c r="AD106" i="55" s="1"/>
  <c r="AD105" i="55" s="1"/>
  <c r="AD104" i="55" s="1"/>
  <c r="AD103" i="55" s="1"/>
  <c r="AD102" i="55" s="1"/>
  <c r="AD101" i="55" s="1"/>
  <c r="AD100" i="55" s="1"/>
  <c r="AD99" i="55" s="1"/>
  <c r="AD98" i="55" s="1"/>
  <c r="AD97" i="55" s="1"/>
  <c r="AD96" i="55" s="1"/>
  <c r="AD95" i="55" s="1"/>
  <c r="AD94" i="55" s="1"/>
  <c r="AD93" i="55" s="1"/>
  <c r="AD92" i="55" s="1"/>
  <c r="AD91" i="55" s="1"/>
  <c r="AD90" i="55" s="1"/>
  <c r="AD89" i="55" s="1"/>
  <c r="AD88" i="55" s="1"/>
  <c r="AD87" i="55" s="1"/>
  <c r="AD86" i="55" s="1"/>
  <c r="AD85" i="55" s="1"/>
  <c r="AD84" i="55" s="1"/>
  <c r="AD83" i="55" s="1"/>
  <c r="AD82" i="55" s="1"/>
  <c r="AD81" i="55" s="1"/>
  <c r="AD80" i="55" s="1"/>
  <c r="AD79" i="55" s="1"/>
  <c r="AD78" i="55" s="1"/>
  <c r="AD77" i="55" s="1"/>
  <c r="AD76" i="55" s="1"/>
  <c r="AD75" i="55" s="1"/>
  <c r="AD74" i="55" s="1"/>
  <c r="AD73" i="55" s="1"/>
  <c r="AD72" i="55" s="1"/>
  <c r="AD71" i="55" s="1"/>
  <c r="AD70" i="55" s="1"/>
  <c r="AD69" i="55" s="1"/>
  <c r="AD68" i="55" s="1"/>
  <c r="AD67" i="55" s="1"/>
  <c r="AD66" i="55" s="1"/>
  <c r="AD65" i="55" s="1"/>
  <c r="AD64" i="55" s="1"/>
  <c r="AD63" i="55" s="1"/>
  <c r="AD62" i="55" s="1"/>
  <c r="AD61" i="55" s="1"/>
  <c r="AD60" i="55" s="1"/>
  <c r="AD59" i="55" s="1"/>
  <c r="AD58" i="55" s="1"/>
  <c r="AD57" i="55" s="1"/>
  <c r="AD56" i="55" s="1"/>
  <c r="AD55" i="55" s="1"/>
  <c r="AD54" i="55" s="1"/>
  <c r="AD53" i="55" s="1"/>
  <c r="AD52" i="55" s="1"/>
  <c r="AD51" i="55" s="1"/>
  <c r="AD50" i="55" s="1"/>
  <c r="AD49" i="55" s="1"/>
  <c r="AD48" i="55" s="1"/>
  <c r="AD47" i="55" s="1"/>
  <c r="AD46" i="55" s="1"/>
  <c r="AD45" i="55" s="1"/>
  <c r="AD44" i="55" s="1"/>
  <c r="AD43" i="55" s="1"/>
  <c r="AD42" i="55" s="1"/>
  <c r="AD41" i="55" s="1"/>
  <c r="AD40" i="55" s="1"/>
  <c r="AD39" i="55" s="1"/>
  <c r="AD38" i="55" s="1"/>
  <c r="AD37" i="55" s="1"/>
  <c r="AD36" i="55" s="1"/>
  <c r="AD35" i="55" s="1"/>
  <c r="AD34" i="55" s="1"/>
  <c r="AD33" i="55" s="1"/>
  <c r="AD32" i="55" s="1"/>
  <c r="AD31" i="55" s="1"/>
  <c r="AD30" i="55" s="1"/>
  <c r="AD29" i="55" s="1"/>
  <c r="AD28" i="55" s="1"/>
  <c r="AD27" i="55" s="1"/>
  <c r="AD26" i="55" s="1"/>
  <c r="AD25" i="55" s="1"/>
  <c r="AD24" i="55" s="1"/>
  <c r="AD23" i="55" s="1"/>
  <c r="AD22" i="55" s="1"/>
  <c r="AD21" i="55" s="1"/>
  <c r="AD20" i="55" s="1"/>
  <c r="AD19" i="55" s="1"/>
  <c r="AD18" i="55" s="1"/>
  <c r="AD17" i="55" s="1"/>
  <c r="AD16" i="55" s="1"/>
  <c r="AD15" i="55" s="1"/>
  <c r="AD14" i="55" s="1"/>
  <c r="AD13" i="55" s="1"/>
  <c r="AD12" i="55" s="1"/>
  <c r="AD11" i="55" s="1"/>
  <c r="AD10" i="55" s="1"/>
  <c r="AD9" i="55" s="1"/>
  <c r="AD8" i="55" s="1"/>
  <c r="AD7" i="55" s="1"/>
  <c r="AD6" i="55" s="1"/>
  <c r="AD5" i="55" s="1"/>
  <c r="AL244" i="55"/>
  <c r="AL243" i="55" s="1"/>
  <c r="AL242" i="55" s="1"/>
  <c r="AL241" i="55" s="1"/>
  <c r="AL240" i="55" s="1"/>
  <c r="AL239" i="55" s="1"/>
  <c r="AL238" i="55" s="1"/>
  <c r="AL237" i="55" s="1"/>
  <c r="AL236" i="55" s="1"/>
  <c r="AL235" i="55" s="1"/>
  <c r="AL234" i="55" s="1"/>
  <c r="AL233" i="55" s="1"/>
  <c r="AL232" i="55" s="1"/>
  <c r="AL231" i="55" s="1"/>
  <c r="AL230" i="55" s="1"/>
  <c r="AL229" i="55" s="1"/>
  <c r="AL228" i="55" s="1"/>
  <c r="AL227" i="55" s="1"/>
  <c r="AL226" i="55" s="1"/>
  <c r="AL225" i="55" s="1"/>
  <c r="AL224" i="55" s="1"/>
  <c r="AL223" i="55" s="1"/>
  <c r="AL222" i="55" s="1"/>
  <c r="AL221" i="55" s="1"/>
  <c r="AL220" i="55" s="1"/>
  <c r="AL219" i="55" s="1"/>
  <c r="AL218" i="55" s="1"/>
  <c r="AL217" i="55" s="1"/>
  <c r="AL216" i="55" s="1"/>
  <c r="AL215" i="55" s="1"/>
  <c r="AL214" i="55" s="1"/>
  <c r="AL213" i="55" s="1"/>
  <c r="AL212" i="55" s="1"/>
  <c r="AL211" i="55" s="1"/>
  <c r="AL210" i="55" s="1"/>
  <c r="AL209" i="55" s="1"/>
  <c r="AL208" i="55" s="1"/>
  <c r="AL207" i="55" s="1"/>
  <c r="AL206" i="55" s="1"/>
  <c r="AL205" i="55" s="1"/>
  <c r="AL204" i="55" s="1"/>
  <c r="AL203" i="55" s="1"/>
  <c r="AL202" i="55" s="1"/>
  <c r="AL201" i="55" s="1"/>
  <c r="AL200" i="55" s="1"/>
  <c r="AL199" i="55" s="1"/>
  <c r="AL198" i="55" s="1"/>
  <c r="AL197" i="55" s="1"/>
  <c r="AL196" i="55" s="1"/>
  <c r="AL195" i="55" s="1"/>
  <c r="AL194" i="55" s="1"/>
  <c r="AL193" i="55" s="1"/>
  <c r="AL192" i="55" s="1"/>
  <c r="AL191" i="55" s="1"/>
  <c r="AL190" i="55" s="1"/>
  <c r="AL189" i="55" s="1"/>
  <c r="AL188" i="55" s="1"/>
  <c r="AL187" i="55" s="1"/>
  <c r="AL186" i="55" s="1"/>
  <c r="AL185" i="55" s="1"/>
  <c r="AL184" i="55" s="1"/>
  <c r="AL183" i="55" s="1"/>
  <c r="AL182" i="55" s="1"/>
  <c r="AL181" i="55" s="1"/>
  <c r="AL180" i="55" s="1"/>
  <c r="AL179" i="55" s="1"/>
  <c r="AL178" i="55" s="1"/>
  <c r="AL177" i="55" s="1"/>
  <c r="AL176" i="55" s="1"/>
  <c r="AL175" i="55" s="1"/>
  <c r="AL174" i="55" s="1"/>
  <c r="AL173" i="55" s="1"/>
  <c r="AL172" i="55" s="1"/>
  <c r="AL171" i="55" s="1"/>
  <c r="AL170" i="55" s="1"/>
  <c r="AL169" i="55" s="1"/>
  <c r="AL168" i="55" s="1"/>
  <c r="AL167" i="55" s="1"/>
  <c r="AL166" i="55" s="1"/>
  <c r="AL165" i="55" s="1"/>
  <c r="AL164" i="55" s="1"/>
  <c r="AL163" i="55" s="1"/>
  <c r="AL162" i="55" s="1"/>
  <c r="AL161" i="55" s="1"/>
  <c r="AL160" i="55" s="1"/>
  <c r="AL159" i="55" s="1"/>
  <c r="AL158" i="55" s="1"/>
  <c r="AL157" i="55" s="1"/>
  <c r="AL156" i="55" s="1"/>
  <c r="AL155" i="55" s="1"/>
  <c r="AL154" i="55" s="1"/>
  <c r="AL153" i="55" s="1"/>
  <c r="AL152" i="55" s="1"/>
  <c r="AL151" i="55" s="1"/>
  <c r="AL150" i="55" s="1"/>
  <c r="AL149" i="55" s="1"/>
  <c r="AL148" i="55" s="1"/>
  <c r="AL147" i="55" s="1"/>
  <c r="AL146" i="55" s="1"/>
  <c r="AL145" i="55" s="1"/>
  <c r="AL144" i="55" s="1"/>
  <c r="AL143" i="55" s="1"/>
  <c r="AL142" i="55" s="1"/>
  <c r="AL141" i="55" s="1"/>
  <c r="AL140" i="55" s="1"/>
  <c r="AL139" i="55" s="1"/>
  <c r="AL138" i="55" s="1"/>
  <c r="AL137" i="55" s="1"/>
  <c r="AL136" i="55" s="1"/>
  <c r="AL135" i="55" s="1"/>
  <c r="AL134" i="55" s="1"/>
  <c r="AL133" i="55" s="1"/>
  <c r="AL132" i="55" s="1"/>
  <c r="AL131" i="55" s="1"/>
  <c r="AL130" i="55" s="1"/>
  <c r="AL129" i="55" s="1"/>
  <c r="AL128" i="55" s="1"/>
  <c r="AL127" i="55" s="1"/>
  <c r="AL126" i="55" s="1"/>
  <c r="AL125" i="55" s="1"/>
  <c r="AL124" i="55" s="1"/>
  <c r="AL123" i="55" s="1"/>
  <c r="AL122" i="55" s="1"/>
  <c r="AL121" i="55" s="1"/>
  <c r="AL120" i="55" s="1"/>
  <c r="AL119" i="55" s="1"/>
  <c r="AL118" i="55" s="1"/>
  <c r="AL117" i="55" s="1"/>
  <c r="AL116" i="55" s="1"/>
  <c r="AL115" i="55" s="1"/>
  <c r="AL114" i="55" s="1"/>
  <c r="AL113" i="55" s="1"/>
  <c r="AL112" i="55" s="1"/>
  <c r="AL111" i="55" s="1"/>
  <c r="AL110" i="55" s="1"/>
  <c r="AL109" i="55" s="1"/>
  <c r="AL108" i="55" s="1"/>
  <c r="AL107" i="55" s="1"/>
  <c r="AL106" i="55" s="1"/>
  <c r="AL105" i="55" s="1"/>
  <c r="AL104" i="55" s="1"/>
  <c r="AL103" i="55" s="1"/>
  <c r="AL102" i="55" s="1"/>
  <c r="AL101" i="55" s="1"/>
  <c r="AL100" i="55" s="1"/>
  <c r="AL99" i="55" s="1"/>
  <c r="AL98" i="55" s="1"/>
  <c r="AL97" i="55" s="1"/>
  <c r="AL96" i="55" s="1"/>
  <c r="AL95" i="55" s="1"/>
  <c r="AL94" i="55" s="1"/>
  <c r="AL93" i="55" s="1"/>
  <c r="AL92" i="55" s="1"/>
  <c r="AL91" i="55" s="1"/>
  <c r="AL90" i="55" s="1"/>
  <c r="AL89" i="55" s="1"/>
  <c r="AL88" i="55" s="1"/>
  <c r="AL87" i="55" s="1"/>
  <c r="AL86" i="55" s="1"/>
  <c r="AL85" i="55" s="1"/>
  <c r="AL84" i="55" s="1"/>
  <c r="AL83" i="55" s="1"/>
  <c r="AL82" i="55" s="1"/>
  <c r="AL81" i="55" s="1"/>
  <c r="AL80" i="55" s="1"/>
  <c r="AL79" i="55" s="1"/>
  <c r="AL78" i="55" s="1"/>
  <c r="AL77" i="55" s="1"/>
  <c r="AL76" i="55" s="1"/>
  <c r="AL75" i="55" s="1"/>
  <c r="AL74" i="55" s="1"/>
  <c r="AL73" i="55" s="1"/>
  <c r="AL72" i="55" s="1"/>
  <c r="AL71" i="55" s="1"/>
  <c r="AL70" i="55" s="1"/>
  <c r="AL69" i="55" s="1"/>
  <c r="AL68" i="55" s="1"/>
  <c r="AL67" i="55" s="1"/>
  <c r="AL66" i="55" s="1"/>
  <c r="AL65" i="55" s="1"/>
  <c r="AL64" i="55" s="1"/>
  <c r="AL63" i="55" s="1"/>
  <c r="AL62" i="55" s="1"/>
  <c r="AL61" i="55" s="1"/>
  <c r="AL60" i="55" s="1"/>
  <c r="AL59" i="55" s="1"/>
  <c r="AL58" i="55" s="1"/>
  <c r="AL57" i="55" s="1"/>
  <c r="AL56" i="55" s="1"/>
  <c r="AL55" i="55" s="1"/>
  <c r="AL54" i="55" s="1"/>
  <c r="AL53" i="55" s="1"/>
  <c r="AL52" i="55" s="1"/>
  <c r="AL51" i="55" s="1"/>
  <c r="AL50" i="55" s="1"/>
  <c r="AL49" i="55" s="1"/>
  <c r="AL48" i="55" s="1"/>
  <c r="AL47" i="55" s="1"/>
  <c r="AL46" i="55" s="1"/>
  <c r="AL45" i="55" s="1"/>
  <c r="AL44" i="55" s="1"/>
  <c r="AL43" i="55" s="1"/>
  <c r="AL42" i="55" s="1"/>
  <c r="AL41" i="55" s="1"/>
  <c r="AL40" i="55" s="1"/>
  <c r="AL39" i="55" s="1"/>
  <c r="AL38" i="55" s="1"/>
  <c r="AL37" i="55" s="1"/>
  <c r="AL36" i="55" s="1"/>
  <c r="AL35" i="55" s="1"/>
  <c r="AL34" i="55" s="1"/>
  <c r="AL33" i="55" s="1"/>
  <c r="AL32" i="55" s="1"/>
  <c r="AL31" i="55" s="1"/>
  <c r="AL30" i="55" s="1"/>
  <c r="AL29" i="55" s="1"/>
  <c r="AL28" i="55" s="1"/>
  <c r="AL27" i="55" s="1"/>
  <c r="AL26" i="55" s="1"/>
  <c r="AL25" i="55" s="1"/>
  <c r="AL24" i="55" s="1"/>
  <c r="AL23" i="55" s="1"/>
  <c r="AL22" i="55" s="1"/>
  <c r="AL21" i="55" s="1"/>
  <c r="AL20" i="55" s="1"/>
  <c r="AL19" i="55" s="1"/>
  <c r="AL18" i="55" s="1"/>
  <c r="AL17" i="55" s="1"/>
  <c r="AL16" i="55" s="1"/>
  <c r="AL15" i="55" s="1"/>
  <c r="AL14" i="55" s="1"/>
  <c r="AL13" i="55" s="1"/>
  <c r="AL12" i="55" s="1"/>
  <c r="AL11" i="55" s="1"/>
  <c r="AL10" i="55" s="1"/>
  <c r="AL9" i="55" s="1"/>
  <c r="AL8" i="55" s="1"/>
  <c r="AL7" i="55" s="1"/>
  <c r="AL6" i="55" s="1"/>
  <c r="AL5" i="55" s="1"/>
  <c r="AH80" i="55" l="1"/>
  <c r="AI80" i="55" s="1"/>
  <c r="AH154" i="55"/>
  <c r="AI154" i="55" s="1"/>
  <c r="AH174" i="55"/>
  <c r="AI174" i="55" s="1"/>
  <c r="AH83" i="55"/>
  <c r="AI83" i="55" s="1"/>
  <c r="AH162" i="55"/>
  <c r="AI162" i="55" s="1"/>
  <c r="AH116" i="55"/>
  <c r="AI116" i="55" s="1"/>
  <c r="AH231" i="55"/>
  <c r="AI231" i="55" s="1"/>
  <c r="AH234" i="55"/>
  <c r="AI234" i="55" s="1"/>
  <c r="AH183" i="55"/>
  <c r="AI183" i="55" s="1"/>
  <c r="AH182" i="55"/>
  <c r="AI182" i="55" s="1"/>
  <c r="AH47" i="55"/>
  <c r="AI47" i="55" s="1"/>
  <c r="AH224" i="55"/>
  <c r="AI224" i="55" s="1"/>
  <c r="AH28" i="55"/>
  <c r="AI28" i="55" s="1"/>
  <c r="AH26" i="55"/>
  <c r="AI26" i="55" s="1"/>
  <c r="AH124" i="55"/>
  <c r="AI124" i="55" s="1"/>
  <c r="AH29" i="55"/>
  <c r="AI29" i="55" s="1"/>
  <c r="AH201" i="55"/>
  <c r="AI201" i="55" s="1"/>
  <c r="AH64" i="55"/>
  <c r="AI64" i="55" s="1"/>
  <c r="AH68" i="55"/>
  <c r="AI68" i="55" s="1"/>
  <c r="AH187" i="55"/>
  <c r="AI187" i="55" s="1"/>
  <c r="AH150" i="55"/>
  <c r="AI150" i="55" s="1"/>
  <c r="AH45" i="55"/>
  <c r="AI45" i="55" s="1"/>
  <c r="AH42" i="55"/>
  <c r="AI42" i="55" s="1"/>
  <c r="AH155" i="55"/>
  <c r="AI155" i="55" s="1"/>
  <c r="AH18" i="55"/>
  <c r="AI18" i="55" s="1"/>
  <c r="AH5" i="55"/>
  <c r="AI5" i="55" s="1"/>
  <c r="AH102" i="55"/>
  <c r="AI102" i="55" s="1"/>
  <c r="AH152" i="55"/>
  <c r="AI152" i="55" s="1"/>
  <c r="AH169" i="55"/>
  <c r="AI169" i="55" s="1"/>
  <c r="AH194" i="55"/>
  <c r="AI194" i="55" s="1"/>
  <c r="AH180" i="55"/>
  <c r="AI180" i="55" s="1"/>
  <c r="AH138" i="55"/>
  <c r="AI138" i="55" s="1"/>
  <c r="AH96" i="55"/>
  <c r="AI96" i="55" s="1"/>
  <c r="AH168" i="55"/>
  <c r="AI168" i="55" s="1"/>
  <c r="AH128" i="55"/>
  <c r="AI128" i="55" s="1"/>
  <c r="AH196" i="55"/>
  <c r="AI196" i="55" s="1"/>
  <c r="AH223" i="55"/>
  <c r="AI223" i="55" s="1"/>
  <c r="AH214" i="55"/>
  <c r="AI214" i="55" s="1"/>
  <c r="AH12" i="55"/>
  <c r="AI12" i="55" s="1"/>
  <c r="AH178" i="55"/>
  <c r="AI178" i="55" s="1"/>
  <c r="AH104" i="55"/>
  <c r="AI104" i="55" s="1"/>
  <c r="AH119" i="55"/>
  <c r="AI119" i="55" s="1"/>
  <c r="AH17" i="55"/>
  <c r="AI17" i="55" s="1"/>
  <c r="AH136" i="55"/>
  <c r="AI136" i="55" s="1"/>
  <c r="AH113" i="55"/>
  <c r="AI113" i="55" s="1"/>
  <c r="AH206" i="55"/>
  <c r="AI206" i="55" s="1"/>
  <c r="AH87" i="55"/>
  <c r="AI87" i="55" s="1"/>
  <c r="AH34" i="55"/>
  <c r="AI34" i="55" s="1"/>
  <c r="AH177" i="55"/>
  <c r="AI177" i="55" s="1"/>
  <c r="AH204" i="55"/>
  <c r="AI204" i="55" s="1"/>
  <c r="AH36" i="55"/>
  <c r="AI36" i="55" s="1"/>
  <c r="AH49" i="55"/>
  <c r="AI49" i="55" s="1"/>
  <c r="AH142" i="55"/>
  <c r="AI142" i="55" s="1"/>
  <c r="AH126" i="55"/>
  <c r="AI126" i="55" s="1"/>
  <c r="AH92" i="55"/>
  <c r="AI92" i="55" s="1"/>
  <c r="AH62" i="55"/>
  <c r="AI62" i="55" s="1"/>
  <c r="AH19" i="55"/>
  <c r="AI19" i="55" s="1"/>
  <c r="AH144" i="55"/>
  <c r="AI144" i="55" s="1"/>
  <c r="AH63" i="55"/>
  <c r="AI63" i="55" s="1"/>
  <c r="AH198" i="55"/>
  <c r="AI198" i="55" s="1"/>
  <c r="AH911" i="55"/>
  <c r="AI911" i="55" s="1"/>
  <c r="AH170" i="55"/>
  <c r="AI170" i="55" s="1"/>
  <c r="AH165" i="55"/>
  <c r="AI165" i="55" s="1"/>
  <c r="AH238" i="55"/>
  <c r="AI238" i="55" s="1"/>
  <c r="AH208" i="55"/>
  <c r="AI208" i="55" s="1"/>
  <c r="AH184" i="55"/>
  <c r="AI184" i="55" s="1"/>
  <c r="AH190" i="55"/>
  <c r="AI190" i="55" s="1"/>
  <c r="AH40" i="55"/>
  <c r="AI40" i="55" s="1"/>
  <c r="AH6" i="55"/>
  <c r="AI6" i="55" s="1"/>
  <c r="AH160" i="55"/>
  <c r="AI160" i="55" s="1"/>
  <c r="AH70" i="55"/>
  <c r="AI70" i="55" s="1"/>
  <c r="AH149" i="55"/>
  <c r="AI149" i="55" s="1"/>
  <c r="AH123" i="55"/>
  <c r="AI123" i="55" s="1"/>
  <c r="AH167" i="55"/>
  <c r="AI167" i="55" s="1"/>
  <c r="AH135" i="55"/>
  <c r="AI135" i="55" s="1"/>
  <c r="AH22" i="55"/>
  <c r="AI22" i="55" s="1"/>
  <c r="AH76" i="55"/>
  <c r="AI76" i="55" s="1"/>
  <c r="AH81" i="55"/>
  <c r="AI81" i="55" s="1"/>
  <c r="AH32" i="55"/>
  <c r="AI32" i="55" s="1"/>
  <c r="AH11" i="55"/>
  <c r="AI11" i="55" s="1"/>
  <c r="AH111" i="55"/>
  <c r="AI111" i="55" s="1"/>
  <c r="AH122" i="55"/>
  <c r="AI122" i="55" s="1"/>
  <c r="AH227" i="55"/>
  <c r="AI227" i="55" s="1"/>
  <c r="AH237" i="55"/>
  <c r="AI237" i="55" s="1"/>
  <c r="AH110" i="55"/>
  <c r="AI110" i="55" s="1"/>
  <c r="AH147" i="55"/>
  <c r="AI147" i="55" s="1"/>
  <c r="AH51" i="55"/>
  <c r="AI51" i="55" s="1"/>
  <c r="AH23" i="55"/>
  <c r="AI23" i="55" s="1"/>
  <c r="AH57" i="55"/>
  <c r="AI57" i="55" s="1"/>
  <c r="AH117" i="55"/>
  <c r="AI117" i="55" s="1"/>
  <c r="AH130" i="55"/>
  <c r="AI130" i="55" s="1"/>
  <c r="AH216" i="55"/>
  <c r="AI216" i="55" s="1"/>
  <c r="AH156" i="55"/>
  <c r="AI156" i="55" s="1"/>
  <c r="AH10" i="55"/>
  <c r="AI10" i="55" s="1"/>
  <c r="AH82" i="55"/>
  <c r="AI82" i="55" s="1"/>
  <c r="AH221" i="55"/>
  <c r="AI221" i="55" s="1"/>
  <c r="AH50" i="55"/>
  <c r="AI50" i="55" s="1"/>
  <c r="AH59" i="55"/>
  <c r="AI59" i="55" s="1"/>
  <c r="AH86" i="55"/>
  <c r="AI86" i="55" s="1"/>
  <c r="AH173" i="55"/>
  <c r="AI173" i="55" s="1"/>
  <c r="AH226" i="55"/>
  <c r="AI226" i="55" s="1"/>
  <c r="AH46" i="55"/>
  <c r="AI46" i="55" s="1"/>
  <c r="AH232" i="55"/>
  <c r="AI232" i="55" s="1"/>
  <c r="AH72" i="55"/>
  <c r="AI72" i="55" s="1"/>
  <c r="AH233" i="55"/>
  <c r="AI233" i="55" s="1"/>
  <c r="AH205" i="55"/>
  <c r="AI205" i="55" s="1"/>
  <c r="AH93" i="55"/>
  <c r="AI93" i="55" s="1"/>
  <c r="AH69" i="55"/>
  <c r="AI69" i="55" s="1"/>
  <c r="AH89" i="55"/>
  <c r="AI89" i="55" s="1"/>
  <c r="AH207" i="55"/>
  <c r="AI207" i="55" s="1"/>
  <c r="AH94" i="55"/>
  <c r="AI94" i="55" s="1"/>
  <c r="AH228" i="55"/>
  <c r="AI228" i="55" s="1"/>
  <c r="AH109" i="55"/>
  <c r="AI109" i="55" s="1"/>
  <c r="AH52" i="55"/>
  <c r="AI52" i="55" s="1"/>
  <c r="AH88" i="55"/>
  <c r="AI88" i="55" s="1"/>
  <c r="AH145" i="55"/>
  <c r="AI145" i="55" s="1"/>
  <c r="AH141" i="55"/>
  <c r="AI141" i="55" s="1"/>
  <c r="AH218" i="55"/>
  <c r="AI218" i="55" s="1"/>
  <c r="AH48" i="55"/>
  <c r="AI48" i="55" s="1"/>
  <c r="AH98" i="55"/>
  <c r="AI98" i="55" s="1"/>
  <c r="AH166" i="55"/>
  <c r="AI166" i="55" s="1"/>
  <c r="AH195" i="55"/>
  <c r="AI195" i="55" s="1"/>
  <c r="AH25" i="55"/>
  <c r="AI25" i="55" s="1"/>
  <c r="AH219" i="55"/>
  <c r="AI219" i="55" s="1"/>
  <c r="AH181" i="55"/>
  <c r="AI181" i="55" s="1"/>
  <c r="AH240" i="55"/>
  <c r="AI240" i="55" s="1"/>
  <c r="AH21" i="55"/>
  <c r="AI21" i="55" s="1"/>
  <c r="AH200" i="55"/>
  <c r="AI200" i="55" s="1"/>
  <c r="AH241" i="55"/>
  <c r="AI241" i="55" s="1"/>
  <c r="AH137" i="55"/>
  <c r="AI137" i="55" s="1"/>
  <c r="AH99" i="55"/>
  <c r="AI99" i="55" s="1"/>
  <c r="AH105" i="55"/>
  <c r="AI105" i="55" s="1"/>
  <c r="AH235" i="55"/>
  <c r="AI235" i="55" s="1"/>
  <c r="AH9" i="55"/>
  <c r="AI9" i="55" s="1"/>
  <c r="AH79" i="55"/>
  <c r="AI79" i="55" s="1"/>
  <c r="AH229" i="55"/>
  <c r="AI229" i="55" s="1"/>
  <c r="AH60" i="55"/>
  <c r="AI60" i="55" s="1"/>
  <c r="AH15" i="55"/>
  <c r="AI15" i="55" s="1"/>
  <c r="AH220" i="55"/>
  <c r="AI220" i="55" s="1"/>
  <c r="AH67" i="55"/>
  <c r="AI67" i="55" s="1"/>
  <c r="AH75" i="55"/>
  <c r="AI75" i="55" s="1"/>
  <c r="AH114" i="55"/>
  <c r="AI114" i="55" s="1"/>
  <c r="AH905" i="55"/>
  <c r="AI905" i="55" s="1"/>
  <c r="AH27" i="55"/>
  <c r="AI27" i="55" s="1"/>
  <c r="AH161" i="55"/>
  <c r="AI161" i="55" s="1"/>
  <c r="AH215" i="55"/>
  <c r="AI215" i="55" s="1"/>
  <c r="AH61" i="55"/>
  <c r="AI61" i="55" s="1"/>
  <c r="AH129" i="55"/>
  <c r="AI129" i="55" s="1"/>
  <c r="AH202" i="55"/>
  <c r="AI202" i="55" s="1"/>
  <c r="AH197" i="55"/>
  <c r="AI197" i="55" s="1"/>
  <c r="AH158" i="55"/>
  <c r="AI158" i="55" s="1"/>
  <c r="AH188" i="55"/>
  <c r="AI188" i="55" s="1"/>
  <c r="AH127" i="55"/>
  <c r="AI127" i="55" s="1"/>
  <c r="AH43" i="55"/>
  <c r="AI43" i="55" s="1"/>
  <c r="AH211" i="55"/>
  <c r="AI211" i="55" s="1"/>
  <c r="AH153" i="55"/>
  <c r="AI153" i="55" s="1"/>
  <c r="AH225" i="55"/>
  <c r="AI225" i="55" s="1"/>
  <c r="AH163" i="55"/>
  <c r="AI163" i="55" s="1"/>
  <c r="AH108" i="55"/>
  <c r="AI108" i="55" s="1"/>
  <c r="AH91" i="55"/>
  <c r="AI91" i="55" s="1"/>
  <c r="AH915" i="55"/>
  <c r="AI915" i="55" s="1"/>
  <c r="AH913" i="55"/>
  <c r="AI913" i="55" s="1"/>
  <c r="AH909" i="55"/>
  <c r="AI909" i="55" s="1"/>
  <c r="AH907" i="55"/>
  <c r="AI907" i="55" s="1"/>
  <c r="AH203" i="55"/>
  <c r="AI203" i="55" s="1"/>
  <c r="AH236" i="55"/>
  <c r="AI236" i="55" s="1"/>
  <c r="AH30" i="55"/>
  <c r="AI30" i="55" s="1"/>
  <c r="AH222" i="55"/>
  <c r="AI222" i="55" s="1"/>
  <c r="AH125" i="55"/>
  <c r="AI125" i="55" s="1"/>
  <c r="AH24" i="55"/>
  <c r="AI24" i="55" s="1"/>
  <c r="AH199" i="55"/>
  <c r="AI199" i="55" s="1"/>
  <c r="AH157" i="55"/>
  <c r="AI157" i="55" s="1"/>
  <c r="AH140" i="55"/>
  <c r="AI140" i="55" s="1"/>
  <c r="AH172" i="55"/>
  <c r="AI172" i="55" s="1"/>
  <c r="AH189" i="55"/>
  <c r="AI189" i="55" s="1"/>
  <c r="AH134" i="55"/>
  <c r="AI134" i="55" s="1"/>
  <c r="AH139" i="55"/>
  <c r="AI139" i="55" s="1"/>
  <c r="AH159" i="55"/>
  <c r="AI159" i="55" s="1"/>
  <c r="AH39" i="55"/>
  <c r="AI39" i="55" s="1"/>
  <c r="AH54" i="55"/>
  <c r="AI54" i="55" s="1"/>
  <c r="AH85" i="55"/>
  <c r="AI85" i="55" s="1"/>
  <c r="AH16" i="55"/>
  <c r="AI16" i="55" s="1"/>
  <c r="AH8" i="55"/>
  <c r="AI8" i="55" s="1"/>
  <c r="AH186" i="55"/>
  <c r="AI186" i="55" s="1"/>
  <c r="AH213" i="55"/>
  <c r="AI213" i="55" s="1"/>
  <c r="AH31" i="55"/>
  <c r="AI31" i="55" s="1"/>
  <c r="AH133" i="55"/>
  <c r="AI133" i="55" s="1"/>
  <c r="AH33" i="55"/>
  <c r="AI33" i="55" s="1"/>
  <c r="AH56" i="55"/>
  <c r="AI56" i="55" s="1"/>
  <c r="AH132" i="55"/>
  <c r="AI132" i="55" s="1"/>
  <c r="AH192" i="55"/>
  <c r="AI192" i="55" s="1"/>
  <c r="AH103" i="55"/>
  <c r="AI103" i="55" s="1"/>
  <c r="AH37" i="55"/>
  <c r="AI37" i="55" s="1"/>
  <c r="AH151" i="55"/>
  <c r="AI151" i="55" s="1"/>
  <c r="AH106" i="55"/>
  <c r="AI106" i="55" s="1"/>
  <c r="AH20" i="55"/>
  <c r="AI20" i="55" s="1"/>
  <c r="AH143" i="55"/>
  <c r="AI143" i="55" s="1"/>
  <c r="AH242" i="55"/>
  <c r="AI242" i="55" s="1"/>
  <c r="AH210" i="55"/>
  <c r="AI210" i="55" s="1"/>
  <c r="AH71" i="55"/>
  <c r="AI71" i="55" s="1"/>
  <c r="AH84" i="55"/>
  <c r="AI84" i="55" s="1"/>
  <c r="AH74" i="55"/>
  <c r="AI74" i="55" s="1"/>
  <c r="AH191" i="55"/>
  <c r="AI191" i="55" s="1"/>
  <c r="AH217" i="55"/>
  <c r="AI217" i="55" s="1"/>
  <c r="AH13" i="55"/>
  <c r="AI13" i="55" s="1"/>
  <c r="AH107" i="55"/>
  <c r="AI107" i="55" s="1"/>
  <c r="AH41" i="55"/>
  <c r="AI41" i="55" s="1"/>
  <c r="AH38" i="55"/>
  <c r="AI38" i="55" s="1"/>
  <c r="AH164" i="55"/>
  <c r="AI164" i="55" s="1"/>
  <c r="AH78" i="55"/>
  <c r="AI78" i="55" s="1"/>
  <c r="AH35" i="55"/>
  <c r="AI35" i="55" s="1"/>
  <c r="AH100" i="55"/>
  <c r="AI100" i="55" s="1"/>
  <c r="AH55" i="55"/>
  <c r="AI55" i="55" s="1"/>
  <c r="AH243" i="55"/>
  <c r="AI243" i="55" s="1"/>
  <c r="AH176" i="55"/>
  <c r="AI176" i="55" s="1"/>
  <c r="AH97" i="55"/>
  <c r="AI97" i="55" s="1"/>
  <c r="AH112" i="55"/>
  <c r="AI112" i="55" s="1"/>
  <c r="AH239" i="55"/>
  <c r="AI239" i="55" s="1"/>
  <c r="AH212" i="55"/>
  <c r="AI212" i="55" s="1"/>
  <c r="AH90" i="55"/>
  <c r="AI90" i="55" s="1"/>
  <c r="AH209" i="55"/>
  <c r="AI209" i="55" s="1"/>
  <c r="AH101" i="55"/>
  <c r="AI101" i="55" s="1"/>
  <c r="AH175" i="55"/>
  <c r="AI175" i="55" s="1"/>
  <c r="AH118" i="55"/>
  <c r="AI118" i="55" s="1"/>
  <c r="AH66" i="55"/>
  <c r="AI66" i="55" s="1"/>
  <c r="AH171" i="55"/>
  <c r="AI171" i="55" s="1"/>
  <c r="AH244" i="55"/>
  <c r="AI244" i="55" s="1"/>
  <c r="AH121" i="55"/>
  <c r="AI121" i="55" s="1"/>
  <c r="AH115" i="55"/>
  <c r="AI115" i="55" s="1"/>
  <c r="AH53" i="55"/>
  <c r="AI53" i="55" s="1"/>
  <c r="AH120" i="55"/>
  <c r="AI120" i="55" s="1"/>
  <c r="AH77" i="55"/>
  <c r="AI77" i="55" s="1"/>
  <c r="AH185" i="55"/>
  <c r="AI185" i="55" s="1"/>
  <c r="AH14" i="55"/>
  <c r="AI14" i="55" s="1"/>
  <c r="AH95" i="55"/>
  <c r="AI95" i="55" s="1"/>
  <c r="AH179" i="55"/>
  <c r="AI179" i="55" s="1"/>
  <c r="AH148" i="55"/>
  <c r="AI148" i="55" s="1"/>
  <c r="AH65" i="55"/>
  <c r="AI65" i="55" s="1"/>
  <c r="AH146" i="55"/>
  <c r="AI146" i="55" s="1"/>
  <c r="AH73" i="55"/>
  <c r="AI73" i="55" s="1"/>
  <c r="AH58" i="55"/>
  <c r="AI58" i="55" s="1"/>
  <c r="AH44" i="55"/>
  <c r="AI44" i="55" s="1"/>
  <c r="AH7" i="55"/>
  <c r="AI7" i="55" s="1"/>
  <c r="AH131" i="55"/>
  <c r="AI131" i="55" s="1"/>
  <c r="AH193" i="55"/>
  <c r="AI193" i="55" s="1"/>
  <c r="AH230" i="55"/>
  <c r="AI230" i="55" s="1"/>
  <c r="AH912" i="55"/>
  <c r="AI912" i="55" s="1"/>
  <c r="AH903" i="55"/>
  <c r="AI903" i="55" s="1"/>
  <c r="AH893" i="55"/>
  <c r="AI893" i="55" s="1"/>
  <c r="AH863" i="55"/>
  <c r="AI863" i="55" s="1"/>
  <c r="AH906" i="55"/>
  <c r="AI906" i="55" s="1"/>
  <c r="AH902" i="55"/>
  <c r="AI902" i="55" s="1"/>
  <c r="AH883" i="55"/>
  <c r="AI883" i="55" s="1"/>
  <c r="AH899" i="55"/>
  <c r="AI899" i="55" s="1"/>
  <c r="AH869" i="55"/>
  <c r="AI869" i="55" s="1"/>
  <c r="AH855" i="55"/>
  <c r="AI855" i="55" s="1"/>
  <c r="AH850" i="55"/>
  <c r="AI850" i="55" s="1"/>
  <c r="AH848" i="55"/>
  <c r="AI848" i="55" s="1"/>
  <c r="AH833" i="55"/>
  <c r="AI833" i="55" s="1"/>
  <c r="AH829" i="55"/>
  <c r="AI829" i="55" s="1"/>
  <c r="AH828" i="55"/>
  <c r="AI828" i="55" s="1"/>
  <c r="AH819" i="55"/>
  <c r="AI819" i="55" s="1"/>
  <c r="AH881" i="55"/>
  <c r="AI881" i="55" s="1"/>
  <c r="AH879" i="55"/>
  <c r="AI879" i="55" s="1"/>
  <c r="AH866" i="55"/>
  <c r="AI866" i="55" s="1"/>
  <c r="AH851" i="55"/>
  <c r="AI851" i="55" s="1"/>
  <c r="AH838" i="55"/>
  <c r="AI838" i="55" s="1"/>
  <c r="AH831" i="55"/>
  <c r="AI831" i="55" s="1"/>
  <c r="AH813" i="55"/>
  <c r="AI813" i="55" s="1"/>
  <c r="AH805" i="55"/>
  <c r="AI805" i="55" s="1"/>
  <c r="AH873" i="55"/>
  <c r="AI873" i="55" s="1"/>
  <c r="AH840" i="55"/>
  <c r="AI840" i="55" s="1"/>
  <c r="AH825" i="55"/>
  <c r="AI825" i="55" s="1"/>
  <c r="AH803" i="55"/>
  <c r="AI803" i="55" s="1"/>
  <c r="AH802" i="55"/>
  <c r="AI802" i="55" s="1"/>
  <c r="AH799" i="55"/>
  <c r="AI799" i="55" s="1"/>
  <c r="AH798" i="55"/>
  <c r="AI798" i="55" s="1"/>
  <c r="AH797" i="55"/>
  <c r="AI797" i="55" s="1"/>
  <c r="AH787" i="55"/>
  <c r="AI787" i="55" s="1"/>
  <c r="AH775" i="55"/>
  <c r="AI775" i="55" s="1"/>
  <c r="AH872" i="55"/>
  <c r="AI872" i="55" s="1"/>
  <c r="AH862" i="55"/>
  <c r="AI862" i="55" s="1"/>
  <c r="AH834" i="55"/>
  <c r="AI834" i="55" s="1"/>
  <c r="AH769" i="55"/>
  <c r="AI769" i="55" s="1"/>
  <c r="AH768" i="55"/>
  <c r="AI768" i="55" s="1"/>
  <c r="AH763" i="55"/>
  <c r="AI763" i="55" s="1"/>
  <c r="AH753" i="55"/>
  <c r="AI753" i="55" s="1"/>
  <c r="AH752" i="55"/>
  <c r="AI752" i="55" s="1"/>
  <c r="AH747" i="55"/>
  <c r="AI747" i="55" s="1"/>
  <c r="AH889" i="55"/>
  <c r="AI889" i="55" s="1"/>
  <c r="AH821" i="55"/>
  <c r="AI821" i="55" s="1"/>
  <c r="AH910" i="55"/>
  <c r="AI910" i="55" s="1"/>
  <c r="AH896" i="55"/>
  <c r="AI896" i="55" s="1"/>
  <c r="AH849" i="55"/>
  <c r="AI849" i="55" s="1"/>
  <c r="AH841" i="55"/>
  <c r="AI841" i="55" s="1"/>
  <c r="AH818" i="55"/>
  <c r="AI818" i="55" s="1"/>
  <c r="AH807" i="55"/>
  <c r="AI807" i="55" s="1"/>
  <c r="AH891" i="55"/>
  <c r="AI891" i="55" s="1"/>
  <c r="AH884" i="55"/>
  <c r="AI884" i="55" s="1"/>
  <c r="AH878" i="55"/>
  <c r="AI878" i="55" s="1"/>
  <c r="AH860" i="55"/>
  <c r="AI860" i="55" s="1"/>
  <c r="AH845" i="55"/>
  <c r="AI845" i="55" s="1"/>
  <c r="AH843" i="55"/>
  <c r="AI843" i="55" s="1"/>
  <c r="AH830" i="55"/>
  <c r="AI830" i="55" s="1"/>
  <c r="AH815" i="55"/>
  <c r="AI815" i="55" s="1"/>
  <c r="AH886" i="55"/>
  <c r="AI886" i="55" s="1"/>
  <c r="AH875" i="55"/>
  <c r="AI875" i="55" s="1"/>
  <c r="AH865" i="55"/>
  <c r="AI865" i="55" s="1"/>
  <c r="AH837" i="55"/>
  <c r="AI837" i="55" s="1"/>
  <c r="AH770" i="55"/>
  <c r="AI770" i="55" s="1"/>
  <c r="AH765" i="55"/>
  <c r="AI765" i="55" s="1"/>
  <c r="AH764" i="55"/>
  <c r="AI764" i="55" s="1"/>
  <c r="AH754" i="55"/>
  <c r="AI754" i="55" s="1"/>
  <c r="AH746" i="55"/>
  <c r="AI746" i="55" s="1"/>
  <c r="AH836" i="55"/>
  <c r="AI836" i="55" s="1"/>
  <c r="AH897" i="55"/>
  <c r="AI897" i="55" s="1"/>
  <c r="AH885" i="55"/>
  <c r="AI885" i="55" s="1"/>
  <c r="AH908" i="55"/>
  <c r="AI908" i="55" s="1"/>
  <c r="AH900" i="55"/>
  <c r="AI900" i="55" s="1"/>
  <c r="AH901" i="55"/>
  <c r="AI901" i="55" s="1"/>
  <c r="AH812" i="55"/>
  <c r="AI812" i="55" s="1"/>
  <c r="AH876" i="55"/>
  <c r="AI876" i="55" s="1"/>
  <c r="AH861" i="55"/>
  <c r="AI861" i="55" s="1"/>
  <c r="AH823" i="55"/>
  <c r="AI823" i="55" s="1"/>
  <c r="AH810" i="55"/>
  <c r="AI810" i="55" s="1"/>
  <c r="AH894" i="55"/>
  <c r="AI894" i="55" s="1"/>
  <c r="AH870" i="55"/>
  <c r="AI870" i="55" s="1"/>
  <c r="AH835" i="55"/>
  <c r="AI835" i="55" s="1"/>
  <c r="AH822" i="55"/>
  <c r="AI822" i="55" s="1"/>
  <c r="AH898" i="55"/>
  <c r="AI898" i="55" s="1"/>
  <c r="AH857" i="55"/>
  <c r="AI857" i="55" s="1"/>
  <c r="AH852" i="55"/>
  <c r="AI852" i="55" s="1"/>
  <c r="AH817" i="55"/>
  <c r="AI817" i="55" s="1"/>
  <c r="AH806" i="55"/>
  <c r="AI806" i="55" s="1"/>
  <c r="AH767" i="55"/>
  <c r="AI767" i="55" s="1"/>
  <c r="AH758" i="55"/>
  <c r="AI758" i="55" s="1"/>
  <c r="AH751" i="55"/>
  <c r="AI751" i="55" s="1"/>
  <c r="AH750" i="55"/>
  <c r="AI750" i="55" s="1"/>
  <c r="AH880" i="55"/>
  <c r="AI880" i="55" s="1"/>
  <c r="AH816" i="55"/>
  <c r="AI816" i="55" s="1"/>
  <c r="AH916" i="55"/>
  <c r="AI916" i="55" s="1"/>
  <c r="AH895" i="55"/>
  <c r="AI895" i="55" s="1"/>
  <c r="AH890" i="55"/>
  <c r="AI890" i="55" s="1"/>
  <c r="AH882" i="55"/>
  <c r="AI882" i="55" s="1"/>
  <c r="AH780" i="55"/>
  <c r="AI780" i="55" s="1"/>
  <c r="AH824" i="55"/>
  <c r="AI824" i="55" s="1"/>
  <c r="AH864" i="55"/>
  <c r="AI864" i="55" s="1"/>
  <c r="AH788" i="55"/>
  <c r="AI788" i="55" s="1"/>
  <c r="AH774" i="55"/>
  <c r="AI774" i="55" s="1"/>
  <c r="AH846" i="55"/>
  <c r="AI846" i="55" s="1"/>
  <c r="AH795" i="55"/>
  <c r="AI795" i="55" s="1"/>
  <c r="AH744" i="55"/>
  <c r="AI744" i="55" s="1"/>
  <c r="AH914" i="55"/>
  <c r="AI914" i="55" s="1"/>
  <c r="AH874" i="55"/>
  <c r="AI874" i="55" s="1"/>
  <c r="AH832" i="55"/>
  <c r="AI832" i="55" s="1"/>
  <c r="AH796" i="55"/>
  <c r="AI796" i="55" s="1"/>
  <c r="AH730" i="55"/>
  <c r="AI730" i="55" s="1"/>
  <c r="AH712" i="55"/>
  <c r="AI712" i="55" s="1"/>
  <c r="AH877" i="55"/>
  <c r="AI877" i="55" s="1"/>
  <c r="AH827" i="55"/>
  <c r="AI827" i="55" s="1"/>
  <c r="AH809" i="55"/>
  <c r="AI809" i="55" s="1"/>
  <c r="AH888" i="55"/>
  <c r="AI888" i="55" s="1"/>
  <c r="AH785" i="55"/>
  <c r="AI785" i="55" s="1"/>
  <c r="AH783" i="55"/>
  <c r="AI783" i="55" s="1"/>
  <c r="AH779" i="55"/>
  <c r="AI779" i="55" s="1"/>
  <c r="AH757" i="55"/>
  <c r="AI757" i="55" s="1"/>
  <c r="AH808" i="55"/>
  <c r="AI808" i="55" s="1"/>
  <c r="AH789" i="55"/>
  <c r="AI789" i="55" s="1"/>
  <c r="AH766" i="55"/>
  <c r="AI766" i="55" s="1"/>
  <c r="AH738" i="55"/>
  <c r="AI738" i="55" s="1"/>
  <c r="AH792" i="55"/>
  <c r="AI792" i="55" s="1"/>
  <c r="AH778" i="55"/>
  <c r="AI778" i="55" s="1"/>
  <c r="AH745" i="55"/>
  <c r="AI745" i="55" s="1"/>
  <c r="AH892" i="55"/>
  <c r="AI892" i="55" s="1"/>
  <c r="AH871" i="55"/>
  <c r="AI871" i="55" s="1"/>
  <c r="AH858" i="55"/>
  <c r="AI858" i="55" s="1"/>
  <c r="AH853" i="55"/>
  <c r="AI853" i="55" s="1"/>
  <c r="AH804" i="55"/>
  <c r="AI804" i="55" s="1"/>
  <c r="AH782" i="55"/>
  <c r="AI782" i="55" s="1"/>
  <c r="AH814" i="55"/>
  <c r="AI814" i="55" s="1"/>
  <c r="AH756" i="55"/>
  <c r="AI756" i="55" s="1"/>
  <c r="AH867" i="55"/>
  <c r="AI867" i="55" s="1"/>
  <c r="AH856" i="55"/>
  <c r="AI856" i="55" s="1"/>
  <c r="AH755" i="55"/>
  <c r="AI755" i="55" s="1"/>
  <c r="AH737" i="55"/>
  <c r="AI737" i="55" s="1"/>
  <c r="AH820" i="55"/>
  <c r="AI820" i="55" s="1"/>
  <c r="AH811" i="55"/>
  <c r="AI811" i="55" s="1"/>
  <c r="AH777" i="55"/>
  <c r="AI777" i="55" s="1"/>
  <c r="AH762" i="55"/>
  <c r="AI762" i="55" s="1"/>
  <c r="AH749" i="55"/>
  <c r="AI749" i="55" s="1"/>
  <c r="AH740" i="55"/>
  <c r="AI740" i="55" s="1"/>
  <c r="AH854" i="55"/>
  <c r="AI854" i="55" s="1"/>
  <c r="AH790" i="55"/>
  <c r="AI790" i="55" s="1"/>
  <c r="AH772" i="55"/>
  <c r="AI772" i="55" s="1"/>
  <c r="AH760" i="55"/>
  <c r="AI760" i="55" s="1"/>
  <c r="AH759" i="55"/>
  <c r="AI759" i="55" s="1"/>
  <c r="AH736" i="55"/>
  <c r="AI736" i="55" s="1"/>
  <c r="AH728" i="55"/>
  <c r="AI728" i="55" s="1"/>
  <c r="AH727" i="55"/>
  <c r="AI727" i="55" s="1"/>
  <c r="AH726" i="55"/>
  <c r="AI726" i="55" s="1"/>
  <c r="AH725" i="55"/>
  <c r="AI725" i="55" s="1"/>
  <c r="AH887" i="55"/>
  <c r="AI887" i="55" s="1"/>
  <c r="AH847" i="55"/>
  <c r="AI847" i="55" s="1"/>
  <c r="AH842" i="55"/>
  <c r="AI842" i="55" s="1"/>
  <c r="AH781" i="55"/>
  <c r="AI781" i="55" s="1"/>
  <c r="AH773" i="55"/>
  <c r="AI773" i="55" s="1"/>
  <c r="AH904" i="55"/>
  <c r="AI904" i="55" s="1"/>
  <c r="AH793" i="55"/>
  <c r="AI793" i="55" s="1"/>
  <c r="AH771" i="55"/>
  <c r="AI771" i="55" s="1"/>
  <c r="AH742" i="55"/>
  <c r="AI742" i="55" s="1"/>
  <c r="AH741" i="55"/>
  <c r="AI741" i="55" s="1"/>
  <c r="AH826" i="55"/>
  <c r="AI826" i="55" s="1"/>
  <c r="AH801" i="55"/>
  <c r="AI801" i="55" s="1"/>
  <c r="AH791" i="55"/>
  <c r="AI791" i="55" s="1"/>
  <c r="AH735" i="55"/>
  <c r="AI735" i="55" s="1"/>
  <c r="AH868" i="55"/>
  <c r="AI868" i="55" s="1"/>
  <c r="AH859" i="55"/>
  <c r="AI859" i="55" s="1"/>
  <c r="AH794" i="55"/>
  <c r="AI794" i="55" s="1"/>
  <c r="AH776" i="55"/>
  <c r="AI776" i="55" s="1"/>
  <c r="AH761" i="55"/>
  <c r="AI761" i="55" s="1"/>
  <c r="AH739" i="55"/>
  <c r="AI739" i="55" s="1"/>
  <c r="AH844" i="55"/>
  <c r="AI844" i="55" s="1"/>
  <c r="AH784" i="55"/>
  <c r="AI784" i="55" s="1"/>
  <c r="AH743" i="55"/>
  <c r="AI743" i="55" s="1"/>
  <c r="AH733" i="55"/>
  <c r="AI733" i="55" s="1"/>
  <c r="AH705" i="55"/>
  <c r="AI705" i="55" s="1"/>
  <c r="AH702" i="55"/>
  <c r="AI702" i="55" s="1"/>
  <c r="AH696" i="55"/>
  <c r="AI696" i="55" s="1"/>
  <c r="AH693" i="55"/>
  <c r="AI693" i="55" s="1"/>
  <c r="AH685" i="55"/>
  <c r="AI685" i="55" s="1"/>
  <c r="AH680" i="55"/>
  <c r="AI680" i="55" s="1"/>
  <c r="AH677" i="55"/>
  <c r="AI677" i="55" s="1"/>
  <c r="AH648" i="55"/>
  <c r="AI648" i="55" s="1"/>
  <c r="AH645" i="55"/>
  <c r="AI645" i="55" s="1"/>
  <c r="AH637" i="55"/>
  <c r="AI637" i="55" s="1"/>
  <c r="AH713" i="55"/>
  <c r="AI713" i="55" s="1"/>
  <c r="AH710" i="55"/>
  <c r="AI710" i="55" s="1"/>
  <c r="AH698" i="55"/>
  <c r="AI698" i="55" s="1"/>
  <c r="AH596" i="55"/>
  <c r="AI596" i="55" s="1"/>
  <c r="AH594" i="55"/>
  <c r="AI594" i="55" s="1"/>
  <c r="AH579" i="55"/>
  <c r="AI579" i="55" s="1"/>
  <c r="AH577" i="55"/>
  <c r="AI577" i="55" s="1"/>
  <c r="AH563" i="55"/>
  <c r="AI563" i="55" s="1"/>
  <c r="AH561" i="55"/>
  <c r="AI561" i="55" s="1"/>
  <c r="AH732" i="55"/>
  <c r="AI732" i="55" s="1"/>
  <c r="AH729" i="55"/>
  <c r="AI729" i="55" s="1"/>
  <c r="AH722" i="55"/>
  <c r="AI722" i="55" s="1"/>
  <c r="AH715" i="55"/>
  <c r="AI715" i="55" s="1"/>
  <c r="AH706" i="55"/>
  <c r="AI706" i="55" s="1"/>
  <c r="AH724" i="55"/>
  <c r="AI724" i="55" s="1"/>
  <c r="AH708" i="55"/>
  <c r="AI708" i="55" s="1"/>
  <c r="AH699" i="55"/>
  <c r="AI699" i="55" s="1"/>
  <c r="AH691" i="55"/>
  <c r="AI691" i="55" s="1"/>
  <c r="AH683" i="55"/>
  <c r="AI683" i="55" s="1"/>
  <c r="AH651" i="55"/>
  <c r="AI651" i="55" s="1"/>
  <c r="AH643" i="55"/>
  <c r="AI643" i="55" s="1"/>
  <c r="AH635" i="55"/>
  <c r="AI635" i="55" s="1"/>
  <c r="AH716" i="55"/>
  <c r="AI716" i="55" s="1"/>
  <c r="AH703" i="55"/>
  <c r="AI703" i="55" s="1"/>
  <c r="AH690" i="55"/>
  <c r="AI690" i="55" s="1"/>
  <c r="AH688" i="55"/>
  <c r="AI688" i="55" s="1"/>
  <c r="AH682" i="55"/>
  <c r="AI682" i="55" s="1"/>
  <c r="AH674" i="55"/>
  <c r="AI674" i="55" s="1"/>
  <c r="AH627" i="55"/>
  <c r="AI627" i="55" s="1"/>
  <c r="AH625" i="55"/>
  <c r="AI625" i="55" s="1"/>
  <c r="AH611" i="55"/>
  <c r="AI611" i="55" s="1"/>
  <c r="AH609" i="55"/>
  <c r="AI609" i="55" s="1"/>
  <c r="AH547" i="55"/>
  <c r="AI547" i="55" s="1"/>
  <c r="AH545" i="55"/>
  <c r="AI545" i="55" s="1"/>
  <c r="AH734" i="55"/>
  <c r="AI734" i="55" s="1"/>
  <c r="AH711" i="55"/>
  <c r="AI711" i="55" s="1"/>
  <c r="AH675" i="55"/>
  <c r="AI675" i="55" s="1"/>
  <c r="AH667" i="55"/>
  <c r="AI667" i="55" s="1"/>
  <c r="AH659" i="55"/>
  <c r="AI659" i="55" s="1"/>
  <c r="AH719" i="55"/>
  <c r="AI719" i="55" s="1"/>
  <c r="AH700" i="55"/>
  <c r="AI700" i="55" s="1"/>
  <c r="AH642" i="55"/>
  <c r="AI642" i="55" s="1"/>
  <c r="AH640" i="55"/>
  <c r="AI640" i="55" s="1"/>
  <c r="AH634" i="55"/>
  <c r="AI634" i="55" s="1"/>
  <c r="AH626" i="55"/>
  <c r="AI626" i="55" s="1"/>
  <c r="AH612" i="55"/>
  <c r="AI612" i="55" s="1"/>
  <c r="AH610" i="55"/>
  <c r="AI610" i="55" s="1"/>
  <c r="AH548" i="55"/>
  <c r="AI548" i="55" s="1"/>
  <c r="AH546" i="55"/>
  <c r="AI546" i="55" s="1"/>
  <c r="AH707" i="55"/>
  <c r="AI707" i="55" s="1"/>
  <c r="AH689" i="55"/>
  <c r="AI689" i="55" s="1"/>
  <c r="AH686" i="55"/>
  <c r="AI686" i="55" s="1"/>
  <c r="AH670" i="55"/>
  <c r="AI670" i="55" s="1"/>
  <c r="AH654" i="55"/>
  <c r="AI654" i="55" s="1"/>
  <c r="AH630" i="55"/>
  <c r="AI630" i="55" s="1"/>
  <c r="AH786" i="55"/>
  <c r="AI786" i="55" s="1"/>
  <c r="AH658" i="55"/>
  <c r="AI658" i="55" s="1"/>
  <c r="AH650" i="55"/>
  <c r="AI650" i="55" s="1"/>
  <c r="AH593" i="55"/>
  <c r="AI593" i="55" s="1"/>
  <c r="AH723" i="55"/>
  <c r="AI723" i="55" s="1"/>
  <c r="AH660" i="55"/>
  <c r="AI660" i="55" s="1"/>
  <c r="AH618" i="55"/>
  <c r="AI618" i="55" s="1"/>
  <c r="AH603" i="55"/>
  <c r="AI603" i="55" s="1"/>
  <c r="AH552" i="55"/>
  <c r="AI552" i="55" s="1"/>
  <c r="AH537" i="55"/>
  <c r="AI537" i="55" s="1"/>
  <c r="AH490" i="55"/>
  <c r="AI490" i="55" s="1"/>
  <c r="AH605" i="55"/>
  <c r="AI605" i="55" s="1"/>
  <c r="AH543" i="55"/>
  <c r="AI543" i="55" s="1"/>
  <c r="AH531" i="55"/>
  <c r="AI531" i="55" s="1"/>
  <c r="AH525" i="55"/>
  <c r="AI525" i="55" s="1"/>
  <c r="AH482" i="55"/>
  <c r="AI482" i="55" s="1"/>
  <c r="AH480" i="55"/>
  <c r="AI480" i="55" s="1"/>
  <c r="AH478" i="55"/>
  <c r="AI478" i="55" s="1"/>
  <c r="AH465" i="55"/>
  <c r="AI465" i="55" s="1"/>
  <c r="AH462" i="55"/>
  <c r="AI462" i="55" s="1"/>
  <c r="AH433" i="55"/>
  <c r="AI433" i="55" s="1"/>
  <c r="AH430" i="55"/>
  <c r="AI430" i="55" s="1"/>
  <c r="AH681" i="55"/>
  <c r="AI681" i="55" s="1"/>
  <c r="AH671" i="55"/>
  <c r="AI671" i="55" s="1"/>
  <c r="AH600" i="55"/>
  <c r="AI600" i="55" s="1"/>
  <c r="AH576" i="55"/>
  <c r="AI576" i="55" s="1"/>
  <c r="AH535" i="55"/>
  <c r="AI535" i="55" s="1"/>
  <c r="AH530" i="55"/>
  <c r="AI530" i="55" s="1"/>
  <c r="AH518" i="55"/>
  <c r="AI518" i="55" s="1"/>
  <c r="AH504" i="55"/>
  <c r="AI504" i="55" s="1"/>
  <c r="AH500" i="55"/>
  <c r="AI500" i="55" s="1"/>
  <c r="AH481" i="55"/>
  <c r="AI481" i="55" s="1"/>
  <c r="AH467" i="55"/>
  <c r="AI467" i="55" s="1"/>
  <c r="AH464" i="55"/>
  <c r="AI464" i="55" s="1"/>
  <c r="AH443" i="55"/>
  <c r="AI443" i="55" s="1"/>
  <c r="AH440" i="55"/>
  <c r="AI440" i="55" s="1"/>
  <c r="AH638" i="55"/>
  <c r="AI638" i="55" s="1"/>
  <c r="AH597" i="55"/>
  <c r="AI597" i="55" s="1"/>
  <c r="AH522" i="55"/>
  <c r="AI522" i="55" s="1"/>
  <c r="AH458" i="55"/>
  <c r="AI458" i="55" s="1"/>
  <c r="AH442" i="55"/>
  <c r="AI442" i="55" s="1"/>
  <c r="AH417" i="55"/>
  <c r="AI417" i="55" s="1"/>
  <c r="AH401" i="55"/>
  <c r="AI401" i="55" s="1"/>
  <c r="AH398" i="55"/>
  <c r="AI398" i="55" s="1"/>
  <c r="AH382" i="55"/>
  <c r="AI382" i="55" s="1"/>
  <c r="AH366" i="55"/>
  <c r="AI366" i="55" s="1"/>
  <c r="AH663" i="55"/>
  <c r="AI663" i="55" s="1"/>
  <c r="AH632" i="55"/>
  <c r="AI632" i="55" s="1"/>
  <c r="AH624" i="55"/>
  <c r="AI624" i="55" s="1"/>
  <c r="AH489" i="55"/>
  <c r="AI489" i="55" s="1"/>
  <c r="AH839" i="55"/>
  <c r="AI839" i="55" s="1"/>
  <c r="AH748" i="55"/>
  <c r="AI748" i="55" s="1"/>
  <c r="AH731" i="55"/>
  <c r="AI731" i="55" s="1"/>
  <c r="AH721" i="55"/>
  <c r="AI721" i="55" s="1"/>
  <c r="AH672" i="55"/>
  <c r="AI672" i="55" s="1"/>
  <c r="AH656" i="55"/>
  <c r="AI656" i="55" s="1"/>
  <c r="AH676" i="55"/>
  <c r="AI676" i="55" s="1"/>
  <c r="AH591" i="55"/>
  <c r="AI591" i="55" s="1"/>
  <c r="AH575" i="55"/>
  <c r="AI575" i="55" s="1"/>
  <c r="AH559" i="55"/>
  <c r="AI559" i="55" s="1"/>
  <c r="AH539" i="55"/>
  <c r="AI539" i="55" s="1"/>
  <c r="AH521" i="55"/>
  <c r="AI521" i="55" s="1"/>
  <c r="AH492" i="55"/>
  <c r="AI492" i="55" s="1"/>
  <c r="AH694" i="55"/>
  <c r="AI694" i="55" s="1"/>
  <c r="AH678" i="55"/>
  <c r="AI678" i="55" s="1"/>
  <c r="AH649" i="55"/>
  <c r="AI649" i="55" s="1"/>
  <c r="AH639" i="55"/>
  <c r="AI639" i="55" s="1"/>
  <c r="AH602" i="55"/>
  <c r="AI602" i="55" s="1"/>
  <c r="AH598" i="55"/>
  <c r="AI598" i="55" s="1"/>
  <c r="AH590" i="55"/>
  <c r="AI590" i="55" s="1"/>
  <c r="AH574" i="55"/>
  <c r="AI574" i="55" s="1"/>
  <c r="AH567" i="55"/>
  <c r="AI567" i="55" s="1"/>
  <c r="AH541" i="55"/>
  <c r="AI541" i="55" s="1"/>
  <c r="AH457" i="55"/>
  <c r="AI457" i="55" s="1"/>
  <c r="AH454" i="55"/>
  <c r="AI454" i="55" s="1"/>
  <c r="AH425" i="55"/>
  <c r="AI425" i="55" s="1"/>
  <c r="AH714" i="55"/>
  <c r="AI714" i="55" s="1"/>
  <c r="AH652" i="55"/>
  <c r="AI652" i="55" s="1"/>
  <c r="AH623" i="55"/>
  <c r="AI623" i="55" s="1"/>
  <c r="AH607" i="55"/>
  <c r="AI607" i="55" s="1"/>
  <c r="AH584" i="55"/>
  <c r="AI584" i="55" s="1"/>
  <c r="AH514" i="55"/>
  <c r="AI514" i="55" s="1"/>
  <c r="AH486" i="55"/>
  <c r="AI486" i="55" s="1"/>
  <c r="AH483" i="55"/>
  <c r="AI483" i="55" s="1"/>
  <c r="AH469" i="55"/>
  <c r="AI469" i="55" s="1"/>
  <c r="AH459" i="55"/>
  <c r="AI459" i="55" s="1"/>
  <c r="AH456" i="55"/>
  <c r="AI456" i="55" s="1"/>
  <c r="AH717" i="55"/>
  <c r="AI717" i="55" s="1"/>
  <c r="AH692" i="55"/>
  <c r="AI692" i="55" s="1"/>
  <c r="AH589" i="55"/>
  <c r="AI589" i="55" s="1"/>
  <c r="AH550" i="55"/>
  <c r="AI550" i="55" s="1"/>
  <c r="AH507" i="55"/>
  <c r="AI507" i="55" s="1"/>
  <c r="AH468" i="55"/>
  <c r="AI468" i="55" s="1"/>
  <c r="AH431" i="55"/>
  <c r="AI431" i="55" s="1"/>
  <c r="AH428" i="55"/>
  <c r="AI428" i="55" s="1"/>
  <c r="AH384" i="55"/>
  <c r="AI384" i="55" s="1"/>
  <c r="AH368" i="55"/>
  <c r="AI368" i="55" s="1"/>
  <c r="AH337" i="55"/>
  <c r="AI337" i="55" s="1"/>
  <c r="AH450" i="55"/>
  <c r="AI450" i="55" s="1"/>
  <c r="AH427" i="55"/>
  <c r="AI427" i="55" s="1"/>
  <c r="AH409" i="55"/>
  <c r="AI409" i="55" s="1"/>
  <c r="AH407" i="55"/>
  <c r="AI407" i="55" s="1"/>
  <c r="AH405" i="55"/>
  <c r="AI405" i="55" s="1"/>
  <c r="AH395" i="55"/>
  <c r="AI395" i="55" s="1"/>
  <c r="AH360" i="55"/>
  <c r="AI360" i="55" s="1"/>
  <c r="AH356" i="55"/>
  <c r="AI356" i="55" s="1"/>
  <c r="AH264" i="55"/>
  <c r="AI264" i="55" s="1"/>
  <c r="AH701" i="55"/>
  <c r="AI701" i="55" s="1"/>
  <c r="AH673" i="55"/>
  <c r="AI673" i="55" s="1"/>
  <c r="AH657" i="55"/>
  <c r="AI657" i="55" s="1"/>
  <c r="AH641" i="55"/>
  <c r="AI641" i="55" s="1"/>
  <c r="AH628" i="55"/>
  <c r="AI628" i="55" s="1"/>
  <c r="AH620" i="55"/>
  <c r="AI620" i="55" s="1"/>
  <c r="AH604" i="55"/>
  <c r="AI604" i="55" s="1"/>
  <c r="AH581" i="55"/>
  <c r="AI581" i="55" s="1"/>
  <c r="AH566" i="55"/>
  <c r="AI566" i="55" s="1"/>
  <c r="AH510" i="55"/>
  <c r="AI510" i="55" s="1"/>
  <c r="AH487" i="55"/>
  <c r="AI487" i="55" s="1"/>
  <c r="AH479" i="55"/>
  <c r="AI479" i="55" s="1"/>
  <c r="AH416" i="55"/>
  <c r="AI416" i="55" s="1"/>
  <c r="AH399" i="55"/>
  <c r="AI399" i="55" s="1"/>
  <c r="AH397" i="55"/>
  <c r="AI397" i="55" s="1"/>
  <c r="AH387" i="55"/>
  <c r="AI387" i="55" s="1"/>
  <c r="AH369" i="55"/>
  <c r="AI369" i="55" s="1"/>
  <c r="AH367" i="55"/>
  <c r="AI367" i="55" s="1"/>
  <c r="AH365" i="55"/>
  <c r="AI365" i="55" s="1"/>
  <c r="AH362" i="55"/>
  <c r="AI362" i="55" s="1"/>
  <c r="AH348" i="55"/>
  <c r="AI348" i="55" s="1"/>
  <c r="AH324" i="55"/>
  <c r="AI324" i="55" s="1"/>
  <c r="AH305" i="55"/>
  <c r="AI305" i="55" s="1"/>
  <c r="AH709" i="55"/>
  <c r="AI709" i="55" s="1"/>
  <c r="AH718" i="55"/>
  <c r="AI718" i="55" s="1"/>
  <c r="AH669" i="55"/>
  <c r="AI669" i="55" s="1"/>
  <c r="AH653" i="55"/>
  <c r="AI653" i="55" s="1"/>
  <c r="AH564" i="55"/>
  <c r="AI564" i="55" s="1"/>
  <c r="AH644" i="55"/>
  <c r="AI644" i="55" s="1"/>
  <c r="AH622" i="55"/>
  <c r="AI622" i="55" s="1"/>
  <c r="AH615" i="55"/>
  <c r="AI615" i="55" s="1"/>
  <c r="AH583" i="55"/>
  <c r="AI583" i="55" s="1"/>
  <c r="AH523" i="55"/>
  <c r="AI523" i="55" s="1"/>
  <c r="AH474" i="55"/>
  <c r="AI474" i="55" s="1"/>
  <c r="AH704" i="55"/>
  <c r="AI704" i="55" s="1"/>
  <c r="AH684" i="55"/>
  <c r="AI684" i="55" s="1"/>
  <c r="AH668" i="55"/>
  <c r="AI668" i="55" s="1"/>
  <c r="AH617" i="55"/>
  <c r="AI617" i="55" s="1"/>
  <c r="AH558" i="55"/>
  <c r="AI558" i="55" s="1"/>
  <c r="AH551" i="55"/>
  <c r="AI551" i="55" s="1"/>
  <c r="AH513" i="55"/>
  <c r="AI513" i="55" s="1"/>
  <c r="AH511" i="55"/>
  <c r="AI511" i="55" s="1"/>
  <c r="AH497" i="55"/>
  <c r="AI497" i="55" s="1"/>
  <c r="AH494" i="55"/>
  <c r="AI494" i="55" s="1"/>
  <c r="AH449" i="55"/>
  <c r="AI449" i="55" s="1"/>
  <c r="AH446" i="55"/>
  <c r="AI446" i="55" s="1"/>
  <c r="AH697" i="55"/>
  <c r="AI697" i="55" s="1"/>
  <c r="AH687" i="55"/>
  <c r="AI687" i="55" s="1"/>
  <c r="AH665" i="55"/>
  <c r="AI665" i="55" s="1"/>
  <c r="AH662" i="55"/>
  <c r="AI662" i="55" s="1"/>
  <c r="AH646" i="55"/>
  <c r="AI646" i="55" s="1"/>
  <c r="AH631" i="55"/>
  <c r="AI631" i="55" s="1"/>
  <c r="AH588" i="55"/>
  <c r="AI588" i="55" s="1"/>
  <c r="AH572" i="55"/>
  <c r="AI572" i="55" s="1"/>
  <c r="AH565" i="55"/>
  <c r="AI565" i="55" s="1"/>
  <c r="AH553" i="55"/>
  <c r="AI553" i="55" s="1"/>
  <c r="AH549" i="55"/>
  <c r="AI549" i="55" s="1"/>
  <c r="AH533" i="55"/>
  <c r="AI533" i="55" s="1"/>
  <c r="AH516" i="55"/>
  <c r="AI516" i="55" s="1"/>
  <c r="AH502" i="55"/>
  <c r="AI502" i="55" s="1"/>
  <c r="AH451" i="55"/>
  <c r="AI451" i="55" s="1"/>
  <c r="AH557" i="55"/>
  <c r="AI557" i="55" s="1"/>
  <c r="AH538" i="55"/>
  <c r="AI538" i="55" s="1"/>
  <c r="AH475" i="55"/>
  <c r="AI475" i="55" s="1"/>
  <c r="AH461" i="55"/>
  <c r="AI461" i="55" s="1"/>
  <c r="AH419" i="55"/>
  <c r="AI419" i="55" s="1"/>
  <c r="AH403" i="55"/>
  <c r="AI403" i="55" s="1"/>
  <c r="AH800" i="55"/>
  <c r="AI800" i="55" s="1"/>
  <c r="AH661" i="55"/>
  <c r="AI661" i="55" s="1"/>
  <c r="AH562" i="55"/>
  <c r="AI562" i="55" s="1"/>
  <c r="AH587" i="55"/>
  <c r="AI587" i="55" s="1"/>
  <c r="AH476" i="55"/>
  <c r="AI476" i="55" s="1"/>
  <c r="AH633" i="55"/>
  <c r="AI633" i="55" s="1"/>
  <c r="AH586" i="55"/>
  <c r="AI586" i="55" s="1"/>
  <c r="AH570" i="55"/>
  <c r="AI570" i="55" s="1"/>
  <c r="AH555" i="55"/>
  <c r="AI555" i="55" s="1"/>
  <c r="AH529" i="55"/>
  <c r="AI529" i="55" s="1"/>
  <c r="AH509" i="55"/>
  <c r="AI509" i="55" s="1"/>
  <c r="AH619" i="55"/>
  <c r="AI619" i="55" s="1"/>
  <c r="AH488" i="55"/>
  <c r="AI488" i="55" s="1"/>
  <c r="AH339" i="55"/>
  <c r="AI339" i="55" s="1"/>
  <c r="AH568" i="55"/>
  <c r="AI568" i="55" s="1"/>
  <c r="AH536" i="55"/>
  <c r="AI536" i="55" s="1"/>
  <c r="AH512" i="55"/>
  <c r="AI512" i="55" s="1"/>
  <c r="AH393" i="55"/>
  <c r="AI393" i="55" s="1"/>
  <c r="AH386" i="55"/>
  <c r="AI386" i="55" s="1"/>
  <c r="AH379" i="55"/>
  <c r="AI379" i="55" s="1"/>
  <c r="AH273" i="55"/>
  <c r="AI273" i="55" s="1"/>
  <c r="AH270" i="55"/>
  <c r="AI270" i="55" s="1"/>
  <c r="AH248" i="55"/>
  <c r="AI248" i="55" s="1"/>
  <c r="AH526" i="55"/>
  <c r="AI526" i="55" s="1"/>
  <c r="AH495" i="55"/>
  <c r="AI495" i="55" s="1"/>
  <c r="AH445" i="55"/>
  <c r="AI445" i="55" s="1"/>
  <c r="AH414" i="55"/>
  <c r="AI414" i="55" s="1"/>
  <c r="AH381" i="55"/>
  <c r="AI381" i="55" s="1"/>
  <c r="AH353" i="55"/>
  <c r="AI353" i="55" s="1"/>
  <c r="AH346" i="55"/>
  <c r="AI346" i="55" s="1"/>
  <c r="AH271" i="55"/>
  <c r="AI271" i="55" s="1"/>
  <c r="AH265" i="55"/>
  <c r="AI265" i="55" s="1"/>
  <c r="AH261" i="55"/>
  <c r="AI261" i="55" s="1"/>
  <c r="AH252" i="55"/>
  <c r="AI252" i="55" s="1"/>
  <c r="AH601" i="55"/>
  <c r="AI601" i="55" s="1"/>
  <c r="AH392" i="55"/>
  <c r="AI392" i="55" s="1"/>
  <c r="AH329" i="55"/>
  <c r="AI329" i="55" s="1"/>
  <c r="AH298" i="55"/>
  <c r="AI298" i="55" s="1"/>
  <c r="AH246" i="55"/>
  <c r="AI246" i="55" s="1"/>
  <c r="AH493" i="55"/>
  <c r="AI493" i="55" s="1"/>
  <c r="AH422" i="55"/>
  <c r="AI422" i="55" s="1"/>
  <c r="AH400" i="55"/>
  <c r="AI400" i="55" s="1"/>
  <c r="AH343" i="55"/>
  <c r="AI343" i="55" s="1"/>
  <c r="AH335" i="55"/>
  <c r="AI335" i="55" s="1"/>
  <c r="AH508" i="55"/>
  <c r="AI508" i="55" s="1"/>
  <c r="AH485" i="55"/>
  <c r="AI485" i="55" s="1"/>
  <c r="AH437" i="55"/>
  <c r="AI437" i="55" s="1"/>
  <c r="AH396" i="55"/>
  <c r="AI396" i="55" s="1"/>
  <c r="AH380" i="55"/>
  <c r="AI380" i="55" s="1"/>
  <c r="AH373" i="55"/>
  <c r="AI373" i="55" s="1"/>
  <c r="AH357" i="55"/>
  <c r="AI357" i="55" s="1"/>
  <c r="AH349" i="55"/>
  <c r="AI349" i="55" s="1"/>
  <c r="AH327" i="55"/>
  <c r="AI327" i="55" s="1"/>
  <c r="AH309" i="55"/>
  <c r="AI309" i="55" s="1"/>
  <c r="AH256" i="55"/>
  <c r="AI256" i="55" s="1"/>
  <c r="AH679" i="55"/>
  <c r="AI679" i="55" s="1"/>
  <c r="AH599" i="55"/>
  <c r="AI599" i="55" s="1"/>
  <c r="AH720" i="55"/>
  <c r="AI720" i="55" s="1"/>
  <c r="AH629" i="55"/>
  <c r="AI629" i="55" s="1"/>
  <c r="AH582" i="55"/>
  <c r="AI582" i="55" s="1"/>
  <c r="AH527" i="55"/>
  <c r="AI527" i="55" s="1"/>
  <c r="AH515" i="55"/>
  <c r="AI515" i="55" s="1"/>
  <c r="AH636" i="55"/>
  <c r="AI636" i="55" s="1"/>
  <c r="AH498" i="55"/>
  <c r="AI498" i="55" s="1"/>
  <c r="AH466" i="55"/>
  <c r="AI466" i="55" s="1"/>
  <c r="AH434" i="55"/>
  <c r="AI434" i="55" s="1"/>
  <c r="AH421" i="55"/>
  <c r="AI421" i="55" s="1"/>
  <c r="AH377" i="55"/>
  <c r="AI377" i="55" s="1"/>
  <c r="AH344" i="55"/>
  <c r="AI344" i="55" s="1"/>
  <c r="AH289" i="55"/>
  <c r="AI289" i="55" s="1"/>
  <c r="AH286" i="55"/>
  <c r="AI286" i="55" s="1"/>
  <c r="AH283" i="55"/>
  <c r="AI283" i="55" s="1"/>
  <c r="AH257" i="55"/>
  <c r="AI257" i="55" s="1"/>
  <c r="AH255" i="55"/>
  <c r="AI255" i="55" s="1"/>
  <c r="AH556" i="55"/>
  <c r="AI556" i="55" s="1"/>
  <c r="AH542" i="55"/>
  <c r="AI542" i="55" s="1"/>
  <c r="AH484" i="55"/>
  <c r="AI484" i="55" s="1"/>
  <c r="AH439" i="55"/>
  <c r="AI439" i="55" s="1"/>
  <c r="AH383" i="55"/>
  <c r="AI383" i="55" s="1"/>
  <c r="AH371" i="55"/>
  <c r="AI371" i="55" s="1"/>
  <c r="AH350" i="55"/>
  <c r="AI350" i="55" s="1"/>
  <c r="AH334" i="55"/>
  <c r="AI334" i="55" s="1"/>
  <c r="AH332" i="55"/>
  <c r="AI332" i="55" s="1"/>
  <c r="AH330" i="55"/>
  <c r="AI330" i="55" s="1"/>
  <c r="AH308" i="55"/>
  <c r="AI308" i="55" s="1"/>
  <c r="AH296" i="55"/>
  <c r="AI296" i="55" s="1"/>
  <c r="AH290" i="55"/>
  <c r="AI290" i="55" s="1"/>
  <c r="AH287" i="55"/>
  <c r="AI287" i="55" s="1"/>
  <c r="AH258" i="55"/>
  <c r="AI258" i="55" s="1"/>
  <c r="AH249" i="55"/>
  <c r="AI249" i="55" s="1"/>
  <c r="AH245" i="55"/>
  <c r="AI245" i="55" s="1"/>
  <c r="AH408" i="55"/>
  <c r="AI408" i="55" s="1"/>
  <c r="AH311" i="55"/>
  <c r="AI311" i="55" s="1"/>
  <c r="AH278" i="55"/>
  <c r="AI278" i="55" s="1"/>
  <c r="AH444" i="55"/>
  <c r="AI444" i="55" s="1"/>
  <c r="AH413" i="55"/>
  <c r="AI413" i="55" s="1"/>
  <c r="AH390" i="55"/>
  <c r="AI390" i="55" s="1"/>
  <c r="AH297" i="55"/>
  <c r="AI297" i="55" s="1"/>
  <c r="AH284" i="55"/>
  <c r="AI284" i="55" s="1"/>
  <c r="AH263" i="55"/>
  <c r="AI263" i="55" s="1"/>
  <c r="AH524" i="55"/>
  <c r="AI524" i="55" s="1"/>
  <c r="AH470" i="55"/>
  <c r="AI470" i="55" s="1"/>
  <c r="AH420" i="55"/>
  <c r="AI420" i="55" s="1"/>
  <c r="AH301" i="55"/>
  <c r="AI301" i="55" s="1"/>
  <c r="AH288" i="55"/>
  <c r="AI288" i="55" s="1"/>
  <c r="AH282" i="55"/>
  <c r="AI282" i="55" s="1"/>
  <c r="AH275" i="55"/>
  <c r="AI275" i="55" s="1"/>
  <c r="AH269" i="55"/>
  <c r="AI269" i="55" s="1"/>
  <c r="AH262" i="55"/>
  <c r="AI262" i="55" s="1"/>
  <c r="AH666" i="55"/>
  <c r="AI666" i="55" s="1"/>
  <c r="AH578" i="55"/>
  <c r="AI578" i="55" s="1"/>
  <c r="AH506" i="55"/>
  <c r="AI506" i="55" s="1"/>
  <c r="AH614" i="55"/>
  <c r="AI614" i="55" s="1"/>
  <c r="AH499" i="55"/>
  <c r="AI499" i="55" s="1"/>
  <c r="AH441" i="55"/>
  <c r="AI441" i="55" s="1"/>
  <c r="AH655" i="55"/>
  <c r="AI655" i="55" s="1"/>
  <c r="AH491" i="55"/>
  <c r="AI491" i="55" s="1"/>
  <c r="AH585" i="55"/>
  <c r="AI585" i="55" s="1"/>
  <c r="AH528" i="55"/>
  <c r="AI528" i="55" s="1"/>
  <c r="AH505" i="55"/>
  <c r="AI505" i="55" s="1"/>
  <c r="AH473" i="55"/>
  <c r="AI473" i="55" s="1"/>
  <c r="AH423" i="55"/>
  <c r="AI423" i="55" s="1"/>
  <c r="AH411" i="55"/>
  <c r="AI411" i="55" s="1"/>
  <c r="AH389" i="55"/>
  <c r="AI389" i="55" s="1"/>
  <c r="AH374" i="55"/>
  <c r="AI374" i="55" s="1"/>
  <c r="AH372" i="55"/>
  <c r="AI372" i="55" s="1"/>
  <c r="AH370" i="55"/>
  <c r="AI370" i="55" s="1"/>
  <c r="AH354" i="55"/>
  <c r="AI354" i="55" s="1"/>
  <c r="AH302" i="55"/>
  <c r="AI302" i="55" s="1"/>
  <c r="AH299" i="55"/>
  <c r="AI299" i="55" s="1"/>
  <c r="AH613" i="55"/>
  <c r="AI613" i="55" s="1"/>
  <c r="AH534" i="55"/>
  <c r="AI534" i="55" s="1"/>
  <c r="AH519" i="55"/>
  <c r="AI519" i="55" s="1"/>
  <c r="AH436" i="55"/>
  <c r="AI436" i="55" s="1"/>
  <c r="AH385" i="55"/>
  <c r="AI385" i="55" s="1"/>
  <c r="AH355" i="55"/>
  <c r="AI355" i="55" s="1"/>
  <c r="AH321" i="55"/>
  <c r="AI321" i="55" s="1"/>
  <c r="AH318" i="55"/>
  <c r="AI318" i="55" s="1"/>
  <c r="AH312" i="55"/>
  <c r="AI312" i="55" s="1"/>
  <c r="AH303" i="55"/>
  <c r="AI303" i="55" s="1"/>
  <c r="AH277" i="55"/>
  <c r="AI277" i="55" s="1"/>
  <c r="AH517" i="55"/>
  <c r="AI517" i="55" s="1"/>
  <c r="AH426" i="55"/>
  <c r="AI426" i="55" s="1"/>
  <c r="AH325" i="55"/>
  <c r="AI325" i="55" s="1"/>
  <c r="AH293" i="55"/>
  <c r="AI293" i="55" s="1"/>
  <c r="AH272" i="55"/>
  <c r="AI272" i="55" s="1"/>
  <c r="AH259" i="55"/>
  <c r="AI259" i="55" s="1"/>
  <c r="AH251" i="55"/>
  <c r="AI251" i="55" s="1"/>
  <c r="AH554" i="55"/>
  <c r="AI554" i="55" s="1"/>
  <c r="AH532" i="55"/>
  <c r="AI532" i="55" s="1"/>
  <c r="AH460" i="55"/>
  <c r="AI460" i="55" s="1"/>
  <c r="AH435" i="55"/>
  <c r="AI435" i="55" s="1"/>
  <c r="AH375" i="55"/>
  <c r="AI375" i="55" s="1"/>
  <c r="AH359" i="55"/>
  <c r="AI359" i="55" s="1"/>
  <c r="AH351" i="55"/>
  <c r="AI351" i="55" s="1"/>
  <c r="AH328" i="55"/>
  <c r="AI328" i="55" s="1"/>
  <c r="AH310" i="55"/>
  <c r="AI310" i="55" s="1"/>
  <c r="AH276" i="55"/>
  <c r="AI276" i="55" s="1"/>
  <c r="AH250" i="55"/>
  <c r="AI250" i="55" s="1"/>
  <c r="AH580" i="55"/>
  <c r="AI580" i="55" s="1"/>
  <c r="AH544" i="55"/>
  <c r="AI544" i="55" s="1"/>
  <c r="AH453" i="55"/>
  <c r="AI453" i="55" s="1"/>
  <c r="AH432" i="55"/>
  <c r="AI432" i="55" s="1"/>
  <c r="AH412" i="55"/>
  <c r="AI412" i="55" s="1"/>
  <c r="AH341" i="55"/>
  <c r="AI341" i="55" s="1"/>
  <c r="AH333" i="55"/>
  <c r="AI333" i="55" s="1"/>
  <c r="AH322" i="55"/>
  <c r="AI322" i="55" s="1"/>
  <c r="AH314" i="55"/>
  <c r="AI314" i="55" s="1"/>
  <c r="AH664" i="55"/>
  <c r="AI664" i="55" s="1"/>
  <c r="AH595" i="55"/>
  <c r="AI595" i="55" s="1"/>
  <c r="AH695" i="55"/>
  <c r="AI695" i="55" s="1"/>
  <c r="AH606" i="55"/>
  <c r="AI606" i="55" s="1"/>
  <c r="AH571" i="55"/>
  <c r="AI571" i="55" s="1"/>
  <c r="AH621" i="55"/>
  <c r="AI621" i="55" s="1"/>
  <c r="AH438" i="55"/>
  <c r="AI438" i="55" s="1"/>
  <c r="AH560" i="55"/>
  <c r="AI560" i="55" s="1"/>
  <c r="AH471" i="55"/>
  <c r="AI471" i="55" s="1"/>
  <c r="AH452" i="55"/>
  <c r="AI452" i="55" s="1"/>
  <c r="AH647" i="55"/>
  <c r="AI647" i="55" s="1"/>
  <c r="AH447" i="55"/>
  <c r="AI447" i="55" s="1"/>
  <c r="AH391" i="55"/>
  <c r="AI391" i="55" s="1"/>
  <c r="AH358" i="55"/>
  <c r="AI358" i="55" s="1"/>
  <c r="AH342" i="55"/>
  <c r="AI342" i="55" s="1"/>
  <c r="AH320" i="55"/>
  <c r="AI320" i="55" s="1"/>
  <c r="AH317" i="55"/>
  <c r="AI317" i="55" s="1"/>
  <c r="AH315" i="55"/>
  <c r="AI315" i="55" s="1"/>
  <c r="AH573" i="55"/>
  <c r="AI573" i="55" s="1"/>
  <c r="AH503" i="55"/>
  <c r="AI503" i="55" s="1"/>
  <c r="AH496" i="55"/>
  <c r="AI496" i="55" s="1"/>
  <c r="AH455" i="55"/>
  <c r="AI455" i="55" s="1"/>
  <c r="AH336" i="55"/>
  <c r="AI336" i="55" s="1"/>
  <c r="AH274" i="55"/>
  <c r="AI274" i="55" s="1"/>
  <c r="AH477" i="55"/>
  <c r="AI477" i="55" s="1"/>
  <c r="AH415" i="55"/>
  <c r="AI415" i="55" s="1"/>
  <c r="AH361" i="55"/>
  <c r="AI361" i="55" s="1"/>
  <c r="AH345" i="55"/>
  <c r="AI345" i="55" s="1"/>
  <c r="AH338" i="55"/>
  <c r="AI338" i="55" s="1"/>
  <c r="AH319" i="55"/>
  <c r="AI319" i="55" s="1"/>
  <c r="AH306" i="55"/>
  <c r="AI306" i="55" s="1"/>
  <c r="AH291" i="55"/>
  <c r="AI291" i="55" s="1"/>
  <c r="AH285" i="55"/>
  <c r="AI285" i="55" s="1"/>
  <c r="AH592" i="55"/>
  <c r="AI592" i="55" s="1"/>
  <c r="AH472" i="55"/>
  <c r="AI472" i="55" s="1"/>
  <c r="AH406" i="55"/>
  <c r="AI406" i="55" s="1"/>
  <c r="AH323" i="55"/>
  <c r="AI323" i="55" s="1"/>
  <c r="AH616" i="55"/>
  <c r="AI616" i="55" s="1"/>
  <c r="AH404" i="55"/>
  <c r="AI404" i="55" s="1"/>
  <c r="AH388" i="55"/>
  <c r="AI388" i="55" s="1"/>
  <c r="AH376" i="55"/>
  <c r="AI376" i="55" s="1"/>
  <c r="AH316" i="55"/>
  <c r="AI316" i="55" s="1"/>
  <c r="AH295" i="55"/>
  <c r="AI295" i="55" s="1"/>
  <c r="AH267" i="55"/>
  <c r="AI267" i="55" s="1"/>
  <c r="AH254" i="55"/>
  <c r="AI254" i="55" s="1"/>
  <c r="AH313" i="55"/>
  <c r="AI313" i="55" s="1"/>
  <c r="AH281" i="55"/>
  <c r="AI281" i="55" s="1"/>
  <c r="AH279" i="55"/>
  <c r="AI279" i="55" s="1"/>
  <c r="AH569" i="55"/>
  <c r="AI569" i="55" s="1"/>
  <c r="AH540" i="55"/>
  <c r="AI540" i="55" s="1"/>
  <c r="AH463" i="55"/>
  <c r="AI463" i="55" s="1"/>
  <c r="AH448" i="55"/>
  <c r="AI448" i="55" s="1"/>
  <c r="AH352" i="55"/>
  <c r="AI352" i="55" s="1"/>
  <c r="AH326" i="55"/>
  <c r="AI326" i="55" s="1"/>
  <c r="AH304" i="55"/>
  <c r="AI304" i="55" s="1"/>
  <c r="AH294" i="55"/>
  <c r="AI294" i="55" s="1"/>
  <c r="AH280" i="55"/>
  <c r="AI280" i="55" s="1"/>
  <c r="AH266" i="55"/>
  <c r="AI266" i="55" s="1"/>
  <c r="AH347" i="55"/>
  <c r="AI347" i="55" s="1"/>
  <c r="AH363" i="55"/>
  <c r="AI363" i="55" s="1"/>
  <c r="AH331" i="55"/>
  <c r="AI331" i="55" s="1"/>
  <c r="AH429" i="55"/>
  <c r="AI429" i="55" s="1"/>
  <c r="AH424" i="55"/>
  <c r="AI424" i="55" s="1"/>
  <c r="AH364" i="55"/>
  <c r="AI364" i="55" s="1"/>
  <c r="AH608" i="55"/>
  <c r="AI608" i="55" s="1"/>
  <c r="AH260" i="55"/>
  <c r="AI260" i="55" s="1"/>
  <c r="AH520" i="55"/>
  <c r="AI520" i="55" s="1"/>
  <c r="AH501" i="55"/>
  <c r="AI501" i="55" s="1"/>
  <c r="AH410" i="55"/>
  <c r="AI410" i="55" s="1"/>
  <c r="AH394" i="55"/>
  <c r="AI394" i="55" s="1"/>
  <c r="AH340" i="55"/>
  <c r="AI340" i="55" s="1"/>
  <c r="AH307" i="55"/>
  <c r="AI307" i="55" s="1"/>
  <c r="AH300" i="55"/>
  <c r="AI300" i="55" s="1"/>
  <c r="AH292" i="55"/>
  <c r="AI292" i="55" s="1"/>
  <c r="AH268" i="55"/>
  <c r="AI268" i="55" s="1"/>
  <c r="AH253" i="55"/>
  <c r="AI253" i="55" s="1"/>
  <c r="AH247" i="55"/>
  <c r="AI247" i="55" s="1"/>
  <c r="AH418" i="55"/>
  <c r="AI418" i="55" s="1"/>
  <c r="AH402" i="55"/>
  <c r="AI402" i="55" s="1"/>
  <c r="AH378" i="55"/>
  <c r="AI378" i="55" s="1"/>
  <c r="AN268" i="55" l="1"/>
  <c r="AN424" i="55"/>
  <c r="AN463" i="55"/>
  <c r="AN295" i="55"/>
  <c r="AN306" i="55"/>
  <c r="AN336" i="55"/>
  <c r="AN647" i="55"/>
  <c r="AN322" i="55"/>
  <c r="AN250" i="55"/>
  <c r="AN259" i="55"/>
  <c r="AN385" i="55"/>
  <c r="AN411" i="55"/>
  <c r="AN578" i="55"/>
  <c r="AN284" i="55"/>
  <c r="AN290" i="55"/>
  <c r="AN556" i="55"/>
  <c r="AN636" i="55"/>
  <c r="AN357" i="55"/>
  <c r="AN246" i="55"/>
  <c r="AN271" i="55"/>
  <c r="AN386" i="55"/>
  <c r="AN586" i="55"/>
  <c r="AN557" i="55"/>
  <c r="AN662" i="55"/>
  <c r="AN617" i="55"/>
  <c r="AN669" i="55"/>
  <c r="AN399" i="55"/>
  <c r="AN673" i="55"/>
  <c r="AN409" i="55"/>
  <c r="AN692" i="55"/>
  <c r="AN714" i="55"/>
  <c r="AN678" i="55"/>
  <c r="AN731" i="55"/>
  <c r="AN442" i="55"/>
  <c r="AN518" i="55"/>
  <c r="AN433" i="55"/>
  <c r="AN552" i="55"/>
  <c r="AN686" i="55"/>
  <c r="AN634" i="55"/>
  <c r="AN711" i="55"/>
  <c r="AN703" i="55"/>
  <c r="AN722" i="55"/>
  <c r="AN637" i="55"/>
  <c r="AN776" i="55"/>
  <c r="AN904" i="55"/>
  <c r="AN760" i="55"/>
  <c r="AN856" i="55"/>
  <c r="AN792" i="55"/>
  <c r="AN877" i="55"/>
  <c r="AN795" i="55"/>
  <c r="AN880" i="55"/>
  <c r="AN870" i="55"/>
  <c r="AN900" i="55"/>
  <c r="AN875" i="55"/>
  <c r="AN753" i="55"/>
  <c r="AN802" i="55"/>
  <c r="AN881" i="55"/>
  <c r="AN906" i="55"/>
  <c r="AN394" i="55"/>
  <c r="AN260" i="55"/>
  <c r="AN540" i="55"/>
  <c r="AN378" i="55"/>
  <c r="AN253" i="55"/>
  <c r="AN307" i="55"/>
  <c r="AN501" i="55"/>
  <c r="AN364" i="55"/>
  <c r="AN363" i="55"/>
  <c r="AN294" i="55"/>
  <c r="AN448" i="55"/>
  <c r="AN279" i="55"/>
  <c r="AN267" i="55"/>
  <c r="AN388" i="55"/>
  <c r="AN406" i="55"/>
  <c r="AN291" i="55"/>
  <c r="AN345" i="55"/>
  <c r="AN274" i="55"/>
  <c r="AN503" i="55"/>
  <c r="AN320" i="55"/>
  <c r="AN447" i="55"/>
  <c r="AN560" i="55"/>
  <c r="AN606" i="55"/>
  <c r="AN314" i="55"/>
  <c r="AN412" i="55"/>
  <c r="AN580" i="55"/>
  <c r="AN328" i="55"/>
  <c r="AN435" i="55"/>
  <c r="AN251" i="55"/>
  <c r="AN325" i="55"/>
  <c r="AN303" i="55"/>
  <c r="AN355" i="55"/>
  <c r="AN534" i="55"/>
  <c r="AN354" i="55"/>
  <c r="AN389" i="55"/>
  <c r="AN505" i="55"/>
  <c r="AN655" i="55"/>
  <c r="AN506" i="55"/>
  <c r="AN269" i="55"/>
  <c r="AN301" i="55"/>
  <c r="AN263" i="55"/>
  <c r="AN413" i="55"/>
  <c r="AN408" i="55"/>
  <c r="AN287" i="55"/>
  <c r="AN330" i="55"/>
  <c r="AN371" i="55"/>
  <c r="AN542" i="55"/>
  <c r="AN283" i="55"/>
  <c r="AN377" i="55"/>
  <c r="AN498" i="55"/>
  <c r="AN582" i="55"/>
  <c r="AN679" i="55"/>
  <c r="AN349" i="55"/>
  <c r="AN396" i="55"/>
  <c r="AN335" i="55"/>
  <c r="AN493" i="55"/>
  <c r="AN392" i="55"/>
  <c r="AN265" i="55"/>
  <c r="AN381" i="55"/>
  <c r="AN526" i="55"/>
  <c r="AN379" i="55"/>
  <c r="AN536" i="55"/>
  <c r="AN619" i="55"/>
  <c r="AN570" i="55"/>
  <c r="AN587" i="55"/>
  <c r="AN403" i="55"/>
  <c r="AN538" i="55"/>
  <c r="AN516" i="55"/>
  <c r="AN565" i="55"/>
  <c r="AN646" i="55"/>
  <c r="AN697" i="55"/>
  <c r="AN497" i="55"/>
  <c r="AN558" i="55"/>
  <c r="AN704" i="55"/>
  <c r="AN615" i="55"/>
  <c r="AN653" i="55"/>
  <c r="AN305" i="55"/>
  <c r="AN365" i="55"/>
  <c r="AN397" i="55"/>
  <c r="AN487" i="55"/>
  <c r="AN604" i="55"/>
  <c r="AN657" i="55"/>
  <c r="AN356" i="55"/>
  <c r="AN407" i="55"/>
  <c r="AN337" i="55"/>
  <c r="AN431" i="55"/>
  <c r="AN589" i="55"/>
  <c r="AN459" i="55"/>
  <c r="AN514" i="55"/>
  <c r="AN652" i="55"/>
  <c r="AN457" i="55"/>
  <c r="AN590" i="55"/>
  <c r="AN649" i="55"/>
  <c r="AN521" i="55"/>
  <c r="AN591" i="55"/>
  <c r="AN721" i="55"/>
  <c r="AN489" i="55"/>
  <c r="AN366" i="55"/>
  <c r="AN417" i="55"/>
  <c r="AN597" i="55"/>
  <c r="AN464" i="55"/>
  <c r="AN504" i="55"/>
  <c r="AN576" i="55"/>
  <c r="AN430" i="55"/>
  <c r="AN478" i="55"/>
  <c r="AN531" i="55"/>
  <c r="AN537" i="55"/>
  <c r="AN660" i="55"/>
  <c r="AN658" i="55"/>
  <c r="AN670" i="55"/>
  <c r="AN546" i="55"/>
  <c r="AN626" i="55"/>
  <c r="AN700" i="55"/>
  <c r="AN675" i="55"/>
  <c r="AN547" i="55"/>
  <c r="AN627" i="55"/>
  <c r="AN690" i="55"/>
  <c r="AN643" i="55"/>
  <c r="AN699" i="55"/>
  <c r="AN715" i="55"/>
  <c r="AN561" i="55"/>
  <c r="AN594" i="55"/>
  <c r="AN713" i="55"/>
  <c r="AN677" i="55"/>
  <c r="AN696" i="55"/>
  <c r="AN743" i="55"/>
  <c r="AN761" i="55"/>
  <c r="AN868" i="55"/>
  <c r="AN826" i="55"/>
  <c r="AN793" i="55"/>
  <c r="AN842" i="55"/>
  <c r="AN726" i="55"/>
  <c r="AN759" i="55"/>
  <c r="AN854" i="55"/>
  <c r="AN777" i="55"/>
  <c r="AN755" i="55"/>
  <c r="AN814" i="55"/>
  <c r="AN858" i="55"/>
  <c r="AN778" i="55"/>
  <c r="AN789" i="55"/>
  <c r="AN783" i="55"/>
  <c r="AN827" i="55"/>
  <c r="AN796" i="55"/>
  <c r="AN744" i="55"/>
  <c r="AN788" i="55"/>
  <c r="AN882" i="55"/>
  <c r="AN816" i="55"/>
  <c r="AN758" i="55"/>
  <c r="AN852" i="55"/>
  <c r="AN835" i="55"/>
  <c r="AN823" i="55"/>
  <c r="AN901" i="55"/>
  <c r="AN897" i="55"/>
  <c r="AN764" i="55"/>
  <c r="AN865" i="55"/>
  <c r="AN830" i="55"/>
  <c r="AN878" i="55"/>
  <c r="AN818" i="55"/>
  <c r="AN910" i="55"/>
  <c r="AN752" i="55"/>
  <c r="AN769" i="55"/>
  <c r="AN775" i="55"/>
  <c r="AN799" i="55"/>
  <c r="AN840" i="55"/>
  <c r="AN831" i="55"/>
  <c r="AN879" i="55"/>
  <c r="AN829" i="55"/>
  <c r="AN855" i="55"/>
  <c r="AN902" i="55"/>
  <c r="AN903" i="55"/>
  <c r="AN907" i="55"/>
  <c r="AN841" i="55"/>
  <c r="AN340" i="55"/>
  <c r="AN304" i="55"/>
  <c r="AN404" i="55"/>
  <c r="AN361" i="55"/>
  <c r="AN342" i="55"/>
  <c r="AN695" i="55"/>
  <c r="AN460" i="55"/>
  <c r="AN312" i="55"/>
  <c r="AN370" i="55"/>
  <c r="AN441" i="55"/>
  <c r="AN420" i="55"/>
  <c r="AN245" i="55"/>
  <c r="AN383" i="55"/>
  <c r="AN421" i="55"/>
  <c r="AN256" i="55"/>
  <c r="AN343" i="55"/>
  <c r="AN414" i="55"/>
  <c r="AN568" i="55"/>
  <c r="AN562" i="55"/>
  <c r="AN533" i="55"/>
  <c r="AN446" i="55"/>
  <c r="AN622" i="55"/>
  <c r="AN367" i="55"/>
  <c r="AN620" i="55"/>
  <c r="AN368" i="55"/>
  <c r="AN469" i="55"/>
  <c r="AN541" i="55"/>
  <c r="AN539" i="55"/>
  <c r="AN382" i="55"/>
  <c r="AN467" i="55"/>
  <c r="AN480" i="55"/>
  <c r="AN723" i="55"/>
  <c r="AN719" i="55"/>
  <c r="AN674" i="55"/>
  <c r="AN708" i="55"/>
  <c r="AN596" i="55"/>
  <c r="AN702" i="55"/>
  <c r="AN735" i="55"/>
  <c r="AN847" i="55"/>
  <c r="AN740" i="55"/>
  <c r="AN782" i="55"/>
  <c r="AN785" i="55"/>
  <c r="AN864" i="55"/>
  <c r="AN767" i="55"/>
  <c r="AN861" i="55"/>
  <c r="AN765" i="55"/>
  <c r="AN821" i="55"/>
  <c r="AN834" i="55"/>
  <c r="AN873" i="55"/>
  <c r="AN833" i="55"/>
  <c r="AN905" i="55"/>
  <c r="AN292" i="55"/>
  <c r="AN266" i="55"/>
  <c r="AN313" i="55"/>
  <c r="AN616" i="55"/>
  <c r="AN592" i="55"/>
  <c r="AN319" i="55"/>
  <c r="AN415" i="55"/>
  <c r="AN455" i="55"/>
  <c r="AN315" i="55"/>
  <c r="AN358" i="55"/>
  <c r="AN452" i="55"/>
  <c r="AN621" i="55"/>
  <c r="AN595" i="55"/>
  <c r="AN333" i="55"/>
  <c r="AN453" i="55"/>
  <c r="AN276" i="55"/>
  <c r="AN359" i="55"/>
  <c r="AN532" i="55"/>
  <c r="AN272" i="55"/>
  <c r="AN517" i="55"/>
  <c r="AN318" i="55"/>
  <c r="AN436" i="55"/>
  <c r="AN299" i="55"/>
  <c r="AN372" i="55"/>
  <c r="AN423" i="55"/>
  <c r="AN585" i="55"/>
  <c r="AN499" i="55"/>
  <c r="AN666" i="55"/>
  <c r="AN282" i="55"/>
  <c r="AN470" i="55"/>
  <c r="AN297" i="55"/>
  <c r="AN278" i="55"/>
  <c r="AN249" i="55"/>
  <c r="AN296" i="55"/>
  <c r="AN334" i="55"/>
  <c r="AN439" i="55"/>
  <c r="AN255" i="55"/>
  <c r="AN289" i="55"/>
  <c r="AN434" i="55"/>
  <c r="AN515" i="55"/>
  <c r="AN720" i="55"/>
  <c r="AN309" i="55"/>
  <c r="AN373" i="55"/>
  <c r="AN485" i="55"/>
  <c r="AN400" i="55"/>
  <c r="AN298" i="55"/>
  <c r="AN252" i="55"/>
  <c r="AN346" i="55"/>
  <c r="AN445" i="55"/>
  <c r="AN270" i="55"/>
  <c r="AN393" i="55"/>
  <c r="AN339" i="55"/>
  <c r="AN529" i="55"/>
  <c r="AN633" i="55"/>
  <c r="AN661" i="55"/>
  <c r="AN461" i="55"/>
  <c r="AN451" i="55"/>
  <c r="AN549" i="55"/>
  <c r="AN588" i="55"/>
  <c r="AN665" i="55"/>
  <c r="AN449" i="55"/>
  <c r="AN513" i="55"/>
  <c r="AN668" i="55"/>
  <c r="AN523" i="55"/>
  <c r="AN644" i="55"/>
  <c r="AN718" i="55"/>
  <c r="AN348" i="55"/>
  <c r="AN369" i="55"/>
  <c r="AN416" i="55"/>
  <c r="AN566" i="55"/>
  <c r="AN628" i="55"/>
  <c r="AN701" i="55"/>
  <c r="AN395" i="55"/>
  <c r="AN427" i="55"/>
  <c r="AN384" i="55"/>
  <c r="AN507" i="55"/>
  <c r="AN717" i="55"/>
  <c r="AN483" i="55"/>
  <c r="AN607" i="55"/>
  <c r="AN425" i="55"/>
  <c r="AN567" i="55"/>
  <c r="AN602" i="55"/>
  <c r="AN694" i="55"/>
  <c r="AN559" i="55"/>
  <c r="AN656" i="55"/>
  <c r="AN748" i="55"/>
  <c r="AN632" i="55"/>
  <c r="AN398" i="55"/>
  <c r="AN458" i="55"/>
  <c r="AN440" i="55"/>
  <c r="AN481" i="55"/>
  <c r="AN530" i="55"/>
  <c r="AN671" i="55"/>
  <c r="AN462" i="55"/>
  <c r="AN482" i="55"/>
  <c r="AN605" i="55"/>
  <c r="AN603" i="55"/>
  <c r="AN593" i="55"/>
  <c r="AN630" i="55"/>
  <c r="AN689" i="55"/>
  <c r="AN610" i="55"/>
  <c r="AN640" i="55"/>
  <c r="AN659" i="55"/>
  <c r="AN734" i="55"/>
  <c r="AN611" i="55"/>
  <c r="AN682" i="55"/>
  <c r="AN716" i="55"/>
  <c r="AN683" i="55"/>
  <c r="AN724" i="55"/>
  <c r="AN729" i="55"/>
  <c r="AN577" i="55"/>
  <c r="AN698" i="55"/>
  <c r="AN645" i="55"/>
  <c r="AN685" i="55"/>
  <c r="AN705" i="55"/>
  <c r="AN844" i="55"/>
  <c r="AN794" i="55"/>
  <c r="AN791" i="55"/>
  <c r="AN742" i="55"/>
  <c r="AN773" i="55"/>
  <c r="AN887" i="55"/>
  <c r="AN728" i="55"/>
  <c r="AN772" i="55"/>
  <c r="AN749" i="55"/>
  <c r="AN820" i="55"/>
  <c r="AN867" i="55"/>
  <c r="AN804" i="55"/>
  <c r="AN892" i="55"/>
  <c r="AN738" i="55"/>
  <c r="AN757" i="55"/>
  <c r="AN888" i="55"/>
  <c r="AN712" i="55"/>
  <c r="AN874" i="55"/>
  <c r="AN846" i="55"/>
  <c r="AN824" i="55"/>
  <c r="AN895" i="55"/>
  <c r="AN750" i="55"/>
  <c r="AN806" i="55"/>
  <c r="AN898" i="55"/>
  <c r="AN894" i="55"/>
  <c r="AN876" i="55"/>
  <c r="AN908" i="55"/>
  <c r="AN746" i="55"/>
  <c r="AN770" i="55"/>
  <c r="AN886" i="55"/>
  <c r="AN845" i="55"/>
  <c r="AN891" i="55"/>
  <c r="AN849" i="55"/>
  <c r="AN889" i="55"/>
  <c r="AN763" i="55"/>
  <c r="AN862" i="55"/>
  <c r="AN797" i="55"/>
  <c r="AN803" i="55"/>
  <c r="AN805" i="55"/>
  <c r="AN851" i="55"/>
  <c r="AN819" i="55"/>
  <c r="AN848" i="55"/>
  <c r="AN899" i="55"/>
  <c r="AN863" i="55"/>
  <c r="AN913" i="55"/>
  <c r="AN402" i="55"/>
  <c r="AN520" i="55"/>
  <c r="AN347" i="55"/>
  <c r="AN281" i="55"/>
  <c r="AN472" i="55"/>
  <c r="AN573" i="55"/>
  <c r="AN438" i="55"/>
  <c r="AN432" i="55"/>
  <c r="AN351" i="55"/>
  <c r="AN426" i="55"/>
  <c r="AN613" i="55"/>
  <c r="AN528" i="55"/>
  <c r="AN275" i="55"/>
  <c r="AN444" i="55"/>
  <c r="AN332" i="55"/>
  <c r="AN286" i="55"/>
  <c r="AN629" i="55"/>
  <c r="AN437" i="55"/>
  <c r="AN601" i="55"/>
  <c r="AN248" i="55"/>
  <c r="AN509" i="55"/>
  <c r="AN419" i="55"/>
  <c r="AN572" i="55"/>
  <c r="AN511" i="55"/>
  <c r="AN474" i="55"/>
  <c r="AN324" i="55"/>
  <c r="AN510" i="55"/>
  <c r="AN360" i="55"/>
  <c r="AN468" i="55"/>
  <c r="AN584" i="55"/>
  <c r="AN598" i="55"/>
  <c r="AN676" i="55"/>
  <c r="AN624" i="55"/>
  <c r="AN638" i="55"/>
  <c r="AN600" i="55"/>
  <c r="AN543" i="55"/>
  <c r="AN786" i="55"/>
  <c r="AN548" i="55"/>
  <c r="AN609" i="55"/>
  <c r="AN651" i="55"/>
  <c r="AN563" i="55"/>
  <c r="AN680" i="55"/>
  <c r="AN784" i="55"/>
  <c r="AN741" i="55"/>
  <c r="AN727" i="55"/>
  <c r="AN811" i="55"/>
  <c r="AN871" i="55"/>
  <c r="AN808" i="55"/>
  <c r="AN832" i="55"/>
  <c r="AN890" i="55"/>
  <c r="AN857" i="55"/>
  <c r="AN836" i="55"/>
  <c r="AN843" i="55"/>
  <c r="AN884" i="55"/>
  <c r="AN787" i="55"/>
  <c r="AN838" i="55"/>
  <c r="AN869" i="55"/>
  <c r="AN912" i="55"/>
  <c r="AN909" i="55"/>
  <c r="AN418" i="55"/>
  <c r="AN429" i="55"/>
  <c r="AN326" i="55"/>
  <c r="AN316" i="55"/>
  <c r="AN247" i="55"/>
  <c r="AN300" i="55"/>
  <c r="AN410" i="55"/>
  <c r="AN608" i="55"/>
  <c r="AN331" i="55"/>
  <c r="AN280" i="55"/>
  <c r="AN352" i="55"/>
  <c r="AN569" i="55"/>
  <c r="AN254" i="55"/>
  <c r="AN376" i="55"/>
  <c r="AN323" i="55"/>
  <c r="AN285" i="55"/>
  <c r="AN338" i="55"/>
  <c r="AN477" i="55"/>
  <c r="AN496" i="55"/>
  <c r="AN317" i="55"/>
  <c r="AN391" i="55"/>
  <c r="AN471" i="55"/>
  <c r="AN571" i="55"/>
  <c r="AN664" i="55"/>
  <c r="AN341" i="55"/>
  <c r="AN544" i="55"/>
  <c r="AN310" i="55"/>
  <c r="AN375" i="55"/>
  <c r="AN554" i="55"/>
  <c r="AN293" i="55"/>
  <c r="AN277" i="55"/>
  <c r="AN321" i="55"/>
  <c r="AN519" i="55"/>
  <c r="AN302" i="55"/>
  <c r="AN374" i="55"/>
  <c r="AN473" i="55"/>
  <c r="AN491" i="55"/>
  <c r="AN614" i="55"/>
  <c r="AN262" i="55"/>
  <c r="AN288" i="55"/>
  <c r="AN524" i="55"/>
  <c r="AN390" i="55"/>
  <c r="AN311" i="55"/>
  <c r="AN258" i="55"/>
  <c r="AN308" i="55"/>
  <c r="AN350" i="55"/>
  <c r="AN484" i="55"/>
  <c r="AN257" i="55"/>
  <c r="AN344" i="55"/>
  <c r="AN466" i="55"/>
  <c r="AN527" i="55"/>
  <c r="AN599" i="55"/>
  <c r="AN327" i="55"/>
  <c r="AN380" i="55"/>
  <c r="AN508" i="55"/>
  <c r="AN422" i="55"/>
  <c r="AN329" i="55"/>
  <c r="AN261" i="55"/>
  <c r="AN353" i="55"/>
  <c r="AN495" i="55"/>
  <c r="AN273" i="55"/>
  <c r="AN512" i="55"/>
  <c r="AN488" i="55"/>
  <c r="AN555" i="55"/>
  <c r="AN476" i="55"/>
  <c r="AN800" i="55"/>
  <c r="AN475" i="55"/>
  <c r="AN502" i="55"/>
  <c r="AN553" i="55"/>
  <c r="AN631" i="55"/>
  <c r="AN687" i="55"/>
  <c r="AN494" i="55"/>
  <c r="AN551" i="55"/>
  <c r="AN684" i="55"/>
  <c r="AN583" i="55"/>
  <c r="AN564" i="55"/>
  <c r="AN709" i="55"/>
  <c r="AN362" i="55"/>
  <c r="AN387" i="55"/>
  <c r="AN479" i="55"/>
  <c r="AN581" i="55"/>
  <c r="AN641" i="55"/>
  <c r="AN264" i="55"/>
  <c r="AN405" i="55"/>
  <c r="AN450" i="55"/>
  <c r="AN428" i="55"/>
  <c r="AN550" i="55"/>
  <c r="AN456" i="55"/>
  <c r="AN486" i="55"/>
  <c r="AN623" i="55"/>
  <c r="AN454" i="55"/>
  <c r="AN574" i="55"/>
  <c r="AN639" i="55"/>
  <c r="AN492" i="55"/>
  <c r="AN575" i="55"/>
  <c r="AN672" i="55"/>
  <c r="AN839" i="55"/>
  <c r="AN663" i="55"/>
  <c r="AN401" i="55"/>
  <c r="AN522" i="55"/>
  <c r="AN443" i="55"/>
  <c r="AN500" i="55"/>
  <c r="AN535" i="55"/>
  <c r="AN681" i="55"/>
  <c r="AN465" i="55"/>
  <c r="AN525" i="55"/>
  <c r="AN490" i="55"/>
  <c r="AN618" i="55"/>
  <c r="AN650" i="55"/>
  <c r="AN654" i="55"/>
  <c r="AN707" i="55"/>
  <c r="AN612" i="55"/>
  <c r="AN642" i="55"/>
  <c r="AN667" i="55"/>
  <c r="AN545" i="55"/>
  <c r="AN625" i="55"/>
  <c r="AN688" i="55"/>
  <c r="AN635" i="55"/>
  <c r="AN691" i="55"/>
  <c r="AN706" i="55"/>
  <c r="AN732" i="55"/>
  <c r="AN579" i="55"/>
  <c r="AN710" i="55"/>
  <c r="AN648" i="55"/>
  <c r="AN693" i="55"/>
  <c r="AN733" i="55"/>
  <c r="AN739" i="55"/>
  <c r="AN859" i="55"/>
  <c r="AN801" i="55"/>
  <c r="AN771" i="55"/>
  <c r="AN781" i="55"/>
  <c r="AN725" i="55"/>
  <c r="AN736" i="55"/>
  <c r="AN790" i="55"/>
  <c r="AN762" i="55"/>
  <c r="AN737" i="55"/>
  <c r="AN756" i="55"/>
  <c r="AN853" i="55"/>
  <c r="AN745" i="55"/>
  <c r="AN766" i="55"/>
  <c r="AN779" i="55"/>
  <c r="AN809" i="55"/>
  <c r="AN730" i="55"/>
  <c r="AN914" i="55"/>
  <c r="AN774" i="55"/>
  <c r="AN780" i="55"/>
  <c r="AN916" i="55"/>
  <c r="AO916" i="55" s="1"/>
  <c r="AQ916" i="55" s="1"/>
  <c r="AK916" i="55"/>
  <c r="AK915" i="55" s="1"/>
  <c r="AK914" i="55" s="1"/>
  <c r="AK913" i="55" s="1"/>
  <c r="AK912" i="55" s="1"/>
  <c r="AK911" i="55" s="1"/>
  <c r="AK910" i="55" s="1"/>
  <c r="AK909" i="55" s="1"/>
  <c r="AK908" i="55" s="1"/>
  <c r="AK907" i="55" s="1"/>
  <c r="AK906" i="55" s="1"/>
  <c r="AK905" i="55" s="1"/>
  <c r="AK904" i="55" s="1"/>
  <c r="AK903" i="55" s="1"/>
  <c r="AK902" i="55" s="1"/>
  <c r="AK901" i="55" s="1"/>
  <c r="AK900" i="55" s="1"/>
  <c r="AK899" i="55" s="1"/>
  <c r="AK898" i="55" s="1"/>
  <c r="AK897" i="55" s="1"/>
  <c r="AK896" i="55" s="1"/>
  <c r="AK895" i="55" s="1"/>
  <c r="AK894" i="55" s="1"/>
  <c r="AK893" i="55" s="1"/>
  <c r="AK892" i="55" s="1"/>
  <c r="AK891" i="55" s="1"/>
  <c r="AK890" i="55" s="1"/>
  <c r="AK889" i="55" s="1"/>
  <c r="AK888" i="55" s="1"/>
  <c r="AK887" i="55" s="1"/>
  <c r="AK886" i="55" s="1"/>
  <c r="AK885" i="55" s="1"/>
  <c r="AK884" i="55" s="1"/>
  <c r="AK883" i="55" s="1"/>
  <c r="AK882" i="55" s="1"/>
  <c r="AK881" i="55" s="1"/>
  <c r="AK880" i="55" s="1"/>
  <c r="AK879" i="55" s="1"/>
  <c r="AK878" i="55" s="1"/>
  <c r="AK877" i="55" s="1"/>
  <c r="AK876" i="55" s="1"/>
  <c r="AK875" i="55" s="1"/>
  <c r="AK874" i="55" s="1"/>
  <c r="AK873" i="55" s="1"/>
  <c r="AK872" i="55" s="1"/>
  <c r="AK871" i="55" s="1"/>
  <c r="AK870" i="55" s="1"/>
  <c r="AK869" i="55" s="1"/>
  <c r="AK868" i="55" s="1"/>
  <c r="AK867" i="55" s="1"/>
  <c r="AK866" i="55" s="1"/>
  <c r="AK865" i="55" s="1"/>
  <c r="AK864" i="55" s="1"/>
  <c r="AK863" i="55" s="1"/>
  <c r="AK862" i="55" s="1"/>
  <c r="AK861" i="55" s="1"/>
  <c r="AK860" i="55" s="1"/>
  <c r="AK859" i="55" s="1"/>
  <c r="AK858" i="55" s="1"/>
  <c r="AK857" i="55" s="1"/>
  <c r="AK856" i="55" s="1"/>
  <c r="AK855" i="55" s="1"/>
  <c r="AK854" i="55" s="1"/>
  <c r="AK853" i="55" s="1"/>
  <c r="AK852" i="55" s="1"/>
  <c r="AK851" i="55" s="1"/>
  <c r="AK850" i="55" s="1"/>
  <c r="AK849" i="55" s="1"/>
  <c r="AK848" i="55" s="1"/>
  <c r="AK847" i="55" s="1"/>
  <c r="AK846" i="55" s="1"/>
  <c r="AK845" i="55" s="1"/>
  <c r="AK844" i="55" s="1"/>
  <c r="AK843" i="55" s="1"/>
  <c r="AK842" i="55" s="1"/>
  <c r="AK841" i="55" s="1"/>
  <c r="AK840" i="55" s="1"/>
  <c r="AK839" i="55" s="1"/>
  <c r="AK838" i="55" s="1"/>
  <c r="AK837" i="55" s="1"/>
  <c r="AK836" i="55" s="1"/>
  <c r="AK835" i="55" s="1"/>
  <c r="AK834" i="55" s="1"/>
  <c r="AK833" i="55" s="1"/>
  <c r="AK832" i="55" s="1"/>
  <c r="AK831" i="55" s="1"/>
  <c r="AK830" i="55" s="1"/>
  <c r="AK829" i="55" s="1"/>
  <c r="AK828" i="55" s="1"/>
  <c r="AK827" i="55" s="1"/>
  <c r="AK826" i="55" s="1"/>
  <c r="AK825" i="55" s="1"/>
  <c r="AK824" i="55" s="1"/>
  <c r="AK823" i="55" s="1"/>
  <c r="AK822" i="55" s="1"/>
  <c r="AK821" i="55" s="1"/>
  <c r="AK820" i="55" s="1"/>
  <c r="AK819" i="55" s="1"/>
  <c r="AK818" i="55" s="1"/>
  <c r="AK817" i="55" s="1"/>
  <c r="AK816" i="55" s="1"/>
  <c r="AK815" i="55" s="1"/>
  <c r="AK814" i="55" s="1"/>
  <c r="AK813" i="55" s="1"/>
  <c r="AK812" i="55" s="1"/>
  <c r="AK811" i="55" s="1"/>
  <c r="AK810" i="55" s="1"/>
  <c r="AK809" i="55" s="1"/>
  <c r="AK808" i="55" s="1"/>
  <c r="AK807" i="55" s="1"/>
  <c r="AK806" i="55" s="1"/>
  <c r="AK805" i="55" s="1"/>
  <c r="AK804" i="55" s="1"/>
  <c r="AK803" i="55" s="1"/>
  <c r="AK802" i="55" s="1"/>
  <c r="AK801" i="55" s="1"/>
  <c r="AK800" i="55" s="1"/>
  <c r="AK799" i="55" s="1"/>
  <c r="AK798" i="55" s="1"/>
  <c r="AK797" i="55" s="1"/>
  <c r="AK796" i="55" s="1"/>
  <c r="AK795" i="55" s="1"/>
  <c r="AK794" i="55" s="1"/>
  <c r="AK793" i="55" s="1"/>
  <c r="AK792" i="55" s="1"/>
  <c r="AK791" i="55" s="1"/>
  <c r="AK790" i="55" s="1"/>
  <c r="AK789" i="55" s="1"/>
  <c r="AK788" i="55" s="1"/>
  <c r="AK787" i="55" s="1"/>
  <c r="AK786" i="55" s="1"/>
  <c r="AK785" i="55" s="1"/>
  <c r="AK784" i="55" s="1"/>
  <c r="AK783" i="55" s="1"/>
  <c r="AK782" i="55" s="1"/>
  <c r="AK781" i="55" s="1"/>
  <c r="AK780" i="55" s="1"/>
  <c r="AK779" i="55" s="1"/>
  <c r="AK778" i="55" s="1"/>
  <c r="AK777" i="55" s="1"/>
  <c r="AK776" i="55" s="1"/>
  <c r="AK775" i="55" s="1"/>
  <c r="AK774" i="55" s="1"/>
  <c r="AK773" i="55" s="1"/>
  <c r="AK772" i="55" s="1"/>
  <c r="AK771" i="55" s="1"/>
  <c r="AK770" i="55" s="1"/>
  <c r="AK769" i="55" s="1"/>
  <c r="AK768" i="55" s="1"/>
  <c r="AK767" i="55" s="1"/>
  <c r="AK766" i="55" s="1"/>
  <c r="AK765" i="55" s="1"/>
  <c r="AK764" i="55" s="1"/>
  <c r="AK763" i="55" s="1"/>
  <c r="AK762" i="55" s="1"/>
  <c r="AK761" i="55" s="1"/>
  <c r="AK760" i="55" s="1"/>
  <c r="AK759" i="55" s="1"/>
  <c r="AK758" i="55" s="1"/>
  <c r="AK757" i="55" s="1"/>
  <c r="AK756" i="55" s="1"/>
  <c r="AK755" i="55" s="1"/>
  <c r="AK754" i="55" s="1"/>
  <c r="AK753" i="55" s="1"/>
  <c r="AK752" i="55" s="1"/>
  <c r="AK751" i="55" s="1"/>
  <c r="AK750" i="55" s="1"/>
  <c r="AK749" i="55" s="1"/>
  <c r="AK748" i="55" s="1"/>
  <c r="AK747" i="55" s="1"/>
  <c r="AK746" i="55" s="1"/>
  <c r="AK745" i="55" s="1"/>
  <c r="AK744" i="55" s="1"/>
  <c r="AK743" i="55" s="1"/>
  <c r="AK742" i="55" s="1"/>
  <c r="AK741" i="55" s="1"/>
  <c r="AK740" i="55" s="1"/>
  <c r="AK739" i="55" s="1"/>
  <c r="AK738" i="55" s="1"/>
  <c r="AK737" i="55" s="1"/>
  <c r="AK736" i="55" s="1"/>
  <c r="AK735" i="55" s="1"/>
  <c r="AK734" i="55" s="1"/>
  <c r="AK733" i="55" s="1"/>
  <c r="AK732" i="55" s="1"/>
  <c r="AK731" i="55" s="1"/>
  <c r="AK730" i="55" s="1"/>
  <c r="AK729" i="55" s="1"/>
  <c r="AK728" i="55" s="1"/>
  <c r="AK727" i="55" s="1"/>
  <c r="AK726" i="55" s="1"/>
  <c r="AK725" i="55" s="1"/>
  <c r="AK724" i="55" s="1"/>
  <c r="AK723" i="55" s="1"/>
  <c r="AK722" i="55" s="1"/>
  <c r="AK721" i="55" s="1"/>
  <c r="AK720" i="55" s="1"/>
  <c r="AK719" i="55" s="1"/>
  <c r="AK718" i="55" s="1"/>
  <c r="AK717" i="55" s="1"/>
  <c r="AK716" i="55" s="1"/>
  <c r="AK715" i="55" s="1"/>
  <c r="AK714" i="55" s="1"/>
  <c r="AK713" i="55" s="1"/>
  <c r="AK712" i="55" s="1"/>
  <c r="AK711" i="55" s="1"/>
  <c r="AK710" i="55" s="1"/>
  <c r="AK709" i="55" s="1"/>
  <c r="AK708" i="55" s="1"/>
  <c r="AK707" i="55" s="1"/>
  <c r="AK706" i="55" s="1"/>
  <c r="AK705" i="55" s="1"/>
  <c r="AK704" i="55" s="1"/>
  <c r="AK703" i="55" s="1"/>
  <c r="AK702" i="55" s="1"/>
  <c r="AK701" i="55" s="1"/>
  <c r="AK700" i="55" s="1"/>
  <c r="AK699" i="55" s="1"/>
  <c r="AK698" i="55" s="1"/>
  <c r="AK697" i="55" s="1"/>
  <c r="AK696" i="55" s="1"/>
  <c r="AK695" i="55" s="1"/>
  <c r="AK694" i="55" s="1"/>
  <c r="AK693" i="55" s="1"/>
  <c r="AK692" i="55" s="1"/>
  <c r="AK691" i="55" s="1"/>
  <c r="AK690" i="55" s="1"/>
  <c r="AK689" i="55" s="1"/>
  <c r="AK688" i="55" s="1"/>
  <c r="AK687" i="55" s="1"/>
  <c r="AK686" i="55" s="1"/>
  <c r="AK685" i="55" s="1"/>
  <c r="AK684" i="55" s="1"/>
  <c r="AK683" i="55" s="1"/>
  <c r="AK682" i="55" s="1"/>
  <c r="AK681" i="55" s="1"/>
  <c r="AK680" i="55" s="1"/>
  <c r="AK679" i="55" s="1"/>
  <c r="AK678" i="55" s="1"/>
  <c r="AK677" i="55" s="1"/>
  <c r="AK676" i="55" s="1"/>
  <c r="AK675" i="55" s="1"/>
  <c r="AK674" i="55" s="1"/>
  <c r="AK673" i="55" s="1"/>
  <c r="AK672" i="55" s="1"/>
  <c r="AK671" i="55" s="1"/>
  <c r="AK670" i="55" s="1"/>
  <c r="AK669" i="55" s="1"/>
  <c r="AK668" i="55" s="1"/>
  <c r="AK667" i="55" s="1"/>
  <c r="AK666" i="55" s="1"/>
  <c r="AK665" i="55" s="1"/>
  <c r="AK664" i="55" s="1"/>
  <c r="AK663" i="55" s="1"/>
  <c r="AK662" i="55" s="1"/>
  <c r="AK661" i="55" s="1"/>
  <c r="AK660" i="55" s="1"/>
  <c r="AK659" i="55" s="1"/>
  <c r="AK658" i="55" s="1"/>
  <c r="AK657" i="55" s="1"/>
  <c r="AK656" i="55" s="1"/>
  <c r="AK655" i="55" s="1"/>
  <c r="AK654" i="55" s="1"/>
  <c r="AK653" i="55" s="1"/>
  <c r="AK652" i="55" s="1"/>
  <c r="AK651" i="55" s="1"/>
  <c r="AK650" i="55" s="1"/>
  <c r="AK649" i="55" s="1"/>
  <c r="AK648" i="55" s="1"/>
  <c r="AK647" i="55" s="1"/>
  <c r="AK646" i="55" s="1"/>
  <c r="AK645" i="55" s="1"/>
  <c r="AK644" i="55" s="1"/>
  <c r="AK643" i="55" s="1"/>
  <c r="AK642" i="55" s="1"/>
  <c r="AK641" i="55" s="1"/>
  <c r="AK640" i="55" s="1"/>
  <c r="AK639" i="55" s="1"/>
  <c r="AK638" i="55" s="1"/>
  <c r="AK637" i="55" s="1"/>
  <c r="AK636" i="55" s="1"/>
  <c r="AK635" i="55" s="1"/>
  <c r="AK634" i="55" s="1"/>
  <c r="AK633" i="55" s="1"/>
  <c r="AK632" i="55" s="1"/>
  <c r="AK631" i="55" s="1"/>
  <c r="AK630" i="55" s="1"/>
  <c r="AK629" i="55" s="1"/>
  <c r="AK628" i="55" s="1"/>
  <c r="AK627" i="55" s="1"/>
  <c r="AK626" i="55" s="1"/>
  <c r="AK625" i="55" s="1"/>
  <c r="AK624" i="55" s="1"/>
  <c r="AK623" i="55" s="1"/>
  <c r="AK622" i="55" s="1"/>
  <c r="AK621" i="55" s="1"/>
  <c r="AK620" i="55" s="1"/>
  <c r="AK619" i="55" s="1"/>
  <c r="AK618" i="55" s="1"/>
  <c r="AK617" i="55" s="1"/>
  <c r="AK616" i="55" s="1"/>
  <c r="AK615" i="55" s="1"/>
  <c r="AK614" i="55" s="1"/>
  <c r="AK613" i="55" s="1"/>
  <c r="AK612" i="55" s="1"/>
  <c r="AK611" i="55" s="1"/>
  <c r="AK610" i="55" s="1"/>
  <c r="AK609" i="55" s="1"/>
  <c r="AK608" i="55" s="1"/>
  <c r="AK607" i="55" s="1"/>
  <c r="AK606" i="55" s="1"/>
  <c r="AK605" i="55" s="1"/>
  <c r="AK604" i="55" s="1"/>
  <c r="AK603" i="55" s="1"/>
  <c r="AK602" i="55" s="1"/>
  <c r="AK601" i="55" s="1"/>
  <c r="AK600" i="55" s="1"/>
  <c r="AK599" i="55" s="1"/>
  <c r="AK598" i="55" s="1"/>
  <c r="AK597" i="55" s="1"/>
  <c r="AK596" i="55" s="1"/>
  <c r="AK595" i="55" s="1"/>
  <c r="AK594" i="55" s="1"/>
  <c r="AK593" i="55" s="1"/>
  <c r="AK592" i="55" s="1"/>
  <c r="AK591" i="55" s="1"/>
  <c r="AK590" i="55" s="1"/>
  <c r="AK589" i="55" s="1"/>
  <c r="AK588" i="55" s="1"/>
  <c r="AK587" i="55" s="1"/>
  <c r="AK586" i="55" s="1"/>
  <c r="AK585" i="55" s="1"/>
  <c r="AK584" i="55" s="1"/>
  <c r="AK583" i="55" s="1"/>
  <c r="AK582" i="55" s="1"/>
  <c r="AK581" i="55" s="1"/>
  <c r="AK580" i="55" s="1"/>
  <c r="AK579" i="55" s="1"/>
  <c r="AK578" i="55" s="1"/>
  <c r="AK577" i="55" s="1"/>
  <c r="AK576" i="55" s="1"/>
  <c r="AK575" i="55" s="1"/>
  <c r="AK574" i="55" s="1"/>
  <c r="AK573" i="55" s="1"/>
  <c r="AK572" i="55" s="1"/>
  <c r="AK571" i="55" s="1"/>
  <c r="AK570" i="55" s="1"/>
  <c r="AK569" i="55" s="1"/>
  <c r="AK568" i="55" s="1"/>
  <c r="AK567" i="55" s="1"/>
  <c r="AK566" i="55" s="1"/>
  <c r="AK565" i="55" s="1"/>
  <c r="AK564" i="55" s="1"/>
  <c r="AK563" i="55" s="1"/>
  <c r="AK562" i="55" s="1"/>
  <c r="AK561" i="55" s="1"/>
  <c r="AK560" i="55" s="1"/>
  <c r="AK559" i="55" s="1"/>
  <c r="AK558" i="55" s="1"/>
  <c r="AK557" i="55" s="1"/>
  <c r="AK556" i="55" s="1"/>
  <c r="AK555" i="55" s="1"/>
  <c r="AK554" i="55" s="1"/>
  <c r="AK553" i="55" s="1"/>
  <c r="AK552" i="55" s="1"/>
  <c r="AK551" i="55" s="1"/>
  <c r="AK550" i="55" s="1"/>
  <c r="AK549" i="55" s="1"/>
  <c r="AK548" i="55" s="1"/>
  <c r="AK547" i="55" s="1"/>
  <c r="AK546" i="55" s="1"/>
  <c r="AK545" i="55" s="1"/>
  <c r="AK544" i="55" s="1"/>
  <c r="AK543" i="55" s="1"/>
  <c r="AK542" i="55" s="1"/>
  <c r="AK541" i="55" s="1"/>
  <c r="AK540" i="55" s="1"/>
  <c r="AK539" i="55" s="1"/>
  <c r="AK538" i="55" s="1"/>
  <c r="AK537" i="55" s="1"/>
  <c r="AK536" i="55" s="1"/>
  <c r="AK535" i="55" s="1"/>
  <c r="AK534" i="55" s="1"/>
  <c r="AK533" i="55" s="1"/>
  <c r="AK532" i="55" s="1"/>
  <c r="AK531" i="55" s="1"/>
  <c r="AK530" i="55" s="1"/>
  <c r="AK529" i="55" s="1"/>
  <c r="AK528" i="55" s="1"/>
  <c r="AK527" i="55" s="1"/>
  <c r="AK526" i="55" s="1"/>
  <c r="AK525" i="55" s="1"/>
  <c r="AK524" i="55" s="1"/>
  <c r="AK523" i="55" s="1"/>
  <c r="AK522" i="55" s="1"/>
  <c r="AK521" i="55" s="1"/>
  <c r="AK520" i="55" s="1"/>
  <c r="AK519" i="55" s="1"/>
  <c r="AK518" i="55" s="1"/>
  <c r="AK517" i="55" s="1"/>
  <c r="AK516" i="55" s="1"/>
  <c r="AK515" i="55" s="1"/>
  <c r="AK514" i="55" s="1"/>
  <c r="AK513" i="55" s="1"/>
  <c r="AK512" i="55" s="1"/>
  <c r="AK511" i="55" s="1"/>
  <c r="AK510" i="55" s="1"/>
  <c r="AK509" i="55" s="1"/>
  <c r="AK508" i="55" s="1"/>
  <c r="AK507" i="55" s="1"/>
  <c r="AK506" i="55" s="1"/>
  <c r="AK505" i="55" s="1"/>
  <c r="AK504" i="55" s="1"/>
  <c r="AK503" i="55" s="1"/>
  <c r="AK502" i="55" s="1"/>
  <c r="AK501" i="55" s="1"/>
  <c r="AK500" i="55" s="1"/>
  <c r="AK499" i="55" s="1"/>
  <c r="AK498" i="55" s="1"/>
  <c r="AK497" i="55" s="1"/>
  <c r="AK496" i="55" s="1"/>
  <c r="AK495" i="55" s="1"/>
  <c r="AK494" i="55" s="1"/>
  <c r="AK493" i="55" s="1"/>
  <c r="AK492" i="55" s="1"/>
  <c r="AK491" i="55" s="1"/>
  <c r="AK490" i="55" s="1"/>
  <c r="AK489" i="55" s="1"/>
  <c r="AK488" i="55" s="1"/>
  <c r="AK487" i="55" s="1"/>
  <c r="AK486" i="55" s="1"/>
  <c r="AK485" i="55" s="1"/>
  <c r="AK484" i="55" s="1"/>
  <c r="AK483" i="55" s="1"/>
  <c r="AK482" i="55" s="1"/>
  <c r="AK481" i="55" s="1"/>
  <c r="AK480" i="55" s="1"/>
  <c r="AK479" i="55" s="1"/>
  <c r="AK478" i="55" s="1"/>
  <c r="AK477" i="55" s="1"/>
  <c r="AK476" i="55" s="1"/>
  <c r="AK475" i="55" s="1"/>
  <c r="AK474" i="55" s="1"/>
  <c r="AK473" i="55" s="1"/>
  <c r="AK472" i="55" s="1"/>
  <c r="AK471" i="55" s="1"/>
  <c r="AK470" i="55" s="1"/>
  <c r="AK469" i="55" s="1"/>
  <c r="AK468" i="55" s="1"/>
  <c r="AK467" i="55" s="1"/>
  <c r="AK466" i="55" s="1"/>
  <c r="AK465" i="55" s="1"/>
  <c r="AK464" i="55" s="1"/>
  <c r="AK463" i="55" s="1"/>
  <c r="AK462" i="55" s="1"/>
  <c r="AK461" i="55" s="1"/>
  <c r="AK460" i="55" s="1"/>
  <c r="AK459" i="55" s="1"/>
  <c r="AK458" i="55" s="1"/>
  <c r="AK457" i="55" s="1"/>
  <c r="AK456" i="55" s="1"/>
  <c r="AK455" i="55" s="1"/>
  <c r="AK454" i="55" s="1"/>
  <c r="AK453" i="55" s="1"/>
  <c r="AK452" i="55" s="1"/>
  <c r="AK451" i="55" s="1"/>
  <c r="AK450" i="55" s="1"/>
  <c r="AK449" i="55" s="1"/>
  <c r="AK448" i="55" s="1"/>
  <c r="AK447" i="55" s="1"/>
  <c r="AK446" i="55" s="1"/>
  <c r="AK445" i="55" s="1"/>
  <c r="AK444" i="55" s="1"/>
  <c r="AK443" i="55" s="1"/>
  <c r="AK442" i="55" s="1"/>
  <c r="AK441" i="55" s="1"/>
  <c r="AK440" i="55" s="1"/>
  <c r="AK439" i="55" s="1"/>
  <c r="AK438" i="55" s="1"/>
  <c r="AK437" i="55" s="1"/>
  <c r="AK436" i="55" s="1"/>
  <c r="AK435" i="55" s="1"/>
  <c r="AK434" i="55" s="1"/>
  <c r="AK433" i="55" s="1"/>
  <c r="AK432" i="55" s="1"/>
  <c r="AK431" i="55" s="1"/>
  <c r="AK430" i="55" s="1"/>
  <c r="AK429" i="55" s="1"/>
  <c r="AK428" i="55" s="1"/>
  <c r="AK427" i="55" s="1"/>
  <c r="AK426" i="55" s="1"/>
  <c r="AK425" i="55" s="1"/>
  <c r="AK424" i="55" s="1"/>
  <c r="AK423" i="55" s="1"/>
  <c r="AK422" i="55" s="1"/>
  <c r="AK421" i="55" s="1"/>
  <c r="AK420" i="55" s="1"/>
  <c r="AK419" i="55" s="1"/>
  <c r="AK418" i="55" s="1"/>
  <c r="AK417" i="55" s="1"/>
  <c r="AK416" i="55" s="1"/>
  <c r="AK415" i="55" s="1"/>
  <c r="AK414" i="55" s="1"/>
  <c r="AK413" i="55" s="1"/>
  <c r="AK412" i="55" s="1"/>
  <c r="AK411" i="55" s="1"/>
  <c r="AK410" i="55" s="1"/>
  <c r="AK409" i="55" s="1"/>
  <c r="AK408" i="55" s="1"/>
  <c r="AK407" i="55" s="1"/>
  <c r="AK406" i="55" s="1"/>
  <c r="AK405" i="55" s="1"/>
  <c r="AK404" i="55" s="1"/>
  <c r="AK403" i="55" s="1"/>
  <c r="AK402" i="55" s="1"/>
  <c r="AK401" i="55" s="1"/>
  <c r="AK400" i="55" s="1"/>
  <c r="AK399" i="55" s="1"/>
  <c r="AK398" i="55" s="1"/>
  <c r="AK397" i="55" s="1"/>
  <c r="AK396" i="55" s="1"/>
  <c r="AK395" i="55" s="1"/>
  <c r="AK394" i="55" s="1"/>
  <c r="AK393" i="55" s="1"/>
  <c r="AK392" i="55" s="1"/>
  <c r="AK391" i="55" s="1"/>
  <c r="AK390" i="55" s="1"/>
  <c r="AK389" i="55" s="1"/>
  <c r="AK388" i="55" s="1"/>
  <c r="AK387" i="55" s="1"/>
  <c r="AK386" i="55" s="1"/>
  <c r="AK385" i="55" s="1"/>
  <c r="AK384" i="55" s="1"/>
  <c r="AK383" i="55" s="1"/>
  <c r="AK382" i="55" s="1"/>
  <c r="AK381" i="55" s="1"/>
  <c r="AK380" i="55" s="1"/>
  <c r="AK379" i="55" s="1"/>
  <c r="AK378" i="55" s="1"/>
  <c r="AK377" i="55" s="1"/>
  <c r="AK376" i="55" s="1"/>
  <c r="AK375" i="55" s="1"/>
  <c r="AK374" i="55" s="1"/>
  <c r="AK373" i="55" s="1"/>
  <c r="AK372" i="55" s="1"/>
  <c r="AK371" i="55" s="1"/>
  <c r="AK370" i="55" s="1"/>
  <c r="AK369" i="55" s="1"/>
  <c r="AK368" i="55" s="1"/>
  <c r="AK367" i="55" s="1"/>
  <c r="AK366" i="55" s="1"/>
  <c r="AK365" i="55" s="1"/>
  <c r="AK364" i="55" s="1"/>
  <c r="AK363" i="55" s="1"/>
  <c r="AK362" i="55" s="1"/>
  <c r="AK361" i="55" s="1"/>
  <c r="AK360" i="55" s="1"/>
  <c r="AK359" i="55" s="1"/>
  <c r="AK358" i="55" s="1"/>
  <c r="AK357" i="55" s="1"/>
  <c r="AK356" i="55" s="1"/>
  <c r="AK355" i="55" s="1"/>
  <c r="AK354" i="55" s="1"/>
  <c r="AK353" i="55" s="1"/>
  <c r="AK352" i="55" s="1"/>
  <c r="AK351" i="55" s="1"/>
  <c r="AK350" i="55" s="1"/>
  <c r="AK349" i="55" s="1"/>
  <c r="AK348" i="55" s="1"/>
  <c r="AK347" i="55" s="1"/>
  <c r="AK346" i="55" s="1"/>
  <c r="AK345" i="55" s="1"/>
  <c r="AK344" i="55" s="1"/>
  <c r="AK343" i="55" s="1"/>
  <c r="AK342" i="55" s="1"/>
  <c r="AK341" i="55" s="1"/>
  <c r="AK340" i="55" s="1"/>
  <c r="AK339" i="55" s="1"/>
  <c r="AK338" i="55" s="1"/>
  <c r="AK337" i="55" s="1"/>
  <c r="AK336" i="55" s="1"/>
  <c r="AK335" i="55" s="1"/>
  <c r="AK334" i="55" s="1"/>
  <c r="AK333" i="55" s="1"/>
  <c r="AK332" i="55" s="1"/>
  <c r="AK331" i="55" s="1"/>
  <c r="AK330" i="55" s="1"/>
  <c r="AK329" i="55" s="1"/>
  <c r="AK328" i="55" s="1"/>
  <c r="AK327" i="55" s="1"/>
  <c r="AK326" i="55" s="1"/>
  <c r="AK325" i="55" s="1"/>
  <c r="AK324" i="55" s="1"/>
  <c r="AK323" i="55" s="1"/>
  <c r="AK322" i="55" s="1"/>
  <c r="AK321" i="55" s="1"/>
  <c r="AK320" i="55" s="1"/>
  <c r="AK319" i="55" s="1"/>
  <c r="AK318" i="55" s="1"/>
  <c r="AK317" i="55" s="1"/>
  <c r="AK316" i="55" s="1"/>
  <c r="AK315" i="55" s="1"/>
  <c r="AK314" i="55" s="1"/>
  <c r="AK313" i="55" s="1"/>
  <c r="AK312" i="55" s="1"/>
  <c r="AK311" i="55" s="1"/>
  <c r="AK310" i="55" s="1"/>
  <c r="AK309" i="55" s="1"/>
  <c r="AK308" i="55" s="1"/>
  <c r="AK307" i="55" s="1"/>
  <c r="AK306" i="55" s="1"/>
  <c r="AK305" i="55" s="1"/>
  <c r="AK304" i="55" s="1"/>
  <c r="AK303" i="55" s="1"/>
  <c r="AK302" i="55" s="1"/>
  <c r="AK301" i="55" s="1"/>
  <c r="AK300" i="55" s="1"/>
  <c r="AK299" i="55" s="1"/>
  <c r="AK298" i="55" s="1"/>
  <c r="AK297" i="55" s="1"/>
  <c r="AK296" i="55" s="1"/>
  <c r="AK295" i="55" s="1"/>
  <c r="AK294" i="55" s="1"/>
  <c r="AK293" i="55" s="1"/>
  <c r="AK292" i="55" s="1"/>
  <c r="AK291" i="55" s="1"/>
  <c r="AK290" i="55" s="1"/>
  <c r="AK289" i="55" s="1"/>
  <c r="AK288" i="55" s="1"/>
  <c r="AK287" i="55" s="1"/>
  <c r="AK286" i="55" s="1"/>
  <c r="AK285" i="55" s="1"/>
  <c r="AK284" i="55" s="1"/>
  <c r="AK283" i="55" s="1"/>
  <c r="AK282" i="55" s="1"/>
  <c r="AK281" i="55" s="1"/>
  <c r="AK280" i="55" s="1"/>
  <c r="AK279" i="55" s="1"/>
  <c r="AK278" i="55" s="1"/>
  <c r="AK277" i="55" s="1"/>
  <c r="AK276" i="55" s="1"/>
  <c r="AK275" i="55" s="1"/>
  <c r="AK274" i="55" s="1"/>
  <c r="AK273" i="55" s="1"/>
  <c r="AK272" i="55" s="1"/>
  <c r="AK271" i="55" s="1"/>
  <c r="AK270" i="55" s="1"/>
  <c r="AK269" i="55" s="1"/>
  <c r="AK268" i="55" s="1"/>
  <c r="AK267" i="55" s="1"/>
  <c r="AK266" i="55" s="1"/>
  <c r="AK265" i="55" s="1"/>
  <c r="AK264" i="55" s="1"/>
  <c r="AK263" i="55" s="1"/>
  <c r="AK262" i="55" s="1"/>
  <c r="AK261" i="55" s="1"/>
  <c r="AK260" i="55" s="1"/>
  <c r="AK259" i="55" s="1"/>
  <c r="AK258" i="55" s="1"/>
  <c r="AK257" i="55" s="1"/>
  <c r="AK256" i="55" s="1"/>
  <c r="AK255" i="55" s="1"/>
  <c r="AK254" i="55" s="1"/>
  <c r="AK253" i="55" s="1"/>
  <c r="AK252" i="55" s="1"/>
  <c r="AK251" i="55" s="1"/>
  <c r="AK250" i="55" s="1"/>
  <c r="AK249" i="55" s="1"/>
  <c r="AK248" i="55" s="1"/>
  <c r="AK247" i="55" s="1"/>
  <c r="AK246" i="55" s="1"/>
  <c r="AK245" i="55" s="1"/>
  <c r="AK244" i="55" s="1"/>
  <c r="AK243" i="55" s="1"/>
  <c r="AK242" i="55" s="1"/>
  <c r="AK241" i="55" s="1"/>
  <c r="AK240" i="55" s="1"/>
  <c r="AK239" i="55" s="1"/>
  <c r="AK238" i="55" s="1"/>
  <c r="AK237" i="55" s="1"/>
  <c r="AK236" i="55" s="1"/>
  <c r="AK235" i="55" s="1"/>
  <c r="AK234" i="55" s="1"/>
  <c r="AK233" i="55" s="1"/>
  <c r="AK232" i="55" s="1"/>
  <c r="AK231" i="55" s="1"/>
  <c r="AK230" i="55" s="1"/>
  <c r="AK229" i="55" s="1"/>
  <c r="AK228" i="55" s="1"/>
  <c r="AK227" i="55" s="1"/>
  <c r="AK226" i="55" s="1"/>
  <c r="AK225" i="55" s="1"/>
  <c r="AK224" i="55" s="1"/>
  <c r="AK223" i="55" s="1"/>
  <c r="AK222" i="55" s="1"/>
  <c r="AK221" i="55" s="1"/>
  <c r="AK220" i="55" s="1"/>
  <c r="AK219" i="55" s="1"/>
  <c r="AK218" i="55" s="1"/>
  <c r="AK217" i="55" s="1"/>
  <c r="AK216" i="55" s="1"/>
  <c r="AK215" i="55" s="1"/>
  <c r="AK214" i="55" s="1"/>
  <c r="AK213" i="55" s="1"/>
  <c r="AK212" i="55" s="1"/>
  <c r="AK211" i="55" s="1"/>
  <c r="AK210" i="55" s="1"/>
  <c r="AK209" i="55" s="1"/>
  <c r="AK208" i="55" s="1"/>
  <c r="AK207" i="55" s="1"/>
  <c r="AK206" i="55" s="1"/>
  <c r="AK205" i="55" s="1"/>
  <c r="AK204" i="55" s="1"/>
  <c r="AK203" i="55" s="1"/>
  <c r="AK202" i="55" s="1"/>
  <c r="AK201" i="55" s="1"/>
  <c r="AK200" i="55" s="1"/>
  <c r="AK199" i="55" s="1"/>
  <c r="AK198" i="55" s="1"/>
  <c r="AK197" i="55" s="1"/>
  <c r="AK196" i="55" s="1"/>
  <c r="AK195" i="55" s="1"/>
  <c r="AK194" i="55" s="1"/>
  <c r="AK193" i="55" s="1"/>
  <c r="AK192" i="55" s="1"/>
  <c r="AK191" i="55" s="1"/>
  <c r="AK190" i="55" s="1"/>
  <c r="AK189" i="55" s="1"/>
  <c r="AK188" i="55" s="1"/>
  <c r="AK187" i="55" s="1"/>
  <c r="AK186" i="55" s="1"/>
  <c r="AK185" i="55" s="1"/>
  <c r="AK184" i="55" s="1"/>
  <c r="AK183" i="55" s="1"/>
  <c r="AK182" i="55" s="1"/>
  <c r="AK181" i="55" s="1"/>
  <c r="AK180" i="55" s="1"/>
  <c r="AK179" i="55" s="1"/>
  <c r="AK178" i="55" s="1"/>
  <c r="AK177" i="55" s="1"/>
  <c r="AK176" i="55" s="1"/>
  <c r="AK175" i="55" s="1"/>
  <c r="AK174" i="55" s="1"/>
  <c r="AK173" i="55" s="1"/>
  <c r="AK172" i="55" s="1"/>
  <c r="AK171" i="55" s="1"/>
  <c r="AK170" i="55" s="1"/>
  <c r="AK169" i="55" s="1"/>
  <c r="AK168" i="55" s="1"/>
  <c r="AK167" i="55" s="1"/>
  <c r="AK166" i="55" s="1"/>
  <c r="AK165" i="55" s="1"/>
  <c r="AK164" i="55" s="1"/>
  <c r="AK163" i="55" s="1"/>
  <c r="AK162" i="55" s="1"/>
  <c r="AK161" i="55" s="1"/>
  <c r="AK160" i="55" s="1"/>
  <c r="AK159" i="55" s="1"/>
  <c r="AK158" i="55" s="1"/>
  <c r="AK157" i="55" s="1"/>
  <c r="AK156" i="55" s="1"/>
  <c r="AK155" i="55" s="1"/>
  <c r="AK154" i="55" s="1"/>
  <c r="AK153" i="55" s="1"/>
  <c r="AK152" i="55" s="1"/>
  <c r="AK151" i="55" s="1"/>
  <c r="AK150" i="55" s="1"/>
  <c r="AK149" i="55" s="1"/>
  <c r="AK148" i="55" s="1"/>
  <c r="AK147" i="55" s="1"/>
  <c r="AK146" i="55" s="1"/>
  <c r="AK145" i="55" s="1"/>
  <c r="AK144" i="55" s="1"/>
  <c r="AK143" i="55" s="1"/>
  <c r="AK142" i="55" s="1"/>
  <c r="AK141" i="55" s="1"/>
  <c r="AK140" i="55" s="1"/>
  <c r="AK139" i="55" s="1"/>
  <c r="AK138" i="55" s="1"/>
  <c r="AK137" i="55" s="1"/>
  <c r="AK136" i="55" s="1"/>
  <c r="AK135" i="55" s="1"/>
  <c r="AK134" i="55" s="1"/>
  <c r="AK133" i="55" s="1"/>
  <c r="AK132" i="55" s="1"/>
  <c r="AK131" i="55" s="1"/>
  <c r="AK130" i="55" s="1"/>
  <c r="AK129" i="55" s="1"/>
  <c r="AK128" i="55" s="1"/>
  <c r="AK127" i="55" s="1"/>
  <c r="AK126" i="55" s="1"/>
  <c r="AK125" i="55" s="1"/>
  <c r="AK124" i="55" s="1"/>
  <c r="AK123" i="55" s="1"/>
  <c r="AK122" i="55" s="1"/>
  <c r="AK121" i="55" s="1"/>
  <c r="AK120" i="55" s="1"/>
  <c r="AK119" i="55" s="1"/>
  <c r="AK118" i="55" s="1"/>
  <c r="AK117" i="55" s="1"/>
  <c r="AK116" i="55" s="1"/>
  <c r="AK115" i="55" s="1"/>
  <c r="AK114" i="55" s="1"/>
  <c r="AK113" i="55" s="1"/>
  <c r="AK112" i="55" s="1"/>
  <c r="AK111" i="55" s="1"/>
  <c r="AK110" i="55" s="1"/>
  <c r="AK109" i="55" s="1"/>
  <c r="AK108" i="55" s="1"/>
  <c r="AK107" i="55" s="1"/>
  <c r="AK106" i="55" s="1"/>
  <c r="AK105" i="55" s="1"/>
  <c r="AK104" i="55" s="1"/>
  <c r="AK103" i="55" s="1"/>
  <c r="AK102" i="55" s="1"/>
  <c r="AK101" i="55" s="1"/>
  <c r="AK100" i="55" s="1"/>
  <c r="AK99" i="55" s="1"/>
  <c r="AK98" i="55" s="1"/>
  <c r="AK97" i="55" s="1"/>
  <c r="AK96" i="55" s="1"/>
  <c r="AK95" i="55" s="1"/>
  <c r="AK94" i="55" s="1"/>
  <c r="AK93" i="55" s="1"/>
  <c r="AK92" i="55" s="1"/>
  <c r="AK91" i="55" s="1"/>
  <c r="AK90" i="55" s="1"/>
  <c r="AK89" i="55" s="1"/>
  <c r="AK88" i="55" s="1"/>
  <c r="AK87" i="55" s="1"/>
  <c r="AK86" i="55" s="1"/>
  <c r="AK85" i="55" s="1"/>
  <c r="AK84" i="55" s="1"/>
  <c r="AK83" i="55" s="1"/>
  <c r="AK82" i="55" s="1"/>
  <c r="AK81" i="55" s="1"/>
  <c r="AK80" i="55" s="1"/>
  <c r="AK79" i="55" s="1"/>
  <c r="AK78" i="55" s="1"/>
  <c r="AK77" i="55" s="1"/>
  <c r="AK76" i="55" s="1"/>
  <c r="AK75" i="55" s="1"/>
  <c r="AK74" i="55" s="1"/>
  <c r="AK73" i="55" s="1"/>
  <c r="AK72" i="55" s="1"/>
  <c r="AK71" i="55" s="1"/>
  <c r="AK70" i="55" s="1"/>
  <c r="AK69" i="55" s="1"/>
  <c r="AK68" i="55" s="1"/>
  <c r="AK67" i="55" s="1"/>
  <c r="AK66" i="55" s="1"/>
  <c r="AK65" i="55" s="1"/>
  <c r="AK64" i="55" s="1"/>
  <c r="AK63" i="55" s="1"/>
  <c r="AK62" i="55" s="1"/>
  <c r="AK61" i="55" s="1"/>
  <c r="AK60" i="55" s="1"/>
  <c r="AK59" i="55" s="1"/>
  <c r="AK58" i="55" s="1"/>
  <c r="AK57" i="55" s="1"/>
  <c r="AK56" i="55" s="1"/>
  <c r="AK55" i="55" s="1"/>
  <c r="AK54" i="55" s="1"/>
  <c r="AK53" i="55" s="1"/>
  <c r="AK52" i="55" s="1"/>
  <c r="AK51" i="55" s="1"/>
  <c r="AK50" i="55" s="1"/>
  <c r="AK49" i="55" s="1"/>
  <c r="AK48" i="55" s="1"/>
  <c r="AK47" i="55" s="1"/>
  <c r="AK46" i="55" s="1"/>
  <c r="AK45" i="55" s="1"/>
  <c r="AK44" i="55" s="1"/>
  <c r="AK43" i="55" s="1"/>
  <c r="AK42" i="55" s="1"/>
  <c r="AK41" i="55" s="1"/>
  <c r="AK40" i="55" s="1"/>
  <c r="AK39" i="55" s="1"/>
  <c r="AK38" i="55" s="1"/>
  <c r="AK37" i="55" s="1"/>
  <c r="AK36" i="55" s="1"/>
  <c r="AK35" i="55" s="1"/>
  <c r="AK34" i="55" s="1"/>
  <c r="AK33" i="55" s="1"/>
  <c r="AK32" i="55" s="1"/>
  <c r="AK31" i="55" s="1"/>
  <c r="AK30" i="55" s="1"/>
  <c r="AK29" i="55" s="1"/>
  <c r="AK28" i="55" s="1"/>
  <c r="AK27" i="55" s="1"/>
  <c r="AK26" i="55" s="1"/>
  <c r="AK25" i="55" s="1"/>
  <c r="AK24" i="55" s="1"/>
  <c r="AK23" i="55" s="1"/>
  <c r="AK22" i="55" s="1"/>
  <c r="AK21" i="55" s="1"/>
  <c r="AK20" i="55" s="1"/>
  <c r="AK19" i="55" s="1"/>
  <c r="AK18" i="55" s="1"/>
  <c r="AK17" i="55" s="1"/>
  <c r="AK16" i="55" s="1"/>
  <c r="AK15" i="55" s="1"/>
  <c r="AK14" i="55" s="1"/>
  <c r="AK13" i="55" s="1"/>
  <c r="AK12" i="55" s="1"/>
  <c r="AK11" i="55" s="1"/>
  <c r="AK10" i="55" s="1"/>
  <c r="AK9" i="55" s="1"/>
  <c r="AK8" i="55" s="1"/>
  <c r="AK7" i="55" s="1"/>
  <c r="AK6" i="55" s="1"/>
  <c r="AK5" i="55" s="1"/>
  <c r="AN751" i="55"/>
  <c r="AN817" i="55"/>
  <c r="AN822" i="55"/>
  <c r="AN810" i="55"/>
  <c r="AN812" i="55"/>
  <c r="AN885" i="55"/>
  <c r="AN754" i="55"/>
  <c r="AN837" i="55"/>
  <c r="AN815" i="55"/>
  <c r="AN860" i="55"/>
  <c r="AN807" i="55"/>
  <c r="AN896" i="55"/>
  <c r="AN747" i="55"/>
  <c r="AN768" i="55"/>
  <c r="AN872" i="55"/>
  <c r="AN798" i="55"/>
  <c r="AN825" i="55"/>
  <c r="AN813" i="55"/>
  <c r="AN866" i="55"/>
  <c r="AN828" i="55"/>
  <c r="AN850" i="55"/>
  <c r="AN883" i="55"/>
  <c r="AN893" i="55"/>
  <c r="AN915" i="55"/>
  <c r="AN911" i="55"/>
  <c r="AO915" i="55" l="1"/>
  <c r="AQ915" i="55" s="1"/>
  <c r="AM423" i="55"/>
  <c r="AM653" i="55"/>
  <c r="AM600" i="55"/>
  <c r="AM673" i="55"/>
  <c r="AM507" i="55"/>
  <c r="AM820" i="55"/>
  <c r="AM596" i="55"/>
  <c r="AM360" i="55"/>
  <c r="AM737" i="55"/>
  <c r="AM483" i="55"/>
  <c r="AM662" i="55"/>
  <c r="AM386" i="55"/>
  <c r="AM825" i="55"/>
  <c r="AM250" i="55"/>
  <c r="AM621" i="55"/>
  <c r="AM821" i="55"/>
  <c r="AM356" i="55"/>
  <c r="AM699" i="55"/>
  <c r="AM503" i="55"/>
  <c r="AM444" i="55"/>
  <c r="AM720" i="55"/>
  <c r="AM381" i="55"/>
  <c r="AM775" i="55"/>
  <c r="AM555" i="55"/>
  <c r="AM706" i="55"/>
  <c r="AM649" i="55"/>
  <c r="AM913" i="55"/>
  <c r="AM794" i="55"/>
  <c r="AM585" i="55"/>
  <c r="AM407" i="55"/>
  <c r="AM608" i="55"/>
  <c r="AM310" i="55"/>
  <c r="AM828" i="55"/>
  <c r="AM644" i="55"/>
  <c r="AM665" i="55"/>
  <c r="AM418" i="55"/>
  <c r="AM322" i="55"/>
  <c r="AM693" i="55"/>
  <c r="AM642" i="55"/>
  <c r="AM754" i="55"/>
  <c r="AM316" i="55"/>
  <c r="AM751" i="55"/>
  <c r="AM333" i="55"/>
  <c r="AM283" i="55"/>
  <c r="AM542" i="55"/>
  <c r="AM652" i="55"/>
  <c r="AM248" i="55"/>
  <c r="AM615" i="55"/>
  <c r="AM399" i="55"/>
  <c r="AM783" i="55"/>
  <c r="AM563" i="55"/>
  <c r="AM476" i="55"/>
  <c r="AM304" i="55"/>
  <c r="AM288" i="55"/>
  <c r="AM606" i="55"/>
  <c r="AM614" i="55"/>
  <c r="AM370" i="55"/>
  <c r="AM661" i="55"/>
  <c r="AM482" i="55"/>
  <c r="AM277" i="55"/>
  <c r="AM624" i="55"/>
  <c r="AM449" i="55"/>
  <c r="AM664" i="55"/>
  <c r="AM313" i="55"/>
  <c r="AM492" i="55"/>
  <c r="AM660" i="55"/>
  <c r="AM458" i="55"/>
  <c r="AM838" i="55"/>
  <c r="AM266" i="55"/>
  <c r="AM475" i="55"/>
  <c r="AM691" i="55"/>
  <c r="AM339" i="55"/>
  <c r="AM842" i="55"/>
  <c r="AM687" i="55"/>
  <c r="AM773" i="55"/>
  <c r="AM826" i="55"/>
  <c r="AM836" i="55"/>
  <c r="AM364" i="55"/>
  <c r="AM829" i="55"/>
  <c r="AM518" i="55"/>
  <c r="AM269" i="55"/>
  <c r="AM559" i="55"/>
  <c r="AM398" i="55"/>
  <c r="AM281" i="55"/>
  <c r="AM590" i="55"/>
  <c r="AM344" i="55"/>
  <c r="AM645" i="55"/>
  <c r="AM340" i="55"/>
  <c r="AM319" i="55"/>
  <c r="AM290" i="55"/>
  <c r="AM536" i="55"/>
  <c r="AM428" i="55"/>
  <c r="AM457" i="55"/>
  <c r="AM571" i="55"/>
  <c r="AM886" i="55"/>
  <c r="AM778" i="55"/>
  <c r="AM709" i="55"/>
  <c r="AM780" i="55"/>
  <c r="AM383" i="55"/>
  <c r="AM294" i="55"/>
  <c r="AM831" i="55"/>
  <c r="AM295" i="55"/>
  <c r="AM852" i="55"/>
  <c r="AM335" i="55"/>
  <c r="AM702" i="55"/>
  <c r="AM549" i="55"/>
  <c r="AM694" i="55"/>
  <c r="AM787" i="55"/>
  <c r="AM690" i="55"/>
  <c r="AM302" i="55"/>
  <c r="AM850" i="55"/>
  <c r="AM819" i="55"/>
  <c r="AM711" i="55"/>
  <c r="AM599" i="55"/>
  <c r="AM390" i="55"/>
  <c r="AM865" i="55"/>
  <c r="AM400" i="55"/>
  <c r="AM764" i="55"/>
  <c r="AM654" i="55"/>
  <c r="AM466" i="55"/>
  <c r="AM282" i="55"/>
  <c r="AM320" i="55"/>
  <c r="AM636" i="55"/>
  <c r="AM655" i="55"/>
  <c r="AM297" i="55"/>
  <c r="AM362" i="55"/>
  <c r="AM334" i="55"/>
  <c r="AM311" i="55"/>
  <c r="AM504" i="55"/>
  <c r="AM394" i="55"/>
  <c r="AM389" i="55"/>
  <c r="AM843" i="55"/>
  <c r="AM439" i="55"/>
  <c r="AM331" i="55"/>
  <c r="AM698" i="55"/>
  <c r="AM680" i="55"/>
  <c r="AM889" i="55"/>
  <c r="AM781" i="55"/>
  <c r="AM420" i="55"/>
  <c r="AM789" i="55"/>
  <c r="AM880" i="55"/>
  <c r="AM903" i="55"/>
  <c r="AM770" i="55"/>
  <c r="AM763" i="55"/>
  <c r="AM392" i="55"/>
  <c r="AM677" i="55"/>
  <c r="AM671" i="55"/>
  <c r="AM513" i="55"/>
  <c r="AM771" i="55"/>
  <c r="AM372" i="55"/>
  <c r="AM769" i="55"/>
  <c r="AM912" i="55"/>
  <c r="AM626" i="55"/>
  <c r="AM348" i="55"/>
  <c r="AM876" i="55"/>
  <c r="AM689" i="55"/>
  <c r="AM467" i="55"/>
  <c r="AM481" i="55"/>
  <c r="AM284" i="55"/>
  <c r="AM623" i="55"/>
  <c r="AM498" i="55"/>
  <c r="AM620" i="55"/>
  <c r="AM617" i="55"/>
  <c r="AM569" i="55"/>
  <c r="AM627" i="55"/>
  <c r="AM461" i="55"/>
  <c r="AM328" i="55"/>
  <c r="AM358" i="55"/>
  <c r="AM240" i="55"/>
  <c r="AN240" i="55" s="1"/>
  <c r="AM241" i="55"/>
  <c r="AN241" i="55" s="1"/>
  <c r="AM211" i="55"/>
  <c r="AN211" i="55" s="1"/>
  <c r="AM171" i="55"/>
  <c r="AN171" i="55" s="1"/>
  <c r="AM153" i="55"/>
  <c r="AN153" i="55" s="1"/>
  <c r="AM176" i="55"/>
  <c r="AN176" i="55" s="1"/>
  <c r="AM145" i="55"/>
  <c r="AN145" i="55" s="1"/>
  <c r="AM39" i="55"/>
  <c r="AN39" i="55" s="1"/>
  <c r="AM7" i="55"/>
  <c r="AN7" i="55" s="1"/>
  <c r="AM223" i="55"/>
  <c r="AN223" i="55" s="1"/>
  <c r="AM131" i="55"/>
  <c r="AN131" i="55" s="1"/>
  <c r="AM23" i="55"/>
  <c r="AN23" i="55" s="1"/>
  <c r="AM212" i="55"/>
  <c r="AN212" i="55" s="1"/>
  <c r="AM144" i="55"/>
  <c r="AN144" i="55" s="1"/>
  <c r="AM75" i="55"/>
  <c r="AN75" i="55" s="1"/>
  <c r="AM189" i="55"/>
  <c r="AN189" i="55" s="1"/>
  <c r="AM225" i="55"/>
  <c r="AN225" i="55" s="1"/>
  <c r="AM187" i="55"/>
  <c r="AN187" i="55" s="1"/>
  <c r="AM147" i="55"/>
  <c r="AN147" i="55" s="1"/>
  <c r="AM129" i="55"/>
  <c r="AN129" i="55" s="1"/>
  <c r="AM99" i="55"/>
  <c r="AN99" i="55" s="1"/>
  <c r="AM154" i="55"/>
  <c r="AN154" i="55" s="1"/>
  <c r="AM217" i="55"/>
  <c r="AN217" i="55" s="1"/>
  <c r="AM180" i="55"/>
  <c r="AN180" i="55" s="1"/>
  <c r="AM162" i="55"/>
  <c r="AN162" i="55" s="1"/>
  <c r="AM179" i="55"/>
  <c r="AN179" i="55" s="1"/>
  <c r="AM206" i="55"/>
  <c r="AN206" i="55" s="1"/>
  <c r="AM159" i="55"/>
  <c r="AN159" i="55" s="1"/>
  <c r="AM196" i="55"/>
  <c r="AN196" i="55" s="1"/>
  <c r="AM132" i="55"/>
  <c r="AN132" i="55" s="1"/>
  <c r="AM40" i="55"/>
  <c r="AN40" i="55" s="1"/>
  <c r="AM184" i="55"/>
  <c r="AN184" i="55" s="1"/>
  <c r="AM213" i="55"/>
  <c r="AN213" i="55" s="1"/>
  <c r="AM115" i="55"/>
  <c r="AN115" i="55" s="1"/>
  <c r="AM53" i="55"/>
  <c r="AN53" i="55" s="1"/>
  <c r="AM101" i="55"/>
  <c r="AN101" i="55" s="1"/>
  <c r="AM236" i="55"/>
  <c r="AN236" i="55" s="1"/>
  <c r="AM19" i="55"/>
  <c r="AN19" i="55" s="1"/>
  <c r="AM120" i="55"/>
  <c r="AN120" i="55" s="1"/>
  <c r="AM110" i="55"/>
  <c r="AN110" i="55" s="1"/>
  <c r="AM102" i="55"/>
  <c r="AN102" i="55" s="1"/>
  <c r="AM92" i="55"/>
  <c r="AN92" i="55" s="1"/>
  <c r="AM82" i="55"/>
  <c r="AN82" i="55" s="1"/>
  <c r="AM72" i="55"/>
  <c r="AN72" i="55" s="1"/>
  <c r="AM62" i="55"/>
  <c r="AN62" i="55" s="1"/>
  <c r="AM54" i="55"/>
  <c r="AN54" i="55" s="1"/>
  <c r="AM44" i="55"/>
  <c r="AN44" i="55" s="1"/>
  <c r="AM34" i="55"/>
  <c r="AN34" i="55" s="1"/>
  <c r="AM14" i="55"/>
  <c r="AN14" i="55" s="1"/>
  <c r="AM15" i="55"/>
  <c r="AN15" i="55" s="1"/>
  <c r="AM55" i="55"/>
  <c r="AN55" i="55" s="1"/>
  <c r="AM22" i="55"/>
  <c r="AN22" i="55" s="1"/>
  <c r="AM127" i="55"/>
  <c r="AN127" i="55" s="1"/>
  <c r="AM148" i="55"/>
  <c r="AN148" i="55" s="1"/>
  <c r="AM137" i="55"/>
  <c r="AN137" i="55" s="1"/>
  <c r="AM11" i="55"/>
  <c r="AN11" i="55" s="1"/>
  <c r="AM165" i="55"/>
  <c r="AN165" i="55" s="1"/>
  <c r="AM69" i="55"/>
  <c r="AN69" i="55" s="1"/>
  <c r="AM136" i="55"/>
  <c r="AN136" i="55" s="1"/>
  <c r="AM111" i="55"/>
  <c r="AN111" i="55" s="1"/>
  <c r="AM425" i="55"/>
  <c r="AM634" i="55"/>
  <c r="AM448" i="55"/>
  <c r="AM605" i="55"/>
  <c r="AM520" i="55"/>
  <c r="AM371" i="55"/>
  <c r="AM796" i="55"/>
  <c r="AM554" i="55"/>
  <c r="AM705" i="55"/>
  <c r="AM415" i="55"/>
  <c r="AM261" i="55"/>
  <c r="AM527" i="55"/>
  <c r="AM630" i="55"/>
  <c r="AM505" i="55"/>
  <c r="AM443" i="55"/>
  <c r="AM739" i="55"/>
  <c r="AM904" i="55"/>
  <c r="AM812" i="55"/>
  <c r="AM735" i="55"/>
  <c r="AM760" i="55"/>
  <c r="AM447" i="55"/>
  <c r="AM264" i="55"/>
  <c r="AM639" i="55"/>
  <c r="AM897" i="55"/>
  <c r="AM749" i="55"/>
  <c r="AM752" i="55"/>
  <c r="AM453" i="55"/>
  <c r="AM544" i="55"/>
  <c r="AM892" i="55"/>
  <c r="AM508" i="55"/>
  <c r="AM547" i="55"/>
  <c r="AM249" i="55"/>
  <c r="AM275" i="55"/>
  <c r="AM882" i="55"/>
  <c r="AM510" i="55"/>
  <c r="AM324" i="55"/>
  <c r="AM246" i="55"/>
  <c r="AM485" i="55"/>
  <c r="AM541" i="55"/>
  <c r="AM815" i="55"/>
  <c r="AM730" i="55"/>
  <c r="AM580" i="55"/>
  <c r="AM814" i="55"/>
  <c r="AM436" i="55"/>
  <c r="AM252" i="55"/>
  <c r="AM550" i="55"/>
  <c r="AM833" i="55"/>
  <c r="AM514" i="55"/>
  <c r="AM572" i="55"/>
  <c r="AM330" i="55"/>
  <c r="AM296" i="55"/>
  <c r="AM545" i="55"/>
  <c r="AM840" i="55"/>
  <c r="AM727" i="55"/>
  <c r="AM285" i="55"/>
  <c r="AM597" i="55"/>
  <c r="AM872" i="55"/>
  <c r="AM715" i="55"/>
  <c r="AM228" i="55"/>
  <c r="AN228" i="55" s="1"/>
  <c r="AM163" i="55"/>
  <c r="AN163" i="55" s="1"/>
  <c r="AM89" i="55"/>
  <c r="AN89" i="55" s="1"/>
  <c r="AM156" i="55"/>
  <c r="AN156" i="55" s="1"/>
  <c r="AM178" i="55"/>
  <c r="AN178" i="55" s="1"/>
  <c r="AM175" i="55"/>
  <c r="AN175" i="55" s="1"/>
  <c r="AM177" i="55"/>
  <c r="AN177" i="55" s="1"/>
  <c r="AM33" i="55"/>
  <c r="AN33" i="55" s="1"/>
  <c r="AM224" i="55"/>
  <c r="AN224" i="55" s="1"/>
  <c r="AM49" i="55"/>
  <c r="AN49" i="55" s="1"/>
  <c r="AM146" i="55"/>
  <c r="AN146" i="55" s="1"/>
  <c r="AM232" i="55"/>
  <c r="AN232" i="55" s="1"/>
  <c r="AM73" i="55"/>
  <c r="AN73" i="55" s="1"/>
  <c r="AM119" i="55"/>
  <c r="AN119" i="55" s="1"/>
  <c r="AM96" i="55"/>
  <c r="AN96" i="55" s="1"/>
  <c r="AM68" i="55"/>
  <c r="AN68" i="55" s="1"/>
  <c r="AM38" i="55"/>
  <c r="AN38" i="55" s="1"/>
  <c r="AM207" i="55"/>
  <c r="AN207" i="55" s="1"/>
  <c r="AM13" i="55"/>
  <c r="AN13" i="55" s="1"/>
  <c r="AM208" i="55"/>
  <c r="AN208" i="55" s="1"/>
  <c r="AM242" i="55"/>
  <c r="AN242" i="55" s="1"/>
  <c r="AM806" i="55"/>
  <c r="AM724" i="55"/>
  <c r="AM899" i="55"/>
  <c r="AM718" i="55"/>
  <c r="AM287" i="55"/>
  <c r="AM409" i="55"/>
  <c r="AM879" i="55"/>
  <c r="AM577" i="55"/>
  <c r="AM379" i="55"/>
  <c r="AM802" i="55"/>
  <c r="AM528" i="55"/>
  <c r="AM647" i="55"/>
  <c r="AM629" i="55"/>
  <c r="AM638" i="55"/>
  <c r="AM463" i="55"/>
  <c r="AM916" i="55"/>
  <c r="AM587" i="55"/>
  <c r="AM516" i="55"/>
  <c r="AM526" i="55"/>
  <c r="AM868" i="55"/>
  <c r="AM402" i="55"/>
  <c r="AM517" i="55"/>
  <c r="AM473" i="55"/>
  <c r="AM357" i="55"/>
  <c r="AM678" i="55"/>
  <c r="AM866" i="55"/>
  <c r="AM648" i="55"/>
  <c r="AM856" i="55"/>
  <c r="AM524" i="55"/>
  <c r="AM723" i="55"/>
  <c r="AM263" i="55"/>
  <c r="AM786" i="55"/>
  <c r="AM301" i="55"/>
  <c r="AM659" i="55"/>
  <c r="AM259" i="55"/>
  <c r="AM494" i="55"/>
  <c r="AM697" i="55"/>
  <c r="AM292" i="55"/>
  <c r="AM758" i="55"/>
  <c r="AM612" i="55"/>
  <c r="AM755" i="55"/>
  <c r="AM837" i="55"/>
  <c r="AM456" i="55"/>
  <c r="AM519" i="55"/>
  <c r="AM761" i="55"/>
  <c r="AM539" i="55"/>
  <c r="AM854" i="55"/>
  <c r="AM255" i="55"/>
  <c r="AM757" i="55"/>
  <c r="AM601" i="55"/>
  <c r="AM731" i="55"/>
  <c r="AM452" i="55"/>
  <c r="AM500" i="55"/>
  <c r="AM347" i="55"/>
  <c r="AM822" i="55"/>
  <c r="AM570" i="55"/>
  <c r="AM714" i="55"/>
  <c r="AM818" i="55"/>
  <c r="AM676" i="55"/>
  <c r="AM589" i="55"/>
  <c r="AM911" i="55"/>
  <c r="AM733" i="55"/>
  <c r="AM646" i="55"/>
  <c r="AM382" i="55"/>
  <c r="AM373" i="55"/>
  <c r="AM915" i="55"/>
  <c r="AM703" i="55"/>
  <c r="AM260" i="55"/>
  <c r="AM270" i="55"/>
  <c r="AM855" i="55"/>
  <c r="AM401" i="55"/>
  <c r="AM440" i="55"/>
  <c r="AM808" i="55"/>
  <c r="AM686" i="55"/>
  <c r="AM804" i="55"/>
  <c r="AM535" i="55"/>
  <c r="AM321" i="55"/>
  <c r="AM468" i="55"/>
  <c r="AM861" i="55"/>
  <c r="AM756" i="55"/>
  <c r="AM511" i="55"/>
  <c r="AM470" i="55"/>
  <c r="AM499" i="55"/>
  <c r="AM681" i="55"/>
  <c r="AM374" i="55"/>
  <c r="AM750" i="55"/>
  <c r="AM433" i="55"/>
  <c r="AM501" i="55"/>
  <c r="AM716" i="55"/>
  <c r="AM359" i="55"/>
  <c r="AM658" i="55"/>
  <c r="AM474" i="55"/>
  <c r="AM672" i="55"/>
  <c r="AM809" i="55"/>
  <c r="AM685" i="55"/>
  <c r="AM607" i="55"/>
  <c r="AM424" i="55"/>
  <c r="AM688" i="55"/>
  <c r="AM807" i="55"/>
  <c r="AM540" i="55"/>
  <c r="AM637" i="55"/>
  <c r="AM594" i="55"/>
  <c r="AM871" i="55"/>
  <c r="AM406" i="55"/>
  <c r="AM565" i="55"/>
  <c r="AM257" i="55"/>
  <c r="AM530" i="55"/>
  <c r="AM300" i="55"/>
  <c r="AM412" i="55"/>
  <c r="AM488" i="55"/>
  <c r="AM742" i="55"/>
  <c r="AM551" i="55"/>
  <c r="AM431" i="55"/>
  <c r="AM289" i="55"/>
  <c r="AM469" i="55"/>
  <c r="AM740" i="55"/>
  <c r="AM823" i="55"/>
  <c r="AM847" i="55"/>
  <c r="AM888" i="55"/>
  <c r="AM827" i="55"/>
  <c r="AM404" i="55"/>
  <c r="AM455" i="55"/>
  <c r="AM254" i="55"/>
  <c r="AM790" i="55"/>
  <c r="AM851" i="55"/>
  <c r="AM326" i="55"/>
  <c r="AM832" i="55"/>
  <c r="AM336" i="55"/>
  <c r="AM579" i="55"/>
  <c r="AM816" i="55"/>
  <c r="AM853" i="55"/>
  <c r="AM462" i="55"/>
  <c r="AM338" i="55"/>
  <c r="AM345" i="55"/>
  <c r="AM502" i="55"/>
  <c r="AM584" i="55"/>
  <c r="AM460" i="55"/>
  <c r="AM429" i="55"/>
  <c r="AM744" i="55"/>
  <c r="AM537" i="55"/>
  <c r="AM810" i="55"/>
  <c r="AM907" i="55"/>
  <c r="AM695" i="55"/>
  <c r="AM900" i="55"/>
  <c r="AM268" i="55"/>
  <c r="AM588" i="55"/>
  <c r="AM877" i="55"/>
  <c r="AM363" i="55"/>
  <c r="AM803" i="55"/>
  <c r="AM487" i="55"/>
  <c r="AM258" i="55"/>
  <c r="AM793" i="55"/>
  <c r="AM791" i="55"/>
  <c r="AM869" i="55"/>
  <c r="AM419" i="55"/>
  <c r="AM805" i="55"/>
  <c r="AM523" i="55"/>
  <c r="AM765" i="55"/>
  <c r="AM767" i="55"/>
  <c r="AM327" i="55"/>
  <c r="AM315" i="55"/>
  <c r="AM291" i="55"/>
  <c r="AM271" i="55"/>
  <c r="AM788" i="55"/>
  <c r="AM422" i="55"/>
  <c r="AM337" i="55"/>
  <c r="AM427" i="55"/>
  <c r="AM413" i="55"/>
  <c r="AM234" i="55"/>
  <c r="AN234" i="55" s="1"/>
  <c r="AM235" i="55"/>
  <c r="AN235" i="55" s="1"/>
  <c r="AM205" i="55"/>
  <c r="AN205" i="55" s="1"/>
  <c r="AM167" i="55"/>
  <c r="AN167" i="55" s="1"/>
  <c r="AM149" i="55"/>
  <c r="AN149" i="55" s="1"/>
  <c r="AM142" i="55"/>
  <c r="AN142" i="55" s="1"/>
  <c r="AM126" i="55"/>
  <c r="AN126" i="55" s="1"/>
  <c r="AM188" i="55"/>
  <c r="AN188" i="55" s="1"/>
  <c r="AM237" i="55"/>
  <c r="AN237" i="55" s="1"/>
  <c r="AM190" i="55"/>
  <c r="AN190" i="55" s="1"/>
  <c r="AM95" i="55"/>
  <c r="AN95" i="55" s="1"/>
  <c r="AM239" i="55"/>
  <c r="AN239" i="55" s="1"/>
  <c r="AM192" i="55"/>
  <c r="AN192" i="55" s="1"/>
  <c r="AM130" i="55"/>
  <c r="AN130" i="55" s="1"/>
  <c r="AM31" i="55"/>
  <c r="AN31" i="55" s="1"/>
  <c r="AM186" i="55"/>
  <c r="AN186" i="55" s="1"/>
  <c r="AM221" i="55"/>
  <c r="AN221" i="55" s="1"/>
  <c r="AM181" i="55"/>
  <c r="AN181" i="55" s="1"/>
  <c r="AM143" i="55"/>
  <c r="AN143" i="55" s="1"/>
  <c r="AM125" i="55"/>
  <c r="AN125" i="55" s="1"/>
  <c r="AM45" i="55"/>
  <c r="AN45" i="55" s="1"/>
  <c r="AM151" i="55"/>
  <c r="AN151" i="55" s="1"/>
  <c r="AM214" i="55"/>
  <c r="AN214" i="55" s="1"/>
  <c r="AM161" i="55"/>
  <c r="AN161" i="55" s="1"/>
  <c r="AM128" i="55"/>
  <c r="AN128" i="55" s="1"/>
  <c r="AM140" i="55"/>
  <c r="AN140" i="55" s="1"/>
  <c r="AM198" i="55"/>
  <c r="AN198" i="55" s="1"/>
  <c r="AM81" i="55"/>
  <c r="AN81" i="55" s="1"/>
  <c r="AM152" i="55"/>
  <c r="AN152" i="55" s="1"/>
  <c r="AM25" i="55"/>
  <c r="AN25" i="55" s="1"/>
  <c r="AM28" i="55"/>
  <c r="AN28" i="55" s="1"/>
  <c r="AM100" i="55"/>
  <c r="AN100" i="55" s="1"/>
  <c r="AM202" i="55"/>
  <c r="AN202" i="55" s="1"/>
  <c r="AM107" i="55"/>
  <c r="AN107" i="55" s="1"/>
  <c r="AM16" i="55"/>
  <c r="AN16" i="55" s="1"/>
  <c r="AM112" i="55"/>
  <c r="AN112" i="55" s="1"/>
  <c r="AM216" i="55"/>
  <c r="AN216" i="55" s="1"/>
  <c r="AM200" i="55"/>
  <c r="AN200" i="55" s="1"/>
  <c r="AM118" i="55"/>
  <c r="AN118" i="55" s="1"/>
  <c r="AM108" i="55"/>
  <c r="AN108" i="55" s="1"/>
  <c r="AM98" i="55"/>
  <c r="AN98" i="55" s="1"/>
  <c r="AM90" i="55"/>
  <c r="AN90" i="55" s="1"/>
  <c r="AM80" i="55"/>
  <c r="AN80" i="55" s="1"/>
  <c r="AM70" i="55"/>
  <c r="AN70" i="55" s="1"/>
  <c r="AM60" i="55"/>
  <c r="AN60" i="55" s="1"/>
  <c r="AM50" i="55"/>
  <c r="AN50" i="55" s="1"/>
  <c r="AM42" i="55"/>
  <c r="AN42" i="55" s="1"/>
  <c r="AM32" i="55"/>
  <c r="AN32" i="55" s="1"/>
  <c r="AM6" i="55"/>
  <c r="AN6" i="55" s="1"/>
  <c r="AM10" i="55"/>
  <c r="AN10" i="55" s="1"/>
  <c r="AM97" i="55"/>
  <c r="AN97" i="55" s="1"/>
  <c r="AM166" i="55"/>
  <c r="AN166" i="55" s="1"/>
  <c r="AM17" i="55"/>
  <c r="AN17" i="55" s="1"/>
  <c r="AM124" i="55"/>
  <c r="AN124" i="55" s="1"/>
  <c r="AM87" i="55"/>
  <c r="AN87" i="55" s="1"/>
  <c r="AM52" i="55"/>
  <c r="AN52" i="55" s="1"/>
  <c r="AM121" i="55"/>
  <c r="AN121" i="55" s="1"/>
  <c r="AM59" i="55"/>
  <c r="AN59" i="55" s="1"/>
  <c r="AM244" i="55"/>
  <c r="AN244" i="55" s="1"/>
  <c r="AM103" i="55"/>
  <c r="AN103" i="55" s="1"/>
  <c r="AM273" i="55"/>
  <c r="AM884" i="55"/>
  <c r="AM332" i="55"/>
  <c r="AM891" i="55"/>
  <c r="AM679" i="55"/>
  <c r="AM668" i="55"/>
  <c r="AM414" i="55"/>
  <c r="AM772" i="55"/>
  <c r="AM874" i="55"/>
  <c r="AM592" i="55"/>
  <c r="AM692" i="55"/>
  <c r="AM293" i="55"/>
  <c r="AM410" i="55"/>
  <c r="AM265" i="55"/>
  <c r="AM641" i="55"/>
  <c r="AM830" i="55"/>
  <c r="AM741" i="55"/>
  <c r="AM299" i="55"/>
  <c r="AM782" i="55"/>
  <c r="AM543" i="55"/>
  <c r="AM902" i="55"/>
  <c r="AM472" i="55"/>
  <c r="AM895" i="55"/>
  <c r="AM342" i="55"/>
  <c r="AM839" i="55"/>
  <c r="AM385" i="55"/>
  <c r="AM905" i="55"/>
  <c r="AM797" i="55"/>
  <c r="AM346" i="55"/>
  <c r="AM650" i="55"/>
  <c r="AM721" i="55"/>
  <c r="AM317" i="55"/>
  <c r="AM343" i="55"/>
  <c r="AM437" i="55"/>
  <c r="AM748" i="55"/>
  <c r="AM367" i="55"/>
  <c r="AM906" i="55"/>
  <c r="AM759" i="55"/>
  <c r="AM435" i="55"/>
  <c r="AM885" i="55"/>
  <c r="AM445" i="55"/>
  <c r="AM603" i="55"/>
  <c r="AM835" i="55"/>
  <c r="AM351" i="55"/>
  <c r="AM525" i="55"/>
  <c r="AM762" i="55"/>
  <c r="AM849" i="55"/>
  <c r="AM561" i="55"/>
  <c r="AM602" i="55"/>
  <c r="AM219" i="55"/>
  <c r="AN219" i="55" s="1"/>
  <c r="AM24" i="55"/>
  <c r="AN24" i="55" s="1"/>
  <c r="AM226" i="55"/>
  <c r="AN226" i="55" s="1"/>
  <c r="AM233" i="55"/>
  <c r="AN233" i="55" s="1"/>
  <c r="AM231" i="55"/>
  <c r="AN231" i="55" s="1"/>
  <c r="AM139" i="55"/>
  <c r="AN139" i="55" s="1"/>
  <c r="AM194" i="55"/>
  <c r="AN194" i="55" s="1"/>
  <c r="AM158" i="55"/>
  <c r="AN158" i="55" s="1"/>
  <c r="AM91" i="55"/>
  <c r="AN91" i="55" s="1"/>
  <c r="AM117" i="55"/>
  <c r="AN117" i="55" s="1"/>
  <c r="AM116" i="55"/>
  <c r="AN116" i="55" s="1"/>
  <c r="AM86" i="55"/>
  <c r="AN86" i="55" s="1"/>
  <c r="AM58" i="55"/>
  <c r="AN58" i="55" s="1"/>
  <c r="AM30" i="55"/>
  <c r="AN30" i="55" s="1"/>
  <c r="AM141" i="55"/>
  <c r="AN141" i="55" s="1"/>
  <c r="AM47" i="55"/>
  <c r="AN47" i="55" s="1"/>
  <c r="AM27" i="55"/>
  <c r="AN27" i="55" s="1"/>
  <c r="AM450" i="55"/>
  <c r="AM286" i="55"/>
  <c r="AM396" i="55"/>
  <c r="AM279" i="55"/>
  <c r="AM717" i="55"/>
  <c r="AM890" i="55"/>
  <c r="AM725" i="55"/>
  <c r="AM700" i="55"/>
  <c r="AM353" i="55"/>
  <c r="AM643" i="55"/>
  <c r="AM245" i="55"/>
  <c r="AM477" i="55"/>
  <c r="AM667" i="55"/>
  <c r="AM305" i="55"/>
  <c r="AM583" i="55"/>
  <c r="AM531" i="55"/>
  <c r="AM914" i="55"/>
  <c r="AM795" i="55"/>
  <c r="AM712" i="55"/>
  <c r="AM280" i="55"/>
  <c r="AM521" i="55"/>
  <c r="AM395" i="55"/>
  <c r="AM276" i="55"/>
  <c r="AM887" i="55"/>
  <c r="AM622" i="55"/>
  <c r="AM707" i="55"/>
  <c r="AM578" i="55"/>
  <c r="AM575" i="55"/>
  <c r="AM442" i="55"/>
  <c r="AM845" i="55"/>
  <c r="AM567" i="55"/>
  <c r="AM548" i="55"/>
  <c r="AM610" i="55"/>
  <c r="AM631" i="55"/>
  <c r="AM640" i="55"/>
  <c r="AM576" i="55"/>
  <c r="AM684" i="55"/>
  <c r="AM308" i="55"/>
  <c r="AM909" i="55"/>
  <c r="AM719" i="55"/>
  <c r="AM609" i="55"/>
  <c r="AM421" i="55"/>
  <c r="AM910" i="55"/>
  <c r="AM426" i="55"/>
  <c r="AM274" i="55"/>
  <c r="AM253" i="55"/>
  <c r="AM267" i="55"/>
  <c r="AM278" i="55"/>
  <c r="AM696" i="55"/>
  <c r="AM901" i="55"/>
  <c r="AM365" i="55"/>
  <c r="AM438" i="55"/>
  <c r="AM745" i="55"/>
  <c r="AM361" i="55"/>
  <c r="AM557" i="55"/>
  <c r="AM595" i="55"/>
  <c r="AM552" i="55"/>
  <c r="AM619" i="55"/>
  <c r="AM391" i="55"/>
  <c r="AM896" i="55"/>
  <c r="AM883" i="55"/>
  <c r="AM387" i="55"/>
  <c r="AM743" i="55"/>
  <c r="AM862" i="55"/>
  <c r="AM251" i="55"/>
  <c r="AM616" i="55"/>
  <c r="AM564" i="55"/>
  <c r="AM801" i="55"/>
  <c r="AM817" i="55"/>
  <c r="AM247" i="55"/>
  <c r="AM512" i="55"/>
  <c r="AM562" i="55"/>
  <c r="AM393" i="55"/>
  <c r="AM604" i="55"/>
  <c r="AM553" i="55"/>
  <c r="AM846" i="55"/>
  <c r="AM675" i="55"/>
  <c r="AM613" i="55"/>
  <c r="AM574" i="55"/>
  <c r="AM388" i="55"/>
  <c r="AM471" i="55"/>
  <c r="AM669" i="55"/>
  <c r="AM568" i="55"/>
  <c r="AM663" i="55"/>
  <c r="AM611" i="55"/>
  <c r="AM378" i="55"/>
  <c r="AM430" i="55"/>
  <c r="AM484" i="55"/>
  <c r="AM867" i="55"/>
  <c r="AM303" i="55"/>
  <c r="AM857" i="55"/>
  <c r="AM325" i="55"/>
  <c r="AM799" i="55"/>
  <c r="AM489" i="55"/>
  <c r="AM800" i="55"/>
  <c r="AM844" i="55"/>
  <c r="AM309" i="55"/>
  <c r="AM349" i="55"/>
  <c r="AM747" i="55"/>
  <c r="AM777" i="55"/>
  <c r="AM798" i="55"/>
  <c r="AM496" i="55"/>
  <c r="AM722" i="55"/>
  <c r="AM864" i="55"/>
  <c r="AM776" i="55"/>
  <c r="AM682" i="55"/>
  <c r="AM509" i="55"/>
  <c r="AM417" i="55"/>
  <c r="AM834" i="55"/>
  <c r="AM416" i="55"/>
  <c r="AM490" i="55"/>
  <c r="AM534" i="55"/>
  <c r="AM533" i="55"/>
  <c r="AM598" i="55"/>
  <c r="AM350" i="55"/>
  <c r="AM369" i="55"/>
  <c r="AM486" i="55"/>
  <c r="AM824" i="55"/>
  <c r="AM408" i="55"/>
  <c r="AM459" i="55"/>
  <c r="AM454" i="55"/>
  <c r="AM546" i="55"/>
  <c r="AM586" i="55"/>
  <c r="AM732" i="55"/>
  <c r="AM784" i="55"/>
  <c r="AM262" i="55"/>
  <c r="AM785" i="55"/>
  <c r="AM441" i="55"/>
  <c r="AM666" i="55"/>
  <c r="AM451" i="55"/>
  <c r="AM651" i="55"/>
  <c r="AM635" i="55"/>
  <c r="AM632" i="55"/>
  <c r="AM841" i="55"/>
  <c r="AM738" i="55"/>
  <c r="AM779" i="55"/>
  <c r="AM633" i="55"/>
  <c r="AM491" i="55"/>
  <c r="AM860" i="55"/>
  <c r="AM618" i="55"/>
  <c r="AM432" i="55"/>
  <c r="AM493" i="55"/>
  <c r="AM256" i="55"/>
  <c r="AM898" i="55"/>
  <c r="AM894" i="55"/>
  <c r="AM558" i="55"/>
  <c r="AM384" i="55"/>
  <c r="AM522" i="55"/>
  <c r="AM674" i="55"/>
  <c r="AM875" i="55"/>
  <c r="AM573" i="55"/>
  <c r="AM306" i="55"/>
  <c r="AM515" i="55"/>
  <c r="AM318" i="55"/>
  <c r="AM376" i="55"/>
  <c r="AM726" i="55"/>
  <c r="AM710" i="55"/>
  <c r="AM446" i="55"/>
  <c r="AM323" i="55"/>
  <c r="AM670" i="55"/>
  <c r="AM581" i="55"/>
  <c r="AM657" i="55"/>
  <c r="AM873" i="55"/>
  <c r="AM774" i="55"/>
  <c r="AM593" i="55"/>
  <c r="AM848" i="55"/>
  <c r="AM734" i="55"/>
  <c r="AM375" i="55"/>
  <c r="AM243" i="55"/>
  <c r="AN243" i="55" s="1"/>
  <c r="AM215" i="55"/>
  <c r="AN215" i="55" s="1"/>
  <c r="AM197" i="55"/>
  <c r="AN197" i="55" s="1"/>
  <c r="AM157" i="55"/>
  <c r="AN157" i="55" s="1"/>
  <c r="AM210" i="55"/>
  <c r="AN210" i="55" s="1"/>
  <c r="AM12" i="55"/>
  <c r="AN12" i="55" s="1"/>
  <c r="AM51" i="55"/>
  <c r="AN51" i="55" s="1"/>
  <c r="AM71" i="55"/>
  <c r="AN71" i="55" s="1"/>
  <c r="AM238" i="55"/>
  <c r="AN238" i="55" s="1"/>
  <c r="AM134" i="55"/>
  <c r="AN134" i="55" s="1"/>
  <c r="AM29" i="55"/>
  <c r="AN29" i="55" s="1"/>
  <c r="AM222" i="55"/>
  <c r="AN222" i="55" s="1"/>
  <c r="AM164" i="55"/>
  <c r="AN164" i="55" s="1"/>
  <c r="AM193" i="55"/>
  <c r="AN193" i="55" s="1"/>
  <c r="AM209" i="55"/>
  <c r="AN209" i="55" s="1"/>
  <c r="AM229" i="55"/>
  <c r="AN229" i="55" s="1"/>
  <c r="AM191" i="55"/>
  <c r="AN191" i="55" s="1"/>
  <c r="AM173" i="55"/>
  <c r="AN173" i="55" s="1"/>
  <c r="AM133" i="55"/>
  <c r="AN133" i="55" s="1"/>
  <c r="AM174" i="55"/>
  <c r="AN174" i="55" s="1"/>
  <c r="AM227" i="55"/>
  <c r="AN227" i="55" s="1"/>
  <c r="AM37" i="55"/>
  <c r="AN37" i="55" s="1"/>
  <c r="AM183" i="55"/>
  <c r="AN183" i="55" s="1"/>
  <c r="AM170" i="55"/>
  <c r="AN170" i="55" s="1"/>
  <c r="AM182" i="55"/>
  <c r="AN182" i="55" s="1"/>
  <c r="AM35" i="55"/>
  <c r="AN35" i="55" s="1"/>
  <c r="AM150" i="55"/>
  <c r="AN150" i="55" s="1"/>
  <c r="AM203" i="55"/>
  <c r="AN203" i="55" s="1"/>
  <c r="AM135" i="55"/>
  <c r="AN135" i="55" s="1"/>
  <c r="AM18" i="55"/>
  <c r="AN18" i="55" s="1"/>
  <c r="AM79" i="55"/>
  <c r="AN79" i="55" s="1"/>
  <c r="AM230" i="55"/>
  <c r="AN230" i="55" s="1"/>
  <c r="AM123" i="55"/>
  <c r="AN123" i="55" s="1"/>
  <c r="AM61" i="55"/>
  <c r="AN61" i="55" s="1"/>
  <c r="AM109" i="55"/>
  <c r="AN109" i="55" s="1"/>
  <c r="AM9" i="55"/>
  <c r="AN9" i="55" s="1"/>
  <c r="AM65" i="55"/>
  <c r="AN65" i="55" s="1"/>
  <c r="AM122" i="55"/>
  <c r="AN122" i="55" s="1"/>
  <c r="AM114" i="55"/>
  <c r="AN114" i="55" s="1"/>
  <c r="AM104" i="55"/>
  <c r="AN104" i="55" s="1"/>
  <c r="AM94" i="55"/>
  <c r="AN94" i="55" s="1"/>
  <c r="AM84" i="55"/>
  <c r="AN84" i="55" s="1"/>
  <c r="AM74" i="55"/>
  <c r="AN74" i="55" s="1"/>
  <c r="AM66" i="55"/>
  <c r="AN66" i="55" s="1"/>
  <c r="AM56" i="55"/>
  <c r="AN56" i="55" s="1"/>
  <c r="AM46" i="55"/>
  <c r="AN46" i="55" s="1"/>
  <c r="AM36" i="55"/>
  <c r="AN36" i="55" s="1"/>
  <c r="AM26" i="55"/>
  <c r="AN26" i="55" s="1"/>
  <c r="AM83" i="55"/>
  <c r="AN83" i="55" s="1"/>
  <c r="AM63" i="55"/>
  <c r="AN63" i="55" s="1"/>
  <c r="AM43" i="55"/>
  <c r="AN43" i="55" s="1"/>
  <c r="AM138" i="55"/>
  <c r="AN138" i="55" s="1"/>
  <c r="AM220" i="55"/>
  <c r="AN220" i="55" s="1"/>
  <c r="AM76" i="55"/>
  <c r="AN76" i="55" s="1"/>
  <c r="AM5" i="55"/>
  <c r="AN5" i="55" s="1"/>
  <c r="AM168" i="55"/>
  <c r="AN168" i="55" s="1"/>
  <c r="AM105" i="55"/>
  <c r="AN105" i="55" s="1"/>
  <c r="AM172" i="55"/>
  <c r="AN172" i="55" s="1"/>
  <c r="AM160" i="55"/>
  <c r="AN160" i="55" s="1"/>
  <c r="AM64" i="55"/>
  <c r="AN64" i="55" s="1"/>
  <c r="AM480" i="55"/>
  <c r="AM434" i="55"/>
  <c r="AM713" i="55"/>
  <c r="AM368" i="55"/>
  <c r="AM878" i="55"/>
  <c r="AM495" i="55"/>
  <c r="AM628" i="55"/>
  <c r="AM870" i="55"/>
  <c r="AM479" i="55"/>
  <c r="AM766" i="55"/>
  <c r="AM582" i="55"/>
  <c r="AM497" i="55"/>
  <c r="AM908" i="55"/>
  <c r="AM352" i="55"/>
  <c r="AM506" i="55"/>
  <c r="AM403" i="55"/>
  <c r="AM566" i="55"/>
  <c r="AM753" i="55"/>
  <c r="AM728" i="55"/>
  <c r="AM397" i="55"/>
  <c r="AM312" i="55"/>
  <c r="AM736" i="55"/>
  <c r="AM464" i="55"/>
  <c r="AM538" i="55"/>
  <c r="AM863" i="55"/>
  <c r="AM298" i="55"/>
  <c r="AM405" i="55"/>
  <c r="AM768" i="55"/>
  <c r="AM881" i="55"/>
  <c r="AM859" i="55"/>
  <c r="AM465" i="55"/>
  <c r="AM746" i="55"/>
  <c r="AM329" i="55"/>
  <c r="AM532" i="55"/>
  <c r="AM411" i="55"/>
  <c r="AM893" i="55"/>
  <c r="AM704" i="55"/>
  <c r="AM701" i="55"/>
  <c r="AM858" i="55"/>
  <c r="AM792" i="55"/>
  <c r="AM380" i="55"/>
  <c r="AM560" i="55"/>
  <c r="AM341" i="55"/>
  <c r="AM729" i="55"/>
  <c r="AM529" i="55"/>
  <c r="AM625" i="55"/>
  <c r="AM813" i="55"/>
  <c r="AM811" i="55"/>
  <c r="AM366" i="55"/>
  <c r="AM314" i="55"/>
  <c r="AM354" i="55"/>
  <c r="AM683" i="55"/>
  <c r="AM307" i="55"/>
  <c r="AM556" i="55"/>
  <c r="AM377" i="55"/>
  <c r="AM272" i="55"/>
  <c r="AM656" i="55"/>
  <c r="AM591" i="55"/>
  <c r="AM355" i="55"/>
  <c r="AM708" i="55"/>
  <c r="AM478" i="55"/>
  <c r="AM201" i="55"/>
  <c r="AN201" i="55" s="1"/>
  <c r="AM218" i="55"/>
  <c r="AN218" i="55" s="1"/>
  <c r="AM185" i="55"/>
  <c r="AN185" i="55" s="1"/>
  <c r="AM41" i="55"/>
  <c r="AN41" i="55" s="1"/>
  <c r="AM20" i="55"/>
  <c r="AN20" i="55" s="1"/>
  <c r="AM195" i="55"/>
  <c r="AN195" i="55" s="1"/>
  <c r="AM204" i="55"/>
  <c r="AN204" i="55" s="1"/>
  <c r="AM77" i="55"/>
  <c r="AN77" i="55" s="1"/>
  <c r="AM8" i="55"/>
  <c r="AN8" i="55" s="1"/>
  <c r="AM67" i="55"/>
  <c r="AN67" i="55" s="1"/>
  <c r="AM21" i="55"/>
  <c r="AN21" i="55" s="1"/>
  <c r="AM199" i="55"/>
  <c r="AN199" i="55" s="1"/>
  <c r="AM155" i="55"/>
  <c r="AN155" i="55" s="1"/>
  <c r="AM169" i="55"/>
  <c r="AN169" i="55" s="1"/>
  <c r="AM106" i="55"/>
  <c r="AN106" i="55" s="1"/>
  <c r="AM78" i="55"/>
  <c r="AN78" i="55" s="1"/>
  <c r="AM48" i="55"/>
  <c r="AN48" i="55" s="1"/>
  <c r="AM93" i="55"/>
  <c r="AN93" i="55" s="1"/>
  <c r="AM85" i="55"/>
  <c r="AN85" i="55" s="1"/>
  <c r="AM88" i="55"/>
  <c r="AN88" i="55" s="1"/>
  <c r="AM113" i="55"/>
  <c r="AN113" i="55" s="1"/>
  <c r="AM57" i="55"/>
  <c r="AN57" i="55" s="1"/>
  <c r="AO914" i="55" l="1"/>
  <c r="AQ914" i="55" l="1"/>
  <c r="AO913" i="55"/>
  <c r="AQ913" i="55" l="1"/>
  <c r="AO912" i="55"/>
  <c r="AQ912" i="55" l="1"/>
  <c r="AO911" i="55"/>
  <c r="AQ911" i="55" l="1"/>
  <c r="AO910" i="55"/>
  <c r="AQ910" i="55" l="1"/>
  <c r="AO909" i="55"/>
  <c r="AQ909" i="55" l="1"/>
  <c r="AO908" i="55"/>
  <c r="AQ908" i="55" l="1"/>
  <c r="AO907" i="55"/>
  <c r="AQ907" i="55" l="1"/>
  <c r="AO906" i="55"/>
  <c r="AQ906" i="55" l="1"/>
  <c r="AO905" i="55"/>
  <c r="AQ905" i="55" l="1"/>
  <c r="AO904" i="55"/>
  <c r="AQ904" i="55" l="1"/>
  <c r="AO903" i="55"/>
  <c r="AQ903" i="55" l="1"/>
  <c r="AO902" i="55"/>
  <c r="AT915" i="55"/>
  <c r="AW915" i="55" s="1"/>
  <c r="AX915" i="55" s="1"/>
  <c r="AT914" i="55"/>
  <c r="AW914" i="55" s="1"/>
  <c r="AX914" i="55" s="1"/>
  <c r="AT906" i="55"/>
  <c r="AW906" i="55" s="1"/>
  <c r="AX906" i="55" s="1"/>
  <c r="AT907" i="55"/>
  <c r="AW907" i="55" s="1"/>
  <c r="AX907" i="55" s="1"/>
  <c r="AT905" i="55"/>
  <c r="AW905" i="55" s="1"/>
  <c r="AX905" i="55" s="1"/>
  <c r="AT913" i="55"/>
  <c r="AW913" i="55" s="1"/>
  <c r="AX913" i="55" s="1"/>
  <c r="AT908" i="55"/>
  <c r="AW908" i="55" s="1"/>
  <c r="AX908" i="55" s="1"/>
  <c r="AT912" i="55"/>
  <c r="AW912" i="55" s="1"/>
  <c r="AX912" i="55" s="1"/>
  <c r="AT909" i="55"/>
  <c r="AW909" i="55" s="1"/>
  <c r="AX909" i="55" s="1"/>
  <c r="AT911" i="55"/>
  <c r="AW911" i="55" s="1"/>
  <c r="AX911" i="55" s="1"/>
  <c r="AT916" i="55"/>
  <c r="AW916" i="55" s="1"/>
  <c r="AX916" i="55" s="1"/>
  <c r="AT910" i="55"/>
  <c r="AW910" i="55" s="1"/>
  <c r="AX910" i="55" s="1"/>
  <c r="AQ902" i="55" l="1"/>
  <c r="AO901" i="55"/>
  <c r="AQ901" i="55" l="1"/>
  <c r="AO900" i="55"/>
  <c r="AQ900" i="55" l="1"/>
  <c r="AO899" i="55"/>
  <c r="AQ899" i="55" l="1"/>
  <c r="AO898" i="55"/>
  <c r="AQ898" i="55" l="1"/>
  <c r="AO897" i="55"/>
  <c r="AQ897" i="55" l="1"/>
  <c r="AO896" i="55"/>
  <c r="AQ896" i="55" l="1"/>
  <c r="AO895" i="55"/>
  <c r="AQ895" i="55" l="1"/>
  <c r="AO894" i="55"/>
  <c r="AO893" i="55" l="1"/>
  <c r="AQ894" i="55"/>
  <c r="AQ893" i="55" l="1"/>
  <c r="AO892" i="55"/>
  <c r="AQ892" i="55" l="1"/>
  <c r="AO891" i="55"/>
  <c r="AR904" i="55" l="1"/>
  <c r="AR900" i="55"/>
  <c r="AR896" i="55"/>
  <c r="AT896" i="55" s="1"/>
  <c r="AW896" i="55" s="1"/>
  <c r="AX896" i="55" s="1"/>
  <c r="AR903" i="55"/>
  <c r="AT903" i="55" s="1"/>
  <c r="AW903" i="55" s="1"/>
  <c r="AX903" i="55" s="1"/>
  <c r="AR898" i="55"/>
  <c r="AR893" i="55"/>
  <c r="AT893" i="55" s="1"/>
  <c r="AW893" i="55" s="1"/>
  <c r="AX893" i="55" s="1"/>
  <c r="AR902" i="55"/>
  <c r="AT902" i="55" s="1"/>
  <c r="AW902" i="55" s="1"/>
  <c r="AX902" i="55" s="1"/>
  <c r="AR897" i="55"/>
  <c r="AT897" i="55" s="1"/>
  <c r="AW897" i="55" s="1"/>
  <c r="AX897" i="55" s="1"/>
  <c r="AR901" i="55"/>
  <c r="AT901" i="55" s="1"/>
  <c r="AW901" i="55" s="1"/>
  <c r="AX901" i="55" s="1"/>
  <c r="AR899" i="55"/>
  <c r="AT899" i="55" s="1"/>
  <c r="AW899" i="55" s="1"/>
  <c r="AX899" i="55" s="1"/>
  <c r="AR895" i="55"/>
  <c r="AT895" i="55" s="1"/>
  <c r="AW895" i="55" s="1"/>
  <c r="AX895" i="55" s="1"/>
  <c r="AR894" i="55"/>
  <c r="AT894" i="55" s="1"/>
  <c r="AW894" i="55" s="1"/>
  <c r="AX894" i="55" s="1"/>
  <c r="AQ891" i="55"/>
  <c r="AO890" i="55"/>
  <c r="AT898" i="55"/>
  <c r="AW898" i="55" s="1"/>
  <c r="AX898" i="55" s="1"/>
  <c r="AT900" i="55"/>
  <c r="AW900" i="55" s="1"/>
  <c r="AX900" i="55" s="1"/>
  <c r="AT904" i="55"/>
  <c r="AW904" i="55" s="1"/>
  <c r="AX904" i="55" s="1"/>
  <c r="AO889" i="55" l="1"/>
  <c r="AQ890" i="55"/>
  <c r="AO888" i="55" l="1"/>
  <c r="AQ889" i="55"/>
  <c r="AQ888" i="55" l="1"/>
  <c r="AO887" i="55"/>
  <c r="AO886" i="55" l="1"/>
  <c r="AQ887" i="55"/>
  <c r="AQ886" i="55" l="1"/>
  <c r="AO885" i="55"/>
  <c r="AQ885" i="55" l="1"/>
  <c r="AO884" i="55"/>
  <c r="AQ884" i="55" l="1"/>
  <c r="AO883" i="55"/>
  <c r="AQ883" i="55" l="1"/>
  <c r="AO882" i="55"/>
  <c r="AQ882" i="55" l="1"/>
  <c r="AO881" i="55"/>
  <c r="AQ881" i="55" l="1"/>
  <c r="AO880" i="55"/>
  <c r="AQ880" i="55" l="1"/>
  <c r="AO879" i="55"/>
  <c r="AR892" i="55" l="1"/>
  <c r="AR888" i="55"/>
  <c r="AR884" i="55"/>
  <c r="AT884" i="55" s="1"/>
  <c r="AW884" i="55" s="1"/>
  <c r="AX884" i="55" s="1"/>
  <c r="AR887" i="55"/>
  <c r="AT887" i="55" s="1"/>
  <c r="AW887" i="55" s="1"/>
  <c r="AX887" i="55" s="1"/>
  <c r="AR882" i="55"/>
  <c r="AR891" i="55"/>
  <c r="AT891" i="55" s="1"/>
  <c r="AW891" i="55" s="1"/>
  <c r="AX891" i="55" s="1"/>
  <c r="AR886" i="55"/>
  <c r="AT886" i="55" s="1"/>
  <c r="AW886" i="55" s="1"/>
  <c r="AX886" i="55" s="1"/>
  <c r="AR881" i="55"/>
  <c r="AT881" i="55" s="1"/>
  <c r="AW881" i="55" s="1"/>
  <c r="AX881" i="55" s="1"/>
  <c r="AR890" i="55"/>
  <c r="AT890" i="55" s="1"/>
  <c r="AW890" i="55" s="1"/>
  <c r="AX890" i="55" s="1"/>
  <c r="AR889" i="55"/>
  <c r="AT889" i="55" s="1"/>
  <c r="AW889" i="55" s="1"/>
  <c r="AX889" i="55" s="1"/>
  <c r="AR885" i="55"/>
  <c r="AT885" i="55" s="1"/>
  <c r="AW885" i="55" s="1"/>
  <c r="AX885" i="55" s="1"/>
  <c r="AR883" i="55"/>
  <c r="AT883" i="55" s="1"/>
  <c r="AW883" i="55" s="1"/>
  <c r="AX883" i="55" s="1"/>
  <c r="AO878" i="55"/>
  <c r="AQ879" i="55"/>
  <c r="AT892" i="55"/>
  <c r="AW892" i="55" s="1"/>
  <c r="AX892" i="55" s="1"/>
  <c r="AT882" i="55"/>
  <c r="AW882" i="55" s="1"/>
  <c r="AX882" i="55" s="1"/>
  <c r="AT888" i="55"/>
  <c r="AW888" i="55" s="1"/>
  <c r="AX888" i="55" s="1"/>
  <c r="AQ878" i="55" l="1"/>
  <c r="AO877" i="55"/>
  <c r="AO876" i="55" l="1"/>
  <c r="AQ877" i="55"/>
  <c r="AQ876" i="55" l="1"/>
  <c r="AO875" i="55"/>
  <c r="AQ875" i="55" l="1"/>
  <c r="AO874" i="55"/>
  <c r="AQ874" i="55" l="1"/>
  <c r="AO873" i="55"/>
  <c r="AQ873" i="55" l="1"/>
  <c r="AO872" i="55"/>
  <c r="AQ872" i="55" l="1"/>
  <c r="AO871" i="55"/>
  <c r="AQ871" i="55" l="1"/>
  <c r="AO870" i="55"/>
  <c r="AQ870" i="55" l="1"/>
  <c r="AO869" i="55"/>
  <c r="AQ869" i="55" l="1"/>
  <c r="AO868" i="55"/>
  <c r="AQ868" i="55" l="1"/>
  <c r="AO867" i="55"/>
  <c r="AR880" i="55" l="1"/>
  <c r="AR876" i="55"/>
  <c r="AT876" i="55" s="1"/>
  <c r="AW876" i="55" s="1"/>
  <c r="AX876" i="55" s="1"/>
  <c r="AR872" i="55"/>
  <c r="AT872" i="55" s="1"/>
  <c r="AW872" i="55" s="1"/>
  <c r="AX872" i="55" s="1"/>
  <c r="AR877" i="55"/>
  <c r="AT877" i="55" s="1"/>
  <c r="AW877" i="55" s="1"/>
  <c r="AX877" i="55" s="1"/>
  <c r="AR871" i="55"/>
  <c r="AR875" i="55"/>
  <c r="AT875" i="55" s="1"/>
  <c r="AW875" i="55" s="1"/>
  <c r="AX875" i="55" s="1"/>
  <c r="AR870" i="55"/>
  <c r="AT870" i="55" s="1"/>
  <c r="AW870" i="55" s="1"/>
  <c r="AX870" i="55" s="1"/>
  <c r="AR879" i="55"/>
  <c r="AT879" i="55" s="1"/>
  <c r="AW879" i="55" s="1"/>
  <c r="AX879" i="55" s="1"/>
  <c r="AR869" i="55"/>
  <c r="AT869" i="55" s="1"/>
  <c r="AW869" i="55" s="1"/>
  <c r="AX869" i="55" s="1"/>
  <c r="AR878" i="55"/>
  <c r="AT878" i="55" s="1"/>
  <c r="AW878" i="55" s="1"/>
  <c r="AX878" i="55" s="1"/>
  <c r="AR874" i="55"/>
  <c r="AT874" i="55" s="1"/>
  <c r="AW874" i="55" s="1"/>
  <c r="AX874" i="55" s="1"/>
  <c r="AR873" i="55"/>
  <c r="AT873" i="55" s="1"/>
  <c r="AW873" i="55" s="1"/>
  <c r="AX873" i="55" s="1"/>
  <c r="AQ867" i="55"/>
  <c r="AO866" i="55"/>
  <c r="AT880" i="55"/>
  <c r="AW880" i="55" s="1"/>
  <c r="AX880" i="55" s="1"/>
  <c r="AT871" i="55"/>
  <c r="AW871" i="55" s="1"/>
  <c r="AX871" i="55" s="1"/>
  <c r="AQ866" i="55" l="1"/>
  <c r="AO865" i="55"/>
  <c r="AQ865" i="55" l="1"/>
  <c r="AO864" i="55"/>
  <c r="AO863" i="55" l="1"/>
  <c r="AQ864" i="55"/>
  <c r="AQ863" i="55" l="1"/>
  <c r="AO862" i="55"/>
  <c r="AQ862" i="55" l="1"/>
  <c r="AO861" i="55"/>
  <c r="AQ861" i="55" l="1"/>
  <c r="AO860" i="55"/>
  <c r="AQ860" i="55" l="1"/>
  <c r="AO859" i="55"/>
  <c r="AQ859" i="55" l="1"/>
  <c r="AO858" i="55"/>
  <c r="AQ858" i="55" l="1"/>
  <c r="AO857" i="55"/>
  <c r="AQ857" i="55" l="1"/>
  <c r="AO856" i="55"/>
  <c r="AQ856" i="55" l="1"/>
  <c r="AO855" i="55"/>
  <c r="AR868" i="55" l="1"/>
  <c r="AR864" i="55"/>
  <c r="AT864" i="55" s="1"/>
  <c r="AW864" i="55" s="1"/>
  <c r="AX864" i="55" s="1"/>
  <c r="AR860" i="55"/>
  <c r="AT860" i="55" s="1"/>
  <c r="AW860" i="55" s="1"/>
  <c r="AX860" i="55" s="1"/>
  <c r="AR866" i="55"/>
  <c r="AT866" i="55" s="1"/>
  <c r="AW866" i="55" s="1"/>
  <c r="AX866" i="55" s="1"/>
  <c r="AR861" i="55"/>
  <c r="AR865" i="55"/>
  <c r="AT865" i="55" s="1"/>
  <c r="AW865" i="55" s="1"/>
  <c r="AX865" i="55" s="1"/>
  <c r="AR859" i="55"/>
  <c r="AT859" i="55" s="1"/>
  <c r="AW859" i="55" s="1"/>
  <c r="AX859" i="55" s="1"/>
  <c r="AR858" i="55"/>
  <c r="AT858" i="55" s="1"/>
  <c r="AW858" i="55" s="1"/>
  <c r="AX858" i="55" s="1"/>
  <c r="AR867" i="55"/>
  <c r="AT867" i="55" s="1"/>
  <c r="AW867" i="55" s="1"/>
  <c r="AX867" i="55" s="1"/>
  <c r="AR857" i="55"/>
  <c r="AT857" i="55" s="1"/>
  <c r="AW857" i="55" s="1"/>
  <c r="AX857" i="55" s="1"/>
  <c r="AR863" i="55"/>
  <c r="AT863" i="55" s="1"/>
  <c r="AW863" i="55" s="1"/>
  <c r="AX863" i="55" s="1"/>
  <c r="AR862" i="55"/>
  <c r="AT862" i="55" s="1"/>
  <c r="AW862" i="55" s="1"/>
  <c r="AX862" i="55" s="1"/>
  <c r="AQ855" i="55"/>
  <c r="AO854" i="55"/>
  <c r="AT868" i="55"/>
  <c r="AW868" i="55" s="1"/>
  <c r="AX868" i="55" s="1"/>
  <c r="AT861" i="55"/>
  <c r="AW861" i="55" s="1"/>
  <c r="AX861" i="55" s="1"/>
  <c r="AQ854" i="55" l="1"/>
  <c r="AO853" i="55"/>
  <c r="AQ853" i="55" l="1"/>
  <c r="AO852" i="55"/>
  <c r="AQ852" i="55" l="1"/>
  <c r="AO851" i="55"/>
  <c r="AQ851" i="55" l="1"/>
  <c r="AO850" i="55"/>
  <c r="AQ850" i="55" l="1"/>
  <c r="AO849" i="55"/>
  <c r="AQ849" i="55" l="1"/>
  <c r="AO848" i="55"/>
  <c r="AQ848" i="55" l="1"/>
  <c r="AO847" i="55"/>
  <c r="AQ847" i="55" l="1"/>
  <c r="AO846" i="55"/>
  <c r="AQ846" i="55" l="1"/>
  <c r="AO845" i="55"/>
  <c r="AQ845" i="55" l="1"/>
  <c r="AO844" i="55"/>
  <c r="AQ844" i="55" l="1"/>
  <c r="AO843" i="55"/>
  <c r="AR856" i="55" l="1"/>
  <c r="AR852" i="55"/>
  <c r="AR848" i="55"/>
  <c r="AR855" i="55"/>
  <c r="AT855" i="55" s="1"/>
  <c r="AW855" i="55" s="1"/>
  <c r="AX855" i="55" s="1"/>
  <c r="AR850" i="55"/>
  <c r="AR845" i="55"/>
  <c r="AT845" i="55" s="1"/>
  <c r="AW845" i="55" s="1"/>
  <c r="AX845" i="55" s="1"/>
  <c r="AR854" i="55"/>
  <c r="AT854" i="55" s="1"/>
  <c r="AW854" i="55" s="1"/>
  <c r="AX854" i="55" s="1"/>
  <c r="AR849" i="55"/>
  <c r="AT849" i="55" s="1"/>
  <c r="AW849" i="55" s="1"/>
  <c r="AX849" i="55" s="1"/>
  <c r="AR847" i="55"/>
  <c r="AT847" i="55" s="1"/>
  <c r="AW847" i="55" s="1"/>
  <c r="AX847" i="55" s="1"/>
  <c r="AR853" i="55"/>
  <c r="AT853" i="55" s="1"/>
  <c r="AW853" i="55" s="1"/>
  <c r="AX853" i="55" s="1"/>
  <c r="AR846" i="55"/>
  <c r="AT846" i="55" s="1"/>
  <c r="AW846" i="55" s="1"/>
  <c r="AX846" i="55" s="1"/>
  <c r="AR851" i="55"/>
  <c r="AT851" i="55" s="1"/>
  <c r="AW851" i="55" s="1"/>
  <c r="AX851" i="55" s="1"/>
  <c r="AQ843" i="55"/>
  <c r="AO842" i="55"/>
  <c r="AT848" i="55"/>
  <c r="AW848" i="55" s="1"/>
  <c r="AX848" i="55" s="1"/>
  <c r="AT856" i="55"/>
  <c r="AW856" i="55" s="1"/>
  <c r="AX856" i="55" s="1"/>
  <c r="AT850" i="55"/>
  <c r="AW850" i="55" s="1"/>
  <c r="AX850" i="55" s="1"/>
  <c r="AT852" i="55"/>
  <c r="AW852" i="55" s="1"/>
  <c r="AX852" i="55" s="1"/>
  <c r="AQ842" i="55" l="1"/>
  <c r="AO841" i="55"/>
  <c r="AQ841" i="55" l="1"/>
  <c r="AO840" i="55"/>
  <c r="AQ840" i="55" l="1"/>
  <c r="AO839" i="55"/>
  <c r="AQ839" i="55" l="1"/>
  <c r="AO838" i="55"/>
  <c r="AQ838" i="55" l="1"/>
  <c r="AO837" i="55"/>
  <c r="AQ837" i="55" l="1"/>
  <c r="AO836" i="55"/>
  <c r="AQ836" i="55" l="1"/>
  <c r="AO835" i="55"/>
  <c r="AQ835" i="55" l="1"/>
  <c r="AO834" i="55"/>
  <c r="AQ834" i="55" l="1"/>
  <c r="AO833" i="55"/>
  <c r="AQ833" i="55" l="1"/>
  <c r="AO832" i="55"/>
  <c r="AQ832" i="55" l="1"/>
  <c r="AO831" i="55"/>
  <c r="AR844" i="55" l="1"/>
  <c r="AR840" i="55"/>
  <c r="AT840" i="55" s="1"/>
  <c r="AW840" i="55" s="1"/>
  <c r="AX840" i="55" s="1"/>
  <c r="AR836" i="55"/>
  <c r="AT836" i="55" s="1"/>
  <c r="AW836" i="55" s="1"/>
  <c r="AX836" i="55" s="1"/>
  <c r="AR839" i="55"/>
  <c r="AT839" i="55" s="1"/>
  <c r="AW839" i="55" s="1"/>
  <c r="AX839" i="55" s="1"/>
  <c r="AR834" i="55"/>
  <c r="AR843" i="55"/>
  <c r="AT843" i="55" s="1"/>
  <c r="AW843" i="55" s="1"/>
  <c r="AX843" i="55" s="1"/>
  <c r="AR838" i="55"/>
  <c r="AT838" i="55" s="1"/>
  <c r="AW838" i="55" s="1"/>
  <c r="AX838" i="55" s="1"/>
  <c r="AR833" i="55"/>
  <c r="AT833" i="55" s="1"/>
  <c r="AW833" i="55" s="1"/>
  <c r="AX833" i="55" s="1"/>
  <c r="AR837" i="55"/>
  <c r="AT837" i="55" s="1"/>
  <c r="AW837" i="55" s="1"/>
  <c r="AX837" i="55" s="1"/>
  <c r="AR835" i="55"/>
  <c r="AT835" i="55" s="1"/>
  <c r="AW835" i="55" s="1"/>
  <c r="AX835" i="55" s="1"/>
  <c r="AR842" i="55"/>
  <c r="AT842" i="55" s="1"/>
  <c r="AW842" i="55" s="1"/>
  <c r="AX842" i="55" s="1"/>
  <c r="AR841" i="55"/>
  <c r="AT841" i="55" s="1"/>
  <c r="AW841" i="55" s="1"/>
  <c r="AX841" i="55" s="1"/>
  <c r="AQ831" i="55"/>
  <c r="AO830" i="55"/>
  <c r="AT834" i="55"/>
  <c r="AW834" i="55" s="1"/>
  <c r="AX834" i="55" s="1"/>
  <c r="AT844" i="55"/>
  <c r="AW844" i="55" s="1"/>
  <c r="AX844" i="55" s="1"/>
  <c r="AQ830" i="55" l="1"/>
  <c r="AO829" i="55"/>
  <c r="AQ829" i="55" l="1"/>
  <c r="AO828" i="55"/>
  <c r="AQ828" i="55" l="1"/>
  <c r="AO827" i="55"/>
  <c r="AQ827" i="55" l="1"/>
  <c r="AO826" i="55"/>
  <c r="AQ826" i="55" l="1"/>
  <c r="AO825" i="55"/>
  <c r="AQ825" i="55" l="1"/>
  <c r="AO824" i="55"/>
  <c r="AQ824" i="55" l="1"/>
  <c r="AO823" i="55"/>
  <c r="AQ823" i="55" l="1"/>
  <c r="AO822" i="55"/>
  <c r="AQ822" i="55" l="1"/>
  <c r="AO821" i="55"/>
  <c r="AQ821" i="55" l="1"/>
  <c r="AO820" i="55"/>
  <c r="AQ820" i="55" l="1"/>
  <c r="AO819" i="55"/>
  <c r="AR832" i="55" l="1"/>
  <c r="AT832" i="55" s="1"/>
  <c r="AW832" i="55" s="1"/>
  <c r="AX832" i="55" s="1"/>
  <c r="AR828" i="55"/>
  <c r="AT828" i="55" s="1"/>
  <c r="AW828" i="55" s="1"/>
  <c r="AX828" i="55" s="1"/>
  <c r="AR824" i="55"/>
  <c r="AT824" i="55" s="1"/>
  <c r="AW824" i="55" s="1"/>
  <c r="AX824" i="55" s="1"/>
  <c r="AR829" i="55"/>
  <c r="AT829" i="55" s="1"/>
  <c r="AW829" i="55" s="1"/>
  <c r="AX829" i="55" s="1"/>
  <c r="AR823" i="55"/>
  <c r="AT823" i="55" s="1"/>
  <c r="AW823" i="55" s="1"/>
  <c r="AX823" i="55" s="1"/>
  <c r="AR827" i="55"/>
  <c r="AR822" i="55"/>
  <c r="AT822" i="55" s="1"/>
  <c r="AW822" i="55" s="1"/>
  <c r="AX822" i="55" s="1"/>
  <c r="AR826" i="55"/>
  <c r="AT826" i="55" s="1"/>
  <c r="AW826" i="55" s="1"/>
  <c r="AX826" i="55" s="1"/>
  <c r="AR831" i="55"/>
  <c r="AT831" i="55" s="1"/>
  <c r="AW831" i="55" s="1"/>
  <c r="AX831" i="55" s="1"/>
  <c r="AR825" i="55"/>
  <c r="AT825" i="55" s="1"/>
  <c r="AW825" i="55" s="1"/>
  <c r="AX825" i="55" s="1"/>
  <c r="AR821" i="55"/>
  <c r="AT821" i="55" s="1"/>
  <c r="AW821" i="55" s="1"/>
  <c r="AX821" i="55" s="1"/>
  <c r="AR830" i="55"/>
  <c r="AT830" i="55" s="1"/>
  <c r="AW830" i="55" s="1"/>
  <c r="AX830" i="55" s="1"/>
  <c r="AQ819" i="55"/>
  <c r="AO818" i="55"/>
  <c r="AT827" i="55"/>
  <c r="AW827" i="55" s="1"/>
  <c r="AX827" i="55" s="1"/>
  <c r="AQ818" i="55" l="1"/>
  <c r="AO817" i="55"/>
  <c r="AQ817" i="55" l="1"/>
  <c r="AO816" i="55"/>
  <c r="AQ816" i="55" l="1"/>
  <c r="AO815" i="55"/>
  <c r="AQ815" i="55" l="1"/>
  <c r="AO814" i="55"/>
  <c r="AO813" i="55" l="1"/>
  <c r="AQ814" i="55"/>
  <c r="AQ813" i="55" l="1"/>
  <c r="AO812" i="55"/>
  <c r="AQ812" i="55" l="1"/>
  <c r="AO811" i="55"/>
  <c r="AQ811" i="55" l="1"/>
  <c r="AO810" i="55"/>
  <c r="AQ810" i="55" l="1"/>
  <c r="AO809" i="55"/>
  <c r="AQ809" i="55" l="1"/>
  <c r="AO808" i="55"/>
  <c r="AQ808" i="55" l="1"/>
  <c r="AO807" i="55"/>
  <c r="AR820" i="55" l="1"/>
  <c r="AR816" i="55"/>
  <c r="AR812" i="55"/>
  <c r="AT812" i="55" s="1"/>
  <c r="AW812" i="55" s="1"/>
  <c r="AX812" i="55" s="1"/>
  <c r="AR818" i="55"/>
  <c r="AT818" i="55" s="1"/>
  <c r="AW818" i="55" s="1"/>
  <c r="AX818" i="55" s="1"/>
  <c r="AR813" i="55"/>
  <c r="AR817" i="55"/>
  <c r="AT817" i="55" s="1"/>
  <c r="AW817" i="55" s="1"/>
  <c r="AX817" i="55" s="1"/>
  <c r="AR811" i="55"/>
  <c r="AT811" i="55" s="1"/>
  <c r="AW811" i="55" s="1"/>
  <c r="AX811" i="55" s="1"/>
  <c r="AR815" i="55"/>
  <c r="AT815" i="55" s="1"/>
  <c r="AW815" i="55" s="1"/>
  <c r="AX815" i="55" s="1"/>
  <c r="AR810" i="55"/>
  <c r="AT810" i="55" s="1"/>
  <c r="AW810" i="55" s="1"/>
  <c r="AX810" i="55" s="1"/>
  <c r="AR814" i="55"/>
  <c r="AT814" i="55" s="1"/>
  <c r="AW814" i="55" s="1"/>
  <c r="AX814" i="55" s="1"/>
  <c r="AR809" i="55"/>
  <c r="AT809" i="55" s="1"/>
  <c r="AW809" i="55" s="1"/>
  <c r="AX809" i="55" s="1"/>
  <c r="AR819" i="55"/>
  <c r="AT819" i="55" s="1"/>
  <c r="AW819" i="55" s="1"/>
  <c r="AX819" i="55" s="1"/>
  <c r="AO806" i="55"/>
  <c r="AQ807" i="55"/>
  <c r="AT813" i="55"/>
  <c r="AW813" i="55" s="1"/>
  <c r="AX813" i="55" s="1"/>
  <c r="AT816" i="55"/>
  <c r="AW816" i="55" s="1"/>
  <c r="AX816" i="55" s="1"/>
  <c r="AT820" i="55"/>
  <c r="AW820" i="55" s="1"/>
  <c r="AX820" i="55" s="1"/>
  <c r="AQ806" i="55" l="1"/>
  <c r="AO805" i="55"/>
  <c r="AQ805" i="55" l="1"/>
  <c r="AO804" i="55"/>
  <c r="AO803" i="55" l="1"/>
  <c r="AQ804" i="55"/>
  <c r="AQ803" i="55" l="1"/>
  <c r="AO802" i="55"/>
  <c r="AQ802" i="55" l="1"/>
  <c r="AO801" i="55"/>
  <c r="AQ801" i="55" l="1"/>
  <c r="AO800" i="55"/>
  <c r="AQ800" i="55" l="1"/>
  <c r="AO799" i="55"/>
  <c r="AQ799" i="55" l="1"/>
  <c r="AO798" i="55"/>
  <c r="AQ798" i="55" l="1"/>
  <c r="AO797" i="55"/>
  <c r="AQ797" i="55" l="1"/>
  <c r="AO796" i="55"/>
  <c r="AQ796" i="55" l="1"/>
  <c r="AO795" i="55"/>
  <c r="AR808" i="55" l="1"/>
  <c r="AR804" i="55"/>
  <c r="AT804" i="55" s="1"/>
  <c r="AW804" i="55" s="1"/>
  <c r="AX804" i="55" s="1"/>
  <c r="AR800" i="55"/>
  <c r="AT800" i="55" s="1"/>
  <c r="AW800" i="55" s="1"/>
  <c r="AX800" i="55" s="1"/>
  <c r="AR807" i="55"/>
  <c r="AT807" i="55" s="1"/>
  <c r="AW807" i="55" s="1"/>
  <c r="AX807" i="55" s="1"/>
  <c r="AR802" i="55"/>
  <c r="AR797" i="55"/>
  <c r="AT797" i="55" s="1"/>
  <c r="AW797" i="55" s="1"/>
  <c r="AX797" i="55" s="1"/>
  <c r="AR806" i="55"/>
  <c r="AT806" i="55" s="1"/>
  <c r="AW806" i="55" s="1"/>
  <c r="AX806" i="55" s="1"/>
  <c r="AR801" i="55"/>
  <c r="AT801" i="55" s="1"/>
  <c r="AW801" i="55" s="1"/>
  <c r="AX801" i="55" s="1"/>
  <c r="AR805" i="55"/>
  <c r="AT805" i="55" s="1"/>
  <c r="AW805" i="55" s="1"/>
  <c r="AX805" i="55" s="1"/>
  <c r="AR803" i="55"/>
  <c r="AT803" i="55" s="1"/>
  <c r="AW803" i="55" s="1"/>
  <c r="AX803" i="55" s="1"/>
  <c r="AR799" i="55"/>
  <c r="AT799" i="55" s="1"/>
  <c r="AW799" i="55" s="1"/>
  <c r="AX799" i="55" s="1"/>
  <c r="AR798" i="55"/>
  <c r="AT798" i="55" s="1"/>
  <c r="AW798" i="55" s="1"/>
  <c r="AX798" i="55" s="1"/>
  <c r="AQ795" i="55"/>
  <c r="AO794" i="55"/>
  <c r="AT802" i="55"/>
  <c r="AW802" i="55" s="1"/>
  <c r="AX802" i="55" s="1"/>
  <c r="AT808" i="55"/>
  <c r="AW808" i="55" s="1"/>
  <c r="AX808" i="55" s="1"/>
  <c r="AQ794" i="55" l="1"/>
  <c r="AO793" i="55"/>
  <c r="AQ793" i="55" l="1"/>
  <c r="AO792" i="55"/>
  <c r="AQ792" i="55" l="1"/>
  <c r="AO791" i="55"/>
  <c r="AQ791" i="55" l="1"/>
  <c r="AO790" i="55"/>
  <c r="AQ790" i="55" l="1"/>
  <c r="AO789" i="55"/>
  <c r="AQ789" i="55" l="1"/>
  <c r="AO788" i="55"/>
  <c r="AQ788" i="55" l="1"/>
  <c r="AO787" i="55"/>
  <c r="AQ787" i="55" l="1"/>
  <c r="AO786" i="55"/>
  <c r="AQ786" i="55" l="1"/>
  <c r="AO785" i="55"/>
  <c r="AQ785" i="55" l="1"/>
  <c r="AO784" i="55"/>
  <c r="AQ784" i="55" l="1"/>
  <c r="AO783" i="55"/>
  <c r="AR796" i="55" l="1"/>
  <c r="AR792" i="55"/>
  <c r="AR788" i="55"/>
  <c r="AT788" i="55" s="1"/>
  <c r="AW788" i="55" s="1"/>
  <c r="AX788" i="55" s="1"/>
  <c r="AR791" i="55"/>
  <c r="AT791" i="55" s="1"/>
  <c r="AW791" i="55" s="1"/>
  <c r="AX791" i="55" s="1"/>
  <c r="AR786" i="55"/>
  <c r="AR795" i="55"/>
  <c r="AT795" i="55" s="1"/>
  <c r="AW795" i="55" s="1"/>
  <c r="AX795" i="55" s="1"/>
  <c r="AR790" i="55"/>
  <c r="AT790" i="55" s="1"/>
  <c r="AW790" i="55" s="1"/>
  <c r="AX790" i="55" s="1"/>
  <c r="AR785" i="55"/>
  <c r="AT785" i="55" s="1"/>
  <c r="AW785" i="55" s="1"/>
  <c r="AX785" i="55" s="1"/>
  <c r="AR794" i="55"/>
  <c r="AT794" i="55" s="1"/>
  <c r="AW794" i="55" s="1"/>
  <c r="AX794" i="55" s="1"/>
  <c r="AR789" i="55"/>
  <c r="AT789" i="55" s="1"/>
  <c r="AW789" i="55" s="1"/>
  <c r="AX789" i="55" s="1"/>
  <c r="AR793" i="55"/>
  <c r="AT793" i="55" s="1"/>
  <c r="AW793" i="55" s="1"/>
  <c r="AX793" i="55" s="1"/>
  <c r="AR787" i="55"/>
  <c r="AT787" i="55" s="1"/>
  <c r="AW787" i="55" s="1"/>
  <c r="AX787" i="55" s="1"/>
  <c r="AQ783" i="55"/>
  <c r="AO782" i="55"/>
  <c r="AT786" i="55"/>
  <c r="AW786" i="55" s="1"/>
  <c r="AX786" i="55" s="1"/>
  <c r="AT792" i="55"/>
  <c r="AW792" i="55" s="1"/>
  <c r="AX792" i="55" s="1"/>
  <c r="AT796" i="55"/>
  <c r="AW796" i="55" s="1"/>
  <c r="AX796" i="55" s="1"/>
  <c r="AQ782" i="55" l="1"/>
  <c r="AO781" i="55"/>
  <c r="AQ781" i="55" l="1"/>
  <c r="AO780" i="55"/>
  <c r="AO779" i="55" l="1"/>
  <c r="AQ780" i="55"/>
  <c r="AQ779" i="55" l="1"/>
  <c r="AO778" i="55"/>
  <c r="AQ778" i="55" l="1"/>
  <c r="AO777" i="55"/>
  <c r="AO776" i="55" l="1"/>
  <c r="AQ777" i="55"/>
  <c r="AO775" i="55" l="1"/>
  <c r="AQ776" i="55"/>
  <c r="AO774" i="55" l="1"/>
  <c r="AQ775" i="55"/>
  <c r="AQ774" i="55" l="1"/>
  <c r="AO773" i="55"/>
  <c r="AQ773" i="55" l="1"/>
  <c r="AO772" i="55"/>
  <c r="AQ772" i="55" l="1"/>
  <c r="AO771" i="55"/>
  <c r="AR784" i="55" l="1"/>
  <c r="AR780" i="55"/>
  <c r="AT780" i="55" s="1"/>
  <c r="AW780" i="55" s="1"/>
  <c r="AX780" i="55" s="1"/>
  <c r="AR776" i="55"/>
  <c r="AT776" i="55" s="1"/>
  <c r="AW776" i="55" s="1"/>
  <c r="AX776" i="55" s="1"/>
  <c r="AR781" i="55"/>
  <c r="AT781" i="55" s="1"/>
  <c r="AW781" i="55" s="1"/>
  <c r="AX781" i="55" s="1"/>
  <c r="AR775" i="55"/>
  <c r="AR779" i="55"/>
  <c r="AT779" i="55" s="1"/>
  <c r="AW779" i="55" s="1"/>
  <c r="AX779" i="55" s="1"/>
  <c r="AR774" i="55"/>
  <c r="AT774" i="55" s="1"/>
  <c r="AW774" i="55" s="1"/>
  <c r="AX774" i="55" s="1"/>
  <c r="AR783" i="55"/>
  <c r="AT783" i="55" s="1"/>
  <c r="AW783" i="55" s="1"/>
  <c r="AX783" i="55" s="1"/>
  <c r="AR773" i="55"/>
  <c r="AT773" i="55" s="1"/>
  <c r="AW773" i="55" s="1"/>
  <c r="AX773" i="55" s="1"/>
  <c r="AR782" i="55"/>
  <c r="AT782" i="55" s="1"/>
  <c r="AW782" i="55" s="1"/>
  <c r="AX782" i="55" s="1"/>
  <c r="AR778" i="55"/>
  <c r="AT778" i="55" s="1"/>
  <c r="AW778" i="55" s="1"/>
  <c r="AX778" i="55" s="1"/>
  <c r="AR777" i="55"/>
  <c r="AT777" i="55" s="1"/>
  <c r="AW777" i="55" s="1"/>
  <c r="AX777" i="55" s="1"/>
  <c r="AO770" i="55"/>
  <c r="AQ771" i="55"/>
  <c r="AT784" i="55"/>
  <c r="AW784" i="55" s="1"/>
  <c r="AX784" i="55" s="1"/>
  <c r="AT775" i="55"/>
  <c r="AW775" i="55" s="1"/>
  <c r="AX775" i="55" s="1"/>
  <c r="AO769" i="55" l="1"/>
  <c r="AQ770" i="55"/>
  <c r="AQ769" i="55" l="1"/>
  <c r="AO768" i="55"/>
  <c r="AO767" i="55" l="1"/>
  <c r="AQ768" i="55"/>
  <c r="AQ767" i="55" l="1"/>
  <c r="AO766" i="55"/>
  <c r="AQ766" i="55" l="1"/>
  <c r="AO765" i="55"/>
  <c r="AQ765" i="55" l="1"/>
  <c r="AO764" i="55"/>
  <c r="AQ764" i="55" l="1"/>
  <c r="AO763" i="55"/>
  <c r="AQ763" i="55" l="1"/>
  <c r="AO762" i="55"/>
  <c r="AO761" i="55" l="1"/>
  <c r="AQ762" i="55"/>
  <c r="AO760" i="55" l="1"/>
  <c r="AQ761" i="55"/>
  <c r="AO759" i="55" l="1"/>
  <c r="AQ760" i="55"/>
  <c r="AR772" i="55" l="1"/>
  <c r="AR768" i="55"/>
  <c r="AT768" i="55" s="1"/>
  <c r="AW768" i="55" s="1"/>
  <c r="AX768" i="55" s="1"/>
  <c r="AR764" i="55"/>
  <c r="AT764" i="55" s="1"/>
  <c r="AW764" i="55" s="1"/>
  <c r="AX764" i="55" s="1"/>
  <c r="AR770" i="55"/>
  <c r="AT770" i="55" s="1"/>
  <c r="AW770" i="55" s="1"/>
  <c r="AX770" i="55" s="1"/>
  <c r="AR765" i="55"/>
  <c r="AR769" i="55"/>
  <c r="AT769" i="55" s="1"/>
  <c r="AW769" i="55" s="1"/>
  <c r="AX769" i="55" s="1"/>
  <c r="AR763" i="55"/>
  <c r="AT763" i="55" s="1"/>
  <c r="AW763" i="55" s="1"/>
  <c r="AX763" i="55" s="1"/>
  <c r="AR762" i="55"/>
  <c r="AT762" i="55" s="1"/>
  <c r="AW762" i="55" s="1"/>
  <c r="AX762" i="55" s="1"/>
  <c r="AR767" i="55"/>
  <c r="AT767" i="55" s="1"/>
  <c r="AW767" i="55" s="1"/>
  <c r="AX767" i="55" s="1"/>
  <c r="AR771" i="55"/>
  <c r="AT771" i="55" s="1"/>
  <c r="AW771" i="55" s="1"/>
  <c r="AX771" i="55" s="1"/>
  <c r="AR761" i="55"/>
  <c r="AT761" i="55" s="1"/>
  <c r="AW761" i="55" s="1"/>
  <c r="AX761" i="55" s="1"/>
  <c r="AR766" i="55"/>
  <c r="AT766" i="55" s="1"/>
  <c r="AW766" i="55" s="1"/>
  <c r="AX766" i="55" s="1"/>
  <c r="AT772" i="55"/>
  <c r="AW772" i="55" s="1"/>
  <c r="AX772" i="55" s="1"/>
  <c r="AT765" i="55"/>
  <c r="AW765" i="55" s="1"/>
  <c r="AX765" i="55" s="1"/>
  <c r="AO758" i="55"/>
  <c r="AQ759" i="55"/>
  <c r="AQ758" i="55" l="1"/>
  <c r="AO757" i="55"/>
  <c r="AO756" i="55" l="1"/>
  <c r="AQ757" i="55"/>
  <c r="AQ756" i="55" l="1"/>
  <c r="AO755" i="55"/>
  <c r="AQ755" i="55" l="1"/>
  <c r="AO754" i="55"/>
  <c r="AQ754" i="55" l="1"/>
  <c r="AO753" i="55"/>
  <c r="AQ753" i="55" l="1"/>
  <c r="AO752" i="55"/>
  <c r="AQ752" i="55" l="1"/>
  <c r="AO751" i="55"/>
  <c r="AQ751" i="55" l="1"/>
  <c r="AO750" i="55"/>
  <c r="AQ750" i="55" l="1"/>
  <c r="AO749" i="55"/>
  <c r="AO748" i="55" l="1"/>
  <c r="AQ749" i="55"/>
  <c r="AQ748" i="55" l="1"/>
  <c r="AO747" i="55"/>
  <c r="AR760" i="55" l="1"/>
  <c r="AR756" i="55"/>
  <c r="AR752" i="55"/>
  <c r="AT752" i="55" s="1"/>
  <c r="AW752" i="55" s="1"/>
  <c r="AX752" i="55" s="1"/>
  <c r="AR759" i="55"/>
  <c r="AT759" i="55" s="1"/>
  <c r="AW759" i="55" s="1"/>
  <c r="AX759" i="55" s="1"/>
  <c r="AR754" i="55"/>
  <c r="AR749" i="55"/>
  <c r="AT749" i="55" s="1"/>
  <c r="AW749" i="55" s="1"/>
  <c r="AX749" i="55" s="1"/>
  <c r="AR758" i="55"/>
  <c r="AT758" i="55" s="1"/>
  <c r="AW758" i="55" s="1"/>
  <c r="AX758" i="55" s="1"/>
  <c r="AR753" i="55"/>
  <c r="AT753" i="55" s="1"/>
  <c r="AW753" i="55" s="1"/>
  <c r="AX753" i="55" s="1"/>
  <c r="AR751" i="55"/>
  <c r="AT751" i="55" s="1"/>
  <c r="AW751" i="55" s="1"/>
  <c r="AX751" i="55" s="1"/>
  <c r="AR750" i="55"/>
  <c r="AT750" i="55" s="1"/>
  <c r="AW750" i="55" s="1"/>
  <c r="AX750" i="55" s="1"/>
  <c r="AR757" i="55"/>
  <c r="AT757" i="55" s="1"/>
  <c r="AW757" i="55" s="1"/>
  <c r="AX757" i="55" s="1"/>
  <c r="AR755" i="55"/>
  <c r="AT755" i="55" s="1"/>
  <c r="AW755" i="55" s="1"/>
  <c r="AX755" i="55" s="1"/>
  <c r="AQ747" i="55"/>
  <c r="AO746" i="55"/>
  <c r="AT760" i="55"/>
  <c r="AW760" i="55" s="1"/>
  <c r="AX760" i="55" s="1"/>
  <c r="AT754" i="55"/>
  <c r="AW754" i="55" s="1"/>
  <c r="AX754" i="55" s="1"/>
  <c r="AT756" i="55"/>
  <c r="AW756" i="55" s="1"/>
  <c r="AX756" i="55" s="1"/>
  <c r="AQ746" i="55" l="1"/>
  <c r="AO745" i="55"/>
  <c r="AQ745" i="55" l="1"/>
  <c r="AO744" i="55"/>
  <c r="AO743" i="55" l="1"/>
  <c r="AQ744" i="55"/>
  <c r="AQ743" i="55" l="1"/>
  <c r="AO742" i="55"/>
  <c r="AQ742" i="55" l="1"/>
  <c r="AO741" i="55"/>
  <c r="AQ741" i="55" l="1"/>
  <c r="AO740" i="55"/>
  <c r="AQ740" i="55" l="1"/>
  <c r="AO739" i="55"/>
  <c r="AQ739" i="55" l="1"/>
  <c r="AO738" i="55"/>
  <c r="AQ738" i="55" l="1"/>
  <c r="AO737" i="55"/>
  <c r="AQ737" i="55" l="1"/>
  <c r="AO736" i="55"/>
  <c r="AQ736" i="55" l="1"/>
  <c r="AO735" i="55"/>
  <c r="AR748" i="55" l="1"/>
  <c r="AR744" i="55"/>
  <c r="AT744" i="55" s="1"/>
  <c r="AW744" i="55" s="1"/>
  <c r="AX744" i="55" s="1"/>
  <c r="AR740" i="55"/>
  <c r="AT740" i="55" s="1"/>
  <c r="AW740" i="55" s="1"/>
  <c r="AX740" i="55" s="1"/>
  <c r="AR743" i="55"/>
  <c r="AT743" i="55" s="1"/>
  <c r="AW743" i="55" s="1"/>
  <c r="AX743" i="55" s="1"/>
  <c r="AR738" i="55"/>
  <c r="AR747" i="55"/>
  <c r="AT747" i="55" s="1"/>
  <c r="AW747" i="55" s="1"/>
  <c r="AX747" i="55" s="1"/>
  <c r="AR742" i="55"/>
  <c r="AT742" i="55" s="1"/>
  <c r="AW742" i="55" s="1"/>
  <c r="AX742" i="55" s="1"/>
  <c r="AR737" i="55"/>
  <c r="AT737" i="55" s="1"/>
  <c r="AW737" i="55" s="1"/>
  <c r="AX737" i="55" s="1"/>
  <c r="AR741" i="55"/>
  <c r="AT741" i="55" s="1"/>
  <c r="AW741" i="55" s="1"/>
  <c r="AX741" i="55" s="1"/>
  <c r="AR746" i="55"/>
  <c r="AT746" i="55" s="1"/>
  <c r="AW746" i="55" s="1"/>
  <c r="AX746" i="55" s="1"/>
  <c r="AR739" i="55"/>
  <c r="AT739" i="55" s="1"/>
  <c r="AW739" i="55" s="1"/>
  <c r="AX739" i="55" s="1"/>
  <c r="AR745" i="55"/>
  <c r="AT745" i="55" s="1"/>
  <c r="AW745" i="55" s="1"/>
  <c r="AX745" i="55" s="1"/>
  <c r="AQ735" i="55"/>
  <c r="AO734" i="55"/>
  <c r="AT748" i="55"/>
  <c r="AW748" i="55" s="1"/>
  <c r="AX748" i="55" s="1"/>
  <c r="AT738" i="55"/>
  <c r="AW738" i="55" s="1"/>
  <c r="AX738" i="55" s="1"/>
  <c r="AQ734" i="55" l="1"/>
  <c r="AO733" i="55"/>
  <c r="AQ733" i="55" l="1"/>
  <c r="AO732" i="55"/>
  <c r="AQ732" i="55" l="1"/>
  <c r="AO731" i="55"/>
  <c r="AQ731" i="55" l="1"/>
  <c r="AO730" i="55"/>
  <c r="AQ730" i="55" l="1"/>
  <c r="AO729" i="55"/>
  <c r="AQ729" i="55" l="1"/>
  <c r="AO728" i="55"/>
  <c r="AQ728" i="55" l="1"/>
  <c r="AO727" i="55"/>
  <c r="AQ727" i="55" l="1"/>
  <c r="AO726" i="55"/>
  <c r="AQ726" i="55" l="1"/>
  <c r="AO725" i="55"/>
  <c r="AQ725" i="55" l="1"/>
  <c r="AO724" i="55"/>
  <c r="AQ724" i="55" l="1"/>
  <c r="AO723" i="55"/>
  <c r="AR736" i="55" l="1"/>
  <c r="AR732" i="55"/>
  <c r="AT732" i="55" s="1"/>
  <c r="AW732" i="55" s="1"/>
  <c r="AX732" i="55" s="1"/>
  <c r="AR728" i="55"/>
  <c r="AT728" i="55" s="1"/>
  <c r="AW728" i="55" s="1"/>
  <c r="AX728" i="55" s="1"/>
  <c r="AR733" i="55"/>
  <c r="AT733" i="55" s="1"/>
  <c r="AW733" i="55" s="1"/>
  <c r="AX733" i="55" s="1"/>
  <c r="AR727" i="55"/>
  <c r="AR731" i="55"/>
  <c r="AT731" i="55" s="1"/>
  <c r="AW731" i="55" s="1"/>
  <c r="AX731" i="55" s="1"/>
  <c r="AR726" i="55"/>
  <c r="AT726" i="55" s="1"/>
  <c r="AW726" i="55" s="1"/>
  <c r="AX726" i="55" s="1"/>
  <c r="AR730" i="55"/>
  <c r="AT730" i="55" s="1"/>
  <c r="AW730" i="55" s="1"/>
  <c r="AX730" i="55" s="1"/>
  <c r="AR729" i="55"/>
  <c r="AT729" i="55" s="1"/>
  <c r="AW729" i="55" s="1"/>
  <c r="AX729" i="55" s="1"/>
  <c r="AR734" i="55"/>
  <c r="AT734" i="55" s="1"/>
  <c r="AW734" i="55" s="1"/>
  <c r="AX734" i="55" s="1"/>
  <c r="AR725" i="55"/>
  <c r="AT725" i="55" s="1"/>
  <c r="AW725" i="55" s="1"/>
  <c r="AX725" i="55" s="1"/>
  <c r="AR735" i="55"/>
  <c r="AT735" i="55" s="1"/>
  <c r="AW735" i="55" s="1"/>
  <c r="AX735" i="55" s="1"/>
  <c r="AQ723" i="55"/>
  <c r="AO722" i="55"/>
  <c r="AT727" i="55"/>
  <c r="AW727" i="55" s="1"/>
  <c r="AX727" i="55" s="1"/>
  <c r="AT736" i="55"/>
  <c r="AW736" i="55" s="1"/>
  <c r="AX736" i="55" s="1"/>
  <c r="AQ722" i="55" l="1"/>
  <c r="AO721" i="55"/>
  <c r="AQ721" i="55" l="1"/>
  <c r="AO720" i="55"/>
  <c r="AQ720" i="55" l="1"/>
  <c r="AO719" i="55"/>
  <c r="AQ719" i="55" l="1"/>
  <c r="AO718" i="55"/>
  <c r="AQ718" i="55" l="1"/>
  <c r="AO717" i="55"/>
  <c r="AQ717" i="55" l="1"/>
  <c r="AO716" i="55"/>
  <c r="AQ716" i="55" l="1"/>
  <c r="AO715" i="55"/>
  <c r="AQ715" i="55" l="1"/>
  <c r="AO714" i="55"/>
  <c r="AQ714" i="55" l="1"/>
  <c r="AO713" i="55"/>
  <c r="AQ713" i="55" l="1"/>
  <c r="AO712" i="55"/>
  <c r="AQ712" i="55" l="1"/>
  <c r="AO711" i="55"/>
  <c r="AR724" i="55" l="1"/>
  <c r="AR720" i="55"/>
  <c r="AT720" i="55" s="1"/>
  <c r="AW720" i="55" s="1"/>
  <c r="AX720" i="55" s="1"/>
  <c r="AR716" i="55"/>
  <c r="AR722" i="55"/>
  <c r="AT722" i="55" s="1"/>
  <c r="AW722" i="55" s="1"/>
  <c r="AX722" i="55" s="1"/>
  <c r="AR717" i="55"/>
  <c r="AR721" i="55"/>
  <c r="AT721" i="55" s="1"/>
  <c r="AW721" i="55" s="1"/>
  <c r="AX721" i="55" s="1"/>
  <c r="AR715" i="55"/>
  <c r="AT715" i="55" s="1"/>
  <c r="AW715" i="55" s="1"/>
  <c r="AX715" i="55" s="1"/>
  <c r="AR719" i="55"/>
  <c r="AT719" i="55" s="1"/>
  <c r="AW719" i="55" s="1"/>
  <c r="AX719" i="55" s="1"/>
  <c r="AR718" i="55"/>
  <c r="AT718" i="55" s="1"/>
  <c r="AW718" i="55" s="1"/>
  <c r="AX718" i="55" s="1"/>
  <c r="AR713" i="55"/>
  <c r="AT713" i="55" s="1"/>
  <c r="AW713" i="55" s="1"/>
  <c r="AX713" i="55" s="1"/>
  <c r="AR714" i="55"/>
  <c r="AT714" i="55" s="1"/>
  <c r="AW714" i="55" s="1"/>
  <c r="AX714" i="55" s="1"/>
  <c r="AR723" i="55"/>
  <c r="AT723" i="55" s="1"/>
  <c r="AW723" i="55" s="1"/>
  <c r="AX723" i="55" s="1"/>
  <c r="AQ711" i="55"/>
  <c r="AO710" i="55"/>
  <c r="AT716" i="55"/>
  <c r="AW716" i="55" s="1"/>
  <c r="AX716" i="55" s="1"/>
  <c r="AT717" i="55"/>
  <c r="AW717" i="55" s="1"/>
  <c r="AX717" i="55" s="1"/>
  <c r="AT724" i="55"/>
  <c r="AW724" i="55" s="1"/>
  <c r="AX724" i="55" s="1"/>
  <c r="AQ710" i="55" l="1"/>
  <c r="AO709" i="55"/>
  <c r="AQ709" i="55" l="1"/>
  <c r="AO708" i="55"/>
  <c r="AQ708" i="55" l="1"/>
  <c r="AO707" i="55"/>
  <c r="AQ707" i="55" l="1"/>
  <c r="AO706" i="55"/>
  <c r="AQ706" i="55" l="1"/>
  <c r="AO705" i="55"/>
  <c r="AQ705" i="55" l="1"/>
  <c r="AO704" i="55"/>
  <c r="AQ704" i="55" l="1"/>
  <c r="AO703" i="55"/>
  <c r="AQ703" i="55" l="1"/>
  <c r="AO702" i="55"/>
  <c r="AO701" i="55" l="1"/>
  <c r="AQ702" i="55"/>
  <c r="AQ701" i="55" l="1"/>
  <c r="AO700" i="55"/>
  <c r="AO699" i="55" l="1"/>
  <c r="AQ700" i="55"/>
  <c r="AR712" i="55" l="1"/>
  <c r="AR708" i="55"/>
  <c r="AR704" i="55"/>
  <c r="AT704" i="55" s="1"/>
  <c r="AW704" i="55" s="1"/>
  <c r="AX704" i="55" s="1"/>
  <c r="AR711" i="55"/>
  <c r="AT711" i="55" s="1"/>
  <c r="AW711" i="55" s="1"/>
  <c r="AX711" i="55" s="1"/>
  <c r="AR706" i="55"/>
  <c r="AR701" i="55"/>
  <c r="AT701" i="55" s="1"/>
  <c r="AW701" i="55" s="1"/>
  <c r="AX701" i="55" s="1"/>
  <c r="AR710" i="55"/>
  <c r="AT710" i="55" s="1"/>
  <c r="AW710" i="55" s="1"/>
  <c r="AX710" i="55" s="1"/>
  <c r="AR705" i="55"/>
  <c r="AT705" i="55" s="1"/>
  <c r="AW705" i="55" s="1"/>
  <c r="AX705" i="55" s="1"/>
  <c r="AR709" i="55"/>
  <c r="AT709" i="55" s="1"/>
  <c r="AW709" i="55" s="1"/>
  <c r="AX709" i="55" s="1"/>
  <c r="AR707" i="55"/>
  <c r="AT707" i="55" s="1"/>
  <c r="AW707" i="55" s="1"/>
  <c r="AX707" i="55" s="1"/>
  <c r="AR702" i="55"/>
  <c r="AT702" i="55" s="1"/>
  <c r="AW702" i="55" s="1"/>
  <c r="AX702" i="55" s="1"/>
  <c r="AR703" i="55"/>
  <c r="AT703" i="55" s="1"/>
  <c r="AW703" i="55" s="1"/>
  <c r="AX703" i="55" s="1"/>
  <c r="AT706" i="55"/>
  <c r="AW706" i="55" s="1"/>
  <c r="AX706" i="55" s="1"/>
  <c r="AT712" i="55"/>
  <c r="AW712" i="55" s="1"/>
  <c r="AX712" i="55" s="1"/>
  <c r="AT708" i="55"/>
  <c r="AW708" i="55" s="1"/>
  <c r="AX708" i="55" s="1"/>
  <c r="AO698" i="55"/>
  <c r="AQ699" i="55"/>
  <c r="AO697" i="55" l="1"/>
  <c r="AQ698" i="55"/>
  <c r="AQ697" i="55" l="1"/>
  <c r="AO696" i="55"/>
  <c r="AO695" i="55" l="1"/>
  <c r="AQ696" i="55"/>
  <c r="AQ695" i="55" l="1"/>
  <c r="AO694" i="55"/>
  <c r="AQ694" i="55" l="1"/>
  <c r="AO693" i="55"/>
  <c r="AQ693" i="55" l="1"/>
  <c r="AO692" i="55"/>
  <c r="AQ692" i="55" l="1"/>
  <c r="AO691" i="55"/>
  <c r="AQ691" i="55" l="1"/>
  <c r="AO690" i="55"/>
  <c r="AQ690" i="55" l="1"/>
  <c r="AO689" i="55"/>
  <c r="AQ689" i="55" l="1"/>
  <c r="AO688" i="55"/>
  <c r="AQ688" i="55" l="1"/>
  <c r="AO687" i="55"/>
  <c r="AR700" i="55" l="1"/>
  <c r="AR696" i="55"/>
  <c r="AR692" i="55"/>
  <c r="AT692" i="55" s="1"/>
  <c r="AW692" i="55" s="1"/>
  <c r="AX692" i="55" s="1"/>
  <c r="AR695" i="55"/>
  <c r="AT695" i="55" s="1"/>
  <c r="AW695" i="55" s="1"/>
  <c r="AX695" i="55" s="1"/>
  <c r="AR690" i="55"/>
  <c r="AR699" i="55"/>
  <c r="AR694" i="55"/>
  <c r="AT694" i="55" s="1"/>
  <c r="AW694" i="55" s="1"/>
  <c r="AX694" i="55" s="1"/>
  <c r="AR689" i="55"/>
  <c r="AT689" i="55" s="1"/>
  <c r="AW689" i="55" s="1"/>
  <c r="AX689" i="55" s="1"/>
  <c r="AR698" i="55"/>
  <c r="AT698" i="55" s="1"/>
  <c r="AW698" i="55" s="1"/>
  <c r="AX698" i="55" s="1"/>
  <c r="AR697" i="55"/>
  <c r="AT697" i="55" s="1"/>
  <c r="AW697" i="55" s="1"/>
  <c r="AX697" i="55" s="1"/>
  <c r="AR691" i="55"/>
  <c r="AT691" i="55" s="1"/>
  <c r="AW691" i="55" s="1"/>
  <c r="AX691" i="55" s="1"/>
  <c r="AR693" i="55"/>
  <c r="AT693" i="55" s="1"/>
  <c r="AW693" i="55" s="1"/>
  <c r="AX693" i="55" s="1"/>
  <c r="AQ687" i="55"/>
  <c r="AO686" i="55"/>
  <c r="AT696" i="55"/>
  <c r="AW696" i="55" s="1"/>
  <c r="AX696" i="55" s="1"/>
  <c r="AT700" i="55"/>
  <c r="AW700" i="55" s="1"/>
  <c r="AX700" i="55" s="1"/>
  <c r="AT699" i="55"/>
  <c r="AW699" i="55" s="1"/>
  <c r="AX699" i="55" s="1"/>
  <c r="AT690" i="55"/>
  <c r="AW690" i="55" s="1"/>
  <c r="AX690" i="55" s="1"/>
  <c r="AO685" i="55" l="1"/>
  <c r="AQ686" i="55"/>
  <c r="AQ685" i="55" l="1"/>
  <c r="AO684" i="55"/>
  <c r="AO683" i="55" l="1"/>
  <c r="AQ684" i="55"/>
  <c r="AQ683" i="55" l="1"/>
  <c r="AO682" i="55"/>
  <c r="AQ682" i="55" l="1"/>
  <c r="AO681" i="55"/>
  <c r="AQ681" i="55" l="1"/>
  <c r="AO680" i="55"/>
  <c r="AQ680" i="55" l="1"/>
  <c r="AO679" i="55"/>
  <c r="AQ679" i="55" l="1"/>
  <c r="AO678" i="55"/>
  <c r="AQ678" i="55" l="1"/>
  <c r="AO677" i="55"/>
  <c r="AQ677" i="55" l="1"/>
  <c r="AO676" i="55"/>
  <c r="AQ676" i="55" l="1"/>
  <c r="AO675" i="55"/>
  <c r="AR688" i="55" l="1"/>
  <c r="AR684" i="55"/>
  <c r="AT684" i="55" s="1"/>
  <c r="AW684" i="55" s="1"/>
  <c r="AX684" i="55" s="1"/>
  <c r="AR680" i="55"/>
  <c r="AT680" i="55" s="1"/>
  <c r="AW680" i="55" s="1"/>
  <c r="AX680" i="55" s="1"/>
  <c r="AR685" i="55"/>
  <c r="AT685" i="55" s="1"/>
  <c r="AW685" i="55" s="1"/>
  <c r="AX685" i="55" s="1"/>
  <c r="AR679" i="55"/>
  <c r="AR683" i="55"/>
  <c r="AT683" i="55" s="1"/>
  <c r="AW683" i="55" s="1"/>
  <c r="AX683" i="55" s="1"/>
  <c r="AR678" i="55"/>
  <c r="AT678" i="55" s="1"/>
  <c r="AW678" i="55" s="1"/>
  <c r="AX678" i="55" s="1"/>
  <c r="AR687" i="55"/>
  <c r="AT687" i="55" s="1"/>
  <c r="AW687" i="55" s="1"/>
  <c r="AX687" i="55" s="1"/>
  <c r="AR677" i="55"/>
  <c r="AT677" i="55" s="1"/>
  <c r="AW677" i="55" s="1"/>
  <c r="AX677" i="55" s="1"/>
  <c r="AR686" i="55"/>
  <c r="AT686" i="55" s="1"/>
  <c r="AW686" i="55" s="1"/>
  <c r="AX686" i="55" s="1"/>
  <c r="AR682" i="55"/>
  <c r="AT682" i="55" s="1"/>
  <c r="AW682" i="55" s="1"/>
  <c r="AX682" i="55" s="1"/>
  <c r="AR681" i="55"/>
  <c r="AT681" i="55" s="1"/>
  <c r="AW681" i="55" s="1"/>
  <c r="AX681" i="55" s="1"/>
  <c r="AO674" i="55"/>
  <c r="AQ675" i="55"/>
  <c r="AT688" i="55"/>
  <c r="AW688" i="55" s="1"/>
  <c r="AX688" i="55" s="1"/>
  <c r="AT679" i="55"/>
  <c r="AW679" i="55" s="1"/>
  <c r="AX679" i="55" s="1"/>
  <c r="AQ674" i="55" l="1"/>
  <c r="AO673" i="55"/>
  <c r="AQ673" i="55" l="1"/>
  <c r="AO672" i="55"/>
  <c r="AO671" i="55" l="1"/>
  <c r="AQ672" i="55"/>
  <c r="AQ671" i="55" l="1"/>
  <c r="AO670" i="55"/>
  <c r="AQ670" i="55" l="1"/>
  <c r="AO669" i="55"/>
  <c r="AQ669" i="55" l="1"/>
  <c r="AO668" i="55"/>
  <c r="AQ668" i="55" l="1"/>
  <c r="AO667" i="55"/>
  <c r="AQ667" i="55" l="1"/>
  <c r="AO666" i="55"/>
  <c r="AQ666" i="55" l="1"/>
  <c r="AO665" i="55"/>
  <c r="AQ665" i="55" l="1"/>
  <c r="AO664" i="55"/>
  <c r="AQ664" i="55" l="1"/>
  <c r="AO663" i="55"/>
  <c r="AR676" i="55" l="1"/>
  <c r="AR672" i="55"/>
  <c r="AR668" i="55"/>
  <c r="AT668" i="55" s="1"/>
  <c r="AW668" i="55" s="1"/>
  <c r="AX668" i="55" s="1"/>
  <c r="AR674" i="55"/>
  <c r="AT674" i="55" s="1"/>
  <c r="AW674" i="55" s="1"/>
  <c r="AX674" i="55" s="1"/>
  <c r="AR669" i="55"/>
  <c r="AR673" i="55"/>
  <c r="AR667" i="55"/>
  <c r="AT667" i="55" s="1"/>
  <c r="AW667" i="55" s="1"/>
  <c r="AX667" i="55" s="1"/>
  <c r="AR666" i="55"/>
  <c r="AT666" i="55" s="1"/>
  <c r="AW666" i="55" s="1"/>
  <c r="AX666" i="55" s="1"/>
  <c r="AR675" i="55"/>
  <c r="AT675" i="55" s="1"/>
  <c r="AW675" i="55" s="1"/>
  <c r="AX675" i="55" s="1"/>
  <c r="AR665" i="55"/>
  <c r="AT665" i="55" s="1"/>
  <c r="AW665" i="55" s="1"/>
  <c r="AX665" i="55" s="1"/>
  <c r="AR670" i="55"/>
  <c r="AT670" i="55" s="1"/>
  <c r="AW670" i="55" s="1"/>
  <c r="AX670" i="55" s="1"/>
  <c r="AR671" i="55"/>
  <c r="AT671" i="55" s="1"/>
  <c r="AW671" i="55" s="1"/>
  <c r="AX671" i="55" s="1"/>
  <c r="AO662" i="55"/>
  <c r="AQ663" i="55"/>
  <c r="AT672" i="55"/>
  <c r="AW672" i="55" s="1"/>
  <c r="AX672" i="55" s="1"/>
  <c r="AT676" i="55"/>
  <c r="AW676" i="55" s="1"/>
  <c r="AX676" i="55" s="1"/>
  <c r="AT669" i="55"/>
  <c r="AW669" i="55" s="1"/>
  <c r="AX669" i="55" s="1"/>
  <c r="AT673" i="55"/>
  <c r="AW673" i="55" s="1"/>
  <c r="AX673" i="55" s="1"/>
  <c r="AQ662" i="55" l="1"/>
  <c r="AO661" i="55"/>
  <c r="AQ661" i="55" l="1"/>
  <c r="AO660" i="55"/>
  <c r="AO659" i="55" l="1"/>
  <c r="AQ660" i="55"/>
  <c r="AQ659" i="55" l="1"/>
  <c r="AO658" i="55"/>
  <c r="AO657" i="55" l="1"/>
  <c r="AQ658" i="55"/>
  <c r="AQ657" i="55" l="1"/>
  <c r="AO656" i="55"/>
  <c r="AQ656" i="55" l="1"/>
  <c r="AO655" i="55"/>
  <c r="AO654" i="55" l="1"/>
  <c r="AQ655" i="55"/>
  <c r="AQ654" i="55" l="1"/>
  <c r="AO653" i="55"/>
  <c r="AQ653" i="55" l="1"/>
  <c r="AO652" i="55"/>
  <c r="AQ652" i="55" l="1"/>
  <c r="AO651" i="55"/>
  <c r="AR664" i="55" l="1"/>
  <c r="AR660" i="55"/>
  <c r="AT660" i="55" s="1"/>
  <c r="AW660" i="55" s="1"/>
  <c r="AX660" i="55" s="1"/>
  <c r="AR656" i="55"/>
  <c r="AT656" i="55" s="1"/>
  <c r="AW656" i="55" s="1"/>
  <c r="AX656" i="55" s="1"/>
  <c r="AR663" i="55"/>
  <c r="AT663" i="55" s="1"/>
  <c r="AW663" i="55" s="1"/>
  <c r="AX663" i="55" s="1"/>
  <c r="AR658" i="55"/>
  <c r="AR653" i="55"/>
  <c r="AT653" i="55" s="1"/>
  <c r="AW653" i="55" s="1"/>
  <c r="AX653" i="55" s="1"/>
  <c r="AR662" i="55"/>
  <c r="AT662" i="55" s="1"/>
  <c r="AW662" i="55" s="1"/>
  <c r="AX662" i="55" s="1"/>
  <c r="AR657" i="55"/>
  <c r="AT657" i="55" s="1"/>
  <c r="AW657" i="55" s="1"/>
  <c r="AX657" i="55" s="1"/>
  <c r="AR655" i="55"/>
  <c r="AT655" i="55" s="1"/>
  <c r="AW655" i="55" s="1"/>
  <c r="AX655" i="55" s="1"/>
  <c r="AR654" i="55"/>
  <c r="AT654" i="55" s="1"/>
  <c r="AW654" i="55" s="1"/>
  <c r="AX654" i="55" s="1"/>
  <c r="AR659" i="55"/>
  <c r="AT659" i="55" s="1"/>
  <c r="AW659" i="55" s="1"/>
  <c r="AX659" i="55" s="1"/>
  <c r="AR661" i="55"/>
  <c r="AT661" i="55" s="1"/>
  <c r="AW661" i="55" s="1"/>
  <c r="AX661" i="55" s="1"/>
  <c r="AQ651" i="55"/>
  <c r="AO650" i="55"/>
  <c r="AT658" i="55"/>
  <c r="AW658" i="55" s="1"/>
  <c r="AX658" i="55" s="1"/>
  <c r="AT664" i="55"/>
  <c r="AW664" i="55" s="1"/>
  <c r="AX664" i="55" s="1"/>
  <c r="AQ650" i="55" l="1"/>
  <c r="AO649" i="55"/>
  <c r="AQ649" i="55" l="1"/>
  <c r="AO648" i="55"/>
  <c r="AO647" i="55" l="1"/>
  <c r="AQ648" i="55"/>
  <c r="AQ647" i="55" l="1"/>
  <c r="AO646" i="55"/>
  <c r="AQ646" i="55" l="1"/>
  <c r="AO645" i="55"/>
  <c r="AQ645" i="55" l="1"/>
  <c r="AO644" i="55"/>
  <c r="AQ644" i="55" l="1"/>
  <c r="AO643" i="55"/>
  <c r="AQ643" i="55" l="1"/>
  <c r="AO642" i="55"/>
  <c r="AQ642" i="55" l="1"/>
  <c r="AO641" i="55"/>
  <c r="AQ641" i="55" l="1"/>
  <c r="AO640" i="55"/>
  <c r="AQ640" i="55" l="1"/>
  <c r="AO639" i="55"/>
  <c r="AR652" i="55" l="1"/>
  <c r="AR648" i="55"/>
  <c r="AR644" i="55"/>
  <c r="AT644" i="55" s="1"/>
  <c r="AW644" i="55" s="1"/>
  <c r="AX644" i="55" s="1"/>
  <c r="AR647" i="55"/>
  <c r="AT647" i="55" s="1"/>
  <c r="AW647" i="55" s="1"/>
  <c r="AX647" i="55" s="1"/>
  <c r="AR642" i="55"/>
  <c r="AR651" i="55"/>
  <c r="AR646" i="55"/>
  <c r="AT646" i="55" s="1"/>
  <c r="AW646" i="55" s="1"/>
  <c r="AX646" i="55" s="1"/>
  <c r="AR641" i="55"/>
  <c r="AT641" i="55" s="1"/>
  <c r="AW641" i="55" s="1"/>
  <c r="AX641" i="55" s="1"/>
  <c r="AR645" i="55"/>
  <c r="AT645" i="55" s="1"/>
  <c r="AW645" i="55" s="1"/>
  <c r="AX645" i="55" s="1"/>
  <c r="AR643" i="55"/>
  <c r="AT643" i="55" s="1"/>
  <c r="AW643" i="55" s="1"/>
  <c r="AX643" i="55" s="1"/>
  <c r="AR649" i="55"/>
  <c r="AT649" i="55" s="1"/>
  <c r="AW649" i="55" s="1"/>
  <c r="AX649" i="55" s="1"/>
  <c r="AR650" i="55"/>
  <c r="AT650" i="55" s="1"/>
  <c r="AW650" i="55" s="1"/>
  <c r="AX650" i="55" s="1"/>
  <c r="AO638" i="55"/>
  <c r="AQ639" i="55"/>
  <c r="AT651" i="55"/>
  <c r="AW651" i="55" s="1"/>
  <c r="AX651" i="55" s="1"/>
  <c r="AT648" i="55"/>
  <c r="AW648" i="55" s="1"/>
  <c r="AX648" i="55" s="1"/>
  <c r="AT652" i="55"/>
  <c r="AW652" i="55" s="1"/>
  <c r="AX652" i="55" s="1"/>
  <c r="AT642" i="55"/>
  <c r="AW642" i="55" s="1"/>
  <c r="AX642" i="55" s="1"/>
  <c r="AQ638" i="55" l="1"/>
  <c r="AO637" i="55"/>
  <c r="AQ637" i="55" l="1"/>
  <c r="AO636" i="55"/>
  <c r="AO635" i="55" l="1"/>
  <c r="AQ636" i="55"/>
  <c r="AQ635" i="55" l="1"/>
  <c r="AO634" i="55"/>
  <c r="AQ634" i="55" l="1"/>
  <c r="AO633" i="55"/>
  <c r="AQ633" i="55" l="1"/>
  <c r="AO632" i="55"/>
  <c r="AQ632" i="55" l="1"/>
  <c r="AO631" i="55"/>
  <c r="AQ631" i="55" l="1"/>
  <c r="AO630" i="55"/>
  <c r="AQ630" i="55" l="1"/>
  <c r="AO629" i="55"/>
  <c r="AQ629" i="55" l="1"/>
  <c r="AO628" i="55"/>
  <c r="AQ628" i="55" l="1"/>
  <c r="AO627" i="55"/>
  <c r="AR640" i="55" l="1"/>
  <c r="AR636" i="55"/>
  <c r="AT636" i="55" s="1"/>
  <c r="AW636" i="55" s="1"/>
  <c r="AX636" i="55" s="1"/>
  <c r="AR632" i="55"/>
  <c r="AT632" i="55" s="1"/>
  <c r="AW632" i="55" s="1"/>
  <c r="AX632" i="55" s="1"/>
  <c r="AR637" i="55"/>
  <c r="AT637" i="55" s="1"/>
  <c r="AW637" i="55" s="1"/>
  <c r="AX637" i="55" s="1"/>
  <c r="AR631" i="55"/>
  <c r="AR635" i="55"/>
  <c r="AR630" i="55"/>
  <c r="AT630" i="55" s="1"/>
  <c r="AW630" i="55" s="1"/>
  <c r="AX630" i="55" s="1"/>
  <c r="AR634" i="55"/>
  <c r="AT634" i="55" s="1"/>
  <c r="AW634" i="55" s="1"/>
  <c r="AX634" i="55" s="1"/>
  <c r="AR633" i="55"/>
  <c r="AT633" i="55" s="1"/>
  <c r="AW633" i="55" s="1"/>
  <c r="AX633" i="55" s="1"/>
  <c r="AR629" i="55"/>
  <c r="AT629" i="55" s="1"/>
  <c r="AW629" i="55" s="1"/>
  <c r="AX629" i="55" s="1"/>
  <c r="AR639" i="55"/>
  <c r="AT639" i="55" s="1"/>
  <c r="AW639" i="55" s="1"/>
  <c r="AX639" i="55" s="1"/>
  <c r="AR638" i="55"/>
  <c r="AT638" i="55" s="1"/>
  <c r="AW638" i="55" s="1"/>
  <c r="AX638" i="55" s="1"/>
  <c r="AO626" i="55"/>
  <c r="AQ627" i="55"/>
  <c r="AT635" i="55"/>
  <c r="AW635" i="55" s="1"/>
  <c r="AX635" i="55" s="1"/>
  <c r="AT631" i="55"/>
  <c r="AW631" i="55" s="1"/>
  <c r="AX631" i="55" s="1"/>
  <c r="AT640" i="55"/>
  <c r="AW640" i="55" s="1"/>
  <c r="AX640" i="55" s="1"/>
  <c r="AQ626" i="55" l="1"/>
  <c r="AO625" i="55"/>
  <c r="AQ625" i="55" l="1"/>
  <c r="AO624" i="55"/>
  <c r="AQ624" i="55" l="1"/>
  <c r="AO623" i="55"/>
  <c r="AO622" i="55" l="1"/>
  <c r="AQ623" i="55"/>
  <c r="AO621" i="55" l="1"/>
  <c r="AQ622" i="55"/>
  <c r="AO620" i="55" l="1"/>
  <c r="AQ621" i="55"/>
  <c r="AO619" i="55" l="1"/>
  <c r="AQ620" i="55"/>
  <c r="AO618" i="55" l="1"/>
  <c r="AQ619" i="55"/>
  <c r="AO617" i="55" l="1"/>
  <c r="AQ618" i="55"/>
  <c r="AQ617" i="55" l="1"/>
  <c r="AO616" i="55"/>
  <c r="AQ616" i="55" l="1"/>
  <c r="AO615" i="55"/>
  <c r="AR628" i="55" l="1"/>
  <c r="AR624" i="55"/>
  <c r="AT624" i="55" s="1"/>
  <c r="AW624" i="55" s="1"/>
  <c r="AX624" i="55" s="1"/>
  <c r="AR620" i="55"/>
  <c r="AT620" i="55" s="1"/>
  <c r="AW620" i="55" s="1"/>
  <c r="AX620" i="55" s="1"/>
  <c r="AR626" i="55"/>
  <c r="AT626" i="55" s="1"/>
  <c r="AW626" i="55" s="1"/>
  <c r="AX626" i="55" s="1"/>
  <c r="AR621" i="55"/>
  <c r="AR625" i="55"/>
  <c r="AT625" i="55" s="1"/>
  <c r="AW625" i="55" s="1"/>
  <c r="AX625" i="55" s="1"/>
  <c r="AR619" i="55"/>
  <c r="AT619" i="55" s="1"/>
  <c r="AW619" i="55" s="1"/>
  <c r="AX619" i="55" s="1"/>
  <c r="AR623" i="55"/>
  <c r="AT623" i="55" s="1"/>
  <c r="AW623" i="55" s="1"/>
  <c r="AX623" i="55" s="1"/>
  <c r="AR622" i="55"/>
  <c r="AT622" i="55" s="1"/>
  <c r="AW622" i="55" s="1"/>
  <c r="AX622" i="55" s="1"/>
  <c r="AR627" i="55"/>
  <c r="AT627" i="55" s="1"/>
  <c r="AW627" i="55" s="1"/>
  <c r="AX627" i="55" s="1"/>
  <c r="AR617" i="55"/>
  <c r="AT617" i="55" s="1"/>
  <c r="AW617" i="55" s="1"/>
  <c r="AX617" i="55" s="1"/>
  <c r="AR618" i="55"/>
  <c r="AT618" i="55" s="1"/>
  <c r="AW618" i="55" s="1"/>
  <c r="AX618" i="55" s="1"/>
  <c r="AQ615" i="55"/>
  <c r="AO614" i="55"/>
  <c r="AT621" i="55"/>
  <c r="AW621" i="55" s="1"/>
  <c r="AX621" i="55" s="1"/>
  <c r="AT628" i="55"/>
  <c r="AW628" i="55" s="1"/>
  <c r="AX628" i="55" s="1"/>
  <c r="AQ614" i="55" l="1"/>
  <c r="AO613" i="55"/>
  <c r="AQ613" i="55" l="1"/>
  <c r="AO612" i="55"/>
  <c r="AO611" i="55" l="1"/>
  <c r="AQ612" i="55"/>
  <c r="AQ611" i="55" l="1"/>
  <c r="AO610" i="55"/>
  <c r="AQ610" i="55" l="1"/>
  <c r="AO609" i="55"/>
  <c r="AQ609" i="55" l="1"/>
  <c r="AO608" i="55"/>
  <c r="AQ608" i="55" l="1"/>
  <c r="AO607" i="55"/>
  <c r="AQ607" i="55" l="1"/>
  <c r="AO606" i="55"/>
  <c r="AQ606" i="55" l="1"/>
  <c r="AO605" i="55"/>
  <c r="AQ605" i="55" l="1"/>
  <c r="AO604" i="55"/>
  <c r="AQ604" i="55" l="1"/>
  <c r="AO603" i="55"/>
  <c r="AR616" i="55" l="1"/>
  <c r="AR612" i="55"/>
  <c r="AR608" i="55"/>
  <c r="AT608" i="55" s="1"/>
  <c r="AW608" i="55" s="1"/>
  <c r="AX608" i="55" s="1"/>
  <c r="AR615" i="55"/>
  <c r="AT615" i="55" s="1"/>
  <c r="AW615" i="55" s="1"/>
  <c r="AX615" i="55" s="1"/>
  <c r="AR610" i="55"/>
  <c r="AR605" i="55"/>
  <c r="AR614" i="55"/>
  <c r="AT614" i="55" s="1"/>
  <c r="AW614" i="55" s="1"/>
  <c r="AX614" i="55" s="1"/>
  <c r="AR609" i="55"/>
  <c r="AT609" i="55" s="1"/>
  <c r="AW609" i="55" s="1"/>
  <c r="AX609" i="55" s="1"/>
  <c r="AR613" i="55"/>
  <c r="AT613" i="55" s="1"/>
  <c r="AW613" i="55" s="1"/>
  <c r="AX613" i="55" s="1"/>
  <c r="AR611" i="55"/>
  <c r="AT611" i="55" s="1"/>
  <c r="AW611" i="55" s="1"/>
  <c r="AX611" i="55" s="1"/>
  <c r="AR606" i="55"/>
  <c r="AT606" i="55" s="1"/>
  <c r="AW606" i="55" s="1"/>
  <c r="AX606" i="55" s="1"/>
  <c r="AR607" i="55"/>
  <c r="AT607" i="55" s="1"/>
  <c r="AW607" i="55" s="1"/>
  <c r="AX607" i="55" s="1"/>
  <c r="AO602" i="55"/>
  <c r="AQ603" i="55"/>
  <c r="AT612" i="55"/>
  <c r="AW612" i="55" s="1"/>
  <c r="AX612" i="55" s="1"/>
  <c r="AT616" i="55"/>
  <c r="AW616" i="55" s="1"/>
  <c r="AX616" i="55" s="1"/>
  <c r="AT610" i="55"/>
  <c r="AW610" i="55" s="1"/>
  <c r="AX610" i="55" s="1"/>
  <c r="AT605" i="55"/>
  <c r="AW605" i="55" s="1"/>
  <c r="AX605" i="55" s="1"/>
  <c r="AO601" i="55" l="1"/>
  <c r="AQ602" i="55"/>
  <c r="AQ601" i="55" l="1"/>
  <c r="AO600" i="55"/>
  <c r="AQ600" i="55" l="1"/>
  <c r="AO599" i="55"/>
  <c r="AQ599" i="55" l="1"/>
  <c r="AO598" i="55"/>
  <c r="AQ598" i="55" l="1"/>
  <c r="AO597" i="55"/>
  <c r="AQ597" i="55" l="1"/>
  <c r="AO596" i="55"/>
  <c r="AQ596" i="55" l="1"/>
  <c r="AO595" i="55"/>
  <c r="AQ595" i="55" l="1"/>
  <c r="AO594" i="55"/>
  <c r="AQ594" i="55" l="1"/>
  <c r="AO593" i="55"/>
  <c r="AQ593" i="55" l="1"/>
  <c r="AO592" i="55"/>
  <c r="AQ592" i="55" l="1"/>
  <c r="AO591" i="55"/>
  <c r="AR604" i="55" l="1"/>
  <c r="AR600" i="55"/>
  <c r="AR596" i="55"/>
  <c r="AT596" i="55" s="1"/>
  <c r="AW596" i="55" s="1"/>
  <c r="AX596" i="55" s="1"/>
  <c r="AR599" i="55"/>
  <c r="AT599" i="55" s="1"/>
  <c r="AW599" i="55" s="1"/>
  <c r="AX599" i="55" s="1"/>
  <c r="AR594" i="55"/>
  <c r="AR603" i="55"/>
  <c r="AT603" i="55" s="1"/>
  <c r="AW603" i="55" s="1"/>
  <c r="AX603" i="55" s="1"/>
  <c r="AR598" i="55"/>
  <c r="AT598" i="55" s="1"/>
  <c r="AW598" i="55" s="1"/>
  <c r="AX598" i="55" s="1"/>
  <c r="AR593" i="55"/>
  <c r="AT593" i="55" s="1"/>
  <c r="AW593" i="55" s="1"/>
  <c r="AX593" i="55" s="1"/>
  <c r="AR602" i="55"/>
  <c r="AT602" i="55" s="1"/>
  <c r="AW602" i="55" s="1"/>
  <c r="AX602" i="55" s="1"/>
  <c r="AR601" i="55"/>
  <c r="AT601" i="55" s="1"/>
  <c r="AW601" i="55" s="1"/>
  <c r="AX601" i="55" s="1"/>
  <c r="AR597" i="55"/>
  <c r="AT597" i="55" s="1"/>
  <c r="AW597" i="55" s="1"/>
  <c r="AX597" i="55" s="1"/>
  <c r="AR595" i="55"/>
  <c r="AT595" i="55" s="1"/>
  <c r="AW595" i="55" s="1"/>
  <c r="AX595" i="55" s="1"/>
  <c r="AO590" i="55"/>
  <c r="AQ591" i="55"/>
  <c r="AT604" i="55"/>
  <c r="AW604" i="55" s="1"/>
  <c r="AX604" i="55" s="1"/>
  <c r="AT594" i="55"/>
  <c r="AW594" i="55" s="1"/>
  <c r="AX594" i="55" s="1"/>
  <c r="AT600" i="55"/>
  <c r="AW600" i="55" s="1"/>
  <c r="AX600" i="55" s="1"/>
  <c r="AQ590" i="55" l="1"/>
  <c r="AO589" i="55"/>
  <c r="AQ589" i="55" l="1"/>
  <c r="AO588" i="55"/>
  <c r="AO587" i="55" l="1"/>
  <c r="AQ588" i="55"/>
  <c r="AQ587" i="55" l="1"/>
  <c r="AO586" i="55"/>
  <c r="AQ586" i="55" l="1"/>
  <c r="AO585" i="55"/>
  <c r="AO584" i="55" l="1"/>
  <c r="AQ585" i="55"/>
  <c r="AO583" i="55" l="1"/>
  <c r="AQ584" i="55"/>
  <c r="AO582" i="55" l="1"/>
  <c r="AQ583" i="55"/>
  <c r="AQ582" i="55" l="1"/>
  <c r="AO581" i="55"/>
  <c r="AQ581" i="55" l="1"/>
  <c r="AO580" i="55"/>
  <c r="AQ580" i="55" l="1"/>
  <c r="AO579" i="55"/>
  <c r="AR592" i="55" l="1"/>
  <c r="AR588" i="55"/>
  <c r="AR584" i="55"/>
  <c r="AT584" i="55" s="1"/>
  <c r="AW584" i="55" s="1"/>
  <c r="AX584" i="55" s="1"/>
  <c r="AR589" i="55"/>
  <c r="AR583" i="55"/>
  <c r="AR587" i="55"/>
  <c r="AR582" i="55"/>
  <c r="AT582" i="55" s="1"/>
  <c r="AW582" i="55" s="1"/>
  <c r="AX582" i="55" s="1"/>
  <c r="AR591" i="55"/>
  <c r="AT591" i="55" s="1"/>
  <c r="AW591" i="55" s="1"/>
  <c r="AX591" i="55" s="1"/>
  <c r="AR581" i="55"/>
  <c r="AT581" i="55" s="1"/>
  <c r="AW581" i="55" s="1"/>
  <c r="AX581" i="55" s="1"/>
  <c r="AR590" i="55"/>
  <c r="AT590" i="55" s="1"/>
  <c r="AW590" i="55" s="1"/>
  <c r="AX590" i="55" s="1"/>
  <c r="AR585" i="55"/>
  <c r="AT585" i="55" s="1"/>
  <c r="AW585" i="55" s="1"/>
  <c r="AX585" i="55" s="1"/>
  <c r="AR586" i="55"/>
  <c r="AT586" i="55" s="1"/>
  <c r="AW586" i="55" s="1"/>
  <c r="AX586" i="55" s="1"/>
  <c r="AO578" i="55"/>
  <c r="AQ579" i="55"/>
  <c r="AT588" i="55"/>
  <c r="AW588" i="55" s="1"/>
  <c r="AX588" i="55" s="1"/>
  <c r="AT589" i="55"/>
  <c r="AW589" i="55" s="1"/>
  <c r="AX589" i="55" s="1"/>
  <c r="AT592" i="55"/>
  <c r="AW592" i="55" s="1"/>
  <c r="AX592" i="55" s="1"/>
  <c r="AT583" i="55"/>
  <c r="AW583" i="55" s="1"/>
  <c r="AX583" i="55" s="1"/>
  <c r="AT587" i="55"/>
  <c r="AW587" i="55" s="1"/>
  <c r="AX587" i="55" s="1"/>
  <c r="AO577" i="55" l="1"/>
  <c r="AQ578" i="55"/>
  <c r="AO576" i="55" l="1"/>
  <c r="AQ577" i="55"/>
  <c r="AQ576" i="55" l="1"/>
  <c r="AO575" i="55"/>
  <c r="AQ575" i="55" l="1"/>
  <c r="AO574" i="55"/>
  <c r="AO573" i="55" l="1"/>
  <c r="AQ574" i="55"/>
  <c r="AQ573" i="55" l="1"/>
  <c r="AO572" i="55"/>
  <c r="AQ572" i="55" l="1"/>
  <c r="AO571" i="55"/>
  <c r="AQ571" i="55" l="1"/>
  <c r="AO570" i="55"/>
  <c r="AO569" i="55" l="1"/>
  <c r="AQ570" i="55"/>
  <c r="AO568" i="55" l="1"/>
  <c r="AQ569" i="55"/>
  <c r="AQ568" i="55" l="1"/>
  <c r="AO567" i="55"/>
  <c r="AR580" i="55" l="1"/>
  <c r="AR576" i="55"/>
  <c r="AR572" i="55"/>
  <c r="AT572" i="55" s="1"/>
  <c r="AW572" i="55" s="1"/>
  <c r="AX572" i="55" s="1"/>
  <c r="AR578" i="55"/>
  <c r="AT578" i="55" s="1"/>
  <c r="AW578" i="55" s="1"/>
  <c r="AX578" i="55" s="1"/>
  <c r="AR573" i="55"/>
  <c r="AR577" i="55"/>
  <c r="AT577" i="55" s="1"/>
  <c r="AW577" i="55" s="1"/>
  <c r="AX577" i="55" s="1"/>
  <c r="AR571" i="55"/>
  <c r="AT571" i="55" s="1"/>
  <c r="AW571" i="55" s="1"/>
  <c r="AX571" i="55" s="1"/>
  <c r="AR570" i="55"/>
  <c r="AT570" i="55" s="1"/>
  <c r="AW570" i="55" s="1"/>
  <c r="AX570" i="55" s="1"/>
  <c r="AR579" i="55"/>
  <c r="AT579" i="55" s="1"/>
  <c r="AW579" i="55" s="1"/>
  <c r="AX579" i="55" s="1"/>
  <c r="AR569" i="55"/>
  <c r="AT569" i="55" s="1"/>
  <c r="AW569" i="55" s="1"/>
  <c r="AX569" i="55" s="1"/>
  <c r="AR574" i="55"/>
  <c r="AT574" i="55" s="1"/>
  <c r="AW574" i="55" s="1"/>
  <c r="AX574" i="55" s="1"/>
  <c r="AR575" i="55"/>
  <c r="AT575" i="55" s="1"/>
  <c r="AW575" i="55" s="1"/>
  <c r="AX575" i="55" s="1"/>
  <c r="AO566" i="55"/>
  <c r="AQ567" i="55"/>
  <c r="AT580" i="55"/>
  <c r="AW580" i="55" s="1"/>
  <c r="AX580" i="55" s="1"/>
  <c r="AT576" i="55"/>
  <c r="AW576" i="55" s="1"/>
  <c r="AX576" i="55" s="1"/>
  <c r="AT573" i="55"/>
  <c r="AW573" i="55" s="1"/>
  <c r="AX573" i="55" s="1"/>
  <c r="AQ566" i="55" l="1"/>
  <c r="AO565" i="55"/>
  <c r="AQ565" i="55" l="1"/>
  <c r="AO564" i="55"/>
  <c r="AO563" i="55" l="1"/>
  <c r="AQ564" i="55"/>
  <c r="AQ563" i="55" l="1"/>
  <c r="AO562" i="55"/>
  <c r="AQ562" i="55" l="1"/>
  <c r="AO561" i="55"/>
  <c r="AQ561" i="55" l="1"/>
  <c r="AO560" i="55"/>
  <c r="AQ560" i="55" l="1"/>
  <c r="AO559" i="55"/>
  <c r="AQ559" i="55" l="1"/>
  <c r="AO558" i="55"/>
  <c r="AO557" i="55" l="1"/>
  <c r="AQ558" i="55"/>
  <c r="AQ557" i="55" l="1"/>
  <c r="AO556" i="55"/>
  <c r="AQ556" i="55" l="1"/>
  <c r="AO555" i="55"/>
  <c r="AR568" i="55" l="1"/>
  <c r="AR567" i="55"/>
  <c r="AT567" i="55" s="1"/>
  <c r="AW567" i="55" s="1"/>
  <c r="AX567" i="55" s="1"/>
  <c r="AR563" i="55"/>
  <c r="AT563" i="55" s="1"/>
  <c r="AW563" i="55" s="1"/>
  <c r="AX563" i="55" s="1"/>
  <c r="AR559" i="55"/>
  <c r="AT559" i="55" s="1"/>
  <c r="AW559" i="55" s="1"/>
  <c r="AX559" i="55" s="1"/>
  <c r="AR566" i="55"/>
  <c r="AR562" i="55"/>
  <c r="AT562" i="55" s="1"/>
  <c r="AW562" i="55" s="1"/>
  <c r="AX562" i="55" s="1"/>
  <c r="AR558" i="55"/>
  <c r="AT558" i="55" s="1"/>
  <c r="AW558" i="55" s="1"/>
  <c r="AX558" i="55" s="1"/>
  <c r="AR561" i="55"/>
  <c r="AT561" i="55" s="1"/>
  <c r="AW561" i="55" s="1"/>
  <c r="AX561" i="55" s="1"/>
  <c r="AR560" i="55"/>
  <c r="AT560" i="55" s="1"/>
  <c r="AW560" i="55" s="1"/>
  <c r="AX560" i="55" s="1"/>
  <c r="AR564" i="55"/>
  <c r="AT564" i="55" s="1"/>
  <c r="AW564" i="55" s="1"/>
  <c r="AX564" i="55" s="1"/>
  <c r="AR557" i="55"/>
  <c r="AT557" i="55" s="1"/>
  <c r="AW557" i="55" s="1"/>
  <c r="AX557" i="55" s="1"/>
  <c r="AR565" i="55"/>
  <c r="AT565" i="55" s="1"/>
  <c r="AW565" i="55" s="1"/>
  <c r="AX565" i="55" s="1"/>
  <c r="AO554" i="55"/>
  <c r="AQ555" i="55"/>
  <c r="AT568" i="55"/>
  <c r="AW568" i="55" s="1"/>
  <c r="AX568" i="55" s="1"/>
  <c r="AT566" i="55"/>
  <c r="AW566" i="55" s="1"/>
  <c r="AX566" i="55" s="1"/>
  <c r="AO553" i="55" l="1"/>
  <c r="AQ554" i="55"/>
  <c r="AQ553" i="55" l="1"/>
  <c r="AO552" i="55"/>
  <c r="AO551" i="55" l="1"/>
  <c r="AQ552" i="55"/>
  <c r="AQ551" i="55" l="1"/>
  <c r="AO550" i="55"/>
  <c r="AQ550" i="55" l="1"/>
  <c r="AO549" i="55"/>
  <c r="AQ549" i="55" l="1"/>
  <c r="AO548" i="55"/>
  <c r="AQ548" i="55" l="1"/>
  <c r="AO547" i="55"/>
  <c r="AQ547" i="55" l="1"/>
  <c r="AO546" i="55"/>
  <c r="AQ546" i="55" l="1"/>
  <c r="AO545" i="55"/>
  <c r="AQ545" i="55" l="1"/>
  <c r="AO544" i="55"/>
  <c r="AQ544" i="55" l="1"/>
  <c r="AO543" i="55"/>
  <c r="AR555" i="55" l="1"/>
  <c r="AR551" i="55"/>
  <c r="AT551" i="55" s="1"/>
  <c r="AW551" i="55" s="1"/>
  <c r="AX551" i="55" s="1"/>
  <c r="AR547" i="55"/>
  <c r="AT547" i="55" s="1"/>
  <c r="AW547" i="55" s="1"/>
  <c r="AX547" i="55" s="1"/>
  <c r="AR554" i="55"/>
  <c r="AT554" i="55" s="1"/>
  <c r="AW554" i="55" s="1"/>
  <c r="AX554" i="55" s="1"/>
  <c r="AR550" i="55"/>
  <c r="AT550" i="55" s="1"/>
  <c r="AW550" i="55" s="1"/>
  <c r="AX550" i="55" s="1"/>
  <c r="AR546" i="55"/>
  <c r="AT546" i="55" s="1"/>
  <c r="AW546" i="55" s="1"/>
  <c r="AX546" i="55" s="1"/>
  <c r="AR553" i="55"/>
  <c r="AT553" i="55" s="1"/>
  <c r="AW553" i="55" s="1"/>
  <c r="AX553" i="55" s="1"/>
  <c r="AR545" i="55"/>
  <c r="AT545" i="55" s="1"/>
  <c r="AW545" i="55" s="1"/>
  <c r="AX545" i="55" s="1"/>
  <c r="AR552" i="55"/>
  <c r="AT552" i="55" s="1"/>
  <c r="AW552" i="55" s="1"/>
  <c r="AX552" i="55" s="1"/>
  <c r="AR548" i="55"/>
  <c r="AT548" i="55" s="1"/>
  <c r="AW548" i="55" s="1"/>
  <c r="AX548" i="55" s="1"/>
  <c r="AR556" i="55"/>
  <c r="AT556" i="55" s="1"/>
  <c r="AW556" i="55" s="1"/>
  <c r="AX556" i="55" s="1"/>
  <c r="AR549" i="55"/>
  <c r="AT549" i="55" s="1"/>
  <c r="AW549" i="55" s="1"/>
  <c r="AX549" i="55" s="1"/>
  <c r="AQ543" i="55"/>
  <c r="AO542" i="55"/>
  <c r="AT555" i="55"/>
  <c r="AW555" i="55" s="1"/>
  <c r="AX555" i="55" s="1"/>
  <c r="AO541" i="55" l="1"/>
  <c r="AQ542" i="55"/>
  <c r="AO540" i="55" l="1"/>
  <c r="AQ541" i="55"/>
  <c r="AO539" i="55" l="1"/>
  <c r="AQ540" i="55"/>
  <c r="AQ539" i="55" l="1"/>
  <c r="AO538" i="55"/>
  <c r="AQ538" i="55" l="1"/>
  <c r="AO537" i="55"/>
  <c r="AQ537" i="55" l="1"/>
  <c r="AO536" i="55"/>
  <c r="AQ536" i="55" l="1"/>
  <c r="AO535" i="55"/>
  <c r="AQ535" i="55" l="1"/>
  <c r="AO534" i="55"/>
  <c r="AQ534" i="55" l="1"/>
  <c r="AO533" i="55"/>
  <c r="AQ533" i="55" l="1"/>
  <c r="AO532" i="55"/>
  <c r="AQ532" i="55" l="1"/>
  <c r="AO531" i="55"/>
  <c r="AR543" i="55" l="1"/>
  <c r="AR539" i="55"/>
  <c r="AR535" i="55"/>
  <c r="AT535" i="55" s="1"/>
  <c r="AW535" i="55" s="1"/>
  <c r="AX535" i="55" s="1"/>
  <c r="AR542" i="55"/>
  <c r="AT542" i="55" s="1"/>
  <c r="AW542" i="55" s="1"/>
  <c r="AX542" i="55" s="1"/>
  <c r="AR538" i="55"/>
  <c r="AR534" i="55"/>
  <c r="AR537" i="55"/>
  <c r="AT537" i="55" s="1"/>
  <c r="AW537" i="55" s="1"/>
  <c r="AX537" i="55" s="1"/>
  <c r="AR544" i="55"/>
  <c r="AT544" i="55" s="1"/>
  <c r="AW544" i="55" s="1"/>
  <c r="AX544" i="55" s="1"/>
  <c r="AR536" i="55"/>
  <c r="AT536" i="55" s="1"/>
  <c r="AW536" i="55" s="1"/>
  <c r="AX536" i="55" s="1"/>
  <c r="AR540" i="55"/>
  <c r="AT540" i="55" s="1"/>
  <c r="AW540" i="55" s="1"/>
  <c r="AX540" i="55" s="1"/>
  <c r="AR533" i="55"/>
  <c r="AT533" i="55" s="1"/>
  <c r="AW533" i="55" s="1"/>
  <c r="AX533" i="55" s="1"/>
  <c r="AR541" i="55"/>
  <c r="AT541" i="55" s="1"/>
  <c r="AW541" i="55" s="1"/>
  <c r="AX541" i="55" s="1"/>
  <c r="AO530" i="55"/>
  <c r="AQ531" i="55"/>
  <c r="AT538" i="55"/>
  <c r="AW538" i="55" s="1"/>
  <c r="AX538" i="55" s="1"/>
  <c r="AT534" i="55"/>
  <c r="AW534" i="55" s="1"/>
  <c r="AX534" i="55" s="1"/>
  <c r="AT539" i="55"/>
  <c r="AW539" i="55" s="1"/>
  <c r="AX539" i="55" s="1"/>
  <c r="AT543" i="55"/>
  <c r="AW543" i="55" s="1"/>
  <c r="AX543" i="55" s="1"/>
  <c r="AQ530" i="55" l="1"/>
  <c r="AO529" i="55"/>
  <c r="AQ529" i="55" l="1"/>
  <c r="AO528" i="55"/>
  <c r="AO527" i="55" l="1"/>
  <c r="AQ528" i="55"/>
  <c r="AQ527" i="55" l="1"/>
  <c r="AO526" i="55"/>
  <c r="AQ526" i="55" l="1"/>
  <c r="AO525" i="55"/>
  <c r="AQ525" i="55" l="1"/>
  <c r="AO524" i="55"/>
  <c r="AQ524" i="55" l="1"/>
  <c r="AO523" i="55"/>
  <c r="AQ523" i="55" l="1"/>
  <c r="AO522" i="55"/>
  <c r="AQ522" i="55" l="1"/>
  <c r="AO521" i="55"/>
  <c r="AQ521" i="55" l="1"/>
  <c r="AO520" i="55"/>
  <c r="AQ520" i="55" l="1"/>
  <c r="AO519" i="55"/>
  <c r="AR531" i="55" l="1"/>
  <c r="AR527" i="55"/>
  <c r="AT527" i="55" s="1"/>
  <c r="AW527" i="55" s="1"/>
  <c r="AX527" i="55" s="1"/>
  <c r="AR523" i="55"/>
  <c r="AR530" i="55"/>
  <c r="AT530" i="55" s="1"/>
  <c r="AW530" i="55" s="1"/>
  <c r="AX530" i="55" s="1"/>
  <c r="AR526" i="55"/>
  <c r="AR522" i="55"/>
  <c r="AT522" i="55" s="1"/>
  <c r="AW522" i="55" s="1"/>
  <c r="AX522" i="55" s="1"/>
  <c r="AR529" i="55"/>
  <c r="AT529" i="55" s="1"/>
  <c r="AW529" i="55" s="1"/>
  <c r="AX529" i="55" s="1"/>
  <c r="AR521" i="55"/>
  <c r="AT521" i="55" s="1"/>
  <c r="AW521" i="55" s="1"/>
  <c r="AX521" i="55" s="1"/>
  <c r="AR528" i="55"/>
  <c r="AT528" i="55" s="1"/>
  <c r="AW528" i="55" s="1"/>
  <c r="AX528" i="55" s="1"/>
  <c r="AR532" i="55"/>
  <c r="AT532" i="55" s="1"/>
  <c r="AW532" i="55" s="1"/>
  <c r="AX532" i="55" s="1"/>
  <c r="AR525" i="55"/>
  <c r="AT525" i="55" s="1"/>
  <c r="AW525" i="55" s="1"/>
  <c r="AX525" i="55" s="1"/>
  <c r="AR524" i="55"/>
  <c r="AT524" i="55" s="1"/>
  <c r="AW524" i="55" s="1"/>
  <c r="AX524" i="55" s="1"/>
  <c r="AO518" i="55"/>
  <c r="AQ519" i="55"/>
  <c r="AT523" i="55"/>
  <c r="AW523" i="55" s="1"/>
  <c r="AX523" i="55" s="1"/>
  <c r="AT531" i="55"/>
  <c r="AW531" i="55" s="1"/>
  <c r="AX531" i="55" s="1"/>
  <c r="AT526" i="55"/>
  <c r="AW526" i="55" s="1"/>
  <c r="AX526" i="55" s="1"/>
  <c r="AQ518" i="55" l="1"/>
  <c r="AO517" i="55"/>
  <c r="AQ517" i="55" l="1"/>
  <c r="AO516" i="55"/>
  <c r="AO515" i="55" l="1"/>
  <c r="AQ516" i="55"/>
  <c r="AQ515" i="55" l="1"/>
  <c r="AO514" i="55"/>
  <c r="AQ514" i="55" l="1"/>
  <c r="AO513" i="55"/>
  <c r="AQ513" i="55" l="1"/>
  <c r="AO512" i="55"/>
  <c r="AQ512" i="55" l="1"/>
  <c r="AO511" i="55"/>
  <c r="AQ511" i="55" l="1"/>
  <c r="AO510" i="55"/>
  <c r="AQ510" i="55" l="1"/>
  <c r="AO509" i="55"/>
  <c r="AQ509" i="55" l="1"/>
  <c r="AO508" i="55"/>
  <c r="AQ508" i="55" l="1"/>
  <c r="AO507" i="55"/>
  <c r="AR519" i="55" l="1"/>
  <c r="AR515" i="55"/>
  <c r="AT515" i="55" s="1"/>
  <c r="AW515" i="55" s="1"/>
  <c r="AX515" i="55" s="1"/>
  <c r="AR511" i="55"/>
  <c r="AR518" i="55"/>
  <c r="AT518" i="55" s="1"/>
  <c r="AW518" i="55" s="1"/>
  <c r="AX518" i="55" s="1"/>
  <c r="AR514" i="55"/>
  <c r="AR510" i="55"/>
  <c r="AT510" i="55" s="1"/>
  <c r="AW510" i="55" s="1"/>
  <c r="AX510" i="55" s="1"/>
  <c r="AR513" i="55"/>
  <c r="AT513" i="55" s="1"/>
  <c r="AW513" i="55" s="1"/>
  <c r="AX513" i="55" s="1"/>
  <c r="AR520" i="55"/>
  <c r="AT520" i="55" s="1"/>
  <c r="AW520" i="55" s="1"/>
  <c r="AX520" i="55" s="1"/>
  <c r="AR512" i="55"/>
  <c r="AT512" i="55" s="1"/>
  <c r="AW512" i="55" s="1"/>
  <c r="AX512" i="55" s="1"/>
  <c r="AR516" i="55"/>
  <c r="AT516" i="55" s="1"/>
  <c r="AW516" i="55" s="1"/>
  <c r="AX516" i="55" s="1"/>
  <c r="AR517" i="55"/>
  <c r="AT517" i="55" s="1"/>
  <c r="AW517" i="55" s="1"/>
  <c r="AX517" i="55" s="1"/>
  <c r="AR509" i="55"/>
  <c r="AT509" i="55" s="1"/>
  <c r="AW509" i="55" s="1"/>
  <c r="AX509" i="55" s="1"/>
  <c r="AO506" i="55"/>
  <c r="AQ507" i="55"/>
  <c r="AT511" i="55"/>
  <c r="AW511" i="55" s="1"/>
  <c r="AX511" i="55" s="1"/>
  <c r="AT519" i="55"/>
  <c r="AW519" i="55" s="1"/>
  <c r="AX519" i="55" s="1"/>
  <c r="AT514" i="55"/>
  <c r="AW514" i="55" s="1"/>
  <c r="AX514" i="55" s="1"/>
  <c r="AO505" i="55" l="1"/>
  <c r="AQ506" i="55"/>
  <c r="AQ505" i="55" l="1"/>
  <c r="AO504" i="55"/>
  <c r="AO503" i="55" l="1"/>
  <c r="AQ504" i="55"/>
  <c r="AO502" i="55" l="1"/>
  <c r="AQ503" i="55"/>
  <c r="AQ502" i="55" l="1"/>
  <c r="AO501" i="55"/>
  <c r="AO500" i="55" l="1"/>
  <c r="AQ501" i="55"/>
  <c r="AO499" i="55" l="1"/>
  <c r="AQ500" i="55"/>
  <c r="AQ499" i="55" l="1"/>
  <c r="AO498" i="55"/>
  <c r="AO497" i="55" l="1"/>
  <c r="AQ498" i="55"/>
  <c r="AO496" i="55" l="1"/>
  <c r="AQ497" i="55"/>
  <c r="AO495" i="55" l="1"/>
  <c r="AQ496" i="55"/>
  <c r="AR507" i="55" l="1"/>
  <c r="AR503" i="55"/>
  <c r="AR499" i="55"/>
  <c r="AT499" i="55" s="1"/>
  <c r="AW499" i="55" s="1"/>
  <c r="AX499" i="55" s="1"/>
  <c r="AR506" i="55"/>
  <c r="AT506" i="55" s="1"/>
  <c r="AW506" i="55" s="1"/>
  <c r="AX506" i="55" s="1"/>
  <c r="AR502" i="55"/>
  <c r="AT502" i="55" s="1"/>
  <c r="AW502" i="55" s="1"/>
  <c r="AX502" i="55" s="1"/>
  <c r="AR498" i="55"/>
  <c r="AR505" i="55"/>
  <c r="AT505" i="55" s="1"/>
  <c r="AW505" i="55" s="1"/>
  <c r="AX505" i="55" s="1"/>
  <c r="AR497" i="55"/>
  <c r="AT497" i="55" s="1"/>
  <c r="AW497" i="55" s="1"/>
  <c r="AX497" i="55" s="1"/>
  <c r="AR504" i="55"/>
  <c r="AT504" i="55" s="1"/>
  <c r="AW504" i="55" s="1"/>
  <c r="AX504" i="55" s="1"/>
  <c r="AR500" i="55"/>
  <c r="AT500" i="55" s="1"/>
  <c r="AW500" i="55" s="1"/>
  <c r="AX500" i="55" s="1"/>
  <c r="AR508" i="55"/>
  <c r="AT508" i="55" s="1"/>
  <c r="AW508" i="55" s="1"/>
  <c r="AX508" i="55" s="1"/>
  <c r="AR501" i="55"/>
  <c r="AT501" i="55" s="1"/>
  <c r="AW501" i="55" s="1"/>
  <c r="AX501" i="55" s="1"/>
  <c r="AT507" i="55"/>
  <c r="AW507" i="55" s="1"/>
  <c r="AX507" i="55" s="1"/>
  <c r="AT503" i="55"/>
  <c r="AW503" i="55" s="1"/>
  <c r="AX503" i="55" s="1"/>
  <c r="AT498" i="55"/>
  <c r="AW498" i="55" s="1"/>
  <c r="AX498" i="55" s="1"/>
  <c r="AO494" i="55"/>
  <c r="AQ495" i="55"/>
  <c r="AQ494" i="55" l="1"/>
  <c r="AO493" i="55"/>
  <c r="AO492" i="55" l="1"/>
  <c r="AQ493" i="55"/>
  <c r="AO491" i="55" l="1"/>
  <c r="AQ492" i="55"/>
  <c r="AQ491" i="55" l="1"/>
  <c r="AO490" i="55"/>
  <c r="AQ490" i="55" l="1"/>
  <c r="AO489" i="55"/>
  <c r="AO488" i="55" l="1"/>
  <c r="AQ489" i="55"/>
  <c r="AQ488" i="55" l="1"/>
  <c r="AO487" i="55"/>
  <c r="AQ487" i="55" l="1"/>
  <c r="AO486" i="55"/>
  <c r="AO485" i="55" l="1"/>
  <c r="AQ486" i="55"/>
  <c r="AQ485" i="55" l="1"/>
  <c r="AO484" i="55"/>
  <c r="AQ484" i="55" l="1"/>
  <c r="AO483" i="55"/>
  <c r="AR495" i="55" l="1"/>
  <c r="AR491" i="55"/>
  <c r="AR487" i="55"/>
  <c r="AT487" i="55" s="1"/>
  <c r="AW487" i="55" s="1"/>
  <c r="AX487" i="55" s="1"/>
  <c r="AR494" i="55"/>
  <c r="AT494" i="55" s="1"/>
  <c r="AW494" i="55" s="1"/>
  <c r="AX494" i="55" s="1"/>
  <c r="AR490" i="55"/>
  <c r="AT490" i="55" s="1"/>
  <c r="AW490" i="55" s="1"/>
  <c r="AX490" i="55" s="1"/>
  <c r="AR486" i="55"/>
  <c r="AT486" i="55" s="1"/>
  <c r="AW486" i="55" s="1"/>
  <c r="AX486" i="55" s="1"/>
  <c r="AR489" i="55"/>
  <c r="AT489" i="55" s="1"/>
  <c r="AW489" i="55" s="1"/>
  <c r="AX489" i="55" s="1"/>
  <c r="AR496" i="55"/>
  <c r="AT496" i="55" s="1"/>
  <c r="AW496" i="55" s="1"/>
  <c r="AX496" i="55" s="1"/>
  <c r="AR488" i="55"/>
  <c r="AT488" i="55" s="1"/>
  <c r="AW488" i="55" s="1"/>
  <c r="AX488" i="55" s="1"/>
  <c r="AR493" i="55"/>
  <c r="AT493" i="55" s="1"/>
  <c r="AW493" i="55" s="1"/>
  <c r="AX493" i="55" s="1"/>
  <c r="AR492" i="55"/>
  <c r="AT492" i="55" s="1"/>
  <c r="AW492" i="55" s="1"/>
  <c r="AX492" i="55" s="1"/>
  <c r="AR485" i="55"/>
  <c r="AT485" i="55" s="1"/>
  <c r="AW485" i="55" s="1"/>
  <c r="AX485" i="55" s="1"/>
  <c r="AO482" i="55"/>
  <c r="AQ483" i="55"/>
  <c r="AT491" i="55"/>
  <c r="AW491" i="55" s="1"/>
  <c r="AX491" i="55" s="1"/>
  <c r="AT495" i="55"/>
  <c r="AW495" i="55" s="1"/>
  <c r="AX495" i="55" s="1"/>
  <c r="AQ482" i="55" l="1"/>
  <c r="AO481" i="55"/>
  <c r="AQ481" i="55" l="1"/>
  <c r="AO480" i="55"/>
  <c r="AQ480" i="55" l="1"/>
  <c r="AO479" i="55"/>
  <c r="AQ479" i="55" l="1"/>
  <c r="AO478" i="55"/>
  <c r="AQ478" i="55" l="1"/>
  <c r="AO477" i="55"/>
  <c r="AO476" i="55" l="1"/>
  <c r="AQ477" i="55"/>
  <c r="AQ476" i="55" l="1"/>
  <c r="AO475" i="55"/>
  <c r="AQ475" i="55" l="1"/>
  <c r="AO474" i="55"/>
  <c r="AQ474" i="55" l="1"/>
  <c r="AO473" i="55"/>
  <c r="AQ473" i="55" l="1"/>
  <c r="AO472" i="55"/>
  <c r="AQ472" i="55" l="1"/>
  <c r="AO471" i="55"/>
  <c r="AR483" i="55" l="1"/>
  <c r="AR479" i="55"/>
  <c r="AR482" i="55"/>
  <c r="AT482" i="55" s="1"/>
  <c r="AW482" i="55" s="1"/>
  <c r="AX482" i="55" s="1"/>
  <c r="AR481" i="55"/>
  <c r="AT481" i="55" s="1"/>
  <c r="AW481" i="55" s="1"/>
  <c r="AX481" i="55" s="1"/>
  <c r="AR476" i="55"/>
  <c r="AR480" i="55"/>
  <c r="AR475" i="55"/>
  <c r="AT475" i="55" s="1"/>
  <c r="AW475" i="55" s="1"/>
  <c r="AX475" i="55" s="1"/>
  <c r="AR484" i="55"/>
  <c r="AT484" i="55" s="1"/>
  <c r="AW484" i="55" s="1"/>
  <c r="AX484" i="55" s="1"/>
  <c r="AR473" i="55"/>
  <c r="AT473" i="55" s="1"/>
  <c r="AW473" i="55" s="1"/>
  <c r="AX473" i="55" s="1"/>
  <c r="AR477" i="55"/>
  <c r="AT477" i="55" s="1"/>
  <c r="AW477" i="55" s="1"/>
  <c r="AX477" i="55" s="1"/>
  <c r="AR474" i="55"/>
  <c r="AT474" i="55" s="1"/>
  <c r="AW474" i="55" s="1"/>
  <c r="AX474" i="55" s="1"/>
  <c r="AR478" i="55"/>
  <c r="AT478" i="55" s="1"/>
  <c r="AW478" i="55" s="1"/>
  <c r="AX478" i="55" s="1"/>
  <c r="AQ471" i="55"/>
  <c r="AO470" i="55"/>
  <c r="AT483" i="55"/>
  <c r="AW483" i="55" s="1"/>
  <c r="AX483" i="55" s="1"/>
  <c r="AT476" i="55"/>
  <c r="AW476" i="55" s="1"/>
  <c r="AX476" i="55" s="1"/>
  <c r="AT479" i="55"/>
  <c r="AW479" i="55" s="1"/>
  <c r="AX479" i="55" s="1"/>
  <c r="AT480" i="55"/>
  <c r="AW480" i="55" s="1"/>
  <c r="AX480" i="55" s="1"/>
  <c r="AQ470" i="55" l="1"/>
  <c r="AO469" i="55"/>
  <c r="AQ469" i="55" l="1"/>
  <c r="AO468" i="55"/>
  <c r="AQ468" i="55" l="1"/>
  <c r="AO467" i="55"/>
  <c r="AQ467" i="55" l="1"/>
  <c r="AO466" i="55"/>
  <c r="AQ466" i="55" l="1"/>
  <c r="AO465" i="55"/>
  <c r="AQ465" i="55" l="1"/>
  <c r="AO464" i="55"/>
  <c r="AQ464" i="55" l="1"/>
  <c r="AO463" i="55"/>
  <c r="AQ463" i="55" l="1"/>
  <c r="AO462" i="55"/>
  <c r="AQ462" i="55" l="1"/>
  <c r="AO461" i="55"/>
  <c r="AQ461" i="55" l="1"/>
  <c r="AO460" i="55"/>
  <c r="AQ460" i="55" l="1"/>
  <c r="AO459" i="55"/>
  <c r="AR472" i="55" l="1"/>
  <c r="AR468" i="55"/>
  <c r="AT468" i="55" s="1"/>
  <c r="AW468" i="55" s="1"/>
  <c r="AX468" i="55" s="1"/>
  <c r="AR464" i="55"/>
  <c r="AT464" i="55" s="1"/>
  <c r="AW464" i="55" s="1"/>
  <c r="AX464" i="55" s="1"/>
  <c r="AR471" i="55"/>
  <c r="AT471" i="55" s="1"/>
  <c r="AW471" i="55" s="1"/>
  <c r="AX471" i="55" s="1"/>
  <c r="AR467" i="55"/>
  <c r="AR463" i="55"/>
  <c r="AT463" i="55" s="1"/>
  <c r="AW463" i="55" s="1"/>
  <c r="AX463" i="55" s="1"/>
  <c r="AR465" i="55"/>
  <c r="AT465" i="55" s="1"/>
  <c r="AW465" i="55" s="1"/>
  <c r="AX465" i="55" s="1"/>
  <c r="AR461" i="55"/>
  <c r="AT461" i="55" s="1"/>
  <c r="AW461" i="55" s="1"/>
  <c r="AX461" i="55" s="1"/>
  <c r="AR466" i="55"/>
  <c r="AT466" i="55" s="1"/>
  <c r="AW466" i="55" s="1"/>
  <c r="AX466" i="55" s="1"/>
  <c r="AR470" i="55"/>
  <c r="AT470" i="55" s="1"/>
  <c r="AW470" i="55" s="1"/>
  <c r="AX470" i="55" s="1"/>
  <c r="AR462" i="55"/>
  <c r="AT462" i="55" s="1"/>
  <c r="AW462" i="55" s="1"/>
  <c r="AX462" i="55" s="1"/>
  <c r="AR469" i="55"/>
  <c r="AT469" i="55" s="1"/>
  <c r="AW469" i="55" s="1"/>
  <c r="AX469" i="55" s="1"/>
  <c r="AQ459" i="55"/>
  <c r="AO458" i="55"/>
  <c r="AT467" i="55"/>
  <c r="AW467" i="55" s="1"/>
  <c r="AX467" i="55" s="1"/>
  <c r="AT472" i="55"/>
  <c r="AW472" i="55" s="1"/>
  <c r="AX472" i="55" s="1"/>
  <c r="AQ458" i="55" l="1"/>
  <c r="AO457" i="55"/>
  <c r="AQ457" i="55" l="1"/>
  <c r="AO456" i="55"/>
  <c r="AQ456" i="55" l="1"/>
  <c r="AO455" i="55"/>
  <c r="AQ455" i="55" l="1"/>
  <c r="AO454" i="55"/>
  <c r="AQ454" i="55" l="1"/>
  <c r="AO453" i="55"/>
  <c r="AQ453" i="55" l="1"/>
  <c r="AO452" i="55"/>
  <c r="AQ452" i="55" l="1"/>
  <c r="AO451" i="55"/>
  <c r="AQ451" i="55" l="1"/>
  <c r="AO450" i="55"/>
  <c r="AQ450" i="55" l="1"/>
  <c r="AO449" i="55"/>
  <c r="AQ449" i="55" l="1"/>
  <c r="AO448" i="55"/>
  <c r="AQ448" i="55" l="1"/>
  <c r="AO447" i="55"/>
  <c r="AR460" i="55" l="1"/>
  <c r="AR456" i="55"/>
  <c r="AT456" i="55" s="1"/>
  <c r="AW456" i="55" s="1"/>
  <c r="AX456" i="55" s="1"/>
  <c r="AR452" i="55"/>
  <c r="AT452" i="55" s="1"/>
  <c r="AW452" i="55" s="1"/>
  <c r="AX452" i="55" s="1"/>
  <c r="AR459" i="55"/>
  <c r="AT459" i="55" s="1"/>
  <c r="AW459" i="55" s="1"/>
  <c r="AX459" i="55" s="1"/>
  <c r="AR455" i="55"/>
  <c r="AR451" i="55"/>
  <c r="AT451" i="55" s="1"/>
  <c r="AW451" i="55" s="1"/>
  <c r="AX451" i="55" s="1"/>
  <c r="AR457" i="55"/>
  <c r="AT457" i="55" s="1"/>
  <c r="AW457" i="55" s="1"/>
  <c r="AX457" i="55" s="1"/>
  <c r="AR449" i="55"/>
  <c r="AT449" i="55" s="1"/>
  <c r="AW449" i="55" s="1"/>
  <c r="AX449" i="55" s="1"/>
  <c r="AR454" i="55"/>
  <c r="AT454" i="55" s="1"/>
  <c r="AW454" i="55" s="1"/>
  <c r="AX454" i="55" s="1"/>
  <c r="AR453" i="55"/>
  <c r="AT453" i="55" s="1"/>
  <c r="AW453" i="55" s="1"/>
  <c r="AX453" i="55" s="1"/>
  <c r="AR458" i="55"/>
  <c r="AT458" i="55" s="1"/>
  <c r="AW458" i="55" s="1"/>
  <c r="AX458" i="55" s="1"/>
  <c r="AR450" i="55"/>
  <c r="AT450" i="55" s="1"/>
  <c r="AW450" i="55" s="1"/>
  <c r="AX450" i="55" s="1"/>
  <c r="AQ447" i="55"/>
  <c r="AO446" i="55"/>
  <c r="AT460" i="55"/>
  <c r="AW460" i="55" s="1"/>
  <c r="AX460" i="55" s="1"/>
  <c r="AT455" i="55"/>
  <c r="AW455" i="55" s="1"/>
  <c r="AX455" i="55" s="1"/>
  <c r="AQ446" i="55" l="1"/>
  <c r="AO445" i="55"/>
  <c r="AQ445" i="55" l="1"/>
  <c r="AO444" i="55"/>
  <c r="AO443" i="55" l="1"/>
  <c r="AQ444" i="55"/>
  <c r="AQ443" i="55" l="1"/>
  <c r="AO442" i="55"/>
  <c r="AQ442" i="55" l="1"/>
  <c r="AO441" i="55"/>
  <c r="AQ441" i="55" l="1"/>
  <c r="AO440" i="55"/>
  <c r="AQ440" i="55" l="1"/>
  <c r="AO439" i="55"/>
  <c r="AQ439" i="55" l="1"/>
  <c r="AO438" i="55"/>
  <c r="AQ438" i="55" l="1"/>
  <c r="AO437" i="55"/>
  <c r="AQ437" i="55" l="1"/>
  <c r="AO436" i="55"/>
  <c r="AQ436" i="55" l="1"/>
  <c r="AO435" i="55"/>
  <c r="AR448" i="55" l="1"/>
  <c r="AR444" i="55"/>
  <c r="AR440" i="55"/>
  <c r="AT440" i="55" s="1"/>
  <c r="AW440" i="55" s="1"/>
  <c r="AX440" i="55" s="1"/>
  <c r="AR447" i="55"/>
  <c r="AT447" i="55" s="1"/>
  <c r="AW447" i="55" s="1"/>
  <c r="AX447" i="55" s="1"/>
  <c r="AR443" i="55"/>
  <c r="AR439" i="55"/>
  <c r="AT439" i="55" s="1"/>
  <c r="AW439" i="55" s="1"/>
  <c r="AX439" i="55" s="1"/>
  <c r="AR441" i="55"/>
  <c r="AT441" i="55" s="1"/>
  <c r="AW441" i="55" s="1"/>
  <c r="AX441" i="55" s="1"/>
  <c r="AR445" i="55"/>
  <c r="AT445" i="55" s="1"/>
  <c r="AW445" i="55" s="1"/>
  <c r="AX445" i="55" s="1"/>
  <c r="AR437" i="55"/>
  <c r="AT437" i="55" s="1"/>
  <c r="AW437" i="55" s="1"/>
  <c r="AX437" i="55" s="1"/>
  <c r="AR442" i="55"/>
  <c r="AT442" i="55" s="1"/>
  <c r="AW442" i="55" s="1"/>
  <c r="AX442" i="55" s="1"/>
  <c r="AR446" i="55"/>
  <c r="AT446" i="55" s="1"/>
  <c r="AW446" i="55" s="1"/>
  <c r="AX446" i="55" s="1"/>
  <c r="AR438" i="55"/>
  <c r="AT438" i="55" s="1"/>
  <c r="AW438" i="55" s="1"/>
  <c r="AX438" i="55" s="1"/>
  <c r="AQ435" i="55"/>
  <c r="AO434" i="55"/>
  <c r="AT448" i="55"/>
  <c r="AW448" i="55" s="1"/>
  <c r="AX448" i="55" s="1"/>
  <c r="AT444" i="55"/>
  <c r="AW444" i="55" s="1"/>
  <c r="AX444" i="55" s="1"/>
  <c r="AT443" i="55"/>
  <c r="AW443" i="55" s="1"/>
  <c r="AX443" i="55" s="1"/>
  <c r="AQ434" i="55" l="1"/>
  <c r="AO433" i="55"/>
  <c r="AQ433" i="55" l="1"/>
  <c r="AO432" i="55"/>
  <c r="AQ432" i="55" l="1"/>
  <c r="AO431" i="55"/>
  <c r="AQ431" i="55" l="1"/>
  <c r="AO430" i="55"/>
  <c r="AQ430" i="55" l="1"/>
  <c r="AO429" i="55"/>
  <c r="AQ429" i="55" l="1"/>
  <c r="AO428" i="55"/>
  <c r="AQ428" i="55" l="1"/>
  <c r="AO427" i="55"/>
  <c r="AQ427" i="55" l="1"/>
  <c r="AO426" i="55"/>
  <c r="AQ426" i="55" l="1"/>
  <c r="AO425" i="55"/>
  <c r="AQ425" i="55" l="1"/>
  <c r="AO424" i="55"/>
  <c r="AQ424" i="55" l="1"/>
  <c r="AO423" i="55"/>
  <c r="AR436" i="55" l="1"/>
  <c r="AR432" i="55"/>
  <c r="AR428" i="55"/>
  <c r="AT428" i="55" s="1"/>
  <c r="AW428" i="55" s="1"/>
  <c r="AX428" i="55" s="1"/>
  <c r="AR435" i="55"/>
  <c r="AT435" i="55" s="1"/>
  <c r="AW435" i="55" s="1"/>
  <c r="AX435" i="55" s="1"/>
  <c r="AR431" i="55"/>
  <c r="AR427" i="55"/>
  <c r="AT427" i="55" s="1"/>
  <c r="AW427" i="55" s="1"/>
  <c r="AX427" i="55" s="1"/>
  <c r="AR433" i="55"/>
  <c r="AT433" i="55" s="1"/>
  <c r="AW433" i="55" s="1"/>
  <c r="AX433" i="55" s="1"/>
  <c r="AR425" i="55"/>
  <c r="AT425" i="55" s="1"/>
  <c r="AW425" i="55" s="1"/>
  <c r="AX425" i="55" s="1"/>
  <c r="AR434" i="55"/>
  <c r="AT434" i="55" s="1"/>
  <c r="AW434" i="55" s="1"/>
  <c r="AX434" i="55" s="1"/>
  <c r="AR430" i="55"/>
  <c r="AT430" i="55" s="1"/>
  <c r="AW430" i="55" s="1"/>
  <c r="AX430" i="55" s="1"/>
  <c r="AR429" i="55"/>
  <c r="AT429" i="55" s="1"/>
  <c r="AW429" i="55" s="1"/>
  <c r="AX429" i="55" s="1"/>
  <c r="AR426" i="55"/>
  <c r="AT426" i="55" s="1"/>
  <c r="AW426" i="55" s="1"/>
  <c r="AX426" i="55" s="1"/>
  <c r="AQ423" i="55"/>
  <c r="AO422" i="55"/>
  <c r="AT436" i="55"/>
  <c r="AW436" i="55" s="1"/>
  <c r="AX436" i="55" s="1"/>
  <c r="AT431" i="55"/>
  <c r="AW431" i="55" s="1"/>
  <c r="AX431" i="55" s="1"/>
  <c r="AT432" i="55"/>
  <c r="AW432" i="55" s="1"/>
  <c r="AX432" i="55" s="1"/>
  <c r="AQ422" i="55" l="1"/>
  <c r="AO421" i="55"/>
  <c r="AQ421" i="55" l="1"/>
  <c r="AO420" i="55"/>
  <c r="AQ420" i="55" l="1"/>
  <c r="AO419" i="55"/>
  <c r="AQ419" i="55" l="1"/>
  <c r="AO418" i="55"/>
  <c r="AQ418" i="55" l="1"/>
  <c r="AO417" i="55"/>
  <c r="AQ417" i="55" l="1"/>
  <c r="AO416" i="55"/>
  <c r="AQ416" i="55" l="1"/>
  <c r="AO415" i="55"/>
  <c r="AQ415" i="55" l="1"/>
  <c r="AO414" i="55"/>
  <c r="AQ414" i="55" l="1"/>
  <c r="AO413" i="55"/>
  <c r="AQ413" i="55" l="1"/>
  <c r="AO412" i="55"/>
  <c r="AQ412" i="55" l="1"/>
  <c r="AO411" i="55"/>
  <c r="AR424" i="55" l="1"/>
  <c r="AR420" i="55"/>
  <c r="AT420" i="55" s="1"/>
  <c r="AW420" i="55" s="1"/>
  <c r="AX420" i="55" s="1"/>
  <c r="AR416" i="55"/>
  <c r="AT416" i="55" s="1"/>
  <c r="AW416" i="55" s="1"/>
  <c r="AX416" i="55" s="1"/>
  <c r="AR423" i="55"/>
  <c r="AT423" i="55" s="1"/>
  <c r="AW423" i="55" s="1"/>
  <c r="AX423" i="55" s="1"/>
  <c r="AR419" i="55"/>
  <c r="AR415" i="55"/>
  <c r="AT415" i="55" s="1"/>
  <c r="AW415" i="55" s="1"/>
  <c r="AX415" i="55" s="1"/>
  <c r="AR417" i="55"/>
  <c r="AT417" i="55" s="1"/>
  <c r="AW417" i="55" s="1"/>
  <c r="AX417" i="55" s="1"/>
  <c r="AR413" i="55"/>
  <c r="AT413" i="55" s="1"/>
  <c r="AW413" i="55" s="1"/>
  <c r="AX413" i="55" s="1"/>
  <c r="AR418" i="55"/>
  <c r="AT418" i="55" s="1"/>
  <c r="AW418" i="55" s="1"/>
  <c r="AX418" i="55" s="1"/>
  <c r="AR422" i="55"/>
  <c r="AT422" i="55" s="1"/>
  <c r="AW422" i="55" s="1"/>
  <c r="AX422" i="55" s="1"/>
  <c r="AR414" i="55"/>
  <c r="AT414" i="55" s="1"/>
  <c r="AW414" i="55" s="1"/>
  <c r="AX414" i="55" s="1"/>
  <c r="AR421" i="55"/>
  <c r="AT421" i="55" s="1"/>
  <c r="AW421" i="55" s="1"/>
  <c r="AX421" i="55" s="1"/>
  <c r="AQ411" i="55"/>
  <c r="AO410" i="55"/>
  <c r="AT419" i="55"/>
  <c r="AW419" i="55" s="1"/>
  <c r="AX419" i="55" s="1"/>
  <c r="AT424" i="55"/>
  <c r="AW424" i="55" s="1"/>
  <c r="AX424" i="55" s="1"/>
  <c r="AQ410" i="55" l="1"/>
  <c r="AO409" i="55"/>
  <c r="AQ409" i="55" l="1"/>
  <c r="AO408" i="55"/>
  <c r="AQ408" i="55" l="1"/>
  <c r="AO407" i="55"/>
  <c r="AQ407" i="55" l="1"/>
  <c r="AO406" i="55"/>
  <c r="AQ406" i="55" l="1"/>
  <c r="AO405" i="55"/>
  <c r="AQ405" i="55" l="1"/>
  <c r="AO404" i="55"/>
  <c r="AQ404" i="55" l="1"/>
  <c r="AO403" i="55"/>
  <c r="AQ403" i="55" l="1"/>
  <c r="AO402" i="55"/>
  <c r="AQ402" i="55" l="1"/>
  <c r="AO401" i="55"/>
  <c r="AQ401" i="55" l="1"/>
  <c r="AO400" i="55"/>
  <c r="AQ400" i="55" l="1"/>
  <c r="AO399" i="55"/>
  <c r="AR412" i="55" l="1"/>
  <c r="AR408" i="55"/>
  <c r="AR404" i="55"/>
  <c r="AT404" i="55" s="1"/>
  <c r="AW404" i="55" s="1"/>
  <c r="AX404" i="55" s="1"/>
  <c r="AR411" i="55"/>
  <c r="AT411" i="55" s="1"/>
  <c r="AW411" i="55" s="1"/>
  <c r="AX411" i="55" s="1"/>
  <c r="AR407" i="55"/>
  <c r="AT407" i="55" s="1"/>
  <c r="AW407" i="55" s="1"/>
  <c r="AX407" i="55" s="1"/>
  <c r="AR403" i="55"/>
  <c r="AR409" i="55"/>
  <c r="AT409" i="55" s="1"/>
  <c r="AW409" i="55" s="1"/>
  <c r="AX409" i="55" s="1"/>
  <c r="AR401" i="55"/>
  <c r="AT401" i="55" s="1"/>
  <c r="AW401" i="55" s="1"/>
  <c r="AX401" i="55" s="1"/>
  <c r="AR406" i="55"/>
  <c r="AT406" i="55" s="1"/>
  <c r="AW406" i="55" s="1"/>
  <c r="AX406" i="55" s="1"/>
  <c r="AR405" i="55"/>
  <c r="AT405" i="55" s="1"/>
  <c r="AW405" i="55" s="1"/>
  <c r="AX405" i="55" s="1"/>
  <c r="AR410" i="55"/>
  <c r="AT410" i="55" s="1"/>
  <c r="AW410" i="55" s="1"/>
  <c r="AX410" i="55" s="1"/>
  <c r="AR402" i="55"/>
  <c r="AT402" i="55" s="1"/>
  <c r="AW402" i="55" s="1"/>
  <c r="AX402" i="55" s="1"/>
  <c r="AQ399" i="55"/>
  <c r="AO398" i="55"/>
  <c r="AT408" i="55"/>
  <c r="AW408" i="55" s="1"/>
  <c r="AX408" i="55" s="1"/>
  <c r="AT412" i="55"/>
  <c r="AW412" i="55" s="1"/>
  <c r="AX412" i="55" s="1"/>
  <c r="AT403" i="55"/>
  <c r="AW403" i="55" s="1"/>
  <c r="AX403" i="55" s="1"/>
  <c r="AQ398" i="55" l="1"/>
  <c r="AO397" i="55"/>
  <c r="AQ397" i="55" l="1"/>
  <c r="AO396" i="55"/>
  <c r="AO395" i="55" l="1"/>
  <c r="AQ396" i="55"/>
  <c r="AQ395" i="55" l="1"/>
  <c r="AO394" i="55"/>
  <c r="AQ394" i="55" l="1"/>
  <c r="AO393" i="55"/>
  <c r="AQ393" i="55" l="1"/>
  <c r="AO392" i="55"/>
  <c r="AQ392" i="55" l="1"/>
  <c r="AO391" i="55"/>
  <c r="AQ391" i="55" l="1"/>
  <c r="AO390" i="55"/>
  <c r="AQ390" i="55" l="1"/>
  <c r="AO389" i="55"/>
  <c r="AQ389" i="55" l="1"/>
  <c r="AO388" i="55"/>
  <c r="AQ388" i="55" l="1"/>
  <c r="AO387" i="55"/>
  <c r="AR400" i="55" l="1"/>
  <c r="AR396" i="55"/>
  <c r="AT396" i="55" s="1"/>
  <c r="AW396" i="55" s="1"/>
  <c r="AX396" i="55" s="1"/>
  <c r="AR392" i="55"/>
  <c r="AT392" i="55" s="1"/>
  <c r="AW392" i="55" s="1"/>
  <c r="AX392" i="55" s="1"/>
  <c r="AR399" i="55"/>
  <c r="AT399" i="55" s="1"/>
  <c r="AW399" i="55" s="1"/>
  <c r="AX399" i="55" s="1"/>
  <c r="AR395" i="55"/>
  <c r="AR391" i="55"/>
  <c r="AT391" i="55" s="1"/>
  <c r="AW391" i="55" s="1"/>
  <c r="AX391" i="55" s="1"/>
  <c r="AR393" i="55"/>
  <c r="AT393" i="55" s="1"/>
  <c r="AW393" i="55" s="1"/>
  <c r="AX393" i="55" s="1"/>
  <c r="AR397" i="55"/>
  <c r="AT397" i="55" s="1"/>
  <c r="AW397" i="55" s="1"/>
  <c r="AX397" i="55" s="1"/>
  <c r="AR389" i="55"/>
  <c r="AT389" i="55" s="1"/>
  <c r="AW389" i="55" s="1"/>
  <c r="AX389" i="55" s="1"/>
  <c r="AR394" i="55"/>
  <c r="AT394" i="55" s="1"/>
  <c r="AW394" i="55" s="1"/>
  <c r="AX394" i="55" s="1"/>
  <c r="AR398" i="55"/>
  <c r="AT398" i="55" s="1"/>
  <c r="AW398" i="55" s="1"/>
  <c r="AX398" i="55" s="1"/>
  <c r="AR390" i="55"/>
  <c r="AT390" i="55" s="1"/>
  <c r="AW390" i="55" s="1"/>
  <c r="AX390" i="55" s="1"/>
  <c r="AQ387" i="55"/>
  <c r="AO386" i="55"/>
  <c r="AT400" i="55"/>
  <c r="AW400" i="55" s="1"/>
  <c r="AX400" i="55" s="1"/>
  <c r="AT395" i="55"/>
  <c r="AW395" i="55" s="1"/>
  <c r="AX395" i="55" s="1"/>
  <c r="AQ386" i="55" l="1"/>
  <c r="AO385" i="55"/>
  <c r="AQ385" i="55" l="1"/>
  <c r="AO384" i="55"/>
  <c r="AQ384" i="55" l="1"/>
  <c r="AO383" i="55"/>
  <c r="AQ383" i="55" l="1"/>
  <c r="AO382" i="55"/>
  <c r="AQ382" i="55" l="1"/>
  <c r="AO381" i="55"/>
  <c r="AQ381" i="55" l="1"/>
  <c r="AO380" i="55"/>
  <c r="AQ380" i="55" l="1"/>
  <c r="AO379" i="55"/>
  <c r="AQ379" i="55" l="1"/>
  <c r="AO378" i="55"/>
  <c r="AQ378" i="55" l="1"/>
  <c r="AO377" i="55"/>
  <c r="AQ377" i="55" l="1"/>
  <c r="AO376" i="55"/>
  <c r="AQ376" i="55" l="1"/>
  <c r="AO375" i="55"/>
  <c r="AR388" i="55" l="1"/>
  <c r="AR384" i="55"/>
  <c r="AR380" i="55"/>
  <c r="AT380" i="55" s="1"/>
  <c r="AW380" i="55" s="1"/>
  <c r="AX380" i="55" s="1"/>
  <c r="AR387" i="55"/>
  <c r="AT387" i="55" s="1"/>
  <c r="AW387" i="55" s="1"/>
  <c r="AX387" i="55" s="1"/>
  <c r="AR383" i="55"/>
  <c r="AR379" i="55"/>
  <c r="AT379" i="55" s="1"/>
  <c r="AW379" i="55" s="1"/>
  <c r="AX379" i="55" s="1"/>
  <c r="AR385" i="55"/>
  <c r="AT385" i="55" s="1"/>
  <c r="AW385" i="55" s="1"/>
  <c r="AX385" i="55" s="1"/>
  <c r="AR377" i="55"/>
  <c r="AT377" i="55" s="1"/>
  <c r="AW377" i="55" s="1"/>
  <c r="AX377" i="55" s="1"/>
  <c r="AR378" i="55"/>
  <c r="AT378" i="55" s="1"/>
  <c r="AW378" i="55" s="1"/>
  <c r="AX378" i="55" s="1"/>
  <c r="AR382" i="55"/>
  <c r="AT382" i="55" s="1"/>
  <c r="AW382" i="55" s="1"/>
  <c r="AX382" i="55" s="1"/>
  <c r="AR381" i="55"/>
  <c r="AT381" i="55" s="1"/>
  <c r="AW381" i="55" s="1"/>
  <c r="AX381" i="55" s="1"/>
  <c r="AR386" i="55"/>
  <c r="AT386" i="55" s="1"/>
  <c r="AW386" i="55" s="1"/>
  <c r="AX386" i="55" s="1"/>
  <c r="AQ375" i="55"/>
  <c r="AO374" i="55"/>
  <c r="AT388" i="55"/>
  <c r="AW388" i="55" s="1"/>
  <c r="AX388" i="55" s="1"/>
  <c r="AT383" i="55"/>
  <c r="AW383" i="55" s="1"/>
  <c r="AX383" i="55" s="1"/>
  <c r="AT384" i="55"/>
  <c r="AW384" i="55" s="1"/>
  <c r="AX384" i="55" s="1"/>
  <c r="AQ374" i="55" l="1"/>
  <c r="AO373" i="55"/>
  <c r="AQ373" i="55" l="1"/>
  <c r="AO372" i="55"/>
  <c r="AO371" i="55" l="1"/>
  <c r="AQ372" i="55"/>
  <c r="AQ371" i="55" l="1"/>
  <c r="AO370" i="55"/>
  <c r="AQ370" i="55" l="1"/>
  <c r="AO369" i="55"/>
  <c r="AQ369" i="55" l="1"/>
  <c r="AO368" i="55"/>
  <c r="AQ368" i="55" l="1"/>
  <c r="AO367" i="55"/>
  <c r="AQ367" i="55" l="1"/>
  <c r="AO366" i="55"/>
  <c r="AQ366" i="55" l="1"/>
  <c r="AO365" i="55"/>
  <c r="AQ365" i="55" l="1"/>
  <c r="AO364" i="55"/>
  <c r="AQ364" i="55" l="1"/>
  <c r="AO363" i="55"/>
  <c r="AR376" i="55" l="1"/>
  <c r="AR372" i="55"/>
  <c r="AT372" i="55" s="1"/>
  <c r="AW372" i="55" s="1"/>
  <c r="AX372" i="55" s="1"/>
  <c r="AR368" i="55"/>
  <c r="AT368" i="55" s="1"/>
  <c r="AW368" i="55" s="1"/>
  <c r="AX368" i="55" s="1"/>
  <c r="AR375" i="55"/>
  <c r="AT375" i="55" s="1"/>
  <c r="AW375" i="55" s="1"/>
  <c r="AX375" i="55" s="1"/>
  <c r="AR371" i="55"/>
  <c r="AR367" i="55"/>
  <c r="AT367" i="55" s="1"/>
  <c r="AW367" i="55" s="1"/>
  <c r="AX367" i="55" s="1"/>
  <c r="AR369" i="55"/>
  <c r="AT369" i="55" s="1"/>
  <c r="AW369" i="55" s="1"/>
  <c r="AX369" i="55" s="1"/>
  <c r="AR373" i="55"/>
  <c r="AT373" i="55" s="1"/>
  <c r="AW373" i="55" s="1"/>
  <c r="AX373" i="55" s="1"/>
  <c r="AR374" i="55"/>
  <c r="AT374" i="55" s="1"/>
  <c r="AW374" i="55" s="1"/>
  <c r="AX374" i="55" s="1"/>
  <c r="AR366" i="55"/>
  <c r="AT366" i="55" s="1"/>
  <c r="AW366" i="55" s="1"/>
  <c r="AX366" i="55" s="1"/>
  <c r="AR365" i="55"/>
  <c r="AT365" i="55" s="1"/>
  <c r="AW365" i="55" s="1"/>
  <c r="AX365" i="55" s="1"/>
  <c r="AR370" i="55"/>
  <c r="AT370" i="55" s="1"/>
  <c r="AW370" i="55" s="1"/>
  <c r="AX370" i="55" s="1"/>
  <c r="AQ363" i="55"/>
  <c r="AO362" i="55"/>
  <c r="AT376" i="55"/>
  <c r="AW376" i="55" s="1"/>
  <c r="AX376" i="55" s="1"/>
  <c r="AT371" i="55"/>
  <c r="AW371" i="55" s="1"/>
  <c r="AX371" i="55" s="1"/>
  <c r="AQ362" i="55" l="1"/>
  <c r="AO361" i="55"/>
  <c r="AQ361" i="55" l="1"/>
  <c r="AO360" i="55"/>
  <c r="AQ360" i="55" l="1"/>
  <c r="AO359" i="55"/>
  <c r="AQ359" i="55" l="1"/>
  <c r="AO358" i="55"/>
  <c r="AQ358" i="55" l="1"/>
  <c r="AO357" i="55"/>
  <c r="AQ357" i="55" l="1"/>
  <c r="AO356" i="55"/>
  <c r="AQ356" i="55" l="1"/>
  <c r="AO355" i="55"/>
  <c r="AQ355" i="55" l="1"/>
  <c r="AO354" i="55"/>
  <c r="AQ354" i="55" l="1"/>
  <c r="AO353" i="55"/>
  <c r="AQ353" i="55" l="1"/>
  <c r="AO352" i="55"/>
  <c r="AQ352" i="55" l="1"/>
  <c r="AO351" i="55"/>
  <c r="AR364" i="55" l="1"/>
  <c r="AR360" i="55"/>
  <c r="AT360" i="55" s="1"/>
  <c r="AW360" i="55" s="1"/>
  <c r="AX360" i="55" s="1"/>
  <c r="AR356" i="55"/>
  <c r="AT356" i="55" s="1"/>
  <c r="AW356" i="55" s="1"/>
  <c r="AX356" i="55" s="1"/>
  <c r="AR363" i="55"/>
  <c r="AT363" i="55" s="1"/>
  <c r="AW363" i="55" s="1"/>
  <c r="AX363" i="55" s="1"/>
  <c r="AR359" i="55"/>
  <c r="AR355" i="55"/>
  <c r="AT355" i="55" s="1"/>
  <c r="AW355" i="55" s="1"/>
  <c r="AX355" i="55" s="1"/>
  <c r="AR361" i="55"/>
  <c r="AT361" i="55" s="1"/>
  <c r="AW361" i="55" s="1"/>
  <c r="AX361" i="55" s="1"/>
  <c r="AR353" i="55"/>
  <c r="AT353" i="55" s="1"/>
  <c r="AW353" i="55" s="1"/>
  <c r="AX353" i="55" s="1"/>
  <c r="AR357" i="55"/>
  <c r="AT357" i="55" s="1"/>
  <c r="AW357" i="55" s="1"/>
  <c r="AX357" i="55" s="1"/>
  <c r="AR362" i="55"/>
  <c r="AT362" i="55" s="1"/>
  <c r="AW362" i="55" s="1"/>
  <c r="AX362" i="55" s="1"/>
  <c r="AR354" i="55"/>
  <c r="AT354" i="55" s="1"/>
  <c r="AW354" i="55" s="1"/>
  <c r="AX354" i="55" s="1"/>
  <c r="AR358" i="55"/>
  <c r="AT358" i="55" s="1"/>
  <c r="AW358" i="55" s="1"/>
  <c r="AX358" i="55" s="1"/>
  <c r="AT359" i="55"/>
  <c r="AW359" i="55" s="1"/>
  <c r="AX359" i="55" s="1"/>
  <c r="AT364" i="55"/>
  <c r="AW364" i="55" s="1"/>
  <c r="AX364" i="55" s="1"/>
  <c r="AQ351" i="55"/>
  <c r="AO350" i="55"/>
  <c r="AQ350" i="55" l="1"/>
  <c r="AO349" i="55"/>
  <c r="AQ349" i="55" l="1"/>
  <c r="AO348" i="55"/>
  <c r="AQ348" i="55" l="1"/>
  <c r="AO347" i="55"/>
  <c r="AQ347" i="55" l="1"/>
  <c r="AO346" i="55"/>
  <c r="AQ346" i="55" l="1"/>
  <c r="AO345" i="55"/>
  <c r="AQ345" i="55" l="1"/>
  <c r="AO344" i="55"/>
  <c r="AQ344" i="55" l="1"/>
  <c r="AO343" i="55"/>
  <c r="AQ343" i="55" l="1"/>
  <c r="AO342" i="55"/>
  <c r="AQ342" i="55" l="1"/>
  <c r="AO341" i="55"/>
  <c r="AQ341" i="55" l="1"/>
  <c r="AO340" i="55"/>
  <c r="AQ340" i="55" l="1"/>
  <c r="AO339" i="55"/>
  <c r="AR352" i="55" l="1"/>
  <c r="AR348" i="55"/>
  <c r="AT348" i="55" s="1"/>
  <c r="AW348" i="55" s="1"/>
  <c r="AX348" i="55" s="1"/>
  <c r="AR344" i="55"/>
  <c r="AT344" i="55" s="1"/>
  <c r="AW344" i="55" s="1"/>
  <c r="AX344" i="55" s="1"/>
  <c r="AR351" i="55"/>
  <c r="AT351" i="55" s="1"/>
  <c r="AW351" i="55" s="1"/>
  <c r="AX351" i="55" s="1"/>
  <c r="AR347" i="55"/>
  <c r="AR343" i="55"/>
  <c r="AT343" i="55" s="1"/>
  <c r="AW343" i="55" s="1"/>
  <c r="AX343" i="55" s="1"/>
  <c r="AR345" i="55"/>
  <c r="AT345" i="55" s="1"/>
  <c r="AW345" i="55" s="1"/>
  <c r="AX345" i="55" s="1"/>
  <c r="AR341" i="55"/>
  <c r="AT341" i="55" s="1"/>
  <c r="AW341" i="55" s="1"/>
  <c r="AX341" i="55" s="1"/>
  <c r="AR350" i="55"/>
  <c r="AT350" i="55" s="1"/>
  <c r="AW350" i="55" s="1"/>
  <c r="AX350" i="55" s="1"/>
  <c r="AR342" i="55"/>
  <c r="AT342" i="55" s="1"/>
  <c r="AW342" i="55" s="1"/>
  <c r="AX342" i="55" s="1"/>
  <c r="AR349" i="55"/>
  <c r="AT349" i="55" s="1"/>
  <c r="AW349" i="55" s="1"/>
  <c r="AX349" i="55" s="1"/>
  <c r="AR346" i="55"/>
  <c r="AT346" i="55" s="1"/>
  <c r="AW346" i="55" s="1"/>
  <c r="AX346" i="55" s="1"/>
  <c r="AQ339" i="55"/>
  <c r="AO338" i="55"/>
  <c r="AT347" i="55"/>
  <c r="AW347" i="55" s="1"/>
  <c r="AX347" i="55" s="1"/>
  <c r="AT352" i="55"/>
  <c r="AW352" i="55" s="1"/>
  <c r="AX352" i="55" s="1"/>
  <c r="AQ338" i="55" l="1"/>
  <c r="AO337" i="55"/>
  <c r="AQ337" i="55" l="1"/>
  <c r="AO336" i="55"/>
  <c r="AQ336" i="55" l="1"/>
  <c r="AO335" i="55"/>
  <c r="AQ335" i="55" l="1"/>
  <c r="AO334" i="55"/>
  <c r="AQ334" i="55" l="1"/>
  <c r="AO333" i="55"/>
  <c r="AQ333" i="55" l="1"/>
  <c r="AO332" i="55"/>
  <c r="AQ332" i="55" l="1"/>
  <c r="AO331" i="55"/>
  <c r="AO330" i="55" l="1"/>
  <c r="AQ331" i="55"/>
  <c r="AQ330" i="55" l="1"/>
  <c r="AO329" i="55"/>
  <c r="AQ329" i="55" l="1"/>
  <c r="AO328" i="55"/>
  <c r="AQ328" i="55" l="1"/>
  <c r="AO327" i="55"/>
  <c r="AR340" i="55" l="1"/>
  <c r="AR336" i="55"/>
  <c r="AT336" i="55" s="1"/>
  <c r="AW336" i="55" s="1"/>
  <c r="AX336" i="55" s="1"/>
  <c r="AR332" i="55"/>
  <c r="AT332" i="55" s="1"/>
  <c r="AW332" i="55" s="1"/>
  <c r="AX332" i="55" s="1"/>
  <c r="AR339" i="55"/>
  <c r="AT339" i="55" s="1"/>
  <c r="AW339" i="55" s="1"/>
  <c r="AX339" i="55" s="1"/>
  <c r="AR335" i="55"/>
  <c r="AR331" i="55"/>
  <c r="AT331" i="55" s="1"/>
  <c r="AW331" i="55" s="1"/>
  <c r="AX331" i="55" s="1"/>
  <c r="AR337" i="55"/>
  <c r="AT337" i="55" s="1"/>
  <c r="AW337" i="55" s="1"/>
  <c r="AX337" i="55" s="1"/>
  <c r="AR329" i="55"/>
  <c r="AT329" i="55" s="1"/>
  <c r="AW329" i="55" s="1"/>
  <c r="AX329" i="55" s="1"/>
  <c r="AR338" i="55"/>
  <c r="AT338" i="55" s="1"/>
  <c r="AW338" i="55" s="1"/>
  <c r="AX338" i="55" s="1"/>
  <c r="AR334" i="55"/>
  <c r="AT334" i="55" s="1"/>
  <c r="AW334" i="55" s="1"/>
  <c r="AX334" i="55" s="1"/>
  <c r="AR333" i="55"/>
  <c r="AT333" i="55" s="1"/>
  <c r="AW333" i="55" s="1"/>
  <c r="AX333" i="55" s="1"/>
  <c r="AR330" i="55"/>
  <c r="AT330" i="55" s="1"/>
  <c r="AW330" i="55" s="1"/>
  <c r="AX330" i="55" s="1"/>
  <c r="AQ327" i="55"/>
  <c r="AO326" i="55"/>
  <c r="AT340" i="55"/>
  <c r="AW340" i="55" s="1"/>
  <c r="AX340" i="55" s="1"/>
  <c r="AT335" i="55"/>
  <c r="AW335" i="55" s="1"/>
  <c r="AX335" i="55" s="1"/>
  <c r="AQ326" i="55" l="1"/>
  <c r="AO325" i="55"/>
  <c r="AQ325" i="55" l="1"/>
  <c r="AO324" i="55"/>
  <c r="AQ324" i="55" l="1"/>
  <c r="AO323" i="55"/>
  <c r="AQ323" i="55" l="1"/>
  <c r="AO322" i="55"/>
  <c r="AQ322" i="55" l="1"/>
  <c r="AO321" i="55"/>
  <c r="AQ321" i="55" l="1"/>
  <c r="AO320" i="55"/>
  <c r="AO319" i="55" l="1"/>
  <c r="AQ320" i="55"/>
  <c r="AQ319" i="55" l="1"/>
  <c r="AO318" i="55"/>
  <c r="AQ318" i="55" l="1"/>
  <c r="AO317" i="55"/>
  <c r="AQ317" i="55" l="1"/>
  <c r="AO316" i="55"/>
  <c r="AQ316" i="55" l="1"/>
  <c r="AO315" i="55"/>
  <c r="AR328" i="55" l="1"/>
  <c r="AR324" i="55"/>
  <c r="AT324" i="55" s="1"/>
  <c r="AW324" i="55" s="1"/>
  <c r="AX324" i="55" s="1"/>
  <c r="AR320" i="55"/>
  <c r="AT320" i="55" s="1"/>
  <c r="AW320" i="55" s="1"/>
  <c r="AX320" i="55" s="1"/>
  <c r="AR327" i="55"/>
  <c r="AT327" i="55" s="1"/>
  <c r="AW327" i="55" s="1"/>
  <c r="AX327" i="55" s="1"/>
  <c r="AR323" i="55"/>
  <c r="AR319" i="55"/>
  <c r="AT319" i="55" s="1"/>
  <c r="AW319" i="55" s="1"/>
  <c r="AX319" i="55" s="1"/>
  <c r="AR321" i="55"/>
  <c r="AT321" i="55" s="1"/>
  <c r="AW321" i="55" s="1"/>
  <c r="AX321" i="55" s="1"/>
  <c r="AR325" i="55"/>
  <c r="AT325" i="55" s="1"/>
  <c r="AW325" i="55" s="1"/>
  <c r="AX325" i="55" s="1"/>
  <c r="AR326" i="55"/>
  <c r="AT326" i="55" s="1"/>
  <c r="AW326" i="55" s="1"/>
  <c r="AX326" i="55" s="1"/>
  <c r="AR318" i="55"/>
  <c r="AT318" i="55" s="1"/>
  <c r="AW318" i="55" s="1"/>
  <c r="AX318" i="55" s="1"/>
  <c r="AR317" i="55"/>
  <c r="AT317" i="55" s="1"/>
  <c r="AW317" i="55" s="1"/>
  <c r="AX317" i="55" s="1"/>
  <c r="AR322" i="55"/>
  <c r="AT322" i="55" s="1"/>
  <c r="AW322" i="55" s="1"/>
  <c r="AX322" i="55" s="1"/>
  <c r="AQ315" i="55"/>
  <c r="AO314" i="55"/>
  <c r="AT323" i="55"/>
  <c r="AW323" i="55" s="1"/>
  <c r="AX323" i="55" s="1"/>
  <c r="AT328" i="55"/>
  <c r="AW328" i="55" s="1"/>
  <c r="AX328" i="55" s="1"/>
  <c r="AQ314" i="55" l="1"/>
  <c r="AO313" i="55"/>
  <c r="AQ313" i="55" l="1"/>
  <c r="AO312" i="55"/>
  <c r="AQ312" i="55" l="1"/>
  <c r="AO311" i="55"/>
  <c r="AQ311" i="55" l="1"/>
  <c r="AO310" i="55"/>
  <c r="AQ310" i="55" l="1"/>
  <c r="AO309" i="55"/>
  <c r="AQ309" i="55" l="1"/>
  <c r="AO308" i="55"/>
  <c r="AQ308" i="55" l="1"/>
  <c r="AO307" i="55"/>
  <c r="AQ307" i="55" l="1"/>
  <c r="AO306" i="55"/>
  <c r="AQ306" i="55" l="1"/>
  <c r="AO305" i="55"/>
  <c r="AQ305" i="55" l="1"/>
  <c r="AO304" i="55"/>
  <c r="AO303" i="55" l="1"/>
  <c r="AQ304" i="55"/>
  <c r="AR316" i="55" l="1"/>
  <c r="AR312" i="55"/>
  <c r="AR308" i="55"/>
  <c r="AT308" i="55" s="1"/>
  <c r="AW308" i="55" s="1"/>
  <c r="AX308" i="55" s="1"/>
  <c r="AR315" i="55"/>
  <c r="AT315" i="55" s="1"/>
  <c r="AW315" i="55" s="1"/>
  <c r="AX315" i="55" s="1"/>
  <c r="AR311" i="55"/>
  <c r="AR307" i="55"/>
  <c r="AR313" i="55"/>
  <c r="AT313" i="55" s="1"/>
  <c r="AW313" i="55" s="1"/>
  <c r="AX313" i="55" s="1"/>
  <c r="AR305" i="55"/>
  <c r="AT305" i="55" s="1"/>
  <c r="AW305" i="55" s="1"/>
  <c r="AX305" i="55" s="1"/>
  <c r="AR309" i="55"/>
  <c r="AT309" i="55" s="1"/>
  <c r="AW309" i="55" s="1"/>
  <c r="AX309" i="55" s="1"/>
  <c r="AR314" i="55"/>
  <c r="AT314" i="55" s="1"/>
  <c r="AW314" i="55" s="1"/>
  <c r="AX314" i="55" s="1"/>
  <c r="AR306" i="55"/>
  <c r="AT306" i="55" s="1"/>
  <c r="AW306" i="55" s="1"/>
  <c r="AX306" i="55" s="1"/>
  <c r="AR310" i="55"/>
  <c r="AT310" i="55" s="1"/>
  <c r="AW310" i="55" s="1"/>
  <c r="AX310" i="55" s="1"/>
  <c r="AT311" i="55"/>
  <c r="AW311" i="55" s="1"/>
  <c r="AX311" i="55" s="1"/>
  <c r="AT312" i="55"/>
  <c r="AW312" i="55" s="1"/>
  <c r="AX312" i="55" s="1"/>
  <c r="AT316" i="55"/>
  <c r="AW316" i="55" s="1"/>
  <c r="AX316" i="55" s="1"/>
  <c r="AT307" i="55"/>
  <c r="AW307" i="55" s="1"/>
  <c r="AX307" i="55" s="1"/>
  <c r="AQ303" i="55"/>
  <c r="AO302" i="55"/>
  <c r="AO301" i="55" l="1"/>
  <c r="AQ302" i="55"/>
  <c r="AQ301" i="55" l="1"/>
  <c r="AO300" i="55"/>
  <c r="AQ300" i="55" l="1"/>
  <c r="AO299" i="55"/>
  <c r="AQ299" i="55" l="1"/>
  <c r="AO298" i="55"/>
  <c r="AQ298" i="55" l="1"/>
  <c r="AO297" i="55"/>
  <c r="AQ297" i="55" l="1"/>
  <c r="AO296" i="55"/>
  <c r="AQ296" i="55" l="1"/>
  <c r="AO295" i="55"/>
  <c r="AQ295" i="55" l="1"/>
  <c r="AO294" i="55"/>
  <c r="AQ294" i="55" l="1"/>
  <c r="AO293" i="55"/>
  <c r="AQ293" i="55" l="1"/>
  <c r="AO292" i="55"/>
  <c r="AQ292" i="55" l="1"/>
  <c r="AO291" i="55"/>
  <c r="AR304" i="55" l="1"/>
  <c r="AT304" i="55" s="1"/>
  <c r="AW304" i="55" s="1"/>
  <c r="AX304" i="55" s="1"/>
  <c r="AR300" i="55"/>
  <c r="AR296" i="55"/>
  <c r="AT296" i="55" s="1"/>
  <c r="AW296" i="55" s="1"/>
  <c r="AX296" i="55" s="1"/>
  <c r="AR303" i="55"/>
  <c r="AT303" i="55" s="1"/>
  <c r="AW303" i="55" s="1"/>
  <c r="AX303" i="55" s="1"/>
  <c r="AR299" i="55"/>
  <c r="AT299" i="55" s="1"/>
  <c r="AW299" i="55" s="1"/>
  <c r="AX299" i="55" s="1"/>
  <c r="AR295" i="55"/>
  <c r="AR297" i="55"/>
  <c r="AT297" i="55" s="1"/>
  <c r="AW297" i="55" s="1"/>
  <c r="AX297" i="55" s="1"/>
  <c r="AR293" i="55"/>
  <c r="AT293" i="55" s="1"/>
  <c r="AW293" i="55" s="1"/>
  <c r="AX293" i="55" s="1"/>
  <c r="AR302" i="55"/>
  <c r="AT302" i="55" s="1"/>
  <c r="AW302" i="55" s="1"/>
  <c r="AX302" i="55" s="1"/>
  <c r="AR294" i="55"/>
  <c r="AT294" i="55" s="1"/>
  <c r="AW294" i="55" s="1"/>
  <c r="AX294" i="55" s="1"/>
  <c r="AR301" i="55"/>
  <c r="AT301" i="55" s="1"/>
  <c r="AW301" i="55" s="1"/>
  <c r="AX301" i="55" s="1"/>
  <c r="AR298" i="55"/>
  <c r="AT298" i="55" s="1"/>
  <c r="AW298" i="55" s="1"/>
  <c r="AX298" i="55" s="1"/>
  <c r="AQ291" i="55"/>
  <c r="AO290" i="55"/>
  <c r="AT300" i="55"/>
  <c r="AW300" i="55" s="1"/>
  <c r="AX300" i="55" s="1"/>
  <c r="AT295" i="55"/>
  <c r="AW295" i="55" s="1"/>
  <c r="AX295" i="55" s="1"/>
  <c r="AQ290" i="55" l="1"/>
  <c r="AO289" i="55"/>
  <c r="AQ289" i="55" l="1"/>
  <c r="AO288" i="55"/>
  <c r="AQ288" i="55" l="1"/>
  <c r="AO287" i="55"/>
  <c r="AQ287" i="55" l="1"/>
  <c r="AO286" i="55"/>
  <c r="AQ286" i="55" l="1"/>
  <c r="AO285" i="55"/>
  <c r="AQ285" i="55" l="1"/>
  <c r="AO284" i="55"/>
  <c r="AQ284" i="55" l="1"/>
  <c r="AO283" i="55"/>
  <c r="AQ283" i="55" l="1"/>
  <c r="AO282" i="55"/>
  <c r="AQ282" i="55" l="1"/>
  <c r="AO281" i="55"/>
  <c r="AQ281" i="55" l="1"/>
  <c r="AO280" i="55"/>
  <c r="AQ280" i="55" l="1"/>
  <c r="AO279" i="55"/>
  <c r="AR292" i="55" l="1"/>
  <c r="AR288" i="55"/>
  <c r="AT288" i="55" s="1"/>
  <c r="AW288" i="55" s="1"/>
  <c r="AX288" i="55" s="1"/>
  <c r="AR284" i="55"/>
  <c r="AT284" i="55" s="1"/>
  <c r="AW284" i="55" s="1"/>
  <c r="AX284" i="55" s="1"/>
  <c r="AR291" i="55"/>
  <c r="AT291" i="55" s="1"/>
  <c r="AW291" i="55" s="1"/>
  <c r="AX291" i="55" s="1"/>
  <c r="AR287" i="55"/>
  <c r="AR283" i="55"/>
  <c r="AT283" i="55" s="1"/>
  <c r="AW283" i="55" s="1"/>
  <c r="AX283" i="55" s="1"/>
  <c r="AR289" i="55"/>
  <c r="AT289" i="55" s="1"/>
  <c r="AW289" i="55" s="1"/>
  <c r="AX289" i="55" s="1"/>
  <c r="AR281" i="55"/>
  <c r="AT281" i="55" s="1"/>
  <c r="AW281" i="55" s="1"/>
  <c r="AX281" i="55" s="1"/>
  <c r="AR290" i="55"/>
  <c r="AT290" i="55" s="1"/>
  <c r="AW290" i="55" s="1"/>
  <c r="AX290" i="55" s="1"/>
  <c r="AR286" i="55"/>
  <c r="AT286" i="55" s="1"/>
  <c r="AW286" i="55" s="1"/>
  <c r="AX286" i="55" s="1"/>
  <c r="AR285" i="55"/>
  <c r="AT285" i="55" s="1"/>
  <c r="AW285" i="55" s="1"/>
  <c r="AX285" i="55" s="1"/>
  <c r="AR282" i="55"/>
  <c r="AT282" i="55" s="1"/>
  <c r="AW282" i="55" s="1"/>
  <c r="AX282" i="55" s="1"/>
  <c r="AQ279" i="55"/>
  <c r="AO278" i="55"/>
  <c r="AT292" i="55"/>
  <c r="AW292" i="55" s="1"/>
  <c r="AX292" i="55" s="1"/>
  <c r="AT287" i="55"/>
  <c r="AW287" i="55" s="1"/>
  <c r="AX287" i="55" s="1"/>
  <c r="AQ278" i="55" l="1"/>
  <c r="AO277" i="55"/>
  <c r="AQ277" i="55" l="1"/>
  <c r="AO276" i="55"/>
  <c r="AO275" i="55" l="1"/>
  <c r="AQ276" i="55"/>
  <c r="AQ275" i="55" l="1"/>
  <c r="AO274" i="55"/>
  <c r="AQ274" i="55" l="1"/>
  <c r="AO273" i="55"/>
  <c r="AQ273" i="55" l="1"/>
  <c r="AO272" i="55"/>
  <c r="AQ272" i="55" l="1"/>
  <c r="AO271" i="55"/>
  <c r="AQ271" i="55" l="1"/>
  <c r="AO270" i="55"/>
  <c r="AQ270" i="55" l="1"/>
  <c r="AO269" i="55"/>
  <c r="AQ269" i="55" l="1"/>
  <c r="AO268" i="55"/>
  <c r="AQ268" i="55" l="1"/>
  <c r="AO267" i="55"/>
  <c r="AR280" i="55" l="1"/>
  <c r="AR276" i="55"/>
  <c r="AR272" i="55"/>
  <c r="AT272" i="55" s="1"/>
  <c r="AW272" i="55" s="1"/>
  <c r="AX272" i="55" s="1"/>
  <c r="AR279" i="55"/>
  <c r="AT279" i="55" s="1"/>
  <c r="AW279" i="55" s="1"/>
  <c r="AX279" i="55" s="1"/>
  <c r="AR275" i="55"/>
  <c r="AR271" i="55"/>
  <c r="AR273" i="55"/>
  <c r="AT273" i="55" s="1"/>
  <c r="AW273" i="55" s="1"/>
  <c r="AX273" i="55" s="1"/>
  <c r="AR277" i="55"/>
  <c r="AT277" i="55" s="1"/>
  <c r="AW277" i="55" s="1"/>
  <c r="AX277" i="55" s="1"/>
  <c r="AR274" i="55"/>
  <c r="AT274" i="55" s="1"/>
  <c r="AW274" i="55" s="1"/>
  <c r="AX274" i="55" s="1"/>
  <c r="AR278" i="55"/>
  <c r="AT278" i="55" s="1"/>
  <c r="AW278" i="55" s="1"/>
  <c r="AX278" i="55" s="1"/>
  <c r="AR270" i="55"/>
  <c r="AT270" i="55" s="1"/>
  <c r="AW270" i="55" s="1"/>
  <c r="AX270" i="55" s="1"/>
  <c r="AR269" i="55"/>
  <c r="AT269" i="55" s="1"/>
  <c r="AW269" i="55" s="1"/>
  <c r="AX269" i="55" s="1"/>
  <c r="AO266" i="55"/>
  <c r="AQ267" i="55"/>
  <c r="AT271" i="55"/>
  <c r="AW271" i="55" s="1"/>
  <c r="AX271" i="55" s="1"/>
  <c r="AT280" i="55"/>
  <c r="AW280" i="55" s="1"/>
  <c r="AX280" i="55" s="1"/>
  <c r="AT275" i="55"/>
  <c r="AW275" i="55" s="1"/>
  <c r="AX275" i="55" s="1"/>
  <c r="AT276" i="55"/>
  <c r="AW276" i="55" s="1"/>
  <c r="AX276" i="55" s="1"/>
  <c r="AQ266" i="55" l="1"/>
  <c r="AO265" i="55"/>
  <c r="AO264" i="55" l="1"/>
  <c r="AQ265" i="55"/>
  <c r="AQ264" i="55" l="1"/>
  <c r="AO263" i="55"/>
  <c r="AQ263" i="55" l="1"/>
  <c r="AO262" i="55"/>
  <c r="AQ262" i="55" l="1"/>
  <c r="AO261" i="55"/>
  <c r="AQ261" i="55" l="1"/>
  <c r="AO260" i="55"/>
  <c r="AQ260" i="55" l="1"/>
  <c r="AO259" i="55"/>
  <c r="AQ259" i="55" l="1"/>
  <c r="AO258" i="55"/>
  <c r="AO257" i="55" l="1"/>
  <c r="AQ258" i="55"/>
  <c r="AQ257" i="55" l="1"/>
  <c r="AO256" i="55"/>
  <c r="AO255" i="55" l="1"/>
  <c r="AQ256" i="55"/>
  <c r="AR268" i="55" l="1"/>
  <c r="AR264" i="55"/>
  <c r="AT264" i="55" s="1"/>
  <c r="AW264" i="55" s="1"/>
  <c r="AX264" i="55" s="1"/>
  <c r="AR260" i="55"/>
  <c r="AT260" i="55" s="1"/>
  <c r="AW260" i="55" s="1"/>
  <c r="AX260" i="55" s="1"/>
  <c r="AR267" i="55"/>
  <c r="AT267" i="55" s="1"/>
  <c r="AW267" i="55" s="1"/>
  <c r="AX267" i="55" s="1"/>
  <c r="AR263" i="55"/>
  <c r="AT263" i="55" s="1"/>
  <c r="AW263" i="55" s="1"/>
  <c r="AX263" i="55" s="1"/>
  <c r="AR259" i="55"/>
  <c r="AT259" i="55" s="1"/>
  <c r="AW259" i="55" s="1"/>
  <c r="AX259" i="55" s="1"/>
  <c r="AR265" i="55"/>
  <c r="AT265" i="55" s="1"/>
  <c r="AW265" i="55" s="1"/>
  <c r="AX265" i="55" s="1"/>
  <c r="AR257" i="55"/>
  <c r="AT257" i="55" s="1"/>
  <c r="AW257" i="55" s="1"/>
  <c r="AX257" i="55" s="1"/>
  <c r="AR261" i="55"/>
  <c r="AT261" i="55" s="1"/>
  <c r="AW261" i="55" s="1"/>
  <c r="AX261" i="55" s="1"/>
  <c r="AR262" i="55"/>
  <c r="AT262" i="55" s="1"/>
  <c r="AW262" i="55" s="1"/>
  <c r="AX262" i="55" s="1"/>
  <c r="AR266" i="55"/>
  <c r="AT266" i="55" s="1"/>
  <c r="AW266" i="55" s="1"/>
  <c r="AX266" i="55" s="1"/>
  <c r="AR258" i="55"/>
  <c r="AT258" i="55" s="1"/>
  <c r="AW258" i="55" s="1"/>
  <c r="AX258" i="55" s="1"/>
  <c r="AT268" i="55"/>
  <c r="AW268" i="55" s="1"/>
  <c r="AX268" i="55" s="1"/>
  <c r="AO254" i="55"/>
  <c r="AQ255" i="55"/>
  <c r="AQ254" i="55" l="1"/>
  <c r="AO253" i="55"/>
  <c r="AQ253" i="55" l="1"/>
  <c r="AO252" i="55"/>
  <c r="AQ252" i="55" l="1"/>
  <c r="AO251" i="55"/>
  <c r="AQ251" i="55" l="1"/>
  <c r="AO250" i="55"/>
  <c r="AQ250" i="55" l="1"/>
  <c r="AO249" i="55"/>
  <c r="AQ249" i="55" l="1"/>
  <c r="AO248" i="55"/>
  <c r="AQ248" i="55" l="1"/>
  <c r="AO247" i="55"/>
  <c r="AO246" i="55" l="1"/>
  <c r="AQ247" i="55"/>
  <c r="AQ246" i="55" l="1"/>
  <c r="AO245" i="55"/>
  <c r="AQ245" i="55" l="1"/>
  <c r="AO244" i="55"/>
  <c r="AQ244" i="55" l="1"/>
  <c r="AO243" i="55"/>
  <c r="AR256" i="55" l="1"/>
  <c r="AR252" i="55"/>
  <c r="AT252" i="55" s="1"/>
  <c r="AW252" i="55" s="1"/>
  <c r="AX252" i="55" s="1"/>
  <c r="AR248" i="55"/>
  <c r="AR255" i="55"/>
  <c r="AT255" i="55" s="1"/>
  <c r="AW255" i="55" s="1"/>
  <c r="AX255" i="55" s="1"/>
  <c r="AR251" i="55"/>
  <c r="AR247" i="55"/>
  <c r="AT247" i="55" s="1"/>
  <c r="AW247" i="55" s="1"/>
  <c r="AX247" i="55" s="1"/>
  <c r="AR249" i="55"/>
  <c r="AT249" i="55" s="1"/>
  <c r="AW249" i="55" s="1"/>
  <c r="AX249" i="55" s="1"/>
  <c r="AR250" i="55"/>
  <c r="AT250" i="55" s="1"/>
  <c r="AW250" i="55" s="1"/>
  <c r="AX250" i="55" s="1"/>
  <c r="AR254" i="55"/>
  <c r="AT254" i="55" s="1"/>
  <c r="AW254" i="55" s="1"/>
  <c r="AX254" i="55" s="1"/>
  <c r="AR246" i="55"/>
  <c r="AT246" i="55" s="1"/>
  <c r="AW246" i="55" s="1"/>
  <c r="AX246" i="55" s="1"/>
  <c r="AR253" i="55"/>
  <c r="AT253" i="55" s="1"/>
  <c r="AW253" i="55" s="1"/>
  <c r="AX253" i="55" s="1"/>
  <c r="AR245" i="55"/>
  <c r="AT245" i="55" s="1"/>
  <c r="AW245" i="55" s="1"/>
  <c r="AX245" i="55" s="1"/>
  <c r="AO242" i="55"/>
  <c r="AQ243" i="55"/>
  <c r="AT248" i="55"/>
  <c r="AW248" i="55" s="1"/>
  <c r="AX248" i="55" s="1"/>
  <c r="AT251" i="55"/>
  <c r="AW251" i="55" s="1"/>
  <c r="AX251" i="55" s="1"/>
  <c r="AT256" i="55"/>
  <c r="AW256" i="55" s="1"/>
  <c r="AX256" i="55" s="1"/>
  <c r="AQ242" i="55" l="1"/>
  <c r="AO241" i="55"/>
  <c r="AQ241" i="55" l="1"/>
  <c r="AO240" i="55"/>
  <c r="AQ240" i="55" l="1"/>
  <c r="AO239" i="55"/>
  <c r="AQ239" i="55" l="1"/>
  <c r="AO238" i="55"/>
  <c r="AQ238" i="55" l="1"/>
  <c r="AO237" i="55"/>
  <c r="AQ237" i="55" l="1"/>
  <c r="AO236" i="55"/>
  <c r="AQ236" i="55" l="1"/>
  <c r="AO235" i="55"/>
  <c r="AQ235" i="55" l="1"/>
  <c r="AO234" i="55"/>
  <c r="AQ234" i="55" l="1"/>
  <c r="AO233" i="55"/>
  <c r="AQ233" i="55" l="1"/>
  <c r="AO232" i="55"/>
  <c r="AQ232" i="55" l="1"/>
  <c r="AO231" i="55"/>
  <c r="AR244" i="55" l="1"/>
  <c r="AT244" i="55" s="1"/>
  <c r="AW244" i="55" s="1"/>
  <c r="AX244" i="55" s="1"/>
  <c r="D22" i="47" s="1"/>
  <c r="C22" i="47" s="1"/>
  <c r="AR240" i="55"/>
  <c r="AT240" i="55" s="1"/>
  <c r="AW240" i="55" s="1"/>
  <c r="AX240" i="55" s="1"/>
  <c r="AR236" i="55"/>
  <c r="AT236" i="55" s="1"/>
  <c r="AW236" i="55" s="1"/>
  <c r="AX236" i="55" s="1"/>
  <c r="AR243" i="55"/>
  <c r="AT243" i="55" s="1"/>
  <c r="AW243" i="55" s="1"/>
  <c r="AX243" i="55" s="1"/>
  <c r="AR239" i="55"/>
  <c r="AT239" i="55" s="1"/>
  <c r="AW239" i="55" s="1"/>
  <c r="AX239" i="55" s="1"/>
  <c r="AR235" i="55"/>
  <c r="AT235" i="55" s="1"/>
  <c r="AW235" i="55" s="1"/>
  <c r="AX235" i="55" s="1"/>
  <c r="AR241" i="55"/>
  <c r="AT241" i="55" s="1"/>
  <c r="AW241" i="55" s="1"/>
  <c r="AX241" i="55" s="1"/>
  <c r="AR233" i="55"/>
  <c r="AT233" i="55" s="1"/>
  <c r="AW233" i="55" s="1"/>
  <c r="AX233" i="55" s="1"/>
  <c r="AR237" i="55"/>
  <c r="AT237" i="55" s="1"/>
  <c r="AW237" i="55" s="1"/>
  <c r="AX237" i="55" s="1"/>
  <c r="AR242" i="55"/>
  <c r="AT242" i="55" s="1"/>
  <c r="AW242" i="55" s="1"/>
  <c r="AX242" i="55" s="1"/>
  <c r="AR238" i="55"/>
  <c r="AT238" i="55" s="1"/>
  <c r="AW238" i="55" s="1"/>
  <c r="AX238" i="55" s="1"/>
  <c r="AR234" i="55"/>
  <c r="AT234" i="55" s="1"/>
  <c r="AW234" i="55" s="1"/>
  <c r="AX234" i="55" s="1"/>
  <c r="AQ231" i="55"/>
  <c r="AO230" i="55"/>
  <c r="AQ230" i="55" l="1"/>
  <c r="AO229" i="55"/>
  <c r="AQ229" i="55" l="1"/>
  <c r="AO228" i="55"/>
  <c r="AQ228" i="55" l="1"/>
  <c r="AO227" i="55"/>
  <c r="AQ227" i="55" l="1"/>
  <c r="AO226" i="55"/>
  <c r="AQ226" i="55" l="1"/>
  <c r="AO225" i="55"/>
  <c r="AQ225" i="55" l="1"/>
  <c r="AO224" i="55"/>
  <c r="AQ224" i="55" l="1"/>
  <c r="AO223" i="55"/>
  <c r="AO222" i="55" l="1"/>
  <c r="AQ223" i="55"/>
  <c r="AQ222" i="55" l="1"/>
  <c r="AO221" i="55"/>
  <c r="AQ221" i="55" l="1"/>
  <c r="AO220" i="55"/>
  <c r="AQ220" i="55" l="1"/>
  <c r="AO219" i="55"/>
  <c r="AR232" i="55" l="1"/>
  <c r="AR228" i="55"/>
  <c r="AT228" i="55" s="1"/>
  <c r="AW228" i="55" s="1"/>
  <c r="AX228" i="55" s="1"/>
  <c r="AR224" i="55"/>
  <c r="AT224" i="55" s="1"/>
  <c r="AW224" i="55" s="1"/>
  <c r="AX224" i="55" s="1"/>
  <c r="AR231" i="55"/>
  <c r="AT231" i="55" s="1"/>
  <c r="AW231" i="55" s="1"/>
  <c r="AX231" i="55" s="1"/>
  <c r="AR227" i="55"/>
  <c r="AR223" i="55"/>
  <c r="AT223" i="55" s="1"/>
  <c r="AW223" i="55" s="1"/>
  <c r="AX223" i="55" s="1"/>
  <c r="AR225" i="55"/>
  <c r="AT225" i="55" s="1"/>
  <c r="AW225" i="55" s="1"/>
  <c r="AX225" i="55" s="1"/>
  <c r="AR229" i="55"/>
  <c r="AT229" i="55" s="1"/>
  <c r="AW229" i="55" s="1"/>
  <c r="AX229" i="55" s="1"/>
  <c r="AR226" i="55"/>
  <c r="AT226" i="55" s="1"/>
  <c r="AW226" i="55" s="1"/>
  <c r="AX226" i="55" s="1"/>
  <c r="AR230" i="55"/>
  <c r="AT230" i="55" s="1"/>
  <c r="AW230" i="55" s="1"/>
  <c r="AX230" i="55" s="1"/>
  <c r="AR222" i="55"/>
  <c r="AT222" i="55" s="1"/>
  <c r="AW222" i="55" s="1"/>
  <c r="AX222" i="55" s="1"/>
  <c r="AR221" i="55"/>
  <c r="AT221" i="55" s="1"/>
  <c r="AW221" i="55" s="1"/>
  <c r="AX221" i="55" s="1"/>
  <c r="AQ219" i="55"/>
  <c r="AO218" i="55"/>
  <c r="AT227" i="55"/>
  <c r="AW227" i="55" s="1"/>
  <c r="AX227" i="55" s="1"/>
  <c r="AT232" i="55"/>
  <c r="AW232" i="55" s="1"/>
  <c r="AX232" i="55" s="1"/>
  <c r="D21" i="47" s="1"/>
  <c r="C21" i="47" s="1"/>
  <c r="AQ218" i="55" l="1"/>
  <c r="AO217" i="55"/>
  <c r="AQ217" i="55" l="1"/>
  <c r="AO216" i="55"/>
  <c r="AQ216" i="55" l="1"/>
  <c r="AO215" i="55"/>
  <c r="AQ215" i="55" l="1"/>
  <c r="AO214" i="55"/>
  <c r="AQ214" i="55" l="1"/>
  <c r="AO213" i="55"/>
  <c r="AO212" i="55" l="1"/>
  <c r="AQ213" i="55"/>
  <c r="AQ212" i="55" l="1"/>
  <c r="AO211" i="55"/>
  <c r="AO210" i="55" l="1"/>
  <c r="AQ211" i="55"/>
  <c r="AQ210" i="55" l="1"/>
  <c r="AO209" i="55"/>
  <c r="AO208" i="55" l="1"/>
  <c r="AQ209" i="55"/>
  <c r="AQ208" i="55" l="1"/>
  <c r="AO207" i="55"/>
  <c r="AR220" i="55" l="1"/>
  <c r="AR216" i="55"/>
  <c r="AT216" i="55" s="1"/>
  <c r="AW216" i="55" s="1"/>
  <c r="AX216" i="55" s="1"/>
  <c r="AR212" i="55"/>
  <c r="AT212" i="55" s="1"/>
  <c r="AW212" i="55" s="1"/>
  <c r="AX212" i="55" s="1"/>
  <c r="AR219" i="55"/>
  <c r="AT219" i="55" s="1"/>
  <c r="AW219" i="55" s="1"/>
  <c r="AX219" i="55" s="1"/>
  <c r="AR215" i="55"/>
  <c r="AR211" i="55"/>
  <c r="AT211" i="55" s="1"/>
  <c r="AW211" i="55" s="1"/>
  <c r="AX211" i="55" s="1"/>
  <c r="AR217" i="55"/>
  <c r="AT217" i="55" s="1"/>
  <c r="AW217" i="55" s="1"/>
  <c r="AX217" i="55" s="1"/>
  <c r="AR209" i="55"/>
  <c r="AT209" i="55" s="1"/>
  <c r="AW209" i="55" s="1"/>
  <c r="AX209" i="55" s="1"/>
  <c r="AR213" i="55"/>
  <c r="AT213" i="55" s="1"/>
  <c r="AW213" i="55" s="1"/>
  <c r="AX213" i="55" s="1"/>
  <c r="AR214" i="55"/>
  <c r="AT214" i="55" s="1"/>
  <c r="AW214" i="55" s="1"/>
  <c r="AX214" i="55" s="1"/>
  <c r="AR218" i="55"/>
  <c r="AT218" i="55" s="1"/>
  <c r="AW218" i="55" s="1"/>
  <c r="AX218" i="55" s="1"/>
  <c r="AR210" i="55"/>
  <c r="AT210" i="55" s="1"/>
  <c r="AW210" i="55" s="1"/>
  <c r="AX210" i="55" s="1"/>
  <c r="AO206" i="55"/>
  <c r="AQ207" i="55"/>
  <c r="AT215" i="55"/>
  <c r="AW215" i="55" s="1"/>
  <c r="AX215" i="55" s="1"/>
  <c r="AT220" i="55"/>
  <c r="AW220" i="55" s="1"/>
  <c r="AX220" i="55" s="1"/>
  <c r="D20" i="47" s="1"/>
  <c r="C20" i="47" s="1"/>
  <c r="AQ206" i="55" l="1"/>
  <c r="AO205" i="55"/>
  <c r="AQ205" i="55" l="1"/>
  <c r="AO204" i="55"/>
  <c r="AQ204" i="55" l="1"/>
  <c r="AO203" i="55"/>
  <c r="AQ203" i="55" l="1"/>
  <c r="AO202" i="55"/>
  <c r="AQ202" i="55" l="1"/>
  <c r="AO201" i="55"/>
  <c r="AO200" i="55" l="1"/>
  <c r="AQ201" i="55"/>
  <c r="AQ200" i="55" l="1"/>
  <c r="AO199" i="55"/>
  <c r="AQ199" i="55" l="1"/>
  <c r="AO198" i="55"/>
  <c r="AQ198" i="55" l="1"/>
  <c r="AO197" i="55"/>
  <c r="AQ197" i="55" l="1"/>
  <c r="AO196" i="55"/>
  <c r="AQ196" i="55" l="1"/>
  <c r="AO195" i="55"/>
  <c r="AR208" i="55" l="1"/>
  <c r="AR204" i="55"/>
  <c r="AT204" i="55" s="1"/>
  <c r="AW204" i="55" s="1"/>
  <c r="AX204" i="55" s="1"/>
  <c r="AR200" i="55"/>
  <c r="AT200" i="55" s="1"/>
  <c r="AW200" i="55" s="1"/>
  <c r="AX200" i="55" s="1"/>
  <c r="AR207" i="55"/>
  <c r="AT207" i="55" s="1"/>
  <c r="AW207" i="55" s="1"/>
  <c r="AX207" i="55" s="1"/>
  <c r="AR203" i="55"/>
  <c r="AR199" i="55"/>
  <c r="AT199" i="55" s="1"/>
  <c r="AW199" i="55" s="1"/>
  <c r="AX199" i="55" s="1"/>
  <c r="AR201" i="55"/>
  <c r="AT201" i="55" s="1"/>
  <c r="AW201" i="55" s="1"/>
  <c r="AX201" i="55" s="1"/>
  <c r="AR202" i="55"/>
  <c r="AT202" i="55" s="1"/>
  <c r="AW202" i="55" s="1"/>
  <c r="AX202" i="55" s="1"/>
  <c r="AR206" i="55"/>
  <c r="AT206" i="55" s="1"/>
  <c r="AW206" i="55" s="1"/>
  <c r="AX206" i="55" s="1"/>
  <c r="AR198" i="55"/>
  <c r="AT198" i="55" s="1"/>
  <c r="AW198" i="55" s="1"/>
  <c r="AX198" i="55" s="1"/>
  <c r="AR205" i="55"/>
  <c r="AT205" i="55" s="1"/>
  <c r="AW205" i="55" s="1"/>
  <c r="AX205" i="55" s="1"/>
  <c r="AR197" i="55"/>
  <c r="AT197" i="55" s="1"/>
  <c r="AW197" i="55" s="1"/>
  <c r="AX197" i="55" s="1"/>
  <c r="AQ195" i="55"/>
  <c r="AO194" i="55"/>
  <c r="AT208" i="55"/>
  <c r="AW208" i="55" s="1"/>
  <c r="AX208" i="55" s="1"/>
  <c r="D19" i="47" s="1"/>
  <c r="C19" i="47" s="1"/>
  <c r="AT203" i="55"/>
  <c r="AW203" i="55" s="1"/>
  <c r="AX203" i="55" s="1"/>
  <c r="AQ194" i="55" l="1"/>
  <c r="AO193" i="55"/>
  <c r="AQ193" i="55" l="1"/>
  <c r="AO192" i="55"/>
  <c r="AQ192" i="55" l="1"/>
  <c r="AO191" i="55"/>
  <c r="AQ191" i="55" l="1"/>
  <c r="AO190" i="55"/>
  <c r="AQ190" i="55" l="1"/>
  <c r="AO189" i="55"/>
  <c r="AQ189" i="55" l="1"/>
  <c r="AO188" i="55"/>
  <c r="AQ188" i="55" l="1"/>
  <c r="AO187" i="55"/>
  <c r="AQ187" i="55" l="1"/>
  <c r="AO186" i="55"/>
  <c r="AQ186" i="55" l="1"/>
  <c r="AO185" i="55"/>
  <c r="AQ185" i="55" l="1"/>
  <c r="AO184" i="55"/>
  <c r="AQ184" i="55" l="1"/>
  <c r="AO183" i="55"/>
  <c r="AR196" i="55" l="1"/>
  <c r="AR192" i="55"/>
  <c r="AT192" i="55" s="1"/>
  <c r="AW192" i="55" s="1"/>
  <c r="AX192" i="55" s="1"/>
  <c r="AR188" i="55"/>
  <c r="AT188" i="55" s="1"/>
  <c r="AW188" i="55" s="1"/>
  <c r="AX188" i="55" s="1"/>
  <c r="AR195" i="55"/>
  <c r="AT195" i="55" s="1"/>
  <c r="AW195" i="55" s="1"/>
  <c r="AX195" i="55" s="1"/>
  <c r="AR191" i="55"/>
  <c r="AR187" i="55"/>
  <c r="AT187" i="55" s="1"/>
  <c r="AW187" i="55" s="1"/>
  <c r="AX187" i="55" s="1"/>
  <c r="AR193" i="55"/>
  <c r="AT193" i="55" s="1"/>
  <c r="AW193" i="55" s="1"/>
  <c r="AX193" i="55" s="1"/>
  <c r="AR185" i="55"/>
  <c r="AT185" i="55" s="1"/>
  <c r="AW185" i="55" s="1"/>
  <c r="AX185" i="55" s="1"/>
  <c r="AR189" i="55"/>
  <c r="AT189" i="55" s="1"/>
  <c r="AW189" i="55" s="1"/>
  <c r="AX189" i="55" s="1"/>
  <c r="AR186" i="55"/>
  <c r="AT186" i="55" s="1"/>
  <c r="AW186" i="55" s="1"/>
  <c r="AX186" i="55" s="1"/>
  <c r="AR190" i="55"/>
  <c r="AT190" i="55" s="1"/>
  <c r="AW190" i="55" s="1"/>
  <c r="AX190" i="55" s="1"/>
  <c r="AR194" i="55"/>
  <c r="AT194" i="55" s="1"/>
  <c r="AW194" i="55" s="1"/>
  <c r="AX194" i="55" s="1"/>
  <c r="AQ183" i="55"/>
  <c r="AO182" i="55"/>
  <c r="AT191" i="55"/>
  <c r="AW191" i="55" s="1"/>
  <c r="AX191" i="55" s="1"/>
  <c r="AT196" i="55"/>
  <c r="AW196" i="55" s="1"/>
  <c r="AX196" i="55" s="1"/>
  <c r="D18" i="47" s="1"/>
  <c r="C18" i="47" s="1"/>
  <c r="AQ182" i="55" l="1"/>
  <c r="AO181" i="55"/>
  <c r="AQ181" i="55" l="1"/>
  <c r="AO180" i="55"/>
  <c r="AQ180" i="55" l="1"/>
  <c r="AO179" i="55"/>
  <c r="AQ179" i="55" l="1"/>
  <c r="AO178" i="55"/>
  <c r="AQ178" i="55" l="1"/>
  <c r="AO177" i="55"/>
  <c r="AQ177" i="55" l="1"/>
  <c r="AO176" i="55"/>
  <c r="AQ176" i="55" l="1"/>
  <c r="AO175" i="55"/>
  <c r="AQ175" i="55" l="1"/>
  <c r="AO174" i="55"/>
  <c r="AQ174" i="55" l="1"/>
  <c r="AO173" i="55"/>
  <c r="AQ173" i="55" l="1"/>
  <c r="AO172" i="55"/>
  <c r="AQ172" i="55" l="1"/>
  <c r="AO171" i="55"/>
  <c r="AR184" i="55" l="1"/>
  <c r="AR180" i="55"/>
  <c r="AR176" i="55"/>
  <c r="AT176" i="55" s="1"/>
  <c r="AW176" i="55" s="1"/>
  <c r="AX176" i="55" s="1"/>
  <c r="AR183" i="55"/>
  <c r="AT183" i="55" s="1"/>
  <c r="AW183" i="55" s="1"/>
  <c r="AX183" i="55" s="1"/>
  <c r="AR179" i="55"/>
  <c r="AR175" i="55"/>
  <c r="AR177" i="55"/>
  <c r="AT177" i="55" s="1"/>
  <c r="AW177" i="55" s="1"/>
  <c r="AX177" i="55" s="1"/>
  <c r="AR173" i="55"/>
  <c r="AT173" i="55" s="1"/>
  <c r="AW173" i="55" s="1"/>
  <c r="AX173" i="55" s="1"/>
  <c r="AR178" i="55"/>
  <c r="AT178" i="55" s="1"/>
  <c r="AW178" i="55" s="1"/>
  <c r="AX178" i="55" s="1"/>
  <c r="AR182" i="55"/>
  <c r="AT182" i="55" s="1"/>
  <c r="AW182" i="55" s="1"/>
  <c r="AX182" i="55" s="1"/>
  <c r="AR174" i="55"/>
  <c r="AT174" i="55" s="1"/>
  <c r="AW174" i="55" s="1"/>
  <c r="AX174" i="55" s="1"/>
  <c r="AR181" i="55"/>
  <c r="AT181" i="55" s="1"/>
  <c r="AW181" i="55" s="1"/>
  <c r="AX181" i="55" s="1"/>
  <c r="AQ171" i="55"/>
  <c r="AO170" i="55"/>
  <c r="AT184" i="55"/>
  <c r="AW184" i="55" s="1"/>
  <c r="AX184" i="55" s="1"/>
  <c r="D17" i="47" s="1"/>
  <c r="C17" i="47" s="1"/>
  <c r="AT179" i="55"/>
  <c r="AW179" i="55" s="1"/>
  <c r="AX179" i="55" s="1"/>
  <c r="AT180" i="55"/>
  <c r="AW180" i="55" s="1"/>
  <c r="AX180" i="55" s="1"/>
  <c r="AT175" i="55"/>
  <c r="AW175" i="55" s="1"/>
  <c r="AX175" i="55" s="1"/>
  <c r="AQ170" i="55" l="1"/>
  <c r="AO169" i="55"/>
  <c r="AQ169" i="55" l="1"/>
  <c r="AO168" i="55"/>
  <c r="AQ168" i="55" l="1"/>
  <c r="AO167" i="55"/>
  <c r="AQ167" i="55" l="1"/>
  <c r="AO166" i="55"/>
  <c r="AQ166" i="55" l="1"/>
  <c r="AO165" i="55"/>
  <c r="AQ165" i="55" l="1"/>
  <c r="AO164" i="55"/>
  <c r="AQ164" i="55" l="1"/>
  <c r="AO163" i="55"/>
  <c r="AQ163" i="55" l="1"/>
  <c r="AO162" i="55"/>
  <c r="AQ162" i="55" l="1"/>
  <c r="AO161" i="55"/>
  <c r="AQ161" i="55" l="1"/>
  <c r="AO160" i="55"/>
  <c r="AQ160" i="55" l="1"/>
  <c r="AO159" i="55"/>
  <c r="AR172" i="55" l="1"/>
  <c r="AR168" i="55"/>
  <c r="AR164" i="55"/>
  <c r="AT164" i="55" s="1"/>
  <c r="AW164" i="55" s="1"/>
  <c r="AX164" i="55" s="1"/>
  <c r="AR171" i="55"/>
  <c r="AT171" i="55" s="1"/>
  <c r="AW171" i="55" s="1"/>
  <c r="AX171" i="55" s="1"/>
  <c r="AR167" i="55"/>
  <c r="AR163" i="55"/>
  <c r="AR169" i="55"/>
  <c r="AT169" i="55" s="1"/>
  <c r="AW169" i="55" s="1"/>
  <c r="AX169" i="55" s="1"/>
  <c r="AR161" i="55"/>
  <c r="AT161" i="55" s="1"/>
  <c r="AW161" i="55" s="1"/>
  <c r="AX161" i="55" s="1"/>
  <c r="AR166" i="55"/>
  <c r="AT166" i="55" s="1"/>
  <c r="AW166" i="55" s="1"/>
  <c r="AX166" i="55" s="1"/>
  <c r="AR165" i="55"/>
  <c r="AT165" i="55" s="1"/>
  <c r="AW165" i="55" s="1"/>
  <c r="AX165" i="55" s="1"/>
  <c r="AR170" i="55"/>
  <c r="AT170" i="55" s="1"/>
  <c r="AW170" i="55" s="1"/>
  <c r="AX170" i="55" s="1"/>
  <c r="AR162" i="55"/>
  <c r="AT162" i="55" s="1"/>
  <c r="AW162" i="55" s="1"/>
  <c r="AX162" i="55" s="1"/>
  <c r="AQ159" i="55"/>
  <c r="AO158" i="55"/>
  <c r="AT168" i="55"/>
  <c r="AW168" i="55" s="1"/>
  <c r="AX168" i="55" s="1"/>
  <c r="AT167" i="55"/>
  <c r="AW167" i="55" s="1"/>
  <c r="AX167" i="55" s="1"/>
  <c r="AT172" i="55"/>
  <c r="AW172" i="55" s="1"/>
  <c r="AX172" i="55" s="1"/>
  <c r="D16" i="47" s="1"/>
  <c r="C16" i="47" s="1"/>
  <c r="AT163" i="55"/>
  <c r="AW163" i="55" s="1"/>
  <c r="AX163" i="55" s="1"/>
  <c r="AQ158" i="55" l="1"/>
  <c r="AO157" i="55"/>
  <c r="AO156" i="55" l="1"/>
  <c r="AQ157" i="55"/>
  <c r="AQ156" i="55" l="1"/>
  <c r="AO155" i="55"/>
  <c r="AQ155" i="55" l="1"/>
  <c r="AO154" i="55"/>
  <c r="AQ154" i="55" l="1"/>
  <c r="AO153" i="55"/>
  <c r="AQ153" i="55" l="1"/>
  <c r="AO152" i="55"/>
  <c r="AQ152" i="55" l="1"/>
  <c r="AO151" i="55"/>
  <c r="AQ151" i="55" l="1"/>
  <c r="AO150" i="55"/>
  <c r="AQ150" i="55" l="1"/>
  <c r="AO149" i="55"/>
  <c r="AQ149" i="55" l="1"/>
  <c r="AO148" i="55"/>
  <c r="AQ148" i="55" l="1"/>
  <c r="AO147" i="55"/>
  <c r="AR160" i="55" l="1"/>
  <c r="AR156" i="55"/>
  <c r="AT156" i="55" s="1"/>
  <c r="AW156" i="55" s="1"/>
  <c r="AX156" i="55" s="1"/>
  <c r="AR152" i="55"/>
  <c r="AT152" i="55" s="1"/>
  <c r="AW152" i="55" s="1"/>
  <c r="AX152" i="55" s="1"/>
  <c r="AR159" i="55"/>
  <c r="AT159" i="55" s="1"/>
  <c r="AW159" i="55" s="1"/>
  <c r="AX159" i="55" s="1"/>
  <c r="AR155" i="55"/>
  <c r="AR151" i="55"/>
  <c r="AT151" i="55" s="1"/>
  <c r="AW151" i="55" s="1"/>
  <c r="AX151" i="55" s="1"/>
  <c r="AR153" i="55"/>
  <c r="AT153" i="55" s="1"/>
  <c r="AW153" i="55" s="1"/>
  <c r="AX153" i="55" s="1"/>
  <c r="AR157" i="55"/>
  <c r="AT157" i="55" s="1"/>
  <c r="AW157" i="55" s="1"/>
  <c r="AX157" i="55" s="1"/>
  <c r="AR154" i="55"/>
  <c r="AT154" i="55" s="1"/>
  <c r="AW154" i="55" s="1"/>
  <c r="AX154" i="55" s="1"/>
  <c r="AR158" i="55"/>
  <c r="AT158" i="55" s="1"/>
  <c r="AW158" i="55" s="1"/>
  <c r="AX158" i="55" s="1"/>
  <c r="AR150" i="55"/>
  <c r="AT150" i="55" s="1"/>
  <c r="AW150" i="55" s="1"/>
  <c r="AX150" i="55" s="1"/>
  <c r="AR149" i="55"/>
  <c r="AT149" i="55" s="1"/>
  <c r="AW149" i="55" s="1"/>
  <c r="AX149" i="55" s="1"/>
  <c r="AQ147" i="55"/>
  <c r="AO146" i="55"/>
  <c r="AT155" i="55"/>
  <c r="AW155" i="55" s="1"/>
  <c r="AX155" i="55" s="1"/>
  <c r="AT160" i="55"/>
  <c r="AW160" i="55" s="1"/>
  <c r="AX160" i="55" s="1"/>
  <c r="D15" i="47" s="1"/>
  <c r="C15" i="47" s="1"/>
  <c r="AQ146" i="55" l="1"/>
  <c r="AO145" i="55"/>
  <c r="AQ145" i="55" l="1"/>
  <c r="AO144" i="55"/>
  <c r="AQ144" i="55" l="1"/>
  <c r="AO143" i="55"/>
  <c r="AQ143" i="55" l="1"/>
  <c r="AO142" i="55"/>
  <c r="AQ142" i="55" l="1"/>
  <c r="AO141" i="55"/>
  <c r="AQ141" i="55" l="1"/>
  <c r="AO140" i="55"/>
  <c r="AQ140" i="55" l="1"/>
  <c r="AO139" i="55"/>
  <c r="AQ139" i="55" l="1"/>
  <c r="AO138" i="55"/>
  <c r="AQ138" i="55" l="1"/>
  <c r="AO137" i="55"/>
  <c r="AQ137" i="55" l="1"/>
  <c r="AO136" i="55"/>
  <c r="AQ136" i="55" l="1"/>
  <c r="AO135" i="55"/>
  <c r="AR148" i="55" l="1"/>
  <c r="AR144" i="55"/>
  <c r="AR140" i="55"/>
  <c r="AT140" i="55" s="1"/>
  <c r="AW140" i="55" s="1"/>
  <c r="AX140" i="55" s="1"/>
  <c r="AR147" i="55"/>
  <c r="AT147" i="55" s="1"/>
  <c r="AW147" i="55" s="1"/>
  <c r="AX147" i="55" s="1"/>
  <c r="AR143" i="55"/>
  <c r="AR139" i="55"/>
  <c r="AR145" i="55"/>
  <c r="AT145" i="55" s="1"/>
  <c r="AW145" i="55" s="1"/>
  <c r="AX145" i="55" s="1"/>
  <c r="AR137" i="55"/>
  <c r="AT137" i="55" s="1"/>
  <c r="AW137" i="55" s="1"/>
  <c r="AX137" i="55" s="1"/>
  <c r="AR141" i="55"/>
  <c r="AT141" i="55" s="1"/>
  <c r="AW141" i="55" s="1"/>
  <c r="AX141" i="55" s="1"/>
  <c r="AR146" i="55"/>
  <c r="AT146" i="55" s="1"/>
  <c r="AW146" i="55" s="1"/>
  <c r="AX146" i="55" s="1"/>
  <c r="AR142" i="55"/>
  <c r="AT142" i="55" s="1"/>
  <c r="AW142" i="55" s="1"/>
  <c r="AX142" i="55" s="1"/>
  <c r="AR138" i="55"/>
  <c r="AT138" i="55" s="1"/>
  <c r="AW138" i="55" s="1"/>
  <c r="AX138" i="55" s="1"/>
  <c r="AQ135" i="55"/>
  <c r="AO134" i="55"/>
  <c r="AT139" i="55"/>
  <c r="AW139" i="55" s="1"/>
  <c r="AX139" i="55" s="1"/>
  <c r="AT143" i="55"/>
  <c r="AW143" i="55" s="1"/>
  <c r="AX143" i="55" s="1"/>
  <c r="AT144" i="55"/>
  <c r="AW144" i="55" s="1"/>
  <c r="AX144" i="55" s="1"/>
  <c r="AT148" i="55"/>
  <c r="AW148" i="55" s="1"/>
  <c r="AX148" i="55" s="1"/>
  <c r="D14" i="47" s="1"/>
  <c r="C14" i="47" s="1"/>
  <c r="AQ134" i="55" l="1"/>
  <c r="AO133" i="55"/>
  <c r="AQ133" i="55" l="1"/>
  <c r="AO132" i="55"/>
  <c r="AO131" i="55" l="1"/>
  <c r="AQ132" i="55"/>
  <c r="AQ131" i="55" l="1"/>
  <c r="AO130" i="55"/>
  <c r="AQ130" i="55" l="1"/>
  <c r="AO129" i="55"/>
  <c r="AQ129" i="55" l="1"/>
  <c r="AO128" i="55"/>
  <c r="AO127" i="55" l="1"/>
  <c r="AQ128" i="55"/>
  <c r="AQ127" i="55" l="1"/>
  <c r="AO126" i="55"/>
  <c r="AQ126" i="55" l="1"/>
  <c r="AO125" i="55"/>
  <c r="AQ125" i="55" l="1"/>
  <c r="AO124" i="55"/>
  <c r="AQ124" i="55" l="1"/>
  <c r="AO123" i="55"/>
  <c r="AR136" i="55" l="1"/>
  <c r="AR132" i="55"/>
  <c r="AT132" i="55" s="1"/>
  <c r="AW132" i="55" s="1"/>
  <c r="AX132" i="55" s="1"/>
  <c r="AR128" i="55"/>
  <c r="AT128" i="55" s="1"/>
  <c r="AW128" i="55" s="1"/>
  <c r="AX128" i="55" s="1"/>
  <c r="AR135" i="55"/>
  <c r="AT135" i="55" s="1"/>
  <c r="AW135" i="55" s="1"/>
  <c r="AX135" i="55" s="1"/>
  <c r="AR131" i="55"/>
  <c r="AR127" i="55"/>
  <c r="AT127" i="55" s="1"/>
  <c r="AW127" i="55" s="1"/>
  <c r="AX127" i="55" s="1"/>
  <c r="AR129" i="55"/>
  <c r="AT129" i="55" s="1"/>
  <c r="AW129" i="55" s="1"/>
  <c r="AX129" i="55" s="1"/>
  <c r="AR133" i="55"/>
  <c r="AT133" i="55" s="1"/>
  <c r="AW133" i="55" s="1"/>
  <c r="AX133" i="55" s="1"/>
  <c r="AR134" i="55"/>
  <c r="AT134" i="55" s="1"/>
  <c r="AW134" i="55" s="1"/>
  <c r="AX134" i="55" s="1"/>
  <c r="AR126" i="55"/>
  <c r="AT126" i="55" s="1"/>
  <c r="AW126" i="55" s="1"/>
  <c r="AX126" i="55" s="1"/>
  <c r="AR125" i="55"/>
  <c r="AT125" i="55" s="1"/>
  <c r="AW125" i="55" s="1"/>
  <c r="AX125" i="55" s="1"/>
  <c r="AR130" i="55"/>
  <c r="AT130" i="55" s="1"/>
  <c r="AW130" i="55" s="1"/>
  <c r="AX130" i="55" s="1"/>
  <c r="AQ123" i="55"/>
  <c r="AO122" i="55"/>
  <c r="AT131" i="55"/>
  <c r="AW131" i="55" s="1"/>
  <c r="AX131" i="55" s="1"/>
  <c r="AT136" i="55"/>
  <c r="AW136" i="55" s="1"/>
  <c r="AX136" i="55" s="1"/>
  <c r="D13" i="47" s="1"/>
  <c r="C13" i="47" s="1"/>
  <c r="AQ122" i="55" l="1"/>
  <c r="AO121" i="55"/>
  <c r="AQ121" i="55" l="1"/>
  <c r="AO120" i="55"/>
  <c r="AO119" i="55" l="1"/>
  <c r="AQ120" i="55"/>
  <c r="AQ119" i="55" l="1"/>
  <c r="AO118" i="55"/>
  <c r="AQ118" i="55" l="1"/>
  <c r="AO117" i="55"/>
  <c r="AQ117" i="55" l="1"/>
  <c r="AO116" i="55"/>
  <c r="AQ116" i="55" l="1"/>
  <c r="AO115" i="55"/>
  <c r="AQ115" i="55" l="1"/>
  <c r="AO114" i="55"/>
  <c r="AQ114" i="55" l="1"/>
  <c r="AO113" i="55"/>
  <c r="AQ113" i="55" l="1"/>
  <c r="AO112" i="55"/>
  <c r="AQ112" i="55" l="1"/>
  <c r="AO111" i="55"/>
  <c r="AR124" i="55" l="1"/>
  <c r="AR120" i="55"/>
  <c r="AT120" i="55" s="1"/>
  <c r="AW120" i="55" s="1"/>
  <c r="AX120" i="55" s="1"/>
  <c r="AR116" i="55"/>
  <c r="AT116" i="55" s="1"/>
  <c r="AW116" i="55" s="1"/>
  <c r="AX116" i="55" s="1"/>
  <c r="AR123" i="55"/>
  <c r="AT123" i="55" s="1"/>
  <c r="AW123" i="55" s="1"/>
  <c r="AX123" i="55" s="1"/>
  <c r="AR119" i="55"/>
  <c r="AR115" i="55"/>
  <c r="AT115" i="55" s="1"/>
  <c r="AW115" i="55" s="1"/>
  <c r="AX115" i="55" s="1"/>
  <c r="AR121" i="55"/>
  <c r="AT121" i="55" s="1"/>
  <c r="AW121" i="55" s="1"/>
  <c r="AX121" i="55" s="1"/>
  <c r="AR113" i="55"/>
  <c r="AT113" i="55" s="1"/>
  <c r="AW113" i="55" s="1"/>
  <c r="AX113" i="55" s="1"/>
  <c r="AR117" i="55"/>
  <c r="AT117" i="55" s="1"/>
  <c r="AW117" i="55" s="1"/>
  <c r="AX117" i="55" s="1"/>
  <c r="AR122" i="55"/>
  <c r="AT122" i="55" s="1"/>
  <c r="AW122" i="55" s="1"/>
  <c r="AX122" i="55" s="1"/>
  <c r="AR114" i="55"/>
  <c r="AT114" i="55" s="1"/>
  <c r="AW114" i="55" s="1"/>
  <c r="AX114" i="55" s="1"/>
  <c r="AR118" i="55"/>
  <c r="AT118" i="55" s="1"/>
  <c r="AW118" i="55" s="1"/>
  <c r="AX118" i="55" s="1"/>
  <c r="AQ111" i="55"/>
  <c r="AO110" i="55"/>
  <c r="AT124" i="55"/>
  <c r="AW124" i="55" s="1"/>
  <c r="AX124" i="55" s="1"/>
  <c r="D12" i="47" s="1"/>
  <c r="C12" i="47" s="1"/>
  <c r="AT119" i="55"/>
  <c r="AW119" i="55" s="1"/>
  <c r="AX119" i="55" s="1"/>
  <c r="AQ110" i="55" l="1"/>
  <c r="AO109" i="55"/>
  <c r="AQ109" i="55" l="1"/>
  <c r="AO108" i="55"/>
  <c r="AO107" i="55" l="1"/>
  <c r="AQ108" i="55"/>
  <c r="AQ107" i="55" l="1"/>
  <c r="AO106" i="55"/>
  <c r="AQ106" i="55" l="1"/>
  <c r="AO105" i="55"/>
  <c r="AQ105" i="55" l="1"/>
  <c r="AO104" i="55"/>
  <c r="AQ104" i="55" l="1"/>
  <c r="AO103" i="55"/>
  <c r="AQ103" i="55" l="1"/>
  <c r="AO102" i="55"/>
  <c r="AQ102" i="55" l="1"/>
  <c r="AO101" i="55"/>
  <c r="AQ101" i="55" l="1"/>
  <c r="AO100" i="55"/>
  <c r="AQ100" i="55" l="1"/>
  <c r="AO99" i="55"/>
  <c r="AR112" i="55" l="1"/>
  <c r="AR108" i="55"/>
  <c r="AT108" i="55" s="1"/>
  <c r="AW108" i="55" s="1"/>
  <c r="AX108" i="55" s="1"/>
  <c r="AR104" i="55"/>
  <c r="AT104" i="55" s="1"/>
  <c r="AW104" i="55" s="1"/>
  <c r="AX104" i="55" s="1"/>
  <c r="AR111" i="55"/>
  <c r="AT111" i="55" s="1"/>
  <c r="AW111" i="55" s="1"/>
  <c r="AX111" i="55" s="1"/>
  <c r="AR107" i="55"/>
  <c r="AR103" i="55"/>
  <c r="AT103" i="55" s="1"/>
  <c r="AW103" i="55" s="1"/>
  <c r="AX103" i="55" s="1"/>
  <c r="AR105" i="55"/>
  <c r="AT105" i="55" s="1"/>
  <c r="AW105" i="55" s="1"/>
  <c r="AX105" i="55" s="1"/>
  <c r="AR110" i="55"/>
  <c r="AT110" i="55" s="1"/>
  <c r="AW110" i="55" s="1"/>
  <c r="AX110" i="55" s="1"/>
  <c r="AR102" i="55"/>
  <c r="AT102" i="55" s="1"/>
  <c r="AW102" i="55" s="1"/>
  <c r="AX102" i="55" s="1"/>
  <c r="AR109" i="55"/>
  <c r="AT109" i="55" s="1"/>
  <c r="AW109" i="55" s="1"/>
  <c r="AX109" i="55" s="1"/>
  <c r="AR101" i="55"/>
  <c r="AT101" i="55" s="1"/>
  <c r="AW101" i="55" s="1"/>
  <c r="AX101" i="55" s="1"/>
  <c r="AR106" i="55"/>
  <c r="AT106" i="55" s="1"/>
  <c r="AW106" i="55" s="1"/>
  <c r="AX106" i="55" s="1"/>
  <c r="AQ99" i="55"/>
  <c r="AO98" i="55"/>
  <c r="AT107" i="55"/>
  <c r="AW107" i="55" s="1"/>
  <c r="AX107" i="55" s="1"/>
  <c r="AT112" i="55"/>
  <c r="AW112" i="55" s="1"/>
  <c r="AX112" i="55" s="1"/>
  <c r="D11" i="47" s="1"/>
  <c r="C11" i="47" s="1"/>
  <c r="AQ98" i="55" l="1"/>
  <c r="AO97" i="55"/>
  <c r="AQ97" i="55" l="1"/>
  <c r="AO96" i="55"/>
  <c r="AQ96" i="55" l="1"/>
  <c r="AO95" i="55"/>
  <c r="AQ95" i="55" l="1"/>
  <c r="AO94" i="55"/>
  <c r="AQ94" i="55" l="1"/>
  <c r="AO93" i="55"/>
  <c r="AQ93" i="55" l="1"/>
  <c r="AO92" i="55"/>
  <c r="AQ92" i="55" l="1"/>
  <c r="AO91" i="55"/>
  <c r="AQ91" i="55" l="1"/>
  <c r="AO90" i="55"/>
  <c r="AO89" i="55" l="1"/>
  <c r="AQ90" i="55"/>
  <c r="AQ89" i="55" l="1"/>
  <c r="AO88" i="55"/>
  <c r="AO87" i="55" l="1"/>
  <c r="AQ88" i="55"/>
  <c r="AR100" i="55" l="1"/>
  <c r="AR96" i="55"/>
  <c r="AT96" i="55" s="1"/>
  <c r="AW96" i="55" s="1"/>
  <c r="AX96" i="55" s="1"/>
  <c r="AR92" i="55"/>
  <c r="AT92" i="55" s="1"/>
  <c r="AW92" i="55" s="1"/>
  <c r="AX92" i="55" s="1"/>
  <c r="AR99" i="55"/>
  <c r="AT99" i="55" s="1"/>
  <c r="AW99" i="55" s="1"/>
  <c r="AX99" i="55" s="1"/>
  <c r="AR95" i="55"/>
  <c r="AR91" i="55"/>
  <c r="AT91" i="55" s="1"/>
  <c r="AW91" i="55" s="1"/>
  <c r="AX91" i="55" s="1"/>
  <c r="AR97" i="55"/>
  <c r="AT97" i="55" s="1"/>
  <c r="AW97" i="55" s="1"/>
  <c r="AX97" i="55" s="1"/>
  <c r="AR89" i="55"/>
  <c r="AT89" i="55" s="1"/>
  <c r="AW89" i="55" s="1"/>
  <c r="AX89" i="55" s="1"/>
  <c r="AR93" i="55"/>
  <c r="AT93" i="55" s="1"/>
  <c r="AW93" i="55" s="1"/>
  <c r="AX93" i="55" s="1"/>
  <c r="AR90" i="55"/>
  <c r="AT90" i="55" s="1"/>
  <c r="AW90" i="55" s="1"/>
  <c r="AX90" i="55" s="1"/>
  <c r="AR94" i="55"/>
  <c r="AT94" i="55" s="1"/>
  <c r="AW94" i="55" s="1"/>
  <c r="AX94" i="55" s="1"/>
  <c r="AR98" i="55"/>
  <c r="AT98" i="55" s="1"/>
  <c r="AW98" i="55" s="1"/>
  <c r="AX98" i="55" s="1"/>
  <c r="AT100" i="55"/>
  <c r="AW100" i="55" s="1"/>
  <c r="AX100" i="55" s="1"/>
  <c r="D10" i="47" s="1"/>
  <c r="C10" i="47" s="1"/>
  <c r="AT95" i="55"/>
  <c r="AW95" i="55" s="1"/>
  <c r="AX95" i="55" s="1"/>
  <c r="AO86" i="55"/>
  <c r="AQ87" i="55"/>
  <c r="AQ86" i="55" l="1"/>
  <c r="AO85" i="55"/>
  <c r="AQ85" i="55" l="1"/>
  <c r="AO84" i="55"/>
  <c r="AQ84" i="55" l="1"/>
  <c r="AO83" i="55"/>
  <c r="AQ83" i="55" l="1"/>
  <c r="AO82" i="55"/>
  <c r="AQ82" i="55" l="1"/>
  <c r="AO81" i="55"/>
  <c r="AO80" i="55" l="1"/>
  <c r="AQ81" i="55"/>
  <c r="AQ80" i="55" l="1"/>
  <c r="AO79" i="55"/>
  <c r="AQ79" i="55" l="1"/>
  <c r="AO78" i="55"/>
  <c r="AQ78" i="55" l="1"/>
  <c r="AO77" i="55"/>
  <c r="AQ77" i="55" l="1"/>
  <c r="AO76" i="55"/>
  <c r="AQ76" i="55" l="1"/>
  <c r="AO75" i="55"/>
  <c r="AR88" i="55" l="1"/>
  <c r="AR84" i="55"/>
  <c r="AT84" i="55" s="1"/>
  <c r="AW84" i="55" s="1"/>
  <c r="AX84" i="55" s="1"/>
  <c r="AR80" i="55"/>
  <c r="AT80" i="55" s="1"/>
  <c r="AW80" i="55" s="1"/>
  <c r="AX80" i="55" s="1"/>
  <c r="AR87" i="55"/>
  <c r="AT87" i="55" s="1"/>
  <c r="AW87" i="55" s="1"/>
  <c r="AX87" i="55" s="1"/>
  <c r="AR83" i="55"/>
  <c r="AR79" i="55"/>
  <c r="AT79" i="55" s="1"/>
  <c r="AW79" i="55" s="1"/>
  <c r="AX79" i="55" s="1"/>
  <c r="AR81" i="55"/>
  <c r="AT81" i="55" s="1"/>
  <c r="AW81" i="55" s="1"/>
  <c r="AX81" i="55" s="1"/>
  <c r="AR85" i="55"/>
  <c r="AT85" i="55" s="1"/>
  <c r="AW85" i="55" s="1"/>
  <c r="AX85" i="55" s="1"/>
  <c r="AR86" i="55"/>
  <c r="AT86" i="55" s="1"/>
  <c r="AW86" i="55" s="1"/>
  <c r="AX86" i="55" s="1"/>
  <c r="AR78" i="55"/>
  <c r="AT78" i="55" s="1"/>
  <c r="AW78" i="55" s="1"/>
  <c r="AX78" i="55" s="1"/>
  <c r="AR77" i="55"/>
  <c r="AT77" i="55" s="1"/>
  <c r="AW77" i="55" s="1"/>
  <c r="AX77" i="55" s="1"/>
  <c r="AR82" i="55"/>
  <c r="AT82" i="55" s="1"/>
  <c r="AW82" i="55" s="1"/>
  <c r="AX82" i="55" s="1"/>
  <c r="AO74" i="55"/>
  <c r="AQ75" i="55"/>
  <c r="AT88" i="55"/>
  <c r="AW88" i="55" s="1"/>
  <c r="AX88" i="55" s="1"/>
  <c r="D9" i="47" s="1"/>
  <c r="C9" i="47" s="1"/>
  <c r="AT83" i="55"/>
  <c r="AW83" i="55" s="1"/>
  <c r="AX83" i="55" s="1"/>
  <c r="AQ74" i="55" l="1"/>
  <c r="AO73" i="55"/>
  <c r="AQ73" i="55" l="1"/>
  <c r="AO72" i="55"/>
  <c r="AO71" i="55" l="1"/>
  <c r="AQ72" i="55"/>
  <c r="AQ71" i="55" l="1"/>
  <c r="AO70" i="55"/>
  <c r="AQ70" i="55" l="1"/>
  <c r="AO69" i="55"/>
  <c r="AQ69" i="55" l="1"/>
  <c r="AO68" i="55"/>
  <c r="AQ68" i="55" l="1"/>
  <c r="AO67" i="55"/>
  <c r="AQ67" i="55" l="1"/>
  <c r="AO66" i="55"/>
  <c r="AQ66" i="55" l="1"/>
  <c r="AO65" i="55"/>
  <c r="AQ65" i="55" l="1"/>
  <c r="AO64" i="55"/>
  <c r="AQ64" i="55" l="1"/>
  <c r="AO63" i="55"/>
  <c r="AR76" i="55" l="1"/>
  <c r="AR72" i="55"/>
  <c r="AT72" i="55" s="1"/>
  <c r="AW72" i="55" s="1"/>
  <c r="AX72" i="55" s="1"/>
  <c r="AR68" i="55"/>
  <c r="AT68" i="55" s="1"/>
  <c r="AW68" i="55" s="1"/>
  <c r="AX68" i="55" s="1"/>
  <c r="AR75" i="55"/>
  <c r="AT75" i="55" s="1"/>
  <c r="AW75" i="55" s="1"/>
  <c r="AX75" i="55" s="1"/>
  <c r="AR71" i="55"/>
  <c r="AR67" i="55"/>
  <c r="AT67" i="55" s="1"/>
  <c r="AW67" i="55" s="1"/>
  <c r="AX67" i="55" s="1"/>
  <c r="AR73" i="55"/>
  <c r="AT73" i="55" s="1"/>
  <c r="AW73" i="55" s="1"/>
  <c r="AX73" i="55" s="1"/>
  <c r="AR65" i="55"/>
  <c r="AT65" i="55" s="1"/>
  <c r="AW65" i="55" s="1"/>
  <c r="AX65" i="55" s="1"/>
  <c r="AR69" i="55"/>
  <c r="AT69" i="55" s="1"/>
  <c r="AW69" i="55" s="1"/>
  <c r="AX69" i="55" s="1"/>
  <c r="AR74" i="55"/>
  <c r="AT74" i="55" s="1"/>
  <c r="AW74" i="55" s="1"/>
  <c r="AX74" i="55" s="1"/>
  <c r="AR66" i="55"/>
  <c r="AT66" i="55" s="1"/>
  <c r="AW66" i="55" s="1"/>
  <c r="AX66" i="55" s="1"/>
  <c r="AR70" i="55"/>
  <c r="AT70" i="55" s="1"/>
  <c r="AW70" i="55" s="1"/>
  <c r="AX70" i="55" s="1"/>
  <c r="AQ63" i="55"/>
  <c r="AO62" i="55"/>
  <c r="AT76" i="55"/>
  <c r="AW76" i="55" s="1"/>
  <c r="AX76" i="55" s="1"/>
  <c r="D8" i="47" s="1"/>
  <c r="C8" i="47" s="1"/>
  <c r="AT71" i="55"/>
  <c r="AW71" i="55" s="1"/>
  <c r="AX71" i="55" s="1"/>
  <c r="AQ62" i="55" l="1"/>
  <c r="AO61" i="55"/>
  <c r="AQ61" i="55" l="1"/>
  <c r="AO60" i="55"/>
  <c r="AQ60" i="55" l="1"/>
  <c r="AO59" i="55"/>
  <c r="AQ59" i="55" l="1"/>
  <c r="AO58" i="55"/>
  <c r="AQ58" i="55" l="1"/>
  <c r="AO57" i="55"/>
  <c r="AQ57" i="55" l="1"/>
  <c r="AO56" i="55"/>
  <c r="AO55" i="55" l="1"/>
  <c r="AQ56" i="55"/>
  <c r="AQ55" i="55" l="1"/>
  <c r="AO54" i="55"/>
  <c r="AQ54" i="55" l="1"/>
  <c r="AO53" i="55"/>
  <c r="AQ53" i="55" l="1"/>
  <c r="AO52" i="55"/>
  <c r="AQ52" i="55" l="1"/>
  <c r="AO51" i="55"/>
  <c r="AR64" i="55" l="1"/>
  <c r="AR60" i="55"/>
  <c r="AT60" i="55" s="1"/>
  <c r="AW60" i="55" s="1"/>
  <c r="AX60" i="55" s="1"/>
  <c r="AR56" i="55"/>
  <c r="AT56" i="55" s="1"/>
  <c r="AW56" i="55" s="1"/>
  <c r="AX56" i="55" s="1"/>
  <c r="AR63" i="55"/>
  <c r="AT63" i="55" s="1"/>
  <c r="AW63" i="55" s="1"/>
  <c r="AX63" i="55" s="1"/>
  <c r="AR59" i="55"/>
  <c r="AR55" i="55"/>
  <c r="AT55" i="55" s="1"/>
  <c r="AW55" i="55" s="1"/>
  <c r="AX55" i="55" s="1"/>
  <c r="AR57" i="55"/>
  <c r="AT57" i="55" s="1"/>
  <c r="AW57" i="55" s="1"/>
  <c r="AX57" i="55" s="1"/>
  <c r="AR53" i="55"/>
  <c r="AT53" i="55" s="1"/>
  <c r="AW53" i="55" s="1"/>
  <c r="AX53" i="55" s="1"/>
  <c r="AR62" i="55"/>
  <c r="AT62" i="55" s="1"/>
  <c r="AW62" i="55" s="1"/>
  <c r="AX62" i="55" s="1"/>
  <c r="AR54" i="55"/>
  <c r="AT54" i="55" s="1"/>
  <c r="AW54" i="55" s="1"/>
  <c r="AX54" i="55" s="1"/>
  <c r="AR61" i="55"/>
  <c r="AT61" i="55" s="1"/>
  <c r="AW61" i="55" s="1"/>
  <c r="AX61" i="55" s="1"/>
  <c r="AR58" i="55"/>
  <c r="AT58" i="55" s="1"/>
  <c r="AW58" i="55" s="1"/>
  <c r="AX58" i="55" s="1"/>
  <c r="AQ51" i="55"/>
  <c r="AO50" i="55"/>
  <c r="AT59" i="55"/>
  <c r="AW59" i="55" s="1"/>
  <c r="AX59" i="55" s="1"/>
  <c r="AT64" i="55"/>
  <c r="AW64" i="55" s="1"/>
  <c r="AX64" i="55" s="1"/>
  <c r="D7" i="47" s="1"/>
  <c r="C7" i="47" s="1"/>
  <c r="AQ50" i="55" l="1"/>
  <c r="AO49" i="55"/>
  <c r="AQ49" i="55" l="1"/>
  <c r="AO48" i="55"/>
  <c r="AQ48" i="55" l="1"/>
  <c r="AO47" i="55"/>
  <c r="AQ47" i="55" l="1"/>
  <c r="AO46" i="55"/>
  <c r="AQ46" i="55" l="1"/>
  <c r="AO45" i="55"/>
  <c r="AQ45" i="55" l="1"/>
  <c r="AO44" i="55"/>
  <c r="AQ44" i="55" l="1"/>
  <c r="AO43" i="55"/>
  <c r="AQ43" i="55" l="1"/>
  <c r="AO42" i="55"/>
  <c r="AQ42" i="55" l="1"/>
  <c r="AO41" i="55"/>
  <c r="AQ41" i="55" l="1"/>
  <c r="AO40" i="55"/>
  <c r="AQ40" i="55" l="1"/>
  <c r="AO39" i="55"/>
  <c r="AR52" i="55" l="1"/>
  <c r="AR48" i="55"/>
  <c r="AT48" i="55" s="1"/>
  <c r="AW48" i="55" s="1"/>
  <c r="AX48" i="55" s="1"/>
  <c r="AR44" i="55"/>
  <c r="AT44" i="55" s="1"/>
  <c r="AW44" i="55" s="1"/>
  <c r="AX44" i="55" s="1"/>
  <c r="AR51" i="55"/>
  <c r="AR47" i="55"/>
  <c r="AR43" i="55"/>
  <c r="AT43" i="55" s="1"/>
  <c r="AW43" i="55" s="1"/>
  <c r="AX43" i="55" s="1"/>
  <c r="AR49" i="55"/>
  <c r="AT49" i="55" s="1"/>
  <c r="AW49" i="55" s="1"/>
  <c r="AX49" i="55" s="1"/>
  <c r="AR41" i="55"/>
  <c r="AT41" i="55" s="1"/>
  <c r="AW41" i="55" s="1"/>
  <c r="AX41" i="55" s="1"/>
  <c r="AR42" i="55"/>
  <c r="AT42" i="55" s="1"/>
  <c r="AW42" i="55" s="1"/>
  <c r="AX42" i="55" s="1"/>
  <c r="AR46" i="55"/>
  <c r="AT46" i="55" s="1"/>
  <c r="AW46" i="55" s="1"/>
  <c r="AX46" i="55" s="1"/>
  <c r="AR45" i="55"/>
  <c r="AT45" i="55" s="1"/>
  <c r="AW45" i="55" s="1"/>
  <c r="AX45" i="55" s="1"/>
  <c r="AR50" i="55"/>
  <c r="AT50" i="55" s="1"/>
  <c r="AW50" i="55" s="1"/>
  <c r="AX50" i="55" s="1"/>
  <c r="AQ39" i="55"/>
  <c r="AO38" i="55"/>
  <c r="AT52" i="55"/>
  <c r="AW52" i="55" s="1"/>
  <c r="AX52" i="55" s="1"/>
  <c r="D6" i="47" s="1"/>
  <c r="C6" i="47" s="1"/>
  <c r="AT51" i="55"/>
  <c r="AW51" i="55" s="1"/>
  <c r="AX51" i="55" s="1"/>
  <c r="AT47" i="55"/>
  <c r="AW47" i="55" s="1"/>
  <c r="AX47" i="55" s="1"/>
  <c r="AQ38" i="55" l="1"/>
  <c r="AO37" i="55"/>
  <c r="AQ37" i="55" l="1"/>
  <c r="AO36" i="55"/>
  <c r="AQ36" i="55" l="1"/>
  <c r="AO35" i="55"/>
  <c r="AQ35" i="55" l="1"/>
  <c r="AO34" i="55"/>
  <c r="AO33" i="55" l="1"/>
  <c r="AQ34" i="55"/>
  <c r="AQ33" i="55" l="1"/>
  <c r="AO32" i="55"/>
  <c r="AQ32" i="55" l="1"/>
  <c r="AO31" i="55"/>
  <c r="AQ31" i="55" l="1"/>
  <c r="AO30" i="55"/>
  <c r="AQ30" i="55" l="1"/>
  <c r="AO29" i="55"/>
  <c r="AQ29" i="55" l="1"/>
  <c r="AO28" i="55"/>
  <c r="AQ28" i="55" l="1"/>
  <c r="AO27" i="55"/>
  <c r="AR40" i="55" l="1"/>
  <c r="AR36" i="55"/>
  <c r="AR32" i="55"/>
  <c r="AT32" i="55" s="1"/>
  <c r="AW32" i="55" s="1"/>
  <c r="AX32" i="55" s="1"/>
  <c r="AR39" i="55"/>
  <c r="AT39" i="55" s="1"/>
  <c r="AW39" i="55" s="1"/>
  <c r="AX39" i="55" s="1"/>
  <c r="AR35" i="55"/>
  <c r="AR31" i="55"/>
  <c r="AT31" i="55" s="1"/>
  <c r="AW31" i="55" s="1"/>
  <c r="AX31" i="55" s="1"/>
  <c r="AR33" i="55"/>
  <c r="AT33" i="55" s="1"/>
  <c r="AW33" i="55" s="1"/>
  <c r="AX33" i="55" s="1"/>
  <c r="AR37" i="55"/>
  <c r="AT37" i="55" s="1"/>
  <c r="AW37" i="55" s="1"/>
  <c r="AX37" i="55" s="1"/>
  <c r="AR38" i="55"/>
  <c r="AT38" i="55" s="1"/>
  <c r="AW38" i="55" s="1"/>
  <c r="AX38" i="55" s="1"/>
  <c r="AR30" i="55"/>
  <c r="AT30" i="55" s="1"/>
  <c r="AW30" i="55" s="1"/>
  <c r="AX30" i="55" s="1"/>
  <c r="AR29" i="55"/>
  <c r="AT29" i="55" s="1"/>
  <c r="AW29" i="55" s="1"/>
  <c r="AX29" i="55" s="1"/>
  <c r="AR34" i="55"/>
  <c r="AT34" i="55" s="1"/>
  <c r="AW34" i="55" s="1"/>
  <c r="AX34" i="55" s="1"/>
  <c r="AO26" i="55"/>
  <c r="AQ27" i="55"/>
  <c r="AT40" i="55"/>
  <c r="AW40" i="55" s="1"/>
  <c r="AX40" i="55" s="1"/>
  <c r="D5" i="47" s="1"/>
  <c r="C5" i="47" s="1"/>
  <c r="AT35" i="55"/>
  <c r="AW35" i="55" s="1"/>
  <c r="AX35" i="55" s="1"/>
  <c r="AT36" i="55"/>
  <c r="AW36" i="55" s="1"/>
  <c r="AX36" i="55" s="1"/>
  <c r="AQ26" i="55" l="1"/>
  <c r="AO25" i="55"/>
  <c r="AQ25" i="55" l="1"/>
  <c r="AO24" i="55"/>
  <c r="AQ24" i="55" l="1"/>
  <c r="AO23" i="55"/>
  <c r="AQ23" i="55" l="1"/>
  <c r="AO22" i="55"/>
  <c r="AQ22" i="55" l="1"/>
  <c r="AO21" i="55"/>
  <c r="AQ21" i="55" l="1"/>
  <c r="AO20" i="55"/>
  <c r="AQ20" i="55" l="1"/>
  <c r="AO19" i="55"/>
  <c r="AQ19" i="55" l="1"/>
  <c r="AO18" i="55"/>
  <c r="AQ18" i="55" l="1"/>
  <c r="AO17" i="55"/>
  <c r="AQ17" i="55" l="1"/>
  <c r="AO16" i="55"/>
  <c r="AQ16" i="55" l="1"/>
  <c r="AO15" i="55"/>
  <c r="AR5" i="55" l="1"/>
  <c r="AR28" i="55"/>
  <c r="AR24" i="55"/>
  <c r="AR20" i="55"/>
  <c r="AT20" i="55" s="1"/>
  <c r="AW20" i="55" s="1"/>
  <c r="AX20" i="55" s="1"/>
  <c r="AR27" i="55"/>
  <c r="AR23" i="55"/>
  <c r="AR19" i="55"/>
  <c r="AT19" i="55" s="1"/>
  <c r="AW19" i="55" s="1"/>
  <c r="AX19" i="55" s="1"/>
  <c r="AR25" i="55"/>
  <c r="AT25" i="55" s="1"/>
  <c r="AW25" i="55" s="1"/>
  <c r="AX25" i="55" s="1"/>
  <c r="AR17" i="55"/>
  <c r="AR21" i="55"/>
  <c r="AR26" i="55"/>
  <c r="AT26" i="55" s="1"/>
  <c r="AW26" i="55" s="1"/>
  <c r="AX26" i="55" s="1"/>
  <c r="AR18" i="55"/>
  <c r="AT18" i="55" s="1"/>
  <c r="AW18" i="55" s="1"/>
  <c r="AX18" i="55" s="1"/>
  <c r="AR22" i="55"/>
  <c r="AR16" i="55"/>
  <c r="AR11" i="55"/>
  <c r="AT11" i="55" s="1"/>
  <c r="AW11" i="55" s="1"/>
  <c r="AX11" i="55" s="1"/>
  <c r="AR6" i="55"/>
  <c r="AT6" i="55" s="1"/>
  <c r="AW6" i="55" s="1"/>
  <c r="AX6" i="55" s="1"/>
  <c r="AR10" i="55"/>
  <c r="AR14" i="55"/>
  <c r="AT14" i="55" s="1"/>
  <c r="AW14" i="55" s="1"/>
  <c r="AX14" i="55" s="1"/>
  <c r="AR12" i="55"/>
  <c r="AT12" i="55" s="1"/>
  <c r="AW12" i="55" s="1"/>
  <c r="AX12" i="55" s="1"/>
  <c r="AR7" i="55"/>
  <c r="AT7" i="55" s="1"/>
  <c r="AW7" i="55" s="1"/>
  <c r="AX7" i="55" s="1"/>
  <c r="AR13" i="55"/>
  <c r="AT13" i="55" s="1"/>
  <c r="AW13" i="55" s="1"/>
  <c r="AX13" i="55" s="1"/>
  <c r="AR8" i="55"/>
  <c r="AT8" i="55" s="1"/>
  <c r="AW8" i="55" s="1"/>
  <c r="AX8" i="55" s="1"/>
  <c r="AR9" i="55"/>
  <c r="AT9" i="55" s="1"/>
  <c r="AW9" i="55" s="1"/>
  <c r="AX9" i="55" s="1"/>
  <c r="AR15" i="55"/>
  <c r="AT15" i="55" s="1"/>
  <c r="AW15" i="55" s="1"/>
  <c r="AX15" i="55" s="1"/>
  <c r="AQ15" i="55"/>
  <c r="AO14" i="55"/>
  <c r="AT24" i="55"/>
  <c r="AW24" i="55" s="1"/>
  <c r="AX24" i="55" s="1"/>
  <c r="AT5" i="55"/>
  <c r="AW5" i="55" s="1"/>
  <c r="AX5" i="55" s="1"/>
  <c r="AT16" i="55"/>
  <c r="AW16" i="55" s="1"/>
  <c r="AX16" i="55" s="1"/>
  <c r="D3" i="47" s="1"/>
  <c r="C3" i="47" s="1"/>
  <c r="AT28" i="55"/>
  <c r="AW28" i="55" s="1"/>
  <c r="AX28" i="55" s="1"/>
  <c r="D4" i="47" s="1"/>
  <c r="C4" i="47" s="1"/>
  <c r="AT22" i="55"/>
  <c r="AW22" i="55" s="1"/>
  <c r="AX22" i="55" s="1"/>
  <c r="AT27" i="55"/>
  <c r="AW27" i="55" s="1"/>
  <c r="AX27" i="55" s="1"/>
  <c r="AT23" i="55"/>
  <c r="AW23" i="55" s="1"/>
  <c r="AX23" i="55" s="1"/>
  <c r="AT10" i="55"/>
  <c r="AW10" i="55" s="1"/>
  <c r="AX10" i="55" s="1"/>
  <c r="AT17" i="55"/>
  <c r="AW17" i="55" s="1"/>
  <c r="AX17" i="55" s="1"/>
  <c r="AT21" i="55"/>
  <c r="AW21" i="55" s="1"/>
  <c r="AX21" i="55" s="1"/>
  <c r="AQ14" i="55" l="1"/>
  <c r="AO13" i="55"/>
  <c r="AQ13" i="55" l="1"/>
  <c r="AO12" i="55"/>
  <c r="AO11" i="55" l="1"/>
  <c r="AQ12" i="55"/>
  <c r="AQ11" i="55" l="1"/>
  <c r="AO10" i="55"/>
  <c r="AQ10" i="55" l="1"/>
  <c r="AO9" i="55"/>
  <c r="AQ9" i="55" l="1"/>
  <c r="AO8" i="55"/>
  <c r="AQ8" i="55" l="1"/>
  <c r="AO7" i="55"/>
  <c r="AQ7" i="55" l="1"/>
  <c r="AO6" i="55"/>
  <c r="AQ6" i="55" l="1"/>
  <c r="AO5" i="55"/>
  <c r="AQ5"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author>
  </authors>
  <commentList>
    <comment ref="C2" authorId="0" shapeId="0" xr:uid="{1AADD955-0A44-468E-8468-EEC1DC2DC282}">
      <text>
        <r>
          <rPr>
            <sz val="9"/>
            <color indexed="81"/>
            <rFont val="Tahoma"/>
            <family val="2"/>
          </rPr>
          <t>VM-20 PBR reserves equal the maximum of three components: the net premium reserve, the deterministic reserve, and the stochastic reserve. In this spreadsheet, no stochastic reserve is assumed, which means the VM-20 reserve equals the maximum of the other two.</t>
        </r>
      </text>
    </comment>
    <comment ref="D2" authorId="0" shapeId="0" xr:uid="{7CE9B19C-1C32-443E-8AC2-81A13D054C3E}">
      <text>
        <r>
          <rPr>
            <sz val="9"/>
            <color indexed="81"/>
            <rFont val="Tahoma"/>
            <family val="2"/>
          </rPr>
          <t>VM-20 net premium reserve is the present value of future mortality and expenses less future net premiums, using prescribed assumption. This is one of three components in the VM-20 PBR reserve and acts as a rules-based floor.</t>
        </r>
      </text>
    </comment>
    <comment ref="E2" authorId="0" shapeId="0" xr:uid="{00000000-0006-0000-0200-000001000000}">
      <text>
        <r>
          <rPr>
            <sz val="9"/>
            <color indexed="81"/>
            <rFont val="Tahoma"/>
            <family val="2"/>
          </rPr>
          <t>The deterministic reserve is the present value of future outflows less future inflows, using a mix of anticipated experience assumptions plus margins and prescribed elements. This is one of three components of the VM-20 PBR reserve.</t>
        </r>
      </text>
    </comment>
    <comment ref="F2" authorId="0" shapeId="0" xr:uid="{00000000-0006-0000-0200-000002000000}">
      <text>
        <r>
          <rPr>
            <sz val="9"/>
            <color indexed="81"/>
            <rFont val="Tahoma"/>
            <family val="2"/>
          </rPr>
          <t>Gross premium reserve is the present value of future outflows less future inflows, using best estimate assumptions and excluding margins. It is used in this spreadsheet as a reference of comparison for the impact on margins and is not one of the VM-20 reserve components.</t>
        </r>
      </text>
    </comment>
    <comment ref="G2" authorId="0" shapeId="0" xr:uid="{00000000-0006-0000-0200-000003000000}">
      <text>
        <r>
          <rPr>
            <sz val="9"/>
            <color indexed="81"/>
            <rFont val="Tahoma"/>
            <family val="2"/>
          </rPr>
          <t>The total margin measures the percentage increase in the deterministic reserve due to using margins and prescribed elements in the calculation.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Ben</author>
  </authors>
  <commentList>
    <comment ref="K3" authorId="0" shapeId="0" xr:uid="{00000000-0006-0000-0300-000002000000}">
      <text>
        <r>
          <rPr>
            <sz val="9"/>
            <color indexed="81"/>
            <rFont val="Tahoma"/>
            <family val="2"/>
          </rPr>
          <t xml:space="preserve">Risk-free rate in prescribed deterministic reserve scenario; used as the basis for the discount rate prior to applying investment spread </t>
        </r>
      </text>
    </comment>
    <comment ref="L3" authorId="0" shapeId="0" xr:uid="{00000000-0006-0000-0300-000003000000}">
      <text>
        <r>
          <rPr>
            <sz val="9"/>
            <color indexed="81"/>
            <rFont val="Tahoma"/>
            <family val="2"/>
          </rPr>
          <t>Investment spread based on the company's actual anticipated current portfolio and reinvestment strategy; net of default cost and recoveries</t>
        </r>
      </text>
    </comment>
    <comment ref="M3" authorId="0" shapeId="0" xr:uid="{00000000-0006-0000-0300-000004000000}">
      <text>
        <r>
          <rPr>
            <sz val="9"/>
            <color indexed="81"/>
            <rFont val="Tahoma"/>
            <family val="2"/>
          </rPr>
          <t>Discount rate used for cash flows, expressed as annual percentage based on companies expected investment portfolio returns (treasury + spread). Note that, for simplification, this model assumes the company best estimate assumption is the same as the deterministic reserve scenario assumption for future interest rates, which may not necessarily be the case for real world company best estimate assumptions.</t>
        </r>
      </text>
    </comment>
    <comment ref="N3" authorId="0" shapeId="0" xr:uid="{00000000-0006-0000-0300-000005000000}">
      <text>
        <r>
          <rPr>
            <sz val="9"/>
            <color indexed="81"/>
            <rFont val="Tahoma"/>
            <family val="2"/>
          </rPr>
          <t>Discount rate used for cash flows, expressed as monthly percentage based on companies expected investment portfolio returns</t>
        </r>
      </text>
    </comment>
    <comment ref="O3" authorId="0" shapeId="0" xr:uid="{00000000-0006-0000-0300-000006000000}">
      <text>
        <r>
          <rPr>
            <sz val="9"/>
            <color indexed="81"/>
            <rFont val="Tahoma"/>
            <family val="2"/>
          </rPr>
          <t>Annual mortality rate projected for policyholders, based on assumed company experience; this assumption is expressed as a percentage of the 2015 Valuation Basic Table</t>
        </r>
      </text>
    </comment>
    <comment ref="P3" authorId="0" shapeId="0" xr:uid="{00000000-0006-0000-0300-000007000000}">
      <text>
        <r>
          <rPr>
            <sz val="9"/>
            <color indexed="81"/>
            <rFont val="Tahoma"/>
            <family val="2"/>
          </rPr>
          <t>The 2015 Valuation Basic Table annual mortality rate for the policy; serves as the basis for the mortality assumption to grade into for the deterministic reserve</t>
        </r>
      </text>
    </comment>
    <comment ref="Q3" authorId="0" shapeId="0" xr:uid="{00000000-0006-0000-0300-000008000000}">
      <text>
        <r>
          <rPr>
            <sz val="9"/>
            <color indexed="81"/>
            <rFont val="Tahoma"/>
            <family val="2"/>
          </rPr>
          <t>Projected annual improvement in the mortality rate for company anticipated experience</t>
        </r>
      </text>
    </comment>
    <comment ref="R3" authorId="0" shapeId="0" xr:uid="{00000000-0006-0000-0300-000009000000}">
      <text>
        <r>
          <rPr>
            <sz val="9"/>
            <color indexed="81"/>
            <rFont val="Tahoma"/>
            <family val="2"/>
          </rPr>
          <t>Mortality improvement expressed as a cumulative percentage improvement to mortality rate at the projected year (improved from 2015 central year for Valuation Basic Table)</t>
        </r>
      </text>
    </comment>
    <comment ref="S3" authorId="0" shapeId="0" xr:uid="{00000000-0006-0000-0300-00001E000000}">
      <text>
        <r>
          <rPr>
            <sz val="9"/>
            <color indexed="81"/>
            <rFont val="Tahoma"/>
            <family val="2"/>
          </rPr>
          <t>Anticipated experience mortality with mortality improvement applied, expressed annually</t>
        </r>
      </text>
    </comment>
    <comment ref="T3" authorId="0" shapeId="0" xr:uid="{00000000-0006-0000-0300-000020000000}">
      <text>
        <r>
          <rPr>
            <sz val="9"/>
            <color indexed="81"/>
            <rFont val="Tahoma"/>
            <family val="2"/>
          </rPr>
          <t>Anticipated experience mortality with mortality improvement applied, expressed monthly</t>
        </r>
      </text>
    </comment>
    <comment ref="U3" authorId="0" shapeId="0" xr:uid="{00000000-0006-0000-0300-00000A000000}">
      <text>
        <r>
          <rPr>
            <sz val="9"/>
            <color indexed="81"/>
            <rFont val="Tahoma"/>
            <family val="2"/>
          </rPr>
          <t>Annual projected rate of policyholder lapsing policy based on anticipated company experience</t>
        </r>
      </text>
    </comment>
    <comment ref="V3" authorId="0" shapeId="0" xr:uid="{00000000-0006-0000-0300-00000B000000}">
      <text>
        <r>
          <rPr>
            <sz val="9"/>
            <color indexed="81"/>
            <rFont val="Tahoma"/>
            <family val="2"/>
          </rPr>
          <t>Annual projected acquisition expense in the first year and renewal expenses in future years for maintaining policy</t>
        </r>
      </text>
    </comment>
    <comment ref="W3" authorId="0" shapeId="0" xr:uid="{00000000-0006-0000-0300-00000C000000}">
      <text>
        <r>
          <rPr>
            <sz val="9"/>
            <color indexed="81"/>
            <rFont val="Tahoma"/>
            <family val="2"/>
          </rPr>
          <t>Annual projected inflation, which increases expense projections</t>
        </r>
      </text>
    </comment>
    <comment ref="X3" authorId="0" shapeId="0" xr:uid="{00000000-0006-0000-0300-00000D000000}">
      <text>
        <r>
          <rPr>
            <sz val="9"/>
            <color indexed="81"/>
            <rFont val="Tahoma"/>
            <family val="2"/>
          </rPr>
          <t>Cumulative inflation used to projected expenses at projected year</t>
        </r>
      </text>
    </comment>
    <comment ref="Z3" authorId="0" shapeId="0" xr:uid="{5414AF35-CEC4-40E7-84E4-1EBB33344B2B}">
      <text>
        <r>
          <rPr>
            <sz val="9"/>
            <color indexed="81"/>
            <rFont val="Tahoma"/>
            <family val="2"/>
          </rPr>
          <t>Prescribed deterministic reserve mortality margin based on the company VM-20 credibility level (i.e., greater margin for higher uncertainty associated with low credibility</t>
        </r>
      </text>
    </comment>
    <comment ref="AA3" authorId="0" shapeId="0" xr:uid="{D827F210-6511-4D44-9364-1A412DD0E130}">
      <text>
        <r>
          <rPr>
            <sz val="9"/>
            <color indexed="81"/>
            <rFont val="Tahoma"/>
            <family val="2"/>
          </rPr>
          <t>Prescribed margin to add to the industry mortality assumption that is graded into in the deterministic reserve calculation; low credibility and sufficient data period will result in grading to the industry mortality and higher margin earlier in the projection</t>
        </r>
      </text>
    </comment>
    <comment ref="AB3" authorId="0" shapeId="0" xr:uid="{04597D4C-E1B2-44E3-A2B5-C9900F0F61C4}">
      <text>
        <r>
          <rPr>
            <sz val="9"/>
            <color indexed="81"/>
            <rFont val="Tahoma"/>
            <family val="2"/>
          </rPr>
          <t>Weight of company mortality in a given year; weight of 1 means company assumption + margin is used and weight of 0 means industry assumption + margin is used; Based on VM-20 required grading rules; the lower the credibility and sufficient data period, the quick the company mortality will grade into industry mortality</t>
        </r>
      </text>
    </comment>
    <comment ref="AD3" authorId="0" shapeId="0" xr:uid="{00000000-0006-0000-0300-00000E000000}">
      <text>
        <r>
          <rPr>
            <sz val="9"/>
            <color indexed="81"/>
            <rFont val="Tahoma"/>
            <family val="2"/>
          </rPr>
          <t>VM-20 margin on the portfolio rate used for discounting cash flows. In VM-20, there are technically prescribed spreads, default costs, treasury rates, and equity assumptions that serve as an implicit margin on asset projections instead of an explicit decrease in the discount rate.</t>
        </r>
      </text>
    </comment>
    <comment ref="AE3" authorId="0" shapeId="0" xr:uid="{00000000-0006-0000-0300-00000F000000}">
      <text>
        <r>
          <rPr>
            <sz val="9"/>
            <color indexed="81"/>
            <rFont val="Tahoma"/>
            <family val="2"/>
          </rPr>
          <t>VM-20 prohibits future mortality improvement, so there is an implicit margin of removing the improvement to future projected rates. In this spreadsheet, the improvement is removed in all future years, but technically the improvement would only be removed for future years after the projected valuation date.</t>
        </r>
      </text>
    </comment>
    <comment ref="AF3" authorId="0" shapeId="0" xr:uid="{00000000-0006-0000-0300-000010000000}">
      <text>
        <r>
          <rPr>
            <sz val="9"/>
            <color indexed="81"/>
            <rFont val="Tahoma"/>
            <family val="2"/>
          </rPr>
          <t>VM-20 lapse margin. For term and other lapse-supported products, this margin may be negative (as is the case in this example). For non-lapse-supported products, this margin may be positive. The margin is selected by the company and disclosed in the PBR Actuarial Report. Note that after the level period, some margins can be quite large (e.g., 900%), which is because the margin in this model is set to increase the lapse rate to 100%  after the level period. This acts as a simplification for VM-20's requirement to prohibit post-level profits</t>
        </r>
      </text>
    </comment>
    <comment ref="AG3" authorId="0" shapeId="0" xr:uid="{00000000-0006-0000-0300-000011000000}">
      <text>
        <r>
          <rPr>
            <sz val="9"/>
            <color indexed="81"/>
            <rFont val="Tahoma"/>
            <family val="2"/>
          </rPr>
          <t>VM-20 expense margin is expressed as a percentage increase to future expenses. The level of the margin is selected by the company and documented in the PBR Actuarial Report.</t>
        </r>
      </text>
    </comment>
    <comment ref="AH3" authorId="0" shapeId="0" xr:uid="{00000000-0006-0000-0300-000012000000}">
      <text>
        <r>
          <rPr>
            <sz val="9"/>
            <color indexed="81"/>
            <rFont val="Tahoma"/>
            <family val="2"/>
          </rPr>
          <t>VM-20 margin on the inflation assumption used to project future expenses. Selected by the company and documented in the PBR Actuarial Report.</t>
        </r>
      </text>
    </comment>
    <comment ref="AJ3" authorId="0" shapeId="0" xr:uid="{00000000-0006-0000-0300-000013000000}">
      <text>
        <r>
          <rPr>
            <sz val="9"/>
            <color indexed="81"/>
            <rFont val="Tahoma"/>
            <family val="2"/>
          </rPr>
          <t>VM-20 annual discount rate used for discounting cash flow reflecting the margin. In VM-20, there are technically prescribed spreads, default costs, treasury rates, and equity assumptions that serve as an implicit margin on asset projections instead of an explicit decrease in the discount rate.</t>
        </r>
      </text>
    </comment>
    <comment ref="AK3" authorId="0" shapeId="0" xr:uid="{00000000-0006-0000-0300-000014000000}">
      <text>
        <r>
          <rPr>
            <sz val="9"/>
            <color indexed="81"/>
            <rFont val="Tahoma"/>
            <family val="2"/>
          </rPr>
          <t>VM-20 monthly discount rate used for discounting cash flow reflecting the margin. In VM-20, there are technically prescribed spreads, default costs, treasury rates, and equity assumptions that serve as an implicit margin on asset projections instead of an explicit decrease in the discount rate.</t>
        </r>
      </text>
    </comment>
    <comment ref="AL3" authorId="0" shapeId="0" xr:uid="{00000000-0006-0000-0300-000015000000}">
      <text>
        <r>
          <rPr>
            <sz val="9"/>
            <color indexed="81"/>
            <rFont val="Tahoma"/>
            <family val="2"/>
          </rPr>
          <t>Graded (blended) annual mortality rate projected for policyholder, based on company experience and industry mortality; will grade faster from company experience to the industry table depending on the level of credibility and sufficient data period.</t>
        </r>
      </text>
    </comment>
    <comment ref="AM3" authorId="0" shapeId="0" xr:uid="{00000000-0006-0000-0300-00001A000000}">
      <text>
        <r>
          <rPr>
            <sz val="9"/>
            <color indexed="81"/>
            <rFont val="Tahoma"/>
            <family val="2"/>
          </rPr>
          <t>VM-20 mortality for the deterministic reserve expressed monthly (including margins, grading, and no improvement)</t>
        </r>
      </text>
    </comment>
    <comment ref="AN3" authorId="0" shapeId="0" xr:uid="{00000000-0006-0000-0300-00001B000000}">
      <text>
        <r>
          <rPr>
            <sz val="9"/>
            <color indexed="81"/>
            <rFont val="Tahoma"/>
            <family val="2"/>
          </rPr>
          <t>VM-20 lapse rate reflecting the margin. For term and other lapse-supported products, this margin may be negative (as is the case in this example). For non-lapse-supported products, this margin may be positive. The margin is selected by the company and disclosed in the PBR Actuarial Report. Note that after the level period, some margins can be quite large because the margin in this model is set to increase the lapse rate to 100%  after the level period. This acts as a simplification for VM-20's requirement to prohibit post-level profits</t>
        </r>
      </text>
    </comment>
    <comment ref="AO3" authorId="0" shapeId="0" xr:uid="{00000000-0006-0000-0300-00001C000000}">
      <text>
        <r>
          <rPr>
            <sz val="9"/>
            <color indexed="81"/>
            <rFont val="Tahoma"/>
            <family val="2"/>
          </rPr>
          <t>VM-20 projected company expenses to acquire and maintain the policy, including the margin. The level of the margin is selected by the company and documented in the PBR Actuarial Report.</t>
        </r>
      </text>
    </comment>
    <comment ref="AP3" authorId="0" shapeId="0" xr:uid="{00000000-0006-0000-0300-00001D000000}">
      <text>
        <r>
          <rPr>
            <sz val="9"/>
            <color indexed="81"/>
            <rFont val="Tahoma"/>
            <family val="2"/>
          </rPr>
          <t>VM-20 inflation assumption used to project future expenses, reflecting the margin. The margin is selected by the company and documented in the PBR Actuarial Report.</t>
        </r>
      </text>
    </comment>
    <comment ref="AR3" authorId="0" shapeId="0" xr:uid="{00000000-0006-0000-0300-000021000000}">
      <text>
        <r>
          <rPr>
            <sz val="9"/>
            <color indexed="81"/>
            <rFont val="Tahoma"/>
            <family val="2"/>
          </rPr>
          <t>Deterministic reserve balance on the policy at the beginning of the time period</t>
        </r>
      </text>
    </comment>
    <comment ref="AS3" authorId="0" shapeId="0" xr:uid="{00000000-0006-0000-0300-000022000000}">
      <text>
        <r>
          <rPr>
            <sz val="9"/>
            <color indexed="81"/>
            <rFont val="Tahoma"/>
            <family val="2"/>
          </rPr>
          <t>Policyholder premium amount</t>
        </r>
      </text>
    </comment>
    <comment ref="AT3" authorId="0" shapeId="0" xr:uid="{00000000-0006-0000-0300-000023000000}">
      <text>
        <r>
          <rPr>
            <sz val="9"/>
            <color indexed="81"/>
            <rFont val="Tahoma"/>
            <family val="2"/>
          </rPr>
          <t>Projected VM-20 acquisition and maintenance expense cash flows, including margins and inflation.</t>
        </r>
      </text>
    </comment>
    <comment ref="AU3" authorId="0" shapeId="0" xr:uid="{00000000-0006-0000-0300-000024000000}">
      <text>
        <r>
          <rPr>
            <sz val="9"/>
            <color indexed="81"/>
            <rFont val="Tahoma"/>
            <family val="2"/>
          </rPr>
          <t>VM-20 future death benefit cash flows projected using the VM-20 mortality assumption and margin</t>
        </r>
      </text>
    </comment>
    <comment ref="AV3" authorId="0" shapeId="0" xr:uid="{00000000-0006-0000-0300-000025000000}">
      <text>
        <r>
          <rPr>
            <sz val="9"/>
            <color indexed="81"/>
            <rFont val="Tahoma"/>
            <family val="2"/>
          </rPr>
          <t>Projected interest on VM-20 cash flows</t>
        </r>
      </text>
    </comment>
    <comment ref="AW3" authorId="0" shapeId="0" xr:uid="{00000000-0006-0000-0300-000026000000}">
      <text>
        <r>
          <rPr>
            <sz val="9"/>
            <color indexed="81"/>
            <rFont val="Tahoma"/>
            <family val="2"/>
          </rPr>
          <t>Portion of the projected year's total VM-20 reserve that is released due to projected deaths (i.e. reserves are not held for policies who have terminated due to death)</t>
        </r>
      </text>
    </comment>
    <comment ref="AX3" authorId="0" shapeId="0" xr:uid="{00000000-0006-0000-0300-000027000000}">
      <text>
        <r>
          <rPr>
            <sz val="9"/>
            <color indexed="81"/>
            <rFont val="Tahoma"/>
            <family val="2"/>
          </rPr>
          <t>Portion of the projected year's total VM-20 reserve that is released due to projected lapses (i.e. reserves are not held for policies who have terminated due to lapsing the policy)</t>
        </r>
      </text>
    </comment>
    <comment ref="AY3" authorId="0" shapeId="0" xr:uid="{00000000-0006-0000-0300-000028000000}">
      <text>
        <r>
          <rPr>
            <sz val="9"/>
            <color indexed="81"/>
            <rFont val="Tahoma"/>
            <family val="2"/>
          </rPr>
          <t>Reserve balance at the end of the time period using a retrospective VM-20 reserve calculation (i.e. using accumulation of historical cash flows)</t>
        </r>
      </text>
    </comment>
    <comment ref="AZ3" authorId="0" shapeId="0" xr:uid="{00000000-0006-0000-0300-000029000000}">
      <text>
        <r>
          <rPr>
            <sz val="9"/>
            <color indexed="81"/>
            <rFont val="Tahoma"/>
            <family val="2"/>
          </rPr>
          <t>Reserve balance at the end of the time period using a prospective VM-20 reserve calculation (i.e. discounting future cash flows)</t>
        </r>
      </text>
    </comment>
    <comment ref="BA3" authorId="0" shapeId="0" xr:uid="{00000000-0006-0000-0300-00002A000000}">
      <text>
        <r>
          <rPr>
            <sz val="9"/>
            <color indexed="81"/>
            <rFont val="Tahoma"/>
            <family val="2"/>
          </rPr>
          <t>Check on the difference between the retrospective and prospective VM-20 reserve calculations</t>
        </r>
      </text>
    </comment>
    <comment ref="BC3" authorId="0" shapeId="0" xr:uid="{00000000-0006-0000-0300-00002B000000}">
      <text>
        <r>
          <rPr>
            <sz val="9"/>
            <color indexed="81"/>
            <rFont val="Tahoma"/>
            <family val="2"/>
          </rPr>
          <t>Projected number of surviving policyholders using best estimate assumptions (excluding margins) on which VM-20 reserves will be held with mortality improvement</t>
        </r>
      </text>
    </comment>
    <comment ref="BD3" authorId="0" shapeId="0" xr:uid="{00000000-0006-0000-0300-00002C000000}">
      <text>
        <r>
          <rPr>
            <sz val="9"/>
            <color indexed="81"/>
            <rFont val="Tahoma"/>
            <family val="2"/>
          </rPr>
          <t>Present value of VM-20 future benefits and expenses for each policyholder, given survival to  projected time period</t>
        </r>
      </text>
    </comment>
    <comment ref="BE3" authorId="0" shapeId="0" xr:uid="{00000000-0006-0000-0300-00002D000000}">
      <text>
        <r>
          <rPr>
            <sz val="9"/>
            <color indexed="81"/>
            <rFont val="Tahoma"/>
            <family val="2"/>
          </rPr>
          <t>Total present value of VM-20 future benefits and expenses held for all future surviving policyholders at projected time period</t>
        </r>
      </text>
    </comment>
    <comment ref="BF3" authorId="0" shapeId="0" xr:uid="{00000000-0006-0000-0300-00002E000000}">
      <text>
        <r>
          <rPr>
            <sz val="9"/>
            <color indexed="81"/>
            <rFont val="Tahoma"/>
            <family val="2"/>
          </rPr>
          <t>Deterministic reserve for each policyholder, given survival to  projected time period</t>
        </r>
      </text>
    </comment>
    <comment ref="BG3" authorId="0" shapeId="0" xr:uid="{00000000-0006-0000-0300-00002F000000}">
      <text>
        <r>
          <rPr>
            <sz val="9"/>
            <color indexed="81"/>
            <rFont val="Tahoma"/>
            <family val="2"/>
          </rPr>
          <t>Total deterministic reserve held for all future surviving policyholders at projected time period</t>
        </r>
      </text>
    </comment>
    <comment ref="BI3" authorId="0" shapeId="0" xr:uid="{00000000-0006-0000-0300-000030000000}">
      <text>
        <r>
          <rPr>
            <sz val="9"/>
            <color indexed="81"/>
            <rFont val="Tahoma"/>
            <family val="2"/>
          </rPr>
          <t>Gross premium reserve balance (i.e. reflecting no VM-20 margins) on the policy at the beginning of the time period</t>
        </r>
      </text>
    </comment>
    <comment ref="BJ3" authorId="0" shapeId="0" xr:uid="{00000000-0006-0000-0300-000031000000}">
      <text>
        <r>
          <rPr>
            <sz val="9"/>
            <color indexed="81"/>
            <rFont val="Tahoma"/>
            <family val="2"/>
          </rPr>
          <t>Policyholder premium amount</t>
        </r>
      </text>
    </comment>
    <comment ref="BK3" authorId="0" shapeId="0" xr:uid="{00000000-0006-0000-0300-000032000000}">
      <text>
        <r>
          <rPr>
            <sz val="9"/>
            <color indexed="81"/>
            <rFont val="Tahoma"/>
            <family val="2"/>
          </rPr>
          <t xml:space="preserve">Projected acquisition and maintenance expense cash flows, excluding margins </t>
        </r>
      </text>
    </comment>
    <comment ref="BL3" authorId="0" shapeId="0" xr:uid="{00000000-0006-0000-0300-000033000000}">
      <text>
        <r>
          <rPr>
            <sz val="9"/>
            <color indexed="81"/>
            <rFont val="Tahoma"/>
            <family val="2"/>
          </rPr>
          <t>Future death benefit cash flows projected, including mortality improvement in all future years and excluding the VM-20 mortality margin</t>
        </r>
      </text>
    </comment>
    <comment ref="BM3" authorId="0" shapeId="0" xr:uid="{00000000-0006-0000-0300-000034000000}">
      <text>
        <r>
          <rPr>
            <sz val="9"/>
            <color indexed="81"/>
            <rFont val="Tahoma"/>
            <family val="2"/>
          </rPr>
          <t>Projected interest on future cash flows, excluding margins. Note that, for simplification, this model assumes the company best estimate assumption is the same as the deterministic reserve scenario assumption for future interest rates, which may not necessarily be the case for real world company best estimate assumptions.</t>
        </r>
      </text>
    </comment>
    <comment ref="BN3" authorId="0" shapeId="0" xr:uid="{00000000-0006-0000-0300-000035000000}">
      <text>
        <r>
          <rPr>
            <sz val="9"/>
            <color indexed="81"/>
            <rFont val="Tahoma"/>
            <family val="2"/>
          </rPr>
          <t>Portion of the projected year's total gross premium reserve that is released due to projected deaths (i.e. reserves are not held for policies who have terminated due to death)</t>
        </r>
      </text>
    </comment>
    <comment ref="BO3" authorId="0" shapeId="0" xr:uid="{00000000-0006-0000-0300-000036000000}">
      <text>
        <r>
          <rPr>
            <sz val="9"/>
            <color indexed="81"/>
            <rFont val="Tahoma"/>
            <family val="2"/>
          </rPr>
          <t>Portion of the projected year's total gross premium reserve that is released due to projected lapses (i.e. reserves are not held for policies who have terminated due to lapsing the policy)</t>
        </r>
      </text>
    </comment>
    <comment ref="BP3" authorId="0" shapeId="0" xr:uid="{00000000-0006-0000-0300-000037000000}">
      <text>
        <r>
          <rPr>
            <sz val="9"/>
            <color indexed="81"/>
            <rFont val="Tahoma"/>
            <family val="2"/>
          </rPr>
          <t>Gross premium reserve (excluding VM-20 margins) at the end of the time period using a retrospective reserve calculation (i.e. using accumulation of historical cash flows)</t>
        </r>
      </text>
    </comment>
    <comment ref="BQ3" authorId="0" shapeId="0" xr:uid="{00000000-0006-0000-0300-000038000000}">
      <text>
        <r>
          <rPr>
            <sz val="9"/>
            <color indexed="81"/>
            <rFont val="Tahoma"/>
            <family val="2"/>
          </rPr>
          <t>Gross premium reserve (excluding VM-20 margins) balance at the end of the time period using a prospective reserve calculation (i.e. discounting future cash flows)</t>
        </r>
      </text>
    </comment>
    <comment ref="BR3" authorId="0" shapeId="0" xr:uid="{00000000-0006-0000-0300-000039000000}">
      <text>
        <r>
          <rPr>
            <sz val="9"/>
            <color indexed="81"/>
            <rFont val="Tahoma"/>
            <family val="2"/>
          </rPr>
          <t>Check on the difference between the retrospective and prospective reserve calculations</t>
        </r>
      </text>
    </comment>
    <comment ref="BT3" authorId="0" shapeId="0" xr:uid="{00000000-0006-0000-0300-00003A000000}">
      <text>
        <r>
          <rPr>
            <sz val="9"/>
            <color indexed="81"/>
            <rFont val="Tahoma"/>
            <family val="2"/>
          </rPr>
          <t>Projected number of surviving policyholders using best estimate assumptions</t>
        </r>
      </text>
    </comment>
    <comment ref="BU3" authorId="0" shapeId="0" xr:uid="{00000000-0006-0000-0300-00003B000000}">
      <text>
        <r>
          <rPr>
            <sz val="9"/>
            <color indexed="81"/>
            <rFont val="Tahoma"/>
            <family val="2"/>
          </rPr>
          <t>Present value of future benefits and expenses for each policyholder, given survival to  projected time period</t>
        </r>
      </text>
    </comment>
    <comment ref="BV3" authorId="0" shapeId="0" xr:uid="{00000000-0006-0000-0300-00003C000000}">
      <text>
        <r>
          <rPr>
            <sz val="9"/>
            <color indexed="81"/>
            <rFont val="Tahoma"/>
            <family val="2"/>
          </rPr>
          <t>Total present value of future benefits and expenses held for all future surviving policyholders at projected time period</t>
        </r>
      </text>
    </comment>
    <comment ref="BW3" authorId="0" shapeId="0" xr:uid="{00000000-0006-0000-0300-00003D000000}">
      <text>
        <r>
          <rPr>
            <sz val="9"/>
            <color indexed="81"/>
            <rFont val="Tahoma"/>
            <family val="2"/>
          </rPr>
          <t>Gross premium reserve for each policyholder, given survival to  projected time period</t>
        </r>
      </text>
    </comment>
    <comment ref="BX3" authorId="0" shapeId="0" xr:uid="{00000000-0006-0000-0300-00003E000000}">
      <text>
        <r>
          <rPr>
            <sz val="9"/>
            <color indexed="81"/>
            <rFont val="Tahoma"/>
            <family val="2"/>
          </rPr>
          <t>Total gross premium reserve held for all future surviving policyholders at projected time period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Ben</author>
  </authors>
  <commentList>
    <comment ref="K3" authorId="0" shapeId="0" xr:uid="{A42F2296-EA1B-45BE-AB86-73C8B4C626DA}">
      <text>
        <r>
          <rPr>
            <sz val="9"/>
            <color indexed="81"/>
            <rFont val="Tahoma"/>
            <family val="2"/>
          </rPr>
          <t>Prescribed valuation discount rate for the Net Premium Reserve.</t>
        </r>
      </text>
    </comment>
    <comment ref="L3" authorId="0" shapeId="0" xr:uid="{12FA4AE3-F013-4310-9E79-972A450B19A1}">
      <text>
        <r>
          <rPr>
            <sz val="9"/>
            <color indexed="81"/>
            <rFont val="Tahoma"/>
            <family val="2"/>
          </rPr>
          <t>Valuation discount rate used for cash flows, expressed as monthly percentage.</t>
        </r>
      </text>
    </comment>
    <comment ref="M3" authorId="0" shapeId="0" xr:uid="{B59B466F-DACC-4DBF-A642-0F4920D6C6E7}">
      <text>
        <r>
          <rPr>
            <sz val="9"/>
            <color indexed="81"/>
            <rFont val="Tahoma"/>
            <family val="2"/>
          </rPr>
          <t>Prescribed valuation mortality rate, based on the 2017 Commissioners' Standard Ordinary table or "CSO".</t>
        </r>
      </text>
    </comment>
    <comment ref="N3" authorId="0" shapeId="0" xr:uid="{B407CD52-E0E0-4A80-B515-60D241EF5BA1}">
      <text>
        <r>
          <rPr>
            <sz val="9"/>
            <color indexed="81"/>
            <rFont val="Tahoma"/>
            <family val="2"/>
          </rPr>
          <t>Annual mortality rate projected for policyholder, based on 2015 Valuation Basic Table.</t>
        </r>
      </text>
    </comment>
    <comment ref="O3" authorId="0" shapeId="0" xr:uid="{3CB3F62C-9E45-4B92-B41F-B5DF7EAF6CA4}">
      <text>
        <r>
          <rPr>
            <sz val="9"/>
            <color indexed="81"/>
            <rFont val="Tahoma"/>
            <family val="2"/>
          </rPr>
          <t>VM-20 prescribed valuation net premium reserve lapse rate.</t>
        </r>
      </text>
    </comment>
    <comment ref="P3" authorId="0" shapeId="0" xr:uid="{2455BE55-367D-4352-8DA2-AA6ABDB4EBED}">
      <text>
        <r>
          <rPr>
            <sz val="9"/>
            <color indexed="81"/>
            <rFont val="Tahoma"/>
            <family val="2"/>
          </rPr>
          <t>VM-20 prescribed expense load for the net premium reserve, applied as a reduction to gross premium.</t>
        </r>
      </text>
    </comment>
    <comment ref="Q3" authorId="0" shapeId="0" xr:uid="{D31EABD0-0874-495A-AB1E-2AA41C75FFC6}">
      <text>
        <r>
          <rPr>
            <sz val="9"/>
            <color indexed="81"/>
            <rFont val="Tahoma"/>
            <family val="2"/>
          </rPr>
          <t>VM-20 prescribed expense allowance per $1000 of coverage for net premium reserve.</t>
        </r>
      </text>
    </comment>
    <comment ref="R3" authorId="0" shapeId="0" xr:uid="{1B8110AD-5C48-4EE3-9315-EE4C7FAA2F00}">
      <text>
        <r>
          <rPr>
            <sz val="9"/>
            <color indexed="81"/>
            <rFont val="Tahoma"/>
            <family val="2"/>
          </rPr>
          <t>Probability of survival for time period using net premium reserve assumptions.</t>
        </r>
      </text>
    </comment>
    <comment ref="S3" authorId="0" shapeId="0" xr:uid="{E5728C4B-D025-4733-B288-A252A170E0FD}">
      <text>
        <r>
          <rPr>
            <sz val="9"/>
            <color indexed="81"/>
            <rFont val="Tahoma"/>
            <family val="2"/>
          </rPr>
          <t>Cumulative probability of survival using net premium reserve assumptions.</t>
        </r>
      </text>
    </comment>
    <comment ref="U3" authorId="0" shapeId="0" xr:uid="{B5D233BF-6D34-4382-8E1C-4E892D5A02DC}">
      <text>
        <r>
          <rPr>
            <sz val="9"/>
            <color indexed="81"/>
            <rFont val="Tahoma"/>
            <family val="2"/>
          </rPr>
          <t>Policyholder premium amount.</t>
        </r>
      </text>
    </comment>
    <comment ref="V3" authorId="0" shapeId="0" xr:uid="{F03B7389-2D26-4703-829E-28D62D4523B3}">
      <text>
        <r>
          <rPr>
            <sz val="9"/>
            <color indexed="81"/>
            <rFont val="Tahoma"/>
            <family val="2"/>
          </rPr>
          <t>Policyholder premium amount with net premium reserve prescribed  expense loads in years 1-5.</t>
        </r>
      </text>
    </comment>
    <comment ref="W3" authorId="0" shapeId="0" xr:uid="{751E0727-524F-4E76-B32E-9F9AC92218A4}">
      <text>
        <r>
          <rPr>
            <sz val="9"/>
            <color indexed="81"/>
            <rFont val="Tahoma"/>
            <family val="2"/>
          </rPr>
          <t>Prescribed net premium reserve expense allowance in total dollars.</t>
        </r>
      </text>
    </comment>
    <comment ref="X3" authorId="0" shapeId="0" xr:uid="{DA0D8ECB-2ACE-4A65-A010-2BC241D6080E}">
      <text>
        <r>
          <rPr>
            <sz val="9"/>
            <color indexed="81"/>
            <rFont val="Tahoma"/>
            <family val="2"/>
          </rPr>
          <t>Net premium reserve projected death benefits using prescribed mortality.</t>
        </r>
      </text>
    </comment>
    <comment ref="Z3" authorId="0" shapeId="0" xr:uid="{FF04AE08-1B7D-4715-AD92-6C5B898DCB9E}">
      <text>
        <r>
          <rPr>
            <sz val="9"/>
            <color indexed="81"/>
            <rFont val="Tahoma"/>
            <family val="2"/>
          </rPr>
          <t>Present value of future adjusted gross premiums in net premium reserve calculation.</t>
        </r>
      </text>
    </comment>
    <comment ref="AA3" authorId="0" shapeId="0" xr:uid="{F5A8CD31-887A-4356-99DC-87A4265F9666}">
      <text>
        <r>
          <rPr>
            <sz val="9"/>
            <color indexed="81"/>
            <rFont val="Tahoma"/>
            <family val="2"/>
          </rPr>
          <t>Present value of future death benefits and expenses in net premium reserve calculation.</t>
        </r>
      </text>
    </comment>
    <comment ref="AB3" authorId="0" shapeId="0" xr:uid="{B88C9ADB-409E-4961-8683-63D2073F418A}">
      <text>
        <r>
          <rPr>
            <sz val="9"/>
            <color indexed="81"/>
            <rFont val="Tahoma"/>
            <family val="2"/>
          </rPr>
          <t>Valuation net premium (VNP) ratio, which equals the present value of future premium over benefits to apply to adjusted gross premium at issue for calculating the net premium amount (remains locked in from issue throughout projection).</t>
        </r>
      </text>
    </comment>
    <comment ref="AC3" authorId="0" shapeId="0" xr:uid="{3C0A6FD5-E6FC-4B6E-A405-1D51EBAAC28B}">
      <text>
        <r>
          <rPr>
            <sz val="9"/>
            <color indexed="81"/>
            <rFont val="Tahoma"/>
            <family val="2"/>
          </rPr>
          <t>Net premium in the net premium reserve calculation, which is based on the VNP ratio times the adjusted gross premium each period.</t>
        </r>
      </text>
    </comment>
    <comment ref="AD3" authorId="0" shapeId="0" xr:uid="{CC77C9EB-1A8B-4E13-849A-B9FD6942EC00}">
      <text>
        <r>
          <rPr>
            <sz val="9"/>
            <color indexed="81"/>
            <rFont val="Tahoma"/>
            <family val="2"/>
          </rPr>
          <t>Present value of future net premiums in the net premium reserve calculation.</t>
        </r>
      </text>
    </comment>
    <comment ref="AF3" authorId="0" shapeId="0" xr:uid="{229F1D3D-2CD9-4FD2-AA7B-4DD3DF02BD64}">
      <text>
        <r>
          <rPr>
            <sz val="9"/>
            <color indexed="81"/>
            <rFont val="Tahoma"/>
            <family val="2"/>
          </rPr>
          <t>Present value of future net premiums that only occur after the term level premium paying period (ignores net premiums during the level period).</t>
        </r>
      </text>
    </comment>
    <comment ref="AG3" authorId="0" shapeId="0" xr:uid="{9ABCB518-D56A-4694-8059-86BB92DD66E4}">
      <text>
        <r>
          <rPr>
            <sz val="9"/>
            <color indexed="81"/>
            <rFont val="Tahoma"/>
            <family val="2"/>
          </rPr>
          <t>Present value of future benefits that only occur after the term level premium paying period (ignores death benefits during the level period).</t>
        </r>
      </text>
    </comment>
    <comment ref="AH3" authorId="0" shapeId="0" xr:uid="{346D1087-692D-4AA0-B663-16D2071ECDE2}">
      <text>
        <r>
          <rPr>
            <sz val="9"/>
            <color indexed="81"/>
            <rFont val="Tahoma"/>
            <family val="2"/>
          </rPr>
          <t>Ratio of the present value of future post-level premiums over post-level benefits as of the issue date (stays locked in from issue).</t>
        </r>
      </text>
    </comment>
    <comment ref="AI3" authorId="0" shapeId="0" xr:uid="{E2BA98AE-17B9-48E4-A773-800F5F5CBC81}">
      <text>
        <r>
          <rPr>
            <sz val="9"/>
            <color indexed="81"/>
            <rFont val="Tahoma"/>
            <family val="2"/>
          </rPr>
          <t>Compare the ratio of present value of post-level premiums over benefits to 135%, which is prescribed in the net premium reserve calculation as the maximum allowable post-level ratio (i.e., calculation only allows profits that are 35% of benefits after the level period).</t>
        </r>
      </text>
    </comment>
    <comment ref="AK3" authorId="0" shapeId="0" xr:uid="{0342C44A-2CD8-4399-A6B3-253105A65108}">
      <text>
        <r>
          <rPr>
            <sz val="9"/>
            <color indexed="81"/>
            <rFont val="Tahoma"/>
            <family val="2"/>
          </rPr>
          <t>Post-level net premiums scaled down to a level such that post-level profits are no greater than 35% of post-level benefits; this is an adjustment to limit the amount of post-level profits that reduce the term reserve during the level period.</t>
        </r>
      </text>
    </comment>
    <comment ref="AL3" authorId="0" shapeId="0" xr:uid="{44267F9E-26D1-4BCA-A380-E541CC7A714C}">
      <text>
        <r>
          <rPr>
            <sz val="9"/>
            <color indexed="81"/>
            <rFont val="Tahoma"/>
            <family val="2"/>
          </rPr>
          <t>Present value of future initially calculated net premiums during the level premium paying period (ignoring net premiums after the level premium paying period).</t>
        </r>
      </text>
    </comment>
    <comment ref="AM3" authorId="0" shapeId="0" xr:uid="{C56DCA4E-49F1-45E5-9EC1-967C90AFF913}">
      <text>
        <r>
          <rPr>
            <sz val="9"/>
            <color indexed="81"/>
            <rFont val="Tahoma"/>
            <family val="2"/>
          </rPr>
          <t>Ratio to scale up net premiums during the level period to offset the scaling down of net premium post-level period in order to solve for the present value of net premiums at issue that was initially calculated.</t>
        </r>
      </text>
    </comment>
    <comment ref="AN3" authorId="0" shapeId="0" xr:uid="{29040C91-B335-45A1-8933-356C03F6E5D2}">
      <text>
        <r>
          <rPr>
            <sz val="9"/>
            <color indexed="81"/>
            <rFont val="Tahoma"/>
            <family val="2"/>
          </rPr>
          <t>Final net premiums after scaling up level period net premiums and post-level net premiums in order to meet the post-level profit constraint in the net premium reserve calculation.</t>
        </r>
      </text>
    </comment>
    <comment ref="AO3" authorId="0" shapeId="0" xr:uid="{F7513417-4BD3-4E81-BB69-90EBA100B93F}">
      <text>
        <r>
          <rPr>
            <sz val="9"/>
            <color indexed="81"/>
            <rFont val="Tahoma"/>
            <family val="2"/>
          </rPr>
          <t>Present value of future net premiums after adjustments to comply with the 135% limit in the net premium reserve calculation.</t>
        </r>
      </text>
    </comment>
    <comment ref="AQ3" authorId="0" shapeId="0" xr:uid="{00D97152-BF24-40F8-B01A-32D965C0D274}">
      <text>
        <r>
          <rPr>
            <sz val="9"/>
            <color indexed="81"/>
            <rFont val="Tahoma"/>
            <family val="2"/>
          </rPr>
          <t>Net premium reserve balance for each time period; equal to future benefits less future net premiums (after scaling for 135% constraint).</t>
        </r>
      </text>
    </comment>
    <comment ref="AR3" authorId="0" shapeId="0" xr:uid="{390A0CF1-DFBA-4045-B552-96864A348788}">
      <text>
        <r>
          <rPr>
            <sz val="9"/>
            <color indexed="81"/>
            <rFont val="Tahoma"/>
            <family val="2"/>
          </rPr>
          <t>Annual mean reserve; equal to the average of the beginning of year terminal reserve plus net premium and the end of year terminal reserve.</t>
        </r>
      </text>
    </comment>
    <comment ref="AS3" authorId="0" shapeId="0" xr:uid="{458ED349-3D45-49D2-9412-8C2FD7C076AE}">
      <text>
        <r>
          <rPr>
            <sz val="9"/>
            <color indexed="81"/>
            <rFont val="Tahoma"/>
            <family val="2"/>
          </rPr>
          <t>Half of the annual mortality cost, which serves as the cost of insurance floor for the net premium reserve calculation (i.e., reserve must great enough to cover the half of the premium paying period's benefits).</t>
        </r>
      </text>
    </comment>
    <comment ref="AT3" authorId="0" shapeId="0" xr:uid="{D9D5E8CA-0277-4E10-815B-8FAF8667F861}">
      <text>
        <r>
          <rPr>
            <sz val="9"/>
            <color indexed="81"/>
            <rFont val="Tahoma"/>
            <family val="2"/>
          </rPr>
          <t>Final net premium reserve after comparing the annual mean net premium reserve to the cost of insurance floor (1/2Cx).</t>
        </r>
      </text>
    </comment>
    <comment ref="AV3" authorId="0" shapeId="0" xr:uid="{053848FA-5ED9-484D-B400-9CD310E14479}">
      <text>
        <r>
          <rPr>
            <sz val="9"/>
            <color indexed="81"/>
            <rFont val="Tahoma"/>
            <family val="2"/>
          </rPr>
          <t>Projected number of surviving policyholders using best estimate assumptions (excluding margins) on which VM-20 reserves will be held with mortality improvement.</t>
        </r>
      </text>
    </comment>
    <comment ref="AW3" authorId="0" shapeId="0" xr:uid="{FEF5FB34-09AA-4FD5-A7A3-628643CA0FB7}">
      <text>
        <r>
          <rPr>
            <sz val="9"/>
            <color indexed="81"/>
            <rFont val="Tahoma"/>
            <family val="2"/>
          </rPr>
          <t>Net premium reserve for each policyholder, given survival to  projected time period.</t>
        </r>
      </text>
    </comment>
    <comment ref="AX3" authorId="0" shapeId="0" xr:uid="{C62ABBA7-5FCD-4065-8189-6B7D3E8E0D0D}">
      <text>
        <r>
          <rPr>
            <sz val="9"/>
            <color indexed="81"/>
            <rFont val="Tahoma"/>
            <family val="2"/>
          </rPr>
          <t>Total net premium reserve held for all future surviving policyholders at projected time period.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Krupa, Steve</author>
    <author>Ben</author>
  </authors>
  <commentList>
    <comment ref="B16" authorId="0" shapeId="0" xr:uid="{00000000-0006-0000-0400-000001000000}">
      <text>
        <r>
          <rPr>
            <sz val="9"/>
            <color indexed="81"/>
            <rFont val="Tahoma"/>
            <family val="2"/>
          </rPr>
          <t xml:space="preserve">Path of discount rates used in Reserve tab for Deterministic Reserve (VM-20 Section 4.A.1 use scenario #12) </t>
        </r>
      </text>
    </comment>
    <comment ref="B19" authorId="0" shapeId="0" xr:uid="{00000000-0006-0000-0400-000002000000}">
      <text>
        <r>
          <rPr>
            <sz val="9"/>
            <color indexed="81"/>
            <rFont val="Tahoma"/>
            <family val="2"/>
          </rPr>
          <t>Simplistic select factor applied to industry mortality table to represent company experience mortality</t>
        </r>
      </text>
    </comment>
    <comment ref="B21" authorId="0" shapeId="0" xr:uid="{00000000-0006-0000-0400-000003000000}">
      <text>
        <r>
          <rPr>
            <sz val="9"/>
            <color indexed="81"/>
            <rFont val="Tahoma"/>
            <family val="2"/>
          </rPr>
          <t>Simple mortality improvement factor used for projecting reserves. No mortality improvement is assumed in deterministic reserve calculation.  In practice, may apply mortality improvement up to the valuation date.</t>
        </r>
      </text>
    </comment>
    <comment ref="B22" authorId="0" shapeId="0" xr:uid="{3690B256-2122-409E-8D90-17A1C2B8432C}">
      <text>
        <r>
          <rPr>
            <sz val="9"/>
            <color indexed="81"/>
            <rFont val="Tahoma"/>
            <family val="2"/>
          </rPr>
          <t>Factor applied to experience mortality that reflects mortality deterioration of remaining policyholders that persist after the premium increase following the term level period</t>
        </r>
      </text>
    </comment>
    <comment ref="B37" authorId="0" shapeId="0" xr:uid="{00000000-0006-0000-0400-000004000000}">
      <text>
        <r>
          <rPr>
            <sz val="9"/>
            <color indexed="81"/>
            <rFont val="Tahoma"/>
            <family val="2"/>
          </rPr>
          <t>Simple spread applied to the scenario risk free rate to develop an assumed net asset earned rate used to discount cashflows in the deterministic reserve.</t>
        </r>
      </text>
    </comment>
    <comment ref="B38" authorId="0" shapeId="0" xr:uid="{00000000-0006-0000-0400-000005000000}">
      <text>
        <r>
          <rPr>
            <sz val="9"/>
            <color indexed="81"/>
            <rFont val="Tahoma"/>
            <family val="2"/>
          </rPr>
          <t>Selection switch for picking the underlying prescribed scenario driving the discount rate.</t>
        </r>
      </text>
    </comment>
    <comment ref="B43" authorId="0" shapeId="0" xr:uid="{00000000-0006-0000-0400-000007000000}">
      <text>
        <r>
          <rPr>
            <sz val="9"/>
            <color indexed="81"/>
            <rFont val="Tahoma"/>
            <family val="2"/>
          </rPr>
          <t>VM-20 Section 9.C.4.a allows two credibility methods: Limited Fluctuation Method and Buhlmann Empirical Bayesian Method.</t>
        </r>
      </text>
    </comment>
    <comment ref="B44" authorId="0" shapeId="0" xr:uid="{00000000-0006-0000-0400-000008000000}">
      <text>
        <r>
          <rPr>
            <sz val="9"/>
            <color indexed="81"/>
            <rFont val="Tahoma"/>
            <family val="2"/>
          </rPr>
          <t>See VM-20 Section 9.C.6.b.ii - In determining the sufficient data period, the company shall first identify the last policy duration at which sufficient company experience data exists. The sufficient data period then ends at the last policy duration that has 50 or more claims (i.e., no duration beyond this point has 50 claims or more) subject to the limits in Column 2 of the applicable table in Section 9.C.6.b.iii.b.</t>
        </r>
      </text>
    </comment>
    <comment ref="B53" authorId="1" shapeId="0" xr:uid="{1DE7DC38-24EF-4BC3-A65B-83E497878F60}">
      <text>
        <r>
          <rPr>
            <sz val="9"/>
            <color indexed="81"/>
            <rFont val="Tahoma"/>
            <family val="2"/>
          </rPr>
          <t xml:space="preserve">CSO is the Commissioners' Standard Ordinary prescribed mortality table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Ben</author>
    <author>Krupa, Steve</author>
  </authors>
  <commentList>
    <comment ref="C3" authorId="0" shapeId="0" xr:uid="{00000000-0006-0000-0800-000001000000}">
      <text>
        <r>
          <rPr>
            <b/>
            <sz val="9"/>
            <color indexed="81"/>
            <rFont val="Tahoma"/>
            <family val="2"/>
          </rPr>
          <t>Ben:</t>
        </r>
        <r>
          <rPr>
            <sz val="9"/>
            <color indexed="81"/>
            <rFont val="Tahoma"/>
            <family val="2"/>
          </rPr>
          <t xml:space="preserve">
These scenarios are prescribed from the VM-20 prescribed scenario generator.</t>
        </r>
      </text>
    </comment>
    <comment ref="D3" authorId="0" shapeId="0" xr:uid="{00000000-0006-0000-0800-000002000000}">
      <text>
        <r>
          <rPr>
            <b/>
            <sz val="9"/>
            <color indexed="81"/>
            <rFont val="Tahoma"/>
            <family val="2"/>
          </rPr>
          <t>Ben:</t>
        </r>
        <r>
          <rPr>
            <sz val="9"/>
            <color indexed="81"/>
            <rFont val="Tahoma"/>
            <family val="2"/>
          </rPr>
          <t xml:space="preserve">
The gross premium reserve, or deterministic reserve excluding margins is used to determine the reserve for the purposes of the stochastic exclusion ratio test.</t>
        </r>
      </text>
    </comment>
    <comment ref="C22" authorId="0" shapeId="0" xr:uid="{00000000-0006-0000-0800-000003000000}">
      <text>
        <r>
          <rPr>
            <sz val="9"/>
            <color indexed="81"/>
            <rFont val="Tahoma"/>
            <family val="2"/>
          </rPr>
          <t>Scenario 9 = Baseline Scenario, as specified in VM-20.</t>
        </r>
      </text>
    </comment>
    <comment ref="C23" authorId="1" shapeId="0" xr:uid="{00000000-0006-0000-0800-000004000000}">
      <text>
        <r>
          <rPr>
            <sz val="9"/>
            <color indexed="81"/>
            <rFont val="Tahoma"/>
            <family val="2"/>
          </rPr>
          <t>maximum of the adjusted deterministic reserve from 15 scenarios, other than baseline 9.</t>
        </r>
      </text>
    </comment>
    <comment ref="C25" authorId="0" shapeId="0" xr:uid="{00000000-0006-0000-0800-000005000000}">
      <text>
        <r>
          <rPr>
            <sz val="9"/>
            <color indexed="81"/>
            <rFont val="Tahoma"/>
            <family val="2"/>
          </rPr>
          <t>Scenario 9 = Baseline Scenario, as specified in VM-20. Benefits for this test include deterministic reserve outflows, including expenses.</t>
        </r>
      </text>
    </comment>
    <comment ref="C28" authorId="0" shapeId="0" xr:uid="{00000000-0006-0000-0800-000006000000}">
      <text>
        <r>
          <rPr>
            <sz val="9"/>
            <color indexed="81"/>
            <rFont val="Tahoma"/>
            <family val="2"/>
          </rPr>
          <t>If the difference between the highest scenario reserve and the baseline scenario reserve over the baseline present value of benefits is below 6.0%, the test is passed.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Ben</author>
    <author>Krupa, Steve</author>
  </authors>
  <commentList>
    <comment ref="C3" authorId="0" shapeId="0" xr:uid="{9AE2D4CD-B8E1-4762-BA93-1D22B7D881B3}">
      <text>
        <r>
          <rPr>
            <b/>
            <sz val="9"/>
            <color indexed="81"/>
            <rFont val="Tahoma"/>
            <family val="2"/>
          </rPr>
          <t>Ben:</t>
        </r>
        <r>
          <rPr>
            <sz val="9"/>
            <color indexed="81"/>
            <rFont val="Tahoma"/>
            <family val="2"/>
          </rPr>
          <t xml:space="preserve">
These scenarios are prescribed from the VM-20 prescribed scenario generator.</t>
        </r>
      </text>
    </comment>
    <comment ref="D3" authorId="0" shapeId="0" xr:uid="{0F5E58B2-4E91-46A9-9E30-C4E1CBA1AE8A}">
      <text>
        <r>
          <rPr>
            <b/>
            <sz val="9"/>
            <color indexed="81"/>
            <rFont val="Tahoma"/>
            <family val="2"/>
          </rPr>
          <t>Ben:</t>
        </r>
        <r>
          <rPr>
            <sz val="9"/>
            <color indexed="81"/>
            <rFont val="Tahoma"/>
            <family val="2"/>
          </rPr>
          <t xml:space="preserve">
The gross premium reserve, or deterministic reserve excluding margins is used to determine the reserve for the purposes of the stochastic exclusion ratio test.</t>
        </r>
      </text>
    </comment>
    <comment ref="C22" authorId="0" shapeId="0" xr:uid="{EFEC212B-58F3-4795-AFF9-B719DA103201}">
      <text>
        <r>
          <rPr>
            <sz val="9"/>
            <color indexed="81"/>
            <rFont val="Tahoma"/>
            <family val="2"/>
          </rPr>
          <t>Scenario 9 = Baseline Scenario, as specified in VM-20.</t>
        </r>
      </text>
    </comment>
    <comment ref="C23" authorId="1" shapeId="0" xr:uid="{951E4EF6-5944-44C0-BC02-04474F2F7B78}">
      <text>
        <r>
          <rPr>
            <sz val="9"/>
            <color indexed="81"/>
            <rFont val="Tahoma"/>
            <family val="2"/>
          </rPr>
          <t>maximum of the adjusted deterministic reserve from 15 scenarios, other than baseline 9.</t>
        </r>
      </text>
    </comment>
    <comment ref="C25" authorId="0" shapeId="0" xr:uid="{B015089C-8966-4CC5-93E6-E05F57076592}">
      <text>
        <r>
          <rPr>
            <sz val="9"/>
            <color indexed="81"/>
            <rFont val="Tahoma"/>
            <family val="2"/>
          </rPr>
          <t>Scenario 9 = Baseline Scenario, as specified in VM-20. Benefits for this test include deterministic reserve outflows, including expenses.</t>
        </r>
      </text>
    </comment>
    <comment ref="C28" authorId="0" shapeId="0" xr:uid="{6E072CF7-9F6F-4F85-A886-25DEB2D84DEA}">
      <text>
        <r>
          <rPr>
            <sz val="9"/>
            <color indexed="81"/>
            <rFont val="Tahoma"/>
            <family val="2"/>
          </rPr>
          <t>If the difference between the highest scenario reserve and the baseline scenario reserve over the baseline present value of benefits is below 6.0%, the test is passed.</t>
        </r>
      </text>
    </comment>
  </commentList>
</comments>
</file>

<file path=xl/sharedStrings.xml><?xml version="1.0" encoding="utf-8"?>
<sst xmlns="http://schemas.openxmlformats.org/spreadsheetml/2006/main" count="765" uniqueCount="519">
  <si>
    <t>Premium</t>
  </si>
  <si>
    <t>Policy Year</t>
  </si>
  <si>
    <t>Expense</t>
  </si>
  <si>
    <t>Interest</t>
  </si>
  <si>
    <t>Death Claim</t>
  </si>
  <si>
    <t>Released on Death</t>
  </si>
  <si>
    <t>Released on Lapse</t>
  </si>
  <si>
    <t>Face:</t>
  </si>
  <si>
    <t>Age/Dur</t>
  </si>
  <si>
    <t>Issue Age:</t>
  </si>
  <si>
    <t>Select Period:</t>
  </si>
  <si>
    <t>Attained Age</t>
  </si>
  <si>
    <t>Policy Month</t>
  </si>
  <si>
    <t>Lapse rate</t>
  </si>
  <si>
    <t>Current Month</t>
  </si>
  <si>
    <t>Mortality:</t>
  </si>
  <si>
    <t>Mortality Load</t>
  </si>
  <si>
    <t>0–45</t>
  </si>
  <si>
    <t>46–47</t>
  </si>
  <si>
    <t>48–49</t>
  </si>
  <si>
    <t>50–51</t>
  </si>
  <si>
    <t>52–53</t>
  </si>
  <si>
    <t>54–55</t>
  </si>
  <si>
    <t>56–57</t>
  </si>
  <si>
    <t>58–59</t>
  </si>
  <si>
    <t>60–61</t>
  </si>
  <si>
    <t>62–63</t>
  </si>
  <si>
    <t>64–65</t>
  </si>
  <si>
    <t>66–67</t>
  </si>
  <si>
    <t>68–69</t>
  </si>
  <si>
    <t>70–71</t>
  </si>
  <si>
    <t>72–73</t>
  </si>
  <si>
    <t>74–75</t>
  </si>
  <si>
    <t>76–77</t>
  </si>
  <si>
    <t>78–79</t>
  </si>
  <si>
    <t>80–81</t>
  </si>
  <si>
    <t>82–83</t>
  </si>
  <si>
    <t>84–85</t>
  </si>
  <si>
    <t>86–87</t>
  </si>
  <si>
    <t>88–89</t>
  </si>
  <si>
    <t>90–91</t>
  </si>
  <si>
    <t>92–93</t>
  </si>
  <si>
    <t>94–95</t>
  </si>
  <si>
    <t>96–97</t>
  </si>
  <si>
    <t>98–99</t>
  </si>
  <si>
    <t>100–101</t>
  </si>
  <si>
    <t>102–103</t>
  </si>
  <si>
    <t>104–105</t>
  </si>
  <si>
    <t>106 and over</t>
  </si>
  <si>
    <t>Attained Age Start</t>
  </si>
  <si>
    <t>Lapse Margin</t>
  </si>
  <si>
    <t>Expense Margin</t>
  </si>
  <si>
    <t>Margin</t>
  </si>
  <si>
    <t>Margin * 100</t>
  </si>
  <si>
    <t>Margin Switch</t>
  </si>
  <si>
    <t>Lapse:</t>
  </si>
  <si>
    <t>Expense:</t>
  </si>
  <si>
    <t>Reported (w/ All Margin)</t>
  </si>
  <si>
    <t>2015 Valuation Basic Table RR 100 M Ns ANB</t>
  </si>
  <si>
    <t>Duration Year &gt;&gt;&gt;</t>
  </si>
  <si>
    <t>Expense Inflation</t>
  </si>
  <si>
    <t>Expense Inflation:</t>
  </si>
  <si>
    <t>A</t>
  </si>
  <si>
    <t>B</t>
  </si>
  <si>
    <t>C</t>
  </si>
  <si>
    <t>D</t>
  </si>
  <si>
    <t>E</t>
  </si>
  <si>
    <t>Column</t>
  </si>
  <si>
    <t>Output Description</t>
  </si>
  <si>
    <t>Mortality Margin</t>
  </si>
  <si>
    <t>Prescribed Limited Fluctuation 0% Credibility</t>
  </si>
  <si>
    <t>Expense Inflation Margin</t>
  </si>
  <si>
    <t>Deterministic Reserve - Excluding Mortality Margin</t>
  </si>
  <si>
    <t>N/A</t>
  </si>
  <si>
    <t>Deterministic Reserve - Excluding Lapse Margin</t>
  </si>
  <si>
    <t>Deterministic Reserve - Excluding Expense Margin</t>
  </si>
  <si>
    <t>F</t>
  </si>
  <si>
    <t>Exclude All Margin</t>
  </si>
  <si>
    <t>Deterministic Reserve - Excluding Expense Inflation Margin</t>
  </si>
  <si>
    <t>Deterministic Reserve - Prudent Estimate (25bp reduction in NAER)</t>
  </si>
  <si>
    <t>Deterministic Reserve - Prudent Estimate (20% reduction in premium and premium vanishes by year 5)</t>
  </si>
  <si>
    <t>G</t>
  </si>
  <si>
    <t>H</t>
  </si>
  <si>
    <t>Deterministic Reserve - Prudent Estimate (Minimum Premium paid to keep NLG inforce for 20 years)</t>
  </si>
  <si>
    <t>Deterministic Reserve Sensitivity Assumptions</t>
  </si>
  <si>
    <t>I</t>
  </si>
  <si>
    <t>Current Year End</t>
  </si>
  <si>
    <t>Tab Color Scheme</t>
  </si>
  <si>
    <t>Blue</t>
  </si>
  <si>
    <t>Green</t>
  </si>
  <si>
    <t>Calculation/ Formula</t>
  </si>
  <si>
    <t>Yellow</t>
  </si>
  <si>
    <t>Description</t>
  </si>
  <si>
    <t>Input</t>
  </si>
  <si>
    <t>Mortality</t>
  </si>
  <si>
    <t>Lapse</t>
  </si>
  <si>
    <t>Input Tab Margin Testing Switches</t>
  </si>
  <si>
    <t>Input Tab Premium Sensitivity</t>
  </si>
  <si>
    <t>Adjusted Deterministic Reserve - Anticipated Experience (exclude all margin)</t>
  </si>
  <si>
    <t>Deterministic Reserve - (Reported) Prudent Estimate (include all margin)</t>
  </si>
  <si>
    <t>Summary</t>
  </si>
  <si>
    <t>Red</t>
  </si>
  <si>
    <t>Reserve BOP</t>
  </si>
  <si>
    <t>Males - 2017</t>
  </si>
  <si>
    <t>Females - 2017</t>
  </si>
  <si>
    <t>Mortality Improvement:</t>
  </si>
  <si>
    <t>Males -2016</t>
  </si>
  <si>
    <t>Females -2016</t>
  </si>
  <si>
    <t>Calendar Year End</t>
  </si>
  <si>
    <t>Issue Year: (Jan 1 issue)</t>
  </si>
  <si>
    <t>LEGAL DISCLAIMER</t>
  </si>
  <si>
    <t>Product Summary</t>
  </si>
  <si>
    <t xml:space="preserve">From time to time, the American Academy of Actuaries makes available through its website or other means various tools and illustrative examples. The Academy takes reasonable steps to develop such tools consistent with accepted actuarial principles and practices. However, the Academy does not warranty these tools as fit for use in any respect, and no warranty should be assumed or implied by any individual.
Actuaries, insurers, regulators and other parties use the Academy's tools at their own risk. The Academy disclaims all responsibility for any party's use or misuse of its tools and for any work product generated through use or misuse of these tools and illustrations.
</t>
  </si>
  <si>
    <t>Exclude Mortality Margin</t>
  </si>
  <si>
    <t>Exclude Lapse Margin</t>
  </si>
  <si>
    <t>Exclude Expense Margin</t>
  </si>
  <si>
    <t>2.5% increase in expense</t>
  </si>
  <si>
    <t>.10% increase in expense inflation</t>
  </si>
  <si>
    <t>15% reduction in all applicable durations (first 15 years where lapse rates not 0%)</t>
  </si>
  <si>
    <t>Component</t>
  </si>
  <si>
    <t>Timing and Frequency Convention</t>
  </si>
  <si>
    <t>Compound monthly</t>
  </si>
  <si>
    <t>Paid annually at beginning of policy year</t>
  </si>
  <si>
    <t>Term (in years)</t>
  </si>
  <si>
    <t>Face Amount</t>
  </si>
  <si>
    <t>Reserve Rollforward</t>
  </si>
  <si>
    <t>Reserve Reconciliation</t>
  </si>
  <si>
    <t>Coverage Status</t>
  </si>
  <si>
    <t>Base Assumptions</t>
  </si>
  <si>
    <t>Term Deterministic Reserve</t>
  </si>
  <si>
    <t>Monthly Mort w/Margin</t>
  </si>
  <si>
    <t>Annual Inflation</t>
  </si>
  <si>
    <t>Total Inflation</t>
  </si>
  <si>
    <t>Inflation Margin</t>
  </si>
  <si>
    <t>Lapse with Margin</t>
  </si>
  <si>
    <t>Deterministic Reserve Cash Flows</t>
  </si>
  <si>
    <t>Deterministic Reserve</t>
  </si>
  <si>
    <t>Assumptions With Margins</t>
  </si>
  <si>
    <t>Annual
Interest</t>
  </si>
  <si>
    <t>Monthly
Interest</t>
  </si>
  <si>
    <t>Per Policy
Expense</t>
  </si>
  <si>
    <t>Interest Margin</t>
  </si>
  <si>
    <t>Annual Interest w/Margin</t>
  </si>
  <si>
    <t>Monthly Interest w/Margin</t>
  </si>
  <si>
    <t>Premium Rate</t>
  </si>
  <si>
    <t>Deterministic Reserve Margin Testing</t>
  </si>
  <si>
    <t>Mortality Improvement</t>
  </si>
  <si>
    <t>Cumulative Improvement</t>
  </si>
  <si>
    <t>Mortality Improvement (%)</t>
  </si>
  <si>
    <t xml:space="preserve"> Improvement Cum Margin</t>
  </si>
  <si>
    <t>Included Margin</t>
  </si>
  <si>
    <t>No Margin</t>
  </si>
  <si>
    <t>Male</t>
  </si>
  <si>
    <t>Inflation w/Margin</t>
  </si>
  <si>
    <t>Expenses w/Margin</t>
  </si>
  <si>
    <r>
      <t xml:space="preserve">Gross Premium Reserve Cash Flows </t>
    </r>
    <r>
      <rPr>
        <b/>
        <i/>
        <sz val="11"/>
        <color rgb="FF29679F"/>
        <rFont val="Calibri"/>
        <family val="2"/>
        <scheme val="minor"/>
      </rPr>
      <t>(reserve using best estimate assumptions, excluding margins)</t>
    </r>
  </si>
  <si>
    <t>No Expense or Inflation Margin</t>
  </si>
  <si>
    <t>No Interest Margin</t>
  </si>
  <si>
    <t>Excl Interest Margin</t>
  </si>
  <si>
    <t>No Mortality Margin &amp; Include Improvement</t>
  </si>
  <si>
    <t>Gross Premium Reserve
(No Margins)</t>
  </si>
  <si>
    <t>Instructions</t>
  </si>
  <si>
    <r>
      <rPr>
        <b/>
        <u/>
        <sz val="16"/>
        <color theme="1"/>
        <rFont val="Calibri"/>
        <family val="2"/>
        <scheme val="minor"/>
      </rPr>
      <t>Exercise</t>
    </r>
    <r>
      <rPr>
        <b/>
        <sz val="16"/>
        <color theme="1"/>
        <rFont val="Calibri"/>
        <family val="2"/>
        <scheme val="minor"/>
      </rPr>
      <t>: VM-20 Margin Analysis</t>
    </r>
  </si>
  <si>
    <t>#</t>
  </si>
  <si>
    <t xml:space="preserve">The example demonstrates the Deterministic Reserve mechanics as a simplification for one 20 year level term policy issued at age 45 on January 1, 2018 for $100,000 face amount. Note this is an illustrative example and there is no warranty that the product would meet regulatory requirements for pricing, standard non-forfeiture and/or valuation. </t>
  </si>
  <si>
    <t>Overview, questions, and description of tabs</t>
  </si>
  <si>
    <t>Inputs</t>
  </si>
  <si>
    <t>User controlled input (blue inputs are controlled by user)</t>
  </si>
  <si>
    <t>Recursive calculation using deterministic gross premium reserve assumptions, margin testing options and sensitivity testing options from Input tab to calculate Deterministic Reserve including with and without margins</t>
  </si>
  <si>
    <t>Margin Analysis</t>
  </si>
  <si>
    <t>Timing Conventions</t>
  </si>
  <si>
    <t>Tab Descriptions</t>
  </si>
  <si>
    <t>Tab Name</t>
  </si>
  <si>
    <t>Annual</t>
  </si>
  <si>
    <t>Monthly</t>
  </si>
  <si>
    <t>Improvement</t>
  </si>
  <si>
    <t>Annual expense</t>
  </si>
  <si>
    <t>Scenario Risk-Free Rate</t>
  </si>
  <si>
    <t>Interest Rate Scenario</t>
  </si>
  <si>
    <t>Investment Portfolio Net Spread (%)</t>
  </si>
  <si>
    <t>Mortality Base Year</t>
  </si>
  <si>
    <t>Lapse Rate</t>
  </si>
  <si>
    <t>Stochastic Exclusion Test Scenarios</t>
  </si>
  <si>
    <t>Baseline</t>
  </si>
  <si>
    <t>Scenario 1 - Pop Up, High Equity</t>
  </si>
  <si>
    <t>Scenario 2 - Pop Up, Low Equity</t>
  </si>
  <si>
    <t>Scenario 3 - Pop Down, High Equity</t>
  </si>
  <si>
    <t>Scenario 4 - Pop Down, Low Equity</t>
  </si>
  <si>
    <t>Scenario 6 - Up / Down, Low Equity</t>
  </si>
  <si>
    <t>Scenario 5 - Up / Down, High Equity</t>
  </si>
  <si>
    <t>Scenario 8 - Down / Up, Low Equity</t>
  </si>
  <si>
    <t>Scenario 7 - Down / Up, High Equity</t>
  </si>
  <si>
    <t>Scenario 9 - Baseline Scenario</t>
  </si>
  <si>
    <t>Scenario 10 - Inverted Yield Curves</t>
  </si>
  <si>
    <t>Scenario 11 - Volatile Equity Returns</t>
  </si>
  <si>
    <t>Scenario 12 - Deterministic Scenario for Valuation</t>
  </si>
  <si>
    <t>Scenario 13 - Delayed Pop Up, High Equity</t>
  </si>
  <si>
    <t>Scenario 14 - Delayed Pop Up, Low Equity</t>
  </si>
  <si>
    <t>Scenario 15 - Delayed Pop Down, High Equity</t>
  </si>
  <si>
    <t>Scenario 16 - Delayed Pop Down, Low Equity</t>
  </si>
  <si>
    <t>Insurance Period Attained Age (Omega)</t>
  </si>
  <si>
    <t>Gross Annual Premium (per 1000)</t>
  </si>
  <si>
    <t>Expense Inflation (%) (annual on pol mth 1)</t>
  </si>
  <si>
    <t>Risk-Free Int Rate</t>
  </si>
  <si>
    <t>Net Inv
Spread</t>
  </si>
  <si>
    <t>Stochastic Exclusion Ratio Test</t>
  </si>
  <si>
    <t>Scenario</t>
  </si>
  <si>
    <t>a</t>
  </si>
  <si>
    <r>
      <t>Scenario 9 Reserve</t>
    </r>
    <r>
      <rPr>
        <sz val="11"/>
        <color theme="1"/>
        <rFont val="Calibri"/>
        <family val="2"/>
      </rPr>
      <t>²</t>
    </r>
  </si>
  <si>
    <t>b</t>
  </si>
  <si>
    <t>Max Reserve</t>
  </si>
  <si>
    <t>b - a</t>
  </si>
  <si>
    <t>Max Excess</t>
  </si>
  <si>
    <t>c</t>
  </si>
  <si>
    <r>
      <t>Scenario 9 PV(Ben)</t>
    </r>
    <r>
      <rPr>
        <sz val="11"/>
        <color theme="1"/>
        <rFont val="Calibri"/>
        <family val="2"/>
      </rPr>
      <t>²</t>
    </r>
  </si>
  <si>
    <t>(b - a) / c</t>
  </si>
  <si>
    <t>Exclusion Ratio</t>
  </si>
  <si>
    <t>Ratio &gt; 6.0%?</t>
  </si>
  <si>
    <t>1 - Pop Up, High Equity</t>
  </si>
  <si>
    <t>2 - Pop Up, Low Equity</t>
  </si>
  <si>
    <t>3 - Pop Down, High Equity</t>
  </si>
  <si>
    <t>4 - Pop Down, Low Equity</t>
  </si>
  <si>
    <t>5 - Up / Down, High Equity</t>
  </si>
  <si>
    <t>6 - Up / Down, Low Equity</t>
  </si>
  <si>
    <t>7 - Down / Up, High Equity</t>
  </si>
  <si>
    <t>8 - Down / Up, Low Equity</t>
  </si>
  <si>
    <t>9 - Baseline Scenario</t>
  </si>
  <si>
    <t>10 - Inverted Yield Curves</t>
  </si>
  <si>
    <t>11 - Volatile Equity Returns</t>
  </si>
  <si>
    <t>12 - Deterministic for Valuation</t>
  </si>
  <si>
    <t>13 - Delayed Pop Up, High Equity</t>
  </si>
  <si>
    <t>14 - Delayed Pop Up, Low Equity</t>
  </si>
  <si>
    <t>15 - Delayed Pop Down, High Equity</t>
  </si>
  <si>
    <t>16 - Delayed Pop Down, Low Equity</t>
  </si>
  <si>
    <t>Year 10 End-of-Year
Gross Premium Reserve</t>
  </si>
  <si>
    <t>1.a</t>
  </si>
  <si>
    <t>1.b</t>
  </si>
  <si>
    <t>1.c</t>
  </si>
  <si>
    <t>1.d</t>
  </si>
  <si>
    <t>1.e</t>
  </si>
  <si>
    <t>1.f</t>
  </si>
  <si>
    <t>2.a</t>
  </si>
  <si>
    <t>2.b</t>
  </si>
  <si>
    <t>2.c</t>
  </si>
  <si>
    <t>2.d</t>
  </si>
  <si>
    <t>2.e</t>
  </si>
  <si>
    <t>Product and Portfolio Descriptions</t>
  </si>
  <si>
    <t>Asset Portfolio Description</t>
  </si>
  <si>
    <t>The asset portfolio backing this term product only contains non-callable fixed income assets. There are no equities contained in the asset portfolio. The average credit quality of the fixed income assets have a S&amp;P credit rating of 50% A / 50% BBB.</t>
  </si>
  <si>
    <t>More about the Stochastic Exclusion Ratio Test…</t>
  </si>
  <si>
    <t>VM-20 allows companies to elect exclusion tests for the deterministic and stochastic reserve. If these exclusion tests are passed, then the company is not required to calculate the associated reserve calculation (though the net premium reserve must still be calculated). There are a few options available in VM-20 for companies to perform the stochastic exclusion test. One of these options is called the stochastic exclusion ratio test, in which the VM-20 scenario generator prescribes 16 scenarios. The company must calculate the deterministic reserve excluding explicit margins (adjusted deterministic scenario) or the gross premium reserve through each scenario. The difference between the highest scenario reserve and the baseline scenario reserve is divided by the baseline scenario present value of benefits and expenses. If this ratio is below 6.0%, the test passes and the company is not required to model the stochastic reserve for the respective group of policies. In addition, the company is then required to document the results in the PBR Actuarial Report.</t>
  </si>
  <si>
    <t>&lt;46</t>
  </si>
  <si>
    <t>&gt;105</t>
  </si>
  <si>
    <t>8%–12%</t>
  </si>
  <si>
    <t>13%–17%</t>
  </si>
  <si>
    <t>18%–22%</t>
  </si>
  <si>
    <t>23%–27%</t>
  </si>
  <si>
    <t>28%–32%</t>
  </si>
  <si>
    <t>33%–37%</t>
  </si>
  <si>
    <t>38%–42%</t>
  </si>
  <si>
    <t>43%–47%</t>
  </si>
  <si>
    <t>48%–52%</t>
  </si>
  <si>
    <t>53%–57%</t>
  </si>
  <si>
    <t>58%–62%</t>
  </si>
  <si>
    <t>63%–67%</t>
  </si>
  <si>
    <t>68%–72%</t>
  </si>
  <si>
    <t>73%–77%</t>
  </si>
  <si>
    <t>78%–82%</t>
  </si>
  <si>
    <t>83%–87%</t>
  </si>
  <si>
    <t>88%–92%</t>
  </si>
  <si>
    <t>93%–100%</t>
  </si>
  <si>
    <t>Att-Age Range</t>
  </si>
  <si>
    <t>AttAge\Credibility</t>
  </si>
  <si>
    <t>Credibility Range</t>
  </si>
  <si>
    <t>Credibility Index</t>
  </si>
  <si>
    <t>0%-19%</t>
  </si>
  <si>
    <t>Maximum # of
years for data to be considered sufficient</t>
  </si>
  <si>
    <t>Grading Credibility Index</t>
  </si>
  <si>
    <t>Max # Yrs of Suff Data</t>
  </si>
  <si>
    <t>Policy Duration</t>
  </si>
  <si>
    <t>Actual # Suff Yrs</t>
  </si>
  <si>
    <t>Max Number of Yrs to Grade to 100%</t>
  </si>
  <si>
    <t>Duration Start Grade</t>
  </si>
  <si>
    <t>Duration End Grade</t>
  </si>
  <si>
    <t>Company Experience Weight</t>
  </si>
  <si>
    <t>Industry Weight</t>
  </si>
  <si>
    <t>Industry Mortality Table:</t>
  </si>
  <si>
    <t>Industry Annual Mortality</t>
  </si>
  <si>
    <t>Company Annual Mortality</t>
  </si>
  <si>
    <t>AttAge</t>
  </si>
  <si>
    <t>Graded Annual Mortality w/ Prescribed Margin</t>
  </si>
  <si>
    <t>Monthly Mort wo/Margin</t>
  </si>
  <si>
    <t>Annual Inforce Survivorship</t>
  </si>
  <si>
    <t>Company Experience Select Factor:</t>
  </si>
  <si>
    <t>Prescribed Margins</t>
  </si>
  <si>
    <t>Company Experience Margins</t>
  </si>
  <si>
    <t>Projected Deterministic Reserve</t>
  </si>
  <si>
    <t xml:space="preserve">Inforce Survivorship </t>
  </si>
  <si>
    <t>Projected Gross Premium Reserve</t>
  </si>
  <si>
    <t>Max years to begin grading after sufficient data no longer exists</t>
  </si>
  <si>
    <t>Max years to reach 100% of applicable industry table</t>
  </si>
  <si>
    <t>Industry Mortality Margin</t>
  </si>
  <si>
    <t>Company Experience Mortality Margin - Limited Fluctuation Credibility method</t>
  </si>
  <si>
    <t>Prescribed Margin</t>
  </si>
  <si>
    <t>Attained Age Range</t>
  </si>
  <si>
    <t>Issue Age</t>
  </si>
  <si>
    <t>Applicable Mortality Margins for Policyholder</t>
  </si>
  <si>
    <t>Company Mortality Margin</t>
  </si>
  <si>
    <t>Annual Company Mort + Improv</t>
  </si>
  <si>
    <t>Industry Mortality Table</t>
  </si>
  <si>
    <t>Company Experience Mortality Table</t>
  </si>
  <si>
    <t>PBR Prudent Estimate Grading</t>
  </si>
  <si>
    <t>PBR Prescribed Grading Parameters</t>
  </si>
  <si>
    <t>Credibility</t>
  </si>
  <si>
    <t>More about the 16 Scenarios for the Stochastic Exclusion Ratio Test…</t>
  </si>
  <si>
    <t>Remaining Level Years</t>
  </si>
  <si>
    <t>Post-Level Mortality Deterioration Factor (%)</t>
  </si>
  <si>
    <t>Interest:</t>
  </si>
  <si>
    <t>Post-Level Term Profits:</t>
  </si>
  <si>
    <t>Expense Load</t>
  </si>
  <si>
    <t>Gross Premium</t>
  </si>
  <si>
    <t>Adjusted Gross Premium</t>
  </si>
  <si>
    <t>p(x)</t>
  </si>
  <si>
    <t>Survivorship</t>
  </si>
  <si>
    <t>VNP Ratio</t>
  </si>
  <si>
    <t>Valuation Net Premium</t>
  </si>
  <si>
    <t>PV Post-Level Benefits</t>
  </si>
  <si>
    <t>PV Post-Level Net Premium</t>
  </si>
  <si>
    <t>Post-Level Premium to Benefit Ratio</t>
  </si>
  <si>
    <t>Adjusted PV Post-Level Net Premium</t>
  </si>
  <si>
    <t>PV Level Net Premium</t>
  </si>
  <si>
    <t>PV Adjusted Valuation Net Premium</t>
  </si>
  <si>
    <t>Post-Level Net Premium Scaling Ratio</t>
  </si>
  <si>
    <t>Level Net Premium Scaling Ratio</t>
  </si>
  <si>
    <t>PV Valuation Net Premium</t>
  </si>
  <si>
    <t>Adjusted Valuation Net Premium</t>
  </si>
  <si>
    <t>Terminal Reserves</t>
  </si>
  <si>
    <t>Annual Mean Reserves</t>
  </si>
  <si>
    <t>1/2Cx</t>
  </si>
  <si>
    <t>Net Premium Reserves</t>
  </si>
  <si>
    <t>NPR EOP Reserve</t>
  </si>
  <si>
    <t>NPR Projected EOP Reserve</t>
  </si>
  <si>
    <t>2017 Loaded CSO Male Nonsmoker ANB Mortality Rates per 1000</t>
  </si>
  <si>
    <t>= Row corresponding to year with maximum deterministic Reserve</t>
  </si>
  <si>
    <t>How to Use Margin Switch Box</t>
  </si>
  <si>
    <t>First Year Expense Per Policy (Annual)</t>
  </si>
  <si>
    <t>Renewal Year Expense Per Policy (Annual)</t>
  </si>
  <si>
    <t>Gross Annual Premium (per 1000) - Level Period</t>
  </si>
  <si>
    <t>Post-Level Premium % of Net Premium Reserve Mortality</t>
  </si>
  <si>
    <t>Lapse Rate - Year 1</t>
  </si>
  <si>
    <t>Lapse Rate - Years 2-10 (in level period)</t>
  </si>
  <si>
    <t>Lapse Rate - Years 11+ (in level period)</t>
  </si>
  <si>
    <t>Shock Lapse</t>
  </si>
  <si>
    <t>Lapse Rate - Post-Level Period</t>
  </si>
  <si>
    <t>Additional Information on Inputs for Company Experience Assumptions &amp; Product Features</t>
  </si>
  <si>
    <t>The inputs included in this section are foundational to the product, policy, and reserve projection. This includes the face amount covered for the death benefit (assumed as a level death benefit in this example), age at which the policy is issued, and sex. In addition, the final insurance period attained age is specified (after which the projection terminates), the select period used in the mortality table, the calendar year at issue, and the length of the level premium period for the term product. The level premium period is the length for which the premium stays constant before increasing.</t>
  </si>
  <si>
    <t>General Assumptions and Inputs</t>
  </si>
  <si>
    <t>Additional Information on General Assumptions and Inputs</t>
  </si>
  <si>
    <t>Valuation Annual Mortality</t>
  </si>
  <si>
    <t>Expense Allowance Per Unit</t>
  </si>
  <si>
    <t>Expense Allowance</t>
  </si>
  <si>
    <t>Net Premium Reserve Cash Flows</t>
  </si>
  <si>
    <t>Initial Valuation Net Premium Calculation</t>
  </si>
  <si>
    <t>Determine Whether to Scale Post-Level Net Premium</t>
  </si>
  <si>
    <t>Projected Net Premium Reserve</t>
  </si>
  <si>
    <t>Final Valuation Net Premium</t>
  </si>
  <si>
    <t>Net Premium Reserve Per Policy</t>
  </si>
  <si>
    <t>Valuation Monthly Mortality</t>
  </si>
  <si>
    <r>
      <t xml:space="preserve">VM-20 allows companies to elect exclusion tests for the deterministic and stochastic reserve. If these exclusion tests are passed, then the company is not required to calculate the associated reserve calculation (though the net premium reserve must still be calculated). There are a few options available in VM-20 for companies to perform the stochastic exclusion test. One of these options is called the stochastic exclusion ratio test, in which the VM-20 scenario generator prescribes 16 scenarios. These 16 scenarios are described in Appendix I of VM-20 and shared below:
</t>
    </r>
    <r>
      <rPr>
        <b/>
        <u/>
        <sz val="11"/>
        <color rgb="FF002060"/>
        <rFont val="Calibri"/>
        <family val="2"/>
        <scheme val="minor"/>
      </rPr>
      <t>Scenario 1 – Pop up, high equity</t>
    </r>
    <r>
      <rPr>
        <sz val="11"/>
        <color rgb="FF002060"/>
        <rFont val="Calibri"/>
        <family val="2"/>
        <scheme val="minor"/>
      </rPr>
      <t xml:space="preserve">
Interest rate shocks are selected to maintain the cumulative shock at the 90% level (1.282 standard errors). Equity returns are selected to maintain the cumulative equity return at the 90% level.
</t>
    </r>
    <r>
      <rPr>
        <b/>
        <u/>
        <sz val="11"/>
        <color rgb="FF002060"/>
        <rFont val="Calibri"/>
        <family val="2"/>
        <scheme val="minor"/>
      </rPr>
      <t>Scenario 2 – Pop up, low equity</t>
    </r>
    <r>
      <rPr>
        <sz val="11"/>
        <color rgb="FF002060"/>
        <rFont val="Calibri"/>
        <family val="2"/>
        <scheme val="minor"/>
      </rPr>
      <t xml:space="preserve">
Interest rate shocks are selected to maintain the cumulative shock at the 90% level (1.282 standard errors). Equity returns are selected to maintain the cumulative equity return at the 10% level.
</t>
    </r>
    <r>
      <rPr>
        <b/>
        <u/>
        <sz val="11"/>
        <color rgb="FF002060"/>
        <rFont val="Calibri"/>
        <family val="2"/>
        <scheme val="minor"/>
      </rPr>
      <t xml:space="preserve">Scenario 3 – Pop down, high equity
</t>
    </r>
    <r>
      <rPr>
        <sz val="11"/>
        <color rgb="FF002060"/>
        <rFont val="Calibri"/>
        <family val="2"/>
        <scheme val="minor"/>
      </rPr>
      <t xml:space="preserve">Interest rate shocks are selected to maintain the cumulative shock at the 10% level (1.282 standard errors). Equity returns are selected to maintain the cumulative equity return at the 90% level.
</t>
    </r>
    <r>
      <rPr>
        <b/>
        <u/>
        <sz val="11"/>
        <color rgb="FF002060"/>
        <rFont val="Calibri"/>
        <family val="2"/>
        <scheme val="minor"/>
      </rPr>
      <t xml:space="preserve">Scenario 4 – Pop down, low equity
</t>
    </r>
    <r>
      <rPr>
        <sz val="11"/>
        <color rgb="FF002060"/>
        <rFont val="Calibri"/>
        <family val="2"/>
        <scheme val="minor"/>
      </rPr>
      <t xml:space="preserve">Interest rate shocks are selected to maintain the cumulative shock at the 10% level (1.282 standard errors). Equity returns are selected to maintain the cumulative equity return at the 10% level.
</t>
    </r>
    <r>
      <rPr>
        <b/>
        <u/>
        <sz val="11"/>
        <color rgb="FF002060"/>
        <rFont val="Calibri"/>
        <family val="2"/>
        <scheme val="minor"/>
      </rPr>
      <t xml:space="preserve">Scenario 5 – Up/down, high equity
</t>
    </r>
    <r>
      <rPr>
        <sz val="11"/>
        <color rgb="FF002060"/>
        <rFont val="Calibri"/>
        <family val="2"/>
        <scheme val="minor"/>
      </rPr>
      <t xml:space="preserve">Interest rate shocks are selected that, for each five-year period, are consistently in the same direction. The cumulative shock for each five-year period is at the 90% level during “up” periods and at the 10% level during “down” periods. Equity returns are selected to maintain the cumulative equity return at the 90% level.
</t>
    </r>
    <r>
      <rPr>
        <b/>
        <u/>
        <sz val="11"/>
        <color rgb="FF002060"/>
        <rFont val="Calibri"/>
        <family val="2"/>
        <scheme val="minor"/>
      </rPr>
      <t>Scenario 6 – Up/down, low equity</t>
    </r>
    <r>
      <rPr>
        <sz val="11"/>
        <color rgb="FF002060"/>
        <rFont val="Calibri"/>
        <family val="2"/>
        <scheme val="minor"/>
      </rPr>
      <t xml:space="preserve">
Interest rate shocks are selected that, for each five-year period, are consistently in the same direction. The cumulative shock for each five-year period is at the 90% level during “up” periods and at the 10% level during “down” periods. Equity returns are selected to maintain the cumulative equity return at the 10% level.
</t>
    </r>
    <r>
      <rPr>
        <b/>
        <u/>
        <sz val="11"/>
        <color rgb="FF002060"/>
        <rFont val="Calibri"/>
        <family val="2"/>
        <scheme val="minor"/>
      </rPr>
      <t xml:space="preserve">Scenario 7 – Down/up, high equity
</t>
    </r>
    <r>
      <rPr>
        <sz val="11"/>
        <color rgb="FF002060"/>
        <rFont val="Calibri"/>
        <family val="2"/>
        <scheme val="minor"/>
      </rPr>
      <t xml:space="preserve">Interest rate shocks are selected that, for each five-year period, are consistently in the same direction. The cumulative shock for each five-year period is at the 90% level during “up” periods and at the 10% level during “down” periods. Equity returns are selected to maintain the cumulative equity return at the 90% level.
</t>
    </r>
    <r>
      <rPr>
        <b/>
        <u/>
        <sz val="11"/>
        <color rgb="FF002060"/>
        <rFont val="Calibri"/>
        <family val="2"/>
        <scheme val="minor"/>
      </rPr>
      <t>Scenario 8 – Down/up, low equity</t>
    </r>
    <r>
      <rPr>
        <sz val="11"/>
        <color rgb="FF002060"/>
        <rFont val="Calibri"/>
        <family val="2"/>
        <scheme val="minor"/>
      </rPr>
      <t xml:space="preserve">
Interest rate shocks are selected that, for each five-year period, are consistently in the same direction. The cumulative shock for each five-year period is at the 90% level during “up” periods and at the 10% level during “down” periods. Equity returns are selected to maintain the cumulative equity return at the 10% level.
</t>
    </r>
    <r>
      <rPr>
        <b/>
        <u/>
        <sz val="11"/>
        <color rgb="FF002060"/>
        <rFont val="Calibri"/>
        <family val="2"/>
        <scheme val="minor"/>
      </rPr>
      <t>Scenario 9 – Baseline scenario</t>
    </r>
    <r>
      <rPr>
        <sz val="11"/>
        <color rgb="FF002060"/>
        <rFont val="Calibri"/>
        <family val="2"/>
        <scheme val="minor"/>
      </rPr>
      <t xml:space="preserve">
All shocks are zero.
</t>
    </r>
    <r>
      <rPr>
        <b/>
        <u/>
        <sz val="11"/>
        <color rgb="FF002060"/>
        <rFont val="Calibri"/>
        <family val="2"/>
        <scheme val="minor"/>
      </rPr>
      <t>Scenario 10 – Inverted yield curves</t>
    </r>
    <r>
      <rPr>
        <sz val="11"/>
        <color rgb="FF002060"/>
        <rFont val="Calibri"/>
        <family val="2"/>
        <scheme val="minor"/>
      </rPr>
      <t xml:space="preserve">
There are no shocks to long-term rates and equities. There are shocks to the spread between short and long rates that are consistently in the same
direction for each three-year period. The shocks for the first three-year period are in the direction of reducing the spread (usually causing an inverted yield curve). Shocks for each subsequent three-year period alternate in direction.
</t>
    </r>
    <r>
      <rPr>
        <b/>
        <u/>
        <sz val="11"/>
        <color rgb="FF002060"/>
        <rFont val="Calibri"/>
        <family val="2"/>
        <scheme val="minor"/>
      </rPr>
      <t xml:space="preserve">Scenario 11 – Volatile equity returns
</t>
    </r>
    <r>
      <rPr>
        <sz val="11"/>
        <color rgb="FF002060"/>
        <rFont val="Calibri"/>
        <family val="2"/>
        <scheme val="minor"/>
      </rPr>
      <t xml:space="preserve">There are no shocks to interest rates. There are shocks to equity returns that are consistently in the same direction for each two-year period and then switch directions.
</t>
    </r>
    <r>
      <rPr>
        <b/>
        <u/>
        <sz val="11"/>
        <color rgb="FF002060"/>
        <rFont val="Calibri"/>
        <family val="2"/>
        <scheme val="minor"/>
      </rPr>
      <t xml:space="preserve">Scenario 12 – Deterministic scenario for valuation
</t>
    </r>
    <r>
      <rPr>
        <sz val="11"/>
        <color rgb="FF002060"/>
        <rFont val="Calibri"/>
        <family val="2"/>
        <scheme val="minor"/>
      </rPr>
      <t xml:space="preserve">There are uniform downward shocks each month for 20 years, sufficient to get down to the one standard deviation point (84%) on the distribution of 20-year shocks. After 20 years, shocks are zero.
</t>
    </r>
    <r>
      <rPr>
        <b/>
        <u/>
        <sz val="11"/>
        <color rgb="FF002060"/>
        <rFont val="Calibri"/>
        <family val="2"/>
        <scheme val="minor"/>
      </rPr>
      <t xml:space="preserve">Scenario 13 – Delayed pop up, high equity
</t>
    </r>
    <r>
      <rPr>
        <sz val="11"/>
        <color rgb="FF002060"/>
        <rFont val="Calibri"/>
        <family val="2"/>
        <scheme val="minor"/>
      </rPr>
      <t xml:space="preserve">There are interest rate shocks that are zero for the first 10 years, followed by 10 years of shocks—each 1.414 (square root of 2) times those in the first 10 years of Scenario 1. This gives the same 20-year cumulative shock as scenario 1, but all the shock is concentrated in the second 10 years. After 20 years, the shock is the same as scenario 1. Equity returns are selected to maintain the cumulative equity return at the 90% level. 
</t>
    </r>
    <r>
      <rPr>
        <b/>
        <u/>
        <sz val="11"/>
        <color rgb="FF002060"/>
        <rFont val="Calibri"/>
        <family val="2"/>
        <scheme val="minor"/>
      </rPr>
      <t xml:space="preserve">Scenario 14 – Delayed pop up, low equity
</t>
    </r>
    <r>
      <rPr>
        <sz val="11"/>
        <color rgb="FF002060"/>
        <rFont val="Calibri"/>
        <family val="2"/>
        <scheme val="minor"/>
      </rPr>
      <t xml:space="preserve">There are interest rate shocks that are zero for the first 10 years, followed by 10 years of shocks— each 1.414 (square root of 2) times those in the first 10 years of Scenario 2. This gives the same 20-year cumulative shock as scenario 2, but all the shock is concentrated in the second 10 years. After 20 years, the shock is the same as scenario 1. Equity returns are selected to maintain the cumulative equity return at the 10% level.
</t>
    </r>
    <r>
      <rPr>
        <b/>
        <u/>
        <sz val="11"/>
        <color rgb="FF002060"/>
        <rFont val="Calibri"/>
        <family val="2"/>
        <scheme val="minor"/>
      </rPr>
      <t xml:space="preserve">Scenario 15 – Delayed pop down, high equity
</t>
    </r>
    <r>
      <rPr>
        <sz val="11"/>
        <color rgb="FF002060"/>
        <rFont val="Calibri"/>
        <family val="2"/>
        <scheme val="minor"/>
      </rPr>
      <t xml:space="preserve">There are interest rate shocks that are zero for the first 10 years, followed by 10 years of shocks—each 1.414 (square root of 2) times those in the first 10 years of Scenario 3. This gives the same 20-year cumulative shock as scenario 3, but all the shock is concentrated in the second 10 years. After 20 years, the shock is the same as scenario 3. Equity returns are selected to maintain the cumulative equity return at the 90% level.
</t>
    </r>
    <r>
      <rPr>
        <b/>
        <u/>
        <sz val="11"/>
        <color rgb="FF002060"/>
        <rFont val="Calibri"/>
        <family val="2"/>
        <scheme val="minor"/>
      </rPr>
      <t>Scenario 16 – Delayed pop down, low equity</t>
    </r>
    <r>
      <rPr>
        <sz val="11"/>
        <color rgb="FF002060"/>
        <rFont val="Calibri"/>
        <family val="2"/>
        <scheme val="minor"/>
      </rPr>
      <t xml:space="preserve">
There are interest rate shocks that are zero for the first 10 years, followed by 10 years of shocks—each 1.414 (square root of 2) times those in the first 10 years of Scenario 4. This gives the same 20-year cumulative shock as scenario 4, but all the shock is concentrated in the second 10 years. After 20 years, the shock is the same as scenario 4. Equity returns are selected to maintain the cumulative equity return at the 10% level.</t>
    </r>
  </si>
  <si>
    <t>Term Net Premium Reserve</t>
  </si>
  <si>
    <t>PV Adjusted Gross Premiums</t>
  </si>
  <si>
    <t>PV Benefits</t>
  </si>
  <si>
    <t>PBR Reserve Summary</t>
  </si>
  <si>
    <r>
      <t xml:space="preserve">VM-20 PBR Reserve
</t>
    </r>
    <r>
      <rPr>
        <sz val="11"/>
        <color theme="1"/>
        <rFont val="Calibri"/>
        <family val="2"/>
        <scheme val="minor"/>
      </rPr>
      <t>(Greater of NPR &amp; DR)</t>
    </r>
  </si>
  <si>
    <r>
      <t xml:space="preserve">Deterministic Reserve </t>
    </r>
    <r>
      <rPr>
        <sz val="11"/>
        <color theme="1"/>
        <rFont val="Calibri"/>
        <family val="2"/>
        <scheme val="minor"/>
      </rPr>
      <t>(VM-20 Margin)</t>
    </r>
  </si>
  <si>
    <r>
      <t xml:space="preserve">Gross Premium Reserve </t>
    </r>
    <r>
      <rPr>
        <sz val="11"/>
        <color theme="1"/>
        <rFont val="Calibri"/>
        <family val="2"/>
        <scheme val="minor"/>
      </rPr>
      <t>(No Margin)</t>
    </r>
  </si>
  <si>
    <r>
      <t xml:space="preserve">Net Premium Reserve
</t>
    </r>
    <r>
      <rPr>
        <sz val="11"/>
        <color theme="1"/>
        <rFont val="Calibri"/>
        <family val="2"/>
        <scheme val="minor"/>
      </rPr>
      <t>(Prescribed)</t>
    </r>
  </si>
  <si>
    <t>This tab shows the PBR reserve for the term product in this spreadsheet. The final PBR reserve is calculated as the maximum of the net premium reserve and the deterministic reserve, which are calculated on the "Deterministic Reserve" and "Net Premium Reserve" tabs respectively. Normally, the Deferred Premium Asset is added to the deterministic reserve when comparing to the net premium reserve in VM-20, but this spreadsheet assumes the Deferred Premium Asset is zero. The graph above shows the deterministic reserve in the blue line and the net premium reserve in the grey line, so the greater of these two lines each year equals the VM-20 PBR reserve. The orange line is the gross premium reserve, or the deterministic reserve with no margins on assumptions.</t>
  </si>
  <si>
    <t>Turn individual margins on and off to see the incremental impact on the VM-20 deterministic reserve compared to the best estimate gross premium reserve. The difference upon changing the switch is the impact of the margin.</t>
  </si>
  <si>
    <t>Total Margin (cover)</t>
  </si>
  <si>
    <t>Candidates are to fill out grey shaded numbers above by turning on and off margins in the summary tab and copying the deterministic reserve results. Each column above can ben filled in by copying the numbers in cells E3:22 of the Summary tab after individually turning each margin off in cells D25:31 in the Summary tab (turn each margin back on before turning another off when copying over new numbers). Observe the graphs and tables on the side. Answer the questions in the Instructions tab.</t>
  </si>
  <si>
    <t>No Lapse Margin &amp; No Post-Level Term Profits</t>
  </si>
  <si>
    <t>Mortality Tables</t>
  </si>
  <si>
    <t>Deterministic Reserve Margins</t>
  </si>
  <si>
    <t>Net Premium Reserve Assumptions</t>
  </si>
  <si>
    <t>Additional Information on Net Premium Reserve Inputs</t>
  </si>
  <si>
    <t>Additional Information on Deterministic Reserve Margin Inputs</t>
  </si>
  <si>
    <t>2017 CSO</t>
  </si>
  <si>
    <t>Term Shock Lapse at the End of Level Period (%)</t>
  </si>
  <si>
    <t>Term Level Period Lapse Rate (%)</t>
  </si>
  <si>
    <t>Mortality Credibility (Limited Fluctuation Method)</t>
  </si>
  <si>
    <t>Year 1 Expense Load (% of Gross Premium)</t>
  </si>
  <si>
    <t>Valuation Interest Rate (%)</t>
  </si>
  <si>
    <t>Expense Allowance (Per 1000 face amount)</t>
  </si>
  <si>
    <t>Years 2-5 Expense Load (% of Gross Premium)</t>
  </si>
  <si>
    <t>Post-Level Term Premium / Benefit Constraint (%)</t>
  </si>
  <si>
    <t>Number of Years of Company Sufficient Data Period</t>
  </si>
  <si>
    <t>Expense Margin (%)</t>
  </si>
  <si>
    <t>Expense Inflation Margin (%)</t>
  </si>
  <si>
    <t>Interest Margin (%)</t>
  </si>
  <si>
    <t>Term Post-Level Period Lapse Rate (%)</t>
  </si>
  <si>
    <t>Credibility
Range</t>
  </si>
  <si>
    <t>0%–7%</t>
  </si>
  <si>
    <t>Industry Attained Age Index</t>
  </si>
  <si>
    <t>Company Experience Prescribed Mortality Margin</t>
  </si>
  <si>
    <t>Industry Prescribed Mortality Margin</t>
  </si>
  <si>
    <t>Company Experience Attained Age Index</t>
  </si>
  <si>
    <t>The following table is provided in VM-20 to gather initial inputs for the timing at which the grading from the company experience mortality assumption to the industry mortality assumption in the deterministic reserve calculation occurs. The credibility represents the amount of historical experience to support the company assumption and the sufficient data period represents the furthest out duration for which the  company has experience of at least 50 claims. The greater the credibility and further out the sufficient data period, the later in the deterministic reserve projection the grading from company mortality to industry mortality occurs.</t>
  </si>
  <si>
    <t>Max Number Yrs to Begin Grading After Sufficient</t>
  </si>
  <si>
    <t>Net Premium Reserve</t>
  </si>
  <si>
    <t>Mortality Margins &amp; Grading</t>
  </si>
  <si>
    <t>Exclusion Test</t>
  </si>
  <si>
    <t>High-level summary of key projected DR results with and without margin (from Projected DR Output tab); Graph Deterministic Reserve amounts, dollar of margin and percent of margin. This includes the following:
  1. Projected VM-20 Reserve (greater of the net premium reserve and deterministic reserve
  2. Projected Net Premium Reserve (prescribed)
  3. Projected Deterministic Reserve (includes all margins)
  4. Projected Gross Premium Reserve (excludes all margins)
  5. % of Aggregate Margin = (3) / (4) - 1</t>
  </si>
  <si>
    <t>3.a</t>
  </si>
  <si>
    <t>3.b</t>
  </si>
  <si>
    <t>3.c</t>
  </si>
  <si>
    <t>3.d</t>
  </si>
  <si>
    <t>3.e</t>
  </si>
  <si>
    <t>Does the net premium reserve include mortality improvement in the calculation? Will there be any changes to the comparison between the net premium reserve and deterministic reserve if mortality improvement starts to materialize for the insurable population over time?</t>
  </si>
  <si>
    <t>The 135% post-level premium to benefit ratio for the term net premium reserve is prescribed in VM-20. If you change this number from 135% to 175%, what happens to the net premium reserve? Why do you think this is and what does this say about what the 135% represents in the net premium reserve calculation?</t>
  </si>
  <si>
    <t>Requests the candidate to enter various deterministic reserve results from the Summary tab with specified margins excluded to measure the impact on the reserve. Includes graphs of the deterministic reserve amounts, dollar of margin, and percent of margin to help the candidate analyze the impact</t>
  </si>
  <si>
    <t>Net premium reserve calculation using the VM-20 prescribed assumptions and rules-based methodology for the net premium reserve calculation</t>
  </si>
  <si>
    <t>Contains the company mortality table and industry mortality table used for the deterministic reserve calculation, in addition to the prescribed mortality table used for the net premium reserve calculation</t>
  </si>
  <si>
    <t>Contains the margin inputs for the company and industry mortality in the deterministic reserve calculation, in addition to the inputs to determine the timing and speed at which company mortality grades into industry mortality over the course of the deterministic reserve projection</t>
  </si>
  <si>
    <t>Requests the candidate to enter various deterministic reserve results from the deterministic reserve tab with specified risk-free interest rate scenarios. Set up as a stochastic exclusion ratio test (as described in Section 6 of VM-20) to determine whether the term product requires a stochastic reserve for the VM-20 PBR calculation</t>
  </si>
  <si>
    <t>Sex:</t>
  </si>
  <si>
    <t>The following lists three mortality tables used in the VM-20 PBR reserve calculation: the industry mortality table for the deterministic reserve calculation, the company mortality table for the deterministic reserve calculation, and the prescribed mortality for the net premium reserve calculation. In this model, the industry table uses the 2015 Valuation Basic Table (VBT), whereas the company table uses a company select factor (on the "Input" tab) applied to the industry table. The company mortality grades to the industry mortality in the deterministic reserve calculation at a certain point in the projection depending on the VM-20 credibility and sufficient data period calculation (the lower the credibility of company experience, the sooner the mortality grades to the industry assumption). The prescribed net premium reserve mortality is the 2017 Commissioners' Standard Ordinary table.</t>
  </si>
  <si>
    <t>The below table contains the VM-20 prescribed margin, which is applied as a multiplicative increase to the company mortality assumption in the deterministic reserve calculation. The prescribed margin depends on the amount of company data (i.e., credibility) and the attained age of the policyholder in the deterministic reserve calculation. If a company has greater credibility to support their experience mortality assumption, then a lower margin is required in the VM-20 deterministic reserve due to lower uncertainty around the assumption. If a company has lower credibility to support their experience mortality assumption, then a higher margin is required to support the greater level of uncertainty.</t>
  </si>
  <si>
    <t>The below table contains the prescribed mortality margin to multiplicatively apply to the industry mortality table in the VM-20 reserve calculation. The industry margin is greater than the company experience margin since the industry assumption kicks in upon low credibility in outer years.</t>
  </si>
  <si>
    <t>Deterministic Reserve Margin (%)</t>
  </si>
  <si>
    <t>The below table provides the company experience and industry mortality margins for the given level of credibility being modeled. Note the industry margin level does not vary based on the level of company credibility since it only kicks in when the company has lower credibility in outer years - the timing of which depends on the grading calculation (for which the inputs are provided on the right of this tab).</t>
  </si>
  <si>
    <t>Based on the level of credibility supporting the company experience mortality assumption and the sufficient data period, the below table provides inputs and associated weighting that determines the speed at which the company mortality grades into the industry mortality in the deterministic reserve calculation. The sufficient data period expresses the last duration at which there are 50 or greater claims, representing the furthest duration for which the company does not have an immaterial amount of experience at. Therefore, a company with a greater credibility to support the mortality assumption and a further out sufficient data period will not see grading to the industry mortality assumption and the higher associated margin until further out in the deterministic reserve projection.</t>
  </si>
  <si>
    <t>Answer Key for Candidates</t>
  </si>
  <si>
    <t>Answers to Spreadsheet Assignments</t>
  </si>
  <si>
    <t>Mortality. The mortality assumption is the most significant driver of the reserves which are heavily dependent upon the resulting death claims. However, in later years of the projection, the lapse margin and post-level profit restriction start to have the largest impact, driven by fewer years of mortality improvement remaining in the projection and the greater emphasis on the present value of post-level period cash flows when approaching the end of the level period.</t>
  </si>
  <si>
    <t>Mortality improvement. At 95% credibility, the mortality margin is 3.5% to 4.0% over the level period for the policy. In contrast, the mortality improvement is 0.5% each year, which cumulatively builds throughout the projection. Over a 20-year level premium period, this results in the mortality improvement having a larger impact. However, if the credibility percentage were lower, it is possible that the mortality margin could have a larger impact than the mortality improvement. It needs to be decreased from 95% down to 50% to have around the same impact as the mortality improvement margin.</t>
  </si>
  <si>
    <t>No, as demonstrated by passing the exclusion test. This is driven by the short duration of the term product relative to other permanent products, creating less exposure to interest rate risk.</t>
  </si>
  <si>
    <t>Yes.</t>
  </si>
  <si>
    <t>Company A will be more likely to have the net premium reserve dominate because the higher premiums will decrease the deterministic reserve relative to the net premium reserve. In contrast, Company B will have a higher deterministic reserve relative to the net premium reserve, due to the lower premiums. One important thing to note is that while the deterministic reserve will be different between the two companies, the net premium reserve will be the same (assuming the premium slope is the same between the two).</t>
  </si>
  <si>
    <t>Assuming no changes to the mortality and expense assumptions, what do you think are product features that companies can change to influence the level of the net premium reserve calculation (ignoring the deterministic reserve calculation)? How do these features influence the net premium reserve calculation?</t>
  </si>
  <si>
    <t>If Company A and Company B sell identical products to identical insurable populations, but company B has a more competitive product (i.e., lower premium), whereas Company A has a less competitive product (i.e., higher premium), which will more likely have the net premium reserve dominate?</t>
  </si>
  <si>
    <t>What are the outcomes of passing or failing this test for a company? Why would a company want to take this test? Are there any situations in which a company could be incentivized to forgo this test?</t>
  </si>
  <si>
    <t>If there are any scenarios that produce the same reserve level in some cases, why do you think this is the case? What do you think this indicates about the assets contained in the company portfolio supporting this product?</t>
  </si>
  <si>
    <t>Which scenario/s produces the highest reserve for this policy in performing the stochastic exclusion ratio test? Why do you think this?</t>
  </si>
  <si>
    <t>Did the policy pass the exclusion test?</t>
  </si>
  <si>
    <t>Do the sum of individual margin impacts need to necessarily equal the total impact of turning off all margins? Why do you think this is the case?</t>
  </si>
  <si>
    <t>What happens to the deterministic reserve and gross premium reserve if you increase the "Gross Annual Premium (per 1000) - Level Period" to 5.00? What if you decrease it to 0.50? When do you expect the gross premium reserve to be negative and why? Can the deterministic reserve be negative in practice?</t>
  </si>
  <si>
    <t>Which impact is greater on the total margin percentage - the mortality margin or mortality improvement? What is the reasoning behind this? How much does the mortality margin need to change for the two to have similar impacts?</t>
  </si>
  <si>
    <t>Which margin has the largest impact? Why do you think this is?</t>
  </si>
  <si>
    <t>When comparing the projected deterministic reserve and projected gross premium reserve, what is the total margin percentage at the peak of the reserves? Why does the percentage decrease at future durations?</t>
  </si>
  <si>
    <t>After exploring the worksheet, fill out grey shaded cells in the "Margin Analysis" tab using the "Summary" tab. Follow instructions on the Margin Analysis tab for more details.</t>
  </si>
  <si>
    <t>Questions for Candidate</t>
  </si>
  <si>
    <t>Spreadsheet Assignments</t>
  </si>
  <si>
    <t>Expectations for Candidates</t>
  </si>
  <si>
    <t>Disclaimer</t>
  </si>
  <si>
    <t>Spreadsheet Overview</t>
  </si>
  <si>
    <t>User Assignment and Analysis</t>
  </si>
  <si>
    <t>Purple</t>
  </si>
  <si>
    <t>Answer Key</t>
  </si>
  <si>
    <t>The length of the level period, and the relationship between the amount of premium during the level period and after the level premium period. These features impact the net premium reserve by changing the slope of premiums relative to the prescribed mortality throughout the net premium reserve projection and change the net premium solved for at issue. In addition, the length of the level period and size of the increase can result in different prescribed lapse rates under VM-20. Lastly, any decreases to the level period can minimize the number of years during the level period to which the 135% post-level premium to benefit ratio constraint applies.</t>
  </si>
  <si>
    <t>The reserve goes down significantly, especially in the later years within the level period. This is because increasing the constraint from 135% to 175% results in allowing post-profits of 75% of benefits to affect the level period reserve instead of 35%. The greater the ratio, the lower constraint and the more anticipated post-level profits can pre-fund the net premium reserve during the level period. In contrast, if the ratio were set to 100% of benefits (i.e. no post-level profits are allowed to pre-fund the level period reserve), then the reserves would increase significantly. Note the impact is greater towards the end of the level period because the present value of post-level cash flows is greater at this point in the projection.</t>
  </si>
  <si>
    <t>There is no mortality improvement applied to the net premium reserve mortality.
If mortality improvement does begin to materialize over time, this could impact the comparison between the deterministic reserve and net premium reserve. Emerging mortality improvement may be reflected in new company mortality studies based on a more recent experience, resulting in a decrease to the mortality in the deterministic reserve and the corresponding reserve level. In contrast, the net premium reserve will not change, unless a new prescribed mortality table for net premium reserve is developed and unlocked for inforce policies. Therefore, as each year passes with positive mortality improvement on the insurable population, the deterministic reserve will decrease further relative to the net premium reserve.</t>
  </si>
  <si>
    <t>(v)   Have a general understanding of all formulas in the workbook and be able to recreate calculations as needed.</t>
  </si>
  <si>
    <t>(iv)  Understand mechanics and concepts of the stochastic exclusion ratio exclusion test.</t>
  </si>
  <si>
    <t>(iii)  Have a deep understanding of the mechanics for both the term NPR and DR calculations.</t>
  </si>
  <si>
    <t>(i)    Identify and understand different types of margins - mechanically how they work and conceptually how they impact reserves.</t>
  </si>
  <si>
    <t>(ii)   Understand how inputs drive changes in the level and patterns for the NPR and DR reserves (premiums, margins, credibility, assumptions, etc.).</t>
  </si>
  <si>
    <t>(vi)  Responsible for understanding the questions and answers provided in the spreadsheet assignments.</t>
  </si>
  <si>
    <t>Premium Frequency and Deferred Premium Asset</t>
  </si>
  <si>
    <t>The premium in this spreadsheet is assumed to be paid annually. Therefore, no deferred premium asset (DPA) is assumed. If DPA were assumed, then such would need to be added to the deterministic reserve and stochastic reserve before comparing to the net premium reserve (assuming the company calculates net premium reserves on a mean annual basis and holds DPA on the asset side of the balance sheet).</t>
  </si>
  <si>
    <t>DR</t>
  </si>
  <si>
    <t>Product &amp; Projection Assumptions</t>
  </si>
  <si>
    <r>
      <rPr>
        <sz val="2"/>
        <color rgb="FF002060"/>
        <rFont val="Calibri"/>
        <family val="2"/>
        <scheme val="minor"/>
      </rPr>
      <t xml:space="preserve"> </t>
    </r>
    <r>
      <rPr>
        <sz val="11"/>
        <color rgb="FF002060"/>
        <rFont val="Calibri"/>
        <family val="2"/>
        <scheme val="minor"/>
      </rPr>
      <t xml:space="preserve">The PBR deterministic reserve assumptions are generally based on anticipated experience assumptions plus a margin for adverse deviation. Inputs listed here are for anticipated experience assumptions, which may be consistent with a company's best estimate pricing or GAAP assumptions:
</t>
    </r>
    <r>
      <rPr>
        <sz val="4"/>
        <color rgb="FF002060"/>
        <rFont val="Calibri"/>
        <family val="2"/>
        <scheme val="minor"/>
      </rPr>
      <t>--------------------------------------------------------------</t>
    </r>
    <r>
      <rPr>
        <b/>
        <u/>
        <sz val="11"/>
        <color rgb="FF002060"/>
        <rFont val="Calibri"/>
        <family val="2"/>
        <scheme val="minor"/>
      </rPr>
      <t xml:space="preserve">
Mortality Assumptions</t>
    </r>
    <r>
      <rPr>
        <sz val="11"/>
        <color rgb="FF002060"/>
        <rFont val="Calibri"/>
        <family val="2"/>
        <scheme val="minor"/>
      </rPr>
      <t xml:space="preserve"> - Company mortality is set to a percent of the 2015 Valuation Basic Table for male non-smokers (based on an SOA study). Improvement is the additional decrease to the mortality assumption for each year after the "Mortality Base Year". The post-level mortality deterioration represents the increase in the mortality scale after the level period ends, due to the expectation that only policyholders with deteriorated health will pay the higher premiums.
</t>
    </r>
    <r>
      <rPr>
        <sz val="4"/>
        <color rgb="FF002060"/>
        <rFont val="Calibri"/>
        <family val="2"/>
        <scheme val="minor"/>
      </rPr>
      <t xml:space="preserve">--------------------------------------------------------------
</t>
    </r>
    <r>
      <rPr>
        <b/>
        <u/>
        <sz val="11"/>
        <color rgb="FF002060"/>
        <rFont val="Calibri"/>
        <family val="2"/>
        <scheme val="minor"/>
      </rPr>
      <t>Premium Inputs</t>
    </r>
    <r>
      <rPr>
        <sz val="11"/>
        <color rgb="FF002060"/>
        <rFont val="Calibri"/>
        <family val="2"/>
        <scheme val="minor"/>
      </rPr>
      <t xml:space="preserve"> - The premium levels are contractual product features and not assumptions. The term, level period premium is the first input. The second input is the increased premiums after the period, set as a percentage of Commissioners' Standard Ordinary table or "CSO" (used in NPR).
</t>
    </r>
    <r>
      <rPr>
        <sz val="4"/>
        <color rgb="FF002060"/>
        <rFont val="Calibri"/>
        <family val="2"/>
        <scheme val="minor"/>
      </rPr>
      <t>--------------------------------------------------------------</t>
    </r>
    <r>
      <rPr>
        <sz val="11"/>
        <color rgb="FF002060"/>
        <rFont val="Calibri"/>
        <family val="2"/>
        <scheme val="minor"/>
      </rPr>
      <t xml:space="preserve">
</t>
    </r>
    <r>
      <rPr>
        <b/>
        <u/>
        <sz val="11"/>
        <color rgb="FF002060"/>
        <rFont val="Calibri"/>
        <family val="2"/>
        <scheme val="minor"/>
      </rPr>
      <t>Lapse Inputs</t>
    </r>
    <r>
      <rPr>
        <sz val="11"/>
        <color rgb="FF002060"/>
        <rFont val="Calibri"/>
        <family val="2"/>
        <scheme val="minor"/>
      </rPr>
      <t xml:space="preserve"> - Inputs are included for the first year, years 2-10 in the level period, years 11+ in the level period, and after the level period. The shock lapse represents the spike in policyholders unwilling to pay the higher premiums after the level period.
</t>
    </r>
    <r>
      <rPr>
        <sz val="4"/>
        <color rgb="FF002060"/>
        <rFont val="Calibri"/>
        <family val="2"/>
        <scheme val="minor"/>
      </rPr>
      <t>--------------------------------------------------------------</t>
    </r>
    <r>
      <rPr>
        <sz val="11"/>
        <color rgb="FF002060"/>
        <rFont val="Calibri"/>
        <family val="2"/>
        <scheme val="minor"/>
      </rPr>
      <t xml:space="preserve">
</t>
    </r>
    <r>
      <rPr>
        <b/>
        <u/>
        <sz val="11"/>
        <color rgb="FF002060"/>
        <rFont val="Calibri"/>
        <family val="2"/>
        <scheme val="minor"/>
      </rPr>
      <t>Expense Inputs</t>
    </r>
    <r>
      <rPr>
        <sz val="11"/>
        <color rgb="FF002060"/>
        <rFont val="Calibri"/>
        <family val="2"/>
        <scheme val="minor"/>
      </rPr>
      <t xml:space="preserve"> - Expense Inputs are expressed as annual per policy amounts in dollars, one for the first year and another for renewal years. The expenses here represent commissions, acquisition, and maintenance expenses. Inflation represents increases to the renewal expenses.
</t>
    </r>
    <r>
      <rPr>
        <sz val="4"/>
        <color rgb="FF002060"/>
        <rFont val="Calibri"/>
        <family val="2"/>
        <scheme val="minor"/>
      </rPr>
      <t>--------------------------------------------------------------</t>
    </r>
    <r>
      <rPr>
        <sz val="11"/>
        <color rgb="FF002060"/>
        <rFont val="Calibri"/>
        <family val="2"/>
        <scheme val="minor"/>
      </rPr>
      <t xml:space="preserve">
</t>
    </r>
    <r>
      <rPr>
        <b/>
        <u/>
        <sz val="11"/>
        <color rgb="FF002060"/>
        <rFont val="Calibri"/>
        <family val="2"/>
        <scheme val="minor"/>
      </rPr>
      <t>Investment Return Inputs</t>
    </r>
    <r>
      <rPr>
        <sz val="11"/>
        <color rgb="FF002060"/>
        <rFont val="Calibri"/>
        <family val="2"/>
        <scheme val="minor"/>
      </rPr>
      <t xml:space="preserve"> - The investment return shown here is based on the deterministic treasury scenario (scenario #12) lower on this tab, plus the company's assumed investment spread (representing asset mix, credit spreads, defaults, and recoveries). In this example, the company still assumes the deterministic interest rate scenario for the company's best estimate gross premium reserve.</t>
    </r>
  </si>
  <si>
    <t>Mortality Table</t>
  </si>
  <si>
    <t>The margin inputs listed in this sections represent modifications to anticipated experience assumptions that result in moderately adverse reserves under statutory accounting. For lapses, expenses, and inflation, the company uses actuarial judgement and analysis to determine the margin, with support shown in the PBR Actuarial Report. For mortality, the margin is prescribed based on the calculated credibility. For the margin on the investment rate, this is implicitly prescribed based on VM-20 required treasury rates, gross spreads, defaults, recoveries, and guardrails on the reinvestment strategy for fixed income. Note that no explicit margin is shown to reflect that the company best estimate interest rate path may not be the same as the deterministic reserve prescribed path (which is normally an implicit margin for VM-20 valuations). Other VM-20 implicit margins include prohibiting future mortality improvement and post-level term profits.</t>
  </si>
  <si>
    <t>GPR 
PV Ben</t>
  </si>
  <si>
    <t>GPR Projected PV Ben</t>
  </si>
  <si>
    <t>GPR Projected Reserve</t>
  </si>
  <si>
    <t>GPR
 Reserve</t>
  </si>
  <si>
    <t>Reserve Balance</t>
  </si>
  <si>
    <t>DR Reserve</t>
  </si>
  <si>
    <t>DR
PV Ben</t>
  </si>
  <si>
    <t>DR Projected PV Ben</t>
  </si>
  <si>
    <t>DR Projected Reserve</t>
  </si>
  <si>
    <t>Change the interest scenario input on the "Input" tab and use the "Reserve" tab to fill out the grey shaded cells in the "Exclusion Test" tab at end of projection year 10 for the purposes of this exercise. Follow instructions on the Margin Analysis tab for more details.</t>
  </si>
  <si>
    <t>20%–30%</t>
  </si>
  <si>
    <t>31%-32%</t>
  </si>
  <si>
    <t>33%-34%</t>
  </si>
  <si>
    <t>35%-36%</t>
  </si>
  <si>
    <t>37%-38%</t>
  </si>
  <si>
    <t>39%-40%</t>
  </si>
  <si>
    <t>41%-42%</t>
  </si>
  <si>
    <t>43%-44%</t>
  </si>
  <si>
    <t>45%-46%</t>
  </si>
  <si>
    <t>47%-48%</t>
  </si>
  <si>
    <t>52%-53%</t>
  </si>
  <si>
    <t>60%-61%</t>
  </si>
  <si>
    <t>64%-65%</t>
  </si>
  <si>
    <t>68%-69%</t>
  </si>
  <si>
    <t>85%-87%</t>
  </si>
  <si>
    <t>88%-89%</t>
  </si>
  <si>
    <t>91%-93%</t>
  </si>
  <si>
    <t>94%-100%</t>
  </si>
  <si>
    <t>Candidates are to fill out grey shaded cells to the left. This can be done by turning the interest rate scenario in the Input tab from one-by-one from 1 to 16. For the sake of this exercise let's conduct the exclusion test at the end of year 10. Once selecting a scenario, copy the policy year 10, month 12 adjusted deterministic reserve (gross premium reserve without margins) in column BX of the Deterministic Reserve tab into the associated scenario. In addition, after selecting the baseline interest rate scenario in the Input tab, copy the present value of future benefits and expenses from column BV of the Reserve tab into the associated grey cell. Once all grey cells are filled out, the remaining numbers will populate and determine whether the stochastic exclusion ratio test has been passed or failed for the term policy. Answer the questions in the Instructions tab.</t>
  </si>
  <si>
    <t>Why is lapse margin expressed as a decrease to the lapse rate? What type of life insurance product would you expect to see the lapse margin expressed as an increase? What other type of product would you expect to see the lapse margin expressed as a decrease?</t>
  </si>
  <si>
    <t>Change the "Gross Annual Premium (per 1000) - Level Period" input in the cell C25 of the "Input" tab from 2.30 to 2.70. Review the table and graph for the net premium reserve and deterministic reserve on the "Summary" tab to see the impact.</t>
  </si>
  <si>
    <t>Is the net premium reserve or the deterministic reserve generally greater when the gross annual premium during the level period is set to 2.30? How does this compare to when set to 2.70? Why do you think this changed?</t>
  </si>
  <si>
    <t>46% (peak year 12). The projected reserve is based on an inforce survivorship that is aging over time and the effect of the margins wears off over time. In addition, many of the margins are expressed as a percentage of benefits and expense. Since the percentage of reserves relative to present value of benefits and expenses becomes greater throughout the projection, the margin impact is a lower percentage on reserves.</t>
  </si>
  <si>
    <t>The margin for the deterministic reserve must increase the reserve, which in this case is a decrease to the lapse rate. Since the product is level premium term, it is lapse-supported and therefore a decrease to lapses increases reserves.
An accumulation-focused universal life product with a small or no secondary guarantee would have the lapse margin expressed as an increase to the lapse rate. In general, a product that is not lapse-supported will have a margin expressed as an increase to the lapse rate. Other examples may include participating whole life and an accumulation-focused variable universal life product.
There may be a lapse margin expressed as a decrease for other lapse supported products, such as a universal life with a secondary guarantee.</t>
  </si>
  <si>
    <t>No.  The sum of individual margins exceeds the total margin.  The assumptions and margins are correlated. If the assumptions were independent, then the two would be equal. In particular, there is correlation between the lapse margin, mortality margin, and post-level profit restriction in the deterministic reserve.</t>
  </si>
  <si>
    <t>Scenarios 3 and 4 produce the highest reserves. The interest discount rate is lowest in these cases, as the interest rates are shocked downward immediately. Scenarios 15 and 16 are a close second, for which the scenarios have a 10-year delay and then shock interest rates downward.</t>
  </si>
  <si>
    <t>Yes.  As an example, scenario 1 and 2. There are no differences in the performance of assets for the term portfolio between the two scenarios. No equity is in the portfolio supporting the term product, since some scenarios (such as scenarios 1 and 2) only vary by the assumed equity performance.</t>
  </si>
  <si>
    <t xml:space="preserve">The reserve is negative for a number of years if you increase the "Gross Annual Premium (per 1000) - Level Period" to 5.00, as the premium makes the product significantly more profitable, even with the additional margin required under the deterministic reserve. This occurs in the initial years of the policy until enough claims are generated to turn the reserve positive. This is because the gross premium reserve is the present value of outflows less inflows, which we would expect to be negative at the time of issue for a product that is priced by a company for positive return. In other words, the gross premium reserve at issue is the opposite direction of the profit margin to which the product is priced, which we expect to positive. Along the same lines, when decreasing the "Gross Annual Premium (per 1000) - Level Period" to 0.50, the deterministic reserve and gross premium reserve increase.
The deterministic reserve can be negative. If the gross premium reserve is sufficiently negative due to a profitable enough product, then even with margins included to calculate the deterministic reserve, the reserve amount may still be negative in early years. However, as is the case with the gross premium reserve, the reserve is expected to increase over time. </t>
  </si>
  <si>
    <t>Passing this test enables a company to optionally avoid calculating the stochastic reserve.  However, passing the test doesn’t preclude the company from calculating the stochastic reserve.
A company may decide to take this test to avoid implementation and maintenance costs of calculating the modeled reserve for a block of business. This may especially be the case for a small block of business or if its modeling platform can’t easily calculate the stochastic reserve. In addition, if a company believes the NPR will be greater than the modeled reserve, there may be less incentive to calculate the modeled reserve.
Yes, there are situations in which a company may want to forgo this test. If the modeled reserve can be aggregated with the modeled reserve with other products to create a greater diversification benefit. This could be due to less than 100% correlation of risks with another product, resulting in a diversification benefit to the stochastic reserve. In addition, this could be due to the net premium reserve being greater than the deterministic or stochastic reserve, which can partially or even fully offset the surplus of the deterministic or stochastic reserve being greater than the net premium reserve for another product.</t>
  </si>
  <si>
    <t>The deterministic reserve is greater at $2.30 and the net premium reserve is generally greater at $2.70. When the premium is increased, the deterministic reserve decreases, but the net premium reserve is barely impacted. This is because the net premiums in the calculation are still calibrated based on the same present value of prescribed valuation mortality, not set to the actual level of the gross premium.</t>
  </si>
  <si>
    <r>
      <t xml:space="preserve">The net premium reserve calculation is the prescribed minimum floor in the VM-20 PBR calculation. It is calculated using a rules-based reserve methodology and prescribed assumptions. The mortality table provided in this worksheet is the 2017 Commissioners' Standard Ordinary (CSO) table, which may update in practice as the SOA conducts further studies in the future and the NAIC adopts new mortality tables. The term lapse rates vary based on whether the projection year is within the term level premium period, at the end of the level premium period (i.e., shock lapse), or after the level premium period. In addition, the lapse rates prescribed in VM-20 will vary based on the jump at the end of level premium period, the length of the level premium period, and the premium scale after the level premium period (see Section 3.C.3 on the net premium preserve prescribed lapse assumptions); </t>
    </r>
    <r>
      <rPr>
        <u/>
        <sz val="11"/>
        <color rgb="FF002060"/>
        <rFont val="Calibri"/>
        <family val="2"/>
        <scheme val="minor"/>
      </rPr>
      <t>this model only assumes the net premium reserve lapse inputs on this tab and does not dynamically change for the VM-20 prescribed assumption upon the user's change to premiums, which may be consistent with actual valuation requirements</t>
    </r>
    <r>
      <rPr>
        <sz val="11"/>
        <color rgb="FF002060"/>
        <rFont val="Calibri"/>
        <family val="2"/>
        <scheme val="minor"/>
      </rPr>
      <t>. In addition, the valuation rate used for discounting, the expense allowance, and the expense load are all prescribed in VM-20. The post-level term premium to benefit constraint of 135% is a set number in VM-20 that effectively allows 35% of post-level profits projected in the net premium reserve calculation to be recognized when determining the reserve during the term level premium period.</t>
    </r>
  </si>
  <si>
    <t>This spreadsheet contains a model of future VM-20 PBR reserve calculation, including the deterministic reserve and net premium reserve component calculations. The deterministic reserve and net premium reserve are two of three components used to determine the total VM-20 PBR reserve, with the other one being the stochastic reserve (similar to the deterministic reserve, but using multiple interest rate and economic scenarios). The maximum of all three reserves equals the VM-20 PBR reserve.
The summary tab shows both the total PBR reserve calculation, the deterministic reserve, and the gross premium reserve on a 20 year level term policy. The maximum of the deterministic reserve and net premium reserve equals the total PBR reserve calculation (this spreadsheet ignores the stochastic reserve calculation component). The difference between the deterministic reserve and the gross premium reserve reflects margins and prescribed requirements used to determine a prudent estimate for the statutory reserve, reflecting moderately adverse conditions. The "Summary" tab allows candidates to toggle on and off the margins to measure the impact of conservatism reflected in the deterministic reserve. In addition, users can change assumptions on the "Input" tab to see the impact and explore the reserve calculation. This spreadsheet shows a policy level comparison, which may not be reasonable of an actual reserve comparison across a real population in aggregate.</t>
  </si>
  <si>
    <t>From time to time, the Society of Actuaries (SOA) makes tools and illustrative examples available through its website, educational curriculum, or other means . The SOA takes reasonable steps to develop such tools consistent with accepted actuarial principles and practices. However, the SOA does not warranty these tools as fit for use in any respect, and no warranty should be assumed or implied by any individual.
Actuaries, insurers, regulators and other parties use the SOA's tools at their own risk. The SOA disclaims all responsibility for any party's use or misuse of its tools and for any work product generated through use or misuse of these tools and illustrations.
Also please note this tool is currently calibrated to a specific policy cell (males, issue age 45, 20 year level premium period). The user can change product features, but such premium rates may not product reasonable reserve projections (since level premium may not be appropriate and the product premiums are not dynamically reset to appropriate level within the spreadsheet).</t>
  </si>
  <si>
    <t>Do you think this product contains material interest rate risk? Why or why not do you think this?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</si>
</sst>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00000"/>
    <numFmt numFmtId="165" formatCode="0.0000"/>
    <numFmt numFmtId="166" formatCode="0.00000"/>
    <numFmt numFmtId="167" formatCode="_(* #,##0.0000_);_(* \(#,##0.0000\);_(* &quot;-&quot;??_);_(@_)"/>
    <numFmt numFmtId="168" formatCode="0.0%"/>
    <numFmt numFmtId="169" formatCode="0.000%"/>
    <numFmt numFmtId="170" formatCode="#,##0.0"/>
    <numFmt numFmtId="171" formatCode="0.000"/>
    <numFmt numFmtId="172" formatCode="0.0"/>
    <numFmt numFmtId="173" formatCode="#,##0.000"/>
  </numFmts>
  <fonts count="45" x14ac:knownFonts="1">
    <font>
      <sz val="11"/>
      <color theme="1"/>
      <name val="Calibri"/>
      <family val="2"/>
      <scheme val="minor"/>
    </font>
    <font>
      <b/>
      <sz val="11"/>
      <color theme="1"/>
      <name val="Calibri"/>
      <family val="2"/>
      <scheme val="minor"/>
    </font>
    <font>
      <b/>
      <u/>
      <sz val="11"/>
      <color theme="1"/>
      <name val="Calibri"/>
      <family val="2"/>
      <scheme val="minor"/>
    </font>
    <font>
      <sz val="11"/>
      <color theme="1"/>
      <name val="Calibri"/>
      <family val="2"/>
      <scheme val="minor"/>
    </font>
    <font>
      <b/>
      <u/>
      <sz val="14"/>
      <color theme="1"/>
      <name val="Calibri"/>
      <family val="2"/>
      <scheme val="minor"/>
    </font>
    <font>
      <b/>
      <sz val="24"/>
      <color theme="1"/>
      <name val="Calibri"/>
      <family val="2"/>
      <scheme val="minor"/>
    </font>
    <font>
      <b/>
      <sz val="11"/>
      <color theme="0"/>
      <name val="Calibri"/>
      <family val="2"/>
      <scheme val="minor"/>
    </font>
    <font>
      <sz val="11"/>
      <color theme="0"/>
      <name val="Calibri"/>
      <family val="2"/>
      <scheme val="minor"/>
    </font>
    <font>
      <b/>
      <sz val="14"/>
      <color theme="1"/>
      <name val="Calibri"/>
      <family val="2"/>
      <scheme val="minor"/>
    </font>
    <font>
      <b/>
      <sz val="16"/>
      <color theme="1"/>
      <name val="Calibri"/>
      <family val="2"/>
      <scheme val="minor"/>
    </font>
    <font>
      <b/>
      <i/>
      <sz val="12"/>
      <color theme="1"/>
      <name val="Calibri"/>
      <family val="2"/>
      <scheme val="minor"/>
    </font>
    <font>
      <b/>
      <u/>
      <sz val="16"/>
      <color theme="1"/>
      <name val="Calibri"/>
      <family val="2"/>
      <scheme val="minor"/>
    </font>
    <font>
      <u/>
      <sz val="11"/>
      <color theme="1"/>
      <name val="Calibri"/>
      <family val="2"/>
      <scheme val="minor"/>
    </font>
    <font>
      <b/>
      <sz val="11"/>
      <color rgb="FF002060"/>
      <name val="Calibri"/>
      <family val="2"/>
      <scheme val="minor"/>
    </font>
    <font>
      <b/>
      <sz val="11"/>
      <color rgb="FF29679F"/>
      <name val="Calibri"/>
      <family val="2"/>
      <scheme val="minor"/>
    </font>
    <font>
      <b/>
      <sz val="11"/>
      <name val="Calibri"/>
      <family val="2"/>
      <scheme val="minor"/>
    </font>
    <font>
      <b/>
      <i/>
      <sz val="14"/>
      <color rgb="FF002060"/>
      <name val="Calibri"/>
      <family val="2"/>
      <scheme val="minor"/>
    </font>
    <font>
      <sz val="9"/>
      <color indexed="81"/>
      <name val="Tahoma"/>
      <family val="2"/>
    </font>
    <font>
      <b/>
      <sz val="9"/>
      <color indexed="81"/>
      <name val="Tahoma"/>
      <family val="2"/>
    </font>
    <font>
      <b/>
      <i/>
      <sz val="11"/>
      <color rgb="FF29679F"/>
      <name val="Calibri"/>
      <family val="2"/>
      <scheme val="minor"/>
    </font>
    <font>
      <i/>
      <sz val="11"/>
      <color rgb="FF002060"/>
      <name val="Calibri"/>
      <family val="2"/>
      <scheme val="minor"/>
    </font>
    <font>
      <b/>
      <i/>
      <u/>
      <sz val="12"/>
      <color rgb="FF9E0000"/>
      <name val="Calibri"/>
      <family val="2"/>
      <scheme val="minor"/>
    </font>
    <font>
      <sz val="11"/>
      <color rgb="FF9E0000"/>
      <name val="Calibri"/>
      <family val="2"/>
      <scheme val="minor"/>
    </font>
    <font>
      <b/>
      <sz val="11"/>
      <color rgb="FF9E0000"/>
      <name val="Calibri"/>
      <family val="2"/>
      <scheme val="minor"/>
    </font>
    <font>
      <sz val="11"/>
      <color rgb="FF002060"/>
      <name val="Calibri"/>
      <family val="2"/>
      <scheme val="minor"/>
    </font>
    <font>
      <b/>
      <u/>
      <sz val="12"/>
      <color rgb="FF002060"/>
      <name val="Calibri"/>
      <family val="2"/>
      <scheme val="minor"/>
    </font>
    <font>
      <b/>
      <u/>
      <sz val="11"/>
      <color rgb="FF002060"/>
      <name val="Calibri"/>
      <family val="2"/>
      <scheme val="minor"/>
    </font>
    <font>
      <sz val="11"/>
      <name val="Calibri"/>
      <family val="2"/>
      <scheme val="minor"/>
    </font>
    <font>
      <i/>
      <sz val="11"/>
      <color theme="1"/>
      <name val="Calibri"/>
      <family val="2"/>
      <scheme val="minor"/>
    </font>
    <font>
      <sz val="11"/>
      <color theme="1"/>
      <name val="Calibri"/>
      <family val="2"/>
    </font>
    <font>
      <sz val="8"/>
      <color theme="1"/>
      <name val="Calibri"/>
      <family val="2"/>
      <scheme val="minor"/>
    </font>
    <font>
      <b/>
      <sz val="12"/>
      <color rgb="FF002060"/>
      <name val="Calibri"/>
      <family val="2"/>
      <scheme val="minor"/>
    </font>
    <font>
      <b/>
      <u/>
      <sz val="12"/>
      <color theme="1"/>
      <name val="Calibri"/>
      <family val="2"/>
      <scheme val="minor"/>
    </font>
    <font>
      <i/>
      <sz val="11"/>
      <color theme="1" tint="0.249977111117893"/>
      <name val="Calibri"/>
      <family val="2"/>
      <scheme val="minor"/>
    </font>
    <font>
      <b/>
      <i/>
      <u/>
      <sz val="12"/>
      <color rgb="FF002060"/>
      <name val="Calibri"/>
      <family val="2"/>
      <scheme val="minor"/>
    </font>
    <font>
      <sz val="2"/>
      <color rgb="FF002060"/>
      <name val="Calibri"/>
      <family val="2"/>
      <scheme val="minor"/>
    </font>
    <font>
      <sz val="4"/>
      <color rgb="FF002060"/>
      <name val="Calibri"/>
      <family val="2"/>
      <scheme val="minor"/>
    </font>
    <font>
      <b/>
      <u/>
      <sz val="14"/>
      <color rgb="FF31678B"/>
      <name val="Calibri"/>
      <family val="2"/>
      <scheme val="minor"/>
    </font>
    <font>
      <sz val="11"/>
      <color rgb="FF31678B"/>
      <name val="Calibri"/>
      <family val="2"/>
      <scheme val="minor"/>
    </font>
    <font>
      <sz val="11"/>
      <color theme="9" tint="-0.499984740745262"/>
      <name val="Calibri"/>
      <family val="2"/>
      <scheme val="minor"/>
    </font>
    <font>
      <b/>
      <u/>
      <sz val="14"/>
      <color theme="9" tint="-0.499984740745262"/>
      <name val="Calibri"/>
      <family val="2"/>
      <scheme val="minor"/>
    </font>
    <font>
      <b/>
      <u/>
      <sz val="13"/>
      <color rgb="FF9E0000"/>
      <name val="Calibri"/>
      <family val="2"/>
      <scheme val="minor"/>
    </font>
    <font>
      <b/>
      <u/>
      <sz val="14"/>
      <color rgb="FF002060"/>
      <name val="Calibri"/>
      <family val="2"/>
      <scheme val="minor"/>
    </font>
    <font>
      <b/>
      <u/>
      <sz val="16"/>
      <color rgb="FF002060"/>
      <name val="Calibri"/>
      <family val="2"/>
      <scheme val="minor"/>
    </font>
    <font>
      <u/>
      <sz val="11"/>
      <color rgb="FF002060"/>
      <name val="Calibri"/>
      <family val="2"/>
      <scheme val="minor"/>
    </font>
  </fonts>
  <fills count="23">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
      <patternFill patternType="solid">
        <fgColor theme="3" tint="-0.249977111117893"/>
        <bgColor indexed="64"/>
      </patternFill>
    </fill>
    <fill>
      <patternFill patternType="solid">
        <fgColor rgb="FFDEDDEF"/>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249977111117893"/>
        <bgColor indexed="64"/>
      </patternFill>
    </fill>
    <fill>
      <patternFill patternType="solid">
        <fgColor theme="9" tint="-0.499984740745262"/>
        <bgColor indexed="64"/>
      </patternFill>
    </fill>
    <fill>
      <patternFill patternType="solid">
        <fgColor rgb="FFFFFFCC"/>
        <bgColor indexed="64"/>
      </patternFill>
    </fill>
    <fill>
      <patternFill patternType="solid">
        <fgColor rgb="FFF1E8F4"/>
        <bgColor indexed="64"/>
      </patternFill>
    </fill>
    <fill>
      <patternFill patternType="solid">
        <fgColor rgb="FF31678B"/>
        <bgColor indexed="64"/>
      </patternFill>
    </fill>
    <fill>
      <patternFill patternType="solid">
        <fgColor rgb="FFFDFBDF"/>
        <bgColor indexed="64"/>
      </patternFill>
    </fill>
    <fill>
      <patternFill patternType="solid">
        <fgColor rgb="FFF8EFDA"/>
        <bgColor indexed="64"/>
      </patternFill>
    </fill>
    <fill>
      <patternFill patternType="solid">
        <fgColor theme="4" tint="0.79998168889431442"/>
        <bgColor indexed="64"/>
      </patternFill>
    </fill>
    <fill>
      <patternFill patternType="solid">
        <fgColor rgb="FFCC99FF"/>
        <bgColor indexed="64"/>
      </patternFill>
    </fill>
  </fills>
  <borders count="4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right style="thin">
        <color rgb="FF9E0000"/>
      </right>
      <top/>
      <bottom style="thin">
        <color rgb="FF9E0000"/>
      </bottom>
      <diagonal/>
    </border>
    <border>
      <left/>
      <right/>
      <top/>
      <bottom style="thin">
        <color rgb="FF9E0000"/>
      </bottom>
      <diagonal/>
    </border>
    <border>
      <left style="thin">
        <color rgb="FF9E0000"/>
      </left>
      <right/>
      <top/>
      <bottom style="thin">
        <color rgb="FF9E0000"/>
      </bottom>
      <diagonal/>
    </border>
    <border>
      <left/>
      <right style="thin">
        <color rgb="FF9E0000"/>
      </right>
      <top/>
      <bottom/>
      <diagonal/>
    </border>
    <border>
      <left style="thin">
        <color rgb="FF9E0000"/>
      </left>
      <right/>
      <top/>
      <bottom/>
      <diagonal/>
    </border>
    <border>
      <left/>
      <right style="thin">
        <color rgb="FF9E0000"/>
      </right>
      <top style="thin">
        <color rgb="FF9E0000"/>
      </top>
      <bottom/>
      <diagonal/>
    </border>
    <border>
      <left/>
      <right/>
      <top style="thin">
        <color rgb="FF9E0000"/>
      </top>
      <bottom/>
      <diagonal/>
    </border>
    <border>
      <left style="thin">
        <color rgb="FF9E0000"/>
      </left>
      <right/>
      <top style="thin">
        <color rgb="FF9E0000"/>
      </top>
      <bottom/>
      <diagonal/>
    </border>
  </borders>
  <cellStyleXfs count="3">
    <xf numFmtId="0" fontId="0" fillId="0" borderId="0"/>
    <xf numFmtId="9" fontId="3" fillId="0" borderId="0" applyFont="0" applyFill="0" applyBorder="0" applyAlignment="0" applyProtection="0"/>
    <xf numFmtId="43" fontId="3" fillId="0" borderId="0" applyFont="0" applyFill="0" applyBorder="0" applyAlignment="0" applyProtection="0"/>
  </cellStyleXfs>
  <cellXfs count="321">
    <xf numFmtId="0" fontId="0" fillId="0" borderId="0" xfId="0"/>
    <xf numFmtId="0" fontId="0" fillId="0" borderId="0" xfId="0" applyAlignment="1">
      <alignment wrapText="1"/>
    </xf>
    <xf numFmtId="10" fontId="0" fillId="0" borderId="0" xfId="0" applyNumberFormat="1"/>
    <xf numFmtId="164" fontId="0" fillId="0" borderId="0" xfId="0" applyNumberFormat="1"/>
    <xf numFmtId="165" fontId="0" fillId="0" borderId="0" xfId="0" applyNumberFormat="1"/>
    <xf numFmtId="0" fontId="0" fillId="0" borderId="0" xfId="0" quotePrefix="1"/>
    <xf numFmtId="0" fontId="0" fillId="0" borderId="1" xfId="0" applyBorder="1"/>
    <xf numFmtId="0" fontId="1" fillId="0" borderId="1" xfId="0" applyFont="1" applyBorder="1"/>
    <xf numFmtId="0" fontId="2" fillId="0" borderId="0" xfId="0" applyFont="1"/>
    <xf numFmtId="0" fontId="0" fillId="0" borderId="0" xfId="0" applyFill="1" applyBorder="1"/>
    <xf numFmtId="10" fontId="0" fillId="0" borderId="1" xfId="0" applyNumberFormat="1" applyBorder="1"/>
    <xf numFmtId="0" fontId="1" fillId="0" borderId="0" xfId="0" applyFont="1"/>
    <xf numFmtId="0" fontId="1" fillId="0" borderId="0" xfId="0" applyFont="1" applyBorder="1"/>
    <xf numFmtId="166" fontId="0" fillId="0" borderId="0" xfId="0" applyNumberFormat="1"/>
    <xf numFmtId="0" fontId="0" fillId="0" borderId="0" xfId="0" quotePrefix="1" applyFill="1" applyBorder="1"/>
    <xf numFmtId="0" fontId="0" fillId="0" borderId="1" xfId="0" applyBorder="1" applyAlignment="1">
      <alignment wrapText="1"/>
    </xf>
    <xf numFmtId="0" fontId="1" fillId="0" borderId="1" xfId="0" applyFont="1" applyBorder="1" applyAlignment="1">
      <alignment wrapText="1"/>
    </xf>
    <xf numFmtId="3" fontId="0" fillId="0" borderId="1" xfId="0" applyNumberFormat="1" applyBorder="1"/>
    <xf numFmtId="3" fontId="1" fillId="0" borderId="1" xfId="0" applyNumberFormat="1" applyFont="1" applyBorder="1"/>
    <xf numFmtId="0" fontId="0" fillId="3" borderId="0" xfId="0" applyFill="1"/>
    <xf numFmtId="0" fontId="0" fillId="2" borderId="0" xfId="0" applyFill="1"/>
    <xf numFmtId="0" fontId="0" fillId="4" borderId="0" xfId="0" applyFill="1"/>
    <xf numFmtId="0" fontId="4" fillId="0" borderId="0" xfId="0" applyFont="1"/>
    <xf numFmtId="0" fontId="4" fillId="0" borderId="0" xfId="0" applyFont="1" applyFill="1" applyBorder="1"/>
    <xf numFmtId="0" fontId="0" fillId="0" borderId="1" xfId="0" applyFill="1" applyBorder="1" applyAlignment="1">
      <alignment wrapText="1"/>
    </xf>
    <xf numFmtId="0" fontId="0" fillId="5" borderId="0" xfId="0" applyFill="1"/>
    <xf numFmtId="0" fontId="0" fillId="0" borderId="0" xfId="2" applyNumberFormat="1" applyFont="1"/>
    <xf numFmtId="167" fontId="0" fillId="0" borderId="0" xfId="2" applyNumberFormat="1" applyFont="1"/>
    <xf numFmtId="0" fontId="3" fillId="0" borderId="0" xfId="2" applyNumberFormat="1" applyFont="1" applyAlignment="1">
      <alignment wrapText="1"/>
    </xf>
    <xf numFmtId="167" fontId="3" fillId="0" borderId="0" xfId="2" applyNumberFormat="1" applyFont="1" applyFill="1" applyAlignment="1">
      <alignment horizontal="center" wrapText="1"/>
    </xf>
    <xf numFmtId="0" fontId="0" fillId="0" borderId="0" xfId="0" applyBorder="1" applyAlignment="1"/>
    <xf numFmtId="0" fontId="5" fillId="0" borderId="0" xfId="0" applyFont="1"/>
    <xf numFmtId="10" fontId="1" fillId="0" borderId="0" xfId="0" applyNumberFormat="1" applyFont="1" applyBorder="1"/>
    <xf numFmtId="10" fontId="0" fillId="0" borderId="0" xfId="0" applyNumberFormat="1" applyFill="1" applyBorder="1"/>
    <xf numFmtId="2" fontId="0" fillId="0" borderId="0" xfId="0" applyNumberFormat="1" applyFill="1" applyBorder="1"/>
    <xf numFmtId="1" fontId="0" fillId="0" borderId="0" xfId="0" applyNumberFormat="1" applyFill="1" applyBorder="1"/>
    <xf numFmtId="0" fontId="0" fillId="0" borderId="0" xfId="0" applyBorder="1"/>
    <xf numFmtId="9" fontId="0" fillId="0" borderId="0" xfId="1" applyFont="1"/>
    <xf numFmtId="0" fontId="9" fillId="0" borderId="0" xfId="0" applyFont="1"/>
    <xf numFmtId="0" fontId="0" fillId="0" borderId="0" xfId="0" applyAlignment="1">
      <alignment vertical="center"/>
    </xf>
    <xf numFmtId="165" fontId="0" fillId="0" borderId="0" xfId="0" applyNumberFormat="1" applyAlignment="1">
      <alignment vertical="center"/>
    </xf>
    <xf numFmtId="0" fontId="10" fillId="0" borderId="0" xfId="0" applyFont="1" applyAlignment="1">
      <alignment vertical="center"/>
    </xf>
    <xf numFmtId="166" fontId="0" fillId="0" borderId="0" xfId="0" applyNumberFormat="1" applyAlignment="1">
      <alignment vertical="center"/>
    </xf>
    <xf numFmtId="164" fontId="0" fillId="0" borderId="0" xfId="0" applyNumberFormat="1" applyAlignment="1">
      <alignment vertical="center"/>
    </xf>
    <xf numFmtId="0" fontId="11" fillId="0" borderId="0" xfId="0" applyFont="1" applyAlignment="1">
      <alignment vertical="center"/>
    </xf>
    <xf numFmtId="0" fontId="12" fillId="0" borderId="0" xfId="0" applyFont="1" applyAlignment="1">
      <alignment vertical="center"/>
    </xf>
    <xf numFmtId="165" fontId="12" fillId="0" borderId="0" xfId="0" applyNumberFormat="1" applyFont="1" applyAlignment="1">
      <alignment vertical="center"/>
    </xf>
    <xf numFmtId="166" fontId="12" fillId="0" borderId="0" xfId="0" applyNumberFormat="1" applyFont="1" applyAlignment="1">
      <alignment vertical="center"/>
    </xf>
    <xf numFmtId="164" fontId="12" fillId="0" borderId="0" xfId="0" applyNumberFormat="1" applyFont="1" applyAlignment="1">
      <alignment vertical="center"/>
    </xf>
    <xf numFmtId="9" fontId="12" fillId="0" borderId="0" xfId="1" applyFont="1" applyAlignment="1">
      <alignment vertical="center"/>
    </xf>
    <xf numFmtId="9" fontId="0" fillId="0" borderId="0" xfId="1" applyFont="1" applyAlignment="1">
      <alignment vertical="center"/>
    </xf>
    <xf numFmtId="0" fontId="1" fillId="0" borderId="0" xfId="0" applyFont="1" applyFill="1" applyBorder="1"/>
    <xf numFmtId="3" fontId="0" fillId="0" borderId="1" xfId="0" applyNumberForma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7" fillId="0" borderId="0" xfId="0" applyFont="1"/>
    <xf numFmtId="0" fontId="8" fillId="0" borderId="0" xfId="0" applyFont="1" applyAlignment="1">
      <alignment vertical="center"/>
    </xf>
    <xf numFmtId="2" fontId="14" fillId="0" borderId="1" xfId="0" applyNumberFormat="1" applyFont="1" applyFill="1" applyBorder="1"/>
    <xf numFmtId="2" fontId="14" fillId="0" borderId="0" xfId="0" applyNumberFormat="1" applyFont="1" applyFill="1" applyBorder="1"/>
    <xf numFmtId="10" fontId="14" fillId="0" borderId="1" xfId="0" applyNumberFormat="1" applyFont="1" applyFill="1" applyBorder="1"/>
    <xf numFmtId="0" fontId="14" fillId="0" borderId="1" xfId="0" applyFont="1" applyFill="1" applyBorder="1"/>
    <xf numFmtId="10" fontId="14" fillId="0" borderId="2" xfId="0" applyNumberFormat="1" applyFont="1" applyFill="1" applyBorder="1"/>
    <xf numFmtId="0" fontId="14" fillId="0" borderId="0" xfId="0" applyFont="1" applyFill="1"/>
    <xf numFmtId="3" fontId="14" fillId="0" borderId="1" xfId="0" applyNumberFormat="1" applyFont="1" applyFill="1" applyBorder="1"/>
    <xf numFmtId="0" fontId="14" fillId="0" borderId="0" xfId="0" applyFont="1" applyFill="1" applyBorder="1"/>
    <xf numFmtId="0" fontId="1" fillId="0" borderId="5" xfId="0" applyFont="1" applyBorder="1"/>
    <xf numFmtId="0" fontId="14" fillId="0" borderId="7" xfId="0" applyFont="1" applyFill="1" applyBorder="1"/>
    <xf numFmtId="9" fontId="14" fillId="0" borderId="1" xfId="1" applyFont="1" applyFill="1" applyBorder="1"/>
    <xf numFmtId="0" fontId="1" fillId="16" borderId="1" xfId="0" applyFont="1" applyFill="1" applyBorder="1"/>
    <xf numFmtId="10" fontId="1" fillId="16" borderId="1" xfId="0" applyNumberFormat="1" applyFont="1" applyFill="1" applyBorder="1"/>
    <xf numFmtId="0" fontId="1" fillId="16" borderId="4" xfId="0" applyFont="1" applyFill="1" applyBorder="1"/>
    <xf numFmtId="1" fontId="1" fillId="16" borderId="1" xfId="0" applyNumberFormat="1" applyFont="1" applyFill="1" applyBorder="1"/>
    <xf numFmtId="0" fontId="15" fillId="16" borderId="1" xfId="0" applyFont="1" applyFill="1" applyBorder="1" applyAlignment="1">
      <alignment wrapText="1"/>
    </xf>
    <xf numFmtId="0" fontId="1" fillId="12" borderId="1" xfId="0" applyFont="1" applyFill="1" applyBorder="1" applyAlignment="1">
      <alignment wrapText="1"/>
    </xf>
    <xf numFmtId="164" fontId="0" fillId="0" borderId="0" xfId="0" applyNumberFormat="1" applyAlignment="1">
      <alignment horizontal="center"/>
    </xf>
    <xf numFmtId="0" fontId="12" fillId="0" borderId="0" xfId="0" applyFont="1" applyAlignment="1">
      <alignment horizontal="center" vertical="center"/>
    </xf>
    <xf numFmtId="0" fontId="0" fillId="0" borderId="0" xfId="0" applyAlignment="1">
      <alignment horizontal="center" vertical="center"/>
    </xf>
    <xf numFmtId="0" fontId="6" fillId="14" borderId="0" xfId="0" applyFont="1" applyFill="1" applyAlignment="1">
      <alignment horizontal="center" wrapText="1"/>
    </xf>
    <xf numFmtId="0" fontId="0" fillId="0" borderId="0" xfId="0" applyAlignment="1">
      <alignment horizontal="center" wrapText="1"/>
    </xf>
    <xf numFmtId="0" fontId="6" fillId="15" borderId="0" xfId="0" applyFont="1" applyFill="1" applyAlignment="1">
      <alignment horizontal="center" wrapText="1"/>
    </xf>
    <xf numFmtId="0" fontId="10" fillId="0" borderId="0" xfId="0" applyFont="1" applyAlignment="1">
      <alignment horizontal="left" vertical="center"/>
    </xf>
    <xf numFmtId="165" fontId="1" fillId="11" borderId="0" xfId="0" applyNumberFormat="1" applyFont="1" applyFill="1" applyAlignment="1">
      <alignment horizontal="center" wrapText="1"/>
    </xf>
    <xf numFmtId="165" fontId="0" fillId="0" borderId="0" xfId="0" applyNumberFormat="1" applyAlignment="1">
      <alignment horizontal="center" wrapText="1"/>
    </xf>
    <xf numFmtId="3" fontId="0" fillId="0" borderId="6" xfId="0" applyNumberFormat="1" applyBorder="1"/>
    <xf numFmtId="0" fontId="13" fillId="0" borderId="1" xfId="0" applyFont="1" applyBorder="1" applyAlignment="1">
      <alignment horizontal="center"/>
    </xf>
    <xf numFmtId="0" fontId="1" fillId="9" borderId="1" xfId="0" applyFont="1" applyFill="1" applyBorder="1"/>
    <xf numFmtId="0" fontId="1" fillId="8" borderId="0" xfId="0" applyFont="1" applyFill="1" applyAlignment="1">
      <alignment horizontal="center" wrapText="1"/>
    </xf>
    <xf numFmtId="165" fontId="1" fillId="0" borderId="0" xfId="0" applyNumberFormat="1" applyFont="1" applyAlignment="1">
      <alignment horizontal="center" wrapText="1"/>
    </xf>
    <xf numFmtId="0" fontId="1" fillId="10" borderId="0" xfId="0" applyFont="1" applyFill="1" applyAlignment="1">
      <alignment horizontal="center" wrapText="1"/>
    </xf>
    <xf numFmtId="9" fontId="1" fillId="10" borderId="0" xfId="1" applyFont="1" applyFill="1" applyAlignment="1">
      <alignment horizontal="center" wrapText="1"/>
    </xf>
    <xf numFmtId="166" fontId="1" fillId="10" borderId="0" xfId="0" applyNumberFormat="1" applyFont="1" applyFill="1" applyAlignment="1">
      <alignment horizontal="center" wrapText="1"/>
    </xf>
    <xf numFmtId="164" fontId="1" fillId="10" borderId="0" xfId="0" applyNumberFormat="1" applyFont="1" applyFill="1" applyAlignment="1">
      <alignment horizontal="center" wrapText="1"/>
    </xf>
    <xf numFmtId="0" fontId="1" fillId="0" borderId="0" xfId="0" applyFont="1" applyAlignment="1">
      <alignment horizontal="center" wrapText="1"/>
    </xf>
    <xf numFmtId="0" fontId="1" fillId="12" borderId="0" xfId="0" applyFont="1" applyFill="1" applyAlignment="1">
      <alignment horizontal="center" wrapText="1"/>
    </xf>
    <xf numFmtId="165" fontId="1" fillId="12" borderId="0" xfId="0" applyNumberFormat="1" applyFont="1" applyFill="1" applyAlignment="1">
      <alignment horizontal="center" wrapText="1"/>
    </xf>
    <xf numFmtId="1" fontId="0" fillId="0" borderId="0" xfId="0" applyNumberFormat="1" applyAlignment="1">
      <alignment horizontal="center"/>
    </xf>
    <xf numFmtId="9" fontId="0" fillId="0" borderId="0" xfId="1" applyFont="1" applyAlignment="1">
      <alignment horizontal="center" wrapText="1"/>
    </xf>
    <xf numFmtId="166" fontId="0" fillId="0" borderId="0" xfId="0" applyNumberFormat="1" applyAlignment="1">
      <alignment horizontal="center" wrapText="1"/>
    </xf>
    <xf numFmtId="164" fontId="0" fillId="0" borderId="0" xfId="0" applyNumberFormat="1" applyAlignment="1">
      <alignment horizontal="center" wrapText="1"/>
    </xf>
    <xf numFmtId="0" fontId="7" fillId="0" borderId="0" xfId="0" quotePrefix="1" applyFont="1"/>
    <xf numFmtId="0" fontId="14" fillId="0" borderId="1" xfId="0" applyFont="1" applyFill="1" applyBorder="1" applyAlignment="1">
      <alignment horizontal="right"/>
    </xf>
    <xf numFmtId="0" fontId="14" fillId="0" borderId="1" xfId="0" applyFont="1" applyBorder="1" applyAlignment="1"/>
    <xf numFmtId="0" fontId="0" fillId="0" borderId="0" xfId="0" applyAlignment="1">
      <alignment vertical="top" wrapText="1"/>
    </xf>
    <xf numFmtId="2" fontId="13" fillId="6" borderId="0" xfId="0" applyNumberFormat="1" applyFont="1" applyFill="1" applyAlignment="1">
      <alignment horizontal="center"/>
    </xf>
    <xf numFmtId="0" fontId="1" fillId="0" borderId="0" xfId="0" applyFont="1" applyAlignment="1">
      <alignment horizontal="center"/>
    </xf>
    <xf numFmtId="0" fontId="6" fillId="7" borderId="0" xfId="0" applyFont="1" applyFill="1" applyAlignment="1">
      <alignment horizontal="left" vertical="center" wrapText="1" indent="1"/>
    </xf>
    <xf numFmtId="0" fontId="21" fillId="0" borderId="16" xfId="0" applyFont="1" applyBorder="1" applyAlignment="1">
      <alignment horizontal="left" indent="1"/>
    </xf>
    <xf numFmtId="0" fontId="22" fillId="0" borderId="17" xfId="0" applyFont="1" applyBorder="1" applyAlignment="1">
      <alignment horizontal="left" indent="1"/>
    </xf>
    <xf numFmtId="0" fontId="22" fillId="0" borderId="18" xfId="0" applyFont="1" applyBorder="1" applyAlignment="1">
      <alignment horizontal="left" indent="1"/>
    </xf>
    <xf numFmtId="0" fontId="0" fillId="0" borderId="0" xfId="0" applyAlignment="1">
      <alignment horizontal="left" vertical="center" indent="1"/>
    </xf>
    <xf numFmtId="0" fontId="1" fillId="1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10" borderId="1" xfId="0" applyFont="1" applyFill="1" applyBorder="1" applyAlignment="1">
      <alignment horizontal="left" vertical="center" indent="1"/>
    </xf>
    <xf numFmtId="0" fontId="1" fillId="17" borderId="1" xfId="0" applyFont="1" applyFill="1" applyBorder="1" applyAlignment="1">
      <alignment horizontal="center" vertical="center" wrapText="1"/>
    </xf>
    <xf numFmtId="0" fontId="24" fillId="0" borderId="0" xfId="0" applyFont="1" applyAlignment="1">
      <alignment wrapText="1"/>
    </xf>
    <xf numFmtId="0" fontId="25" fillId="0" borderId="0" xfId="0" applyFont="1"/>
    <xf numFmtId="0" fontId="25" fillId="0" borderId="0" xfId="0" applyFont="1" applyAlignment="1"/>
    <xf numFmtId="0" fontId="26" fillId="0" borderId="0" xfId="0" applyFont="1"/>
    <xf numFmtId="1" fontId="1" fillId="16" borderId="1" xfId="0" applyNumberFormat="1" applyFont="1" applyFill="1" applyBorder="1" applyAlignment="1">
      <alignment horizontal="center"/>
    </xf>
    <xf numFmtId="10" fontId="7" fillId="0" borderId="0" xfId="0" applyNumberFormat="1" applyFont="1"/>
    <xf numFmtId="1" fontId="14" fillId="0" borderId="1" xfId="0" applyNumberFormat="1" applyFont="1" applyFill="1" applyBorder="1" applyAlignment="1">
      <alignment horizontal="right"/>
    </xf>
    <xf numFmtId="10" fontId="27" fillId="0" borderId="1" xfId="0" applyNumberFormat="1" applyFont="1" applyFill="1" applyBorder="1"/>
    <xf numFmtId="10" fontId="0" fillId="0" borderId="1" xfId="1" applyNumberFormat="1" applyFont="1" applyBorder="1" applyAlignment="1">
      <alignment horizontal="center"/>
    </xf>
    <xf numFmtId="0" fontId="4" fillId="0" borderId="0" xfId="0" applyFont="1" applyAlignment="1">
      <alignment horizontal="left" indent="3"/>
    </xf>
    <xf numFmtId="0" fontId="4" fillId="0" borderId="0" xfId="0" applyFont="1" applyAlignment="1">
      <alignment horizontal="left"/>
    </xf>
    <xf numFmtId="0" fontId="0" fillId="0" borderId="0" xfId="0" applyAlignment="1">
      <alignment horizontal="left"/>
    </xf>
    <xf numFmtId="0" fontId="28" fillId="0" borderId="0" xfId="0" applyFont="1" applyAlignment="1">
      <alignment horizontal="center"/>
    </xf>
    <xf numFmtId="0" fontId="28" fillId="0" borderId="0" xfId="0" applyFont="1"/>
    <xf numFmtId="0" fontId="30" fillId="0" borderId="0" xfId="0" applyFont="1"/>
    <xf numFmtId="9" fontId="0" fillId="0" borderId="0" xfId="1" applyFont="1" applyBorder="1" applyAlignment="1">
      <alignment horizontal="center"/>
    </xf>
    <xf numFmtId="0" fontId="0" fillId="0" borderId="0" xfId="0" applyFill="1" applyBorder="1" applyAlignment="1">
      <alignment horizontal="left" indent="1"/>
    </xf>
    <xf numFmtId="0" fontId="1" fillId="0" borderId="0" xfId="0" applyFont="1" applyFill="1" applyBorder="1" applyAlignment="1">
      <alignment horizontal="left" indent="1"/>
    </xf>
    <xf numFmtId="172" fontId="13" fillId="6" borderId="0" xfId="0" applyNumberFormat="1" applyFont="1" applyFill="1" applyAlignment="1">
      <alignment horizontal="center"/>
    </xf>
    <xf numFmtId="172" fontId="27" fillId="0" borderId="0" xfId="0" applyNumberFormat="1" applyFont="1" applyFill="1" applyAlignment="1">
      <alignment horizontal="center"/>
    </xf>
    <xf numFmtId="168" fontId="27" fillId="0" borderId="0" xfId="1" applyNumberFormat="1" applyFont="1" applyFill="1" applyAlignment="1">
      <alignment horizontal="center"/>
    </xf>
    <xf numFmtId="0" fontId="6" fillId="18" borderId="0" xfId="0" applyFont="1" applyFill="1" applyBorder="1" applyAlignment="1">
      <alignment horizontal="center" wrapText="1"/>
    </xf>
    <xf numFmtId="0" fontId="1" fillId="10" borderId="1" xfId="0" applyFont="1" applyFill="1" applyBorder="1" applyAlignment="1">
      <alignment horizontal="left" vertical="center" wrapText="1" indent="1"/>
    </xf>
    <xf numFmtId="0" fontId="0" fillId="0" borderId="0" xfId="0" applyBorder="1" applyAlignment="1">
      <alignment horizontal="left" wrapText="1" indent="1"/>
    </xf>
    <xf numFmtId="0" fontId="31" fillId="0" borderId="0" xfId="0" applyFont="1" applyAlignment="1">
      <alignment vertical="top"/>
    </xf>
    <xf numFmtId="0" fontId="6" fillId="18" borderId="0" xfId="0" applyFont="1" applyFill="1" applyBorder="1" applyAlignment="1">
      <alignment horizontal="left" vertical="center" indent="1"/>
    </xf>
    <xf numFmtId="172" fontId="13" fillId="6" borderId="0" xfId="0" applyNumberFormat="1" applyFont="1" applyFill="1" applyAlignment="1">
      <alignment horizontal="center" vertical="center"/>
    </xf>
    <xf numFmtId="0" fontId="0" fillId="0" borderId="0" xfId="0" applyFill="1" applyBorder="1" applyAlignment="1">
      <alignment horizontal="left" vertical="center" indent="1"/>
    </xf>
    <xf numFmtId="0" fontId="0" fillId="0" borderId="0" xfId="0" applyAlignment="1">
      <alignment wrapText="1"/>
    </xf>
    <xf numFmtId="2" fontId="0" fillId="0" borderId="0" xfId="0" applyNumberFormat="1"/>
    <xf numFmtId="10" fontId="0" fillId="0" borderId="0" xfId="0" applyNumberFormat="1" applyBorder="1"/>
    <xf numFmtId="1" fontId="14" fillId="0" borderId="1" xfId="1" applyNumberFormat="1" applyFont="1" applyFill="1" applyBorder="1"/>
    <xf numFmtId="0" fontId="0" fillId="0" borderId="0" xfId="0" applyFont="1" applyBorder="1" applyAlignment="1">
      <alignment horizontal="center"/>
    </xf>
    <xf numFmtId="164" fontId="0" fillId="0" borderId="0" xfId="0" applyNumberFormat="1" applyFill="1" applyAlignment="1">
      <alignment horizontal="center"/>
    </xf>
    <xf numFmtId="0" fontId="32" fillId="0" borderId="0" xfId="0" applyFont="1" applyAlignment="1">
      <alignment horizontal="left"/>
    </xf>
    <xf numFmtId="0" fontId="32" fillId="0" borderId="0" xfId="0" applyFont="1" applyAlignment="1">
      <alignment vertical="center"/>
    </xf>
    <xf numFmtId="0" fontId="0" fillId="0" borderId="0" xfId="0" applyFill="1" applyAlignment="1">
      <alignment horizontal="center"/>
    </xf>
    <xf numFmtId="1" fontId="0" fillId="0" borderId="0" xfId="0" applyNumberFormat="1" applyFill="1" applyAlignment="1">
      <alignment horizontal="center"/>
    </xf>
    <xf numFmtId="3" fontId="0" fillId="0" borderId="0" xfId="0" applyNumberFormat="1" applyFill="1" applyAlignment="1">
      <alignment horizontal="center"/>
    </xf>
    <xf numFmtId="4" fontId="0" fillId="0" borderId="0" xfId="0" applyNumberFormat="1" applyFill="1" applyAlignment="1">
      <alignment horizontal="center"/>
    </xf>
    <xf numFmtId="165" fontId="0" fillId="0" borderId="0" xfId="0" applyNumberFormat="1" applyFill="1" applyAlignment="1">
      <alignment horizontal="center"/>
    </xf>
    <xf numFmtId="169" fontId="0" fillId="0" borderId="0" xfId="1" applyNumberFormat="1" applyFont="1" applyFill="1" applyAlignment="1">
      <alignment horizontal="center"/>
    </xf>
    <xf numFmtId="166" fontId="0" fillId="0" borderId="0" xfId="0" applyNumberFormat="1" applyFill="1" applyAlignment="1">
      <alignment horizontal="center"/>
    </xf>
    <xf numFmtId="9" fontId="0" fillId="0" borderId="0" xfId="1" applyFont="1" applyFill="1" applyAlignment="1">
      <alignment horizontal="center"/>
    </xf>
    <xf numFmtId="10" fontId="0" fillId="0" borderId="0" xfId="1" applyNumberFormat="1" applyFont="1" applyFill="1" applyAlignment="1">
      <alignment horizontal="center"/>
    </xf>
    <xf numFmtId="166" fontId="0" fillId="0" borderId="0" xfId="1" applyNumberFormat="1" applyFont="1" applyFill="1" applyAlignment="1">
      <alignment horizontal="center"/>
    </xf>
    <xf numFmtId="168" fontId="0" fillId="0" borderId="0" xfId="1" applyNumberFormat="1" applyFont="1" applyFill="1" applyAlignment="1">
      <alignment horizontal="center"/>
    </xf>
    <xf numFmtId="172" fontId="0" fillId="0" borderId="0" xfId="0" applyNumberFormat="1" applyFill="1" applyAlignment="1">
      <alignment horizontal="center"/>
    </xf>
    <xf numFmtId="2" fontId="0" fillId="0" borderId="0" xfId="0" applyNumberFormat="1" applyFill="1" applyAlignment="1">
      <alignment horizontal="center"/>
    </xf>
    <xf numFmtId="171" fontId="0" fillId="0" borderId="0" xfId="0" applyNumberFormat="1" applyFill="1" applyAlignment="1">
      <alignment horizontal="center"/>
    </xf>
    <xf numFmtId="170" fontId="0" fillId="0" borderId="0" xfId="0" applyNumberFormat="1" applyFill="1" applyAlignment="1">
      <alignment horizontal="center"/>
    </xf>
    <xf numFmtId="173" fontId="0" fillId="0" borderId="0" xfId="0" applyNumberFormat="1" applyFill="1" applyAlignment="1">
      <alignment horizontal="center"/>
    </xf>
    <xf numFmtId="9" fontId="14" fillId="0" borderId="1" xfId="0" applyNumberFormat="1" applyFont="1" applyFill="1" applyBorder="1"/>
    <xf numFmtId="9" fontId="0" fillId="0" borderId="0" xfId="0" applyNumberFormat="1" applyFill="1" applyAlignment="1">
      <alignment horizontal="center"/>
    </xf>
    <xf numFmtId="37" fontId="0" fillId="0" borderId="0" xfId="0" applyNumberFormat="1" applyFill="1" applyAlignment="1">
      <alignment horizontal="center"/>
    </xf>
    <xf numFmtId="0" fontId="1" fillId="12" borderId="1" xfId="0" applyFont="1" applyFill="1" applyBorder="1" applyAlignment="1">
      <alignment horizontal="center" vertical="center" wrapText="1"/>
    </xf>
    <xf numFmtId="168" fontId="1" fillId="12" borderId="1" xfId="0" applyNumberFormat="1" applyFont="1" applyFill="1" applyBorder="1" applyAlignment="1">
      <alignment horizontal="center" vertical="center" wrapText="1"/>
    </xf>
    <xf numFmtId="9" fontId="0" fillId="0" borderId="1" xfId="0" applyNumberFormat="1" applyBorder="1" applyAlignment="1">
      <alignment horizontal="center"/>
    </xf>
    <xf numFmtId="0" fontId="0" fillId="19" borderId="1" xfId="0" applyFill="1" applyBorder="1"/>
    <xf numFmtId="0" fontId="33" fillId="0" borderId="0" xfId="0" quotePrefix="1" applyFont="1" applyAlignment="1">
      <alignment horizontal="left" vertical="center" indent="1"/>
    </xf>
    <xf numFmtId="0" fontId="16" fillId="0" borderId="0" xfId="0" applyFont="1" applyAlignment="1">
      <alignment vertical="top"/>
    </xf>
    <xf numFmtId="0" fontId="20" fillId="0" borderId="0" xfId="0" applyFont="1" applyAlignment="1">
      <alignment wrapText="1"/>
    </xf>
    <xf numFmtId="0" fontId="34" fillId="0" borderId="0" xfId="0" quotePrefix="1" applyFont="1" applyAlignment="1">
      <alignment horizontal="left" indent="2"/>
    </xf>
    <xf numFmtId="0" fontId="0" fillId="0" borderId="0" xfId="0" applyAlignment="1">
      <alignment horizontal="left" indent="1"/>
    </xf>
    <xf numFmtId="2" fontId="27" fillId="0" borderId="1" xfId="0" applyNumberFormat="1" applyFont="1" applyFill="1" applyBorder="1"/>
    <xf numFmtId="0" fontId="0" fillId="0" borderId="25" xfId="0" applyBorder="1"/>
    <xf numFmtId="0" fontId="0" fillId="0" borderId="26" xfId="0" applyBorder="1"/>
    <xf numFmtId="0" fontId="1" fillId="0" borderId="25" xfId="0" applyFont="1" applyFill="1" applyBorder="1"/>
    <xf numFmtId="0" fontId="0" fillId="0" borderId="25" xfId="0" applyFill="1" applyBorder="1"/>
    <xf numFmtId="0" fontId="0" fillId="0" borderId="25" xfId="0" quotePrefix="1" applyFill="1" applyBorder="1"/>
    <xf numFmtId="0" fontId="25" fillId="0" borderId="24" xfId="0" applyFont="1" applyBorder="1" applyAlignment="1">
      <alignment vertical="top"/>
    </xf>
    <xf numFmtId="0" fontId="1" fillId="17" borderId="0" xfId="0" applyFont="1" applyFill="1" applyAlignment="1">
      <alignment horizontal="center" wrapText="1"/>
    </xf>
    <xf numFmtId="0" fontId="1" fillId="20" borderId="0" xfId="0" applyFont="1" applyFill="1" applyAlignment="1">
      <alignment horizontal="center" wrapText="1"/>
    </xf>
    <xf numFmtId="0" fontId="0" fillId="0" borderId="0" xfId="0" applyAlignment="1">
      <alignment wrapText="1"/>
    </xf>
    <xf numFmtId="0" fontId="1" fillId="13" borderId="1" xfId="0" applyFont="1" applyFill="1" applyBorder="1" applyAlignment="1">
      <alignment horizontal="left" vertical="center" wrapText="1" indent="1"/>
    </xf>
    <xf numFmtId="0" fontId="1" fillId="21" borderId="0" xfId="0" applyFont="1" applyFill="1" applyAlignment="1">
      <alignment horizontal="center" wrapText="1"/>
    </xf>
    <xf numFmtId="0" fontId="37" fillId="0" borderId="0" xfId="0" applyFont="1" applyAlignment="1">
      <alignment horizontal="left"/>
    </xf>
    <xf numFmtId="0" fontId="0" fillId="0" borderId="1" xfId="0" applyBorder="1" applyAlignment="1">
      <alignment horizontal="center" vertical="center"/>
    </xf>
    <xf numFmtId="0" fontId="1" fillId="0" borderId="1" xfId="0" applyFont="1" applyBorder="1" applyAlignment="1">
      <alignment horizontal="center" vertical="center"/>
    </xf>
    <xf numFmtId="2" fontId="0" fillId="0" borderId="1" xfId="0" applyNumberFormat="1" applyBorder="1" applyAlignment="1">
      <alignment horizontal="center" vertical="center"/>
    </xf>
    <xf numFmtId="9" fontId="27" fillId="0" borderId="1" xfId="1" applyFont="1" applyFill="1" applyBorder="1" applyAlignment="1">
      <alignment horizontal="right"/>
    </xf>
    <xf numFmtId="168" fontId="14" fillId="0" borderId="1" xfId="1" applyNumberFormat="1" applyFont="1" applyFill="1" applyBorder="1"/>
    <xf numFmtId="10" fontId="14" fillId="0" borderId="1" xfId="1" applyNumberFormat="1" applyFont="1" applyFill="1" applyBorder="1"/>
    <xf numFmtId="2" fontId="14" fillId="0" borderId="1" xfId="1" applyNumberFormat="1" applyFont="1" applyFill="1" applyBorder="1"/>
    <xf numFmtId="10" fontId="0" fillId="0" borderId="1" xfId="0" applyNumberFormat="1" applyBorder="1" applyAlignment="1">
      <alignment horizontal="center" vertical="center"/>
    </xf>
    <xf numFmtId="1" fontId="0" fillId="0" borderId="1" xfId="0" applyNumberFormat="1" applyBorder="1" applyAlignment="1">
      <alignment horizontal="center" vertical="center"/>
    </xf>
    <xf numFmtId="9" fontId="1" fillId="0" borderId="1" xfId="1" applyFont="1" applyBorder="1" applyAlignment="1">
      <alignment horizontal="center" vertical="center"/>
    </xf>
    <xf numFmtId="0" fontId="1" fillId="13" borderId="1" xfId="0" applyFont="1" applyFill="1" applyBorder="1" applyAlignment="1">
      <alignment horizontal="left" vertical="center" wrapText="1"/>
    </xf>
    <xf numFmtId="0" fontId="1" fillId="13" borderId="1" xfId="0" applyFont="1" applyFill="1" applyBorder="1" applyAlignment="1">
      <alignment horizontal="center" vertical="center"/>
    </xf>
    <xf numFmtId="10" fontId="1" fillId="13" borderId="1" xfId="0" applyNumberFormat="1" applyFont="1" applyFill="1" applyBorder="1" applyAlignment="1">
      <alignment horizontal="center" vertical="center"/>
    </xf>
    <xf numFmtId="0" fontId="24" fillId="0" borderId="0" xfId="0" applyFont="1" applyAlignment="1">
      <alignment vertical="center"/>
    </xf>
    <xf numFmtId="0" fontId="25" fillId="0" borderId="0" xfId="0" applyFont="1" applyAlignment="1">
      <alignment vertical="center"/>
    </xf>
    <xf numFmtId="0" fontId="0" fillId="0" borderId="0" xfId="0" applyAlignment="1">
      <alignment vertical="top"/>
    </xf>
    <xf numFmtId="0" fontId="24" fillId="0" borderId="0" xfId="0" applyFont="1" applyAlignment="1">
      <alignment vertical="top"/>
    </xf>
    <xf numFmtId="0" fontId="0" fillId="0" borderId="0" xfId="0" applyFont="1" applyAlignment="1">
      <alignment vertical="top"/>
    </xf>
    <xf numFmtId="0" fontId="0" fillId="0" borderId="0" xfId="0" applyAlignment="1">
      <alignment vertical="top" wrapText="1"/>
    </xf>
    <xf numFmtId="0" fontId="0" fillId="0" borderId="0" xfId="0" applyAlignment="1">
      <alignment wrapText="1"/>
    </xf>
    <xf numFmtId="0" fontId="24" fillId="0" borderId="0" xfId="0" applyFont="1"/>
    <xf numFmtId="0" fontId="39" fillId="0" borderId="0" xfId="0" applyFont="1"/>
    <xf numFmtId="0" fontId="40" fillId="0" borderId="0" xfId="0" applyFont="1"/>
    <xf numFmtId="0" fontId="0" fillId="0" borderId="35" xfId="0" applyBorder="1"/>
    <xf numFmtId="0" fontId="22" fillId="0" borderId="0" xfId="0" applyFont="1" applyBorder="1"/>
    <xf numFmtId="0" fontId="0" fillId="0" borderId="37" xfId="0" applyBorder="1"/>
    <xf numFmtId="0" fontId="22" fillId="0" borderId="38" xfId="0" applyFont="1" applyBorder="1"/>
    <xf numFmtId="0" fontId="42" fillId="0" borderId="0" xfId="0" applyFont="1"/>
    <xf numFmtId="0" fontId="39" fillId="0" borderId="0" xfId="0" applyFont="1" applyAlignment="1">
      <alignment horizontal="left" indent="1"/>
    </xf>
    <xf numFmtId="0" fontId="0" fillId="22" borderId="0" xfId="0" applyFill="1"/>
    <xf numFmtId="0" fontId="43" fillId="0" borderId="0" xfId="0" applyFont="1"/>
    <xf numFmtId="10" fontId="14" fillId="0" borderId="0" xfId="0" applyNumberFormat="1" applyFont="1" applyFill="1" applyBorder="1"/>
    <xf numFmtId="9" fontId="1" fillId="0" borderId="1" xfId="1" applyNumberFormat="1" applyFont="1" applyBorder="1" applyAlignment="1">
      <alignment horizontal="center" vertical="center"/>
    </xf>
    <xf numFmtId="9" fontId="1" fillId="0" borderId="1" xfId="0" applyNumberFormat="1" applyFont="1" applyBorder="1" applyAlignment="1">
      <alignment horizontal="center" vertical="center"/>
    </xf>
    <xf numFmtId="0" fontId="0" fillId="0" borderId="4" xfId="0" applyBorder="1" applyAlignment="1">
      <alignment horizontal="left" vertical="center" wrapText="1" indent="1"/>
    </xf>
    <xf numFmtId="0" fontId="0" fillId="0" borderId="5" xfId="0" applyBorder="1" applyAlignment="1">
      <alignment horizontal="left" vertical="center" wrapText="1" indent="1"/>
    </xf>
    <xf numFmtId="0" fontId="0" fillId="0" borderId="6" xfId="0" applyBorder="1" applyAlignment="1">
      <alignment horizontal="left" vertical="center" wrapText="1" indent="1"/>
    </xf>
    <xf numFmtId="0" fontId="0" fillId="0" borderId="4" xfId="0" applyBorder="1" applyAlignment="1">
      <alignment horizontal="left"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1" xfId="0" applyBorder="1" applyAlignment="1">
      <alignment horizontal="left" vertical="center" wrapText="1" indent="1"/>
    </xf>
    <xf numFmtId="0" fontId="0" fillId="0" borderId="1" xfId="0" applyBorder="1" applyAlignment="1">
      <alignment horizontal="left" vertical="center" indent="1"/>
    </xf>
    <xf numFmtId="0" fontId="1" fillId="17" borderId="4" xfId="0" applyFont="1" applyFill="1" applyBorder="1" applyAlignment="1">
      <alignment horizontal="left" vertical="center" wrapText="1"/>
    </xf>
    <xf numFmtId="0" fontId="0" fillId="17" borderId="5" xfId="0" applyFill="1" applyBorder="1" applyAlignment="1">
      <alignment horizontal="left" vertical="center"/>
    </xf>
    <xf numFmtId="0" fontId="0" fillId="17" borderId="6" xfId="0" applyFill="1" applyBorder="1" applyAlignment="1">
      <alignment horizontal="left" vertical="center"/>
    </xf>
    <xf numFmtId="0" fontId="41" fillId="0" borderId="39" xfId="0" applyFont="1" applyBorder="1" applyAlignment="1">
      <alignment vertical="center" wrapText="1"/>
    </xf>
    <xf numFmtId="0" fontId="41" fillId="0" borderId="38" xfId="0" applyFont="1" applyBorder="1" applyAlignment="1">
      <alignment vertical="center" wrapText="1"/>
    </xf>
    <xf numFmtId="0" fontId="41" fillId="0" borderId="36" xfId="0" applyFont="1" applyBorder="1" applyAlignment="1">
      <alignment vertical="center" wrapText="1"/>
    </xf>
    <xf numFmtId="0" fontId="41" fillId="0" borderId="0" xfId="0" applyFont="1" applyBorder="1" applyAlignment="1">
      <alignment vertical="center" wrapText="1"/>
    </xf>
    <xf numFmtId="0" fontId="22" fillId="0" borderId="36" xfId="0" applyFont="1" applyBorder="1" applyAlignment="1">
      <alignment vertical="top" wrapText="1"/>
    </xf>
    <xf numFmtId="0" fontId="22" fillId="0" borderId="0" xfId="0" applyFont="1" applyBorder="1" applyAlignment="1">
      <alignment vertical="top" wrapText="1"/>
    </xf>
    <xf numFmtId="0" fontId="22" fillId="0" borderId="35" xfId="0" applyFont="1" applyBorder="1" applyAlignment="1">
      <alignment vertical="top" wrapText="1"/>
    </xf>
    <xf numFmtId="0" fontId="22" fillId="0" borderId="34" xfId="0" applyFont="1" applyBorder="1" applyAlignment="1">
      <alignment vertical="top" wrapText="1"/>
    </xf>
    <xf numFmtId="0" fontId="22" fillId="0" borderId="33" xfId="0" applyFont="1" applyBorder="1" applyAlignment="1">
      <alignment vertical="top" wrapText="1"/>
    </xf>
    <xf numFmtId="0" fontId="22" fillId="0" borderId="32" xfId="0" applyFont="1" applyBorder="1" applyAlignment="1">
      <alignment vertical="top" wrapText="1"/>
    </xf>
    <xf numFmtId="0" fontId="1" fillId="13" borderId="1" xfId="0" applyFont="1" applyFill="1" applyBorder="1" applyAlignment="1">
      <alignment horizontal="left" vertical="center" wrapText="1" indent="1"/>
    </xf>
    <xf numFmtId="0" fontId="0" fillId="13" borderId="1" xfId="0" applyFill="1" applyBorder="1" applyAlignment="1">
      <alignment horizontal="left" vertical="center" wrapText="1" indent="1"/>
    </xf>
    <xf numFmtId="0" fontId="24" fillId="0" borderId="0" xfId="0" applyFont="1" applyAlignment="1">
      <alignment vertical="top" wrapText="1"/>
    </xf>
    <xf numFmtId="0" fontId="0" fillId="0" borderId="0" xfId="0" applyAlignment="1">
      <alignment vertical="top" wrapText="1"/>
    </xf>
    <xf numFmtId="0" fontId="20" fillId="0" borderId="9" xfId="0" quotePrefix="1" applyFont="1" applyBorder="1" applyAlignment="1">
      <alignment horizontal="left" vertical="top" wrapText="1" indent="2"/>
    </xf>
    <xf numFmtId="0" fontId="20" fillId="0" borderId="0" xfId="0" applyFont="1" applyAlignment="1">
      <alignment horizontal="left" vertical="top" wrapText="1" indent="2"/>
    </xf>
    <xf numFmtId="0" fontId="20" fillId="0" borderId="9" xfId="0" applyFont="1" applyBorder="1" applyAlignment="1">
      <alignment horizontal="left" vertical="top" wrapText="1" indent="2"/>
    </xf>
    <xf numFmtId="0" fontId="24" fillId="0" borderId="27" xfId="0" applyFont="1" applyBorder="1" applyAlignment="1">
      <alignment horizontal="left" wrapText="1"/>
    </xf>
    <xf numFmtId="0" fontId="24" fillId="0" borderId="0" xfId="0" applyFont="1" applyBorder="1" applyAlignment="1">
      <alignment horizontal="left" wrapText="1"/>
    </xf>
    <xf numFmtId="0" fontId="0" fillId="0" borderId="0" xfId="0" applyBorder="1" applyAlignment="1">
      <alignment wrapText="1"/>
    </xf>
    <xf numFmtId="0" fontId="0" fillId="0" borderId="28" xfId="0" applyBorder="1" applyAlignment="1">
      <alignment wrapText="1"/>
    </xf>
    <xf numFmtId="0" fontId="24" fillId="0" borderId="29" xfId="0" applyFont="1" applyBorder="1" applyAlignment="1">
      <alignment horizontal="left" wrapText="1"/>
    </xf>
    <xf numFmtId="0" fontId="24" fillId="0" borderId="30" xfId="0" applyFont="1" applyBorder="1" applyAlignment="1">
      <alignment horizontal="left" wrapText="1"/>
    </xf>
    <xf numFmtId="0" fontId="0" fillId="0" borderId="30" xfId="0" applyBorder="1" applyAlignment="1">
      <alignment wrapText="1"/>
    </xf>
    <xf numFmtId="0" fontId="0" fillId="0" borderId="31" xfId="0" applyBorder="1" applyAlignment="1">
      <alignment wrapText="1"/>
    </xf>
    <xf numFmtId="0" fontId="0" fillId="0" borderId="4" xfId="0" applyFont="1" applyBorder="1" applyAlignment="1">
      <alignment horizontal="center"/>
    </xf>
    <xf numFmtId="0" fontId="0" fillId="0" borderId="5" xfId="0" applyFont="1" applyBorder="1" applyAlignment="1">
      <alignment horizontal="center"/>
    </xf>
    <xf numFmtId="0" fontId="0" fillId="0" borderId="6" xfId="0" applyFont="1" applyBorder="1" applyAlignment="1">
      <alignment horizontal="center"/>
    </xf>
    <xf numFmtId="0" fontId="24" fillId="0" borderId="0" xfId="0" applyFont="1" applyAlignment="1">
      <alignment horizontal="left" vertical="top" wrapText="1"/>
    </xf>
    <xf numFmtId="0" fontId="0" fillId="0" borderId="0" xfId="0" applyAlignment="1">
      <alignment wrapText="1"/>
    </xf>
    <xf numFmtId="0" fontId="24" fillId="0" borderId="27" xfId="0" applyFont="1" applyBorder="1" applyAlignment="1">
      <alignment horizontal="left" vertical="top" wrapText="1"/>
    </xf>
    <xf numFmtId="0" fontId="24" fillId="0" borderId="0" xfId="0" applyFont="1" applyBorder="1" applyAlignment="1">
      <alignment horizontal="left" vertical="top" wrapText="1"/>
    </xf>
    <xf numFmtId="0" fontId="0" fillId="0" borderId="27" xfId="0" applyBorder="1" applyAlignment="1">
      <alignment vertical="top" wrapText="1"/>
    </xf>
    <xf numFmtId="0" fontId="0" fillId="0" borderId="0" xfId="0" applyBorder="1" applyAlignment="1">
      <alignment vertical="top" wrapText="1"/>
    </xf>
    <xf numFmtId="0" fontId="0" fillId="0" borderId="27" xfId="0" applyBorder="1" applyAlignment="1">
      <alignment wrapText="1"/>
    </xf>
    <xf numFmtId="0" fontId="0" fillId="0" borderId="29" xfId="0" applyBorder="1" applyAlignment="1">
      <alignment wrapText="1"/>
    </xf>
    <xf numFmtId="0" fontId="24" fillId="0" borderId="27" xfId="0" applyFont="1" applyBorder="1" applyAlignment="1">
      <alignment vertical="top" wrapText="1"/>
    </xf>
    <xf numFmtId="0" fontId="0" fillId="0" borderId="28" xfId="0" applyBorder="1" applyAlignment="1">
      <alignment vertical="top" wrapText="1"/>
    </xf>
    <xf numFmtId="0" fontId="24" fillId="0" borderId="9" xfId="0" applyFont="1" applyBorder="1" applyAlignment="1">
      <alignment horizontal="left" vertical="center" wrapText="1"/>
    </xf>
    <xf numFmtId="0" fontId="24" fillId="0" borderId="0" xfId="0" applyFont="1" applyBorder="1" applyAlignment="1">
      <alignment horizontal="left" vertical="center" wrapText="1"/>
    </xf>
    <xf numFmtId="0" fontId="0" fillId="0" borderId="0" xfId="0" applyBorder="1" applyAlignment="1">
      <alignment vertical="center" wrapText="1"/>
    </xf>
    <xf numFmtId="0" fontId="0" fillId="0" borderId="12" xfId="0" applyBorder="1" applyAlignment="1">
      <alignment vertical="center" wrapText="1"/>
    </xf>
    <xf numFmtId="0" fontId="0" fillId="0" borderId="10" xfId="0" applyBorder="1" applyAlignment="1">
      <alignment vertical="center" wrapText="1"/>
    </xf>
    <xf numFmtId="0" fontId="0" fillId="0" borderId="7" xfId="0" applyBorder="1" applyAlignment="1">
      <alignment vertical="center" wrapText="1"/>
    </xf>
    <xf numFmtId="0" fontId="0" fillId="0" borderId="13" xfId="0" applyBorder="1" applyAlignment="1">
      <alignment vertical="center" wrapText="1"/>
    </xf>
    <xf numFmtId="0" fontId="38" fillId="0" borderId="0" xfId="0" applyFont="1" applyAlignment="1">
      <alignment wrapText="1"/>
    </xf>
    <xf numFmtId="2" fontId="1" fillId="13" borderId="4" xfId="0" applyNumberFormat="1" applyFont="1" applyFill="1" applyBorder="1" applyAlignment="1">
      <alignment horizontal="center" vertical="center" wrapText="1"/>
    </xf>
    <xf numFmtId="0" fontId="1" fillId="13" borderId="6" xfId="0" applyFont="1" applyFill="1" applyBorder="1" applyAlignment="1">
      <alignment horizontal="center" vertical="center" wrapText="1"/>
    </xf>
    <xf numFmtId="0" fontId="6" fillId="7" borderId="3" xfId="0" applyFont="1" applyFill="1" applyBorder="1" applyAlignment="1">
      <alignment wrapText="1"/>
    </xf>
    <xf numFmtId="0" fontId="6" fillId="7" borderId="0" xfId="0" applyFont="1" applyFill="1" applyBorder="1" applyAlignment="1">
      <alignment wrapText="1"/>
    </xf>
    <xf numFmtId="0" fontId="6" fillId="7" borderId="7" xfId="0" applyFont="1" applyFill="1" applyBorder="1" applyAlignment="1">
      <alignment wrapText="1"/>
    </xf>
    <xf numFmtId="0" fontId="0" fillId="0" borderId="0" xfId="0" applyAlignment="1"/>
    <xf numFmtId="0" fontId="6" fillId="7" borderId="11" xfId="0" applyFont="1" applyFill="1" applyBorder="1" applyAlignment="1">
      <alignment wrapText="1"/>
    </xf>
    <xf numFmtId="0" fontId="6" fillId="7" borderId="12" xfId="0" applyFont="1" applyFill="1" applyBorder="1" applyAlignment="1">
      <alignment wrapText="1"/>
    </xf>
    <xf numFmtId="0" fontId="6" fillId="7" borderId="13" xfId="0" applyFont="1" applyFill="1" applyBorder="1" applyAlignment="1">
      <alignment wrapText="1"/>
    </xf>
    <xf numFmtId="0" fontId="6" fillId="7" borderId="8" xfId="0" applyFont="1" applyFill="1" applyBorder="1" applyAlignment="1">
      <alignment wrapText="1"/>
    </xf>
    <xf numFmtId="0" fontId="6" fillId="7" borderId="9" xfId="0" applyFont="1" applyFill="1" applyBorder="1" applyAlignment="1">
      <alignment wrapText="1"/>
    </xf>
    <xf numFmtId="0" fontId="6" fillId="7" borderId="10" xfId="0" applyFont="1" applyFill="1" applyBorder="1" applyAlignment="1">
      <alignment wrapText="1"/>
    </xf>
    <xf numFmtId="0" fontId="23" fillId="0" borderId="19" xfId="0" applyFont="1" applyBorder="1" applyAlignment="1">
      <alignment horizontal="left" vertical="center" wrapText="1" indent="1"/>
    </xf>
    <xf numFmtId="0" fontId="23" fillId="0" borderId="0" xfId="0" applyFont="1" applyBorder="1" applyAlignment="1">
      <alignment horizontal="left" vertical="center" wrapText="1" indent="1"/>
    </xf>
    <xf numFmtId="0" fontId="23" fillId="0" borderId="20" xfId="0" applyFont="1" applyBorder="1" applyAlignment="1">
      <alignment horizontal="left" vertical="center" wrapText="1" indent="1"/>
    </xf>
    <xf numFmtId="0" fontId="0" fillId="0" borderId="19" xfId="0" applyBorder="1" applyAlignment="1">
      <alignment horizontal="left" indent="1"/>
    </xf>
    <xf numFmtId="0" fontId="0" fillId="0" borderId="0" xfId="0" applyBorder="1" applyAlignment="1">
      <alignment horizontal="left" indent="1"/>
    </xf>
    <xf numFmtId="0" fontId="0" fillId="0" borderId="20" xfId="0" applyBorder="1" applyAlignment="1">
      <alignment horizontal="left" indent="1"/>
    </xf>
    <xf numFmtId="0" fontId="0" fillId="0" borderId="21" xfId="0" applyBorder="1" applyAlignment="1">
      <alignment horizontal="left" indent="1"/>
    </xf>
    <xf numFmtId="0" fontId="0" fillId="0" borderId="22" xfId="0" applyBorder="1" applyAlignment="1">
      <alignment horizontal="left" indent="1"/>
    </xf>
    <xf numFmtId="0" fontId="0" fillId="0" borderId="23" xfId="0" applyBorder="1" applyAlignment="1">
      <alignment horizontal="left" indent="1"/>
    </xf>
    <xf numFmtId="0" fontId="6" fillId="7" borderId="14" xfId="0" applyFont="1" applyFill="1" applyBorder="1" applyAlignment="1">
      <alignment wrapText="1"/>
    </xf>
    <xf numFmtId="0" fontId="6" fillId="7" borderId="15" xfId="0" applyFont="1" applyFill="1" applyBorder="1" applyAlignment="1">
      <alignment wrapText="1"/>
    </xf>
    <xf numFmtId="0" fontId="6" fillId="7" borderId="2" xfId="0" applyFont="1" applyFill="1" applyBorder="1" applyAlignment="1">
      <alignment wrapText="1"/>
    </xf>
    <xf numFmtId="0" fontId="21" fillId="0" borderId="16" xfId="0" applyFont="1" applyBorder="1" applyAlignment="1">
      <alignment horizontal="left" vertical="center" wrapText="1" indent="1"/>
    </xf>
    <xf numFmtId="0" fontId="0" fillId="0" borderId="17" xfId="0" applyBorder="1" applyAlignment="1">
      <alignment horizontal="left" wrapText="1" indent="1"/>
    </xf>
    <xf numFmtId="0" fontId="0" fillId="0" borderId="18" xfId="0" applyBorder="1" applyAlignment="1">
      <alignment horizontal="left" wrapText="1" indent="1"/>
    </xf>
    <xf numFmtId="0" fontId="23" fillId="0" borderId="19" xfId="0" applyFont="1" applyBorder="1" applyAlignment="1">
      <alignment horizontal="left" vertical="top" wrapText="1" indent="1"/>
    </xf>
    <xf numFmtId="0" fontId="0" fillId="0" borderId="0" xfId="0" applyBorder="1" applyAlignment="1">
      <alignment horizontal="left" vertical="top" wrapText="1" indent="1"/>
    </xf>
    <xf numFmtId="0" fontId="0" fillId="0" borderId="20" xfId="0" applyBorder="1" applyAlignment="1">
      <alignment horizontal="left" vertical="top" wrapText="1" indent="1"/>
    </xf>
    <xf numFmtId="0" fontId="0" fillId="0" borderId="19" xfId="0" applyBorder="1" applyAlignment="1">
      <alignment horizontal="left" vertical="top" wrapText="1" indent="1"/>
    </xf>
    <xf numFmtId="0" fontId="0" fillId="0" borderId="21" xfId="0" applyBorder="1" applyAlignment="1">
      <alignment horizontal="left" vertical="top" wrapText="1" indent="1"/>
    </xf>
    <xf numFmtId="0" fontId="0" fillId="0" borderId="22" xfId="0" applyBorder="1" applyAlignment="1">
      <alignment horizontal="left" vertical="top" wrapText="1" indent="1"/>
    </xf>
    <xf numFmtId="0" fontId="0" fillId="0" borderId="23" xfId="0" applyBorder="1" applyAlignment="1">
      <alignment horizontal="left" vertical="top" wrapText="1" indent="1"/>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cellXfs>
  <cellStyles count="3">
    <cellStyle name="Comma" xfId="2" builtinId="3"/>
    <cellStyle name="Normal" xfId="0" builtinId="0"/>
    <cellStyle name="Percent" xfId="1" builtinId="5"/>
  </cellStyles>
  <dxfs count="6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ill>
        <patternFill>
          <bgColor rgb="FFF5F5F5"/>
        </patternFill>
      </fill>
    </dxf>
    <dxf>
      <fill>
        <patternFill>
          <bgColor theme="0"/>
        </patternFill>
      </fill>
    </dxf>
    <dxf>
      <font>
        <color auto="1"/>
      </font>
      <fill>
        <patternFill>
          <fgColor auto="1"/>
          <bgColor rgb="FFFDFBDF"/>
        </patternFill>
      </fill>
    </dxf>
    <dxf>
      <font>
        <color auto="1"/>
      </font>
      <fill>
        <patternFill>
          <fgColor auto="1"/>
          <bgColor rgb="FFFDFBDF"/>
        </patternFill>
      </fill>
    </dxf>
  </dxfs>
  <tableStyles count="0" defaultTableStyle="TableStyleMedium2" defaultPivotStyle="PivotStyleLight16"/>
  <colors>
    <mruColors>
      <color rgb="FFCC99FF"/>
      <color rgb="FF8B0DF3"/>
      <color rgb="FF31678B"/>
      <color rgb="FFE6E9EE"/>
      <color rgb="FFF8EFDA"/>
      <color rgb="FFF1E8F4"/>
      <color rgb="FFFDFBDF"/>
      <color rgb="FFFCF9D4"/>
      <color rgb="FFFFFFCC"/>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Margin Impact on</a:t>
            </a:r>
          </a:p>
          <a:p>
            <a:pPr>
              <a:defRPr/>
            </a:pPr>
            <a:r>
              <a:rPr lang="en-US" baseline="0"/>
              <a:t>Projected Deterministic Reserve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Summary!$D$2</c:f>
              <c:strCache>
                <c:ptCount val="1"/>
                <c:pt idx="0">
                  <c:v>Net Premium Reserve
(Prescribed)</c:v>
                </c:pt>
              </c:strCache>
            </c:strRef>
          </c:tx>
          <c:spPr>
            <a:ln w="28575" cap="rnd">
              <a:solidFill>
                <a:schemeClr val="accent3"/>
              </a:solidFill>
              <a:round/>
            </a:ln>
            <a:effectLst/>
          </c:spPr>
          <c:marker>
            <c:symbol val="none"/>
          </c:marker>
          <c:val>
            <c:numRef>
              <c:f>Summary!$D$3:$D$22</c:f>
              <c:numCache>
                <c:formatCode>#,##0</c:formatCode>
                <c:ptCount val="20"/>
                <c:pt idx="0">
                  <c:v>18.081013403147345</c:v>
                </c:pt>
                <c:pt idx="1">
                  <c:v>23.302459954981636</c:v>
                </c:pt>
                <c:pt idx="2">
                  <c:v>28.725297406239431</c:v>
                </c:pt>
                <c:pt idx="3">
                  <c:v>52.445315995810986</c:v>
                </c:pt>
                <c:pt idx="4">
                  <c:v>125.86551648008401</c:v>
                </c:pt>
                <c:pt idx="5">
                  <c:v>207.92295838922533</c:v>
                </c:pt>
                <c:pt idx="6">
                  <c:v>280.14918519031403</c:v>
                </c:pt>
                <c:pt idx="7">
                  <c:v>340.50350416685609</c:v>
                </c:pt>
                <c:pt idx="8">
                  <c:v>389.23724092516915</c:v>
                </c:pt>
                <c:pt idx="9">
                  <c:v>427.09158466036558</c:v>
                </c:pt>
                <c:pt idx="10">
                  <c:v>467.58497308509288</c:v>
                </c:pt>
                <c:pt idx="11">
                  <c:v>495.63043582603234</c:v>
                </c:pt>
                <c:pt idx="12">
                  <c:v>507.58183608816068</c:v>
                </c:pt>
                <c:pt idx="13">
                  <c:v>501.09132165755892</c:v>
                </c:pt>
                <c:pt idx="14">
                  <c:v>473.33561186581738</c:v>
                </c:pt>
                <c:pt idx="15">
                  <c:v>418.30910505387351</c:v>
                </c:pt>
                <c:pt idx="16">
                  <c:v>329.50791449259509</c:v>
                </c:pt>
                <c:pt idx="17">
                  <c:v>205.01837688139469</c:v>
                </c:pt>
                <c:pt idx="18">
                  <c:v>133.4659441205948</c:v>
                </c:pt>
                <c:pt idx="19">
                  <c:v>28.902822715079708</c:v>
                </c:pt>
              </c:numCache>
            </c:numRef>
          </c:val>
          <c:smooth val="0"/>
          <c:extLst>
            <c:ext xmlns:c16="http://schemas.microsoft.com/office/drawing/2014/chart" uri="{C3380CC4-5D6E-409C-BE32-E72D297353CC}">
              <c16:uniqueId val="{00000000-F0C8-49E6-97D1-40827913C437}"/>
            </c:ext>
          </c:extLst>
        </c:ser>
        <c:ser>
          <c:idx val="0"/>
          <c:order val="1"/>
          <c:tx>
            <c:strRef>
              <c:f>Summary!$E$2</c:f>
              <c:strCache>
                <c:ptCount val="1"/>
                <c:pt idx="0">
                  <c:v>Deterministic Reserve (VM-20 Margin)</c:v>
                </c:pt>
              </c:strCache>
            </c:strRef>
          </c:tx>
          <c:spPr>
            <a:ln w="28575" cap="rnd">
              <a:solidFill>
                <a:schemeClr val="accent1"/>
              </a:solidFill>
              <a:round/>
            </a:ln>
            <a:effectLst/>
          </c:spPr>
          <c:marker>
            <c:symbol val="none"/>
          </c:marker>
          <c:val>
            <c:numRef>
              <c:f>Summary!$E$3:$E$22</c:f>
              <c:numCache>
                <c:formatCode>#,##0</c:formatCode>
                <c:ptCount val="20"/>
                <c:pt idx="0">
                  <c:v>-169.15498633602988</c:v>
                </c:pt>
                <c:pt idx="1">
                  <c:v>-46.649356471451895</c:v>
                </c:pt>
                <c:pt idx="2">
                  <c:v>62.400544484424771</c:v>
                </c:pt>
                <c:pt idx="3">
                  <c:v>158.91430447494778</c:v>
                </c:pt>
                <c:pt idx="4">
                  <c:v>248.20709725235153</c:v>
                </c:pt>
                <c:pt idx="5">
                  <c:v>328.90151748577836</c:v>
                </c:pt>
                <c:pt idx="6">
                  <c:v>398.06140817510243</c:v>
                </c:pt>
                <c:pt idx="7">
                  <c:v>454.88692342331541</c:v>
                </c:pt>
                <c:pt idx="8">
                  <c:v>500.72319370452436</c:v>
                </c:pt>
                <c:pt idx="9">
                  <c:v>536.35716127624517</c:v>
                </c:pt>
                <c:pt idx="10">
                  <c:v>561.98267710106654</c:v>
                </c:pt>
                <c:pt idx="11">
                  <c:v>574.42015733234371</c:v>
                </c:pt>
                <c:pt idx="12">
                  <c:v>571.46776474157252</c:v>
                </c:pt>
                <c:pt idx="13">
                  <c:v>553.42402468932642</c:v>
                </c:pt>
                <c:pt idx="14">
                  <c:v>517.32514329845708</c:v>
                </c:pt>
                <c:pt idx="15">
                  <c:v>458.45174758536092</c:v>
                </c:pt>
                <c:pt idx="16">
                  <c:v>374.06837645797526</c:v>
                </c:pt>
                <c:pt idx="17">
                  <c:v>267.73643374465541</c:v>
                </c:pt>
                <c:pt idx="18">
                  <c:v>143.68014567963462</c:v>
                </c:pt>
                <c:pt idx="19">
                  <c:v>0</c:v>
                </c:pt>
              </c:numCache>
            </c:numRef>
          </c:val>
          <c:smooth val="0"/>
          <c:extLst>
            <c:ext xmlns:c16="http://schemas.microsoft.com/office/drawing/2014/chart" uri="{C3380CC4-5D6E-409C-BE32-E72D297353CC}">
              <c16:uniqueId val="{00000001-F0C8-49E6-97D1-40827913C437}"/>
            </c:ext>
          </c:extLst>
        </c:ser>
        <c:ser>
          <c:idx val="1"/>
          <c:order val="2"/>
          <c:tx>
            <c:strRef>
              <c:f>Summary!$F$2</c:f>
              <c:strCache>
                <c:ptCount val="1"/>
                <c:pt idx="0">
                  <c:v>Gross Premium Reserve (No Margin)</c:v>
                </c:pt>
              </c:strCache>
            </c:strRef>
          </c:tx>
          <c:spPr>
            <a:ln w="28575" cap="rnd">
              <a:solidFill>
                <a:schemeClr val="accent2"/>
              </a:solidFill>
              <a:round/>
            </a:ln>
            <a:effectLst/>
          </c:spPr>
          <c:marker>
            <c:symbol val="none"/>
          </c:marker>
          <c:val>
            <c:numRef>
              <c:f>Summary!$F$3:$F$22</c:f>
              <c:numCache>
                <c:formatCode>#,##0</c:formatCode>
                <c:ptCount val="20"/>
                <c:pt idx="0">
                  <c:v>-359.33830186694149</c:v>
                </c:pt>
                <c:pt idx="1">
                  <c:v>-242.86603359331954</c:v>
                </c:pt>
                <c:pt idx="2">
                  <c:v>-138.30372949501898</c:v>
                </c:pt>
                <c:pt idx="3">
                  <c:v>-44.810303695891967</c:v>
                </c:pt>
                <c:pt idx="4">
                  <c:v>42.716705046465833</c:v>
                </c:pt>
                <c:pt idx="5">
                  <c:v>122.9738767545004</c:v>
                </c:pt>
                <c:pt idx="6">
                  <c:v>193.19976610528386</c:v>
                </c:pt>
                <c:pt idx="7">
                  <c:v>252.57757218997511</c:v>
                </c:pt>
                <c:pt idx="8">
                  <c:v>302.40969624798907</c:v>
                </c:pt>
                <c:pt idx="9">
                  <c:v>343.41956164103652</c:v>
                </c:pt>
                <c:pt idx="10">
                  <c:v>374.10984532296379</c:v>
                </c:pt>
                <c:pt idx="11">
                  <c:v>393.34250952784174</c:v>
                </c:pt>
                <c:pt idx="12">
                  <c:v>399.22461138753403</c:v>
                </c:pt>
                <c:pt idx="13">
                  <c:v>391.96299425142422</c:v>
                </c:pt>
                <c:pt idx="14">
                  <c:v>369.01335985219129</c:v>
                </c:pt>
                <c:pt idx="15">
                  <c:v>326.04044889402013</c:v>
                </c:pt>
                <c:pt idx="16">
                  <c:v>260.7688591600774</c:v>
                </c:pt>
                <c:pt idx="17">
                  <c:v>176.43953727788201</c:v>
                </c:pt>
                <c:pt idx="18">
                  <c:v>76.847893196462906</c:v>
                </c:pt>
                <c:pt idx="19">
                  <c:v>-39.781813587550779</c:v>
                </c:pt>
              </c:numCache>
            </c:numRef>
          </c:val>
          <c:smooth val="0"/>
          <c:extLst>
            <c:ext xmlns:c16="http://schemas.microsoft.com/office/drawing/2014/chart" uri="{C3380CC4-5D6E-409C-BE32-E72D297353CC}">
              <c16:uniqueId val="{00000000-84A9-4736-B411-5C58CABB9C5B}"/>
            </c:ext>
          </c:extLst>
        </c:ser>
        <c:dLbls>
          <c:showLegendKey val="0"/>
          <c:showVal val="0"/>
          <c:showCatName val="0"/>
          <c:showSerName val="0"/>
          <c:showPercent val="0"/>
          <c:showBubbleSize val="0"/>
        </c:dLbls>
        <c:smooth val="0"/>
        <c:axId val="133512752"/>
        <c:axId val="572546816"/>
      </c:lineChart>
      <c:catAx>
        <c:axId val="133512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End of Year of Projection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3175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546816"/>
        <c:crosses val="autoZero"/>
        <c:auto val="1"/>
        <c:lblAlgn val="ctr"/>
        <c:lblOffset val="25"/>
        <c:noMultiLvlLbl val="0"/>
      </c:catAx>
      <c:valAx>
        <c:axId val="572546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Projected </a:t>
                </a:r>
              </a:p>
              <a:p>
                <a:pPr>
                  <a:defRPr/>
                </a:pPr>
                <a:r>
                  <a:rPr lang="en-US"/>
                  <a:t>Deterministic Reserve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1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Deterministic</a:t>
            </a:r>
            <a:r>
              <a:rPr lang="en-US" baseline="0"/>
              <a:t> Reserve</a:t>
            </a:r>
          </a:p>
          <a:p>
            <a:pPr>
              <a:defRPr/>
            </a:pPr>
            <a:r>
              <a:rPr lang="en-US" baseline="0"/>
              <a:t>Margin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Margin</c:v>
          </c:tx>
          <c:spPr>
            <a:solidFill>
              <a:schemeClr val="accent1"/>
            </a:solidFill>
            <a:ln>
              <a:noFill/>
            </a:ln>
            <a:effectLst/>
          </c:spPr>
          <c:invertIfNegative val="0"/>
          <c:cat>
            <c:numRef>
              <c:f>'Margin Analysis'!$I$21:$I$30</c:f>
              <c:numCache>
                <c:formatCode>General</c:formatCode>
                <c:ptCount val="10"/>
                <c:pt idx="0">
                  <c:v>1</c:v>
                </c:pt>
                <c:pt idx="1">
                  <c:v>5</c:v>
                </c:pt>
                <c:pt idx="2">
                  <c:v>10</c:v>
                </c:pt>
                <c:pt idx="3">
                  <c:v>15</c:v>
                </c:pt>
              </c:numCache>
            </c:numRef>
          </c:cat>
          <c:val>
            <c:numRef>
              <c:f>'Margin Analysis'!$Q$21:$Q$24</c:f>
              <c:numCache>
                <c:formatCode>#,##0</c:formatCode>
                <c:ptCount val="4"/>
                <c:pt idx="0">
                  <c:v>0</c:v>
                </c:pt>
                <c:pt idx="1">
                  <c:v>0</c:v>
                </c:pt>
                <c:pt idx="2">
                  <c:v>0</c:v>
                </c:pt>
                <c:pt idx="3">
                  <c:v>0</c:v>
                </c:pt>
              </c:numCache>
            </c:numRef>
          </c:val>
          <c:extLst>
            <c:ext xmlns:c16="http://schemas.microsoft.com/office/drawing/2014/chart" uri="{C3380CC4-5D6E-409C-BE32-E72D297353CC}">
              <c16:uniqueId val="{00000000-C00F-4BCD-955D-B4000C41E4F5}"/>
            </c:ext>
          </c:extLst>
        </c:ser>
        <c:ser>
          <c:idx val="1"/>
          <c:order val="1"/>
          <c:tx>
            <c:v>Mortality Margin</c:v>
          </c:tx>
          <c:spPr>
            <a:solidFill>
              <a:schemeClr val="accent2"/>
            </a:solidFill>
            <a:ln>
              <a:noFill/>
            </a:ln>
            <a:effectLst/>
          </c:spPr>
          <c:invertIfNegative val="0"/>
          <c:cat>
            <c:numRef>
              <c:f>'Margin Analysis'!$I$21:$I$30</c:f>
              <c:numCache>
                <c:formatCode>General</c:formatCode>
                <c:ptCount val="10"/>
                <c:pt idx="0">
                  <c:v>1</c:v>
                </c:pt>
                <c:pt idx="1">
                  <c:v>5</c:v>
                </c:pt>
                <c:pt idx="2">
                  <c:v>10</c:v>
                </c:pt>
                <c:pt idx="3">
                  <c:v>15</c:v>
                </c:pt>
              </c:numCache>
            </c:numRef>
          </c:cat>
          <c:val>
            <c:numRef>
              <c:f>'Margin Analysis'!$R$21:$R$24</c:f>
              <c:numCache>
                <c:formatCode>#,##0</c:formatCode>
                <c:ptCount val="4"/>
                <c:pt idx="0">
                  <c:v>0</c:v>
                </c:pt>
                <c:pt idx="1">
                  <c:v>0</c:v>
                </c:pt>
                <c:pt idx="2">
                  <c:v>0</c:v>
                </c:pt>
                <c:pt idx="3">
                  <c:v>0</c:v>
                </c:pt>
              </c:numCache>
            </c:numRef>
          </c:val>
          <c:extLst>
            <c:ext xmlns:c16="http://schemas.microsoft.com/office/drawing/2014/chart" uri="{C3380CC4-5D6E-409C-BE32-E72D297353CC}">
              <c16:uniqueId val="{00000001-C00F-4BCD-955D-B4000C41E4F5}"/>
            </c:ext>
          </c:extLst>
        </c:ser>
        <c:ser>
          <c:idx val="2"/>
          <c:order val="2"/>
          <c:tx>
            <c:v>Lapse Margin</c:v>
          </c:tx>
          <c:spPr>
            <a:solidFill>
              <a:schemeClr val="accent3"/>
            </a:solidFill>
            <a:ln>
              <a:noFill/>
            </a:ln>
            <a:effectLst/>
          </c:spPr>
          <c:invertIfNegative val="0"/>
          <c:cat>
            <c:numRef>
              <c:f>'Margin Analysis'!$I$21:$I$30</c:f>
              <c:numCache>
                <c:formatCode>General</c:formatCode>
                <c:ptCount val="10"/>
                <c:pt idx="0">
                  <c:v>1</c:v>
                </c:pt>
                <c:pt idx="1">
                  <c:v>5</c:v>
                </c:pt>
                <c:pt idx="2">
                  <c:v>10</c:v>
                </c:pt>
                <c:pt idx="3">
                  <c:v>15</c:v>
                </c:pt>
              </c:numCache>
            </c:numRef>
          </c:cat>
          <c:val>
            <c:numRef>
              <c:f>'Margin Analysis'!$S$21:$S$24</c:f>
              <c:numCache>
                <c:formatCode>#,##0</c:formatCode>
                <c:ptCount val="4"/>
                <c:pt idx="0">
                  <c:v>0</c:v>
                </c:pt>
                <c:pt idx="1">
                  <c:v>0</c:v>
                </c:pt>
                <c:pt idx="2">
                  <c:v>0</c:v>
                </c:pt>
                <c:pt idx="3">
                  <c:v>0</c:v>
                </c:pt>
              </c:numCache>
            </c:numRef>
          </c:val>
          <c:extLst>
            <c:ext xmlns:c16="http://schemas.microsoft.com/office/drawing/2014/chart" uri="{C3380CC4-5D6E-409C-BE32-E72D297353CC}">
              <c16:uniqueId val="{00000002-C00F-4BCD-955D-B4000C41E4F5}"/>
            </c:ext>
          </c:extLst>
        </c:ser>
        <c:ser>
          <c:idx val="3"/>
          <c:order val="3"/>
          <c:tx>
            <c:v>Expense Margin</c:v>
          </c:tx>
          <c:spPr>
            <a:solidFill>
              <a:schemeClr val="accent4"/>
            </a:solidFill>
            <a:ln>
              <a:noFill/>
            </a:ln>
            <a:effectLst/>
          </c:spPr>
          <c:invertIfNegative val="0"/>
          <c:cat>
            <c:numRef>
              <c:f>'Margin Analysis'!$I$21:$I$30</c:f>
              <c:numCache>
                <c:formatCode>General</c:formatCode>
                <c:ptCount val="10"/>
                <c:pt idx="0">
                  <c:v>1</c:v>
                </c:pt>
                <c:pt idx="1">
                  <c:v>5</c:v>
                </c:pt>
                <c:pt idx="2">
                  <c:v>10</c:v>
                </c:pt>
                <c:pt idx="3">
                  <c:v>15</c:v>
                </c:pt>
              </c:numCache>
            </c:numRef>
          </c:cat>
          <c:val>
            <c:numRef>
              <c:f>'Margin Analysis'!$T$21:$T$24</c:f>
              <c:numCache>
                <c:formatCode>#,##0</c:formatCode>
                <c:ptCount val="4"/>
                <c:pt idx="0">
                  <c:v>0</c:v>
                </c:pt>
                <c:pt idx="1">
                  <c:v>0</c:v>
                </c:pt>
                <c:pt idx="2">
                  <c:v>0</c:v>
                </c:pt>
                <c:pt idx="3">
                  <c:v>0</c:v>
                </c:pt>
              </c:numCache>
            </c:numRef>
          </c:val>
          <c:extLst>
            <c:ext xmlns:c16="http://schemas.microsoft.com/office/drawing/2014/chart" uri="{C3380CC4-5D6E-409C-BE32-E72D297353CC}">
              <c16:uniqueId val="{00000003-C00F-4BCD-955D-B4000C41E4F5}"/>
            </c:ext>
          </c:extLst>
        </c:ser>
        <c:ser>
          <c:idx val="5"/>
          <c:order val="4"/>
          <c:tx>
            <c:v>Interest Margin</c:v>
          </c:tx>
          <c:spPr>
            <a:solidFill>
              <a:schemeClr val="accent6"/>
            </a:solidFill>
            <a:ln>
              <a:noFill/>
            </a:ln>
            <a:effectLst/>
          </c:spPr>
          <c:invertIfNegative val="0"/>
          <c:val>
            <c:numRef>
              <c:f>'Margin Analysis'!$U$21:$U$24</c:f>
              <c:numCache>
                <c:formatCode>#,##0</c:formatCode>
                <c:ptCount val="4"/>
                <c:pt idx="0">
                  <c:v>0</c:v>
                </c:pt>
                <c:pt idx="1">
                  <c:v>0</c:v>
                </c:pt>
                <c:pt idx="2">
                  <c:v>0</c:v>
                </c:pt>
                <c:pt idx="3">
                  <c:v>0</c:v>
                </c:pt>
              </c:numCache>
            </c:numRef>
          </c:val>
          <c:extLst>
            <c:ext xmlns:c16="http://schemas.microsoft.com/office/drawing/2014/chart" uri="{C3380CC4-5D6E-409C-BE32-E72D297353CC}">
              <c16:uniqueId val="{00000005-C00F-4BCD-955D-B4000C41E4F5}"/>
            </c:ext>
          </c:extLst>
        </c:ser>
        <c:dLbls>
          <c:showLegendKey val="0"/>
          <c:showVal val="0"/>
          <c:showCatName val="0"/>
          <c:showSerName val="0"/>
          <c:showPercent val="0"/>
          <c:showBubbleSize val="0"/>
        </c:dLbls>
        <c:gapWidth val="219"/>
        <c:overlap val="-27"/>
        <c:axId val="1256021855"/>
        <c:axId val="1253377407"/>
      </c:barChart>
      <c:catAx>
        <c:axId val="12560218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End of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3377407"/>
        <c:crosses val="autoZero"/>
        <c:auto val="1"/>
        <c:lblAlgn val="ctr"/>
        <c:lblOffset val="100"/>
        <c:noMultiLvlLbl val="0"/>
      </c:catAx>
      <c:valAx>
        <c:axId val="12533774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Dollars</a:t>
                </a:r>
                <a:r>
                  <a:rPr lang="en-US" baseline="0"/>
                  <a:t> of Margin</a:t>
                </a:r>
              </a:p>
              <a:p>
                <a:pPr>
                  <a:defRPr/>
                </a:pPr>
                <a:r>
                  <a:rPr lang="en-US" baseline="0"/>
                  <a:t>vs. Prudent Estimate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021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Deterministic Reserve</a:t>
            </a:r>
          </a:p>
          <a:p>
            <a:pPr>
              <a:defRPr/>
            </a:pPr>
            <a:r>
              <a:rPr lang="en-US"/>
              <a:t>Individual</a:t>
            </a:r>
            <a:r>
              <a:rPr lang="en-US" baseline="0"/>
              <a:t> Margin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Mortality Margin</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'Margin Analysis'!$I$21:$I$30</c:f>
              <c:numCache>
                <c:formatCode>General</c:formatCode>
                <c:ptCount val="10"/>
                <c:pt idx="0">
                  <c:v>1</c:v>
                </c:pt>
                <c:pt idx="1">
                  <c:v>5</c:v>
                </c:pt>
                <c:pt idx="2">
                  <c:v>10</c:v>
                </c:pt>
                <c:pt idx="3">
                  <c:v>15</c:v>
                </c:pt>
              </c:numCache>
            </c:numRef>
          </c:cat>
          <c:val>
            <c:numRef>
              <c:f>'Margin Analysis'!$R$21:$R$24</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7DBF-45B3-B431-1B13ED3AD071}"/>
            </c:ext>
          </c:extLst>
        </c:ser>
        <c:ser>
          <c:idx val="1"/>
          <c:order val="1"/>
          <c:tx>
            <c:v>Lapse Margin</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'Margin Analysis'!$I$21:$I$30</c:f>
              <c:numCache>
                <c:formatCode>General</c:formatCode>
                <c:ptCount val="10"/>
                <c:pt idx="0">
                  <c:v>1</c:v>
                </c:pt>
                <c:pt idx="1">
                  <c:v>5</c:v>
                </c:pt>
                <c:pt idx="2">
                  <c:v>10</c:v>
                </c:pt>
                <c:pt idx="3">
                  <c:v>15</c:v>
                </c:pt>
              </c:numCache>
            </c:numRef>
          </c:cat>
          <c:val>
            <c:numRef>
              <c:f>'Margin Analysis'!$S$21:$S$24</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7DBF-45B3-B431-1B13ED3AD071}"/>
            </c:ext>
          </c:extLst>
        </c:ser>
        <c:ser>
          <c:idx val="2"/>
          <c:order val="2"/>
          <c:tx>
            <c:v>Expense Margin</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'Margin Analysis'!$I$21:$I$30</c:f>
              <c:numCache>
                <c:formatCode>General</c:formatCode>
                <c:ptCount val="10"/>
                <c:pt idx="0">
                  <c:v>1</c:v>
                </c:pt>
                <c:pt idx="1">
                  <c:v>5</c:v>
                </c:pt>
                <c:pt idx="2">
                  <c:v>10</c:v>
                </c:pt>
                <c:pt idx="3">
                  <c:v>15</c:v>
                </c:pt>
              </c:numCache>
            </c:numRef>
          </c:cat>
          <c:val>
            <c:numRef>
              <c:f>'Margin Analysis'!$T$21:$T$24</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2-7DBF-45B3-B431-1B13ED3AD071}"/>
            </c:ext>
          </c:extLst>
        </c:ser>
        <c:ser>
          <c:idx val="3"/>
          <c:order val="3"/>
          <c:tx>
            <c:v>Interest Margin</c:v>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'Margin Analysis'!$I$21:$I$30</c:f>
              <c:numCache>
                <c:formatCode>General</c:formatCode>
                <c:ptCount val="10"/>
                <c:pt idx="0">
                  <c:v>1</c:v>
                </c:pt>
                <c:pt idx="1">
                  <c:v>5</c:v>
                </c:pt>
                <c:pt idx="2">
                  <c:v>10</c:v>
                </c:pt>
                <c:pt idx="3">
                  <c:v>15</c:v>
                </c:pt>
              </c:numCache>
            </c:numRef>
          </c:cat>
          <c:val>
            <c:numRef>
              <c:f>'Margin Analysis'!$U$21:$U$24</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3-7DBF-45B3-B431-1B13ED3AD071}"/>
            </c:ext>
          </c:extLst>
        </c:ser>
        <c:dLbls>
          <c:showLegendKey val="0"/>
          <c:showVal val="0"/>
          <c:showCatName val="0"/>
          <c:showSerName val="0"/>
          <c:showPercent val="0"/>
          <c:showBubbleSize val="0"/>
        </c:dLbls>
        <c:marker val="1"/>
        <c:smooth val="0"/>
        <c:axId val="2110581343"/>
        <c:axId val="2116935855"/>
      </c:lineChart>
      <c:catAx>
        <c:axId val="21105813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6935855"/>
        <c:crosses val="autoZero"/>
        <c:auto val="1"/>
        <c:lblAlgn val="ctr"/>
        <c:lblOffset val="100"/>
        <c:noMultiLvlLbl val="0"/>
      </c:catAx>
      <c:valAx>
        <c:axId val="2116935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Individual Margin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05813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Deterministic</a:t>
            </a:r>
            <a:r>
              <a:rPr lang="en-US" baseline="0"/>
              <a:t> Reserve</a:t>
            </a:r>
          </a:p>
          <a:p>
            <a:pPr>
              <a:defRPr/>
            </a:pPr>
            <a:r>
              <a:rPr lang="en-US" baseline="0"/>
              <a:t>Margin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0"/>
          <c:tx>
            <c:v>Total Margin</c:v>
          </c:tx>
          <c:spPr>
            <a:solidFill>
              <a:schemeClr val="accent5"/>
            </a:solidFill>
            <a:ln>
              <a:noFill/>
            </a:ln>
            <a:effectLst/>
          </c:spPr>
          <c:invertIfNegative val="0"/>
          <c:cat>
            <c:numRef>
              <c:f>'Margin Analysis'!$I$21:$I$30</c:f>
              <c:numCache>
                <c:formatCode>General</c:formatCode>
                <c:ptCount val="10"/>
                <c:pt idx="0">
                  <c:v>1</c:v>
                </c:pt>
                <c:pt idx="1">
                  <c:v>5</c:v>
                </c:pt>
                <c:pt idx="2">
                  <c:v>10</c:v>
                </c:pt>
                <c:pt idx="3">
                  <c:v>15</c:v>
                </c:pt>
              </c:numCache>
            </c:numRef>
          </c:cat>
          <c:val>
            <c:numRef>
              <c:f>'Margin Analysis'!$W$21:$W$24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8930-49C2-90F3-2727AE322DE0}"/>
            </c:ext>
          </c:extLst>
        </c:ser>
        <c:ser>
          <c:idx val="0"/>
          <c:order val="1"/>
          <c:tx>
            <c:v>Mortality Margin</c:v>
          </c:tx>
          <c:spPr>
            <a:solidFill>
              <a:schemeClr val="accent1"/>
            </a:solidFill>
            <a:ln>
              <a:noFill/>
            </a:ln>
            <a:effectLst/>
          </c:spPr>
          <c:invertIfNegative val="0"/>
          <c:cat>
            <c:numRef>
              <c:f>'Margin Analysis'!$I$21:$I$30</c:f>
              <c:numCache>
                <c:formatCode>General</c:formatCode>
                <c:ptCount val="10"/>
                <c:pt idx="0">
                  <c:v>1</c:v>
                </c:pt>
                <c:pt idx="1">
                  <c:v>5</c:v>
                </c:pt>
                <c:pt idx="2">
                  <c:v>10</c:v>
                </c:pt>
                <c:pt idx="3">
                  <c:v>15</c:v>
                </c:pt>
              </c:numCache>
            </c:numRef>
          </c:cat>
          <c:val>
            <c:numRef>
              <c:f>'Margin Analysis'!$X$21:$X$24</c:f>
              <c:numCache>
                <c:formatCode>0.00%</c:formatCode>
                <c:ptCount val="4"/>
                <c:pt idx="0">
                  <c:v>0</c:v>
                </c:pt>
                <c:pt idx="1">
                  <c:v>0</c:v>
                </c:pt>
                <c:pt idx="2">
                  <c:v>0</c:v>
                </c:pt>
                <c:pt idx="3">
                  <c:v>0</c:v>
                </c:pt>
              </c:numCache>
            </c:numRef>
          </c:val>
          <c:extLst>
            <c:ext xmlns:c16="http://schemas.microsoft.com/office/drawing/2014/chart" uri="{C3380CC4-5D6E-409C-BE32-E72D297353CC}">
              <c16:uniqueId val="{00000001-8930-49C2-90F3-2727AE322DE0}"/>
            </c:ext>
          </c:extLst>
        </c:ser>
        <c:ser>
          <c:idx val="1"/>
          <c:order val="2"/>
          <c:tx>
            <c:v>Lapse Margin</c:v>
          </c:tx>
          <c:spPr>
            <a:solidFill>
              <a:schemeClr val="accent2"/>
            </a:solidFill>
            <a:ln>
              <a:noFill/>
            </a:ln>
            <a:effectLst/>
          </c:spPr>
          <c:invertIfNegative val="0"/>
          <c:cat>
            <c:numRef>
              <c:f>'Margin Analysis'!$I$21:$I$30</c:f>
              <c:numCache>
                <c:formatCode>General</c:formatCode>
                <c:ptCount val="10"/>
                <c:pt idx="0">
                  <c:v>1</c:v>
                </c:pt>
                <c:pt idx="1">
                  <c:v>5</c:v>
                </c:pt>
                <c:pt idx="2">
                  <c:v>10</c:v>
                </c:pt>
                <c:pt idx="3">
                  <c:v>15</c:v>
                </c:pt>
              </c:numCache>
            </c:numRef>
          </c:cat>
          <c:val>
            <c:numRef>
              <c:f>'Margin Analysis'!$Y$21:$Y$24</c:f>
              <c:numCache>
                <c:formatCode>0.00%</c:formatCode>
                <c:ptCount val="4"/>
                <c:pt idx="0">
                  <c:v>0</c:v>
                </c:pt>
                <c:pt idx="1">
                  <c:v>0</c:v>
                </c:pt>
                <c:pt idx="2">
                  <c:v>0</c:v>
                </c:pt>
                <c:pt idx="3">
                  <c:v>0</c:v>
                </c:pt>
              </c:numCache>
            </c:numRef>
          </c:val>
          <c:extLst>
            <c:ext xmlns:c16="http://schemas.microsoft.com/office/drawing/2014/chart" uri="{C3380CC4-5D6E-409C-BE32-E72D297353CC}">
              <c16:uniqueId val="{00000002-8930-49C2-90F3-2727AE322DE0}"/>
            </c:ext>
          </c:extLst>
        </c:ser>
        <c:ser>
          <c:idx val="2"/>
          <c:order val="3"/>
          <c:tx>
            <c:v>Expense Margin</c:v>
          </c:tx>
          <c:spPr>
            <a:solidFill>
              <a:schemeClr val="accent3"/>
            </a:solidFill>
            <a:ln>
              <a:noFill/>
            </a:ln>
            <a:effectLst/>
          </c:spPr>
          <c:invertIfNegative val="0"/>
          <c:cat>
            <c:numRef>
              <c:f>'Margin Analysis'!$I$21:$I$30</c:f>
              <c:numCache>
                <c:formatCode>General</c:formatCode>
                <c:ptCount val="10"/>
                <c:pt idx="0">
                  <c:v>1</c:v>
                </c:pt>
                <c:pt idx="1">
                  <c:v>5</c:v>
                </c:pt>
                <c:pt idx="2">
                  <c:v>10</c:v>
                </c:pt>
                <c:pt idx="3">
                  <c:v>15</c:v>
                </c:pt>
              </c:numCache>
            </c:numRef>
          </c:cat>
          <c:val>
            <c:numRef>
              <c:f>'Margin Analysis'!$Z$21:$Z$24</c:f>
              <c:numCache>
                <c:formatCode>0.00%</c:formatCode>
                <c:ptCount val="4"/>
                <c:pt idx="0">
                  <c:v>0</c:v>
                </c:pt>
                <c:pt idx="1">
                  <c:v>0</c:v>
                </c:pt>
                <c:pt idx="2">
                  <c:v>0</c:v>
                </c:pt>
                <c:pt idx="3">
                  <c:v>0</c:v>
                </c:pt>
              </c:numCache>
            </c:numRef>
          </c:val>
          <c:extLst>
            <c:ext xmlns:c16="http://schemas.microsoft.com/office/drawing/2014/chart" uri="{C3380CC4-5D6E-409C-BE32-E72D297353CC}">
              <c16:uniqueId val="{00000003-8930-49C2-90F3-2727AE322DE0}"/>
            </c:ext>
          </c:extLst>
        </c:ser>
        <c:ser>
          <c:idx val="5"/>
          <c:order val="4"/>
          <c:tx>
            <c:v>Interest Margin</c:v>
          </c:tx>
          <c:spPr>
            <a:solidFill>
              <a:schemeClr val="accent6"/>
            </a:solidFill>
            <a:ln>
              <a:noFill/>
            </a:ln>
            <a:effectLst/>
          </c:spPr>
          <c:invertIfNegative val="0"/>
          <c:val>
            <c:numRef>
              <c:f>'Margin Analysis'!$AA$21:$AA$24</c:f>
              <c:numCache>
                <c:formatCode>0.00%</c:formatCode>
                <c:ptCount val="4"/>
                <c:pt idx="0">
                  <c:v>0</c:v>
                </c:pt>
                <c:pt idx="1">
                  <c:v>0</c:v>
                </c:pt>
                <c:pt idx="2">
                  <c:v>0</c:v>
                </c:pt>
                <c:pt idx="3">
                  <c:v>0</c:v>
                </c:pt>
              </c:numCache>
            </c:numRef>
          </c:val>
          <c:extLst>
            <c:ext xmlns:c16="http://schemas.microsoft.com/office/drawing/2014/chart" uri="{C3380CC4-5D6E-409C-BE32-E72D297353CC}">
              <c16:uniqueId val="{00000005-8930-49C2-90F3-2727AE322DE0}"/>
            </c:ext>
          </c:extLst>
        </c:ser>
        <c:dLbls>
          <c:showLegendKey val="0"/>
          <c:showVal val="0"/>
          <c:showCatName val="0"/>
          <c:showSerName val="0"/>
          <c:showPercent val="0"/>
          <c:showBubbleSize val="0"/>
        </c:dLbls>
        <c:gapWidth val="219"/>
        <c:overlap val="-27"/>
        <c:axId val="1256021855"/>
        <c:axId val="1253377407"/>
      </c:barChart>
      <c:catAx>
        <c:axId val="12560218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End of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3377407"/>
        <c:crosses val="autoZero"/>
        <c:auto val="1"/>
        <c:lblAlgn val="ctr"/>
        <c:lblOffset val="100"/>
        <c:noMultiLvlLbl val="0"/>
      </c:catAx>
      <c:valAx>
        <c:axId val="12533774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Margin as %</a:t>
                </a:r>
              </a:p>
              <a:p>
                <a:pPr>
                  <a:defRPr/>
                </a:pPr>
                <a:r>
                  <a:rPr lang="en-US" baseline="0"/>
                  <a:t>of Prudent Estimate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021855"/>
        <c:crosses val="autoZero"/>
        <c:crossBetween val="between"/>
      </c:valAx>
      <c:spPr>
        <a:noFill/>
        <a:ln>
          <a:noFill/>
        </a:ln>
        <a:effectLst/>
      </c:spPr>
    </c:plotArea>
    <c:legend>
      <c:legendPos val="b"/>
      <c:layout>
        <c:manualLayout>
          <c:xMode val="edge"/>
          <c:yMode val="edge"/>
          <c:x val="0.1148988109131322"/>
          <c:y val="0.80909483298756635"/>
          <c:w val="0.83547046340768782"/>
          <c:h val="0.165027385001348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Deterministic</a:t>
            </a:r>
            <a:r>
              <a:rPr lang="en-US" baseline="0"/>
              <a:t> Reserve</a:t>
            </a:r>
          </a:p>
          <a:p>
            <a:pPr>
              <a:defRPr/>
            </a:pPr>
            <a:r>
              <a:rPr lang="en-US" baseline="0"/>
              <a:t>Margin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Margin</c:v>
          </c:tx>
          <c:spPr>
            <a:solidFill>
              <a:schemeClr val="accent1"/>
            </a:solidFill>
            <a:ln>
              <a:noFill/>
            </a:ln>
            <a:effectLst/>
          </c:spPr>
          <c:invertIfNegative val="0"/>
          <c:cat>
            <c:numRef>
              <c:f>'Answer - Margin Analysis'!$I$21:$I$30</c:f>
              <c:numCache>
                <c:formatCode>General</c:formatCode>
                <c:ptCount val="10"/>
                <c:pt idx="0">
                  <c:v>1</c:v>
                </c:pt>
                <c:pt idx="1">
                  <c:v>5</c:v>
                </c:pt>
                <c:pt idx="2">
                  <c:v>10</c:v>
                </c:pt>
                <c:pt idx="3">
                  <c:v>15</c:v>
                </c:pt>
              </c:numCache>
            </c:numRef>
          </c:cat>
          <c:val>
            <c:numRef>
              <c:f>'Answer - Margin Analysis'!$Q$21:$Q$24</c:f>
              <c:numCache>
                <c:formatCode>#,##0</c:formatCode>
                <c:ptCount val="4"/>
                <c:pt idx="0">
                  <c:v>190.18331553091161</c:v>
                </c:pt>
                <c:pt idx="1">
                  <c:v>205.49039220588571</c:v>
                </c:pt>
                <c:pt idx="2">
                  <c:v>192.93759963520864</c:v>
                </c:pt>
                <c:pt idx="3">
                  <c:v>148.31178344626579</c:v>
                </c:pt>
              </c:numCache>
            </c:numRef>
          </c:val>
          <c:extLst>
            <c:ext xmlns:c16="http://schemas.microsoft.com/office/drawing/2014/chart" uri="{C3380CC4-5D6E-409C-BE32-E72D297353CC}">
              <c16:uniqueId val="{00000000-EEFA-46FC-8CF8-51B5277B2B8C}"/>
            </c:ext>
          </c:extLst>
        </c:ser>
        <c:ser>
          <c:idx val="1"/>
          <c:order val="1"/>
          <c:tx>
            <c:v>Mortality Margin</c:v>
          </c:tx>
          <c:spPr>
            <a:solidFill>
              <a:schemeClr val="accent2"/>
            </a:solidFill>
            <a:ln>
              <a:noFill/>
            </a:ln>
            <a:effectLst/>
          </c:spPr>
          <c:invertIfNegative val="0"/>
          <c:cat>
            <c:numRef>
              <c:f>'Answer - Margin Analysis'!$I$21:$I$30</c:f>
              <c:numCache>
                <c:formatCode>General</c:formatCode>
                <c:ptCount val="10"/>
                <c:pt idx="0">
                  <c:v>1</c:v>
                </c:pt>
                <c:pt idx="1">
                  <c:v>5</c:v>
                </c:pt>
                <c:pt idx="2">
                  <c:v>10</c:v>
                </c:pt>
                <c:pt idx="3">
                  <c:v>15</c:v>
                </c:pt>
              </c:numCache>
            </c:numRef>
          </c:cat>
          <c:val>
            <c:numRef>
              <c:f>'Answer - Margin Analysis'!$R$21:$R$24</c:f>
              <c:numCache>
                <c:formatCode>#,##0</c:formatCode>
                <c:ptCount val="4"/>
                <c:pt idx="0">
                  <c:v>126.08756626426128</c:v>
                </c:pt>
                <c:pt idx="1">
                  <c:v>133.77762459266381</c:v>
                </c:pt>
                <c:pt idx="2">
                  <c:v>129.90388723596141</c:v>
                </c:pt>
                <c:pt idx="3">
                  <c:v>97.853940581985114</c:v>
                </c:pt>
              </c:numCache>
            </c:numRef>
          </c:val>
          <c:extLst>
            <c:ext xmlns:c16="http://schemas.microsoft.com/office/drawing/2014/chart" uri="{C3380CC4-5D6E-409C-BE32-E72D297353CC}">
              <c16:uniqueId val="{00000001-EEFA-46FC-8CF8-51B5277B2B8C}"/>
            </c:ext>
          </c:extLst>
        </c:ser>
        <c:ser>
          <c:idx val="2"/>
          <c:order val="2"/>
          <c:tx>
            <c:v>Lapse Margin</c:v>
          </c:tx>
          <c:spPr>
            <a:solidFill>
              <a:schemeClr val="accent3"/>
            </a:solidFill>
            <a:ln>
              <a:noFill/>
            </a:ln>
            <a:effectLst/>
          </c:spPr>
          <c:invertIfNegative val="0"/>
          <c:cat>
            <c:numRef>
              <c:f>'Answer - Margin Analysis'!$I$21:$I$30</c:f>
              <c:numCache>
                <c:formatCode>General</c:formatCode>
                <c:ptCount val="10"/>
                <c:pt idx="0">
                  <c:v>1</c:v>
                </c:pt>
                <c:pt idx="1">
                  <c:v>5</c:v>
                </c:pt>
                <c:pt idx="2">
                  <c:v>10</c:v>
                </c:pt>
                <c:pt idx="3">
                  <c:v>15</c:v>
                </c:pt>
              </c:numCache>
            </c:numRef>
          </c:cat>
          <c:val>
            <c:numRef>
              <c:f>'Answer - Margin Analysis'!$S$21:$S$24</c:f>
              <c:numCache>
                <c:formatCode>#,##0</c:formatCode>
                <c:ptCount val="4"/>
                <c:pt idx="0">
                  <c:v>35.076319983868359</c:v>
                </c:pt>
                <c:pt idx="1">
                  <c:v>38.59629581123437</c:v>
                </c:pt>
                <c:pt idx="2">
                  <c:v>33.806754342844442</c:v>
                </c:pt>
                <c:pt idx="3">
                  <c:v>34.145481439730929</c:v>
                </c:pt>
              </c:numCache>
            </c:numRef>
          </c:val>
          <c:extLst>
            <c:ext xmlns:c16="http://schemas.microsoft.com/office/drawing/2014/chart" uri="{C3380CC4-5D6E-409C-BE32-E72D297353CC}">
              <c16:uniqueId val="{00000002-EEFA-46FC-8CF8-51B5277B2B8C}"/>
            </c:ext>
          </c:extLst>
        </c:ser>
        <c:ser>
          <c:idx val="3"/>
          <c:order val="3"/>
          <c:tx>
            <c:v>Expense Margin</c:v>
          </c:tx>
          <c:spPr>
            <a:solidFill>
              <a:schemeClr val="accent4"/>
            </a:solidFill>
            <a:ln>
              <a:noFill/>
            </a:ln>
            <a:effectLst/>
          </c:spPr>
          <c:invertIfNegative val="0"/>
          <c:cat>
            <c:numRef>
              <c:f>'Answer - Margin Analysis'!$I$21:$I$30</c:f>
              <c:numCache>
                <c:formatCode>General</c:formatCode>
                <c:ptCount val="10"/>
                <c:pt idx="0">
                  <c:v>1</c:v>
                </c:pt>
                <c:pt idx="1">
                  <c:v>5</c:v>
                </c:pt>
                <c:pt idx="2">
                  <c:v>10</c:v>
                </c:pt>
                <c:pt idx="3">
                  <c:v>15</c:v>
                </c:pt>
              </c:numCache>
            </c:numRef>
          </c:cat>
          <c:val>
            <c:numRef>
              <c:f>'Answer - Margin Analysis'!$T$21:$T$24</c:f>
              <c:numCache>
                <c:formatCode>#,##0</c:formatCode>
                <c:ptCount val="4"/>
                <c:pt idx="0">
                  <c:v>22.594930820597881</c:v>
                </c:pt>
                <c:pt idx="1">
                  <c:v>20.807141637799646</c:v>
                </c:pt>
                <c:pt idx="2">
                  <c:v>16.521921967993876</c:v>
                </c:pt>
                <c:pt idx="3">
                  <c:v>9.9868187347971116</c:v>
                </c:pt>
              </c:numCache>
            </c:numRef>
          </c:val>
          <c:extLst>
            <c:ext xmlns:c16="http://schemas.microsoft.com/office/drawing/2014/chart" uri="{C3380CC4-5D6E-409C-BE32-E72D297353CC}">
              <c16:uniqueId val="{00000003-EEFA-46FC-8CF8-51B5277B2B8C}"/>
            </c:ext>
          </c:extLst>
        </c:ser>
        <c:ser>
          <c:idx val="5"/>
          <c:order val="4"/>
          <c:tx>
            <c:v>Interest Margin</c:v>
          </c:tx>
          <c:spPr>
            <a:solidFill>
              <a:schemeClr val="accent6"/>
            </a:solidFill>
            <a:ln>
              <a:noFill/>
            </a:ln>
            <a:effectLst/>
          </c:spPr>
          <c:invertIfNegative val="0"/>
          <c:val>
            <c:numRef>
              <c:f>'Answer - Margin Analysis'!$U$21:$U$24</c:f>
              <c:numCache>
                <c:formatCode>#,##0</c:formatCode>
                <c:ptCount val="4"/>
                <c:pt idx="0">
                  <c:v>22.700063315540973</c:v>
                </c:pt>
                <c:pt idx="1">
                  <c:v>24.053663099486926</c:v>
                </c:pt>
                <c:pt idx="2">
                  <c:v>17.630278776441173</c:v>
                </c:pt>
                <c:pt idx="3">
                  <c:v>6.8750437711476593</c:v>
                </c:pt>
              </c:numCache>
            </c:numRef>
          </c:val>
          <c:extLst>
            <c:ext xmlns:c16="http://schemas.microsoft.com/office/drawing/2014/chart" uri="{C3380CC4-5D6E-409C-BE32-E72D297353CC}">
              <c16:uniqueId val="{00000004-EEFA-46FC-8CF8-51B5277B2B8C}"/>
            </c:ext>
          </c:extLst>
        </c:ser>
        <c:dLbls>
          <c:showLegendKey val="0"/>
          <c:showVal val="0"/>
          <c:showCatName val="0"/>
          <c:showSerName val="0"/>
          <c:showPercent val="0"/>
          <c:showBubbleSize val="0"/>
        </c:dLbls>
        <c:gapWidth val="219"/>
        <c:overlap val="-27"/>
        <c:axId val="1256021855"/>
        <c:axId val="1253377407"/>
      </c:barChart>
      <c:catAx>
        <c:axId val="12560218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End of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3377407"/>
        <c:crosses val="autoZero"/>
        <c:auto val="1"/>
        <c:lblAlgn val="ctr"/>
        <c:lblOffset val="100"/>
        <c:noMultiLvlLbl val="0"/>
      </c:catAx>
      <c:valAx>
        <c:axId val="12533774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Dollars</a:t>
                </a:r>
                <a:r>
                  <a:rPr lang="en-US" baseline="0"/>
                  <a:t> of Margin</a:t>
                </a:r>
              </a:p>
              <a:p>
                <a:pPr>
                  <a:defRPr/>
                </a:pPr>
                <a:r>
                  <a:rPr lang="en-US" baseline="0"/>
                  <a:t>vs. Prudent Estimate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021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Deterministic Reserve</a:t>
            </a:r>
          </a:p>
          <a:p>
            <a:pPr>
              <a:defRPr/>
            </a:pPr>
            <a:r>
              <a:rPr lang="en-US"/>
              <a:t>Individual</a:t>
            </a:r>
            <a:r>
              <a:rPr lang="en-US" baseline="0"/>
              <a:t> Margin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Mortality Margin</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'Answer - Margin Analysis'!$I$21:$I$30</c:f>
              <c:numCache>
                <c:formatCode>General</c:formatCode>
                <c:ptCount val="10"/>
                <c:pt idx="0">
                  <c:v>1</c:v>
                </c:pt>
                <c:pt idx="1">
                  <c:v>5</c:v>
                </c:pt>
                <c:pt idx="2">
                  <c:v>10</c:v>
                </c:pt>
                <c:pt idx="3">
                  <c:v>15</c:v>
                </c:pt>
              </c:numCache>
            </c:numRef>
          </c:cat>
          <c:val>
            <c:numRef>
              <c:f>'Answer - Margin Analysis'!$R$21:$R$24</c:f>
              <c:numCache>
                <c:formatCode>#,##0</c:formatCode>
                <c:ptCount val="4"/>
                <c:pt idx="0">
                  <c:v>126.08756626426128</c:v>
                </c:pt>
                <c:pt idx="1">
                  <c:v>133.77762459266381</c:v>
                </c:pt>
                <c:pt idx="2">
                  <c:v>129.90388723596141</c:v>
                </c:pt>
                <c:pt idx="3">
                  <c:v>97.853940581985114</c:v>
                </c:pt>
              </c:numCache>
            </c:numRef>
          </c:val>
          <c:smooth val="0"/>
          <c:extLst>
            <c:ext xmlns:c16="http://schemas.microsoft.com/office/drawing/2014/chart" uri="{C3380CC4-5D6E-409C-BE32-E72D297353CC}">
              <c16:uniqueId val="{00000000-D42F-491A-8044-14A392C75C63}"/>
            </c:ext>
          </c:extLst>
        </c:ser>
        <c:ser>
          <c:idx val="1"/>
          <c:order val="1"/>
          <c:tx>
            <c:v>Lapse Margin</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'Answer - Margin Analysis'!$I$21:$I$30</c:f>
              <c:numCache>
                <c:formatCode>General</c:formatCode>
                <c:ptCount val="10"/>
                <c:pt idx="0">
                  <c:v>1</c:v>
                </c:pt>
                <c:pt idx="1">
                  <c:v>5</c:v>
                </c:pt>
                <c:pt idx="2">
                  <c:v>10</c:v>
                </c:pt>
                <c:pt idx="3">
                  <c:v>15</c:v>
                </c:pt>
              </c:numCache>
            </c:numRef>
          </c:cat>
          <c:val>
            <c:numRef>
              <c:f>'Answer - Margin Analysis'!$S$21:$S$24</c:f>
              <c:numCache>
                <c:formatCode>#,##0</c:formatCode>
                <c:ptCount val="4"/>
                <c:pt idx="0">
                  <c:v>35.076319983868359</c:v>
                </c:pt>
                <c:pt idx="1">
                  <c:v>38.59629581123437</c:v>
                </c:pt>
                <c:pt idx="2">
                  <c:v>33.806754342844442</c:v>
                </c:pt>
                <c:pt idx="3">
                  <c:v>34.145481439730929</c:v>
                </c:pt>
              </c:numCache>
            </c:numRef>
          </c:val>
          <c:smooth val="0"/>
          <c:extLst>
            <c:ext xmlns:c16="http://schemas.microsoft.com/office/drawing/2014/chart" uri="{C3380CC4-5D6E-409C-BE32-E72D297353CC}">
              <c16:uniqueId val="{00000001-D42F-491A-8044-14A392C75C63}"/>
            </c:ext>
          </c:extLst>
        </c:ser>
        <c:ser>
          <c:idx val="2"/>
          <c:order val="2"/>
          <c:tx>
            <c:v>Expense Margin</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'Answer - Margin Analysis'!$I$21:$I$30</c:f>
              <c:numCache>
                <c:formatCode>General</c:formatCode>
                <c:ptCount val="10"/>
                <c:pt idx="0">
                  <c:v>1</c:v>
                </c:pt>
                <c:pt idx="1">
                  <c:v>5</c:v>
                </c:pt>
                <c:pt idx="2">
                  <c:v>10</c:v>
                </c:pt>
                <c:pt idx="3">
                  <c:v>15</c:v>
                </c:pt>
              </c:numCache>
            </c:numRef>
          </c:cat>
          <c:val>
            <c:numRef>
              <c:f>'Answer - Margin Analysis'!$T$21:$T$24</c:f>
              <c:numCache>
                <c:formatCode>#,##0</c:formatCode>
                <c:ptCount val="4"/>
                <c:pt idx="0">
                  <c:v>22.594930820597881</c:v>
                </c:pt>
                <c:pt idx="1">
                  <c:v>20.807141637799646</c:v>
                </c:pt>
                <c:pt idx="2">
                  <c:v>16.521921967993876</c:v>
                </c:pt>
                <c:pt idx="3">
                  <c:v>9.9868187347971116</c:v>
                </c:pt>
              </c:numCache>
            </c:numRef>
          </c:val>
          <c:smooth val="0"/>
          <c:extLst>
            <c:ext xmlns:c16="http://schemas.microsoft.com/office/drawing/2014/chart" uri="{C3380CC4-5D6E-409C-BE32-E72D297353CC}">
              <c16:uniqueId val="{00000002-D42F-491A-8044-14A392C75C63}"/>
            </c:ext>
          </c:extLst>
        </c:ser>
        <c:ser>
          <c:idx val="3"/>
          <c:order val="3"/>
          <c:tx>
            <c:v>Interest Margin</c:v>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'Answer - Margin Analysis'!$I$21:$I$30</c:f>
              <c:numCache>
                <c:formatCode>General</c:formatCode>
                <c:ptCount val="10"/>
                <c:pt idx="0">
                  <c:v>1</c:v>
                </c:pt>
                <c:pt idx="1">
                  <c:v>5</c:v>
                </c:pt>
                <c:pt idx="2">
                  <c:v>10</c:v>
                </c:pt>
                <c:pt idx="3">
                  <c:v>15</c:v>
                </c:pt>
              </c:numCache>
            </c:numRef>
          </c:cat>
          <c:val>
            <c:numRef>
              <c:f>'Answer - Margin Analysis'!$U$21:$U$24</c:f>
              <c:numCache>
                <c:formatCode>#,##0</c:formatCode>
                <c:ptCount val="4"/>
                <c:pt idx="0">
                  <c:v>22.700063315540973</c:v>
                </c:pt>
                <c:pt idx="1">
                  <c:v>24.053663099486926</c:v>
                </c:pt>
                <c:pt idx="2">
                  <c:v>17.630278776441173</c:v>
                </c:pt>
                <c:pt idx="3">
                  <c:v>6.8750437711476593</c:v>
                </c:pt>
              </c:numCache>
            </c:numRef>
          </c:val>
          <c:smooth val="0"/>
          <c:extLst>
            <c:ext xmlns:c16="http://schemas.microsoft.com/office/drawing/2014/chart" uri="{C3380CC4-5D6E-409C-BE32-E72D297353CC}">
              <c16:uniqueId val="{00000003-D42F-491A-8044-14A392C75C63}"/>
            </c:ext>
          </c:extLst>
        </c:ser>
        <c:dLbls>
          <c:showLegendKey val="0"/>
          <c:showVal val="0"/>
          <c:showCatName val="0"/>
          <c:showSerName val="0"/>
          <c:showPercent val="0"/>
          <c:showBubbleSize val="0"/>
        </c:dLbls>
        <c:marker val="1"/>
        <c:smooth val="0"/>
        <c:axId val="2110581343"/>
        <c:axId val="2116935855"/>
      </c:lineChart>
      <c:catAx>
        <c:axId val="21105813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6935855"/>
        <c:crosses val="autoZero"/>
        <c:auto val="1"/>
        <c:lblAlgn val="ctr"/>
        <c:lblOffset val="100"/>
        <c:noMultiLvlLbl val="0"/>
      </c:catAx>
      <c:valAx>
        <c:axId val="2116935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Individual Margin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05813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Deterministic</a:t>
            </a:r>
            <a:r>
              <a:rPr lang="en-US" baseline="0"/>
              <a:t> Reserve</a:t>
            </a:r>
          </a:p>
          <a:p>
            <a:pPr>
              <a:defRPr/>
            </a:pPr>
            <a:r>
              <a:rPr lang="en-US" baseline="0"/>
              <a:t>Margin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0"/>
          <c:tx>
            <c:v>Total Margin</c:v>
          </c:tx>
          <c:spPr>
            <a:solidFill>
              <a:schemeClr val="accent5"/>
            </a:solidFill>
            <a:ln>
              <a:noFill/>
            </a:ln>
            <a:effectLst/>
          </c:spPr>
          <c:invertIfNegative val="0"/>
          <c:cat>
            <c:numRef>
              <c:f>'Answer - Margin Analysis'!$I$21:$I$30</c:f>
              <c:numCache>
                <c:formatCode>General</c:formatCode>
                <c:ptCount val="10"/>
                <c:pt idx="0">
                  <c:v>1</c:v>
                </c:pt>
                <c:pt idx="1">
                  <c:v>5</c:v>
                </c:pt>
                <c:pt idx="2">
                  <c:v>10</c:v>
                </c:pt>
                <c:pt idx="3">
                  <c:v>15</c:v>
                </c:pt>
              </c:numCache>
            </c:numRef>
          </c:cat>
          <c:val>
            <c:numRef>
              <c:f>'Answer - Margin Analysis'!$W$21:$W$24</c:f>
              <c:numCache>
                <c:formatCode>0.00%</c:formatCode>
                <c:ptCount val="4"/>
                <c:pt idx="0">
                  <c:v>-1.1243139776743474</c:v>
                </c:pt>
                <c:pt idx="1">
                  <c:v>0.82789893794601754</c:v>
                </c:pt>
                <c:pt idx="2">
                  <c:v>0.3597185114040794</c:v>
                </c:pt>
                <c:pt idx="3">
                  <c:v>0.28668968707113707</c:v>
                </c:pt>
              </c:numCache>
            </c:numRef>
          </c:val>
          <c:extLst>
            <c:ext xmlns:c16="http://schemas.microsoft.com/office/drawing/2014/chart" uri="{C3380CC4-5D6E-409C-BE32-E72D297353CC}">
              <c16:uniqueId val="{00000000-4A8A-4722-B841-F282833AE8A2}"/>
            </c:ext>
          </c:extLst>
        </c:ser>
        <c:ser>
          <c:idx val="0"/>
          <c:order val="1"/>
          <c:tx>
            <c:v>Mortality Margin</c:v>
          </c:tx>
          <c:spPr>
            <a:solidFill>
              <a:schemeClr val="accent1"/>
            </a:solidFill>
            <a:ln>
              <a:noFill/>
            </a:ln>
            <a:effectLst/>
          </c:spPr>
          <c:invertIfNegative val="0"/>
          <c:cat>
            <c:numRef>
              <c:f>'Answer - Margin Analysis'!$I$21:$I$30</c:f>
              <c:numCache>
                <c:formatCode>General</c:formatCode>
                <c:ptCount val="10"/>
                <c:pt idx="0">
                  <c:v>1</c:v>
                </c:pt>
                <c:pt idx="1">
                  <c:v>5</c:v>
                </c:pt>
                <c:pt idx="2">
                  <c:v>10</c:v>
                </c:pt>
                <c:pt idx="3">
                  <c:v>15</c:v>
                </c:pt>
              </c:numCache>
            </c:numRef>
          </c:cat>
          <c:val>
            <c:numRef>
              <c:f>'Answer - Margin Analysis'!$X$21:$X$24</c:f>
              <c:numCache>
                <c:formatCode>0.00%</c:formatCode>
                <c:ptCount val="4"/>
                <c:pt idx="0">
                  <c:v>-0.74539668617149557</c:v>
                </c:pt>
                <c:pt idx="1">
                  <c:v>0.5389758233087607</c:v>
                </c:pt>
                <c:pt idx="2">
                  <c:v>0.2421966119122175</c:v>
                </c:pt>
                <c:pt idx="3">
                  <c:v>0.18915365288079738</c:v>
                </c:pt>
              </c:numCache>
            </c:numRef>
          </c:val>
          <c:extLst>
            <c:ext xmlns:c16="http://schemas.microsoft.com/office/drawing/2014/chart" uri="{C3380CC4-5D6E-409C-BE32-E72D297353CC}">
              <c16:uniqueId val="{00000001-4A8A-4722-B841-F282833AE8A2}"/>
            </c:ext>
          </c:extLst>
        </c:ser>
        <c:ser>
          <c:idx val="1"/>
          <c:order val="2"/>
          <c:tx>
            <c:v>Lapse Margin</c:v>
          </c:tx>
          <c:spPr>
            <a:solidFill>
              <a:schemeClr val="accent2"/>
            </a:solidFill>
            <a:ln>
              <a:noFill/>
            </a:ln>
            <a:effectLst/>
          </c:spPr>
          <c:invertIfNegative val="0"/>
          <c:cat>
            <c:numRef>
              <c:f>'Answer - Margin Analysis'!$I$21:$I$30</c:f>
              <c:numCache>
                <c:formatCode>General</c:formatCode>
                <c:ptCount val="10"/>
                <c:pt idx="0">
                  <c:v>1</c:v>
                </c:pt>
                <c:pt idx="1">
                  <c:v>5</c:v>
                </c:pt>
                <c:pt idx="2">
                  <c:v>10</c:v>
                </c:pt>
                <c:pt idx="3">
                  <c:v>15</c:v>
                </c:pt>
              </c:numCache>
            </c:numRef>
          </c:cat>
          <c:val>
            <c:numRef>
              <c:f>'Answer - Margin Analysis'!$Y$21:$Y$24</c:f>
              <c:numCache>
                <c:formatCode>0.00%</c:formatCode>
                <c:ptCount val="4"/>
                <c:pt idx="0">
                  <c:v>-0.20736202191633019</c:v>
                </c:pt>
                <c:pt idx="1">
                  <c:v>0.15550037141763765</c:v>
                </c:pt>
                <c:pt idx="2">
                  <c:v>6.3030302909356753E-2</c:v>
                </c:pt>
                <c:pt idx="3">
                  <c:v>6.600390853230112E-2</c:v>
                </c:pt>
              </c:numCache>
            </c:numRef>
          </c:val>
          <c:extLst>
            <c:ext xmlns:c16="http://schemas.microsoft.com/office/drawing/2014/chart" uri="{C3380CC4-5D6E-409C-BE32-E72D297353CC}">
              <c16:uniqueId val="{00000002-4A8A-4722-B841-F282833AE8A2}"/>
            </c:ext>
          </c:extLst>
        </c:ser>
        <c:ser>
          <c:idx val="2"/>
          <c:order val="3"/>
          <c:tx>
            <c:v>Expense Margin</c:v>
          </c:tx>
          <c:spPr>
            <a:solidFill>
              <a:schemeClr val="accent3"/>
            </a:solidFill>
            <a:ln>
              <a:noFill/>
            </a:ln>
            <a:effectLst/>
          </c:spPr>
          <c:invertIfNegative val="0"/>
          <c:cat>
            <c:numRef>
              <c:f>'Answer - Margin Analysis'!$I$21:$I$30</c:f>
              <c:numCache>
                <c:formatCode>General</c:formatCode>
                <c:ptCount val="10"/>
                <c:pt idx="0">
                  <c:v>1</c:v>
                </c:pt>
                <c:pt idx="1">
                  <c:v>5</c:v>
                </c:pt>
                <c:pt idx="2">
                  <c:v>10</c:v>
                </c:pt>
                <c:pt idx="3">
                  <c:v>15</c:v>
                </c:pt>
              </c:numCache>
            </c:numRef>
          </c:cat>
          <c:val>
            <c:numRef>
              <c:f>'Answer - Margin Analysis'!$Z$21:$Z$24</c:f>
              <c:numCache>
                <c:formatCode>0.00%</c:formatCode>
                <c:ptCount val="4"/>
                <c:pt idx="0">
                  <c:v>-0.13357531640073905</c:v>
                </c:pt>
                <c:pt idx="1">
                  <c:v>8.3829760986427707E-2</c:v>
                </c:pt>
                <c:pt idx="2">
                  <c:v>3.0803955201568443E-2</c:v>
                </c:pt>
                <c:pt idx="3">
                  <c:v>1.9304723275426573E-2</c:v>
                </c:pt>
              </c:numCache>
            </c:numRef>
          </c:val>
          <c:extLst>
            <c:ext xmlns:c16="http://schemas.microsoft.com/office/drawing/2014/chart" uri="{C3380CC4-5D6E-409C-BE32-E72D297353CC}">
              <c16:uniqueId val="{00000003-4A8A-4722-B841-F282833AE8A2}"/>
            </c:ext>
          </c:extLst>
        </c:ser>
        <c:ser>
          <c:idx val="5"/>
          <c:order val="4"/>
          <c:tx>
            <c:v>Interest Margin</c:v>
          </c:tx>
          <c:spPr>
            <a:solidFill>
              <a:schemeClr val="accent6"/>
            </a:solidFill>
            <a:ln>
              <a:noFill/>
            </a:ln>
            <a:effectLst/>
          </c:spPr>
          <c:invertIfNegative val="0"/>
          <c:val>
            <c:numRef>
              <c:f>'Answer - Margin Analysis'!$AA$21:$AA$24</c:f>
              <c:numCache>
                <c:formatCode>0.00%</c:formatCode>
                <c:ptCount val="4"/>
                <c:pt idx="0">
                  <c:v>-0.13419683219060907</c:v>
                </c:pt>
                <c:pt idx="1">
                  <c:v>9.6909650714103582E-2</c:v>
                </c:pt>
                <c:pt idx="2">
                  <c:v>3.2870408096147115E-2</c:v>
                </c:pt>
                <c:pt idx="3">
                  <c:v>1.3289599123894283E-2</c:v>
                </c:pt>
              </c:numCache>
            </c:numRef>
          </c:val>
          <c:extLst>
            <c:ext xmlns:c16="http://schemas.microsoft.com/office/drawing/2014/chart" uri="{C3380CC4-5D6E-409C-BE32-E72D297353CC}">
              <c16:uniqueId val="{00000004-4A8A-4722-B841-F282833AE8A2}"/>
            </c:ext>
          </c:extLst>
        </c:ser>
        <c:dLbls>
          <c:showLegendKey val="0"/>
          <c:showVal val="0"/>
          <c:showCatName val="0"/>
          <c:showSerName val="0"/>
          <c:showPercent val="0"/>
          <c:showBubbleSize val="0"/>
        </c:dLbls>
        <c:gapWidth val="219"/>
        <c:overlap val="-27"/>
        <c:axId val="1256021855"/>
        <c:axId val="1253377407"/>
      </c:barChart>
      <c:catAx>
        <c:axId val="12560218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End of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3377407"/>
        <c:crosses val="autoZero"/>
        <c:auto val="1"/>
        <c:lblAlgn val="ctr"/>
        <c:lblOffset val="100"/>
        <c:noMultiLvlLbl val="0"/>
      </c:catAx>
      <c:valAx>
        <c:axId val="12533774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Margin as %</a:t>
                </a:r>
              </a:p>
              <a:p>
                <a:pPr>
                  <a:defRPr/>
                </a:pPr>
                <a:r>
                  <a:rPr lang="en-US" baseline="0"/>
                  <a:t>of Prudent Estimate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021855"/>
        <c:crosses val="autoZero"/>
        <c:crossBetween val="between"/>
      </c:valAx>
      <c:spPr>
        <a:noFill/>
        <a:ln>
          <a:noFill/>
        </a:ln>
        <a:effectLst/>
      </c:spPr>
    </c:plotArea>
    <c:legend>
      <c:legendPos val="b"/>
      <c:layout>
        <c:manualLayout>
          <c:xMode val="edge"/>
          <c:yMode val="edge"/>
          <c:x val="0.1148988109131322"/>
          <c:y val="0.80909483298756635"/>
          <c:w val="0.83547046340768782"/>
          <c:h val="0.165027385001348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8</xdr:col>
      <xdr:colOff>1121</xdr:colOff>
      <xdr:row>0</xdr:row>
      <xdr:rowOff>379319</xdr:rowOff>
    </xdr:from>
    <xdr:to>
      <xdr:col>18</xdr:col>
      <xdr:colOff>67235</xdr:colOff>
      <xdr:row>18</xdr:row>
      <xdr:rowOff>44824</xdr:rowOff>
    </xdr:to>
    <xdr:graphicFrame macro="">
      <xdr:nvGraphicFramePr>
        <xdr:cNvPr id="4" name="Chart 3">
          <a:extLst>
            <a:ext uri="{FF2B5EF4-FFF2-40B4-BE49-F238E27FC236}">
              <a16:creationId xmlns:a16="http://schemas.microsoft.com/office/drawing/2014/main" id="{129147B4-58D1-4B86-BF54-BD130C1E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xdr:row>
      <xdr:rowOff>57211</xdr:rowOff>
    </xdr:from>
    <xdr:to>
      <xdr:col>13</xdr:col>
      <xdr:colOff>695325</xdr:colOff>
      <xdr:row>15</xdr:row>
      <xdr:rowOff>169334</xdr:rowOff>
    </xdr:to>
    <xdr:graphicFrame macro="">
      <xdr:nvGraphicFramePr>
        <xdr:cNvPr id="3" name="Chart 2">
          <a:extLst>
            <a:ext uri="{FF2B5EF4-FFF2-40B4-BE49-F238E27FC236}">
              <a16:creationId xmlns:a16="http://schemas.microsoft.com/office/drawing/2014/main" id="{218CBEB3-52F0-48EF-8C46-1A4ADD1624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95250</xdr:colOff>
      <xdr:row>2</xdr:row>
      <xdr:rowOff>0</xdr:rowOff>
    </xdr:from>
    <xdr:to>
      <xdr:col>20</xdr:col>
      <xdr:colOff>340783</xdr:colOff>
      <xdr:row>15</xdr:row>
      <xdr:rowOff>169334</xdr:rowOff>
    </xdr:to>
    <xdr:graphicFrame macro="">
      <xdr:nvGraphicFramePr>
        <xdr:cNvPr id="4" name="Chart 3">
          <a:extLst>
            <a:ext uri="{FF2B5EF4-FFF2-40B4-BE49-F238E27FC236}">
              <a16:creationId xmlns:a16="http://schemas.microsoft.com/office/drawing/2014/main" id="{9E7A9A80-BF30-45D1-B664-B97AD2D4B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439209</xdr:colOff>
      <xdr:row>1</xdr:row>
      <xdr:rowOff>158750</xdr:rowOff>
    </xdr:from>
    <xdr:to>
      <xdr:col>26</xdr:col>
      <xdr:colOff>687917</xdr:colOff>
      <xdr:row>15</xdr:row>
      <xdr:rowOff>169334</xdr:rowOff>
    </xdr:to>
    <xdr:graphicFrame macro="">
      <xdr:nvGraphicFramePr>
        <xdr:cNvPr id="5" name="Chart 4">
          <a:extLst>
            <a:ext uri="{FF2B5EF4-FFF2-40B4-BE49-F238E27FC236}">
              <a16:creationId xmlns:a16="http://schemas.microsoft.com/office/drawing/2014/main" id="{1170F2EA-31C1-494C-AE42-3D0711B96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2</xdr:row>
      <xdr:rowOff>57211</xdr:rowOff>
    </xdr:from>
    <xdr:to>
      <xdr:col>13</xdr:col>
      <xdr:colOff>695325</xdr:colOff>
      <xdr:row>15</xdr:row>
      <xdr:rowOff>169334</xdr:rowOff>
    </xdr:to>
    <xdr:graphicFrame macro="">
      <xdr:nvGraphicFramePr>
        <xdr:cNvPr id="2" name="Chart 1">
          <a:extLst>
            <a:ext uri="{FF2B5EF4-FFF2-40B4-BE49-F238E27FC236}">
              <a16:creationId xmlns:a16="http://schemas.microsoft.com/office/drawing/2014/main" id="{D49A76AF-1C01-4144-9038-1FA94AB8D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95250</xdr:colOff>
      <xdr:row>2</xdr:row>
      <xdr:rowOff>0</xdr:rowOff>
    </xdr:from>
    <xdr:to>
      <xdr:col>20</xdr:col>
      <xdr:colOff>340783</xdr:colOff>
      <xdr:row>15</xdr:row>
      <xdr:rowOff>169334</xdr:rowOff>
    </xdr:to>
    <xdr:graphicFrame macro="">
      <xdr:nvGraphicFramePr>
        <xdr:cNvPr id="3" name="Chart 2">
          <a:extLst>
            <a:ext uri="{FF2B5EF4-FFF2-40B4-BE49-F238E27FC236}">
              <a16:creationId xmlns:a16="http://schemas.microsoft.com/office/drawing/2014/main" id="{542A642F-E975-41E7-AC57-25134D929A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439209</xdr:colOff>
      <xdr:row>1</xdr:row>
      <xdr:rowOff>158750</xdr:rowOff>
    </xdr:from>
    <xdr:to>
      <xdr:col>26</xdr:col>
      <xdr:colOff>687917</xdr:colOff>
      <xdr:row>15</xdr:row>
      <xdr:rowOff>169334</xdr:rowOff>
    </xdr:to>
    <xdr:graphicFrame macro="">
      <xdr:nvGraphicFramePr>
        <xdr:cNvPr id="4" name="Chart 3">
          <a:extLst>
            <a:ext uri="{FF2B5EF4-FFF2-40B4-BE49-F238E27FC236}">
              <a16:creationId xmlns:a16="http://schemas.microsoft.com/office/drawing/2014/main" id="{46902312-7100-46EB-ABCB-EE445979B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2"/>
  <sheetViews>
    <sheetView workbookViewId="0">
      <selection activeCell="A2" sqref="A2"/>
    </sheetView>
  </sheetViews>
  <sheetFormatPr defaultRowHeight="15" x14ac:dyDescent="0.25"/>
  <cols>
    <col min="1" max="1" width="101.7109375" customWidth="1"/>
  </cols>
  <sheetData>
    <row r="1" spans="1:1" ht="31.5" x14ac:dyDescent="0.5">
      <c r="A1" s="31" t="s">
        <v>110</v>
      </c>
    </row>
    <row r="2" spans="1:1" ht="135" x14ac:dyDescent="0.25">
      <c r="A2" s="1" t="s">
        <v>112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O30"/>
  <sheetViews>
    <sheetView showGridLines="0" zoomScale="85" zoomScaleNormal="85" workbookViewId="0">
      <selection activeCell="D5" sqref="D5"/>
    </sheetView>
  </sheetViews>
  <sheetFormatPr defaultRowHeight="15" x14ac:dyDescent="0.25"/>
  <cols>
    <col min="1" max="1" width="0.85546875" customWidth="1"/>
    <col min="2" max="2" width="13.42578125" customWidth="1"/>
    <col min="3" max="3" width="35.42578125" customWidth="1"/>
    <col min="4" max="4" width="23.85546875" customWidth="1"/>
    <col min="5" max="5" width="1.5703125" customWidth="1"/>
    <col min="6" max="6" width="7.85546875" customWidth="1"/>
    <col min="7" max="7" width="9.140625" customWidth="1"/>
  </cols>
  <sheetData>
    <row r="1" spans="2:15" ht="18.75" x14ac:dyDescent="0.3">
      <c r="B1" s="123"/>
      <c r="C1" s="124" t="s">
        <v>205</v>
      </c>
    </row>
    <row r="2" spans="2:15" ht="15.75" thickBot="1" x14ac:dyDescent="0.3">
      <c r="D2" s="125"/>
    </row>
    <row r="3" spans="2:15" ht="30" x14ac:dyDescent="0.25">
      <c r="C3" s="139" t="s">
        <v>206</v>
      </c>
      <c r="D3" s="135" t="s">
        <v>234</v>
      </c>
      <c r="G3" s="308" t="s">
        <v>161</v>
      </c>
      <c r="H3" s="309"/>
      <c r="I3" s="309"/>
      <c r="J3" s="309"/>
      <c r="K3" s="309"/>
      <c r="L3" s="309"/>
      <c r="M3" s="309"/>
      <c r="N3" s="309"/>
      <c r="O3" s="310"/>
    </row>
    <row r="4" spans="2:15" ht="7.5" customHeight="1" x14ac:dyDescent="0.25">
      <c r="G4" s="311" t="s">
        <v>503</v>
      </c>
      <c r="H4" s="312"/>
      <c r="I4" s="312"/>
      <c r="J4" s="312"/>
      <c r="K4" s="312"/>
      <c r="L4" s="312"/>
      <c r="M4" s="312"/>
      <c r="N4" s="312"/>
      <c r="O4" s="313"/>
    </row>
    <row r="5" spans="2:15" ht="18.75" customHeight="1" x14ac:dyDescent="0.25">
      <c r="C5" s="141" t="s">
        <v>218</v>
      </c>
      <c r="D5" s="140"/>
      <c r="G5" s="314"/>
      <c r="H5" s="312"/>
      <c r="I5" s="312"/>
      <c r="J5" s="312"/>
      <c r="K5" s="312"/>
      <c r="L5" s="312"/>
      <c r="M5" s="312"/>
      <c r="N5" s="312"/>
      <c r="O5" s="313"/>
    </row>
    <row r="6" spans="2:15" ht="18.75" customHeight="1" x14ac:dyDescent="0.25">
      <c r="C6" s="141" t="s">
        <v>219</v>
      </c>
      <c r="D6" s="140"/>
      <c r="G6" s="314"/>
      <c r="H6" s="312"/>
      <c r="I6" s="312"/>
      <c r="J6" s="312"/>
      <c r="K6" s="312"/>
      <c r="L6" s="312"/>
      <c r="M6" s="312"/>
      <c r="N6" s="312"/>
      <c r="O6" s="313"/>
    </row>
    <row r="7" spans="2:15" ht="18.75" customHeight="1" x14ac:dyDescent="0.25">
      <c r="C7" s="141" t="s">
        <v>220</v>
      </c>
      <c r="D7" s="140"/>
      <c r="G7" s="314"/>
      <c r="H7" s="312"/>
      <c r="I7" s="312"/>
      <c r="J7" s="312"/>
      <c r="K7" s="312"/>
      <c r="L7" s="312"/>
      <c r="M7" s="312"/>
      <c r="N7" s="312"/>
      <c r="O7" s="313"/>
    </row>
    <row r="8" spans="2:15" ht="18.75" customHeight="1" x14ac:dyDescent="0.25">
      <c r="C8" s="141" t="s">
        <v>221</v>
      </c>
      <c r="D8" s="140"/>
      <c r="G8" s="314"/>
      <c r="H8" s="312"/>
      <c r="I8" s="312"/>
      <c r="J8" s="312"/>
      <c r="K8" s="312"/>
      <c r="L8" s="312"/>
      <c r="M8" s="312"/>
      <c r="N8" s="312"/>
      <c r="O8" s="313"/>
    </row>
    <row r="9" spans="2:15" ht="18.75" customHeight="1" x14ac:dyDescent="0.25">
      <c r="C9" s="141" t="s">
        <v>222</v>
      </c>
      <c r="D9" s="140"/>
      <c r="G9" s="314"/>
      <c r="H9" s="312"/>
      <c r="I9" s="312"/>
      <c r="J9" s="312"/>
      <c r="K9" s="312"/>
      <c r="L9" s="312"/>
      <c r="M9" s="312"/>
      <c r="N9" s="312"/>
      <c r="O9" s="313"/>
    </row>
    <row r="10" spans="2:15" ht="18.75" customHeight="1" x14ac:dyDescent="0.25">
      <c r="C10" s="141" t="s">
        <v>223</v>
      </c>
      <c r="D10" s="140"/>
      <c r="G10" s="314"/>
      <c r="H10" s="312"/>
      <c r="I10" s="312"/>
      <c r="J10" s="312"/>
      <c r="K10" s="312"/>
      <c r="L10" s="312"/>
      <c r="M10" s="312"/>
      <c r="N10" s="312"/>
      <c r="O10" s="313"/>
    </row>
    <row r="11" spans="2:15" ht="18.75" customHeight="1" x14ac:dyDescent="0.25">
      <c r="C11" s="141" t="s">
        <v>224</v>
      </c>
      <c r="D11" s="140"/>
      <c r="G11" s="314"/>
      <c r="H11" s="312"/>
      <c r="I11" s="312"/>
      <c r="J11" s="312"/>
      <c r="K11" s="312"/>
      <c r="L11" s="312"/>
      <c r="M11" s="312"/>
      <c r="N11" s="312"/>
      <c r="O11" s="313"/>
    </row>
    <row r="12" spans="2:15" ht="18.75" customHeight="1" thickBot="1" x14ac:dyDescent="0.3">
      <c r="C12" s="141" t="s">
        <v>225</v>
      </c>
      <c r="D12" s="140"/>
      <c r="G12" s="315"/>
      <c r="H12" s="316"/>
      <c r="I12" s="316"/>
      <c r="J12" s="316"/>
      <c r="K12" s="316"/>
      <c r="L12" s="316"/>
      <c r="M12" s="316"/>
      <c r="N12" s="316"/>
      <c r="O12" s="317"/>
    </row>
    <row r="13" spans="2:15" ht="18.75" customHeight="1" x14ac:dyDescent="0.25">
      <c r="C13" s="141" t="s">
        <v>226</v>
      </c>
      <c r="D13" s="140"/>
      <c r="G13" s="137"/>
      <c r="H13" s="137"/>
      <c r="I13" s="137"/>
      <c r="J13" s="137"/>
      <c r="K13" s="137"/>
      <c r="L13" s="137"/>
      <c r="M13" s="137"/>
      <c r="N13" s="137"/>
      <c r="O13" s="137"/>
    </row>
    <row r="14" spans="2:15" ht="18.75" customHeight="1" x14ac:dyDescent="0.25">
      <c r="C14" s="141" t="s">
        <v>227</v>
      </c>
      <c r="D14" s="140"/>
      <c r="G14" s="138" t="s">
        <v>249</v>
      </c>
    </row>
    <row r="15" spans="2:15" ht="18.75" customHeight="1" x14ac:dyDescent="0.25">
      <c r="C15" s="141" t="s">
        <v>228</v>
      </c>
      <c r="D15" s="140"/>
      <c r="G15" s="266" t="s">
        <v>250</v>
      </c>
      <c r="H15" s="251"/>
      <c r="I15" s="251"/>
      <c r="J15" s="251"/>
      <c r="K15" s="251"/>
      <c r="L15" s="251"/>
      <c r="M15" s="251"/>
      <c r="N15" s="251"/>
      <c r="O15" s="251"/>
    </row>
    <row r="16" spans="2:15" ht="18.75" customHeight="1" x14ac:dyDescent="0.25">
      <c r="C16" s="141" t="s">
        <v>229</v>
      </c>
      <c r="D16" s="140"/>
      <c r="G16" s="251"/>
      <c r="H16" s="251"/>
      <c r="I16" s="251"/>
      <c r="J16" s="251"/>
      <c r="K16" s="251"/>
      <c r="L16" s="251"/>
      <c r="M16" s="251"/>
      <c r="N16" s="251"/>
      <c r="O16" s="251"/>
    </row>
    <row r="17" spans="2:15" ht="18.75" customHeight="1" x14ac:dyDescent="0.25">
      <c r="C17" s="141" t="s">
        <v>230</v>
      </c>
      <c r="D17" s="140"/>
      <c r="G17" s="251"/>
      <c r="H17" s="251"/>
      <c r="I17" s="251"/>
      <c r="J17" s="251"/>
      <c r="K17" s="251"/>
      <c r="L17" s="251"/>
      <c r="M17" s="251"/>
      <c r="N17" s="251"/>
      <c r="O17" s="251"/>
    </row>
    <row r="18" spans="2:15" ht="18.75" customHeight="1" x14ac:dyDescent="0.25">
      <c r="C18" s="141" t="s">
        <v>231</v>
      </c>
      <c r="D18" s="140"/>
      <c r="G18" s="251"/>
      <c r="H18" s="251"/>
      <c r="I18" s="251"/>
      <c r="J18" s="251"/>
      <c r="K18" s="251"/>
      <c r="L18" s="251"/>
      <c r="M18" s="251"/>
      <c r="N18" s="251"/>
      <c r="O18" s="251"/>
    </row>
    <row r="19" spans="2:15" ht="18.75" customHeight="1" x14ac:dyDescent="0.25">
      <c r="C19" s="141" t="s">
        <v>232</v>
      </c>
      <c r="D19" s="140"/>
      <c r="G19" s="251"/>
      <c r="H19" s="251"/>
      <c r="I19" s="251"/>
      <c r="J19" s="251"/>
      <c r="K19" s="251"/>
      <c r="L19" s="251"/>
      <c r="M19" s="251"/>
      <c r="N19" s="251"/>
      <c r="O19" s="251"/>
    </row>
    <row r="20" spans="2:15" ht="18.75" customHeight="1" x14ac:dyDescent="0.25">
      <c r="C20" s="141" t="s">
        <v>233</v>
      </c>
      <c r="D20" s="140"/>
      <c r="G20" s="251"/>
      <c r="H20" s="251"/>
      <c r="I20" s="251"/>
      <c r="J20" s="251"/>
      <c r="K20" s="251"/>
      <c r="L20" s="251"/>
      <c r="M20" s="251"/>
      <c r="N20" s="251"/>
      <c r="O20" s="251"/>
    </row>
    <row r="21" spans="2:15" ht="7.5" customHeight="1" x14ac:dyDescent="0.25">
      <c r="C21" s="36"/>
      <c r="D21" s="36"/>
      <c r="G21" s="251"/>
      <c r="H21" s="251"/>
      <c r="I21" s="251"/>
      <c r="J21" s="251"/>
      <c r="K21" s="251"/>
      <c r="L21" s="251"/>
      <c r="M21" s="251"/>
      <c r="N21" s="251"/>
      <c r="O21" s="251"/>
    </row>
    <row r="22" spans="2:15" ht="18.75" customHeight="1" x14ac:dyDescent="0.25">
      <c r="B22" s="126" t="s">
        <v>207</v>
      </c>
      <c r="C22" s="130" t="s">
        <v>208</v>
      </c>
      <c r="D22" s="133">
        <f>D13</f>
        <v>0</v>
      </c>
      <c r="G22" s="251"/>
      <c r="H22" s="251"/>
      <c r="I22" s="251"/>
      <c r="J22" s="251"/>
      <c r="K22" s="251"/>
      <c r="L22" s="251"/>
      <c r="M22" s="251"/>
      <c r="N22" s="251"/>
      <c r="O22" s="251"/>
    </row>
    <row r="23" spans="2:15" ht="18.75" customHeight="1" x14ac:dyDescent="0.25">
      <c r="B23" s="126" t="s">
        <v>209</v>
      </c>
      <c r="C23" s="130" t="s">
        <v>210</v>
      </c>
      <c r="D23" s="133">
        <f>MAX(MAX($D$5:$D$12),MAX($D$14:$D$20))</f>
        <v>0</v>
      </c>
      <c r="G23" s="251"/>
      <c r="H23" s="251"/>
      <c r="I23" s="251"/>
      <c r="J23" s="251"/>
      <c r="K23" s="251"/>
      <c r="L23" s="251"/>
      <c r="M23" s="251"/>
      <c r="N23" s="251"/>
      <c r="O23" s="251"/>
    </row>
    <row r="24" spans="2:15" ht="18.75" customHeight="1" x14ac:dyDescent="0.25">
      <c r="B24" s="126" t="s">
        <v>211</v>
      </c>
      <c r="C24" s="130" t="s">
        <v>212</v>
      </c>
      <c r="D24" s="133">
        <f>D23-D22</f>
        <v>0</v>
      </c>
      <c r="G24" s="251"/>
      <c r="H24" s="251"/>
      <c r="I24" s="251"/>
      <c r="J24" s="251"/>
      <c r="K24" s="251"/>
      <c r="L24" s="251"/>
      <c r="M24" s="251"/>
      <c r="N24" s="251"/>
      <c r="O24" s="251"/>
    </row>
    <row r="25" spans="2:15" ht="18.75" customHeight="1" x14ac:dyDescent="0.25">
      <c r="B25" s="126" t="s">
        <v>213</v>
      </c>
      <c r="C25" s="130" t="s">
        <v>214</v>
      </c>
      <c r="D25" s="132"/>
      <c r="G25" s="251"/>
      <c r="H25" s="251"/>
      <c r="I25" s="251"/>
      <c r="J25" s="251"/>
      <c r="K25" s="251"/>
      <c r="L25" s="251"/>
      <c r="M25" s="251"/>
      <c r="N25" s="251"/>
      <c r="O25" s="251"/>
    </row>
    <row r="26" spans="2:15" ht="18.75" customHeight="1" x14ac:dyDescent="0.25">
      <c r="B26" s="126" t="s">
        <v>215</v>
      </c>
      <c r="C26" s="131" t="s">
        <v>216</v>
      </c>
      <c r="D26" s="134" t="e">
        <f>D24/D25</f>
        <v>#DIV/0!</v>
      </c>
      <c r="G26" s="251"/>
      <c r="H26" s="251"/>
      <c r="I26" s="251"/>
      <c r="J26" s="251"/>
      <c r="K26" s="251"/>
      <c r="L26" s="251"/>
      <c r="M26" s="251"/>
      <c r="N26" s="251"/>
      <c r="O26" s="251"/>
    </row>
    <row r="27" spans="2:15" ht="7.5" customHeight="1" x14ac:dyDescent="0.25">
      <c r="C27" s="36"/>
      <c r="D27" s="36"/>
      <c r="G27" s="251"/>
      <c r="H27" s="251"/>
      <c r="I27" s="251"/>
      <c r="J27" s="251"/>
      <c r="K27" s="251"/>
      <c r="L27" s="251"/>
      <c r="M27" s="251"/>
      <c r="N27" s="251"/>
      <c r="O27" s="251"/>
    </row>
    <row r="28" spans="2:15" ht="18.75" customHeight="1" x14ac:dyDescent="0.25">
      <c r="B28" s="127"/>
      <c r="C28" s="130" t="s">
        <v>217</v>
      </c>
      <c r="D28" s="129" t="e">
        <f>IF($D$26&lt;6%,"PASS","FAIL")</f>
        <v>#DIV/0!</v>
      </c>
    </row>
    <row r="29" spans="2:15" ht="18.75" customHeight="1" x14ac:dyDescent="0.25">
      <c r="C29" s="128"/>
    </row>
    <row r="30" spans="2:15" ht="18.75" customHeight="1" x14ac:dyDescent="0.25">
      <c r="C30" s="128"/>
    </row>
  </sheetData>
  <mergeCells count="3">
    <mergeCell ref="G15:O27"/>
    <mergeCell ref="G3:O3"/>
    <mergeCell ref="G4:O12"/>
  </mergeCells>
  <conditionalFormatting sqref="D28">
    <cfRule type="cellIs" dxfId="3" priority="1" operator="equal">
      <formula>"PASS"</formula>
    </cfRule>
    <cfRule type="cellIs" dxfId="2" priority="2" operator="equal">
      <formula>"FAIL"</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99FF"/>
  </sheetPr>
  <dimension ref="B1:F24"/>
  <sheetViews>
    <sheetView showGridLines="0" zoomScale="80" zoomScaleNormal="80" workbookViewId="0">
      <selection activeCell="L2" sqref="L2"/>
    </sheetView>
  </sheetViews>
  <sheetFormatPr defaultRowHeight="15" x14ac:dyDescent="0.25"/>
  <cols>
    <col min="1" max="1" width="1.140625" customWidth="1"/>
    <col min="2" max="2" width="21" customWidth="1"/>
    <col min="3" max="3" width="79.85546875" style="1" customWidth="1"/>
    <col min="7" max="7" width="4.42578125" customWidth="1"/>
    <col min="15" max="15" width="4.28515625" customWidth="1"/>
  </cols>
  <sheetData>
    <row r="1" spans="2:6" ht="8.25" customHeight="1" x14ac:dyDescent="0.25">
      <c r="B1" s="102"/>
      <c r="C1" s="102"/>
      <c r="D1" s="102"/>
      <c r="E1" s="102"/>
      <c r="F1" s="102"/>
    </row>
    <row r="2" spans="2:6" ht="25.5" customHeight="1" x14ac:dyDescent="0.35">
      <c r="B2" s="221" t="s">
        <v>433</v>
      </c>
      <c r="C2" s="102"/>
      <c r="D2" s="102"/>
      <c r="E2" s="102"/>
      <c r="F2" s="102"/>
    </row>
    <row r="3" spans="2:6" ht="8.25" customHeight="1" x14ac:dyDescent="0.25">
      <c r="B3" s="102"/>
      <c r="C3" s="102"/>
      <c r="D3" s="102"/>
      <c r="E3" s="102"/>
      <c r="F3" s="102"/>
    </row>
    <row r="4" spans="2:6" ht="27" customHeight="1" x14ac:dyDescent="0.25">
      <c r="B4" s="110" t="s">
        <v>163</v>
      </c>
      <c r="C4" s="248" t="s">
        <v>432</v>
      </c>
      <c r="D4" s="249"/>
      <c r="E4" s="249"/>
      <c r="F4" s="249"/>
    </row>
    <row r="5" spans="2:6" ht="9" customHeight="1" x14ac:dyDescent="0.25">
      <c r="C5"/>
    </row>
    <row r="6" spans="2:6" s="109" customFormat="1" ht="77.25" customHeight="1" x14ac:dyDescent="0.25">
      <c r="B6" s="111" t="s">
        <v>235</v>
      </c>
      <c r="C6" s="233" t="s">
        <v>507</v>
      </c>
      <c r="D6" s="233"/>
      <c r="E6" s="233"/>
      <c r="F6" s="233"/>
    </row>
    <row r="7" spans="2:6" s="109" customFormat="1" ht="99" customHeight="1" x14ac:dyDescent="0.25">
      <c r="B7" s="111" t="s">
        <v>236</v>
      </c>
      <c r="C7" s="233" t="s">
        <v>434</v>
      </c>
      <c r="D7" s="233"/>
      <c r="E7" s="233"/>
      <c r="F7" s="233"/>
    </row>
    <row r="8" spans="2:6" s="109" customFormat="1" ht="108.75" customHeight="1" x14ac:dyDescent="0.25">
      <c r="B8" s="111" t="s">
        <v>237</v>
      </c>
      <c r="C8" s="233" t="s">
        <v>435</v>
      </c>
      <c r="D8" s="233"/>
      <c r="E8" s="233"/>
      <c r="F8" s="233"/>
    </row>
    <row r="9" spans="2:6" ht="183" customHeight="1" x14ac:dyDescent="0.25">
      <c r="B9" s="111" t="s">
        <v>238</v>
      </c>
      <c r="C9" s="233" t="s">
        <v>508</v>
      </c>
      <c r="D9" s="233"/>
      <c r="E9" s="233"/>
      <c r="F9" s="233"/>
    </row>
    <row r="10" spans="2:6" ht="227.25" customHeight="1" x14ac:dyDescent="0.25">
      <c r="B10" s="111" t="s">
        <v>239</v>
      </c>
      <c r="C10" s="233" t="s">
        <v>512</v>
      </c>
      <c r="D10" s="233"/>
      <c r="E10" s="233"/>
      <c r="F10" s="233"/>
    </row>
    <row r="11" spans="2:6" ht="78.75" customHeight="1" x14ac:dyDescent="0.25">
      <c r="B11" s="111" t="s">
        <v>240</v>
      </c>
      <c r="C11" s="233" t="s">
        <v>509</v>
      </c>
      <c r="D11" s="233"/>
      <c r="E11" s="233"/>
      <c r="F11" s="233"/>
    </row>
    <row r="12" spans="2:6" ht="9" customHeight="1" x14ac:dyDescent="0.25">
      <c r="C12"/>
    </row>
    <row r="13" spans="2:6" s="109" customFormat="1" ht="54.75" customHeight="1" x14ac:dyDescent="0.25">
      <c r="B13" s="111" t="s">
        <v>241</v>
      </c>
      <c r="C13" s="233" t="s">
        <v>437</v>
      </c>
      <c r="D13" s="233"/>
      <c r="E13" s="233"/>
      <c r="F13" s="233"/>
    </row>
    <row r="14" spans="2:6" s="109" customFormat="1" ht="54.75" customHeight="1" x14ac:dyDescent="0.25">
      <c r="B14" s="111" t="s">
        <v>242</v>
      </c>
      <c r="C14" s="233" t="s">
        <v>510</v>
      </c>
      <c r="D14" s="233"/>
      <c r="E14" s="233"/>
      <c r="F14" s="233"/>
    </row>
    <row r="15" spans="2:6" s="109" customFormat="1" ht="54.75" customHeight="1" x14ac:dyDescent="0.25">
      <c r="B15" s="111" t="s">
        <v>243</v>
      </c>
      <c r="C15" s="233" t="s">
        <v>436</v>
      </c>
      <c r="D15" s="233"/>
      <c r="E15" s="233"/>
      <c r="F15" s="233"/>
    </row>
    <row r="16" spans="2:6" ht="54.75" customHeight="1" x14ac:dyDescent="0.25">
      <c r="B16" s="111" t="s">
        <v>244</v>
      </c>
      <c r="C16" s="233" t="s">
        <v>511</v>
      </c>
      <c r="D16" s="233"/>
      <c r="E16" s="233"/>
      <c r="F16" s="233"/>
    </row>
    <row r="17" spans="2:6" ht="238.5" customHeight="1" x14ac:dyDescent="0.25">
      <c r="B17" s="111" t="s">
        <v>245</v>
      </c>
      <c r="C17" s="233" t="s">
        <v>513</v>
      </c>
      <c r="D17" s="233"/>
      <c r="E17" s="233"/>
      <c r="F17" s="233"/>
    </row>
    <row r="18" spans="2:6" ht="9" customHeight="1" x14ac:dyDescent="0.25">
      <c r="C18"/>
    </row>
    <row r="19" spans="2:6" s="109" customFormat="1" ht="80.25" customHeight="1" x14ac:dyDescent="0.25">
      <c r="B19" s="111" t="s">
        <v>413</v>
      </c>
      <c r="C19" s="233" t="s">
        <v>514</v>
      </c>
      <c r="D19" s="233"/>
      <c r="E19" s="233"/>
      <c r="F19" s="233"/>
    </row>
    <row r="20" spans="2:6" s="109" customFormat="1" ht="99.75" customHeight="1" x14ac:dyDescent="0.25">
      <c r="B20" s="111" t="s">
        <v>414</v>
      </c>
      <c r="C20" s="233" t="s">
        <v>438</v>
      </c>
      <c r="D20" s="233"/>
      <c r="E20" s="233"/>
      <c r="F20" s="233"/>
    </row>
    <row r="21" spans="2:6" s="109" customFormat="1" ht="119.25" customHeight="1" x14ac:dyDescent="0.25">
      <c r="B21" s="111" t="s">
        <v>415</v>
      </c>
      <c r="C21" s="233" t="s">
        <v>459</v>
      </c>
      <c r="D21" s="233"/>
      <c r="E21" s="233"/>
      <c r="F21" s="233"/>
    </row>
    <row r="22" spans="2:6" ht="120.75" customHeight="1" x14ac:dyDescent="0.25">
      <c r="B22" s="111" t="s">
        <v>416</v>
      </c>
      <c r="C22" s="233" t="s">
        <v>460</v>
      </c>
      <c r="D22" s="233"/>
      <c r="E22" s="233"/>
      <c r="F22" s="233"/>
    </row>
    <row r="23" spans="2:6" ht="140.25" customHeight="1" x14ac:dyDescent="0.25">
      <c r="B23" s="111" t="s">
        <v>417</v>
      </c>
      <c r="C23" s="233" t="s">
        <v>461</v>
      </c>
      <c r="D23" s="233"/>
      <c r="E23" s="233"/>
      <c r="F23" s="233"/>
    </row>
    <row r="24" spans="2:6" x14ac:dyDescent="0.25">
      <c r="B24" s="102"/>
      <c r="C24" s="102"/>
      <c r="D24" s="102"/>
      <c r="E24" s="102"/>
      <c r="F24" s="102"/>
    </row>
  </sheetData>
  <mergeCells count="17">
    <mergeCell ref="C6:F6"/>
    <mergeCell ref="C7:F7"/>
    <mergeCell ref="C4:F4"/>
    <mergeCell ref="C8:F8"/>
    <mergeCell ref="C9:F9"/>
    <mergeCell ref="C22:F22"/>
    <mergeCell ref="C23:F23"/>
    <mergeCell ref="C17:F17"/>
    <mergeCell ref="C10:F10"/>
    <mergeCell ref="C19:F19"/>
    <mergeCell ref="C20:F20"/>
    <mergeCell ref="C21:F21"/>
    <mergeCell ref="C11:F11"/>
    <mergeCell ref="C13:F13"/>
    <mergeCell ref="C14:F14"/>
    <mergeCell ref="C15:F15"/>
    <mergeCell ref="C16:F1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B7B61-9BD2-4850-8DF8-7C727A5A85D8}">
  <sheetPr>
    <tabColor rgb="FFCC99FF"/>
  </sheetPr>
  <dimension ref="A1:AA32"/>
  <sheetViews>
    <sheetView showGridLines="0" zoomScale="90" zoomScaleNormal="90" workbookViewId="0">
      <selection activeCell="E14" sqref="E14"/>
    </sheetView>
  </sheetViews>
  <sheetFormatPr defaultRowHeight="15" x14ac:dyDescent="0.25"/>
  <cols>
    <col min="2" max="7" width="17" customWidth="1"/>
    <col min="8" max="8" width="5.7109375" customWidth="1"/>
    <col min="9" max="29" width="10.42578125" customWidth="1"/>
  </cols>
  <sheetData>
    <row r="1" spans="1:7" ht="27" customHeight="1" x14ac:dyDescent="0.35">
      <c r="A1" s="38" t="s">
        <v>162</v>
      </c>
    </row>
    <row r="2" spans="1:7" ht="14.25" customHeight="1" x14ac:dyDescent="0.25"/>
    <row r="3" spans="1:7" ht="65.45" customHeight="1" x14ac:dyDescent="0.25">
      <c r="A3" s="105" t="s">
        <v>1</v>
      </c>
      <c r="B3" s="105" t="s">
        <v>136</v>
      </c>
      <c r="C3" s="105" t="s">
        <v>159</v>
      </c>
      <c r="D3" s="105" t="s">
        <v>381</v>
      </c>
      <c r="E3" s="105" t="s">
        <v>156</v>
      </c>
      <c r="F3" s="105" t="s">
        <v>157</v>
      </c>
      <c r="G3" s="105" t="s">
        <v>160</v>
      </c>
    </row>
    <row r="4" spans="1:7" ht="7.5" customHeight="1" x14ac:dyDescent="0.25"/>
    <row r="5" spans="1:7" x14ac:dyDescent="0.25">
      <c r="A5" s="104">
        <v>1</v>
      </c>
      <c r="B5" s="103">
        <v>-169.15498633602988</v>
      </c>
      <c r="C5" s="103">
        <v>-295.24255260029116</v>
      </c>
      <c r="D5" s="103">
        <v>-204.23130631989824</v>
      </c>
      <c r="E5" s="103">
        <v>-191.74991715662776</v>
      </c>
      <c r="F5" s="103">
        <v>-191.85504965157085</v>
      </c>
      <c r="G5" s="103">
        <v>-359.33830186694149</v>
      </c>
    </row>
    <row r="6" spans="1:7" x14ac:dyDescent="0.25">
      <c r="A6" s="104">
        <f t="shared" ref="A6:A24" si="0">A5+1</f>
        <v>2</v>
      </c>
      <c r="B6" s="103">
        <v>-46.649356471451895</v>
      </c>
      <c r="C6" s="103">
        <v>-175.41904355688379</v>
      </c>
      <c r="D6" s="103">
        <v>-83.356944314167464</v>
      </c>
      <c r="E6" s="103">
        <v>-68.946335853157592</v>
      </c>
      <c r="F6" s="103">
        <v>-70.346185158708565</v>
      </c>
      <c r="G6" s="103">
        <v>-242.86603359331954</v>
      </c>
    </row>
    <row r="7" spans="1:7" x14ac:dyDescent="0.25">
      <c r="A7" s="104">
        <f t="shared" si="0"/>
        <v>3</v>
      </c>
      <c r="B7" s="103">
        <v>62.400544484424771</v>
      </c>
      <c r="C7" s="103">
        <v>-68.514755952963782</v>
      </c>
      <c r="D7" s="103">
        <v>24.587438657588592</v>
      </c>
      <c r="E7" s="103">
        <v>40.502677580141302</v>
      </c>
      <c r="F7" s="103">
        <v>38.168882958656106</v>
      </c>
      <c r="G7" s="103">
        <v>-138.30372949501898</v>
      </c>
    </row>
    <row r="8" spans="1:7" x14ac:dyDescent="0.25">
      <c r="A8" s="104">
        <f t="shared" si="0"/>
        <v>4</v>
      </c>
      <c r="B8" s="103">
        <v>158.91430447494778</v>
      </c>
      <c r="C8" s="103">
        <v>26.387468573275953</v>
      </c>
      <c r="D8" s="103">
        <v>120.47755929307482</v>
      </c>
      <c r="E8" s="103">
        <v>137.51389858541808</v>
      </c>
      <c r="F8" s="103">
        <v>134.57224776113392</v>
      </c>
      <c r="G8" s="103">
        <v>-44.810303695891967</v>
      </c>
    </row>
    <row r="9" spans="1:7" x14ac:dyDescent="0.25">
      <c r="A9" s="104">
        <f t="shared" si="0"/>
        <v>5</v>
      </c>
      <c r="B9" s="103">
        <v>248.20709725235153</v>
      </c>
      <c r="C9" s="103">
        <v>114.42947265968772</v>
      </c>
      <c r="D9" s="103">
        <v>209.61080144111716</v>
      </c>
      <c r="E9" s="103">
        <v>227.39995561455189</v>
      </c>
      <c r="F9" s="103">
        <v>224.15343415286461</v>
      </c>
      <c r="G9" s="103">
        <v>42.716705046465833</v>
      </c>
    </row>
    <row r="10" spans="1:7" x14ac:dyDescent="0.25">
      <c r="A10" s="104">
        <f t="shared" si="0"/>
        <v>6</v>
      </c>
      <c r="B10" s="103">
        <v>328.90151748577836</v>
      </c>
      <c r="C10" s="103">
        <v>194.35125368510236</v>
      </c>
      <c r="D10" s="103">
        <v>290.58133912708888</v>
      </c>
      <c r="E10" s="103">
        <v>308.77993732242169</v>
      </c>
      <c r="F10" s="103">
        <v>305.51531785014021</v>
      </c>
      <c r="G10" s="103">
        <v>122.9738767545004</v>
      </c>
    </row>
    <row r="11" spans="1:7" x14ac:dyDescent="0.25">
      <c r="A11" s="104">
        <f t="shared" si="0"/>
        <v>7</v>
      </c>
      <c r="B11" s="103">
        <v>398.06140817510243</v>
      </c>
      <c r="C11" s="103">
        <v>263.45919130838899</v>
      </c>
      <c r="D11" s="103">
        <v>360.40814241235915</v>
      </c>
      <c r="E11" s="103">
        <v>378.71456898532898</v>
      </c>
      <c r="F11" s="103">
        <v>375.69168236035307</v>
      </c>
      <c r="G11" s="103">
        <v>193.19976610528386</v>
      </c>
    </row>
    <row r="12" spans="1:7" x14ac:dyDescent="0.25">
      <c r="A12" s="104">
        <f t="shared" si="0"/>
        <v>8</v>
      </c>
      <c r="B12" s="103">
        <v>454.88692342331541</v>
      </c>
      <c r="C12" s="103">
        <v>321.02101728509962</v>
      </c>
      <c r="D12" s="103">
        <v>418.23940670700154</v>
      </c>
      <c r="E12" s="103">
        <v>436.40056098664786</v>
      </c>
      <c r="F12" s="103">
        <v>433.84229499434116</v>
      </c>
      <c r="G12" s="103">
        <v>252.57757218997511</v>
      </c>
    </row>
    <row r="13" spans="1:7" x14ac:dyDescent="0.25">
      <c r="A13" s="104">
        <f t="shared" si="0"/>
        <v>9</v>
      </c>
      <c r="B13" s="103">
        <v>500.72319370452436</v>
      </c>
      <c r="C13" s="103">
        <v>368.41988233680286</v>
      </c>
      <c r="D13" s="103">
        <v>465.3727241958058</v>
      </c>
      <c r="E13" s="103">
        <v>483.17949565319378</v>
      </c>
      <c r="F13" s="103">
        <v>481.27099755816812</v>
      </c>
      <c r="G13" s="103">
        <v>302.40969624798907</v>
      </c>
    </row>
    <row r="14" spans="1:7" x14ac:dyDescent="0.25">
      <c r="A14" s="104">
        <f t="shared" si="0"/>
        <v>10</v>
      </c>
      <c r="B14" s="103">
        <v>536.35716127624517</v>
      </c>
      <c r="C14" s="103">
        <v>406.45327404028376</v>
      </c>
      <c r="D14" s="103">
        <v>502.55040693340072</v>
      </c>
      <c r="E14" s="103">
        <v>519.83523930825129</v>
      </c>
      <c r="F14" s="103">
        <v>518.72688249980399</v>
      </c>
      <c r="G14" s="103">
        <v>343.41956164103652</v>
      </c>
    </row>
    <row r="15" spans="1:7" x14ac:dyDescent="0.25">
      <c r="A15" s="104">
        <f t="shared" si="0"/>
        <v>11</v>
      </c>
      <c r="B15" s="103">
        <v>561.98267710106654</v>
      </c>
      <c r="C15" s="103">
        <v>435.10619106281592</v>
      </c>
      <c r="D15" s="103">
        <v>528.10906070976</v>
      </c>
      <c r="E15" s="103">
        <v>546.50866060924761</v>
      </c>
      <c r="F15" s="103">
        <v>546.31191207776828</v>
      </c>
      <c r="G15" s="103">
        <v>374.10984532296379</v>
      </c>
    </row>
    <row r="16" spans="1:7" x14ac:dyDescent="0.25">
      <c r="A16" s="104">
        <f t="shared" si="0"/>
        <v>12</v>
      </c>
      <c r="B16" s="103">
        <v>574.42015733234371</v>
      </c>
      <c r="C16" s="103">
        <v>451.98435788415213</v>
      </c>
      <c r="D16" s="103">
        <v>540.51158480167192</v>
      </c>
      <c r="E16" s="103">
        <v>560.12087237536116</v>
      </c>
      <c r="F16" s="103">
        <v>560.86659282662913</v>
      </c>
      <c r="G16" s="103">
        <v>393.34250952784174</v>
      </c>
    </row>
    <row r="17" spans="1:27" x14ac:dyDescent="0.25">
      <c r="A17" s="104">
        <f t="shared" si="0"/>
        <v>13</v>
      </c>
      <c r="B17" s="103">
        <v>571.46776474157252</v>
      </c>
      <c r="C17" s="103">
        <v>455.26942994745349</v>
      </c>
      <c r="D17" s="103">
        <v>537.52462210323233</v>
      </c>
      <c r="E17" s="103">
        <v>558.47271768377652</v>
      </c>
      <c r="F17" s="103">
        <v>560.13049561065554</v>
      </c>
      <c r="G17" s="103">
        <v>399.22461138753403</v>
      </c>
    </row>
    <row r="18" spans="1:27" x14ac:dyDescent="0.25">
      <c r="A18" s="104">
        <f t="shared" si="0"/>
        <v>14</v>
      </c>
      <c r="B18" s="103">
        <v>553.42402468932642</v>
      </c>
      <c r="C18" s="103">
        <v>445.24882850375087</v>
      </c>
      <c r="D18" s="103">
        <v>519.41490331820285</v>
      </c>
      <c r="E18" s="103">
        <v>541.86551000756094</v>
      </c>
      <c r="F18" s="103">
        <v>544.33725858989646</v>
      </c>
      <c r="G18" s="103">
        <v>391.96299425142422</v>
      </c>
      <c r="I18" s="305" t="s">
        <v>86</v>
      </c>
      <c r="J18" s="293" t="s">
        <v>57</v>
      </c>
      <c r="K18" s="286" t="s">
        <v>113</v>
      </c>
      <c r="L18" s="286" t="s">
        <v>114</v>
      </c>
      <c r="M18" s="286" t="s">
        <v>115</v>
      </c>
      <c r="N18" s="286" t="s">
        <v>158</v>
      </c>
      <c r="O18" s="290" t="s">
        <v>77</v>
      </c>
      <c r="P18" s="293" t="s">
        <v>86</v>
      </c>
      <c r="Q18" s="286" t="s">
        <v>379</v>
      </c>
      <c r="R18" s="286" t="s">
        <v>69</v>
      </c>
      <c r="S18" s="286" t="s">
        <v>50</v>
      </c>
      <c r="T18" s="286" t="s">
        <v>51</v>
      </c>
      <c r="U18" s="286" t="s">
        <v>141</v>
      </c>
      <c r="V18" s="286" t="s">
        <v>86</v>
      </c>
      <c r="W18" s="286" t="s">
        <v>379</v>
      </c>
      <c r="X18" s="286" t="s">
        <v>69</v>
      </c>
      <c r="Y18" s="286" t="s">
        <v>50</v>
      </c>
      <c r="Z18" s="286" t="s">
        <v>51</v>
      </c>
      <c r="AA18" s="286" t="s">
        <v>141</v>
      </c>
    </row>
    <row r="19" spans="1:27" x14ac:dyDescent="0.25">
      <c r="A19" s="104">
        <f t="shared" si="0"/>
        <v>15</v>
      </c>
      <c r="B19" s="103">
        <v>517.32514329845708</v>
      </c>
      <c r="C19" s="103">
        <v>419.47120271647196</v>
      </c>
      <c r="D19" s="103">
        <v>483.17966185872615</v>
      </c>
      <c r="E19" s="103">
        <v>507.33832456365997</v>
      </c>
      <c r="F19" s="103">
        <v>510.45009952730942</v>
      </c>
      <c r="G19" s="103">
        <v>369.01335985219129</v>
      </c>
      <c r="I19" s="306"/>
      <c r="J19" s="294"/>
      <c r="K19" s="287"/>
      <c r="L19" s="287"/>
      <c r="M19" s="287"/>
      <c r="N19" s="287"/>
      <c r="O19" s="291"/>
      <c r="P19" s="294"/>
      <c r="Q19" s="287"/>
      <c r="R19" s="287"/>
      <c r="S19" s="287"/>
      <c r="T19" s="287"/>
      <c r="U19" s="287"/>
      <c r="V19" s="287"/>
      <c r="W19" s="287"/>
      <c r="X19" s="287"/>
      <c r="Y19" s="287"/>
      <c r="Z19" s="287"/>
      <c r="AA19" s="287"/>
    </row>
    <row r="20" spans="1:27" x14ac:dyDescent="0.25">
      <c r="A20" s="104">
        <f t="shared" si="0"/>
        <v>16</v>
      </c>
      <c r="B20" s="103">
        <v>458.45174758536092</v>
      </c>
      <c r="C20" s="103">
        <v>373.7213190388606</v>
      </c>
      <c r="D20" s="103">
        <v>424.04956637372027</v>
      </c>
      <c r="E20" s="103">
        <v>450.17466186593151</v>
      </c>
      <c r="F20" s="103">
        <v>453.6571459356922</v>
      </c>
      <c r="G20" s="103">
        <v>326.04044889402013</v>
      </c>
      <c r="I20" s="307"/>
      <c r="J20" s="295"/>
      <c r="K20" s="288"/>
      <c r="L20" s="288"/>
      <c r="M20" s="288"/>
      <c r="N20" s="288"/>
      <c r="O20" s="292"/>
      <c r="P20" s="295"/>
      <c r="Q20" s="288"/>
      <c r="R20" s="288"/>
      <c r="S20" s="288"/>
      <c r="T20" s="288"/>
      <c r="U20" s="288"/>
      <c r="V20" s="288"/>
      <c r="W20" s="288"/>
      <c r="X20" s="288"/>
      <c r="Y20" s="288"/>
      <c r="Z20" s="288"/>
      <c r="AA20" s="288"/>
    </row>
    <row r="21" spans="1:27" x14ac:dyDescent="0.25">
      <c r="A21" s="104">
        <f t="shared" si="0"/>
        <v>17</v>
      </c>
      <c r="B21" s="103">
        <v>374.06837645797526</v>
      </c>
      <c r="C21" s="103">
        <v>305.86754734735723</v>
      </c>
      <c r="D21" s="103">
        <v>339.23146221828443</v>
      </c>
      <c r="E21" s="103">
        <v>367.64179177516291</v>
      </c>
      <c r="F21" s="103">
        <v>371.1105814029695</v>
      </c>
      <c r="G21" s="103">
        <v>260.7688591600774</v>
      </c>
      <c r="I21" s="7">
        <v>1</v>
      </c>
      <c r="J21" s="83">
        <f>VLOOKUP($I21,'Answer - Margin Analysis'!$A$5:$G$916,2)</f>
        <v>-169.15498633602988</v>
      </c>
      <c r="K21" s="17">
        <f>VLOOKUP($I21,'Answer - Margin Analysis'!$A$5:$G$916,3)</f>
        <v>-295.24255260029116</v>
      </c>
      <c r="L21" s="17">
        <f>VLOOKUP($I21,'Answer - Margin Analysis'!$A$5:$G$916,4)</f>
        <v>-204.23130631989824</v>
      </c>
      <c r="M21" s="17">
        <f>VLOOKUP($I21,'Answer - Margin Analysis'!$A$5:$G$916,5)</f>
        <v>-191.74991715662776</v>
      </c>
      <c r="N21" s="17">
        <f>VLOOKUP($I21,'Answer - Margin Analysis'!$A$5:$G$916,6)</f>
        <v>-191.85504965157085</v>
      </c>
      <c r="O21" s="17">
        <f>VLOOKUP($I21,'Answer - Margin Analysis'!$A$5:$G$916,7)</f>
        <v>-359.33830186694149</v>
      </c>
      <c r="P21" s="18">
        <f>I21</f>
        <v>1</v>
      </c>
      <c r="Q21" s="17">
        <f>J21-O21</f>
        <v>190.18331553091161</v>
      </c>
      <c r="R21" s="17">
        <f>J21-K21</f>
        <v>126.08756626426128</v>
      </c>
      <c r="S21" s="17">
        <f>J21-L21</f>
        <v>35.076319983868359</v>
      </c>
      <c r="T21" s="17">
        <f>J21-M21</f>
        <v>22.594930820597881</v>
      </c>
      <c r="U21" s="17">
        <f>J21-N21</f>
        <v>22.700063315540973</v>
      </c>
      <c r="V21" s="18">
        <f>P21</f>
        <v>1</v>
      </c>
      <c r="W21" s="10">
        <f t="shared" ref="W21:AA24" si="1">Q21/$J21</f>
        <v>-1.1243139776743474</v>
      </c>
      <c r="X21" s="10">
        <f t="shared" si="1"/>
        <v>-0.74539668617149557</v>
      </c>
      <c r="Y21" s="10">
        <f t="shared" si="1"/>
        <v>-0.20736202191633019</v>
      </c>
      <c r="Z21" s="10">
        <f t="shared" si="1"/>
        <v>-0.13357531640073905</v>
      </c>
      <c r="AA21" s="10">
        <f t="shared" si="1"/>
        <v>-0.13419683219060907</v>
      </c>
    </row>
    <row r="22" spans="1:27" x14ac:dyDescent="0.25">
      <c r="A22" s="104">
        <f t="shared" si="0"/>
        <v>18</v>
      </c>
      <c r="B22" s="103">
        <v>267.73643374465541</v>
      </c>
      <c r="C22" s="103">
        <v>219.28971395015577</v>
      </c>
      <c r="D22" s="103">
        <v>232.23558506254415</v>
      </c>
      <c r="E22" s="103">
        <v>263.30408748691752</v>
      </c>
      <c r="F22" s="103">
        <v>266.2573451039928</v>
      </c>
      <c r="G22" s="103">
        <v>176.43953727788201</v>
      </c>
      <c r="I22" s="7">
        <v>5</v>
      </c>
      <c r="J22" s="83">
        <f>VLOOKUP($I22,'Answer - Margin Analysis'!$A$5:$G$916,2)</f>
        <v>248.20709725235153</v>
      </c>
      <c r="K22" s="17">
        <f>VLOOKUP($I22,'Answer - Margin Analysis'!$A$5:$G$916,3)</f>
        <v>114.42947265968772</v>
      </c>
      <c r="L22" s="17">
        <f>VLOOKUP($I22,'Answer - Margin Analysis'!$A$5:$G$916,4)</f>
        <v>209.61080144111716</v>
      </c>
      <c r="M22" s="17">
        <f>VLOOKUP($I22,'Answer - Margin Analysis'!$A$5:$G$916,5)</f>
        <v>227.39995561455189</v>
      </c>
      <c r="N22" s="17">
        <f>VLOOKUP($I22,'Answer - Margin Analysis'!$A$5:$G$916,6)</f>
        <v>224.15343415286461</v>
      </c>
      <c r="O22" s="17">
        <f>VLOOKUP($I22,'Answer - Margin Analysis'!$A$5:$G$916,7)</f>
        <v>42.716705046465833</v>
      </c>
      <c r="P22" s="18">
        <f>I22</f>
        <v>5</v>
      </c>
      <c r="Q22" s="17">
        <f>J22-O22</f>
        <v>205.49039220588571</v>
      </c>
      <c r="R22" s="17">
        <f>J22-K22</f>
        <v>133.77762459266381</v>
      </c>
      <c r="S22" s="17">
        <f>J22-L22</f>
        <v>38.59629581123437</v>
      </c>
      <c r="T22" s="17">
        <f>J22-M22</f>
        <v>20.807141637799646</v>
      </c>
      <c r="U22" s="17">
        <f>J22-N22</f>
        <v>24.053663099486926</v>
      </c>
      <c r="V22" s="18">
        <f>P22</f>
        <v>5</v>
      </c>
      <c r="W22" s="10">
        <f t="shared" si="1"/>
        <v>0.82789893794601754</v>
      </c>
      <c r="X22" s="10">
        <f t="shared" si="1"/>
        <v>0.5389758233087607</v>
      </c>
      <c r="Y22" s="10">
        <f t="shared" si="1"/>
        <v>0.15550037141763765</v>
      </c>
      <c r="Z22" s="10">
        <f t="shared" si="1"/>
        <v>8.3829760986427707E-2</v>
      </c>
      <c r="AA22" s="10">
        <f t="shared" si="1"/>
        <v>9.6909650714103582E-2</v>
      </c>
    </row>
    <row r="23" spans="1:27" x14ac:dyDescent="0.25">
      <c r="A23" s="104">
        <f t="shared" si="0"/>
        <v>19</v>
      </c>
      <c r="B23" s="103">
        <v>143.68014567963462</v>
      </c>
      <c r="C23" s="103">
        <v>117.90312361085218</v>
      </c>
      <c r="D23" s="103">
        <v>107.24198150975164</v>
      </c>
      <c r="E23" s="103">
        <v>141.38889280621856</v>
      </c>
      <c r="F23" s="103">
        <v>143.2202517282868</v>
      </c>
      <c r="G23" s="103">
        <v>76.847893196462906</v>
      </c>
      <c r="H23" s="267"/>
      <c r="I23" s="7">
        <v>10</v>
      </c>
      <c r="J23" s="83">
        <f>VLOOKUP($I23,'Answer - Margin Analysis'!$A$5:$G$916,2)</f>
        <v>536.35716127624517</v>
      </c>
      <c r="K23" s="17">
        <f>VLOOKUP($I23,'Answer - Margin Analysis'!$A$5:$G$916,3)</f>
        <v>406.45327404028376</v>
      </c>
      <c r="L23" s="17">
        <f>VLOOKUP($I23,'Answer - Margin Analysis'!$A$5:$G$916,4)</f>
        <v>502.55040693340072</v>
      </c>
      <c r="M23" s="17">
        <f>VLOOKUP($I23,'Answer - Margin Analysis'!$A$5:$G$916,5)</f>
        <v>519.83523930825129</v>
      </c>
      <c r="N23" s="17">
        <f>VLOOKUP($I23,'Answer - Margin Analysis'!$A$5:$G$916,6)</f>
        <v>518.72688249980399</v>
      </c>
      <c r="O23" s="17">
        <f>VLOOKUP($I23,'Answer - Margin Analysis'!$A$5:$G$916,7)</f>
        <v>343.41956164103652</v>
      </c>
      <c r="P23" s="18">
        <f>I23</f>
        <v>10</v>
      </c>
      <c r="Q23" s="17">
        <f>J23-O23</f>
        <v>192.93759963520864</v>
      </c>
      <c r="R23" s="17">
        <f>J23-K23</f>
        <v>129.90388723596141</v>
      </c>
      <c r="S23" s="17">
        <f>J23-L23</f>
        <v>33.806754342844442</v>
      </c>
      <c r="T23" s="17">
        <f>J23-M23</f>
        <v>16.521921967993876</v>
      </c>
      <c r="U23" s="17">
        <f>J23-N23</f>
        <v>17.630278776441173</v>
      </c>
      <c r="V23" s="18">
        <f>P23</f>
        <v>10</v>
      </c>
      <c r="W23" s="10">
        <f t="shared" si="1"/>
        <v>0.3597185114040794</v>
      </c>
      <c r="X23" s="10">
        <f t="shared" si="1"/>
        <v>0.2421966119122175</v>
      </c>
      <c r="Y23" s="10">
        <f t="shared" si="1"/>
        <v>6.3030302909356753E-2</v>
      </c>
      <c r="Z23" s="10">
        <f t="shared" si="1"/>
        <v>3.0803955201568443E-2</v>
      </c>
      <c r="AA23" s="10">
        <f t="shared" si="1"/>
        <v>3.2870408096147115E-2</v>
      </c>
    </row>
    <row r="24" spans="1:27" x14ac:dyDescent="0.25">
      <c r="A24" s="104">
        <f t="shared" si="0"/>
        <v>20</v>
      </c>
      <c r="B24" s="103">
        <v>0</v>
      </c>
      <c r="C24" s="103">
        <v>0</v>
      </c>
      <c r="D24" s="103">
        <v>-37.647019161244621</v>
      </c>
      <c r="E24" s="103">
        <v>0</v>
      </c>
      <c r="F24" s="103">
        <v>0</v>
      </c>
      <c r="G24" s="103">
        <v>-39.781813587550779</v>
      </c>
      <c r="H24" s="289"/>
      <c r="I24" s="7">
        <v>15</v>
      </c>
      <c r="J24" s="83">
        <f>VLOOKUP($I24,'Answer - Margin Analysis'!$A$5:$G$916,2)</f>
        <v>517.32514329845708</v>
      </c>
      <c r="K24" s="17">
        <f>VLOOKUP($I24,'Answer - Margin Analysis'!$A$5:$G$916,3)</f>
        <v>419.47120271647196</v>
      </c>
      <c r="L24" s="17">
        <f>VLOOKUP($I24,'Answer - Margin Analysis'!$A$5:$G$916,4)</f>
        <v>483.17966185872615</v>
      </c>
      <c r="M24" s="17">
        <f>VLOOKUP($I24,'Answer - Margin Analysis'!$A$5:$G$916,5)</f>
        <v>507.33832456365997</v>
      </c>
      <c r="N24" s="17">
        <f>VLOOKUP($I24,'Answer - Margin Analysis'!$A$5:$G$916,6)</f>
        <v>510.45009952730942</v>
      </c>
      <c r="O24" s="17">
        <f>VLOOKUP($I24,'Answer - Margin Analysis'!$A$5:$G$916,7)</f>
        <v>369.01335985219129</v>
      </c>
      <c r="P24" s="18">
        <f>I24</f>
        <v>15</v>
      </c>
      <c r="Q24" s="17">
        <f>J24-O24</f>
        <v>148.31178344626579</v>
      </c>
      <c r="R24" s="17">
        <f>J24-K24</f>
        <v>97.853940581985114</v>
      </c>
      <c r="S24" s="17">
        <f>J24-L24</f>
        <v>34.145481439730929</v>
      </c>
      <c r="T24" s="17">
        <f>J24-M24</f>
        <v>9.9868187347971116</v>
      </c>
      <c r="U24" s="17">
        <f>J24-N24</f>
        <v>6.8750437711476593</v>
      </c>
      <c r="V24" s="18">
        <f>P24</f>
        <v>15</v>
      </c>
      <c r="W24" s="10">
        <f t="shared" si="1"/>
        <v>0.28668968707113707</v>
      </c>
      <c r="X24" s="10">
        <f t="shared" si="1"/>
        <v>0.18915365288079738</v>
      </c>
      <c r="Y24" s="10">
        <f t="shared" si="1"/>
        <v>6.600390853230112E-2</v>
      </c>
      <c r="Z24" s="10">
        <f t="shared" si="1"/>
        <v>1.9304723275426573E-2</v>
      </c>
      <c r="AA24" s="10">
        <f t="shared" si="1"/>
        <v>1.3289599123894283E-2</v>
      </c>
    </row>
    <row r="25" spans="1:27" ht="15.75" thickBot="1" x14ac:dyDescent="0.3">
      <c r="H25" s="289"/>
    </row>
    <row r="26" spans="1:27" ht="15.75" x14ac:dyDescent="0.25">
      <c r="B26" s="106" t="s">
        <v>161</v>
      </c>
      <c r="C26" s="107"/>
      <c r="D26" s="107"/>
      <c r="E26" s="107"/>
      <c r="F26" s="107"/>
      <c r="G26" s="108"/>
    </row>
    <row r="27" spans="1:27" ht="5.25" customHeight="1" x14ac:dyDescent="0.25">
      <c r="B27" s="296" t="s">
        <v>380</v>
      </c>
      <c r="C27" s="297"/>
      <c r="D27" s="297"/>
      <c r="E27" s="297"/>
      <c r="F27" s="297"/>
      <c r="G27" s="298"/>
    </row>
    <row r="28" spans="1:27" x14ac:dyDescent="0.25">
      <c r="B28" s="296"/>
      <c r="C28" s="297"/>
      <c r="D28" s="297"/>
      <c r="E28" s="297"/>
      <c r="F28" s="297"/>
      <c r="G28" s="298"/>
    </row>
    <row r="29" spans="1:27" x14ac:dyDescent="0.25">
      <c r="B29" s="296"/>
      <c r="C29" s="297"/>
      <c r="D29" s="297"/>
      <c r="E29" s="297"/>
      <c r="F29" s="297"/>
      <c r="G29" s="298"/>
    </row>
    <row r="30" spans="1:27" ht="21" customHeight="1" x14ac:dyDescent="0.25">
      <c r="B30" s="296"/>
      <c r="C30" s="297"/>
      <c r="D30" s="297"/>
      <c r="E30" s="297"/>
      <c r="F30" s="297"/>
      <c r="G30" s="298"/>
    </row>
    <row r="31" spans="1:27" x14ac:dyDescent="0.25">
      <c r="B31" s="299"/>
      <c r="C31" s="300"/>
      <c r="D31" s="300"/>
      <c r="E31" s="300"/>
      <c r="F31" s="300"/>
      <c r="G31" s="301"/>
    </row>
    <row r="32" spans="1:27" ht="15.75" thickBot="1" x14ac:dyDescent="0.3">
      <c r="B32" s="302"/>
      <c r="C32" s="303"/>
      <c r="D32" s="303"/>
      <c r="E32" s="303"/>
      <c r="F32" s="303"/>
      <c r="G32" s="304"/>
    </row>
  </sheetData>
  <mergeCells count="21">
    <mergeCell ref="J18:J20"/>
    <mergeCell ref="K18:K20"/>
    <mergeCell ref="L18:L20"/>
    <mergeCell ref="M18:M20"/>
    <mergeCell ref="N18:N20"/>
    <mergeCell ref="AA18:AA20"/>
    <mergeCell ref="H23:H25"/>
    <mergeCell ref="B27:G32"/>
    <mergeCell ref="U18:U20"/>
    <mergeCell ref="V18:V20"/>
    <mergeCell ref="W18:W20"/>
    <mergeCell ref="X18:X20"/>
    <mergeCell ref="Y18:Y20"/>
    <mergeCell ref="Z18:Z20"/>
    <mergeCell ref="O18:O20"/>
    <mergeCell ref="P18:P20"/>
    <mergeCell ref="Q18:Q20"/>
    <mergeCell ref="R18:R20"/>
    <mergeCell ref="S18:S20"/>
    <mergeCell ref="T18:T20"/>
    <mergeCell ref="I18:I2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8BBC0-32F3-4744-A29F-A4579D42EC79}">
  <sheetPr>
    <tabColor rgb="FFCC99FF"/>
  </sheetPr>
  <dimension ref="B1:O30"/>
  <sheetViews>
    <sheetView showGridLines="0" zoomScale="85" zoomScaleNormal="85" workbookViewId="0">
      <selection activeCell="E4" sqref="E4"/>
    </sheetView>
  </sheetViews>
  <sheetFormatPr defaultRowHeight="15" x14ac:dyDescent="0.25"/>
  <cols>
    <col min="1" max="1" width="0.85546875" customWidth="1"/>
    <col min="2" max="2" width="13.42578125" customWidth="1"/>
    <col min="3" max="3" width="35.42578125" customWidth="1"/>
    <col min="4" max="4" width="23.85546875" customWidth="1"/>
    <col min="5" max="5" width="1.5703125" customWidth="1"/>
    <col min="6" max="6" width="7.85546875" customWidth="1"/>
    <col min="7" max="7" width="9.140625" customWidth="1"/>
  </cols>
  <sheetData>
    <row r="1" spans="2:15" ht="18.75" x14ac:dyDescent="0.3">
      <c r="B1" s="123"/>
      <c r="C1" s="124" t="s">
        <v>205</v>
      </c>
    </row>
    <row r="2" spans="2:15" ht="15.75" thickBot="1" x14ac:dyDescent="0.3">
      <c r="D2" s="125"/>
    </row>
    <row r="3" spans="2:15" ht="30" x14ac:dyDescent="0.25">
      <c r="C3" s="139" t="s">
        <v>206</v>
      </c>
      <c r="D3" s="135" t="s">
        <v>234</v>
      </c>
      <c r="G3" s="308" t="s">
        <v>161</v>
      </c>
      <c r="H3" s="309"/>
      <c r="I3" s="309"/>
      <c r="J3" s="309"/>
      <c r="K3" s="309"/>
      <c r="L3" s="309"/>
      <c r="M3" s="309"/>
      <c r="N3" s="309"/>
      <c r="O3" s="310"/>
    </row>
    <row r="4" spans="2:15" ht="7.5" customHeight="1" x14ac:dyDescent="0.25">
      <c r="G4" s="311" t="s">
        <v>503</v>
      </c>
      <c r="H4" s="312"/>
      <c r="I4" s="312"/>
      <c r="J4" s="312"/>
      <c r="K4" s="312"/>
      <c r="L4" s="312"/>
      <c r="M4" s="312"/>
      <c r="N4" s="312"/>
      <c r="O4" s="313"/>
    </row>
    <row r="5" spans="2:15" ht="18.75" customHeight="1" x14ac:dyDescent="0.25">
      <c r="C5" s="141" t="s">
        <v>218</v>
      </c>
      <c r="D5" s="140">
        <v>279.33981705973468</v>
      </c>
      <c r="G5" s="314"/>
      <c r="H5" s="312"/>
      <c r="I5" s="312"/>
      <c r="J5" s="312"/>
      <c r="K5" s="312"/>
      <c r="L5" s="312"/>
      <c r="M5" s="312"/>
      <c r="N5" s="312"/>
      <c r="O5" s="313"/>
    </row>
    <row r="6" spans="2:15" ht="18.75" customHeight="1" x14ac:dyDescent="0.25">
      <c r="C6" s="141" t="s">
        <v>219</v>
      </c>
      <c r="D6" s="140">
        <v>279.33981705973468</v>
      </c>
      <c r="G6" s="314"/>
      <c r="H6" s="312"/>
      <c r="I6" s="312"/>
      <c r="J6" s="312"/>
      <c r="K6" s="312"/>
      <c r="L6" s="312"/>
      <c r="M6" s="312"/>
      <c r="N6" s="312"/>
      <c r="O6" s="313"/>
    </row>
    <row r="7" spans="2:15" ht="18.75" customHeight="1" x14ac:dyDescent="0.25">
      <c r="C7" s="141" t="s">
        <v>220</v>
      </c>
      <c r="D7" s="140">
        <v>349.04979212433432</v>
      </c>
      <c r="G7" s="314"/>
      <c r="H7" s="312"/>
      <c r="I7" s="312"/>
      <c r="J7" s="312"/>
      <c r="K7" s="312"/>
      <c r="L7" s="312"/>
      <c r="M7" s="312"/>
      <c r="N7" s="312"/>
      <c r="O7" s="313"/>
    </row>
    <row r="8" spans="2:15" ht="18.75" customHeight="1" x14ac:dyDescent="0.25">
      <c r="C8" s="141" t="s">
        <v>221</v>
      </c>
      <c r="D8" s="140">
        <v>349.04979212433432</v>
      </c>
      <c r="G8" s="314"/>
      <c r="H8" s="312"/>
      <c r="I8" s="312"/>
      <c r="J8" s="312"/>
      <c r="K8" s="312"/>
      <c r="L8" s="312"/>
      <c r="M8" s="312"/>
      <c r="N8" s="312"/>
      <c r="O8" s="313"/>
    </row>
    <row r="9" spans="2:15" ht="18.75" customHeight="1" x14ac:dyDescent="0.25">
      <c r="C9" s="141" t="s">
        <v>222</v>
      </c>
      <c r="D9" s="140">
        <v>314.23233206291326</v>
      </c>
      <c r="G9" s="314"/>
      <c r="H9" s="312"/>
      <c r="I9" s="312"/>
      <c r="J9" s="312"/>
      <c r="K9" s="312"/>
      <c r="L9" s="312"/>
      <c r="M9" s="312"/>
      <c r="N9" s="312"/>
      <c r="O9" s="313"/>
    </row>
    <row r="10" spans="2:15" ht="18.75" customHeight="1" x14ac:dyDescent="0.25">
      <c r="C10" s="141" t="s">
        <v>223</v>
      </c>
      <c r="D10" s="140">
        <v>314.23233206291326</v>
      </c>
      <c r="G10" s="314"/>
      <c r="H10" s="312"/>
      <c r="I10" s="312"/>
      <c r="J10" s="312"/>
      <c r="K10" s="312"/>
      <c r="L10" s="312"/>
      <c r="M10" s="312"/>
      <c r="N10" s="312"/>
      <c r="O10" s="313"/>
    </row>
    <row r="11" spans="2:15" ht="18.75" customHeight="1" x14ac:dyDescent="0.25">
      <c r="C11" s="141" t="s">
        <v>224</v>
      </c>
      <c r="D11" s="140">
        <v>327.8519268468126</v>
      </c>
      <c r="G11" s="314"/>
      <c r="H11" s="312"/>
      <c r="I11" s="312"/>
      <c r="J11" s="312"/>
      <c r="K11" s="312"/>
      <c r="L11" s="312"/>
      <c r="M11" s="312"/>
      <c r="N11" s="312"/>
      <c r="O11" s="313"/>
    </row>
    <row r="12" spans="2:15" ht="18.75" customHeight="1" thickBot="1" x14ac:dyDescent="0.3">
      <c r="C12" s="141" t="s">
        <v>225</v>
      </c>
      <c r="D12" s="140">
        <v>327.8519268468126</v>
      </c>
      <c r="G12" s="315"/>
      <c r="H12" s="316"/>
      <c r="I12" s="316"/>
      <c r="J12" s="316"/>
      <c r="K12" s="316"/>
      <c r="L12" s="316"/>
      <c r="M12" s="316"/>
      <c r="N12" s="316"/>
      <c r="O12" s="317"/>
    </row>
    <row r="13" spans="2:15" ht="18.75" customHeight="1" x14ac:dyDescent="0.25">
      <c r="C13" s="141" t="s">
        <v>226</v>
      </c>
      <c r="D13" s="140">
        <v>321.59313616681777</v>
      </c>
      <c r="G13" s="137"/>
      <c r="H13" s="137"/>
      <c r="I13" s="137"/>
      <c r="J13" s="137"/>
      <c r="K13" s="137"/>
      <c r="L13" s="137"/>
      <c r="M13" s="137"/>
      <c r="N13" s="137"/>
      <c r="O13" s="137"/>
    </row>
    <row r="14" spans="2:15" ht="18.75" customHeight="1" x14ac:dyDescent="0.25">
      <c r="C14" s="141" t="s">
        <v>227</v>
      </c>
      <c r="D14" s="140">
        <v>319.18750967873655</v>
      </c>
      <c r="G14" s="138" t="s">
        <v>249</v>
      </c>
    </row>
    <row r="15" spans="2:15" ht="18.75" customHeight="1" x14ac:dyDescent="0.25">
      <c r="C15" s="141" t="s">
        <v>228</v>
      </c>
      <c r="D15" s="140">
        <v>321.59313616681777</v>
      </c>
      <c r="G15" s="266" t="s">
        <v>250</v>
      </c>
      <c r="H15" s="251"/>
      <c r="I15" s="251"/>
      <c r="J15" s="251"/>
      <c r="K15" s="251"/>
      <c r="L15" s="251"/>
      <c r="M15" s="251"/>
      <c r="N15" s="251"/>
      <c r="O15" s="251"/>
    </row>
    <row r="16" spans="2:15" ht="18.75" customHeight="1" x14ac:dyDescent="0.25">
      <c r="C16" s="141" t="s">
        <v>229</v>
      </c>
      <c r="D16" s="140">
        <v>343.41956164103652</v>
      </c>
      <c r="G16" s="251"/>
      <c r="H16" s="251"/>
      <c r="I16" s="251"/>
      <c r="J16" s="251"/>
      <c r="K16" s="251"/>
      <c r="L16" s="251"/>
      <c r="M16" s="251"/>
      <c r="N16" s="251"/>
      <c r="O16" s="251"/>
    </row>
    <row r="17" spans="2:15" ht="18.75" customHeight="1" x14ac:dyDescent="0.25">
      <c r="C17" s="141" t="s">
        <v>230</v>
      </c>
      <c r="D17" s="140">
        <v>282.90142962084468</v>
      </c>
      <c r="G17" s="251"/>
      <c r="H17" s="251"/>
      <c r="I17" s="251"/>
      <c r="J17" s="251"/>
      <c r="K17" s="251"/>
      <c r="L17" s="251"/>
      <c r="M17" s="251"/>
      <c r="N17" s="251"/>
      <c r="O17" s="251"/>
    </row>
    <row r="18" spans="2:15" ht="18.75" customHeight="1" x14ac:dyDescent="0.25">
      <c r="C18" s="141" t="s">
        <v>231</v>
      </c>
      <c r="D18" s="140">
        <v>282.90142962084468</v>
      </c>
      <c r="G18" s="251"/>
      <c r="H18" s="251"/>
      <c r="I18" s="251"/>
      <c r="J18" s="251"/>
      <c r="K18" s="251"/>
      <c r="L18" s="251"/>
      <c r="M18" s="251"/>
      <c r="N18" s="251"/>
      <c r="O18" s="251"/>
    </row>
    <row r="19" spans="2:15" ht="18.75" customHeight="1" x14ac:dyDescent="0.25">
      <c r="C19" s="141" t="s">
        <v>232</v>
      </c>
      <c r="D19" s="140">
        <v>348.42663903599157</v>
      </c>
      <c r="G19" s="251"/>
      <c r="H19" s="251"/>
      <c r="I19" s="251"/>
      <c r="J19" s="251"/>
      <c r="K19" s="251"/>
      <c r="L19" s="251"/>
      <c r="M19" s="251"/>
      <c r="N19" s="251"/>
      <c r="O19" s="251"/>
    </row>
    <row r="20" spans="2:15" ht="18.75" customHeight="1" x14ac:dyDescent="0.25">
      <c r="C20" s="141" t="s">
        <v>233</v>
      </c>
      <c r="D20" s="140">
        <v>348.42663903599157</v>
      </c>
      <c r="G20" s="251"/>
      <c r="H20" s="251"/>
      <c r="I20" s="251"/>
      <c r="J20" s="251"/>
      <c r="K20" s="251"/>
      <c r="L20" s="251"/>
      <c r="M20" s="251"/>
      <c r="N20" s="251"/>
      <c r="O20" s="251"/>
    </row>
    <row r="21" spans="2:15" ht="7.5" customHeight="1" x14ac:dyDescent="0.25">
      <c r="C21" s="36"/>
      <c r="D21" s="36"/>
      <c r="G21" s="251"/>
      <c r="H21" s="251"/>
      <c r="I21" s="251"/>
      <c r="J21" s="251"/>
      <c r="K21" s="251"/>
      <c r="L21" s="251"/>
      <c r="M21" s="251"/>
      <c r="N21" s="251"/>
      <c r="O21" s="251"/>
    </row>
    <row r="22" spans="2:15" ht="18.75" customHeight="1" x14ac:dyDescent="0.25">
      <c r="B22" s="126" t="s">
        <v>207</v>
      </c>
      <c r="C22" s="130" t="s">
        <v>208</v>
      </c>
      <c r="D22" s="133">
        <f>D13</f>
        <v>321.59313616681777</v>
      </c>
      <c r="G22" s="251"/>
      <c r="H22" s="251"/>
      <c r="I22" s="251"/>
      <c r="J22" s="251"/>
      <c r="K22" s="251"/>
      <c r="L22" s="251"/>
      <c r="M22" s="251"/>
      <c r="N22" s="251"/>
      <c r="O22" s="251"/>
    </row>
    <row r="23" spans="2:15" ht="18.75" customHeight="1" x14ac:dyDescent="0.25">
      <c r="B23" s="126" t="s">
        <v>209</v>
      </c>
      <c r="C23" s="130" t="s">
        <v>210</v>
      </c>
      <c r="D23" s="133">
        <f>MAX(MAX($D$5:$D$12),MAX($D$14:$D$20))</f>
        <v>349.04979212433432</v>
      </c>
      <c r="G23" s="251"/>
      <c r="H23" s="251"/>
      <c r="I23" s="251"/>
      <c r="J23" s="251"/>
      <c r="K23" s="251"/>
      <c r="L23" s="251"/>
      <c r="M23" s="251"/>
      <c r="N23" s="251"/>
      <c r="O23" s="251"/>
    </row>
    <row r="24" spans="2:15" ht="18.75" customHeight="1" x14ac:dyDescent="0.25">
      <c r="B24" s="126" t="s">
        <v>211</v>
      </c>
      <c r="C24" s="130" t="s">
        <v>212</v>
      </c>
      <c r="D24" s="133">
        <f>D23-D22</f>
        <v>27.456655957516546</v>
      </c>
      <c r="G24" s="251"/>
      <c r="H24" s="251"/>
      <c r="I24" s="251"/>
      <c r="J24" s="251"/>
      <c r="K24" s="251"/>
      <c r="L24" s="251"/>
      <c r="M24" s="251"/>
      <c r="N24" s="251"/>
      <c r="O24" s="251"/>
    </row>
    <row r="25" spans="2:15" ht="18.75" customHeight="1" x14ac:dyDescent="0.25">
      <c r="B25" s="126" t="s">
        <v>213</v>
      </c>
      <c r="C25" s="130" t="s">
        <v>214</v>
      </c>
      <c r="D25" s="132">
        <v>2439.6882279088713</v>
      </c>
      <c r="G25" s="251"/>
      <c r="H25" s="251"/>
      <c r="I25" s="251"/>
      <c r="J25" s="251"/>
      <c r="K25" s="251"/>
      <c r="L25" s="251"/>
      <c r="M25" s="251"/>
      <c r="N25" s="251"/>
      <c r="O25" s="251"/>
    </row>
    <row r="26" spans="2:15" ht="18.75" customHeight="1" x14ac:dyDescent="0.25">
      <c r="B26" s="126" t="s">
        <v>215</v>
      </c>
      <c r="C26" s="131" t="s">
        <v>216</v>
      </c>
      <c r="D26" s="134">
        <f>D24/D25</f>
        <v>1.1254165857516332E-2</v>
      </c>
      <c r="G26" s="251"/>
      <c r="H26" s="251"/>
      <c r="I26" s="251"/>
      <c r="J26" s="251"/>
      <c r="K26" s="251"/>
      <c r="L26" s="251"/>
      <c r="M26" s="251"/>
      <c r="N26" s="251"/>
      <c r="O26" s="251"/>
    </row>
    <row r="27" spans="2:15" ht="7.5" customHeight="1" x14ac:dyDescent="0.25">
      <c r="C27" s="36"/>
      <c r="D27" s="36"/>
      <c r="G27" s="251"/>
      <c r="H27" s="251"/>
      <c r="I27" s="251"/>
      <c r="J27" s="251"/>
      <c r="K27" s="251"/>
      <c r="L27" s="251"/>
      <c r="M27" s="251"/>
      <c r="N27" s="251"/>
      <c r="O27" s="251"/>
    </row>
    <row r="28" spans="2:15" ht="18.75" customHeight="1" x14ac:dyDescent="0.25">
      <c r="B28" s="127"/>
      <c r="C28" s="130" t="s">
        <v>217</v>
      </c>
      <c r="D28" s="129" t="str">
        <f>IF($D$26&lt;6%,"PASS","FAIL")</f>
        <v>PASS</v>
      </c>
    </row>
    <row r="29" spans="2:15" ht="18.75" customHeight="1" x14ac:dyDescent="0.25">
      <c r="C29" s="128"/>
    </row>
    <row r="30" spans="2:15" ht="18.75" customHeight="1" x14ac:dyDescent="0.25">
      <c r="C30" s="128"/>
    </row>
  </sheetData>
  <mergeCells count="3">
    <mergeCell ref="G3:O3"/>
    <mergeCell ref="G4:O12"/>
    <mergeCell ref="G15:O27"/>
  </mergeCells>
  <conditionalFormatting sqref="D28">
    <cfRule type="cellIs" dxfId="1" priority="1" operator="equal">
      <formula>"PASS"</formula>
    </cfRule>
    <cfRule type="cellIs" dxfId="0" priority="2" operator="equal">
      <formula>"FAIL"</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H122"/>
  <sheetViews>
    <sheetView workbookViewId="0">
      <selection activeCell="E3" sqref="E3"/>
    </sheetView>
  </sheetViews>
  <sheetFormatPr defaultRowHeight="15" x14ac:dyDescent="0.25"/>
  <cols>
    <col min="1" max="1" width="17.28515625" customWidth="1"/>
    <col min="2" max="2" width="15.28515625" customWidth="1"/>
  </cols>
  <sheetData>
    <row r="1" spans="1:8" s="1" customFormat="1" ht="30" x14ac:dyDescent="0.25">
      <c r="A1" s="1" t="s">
        <v>49</v>
      </c>
      <c r="B1" s="1" t="s">
        <v>11</v>
      </c>
      <c r="C1" s="1" t="s">
        <v>16</v>
      </c>
      <c r="D1" s="1" t="s">
        <v>54</v>
      </c>
      <c r="E1" s="1" t="s">
        <v>16</v>
      </c>
      <c r="F1" s="1" t="s">
        <v>11</v>
      </c>
      <c r="G1" s="1" t="s">
        <v>52</v>
      </c>
      <c r="H1" s="1" t="s">
        <v>53</v>
      </c>
    </row>
    <row r="2" spans="1:8" x14ac:dyDescent="0.25">
      <c r="A2">
        <v>0</v>
      </c>
      <c r="B2" t="s">
        <v>17</v>
      </c>
      <c r="C2" s="2">
        <v>0.20399999999999999</v>
      </c>
      <c r="D2" t="str">
        <f>Summary!$D$25</f>
        <v>Included Margin</v>
      </c>
      <c r="E2" t="e">
        <f>D2*C2</f>
        <v>#VALUE!</v>
      </c>
      <c r="F2">
        <v>0</v>
      </c>
      <c r="G2">
        <f>VLOOKUP(F2,$A$2:$C$33,3,1)</f>
        <v>0.20399999999999999</v>
      </c>
      <c r="H2">
        <f>G2*1000</f>
        <v>204</v>
      </c>
    </row>
    <row r="3" spans="1:8" x14ac:dyDescent="0.25">
      <c r="A3">
        <f>LEFT(B3,2)*1</f>
        <v>46</v>
      </c>
      <c r="B3" t="s">
        <v>18</v>
      </c>
      <c r="C3" s="2">
        <v>0.20200000000000001</v>
      </c>
      <c r="D3" t="str">
        <f>Summary!$D$25</f>
        <v>Included Margin</v>
      </c>
      <c r="E3" t="e">
        <f t="shared" ref="E3:E33" si="0">D3*C3</f>
        <v>#VALUE!</v>
      </c>
      <c r="F3">
        <f>F2+1</f>
        <v>1</v>
      </c>
      <c r="G3">
        <f t="shared" ref="G3:G66" si="1">VLOOKUP(F3,$A$2:$C$33,3,1)</f>
        <v>0.20399999999999999</v>
      </c>
      <c r="H3">
        <f t="shared" ref="H3:H66" si="2">G3*1000</f>
        <v>204</v>
      </c>
    </row>
    <row r="4" spans="1:8" x14ac:dyDescent="0.25">
      <c r="A4">
        <f t="shared" ref="A4:A29" si="3">LEFT(B4,2)*1</f>
        <v>48</v>
      </c>
      <c r="B4" t="s">
        <v>19</v>
      </c>
      <c r="C4" s="2">
        <v>0.2</v>
      </c>
      <c r="D4" t="str">
        <f>Summary!$D$25</f>
        <v>Included Margin</v>
      </c>
      <c r="E4" t="e">
        <f t="shared" si="0"/>
        <v>#VALUE!</v>
      </c>
      <c r="F4">
        <f t="shared" ref="F4:F67" si="4">F3+1</f>
        <v>2</v>
      </c>
      <c r="G4">
        <f t="shared" si="1"/>
        <v>0.20399999999999999</v>
      </c>
      <c r="H4">
        <f t="shared" si="2"/>
        <v>204</v>
      </c>
    </row>
    <row r="5" spans="1:8" x14ac:dyDescent="0.25">
      <c r="A5">
        <f t="shared" si="3"/>
        <v>50</v>
      </c>
      <c r="B5" t="s">
        <v>20</v>
      </c>
      <c r="C5" s="2">
        <v>0.19800000000000001</v>
      </c>
      <c r="D5" t="str">
        <f>Summary!$D$25</f>
        <v>Included Margin</v>
      </c>
      <c r="E5" t="e">
        <f t="shared" si="0"/>
        <v>#VALUE!</v>
      </c>
      <c r="F5">
        <f t="shared" si="4"/>
        <v>3</v>
      </c>
      <c r="G5">
        <f t="shared" si="1"/>
        <v>0.20399999999999999</v>
      </c>
      <c r="H5">
        <f t="shared" si="2"/>
        <v>204</v>
      </c>
    </row>
    <row r="6" spans="1:8" x14ac:dyDescent="0.25">
      <c r="A6">
        <f t="shared" si="3"/>
        <v>52</v>
      </c>
      <c r="B6" t="s">
        <v>21</v>
      </c>
      <c r="C6" s="2">
        <v>0.19600000000000001</v>
      </c>
      <c r="D6" t="str">
        <f>Summary!$D$25</f>
        <v>Included Margin</v>
      </c>
      <c r="E6" t="e">
        <f t="shared" si="0"/>
        <v>#VALUE!</v>
      </c>
      <c r="F6">
        <f t="shared" si="4"/>
        <v>4</v>
      </c>
      <c r="G6">
        <f t="shared" si="1"/>
        <v>0.20399999999999999</v>
      </c>
      <c r="H6">
        <f t="shared" si="2"/>
        <v>204</v>
      </c>
    </row>
    <row r="7" spans="1:8" x14ac:dyDescent="0.25">
      <c r="A7">
        <f t="shared" si="3"/>
        <v>54</v>
      </c>
      <c r="B7" t="s">
        <v>22</v>
      </c>
      <c r="C7" s="2">
        <v>0.192</v>
      </c>
      <c r="D7" t="str">
        <f>Summary!$D$25</f>
        <v>Included Margin</v>
      </c>
      <c r="E7" t="e">
        <f t="shared" si="0"/>
        <v>#VALUE!</v>
      </c>
      <c r="F7">
        <f t="shared" si="4"/>
        <v>5</v>
      </c>
      <c r="G7">
        <f t="shared" si="1"/>
        <v>0.20399999999999999</v>
      </c>
      <c r="H7">
        <f t="shared" si="2"/>
        <v>204</v>
      </c>
    </row>
    <row r="8" spans="1:8" x14ac:dyDescent="0.25">
      <c r="A8">
        <f t="shared" si="3"/>
        <v>56</v>
      </c>
      <c r="B8" t="s">
        <v>23</v>
      </c>
      <c r="C8" s="2">
        <v>0.189</v>
      </c>
      <c r="D8" t="str">
        <f>Summary!$D$25</f>
        <v>Included Margin</v>
      </c>
      <c r="E8" t="e">
        <f t="shared" si="0"/>
        <v>#VALUE!</v>
      </c>
      <c r="F8">
        <f t="shared" si="4"/>
        <v>6</v>
      </c>
      <c r="G8">
        <f t="shared" si="1"/>
        <v>0.20399999999999999</v>
      </c>
      <c r="H8">
        <f t="shared" si="2"/>
        <v>204</v>
      </c>
    </row>
    <row r="9" spans="1:8" x14ac:dyDescent="0.25">
      <c r="A9">
        <f t="shared" si="3"/>
        <v>58</v>
      </c>
      <c r="B9" t="s">
        <v>24</v>
      </c>
      <c r="C9" s="2">
        <v>0.185</v>
      </c>
      <c r="D9" t="str">
        <f>Summary!$D$25</f>
        <v>Included Margin</v>
      </c>
      <c r="E9" t="e">
        <f t="shared" si="0"/>
        <v>#VALUE!</v>
      </c>
      <c r="F9">
        <f t="shared" si="4"/>
        <v>7</v>
      </c>
      <c r="G9">
        <f t="shared" si="1"/>
        <v>0.20399999999999999</v>
      </c>
      <c r="H9">
        <f t="shared" si="2"/>
        <v>204</v>
      </c>
    </row>
    <row r="10" spans="1:8" x14ac:dyDescent="0.25">
      <c r="A10">
        <f t="shared" si="3"/>
        <v>60</v>
      </c>
      <c r="B10" t="s">
        <v>25</v>
      </c>
      <c r="C10" s="2">
        <v>0.182</v>
      </c>
      <c r="D10" t="str">
        <f>Summary!$D$25</f>
        <v>Included Margin</v>
      </c>
      <c r="E10" t="e">
        <f t="shared" si="0"/>
        <v>#VALUE!</v>
      </c>
      <c r="F10">
        <f t="shared" si="4"/>
        <v>8</v>
      </c>
      <c r="G10">
        <f t="shared" si="1"/>
        <v>0.20399999999999999</v>
      </c>
      <c r="H10">
        <f t="shared" si="2"/>
        <v>204</v>
      </c>
    </row>
    <row r="11" spans="1:8" x14ac:dyDescent="0.25">
      <c r="A11">
        <f t="shared" si="3"/>
        <v>62</v>
      </c>
      <c r="B11" t="s">
        <v>26</v>
      </c>
      <c r="C11" s="2">
        <v>0.17799999999999999</v>
      </c>
      <c r="D11" t="str">
        <f>Summary!$D$25</f>
        <v>Included Margin</v>
      </c>
      <c r="E11" t="e">
        <f t="shared" si="0"/>
        <v>#VALUE!</v>
      </c>
      <c r="F11">
        <f t="shared" si="4"/>
        <v>9</v>
      </c>
      <c r="G11">
        <f t="shared" si="1"/>
        <v>0.20399999999999999</v>
      </c>
      <c r="H11">
        <f t="shared" si="2"/>
        <v>204</v>
      </c>
    </row>
    <row r="12" spans="1:8" x14ac:dyDescent="0.25">
      <c r="A12">
        <f t="shared" si="3"/>
        <v>64</v>
      </c>
      <c r="B12" t="s">
        <v>27</v>
      </c>
      <c r="C12" s="2">
        <v>0.17399999999999999</v>
      </c>
      <c r="D12" t="str">
        <f>Summary!$D$25</f>
        <v>Included Margin</v>
      </c>
      <c r="E12" t="e">
        <f t="shared" si="0"/>
        <v>#VALUE!</v>
      </c>
      <c r="F12">
        <f t="shared" si="4"/>
        <v>10</v>
      </c>
      <c r="G12">
        <f t="shared" si="1"/>
        <v>0.20399999999999999</v>
      </c>
      <c r="H12">
        <f t="shared" si="2"/>
        <v>204</v>
      </c>
    </row>
    <row r="13" spans="1:8" x14ac:dyDescent="0.25">
      <c r="A13">
        <f t="shared" si="3"/>
        <v>66</v>
      </c>
      <c r="B13" t="s">
        <v>28</v>
      </c>
      <c r="C13" s="2">
        <v>0.16900000000000001</v>
      </c>
      <c r="D13" t="str">
        <f>Summary!$D$25</f>
        <v>Included Margin</v>
      </c>
      <c r="E13" t="e">
        <f t="shared" si="0"/>
        <v>#VALUE!</v>
      </c>
      <c r="F13">
        <f t="shared" si="4"/>
        <v>11</v>
      </c>
      <c r="G13">
        <f t="shared" si="1"/>
        <v>0.20399999999999999</v>
      </c>
      <c r="H13">
        <f t="shared" si="2"/>
        <v>204</v>
      </c>
    </row>
    <row r="14" spans="1:8" x14ac:dyDescent="0.25">
      <c r="A14">
        <f t="shared" si="3"/>
        <v>68</v>
      </c>
      <c r="B14" t="s">
        <v>29</v>
      </c>
      <c r="C14" s="2">
        <v>0.16500000000000001</v>
      </c>
      <c r="D14" t="str">
        <f>Summary!$D$25</f>
        <v>Included Margin</v>
      </c>
      <c r="E14" t="e">
        <f t="shared" si="0"/>
        <v>#VALUE!</v>
      </c>
      <c r="F14">
        <f t="shared" si="4"/>
        <v>12</v>
      </c>
      <c r="G14">
        <f t="shared" si="1"/>
        <v>0.20399999999999999</v>
      </c>
      <c r="H14">
        <f t="shared" si="2"/>
        <v>204</v>
      </c>
    </row>
    <row r="15" spans="1:8" x14ac:dyDescent="0.25">
      <c r="A15">
        <f t="shared" si="3"/>
        <v>70</v>
      </c>
      <c r="B15" t="s">
        <v>30</v>
      </c>
      <c r="C15" s="2">
        <v>0.161</v>
      </c>
      <c r="D15" t="str">
        <f>Summary!$D$25</f>
        <v>Included Margin</v>
      </c>
      <c r="E15" t="e">
        <f t="shared" si="0"/>
        <v>#VALUE!</v>
      </c>
      <c r="F15">
        <f t="shared" si="4"/>
        <v>13</v>
      </c>
      <c r="G15">
        <f t="shared" si="1"/>
        <v>0.20399999999999999</v>
      </c>
      <c r="H15">
        <f t="shared" si="2"/>
        <v>204</v>
      </c>
    </row>
    <row r="16" spans="1:8" x14ac:dyDescent="0.25">
      <c r="A16">
        <f t="shared" si="3"/>
        <v>72</v>
      </c>
      <c r="B16" t="s">
        <v>31</v>
      </c>
      <c r="C16" s="2">
        <v>0.156</v>
      </c>
      <c r="D16" t="str">
        <f>Summary!$D$25</f>
        <v>Included Margin</v>
      </c>
      <c r="E16" t="e">
        <f t="shared" si="0"/>
        <v>#VALUE!</v>
      </c>
      <c r="F16">
        <f t="shared" si="4"/>
        <v>14</v>
      </c>
      <c r="G16">
        <f t="shared" si="1"/>
        <v>0.20399999999999999</v>
      </c>
      <c r="H16">
        <f t="shared" si="2"/>
        <v>204</v>
      </c>
    </row>
    <row r="17" spans="1:8" x14ac:dyDescent="0.25">
      <c r="A17">
        <f t="shared" si="3"/>
        <v>74</v>
      </c>
      <c r="B17" t="s">
        <v>32</v>
      </c>
      <c r="C17" s="2">
        <v>0.151</v>
      </c>
      <c r="D17" t="str">
        <f>Summary!$D$25</f>
        <v>Included Margin</v>
      </c>
      <c r="E17" t="e">
        <f t="shared" si="0"/>
        <v>#VALUE!</v>
      </c>
      <c r="F17">
        <f t="shared" si="4"/>
        <v>15</v>
      </c>
      <c r="G17">
        <f t="shared" si="1"/>
        <v>0.20399999999999999</v>
      </c>
      <c r="H17">
        <f t="shared" si="2"/>
        <v>204</v>
      </c>
    </row>
    <row r="18" spans="1:8" x14ac:dyDescent="0.25">
      <c r="A18">
        <f t="shared" si="3"/>
        <v>76</v>
      </c>
      <c r="B18" t="s">
        <v>33</v>
      </c>
      <c r="C18" s="2">
        <v>0.14599999999999999</v>
      </c>
      <c r="D18" t="str">
        <f>Summary!$D$25</f>
        <v>Included Margin</v>
      </c>
      <c r="E18" t="e">
        <f t="shared" si="0"/>
        <v>#VALUE!</v>
      </c>
      <c r="F18">
        <f t="shared" si="4"/>
        <v>16</v>
      </c>
      <c r="G18">
        <f t="shared" si="1"/>
        <v>0.20399999999999999</v>
      </c>
      <c r="H18">
        <f t="shared" si="2"/>
        <v>204</v>
      </c>
    </row>
    <row r="19" spans="1:8" x14ac:dyDescent="0.25">
      <c r="A19">
        <f t="shared" si="3"/>
        <v>78</v>
      </c>
      <c r="B19" t="s">
        <v>34</v>
      </c>
      <c r="C19" s="2">
        <v>0.14099999999999999</v>
      </c>
      <c r="D19" t="str">
        <f>Summary!$D$25</f>
        <v>Included Margin</v>
      </c>
      <c r="E19" t="e">
        <f t="shared" si="0"/>
        <v>#VALUE!</v>
      </c>
      <c r="F19">
        <f t="shared" si="4"/>
        <v>17</v>
      </c>
      <c r="G19">
        <f t="shared" si="1"/>
        <v>0.20399999999999999</v>
      </c>
      <c r="H19">
        <f t="shared" si="2"/>
        <v>204</v>
      </c>
    </row>
    <row r="20" spans="1:8" x14ac:dyDescent="0.25">
      <c r="A20">
        <f t="shared" si="3"/>
        <v>80</v>
      </c>
      <c r="B20" t="s">
        <v>35</v>
      </c>
      <c r="C20" s="2">
        <v>0.13600000000000001</v>
      </c>
      <c r="D20" t="str">
        <f>Summary!$D$25</f>
        <v>Included Margin</v>
      </c>
      <c r="E20" t="e">
        <f t="shared" si="0"/>
        <v>#VALUE!</v>
      </c>
      <c r="F20">
        <f t="shared" si="4"/>
        <v>18</v>
      </c>
      <c r="G20">
        <f t="shared" si="1"/>
        <v>0.20399999999999999</v>
      </c>
      <c r="H20">
        <f t="shared" si="2"/>
        <v>204</v>
      </c>
    </row>
    <row r="21" spans="1:8" x14ac:dyDescent="0.25">
      <c r="A21">
        <f t="shared" si="3"/>
        <v>82</v>
      </c>
      <c r="B21" t="s">
        <v>36</v>
      </c>
      <c r="C21" s="2">
        <v>0.13</v>
      </c>
      <c r="D21" t="str">
        <f>Summary!$D$25</f>
        <v>Included Margin</v>
      </c>
      <c r="E21" t="e">
        <f t="shared" si="0"/>
        <v>#VALUE!</v>
      </c>
      <c r="F21">
        <f t="shared" si="4"/>
        <v>19</v>
      </c>
      <c r="G21">
        <f t="shared" si="1"/>
        <v>0.20399999999999999</v>
      </c>
      <c r="H21">
        <f t="shared" si="2"/>
        <v>204</v>
      </c>
    </row>
    <row r="22" spans="1:8" x14ac:dyDescent="0.25">
      <c r="A22">
        <f t="shared" si="3"/>
        <v>84</v>
      </c>
      <c r="B22" t="s">
        <v>37</v>
      </c>
      <c r="C22" s="2">
        <v>0.125</v>
      </c>
      <c r="D22" t="str">
        <f>Summary!$D$25</f>
        <v>Included Margin</v>
      </c>
      <c r="E22" t="e">
        <f t="shared" si="0"/>
        <v>#VALUE!</v>
      </c>
      <c r="F22">
        <f t="shared" si="4"/>
        <v>20</v>
      </c>
      <c r="G22">
        <f t="shared" si="1"/>
        <v>0.20399999999999999</v>
      </c>
      <c r="H22">
        <f t="shared" si="2"/>
        <v>204</v>
      </c>
    </row>
    <row r="23" spans="1:8" x14ac:dyDescent="0.25">
      <c r="A23">
        <f t="shared" si="3"/>
        <v>86</v>
      </c>
      <c r="B23" t="s">
        <v>38</v>
      </c>
      <c r="C23" s="2">
        <v>0.11899999999999999</v>
      </c>
      <c r="D23" t="str">
        <f>Summary!$D$25</f>
        <v>Included Margin</v>
      </c>
      <c r="E23" t="e">
        <f t="shared" si="0"/>
        <v>#VALUE!</v>
      </c>
      <c r="F23">
        <f t="shared" si="4"/>
        <v>21</v>
      </c>
      <c r="G23">
        <f t="shared" si="1"/>
        <v>0.20399999999999999</v>
      </c>
      <c r="H23">
        <f t="shared" si="2"/>
        <v>204</v>
      </c>
    </row>
    <row r="24" spans="1:8" x14ac:dyDescent="0.25">
      <c r="A24">
        <f t="shared" si="3"/>
        <v>88</v>
      </c>
      <c r="B24" t="s">
        <v>39</v>
      </c>
      <c r="C24" s="2">
        <v>0.113</v>
      </c>
      <c r="D24" t="str">
        <f>Summary!$D$25</f>
        <v>Included Margin</v>
      </c>
      <c r="E24" t="e">
        <f t="shared" si="0"/>
        <v>#VALUE!</v>
      </c>
      <c r="F24">
        <f t="shared" si="4"/>
        <v>22</v>
      </c>
      <c r="G24">
        <f t="shared" si="1"/>
        <v>0.20399999999999999</v>
      </c>
      <c r="H24">
        <f t="shared" si="2"/>
        <v>204</v>
      </c>
    </row>
    <row r="25" spans="1:8" x14ac:dyDescent="0.25">
      <c r="A25">
        <f t="shared" si="3"/>
        <v>90</v>
      </c>
      <c r="B25" t="s">
        <v>40</v>
      </c>
      <c r="C25" s="2">
        <v>0.107</v>
      </c>
      <c r="D25" t="str">
        <f>Summary!$D$25</f>
        <v>Included Margin</v>
      </c>
      <c r="E25" t="e">
        <f t="shared" si="0"/>
        <v>#VALUE!</v>
      </c>
      <c r="F25">
        <f t="shared" si="4"/>
        <v>23</v>
      </c>
      <c r="G25">
        <f t="shared" si="1"/>
        <v>0.20399999999999999</v>
      </c>
      <c r="H25">
        <f t="shared" si="2"/>
        <v>204</v>
      </c>
    </row>
    <row r="26" spans="1:8" x14ac:dyDescent="0.25">
      <c r="A26">
        <f t="shared" si="3"/>
        <v>92</v>
      </c>
      <c r="B26" t="s">
        <v>41</v>
      </c>
      <c r="C26" s="2">
        <v>0.10100000000000001</v>
      </c>
      <c r="D26" t="str">
        <f>Summary!$D$25</f>
        <v>Included Margin</v>
      </c>
      <c r="E26" t="e">
        <f t="shared" si="0"/>
        <v>#VALUE!</v>
      </c>
      <c r="F26">
        <f t="shared" si="4"/>
        <v>24</v>
      </c>
      <c r="G26">
        <f t="shared" si="1"/>
        <v>0.20399999999999999</v>
      </c>
      <c r="H26">
        <f t="shared" si="2"/>
        <v>204</v>
      </c>
    </row>
    <row r="27" spans="1:8" x14ac:dyDescent="0.25">
      <c r="A27">
        <f t="shared" si="3"/>
        <v>94</v>
      </c>
      <c r="B27" t="s">
        <v>42</v>
      </c>
      <c r="C27" s="2">
        <v>9.4E-2</v>
      </c>
      <c r="D27" t="str">
        <f>Summary!$D$25</f>
        <v>Included Margin</v>
      </c>
      <c r="E27" t="e">
        <f t="shared" si="0"/>
        <v>#VALUE!</v>
      </c>
      <c r="F27">
        <f t="shared" si="4"/>
        <v>25</v>
      </c>
      <c r="G27">
        <f t="shared" si="1"/>
        <v>0.20399999999999999</v>
      </c>
      <c r="H27">
        <f t="shared" si="2"/>
        <v>204</v>
      </c>
    </row>
    <row r="28" spans="1:8" x14ac:dyDescent="0.25">
      <c r="A28">
        <f t="shared" si="3"/>
        <v>96</v>
      </c>
      <c r="B28" t="s">
        <v>43</v>
      </c>
      <c r="C28" s="2">
        <v>8.7999999999999995E-2</v>
      </c>
      <c r="D28" t="str">
        <f>Summary!$D$25</f>
        <v>Included Margin</v>
      </c>
      <c r="E28" t="e">
        <f t="shared" si="0"/>
        <v>#VALUE!</v>
      </c>
      <c r="F28">
        <f t="shared" si="4"/>
        <v>26</v>
      </c>
      <c r="G28">
        <f t="shared" si="1"/>
        <v>0.20399999999999999</v>
      </c>
      <c r="H28">
        <f t="shared" si="2"/>
        <v>204</v>
      </c>
    </row>
    <row r="29" spans="1:8" x14ac:dyDescent="0.25">
      <c r="A29">
        <f t="shared" si="3"/>
        <v>98</v>
      </c>
      <c r="B29" t="s">
        <v>44</v>
      </c>
      <c r="C29" s="2">
        <v>8.1000000000000003E-2</v>
      </c>
      <c r="D29" t="str">
        <f>Summary!$D$25</f>
        <v>Included Margin</v>
      </c>
      <c r="E29" t="e">
        <f t="shared" si="0"/>
        <v>#VALUE!</v>
      </c>
      <c r="F29">
        <f t="shared" si="4"/>
        <v>27</v>
      </c>
      <c r="G29">
        <f t="shared" si="1"/>
        <v>0.20399999999999999</v>
      </c>
      <c r="H29">
        <f t="shared" si="2"/>
        <v>204</v>
      </c>
    </row>
    <row r="30" spans="1:8" x14ac:dyDescent="0.25">
      <c r="A30">
        <f>LEFT(B30,3)*1</f>
        <v>100</v>
      </c>
      <c r="B30" t="s">
        <v>45</v>
      </c>
      <c r="C30" s="2">
        <v>7.3999999999999996E-2</v>
      </c>
      <c r="D30" t="str">
        <f>Summary!$D$25</f>
        <v>Included Margin</v>
      </c>
      <c r="E30" t="e">
        <f t="shared" si="0"/>
        <v>#VALUE!</v>
      </c>
      <c r="F30">
        <f t="shared" si="4"/>
        <v>28</v>
      </c>
      <c r="G30">
        <f t="shared" si="1"/>
        <v>0.20399999999999999</v>
      </c>
      <c r="H30">
        <f t="shared" si="2"/>
        <v>204</v>
      </c>
    </row>
    <row r="31" spans="1:8" x14ac:dyDescent="0.25">
      <c r="A31">
        <f t="shared" ref="A31:A33" si="5">LEFT(B31,3)*1</f>
        <v>102</v>
      </c>
      <c r="B31" t="s">
        <v>46</v>
      </c>
      <c r="C31" s="2">
        <v>6.7000000000000004E-2</v>
      </c>
      <c r="D31" t="str">
        <f>Summary!$D$25</f>
        <v>Included Margin</v>
      </c>
      <c r="E31" t="e">
        <f t="shared" si="0"/>
        <v>#VALUE!</v>
      </c>
      <c r="F31">
        <f t="shared" si="4"/>
        <v>29</v>
      </c>
      <c r="G31">
        <f t="shared" si="1"/>
        <v>0.20399999999999999</v>
      </c>
      <c r="H31">
        <f t="shared" si="2"/>
        <v>204</v>
      </c>
    </row>
    <row r="32" spans="1:8" x14ac:dyDescent="0.25">
      <c r="A32">
        <f t="shared" si="5"/>
        <v>104</v>
      </c>
      <c r="B32" t="s">
        <v>47</v>
      </c>
      <c r="C32" s="2">
        <v>0.06</v>
      </c>
      <c r="D32" t="str">
        <f>Summary!$D$25</f>
        <v>Included Margin</v>
      </c>
      <c r="E32" t="e">
        <f t="shared" si="0"/>
        <v>#VALUE!</v>
      </c>
      <c r="F32">
        <f t="shared" si="4"/>
        <v>30</v>
      </c>
      <c r="G32">
        <f t="shared" si="1"/>
        <v>0.20399999999999999</v>
      </c>
      <c r="H32">
        <f t="shared" si="2"/>
        <v>204</v>
      </c>
    </row>
    <row r="33" spans="1:8" x14ac:dyDescent="0.25">
      <c r="A33">
        <f t="shared" si="5"/>
        <v>106</v>
      </c>
      <c r="B33" t="s">
        <v>48</v>
      </c>
      <c r="C33" s="2">
        <v>5.2999999999999999E-2</v>
      </c>
      <c r="D33" t="str">
        <f>Summary!$D$25</f>
        <v>Included Margin</v>
      </c>
      <c r="E33" t="e">
        <f t="shared" si="0"/>
        <v>#VALUE!</v>
      </c>
      <c r="F33">
        <f t="shared" si="4"/>
        <v>31</v>
      </c>
      <c r="G33">
        <f t="shared" si="1"/>
        <v>0.20399999999999999</v>
      </c>
      <c r="H33">
        <f t="shared" si="2"/>
        <v>204</v>
      </c>
    </row>
    <row r="34" spans="1:8" x14ac:dyDescent="0.25">
      <c r="F34">
        <f t="shared" si="4"/>
        <v>32</v>
      </c>
      <c r="G34">
        <f t="shared" si="1"/>
        <v>0.20399999999999999</v>
      </c>
      <c r="H34">
        <f t="shared" si="2"/>
        <v>204</v>
      </c>
    </row>
    <row r="35" spans="1:8" x14ac:dyDescent="0.25">
      <c r="F35">
        <f t="shared" si="4"/>
        <v>33</v>
      </c>
      <c r="G35">
        <f t="shared" si="1"/>
        <v>0.20399999999999999</v>
      </c>
      <c r="H35">
        <f t="shared" si="2"/>
        <v>204</v>
      </c>
    </row>
    <row r="36" spans="1:8" x14ac:dyDescent="0.25">
      <c r="F36">
        <f t="shared" si="4"/>
        <v>34</v>
      </c>
      <c r="G36">
        <f t="shared" si="1"/>
        <v>0.20399999999999999</v>
      </c>
      <c r="H36">
        <f t="shared" si="2"/>
        <v>204</v>
      </c>
    </row>
    <row r="37" spans="1:8" x14ac:dyDescent="0.25">
      <c r="F37">
        <f t="shared" si="4"/>
        <v>35</v>
      </c>
      <c r="G37">
        <f t="shared" si="1"/>
        <v>0.20399999999999999</v>
      </c>
      <c r="H37">
        <f t="shared" si="2"/>
        <v>204</v>
      </c>
    </row>
    <row r="38" spans="1:8" x14ac:dyDescent="0.25">
      <c r="F38">
        <f t="shared" si="4"/>
        <v>36</v>
      </c>
      <c r="G38">
        <f t="shared" si="1"/>
        <v>0.20399999999999999</v>
      </c>
      <c r="H38">
        <f t="shared" si="2"/>
        <v>204</v>
      </c>
    </row>
    <row r="39" spans="1:8" x14ac:dyDescent="0.25">
      <c r="F39">
        <f t="shared" si="4"/>
        <v>37</v>
      </c>
      <c r="G39">
        <f t="shared" si="1"/>
        <v>0.20399999999999999</v>
      </c>
      <c r="H39">
        <f t="shared" si="2"/>
        <v>204</v>
      </c>
    </row>
    <row r="40" spans="1:8" x14ac:dyDescent="0.25">
      <c r="F40">
        <f t="shared" si="4"/>
        <v>38</v>
      </c>
      <c r="G40">
        <f t="shared" si="1"/>
        <v>0.20399999999999999</v>
      </c>
      <c r="H40">
        <f t="shared" si="2"/>
        <v>204</v>
      </c>
    </row>
    <row r="41" spans="1:8" x14ac:dyDescent="0.25">
      <c r="F41">
        <f t="shared" si="4"/>
        <v>39</v>
      </c>
      <c r="G41">
        <f t="shared" si="1"/>
        <v>0.20399999999999999</v>
      </c>
      <c r="H41">
        <f t="shared" si="2"/>
        <v>204</v>
      </c>
    </row>
    <row r="42" spans="1:8" x14ac:dyDescent="0.25">
      <c r="F42">
        <f t="shared" si="4"/>
        <v>40</v>
      </c>
      <c r="G42">
        <f t="shared" si="1"/>
        <v>0.20399999999999999</v>
      </c>
      <c r="H42">
        <f t="shared" si="2"/>
        <v>204</v>
      </c>
    </row>
    <row r="43" spans="1:8" x14ac:dyDescent="0.25">
      <c r="F43">
        <f t="shared" si="4"/>
        <v>41</v>
      </c>
      <c r="G43">
        <f t="shared" si="1"/>
        <v>0.20399999999999999</v>
      </c>
      <c r="H43">
        <f t="shared" si="2"/>
        <v>204</v>
      </c>
    </row>
    <row r="44" spans="1:8" x14ac:dyDescent="0.25">
      <c r="F44">
        <f t="shared" si="4"/>
        <v>42</v>
      </c>
      <c r="G44">
        <f t="shared" si="1"/>
        <v>0.20399999999999999</v>
      </c>
      <c r="H44">
        <f t="shared" si="2"/>
        <v>204</v>
      </c>
    </row>
    <row r="45" spans="1:8" x14ac:dyDescent="0.25">
      <c r="F45">
        <f t="shared" si="4"/>
        <v>43</v>
      </c>
      <c r="G45">
        <f t="shared" si="1"/>
        <v>0.20399999999999999</v>
      </c>
      <c r="H45">
        <f t="shared" si="2"/>
        <v>204</v>
      </c>
    </row>
    <row r="46" spans="1:8" x14ac:dyDescent="0.25">
      <c r="F46">
        <f t="shared" si="4"/>
        <v>44</v>
      </c>
      <c r="G46">
        <f t="shared" si="1"/>
        <v>0.20399999999999999</v>
      </c>
      <c r="H46">
        <f t="shared" si="2"/>
        <v>204</v>
      </c>
    </row>
    <row r="47" spans="1:8" x14ac:dyDescent="0.25">
      <c r="F47">
        <f t="shared" si="4"/>
        <v>45</v>
      </c>
      <c r="G47">
        <f t="shared" si="1"/>
        <v>0.20399999999999999</v>
      </c>
      <c r="H47">
        <f t="shared" si="2"/>
        <v>204</v>
      </c>
    </row>
    <row r="48" spans="1:8" x14ac:dyDescent="0.25">
      <c r="F48">
        <f t="shared" si="4"/>
        <v>46</v>
      </c>
      <c r="G48">
        <f t="shared" si="1"/>
        <v>0.20200000000000001</v>
      </c>
      <c r="H48">
        <f t="shared" si="2"/>
        <v>202</v>
      </c>
    </row>
    <row r="49" spans="6:8" x14ac:dyDescent="0.25">
      <c r="F49">
        <f t="shared" si="4"/>
        <v>47</v>
      </c>
      <c r="G49">
        <f t="shared" si="1"/>
        <v>0.20200000000000001</v>
      </c>
      <c r="H49">
        <f t="shared" si="2"/>
        <v>202</v>
      </c>
    </row>
    <row r="50" spans="6:8" x14ac:dyDescent="0.25">
      <c r="F50">
        <f t="shared" si="4"/>
        <v>48</v>
      </c>
      <c r="G50">
        <f t="shared" si="1"/>
        <v>0.2</v>
      </c>
      <c r="H50">
        <f t="shared" si="2"/>
        <v>200</v>
      </c>
    </row>
    <row r="51" spans="6:8" x14ac:dyDescent="0.25">
      <c r="F51">
        <f t="shared" si="4"/>
        <v>49</v>
      </c>
      <c r="G51">
        <f t="shared" si="1"/>
        <v>0.2</v>
      </c>
      <c r="H51">
        <f t="shared" si="2"/>
        <v>200</v>
      </c>
    </row>
    <row r="52" spans="6:8" x14ac:dyDescent="0.25">
      <c r="F52">
        <f t="shared" si="4"/>
        <v>50</v>
      </c>
      <c r="G52">
        <f t="shared" si="1"/>
        <v>0.19800000000000001</v>
      </c>
      <c r="H52">
        <f t="shared" si="2"/>
        <v>198</v>
      </c>
    </row>
    <row r="53" spans="6:8" x14ac:dyDescent="0.25">
      <c r="F53">
        <f t="shared" si="4"/>
        <v>51</v>
      </c>
      <c r="G53">
        <f t="shared" si="1"/>
        <v>0.19800000000000001</v>
      </c>
      <c r="H53">
        <f t="shared" si="2"/>
        <v>198</v>
      </c>
    </row>
    <row r="54" spans="6:8" x14ac:dyDescent="0.25">
      <c r="F54">
        <f t="shared" si="4"/>
        <v>52</v>
      </c>
      <c r="G54">
        <f t="shared" si="1"/>
        <v>0.19600000000000001</v>
      </c>
      <c r="H54">
        <f t="shared" si="2"/>
        <v>196</v>
      </c>
    </row>
    <row r="55" spans="6:8" x14ac:dyDescent="0.25">
      <c r="F55">
        <f t="shared" si="4"/>
        <v>53</v>
      </c>
      <c r="G55">
        <f t="shared" si="1"/>
        <v>0.19600000000000001</v>
      </c>
      <c r="H55">
        <f t="shared" si="2"/>
        <v>196</v>
      </c>
    </row>
    <row r="56" spans="6:8" x14ac:dyDescent="0.25">
      <c r="F56">
        <f t="shared" si="4"/>
        <v>54</v>
      </c>
      <c r="G56">
        <f t="shared" si="1"/>
        <v>0.192</v>
      </c>
      <c r="H56">
        <f t="shared" si="2"/>
        <v>192</v>
      </c>
    </row>
    <row r="57" spans="6:8" x14ac:dyDescent="0.25">
      <c r="F57">
        <f t="shared" si="4"/>
        <v>55</v>
      </c>
      <c r="G57">
        <f t="shared" si="1"/>
        <v>0.192</v>
      </c>
      <c r="H57">
        <f t="shared" si="2"/>
        <v>192</v>
      </c>
    </row>
    <row r="58" spans="6:8" x14ac:dyDescent="0.25">
      <c r="F58">
        <f t="shared" si="4"/>
        <v>56</v>
      </c>
      <c r="G58">
        <f t="shared" si="1"/>
        <v>0.189</v>
      </c>
      <c r="H58">
        <f t="shared" si="2"/>
        <v>189</v>
      </c>
    </row>
    <row r="59" spans="6:8" x14ac:dyDescent="0.25">
      <c r="F59">
        <f t="shared" si="4"/>
        <v>57</v>
      </c>
      <c r="G59">
        <f t="shared" si="1"/>
        <v>0.189</v>
      </c>
      <c r="H59">
        <f t="shared" si="2"/>
        <v>189</v>
      </c>
    </row>
    <row r="60" spans="6:8" x14ac:dyDescent="0.25">
      <c r="F60">
        <f t="shared" si="4"/>
        <v>58</v>
      </c>
      <c r="G60">
        <f t="shared" si="1"/>
        <v>0.185</v>
      </c>
      <c r="H60">
        <f t="shared" si="2"/>
        <v>185</v>
      </c>
    </row>
    <row r="61" spans="6:8" x14ac:dyDescent="0.25">
      <c r="F61">
        <f t="shared" si="4"/>
        <v>59</v>
      </c>
      <c r="G61">
        <f t="shared" si="1"/>
        <v>0.185</v>
      </c>
      <c r="H61">
        <f t="shared" si="2"/>
        <v>185</v>
      </c>
    </row>
    <row r="62" spans="6:8" x14ac:dyDescent="0.25">
      <c r="F62">
        <f t="shared" si="4"/>
        <v>60</v>
      </c>
      <c r="G62">
        <f t="shared" si="1"/>
        <v>0.182</v>
      </c>
      <c r="H62">
        <f t="shared" si="2"/>
        <v>182</v>
      </c>
    </row>
    <row r="63" spans="6:8" x14ac:dyDescent="0.25">
      <c r="F63">
        <f t="shared" si="4"/>
        <v>61</v>
      </c>
      <c r="G63">
        <f t="shared" si="1"/>
        <v>0.182</v>
      </c>
      <c r="H63">
        <f t="shared" si="2"/>
        <v>182</v>
      </c>
    </row>
    <row r="64" spans="6:8" x14ac:dyDescent="0.25">
      <c r="F64">
        <f t="shared" si="4"/>
        <v>62</v>
      </c>
      <c r="G64">
        <f t="shared" si="1"/>
        <v>0.17799999999999999</v>
      </c>
      <c r="H64">
        <f t="shared" si="2"/>
        <v>178</v>
      </c>
    </row>
    <row r="65" spans="6:8" x14ac:dyDescent="0.25">
      <c r="F65">
        <f t="shared" si="4"/>
        <v>63</v>
      </c>
      <c r="G65">
        <f t="shared" si="1"/>
        <v>0.17799999999999999</v>
      </c>
      <c r="H65">
        <f t="shared" si="2"/>
        <v>178</v>
      </c>
    </row>
    <row r="66" spans="6:8" x14ac:dyDescent="0.25">
      <c r="F66">
        <f t="shared" si="4"/>
        <v>64</v>
      </c>
      <c r="G66">
        <f t="shared" si="1"/>
        <v>0.17399999999999999</v>
      </c>
      <c r="H66">
        <f t="shared" si="2"/>
        <v>174</v>
      </c>
    </row>
    <row r="67" spans="6:8" x14ac:dyDescent="0.25">
      <c r="F67">
        <f t="shared" si="4"/>
        <v>65</v>
      </c>
      <c r="G67">
        <f t="shared" ref="G67:G122" si="6">VLOOKUP(F67,$A$2:$C$33,3,1)</f>
        <v>0.17399999999999999</v>
      </c>
      <c r="H67">
        <f t="shared" ref="H67:H122" si="7">G67*1000</f>
        <v>174</v>
      </c>
    </row>
    <row r="68" spans="6:8" x14ac:dyDescent="0.25">
      <c r="F68">
        <f t="shared" ref="F68:F119" si="8">F67+1</f>
        <v>66</v>
      </c>
      <c r="G68">
        <f t="shared" si="6"/>
        <v>0.16900000000000001</v>
      </c>
      <c r="H68">
        <f t="shared" si="7"/>
        <v>169</v>
      </c>
    </row>
    <row r="69" spans="6:8" x14ac:dyDescent="0.25">
      <c r="F69">
        <f t="shared" si="8"/>
        <v>67</v>
      </c>
      <c r="G69">
        <f t="shared" si="6"/>
        <v>0.16900000000000001</v>
      </c>
      <c r="H69">
        <f t="shared" si="7"/>
        <v>169</v>
      </c>
    </row>
    <row r="70" spans="6:8" x14ac:dyDescent="0.25">
      <c r="F70">
        <f t="shared" si="8"/>
        <v>68</v>
      </c>
      <c r="G70">
        <f t="shared" si="6"/>
        <v>0.16500000000000001</v>
      </c>
      <c r="H70">
        <f t="shared" si="7"/>
        <v>165</v>
      </c>
    </row>
    <row r="71" spans="6:8" x14ac:dyDescent="0.25">
      <c r="F71">
        <f t="shared" si="8"/>
        <v>69</v>
      </c>
      <c r="G71">
        <f t="shared" si="6"/>
        <v>0.16500000000000001</v>
      </c>
      <c r="H71">
        <f t="shared" si="7"/>
        <v>165</v>
      </c>
    </row>
    <row r="72" spans="6:8" x14ac:dyDescent="0.25">
      <c r="F72">
        <f t="shared" si="8"/>
        <v>70</v>
      </c>
      <c r="G72">
        <f t="shared" si="6"/>
        <v>0.161</v>
      </c>
      <c r="H72">
        <f t="shared" si="7"/>
        <v>161</v>
      </c>
    </row>
    <row r="73" spans="6:8" x14ac:dyDescent="0.25">
      <c r="F73">
        <f t="shared" si="8"/>
        <v>71</v>
      </c>
      <c r="G73">
        <f t="shared" si="6"/>
        <v>0.161</v>
      </c>
      <c r="H73">
        <f t="shared" si="7"/>
        <v>161</v>
      </c>
    </row>
    <row r="74" spans="6:8" x14ac:dyDescent="0.25">
      <c r="F74">
        <f t="shared" si="8"/>
        <v>72</v>
      </c>
      <c r="G74">
        <f t="shared" si="6"/>
        <v>0.156</v>
      </c>
      <c r="H74">
        <f t="shared" si="7"/>
        <v>156</v>
      </c>
    </row>
    <row r="75" spans="6:8" x14ac:dyDescent="0.25">
      <c r="F75">
        <f t="shared" si="8"/>
        <v>73</v>
      </c>
      <c r="G75">
        <f t="shared" si="6"/>
        <v>0.156</v>
      </c>
      <c r="H75">
        <f t="shared" si="7"/>
        <v>156</v>
      </c>
    </row>
    <row r="76" spans="6:8" x14ac:dyDescent="0.25">
      <c r="F76">
        <f t="shared" si="8"/>
        <v>74</v>
      </c>
      <c r="G76">
        <f t="shared" si="6"/>
        <v>0.151</v>
      </c>
      <c r="H76">
        <f t="shared" si="7"/>
        <v>151</v>
      </c>
    </row>
    <row r="77" spans="6:8" x14ac:dyDescent="0.25">
      <c r="F77">
        <f t="shared" si="8"/>
        <v>75</v>
      </c>
      <c r="G77">
        <f t="shared" si="6"/>
        <v>0.151</v>
      </c>
      <c r="H77">
        <f t="shared" si="7"/>
        <v>151</v>
      </c>
    </row>
    <row r="78" spans="6:8" x14ac:dyDescent="0.25">
      <c r="F78">
        <f t="shared" si="8"/>
        <v>76</v>
      </c>
      <c r="G78">
        <f t="shared" si="6"/>
        <v>0.14599999999999999</v>
      </c>
      <c r="H78">
        <f t="shared" si="7"/>
        <v>146</v>
      </c>
    </row>
    <row r="79" spans="6:8" x14ac:dyDescent="0.25">
      <c r="F79">
        <f t="shared" si="8"/>
        <v>77</v>
      </c>
      <c r="G79">
        <f t="shared" si="6"/>
        <v>0.14599999999999999</v>
      </c>
      <c r="H79">
        <f t="shared" si="7"/>
        <v>146</v>
      </c>
    </row>
    <row r="80" spans="6:8" x14ac:dyDescent="0.25">
      <c r="F80">
        <f t="shared" si="8"/>
        <v>78</v>
      </c>
      <c r="G80">
        <f t="shared" si="6"/>
        <v>0.14099999999999999</v>
      </c>
      <c r="H80">
        <f t="shared" si="7"/>
        <v>141</v>
      </c>
    </row>
    <row r="81" spans="6:8" x14ac:dyDescent="0.25">
      <c r="F81">
        <f t="shared" si="8"/>
        <v>79</v>
      </c>
      <c r="G81">
        <f t="shared" si="6"/>
        <v>0.14099999999999999</v>
      </c>
      <c r="H81">
        <f t="shared" si="7"/>
        <v>141</v>
      </c>
    </row>
    <row r="82" spans="6:8" x14ac:dyDescent="0.25">
      <c r="F82">
        <f t="shared" si="8"/>
        <v>80</v>
      </c>
      <c r="G82">
        <f t="shared" si="6"/>
        <v>0.13600000000000001</v>
      </c>
      <c r="H82">
        <f t="shared" si="7"/>
        <v>136</v>
      </c>
    </row>
    <row r="83" spans="6:8" x14ac:dyDescent="0.25">
      <c r="F83">
        <f t="shared" si="8"/>
        <v>81</v>
      </c>
      <c r="G83">
        <f t="shared" si="6"/>
        <v>0.13600000000000001</v>
      </c>
      <c r="H83">
        <f t="shared" si="7"/>
        <v>136</v>
      </c>
    </row>
    <row r="84" spans="6:8" x14ac:dyDescent="0.25">
      <c r="F84">
        <f t="shared" si="8"/>
        <v>82</v>
      </c>
      <c r="G84">
        <f t="shared" si="6"/>
        <v>0.13</v>
      </c>
      <c r="H84">
        <f t="shared" si="7"/>
        <v>130</v>
      </c>
    </row>
    <row r="85" spans="6:8" x14ac:dyDescent="0.25">
      <c r="F85">
        <f t="shared" si="8"/>
        <v>83</v>
      </c>
      <c r="G85">
        <f t="shared" si="6"/>
        <v>0.13</v>
      </c>
      <c r="H85">
        <f t="shared" si="7"/>
        <v>130</v>
      </c>
    </row>
    <row r="86" spans="6:8" x14ac:dyDescent="0.25">
      <c r="F86">
        <f t="shared" si="8"/>
        <v>84</v>
      </c>
      <c r="G86">
        <f t="shared" si="6"/>
        <v>0.125</v>
      </c>
      <c r="H86">
        <f t="shared" si="7"/>
        <v>125</v>
      </c>
    </row>
    <row r="87" spans="6:8" x14ac:dyDescent="0.25">
      <c r="F87">
        <f t="shared" si="8"/>
        <v>85</v>
      </c>
      <c r="G87">
        <f t="shared" si="6"/>
        <v>0.125</v>
      </c>
      <c r="H87">
        <f t="shared" si="7"/>
        <v>125</v>
      </c>
    </row>
    <row r="88" spans="6:8" x14ac:dyDescent="0.25">
      <c r="F88">
        <f t="shared" si="8"/>
        <v>86</v>
      </c>
      <c r="G88">
        <f t="shared" si="6"/>
        <v>0.11899999999999999</v>
      </c>
      <c r="H88">
        <f t="shared" si="7"/>
        <v>119</v>
      </c>
    </row>
    <row r="89" spans="6:8" x14ac:dyDescent="0.25">
      <c r="F89">
        <f t="shared" si="8"/>
        <v>87</v>
      </c>
      <c r="G89">
        <f t="shared" si="6"/>
        <v>0.11899999999999999</v>
      </c>
      <c r="H89">
        <f t="shared" si="7"/>
        <v>119</v>
      </c>
    </row>
    <row r="90" spans="6:8" x14ac:dyDescent="0.25">
      <c r="F90">
        <f t="shared" si="8"/>
        <v>88</v>
      </c>
      <c r="G90">
        <f t="shared" si="6"/>
        <v>0.113</v>
      </c>
      <c r="H90">
        <f t="shared" si="7"/>
        <v>113</v>
      </c>
    </row>
    <row r="91" spans="6:8" x14ac:dyDescent="0.25">
      <c r="F91">
        <f t="shared" si="8"/>
        <v>89</v>
      </c>
      <c r="G91">
        <f t="shared" si="6"/>
        <v>0.113</v>
      </c>
      <c r="H91">
        <f t="shared" si="7"/>
        <v>113</v>
      </c>
    </row>
    <row r="92" spans="6:8" x14ac:dyDescent="0.25">
      <c r="F92">
        <f t="shared" si="8"/>
        <v>90</v>
      </c>
      <c r="G92">
        <f t="shared" si="6"/>
        <v>0.107</v>
      </c>
      <c r="H92">
        <f t="shared" si="7"/>
        <v>107</v>
      </c>
    </row>
    <row r="93" spans="6:8" x14ac:dyDescent="0.25">
      <c r="F93">
        <f t="shared" si="8"/>
        <v>91</v>
      </c>
      <c r="G93">
        <f t="shared" si="6"/>
        <v>0.107</v>
      </c>
      <c r="H93">
        <f t="shared" si="7"/>
        <v>107</v>
      </c>
    </row>
    <row r="94" spans="6:8" x14ac:dyDescent="0.25">
      <c r="F94">
        <f t="shared" si="8"/>
        <v>92</v>
      </c>
      <c r="G94">
        <f t="shared" si="6"/>
        <v>0.10100000000000001</v>
      </c>
      <c r="H94">
        <f t="shared" si="7"/>
        <v>101</v>
      </c>
    </row>
    <row r="95" spans="6:8" x14ac:dyDescent="0.25">
      <c r="F95">
        <f t="shared" si="8"/>
        <v>93</v>
      </c>
      <c r="G95">
        <f t="shared" si="6"/>
        <v>0.10100000000000001</v>
      </c>
      <c r="H95">
        <f t="shared" si="7"/>
        <v>101</v>
      </c>
    </row>
    <row r="96" spans="6:8" x14ac:dyDescent="0.25">
      <c r="F96">
        <f t="shared" si="8"/>
        <v>94</v>
      </c>
      <c r="G96">
        <f t="shared" si="6"/>
        <v>9.4E-2</v>
      </c>
      <c r="H96">
        <f t="shared" si="7"/>
        <v>94</v>
      </c>
    </row>
    <row r="97" spans="6:8" x14ac:dyDescent="0.25">
      <c r="F97">
        <f t="shared" si="8"/>
        <v>95</v>
      </c>
      <c r="G97">
        <f t="shared" si="6"/>
        <v>9.4E-2</v>
      </c>
      <c r="H97">
        <f t="shared" si="7"/>
        <v>94</v>
      </c>
    </row>
    <row r="98" spans="6:8" x14ac:dyDescent="0.25">
      <c r="F98">
        <f t="shared" si="8"/>
        <v>96</v>
      </c>
      <c r="G98">
        <f t="shared" si="6"/>
        <v>8.7999999999999995E-2</v>
      </c>
      <c r="H98">
        <f t="shared" si="7"/>
        <v>88</v>
      </c>
    </row>
    <row r="99" spans="6:8" x14ac:dyDescent="0.25">
      <c r="F99">
        <f t="shared" si="8"/>
        <v>97</v>
      </c>
      <c r="G99">
        <f t="shared" si="6"/>
        <v>8.7999999999999995E-2</v>
      </c>
      <c r="H99">
        <f t="shared" si="7"/>
        <v>88</v>
      </c>
    </row>
    <row r="100" spans="6:8" x14ac:dyDescent="0.25">
      <c r="F100">
        <f t="shared" si="8"/>
        <v>98</v>
      </c>
      <c r="G100">
        <f t="shared" si="6"/>
        <v>8.1000000000000003E-2</v>
      </c>
      <c r="H100">
        <f t="shared" si="7"/>
        <v>81</v>
      </c>
    </row>
    <row r="101" spans="6:8" x14ac:dyDescent="0.25">
      <c r="F101">
        <f t="shared" si="8"/>
        <v>99</v>
      </c>
      <c r="G101">
        <f t="shared" si="6"/>
        <v>8.1000000000000003E-2</v>
      </c>
      <c r="H101">
        <f t="shared" si="7"/>
        <v>81</v>
      </c>
    </row>
    <row r="102" spans="6:8" x14ac:dyDescent="0.25">
      <c r="F102">
        <f t="shared" si="8"/>
        <v>100</v>
      </c>
      <c r="G102">
        <f t="shared" si="6"/>
        <v>7.3999999999999996E-2</v>
      </c>
      <c r="H102">
        <f t="shared" si="7"/>
        <v>74</v>
      </c>
    </row>
    <row r="103" spans="6:8" x14ac:dyDescent="0.25">
      <c r="F103">
        <f t="shared" si="8"/>
        <v>101</v>
      </c>
      <c r="G103">
        <f t="shared" si="6"/>
        <v>7.3999999999999996E-2</v>
      </c>
      <c r="H103">
        <f t="shared" si="7"/>
        <v>74</v>
      </c>
    </row>
    <row r="104" spans="6:8" x14ac:dyDescent="0.25">
      <c r="F104">
        <f t="shared" si="8"/>
        <v>102</v>
      </c>
      <c r="G104">
        <f t="shared" si="6"/>
        <v>6.7000000000000004E-2</v>
      </c>
      <c r="H104">
        <f t="shared" si="7"/>
        <v>67</v>
      </c>
    </row>
    <row r="105" spans="6:8" x14ac:dyDescent="0.25">
      <c r="F105">
        <f t="shared" si="8"/>
        <v>103</v>
      </c>
      <c r="G105">
        <f t="shared" si="6"/>
        <v>6.7000000000000004E-2</v>
      </c>
      <c r="H105">
        <f t="shared" si="7"/>
        <v>67</v>
      </c>
    </row>
    <row r="106" spans="6:8" x14ac:dyDescent="0.25">
      <c r="F106">
        <f t="shared" si="8"/>
        <v>104</v>
      </c>
      <c r="G106">
        <f t="shared" si="6"/>
        <v>0.06</v>
      </c>
      <c r="H106">
        <f t="shared" si="7"/>
        <v>60</v>
      </c>
    </row>
    <row r="107" spans="6:8" x14ac:dyDescent="0.25">
      <c r="F107">
        <f t="shared" si="8"/>
        <v>105</v>
      </c>
      <c r="G107">
        <f t="shared" si="6"/>
        <v>0.06</v>
      </c>
      <c r="H107">
        <f t="shared" si="7"/>
        <v>60</v>
      </c>
    </row>
    <row r="108" spans="6:8" x14ac:dyDescent="0.25">
      <c r="F108">
        <f t="shared" si="8"/>
        <v>106</v>
      </c>
      <c r="G108">
        <f t="shared" si="6"/>
        <v>5.2999999999999999E-2</v>
      </c>
      <c r="H108">
        <f t="shared" si="7"/>
        <v>53</v>
      </c>
    </row>
    <row r="109" spans="6:8" x14ac:dyDescent="0.25">
      <c r="F109">
        <f t="shared" si="8"/>
        <v>107</v>
      </c>
      <c r="G109">
        <f t="shared" si="6"/>
        <v>5.2999999999999999E-2</v>
      </c>
      <c r="H109">
        <f t="shared" si="7"/>
        <v>53</v>
      </c>
    </row>
    <row r="110" spans="6:8" x14ac:dyDescent="0.25">
      <c r="F110">
        <f t="shared" si="8"/>
        <v>108</v>
      </c>
      <c r="G110">
        <f t="shared" si="6"/>
        <v>5.2999999999999999E-2</v>
      </c>
      <c r="H110">
        <f t="shared" si="7"/>
        <v>53</v>
      </c>
    </row>
    <row r="111" spans="6:8" x14ac:dyDescent="0.25">
      <c r="F111">
        <f t="shared" si="8"/>
        <v>109</v>
      </c>
      <c r="G111">
        <f t="shared" si="6"/>
        <v>5.2999999999999999E-2</v>
      </c>
      <c r="H111">
        <f t="shared" si="7"/>
        <v>53</v>
      </c>
    </row>
    <row r="112" spans="6:8" x14ac:dyDescent="0.25">
      <c r="F112">
        <f t="shared" si="8"/>
        <v>110</v>
      </c>
      <c r="G112">
        <f t="shared" si="6"/>
        <v>5.2999999999999999E-2</v>
      </c>
      <c r="H112">
        <f t="shared" si="7"/>
        <v>53</v>
      </c>
    </row>
    <row r="113" spans="6:8" x14ac:dyDescent="0.25">
      <c r="F113">
        <f t="shared" si="8"/>
        <v>111</v>
      </c>
      <c r="G113">
        <f t="shared" si="6"/>
        <v>5.2999999999999999E-2</v>
      </c>
      <c r="H113">
        <f t="shared" si="7"/>
        <v>53</v>
      </c>
    </row>
    <row r="114" spans="6:8" x14ac:dyDescent="0.25">
      <c r="F114">
        <f t="shared" si="8"/>
        <v>112</v>
      </c>
      <c r="G114">
        <f t="shared" si="6"/>
        <v>5.2999999999999999E-2</v>
      </c>
      <c r="H114">
        <f t="shared" si="7"/>
        <v>53</v>
      </c>
    </row>
    <row r="115" spans="6:8" x14ac:dyDescent="0.25">
      <c r="F115">
        <f t="shared" si="8"/>
        <v>113</v>
      </c>
      <c r="G115">
        <f t="shared" si="6"/>
        <v>5.2999999999999999E-2</v>
      </c>
      <c r="H115">
        <f t="shared" si="7"/>
        <v>53</v>
      </c>
    </row>
    <row r="116" spans="6:8" x14ac:dyDescent="0.25">
      <c r="F116">
        <f t="shared" si="8"/>
        <v>114</v>
      </c>
      <c r="G116">
        <f t="shared" si="6"/>
        <v>5.2999999999999999E-2</v>
      </c>
      <c r="H116">
        <f t="shared" si="7"/>
        <v>53</v>
      </c>
    </row>
    <row r="117" spans="6:8" x14ac:dyDescent="0.25">
      <c r="F117">
        <f t="shared" si="8"/>
        <v>115</v>
      </c>
      <c r="G117">
        <f t="shared" si="6"/>
        <v>5.2999999999999999E-2</v>
      </c>
      <c r="H117">
        <f t="shared" si="7"/>
        <v>53</v>
      </c>
    </row>
    <row r="118" spans="6:8" x14ac:dyDescent="0.25">
      <c r="F118">
        <f t="shared" si="8"/>
        <v>116</v>
      </c>
      <c r="G118">
        <f t="shared" si="6"/>
        <v>5.2999999999999999E-2</v>
      </c>
      <c r="H118">
        <f t="shared" si="7"/>
        <v>53</v>
      </c>
    </row>
    <row r="119" spans="6:8" x14ac:dyDescent="0.25">
      <c r="F119">
        <f t="shared" si="8"/>
        <v>117</v>
      </c>
      <c r="G119">
        <f t="shared" si="6"/>
        <v>5.2999999999999999E-2</v>
      </c>
      <c r="H119">
        <f t="shared" si="7"/>
        <v>53</v>
      </c>
    </row>
    <row r="120" spans="6:8" x14ac:dyDescent="0.25">
      <c r="F120">
        <f t="shared" ref="F120:F122" si="9">F119+1</f>
        <v>118</v>
      </c>
      <c r="G120">
        <f t="shared" si="6"/>
        <v>5.2999999999999999E-2</v>
      </c>
      <c r="H120">
        <f t="shared" si="7"/>
        <v>53</v>
      </c>
    </row>
    <row r="121" spans="6:8" x14ac:dyDescent="0.25">
      <c r="F121">
        <f t="shared" si="9"/>
        <v>119</v>
      </c>
      <c r="G121">
        <f t="shared" si="6"/>
        <v>5.2999999999999999E-2</v>
      </c>
      <c r="H121">
        <f t="shared" si="7"/>
        <v>53</v>
      </c>
    </row>
    <row r="122" spans="6:8" x14ac:dyDescent="0.25">
      <c r="F122">
        <f t="shared" si="9"/>
        <v>120</v>
      </c>
      <c r="G122">
        <f t="shared" si="6"/>
        <v>5.2999999999999999E-2</v>
      </c>
      <c r="H122">
        <f t="shared" si="7"/>
        <v>53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F123"/>
  <sheetViews>
    <sheetView workbookViewId="0">
      <selection activeCell="B2" sqref="B2"/>
    </sheetView>
  </sheetViews>
  <sheetFormatPr defaultRowHeight="15" x14ac:dyDescent="0.25"/>
  <sheetData>
    <row r="1" spans="1:6" s="1" customFormat="1" ht="30" x14ac:dyDescent="0.25">
      <c r="A1" s="28" t="s">
        <v>11</v>
      </c>
      <c r="B1" s="29" t="s">
        <v>106</v>
      </c>
      <c r="C1" s="29" t="s">
        <v>107</v>
      </c>
      <c r="D1" s="29" t="s">
        <v>103</v>
      </c>
      <c r="E1" s="29" t="s">
        <v>104</v>
      </c>
    </row>
    <row r="2" spans="1:6" x14ac:dyDescent="0.25">
      <c r="A2" s="26">
        <v>0</v>
      </c>
      <c r="B2" s="27">
        <v>1.8499999999999999E-2</v>
      </c>
      <c r="C2" s="27">
        <v>1.4999999999999999E-2</v>
      </c>
      <c r="D2" s="27">
        <v>1.4E-2</v>
      </c>
      <c r="E2" s="27">
        <v>9.4999999999999998E-3</v>
      </c>
    </row>
    <row r="3" spans="1:6" x14ac:dyDescent="0.25">
      <c r="A3" s="26">
        <v>1</v>
      </c>
      <c r="B3" s="27">
        <v>1.8499999999999999E-2</v>
      </c>
      <c r="C3" s="27">
        <v>1.4999999999999999E-2</v>
      </c>
      <c r="D3" s="27">
        <v>1.4E-2</v>
      </c>
      <c r="E3" s="27">
        <v>9.4999999999999998E-3</v>
      </c>
      <c r="F3" s="27"/>
    </row>
    <row r="4" spans="1:6" x14ac:dyDescent="0.25">
      <c r="A4" s="26">
        <v>2</v>
      </c>
      <c r="B4" s="27">
        <v>1.8499999999999999E-2</v>
      </c>
      <c r="C4" s="27">
        <v>1.4999999999999999E-2</v>
      </c>
      <c r="D4" s="27">
        <v>1.4E-2</v>
      </c>
      <c r="E4" s="27">
        <v>9.4999999999999998E-3</v>
      </c>
    </row>
    <row r="5" spans="1:6" x14ac:dyDescent="0.25">
      <c r="A5" s="26">
        <v>3</v>
      </c>
      <c r="B5" s="27">
        <v>1.8499999999999999E-2</v>
      </c>
      <c r="C5" s="27">
        <v>1.4999999999999999E-2</v>
      </c>
      <c r="D5" s="27">
        <v>1.4E-2</v>
      </c>
      <c r="E5" s="27">
        <v>9.4999999999999998E-3</v>
      </c>
    </row>
    <row r="6" spans="1:6" x14ac:dyDescent="0.25">
      <c r="A6" s="26">
        <v>4</v>
      </c>
      <c r="B6" s="27">
        <v>1.8499999999999999E-2</v>
      </c>
      <c r="C6" s="27">
        <v>1.4999999999999999E-2</v>
      </c>
      <c r="D6" s="27">
        <v>1.4E-2</v>
      </c>
      <c r="E6" s="27">
        <v>9.4999999999999998E-3</v>
      </c>
    </row>
    <row r="7" spans="1:6" x14ac:dyDescent="0.25">
      <c r="A7" s="26">
        <v>5</v>
      </c>
      <c r="B7" s="27">
        <v>1.8499999999999999E-2</v>
      </c>
      <c r="C7" s="27">
        <v>1.4999999999999999E-2</v>
      </c>
      <c r="D7" s="27">
        <v>1.4E-2</v>
      </c>
      <c r="E7" s="27">
        <v>9.4999999999999998E-3</v>
      </c>
    </row>
    <row r="8" spans="1:6" x14ac:dyDescent="0.25">
      <c r="A8" s="26">
        <v>6</v>
      </c>
      <c r="B8" s="27">
        <v>1.8499999999999999E-2</v>
      </c>
      <c r="C8" s="27">
        <v>1.4999999999999999E-2</v>
      </c>
      <c r="D8" s="27">
        <v>1.4E-2</v>
      </c>
      <c r="E8" s="27">
        <v>9.4999999999999998E-3</v>
      </c>
    </row>
    <row r="9" spans="1:6" x14ac:dyDescent="0.25">
      <c r="A9" s="26">
        <v>7</v>
      </c>
      <c r="B9" s="27">
        <v>1.8499999999999999E-2</v>
      </c>
      <c r="C9" s="27">
        <v>1.4999999999999999E-2</v>
      </c>
      <c r="D9" s="27">
        <v>1.4E-2</v>
      </c>
      <c r="E9" s="27">
        <v>9.4999999999999998E-3</v>
      </c>
    </row>
    <row r="10" spans="1:6" x14ac:dyDescent="0.25">
      <c r="A10" s="26">
        <v>8</v>
      </c>
      <c r="B10" s="27">
        <v>1.8499999999999999E-2</v>
      </c>
      <c r="C10" s="27">
        <v>1.4999999999999999E-2</v>
      </c>
      <c r="D10" s="27">
        <v>1.4E-2</v>
      </c>
      <c r="E10" s="27">
        <v>9.4999999999999998E-3</v>
      </c>
    </row>
    <row r="11" spans="1:6" x14ac:dyDescent="0.25">
      <c r="A11" s="26">
        <v>9</v>
      </c>
      <c r="B11" s="27">
        <v>1.8499999999999999E-2</v>
      </c>
      <c r="C11" s="27">
        <v>1.4999999999999999E-2</v>
      </c>
      <c r="D11" s="27">
        <v>1.4E-2</v>
      </c>
      <c r="E11" s="27">
        <v>9.4999999999999998E-3</v>
      </c>
    </row>
    <row r="12" spans="1:6" x14ac:dyDescent="0.25">
      <c r="A12" s="26">
        <v>10</v>
      </c>
      <c r="B12" s="27">
        <v>1.8499999999999999E-2</v>
      </c>
      <c r="C12" s="27">
        <v>1.4999999999999999E-2</v>
      </c>
      <c r="D12" s="27">
        <v>1.4E-2</v>
      </c>
      <c r="E12" s="27">
        <v>9.4999999999999998E-3</v>
      </c>
    </row>
    <row r="13" spans="1:6" x14ac:dyDescent="0.25">
      <c r="A13" s="26">
        <v>11</v>
      </c>
      <c r="B13" s="27">
        <v>1.8499999999999999E-2</v>
      </c>
      <c r="C13" s="27">
        <v>1.4999999999999999E-2</v>
      </c>
      <c r="D13" s="27">
        <v>1.4E-2</v>
      </c>
      <c r="E13" s="27">
        <v>9.4999999999999998E-3</v>
      </c>
    </row>
    <row r="14" spans="1:6" x14ac:dyDescent="0.25">
      <c r="A14" s="26">
        <v>12</v>
      </c>
      <c r="B14" s="27">
        <v>1.8499999999999999E-2</v>
      </c>
      <c r="C14" s="27">
        <v>1.4999999999999999E-2</v>
      </c>
      <c r="D14" s="27">
        <v>1.4E-2</v>
      </c>
      <c r="E14" s="27">
        <v>9.4999999999999998E-3</v>
      </c>
    </row>
    <row r="15" spans="1:6" x14ac:dyDescent="0.25">
      <c r="A15" s="26">
        <v>13</v>
      </c>
      <c r="B15" s="27">
        <v>1.7416666666666667E-2</v>
      </c>
      <c r="C15" s="27">
        <v>1.4166666666666666E-2</v>
      </c>
      <c r="D15" s="27">
        <v>1.4E-2</v>
      </c>
      <c r="E15" s="27">
        <v>9.4999999999999998E-3</v>
      </c>
    </row>
    <row r="16" spans="1:6" x14ac:dyDescent="0.25">
      <c r="A16" s="26">
        <v>14</v>
      </c>
      <c r="B16" s="27">
        <v>1.6333333333333335E-2</v>
      </c>
      <c r="C16" s="27">
        <v>1.3333333333333332E-2</v>
      </c>
      <c r="D16" s="27">
        <v>1.4E-2</v>
      </c>
      <c r="E16" s="27">
        <v>9.4999999999999998E-3</v>
      </c>
    </row>
    <row r="17" spans="1:5" x14ac:dyDescent="0.25">
      <c r="A17" s="26">
        <v>15</v>
      </c>
      <c r="B17" s="27">
        <v>1.5250000000000001E-2</v>
      </c>
      <c r="C17" s="27">
        <v>1.2499999999999999E-2</v>
      </c>
      <c r="D17" s="27">
        <v>1.4E-2</v>
      </c>
      <c r="E17" s="27">
        <v>9.4999999999999998E-3</v>
      </c>
    </row>
    <row r="18" spans="1:5" x14ac:dyDescent="0.25">
      <c r="A18" s="26">
        <v>16</v>
      </c>
      <c r="B18" s="27">
        <v>1.4166666666666668E-2</v>
      </c>
      <c r="C18" s="27">
        <v>1.1666666666666665E-2</v>
      </c>
      <c r="D18" s="27">
        <v>1.3195281649966899E-2</v>
      </c>
      <c r="E18" s="27">
        <v>8.9785739183268747E-3</v>
      </c>
    </row>
    <row r="19" spans="1:5" x14ac:dyDescent="0.25">
      <c r="A19" s="26">
        <v>17</v>
      </c>
      <c r="B19" s="27">
        <v>1.3083333333333334E-2</v>
      </c>
      <c r="C19" s="27">
        <v>1.0833333333333332E-2</v>
      </c>
      <c r="D19" s="27">
        <v>1.2390563299933799E-2</v>
      </c>
      <c r="E19" s="27">
        <v>8.4571478366537497E-3</v>
      </c>
    </row>
    <row r="20" spans="1:5" x14ac:dyDescent="0.25">
      <c r="A20" s="26">
        <v>18</v>
      </c>
      <c r="B20" s="27">
        <v>1.2E-2</v>
      </c>
      <c r="C20" s="27">
        <v>0.01</v>
      </c>
      <c r="D20" s="27">
        <v>1.1585844949900698E-2</v>
      </c>
      <c r="E20" s="27">
        <v>7.9357217549806246E-3</v>
      </c>
    </row>
    <row r="21" spans="1:5" x14ac:dyDescent="0.25">
      <c r="A21" s="26">
        <v>19</v>
      </c>
      <c r="B21" s="27">
        <v>1.2E-2</v>
      </c>
      <c r="C21" s="27">
        <v>0.01</v>
      </c>
      <c r="D21" s="27">
        <v>1.0781126599867597E-2</v>
      </c>
      <c r="E21" s="27">
        <v>7.4142956733074996E-3</v>
      </c>
    </row>
    <row r="22" spans="1:5" x14ac:dyDescent="0.25">
      <c r="A22" s="26">
        <v>20</v>
      </c>
      <c r="B22" s="27">
        <v>1.2E-2</v>
      </c>
      <c r="C22" s="27">
        <v>0.01</v>
      </c>
      <c r="D22" s="27">
        <v>9.976408249834496E-3</v>
      </c>
      <c r="E22" s="27">
        <v>6.8928695916343746E-3</v>
      </c>
    </row>
    <row r="23" spans="1:5" x14ac:dyDescent="0.25">
      <c r="A23" s="26">
        <v>21</v>
      </c>
      <c r="B23" s="27">
        <v>1.2E-2</v>
      </c>
      <c r="C23" s="27">
        <v>0.01</v>
      </c>
      <c r="D23" s="27">
        <v>9.1716898998013933E-3</v>
      </c>
      <c r="E23" s="27">
        <v>6.3714435099612504E-3</v>
      </c>
    </row>
    <row r="24" spans="1:5" x14ac:dyDescent="0.25">
      <c r="A24" s="26">
        <v>22</v>
      </c>
      <c r="B24" s="27">
        <v>1.2E-2</v>
      </c>
      <c r="C24" s="27">
        <v>0.01</v>
      </c>
      <c r="D24" s="27">
        <v>9.1716898998013933E-3</v>
      </c>
      <c r="E24" s="27">
        <v>6.3714435099612504E-3</v>
      </c>
    </row>
    <row r="25" spans="1:5" x14ac:dyDescent="0.25">
      <c r="A25" s="26">
        <v>23</v>
      </c>
      <c r="B25" s="27">
        <v>1.2E-2</v>
      </c>
      <c r="C25" s="27">
        <v>0.01</v>
      </c>
      <c r="D25" s="27">
        <v>9.1716898998013933E-3</v>
      </c>
      <c r="E25" s="27">
        <v>6.3714435099612504E-3</v>
      </c>
    </row>
    <row r="26" spans="1:5" x14ac:dyDescent="0.25">
      <c r="A26" s="26">
        <v>24</v>
      </c>
      <c r="B26" s="27">
        <v>1.2E-2</v>
      </c>
      <c r="C26" s="27">
        <v>0.01</v>
      </c>
      <c r="D26" s="27">
        <v>9.1716898998013933E-3</v>
      </c>
      <c r="E26" s="27">
        <v>6.3714435099612504E-3</v>
      </c>
    </row>
    <row r="27" spans="1:5" x14ac:dyDescent="0.25">
      <c r="A27" s="26">
        <v>25</v>
      </c>
      <c r="B27" s="27">
        <v>1.2E-2</v>
      </c>
      <c r="C27" s="27">
        <v>0.01</v>
      </c>
      <c r="D27" s="27">
        <v>9.1716898998013933E-3</v>
      </c>
      <c r="E27" s="27">
        <v>6.3714435099612504E-3</v>
      </c>
    </row>
    <row r="28" spans="1:5" x14ac:dyDescent="0.25">
      <c r="A28" s="26">
        <v>26</v>
      </c>
      <c r="B28" s="27">
        <v>1.2E-2</v>
      </c>
      <c r="C28" s="27">
        <v>0.01</v>
      </c>
      <c r="D28" s="27">
        <v>9.1716898998013933E-3</v>
      </c>
      <c r="E28" s="27">
        <v>6.3714435099612504E-3</v>
      </c>
    </row>
    <row r="29" spans="1:5" x14ac:dyDescent="0.25">
      <c r="A29" s="26">
        <v>27</v>
      </c>
      <c r="B29" s="27">
        <v>1.2E-2</v>
      </c>
      <c r="C29" s="27">
        <v>0.01</v>
      </c>
      <c r="D29" s="27">
        <v>9.1716898998013933E-3</v>
      </c>
      <c r="E29" s="27">
        <v>6.3714435099612504E-3</v>
      </c>
    </row>
    <row r="30" spans="1:5" x14ac:dyDescent="0.25">
      <c r="A30" s="26">
        <v>28</v>
      </c>
      <c r="B30" s="27">
        <v>1.2E-2</v>
      </c>
      <c r="C30" s="27">
        <v>0.01</v>
      </c>
      <c r="D30" s="27">
        <v>9.1716898998013933E-3</v>
      </c>
      <c r="E30" s="27">
        <v>6.3714435099612504E-3</v>
      </c>
    </row>
    <row r="31" spans="1:5" x14ac:dyDescent="0.25">
      <c r="A31" s="26">
        <v>29</v>
      </c>
      <c r="B31" s="27">
        <v>1.2E-2</v>
      </c>
      <c r="C31" s="27">
        <v>0.01</v>
      </c>
      <c r="D31" s="27">
        <v>9.1716898998013933E-3</v>
      </c>
      <c r="E31" s="27">
        <v>6.3714435099612504E-3</v>
      </c>
    </row>
    <row r="32" spans="1:5" x14ac:dyDescent="0.25">
      <c r="A32" s="26">
        <v>30</v>
      </c>
      <c r="B32" s="27">
        <v>1.2E-2</v>
      </c>
      <c r="C32" s="27">
        <v>0.01</v>
      </c>
      <c r="D32" s="27">
        <v>9.1716898998013933E-3</v>
      </c>
      <c r="E32" s="27">
        <v>6.3714435099612504E-3</v>
      </c>
    </row>
    <row r="33" spans="1:5" x14ac:dyDescent="0.25">
      <c r="A33" s="26">
        <v>31</v>
      </c>
      <c r="B33" s="27">
        <v>1.2E-2</v>
      </c>
      <c r="C33" s="27">
        <v>0.01</v>
      </c>
      <c r="D33" s="27">
        <v>9.1716898998013933E-3</v>
      </c>
      <c r="E33" s="27">
        <v>6.3714435099612504E-3</v>
      </c>
    </row>
    <row r="34" spans="1:5" x14ac:dyDescent="0.25">
      <c r="A34" s="26">
        <v>32</v>
      </c>
      <c r="B34" s="27">
        <v>1.2E-2</v>
      </c>
      <c r="C34" s="27">
        <v>0.01</v>
      </c>
      <c r="D34" s="27">
        <v>9.1716898998013933E-3</v>
      </c>
      <c r="E34" s="27">
        <v>6.3714435099612504E-3</v>
      </c>
    </row>
    <row r="35" spans="1:5" x14ac:dyDescent="0.25">
      <c r="A35" s="26">
        <v>33</v>
      </c>
      <c r="B35" s="27">
        <v>1.2E-2</v>
      </c>
      <c r="C35" s="27">
        <v>0.01</v>
      </c>
      <c r="D35" s="27">
        <v>9.1716898998013933E-3</v>
      </c>
      <c r="E35" s="27">
        <v>6.3714435099612504E-3</v>
      </c>
    </row>
    <row r="36" spans="1:5" x14ac:dyDescent="0.25">
      <c r="A36" s="26">
        <v>34</v>
      </c>
      <c r="B36" s="27">
        <v>1.2E-2</v>
      </c>
      <c r="C36" s="27">
        <v>0.01</v>
      </c>
      <c r="D36" s="27">
        <v>9.1716898998013933E-3</v>
      </c>
      <c r="E36" s="27">
        <v>6.3714435099612504E-3</v>
      </c>
    </row>
    <row r="37" spans="1:5" x14ac:dyDescent="0.25">
      <c r="A37" s="26">
        <v>35</v>
      </c>
      <c r="B37" s="27">
        <v>1.2E-2</v>
      </c>
      <c r="C37" s="27">
        <v>0.01</v>
      </c>
      <c r="D37" s="27">
        <v>9.1716898998013933E-3</v>
      </c>
      <c r="E37" s="27">
        <v>6.3714435099612504E-3</v>
      </c>
    </row>
    <row r="38" spans="1:5" x14ac:dyDescent="0.25">
      <c r="A38" s="26">
        <v>36</v>
      </c>
      <c r="B38" s="27">
        <v>1.2E-2</v>
      </c>
      <c r="C38" s="27">
        <v>0.01</v>
      </c>
      <c r="D38" s="27">
        <v>9.1716898998013933E-3</v>
      </c>
      <c r="E38" s="27">
        <v>6.3714435099612504E-3</v>
      </c>
    </row>
    <row r="39" spans="1:5" x14ac:dyDescent="0.25">
      <c r="A39" s="26">
        <v>37</v>
      </c>
      <c r="B39" s="27">
        <v>1.2E-2</v>
      </c>
      <c r="C39" s="27">
        <v>0.01</v>
      </c>
      <c r="D39" s="27">
        <v>9.1716898998013933E-3</v>
      </c>
      <c r="E39" s="27">
        <v>6.3714435099612504E-3</v>
      </c>
    </row>
    <row r="40" spans="1:5" x14ac:dyDescent="0.25">
      <c r="A40" s="26">
        <v>38</v>
      </c>
      <c r="B40" s="27">
        <v>1.2E-2</v>
      </c>
      <c r="C40" s="27">
        <v>0.01</v>
      </c>
      <c r="D40" s="27">
        <v>9.1716898998013933E-3</v>
      </c>
      <c r="E40" s="27">
        <v>6.3714435099612504E-3</v>
      </c>
    </row>
    <row r="41" spans="1:5" x14ac:dyDescent="0.25">
      <c r="A41" s="26">
        <v>39</v>
      </c>
      <c r="B41" s="27">
        <v>1.2E-2</v>
      </c>
      <c r="C41" s="27">
        <v>0.01</v>
      </c>
      <c r="D41" s="27">
        <v>9.1716898998013933E-3</v>
      </c>
      <c r="E41" s="27">
        <v>6.3714435099612504E-3</v>
      </c>
    </row>
    <row r="42" spans="1:5" x14ac:dyDescent="0.25">
      <c r="A42" s="26">
        <v>40</v>
      </c>
      <c r="B42" s="27">
        <v>1.2E-2</v>
      </c>
      <c r="C42" s="27">
        <v>0.01</v>
      </c>
      <c r="D42" s="27">
        <v>9.1716898998013933E-3</v>
      </c>
      <c r="E42" s="27">
        <v>6.3714435099612504E-3</v>
      </c>
    </row>
    <row r="43" spans="1:5" x14ac:dyDescent="0.25">
      <c r="A43" s="26">
        <v>41</v>
      </c>
      <c r="B43" s="27">
        <v>1.2E-2</v>
      </c>
      <c r="C43" s="27">
        <v>0.01</v>
      </c>
      <c r="D43" s="27">
        <v>9.1716898998013933E-3</v>
      </c>
      <c r="E43" s="27">
        <v>6.3714435099612504E-3</v>
      </c>
    </row>
    <row r="44" spans="1:5" x14ac:dyDescent="0.25">
      <c r="A44" s="26">
        <v>42</v>
      </c>
      <c r="B44" s="27">
        <v>1.2E-2</v>
      </c>
      <c r="C44" s="27">
        <v>0.01</v>
      </c>
      <c r="D44" s="27">
        <v>9.1716898998013933E-3</v>
      </c>
      <c r="E44" s="27">
        <v>6.3714435099612504E-3</v>
      </c>
    </row>
    <row r="45" spans="1:5" x14ac:dyDescent="0.25">
      <c r="A45" s="26">
        <v>43</v>
      </c>
      <c r="B45" s="27">
        <v>1.2E-2</v>
      </c>
      <c r="C45" s="27">
        <v>0.01</v>
      </c>
      <c r="D45" s="27">
        <v>9.1716898998013933E-3</v>
      </c>
      <c r="E45" s="27">
        <v>6.3714435099612504E-3</v>
      </c>
    </row>
    <row r="46" spans="1:5" x14ac:dyDescent="0.25">
      <c r="A46" s="26">
        <v>44</v>
      </c>
      <c r="B46" s="27">
        <v>1.2E-2</v>
      </c>
      <c r="C46" s="27">
        <v>0.01</v>
      </c>
      <c r="D46" s="27">
        <v>9.1716898998013933E-3</v>
      </c>
      <c r="E46" s="27">
        <v>6.3714435099612504E-3</v>
      </c>
    </row>
    <row r="47" spans="1:5" x14ac:dyDescent="0.25">
      <c r="A47" s="26">
        <v>45</v>
      </c>
      <c r="B47" s="27">
        <v>1.2E-2</v>
      </c>
      <c r="C47" s="27">
        <v>0.01</v>
      </c>
      <c r="D47" s="27">
        <v>9.1716898998013933E-3</v>
      </c>
      <c r="E47" s="27">
        <v>6.3714435099612504E-3</v>
      </c>
    </row>
    <row r="48" spans="1:5" x14ac:dyDescent="0.25">
      <c r="A48" s="26">
        <v>46</v>
      </c>
      <c r="B48" s="27">
        <v>1.2E-2</v>
      </c>
      <c r="C48" s="27">
        <v>0.01</v>
      </c>
      <c r="D48" s="27">
        <v>9.1716898998013933E-3</v>
      </c>
      <c r="E48" s="27">
        <v>6.3714435099612504E-3</v>
      </c>
    </row>
    <row r="49" spans="1:5" x14ac:dyDescent="0.25">
      <c r="A49" s="26">
        <v>47</v>
      </c>
      <c r="B49" s="27">
        <v>1.2E-2</v>
      </c>
      <c r="C49" s="27">
        <v>0.01</v>
      </c>
      <c r="D49" s="27">
        <v>9.1716898998013933E-3</v>
      </c>
      <c r="E49" s="27">
        <v>6.3714435099612504E-3</v>
      </c>
    </row>
    <row r="50" spans="1:5" x14ac:dyDescent="0.25">
      <c r="A50" s="26">
        <v>48</v>
      </c>
      <c r="B50" s="27">
        <v>1.2E-2</v>
      </c>
      <c r="C50" s="27">
        <v>0.01</v>
      </c>
      <c r="D50" s="27">
        <v>9.1716898998013933E-3</v>
      </c>
      <c r="E50" s="27">
        <v>6.3714435099612504E-3</v>
      </c>
    </row>
    <row r="51" spans="1:5" x14ac:dyDescent="0.25">
      <c r="A51" s="26">
        <v>49</v>
      </c>
      <c r="B51" s="27">
        <v>1.2E-2</v>
      </c>
      <c r="C51" s="27">
        <v>0.01</v>
      </c>
      <c r="D51" s="27">
        <v>9.1716898998013933E-3</v>
      </c>
      <c r="E51" s="27">
        <v>6.3714435099612504E-3</v>
      </c>
    </row>
    <row r="52" spans="1:5" x14ac:dyDescent="0.25">
      <c r="A52" s="26">
        <v>50</v>
      </c>
      <c r="B52" s="27">
        <v>1.2E-2</v>
      </c>
      <c r="C52" s="27">
        <v>0.01</v>
      </c>
      <c r="D52" s="27">
        <v>9.1716898998013933E-3</v>
      </c>
      <c r="E52" s="27">
        <v>6.3714435099612504E-3</v>
      </c>
    </row>
    <row r="53" spans="1:5" x14ac:dyDescent="0.25">
      <c r="A53" s="26">
        <v>51</v>
      </c>
      <c r="B53" s="27">
        <v>1.2E-2</v>
      </c>
      <c r="C53" s="27">
        <v>0.01</v>
      </c>
      <c r="D53" s="27">
        <v>9.1716898998013933E-3</v>
      </c>
      <c r="E53" s="27">
        <v>6.3714435099612504E-3</v>
      </c>
    </row>
    <row r="54" spans="1:5" x14ac:dyDescent="0.25">
      <c r="A54" s="26">
        <v>52</v>
      </c>
      <c r="B54" s="27">
        <v>1.2E-2</v>
      </c>
      <c r="C54" s="27">
        <v>0.01</v>
      </c>
      <c r="D54" s="27">
        <v>9.1716898998013933E-3</v>
      </c>
      <c r="E54" s="27">
        <v>6.3714435099612504E-3</v>
      </c>
    </row>
    <row r="55" spans="1:5" x14ac:dyDescent="0.25">
      <c r="A55" s="26">
        <v>53</v>
      </c>
      <c r="B55" s="27">
        <v>1.2E-2</v>
      </c>
      <c r="C55" s="27">
        <v>0.01</v>
      </c>
      <c r="D55" s="27">
        <v>9.1716898998013933E-3</v>
      </c>
      <c r="E55" s="27">
        <v>6.3714435099612504E-3</v>
      </c>
    </row>
    <row r="56" spans="1:5" x14ac:dyDescent="0.25">
      <c r="A56" s="26">
        <v>54</v>
      </c>
      <c r="B56" s="27">
        <v>1.2E-2</v>
      </c>
      <c r="C56" s="27">
        <v>0.01</v>
      </c>
      <c r="D56" s="27">
        <v>9.1716898998013933E-3</v>
      </c>
      <c r="E56" s="27">
        <v>6.3714435099612504E-3</v>
      </c>
    </row>
    <row r="57" spans="1:5" x14ac:dyDescent="0.25">
      <c r="A57" s="26">
        <v>55</v>
      </c>
      <c r="B57" s="27">
        <v>1.2E-2</v>
      </c>
      <c r="C57" s="27">
        <v>0.01</v>
      </c>
      <c r="D57" s="27">
        <v>9.1716898998013933E-3</v>
      </c>
      <c r="E57" s="27">
        <v>6.3714435099612504E-3</v>
      </c>
    </row>
    <row r="58" spans="1:5" x14ac:dyDescent="0.25">
      <c r="A58" s="26">
        <v>56</v>
      </c>
      <c r="B58" s="27">
        <v>1.2E-2</v>
      </c>
      <c r="C58" s="27">
        <v>0.01</v>
      </c>
      <c r="D58" s="27">
        <v>9.1716898998013933E-3</v>
      </c>
      <c r="E58" s="27">
        <v>6.3714435099612504E-3</v>
      </c>
    </row>
    <row r="59" spans="1:5" x14ac:dyDescent="0.25">
      <c r="A59" s="26">
        <v>57</v>
      </c>
      <c r="B59" s="27">
        <v>1.2E-2</v>
      </c>
      <c r="C59" s="27">
        <v>0.01</v>
      </c>
      <c r="D59" s="27">
        <v>9.1716898998013933E-3</v>
      </c>
      <c r="E59" s="27">
        <v>6.3714435099612504E-3</v>
      </c>
    </row>
    <row r="60" spans="1:5" x14ac:dyDescent="0.25">
      <c r="A60" s="26">
        <v>58</v>
      </c>
      <c r="B60" s="27">
        <v>1.2E-2</v>
      </c>
      <c r="C60" s="27">
        <v>0.01</v>
      </c>
      <c r="D60" s="27">
        <v>9.1716898998013933E-3</v>
      </c>
      <c r="E60" s="27">
        <v>6.3714435099612504E-3</v>
      </c>
    </row>
    <row r="61" spans="1:5" x14ac:dyDescent="0.25">
      <c r="A61" s="26">
        <v>59</v>
      </c>
      <c r="B61" s="27">
        <v>1.2E-2</v>
      </c>
      <c r="C61" s="27">
        <v>0.01</v>
      </c>
      <c r="D61" s="27">
        <v>9.1716898998013933E-3</v>
      </c>
      <c r="E61" s="27">
        <v>6.3714435099612504E-3</v>
      </c>
    </row>
    <row r="62" spans="1:5" x14ac:dyDescent="0.25">
      <c r="A62" s="26">
        <v>60</v>
      </c>
      <c r="B62" s="27">
        <v>1.2E-2</v>
      </c>
      <c r="C62" s="27">
        <v>0.01</v>
      </c>
      <c r="D62" s="27">
        <v>9.1716898998013933E-3</v>
      </c>
      <c r="E62" s="27">
        <v>6.3714435099612504E-3</v>
      </c>
    </row>
    <row r="63" spans="1:5" x14ac:dyDescent="0.25">
      <c r="A63" s="26">
        <v>61</v>
      </c>
      <c r="B63" s="27">
        <v>1.2E-2</v>
      </c>
      <c r="C63" s="27">
        <v>0.01</v>
      </c>
      <c r="D63" s="27">
        <v>9.1716898998013933E-3</v>
      </c>
      <c r="E63" s="27">
        <v>6.3714435099612504E-3</v>
      </c>
    </row>
    <row r="64" spans="1:5" x14ac:dyDescent="0.25">
      <c r="A64" s="26">
        <v>62</v>
      </c>
      <c r="B64" s="27">
        <v>1.2E-2</v>
      </c>
      <c r="C64" s="27">
        <v>0.01</v>
      </c>
      <c r="D64" s="27">
        <v>9.1716898998013933E-3</v>
      </c>
      <c r="E64" s="27">
        <v>6.3714435099612504E-3</v>
      </c>
    </row>
    <row r="65" spans="1:5" x14ac:dyDescent="0.25">
      <c r="A65" s="26">
        <v>63</v>
      </c>
      <c r="B65" s="27">
        <v>1.2E-2</v>
      </c>
      <c r="C65" s="27">
        <v>0.01</v>
      </c>
      <c r="D65" s="27">
        <v>9.1716898998013933E-3</v>
      </c>
      <c r="E65" s="27">
        <v>6.3714435099612504E-3</v>
      </c>
    </row>
    <row r="66" spans="1:5" x14ac:dyDescent="0.25">
      <c r="A66" s="26">
        <v>64</v>
      </c>
      <c r="B66" s="27">
        <v>1.2E-2</v>
      </c>
      <c r="C66" s="27">
        <v>0.01</v>
      </c>
      <c r="D66" s="27">
        <v>9.1716898998013933E-3</v>
      </c>
      <c r="E66" s="27">
        <v>6.3714435099612504E-3</v>
      </c>
    </row>
    <row r="67" spans="1:5" x14ac:dyDescent="0.25">
      <c r="A67" s="26">
        <v>65</v>
      </c>
      <c r="B67" s="27">
        <v>1.2E-2</v>
      </c>
      <c r="C67" s="27">
        <v>0.01</v>
      </c>
      <c r="D67" s="27">
        <v>9.1716898998013933E-3</v>
      </c>
      <c r="E67" s="27">
        <v>6.3714435099612504E-3</v>
      </c>
    </row>
    <row r="68" spans="1:5" x14ac:dyDescent="0.25">
      <c r="A68" s="26">
        <v>66</v>
      </c>
      <c r="B68" s="27">
        <v>1.2E-2</v>
      </c>
      <c r="C68" s="27">
        <v>0.01</v>
      </c>
      <c r="D68" s="27">
        <v>9.1716898998013933E-3</v>
      </c>
      <c r="E68" s="27">
        <v>6.3714435099612504E-3</v>
      </c>
    </row>
    <row r="69" spans="1:5" x14ac:dyDescent="0.25">
      <c r="A69" s="26">
        <v>67</v>
      </c>
      <c r="B69" s="27">
        <v>1.2E-2</v>
      </c>
      <c r="C69" s="27">
        <v>0.01</v>
      </c>
      <c r="D69" s="27">
        <v>9.1716898998013933E-3</v>
      </c>
      <c r="E69" s="27">
        <v>6.3714435099612504E-3</v>
      </c>
    </row>
    <row r="70" spans="1:5" x14ac:dyDescent="0.25">
      <c r="A70" s="26">
        <v>68</v>
      </c>
      <c r="B70" s="27">
        <v>1.2E-2</v>
      </c>
      <c r="C70" s="27">
        <v>0.01</v>
      </c>
      <c r="D70" s="27">
        <v>9.1716898998013933E-3</v>
      </c>
      <c r="E70" s="27">
        <v>6.3714435099612504E-3</v>
      </c>
    </row>
    <row r="71" spans="1:5" x14ac:dyDescent="0.25">
      <c r="A71" s="26">
        <v>69</v>
      </c>
      <c r="B71" s="27">
        <v>1.2E-2</v>
      </c>
      <c r="C71" s="27">
        <v>0.01</v>
      </c>
      <c r="D71" s="27">
        <v>9.1716898998013933E-3</v>
      </c>
      <c r="E71" s="27">
        <v>6.3714435099612504E-3</v>
      </c>
    </row>
    <row r="72" spans="1:5" x14ac:dyDescent="0.25">
      <c r="A72" s="26">
        <v>70</v>
      </c>
      <c r="B72" s="27">
        <v>1.2E-2</v>
      </c>
      <c r="C72" s="27">
        <v>0.01</v>
      </c>
      <c r="D72" s="27">
        <v>9.1716898998013933E-3</v>
      </c>
      <c r="E72" s="27">
        <v>6.3714435099612504E-3</v>
      </c>
    </row>
    <row r="73" spans="1:5" x14ac:dyDescent="0.25">
      <c r="A73" s="26">
        <v>71</v>
      </c>
      <c r="B73" s="27">
        <v>1.2E-2</v>
      </c>
      <c r="C73" s="27">
        <v>0.01</v>
      </c>
      <c r="D73" s="27">
        <v>9.1716898998013933E-3</v>
      </c>
      <c r="E73" s="27">
        <v>6.3714435099612504E-3</v>
      </c>
    </row>
    <row r="74" spans="1:5" x14ac:dyDescent="0.25">
      <c r="A74" s="26">
        <v>72</v>
      </c>
      <c r="B74" s="27">
        <v>1.2E-2</v>
      </c>
      <c r="C74" s="27">
        <v>0.01</v>
      </c>
      <c r="D74" s="27">
        <v>9.1716898998013933E-3</v>
      </c>
      <c r="E74" s="27">
        <v>6.3714435099612504E-3</v>
      </c>
    </row>
    <row r="75" spans="1:5" x14ac:dyDescent="0.25">
      <c r="A75" s="26">
        <v>73</v>
      </c>
      <c r="B75" s="27">
        <v>1.2E-2</v>
      </c>
      <c r="C75" s="27">
        <v>0.01</v>
      </c>
      <c r="D75" s="27">
        <v>9.1716898998013933E-3</v>
      </c>
      <c r="E75" s="27">
        <v>6.3714435099612504E-3</v>
      </c>
    </row>
    <row r="76" spans="1:5" x14ac:dyDescent="0.25">
      <c r="A76" s="26">
        <v>74</v>
      </c>
      <c r="B76" s="27">
        <v>1.2E-2</v>
      </c>
      <c r="C76" s="27">
        <v>0.01</v>
      </c>
      <c r="D76" s="27">
        <v>9.1716898998013933E-3</v>
      </c>
      <c r="E76" s="27">
        <v>6.3714435099612504E-3</v>
      </c>
    </row>
    <row r="77" spans="1:5" x14ac:dyDescent="0.25">
      <c r="A77" s="26">
        <v>75</v>
      </c>
      <c r="B77" s="27">
        <v>1.2E-2</v>
      </c>
      <c r="C77" s="27">
        <v>0.01</v>
      </c>
      <c r="D77" s="27">
        <v>9.1716898998013933E-3</v>
      </c>
      <c r="E77" s="27">
        <v>6.3714435099612504E-3</v>
      </c>
    </row>
    <row r="78" spans="1:5" x14ac:dyDescent="0.25">
      <c r="A78" s="26">
        <v>76</v>
      </c>
      <c r="B78" s="27">
        <v>1.2E-2</v>
      </c>
      <c r="C78" s="27">
        <v>0.01</v>
      </c>
      <c r="D78" s="27">
        <v>9.1716898998013933E-3</v>
      </c>
      <c r="E78" s="27">
        <v>6.3714435099612504E-3</v>
      </c>
    </row>
    <row r="79" spans="1:5" x14ac:dyDescent="0.25">
      <c r="A79" s="26">
        <v>77</v>
      </c>
      <c r="B79" s="27">
        <v>1.2E-2</v>
      </c>
      <c r="C79" s="27">
        <v>0.01</v>
      </c>
      <c r="D79" s="27">
        <v>9.1716898998013933E-3</v>
      </c>
      <c r="E79" s="27">
        <v>6.3714435099612504E-3</v>
      </c>
    </row>
    <row r="80" spans="1:5" x14ac:dyDescent="0.25">
      <c r="A80" s="26">
        <v>78</v>
      </c>
      <c r="B80" s="27">
        <v>1.2E-2</v>
      </c>
      <c r="C80" s="27">
        <v>0.01</v>
      </c>
      <c r="D80" s="27">
        <v>9.1716898998013933E-3</v>
      </c>
      <c r="E80" s="27">
        <v>6.3714435099612504E-3</v>
      </c>
    </row>
    <row r="81" spans="1:5" x14ac:dyDescent="0.25">
      <c r="A81" s="26">
        <v>79</v>
      </c>
      <c r="B81" s="27">
        <v>1.2E-2</v>
      </c>
      <c r="C81" s="27">
        <v>0.01</v>
      </c>
      <c r="D81" s="27">
        <v>9.1716898998013933E-3</v>
      </c>
      <c r="E81" s="27">
        <v>6.3714435099612504E-3</v>
      </c>
    </row>
    <row r="82" spans="1:5" x14ac:dyDescent="0.25">
      <c r="A82" s="26">
        <v>80</v>
      </c>
      <c r="B82" s="27">
        <v>1.2E-2</v>
      </c>
      <c r="C82" s="27">
        <v>0.01</v>
      </c>
      <c r="D82" s="27">
        <v>9.1716898998013933E-3</v>
      </c>
      <c r="E82" s="27">
        <v>6.3714435099612504E-3</v>
      </c>
    </row>
    <row r="83" spans="1:5" x14ac:dyDescent="0.25">
      <c r="A83" s="26">
        <v>81</v>
      </c>
      <c r="B83" s="27">
        <v>1.1366666666666667E-2</v>
      </c>
      <c r="C83" s="27">
        <v>9.4999999999999998E-3</v>
      </c>
      <c r="D83" s="27">
        <v>9.1716898998013933E-3</v>
      </c>
      <c r="E83" s="27">
        <v>6.3714435099612504E-3</v>
      </c>
    </row>
    <row r="84" spans="1:5" x14ac:dyDescent="0.25">
      <c r="A84" s="26">
        <v>82</v>
      </c>
      <c r="B84" s="27">
        <v>1.0733333333333334E-2</v>
      </c>
      <c r="C84" s="27">
        <v>8.9999999999999993E-3</v>
      </c>
      <c r="D84" s="27">
        <v>9.1716898998013933E-3</v>
      </c>
      <c r="E84" s="27">
        <v>6.3714435099612504E-3</v>
      </c>
    </row>
    <row r="85" spans="1:5" x14ac:dyDescent="0.25">
      <c r="A85" s="26">
        <v>83</v>
      </c>
      <c r="B85" s="27">
        <v>1.0100000000000001E-2</v>
      </c>
      <c r="C85" s="27">
        <v>8.4999999999999989E-3</v>
      </c>
      <c r="D85" s="27">
        <v>8.6951406212441504E-3</v>
      </c>
      <c r="E85" s="27">
        <v>6.0949118306783037E-3</v>
      </c>
    </row>
    <row r="86" spans="1:5" x14ac:dyDescent="0.25">
      <c r="A86" s="26">
        <v>84</v>
      </c>
      <c r="B86" s="27">
        <v>9.4666666666666684E-3</v>
      </c>
      <c r="C86" s="27">
        <v>7.9999999999999984E-3</v>
      </c>
      <c r="D86" s="27">
        <v>8.2185913426869074E-3</v>
      </c>
      <c r="E86" s="27">
        <v>5.8183801513953569E-3</v>
      </c>
    </row>
    <row r="87" spans="1:5" x14ac:dyDescent="0.25">
      <c r="A87" s="26">
        <v>85</v>
      </c>
      <c r="B87" s="27">
        <v>8.8333333333333354E-3</v>
      </c>
      <c r="C87" s="27">
        <v>7.499999999999998E-3</v>
      </c>
      <c r="D87" s="27">
        <v>7.7420420641296653E-3</v>
      </c>
      <c r="E87" s="27">
        <v>5.5418484721124102E-3</v>
      </c>
    </row>
    <row r="88" spans="1:5" x14ac:dyDescent="0.25">
      <c r="A88" s="26">
        <v>86</v>
      </c>
      <c r="B88" s="27">
        <v>8.2000000000000024E-3</v>
      </c>
      <c r="C88" s="27">
        <v>6.9999999999999975E-3</v>
      </c>
      <c r="D88" s="27">
        <v>7.2654927855724232E-3</v>
      </c>
      <c r="E88" s="27">
        <v>5.2653167928294635E-3</v>
      </c>
    </row>
    <row r="89" spans="1:5" x14ac:dyDescent="0.25">
      <c r="A89" s="26">
        <v>87</v>
      </c>
      <c r="B89" s="27">
        <v>7.5666666666666695E-3</v>
      </c>
      <c r="C89" s="27">
        <v>6.4999999999999971E-3</v>
      </c>
      <c r="D89" s="27">
        <v>6.7889435070151811E-3</v>
      </c>
      <c r="E89" s="27">
        <v>4.9887851135465167E-3</v>
      </c>
    </row>
    <row r="90" spans="1:5" x14ac:dyDescent="0.25">
      <c r="A90" s="26">
        <v>88</v>
      </c>
      <c r="B90" s="27">
        <v>6.9333333333333365E-3</v>
      </c>
      <c r="C90" s="27">
        <v>5.9999999999999967E-3</v>
      </c>
      <c r="D90" s="27">
        <v>6.312394228457939E-3</v>
      </c>
      <c r="E90" s="27">
        <v>4.71225343426357E-3</v>
      </c>
    </row>
    <row r="91" spans="1:5" x14ac:dyDescent="0.25">
      <c r="A91" s="26">
        <v>89</v>
      </c>
      <c r="B91" s="27">
        <v>6.3000000000000035E-3</v>
      </c>
      <c r="C91" s="27">
        <v>5.4999999999999962E-3</v>
      </c>
      <c r="D91" s="27">
        <v>5.8358449499006969E-3</v>
      </c>
      <c r="E91" s="27">
        <v>4.4357217549806233E-3</v>
      </c>
    </row>
    <row r="92" spans="1:5" x14ac:dyDescent="0.25">
      <c r="A92" s="26">
        <v>90</v>
      </c>
      <c r="B92" s="27">
        <v>5.6666666666666705E-3</v>
      </c>
      <c r="C92" s="27">
        <v>4.9999999999999958E-3</v>
      </c>
      <c r="D92" s="27">
        <v>5.3592956713434548E-3</v>
      </c>
      <c r="E92" s="27">
        <v>4.1591900756976765E-3</v>
      </c>
    </row>
    <row r="93" spans="1:5" x14ac:dyDescent="0.25">
      <c r="A93" s="26">
        <v>91</v>
      </c>
      <c r="B93" s="27">
        <v>5.0333333333333376E-3</v>
      </c>
      <c r="C93" s="27">
        <v>4.4999999999999953E-3</v>
      </c>
      <c r="D93" s="27">
        <v>4.8827463927862127E-3</v>
      </c>
      <c r="E93" s="27">
        <v>3.8826583964147302E-3</v>
      </c>
    </row>
    <row r="94" spans="1:5" x14ac:dyDescent="0.25">
      <c r="A94" s="26">
        <v>92</v>
      </c>
      <c r="B94" s="27">
        <v>4.4000000000000046E-3</v>
      </c>
      <c r="C94" s="27">
        <v>3.9999999999999949E-3</v>
      </c>
      <c r="D94" s="27">
        <v>4.4061971142289706E-3</v>
      </c>
      <c r="E94" s="27">
        <v>3.6061267171317839E-3</v>
      </c>
    </row>
    <row r="95" spans="1:5" x14ac:dyDescent="0.25">
      <c r="A95" s="26">
        <v>93</v>
      </c>
      <c r="B95" s="27">
        <v>3.7666666666666712E-3</v>
      </c>
      <c r="C95" s="27">
        <v>3.4999999999999949E-3</v>
      </c>
      <c r="D95" s="27">
        <v>3.9296478356717285E-3</v>
      </c>
      <c r="E95" s="27">
        <v>3.3295950378488376E-3</v>
      </c>
    </row>
    <row r="96" spans="1:5" x14ac:dyDescent="0.25">
      <c r="A96" s="26">
        <v>94</v>
      </c>
      <c r="B96" s="27">
        <v>3.1333333333333378E-3</v>
      </c>
      <c r="C96" s="27">
        <v>2.9999999999999949E-3</v>
      </c>
      <c r="D96" s="27">
        <v>3.453098557114486E-3</v>
      </c>
      <c r="E96" s="27">
        <v>3.0530633585658913E-3</v>
      </c>
    </row>
    <row r="97" spans="1:5" x14ac:dyDescent="0.25">
      <c r="A97" s="26">
        <v>95</v>
      </c>
      <c r="B97" s="27">
        <v>2.5000000000000001E-3</v>
      </c>
      <c r="C97" s="27">
        <v>2.5000000000000001E-3</v>
      </c>
      <c r="D97" s="27">
        <v>2.9765492785572435E-3</v>
      </c>
      <c r="E97" s="27">
        <v>2.776531679282945E-3</v>
      </c>
    </row>
    <row r="98" spans="1:5" x14ac:dyDescent="0.25">
      <c r="A98" s="26">
        <v>96</v>
      </c>
      <c r="B98" s="27">
        <v>2.5000000000000001E-3</v>
      </c>
      <c r="C98" s="27">
        <v>2.5000000000000001E-3</v>
      </c>
      <c r="D98" s="27">
        <v>2.5000000000000001E-3</v>
      </c>
      <c r="E98" s="27">
        <v>2.5000000000000001E-3</v>
      </c>
    </row>
    <row r="99" spans="1:5" x14ac:dyDescent="0.25">
      <c r="A99" s="26">
        <v>97</v>
      </c>
      <c r="B99" s="27">
        <v>2.5000000000000001E-3</v>
      </c>
      <c r="C99" s="27">
        <v>2.5000000000000001E-3</v>
      </c>
      <c r="D99" s="27">
        <v>2.5000000000000001E-3</v>
      </c>
      <c r="E99" s="27">
        <v>2.5000000000000001E-3</v>
      </c>
    </row>
    <row r="100" spans="1:5" x14ac:dyDescent="0.25">
      <c r="A100" s="26">
        <v>98</v>
      </c>
      <c r="B100" s="27">
        <v>2.5000000000000001E-3</v>
      </c>
      <c r="C100" s="27">
        <v>2.5000000000000001E-3</v>
      </c>
      <c r="D100" s="27">
        <v>2.5000000000000001E-3</v>
      </c>
      <c r="E100" s="27">
        <v>2.5000000000000001E-3</v>
      </c>
    </row>
    <row r="101" spans="1:5" x14ac:dyDescent="0.25">
      <c r="A101" s="26">
        <v>99</v>
      </c>
      <c r="B101" s="27">
        <v>2.5000000000000001E-3</v>
      </c>
      <c r="C101" s="27">
        <v>2.5000000000000001E-3</v>
      </c>
      <c r="D101" s="27">
        <v>2.5000000000000001E-3</v>
      </c>
      <c r="E101" s="27">
        <v>2.5000000000000001E-3</v>
      </c>
    </row>
    <row r="102" spans="1:5" x14ac:dyDescent="0.25">
      <c r="A102" s="26">
        <v>100</v>
      </c>
      <c r="B102" s="27">
        <v>2.5000000000000001E-3</v>
      </c>
      <c r="C102" s="27">
        <v>2.5000000000000001E-3</v>
      </c>
      <c r="D102" s="27">
        <v>2.5000000000000001E-3</v>
      </c>
      <c r="E102" s="27">
        <v>2.5000000000000001E-3</v>
      </c>
    </row>
    <row r="103" spans="1:5" x14ac:dyDescent="0.25">
      <c r="A103" s="26">
        <v>101</v>
      </c>
      <c r="B103" s="27">
        <v>2.5000000000000001E-3</v>
      </c>
      <c r="C103" s="27">
        <v>2.5000000000000001E-3</v>
      </c>
      <c r="D103" s="27">
        <v>2.5000000000000001E-3</v>
      </c>
      <c r="E103" s="27">
        <v>2.5000000000000001E-3</v>
      </c>
    </row>
    <row r="104" spans="1:5" x14ac:dyDescent="0.25">
      <c r="A104" s="26">
        <v>102</v>
      </c>
      <c r="B104" s="27">
        <v>2.5000000000000001E-3</v>
      </c>
      <c r="C104" s="27">
        <v>2.5000000000000001E-3</v>
      </c>
      <c r="D104" s="27">
        <v>2.5000000000000001E-3</v>
      </c>
      <c r="E104" s="27">
        <v>2.5000000000000001E-3</v>
      </c>
    </row>
    <row r="105" spans="1:5" x14ac:dyDescent="0.25">
      <c r="A105" s="26">
        <v>103</v>
      </c>
      <c r="B105" s="27">
        <v>2.5000000000000001E-3</v>
      </c>
      <c r="C105" s="27">
        <v>2.5000000000000001E-3</v>
      </c>
      <c r="D105" s="27">
        <v>2.5000000000000001E-3</v>
      </c>
      <c r="E105" s="27">
        <v>2.5000000000000001E-3</v>
      </c>
    </row>
    <row r="106" spans="1:5" x14ac:dyDescent="0.25">
      <c r="A106" s="26">
        <v>104</v>
      </c>
      <c r="B106" s="27">
        <v>2.5000000000000001E-3</v>
      </c>
      <c r="C106" s="27">
        <v>2.5000000000000001E-3</v>
      </c>
      <c r="D106" s="27">
        <v>2.5000000000000001E-3</v>
      </c>
      <c r="E106" s="27">
        <v>2.5000000000000001E-3</v>
      </c>
    </row>
    <row r="107" spans="1:5" x14ac:dyDescent="0.25">
      <c r="A107" s="26">
        <v>105</v>
      </c>
      <c r="B107" s="27">
        <v>2.5000000000000001E-3</v>
      </c>
      <c r="C107" s="27">
        <v>2.5000000000000001E-3</v>
      </c>
      <c r="D107" s="27">
        <v>2.5000000000000001E-3</v>
      </c>
      <c r="E107" s="27">
        <v>2.5000000000000001E-3</v>
      </c>
    </row>
    <row r="108" spans="1:5" x14ac:dyDescent="0.25">
      <c r="A108" s="26">
        <v>106</v>
      </c>
      <c r="B108" s="27">
        <v>2.5000000000000001E-3</v>
      </c>
      <c r="C108" s="27">
        <v>2.5000000000000001E-3</v>
      </c>
      <c r="D108" s="27">
        <v>2.5000000000000001E-3</v>
      </c>
      <c r="E108" s="27">
        <v>2.5000000000000001E-3</v>
      </c>
    </row>
    <row r="109" spans="1:5" x14ac:dyDescent="0.25">
      <c r="A109" s="26">
        <v>107</v>
      </c>
      <c r="B109" s="27">
        <v>2.5000000000000001E-3</v>
      </c>
      <c r="C109" s="27">
        <v>2.5000000000000001E-3</v>
      </c>
      <c r="D109" s="27">
        <v>2.5000000000000001E-3</v>
      </c>
      <c r="E109" s="27">
        <v>2.5000000000000001E-3</v>
      </c>
    </row>
    <row r="110" spans="1:5" x14ac:dyDescent="0.25">
      <c r="A110" s="26">
        <v>108</v>
      </c>
      <c r="B110" s="27">
        <v>2.5000000000000001E-3</v>
      </c>
      <c r="C110" s="27">
        <v>2.5000000000000001E-3</v>
      </c>
      <c r="D110" s="27">
        <v>2.5000000000000001E-3</v>
      </c>
      <c r="E110" s="27">
        <v>2.5000000000000001E-3</v>
      </c>
    </row>
    <row r="111" spans="1:5" x14ac:dyDescent="0.25">
      <c r="A111" s="26">
        <v>109</v>
      </c>
      <c r="B111" s="27">
        <v>2.5000000000000001E-3</v>
      </c>
      <c r="C111" s="27">
        <v>2.5000000000000001E-3</v>
      </c>
      <c r="D111" s="27">
        <v>2.5000000000000001E-3</v>
      </c>
      <c r="E111" s="27">
        <v>2.5000000000000001E-3</v>
      </c>
    </row>
    <row r="112" spans="1:5" x14ac:dyDescent="0.25">
      <c r="A112" s="26">
        <v>110</v>
      </c>
      <c r="B112" s="27">
        <v>2.5000000000000001E-3</v>
      </c>
      <c r="C112" s="27">
        <v>2.5000000000000001E-3</v>
      </c>
      <c r="D112" s="27">
        <v>2.5000000000000001E-3</v>
      </c>
      <c r="E112" s="27">
        <v>2.5000000000000001E-3</v>
      </c>
    </row>
    <row r="113" spans="1:5" x14ac:dyDescent="0.25">
      <c r="A113" s="26">
        <v>111</v>
      </c>
      <c r="B113" s="27">
        <v>2.5000000000000001E-3</v>
      </c>
      <c r="C113" s="27">
        <v>2.5000000000000001E-3</v>
      </c>
      <c r="D113" s="27">
        <v>2.5000000000000001E-3</v>
      </c>
      <c r="E113" s="27">
        <v>2.5000000000000001E-3</v>
      </c>
    </row>
    <row r="114" spans="1:5" x14ac:dyDescent="0.25">
      <c r="A114" s="26">
        <v>112</v>
      </c>
      <c r="B114" s="27">
        <v>2.5000000000000001E-3</v>
      </c>
      <c r="C114" s="27">
        <v>2.5000000000000001E-3</v>
      </c>
      <c r="D114" s="27">
        <v>2.5000000000000001E-3</v>
      </c>
      <c r="E114" s="27">
        <v>2.5000000000000001E-3</v>
      </c>
    </row>
    <row r="115" spans="1:5" x14ac:dyDescent="0.25">
      <c r="A115" s="26">
        <v>113</v>
      </c>
      <c r="B115" s="27">
        <v>2.5000000000000001E-3</v>
      </c>
      <c r="C115" s="27">
        <v>2.5000000000000001E-3</v>
      </c>
      <c r="D115" s="27">
        <v>2.5000000000000001E-3</v>
      </c>
      <c r="E115" s="27">
        <v>2.5000000000000001E-3</v>
      </c>
    </row>
    <row r="116" spans="1:5" x14ac:dyDescent="0.25">
      <c r="A116" s="26">
        <v>114</v>
      </c>
      <c r="B116" s="27">
        <v>2.5000000000000001E-3</v>
      </c>
      <c r="C116" s="27">
        <v>2.5000000000000001E-3</v>
      </c>
      <c r="D116" s="27">
        <v>2.5000000000000001E-3</v>
      </c>
      <c r="E116" s="27">
        <v>2.5000000000000001E-3</v>
      </c>
    </row>
    <row r="117" spans="1:5" x14ac:dyDescent="0.25">
      <c r="A117" s="26">
        <v>115</v>
      </c>
      <c r="B117" s="27">
        <v>2.5000000000000001E-3</v>
      </c>
      <c r="C117" s="27">
        <v>2.5000000000000001E-3</v>
      </c>
      <c r="D117" s="27">
        <v>2.5000000000000001E-3</v>
      </c>
      <c r="E117" s="27">
        <v>2.5000000000000001E-3</v>
      </c>
    </row>
    <row r="118" spans="1:5" x14ac:dyDescent="0.25">
      <c r="A118" s="26">
        <v>116</v>
      </c>
      <c r="B118" s="27">
        <v>2.5000000000000001E-3</v>
      </c>
      <c r="C118" s="27">
        <v>2.5000000000000001E-3</v>
      </c>
      <c r="D118" s="27">
        <v>2.5000000000000001E-3</v>
      </c>
      <c r="E118" s="27">
        <v>2.5000000000000001E-3</v>
      </c>
    </row>
    <row r="119" spans="1:5" x14ac:dyDescent="0.25">
      <c r="A119" s="26">
        <v>117</v>
      </c>
      <c r="B119" s="27">
        <v>2.5000000000000001E-3</v>
      </c>
      <c r="C119" s="27">
        <v>2.5000000000000001E-3</v>
      </c>
      <c r="D119" s="27">
        <v>2.5000000000000001E-3</v>
      </c>
      <c r="E119" s="27">
        <v>2.5000000000000001E-3</v>
      </c>
    </row>
    <row r="120" spans="1:5" x14ac:dyDescent="0.25">
      <c r="A120" s="26">
        <v>118</v>
      </c>
      <c r="B120" s="27">
        <v>2.5000000000000001E-3</v>
      </c>
      <c r="C120" s="27">
        <v>2.5000000000000001E-3</v>
      </c>
      <c r="D120" s="27">
        <v>2.5000000000000001E-3</v>
      </c>
      <c r="E120" s="27">
        <v>2.5000000000000001E-3</v>
      </c>
    </row>
    <row r="121" spans="1:5" x14ac:dyDescent="0.25">
      <c r="A121" s="26">
        <v>119</v>
      </c>
      <c r="B121" s="27">
        <v>2.5000000000000001E-3</v>
      </c>
      <c r="C121" s="27">
        <v>2.5000000000000001E-3</v>
      </c>
      <c r="D121" s="27">
        <v>2.5000000000000001E-3</v>
      </c>
      <c r="E121" s="27">
        <v>2.5000000000000001E-3</v>
      </c>
    </row>
    <row r="122" spans="1:5" x14ac:dyDescent="0.25">
      <c r="A122" s="26">
        <v>120</v>
      </c>
      <c r="B122" s="26">
        <v>2.5000000000000001E-3</v>
      </c>
      <c r="C122" s="26">
        <v>2.5000000000000001E-3</v>
      </c>
      <c r="D122" s="27">
        <v>2.5000000000000001E-3</v>
      </c>
      <c r="E122" s="27">
        <v>2.5000000000000001E-3</v>
      </c>
    </row>
    <row r="123" spans="1:5" x14ac:dyDescent="0.25">
      <c r="A123" s="26">
        <v>121</v>
      </c>
      <c r="B123" s="26">
        <v>2.5000000000000001E-3</v>
      </c>
      <c r="C123" s="26">
        <v>2.5000000000000001E-3</v>
      </c>
      <c r="D123" s="27">
        <v>2.5000000000000001E-3</v>
      </c>
      <c r="E123" s="27">
        <v>2.5000000000000001E-3</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2"/>
  <sheetViews>
    <sheetView workbookViewId="0">
      <selection activeCell="E5" sqref="E5"/>
    </sheetView>
  </sheetViews>
  <sheetFormatPr defaultRowHeight="15" x14ac:dyDescent="0.25"/>
  <cols>
    <col min="1" max="1" width="7.140625" customWidth="1"/>
    <col min="2" max="2" width="22.5703125" style="1" customWidth="1"/>
    <col min="3" max="3" width="15.28515625" customWidth="1"/>
    <col min="4" max="4" width="12.7109375" customWidth="1"/>
    <col min="5" max="5" width="14.7109375" customWidth="1"/>
    <col min="6" max="6" width="10.85546875" customWidth="1"/>
    <col min="7" max="7" width="9.140625" customWidth="1"/>
    <col min="8" max="8" width="5.5703125" customWidth="1"/>
    <col min="9" max="9" width="7.7109375" customWidth="1"/>
    <col min="11" max="11" width="11.5703125" customWidth="1"/>
  </cols>
  <sheetData>
    <row r="1" spans="1:11" x14ac:dyDescent="0.25">
      <c r="A1" s="8" t="s">
        <v>84</v>
      </c>
    </row>
    <row r="2" spans="1:11" x14ac:dyDescent="0.25">
      <c r="G2" s="318" t="s">
        <v>96</v>
      </c>
      <c r="H2" s="319"/>
      <c r="I2" s="319"/>
      <c r="J2" s="320"/>
    </row>
    <row r="3" spans="1:11" s="11" customFormat="1" ht="45" x14ac:dyDescent="0.25">
      <c r="A3" s="7" t="s">
        <v>67</v>
      </c>
      <c r="B3" s="16" t="s">
        <v>68</v>
      </c>
      <c r="C3" s="7" t="s">
        <v>69</v>
      </c>
      <c r="D3" s="7" t="s">
        <v>50</v>
      </c>
      <c r="E3" s="7" t="s">
        <v>51</v>
      </c>
      <c r="F3" s="16" t="s">
        <v>71</v>
      </c>
      <c r="G3" s="7" t="s">
        <v>94</v>
      </c>
      <c r="H3" s="7" t="s">
        <v>95</v>
      </c>
      <c r="I3" s="7" t="s">
        <v>2</v>
      </c>
      <c r="J3" s="16" t="s">
        <v>60</v>
      </c>
      <c r="K3" s="16" t="s">
        <v>97</v>
      </c>
    </row>
    <row r="4" spans="1:11" s="1" customFormat="1" ht="120" x14ac:dyDescent="0.25">
      <c r="A4" s="15" t="s">
        <v>62</v>
      </c>
      <c r="B4" s="15" t="s">
        <v>99</v>
      </c>
      <c r="C4" s="15" t="s">
        <v>70</v>
      </c>
      <c r="D4" s="15" t="s">
        <v>118</v>
      </c>
      <c r="E4" s="15" t="s">
        <v>116</v>
      </c>
      <c r="F4" s="15" t="s">
        <v>117</v>
      </c>
      <c r="G4" s="15">
        <v>1</v>
      </c>
      <c r="H4" s="15">
        <v>1</v>
      </c>
      <c r="I4" s="15">
        <v>1</v>
      </c>
      <c r="J4" s="15">
        <v>1</v>
      </c>
      <c r="K4" s="15">
        <v>0</v>
      </c>
    </row>
    <row r="5" spans="1:11" ht="120" x14ac:dyDescent="0.25">
      <c r="A5" s="6" t="s">
        <v>63</v>
      </c>
      <c r="B5" s="15" t="s">
        <v>72</v>
      </c>
      <c r="C5" s="6" t="s">
        <v>73</v>
      </c>
      <c r="D5" s="15" t="s">
        <v>118</v>
      </c>
      <c r="E5" s="15" t="s">
        <v>116</v>
      </c>
      <c r="F5" s="15" t="s">
        <v>117</v>
      </c>
      <c r="G5" s="6">
        <v>0</v>
      </c>
      <c r="H5" s="6">
        <v>1</v>
      </c>
      <c r="I5" s="6">
        <v>1</v>
      </c>
      <c r="J5" s="6">
        <v>1</v>
      </c>
      <c r="K5" s="6">
        <v>0</v>
      </c>
    </row>
    <row r="6" spans="1:11" ht="60" x14ac:dyDescent="0.25">
      <c r="A6" s="6" t="s">
        <v>64</v>
      </c>
      <c r="B6" s="15" t="s">
        <v>74</v>
      </c>
      <c r="C6" s="15" t="s">
        <v>70</v>
      </c>
      <c r="D6" s="15" t="s">
        <v>73</v>
      </c>
      <c r="E6" s="15" t="s">
        <v>116</v>
      </c>
      <c r="F6" s="15" t="s">
        <v>117</v>
      </c>
      <c r="G6" s="6">
        <v>1</v>
      </c>
      <c r="H6" s="6">
        <v>0</v>
      </c>
      <c r="I6" s="6">
        <v>1</v>
      </c>
      <c r="J6" s="6">
        <v>1</v>
      </c>
      <c r="K6" s="6">
        <v>0</v>
      </c>
    </row>
    <row r="7" spans="1:11" ht="120" x14ac:dyDescent="0.25">
      <c r="A7" s="6" t="s">
        <v>65</v>
      </c>
      <c r="B7" s="15" t="s">
        <v>75</v>
      </c>
      <c r="C7" s="15" t="s">
        <v>70</v>
      </c>
      <c r="D7" s="15" t="s">
        <v>118</v>
      </c>
      <c r="E7" s="15" t="s">
        <v>73</v>
      </c>
      <c r="F7" s="15" t="s">
        <v>117</v>
      </c>
      <c r="G7" s="6">
        <v>1</v>
      </c>
      <c r="H7" s="6">
        <v>1</v>
      </c>
      <c r="I7" s="6">
        <v>0</v>
      </c>
      <c r="J7" s="6">
        <v>1</v>
      </c>
      <c r="K7" s="6">
        <v>0</v>
      </c>
    </row>
    <row r="8" spans="1:11" ht="120" x14ac:dyDescent="0.25">
      <c r="A8" s="6" t="s">
        <v>66</v>
      </c>
      <c r="B8" s="15" t="s">
        <v>78</v>
      </c>
      <c r="C8" s="15" t="s">
        <v>70</v>
      </c>
      <c r="D8" s="15" t="s">
        <v>118</v>
      </c>
      <c r="E8" s="15" t="s">
        <v>116</v>
      </c>
      <c r="F8" s="15" t="s">
        <v>73</v>
      </c>
      <c r="G8" s="6">
        <v>1</v>
      </c>
      <c r="H8" s="6">
        <v>1</v>
      </c>
      <c r="I8" s="6">
        <v>1</v>
      </c>
      <c r="J8" s="6">
        <v>0</v>
      </c>
      <c r="K8" s="6">
        <v>0</v>
      </c>
    </row>
    <row r="9" spans="1:11" ht="60" x14ac:dyDescent="0.25">
      <c r="A9" s="6" t="s">
        <v>76</v>
      </c>
      <c r="B9" s="15" t="s">
        <v>98</v>
      </c>
      <c r="C9" s="15" t="s">
        <v>73</v>
      </c>
      <c r="D9" s="15" t="s">
        <v>73</v>
      </c>
      <c r="E9" s="15" t="s">
        <v>73</v>
      </c>
      <c r="F9" s="15" t="s">
        <v>73</v>
      </c>
      <c r="G9" s="6">
        <v>0</v>
      </c>
      <c r="H9" s="6">
        <v>0</v>
      </c>
      <c r="I9" s="6">
        <v>0</v>
      </c>
      <c r="J9" s="6">
        <v>0</v>
      </c>
      <c r="K9" s="6">
        <v>0</v>
      </c>
    </row>
    <row r="10" spans="1:11" ht="120" x14ac:dyDescent="0.25">
      <c r="A10" s="15" t="s">
        <v>81</v>
      </c>
      <c r="B10" s="15" t="s">
        <v>79</v>
      </c>
      <c r="C10" s="15" t="s">
        <v>70</v>
      </c>
      <c r="D10" s="15" t="s">
        <v>118</v>
      </c>
      <c r="E10" s="15" t="s">
        <v>116</v>
      </c>
      <c r="F10" s="15" t="s">
        <v>117</v>
      </c>
      <c r="G10" s="15">
        <v>1</v>
      </c>
      <c r="H10" s="6">
        <v>1</v>
      </c>
      <c r="I10" s="6">
        <v>1</v>
      </c>
      <c r="J10" s="24">
        <v>1</v>
      </c>
      <c r="K10" s="24">
        <v>0</v>
      </c>
    </row>
    <row r="11" spans="1:11" ht="120" x14ac:dyDescent="0.25">
      <c r="A11" s="6" t="s">
        <v>82</v>
      </c>
      <c r="B11" s="15" t="s">
        <v>80</v>
      </c>
      <c r="C11" s="15" t="s">
        <v>70</v>
      </c>
      <c r="D11" s="15" t="s">
        <v>118</v>
      </c>
      <c r="E11" s="15" t="s">
        <v>116</v>
      </c>
      <c r="F11" s="15" t="s">
        <v>117</v>
      </c>
      <c r="G11" s="6">
        <v>1</v>
      </c>
      <c r="H11" s="6">
        <v>1</v>
      </c>
      <c r="I11" s="6">
        <v>1</v>
      </c>
      <c r="J11" s="6">
        <v>1</v>
      </c>
      <c r="K11" s="6">
        <v>1</v>
      </c>
    </row>
    <row r="12" spans="1:11" ht="120" x14ac:dyDescent="0.25">
      <c r="A12" s="6" t="s">
        <v>85</v>
      </c>
      <c r="B12" s="15" t="s">
        <v>83</v>
      </c>
      <c r="C12" s="15" t="s">
        <v>70</v>
      </c>
      <c r="D12" s="15" t="s">
        <v>118</v>
      </c>
      <c r="E12" s="15" t="s">
        <v>116</v>
      </c>
      <c r="F12" s="15" t="s">
        <v>117</v>
      </c>
      <c r="G12" s="6">
        <v>1</v>
      </c>
      <c r="H12" s="6">
        <v>1</v>
      </c>
      <c r="I12" s="6">
        <v>1</v>
      </c>
      <c r="J12" s="6">
        <v>1</v>
      </c>
      <c r="K12" s="6">
        <v>2</v>
      </c>
    </row>
  </sheetData>
  <mergeCells count="1">
    <mergeCell ref="G2:J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4D2A6-16B7-4B1B-BF8A-769700CB6977}">
  <sheetPr>
    <tabColor rgb="FFFF0000"/>
  </sheetPr>
  <dimension ref="B1:O85"/>
  <sheetViews>
    <sheetView showGridLines="0" tabSelected="1" zoomScale="80" zoomScaleNormal="80" workbookViewId="0">
      <selection activeCell="Q2" sqref="Q2"/>
    </sheetView>
  </sheetViews>
  <sheetFormatPr defaultRowHeight="15" x14ac:dyDescent="0.25"/>
  <cols>
    <col min="1" max="1" width="1.140625" customWidth="1"/>
    <col min="2" max="2" width="21" customWidth="1"/>
    <col min="3" max="3" width="79.85546875" style="210" customWidth="1"/>
    <col min="7" max="7" width="1.85546875" customWidth="1"/>
    <col min="11" max="11" width="13" customWidth="1"/>
    <col min="12" max="12" width="17.28515625" customWidth="1"/>
    <col min="13" max="13" width="16" customWidth="1"/>
    <col min="14" max="14" width="13" customWidth="1"/>
    <col min="15" max="15" width="18.7109375" customWidth="1"/>
  </cols>
  <sheetData>
    <row r="1" spans="2:15" ht="8.25" customHeight="1" x14ac:dyDescent="0.25">
      <c r="B1" s="209"/>
      <c r="C1" s="209"/>
      <c r="D1" s="209"/>
      <c r="E1" s="209"/>
      <c r="F1" s="209"/>
    </row>
    <row r="2" spans="2:15" ht="18.75" x14ac:dyDescent="0.3">
      <c r="B2" s="218" t="s">
        <v>455</v>
      </c>
      <c r="C2" s="114"/>
      <c r="D2" s="211"/>
      <c r="E2" s="211"/>
      <c r="F2" s="211"/>
      <c r="H2" s="238" t="s">
        <v>454</v>
      </c>
      <c r="I2" s="239"/>
      <c r="J2" s="217"/>
      <c r="K2" s="217"/>
      <c r="L2" s="217"/>
      <c r="M2" s="217"/>
      <c r="N2" s="217"/>
      <c r="O2" s="216"/>
    </row>
    <row r="3" spans="2:15" ht="7.5" customHeight="1" x14ac:dyDescent="0.25">
      <c r="B3" s="211"/>
      <c r="C3" s="114"/>
      <c r="D3" s="211"/>
      <c r="E3" s="211"/>
      <c r="F3" s="211"/>
      <c r="H3" s="240"/>
      <c r="I3" s="241"/>
      <c r="J3" s="215"/>
      <c r="K3" s="215"/>
      <c r="L3" s="215"/>
      <c r="M3" s="215"/>
      <c r="N3" s="215"/>
      <c r="O3" s="214"/>
    </row>
    <row r="4" spans="2:15" ht="15" customHeight="1" x14ac:dyDescent="0.25">
      <c r="B4" s="250" t="s">
        <v>516</v>
      </c>
      <c r="C4" s="250"/>
      <c r="D4" s="250"/>
      <c r="E4" s="250"/>
      <c r="F4" s="250"/>
      <c r="H4" s="242" t="s">
        <v>517</v>
      </c>
      <c r="I4" s="243"/>
      <c r="J4" s="243"/>
      <c r="K4" s="243"/>
      <c r="L4" s="243"/>
      <c r="M4" s="243"/>
      <c r="N4" s="243"/>
      <c r="O4" s="244"/>
    </row>
    <row r="5" spans="2:15" x14ac:dyDescent="0.25">
      <c r="B5" s="250"/>
      <c r="C5" s="250"/>
      <c r="D5" s="250"/>
      <c r="E5" s="250"/>
      <c r="F5" s="250"/>
      <c r="H5" s="242"/>
      <c r="I5" s="243"/>
      <c r="J5" s="243"/>
      <c r="K5" s="243"/>
      <c r="L5" s="243"/>
      <c r="M5" s="243"/>
      <c r="N5" s="243"/>
      <c r="O5" s="244"/>
    </row>
    <row r="6" spans="2:15" x14ac:dyDescent="0.25">
      <c r="B6" s="250"/>
      <c r="C6" s="250"/>
      <c r="D6" s="250"/>
      <c r="E6" s="250"/>
      <c r="F6" s="250"/>
      <c r="H6" s="242"/>
      <c r="I6" s="243"/>
      <c r="J6" s="243"/>
      <c r="K6" s="243"/>
      <c r="L6" s="243"/>
      <c r="M6" s="243"/>
      <c r="N6" s="243"/>
      <c r="O6" s="244"/>
    </row>
    <row r="7" spans="2:15" x14ac:dyDescent="0.25">
      <c r="B7" s="250"/>
      <c r="C7" s="250"/>
      <c r="D7" s="250"/>
      <c r="E7" s="250"/>
      <c r="F7" s="250"/>
      <c r="H7" s="242"/>
      <c r="I7" s="243"/>
      <c r="J7" s="243"/>
      <c r="K7" s="243"/>
      <c r="L7" s="243"/>
      <c r="M7" s="243"/>
      <c r="N7" s="243"/>
      <c r="O7" s="244"/>
    </row>
    <row r="8" spans="2:15" x14ac:dyDescent="0.25">
      <c r="B8" s="250"/>
      <c r="C8" s="250"/>
      <c r="D8" s="250"/>
      <c r="E8" s="250"/>
      <c r="F8" s="250"/>
      <c r="H8" s="242"/>
      <c r="I8" s="243"/>
      <c r="J8" s="243"/>
      <c r="K8" s="243"/>
      <c r="L8" s="243"/>
      <c r="M8" s="243"/>
      <c r="N8" s="243"/>
      <c r="O8" s="244"/>
    </row>
    <row r="9" spans="2:15" x14ac:dyDescent="0.25">
      <c r="B9" s="250"/>
      <c r="C9" s="250"/>
      <c r="D9" s="250"/>
      <c r="E9" s="250"/>
      <c r="F9" s="250"/>
      <c r="H9" s="242"/>
      <c r="I9" s="243"/>
      <c r="J9" s="243"/>
      <c r="K9" s="243"/>
      <c r="L9" s="243"/>
      <c r="M9" s="243"/>
      <c r="N9" s="243"/>
      <c r="O9" s="244"/>
    </row>
    <row r="10" spans="2:15" x14ac:dyDescent="0.25">
      <c r="B10" s="250"/>
      <c r="C10" s="250"/>
      <c r="D10" s="250"/>
      <c r="E10" s="250"/>
      <c r="F10" s="250"/>
      <c r="H10" s="242"/>
      <c r="I10" s="243"/>
      <c r="J10" s="243"/>
      <c r="K10" s="243"/>
      <c r="L10" s="243"/>
      <c r="M10" s="243"/>
      <c r="N10" s="243"/>
      <c r="O10" s="244"/>
    </row>
    <row r="11" spans="2:15" x14ac:dyDescent="0.25">
      <c r="B11" s="250"/>
      <c r="C11" s="250"/>
      <c r="D11" s="250"/>
      <c r="E11" s="250"/>
      <c r="F11" s="250"/>
      <c r="H11" s="242"/>
      <c r="I11" s="243"/>
      <c r="J11" s="243"/>
      <c r="K11" s="243"/>
      <c r="L11" s="243"/>
      <c r="M11" s="243"/>
      <c r="N11" s="243"/>
      <c r="O11" s="244"/>
    </row>
    <row r="12" spans="2:15" x14ac:dyDescent="0.25">
      <c r="B12" s="250"/>
      <c r="C12" s="250"/>
      <c r="D12" s="250"/>
      <c r="E12" s="250"/>
      <c r="F12" s="250"/>
      <c r="H12" s="242"/>
      <c r="I12" s="243"/>
      <c r="J12" s="243"/>
      <c r="K12" s="243"/>
      <c r="L12" s="243"/>
      <c r="M12" s="243"/>
      <c r="N12" s="243"/>
      <c r="O12" s="244"/>
    </row>
    <row r="13" spans="2:15" x14ac:dyDescent="0.25">
      <c r="B13" s="250"/>
      <c r="C13" s="250"/>
      <c r="D13" s="250"/>
      <c r="E13" s="250"/>
      <c r="F13" s="250"/>
      <c r="H13" s="242"/>
      <c r="I13" s="243"/>
      <c r="J13" s="243"/>
      <c r="K13" s="243"/>
      <c r="L13" s="243"/>
      <c r="M13" s="243"/>
      <c r="N13" s="243"/>
      <c r="O13" s="244"/>
    </row>
    <row r="14" spans="2:15" ht="45" customHeight="1" x14ac:dyDescent="0.25">
      <c r="B14" s="250"/>
      <c r="C14" s="250"/>
      <c r="D14" s="250"/>
      <c r="E14" s="250"/>
      <c r="F14" s="250"/>
      <c r="H14" s="245"/>
      <c r="I14" s="246"/>
      <c r="J14" s="246"/>
      <c r="K14" s="246"/>
      <c r="L14" s="246"/>
      <c r="M14" s="246"/>
      <c r="N14" s="246"/>
      <c r="O14" s="247"/>
    </row>
    <row r="15" spans="2:15" ht="8.25" customHeight="1" x14ac:dyDescent="0.25">
      <c r="B15" s="209"/>
      <c r="C15" s="209"/>
      <c r="D15" s="209"/>
      <c r="E15" s="209"/>
      <c r="F15" s="209"/>
    </row>
    <row r="16" spans="2:15" ht="18.75" customHeight="1" x14ac:dyDescent="0.3">
      <c r="B16" s="213" t="s">
        <v>453</v>
      </c>
      <c r="C16" s="114"/>
      <c r="D16" s="211"/>
      <c r="E16" s="211"/>
      <c r="F16" s="211"/>
    </row>
    <row r="17" spans="2:8" ht="3.75" customHeight="1" x14ac:dyDescent="0.25">
      <c r="B17" s="212"/>
      <c r="C17" s="211"/>
      <c r="D17" s="211"/>
      <c r="E17" s="211"/>
      <c r="F17" s="211"/>
    </row>
    <row r="18" spans="2:8" ht="15" customHeight="1" x14ac:dyDescent="0.25">
      <c r="B18" s="219" t="s">
        <v>465</v>
      </c>
      <c r="C18" s="211"/>
      <c r="D18" s="211"/>
      <c r="E18" s="211"/>
      <c r="F18" s="211"/>
    </row>
    <row r="19" spans="2:8" x14ac:dyDescent="0.25">
      <c r="B19" s="219" t="s">
        <v>466</v>
      </c>
      <c r="C19" s="211"/>
      <c r="D19" s="211"/>
      <c r="E19" s="211"/>
      <c r="F19" s="211"/>
    </row>
    <row r="20" spans="2:8" x14ac:dyDescent="0.25">
      <c r="B20" s="219" t="s">
        <v>464</v>
      </c>
      <c r="C20" s="211"/>
      <c r="D20" s="211"/>
      <c r="E20" s="211"/>
      <c r="F20" s="211"/>
    </row>
    <row r="21" spans="2:8" x14ac:dyDescent="0.25">
      <c r="B21" s="219" t="s">
        <v>463</v>
      </c>
      <c r="C21" s="211"/>
      <c r="D21" s="211"/>
      <c r="E21" s="211"/>
      <c r="F21" s="211"/>
    </row>
    <row r="22" spans="2:8" x14ac:dyDescent="0.25">
      <c r="B22" s="219" t="s">
        <v>462</v>
      </c>
      <c r="C22" s="211"/>
      <c r="D22" s="211"/>
      <c r="E22" s="211"/>
      <c r="F22" s="211"/>
    </row>
    <row r="23" spans="2:8" x14ac:dyDescent="0.25">
      <c r="B23" s="219" t="s">
        <v>467</v>
      </c>
      <c r="C23" s="211"/>
      <c r="D23" s="211"/>
      <c r="E23" s="211"/>
      <c r="F23" s="211"/>
    </row>
    <row r="24" spans="2:8" ht="25.5" customHeight="1" x14ac:dyDescent="0.25">
      <c r="B24" s="115" t="s">
        <v>452</v>
      </c>
      <c r="C24" s="209"/>
      <c r="D24" s="209"/>
      <c r="E24" s="209"/>
      <c r="F24" s="209"/>
    </row>
    <row r="25" spans="2:8" ht="8.25" customHeight="1" x14ac:dyDescent="0.25">
      <c r="B25" s="209"/>
      <c r="C25" s="209"/>
      <c r="D25" s="209"/>
      <c r="E25" s="209"/>
      <c r="F25" s="209"/>
    </row>
    <row r="26" spans="2:8" ht="27" customHeight="1" x14ac:dyDescent="0.25">
      <c r="B26" s="110" t="s">
        <v>163</v>
      </c>
      <c r="C26" s="248" t="s">
        <v>451</v>
      </c>
      <c r="D26" s="249"/>
      <c r="E26" s="249"/>
      <c r="F26" s="249"/>
    </row>
    <row r="27" spans="2:8" ht="9" customHeight="1" x14ac:dyDescent="0.25">
      <c r="C27"/>
    </row>
    <row r="28" spans="2:8" s="109" customFormat="1" ht="54.75" customHeight="1" x14ac:dyDescent="0.25">
      <c r="B28" s="111">
        <v>1</v>
      </c>
      <c r="C28" s="233" t="s">
        <v>450</v>
      </c>
      <c r="D28" s="233"/>
      <c r="E28" s="233"/>
      <c r="F28" s="233"/>
      <c r="H28"/>
    </row>
    <row r="29" spans="2:8" s="109" customFormat="1" ht="54.75" customHeight="1" x14ac:dyDescent="0.25">
      <c r="B29" s="111" t="s">
        <v>235</v>
      </c>
      <c r="C29" s="225" t="s">
        <v>449</v>
      </c>
      <c r="D29" s="226"/>
      <c r="E29" s="226"/>
      <c r="F29" s="227"/>
    </row>
    <row r="30" spans="2:8" s="109" customFormat="1" ht="54.75" customHeight="1" x14ac:dyDescent="0.25">
      <c r="B30" s="111" t="s">
        <v>236</v>
      </c>
      <c r="C30" s="233" t="s">
        <v>448</v>
      </c>
      <c r="D30" s="233"/>
      <c r="E30" s="233"/>
      <c r="F30" s="233"/>
    </row>
    <row r="31" spans="2:8" s="109" customFormat="1" ht="54.75" customHeight="1" x14ac:dyDescent="0.25">
      <c r="B31" s="111" t="s">
        <v>237</v>
      </c>
      <c r="C31" s="233" t="s">
        <v>447</v>
      </c>
      <c r="D31" s="233"/>
      <c r="E31" s="233"/>
      <c r="F31" s="233"/>
    </row>
    <row r="32" spans="2:8" ht="55.5" customHeight="1" x14ac:dyDescent="0.25">
      <c r="B32" s="111" t="s">
        <v>238</v>
      </c>
      <c r="C32" s="233" t="s">
        <v>504</v>
      </c>
      <c r="D32" s="233"/>
      <c r="E32" s="233"/>
      <c r="F32" s="233"/>
    </row>
    <row r="33" spans="2:8" ht="55.5" customHeight="1" x14ac:dyDescent="0.25">
      <c r="B33" s="111" t="s">
        <v>239</v>
      </c>
      <c r="C33" s="233" t="s">
        <v>446</v>
      </c>
      <c r="D33" s="233"/>
      <c r="E33" s="233"/>
      <c r="F33" s="233"/>
    </row>
    <row r="34" spans="2:8" ht="54.75" customHeight="1" x14ac:dyDescent="0.25">
      <c r="B34" s="111" t="s">
        <v>240</v>
      </c>
      <c r="C34" s="225" t="s">
        <v>445</v>
      </c>
      <c r="D34" s="226"/>
      <c r="E34" s="226"/>
      <c r="F34" s="227"/>
    </row>
    <row r="35" spans="2:8" ht="9" customHeight="1" x14ac:dyDescent="0.25">
      <c r="C35"/>
    </row>
    <row r="36" spans="2:8" s="109" customFormat="1" ht="54.75" customHeight="1" x14ac:dyDescent="0.25">
      <c r="B36" s="111">
        <v>2</v>
      </c>
      <c r="C36" s="225" t="s">
        <v>484</v>
      </c>
      <c r="D36" s="226"/>
      <c r="E36" s="226"/>
      <c r="F36" s="227"/>
      <c r="H36"/>
    </row>
    <row r="37" spans="2:8" s="109" customFormat="1" ht="54.75" customHeight="1" x14ac:dyDescent="0.25">
      <c r="B37" s="111" t="s">
        <v>241</v>
      </c>
      <c r="C37" s="233" t="s">
        <v>444</v>
      </c>
      <c r="D37" s="233"/>
      <c r="E37" s="233"/>
      <c r="F37" s="233"/>
    </row>
    <row r="38" spans="2:8" s="109" customFormat="1" ht="54.75" customHeight="1" x14ac:dyDescent="0.25">
      <c r="B38" s="111" t="s">
        <v>242</v>
      </c>
      <c r="C38" s="233" t="s">
        <v>443</v>
      </c>
      <c r="D38" s="233"/>
      <c r="E38" s="233"/>
      <c r="F38" s="233"/>
    </row>
    <row r="39" spans="2:8" s="109" customFormat="1" ht="54.75" customHeight="1" x14ac:dyDescent="0.25">
      <c r="B39" s="111" t="s">
        <v>243</v>
      </c>
      <c r="C39" s="233" t="s">
        <v>518</v>
      </c>
      <c r="D39" s="233"/>
      <c r="E39" s="233"/>
      <c r="F39" s="233"/>
    </row>
    <row r="40" spans="2:8" ht="54.75" customHeight="1" x14ac:dyDescent="0.25">
      <c r="B40" s="111" t="s">
        <v>244</v>
      </c>
      <c r="C40" s="233" t="s">
        <v>442</v>
      </c>
      <c r="D40" s="233"/>
      <c r="E40" s="233"/>
      <c r="F40" s="233"/>
    </row>
    <row r="41" spans="2:8" ht="54.75" customHeight="1" x14ac:dyDescent="0.25">
      <c r="B41" s="111" t="s">
        <v>245</v>
      </c>
      <c r="C41" s="233" t="s">
        <v>441</v>
      </c>
      <c r="D41" s="233"/>
      <c r="E41" s="233"/>
      <c r="F41" s="233"/>
    </row>
    <row r="42" spans="2:8" ht="9" customHeight="1" x14ac:dyDescent="0.25">
      <c r="C42"/>
    </row>
    <row r="43" spans="2:8" s="109" customFormat="1" ht="54.75" customHeight="1" x14ac:dyDescent="0.25">
      <c r="B43" s="111">
        <v>3</v>
      </c>
      <c r="C43" s="225" t="s">
        <v>505</v>
      </c>
      <c r="D43" s="226"/>
      <c r="E43" s="226"/>
      <c r="F43" s="227"/>
      <c r="H43"/>
    </row>
    <row r="44" spans="2:8" s="109" customFormat="1" ht="54.75" customHeight="1" x14ac:dyDescent="0.25">
      <c r="B44" s="111" t="s">
        <v>413</v>
      </c>
      <c r="C44" s="233" t="s">
        <v>506</v>
      </c>
      <c r="D44" s="233"/>
      <c r="E44" s="233"/>
      <c r="F44" s="233"/>
    </row>
    <row r="45" spans="2:8" s="109" customFormat="1" ht="54.75" customHeight="1" x14ac:dyDescent="0.25">
      <c r="B45" s="111" t="s">
        <v>414</v>
      </c>
      <c r="C45" s="233" t="s">
        <v>440</v>
      </c>
      <c r="D45" s="233"/>
      <c r="E45" s="233"/>
      <c r="F45" s="233"/>
    </row>
    <row r="46" spans="2:8" s="109" customFormat="1" ht="54.75" customHeight="1" x14ac:dyDescent="0.25">
      <c r="B46" s="111" t="s">
        <v>415</v>
      </c>
      <c r="C46" s="233" t="s">
        <v>439</v>
      </c>
      <c r="D46" s="233"/>
      <c r="E46" s="233"/>
      <c r="F46" s="233"/>
    </row>
    <row r="47" spans="2:8" ht="54.75" customHeight="1" x14ac:dyDescent="0.25">
      <c r="B47" s="111" t="s">
        <v>416</v>
      </c>
      <c r="C47" s="233" t="s">
        <v>419</v>
      </c>
      <c r="D47" s="233"/>
      <c r="E47" s="233"/>
      <c r="F47" s="233"/>
    </row>
    <row r="48" spans="2:8" ht="54.75" customHeight="1" x14ac:dyDescent="0.25">
      <c r="B48" s="111" t="s">
        <v>417</v>
      </c>
      <c r="C48" s="233" t="s">
        <v>418</v>
      </c>
      <c r="D48" s="233"/>
      <c r="E48" s="233"/>
      <c r="F48" s="233"/>
    </row>
    <row r="49" spans="2:6" x14ac:dyDescent="0.25">
      <c r="B49" s="209"/>
      <c r="C49" s="209"/>
      <c r="D49" s="209"/>
      <c r="E49" s="209"/>
      <c r="F49" s="209"/>
    </row>
    <row r="50" spans="2:6" ht="15.75" x14ac:dyDescent="0.25">
      <c r="B50" s="115" t="s">
        <v>246</v>
      </c>
    </row>
    <row r="51" spans="2:6" ht="7.5" customHeight="1" x14ac:dyDescent="0.25"/>
    <row r="52" spans="2:6" ht="70.5" customHeight="1" x14ac:dyDescent="0.25">
      <c r="B52" s="112" t="s">
        <v>111</v>
      </c>
      <c r="C52" s="233" t="s">
        <v>164</v>
      </c>
      <c r="D52" s="234"/>
      <c r="E52" s="234"/>
      <c r="F52" s="234"/>
    </row>
    <row r="53" spans="2:6" ht="70.5" customHeight="1" x14ac:dyDescent="0.25">
      <c r="B53" s="136" t="s">
        <v>468</v>
      </c>
      <c r="C53" s="233" t="s">
        <v>469</v>
      </c>
      <c r="D53" s="234"/>
      <c r="E53" s="234"/>
      <c r="F53" s="234"/>
    </row>
    <row r="54" spans="2:6" ht="70.5" customHeight="1" x14ac:dyDescent="0.25">
      <c r="B54" s="136" t="s">
        <v>247</v>
      </c>
      <c r="C54" s="233" t="s">
        <v>248</v>
      </c>
      <c r="D54" s="234"/>
      <c r="E54" s="234"/>
      <c r="F54" s="234"/>
    </row>
    <row r="55" spans="2:6" x14ac:dyDescent="0.25">
      <c r="B55" s="209"/>
      <c r="C55" s="209"/>
      <c r="D55" s="209"/>
      <c r="E55" s="209"/>
      <c r="F55" s="209"/>
    </row>
    <row r="56" spans="2:6" ht="15.75" x14ac:dyDescent="0.25">
      <c r="B56" s="115" t="s">
        <v>171</v>
      </c>
    </row>
    <row r="57" spans="2:6" ht="9" customHeight="1" x14ac:dyDescent="0.25"/>
    <row r="58" spans="2:6" ht="27.75" customHeight="1" x14ac:dyDescent="0.25">
      <c r="B58" s="113" t="s">
        <v>172</v>
      </c>
      <c r="C58" s="235" t="s">
        <v>92</v>
      </c>
      <c r="D58" s="236"/>
      <c r="E58" s="236"/>
      <c r="F58" s="237"/>
    </row>
    <row r="59" spans="2:6" ht="27.75" customHeight="1" x14ac:dyDescent="0.25">
      <c r="B59" s="111" t="s">
        <v>161</v>
      </c>
      <c r="C59" s="228" t="s">
        <v>165</v>
      </c>
      <c r="D59" s="229"/>
      <c r="E59" s="229"/>
      <c r="F59" s="230"/>
    </row>
    <row r="60" spans="2:6" ht="123.75" customHeight="1" x14ac:dyDescent="0.25">
      <c r="B60" s="111" t="s">
        <v>100</v>
      </c>
      <c r="C60" s="228" t="s">
        <v>412</v>
      </c>
      <c r="D60" s="229"/>
      <c r="E60" s="229"/>
      <c r="F60" s="230"/>
    </row>
    <row r="61" spans="2:6" ht="52.5" customHeight="1" x14ac:dyDescent="0.25">
      <c r="B61" s="111" t="s">
        <v>136</v>
      </c>
      <c r="C61" s="228" t="s">
        <v>168</v>
      </c>
      <c r="D61" s="229"/>
      <c r="E61" s="229"/>
      <c r="F61" s="230"/>
    </row>
    <row r="62" spans="2:6" ht="40.5" customHeight="1" x14ac:dyDescent="0.25">
      <c r="B62" s="111" t="s">
        <v>409</v>
      </c>
      <c r="C62" s="228" t="s">
        <v>421</v>
      </c>
      <c r="D62" s="229"/>
      <c r="E62" s="229"/>
      <c r="F62" s="230"/>
    </row>
    <row r="63" spans="2:6" ht="27.75" customHeight="1" x14ac:dyDescent="0.25">
      <c r="B63" s="111" t="s">
        <v>93</v>
      </c>
      <c r="C63" s="228" t="s">
        <v>167</v>
      </c>
      <c r="D63" s="229"/>
      <c r="E63" s="229"/>
      <c r="F63" s="230"/>
    </row>
    <row r="64" spans="2:6" ht="36.75" customHeight="1" x14ac:dyDescent="0.25">
      <c r="B64" s="111" t="s">
        <v>382</v>
      </c>
      <c r="C64" s="228" t="s">
        <v>422</v>
      </c>
      <c r="D64" s="229"/>
      <c r="E64" s="229"/>
      <c r="F64" s="230"/>
    </row>
    <row r="65" spans="2:6" ht="48" customHeight="1" x14ac:dyDescent="0.25">
      <c r="B65" s="111" t="s">
        <v>410</v>
      </c>
      <c r="C65" s="228" t="s">
        <v>423</v>
      </c>
      <c r="D65" s="231"/>
      <c r="E65" s="231"/>
      <c r="F65" s="232"/>
    </row>
    <row r="66" spans="2:6" ht="53.25" customHeight="1" x14ac:dyDescent="0.25">
      <c r="B66" s="111" t="s">
        <v>169</v>
      </c>
      <c r="C66" s="228" t="s">
        <v>420</v>
      </c>
      <c r="D66" s="229"/>
      <c r="E66" s="229"/>
      <c r="F66" s="230"/>
    </row>
    <row r="67" spans="2:6" ht="61.5" customHeight="1" x14ac:dyDescent="0.25">
      <c r="B67" s="111" t="s">
        <v>411</v>
      </c>
      <c r="C67" s="228" t="s">
        <v>424</v>
      </c>
      <c r="D67" s="229"/>
      <c r="E67" s="229"/>
      <c r="F67" s="230"/>
    </row>
    <row r="68" spans="2:6" x14ac:dyDescent="0.25">
      <c r="B68" s="210"/>
    </row>
    <row r="69" spans="2:6" ht="15.75" x14ac:dyDescent="0.25">
      <c r="B69" s="116" t="s">
        <v>170</v>
      </c>
    </row>
    <row r="70" spans="2:6" ht="9.75" customHeight="1" x14ac:dyDescent="0.25">
      <c r="B70" s="210"/>
    </row>
    <row r="71" spans="2:6" x14ac:dyDescent="0.25">
      <c r="B71" s="16" t="s">
        <v>119</v>
      </c>
      <c r="C71" s="16" t="s">
        <v>120</v>
      </c>
    </row>
    <row r="72" spans="2:6" x14ac:dyDescent="0.25">
      <c r="B72" s="15" t="s">
        <v>0</v>
      </c>
      <c r="C72" s="15" t="s">
        <v>122</v>
      </c>
    </row>
    <row r="73" spans="2:6" x14ac:dyDescent="0.25">
      <c r="B73" s="15" t="s">
        <v>2</v>
      </c>
      <c r="C73" s="15" t="s">
        <v>176</v>
      </c>
    </row>
    <row r="74" spans="2:6" x14ac:dyDescent="0.25">
      <c r="B74" s="15" t="s">
        <v>3</v>
      </c>
      <c r="C74" s="15" t="s">
        <v>121</v>
      </c>
    </row>
    <row r="75" spans="2:6" x14ac:dyDescent="0.25">
      <c r="B75" s="15" t="s">
        <v>95</v>
      </c>
      <c r="C75" s="15" t="s">
        <v>173</v>
      </c>
    </row>
    <row r="76" spans="2:6" x14ac:dyDescent="0.25">
      <c r="B76" s="15" t="s">
        <v>94</v>
      </c>
      <c r="C76" s="15" t="s">
        <v>174</v>
      </c>
    </row>
    <row r="77" spans="2:6" x14ac:dyDescent="0.25">
      <c r="B77" s="15" t="s">
        <v>175</v>
      </c>
      <c r="C77" s="15" t="s">
        <v>173</v>
      </c>
    </row>
    <row r="79" spans="2:6" x14ac:dyDescent="0.25">
      <c r="B79" s="117" t="s">
        <v>87</v>
      </c>
    </row>
    <row r="80" spans="2:6" ht="5.25" customHeight="1" x14ac:dyDescent="0.25"/>
    <row r="81" spans="2:3" x14ac:dyDescent="0.25">
      <c r="B81" s="25" t="s">
        <v>101</v>
      </c>
      <c r="C81" s="210" t="s">
        <v>161</v>
      </c>
    </row>
    <row r="82" spans="2:3" x14ac:dyDescent="0.25">
      <c r="B82" s="19" t="s">
        <v>89</v>
      </c>
      <c r="C82" s="210" t="s">
        <v>90</v>
      </c>
    </row>
    <row r="83" spans="2:3" x14ac:dyDescent="0.25">
      <c r="B83" s="20" t="s">
        <v>88</v>
      </c>
      <c r="C83" s="210" t="s">
        <v>166</v>
      </c>
    </row>
    <row r="84" spans="2:3" x14ac:dyDescent="0.25">
      <c r="B84" s="21" t="s">
        <v>91</v>
      </c>
      <c r="C84" s="210" t="s">
        <v>456</v>
      </c>
    </row>
    <row r="85" spans="2:3" x14ac:dyDescent="0.25">
      <c r="B85" s="220" t="s">
        <v>457</v>
      </c>
      <c r="C85" s="210" t="s">
        <v>458</v>
      </c>
    </row>
  </sheetData>
  <mergeCells count="36">
    <mergeCell ref="C34:F34"/>
    <mergeCell ref="H2:I3"/>
    <mergeCell ref="H4:O14"/>
    <mergeCell ref="C28:F28"/>
    <mergeCell ref="C29:F29"/>
    <mergeCell ref="C30:F30"/>
    <mergeCell ref="C26:F26"/>
    <mergeCell ref="B4:F14"/>
    <mergeCell ref="C31:F31"/>
    <mergeCell ref="C32:F32"/>
    <mergeCell ref="C33:F33"/>
    <mergeCell ref="C62:F62"/>
    <mergeCell ref="C58:F58"/>
    <mergeCell ref="C59:F59"/>
    <mergeCell ref="C52:F52"/>
    <mergeCell ref="C37:F37"/>
    <mergeCell ref="C38:F38"/>
    <mergeCell ref="C39:F39"/>
    <mergeCell ref="C40:F40"/>
    <mergeCell ref="C41:F41"/>
    <mergeCell ref="C36:F36"/>
    <mergeCell ref="C67:F67"/>
    <mergeCell ref="C65:F65"/>
    <mergeCell ref="C44:F44"/>
    <mergeCell ref="C45:F45"/>
    <mergeCell ref="C46:F46"/>
    <mergeCell ref="C47:F47"/>
    <mergeCell ref="C48:F48"/>
    <mergeCell ref="C60:F60"/>
    <mergeCell ref="C61:F61"/>
    <mergeCell ref="C63:F63"/>
    <mergeCell ref="C53:F53"/>
    <mergeCell ref="C54:F54"/>
    <mergeCell ref="C43:F43"/>
    <mergeCell ref="C66:F66"/>
    <mergeCell ref="C64:F6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3"/>
  <sheetViews>
    <sheetView showGridLines="0" zoomScale="85" zoomScaleNormal="85" workbookViewId="0">
      <selection activeCell="V3" sqref="V3"/>
    </sheetView>
  </sheetViews>
  <sheetFormatPr defaultRowHeight="15" x14ac:dyDescent="0.25"/>
  <cols>
    <col min="1" max="1" width="1.140625" customWidth="1"/>
    <col min="2" max="2" width="8.85546875" customWidth="1"/>
    <col min="3" max="5" width="21.7109375" customWidth="1"/>
    <col min="6" max="6" width="21.7109375" style="2" customWidth="1"/>
    <col min="7" max="7" width="17.42578125" customWidth="1"/>
    <col min="8" max="8" width="2.42578125" customWidth="1"/>
  </cols>
  <sheetData>
    <row r="1" spans="2:7" ht="36" customHeight="1" x14ac:dyDescent="0.25">
      <c r="B1" s="56" t="s">
        <v>372</v>
      </c>
    </row>
    <row r="2" spans="2:7" ht="30.75" customHeight="1" x14ac:dyDescent="0.25">
      <c r="B2" s="73" t="s">
        <v>86</v>
      </c>
      <c r="C2" s="169" t="s">
        <v>373</v>
      </c>
      <c r="D2" s="169" t="s">
        <v>376</v>
      </c>
      <c r="E2" s="169" t="s">
        <v>374</v>
      </c>
      <c r="F2" s="169" t="s">
        <v>375</v>
      </c>
      <c r="G2" s="170" t="s">
        <v>429</v>
      </c>
    </row>
    <row r="3" spans="2:7" x14ac:dyDescent="0.25">
      <c r="B3" s="54">
        <v>1</v>
      </c>
      <c r="C3" s="52">
        <f>MAX(D3,E3)</f>
        <v>18.081013403147345</v>
      </c>
      <c r="D3" s="52">
        <f>VLOOKUP($B3*12,'Net Premium Reserve'!$A:$CX,MATCH("NPR Projected EOP Reserve",'Net Premium Reserve'!$A$3:$CX$3,0))</f>
        <v>18.081013403147345</v>
      </c>
      <c r="E3" s="52">
        <f>VLOOKUP($B3*12,'Deterministic Reserve'!$A:$CM,MATCH("DR Projected Reserve",'Deterministic Reserve'!$A$3:$CM$3,0))</f>
        <v>-169.15498633602988</v>
      </c>
      <c r="F3" s="52">
        <f>VLOOKUP($B3*12,'Deterministic Reserve'!$A:$CM,MATCH("GPR Projected Reserve",'Deterministic Reserve'!$A$3:$CM$3,0))</f>
        <v>-359.33830186694149</v>
      </c>
      <c r="G3" s="171">
        <f>E3/F3-1</f>
        <v>-0.52925979374537735</v>
      </c>
    </row>
    <row r="4" spans="2:7" x14ac:dyDescent="0.25">
      <c r="B4" s="54">
        <f>B3+1</f>
        <v>2</v>
      </c>
      <c r="C4" s="52">
        <f t="shared" ref="C4:C22" si="0">MAX(D4,E4)</f>
        <v>23.302459954981636</v>
      </c>
      <c r="D4" s="52">
        <f>VLOOKUP($B4*12,'Net Premium Reserve'!$A:$CX,MATCH("NPR Projected EOP Reserve",'Net Premium Reserve'!$A$3:$CX$3,0))</f>
        <v>23.302459954981636</v>
      </c>
      <c r="E4" s="52">
        <f>VLOOKUP($B4*12,'Deterministic Reserve'!$A:$CM,MATCH("DR Projected Reserve",'Deterministic Reserve'!$A$3:$CM$3,0))</f>
        <v>-46.649356471451895</v>
      </c>
      <c r="F4" s="52">
        <f>VLOOKUP($B4*12,'Deterministic Reserve'!$A:$CM,MATCH("GPR Projected Reserve",'Deterministic Reserve'!$A$3:$CM$3,0))</f>
        <v>-242.86603359331954</v>
      </c>
      <c r="G4" s="171">
        <f t="shared" ref="G4:G6" si="1">E4/F4-1</f>
        <v>-0.8079214463165052</v>
      </c>
    </row>
    <row r="5" spans="2:7" x14ac:dyDescent="0.25">
      <c r="B5" s="54">
        <f t="shared" ref="B5:B22" si="2">B4+1</f>
        <v>3</v>
      </c>
      <c r="C5" s="52">
        <f t="shared" si="0"/>
        <v>62.400544484424771</v>
      </c>
      <c r="D5" s="52">
        <f>VLOOKUP($B5*12,'Net Premium Reserve'!$A:$CX,MATCH("NPR Projected EOP Reserve",'Net Premium Reserve'!$A$3:$CX$3,0))</f>
        <v>28.725297406239431</v>
      </c>
      <c r="E5" s="52">
        <f>VLOOKUP($B5*12,'Deterministic Reserve'!$A:$CM,MATCH("DR Projected Reserve",'Deterministic Reserve'!$A$3:$CM$3,0))</f>
        <v>62.400544484424771</v>
      </c>
      <c r="F5" s="52">
        <f>VLOOKUP($B5*12,'Deterministic Reserve'!$A:$CM,MATCH("GPR Projected Reserve",'Deterministic Reserve'!$A$3:$CM$3,0))</f>
        <v>-138.30372949501898</v>
      </c>
      <c r="G5" s="171">
        <f t="shared" si="1"/>
        <v>-1.4511848285817348</v>
      </c>
    </row>
    <row r="6" spans="2:7" x14ac:dyDescent="0.25">
      <c r="B6" s="54">
        <f t="shared" si="2"/>
        <v>4</v>
      </c>
      <c r="C6" s="52">
        <f t="shared" si="0"/>
        <v>158.91430447494778</v>
      </c>
      <c r="D6" s="52">
        <f>VLOOKUP($B6*12,'Net Premium Reserve'!$A:$CX,MATCH("NPR Projected EOP Reserve",'Net Premium Reserve'!$A$3:$CX$3,0))</f>
        <v>52.445315995810986</v>
      </c>
      <c r="E6" s="52">
        <f>VLOOKUP($B6*12,'Deterministic Reserve'!$A:$CM,MATCH("DR Projected Reserve",'Deterministic Reserve'!$A$3:$CM$3,0))</f>
        <v>158.91430447494778</v>
      </c>
      <c r="F6" s="52">
        <f>VLOOKUP($B6*12,'Deterministic Reserve'!$A:$CM,MATCH("GPR Projected Reserve",'Deterministic Reserve'!$A$3:$CM$3,0))</f>
        <v>-44.810303695891967</v>
      </c>
      <c r="G6" s="171">
        <f t="shared" si="1"/>
        <v>-4.5463786532988042</v>
      </c>
    </row>
    <row r="7" spans="2:7" x14ac:dyDescent="0.25">
      <c r="B7" s="54">
        <f t="shared" si="2"/>
        <v>5</v>
      </c>
      <c r="C7" s="52">
        <f t="shared" si="0"/>
        <v>248.20709725235153</v>
      </c>
      <c r="D7" s="52">
        <f>VLOOKUP($B7*12,'Net Premium Reserve'!$A:$CX,MATCH("NPR Projected EOP Reserve",'Net Premium Reserve'!$A$3:$CX$3,0))</f>
        <v>125.86551648008401</v>
      </c>
      <c r="E7" s="52">
        <f>VLOOKUP($B7*12,'Deterministic Reserve'!$A:$CM,MATCH("DR Projected Reserve",'Deterministic Reserve'!$A$3:$CM$3,0))</f>
        <v>248.20709725235153</v>
      </c>
      <c r="F7" s="52">
        <f>VLOOKUP($B7*12,'Deterministic Reserve'!$A:$CM,MATCH("GPR Projected Reserve",'Deterministic Reserve'!$A$3:$CM$3,0))</f>
        <v>42.716705046465833</v>
      </c>
      <c r="G7" s="171">
        <f t="shared" ref="G7:G12" si="3">E7/F7-1</f>
        <v>4.8105393892707777</v>
      </c>
    </row>
    <row r="8" spans="2:7" x14ac:dyDescent="0.25">
      <c r="B8" s="54">
        <f t="shared" si="2"/>
        <v>6</v>
      </c>
      <c r="C8" s="52">
        <f t="shared" si="0"/>
        <v>328.90151748577836</v>
      </c>
      <c r="D8" s="52">
        <f>VLOOKUP($B8*12,'Net Premium Reserve'!$A:$CX,MATCH("NPR Projected EOP Reserve",'Net Premium Reserve'!$A$3:$CX$3,0))</f>
        <v>207.92295838922533</v>
      </c>
      <c r="E8" s="52">
        <f>VLOOKUP($B8*12,'Deterministic Reserve'!$A:$CM,MATCH("DR Projected Reserve",'Deterministic Reserve'!$A$3:$CM$3,0))</f>
        <v>328.90151748577836</v>
      </c>
      <c r="F8" s="52">
        <f>VLOOKUP($B8*12,'Deterministic Reserve'!$A:$CM,MATCH("GPR Projected Reserve",'Deterministic Reserve'!$A$3:$CM$3,0))</f>
        <v>122.9738767545004</v>
      </c>
      <c r="G8" s="171">
        <f t="shared" si="3"/>
        <v>1.6745641120380617</v>
      </c>
    </row>
    <row r="9" spans="2:7" x14ac:dyDescent="0.25">
      <c r="B9" s="54">
        <f t="shared" si="2"/>
        <v>7</v>
      </c>
      <c r="C9" s="52">
        <f t="shared" si="0"/>
        <v>398.06140817510243</v>
      </c>
      <c r="D9" s="52">
        <f>VLOOKUP($B9*12,'Net Premium Reserve'!$A:$CX,MATCH("NPR Projected EOP Reserve",'Net Premium Reserve'!$A$3:$CX$3,0))</f>
        <v>280.14918519031403</v>
      </c>
      <c r="E9" s="52">
        <f>VLOOKUP($B9*12,'Deterministic Reserve'!$A:$CM,MATCH("DR Projected Reserve",'Deterministic Reserve'!$A$3:$CM$3,0))</f>
        <v>398.06140817510243</v>
      </c>
      <c r="F9" s="52">
        <f>VLOOKUP($B9*12,'Deterministic Reserve'!$A:$CM,MATCH("GPR Projected Reserve",'Deterministic Reserve'!$A$3:$CM$3,0))</f>
        <v>193.19976610528386</v>
      </c>
      <c r="G9" s="171">
        <f t="shared" si="3"/>
        <v>1.0603617499111238</v>
      </c>
    </row>
    <row r="10" spans="2:7" x14ac:dyDescent="0.25">
      <c r="B10" s="54">
        <f t="shared" si="2"/>
        <v>8</v>
      </c>
      <c r="C10" s="52">
        <f t="shared" si="0"/>
        <v>454.88692342331541</v>
      </c>
      <c r="D10" s="52">
        <f>VLOOKUP($B10*12,'Net Premium Reserve'!$A:$CX,MATCH("NPR Projected EOP Reserve",'Net Premium Reserve'!$A$3:$CX$3,0))</f>
        <v>340.50350416685609</v>
      </c>
      <c r="E10" s="52">
        <f>VLOOKUP($B10*12,'Deterministic Reserve'!$A:$CM,MATCH("DR Projected Reserve",'Deterministic Reserve'!$A$3:$CM$3,0))</f>
        <v>454.88692342331541</v>
      </c>
      <c r="F10" s="52">
        <f>VLOOKUP($B10*12,'Deterministic Reserve'!$A:$CM,MATCH("GPR Projected Reserve",'Deterministic Reserve'!$A$3:$CM$3,0))</f>
        <v>252.57757218997511</v>
      </c>
      <c r="G10" s="171">
        <f t="shared" si="3"/>
        <v>0.80097907933478041</v>
      </c>
    </row>
    <row r="11" spans="2:7" x14ac:dyDescent="0.25">
      <c r="B11" s="54">
        <f t="shared" si="2"/>
        <v>9</v>
      </c>
      <c r="C11" s="52">
        <f t="shared" si="0"/>
        <v>500.72319370452436</v>
      </c>
      <c r="D11" s="52">
        <f>VLOOKUP($B11*12,'Net Premium Reserve'!$A:$CX,MATCH("NPR Projected EOP Reserve",'Net Premium Reserve'!$A$3:$CX$3,0))</f>
        <v>389.23724092516915</v>
      </c>
      <c r="E11" s="52">
        <f>VLOOKUP($B11*12,'Deterministic Reserve'!$A:$CM,MATCH("DR Projected Reserve",'Deterministic Reserve'!$A$3:$CM$3,0))</f>
        <v>500.72319370452436</v>
      </c>
      <c r="F11" s="52">
        <f>VLOOKUP($B11*12,'Deterministic Reserve'!$A:$CM,MATCH("GPR Projected Reserve",'Deterministic Reserve'!$A$3:$CM$3,0))</f>
        <v>302.40969624798907</v>
      </c>
      <c r="G11" s="171">
        <f t="shared" si="3"/>
        <v>0.65577757564330752</v>
      </c>
    </row>
    <row r="12" spans="2:7" x14ac:dyDescent="0.25">
      <c r="B12" s="54">
        <f t="shared" si="2"/>
        <v>10</v>
      </c>
      <c r="C12" s="52">
        <f t="shared" si="0"/>
        <v>536.35716127624517</v>
      </c>
      <c r="D12" s="52">
        <f>VLOOKUP($B12*12,'Net Premium Reserve'!$A:$CX,MATCH("NPR Projected EOP Reserve",'Net Premium Reserve'!$A$3:$CX$3,0))</f>
        <v>427.09158466036558</v>
      </c>
      <c r="E12" s="52">
        <f>VLOOKUP($B12*12,'Deterministic Reserve'!$A:$CM,MATCH("DR Projected Reserve",'Deterministic Reserve'!$A$3:$CM$3,0))</f>
        <v>536.35716127624517</v>
      </c>
      <c r="F12" s="52">
        <f>VLOOKUP($B12*12,'Deterministic Reserve'!$A:$CM,MATCH("GPR Projected Reserve",'Deterministic Reserve'!$A$3:$CM$3,0))</f>
        <v>343.41956164103652</v>
      </c>
      <c r="G12" s="171">
        <f t="shared" si="3"/>
        <v>0.56181307411043457</v>
      </c>
    </row>
    <row r="13" spans="2:7" x14ac:dyDescent="0.25">
      <c r="B13" s="54">
        <f t="shared" si="2"/>
        <v>11</v>
      </c>
      <c r="C13" s="52">
        <f t="shared" si="0"/>
        <v>561.98267710106654</v>
      </c>
      <c r="D13" s="52">
        <f>VLOOKUP($B13*12,'Net Premium Reserve'!$A:$CX,MATCH("NPR Projected EOP Reserve",'Net Premium Reserve'!$A$3:$CX$3,0))</f>
        <v>467.58497308509288</v>
      </c>
      <c r="E13" s="52">
        <f>VLOOKUP($B13*12,'Deterministic Reserve'!$A:$CM,MATCH("DR Projected Reserve",'Deterministic Reserve'!$A$3:$CM$3,0))</f>
        <v>561.98267710106654</v>
      </c>
      <c r="F13" s="52">
        <f>VLOOKUP($B13*12,'Deterministic Reserve'!$A:$CM,MATCH("GPR Projected Reserve",'Deterministic Reserve'!$A$3:$CM$3,0))</f>
        <v>374.10984532296379</v>
      </c>
      <c r="G13" s="171">
        <f t="shared" ref="G13:G21" si="4">E13/F13-1</f>
        <v>0.50218628065218329</v>
      </c>
    </row>
    <row r="14" spans="2:7" x14ac:dyDescent="0.25">
      <c r="B14" s="54">
        <f t="shared" si="2"/>
        <v>12</v>
      </c>
      <c r="C14" s="52">
        <f t="shared" si="0"/>
        <v>574.42015733234371</v>
      </c>
      <c r="D14" s="52">
        <f>VLOOKUP($B14*12,'Net Premium Reserve'!$A:$CX,MATCH("NPR Projected EOP Reserve",'Net Premium Reserve'!$A$3:$CX$3,0))</f>
        <v>495.63043582603234</v>
      </c>
      <c r="E14" s="52">
        <f>VLOOKUP($B14*12,'Deterministic Reserve'!$A:$CM,MATCH("DR Projected Reserve",'Deterministic Reserve'!$A$3:$CM$3,0))</f>
        <v>574.42015733234371</v>
      </c>
      <c r="F14" s="52">
        <f>VLOOKUP($B14*12,'Deterministic Reserve'!$A:$CM,MATCH("GPR Projected Reserve",'Deterministic Reserve'!$A$3:$CM$3,0))</f>
        <v>393.34250952784174</v>
      </c>
      <c r="G14" s="171">
        <f t="shared" si="4"/>
        <v>0.46035616140717384</v>
      </c>
    </row>
    <row r="15" spans="2:7" x14ac:dyDescent="0.25">
      <c r="B15" s="54">
        <f t="shared" si="2"/>
        <v>13</v>
      </c>
      <c r="C15" s="52">
        <f t="shared" si="0"/>
        <v>571.46776474157252</v>
      </c>
      <c r="D15" s="52">
        <f>VLOOKUP($B15*12,'Net Premium Reserve'!$A:$CX,MATCH("NPR Projected EOP Reserve",'Net Premium Reserve'!$A$3:$CX$3,0))</f>
        <v>507.58183608816068</v>
      </c>
      <c r="E15" s="52">
        <f>VLOOKUP($B15*12,'Deterministic Reserve'!$A:$CM,MATCH("DR Projected Reserve",'Deterministic Reserve'!$A$3:$CM$3,0))</f>
        <v>571.46776474157252</v>
      </c>
      <c r="F15" s="52">
        <f>VLOOKUP($B15*12,'Deterministic Reserve'!$A:$CM,MATCH("GPR Projected Reserve",'Deterministic Reserve'!$A$3:$CM$3,0))</f>
        <v>399.22461138753403</v>
      </c>
      <c r="G15" s="171">
        <f t="shared" si="4"/>
        <v>0.43144422573396701</v>
      </c>
    </row>
    <row r="16" spans="2:7" x14ac:dyDescent="0.25">
      <c r="B16" s="54">
        <f t="shared" si="2"/>
        <v>14</v>
      </c>
      <c r="C16" s="52">
        <f t="shared" si="0"/>
        <v>553.42402468932642</v>
      </c>
      <c r="D16" s="52">
        <f>VLOOKUP($B16*12,'Net Premium Reserve'!$A:$CX,MATCH("NPR Projected EOP Reserve",'Net Premium Reserve'!$A$3:$CX$3,0))</f>
        <v>501.09132165755892</v>
      </c>
      <c r="E16" s="52">
        <f>VLOOKUP($B16*12,'Deterministic Reserve'!$A:$CM,MATCH("DR Projected Reserve",'Deterministic Reserve'!$A$3:$CM$3,0))</f>
        <v>553.42402468932642</v>
      </c>
      <c r="F16" s="52">
        <f>VLOOKUP($B16*12,'Deterministic Reserve'!$A:$CM,MATCH("GPR Projected Reserve",'Deterministic Reserve'!$A$3:$CM$3,0))</f>
        <v>391.96299425142422</v>
      </c>
      <c r="G16" s="171">
        <f t="shared" si="4"/>
        <v>0.41192927089013209</v>
      </c>
    </row>
    <row r="17" spans="1:18" x14ac:dyDescent="0.25">
      <c r="B17" s="54">
        <f t="shared" si="2"/>
        <v>15</v>
      </c>
      <c r="C17" s="52">
        <f t="shared" si="0"/>
        <v>517.32514329845708</v>
      </c>
      <c r="D17" s="52">
        <f>VLOOKUP($B17*12,'Net Premium Reserve'!$A:$CX,MATCH("NPR Projected EOP Reserve",'Net Premium Reserve'!$A$3:$CX$3,0))</f>
        <v>473.33561186581738</v>
      </c>
      <c r="E17" s="52">
        <f>VLOOKUP($B17*12,'Deterministic Reserve'!$A:$CM,MATCH("DR Projected Reserve",'Deterministic Reserve'!$A$3:$CM$3,0))</f>
        <v>517.32514329845708</v>
      </c>
      <c r="F17" s="52">
        <f>VLOOKUP($B17*12,'Deterministic Reserve'!$A:$CM,MATCH("GPR Projected Reserve",'Deterministic Reserve'!$A$3:$CM$3,0))</f>
        <v>369.01335985219129</v>
      </c>
      <c r="G17" s="171">
        <f t="shared" si="4"/>
        <v>0.40191440089234765</v>
      </c>
    </row>
    <row r="18" spans="1:18" x14ac:dyDescent="0.25">
      <c r="B18" s="54">
        <f t="shared" si="2"/>
        <v>16</v>
      </c>
      <c r="C18" s="52">
        <f t="shared" si="0"/>
        <v>458.45174758536092</v>
      </c>
      <c r="D18" s="52">
        <f>VLOOKUP($B18*12,'Net Premium Reserve'!$A:$CX,MATCH("NPR Projected EOP Reserve",'Net Premium Reserve'!$A$3:$CX$3,0))</f>
        <v>418.30910505387351</v>
      </c>
      <c r="E18" s="52">
        <f>VLOOKUP($B18*12,'Deterministic Reserve'!$A:$CM,MATCH("DR Projected Reserve",'Deterministic Reserve'!$A$3:$CM$3,0))</f>
        <v>458.45174758536092</v>
      </c>
      <c r="F18" s="52">
        <f>VLOOKUP($B18*12,'Deterministic Reserve'!$A:$CM,MATCH("GPR Projected Reserve",'Deterministic Reserve'!$A$3:$CM$3,0))</f>
        <v>326.04044889402013</v>
      </c>
      <c r="G18" s="171">
        <f t="shared" si="4"/>
        <v>0.40611923808993788</v>
      </c>
    </row>
    <row r="19" spans="1:18" x14ac:dyDescent="0.25">
      <c r="B19" s="54">
        <f t="shared" si="2"/>
        <v>17</v>
      </c>
      <c r="C19" s="52">
        <f t="shared" si="0"/>
        <v>374.06837645797526</v>
      </c>
      <c r="D19" s="52">
        <f>VLOOKUP($B19*12,'Net Premium Reserve'!$A:$CX,MATCH("NPR Projected EOP Reserve",'Net Premium Reserve'!$A$3:$CX$3,0))</f>
        <v>329.50791449259509</v>
      </c>
      <c r="E19" s="52">
        <f>VLOOKUP($B19*12,'Deterministic Reserve'!$A:$CM,MATCH("DR Projected Reserve",'Deterministic Reserve'!$A$3:$CM$3,0))</f>
        <v>374.06837645797526</v>
      </c>
      <c r="F19" s="52">
        <f>VLOOKUP($B19*12,'Deterministic Reserve'!$A:$CM,MATCH("GPR Projected Reserve",'Deterministic Reserve'!$A$3:$CM$3,0))</f>
        <v>260.7688591600774</v>
      </c>
      <c r="G19" s="171">
        <f t="shared" si="4"/>
        <v>0.43448254390048557</v>
      </c>
    </row>
    <row r="20" spans="1:18" x14ac:dyDescent="0.25">
      <c r="B20" s="54">
        <f t="shared" si="2"/>
        <v>18</v>
      </c>
      <c r="C20" s="52">
        <f t="shared" si="0"/>
        <v>267.73643374465541</v>
      </c>
      <c r="D20" s="52">
        <f>VLOOKUP($B20*12,'Net Premium Reserve'!$A:$CX,MATCH("NPR Projected EOP Reserve",'Net Premium Reserve'!$A$3:$CX$3,0))</f>
        <v>205.01837688139469</v>
      </c>
      <c r="E20" s="52">
        <f>VLOOKUP($B20*12,'Deterministic Reserve'!$A:$CM,MATCH("DR Projected Reserve",'Deterministic Reserve'!$A$3:$CM$3,0))</f>
        <v>267.73643374465541</v>
      </c>
      <c r="F20" s="52">
        <f>VLOOKUP($B20*12,'Deterministic Reserve'!$A:$CM,MATCH("GPR Projected Reserve",'Deterministic Reserve'!$A$3:$CM$3,0))</f>
        <v>176.43953727788201</v>
      </c>
      <c r="G20" s="171">
        <f t="shared" si="4"/>
        <v>0.51744012637590453</v>
      </c>
      <c r="J20" s="172"/>
      <c r="K20" s="173" t="s">
        <v>343</v>
      </c>
    </row>
    <row r="21" spans="1:18" x14ac:dyDescent="0.25">
      <c r="B21" s="54">
        <f t="shared" si="2"/>
        <v>19</v>
      </c>
      <c r="C21" s="52">
        <f t="shared" si="0"/>
        <v>143.68014567963462</v>
      </c>
      <c r="D21" s="52">
        <f>VLOOKUP($B21*12,'Net Premium Reserve'!$A:$CX,MATCH("NPR Projected EOP Reserve",'Net Premium Reserve'!$A$3:$CX$3,0))</f>
        <v>133.4659441205948</v>
      </c>
      <c r="E21" s="52">
        <f>VLOOKUP($B21*12,'Deterministic Reserve'!$A:$CM,MATCH("DR Projected Reserve",'Deterministic Reserve'!$A$3:$CM$3,0))</f>
        <v>143.68014567963462</v>
      </c>
      <c r="F21" s="52">
        <f>VLOOKUP($B21*12,'Deterministic Reserve'!$A:$CM,MATCH("GPR Projected Reserve",'Deterministic Reserve'!$A$3:$CM$3,0))</f>
        <v>76.847893196462906</v>
      </c>
      <c r="G21" s="171">
        <f t="shared" si="4"/>
        <v>0.86966928699416601</v>
      </c>
    </row>
    <row r="22" spans="1:18" x14ac:dyDescent="0.25">
      <c r="B22" s="54">
        <f t="shared" si="2"/>
        <v>20</v>
      </c>
      <c r="C22" s="52">
        <f t="shared" si="0"/>
        <v>28.902822715079708</v>
      </c>
      <c r="D22" s="52">
        <f>VLOOKUP($B22*12,'Net Premium Reserve'!$A:$CX,MATCH("NPR Projected EOP Reserve",'Net Premium Reserve'!$A$3:$CX$3,0))</f>
        <v>28.902822715079708</v>
      </c>
      <c r="E22" s="52">
        <f>VLOOKUP($B22*12,'Deterministic Reserve'!$A:$CM,MATCH("DR Projected Reserve",'Deterministic Reserve'!$A$3:$CM$3,0))</f>
        <v>0</v>
      </c>
      <c r="F22" s="52">
        <f>VLOOKUP($B22*12,'Deterministic Reserve'!$A:$CM,MATCH("GPR Projected Reserve",'Deterministic Reserve'!$A$3:$CM$3,0))</f>
        <v>-39.781813587550779</v>
      </c>
      <c r="G22" s="171">
        <v>0</v>
      </c>
    </row>
    <row r="23" spans="1:18" ht="6" customHeight="1" x14ac:dyDescent="0.25"/>
    <row r="24" spans="1:18" ht="29.25" customHeight="1" x14ac:dyDescent="0.25">
      <c r="C24" s="174" t="s">
        <v>145</v>
      </c>
      <c r="D24" s="174"/>
      <c r="F24" s="175"/>
      <c r="G24" s="175"/>
      <c r="H24" s="175"/>
      <c r="I24" s="116" t="s">
        <v>372</v>
      </c>
      <c r="J24" s="175"/>
      <c r="K24" s="175"/>
      <c r="L24" s="175"/>
    </row>
    <row r="25" spans="1:18" ht="15" customHeight="1" x14ac:dyDescent="0.25">
      <c r="A25" s="55" t="s">
        <v>150</v>
      </c>
      <c r="B25" s="55"/>
      <c r="C25" s="85" t="s">
        <v>15</v>
      </c>
      <c r="D25" s="84" t="s">
        <v>150</v>
      </c>
      <c r="E25" s="5"/>
      <c r="F25"/>
      <c r="H25" s="114"/>
      <c r="I25" s="250" t="s">
        <v>377</v>
      </c>
      <c r="J25" s="251"/>
      <c r="K25" s="251"/>
      <c r="L25" s="251"/>
      <c r="M25" s="251"/>
      <c r="N25" s="251"/>
      <c r="O25" s="251"/>
      <c r="P25" s="251"/>
      <c r="Q25" s="251"/>
      <c r="R25" s="251"/>
    </row>
    <row r="26" spans="1:18" ht="15.75" x14ac:dyDescent="0.25">
      <c r="A26" s="55" t="s">
        <v>151</v>
      </c>
      <c r="B26" s="55"/>
      <c r="C26" s="85" t="s">
        <v>105</v>
      </c>
      <c r="D26" s="84" t="s">
        <v>150</v>
      </c>
      <c r="E26" s="176" t="s">
        <v>344</v>
      </c>
      <c r="F26" s="177"/>
      <c r="H26" s="114"/>
      <c r="I26" s="251"/>
      <c r="J26" s="251"/>
      <c r="K26" s="251"/>
      <c r="L26" s="251"/>
      <c r="M26" s="251"/>
      <c r="N26" s="251"/>
      <c r="O26" s="251"/>
      <c r="P26" s="251"/>
      <c r="Q26" s="251"/>
      <c r="R26" s="251"/>
    </row>
    <row r="27" spans="1:18" x14ac:dyDescent="0.25">
      <c r="C27" s="85" t="s">
        <v>55</v>
      </c>
      <c r="D27" s="84" t="s">
        <v>150</v>
      </c>
      <c r="E27" s="252" t="s">
        <v>378</v>
      </c>
      <c r="F27" s="253"/>
      <c r="H27" s="114"/>
      <c r="I27" s="251"/>
      <c r="J27" s="251"/>
      <c r="K27" s="251"/>
      <c r="L27" s="251"/>
      <c r="M27" s="251"/>
      <c r="N27" s="251"/>
      <c r="O27" s="251"/>
      <c r="P27" s="251"/>
      <c r="Q27" s="251"/>
      <c r="R27" s="251"/>
    </row>
    <row r="28" spans="1:18" x14ac:dyDescent="0.25">
      <c r="C28" s="85" t="s">
        <v>56</v>
      </c>
      <c r="D28" s="84" t="s">
        <v>150</v>
      </c>
      <c r="E28" s="254"/>
      <c r="F28" s="253"/>
      <c r="H28" s="114"/>
      <c r="I28" s="251"/>
      <c r="J28" s="251"/>
      <c r="K28" s="251"/>
      <c r="L28" s="251"/>
      <c r="M28" s="251"/>
      <c r="N28" s="251"/>
      <c r="O28" s="251"/>
      <c r="P28" s="251"/>
      <c r="Q28" s="251"/>
      <c r="R28" s="251"/>
    </row>
    <row r="29" spans="1:18" x14ac:dyDescent="0.25">
      <c r="C29" s="85" t="s">
        <v>61</v>
      </c>
      <c r="D29" s="84" t="s">
        <v>150</v>
      </c>
      <c r="E29" s="254"/>
      <c r="F29" s="253"/>
      <c r="H29" s="114"/>
      <c r="I29" s="251"/>
      <c r="J29" s="251"/>
      <c r="K29" s="251"/>
      <c r="L29" s="251"/>
      <c r="M29" s="251"/>
      <c r="N29" s="251"/>
      <c r="O29" s="251"/>
      <c r="P29" s="251"/>
      <c r="Q29" s="251"/>
      <c r="R29" s="251"/>
    </row>
    <row r="30" spans="1:18" x14ac:dyDescent="0.25">
      <c r="C30" s="85" t="s">
        <v>317</v>
      </c>
      <c r="D30" s="84" t="s">
        <v>150</v>
      </c>
      <c r="E30" s="254"/>
      <c r="F30" s="253"/>
      <c r="H30" s="114"/>
      <c r="I30" s="251"/>
      <c r="J30" s="251"/>
      <c r="K30" s="251"/>
      <c r="L30" s="251"/>
      <c r="M30" s="251"/>
      <c r="N30" s="251"/>
      <c r="O30" s="251"/>
      <c r="P30" s="251"/>
      <c r="Q30" s="251"/>
      <c r="R30" s="251"/>
    </row>
    <row r="31" spans="1:18" x14ac:dyDescent="0.25">
      <c r="C31" s="85" t="s">
        <v>318</v>
      </c>
      <c r="D31" s="84" t="s">
        <v>150</v>
      </c>
      <c r="E31" s="254"/>
      <c r="F31" s="253"/>
      <c r="H31" s="114"/>
      <c r="I31" s="251"/>
      <c r="J31" s="251"/>
      <c r="K31" s="251"/>
      <c r="L31" s="251"/>
      <c r="M31" s="251"/>
      <c r="N31" s="251"/>
      <c r="O31" s="251"/>
      <c r="P31" s="251"/>
      <c r="Q31" s="251"/>
      <c r="R31" s="251"/>
    </row>
    <row r="32" spans="1:18" x14ac:dyDescent="0.25">
      <c r="I32" s="251"/>
      <c r="J32" s="251"/>
      <c r="K32" s="251"/>
      <c r="L32" s="251"/>
      <c r="M32" s="251"/>
      <c r="N32" s="251"/>
      <c r="O32" s="251"/>
      <c r="P32" s="251"/>
      <c r="Q32" s="251"/>
      <c r="R32" s="251"/>
    </row>
    <row r="33" spans="9:18" ht="14.25" customHeight="1" x14ac:dyDescent="0.25">
      <c r="I33" s="187"/>
      <c r="J33" s="187"/>
      <c r="K33" s="187"/>
      <c r="L33" s="187"/>
      <c r="M33" s="187"/>
      <c r="N33" s="187"/>
      <c r="O33" s="187"/>
      <c r="P33" s="187"/>
      <c r="Q33" s="187"/>
      <c r="R33" s="187"/>
    </row>
  </sheetData>
  <mergeCells count="2">
    <mergeCell ref="I25:R32"/>
    <mergeCell ref="E27:F31"/>
  </mergeCells>
  <conditionalFormatting sqref="B3:B22 D3:G22">
    <cfRule type="expression" dxfId="61" priority="2">
      <formula>$E3=MAX($E$3:$E$22)</formula>
    </cfRule>
  </conditionalFormatting>
  <conditionalFormatting sqref="C3:C22">
    <cfRule type="expression" dxfId="60" priority="1">
      <formula>$E3=MAX($E$3:$E$22)</formula>
    </cfRule>
  </conditionalFormatting>
  <dataValidations count="1">
    <dataValidation type="list" allowBlank="1" showInputMessage="1" showErrorMessage="1" sqref="D25:D31" xr:uid="{54A005AE-6960-4CFC-8B11-21D94BB022C3}">
      <formula1>$A$25:$A$26</formula1>
    </dataValidation>
  </dataValidations>
  <pageMargins left="0.7" right="0.7" top="0.75" bottom="0.75" header="0.3" footer="0.3"/>
  <pageSetup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X1452"/>
  <sheetViews>
    <sheetView showGridLines="0" zoomScale="85" zoomScaleNormal="85" workbookViewId="0">
      <pane xSplit="4" ySplit="3" topLeftCell="AN4" activePane="bottomRight" state="frozen"/>
      <selection activeCell="D33" sqref="D33"/>
      <selection pane="topRight" activeCell="D33" sqref="D33"/>
      <selection pane="bottomLeft" activeCell="D33" sqref="D33"/>
      <selection pane="bottomRight" activeCell="BG4" sqref="BG4"/>
    </sheetView>
  </sheetViews>
  <sheetFormatPr defaultRowHeight="15" x14ac:dyDescent="0.25"/>
  <cols>
    <col min="7" max="7" width="11" customWidth="1"/>
    <col min="8" max="8" width="10.85546875" customWidth="1"/>
    <col min="9" max="9" width="11.5703125" customWidth="1"/>
    <col min="10" max="10" width="5.140625" style="4" customWidth="1"/>
    <col min="11" max="13" width="9.28515625" customWidth="1"/>
    <col min="15" max="16" width="9.7109375" bestFit="1" customWidth="1"/>
    <col min="17" max="17" width="15.28515625" customWidth="1"/>
    <col min="18" max="18" width="14.140625" customWidth="1"/>
    <col min="19" max="20" width="13.5703125" style="3" customWidth="1"/>
    <col min="21" max="21" width="6.28515625" style="37" customWidth="1"/>
    <col min="23" max="24" width="9.140625" style="13"/>
    <col min="25" max="25" width="5.140625" style="4" customWidth="1"/>
    <col min="26" max="26" width="11.42578125" customWidth="1"/>
    <col min="27" max="28" width="10.5703125" customWidth="1"/>
    <col min="29" max="29" width="5.140625" style="4" customWidth="1"/>
    <col min="30" max="30" width="10.28515625" customWidth="1"/>
    <col min="31" max="31" width="15.7109375" customWidth="1"/>
    <col min="32" max="32" width="10.28515625" customWidth="1"/>
    <col min="35" max="35" width="5.140625" style="4" customWidth="1"/>
    <col min="36" max="36" width="14.42578125" customWidth="1"/>
    <col min="37" max="37" width="15" customWidth="1"/>
    <col min="38" max="38" width="16.85546875" customWidth="1"/>
    <col min="39" max="39" width="13.5703125" style="3" customWidth="1"/>
    <col min="40" max="40" width="11.42578125" style="3" customWidth="1"/>
    <col min="41" max="41" width="9.5703125" style="13" customWidth="1"/>
    <col min="42" max="42" width="11.28515625" style="13" customWidth="1"/>
    <col min="43" max="43" width="5.5703125" customWidth="1"/>
    <col min="44" max="44" width="8.85546875" customWidth="1"/>
    <col min="46" max="46" width="11" customWidth="1"/>
    <col min="47" max="47" width="9.140625" customWidth="1"/>
    <col min="50" max="50" width="12.42578125" bestFit="1" customWidth="1"/>
    <col min="51" max="51" width="12.28515625" bestFit="1" customWidth="1"/>
    <col min="52" max="52" width="9.140625" customWidth="1"/>
    <col min="53" max="53" width="13.85546875" style="4" customWidth="1"/>
    <col min="55" max="55" width="14.28515625" style="53" customWidth="1"/>
    <col min="56" max="56" width="10.7109375" style="53" bestFit="1" customWidth="1"/>
    <col min="57" max="57" width="15.140625" style="53" customWidth="1"/>
    <col min="58" max="58" width="9.140625" style="53" customWidth="1"/>
    <col min="59" max="59" width="11.85546875" style="53" customWidth="1"/>
    <col min="60" max="60" width="9" customWidth="1"/>
    <col min="61" max="61" width="8.85546875" customWidth="1"/>
    <col min="63" max="63" width="11" customWidth="1"/>
    <col min="64" max="64" width="9.140625" customWidth="1"/>
    <col min="68" max="68" width="12.28515625" bestFit="1" customWidth="1"/>
    <col min="70" max="70" width="13.140625" style="4" customWidth="1"/>
    <col min="72" max="72" width="14.28515625" style="53" customWidth="1"/>
    <col min="73" max="73" width="10.42578125" style="53" customWidth="1"/>
    <col min="74" max="74" width="15.140625" style="53" customWidth="1"/>
    <col min="75" max="75" width="9.140625" style="53"/>
    <col min="76" max="76" width="15.140625" style="53" customWidth="1"/>
  </cols>
  <sheetData>
    <row r="1" spans="1:76" s="45" customFormat="1" ht="27" customHeight="1" x14ac:dyDescent="0.25">
      <c r="A1" s="44" t="s">
        <v>129</v>
      </c>
      <c r="J1" s="46"/>
      <c r="S1" s="48"/>
      <c r="T1" s="48"/>
      <c r="U1" s="49"/>
      <c r="W1" s="47"/>
      <c r="X1" s="47"/>
      <c r="Y1" s="46"/>
      <c r="AC1" s="46"/>
      <c r="AI1" s="46"/>
      <c r="AM1" s="48"/>
      <c r="AN1" s="48"/>
      <c r="AO1" s="47"/>
      <c r="AP1" s="47"/>
      <c r="BA1" s="46"/>
      <c r="BC1" s="75"/>
      <c r="BD1" s="75"/>
      <c r="BE1" s="75"/>
      <c r="BF1" s="75"/>
      <c r="BG1" s="75"/>
      <c r="BR1" s="46"/>
      <c r="BT1" s="75"/>
      <c r="BU1" s="75"/>
      <c r="BV1" s="75"/>
      <c r="BW1" s="75"/>
      <c r="BX1" s="75"/>
    </row>
    <row r="2" spans="1:76" s="39" customFormat="1" ht="16.899999999999999" customHeight="1" x14ac:dyDescent="0.25">
      <c r="J2" s="40"/>
      <c r="K2" s="41" t="s">
        <v>128</v>
      </c>
      <c r="L2" s="41"/>
      <c r="M2" s="41"/>
      <c r="N2" s="41"/>
      <c r="O2" s="41"/>
      <c r="P2" s="41"/>
      <c r="Q2" s="41"/>
      <c r="R2" s="41"/>
      <c r="S2" s="41"/>
      <c r="T2" s="43"/>
      <c r="U2" s="50"/>
      <c r="W2" s="42"/>
      <c r="X2" s="42"/>
      <c r="Y2" s="40"/>
      <c r="Z2" s="41" t="s">
        <v>294</v>
      </c>
      <c r="AA2" s="41"/>
      <c r="AB2" s="41"/>
      <c r="AC2" s="40"/>
      <c r="AD2" s="41" t="s">
        <v>295</v>
      </c>
      <c r="AE2" s="41"/>
      <c r="AI2" s="40"/>
      <c r="AJ2" s="41" t="s">
        <v>137</v>
      </c>
      <c r="AL2" s="41"/>
      <c r="AM2" s="43"/>
      <c r="AN2" s="43"/>
      <c r="AO2" s="42"/>
      <c r="AP2" s="42"/>
      <c r="AR2" s="41" t="s">
        <v>135</v>
      </c>
      <c r="BA2" s="40"/>
      <c r="BC2" s="80" t="s">
        <v>296</v>
      </c>
      <c r="BD2" s="76"/>
      <c r="BE2" s="76"/>
      <c r="BF2" s="76"/>
      <c r="BG2" s="76"/>
      <c r="BI2" s="41" t="s">
        <v>155</v>
      </c>
      <c r="BR2" s="40"/>
      <c r="BT2" s="41" t="s">
        <v>298</v>
      </c>
      <c r="BU2" s="76"/>
      <c r="BV2" s="76"/>
      <c r="BW2" s="76"/>
      <c r="BX2" s="76"/>
    </row>
    <row r="3" spans="1:76" s="92" customFormat="1" ht="45.75" customHeight="1" x14ac:dyDescent="0.25">
      <c r="A3" s="86" t="s">
        <v>14</v>
      </c>
      <c r="B3" s="86" t="s">
        <v>1</v>
      </c>
      <c r="C3" s="86" t="s">
        <v>12</v>
      </c>
      <c r="D3" s="86" t="s">
        <v>11</v>
      </c>
      <c r="E3" s="86" t="s">
        <v>127</v>
      </c>
      <c r="F3" s="86" t="s">
        <v>108</v>
      </c>
      <c r="G3" s="86" t="s">
        <v>315</v>
      </c>
      <c r="H3" s="86" t="s">
        <v>124</v>
      </c>
      <c r="I3" s="86" t="s">
        <v>144</v>
      </c>
      <c r="J3" s="87"/>
      <c r="K3" s="88" t="s">
        <v>203</v>
      </c>
      <c r="L3" s="88" t="s">
        <v>204</v>
      </c>
      <c r="M3" s="88" t="s">
        <v>138</v>
      </c>
      <c r="N3" s="88" t="s">
        <v>139</v>
      </c>
      <c r="O3" s="88" t="s">
        <v>288</v>
      </c>
      <c r="P3" s="88" t="s">
        <v>287</v>
      </c>
      <c r="Q3" s="88" t="s">
        <v>146</v>
      </c>
      <c r="R3" s="88" t="s">
        <v>147</v>
      </c>
      <c r="S3" s="88" t="s">
        <v>308</v>
      </c>
      <c r="T3" s="91" t="s">
        <v>291</v>
      </c>
      <c r="U3" s="89" t="s">
        <v>13</v>
      </c>
      <c r="V3" s="88" t="s">
        <v>140</v>
      </c>
      <c r="W3" s="90" t="s">
        <v>131</v>
      </c>
      <c r="X3" s="90" t="s">
        <v>132</v>
      </c>
      <c r="Y3" s="87"/>
      <c r="Z3" s="88" t="s">
        <v>307</v>
      </c>
      <c r="AA3" s="88" t="s">
        <v>301</v>
      </c>
      <c r="AB3" s="88" t="s">
        <v>284</v>
      </c>
      <c r="AC3" s="87"/>
      <c r="AD3" s="88" t="s">
        <v>141</v>
      </c>
      <c r="AE3" s="88" t="s">
        <v>149</v>
      </c>
      <c r="AF3" s="88" t="s">
        <v>50</v>
      </c>
      <c r="AG3" s="88" t="s">
        <v>51</v>
      </c>
      <c r="AH3" s="88" t="s">
        <v>133</v>
      </c>
      <c r="AI3" s="87"/>
      <c r="AJ3" s="88" t="s">
        <v>142</v>
      </c>
      <c r="AK3" s="88" t="s">
        <v>143</v>
      </c>
      <c r="AL3" s="88" t="s">
        <v>290</v>
      </c>
      <c r="AM3" s="91" t="s">
        <v>130</v>
      </c>
      <c r="AN3" s="91" t="s">
        <v>134</v>
      </c>
      <c r="AO3" s="90" t="s">
        <v>154</v>
      </c>
      <c r="AP3" s="90" t="s">
        <v>153</v>
      </c>
      <c r="AR3" s="93" t="s">
        <v>102</v>
      </c>
      <c r="AS3" s="93" t="s">
        <v>0</v>
      </c>
      <c r="AT3" s="93" t="s">
        <v>2</v>
      </c>
      <c r="AU3" s="93" t="s">
        <v>4</v>
      </c>
      <c r="AV3" s="93" t="s">
        <v>3</v>
      </c>
      <c r="AW3" s="93" t="s">
        <v>5</v>
      </c>
      <c r="AX3" s="93" t="s">
        <v>6</v>
      </c>
      <c r="AY3" s="93" t="s">
        <v>125</v>
      </c>
      <c r="AZ3" s="93" t="s">
        <v>479</v>
      </c>
      <c r="BA3" s="94" t="s">
        <v>126</v>
      </c>
      <c r="BC3" s="79" t="s">
        <v>297</v>
      </c>
      <c r="BD3" s="79" t="s">
        <v>481</v>
      </c>
      <c r="BE3" s="79" t="s">
        <v>482</v>
      </c>
      <c r="BF3" s="79" t="s">
        <v>480</v>
      </c>
      <c r="BG3" s="79" t="s">
        <v>483</v>
      </c>
      <c r="BI3" s="81" t="s">
        <v>102</v>
      </c>
      <c r="BJ3" s="81" t="s">
        <v>0</v>
      </c>
      <c r="BK3" s="81" t="s">
        <v>2</v>
      </c>
      <c r="BL3" s="81" t="s">
        <v>4</v>
      </c>
      <c r="BM3" s="81" t="s">
        <v>3</v>
      </c>
      <c r="BN3" s="81" t="s">
        <v>5</v>
      </c>
      <c r="BO3" s="81" t="s">
        <v>6</v>
      </c>
      <c r="BP3" s="81" t="s">
        <v>125</v>
      </c>
      <c r="BQ3" s="81" t="s">
        <v>479</v>
      </c>
      <c r="BR3" s="81" t="s">
        <v>126</v>
      </c>
      <c r="BT3" s="77" t="s">
        <v>292</v>
      </c>
      <c r="BU3" s="77" t="s">
        <v>475</v>
      </c>
      <c r="BV3" s="77" t="s">
        <v>476</v>
      </c>
      <c r="BW3" s="77" t="s">
        <v>478</v>
      </c>
      <c r="BX3" s="77" t="s">
        <v>477</v>
      </c>
    </row>
    <row r="4" spans="1:76" s="78" customFormat="1" x14ac:dyDescent="0.25">
      <c r="A4" s="78">
        <v>0</v>
      </c>
      <c r="B4" s="78">
        <v>0</v>
      </c>
      <c r="C4" s="78">
        <v>0</v>
      </c>
      <c r="E4" s="53">
        <v>1</v>
      </c>
      <c r="G4" s="95">
        <f>Input!C9</f>
        <v>20</v>
      </c>
      <c r="J4" s="82"/>
      <c r="S4" s="98"/>
      <c r="T4" s="98"/>
      <c r="U4" s="96"/>
      <c r="W4" s="97"/>
      <c r="X4" s="97"/>
      <c r="Y4" s="82"/>
      <c r="AC4" s="82"/>
      <c r="AI4" s="82"/>
      <c r="AM4" s="98"/>
      <c r="AN4" s="98"/>
      <c r="AO4" s="97"/>
      <c r="AP4" s="97"/>
      <c r="BA4" s="82"/>
      <c r="BC4" s="74">
        <v>1</v>
      </c>
      <c r="BR4" s="82"/>
      <c r="BT4" s="74">
        <f>BC4</f>
        <v>1</v>
      </c>
    </row>
    <row r="5" spans="1:76" s="150" customFormat="1" x14ac:dyDescent="0.25">
      <c r="A5" s="150">
        <v>1</v>
      </c>
      <c r="B5" s="150">
        <v>1</v>
      </c>
      <c r="C5" s="150">
        <v>1</v>
      </c>
      <c r="D5" s="150">
        <f>IF(E5="","",Input!$C$4+B5-1)</f>
        <v>45</v>
      </c>
      <c r="E5" s="150">
        <f>IF(OR(AND(C4=12,D4=Input!$C$6),E4=""),"",1)</f>
        <v>1</v>
      </c>
      <c r="F5" s="150">
        <f>IF(E5="","",Input!$C$8+B5-1)</f>
        <v>2018</v>
      </c>
      <c r="G5" s="151">
        <f>IF(E5="","",MAX(0,Input!$C$9-B5))</f>
        <v>19</v>
      </c>
      <c r="H5" s="152">
        <f>IF(E5="","",Input!$C$3)</f>
        <v>100000</v>
      </c>
      <c r="I5" s="153">
        <f>IF(E5="","",HLOOKUP($B5,Input!$C$13:$BT$14,2))</f>
        <v>2.2999999999999998</v>
      </c>
      <c r="J5" s="154"/>
      <c r="K5" s="155">
        <f>IF($E5="","",INDEX(Input!$C$16:$CP$16,1,$B5))</f>
        <v>2.9399999999999999E-2</v>
      </c>
      <c r="L5" s="155">
        <f>IF($E5="","",Input!$C$37)</f>
        <v>1.4999999999999999E-2</v>
      </c>
      <c r="M5" s="155">
        <f>IF($E5="","",K5+L5)</f>
        <v>4.4399999999999995E-2</v>
      </c>
      <c r="N5" s="155">
        <f>IF($E5="","",(1+M5)^(1/12)-1)</f>
        <v>3.6267740400885984E-3</v>
      </c>
      <c r="O5" s="147">
        <f>IF($E5="","",MIN(VLOOKUP(IF($B5&lt;=Input!$C$7,$B5,26),'Mortality Tables'!$A$41:$CW$67,IF($B5&lt;=Input!$C$7+1,Input!$C$4+2,$D5-Input!$C$7+2),0)*IF(B5&gt;20,Input!$C$22,1)/1000,1))</f>
        <v>2.7999999999999998E-4</v>
      </c>
      <c r="P5" s="147">
        <f>IF($E5="","",MIN(VLOOKUP(IF($B5&lt;=Input!$C$7,$B5,26),'Mortality Tables'!$A$12:$CW$37,IF($B5&lt;=Input!$C$7+1,Input!$C$4+2,$D5-Input!$C$7+2),0)*IF(B5&gt;20,Input!$C$22,1)/1000,1))</f>
        <v>3.5E-4</v>
      </c>
      <c r="Q5" s="155">
        <f>IF($E5="","",Input!$C$21)</f>
        <v>5.0000000000000001E-3</v>
      </c>
      <c r="R5" s="156">
        <f>IF($E5="","",(1-Q5)^($F5-Input!$C$20))</f>
        <v>1</v>
      </c>
      <c r="S5" s="147">
        <f t="shared" ref="S5:S68" si="0">IF($E5="","",MIN(O5*R5,1))</f>
        <v>2.7999999999999998E-4</v>
      </c>
      <c r="T5" s="147">
        <f t="shared" ref="T5:T68" si="1">IF($E5="","",1-(1-S5)^(1/12))</f>
        <v>2.3336328313527943E-5</v>
      </c>
      <c r="U5" s="160">
        <f>IF($E5="","",IF($C5=12,INDEX(Input!$C$15:$CP$15,1,$B5),0))</f>
        <v>0</v>
      </c>
      <c r="V5" s="150">
        <f>IF(E5="","",IF(C5=1,IF($B5=1,Input!$C$33,Input!$C$34),0))</f>
        <v>200</v>
      </c>
      <c r="W5" s="156">
        <f>IF($E5="","",Input!$C$35)</f>
        <v>0.02</v>
      </c>
      <c r="X5" s="156">
        <f t="shared" ref="X5:X68" si="2">IF($E5="","",IF(B5=1,1,IF(C5=1,(1+W5)*X4,X4)))</f>
        <v>1</v>
      </c>
      <c r="Y5" s="154"/>
      <c r="Z5" s="147">
        <f>IF($E5="","",VLOOKUP($D5,'Mortality Margins &amp; Grading'!$AB$5:$AF$125,3,0)*IF(Summary!$D$25="Included Margin",IF(AND($B5&gt;Input!$C$9,Summary!$D$31&lt;&gt;"Included Margin"),0,1),0))</f>
        <v>0.04</v>
      </c>
      <c r="AA5" s="147">
        <f>IF($E5="","",VLOOKUP($D5,'Mortality Margins &amp; Grading'!$AB$5:$AF$125,5,0)*IF(Summary!$D$25="Included Margin",IF(AND($B5&gt;Input!$C$9,Summary!$D$31&lt;&gt;"Included Margin"),0,1),0))</f>
        <v>0.20399999999999999</v>
      </c>
      <c r="AB5" s="147">
        <f>IF($E5="","",IF(AND($B5&gt;Input!$C$9,Summary!$D$31&lt;&gt;"Included Margin"),1,IF(Summary!$D$25="Included Margin",VLOOKUP($B5,'Mortality Margins &amp; Grading'!$AI$5:$AR$125,MATCH('Mortality Margins &amp; Grading'!$AQ$4,'Mortality Margins &amp; Grading'!$AI$4:$AR$4,0),0),1)))</f>
        <v>1</v>
      </c>
      <c r="AC5" s="154"/>
      <c r="AD5" s="158">
        <f>IF(E5="","",Input!$C$48*IF(Summary!$D$30="Included Margin",IF(AND($B5&gt;Input!$C$9,Summary!$D$31&lt;&gt;"Included Margin"),0,1),0))</f>
        <v>-4.4999999999999997E-3</v>
      </c>
      <c r="AE5" s="159">
        <f>IF(E5="","",IF(Summary!$D$26="Included Margin",IF(AND($B5&gt;Input!$C$9,Summary!$D$31&lt;&gt;"Included Margin"),1,1/$R5),1))</f>
        <v>1</v>
      </c>
      <c r="AF5" s="160">
        <f>IF(E5="","",IF(AND($B5&gt;=Input!$C$9,$C5=12,Summary!$D$31="Included Margin",$U5&gt;0),1/U5-1,IF($B5&gt;=Input!$C$9,0,Input!$C$45*IF(Summary!$D$27="Included Margin",1,0))))</f>
        <v>-0.1</v>
      </c>
      <c r="AG5" s="160">
        <f>IF(E5="","",Input!$C$46*IF(Summary!$D$28="Included Margin",IF(AND($B5&gt;Input!$C$9,Summary!$D$31&lt;&gt;"Included Margin"),0,1),0))</f>
        <v>0.02</v>
      </c>
      <c r="AH5" s="158">
        <f>IF(E5="","",Input!$C$47*IF(Summary!$D$29="Included Margin",IF(AND($B5&gt;Input!$C$9,Summary!$D$31&lt;&gt;"Included Margin"),0,1),0))</f>
        <v>2.5000000000000001E-3</v>
      </c>
      <c r="AI5" s="154"/>
      <c r="AJ5" s="158">
        <f>IF(E5="","",M5+AD5)</f>
        <v>3.9899999999999998E-2</v>
      </c>
      <c r="AK5" s="155">
        <f>IF(E5="","",(1+AJ5)^(1/12)-1)</f>
        <v>3.2657003754898994E-3</v>
      </c>
      <c r="AL5" s="147">
        <f>IF($E5="","",MIN(($O5*(1+$Z5)*$AB5+$P5*(1+$AA5)*(1-$AB5))*R5*AE5,1))</f>
        <v>2.9119999999999998E-4</v>
      </c>
      <c r="AM5" s="147">
        <f t="shared" ref="AM5:AM68" si="3">IF($E5="","",1-(1-AL5)^(1/12))</f>
        <v>2.426990606041457E-5</v>
      </c>
      <c r="AN5" s="160">
        <f>IF(E5="","",IF(U5=1,1,(1+AF5)*U5))</f>
        <v>0</v>
      </c>
      <c r="AO5" s="161">
        <f>IF($E5="","",(1+$AG5)*$V5)</f>
        <v>204</v>
      </c>
      <c r="AP5" s="156">
        <f t="shared" ref="AP5:AP68" si="4">IF($E5="","",IF(B5=1,1,IF(C5=1,(1+$W5+$AH5)*AP4,AP4)))</f>
        <v>1</v>
      </c>
      <c r="AQ5" s="152"/>
      <c r="AR5" s="162">
        <f t="shared" ref="AR5:AR68" si="5">IF($E5="","",(AZ5*(1-$AN5)*(1-$AM5)/(1+$AK5)+AU5/(1+$AK5/2)-AS5+AT5))</f>
        <v>-161.91288565979278</v>
      </c>
      <c r="AS5" s="150">
        <f>IF($E5="","",IF($C5=1,$I5*$H5/1000,0))</f>
        <v>229.99999999999997</v>
      </c>
      <c r="AT5" s="163">
        <f t="shared" ref="AT5:AT68" si="6">IF($E5="","",$AO5*$AP5)</f>
        <v>204</v>
      </c>
      <c r="AU5" s="163">
        <f t="shared" ref="AU5:AU68" si="7">IF($E5="","",$AM5*$H5)</f>
        <v>2.426990606041457</v>
      </c>
      <c r="AV5" s="163">
        <f>IF($E5="","",(AR5+AS5-AT5-AU5/2)*$AK5)</f>
        <v>-0.44781367379983111</v>
      </c>
      <c r="AW5" s="163">
        <f t="shared" ref="AW5:AW68" si="8">IF($E5="","",AZ5*$AM5)</f>
        <v>-3.3684457922491073E-3</v>
      </c>
      <c r="AX5" s="163">
        <f t="shared" ref="AX5:AX68" si="9">IF($E5="","",$AN5*AZ5*(1-$AM5))</f>
        <v>0</v>
      </c>
      <c r="AY5" s="164">
        <f>IF($E5="","",AR5+AS5-AT5-AU5+AV5+AW5+AX5)</f>
        <v>-138.79105838542637</v>
      </c>
      <c r="AZ5" s="164">
        <f>IF($E5="","",IF(OR(AND($D5=Input!$C$6,$C5=12),$AN5=1),0,-AS6+AT6+AU6-AV6-AW6-AX6+AZ6))</f>
        <v>-138.79105192513336</v>
      </c>
      <c r="BA5" s="154">
        <f t="shared" ref="BA5:BA68" si="10">IF(E5="","",AZ5-AY5)</f>
        <v>6.4602930081036902E-6</v>
      </c>
      <c r="BC5" s="147">
        <f>IF($E5="","",MIN(1,(1-T5-U5))*BC4)</f>
        <v>0.99997666367168647</v>
      </c>
      <c r="BD5" s="164">
        <f>IF(AND($C4=12,$D4=Input!$C$6),0,IF($E5="","",AT5+(AU5+BD6)/(1+$AK5)*MIN((1-AM5-AN5),1)))</f>
        <v>2123.1071886782743</v>
      </c>
      <c r="BE5" s="164">
        <f t="shared" ref="BE5:BE68" si="11">IF($E5="","",BC5*BD5)</f>
        <v>2123.0576431518743</v>
      </c>
      <c r="BF5" s="164">
        <f>IF($E5="","",AZ5)</f>
        <v>-138.79105192513336</v>
      </c>
      <c r="BG5" s="164">
        <f t="shared" ref="BG5:BG68" si="12">IF($E5="","",BC5*BF5)</f>
        <v>-138.78781305157867</v>
      </c>
      <c r="BH5" s="152"/>
      <c r="BI5" s="162">
        <f t="shared" ref="BI5:BI68" si="13">IF($E5="","",(BQ5*(1-$U5)*(1-$T5)/(1+$N5)+BL5/(1+$N5/2)-BJ5+BK5))</f>
        <v>-346.66227664856967</v>
      </c>
      <c r="BJ5" s="150">
        <f t="shared" ref="BJ5:BJ68" si="14">IF($E5="","",AS5)</f>
        <v>229.99999999999997</v>
      </c>
      <c r="BK5" s="163">
        <f>IF($E5="","",$V5*$X5)</f>
        <v>200</v>
      </c>
      <c r="BL5" s="163">
        <f t="shared" ref="BL5:BL68" si="15">IF(E5="","",$T5*$H5)</f>
        <v>2.3336328313527943</v>
      </c>
      <c r="BM5" s="163">
        <f>IF($E5="","",(BI5+BJ5-BK5-BL5/2)*$N5)</f>
        <v>-1.1526943039103108</v>
      </c>
      <c r="BN5" s="163">
        <f t="shared" ref="BN5:BN68" si="16">IF($E5="","",BQ5*$T5)</f>
        <v>-7.4712671002036416E-3</v>
      </c>
      <c r="BO5" s="163">
        <f t="shared" ref="BO5:BO68" si="17">IF($E5="","",$U5*BQ5*(1-$T5))</f>
        <v>0</v>
      </c>
      <c r="BP5" s="164">
        <f>IF($E5="","",BI5+BJ5-BK5-BL5+BM5+BN5+BO5)</f>
        <v>-320.156075050933</v>
      </c>
      <c r="BQ5" s="164">
        <f>IF($E5="","",IF(AND($D5=Input!$C$6,$C5=12),0,-BJ6+BK6+BL6-BM6-BN6-BO6+BQ6))</f>
        <v>-320.1560673909695</v>
      </c>
      <c r="BR5" s="161">
        <f t="shared" ref="BR5:BR68" si="18">IF(E5="","",ROUND(BQ5-BP5,1))</f>
        <v>0</v>
      </c>
      <c r="BT5" s="147">
        <f t="shared" ref="BT5:BT68" si="19">IF(E5="","",BC5)</f>
        <v>0.99997666367168647</v>
      </c>
      <c r="BU5" s="164">
        <f>IF(AND($C4=12,$D4=Input!$C$6),0,IF($E5="","",BK5+(BL5+BU6)/(1+$AK5)*MIN((1-T5-U5),1)))</f>
        <v>2856.8997558126889</v>
      </c>
      <c r="BV5" s="164">
        <f t="shared" ref="BV5:BV68" si="20">IF(E5="","",BT5*BU5)</f>
        <v>2856.8330862620282</v>
      </c>
      <c r="BW5" s="164">
        <f t="shared" ref="BW5:BW68" si="21">IF(E5="","",BQ5)</f>
        <v>-320.1560673909695</v>
      </c>
      <c r="BX5" s="164">
        <f t="shared" ref="BX5:BX68" si="22">IF(E5="","",BT5*BW5)</f>
        <v>-320.14859612386931</v>
      </c>
    </row>
    <row r="6" spans="1:76" s="150" customFormat="1" x14ac:dyDescent="0.25">
      <c r="A6" s="150">
        <f>IF(E6="","",A5+1)</f>
        <v>2</v>
      </c>
      <c r="B6" s="150">
        <f>IF(E6="","",IF(C5+1&gt;12,B5+1,B5))</f>
        <v>1</v>
      </c>
      <c r="C6" s="150">
        <f>IF(E6="","",IF(C5+1&gt;12,1,C5+1))</f>
        <v>2</v>
      </c>
      <c r="D6" s="150">
        <f>IF(E6="","",Input!$C$4+B6-1)</f>
        <v>45</v>
      </c>
      <c r="E6" s="150">
        <f>IF(OR(AND(C5=12,D5=Input!$C$6),E5=""),"",1)</f>
        <v>1</v>
      </c>
      <c r="F6" s="150">
        <f>IF(E6="","",Input!$C$8+B6-1)</f>
        <v>2018</v>
      </c>
      <c r="G6" s="151">
        <f>IF(E6="","",MAX(0,Input!$C$9-B6))</f>
        <v>19</v>
      </c>
      <c r="H6" s="152">
        <f>IF(E6="","",Input!$C$3)</f>
        <v>100000</v>
      </c>
      <c r="I6" s="153">
        <f>IF(E6="","",HLOOKUP($B6,Input!$C$13:$BT$14,2))</f>
        <v>2.2999999999999998</v>
      </c>
      <c r="J6" s="154"/>
      <c r="K6" s="155">
        <f>IF($E6="","",INDEX(Input!$C$16:$CP$16,1,$B6))</f>
        <v>2.9399999999999999E-2</v>
      </c>
      <c r="L6" s="155">
        <f>IF($E6="","",Input!$C$37)</f>
        <v>1.4999999999999999E-2</v>
      </c>
      <c r="M6" s="155">
        <f t="shared" ref="M6:M69" si="23">IF($E6="","",K6+L6)</f>
        <v>4.4399999999999995E-2</v>
      </c>
      <c r="N6" s="155">
        <f t="shared" ref="N6:N69" si="24">IF($E6="","",(1+M6)^(1/12)-1)</f>
        <v>3.6267740400885984E-3</v>
      </c>
      <c r="O6" s="147">
        <f>IF($E6="","",MIN(VLOOKUP(IF($B6&lt;=Input!$C$7,$B6,26),'Mortality Tables'!$A$41:$CW$67,IF($B6&lt;=Input!$C$7+1,Input!$C$4+2,$D6-Input!$C$7+2),0)*IF(B6&gt;20,Input!$C$22,1)/1000,1))</f>
        <v>2.7999999999999998E-4</v>
      </c>
      <c r="P6" s="147">
        <f>IF($E6="","",MIN(VLOOKUP(IF($B6&lt;=Input!$C$7,$B6,26),'Mortality Tables'!$A$12:$CW$37,IF($B6&lt;=Input!$C$7+1,Input!$C$4+2,$D6-Input!$C$7+2),0)*IF(B6&gt;20,Input!$C$22,1)/1000,1))</f>
        <v>3.5E-4</v>
      </c>
      <c r="Q6" s="155">
        <f>IF($E6="","",Input!$C$21)</f>
        <v>5.0000000000000001E-3</v>
      </c>
      <c r="R6" s="156">
        <f>IF($E6="","",(1-Q6)^($F6-Input!$C$20))</f>
        <v>1</v>
      </c>
      <c r="S6" s="147">
        <f t="shared" si="0"/>
        <v>2.7999999999999998E-4</v>
      </c>
      <c r="T6" s="147">
        <f t="shared" si="1"/>
        <v>2.3336328313527943E-5</v>
      </c>
      <c r="U6" s="160">
        <f>IF($E6="","",IF($C6=12,INDEX(Input!$C$15:$CP$15,1,$B6),0))</f>
        <v>0</v>
      </c>
      <c r="V6" s="150">
        <f>IF(E6="","",IF(C6=1,IF($B6=1,Input!$C$33,Input!$C$34),0))</f>
        <v>0</v>
      </c>
      <c r="W6" s="156">
        <f>IF($E6="","",Input!$C$35)</f>
        <v>0.02</v>
      </c>
      <c r="X6" s="156">
        <f t="shared" si="2"/>
        <v>1</v>
      </c>
      <c r="Y6" s="154"/>
      <c r="Z6" s="147">
        <f>IF($E6="","",VLOOKUP($D6,'Mortality Margins &amp; Grading'!$AB$5:$AF$125,3,0)*IF(Summary!$D$25="Included Margin",IF(AND($B6&gt;Input!$C$9,Summary!$D$31&lt;&gt;"Included Margin"),0,1),0))</f>
        <v>0.04</v>
      </c>
      <c r="AA6" s="147">
        <f>IF($E6="","",VLOOKUP($D6,'Mortality Margins &amp; Grading'!$AB$5:$AF$125,5,0)*IF(Summary!$D$25="Included Margin",IF(AND($B6&gt;Input!$C$9,Summary!$D$31&lt;&gt;"Included Margin"),0,1),0))</f>
        <v>0.20399999999999999</v>
      </c>
      <c r="AB6" s="147">
        <f>IF($E6="","",IF(AND($B6&gt;Input!$C$9,Summary!$D$31&lt;&gt;"Included Margin"),1,IF(Summary!$D$25="Included Margin",VLOOKUP($B6,'Mortality Margins &amp; Grading'!$AI$5:$AR$125,MATCH('Mortality Margins &amp; Grading'!$AQ$4,'Mortality Margins &amp; Grading'!$AI$4:$AR$4,0),0),1)))</f>
        <v>1</v>
      </c>
      <c r="AC6" s="154"/>
      <c r="AD6" s="158">
        <f>IF(E6="","",Input!$C$48*IF(Summary!$D$30="Included Margin",IF(AND($B6&gt;Input!$C$9,Summary!$D$31&lt;&gt;"Included Margin"),0,1),0))</f>
        <v>-4.4999999999999997E-3</v>
      </c>
      <c r="AE6" s="159">
        <f>IF(E6="","",IF(Summary!$D$26="Included Margin",IF(AND($B6&gt;Input!$C$9,Summary!$D$31&lt;&gt;"Included Margin"),1,1/$R6),1))</f>
        <v>1</v>
      </c>
      <c r="AF6" s="160">
        <f>IF(E6="","",IF(AND($B6&gt;=Input!$C$9,$C6=12,Summary!$D$31="Included Margin",$U6&gt;0),1/U6-1,IF($B6&gt;=Input!$C$9,0,Input!$C$45*IF(Summary!$D$27="Included Margin",1,0))))</f>
        <v>-0.1</v>
      </c>
      <c r="AG6" s="160">
        <f>IF(E6="","",Input!$C$46*IF(Summary!$D$28="Included Margin",IF(AND($B6&gt;Input!$C$9,Summary!$D$31&lt;&gt;"Included Margin"),0,1),0))</f>
        <v>0.02</v>
      </c>
      <c r="AH6" s="158">
        <f>IF(E6="","",Input!$C$47*IF(Summary!$D$29="Included Margin",IF(AND($B6&gt;Input!$C$9,Summary!$D$31&lt;&gt;"Included Margin"),0,1),0))</f>
        <v>2.5000000000000001E-3</v>
      </c>
      <c r="AI6" s="154"/>
      <c r="AJ6" s="158">
        <f t="shared" ref="AJ6:AJ69" si="25">IF(E6="","",M6+AD6)</f>
        <v>3.9899999999999998E-2</v>
      </c>
      <c r="AK6" s="155">
        <f t="shared" ref="AK6:AK69" si="26">IF(E6="","",(1+AJ6)^(1/12)-1)</f>
        <v>3.2657003754898994E-3</v>
      </c>
      <c r="AL6" s="147">
        <f t="shared" ref="AL6:AL69" si="27">IF($E6="","",MIN(($O6*(1+$Z6)*$AB6+$P6*(1+$AA6)*(1-$AB6))*R6*AE6,1))</f>
        <v>2.9119999999999998E-4</v>
      </c>
      <c r="AM6" s="147">
        <f t="shared" si="3"/>
        <v>2.426990606041457E-5</v>
      </c>
      <c r="AN6" s="160">
        <f t="shared" ref="AN6:AN69" si="28">IF(E6="","",IF(U6=1,1,(1+AF6)*U6))</f>
        <v>0</v>
      </c>
      <c r="AO6" s="161">
        <f t="shared" ref="AO6:AO69" si="29">IF($E6="","",(1+$AG6)*$V6)</f>
        <v>0</v>
      </c>
      <c r="AP6" s="156">
        <f t="shared" si="4"/>
        <v>1</v>
      </c>
      <c r="AQ6" s="152"/>
      <c r="AR6" s="162">
        <f t="shared" si="5"/>
        <v>-138.7910583854264</v>
      </c>
      <c r="AS6" s="150">
        <f t="shared" ref="AS6:AS69" si="30">IF($E6="","",IF($C6=1,$I6*$H6/1000,0))</f>
        <v>0</v>
      </c>
      <c r="AT6" s="163">
        <f t="shared" si="6"/>
        <v>0</v>
      </c>
      <c r="AU6" s="163">
        <f t="shared" si="7"/>
        <v>2.426990606041457</v>
      </c>
      <c r="AV6" s="163">
        <f t="shared" ref="AV6:AV69" si="31">IF($E6="","",(AR6+AS6-AT6-AU6/2)*$AK6)</f>
        <v>-0.45721292355065751</v>
      </c>
      <c r="AW6" s="163">
        <f t="shared" si="8"/>
        <v>-3.4385285937373806E-3</v>
      </c>
      <c r="AX6" s="163">
        <f t="shared" si="9"/>
        <v>0</v>
      </c>
      <c r="AY6" s="164">
        <f t="shared" ref="AY6:AY69" si="32">IF($E6="","",AR6+AS6-AT6-AU6+AV6+AW6+AX6)</f>
        <v>-141.67870044361226</v>
      </c>
      <c r="AZ6" s="164">
        <f>IF($E6="","",IF(OR(AND($D6=Input!$C$6,$C6=12),$AN6=1),0,-AS7+AT7+AU7-AV7-AW7-AX7+AZ7))</f>
        <v>-141.67869398331922</v>
      </c>
      <c r="BA6" s="154">
        <f t="shared" si="10"/>
        <v>6.4602930365253997E-6</v>
      </c>
      <c r="BC6" s="147">
        <f t="shared" ref="BC6:BC69" si="33">IF($E6="","",MIN(1,(1-T6-U6))*BC5)</f>
        <v>0.99995332788795721</v>
      </c>
      <c r="BD6" s="164">
        <f>IF(AND($C5=12,$D5=Input!$C$6),0,IF($E6="","",AT6+(AU6+BD7)/(1+$AK6)*MIN((1-AM6-AN6),1)))</f>
        <v>1922.9941569292821</v>
      </c>
      <c r="BE6" s="164">
        <f t="shared" si="11"/>
        <v>1922.9044067305322</v>
      </c>
      <c r="BF6" s="164">
        <f t="shared" ref="BF6:BF69" si="34">IF($E6="","",AZ6)</f>
        <v>-141.67869398331922</v>
      </c>
      <c r="BG6" s="164">
        <f t="shared" si="12"/>
        <v>-141.67208153943955</v>
      </c>
      <c r="BH6" s="152"/>
      <c r="BI6" s="162">
        <f t="shared" si="13"/>
        <v>-320.15607505093294</v>
      </c>
      <c r="BJ6" s="150">
        <f t="shared" si="14"/>
        <v>0</v>
      </c>
      <c r="BK6" s="163">
        <f>IF($E6="","",$V6*$X6)</f>
        <v>0</v>
      </c>
      <c r="BL6" s="163">
        <f t="shared" si="15"/>
        <v>2.3336328313527943</v>
      </c>
      <c r="BM6" s="163">
        <f>IF($E6="","",(BI6+BJ6-BK6-BL6/2)*$N6)</f>
        <v>-1.1653655212573051</v>
      </c>
      <c r="BN6" s="163">
        <f t="shared" si="16"/>
        <v>-7.553097136083195E-3</v>
      </c>
      <c r="BO6" s="163">
        <f t="shared" si="17"/>
        <v>0</v>
      </c>
      <c r="BP6" s="164">
        <f>IF($E6="","",BI6+BJ6-BK6-BL6+BM6+BN6+BO6)</f>
        <v>-323.66262650067915</v>
      </c>
      <c r="BQ6" s="164">
        <f>IF($E6="","",IF(AND($D6=Input!$C$6,$C6=12),0,-BJ7+BK7+BL7-BM7-BN7-BO7+BQ7))</f>
        <v>-323.66261884071565</v>
      </c>
      <c r="BR6" s="161">
        <f t="shared" si="18"/>
        <v>0</v>
      </c>
      <c r="BT6" s="147">
        <f t="shared" si="19"/>
        <v>0.99995332788795721</v>
      </c>
      <c r="BU6" s="164">
        <f>IF(AND($C5=12,$D5=Input!$C$6),0,IF($E6="","",BK6+(BL6+BU7)/(1+$AK6)*MIN((1-T6-U6),1)))</f>
        <v>2663.3049677290805</v>
      </c>
      <c r="BV6" s="164">
        <f t="shared" si="20"/>
        <v>2663.1806656612225</v>
      </c>
      <c r="BW6" s="164">
        <f t="shared" si="21"/>
        <v>-323.66261884071565</v>
      </c>
      <c r="BX6" s="164">
        <f t="shared" si="22"/>
        <v>-323.64751282270504</v>
      </c>
    </row>
    <row r="7" spans="1:76" s="150" customFormat="1" x14ac:dyDescent="0.25">
      <c r="A7" s="150">
        <f t="shared" ref="A7:A70" si="35">IF(E7="","",A6+1)</f>
        <v>3</v>
      </c>
      <c r="B7" s="150">
        <f t="shared" ref="B7:B70" si="36">IF(E7="","",IF(C6+1&gt;12,B6+1,B6))</f>
        <v>1</v>
      </c>
      <c r="C7" s="150">
        <f t="shared" ref="C7:C70" si="37">IF(E7="","",IF(C6+1&gt;12,1,C6+1))</f>
        <v>3</v>
      </c>
      <c r="D7" s="150">
        <f>IF(E7="","",Input!$C$4+B7-1)</f>
        <v>45</v>
      </c>
      <c r="E7" s="150">
        <f>IF(OR(AND(C6=12,D6=Input!$C$6),E6=""),"",1)</f>
        <v>1</v>
      </c>
      <c r="F7" s="150">
        <f>IF(E7="","",Input!$C$8+B7-1)</f>
        <v>2018</v>
      </c>
      <c r="G7" s="151">
        <f>IF(E7="","",MAX(0,Input!$C$9-B7))</f>
        <v>19</v>
      </c>
      <c r="H7" s="152">
        <f>IF(E7="","",Input!$C$3)</f>
        <v>100000</v>
      </c>
      <c r="I7" s="153">
        <f>IF(E7="","",HLOOKUP($B7,Input!$C$13:$BT$14,2))</f>
        <v>2.2999999999999998</v>
      </c>
      <c r="J7" s="154"/>
      <c r="K7" s="155">
        <f>IF($E7="","",INDEX(Input!$C$16:$CP$16,1,$B7))</f>
        <v>2.9399999999999999E-2</v>
      </c>
      <c r="L7" s="155">
        <f>IF($E7="","",Input!$C$37)</f>
        <v>1.4999999999999999E-2</v>
      </c>
      <c r="M7" s="155">
        <f t="shared" si="23"/>
        <v>4.4399999999999995E-2</v>
      </c>
      <c r="N7" s="155">
        <f t="shared" si="24"/>
        <v>3.6267740400885984E-3</v>
      </c>
      <c r="O7" s="147">
        <f>IF($E7="","",MIN(VLOOKUP(IF($B7&lt;=Input!$C$7,$B7,26),'Mortality Tables'!$A$41:$CW$67,IF($B7&lt;=Input!$C$7+1,Input!$C$4+2,$D7-Input!$C$7+2),0)*IF(B7&gt;20,Input!$C$22,1)/1000,1))</f>
        <v>2.7999999999999998E-4</v>
      </c>
      <c r="P7" s="147">
        <f>IF($E7="","",MIN(VLOOKUP(IF($B7&lt;=Input!$C$7,$B7,26),'Mortality Tables'!$A$12:$CW$37,IF($B7&lt;=Input!$C$7+1,Input!$C$4+2,$D7-Input!$C$7+2),0)*IF(B7&gt;20,Input!$C$22,1)/1000,1))</f>
        <v>3.5E-4</v>
      </c>
      <c r="Q7" s="155">
        <f>IF($E7="","",Input!$C$21)</f>
        <v>5.0000000000000001E-3</v>
      </c>
      <c r="R7" s="159">
        <f>IF($E7="","",(1-Q7)^($F7-Input!$C$20))</f>
        <v>1</v>
      </c>
      <c r="S7" s="147">
        <f t="shared" si="0"/>
        <v>2.7999999999999998E-4</v>
      </c>
      <c r="T7" s="147">
        <f t="shared" si="1"/>
        <v>2.3336328313527943E-5</v>
      </c>
      <c r="U7" s="160">
        <f>IF($E7="","",IF($C7=12,INDEX(Input!$C$15:$CP$15,1,$B7),0))</f>
        <v>0</v>
      </c>
      <c r="V7" s="150">
        <f>IF(E7="","",IF(C7=1,IF($B7=1,Input!$C$33,Input!$C$34),0))</f>
        <v>0</v>
      </c>
      <c r="W7" s="156">
        <f>IF($E7="","",Input!$C$35)</f>
        <v>0.02</v>
      </c>
      <c r="X7" s="156">
        <f t="shared" si="2"/>
        <v>1</v>
      </c>
      <c r="Y7" s="154"/>
      <c r="Z7" s="147">
        <f>IF($E7="","",VLOOKUP($D7,'Mortality Margins &amp; Grading'!$AB$5:$AF$125,3,0)*IF(Summary!$D$25="Included Margin",IF(AND($B7&gt;Input!$C$9,Summary!$D$31&lt;&gt;"Included Margin"),0,1),0))</f>
        <v>0.04</v>
      </c>
      <c r="AA7" s="147">
        <f>IF($E7="","",VLOOKUP($D7,'Mortality Margins &amp; Grading'!$AB$5:$AF$125,5,0)*IF(Summary!$D$25="Included Margin",IF(AND($B7&gt;Input!$C$9,Summary!$D$31&lt;&gt;"Included Margin"),0,1),0))</f>
        <v>0.20399999999999999</v>
      </c>
      <c r="AB7" s="147">
        <f>IF($E7="","",IF(AND($B7&gt;Input!$C$9,Summary!$D$31&lt;&gt;"Included Margin"),1,IF(Summary!$D$25="Included Margin",VLOOKUP($B7,'Mortality Margins &amp; Grading'!$AI$5:$AR$125,MATCH('Mortality Margins &amp; Grading'!$AQ$4,'Mortality Margins &amp; Grading'!$AI$4:$AR$4,0),0),1)))</f>
        <v>1</v>
      </c>
      <c r="AC7" s="154"/>
      <c r="AD7" s="158">
        <f>IF(E7="","",Input!$C$48*IF(Summary!$D$30="Included Margin",IF(AND($B7&gt;Input!$C$9,Summary!$D$31&lt;&gt;"Included Margin"),0,1),0))</f>
        <v>-4.4999999999999997E-3</v>
      </c>
      <c r="AE7" s="159">
        <f>IF(E7="","",IF(Summary!$D$26="Included Margin",IF(AND($B7&gt;Input!$C$9,Summary!$D$31&lt;&gt;"Included Margin"),1,1/$R7),1))</f>
        <v>1</v>
      </c>
      <c r="AF7" s="160">
        <f>IF(E7="","",IF(AND($B7&gt;=Input!$C$9,$C7=12,Summary!$D$31="Included Margin",$U7&gt;0),1/U7-1,IF($B7&gt;=Input!$C$9,0,Input!$C$45*IF(Summary!$D$27="Included Margin",1,0))))</f>
        <v>-0.1</v>
      </c>
      <c r="AG7" s="160">
        <f>IF(E7="","",Input!$C$46*IF(Summary!$D$28="Included Margin",IF(AND($B7&gt;Input!$C$9,Summary!$D$31&lt;&gt;"Included Margin"),0,1),0))</f>
        <v>0.02</v>
      </c>
      <c r="AH7" s="158">
        <f>IF(E7="","",Input!$C$47*IF(Summary!$D$29="Included Margin",IF(AND($B7&gt;Input!$C$9,Summary!$D$31&lt;&gt;"Included Margin"),0,1),0))</f>
        <v>2.5000000000000001E-3</v>
      </c>
      <c r="AI7" s="154"/>
      <c r="AJ7" s="158">
        <f t="shared" si="25"/>
        <v>3.9899999999999998E-2</v>
      </c>
      <c r="AK7" s="155">
        <f t="shared" si="26"/>
        <v>3.2657003754898994E-3</v>
      </c>
      <c r="AL7" s="147">
        <f t="shared" si="27"/>
        <v>2.9119999999999998E-4</v>
      </c>
      <c r="AM7" s="147">
        <f t="shared" si="3"/>
        <v>2.426990606041457E-5</v>
      </c>
      <c r="AN7" s="160">
        <f t="shared" si="28"/>
        <v>0</v>
      </c>
      <c r="AO7" s="161">
        <f t="shared" si="29"/>
        <v>0</v>
      </c>
      <c r="AP7" s="156">
        <f t="shared" si="4"/>
        <v>1</v>
      </c>
      <c r="AQ7" s="152"/>
      <c r="AR7" s="162">
        <f t="shared" si="5"/>
        <v>-141.67870044361223</v>
      </c>
      <c r="AS7" s="150">
        <f t="shared" si="30"/>
        <v>0</v>
      </c>
      <c r="AT7" s="163">
        <f t="shared" si="6"/>
        <v>0</v>
      </c>
      <c r="AU7" s="163">
        <f t="shared" si="7"/>
        <v>2.426990606041457</v>
      </c>
      <c r="AV7" s="163">
        <f t="shared" si="31"/>
        <v>-0.46664309730435544</v>
      </c>
      <c r="AW7" s="163">
        <f t="shared" si="8"/>
        <v>-3.5088419711558536E-3</v>
      </c>
      <c r="AX7" s="163">
        <f t="shared" si="9"/>
        <v>0</v>
      </c>
      <c r="AY7" s="164">
        <f t="shared" si="32"/>
        <v>-144.57584298892917</v>
      </c>
      <c r="AZ7" s="164">
        <f>IF($E7="","",IF(OR(AND($D7=Input!$C$6,$C7=12),$AN7=1),0,-AS8+AT8+AU8-AV8-AW8-AX8+AZ8))</f>
        <v>-144.57583652863619</v>
      </c>
      <c r="BA7" s="154">
        <f t="shared" si="10"/>
        <v>6.4602929796819808E-6</v>
      </c>
      <c r="BC7" s="147">
        <f t="shared" si="33"/>
        <v>0.99992999264879945</v>
      </c>
      <c r="BD7" s="164">
        <f>IF(AND($C6=12,$D6=Input!$C$6),0,IF($E7="","",AT7+(AU7+BD8)/(1+$AK7)*MIN((1-AM7-AN7),1)))</f>
        <v>1926.8939135006924</v>
      </c>
      <c r="BE7" s="164">
        <f t="shared" si="11"/>
        <v>1926.7590167617639</v>
      </c>
      <c r="BF7" s="164">
        <f t="shared" si="34"/>
        <v>-144.57583652863619</v>
      </c>
      <c r="BG7" s="164">
        <f t="shared" si="12"/>
        <v>-144.56571515727322</v>
      </c>
      <c r="BH7" s="152"/>
      <c r="BI7" s="162">
        <f t="shared" si="13"/>
        <v>-323.66262650067915</v>
      </c>
      <c r="BJ7" s="150">
        <f t="shared" si="14"/>
        <v>0</v>
      </c>
      <c r="BK7" s="163">
        <f t="shared" ref="BK7:BK70" si="38">IF($E7="","",$V7*$X7)</f>
        <v>0</v>
      </c>
      <c r="BL7" s="163">
        <f t="shared" si="15"/>
        <v>2.3336328313527943</v>
      </c>
      <c r="BM7" s="163">
        <f t="shared" ref="BM7:BM70" si="39">IF($E7="","",(BI7+BJ7-BK7-BL7/2)*$N7)</f>
        <v>-1.1780829910254795</v>
      </c>
      <c r="BN7" s="163">
        <f t="shared" si="16"/>
        <v>-7.6352258675956202E-3</v>
      </c>
      <c r="BO7" s="163">
        <f t="shared" si="17"/>
        <v>0</v>
      </c>
      <c r="BP7" s="164">
        <f t="shared" ref="BP7:BP70" si="40">IF($E7="","",BI7+BJ7-BK7-BL7+BM7+BN7+BO7)</f>
        <v>-327.18197754892503</v>
      </c>
      <c r="BQ7" s="164">
        <f>IF($E7="","",IF(AND($D7=Input!$C$6,$C7=12),0,-BJ8+BK8+BL8-BM8-BN8-BO8+BQ8))</f>
        <v>-327.18196988896153</v>
      </c>
      <c r="BR7" s="161">
        <f t="shared" si="18"/>
        <v>0</v>
      </c>
      <c r="BT7" s="147">
        <f t="shared" si="19"/>
        <v>0.99992999264879945</v>
      </c>
      <c r="BU7" s="164">
        <f>IF(AND($C6=12,$D6=Input!$C$6),0,IF($E7="","",BK7+(BL7+BU8)/(1+$AK7)*MIN((1-T7-U7),1)))</f>
        <v>2669.7312471141986</v>
      </c>
      <c r="BV7" s="164">
        <f t="shared" si="20"/>
        <v>2669.5443463011707</v>
      </c>
      <c r="BW7" s="164">
        <f t="shared" si="21"/>
        <v>-327.18196988896153</v>
      </c>
      <c r="BX7" s="164">
        <f t="shared" si="22"/>
        <v>-327.15906474588905</v>
      </c>
    </row>
    <row r="8" spans="1:76" s="150" customFormat="1" x14ac:dyDescent="0.25">
      <c r="A8" s="150">
        <f t="shared" si="35"/>
        <v>4</v>
      </c>
      <c r="B8" s="150">
        <f t="shared" si="36"/>
        <v>1</v>
      </c>
      <c r="C8" s="150">
        <f t="shared" si="37"/>
        <v>4</v>
      </c>
      <c r="D8" s="150">
        <f>IF(E8="","",Input!$C$4+B8-1)</f>
        <v>45</v>
      </c>
      <c r="E8" s="150">
        <f>IF(OR(AND(C7=12,D7=Input!$C$6),E7=""),"",1)</f>
        <v>1</v>
      </c>
      <c r="F8" s="150">
        <f>IF(E8="","",Input!$C$8+B8-1)</f>
        <v>2018</v>
      </c>
      <c r="G8" s="151">
        <f>IF(E8="","",MAX(0,Input!$C$9-B8))</f>
        <v>19</v>
      </c>
      <c r="H8" s="152">
        <f>IF(E8="","",Input!$C$3)</f>
        <v>100000</v>
      </c>
      <c r="I8" s="153">
        <f>IF(E8="","",HLOOKUP($B8,Input!$C$13:$BT$14,2))</f>
        <v>2.2999999999999998</v>
      </c>
      <c r="J8" s="154"/>
      <c r="K8" s="155">
        <f>IF($E8="","",INDEX(Input!$C$16:$CP$16,1,$B8))</f>
        <v>2.9399999999999999E-2</v>
      </c>
      <c r="L8" s="155">
        <f>IF($E8="","",Input!$C$37)</f>
        <v>1.4999999999999999E-2</v>
      </c>
      <c r="M8" s="155">
        <f t="shared" si="23"/>
        <v>4.4399999999999995E-2</v>
      </c>
      <c r="N8" s="155">
        <f t="shared" si="24"/>
        <v>3.6267740400885984E-3</v>
      </c>
      <c r="O8" s="147">
        <f>IF($E8="","",MIN(VLOOKUP(IF($B8&lt;=Input!$C$7,$B8,26),'Mortality Tables'!$A$41:$CW$67,IF($B8&lt;=Input!$C$7+1,Input!$C$4+2,$D8-Input!$C$7+2),0)*IF(B8&gt;20,Input!$C$22,1)/1000,1))</f>
        <v>2.7999999999999998E-4</v>
      </c>
      <c r="P8" s="147">
        <f>IF($E8="","",MIN(VLOOKUP(IF($B8&lt;=Input!$C$7,$B8,26),'Mortality Tables'!$A$12:$CW$37,IF($B8&lt;=Input!$C$7+1,Input!$C$4+2,$D8-Input!$C$7+2),0)*IF(B8&gt;20,Input!$C$22,1)/1000,1))</f>
        <v>3.5E-4</v>
      </c>
      <c r="Q8" s="155">
        <f>IF($E8="","",Input!$C$21)</f>
        <v>5.0000000000000001E-3</v>
      </c>
      <c r="R8" s="159">
        <f>IF($E8="","",(1-Q8)^($F8-Input!$C$20))</f>
        <v>1</v>
      </c>
      <c r="S8" s="147">
        <f t="shared" si="0"/>
        <v>2.7999999999999998E-4</v>
      </c>
      <c r="T8" s="147">
        <f t="shared" si="1"/>
        <v>2.3336328313527943E-5</v>
      </c>
      <c r="U8" s="160">
        <f>IF($E8="","",IF($C8=12,INDEX(Input!$C$15:$CP$15,1,$B8),0))</f>
        <v>0</v>
      </c>
      <c r="V8" s="150">
        <f>IF(E8="","",IF(C8=1,IF($B8=1,Input!$C$33,Input!$C$34),0))</f>
        <v>0</v>
      </c>
      <c r="W8" s="156">
        <f>IF($E8="","",Input!$C$35)</f>
        <v>0.02</v>
      </c>
      <c r="X8" s="156">
        <f t="shared" si="2"/>
        <v>1</v>
      </c>
      <c r="Y8" s="154"/>
      <c r="Z8" s="147">
        <f>IF($E8="","",VLOOKUP($D8,'Mortality Margins &amp; Grading'!$AB$5:$AF$125,3,0)*IF(Summary!$D$25="Included Margin",IF(AND($B8&gt;Input!$C$9,Summary!$D$31&lt;&gt;"Included Margin"),0,1),0))</f>
        <v>0.04</v>
      </c>
      <c r="AA8" s="147">
        <f>IF($E8="","",VLOOKUP($D8,'Mortality Margins &amp; Grading'!$AB$5:$AF$125,5,0)*IF(Summary!$D$25="Included Margin",IF(AND($B8&gt;Input!$C$9,Summary!$D$31&lt;&gt;"Included Margin"),0,1),0))</f>
        <v>0.20399999999999999</v>
      </c>
      <c r="AB8" s="147">
        <f>IF($E8="","",IF(AND($B8&gt;Input!$C$9,Summary!$D$31&lt;&gt;"Included Margin"),1,IF(Summary!$D$25="Included Margin",VLOOKUP($B8,'Mortality Margins &amp; Grading'!$AI$5:$AR$125,MATCH('Mortality Margins &amp; Grading'!$AQ$4,'Mortality Margins &amp; Grading'!$AI$4:$AR$4,0),0),1)))</f>
        <v>1</v>
      </c>
      <c r="AC8" s="154"/>
      <c r="AD8" s="158">
        <f>IF(E8="","",Input!$C$48*IF(Summary!$D$30="Included Margin",IF(AND($B8&gt;Input!$C$9,Summary!$D$31&lt;&gt;"Included Margin"),0,1),0))</f>
        <v>-4.4999999999999997E-3</v>
      </c>
      <c r="AE8" s="159">
        <f>IF(E8="","",IF(Summary!$D$26="Included Margin",IF(AND($B8&gt;Input!$C$9,Summary!$D$31&lt;&gt;"Included Margin"),1,1/$R8),1))</f>
        <v>1</v>
      </c>
      <c r="AF8" s="160">
        <f>IF(E8="","",IF(AND($B8&gt;=Input!$C$9,$C8=12,Summary!$D$31="Included Margin",$U8&gt;0),1/U8-1,IF($B8&gt;=Input!$C$9,0,Input!$C$45*IF(Summary!$D$27="Included Margin",1,0))))</f>
        <v>-0.1</v>
      </c>
      <c r="AG8" s="160">
        <f>IF(E8="","",Input!$C$46*IF(Summary!$D$28="Included Margin",IF(AND($B8&gt;Input!$C$9,Summary!$D$31&lt;&gt;"Included Margin"),0,1),0))</f>
        <v>0.02</v>
      </c>
      <c r="AH8" s="158">
        <f>IF(E8="","",Input!$C$47*IF(Summary!$D$29="Included Margin",IF(AND($B8&gt;Input!$C$9,Summary!$D$31&lt;&gt;"Included Margin"),0,1),0))</f>
        <v>2.5000000000000001E-3</v>
      </c>
      <c r="AI8" s="154"/>
      <c r="AJ8" s="158">
        <f t="shared" si="25"/>
        <v>3.9899999999999998E-2</v>
      </c>
      <c r="AK8" s="155">
        <f t="shared" si="26"/>
        <v>3.2657003754898994E-3</v>
      </c>
      <c r="AL8" s="147">
        <f t="shared" si="27"/>
        <v>2.9119999999999998E-4</v>
      </c>
      <c r="AM8" s="147">
        <f t="shared" si="3"/>
        <v>2.426990606041457E-5</v>
      </c>
      <c r="AN8" s="160">
        <f t="shared" si="28"/>
        <v>0</v>
      </c>
      <c r="AO8" s="161">
        <f t="shared" si="29"/>
        <v>0</v>
      </c>
      <c r="AP8" s="156">
        <f t="shared" si="4"/>
        <v>1</v>
      </c>
      <c r="AQ8" s="152"/>
      <c r="AR8" s="162">
        <f t="shared" si="5"/>
        <v>-144.57584298892922</v>
      </c>
      <c r="AS8" s="150">
        <f t="shared" si="30"/>
        <v>0</v>
      </c>
      <c r="AT8" s="163">
        <f t="shared" si="6"/>
        <v>0</v>
      </c>
      <c r="AU8" s="163">
        <f t="shared" si="7"/>
        <v>2.426990606041457</v>
      </c>
      <c r="AV8" s="163">
        <f t="shared" si="31"/>
        <v>-0.47610429680244493</v>
      </c>
      <c r="AW8" s="163">
        <f t="shared" si="8"/>
        <v>-3.5793866831108968E-3</v>
      </c>
      <c r="AX8" s="163">
        <f t="shared" si="9"/>
        <v>0</v>
      </c>
      <c r="AY8" s="164">
        <f t="shared" si="32"/>
        <v>-147.48251727845624</v>
      </c>
      <c r="AZ8" s="164">
        <f>IF($E8="","",IF(OR(AND($D8=Input!$C$6,$C8=12),$AN8=1),0,-AS9+AT9+AU9-AV9-AW9-AX9+AZ9))</f>
        <v>-147.48251081816321</v>
      </c>
      <c r="BA8" s="154">
        <f t="shared" si="10"/>
        <v>6.4602930365253997E-6</v>
      </c>
      <c r="BC8" s="147">
        <f t="shared" si="33"/>
        <v>0.99990665795420042</v>
      </c>
      <c r="BD8" s="164">
        <f>IF(AND($C7=12,$D7=Input!$C$6),0,IF($E8="","",AT8+(AU8+BD9)/(1+$AK8)*MIN((1-AM8-AN8),1)))</f>
        <v>1930.8065004667203</v>
      </c>
      <c r="BE8" s="164">
        <f t="shared" si="11"/>
        <v>1930.6262750379235</v>
      </c>
      <c r="BF8" s="164">
        <f t="shared" si="34"/>
        <v>-147.48251081816321</v>
      </c>
      <c r="BG8" s="164">
        <f t="shared" si="12"/>
        <v>-147.46874449888378</v>
      </c>
      <c r="BH8" s="152"/>
      <c r="BI8" s="162">
        <f t="shared" si="13"/>
        <v>-327.18197754892503</v>
      </c>
      <c r="BJ8" s="150">
        <f t="shared" si="14"/>
        <v>0</v>
      </c>
      <c r="BK8" s="163">
        <f t="shared" si="38"/>
        <v>0</v>
      </c>
      <c r="BL8" s="163">
        <f t="shared" si="15"/>
        <v>2.3336328313527943</v>
      </c>
      <c r="BM8" s="163">
        <f t="shared" si="39"/>
        <v>-1.1908468820452163</v>
      </c>
      <c r="BN8" s="163">
        <f t="shared" si="16"/>
        <v>-7.7176543850383849E-3</v>
      </c>
      <c r="BO8" s="163">
        <f t="shared" si="17"/>
        <v>0</v>
      </c>
      <c r="BP8" s="164">
        <f t="shared" si="40"/>
        <v>-330.71417491670809</v>
      </c>
      <c r="BQ8" s="164">
        <f>IF($E8="","",IF(AND($D8=Input!$C$6,$C8=12),0,-BJ9+BK9+BL9-BM9-BN9-BO9+BQ9))</f>
        <v>-330.71416725674459</v>
      </c>
      <c r="BR8" s="161">
        <f t="shared" si="18"/>
        <v>0</v>
      </c>
      <c r="BT8" s="147">
        <f t="shared" si="19"/>
        <v>0.99990665795420042</v>
      </c>
      <c r="BU8" s="164">
        <f>IF(AND($C7=12,$D7=Input!$C$6),0,IF($E8="","",BK8+(BL8+BU9)/(1+$AK8)*MIN((1-T8-U8),1)))</f>
        <v>2676.1786632613375</v>
      </c>
      <c r="BV8" s="164">
        <f t="shared" si="20"/>
        <v>2675.9288632699836</v>
      </c>
      <c r="BW8" s="164">
        <f t="shared" si="21"/>
        <v>-330.71416725674459</v>
      </c>
      <c r="BX8" s="164">
        <f t="shared" si="22"/>
        <v>-330.68329771979796</v>
      </c>
    </row>
    <row r="9" spans="1:76" s="150" customFormat="1" x14ac:dyDescent="0.25">
      <c r="A9" s="150">
        <f t="shared" si="35"/>
        <v>5</v>
      </c>
      <c r="B9" s="150">
        <f t="shared" si="36"/>
        <v>1</v>
      </c>
      <c r="C9" s="150">
        <f t="shared" si="37"/>
        <v>5</v>
      </c>
      <c r="D9" s="150">
        <f>IF(E9="","",Input!$C$4+B9-1)</f>
        <v>45</v>
      </c>
      <c r="E9" s="150">
        <f>IF(OR(AND(C8=12,D8=Input!$C$6),E8=""),"",1)</f>
        <v>1</v>
      </c>
      <c r="F9" s="150">
        <f>IF(E9="","",Input!$C$8+B9-1)</f>
        <v>2018</v>
      </c>
      <c r="G9" s="151">
        <f>IF(E9="","",MAX(0,Input!$C$9-B9))</f>
        <v>19</v>
      </c>
      <c r="H9" s="152">
        <f>IF(E9="","",Input!$C$3)</f>
        <v>100000</v>
      </c>
      <c r="I9" s="153">
        <f>IF(E9="","",HLOOKUP($B9,Input!$C$13:$BT$14,2))</f>
        <v>2.2999999999999998</v>
      </c>
      <c r="J9" s="154"/>
      <c r="K9" s="155">
        <f>IF($E9="","",INDEX(Input!$C$16:$CP$16,1,$B9))</f>
        <v>2.9399999999999999E-2</v>
      </c>
      <c r="L9" s="155">
        <f>IF($E9="","",Input!$C$37)</f>
        <v>1.4999999999999999E-2</v>
      </c>
      <c r="M9" s="155">
        <f t="shared" si="23"/>
        <v>4.4399999999999995E-2</v>
      </c>
      <c r="N9" s="155">
        <f t="shared" si="24"/>
        <v>3.6267740400885984E-3</v>
      </c>
      <c r="O9" s="147">
        <f>IF($E9="","",MIN(VLOOKUP(IF($B9&lt;=Input!$C$7,$B9,26),'Mortality Tables'!$A$41:$CW$67,IF($B9&lt;=Input!$C$7+1,Input!$C$4+2,$D9-Input!$C$7+2),0)*IF(B9&gt;20,Input!$C$22,1)/1000,1))</f>
        <v>2.7999999999999998E-4</v>
      </c>
      <c r="P9" s="147">
        <f>IF($E9="","",MIN(VLOOKUP(IF($B9&lt;=Input!$C$7,$B9,26),'Mortality Tables'!$A$12:$CW$37,IF($B9&lt;=Input!$C$7+1,Input!$C$4+2,$D9-Input!$C$7+2),0)*IF(B9&gt;20,Input!$C$22,1)/1000,1))</f>
        <v>3.5E-4</v>
      </c>
      <c r="Q9" s="155">
        <f>IF($E9="","",Input!$C$21)</f>
        <v>5.0000000000000001E-3</v>
      </c>
      <c r="R9" s="159">
        <f>IF($E9="","",(1-Q9)^($F9-Input!$C$20))</f>
        <v>1</v>
      </c>
      <c r="S9" s="147">
        <f t="shared" si="0"/>
        <v>2.7999999999999998E-4</v>
      </c>
      <c r="T9" s="147">
        <f t="shared" si="1"/>
        <v>2.3336328313527943E-5</v>
      </c>
      <c r="U9" s="160">
        <f>IF($E9="","",IF($C9=12,INDEX(Input!$C$15:$CP$15,1,$B9),0))</f>
        <v>0</v>
      </c>
      <c r="V9" s="150">
        <f>IF(E9="","",IF(C9=1,IF($B9=1,Input!$C$33,Input!$C$34),0))</f>
        <v>0</v>
      </c>
      <c r="W9" s="156">
        <f>IF($E9="","",Input!$C$35)</f>
        <v>0.02</v>
      </c>
      <c r="X9" s="156">
        <f t="shared" si="2"/>
        <v>1</v>
      </c>
      <c r="Y9" s="154"/>
      <c r="Z9" s="147">
        <f>IF($E9="","",VLOOKUP($D9,'Mortality Margins &amp; Grading'!$AB$5:$AF$125,3,0)*IF(Summary!$D$25="Included Margin",IF(AND($B9&gt;Input!$C$9,Summary!$D$31&lt;&gt;"Included Margin"),0,1),0))</f>
        <v>0.04</v>
      </c>
      <c r="AA9" s="147">
        <f>IF($E9="","",VLOOKUP($D9,'Mortality Margins &amp; Grading'!$AB$5:$AF$125,5,0)*IF(Summary!$D$25="Included Margin",IF(AND($B9&gt;Input!$C$9,Summary!$D$31&lt;&gt;"Included Margin"),0,1),0))</f>
        <v>0.20399999999999999</v>
      </c>
      <c r="AB9" s="147">
        <f>IF($E9="","",IF(AND($B9&gt;Input!$C$9,Summary!$D$31&lt;&gt;"Included Margin"),1,IF(Summary!$D$25="Included Margin",VLOOKUP($B9,'Mortality Margins &amp; Grading'!$AI$5:$AR$125,MATCH('Mortality Margins &amp; Grading'!$AQ$4,'Mortality Margins &amp; Grading'!$AI$4:$AR$4,0),0),1)))</f>
        <v>1</v>
      </c>
      <c r="AC9" s="154"/>
      <c r="AD9" s="158">
        <f>IF(E9="","",Input!$C$48*IF(Summary!$D$30="Included Margin",IF(AND($B9&gt;Input!$C$9,Summary!$D$31&lt;&gt;"Included Margin"),0,1),0))</f>
        <v>-4.4999999999999997E-3</v>
      </c>
      <c r="AE9" s="159">
        <f>IF(E9="","",IF(Summary!$D$26="Included Margin",IF(AND($B9&gt;Input!$C$9,Summary!$D$31&lt;&gt;"Included Margin"),1,1/$R9),1))</f>
        <v>1</v>
      </c>
      <c r="AF9" s="160">
        <f>IF(E9="","",IF(AND($B9&gt;=Input!$C$9,$C9=12,Summary!$D$31="Included Margin",$U9&gt;0),1/U9-1,IF($B9&gt;=Input!$C$9,0,Input!$C$45*IF(Summary!$D$27="Included Margin",1,0))))</f>
        <v>-0.1</v>
      </c>
      <c r="AG9" s="160">
        <f>IF(E9="","",Input!$C$46*IF(Summary!$D$28="Included Margin",IF(AND($B9&gt;Input!$C$9,Summary!$D$31&lt;&gt;"Included Margin"),0,1),0))</f>
        <v>0.02</v>
      </c>
      <c r="AH9" s="158">
        <f>IF(E9="","",Input!$C$47*IF(Summary!$D$29="Included Margin",IF(AND($B9&gt;Input!$C$9,Summary!$D$31&lt;&gt;"Included Margin"),0,1),0))</f>
        <v>2.5000000000000001E-3</v>
      </c>
      <c r="AI9" s="154"/>
      <c r="AJ9" s="158">
        <f t="shared" si="25"/>
        <v>3.9899999999999998E-2</v>
      </c>
      <c r="AK9" s="155">
        <f t="shared" si="26"/>
        <v>3.2657003754898994E-3</v>
      </c>
      <c r="AL9" s="147">
        <f t="shared" si="27"/>
        <v>2.9119999999999998E-4</v>
      </c>
      <c r="AM9" s="147">
        <f t="shared" si="3"/>
        <v>2.426990606041457E-5</v>
      </c>
      <c r="AN9" s="160">
        <f t="shared" si="28"/>
        <v>0</v>
      </c>
      <c r="AO9" s="161">
        <f t="shared" si="29"/>
        <v>0</v>
      </c>
      <c r="AP9" s="156">
        <f t="shared" si="4"/>
        <v>1</v>
      </c>
      <c r="AQ9" s="152"/>
      <c r="AR9" s="162">
        <f t="shared" si="5"/>
        <v>-147.48251727845621</v>
      </c>
      <c r="AS9" s="150">
        <f t="shared" si="30"/>
        <v>0</v>
      </c>
      <c r="AT9" s="163">
        <f t="shared" si="6"/>
        <v>0</v>
      </c>
      <c r="AU9" s="163">
        <f t="shared" si="7"/>
        <v>2.426990606041457</v>
      </c>
      <c r="AV9" s="163">
        <f t="shared" si="31"/>
        <v>-0.48559662412118004</v>
      </c>
      <c r="AW9" s="163">
        <f t="shared" si="8"/>
        <v>-3.6501634907047317E-3</v>
      </c>
      <c r="AX9" s="163">
        <f t="shared" si="9"/>
        <v>0</v>
      </c>
      <c r="AY9" s="164">
        <f t="shared" si="32"/>
        <v>-150.39875467210953</v>
      </c>
      <c r="AZ9" s="164">
        <f>IF($E9="","",IF(OR(AND($D9=Input!$C$6,$C9=12),$AN9=1),0,-AS10+AT10+AU10-AV10-AW10-AX10+AZ10))</f>
        <v>-150.39874821181655</v>
      </c>
      <c r="BA9" s="154">
        <f t="shared" si="10"/>
        <v>6.4602929796819808E-6</v>
      </c>
      <c r="BC9" s="147">
        <f t="shared" si="33"/>
        <v>0.99988332380414746</v>
      </c>
      <c r="BD9" s="164">
        <f>IF(AND($C8=12,$D8=Input!$C$6),0,IF($E9="","",AT9+(AU9+BD10)/(1+$AK9)*MIN((1-AM9-AN9),1)))</f>
        <v>1934.7319600400076</v>
      </c>
      <c r="BE9" s="164">
        <f t="shared" si="11"/>
        <v>1934.5062228749159</v>
      </c>
      <c r="BF9" s="164">
        <f t="shared" si="34"/>
        <v>-150.39874821181655</v>
      </c>
      <c r="BG9" s="164">
        <f t="shared" si="12"/>
        <v>-150.38120025801422</v>
      </c>
      <c r="BH9" s="152"/>
      <c r="BI9" s="162">
        <f t="shared" si="13"/>
        <v>-330.71417491670803</v>
      </c>
      <c r="BJ9" s="150">
        <f t="shared" si="14"/>
        <v>0</v>
      </c>
      <c r="BK9" s="163">
        <f t="shared" si="38"/>
        <v>0</v>
      </c>
      <c r="BL9" s="163">
        <f t="shared" si="15"/>
        <v>2.3336328313527943</v>
      </c>
      <c r="BM9" s="163">
        <f t="shared" si="39"/>
        <v>-1.2036573637631611</v>
      </c>
      <c r="BN9" s="163">
        <f t="shared" si="16"/>
        <v>-7.8003837826887577E-3</v>
      </c>
      <c r="BO9" s="163">
        <f t="shared" si="17"/>
        <v>0</v>
      </c>
      <c r="BP9" s="164">
        <f t="shared" si="40"/>
        <v>-334.25926549560671</v>
      </c>
      <c r="BQ9" s="164">
        <f>IF($E9="","",IF(AND($D9=Input!$C$6,$C9=12),0,-BJ10+BK10+BL10-BM10-BN10-BO10+BQ10))</f>
        <v>-334.25925783564321</v>
      </c>
      <c r="BR9" s="161">
        <f t="shared" si="18"/>
        <v>0</v>
      </c>
      <c r="BT9" s="147">
        <f t="shared" si="19"/>
        <v>0.99988332380414746</v>
      </c>
      <c r="BU9" s="164">
        <f>IF(AND($C8=12,$D8=Input!$C$6),0,IF($E9="","",BK9+(BL9+BU10)/(1+$AK9)*MIN((1-T9-U9),1)))</f>
        <v>2682.6472856917057</v>
      </c>
      <c r="BV9" s="164">
        <f t="shared" si="20"/>
        <v>2682.334284611597</v>
      </c>
      <c r="BW9" s="164">
        <f t="shared" si="21"/>
        <v>-334.25925783564321</v>
      </c>
      <c r="BX9" s="164">
        <f t="shared" si="22"/>
        <v>-334.22025773701046</v>
      </c>
    </row>
    <row r="10" spans="1:76" s="150" customFormat="1" x14ac:dyDescent="0.25">
      <c r="A10" s="150">
        <f t="shared" si="35"/>
        <v>6</v>
      </c>
      <c r="B10" s="150">
        <f t="shared" si="36"/>
        <v>1</v>
      </c>
      <c r="C10" s="150">
        <f t="shared" si="37"/>
        <v>6</v>
      </c>
      <c r="D10" s="150">
        <f>IF(E10="","",Input!$C$4+B10-1)</f>
        <v>45</v>
      </c>
      <c r="E10" s="150">
        <f>IF(OR(AND(C9=12,D9=Input!$C$6),E9=""),"",1)</f>
        <v>1</v>
      </c>
      <c r="F10" s="150">
        <f>IF(E10="","",Input!$C$8+B10-1)</f>
        <v>2018</v>
      </c>
      <c r="G10" s="151">
        <f>IF(E10="","",MAX(0,Input!$C$9-B10))</f>
        <v>19</v>
      </c>
      <c r="H10" s="152">
        <f>IF(E10="","",Input!$C$3)</f>
        <v>100000</v>
      </c>
      <c r="I10" s="153">
        <f>IF(E10="","",HLOOKUP($B10,Input!$C$13:$BT$14,2))</f>
        <v>2.2999999999999998</v>
      </c>
      <c r="J10" s="154"/>
      <c r="K10" s="155">
        <f>IF($E10="","",INDEX(Input!$C$16:$CP$16,1,$B10))</f>
        <v>2.9399999999999999E-2</v>
      </c>
      <c r="L10" s="155">
        <f>IF($E10="","",Input!$C$37)</f>
        <v>1.4999999999999999E-2</v>
      </c>
      <c r="M10" s="155">
        <f t="shared" si="23"/>
        <v>4.4399999999999995E-2</v>
      </c>
      <c r="N10" s="155">
        <f t="shared" si="24"/>
        <v>3.6267740400885984E-3</v>
      </c>
      <c r="O10" s="147">
        <f>IF($E10="","",MIN(VLOOKUP(IF($B10&lt;=Input!$C$7,$B10,26),'Mortality Tables'!$A$41:$CW$67,IF($B10&lt;=Input!$C$7+1,Input!$C$4+2,$D10-Input!$C$7+2),0)*IF(B10&gt;20,Input!$C$22,1)/1000,1))</f>
        <v>2.7999999999999998E-4</v>
      </c>
      <c r="P10" s="147">
        <f>IF($E10="","",MIN(VLOOKUP(IF($B10&lt;=Input!$C$7,$B10,26),'Mortality Tables'!$A$12:$CW$37,IF($B10&lt;=Input!$C$7+1,Input!$C$4+2,$D10-Input!$C$7+2),0)*IF(B10&gt;20,Input!$C$22,1)/1000,1))</f>
        <v>3.5E-4</v>
      </c>
      <c r="Q10" s="155">
        <f>IF($E10="","",Input!$C$21)</f>
        <v>5.0000000000000001E-3</v>
      </c>
      <c r="R10" s="159">
        <f>IF($E10="","",(1-Q10)^($F10-Input!$C$20))</f>
        <v>1</v>
      </c>
      <c r="S10" s="147">
        <f t="shared" si="0"/>
        <v>2.7999999999999998E-4</v>
      </c>
      <c r="T10" s="147">
        <f t="shared" si="1"/>
        <v>2.3336328313527943E-5</v>
      </c>
      <c r="U10" s="160">
        <f>IF($E10="","",IF($C10=12,INDEX(Input!$C$15:$CP$15,1,$B10),0))</f>
        <v>0</v>
      </c>
      <c r="V10" s="150">
        <f>IF(E10="","",IF(C10=1,IF($B10=1,Input!$C$33,Input!$C$34),0))</f>
        <v>0</v>
      </c>
      <c r="W10" s="156">
        <f>IF($E10="","",Input!$C$35)</f>
        <v>0.02</v>
      </c>
      <c r="X10" s="156">
        <f t="shared" si="2"/>
        <v>1</v>
      </c>
      <c r="Y10" s="154"/>
      <c r="Z10" s="147">
        <f>IF($E10="","",VLOOKUP($D10,'Mortality Margins &amp; Grading'!$AB$5:$AF$125,3,0)*IF(Summary!$D$25="Included Margin",IF(AND($B10&gt;Input!$C$9,Summary!$D$31&lt;&gt;"Included Margin"),0,1),0))</f>
        <v>0.04</v>
      </c>
      <c r="AA10" s="147">
        <f>IF($E10="","",VLOOKUP($D10,'Mortality Margins &amp; Grading'!$AB$5:$AF$125,5,0)*IF(Summary!$D$25="Included Margin",IF(AND($B10&gt;Input!$C$9,Summary!$D$31&lt;&gt;"Included Margin"),0,1),0))</f>
        <v>0.20399999999999999</v>
      </c>
      <c r="AB10" s="147">
        <f>IF($E10="","",IF(AND($B10&gt;Input!$C$9,Summary!$D$31&lt;&gt;"Included Margin"),1,IF(Summary!$D$25="Included Margin",VLOOKUP($B10,'Mortality Margins &amp; Grading'!$AI$5:$AR$125,MATCH('Mortality Margins &amp; Grading'!$AQ$4,'Mortality Margins &amp; Grading'!$AI$4:$AR$4,0),0),1)))</f>
        <v>1</v>
      </c>
      <c r="AC10" s="154"/>
      <c r="AD10" s="158">
        <f>IF(E10="","",Input!$C$48*IF(Summary!$D$30="Included Margin",IF(AND($B10&gt;Input!$C$9,Summary!$D$31&lt;&gt;"Included Margin"),0,1),0))</f>
        <v>-4.4999999999999997E-3</v>
      </c>
      <c r="AE10" s="159">
        <f>IF(E10="","",IF(Summary!$D$26="Included Margin",IF(AND($B10&gt;Input!$C$9,Summary!$D$31&lt;&gt;"Included Margin"),1,1/$R10),1))</f>
        <v>1</v>
      </c>
      <c r="AF10" s="160">
        <f>IF(E10="","",IF(AND($B10&gt;=Input!$C$9,$C10=12,Summary!$D$31="Included Margin",$U10&gt;0),1/U10-1,IF($B10&gt;=Input!$C$9,0,Input!$C$45*IF(Summary!$D$27="Included Margin",1,0))))</f>
        <v>-0.1</v>
      </c>
      <c r="AG10" s="160">
        <f>IF(E10="","",Input!$C$46*IF(Summary!$D$28="Included Margin",IF(AND($B10&gt;Input!$C$9,Summary!$D$31&lt;&gt;"Included Margin"),0,1),0))</f>
        <v>0.02</v>
      </c>
      <c r="AH10" s="158">
        <f>IF(E10="","",Input!$C$47*IF(Summary!$D$29="Included Margin",IF(AND($B10&gt;Input!$C$9,Summary!$D$31&lt;&gt;"Included Margin"),0,1),0))</f>
        <v>2.5000000000000001E-3</v>
      </c>
      <c r="AI10" s="154"/>
      <c r="AJ10" s="158">
        <f t="shared" si="25"/>
        <v>3.9899999999999998E-2</v>
      </c>
      <c r="AK10" s="155">
        <f t="shared" si="26"/>
        <v>3.2657003754898994E-3</v>
      </c>
      <c r="AL10" s="147">
        <f t="shared" si="27"/>
        <v>2.9119999999999998E-4</v>
      </c>
      <c r="AM10" s="147">
        <f t="shared" si="3"/>
        <v>2.426990606041457E-5</v>
      </c>
      <c r="AN10" s="160">
        <f t="shared" si="28"/>
        <v>0</v>
      </c>
      <c r="AO10" s="161">
        <f t="shared" si="29"/>
        <v>0</v>
      </c>
      <c r="AP10" s="156">
        <f t="shared" si="4"/>
        <v>1</v>
      </c>
      <c r="AQ10" s="152"/>
      <c r="AR10" s="162">
        <f t="shared" si="5"/>
        <v>-150.39875467210956</v>
      </c>
      <c r="AS10" s="150">
        <f t="shared" si="30"/>
        <v>0</v>
      </c>
      <c r="AT10" s="163">
        <f t="shared" si="6"/>
        <v>0</v>
      </c>
      <c r="AU10" s="163">
        <f t="shared" si="7"/>
        <v>2.426990606041457</v>
      </c>
      <c r="AV10" s="163">
        <f t="shared" si="31"/>
        <v>-0.49512018167265148</v>
      </c>
      <c r="AW10" s="163">
        <f t="shared" si="8"/>
        <v>-3.7211731575436452E-3</v>
      </c>
      <c r="AX10" s="163">
        <f t="shared" si="9"/>
        <v>0</v>
      </c>
      <c r="AY10" s="164">
        <f t="shared" si="32"/>
        <v>-153.32458663298124</v>
      </c>
      <c r="AZ10" s="164">
        <f>IF($E10="","",IF(OR(AND($D10=Input!$C$6,$C10=12),$AN10=1),0,-AS11+AT11+AU11-AV11-AW11-AX11+AZ11))</f>
        <v>-153.3245801726882</v>
      </c>
      <c r="BA10" s="154">
        <f t="shared" si="10"/>
        <v>6.4602930365253997E-6</v>
      </c>
      <c r="BC10" s="147">
        <f t="shared" si="33"/>
        <v>0.99985999019862792</v>
      </c>
      <c r="BD10" s="164">
        <f>IF(AND($C9=12,$D9=Input!$C$6),0,IF($E10="","",AT10+(AU10+BD11)/(1+$AK10)*MIN((1-AM10-AN10),1)))</f>
        <v>1938.6703345720771</v>
      </c>
      <c r="BE10" s="164">
        <f t="shared" si="11"/>
        <v>1938.3989017236077</v>
      </c>
      <c r="BF10" s="164">
        <f t="shared" si="34"/>
        <v>-153.3245801726882</v>
      </c>
      <c r="BG10" s="164">
        <f t="shared" si="12"/>
        <v>-153.30311322867277</v>
      </c>
      <c r="BH10" s="152"/>
      <c r="BI10" s="162">
        <f t="shared" si="13"/>
        <v>-334.25926549560671</v>
      </c>
      <c r="BJ10" s="150">
        <f t="shared" si="14"/>
        <v>0</v>
      </c>
      <c r="BK10" s="163">
        <f t="shared" si="38"/>
        <v>0</v>
      </c>
      <c r="BL10" s="163">
        <f t="shared" si="15"/>
        <v>2.3336328313527943</v>
      </c>
      <c r="BM10" s="163">
        <f t="shared" si="39"/>
        <v>-1.2165146062444734</v>
      </c>
      <c r="BN10" s="163">
        <f t="shared" si="16"/>
        <v>-7.8834151588183347E-3</v>
      </c>
      <c r="BO10" s="163">
        <f t="shared" si="17"/>
        <v>0</v>
      </c>
      <c r="BP10" s="164">
        <f t="shared" si="40"/>
        <v>-337.81729634836279</v>
      </c>
      <c r="BQ10" s="164">
        <f>IF($E10="","",IF(AND($D10=Input!$C$6,$C10=12),0,-BJ11+BK11+BL11-BM11-BN11-BO11+BQ11))</f>
        <v>-337.81728868839929</v>
      </c>
      <c r="BR10" s="161">
        <f t="shared" si="18"/>
        <v>0</v>
      </c>
      <c r="BT10" s="147">
        <f t="shared" si="19"/>
        <v>0.99985999019862792</v>
      </c>
      <c r="BU10" s="164">
        <f>IF(AND($C9=12,$D9=Input!$C$6),0,IF($E10="","",BK10+(BL10+BU11)/(1+$AK10)*MIN((1-T10-U10),1)))</f>
        <v>2689.137184155175</v>
      </c>
      <c r="BV10" s="164">
        <f t="shared" si="20"/>
        <v>2688.7606785921589</v>
      </c>
      <c r="BW10" s="164">
        <f t="shared" si="21"/>
        <v>-337.81728868839929</v>
      </c>
      <c r="BX10" s="164">
        <f t="shared" si="22"/>
        <v>-337.76999095690996</v>
      </c>
    </row>
    <row r="11" spans="1:76" s="150" customFormat="1" x14ac:dyDescent="0.25">
      <c r="A11" s="150">
        <f t="shared" si="35"/>
        <v>7</v>
      </c>
      <c r="B11" s="150">
        <f t="shared" si="36"/>
        <v>1</v>
      </c>
      <c r="C11" s="150">
        <f t="shared" si="37"/>
        <v>7</v>
      </c>
      <c r="D11" s="150">
        <f>IF(E11="","",Input!$C$4+B11-1)</f>
        <v>45</v>
      </c>
      <c r="E11" s="150">
        <f>IF(OR(AND(C10=12,D10=Input!$C$6),E10=""),"",1)</f>
        <v>1</v>
      </c>
      <c r="F11" s="150">
        <f>IF(E11="","",Input!$C$8+B11-1)</f>
        <v>2018</v>
      </c>
      <c r="G11" s="151">
        <f>IF(E11="","",MAX(0,Input!$C$9-B11))</f>
        <v>19</v>
      </c>
      <c r="H11" s="152">
        <f>IF(E11="","",Input!$C$3)</f>
        <v>100000</v>
      </c>
      <c r="I11" s="153">
        <f>IF(E11="","",HLOOKUP($B11,Input!$C$13:$BT$14,2))</f>
        <v>2.2999999999999998</v>
      </c>
      <c r="J11" s="154"/>
      <c r="K11" s="155">
        <f>IF($E11="","",INDEX(Input!$C$16:$CP$16,1,$B11))</f>
        <v>2.9399999999999999E-2</v>
      </c>
      <c r="L11" s="155">
        <f>IF($E11="","",Input!$C$37)</f>
        <v>1.4999999999999999E-2</v>
      </c>
      <c r="M11" s="155">
        <f t="shared" si="23"/>
        <v>4.4399999999999995E-2</v>
      </c>
      <c r="N11" s="155">
        <f t="shared" si="24"/>
        <v>3.6267740400885984E-3</v>
      </c>
      <c r="O11" s="147">
        <f>IF($E11="","",MIN(VLOOKUP(IF($B11&lt;=Input!$C$7,$B11,26),'Mortality Tables'!$A$41:$CW$67,IF($B11&lt;=Input!$C$7+1,Input!$C$4+2,$D11-Input!$C$7+2),0)*IF(B11&gt;20,Input!$C$22,1)/1000,1))</f>
        <v>2.7999999999999998E-4</v>
      </c>
      <c r="P11" s="147">
        <f>IF($E11="","",MIN(VLOOKUP(IF($B11&lt;=Input!$C$7,$B11,26),'Mortality Tables'!$A$12:$CW$37,IF($B11&lt;=Input!$C$7+1,Input!$C$4+2,$D11-Input!$C$7+2),0)*IF(B11&gt;20,Input!$C$22,1)/1000,1))</f>
        <v>3.5E-4</v>
      </c>
      <c r="Q11" s="155">
        <f>IF($E11="","",Input!$C$21)</f>
        <v>5.0000000000000001E-3</v>
      </c>
      <c r="R11" s="159">
        <f>IF($E11="","",(1-Q11)^($F11-Input!$C$20))</f>
        <v>1</v>
      </c>
      <c r="S11" s="147">
        <f t="shared" si="0"/>
        <v>2.7999999999999998E-4</v>
      </c>
      <c r="T11" s="147">
        <f t="shared" si="1"/>
        <v>2.3336328313527943E-5</v>
      </c>
      <c r="U11" s="160">
        <f>IF($E11="","",IF($C11=12,INDEX(Input!$C$15:$CP$15,1,$B11),0))</f>
        <v>0</v>
      </c>
      <c r="V11" s="150">
        <f>IF(E11="","",IF(C11=1,IF($B11=1,Input!$C$33,Input!$C$34),0))</f>
        <v>0</v>
      </c>
      <c r="W11" s="156">
        <f>IF($E11="","",Input!$C$35)</f>
        <v>0.02</v>
      </c>
      <c r="X11" s="156">
        <f t="shared" si="2"/>
        <v>1</v>
      </c>
      <c r="Y11" s="154"/>
      <c r="Z11" s="147">
        <f>IF($E11="","",VLOOKUP($D11,'Mortality Margins &amp; Grading'!$AB$5:$AF$125,3,0)*IF(Summary!$D$25="Included Margin",IF(AND($B11&gt;Input!$C$9,Summary!$D$31&lt;&gt;"Included Margin"),0,1),0))</f>
        <v>0.04</v>
      </c>
      <c r="AA11" s="147">
        <f>IF($E11="","",VLOOKUP($D11,'Mortality Margins &amp; Grading'!$AB$5:$AF$125,5,0)*IF(Summary!$D$25="Included Margin",IF(AND($B11&gt;Input!$C$9,Summary!$D$31&lt;&gt;"Included Margin"),0,1),0))</f>
        <v>0.20399999999999999</v>
      </c>
      <c r="AB11" s="147">
        <f>IF($E11="","",IF(AND($B11&gt;Input!$C$9,Summary!$D$31&lt;&gt;"Included Margin"),1,IF(Summary!$D$25="Included Margin",VLOOKUP($B11,'Mortality Margins &amp; Grading'!$AI$5:$AR$125,MATCH('Mortality Margins &amp; Grading'!$AQ$4,'Mortality Margins &amp; Grading'!$AI$4:$AR$4,0),0),1)))</f>
        <v>1</v>
      </c>
      <c r="AC11" s="154"/>
      <c r="AD11" s="158">
        <f>IF(E11="","",Input!$C$48*IF(Summary!$D$30="Included Margin",IF(AND($B11&gt;Input!$C$9,Summary!$D$31&lt;&gt;"Included Margin"),0,1),0))</f>
        <v>-4.4999999999999997E-3</v>
      </c>
      <c r="AE11" s="159">
        <f>IF(E11="","",IF(Summary!$D$26="Included Margin",IF(AND($B11&gt;Input!$C$9,Summary!$D$31&lt;&gt;"Included Margin"),1,1/$R11),1))</f>
        <v>1</v>
      </c>
      <c r="AF11" s="160">
        <f>IF(E11="","",IF(AND($B11&gt;=Input!$C$9,$C11=12,Summary!$D$31="Included Margin",$U11&gt;0),1/U11-1,IF($B11&gt;=Input!$C$9,0,Input!$C$45*IF(Summary!$D$27="Included Margin",1,0))))</f>
        <v>-0.1</v>
      </c>
      <c r="AG11" s="160">
        <f>IF(E11="","",Input!$C$46*IF(Summary!$D$28="Included Margin",IF(AND($B11&gt;Input!$C$9,Summary!$D$31&lt;&gt;"Included Margin"),0,1),0))</f>
        <v>0.02</v>
      </c>
      <c r="AH11" s="158">
        <f>IF(E11="","",Input!$C$47*IF(Summary!$D$29="Included Margin",IF(AND($B11&gt;Input!$C$9,Summary!$D$31&lt;&gt;"Included Margin"),0,1),0))</f>
        <v>2.5000000000000001E-3</v>
      </c>
      <c r="AI11" s="154"/>
      <c r="AJ11" s="158">
        <f t="shared" si="25"/>
        <v>3.9899999999999998E-2</v>
      </c>
      <c r="AK11" s="155">
        <f t="shared" si="26"/>
        <v>3.2657003754898994E-3</v>
      </c>
      <c r="AL11" s="147">
        <f t="shared" si="27"/>
        <v>2.9119999999999998E-4</v>
      </c>
      <c r="AM11" s="147">
        <f t="shared" si="3"/>
        <v>2.426990606041457E-5</v>
      </c>
      <c r="AN11" s="160">
        <f t="shared" si="28"/>
        <v>0</v>
      </c>
      <c r="AO11" s="161">
        <f t="shared" si="29"/>
        <v>0</v>
      </c>
      <c r="AP11" s="156">
        <f t="shared" si="4"/>
        <v>1</v>
      </c>
      <c r="AQ11" s="152"/>
      <c r="AR11" s="162">
        <f t="shared" si="5"/>
        <v>-153.32458663298121</v>
      </c>
      <c r="AS11" s="150">
        <f t="shared" si="30"/>
        <v>0</v>
      </c>
      <c r="AT11" s="163">
        <f t="shared" si="6"/>
        <v>0</v>
      </c>
      <c r="AU11" s="163">
        <f t="shared" si="7"/>
        <v>2.426990606041457</v>
      </c>
      <c r="AV11" s="163">
        <f t="shared" si="31"/>
        <v>-0.50467507220589036</v>
      </c>
      <c r="AW11" s="163">
        <f t="shared" si="8"/>
        <v>-3.7924164497462266E-3</v>
      </c>
      <c r="AX11" s="163">
        <f t="shared" si="9"/>
        <v>0</v>
      </c>
      <c r="AY11" s="164">
        <f t="shared" si="32"/>
        <v>-156.26004472767829</v>
      </c>
      <c r="AZ11" s="164">
        <f>IF($E11="","",IF(OR(AND($D11=Input!$C$6,$C11=12),$AN11=1),0,-AS12+AT12+AU12-AV12-AW12-AX12+AZ12))</f>
        <v>-156.26003826738528</v>
      </c>
      <c r="BA11" s="154">
        <f t="shared" si="10"/>
        <v>6.4602930081036902E-6</v>
      </c>
      <c r="BC11" s="147">
        <f t="shared" si="33"/>
        <v>0.99983665713762904</v>
      </c>
      <c r="BD11" s="164">
        <f>IF(AND($C10=12,$D10=Input!$C$6),0,IF($E11="","",AT11+(AU11+BD12)/(1+$AK11)*MIN((1-AM11-AN11),1)))</f>
        <v>1942.6216665537911</v>
      </c>
      <c r="BE11" s="164">
        <f t="shared" si="11"/>
        <v>1942.3043531702724</v>
      </c>
      <c r="BF11" s="164">
        <f t="shared" si="34"/>
        <v>-156.26003826738528</v>
      </c>
      <c r="BG11" s="164">
        <f t="shared" si="12"/>
        <v>-156.23451430546049</v>
      </c>
      <c r="BH11" s="152"/>
      <c r="BI11" s="162">
        <f t="shared" si="13"/>
        <v>-337.81729634836273</v>
      </c>
      <c r="BJ11" s="150">
        <f t="shared" si="14"/>
        <v>0</v>
      </c>
      <c r="BK11" s="163">
        <f t="shared" si="38"/>
        <v>0</v>
      </c>
      <c r="BL11" s="163">
        <f t="shared" si="15"/>
        <v>2.3336328313527943</v>
      </c>
      <c r="BM11" s="163">
        <f t="shared" si="39"/>
        <v>-1.2294187801750833</v>
      </c>
      <c r="BN11" s="163">
        <f t="shared" si="16"/>
        <v>-7.9667496157076172E-3</v>
      </c>
      <c r="BO11" s="163">
        <f t="shared" si="17"/>
        <v>0</v>
      </c>
      <c r="BP11" s="164">
        <f t="shared" si="40"/>
        <v>-341.38831470950635</v>
      </c>
      <c r="BQ11" s="164">
        <f>IF($E11="","",IF(AND($D11=Input!$C$6,$C11=12),0,-BJ12+BK12+BL12-BM12-BN12-BO12+BQ12))</f>
        <v>-341.38830704954285</v>
      </c>
      <c r="BR11" s="161">
        <f t="shared" si="18"/>
        <v>0</v>
      </c>
      <c r="BT11" s="147">
        <f t="shared" si="19"/>
        <v>0.99983665713762904</v>
      </c>
      <c r="BU11" s="164">
        <f>IF(AND($C10=12,$D10=Input!$C$6),0,IF($E11="","",BK11+(BL11+BU12)/(1+$AK11)*MIN((1-T11-U11),1)))</f>
        <v>2695.6484286310319</v>
      </c>
      <c r="BV11" s="164">
        <f t="shared" si="20"/>
        <v>2695.2081137007535</v>
      </c>
      <c r="BW11" s="164">
        <f t="shared" si="21"/>
        <v>-341.38830704954285</v>
      </c>
      <c r="BX11" s="164">
        <f t="shared" si="22"/>
        <v>-341.33254370628941</v>
      </c>
    </row>
    <row r="12" spans="1:76" s="150" customFormat="1" x14ac:dyDescent="0.25">
      <c r="A12" s="150">
        <f t="shared" si="35"/>
        <v>8</v>
      </c>
      <c r="B12" s="150">
        <f t="shared" si="36"/>
        <v>1</v>
      </c>
      <c r="C12" s="150">
        <f t="shared" si="37"/>
        <v>8</v>
      </c>
      <c r="D12" s="150">
        <f>IF(E12="","",Input!$C$4+B12-1)</f>
        <v>45</v>
      </c>
      <c r="E12" s="150">
        <f>IF(OR(AND(C11=12,D11=Input!$C$6),E11=""),"",1)</f>
        <v>1</v>
      </c>
      <c r="F12" s="150">
        <f>IF(E12="","",Input!$C$8+B12-1)</f>
        <v>2018</v>
      </c>
      <c r="G12" s="151">
        <f>IF(E12="","",MAX(0,Input!$C$9-B12))</f>
        <v>19</v>
      </c>
      <c r="H12" s="152">
        <f>IF(E12="","",Input!$C$3)</f>
        <v>100000</v>
      </c>
      <c r="I12" s="153">
        <f>IF(E12="","",HLOOKUP($B12,Input!$C$13:$BT$14,2))</f>
        <v>2.2999999999999998</v>
      </c>
      <c r="J12" s="154"/>
      <c r="K12" s="155">
        <f>IF($E12="","",INDEX(Input!$C$16:$CP$16,1,$B12))</f>
        <v>2.9399999999999999E-2</v>
      </c>
      <c r="L12" s="155">
        <f>IF($E12="","",Input!$C$37)</f>
        <v>1.4999999999999999E-2</v>
      </c>
      <c r="M12" s="155">
        <f t="shared" si="23"/>
        <v>4.4399999999999995E-2</v>
      </c>
      <c r="N12" s="155">
        <f t="shared" si="24"/>
        <v>3.6267740400885984E-3</v>
      </c>
      <c r="O12" s="147">
        <f>IF($E12="","",MIN(VLOOKUP(IF($B12&lt;=Input!$C$7,$B12,26),'Mortality Tables'!$A$41:$CW$67,IF($B12&lt;=Input!$C$7+1,Input!$C$4+2,$D12-Input!$C$7+2),0)*IF(B12&gt;20,Input!$C$22,1)/1000,1))</f>
        <v>2.7999999999999998E-4</v>
      </c>
      <c r="P12" s="147">
        <f>IF($E12="","",MIN(VLOOKUP(IF($B12&lt;=Input!$C$7,$B12,26),'Mortality Tables'!$A$12:$CW$37,IF($B12&lt;=Input!$C$7+1,Input!$C$4+2,$D12-Input!$C$7+2),0)*IF(B12&gt;20,Input!$C$22,1)/1000,1))</f>
        <v>3.5E-4</v>
      </c>
      <c r="Q12" s="155">
        <f>IF($E12="","",Input!$C$21)</f>
        <v>5.0000000000000001E-3</v>
      </c>
      <c r="R12" s="159">
        <f>IF($E12="","",(1-Q12)^($F12-Input!$C$20))</f>
        <v>1</v>
      </c>
      <c r="S12" s="147">
        <f t="shared" si="0"/>
        <v>2.7999999999999998E-4</v>
      </c>
      <c r="T12" s="147">
        <f t="shared" si="1"/>
        <v>2.3336328313527943E-5</v>
      </c>
      <c r="U12" s="160">
        <f>IF($E12="","",IF($C12=12,INDEX(Input!$C$15:$CP$15,1,$B12),0))</f>
        <v>0</v>
      </c>
      <c r="V12" s="150">
        <f>IF(E12="","",IF(C12=1,IF($B12=1,Input!$C$33,Input!$C$34),0))</f>
        <v>0</v>
      </c>
      <c r="W12" s="156">
        <f>IF($E12="","",Input!$C$35)</f>
        <v>0.02</v>
      </c>
      <c r="X12" s="156">
        <f t="shared" si="2"/>
        <v>1</v>
      </c>
      <c r="Y12" s="154"/>
      <c r="Z12" s="147">
        <f>IF($E12="","",VLOOKUP($D12,'Mortality Margins &amp; Grading'!$AB$5:$AF$125,3,0)*IF(Summary!$D$25="Included Margin",IF(AND($B12&gt;Input!$C$9,Summary!$D$31&lt;&gt;"Included Margin"),0,1),0))</f>
        <v>0.04</v>
      </c>
      <c r="AA12" s="147">
        <f>IF($E12="","",VLOOKUP($D12,'Mortality Margins &amp; Grading'!$AB$5:$AF$125,5,0)*IF(Summary!$D$25="Included Margin",IF(AND($B12&gt;Input!$C$9,Summary!$D$31&lt;&gt;"Included Margin"),0,1),0))</f>
        <v>0.20399999999999999</v>
      </c>
      <c r="AB12" s="147">
        <f>IF($E12="","",IF(AND($B12&gt;Input!$C$9,Summary!$D$31&lt;&gt;"Included Margin"),1,IF(Summary!$D$25="Included Margin",VLOOKUP($B12,'Mortality Margins &amp; Grading'!$AI$5:$AR$125,MATCH('Mortality Margins &amp; Grading'!$AQ$4,'Mortality Margins &amp; Grading'!$AI$4:$AR$4,0),0),1)))</f>
        <v>1</v>
      </c>
      <c r="AC12" s="154"/>
      <c r="AD12" s="158">
        <f>IF(E12="","",Input!$C$48*IF(Summary!$D$30="Included Margin",IF(AND($B12&gt;Input!$C$9,Summary!$D$31&lt;&gt;"Included Margin"),0,1),0))</f>
        <v>-4.4999999999999997E-3</v>
      </c>
      <c r="AE12" s="159">
        <f>IF(E12="","",IF(Summary!$D$26="Included Margin",IF(AND($B12&gt;Input!$C$9,Summary!$D$31&lt;&gt;"Included Margin"),1,1/$R12),1))</f>
        <v>1</v>
      </c>
      <c r="AF12" s="160">
        <f>IF(E12="","",IF(AND($B12&gt;=Input!$C$9,$C12=12,Summary!$D$31="Included Margin",$U12&gt;0),1/U12-1,IF($B12&gt;=Input!$C$9,0,Input!$C$45*IF(Summary!$D$27="Included Margin",1,0))))</f>
        <v>-0.1</v>
      </c>
      <c r="AG12" s="160">
        <f>IF(E12="","",Input!$C$46*IF(Summary!$D$28="Included Margin",IF(AND($B12&gt;Input!$C$9,Summary!$D$31&lt;&gt;"Included Margin"),0,1),0))</f>
        <v>0.02</v>
      </c>
      <c r="AH12" s="158">
        <f>IF(E12="","",Input!$C$47*IF(Summary!$D$29="Included Margin",IF(AND($B12&gt;Input!$C$9,Summary!$D$31&lt;&gt;"Included Margin"),0,1),0))</f>
        <v>2.5000000000000001E-3</v>
      </c>
      <c r="AI12" s="154"/>
      <c r="AJ12" s="158">
        <f t="shared" si="25"/>
        <v>3.9899999999999998E-2</v>
      </c>
      <c r="AK12" s="155">
        <f t="shared" si="26"/>
        <v>3.2657003754898994E-3</v>
      </c>
      <c r="AL12" s="147">
        <f t="shared" si="27"/>
        <v>2.9119999999999998E-4</v>
      </c>
      <c r="AM12" s="147">
        <f t="shared" si="3"/>
        <v>2.426990606041457E-5</v>
      </c>
      <c r="AN12" s="160">
        <f t="shared" si="28"/>
        <v>0</v>
      </c>
      <c r="AO12" s="161">
        <f t="shared" si="29"/>
        <v>0</v>
      </c>
      <c r="AP12" s="156">
        <f t="shared" si="4"/>
        <v>1</v>
      </c>
      <c r="AQ12" s="152"/>
      <c r="AR12" s="162">
        <f t="shared" si="5"/>
        <v>-156.26004472767832</v>
      </c>
      <c r="AS12" s="150">
        <f t="shared" si="30"/>
        <v>0</v>
      </c>
      <c r="AT12" s="163">
        <f t="shared" si="6"/>
        <v>0</v>
      </c>
      <c r="AU12" s="163">
        <f t="shared" si="7"/>
        <v>2.426990606041457</v>
      </c>
      <c r="AV12" s="163">
        <f t="shared" si="31"/>
        <v>-0.51426139880797761</v>
      </c>
      <c r="AW12" s="163">
        <f t="shared" si="8"/>
        <v>-3.8638941359516355E-3</v>
      </c>
      <c r="AX12" s="163">
        <f t="shared" si="9"/>
        <v>0</v>
      </c>
      <c r="AY12" s="164">
        <f t="shared" si="32"/>
        <v>-159.20516062666371</v>
      </c>
      <c r="AZ12" s="164">
        <f>IF($E12="","",IF(OR(AND($D12=Input!$C$6,$C12=12),$AN12=1),0,-AS13+AT13+AU13-AV13-AW13-AX13+AZ13))</f>
        <v>-159.20515416637068</v>
      </c>
      <c r="BA12" s="154">
        <f t="shared" si="10"/>
        <v>6.4602930365253997E-6</v>
      </c>
      <c r="BC12" s="147">
        <f t="shared" si="33"/>
        <v>0.99981332462113814</v>
      </c>
      <c r="BD12" s="164">
        <f>IF(AND($C11=12,$D11=Input!$C$6),0,IF($E12="","",AT12+(AU12+BD13)/(1+$AK12)*MIN((1-AM12-AN12),1)))</f>
        <v>1946.585998615808</v>
      </c>
      <c r="BE12" s="164">
        <f t="shared" si="11"/>
        <v>1946.2226189370292</v>
      </c>
      <c r="BF12" s="164">
        <f t="shared" si="34"/>
        <v>-159.20515416637068</v>
      </c>
      <c r="BG12" s="164">
        <f t="shared" si="12"/>
        <v>-159.17543448389992</v>
      </c>
      <c r="BH12" s="152"/>
      <c r="BI12" s="162">
        <f t="shared" si="13"/>
        <v>-341.38831470950635</v>
      </c>
      <c r="BJ12" s="150">
        <f t="shared" si="14"/>
        <v>0</v>
      </c>
      <c r="BK12" s="163">
        <f t="shared" si="38"/>
        <v>0</v>
      </c>
      <c r="BL12" s="163">
        <f t="shared" si="15"/>
        <v>2.3336328313527943</v>
      </c>
      <c r="BM12" s="163">
        <f t="shared" si="39"/>
        <v>-1.2423700568639586</v>
      </c>
      <c r="BN12" s="163">
        <f t="shared" si="16"/>
        <v>-8.0503882596606475E-3</v>
      </c>
      <c r="BO12" s="163">
        <f t="shared" si="17"/>
        <v>0</v>
      </c>
      <c r="BP12" s="164">
        <f t="shared" si="40"/>
        <v>-344.97236798598277</v>
      </c>
      <c r="BQ12" s="164">
        <f>IF($E12="","",IF(AND($D12=Input!$C$6,$C12=12),0,-BJ13+BK13+BL13-BM13-BN13-BO13+BQ13))</f>
        <v>-344.97236032601927</v>
      </c>
      <c r="BR12" s="161">
        <f t="shared" si="18"/>
        <v>0</v>
      </c>
      <c r="BT12" s="147">
        <f t="shared" si="19"/>
        <v>0.99981332462113814</v>
      </c>
      <c r="BU12" s="164">
        <f>IF(AND($C11=12,$D11=Input!$C$6),0,IF($E12="","",BK12+(BL12+BU13)/(1+$AK12)*MIN((1-T12-U12),1)))</f>
        <v>2702.1810893287334</v>
      </c>
      <c r="BV12" s="164">
        <f t="shared" si="20"/>
        <v>2701.6766586501294</v>
      </c>
      <c r="BW12" s="164">
        <f t="shared" si="21"/>
        <v>-344.97236032601927</v>
      </c>
      <c r="BX12" s="164">
        <f t="shared" si="22"/>
        <v>-344.90796247995854</v>
      </c>
    </row>
    <row r="13" spans="1:76" s="150" customFormat="1" x14ac:dyDescent="0.25">
      <c r="A13" s="150">
        <f t="shared" si="35"/>
        <v>9</v>
      </c>
      <c r="B13" s="150">
        <f t="shared" si="36"/>
        <v>1</v>
      </c>
      <c r="C13" s="150">
        <f t="shared" si="37"/>
        <v>9</v>
      </c>
      <c r="D13" s="150">
        <f>IF(E13="","",Input!$C$4+B13-1)</f>
        <v>45</v>
      </c>
      <c r="E13" s="150">
        <f>IF(OR(AND(C12=12,D12=Input!$C$6),E12=""),"",1)</f>
        <v>1</v>
      </c>
      <c r="F13" s="150">
        <f>IF(E13="","",Input!$C$8+B13-1)</f>
        <v>2018</v>
      </c>
      <c r="G13" s="151">
        <f>IF(E13="","",MAX(0,Input!$C$9-B13))</f>
        <v>19</v>
      </c>
      <c r="H13" s="152">
        <f>IF(E13="","",Input!$C$3)</f>
        <v>100000</v>
      </c>
      <c r="I13" s="153">
        <f>IF(E13="","",HLOOKUP($B13,Input!$C$13:$BT$14,2))</f>
        <v>2.2999999999999998</v>
      </c>
      <c r="J13" s="154"/>
      <c r="K13" s="155">
        <f>IF($E13="","",INDEX(Input!$C$16:$CP$16,1,$B13))</f>
        <v>2.9399999999999999E-2</v>
      </c>
      <c r="L13" s="155">
        <f>IF($E13="","",Input!$C$37)</f>
        <v>1.4999999999999999E-2</v>
      </c>
      <c r="M13" s="155">
        <f t="shared" si="23"/>
        <v>4.4399999999999995E-2</v>
      </c>
      <c r="N13" s="155">
        <f t="shared" si="24"/>
        <v>3.6267740400885984E-3</v>
      </c>
      <c r="O13" s="147">
        <f>IF($E13="","",MIN(VLOOKUP(IF($B13&lt;=Input!$C$7,$B13,26),'Mortality Tables'!$A$41:$CW$67,IF($B13&lt;=Input!$C$7+1,Input!$C$4+2,$D13-Input!$C$7+2),0)*IF(B13&gt;20,Input!$C$22,1)/1000,1))</f>
        <v>2.7999999999999998E-4</v>
      </c>
      <c r="P13" s="147">
        <f>IF($E13="","",MIN(VLOOKUP(IF($B13&lt;=Input!$C$7,$B13,26),'Mortality Tables'!$A$12:$CW$37,IF($B13&lt;=Input!$C$7+1,Input!$C$4+2,$D13-Input!$C$7+2),0)*IF(B13&gt;20,Input!$C$22,1)/1000,1))</f>
        <v>3.5E-4</v>
      </c>
      <c r="Q13" s="155">
        <f>IF($E13="","",Input!$C$21)</f>
        <v>5.0000000000000001E-3</v>
      </c>
      <c r="R13" s="159">
        <f>IF($E13="","",(1-Q13)^($F13-Input!$C$20))</f>
        <v>1</v>
      </c>
      <c r="S13" s="147">
        <f t="shared" si="0"/>
        <v>2.7999999999999998E-4</v>
      </c>
      <c r="T13" s="147">
        <f t="shared" si="1"/>
        <v>2.3336328313527943E-5</v>
      </c>
      <c r="U13" s="160">
        <f>IF($E13="","",IF($C13=12,INDEX(Input!$C$15:$CP$15,1,$B13),0))</f>
        <v>0</v>
      </c>
      <c r="V13" s="150">
        <f>IF(E13="","",IF(C13=1,IF($B13=1,Input!$C$33,Input!$C$34),0))</f>
        <v>0</v>
      </c>
      <c r="W13" s="156">
        <f>IF($E13="","",Input!$C$35)</f>
        <v>0.02</v>
      </c>
      <c r="X13" s="156">
        <f t="shared" si="2"/>
        <v>1</v>
      </c>
      <c r="Y13" s="154"/>
      <c r="Z13" s="147">
        <f>IF($E13="","",VLOOKUP($D13,'Mortality Margins &amp; Grading'!$AB$5:$AF$125,3,0)*IF(Summary!$D$25="Included Margin",IF(AND($B13&gt;Input!$C$9,Summary!$D$31&lt;&gt;"Included Margin"),0,1),0))</f>
        <v>0.04</v>
      </c>
      <c r="AA13" s="147">
        <f>IF($E13="","",VLOOKUP($D13,'Mortality Margins &amp; Grading'!$AB$5:$AF$125,5,0)*IF(Summary!$D$25="Included Margin",IF(AND($B13&gt;Input!$C$9,Summary!$D$31&lt;&gt;"Included Margin"),0,1),0))</f>
        <v>0.20399999999999999</v>
      </c>
      <c r="AB13" s="147">
        <f>IF($E13="","",IF(AND($B13&gt;Input!$C$9,Summary!$D$31&lt;&gt;"Included Margin"),1,IF(Summary!$D$25="Included Margin",VLOOKUP($B13,'Mortality Margins &amp; Grading'!$AI$5:$AR$125,MATCH('Mortality Margins &amp; Grading'!$AQ$4,'Mortality Margins &amp; Grading'!$AI$4:$AR$4,0),0),1)))</f>
        <v>1</v>
      </c>
      <c r="AC13" s="154"/>
      <c r="AD13" s="158">
        <f>IF(E13="","",Input!$C$48*IF(Summary!$D$30="Included Margin",IF(AND($B13&gt;Input!$C$9,Summary!$D$31&lt;&gt;"Included Margin"),0,1),0))</f>
        <v>-4.4999999999999997E-3</v>
      </c>
      <c r="AE13" s="159">
        <f>IF(E13="","",IF(Summary!$D$26="Included Margin",IF(AND($B13&gt;Input!$C$9,Summary!$D$31&lt;&gt;"Included Margin"),1,1/$R13),1))</f>
        <v>1</v>
      </c>
      <c r="AF13" s="160">
        <f>IF(E13="","",IF(AND($B13&gt;=Input!$C$9,$C13=12,Summary!$D$31="Included Margin",$U13&gt;0),1/U13-1,IF($B13&gt;=Input!$C$9,0,Input!$C$45*IF(Summary!$D$27="Included Margin",1,0))))</f>
        <v>-0.1</v>
      </c>
      <c r="AG13" s="160">
        <f>IF(E13="","",Input!$C$46*IF(Summary!$D$28="Included Margin",IF(AND($B13&gt;Input!$C$9,Summary!$D$31&lt;&gt;"Included Margin"),0,1),0))</f>
        <v>0.02</v>
      </c>
      <c r="AH13" s="158">
        <f>IF(E13="","",Input!$C$47*IF(Summary!$D$29="Included Margin",IF(AND($B13&gt;Input!$C$9,Summary!$D$31&lt;&gt;"Included Margin"),0,1),0))</f>
        <v>2.5000000000000001E-3</v>
      </c>
      <c r="AI13" s="154"/>
      <c r="AJ13" s="158">
        <f t="shared" si="25"/>
        <v>3.9899999999999998E-2</v>
      </c>
      <c r="AK13" s="155">
        <f t="shared" si="26"/>
        <v>3.2657003754898994E-3</v>
      </c>
      <c r="AL13" s="147">
        <f t="shared" si="27"/>
        <v>2.9119999999999998E-4</v>
      </c>
      <c r="AM13" s="147">
        <f t="shared" si="3"/>
        <v>2.426990606041457E-5</v>
      </c>
      <c r="AN13" s="160">
        <f t="shared" si="28"/>
        <v>0</v>
      </c>
      <c r="AO13" s="161">
        <f t="shared" si="29"/>
        <v>0</v>
      </c>
      <c r="AP13" s="156">
        <f t="shared" si="4"/>
        <v>1</v>
      </c>
      <c r="AQ13" s="152"/>
      <c r="AR13" s="162">
        <f t="shared" si="5"/>
        <v>-159.20516062666368</v>
      </c>
      <c r="AS13" s="150">
        <f t="shared" si="30"/>
        <v>0</v>
      </c>
      <c r="AT13" s="163">
        <f t="shared" si="6"/>
        <v>0</v>
      </c>
      <c r="AU13" s="163">
        <f t="shared" si="7"/>
        <v>2.426990606041457</v>
      </c>
      <c r="AV13" s="163">
        <f t="shared" si="31"/>
        <v>-0.52387926490515535</v>
      </c>
      <c r="AW13" s="163">
        <f t="shared" si="8"/>
        <v>-3.9356069873278908E-3</v>
      </c>
      <c r="AX13" s="163">
        <f t="shared" si="9"/>
        <v>0</v>
      </c>
      <c r="AY13" s="164">
        <f t="shared" si="32"/>
        <v>-162.15996610459766</v>
      </c>
      <c r="AZ13" s="164">
        <f>IF($E13="","",IF(OR(AND($D13=Input!$C$6,$C13=12),$AN13=1),0,-AS14+AT14+AU14-AV14-AW14-AX14+AZ14))</f>
        <v>-162.15995964430462</v>
      </c>
      <c r="BA13" s="154">
        <f t="shared" si="10"/>
        <v>6.4602930365253997E-6</v>
      </c>
      <c r="BC13" s="147">
        <f t="shared" si="33"/>
        <v>0.99978999264914259</v>
      </c>
      <c r="BD13" s="164">
        <f>IF(AND($C12=12,$D12=Input!$C$6),0,IF($E13="","",AT13+(AU13+BD14)/(1+$AK13)*MIN((1-AM13-AN13),1)))</f>
        <v>1950.5633735290439</v>
      </c>
      <c r="BE13" s="164">
        <f t="shared" si="11"/>
        <v>1950.1537408822896</v>
      </c>
      <c r="BF13" s="164">
        <f t="shared" si="34"/>
        <v>-162.15995964430462</v>
      </c>
      <c r="BG13" s="164">
        <f t="shared" si="12"/>
        <v>-162.12590486076456</v>
      </c>
      <c r="BH13" s="152"/>
      <c r="BI13" s="162">
        <f t="shared" si="13"/>
        <v>-344.97236798598277</v>
      </c>
      <c r="BJ13" s="150">
        <f t="shared" si="14"/>
        <v>0</v>
      </c>
      <c r="BK13" s="163">
        <f t="shared" si="38"/>
        <v>0</v>
      </c>
      <c r="BL13" s="163">
        <f t="shared" si="15"/>
        <v>2.3336328313527943</v>
      </c>
      <c r="BM13" s="163">
        <f t="shared" si="39"/>
        <v>-1.2553686082453779</v>
      </c>
      <c r="BN13" s="163">
        <f t="shared" si="16"/>
        <v>-8.1343322010196881E-3</v>
      </c>
      <c r="BO13" s="163">
        <f t="shared" si="17"/>
        <v>0</v>
      </c>
      <c r="BP13" s="164">
        <f t="shared" si="40"/>
        <v>-348.56950375778194</v>
      </c>
      <c r="BQ13" s="164">
        <f>IF($E13="","",IF(AND($D13=Input!$C$6,$C13=12),0,-BJ14+BK14+BL14-BM14-BN14-BO14+BQ14))</f>
        <v>-348.56949609781844</v>
      </c>
      <c r="BR13" s="161">
        <f t="shared" si="18"/>
        <v>0</v>
      </c>
      <c r="BT13" s="147">
        <f t="shared" si="19"/>
        <v>0.99978999264914259</v>
      </c>
      <c r="BU13" s="164">
        <f>IF(AND($C12=12,$D12=Input!$C$6),0,IF($E13="","",BK13+(BL13+BU14)/(1+$AK13)*MIN((1-T13-U13),1)))</f>
        <v>2708.735236688663</v>
      </c>
      <c r="BV13" s="164">
        <f t="shared" si="20"/>
        <v>2708.166382377432</v>
      </c>
      <c r="BW13" s="164">
        <f t="shared" si="21"/>
        <v>-348.56949609781844</v>
      </c>
      <c r="BX13" s="164">
        <f t="shared" si="22"/>
        <v>-348.49629394135326</v>
      </c>
    </row>
    <row r="14" spans="1:76" s="150" customFormat="1" x14ac:dyDescent="0.25">
      <c r="A14" s="150">
        <f t="shared" si="35"/>
        <v>10</v>
      </c>
      <c r="B14" s="150">
        <f t="shared" si="36"/>
        <v>1</v>
      </c>
      <c r="C14" s="150">
        <f t="shared" si="37"/>
        <v>10</v>
      </c>
      <c r="D14" s="150">
        <f>IF(E14="","",Input!$C$4+B14-1)</f>
        <v>45</v>
      </c>
      <c r="E14" s="150">
        <f>IF(OR(AND(C13=12,D13=Input!$C$6),E13=""),"",1)</f>
        <v>1</v>
      </c>
      <c r="F14" s="150">
        <f>IF(E14="","",Input!$C$8+B14-1)</f>
        <v>2018</v>
      </c>
      <c r="G14" s="151">
        <f>IF(E14="","",MAX(0,Input!$C$9-B14))</f>
        <v>19</v>
      </c>
      <c r="H14" s="152">
        <f>IF(E14="","",Input!$C$3)</f>
        <v>100000</v>
      </c>
      <c r="I14" s="153">
        <f>IF(E14="","",HLOOKUP($B14,Input!$C$13:$BT$14,2))</f>
        <v>2.2999999999999998</v>
      </c>
      <c r="J14" s="154"/>
      <c r="K14" s="155">
        <f>IF($E14="","",INDEX(Input!$C$16:$CP$16,1,$B14))</f>
        <v>2.9399999999999999E-2</v>
      </c>
      <c r="L14" s="155">
        <f>IF($E14="","",Input!$C$37)</f>
        <v>1.4999999999999999E-2</v>
      </c>
      <c r="M14" s="155">
        <f t="shared" si="23"/>
        <v>4.4399999999999995E-2</v>
      </c>
      <c r="N14" s="155">
        <f t="shared" si="24"/>
        <v>3.6267740400885984E-3</v>
      </c>
      <c r="O14" s="147">
        <f>IF($E14="","",MIN(VLOOKUP(IF($B14&lt;=Input!$C$7,$B14,26),'Mortality Tables'!$A$41:$CW$67,IF($B14&lt;=Input!$C$7+1,Input!$C$4+2,$D14-Input!$C$7+2),0)*IF(B14&gt;20,Input!$C$22,1)/1000,1))</f>
        <v>2.7999999999999998E-4</v>
      </c>
      <c r="P14" s="147">
        <f>IF($E14="","",MIN(VLOOKUP(IF($B14&lt;=Input!$C$7,$B14,26),'Mortality Tables'!$A$12:$CW$37,IF($B14&lt;=Input!$C$7+1,Input!$C$4+2,$D14-Input!$C$7+2),0)*IF(B14&gt;20,Input!$C$22,1)/1000,1))</f>
        <v>3.5E-4</v>
      </c>
      <c r="Q14" s="155">
        <f>IF($E14="","",Input!$C$21)</f>
        <v>5.0000000000000001E-3</v>
      </c>
      <c r="R14" s="159">
        <f>IF($E14="","",(1-Q14)^($F14-Input!$C$20))</f>
        <v>1</v>
      </c>
      <c r="S14" s="147">
        <f t="shared" si="0"/>
        <v>2.7999999999999998E-4</v>
      </c>
      <c r="T14" s="147">
        <f t="shared" si="1"/>
        <v>2.3336328313527943E-5</v>
      </c>
      <c r="U14" s="160">
        <f>IF($E14="","",IF($C14=12,INDEX(Input!$C$15:$CP$15,1,$B14),0))</f>
        <v>0</v>
      </c>
      <c r="V14" s="150">
        <f>IF(E14="","",IF(C14=1,IF($B14=1,Input!$C$33,Input!$C$34),0))</f>
        <v>0</v>
      </c>
      <c r="W14" s="156">
        <f>IF($E14="","",Input!$C$35)</f>
        <v>0.02</v>
      </c>
      <c r="X14" s="156">
        <f t="shared" si="2"/>
        <v>1</v>
      </c>
      <c r="Y14" s="154"/>
      <c r="Z14" s="147">
        <f>IF($E14="","",VLOOKUP($D14,'Mortality Margins &amp; Grading'!$AB$5:$AF$125,3,0)*IF(Summary!$D$25="Included Margin",IF(AND($B14&gt;Input!$C$9,Summary!$D$31&lt;&gt;"Included Margin"),0,1),0))</f>
        <v>0.04</v>
      </c>
      <c r="AA14" s="147">
        <f>IF($E14="","",VLOOKUP($D14,'Mortality Margins &amp; Grading'!$AB$5:$AF$125,5,0)*IF(Summary!$D$25="Included Margin",IF(AND($B14&gt;Input!$C$9,Summary!$D$31&lt;&gt;"Included Margin"),0,1),0))</f>
        <v>0.20399999999999999</v>
      </c>
      <c r="AB14" s="147">
        <f>IF($E14="","",IF(AND($B14&gt;Input!$C$9,Summary!$D$31&lt;&gt;"Included Margin"),1,IF(Summary!$D$25="Included Margin",VLOOKUP($B14,'Mortality Margins &amp; Grading'!$AI$5:$AR$125,MATCH('Mortality Margins &amp; Grading'!$AQ$4,'Mortality Margins &amp; Grading'!$AI$4:$AR$4,0),0),1)))</f>
        <v>1</v>
      </c>
      <c r="AC14" s="154"/>
      <c r="AD14" s="158">
        <f>IF(E14="","",Input!$C$48*IF(Summary!$D$30="Included Margin",IF(AND($B14&gt;Input!$C$9,Summary!$D$31&lt;&gt;"Included Margin"),0,1),0))</f>
        <v>-4.4999999999999997E-3</v>
      </c>
      <c r="AE14" s="159">
        <f>IF(E14="","",IF(Summary!$D$26="Included Margin",IF(AND($B14&gt;Input!$C$9,Summary!$D$31&lt;&gt;"Included Margin"),1,1/$R14),1))</f>
        <v>1</v>
      </c>
      <c r="AF14" s="160">
        <f>IF(E14="","",IF(AND($B14&gt;=Input!$C$9,$C14=12,Summary!$D$31="Included Margin",$U14&gt;0),1/U14-1,IF($B14&gt;=Input!$C$9,0,Input!$C$45*IF(Summary!$D$27="Included Margin",1,0))))</f>
        <v>-0.1</v>
      </c>
      <c r="AG14" s="160">
        <f>IF(E14="","",Input!$C$46*IF(Summary!$D$28="Included Margin",IF(AND($B14&gt;Input!$C$9,Summary!$D$31&lt;&gt;"Included Margin"),0,1),0))</f>
        <v>0.02</v>
      </c>
      <c r="AH14" s="158">
        <f>IF(E14="","",Input!$C$47*IF(Summary!$D$29="Included Margin",IF(AND($B14&gt;Input!$C$9,Summary!$D$31&lt;&gt;"Included Margin"),0,1),0))</f>
        <v>2.5000000000000001E-3</v>
      </c>
      <c r="AI14" s="154"/>
      <c r="AJ14" s="158">
        <f t="shared" si="25"/>
        <v>3.9899999999999998E-2</v>
      </c>
      <c r="AK14" s="155">
        <f t="shared" si="26"/>
        <v>3.2657003754898994E-3</v>
      </c>
      <c r="AL14" s="147">
        <f t="shared" si="27"/>
        <v>2.9119999999999998E-4</v>
      </c>
      <c r="AM14" s="147">
        <f t="shared" si="3"/>
        <v>2.426990606041457E-5</v>
      </c>
      <c r="AN14" s="160">
        <f t="shared" si="28"/>
        <v>0</v>
      </c>
      <c r="AO14" s="161">
        <f t="shared" si="29"/>
        <v>0</v>
      </c>
      <c r="AP14" s="156">
        <f t="shared" si="4"/>
        <v>1</v>
      </c>
      <c r="AQ14" s="152"/>
      <c r="AR14" s="162">
        <f t="shared" si="5"/>
        <v>-162.15996610459766</v>
      </c>
      <c r="AS14" s="150">
        <f t="shared" si="30"/>
        <v>0</v>
      </c>
      <c r="AT14" s="163">
        <f t="shared" si="6"/>
        <v>0</v>
      </c>
      <c r="AU14" s="163">
        <f t="shared" si="7"/>
        <v>2.426990606041457</v>
      </c>
      <c r="AV14" s="163">
        <f t="shared" si="31"/>
        <v>-0.53352877426394396</v>
      </c>
      <c r="AW14" s="163">
        <f t="shared" si="8"/>
        <v>-4.0075557775801933E-3</v>
      </c>
      <c r="AX14" s="163">
        <f t="shared" si="9"/>
        <v>0</v>
      </c>
      <c r="AY14" s="164">
        <f t="shared" si="32"/>
        <v>-165.12449304068065</v>
      </c>
      <c r="AZ14" s="164">
        <f>IF($E14="","",IF(OR(AND($D14=Input!$C$6,$C14=12),$AN14=1),0,-AS15+AT15+AU15-AV15-AW15-AX15+AZ15))</f>
        <v>-165.12448658038761</v>
      </c>
      <c r="BA14" s="154">
        <f t="shared" si="10"/>
        <v>6.4602930365253997E-6</v>
      </c>
      <c r="BC14" s="147">
        <f t="shared" si="33"/>
        <v>0.9997666612216296</v>
      </c>
      <c r="BD14" s="164">
        <f>IF(AND($C13=12,$D13=Input!$C$6),0,IF($E14="","",AT14+(AU14+BD15)/(1+$AK14)*MIN((1-AM14-AN14),1)))</f>
        <v>1954.5538342051334</v>
      </c>
      <c r="BE14" s="164">
        <f t="shared" si="11"/>
        <v>1954.0977610012008</v>
      </c>
      <c r="BF14" s="164">
        <f t="shared" si="34"/>
        <v>-165.12448658038761</v>
      </c>
      <c r="BG14" s="164">
        <f t="shared" si="12"/>
        <v>-165.08595663440991</v>
      </c>
      <c r="BH14" s="152"/>
      <c r="BI14" s="162">
        <f t="shared" si="13"/>
        <v>-348.56950375778189</v>
      </c>
      <c r="BJ14" s="150">
        <f t="shared" si="14"/>
        <v>0</v>
      </c>
      <c r="BK14" s="163">
        <f t="shared" si="38"/>
        <v>0</v>
      </c>
      <c r="BL14" s="163">
        <f t="shared" si="15"/>
        <v>2.3336328313527943</v>
      </c>
      <c r="BM14" s="163">
        <f t="shared" si="39"/>
        <v>-1.268414606881213</v>
      </c>
      <c r="BN14" s="163">
        <f t="shared" si="16"/>
        <v>-8.2185825541799748E-3</v>
      </c>
      <c r="BO14" s="163">
        <f t="shared" si="17"/>
        <v>0</v>
      </c>
      <c r="BP14" s="164">
        <f t="shared" si="40"/>
        <v>-352.17976977857012</v>
      </c>
      <c r="BQ14" s="164">
        <f>IF($E14="","",IF(AND($D14=Input!$C$6,$C14=12),0,-BJ15+BK15+BL15-BM15-BN15-BO15+BQ15))</f>
        <v>-352.17976211860662</v>
      </c>
      <c r="BR14" s="161">
        <f t="shared" si="18"/>
        <v>0</v>
      </c>
      <c r="BT14" s="147">
        <f t="shared" si="19"/>
        <v>0.9997666612216296</v>
      </c>
      <c r="BU14" s="164">
        <f>IF(AND($C13=12,$D13=Input!$C$6),0,IF($E14="","",BK14+(BL14+BU15)/(1+$AK14)*MIN((1-T14-U14),1)))</f>
        <v>2715.3109413828906</v>
      </c>
      <c r="BV14" s="164">
        <f t="shared" si="20"/>
        <v>2714.6773540449326</v>
      </c>
      <c r="BW14" s="164">
        <f t="shared" si="21"/>
        <v>-352.17976211860662</v>
      </c>
      <c r="BX14" s="164">
        <f t="shared" si="22"/>
        <v>-352.09758492314711</v>
      </c>
    </row>
    <row r="15" spans="1:76" s="150" customFormat="1" x14ac:dyDescent="0.25">
      <c r="A15" s="150">
        <f t="shared" si="35"/>
        <v>11</v>
      </c>
      <c r="B15" s="150">
        <f t="shared" si="36"/>
        <v>1</v>
      </c>
      <c r="C15" s="150">
        <f t="shared" si="37"/>
        <v>11</v>
      </c>
      <c r="D15" s="150">
        <f>IF(E15="","",Input!$C$4+B15-1)</f>
        <v>45</v>
      </c>
      <c r="E15" s="150">
        <f>IF(OR(AND(C14=12,D14=Input!$C$6),E14=""),"",1)</f>
        <v>1</v>
      </c>
      <c r="F15" s="150">
        <f>IF(E15="","",Input!$C$8+B15-1)</f>
        <v>2018</v>
      </c>
      <c r="G15" s="151">
        <f>IF(E15="","",MAX(0,Input!$C$9-B15))</f>
        <v>19</v>
      </c>
      <c r="H15" s="152">
        <f>IF(E15="","",Input!$C$3)</f>
        <v>100000</v>
      </c>
      <c r="I15" s="153">
        <f>IF(E15="","",HLOOKUP($B15,Input!$C$13:$BT$14,2))</f>
        <v>2.2999999999999998</v>
      </c>
      <c r="J15" s="154"/>
      <c r="K15" s="155">
        <f>IF($E15="","",INDEX(Input!$C$16:$CP$16,1,$B15))</f>
        <v>2.9399999999999999E-2</v>
      </c>
      <c r="L15" s="155">
        <f>IF($E15="","",Input!$C$37)</f>
        <v>1.4999999999999999E-2</v>
      </c>
      <c r="M15" s="155">
        <f t="shared" si="23"/>
        <v>4.4399999999999995E-2</v>
      </c>
      <c r="N15" s="155">
        <f t="shared" si="24"/>
        <v>3.6267740400885984E-3</v>
      </c>
      <c r="O15" s="147">
        <f>IF($E15="","",MIN(VLOOKUP(IF($B15&lt;=Input!$C$7,$B15,26),'Mortality Tables'!$A$41:$CW$67,IF($B15&lt;=Input!$C$7+1,Input!$C$4+2,$D15-Input!$C$7+2),0)*IF(B15&gt;20,Input!$C$22,1)/1000,1))</f>
        <v>2.7999999999999998E-4</v>
      </c>
      <c r="P15" s="147">
        <f>IF($E15="","",MIN(VLOOKUP(IF($B15&lt;=Input!$C$7,$B15,26),'Mortality Tables'!$A$12:$CW$37,IF($B15&lt;=Input!$C$7+1,Input!$C$4+2,$D15-Input!$C$7+2),0)*IF(B15&gt;20,Input!$C$22,1)/1000,1))</f>
        <v>3.5E-4</v>
      </c>
      <c r="Q15" s="155">
        <f>IF($E15="","",Input!$C$21)</f>
        <v>5.0000000000000001E-3</v>
      </c>
      <c r="R15" s="159">
        <f>IF($E15="","",(1-Q15)^($F15-Input!$C$20))</f>
        <v>1</v>
      </c>
      <c r="S15" s="147">
        <f t="shared" si="0"/>
        <v>2.7999999999999998E-4</v>
      </c>
      <c r="T15" s="147">
        <f t="shared" si="1"/>
        <v>2.3336328313527943E-5</v>
      </c>
      <c r="U15" s="160">
        <f>IF($E15="","",IF($C15=12,INDEX(Input!$C$15:$CP$15,1,$B15),0))</f>
        <v>0</v>
      </c>
      <c r="V15" s="150">
        <f>IF(E15="","",IF(C15=1,IF($B15=1,Input!$C$33,Input!$C$34),0))</f>
        <v>0</v>
      </c>
      <c r="W15" s="156">
        <f>IF($E15="","",Input!$C$35)</f>
        <v>0.02</v>
      </c>
      <c r="X15" s="156">
        <f t="shared" si="2"/>
        <v>1</v>
      </c>
      <c r="Y15" s="154"/>
      <c r="Z15" s="147">
        <f>IF($E15="","",VLOOKUP($D15,'Mortality Margins &amp; Grading'!$AB$5:$AF$125,3,0)*IF(Summary!$D$25="Included Margin",IF(AND($B15&gt;Input!$C$9,Summary!$D$31&lt;&gt;"Included Margin"),0,1),0))</f>
        <v>0.04</v>
      </c>
      <c r="AA15" s="147">
        <f>IF($E15="","",VLOOKUP($D15,'Mortality Margins &amp; Grading'!$AB$5:$AF$125,5,0)*IF(Summary!$D$25="Included Margin",IF(AND($B15&gt;Input!$C$9,Summary!$D$31&lt;&gt;"Included Margin"),0,1),0))</f>
        <v>0.20399999999999999</v>
      </c>
      <c r="AB15" s="147">
        <f>IF($E15="","",IF(AND($B15&gt;Input!$C$9,Summary!$D$31&lt;&gt;"Included Margin"),1,IF(Summary!$D$25="Included Margin",VLOOKUP($B15,'Mortality Margins &amp; Grading'!$AI$5:$AR$125,MATCH('Mortality Margins &amp; Grading'!$AQ$4,'Mortality Margins &amp; Grading'!$AI$4:$AR$4,0),0),1)))</f>
        <v>1</v>
      </c>
      <c r="AC15" s="154"/>
      <c r="AD15" s="158">
        <f>IF(E15="","",Input!$C$48*IF(Summary!$D$30="Included Margin",IF(AND($B15&gt;Input!$C$9,Summary!$D$31&lt;&gt;"Included Margin"),0,1),0))</f>
        <v>-4.4999999999999997E-3</v>
      </c>
      <c r="AE15" s="159">
        <f>IF(E15="","",IF(Summary!$D$26="Included Margin",IF(AND($B15&gt;Input!$C$9,Summary!$D$31&lt;&gt;"Included Margin"),1,1/$R15),1))</f>
        <v>1</v>
      </c>
      <c r="AF15" s="160">
        <f>IF(E15="","",IF(AND($B15&gt;=Input!$C$9,$C15=12,Summary!$D$31="Included Margin",$U15&gt;0),1/U15-1,IF($B15&gt;=Input!$C$9,0,Input!$C$45*IF(Summary!$D$27="Included Margin",1,0))))</f>
        <v>-0.1</v>
      </c>
      <c r="AG15" s="160">
        <f>IF(E15="","",Input!$C$46*IF(Summary!$D$28="Included Margin",IF(AND($B15&gt;Input!$C$9,Summary!$D$31&lt;&gt;"Included Margin"),0,1),0))</f>
        <v>0.02</v>
      </c>
      <c r="AH15" s="158">
        <f>IF(E15="","",Input!$C$47*IF(Summary!$D$29="Included Margin",IF(AND($B15&gt;Input!$C$9,Summary!$D$31&lt;&gt;"Included Margin"),0,1),0))</f>
        <v>2.5000000000000001E-3</v>
      </c>
      <c r="AI15" s="154"/>
      <c r="AJ15" s="158">
        <f t="shared" si="25"/>
        <v>3.9899999999999998E-2</v>
      </c>
      <c r="AK15" s="155">
        <f t="shared" si="26"/>
        <v>3.2657003754898994E-3</v>
      </c>
      <c r="AL15" s="147">
        <f t="shared" si="27"/>
        <v>2.9119999999999998E-4</v>
      </c>
      <c r="AM15" s="147">
        <f t="shared" si="3"/>
        <v>2.426990606041457E-5</v>
      </c>
      <c r="AN15" s="160">
        <f t="shared" si="28"/>
        <v>0</v>
      </c>
      <c r="AO15" s="161">
        <f t="shared" si="29"/>
        <v>0</v>
      </c>
      <c r="AP15" s="156">
        <f t="shared" si="4"/>
        <v>1</v>
      </c>
      <c r="AQ15" s="152"/>
      <c r="AR15" s="162">
        <f t="shared" si="5"/>
        <v>-165.12449304068062</v>
      </c>
      <c r="AS15" s="150">
        <f t="shared" si="30"/>
        <v>0</v>
      </c>
      <c r="AT15" s="163">
        <f t="shared" si="6"/>
        <v>0</v>
      </c>
      <c r="AU15" s="163">
        <f t="shared" si="7"/>
        <v>2.426990606041457</v>
      </c>
      <c r="AV15" s="163">
        <f t="shared" si="31"/>
        <v>-0.54321003099225995</v>
      </c>
      <c r="AW15" s="163">
        <f t="shared" si="8"/>
        <v>-4.0797412829592736E-3</v>
      </c>
      <c r="AX15" s="163">
        <f t="shared" si="9"/>
        <v>0</v>
      </c>
      <c r="AY15" s="164">
        <f t="shared" si="32"/>
        <v>-168.09877341899733</v>
      </c>
      <c r="AZ15" s="164">
        <f>IF($E15="","",IF(OR(AND($D15=Input!$C$6,$C15=12),$AN15=1),0,-AS16+AT16+AU16-AV16-AW16-AX16+AZ16))</f>
        <v>-168.09876695870429</v>
      </c>
      <c r="BA15" s="154">
        <f t="shared" si="10"/>
        <v>6.4602930365253997E-6</v>
      </c>
      <c r="BC15" s="147">
        <f t="shared" si="33"/>
        <v>0.99974333033858642</v>
      </c>
      <c r="BD15" s="164">
        <f>IF(AND($C14=12,$D14=Input!$C$6),0,IF($E15="","",AT15+(AU15+BD16)/(1+$AK15)*MIN((1-AM15-AN15),1)))</f>
        <v>1958.5574236968919</v>
      </c>
      <c r="BE15" s="164">
        <f t="shared" si="11"/>
        <v>1958.0547214260926</v>
      </c>
      <c r="BF15" s="164">
        <f t="shared" si="34"/>
        <v>-168.09876695870429</v>
      </c>
      <c r="BG15" s="164">
        <f t="shared" si="12"/>
        <v>-168.05562110510496</v>
      </c>
      <c r="BH15" s="152"/>
      <c r="BI15" s="162">
        <f t="shared" si="13"/>
        <v>-352.17976977857012</v>
      </c>
      <c r="BJ15" s="150">
        <f t="shared" si="14"/>
        <v>0</v>
      </c>
      <c r="BK15" s="163">
        <f t="shared" si="38"/>
        <v>0</v>
      </c>
      <c r="BL15" s="163">
        <f t="shared" si="15"/>
        <v>2.3336328313527943</v>
      </c>
      <c r="BM15" s="163">
        <f t="shared" si="39"/>
        <v>-1.2815082259632216</v>
      </c>
      <c r="BN15" s="163">
        <f t="shared" si="16"/>
        <v>-8.3031404376045018E-3</v>
      </c>
      <c r="BO15" s="163">
        <f t="shared" si="17"/>
        <v>0</v>
      </c>
      <c r="BP15" s="164">
        <f t="shared" si="40"/>
        <v>-355.80321397632372</v>
      </c>
      <c r="BQ15" s="164">
        <f>IF($E15="","",IF(AND($D15=Input!$C$6,$C15=12),0,-BJ16+BK16+BL16-BM16-BN16-BO16+BQ16))</f>
        <v>-355.80320631636022</v>
      </c>
      <c r="BR15" s="161">
        <f t="shared" si="18"/>
        <v>0</v>
      </c>
      <c r="BT15" s="147">
        <f t="shared" si="19"/>
        <v>0.99974333033858642</v>
      </c>
      <c r="BU15" s="164">
        <f>IF(AND($C14=12,$D14=Input!$C$6),0,IF($E15="","",BK15+(BL15+BU16)/(1+$AK15)*MIN((1-T15-U15),1)))</f>
        <v>2721.9082743159347</v>
      </c>
      <c r="BV15" s="164">
        <f t="shared" si="20"/>
        <v>2721.2096430407673</v>
      </c>
      <c r="BW15" s="164">
        <f t="shared" si="21"/>
        <v>-355.80320631636022</v>
      </c>
      <c r="BX15" s="164">
        <f t="shared" si="22"/>
        <v>-355.71188242786513</v>
      </c>
    </row>
    <row r="16" spans="1:76" s="150" customFormat="1" x14ac:dyDescent="0.25">
      <c r="A16" s="150">
        <f t="shared" si="35"/>
        <v>12</v>
      </c>
      <c r="B16" s="150">
        <f t="shared" si="36"/>
        <v>1</v>
      </c>
      <c r="C16" s="150">
        <f t="shared" si="37"/>
        <v>12</v>
      </c>
      <c r="D16" s="150">
        <f>IF(E16="","",Input!$C$4+B16-1)</f>
        <v>45</v>
      </c>
      <c r="E16" s="150">
        <f>IF(OR(AND(C15=12,D15=Input!$C$6),E15=""),"",1)</f>
        <v>1</v>
      </c>
      <c r="F16" s="150">
        <f>IF(E16="","",Input!$C$8+B16-1)</f>
        <v>2018</v>
      </c>
      <c r="G16" s="151">
        <f>IF(E16="","",MAX(0,Input!$C$9-B16))</f>
        <v>19</v>
      </c>
      <c r="H16" s="152">
        <f>IF(E16="","",Input!$C$3)</f>
        <v>100000</v>
      </c>
      <c r="I16" s="153">
        <f>IF(E16="","",HLOOKUP($B16,Input!$C$13:$BT$14,2))</f>
        <v>2.2999999999999998</v>
      </c>
      <c r="J16" s="154"/>
      <c r="K16" s="155">
        <f>IF($E16="","",INDEX(Input!$C$16:$CP$16,1,$B16))</f>
        <v>2.9399999999999999E-2</v>
      </c>
      <c r="L16" s="155">
        <f>IF($E16="","",Input!$C$37)</f>
        <v>1.4999999999999999E-2</v>
      </c>
      <c r="M16" s="155">
        <f t="shared" si="23"/>
        <v>4.4399999999999995E-2</v>
      </c>
      <c r="N16" s="155">
        <f t="shared" si="24"/>
        <v>3.6267740400885984E-3</v>
      </c>
      <c r="O16" s="147">
        <f>IF($E16="","",MIN(VLOOKUP(IF($B16&lt;=Input!$C$7,$B16,26),'Mortality Tables'!$A$41:$CW$67,IF($B16&lt;=Input!$C$7+1,Input!$C$4+2,$D16-Input!$C$7+2),0)*IF(B16&gt;20,Input!$C$22,1)/1000,1))</f>
        <v>2.7999999999999998E-4</v>
      </c>
      <c r="P16" s="147">
        <f>IF($E16="","",MIN(VLOOKUP(IF($B16&lt;=Input!$C$7,$B16,26),'Mortality Tables'!$A$12:$CW$37,IF($B16&lt;=Input!$C$7+1,Input!$C$4+2,$D16-Input!$C$7+2),0)*IF(B16&gt;20,Input!$C$22,1)/1000,1))</f>
        <v>3.5E-4</v>
      </c>
      <c r="Q16" s="155">
        <f>IF($E16="","",Input!$C$21)</f>
        <v>5.0000000000000001E-3</v>
      </c>
      <c r="R16" s="159">
        <f>IF($E16="","",(1-Q16)^($F16-Input!$C$20))</f>
        <v>1</v>
      </c>
      <c r="S16" s="147">
        <f t="shared" si="0"/>
        <v>2.7999999999999998E-4</v>
      </c>
      <c r="T16" s="147">
        <f t="shared" si="1"/>
        <v>2.3336328313527943E-5</v>
      </c>
      <c r="U16" s="160">
        <f>IF($E16="","",IF($C16=12,INDEX(Input!$C$15:$CP$15,1,$B16),0))</f>
        <v>0.1</v>
      </c>
      <c r="V16" s="150">
        <f>IF(E16="","",IF(C16=1,IF($B16=1,Input!$C$33,Input!$C$34),0))</f>
        <v>0</v>
      </c>
      <c r="W16" s="156">
        <f>IF($E16="","",Input!$C$35)</f>
        <v>0.02</v>
      </c>
      <c r="X16" s="156">
        <f t="shared" si="2"/>
        <v>1</v>
      </c>
      <c r="Y16" s="154"/>
      <c r="Z16" s="147">
        <f>IF($E16="","",VLOOKUP($D16,'Mortality Margins &amp; Grading'!$AB$5:$AF$125,3,0)*IF(Summary!$D$25="Included Margin",IF(AND($B16&gt;Input!$C$9,Summary!$D$31&lt;&gt;"Included Margin"),0,1),0))</f>
        <v>0.04</v>
      </c>
      <c r="AA16" s="147">
        <f>IF($E16="","",VLOOKUP($D16,'Mortality Margins &amp; Grading'!$AB$5:$AF$125,5,0)*IF(Summary!$D$25="Included Margin",IF(AND($B16&gt;Input!$C$9,Summary!$D$31&lt;&gt;"Included Margin"),0,1),0))</f>
        <v>0.20399999999999999</v>
      </c>
      <c r="AB16" s="147">
        <f>IF($E16="","",IF(AND($B16&gt;Input!$C$9,Summary!$D$31&lt;&gt;"Included Margin"),1,IF(Summary!$D$25="Included Margin",VLOOKUP($B16,'Mortality Margins &amp; Grading'!$AI$5:$AR$125,MATCH('Mortality Margins &amp; Grading'!$AQ$4,'Mortality Margins &amp; Grading'!$AI$4:$AR$4,0),0),1)))</f>
        <v>1</v>
      </c>
      <c r="AC16" s="154"/>
      <c r="AD16" s="158">
        <f>IF(E16="","",Input!$C$48*IF(Summary!$D$30="Included Margin",IF(AND($B16&gt;Input!$C$9,Summary!$D$31&lt;&gt;"Included Margin"),0,1),0))</f>
        <v>-4.4999999999999997E-3</v>
      </c>
      <c r="AE16" s="159">
        <f>IF(E16="","",IF(Summary!$D$26="Included Margin",IF(AND($B16&gt;Input!$C$9,Summary!$D$31&lt;&gt;"Included Margin"),1,1/$R16),1))</f>
        <v>1</v>
      </c>
      <c r="AF16" s="160">
        <f>IF(E16="","",IF(AND($B16&gt;=Input!$C$9,$C16=12,Summary!$D$31="Included Margin",$U16&gt;0),1/U16-1,IF($B16&gt;=Input!$C$9,0,Input!$C$45*IF(Summary!$D$27="Included Margin",1,0))))</f>
        <v>-0.1</v>
      </c>
      <c r="AG16" s="160">
        <f>IF(E16="","",Input!$C$46*IF(Summary!$D$28="Included Margin",IF(AND($B16&gt;Input!$C$9,Summary!$D$31&lt;&gt;"Included Margin"),0,1),0))</f>
        <v>0.02</v>
      </c>
      <c r="AH16" s="158">
        <f>IF(E16="","",Input!$C$47*IF(Summary!$D$29="Included Margin",IF(AND($B16&gt;Input!$C$9,Summary!$D$31&lt;&gt;"Included Margin"),0,1),0))</f>
        <v>2.5000000000000001E-3</v>
      </c>
      <c r="AI16" s="154"/>
      <c r="AJ16" s="158">
        <f t="shared" si="25"/>
        <v>3.9899999999999998E-2</v>
      </c>
      <c r="AK16" s="155">
        <f t="shared" si="26"/>
        <v>3.2657003754898994E-3</v>
      </c>
      <c r="AL16" s="147">
        <f t="shared" si="27"/>
        <v>2.9119999999999998E-4</v>
      </c>
      <c r="AM16" s="147">
        <f t="shared" si="3"/>
        <v>2.426990606041457E-5</v>
      </c>
      <c r="AN16" s="160">
        <f t="shared" si="28"/>
        <v>9.0000000000000011E-2</v>
      </c>
      <c r="AO16" s="161">
        <f t="shared" si="29"/>
        <v>0</v>
      </c>
      <c r="AP16" s="156">
        <f t="shared" si="4"/>
        <v>1</v>
      </c>
      <c r="AQ16" s="152"/>
      <c r="AR16" s="162">
        <f t="shared" si="5"/>
        <v>-168.09877341899733</v>
      </c>
      <c r="AS16" s="150">
        <f t="shared" si="30"/>
        <v>0</v>
      </c>
      <c r="AT16" s="163">
        <f t="shared" si="6"/>
        <v>0</v>
      </c>
      <c r="AU16" s="163">
        <f t="shared" si="7"/>
        <v>2.426990606041457</v>
      </c>
      <c r="AV16" s="163">
        <f t="shared" si="31"/>
        <v>-0.55292313954054106</v>
      </c>
      <c r="AW16" s="163">
        <f t="shared" si="8"/>
        <v>-4.5628178926041376E-3</v>
      </c>
      <c r="AX16" s="163">
        <f t="shared" si="9"/>
        <v>-16.919869520204141</v>
      </c>
      <c r="AY16" s="164">
        <f t="shared" si="32"/>
        <v>-188.00311950267607</v>
      </c>
      <c r="AZ16" s="164">
        <f>IF($E16="","",IF(OR(AND($D16=Input!$C$6,$C16=12),$AN16=1),0,-AS17+AT17+AU17-AV17-AW17-AX17+AZ17))</f>
        <v>-188.00311304238303</v>
      </c>
      <c r="BA16" s="154">
        <f t="shared" si="10"/>
        <v>6.4602930365253997E-6</v>
      </c>
      <c r="BC16" s="147">
        <f t="shared" si="33"/>
        <v>0.89974566696614178</v>
      </c>
      <c r="BD16" s="164">
        <f>IF(AND($C15=12,$D15=Input!$C$6),0,IF($E16="","",AT16+(AU16+BD17)/(1+$AK16)*MIN((1-AM16-AN16),1)))</f>
        <v>1962.5741851987814</v>
      </c>
      <c r="BE16" s="164">
        <f t="shared" si="11"/>
        <v>1765.8176192322098</v>
      </c>
      <c r="BF16" s="164">
        <f t="shared" si="34"/>
        <v>-188.00311304238303</v>
      </c>
      <c r="BG16" s="164">
        <f t="shared" si="12"/>
        <v>-169.15498633602988</v>
      </c>
      <c r="BH16" s="152"/>
      <c r="BI16" s="162">
        <f t="shared" si="13"/>
        <v>-355.80321397632372</v>
      </c>
      <c r="BJ16" s="150">
        <f t="shared" si="14"/>
        <v>0</v>
      </c>
      <c r="BK16" s="163">
        <f t="shared" si="38"/>
        <v>0</v>
      </c>
      <c r="BL16" s="163">
        <f t="shared" si="15"/>
        <v>2.3336328313527943</v>
      </c>
      <c r="BM16" s="163">
        <f t="shared" si="39"/>
        <v>-1.2946496393153442</v>
      </c>
      <c r="BN16" s="163">
        <f t="shared" si="16"/>
        <v>-9.3200077487098545E-3</v>
      </c>
      <c r="BO16" s="163">
        <f t="shared" si="17"/>
        <v>-39.936832087447598</v>
      </c>
      <c r="BP16" s="164">
        <f t="shared" si="40"/>
        <v>-399.37764854218824</v>
      </c>
      <c r="BQ16" s="164">
        <f>IF($E16="","",IF(AND($D16=Input!$C$6,$C16=12),0,-BJ17+BK17+BL17-BM17-BN17-BO17+BQ17))</f>
        <v>-399.37764088222468</v>
      </c>
      <c r="BR16" s="161">
        <f t="shared" si="18"/>
        <v>0</v>
      </c>
      <c r="BT16" s="147">
        <f t="shared" si="19"/>
        <v>0.89974566696614178</v>
      </c>
      <c r="BU16" s="164">
        <f>IF(AND($C15=12,$D15=Input!$C$6),0,IF($E16="","",BK16+(BL16+BU17)/(1+$AK16)*MIN((1-T16-U16),1)))</f>
        <v>2728.5273066255263</v>
      </c>
      <c r="BV16" s="164">
        <f t="shared" si="20"/>
        <v>2454.9806213351144</v>
      </c>
      <c r="BW16" s="164">
        <f t="shared" si="21"/>
        <v>-399.37764088222468</v>
      </c>
      <c r="BX16" s="164">
        <f t="shared" si="22"/>
        <v>-359.33830186694149</v>
      </c>
    </row>
    <row r="17" spans="1:76" s="150" customFormat="1" x14ac:dyDescent="0.25">
      <c r="A17" s="150">
        <f t="shared" si="35"/>
        <v>13</v>
      </c>
      <c r="B17" s="150">
        <f t="shared" si="36"/>
        <v>2</v>
      </c>
      <c r="C17" s="150">
        <f t="shared" si="37"/>
        <v>1</v>
      </c>
      <c r="D17" s="150">
        <f>IF(E17="","",Input!$C$4+B17-1)</f>
        <v>46</v>
      </c>
      <c r="E17" s="150">
        <f>IF(OR(AND(C16=12,D16=Input!$C$6),E16=""),"",1)</f>
        <v>1</v>
      </c>
      <c r="F17" s="150">
        <f>IF(E17="","",Input!$C$8+B17-1)</f>
        <v>2019</v>
      </c>
      <c r="G17" s="151">
        <f>IF(E17="","",MAX(0,Input!$C$9-B17))</f>
        <v>18</v>
      </c>
      <c r="H17" s="152">
        <f>IF(E17="","",Input!$C$3)</f>
        <v>100000</v>
      </c>
      <c r="I17" s="153">
        <f>IF(E17="","",HLOOKUP($B17,Input!$C$13:$BT$14,2))</f>
        <v>2.2999999999999998</v>
      </c>
      <c r="J17" s="154"/>
      <c r="K17" s="155">
        <f>IF($E17="","",INDEX(Input!$C$16:$CP$16,1,$B17))</f>
        <v>2.8989999999999998E-2</v>
      </c>
      <c r="L17" s="155">
        <f>IF($E17="","",Input!$C$37)</f>
        <v>1.4999999999999999E-2</v>
      </c>
      <c r="M17" s="155">
        <f t="shared" si="23"/>
        <v>4.3990000000000001E-2</v>
      </c>
      <c r="N17" s="155">
        <f t="shared" si="24"/>
        <v>3.5939353261613682E-3</v>
      </c>
      <c r="O17" s="147">
        <f>IF($E17="","",MIN(VLOOKUP(IF($B17&lt;=Input!$C$7,$B17,26),'Mortality Tables'!$A$41:$CW$67,IF($B17&lt;=Input!$C$7+1,Input!$C$4+2,$D17-Input!$C$7+2),0)*IF(B17&gt;20,Input!$C$22,1)/1000,1))</f>
        <v>3.9200000000000004E-4</v>
      </c>
      <c r="P17" s="147">
        <f>IF($E17="","",MIN(VLOOKUP(IF($B17&lt;=Input!$C$7,$B17,26),'Mortality Tables'!$A$12:$CW$37,IF($B17&lt;=Input!$C$7+1,Input!$C$4+2,$D17-Input!$C$7+2),0)*IF(B17&gt;20,Input!$C$22,1)/1000,1))</f>
        <v>4.8999999999999998E-4</v>
      </c>
      <c r="Q17" s="155">
        <f>IF($E17="","",Input!$C$21)</f>
        <v>5.0000000000000001E-3</v>
      </c>
      <c r="R17" s="159">
        <f>IF($E17="","",(1-Q17)^($F17-Input!$C$20))</f>
        <v>0.995</v>
      </c>
      <c r="S17" s="147">
        <f t="shared" si="0"/>
        <v>3.9004000000000003E-4</v>
      </c>
      <c r="T17" s="147">
        <f t="shared" si="1"/>
        <v>3.2509145348469382E-5</v>
      </c>
      <c r="U17" s="160">
        <f>IF($E17="","",IF($C17=12,INDEX(Input!$C$15:$CP$15,1,$B17),0))</f>
        <v>0</v>
      </c>
      <c r="V17" s="150">
        <f>IF(E17="","",IF(C17=1,IF($B17=1,Input!$C$33,Input!$C$34),0))</f>
        <v>50</v>
      </c>
      <c r="W17" s="156">
        <f>IF($E17="","",Input!$C$35)</f>
        <v>0.02</v>
      </c>
      <c r="X17" s="156">
        <f t="shared" si="2"/>
        <v>1.02</v>
      </c>
      <c r="Y17" s="154"/>
      <c r="Z17" s="147">
        <f>IF($E17="","",VLOOKUP($D17,'Mortality Margins &amp; Grading'!$AB$5:$AF$125,3,0)*IF(Summary!$D$25="Included Margin",IF(AND($B17&gt;Input!$C$9,Summary!$D$31&lt;&gt;"Included Margin"),0,1),0))</f>
        <v>0.04</v>
      </c>
      <c r="AA17" s="147">
        <f>IF($E17="","",VLOOKUP($D17,'Mortality Margins &amp; Grading'!$AB$5:$AF$125,5,0)*IF(Summary!$D$25="Included Margin",IF(AND($B17&gt;Input!$C$9,Summary!$D$31&lt;&gt;"Included Margin"),0,1),0))</f>
        <v>0.20200000000000001</v>
      </c>
      <c r="AB17" s="147">
        <f>IF($E17="","",IF(AND($B17&gt;Input!$C$9,Summary!$D$31&lt;&gt;"Included Margin"),1,IF(Summary!$D$25="Included Margin",VLOOKUP($B17,'Mortality Margins &amp; Grading'!$AI$5:$AR$125,MATCH('Mortality Margins &amp; Grading'!$AQ$4,'Mortality Margins &amp; Grading'!$AI$4:$AR$4,0),0),1)))</f>
        <v>1</v>
      </c>
      <c r="AC17" s="154"/>
      <c r="AD17" s="158">
        <f>IF(E17="","",Input!$C$48*IF(Summary!$D$30="Included Margin",IF(AND($B17&gt;Input!$C$9,Summary!$D$31&lt;&gt;"Included Margin"),0,1),0))</f>
        <v>-4.4999999999999997E-3</v>
      </c>
      <c r="AE17" s="159">
        <f>IF(E17="","",IF(Summary!$D$26="Included Margin",IF(AND($B17&gt;Input!$C$9,Summary!$D$31&lt;&gt;"Included Margin"),1,1/$R17),1))</f>
        <v>1.0050251256281406</v>
      </c>
      <c r="AF17" s="160">
        <f>IF(E17="","",IF(AND($B17&gt;=Input!$C$9,$C17=12,Summary!$D$31="Included Margin",$U17&gt;0),1/U17-1,IF($B17&gt;=Input!$C$9,0,Input!$C$45*IF(Summary!$D$27="Included Margin",1,0))))</f>
        <v>-0.1</v>
      </c>
      <c r="AG17" s="160">
        <f>IF(E17="","",Input!$C$46*IF(Summary!$D$28="Included Margin",IF(AND($B17&gt;Input!$C$9,Summary!$D$31&lt;&gt;"Included Margin"),0,1),0))</f>
        <v>0.02</v>
      </c>
      <c r="AH17" s="158">
        <f>IF(E17="","",Input!$C$47*IF(Summary!$D$29="Included Margin",IF(AND($B17&gt;Input!$C$9,Summary!$D$31&lt;&gt;"Included Margin"),0,1),0))</f>
        <v>2.5000000000000001E-3</v>
      </c>
      <c r="AI17" s="154"/>
      <c r="AJ17" s="158">
        <f t="shared" si="25"/>
        <v>3.9490000000000004E-2</v>
      </c>
      <c r="AK17" s="155">
        <f t="shared" si="26"/>
        <v>3.2327313971030058E-3</v>
      </c>
      <c r="AL17" s="147">
        <f t="shared" si="27"/>
        <v>4.0768E-4</v>
      </c>
      <c r="AM17" s="147">
        <f t="shared" si="3"/>
        <v>3.397968301788179E-5</v>
      </c>
      <c r="AN17" s="160">
        <f t="shared" si="28"/>
        <v>0</v>
      </c>
      <c r="AO17" s="161">
        <f t="shared" si="29"/>
        <v>51</v>
      </c>
      <c r="AP17" s="156">
        <f t="shared" si="4"/>
        <v>1.0225</v>
      </c>
      <c r="AQ17" s="152"/>
      <c r="AR17" s="162">
        <f t="shared" si="5"/>
        <v>-188.00312190571799</v>
      </c>
      <c r="AS17" s="150">
        <f t="shared" si="30"/>
        <v>229.99999999999997</v>
      </c>
      <c r="AT17" s="163">
        <f t="shared" si="6"/>
        <v>52.147500000000001</v>
      </c>
      <c r="AU17" s="163">
        <f t="shared" si="7"/>
        <v>3.397968301788179</v>
      </c>
      <c r="AV17" s="163">
        <f t="shared" si="31"/>
        <v>-3.8306593542511903E-2</v>
      </c>
      <c r="AW17" s="163">
        <f t="shared" si="8"/>
        <v>-4.6169383353310983E-4</v>
      </c>
      <c r="AX17" s="163">
        <f t="shared" si="9"/>
        <v>0</v>
      </c>
      <c r="AY17" s="164">
        <f t="shared" si="32"/>
        <v>-13.587358494882242</v>
      </c>
      <c r="AZ17" s="164">
        <f>IF($E17="","",IF(OR(AND($D17=Input!$C$6,$C17=12),$AN17=1),0,-AS18+AT18+AU18-AV18-AW18-AX18+AZ18))</f>
        <v>-13.587349631547289</v>
      </c>
      <c r="BA17" s="154">
        <f t="shared" si="10"/>
        <v>8.8633349530908845E-6</v>
      </c>
      <c r="BC17" s="147">
        <f t="shared" si="33"/>
        <v>0.89971641700347771</v>
      </c>
      <c r="BD17" s="164">
        <f>IF(AND($C16=12,$D16=Input!$C$6),0,IF($E17="","",AT17+(AU17+BD18)/(1+$AK17)*MIN((1-AM17-AN17),1)))</f>
        <v>2161.3487006962396</v>
      </c>
      <c r="BE17" s="164">
        <f t="shared" si="11"/>
        <v>1944.6009088855426</v>
      </c>
      <c r="BF17" s="164">
        <f t="shared" si="34"/>
        <v>-13.587349631547289</v>
      </c>
      <c r="BG17" s="164">
        <f t="shared" si="12"/>
        <v>-12.22476152706925</v>
      </c>
      <c r="BH17" s="152"/>
      <c r="BI17" s="162">
        <f t="shared" si="13"/>
        <v>-399.37765136089945</v>
      </c>
      <c r="BJ17" s="150">
        <f t="shared" si="14"/>
        <v>229.99999999999997</v>
      </c>
      <c r="BK17" s="163">
        <f t="shared" si="38"/>
        <v>51</v>
      </c>
      <c r="BL17" s="163">
        <f t="shared" si="15"/>
        <v>3.2509145348469382</v>
      </c>
      <c r="BM17" s="163">
        <f t="shared" si="39"/>
        <v>-0.79786481461696945</v>
      </c>
      <c r="BN17" s="163">
        <f t="shared" si="16"/>
        <v>-7.2961483068944262E-3</v>
      </c>
      <c r="BO17" s="163">
        <f t="shared" si="17"/>
        <v>0</v>
      </c>
      <c r="BP17" s="164">
        <f t="shared" si="40"/>
        <v>-224.43372685867027</v>
      </c>
      <c r="BQ17" s="164">
        <f>IF($E17="","",IF(AND($D17=Input!$C$6,$C17=12),0,-BJ18+BK18+BL18-BM18-BN18-BO18+BQ18))</f>
        <v>-224.43371637999547</v>
      </c>
      <c r="BR17" s="161">
        <f t="shared" si="18"/>
        <v>0</v>
      </c>
      <c r="BT17" s="147">
        <f t="shared" si="19"/>
        <v>0.89971641700347771</v>
      </c>
      <c r="BU17" s="164">
        <f>IF(AND($C16=12,$D16=Input!$C$6),0,IF($E17="","",BK17+(BL17+BU18)/(1+$AK17)*MIN((1-T17-U17),1)))</f>
        <v>3039.3428569869779</v>
      </c>
      <c r="BV17" s="164">
        <f t="shared" si="20"/>
        <v>2734.546665333437</v>
      </c>
      <c r="BW17" s="164">
        <f t="shared" si="21"/>
        <v>-224.43371637999547</v>
      </c>
      <c r="BX17" s="164">
        <f t="shared" si="22"/>
        <v>-201.92669915618424</v>
      </c>
    </row>
    <row r="18" spans="1:76" s="150" customFormat="1" x14ac:dyDescent="0.25">
      <c r="A18" s="150">
        <f t="shared" si="35"/>
        <v>14</v>
      </c>
      <c r="B18" s="150">
        <f t="shared" si="36"/>
        <v>2</v>
      </c>
      <c r="C18" s="150">
        <f t="shared" si="37"/>
        <v>2</v>
      </c>
      <c r="D18" s="150">
        <f>IF(E18="","",Input!$C$4+B18-1)</f>
        <v>46</v>
      </c>
      <c r="E18" s="150">
        <f>IF(OR(AND(C17=12,D17=Input!$C$6),E17=""),"",1)</f>
        <v>1</v>
      </c>
      <c r="F18" s="150">
        <f>IF(E18="","",Input!$C$8+B18-1)</f>
        <v>2019</v>
      </c>
      <c r="G18" s="151">
        <f>IF(E18="","",MAX(0,Input!$C$9-B18))</f>
        <v>18</v>
      </c>
      <c r="H18" s="152">
        <f>IF(E18="","",Input!$C$3)</f>
        <v>100000</v>
      </c>
      <c r="I18" s="153">
        <f>IF(E18="","",HLOOKUP($B18,Input!$C$13:$BT$14,2))</f>
        <v>2.2999999999999998</v>
      </c>
      <c r="J18" s="154"/>
      <c r="K18" s="155">
        <f>IF($E18="","",INDEX(Input!$C$16:$CP$16,1,$B18))</f>
        <v>2.8989999999999998E-2</v>
      </c>
      <c r="L18" s="155">
        <f>IF($E18="","",Input!$C$37)</f>
        <v>1.4999999999999999E-2</v>
      </c>
      <c r="M18" s="155">
        <f t="shared" si="23"/>
        <v>4.3990000000000001E-2</v>
      </c>
      <c r="N18" s="155">
        <f t="shared" si="24"/>
        <v>3.5939353261613682E-3</v>
      </c>
      <c r="O18" s="147">
        <f>IF($E18="","",MIN(VLOOKUP(IF($B18&lt;=Input!$C$7,$B18,26),'Mortality Tables'!$A$41:$CW$67,IF($B18&lt;=Input!$C$7+1,Input!$C$4+2,$D18-Input!$C$7+2),0)*IF(B18&gt;20,Input!$C$22,1)/1000,1))</f>
        <v>3.9200000000000004E-4</v>
      </c>
      <c r="P18" s="147">
        <f>IF($E18="","",MIN(VLOOKUP(IF($B18&lt;=Input!$C$7,$B18,26),'Mortality Tables'!$A$12:$CW$37,IF($B18&lt;=Input!$C$7+1,Input!$C$4+2,$D18-Input!$C$7+2),0)*IF(B18&gt;20,Input!$C$22,1)/1000,1))</f>
        <v>4.8999999999999998E-4</v>
      </c>
      <c r="Q18" s="155">
        <f>IF($E18="","",Input!$C$21)</f>
        <v>5.0000000000000001E-3</v>
      </c>
      <c r="R18" s="159">
        <f>IF($E18="","",(1-Q18)^($F18-Input!$C$20))</f>
        <v>0.995</v>
      </c>
      <c r="S18" s="147">
        <f t="shared" si="0"/>
        <v>3.9004000000000003E-4</v>
      </c>
      <c r="T18" s="147">
        <f t="shared" si="1"/>
        <v>3.2509145348469382E-5</v>
      </c>
      <c r="U18" s="160">
        <f>IF($E18="","",IF($C18=12,INDEX(Input!$C$15:$CP$15,1,$B18),0))</f>
        <v>0</v>
      </c>
      <c r="V18" s="150">
        <f>IF(E18="","",IF(C18=1,IF($B18=1,Input!$C$33,Input!$C$34),0))</f>
        <v>0</v>
      </c>
      <c r="W18" s="156">
        <f>IF($E18="","",Input!$C$35)</f>
        <v>0.02</v>
      </c>
      <c r="X18" s="156">
        <f t="shared" si="2"/>
        <v>1.02</v>
      </c>
      <c r="Y18" s="154"/>
      <c r="Z18" s="147">
        <f>IF($E18="","",VLOOKUP($D18,'Mortality Margins &amp; Grading'!$AB$5:$AF$125,3,0)*IF(Summary!$D$25="Included Margin",IF(AND($B18&gt;Input!$C$9,Summary!$D$31&lt;&gt;"Included Margin"),0,1),0))</f>
        <v>0.04</v>
      </c>
      <c r="AA18" s="147">
        <f>IF($E18="","",VLOOKUP($D18,'Mortality Margins &amp; Grading'!$AB$5:$AF$125,5,0)*IF(Summary!$D$25="Included Margin",IF(AND($B18&gt;Input!$C$9,Summary!$D$31&lt;&gt;"Included Margin"),0,1),0))</f>
        <v>0.20200000000000001</v>
      </c>
      <c r="AB18" s="147">
        <f>IF($E18="","",IF(AND($B18&gt;Input!$C$9,Summary!$D$31&lt;&gt;"Included Margin"),1,IF(Summary!$D$25="Included Margin",VLOOKUP($B18,'Mortality Margins &amp; Grading'!$AI$5:$AR$125,MATCH('Mortality Margins &amp; Grading'!$AQ$4,'Mortality Margins &amp; Grading'!$AI$4:$AR$4,0),0),1)))</f>
        <v>1</v>
      </c>
      <c r="AC18" s="154"/>
      <c r="AD18" s="158">
        <f>IF(E18="","",Input!$C$48*IF(Summary!$D$30="Included Margin",IF(AND($B18&gt;Input!$C$9,Summary!$D$31&lt;&gt;"Included Margin"),0,1),0))</f>
        <v>-4.4999999999999997E-3</v>
      </c>
      <c r="AE18" s="159">
        <f>IF(E18="","",IF(Summary!$D$26="Included Margin",IF(AND($B18&gt;Input!$C$9,Summary!$D$31&lt;&gt;"Included Margin"),1,1/$R18),1))</f>
        <v>1.0050251256281406</v>
      </c>
      <c r="AF18" s="160">
        <f>IF(E18="","",IF(AND($B18&gt;=Input!$C$9,$C18=12,Summary!$D$31="Included Margin",$U18&gt;0),1/U18-1,IF($B18&gt;=Input!$C$9,0,Input!$C$45*IF(Summary!$D$27="Included Margin",1,0))))</f>
        <v>-0.1</v>
      </c>
      <c r="AG18" s="160">
        <f>IF(E18="","",Input!$C$46*IF(Summary!$D$28="Included Margin",IF(AND($B18&gt;Input!$C$9,Summary!$D$31&lt;&gt;"Included Margin"),0,1),0))</f>
        <v>0.02</v>
      </c>
      <c r="AH18" s="158">
        <f>IF(E18="","",Input!$C$47*IF(Summary!$D$29="Included Margin",IF(AND($B18&gt;Input!$C$9,Summary!$D$31&lt;&gt;"Included Margin"),0,1),0))</f>
        <v>2.5000000000000001E-3</v>
      </c>
      <c r="AI18" s="154"/>
      <c r="AJ18" s="158">
        <f t="shared" si="25"/>
        <v>3.9490000000000004E-2</v>
      </c>
      <c r="AK18" s="155">
        <f t="shared" si="26"/>
        <v>3.2327313971030058E-3</v>
      </c>
      <c r="AL18" s="147">
        <f t="shared" si="27"/>
        <v>4.0768E-4</v>
      </c>
      <c r="AM18" s="147">
        <f t="shared" si="3"/>
        <v>3.397968301788179E-5</v>
      </c>
      <c r="AN18" s="160">
        <f t="shared" si="28"/>
        <v>0</v>
      </c>
      <c r="AO18" s="161">
        <f t="shared" si="29"/>
        <v>0</v>
      </c>
      <c r="AP18" s="156">
        <f t="shared" si="4"/>
        <v>1.0225</v>
      </c>
      <c r="AQ18" s="152"/>
      <c r="AR18" s="162">
        <f t="shared" si="5"/>
        <v>-13.587358494882249</v>
      </c>
      <c r="AS18" s="150">
        <f t="shared" si="30"/>
        <v>0</v>
      </c>
      <c r="AT18" s="163">
        <f t="shared" si="6"/>
        <v>0</v>
      </c>
      <c r="AU18" s="163">
        <f t="shared" si="7"/>
        <v>3.397968301788179</v>
      </c>
      <c r="AV18" s="163">
        <f t="shared" si="31"/>
        <v>-4.94166398178758E-2</v>
      </c>
      <c r="AW18" s="163">
        <f t="shared" si="8"/>
        <v>-5.7885455038363793E-4</v>
      </c>
      <c r="AX18" s="163">
        <f t="shared" si="9"/>
        <v>0</v>
      </c>
      <c r="AY18" s="164">
        <f t="shared" si="32"/>
        <v>-17.035322291038685</v>
      </c>
      <c r="AZ18" s="164">
        <f>IF($E18="","",IF(OR(AND($D18=Input!$C$6,$C18=12),$AN18=1),0,-AS19+AT19+AU19-AV19-AW19-AX19+AZ19))</f>
        <v>-17.035313427703727</v>
      </c>
      <c r="BA18" s="154">
        <f t="shared" si="10"/>
        <v>8.863334958419955E-6</v>
      </c>
      <c r="BC18" s="147">
        <f t="shared" si="33"/>
        <v>0.89968716799170489</v>
      </c>
      <c r="BD18" s="164">
        <f>IF(AND($C17=12,$D17=Input!$C$6),0,IF($E18="","",AT18+(AU18+BD19)/(1+$AK18)*MIN((1-AM18-AN18),1)))</f>
        <v>2112.6936174600701</v>
      </c>
      <c r="BE18" s="164">
        <f t="shared" si="11"/>
        <v>1900.7633375268008</v>
      </c>
      <c r="BF18" s="164">
        <f t="shared" si="34"/>
        <v>-17.035313427703727</v>
      </c>
      <c r="BG18" s="164">
        <f t="shared" si="12"/>
        <v>-15.326452893621829</v>
      </c>
      <c r="BH18" s="152"/>
      <c r="BI18" s="162">
        <f t="shared" si="13"/>
        <v>-224.43372685867027</v>
      </c>
      <c r="BJ18" s="150">
        <f t="shared" si="14"/>
        <v>0</v>
      </c>
      <c r="BK18" s="163">
        <f t="shared" si="38"/>
        <v>0</v>
      </c>
      <c r="BL18" s="163">
        <f t="shared" si="15"/>
        <v>3.2509145348469382</v>
      </c>
      <c r="BM18" s="163">
        <f t="shared" si="39"/>
        <v>-0.8124420876339854</v>
      </c>
      <c r="BN18" s="163">
        <f t="shared" si="16"/>
        <v>-7.4284860516700968E-3</v>
      </c>
      <c r="BO18" s="163">
        <f t="shared" si="17"/>
        <v>0</v>
      </c>
      <c r="BP18" s="164">
        <f t="shared" si="40"/>
        <v>-228.50451196720289</v>
      </c>
      <c r="BQ18" s="164">
        <f>IF($E18="","",IF(AND($D18=Input!$C$6,$C18=12),0,-BJ19+BK19+BL19-BM19-BN19-BO19+BQ19))</f>
        <v>-228.50450148852806</v>
      </c>
      <c r="BR18" s="161">
        <f t="shared" si="18"/>
        <v>0</v>
      </c>
      <c r="BT18" s="147">
        <f t="shared" si="19"/>
        <v>0.89968716799170489</v>
      </c>
      <c r="BU18" s="164">
        <f>IF(AND($C17=12,$D17=Input!$C$6),0,IF($E18="","",BK18+(BL18+BU19)/(1+$AK18)*MIN((1-T18-U18),1)))</f>
        <v>2994.8499179269534</v>
      </c>
      <c r="BV18" s="164">
        <f t="shared" si="20"/>
        <v>2694.4280412198905</v>
      </c>
      <c r="BW18" s="164">
        <f t="shared" si="21"/>
        <v>-228.50450148852806</v>
      </c>
      <c r="BX18" s="164">
        <f t="shared" si="22"/>
        <v>-205.58256781757012</v>
      </c>
    </row>
    <row r="19" spans="1:76" s="150" customFormat="1" x14ac:dyDescent="0.25">
      <c r="A19" s="150">
        <f t="shared" si="35"/>
        <v>15</v>
      </c>
      <c r="B19" s="150">
        <f t="shared" si="36"/>
        <v>2</v>
      </c>
      <c r="C19" s="150">
        <f t="shared" si="37"/>
        <v>3</v>
      </c>
      <c r="D19" s="150">
        <f>IF(E19="","",Input!$C$4+B19-1)</f>
        <v>46</v>
      </c>
      <c r="E19" s="150">
        <f>IF(OR(AND(C18=12,D18=Input!$C$6),E18=""),"",1)</f>
        <v>1</v>
      </c>
      <c r="F19" s="150">
        <f>IF(E19="","",Input!$C$8+B19-1)</f>
        <v>2019</v>
      </c>
      <c r="G19" s="151">
        <f>IF(E19="","",MAX(0,Input!$C$9-B19))</f>
        <v>18</v>
      </c>
      <c r="H19" s="152">
        <f>IF(E19="","",Input!$C$3)</f>
        <v>100000</v>
      </c>
      <c r="I19" s="153">
        <f>IF(E19="","",HLOOKUP($B19,Input!$C$13:$BT$14,2))</f>
        <v>2.2999999999999998</v>
      </c>
      <c r="J19" s="154"/>
      <c r="K19" s="155">
        <f>IF($E19="","",INDEX(Input!$C$16:$CP$16,1,$B19))</f>
        <v>2.8989999999999998E-2</v>
      </c>
      <c r="L19" s="155">
        <f>IF($E19="","",Input!$C$37)</f>
        <v>1.4999999999999999E-2</v>
      </c>
      <c r="M19" s="155">
        <f t="shared" si="23"/>
        <v>4.3990000000000001E-2</v>
      </c>
      <c r="N19" s="155">
        <f t="shared" si="24"/>
        <v>3.5939353261613682E-3</v>
      </c>
      <c r="O19" s="147">
        <f>IF($E19="","",MIN(VLOOKUP(IF($B19&lt;=Input!$C$7,$B19,26),'Mortality Tables'!$A$41:$CW$67,IF($B19&lt;=Input!$C$7+1,Input!$C$4+2,$D19-Input!$C$7+2),0)*IF(B19&gt;20,Input!$C$22,1)/1000,1))</f>
        <v>3.9200000000000004E-4</v>
      </c>
      <c r="P19" s="147">
        <f>IF($E19="","",MIN(VLOOKUP(IF($B19&lt;=Input!$C$7,$B19,26),'Mortality Tables'!$A$12:$CW$37,IF($B19&lt;=Input!$C$7+1,Input!$C$4+2,$D19-Input!$C$7+2),0)*IF(B19&gt;20,Input!$C$22,1)/1000,1))</f>
        <v>4.8999999999999998E-4</v>
      </c>
      <c r="Q19" s="155">
        <f>IF($E19="","",Input!$C$21)</f>
        <v>5.0000000000000001E-3</v>
      </c>
      <c r="R19" s="159">
        <f>IF($E19="","",(1-Q19)^($F19-Input!$C$20))</f>
        <v>0.995</v>
      </c>
      <c r="S19" s="147">
        <f t="shared" si="0"/>
        <v>3.9004000000000003E-4</v>
      </c>
      <c r="T19" s="147">
        <f t="shared" si="1"/>
        <v>3.2509145348469382E-5</v>
      </c>
      <c r="U19" s="160">
        <f>IF($E19="","",IF($C19=12,INDEX(Input!$C$15:$CP$15,1,$B19),0))</f>
        <v>0</v>
      </c>
      <c r="V19" s="150">
        <f>IF(E19="","",IF(C19=1,IF($B19=1,Input!$C$33,Input!$C$34),0))</f>
        <v>0</v>
      </c>
      <c r="W19" s="156">
        <f>IF($E19="","",Input!$C$35)</f>
        <v>0.02</v>
      </c>
      <c r="X19" s="156">
        <f t="shared" si="2"/>
        <v>1.02</v>
      </c>
      <c r="Y19" s="154"/>
      <c r="Z19" s="147">
        <f>IF($E19="","",VLOOKUP($D19,'Mortality Margins &amp; Grading'!$AB$5:$AF$125,3,0)*IF(Summary!$D$25="Included Margin",IF(AND($B19&gt;Input!$C$9,Summary!$D$31&lt;&gt;"Included Margin"),0,1),0))</f>
        <v>0.04</v>
      </c>
      <c r="AA19" s="147">
        <f>IF($E19="","",VLOOKUP($D19,'Mortality Margins &amp; Grading'!$AB$5:$AF$125,5,0)*IF(Summary!$D$25="Included Margin",IF(AND($B19&gt;Input!$C$9,Summary!$D$31&lt;&gt;"Included Margin"),0,1),0))</f>
        <v>0.20200000000000001</v>
      </c>
      <c r="AB19" s="147">
        <f>IF($E19="","",IF(AND($B19&gt;Input!$C$9,Summary!$D$31&lt;&gt;"Included Margin"),1,IF(Summary!$D$25="Included Margin",VLOOKUP($B19,'Mortality Margins &amp; Grading'!$AI$5:$AR$125,MATCH('Mortality Margins &amp; Grading'!$AQ$4,'Mortality Margins &amp; Grading'!$AI$4:$AR$4,0),0),1)))</f>
        <v>1</v>
      </c>
      <c r="AC19" s="154"/>
      <c r="AD19" s="158">
        <f>IF(E19="","",Input!$C$48*IF(Summary!$D$30="Included Margin",IF(AND($B19&gt;Input!$C$9,Summary!$D$31&lt;&gt;"Included Margin"),0,1),0))</f>
        <v>-4.4999999999999997E-3</v>
      </c>
      <c r="AE19" s="159">
        <f>IF(E19="","",IF(Summary!$D$26="Included Margin",IF(AND($B19&gt;Input!$C$9,Summary!$D$31&lt;&gt;"Included Margin"),1,1/$R19),1))</f>
        <v>1.0050251256281406</v>
      </c>
      <c r="AF19" s="160">
        <f>IF(E19="","",IF(AND($B19&gt;=Input!$C$9,$C19=12,Summary!$D$31="Included Margin",$U19&gt;0),1/U19-1,IF($B19&gt;=Input!$C$9,0,Input!$C$45*IF(Summary!$D$27="Included Margin",1,0))))</f>
        <v>-0.1</v>
      </c>
      <c r="AG19" s="160">
        <f>IF(E19="","",Input!$C$46*IF(Summary!$D$28="Included Margin",IF(AND($B19&gt;Input!$C$9,Summary!$D$31&lt;&gt;"Included Margin"),0,1),0))</f>
        <v>0.02</v>
      </c>
      <c r="AH19" s="158">
        <f>IF(E19="","",Input!$C$47*IF(Summary!$D$29="Included Margin",IF(AND($B19&gt;Input!$C$9,Summary!$D$31&lt;&gt;"Included Margin"),0,1),0))</f>
        <v>2.5000000000000001E-3</v>
      </c>
      <c r="AI19" s="154"/>
      <c r="AJ19" s="158">
        <f t="shared" si="25"/>
        <v>3.9490000000000004E-2</v>
      </c>
      <c r="AK19" s="155">
        <f t="shared" si="26"/>
        <v>3.2327313971030058E-3</v>
      </c>
      <c r="AL19" s="147">
        <f t="shared" si="27"/>
        <v>4.0768E-4</v>
      </c>
      <c r="AM19" s="147">
        <f t="shared" si="3"/>
        <v>3.397968301788179E-5</v>
      </c>
      <c r="AN19" s="160">
        <f t="shared" si="28"/>
        <v>0</v>
      </c>
      <c r="AO19" s="161">
        <f t="shared" si="29"/>
        <v>0</v>
      </c>
      <c r="AP19" s="156">
        <f t="shared" si="4"/>
        <v>1.0225</v>
      </c>
      <c r="AQ19" s="152"/>
      <c r="AR19" s="162">
        <f t="shared" si="5"/>
        <v>-17.035322291038689</v>
      </c>
      <c r="AS19" s="150">
        <f t="shared" si="30"/>
        <v>0</v>
      </c>
      <c r="AT19" s="163">
        <f t="shared" si="6"/>
        <v>0</v>
      </c>
      <c r="AU19" s="163">
        <f t="shared" si="7"/>
        <v>3.397968301788179</v>
      </c>
      <c r="AV19" s="163">
        <f t="shared" si="31"/>
        <v>-6.0562980637785202E-2</v>
      </c>
      <c r="AW19" s="163">
        <f t="shared" si="8"/>
        <v>-6.9639801045154987E-4</v>
      </c>
      <c r="AX19" s="163">
        <f t="shared" si="9"/>
        <v>0</v>
      </c>
      <c r="AY19" s="164">
        <f t="shared" si="32"/>
        <v>-20.494549971475106</v>
      </c>
      <c r="AZ19" s="164">
        <f>IF($E19="","",IF(OR(AND($D19=Input!$C$6,$C19=12),$AN19=1),0,-AS20+AT20+AU20-AV20-AW20-AX20+AZ20))</f>
        <v>-20.494541108140144</v>
      </c>
      <c r="BA19" s="154">
        <f t="shared" si="10"/>
        <v>8.8633349619726687E-6</v>
      </c>
      <c r="BC19" s="147">
        <f t="shared" si="33"/>
        <v>0.89965791993079247</v>
      </c>
      <c r="BD19" s="164">
        <f>IF(AND($C18=12,$D18=Input!$C$6),0,IF($E19="","",AT19+(AU19+BD20)/(1+$AK19)*MIN((1-AM19-AN19),1)))</f>
        <v>2116.1974433281175</v>
      </c>
      <c r="BE19" s="164">
        <f t="shared" si="11"/>
        <v>1903.8537900274353</v>
      </c>
      <c r="BF19" s="164">
        <f t="shared" si="34"/>
        <v>-20.494541108140144</v>
      </c>
      <c r="BG19" s="164">
        <f t="shared" si="12"/>
        <v>-18.438076223285481</v>
      </c>
      <c r="BH19" s="152"/>
      <c r="BI19" s="162">
        <f t="shared" si="13"/>
        <v>-228.50451196720286</v>
      </c>
      <c r="BJ19" s="150">
        <f t="shared" si="14"/>
        <v>0</v>
      </c>
      <c r="BK19" s="163">
        <f t="shared" si="38"/>
        <v>0</v>
      </c>
      <c r="BL19" s="163">
        <f t="shared" si="15"/>
        <v>3.2509145348469382</v>
      </c>
      <c r="BM19" s="163">
        <f t="shared" si="39"/>
        <v>-0.82707222604075237</v>
      </c>
      <c r="BN19" s="163">
        <f t="shared" si="16"/>
        <v>-7.5613037275308308E-3</v>
      </c>
      <c r="BO19" s="163">
        <f t="shared" si="17"/>
        <v>0</v>
      </c>
      <c r="BP19" s="164">
        <f t="shared" si="40"/>
        <v>-232.59006003181807</v>
      </c>
      <c r="BQ19" s="164">
        <f>IF($E19="","",IF(AND($D19=Input!$C$6,$C19=12),0,-BJ20+BK20+BL20-BM20-BN20-BO20+BQ20))</f>
        <v>-232.59004955314327</v>
      </c>
      <c r="BR19" s="161">
        <f t="shared" si="18"/>
        <v>0</v>
      </c>
      <c r="BT19" s="147">
        <f t="shared" si="19"/>
        <v>0.89965791993079247</v>
      </c>
      <c r="BU19" s="164">
        <f>IF(AND($C18=12,$D18=Input!$C$6),0,IF($E19="","",BK19+(BL19+BU20)/(1+$AK19)*MIN((1-T19-U19),1)))</f>
        <v>3001.3782266768703</v>
      </c>
      <c r="BV19" s="164">
        <f t="shared" si="20"/>
        <v>2700.2136923376838</v>
      </c>
      <c r="BW19" s="164">
        <f t="shared" si="21"/>
        <v>-232.59004955314327</v>
      </c>
      <c r="BX19" s="164">
        <f t="shared" si="22"/>
        <v>-209.25148017758082</v>
      </c>
    </row>
    <row r="20" spans="1:76" s="150" customFormat="1" x14ac:dyDescent="0.25">
      <c r="A20" s="150">
        <f t="shared" si="35"/>
        <v>16</v>
      </c>
      <c r="B20" s="150">
        <f t="shared" si="36"/>
        <v>2</v>
      </c>
      <c r="C20" s="150">
        <f t="shared" si="37"/>
        <v>4</v>
      </c>
      <c r="D20" s="150">
        <f>IF(E20="","",Input!$C$4+B20-1)</f>
        <v>46</v>
      </c>
      <c r="E20" s="150">
        <f>IF(OR(AND(C19=12,D19=Input!$C$6),E19=""),"",1)</f>
        <v>1</v>
      </c>
      <c r="F20" s="150">
        <f>IF(E20="","",Input!$C$8+B20-1)</f>
        <v>2019</v>
      </c>
      <c r="G20" s="151">
        <f>IF(E20="","",MAX(0,Input!$C$9-B20))</f>
        <v>18</v>
      </c>
      <c r="H20" s="152">
        <f>IF(E20="","",Input!$C$3)</f>
        <v>100000</v>
      </c>
      <c r="I20" s="153">
        <f>IF(E20="","",HLOOKUP($B20,Input!$C$13:$BT$14,2))</f>
        <v>2.2999999999999998</v>
      </c>
      <c r="J20" s="154"/>
      <c r="K20" s="155">
        <f>IF($E20="","",INDEX(Input!$C$16:$CP$16,1,$B20))</f>
        <v>2.8989999999999998E-2</v>
      </c>
      <c r="L20" s="155">
        <f>IF($E20="","",Input!$C$37)</f>
        <v>1.4999999999999999E-2</v>
      </c>
      <c r="M20" s="155">
        <f t="shared" si="23"/>
        <v>4.3990000000000001E-2</v>
      </c>
      <c r="N20" s="155">
        <f t="shared" si="24"/>
        <v>3.5939353261613682E-3</v>
      </c>
      <c r="O20" s="147">
        <f>IF($E20="","",MIN(VLOOKUP(IF($B20&lt;=Input!$C$7,$B20,26),'Mortality Tables'!$A$41:$CW$67,IF($B20&lt;=Input!$C$7+1,Input!$C$4+2,$D20-Input!$C$7+2),0)*IF(B20&gt;20,Input!$C$22,1)/1000,1))</f>
        <v>3.9200000000000004E-4</v>
      </c>
      <c r="P20" s="147">
        <f>IF($E20="","",MIN(VLOOKUP(IF($B20&lt;=Input!$C$7,$B20,26),'Mortality Tables'!$A$12:$CW$37,IF($B20&lt;=Input!$C$7+1,Input!$C$4+2,$D20-Input!$C$7+2),0)*IF(B20&gt;20,Input!$C$22,1)/1000,1))</f>
        <v>4.8999999999999998E-4</v>
      </c>
      <c r="Q20" s="155">
        <f>IF($E20="","",Input!$C$21)</f>
        <v>5.0000000000000001E-3</v>
      </c>
      <c r="R20" s="159">
        <f>IF($E20="","",(1-Q20)^($F20-Input!$C$20))</f>
        <v>0.995</v>
      </c>
      <c r="S20" s="147">
        <f t="shared" si="0"/>
        <v>3.9004000000000003E-4</v>
      </c>
      <c r="T20" s="147">
        <f t="shared" si="1"/>
        <v>3.2509145348469382E-5</v>
      </c>
      <c r="U20" s="160">
        <f>IF($E20="","",IF($C20=12,INDEX(Input!$C$15:$CP$15,1,$B20),0))</f>
        <v>0</v>
      </c>
      <c r="V20" s="150">
        <f>IF(E20="","",IF(C20=1,IF($B20=1,Input!$C$33,Input!$C$34),0))</f>
        <v>0</v>
      </c>
      <c r="W20" s="156">
        <f>IF($E20="","",Input!$C$35)</f>
        <v>0.02</v>
      </c>
      <c r="X20" s="156">
        <f t="shared" si="2"/>
        <v>1.02</v>
      </c>
      <c r="Y20" s="154"/>
      <c r="Z20" s="147">
        <f>IF($E20="","",VLOOKUP($D20,'Mortality Margins &amp; Grading'!$AB$5:$AF$125,3,0)*IF(Summary!$D$25="Included Margin",IF(AND($B20&gt;Input!$C$9,Summary!$D$31&lt;&gt;"Included Margin"),0,1),0))</f>
        <v>0.04</v>
      </c>
      <c r="AA20" s="147">
        <f>IF($E20="","",VLOOKUP($D20,'Mortality Margins &amp; Grading'!$AB$5:$AF$125,5,0)*IF(Summary!$D$25="Included Margin",IF(AND($B20&gt;Input!$C$9,Summary!$D$31&lt;&gt;"Included Margin"),0,1),0))</f>
        <v>0.20200000000000001</v>
      </c>
      <c r="AB20" s="147">
        <f>IF($E20="","",IF(AND($B20&gt;Input!$C$9,Summary!$D$31&lt;&gt;"Included Margin"),1,IF(Summary!$D$25="Included Margin",VLOOKUP($B20,'Mortality Margins &amp; Grading'!$AI$5:$AR$125,MATCH('Mortality Margins &amp; Grading'!$AQ$4,'Mortality Margins &amp; Grading'!$AI$4:$AR$4,0),0),1)))</f>
        <v>1</v>
      </c>
      <c r="AC20" s="154"/>
      <c r="AD20" s="158">
        <f>IF(E20="","",Input!$C$48*IF(Summary!$D$30="Included Margin",IF(AND($B20&gt;Input!$C$9,Summary!$D$31&lt;&gt;"Included Margin"),0,1),0))</f>
        <v>-4.4999999999999997E-3</v>
      </c>
      <c r="AE20" s="159">
        <f>IF(E20="","",IF(Summary!$D$26="Included Margin",IF(AND($B20&gt;Input!$C$9,Summary!$D$31&lt;&gt;"Included Margin"),1,1/$R20),1))</f>
        <v>1.0050251256281406</v>
      </c>
      <c r="AF20" s="160">
        <f>IF(E20="","",IF(AND($B20&gt;=Input!$C$9,$C20=12,Summary!$D$31="Included Margin",$U20&gt;0),1/U20-1,IF($B20&gt;=Input!$C$9,0,Input!$C$45*IF(Summary!$D$27="Included Margin",1,0))))</f>
        <v>-0.1</v>
      </c>
      <c r="AG20" s="160">
        <f>IF(E20="","",Input!$C$46*IF(Summary!$D$28="Included Margin",IF(AND($B20&gt;Input!$C$9,Summary!$D$31&lt;&gt;"Included Margin"),0,1),0))</f>
        <v>0.02</v>
      </c>
      <c r="AH20" s="158">
        <f>IF(E20="","",Input!$C$47*IF(Summary!$D$29="Included Margin",IF(AND($B20&gt;Input!$C$9,Summary!$D$31&lt;&gt;"Included Margin"),0,1),0))</f>
        <v>2.5000000000000001E-3</v>
      </c>
      <c r="AI20" s="154"/>
      <c r="AJ20" s="158">
        <f t="shared" si="25"/>
        <v>3.9490000000000004E-2</v>
      </c>
      <c r="AK20" s="155">
        <f t="shared" si="26"/>
        <v>3.2327313971030058E-3</v>
      </c>
      <c r="AL20" s="147">
        <f t="shared" si="27"/>
        <v>4.0768E-4</v>
      </c>
      <c r="AM20" s="147">
        <f t="shared" si="3"/>
        <v>3.397968301788179E-5</v>
      </c>
      <c r="AN20" s="160">
        <f t="shared" si="28"/>
        <v>0</v>
      </c>
      <c r="AO20" s="161">
        <f t="shared" si="29"/>
        <v>0</v>
      </c>
      <c r="AP20" s="156">
        <f t="shared" si="4"/>
        <v>1.0225</v>
      </c>
      <c r="AQ20" s="152"/>
      <c r="AR20" s="162">
        <f t="shared" si="5"/>
        <v>-20.494549971475102</v>
      </c>
      <c r="AS20" s="150">
        <f t="shared" si="30"/>
        <v>0</v>
      </c>
      <c r="AT20" s="163">
        <f t="shared" si="6"/>
        <v>0</v>
      </c>
      <c r="AU20" s="163">
        <f t="shared" si="7"/>
        <v>3.397968301788179</v>
      </c>
      <c r="AV20" s="163">
        <f t="shared" si="31"/>
        <v>-7.1745734570059796E-2</v>
      </c>
      <c r="AW20" s="163">
        <f t="shared" si="8"/>
        <v>-8.1432546409084114E-4</v>
      </c>
      <c r="AX20" s="163">
        <f t="shared" si="9"/>
        <v>0</v>
      </c>
      <c r="AY20" s="164">
        <f t="shared" si="32"/>
        <v>-23.965078333297431</v>
      </c>
      <c r="AZ20" s="164">
        <f>IF($E20="","",IF(OR(AND($D20=Input!$C$6,$C20=12),$AN20=1),0,-AS21+AT21+AU21-AV21-AW21-AX21+AZ21))</f>
        <v>-23.965069469962472</v>
      </c>
      <c r="BA20" s="154">
        <f t="shared" si="10"/>
        <v>8.863334958419955E-6</v>
      </c>
      <c r="BC20" s="147">
        <f t="shared" si="33"/>
        <v>0.89962867282070957</v>
      </c>
      <c r="BD20" s="164">
        <f>IF(AND($C19=12,$D19=Input!$C$6),0,IF($E20="","",AT20+(AU20+BD21)/(1+$AK20)*MIN((1-AM20-AN20),1)))</f>
        <v>2119.7127155718949</v>
      </c>
      <c r="BE20" s="164">
        <f t="shared" si="11"/>
        <v>1906.954337071126</v>
      </c>
      <c r="BF20" s="164">
        <f t="shared" si="34"/>
        <v>-23.965069469962472</v>
      </c>
      <c r="BG20" s="164">
        <f t="shared" si="12"/>
        <v>-21.559663641318444</v>
      </c>
      <c r="BH20" s="152"/>
      <c r="BI20" s="162">
        <f t="shared" si="13"/>
        <v>-232.59006003181807</v>
      </c>
      <c r="BJ20" s="150">
        <f t="shared" si="14"/>
        <v>0</v>
      </c>
      <c r="BK20" s="163">
        <f t="shared" si="38"/>
        <v>0</v>
      </c>
      <c r="BL20" s="163">
        <f t="shared" si="15"/>
        <v>3.2509145348469382</v>
      </c>
      <c r="BM20" s="163">
        <f t="shared" si="39"/>
        <v>-0.84175542155690319</v>
      </c>
      <c r="BN20" s="163">
        <f t="shared" si="16"/>
        <v>-7.6946030749766399E-3</v>
      </c>
      <c r="BO20" s="163">
        <f t="shared" si="17"/>
        <v>0</v>
      </c>
      <c r="BP20" s="164">
        <f t="shared" si="40"/>
        <v>-236.6904245912969</v>
      </c>
      <c r="BQ20" s="164">
        <f>IF($E20="","",IF(AND($D20=Input!$C$6,$C20=12),0,-BJ21+BK21+BL21-BM21-BN21-BO21+BQ21))</f>
        <v>-236.69041411262208</v>
      </c>
      <c r="BR20" s="161">
        <f t="shared" si="18"/>
        <v>0</v>
      </c>
      <c r="BT20" s="147">
        <f t="shared" si="19"/>
        <v>0.89962867282070957</v>
      </c>
      <c r="BU20" s="164">
        <f>IF(AND($C19=12,$D19=Input!$C$6),0,IF($E20="","",BK20+(BL20+BU21)/(1+$AK20)*MIN((1-T20-U20),1)))</f>
        <v>3007.9278526181947</v>
      </c>
      <c r="BV20" s="164">
        <f t="shared" si="20"/>
        <v>2706.0181419913533</v>
      </c>
      <c r="BW20" s="164">
        <f t="shared" si="21"/>
        <v>-236.69041411262208</v>
      </c>
      <c r="BX20" s="164">
        <f t="shared" si="22"/>
        <v>-212.93348311752234</v>
      </c>
    </row>
    <row r="21" spans="1:76" s="150" customFormat="1" x14ac:dyDescent="0.25">
      <c r="A21" s="150">
        <f t="shared" si="35"/>
        <v>17</v>
      </c>
      <c r="B21" s="150">
        <f t="shared" si="36"/>
        <v>2</v>
      </c>
      <c r="C21" s="150">
        <f t="shared" si="37"/>
        <v>5</v>
      </c>
      <c r="D21" s="150">
        <f>IF(E21="","",Input!$C$4+B21-1)</f>
        <v>46</v>
      </c>
      <c r="E21" s="150">
        <f>IF(OR(AND(C20=12,D20=Input!$C$6),E20=""),"",1)</f>
        <v>1</v>
      </c>
      <c r="F21" s="150">
        <f>IF(E21="","",Input!$C$8+B21-1)</f>
        <v>2019</v>
      </c>
      <c r="G21" s="151">
        <f>IF(E21="","",MAX(0,Input!$C$9-B21))</f>
        <v>18</v>
      </c>
      <c r="H21" s="152">
        <f>IF(E21="","",Input!$C$3)</f>
        <v>100000</v>
      </c>
      <c r="I21" s="153">
        <f>IF(E21="","",HLOOKUP($B21,Input!$C$13:$BT$14,2))</f>
        <v>2.2999999999999998</v>
      </c>
      <c r="J21" s="154"/>
      <c r="K21" s="155">
        <f>IF($E21="","",INDEX(Input!$C$16:$CP$16,1,$B21))</f>
        <v>2.8989999999999998E-2</v>
      </c>
      <c r="L21" s="155">
        <f>IF($E21="","",Input!$C$37)</f>
        <v>1.4999999999999999E-2</v>
      </c>
      <c r="M21" s="155">
        <f t="shared" si="23"/>
        <v>4.3990000000000001E-2</v>
      </c>
      <c r="N21" s="155">
        <f t="shared" si="24"/>
        <v>3.5939353261613682E-3</v>
      </c>
      <c r="O21" s="147">
        <f>IF($E21="","",MIN(VLOOKUP(IF($B21&lt;=Input!$C$7,$B21,26),'Mortality Tables'!$A$41:$CW$67,IF($B21&lt;=Input!$C$7+1,Input!$C$4+2,$D21-Input!$C$7+2),0)*IF(B21&gt;20,Input!$C$22,1)/1000,1))</f>
        <v>3.9200000000000004E-4</v>
      </c>
      <c r="P21" s="147">
        <f>IF($E21="","",MIN(VLOOKUP(IF($B21&lt;=Input!$C$7,$B21,26),'Mortality Tables'!$A$12:$CW$37,IF($B21&lt;=Input!$C$7+1,Input!$C$4+2,$D21-Input!$C$7+2),0)*IF(B21&gt;20,Input!$C$22,1)/1000,1))</f>
        <v>4.8999999999999998E-4</v>
      </c>
      <c r="Q21" s="155">
        <f>IF($E21="","",Input!$C$21)</f>
        <v>5.0000000000000001E-3</v>
      </c>
      <c r="R21" s="159">
        <f>IF($E21="","",(1-Q21)^($F21-Input!$C$20))</f>
        <v>0.995</v>
      </c>
      <c r="S21" s="147">
        <f t="shared" si="0"/>
        <v>3.9004000000000003E-4</v>
      </c>
      <c r="T21" s="147">
        <f t="shared" si="1"/>
        <v>3.2509145348469382E-5</v>
      </c>
      <c r="U21" s="160">
        <f>IF($E21="","",IF($C21=12,INDEX(Input!$C$15:$CP$15,1,$B21),0))</f>
        <v>0</v>
      </c>
      <c r="V21" s="150">
        <f>IF(E21="","",IF(C21=1,IF($B21=1,Input!$C$33,Input!$C$34),0))</f>
        <v>0</v>
      </c>
      <c r="W21" s="156">
        <f>IF($E21="","",Input!$C$35)</f>
        <v>0.02</v>
      </c>
      <c r="X21" s="156">
        <f t="shared" si="2"/>
        <v>1.02</v>
      </c>
      <c r="Y21" s="154"/>
      <c r="Z21" s="147">
        <f>IF($E21="","",VLOOKUP($D21,'Mortality Margins &amp; Grading'!$AB$5:$AF$125,3,0)*IF(Summary!$D$25="Included Margin",IF(AND($B21&gt;Input!$C$9,Summary!$D$31&lt;&gt;"Included Margin"),0,1),0))</f>
        <v>0.04</v>
      </c>
      <c r="AA21" s="147">
        <f>IF($E21="","",VLOOKUP($D21,'Mortality Margins &amp; Grading'!$AB$5:$AF$125,5,0)*IF(Summary!$D$25="Included Margin",IF(AND($B21&gt;Input!$C$9,Summary!$D$31&lt;&gt;"Included Margin"),0,1),0))</f>
        <v>0.20200000000000001</v>
      </c>
      <c r="AB21" s="147">
        <f>IF($E21="","",IF(AND($B21&gt;Input!$C$9,Summary!$D$31&lt;&gt;"Included Margin"),1,IF(Summary!$D$25="Included Margin",VLOOKUP($B21,'Mortality Margins &amp; Grading'!$AI$5:$AR$125,MATCH('Mortality Margins &amp; Grading'!$AQ$4,'Mortality Margins &amp; Grading'!$AI$4:$AR$4,0),0),1)))</f>
        <v>1</v>
      </c>
      <c r="AC21" s="154"/>
      <c r="AD21" s="158">
        <f>IF(E21="","",Input!$C$48*IF(Summary!$D$30="Included Margin",IF(AND($B21&gt;Input!$C$9,Summary!$D$31&lt;&gt;"Included Margin"),0,1),0))</f>
        <v>-4.4999999999999997E-3</v>
      </c>
      <c r="AE21" s="159">
        <f>IF(E21="","",IF(Summary!$D$26="Included Margin",IF(AND($B21&gt;Input!$C$9,Summary!$D$31&lt;&gt;"Included Margin"),1,1/$R21),1))</f>
        <v>1.0050251256281406</v>
      </c>
      <c r="AF21" s="160">
        <f>IF(E21="","",IF(AND($B21&gt;=Input!$C$9,$C21=12,Summary!$D$31="Included Margin",$U21&gt;0),1/U21-1,IF($B21&gt;=Input!$C$9,0,Input!$C$45*IF(Summary!$D$27="Included Margin",1,0))))</f>
        <v>-0.1</v>
      </c>
      <c r="AG21" s="160">
        <f>IF(E21="","",Input!$C$46*IF(Summary!$D$28="Included Margin",IF(AND($B21&gt;Input!$C$9,Summary!$D$31&lt;&gt;"Included Margin"),0,1),0))</f>
        <v>0.02</v>
      </c>
      <c r="AH21" s="158">
        <f>IF(E21="","",Input!$C$47*IF(Summary!$D$29="Included Margin",IF(AND($B21&gt;Input!$C$9,Summary!$D$31&lt;&gt;"Included Margin"),0,1),0))</f>
        <v>2.5000000000000001E-3</v>
      </c>
      <c r="AI21" s="154"/>
      <c r="AJ21" s="158">
        <f t="shared" si="25"/>
        <v>3.9490000000000004E-2</v>
      </c>
      <c r="AK21" s="155">
        <f t="shared" si="26"/>
        <v>3.2327313971030058E-3</v>
      </c>
      <c r="AL21" s="147">
        <f t="shared" si="27"/>
        <v>4.0768E-4</v>
      </c>
      <c r="AM21" s="147">
        <f t="shared" si="3"/>
        <v>3.397968301788179E-5</v>
      </c>
      <c r="AN21" s="160">
        <f t="shared" si="28"/>
        <v>0</v>
      </c>
      <c r="AO21" s="161">
        <f t="shared" si="29"/>
        <v>0</v>
      </c>
      <c r="AP21" s="156">
        <f t="shared" si="4"/>
        <v>1.0225</v>
      </c>
      <c r="AQ21" s="152"/>
      <c r="AR21" s="162">
        <f t="shared" si="5"/>
        <v>-23.965078333297434</v>
      </c>
      <c r="AS21" s="150">
        <f t="shared" si="30"/>
        <v>0</v>
      </c>
      <c r="AT21" s="163">
        <f t="shared" si="6"/>
        <v>0</v>
      </c>
      <c r="AU21" s="163">
        <f t="shared" si="7"/>
        <v>3.397968301788179</v>
      </c>
      <c r="AV21" s="163">
        <f t="shared" si="31"/>
        <v>-8.2965020569859313E-2</v>
      </c>
      <c r="AW21" s="163">
        <f t="shared" si="8"/>
        <v>-9.326381657401916E-4</v>
      </c>
      <c r="AX21" s="163">
        <f t="shared" si="9"/>
        <v>0</v>
      </c>
      <c r="AY21" s="164">
        <f t="shared" si="32"/>
        <v>-27.446944293821211</v>
      </c>
      <c r="AZ21" s="164">
        <f>IF($E21="","",IF(OR(AND($D21=Input!$C$6,$C21=12),$AN21=1),0,-AS22+AT22+AU22-AV22-AW22-AX22+AZ22))</f>
        <v>-27.446935430486249</v>
      </c>
      <c r="BA21" s="154">
        <f t="shared" si="10"/>
        <v>8.8633349619726687E-6</v>
      </c>
      <c r="BC21" s="147">
        <f t="shared" si="33"/>
        <v>0.89959942666142523</v>
      </c>
      <c r="BD21" s="164">
        <f>IF(AND($C20=12,$D20=Input!$C$6),0,IF($E21="","",AT21+(AU21+BD22)/(1+$AK21)*MIN((1-AM21-AN21),1)))</f>
        <v>2123.2394715846754</v>
      </c>
      <c r="BE21" s="164">
        <f t="shared" si="11"/>
        <v>1910.0650113024815</v>
      </c>
      <c r="BF21" s="164">
        <f t="shared" si="34"/>
        <v>-27.446935430486249</v>
      </c>
      <c r="BG21" s="164">
        <f t="shared" si="12"/>
        <v>-24.691247376878589</v>
      </c>
      <c r="BH21" s="152"/>
      <c r="BI21" s="162">
        <f t="shared" si="13"/>
        <v>-236.6904245912969</v>
      </c>
      <c r="BJ21" s="150">
        <f t="shared" si="14"/>
        <v>0</v>
      </c>
      <c r="BK21" s="163">
        <f t="shared" si="38"/>
        <v>0</v>
      </c>
      <c r="BL21" s="163">
        <f t="shared" si="15"/>
        <v>3.2509145348469382</v>
      </c>
      <c r="BM21" s="163">
        <f t="shared" si="39"/>
        <v>-0.85649186659735421</v>
      </c>
      <c r="BN21" s="163">
        <f t="shared" si="16"/>
        <v>-7.8283858408195687E-3</v>
      </c>
      <c r="BO21" s="163">
        <f t="shared" si="17"/>
        <v>0</v>
      </c>
      <c r="BP21" s="164">
        <f t="shared" si="40"/>
        <v>-240.80565937858202</v>
      </c>
      <c r="BQ21" s="164">
        <f>IF($E21="","",IF(AND($D21=Input!$C$6,$C21=12),0,-BJ22+BK22+BL22-BM22-BN22-BO22+BQ22))</f>
        <v>-240.8056488999072</v>
      </c>
      <c r="BR21" s="161">
        <f t="shared" si="18"/>
        <v>0</v>
      </c>
      <c r="BT21" s="147">
        <f t="shared" si="19"/>
        <v>0.89959942666142523</v>
      </c>
      <c r="BU21" s="164">
        <f>IF(AND($C20=12,$D20=Input!$C$6),0,IF($E21="","",BK21+(BL21+BU22)/(1+$AK21)*MIN((1-T21-U21),1)))</f>
        <v>3014.4988653589476</v>
      </c>
      <c r="BV21" s="164">
        <f t="shared" si="20"/>
        <v>2711.841450948426</v>
      </c>
      <c r="BW21" s="164">
        <f t="shared" si="21"/>
        <v>-240.8056488999072</v>
      </c>
      <c r="BX21" s="164">
        <f t="shared" si="22"/>
        <v>-216.62862368718899</v>
      </c>
    </row>
    <row r="22" spans="1:76" s="150" customFormat="1" x14ac:dyDescent="0.25">
      <c r="A22" s="150">
        <f t="shared" si="35"/>
        <v>18</v>
      </c>
      <c r="B22" s="150">
        <f t="shared" si="36"/>
        <v>2</v>
      </c>
      <c r="C22" s="150">
        <f t="shared" si="37"/>
        <v>6</v>
      </c>
      <c r="D22" s="150">
        <f>IF(E22="","",Input!$C$4+B22-1)</f>
        <v>46</v>
      </c>
      <c r="E22" s="150">
        <f>IF(OR(AND(C21=12,D21=Input!$C$6),E21=""),"",1)</f>
        <v>1</v>
      </c>
      <c r="F22" s="150">
        <f>IF(E22="","",Input!$C$8+B22-1)</f>
        <v>2019</v>
      </c>
      <c r="G22" s="151">
        <f>IF(E22="","",MAX(0,Input!$C$9-B22))</f>
        <v>18</v>
      </c>
      <c r="H22" s="152">
        <f>IF(E22="","",Input!$C$3)</f>
        <v>100000</v>
      </c>
      <c r="I22" s="153">
        <f>IF(E22="","",HLOOKUP($B22,Input!$C$13:$BT$14,2))</f>
        <v>2.2999999999999998</v>
      </c>
      <c r="J22" s="154"/>
      <c r="K22" s="155">
        <f>IF($E22="","",INDEX(Input!$C$16:$CP$16,1,$B22))</f>
        <v>2.8989999999999998E-2</v>
      </c>
      <c r="L22" s="155">
        <f>IF($E22="","",Input!$C$37)</f>
        <v>1.4999999999999999E-2</v>
      </c>
      <c r="M22" s="155">
        <f t="shared" si="23"/>
        <v>4.3990000000000001E-2</v>
      </c>
      <c r="N22" s="155">
        <f t="shared" si="24"/>
        <v>3.5939353261613682E-3</v>
      </c>
      <c r="O22" s="147">
        <f>IF($E22="","",MIN(VLOOKUP(IF($B22&lt;=Input!$C$7,$B22,26),'Mortality Tables'!$A$41:$CW$67,IF($B22&lt;=Input!$C$7+1,Input!$C$4+2,$D22-Input!$C$7+2),0)*IF(B22&gt;20,Input!$C$22,1)/1000,1))</f>
        <v>3.9200000000000004E-4</v>
      </c>
      <c r="P22" s="147">
        <f>IF($E22="","",MIN(VLOOKUP(IF($B22&lt;=Input!$C$7,$B22,26),'Mortality Tables'!$A$12:$CW$37,IF($B22&lt;=Input!$C$7+1,Input!$C$4+2,$D22-Input!$C$7+2),0)*IF(B22&gt;20,Input!$C$22,1)/1000,1))</f>
        <v>4.8999999999999998E-4</v>
      </c>
      <c r="Q22" s="155">
        <f>IF($E22="","",Input!$C$21)</f>
        <v>5.0000000000000001E-3</v>
      </c>
      <c r="R22" s="159">
        <f>IF($E22="","",(1-Q22)^($F22-Input!$C$20))</f>
        <v>0.995</v>
      </c>
      <c r="S22" s="147">
        <f t="shared" si="0"/>
        <v>3.9004000000000003E-4</v>
      </c>
      <c r="T22" s="147">
        <f t="shared" si="1"/>
        <v>3.2509145348469382E-5</v>
      </c>
      <c r="U22" s="160">
        <f>IF($E22="","",IF($C22=12,INDEX(Input!$C$15:$CP$15,1,$B22),0))</f>
        <v>0</v>
      </c>
      <c r="V22" s="150">
        <f>IF(E22="","",IF(C22=1,IF($B22=1,Input!$C$33,Input!$C$34),0))</f>
        <v>0</v>
      </c>
      <c r="W22" s="156">
        <f>IF($E22="","",Input!$C$35)</f>
        <v>0.02</v>
      </c>
      <c r="X22" s="156">
        <f t="shared" si="2"/>
        <v>1.02</v>
      </c>
      <c r="Y22" s="154"/>
      <c r="Z22" s="147">
        <f>IF($E22="","",VLOOKUP($D22,'Mortality Margins &amp; Grading'!$AB$5:$AF$125,3,0)*IF(Summary!$D$25="Included Margin",IF(AND($B22&gt;Input!$C$9,Summary!$D$31&lt;&gt;"Included Margin"),0,1),0))</f>
        <v>0.04</v>
      </c>
      <c r="AA22" s="147">
        <f>IF($E22="","",VLOOKUP($D22,'Mortality Margins &amp; Grading'!$AB$5:$AF$125,5,0)*IF(Summary!$D$25="Included Margin",IF(AND($B22&gt;Input!$C$9,Summary!$D$31&lt;&gt;"Included Margin"),0,1),0))</f>
        <v>0.20200000000000001</v>
      </c>
      <c r="AB22" s="147">
        <f>IF($E22="","",IF(AND($B22&gt;Input!$C$9,Summary!$D$31&lt;&gt;"Included Margin"),1,IF(Summary!$D$25="Included Margin",VLOOKUP($B22,'Mortality Margins &amp; Grading'!$AI$5:$AR$125,MATCH('Mortality Margins &amp; Grading'!$AQ$4,'Mortality Margins &amp; Grading'!$AI$4:$AR$4,0),0),1)))</f>
        <v>1</v>
      </c>
      <c r="AC22" s="154"/>
      <c r="AD22" s="158">
        <f>IF(E22="","",Input!$C$48*IF(Summary!$D$30="Included Margin",IF(AND($B22&gt;Input!$C$9,Summary!$D$31&lt;&gt;"Included Margin"),0,1),0))</f>
        <v>-4.4999999999999997E-3</v>
      </c>
      <c r="AE22" s="159">
        <f>IF(E22="","",IF(Summary!$D$26="Included Margin",IF(AND($B22&gt;Input!$C$9,Summary!$D$31&lt;&gt;"Included Margin"),1,1/$R22),1))</f>
        <v>1.0050251256281406</v>
      </c>
      <c r="AF22" s="160">
        <f>IF(E22="","",IF(AND($B22&gt;=Input!$C$9,$C22=12,Summary!$D$31="Included Margin",$U22&gt;0),1/U22-1,IF($B22&gt;=Input!$C$9,0,Input!$C$45*IF(Summary!$D$27="Included Margin",1,0))))</f>
        <v>-0.1</v>
      </c>
      <c r="AG22" s="160">
        <f>IF(E22="","",Input!$C$46*IF(Summary!$D$28="Included Margin",IF(AND($B22&gt;Input!$C$9,Summary!$D$31&lt;&gt;"Included Margin"),0,1),0))</f>
        <v>0.02</v>
      </c>
      <c r="AH22" s="158">
        <f>IF(E22="","",Input!$C$47*IF(Summary!$D$29="Included Margin",IF(AND($B22&gt;Input!$C$9,Summary!$D$31&lt;&gt;"Included Margin"),0,1),0))</f>
        <v>2.5000000000000001E-3</v>
      </c>
      <c r="AI22" s="154"/>
      <c r="AJ22" s="158">
        <f t="shared" si="25"/>
        <v>3.9490000000000004E-2</v>
      </c>
      <c r="AK22" s="155">
        <f t="shared" si="26"/>
        <v>3.2327313971030058E-3</v>
      </c>
      <c r="AL22" s="147">
        <f t="shared" si="27"/>
        <v>4.0768E-4</v>
      </c>
      <c r="AM22" s="147">
        <f t="shared" si="3"/>
        <v>3.397968301788179E-5</v>
      </c>
      <c r="AN22" s="160">
        <f t="shared" si="28"/>
        <v>0</v>
      </c>
      <c r="AO22" s="161">
        <f t="shared" si="29"/>
        <v>0</v>
      </c>
      <c r="AP22" s="156">
        <f t="shared" si="4"/>
        <v>1.0225</v>
      </c>
      <c r="AQ22" s="152"/>
      <c r="AR22" s="162">
        <f t="shared" si="5"/>
        <v>-27.446944293821211</v>
      </c>
      <c r="AS22" s="150">
        <f t="shared" si="30"/>
        <v>0</v>
      </c>
      <c r="AT22" s="163">
        <f t="shared" si="6"/>
        <v>0</v>
      </c>
      <c r="AU22" s="163">
        <f t="shared" si="7"/>
        <v>3.397968301788179</v>
      </c>
      <c r="AV22" s="163">
        <f t="shared" si="31"/>
        <v>-9.4220957980948733E-2</v>
      </c>
      <c r="AW22" s="163">
        <f t="shared" si="8"/>
        <v>-1.0513373739363091E-3</v>
      </c>
      <c r="AX22" s="163">
        <f t="shared" si="9"/>
        <v>0</v>
      </c>
      <c r="AY22" s="164">
        <f t="shared" si="32"/>
        <v>-30.940184890964275</v>
      </c>
      <c r="AZ22" s="164">
        <f>IF($E22="","",IF(OR(AND($D22=Input!$C$6,$C22=12),$AN22=1),0,-AS23+AT23+AU23-AV23-AW23-AX23+AZ23))</f>
        <v>-30.940176027629313</v>
      </c>
      <c r="BA22" s="154">
        <f t="shared" si="10"/>
        <v>8.8633349619726687E-6</v>
      </c>
      <c r="BC22" s="147">
        <f t="shared" si="33"/>
        <v>0.89957018145290846</v>
      </c>
      <c r="BD22" s="164">
        <f>IF(AND($C21=12,$D21=Input!$C$6),0,IF($E22="","",AT22+(AU22+BD23)/(1+$AK22)*MIN((1-AM22-AN22),1)))</f>
        <v>2126.7777488818897</v>
      </c>
      <c r="BE22" s="164">
        <f t="shared" si="11"/>
        <v>1913.1858454716896</v>
      </c>
      <c r="BF22" s="164">
        <f t="shared" si="34"/>
        <v>-30.940176027629313</v>
      </c>
      <c r="BG22" s="164">
        <f t="shared" si="12"/>
        <v>-27.83285976335943</v>
      </c>
      <c r="BH22" s="152"/>
      <c r="BI22" s="162">
        <f t="shared" si="13"/>
        <v>-240.80565937858202</v>
      </c>
      <c r="BJ22" s="150">
        <f t="shared" si="14"/>
        <v>0</v>
      </c>
      <c r="BK22" s="163">
        <f t="shared" si="38"/>
        <v>0</v>
      </c>
      <c r="BL22" s="163">
        <f t="shared" si="15"/>
        <v>3.2509145348469382</v>
      </c>
      <c r="BM22" s="163">
        <f t="shared" si="39"/>
        <v>-0.87128175427482646</v>
      </c>
      <c r="BN22" s="163">
        <f t="shared" si="16"/>
        <v>-7.9626537782065861E-3</v>
      </c>
      <c r="BO22" s="163">
        <f t="shared" si="17"/>
        <v>0</v>
      </c>
      <c r="BP22" s="164">
        <f t="shared" si="40"/>
        <v>-244.935818321482</v>
      </c>
      <c r="BQ22" s="164">
        <f>IF($E22="","",IF(AND($D22=Input!$C$6,$C22=12),0,-BJ23+BK23+BL23-BM23-BN23-BO23+BQ23))</f>
        <v>-244.93580784280718</v>
      </c>
      <c r="BR22" s="161">
        <f t="shared" si="18"/>
        <v>0</v>
      </c>
      <c r="BT22" s="147">
        <f t="shared" si="19"/>
        <v>0.89957018145290846</v>
      </c>
      <c r="BU22" s="164">
        <f>IF(AND($C21=12,$D21=Input!$C$6),0,IF($E22="","",BK22+(BL22+BU23)/(1+$AK22)*MIN((1-T22-U22),1)))</f>
        <v>3021.0913347344431</v>
      </c>
      <c r="BV22" s="164">
        <f t="shared" si="20"/>
        <v>2717.6836801728723</v>
      </c>
      <c r="BW22" s="164">
        <f t="shared" si="21"/>
        <v>-244.93580784280718</v>
      </c>
      <c r="BX22" s="164">
        <f t="shared" si="22"/>
        <v>-220.33694910546876</v>
      </c>
    </row>
    <row r="23" spans="1:76" s="150" customFormat="1" x14ac:dyDescent="0.25">
      <c r="A23" s="150">
        <f t="shared" si="35"/>
        <v>19</v>
      </c>
      <c r="B23" s="150">
        <f t="shared" si="36"/>
        <v>2</v>
      </c>
      <c r="C23" s="150">
        <f t="shared" si="37"/>
        <v>7</v>
      </c>
      <c r="D23" s="150">
        <f>IF(E23="","",Input!$C$4+B23-1)</f>
        <v>46</v>
      </c>
      <c r="E23" s="150">
        <f>IF(OR(AND(C22=12,D22=Input!$C$6),E22=""),"",1)</f>
        <v>1</v>
      </c>
      <c r="F23" s="150">
        <f>IF(E23="","",Input!$C$8+B23-1)</f>
        <v>2019</v>
      </c>
      <c r="G23" s="151">
        <f>IF(E23="","",MAX(0,Input!$C$9-B23))</f>
        <v>18</v>
      </c>
      <c r="H23" s="152">
        <f>IF(E23="","",Input!$C$3)</f>
        <v>100000</v>
      </c>
      <c r="I23" s="153">
        <f>IF(E23="","",HLOOKUP($B23,Input!$C$13:$BT$14,2))</f>
        <v>2.2999999999999998</v>
      </c>
      <c r="J23" s="154"/>
      <c r="K23" s="155">
        <f>IF($E23="","",INDEX(Input!$C$16:$CP$16,1,$B23))</f>
        <v>2.8989999999999998E-2</v>
      </c>
      <c r="L23" s="155">
        <f>IF($E23="","",Input!$C$37)</f>
        <v>1.4999999999999999E-2</v>
      </c>
      <c r="M23" s="155">
        <f t="shared" si="23"/>
        <v>4.3990000000000001E-2</v>
      </c>
      <c r="N23" s="155">
        <f t="shared" si="24"/>
        <v>3.5939353261613682E-3</v>
      </c>
      <c r="O23" s="147">
        <f>IF($E23="","",MIN(VLOOKUP(IF($B23&lt;=Input!$C$7,$B23,26),'Mortality Tables'!$A$41:$CW$67,IF($B23&lt;=Input!$C$7+1,Input!$C$4+2,$D23-Input!$C$7+2),0)*IF(B23&gt;20,Input!$C$22,1)/1000,1))</f>
        <v>3.9200000000000004E-4</v>
      </c>
      <c r="P23" s="147">
        <f>IF($E23="","",MIN(VLOOKUP(IF($B23&lt;=Input!$C$7,$B23,26),'Mortality Tables'!$A$12:$CW$37,IF($B23&lt;=Input!$C$7+1,Input!$C$4+2,$D23-Input!$C$7+2),0)*IF(B23&gt;20,Input!$C$22,1)/1000,1))</f>
        <v>4.8999999999999998E-4</v>
      </c>
      <c r="Q23" s="155">
        <f>IF($E23="","",Input!$C$21)</f>
        <v>5.0000000000000001E-3</v>
      </c>
      <c r="R23" s="159">
        <f>IF($E23="","",(1-Q23)^($F23-Input!$C$20))</f>
        <v>0.995</v>
      </c>
      <c r="S23" s="147">
        <f t="shared" si="0"/>
        <v>3.9004000000000003E-4</v>
      </c>
      <c r="T23" s="147">
        <f t="shared" si="1"/>
        <v>3.2509145348469382E-5</v>
      </c>
      <c r="U23" s="160">
        <f>IF($E23="","",IF($C23=12,INDEX(Input!$C$15:$CP$15,1,$B23),0))</f>
        <v>0</v>
      </c>
      <c r="V23" s="150">
        <f>IF(E23="","",IF(C23=1,IF($B23=1,Input!$C$33,Input!$C$34),0))</f>
        <v>0</v>
      </c>
      <c r="W23" s="156">
        <f>IF($E23="","",Input!$C$35)</f>
        <v>0.02</v>
      </c>
      <c r="X23" s="156">
        <f t="shared" si="2"/>
        <v>1.02</v>
      </c>
      <c r="Y23" s="154"/>
      <c r="Z23" s="147">
        <f>IF($E23="","",VLOOKUP($D23,'Mortality Margins &amp; Grading'!$AB$5:$AF$125,3,0)*IF(Summary!$D$25="Included Margin",IF(AND($B23&gt;Input!$C$9,Summary!$D$31&lt;&gt;"Included Margin"),0,1),0))</f>
        <v>0.04</v>
      </c>
      <c r="AA23" s="147">
        <f>IF($E23="","",VLOOKUP($D23,'Mortality Margins &amp; Grading'!$AB$5:$AF$125,5,0)*IF(Summary!$D$25="Included Margin",IF(AND($B23&gt;Input!$C$9,Summary!$D$31&lt;&gt;"Included Margin"),0,1),0))</f>
        <v>0.20200000000000001</v>
      </c>
      <c r="AB23" s="147">
        <f>IF($E23="","",IF(AND($B23&gt;Input!$C$9,Summary!$D$31&lt;&gt;"Included Margin"),1,IF(Summary!$D$25="Included Margin",VLOOKUP($B23,'Mortality Margins &amp; Grading'!$AI$5:$AR$125,MATCH('Mortality Margins &amp; Grading'!$AQ$4,'Mortality Margins &amp; Grading'!$AI$4:$AR$4,0),0),1)))</f>
        <v>1</v>
      </c>
      <c r="AC23" s="154"/>
      <c r="AD23" s="158">
        <f>IF(E23="","",Input!$C$48*IF(Summary!$D$30="Included Margin",IF(AND($B23&gt;Input!$C$9,Summary!$D$31&lt;&gt;"Included Margin"),0,1),0))</f>
        <v>-4.4999999999999997E-3</v>
      </c>
      <c r="AE23" s="159">
        <f>IF(E23="","",IF(Summary!$D$26="Included Margin",IF(AND($B23&gt;Input!$C$9,Summary!$D$31&lt;&gt;"Included Margin"),1,1/$R23),1))</f>
        <v>1.0050251256281406</v>
      </c>
      <c r="AF23" s="160">
        <f>IF(E23="","",IF(AND($B23&gt;=Input!$C$9,$C23=12,Summary!$D$31="Included Margin",$U23&gt;0),1/U23-1,IF($B23&gt;=Input!$C$9,0,Input!$C$45*IF(Summary!$D$27="Included Margin",1,0))))</f>
        <v>-0.1</v>
      </c>
      <c r="AG23" s="160">
        <f>IF(E23="","",Input!$C$46*IF(Summary!$D$28="Included Margin",IF(AND($B23&gt;Input!$C$9,Summary!$D$31&lt;&gt;"Included Margin"),0,1),0))</f>
        <v>0.02</v>
      </c>
      <c r="AH23" s="158">
        <f>IF(E23="","",Input!$C$47*IF(Summary!$D$29="Included Margin",IF(AND($B23&gt;Input!$C$9,Summary!$D$31&lt;&gt;"Included Margin"),0,1),0))</f>
        <v>2.5000000000000001E-3</v>
      </c>
      <c r="AI23" s="154"/>
      <c r="AJ23" s="158">
        <f t="shared" si="25"/>
        <v>3.9490000000000004E-2</v>
      </c>
      <c r="AK23" s="155">
        <f t="shared" si="26"/>
        <v>3.2327313971030058E-3</v>
      </c>
      <c r="AL23" s="147">
        <f t="shared" si="27"/>
        <v>4.0768E-4</v>
      </c>
      <c r="AM23" s="147">
        <f t="shared" si="3"/>
        <v>3.397968301788179E-5</v>
      </c>
      <c r="AN23" s="160">
        <f t="shared" si="28"/>
        <v>0</v>
      </c>
      <c r="AO23" s="161">
        <f t="shared" si="29"/>
        <v>0</v>
      </c>
      <c r="AP23" s="156">
        <f t="shared" si="4"/>
        <v>1.0225</v>
      </c>
      <c r="AQ23" s="152"/>
      <c r="AR23" s="162">
        <f t="shared" si="5"/>
        <v>-30.940184890964275</v>
      </c>
      <c r="AS23" s="150">
        <f t="shared" si="30"/>
        <v>0</v>
      </c>
      <c r="AT23" s="163">
        <f t="shared" si="6"/>
        <v>0</v>
      </c>
      <c r="AU23" s="163">
        <f t="shared" si="7"/>
        <v>3.397968301788179</v>
      </c>
      <c r="AV23" s="163">
        <f t="shared" si="31"/>
        <v>-0.10551366653696798</v>
      </c>
      <c r="AW23" s="163">
        <f t="shared" si="8"/>
        <v>-1.1704243513273166E-3</v>
      </c>
      <c r="AX23" s="163">
        <f t="shared" si="9"/>
        <v>0</v>
      </c>
      <c r="AY23" s="164">
        <f t="shared" si="32"/>
        <v>-34.444837283640751</v>
      </c>
      <c r="AZ23" s="164">
        <f>IF($E23="","",IF(OR(AND($D23=Input!$C$6,$C23=12),$AN23=1),0,-AS24+AT24+AU24-AV24-AW24-AX24+AZ24))</f>
        <v>-34.44482842030579</v>
      </c>
      <c r="BA23" s="154">
        <f t="shared" si="10"/>
        <v>8.8633349619726687E-6</v>
      </c>
      <c r="BC23" s="147">
        <f t="shared" si="33"/>
        <v>0.89954093719512851</v>
      </c>
      <c r="BD23" s="164">
        <f>IF(AND($C22=12,$D22=Input!$C$6),0,IF($E23="","",AT23+(AU23+BD24)/(1+$AK23)*MIN((1-AM23-AN23),1)))</f>
        <v>2130.3275851015237</v>
      </c>
      <c r="BE23" s="164">
        <f t="shared" si="11"/>
        <v>1916.3168724348595</v>
      </c>
      <c r="BF23" s="164">
        <f t="shared" si="34"/>
        <v>-34.44482842030579</v>
      </c>
      <c r="BG23" s="164">
        <f t="shared" si="12"/>
        <v>-30.984533238727266</v>
      </c>
      <c r="BH23" s="152"/>
      <c r="BI23" s="162">
        <f t="shared" si="13"/>
        <v>-244.935818321482</v>
      </c>
      <c r="BJ23" s="150">
        <f t="shared" si="14"/>
        <v>0</v>
      </c>
      <c r="BK23" s="163">
        <f t="shared" si="38"/>
        <v>0</v>
      </c>
      <c r="BL23" s="163">
        <f t="shared" si="15"/>
        <v>3.2509145348469382</v>
      </c>
      <c r="BM23" s="163">
        <f t="shared" si="39"/>
        <v>-0.88612527840237598</v>
      </c>
      <c r="BN23" s="163">
        <f t="shared" si="16"/>
        <v>-8.0974086466425524E-3</v>
      </c>
      <c r="BO23" s="163">
        <f t="shared" si="17"/>
        <v>0</v>
      </c>
      <c r="BP23" s="164">
        <f t="shared" si="40"/>
        <v>-249.08095554337797</v>
      </c>
      <c r="BQ23" s="164">
        <f>IF($E23="","",IF(AND($D23=Input!$C$6,$C23=12),0,-BJ24+BK24+BL24-BM24-BN24-BO24+BQ24))</f>
        <v>-249.08094506470314</v>
      </c>
      <c r="BR23" s="161">
        <f t="shared" si="18"/>
        <v>0</v>
      </c>
      <c r="BT23" s="147">
        <f t="shared" si="19"/>
        <v>0.89954093719512851</v>
      </c>
      <c r="BU23" s="164">
        <f>IF(AND($C22=12,$D22=Input!$C$6),0,IF($E23="","",BK23+(BL23+BU24)/(1+$AK23)*MIN((1-T23-U23),1)))</f>
        <v>3027.7053308080331</v>
      </c>
      <c r="BV23" s="164">
        <f t="shared" si="20"/>
        <v>2723.5448908257445</v>
      </c>
      <c r="BW23" s="164">
        <f t="shared" si="21"/>
        <v>-249.08094506470314</v>
      </c>
      <c r="BX23" s="164">
        <f t="shared" si="22"/>
        <v>-224.05850676095139</v>
      </c>
    </row>
    <row r="24" spans="1:76" s="150" customFormat="1" x14ac:dyDescent="0.25">
      <c r="A24" s="150">
        <f t="shared" si="35"/>
        <v>20</v>
      </c>
      <c r="B24" s="150">
        <f t="shared" si="36"/>
        <v>2</v>
      </c>
      <c r="C24" s="150">
        <f t="shared" si="37"/>
        <v>8</v>
      </c>
      <c r="D24" s="150">
        <f>IF(E24="","",Input!$C$4+B24-1)</f>
        <v>46</v>
      </c>
      <c r="E24" s="150">
        <f>IF(OR(AND(C23=12,D23=Input!$C$6),E23=""),"",1)</f>
        <v>1</v>
      </c>
      <c r="F24" s="150">
        <f>IF(E24="","",Input!$C$8+B24-1)</f>
        <v>2019</v>
      </c>
      <c r="G24" s="151">
        <f>IF(E24="","",MAX(0,Input!$C$9-B24))</f>
        <v>18</v>
      </c>
      <c r="H24" s="152">
        <f>IF(E24="","",Input!$C$3)</f>
        <v>100000</v>
      </c>
      <c r="I24" s="153">
        <f>IF(E24="","",HLOOKUP($B24,Input!$C$13:$BT$14,2))</f>
        <v>2.2999999999999998</v>
      </c>
      <c r="J24" s="154"/>
      <c r="K24" s="155">
        <f>IF($E24="","",INDEX(Input!$C$16:$CP$16,1,$B24))</f>
        <v>2.8989999999999998E-2</v>
      </c>
      <c r="L24" s="155">
        <f>IF($E24="","",Input!$C$37)</f>
        <v>1.4999999999999999E-2</v>
      </c>
      <c r="M24" s="155">
        <f t="shared" si="23"/>
        <v>4.3990000000000001E-2</v>
      </c>
      <c r="N24" s="155">
        <f t="shared" si="24"/>
        <v>3.5939353261613682E-3</v>
      </c>
      <c r="O24" s="147">
        <f>IF($E24="","",MIN(VLOOKUP(IF($B24&lt;=Input!$C$7,$B24,26),'Mortality Tables'!$A$41:$CW$67,IF($B24&lt;=Input!$C$7+1,Input!$C$4+2,$D24-Input!$C$7+2),0)*IF(B24&gt;20,Input!$C$22,1)/1000,1))</f>
        <v>3.9200000000000004E-4</v>
      </c>
      <c r="P24" s="147">
        <f>IF($E24="","",MIN(VLOOKUP(IF($B24&lt;=Input!$C$7,$B24,26),'Mortality Tables'!$A$12:$CW$37,IF($B24&lt;=Input!$C$7+1,Input!$C$4+2,$D24-Input!$C$7+2),0)*IF(B24&gt;20,Input!$C$22,1)/1000,1))</f>
        <v>4.8999999999999998E-4</v>
      </c>
      <c r="Q24" s="155">
        <f>IF($E24="","",Input!$C$21)</f>
        <v>5.0000000000000001E-3</v>
      </c>
      <c r="R24" s="159">
        <f>IF($E24="","",(1-Q24)^($F24-Input!$C$20))</f>
        <v>0.995</v>
      </c>
      <c r="S24" s="147">
        <f t="shared" si="0"/>
        <v>3.9004000000000003E-4</v>
      </c>
      <c r="T24" s="147">
        <f t="shared" si="1"/>
        <v>3.2509145348469382E-5</v>
      </c>
      <c r="U24" s="160">
        <f>IF($E24="","",IF($C24=12,INDEX(Input!$C$15:$CP$15,1,$B24),0))</f>
        <v>0</v>
      </c>
      <c r="V24" s="150">
        <f>IF(E24="","",IF(C24=1,IF($B24=1,Input!$C$33,Input!$C$34),0))</f>
        <v>0</v>
      </c>
      <c r="W24" s="156">
        <f>IF($E24="","",Input!$C$35)</f>
        <v>0.02</v>
      </c>
      <c r="X24" s="156">
        <f t="shared" si="2"/>
        <v>1.02</v>
      </c>
      <c r="Y24" s="154"/>
      <c r="Z24" s="147">
        <f>IF($E24="","",VLOOKUP($D24,'Mortality Margins &amp; Grading'!$AB$5:$AF$125,3,0)*IF(Summary!$D$25="Included Margin",IF(AND($B24&gt;Input!$C$9,Summary!$D$31&lt;&gt;"Included Margin"),0,1),0))</f>
        <v>0.04</v>
      </c>
      <c r="AA24" s="147">
        <f>IF($E24="","",VLOOKUP($D24,'Mortality Margins &amp; Grading'!$AB$5:$AF$125,5,0)*IF(Summary!$D$25="Included Margin",IF(AND($B24&gt;Input!$C$9,Summary!$D$31&lt;&gt;"Included Margin"),0,1),0))</f>
        <v>0.20200000000000001</v>
      </c>
      <c r="AB24" s="147">
        <f>IF($E24="","",IF(AND($B24&gt;Input!$C$9,Summary!$D$31&lt;&gt;"Included Margin"),1,IF(Summary!$D$25="Included Margin",VLOOKUP($B24,'Mortality Margins &amp; Grading'!$AI$5:$AR$125,MATCH('Mortality Margins &amp; Grading'!$AQ$4,'Mortality Margins &amp; Grading'!$AI$4:$AR$4,0),0),1)))</f>
        <v>1</v>
      </c>
      <c r="AC24" s="154"/>
      <c r="AD24" s="158">
        <f>IF(E24="","",Input!$C$48*IF(Summary!$D$30="Included Margin",IF(AND($B24&gt;Input!$C$9,Summary!$D$31&lt;&gt;"Included Margin"),0,1),0))</f>
        <v>-4.4999999999999997E-3</v>
      </c>
      <c r="AE24" s="159">
        <f>IF(E24="","",IF(Summary!$D$26="Included Margin",IF(AND($B24&gt;Input!$C$9,Summary!$D$31&lt;&gt;"Included Margin"),1,1/$R24),1))</f>
        <v>1.0050251256281406</v>
      </c>
      <c r="AF24" s="160">
        <f>IF(E24="","",IF(AND($B24&gt;=Input!$C$9,$C24=12,Summary!$D$31="Included Margin",$U24&gt;0),1/U24-1,IF($B24&gt;=Input!$C$9,0,Input!$C$45*IF(Summary!$D$27="Included Margin",1,0))))</f>
        <v>-0.1</v>
      </c>
      <c r="AG24" s="160">
        <f>IF(E24="","",Input!$C$46*IF(Summary!$D$28="Included Margin",IF(AND($B24&gt;Input!$C$9,Summary!$D$31&lt;&gt;"Included Margin"),0,1),0))</f>
        <v>0.02</v>
      </c>
      <c r="AH24" s="158">
        <f>IF(E24="","",Input!$C$47*IF(Summary!$D$29="Included Margin",IF(AND($B24&gt;Input!$C$9,Summary!$D$31&lt;&gt;"Included Margin"),0,1),0))</f>
        <v>2.5000000000000001E-3</v>
      </c>
      <c r="AI24" s="154"/>
      <c r="AJ24" s="158">
        <f t="shared" si="25"/>
        <v>3.9490000000000004E-2</v>
      </c>
      <c r="AK24" s="155">
        <f t="shared" si="26"/>
        <v>3.2327313971030058E-3</v>
      </c>
      <c r="AL24" s="147">
        <f t="shared" si="27"/>
        <v>4.0768E-4</v>
      </c>
      <c r="AM24" s="147">
        <f t="shared" si="3"/>
        <v>3.397968301788179E-5</v>
      </c>
      <c r="AN24" s="160">
        <f t="shared" si="28"/>
        <v>0</v>
      </c>
      <c r="AO24" s="161">
        <f t="shared" si="29"/>
        <v>0</v>
      </c>
      <c r="AP24" s="156">
        <f t="shared" si="4"/>
        <v>1.0225</v>
      </c>
      <c r="AQ24" s="152"/>
      <c r="AR24" s="162">
        <f t="shared" si="5"/>
        <v>-34.444837283640751</v>
      </c>
      <c r="AS24" s="150">
        <f t="shared" si="30"/>
        <v>0</v>
      </c>
      <c r="AT24" s="163">
        <f t="shared" si="6"/>
        <v>0</v>
      </c>
      <c r="AU24" s="163">
        <f t="shared" si="7"/>
        <v>3.397968301788179</v>
      </c>
      <c r="AV24" s="163">
        <f t="shared" si="31"/>
        <v>-0.11684326636270539</v>
      </c>
      <c r="AW24" s="163">
        <f t="shared" si="8"/>
        <v>-1.2899003646861845E-3</v>
      </c>
      <c r="AX24" s="163">
        <f t="shared" si="9"/>
        <v>0</v>
      </c>
      <c r="AY24" s="164">
        <f t="shared" si="32"/>
        <v>-37.960938752156331</v>
      </c>
      <c r="AZ24" s="164">
        <f>IF($E24="","",IF(OR(AND($D24=Input!$C$6,$C24=12),$AN24=1),0,-AS25+AT25+AU25-AV25-AW25-AX25+AZ25))</f>
        <v>-37.960929888821362</v>
      </c>
      <c r="BA24" s="154">
        <f t="shared" si="10"/>
        <v>8.863334969078096E-6</v>
      </c>
      <c r="BC24" s="147">
        <f t="shared" si="33"/>
        <v>0.8995116938880543</v>
      </c>
      <c r="BD24" s="164">
        <f>IF(AND($C23=12,$D23=Input!$C$6),0,IF($E24="","",AT24+(AU24+BD25)/(1+$AK24)*MIN((1-AM24-AN24),1)))</f>
        <v>2133.8890180045205</v>
      </c>
      <c r="BE24" s="164">
        <f t="shared" si="11"/>
        <v>1919.458125154363</v>
      </c>
      <c r="BF24" s="164">
        <f t="shared" si="34"/>
        <v>-37.960929888821362</v>
      </c>
      <c r="BG24" s="164">
        <f t="shared" si="12"/>
        <v>-34.146300345859373</v>
      </c>
      <c r="BH24" s="152"/>
      <c r="BI24" s="162">
        <f t="shared" si="13"/>
        <v>-249.080955543378</v>
      </c>
      <c r="BJ24" s="150">
        <f t="shared" si="14"/>
        <v>0</v>
      </c>
      <c r="BK24" s="163">
        <f t="shared" si="38"/>
        <v>0</v>
      </c>
      <c r="BL24" s="163">
        <f t="shared" si="15"/>
        <v>3.2509145348469382</v>
      </c>
      <c r="BM24" s="163">
        <f t="shared" si="39"/>
        <v>-0.90102263349593437</v>
      </c>
      <c r="BN24" s="163">
        <f t="shared" si="16"/>
        <v>-8.2326522120132872E-3</v>
      </c>
      <c r="BO24" s="163">
        <f t="shared" si="17"/>
        <v>0</v>
      </c>
      <c r="BP24" s="164">
        <f t="shared" si="40"/>
        <v>-253.24112536393287</v>
      </c>
      <c r="BQ24" s="164">
        <f>IF($E24="","",IF(AND($D24=Input!$C$6,$C24=12),0,-BJ25+BK25+BL25-BM25-BN25-BO25+BQ25))</f>
        <v>-253.24111488525804</v>
      </c>
      <c r="BR24" s="161">
        <f t="shared" si="18"/>
        <v>0</v>
      </c>
      <c r="BT24" s="147">
        <f t="shared" si="19"/>
        <v>0.8995116938880543</v>
      </c>
      <c r="BU24" s="164">
        <f>IF(AND($C23=12,$D23=Input!$C$6),0,IF($E24="","",BK24+(BL24+BU25)/(1+$AK24)*MIN((1-T24-U24),1)))</f>
        <v>3034.34092387185</v>
      </c>
      <c r="BV24" s="164">
        <f t="shared" si="20"/>
        <v>2729.4251442658115</v>
      </c>
      <c r="BW24" s="164">
        <f t="shared" si="21"/>
        <v>-253.24111488525804</v>
      </c>
      <c r="BX24" s="164">
        <f t="shared" si="22"/>
        <v>-227.79334421253782</v>
      </c>
    </row>
    <row r="25" spans="1:76" s="150" customFormat="1" x14ac:dyDescent="0.25">
      <c r="A25" s="150">
        <f t="shared" si="35"/>
        <v>21</v>
      </c>
      <c r="B25" s="150">
        <f t="shared" si="36"/>
        <v>2</v>
      </c>
      <c r="C25" s="150">
        <f t="shared" si="37"/>
        <v>9</v>
      </c>
      <c r="D25" s="150">
        <f>IF(E25="","",Input!$C$4+B25-1)</f>
        <v>46</v>
      </c>
      <c r="E25" s="150">
        <f>IF(OR(AND(C24=12,D24=Input!$C$6),E24=""),"",1)</f>
        <v>1</v>
      </c>
      <c r="F25" s="150">
        <f>IF(E25="","",Input!$C$8+B25-1)</f>
        <v>2019</v>
      </c>
      <c r="G25" s="151">
        <f>IF(E25="","",MAX(0,Input!$C$9-B25))</f>
        <v>18</v>
      </c>
      <c r="H25" s="152">
        <f>IF(E25="","",Input!$C$3)</f>
        <v>100000</v>
      </c>
      <c r="I25" s="153">
        <f>IF(E25="","",HLOOKUP($B25,Input!$C$13:$BT$14,2))</f>
        <v>2.2999999999999998</v>
      </c>
      <c r="J25" s="154"/>
      <c r="K25" s="155">
        <f>IF($E25="","",INDEX(Input!$C$16:$CP$16,1,$B25))</f>
        <v>2.8989999999999998E-2</v>
      </c>
      <c r="L25" s="155">
        <f>IF($E25="","",Input!$C$37)</f>
        <v>1.4999999999999999E-2</v>
      </c>
      <c r="M25" s="155">
        <f t="shared" si="23"/>
        <v>4.3990000000000001E-2</v>
      </c>
      <c r="N25" s="155">
        <f t="shared" si="24"/>
        <v>3.5939353261613682E-3</v>
      </c>
      <c r="O25" s="147">
        <f>IF($E25="","",MIN(VLOOKUP(IF($B25&lt;=Input!$C$7,$B25,26),'Mortality Tables'!$A$41:$CW$67,IF($B25&lt;=Input!$C$7+1,Input!$C$4+2,$D25-Input!$C$7+2),0)*IF(B25&gt;20,Input!$C$22,1)/1000,1))</f>
        <v>3.9200000000000004E-4</v>
      </c>
      <c r="P25" s="147">
        <f>IF($E25="","",MIN(VLOOKUP(IF($B25&lt;=Input!$C$7,$B25,26),'Mortality Tables'!$A$12:$CW$37,IF($B25&lt;=Input!$C$7+1,Input!$C$4+2,$D25-Input!$C$7+2),0)*IF(B25&gt;20,Input!$C$22,1)/1000,1))</f>
        <v>4.8999999999999998E-4</v>
      </c>
      <c r="Q25" s="155">
        <f>IF($E25="","",Input!$C$21)</f>
        <v>5.0000000000000001E-3</v>
      </c>
      <c r="R25" s="159">
        <f>IF($E25="","",(1-Q25)^($F25-Input!$C$20))</f>
        <v>0.995</v>
      </c>
      <c r="S25" s="147">
        <f t="shared" si="0"/>
        <v>3.9004000000000003E-4</v>
      </c>
      <c r="T25" s="147">
        <f t="shared" si="1"/>
        <v>3.2509145348469382E-5</v>
      </c>
      <c r="U25" s="160">
        <f>IF($E25="","",IF($C25=12,INDEX(Input!$C$15:$CP$15,1,$B25),0))</f>
        <v>0</v>
      </c>
      <c r="V25" s="150">
        <f>IF(E25="","",IF(C25=1,IF($B25=1,Input!$C$33,Input!$C$34),0))</f>
        <v>0</v>
      </c>
      <c r="W25" s="156">
        <f>IF($E25="","",Input!$C$35)</f>
        <v>0.02</v>
      </c>
      <c r="X25" s="156">
        <f t="shared" si="2"/>
        <v>1.02</v>
      </c>
      <c r="Y25" s="154"/>
      <c r="Z25" s="147">
        <f>IF($E25="","",VLOOKUP($D25,'Mortality Margins &amp; Grading'!$AB$5:$AF$125,3,0)*IF(Summary!$D$25="Included Margin",IF(AND($B25&gt;Input!$C$9,Summary!$D$31&lt;&gt;"Included Margin"),0,1),0))</f>
        <v>0.04</v>
      </c>
      <c r="AA25" s="147">
        <f>IF($E25="","",VLOOKUP($D25,'Mortality Margins &amp; Grading'!$AB$5:$AF$125,5,0)*IF(Summary!$D$25="Included Margin",IF(AND($B25&gt;Input!$C$9,Summary!$D$31&lt;&gt;"Included Margin"),0,1),0))</f>
        <v>0.20200000000000001</v>
      </c>
      <c r="AB25" s="147">
        <f>IF($E25="","",IF(AND($B25&gt;Input!$C$9,Summary!$D$31&lt;&gt;"Included Margin"),1,IF(Summary!$D$25="Included Margin",VLOOKUP($B25,'Mortality Margins &amp; Grading'!$AI$5:$AR$125,MATCH('Mortality Margins &amp; Grading'!$AQ$4,'Mortality Margins &amp; Grading'!$AI$4:$AR$4,0),0),1)))</f>
        <v>1</v>
      </c>
      <c r="AC25" s="154"/>
      <c r="AD25" s="158">
        <f>IF(E25="","",Input!$C$48*IF(Summary!$D$30="Included Margin",IF(AND($B25&gt;Input!$C$9,Summary!$D$31&lt;&gt;"Included Margin"),0,1),0))</f>
        <v>-4.4999999999999997E-3</v>
      </c>
      <c r="AE25" s="159">
        <f>IF(E25="","",IF(Summary!$D$26="Included Margin",IF(AND($B25&gt;Input!$C$9,Summary!$D$31&lt;&gt;"Included Margin"),1,1/$R25),1))</f>
        <v>1.0050251256281406</v>
      </c>
      <c r="AF25" s="160">
        <f>IF(E25="","",IF(AND($B25&gt;=Input!$C$9,$C25=12,Summary!$D$31="Included Margin",$U25&gt;0),1/U25-1,IF($B25&gt;=Input!$C$9,0,Input!$C$45*IF(Summary!$D$27="Included Margin",1,0))))</f>
        <v>-0.1</v>
      </c>
      <c r="AG25" s="160">
        <f>IF(E25="","",Input!$C$46*IF(Summary!$D$28="Included Margin",IF(AND($B25&gt;Input!$C$9,Summary!$D$31&lt;&gt;"Included Margin"),0,1),0))</f>
        <v>0.02</v>
      </c>
      <c r="AH25" s="158">
        <f>IF(E25="","",Input!$C$47*IF(Summary!$D$29="Included Margin",IF(AND($B25&gt;Input!$C$9,Summary!$D$31&lt;&gt;"Included Margin"),0,1),0))</f>
        <v>2.5000000000000001E-3</v>
      </c>
      <c r="AI25" s="154"/>
      <c r="AJ25" s="158">
        <f t="shared" si="25"/>
        <v>3.9490000000000004E-2</v>
      </c>
      <c r="AK25" s="155">
        <f t="shared" si="26"/>
        <v>3.2327313971030058E-3</v>
      </c>
      <c r="AL25" s="147">
        <f t="shared" si="27"/>
        <v>4.0768E-4</v>
      </c>
      <c r="AM25" s="147">
        <f t="shared" si="3"/>
        <v>3.397968301788179E-5</v>
      </c>
      <c r="AN25" s="160">
        <f t="shared" si="28"/>
        <v>0</v>
      </c>
      <c r="AO25" s="161">
        <f t="shared" si="29"/>
        <v>0</v>
      </c>
      <c r="AP25" s="156">
        <f t="shared" si="4"/>
        <v>1.0225</v>
      </c>
      <c r="AQ25" s="152"/>
      <c r="AR25" s="162">
        <f t="shared" si="5"/>
        <v>-37.960938752156324</v>
      </c>
      <c r="AS25" s="150">
        <f t="shared" si="30"/>
        <v>0</v>
      </c>
      <c r="AT25" s="163">
        <f t="shared" si="6"/>
        <v>0</v>
      </c>
      <c r="AU25" s="163">
        <f t="shared" si="7"/>
        <v>3.397968301788179</v>
      </c>
      <c r="AV25" s="163">
        <f t="shared" si="31"/>
        <v>-0.12820987797537567</v>
      </c>
      <c r="AW25" s="163">
        <f t="shared" si="8"/>
        <v>-1.4097666849242044E-3</v>
      </c>
      <c r="AX25" s="163">
        <f t="shared" si="9"/>
        <v>0</v>
      </c>
      <c r="AY25" s="164">
        <f t="shared" si="32"/>
        <v>-41.488526698604801</v>
      </c>
      <c r="AZ25" s="164">
        <f>IF($E25="","",IF(OR(AND($D25=Input!$C$6,$C25=12),$AN25=1),0,-AS26+AT26+AU26-AV26-AW26-AX26+AZ26))</f>
        <v>-41.488517835269839</v>
      </c>
      <c r="BA25" s="154">
        <f t="shared" si="10"/>
        <v>8.8633349619726687E-6</v>
      </c>
      <c r="BC25" s="147">
        <f t="shared" si="33"/>
        <v>0.89948245153165507</v>
      </c>
      <c r="BD25" s="164">
        <f>IF(AND($C24=12,$D24=Input!$C$6),0,IF($E25="","",AT25+(AU25+BD26)/(1+$AK25)*MIN((1-AM25-AN25),1)))</f>
        <v>2137.4620854751815</v>
      </c>
      <c r="BE25" s="164">
        <f t="shared" si="11"/>
        <v>1922.6096366991803</v>
      </c>
      <c r="BF25" s="164">
        <f t="shared" si="34"/>
        <v>-41.488517835269839</v>
      </c>
      <c r="BG25" s="164">
        <f t="shared" si="12"/>
        <v>-37.318193732883309</v>
      </c>
      <c r="BH25" s="152"/>
      <c r="BI25" s="162">
        <f t="shared" si="13"/>
        <v>-253.24112536393287</v>
      </c>
      <c r="BJ25" s="150">
        <f t="shared" si="14"/>
        <v>0</v>
      </c>
      <c r="BK25" s="163">
        <f t="shared" si="38"/>
        <v>0</v>
      </c>
      <c r="BL25" s="163">
        <f t="shared" si="15"/>
        <v>3.2509145348469382</v>
      </c>
      <c r="BM25" s="163">
        <f t="shared" si="39"/>
        <v>-0.91597401477685692</v>
      </c>
      <c r="BN25" s="163">
        <f t="shared" si="16"/>
        <v>-8.3683862466087024E-3</v>
      </c>
      <c r="BO25" s="163">
        <f t="shared" si="17"/>
        <v>0</v>
      </c>
      <c r="BP25" s="164">
        <f t="shared" si="40"/>
        <v>-257.41638229980327</v>
      </c>
      <c r="BQ25" s="164">
        <f>IF($E25="","",IF(AND($D25=Input!$C$6,$C25=12),0,-BJ26+BK26+BL26-BM26-BN26-BO26+BQ26))</f>
        <v>-257.41637182112845</v>
      </c>
      <c r="BR25" s="161">
        <f t="shared" si="18"/>
        <v>0</v>
      </c>
      <c r="BT25" s="147">
        <f t="shared" si="19"/>
        <v>0.89948245153165507</v>
      </c>
      <c r="BU25" s="164">
        <f>IF(AND($C24=12,$D24=Input!$C$6),0,IF($E25="","",BK25+(BL25+BU26)/(1+$AK25)*MIN((1-T25-U25),1)))</f>
        <v>3040.9981844475542</v>
      </c>
      <c r="BV25" s="164">
        <f t="shared" si="20"/>
        <v>2735.3245020501981</v>
      </c>
      <c r="BW25" s="164">
        <f t="shared" si="21"/>
        <v>-257.41637182112845</v>
      </c>
      <c r="BX25" s="164">
        <f t="shared" si="22"/>
        <v>-231.54150919005266</v>
      </c>
    </row>
    <row r="26" spans="1:76" s="150" customFormat="1" x14ac:dyDescent="0.25">
      <c r="A26" s="150">
        <f t="shared" si="35"/>
        <v>22</v>
      </c>
      <c r="B26" s="150">
        <f t="shared" si="36"/>
        <v>2</v>
      </c>
      <c r="C26" s="150">
        <f t="shared" si="37"/>
        <v>10</v>
      </c>
      <c r="D26" s="150">
        <f>IF(E26="","",Input!$C$4+B26-1)</f>
        <v>46</v>
      </c>
      <c r="E26" s="150">
        <f>IF(OR(AND(C25=12,D25=Input!$C$6),E25=""),"",1)</f>
        <v>1</v>
      </c>
      <c r="F26" s="150">
        <f>IF(E26="","",Input!$C$8+B26-1)</f>
        <v>2019</v>
      </c>
      <c r="G26" s="151">
        <f>IF(E26="","",MAX(0,Input!$C$9-B26))</f>
        <v>18</v>
      </c>
      <c r="H26" s="152">
        <f>IF(E26="","",Input!$C$3)</f>
        <v>100000</v>
      </c>
      <c r="I26" s="153">
        <f>IF(E26="","",HLOOKUP($B26,Input!$C$13:$BT$14,2))</f>
        <v>2.2999999999999998</v>
      </c>
      <c r="J26" s="154"/>
      <c r="K26" s="155">
        <f>IF($E26="","",INDEX(Input!$C$16:$CP$16,1,$B26))</f>
        <v>2.8989999999999998E-2</v>
      </c>
      <c r="L26" s="155">
        <f>IF($E26="","",Input!$C$37)</f>
        <v>1.4999999999999999E-2</v>
      </c>
      <c r="M26" s="155">
        <f t="shared" si="23"/>
        <v>4.3990000000000001E-2</v>
      </c>
      <c r="N26" s="155">
        <f t="shared" si="24"/>
        <v>3.5939353261613682E-3</v>
      </c>
      <c r="O26" s="147">
        <f>IF($E26="","",MIN(VLOOKUP(IF($B26&lt;=Input!$C$7,$B26,26),'Mortality Tables'!$A$41:$CW$67,IF($B26&lt;=Input!$C$7+1,Input!$C$4+2,$D26-Input!$C$7+2),0)*IF(B26&gt;20,Input!$C$22,1)/1000,1))</f>
        <v>3.9200000000000004E-4</v>
      </c>
      <c r="P26" s="147">
        <f>IF($E26="","",MIN(VLOOKUP(IF($B26&lt;=Input!$C$7,$B26,26),'Mortality Tables'!$A$12:$CW$37,IF($B26&lt;=Input!$C$7+1,Input!$C$4+2,$D26-Input!$C$7+2),0)*IF(B26&gt;20,Input!$C$22,1)/1000,1))</f>
        <v>4.8999999999999998E-4</v>
      </c>
      <c r="Q26" s="155">
        <f>IF($E26="","",Input!$C$21)</f>
        <v>5.0000000000000001E-3</v>
      </c>
      <c r="R26" s="159">
        <f>IF($E26="","",(1-Q26)^($F26-Input!$C$20))</f>
        <v>0.995</v>
      </c>
      <c r="S26" s="147">
        <f t="shared" si="0"/>
        <v>3.9004000000000003E-4</v>
      </c>
      <c r="T26" s="147">
        <f t="shared" si="1"/>
        <v>3.2509145348469382E-5</v>
      </c>
      <c r="U26" s="160">
        <f>IF($E26="","",IF($C26=12,INDEX(Input!$C$15:$CP$15,1,$B26),0))</f>
        <v>0</v>
      </c>
      <c r="V26" s="150">
        <f>IF(E26="","",IF(C26=1,IF($B26=1,Input!$C$33,Input!$C$34),0))</f>
        <v>0</v>
      </c>
      <c r="W26" s="156">
        <f>IF($E26="","",Input!$C$35)</f>
        <v>0.02</v>
      </c>
      <c r="X26" s="156">
        <f t="shared" si="2"/>
        <v>1.02</v>
      </c>
      <c r="Y26" s="154"/>
      <c r="Z26" s="147">
        <f>IF($E26="","",VLOOKUP($D26,'Mortality Margins &amp; Grading'!$AB$5:$AF$125,3,0)*IF(Summary!$D$25="Included Margin",IF(AND($B26&gt;Input!$C$9,Summary!$D$31&lt;&gt;"Included Margin"),0,1),0))</f>
        <v>0.04</v>
      </c>
      <c r="AA26" s="147">
        <f>IF($E26="","",VLOOKUP($D26,'Mortality Margins &amp; Grading'!$AB$5:$AF$125,5,0)*IF(Summary!$D$25="Included Margin",IF(AND($B26&gt;Input!$C$9,Summary!$D$31&lt;&gt;"Included Margin"),0,1),0))</f>
        <v>0.20200000000000001</v>
      </c>
      <c r="AB26" s="147">
        <f>IF($E26="","",IF(AND($B26&gt;Input!$C$9,Summary!$D$31&lt;&gt;"Included Margin"),1,IF(Summary!$D$25="Included Margin",VLOOKUP($B26,'Mortality Margins &amp; Grading'!$AI$5:$AR$125,MATCH('Mortality Margins &amp; Grading'!$AQ$4,'Mortality Margins &amp; Grading'!$AI$4:$AR$4,0),0),1)))</f>
        <v>1</v>
      </c>
      <c r="AC26" s="154"/>
      <c r="AD26" s="158">
        <f>IF(E26="","",Input!$C$48*IF(Summary!$D$30="Included Margin",IF(AND($B26&gt;Input!$C$9,Summary!$D$31&lt;&gt;"Included Margin"),0,1),0))</f>
        <v>-4.4999999999999997E-3</v>
      </c>
      <c r="AE26" s="159">
        <f>IF(E26="","",IF(Summary!$D$26="Included Margin",IF(AND($B26&gt;Input!$C$9,Summary!$D$31&lt;&gt;"Included Margin"),1,1/$R26),1))</f>
        <v>1.0050251256281406</v>
      </c>
      <c r="AF26" s="160">
        <f>IF(E26="","",IF(AND($B26&gt;=Input!$C$9,$C26=12,Summary!$D$31="Included Margin",$U26&gt;0),1/U26-1,IF($B26&gt;=Input!$C$9,0,Input!$C$45*IF(Summary!$D$27="Included Margin",1,0))))</f>
        <v>-0.1</v>
      </c>
      <c r="AG26" s="160">
        <f>IF(E26="","",Input!$C$46*IF(Summary!$D$28="Included Margin",IF(AND($B26&gt;Input!$C$9,Summary!$D$31&lt;&gt;"Included Margin"),0,1),0))</f>
        <v>0.02</v>
      </c>
      <c r="AH26" s="158">
        <f>IF(E26="","",Input!$C$47*IF(Summary!$D$29="Included Margin",IF(AND($B26&gt;Input!$C$9,Summary!$D$31&lt;&gt;"Included Margin"),0,1),0))</f>
        <v>2.5000000000000001E-3</v>
      </c>
      <c r="AI26" s="154"/>
      <c r="AJ26" s="158">
        <f t="shared" si="25"/>
        <v>3.9490000000000004E-2</v>
      </c>
      <c r="AK26" s="155">
        <f t="shared" si="26"/>
        <v>3.2327313971030058E-3</v>
      </c>
      <c r="AL26" s="147">
        <f t="shared" si="27"/>
        <v>4.0768E-4</v>
      </c>
      <c r="AM26" s="147">
        <f t="shared" si="3"/>
        <v>3.397968301788179E-5</v>
      </c>
      <c r="AN26" s="160">
        <f t="shared" si="28"/>
        <v>0</v>
      </c>
      <c r="AO26" s="161">
        <f t="shared" si="29"/>
        <v>0</v>
      </c>
      <c r="AP26" s="156">
        <f t="shared" si="4"/>
        <v>1.0225</v>
      </c>
      <c r="AQ26" s="152"/>
      <c r="AR26" s="162">
        <f t="shared" si="5"/>
        <v>-41.488526698604801</v>
      </c>
      <c r="AS26" s="150">
        <f t="shared" si="30"/>
        <v>0</v>
      </c>
      <c r="AT26" s="163">
        <f t="shared" si="6"/>
        <v>0</v>
      </c>
      <c r="AU26" s="163">
        <f t="shared" si="7"/>
        <v>3.397968301788179</v>
      </c>
      <c r="AV26" s="163">
        <f t="shared" si="31"/>
        <v>-0.13961362228590177</v>
      </c>
      <c r="AW26" s="163">
        <f t="shared" si="8"/>
        <v>-1.5300245871045094E-3</v>
      </c>
      <c r="AX26" s="163">
        <f t="shared" si="9"/>
        <v>0</v>
      </c>
      <c r="AY26" s="164">
        <f t="shared" si="32"/>
        <v>-45.027638647265988</v>
      </c>
      <c r="AZ26" s="164">
        <f>IF($E26="","",IF(OR(AND($D26=Input!$C$6,$C26=12),$AN26=1),0,-AS27+AT27+AU27-AV27-AW27-AX27+AZ27))</f>
        <v>-45.027629783931026</v>
      </c>
      <c r="BA26" s="154">
        <f t="shared" si="10"/>
        <v>8.8633349619726687E-6</v>
      </c>
      <c r="BC26" s="147">
        <f t="shared" si="33"/>
        <v>0.89945321012589985</v>
      </c>
      <c r="BD26" s="164">
        <f>IF(AND($C25=12,$D25=Input!$C$6),0,IF($E26="","",AT26+(AU26+BD27)/(1+$AK26)*MIN((1-AM26-AN26),1)))</f>
        <v>2141.0468255215696</v>
      </c>
      <c r="BE26" s="164">
        <f t="shared" si="11"/>
        <v>1925.7714402452432</v>
      </c>
      <c r="BF26" s="164">
        <f t="shared" si="34"/>
        <v>-45.027629783931026</v>
      </c>
      <c r="BG26" s="164">
        <f t="shared" si="12"/>
        <v>-40.500246153517338</v>
      </c>
      <c r="BH26" s="152"/>
      <c r="BI26" s="162">
        <f t="shared" si="13"/>
        <v>-257.41638229980333</v>
      </c>
      <c r="BJ26" s="150">
        <f t="shared" si="14"/>
        <v>0</v>
      </c>
      <c r="BK26" s="163">
        <f t="shared" si="38"/>
        <v>0</v>
      </c>
      <c r="BL26" s="163">
        <f t="shared" si="15"/>
        <v>3.2509145348469382</v>
      </c>
      <c r="BM26" s="163">
        <f t="shared" si="39"/>
        <v>-0.93097961817448216</v>
      </c>
      <c r="BN26" s="163">
        <f t="shared" si="16"/>
        <v>-8.5046125291460325E-3</v>
      </c>
      <c r="BO26" s="163">
        <f t="shared" si="17"/>
        <v>0</v>
      </c>
      <c r="BP26" s="164">
        <f t="shared" si="40"/>
        <v>-261.60678106535386</v>
      </c>
      <c r="BQ26" s="164">
        <f>IF($E26="","",IF(AND($D26=Input!$C$6,$C26=12),0,-BJ27+BK27+BL27-BM27-BN27-BO27+BQ27))</f>
        <v>-261.60677058667903</v>
      </c>
      <c r="BR26" s="161">
        <f t="shared" si="18"/>
        <v>0</v>
      </c>
      <c r="BT26" s="147">
        <f t="shared" si="19"/>
        <v>0.89945321012589985</v>
      </c>
      <c r="BU26" s="164">
        <f>IF(AND($C25=12,$D25=Input!$C$6),0,IF($E26="","",BK26+(BL26+BU27)/(1+$AK26)*MIN((1-T26-U26),1)))</f>
        <v>3047.6771832870841</v>
      </c>
      <c r="BV26" s="164">
        <f t="shared" si="20"/>
        <v>2741.2430259350281</v>
      </c>
      <c r="BW26" s="164">
        <f t="shared" si="21"/>
        <v>-261.60677058667903</v>
      </c>
      <c r="BX26" s="164">
        <f t="shared" si="22"/>
        <v>-235.30304959485829</v>
      </c>
    </row>
    <row r="27" spans="1:76" s="150" customFormat="1" x14ac:dyDescent="0.25">
      <c r="A27" s="150">
        <f t="shared" si="35"/>
        <v>23</v>
      </c>
      <c r="B27" s="150">
        <f t="shared" si="36"/>
        <v>2</v>
      </c>
      <c r="C27" s="150">
        <f t="shared" si="37"/>
        <v>11</v>
      </c>
      <c r="D27" s="150">
        <f>IF(E27="","",Input!$C$4+B27-1)</f>
        <v>46</v>
      </c>
      <c r="E27" s="150">
        <f>IF(OR(AND(C26=12,D26=Input!$C$6),E26=""),"",1)</f>
        <v>1</v>
      </c>
      <c r="F27" s="150">
        <f>IF(E27="","",Input!$C$8+B27-1)</f>
        <v>2019</v>
      </c>
      <c r="G27" s="151">
        <f>IF(E27="","",MAX(0,Input!$C$9-B27))</f>
        <v>18</v>
      </c>
      <c r="H27" s="152">
        <f>IF(E27="","",Input!$C$3)</f>
        <v>100000</v>
      </c>
      <c r="I27" s="153">
        <f>IF(E27="","",HLOOKUP($B27,Input!$C$13:$BT$14,2))</f>
        <v>2.2999999999999998</v>
      </c>
      <c r="J27" s="154"/>
      <c r="K27" s="155">
        <f>IF($E27="","",INDEX(Input!$C$16:$CP$16,1,$B27))</f>
        <v>2.8989999999999998E-2</v>
      </c>
      <c r="L27" s="155">
        <f>IF($E27="","",Input!$C$37)</f>
        <v>1.4999999999999999E-2</v>
      </c>
      <c r="M27" s="155">
        <f t="shared" si="23"/>
        <v>4.3990000000000001E-2</v>
      </c>
      <c r="N27" s="155">
        <f t="shared" si="24"/>
        <v>3.5939353261613682E-3</v>
      </c>
      <c r="O27" s="147">
        <f>IF($E27="","",MIN(VLOOKUP(IF($B27&lt;=Input!$C$7,$B27,26),'Mortality Tables'!$A$41:$CW$67,IF($B27&lt;=Input!$C$7+1,Input!$C$4+2,$D27-Input!$C$7+2),0)*IF(B27&gt;20,Input!$C$22,1)/1000,1))</f>
        <v>3.9200000000000004E-4</v>
      </c>
      <c r="P27" s="147">
        <f>IF($E27="","",MIN(VLOOKUP(IF($B27&lt;=Input!$C$7,$B27,26),'Mortality Tables'!$A$12:$CW$37,IF($B27&lt;=Input!$C$7+1,Input!$C$4+2,$D27-Input!$C$7+2),0)*IF(B27&gt;20,Input!$C$22,1)/1000,1))</f>
        <v>4.8999999999999998E-4</v>
      </c>
      <c r="Q27" s="155">
        <f>IF($E27="","",Input!$C$21)</f>
        <v>5.0000000000000001E-3</v>
      </c>
      <c r="R27" s="159">
        <f>IF($E27="","",(1-Q27)^($F27-Input!$C$20))</f>
        <v>0.995</v>
      </c>
      <c r="S27" s="147">
        <f t="shared" si="0"/>
        <v>3.9004000000000003E-4</v>
      </c>
      <c r="T27" s="147">
        <f t="shared" si="1"/>
        <v>3.2509145348469382E-5</v>
      </c>
      <c r="U27" s="160">
        <f>IF($E27="","",IF($C27=12,INDEX(Input!$C$15:$CP$15,1,$B27),0))</f>
        <v>0</v>
      </c>
      <c r="V27" s="150">
        <f>IF(E27="","",IF(C27=1,IF($B27=1,Input!$C$33,Input!$C$34),0))</f>
        <v>0</v>
      </c>
      <c r="W27" s="156">
        <f>IF($E27="","",Input!$C$35)</f>
        <v>0.02</v>
      </c>
      <c r="X27" s="156">
        <f t="shared" si="2"/>
        <v>1.02</v>
      </c>
      <c r="Y27" s="154"/>
      <c r="Z27" s="147">
        <f>IF($E27="","",VLOOKUP($D27,'Mortality Margins &amp; Grading'!$AB$5:$AF$125,3,0)*IF(Summary!$D$25="Included Margin",IF(AND($B27&gt;Input!$C$9,Summary!$D$31&lt;&gt;"Included Margin"),0,1),0))</f>
        <v>0.04</v>
      </c>
      <c r="AA27" s="147">
        <f>IF($E27="","",VLOOKUP($D27,'Mortality Margins &amp; Grading'!$AB$5:$AF$125,5,0)*IF(Summary!$D$25="Included Margin",IF(AND($B27&gt;Input!$C$9,Summary!$D$31&lt;&gt;"Included Margin"),0,1),0))</f>
        <v>0.20200000000000001</v>
      </c>
      <c r="AB27" s="147">
        <f>IF($E27="","",IF(AND($B27&gt;Input!$C$9,Summary!$D$31&lt;&gt;"Included Margin"),1,IF(Summary!$D$25="Included Margin",VLOOKUP($B27,'Mortality Margins &amp; Grading'!$AI$5:$AR$125,MATCH('Mortality Margins &amp; Grading'!$AQ$4,'Mortality Margins &amp; Grading'!$AI$4:$AR$4,0),0),1)))</f>
        <v>1</v>
      </c>
      <c r="AC27" s="154"/>
      <c r="AD27" s="158">
        <f>IF(E27="","",Input!$C$48*IF(Summary!$D$30="Included Margin",IF(AND($B27&gt;Input!$C$9,Summary!$D$31&lt;&gt;"Included Margin"),0,1),0))</f>
        <v>-4.4999999999999997E-3</v>
      </c>
      <c r="AE27" s="159">
        <f>IF(E27="","",IF(Summary!$D$26="Included Margin",IF(AND($B27&gt;Input!$C$9,Summary!$D$31&lt;&gt;"Included Margin"),1,1/$R27),1))</f>
        <v>1.0050251256281406</v>
      </c>
      <c r="AF27" s="160">
        <f>IF(E27="","",IF(AND($B27&gt;=Input!$C$9,$C27=12,Summary!$D$31="Included Margin",$U27&gt;0),1/U27-1,IF($B27&gt;=Input!$C$9,0,Input!$C$45*IF(Summary!$D$27="Included Margin",1,0))))</f>
        <v>-0.1</v>
      </c>
      <c r="AG27" s="160">
        <f>IF(E27="","",Input!$C$46*IF(Summary!$D$28="Included Margin",IF(AND($B27&gt;Input!$C$9,Summary!$D$31&lt;&gt;"Included Margin"),0,1),0))</f>
        <v>0.02</v>
      </c>
      <c r="AH27" s="158">
        <f>IF(E27="","",Input!$C$47*IF(Summary!$D$29="Included Margin",IF(AND($B27&gt;Input!$C$9,Summary!$D$31&lt;&gt;"Included Margin"),0,1),0))</f>
        <v>2.5000000000000001E-3</v>
      </c>
      <c r="AI27" s="154"/>
      <c r="AJ27" s="158">
        <f t="shared" si="25"/>
        <v>3.9490000000000004E-2</v>
      </c>
      <c r="AK27" s="155">
        <f t="shared" si="26"/>
        <v>3.2327313971030058E-3</v>
      </c>
      <c r="AL27" s="147">
        <f t="shared" si="27"/>
        <v>4.0768E-4</v>
      </c>
      <c r="AM27" s="147">
        <f t="shared" si="3"/>
        <v>3.397968301788179E-5</v>
      </c>
      <c r="AN27" s="160">
        <f t="shared" si="28"/>
        <v>0</v>
      </c>
      <c r="AO27" s="161">
        <f t="shared" si="29"/>
        <v>0</v>
      </c>
      <c r="AP27" s="156">
        <f t="shared" si="4"/>
        <v>1.0225</v>
      </c>
      <c r="AQ27" s="152"/>
      <c r="AR27" s="162">
        <f t="shared" si="5"/>
        <v>-45.027638647265988</v>
      </c>
      <c r="AS27" s="150">
        <f t="shared" si="30"/>
        <v>0</v>
      </c>
      <c r="AT27" s="163">
        <f t="shared" si="6"/>
        <v>0</v>
      </c>
      <c r="AU27" s="163">
        <f t="shared" si="7"/>
        <v>3.397968301788179</v>
      </c>
      <c r="AV27" s="163">
        <f t="shared" si="31"/>
        <v>-0.15105462060020119</v>
      </c>
      <c r="AW27" s="163">
        <f t="shared" si="8"/>
        <v>-1.6506753504556368E-3</v>
      </c>
      <c r="AX27" s="163">
        <f t="shared" si="9"/>
        <v>0</v>
      </c>
      <c r="AY27" s="164">
        <f t="shared" si="32"/>
        <v>-48.578312245004824</v>
      </c>
      <c r="AZ27" s="164">
        <f>IF($E27="","",IF(OR(AND($D27=Input!$C$6,$C27=12),$AN27=1),0,-AS28+AT28+AU28-AV28-AW28-AX28+AZ28))</f>
        <v>-48.578303381669862</v>
      </c>
      <c r="BA27" s="154">
        <f t="shared" si="10"/>
        <v>8.8633349619726687E-6</v>
      </c>
      <c r="BC27" s="147">
        <f t="shared" si="33"/>
        <v>0.89942396967075777</v>
      </c>
      <c r="BD27" s="164">
        <f>IF(AND($C26=12,$D26=Input!$C$6),0,IF($E27="","",AT27+(AU27+BD28)/(1+$AK27)*MIN((1-AM27-AN27),1)))</f>
        <v>2144.6432762759127</v>
      </c>
      <c r="BE27" s="164">
        <f t="shared" si="11"/>
        <v>1928.9435690757812</v>
      </c>
      <c r="BF27" s="164">
        <f t="shared" si="34"/>
        <v>-48.578303381669862</v>
      </c>
      <c r="BG27" s="164">
        <f t="shared" si="12"/>
        <v>-43.692490467411901</v>
      </c>
      <c r="BH27" s="152"/>
      <c r="BI27" s="162">
        <f t="shared" si="13"/>
        <v>-261.60678106535391</v>
      </c>
      <c r="BJ27" s="150">
        <f t="shared" si="14"/>
        <v>0</v>
      </c>
      <c r="BK27" s="163">
        <f t="shared" si="38"/>
        <v>0</v>
      </c>
      <c r="BL27" s="163">
        <f t="shared" si="15"/>
        <v>3.2509145348469382</v>
      </c>
      <c r="BM27" s="163">
        <f t="shared" si="39"/>
        <v>-0.94603964032869736</v>
      </c>
      <c r="BN27" s="163">
        <f t="shared" si="16"/>
        <v>-8.6413328447931398E-3</v>
      </c>
      <c r="BO27" s="163">
        <f t="shared" si="17"/>
        <v>0</v>
      </c>
      <c r="BP27" s="164">
        <f t="shared" si="40"/>
        <v>-265.81237657337431</v>
      </c>
      <c r="BQ27" s="164">
        <f>IF($E27="","",IF(AND($D27=Input!$C$6,$C27=12),0,-BJ28+BK28+BL28-BM28-BN28-BO28+BQ28))</f>
        <v>-265.81236609469948</v>
      </c>
      <c r="BR27" s="161">
        <f t="shared" si="18"/>
        <v>0</v>
      </c>
      <c r="BT27" s="147">
        <f t="shared" si="19"/>
        <v>0.89942396967075777</v>
      </c>
      <c r="BU27" s="164">
        <f>IF(AND($C26=12,$D26=Input!$C$6),0,IF($E27="","",BK27+(BL27+BU28)/(1+$AK27)*MIN((1-T27-U27),1)))</f>
        <v>3054.3779913734079</v>
      </c>
      <c r="BV27" s="164">
        <f t="shared" si="20"/>
        <v>2747.1807778760663</v>
      </c>
      <c r="BW27" s="164">
        <f t="shared" si="21"/>
        <v>-265.81236609469948</v>
      </c>
      <c r="BX27" s="164">
        <f t="shared" si="22"/>
        <v>-239.07801350047134</v>
      </c>
    </row>
    <row r="28" spans="1:76" s="150" customFormat="1" x14ac:dyDescent="0.25">
      <c r="A28" s="150">
        <f t="shared" si="35"/>
        <v>24</v>
      </c>
      <c r="B28" s="150">
        <f t="shared" si="36"/>
        <v>2</v>
      </c>
      <c r="C28" s="150">
        <f t="shared" si="37"/>
        <v>12</v>
      </c>
      <c r="D28" s="150">
        <f>IF(E28="","",Input!$C$4+B28-1)</f>
        <v>46</v>
      </c>
      <c r="E28" s="150">
        <f>IF(OR(AND(C27=12,D27=Input!$C$6),E27=""),"",1)</f>
        <v>1</v>
      </c>
      <c r="F28" s="150">
        <f>IF(E28="","",Input!$C$8+B28-1)</f>
        <v>2019</v>
      </c>
      <c r="G28" s="151">
        <f>IF(E28="","",MAX(0,Input!$C$9-B28))</f>
        <v>18</v>
      </c>
      <c r="H28" s="152">
        <f>IF(E28="","",Input!$C$3)</f>
        <v>100000</v>
      </c>
      <c r="I28" s="153">
        <f>IF(E28="","",HLOOKUP($B28,Input!$C$13:$BT$14,2))</f>
        <v>2.2999999999999998</v>
      </c>
      <c r="J28" s="154"/>
      <c r="K28" s="155">
        <f>IF($E28="","",INDEX(Input!$C$16:$CP$16,1,$B28))</f>
        <v>2.8989999999999998E-2</v>
      </c>
      <c r="L28" s="155">
        <f>IF($E28="","",Input!$C$37)</f>
        <v>1.4999999999999999E-2</v>
      </c>
      <c r="M28" s="155">
        <f t="shared" si="23"/>
        <v>4.3990000000000001E-2</v>
      </c>
      <c r="N28" s="155">
        <f t="shared" si="24"/>
        <v>3.5939353261613682E-3</v>
      </c>
      <c r="O28" s="147">
        <f>IF($E28="","",MIN(VLOOKUP(IF($B28&lt;=Input!$C$7,$B28,26),'Mortality Tables'!$A$41:$CW$67,IF($B28&lt;=Input!$C$7+1,Input!$C$4+2,$D28-Input!$C$7+2),0)*IF(B28&gt;20,Input!$C$22,1)/1000,1))</f>
        <v>3.9200000000000004E-4</v>
      </c>
      <c r="P28" s="147">
        <f>IF($E28="","",MIN(VLOOKUP(IF($B28&lt;=Input!$C$7,$B28,26),'Mortality Tables'!$A$12:$CW$37,IF($B28&lt;=Input!$C$7+1,Input!$C$4+2,$D28-Input!$C$7+2),0)*IF(B28&gt;20,Input!$C$22,1)/1000,1))</f>
        <v>4.8999999999999998E-4</v>
      </c>
      <c r="Q28" s="155">
        <f>IF($E28="","",Input!$C$21)</f>
        <v>5.0000000000000001E-3</v>
      </c>
      <c r="R28" s="159">
        <f>IF($E28="","",(1-Q28)^($F28-Input!$C$20))</f>
        <v>0.995</v>
      </c>
      <c r="S28" s="147">
        <f t="shared" si="0"/>
        <v>3.9004000000000003E-4</v>
      </c>
      <c r="T28" s="147">
        <f t="shared" si="1"/>
        <v>3.2509145348469382E-5</v>
      </c>
      <c r="U28" s="160">
        <f>IF($E28="","",IF($C28=12,INDEX(Input!$C$15:$CP$15,1,$B28),0))</f>
        <v>0.05</v>
      </c>
      <c r="V28" s="150">
        <f>IF(E28="","",IF(C28=1,IF($B28=1,Input!$C$33,Input!$C$34),0))</f>
        <v>0</v>
      </c>
      <c r="W28" s="156">
        <f>IF($E28="","",Input!$C$35)</f>
        <v>0.02</v>
      </c>
      <c r="X28" s="156">
        <f t="shared" si="2"/>
        <v>1.02</v>
      </c>
      <c r="Y28" s="154"/>
      <c r="Z28" s="147">
        <f>IF($E28="","",VLOOKUP($D28,'Mortality Margins &amp; Grading'!$AB$5:$AF$125,3,0)*IF(Summary!$D$25="Included Margin",IF(AND($B28&gt;Input!$C$9,Summary!$D$31&lt;&gt;"Included Margin"),0,1),0))</f>
        <v>0.04</v>
      </c>
      <c r="AA28" s="147">
        <f>IF($E28="","",VLOOKUP($D28,'Mortality Margins &amp; Grading'!$AB$5:$AF$125,5,0)*IF(Summary!$D$25="Included Margin",IF(AND($B28&gt;Input!$C$9,Summary!$D$31&lt;&gt;"Included Margin"),0,1),0))</f>
        <v>0.20200000000000001</v>
      </c>
      <c r="AB28" s="147">
        <f>IF($E28="","",IF(AND($B28&gt;Input!$C$9,Summary!$D$31&lt;&gt;"Included Margin"),1,IF(Summary!$D$25="Included Margin",VLOOKUP($B28,'Mortality Margins &amp; Grading'!$AI$5:$AR$125,MATCH('Mortality Margins &amp; Grading'!$AQ$4,'Mortality Margins &amp; Grading'!$AI$4:$AR$4,0),0),1)))</f>
        <v>1</v>
      </c>
      <c r="AC28" s="154"/>
      <c r="AD28" s="158">
        <f>IF(E28="","",Input!$C$48*IF(Summary!$D$30="Included Margin",IF(AND($B28&gt;Input!$C$9,Summary!$D$31&lt;&gt;"Included Margin"),0,1),0))</f>
        <v>-4.4999999999999997E-3</v>
      </c>
      <c r="AE28" s="159">
        <f>IF(E28="","",IF(Summary!$D$26="Included Margin",IF(AND($B28&gt;Input!$C$9,Summary!$D$31&lt;&gt;"Included Margin"),1,1/$R28),1))</f>
        <v>1.0050251256281406</v>
      </c>
      <c r="AF28" s="160">
        <f>IF(E28="","",IF(AND($B28&gt;=Input!$C$9,$C28=12,Summary!$D$31="Included Margin",$U28&gt;0),1/U28-1,IF($B28&gt;=Input!$C$9,0,Input!$C$45*IF(Summary!$D$27="Included Margin",1,0))))</f>
        <v>-0.1</v>
      </c>
      <c r="AG28" s="160">
        <f>IF(E28="","",Input!$C$46*IF(Summary!$D$28="Included Margin",IF(AND($B28&gt;Input!$C$9,Summary!$D$31&lt;&gt;"Included Margin"),0,1),0))</f>
        <v>0.02</v>
      </c>
      <c r="AH28" s="158">
        <f>IF(E28="","",Input!$C$47*IF(Summary!$D$29="Included Margin",IF(AND($B28&gt;Input!$C$9,Summary!$D$31&lt;&gt;"Included Margin"),0,1),0))</f>
        <v>2.5000000000000001E-3</v>
      </c>
      <c r="AI28" s="154"/>
      <c r="AJ28" s="158">
        <f t="shared" si="25"/>
        <v>3.9490000000000004E-2</v>
      </c>
      <c r="AK28" s="155">
        <f t="shared" si="26"/>
        <v>3.2327313971030058E-3</v>
      </c>
      <c r="AL28" s="147">
        <f t="shared" si="27"/>
        <v>4.0768E-4</v>
      </c>
      <c r="AM28" s="147">
        <f t="shared" si="3"/>
        <v>3.397968301788179E-5</v>
      </c>
      <c r="AN28" s="160">
        <f t="shared" si="28"/>
        <v>4.5000000000000005E-2</v>
      </c>
      <c r="AO28" s="161">
        <f t="shared" si="29"/>
        <v>0</v>
      </c>
      <c r="AP28" s="156">
        <f t="shared" si="4"/>
        <v>1.0225</v>
      </c>
      <c r="AQ28" s="152"/>
      <c r="AR28" s="162">
        <f t="shared" si="5"/>
        <v>-48.578312245004824</v>
      </c>
      <c r="AS28" s="150">
        <f t="shared" si="30"/>
        <v>0</v>
      </c>
      <c r="AT28" s="163">
        <f t="shared" si="6"/>
        <v>0</v>
      </c>
      <c r="AU28" s="163">
        <f t="shared" si="7"/>
        <v>3.397968301788179</v>
      </c>
      <c r="AV28" s="163">
        <f t="shared" si="31"/>
        <v>-0.16253299462047621</v>
      </c>
      <c r="AW28" s="163">
        <f t="shared" si="8"/>
        <v>-1.8552044590420278E-3</v>
      </c>
      <c r="AX28" s="163">
        <f t="shared" si="9"/>
        <v>-2.4568023146738569</v>
      </c>
      <c r="AY28" s="164">
        <f t="shared" si="32"/>
        <v>-54.597471060546383</v>
      </c>
      <c r="AZ28" s="164">
        <f>IF($E28="","",IF(OR(AND($D28=Input!$C$6,$C28=12),$AN28=1),0,-AS29+AT29+AU29-AV29-AW29-AX29+AZ29))</f>
        <v>-54.597462197211414</v>
      </c>
      <c r="BA28" s="154">
        <f t="shared" si="10"/>
        <v>8.863334969078096E-6</v>
      </c>
      <c r="BC28" s="147">
        <f t="shared" si="33"/>
        <v>0.85442353168265994</v>
      </c>
      <c r="BD28" s="164">
        <f>IF(AND($C27=12,$D27=Input!$C$6),0,IF($E28="","",AT28+(AU28+BD29)/(1+$AK28)*MIN((1-AM28-AN28),1)))</f>
        <v>2148.25147599501</v>
      </c>
      <c r="BE28" s="164">
        <f t="shared" si="11"/>
        <v>1835.5166130621433</v>
      </c>
      <c r="BF28" s="164">
        <f t="shared" si="34"/>
        <v>-54.597462197211414</v>
      </c>
      <c r="BG28" s="164">
        <f t="shared" si="12"/>
        <v>-46.649356471451895</v>
      </c>
      <c r="BH28" s="152"/>
      <c r="BI28" s="162">
        <f t="shared" si="13"/>
        <v>-265.81237657337425</v>
      </c>
      <c r="BJ28" s="150">
        <f t="shared" si="14"/>
        <v>0</v>
      </c>
      <c r="BK28" s="163">
        <f t="shared" si="38"/>
        <v>0</v>
      </c>
      <c r="BL28" s="163">
        <f t="shared" si="15"/>
        <v>3.2509145348469382</v>
      </c>
      <c r="BM28" s="163">
        <f t="shared" si="39"/>
        <v>-0.96115427859251723</v>
      </c>
      <c r="BN28" s="163">
        <f t="shared" si="16"/>
        <v>-9.2405778791493746E-3</v>
      </c>
      <c r="BO28" s="163">
        <f t="shared" si="17"/>
        <v>-14.21181236358626</v>
      </c>
      <c r="BP28" s="164">
        <f t="shared" si="40"/>
        <v>-284.2454983282791</v>
      </c>
      <c r="BQ28" s="164">
        <f>IF($E28="","",IF(AND($D28=Input!$C$6,$C28=12),0,-BJ29+BK29+BL29-BM29-BN29-BO29+BQ29))</f>
        <v>-284.24548784960433</v>
      </c>
      <c r="BR28" s="161">
        <f t="shared" si="18"/>
        <v>0</v>
      </c>
      <c r="BT28" s="147">
        <f t="shared" si="19"/>
        <v>0.85442353168265994</v>
      </c>
      <c r="BU28" s="164">
        <f>IF(AND($C27=12,$D27=Input!$C$6),0,IF($E28="","",BK28+(BL28+BU29)/(1+$AK28)*MIN((1-T28-U28),1)))</f>
        <v>3061.1006799212773</v>
      </c>
      <c r="BV28" s="164">
        <f t="shared" si="20"/>
        <v>2615.4764537745295</v>
      </c>
      <c r="BW28" s="164">
        <f t="shared" si="21"/>
        <v>-284.24548784960433</v>
      </c>
      <c r="BX28" s="164">
        <f t="shared" si="22"/>
        <v>-242.86603359331954</v>
      </c>
    </row>
    <row r="29" spans="1:76" s="150" customFormat="1" x14ac:dyDescent="0.25">
      <c r="A29" s="150">
        <f t="shared" si="35"/>
        <v>25</v>
      </c>
      <c r="B29" s="150">
        <f t="shared" si="36"/>
        <v>3</v>
      </c>
      <c r="C29" s="150">
        <f t="shared" si="37"/>
        <v>1</v>
      </c>
      <c r="D29" s="150">
        <f>IF(E29="","",Input!$C$4+B29-1)</f>
        <v>47</v>
      </c>
      <c r="E29" s="150">
        <f>IF(OR(AND(C28=12,D28=Input!$C$6),E28=""),"",1)</f>
        <v>1</v>
      </c>
      <c r="F29" s="150">
        <f>IF(E29="","",Input!$C$8+B29-1)</f>
        <v>2020</v>
      </c>
      <c r="G29" s="151">
        <f>IF(E29="","",MAX(0,Input!$C$9-B29))</f>
        <v>17</v>
      </c>
      <c r="H29" s="152">
        <f>IF(E29="","",Input!$C$3)</f>
        <v>100000</v>
      </c>
      <c r="I29" s="153">
        <f>IF(E29="","",HLOOKUP($B29,Input!$C$13:$BT$14,2))</f>
        <v>2.2999999999999998</v>
      </c>
      <c r="J29" s="154"/>
      <c r="K29" s="155">
        <f>IF($E29="","",INDEX(Input!$C$16:$CP$16,1,$B29))</f>
        <v>2.8539999999999999E-2</v>
      </c>
      <c r="L29" s="155">
        <f>IF($E29="","",Input!$C$37)</f>
        <v>1.4999999999999999E-2</v>
      </c>
      <c r="M29" s="155">
        <f t="shared" si="23"/>
        <v>4.3539999999999995E-2</v>
      </c>
      <c r="N29" s="155">
        <f t="shared" si="24"/>
        <v>3.5578792243551316E-3</v>
      </c>
      <c r="O29" s="147">
        <f>IF($E29="","",MIN(VLOOKUP(IF($B29&lt;=Input!$C$7,$B29,26),'Mortality Tables'!$A$41:$CW$67,IF($B29&lt;=Input!$C$7+1,Input!$C$4+2,$D29-Input!$C$7+2),0)*IF(B29&gt;20,Input!$C$22,1)/1000,1))</f>
        <v>5.04E-4</v>
      </c>
      <c r="P29" s="147">
        <f>IF($E29="","",MIN(VLOOKUP(IF($B29&lt;=Input!$C$7,$B29,26),'Mortality Tables'!$A$12:$CW$37,IF($B29&lt;=Input!$C$7+1,Input!$C$4+2,$D29-Input!$C$7+2),0)*IF(B29&gt;20,Input!$C$22,1)/1000,1))</f>
        <v>6.3000000000000003E-4</v>
      </c>
      <c r="Q29" s="155">
        <f>IF($E29="","",Input!$C$21)</f>
        <v>5.0000000000000001E-3</v>
      </c>
      <c r="R29" s="159">
        <f>IF($E29="","",(1-Q29)^($F29-Input!$C$20))</f>
        <v>0.99002500000000004</v>
      </c>
      <c r="S29" s="147">
        <f t="shared" si="0"/>
        <v>4.9897260000000008E-4</v>
      </c>
      <c r="T29" s="147">
        <f t="shared" si="1"/>
        <v>4.1590562443016843E-5</v>
      </c>
      <c r="U29" s="160">
        <f>IF($E29="","",IF($C29=12,INDEX(Input!$C$15:$CP$15,1,$B29),0))</f>
        <v>0</v>
      </c>
      <c r="V29" s="150">
        <f>IF(E29="","",IF(C29=1,IF($B29=1,Input!$C$33,Input!$C$34),0))</f>
        <v>50</v>
      </c>
      <c r="W29" s="156">
        <f>IF($E29="","",Input!$C$35)</f>
        <v>0.02</v>
      </c>
      <c r="X29" s="156">
        <f t="shared" si="2"/>
        <v>1.0404</v>
      </c>
      <c r="Y29" s="154"/>
      <c r="Z29" s="147">
        <f>IF($E29="","",VLOOKUP($D29,'Mortality Margins &amp; Grading'!$AB$5:$AF$125,3,0)*IF(Summary!$D$25="Included Margin",IF(AND($B29&gt;Input!$C$9,Summary!$D$31&lt;&gt;"Included Margin"),0,1),0))</f>
        <v>0.04</v>
      </c>
      <c r="AA29" s="147">
        <f>IF($E29="","",VLOOKUP($D29,'Mortality Margins &amp; Grading'!$AB$5:$AF$125,5,0)*IF(Summary!$D$25="Included Margin",IF(AND($B29&gt;Input!$C$9,Summary!$D$31&lt;&gt;"Included Margin"),0,1),0))</f>
        <v>0.20200000000000001</v>
      </c>
      <c r="AB29" s="147">
        <f>IF($E29="","",IF(AND($B29&gt;Input!$C$9,Summary!$D$31&lt;&gt;"Included Margin"),1,IF(Summary!$D$25="Included Margin",VLOOKUP($B29,'Mortality Margins &amp; Grading'!$AI$5:$AR$125,MATCH('Mortality Margins &amp; Grading'!$AQ$4,'Mortality Margins &amp; Grading'!$AI$4:$AR$4,0),0),1)))</f>
        <v>1</v>
      </c>
      <c r="AC29" s="154"/>
      <c r="AD29" s="158">
        <f>IF(E29="","",Input!$C$48*IF(Summary!$D$30="Included Margin",IF(AND($B29&gt;Input!$C$9,Summary!$D$31&lt;&gt;"Included Margin"),0,1),0))</f>
        <v>-4.4999999999999997E-3</v>
      </c>
      <c r="AE29" s="159">
        <f>IF(E29="","",IF(Summary!$D$26="Included Margin",IF(AND($B29&gt;Input!$C$9,Summary!$D$31&lt;&gt;"Included Margin"),1,1/$R29),1))</f>
        <v>1.01007550314386</v>
      </c>
      <c r="AF29" s="160">
        <f>IF(E29="","",IF(AND($B29&gt;=Input!$C$9,$C29=12,Summary!$D$31="Included Margin",$U29&gt;0),1/U29-1,IF($B29&gt;=Input!$C$9,0,Input!$C$45*IF(Summary!$D$27="Included Margin",1,0))))</f>
        <v>-0.1</v>
      </c>
      <c r="AG29" s="160">
        <f>IF(E29="","",Input!$C$46*IF(Summary!$D$28="Included Margin",IF(AND($B29&gt;Input!$C$9,Summary!$D$31&lt;&gt;"Included Margin"),0,1),0))</f>
        <v>0.02</v>
      </c>
      <c r="AH29" s="158">
        <f>IF(E29="","",Input!$C$47*IF(Summary!$D$29="Included Margin",IF(AND($B29&gt;Input!$C$9,Summary!$D$31&lt;&gt;"Included Margin"),0,1),0))</f>
        <v>2.5000000000000001E-3</v>
      </c>
      <c r="AI29" s="154"/>
      <c r="AJ29" s="158">
        <f t="shared" si="25"/>
        <v>3.9039999999999998E-2</v>
      </c>
      <c r="AK29" s="155">
        <f t="shared" si="26"/>
        <v>3.196532208949554E-3</v>
      </c>
      <c r="AL29" s="147">
        <f t="shared" si="27"/>
        <v>5.2415999999999997E-4</v>
      </c>
      <c r="AM29" s="147">
        <f t="shared" si="3"/>
        <v>4.3690497198656253E-5</v>
      </c>
      <c r="AN29" s="160">
        <f t="shared" si="28"/>
        <v>0</v>
      </c>
      <c r="AO29" s="161">
        <f t="shared" si="29"/>
        <v>51</v>
      </c>
      <c r="AP29" s="156">
        <f t="shared" si="4"/>
        <v>1.0455062499999999</v>
      </c>
      <c r="AQ29" s="152"/>
      <c r="AR29" s="162">
        <f t="shared" si="5"/>
        <v>-54.597473339941281</v>
      </c>
      <c r="AS29" s="150">
        <f t="shared" si="30"/>
        <v>229.99999999999997</v>
      </c>
      <c r="AT29" s="163">
        <f t="shared" si="6"/>
        <v>53.320818749999994</v>
      </c>
      <c r="AU29" s="163">
        <f t="shared" si="7"/>
        <v>4.3690497198656253</v>
      </c>
      <c r="AV29" s="163">
        <f t="shared" si="31"/>
        <v>0.38325520738204794</v>
      </c>
      <c r="AW29" s="163">
        <f t="shared" si="8"/>
        <v>5.1598950986832684E-3</v>
      </c>
      <c r="AX29" s="163">
        <f t="shared" si="9"/>
        <v>0</v>
      </c>
      <c r="AY29" s="164">
        <f t="shared" si="32"/>
        <v>118.1010732926738</v>
      </c>
      <c r="AZ29" s="164">
        <f>IF($E29="","",IF(OR(AND($D29=Input!$C$6,$C29=12),$AN29=1),0,-AS30+AT30+AU30-AV30-AW30-AX30+AZ30))</f>
        <v>118.10108443540365</v>
      </c>
      <c r="BA29" s="154">
        <f t="shared" si="10"/>
        <v>1.1142729846369548E-5</v>
      </c>
      <c r="BC29" s="147">
        <f t="shared" si="33"/>
        <v>0.85438799572741275</v>
      </c>
      <c r="BD29" s="164">
        <f>IF(AND($C28=12,$D28=Input!$C$6),0,IF($E29="","",AT29+(AU29+BD30)/(1+$AK29)*MIN((1-AM29-AN29),1)))</f>
        <v>2253.4322750140495</v>
      </c>
      <c r="BE29" s="164">
        <f t="shared" si="11"/>
        <v>1925.3054849567177</v>
      </c>
      <c r="BF29" s="164">
        <f t="shared" si="34"/>
        <v>118.10108443540365</v>
      </c>
      <c r="BG29" s="164">
        <f t="shared" si="12"/>
        <v>100.90414882399847</v>
      </c>
      <c r="BH29" s="152"/>
      <c r="BI29" s="162">
        <f t="shared" si="13"/>
        <v>-284.24550098808993</v>
      </c>
      <c r="BJ29" s="150">
        <f t="shared" si="14"/>
        <v>229.99999999999997</v>
      </c>
      <c r="BK29" s="163">
        <f t="shared" si="38"/>
        <v>52.019999999999996</v>
      </c>
      <c r="BL29" s="163">
        <f t="shared" si="15"/>
        <v>4.1590562443016843</v>
      </c>
      <c r="BM29" s="163">
        <f t="shared" si="39"/>
        <v>-0.38547852813347772</v>
      </c>
      <c r="BN29" s="163">
        <f t="shared" si="16"/>
        <v>-4.6088428495403688E-3</v>
      </c>
      <c r="BO29" s="163">
        <f t="shared" si="17"/>
        <v>0</v>
      </c>
      <c r="BP29" s="164">
        <f t="shared" si="40"/>
        <v>-110.81464460337465</v>
      </c>
      <c r="BQ29" s="164">
        <f>IF($E29="","",IF(AND($D29=Input!$C$6,$C29=12),0,-BJ30+BK30+BL30-BM30-BN30-BO30+BQ30))</f>
        <v>-110.81463146488909</v>
      </c>
      <c r="BR29" s="161">
        <f t="shared" si="18"/>
        <v>0</v>
      </c>
      <c r="BT29" s="147">
        <f t="shared" si="19"/>
        <v>0.85438799572741275</v>
      </c>
      <c r="BU29" s="164">
        <f>IF(AND($C28=12,$D28=Input!$C$6),0,IF($E29="","",BK29+(BL29+BU30)/(1+$AK29)*MIN((1-T29-U29),1)))</f>
        <v>3229.4874957407378</v>
      </c>
      <c r="BV29" s="164">
        <f t="shared" si="20"/>
        <v>2759.2353487126702</v>
      </c>
      <c r="BW29" s="164">
        <f t="shared" si="21"/>
        <v>-110.81463146488909</v>
      </c>
      <c r="BX29" s="164">
        <f t="shared" si="22"/>
        <v>-94.678690874558484</v>
      </c>
    </row>
    <row r="30" spans="1:76" s="150" customFormat="1" x14ac:dyDescent="0.25">
      <c r="A30" s="150">
        <f t="shared" si="35"/>
        <v>26</v>
      </c>
      <c r="B30" s="150">
        <f t="shared" si="36"/>
        <v>3</v>
      </c>
      <c r="C30" s="150">
        <f t="shared" si="37"/>
        <v>2</v>
      </c>
      <c r="D30" s="150">
        <f>IF(E30="","",Input!$C$4+B30-1)</f>
        <v>47</v>
      </c>
      <c r="E30" s="150">
        <f>IF(OR(AND(C29=12,D29=Input!$C$6),E29=""),"",1)</f>
        <v>1</v>
      </c>
      <c r="F30" s="150">
        <f>IF(E30="","",Input!$C$8+B30-1)</f>
        <v>2020</v>
      </c>
      <c r="G30" s="151">
        <f>IF(E30="","",MAX(0,Input!$C$9-B30))</f>
        <v>17</v>
      </c>
      <c r="H30" s="152">
        <f>IF(E30="","",Input!$C$3)</f>
        <v>100000</v>
      </c>
      <c r="I30" s="153">
        <f>IF(E30="","",HLOOKUP($B30,Input!$C$13:$BT$14,2))</f>
        <v>2.2999999999999998</v>
      </c>
      <c r="J30" s="154"/>
      <c r="K30" s="155">
        <f>IF($E30="","",INDEX(Input!$C$16:$CP$16,1,$B30))</f>
        <v>2.8539999999999999E-2</v>
      </c>
      <c r="L30" s="155">
        <f>IF($E30="","",Input!$C$37)</f>
        <v>1.4999999999999999E-2</v>
      </c>
      <c r="M30" s="155">
        <f t="shared" si="23"/>
        <v>4.3539999999999995E-2</v>
      </c>
      <c r="N30" s="155">
        <f t="shared" si="24"/>
        <v>3.5578792243551316E-3</v>
      </c>
      <c r="O30" s="147">
        <f>IF($E30="","",MIN(VLOOKUP(IF($B30&lt;=Input!$C$7,$B30,26),'Mortality Tables'!$A$41:$CW$67,IF($B30&lt;=Input!$C$7+1,Input!$C$4+2,$D30-Input!$C$7+2),0)*IF(B30&gt;20,Input!$C$22,1)/1000,1))</f>
        <v>5.04E-4</v>
      </c>
      <c r="P30" s="147">
        <f>IF($E30="","",MIN(VLOOKUP(IF($B30&lt;=Input!$C$7,$B30,26),'Mortality Tables'!$A$12:$CW$37,IF($B30&lt;=Input!$C$7+1,Input!$C$4+2,$D30-Input!$C$7+2),0)*IF(B30&gt;20,Input!$C$22,1)/1000,1))</f>
        <v>6.3000000000000003E-4</v>
      </c>
      <c r="Q30" s="155">
        <f>IF($E30="","",Input!$C$21)</f>
        <v>5.0000000000000001E-3</v>
      </c>
      <c r="R30" s="159">
        <f>IF($E30="","",(1-Q30)^($F30-Input!$C$20))</f>
        <v>0.99002500000000004</v>
      </c>
      <c r="S30" s="147">
        <f t="shared" si="0"/>
        <v>4.9897260000000008E-4</v>
      </c>
      <c r="T30" s="147">
        <f t="shared" si="1"/>
        <v>4.1590562443016843E-5</v>
      </c>
      <c r="U30" s="160">
        <f>IF($E30="","",IF($C30=12,INDEX(Input!$C$15:$CP$15,1,$B30),0))</f>
        <v>0</v>
      </c>
      <c r="V30" s="150">
        <f>IF(E30="","",IF(C30=1,IF($B30=1,Input!$C$33,Input!$C$34),0))</f>
        <v>0</v>
      </c>
      <c r="W30" s="156">
        <f>IF($E30="","",Input!$C$35)</f>
        <v>0.02</v>
      </c>
      <c r="X30" s="156">
        <f t="shared" si="2"/>
        <v>1.0404</v>
      </c>
      <c r="Y30" s="154"/>
      <c r="Z30" s="147">
        <f>IF($E30="","",VLOOKUP($D30,'Mortality Margins &amp; Grading'!$AB$5:$AF$125,3,0)*IF(Summary!$D$25="Included Margin",IF(AND($B30&gt;Input!$C$9,Summary!$D$31&lt;&gt;"Included Margin"),0,1),0))</f>
        <v>0.04</v>
      </c>
      <c r="AA30" s="147">
        <f>IF($E30="","",VLOOKUP($D30,'Mortality Margins &amp; Grading'!$AB$5:$AF$125,5,0)*IF(Summary!$D$25="Included Margin",IF(AND($B30&gt;Input!$C$9,Summary!$D$31&lt;&gt;"Included Margin"),0,1),0))</f>
        <v>0.20200000000000001</v>
      </c>
      <c r="AB30" s="147">
        <f>IF($E30="","",IF(AND($B30&gt;Input!$C$9,Summary!$D$31&lt;&gt;"Included Margin"),1,IF(Summary!$D$25="Included Margin",VLOOKUP($B30,'Mortality Margins &amp; Grading'!$AI$5:$AR$125,MATCH('Mortality Margins &amp; Grading'!$AQ$4,'Mortality Margins &amp; Grading'!$AI$4:$AR$4,0),0),1)))</f>
        <v>1</v>
      </c>
      <c r="AC30" s="154"/>
      <c r="AD30" s="158">
        <f>IF(E30="","",Input!$C$48*IF(Summary!$D$30="Included Margin",IF(AND($B30&gt;Input!$C$9,Summary!$D$31&lt;&gt;"Included Margin"),0,1),0))</f>
        <v>-4.4999999999999997E-3</v>
      </c>
      <c r="AE30" s="159">
        <f>IF(E30="","",IF(Summary!$D$26="Included Margin",IF(AND($B30&gt;Input!$C$9,Summary!$D$31&lt;&gt;"Included Margin"),1,1/$R30),1))</f>
        <v>1.01007550314386</v>
      </c>
      <c r="AF30" s="160">
        <f>IF(E30="","",IF(AND($B30&gt;=Input!$C$9,$C30=12,Summary!$D$31="Included Margin",$U30&gt;0),1/U30-1,IF($B30&gt;=Input!$C$9,0,Input!$C$45*IF(Summary!$D$27="Included Margin",1,0))))</f>
        <v>-0.1</v>
      </c>
      <c r="AG30" s="160">
        <f>IF(E30="","",Input!$C$46*IF(Summary!$D$28="Included Margin",IF(AND($B30&gt;Input!$C$9,Summary!$D$31&lt;&gt;"Included Margin"),0,1),0))</f>
        <v>0.02</v>
      </c>
      <c r="AH30" s="158">
        <f>IF(E30="","",Input!$C$47*IF(Summary!$D$29="Included Margin",IF(AND($B30&gt;Input!$C$9,Summary!$D$31&lt;&gt;"Included Margin"),0,1),0))</f>
        <v>2.5000000000000001E-3</v>
      </c>
      <c r="AI30" s="154"/>
      <c r="AJ30" s="158">
        <f t="shared" si="25"/>
        <v>3.9039999999999998E-2</v>
      </c>
      <c r="AK30" s="155">
        <f t="shared" si="26"/>
        <v>3.196532208949554E-3</v>
      </c>
      <c r="AL30" s="147">
        <f t="shared" si="27"/>
        <v>5.2415999999999997E-4</v>
      </c>
      <c r="AM30" s="147">
        <f t="shared" si="3"/>
        <v>4.3690497198656253E-5</v>
      </c>
      <c r="AN30" s="160">
        <f t="shared" si="28"/>
        <v>0</v>
      </c>
      <c r="AO30" s="161">
        <f t="shared" si="29"/>
        <v>0</v>
      </c>
      <c r="AP30" s="156">
        <f t="shared" si="4"/>
        <v>1.0455062499999999</v>
      </c>
      <c r="AQ30" s="152"/>
      <c r="AR30" s="162">
        <f t="shared" si="5"/>
        <v>118.1010732926738</v>
      </c>
      <c r="AS30" s="150">
        <f t="shared" si="30"/>
        <v>0</v>
      </c>
      <c r="AT30" s="163">
        <f t="shared" si="6"/>
        <v>0</v>
      </c>
      <c r="AU30" s="163">
        <f t="shared" si="7"/>
        <v>4.3690497198656253</v>
      </c>
      <c r="AV30" s="163">
        <f t="shared" si="31"/>
        <v>0.37053098061551754</v>
      </c>
      <c r="AW30" s="163">
        <f t="shared" si="8"/>
        <v>4.9854156421954374E-3</v>
      </c>
      <c r="AX30" s="163">
        <f t="shared" si="9"/>
        <v>0</v>
      </c>
      <c r="AY30" s="164">
        <f t="shared" si="32"/>
        <v>114.10753996906588</v>
      </c>
      <c r="AZ30" s="164">
        <f>IF($E30="","",IF(OR(AND($D30=Input!$C$6,$C30=12),$AN30=1),0,-AS31+AT31+AU31-AV31-AW31-AX31+AZ31))</f>
        <v>114.10755111179574</v>
      </c>
      <c r="BA30" s="154">
        <f t="shared" si="10"/>
        <v>1.1142729860580403E-5</v>
      </c>
      <c r="BC30" s="147">
        <f t="shared" si="33"/>
        <v>0.85435246125012587</v>
      </c>
      <c r="BD30" s="164">
        <f>IF(AND($C29=12,$D29=Input!$C$6),0,IF($E30="","",AT30+(AU30+BD31)/(1+$AK30)*MIN((1-AM30-AN30),1)))</f>
        <v>2202.8715691174853</v>
      </c>
      <c r="BE30" s="164">
        <f t="shared" si="11"/>
        <v>1882.0287468934503</v>
      </c>
      <c r="BF30" s="164">
        <f t="shared" si="34"/>
        <v>114.10755111179574</v>
      </c>
      <c r="BG30" s="164">
        <f t="shared" si="12"/>
        <v>97.48806713958723</v>
      </c>
      <c r="BH30" s="152"/>
      <c r="BI30" s="162">
        <f t="shared" si="13"/>
        <v>-110.81464460337465</v>
      </c>
      <c r="BJ30" s="150">
        <f t="shared" si="14"/>
        <v>0</v>
      </c>
      <c r="BK30" s="163">
        <f t="shared" si="38"/>
        <v>0</v>
      </c>
      <c r="BL30" s="163">
        <f t="shared" si="15"/>
        <v>4.1590562443016843</v>
      </c>
      <c r="BM30" s="163">
        <f t="shared" si="39"/>
        <v>-0.40166383169090691</v>
      </c>
      <c r="BN30" s="163">
        <f t="shared" si="16"/>
        <v>-4.7987253443321394E-3</v>
      </c>
      <c r="BO30" s="163">
        <f t="shared" si="17"/>
        <v>0</v>
      </c>
      <c r="BP30" s="164">
        <f t="shared" si="40"/>
        <v>-115.38016340471157</v>
      </c>
      <c r="BQ30" s="164">
        <f>IF($E30="","",IF(AND($D30=Input!$C$6,$C30=12),0,-BJ31+BK31+BL31-BM31-BN31-BO31+BQ31))</f>
        <v>-115.38015026622601</v>
      </c>
      <c r="BR30" s="161">
        <f t="shared" si="18"/>
        <v>0</v>
      </c>
      <c r="BT30" s="147">
        <f t="shared" si="19"/>
        <v>0.85435246125012587</v>
      </c>
      <c r="BU30" s="164">
        <f>IF(AND($C29=12,$D29=Input!$C$6),0,IF($E30="","",BK30+(BL30+BU31)/(1+$AK30)*MIN((1-T30-U30),1)))</f>
        <v>3183.5978972940911</v>
      </c>
      <c r="BV30" s="164">
        <f t="shared" si="20"/>
        <v>2719.914699183932</v>
      </c>
      <c r="BW30" s="164">
        <f t="shared" si="21"/>
        <v>-115.38015026622601</v>
      </c>
      <c r="BX30" s="164">
        <f t="shared" si="22"/>
        <v>-98.575315359359564</v>
      </c>
    </row>
    <row r="31" spans="1:76" s="150" customFormat="1" x14ac:dyDescent="0.25">
      <c r="A31" s="150">
        <f t="shared" si="35"/>
        <v>27</v>
      </c>
      <c r="B31" s="150">
        <f t="shared" si="36"/>
        <v>3</v>
      </c>
      <c r="C31" s="150">
        <f t="shared" si="37"/>
        <v>3</v>
      </c>
      <c r="D31" s="150">
        <f>IF(E31="","",Input!$C$4+B31-1)</f>
        <v>47</v>
      </c>
      <c r="E31" s="150">
        <f>IF(OR(AND(C30=12,D30=Input!$C$6),E30=""),"",1)</f>
        <v>1</v>
      </c>
      <c r="F31" s="150">
        <f>IF(E31="","",Input!$C$8+B31-1)</f>
        <v>2020</v>
      </c>
      <c r="G31" s="151">
        <f>IF(E31="","",MAX(0,Input!$C$9-B31))</f>
        <v>17</v>
      </c>
      <c r="H31" s="152">
        <f>IF(E31="","",Input!$C$3)</f>
        <v>100000</v>
      </c>
      <c r="I31" s="153">
        <f>IF(E31="","",HLOOKUP($B31,Input!$C$13:$BT$14,2))</f>
        <v>2.2999999999999998</v>
      </c>
      <c r="J31" s="154"/>
      <c r="K31" s="155">
        <f>IF($E31="","",INDEX(Input!$C$16:$CP$16,1,$B31))</f>
        <v>2.8539999999999999E-2</v>
      </c>
      <c r="L31" s="155">
        <f>IF($E31="","",Input!$C$37)</f>
        <v>1.4999999999999999E-2</v>
      </c>
      <c r="M31" s="155">
        <f t="shared" si="23"/>
        <v>4.3539999999999995E-2</v>
      </c>
      <c r="N31" s="155">
        <f t="shared" si="24"/>
        <v>3.5578792243551316E-3</v>
      </c>
      <c r="O31" s="147">
        <f>IF($E31="","",MIN(VLOOKUP(IF($B31&lt;=Input!$C$7,$B31,26),'Mortality Tables'!$A$41:$CW$67,IF($B31&lt;=Input!$C$7+1,Input!$C$4+2,$D31-Input!$C$7+2),0)*IF(B31&gt;20,Input!$C$22,1)/1000,1))</f>
        <v>5.04E-4</v>
      </c>
      <c r="P31" s="147">
        <f>IF($E31="","",MIN(VLOOKUP(IF($B31&lt;=Input!$C$7,$B31,26),'Mortality Tables'!$A$12:$CW$37,IF($B31&lt;=Input!$C$7+1,Input!$C$4+2,$D31-Input!$C$7+2),0)*IF(B31&gt;20,Input!$C$22,1)/1000,1))</f>
        <v>6.3000000000000003E-4</v>
      </c>
      <c r="Q31" s="155">
        <f>IF($E31="","",Input!$C$21)</f>
        <v>5.0000000000000001E-3</v>
      </c>
      <c r="R31" s="159">
        <f>IF($E31="","",(1-Q31)^($F31-Input!$C$20))</f>
        <v>0.99002500000000004</v>
      </c>
      <c r="S31" s="147">
        <f t="shared" si="0"/>
        <v>4.9897260000000008E-4</v>
      </c>
      <c r="T31" s="147">
        <f t="shared" si="1"/>
        <v>4.1590562443016843E-5</v>
      </c>
      <c r="U31" s="160">
        <f>IF($E31="","",IF($C31=12,INDEX(Input!$C$15:$CP$15,1,$B31),0))</f>
        <v>0</v>
      </c>
      <c r="V31" s="150">
        <f>IF(E31="","",IF(C31=1,IF($B31=1,Input!$C$33,Input!$C$34),0))</f>
        <v>0</v>
      </c>
      <c r="W31" s="156">
        <f>IF($E31="","",Input!$C$35)</f>
        <v>0.02</v>
      </c>
      <c r="X31" s="156">
        <f t="shared" si="2"/>
        <v>1.0404</v>
      </c>
      <c r="Y31" s="154"/>
      <c r="Z31" s="147">
        <f>IF($E31="","",VLOOKUP($D31,'Mortality Margins &amp; Grading'!$AB$5:$AF$125,3,0)*IF(Summary!$D$25="Included Margin",IF(AND($B31&gt;Input!$C$9,Summary!$D$31&lt;&gt;"Included Margin"),0,1),0))</f>
        <v>0.04</v>
      </c>
      <c r="AA31" s="147">
        <f>IF($E31="","",VLOOKUP($D31,'Mortality Margins &amp; Grading'!$AB$5:$AF$125,5,0)*IF(Summary!$D$25="Included Margin",IF(AND($B31&gt;Input!$C$9,Summary!$D$31&lt;&gt;"Included Margin"),0,1),0))</f>
        <v>0.20200000000000001</v>
      </c>
      <c r="AB31" s="147">
        <f>IF($E31="","",IF(AND($B31&gt;Input!$C$9,Summary!$D$31&lt;&gt;"Included Margin"),1,IF(Summary!$D$25="Included Margin",VLOOKUP($B31,'Mortality Margins &amp; Grading'!$AI$5:$AR$125,MATCH('Mortality Margins &amp; Grading'!$AQ$4,'Mortality Margins &amp; Grading'!$AI$4:$AR$4,0),0),1)))</f>
        <v>1</v>
      </c>
      <c r="AC31" s="154"/>
      <c r="AD31" s="158">
        <f>IF(E31="","",Input!$C$48*IF(Summary!$D$30="Included Margin",IF(AND($B31&gt;Input!$C$9,Summary!$D$31&lt;&gt;"Included Margin"),0,1),0))</f>
        <v>-4.4999999999999997E-3</v>
      </c>
      <c r="AE31" s="159">
        <f>IF(E31="","",IF(Summary!$D$26="Included Margin",IF(AND($B31&gt;Input!$C$9,Summary!$D$31&lt;&gt;"Included Margin"),1,1/$R31),1))</f>
        <v>1.01007550314386</v>
      </c>
      <c r="AF31" s="160">
        <f>IF(E31="","",IF(AND($B31&gt;=Input!$C$9,$C31=12,Summary!$D$31="Included Margin",$U31&gt;0),1/U31-1,IF($B31&gt;=Input!$C$9,0,Input!$C$45*IF(Summary!$D$27="Included Margin",1,0))))</f>
        <v>-0.1</v>
      </c>
      <c r="AG31" s="160">
        <f>IF(E31="","",Input!$C$46*IF(Summary!$D$28="Included Margin",IF(AND($B31&gt;Input!$C$9,Summary!$D$31&lt;&gt;"Included Margin"),0,1),0))</f>
        <v>0.02</v>
      </c>
      <c r="AH31" s="158">
        <f>IF(E31="","",Input!$C$47*IF(Summary!$D$29="Included Margin",IF(AND($B31&gt;Input!$C$9,Summary!$D$31&lt;&gt;"Included Margin"),0,1),0))</f>
        <v>2.5000000000000001E-3</v>
      </c>
      <c r="AI31" s="154"/>
      <c r="AJ31" s="158">
        <f t="shared" si="25"/>
        <v>3.9039999999999998E-2</v>
      </c>
      <c r="AK31" s="155">
        <f t="shared" si="26"/>
        <v>3.196532208949554E-3</v>
      </c>
      <c r="AL31" s="147">
        <f t="shared" si="27"/>
        <v>5.2415999999999997E-4</v>
      </c>
      <c r="AM31" s="147">
        <f t="shared" si="3"/>
        <v>4.3690497198656253E-5</v>
      </c>
      <c r="AN31" s="160">
        <f t="shared" si="28"/>
        <v>0</v>
      </c>
      <c r="AO31" s="161">
        <f t="shared" si="29"/>
        <v>0</v>
      </c>
      <c r="AP31" s="156">
        <f t="shared" si="4"/>
        <v>1.0455062499999999</v>
      </c>
      <c r="AQ31" s="152"/>
      <c r="AR31" s="162">
        <f t="shared" si="5"/>
        <v>114.1075399690659</v>
      </c>
      <c r="AS31" s="150">
        <f t="shared" si="30"/>
        <v>0</v>
      </c>
      <c r="AT31" s="163">
        <f t="shared" si="6"/>
        <v>0</v>
      </c>
      <c r="AU31" s="163">
        <f t="shared" si="7"/>
        <v>4.3690497198656253</v>
      </c>
      <c r="AV31" s="163">
        <f t="shared" si="31"/>
        <v>0.35776552271909151</v>
      </c>
      <c r="AW31" s="163">
        <f t="shared" si="8"/>
        <v>4.8103708087093352E-3</v>
      </c>
      <c r="AX31" s="163">
        <f t="shared" si="9"/>
        <v>0</v>
      </c>
      <c r="AY31" s="164">
        <f t="shared" si="32"/>
        <v>110.10106614272807</v>
      </c>
      <c r="AZ31" s="164">
        <f>IF($E31="","",IF(OR(AND($D31=Input!$C$6,$C31=12),$AN31=1),0,-AS32+AT32+AU32-AV32-AW32-AX32+AZ32))</f>
        <v>110.10107728545792</v>
      </c>
      <c r="BA31" s="154">
        <f t="shared" si="10"/>
        <v>1.1142729846369548E-5</v>
      </c>
      <c r="BC31" s="147">
        <f t="shared" si="33"/>
        <v>0.85431692825073791</v>
      </c>
      <c r="BD31" s="164">
        <f>IF(AND($C30=12,$D30=Input!$C$6),0,IF($E31="","",AT31+(AU31+BD32)/(1+$AK31)*MIN((1-AM31-AN31),1)))</f>
        <v>2205.6406257420176</v>
      </c>
      <c r="BE31" s="164">
        <f t="shared" si="11"/>
        <v>1884.3161242089559</v>
      </c>
      <c r="BF31" s="164">
        <f t="shared" si="34"/>
        <v>110.10107728545792</v>
      </c>
      <c r="BG31" s="164">
        <f t="shared" si="12"/>
        <v>94.061214143609504</v>
      </c>
      <c r="BH31" s="152"/>
      <c r="BI31" s="162">
        <f t="shared" si="13"/>
        <v>-115.38016340471155</v>
      </c>
      <c r="BJ31" s="150">
        <f t="shared" si="14"/>
        <v>0</v>
      </c>
      <c r="BK31" s="163">
        <f t="shared" si="38"/>
        <v>0</v>
      </c>
      <c r="BL31" s="163">
        <f t="shared" si="15"/>
        <v>4.1590562443016843</v>
      </c>
      <c r="BM31" s="163">
        <f t="shared" si="39"/>
        <v>-0.41790739618258621</v>
      </c>
      <c r="BN31" s="163">
        <f t="shared" si="16"/>
        <v>-4.9892913438543008E-3</v>
      </c>
      <c r="BO31" s="163">
        <f t="shared" si="17"/>
        <v>0</v>
      </c>
      <c r="BP31" s="164">
        <f t="shared" si="40"/>
        <v>-119.96211633653968</v>
      </c>
      <c r="BQ31" s="164">
        <f>IF($E31="","",IF(AND($D31=Input!$C$6,$C31=12),0,-BJ32+BK32+BL32-BM32-BN32-BO32+BQ32))</f>
        <v>-119.96210319805414</v>
      </c>
      <c r="BR31" s="161">
        <f t="shared" si="18"/>
        <v>0</v>
      </c>
      <c r="BT31" s="147">
        <f t="shared" si="19"/>
        <v>0.85431692825073791</v>
      </c>
      <c r="BU31" s="164">
        <f>IF(AND($C30=12,$D30=Input!$C$6),0,IF($E31="","",BK31+(BL31+BU32)/(1+$AK31)*MIN((1-T31-U31),1)))</f>
        <v>3189.7481506659606</v>
      </c>
      <c r="BV31" s="164">
        <f t="shared" si="20"/>
        <v>2725.0558419704153</v>
      </c>
      <c r="BW31" s="164">
        <f t="shared" si="21"/>
        <v>-119.96210319805414</v>
      </c>
      <c r="BX31" s="164">
        <f t="shared" si="22"/>
        <v>-102.48565551065963</v>
      </c>
    </row>
    <row r="32" spans="1:76" s="150" customFormat="1" x14ac:dyDescent="0.25">
      <c r="A32" s="150">
        <f t="shared" si="35"/>
        <v>28</v>
      </c>
      <c r="B32" s="150">
        <f t="shared" si="36"/>
        <v>3</v>
      </c>
      <c r="C32" s="150">
        <f t="shared" si="37"/>
        <v>4</v>
      </c>
      <c r="D32" s="150">
        <f>IF(E32="","",Input!$C$4+B32-1)</f>
        <v>47</v>
      </c>
      <c r="E32" s="150">
        <f>IF(OR(AND(C31=12,D31=Input!$C$6),E31=""),"",1)</f>
        <v>1</v>
      </c>
      <c r="F32" s="150">
        <f>IF(E32="","",Input!$C$8+B32-1)</f>
        <v>2020</v>
      </c>
      <c r="G32" s="151">
        <f>IF(E32="","",MAX(0,Input!$C$9-B32))</f>
        <v>17</v>
      </c>
      <c r="H32" s="152">
        <f>IF(E32="","",Input!$C$3)</f>
        <v>100000</v>
      </c>
      <c r="I32" s="153">
        <f>IF(E32="","",HLOOKUP($B32,Input!$C$13:$BT$14,2))</f>
        <v>2.2999999999999998</v>
      </c>
      <c r="J32" s="154"/>
      <c r="K32" s="155">
        <f>IF($E32="","",INDEX(Input!$C$16:$CP$16,1,$B32))</f>
        <v>2.8539999999999999E-2</v>
      </c>
      <c r="L32" s="155">
        <f>IF($E32="","",Input!$C$37)</f>
        <v>1.4999999999999999E-2</v>
      </c>
      <c r="M32" s="155">
        <f t="shared" si="23"/>
        <v>4.3539999999999995E-2</v>
      </c>
      <c r="N32" s="155">
        <f t="shared" si="24"/>
        <v>3.5578792243551316E-3</v>
      </c>
      <c r="O32" s="147">
        <f>IF($E32="","",MIN(VLOOKUP(IF($B32&lt;=Input!$C$7,$B32,26),'Mortality Tables'!$A$41:$CW$67,IF($B32&lt;=Input!$C$7+1,Input!$C$4+2,$D32-Input!$C$7+2),0)*IF(B32&gt;20,Input!$C$22,1)/1000,1))</f>
        <v>5.04E-4</v>
      </c>
      <c r="P32" s="147">
        <f>IF($E32="","",MIN(VLOOKUP(IF($B32&lt;=Input!$C$7,$B32,26),'Mortality Tables'!$A$12:$CW$37,IF($B32&lt;=Input!$C$7+1,Input!$C$4+2,$D32-Input!$C$7+2),0)*IF(B32&gt;20,Input!$C$22,1)/1000,1))</f>
        <v>6.3000000000000003E-4</v>
      </c>
      <c r="Q32" s="155">
        <f>IF($E32="","",Input!$C$21)</f>
        <v>5.0000000000000001E-3</v>
      </c>
      <c r="R32" s="159">
        <f>IF($E32="","",(1-Q32)^($F32-Input!$C$20))</f>
        <v>0.99002500000000004</v>
      </c>
      <c r="S32" s="147">
        <f t="shared" si="0"/>
        <v>4.9897260000000008E-4</v>
      </c>
      <c r="T32" s="147">
        <f t="shared" si="1"/>
        <v>4.1590562443016843E-5</v>
      </c>
      <c r="U32" s="160">
        <f>IF($E32="","",IF($C32=12,INDEX(Input!$C$15:$CP$15,1,$B32),0))</f>
        <v>0</v>
      </c>
      <c r="V32" s="150">
        <f>IF(E32="","",IF(C32=1,IF($B32=1,Input!$C$33,Input!$C$34),0))</f>
        <v>0</v>
      </c>
      <c r="W32" s="156">
        <f>IF($E32="","",Input!$C$35)</f>
        <v>0.02</v>
      </c>
      <c r="X32" s="156">
        <f t="shared" si="2"/>
        <v>1.0404</v>
      </c>
      <c r="Y32" s="154"/>
      <c r="Z32" s="147">
        <f>IF($E32="","",VLOOKUP($D32,'Mortality Margins &amp; Grading'!$AB$5:$AF$125,3,0)*IF(Summary!$D$25="Included Margin",IF(AND($B32&gt;Input!$C$9,Summary!$D$31&lt;&gt;"Included Margin"),0,1),0))</f>
        <v>0.04</v>
      </c>
      <c r="AA32" s="147">
        <f>IF($E32="","",VLOOKUP($D32,'Mortality Margins &amp; Grading'!$AB$5:$AF$125,5,0)*IF(Summary!$D$25="Included Margin",IF(AND($B32&gt;Input!$C$9,Summary!$D$31&lt;&gt;"Included Margin"),0,1),0))</f>
        <v>0.20200000000000001</v>
      </c>
      <c r="AB32" s="147">
        <f>IF($E32="","",IF(AND($B32&gt;Input!$C$9,Summary!$D$31&lt;&gt;"Included Margin"),1,IF(Summary!$D$25="Included Margin",VLOOKUP($B32,'Mortality Margins &amp; Grading'!$AI$5:$AR$125,MATCH('Mortality Margins &amp; Grading'!$AQ$4,'Mortality Margins &amp; Grading'!$AI$4:$AR$4,0),0),1)))</f>
        <v>1</v>
      </c>
      <c r="AC32" s="154"/>
      <c r="AD32" s="158">
        <f>IF(E32="","",Input!$C$48*IF(Summary!$D$30="Included Margin",IF(AND($B32&gt;Input!$C$9,Summary!$D$31&lt;&gt;"Included Margin"),0,1),0))</f>
        <v>-4.4999999999999997E-3</v>
      </c>
      <c r="AE32" s="159">
        <f>IF(E32="","",IF(Summary!$D$26="Included Margin",IF(AND($B32&gt;Input!$C$9,Summary!$D$31&lt;&gt;"Included Margin"),1,1/$R32),1))</f>
        <v>1.01007550314386</v>
      </c>
      <c r="AF32" s="160">
        <f>IF(E32="","",IF(AND($B32&gt;=Input!$C$9,$C32=12,Summary!$D$31="Included Margin",$U32&gt;0),1/U32-1,IF($B32&gt;=Input!$C$9,0,Input!$C$45*IF(Summary!$D$27="Included Margin",1,0))))</f>
        <v>-0.1</v>
      </c>
      <c r="AG32" s="160">
        <f>IF(E32="","",Input!$C$46*IF(Summary!$D$28="Included Margin",IF(AND($B32&gt;Input!$C$9,Summary!$D$31&lt;&gt;"Included Margin"),0,1),0))</f>
        <v>0.02</v>
      </c>
      <c r="AH32" s="158">
        <f>IF(E32="","",Input!$C$47*IF(Summary!$D$29="Included Margin",IF(AND($B32&gt;Input!$C$9,Summary!$D$31&lt;&gt;"Included Margin"),0,1),0))</f>
        <v>2.5000000000000001E-3</v>
      </c>
      <c r="AI32" s="154"/>
      <c r="AJ32" s="158">
        <f t="shared" si="25"/>
        <v>3.9039999999999998E-2</v>
      </c>
      <c r="AK32" s="155">
        <f t="shared" si="26"/>
        <v>3.196532208949554E-3</v>
      </c>
      <c r="AL32" s="147">
        <f t="shared" si="27"/>
        <v>5.2415999999999997E-4</v>
      </c>
      <c r="AM32" s="147">
        <f t="shared" si="3"/>
        <v>4.3690497198656253E-5</v>
      </c>
      <c r="AN32" s="160">
        <f t="shared" si="28"/>
        <v>0</v>
      </c>
      <c r="AO32" s="161">
        <f t="shared" si="29"/>
        <v>0</v>
      </c>
      <c r="AP32" s="156">
        <f t="shared" si="4"/>
        <v>1.0455062499999999</v>
      </c>
      <c r="AQ32" s="152"/>
      <c r="AR32" s="162">
        <f t="shared" si="5"/>
        <v>110.10106614272807</v>
      </c>
      <c r="AS32" s="150">
        <f t="shared" si="30"/>
        <v>0</v>
      </c>
      <c r="AT32" s="163">
        <f t="shared" si="6"/>
        <v>0</v>
      </c>
      <c r="AU32" s="163">
        <f t="shared" si="7"/>
        <v>4.3690497198656253</v>
      </c>
      <c r="AV32" s="163">
        <f t="shared" si="31"/>
        <v>0.34495870008888929</v>
      </c>
      <c r="AW32" s="163">
        <f t="shared" si="8"/>
        <v>4.6347587661975326E-3</v>
      </c>
      <c r="AX32" s="163">
        <f t="shared" si="9"/>
        <v>0</v>
      </c>
      <c r="AY32" s="164">
        <f t="shared" si="32"/>
        <v>106.08160988171754</v>
      </c>
      <c r="AZ32" s="164">
        <f>IF($E32="","",IF(OR(AND($D32=Input!$C$6,$C32=12),$AN32=1),0,-AS33+AT33+AU33-AV33-AW33-AX33+AZ33))</f>
        <v>106.08162102444739</v>
      </c>
      <c r="BA32" s="154">
        <f t="shared" si="10"/>
        <v>1.1142729846369548E-5</v>
      </c>
      <c r="BC32" s="147">
        <f t="shared" si="33"/>
        <v>0.85428139672918735</v>
      </c>
      <c r="BD32" s="164">
        <f>IF(AND($C31=12,$D31=Input!$C$6),0,IF($E32="","",AT32+(AU32+BD33)/(1+$AK32)*MIN((1-AM32-AN32),1)))</f>
        <v>2208.4186551187236</v>
      </c>
      <c r="BE32" s="164">
        <f t="shared" si="11"/>
        <v>1886.6109732576167</v>
      </c>
      <c r="BF32" s="164">
        <f t="shared" si="34"/>
        <v>106.08162102444739</v>
      </c>
      <c r="BG32" s="164">
        <f t="shared" si="12"/>
        <v>90.623555376061233</v>
      </c>
      <c r="BH32" s="152"/>
      <c r="BI32" s="162">
        <f t="shared" si="13"/>
        <v>-119.96211633653968</v>
      </c>
      <c r="BJ32" s="150">
        <f t="shared" si="14"/>
        <v>0</v>
      </c>
      <c r="BK32" s="163">
        <f t="shared" si="38"/>
        <v>0</v>
      </c>
      <c r="BL32" s="163">
        <f t="shared" si="15"/>
        <v>4.1590562443016843</v>
      </c>
      <c r="BM32" s="163">
        <f t="shared" si="39"/>
        <v>-0.4342094313257106</v>
      </c>
      <c r="BN32" s="163">
        <f t="shared" si="16"/>
        <v>-5.1805433084638076E-3</v>
      </c>
      <c r="BO32" s="163">
        <f t="shared" si="17"/>
        <v>0</v>
      </c>
      <c r="BP32" s="164">
        <f t="shared" si="40"/>
        <v>-124.56056255547554</v>
      </c>
      <c r="BQ32" s="164">
        <f>IF($E32="","",IF(AND($D32=Input!$C$6,$C32=12),0,-BJ33+BK33+BL33-BM33-BN33-BO33+BQ33))</f>
        <v>-124.56054941699</v>
      </c>
      <c r="BR32" s="161">
        <f t="shared" si="18"/>
        <v>0</v>
      </c>
      <c r="BT32" s="147">
        <f t="shared" si="19"/>
        <v>0.85428139672918735</v>
      </c>
      <c r="BU32" s="164">
        <f>IF(AND($C31=12,$D31=Input!$C$6),0,IF($E32="","",BK32+(BL32+BU33)/(1+$AK32)*MIN((1-T32-U32),1)))</f>
        <v>3195.9183201416454</v>
      </c>
      <c r="BV32" s="164">
        <f t="shared" si="20"/>
        <v>2730.2135663630029</v>
      </c>
      <c r="BW32" s="164">
        <f t="shared" si="21"/>
        <v>-124.56054941699</v>
      </c>
      <c r="BX32" s="164">
        <f t="shared" si="22"/>
        <v>-106.40976013330118</v>
      </c>
    </row>
    <row r="33" spans="1:76" s="150" customFormat="1" x14ac:dyDescent="0.25">
      <c r="A33" s="150">
        <f t="shared" si="35"/>
        <v>29</v>
      </c>
      <c r="B33" s="150">
        <f t="shared" si="36"/>
        <v>3</v>
      </c>
      <c r="C33" s="150">
        <f t="shared" si="37"/>
        <v>5</v>
      </c>
      <c r="D33" s="150">
        <f>IF(E33="","",Input!$C$4+B33-1)</f>
        <v>47</v>
      </c>
      <c r="E33" s="150">
        <f>IF(OR(AND(C32=12,D32=Input!$C$6),E32=""),"",1)</f>
        <v>1</v>
      </c>
      <c r="F33" s="150">
        <f>IF(E33="","",Input!$C$8+B33-1)</f>
        <v>2020</v>
      </c>
      <c r="G33" s="151">
        <f>IF(E33="","",MAX(0,Input!$C$9-B33))</f>
        <v>17</v>
      </c>
      <c r="H33" s="152">
        <f>IF(E33="","",Input!$C$3)</f>
        <v>100000</v>
      </c>
      <c r="I33" s="153">
        <f>IF(E33="","",HLOOKUP($B33,Input!$C$13:$BT$14,2))</f>
        <v>2.2999999999999998</v>
      </c>
      <c r="J33" s="154"/>
      <c r="K33" s="155">
        <f>IF($E33="","",INDEX(Input!$C$16:$CP$16,1,$B33))</f>
        <v>2.8539999999999999E-2</v>
      </c>
      <c r="L33" s="155">
        <f>IF($E33="","",Input!$C$37)</f>
        <v>1.4999999999999999E-2</v>
      </c>
      <c r="M33" s="155">
        <f t="shared" si="23"/>
        <v>4.3539999999999995E-2</v>
      </c>
      <c r="N33" s="155">
        <f t="shared" si="24"/>
        <v>3.5578792243551316E-3</v>
      </c>
      <c r="O33" s="147">
        <f>IF($E33="","",MIN(VLOOKUP(IF($B33&lt;=Input!$C$7,$B33,26),'Mortality Tables'!$A$41:$CW$67,IF($B33&lt;=Input!$C$7+1,Input!$C$4+2,$D33-Input!$C$7+2),0)*IF(B33&gt;20,Input!$C$22,1)/1000,1))</f>
        <v>5.04E-4</v>
      </c>
      <c r="P33" s="147">
        <f>IF($E33="","",MIN(VLOOKUP(IF($B33&lt;=Input!$C$7,$B33,26),'Mortality Tables'!$A$12:$CW$37,IF($B33&lt;=Input!$C$7+1,Input!$C$4+2,$D33-Input!$C$7+2),0)*IF(B33&gt;20,Input!$C$22,1)/1000,1))</f>
        <v>6.3000000000000003E-4</v>
      </c>
      <c r="Q33" s="155">
        <f>IF($E33="","",Input!$C$21)</f>
        <v>5.0000000000000001E-3</v>
      </c>
      <c r="R33" s="159">
        <f>IF($E33="","",(1-Q33)^($F33-Input!$C$20))</f>
        <v>0.99002500000000004</v>
      </c>
      <c r="S33" s="147">
        <f t="shared" si="0"/>
        <v>4.9897260000000008E-4</v>
      </c>
      <c r="T33" s="147">
        <f t="shared" si="1"/>
        <v>4.1590562443016843E-5</v>
      </c>
      <c r="U33" s="160">
        <f>IF($E33="","",IF($C33=12,INDEX(Input!$C$15:$CP$15,1,$B33),0))</f>
        <v>0</v>
      </c>
      <c r="V33" s="150">
        <f>IF(E33="","",IF(C33=1,IF($B33=1,Input!$C$33,Input!$C$34),0))</f>
        <v>0</v>
      </c>
      <c r="W33" s="156">
        <f>IF($E33="","",Input!$C$35)</f>
        <v>0.02</v>
      </c>
      <c r="X33" s="156">
        <f t="shared" si="2"/>
        <v>1.0404</v>
      </c>
      <c r="Y33" s="154"/>
      <c r="Z33" s="147">
        <f>IF($E33="","",VLOOKUP($D33,'Mortality Margins &amp; Grading'!$AB$5:$AF$125,3,0)*IF(Summary!$D$25="Included Margin",IF(AND($B33&gt;Input!$C$9,Summary!$D$31&lt;&gt;"Included Margin"),0,1),0))</f>
        <v>0.04</v>
      </c>
      <c r="AA33" s="147">
        <f>IF($E33="","",VLOOKUP($D33,'Mortality Margins &amp; Grading'!$AB$5:$AF$125,5,0)*IF(Summary!$D$25="Included Margin",IF(AND($B33&gt;Input!$C$9,Summary!$D$31&lt;&gt;"Included Margin"),0,1),0))</f>
        <v>0.20200000000000001</v>
      </c>
      <c r="AB33" s="147">
        <f>IF($E33="","",IF(AND($B33&gt;Input!$C$9,Summary!$D$31&lt;&gt;"Included Margin"),1,IF(Summary!$D$25="Included Margin",VLOOKUP($B33,'Mortality Margins &amp; Grading'!$AI$5:$AR$125,MATCH('Mortality Margins &amp; Grading'!$AQ$4,'Mortality Margins &amp; Grading'!$AI$4:$AR$4,0),0),1)))</f>
        <v>1</v>
      </c>
      <c r="AC33" s="154"/>
      <c r="AD33" s="158">
        <f>IF(E33="","",Input!$C$48*IF(Summary!$D$30="Included Margin",IF(AND($B33&gt;Input!$C$9,Summary!$D$31&lt;&gt;"Included Margin"),0,1),0))</f>
        <v>-4.4999999999999997E-3</v>
      </c>
      <c r="AE33" s="159">
        <f>IF(E33="","",IF(Summary!$D$26="Included Margin",IF(AND($B33&gt;Input!$C$9,Summary!$D$31&lt;&gt;"Included Margin"),1,1/$R33),1))</f>
        <v>1.01007550314386</v>
      </c>
      <c r="AF33" s="160">
        <f>IF(E33="","",IF(AND($B33&gt;=Input!$C$9,$C33=12,Summary!$D$31="Included Margin",$U33&gt;0),1/U33-1,IF($B33&gt;=Input!$C$9,0,Input!$C$45*IF(Summary!$D$27="Included Margin",1,0))))</f>
        <v>-0.1</v>
      </c>
      <c r="AG33" s="160">
        <f>IF(E33="","",Input!$C$46*IF(Summary!$D$28="Included Margin",IF(AND($B33&gt;Input!$C$9,Summary!$D$31&lt;&gt;"Included Margin"),0,1),0))</f>
        <v>0.02</v>
      </c>
      <c r="AH33" s="158">
        <f>IF(E33="","",Input!$C$47*IF(Summary!$D$29="Included Margin",IF(AND($B33&gt;Input!$C$9,Summary!$D$31&lt;&gt;"Included Margin"),0,1),0))</f>
        <v>2.5000000000000001E-3</v>
      </c>
      <c r="AI33" s="154"/>
      <c r="AJ33" s="158">
        <f t="shared" si="25"/>
        <v>3.9039999999999998E-2</v>
      </c>
      <c r="AK33" s="155">
        <f t="shared" si="26"/>
        <v>3.196532208949554E-3</v>
      </c>
      <c r="AL33" s="147">
        <f t="shared" si="27"/>
        <v>5.2415999999999997E-4</v>
      </c>
      <c r="AM33" s="147">
        <f t="shared" si="3"/>
        <v>4.3690497198656253E-5</v>
      </c>
      <c r="AN33" s="160">
        <f t="shared" si="28"/>
        <v>0</v>
      </c>
      <c r="AO33" s="161">
        <f t="shared" si="29"/>
        <v>0</v>
      </c>
      <c r="AP33" s="156">
        <f t="shared" si="4"/>
        <v>1.0455062499999999</v>
      </c>
      <c r="AQ33" s="152"/>
      <c r="AR33" s="162">
        <f t="shared" si="5"/>
        <v>106.08160988171753</v>
      </c>
      <c r="AS33" s="150">
        <f t="shared" si="30"/>
        <v>0</v>
      </c>
      <c r="AT33" s="163">
        <f t="shared" si="6"/>
        <v>0</v>
      </c>
      <c r="AU33" s="163">
        <f t="shared" si="7"/>
        <v>4.3690497198656253</v>
      </c>
      <c r="AV33" s="163">
        <f t="shared" si="31"/>
        <v>0.33211037868810511</v>
      </c>
      <c r="AW33" s="163">
        <f t="shared" si="8"/>
        <v>4.4585776766961644E-3</v>
      </c>
      <c r="AX33" s="163">
        <f t="shared" si="9"/>
        <v>0</v>
      </c>
      <c r="AY33" s="164">
        <f t="shared" si="32"/>
        <v>102.0491291182167</v>
      </c>
      <c r="AZ33" s="164">
        <f>IF($E33="","",IF(OR(AND($D33=Input!$C$6,$C33=12),$AN33=1),0,-AS34+AT34+AU34-AV34-AW34-AX34+AZ34))</f>
        <v>102.04914026094656</v>
      </c>
      <c r="BA33" s="154">
        <f t="shared" si="10"/>
        <v>1.1142729860580403E-5</v>
      </c>
      <c r="BC33" s="147">
        <f t="shared" si="33"/>
        <v>0.8542458666854128</v>
      </c>
      <c r="BD33" s="164">
        <f>IF(AND($C32=12,$D32=Input!$C$6),0,IF($E33="","",AT33+(AU33+BD34)/(1+$AK33)*MIN((1-AM33-AN33),1)))</f>
        <v>2211.2056863225889</v>
      </c>
      <c r="BE33" s="164">
        <f t="shared" si="11"/>
        <v>1888.913317932353</v>
      </c>
      <c r="BF33" s="164">
        <f t="shared" si="34"/>
        <v>102.04914026094656</v>
      </c>
      <c r="BG33" s="164">
        <f t="shared" si="12"/>
        <v>87.17505626671354</v>
      </c>
      <c r="BH33" s="152"/>
      <c r="BI33" s="162">
        <f t="shared" si="13"/>
        <v>-124.56056255547556</v>
      </c>
      <c r="BJ33" s="150">
        <f t="shared" si="14"/>
        <v>0</v>
      </c>
      <c r="BK33" s="163">
        <f t="shared" si="38"/>
        <v>0</v>
      </c>
      <c r="BL33" s="163">
        <f t="shared" si="15"/>
        <v>4.1590562443016843</v>
      </c>
      <c r="BM33" s="163">
        <f t="shared" si="39"/>
        <v>-0.45057014759237696</v>
      </c>
      <c r="BN33" s="163">
        <f t="shared" si="16"/>
        <v>-5.3724837073739614E-3</v>
      </c>
      <c r="BO33" s="163">
        <f t="shared" si="17"/>
        <v>0</v>
      </c>
      <c r="BP33" s="164">
        <f t="shared" si="40"/>
        <v>-129.17556143107697</v>
      </c>
      <c r="BQ33" s="164">
        <f>IF($E33="","",IF(AND($D33=Input!$C$6,$C33=12),0,-BJ34+BK34+BL34-BM34-BN34-BO34+BQ34))</f>
        <v>-129.17554829259143</v>
      </c>
      <c r="BR33" s="161">
        <f t="shared" si="18"/>
        <v>0</v>
      </c>
      <c r="BT33" s="147">
        <f t="shared" si="19"/>
        <v>0.8542458666854128</v>
      </c>
      <c r="BU33" s="164">
        <f>IF(AND($C32=12,$D32=Input!$C$6),0,IF($E33="","",BK33+(BL33+BU34)/(1+$AK33)*MIN((1-T33-U33),1)))</f>
        <v>3202.1084702146163</v>
      </c>
      <c r="BV33" s="164">
        <f t="shared" si="20"/>
        <v>2735.3879253591863</v>
      </c>
      <c r="BW33" s="164">
        <f t="shared" si="21"/>
        <v>-129.17554829259143</v>
      </c>
      <c r="BX33" s="164">
        <f t="shared" si="22"/>
        <v>-110.34767820576816</v>
      </c>
    </row>
    <row r="34" spans="1:76" s="150" customFormat="1" x14ac:dyDescent="0.25">
      <c r="A34" s="150">
        <f t="shared" si="35"/>
        <v>30</v>
      </c>
      <c r="B34" s="150">
        <f t="shared" si="36"/>
        <v>3</v>
      </c>
      <c r="C34" s="150">
        <f t="shared" si="37"/>
        <v>6</v>
      </c>
      <c r="D34" s="150">
        <f>IF(E34="","",Input!$C$4+B34-1)</f>
        <v>47</v>
      </c>
      <c r="E34" s="150">
        <f>IF(OR(AND(C33=12,D33=Input!$C$6),E33=""),"",1)</f>
        <v>1</v>
      </c>
      <c r="F34" s="150">
        <f>IF(E34="","",Input!$C$8+B34-1)</f>
        <v>2020</v>
      </c>
      <c r="G34" s="151">
        <f>IF(E34="","",MAX(0,Input!$C$9-B34))</f>
        <v>17</v>
      </c>
      <c r="H34" s="152">
        <f>IF(E34="","",Input!$C$3)</f>
        <v>100000</v>
      </c>
      <c r="I34" s="153">
        <f>IF(E34="","",HLOOKUP($B34,Input!$C$13:$BT$14,2))</f>
        <v>2.2999999999999998</v>
      </c>
      <c r="J34" s="154"/>
      <c r="K34" s="155">
        <f>IF($E34="","",INDEX(Input!$C$16:$CP$16,1,$B34))</f>
        <v>2.8539999999999999E-2</v>
      </c>
      <c r="L34" s="155">
        <f>IF($E34="","",Input!$C$37)</f>
        <v>1.4999999999999999E-2</v>
      </c>
      <c r="M34" s="155">
        <f t="shared" si="23"/>
        <v>4.3539999999999995E-2</v>
      </c>
      <c r="N34" s="155">
        <f t="shared" si="24"/>
        <v>3.5578792243551316E-3</v>
      </c>
      <c r="O34" s="147">
        <f>IF($E34="","",MIN(VLOOKUP(IF($B34&lt;=Input!$C$7,$B34,26),'Mortality Tables'!$A$41:$CW$67,IF($B34&lt;=Input!$C$7+1,Input!$C$4+2,$D34-Input!$C$7+2),0)*IF(B34&gt;20,Input!$C$22,1)/1000,1))</f>
        <v>5.04E-4</v>
      </c>
      <c r="P34" s="147">
        <f>IF($E34="","",MIN(VLOOKUP(IF($B34&lt;=Input!$C$7,$B34,26),'Mortality Tables'!$A$12:$CW$37,IF($B34&lt;=Input!$C$7+1,Input!$C$4+2,$D34-Input!$C$7+2),0)*IF(B34&gt;20,Input!$C$22,1)/1000,1))</f>
        <v>6.3000000000000003E-4</v>
      </c>
      <c r="Q34" s="155">
        <f>IF($E34="","",Input!$C$21)</f>
        <v>5.0000000000000001E-3</v>
      </c>
      <c r="R34" s="159">
        <f>IF($E34="","",(1-Q34)^($F34-Input!$C$20))</f>
        <v>0.99002500000000004</v>
      </c>
      <c r="S34" s="147">
        <f t="shared" si="0"/>
        <v>4.9897260000000008E-4</v>
      </c>
      <c r="T34" s="147">
        <f t="shared" si="1"/>
        <v>4.1590562443016843E-5</v>
      </c>
      <c r="U34" s="160">
        <f>IF($E34="","",IF($C34=12,INDEX(Input!$C$15:$CP$15,1,$B34),0))</f>
        <v>0</v>
      </c>
      <c r="V34" s="150">
        <f>IF(E34="","",IF(C34=1,IF($B34=1,Input!$C$33,Input!$C$34),0))</f>
        <v>0</v>
      </c>
      <c r="W34" s="156">
        <f>IF($E34="","",Input!$C$35)</f>
        <v>0.02</v>
      </c>
      <c r="X34" s="156">
        <f t="shared" si="2"/>
        <v>1.0404</v>
      </c>
      <c r="Y34" s="154"/>
      <c r="Z34" s="147">
        <f>IF($E34="","",VLOOKUP($D34,'Mortality Margins &amp; Grading'!$AB$5:$AF$125,3,0)*IF(Summary!$D$25="Included Margin",IF(AND($B34&gt;Input!$C$9,Summary!$D$31&lt;&gt;"Included Margin"),0,1),0))</f>
        <v>0.04</v>
      </c>
      <c r="AA34" s="147">
        <f>IF($E34="","",VLOOKUP($D34,'Mortality Margins &amp; Grading'!$AB$5:$AF$125,5,0)*IF(Summary!$D$25="Included Margin",IF(AND($B34&gt;Input!$C$9,Summary!$D$31&lt;&gt;"Included Margin"),0,1),0))</f>
        <v>0.20200000000000001</v>
      </c>
      <c r="AB34" s="147">
        <f>IF($E34="","",IF(AND($B34&gt;Input!$C$9,Summary!$D$31&lt;&gt;"Included Margin"),1,IF(Summary!$D$25="Included Margin",VLOOKUP($B34,'Mortality Margins &amp; Grading'!$AI$5:$AR$125,MATCH('Mortality Margins &amp; Grading'!$AQ$4,'Mortality Margins &amp; Grading'!$AI$4:$AR$4,0),0),1)))</f>
        <v>1</v>
      </c>
      <c r="AC34" s="154"/>
      <c r="AD34" s="158">
        <f>IF(E34="","",Input!$C$48*IF(Summary!$D$30="Included Margin",IF(AND($B34&gt;Input!$C$9,Summary!$D$31&lt;&gt;"Included Margin"),0,1),0))</f>
        <v>-4.4999999999999997E-3</v>
      </c>
      <c r="AE34" s="159">
        <f>IF(E34="","",IF(Summary!$D$26="Included Margin",IF(AND($B34&gt;Input!$C$9,Summary!$D$31&lt;&gt;"Included Margin"),1,1/$R34),1))</f>
        <v>1.01007550314386</v>
      </c>
      <c r="AF34" s="160">
        <f>IF(E34="","",IF(AND($B34&gt;=Input!$C$9,$C34=12,Summary!$D$31="Included Margin",$U34&gt;0),1/U34-1,IF($B34&gt;=Input!$C$9,0,Input!$C$45*IF(Summary!$D$27="Included Margin",1,0))))</f>
        <v>-0.1</v>
      </c>
      <c r="AG34" s="160">
        <f>IF(E34="","",Input!$C$46*IF(Summary!$D$28="Included Margin",IF(AND($B34&gt;Input!$C$9,Summary!$D$31&lt;&gt;"Included Margin"),0,1),0))</f>
        <v>0.02</v>
      </c>
      <c r="AH34" s="158">
        <f>IF(E34="","",Input!$C$47*IF(Summary!$D$29="Included Margin",IF(AND($B34&gt;Input!$C$9,Summary!$D$31&lt;&gt;"Included Margin"),0,1),0))</f>
        <v>2.5000000000000001E-3</v>
      </c>
      <c r="AI34" s="154"/>
      <c r="AJ34" s="158">
        <f t="shared" si="25"/>
        <v>3.9039999999999998E-2</v>
      </c>
      <c r="AK34" s="155">
        <f t="shared" si="26"/>
        <v>3.196532208949554E-3</v>
      </c>
      <c r="AL34" s="147">
        <f t="shared" si="27"/>
        <v>5.2415999999999997E-4</v>
      </c>
      <c r="AM34" s="147">
        <f t="shared" si="3"/>
        <v>4.3690497198656253E-5</v>
      </c>
      <c r="AN34" s="160">
        <f t="shared" si="28"/>
        <v>0</v>
      </c>
      <c r="AO34" s="161">
        <f t="shared" si="29"/>
        <v>0</v>
      </c>
      <c r="AP34" s="156">
        <f t="shared" si="4"/>
        <v>1.0455062499999999</v>
      </c>
      <c r="AQ34" s="152"/>
      <c r="AR34" s="162">
        <f t="shared" si="5"/>
        <v>102.04912911821671</v>
      </c>
      <c r="AS34" s="150">
        <f t="shared" si="30"/>
        <v>0</v>
      </c>
      <c r="AT34" s="163">
        <f t="shared" si="6"/>
        <v>0</v>
      </c>
      <c r="AU34" s="163">
        <f t="shared" si="7"/>
        <v>4.3690497198656253</v>
      </c>
      <c r="AV34" s="163">
        <f t="shared" si="31"/>
        <v>0.3192204240456053</v>
      </c>
      <c r="AW34" s="163">
        <f t="shared" si="8"/>
        <v>4.2818256962856927E-3</v>
      </c>
      <c r="AX34" s="163">
        <f t="shared" si="9"/>
        <v>0</v>
      </c>
      <c r="AY34" s="164">
        <f t="shared" si="32"/>
        <v>98.003581648092975</v>
      </c>
      <c r="AZ34" s="164">
        <f>IF($E34="","",IF(OR(AND($D34=Input!$C$6,$C34=12),$AN34=1),0,-AS35+AT35+AU35-AV35-AW35-AX35+AZ35))</f>
        <v>98.003592790822822</v>
      </c>
      <c r="BA34" s="154">
        <f t="shared" si="10"/>
        <v>1.1142729846369548E-5</v>
      </c>
      <c r="BC34" s="147">
        <f t="shared" si="33"/>
        <v>0.85421033811935276</v>
      </c>
      <c r="BD34" s="164">
        <f>IF(AND($C33=12,$D33=Input!$C$6),0,IF($E34="","",AT34+(AU34+BD35)/(1+$AK34)*MIN((1-AM34-AN34),1)))</f>
        <v>2214.0017485228122</v>
      </c>
      <c r="BE34" s="164">
        <f t="shared" si="11"/>
        <v>1891.2231822025096</v>
      </c>
      <c r="BF34" s="164">
        <f t="shared" si="34"/>
        <v>98.003592790822822</v>
      </c>
      <c r="BG34" s="164">
        <f t="shared" si="12"/>
        <v>83.715682134760129</v>
      </c>
      <c r="BH34" s="152"/>
      <c r="BI34" s="162">
        <f t="shared" si="13"/>
        <v>-129.175561431077</v>
      </c>
      <c r="BJ34" s="150">
        <f t="shared" si="14"/>
        <v>0</v>
      </c>
      <c r="BK34" s="163">
        <f t="shared" si="38"/>
        <v>0</v>
      </c>
      <c r="BL34" s="163">
        <f t="shared" si="15"/>
        <v>4.1590562443016843</v>
      </c>
      <c r="BM34" s="163">
        <f t="shared" si="39"/>
        <v>-0.4669897562123016</v>
      </c>
      <c r="BN34" s="163">
        <f t="shared" si="16"/>
        <v>-5.5651150186862945E-3</v>
      </c>
      <c r="BO34" s="163">
        <f t="shared" si="17"/>
        <v>0</v>
      </c>
      <c r="BP34" s="164">
        <f t="shared" si="40"/>
        <v>-133.80717254660971</v>
      </c>
      <c r="BQ34" s="164">
        <f>IF($E34="","",IF(AND($D34=Input!$C$6,$C34=12),0,-BJ35+BK35+BL35-BM35-BN35-BO35+BQ35))</f>
        <v>-133.80715940812411</v>
      </c>
      <c r="BR34" s="161">
        <f t="shared" si="18"/>
        <v>0</v>
      </c>
      <c r="BT34" s="147">
        <f t="shared" si="19"/>
        <v>0.85421033811935276</v>
      </c>
      <c r="BU34" s="164">
        <f>IF(AND($C33=12,$D33=Input!$C$6),0,IF($E34="","",BK34+(BL34+BU35)/(1+$AK34)*MIN((1-T34-U34),1)))</f>
        <v>3208.3186655871928</v>
      </c>
      <c r="BV34" s="164">
        <f t="shared" si="20"/>
        <v>2740.5789721258666</v>
      </c>
      <c r="BW34" s="164">
        <f t="shared" si="21"/>
        <v>-133.80715940812411</v>
      </c>
      <c r="BX34" s="164">
        <f t="shared" si="22"/>
        <v>-114.29945888080383</v>
      </c>
    </row>
    <row r="35" spans="1:76" s="150" customFormat="1" x14ac:dyDescent="0.25">
      <c r="A35" s="150">
        <f t="shared" si="35"/>
        <v>31</v>
      </c>
      <c r="B35" s="150">
        <f t="shared" si="36"/>
        <v>3</v>
      </c>
      <c r="C35" s="150">
        <f t="shared" si="37"/>
        <v>7</v>
      </c>
      <c r="D35" s="150">
        <f>IF(E35="","",Input!$C$4+B35-1)</f>
        <v>47</v>
      </c>
      <c r="E35" s="150">
        <f>IF(OR(AND(C34=12,D34=Input!$C$6),E34=""),"",1)</f>
        <v>1</v>
      </c>
      <c r="F35" s="150">
        <f>IF(E35="","",Input!$C$8+B35-1)</f>
        <v>2020</v>
      </c>
      <c r="G35" s="151">
        <f>IF(E35="","",MAX(0,Input!$C$9-B35))</f>
        <v>17</v>
      </c>
      <c r="H35" s="152">
        <f>IF(E35="","",Input!$C$3)</f>
        <v>100000</v>
      </c>
      <c r="I35" s="153">
        <f>IF(E35="","",HLOOKUP($B35,Input!$C$13:$BT$14,2))</f>
        <v>2.2999999999999998</v>
      </c>
      <c r="J35" s="154"/>
      <c r="K35" s="155">
        <f>IF($E35="","",INDEX(Input!$C$16:$CP$16,1,$B35))</f>
        <v>2.8539999999999999E-2</v>
      </c>
      <c r="L35" s="155">
        <f>IF($E35="","",Input!$C$37)</f>
        <v>1.4999999999999999E-2</v>
      </c>
      <c r="M35" s="155">
        <f t="shared" si="23"/>
        <v>4.3539999999999995E-2</v>
      </c>
      <c r="N35" s="155">
        <f t="shared" si="24"/>
        <v>3.5578792243551316E-3</v>
      </c>
      <c r="O35" s="147">
        <f>IF($E35="","",MIN(VLOOKUP(IF($B35&lt;=Input!$C$7,$B35,26),'Mortality Tables'!$A$41:$CW$67,IF($B35&lt;=Input!$C$7+1,Input!$C$4+2,$D35-Input!$C$7+2),0)*IF(B35&gt;20,Input!$C$22,1)/1000,1))</f>
        <v>5.04E-4</v>
      </c>
      <c r="P35" s="147">
        <f>IF($E35="","",MIN(VLOOKUP(IF($B35&lt;=Input!$C$7,$B35,26),'Mortality Tables'!$A$12:$CW$37,IF($B35&lt;=Input!$C$7+1,Input!$C$4+2,$D35-Input!$C$7+2),0)*IF(B35&gt;20,Input!$C$22,1)/1000,1))</f>
        <v>6.3000000000000003E-4</v>
      </c>
      <c r="Q35" s="155">
        <f>IF($E35="","",Input!$C$21)</f>
        <v>5.0000000000000001E-3</v>
      </c>
      <c r="R35" s="159">
        <f>IF($E35="","",(1-Q35)^($F35-Input!$C$20))</f>
        <v>0.99002500000000004</v>
      </c>
      <c r="S35" s="147">
        <f t="shared" si="0"/>
        <v>4.9897260000000008E-4</v>
      </c>
      <c r="T35" s="147">
        <f t="shared" si="1"/>
        <v>4.1590562443016843E-5</v>
      </c>
      <c r="U35" s="160">
        <f>IF($E35="","",IF($C35=12,INDEX(Input!$C$15:$CP$15,1,$B35),0))</f>
        <v>0</v>
      </c>
      <c r="V35" s="150">
        <f>IF(E35="","",IF(C35=1,IF($B35=1,Input!$C$33,Input!$C$34),0))</f>
        <v>0</v>
      </c>
      <c r="W35" s="156">
        <f>IF($E35="","",Input!$C$35)</f>
        <v>0.02</v>
      </c>
      <c r="X35" s="156">
        <f t="shared" si="2"/>
        <v>1.0404</v>
      </c>
      <c r="Y35" s="154"/>
      <c r="Z35" s="147">
        <f>IF($E35="","",VLOOKUP($D35,'Mortality Margins &amp; Grading'!$AB$5:$AF$125,3,0)*IF(Summary!$D$25="Included Margin",IF(AND($B35&gt;Input!$C$9,Summary!$D$31&lt;&gt;"Included Margin"),0,1),0))</f>
        <v>0.04</v>
      </c>
      <c r="AA35" s="147">
        <f>IF($E35="","",VLOOKUP($D35,'Mortality Margins &amp; Grading'!$AB$5:$AF$125,5,0)*IF(Summary!$D$25="Included Margin",IF(AND($B35&gt;Input!$C$9,Summary!$D$31&lt;&gt;"Included Margin"),0,1),0))</f>
        <v>0.20200000000000001</v>
      </c>
      <c r="AB35" s="147">
        <f>IF($E35="","",IF(AND($B35&gt;Input!$C$9,Summary!$D$31&lt;&gt;"Included Margin"),1,IF(Summary!$D$25="Included Margin",VLOOKUP($B35,'Mortality Margins &amp; Grading'!$AI$5:$AR$125,MATCH('Mortality Margins &amp; Grading'!$AQ$4,'Mortality Margins &amp; Grading'!$AI$4:$AR$4,0),0),1)))</f>
        <v>1</v>
      </c>
      <c r="AC35" s="154"/>
      <c r="AD35" s="158">
        <f>IF(E35="","",Input!$C$48*IF(Summary!$D$30="Included Margin",IF(AND($B35&gt;Input!$C$9,Summary!$D$31&lt;&gt;"Included Margin"),0,1),0))</f>
        <v>-4.4999999999999997E-3</v>
      </c>
      <c r="AE35" s="159">
        <f>IF(E35="","",IF(Summary!$D$26="Included Margin",IF(AND($B35&gt;Input!$C$9,Summary!$D$31&lt;&gt;"Included Margin"),1,1/$R35),1))</f>
        <v>1.01007550314386</v>
      </c>
      <c r="AF35" s="160">
        <f>IF(E35="","",IF(AND($B35&gt;=Input!$C$9,$C35=12,Summary!$D$31="Included Margin",$U35&gt;0),1/U35-1,IF($B35&gt;=Input!$C$9,0,Input!$C$45*IF(Summary!$D$27="Included Margin",1,0))))</f>
        <v>-0.1</v>
      </c>
      <c r="AG35" s="160">
        <f>IF(E35="","",Input!$C$46*IF(Summary!$D$28="Included Margin",IF(AND($B35&gt;Input!$C$9,Summary!$D$31&lt;&gt;"Included Margin"),0,1),0))</f>
        <v>0.02</v>
      </c>
      <c r="AH35" s="158">
        <f>IF(E35="","",Input!$C$47*IF(Summary!$D$29="Included Margin",IF(AND($B35&gt;Input!$C$9,Summary!$D$31&lt;&gt;"Included Margin"),0,1),0))</f>
        <v>2.5000000000000001E-3</v>
      </c>
      <c r="AI35" s="154"/>
      <c r="AJ35" s="158">
        <f t="shared" si="25"/>
        <v>3.9039999999999998E-2</v>
      </c>
      <c r="AK35" s="155">
        <f t="shared" si="26"/>
        <v>3.196532208949554E-3</v>
      </c>
      <c r="AL35" s="147">
        <f t="shared" si="27"/>
        <v>5.2415999999999997E-4</v>
      </c>
      <c r="AM35" s="147">
        <f t="shared" si="3"/>
        <v>4.3690497198656253E-5</v>
      </c>
      <c r="AN35" s="160">
        <f t="shared" si="28"/>
        <v>0</v>
      </c>
      <c r="AO35" s="161">
        <f t="shared" si="29"/>
        <v>0</v>
      </c>
      <c r="AP35" s="156">
        <f t="shared" si="4"/>
        <v>1.0455062499999999</v>
      </c>
      <c r="AQ35" s="152"/>
      <c r="AR35" s="162">
        <f t="shared" si="5"/>
        <v>98.003581648092975</v>
      </c>
      <c r="AS35" s="150">
        <f t="shared" si="30"/>
        <v>0</v>
      </c>
      <c r="AT35" s="163">
        <f t="shared" si="6"/>
        <v>0</v>
      </c>
      <c r="AU35" s="163">
        <f t="shared" si="7"/>
        <v>4.3690497198656253</v>
      </c>
      <c r="AV35" s="163">
        <f t="shared" si="31"/>
        <v>0.3062887012545204</v>
      </c>
      <c r="AW35" s="163">
        <f t="shared" si="8"/>
        <v>4.1045009750716073E-3</v>
      </c>
      <c r="AX35" s="163">
        <f t="shared" si="9"/>
        <v>0</v>
      </c>
      <c r="AY35" s="164">
        <f t="shared" si="32"/>
        <v>93.944925130456937</v>
      </c>
      <c r="AZ35" s="164">
        <f>IF($E35="","",IF(OR(AND($D35=Input!$C$6,$C35=12),$AN35=1),0,-AS36+AT36+AU36-AV36-AW36-AX36+AZ36))</f>
        <v>93.944936273186784</v>
      </c>
      <c r="BA35" s="154">
        <f t="shared" si="10"/>
        <v>1.1142729846369548E-5</v>
      </c>
      <c r="BC35" s="147">
        <f t="shared" si="33"/>
        <v>0.85417481103094572</v>
      </c>
      <c r="BD35" s="164">
        <f>IF(AND($C34=12,$D34=Input!$C$6),0,IF($E35="","",AT35+(AU35+BD36)/(1+$AK35)*MIN((1-AM35-AN35),1)))</f>
        <v>2216.8068709831118</v>
      </c>
      <c r="BE35" s="164">
        <f t="shared" si="11"/>
        <v>1893.5405901141016</v>
      </c>
      <c r="BF35" s="164">
        <f t="shared" si="34"/>
        <v>93.944936273186784</v>
      </c>
      <c r="BG35" s="164">
        <f t="shared" si="12"/>
        <v>80.245398188463554</v>
      </c>
      <c r="BH35" s="152"/>
      <c r="BI35" s="162">
        <f t="shared" si="13"/>
        <v>-133.80717254660968</v>
      </c>
      <c r="BJ35" s="150">
        <f t="shared" si="14"/>
        <v>0</v>
      </c>
      <c r="BK35" s="163">
        <f t="shared" si="38"/>
        <v>0</v>
      </c>
      <c r="BL35" s="163">
        <f t="shared" si="15"/>
        <v>4.1590562443016843</v>
      </c>
      <c r="BM35" s="163">
        <f t="shared" si="39"/>
        <v>-0.48346846917554759</v>
      </c>
      <c r="BN35" s="163">
        <f t="shared" si="16"/>
        <v>-5.7584397294225586E-3</v>
      </c>
      <c r="BO35" s="163">
        <f t="shared" si="17"/>
        <v>0</v>
      </c>
      <c r="BP35" s="164">
        <f t="shared" si="40"/>
        <v>-138.45545569981633</v>
      </c>
      <c r="BQ35" s="164">
        <f>IF($E35="","",IF(AND($D35=Input!$C$6,$C35=12),0,-BJ36+BK36+BL36-BM36-BN36-BO36+BQ36))</f>
        <v>-138.45544256133076</v>
      </c>
      <c r="BR35" s="161">
        <f t="shared" si="18"/>
        <v>0</v>
      </c>
      <c r="BT35" s="147">
        <f t="shared" si="19"/>
        <v>0.85417481103094572</v>
      </c>
      <c r="BU35" s="164">
        <f>IF(AND($C34=12,$D34=Input!$C$6),0,IF($E35="","",BK35+(BL35+BU36)/(1+$AK35)*MIN((1-T35-U35),1)))</f>
        <v>3214.5489711712148</v>
      </c>
      <c r="BV35" s="164">
        <f t="shared" si="20"/>
        <v>2745.7867599998935</v>
      </c>
      <c r="BW35" s="164">
        <f t="shared" si="21"/>
        <v>-138.45544256133076</v>
      </c>
      <c r="BX35" s="164">
        <f t="shared" si="22"/>
        <v>-118.26515148603066</v>
      </c>
    </row>
    <row r="36" spans="1:76" s="150" customFormat="1" x14ac:dyDescent="0.25">
      <c r="A36" s="150">
        <f t="shared" si="35"/>
        <v>32</v>
      </c>
      <c r="B36" s="150">
        <f t="shared" si="36"/>
        <v>3</v>
      </c>
      <c r="C36" s="150">
        <f t="shared" si="37"/>
        <v>8</v>
      </c>
      <c r="D36" s="150">
        <f>IF(E36="","",Input!$C$4+B36-1)</f>
        <v>47</v>
      </c>
      <c r="E36" s="150">
        <f>IF(OR(AND(C35=12,D35=Input!$C$6),E35=""),"",1)</f>
        <v>1</v>
      </c>
      <c r="F36" s="150">
        <f>IF(E36="","",Input!$C$8+B36-1)</f>
        <v>2020</v>
      </c>
      <c r="G36" s="151">
        <f>IF(E36="","",MAX(0,Input!$C$9-B36))</f>
        <v>17</v>
      </c>
      <c r="H36" s="152">
        <f>IF(E36="","",Input!$C$3)</f>
        <v>100000</v>
      </c>
      <c r="I36" s="153">
        <f>IF(E36="","",HLOOKUP($B36,Input!$C$13:$BT$14,2))</f>
        <v>2.2999999999999998</v>
      </c>
      <c r="J36" s="154"/>
      <c r="K36" s="155">
        <f>IF($E36="","",INDEX(Input!$C$16:$CP$16,1,$B36))</f>
        <v>2.8539999999999999E-2</v>
      </c>
      <c r="L36" s="155">
        <f>IF($E36="","",Input!$C$37)</f>
        <v>1.4999999999999999E-2</v>
      </c>
      <c r="M36" s="155">
        <f t="shared" si="23"/>
        <v>4.3539999999999995E-2</v>
      </c>
      <c r="N36" s="155">
        <f t="shared" si="24"/>
        <v>3.5578792243551316E-3</v>
      </c>
      <c r="O36" s="147">
        <f>IF($E36="","",MIN(VLOOKUP(IF($B36&lt;=Input!$C$7,$B36,26),'Mortality Tables'!$A$41:$CW$67,IF($B36&lt;=Input!$C$7+1,Input!$C$4+2,$D36-Input!$C$7+2),0)*IF(B36&gt;20,Input!$C$22,1)/1000,1))</f>
        <v>5.04E-4</v>
      </c>
      <c r="P36" s="147">
        <f>IF($E36="","",MIN(VLOOKUP(IF($B36&lt;=Input!$C$7,$B36,26),'Mortality Tables'!$A$12:$CW$37,IF($B36&lt;=Input!$C$7+1,Input!$C$4+2,$D36-Input!$C$7+2),0)*IF(B36&gt;20,Input!$C$22,1)/1000,1))</f>
        <v>6.3000000000000003E-4</v>
      </c>
      <c r="Q36" s="155">
        <f>IF($E36="","",Input!$C$21)</f>
        <v>5.0000000000000001E-3</v>
      </c>
      <c r="R36" s="159">
        <f>IF($E36="","",(1-Q36)^($F36-Input!$C$20))</f>
        <v>0.99002500000000004</v>
      </c>
      <c r="S36" s="147">
        <f t="shared" si="0"/>
        <v>4.9897260000000008E-4</v>
      </c>
      <c r="T36" s="147">
        <f t="shared" si="1"/>
        <v>4.1590562443016843E-5</v>
      </c>
      <c r="U36" s="160">
        <f>IF($E36="","",IF($C36=12,INDEX(Input!$C$15:$CP$15,1,$B36),0))</f>
        <v>0</v>
      </c>
      <c r="V36" s="150">
        <f>IF(E36="","",IF(C36=1,IF($B36=1,Input!$C$33,Input!$C$34),0))</f>
        <v>0</v>
      </c>
      <c r="W36" s="156">
        <f>IF($E36="","",Input!$C$35)</f>
        <v>0.02</v>
      </c>
      <c r="X36" s="156">
        <f t="shared" si="2"/>
        <v>1.0404</v>
      </c>
      <c r="Y36" s="154"/>
      <c r="Z36" s="147">
        <f>IF($E36="","",VLOOKUP($D36,'Mortality Margins &amp; Grading'!$AB$5:$AF$125,3,0)*IF(Summary!$D$25="Included Margin",IF(AND($B36&gt;Input!$C$9,Summary!$D$31&lt;&gt;"Included Margin"),0,1),0))</f>
        <v>0.04</v>
      </c>
      <c r="AA36" s="147">
        <f>IF($E36="","",VLOOKUP($D36,'Mortality Margins &amp; Grading'!$AB$5:$AF$125,5,0)*IF(Summary!$D$25="Included Margin",IF(AND($B36&gt;Input!$C$9,Summary!$D$31&lt;&gt;"Included Margin"),0,1),0))</f>
        <v>0.20200000000000001</v>
      </c>
      <c r="AB36" s="147">
        <f>IF($E36="","",IF(AND($B36&gt;Input!$C$9,Summary!$D$31&lt;&gt;"Included Margin"),1,IF(Summary!$D$25="Included Margin",VLOOKUP($B36,'Mortality Margins &amp; Grading'!$AI$5:$AR$125,MATCH('Mortality Margins &amp; Grading'!$AQ$4,'Mortality Margins &amp; Grading'!$AI$4:$AR$4,0),0),1)))</f>
        <v>1</v>
      </c>
      <c r="AC36" s="154"/>
      <c r="AD36" s="158">
        <f>IF(E36="","",Input!$C$48*IF(Summary!$D$30="Included Margin",IF(AND($B36&gt;Input!$C$9,Summary!$D$31&lt;&gt;"Included Margin"),0,1),0))</f>
        <v>-4.4999999999999997E-3</v>
      </c>
      <c r="AE36" s="159">
        <f>IF(E36="","",IF(Summary!$D$26="Included Margin",IF(AND($B36&gt;Input!$C$9,Summary!$D$31&lt;&gt;"Included Margin"),1,1/$R36),1))</f>
        <v>1.01007550314386</v>
      </c>
      <c r="AF36" s="160">
        <f>IF(E36="","",IF(AND($B36&gt;=Input!$C$9,$C36=12,Summary!$D$31="Included Margin",$U36&gt;0),1/U36-1,IF($B36&gt;=Input!$C$9,0,Input!$C$45*IF(Summary!$D$27="Included Margin",1,0))))</f>
        <v>-0.1</v>
      </c>
      <c r="AG36" s="160">
        <f>IF(E36="","",Input!$C$46*IF(Summary!$D$28="Included Margin",IF(AND($B36&gt;Input!$C$9,Summary!$D$31&lt;&gt;"Included Margin"),0,1),0))</f>
        <v>0.02</v>
      </c>
      <c r="AH36" s="158">
        <f>IF(E36="","",Input!$C$47*IF(Summary!$D$29="Included Margin",IF(AND($B36&gt;Input!$C$9,Summary!$D$31&lt;&gt;"Included Margin"),0,1),0))</f>
        <v>2.5000000000000001E-3</v>
      </c>
      <c r="AI36" s="154"/>
      <c r="AJ36" s="158">
        <f t="shared" si="25"/>
        <v>3.9039999999999998E-2</v>
      </c>
      <c r="AK36" s="155">
        <f t="shared" si="26"/>
        <v>3.196532208949554E-3</v>
      </c>
      <c r="AL36" s="147">
        <f t="shared" si="27"/>
        <v>5.2415999999999997E-4</v>
      </c>
      <c r="AM36" s="147">
        <f t="shared" si="3"/>
        <v>4.3690497198656253E-5</v>
      </c>
      <c r="AN36" s="160">
        <f t="shared" si="28"/>
        <v>0</v>
      </c>
      <c r="AO36" s="161">
        <f t="shared" si="29"/>
        <v>0</v>
      </c>
      <c r="AP36" s="156">
        <f t="shared" si="4"/>
        <v>1.0455062499999999</v>
      </c>
      <c r="AQ36" s="152"/>
      <c r="AR36" s="162">
        <f t="shared" si="5"/>
        <v>93.944925130456937</v>
      </c>
      <c r="AS36" s="150">
        <f t="shared" si="30"/>
        <v>0</v>
      </c>
      <c r="AT36" s="163">
        <f t="shared" si="6"/>
        <v>0</v>
      </c>
      <c r="AU36" s="163">
        <f t="shared" si="7"/>
        <v>4.3690497198656253</v>
      </c>
      <c r="AV36" s="163">
        <f t="shared" si="31"/>
        <v>0.29331507497083376</v>
      </c>
      <c r="AW36" s="163">
        <f t="shared" si="8"/>
        <v>3.9266016571650681E-3</v>
      </c>
      <c r="AX36" s="163">
        <f t="shared" si="9"/>
        <v>0</v>
      </c>
      <c r="AY36" s="164">
        <f t="shared" si="32"/>
        <v>89.873117087219313</v>
      </c>
      <c r="AZ36" s="164">
        <f>IF($E36="","",IF(OR(AND($D36=Input!$C$6,$C36=12),$AN36=1),0,-AS37+AT37+AU37-AV37-AW37-AX37+AZ37))</f>
        <v>89.87312822994916</v>
      </c>
      <c r="BA36" s="154">
        <f t="shared" si="10"/>
        <v>1.1142729846369548E-5</v>
      </c>
      <c r="BC36" s="147">
        <f t="shared" si="33"/>
        <v>0.85413928542013029</v>
      </c>
      <c r="BD36" s="164">
        <f>IF(AND($C35=12,$D35=Input!$C$6),0,IF($E36="","",AT36+(AU36+BD37)/(1+$AK36)*MIN((1-AM36-AN36),1)))</f>
        <v>2219.6210830620307</v>
      </c>
      <c r="BE36" s="164">
        <f t="shared" si="11"/>
        <v>1895.8655657900586</v>
      </c>
      <c r="BF36" s="164">
        <f t="shared" si="34"/>
        <v>89.87312822994916</v>
      </c>
      <c r="BG36" s="164">
        <f t="shared" si="12"/>
        <v>76.764169524800508</v>
      </c>
      <c r="BH36" s="152"/>
      <c r="BI36" s="162">
        <f t="shared" si="13"/>
        <v>-138.45545569981633</v>
      </c>
      <c r="BJ36" s="150">
        <f t="shared" si="14"/>
        <v>0</v>
      </c>
      <c r="BK36" s="163">
        <f t="shared" si="38"/>
        <v>0</v>
      </c>
      <c r="BL36" s="163">
        <f t="shared" si="15"/>
        <v>4.1590562443016843</v>
      </c>
      <c r="BM36" s="163">
        <f t="shared" si="39"/>
        <v>-0.50000649923526153</v>
      </c>
      <c r="BN36" s="163">
        <f t="shared" si="16"/>
        <v>-5.9524603355568416E-3</v>
      </c>
      <c r="BO36" s="163">
        <f t="shared" si="17"/>
        <v>0</v>
      </c>
      <c r="BP36" s="164">
        <f t="shared" si="40"/>
        <v>-143.12047090368884</v>
      </c>
      <c r="BQ36" s="164">
        <f>IF($E36="","",IF(AND($D36=Input!$C$6,$C36=12),0,-BJ37+BK37+BL37-BM37-BN37-BO37+BQ37))</f>
        <v>-143.12045776520327</v>
      </c>
      <c r="BR36" s="161">
        <f t="shared" si="18"/>
        <v>0</v>
      </c>
      <c r="BT36" s="147">
        <f t="shared" si="19"/>
        <v>0.85413928542013029</v>
      </c>
      <c r="BU36" s="164">
        <f>IF(AND($C35=12,$D35=Input!$C$6),0,IF($E36="","",BK36+(BL36+BU37)/(1+$AK36)*MIN((1-T36-U36),1)))</f>
        <v>3220.7994520887246</v>
      </c>
      <c r="BV36" s="164">
        <f t="shared" si="20"/>
        <v>2751.0113424886104</v>
      </c>
      <c r="BW36" s="164">
        <f t="shared" si="21"/>
        <v>-143.12045776520327</v>
      </c>
      <c r="BX36" s="164">
        <f t="shared" si="22"/>
        <v>-122.24480552457266</v>
      </c>
    </row>
    <row r="37" spans="1:76" s="150" customFormat="1" x14ac:dyDescent="0.25">
      <c r="A37" s="150">
        <f t="shared" si="35"/>
        <v>33</v>
      </c>
      <c r="B37" s="150">
        <f t="shared" si="36"/>
        <v>3</v>
      </c>
      <c r="C37" s="150">
        <f t="shared" si="37"/>
        <v>9</v>
      </c>
      <c r="D37" s="150">
        <f>IF(E37="","",Input!$C$4+B37-1)</f>
        <v>47</v>
      </c>
      <c r="E37" s="150">
        <f>IF(OR(AND(C36=12,D36=Input!$C$6),E36=""),"",1)</f>
        <v>1</v>
      </c>
      <c r="F37" s="150">
        <f>IF(E37="","",Input!$C$8+B37-1)</f>
        <v>2020</v>
      </c>
      <c r="G37" s="151">
        <f>IF(E37="","",MAX(0,Input!$C$9-B37))</f>
        <v>17</v>
      </c>
      <c r="H37" s="152">
        <f>IF(E37="","",Input!$C$3)</f>
        <v>100000</v>
      </c>
      <c r="I37" s="153">
        <f>IF(E37="","",HLOOKUP($B37,Input!$C$13:$BT$14,2))</f>
        <v>2.2999999999999998</v>
      </c>
      <c r="J37" s="154"/>
      <c r="K37" s="155">
        <f>IF($E37="","",INDEX(Input!$C$16:$CP$16,1,$B37))</f>
        <v>2.8539999999999999E-2</v>
      </c>
      <c r="L37" s="155">
        <f>IF($E37="","",Input!$C$37)</f>
        <v>1.4999999999999999E-2</v>
      </c>
      <c r="M37" s="155">
        <f t="shared" si="23"/>
        <v>4.3539999999999995E-2</v>
      </c>
      <c r="N37" s="155">
        <f t="shared" si="24"/>
        <v>3.5578792243551316E-3</v>
      </c>
      <c r="O37" s="147">
        <f>IF($E37="","",MIN(VLOOKUP(IF($B37&lt;=Input!$C$7,$B37,26),'Mortality Tables'!$A$41:$CW$67,IF($B37&lt;=Input!$C$7+1,Input!$C$4+2,$D37-Input!$C$7+2),0)*IF(B37&gt;20,Input!$C$22,1)/1000,1))</f>
        <v>5.04E-4</v>
      </c>
      <c r="P37" s="147">
        <f>IF($E37="","",MIN(VLOOKUP(IF($B37&lt;=Input!$C$7,$B37,26),'Mortality Tables'!$A$12:$CW$37,IF($B37&lt;=Input!$C$7+1,Input!$C$4+2,$D37-Input!$C$7+2),0)*IF(B37&gt;20,Input!$C$22,1)/1000,1))</f>
        <v>6.3000000000000003E-4</v>
      </c>
      <c r="Q37" s="155">
        <f>IF($E37="","",Input!$C$21)</f>
        <v>5.0000000000000001E-3</v>
      </c>
      <c r="R37" s="159">
        <f>IF($E37="","",(1-Q37)^($F37-Input!$C$20))</f>
        <v>0.99002500000000004</v>
      </c>
      <c r="S37" s="147">
        <f t="shared" si="0"/>
        <v>4.9897260000000008E-4</v>
      </c>
      <c r="T37" s="147">
        <f t="shared" si="1"/>
        <v>4.1590562443016843E-5</v>
      </c>
      <c r="U37" s="160">
        <f>IF($E37="","",IF($C37=12,INDEX(Input!$C$15:$CP$15,1,$B37),0))</f>
        <v>0</v>
      </c>
      <c r="V37" s="150">
        <f>IF(E37="","",IF(C37=1,IF($B37=1,Input!$C$33,Input!$C$34),0))</f>
        <v>0</v>
      </c>
      <c r="W37" s="156">
        <f>IF($E37="","",Input!$C$35)</f>
        <v>0.02</v>
      </c>
      <c r="X37" s="156">
        <f t="shared" si="2"/>
        <v>1.0404</v>
      </c>
      <c r="Y37" s="154"/>
      <c r="Z37" s="147">
        <f>IF($E37="","",VLOOKUP($D37,'Mortality Margins &amp; Grading'!$AB$5:$AF$125,3,0)*IF(Summary!$D$25="Included Margin",IF(AND($B37&gt;Input!$C$9,Summary!$D$31&lt;&gt;"Included Margin"),0,1),0))</f>
        <v>0.04</v>
      </c>
      <c r="AA37" s="147">
        <f>IF($E37="","",VLOOKUP($D37,'Mortality Margins &amp; Grading'!$AB$5:$AF$125,5,0)*IF(Summary!$D$25="Included Margin",IF(AND($B37&gt;Input!$C$9,Summary!$D$31&lt;&gt;"Included Margin"),0,1),0))</f>
        <v>0.20200000000000001</v>
      </c>
      <c r="AB37" s="147">
        <f>IF($E37="","",IF(AND($B37&gt;Input!$C$9,Summary!$D$31&lt;&gt;"Included Margin"),1,IF(Summary!$D$25="Included Margin",VLOOKUP($B37,'Mortality Margins &amp; Grading'!$AI$5:$AR$125,MATCH('Mortality Margins &amp; Grading'!$AQ$4,'Mortality Margins &amp; Grading'!$AI$4:$AR$4,0),0),1)))</f>
        <v>1</v>
      </c>
      <c r="AC37" s="154"/>
      <c r="AD37" s="158">
        <f>IF(E37="","",Input!$C$48*IF(Summary!$D$30="Included Margin",IF(AND($B37&gt;Input!$C$9,Summary!$D$31&lt;&gt;"Included Margin"),0,1),0))</f>
        <v>-4.4999999999999997E-3</v>
      </c>
      <c r="AE37" s="159">
        <f>IF(E37="","",IF(Summary!$D$26="Included Margin",IF(AND($B37&gt;Input!$C$9,Summary!$D$31&lt;&gt;"Included Margin"),1,1/$R37),1))</f>
        <v>1.01007550314386</v>
      </c>
      <c r="AF37" s="160">
        <f>IF(E37="","",IF(AND($B37&gt;=Input!$C$9,$C37=12,Summary!$D$31="Included Margin",$U37&gt;0),1/U37-1,IF($B37&gt;=Input!$C$9,0,Input!$C$45*IF(Summary!$D$27="Included Margin",1,0))))</f>
        <v>-0.1</v>
      </c>
      <c r="AG37" s="160">
        <f>IF(E37="","",Input!$C$46*IF(Summary!$D$28="Included Margin",IF(AND($B37&gt;Input!$C$9,Summary!$D$31&lt;&gt;"Included Margin"),0,1),0))</f>
        <v>0.02</v>
      </c>
      <c r="AH37" s="158">
        <f>IF(E37="","",Input!$C$47*IF(Summary!$D$29="Included Margin",IF(AND($B37&gt;Input!$C$9,Summary!$D$31&lt;&gt;"Included Margin"),0,1),0))</f>
        <v>2.5000000000000001E-3</v>
      </c>
      <c r="AI37" s="154"/>
      <c r="AJ37" s="158">
        <f t="shared" si="25"/>
        <v>3.9039999999999998E-2</v>
      </c>
      <c r="AK37" s="155">
        <f t="shared" si="26"/>
        <v>3.196532208949554E-3</v>
      </c>
      <c r="AL37" s="147">
        <f t="shared" si="27"/>
        <v>5.2415999999999997E-4</v>
      </c>
      <c r="AM37" s="147">
        <f t="shared" si="3"/>
        <v>4.3690497198656253E-5</v>
      </c>
      <c r="AN37" s="160">
        <f t="shared" si="28"/>
        <v>0</v>
      </c>
      <c r="AO37" s="161">
        <f t="shared" si="29"/>
        <v>0</v>
      </c>
      <c r="AP37" s="156">
        <f t="shared" si="4"/>
        <v>1.0455062499999999</v>
      </c>
      <c r="AQ37" s="152"/>
      <c r="AR37" s="162">
        <f t="shared" si="5"/>
        <v>89.873117087219313</v>
      </c>
      <c r="AS37" s="150">
        <f t="shared" si="30"/>
        <v>0</v>
      </c>
      <c r="AT37" s="163">
        <f t="shared" si="6"/>
        <v>0</v>
      </c>
      <c r="AU37" s="163">
        <f t="shared" si="7"/>
        <v>4.3690497198656253</v>
      </c>
      <c r="AV37" s="163">
        <f t="shared" si="31"/>
        <v>0.28029940941196485</v>
      </c>
      <c r="AW37" s="163">
        <f t="shared" si="8"/>
        <v>3.7481258806634768E-3</v>
      </c>
      <c r="AX37" s="163">
        <f t="shared" si="9"/>
        <v>0</v>
      </c>
      <c r="AY37" s="164">
        <f t="shared" si="32"/>
        <v>85.788114902646313</v>
      </c>
      <c r="AZ37" s="164">
        <f>IF($E37="","",IF(OR(AND($D37=Input!$C$6,$C37=12),$AN37=1),0,-AS38+AT38+AU38-AV38-AW38-AX38+AZ38))</f>
        <v>85.78812604537616</v>
      </c>
      <c r="BA37" s="154">
        <f t="shared" si="10"/>
        <v>1.1142729846369548E-5</v>
      </c>
      <c r="BC37" s="147">
        <f t="shared" si="33"/>
        <v>0.85410376128684495</v>
      </c>
      <c r="BD37" s="164">
        <f>IF(AND($C36=12,$D36=Input!$C$6),0,IF($E37="","",AT37+(AU37+BD38)/(1+$AK37)*MIN((1-AM37-AN37),1)))</f>
        <v>2222.4444142132447</v>
      </c>
      <c r="BE37" s="164">
        <f t="shared" si="11"/>
        <v>1898.1981334304712</v>
      </c>
      <c r="BF37" s="164">
        <f t="shared" si="34"/>
        <v>85.78812604537616</v>
      </c>
      <c r="BG37" s="164">
        <f t="shared" si="12"/>
        <v>73.271961129105719</v>
      </c>
      <c r="BH37" s="152"/>
      <c r="BI37" s="162">
        <f t="shared" si="13"/>
        <v>-143.12047090368887</v>
      </c>
      <c r="BJ37" s="150">
        <f t="shared" si="14"/>
        <v>0</v>
      </c>
      <c r="BK37" s="163">
        <f t="shared" si="38"/>
        <v>0</v>
      </c>
      <c r="BL37" s="163">
        <f t="shared" si="15"/>
        <v>4.1590562443016843</v>
      </c>
      <c r="BM37" s="163">
        <f t="shared" si="39"/>
        <v>-0.51660405991042047</v>
      </c>
      <c r="BN37" s="163">
        <f t="shared" si="16"/>
        <v>-6.1471793420477842E-3</v>
      </c>
      <c r="BO37" s="163">
        <f t="shared" si="17"/>
        <v>0</v>
      </c>
      <c r="BP37" s="164">
        <f t="shared" si="40"/>
        <v>-147.80227838724301</v>
      </c>
      <c r="BQ37" s="164">
        <f>IF($E37="","",IF(AND($D37=Input!$C$6,$C37=12),0,-BJ38+BK38+BL38-BM38-BN38-BO38+BQ38))</f>
        <v>-147.80226524875744</v>
      </c>
      <c r="BR37" s="161">
        <f t="shared" si="18"/>
        <v>0</v>
      </c>
      <c r="BT37" s="147">
        <f t="shared" si="19"/>
        <v>0.85410376128684495</v>
      </c>
      <c r="BU37" s="164">
        <f>IF(AND($C36=12,$D36=Input!$C$6),0,IF($E37="","",BK37+(BL37+BU38)/(1+$AK37)*MIN((1-T37-U37),1)))</f>
        <v>3227.0701736726464</v>
      </c>
      <c r="BV37" s="164">
        <f t="shared" si="20"/>
        <v>2756.2527732703993</v>
      </c>
      <c r="BW37" s="164">
        <f t="shared" si="21"/>
        <v>-147.80226524875744</v>
      </c>
      <c r="BX37" s="164">
        <f t="shared" si="22"/>
        <v>-126.23847067567966</v>
      </c>
    </row>
    <row r="38" spans="1:76" s="150" customFormat="1" x14ac:dyDescent="0.25">
      <c r="A38" s="150">
        <f t="shared" si="35"/>
        <v>34</v>
      </c>
      <c r="B38" s="150">
        <f t="shared" si="36"/>
        <v>3</v>
      </c>
      <c r="C38" s="150">
        <f t="shared" si="37"/>
        <v>10</v>
      </c>
      <c r="D38" s="150">
        <f>IF(E38="","",Input!$C$4+B38-1)</f>
        <v>47</v>
      </c>
      <c r="E38" s="150">
        <f>IF(OR(AND(C37=12,D37=Input!$C$6),E37=""),"",1)</f>
        <v>1</v>
      </c>
      <c r="F38" s="150">
        <f>IF(E38="","",Input!$C$8+B38-1)</f>
        <v>2020</v>
      </c>
      <c r="G38" s="151">
        <f>IF(E38="","",MAX(0,Input!$C$9-B38))</f>
        <v>17</v>
      </c>
      <c r="H38" s="152">
        <f>IF(E38="","",Input!$C$3)</f>
        <v>100000</v>
      </c>
      <c r="I38" s="153">
        <f>IF(E38="","",HLOOKUP($B38,Input!$C$13:$BT$14,2))</f>
        <v>2.2999999999999998</v>
      </c>
      <c r="J38" s="154"/>
      <c r="K38" s="155">
        <f>IF($E38="","",INDEX(Input!$C$16:$CP$16,1,$B38))</f>
        <v>2.8539999999999999E-2</v>
      </c>
      <c r="L38" s="155">
        <f>IF($E38="","",Input!$C$37)</f>
        <v>1.4999999999999999E-2</v>
      </c>
      <c r="M38" s="155">
        <f t="shared" si="23"/>
        <v>4.3539999999999995E-2</v>
      </c>
      <c r="N38" s="155">
        <f t="shared" si="24"/>
        <v>3.5578792243551316E-3</v>
      </c>
      <c r="O38" s="147">
        <f>IF($E38="","",MIN(VLOOKUP(IF($B38&lt;=Input!$C$7,$B38,26),'Mortality Tables'!$A$41:$CW$67,IF($B38&lt;=Input!$C$7+1,Input!$C$4+2,$D38-Input!$C$7+2),0)*IF(B38&gt;20,Input!$C$22,1)/1000,1))</f>
        <v>5.04E-4</v>
      </c>
      <c r="P38" s="147">
        <f>IF($E38="","",MIN(VLOOKUP(IF($B38&lt;=Input!$C$7,$B38,26),'Mortality Tables'!$A$12:$CW$37,IF($B38&lt;=Input!$C$7+1,Input!$C$4+2,$D38-Input!$C$7+2),0)*IF(B38&gt;20,Input!$C$22,1)/1000,1))</f>
        <v>6.3000000000000003E-4</v>
      </c>
      <c r="Q38" s="155">
        <f>IF($E38="","",Input!$C$21)</f>
        <v>5.0000000000000001E-3</v>
      </c>
      <c r="R38" s="159">
        <f>IF($E38="","",(1-Q38)^($F38-Input!$C$20))</f>
        <v>0.99002500000000004</v>
      </c>
      <c r="S38" s="147">
        <f t="shared" si="0"/>
        <v>4.9897260000000008E-4</v>
      </c>
      <c r="T38" s="147">
        <f t="shared" si="1"/>
        <v>4.1590562443016843E-5</v>
      </c>
      <c r="U38" s="160">
        <f>IF($E38="","",IF($C38=12,INDEX(Input!$C$15:$CP$15,1,$B38),0))</f>
        <v>0</v>
      </c>
      <c r="V38" s="150">
        <f>IF(E38="","",IF(C38=1,IF($B38=1,Input!$C$33,Input!$C$34),0))</f>
        <v>0</v>
      </c>
      <c r="W38" s="156">
        <f>IF($E38="","",Input!$C$35)</f>
        <v>0.02</v>
      </c>
      <c r="X38" s="156">
        <f t="shared" si="2"/>
        <v>1.0404</v>
      </c>
      <c r="Y38" s="154"/>
      <c r="Z38" s="147">
        <f>IF($E38="","",VLOOKUP($D38,'Mortality Margins &amp; Grading'!$AB$5:$AF$125,3,0)*IF(Summary!$D$25="Included Margin",IF(AND($B38&gt;Input!$C$9,Summary!$D$31&lt;&gt;"Included Margin"),0,1),0))</f>
        <v>0.04</v>
      </c>
      <c r="AA38" s="147">
        <f>IF($E38="","",VLOOKUP($D38,'Mortality Margins &amp; Grading'!$AB$5:$AF$125,5,0)*IF(Summary!$D$25="Included Margin",IF(AND($B38&gt;Input!$C$9,Summary!$D$31&lt;&gt;"Included Margin"),0,1),0))</f>
        <v>0.20200000000000001</v>
      </c>
      <c r="AB38" s="147">
        <f>IF($E38="","",IF(AND($B38&gt;Input!$C$9,Summary!$D$31&lt;&gt;"Included Margin"),1,IF(Summary!$D$25="Included Margin",VLOOKUP($B38,'Mortality Margins &amp; Grading'!$AI$5:$AR$125,MATCH('Mortality Margins &amp; Grading'!$AQ$4,'Mortality Margins &amp; Grading'!$AI$4:$AR$4,0),0),1)))</f>
        <v>1</v>
      </c>
      <c r="AC38" s="154"/>
      <c r="AD38" s="158">
        <f>IF(E38="","",Input!$C$48*IF(Summary!$D$30="Included Margin",IF(AND($B38&gt;Input!$C$9,Summary!$D$31&lt;&gt;"Included Margin"),0,1),0))</f>
        <v>-4.4999999999999997E-3</v>
      </c>
      <c r="AE38" s="159">
        <f>IF(E38="","",IF(Summary!$D$26="Included Margin",IF(AND($B38&gt;Input!$C$9,Summary!$D$31&lt;&gt;"Included Margin"),1,1/$R38),1))</f>
        <v>1.01007550314386</v>
      </c>
      <c r="AF38" s="160">
        <f>IF(E38="","",IF(AND($B38&gt;=Input!$C$9,$C38=12,Summary!$D$31="Included Margin",$U38&gt;0),1/U38-1,IF($B38&gt;=Input!$C$9,0,Input!$C$45*IF(Summary!$D$27="Included Margin",1,0))))</f>
        <v>-0.1</v>
      </c>
      <c r="AG38" s="160">
        <f>IF(E38="","",Input!$C$46*IF(Summary!$D$28="Included Margin",IF(AND($B38&gt;Input!$C$9,Summary!$D$31&lt;&gt;"Included Margin"),0,1),0))</f>
        <v>0.02</v>
      </c>
      <c r="AH38" s="158">
        <f>IF(E38="","",Input!$C$47*IF(Summary!$D$29="Included Margin",IF(AND($B38&gt;Input!$C$9,Summary!$D$31&lt;&gt;"Included Margin"),0,1),0))</f>
        <v>2.5000000000000001E-3</v>
      </c>
      <c r="AI38" s="154"/>
      <c r="AJ38" s="158">
        <f t="shared" si="25"/>
        <v>3.9039999999999998E-2</v>
      </c>
      <c r="AK38" s="155">
        <f t="shared" si="26"/>
        <v>3.196532208949554E-3</v>
      </c>
      <c r="AL38" s="147">
        <f t="shared" si="27"/>
        <v>5.2415999999999997E-4</v>
      </c>
      <c r="AM38" s="147">
        <f t="shared" si="3"/>
        <v>4.3690497198656253E-5</v>
      </c>
      <c r="AN38" s="160">
        <f t="shared" si="28"/>
        <v>0</v>
      </c>
      <c r="AO38" s="161">
        <f t="shared" si="29"/>
        <v>0</v>
      </c>
      <c r="AP38" s="156">
        <f t="shared" si="4"/>
        <v>1.0455062499999999</v>
      </c>
      <c r="AQ38" s="152"/>
      <c r="AR38" s="162">
        <f t="shared" si="5"/>
        <v>85.788114902646313</v>
      </c>
      <c r="AS38" s="150">
        <f t="shared" si="30"/>
        <v>0</v>
      </c>
      <c r="AT38" s="163">
        <f t="shared" si="6"/>
        <v>0</v>
      </c>
      <c r="AU38" s="163">
        <f t="shared" si="7"/>
        <v>4.3690497198656253</v>
      </c>
      <c r="AV38" s="163">
        <f t="shared" si="31"/>
        <v>0.26724156835534796</v>
      </c>
      <c r="AW38" s="163">
        <f t="shared" si="8"/>
        <v>3.5690717776309935E-3</v>
      </c>
      <c r="AX38" s="163">
        <f t="shared" si="9"/>
        <v>0</v>
      </c>
      <c r="AY38" s="164">
        <f t="shared" si="32"/>
        <v>81.689875822913663</v>
      </c>
      <c r="AZ38" s="164">
        <f>IF($E38="","",IF(OR(AND($D38=Input!$C$6,$C38=12),$AN38=1),0,-AS39+AT39+AU39-AV39-AW39-AX39+AZ39))</f>
        <v>81.68988696564351</v>
      </c>
      <c r="BA38" s="154">
        <f t="shared" si="10"/>
        <v>1.1142729846369548E-5</v>
      </c>
      <c r="BC38" s="147">
        <f t="shared" si="33"/>
        <v>0.85406823863102832</v>
      </c>
      <c r="BD38" s="164">
        <f>IF(AND($C37=12,$D37=Input!$C$6),0,IF($E38="","",AT38+(AU38+BD39)/(1+$AK38)*MIN((1-AM38-AN38),1)))</f>
        <v>2225.2768939858693</v>
      </c>
      <c r="BE38" s="164">
        <f t="shared" si="11"/>
        <v>1900.5383173128369</v>
      </c>
      <c r="BF38" s="164">
        <f t="shared" si="34"/>
        <v>81.68988696564351</v>
      </c>
      <c r="BG38" s="164">
        <f t="shared" si="12"/>
        <v>69.768737874714958</v>
      </c>
      <c r="BH38" s="152"/>
      <c r="BI38" s="162">
        <f t="shared" si="13"/>
        <v>-147.80227838724301</v>
      </c>
      <c r="BJ38" s="150">
        <f t="shared" si="14"/>
        <v>0</v>
      </c>
      <c r="BK38" s="163">
        <f t="shared" si="38"/>
        <v>0</v>
      </c>
      <c r="BL38" s="163">
        <f t="shared" si="15"/>
        <v>4.1590562443016843</v>
      </c>
      <c r="BM38" s="163">
        <f t="shared" si="39"/>
        <v>-0.53326136548858805</v>
      </c>
      <c r="BN38" s="163">
        <f t="shared" si="16"/>
        <v>-6.3425992628709281E-3</v>
      </c>
      <c r="BO38" s="163">
        <f t="shared" si="17"/>
        <v>0</v>
      </c>
      <c r="BP38" s="164">
        <f t="shared" si="40"/>
        <v>-152.50093859629615</v>
      </c>
      <c r="BQ38" s="164">
        <f>IF($E38="","",IF(AND($D38=Input!$C$6,$C38=12),0,-BJ39+BK39+BL39-BM39-BN39-BO39+BQ39))</f>
        <v>-152.50092545781058</v>
      </c>
      <c r="BR38" s="161">
        <f t="shared" si="18"/>
        <v>0</v>
      </c>
      <c r="BT38" s="147">
        <f t="shared" si="19"/>
        <v>0.85406823863102832</v>
      </c>
      <c r="BU38" s="164">
        <f>IF(AND($C37=12,$D37=Input!$C$6),0,IF($E38="","",BK38+(BL38+BU39)/(1+$AK38)*MIN((1-T38-U38),1)))</f>
        <v>3233.3612014674686</v>
      </c>
      <c r="BV38" s="164">
        <f t="shared" si="20"/>
        <v>2761.5111061952266</v>
      </c>
      <c r="BW38" s="164">
        <f t="shared" si="21"/>
        <v>-152.50092545781058</v>
      </c>
      <c r="BX38" s="164">
        <f t="shared" si="22"/>
        <v>-130.24619679535402</v>
      </c>
    </row>
    <row r="39" spans="1:76" s="150" customFormat="1" x14ac:dyDescent="0.25">
      <c r="A39" s="150">
        <f t="shared" si="35"/>
        <v>35</v>
      </c>
      <c r="B39" s="150">
        <f t="shared" si="36"/>
        <v>3</v>
      </c>
      <c r="C39" s="150">
        <f t="shared" si="37"/>
        <v>11</v>
      </c>
      <c r="D39" s="150">
        <f>IF(E39="","",Input!$C$4+B39-1)</f>
        <v>47</v>
      </c>
      <c r="E39" s="150">
        <f>IF(OR(AND(C38=12,D38=Input!$C$6),E38=""),"",1)</f>
        <v>1</v>
      </c>
      <c r="F39" s="150">
        <f>IF(E39="","",Input!$C$8+B39-1)</f>
        <v>2020</v>
      </c>
      <c r="G39" s="151">
        <f>IF(E39="","",MAX(0,Input!$C$9-B39))</f>
        <v>17</v>
      </c>
      <c r="H39" s="152">
        <f>IF(E39="","",Input!$C$3)</f>
        <v>100000</v>
      </c>
      <c r="I39" s="153">
        <f>IF(E39="","",HLOOKUP($B39,Input!$C$13:$BT$14,2))</f>
        <v>2.2999999999999998</v>
      </c>
      <c r="J39" s="154"/>
      <c r="K39" s="155">
        <f>IF($E39="","",INDEX(Input!$C$16:$CP$16,1,$B39))</f>
        <v>2.8539999999999999E-2</v>
      </c>
      <c r="L39" s="155">
        <f>IF($E39="","",Input!$C$37)</f>
        <v>1.4999999999999999E-2</v>
      </c>
      <c r="M39" s="155">
        <f t="shared" si="23"/>
        <v>4.3539999999999995E-2</v>
      </c>
      <c r="N39" s="155">
        <f t="shared" si="24"/>
        <v>3.5578792243551316E-3</v>
      </c>
      <c r="O39" s="147">
        <f>IF($E39="","",MIN(VLOOKUP(IF($B39&lt;=Input!$C$7,$B39,26),'Mortality Tables'!$A$41:$CW$67,IF($B39&lt;=Input!$C$7+1,Input!$C$4+2,$D39-Input!$C$7+2),0)*IF(B39&gt;20,Input!$C$22,1)/1000,1))</f>
        <v>5.04E-4</v>
      </c>
      <c r="P39" s="147">
        <f>IF($E39="","",MIN(VLOOKUP(IF($B39&lt;=Input!$C$7,$B39,26),'Mortality Tables'!$A$12:$CW$37,IF($B39&lt;=Input!$C$7+1,Input!$C$4+2,$D39-Input!$C$7+2),0)*IF(B39&gt;20,Input!$C$22,1)/1000,1))</f>
        <v>6.3000000000000003E-4</v>
      </c>
      <c r="Q39" s="155">
        <f>IF($E39="","",Input!$C$21)</f>
        <v>5.0000000000000001E-3</v>
      </c>
      <c r="R39" s="159">
        <f>IF($E39="","",(1-Q39)^($F39-Input!$C$20))</f>
        <v>0.99002500000000004</v>
      </c>
      <c r="S39" s="147">
        <f t="shared" si="0"/>
        <v>4.9897260000000008E-4</v>
      </c>
      <c r="T39" s="147">
        <f t="shared" si="1"/>
        <v>4.1590562443016843E-5</v>
      </c>
      <c r="U39" s="160">
        <f>IF($E39="","",IF($C39=12,INDEX(Input!$C$15:$CP$15,1,$B39),0))</f>
        <v>0</v>
      </c>
      <c r="V39" s="150">
        <f>IF(E39="","",IF(C39=1,IF($B39=1,Input!$C$33,Input!$C$34),0))</f>
        <v>0</v>
      </c>
      <c r="W39" s="156">
        <f>IF($E39="","",Input!$C$35)</f>
        <v>0.02</v>
      </c>
      <c r="X39" s="156">
        <f t="shared" si="2"/>
        <v>1.0404</v>
      </c>
      <c r="Y39" s="154"/>
      <c r="Z39" s="147">
        <f>IF($E39="","",VLOOKUP($D39,'Mortality Margins &amp; Grading'!$AB$5:$AF$125,3,0)*IF(Summary!$D$25="Included Margin",IF(AND($B39&gt;Input!$C$9,Summary!$D$31&lt;&gt;"Included Margin"),0,1),0))</f>
        <v>0.04</v>
      </c>
      <c r="AA39" s="147">
        <f>IF($E39="","",VLOOKUP($D39,'Mortality Margins &amp; Grading'!$AB$5:$AF$125,5,0)*IF(Summary!$D$25="Included Margin",IF(AND($B39&gt;Input!$C$9,Summary!$D$31&lt;&gt;"Included Margin"),0,1),0))</f>
        <v>0.20200000000000001</v>
      </c>
      <c r="AB39" s="147">
        <f>IF($E39="","",IF(AND($B39&gt;Input!$C$9,Summary!$D$31&lt;&gt;"Included Margin"),1,IF(Summary!$D$25="Included Margin",VLOOKUP($B39,'Mortality Margins &amp; Grading'!$AI$5:$AR$125,MATCH('Mortality Margins &amp; Grading'!$AQ$4,'Mortality Margins &amp; Grading'!$AI$4:$AR$4,0),0),1)))</f>
        <v>1</v>
      </c>
      <c r="AC39" s="154"/>
      <c r="AD39" s="158">
        <f>IF(E39="","",Input!$C$48*IF(Summary!$D$30="Included Margin",IF(AND($B39&gt;Input!$C$9,Summary!$D$31&lt;&gt;"Included Margin"),0,1),0))</f>
        <v>-4.4999999999999997E-3</v>
      </c>
      <c r="AE39" s="159">
        <f>IF(E39="","",IF(Summary!$D$26="Included Margin",IF(AND($B39&gt;Input!$C$9,Summary!$D$31&lt;&gt;"Included Margin"),1,1/$R39),1))</f>
        <v>1.01007550314386</v>
      </c>
      <c r="AF39" s="160">
        <f>IF(E39="","",IF(AND($B39&gt;=Input!$C$9,$C39=12,Summary!$D$31="Included Margin",$U39&gt;0),1/U39-1,IF($B39&gt;=Input!$C$9,0,Input!$C$45*IF(Summary!$D$27="Included Margin",1,0))))</f>
        <v>-0.1</v>
      </c>
      <c r="AG39" s="160">
        <f>IF(E39="","",Input!$C$46*IF(Summary!$D$28="Included Margin",IF(AND($B39&gt;Input!$C$9,Summary!$D$31&lt;&gt;"Included Margin"),0,1),0))</f>
        <v>0.02</v>
      </c>
      <c r="AH39" s="158">
        <f>IF(E39="","",Input!$C$47*IF(Summary!$D$29="Included Margin",IF(AND($B39&gt;Input!$C$9,Summary!$D$31&lt;&gt;"Included Margin"),0,1),0))</f>
        <v>2.5000000000000001E-3</v>
      </c>
      <c r="AI39" s="154"/>
      <c r="AJ39" s="158">
        <f t="shared" si="25"/>
        <v>3.9039999999999998E-2</v>
      </c>
      <c r="AK39" s="155">
        <f t="shared" si="26"/>
        <v>3.196532208949554E-3</v>
      </c>
      <c r="AL39" s="147">
        <f t="shared" si="27"/>
        <v>5.2415999999999997E-4</v>
      </c>
      <c r="AM39" s="147">
        <f t="shared" si="3"/>
        <v>4.3690497198656253E-5</v>
      </c>
      <c r="AN39" s="160">
        <f t="shared" si="28"/>
        <v>0</v>
      </c>
      <c r="AO39" s="161">
        <f t="shared" si="29"/>
        <v>0</v>
      </c>
      <c r="AP39" s="156">
        <f t="shared" si="4"/>
        <v>1.0455062499999999</v>
      </c>
      <c r="AQ39" s="152"/>
      <c r="AR39" s="162">
        <f t="shared" si="5"/>
        <v>81.689875822913649</v>
      </c>
      <c r="AS39" s="150">
        <f t="shared" si="30"/>
        <v>0</v>
      </c>
      <c r="AT39" s="163">
        <f t="shared" si="6"/>
        <v>0</v>
      </c>
      <c r="AU39" s="163">
        <f t="shared" si="7"/>
        <v>4.3690497198656253</v>
      </c>
      <c r="AV39" s="163">
        <f t="shared" si="31"/>
        <v>0.25414141513700672</v>
      </c>
      <c r="AW39" s="163">
        <f t="shared" si="8"/>
        <v>3.3894374740789865E-3</v>
      </c>
      <c r="AX39" s="163">
        <f t="shared" si="9"/>
        <v>0</v>
      </c>
      <c r="AY39" s="164">
        <f t="shared" si="32"/>
        <v>77.578356955659117</v>
      </c>
      <c r="AZ39" s="164">
        <f>IF($E39="","",IF(OR(AND($D39=Input!$C$6,$C39=12),$AN39=1),0,-AS40+AT40+AU40-AV40-AW40-AX40+AZ40))</f>
        <v>77.578368098388964</v>
      </c>
      <c r="BA39" s="154">
        <f t="shared" si="10"/>
        <v>1.1142729846369548E-5</v>
      </c>
      <c r="BC39" s="147">
        <f t="shared" si="33"/>
        <v>0.85403271745261899</v>
      </c>
      <c r="BD39" s="164">
        <f>IF(AND($C38=12,$D38=Input!$C$6),0,IF($E39="","",AT39+(AU39+BD40)/(1+$AK39)*MIN((1-AM39-AN39),1)))</f>
        <v>2228.1185520247709</v>
      </c>
      <c r="BE39" s="164">
        <f t="shared" si="11"/>
        <v>1902.8861417923097</v>
      </c>
      <c r="BF39" s="164">
        <f t="shared" si="34"/>
        <v>77.578368098388964</v>
      </c>
      <c r="BG39" s="164">
        <f t="shared" si="12"/>
        <v>66.254464522606696</v>
      </c>
      <c r="BH39" s="152"/>
      <c r="BI39" s="162">
        <f t="shared" si="13"/>
        <v>-152.50093859629615</v>
      </c>
      <c r="BJ39" s="150">
        <f t="shared" si="14"/>
        <v>0</v>
      </c>
      <c r="BK39" s="163">
        <f t="shared" si="38"/>
        <v>0</v>
      </c>
      <c r="BL39" s="163">
        <f t="shared" si="15"/>
        <v>4.1590562443016843</v>
      </c>
      <c r="BM39" s="163">
        <f t="shared" si="39"/>
        <v>-0.54997863102868239</v>
      </c>
      <c r="BN39" s="163">
        <f t="shared" si="16"/>
        <v>-6.5387226210511682E-3</v>
      </c>
      <c r="BO39" s="163">
        <f t="shared" si="17"/>
        <v>0</v>
      </c>
      <c r="BP39" s="164">
        <f t="shared" si="40"/>
        <v>-157.2165121942476</v>
      </c>
      <c r="BQ39" s="164">
        <f>IF($E39="","",IF(AND($D39=Input!$C$6,$C39=12),0,-BJ40+BK40+BL40-BM40-BN40-BO40+BQ40))</f>
        <v>-157.216499055762</v>
      </c>
      <c r="BR39" s="161">
        <f t="shared" si="18"/>
        <v>0</v>
      </c>
      <c r="BT39" s="147">
        <f t="shared" si="19"/>
        <v>0.85403271745261899</v>
      </c>
      <c r="BU39" s="164">
        <f>IF(AND($C38=12,$D38=Input!$C$6),0,IF($E39="","",BK39+(BL39+BU40)/(1+$AK39)*MIN((1-T39-U39),1)))</f>
        <v>3239.6726012299305</v>
      </c>
      <c r="BV39" s="164">
        <f t="shared" si="20"/>
        <v>2766.7863952851926</v>
      </c>
      <c r="BW39" s="164">
        <f t="shared" si="21"/>
        <v>-157.216499055762</v>
      </c>
      <c r="BX39" s="164">
        <f t="shared" si="22"/>
        <v>-134.26803391697953</v>
      </c>
    </row>
    <row r="40" spans="1:76" s="150" customFormat="1" x14ac:dyDescent="0.25">
      <c r="A40" s="150">
        <f t="shared" si="35"/>
        <v>36</v>
      </c>
      <c r="B40" s="150">
        <f t="shared" si="36"/>
        <v>3</v>
      </c>
      <c r="C40" s="150">
        <f t="shared" si="37"/>
        <v>12</v>
      </c>
      <c r="D40" s="150">
        <f>IF(E40="","",Input!$C$4+B40-1)</f>
        <v>47</v>
      </c>
      <c r="E40" s="150">
        <f>IF(OR(AND(C39=12,D39=Input!$C$6),E39=""),"",1)</f>
        <v>1</v>
      </c>
      <c r="F40" s="150">
        <f>IF(E40="","",Input!$C$8+B40-1)</f>
        <v>2020</v>
      </c>
      <c r="G40" s="151">
        <f>IF(E40="","",MAX(0,Input!$C$9-B40))</f>
        <v>17</v>
      </c>
      <c r="H40" s="152">
        <f>IF(E40="","",Input!$C$3)</f>
        <v>100000</v>
      </c>
      <c r="I40" s="153">
        <f>IF(E40="","",HLOOKUP($B40,Input!$C$13:$BT$14,2))</f>
        <v>2.2999999999999998</v>
      </c>
      <c r="J40" s="154"/>
      <c r="K40" s="155">
        <f>IF($E40="","",INDEX(Input!$C$16:$CP$16,1,$B40))</f>
        <v>2.8539999999999999E-2</v>
      </c>
      <c r="L40" s="155">
        <f>IF($E40="","",Input!$C$37)</f>
        <v>1.4999999999999999E-2</v>
      </c>
      <c r="M40" s="155">
        <f t="shared" si="23"/>
        <v>4.3539999999999995E-2</v>
      </c>
      <c r="N40" s="155">
        <f t="shared" si="24"/>
        <v>3.5578792243551316E-3</v>
      </c>
      <c r="O40" s="147">
        <f>IF($E40="","",MIN(VLOOKUP(IF($B40&lt;=Input!$C$7,$B40,26),'Mortality Tables'!$A$41:$CW$67,IF($B40&lt;=Input!$C$7+1,Input!$C$4+2,$D40-Input!$C$7+2),0)*IF(B40&gt;20,Input!$C$22,1)/1000,1))</f>
        <v>5.04E-4</v>
      </c>
      <c r="P40" s="147">
        <f>IF($E40="","",MIN(VLOOKUP(IF($B40&lt;=Input!$C$7,$B40,26),'Mortality Tables'!$A$12:$CW$37,IF($B40&lt;=Input!$C$7+1,Input!$C$4+2,$D40-Input!$C$7+2),0)*IF(B40&gt;20,Input!$C$22,1)/1000,1))</f>
        <v>6.3000000000000003E-4</v>
      </c>
      <c r="Q40" s="155">
        <f>IF($E40="","",Input!$C$21)</f>
        <v>5.0000000000000001E-3</v>
      </c>
      <c r="R40" s="159">
        <f>IF($E40="","",(1-Q40)^($F40-Input!$C$20))</f>
        <v>0.99002500000000004</v>
      </c>
      <c r="S40" s="147">
        <f t="shared" si="0"/>
        <v>4.9897260000000008E-4</v>
      </c>
      <c r="T40" s="147">
        <f t="shared" si="1"/>
        <v>4.1590562443016843E-5</v>
      </c>
      <c r="U40" s="160">
        <f>IF($E40="","",IF($C40=12,INDEX(Input!$C$15:$CP$15,1,$B40),0))</f>
        <v>0.05</v>
      </c>
      <c r="V40" s="150">
        <f>IF(E40="","",IF(C40=1,IF($B40=1,Input!$C$33,Input!$C$34),0))</f>
        <v>0</v>
      </c>
      <c r="W40" s="156">
        <f>IF($E40="","",Input!$C$35)</f>
        <v>0.02</v>
      </c>
      <c r="X40" s="156">
        <f t="shared" si="2"/>
        <v>1.0404</v>
      </c>
      <c r="Y40" s="154"/>
      <c r="Z40" s="147">
        <f>IF($E40="","",VLOOKUP($D40,'Mortality Margins &amp; Grading'!$AB$5:$AF$125,3,0)*IF(Summary!$D$25="Included Margin",IF(AND($B40&gt;Input!$C$9,Summary!$D$31&lt;&gt;"Included Margin"),0,1),0))</f>
        <v>0.04</v>
      </c>
      <c r="AA40" s="147">
        <f>IF($E40="","",VLOOKUP($D40,'Mortality Margins &amp; Grading'!$AB$5:$AF$125,5,0)*IF(Summary!$D$25="Included Margin",IF(AND($B40&gt;Input!$C$9,Summary!$D$31&lt;&gt;"Included Margin"),0,1),0))</f>
        <v>0.20200000000000001</v>
      </c>
      <c r="AB40" s="147">
        <f>IF($E40="","",IF(AND($B40&gt;Input!$C$9,Summary!$D$31&lt;&gt;"Included Margin"),1,IF(Summary!$D$25="Included Margin",VLOOKUP($B40,'Mortality Margins &amp; Grading'!$AI$5:$AR$125,MATCH('Mortality Margins &amp; Grading'!$AQ$4,'Mortality Margins &amp; Grading'!$AI$4:$AR$4,0),0),1)))</f>
        <v>1</v>
      </c>
      <c r="AC40" s="154"/>
      <c r="AD40" s="158">
        <f>IF(E40="","",Input!$C$48*IF(Summary!$D$30="Included Margin",IF(AND($B40&gt;Input!$C$9,Summary!$D$31&lt;&gt;"Included Margin"),0,1),0))</f>
        <v>-4.4999999999999997E-3</v>
      </c>
      <c r="AE40" s="159">
        <f>IF(E40="","",IF(Summary!$D$26="Included Margin",IF(AND($B40&gt;Input!$C$9,Summary!$D$31&lt;&gt;"Included Margin"),1,1/$R40),1))</f>
        <v>1.01007550314386</v>
      </c>
      <c r="AF40" s="160">
        <f>IF(E40="","",IF(AND($B40&gt;=Input!$C$9,$C40=12,Summary!$D$31="Included Margin",$U40&gt;0),1/U40-1,IF($B40&gt;=Input!$C$9,0,Input!$C$45*IF(Summary!$D$27="Included Margin",1,0))))</f>
        <v>-0.1</v>
      </c>
      <c r="AG40" s="160">
        <f>IF(E40="","",Input!$C$46*IF(Summary!$D$28="Included Margin",IF(AND($B40&gt;Input!$C$9,Summary!$D$31&lt;&gt;"Included Margin"),0,1),0))</f>
        <v>0.02</v>
      </c>
      <c r="AH40" s="158">
        <f>IF(E40="","",Input!$C$47*IF(Summary!$D$29="Included Margin",IF(AND($B40&gt;Input!$C$9,Summary!$D$31&lt;&gt;"Included Margin"),0,1),0))</f>
        <v>2.5000000000000001E-3</v>
      </c>
      <c r="AI40" s="154"/>
      <c r="AJ40" s="158">
        <f t="shared" si="25"/>
        <v>3.9039999999999998E-2</v>
      </c>
      <c r="AK40" s="155">
        <f t="shared" si="26"/>
        <v>3.196532208949554E-3</v>
      </c>
      <c r="AL40" s="147">
        <f t="shared" si="27"/>
        <v>5.2415999999999997E-4</v>
      </c>
      <c r="AM40" s="147">
        <f t="shared" si="3"/>
        <v>4.3690497198656253E-5</v>
      </c>
      <c r="AN40" s="160">
        <f t="shared" si="28"/>
        <v>4.5000000000000005E-2</v>
      </c>
      <c r="AO40" s="161">
        <f t="shared" si="29"/>
        <v>0</v>
      </c>
      <c r="AP40" s="156">
        <f t="shared" si="4"/>
        <v>1.0455062499999999</v>
      </c>
      <c r="AQ40" s="152"/>
      <c r="AR40" s="162">
        <f t="shared" si="5"/>
        <v>77.578356955659117</v>
      </c>
      <c r="AS40" s="150">
        <f t="shared" si="30"/>
        <v>0</v>
      </c>
      <c r="AT40" s="163">
        <f t="shared" si="6"/>
        <v>0</v>
      </c>
      <c r="AU40" s="163">
        <f t="shared" si="7"/>
        <v>4.3690497198656253</v>
      </c>
      <c r="AV40" s="163">
        <f t="shared" si="31"/>
        <v>0.24099881265012379</v>
      </c>
      <c r="AW40" s="163">
        <f t="shared" si="8"/>
        <v>3.3604409318810659E-3</v>
      </c>
      <c r="AX40" s="163">
        <f t="shared" si="9"/>
        <v>3.4610097105788551</v>
      </c>
      <c r="AY40" s="164">
        <f t="shared" si="32"/>
        <v>76.914676199954343</v>
      </c>
      <c r="AZ40" s="164">
        <f>IF($E40="","",IF(OR(AND($D40=Input!$C$6,$C40=12),$AN40=1),0,-AS41+AT41+AU41-AV41-AW41-AX41+AZ41))</f>
        <v>76.914687342684203</v>
      </c>
      <c r="BA40" s="154">
        <f t="shared" si="10"/>
        <v>1.1142729860580403E-5</v>
      </c>
      <c r="BC40" s="147">
        <f t="shared" si="33"/>
        <v>0.81129556187892438</v>
      </c>
      <c r="BD40" s="164">
        <f>IF(AND($C39=12,$D39=Input!$C$6),0,IF($E40="","",AT40+(AU40+BD41)/(1+$AK40)*MIN((1-AM40-AN40),1)))</f>
        <v>2230.9694180708757</v>
      </c>
      <c r="BE40" s="164">
        <f t="shared" si="11"/>
        <v>1809.975587568508</v>
      </c>
      <c r="BF40" s="164">
        <f t="shared" si="34"/>
        <v>76.914687342684203</v>
      </c>
      <c r="BG40" s="164">
        <f t="shared" si="12"/>
        <v>62.400544484424771</v>
      </c>
      <c r="BH40" s="152"/>
      <c r="BI40" s="162">
        <f t="shared" si="13"/>
        <v>-157.21651219424754</v>
      </c>
      <c r="BJ40" s="150">
        <f t="shared" si="14"/>
        <v>0</v>
      </c>
      <c r="BK40" s="163">
        <f t="shared" si="38"/>
        <v>0</v>
      </c>
      <c r="BL40" s="163">
        <f t="shared" si="15"/>
        <v>4.1590562443016843</v>
      </c>
      <c r="BM40" s="163">
        <f t="shared" si="39"/>
        <v>-0.56675607236375125</v>
      </c>
      <c r="BN40" s="163">
        <f t="shared" si="16"/>
        <v>-7.0900546828371897E-3</v>
      </c>
      <c r="BO40" s="163">
        <f t="shared" si="17"/>
        <v>-8.5232795459172337</v>
      </c>
      <c r="BP40" s="164">
        <f t="shared" si="40"/>
        <v>-170.47269411151305</v>
      </c>
      <c r="BQ40" s="164">
        <f>IF($E40="","",IF(AND($D40=Input!$C$6,$C40=12),0,-BJ41+BK41+BL41-BM41-BN41-BO41+BQ41))</f>
        <v>-170.47268097302751</v>
      </c>
      <c r="BR40" s="161">
        <f t="shared" si="18"/>
        <v>0</v>
      </c>
      <c r="BT40" s="147">
        <f t="shared" si="19"/>
        <v>0.81129556187892438</v>
      </c>
      <c r="BU40" s="164">
        <f>IF(AND($C39=12,$D39=Input!$C$6),0,IF($E40="","",BK40+(BL40+BU41)/(1+$AK40)*MIN((1-T40-U40),1)))</f>
        <v>3246.0044389297077</v>
      </c>
      <c r="BV40" s="164">
        <f t="shared" si="20"/>
        <v>2633.46899514296</v>
      </c>
      <c r="BW40" s="164">
        <f t="shared" si="21"/>
        <v>-170.47268097302751</v>
      </c>
      <c r="BX40" s="164">
        <f t="shared" si="22"/>
        <v>-138.30372949501898</v>
      </c>
    </row>
    <row r="41" spans="1:76" s="150" customFormat="1" x14ac:dyDescent="0.25">
      <c r="A41" s="150">
        <f t="shared" si="35"/>
        <v>37</v>
      </c>
      <c r="B41" s="150">
        <f t="shared" si="36"/>
        <v>4</v>
      </c>
      <c r="C41" s="150">
        <f t="shared" si="37"/>
        <v>1</v>
      </c>
      <c r="D41" s="150">
        <f>IF(E41="","",Input!$C$4+B41-1)</f>
        <v>48</v>
      </c>
      <c r="E41" s="150">
        <f>IF(OR(AND(C40=12,D40=Input!$C$6),E40=""),"",1)</f>
        <v>1</v>
      </c>
      <c r="F41" s="150">
        <f>IF(E41="","",Input!$C$8+B41-1)</f>
        <v>2021</v>
      </c>
      <c r="G41" s="151">
        <f>IF(E41="","",MAX(0,Input!$C$9-B41))</f>
        <v>16</v>
      </c>
      <c r="H41" s="152">
        <f>IF(E41="","",Input!$C$3)</f>
        <v>100000</v>
      </c>
      <c r="I41" s="153">
        <f>IF(E41="","",HLOOKUP($B41,Input!$C$13:$BT$14,2))</f>
        <v>2.2999999999999998</v>
      </c>
      <c r="J41" s="154"/>
      <c r="K41" s="155">
        <f>IF($E41="","",INDEX(Input!$C$16:$CP$16,1,$B41))</f>
        <v>2.8080000000000001E-2</v>
      </c>
      <c r="L41" s="155">
        <f>IF($E41="","",Input!$C$37)</f>
        <v>1.4999999999999999E-2</v>
      </c>
      <c r="M41" s="155">
        <f t="shared" si="23"/>
        <v>4.308E-2</v>
      </c>
      <c r="N41" s="155">
        <f t="shared" si="24"/>
        <v>3.5210071416496014E-3</v>
      </c>
      <c r="O41" s="147">
        <f>IF($E41="","",MIN(VLOOKUP(IF($B41&lt;=Input!$C$7,$B41,26),'Mortality Tables'!$A$41:$CW$67,IF($B41&lt;=Input!$C$7+1,Input!$C$4+2,$D41-Input!$C$7+2),0)*IF(B41&gt;20,Input!$C$22,1)/1000,1))</f>
        <v>6.1600000000000012E-4</v>
      </c>
      <c r="P41" s="147">
        <f>IF($E41="","",MIN(VLOOKUP(IF($B41&lt;=Input!$C$7,$B41,26),'Mortality Tables'!$A$12:$CW$37,IF($B41&lt;=Input!$C$7+1,Input!$C$4+2,$D41-Input!$C$7+2),0)*IF(B41&gt;20,Input!$C$22,1)/1000,1))</f>
        <v>7.7000000000000007E-4</v>
      </c>
      <c r="Q41" s="155">
        <f>IF($E41="","",Input!$C$21)</f>
        <v>5.0000000000000001E-3</v>
      </c>
      <c r="R41" s="159">
        <f>IF($E41="","",(1-Q41)^($F41-Input!$C$20))</f>
        <v>0.98507487500000002</v>
      </c>
      <c r="S41" s="147">
        <f t="shared" si="0"/>
        <v>6.0680612300000015E-4</v>
      </c>
      <c r="T41" s="147">
        <f t="shared" si="1"/>
        <v>5.0581246087921805E-5</v>
      </c>
      <c r="U41" s="160">
        <f>IF($E41="","",IF($C41=12,INDEX(Input!$C$15:$CP$15,1,$B41),0))</f>
        <v>0</v>
      </c>
      <c r="V41" s="150">
        <f>IF(E41="","",IF(C41=1,IF($B41=1,Input!$C$33,Input!$C$34),0))</f>
        <v>50</v>
      </c>
      <c r="W41" s="156">
        <f>IF($E41="","",Input!$C$35)</f>
        <v>0.02</v>
      </c>
      <c r="X41" s="156">
        <f t="shared" si="2"/>
        <v>1.0612079999999999</v>
      </c>
      <c r="Y41" s="154"/>
      <c r="Z41" s="147">
        <f>IF($E41="","",VLOOKUP($D41,'Mortality Margins &amp; Grading'!$AB$5:$AF$125,3,0)*IF(Summary!$D$25="Included Margin",IF(AND($B41&gt;Input!$C$9,Summary!$D$31&lt;&gt;"Included Margin"),0,1),0))</f>
        <v>3.9E-2</v>
      </c>
      <c r="AA41" s="147">
        <f>IF($E41="","",VLOOKUP($D41,'Mortality Margins &amp; Grading'!$AB$5:$AF$125,5,0)*IF(Summary!$D$25="Included Margin",IF(AND($B41&gt;Input!$C$9,Summary!$D$31&lt;&gt;"Included Margin"),0,1),0))</f>
        <v>0.2</v>
      </c>
      <c r="AB41" s="147">
        <f>IF($E41="","",IF(AND($B41&gt;Input!$C$9,Summary!$D$31&lt;&gt;"Included Margin"),1,IF(Summary!$D$25="Included Margin",VLOOKUP($B41,'Mortality Margins &amp; Grading'!$AI$5:$AR$125,MATCH('Mortality Margins &amp; Grading'!$AQ$4,'Mortality Margins &amp; Grading'!$AI$4:$AR$4,0),0),1)))</f>
        <v>1</v>
      </c>
      <c r="AC41" s="154"/>
      <c r="AD41" s="158">
        <f>IF(E41="","",Input!$C$48*IF(Summary!$D$30="Included Margin",IF(AND($B41&gt;Input!$C$9,Summary!$D$31&lt;&gt;"Included Margin"),0,1),0))</f>
        <v>-4.4999999999999997E-3</v>
      </c>
      <c r="AE41" s="159">
        <f>IF(E41="","",IF(Summary!$D$26="Included Margin",IF(AND($B41&gt;Input!$C$9,Summary!$D$31&lt;&gt;"Included Margin"),1,1/$R41),1))</f>
        <v>1.0151512594410652</v>
      </c>
      <c r="AF41" s="160">
        <f>IF(E41="","",IF(AND($B41&gt;=Input!$C$9,$C41=12,Summary!$D$31="Included Margin",$U41&gt;0),1/U41-1,IF($B41&gt;=Input!$C$9,0,Input!$C$45*IF(Summary!$D$27="Included Margin",1,0))))</f>
        <v>-0.1</v>
      </c>
      <c r="AG41" s="160">
        <f>IF(E41="","",Input!$C$46*IF(Summary!$D$28="Included Margin",IF(AND($B41&gt;Input!$C$9,Summary!$D$31&lt;&gt;"Included Margin"),0,1),0))</f>
        <v>0.02</v>
      </c>
      <c r="AH41" s="158">
        <f>IF(E41="","",Input!$C$47*IF(Summary!$D$29="Included Margin",IF(AND($B41&gt;Input!$C$9,Summary!$D$31&lt;&gt;"Included Margin"),0,1),0))</f>
        <v>2.5000000000000001E-3</v>
      </c>
      <c r="AI41" s="154"/>
      <c r="AJ41" s="158">
        <f t="shared" si="25"/>
        <v>3.8580000000000003E-2</v>
      </c>
      <c r="AK41" s="155">
        <f t="shared" si="26"/>
        <v>3.1595137376494442E-3</v>
      </c>
      <c r="AL41" s="147">
        <f t="shared" si="27"/>
        <v>6.400240000000001E-4</v>
      </c>
      <c r="AM41" s="147">
        <f t="shared" si="3"/>
        <v>5.3350985351641178E-5</v>
      </c>
      <c r="AN41" s="160">
        <f t="shared" si="28"/>
        <v>0</v>
      </c>
      <c r="AO41" s="161">
        <f t="shared" si="29"/>
        <v>51</v>
      </c>
      <c r="AP41" s="156">
        <f t="shared" si="4"/>
        <v>1.0690301406249998</v>
      </c>
      <c r="AQ41" s="152"/>
      <c r="AR41" s="162">
        <f t="shared" si="5"/>
        <v>76.914674049243246</v>
      </c>
      <c r="AS41" s="150">
        <f t="shared" si="30"/>
        <v>229.99999999999997</v>
      </c>
      <c r="AT41" s="163">
        <f t="shared" si="6"/>
        <v>54.520537171874992</v>
      </c>
      <c r="AU41" s="163">
        <f t="shared" si="7"/>
        <v>5.3350985351641178</v>
      </c>
      <c r="AV41" s="163">
        <f t="shared" si="31"/>
        <v>0.78901458420943693</v>
      </c>
      <c r="AW41" s="163">
        <f t="shared" si="8"/>
        <v>1.3223644044767778E-2</v>
      </c>
      <c r="AX41" s="163">
        <f t="shared" si="9"/>
        <v>0</v>
      </c>
      <c r="AY41" s="164">
        <f t="shared" si="32"/>
        <v>247.8612765704583</v>
      </c>
      <c r="AZ41" s="164">
        <f>IF($E41="","",IF(OR(AND($D41=Input!$C$6,$C41=12),$AN41=1),0,-AS42+AT42+AU42-AV42-AW42-AX42+AZ42))</f>
        <v>247.86128986389926</v>
      </c>
      <c r="BA41" s="154">
        <f t="shared" si="10"/>
        <v>1.329344095779561E-5</v>
      </c>
      <c r="BC41" s="147">
        <f t="shared" si="33"/>
        <v>0.81125452553845889</v>
      </c>
      <c r="BD41" s="164">
        <f>IF(AND($C40=12,$D40=Input!$C$6),0,IF($E41="","",AT41+(AU41+BD42)/(1+$AK41)*MIN((1-AM41-AN41),1)))</f>
        <v>2339.2992012791665</v>
      </c>
      <c r="BE41" s="164">
        <f t="shared" si="11"/>
        <v>1897.767063626226</v>
      </c>
      <c r="BF41" s="164">
        <f t="shared" si="34"/>
        <v>247.86128986389926</v>
      </c>
      <c r="BG41" s="164">
        <f t="shared" si="12"/>
        <v>201.07859310788803</v>
      </c>
      <c r="BH41" s="152"/>
      <c r="BI41" s="162">
        <f t="shared" si="13"/>
        <v>-170.4726966224905</v>
      </c>
      <c r="BJ41" s="150">
        <f t="shared" si="14"/>
        <v>229.99999999999997</v>
      </c>
      <c r="BK41" s="163">
        <f t="shared" si="38"/>
        <v>53.060399999999994</v>
      </c>
      <c r="BL41" s="163">
        <f t="shared" si="15"/>
        <v>5.0581246087921805</v>
      </c>
      <c r="BM41" s="163">
        <f t="shared" si="39"/>
        <v>1.3865166541113357E-2</v>
      </c>
      <c r="BN41" s="163">
        <f t="shared" si="16"/>
        <v>7.1963534559385487E-5</v>
      </c>
      <c r="BO41" s="163">
        <f t="shared" si="17"/>
        <v>0</v>
      </c>
      <c r="BP41" s="164">
        <f t="shared" si="40"/>
        <v>1.4227158987929669</v>
      </c>
      <c r="BQ41" s="164">
        <f>IF($E41="","",IF(AND($D41=Input!$C$6,$C41=12),0,-BJ42+BK42+BL42-BM42-BN42-BO42+BQ42))</f>
        <v>1.4227315482559755</v>
      </c>
      <c r="BR41" s="161">
        <f t="shared" si="18"/>
        <v>0</v>
      </c>
      <c r="BT41" s="147">
        <f t="shared" si="19"/>
        <v>0.81125452553845889</v>
      </c>
      <c r="BU41" s="164">
        <f>IF(AND($C40=12,$D40=Input!$C$6),0,IF($E41="","",BK41+(BL41+BU42)/(1+$AK41)*MIN((1-T41-U41),1)))</f>
        <v>3423.7598550658777</v>
      </c>
      <c r="BV41" s="164">
        <f t="shared" si="20"/>
        <v>2777.5406767790914</v>
      </c>
      <c r="BW41" s="164">
        <f t="shared" si="21"/>
        <v>1.4227315482559755</v>
      </c>
      <c r="BX41" s="164">
        <f t="shared" si="22"/>
        <v>1.1541974071489984</v>
      </c>
    </row>
    <row r="42" spans="1:76" s="150" customFormat="1" x14ac:dyDescent="0.25">
      <c r="A42" s="150">
        <f t="shared" si="35"/>
        <v>38</v>
      </c>
      <c r="B42" s="150">
        <f t="shared" si="36"/>
        <v>4</v>
      </c>
      <c r="C42" s="150">
        <f t="shared" si="37"/>
        <v>2</v>
      </c>
      <c r="D42" s="150">
        <f>IF(E42="","",Input!$C$4+B42-1)</f>
        <v>48</v>
      </c>
      <c r="E42" s="150">
        <f>IF(OR(AND(C41=12,D41=Input!$C$6),E41=""),"",1)</f>
        <v>1</v>
      </c>
      <c r="F42" s="150">
        <f>IF(E42="","",Input!$C$8+B42-1)</f>
        <v>2021</v>
      </c>
      <c r="G42" s="151">
        <f>IF(E42="","",MAX(0,Input!$C$9-B42))</f>
        <v>16</v>
      </c>
      <c r="H42" s="152">
        <f>IF(E42="","",Input!$C$3)</f>
        <v>100000</v>
      </c>
      <c r="I42" s="153">
        <f>IF(E42="","",HLOOKUP($B42,Input!$C$13:$BT$14,2))</f>
        <v>2.2999999999999998</v>
      </c>
      <c r="J42" s="154"/>
      <c r="K42" s="155">
        <f>IF($E42="","",INDEX(Input!$C$16:$CP$16,1,$B42))</f>
        <v>2.8080000000000001E-2</v>
      </c>
      <c r="L42" s="155">
        <f>IF($E42="","",Input!$C$37)</f>
        <v>1.4999999999999999E-2</v>
      </c>
      <c r="M42" s="155">
        <f t="shared" si="23"/>
        <v>4.308E-2</v>
      </c>
      <c r="N42" s="155">
        <f t="shared" si="24"/>
        <v>3.5210071416496014E-3</v>
      </c>
      <c r="O42" s="147">
        <f>IF($E42="","",MIN(VLOOKUP(IF($B42&lt;=Input!$C$7,$B42,26),'Mortality Tables'!$A$41:$CW$67,IF($B42&lt;=Input!$C$7+1,Input!$C$4+2,$D42-Input!$C$7+2),0)*IF(B42&gt;20,Input!$C$22,1)/1000,1))</f>
        <v>6.1600000000000012E-4</v>
      </c>
      <c r="P42" s="147">
        <f>IF($E42="","",MIN(VLOOKUP(IF($B42&lt;=Input!$C$7,$B42,26),'Mortality Tables'!$A$12:$CW$37,IF($B42&lt;=Input!$C$7+1,Input!$C$4+2,$D42-Input!$C$7+2),0)*IF(B42&gt;20,Input!$C$22,1)/1000,1))</f>
        <v>7.7000000000000007E-4</v>
      </c>
      <c r="Q42" s="155">
        <f>IF($E42="","",Input!$C$21)</f>
        <v>5.0000000000000001E-3</v>
      </c>
      <c r="R42" s="159">
        <f>IF($E42="","",(1-Q42)^($F42-Input!$C$20))</f>
        <v>0.98507487500000002</v>
      </c>
      <c r="S42" s="147">
        <f t="shared" si="0"/>
        <v>6.0680612300000015E-4</v>
      </c>
      <c r="T42" s="147">
        <f t="shared" si="1"/>
        <v>5.0581246087921805E-5</v>
      </c>
      <c r="U42" s="160">
        <f>IF($E42="","",IF($C42=12,INDEX(Input!$C$15:$CP$15,1,$B42),0))</f>
        <v>0</v>
      </c>
      <c r="V42" s="150">
        <f>IF(E42="","",IF(C42=1,IF($B42=1,Input!$C$33,Input!$C$34),0))</f>
        <v>0</v>
      </c>
      <c r="W42" s="156">
        <f>IF($E42="","",Input!$C$35)</f>
        <v>0.02</v>
      </c>
      <c r="X42" s="156">
        <f t="shared" si="2"/>
        <v>1.0612079999999999</v>
      </c>
      <c r="Y42" s="154"/>
      <c r="Z42" s="147">
        <f>IF($E42="","",VLOOKUP($D42,'Mortality Margins &amp; Grading'!$AB$5:$AF$125,3,0)*IF(Summary!$D$25="Included Margin",IF(AND($B42&gt;Input!$C$9,Summary!$D$31&lt;&gt;"Included Margin"),0,1),0))</f>
        <v>3.9E-2</v>
      </c>
      <c r="AA42" s="147">
        <f>IF($E42="","",VLOOKUP($D42,'Mortality Margins &amp; Grading'!$AB$5:$AF$125,5,0)*IF(Summary!$D$25="Included Margin",IF(AND($B42&gt;Input!$C$9,Summary!$D$31&lt;&gt;"Included Margin"),0,1),0))</f>
        <v>0.2</v>
      </c>
      <c r="AB42" s="147">
        <f>IF($E42="","",IF(AND($B42&gt;Input!$C$9,Summary!$D$31&lt;&gt;"Included Margin"),1,IF(Summary!$D$25="Included Margin",VLOOKUP($B42,'Mortality Margins &amp; Grading'!$AI$5:$AR$125,MATCH('Mortality Margins &amp; Grading'!$AQ$4,'Mortality Margins &amp; Grading'!$AI$4:$AR$4,0),0),1)))</f>
        <v>1</v>
      </c>
      <c r="AC42" s="154"/>
      <c r="AD42" s="158">
        <f>IF(E42="","",Input!$C$48*IF(Summary!$D$30="Included Margin",IF(AND($B42&gt;Input!$C$9,Summary!$D$31&lt;&gt;"Included Margin"),0,1),0))</f>
        <v>-4.4999999999999997E-3</v>
      </c>
      <c r="AE42" s="159">
        <f>IF(E42="","",IF(Summary!$D$26="Included Margin",IF(AND($B42&gt;Input!$C$9,Summary!$D$31&lt;&gt;"Included Margin"),1,1/$R42),1))</f>
        <v>1.0151512594410652</v>
      </c>
      <c r="AF42" s="160">
        <f>IF(E42="","",IF(AND($B42&gt;=Input!$C$9,$C42=12,Summary!$D$31="Included Margin",$U42&gt;0),1/U42-1,IF($B42&gt;=Input!$C$9,0,Input!$C$45*IF(Summary!$D$27="Included Margin",1,0))))</f>
        <v>-0.1</v>
      </c>
      <c r="AG42" s="160">
        <f>IF(E42="","",Input!$C$46*IF(Summary!$D$28="Included Margin",IF(AND($B42&gt;Input!$C$9,Summary!$D$31&lt;&gt;"Included Margin"),0,1),0))</f>
        <v>0.02</v>
      </c>
      <c r="AH42" s="158">
        <f>IF(E42="","",Input!$C$47*IF(Summary!$D$29="Included Margin",IF(AND($B42&gt;Input!$C$9,Summary!$D$31&lt;&gt;"Included Margin"),0,1),0))</f>
        <v>2.5000000000000001E-3</v>
      </c>
      <c r="AI42" s="154"/>
      <c r="AJ42" s="158">
        <f t="shared" si="25"/>
        <v>3.8580000000000003E-2</v>
      </c>
      <c r="AK42" s="155">
        <f t="shared" si="26"/>
        <v>3.1595137376494442E-3</v>
      </c>
      <c r="AL42" s="147">
        <f t="shared" si="27"/>
        <v>6.400240000000001E-4</v>
      </c>
      <c r="AM42" s="147">
        <f t="shared" si="3"/>
        <v>5.3350985351641178E-5</v>
      </c>
      <c r="AN42" s="160">
        <f t="shared" si="28"/>
        <v>0</v>
      </c>
      <c r="AO42" s="161">
        <f t="shared" si="29"/>
        <v>0</v>
      </c>
      <c r="AP42" s="156">
        <f t="shared" si="4"/>
        <v>1.0690301406249998</v>
      </c>
      <c r="AQ42" s="152"/>
      <c r="AR42" s="162">
        <f t="shared" si="5"/>
        <v>247.8612765704583</v>
      </c>
      <c r="AS42" s="150">
        <f t="shared" si="30"/>
        <v>0</v>
      </c>
      <c r="AT42" s="163">
        <f t="shared" si="6"/>
        <v>0</v>
      </c>
      <c r="AU42" s="163">
        <f t="shared" si="7"/>
        <v>5.3350985351641178</v>
      </c>
      <c r="AV42" s="163">
        <f t="shared" si="31"/>
        <v>0.77469294979890913</v>
      </c>
      <c r="AW42" s="163">
        <f t="shared" si="8"/>
        <v>1.2981034464164962E-2</v>
      </c>
      <c r="AX42" s="163">
        <f t="shared" si="9"/>
        <v>0</v>
      </c>
      <c r="AY42" s="164">
        <f t="shared" si="32"/>
        <v>243.31385201955726</v>
      </c>
      <c r="AZ42" s="164">
        <f>IF($E42="","",IF(OR(AND($D42=Input!$C$6,$C42=12),$AN42=1),0,-AS43+AT43+AU43-AV43-AW43-AX43+AZ43))</f>
        <v>243.31386531299822</v>
      </c>
      <c r="BA42" s="154">
        <f t="shared" si="10"/>
        <v>1.329344095779561E-5</v>
      </c>
      <c r="BC42" s="147">
        <f t="shared" si="33"/>
        <v>0.81121349127366271</v>
      </c>
      <c r="BD42" s="164">
        <f>IF(AND($C41=12,$D41=Input!$C$6),0,IF($E42="","",AT42+(AU42+BD43)/(1+$AK42)*MIN((1-AM42-AN42),1)))</f>
        <v>2286.784641995564</v>
      </c>
      <c r="BE42" s="164">
        <f t="shared" si="11"/>
        <v>1855.0705532242143</v>
      </c>
      <c r="BF42" s="164">
        <f t="shared" si="34"/>
        <v>243.31386531299822</v>
      </c>
      <c r="BG42" s="164">
        <f t="shared" si="12"/>
        <v>197.37949015584704</v>
      </c>
      <c r="BH42" s="152"/>
      <c r="BI42" s="162">
        <f t="shared" si="13"/>
        <v>1.4227158987929638</v>
      </c>
      <c r="BJ42" s="150">
        <f t="shared" si="14"/>
        <v>0</v>
      </c>
      <c r="BK42" s="163">
        <f t="shared" si="38"/>
        <v>0</v>
      </c>
      <c r="BL42" s="163">
        <f t="shared" si="15"/>
        <v>5.0581246087921805</v>
      </c>
      <c r="BM42" s="163">
        <f t="shared" si="39"/>
        <v>-3.8954535952669747E-3</v>
      </c>
      <c r="BN42" s="163">
        <f t="shared" si="16"/>
        <v>-1.8408905937224547E-4</v>
      </c>
      <c r="BO42" s="163">
        <f t="shared" si="17"/>
        <v>0</v>
      </c>
      <c r="BP42" s="164">
        <f t="shared" si="40"/>
        <v>-3.6394882526538561</v>
      </c>
      <c r="BQ42" s="164">
        <f>IF($E42="","",IF(AND($D42=Input!$C$6,$C42=12),0,-BJ43+BK43+BL43-BM43-BN43-BO43+BQ43))</f>
        <v>-3.6394726031908444</v>
      </c>
      <c r="BR42" s="161">
        <f t="shared" si="18"/>
        <v>0</v>
      </c>
      <c r="BT42" s="147">
        <f t="shared" si="19"/>
        <v>0.81121349127366271</v>
      </c>
      <c r="BU42" s="164">
        <f>IF(AND($C41=12,$D41=Input!$C$6),0,IF($E42="","",BK42+(BL42+BU43)/(1+$AK42)*MIN((1-T42-U42),1)))</f>
        <v>3376.4621431996707</v>
      </c>
      <c r="BV42" s="164">
        <f t="shared" si="20"/>
        <v>2739.0316433383587</v>
      </c>
      <c r="BW42" s="164">
        <f t="shared" si="21"/>
        <v>-3.6394726031908444</v>
      </c>
      <c r="BX42" s="164">
        <f t="shared" si="22"/>
        <v>-2.9523892768292908</v>
      </c>
    </row>
    <row r="43" spans="1:76" s="150" customFormat="1" x14ac:dyDescent="0.25">
      <c r="A43" s="150">
        <f t="shared" si="35"/>
        <v>39</v>
      </c>
      <c r="B43" s="150">
        <f t="shared" si="36"/>
        <v>4</v>
      </c>
      <c r="C43" s="150">
        <f t="shared" si="37"/>
        <v>3</v>
      </c>
      <c r="D43" s="150">
        <f>IF(E43="","",Input!$C$4+B43-1)</f>
        <v>48</v>
      </c>
      <c r="E43" s="150">
        <f>IF(OR(AND(C42=12,D42=Input!$C$6),E42=""),"",1)</f>
        <v>1</v>
      </c>
      <c r="F43" s="150">
        <f>IF(E43="","",Input!$C$8+B43-1)</f>
        <v>2021</v>
      </c>
      <c r="G43" s="151">
        <f>IF(E43="","",MAX(0,Input!$C$9-B43))</f>
        <v>16</v>
      </c>
      <c r="H43" s="152">
        <f>IF(E43="","",Input!$C$3)</f>
        <v>100000</v>
      </c>
      <c r="I43" s="153">
        <f>IF(E43="","",HLOOKUP($B43,Input!$C$13:$BT$14,2))</f>
        <v>2.2999999999999998</v>
      </c>
      <c r="J43" s="154"/>
      <c r="K43" s="155">
        <f>IF($E43="","",INDEX(Input!$C$16:$CP$16,1,$B43))</f>
        <v>2.8080000000000001E-2</v>
      </c>
      <c r="L43" s="155">
        <f>IF($E43="","",Input!$C$37)</f>
        <v>1.4999999999999999E-2</v>
      </c>
      <c r="M43" s="155">
        <f t="shared" si="23"/>
        <v>4.308E-2</v>
      </c>
      <c r="N43" s="155">
        <f t="shared" si="24"/>
        <v>3.5210071416496014E-3</v>
      </c>
      <c r="O43" s="147">
        <f>IF($E43="","",MIN(VLOOKUP(IF($B43&lt;=Input!$C$7,$B43,26),'Mortality Tables'!$A$41:$CW$67,IF($B43&lt;=Input!$C$7+1,Input!$C$4+2,$D43-Input!$C$7+2),0)*IF(B43&gt;20,Input!$C$22,1)/1000,1))</f>
        <v>6.1600000000000012E-4</v>
      </c>
      <c r="P43" s="147">
        <f>IF($E43="","",MIN(VLOOKUP(IF($B43&lt;=Input!$C$7,$B43,26),'Mortality Tables'!$A$12:$CW$37,IF($B43&lt;=Input!$C$7+1,Input!$C$4+2,$D43-Input!$C$7+2),0)*IF(B43&gt;20,Input!$C$22,1)/1000,1))</f>
        <v>7.7000000000000007E-4</v>
      </c>
      <c r="Q43" s="155">
        <f>IF($E43="","",Input!$C$21)</f>
        <v>5.0000000000000001E-3</v>
      </c>
      <c r="R43" s="159">
        <f>IF($E43="","",(1-Q43)^($F43-Input!$C$20))</f>
        <v>0.98507487500000002</v>
      </c>
      <c r="S43" s="147">
        <f t="shared" si="0"/>
        <v>6.0680612300000015E-4</v>
      </c>
      <c r="T43" s="147">
        <f t="shared" si="1"/>
        <v>5.0581246087921805E-5</v>
      </c>
      <c r="U43" s="160">
        <f>IF($E43="","",IF($C43=12,INDEX(Input!$C$15:$CP$15,1,$B43),0))</f>
        <v>0</v>
      </c>
      <c r="V43" s="150">
        <f>IF(E43="","",IF(C43=1,IF($B43=1,Input!$C$33,Input!$C$34),0))</f>
        <v>0</v>
      </c>
      <c r="W43" s="156">
        <f>IF($E43="","",Input!$C$35)</f>
        <v>0.02</v>
      </c>
      <c r="X43" s="156">
        <f t="shared" si="2"/>
        <v>1.0612079999999999</v>
      </c>
      <c r="Y43" s="154"/>
      <c r="Z43" s="147">
        <f>IF($E43="","",VLOOKUP($D43,'Mortality Margins &amp; Grading'!$AB$5:$AF$125,3,0)*IF(Summary!$D$25="Included Margin",IF(AND($B43&gt;Input!$C$9,Summary!$D$31&lt;&gt;"Included Margin"),0,1),0))</f>
        <v>3.9E-2</v>
      </c>
      <c r="AA43" s="147">
        <f>IF($E43="","",VLOOKUP($D43,'Mortality Margins &amp; Grading'!$AB$5:$AF$125,5,0)*IF(Summary!$D$25="Included Margin",IF(AND($B43&gt;Input!$C$9,Summary!$D$31&lt;&gt;"Included Margin"),0,1),0))</f>
        <v>0.2</v>
      </c>
      <c r="AB43" s="147">
        <f>IF($E43="","",IF(AND($B43&gt;Input!$C$9,Summary!$D$31&lt;&gt;"Included Margin"),1,IF(Summary!$D$25="Included Margin",VLOOKUP($B43,'Mortality Margins &amp; Grading'!$AI$5:$AR$125,MATCH('Mortality Margins &amp; Grading'!$AQ$4,'Mortality Margins &amp; Grading'!$AI$4:$AR$4,0),0),1)))</f>
        <v>1</v>
      </c>
      <c r="AC43" s="154"/>
      <c r="AD43" s="158">
        <f>IF(E43="","",Input!$C$48*IF(Summary!$D$30="Included Margin",IF(AND($B43&gt;Input!$C$9,Summary!$D$31&lt;&gt;"Included Margin"),0,1),0))</f>
        <v>-4.4999999999999997E-3</v>
      </c>
      <c r="AE43" s="159">
        <f>IF(E43="","",IF(Summary!$D$26="Included Margin",IF(AND($B43&gt;Input!$C$9,Summary!$D$31&lt;&gt;"Included Margin"),1,1/$R43),1))</f>
        <v>1.0151512594410652</v>
      </c>
      <c r="AF43" s="160">
        <f>IF(E43="","",IF(AND($B43&gt;=Input!$C$9,$C43=12,Summary!$D$31="Included Margin",$U43&gt;0),1/U43-1,IF($B43&gt;=Input!$C$9,0,Input!$C$45*IF(Summary!$D$27="Included Margin",1,0))))</f>
        <v>-0.1</v>
      </c>
      <c r="AG43" s="160">
        <f>IF(E43="","",Input!$C$46*IF(Summary!$D$28="Included Margin",IF(AND($B43&gt;Input!$C$9,Summary!$D$31&lt;&gt;"Included Margin"),0,1),0))</f>
        <v>0.02</v>
      </c>
      <c r="AH43" s="158">
        <f>IF(E43="","",Input!$C$47*IF(Summary!$D$29="Included Margin",IF(AND($B43&gt;Input!$C$9,Summary!$D$31&lt;&gt;"Included Margin"),0,1),0))</f>
        <v>2.5000000000000001E-3</v>
      </c>
      <c r="AI43" s="154"/>
      <c r="AJ43" s="158">
        <f t="shared" si="25"/>
        <v>3.8580000000000003E-2</v>
      </c>
      <c r="AK43" s="155">
        <f t="shared" si="26"/>
        <v>3.1595137376494442E-3</v>
      </c>
      <c r="AL43" s="147">
        <f t="shared" si="27"/>
        <v>6.400240000000001E-4</v>
      </c>
      <c r="AM43" s="147">
        <f t="shared" si="3"/>
        <v>5.3350985351641178E-5</v>
      </c>
      <c r="AN43" s="160">
        <f t="shared" si="28"/>
        <v>0</v>
      </c>
      <c r="AO43" s="161">
        <f t="shared" si="29"/>
        <v>0</v>
      </c>
      <c r="AP43" s="156">
        <f t="shared" si="4"/>
        <v>1.0690301406249998</v>
      </c>
      <c r="AQ43" s="152"/>
      <c r="AR43" s="162">
        <f t="shared" si="5"/>
        <v>243.31385201955726</v>
      </c>
      <c r="AS43" s="150">
        <f t="shared" si="30"/>
        <v>0</v>
      </c>
      <c r="AT43" s="163">
        <f t="shared" si="6"/>
        <v>0</v>
      </c>
      <c r="AU43" s="163">
        <f t="shared" si="7"/>
        <v>5.3350985351641178</v>
      </c>
      <c r="AV43" s="163">
        <f t="shared" si="31"/>
        <v>0.76032529945941296</v>
      </c>
      <c r="AW43" s="163">
        <f t="shared" si="8"/>
        <v>1.2737645370211362E-2</v>
      </c>
      <c r="AX43" s="163">
        <f t="shared" si="9"/>
        <v>0</v>
      </c>
      <c r="AY43" s="164">
        <f t="shared" si="32"/>
        <v>238.75181642922277</v>
      </c>
      <c r="AZ43" s="164">
        <f>IF($E43="","",IF(OR(AND($D43=Input!$C$6,$C43=12),$AN43=1),0,-AS44+AT44+AU44-AV44-AW44-AX44+AZ44))</f>
        <v>238.75182972266373</v>
      </c>
      <c r="BA43" s="154">
        <f t="shared" si="10"/>
        <v>1.329344095779561E-5</v>
      </c>
      <c r="BC43" s="147">
        <f t="shared" si="33"/>
        <v>0.81117245908443081</v>
      </c>
      <c r="BD43" s="164">
        <f>IF(AND($C42=12,$D42=Input!$C$6),0,IF($E43="","",AT43+(AU43+BD44)/(1+$AK43)*MIN((1-AM43-AN43),1)))</f>
        <v>2288.7970651632913</v>
      </c>
      <c r="BE43" s="164">
        <f t="shared" si="11"/>
        <v>1856.6091436937352</v>
      </c>
      <c r="BF43" s="164">
        <f t="shared" si="34"/>
        <v>238.75182972266373</v>
      </c>
      <c r="BG43" s="164">
        <f t="shared" si="12"/>
        <v>193.66890882704044</v>
      </c>
      <c r="BH43" s="152"/>
      <c r="BI43" s="162">
        <f t="shared" si="13"/>
        <v>-3.6394882526538552</v>
      </c>
      <c r="BJ43" s="150">
        <f t="shared" si="14"/>
        <v>0</v>
      </c>
      <c r="BK43" s="163">
        <f t="shared" si="38"/>
        <v>0</v>
      </c>
      <c r="BL43" s="163">
        <f t="shared" si="15"/>
        <v>5.0581246087921805</v>
      </c>
      <c r="BM43" s="163">
        <f t="shared" si="39"/>
        <v>-2.1719510564999486E-2</v>
      </c>
      <c r="BN43" s="163">
        <f t="shared" si="16"/>
        <v>-4.4105621403463409E-4</v>
      </c>
      <c r="BO43" s="163">
        <f t="shared" si="17"/>
        <v>0</v>
      </c>
      <c r="BP43" s="164">
        <f t="shared" si="40"/>
        <v>-8.7197734282250696</v>
      </c>
      <c r="BQ43" s="164">
        <f>IF($E43="","",IF(AND($D43=Input!$C$6,$C43=12),0,-BJ44+BK44+BL44-BM44-BN44-BO44+BQ44))</f>
        <v>-8.7197577787620588</v>
      </c>
      <c r="BR43" s="161">
        <f t="shared" si="18"/>
        <v>0</v>
      </c>
      <c r="BT43" s="147">
        <f t="shared" si="19"/>
        <v>0.81117245908443081</v>
      </c>
      <c r="BU43" s="164">
        <f>IF(AND($C42=12,$D42=Input!$C$6),0,IF($E43="","",BK43+(BL43+BU44)/(1+$AK43)*MIN((1-T43-U43),1)))</f>
        <v>3382.2433310454735</v>
      </c>
      <c r="BV43" s="164">
        <f t="shared" si="20"/>
        <v>2743.5826400660735</v>
      </c>
      <c r="BW43" s="164">
        <f t="shared" si="21"/>
        <v>-8.7197577787620588</v>
      </c>
      <c r="BX43" s="164">
        <f t="shared" si="22"/>
        <v>-7.0732273600190139</v>
      </c>
    </row>
    <row r="44" spans="1:76" s="150" customFormat="1" x14ac:dyDescent="0.25">
      <c r="A44" s="150">
        <f t="shared" si="35"/>
        <v>40</v>
      </c>
      <c r="B44" s="150">
        <f t="shared" si="36"/>
        <v>4</v>
      </c>
      <c r="C44" s="150">
        <f t="shared" si="37"/>
        <v>4</v>
      </c>
      <c r="D44" s="150">
        <f>IF(E44="","",Input!$C$4+B44-1)</f>
        <v>48</v>
      </c>
      <c r="E44" s="150">
        <f>IF(OR(AND(C43=12,D43=Input!$C$6),E43=""),"",1)</f>
        <v>1</v>
      </c>
      <c r="F44" s="150">
        <f>IF(E44="","",Input!$C$8+B44-1)</f>
        <v>2021</v>
      </c>
      <c r="G44" s="151">
        <f>IF(E44="","",MAX(0,Input!$C$9-B44))</f>
        <v>16</v>
      </c>
      <c r="H44" s="152">
        <f>IF(E44="","",Input!$C$3)</f>
        <v>100000</v>
      </c>
      <c r="I44" s="153">
        <f>IF(E44="","",HLOOKUP($B44,Input!$C$13:$BT$14,2))</f>
        <v>2.2999999999999998</v>
      </c>
      <c r="J44" s="154"/>
      <c r="K44" s="155">
        <f>IF($E44="","",INDEX(Input!$C$16:$CP$16,1,$B44))</f>
        <v>2.8080000000000001E-2</v>
      </c>
      <c r="L44" s="155">
        <f>IF($E44="","",Input!$C$37)</f>
        <v>1.4999999999999999E-2</v>
      </c>
      <c r="M44" s="155">
        <f t="shared" si="23"/>
        <v>4.308E-2</v>
      </c>
      <c r="N44" s="155">
        <f t="shared" si="24"/>
        <v>3.5210071416496014E-3</v>
      </c>
      <c r="O44" s="147">
        <f>IF($E44="","",MIN(VLOOKUP(IF($B44&lt;=Input!$C$7,$B44,26),'Mortality Tables'!$A$41:$CW$67,IF($B44&lt;=Input!$C$7+1,Input!$C$4+2,$D44-Input!$C$7+2),0)*IF(B44&gt;20,Input!$C$22,1)/1000,1))</f>
        <v>6.1600000000000012E-4</v>
      </c>
      <c r="P44" s="147">
        <f>IF($E44="","",MIN(VLOOKUP(IF($B44&lt;=Input!$C$7,$B44,26),'Mortality Tables'!$A$12:$CW$37,IF($B44&lt;=Input!$C$7+1,Input!$C$4+2,$D44-Input!$C$7+2),0)*IF(B44&gt;20,Input!$C$22,1)/1000,1))</f>
        <v>7.7000000000000007E-4</v>
      </c>
      <c r="Q44" s="155">
        <f>IF($E44="","",Input!$C$21)</f>
        <v>5.0000000000000001E-3</v>
      </c>
      <c r="R44" s="159">
        <f>IF($E44="","",(1-Q44)^($F44-Input!$C$20))</f>
        <v>0.98507487500000002</v>
      </c>
      <c r="S44" s="147">
        <f t="shared" si="0"/>
        <v>6.0680612300000015E-4</v>
      </c>
      <c r="T44" s="147">
        <f t="shared" si="1"/>
        <v>5.0581246087921805E-5</v>
      </c>
      <c r="U44" s="160">
        <f>IF($E44="","",IF($C44=12,INDEX(Input!$C$15:$CP$15,1,$B44),0))</f>
        <v>0</v>
      </c>
      <c r="V44" s="150">
        <f>IF(E44="","",IF(C44=1,IF($B44=1,Input!$C$33,Input!$C$34),0))</f>
        <v>0</v>
      </c>
      <c r="W44" s="156">
        <f>IF($E44="","",Input!$C$35)</f>
        <v>0.02</v>
      </c>
      <c r="X44" s="156">
        <f t="shared" si="2"/>
        <v>1.0612079999999999</v>
      </c>
      <c r="Y44" s="154"/>
      <c r="Z44" s="147">
        <f>IF($E44="","",VLOOKUP($D44,'Mortality Margins &amp; Grading'!$AB$5:$AF$125,3,0)*IF(Summary!$D$25="Included Margin",IF(AND($B44&gt;Input!$C$9,Summary!$D$31&lt;&gt;"Included Margin"),0,1),0))</f>
        <v>3.9E-2</v>
      </c>
      <c r="AA44" s="147">
        <f>IF($E44="","",VLOOKUP($D44,'Mortality Margins &amp; Grading'!$AB$5:$AF$125,5,0)*IF(Summary!$D$25="Included Margin",IF(AND($B44&gt;Input!$C$9,Summary!$D$31&lt;&gt;"Included Margin"),0,1),0))</f>
        <v>0.2</v>
      </c>
      <c r="AB44" s="147">
        <f>IF($E44="","",IF(AND($B44&gt;Input!$C$9,Summary!$D$31&lt;&gt;"Included Margin"),1,IF(Summary!$D$25="Included Margin",VLOOKUP($B44,'Mortality Margins &amp; Grading'!$AI$5:$AR$125,MATCH('Mortality Margins &amp; Grading'!$AQ$4,'Mortality Margins &amp; Grading'!$AI$4:$AR$4,0),0),1)))</f>
        <v>1</v>
      </c>
      <c r="AC44" s="154"/>
      <c r="AD44" s="158">
        <f>IF(E44="","",Input!$C$48*IF(Summary!$D$30="Included Margin",IF(AND($B44&gt;Input!$C$9,Summary!$D$31&lt;&gt;"Included Margin"),0,1),0))</f>
        <v>-4.4999999999999997E-3</v>
      </c>
      <c r="AE44" s="159">
        <f>IF(E44="","",IF(Summary!$D$26="Included Margin",IF(AND($B44&gt;Input!$C$9,Summary!$D$31&lt;&gt;"Included Margin"),1,1/$R44),1))</f>
        <v>1.0151512594410652</v>
      </c>
      <c r="AF44" s="160">
        <f>IF(E44="","",IF(AND($B44&gt;=Input!$C$9,$C44=12,Summary!$D$31="Included Margin",$U44&gt;0),1/U44-1,IF($B44&gt;=Input!$C$9,0,Input!$C$45*IF(Summary!$D$27="Included Margin",1,0))))</f>
        <v>-0.1</v>
      </c>
      <c r="AG44" s="160">
        <f>IF(E44="","",Input!$C$46*IF(Summary!$D$28="Included Margin",IF(AND($B44&gt;Input!$C$9,Summary!$D$31&lt;&gt;"Included Margin"),0,1),0))</f>
        <v>0.02</v>
      </c>
      <c r="AH44" s="158">
        <f>IF(E44="","",Input!$C$47*IF(Summary!$D$29="Included Margin",IF(AND($B44&gt;Input!$C$9,Summary!$D$31&lt;&gt;"Included Margin"),0,1),0))</f>
        <v>2.5000000000000001E-3</v>
      </c>
      <c r="AI44" s="154"/>
      <c r="AJ44" s="158">
        <f t="shared" si="25"/>
        <v>3.8580000000000003E-2</v>
      </c>
      <c r="AK44" s="155">
        <f t="shared" si="26"/>
        <v>3.1595137376494442E-3</v>
      </c>
      <c r="AL44" s="147">
        <f t="shared" si="27"/>
        <v>6.400240000000001E-4</v>
      </c>
      <c r="AM44" s="147">
        <f t="shared" si="3"/>
        <v>5.3350985351641178E-5</v>
      </c>
      <c r="AN44" s="160">
        <f t="shared" si="28"/>
        <v>0</v>
      </c>
      <c r="AO44" s="161">
        <f t="shared" si="29"/>
        <v>0</v>
      </c>
      <c r="AP44" s="156">
        <f t="shared" si="4"/>
        <v>1.0690301406249998</v>
      </c>
      <c r="AQ44" s="152"/>
      <c r="AR44" s="162">
        <f t="shared" si="5"/>
        <v>238.75181642922277</v>
      </c>
      <c r="AS44" s="150">
        <f t="shared" si="30"/>
        <v>0</v>
      </c>
      <c r="AT44" s="163">
        <f t="shared" si="6"/>
        <v>0</v>
      </c>
      <c r="AU44" s="163">
        <f t="shared" si="7"/>
        <v>5.3350985351641178</v>
      </c>
      <c r="AV44" s="163">
        <f t="shared" si="31"/>
        <v>0.74591148534010543</v>
      </c>
      <c r="AW44" s="163">
        <f t="shared" si="8"/>
        <v>1.2493474258302405E-2</v>
      </c>
      <c r="AX44" s="163">
        <f t="shared" si="9"/>
        <v>0</v>
      </c>
      <c r="AY44" s="164">
        <f t="shared" si="32"/>
        <v>234.17512285365706</v>
      </c>
      <c r="AZ44" s="164">
        <f>IF($E44="","",IF(OR(AND($D44=Input!$C$6,$C44=12),$AN44=1),0,-AS45+AT45+AU45-AV45-AW45-AX45+AZ45))</f>
        <v>234.17513614709802</v>
      </c>
      <c r="BA44" s="154">
        <f t="shared" si="10"/>
        <v>1.329344095779561E-5</v>
      </c>
      <c r="BC44" s="147">
        <f t="shared" si="33"/>
        <v>0.81113142897065815</v>
      </c>
      <c r="BD44" s="164">
        <f>IF(AND($C43=12,$D43=Input!$C$6),0,IF($E44="","",AT44+(AU44+BD45)/(1+$AK44)*MIN((1-AM44-AN44),1)))</f>
        <v>2290.8159543193883</v>
      </c>
      <c r="BE44" s="164">
        <f t="shared" si="11"/>
        <v>1858.1528185358675</v>
      </c>
      <c r="BF44" s="164">
        <f t="shared" si="34"/>
        <v>234.17513614709802</v>
      </c>
      <c r="BG44" s="164">
        <f t="shared" si="12"/>
        <v>189.94681281239403</v>
      </c>
      <c r="BH44" s="152"/>
      <c r="BI44" s="162">
        <f t="shared" si="13"/>
        <v>-8.7197734282250714</v>
      </c>
      <c r="BJ44" s="150">
        <f t="shared" si="14"/>
        <v>0</v>
      </c>
      <c r="BK44" s="163">
        <f t="shared" si="38"/>
        <v>0</v>
      </c>
      <c r="BL44" s="163">
        <f t="shared" si="15"/>
        <v>5.0581246087921805</v>
      </c>
      <c r="BM44" s="163">
        <f t="shared" si="39"/>
        <v>-3.9607230949802334E-2</v>
      </c>
      <c r="BN44" s="163">
        <f t="shared" si="16"/>
        <v>-6.9894119602749503E-4</v>
      </c>
      <c r="BO44" s="163">
        <f t="shared" si="17"/>
        <v>0</v>
      </c>
      <c r="BP44" s="164">
        <f t="shared" si="40"/>
        <v>-13.818204209163081</v>
      </c>
      <c r="BQ44" s="164">
        <f>IF($E44="","",IF(AND($D44=Input!$C$6,$C44=12),0,-BJ45+BK45+BL45-BM45-BN45-BO45+BQ45))</f>
        <v>-13.81818855970007</v>
      </c>
      <c r="BR44" s="161">
        <f t="shared" si="18"/>
        <v>0</v>
      </c>
      <c r="BT44" s="147">
        <f t="shared" si="19"/>
        <v>0.81113142897065815</v>
      </c>
      <c r="BU44" s="164">
        <f>IF(AND($C43=12,$D43=Input!$C$6),0,IF($E44="","",BK44+(BL44+BU45)/(1+$AK44)*MIN((1-T44-U44),1)))</f>
        <v>3388.0430779921226</v>
      </c>
      <c r="BV44" s="164">
        <f t="shared" si="20"/>
        <v>2748.1482232658973</v>
      </c>
      <c r="BW44" s="164">
        <f t="shared" si="21"/>
        <v>-13.81818855970007</v>
      </c>
      <c r="BX44" s="164">
        <f t="shared" si="22"/>
        <v>-11.208367032215518</v>
      </c>
    </row>
    <row r="45" spans="1:76" s="150" customFormat="1" x14ac:dyDescent="0.25">
      <c r="A45" s="150">
        <f t="shared" si="35"/>
        <v>41</v>
      </c>
      <c r="B45" s="150">
        <f t="shared" si="36"/>
        <v>4</v>
      </c>
      <c r="C45" s="150">
        <f t="shared" si="37"/>
        <v>5</v>
      </c>
      <c r="D45" s="150">
        <f>IF(E45="","",Input!$C$4+B45-1)</f>
        <v>48</v>
      </c>
      <c r="E45" s="150">
        <f>IF(OR(AND(C44=12,D44=Input!$C$6),E44=""),"",1)</f>
        <v>1</v>
      </c>
      <c r="F45" s="150">
        <f>IF(E45="","",Input!$C$8+B45-1)</f>
        <v>2021</v>
      </c>
      <c r="G45" s="151">
        <f>IF(E45="","",MAX(0,Input!$C$9-B45))</f>
        <v>16</v>
      </c>
      <c r="H45" s="152">
        <f>IF(E45="","",Input!$C$3)</f>
        <v>100000</v>
      </c>
      <c r="I45" s="153">
        <f>IF(E45="","",HLOOKUP($B45,Input!$C$13:$BT$14,2))</f>
        <v>2.2999999999999998</v>
      </c>
      <c r="J45" s="154"/>
      <c r="K45" s="155">
        <f>IF($E45="","",INDEX(Input!$C$16:$CP$16,1,$B45))</f>
        <v>2.8080000000000001E-2</v>
      </c>
      <c r="L45" s="155">
        <f>IF($E45="","",Input!$C$37)</f>
        <v>1.4999999999999999E-2</v>
      </c>
      <c r="M45" s="155">
        <f t="shared" si="23"/>
        <v>4.308E-2</v>
      </c>
      <c r="N45" s="155">
        <f t="shared" si="24"/>
        <v>3.5210071416496014E-3</v>
      </c>
      <c r="O45" s="147">
        <f>IF($E45="","",MIN(VLOOKUP(IF($B45&lt;=Input!$C$7,$B45,26),'Mortality Tables'!$A$41:$CW$67,IF($B45&lt;=Input!$C$7+1,Input!$C$4+2,$D45-Input!$C$7+2),0)*IF(B45&gt;20,Input!$C$22,1)/1000,1))</f>
        <v>6.1600000000000012E-4</v>
      </c>
      <c r="P45" s="147">
        <f>IF($E45="","",MIN(VLOOKUP(IF($B45&lt;=Input!$C$7,$B45,26),'Mortality Tables'!$A$12:$CW$37,IF($B45&lt;=Input!$C$7+1,Input!$C$4+2,$D45-Input!$C$7+2),0)*IF(B45&gt;20,Input!$C$22,1)/1000,1))</f>
        <v>7.7000000000000007E-4</v>
      </c>
      <c r="Q45" s="155">
        <f>IF($E45="","",Input!$C$21)</f>
        <v>5.0000000000000001E-3</v>
      </c>
      <c r="R45" s="159">
        <f>IF($E45="","",(1-Q45)^($F45-Input!$C$20))</f>
        <v>0.98507487500000002</v>
      </c>
      <c r="S45" s="147">
        <f t="shared" si="0"/>
        <v>6.0680612300000015E-4</v>
      </c>
      <c r="T45" s="147">
        <f t="shared" si="1"/>
        <v>5.0581246087921805E-5</v>
      </c>
      <c r="U45" s="160">
        <f>IF($E45="","",IF($C45=12,INDEX(Input!$C$15:$CP$15,1,$B45),0))</f>
        <v>0</v>
      </c>
      <c r="V45" s="150">
        <f>IF(E45="","",IF(C45=1,IF($B45=1,Input!$C$33,Input!$C$34),0))</f>
        <v>0</v>
      </c>
      <c r="W45" s="156">
        <f>IF($E45="","",Input!$C$35)</f>
        <v>0.02</v>
      </c>
      <c r="X45" s="156">
        <f t="shared" si="2"/>
        <v>1.0612079999999999</v>
      </c>
      <c r="Y45" s="154"/>
      <c r="Z45" s="147">
        <f>IF($E45="","",VLOOKUP($D45,'Mortality Margins &amp; Grading'!$AB$5:$AF$125,3,0)*IF(Summary!$D$25="Included Margin",IF(AND($B45&gt;Input!$C$9,Summary!$D$31&lt;&gt;"Included Margin"),0,1),0))</f>
        <v>3.9E-2</v>
      </c>
      <c r="AA45" s="147">
        <f>IF($E45="","",VLOOKUP($D45,'Mortality Margins &amp; Grading'!$AB$5:$AF$125,5,0)*IF(Summary!$D$25="Included Margin",IF(AND($B45&gt;Input!$C$9,Summary!$D$31&lt;&gt;"Included Margin"),0,1),0))</f>
        <v>0.2</v>
      </c>
      <c r="AB45" s="147">
        <f>IF($E45="","",IF(AND($B45&gt;Input!$C$9,Summary!$D$31&lt;&gt;"Included Margin"),1,IF(Summary!$D$25="Included Margin",VLOOKUP($B45,'Mortality Margins &amp; Grading'!$AI$5:$AR$125,MATCH('Mortality Margins &amp; Grading'!$AQ$4,'Mortality Margins &amp; Grading'!$AI$4:$AR$4,0),0),1)))</f>
        <v>1</v>
      </c>
      <c r="AC45" s="154"/>
      <c r="AD45" s="158">
        <f>IF(E45="","",Input!$C$48*IF(Summary!$D$30="Included Margin",IF(AND($B45&gt;Input!$C$9,Summary!$D$31&lt;&gt;"Included Margin"),0,1),0))</f>
        <v>-4.4999999999999997E-3</v>
      </c>
      <c r="AE45" s="159">
        <f>IF(E45="","",IF(Summary!$D$26="Included Margin",IF(AND($B45&gt;Input!$C$9,Summary!$D$31&lt;&gt;"Included Margin"),1,1/$R45),1))</f>
        <v>1.0151512594410652</v>
      </c>
      <c r="AF45" s="160">
        <f>IF(E45="","",IF(AND($B45&gt;=Input!$C$9,$C45=12,Summary!$D$31="Included Margin",$U45&gt;0),1/U45-1,IF($B45&gt;=Input!$C$9,0,Input!$C$45*IF(Summary!$D$27="Included Margin",1,0))))</f>
        <v>-0.1</v>
      </c>
      <c r="AG45" s="160">
        <f>IF(E45="","",Input!$C$46*IF(Summary!$D$28="Included Margin",IF(AND($B45&gt;Input!$C$9,Summary!$D$31&lt;&gt;"Included Margin"),0,1),0))</f>
        <v>0.02</v>
      </c>
      <c r="AH45" s="158">
        <f>IF(E45="","",Input!$C$47*IF(Summary!$D$29="Included Margin",IF(AND($B45&gt;Input!$C$9,Summary!$D$31&lt;&gt;"Included Margin"),0,1),0))</f>
        <v>2.5000000000000001E-3</v>
      </c>
      <c r="AI45" s="154"/>
      <c r="AJ45" s="158">
        <f t="shared" si="25"/>
        <v>3.8580000000000003E-2</v>
      </c>
      <c r="AK45" s="155">
        <f t="shared" si="26"/>
        <v>3.1595137376494442E-3</v>
      </c>
      <c r="AL45" s="147">
        <f t="shared" si="27"/>
        <v>6.400240000000001E-4</v>
      </c>
      <c r="AM45" s="147">
        <f t="shared" si="3"/>
        <v>5.3350985351641178E-5</v>
      </c>
      <c r="AN45" s="160">
        <f t="shared" si="28"/>
        <v>0</v>
      </c>
      <c r="AO45" s="161">
        <f t="shared" si="29"/>
        <v>0</v>
      </c>
      <c r="AP45" s="156">
        <f t="shared" si="4"/>
        <v>1.0690301406249998</v>
      </c>
      <c r="AQ45" s="152"/>
      <c r="AR45" s="162">
        <f t="shared" si="5"/>
        <v>234.17512285365706</v>
      </c>
      <c r="AS45" s="150">
        <f t="shared" si="30"/>
        <v>0</v>
      </c>
      <c r="AT45" s="163">
        <f t="shared" si="6"/>
        <v>0</v>
      </c>
      <c r="AU45" s="163">
        <f t="shared" si="7"/>
        <v>5.3350985351641178</v>
      </c>
      <c r="AV45" s="163">
        <f t="shared" si="31"/>
        <v>0.73145135911509362</v>
      </c>
      <c r="AW45" s="163">
        <f t="shared" si="8"/>
        <v>1.2248518615786139E-2</v>
      </c>
      <c r="AX45" s="163">
        <f t="shared" si="9"/>
        <v>0</v>
      </c>
      <c r="AY45" s="164">
        <f t="shared" si="32"/>
        <v>229.58372419622381</v>
      </c>
      <c r="AZ45" s="164">
        <f>IF($E45="","",IF(OR(AND($D45=Input!$C$6,$C45=12),$AN45=1),0,-AS46+AT46+AU46-AV46-AW46-AX46+AZ46))</f>
        <v>229.58373748966477</v>
      </c>
      <c r="BA45" s="154">
        <f t="shared" si="10"/>
        <v>1.329344095779561E-5</v>
      </c>
      <c r="BC45" s="147">
        <f t="shared" si="33"/>
        <v>0.81109040093223972</v>
      </c>
      <c r="BD45" s="164">
        <f>IF(AND($C44=12,$D44=Input!$C$6),0,IF($E45="","",AT45+(AU45+BD46)/(1+$AK45)*MIN((1-AM45-AN45),1)))</f>
        <v>2292.8413302393101</v>
      </c>
      <c r="BE45" s="164">
        <f t="shared" si="11"/>
        <v>1859.701593817812</v>
      </c>
      <c r="BF45" s="164">
        <f t="shared" si="34"/>
        <v>229.58373748966477</v>
      </c>
      <c r="BG45" s="164">
        <f t="shared" si="12"/>
        <v>186.21316568801427</v>
      </c>
      <c r="BH45" s="152"/>
      <c r="BI45" s="162">
        <f t="shared" si="13"/>
        <v>-13.818204209163081</v>
      </c>
      <c r="BJ45" s="150">
        <f t="shared" si="14"/>
        <v>0</v>
      </c>
      <c r="BK45" s="163">
        <f t="shared" si="38"/>
        <v>0</v>
      </c>
      <c r="BL45" s="163">
        <f t="shared" si="15"/>
        <v>5.0581246087921805</v>
      </c>
      <c r="BM45" s="163">
        <f t="shared" si="39"/>
        <v>-5.7558842140691215E-2</v>
      </c>
      <c r="BN45" s="163">
        <f t="shared" si="16"/>
        <v>-9.5774728361808237E-4</v>
      </c>
      <c r="BO45" s="163">
        <f t="shared" si="17"/>
        <v>0</v>
      </c>
      <c r="BP45" s="164">
        <f t="shared" si="40"/>
        <v>-18.934845407379569</v>
      </c>
      <c r="BQ45" s="164">
        <f>IF($E45="","",IF(AND($D45=Input!$C$6,$C45=12),0,-BJ46+BK46+BL46-BM46-BN46-BO46+BQ46))</f>
        <v>-18.93482975791656</v>
      </c>
      <c r="BR45" s="161">
        <f t="shared" si="18"/>
        <v>0</v>
      </c>
      <c r="BT45" s="147">
        <f t="shared" si="19"/>
        <v>0.81109040093223972</v>
      </c>
      <c r="BU45" s="164">
        <f>IF(AND($C44=12,$D44=Input!$C$6),0,IF($E45="","",BK45+(BL45+BU46)/(1+$AK45)*MIN((1-T45-U45),1)))</f>
        <v>3393.8614436191078</v>
      </c>
      <c r="BV45" s="164">
        <f t="shared" si="20"/>
        <v>2752.7284390134919</v>
      </c>
      <c r="BW45" s="164">
        <f t="shared" si="21"/>
        <v>-18.93482975791656</v>
      </c>
      <c r="BX45" s="164">
        <f t="shared" si="22"/>
        <v>-15.357858659932246</v>
      </c>
    </row>
    <row r="46" spans="1:76" s="150" customFormat="1" x14ac:dyDescent="0.25">
      <c r="A46" s="150">
        <f t="shared" si="35"/>
        <v>42</v>
      </c>
      <c r="B46" s="150">
        <f t="shared" si="36"/>
        <v>4</v>
      </c>
      <c r="C46" s="150">
        <f t="shared" si="37"/>
        <v>6</v>
      </c>
      <c r="D46" s="150">
        <f>IF(E46="","",Input!$C$4+B46-1)</f>
        <v>48</v>
      </c>
      <c r="E46" s="150">
        <f>IF(OR(AND(C45=12,D45=Input!$C$6),E45=""),"",1)</f>
        <v>1</v>
      </c>
      <c r="F46" s="150">
        <f>IF(E46="","",Input!$C$8+B46-1)</f>
        <v>2021</v>
      </c>
      <c r="G46" s="151">
        <f>IF(E46="","",MAX(0,Input!$C$9-B46))</f>
        <v>16</v>
      </c>
      <c r="H46" s="152">
        <f>IF(E46="","",Input!$C$3)</f>
        <v>100000</v>
      </c>
      <c r="I46" s="153">
        <f>IF(E46="","",HLOOKUP($B46,Input!$C$13:$BT$14,2))</f>
        <v>2.2999999999999998</v>
      </c>
      <c r="J46" s="154"/>
      <c r="K46" s="155">
        <f>IF($E46="","",INDEX(Input!$C$16:$CP$16,1,$B46))</f>
        <v>2.8080000000000001E-2</v>
      </c>
      <c r="L46" s="155">
        <f>IF($E46="","",Input!$C$37)</f>
        <v>1.4999999999999999E-2</v>
      </c>
      <c r="M46" s="155">
        <f t="shared" si="23"/>
        <v>4.308E-2</v>
      </c>
      <c r="N46" s="155">
        <f t="shared" si="24"/>
        <v>3.5210071416496014E-3</v>
      </c>
      <c r="O46" s="147">
        <f>IF($E46="","",MIN(VLOOKUP(IF($B46&lt;=Input!$C$7,$B46,26),'Mortality Tables'!$A$41:$CW$67,IF($B46&lt;=Input!$C$7+1,Input!$C$4+2,$D46-Input!$C$7+2),0)*IF(B46&gt;20,Input!$C$22,1)/1000,1))</f>
        <v>6.1600000000000012E-4</v>
      </c>
      <c r="P46" s="147">
        <f>IF($E46="","",MIN(VLOOKUP(IF($B46&lt;=Input!$C$7,$B46,26),'Mortality Tables'!$A$12:$CW$37,IF($B46&lt;=Input!$C$7+1,Input!$C$4+2,$D46-Input!$C$7+2),0)*IF(B46&gt;20,Input!$C$22,1)/1000,1))</f>
        <v>7.7000000000000007E-4</v>
      </c>
      <c r="Q46" s="155">
        <f>IF($E46="","",Input!$C$21)</f>
        <v>5.0000000000000001E-3</v>
      </c>
      <c r="R46" s="159">
        <f>IF($E46="","",(1-Q46)^($F46-Input!$C$20))</f>
        <v>0.98507487500000002</v>
      </c>
      <c r="S46" s="147">
        <f t="shared" si="0"/>
        <v>6.0680612300000015E-4</v>
      </c>
      <c r="T46" s="147">
        <f t="shared" si="1"/>
        <v>5.0581246087921805E-5</v>
      </c>
      <c r="U46" s="160">
        <f>IF($E46="","",IF($C46=12,INDEX(Input!$C$15:$CP$15,1,$B46),0))</f>
        <v>0</v>
      </c>
      <c r="V46" s="150">
        <f>IF(E46="","",IF(C46=1,IF($B46=1,Input!$C$33,Input!$C$34),0))</f>
        <v>0</v>
      </c>
      <c r="W46" s="156">
        <f>IF($E46="","",Input!$C$35)</f>
        <v>0.02</v>
      </c>
      <c r="X46" s="156">
        <f t="shared" si="2"/>
        <v>1.0612079999999999</v>
      </c>
      <c r="Y46" s="154"/>
      <c r="Z46" s="147">
        <f>IF($E46="","",VLOOKUP($D46,'Mortality Margins &amp; Grading'!$AB$5:$AF$125,3,0)*IF(Summary!$D$25="Included Margin",IF(AND($B46&gt;Input!$C$9,Summary!$D$31&lt;&gt;"Included Margin"),0,1),0))</f>
        <v>3.9E-2</v>
      </c>
      <c r="AA46" s="147">
        <f>IF($E46="","",VLOOKUP($D46,'Mortality Margins &amp; Grading'!$AB$5:$AF$125,5,0)*IF(Summary!$D$25="Included Margin",IF(AND($B46&gt;Input!$C$9,Summary!$D$31&lt;&gt;"Included Margin"),0,1),0))</f>
        <v>0.2</v>
      </c>
      <c r="AB46" s="147">
        <f>IF($E46="","",IF(AND($B46&gt;Input!$C$9,Summary!$D$31&lt;&gt;"Included Margin"),1,IF(Summary!$D$25="Included Margin",VLOOKUP($B46,'Mortality Margins &amp; Grading'!$AI$5:$AR$125,MATCH('Mortality Margins &amp; Grading'!$AQ$4,'Mortality Margins &amp; Grading'!$AI$4:$AR$4,0),0),1)))</f>
        <v>1</v>
      </c>
      <c r="AC46" s="154"/>
      <c r="AD46" s="158">
        <f>IF(E46="","",Input!$C$48*IF(Summary!$D$30="Included Margin",IF(AND($B46&gt;Input!$C$9,Summary!$D$31&lt;&gt;"Included Margin"),0,1),0))</f>
        <v>-4.4999999999999997E-3</v>
      </c>
      <c r="AE46" s="159">
        <f>IF(E46="","",IF(Summary!$D$26="Included Margin",IF(AND($B46&gt;Input!$C$9,Summary!$D$31&lt;&gt;"Included Margin"),1,1/$R46),1))</f>
        <v>1.0151512594410652</v>
      </c>
      <c r="AF46" s="160">
        <f>IF(E46="","",IF(AND($B46&gt;=Input!$C$9,$C46=12,Summary!$D$31="Included Margin",$U46&gt;0),1/U46-1,IF($B46&gt;=Input!$C$9,0,Input!$C$45*IF(Summary!$D$27="Included Margin",1,0))))</f>
        <v>-0.1</v>
      </c>
      <c r="AG46" s="160">
        <f>IF(E46="","",Input!$C$46*IF(Summary!$D$28="Included Margin",IF(AND($B46&gt;Input!$C$9,Summary!$D$31&lt;&gt;"Included Margin"),0,1),0))</f>
        <v>0.02</v>
      </c>
      <c r="AH46" s="158">
        <f>IF(E46="","",Input!$C$47*IF(Summary!$D$29="Included Margin",IF(AND($B46&gt;Input!$C$9,Summary!$D$31&lt;&gt;"Included Margin"),0,1),0))</f>
        <v>2.5000000000000001E-3</v>
      </c>
      <c r="AI46" s="154"/>
      <c r="AJ46" s="158">
        <f t="shared" si="25"/>
        <v>3.8580000000000003E-2</v>
      </c>
      <c r="AK46" s="155">
        <f t="shared" si="26"/>
        <v>3.1595137376494442E-3</v>
      </c>
      <c r="AL46" s="147">
        <f t="shared" si="27"/>
        <v>6.400240000000001E-4</v>
      </c>
      <c r="AM46" s="147">
        <f t="shared" si="3"/>
        <v>5.3350985351641178E-5</v>
      </c>
      <c r="AN46" s="160">
        <f t="shared" si="28"/>
        <v>0</v>
      </c>
      <c r="AO46" s="161">
        <f t="shared" si="29"/>
        <v>0</v>
      </c>
      <c r="AP46" s="156">
        <f t="shared" si="4"/>
        <v>1.0690301406249998</v>
      </c>
      <c r="AQ46" s="152"/>
      <c r="AR46" s="162">
        <f t="shared" si="5"/>
        <v>229.58372419622384</v>
      </c>
      <c r="AS46" s="150">
        <f t="shared" si="30"/>
        <v>0</v>
      </c>
      <c r="AT46" s="163">
        <f t="shared" si="6"/>
        <v>0</v>
      </c>
      <c r="AU46" s="163">
        <f t="shared" si="7"/>
        <v>5.3350985351641178</v>
      </c>
      <c r="AV46" s="163">
        <f t="shared" si="31"/>
        <v>0.71694477198190809</v>
      </c>
      <c r="AW46" s="163">
        <f t="shared" si="8"/>
        <v>1.2002775921937369E-2</v>
      </c>
      <c r="AX46" s="163">
        <f t="shared" si="9"/>
        <v>0</v>
      </c>
      <c r="AY46" s="164">
        <f t="shared" si="32"/>
        <v>224.97757320896355</v>
      </c>
      <c r="AZ46" s="164">
        <f>IF($E46="","",IF(OR(AND($D46=Input!$C$6,$C46=12),$AN46=1),0,-AS47+AT47+AU47-AV47-AW47-AX47+AZ47))</f>
        <v>224.97758650240451</v>
      </c>
      <c r="BA46" s="154">
        <f t="shared" si="10"/>
        <v>1.329344095779561E-5</v>
      </c>
      <c r="BC46" s="147">
        <f t="shared" si="33"/>
        <v>0.81104937496907059</v>
      </c>
      <c r="BD46" s="164">
        <f>IF(AND($C45=12,$D45=Input!$C$6),0,IF($E46="","",AT46+(AU46+BD47)/(1+$AK46)*MIN((1-AM46-AN46),1)))</f>
        <v>2294.8732137652628</v>
      </c>
      <c r="BE46" s="164">
        <f t="shared" si="11"/>
        <v>1861.2554856575787</v>
      </c>
      <c r="BF46" s="164">
        <f t="shared" si="34"/>
        <v>224.97758650240451</v>
      </c>
      <c r="BG46" s="164">
        <f t="shared" si="12"/>
        <v>182.46793091482519</v>
      </c>
      <c r="BH46" s="152"/>
      <c r="BI46" s="162">
        <f t="shared" si="13"/>
        <v>-18.934845407379573</v>
      </c>
      <c r="BJ46" s="150">
        <f t="shared" si="14"/>
        <v>0</v>
      </c>
      <c r="BK46" s="163">
        <f t="shared" si="38"/>
        <v>0</v>
      </c>
      <c r="BL46" s="163">
        <f t="shared" si="15"/>
        <v>5.0581246087921805</v>
      </c>
      <c r="BM46" s="163">
        <f t="shared" si="39"/>
        <v>-7.5574572340870061E-2</v>
      </c>
      <c r="BN46" s="163">
        <f t="shared" si="16"/>
        <v>-1.217477766782864E-3</v>
      </c>
      <c r="BO46" s="163">
        <f t="shared" si="17"/>
        <v>0</v>
      </c>
      <c r="BP46" s="164">
        <f t="shared" si="40"/>
        <v>-24.069762066279406</v>
      </c>
      <c r="BQ46" s="164">
        <f>IF($E46="","",IF(AND($D46=Input!$C$6,$C46=12),0,-BJ47+BK47+BL47-BM47-BN47-BO47+BQ47))</f>
        <v>-24.069746416816393</v>
      </c>
      <c r="BR46" s="161">
        <f t="shared" si="18"/>
        <v>0</v>
      </c>
      <c r="BT46" s="147">
        <f t="shared" si="19"/>
        <v>0.81104937496907059</v>
      </c>
      <c r="BU46" s="164">
        <f>IF(AND($C45=12,$D45=Input!$C$6),0,IF($E46="","",BK46+(BL46+BU47)/(1+$AK46)*MIN((1-T46-U46),1)))</f>
        <v>3399.6984876971856</v>
      </c>
      <c r="BV46" s="164">
        <f t="shared" si="20"/>
        <v>2757.323333530097</v>
      </c>
      <c r="BW46" s="164">
        <f t="shared" si="21"/>
        <v>-24.069746416816393</v>
      </c>
      <c r="BX46" s="164">
        <f t="shared" si="22"/>
        <v>-19.521752787022962</v>
      </c>
    </row>
    <row r="47" spans="1:76" s="150" customFormat="1" x14ac:dyDescent="0.25">
      <c r="A47" s="150">
        <f t="shared" si="35"/>
        <v>43</v>
      </c>
      <c r="B47" s="150">
        <f t="shared" si="36"/>
        <v>4</v>
      </c>
      <c r="C47" s="150">
        <f t="shared" si="37"/>
        <v>7</v>
      </c>
      <c r="D47" s="150">
        <f>IF(E47="","",Input!$C$4+B47-1)</f>
        <v>48</v>
      </c>
      <c r="E47" s="150">
        <f>IF(OR(AND(C46=12,D46=Input!$C$6),E46=""),"",1)</f>
        <v>1</v>
      </c>
      <c r="F47" s="150">
        <f>IF(E47="","",Input!$C$8+B47-1)</f>
        <v>2021</v>
      </c>
      <c r="G47" s="151">
        <f>IF(E47="","",MAX(0,Input!$C$9-B47))</f>
        <v>16</v>
      </c>
      <c r="H47" s="152">
        <f>IF(E47="","",Input!$C$3)</f>
        <v>100000</v>
      </c>
      <c r="I47" s="153">
        <f>IF(E47="","",HLOOKUP($B47,Input!$C$13:$BT$14,2))</f>
        <v>2.2999999999999998</v>
      </c>
      <c r="J47" s="154"/>
      <c r="K47" s="155">
        <f>IF($E47="","",INDEX(Input!$C$16:$CP$16,1,$B47))</f>
        <v>2.8080000000000001E-2</v>
      </c>
      <c r="L47" s="155">
        <f>IF($E47="","",Input!$C$37)</f>
        <v>1.4999999999999999E-2</v>
      </c>
      <c r="M47" s="155">
        <f t="shared" si="23"/>
        <v>4.308E-2</v>
      </c>
      <c r="N47" s="155">
        <f t="shared" si="24"/>
        <v>3.5210071416496014E-3</v>
      </c>
      <c r="O47" s="147">
        <f>IF($E47="","",MIN(VLOOKUP(IF($B47&lt;=Input!$C$7,$B47,26),'Mortality Tables'!$A$41:$CW$67,IF($B47&lt;=Input!$C$7+1,Input!$C$4+2,$D47-Input!$C$7+2),0)*IF(B47&gt;20,Input!$C$22,1)/1000,1))</f>
        <v>6.1600000000000012E-4</v>
      </c>
      <c r="P47" s="147">
        <f>IF($E47="","",MIN(VLOOKUP(IF($B47&lt;=Input!$C$7,$B47,26),'Mortality Tables'!$A$12:$CW$37,IF($B47&lt;=Input!$C$7+1,Input!$C$4+2,$D47-Input!$C$7+2),0)*IF(B47&gt;20,Input!$C$22,1)/1000,1))</f>
        <v>7.7000000000000007E-4</v>
      </c>
      <c r="Q47" s="155">
        <f>IF($E47="","",Input!$C$21)</f>
        <v>5.0000000000000001E-3</v>
      </c>
      <c r="R47" s="159">
        <f>IF($E47="","",(1-Q47)^($F47-Input!$C$20))</f>
        <v>0.98507487500000002</v>
      </c>
      <c r="S47" s="147">
        <f t="shared" si="0"/>
        <v>6.0680612300000015E-4</v>
      </c>
      <c r="T47" s="147">
        <f t="shared" si="1"/>
        <v>5.0581246087921805E-5</v>
      </c>
      <c r="U47" s="160">
        <f>IF($E47="","",IF($C47=12,INDEX(Input!$C$15:$CP$15,1,$B47),0))</f>
        <v>0</v>
      </c>
      <c r="V47" s="150">
        <f>IF(E47="","",IF(C47=1,IF($B47=1,Input!$C$33,Input!$C$34),0))</f>
        <v>0</v>
      </c>
      <c r="W47" s="156">
        <f>IF($E47="","",Input!$C$35)</f>
        <v>0.02</v>
      </c>
      <c r="X47" s="156">
        <f t="shared" si="2"/>
        <v>1.0612079999999999</v>
      </c>
      <c r="Y47" s="154"/>
      <c r="Z47" s="147">
        <f>IF($E47="","",VLOOKUP($D47,'Mortality Margins &amp; Grading'!$AB$5:$AF$125,3,0)*IF(Summary!$D$25="Included Margin",IF(AND($B47&gt;Input!$C$9,Summary!$D$31&lt;&gt;"Included Margin"),0,1),0))</f>
        <v>3.9E-2</v>
      </c>
      <c r="AA47" s="147">
        <f>IF($E47="","",VLOOKUP($D47,'Mortality Margins &amp; Grading'!$AB$5:$AF$125,5,0)*IF(Summary!$D$25="Included Margin",IF(AND($B47&gt;Input!$C$9,Summary!$D$31&lt;&gt;"Included Margin"),0,1),0))</f>
        <v>0.2</v>
      </c>
      <c r="AB47" s="147">
        <f>IF($E47="","",IF(AND($B47&gt;Input!$C$9,Summary!$D$31&lt;&gt;"Included Margin"),1,IF(Summary!$D$25="Included Margin",VLOOKUP($B47,'Mortality Margins &amp; Grading'!$AI$5:$AR$125,MATCH('Mortality Margins &amp; Grading'!$AQ$4,'Mortality Margins &amp; Grading'!$AI$4:$AR$4,0),0),1)))</f>
        <v>1</v>
      </c>
      <c r="AC47" s="154"/>
      <c r="AD47" s="158">
        <f>IF(E47="","",Input!$C$48*IF(Summary!$D$30="Included Margin",IF(AND($B47&gt;Input!$C$9,Summary!$D$31&lt;&gt;"Included Margin"),0,1),0))</f>
        <v>-4.4999999999999997E-3</v>
      </c>
      <c r="AE47" s="159">
        <f>IF(E47="","",IF(Summary!$D$26="Included Margin",IF(AND($B47&gt;Input!$C$9,Summary!$D$31&lt;&gt;"Included Margin"),1,1/$R47),1))</f>
        <v>1.0151512594410652</v>
      </c>
      <c r="AF47" s="160">
        <f>IF(E47="","",IF(AND($B47&gt;=Input!$C$9,$C47=12,Summary!$D$31="Included Margin",$U47&gt;0),1/U47-1,IF($B47&gt;=Input!$C$9,0,Input!$C$45*IF(Summary!$D$27="Included Margin",1,0))))</f>
        <v>-0.1</v>
      </c>
      <c r="AG47" s="160">
        <f>IF(E47="","",Input!$C$46*IF(Summary!$D$28="Included Margin",IF(AND($B47&gt;Input!$C$9,Summary!$D$31&lt;&gt;"Included Margin"),0,1),0))</f>
        <v>0.02</v>
      </c>
      <c r="AH47" s="158">
        <f>IF(E47="","",Input!$C$47*IF(Summary!$D$29="Included Margin",IF(AND($B47&gt;Input!$C$9,Summary!$D$31&lt;&gt;"Included Margin"),0,1),0))</f>
        <v>2.5000000000000001E-3</v>
      </c>
      <c r="AI47" s="154"/>
      <c r="AJ47" s="158">
        <f t="shared" si="25"/>
        <v>3.8580000000000003E-2</v>
      </c>
      <c r="AK47" s="155">
        <f t="shared" si="26"/>
        <v>3.1595137376494442E-3</v>
      </c>
      <c r="AL47" s="147">
        <f t="shared" si="27"/>
        <v>6.400240000000001E-4</v>
      </c>
      <c r="AM47" s="147">
        <f t="shared" si="3"/>
        <v>5.3350985351641178E-5</v>
      </c>
      <c r="AN47" s="160">
        <f t="shared" si="28"/>
        <v>0</v>
      </c>
      <c r="AO47" s="161">
        <f t="shared" si="29"/>
        <v>0</v>
      </c>
      <c r="AP47" s="156">
        <f t="shared" si="4"/>
        <v>1.0690301406249998</v>
      </c>
      <c r="AQ47" s="152"/>
      <c r="AR47" s="162">
        <f t="shared" si="5"/>
        <v>224.97757320896355</v>
      </c>
      <c r="AS47" s="150">
        <f t="shared" si="30"/>
        <v>0</v>
      </c>
      <c r="AT47" s="163">
        <f t="shared" si="6"/>
        <v>0</v>
      </c>
      <c r="AU47" s="163">
        <f t="shared" si="7"/>
        <v>5.3350985351641178</v>
      </c>
      <c r="AV47" s="163">
        <f t="shared" si="31"/>
        <v>0.70239157465997171</v>
      </c>
      <c r="AW47" s="163">
        <f t="shared" si="8"/>
        <v>1.1756243647931717E-2</v>
      </c>
      <c r="AX47" s="163">
        <f t="shared" si="9"/>
        <v>0</v>
      </c>
      <c r="AY47" s="164">
        <f t="shared" si="32"/>
        <v>220.35662249210733</v>
      </c>
      <c r="AZ47" s="164">
        <f>IF($E47="","",IF(OR(AND($D47=Input!$C$6,$C47=12),$AN47=1),0,-AS48+AT48+AU48-AV48-AW48-AX48+AZ48))</f>
        <v>220.35663578554829</v>
      </c>
      <c r="BA47" s="154">
        <f t="shared" si="10"/>
        <v>1.329344095779561E-5</v>
      </c>
      <c r="BC47" s="147">
        <f t="shared" si="33"/>
        <v>0.81100835108104585</v>
      </c>
      <c r="BD47" s="164">
        <f>IF(AND($C46=12,$D46=Input!$C$6),0,IF($E47="","",AT47+(AU47+BD48)/(1+$AK47)*MIN((1-AM47-AN47),1)))</f>
        <v>2296.91162580642</v>
      </c>
      <c r="BE47" s="164">
        <f t="shared" si="11"/>
        <v>1862.814510224149</v>
      </c>
      <c r="BF47" s="164">
        <f t="shared" si="34"/>
        <v>220.35663578554829</v>
      </c>
      <c r="BG47" s="164">
        <f t="shared" si="12"/>
        <v>178.71107183820411</v>
      </c>
      <c r="BH47" s="152"/>
      <c r="BI47" s="162">
        <f t="shared" si="13"/>
        <v>-24.069762066279406</v>
      </c>
      <c r="BJ47" s="150">
        <f t="shared" si="14"/>
        <v>0</v>
      </c>
      <c r="BK47" s="163">
        <f t="shared" si="38"/>
        <v>0</v>
      </c>
      <c r="BL47" s="163">
        <f t="shared" si="15"/>
        <v>5.0581246087921805</v>
      </c>
      <c r="BM47" s="163">
        <f t="shared" si="39"/>
        <v>-9.3654650568631884E-2</v>
      </c>
      <c r="BN47" s="163">
        <f t="shared" si="16"/>
        <v>-1.4781359472493443E-3</v>
      </c>
      <c r="BO47" s="163">
        <f t="shared" si="17"/>
        <v>0</v>
      </c>
      <c r="BP47" s="164">
        <f t="shared" si="40"/>
        <v>-29.223019461587466</v>
      </c>
      <c r="BQ47" s="164">
        <f>IF($E47="","",IF(AND($D47=Input!$C$6,$C47=12),0,-BJ48+BK48+BL48-BM48-BN48-BO48+BQ48))</f>
        <v>-29.223003812124457</v>
      </c>
      <c r="BR47" s="161">
        <f t="shared" si="18"/>
        <v>0</v>
      </c>
      <c r="BT47" s="147">
        <f t="shared" si="19"/>
        <v>0.81100835108104585</v>
      </c>
      <c r="BU47" s="164">
        <f>IF(AND($C46=12,$D46=Input!$C$6),0,IF($E47="","",BK47+(BL47+BU48)/(1+$AK47)*MIN((1-T47-U47),1)))</f>
        <v>3405.5542701889904</v>
      </c>
      <c r="BV47" s="164">
        <f t="shared" si="20"/>
        <v>2761.9329531829876</v>
      </c>
      <c r="BW47" s="164">
        <f t="shared" si="21"/>
        <v>-29.223003812124457</v>
      </c>
      <c r="BX47" s="164">
        <f t="shared" si="22"/>
        <v>-23.700100135306172</v>
      </c>
    </row>
    <row r="48" spans="1:76" s="150" customFormat="1" x14ac:dyDescent="0.25">
      <c r="A48" s="150">
        <f t="shared" si="35"/>
        <v>44</v>
      </c>
      <c r="B48" s="150">
        <f t="shared" si="36"/>
        <v>4</v>
      </c>
      <c r="C48" s="150">
        <f t="shared" si="37"/>
        <v>8</v>
      </c>
      <c r="D48" s="150">
        <f>IF(E48="","",Input!$C$4+B48-1)</f>
        <v>48</v>
      </c>
      <c r="E48" s="150">
        <f>IF(OR(AND(C47=12,D47=Input!$C$6),E47=""),"",1)</f>
        <v>1</v>
      </c>
      <c r="F48" s="150">
        <f>IF(E48="","",Input!$C$8+B48-1)</f>
        <v>2021</v>
      </c>
      <c r="G48" s="151">
        <f>IF(E48="","",MAX(0,Input!$C$9-B48))</f>
        <v>16</v>
      </c>
      <c r="H48" s="152">
        <f>IF(E48="","",Input!$C$3)</f>
        <v>100000</v>
      </c>
      <c r="I48" s="153">
        <f>IF(E48="","",HLOOKUP($B48,Input!$C$13:$BT$14,2))</f>
        <v>2.2999999999999998</v>
      </c>
      <c r="J48" s="154"/>
      <c r="K48" s="155">
        <f>IF($E48="","",INDEX(Input!$C$16:$CP$16,1,$B48))</f>
        <v>2.8080000000000001E-2</v>
      </c>
      <c r="L48" s="155">
        <f>IF($E48="","",Input!$C$37)</f>
        <v>1.4999999999999999E-2</v>
      </c>
      <c r="M48" s="155">
        <f t="shared" si="23"/>
        <v>4.308E-2</v>
      </c>
      <c r="N48" s="155">
        <f t="shared" si="24"/>
        <v>3.5210071416496014E-3</v>
      </c>
      <c r="O48" s="147">
        <f>IF($E48="","",MIN(VLOOKUP(IF($B48&lt;=Input!$C$7,$B48,26),'Mortality Tables'!$A$41:$CW$67,IF($B48&lt;=Input!$C$7+1,Input!$C$4+2,$D48-Input!$C$7+2),0)*IF(B48&gt;20,Input!$C$22,1)/1000,1))</f>
        <v>6.1600000000000012E-4</v>
      </c>
      <c r="P48" s="147">
        <f>IF($E48="","",MIN(VLOOKUP(IF($B48&lt;=Input!$C$7,$B48,26),'Mortality Tables'!$A$12:$CW$37,IF($B48&lt;=Input!$C$7+1,Input!$C$4+2,$D48-Input!$C$7+2),0)*IF(B48&gt;20,Input!$C$22,1)/1000,1))</f>
        <v>7.7000000000000007E-4</v>
      </c>
      <c r="Q48" s="155">
        <f>IF($E48="","",Input!$C$21)</f>
        <v>5.0000000000000001E-3</v>
      </c>
      <c r="R48" s="159">
        <f>IF($E48="","",(1-Q48)^($F48-Input!$C$20))</f>
        <v>0.98507487500000002</v>
      </c>
      <c r="S48" s="147">
        <f t="shared" si="0"/>
        <v>6.0680612300000015E-4</v>
      </c>
      <c r="T48" s="147">
        <f t="shared" si="1"/>
        <v>5.0581246087921805E-5</v>
      </c>
      <c r="U48" s="160">
        <f>IF($E48="","",IF($C48=12,INDEX(Input!$C$15:$CP$15,1,$B48),0))</f>
        <v>0</v>
      </c>
      <c r="V48" s="150">
        <f>IF(E48="","",IF(C48=1,IF($B48=1,Input!$C$33,Input!$C$34),0))</f>
        <v>0</v>
      </c>
      <c r="W48" s="156">
        <f>IF($E48="","",Input!$C$35)</f>
        <v>0.02</v>
      </c>
      <c r="X48" s="156">
        <f t="shared" si="2"/>
        <v>1.0612079999999999</v>
      </c>
      <c r="Y48" s="154"/>
      <c r="Z48" s="147">
        <f>IF($E48="","",VLOOKUP($D48,'Mortality Margins &amp; Grading'!$AB$5:$AF$125,3,0)*IF(Summary!$D$25="Included Margin",IF(AND($B48&gt;Input!$C$9,Summary!$D$31&lt;&gt;"Included Margin"),0,1),0))</f>
        <v>3.9E-2</v>
      </c>
      <c r="AA48" s="147">
        <f>IF($E48="","",VLOOKUP($D48,'Mortality Margins &amp; Grading'!$AB$5:$AF$125,5,0)*IF(Summary!$D$25="Included Margin",IF(AND($B48&gt;Input!$C$9,Summary!$D$31&lt;&gt;"Included Margin"),0,1),0))</f>
        <v>0.2</v>
      </c>
      <c r="AB48" s="147">
        <f>IF($E48="","",IF(AND($B48&gt;Input!$C$9,Summary!$D$31&lt;&gt;"Included Margin"),1,IF(Summary!$D$25="Included Margin",VLOOKUP($B48,'Mortality Margins &amp; Grading'!$AI$5:$AR$125,MATCH('Mortality Margins &amp; Grading'!$AQ$4,'Mortality Margins &amp; Grading'!$AI$4:$AR$4,0),0),1)))</f>
        <v>1</v>
      </c>
      <c r="AC48" s="154"/>
      <c r="AD48" s="158">
        <f>IF(E48="","",Input!$C$48*IF(Summary!$D$30="Included Margin",IF(AND($B48&gt;Input!$C$9,Summary!$D$31&lt;&gt;"Included Margin"),0,1),0))</f>
        <v>-4.4999999999999997E-3</v>
      </c>
      <c r="AE48" s="159">
        <f>IF(E48="","",IF(Summary!$D$26="Included Margin",IF(AND($B48&gt;Input!$C$9,Summary!$D$31&lt;&gt;"Included Margin"),1,1/$R48),1))</f>
        <v>1.0151512594410652</v>
      </c>
      <c r="AF48" s="160">
        <f>IF(E48="","",IF(AND($B48&gt;=Input!$C$9,$C48=12,Summary!$D$31="Included Margin",$U48&gt;0),1/U48-1,IF($B48&gt;=Input!$C$9,0,Input!$C$45*IF(Summary!$D$27="Included Margin",1,0))))</f>
        <v>-0.1</v>
      </c>
      <c r="AG48" s="160">
        <f>IF(E48="","",Input!$C$46*IF(Summary!$D$28="Included Margin",IF(AND($B48&gt;Input!$C$9,Summary!$D$31&lt;&gt;"Included Margin"),0,1),0))</f>
        <v>0.02</v>
      </c>
      <c r="AH48" s="158">
        <f>IF(E48="","",Input!$C$47*IF(Summary!$D$29="Included Margin",IF(AND($B48&gt;Input!$C$9,Summary!$D$31&lt;&gt;"Included Margin"),0,1),0))</f>
        <v>2.5000000000000001E-3</v>
      </c>
      <c r="AI48" s="154"/>
      <c r="AJ48" s="158">
        <f t="shared" si="25"/>
        <v>3.8580000000000003E-2</v>
      </c>
      <c r="AK48" s="155">
        <f t="shared" si="26"/>
        <v>3.1595137376494442E-3</v>
      </c>
      <c r="AL48" s="147">
        <f t="shared" si="27"/>
        <v>6.400240000000001E-4</v>
      </c>
      <c r="AM48" s="147">
        <f t="shared" si="3"/>
        <v>5.3350985351641178E-5</v>
      </c>
      <c r="AN48" s="160">
        <f t="shared" si="28"/>
        <v>0</v>
      </c>
      <c r="AO48" s="161">
        <f t="shared" si="29"/>
        <v>0</v>
      </c>
      <c r="AP48" s="156">
        <f t="shared" si="4"/>
        <v>1.0690301406249998</v>
      </c>
      <c r="AQ48" s="152"/>
      <c r="AR48" s="162">
        <f t="shared" si="5"/>
        <v>220.35662249210733</v>
      </c>
      <c r="AS48" s="150">
        <f t="shared" si="30"/>
        <v>0</v>
      </c>
      <c r="AT48" s="163">
        <f t="shared" si="6"/>
        <v>0</v>
      </c>
      <c r="AU48" s="163">
        <f t="shared" si="7"/>
        <v>5.3350985351641178</v>
      </c>
      <c r="AV48" s="163">
        <f t="shared" si="31"/>
        <v>0.68779161738906347</v>
      </c>
      <c r="AW48" s="163">
        <f t="shared" si="8"/>
        <v>1.1508919256819603E-2</v>
      </c>
      <c r="AX48" s="163">
        <f t="shared" si="9"/>
        <v>0</v>
      </c>
      <c r="AY48" s="164">
        <f t="shared" si="32"/>
        <v>215.72082449358908</v>
      </c>
      <c r="AZ48" s="164">
        <f>IF($E48="","",IF(OR(AND($D48=Input!$C$6,$C48=12),$AN48=1),0,-AS49+AT49+AU49-AV49-AW49-AX49+AZ49))</f>
        <v>215.72083778703006</v>
      </c>
      <c r="BA48" s="154">
        <f t="shared" si="10"/>
        <v>1.329344098621732E-5</v>
      </c>
      <c r="BC48" s="147">
        <f t="shared" si="33"/>
        <v>0.81096732926806048</v>
      </c>
      <c r="BD48" s="164">
        <f>IF(AND($C47=12,$D47=Input!$C$6),0,IF($E48="","",AT48+(AU48+BD49)/(1+$AK48)*MIN((1-AM48-AN48),1)))</f>
        <v>2298.9565873391371</v>
      </c>
      <c r="BE48" s="164">
        <f t="shared" si="11"/>
        <v>1864.3786837376347</v>
      </c>
      <c r="BF48" s="164">
        <f t="shared" si="34"/>
        <v>215.72083778703006</v>
      </c>
      <c r="BG48" s="164">
        <f t="shared" si="12"/>
        <v>174.94255168761626</v>
      </c>
      <c r="BH48" s="152"/>
      <c r="BI48" s="162">
        <f t="shared" si="13"/>
        <v>-29.223019461587469</v>
      </c>
      <c r="BJ48" s="150">
        <f t="shared" si="14"/>
        <v>0</v>
      </c>
      <c r="BK48" s="163">
        <f t="shared" si="38"/>
        <v>0</v>
      </c>
      <c r="BL48" s="163">
        <f t="shared" si="15"/>
        <v>5.0581246087921805</v>
      </c>
      <c r="BM48" s="163">
        <f t="shared" si="39"/>
        <v>-0.1117993066602702</v>
      </c>
      <c r="BN48" s="163">
        <f t="shared" si="16"/>
        <v>-1.7397251385380345E-3</v>
      </c>
      <c r="BO48" s="163">
        <f t="shared" si="17"/>
        <v>0</v>
      </c>
      <c r="BP48" s="164">
        <f t="shared" si="40"/>
        <v>-34.394683102178462</v>
      </c>
      <c r="BQ48" s="164">
        <f>IF($E48="","",IF(AND($D48=Input!$C$6,$C48=12),0,-BJ49+BK49+BL49-BM49-BN49-BO49+BQ49))</f>
        <v>-34.394667452715446</v>
      </c>
      <c r="BR48" s="161">
        <f t="shared" si="18"/>
        <v>0</v>
      </c>
      <c r="BT48" s="147">
        <f t="shared" si="19"/>
        <v>0.81096732926806048</v>
      </c>
      <c r="BU48" s="164">
        <f>IF(AND($C47=12,$D47=Input!$C$6),0,IF($E48="","",BK48+(BL48+BU49)/(1+$AK48)*MIN((1-T48-U48),1)))</f>
        <v>3411.4288512496532</v>
      </c>
      <c r="BV48" s="164">
        <f t="shared" si="20"/>
        <v>2766.5573444859388</v>
      </c>
      <c r="BW48" s="164">
        <f t="shared" si="21"/>
        <v>-34.394667452715446</v>
      </c>
      <c r="BX48" s="164">
        <f t="shared" si="22"/>
        <v>-27.89295160519173</v>
      </c>
    </row>
    <row r="49" spans="1:76" s="150" customFormat="1" x14ac:dyDescent="0.25">
      <c r="A49" s="150">
        <f t="shared" si="35"/>
        <v>45</v>
      </c>
      <c r="B49" s="150">
        <f t="shared" si="36"/>
        <v>4</v>
      </c>
      <c r="C49" s="150">
        <f t="shared" si="37"/>
        <v>9</v>
      </c>
      <c r="D49" s="150">
        <f>IF(E49="","",Input!$C$4+B49-1)</f>
        <v>48</v>
      </c>
      <c r="E49" s="150">
        <f>IF(OR(AND(C48=12,D48=Input!$C$6),E48=""),"",1)</f>
        <v>1</v>
      </c>
      <c r="F49" s="150">
        <f>IF(E49="","",Input!$C$8+B49-1)</f>
        <v>2021</v>
      </c>
      <c r="G49" s="151">
        <f>IF(E49="","",MAX(0,Input!$C$9-B49))</f>
        <v>16</v>
      </c>
      <c r="H49" s="152">
        <f>IF(E49="","",Input!$C$3)</f>
        <v>100000</v>
      </c>
      <c r="I49" s="153">
        <f>IF(E49="","",HLOOKUP($B49,Input!$C$13:$BT$14,2))</f>
        <v>2.2999999999999998</v>
      </c>
      <c r="J49" s="154"/>
      <c r="K49" s="155">
        <f>IF($E49="","",INDEX(Input!$C$16:$CP$16,1,$B49))</f>
        <v>2.8080000000000001E-2</v>
      </c>
      <c r="L49" s="155">
        <f>IF($E49="","",Input!$C$37)</f>
        <v>1.4999999999999999E-2</v>
      </c>
      <c r="M49" s="155">
        <f t="shared" si="23"/>
        <v>4.308E-2</v>
      </c>
      <c r="N49" s="155">
        <f t="shared" si="24"/>
        <v>3.5210071416496014E-3</v>
      </c>
      <c r="O49" s="147">
        <f>IF($E49="","",MIN(VLOOKUP(IF($B49&lt;=Input!$C$7,$B49,26),'Mortality Tables'!$A$41:$CW$67,IF($B49&lt;=Input!$C$7+1,Input!$C$4+2,$D49-Input!$C$7+2),0)*IF(B49&gt;20,Input!$C$22,1)/1000,1))</f>
        <v>6.1600000000000012E-4</v>
      </c>
      <c r="P49" s="147">
        <f>IF($E49="","",MIN(VLOOKUP(IF($B49&lt;=Input!$C$7,$B49,26),'Mortality Tables'!$A$12:$CW$37,IF($B49&lt;=Input!$C$7+1,Input!$C$4+2,$D49-Input!$C$7+2),0)*IF(B49&gt;20,Input!$C$22,1)/1000,1))</f>
        <v>7.7000000000000007E-4</v>
      </c>
      <c r="Q49" s="155">
        <f>IF($E49="","",Input!$C$21)</f>
        <v>5.0000000000000001E-3</v>
      </c>
      <c r="R49" s="159">
        <f>IF($E49="","",(1-Q49)^($F49-Input!$C$20))</f>
        <v>0.98507487500000002</v>
      </c>
      <c r="S49" s="147">
        <f t="shared" si="0"/>
        <v>6.0680612300000015E-4</v>
      </c>
      <c r="T49" s="147">
        <f t="shared" si="1"/>
        <v>5.0581246087921805E-5</v>
      </c>
      <c r="U49" s="160">
        <f>IF($E49="","",IF($C49=12,INDEX(Input!$C$15:$CP$15,1,$B49),0))</f>
        <v>0</v>
      </c>
      <c r="V49" s="150">
        <f>IF(E49="","",IF(C49=1,IF($B49=1,Input!$C$33,Input!$C$34),0))</f>
        <v>0</v>
      </c>
      <c r="W49" s="156">
        <f>IF($E49="","",Input!$C$35)</f>
        <v>0.02</v>
      </c>
      <c r="X49" s="156">
        <f t="shared" si="2"/>
        <v>1.0612079999999999</v>
      </c>
      <c r="Y49" s="154"/>
      <c r="Z49" s="147">
        <f>IF($E49="","",VLOOKUP($D49,'Mortality Margins &amp; Grading'!$AB$5:$AF$125,3,0)*IF(Summary!$D$25="Included Margin",IF(AND($B49&gt;Input!$C$9,Summary!$D$31&lt;&gt;"Included Margin"),0,1),0))</f>
        <v>3.9E-2</v>
      </c>
      <c r="AA49" s="147">
        <f>IF($E49="","",VLOOKUP($D49,'Mortality Margins &amp; Grading'!$AB$5:$AF$125,5,0)*IF(Summary!$D$25="Included Margin",IF(AND($B49&gt;Input!$C$9,Summary!$D$31&lt;&gt;"Included Margin"),0,1),0))</f>
        <v>0.2</v>
      </c>
      <c r="AB49" s="147">
        <f>IF($E49="","",IF(AND($B49&gt;Input!$C$9,Summary!$D$31&lt;&gt;"Included Margin"),1,IF(Summary!$D$25="Included Margin",VLOOKUP($B49,'Mortality Margins &amp; Grading'!$AI$5:$AR$125,MATCH('Mortality Margins &amp; Grading'!$AQ$4,'Mortality Margins &amp; Grading'!$AI$4:$AR$4,0),0),1)))</f>
        <v>1</v>
      </c>
      <c r="AC49" s="154"/>
      <c r="AD49" s="158">
        <f>IF(E49="","",Input!$C$48*IF(Summary!$D$30="Included Margin",IF(AND($B49&gt;Input!$C$9,Summary!$D$31&lt;&gt;"Included Margin"),0,1),0))</f>
        <v>-4.4999999999999997E-3</v>
      </c>
      <c r="AE49" s="159">
        <f>IF(E49="","",IF(Summary!$D$26="Included Margin",IF(AND($B49&gt;Input!$C$9,Summary!$D$31&lt;&gt;"Included Margin"),1,1/$R49),1))</f>
        <v>1.0151512594410652</v>
      </c>
      <c r="AF49" s="160">
        <f>IF(E49="","",IF(AND($B49&gt;=Input!$C$9,$C49=12,Summary!$D$31="Included Margin",$U49&gt;0),1/U49-1,IF($B49&gt;=Input!$C$9,0,Input!$C$45*IF(Summary!$D$27="Included Margin",1,0))))</f>
        <v>-0.1</v>
      </c>
      <c r="AG49" s="160">
        <f>IF(E49="","",Input!$C$46*IF(Summary!$D$28="Included Margin",IF(AND($B49&gt;Input!$C$9,Summary!$D$31&lt;&gt;"Included Margin"),0,1),0))</f>
        <v>0.02</v>
      </c>
      <c r="AH49" s="158">
        <f>IF(E49="","",Input!$C$47*IF(Summary!$D$29="Included Margin",IF(AND($B49&gt;Input!$C$9,Summary!$D$31&lt;&gt;"Included Margin"),0,1),0))</f>
        <v>2.5000000000000001E-3</v>
      </c>
      <c r="AI49" s="154"/>
      <c r="AJ49" s="158">
        <f t="shared" si="25"/>
        <v>3.8580000000000003E-2</v>
      </c>
      <c r="AK49" s="155">
        <f t="shared" si="26"/>
        <v>3.1595137376494442E-3</v>
      </c>
      <c r="AL49" s="147">
        <f t="shared" si="27"/>
        <v>6.400240000000001E-4</v>
      </c>
      <c r="AM49" s="147">
        <f t="shared" si="3"/>
        <v>5.3350985351641178E-5</v>
      </c>
      <c r="AN49" s="160">
        <f t="shared" si="28"/>
        <v>0</v>
      </c>
      <c r="AO49" s="161">
        <f t="shared" si="29"/>
        <v>0</v>
      </c>
      <c r="AP49" s="156">
        <f t="shared" si="4"/>
        <v>1.0690301406249998</v>
      </c>
      <c r="AQ49" s="152"/>
      <c r="AR49" s="162">
        <f t="shared" si="5"/>
        <v>215.72082449358911</v>
      </c>
      <c r="AS49" s="150">
        <f t="shared" si="30"/>
        <v>0</v>
      </c>
      <c r="AT49" s="163">
        <f t="shared" si="6"/>
        <v>0</v>
      </c>
      <c r="AU49" s="163">
        <f t="shared" si="7"/>
        <v>5.3350985351641178</v>
      </c>
      <c r="AV49" s="163">
        <f t="shared" si="31"/>
        <v>0.67314474992777729</v>
      </c>
      <c r="AW49" s="163">
        <f t="shared" si="8"/>
        <v>1.1260800203500137E-2</v>
      </c>
      <c r="AX49" s="163">
        <f t="shared" si="9"/>
        <v>0</v>
      </c>
      <c r="AY49" s="164">
        <f t="shared" si="32"/>
        <v>211.07013150855627</v>
      </c>
      <c r="AZ49" s="164">
        <f>IF($E49="","",IF(OR(AND($D49=Input!$C$6,$C49=12),$AN49=1),0,-AS50+AT50+AU50-AV50-AW50-AX50+AZ50))</f>
        <v>211.07014480199723</v>
      </c>
      <c r="BA49" s="154">
        <f t="shared" si="10"/>
        <v>1.329344095779561E-5</v>
      </c>
      <c r="BC49" s="147">
        <f t="shared" si="33"/>
        <v>0.81092630953000955</v>
      </c>
      <c r="BD49" s="164">
        <f>IF(AND($C48=12,$D48=Input!$C$6),0,IF($E49="","",AT49+(AU49+BD50)/(1+$AK49)*MIN((1-AM49-AN49),1)))</f>
        <v>2301.0081194071668</v>
      </c>
      <c r="BE49" s="164">
        <f t="shared" si="11"/>
        <v>1865.9480224694412</v>
      </c>
      <c r="BF49" s="164">
        <f t="shared" si="34"/>
        <v>211.07014480199723</v>
      </c>
      <c r="BG49" s="164">
        <f t="shared" si="12"/>
        <v>171.16233357624833</v>
      </c>
      <c r="BH49" s="152"/>
      <c r="BI49" s="162">
        <f t="shared" si="13"/>
        <v>-34.394683102178455</v>
      </c>
      <c r="BJ49" s="150">
        <f t="shared" si="14"/>
        <v>0</v>
      </c>
      <c r="BK49" s="163">
        <f t="shared" si="38"/>
        <v>0</v>
      </c>
      <c r="BL49" s="163">
        <f t="shared" si="15"/>
        <v>5.0581246087921805</v>
      </c>
      <c r="BM49" s="163">
        <f t="shared" si="39"/>
        <v>-0.13000877127300065</v>
      </c>
      <c r="BN49" s="163">
        <f t="shared" si="16"/>
        <v>-2.0022486660045773E-3</v>
      </c>
      <c r="BO49" s="163">
        <f t="shared" si="17"/>
        <v>0</v>
      </c>
      <c r="BP49" s="164">
        <f t="shared" si="40"/>
        <v>-39.584818730909632</v>
      </c>
      <c r="BQ49" s="164">
        <f>IF($E49="","",IF(AND($D49=Input!$C$6,$C49=12),0,-BJ50+BK50+BL50-BM50-BN50-BO50+BQ50))</f>
        <v>-39.58480308144663</v>
      </c>
      <c r="BR49" s="161">
        <f t="shared" si="18"/>
        <v>0</v>
      </c>
      <c r="BT49" s="147">
        <f t="shared" si="19"/>
        <v>0.81092630953000955</v>
      </c>
      <c r="BU49" s="164">
        <f>IF(AND($C48=12,$D48=Input!$C$6),0,IF($E49="","",BK49+(BL49+BU50)/(1+$AK49)*MIN((1-T49-U49),1)))</f>
        <v>3417.3222912274182</v>
      </c>
      <c r="BV49" s="164">
        <f t="shared" si="20"/>
        <v>2771.1965540996866</v>
      </c>
      <c r="BW49" s="164">
        <f t="shared" si="21"/>
        <v>-39.58480308144663</v>
      </c>
      <c r="BX49" s="164">
        <f t="shared" si="22"/>
        <v>-32.100358276309663</v>
      </c>
    </row>
    <row r="50" spans="1:76" s="150" customFormat="1" x14ac:dyDescent="0.25">
      <c r="A50" s="150">
        <f t="shared" si="35"/>
        <v>46</v>
      </c>
      <c r="B50" s="150">
        <f t="shared" si="36"/>
        <v>4</v>
      </c>
      <c r="C50" s="150">
        <f t="shared" si="37"/>
        <v>10</v>
      </c>
      <c r="D50" s="150">
        <f>IF(E50="","",Input!$C$4+B50-1)</f>
        <v>48</v>
      </c>
      <c r="E50" s="150">
        <f>IF(OR(AND(C49=12,D49=Input!$C$6),E49=""),"",1)</f>
        <v>1</v>
      </c>
      <c r="F50" s="150">
        <f>IF(E50="","",Input!$C$8+B50-1)</f>
        <v>2021</v>
      </c>
      <c r="G50" s="151">
        <f>IF(E50="","",MAX(0,Input!$C$9-B50))</f>
        <v>16</v>
      </c>
      <c r="H50" s="152">
        <f>IF(E50="","",Input!$C$3)</f>
        <v>100000</v>
      </c>
      <c r="I50" s="153">
        <f>IF(E50="","",HLOOKUP($B50,Input!$C$13:$BT$14,2))</f>
        <v>2.2999999999999998</v>
      </c>
      <c r="J50" s="154"/>
      <c r="K50" s="155">
        <f>IF($E50="","",INDEX(Input!$C$16:$CP$16,1,$B50))</f>
        <v>2.8080000000000001E-2</v>
      </c>
      <c r="L50" s="155">
        <f>IF($E50="","",Input!$C$37)</f>
        <v>1.4999999999999999E-2</v>
      </c>
      <c r="M50" s="155">
        <f t="shared" si="23"/>
        <v>4.308E-2</v>
      </c>
      <c r="N50" s="155">
        <f t="shared" si="24"/>
        <v>3.5210071416496014E-3</v>
      </c>
      <c r="O50" s="147">
        <f>IF($E50="","",MIN(VLOOKUP(IF($B50&lt;=Input!$C$7,$B50,26),'Mortality Tables'!$A$41:$CW$67,IF($B50&lt;=Input!$C$7+1,Input!$C$4+2,$D50-Input!$C$7+2),0)*IF(B50&gt;20,Input!$C$22,1)/1000,1))</f>
        <v>6.1600000000000012E-4</v>
      </c>
      <c r="P50" s="147">
        <f>IF($E50="","",MIN(VLOOKUP(IF($B50&lt;=Input!$C$7,$B50,26),'Mortality Tables'!$A$12:$CW$37,IF($B50&lt;=Input!$C$7+1,Input!$C$4+2,$D50-Input!$C$7+2),0)*IF(B50&gt;20,Input!$C$22,1)/1000,1))</f>
        <v>7.7000000000000007E-4</v>
      </c>
      <c r="Q50" s="155">
        <f>IF($E50="","",Input!$C$21)</f>
        <v>5.0000000000000001E-3</v>
      </c>
      <c r="R50" s="159">
        <f>IF($E50="","",(1-Q50)^($F50-Input!$C$20))</f>
        <v>0.98507487500000002</v>
      </c>
      <c r="S50" s="147">
        <f t="shared" si="0"/>
        <v>6.0680612300000015E-4</v>
      </c>
      <c r="T50" s="147">
        <f t="shared" si="1"/>
        <v>5.0581246087921805E-5</v>
      </c>
      <c r="U50" s="160">
        <f>IF($E50="","",IF($C50=12,INDEX(Input!$C$15:$CP$15,1,$B50),0))</f>
        <v>0</v>
      </c>
      <c r="V50" s="150">
        <f>IF(E50="","",IF(C50=1,IF($B50=1,Input!$C$33,Input!$C$34),0))</f>
        <v>0</v>
      </c>
      <c r="W50" s="156">
        <f>IF($E50="","",Input!$C$35)</f>
        <v>0.02</v>
      </c>
      <c r="X50" s="156">
        <f t="shared" si="2"/>
        <v>1.0612079999999999</v>
      </c>
      <c r="Y50" s="154"/>
      <c r="Z50" s="147">
        <f>IF($E50="","",VLOOKUP($D50,'Mortality Margins &amp; Grading'!$AB$5:$AF$125,3,0)*IF(Summary!$D$25="Included Margin",IF(AND($B50&gt;Input!$C$9,Summary!$D$31&lt;&gt;"Included Margin"),0,1),0))</f>
        <v>3.9E-2</v>
      </c>
      <c r="AA50" s="147">
        <f>IF($E50="","",VLOOKUP($D50,'Mortality Margins &amp; Grading'!$AB$5:$AF$125,5,0)*IF(Summary!$D$25="Included Margin",IF(AND($B50&gt;Input!$C$9,Summary!$D$31&lt;&gt;"Included Margin"),0,1),0))</f>
        <v>0.2</v>
      </c>
      <c r="AB50" s="147">
        <f>IF($E50="","",IF(AND($B50&gt;Input!$C$9,Summary!$D$31&lt;&gt;"Included Margin"),1,IF(Summary!$D$25="Included Margin",VLOOKUP($B50,'Mortality Margins &amp; Grading'!$AI$5:$AR$125,MATCH('Mortality Margins &amp; Grading'!$AQ$4,'Mortality Margins &amp; Grading'!$AI$4:$AR$4,0),0),1)))</f>
        <v>1</v>
      </c>
      <c r="AC50" s="154"/>
      <c r="AD50" s="158">
        <f>IF(E50="","",Input!$C$48*IF(Summary!$D$30="Included Margin",IF(AND($B50&gt;Input!$C$9,Summary!$D$31&lt;&gt;"Included Margin"),0,1),0))</f>
        <v>-4.4999999999999997E-3</v>
      </c>
      <c r="AE50" s="159">
        <f>IF(E50="","",IF(Summary!$D$26="Included Margin",IF(AND($B50&gt;Input!$C$9,Summary!$D$31&lt;&gt;"Included Margin"),1,1/$R50),1))</f>
        <v>1.0151512594410652</v>
      </c>
      <c r="AF50" s="160">
        <f>IF(E50="","",IF(AND($B50&gt;=Input!$C$9,$C50=12,Summary!$D$31="Included Margin",$U50&gt;0),1/U50-1,IF($B50&gt;=Input!$C$9,0,Input!$C$45*IF(Summary!$D$27="Included Margin",1,0))))</f>
        <v>-0.1</v>
      </c>
      <c r="AG50" s="160">
        <f>IF(E50="","",Input!$C$46*IF(Summary!$D$28="Included Margin",IF(AND($B50&gt;Input!$C$9,Summary!$D$31&lt;&gt;"Included Margin"),0,1),0))</f>
        <v>0.02</v>
      </c>
      <c r="AH50" s="158">
        <f>IF(E50="","",Input!$C$47*IF(Summary!$D$29="Included Margin",IF(AND($B50&gt;Input!$C$9,Summary!$D$31&lt;&gt;"Included Margin"),0,1),0))</f>
        <v>2.5000000000000001E-3</v>
      </c>
      <c r="AI50" s="154"/>
      <c r="AJ50" s="158">
        <f t="shared" si="25"/>
        <v>3.8580000000000003E-2</v>
      </c>
      <c r="AK50" s="155">
        <f t="shared" si="26"/>
        <v>3.1595137376494442E-3</v>
      </c>
      <c r="AL50" s="147">
        <f t="shared" si="27"/>
        <v>6.400240000000001E-4</v>
      </c>
      <c r="AM50" s="147">
        <f t="shared" si="3"/>
        <v>5.3350985351641178E-5</v>
      </c>
      <c r="AN50" s="160">
        <f t="shared" si="28"/>
        <v>0</v>
      </c>
      <c r="AO50" s="161">
        <f t="shared" si="29"/>
        <v>0</v>
      </c>
      <c r="AP50" s="156">
        <f t="shared" si="4"/>
        <v>1.0690301406249998</v>
      </c>
      <c r="AQ50" s="152"/>
      <c r="AR50" s="162">
        <f t="shared" si="5"/>
        <v>211.07013150855627</v>
      </c>
      <c r="AS50" s="150">
        <f t="shared" si="30"/>
        <v>0</v>
      </c>
      <c r="AT50" s="163">
        <f t="shared" si="6"/>
        <v>0</v>
      </c>
      <c r="AU50" s="163">
        <f t="shared" si="7"/>
        <v>5.3350985351641178</v>
      </c>
      <c r="AV50" s="163">
        <f t="shared" si="31"/>
        <v>0.65845082155197621</v>
      </c>
      <c r="AW50" s="163">
        <f t="shared" si="8"/>
        <v>1.1011883934694922E-2</v>
      </c>
      <c r="AX50" s="163">
        <f t="shared" si="9"/>
        <v>0</v>
      </c>
      <c r="AY50" s="164">
        <f t="shared" si="32"/>
        <v>206.40449567887882</v>
      </c>
      <c r="AZ50" s="164">
        <f>IF($E50="","",IF(OR(AND($D50=Input!$C$6,$C50=12),$AN50=1),0,-AS51+AT51+AU51-AV51-AW51-AX51+AZ51))</f>
        <v>206.40450897231977</v>
      </c>
      <c r="BA50" s="154">
        <f t="shared" si="10"/>
        <v>1.329344095779561E-5</v>
      </c>
      <c r="BC50" s="147">
        <f t="shared" si="33"/>
        <v>0.81088529186678804</v>
      </c>
      <c r="BD50" s="164">
        <f>IF(AND($C49=12,$D49=Input!$C$6),0,IF($E50="","",AT50+(AU50+BD51)/(1+$AK50)*MIN((1-AM50-AN50),1)))</f>
        <v>2303.0662431218771</v>
      </c>
      <c r="BE50" s="164">
        <f t="shared" si="11"/>
        <v>1867.5225427424302</v>
      </c>
      <c r="BF50" s="164">
        <f t="shared" si="34"/>
        <v>206.40450897231977</v>
      </c>
      <c r="BG50" s="164">
        <f t="shared" si="12"/>
        <v>167.37038050064058</v>
      </c>
      <c r="BH50" s="152"/>
      <c r="BI50" s="162">
        <f t="shared" si="13"/>
        <v>-39.584818730909646</v>
      </c>
      <c r="BJ50" s="150">
        <f t="shared" si="14"/>
        <v>0</v>
      </c>
      <c r="BK50" s="163">
        <f t="shared" si="38"/>
        <v>0</v>
      </c>
      <c r="BL50" s="163">
        <f t="shared" si="15"/>
        <v>5.0581246087921805</v>
      </c>
      <c r="BM50" s="163">
        <f t="shared" si="39"/>
        <v>-0.14828327588789322</v>
      </c>
      <c r="BN50" s="163">
        <f t="shared" si="16"/>
        <v>-2.2657098668820174E-3</v>
      </c>
      <c r="BO50" s="163">
        <f t="shared" si="17"/>
        <v>0</v>
      </c>
      <c r="BP50" s="164">
        <f t="shared" si="40"/>
        <v>-44.793492325456604</v>
      </c>
      <c r="BQ50" s="164">
        <f>IF($E50="","",IF(AND($D50=Input!$C$6,$C50=12),0,-BJ51+BK51+BL51-BM51-BN51-BO51+BQ51))</f>
        <v>-44.793476675993588</v>
      </c>
      <c r="BR50" s="161">
        <f t="shared" si="18"/>
        <v>0</v>
      </c>
      <c r="BT50" s="147">
        <f t="shared" si="19"/>
        <v>0.81088529186678804</v>
      </c>
      <c r="BU50" s="164">
        <f>IF(AND($C49=12,$D49=Input!$C$6),0,IF($E50="","",BK50+(BL50+BU51)/(1+$AK50)*MIN((1-T50-U50),1)))</f>
        <v>3423.2346506642625</v>
      </c>
      <c r="BV50" s="164">
        <f t="shared" si="20"/>
        <v>2775.8506288323929</v>
      </c>
      <c r="BW50" s="164">
        <f t="shared" si="21"/>
        <v>-44.793476675993588</v>
      </c>
      <c r="BX50" s="164">
        <f t="shared" si="22"/>
        <v>-36.322371408141223</v>
      </c>
    </row>
    <row r="51" spans="1:76" s="150" customFormat="1" x14ac:dyDescent="0.25">
      <c r="A51" s="150">
        <f t="shared" si="35"/>
        <v>47</v>
      </c>
      <c r="B51" s="150">
        <f t="shared" si="36"/>
        <v>4</v>
      </c>
      <c r="C51" s="150">
        <f t="shared" si="37"/>
        <v>11</v>
      </c>
      <c r="D51" s="150">
        <f>IF(E51="","",Input!$C$4+B51-1)</f>
        <v>48</v>
      </c>
      <c r="E51" s="150">
        <f>IF(OR(AND(C50=12,D50=Input!$C$6),E50=""),"",1)</f>
        <v>1</v>
      </c>
      <c r="F51" s="150">
        <f>IF(E51="","",Input!$C$8+B51-1)</f>
        <v>2021</v>
      </c>
      <c r="G51" s="151">
        <f>IF(E51="","",MAX(0,Input!$C$9-B51))</f>
        <v>16</v>
      </c>
      <c r="H51" s="152">
        <f>IF(E51="","",Input!$C$3)</f>
        <v>100000</v>
      </c>
      <c r="I51" s="153">
        <f>IF(E51="","",HLOOKUP($B51,Input!$C$13:$BT$14,2))</f>
        <v>2.2999999999999998</v>
      </c>
      <c r="J51" s="154"/>
      <c r="K51" s="155">
        <f>IF($E51="","",INDEX(Input!$C$16:$CP$16,1,$B51))</f>
        <v>2.8080000000000001E-2</v>
      </c>
      <c r="L51" s="155">
        <f>IF($E51="","",Input!$C$37)</f>
        <v>1.4999999999999999E-2</v>
      </c>
      <c r="M51" s="155">
        <f t="shared" si="23"/>
        <v>4.308E-2</v>
      </c>
      <c r="N51" s="155">
        <f t="shared" si="24"/>
        <v>3.5210071416496014E-3</v>
      </c>
      <c r="O51" s="147">
        <f>IF($E51="","",MIN(VLOOKUP(IF($B51&lt;=Input!$C$7,$B51,26),'Mortality Tables'!$A$41:$CW$67,IF($B51&lt;=Input!$C$7+1,Input!$C$4+2,$D51-Input!$C$7+2),0)*IF(B51&gt;20,Input!$C$22,1)/1000,1))</f>
        <v>6.1600000000000012E-4</v>
      </c>
      <c r="P51" s="147">
        <f>IF($E51="","",MIN(VLOOKUP(IF($B51&lt;=Input!$C$7,$B51,26),'Mortality Tables'!$A$12:$CW$37,IF($B51&lt;=Input!$C$7+1,Input!$C$4+2,$D51-Input!$C$7+2),0)*IF(B51&gt;20,Input!$C$22,1)/1000,1))</f>
        <v>7.7000000000000007E-4</v>
      </c>
      <c r="Q51" s="155">
        <f>IF($E51="","",Input!$C$21)</f>
        <v>5.0000000000000001E-3</v>
      </c>
      <c r="R51" s="159">
        <f>IF($E51="","",(1-Q51)^($F51-Input!$C$20))</f>
        <v>0.98507487500000002</v>
      </c>
      <c r="S51" s="147">
        <f t="shared" si="0"/>
        <v>6.0680612300000015E-4</v>
      </c>
      <c r="T51" s="147">
        <f t="shared" si="1"/>
        <v>5.0581246087921805E-5</v>
      </c>
      <c r="U51" s="160">
        <f>IF($E51="","",IF($C51=12,INDEX(Input!$C$15:$CP$15,1,$B51),0))</f>
        <v>0</v>
      </c>
      <c r="V51" s="150">
        <f>IF(E51="","",IF(C51=1,IF($B51=1,Input!$C$33,Input!$C$34),0))</f>
        <v>0</v>
      </c>
      <c r="W51" s="156">
        <f>IF($E51="","",Input!$C$35)</f>
        <v>0.02</v>
      </c>
      <c r="X51" s="156">
        <f t="shared" si="2"/>
        <v>1.0612079999999999</v>
      </c>
      <c r="Y51" s="154"/>
      <c r="Z51" s="147">
        <f>IF($E51="","",VLOOKUP($D51,'Mortality Margins &amp; Grading'!$AB$5:$AF$125,3,0)*IF(Summary!$D$25="Included Margin",IF(AND($B51&gt;Input!$C$9,Summary!$D$31&lt;&gt;"Included Margin"),0,1),0))</f>
        <v>3.9E-2</v>
      </c>
      <c r="AA51" s="147">
        <f>IF($E51="","",VLOOKUP($D51,'Mortality Margins &amp; Grading'!$AB$5:$AF$125,5,0)*IF(Summary!$D$25="Included Margin",IF(AND($B51&gt;Input!$C$9,Summary!$D$31&lt;&gt;"Included Margin"),0,1),0))</f>
        <v>0.2</v>
      </c>
      <c r="AB51" s="147">
        <f>IF($E51="","",IF(AND($B51&gt;Input!$C$9,Summary!$D$31&lt;&gt;"Included Margin"),1,IF(Summary!$D$25="Included Margin",VLOOKUP($B51,'Mortality Margins &amp; Grading'!$AI$5:$AR$125,MATCH('Mortality Margins &amp; Grading'!$AQ$4,'Mortality Margins &amp; Grading'!$AI$4:$AR$4,0),0),1)))</f>
        <v>1</v>
      </c>
      <c r="AC51" s="154"/>
      <c r="AD51" s="158">
        <f>IF(E51="","",Input!$C$48*IF(Summary!$D$30="Included Margin",IF(AND($B51&gt;Input!$C$9,Summary!$D$31&lt;&gt;"Included Margin"),0,1),0))</f>
        <v>-4.4999999999999997E-3</v>
      </c>
      <c r="AE51" s="159">
        <f>IF(E51="","",IF(Summary!$D$26="Included Margin",IF(AND($B51&gt;Input!$C$9,Summary!$D$31&lt;&gt;"Included Margin"),1,1/$R51),1))</f>
        <v>1.0151512594410652</v>
      </c>
      <c r="AF51" s="160">
        <f>IF(E51="","",IF(AND($B51&gt;=Input!$C$9,$C51=12,Summary!$D$31="Included Margin",$U51&gt;0),1/U51-1,IF($B51&gt;=Input!$C$9,0,Input!$C$45*IF(Summary!$D$27="Included Margin",1,0))))</f>
        <v>-0.1</v>
      </c>
      <c r="AG51" s="160">
        <f>IF(E51="","",Input!$C$46*IF(Summary!$D$28="Included Margin",IF(AND($B51&gt;Input!$C$9,Summary!$D$31&lt;&gt;"Included Margin"),0,1),0))</f>
        <v>0.02</v>
      </c>
      <c r="AH51" s="158">
        <f>IF(E51="","",Input!$C$47*IF(Summary!$D$29="Included Margin",IF(AND($B51&gt;Input!$C$9,Summary!$D$31&lt;&gt;"Included Margin"),0,1),0))</f>
        <v>2.5000000000000001E-3</v>
      </c>
      <c r="AI51" s="154"/>
      <c r="AJ51" s="158">
        <f t="shared" si="25"/>
        <v>3.8580000000000003E-2</v>
      </c>
      <c r="AK51" s="155">
        <f t="shared" si="26"/>
        <v>3.1595137376494442E-3</v>
      </c>
      <c r="AL51" s="147">
        <f t="shared" si="27"/>
        <v>6.400240000000001E-4</v>
      </c>
      <c r="AM51" s="147">
        <f t="shared" si="3"/>
        <v>5.3350985351641178E-5</v>
      </c>
      <c r="AN51" s="160">
        <f t="shared" si="28"/>
        <v>0</v>
      </c>
      <c r="AO51" s="161">
        <f t="shared" si="29"/>
        <v>0</v>
      </c>
      <c r="AP51" s="156">
        <f t="shared" si="4"/>
        <v>1.0690301406249998</v>
      </c>
      <c r="AQ51" s="152"/>
      <c r="AR51" s="162">
        <f t="shared" si="5"/>
        <v>206.40449567887882</v>
      </c>
      <c r="AS51" s="150">
        <f t="shared" si="30"/>
        <v>0</v>
      </c>
      <c r="AT51" s="163">
        <f t="shared" si="6"/>
        <v>0</v>
      </c>
      <c r="AU51" s="163">
        <f t="shared" si="7"/>
        <v>5.3350985351641178</v>
      </c>
      <c r="AV51" s="163">
        <f t="shared" si="31"/>
        <v>0.64370968105324078</v>
      </c>
      <c r="AW51" s="163">
        <f t="shared" si="8"/>
        <v>1.0762167888921793E-2</v>
      </c>
      <c r="AX51" s="163">
        <f t="shared" si="9"/>
        <v>0</v>
      </c>
      <c r="AY51" s="164">
        <f t="shared" si="32"/>
        <v>201.72386899265686</v>
      </c>
      <c r="AZ51" s="164">
        <f>IF($E51="","",IF(OR(AND($D51=Input!$C$6,$C51=12),$AN51=1),0,-AS52+AT52+AU52-AV52-AW52-AX52+AZ52))</f>
        <v>201.72388228609782</v>
      </c>
      <c r="BA51" s="154">
        <f t="shared" si="10"/>
        <v>1.329344095779561E-5</v>
      </c>
      <c r="BC51" s="147">
        <f t="shared" si="33"/>
        <v>0.81084427627829103</v>
      </c>
      <c r="BD51" s="164">
        <f>IF(AND($C50=12,$D50=Input!$C$6),0,IF($E51="","",AT51+(AU51+BD52)/(1+$AK51)*MIN((1-AM51-AN51),1)))</f>
        <v>2305.1309796624664</v>
      </c>
      <c r="BE51" s="164">
        <f t="shared" si="11"/>
        <v>1869.1022609310805</v>
      </c>
      <c r="BF51" s="164">
        <f t="shared" si="34"/>
        <v>201.72388228609782</v>
      </c>
      <c r="BG51" s="164">
        <f t="shared" si="12"/>
        <v>163.56665534031816</v>
      </c>
      <c r="BH51" s="152"/>
      <c r="BI51" s="162">
        <f t="shared" si="13"/>
        <v>-44.793492325456597</v>
      </c>
      <c r="BJ51" s="150">
        <f t="shared" si="14"/>
        <v>0</v>
      </c>
      <c r="BK51" s="163">
        <f t="shared" si="38"/>
        <v>0</v>
      </c>
      <c r="BL51" s="163">
        <f t="shared" si="15"/>
        <v>5.0581246087921805</v>
      </c>
      <c r="BM51" s="163">
        <f t="shared" si="39"/>
        <v>-0.16662305281281473</v>
      </c>
      <c r="BN51" s="163">
        <f t="shared" si="16"/>
        <v>-2.5301120903232243E-3</v>
      </c>
      <c r="BO51" s="163">
        <f t="shared" si="17"/>
        <v>0</v>
      </c>
      <c r="BP51" s="164">
        <f t="shared" si="40"/>
        <v>-50.020770099151925</v>
      </c>
      <c r="BQ51" s="164">
        <f>IF($E51="","",IF(AND($D51=Input!$C$6,$C51=12),0,-BJ52+BK52+BL52-BM52-BN52-BO52+BQ52))</f>
        <v>-50.020754449688908</v>
      </c>
      <c r="BR51" s="161">
        <f t="shared" si="18"/>
        <v>0</v>
      </c>
      <c r="BT51" s="147">
        <f t="shared" si="19"/>
        <v>0.81084427627829103</v>
      </c>
      <c r="BU51" s="164">
        <f>IF(AND($C50=12,$D50=Input!$C$6),0,IF($E51="","",BK51+(BL51+BU52)/(1+$AK51)*MIN((1-T51-U51),1)))</f>
        <v>3429.1659902965189</v>
      </c>
      <c r="BV51" s="164">
        <f t="shared" si="20"/>
        <v>2780.5196156401098</v>
      </c>
      <c r="BW51" s="164">
        <f t="shared" si="21"/>
        <v>-50.020754449688908</v>
      </c>
      <c r="BX51" s="164">
        <f t="shared" si="22"/>
        <v>-40.559042440652107</v>
      </c>
    </row>
    <row r="52" spans="1:76" s="150" customFormat="1" x14ac:dyDescent="0.25">
      <c r="A52" s="150">
        <f t="shared" si="35"/>
        <v>48</v>
      </c>
      <c r="B52" s="150">
        <f t="shared" si="36"/>
        <v>4</v>
      </c>
      <c r="C52" s="150">
        <f t="shared" si="37"/>
        <v>12</v>
      </c>
      <c r="D52" s="150">
        <f>IF(E52="","",Input!$C$4+B52-1)</f>
        <v>48</v>
      </c>
      <c r="E52" s="150">
        <f>IF(OR(AND(C51=12,D51=Input!$C$6),E51=""),"",1)</f>
        <v>1</v>
      </c>
      <c r="F52" s="150">
        <f>IF(E52="","",Input!$C$8+B52-1)</f>
        <v>2021</v>
      </c>
      <c r="G52" s="151">
        <f>IF(E52="","",MAX(0,Input!$C$9-B52))</f>
        <v>16</v>
      </c>
      <c r="H52" s="152">
        <f>IF(E52="","",Input!$C$3)</f>
        <v>100000</v>
      </c>
      <c r="I52" s="153">
        <f>IF(E52="","",HLOOKUP($B52,Input!$C$13:$BT$14,2))</f>
        <v>2.2999999999999998</v>
      </c>
      <c r="J52" s="154"/>
      <c r="K52" s="155">
        <f>IF($E52="","",INDEX(Input!$C$16:$CP$16,1,$B52))</f>
        <v>2.8080000000000001E-2</v>
      </c>
      <c r="L52" s="155">
        <f>IF($E52="","",Input!$C$37)</f>
        <v>1.4999999999999999E-2</v>
      </c>
      <c r="M52" s="155">
        <f t="shared" si="23"/>
        <v>4.308E-2</v>
      </c>
      <c r="N52" s="155">
        <f t="shared" si="24"/>
        <v>3.5210071416496014E-3</v>
      </c>
      <c r="O52" s="147">
        <f>IF($E52="","",MIN(VLOOKUP(IF($B52&lt;=Input!$C$7,$B52,26),'Mortality Tables'!$A$41:$CW$67,IF($B52&lt;=Input!$C$7+1,Input!$C$4+2,$D52-Input!$C$7+2),0)*IF(B52&gt;20,Input!$C$22,1)/1000,1))</f>
        <v>6.1600000000000012E-4</v>
      </c>
      <c r="P52" s="147">
        <f>IF($E52="","",MIN(VLOOKUP(IF($B52&lt;=Input!$C$7,$B52,26),'Mortality Tables'!$A$12:$CW$37,IF($B52&lt;=Input!$C$7+1,Input!$C$4+2,$D52-Input!$C$7+2),0)*IF(B52&gt;20,Input!$C$22,1)/1000,1))</f>
        <v>7.7000000000000007E-4</v>
      </c>
      <c r="Q52" s="155">
        <f>IF($E52="","",Input!$C$21)</f>
        <v>5.0000000000000001E-3</v>
      </c>
      <c r="R52" s="159">
        <f>IF($E52="","",(1-Q52)^($F52-Input!$C$20))</f>
        <v>0.98507487500000002</v>
      </c>
      <c r="S52" s="147">
        <f t="shared" si="0"/>
        <v>6.0680612300000015E-4</v>
      </c>
      <c r="T52" s="147">
        <f t="shared" si="1"/>
        <v>5.0581246087921805E-5</v>
      </c>
      <c r="U52" s="160">
        <f>IF($E52="","",IF($C52=12,INDEX(Input!$C$15:$CP$15,1,$B52),0))</f>
        <v>0.05</v>
      </c>
      <c r="V52" s="150">
        <f>IF(E52="","",IF(C52=1,IF($B52=1,Input!$C$33,Input!$C$34),0))</f>
        <v>0</v>
      </c>
      <c r="W52" s="156">
        <f>IF($E52="","",Input!$C$35)</f>
        <v>0.02</v>
      </c>
      <c r="X52" s="156">
        <f t="shared" si="2"/>
        <v>1.0612079999999999</v>
      </c>
      <c r="Y52" s="154"/>
      <c r="Z52" s="147">
        <f>IF($E52="","",VLOOKUP($D52,'Mortality Margins &amp; Grading'!$AB$5:$AF$125,3,0)*IF(Summary!$D$25="Included Margin",IF(AND($B52&gt;Input!$C$9,Summary!$D$31&lt;&gt;"Included Margin"),0,1),0))</f>
        <v>3.9E-2</v>
      </c>
      <c r="AA52" s="147">
        <f>IF($E52="","",VLOOKUP($D52,'Mortality Margins &amp; Grading'!$AB$5:$AF$125,5,0)*IF(Summary!$D$25="Included Margin",IF(AND($B52&gt;Input!$C$9,Summary!$D$31&lt;&gt;"Included Margin"),0,1),0))</f>
        <v>0.2</v>
      </c>
      <c r="AB52" s="147">
        <f>IF($E52="","",IF(AND($B52&gt;Input!$C$9,Summary!$D$31&lt;&gt;"Included Margin"),1,IF(Summary!$D$25="Included Margin",VLOOKUP($B52,'Mortality Margins &amp; Grading'!$AI$5:$AR$125,MATCH('Mortality Margins &amp; Grading'!$AQ$4,'Mortality Margins &amp; Grading'!$AI$4:$AR$4,0),0),1)))</f>
        <v>1</v>
      </c>
      <c r="AC52" s="154"/>
      <c r="AD52" s="158">
        <f>IF(E52="","",Input!$C$48*IF(Summary!$D$30="Included Margin",IF(AND($B52&gt;Input!$C$9,Summary!$D$31&lt;&gt;"Included Margin"),0,1),0))</f>
        <v>-4.4999999999999997E-3</v>
      </c>
      <c r="AE52" s="159">
        <f>IF(E52="","",IF(Summary!$D$26="Included Margin",IF(AND($B52&gt;Input!$C$9,Summary!$D$31&lt;&gt;"Included Margin"),1,1/$R52),1))</f>
        <v>1.0151512594410652</v>
      </c>
      <c r="AF52" s="160">
        <f>IF(E52="","",IF(AND($B52&gt;=Input!$C$9,$C52=12,Summary!$D$31="Included Margin",$U52&gt;0),1/U52-1,IF($B52&gt;=Input!$C$9,0,Input!$C$45*IF(Summary!$D$27="Included Margin",1,0))))</f>
        <v>-0.1</v>
      </c>
      <c r="AG52" s="160">
        <f>IF(E52="","",Input!$C$46*IF(Summary!$D$28="Included Margin",IF(AND($B52&gt;Input!$C$9,Summary!$D$31&lt;&gt;"Included Margin"),0,1),0))</f>
        <v>0.02</v>
      </c>
      <c r="AH52" s="158">
        <f>IF(E52="","",Input!$C$47*IF(Summary!$D$29="Included Margin",IF(AND($B52&gt;Input!$C$9,Summary!$D$31&lt;&gt;"Included Margin"),0,1),0))</f>
        <v>2.5000000000000001E-3</v>
      </c>
      <c r="AI52" s="154"/>
      <c r="AJ52" s="158">
        <f t="shared" si="25"/>
        <v>3.8580000000000003E-2</v>
      </c>
      <c r="AK52" s="155">
        <f t="shared" si="26"/>
        <v>3.1595137376494442E-3</v>
      </c>
      <c r="AL52" s="147">
        <f t="shared" si="27"/>
        <v>6.400240000000001E-4</v>
      </c>
      <c r="AM52" s="147">
        <f t="shared" si="3"/>
        <v>5.3350985351641178E-5</v>
      </c>
      <c r="AN52" s="160">
        <f t="shared" si="28"/>
        <v>4.5000000000000005E-2</v>
      </c>
      <c r="AO52" s="161">
        <f t="shared" si="29"/>
        <v>0</v>
      </c>
      <c r="AP52" s="156">
        <f t="shared" si="4"/>
        <v>1.0690301406249998</v>
      </c>
      <c r="AQ52" s="152"/>
      <c r="AR52" s="162">
        <f t="shared" si="5"/>
        <v>201.72386899265686</v>
      </c>
      <c r="AS52" s="150">
        <f t="shared" si="30"/>
        <v>0</v>
      </c>
      <c r="AT52" s="163">
        <f t="shared" si="6"/>
        <v>0</v>
      </c>
      <c r="AU52" s="163">
        <f t="shared" si="7"/>
        <v>5.3350985351641178</v>
      </c>
      <c r="AV52" s="163">
        <f t="shared" si="31"/>
        <v>0.62892117673731396</v>
      </c>
      <c r="AW52" s="163">
        <f t="shared" si="8"/>
        <v>1.100696282352717E-2</v>
      </c>
      <c r="AX52" s="163">
        <f t="shared" si="9"/>
        <v>9.2835567766965408</v>
      </c>
      <c r="AY52" s="164">
        <f t="shared" si="32"/>
        <v>206.31225537375013</v>
      </c>
      <c r="AZ52" s="164">
        <f>IF($E52="","",IF(OR(AND($D52=Input!$C$6,$C52=12),$AN52=1),0,-AS53+AT53+AU53-AV53-AW53-AX53+AZ53))</f>
        <v>206.31226866719109</v>
      </c>
      <c r="BA52" s="154">
        <f t="shared" si="10"/>
        <v>1.329344095779561E-5</v>
      </c>
      <c r="BC52" s="147">
        <f t="shared" si="33"/>
        <v>0.77026104895049907</v>
      </c>
      <c r="BD52" s="164">
        <f>IF(AND($C51=12,$D51=Input!$C$6),0,IF($E52="","",AT52+(AU52+BD53)/(1+$AK52)*MIN((1-AM52-AN52),1)))</f>
        <v>2307.202350276184</v>
      </c>
      <c r="BE52" s="164">
        <f t="shared" si="11"/>
        <v>1777.1481024647903</v>
      </c>
      <c r="BF52" s="164">
        <f t="shared" si="34"/>
        <v>206.31226866719109</v>
      </c>
      <c r="BG52" s="164">
        <f t="shared" si="12"/>
        <v>158.91430447494778</v>
      </c>
      <c r="BH52" s="152"/>
      <c r="BI52" s="162">
        <f t="shared" si="13"/>
        <v>-50.020770099151918</v>
      </c>
      <c r="BJ52" s="150">
        <f t="shared" si="14"/>
        <v>0</v>
      </c>
      <c r="BK52" s="163">
        <f t="shared" si="38"/>
        <v>0</v>
      </c>
      <c r="BL52" s="163">
        <f t="shared" si="15"/>
        <v>5.0581246087921805</v>
      </c>
      <c r="BM52" s="163">
        <f t="shared" si="39"/>
        <v>-0.18502833518538217</v>
      </c>
      <c r="BN52" s="163">
        <f t="shared" si="16"/>
        <v>-2.9425881025720727E-3</v>
      </c>
      <c r="BO52" s="163">
        <f t="shared" si="17"/>
        <v>-2.9086267049298145</v>
      </c>
      <c r="BP52" s="164">
        <f t="shared" si="40"/>
        <v>-58.175492336161867</v>
      </c>
      <c r="BQ52" s="164">
        <f>IF($E52="","",IF(AND($D52=Input!$C$6,$C52=12),0,-BJ53+BK53+BL53-BM53-BN53-BO53+BQ53))</f>
        <v>-58.175476686698858</v>
      </c>
      <c r="BR52" s="161">
        <f t="shared" si="18"/>
        <v>0</v>
      </c>
      <c r="BT52" s="147">
        <f t="shared" si="19"/>
        <v>0.77026104895049907</v>
      </c>
      <c r="BU52" s="164">
        <f>IF(AND($C51=12,$D51=Input!$C$6),0,IF($E52="","",BK52+(BL52+BU53)/(1+$AK52)*MIN((1-T52-U52),1)))</f>
        <v>3435.1163710554997</v>
      </c>
      <c r="BV52" s="164">
        <f t="shared" si="20"/>
        <v>2645.9363392362411</v>
      </c>
      <c r="BW52" s="164">
        <f t="shared" si="21"/>
        <v>-58.175476686698858</v>
      </c>
      <c r="BX52" s="164">
        <f t="shared" si="22"/>
        <v>-44.810303695891967</v>
      </c>
    </row>
    <row r="53" spans="1:76" s="150" customFormat="1" x14ac:dyDescent="0.25">
      <c r="A53" s="150">
        <f t="shared" si="35"/>
        <v>49</v>
      </c>
      <c r="B53" s="150">
        <f t="shared" si="36"/>
        <v>5</v>
      </c>
      <c r="C53" s="150">
        <f t="shared" si="37"/>
        <v>1</v>
      </c>
      <c r="D53" s="150">
        <f>IF(E53="","",Input!$C$4+B53-1)</f>
        <v>49</v>
      </c>
      <c r="E53" s="150">
        <f>IF(OR(AND(C52=12,D52=Input!$C$6),E52=""),"",1)</f>
        <v>1</v>
      </c>
      <c r="F53" s="150">
        <f>IF(E53="","",Input!$C$8+B53-1)</f>
        <v>2022</v>
      </c>
      <c r="G53" s="151">
        <f>IF(E53="","",MAX(0,Input!$C$9-B53))</f>
        <v>15</v>
      </c>
      <c r="H53" s="152">
        <f>IF(E53="","",Input!$C$3)</f>
        <v>100000</v>
      </c>
      <c r="I53" s="153">
        <f>IF(E53="","",HLOOKUP($B53,Input!$C$13:$BT$14,2))</f>
        <v>2.2999999999999998</v>
      </c>
      <c r="J53" s="154"/>
      <c r="K53" s="155">
        <f>IF($E53="","",INDEX(Input!$C$16:$CP$16,1,$B53))</f>
        <v>2.76E-2</v>
      </c>
      <c r="L53" s="155">
        <f>IF($E53="","",Input!$C$37)</f>
        <v>1.4999999999999999E-2</v>
      </c>
      <c r="M53" s="155">
        <f t="shared" si="23"/>
        <v>4.2599999999999999E-2</v>
      </c>
      <c r="N53" s="155">
        <f t="shared" si="24"/>
        <v>3.4825160297176083E-3</v>
      </c>
      <c r="O53" s="147">
        <f>IF($E53="","",MIN(VLOOKUP(IF($B53&lt;=Input!$C$7,$B53,26),'Mortality Tables'!$A$41:$CW$67,IF($B53&lt;=Input!$C$7+1,Input!$C$4+2,$D53-Input!$C$7+2),0)*IF(B53&gt;20,Input!$C$22,1)/1000,1))</f>
        <v>6.7200000000000007E-4</v>
      </c>
      <c r="P53" s="147">
        <f>IF($E53="","",MIN(VLOOKUP(IF($B53&lt;=Input!$C$7,$B53,26),'Mortality Tables'!$A$12:$CW$37,IF($B53&lt;=Input!$C$7+1,Input!$C$4+2,$D53-Input!$C$7+2),0)*IF(B53&gt;20,Input!$C$22,1)/1000,1))</f>
        <v>8.3999999999999993E-4</v>
      </c>
      <c r="Q53" s="155">
        <f>IF($E53="","",Input!$C$21)</f>
        <v>5.0000000000000001E-3</v>
      </c>
      <c r="R53" s="159">
        <f>IF($E53="","",(1-Q53)^($F53-Input!$C$20))</f>
        <v>0.98014950062500006</v>
      </c>
      <c r="S53" s="147">
        <f t="shared" si="0"/>
        <v>6.5866046442000011E-4</v>
      </c>
      <c r="T53" s="147">
        <f t="shared" si="1"/>
        <v>5.490494904480947E-5</v>
      </c>
      <c r="U53" s="160">
        <f>IF($E53="","",IF($C53=12,INDEX(Input!$C$15:$CP$15,1,$B53),0))</f>
        <v>0</v>
      </c>
      <c r="V53" s="150">
        <f>IF(E53="","",IF(C53=1,IF($B53=1,Input!$C$33,Input!$C$34),0))</f>
        <v>50</v>
      </c>
      <c r="W53" s="156">
        <f>IF($E53="","",Input!$C$35)</f>
        <v>0.02</v>
      </c>
      <c r="X53" s="156">
        <f t="shared" si="2"/>
        <v>1.08243216</v>
      </c>
      <c r="Y53" s="154"/>
      <c r="Z53" s="147">
        <f>IF($E53="","",VLOOKUP($D53,'Mortality Margins &amp; Grading'!$AB$5:$AF$125,3,0)*IF(Summary!$D$25="Included Margin",IF(AND($B53&gt;Input!$C$9,Summary!$D$31&lt;&gt;"Included Margin"),0,1),0))</f>
        <v>3.9E-2</v>
      </c>
      <c r="AA53" s="147">
        <f>IF($E53="","",VLOOKUP($D53,'Mortality Margins &amp; Grading'!$AB$5:$AF$125,5,0)*IF(Summary!$D$25="Included Margin",IF(AND($B53&gt;Input!$C$9,Summary!$D$31&lt;&gt;"Included Margin"),0,1),0))</f>
        <v>0.2</v>
      </c>
      <c r="AB53" s="147">
        <f>IF($E53="","",IF(AND($B53&gt;Input!$C$9,Summary!$D$31&lt;&gt;"Included Margin"),1,IF(Summary!$D$25="Included Margin",VLOOKUP($B53,'Mortality Margins &amp; Grading'!$AI$5:$AR$125,MATCH('Mortality Margins &amp; Grading'!$AQ$4,'Mortality Margins &amp; Grading'!$AI$4:$AR$4,0),0),1)))</f>
        <v>1</v>
      </c>
      <c r="AC53" s="154"/>
      <c r="AD53" s="158">
        <f>IF(E53="","",Input!$C$48*IF(Summary!$D$30="Included Margin",IF(AND($B53&gt;Input!$C$9,Summary!$D$31&lt;&gt;"Included Margin"),0,1),0))</f>
        <v>-4.4999999999999997E-3</v>
      </c>
      <c r="AE53" s="159">
        <f>IF(E53="","",IF(Summary!$D$26="Included Margin",IF(AND($B53&gt;Input!$C$9,Summary!$D$31&lt;&gt;"Included Margin"),1,1/$R53),1))</f>
        <v>1.0202525220513219</v>
      </c>
      <c r="AF53" s="160">
        <f>IF(E53="","",IF(AND($B53&gt;=Input!$C$9,$C53=12,Summary!$D$31="Included Margin",$U53&gt;0),1/U53-1,IF($B53&gt;=Input!$C$9,0,Input!$C$45*IF(Summary!$D$27="Included Margin",1,0))))</f>
        <v>-0.1</v>
      </c>
      <c r="AG53" s="160">
        <f>IF(E53="","",Input!$C$46*IF(Summary!$D$28="Included Margin",IF(AND($B53&gt;Input!$C$9,Summary!$D$31&lt;&gt;"Included Margin"),0,1),0))</f>
        <v>0.02</v>
      </c>
      <c r="AH53" s="158">
        <f>IF(E53="","",Input!$C$47*IF(Summary!$D$29="Included Margin",IF(AND($B53&gt;Input!$C$9,Summary!$D$31&lt;&gt;"Included Margin"),0,1),0))</f>
        <v>2.5000000000000001E-3</v>
      </c>
      <c r="AI53" s="154"/>
      <c r="AJ53" s="158">
        <f t="shared" si="25"/>
        <v>3.8100000000000002E-2</v>
      </c>
      <c r="AK53" s="155">
        <f t="shared" si="26"/>
        <v>3.1208697401348129E-3</v>
      </c>
      <c r="AL53" s="147">
        <f t="shared" si="27"/>
        <v>6.9820800000000008E-4</v>
      </c>
      <c r="AM53" s="147">
        <f t="shared" si="3"/>
        <v>5.8202627888248593E-5</v>
      </c>
      <c r="AN53" s="160">
        <f t="shared" si="28"/>
        <v>0</v>
      </c>
      <c r="AO53" s="161">
        <f t="shared" si="29"/>
        <v>51</v>
      </c>
      <c r="AP53" s="156">
        <f t="shared" si="4"/>
        <v>1.0930833187890623</v>
      </c>
      <c r="AQ53" s="152"/>
      <c r="AR53" s="162">
        <f t="shared" si="5"/>
        <v>206.31225451718171</v>
      </c>
      <c r="AS53" s="150">
        <f t="shared" si="30"/>
        <v>229.99999999999997</v>
      </c>
      <c r="AT53" s="163">
        <f t="shared" si="6"/>
        <v>55.747249258242178</v>
      </c>
      <c r="AU53" s="163">
        <f t="shared" si="7"/>
        <v>5.8202627888248593</v>
      </c>
      <c r="AV53" s="163">
        <f t="shared" si="31"/>
        <v>1.1786116680582324</v>
      </c>
      <c r="AW53" s="163">
        <f t="shared" si="8"/>
        <v>2.1881001450759364E-2</v>
      </c>
      <c r="AX53" s="163">
        <f t="shared" si="9"/>
        <v>0</v>
      </c>
      <c r="AY53" s="164">
        <f t="shared" si="32"/>
        <v>375.94523513962372</v>
      </c>
      <c r="AZ53" s="164">
        <f>IF($E53="","",IF(OR(AND($D53=Input!$C$6,$C53=12),$AN53=1),0,-AS54+AT54+AU54-AV54-AW54-AX54+AZ54))</f>
        <v>375.94524928963301</v>
      </c>
      <c r="BA53" s="154">
        <f t="shared" si="10"/>
        <v>1.4150009292279719E-5</v>
      </c>
      <c r="BC53" s="147">
        <f t="shared" si="33"/>
        <v>0.77021875780685523</v>
      </c>
      <c r="BD53" s="164">
        <f>IF(AND($C52=12,$D52=Input!$C$6),0,IF($E53="","",AT53+(AU53+BD54)/(1+$AK53)*MIN((1-AM53-AN53),1)))</f>
        <v>2418.3521202069542</v>
      </c>
      <c r="BE53" s="164">
        <f t="shared" si="11"/>
        <v>1862.660165965375</v>
      </c>
      <c r="BF53" s="164">
        <f t="shared" si="34"/>
        <v>375.94524928963301</v>
      </c>
      <c r="BG53" s="164">
        <f t="shared" si="12"/>
        <v>289.56008291124965</v>
      </c>
      <c r="BH53" s="152"/>
      <c r="BI53" s="162">
        <f t="shared" si="13"/>
        <v>-58.175493304830276</v>
      </c>
      <c r="BJ53" s="150">
        <f t="shared" si="14"/>
        <v>229.99999999999997</v>
      </c>
      <c r="BK53" s="163">
        <f t="shared" si="38"/>
        <v>54.121608000000002</v>
      </c>
      <c r="BL53" s="163">
        <f t="shared" si="15"/>
        <v>5.490494904480947</v>
      </c>
      <c r="BM53" s="163">
        <f t="shared" si="39"/>
        <v>0.40034186319218734</v>
      </c>
      <c r="BN53" s="163">
        <f t="shared" si="16"/>
        <v>6.1833374701688055E-3</v>
      </c>
      <c r="BO53" s="163">
        <f t="shared" si="17"/>
        <v>0</v>
      </c>
      <c r="BP53" s="164">
        <f t="shared" si="40"/>
        <v>112.61892899135108</v>
      </c>
      <c r="BQ53" s="164">
        <f>IF($E53="","",IF(AND($D53=Input!$C$6,$C53=12),0,-BJ54+BK54+BL54-BM54-BN54-BO54+BQ54))</f>
        <v>112.61894560948249</v>
      </c>
      <c r="BR53" s="161">
        <f t="shared" si="18"/>
        <v>0</v>
      </c>
      <c r="BT53" s="147">
        <f t="shared" si="19"/>
        <v>0.77021875780685523</v>
      </c>
      <c r="BU53" s="164">
        <f>IF(AND($C52=12,$D52=Input!$C$6),0,IF($E53="","",BK53+(BL53+BU54)/(1+$AK53)*MIN((1-T53-U53),1)))</f>
        <v>3622.4715105379878</v>
      </c>
      <c r="BV53" s="164">
        <f t="shared" si="20"/>
        <v>2790.0955070372916</v>
      </c>
      <c r="BW53" s="164">
        <f t="shared" si="21"/>
        <v>112.61894560948249</v>
      </c>
      <c r="BX53" s="164">
        <f t="shared" si="22"/>
        <v>86.741224392853397</v>
      </c>
    </row>
    <row r="54" spans="1:76" s="150" customFormat="1" x14ac:dyDescent="0.25">
      <c r="A54" s="150">
        <f t="shared" si="35"/>
        <v>50</v>
      </c>
      <c r="B54" s="150">
        <f t="shared" si="36"/>
        <v>5</v>
      </c>
      <c r="C54" s="150">
        <f t="shared" si="37"/>
        <v>2</v>
      </c>
      <c r="D54" s="150">
        <f>IF(E54="","",Input!$C$4+B54-1)</f>
        <v>49</v>
      </c>
      <c r="E54" s="150">
        <f>IF(OR(AND(C53=12,D53=Input!$C$6),E53=""),"",1)</f>
        <v>1</v>
      </c>
      <c r="F54" s="150">
        <f>IF(E54="","",Input!$C$8+B54-1)</f>
        <v>2022</v>
      </c>
      <c r="G54" s="151">
        <f>IF(E54="","",MAX(0,Input!$C$9-B54))</f>
        <v>15</v>
      </c>
      <c r="H54" s="152">
        <f>IF(E54="","",Input!$C$3)</f>
        <v>100000</v>
      </c>
      <c r="I54" s="153">
        <f>IF(E54="","",HLOOKUP($B54,Input!$C$13:$BT$14,2))</f>
        <v>2.2999999999999998</v>
      </c>
      <c r="J54" s="154"/>
      <c r="K54" s="155">
        <f>IF($E54="","",INDEX(Input!$C$16:$CP$16,1,$B54))</f>
        <v>2.76E-2</v>
      </c>
      <c r="L54" s="155">
        <f>IF($E54="","",Input!$C$37)</f>
        <v>1.4999999999999999E-2</v>
      </c>
      <c r="M54" s="155">
        <f t="shared" si="23"/>
        <v>4.2599999999999999E-2</v>
      </c>
      <c r="N54" s="155">
        <f t="shared" si="24"/>
        <v>3.4825160297176083E-3</v>
      </c>
      <c r="O54" s="147">
        <f>IF($E54="","",MIN(VLOOKUP(IF($B54&lt;=Input!$C$7,$B54,26),'Mortality Tables'!$A$41:$CW$67,IF($B54&lt;=Input!$C$7+1,Input!$C$4+2,$D54-Input!$C$7+2),0)*IF(B54&gt;20,Input!$C$22,1)/1000,1))</f>
        <v>6.7200000000000007E-4</v>
      </c>
      <c r="P54" s="147">
        <f>IF($E54="","",MIN(VLOOKUP(IF($B54&lt;=Input!$C$7,$B54,26),'Mortality Tables'!$A$12:$CW$37,IF($B54&lt;=Input!$C$7+1,Input!$C$4+2,$D54-Input!$C$7+2),0)*IF(B54&gt;20,Input!$C$22,1)/1000,1))</f>
        <v>8.3999999999999993E-4</v>
      </c>
      <c r="Q54" s="155">
        <f>IF($E54="","",Input!$C$21)</f>
        <v>5.0000000000000001E-3</v>
      </c>
      <c r="R54" s="159">
        <f>IF($E54="","",(1-Q54)^($F54-Input!$C$20))</f>
        <v>0.98014950062500006</v>
      </c>
      <c r="S54" s="147">
        <f t="shared" si="0"/>
        <v>6.5866046442000011E-4</v>
      </c>
      <c r="T54" s="147">
        <f t="shared" si="1"/>
        <v>5.490494904480947E-5</v>
      </c>
      <c r="U54" s="160">
        <f>IF($E54="","",IF($C54=12,INDEX(Input!$C$15:$CP$15,1,$B54),0))</f>
        <v>0</v>
      </c>
      <c r="V54" s="150">
        <f>IF(E54="","",IF(C54=1,IF($B54=1,Input!$C$33,Input!$C$34),0))</f>
        <v>0</v>
      </c>
      <c r="W54" s="156">
        <f>IF($E54="","",Input!$C$35)</f>
        <v>0.02</v>
      </c>
      <c r="X54" s="156">
        <f t="shared" si="2"/>
        <v>1.08243216</v>
      </c>
      <c r="Y54" s="154"/>
      <c r="Z54" s="147">
        <f>IF($E54="","",VLOOKUP($D54,'Mortality Margins &amp; Grading'!$AB$5:$AF$125,3,0)*IF(Summary!$D$25="Included Margin",IF(AND($B54&gt;Input!$C$9,Summary!$D$31&lt;&gt;"Included Margin"),0,1),0))</f>
        <v>3.9E-2</v>
      </c>
      <c r="AA54" s="147">
        <f>IF($E54="","",VLOOKUP($D54,'Mortality Margins &amp; Grading'!$AB$5:$AF$125,5,0)*IF(Summary!$D$25="Included Margin",IF(AND($B54&gt;Input!$C$9,Summary!$D$31&lt;&gt;"Included Margin"),0,1),0))</f>
        <v>0.2</v>
      </c>
      <c r="AB54" s="147">
        <f>IF($E54="","",IF(AND($B54&gt;Input!$C$9,Summary!$D$31&lt;&gt;"Included Margin"),1,IF(Summary!$D$25="Included Margin",VLOOKUP($B54,'Mortality Margins &amp; Grading'!$AI$5:$AR$125,MATCH('Mortality Margins &amp; Grading'!$AQ$4,'Mortality Margins &amp; Grading'!$AI$4:$AR$4,0),0),1)))</f>
        <v>1</v>
      </c>
      <c r="AC54" s="154"/>
      <c r="AD54" s="158">
        <f>IF(E54="","",Input!$C$48*IF(Summary!$D$30="Included Margin",IF(AND($B54&gt;Input!$C$9,Summary!$D$31&lt;&gt;"Included Margin"),0,1),0))</f>
        <v>-4.4999999999999997E-3</v>
      </c>
      <c r="AE54" s="159">
        <f>IF(E54="","",IF(Summary!$D$26="Included Margin",IF(AND($B54&gt;Input!$C$9,Summary!$D$31&lt;&gt;"Included Margin"),1,1/$R54),1))</f>
        <v>1.0202525220513219</v>
      </c>
      <c r="AF54" s="160">
        <f>IF(E54="","",IF(AND($B54&gt;=Input!$C$9,$C54=12,Summary!$D$31="Included Margin",$U54&gt;0),1/U54-1,IF($B54&gt;=Input!$C$9,0,Input!$C$45*IF(Summary!$D$27="Included Margin",1,0))))</f>
        <v>-0.1</v>
      </c>
      <c r="AG54" s="160">
        <f>IF(E54="","",Input!$C$46*IF(Summary!$D$28="Included Margin",IF(AND($B54&gt;Input!$C$9,Summary!$D$31&lt;&gt;"Included Margin"),0,1),0))</f>
        <v>0.02</v>
      </c>
      <c r="AH54" s="158">
        <f>IF(E54="","",Input!$C$47*IF(Summary!$D$29="Included Margin",IF(AND($B54&gt;Input!$C$9,Summary!$D$31&lt;&gt;"Included Margin"),0,1),0))</f>
        <v>2.5000000000000001E-3</v>
      </c>
      <c r="AI54" s="154"/>
      <c r="AJ54" s="158">
        <f t="shared" si="25"/>
        <v>3.8100000000000002E-2</v>
      </c>
      <c r="AK54" s="155">
        <f t="shared" si="26"/>
        <v>3.1208697401348129E-3</v>
      </c>
      <c r="AL54" s="147">
        <f t="shared" si="27"/>
        <v>6.9820800000000008E-4</v>
      </c>
      <c r="AM54" s="147">
        <f t="shared" si="3"/>
        <v>5.8202627888248593E-5</v>
      </c>
      <c r="AN54" s="160">
        <f t="shared" si="28"/>
        <v>0</v>
      </c>
      <c r="AO54" s="161">
        <f t="shared" si="29"/>
        <v>0</v>
      </c>
      <c r="AP54" s="156">
        <f t="shared" si="4"/>
        <v>1.0930833187890623</v>
      </c>
      <c r="AQ54" s="152"/>
      <c r="AR54" s="162">
        <f t="shared" si="5"/>
        <v>375.94523513962366</v>
      </c>
      <c r="AS54" s="150">
        <f t="shared" si="30"/>
        <v>0</v>
      </c>
      <c r="AT54" s="163">
        <f t="shared" si="6"/>
        <v>0</v>
      </c>
      <c r="AU54" s="163">
        <f t="shared" si="7"/>
        <v>5.8202627888248593</v>
      </c>
      <c r="AV54" s="163">
        <f t="shared" si="31"/>
        <v>1.1641939672864803</v>
      </c>
      <c r="AW54" s="163">
        <f t="shared" si="8"/>
        <v>2.1611263842064885E-2</v>
      </c>
      <c r="AX54" s="163">
        <f t="shared" si="9"/>
        <v>0</v>
      </c>
      <c r="AY54" s="164">
        <f t="shared" si="32"/>
        <v>371.31077758192743</v>
      </c>
      <c r="AZ54" s="164">
        <f>IF($E54="","",IF(OR(AND($D54=Input!$C$6,$C54=12),$AN54=1),0,-AS55+AT55+AU55-AV55-AW55-AX55+AZ55))</f>
        <v>371.31079173193672</v>
      </c>
      <c r="BA54" s="154">
        <f t="shared" si="10"/>
        <v>1.4150009292279719E-5</v>
      </c>
      <c r="BC54" s="147">
        <f t="shared" si="33"/>
        <v>0.77017646898520453</v>
      </c>
      <c r="BD54" s="164">
        <f>IF(AND($C53=12,$D53=Input!$C$6),0,IF($E54="","",AT54+(AU54+BD55)/(1+$AK54)*MIN((1-AM54-AN54),1)))</f>
        <v>2364.2959372007658</v>
      </c>
      <c r="BE54" s="164">
        <f t="shared" si="11"/>
        <v>1820.9250965493507</v>
      </c>
      <c r="BF54" s="164">
        <f t="shared" si="34"/>
        <v>371.31079173193672</v>
      </c>
      <c r="BG54" s="164">
        <f t="shared" si="12"/>
        <v>285.97483447220372</v>
      </c>
      <c r="BH54" s="152"/>
      <c r="BI54" s="162">
        <f t="shared" si="13"/>
        <v>112.61892899135108</v>
      </c>
      <c r="BJ54" s="150">
        <f t="shared" si="14"/>
        <v>0</v>
      </c>
      <c r="BK54" s="163">
        <f t="shared" si="38"/>
        <v>0</v>
      </c>
      <c r="BL54" s="163">
        <f t="shared" si="15"/>
        <v>5.490494904480947</v>
      </c>
      <c r="BM54" s="163">
        <f t="shared" si="39"/>
        <v>0.38263685720404034</v>
      </c>
      <c r="BN54" s="163">
        <f t="shared" si="16"/>
        <v>5.9032149000682365E-3</v>
      </c>
      <c r="BO54" s="163">
        <f t="shared" si="17"/>
        <v>0</v>
      </c>
      <c r="BP54" s="164">
        <f t="shared" si="40"/>
        <v>107.51697415897424</v>
      </c>
      <c r="BQ54" s="164">
        <f>IF($E54="","",IF(AND($D54=Input!$C$6,$C54=12),0,-BJ55+BK55+BL55-BM55-BN55-BO55+BQ55))</f>
        <v>107.51699077710566</v>
      </c>
      <c r="BR54" s="161">
        <f t="shared" si="18"/>
        <v>0</v>
      </c>
      <c r="BT54" s="147">
        <f t="shared" si="19"/>
        <v>0.77017646898520453</v>
      </c>
      <c r="BU54" s="164">
        <f>IF(AND($C53=12,$D53=Input!$C$6),0,IF($E54="","",BK54+(BL54+BU55)/(1+$AK54)*MIN((1-T54-U54),1)))</f>
        <v>3574.1923051682852</v>
      </c>
      <c r="BV54" s="164">
        <f t="shared" si="20"/>
        <v>2752.7588090685986</v>
      </c>
      <c r="BW54" s="164">
        <f t="shared" si="21"/>
        <v>107.51699077710566</v>
      </c>
      <c r="BX54" s="164">
        <f t="shared" si="22"/>
        <v>82.807056312626045</v>
      </c>
    </row>
    <row r="55" spans="1:76" s="150" customFormat="1" x14ac:dyDescent="0.25">
      <c r="A55" s="150">
        <f t="shared" si="35"/>
        <v>51</v>
      </c>
      <c r="B55" s="150">
        <f t="shared" si="36"/>
        <v>5</v>
      </c>
      <c r="C55" s="150">
        <f t="shared" si="37"/>
        <v>3</v>
      </c>
      <c r="D55" s="150">
        <f>IF(E55="","",Input!$C$4+B55-1)</f>
        <v>49</v>
      </c>
      <c r="E55" s="150">
        <f>IF(OR(AND(C54=12,D54=Input!$C$6),E54=""),"",1)</f>
        <v>1</v>
      </c>
      <c r="F55" s="150">
        <f>IF(E55="","",Input!$C$8+B55-1)</f>
        <v>2022</v>
      </c>
      <c r="G55" s="151">
        <f>IF(E55="","",MAX(0,Input!$C$9-B55))</f>
        <v>15</v>
      </c>
      <c r="H55" s="152">
        <f>IF(E55="","",Input!$C$3)</f>
        <v>100000</v>
      </c>
      <c r="I55" s="153">
        <f>IF(E55="","",HLOOKUP($B55,Input!$C$13:$BT$14,2))</f>
        <v>2.2999999999999998</v>
      </c>
      <c r="J55" s="154"/>
      <c r="K55" s="155">
        <f>IF($E55="","",INDEX(Input!$C$16:$CP$16,1,$B55))</f>
        <v>2.76E-2</v>
      </c>
      <c r="L55" s="155">
        <f>IF($E55="","",Input!$C$37)</f>
        <v>1.4999999999999999E-2</v>
      </c>
      <c r="M55" s="155">
        <f t="shared" si="23"/>
        <v>4.2599999999999999E-2</v>
      </c>
      <c r="N55" s="155">
        <f t="shared" si="24"/>
        <v>3.4825160297176083E-3</v>
      </c>
      <c r="O55" s="147">
        <f>IF($E55="","",MIN(VLOOKUP(IF($B55&lt;=Input!$C$7,$B55,26),'Mortality Tables'!$A$41:$CW$67,IF($B55&lt;=Input!$C$7+1,Input!$C$4+2,$D55-Input!$C$7+2),0)*IF(B55&gt;20,Input!$C$22,1)/1000,1))</f>
        <v>6.7200000000000007E-4</v>
      </c>
      <c r="P55" s="147">
        <f>IF($E55="","",MIN(VLOOKUP(IF($B55&lt;=Input!$C$7,$B55,26),'Mortality Tables'!$A$12:$CW$37,IF($B55&lt;=Input!$C$7+1,Input!$C$4+2,$D55-Input!$C$7+2),0)*IF(B55&gt;20,Input!$C$22,1)/1000,1))</f>
        <v>8.3999999999999993E-4</v>
      </c>
      <c r="Q55" s="155">
        <f>IF($E55="","",Input!$C$21)</f>
        <v>5.0000000000000001E-3</v>
      </c>
      <c r="R55" s="159">
        <f>IF($E55="","",(1-Q55)^($F55-Input!$C$20))</f>
        <v>0.98014950062500006</v>
      </c>
      <c r="S55" s="147">
        <f t="shared" si="0"/>
        <v>6.5866046442000011E-4</v>
      </c>
      <c r="T55" s="147">
        <f t="shared" si="1"/>
        <v>5.490494904480947E-5</v>
      </c>
      <c r="U55" s="160">
        <f>IF($E55="","",IF($C55=12,INDEX(Input!$C$15:$CP$15,1,$B55),0))</f>
        <v>0</v>
      </c>
      <c r="V55" s="150">
        <f>IF(E55="","",IF(C55=1,IF($B55=1,Input!$C$33,Input!$C$34),0))</f>
        <v>0</v>
      </c>
      <c r="W55" s="156">
        <f>IF($E55="","",Input!$C$35)</f>
        <v>0.02</v>
      </c>
      <c r="X55" s="156">
        <f t="shared" si="2"/>
        <v>1.08243216</v>
      </c>
      <c r="Y55" s="154"/>
      <c r="Z55" s="147">
        <f>IF($E55="","",VLOOKUP($D55,'Mortality Margins &amp; Grading'!$AB$5:$AF$125,3,0)*IF(Summary!$D$25="Included Margin",IF(AND($B55&gt;Input!$C$9,Summary!$D$31&lt;&gt;"Included Margin"),0,1),0))</f>
        <v>3.9E-2</v>
      </c>
      <c r="AA55" s="147">
        <f>IF($E55="","",VLOOKUP($D55,'Mortality Margins &amp; Grading'!$AB$5:$AF$125,5,0)*IF(Summary!$D$25="Included Margin",IF(AND($B55&gt;Input!$C$9,Summary!$D$31&lt;&gt;"Included Margin"),0,1),0))</f>
        <v>0.2</v>
      </c>
      <c r="AB55" s="147">
        <f>IF($E55="","",IF(AND($B55&gt;Input!$C$9,Summary!$D$31&lt;&gt;"Included Margin"),1,IF(Summary!$D$25="Included Margin",VLOOKUP($B55,'Mortality Margins &amp; Grading'!$AI$5:$AR$125,MATCH('Mortality Margins &amp; Grading'!$AQ$4,'Mortality Margins &amp; Grading'!$AI$4:$AR$4,0),0),1)))</f>
        <v>1</v>
      </c>
      <c r="AC55" s="154"/>
      <c r="AD55" s="158">
        <f>IF(E55="","",Input!$C$48*IF(Summary!$D$30="Included Margin",IF(AND($B55&gt;Input!$C$9,Summary!$D$31&lt;&gt;"Included Margin"),0,1),0))</f>
        <v>-4.4999999999999997E-3</v>
      </c>
      <c r="AE55" s="159">
        <f>IF(E55="","",IF(Summary!$D$26="Included Margin",IF(AND($B55&gt;Input!$C$9,Summary!$D$31&lt;&gt;"Included Margin"),1,1/$R55),1))</f>
        <v>1.0202525220513219</v>
      </c>
      <c r="AF55" s="160">
        <f>IF(E55="","",IF(AND($B55&gt;=Input!$C$9,$C55=12,Summary!$D$31="Included Margin",$U55&gt;0),1/U55-1,IF($B55&gt;=Input!$C$9,0,Input!$C$45*IF(Summary!$D$27="Included Margin",1,0))))</f>
        <v>-0.1</v>
      </c>
      <c r="AG55" s="160">
        <f>IF(E55="","",Input!$C$46*IF(Summary!$D$28="Included Margin",IF(AND($B55&gt;Input!$C$9,Summary!$D$31&lt;&gt;"Included Margin"),0,1),0))</f>
        <v>0.02</v>
      </c>
      <c r="AH55" s="158">
        <f>IF(E55="","",Input!$C$47*IF(Summary!$D$29="Included Margin",IF(AND($B55&gt;Input!$C$9,Summary!$D$31&lt;&gt;"Included Margin"),0,1),0))</f>
        <v>2.5000000000000001E-3</v>
      </c>
      <c r="AI55" s="154"/>
      <c r="AJ55" s="158">
        <f t="shared" si="25"/>
        <v>3.8100000000000002E-2</v>
      </c>
      <c r="AK55" s="155">
        <f t="shared" si="26"/>
        <v>3.1208697401348129E-3</v>
      </c>
      <c r="AL55" s="147">
        <f t="shared" si="27"/>
        <v>6.9820800000000008E-4</v>
      </c>
      <c r="AM55" s="147">
        <f t="shared" si="3"/>
        <v>5.8202627888248593E-5</v>
      </c>
      <c r="AN55" s="160">
        <f t="shared" si="28"/>
        <v>0</v>
      </c>
      <c r="AO55" s="161">
        <f t="shared" si="29"/>
        <v>0</v>
      </c>
      <c r="AP55" s="156">
        <f t="shared" si="4"/>
        <v>1.0930833187890623</v>
      </c>
      <c r="AQ55" s="152"/>
      <c r="AR55" s="162">
        <f t="shared" si="5"/>
        <v>371.31077758192737</v>
      </c>
      <c r="AS55" s="150">
        <f t="shared" si="30"/>
        <v>0</v>
      </c>
      <c r="AT55" s="163">
        <f t="shared" si="6"/>
        <v>0</v>
      </c>
      <c r="AU55" s="163">
        <f t="shared" si="7"/>
        <v>5.8202627888248593</v>
      </c>
      <c r="AV55" s="163">
        <f t="shared" si="31"/>
        <v>1.149730428932727</v>
      </c>
      <c r="AW55" s="163">
        <f t="shared" si="8"/>
        <v>2.1340668668079432E-2</v>
      </c>
      <c r="AX55" s="163">
        <f t="shared" si="9"/>
        <v>0</v>
      </c>
      <c r="AY55" s="164">
        <f t="shared" si="32"/>
        <v>366.66158589070335</v>
      </c>
      <c r="AZ55" s="164">
        <f>IF($E55="","",IF(OR(AND($D55=Input!$C$6,$C55=12),$AN55=1),0,-AS56+AT56+AU56-AV56-AW56-AX56+AZ56))</f>
        <v>366.66160004071264</v>
      </c>
      <c r="BA55" s="154">
        <f t="shared" si="10"/>
        <v>1.4150009292279719E-5</v>
      </c>
      <c r="BC55" s="147">
        <f t="shared" si="33"/>
        <v>0.77013418248541943</v>
      </c>
      <c r="BD55" s="164">
        <f>IF(AND($C54=12,$D54=Input!$C$6),0,IF($E55="","",AT55+(AU55+BD56)/(1+$AK55)*MIN((1-AM55-AN55),1)))</f>
        <v>2365.9923797877314</v>
      </c>
      <c r="BE55" s="164">
        <f t="shared" si="11"/>
        <v>1822.1316071745564</v>
      </c>
      <c r="BF55" s="164">
        <f t="shared" si="34"/>
        <v>366.66160004071264</v>
      </c>
      <c r="BG55" s="164">
        <f t="shared" si="12"/>
        <v>282.37863159615006</v>
      </c>
      <c r="BH55" s="152"/>
      <c r="BI55" s="162">
        <f t="shared" si="13"/>
        <v>107.51697415897426</v>
      </c>
      <c r="BJ55" s="150">
        <f t="shared" si="14"/>
        <v>0</v>
      </c>
      <c r="BK55" s="163">
        <f t="shared" si="38"/>
        <v>0</v>
      </c>
      <c r="BL55" s="163">
        <f t="shared" si="15"/>
        <v>5.490494904480947</v>
      </c>
      <c r="BM55" s="163">
        <f t="shared" si="39"/>
        <v>0.36486921771739284</v>
      </c>
      <c r="BN55" s="163">
        <f t="shared" si="16"/>
        <v>5.6221013641026378E-3</v>
      </c>
      <c r="BO55" s="163">
        <f t="shared" si="17"/>
        <v>0</v>
      </c>
      <c r="BP55" s="164">
        <f t="shared" si="40"/>
        <v>102.39697057357482</v>
      </c>
      <c r="BQ55" s="164">
        <f>IF($E55="","",IF(AND($D55=Input!$C$6,$C55=12),0,-BJ56+BK56+BL56-BM56-BN56-BO56+BQ56))</f>
        <v>102.39698719170622</v>
      </c>
      <c r="BR55" s="161">
        <f t="shared" si="18"/>
        <v>0</v>
      </c>
      <c r="BT55" s="147">
        <f t="shared" si="19"/>
        <v>0.77013418248541943</v>
      </c>
      <c r="BU55" s="164">
        <f>IF(AND($C54=12,$D54=Input!$C$6),0,IF($E55="","",BK55+(BL55+BU56)/(1+$AK55)*MIN((1-T55-U55),1)))</f>
        <v>3580.0532629717509</v>
      </c>
      <c r="BV55" s="164">
        <f t="shared" si="20"/>
        <v>2757.1213929330079</v>
      </c>
      <c r="BW55" s="164">
        <f t="shared" si="21"/>
        <v>102.39698719170622</v>
      </c>
      <c r="BX55" s="164">
        <f t="shared" si="22"/>
        <v>78.859420019854625</v>
      </c>
    </row>
    <row r="56" spans="1:76" s="150" customFormat="1" x14ac:dyDescent="0.25">
      <c r="A56" s="150">
        <f t="shared" si="35"/>
        <v>52</v>
      </c>
      <c r="B56" s="150">
        <f t="shared" si="36"/>
        <v>5</v>
      </c>
      <c r="C56" s="150">
        <f t="shared" si="37"/>
        <v>4</v>
      </c>
      <c r="D56" s="150">
        <f>IF(E56="","",Input!$C$4+B56-1)</f>
        <v>49</v>
      </c>
      <c r="E56" s="150">
        <f>IF(OR(AND(C55=12,D55=Input!$C$6),E55=""),"",1)</f>
        <v>1</v>
      </c>
      <c r="F56" s="150">
        <f>IF(E56="","",Input!$C$8+B56-1)</f>
        <v>2022</v>
      </c>
      <c r="G56" s="151">
        <f>IF(E56="","",MAX(0,Input!$C$9-B56))</f>
        <v>15</v>
      </c>
      <c r="H56" s="152">
        <f>IF(E56="","",Input!$C$3)</f>
        <v>100000</v>
      </c>
      <c r="I56" s="153">
        <f>IF(E56="","",HLOOKUP($B56,Input!$C$13:$BT$14,2))</f>
        <v>2.2999999999999998</v>
      </c>
      <c r="J56" s="154"/>
      <c r="K56" s="155">
        <f>IF($E56="","",INDEX(Input!$C$16:$CP$16,1,$B56))</f>
        <v>2.76E-2</v>
      </c>
      <c r="L56" s="155">
        <f>IF($E56="","",Input!$C$37)</f>
        <v>1.4999999999999999E-2</v>
      </c>
      <c r="M56" s="155">
        <f t="shared" si="23"/>
        <v>4.2599999999999999E-2</v>
      </c>
      <c r="N56" s="155">
        <f t="shared" si="24"/>
        <v>3.4825160297176083E-3</v>
      </c>
      <c r="O56" s="147">
        <f>IF($E56="","",MIN(VLOOKUP(IF($B56&lt;=Input!$C$7,$B56,26),'Mortality Tables'!$A$41:$CW$67,IF($B56&lt;=Input!$C$7+1,Input!$C$4+2,$D56-Input!$C$7+2),0)*IF(B56&gt;20,Input!$C$22,1)/1000,1))</f>
        <v>6.7200000000000007E-4</v>
      </c>
      <c r="P56" s="147">
        <f>IF($E56="","",MIN(VLOOKUP(IF($B56&lt;=Input!$C$7,$B56,26),'Mortality Tables'!$A$12:$CW$37,IF($B56&lt;=Input!$C$7+1,Input!$C$4+2,$D56-Input!$C$7+2),0)*IF(B56&gt;20,Input!$C$22,1)/1000,1))</f>
        <v>8.3999999999999993E-4</v>
      </c>
      <c r="Q56" s="155">
        <f>IF($E56="","",Input!$C$21)</f>
        <v>5.0000000000000001E-3</v>
      </c>
      <c r="R56" s="159">
        <f>IF($E56="","",(1-Q56)^($F56-Input!$C$20))</f>
        <v>0.98014950062500006</v>
      </c>
      <c r="S56" s="147">
        <f t="shared" si="0"/>
        <v>6.5866046442000011E-4</v>
      </c>
      <c r="T56" s="147">
        <f t="shared" si="1"/>
        <v>5.490494904480947E-5</v>
      </c>
      <c r="U56" s="160">
        <f>IF($E56="","",IF($C56=12,INDEX(Input!$C$15:$CP$15,1,$B56),0))</f>
        <v>0</v>
      </c>
      <c r="V56" s="150">
        <f>IF(E56="","",IF(C56=1,IF($B56=1,Input!$C$33,Input!$C$34),0))</f>
        <v>0</v>
      </c>
      <c r="W56" s="156">
        <f>IF($E56="","",Input!$C$35)</f>
        <v>0.02</v>
      </c>
      <c r="X56" s="156">
        <f t="shared" si="2"/>
        <v>1.08243216</v>
      </c>
      <c r="Y56" s="154"/>
      <c r="Z56" s="147">
        <f>IF($E56="","",VLOOKUP($D56,'Mortality Margins &amp; Grading'!$AB$5:$AF$125,3,0)*IF(Summary!$D$25="Included Margin",IF(AND($B56&gt;Input!$C$9,Summary!$D$31&lt;&gt;"Included Margin"),0,1),0))</f>
        <v>3.9E-2</v>
      </c>
      <c r="AA56" s="147">
        <f>IF($E56="","",VLOOKUP($D56,'Mortality Margins &amp; Grading'!$AB$5:$AF$125,5,0)*IF(Summary!$D$25="Included Margin",IF(AND($B56&gt;Input!$C$9,Summary!$D$31&lt;&gt;"Included Margin"),0,1),0))</f>
        <v>0.2</v>
      </c>
      <c r="AB56" s="147">
        <f>IF($E56="","",IF(AND($B56&gt;Input!$C$9,Summary!$D$31&lt;&gt;"Included Margin"),1,IF(Summary!$D$25="Included Margin",VLOOKUP($B56,'Mortality Margins &amp; Grading'!$AI$5:$AR$125,MATCH('Mortality Margins &amp; Grading'!$AQ$4,'Mortality Margins &amp; Grading'!$AI$4:$AR$4,0),0),1)))</f>
        <v>1</v>
      </c>
      <c r="AC56" s="154"/>
      <c r="AD56" s="158">
        <f>IF(E56="","",Input!$C$48*IF(Summary!$D$30="Included Margin",IF(AND($B56&gt;Input!$C$9,Summary!$D$31&lt;&gt;"Included Margin"),0,1),0))</f>
        <v>-4.4999999999999997E-3</v>
      </c>
      <c r="AE56" s="159">
        <f>IF(E56="","",IF(Summary!$D$26="Included Margin",IF(AND($B56&gt;Input!$C$9,Summary!$D$31&lt;&gt;"Included Margin"),1,1/$R56),1))</f>
        <v>1.0202525220513219</v>
      </c>
      <c r="AF56" s="160">
        <f>IF(E56="","",IF(AND($B56&gt;=Input!$C$9,$C56=12,Summary!$D$31="Included Margin",$U56&gt;0),1/U56-1,IF($B56&gt;=Input!$C$9,0,Input!$C$45*IF(Summary!$D$27="Included Margin",1,0))))</f>
        <v>-0.1</v>
      </c>
      <c r="AG56" s="160">
        <f>IF(E56="","",Input!$C$46*IF(Summary!$D$28="Included Margin",IF(AND($B56&gt;Input!$C$9,Summary!$D$31&lt;&gt;"Included Margin"),0,1),0))</f>
        <v>0.02</v>
      </c>
      <c r="AH56" s="158">
        <f>IF(E56="","",Input!$C$47*IF(Summary!$D$29="Included Margin",IF(AND($B56&gt;Input!$C$9,Summary!$D$31&lt;&gt;"Included Margin"),0,1),0))</f>
        <v>2.5000000000000001E-3</v>
      </c>
      <c r="AI56" s="154"/>
      <c r="AJ56" s="158">
        <f t="shared" si="25"/>
        <v>3.8100000000000002E-2</v>
      </c>
      <c r="AK56" s="155">
        <f t="shared" si="26"/>
        <v>3.1208697401348129E-3</v>
      </c>
      <c r="AL56" s="147">
        <f t="shared" si="27"/>
        <v>6.9820800000000008E-4</v>
      </c>
      <c r="AM56" s="147">
        <f t="shared" si="3"/>
        <v>5.8202627888248593E-5</v>
      </c>
      <c r="AN56" s="160">
        <f t="shared" si="28"/>
        <v>0</v>
      </c>
      <c r="AO56" s="161">
        <f t="shared" si="29"/>
        <v>0</v>
      </c>
      <c r="AP56" s="156">
        <f t="shared" si="4"/>
        <v>1.0930833187890623</v>
      </c>
      <c r="AQ56" s="152"/>
      <c r="AR56" s="162">
        <f t="shared" si="5"/>
        <v>366.66158589070329</v>
      </c>
      <c r="AS56" s="150">
        <f t="shared" si="30"/>
        <v>0</v>
      </c>
      <c r="AT56" s="163">
        <f t="shared" si="6"/>
        <v>0</v>
      </c>
      <c r="AU56" s="163">
        <f t="shared" si="7"/>
        <v>5.8202627888248593</v>
      </c>
      <c r="AV56" s="163">
        <f t="shared" si="31"/>
        <v>1.1352209072674995</v>
      </c>
      <c r="AW56" s="163">
        <f t="shared" si="8"/>
        <v>2.1069213202382208E-2</v>
      </c>
      <c r="AX56" s="163">
        <f t="shared" si="9"/>
        <v>0</v>
      </c>
      <c r="AY56" s="164">
        <f t="shared" si="32"/>
        <v>361.99761322234838</v>
      </c>
      <c r="AZ56" s="164">
        <f>IF($E56="","",IF(OR(AND($D56=Input!$C$6,$C56=12),$AN56=1),0,-AS57+AT57+AU57-AV57-AW57-AX57+AZ57))</f>
        <v>361.99762737235767</v>
      </c>
      <c r="BA56" s="154">
        <f t="shared" si="10"/>
        <v>1.4150009292279719E-5</v>
      </c>
      <c r="BC56" s="147">
        <f t="shared" si="33"/>
        <v>0.77009189830737235</v>
      </c>
      <c r="BD56" s="164">
        <f>IF(AND($C55=12,$D55=Input!$C$6),0,IF($E56="","",AT56+(AU56+BD57)/(1+$AK56)*MIN((1-AM56-AN56),1)))</f>
        <v>2367.6942158023603</v>
      </c>
      <c r="BE56" s="164">
        <f t="shared" si="11"/>
        <v>1823.3421332586249</v>
      </c>
      <c r="BF56" s="164">
        <f t="shared" si="34"/>
        <v>361.99762737235767</v>
      </c>
      <c r="BG56" s="164">
        <f t="shared" si="12"/>
        <v>278.77144004594373</v>
      </c>
      <c r="BH56" s="152"/>
      <c r="BI56" s="162">
        <f t="shared" si="13"/>
        <v>102.39697057357481</v>
      </c>
      <c r="BJ56" s="150">
        <f t="shared" si="14"/>
        <v>0</v>
      </c>
      <c r="BK56" s="163">
        <f t="shared" si="38"/>
        <v>0</v>
      </c>
      <c r="BL56" s="163">
        <f t="shared" si="15"/>
        <v>5.490494904480947</v>
      </c>
      <c r="BM56" s="163">
        <f t="shared" si="39"/>
        <v>0.34703872315902762</v>
      </c>
      <c r="BN56" s="163">
        <f t="shared" si="16"/>
        <v>5.339993356616092E-3</v>
      </c>
      <c r="BO56" s="163">
        <f t="shared" si="17"/>
        <v>0</v>
      </c>
      <c r="BP56" s="164">
        <f t="shared" si="40"/>
        <v>97.258854385609496</v>
      </c>
      <c r="BQ56" s="164">
        <f>IF($E56="","",IF(AND($D56=Input!$C$6,$C56=12),0,-BJ57+BK57+BL57-BM57-BN57-BO57+BQ57))</f>
        <v>97.258871003740907</v>
      </c>
      <c r="BR56" s="161">
        <f t="shared" si="18"/>
        <v>0</v>
      </c>
      <c r="BT56" s="147">
        <f t="shared" si="19"/>
        <v>0.77009189830737235</v>
      </c>
      <c r="BU56" s="164">
        <f>IF(AND($C55=12,$D55=Input!$C$6),0,IF($E56="","",BK56+(BL56+BU57)/(1+$AK56)*MIN((1-T56-U56),1)))</f>
        <v>3585.9328348786694</v>
      </c>
      <c r="BV56" s="164">
        <f t="shared" si="20"/>
        <v>2761.4978240144519</v>
      </c>
      <c r="BW56" s="164">
        <f t="shared" si="21"/>
        <v>97.258871003740907</v>
      </c>
      <c r="BX56" s="164">
        <f t="shared" si="22"/>
        <v>74.898268598502682</v>
      </c>
    </row>
    <row r="57" spans="1:76" s="150" customFormat="1" x14ac:dyDescent="0.25">
      <c r="A57" s="150">
        <f t="shared" si="35"/>
        <v>53</v>
      </c>
      <c r="B57" s="150">
        <f t="shared" si="36"/>
        <v>5</v>
      </c>
      <c r="C57" s="150">
        <f t="shared" si="37"/>
        <v>5</v>
      </c>
      <c r="D57" s="150">
        <f>IF(E57="","",Input!$C$4+B57-1)</f>
        <v>49</v>
      </c>
      <c r="E57" s="150">
        <f>IF(OR(AND(C56=12,D56=Input!$C$6),E56=""),"",1)</f>
        <v>1</v>
      </c>
      <c r="F57" s="150">
        <f>IF(E57="","",Input!$C$8+B57-1)</f>
        <v>2022</v>
      </c>
      <c r="G57" s="151">
        <f>IF(E57="","",MAX(0,Input!$C$9-B57))</f>
        <v>15</v>
      </c>
      <c r="H57" s="152">
        <f>IF(E57="","",Input!$C$3)</f>
        <v>100000</v>
      </c>
      <c r="I57" s="153">
        <f>IF(E57="","",HLOOKUP($B57,Input!$C$13:$BT$14,2))</f>
        <v>2.2999999999999998</v>
      </c>
      <c r="J57" s="154"/>
      <c r="K57" s="155">
        <f>IF($E57="","",INDEX(Input!$C$16:$CP$16,1,$B57))</f>
        <v>2.76E-2</v>
      </c>
      <c r="L57" s="155">
        <f>IF($E57="","",Input!$C$37)</f>
        <v>1.4999999999999999E-2</v>
      </c>
      <c r="M57" s="155">
        <f t="shared" si="23"/>
        <v>4.2599999999999999E-2</v>
      </c>
      <c r="N57" s="155">
        <f t="shared" si="24"/>
        <v>3.4825160297176083E-3</v>
      </c>
      <c r="O57" s="147">
        <f>IF($E57="","",MIN(VLOOKUP(IF($B57&lt;=Input!$C$7,$B57,26),'Mortality Tables'!$A$41:$CW$67,IF($B57&lt;=Input!$C$7+1,Input!$C$4+2,$D57-Input!$C$7+2),0)*IF(B57&gt;20,Input!$C$22,1)/1000,1))</f>
        <v>6.7200000000000007E-4</v>
      </c>
      <c r="P57" s="147">
        <f>IF($E57="","",MIN(VLOOKUP(IF($B57&lt;=Input!$C$7,$B57,26),'Mortality Tables'!$A$12:$CW$37,IF($B57&lt;=Input!$C$7+1,Input!$C$4+2,$D57-Input!$C$7+2),0)*IF(B57&gt;20,Input!$C$22,1)/1000,1))</f>
        <v>8.3999999999999993E-4</v>
      </c>
      <c r="Q57" s="155">
        <f>IF($E57="","",Input!$C$21)</f>
        <v>5.0000000000000001E-3</v>
      </c>
      <c r="R57" s="159">
        <f>IF($E57="","",(1-Q57)^($F57-Input!$C$20))</f>
        <v>0.98014950062500006</v>
      </c>
      <c r="S57" s="147">
        <f t="shared" si="0"/>
        <v>6.5866046442000011E-4</v>
      </c>
      <c r="T57" s="147">
        <f t="shared" si="1"/>
        <v>5.490494904480947E-5</v>
      </c>
      <c r="U57" s="160">
        <f>IF($E57="","",IF($C57=12,INDEX(Input!$C$15:$CP$15,1,$B57),0))</f>
        <v>0</v>
      </c>
      <c r="V57" s="150">
        <f>IF(E57="","",IF(C57=1,IF($B57=1,Input!$C$33,Input!$C$34),0))</f>
        <v>0</v>
      </c>
      <c r="W57" s="156">
        <f>IF($E57="","",Input!$C$35)</f>
        <v>0.02</v>
      </c>
      <c r="X57" s="156">
        <f t="shared" si="2"/>
        <v>1.08243216</v>
      </c>
      <c r="Y57" s="154"/>
      <c r="Z57" s="147">
        <f>IF($E57="","",VLOOKUP($D57,'Mortality Margins &amp; Grading'!$AB$5:$AF$125,3,0)*IF(Summary!$D$25="Included Margin",IF(AND($B57&gt;Input!$C$9,Summary!$D$31&lt;&gt;"Included Margin"),0,1),0))</f>
        <v>3.9E-2</v>
      </c>
      <c r="AA57" s="147">
        <f>IF($E57="","",VLOOKUP($D57,'Mortality Margins &amp; Grading'!$AB$5:$AF$125,5,0)*IF(Summary!$D$25="Included Margin",IF(AND($B57&gt;Input!$C$9,Summary!$D$31&lt;&gt;"Included Margin"),0,1),0))</f>
        <v>0.2</v>
      </c>
      <c r="AB57" s="147">
        <f>IF($E57="","",IF(AND($B57&gt;Input!$C$9,Summary!$D$31&lt;&gt;"Included Margin"),1,IF(Summary!$D$25="Included Margin",VLOOKUP($B57,'Mortality Margins &amp; Grading'!$AI$5:$AR$125,MATCH('Mortality Margins &amp; Grading'!$AQ$4,'Mortality Margins &amp; Grading'!$AI$4:$AR$4,0),0),1)))</f>
        <v>1</v>
      </c>
      <c r="AC57" s="154"/>
      <c r="AD57" s="158">
        <f>IF(E57="","",Input!$C$48*IF(Summary!$D$30="Included Margin",IF(AND($B57&gt;Input!$C$9,Summary!$D$31&lt;&gt;"Included Margin"),0,1),0))</f>
        <v>-4.4999999999999997E-3</v>
      </c>
      <c r="AE57" s="159">
        <f>IF(E57="","",IF(Summary!$D$26="Included Margin",IF(AND($B57&gt;Input!$C$9,Summary!$D$31&lt;&gt;"Included Margin"),1,1/$R57),1))</f>
        <v>1.0202525220513219</v>
      </c>
      <c r="AF57" s="160">
        <f>IF(E57="","",IF(AND($B57&gt;=Input!$C$9,$C57=12,Summary!$D$31="Included Margin",$U57&gt;0),1/U57-1,IF($B57&gt;=Input!$C$9,0,Input!$C$45*IF(Summary!$D$27="Included Margin",1,0))))</f>
        <v>-0.1</v>
      </c>
      <c r="AG57" s="160">
        <f>IF(E57="","",Input!$C$46*IF(Summary!$D$28="Included Margin",IF(AND($B57&gt;Input!$C$9,Summary!$D$31&lt;&gt;"Included Margin"),0,1),0))</f>
        <v>0.02</v>
      </c>
      <c r="AH57" s="158">
        <f>IF(E57="","",Input!$C$47*IF(Summary!$D$29="Included Margin",IF(AND($B57&gt;Input!$C$9,Summary!$D$31&lt;&gt;"Included Margin"),0,1),0))</f>
        <v>2.5000000000000001E-3</v>
      </c>
      <c r="AI57" s="154"/>
      <c r="AJ57" s="158">
        <f t="shared" si="25"/>
        <v>3.8100000000000002E-2</v>
      </c>
      <c r="AK57" s="155">
        <f t="shared" si="26"/>
        <v>3.1208697401348129E-3</v>
      </c>
      <c r="AL57" s="147">
        <f t="shared" si="27"/>
        <v>6.9820800000000008E-4</v>
      </c>
      <c r="AM57" s="147">
        <f t="shared" si="3"/>
        <v>5.8202627888248593E-5</v>
      </c>
      <c r="AN57" s="160">
        <f t="shared" si="28"/>
        <v>0</v>
      </c>
      <c r="AO57" s="161">
        <f t="shared" si="29"/>
        <v>0</v>
      </c>
      <c r="AP57" s="156">
        <f t="shared" si="4"/>
        <v>1.0930833187890623</v>
      </c>
      <c r="AQ57" s="152"/>
      <c r="AR57" s="162">
        <f t="shared" si="5"/>
        <v>361.99761322234832</v>
      </c>
      <c r="AS57" s="150">
        <f t="shared" si="30"/>
        <v>0</v>
      </c>
      <c r="AT57" s="163">
        <f t="shared" si="6"/>
        <v>0</v>
      </c>
      <c r="AU57" s="163">
        <f t="shared" si="7"/>
        <v>5.8202627888248593</v>
      </c>
      <c r="AV57" s="163">
        <f t="shared" si="31"/>
        <v>1.1206652560980146</v>
      </c>
      <c r="AW57" s="163">
        <f t="shared" si="8"/>
        <v>2.0796894709884405E-2</v>
      </c>
      <c r="AX57" s="163">
        <f t="shared" si="9"/>
        <v>0</v>
      </c>
      <c r="AY57" s="164">
        <f t="shared" si="32"/>
        <v>357.31881258433134</v>
      </c>
      <c r="AZ57" s="164">
        <f>IF($E57="","",IF(OR(AND($D57=Input!$C$6,$C57=12),$AN57=1),0,-AS58+AT58+AU58-AV58-AW58-AX58+AZ58))</f>
        <v>357.31882673434069</v>
      </c>
      <c r="BA57" s="154">
        <f t="shared" si="10"/>
        <v>1.4150009349123138E-5</v>
      </c>
      <c r="BC57" s="147">
        <f t="shared" si="33"/>
        <v>0.77004961645093595</v>
      </c>
      <c r="BD57" s="164">
        <f>IF(AND($C56=12,$D56=Input!$C$6),0,IF($E57="","",AT57+(AU57+BD58)/(1+$AK57)*MIN((1-AM57-AN57),1)))</f>
        <v>2369.4014623917483</v>
      </c>
      <c r="BE57" s="164">
        <f t="shared" si="11"/>
        <v>1824.5566873330524</v>
      </c>
      <c r="BF57" s="164">
        <f t="shared" si="34"/>
        <v>357.31882673434069</v>
      </c>
      <c r="BG57" s="164">
        <f t="shared" si="12"/>
        <v>275.15322547747746</v>
      </c>
      <c r="BH57" s="152"/>
      <c r="BI57" s="162">
        <f t="shared" si="13"/>
        <v>97.258854385609496</v>
      </c>
      <c r="BJ57" s="150">
        <f t="shared" si="14"/>
        <v>0</v>
      </c>
      <c r="BK57" s="163">
        <f t="shared" si="38"/>
        <v>0</v>
      </c>
      <c r="BL57" s="163">
        <f t="shared" si="15"/>
        <v>5.490494904480947</v>
      </c>
      <c r="BM57" s="163">
        <f t="shared" si="39"/>
        <v>0.32914515117188692</v>
      </c>
      <c r="BN57" s="163">
        <f t="shared" si="16"/>
        <v>5.0568873595510195E-3</v>
      </c>
      <c r="BO57" s="163">
        <f t="shared" si="17"/>
        <v>0</v>
      </c>
      <c r="BP57" s="164">
        <f t="shared" si="40"/>
        <v>92.10256151966</v>
      </c>
      <c r="BQ57" s="164">
        <f>IF($E57="","",IF(AND($D57=Input!$C$6,$C57=12),0,-BJ58+BK58+BL58-BM58-BN58-BO58+BQ58))</f>
        <v>92.102578137791397</v>
      </c>
      <c r="BR57" s="161">
        <f t="shared" si="18"/>
        <v>0</v>
      </c>
      <c r="BT57" s="147">
        <f t="shared" si="19"/>
        <v>0.77004961645093595</v>
      </c>
      <c r="BU57" s="164">
        <f>IF(AND($C56=12,$D56=Input!$C$6),0,IF($E57="","",BK57+(BL57+BU58)/(1+$AK57)*MIN((1-T57-U57),1)))</f>
        <v>3591.8310800064855</v>
      </c>
      <c r="BV57" s="164">
        <f t="shared" si="20"/>
        <v>2765.8881455155451</v>
      </c>
      <c r="BW57" s="164">
        <f t="shared" si="21"/>
        <v>92.102578137791397</v>
      </c>
      <c r="BX57" s="164">
        <f t="shared" si="22"/>
        <v>70.923554969148626</v>
      </c>
    </row>
    <row r="58" spans="1:76" s="150" customFormat="1" x14ac:dyDescent="0.25">
      <c r="A58" s="150">
        <f t="shared" si="35"/>
        <v>54</v>
      </c>
      <c r="B58" s="150">
        <f t="shared" si="36"/>
        <v>5</v>
      </c>
      <c r="C58" s="150">
        <f t="shared" si="37"/>
        <v>6</v>
      </c>
      <c r="D58" s="150">
        <f>IF(E58="","",Input!$C$4+B58-1)</f>
        <v>49</v>
      </c>
      <c r="E58" s="150">
        <f>IF(OR(AND(C57=12,D57=Input!$C$6),E57=""),"",1)</f>
        <v>1</v>
      </c>
      <c r="F58" s="150">
        <f>IF(E58="","",Input!$C$8+B58-1)</f>
        <v>2022</v>
      </c>
      <c r="G58" s="151">
        <f>IF(E58="","",MAX(0,Input!$C$9-B58))</f>
        <v>15</v>
      </c>
      <c r="H58" s="152">
        <f>IF(E58="","",Input!$C$3)</f>
        <v>100000</v>
      </c>
      <c r="I58" s="153">
        <f>IF(E58="","",HLOOKUP($B58,Input!$C$13:$BT$14,2))</f>
        <v>2.2999999999999998</v>
      </c>
      <c r="J58" s="154"/>
      <c r="K58" s="155">
        <f>IF($E58="","",INDEX(Input!$C$16:$CP$16,1,$B58))</f>
        <v>2.76E-2</v>
      </c>
      <c r="L58" s="155">
        <f>IF($E58="","",Input!$C$37)</f>
        <v>1.4999999999999999E-2</v>
      </c>
      <c r="M58" s="155">
        <f t="shared" si="23"/>
        <v>4.2599999999999999E-2</v>
      </c>
      <c r="N58" s="155">
        <f t="shared" si="24"/>
        <v>3.4825160297176083E-3</v>
      </c>
      <c r="O58" s="147">
        <f>IF($E58="","",MIN(VLOOKUP(IF($B58&lt;=Input!$C$7,$B58,26),'Mortality Tables'!$A$41:$CW$67,IF($B58&lt;=Input!$C$7+1,Input!$C$4+2,$D58-Input!$C$7+2),0)*IF(B58&gt;20,Input!$C$22,1)/1000,1))</f>
        <v>6.7200000000000007E-4</v>
      </c>
      <c r="P58" s="147">
        <f>IF($E58="","",MIN(VLOOKUP(IF($B58&lt;=Input!$C$7,$B58,26),'Mortality Tables'!$A$12:$CW$37,IF($B58&lt;=Input!$C$7+1,Input!$C$4+2,$D58-Input!$C$7+2),0)*IF(B58&gt;20,Input!$C$22,1)/1000,1))</f>
        <v>8.3999999999999993E-4</v>
      </c>
      <c r="Q58" s="155">
        <f>IF($E58="","",Input!$C$21)</f>
        <v>5.0000000000000001E-3</v>
      </c>
      <c r="R58" s="159">
        <f>IF($E58="","",(1-Q58)^($F58-Input!$C$20))</f>
        <v>0.98014950062500006</v>
      </c>
      <c r="S58" s="147">
        <f t="shared" si="0"/>
        <v>6.5866046442000011E-4</v>
      </c>
      <c r="T58" s="147">
        <f t="shared" si="1"/>
        <v>5.490494904480947E-5</v>
      </c>
      <c r="U58" s="160">
        <f>IF($E58="","",IF($C58=12,INDEX(Input!$C$15:$CP$15,1,$B58),0))</f>
        <v>0</v>
      </c>
      <c r="V58" s="150">
        <f>IF(E58="","",IF(C58=1,IF($B58=1,Input!$C$33,Input!$C$34),0))</f>
        <v>0</v>
      </c>
      <c r="W58" s="156">
        <f>IF($E58="","",Input!$C$35)</f>
        <v>0.02</v>
      </c>
      <c r="X58" s="156">
        <f t="shared" si="2"/>
        <v>1.08243216</v>
      </c>
      <c r="Y58" s="154"/>
      <c r="Z58" s="147">
        <f>IF($E58="","",VLOOKUP($D58,'Mortality Margins &amp; Grading'!$AB$5:$AF$125,3,0)*IF(Summary!$D$25="Included Margin",IF(AND($B58&gt;Input!$C$9,Summary!$D$31&lt;&gt;"Included Margin"),0,1),0))</f>
        <v>3.9E-2</v>
      </c>
      <c r="AA58" s="147">
        <f>IF($E58="","",VLOOKUP($D58,'Mortality Margins &amp; Grading'!$AB$5:$AF$125,5,0)*IF(Summary!$D$25="Included Margin",IF(AND($B58&gt;Input!$C$9,Summary!$D$31&lt;&gt;"Included Margin"),0,1),0))</f>
        <v>0.2</v>
      </c>
      <c r="AB58" s="147">
        <f>IF($E58="","",IF(AND($B58&gt;Input!$C$9,Summary!$D$31&lt;&gt;"Included Margin"),1,IF(Summary!$D$25="Included Margin",VLOOKUP($B58,'Mortality Margins &amp; Grading'!$AI$5:$AR$125,MATCH('Mortality Margins &amp; Grading'!$AQ$4,'Mortality Margins &amp; Grading'!$AI$4:$AR$4,0),0),1)))</f>
        <v>1</v>
      </c>
      <c r="AC58" s="154"/>
      <c r="AD58" s="158">
        <f>IF(E58="","",Input!$C$48*IF(Summary!$D$30="Included Margin",IF(AND($B58&gt;Input!$C$9,Summary!$D$31&lt;&gt;"Included Margin"),0,1),0))</f>
        <v>-4.4999999999999997E-3</v>
      </c>
      <c r="AE58" s="159">
        <f>IF(E58="","",IF(Summary!$D$26="Included Margin",IF(AND($B58&gt;Input!$C$9,Summary!$D$31&lt;&gt;"Included Margin"),1,1/$R58),1))</f>
        <v>1.0202525220513219</v>
      </c>
      <c r="AF58" s="160">
        <f>IF(E58="","",IF(AND($B58&gt;=Input!$C$9,$C58=12,Summary!$D$31="Included Margin",$U58&gt;0),1/U58-1,IF($B58&gt;=Input!$C$9,0,Input!$C$45*IF(Summary!$D$27="Included Margin",1,0))))</f>
        <v>-0.1</v>
      </c>
      <c r="AG58" s="160">
        <f>IF(E58="","",Input!$C$46*IF(Summary!$D$28="Included Margin",IF(AND($B58&gt;Input!$C$9,Summary!$D$31&lt;&gt;"Included Margin"),0,1),0))</f>
        <v>0.02</v>
      </c>
      <c r="AH58" s="158">
        <f>IF(E58="","",Input!$C$47*IF(Summary!$D$29="Included Margin",IF(AND($B58&gt;Input!$C$9,Summary!$D$31&lt;&gt;"Included Margin"),0,1),0))</f>
        <v>2.5000000000000001E-3</v>
      </c>
      <c r="AI58" s="154"/>
      <c r="AJ58" s="158">
        <f t="shared" si="25"/>
        <v>3.8100000000000002E-2</v>
      </c>
      <c r="AK58" s="155">
        <f t="shared" si="26"/>
        <v>3.1208697401348129E-3</v>
      </c>
      <c r="AL58" s="147">
        <f t="shared" si="27"/>
        <v>6.9820800000000008E-4</v>
      </c>
      <c r="AM58" s="147">
        <f t="shared" si="3"/>
        <v>5.8202627888248593E-5</v>
      </c>
      <c r="AN58" s="160">
        <f t="shared" si="28"/>
        <v>0</v>
      </c>
      <c r="AO58" s="161">
        <f t="shared" si="29"/>
        <v>0</v>
      </c>
      <c r="AP58" s="156">
        <f t="shared" si="4"/>
        <v>1.0930833187890623</v>
      </c>
      <c r="AQ58" s="152"/>
      <c r="AR58" s="162">
        <f t="shared" si="5"/>
        <v>357.31881258433128</v>
      </c>
      <c r="AS58" s="150">
        <f t="shared" si="30"/>
        <v>0</v>
      </c>
      <c r="AT58" s="163">
        <f t="shared" si="6"/>
        <v>0</v>
      </c>
      <c r="AU58" s="163">
        <f t="shared" si="7"/>
        <v>5.8202627888248593</v>
      </c>
      <c r="AV58" s="163">
        <f t="shared" si="31"/>
        <v>1.1060633287667039</v>
      </c>
      <c r="AW58" s="163">
        <f t="shared" si="8"/>
        <v>2.0523710446801676E-2</v>
      </c>
      <c r="AX58" s="163">
        <f t="shared" si="9"/>
        <v>0</v>
      </c>
      <c r="AY58" s="164">
        <f t="shared" si="32"/>
        <v>352.62513683471997</v>
      </c>
      <c r="AZ58" s="164">
        <f>IF($E58="","",IF(OR(AND($D58=Input!$C$6,$C58=12),$AN58=1),0,-AS59+AT59+AU59-AV59-AW59-AX59+AZ59))</f>
        <v>352.62515098472932</v>
      </c>
      <c r="BA58" s="154">
        <f t="shared" si="10"/>
        <v>1.4150009349123138E-5</v>
      </c>
      <c r="BC58" s="147">
        <f t="shared" si="33"/>
        <v>0.77000733691598278</v>
      </c>
      <c r="BD58" s="164">
        <f>IF(AND($C57=12,$D57=Input!$C$6),0,IF($E58="","",AT58+(AU58+BD59)/(1+$AK58)*MIN((1-AM58-AN58),1)))</f>
        <v>2371.1141367575042</v>
      </c>
      <c r="BE58" s="164">
        <f t="shared" si="11"/>
        <v>1825.7752819684852</v>
      </c>
      <c r="BF58" s="164">
        <f t="shared" si="34"/>
        <v>352.62515098472932</v>
      </c>
      <c r="BG58" s="164">
        <f t="shared" si="12"/>
        <v>271.52395343934774</v>
      </c>
      <c r="BH58" s="152"/>
      <c r="BI58" s="162">
        <f t="shared" si="13"/>
        <v>92.102561519659986</v>
      </c>
      <c r="BJ58" s="150">
        <f t="shared" si="14"/>
        <v>0</v>
      </c>
      <c r="BK58" s="163">
        <f t="shared" si="38"/>
        <v>0</v>
      </c>
      <c r="BL58" s="163">
        <f t="shared" si="15"/>
        <v>5.490494904480947</v>
      </c>
      <c r="BM58" s="163">
        <f t="shared" si="39"/>
        <v>0.3111882786122992</v>
      </c>
      <c r="BN58" s="163">
        <f t="shared" si="16"/>
        <v>4.7727798424043065E-3</v>
      </c>
      <c r="BO58" s="163">
        <f t="shared" si="17"/>
        <v>0</v>
      </c>
      <c r="BP58" s="164">
        <f t="shared" si="40"/>
        <v>86.928027673633736</v>
      </c>
      <c r="BQ58" s="164">
        <f>IF($E58="","",IF(AND($D58=Input!$C$6,$C58=12),0,-BJ59+BK59+BL59-BM59-BN59-BO59+BQ59))</f>
        <v>86.928044291765147</v>
      </c>
      <c r="BR58" s="161">
        <f t="shared" si="18"/>
        <v>0</v>
      </c>
      <c r="BT58" s="147">
        <f t="shared" si="19"/>
        <v>0.77000733691598278</v>
      </c>
      <c r="BU58" s="164">
        <f>IF(AND($C57=12,$D57=Input!$C$6),0,IF($E58="","",BK58+(BL58+BU59)/(1+$AK58)*MIN((1-T58-U58),1)))</f>
        <v>3597.748057660398</v>
      </c>
      <c r="BV58" s="164">
        <f t="shared" si="20"/>
        <v>2770.2924007737329</v>
      </c>
      <c r="BW58" s="164">
        <f t="shared" si="21"/>
        <v>86.928044291765147</v>
      </c>
      <c r="BX58" s="164">
        <f t="shared" si="22"/>
        <v>66.935231888416681</v>
      </c>
    </row>
    <row r="59" spans="1:76" s="150" customFormat="1" x14ac:dyDescent="0.25">
      <c r="A59" s="150">
        <f t="shared" si="35"/>
        <v>55</v>
      </c>
      <c r="B59" s="150">
        <f t="shared" si="36"/>
        <v>5</v>
      </c>
      <c r="C59" s="150">
        <f t="shared" si="37"/>
        <v>7</v>
      </c>
      <c r="D59" s="150">
        <f>IF(E59="","",Input!$C$4+B59-1)</f>
        <v>49</v>
      </c>
      <c r="E59" s="150">
        <f>IF(OR(AND(C58=12,D58=Input!$C$6),E58=""),"",1)</f>
        <v>1</v>
      </c>
      <c r="F59" s="150">
        <f>IF(E59="","",Input!$C$8+B59-1)</f>
        <v>2022</v>
      </c>
      <c r="G59" s="151">
        <f>IF(E59="","",MAX(0,Input!$C$9-B59))</f>
        <v>15</v>
      </c>
      <c r="H59" s="152">
        <f>IF(E59="","",Input!$C$3)</f>
        <v>100000</v>
      </c>
      <c r="I59" s="153">
        <f>IF(E59="","",HLOOKUP($B59,Input!$C$13:$BT$14,2))</f>
        <v>2.2999999999999998</v>
      </c>
      <c r="J59" s="154"/>
      <c r="K59" s="155">
        <f>IF($E59="","",INDEX(Input!$C$16:$CP$16,1,$B59))</f>
        <v>2.76E-2</v>
      </c>
      <c r="L59" s="155">
        <f>IF($E59="","",Input!$C$37)</f>
        <v>1.4999999999999999E-2</v>
      </c>
      <c r="M59" s="155">
        <f t="shared" si="23"/>
        <v>4.2599999999999999E-2</v>
      </c>
      <c r="N59" s="155">
        <f t="shared" si="24"/>
        <v>3.4825160297176083E-3</v>
      </c>
      <c r="O59" s="147">
        <f>IF($E59="","",MIN(VLOOKUP(IF($B59&lt;=Input!$C$7,$B59,26),'Mortality Tables'!$A$41:$CW$67,IF($B59&lt;=Input!$C$7+1,Input!$C$4+2,$D59-Input!$C$7+2),0)*IF(B59&gt;20,Input!$C$22,1)/1000,1))</f>
        <v>6.7200000000000007E-4</v>
      </c>
      <c r="P59" s="147">
        <f>IF($E59="","",MIN(VLOOKUP(IF($B59&lt;=Input!$C$7,$B59,26),'Mortality Tables'!$A$12:$CW$37,IF($B59&lt;=Input!$C$7+1,Input!$C$4+2,$D59-Input!$C$7+2),0)*IF(B59&gt;20,Input!$C$22,1)/1000,1))</f>
        <v>8.3999999999999993E-4</v>
      </c>
      <c r="Q59" s="155">
        <f>IF($E59="","",Input!$C$21)</f>
        <v>5.0000000000000001E-3</v>
      </c>
      <c r="R59" s="159">
        <f>IF($E59="","",(1-Q59)^($F59-Input!$C$20))</f>
        <v>0.98014950062500006</v>
      </c>
      <c r="S59" s="147">
        <f t="shared" si="0"/>
        <v>6.5866046442000011E-4</v>
      </c>
      <c r="T59" s="147">
        <f t="shared" si="1"/>
        <v>5.490494904480947E-5</v>
      </c>
      <c r="U59" s="160">
        <f>IF($E59="","",IF($C59=12,INDEX(Input!$C$15:$CP$15,1,$B59),0))</f>
        <v>0</v>
      </c>
      <c r="V59" s="150">
        <f>IF(E59="","",IF(C59=1,IF($B59=1,Input!$C$33,Input!$C$34),0))</f>
        <v>0</v>
      </c>
      <c r="W59" s="156">
        <f>IF($E59="","",Input!$C$35)</f>
        <v>0.02</v>
      </c>
      <c r="X59" s="156">
        <f t="shared" si="2"/>
        <v>1.08243216</v>
      </c>
      <c r="Y59" s="154"/>
      <c r="Z59" s="147">
        <f>IF($E59="","",VLOOKUP($D59,'Mortality Margins &amp; Grading'!$AB$5:$AF$125,3,0)*IF(Summary!$D$25="Included Margin",IF(AND($B59&gt;Input!$C$9,Summary!$D$31&lt;&gt;"Included Margin"),0,1),0))</f>
        <v>3.9E-2</v>
      </c>
      <c r="AA59" s="147">
        <f>IF($E59="","",VLOOKUP($D59,'Mortality Margins &amp; Grading'!$AB$5:$AF$125,5,0)*IF(Summary!$D$25="Included Margin",IF(AND($B59&gt;Input!$C$9,Summary!$D$31&lt;&gt;"Included Margin"),0,1),0))</f>
        <v>0.2</v>
      </c>
      <c r="AB59" s="147">
        <f>IF($E59="","",IF(AND($B59&gt;Input!$C$9,Summary!$D$31&lt;&gt;"Included Margin"),1,IF(Summary!$D$25="Included Margin",VLOOKUP($B59,'Mortality Margins &amp; Grading'!$AI$5:$AR$125,MATCH('Mortality Margins &amp; Grading'!$AQ$4,'Mortality Margins &amp; Grading'!$AI$4:$AR$4,0),0),1)))</f>
        <v>1</v>
      </c>
      <c r="AC59" s="154"/>
      <c r="AD59" s="158">
        <f>IF(E59="","",Input!$C$48*IF(Summary!$D$30="Included Margin",IF(AND($B59&gt;Input!$C$9,Summary!$D$31&lt;&gt;"Included Margin"),0,1),0))</f>
        <v>-4.4999999999999997E-3</v>
      </c>
      <c r="AE59" s="159">
        <f>IF(E59="","",IF(Summary!$D$26="Included Margin",IF(AND($B59&gt;Input!$C$9,Summary!$D$31&lt;&gt;"Included Margin"),1,1/$R59),1))</f>
        <v>1.0202525220513219</v>
      </c>
      <c r="AF59" s="160">
        <f>IF(E59="","",IF(AND($B59&gt;=Input!$C$9,$C59=12,Summary!$D$31="Included Margin",$U59&gt;0),1/U59-1,IF($B59&gt;=Input!$C$9,0,Input!$C$45*IF(Summary!$D$27="Included Margin",1,0))))</f>
        <v>-0.1</v>
      </c>
      <c r="AG59" s="160">
        <f>IF(E59="","",Input!$C$46*IF(Summary!$D$28="Included Margin",IF(AND($B59&gt;Input!$C$9,Summary!$D$31&lt;&gt;"Included Margin"),0,1),0))</f>
        <v>0.02</v>
      </c>
      <c r="AH59" s="158">
        <f>IF(E59="","",Input!$C$47*IF(Summary!$D$29="Included Margin",IF(AND($B59&gt;Input!$C$9,Summary!$D$31&lt;&gt;"Included Margin"),0,1),0))</f>
        <v>2.5000000000000001E-3</v>
      </c>
      <c r="AI59" s="154"/>
      <c r="AJ59" s="158">
        <f t="shared" si="25"/>
        <v>3.8100000000000002E-2</v>
      </c>
      <c r="AK59" s="155">
        <f t="shared" si="26"/>
        <v>3.1208697401348129E-3</v>
      </c>
      <c r="AL59" s="147">
        <f t="shared" si="27"/>
        <v>6.9820800000000008E-4</v>
      </c>
      <c r="AM59" s="147">
        <f t="shared" si="3"/>
        <v>5.8202627888248593E-5</v>
      </c>
      <c r="AN59" s="160">
        <f t="shared" si="28"/>
        <v>0</v>
      </c>
      <c r="AO59" s="161">
        <f t="shared" si="29"/>
        <v>0</v>
      </c>
      <c r="AP59" s="156">
        <f t="shared" si="4"/>
        <v>1.0930833187890623</v>
      </c>
      <c r="AQ59" s="152"/>
      <c r="AR59" s="162">
        <f t="shared" si="5"/>
        <v>352.62513683471997</v>
      </c>
      <c r="AS59" s="150">
        <f t="shared" si="30"/>
        <v>0</v>
      </c>
      <c r="AT59" s="163">
        <f t="shared" si="6"/>
        <v>0</v>
      </c>
      <c r="AU59" s="163">
        <f t="shared" si="7"/>
        <v>5.8202627888248593</v>
      </c>
      <c r="AV59" s="163">
        <f t="shared" si="31"/>
        <v>1.0914149781497373</v>
      </c>
      <c r="AW59" s="163">
        <f t="shared" si="8"/>
        <v>2.0249657660626478E-2</v>
      </c>
      <c r="AX59" s="163">
        <f t="shared" si="9"/>
        <v>0</v>
      </c>
      <c r="AY59" s="164">
        <f t="shared" si="32"/>
        <v>347.91653868170545</v>
      </c>
      <c r="AZ59" s="164">
        <f>IF($E59="","",IF(OR(AND($D59=Input!$C$6,$C59=12),$AN59=1),0,-AS60+AT60+AU60-AV60-AW60-AX60+AZ60))</f>
        <v>347.9165528317148</v>
      </c>
      <c r="BA59" s="154">
        <f t="shared" si="10"/>
        <v>1.4150009349123138E-5</v>
      </c>
      <c r="BC59" s="147">
        <f t="shared" si="33"/>
        <v>0.76996505970238527</v>
      </c>
      <c r="BD59" s="164">
        <f>IF(AND($C58=12,$D58=Input!$C$6),0,IF($E59="","",AT59+(AU59+BD60)/(1+$AK59)*MIN((1-AM59-AN59),1)))</f>
        <v>2372.8322561559276</v>
      </c>
      <c r="BE59" s="164">
        <f t="shared" si="11"/>
        <v>1826.9979297748444</v>
      </c>
      <c r="BF59" s="164">
        <f t="shared" si="34"/>
        <v>347.9165528317148</v>
      </c>
      <c r="BG59" s="164">
        <f t="shared" si="12"/>
        <v>267.88358937251934</v>
      </c>
      <c r="BH59" s="152"/>
      <c r="BI59" s="162">
        <f t="shared" si="13"/>
        <v>86.92802767363375</v>
      </c>
      <c r="BJ59" s="150">
        <f t="shared" si="14"/>
        <v>0</v>
      </c>
      <c r="BK59" s="163">
        <f t="shared" si="38"/>
        <v>0</v>
      </c>
      <c r="BL59" s="163">
        <f t="shared" si="15"/>
        <v>5.490494904480947</v>
      </c>
      <c r="BM59" s="163">
        <f t="shared" si="39"/>
        <v>0.29316788154719653</v>
      </c>
      <c r="BN59" s="163">
        <f t="shared" si="16"/>
        <v>4.4876672621832776E-3</v>
      </c>
      <c r="BO59" s="163">
        <f t="shared" si="17"/>
        <v>0</v>
      </c>
      <c r="BP59" s="164">
        <f t="shared" si="40"/>
        <v>81.735188317962169</v>
      </c>
      <c r="BQ59" s="164">
        <f>IF($E59="","",IF(AND($D59=Input!$C$6,$C59=12),0,-BJ60+BK60+BL60-BM60-BN60-BO60+BQ60))</f>
        <v>81.735204936093581</v>
      </c>
      <c r="BR59" s="161">
        <f t="shared" si="18"/>
        <v>0</v>
      </c>
      <c r="BT59" s="147">
        <f t="shared" si="19"/>
        <v>0.76996505970238527</v>
      </c>
      <c r="BU59" s="164">
        <f>IF(AND($C58=12,$D58=Input!$C$6),0,IF($E59="","",BK59+(BL59+BU60)/(1+$AK59)*MIN((1-T59-U59),1)))</f>
        <v>3603.6838273339545</v>
      </c>
      <c r="BV59" s="164">
        <f t="shared" si="20"/>
        <v>2774.7106332617086</v>
      </c>
      <c r="BW59" s="164">
        <f t="shared" si="21"/>
        <v>81.735204936093581</v>
      </c>
      <c r="BX59" s="164">
        <f t="shared" si="22"/>
        <v>62.933251948405989</v>
      </c>
    </row>
    <row r="60" spans="1:76" s="150" customFormat="1" x14ac:dyDescent="0.25">
      <c r="A60" s="150">
        <f t="shared" si="35"/>
        <v>56</v>
      </c>
      <c r="B60" s="150">
        <f t="shared" si="36"/>
        <v>5</v>
      </c>
      <c r="C60" s="150">
        <f t="shared" si="37"/>
        <v>8</v>
      </c>
      <c r="D60" s="150">
        <f>IF(E60="","",Input!$C$4+B60-1)</f>
        <v>49</v>
      </c>
      <c r="E60" s="150">
        <f>IF(OR(AND(C59=12,D59=Input!$C$6),E59=""),"",1)</f>
        <v>1</v>
      </c>
      <c r="F60" s="150">
        <f>IF(E60="","",Input!$C$8+B60-1)</f>
        <v>2022</v>
      </c>
      <c r="G60" s="151">
        <f>IF(E60="","",MAX(0,Input!$C$9-B60))</f>
        <v>15</v>
      </c>
      <c r="H60" s="152">
        <f>IF(E60="","",Input!$C$3)</f>
        <v>100000</v>
      </c>
      <c r="I60" s="153">
        <f>IF(E60="","",HLOOKUP($B60,Input!$C$13:$BT$14,2))</f>
        <v>2.2999999999999998</v>
      </c>
      <c r="J60" s="154"/>
      <c r="K60" s="155">
        <f>IF($E60="","",INDEX(Input!$C$16:$CP$16,1,$B60))</f>
        <v>2.76E-2</v>
      </c>
      <c r="L60" s="155">
        <f>IF($E60="","",Input!$C$37)</f>
        <v>1.4999999999999999E-2</v>
      </c>
      <c r="M60" s="155">
        <f t="shared" si="23"/>
        <v>4.2599999999999999E-2</v>
      </c>
      <c r="N60" s="155">
        <f t="shared" si="24"/>
        <v>3.4825160297176083E-3</v>
      </c>
      <c r="O60" s="147">
        <f>IF($E60="","",MIN(VLOOKUP(IF($B60&lt;=Input!$C$7,$B60,26),'Mortality Tables'!$A$41:$CW$67,IF($B60&lt;=Input!$C$7+1,Input!$C$4+2,$D60-Input!$C$7+2),0)*IF(B60&gt;20,Input!$C$22,1)/1000,1))</f>
        <v>6.7200000000000007E-4</v>
      </c>
      <c r="P60" s="147">
        <f>IF($E60="","",MIN(VLOOKUP(IF($B60&lt;=Input!$C$7,$B60,26),'Mortality Tables'!$A$12:$CW$37,IF($B60&lt;=Input!$C$7+1,Input!$C$4+2,$D60-Input!$C$7+2),0)*IF(B60&gt;20,Input!$C$22,1)/1000,1))</f>
        <v>8.3999999999999993E-4</v>
      </c>
      <c r="Q60" s="155">
        <f>IF($E60="","",Input!$C$21)</f>
        <v>5.0000000000000001E-3</v>
      </c>
      <c r="R60" s="159">
        <f>IF($E60="","",(1-Q60)^($F60-Input!$C$20))</f>
        <v>0.98014950062500006</v>
      </c>
      <c r="S60" s="147">
        <f t="shared" si="0"/>
        <v>6.5866046442000011E-4</v>
      </c>
      <c r="T60" s="147">
        <f t="shared" si="1"/>
        <v>5.490494904480947E-5</v>
      </c>
      <c r="U60" s="160">
        <f>IF($E60="","",IF($C60=12,INDEX(Input!$C$15:$CP$15,1,$B60),0))</f>
        <v>0</v>
      </c>
      <c r="V60" s="150">
        <f>IF(E60="","",IF(C60=1,IF($B60=1,Input!$C$33,Input!$C$34),0))</f>
        <v>0</v>
      </c>
      <c r="W60" s="156">
        <f>IF($E60="","",Input!$C$35)</f>
        <v>0.02</v>
      </c>
      <c r="X60" s="156">
        <f t="shared" si="2"/>
        <v>1.08243216</v>
      </c>
      <c r="Y60" s="154"/>
      <c r="Z60" s="147">
        <f>IF($E60="","",VLOOKUP($D60,'Mortality Margins &amp; Grading'!$AB$5:$AF$125,3,0)*IF(Summary!$D$25="Included Margin",IF(AND($B60&gt;Input!$C$9,Summary!$D$31&lt;&gt;"Included Margin"),0,1),0))</f>
        <v>3.9E-2</v>
      </c>
      <c r="AA60" s="147">
        <f>IF($E60="","",VLOOKUP($D60,'Mortality Margins &amp; Grading'!$AB$5:$AF$125,5,0)*IF(Summary!$D$25="Included Margin",IF(AND($B60&gt;Input!$C$9,Summary!$D$31&lt;&gt;"Included Margin"),0,1),0))</f>
        <v>0.2</v>
      </c>
      <c r="AB60" s="147">
        <f>IF($E60="","",IF(AND($B60&gt;Input!$C$9,Summary!$D$31&lt;&gt;"Included Margin"),1,IF(Summary!$D$25="Included Margin",VLOOKUP($B60,'Mortality Margins &amp; Grading'!$AI$5:$AR$125,MATCH('Mortality Margins &amp; Grading'!$AQ$4,'Mortality Margins &amp; Grading'!$AI$4:$AR$4,0),0),1)))</f>
        <v>1</v>
      </c>
      <c r="AC60" s="154"/>
      <c r="AD60" s="158">
        <f>IF(E60="","",Input!$C$48*IF(Summary!$D$30="Included Margin",IF(AND($B60&gt;Input!$C$9,Summary!$D$31&lt;&gt;"Included Margin"),0,1),0))</f>
        <v>-4.4999999999999997E-3</v>
      </c>
      <c r="AE60" s="159">
        <f>IF(E60="","",IF(Summary!$D$26="Included Margin",IF(AND($B60&gt;Input!$C$9,Summary!$D$31&lt;&gt;"Included Margin"),1,1/$R60),1))</f>
        <v>1.0202525220513219</v>
      </c>
      <c r="AF60" s="160">
        <f>IF(E60="","",IF(AND($B60&gt;=Input!$C$9,$C60=12,Summary!$D$31="Included Margin",$U60&gt;0),1/U60-1,IF($B60&gt;=Input!$C$9,0,Input!$C$45*IF(Summary!$D$27="Included Margin",1,0))))</f>
        <v>-0.1</v>
      </c>
      <c r="AG60" s="160">
        <f>IF(E60="","",Input!$C$46*IF(Summary!$D$28="Included Margin",IF(AND($B60&gt;Input!$C$9,Summary!$D$31&lt;&gt;"Included Margin"),0,1),0))</f>
        <v>0.02</v>
      </c>
      <c r="AH60" s="158">
        <f>IF(E60="","",Input!$C$47*IF(Summary!$D$29="Included Margin",IF(AND($B60&gt;Input!$C$9,Summary!$D$31&lt;&gt;"Included Margin"),0,1),0))</f>
        <v>2.5000000000000001E-3</v>
      </c>
      <c r="AI60" s="154"/>
      <c r="AJ60" s="158">
        <f t="shared" si="25"/>
        <v>3.8100000000000002E-2</v>
      </c>
      <c r="AK60" s="155">
        <f t="shared" si="26"/>
        <v>3.1208697401348129E-3</v>
      </c>
      <c r="AL60" s="147">
        <f t="shared" si="27"/>
        <v>6.9820800000000008E-4</v>
      </c>
      <c r="AM60" s="147">
        <f t="shared" si="3"/>
        <v>5.8202627888248593E-5</v>
      </c>
      <c r="AN60" s="160">
        <f t="shared" si="28"/>
        <v>0</v>
      </c>
      <c r="AO60" s="161">
        <f t="shared" si="29"/>
        <v>0</v>
      </c>
      <c r="AP60" s="156">
        <f t="shared" si="4"/>
        <v>1.0930833187890623</v>
      </c>
      <c r="AQ60" s="152"/>
      <c r="AR60" s="162">
        <f t="shared" si="5"/>
        <v>347.91653868170545</v>
      </c>
      <c r="AS60" s="150">
        <f t="shared" si="30"/>
        <v>0</v>
      </c>
      <c r="AT60" s="163">
        <f t="shared" si="6"/>
        <v>0</v>
      </c>
      <c r="AU60" s="163">
        <f t="shared" si="7"/>
        <v>5.8202627888248593</v>
      </c>
      <c r="AV60" s="163">
        <f t="shared" si="31"/>
        <v>1.0767200566555397</v>
      </c>
      <c r="AW60" s="163">
        <f t="shared" si="8"/>
        <v>1.9974733590100335E-2</v>
      </c>
      <c r="AX60" s="163">
        <f t="shared" si="9"/>
        <v>0</v>
      </c>
      <c r="AY60" s="164">
        <f t="shared" si="32"/>
        <v>343.19297068312625</v>
      </c>
      <c r="AZ60" s="164">
        <f>IF($E60="","",IF(OR(AND($D60=Input!$C$6,$C60=12),$AN60=1),0,-AS61+AT61+AU61-AV61-AW61-AX61+AZ61))</f>
        <v>343.1929848331356</v>
      </c>
      <c r="BA60" s="154">
        <f t="shared" si="10"/>
        <v>1.4150009349123138E-5</v>
      </c>
      <c r="BC60" s="147">
        <f t="shared" si="33"/>
        <v>0.76992278481001597</v>
      </c>
      <c r="BD60" s="164">
        <f>IF(AND($C59=12,$D59=Input!$C$6),0,IF($E60="","",AT60+(AU60+BD61)/(1+$AK60)*MIN((1-AM60-AN60),1)))</f>
        <v>2374.5558378981777</v>
      </c>
      <c r="BE60" s="164">
        <f t="shared" si="11"/>
        <v>1828.224643401446</v>
      </c>
      <c r="BF60" s="164">
        <f t="shared" si="34"/>
        <v>343.1929848331356</v>
      </c>
      <c r="BG60" s="164">
        <f t="shared" si="12"/>
        <v>264.23209860998935</v>
      </c>
      <c r="BH60" s="152"/>
      <c r="BI60" s="162">
        <f t="shared" si="13"/>
        <v>81.735188317962169</v>
      </c>
      <c r="BJ60" s="150">
        <f t="shared" si="14"/>
        <v>0</v>
      </c>
      <c r="BK60" s="163">
        <f t="shared" si="38"/>
        <v>0</v>
      </c>
      <c r="BL60" s="163">
        <f t="shared" si="15"/>
        <v>5.490494904480947</v>
      </c>
      <c r="BM60" s="163">
        <f t="shared" si="39"/>
        <v>0.27508373525132179</v>
      </c>
      <c r="BN60" s="163">
        <f t="shared" si="16"/>
        <v>4.2015460633615127E-3</v>
      </c>
      <c r="BO60" s="163">
        <f t="shared" si="17"/>
        <v>0</v>
      </c>
      <c r="BP60" s="164">
        <f t="shared" si="40"/>
        <v>76.523978694795915</v>
      </c>
      <c r="BQ60" s="164">
        <f>IF($E60="","",IF(AND($D60=Input!$C$6,$C60=12),0,-BJ61+BK61+BL61-BM61-BN61-BO61+BQ61))</f>
        <v>76.523995312927312</v>
      </c>
      <c r="BR60" s="161">
        <f t="shared" si="18"/>
        <v>0</v>
      </c>
      <c r="BT60" s="147">
        <f t="shared" si="19"/>
        <v>0.76992278481001597</v>
      </c>
      <c r="BU60" s="164">
        <f>IF(AND($C59=12,$D59=Input!$C$6),0,IF($E60="","",BK60+(BL60+BU61)/(1+$AK60)*MIN((1-T60-U60),1)))</f>
        <v>3609.6384487096529</v>
      </c>
      <c r="BV60" s="164">
        <f t="shared" si="20"/>
        <v>2779.142886587842</v>
      </c>
      <c r="BW60" s="164">
        <f t="shared" si="21"/>
        <v>76.523995312927312</v>
      </c>
      <c r="BX60" s="164">
        <f t="shared" si="22"/>
        <v>58.917567576117605</v>
      </c>
    </row>
    <row r="61" spans="1:76" s="150" customFormat="1" x14ac:dyDescent="0.25">
      <c r="A61" s="150">
        <f t="shared" si="35"/>
        <v>57</v>
      </c>
      <c r="B61" s="150">
        <f t="shared" si="36"/>
        <v>5</v>
      </c>
      <c r="C61" s="150">
        <f t="shared" si="37"/>
        <v>9</v>
      </c>
      <c r="D61" s="150">
        <f>IF(E61="","",Input!$C$4+B61-1)</f>
        <v>49</v>
      </c>
      <c r="E61" s="150">
        <f>IF(OR(AND(C60=12,D60=Input!$C$6),E60=""),"",1)</f>
        <v>1</v>
      </c>
      <c r="F61" s="150">
        <f>IF(E61="","",Input!$C$8+B61-1)</f>
        <v>2022</v>
      </c>
      <c r="G61" s="151">
        <f>IF(E61="","",MAX(0,Input!$C$9-B61))</f>
        <v>15</v>
      </c>
      <c r="H61" s="152">
        <f>IF(E61="","",Input!$C$3)</f>
        <v>100000</v>
      </c>
      <c r="I61" s="153">
        <f>IF(E61="","",HLOOKUP($B61,Input!$C$13:$BT$14,2))</f>
        <v>2.2999999999999998</v>
      </c>
      <c r="J61" s="154"/>
      <c r="K61" s="155">
        <f>IF($E61="","",INDEX(Input!$C$16:$CP$16,1,$B61))</f>
        <v>2.76E-2</v>
      </c>
      <c r="L61" s="155">
        <f>IF($E61="","",Input!$C$37)</f>
        <v>1.4999999999999999E-2</v>
      </c>
      <c r="M61" s="155">
        <f t="shared" si="23"/>
        <v>4.2599999999999999E-2</v>
      </c>
      <c r="N61" s="155">
        <f t="shared" si="24"/>
        <v>3.4825160297176083E-3</v>
      </c>
      <c r="O61" s="147">
        <f>IF($E61="","",MIN(VLOOKUP(IF($B61&lt;=Input!$C$7,$B61,26),'Mortality Tables'!$A$41:$CW$67,IF($B61&lt;=Input!$C$7+1,Input!$C$4+2,$D61-Input!$C$7+2),0)*IF(B61&gt;20,Input!$C$22,1)/1000,1))</f>
        <v>6.7200000000000007E-4</v>
      </c>
      <c r="P61" s="147">
        <f>IF($E61="","",MIN(VLOOKUP(IF($B61&lt;=Input!$C$7,$B61,26),'Mortality Tables'!$A$12:$CW$37,IF($B61&lt;=Input!$C$7+1,Input!$C$4+2,$D61-Input!$C$7+2),0)*IF(B61&gt;20,Input!$C$22,1)/1000,1))</f>
        <v>8.3999999999999993E-4</v>
      </c>
      <c r="Q61" s="155">
        <f>IF($E61="","",Input!$C$21)</f>
        <v>5.0000000000000001E-3</v>
      </c>
      <c r="R61" s="159">
        <f>IF($E61="","",(1-Q61)^($F61-Input!$C$20))</f>
        <v>0.98014950062500006</v>
      </c>
      <c r="S61" s="147">
        <f t="shared" si="0"/>
        <v>6.5866046442000011E-4</v>
      </c>
      <c r="T61" s="147">
        <f t="shared" si="1"/>
        <v>5.490494904480947E-5</v>
      </c>
      <c r="U61" s="160">
        <f>IF($E61="","",IF($C61=12,INDEX(Input!$C$15:$CP$15,1,$B61),0))</f>
        <v>0</v>
      </c>
      <c r="V61" s="150">
        <f>IF(E61="","",IF(C61=1,IF($B61=1,Input!$C$33,Input!$C$34),0))</f>
        <v>0</v>
      </c>
      <c r="W61" s="156">
        <f>IF($E61="","",Input!$C$35)</f>
        <v>0.02</v>
      </c>
      <c r="X61" s="156">
        <f t="shared" si="2"/>
        <v>1.08243216</v>
      </c>
      <c r="Y61" s="154"/>
      <c r="Z61" s="147">
        <f>IF($E61="","",VLOOKUP($D61,'Mortality Margins &amp; Grading'!$AB$5:$AF$125,3,0)*IF(Summary!$D$25="Included Margin",IF(AND($B61&gt;Input!$C$9,Summary!$D$31&lt;&gt;"Included Margin"),0,1),0))</f>
        <v>3.9E-2</v>
      </c>
      <c r="AA61" s="147">
        <f>IF($E61="","",VLOOKUP($D61,'Mortality Margins &amp; Grading'!$AB$5:$AF$125,5,0)*IF(Summary!$D$25="Included Margin",IF(AND($B61&gt;Input!$C$9,Summary!$D$31&lt;&gt;"Included Margin"),0,1),0))</f>
        <v>0.2</v>
      </c>
      <c r="AB61" s="147">
        <f>IF($E61="","",IF(AND($B61&gt;Input!$C$9,Summary!$D$31&lt;&gt;"Included Margin"),1,IF(Summary!$D$25="Included Margin",VLOOKUP($B61,'Mortality Margins &amp; Grading'!$AI$5:$AR$125,MATCH('Mortality Margins &amp; Grading'!$AQ$4,'Mortality Margins &amp; Grading'!$AI$4:$AR$4,0),0),1)))</f>
        <v>1</v>
      </c>
      <c r="AC61" s="154"/>
      <c r="AD61" s="158">
        <f>IF(E61="","",Input!$C$48*IF(Summary!$D$30="Included Margin",IF(AND($B61&gt;Input!$C$9,Summary!$D$31&lt;&gt;"Included Margin"),0,1),0))</f>
        <v>-4.4999999999999997E-3</v>
      </c>
      <c r="AE61" s="159">
        <f>IF(E61="","",IF(Summary!$D$26="Included Margin",IF(AND($B61&gt;Input!$C$9,Summary!$D$31&lt;&gt;"Included Margin"),1,1/$R61),1))</f>
        <v>1.0202525220513219</v>
      </c>
      <c r="AF61" s="160">
        <f>IF(E61="","",IF(AND($B61&gt;=Input!$C$9,$C61=12,Summary!$D$31="Included Margin",$U61&gt;0),1/U61-1,IF($B61&gt;=Input!$C$9,0,Input!$C$45*IF(Summary!$D$27="Included Margin",1,0))))</f>
        <v>-0.1</v>
      </c>
      <c r="AG61" s="160">
        <f>IF(E61="","",Input!$C$46*IF(Summary!$D$28="Included Margin",IF(AND($B61&gt;Input!$C$9,Summary!$D$31&lt;&gt;"Included Margin"),0,1),0))</f>
        <v>0.02</v>
      </c>
      <c r="AH61" s="158">
        <f>IF(E61="","",Input!$C$47*IF(Summary!$D$29="Included Margin",IF(AND($B61&gt;Input!$C$9,Summary!$D$31&lt;&gt;"Included Margin"),0,1),0))</f>
        <v>2.5000000000000001E-3</v>
      </c>
      <c r="AI61" s="154"/>
      <c r="AJ61" s="158">
        <f t="shared" si="25"/>
        <v>3.8100000000000002E-2</v>
      </c>
      <c r="AK61" s="155">
        <f t="shared" si="26"/>
        <v>3.1208697401348129E-3</v>
      </c>
      <c r="AL61" s="147">
        <f t="shared" si="27"/>
        <v>6.9820800000000008E-4</v>
      </c>
      <c r="AM61" s="147">
        <f t="shared" si="3"/>
        <v>5.8202627888248593E-5</v>
      </c>
      <c r="AN61" s="160">
        <f t="shared" si="28"/>
        <v>0</v>
      </c>
      <c r="AO61" s="161">
        <f t="shared" si="29"/>
        <v>0</v>
      </c>
      <c r="AP61" s="156">
        <f t="shared" si="4"/>
        <v>1.0930833187890623</v>
      </c>
      <c r="AQ61" s="152"/>
      <c r="AR61" s="162">
        <f t="shared" si="5"/>
        <v>343.1929706831263</v>
      </c>
      <c r="AS61" s="150">
        <f t="shared" si="30"/>
        <v>0</v>
      </c>
      <c r="AT61" s="163">
        <f t="shared" si="6"/>
        <v>0</v>
      </c>
      <c r="AU61" s="163">
        <f t="shared" si="7"/>
        <v>5.8202627888248593</v>
      </c>
      <c r="AV61" s="163">
        <f t="shared" si="31"/>
        <v>1.0619784162233048</v>
      </c>
      <c r="AW61" s="163">
        <f t="shared" si="8"/>
        <v>1.9698935465186012E-2</v>
      </c>
      <c r="AX61" s="163">
        <f t="shared" si="9"/>
        <v>0</v>
      </c>
      <c r="AY61" s="164">
        <f t="shared" si="32"/>
        <v>338.45438524598995</v>
      </c>
      <c r="AZ61" s="164">
        <f>IF($E61="","",IF(OR(AND($D61=Input!$C$6,$C61=12),$AN61=1),0,-AS62+AT62+AU62-AV62-AW62-AX62+AZ62))</f>
        <v>338.45439939599925</v>
      </c>
      <c r="BA61" s="154">
        <f t="shared" si="10"/>
        <v>1.4150009292279719E-5</v>
      </c>
      <c r="BC61" s="147">
        <f t="shared" si="33"/>
        <v>0.76988051223874754</v>
      </c>
      <c r="BD61" s="164">
        <f>IF(AND($C60=12,$D60=Input!$C$6),0,IF($E61="","",AT61+(AU61+BD62)/(1+$AK61)*MIN((1-AM61-AN61),1)))</f>
        <v>2376.2848993504522</v>
      </c>
      <c r="BE61" s="164">
        <f t="shared" si="11"/>
        <v>1829.4554355371267</v>
      </c>
      <c r="BF61" s="164">
        <f t="shared" si="34"/>
        <v>338.45439939599925</v>
      </c>
      <c r="BG61" s="164">
        <f t="shared" si="12"/>
        <v>260.56944637644955</v>
      </c>
      <c r="BH61" s="152"/>
      <c r="BI61" s="162">
        <f t="shared" si="13"/>
        <v>76.523978694795915</v>
      </c>
      <c r="BJ61" s="150">
        <f t="shared" si="14"/>
        <v>0</v>
      </c>
      <c r="BK61" s="163">
        <f t="shared" si="38"/>
        <v>0</v>
      </c>
      <c r="BL61" s="163">
        <f t="shared" si="15"/>
        <v>5.490494904480947</v>
      </c>
      <c r="BM61" s="163">
        <f t="shared" si="39"/>
        <v>0.25693561420442662</v>
      </c>
      <c r="BN61" s="163">
        <f t="shared" si="16"/>
        <v>3.9144126778345081E-3</v>
      </c>
      <c r="BO61" s="163">
        <f t="shared" si="17"/>
        <v>0</v>
      </c>
      <c r="BP61" s="164">
        <f t="shared" si="40"/>
        <v>71.294333817197213</v>
      </c>
      <c r="BQ61" s="164">
        <f>IF($E61="","",IF(AND($D61=Input!$C$6,$C61=12),0,-BJ62+BK62+BL62-BM62-BN62-BO62+BQ62))</f>
        <v>71.294350435328624</v>
      </c>
      <c r="BR61" s="161">
        <f t="shared" si="18"/>
        <v>0</v>
      </c>
      <c r="BT61" s="147">
        <f t="shared" si="19"/>
        <v>0.76988051223874754</v>
      </c>
      <c r="BU61" s="164">
        <f>IF(AND($C60=12,$D60=Input!$C$6),0,IF($E61="","",BK61+(BL61+BU62)/(1+$AK61)*MIN((1-T61-U61),1)))</f>
        <v>3615.6119816595392</v>
      </c>
      <c r="BV61" s="164">
        <f t="shared" si="20"/>
        <v>2783.589204496599</v>
      </c>
      <c r="BW61" s="164">
        <f t="shared" si="21"/>
        <v>71.294350435328624</v>
      </c>
      <c r="BX61" s="164">
        <f t="shared" si="22"/>
        <v>54.888131032879578</v>
      </c>
    </row>
    <row r="62" spans="1:76" s="150" customFormat="1" x14ac:dyDescent="0.25">
      <c r="A62" s="150">
        <f t="shared" si="35"/>
        <v>58</v>
      </c>
      <c r="B62" s="150">
        <f t="shared" si="36"/>
        <v>5</v>
      </c>
      <c r="C62" s="150">
        <f t="shared" si="37"/>
        <v>10</v>
      </c>
      <c r="D62" s="150">
        <f>IF(E62="","",Input!$C$4+B62-1)</f>
        <v>49</v>
      </c>
      <c r="E62" s="150">
        <f>IF(OR(AND(C61=12,D61=Input!$C$6),E61=""),"",1)</f>
        <v>1</v>
      </c>
      <c r="F62" s="150">
        <f>IF(E62="","",Input!$C$8+B62-1)</f>
        <v>2022</v>
      </c>
      <c r="G62" s="151">
        <f>IF(E62="","",MAX(0,Input!$C$9-B62))</f>
        <v>15</v>
      </c>
      <c r="H62" s="152">
        <f>IF(E62="","",Input!$C$3)</f>
        <v>100000</v>
      </c>
      <c r="I62" s="153">
        <f>IF(E62="","",HLOOKUP($B62,Input!$C$13:$BT$14,2))</f>
        <v>2.2999999999999998</v>
      </c>
      <c r="J62" s="154"/>
      <c r="K62" s="155">
        <f>IF($E62="","",INDEX(Input!$C$16:$CP$16,1,$B62))</f>
        <v>2.76E-2</v>
      </c>
      <c r="L62" s="155">
        <f>IF($E62="","",Input!$C$37)</f>
        <v>1.4999999999999999E-2</v>
      </c>
      <c r="M62" s="155">
        <f t="shared" si="23"/>
        <v>4.2599999999999999E-2</v>
      </c>
      <c r="N62" s="155">
        <f t="shared" si="24"/>
        <v>3.4825160297176083E-3</v>
      </c>
      <c r="O62" s="147">
        <f>IF($E62="","",MIN(VLOOKUP(IF($B62&lt;=Input!$C$7,$B62,26),'Mortality Tables'!$A$41:$CW$67,IF($B62&lt;=Input!$C$7+1,Input!$C$4+2,$D62-Input!$C$7+2),0)*IF(B62&gt;20,Input!$C$22,1)/1000,1))</f>
        <v>6.7200000000000007E-4</v>
      </c>
      <c r="P62" s="147">
        <f>IF($E62="","",MIN(VLOOKUP(IF($B62&lt;=Input!$C$7,$B62,26),'Mortality Tables'!$A$12:$CW$37,IF($B62&lt;=Input!$C$7+1,Input!$C$4+2,$D62-Input!$C$7+2),0)*IF(B62&gt;20,Input!$C$22,1)/1000,1))</f>
        <v>8.3999999999999993E-4</v>
      </c>
      <c r="Q62" s="155">
        <f>IF($E62="","",Input!$C$21)</f>
        <v>5.0000000000000001E-3</v>
      </c>
      <c r="R62" s="159">
        <f>IF($E62="","",(1-Q62)^($F62-Input!$C$20))</f>
        <v>0.98014950062500006</v>
      </c>
      <c r="S62" s="147">
        <f t="shared" si="0"/>
        <v>6.5866046442000011E-4</v>
      </c>
      <c r="T62" s="147">
        <f t="shared" si="1"/>
        <v>5.490494904480947E-5</v>
      </c>
      <c r="U62" s="160">
        <f>IF($E62="","",IF($C62=12,INDEX(Input!$C$15:$CP$15,1,$B62),0))</f>
        <v>0</v>
      </c>
      <c r="V62" s="150">
        <f>IF(E62="","",IF(C62=1,IF($B62=1,Input!$C$33,Input!$C$34),0))</f>
        <v>0</v>
      </c>
      <c r="W62" s="156">
        <f>IF($E62="","",Input!$C$35)</f>
        <v>0.02</v>
      </c>
      <c r="X62" s="156">
        <f t="shared" si="2"/>
        <v>1.08243216</v>
      </c>
      <c r="Y62" s="154"/>
      <c r="Z62" s="147">
        <f>IF($E62="","",VLOOKUP($D62,'Mortality Margins &amp; Grading'!$AB$5:$AF$125,3,0)*IF(Summary!$D$25="Included Margin",IF(AND($B62&gt;Input!$C$9,Summary!$D$31&lt;&gt;"Included Margin"),0,1),0))</f>
        <v>3.9E-2</v>
      </c>
      <c r="AA62" s="147">
        <f>IF($E62="","",VLOOKUP($D62,'Mortality Margins &amp; Grading'!$AB$5:$AF$125,5,0)*IF(Summary!$D$25="Included Margin",IF(AND($B62&gt;Input!$C$9,Summary!$D$31&lt;&gt;"Included Margin"),0,1),0))</f>
        <v>0.2</v>
      </c>
      <c r="AB62" s="147">
        <f>IF($E62="","",IF(AND($B62&gt;Input!$C$9,Summary!$D$31&lt;&gt;"Included Margin"),1,IF(Summary!$D$25="Included Margin",VLOOKUP($B62,'Mortality Margins &amp; Grading'!$AI$5:$AR$125,MATCH('Mortality Margins &amp; Grading'!$AQ$4,'Mortality Margins &amp; Grading'!$AI$4:$AR$4,0),0),1)))</f>
        <v>1</v>
      </c>
      <c r="AC62" s="154"/>
      <c r="AD62" s="158">
        <f>IF(E62="","",Input!$C$48*IF(Summary!$D$30="Included Margin",IF(AND($B62&gt;Input!$C$9,Summary!$D$31&lt;&gt;"Included Margin"),0,1),0))</f>
        <v>-4.4999999999999997E-3</v>
      </c>
      <c r="AE62" s="159">
        <f>IF(E62="","",IF(Summary!$D$26="Included Margin",IF(AND($B62&gt;Input!$C$9,Summary!$D$31&lt;&gt;"Included Margin"),1,1/$R62),1))</f>
        <v>1.0202525220513219</v>
      </c>
      <c r="AF62" s="160">
        <f>IF(E62="","",IF(AND($B62&gt;=Input!$C$9,$C62=12,Summary!$D$31="Included Margin",$U62&gt;0),1/U62-1,IF($B62&gt;=Input!$C$9,0,Input!$C$45*IF(Summary!$D$27="Included Margin",1,0))))</f>
        <v>-0.1</v>
      </c>
      <c r="AG62" s="160">
        <f>IF(E62="","",Input!$C$46*IF(Summary!$D$28="Included Margin",IF(AND($B62&gt;Input!$C$9,Summary!$D$31&lt;&gt;"Included Margin"),0,1),0))</f>
        <v>0.02</v>
      </c>
      <c r="AH62" s="158">
        <f>IF(E62="","",Input!$C$47*IF(Summary!$D$29="Included Margin",IF(AND($B62&gt;Input!$C$9,Summary!$D$31&lt;&gt;"Included Margin"),0,1),0))</f>
        <v>2.5000000000000001E-3</v>
      </c>
      <c r="AI62" s="154"/>
      <c r="AJ62" s="158">
        <f t="shared" si="25"/>
        <v>3.8100000000000002E-2</v>
      </c>
      <c r="AK62" s="155">
        <f t="shared" si="26"/>
        <v>3.1208697401348129E-3</v>
      </c>
      <c r="AL62" s="147">
        <f t="shared" si="27"/>
        <v>6.9820800000000008E-4</v>
      </c>
      <c r="AM62" s="147">
        <f t="shared" si="3"/>
        <v>5.8202627888248593E-5</v>
      </c>
      <c r="AN62" s="160">
        <f t="shared" si="28"/>
        <v>0</v>
      </c>
      <c r="AO62" s="161">
        <f t="shared" si="29"/>
        <v>0</v>
      </c>
      <c r="AP62" s="156">
        <f t="shared" si="4"/>
        <v>1.0930833187890623</v>
      </c>
      <c r="AQ62" s="152"/>
      <c r="AR62" s="162">
        <f t="shared" si="5"/>
        <v>338.4543852459899</v>
      </c>
      <c r="AS62" s="150">
        <f t="shared" si="30"/>
        <v>0</v>
      </c>
      <c r="AT62" s="163">
        <f t="shared" si="6"/>
        <v>0</v>
      </c>
      <c r="AU62" s="163">
        <f t="shared" si="7"/>
        <v>5.8202627888248593</v>
      </c>
      <c r="AV62" s="163">
        <f t="shared" si="31"/>
        <v>1.0471899083215024</v>
      </c>
      <c r="AW62" s="163">
        <f t="shared" si="8"/>
        <v>1.9422260507039626E-2</v>
      </c>
      <c r="AX62" s="163">
        <f t="shared" si="9"/>
        <v>0</v>
      </c>
      <c r="AY62" s="164">
        <f t="shared" si="32"/>
        <v>333.70073462599362</v>
      </c>
      <c r="AZ62" s="164">
        <f>IF($E62="","",IF(OR(AND($D62=Input!$C$6,$C62=12),$AN62=1),0,-AS63+AT63+AU63-AV63-AW63-AX63+AZ63))</f>
        <v>333.70074877600291</v>
      </c>
      <c r="BA62" s="154">
        <f t="shared" si="10"/>
        <v>1.4150009292279719E-5</v>
      </c>
      <c r="BC62" s="147">
        <f t="shared" si="33"/>
        <v>0.76983824198845252</v>
      </c>
      <c r="BD62" s="164">
        <f>IF(AND($C61=12,$D61=Input!$C$6),0,IF($E62="","",AT62+(AU62+BD63)/(1+$AK62)*MIN((1-AM62-AN62),1)))</f>
        <v>2378.0194579341601</v>
      </c>
      <c r="BE62" s="164">
        <f t="shared" si="11"/>
        <v>1830.6903189103666</v>
      </c>
      <c r="BF62" s="164">
        <f t="shared" si="34"/>
        <v>333.70074877600291</v>
      </c>
      <c r="BG62" s="164">
        <f t="shared" si="12"/>
        <v>256.8955977879483</v>
      </c>
      <c r="BH62" s="152"/>
      <c r="BI62" s="162">
        <f t="shared" si="13"/>
        <v>71.294333817197213</v>
      </c>
      <c r="BJ62" s="150">
        <f t="shared" si="14"/>
        <v>0</v>
      </c>
      <c r="BK62" s="163">
        <f t="shared" si="38"/>
        <v>0</v>
      </c>
      <c r="BL62" s="163">
        <f t="shared" si="15"/>
        <v>5.490494904480947</v>
      </c>
      <c r="BM62" s="163">
        <f t="shared" si="39"/>
        <v>0.23872329208845858</v>
      </c>
      <c r="BN62" s="163">
        <f t="shared" si="16"/>
        <v>3.6262635248751783E-3</v>
      </c>
      <c r="BO62" s="163">
        <f t="shared" si="17"/>
        <v>0</v>
      </c>
      <c r="BP62" s="164">
        <f t="shared" si="40"/>
        <v>66.046188468329603</v>
      </c>
      <c r="BQ62" s="164">
        <f>IF($E62="","",IF(AND($D62=Input!$C$6,$C62=12),0,-BJ63+BK63+BL63-BM63-BN63-BO63+BQ63))</f>
        <v>66.046205086461015</v>
      </c>
      <c r="BR62" s="161">
        <f t="shared" si="18"/>
        <v>0</v>
      </c>
      <c r="BT62" s="147">
        <f t="shared" si="19"/>
        <v>0.76983824198845252</v>
      </c>
      <c r="BU62" s="164">
        <f>IF(AND($C61=12,$D61=Input!$C$6),0,IF($E62="","",BK62+(BL62+BU63)/(1+$AK62)*MIN((1-T62-U62),1)))</f>
        <v>3621.6044862458093</v>
      </c>
      <c r="BV62" s="164">
        <f t="shared" si="20"/>
        <v>2788.0496308689667</v>
      </c>
      <c r="BW62" s="164">
        <f t="shared" si="21"/>
        <v>66.046205086461015</v>
      </c>
      <c r="BX62" s="164">
        <f t="shared" si="22"/>
        <v>50.844894413769936</v>
      </c>
    </row>
    <row r="63" spans="1:76" s="150" customFormat="1" x14ac:dyDescent="0.25">
      <c r="A63" s="150">
        <f t="shared" si="35"/>
        <v>59</v>
      </c>
      <c r="B63" s="150">
        <f t="shared" si="36"/>
        <v>5</v>
      </c>
      <c r="C63" s="150">
        <f t="shared" si="37"/>
        <v>11</v>
      </c>
      <c r="D63" s="150">
        <f>IF(E63="","",Input!$C$4+B63-1)</f>
        <v>49</v>
      </c>
      <c r="E63" s="150">
        <f>IF(OR(AND(C62=12,D62=Input!$C$6),E62=""),"",1)</f>
        <v>1</v>
      </c>
      <c r="F63" s="150">
        <f>IF(E63="","",Input!$C$8+B63-1)</f>
        <v>2022</v>
      </c>
      <c r="G63" s="151">
        <f>IF(E63="","",MAX(0,Input!$C$9-B63))</f>
        <v>15</v>
      </c>
      <c r="H63" s="152">
        <f>IF(E63="","",Input!$C$3)</f>
        <v>100000</v>
      </c>
      <c r="I63" s="153">
        <f>IF(E63="","",HLOOKUP($B63,Input!$C$13:$BT$14,2))</f>
        <v>2.2999999999999998</v>
      </c>
      <c r="J63" s="154"/>
      <c r="K63" s="155">
        <f>IF($E63="","",INDEX(Input!$C$16:$CP$16,1,$B63))</f>
        <v>2.76E-2</v>
      </c>
      <c r="L63" s="155">
        <f>IF($E63="","",Input!$C$37)</f>
        <v>1.4999999999999999E-2</v>
      </c>
      <c r="M63" s="155">
        <f t="shared" si="23"/>
        <v>4.2599999999999999E-2</v>
      </c>
      <c r="N63" s="155">
        <f t="shared" si="24"/>
        <v>3.4825160297176083E-3</v>
      </c>
      <c r="O63" s="147">
        <f>IF($E63="","",MIN(VLOOKUP(IF($B63&lt;=Input!$C$7,$B63,26),'Mortality Tables'!$A$41:$CW$67,IF($B63&lt;=Input!$C$7+1,Input!$C$4+2,$D63-Input!$C$7+2),0)*IF(B63&gt;20,Input!$C$22,1)/1000,1))</f>
        <v>6.7200000000000007E-4</v>
      </c>
      <c r="P63" s="147">
        <f>IF($E63="","",MIN(VLOOKUP(IF($B63&lt;=Input!$C$7,$B63,26),'Mortality Tables'!$A$12:$CW$37,IF($B63&lt;=Input!$C$7+1,Input!$C$4+2,$D63-Input!$C$7+2),0)*IF(B63&gt;20,Input!$C$22,1)/1000,1))</f>
        <v>8.3999999999999993E-4</v>
      </c>
      <c r="Q63" s="155">
        <f>IF($E63="","",Input!$C$21)</f>
        <v>5.0000000000000001E-3</v>
      </c>
      <c r="R63" s="159">
        <f>IF($E63="","",(1-Q63)^($F63-Input!$C$20))</f>
        <v>0.98014950062500006</v>
      </c>
      <c r="S63" s="147">
        <f t="shared" si="0"/>
        <v>6.5866046442000011E-4</v>
      </c>
      <c r="T63" s="147">
        <f t="shared" si="1"/>
        <v>5.490494904480947E-5</v>
      </c>
      <c r="U63" s="160">
        <f>IF($E63="","",IF($C63=12,INDEX(Input!$C$15:$CP$15,1,$B63),0))</f>
        <v>0</v>
      </c>
      <c r="V63" s="150">
        <f>IF(E63="","",IF(C63=1,IF($B63=1,Input!$C$33,Input!$C$34),0))</f>
        <v>0</v>
      </c>
      <c r="W63" s="156">
        <f>IF($E63="","",Input!$C$35)</f>
        <v>0.02</v>
      </c>
      <c r="X63" s="156">
        <f t="shared" si="2"/>
        <v>1.08243216</v>
      </c>
      <c r="Y63" s="154"/>
      <c r="Z63" s="147">
        <f>IF($E63="","",VLOOKUP($D63,'Mortality Margins &amp; Grading'!$AB$5:$AF$125,3,0)*IF(Summary!$D$25="Included Margin",IF(AND($B63&gt;Input!$C$9,Summary!$D$31&lt;&gt;"Included Margin"),0,1),0))</f>
        <v>3.9E-2</v>
      </c>
      <c r="AA63" s="147">
        <f>IF($E63="","",VLOOKUP($D63,'Mortality Margins &amp; Grading'!$AB$5:$AF$125,5,0)*IF(Summary!$D$25="Included Margin",IF(AND($B63&gt;Input!$C$9,Summary!$D$31&lt;&gt;"Included Margin"),0,1),0))</f>
        <v>0.2</v>
      </c>
      <c r="AB63" s="147">
        <f>IF($E63="","",IF(AND($B63&gt;Input!$C$9,Summary!$D$31&lt;&gt;"Included Margin"),1,IF(Summary!$D$25="Included Margin",VLOOKUP($B63,'Mortality Margins &amp; Grading'!$AI$5:$AR$125,MATCH('Mortality Margins &amp; Grading'!$AQ$4,'Mortality Margins &amp; Grading'!$AI$4:$AR$4,0),0),1)))</f>
        <v>1</v>
      </c>
      <c r="AC63" s="154"/>
      <c r="AD63" s="158">
        <f>IF(E63="","",Input!$C$48*IF(Summary!$D$30="Included Margin",IF(AND($B63&gt;Input!$C$9,Summary!$D$31&lt;&gt;"Included Margin"),0,1),0))</f>
        <v>-4.4999999999999997E-3</v>
      </c>
      <c r="AE63" s="159">
        <f>IF(E63="","",IF(Summary!$D$26="Included Margin",IF(AND($B63&gt;Input!$C$9,Summary!$D$31&lt;&gt;"Included Margin"),1,1/$R63),1))</f>
        <v>1.0202525220513219</v>
      </c>
      <c r="AF63" s="160">
        <f>IF(E63="","",IF(AND($B63&gt;=Input!$C$9,$C63=12,Summary!$D$31="Included Margin",$U63&gt;0),1/U63-1,IF($B63&gt;=Input!$C$9,0,Input!$C$45*IF(Summary!$D$27="Included Margin",1,0))))</f>
        <v>-0.1</v>
      </c>
      <c r="AG63" s="160">
        <f>IF(E63="","",Input!$C$46*IF(Summary!$D$28="Included Margin",IF(AND($B63&gt;Input!$C$9,Summary!$D$31&lt;&gt;"Included Margin"),0,1),0))</f>
        <v>0.02</v>
      </c>
      <c r="AH63" s="158">
        <f>IF(E63="","",Input!$C$47*IF(Summary!$D$29="Included Margin",IF(AND($B63&gt;Input!$C$9,Summary!$D$31&lt;&gt;"Included Margin"),0,1),0))</f>
        <v>2.5000000000000001E-3</v>
      </c>
      <c r="AI63" s="154"/>
      <c r="AJ63" s="158">
        <f t="shared" si="25"/>
        <v>3.8100000000000002E-2</v>
      </c>
      <c r="AK63" s="155">
        <f t="shared" si="26"/>
        <v>3.1208697401348129E-3</v>
      </c>
      <c r="AL63" s="147">
        <f t="shared" si="27"/>
        <v>6.9820800000000008E-4</v>
      </c>
      <c r="AM63" s="147">
        <f t="shared" si="3"/>
        <v>5.8202627888248593E-5</v>
      </c>
      <c r="AN63" s="160">
        <f t="shared" si="28"/>
        <v>0</v>
      </c>
      <c r="AO63" s="161">
        <f t="shared" si="29"/>
        <v>0</v>
      </c>
      <c r="AP63" s="156">
        <f t="shared" si="4"/>
        <v>1.0930833187890623</v>
      </c>
      <c r="AQ63" s="152"/>
      <c r="AR63" s="162">
        <f t="shared" si="5"/>
        <v>333.7007346259935</v>
      </c>
      <c r="AS63" s="150">
        <f t="shared" si="30"/>
        <v>0</v>
      </c>
      <c r="AT63" s="163">
        <f t="shared" si="6"/>
        <v>0</v>
      </c>
      <c r="AU63" s="163">
        <f t="shared" si="7"/>
        <v>5.8202627888248593</v>
      </c>
      <c r="AV63" s="163">
        <f t="shared" si="31"/>
        <v>1.0323543839463825</v>
      </c>
      <c r="AW63" s="163">
        <f t="shared" si="8"/>
        <v>1.9144705927982619E-2</v>
      </c>
      <c r="AX63" s="163">
        <f t="shared" si="9"/>
        <v>0</v>
      </c>
      <c r="AY63" s="164">
        <f t="shared" si="32"/>
        <v>328.93197092704304</v>
      </c>
      <c r="AZ63" s="164">
        <f>IF($E63="","",IF(OR(AND($D63=Input!$C$6,$C63=12),$AN63=1),0,-AS64+AT64+AU64-AV64-AW64-AX64+AZ64))</f>
        <v>328.93198507705239</v>
      </c>
      <c r="BA63" s="154">
        <f t="shared" si="10"/>
        <v>1.4150009349123138E-5</v>
      </c>
      <c r="BC63" s="147">
        <f t="shared" si="33"/>
        <v>0.76979597405900335</v>
      </c>
      <c r="BD63" s="164">
        <f>IF(AND($C62=12,$D62=Input!$C$6),0,IF($E63="","",AT63+(AU63+BD64)/(1+$AK63)*MIN((1-AM63-AN63),1)))</f>
        <v>2379.7595311260966</v>
      </c>
      <c r="BE63" s="164">
        <f t="shared" si="11"/>
        <v>1831.9293062894105</v>
      </c>
      <c r="BF63" s="164">
        <f t="shared" si="34"/>
        <v>328.93198507705239</v>
      </c>
      <c r="BG63" s="164">
        <f t="shared" si="12"/>
        <v>253.21051785155109</v>
      </c>
      <c r="BH63" s="152"/>
      <c r="BI63" s="162">
        <f t="shared" si="13"/>
        <v>66.046188468329603</v>
      </c>
      <c r="BJ63" s="150">
        <f t="shared" si="14"/>
        <v>0</v>
      </c>
      <c r="BK63" s="163">
        <f t="shared" si="38"/>
        <v>0</v>
      </c>
      <c r="BL63" s="163">
        <f t="shared" si="15"/>
        <v>5.490494904480947</v>
      </c>
      <c r="BM63" s="163">
        <f t="shared" si="39"/>
        <v>0.22044654178473921</v>
      </c>
      <c r="BN63" s="163">
        <f t="shared" si="16"/>
        <v>3.3370950110892025E-3</v>
      </c>
      <c r="BO63" s="163">
        <f t="shared" si="17"/>
        <v>0</v>
      </c>
      <c r="BP63" s="164">
        <f t="shared" si="40"/>
        <v>60.779477200644486</v>
      </c>
      <c r="BQ63" s="164">
        <f>IF($E63="","",IF(AND($D63=Input!$C$6,$C63=12),0,-BJ64+BK64+BL64-BM64-BN64-BO64+BQ64))</f>
        <v>60.77949381877589</v>
      </c>
      <c r="BR63" s="161">
        <f t="shared" si="18"/>
        <v>0</v>
      </c>
      <c r="BT63" s="147">
        <f t="shared" si="19"/>
        <v>0.76979597405900335</v>
      </c>
      <c r="BU63" s="164">
        <f>IF(AND($C62=12,$D62=Input!$C$6),0,IF($E63="","",BK63+(BL63+BU64)/(1+$AK63)*MIN((1-T63-U63),1)))</f>
        <v>3627.6160227214145</v>
      </c>
      <c r="BV63" s="164">
        <f t="shared" si="20"/>
        <v>2792.5242097228788</v>
      </c>
      <c r="BW63" s="164">
        <f t="shared" si="21"/>
        <v>60.77949381877589</v>
      </c>
      <c r="BX63" s="164">
        <f t="shared" si="22"/>
        <v>46.787809647037761</v>
      </c>
    </row>
    <row r="64" spans="1:76" s="150" customFormat="1" x14ac:dyDescent="0.25">
      <c r="A64" s="150">
        <f t="shared" si="35"/>
        <v>60</v>
      </c>
      <c r="B64" s="150">
        <f t="shared" si="36"/>
        <v>5</v>
      </c>
      <c r="C64" s="150">
        <f t="shared" si="37"/>
        <v>12</v>
      </c>
      <c r="D64" s="150">
        <f>IF(E64="","",Input!$C$4+B64-1)</f>
        <v>49</v>
      </c>
      <c r="E64" s="150">
        <f>IF(OR(AND(C63=12,D63=Input!$C$6),E63=""),"",1)</f>
        <v>1</v>
      </c>
      <c r="F64" s="150">
        <f>IF(E64="","",Input!$C$8+B64-1)</f>
        <v>2022</v>
      </c>
      <c r="G64" s="151">
        <f>IF(E64="","",MAX(0,Input!$C$9-B64))</f>
        <v>15</v>
      </c>
      <c r="H64" s="152">
        <f>IF(E64="","",Input!$C$3)</f>
        <v>100000</v>
      </c>
      <c r="I64" s="153">
        <f>IF(E64="","",HLOOKUP($B64,Input!$C$13:$BT$14,2))</f>
        <v>2.2999999999999998</v>
      </c>
      <c r="J64" s="154"/>
      <c r="K64" s="155">
        <f>IF($E64="","",INDEX(Input!$C$16:$CP$16,1,$B64))</f>
        <v>2.76E-2</v>
      </c>
      <c r="L64" s="155">
        <f>IF($E64="","",Input!$C$37)</f>
        <v>1.4999999999999999E-2</v>
      </c>
      <c r="M64" s="155">
        <f t="shared" si="23"/>
        <v>4.2599999999999999E-2</v>
      </c>
      <c r="N64" s="155">
        <f t="shared" si="24"/>
        <v>3.4825160297176083E-3</v>
      </c>
      <c r="O64" s="147">
        <f>IF($E64="","",MIN(VLOOKUP(IF($B64&lt;=Input!$C$7,$B64,26),'Mortality Tables'!$A$41:$CW$67,IF($B64&lt;=Input!$C$7+1,Input!$C$4+2,$D64-Input!$C$7+2),0)*IF(B64&gt;20,Input!$C$22,1)/1000,1))</f>
        <v>6.7200000000000007E-4</v>
      </c>
      <c r="P64" s="147">
        <f>IF($E64="","",MIN(VLOOKUP(IF($B64&lt;=Input!$C$7,$B64,26),'Mortality Tables'!$A$12:$CW$37,IF($B64&lt;=Input!$C$7+1,Input!$C$4+2,$D64-Input!$C$7+2),0)*IF(B64&gt;20,Input!$C$22,1)/1000,1))</f>
        <v>8.3999999999999993E-4</v>
      </c>
      <c r="Q64" s="155">
        <f>IF($E64="","",Input!$C$21)</f>
        <v>5.0000000000000001E-3</v>
      </c>
      <c r="R64" s="159">
        <f>IF($E64="","",(1-Q64)^($F64-Input!$C$20))</f>
        <v>0.98014950062500006</v>
      </c>
      <c r="S64" s="147">
        <f t="shared" si="0"/>
        <v>6.5866046442000011E-4</v>
      </c>
      <c r="T64" s="147">
        <f t="shared" si="1"/>
        <v>5.490494904480947E-5</v>
      </c>
      <c r="U64" s="160">
        <f>IF($E64="","",IF($C64=12,INDEX(Input!$C$15:$CP$15,1,$B64),0))</f>
        <v>0.05</v>
      </c>
      <c r="V64" s="150">
        <f>IF(E64="","",IF(C64=1,IF($B64=1,Input!$C$33,Input!$C$34),0))</f>
        <v>0</v>
      </c>
      <c r="W64" s="156">
        <f>IF($E64="","",Input!$C$35)</f>
        <v>0.02</v>
      </c>
      <c r="X64" s="156">
        <f t="shared" si="2"/>
        <v>1.08243216</v>
      </c>
      <c r="Y64" s="154"/>
      <c r="Z64" s="147">
        <f>IF($E64="","",VLOOKUP($D64,'Mortality Margins &amp; Grading'!$AB$5:$AF$125,3,0)*IF(Summary!$D$25="Included Margin",IF(AND($B64&gt;Input!$C$9,Summary!$D$31&lt;&gt;"Included Margin"),0,1),0))</f>
        <v>3.9E-2</v>
      </c>
      <c r="AA64" s="147">
        <f>IF($E64="","",VLOOKUP($D64,'Mortality Margins &amp; Grading'!$AB$5:$AF$125,5,0)*IF(Summary!$D$25="Included Margin",IF(AND($B64&gt;Input!$C$9,Summary!$D$31&lt;&gt;"Included Margin"),0,1),0))</f>
        <v>0.2</v>
      </c>
      <c r="AB64" s="147">
        <f>IF($E64="","",IF(AND($B64&gt;Input!$C$9,Summary!$D$31&lt;&gt;"Included Margin"),1,IF(Summary!$D$25="Included Margin",VLOOKUP($B64,'Mortality Margins &amp; Grading'!$AI$5:$AR$125,MATCH('Mortality Margins &amp; Grading'!$AQ$4,'Mortality Margins &amp; Grading'!$AI$4:$AR$4,0),0),1)))</f>
        <v>1</v>
      </c>
      <c r="AC64" s="154"/>
      <c r="AD64" s="158">
        <f>IF(E64="","",Input!$C$48*IF(Summary!$D$30="Included Margin",IF(AND($B64&gt;Input!$C$9,Summary!$D$31&lt;&gt;"Included Margin"),0,1),0))</f>
        <v>-4.4999999999999997E-3</v>
      </c>
      <c r="AE64" s="159">
        <f>IF(E64="","",IF(Summary!$D$26="Included Margin",IF(AND($B64&gt;Input!$C$9,Summary!$D$31&lt;&gt;"Included Margin"),1,1/$R64),1))</f>
        <v>1.0202525220513219</v>
      </c>
      <c r="AF64" s="160">
        <f>IF(E64="","",IF(AND($B64&gt;=Input!$C$9,$C64=12,Summary!$D$31="Included Margin",$U64&gt;0),1/U64-1,IF($B64&gt;=Input!$C$9,0,Input!$C$45*IF(Summary!$D$27="Included Margin",1,0))))</f>
        <v>-0.1</v>
      </c>
      <c r="AG64" s="160">
        <f>IF(E64="","",Input!$C$46*IF(Summary!$D$28="Included Margin",IF(AND($B64&gt;Input!$C$9,Summary!$D$31&lt;&gt;"Included Margin"),0,1),0))</f>
        <v>0.02</v>
      </c>
      <c r="AH64" s="158">
        <f>IF(E64="","",Input!$C$47*IF(Summary!$D$29="Included Margin",IF(AND($B64&gt;Input!$C$9,Summary!$D$31&lt;&gt;"Included Margin"),0,1),0))</f>
        <v>2.5000000000000001E-3</v>
      </c>
      <c r="AI64" s="154"/>
      <c r="AJ64" s="158">
        <f t="shared" si="25"/>
        <v>3.8100000000000002E-2</v>
      </c>
      <c r="AK64" s="155">
        <f t="shared" si="26"/>
        <v>3.1208697401348129E-3</v>
      </c>
      <c r="AL64" s="147">
        <f t="shared" si="27"/>
        <v>6.9820800000000008E-4</v>
      </c>
      <c r="AM64" s="147">
        <f t="shared" si="3"/>
        <v>5.8202627888248593E-5</v>
      </c>
      <c r="AN64" s="160">
        <f t="shared" si="28"/>
        <v>4.5000000000000005E-2</v>
      </c>
      <c r="AO64" s="161">
        <f t="shared" si="29"/>
        <v>0</v>
      </c>
      <c r="AP64" s="156">
        <f t="shared" si="4"/>
        <v>1.0930833187890623</v>
      </c>
      <c r="AQ64" s="152"/>
      <c r="AR64" s="162">
        <f t="shared" si="5"/>
        <v>328.9319709270431</v>
      </c>
      <c r="AS64" s="150">
        <f t="shared" si="30"/>
        <v>0</v>
      </c>
      <c r="AT64" s="163">
        <f t="shared" si="6"/>
        <v>0</v>
      </c>
      <c r="AU64" s="163">
        <f t="shared" si="7"/>
        <v>5.8202627888248593</v>
      </c>
      <c r="AV64" s="163">
        <f t="shared" si="31"/>
        <v>1.0174716936204748</v>
      </c>
      <c r="AW64" s="163">
        <f t="shared" si="8"/>
        <v>1.9755255425626915E-2</v>
      </c>
      <c r="AX64" s="163">
        <f t="shared" si="9"/>
        <v>15.273103381343626</v>
      </c>
      <c r="AY64" s="164">
        <f t="shared" si="32"/>
        <v>339.42203846860798</v>
      </c>
      <c r="AZ64" s="164">
        <f>IF($E64="","",IF(OR(AND($D64=Input!$C$6,$C64=12),$AN64=1),0,-AS65+AT65+AU65-AV65-AW65-AX65+AZ65))</f>
        <v>339.42205261861727</v>
      </c>
      <c r="BA64" s="154">
        <f t="shared" si="10"/>
        <v>1.4150009292279719E-5</v>
      </c>
      <c r="BC64" s="147">
        <f t="shared" si="33"/>
        <v>0.73126390974732258</v>
      </c>
      <c r="BD64" s="164">
        <f>IF(AND($C63=12,$D63=Input!$C$6),0,IF($E64="","",AT64+(AU64+BD65)/(1+$AK64)*MIN((1-AM64-AN64),1)))</f>
        <v>2381.5051364586211</v>
      </c>
      <c r="BE64" s="164">
        <f t="shared" si="11"/>
        <v>1741.5087571700622</v>
      </c>
      <c r="BF64" s="164">
        <f t="shared" si="34"/>
        <v>339.42205261861727</v>
      </c>
      <c r="BG64" s="164">
        <f t="shared" si="12"/>
        <v>248.20709725235153</v>
      </c>
      <c r="BH64" s="152"/>
      <c r="BI64" s="162">
        <f t="shared" si="13"/>
        <v>60.779477200644493</v>
      </c>
      <c r="BJ64" s="150">
        <f t="shared" si="14"/>
        <v>0</v>
      </c>
      <c r="BK64" s="163">
        <f t="shared" si="38"/>
        <v>0</v>
      </c>
      <c r="BL64" s="163">
        <f t="shared" si="15"/>
        <v>5.490494904480947</v>
      </c>
      <c r="BM64" s="163">
        <f t="shared" si="39"/>
        <v>0.20210513537113148</v>
      </c>
      <c r="BN64" s="163">
        <f t="shared" si="16"/>
        <v>3.2072668740739116E-3</v>
      </c>
      <c r="BO64" s="163">
        <f t="shared" si="17"/>
        <v>2.9205844236666358</v>
      </c>
      <c r="BP64" s="164">
        <f t="shared" si="40"/>
        <v>58.414879122075391</v>
      </c>
      <c r="BQ64" s="164">
        <f>IF($E64="","",IF(AND($D64=Input!$C$6,$C64=12),0,-BJ65+BK65+BL65-BM65-BN65-BO65+BQ65))</f>
        <v>58.414895740206788</v>
      </c>
      <c r="BR64" s="161">
        <f t="shared" si="18"/>
        <v>0</v>
      </c>
      <c r="BT64" s="147">
        <f t="shared" si="19"/>
        <v>0.73126390974732258</v>
      </c>
      <c r="BU64" s="164">
        <f>IF(AND($C63=12,$D63=Input!$C$6),0,IF($E64="","",BK64+(BL64+BU65)/(1+$AK64)*MIN((1-T64-U64),1)))</f>
        <v>3633.6466515306652</v>
      </c>
      <c r="BV64" s="164">
        <f t="shared" si="20"/>
        <v>2657.1546570385813</v>
      </c>
      <c r="BW64" s="164">
        <f t="shared" si="21"/>
        <v>58.414895740206788</v>
      </c>
      <c r="BX64" s="164">
        <f t="shared" si="22"/>
        <v>42.716705046465833</v>
      </c>
    </row>
    <row r="65" spans="1:76" s="150" customFormat="1" x14ac:dyDescent="0.25">
      <c r="A65" s="150">
        <f t="shared" si="35"/>
        <v>61</v>
      </c>
      <c r="B65" s="150">
        <f t="shared" si="36"/>
        <v>6</v>
      </c>
      <c r="C65" s="150">
        <f t="shared" si="37"/>
        <v>1</v>
      </c>
      <c r="D65" s="150">
        <f>IF(E65="","",Input!$C$4+B65-1)</f>
        <v>50</v>
      </c>
      <c r="E65" s="150">
        <f>IF(OR(AND(C64=12,D64=Input!$C$6),E64=""),"",1)</f>
        <v>1</v>
      </c>
      <c r="F65" s="150">
        <f>IF(E65="","",Input!$C$8+B65-1)</f>
        <v>2023</v>
      </c>
      <c r="G65" s="151">
        <f>IF(E65="","",MAX(0,Input!$C$9-B65))</f>
        <v>14</v>
      </c>
      <c r="H65" s="152">
        <f>IF(E65="","",Input!$C$3)</f>
        <v>100000</v>
      </c>
      <c r="I65" s="153">
        <f>IF(E65="","",HLOOKUP($B65,Input!$C$13:$BT$14,2))</f>
        <v>2.2999999999999998</v>
      </c>
      <c r="J65" s="154"/>
      <c r="K65" s="155">
        <f>IF($E65="","",INDEX(Input!$C$16:$CP$16,1,$B65))</f>
        <v>2.7150000000000001E-2</v>
      </c>
      <c r="L65" s="155">
        <f>IF($E65="","",Input!$C$37)</f>
        <v>1.4999999999999999E-2</v>
      </c>
      <c r="M65" s="155">
        <f t="shared" si="23"/>
        <v>4.215E-2</v>
      </c>
      <c r="N65" s="155">
        <f t="shared" si="24"/>
        <v>3.4464158565041814E-3</v>
      </c>
      <c r="O65" s="147">
        <f>IF($E65="","",MIN(VLOOKUP(IF($B65&lt;=Input!$C$7,$B65,26),'Mortality Tables'!$A$41:$CW$67,IF($B65&lt;=Input!$C$7+1,Input!$C$4+2,$D65-Input!$C$7+2),0)*IF(B65&gt;20,Input!$C$22,1)/1000,1))</f>
        <v>7.5199999999999996E-4</v>
      </c>
      <c r="P65" s="147">
        <f>IF($E65="","",MIN(VLOOKUP(IF($B65&lt;=Input!$C$7,$B65,26),'Mortality Tables'!$A$12:$CW$37,IF($B65&lt;=Input!$C$7+1,Input!$C$4+2,$D65-Input!$C$7+2),0)*IF(B65&gt;20,Input!$C$22,1)/1000,1))</f>
        <v>9.3999999999999997E-4</v>
      </c>
      <c r="Q65" s="155">
        <f>IF($E65="","",Input!$C$21)</f>
        <v>5.0000000000000001E-3</v>
      </c>
      <c r="R65" s="159">
        <f>IF($E65="","",(1-Q65)^($F65-Input!$C$20))</f>
        <v>0.97524875312187509</v>
      </c>
      <c r="S65" s="147">
        <f t="shared" si="0"/>
        <v>7.3338706234765E-4</v>
      </c>
      <c r="T65" s="147">
        <f t="shared" si="1"/>
        <v>6.1136141292994495E-5</v>
      </c>
      <c r="U65" s="160">
        <f>IF($E65="","",IF($C65=12,INDEX(Input!$C$15:$CP$15,1,$B65),0))</f>
        <v>0</v>
      </c>
      <c r="V65" s="150">
        <f>IF(E65="","",IF(C65=1,IF($B65=1,Input!$C$33,Input!$C$34),0))</f>
        <v>50</v>
      </c>
      <c r="W65" s="156">
        <f>IF($E65="","",Input!$C$35)</f>
        <v>0.02</v>
      </c>
      <c r="X65" s="156">
        <f t="shared" si="2"/>
        <v>1.1040808032</v>
      </c>
      <c r="Y65" s="154"/>
      <c r="Z65" s="147">
        <f>IF($E65="","",VLOOKUP($D65,'Mortality Margins &amp; Grading'!$AB$5:$AF$125,3,0)*IF(Summary!$D$25="Included Margin",IF(AND($B65&gt;Input!$C$9,Summary!$D$31&lt;&gt;"Included Margin"),0,1),0))</f>
        <v>3.9E-2</v>
      </c>
      <c r="AA65" s="147">
        <f>IF($E65="","",VLOOKUP($D65,'Mortality Margins &amp; Grading'!$AB$5:$AF$125,5,0)*IF(Summary!$D$25="Included Margin",IF(AND($B65&gt;Input!$C$9,Summary!$D$31&lt;&gt;"Included Margin"),0,1),0))</f>
        <v>0.19800000000000001</v>
      </c>
      <c r="AB65" s="147">
        <f>IF($E65="","",IF(AND($B65&gt;Input!$C$9,Summary!$D$31&lt;&gt;"Included Margin"),1,IF(Summary!$D$25="Included Margin",VLOOKUP($B65,'Mortality Margins &amp; Grading'!$AI$5:$AR$125,MATCH('Mortality Margins &amp; Grading'!$AQ$4,'Mortality Margins &amp; Grading'!$AI$4:$AR$4,0),0),1)))</f>
        <v>1</v>
      </c>
      <c r="AC65" s="154"/>
      <c r="AD65" s="158">
        <f>IF(E65="","",Input!$C$48*IF(Summary!$D$30="Included Margin",IF(AND($B65&gt;Input!$C$9,Summary!$D$31&lt;&gt;"Included Margin"),0,1),0))</f>
        <v>-4.4999999999999997E-3</v>
      </c>
      <c r="AE65" s="159">
        <f>IF(E65="","",IF(Summary!$D$26="Included Margin",IF(AND($B65&gt;Input!$C$9,Summary!$D$31&lt;&gt;"Included Margin"),1,1/$R65),1))</f>
        <v>1.0253794191470571</v>
      </c>
      <c r="AF65" s="160">
        <f>IF(E65="","",IF(AND($B65&gt;=Input!$C$9,$C65=12,Summary!$D$31="Included Margin",$U65&gt;0),1/U65-1,IF($B65&gt;=Input!$C$9,0,Input!$C$45*IF(Summary!$D$27="Included Margin",1,0))))</f>
        <v>-0.1</v>
      </c>
      <c r="AG65" s="160">
        <f>IF(E65="","",Input!$C$46*IF(Summary!$D$28="Included Margin",IF(AND($B65&gt;Input!$C$9,Summary!$D$31&lt;&gt;"Included Margin"),0,1),0))</f>
        <v>0.02</v>
      </c>
      <c r="AH65" s="158">
        <f>IF(E65="","",Input!$C$47*IF(Summary!$D$29="Included Margin",IF(AND($B65&gt;Input!$C$9,Summary!$D$31&lt;&gt;"Included Margin"),0,1),0))</f>
        <v>2.5000000000000001E-3</v>
      </c>
      <c r="AI65" s="154"/>
      <c r="AJ65" s="158">
        <f t="shared" si="25"/>
        <v>3.7650000000000003E-2</v>
      </c>
      <c r="AK65" s="155">
        <f t="shared" si="26"/>
        <v>3.0846261138479658E-3</v>
      </c>
      <c r="AL65" s="147">
        <f t="shared" si="27"/>
        <v>7.8132799999999975E-4</v>
      </c>
      <c r="AM65" s="147">
        <f t="shared" si="3"/>
        <v>6.5133995006627643E-5</v>
      </c>
      <c r="AN65" s="160">
        <f t="shared" si="28"/>
        <v>0</v>
      </c>
      <c r="AO65" s="161">
        <f t="shared" si="29"/>
        <v>51</v>
      </c>
      <c r="AP65" s="156">
        <f t="shared" si="4"/>
        <v>1.1176776934618162</v>
      </c>
      <c r="AQ65" s="152"/>
      <c r="AR65" s="162">
        <f t="shared" si="5"/>
        <v>339.4220371488604</v>
      </c>
      <c r="AS65" s="150">
        <f t="shared" si="30"/>
        <v>229.99999999999997</v>
      </c>
      <c r="AT65" s="163">
        <f t="shared" si="6"/>
        <v>57.001562366552626</v>
      </c>
      <c r="AU65" s="163">
        <f t="shared" si="7"/>
        <v>6.5133995006627643</v>
      </c>
      <c r="AV65" s="163">
        <f t="shared" si="31"/>
        <v>1.5705798766890449</v>
      </c>
      <c r="AW65" s="163">
        <f t="shared" si="8"/>
        <v>3.305620114710555E-2</v>
      </c>
      <c r="AX65" s="163">
        <f t="shared" si="9"/>
        <v>0</v>
      </c>
      <c r="AY65" s="164">
        <f t="shared" si="32"/>
        <v>507.51071135948109</v>
      </c>
      <c r="AZ65" s="164">
        <f>IF($E65="","",IF(OR(AND($D65=Input!$C$6,$C65=12),$AN65=1),0,-AS66+AT66+AU66-AV66-AW66-AX66+AZ66))</f>
        <v>507.51072682923797</v>
      </c>
      <c r="BA65" s="154">
        <f t="shared" si="10"/>
        <v>1.546975687460872E-5</v>
      </c>
      <c r="BC65" s="147">
        <f t="shared" si="33"/>
        <v>0.73121920309361377</v>
      </c>
      <c r="BD65" s="164">
        <f>IF(AND($C64=12,$D64=Input!$C$6),0,IF($E65="","",AT65+(AU65+BD66)/(1+$AK65)*MIN((1-AM65-AN65),1)))</f>
        <v>2495.8374406953535</v>
      </c>
      <c r="BE65" s="164">
        <f t="shared" si="11"/>
        <v>1825.004264436461</v>
      </c>
      <c r="BF65" s="164">
        <f t="shared" si="34"/>
        <v>507.51072682923797</v>
      </c>
      <c r="BG65" s="164">
        <f t="shared" si="12"/>
        <v>371.10158923353612</v>
      </c>
      <c r="BH65" s="152"/>
      <c r="BI65" s="162">
        <f t="shared" si="13"/>
        <v>58.414877617391817</v>
      </c>
      <c r="BJ65" s="150">
        <f t="shared" si="14"/>
        <v>229.99999999999997</v>
      </c>
      <c r="BK65" s="163">
        <f t="shared" si="38"/>
        <v>55.204040159999998</v>
      </c>
      <c r="BL65" s="163">
        <f t="shared" si="15"/>
        <v>6.1136141292994495</v>
      </c>
      <c r="BM65" s="163">
        <f t="shared" si="39"/>
        <v>0.79320649978389146</v>
      </c>
      <c r="BN65" s="163">
        <f t="shared" si="16"/>
        <v>1.3933194446981639E-2</v>
      </c>
      <c r="BO65" s="163">
        <f t="shared" si="17"/>
        <v>0</v>
      </c>
      <c r="BP65" s="164">
        <f t="shared" si="40"/>
        <v>227.90436302232317</v>
      </c>
      <c r="BQ65" s="164">
        <f>IF($E65="","",IF(AND($D65=Input!$C$6,$C65=12),0,-BJ66+BK66+BL66-BM66-BN66-BO66+BQ66))</f>
        <v>227.90438114513819</v>
      </c>
      <c r="BR65" s="161">
        <f t="shared" si="18"/>
        <v>0</v>
      </c>
      <c r="BT65" s="147">
        <f t="shared" si="19"/>
        <v>0.73121920309361377</v>
      </c>
      <c r="BU65" s="164">
        <f>IF(AND($C64=12,$D64=Input!$C$6),0,IF($E65="","",BK65+(BL65+BU66)/(1+$AK65)*MIN((1-T65-U65),1)))</f>
        <v>3831.5594655632367</v>
      </c>
      <c r="BV65" s="164">
        <f t="shared" si="20"/>
        <v>2801.7098590149426</v>
      </c>
      <c r="BW65" s="164">
        <f t="shared" si="21"/>
        <v>227.90438114513819</v>
      </c>
      <c r="BX65" s="164">
        <f t="shared" si="22"/>
        <v>166.64805996249117</v>
      </c>
    </row>
    <row r="66" spans="1:76" s="150" customFormat="1" x14ac:dyDescent="0.25">
      <c r="A66" s="150">
        <f t="shared" si="35"/>
        <v>62</v>
      </c>
      <c r="B66" s="150">
        <f t="shared" si="36"/>
        <v>6</v>
      </c>
      <c r="C66" s="150">
        <f t="shared" si="37"/>
        <v>2</v>
      </c>
      <c r="D66" s="150">
        <f>IF(E66="","",Input!$C$4+B66-1)</f>
        <v>50</v>
      </c>
      <c r="E66" s="150">
        <f>IF(OR(AND(C65=12,D65=Input!$C$6),E65=""),"",1)</f>
        <v>1</v>
      </c>
      <c r="F66" s="150">
        <f>IF(E66="","",Input!$C$8+B66-1)</f>
        <v>2023</v>
      </c>
      <c r="G66" s="151">
        <f>IF(E66="","",MAX(0,Input!$C$9-B66))</f>
        <v>14</v>
      </c>
      <c r="H66" s="152">
        <f>IF(E66="","",Input!$C$3)</f>
        <v>100000</v>
      </c>
      <c r="I66" s="153">
        <f>IF(E66="","",HLOOKUP($B66,Input!$C$13:$BT$14,2))</f>
        <v>2.2999999999999998</v>
      </c>
      <c r="J66" s="154"/>
      <c r="K66" s="155">
        <f>IF($E66="","",INDEX(Input!$C$16:$CP$16,1,$B66))</f>
        <v>2.7150000000000001E-2</v>
      </c>
      <c r="L66" s="155">
        <f>IF($E66="","",Input!$C$37)</f>
        <v>1.4999999999999999E-2</v>
      </c>
      <c r="M66" s="155">
        <f t="shared" si="23"/>
        <v>4.215E-2</v>
      </c>
      <c r="N66" s="155">
        <f t="shared" si="24"/>
        <v>3.4464158565041814E-3</v>
      </c>
      <c r="O66" s="147">
        <f>IF($E66="","",MIN(VLOOKUP(IF($B66&lt;=Input!$C$7,$B66,26),'Mortality Tables'!$A$41:$CW$67,IF($B66&lt;=Input!$C$7+1,Input!$C$4+2,$D66-Input!$C$7+2),0)*IF(B66&gt;20,Input!$C$22,1)/1000,1))</f>
        <v>7.5199999999999996E-4</v>
      </c>
      <c r="P66" s="147">
        <f>IF($E66="","",MIN(VLOOKUP(IF($B66&lt;=Input!$C$7,$B66,26),'Mortality Tables'!$A$12:$CW$37,IF($B66&lt;=Input!$C$7+1,Input!$C$4+2,$D66-Input!$C$7+2),0)*IF(B66&gt;20,Input!$C$22,1)/1000,1))</f>
        <v>9.3999999999999997E-4</v>
      </c>
      <c r="Q66" s="155">
        <f>IF($E66="","",Input!$C$21)</f>
        <v>5.0000000000000001E-3</v>
      </c>
      <c r="R66" s="159">
        <f>IF($E66="","",(1-Q66)^($F66-Input!$C$20))</f>
        <v>0.97524875312187509</v>
      </c>
      <c r="S66" s="147">
        <f t="shared" si="0"/>
        <v>7.3338706234765E-4</v>
      </c>
      <c r="T66" s="147">
        <f t="shared" si="1"/>
        <v>6.1136141292994495E-5</v>
      </c>
      <c r="U66" s="160">
        <f>IF($E66="","",IF($C66=12,INDEX(Input!$C$15:$CP$15,1,$B66),0))</f>
        <v>0</v>
      </c>
      <c r="V66" s="150">
        <f>IF(E66="","",IF(C66=1,IF($B66=1,Input!$C$33,Input!$C$34),0))</f>
        <v>0</v>
      </c>
      <c r="W66" s="156">
        <f>IF($E66="","",Input!$C$35)</f>
        <v>0.02</v>
      </c>
      <c r="X66" s="156">
        <f t="shared" si="2"/>
        <v>1.1040808032</v>
      </c>
      <c r="Y66" s="154"/>
      <c r="Z66" s="147">
        <f>IF($E66="","",VLOOKUP($D66,'Mortality Margins &amp; Grading'!$AB$5:$AF$125,3,0)*IF(Summary!$D$25="Included Margin",IF(AND($B66&gt;Input!$C$9,Summary!$D$31&lt;&gt;"Included Margin"),0,1),0))</f>
        <v>3.9E-2</v>
      </c>
      <c r="AA66" s="147">
        <f>IF($E66="","",VLOOKUP($D66,'Mortality Margins &amp; Grading'!$AB$5:$AF$125,5,0)*IF(Summary!$D$25="Included Margin",IF(AND($B66&gt;Input!$C$9,Summary!$D$31&lt;&gt;"Included Margin"),0,1),0))</f>
        <v>0.19800000000000001</v>
      </c>
      <c r="AB66" s="147">
        <f>IF($E66="","",IF(AND($B66&gt;Input!$C$9,Summary!$D$31&lt;&gt;"Included Margin"),1,IF(Summary!$D$25="Included Margin",VLOOKUP($B66,'Mortality Margins &amp; Grading'!$AI$5:$AR$125,MATCH('Mortality Margins &amp; Grading'!$AQ$4,'Mortality Margins &amp; Grading'!$AI$4:$AR$4,0),0),1)))</f>
        <v>1</v>
      </c>
      <c r="AC66" s="154"/>
      <c r="AD66" s="158">
        <f>IF(E66="","",Input!$C$48*IF(Summary!$D$30="Included Margin",IF(AND($B66&gt;Input!$C$9,Summary!$D$31&lt;&gt;"Included Margin"),0,1),0))</f>
        <v>-4.4999999999999997E-3</v>
      </c>
      <c r="AE66" s="159">
        <f>IF(E66="","",IF(Summary!$D$26="Included Margin",IF(AND($B66&gt;Input!$C$9,Summary!$D$31&lt;&gt;"Included Margin"),1,1/$R66),1))</f>
        <v>1.0253794191470571</v>
      </c>
      <c r="AF66" s="160">
        <f>IF(E66="","",IF(AND($B66&gt;=Input!$C$9,$C66=12,Summary!$D$31="Included Margin",$U66&gt;0),1/U66-1,IF($B66&gt;=Input!$C$9,0,Input!$C$45*IF(Summary!$D$27="Included Margin",1,0))))</f>
        <v>-0.1</v>
      </c>
      <c r="AG66" s="160">
        <f>IF(E66="","",Input!$C$46*IF(Summary!$D$28="Included Margin",IF(AND($B66&gt;Input!$C$9,Summary!$D$31&lt;&gt;"Included Margin"),0,1),0))</f>
        <v>0.02</v>
      </c>
      <c r="AH66" s="158">
        <f>IF(E66="","",Input!$C$47*IF(Summary!$D$29="Included Margin",IF(AND($B66&gt;Input!$C$9,Summary!$D$31&lt;&gt;"Included Margin"),0,1),0))</f>
        <v>2.5000000000000001E-3</v>
      </c>
      <c r="AI66" s="154"/>
      <c r="AJ66" s="158">
        <f t="shared" si="25"/>
        <v>3.7650000000000003E-2</v>
      </c>
      <c r="AK66" s="155">
        <f t="shared" si="26"/>
        <v>3.0846261138479658E-3</v>
      </c>
      <c r="AL66" s="147">
        <f t="shared" si="27"/>
        <v>7.8132799999999975E-4</v>
      </c>
      <c r="AM66" s="147">
        <f t="shared" si="3"/>
        <v>6.5133995006627643E-5</v>
      </c>
      <c r="AN66" s="160">
        <f t="shared" si="28"/>
        <v>0</v>
      </c>
      <c r="AO66" s="161">
        <f t="shared" si="29"/>
        <v>0</v>
      </c>
      <c r="AP66" s="156">
        <f t="shared" si="4"/>
        <v>1.1176776934618162</v>
      </c>
      <c r="AQ66" s="152"/>
      <c r="AR66" s="162">
        <f t="shared" si="5"/>
        <v>507.51071135948121</v>
      </c>
      <c r="AS66" s="150">
        <f t="shared" si="30"/>
        <v>0</v>
      </c>
      <c r="AT66" s="163">
        <f t="shared" si="6"/>
        <v>0</v>
      </c>
      <c r="AU66" s="163">
        <f t="shared" si="7"/>
        <v>6.5133995006627643</v>
      </c>
      <c r="AV66" s="163">
        <f t="shared" si="31"/>
        <v>1.5554350922221789</v>
      </c>
      <c r="AW66" s="163">
        <f t="shared" si="8"/>
        <v>3.273540130554832E-2</v>
      </c>
      <c r="AX66" s="163">
        <f t="shared" si="9"/>
        <v>0</v>
      </c>
      <c r="AY66" s="164">
        <f t="shared" si="32"/>
        <v>502.58548235234616</v>
      </c>
      <c r="AZ66" s="164">
        <f>IF($E66="","",IF(OR(AND($D66=Input!$C$6,$C66=12),$AN66=1),0,-AS67+AT67+AU67-AV67-AW67-AX67+AZ67))</f>
        <v>502.58549782210292</v>
      </c>
      <c r="BA66" s="154">
        <f t="shared" si="10"/>
        <v>1.5469756760921882E-5</v>
      </c>
      <c r="BC66" s="147">
        <f t="shared" si="33"/>
        <v>0.73117449917309729</v>
      </c>
      <c r="BD66" s="164">
        <f>IF(AND($C65=12,$D65=Input!$C$6),0,IF($E66="","",AT66+(AU66+BD67)/(1+$AK66)*MIN((1-AM66-AN66),1)))</f>
        <v>2440.0047271652661</v>
      </c>
      <c r="BE66" s="164">
        <f t="shared" si="11"/>
        <v>1784.0692343650533</v>
      </c>
      <c r="BF66" s="164">
        <f t="shared" si="34"/>
        <v>502.58549782210292</v>
      </c>
      <c r="BG66" s="164">
        <f t="shared" si="12"/>
        <v>367.47769966173786</v>
      </c>
      <c r="BH66" s="152"/>
      <c r="BI66" s="162">
        <f t="shared" si="13"/>
        <v>227.90436302232322</v>
      </c>
      <c r="BJ66" s="150">
        <f t="shared" si="14"/>
        <v>0</v>
      </c>
      <c r="BK66" s="163">
        <f t="shared" si="38"/>
        <v>0</v>
      </c>
      <c r="BL66" s="163">
        <f t="shared" si="15"/>
        <v>6.1136141292994495</v>
      </c>
      <c r="BM66" s="163">
        <f t="shared" si="39"/>
        <v>0.7749181821487372</v>
      </c>
      <c r="BN66" s="163">
        <f t="shared" si="16"/>
        <v>1.360763909578272E-2</v>
      </c>
      <c r="BO66" s="163">
        <f t="shared" si="17"/>
        <v>0</v>
      </c>
      <c r="BP66" s="164">
        <f t="shared" si="40"/>
        <v>222.57927471426828</v>
      </c>
      <c r="BQ66" s="164">
        <f>IF($E66="","",IF(AND($D66=Input!$C$6,$C66=12),0,-BJ67+BK67+BL67-BM67-BN67-BO67+BQ67))</f>
        <v>222.57929283708327</v>
      </c>
      <c r="BR66" s="161">
        <f t="shared" si="18"/>
        <v>0</v>
      </c>
      <c r="BT66" s="147">
        <f t="shared" si="19"/>
        <v>0.73117449917309729</v>
      </c>
      <c r="BU66" s="164">
        <f>IF(AND($C65=12,$D65=Input!$C$6),0,IF($E66="","",BK66+(BL66+BU67)/(1+$AK66)*MIN((1-T66-U66),1)))</f>
        <v>3782.122053945362</v>
      </c>
      <c r="BV66" s="164">
        <f t="shared" si="20"/>
        <v>2765.3911986050261</v>
      </c>
      <c r="BW66" s="164">
        <f t="shared" si="21"/>
        <v>222.57929283708327</v>
      </c>
      <c r="BX66" s="164">
        <f t="shared" si="22"/>
        <v>162.74430296645653</v>
      </c>
    </row>
    <row r="67" spans="1:76" s="150" customFormat="1" x14ac:dyDescent="0.25">
      <c r="A67" s="150">
        <f t="shared" si="35"/>
        <v>63</v>
      </c>
      <c r="B67" s="150">
        <f t="shared" si="36"/>
        <v>6</v>
      </c>
      <c r="C67" s="150">
        <f t="shared" si="37"/>
        <v>3</v>
      </c>
      <c r="D67" s="150">
        <f>IF(E67="","",Input!$C$4+B67-1)</f>
        <v>50</v>
      </c>
      <c r="E67" s="150">
        <f>IF(OR(AND(C66=12,D66=Input!$C$6),E66=""),"",1)</f>
        <v>1</v>
      </c>
      <c r="F67" s="150">
        <f>IF(E67="","",Input!$C$8+B67-1)</f>
        <v>2023</v>
      </c>
      <c r="G67" s="151">
        <f>IF(E67="","",MAX(0,Input!$C$9-B67))</f>
        <v>14</v>
      </c>
      <c r="H67" s="152">
        <f>IF(E67="","",Input!$C$3)</f>
        <v>100000</v>
      </c>
      <c r="I67" s="153">
        <f>IF(E67="","",HLOOKUP($B67,Input!$C$13:$BT$14,2))</f>
        <v>2.2999999999999998</v>
      </c>
      <c r="J67" s="154"/>
      <c r="K67" s="155">
        <f>IF($E67="","",INDEX(Input!$C$16:$CP$16,1,$B67))</f>
        <v>2.7150000000000001E-2</v>
      </c>
      <c r="L67" s="155">
        <f>IF($E67="","",Input!$C$37)</f>
        <v>1.4999999999999999E-2</v>
      </c>
      <c r="M67" s="155">
        <f t="shared" si="23"/>
        <v>4.215E-2</v>
      </c>
      <c r="N67" s="155">
        <f t="shared" si="24"/>
        <v>3.4464158565041814E-3</v>
      </c>
      <c r="O67" s="147">
        <f>IF($E67="","",MIN(VLOOKUP(IF($B67&lt;=Input!$C$7,$B67,26),'Mortality Tables'!$A$41:$CW$67,IF($B67&lt;=Input!$C$7+1,Input!$C$4+2,$D67-Input!$C$7+2),0)*IF(B67&gt;20,Input!$C$22,1)/1000,1))</f>
        <v>7.5199999999999996E-4</v>
      </c>
      <c r="P67" s="147">
        <f>IF($E67="","",MIN(VLOOKUP(IF($B67&lt;=Input!$C$7,$B67,26),'Mortality Tables'!$A$12:$CW$37,IF($B67&lt;=Input!$C$7+1,Input!$C$4+2,$D67-Input!$C$7+2),0)*IF(B67&gt;20,Input!$C$22,1)/1000,1))</f>
        <v>9.3999999999999997E-4</v>
      </c>
      <c r="Q67" s="155">
        <f>IF($E67="","",Input!$C$21)</f>
        <v>5.0000000000000001E-3</v>
      </c>
      <c r="R67" s="159">
        <f>IF($E67="","",(1-Q67)^($F67-Input!$C$20))</f>
        <v>0.97524875312187509</v>
      </c>
      <c r="S67" s="147">
        <f t="shared" si="0"/>
        <v>7.3338706234765E-4</v>
      </c>
      <c r="T67" s="147">
        <f t="shared" si="1"/>
        <v>6.1136141292994495E-5</v>
      </c>
      <c r="U67" s="160">
        <f>IF($E67="","",IF($C67=12,INDEX(Input!$C$15:$CP$15,1,$B67),0))</f>
        <v>0</v>
      </c>
      <c r="V67" s="150">
        <f>IF(E67="","",IF(C67=1,IF($B67=1,Input!$C$33,Input!$C$34),0))</f>
        <v>0</v>
      </c>
      <c r="W67" s="156">
        <f>IF($E67="","",Input!$C$35)</f>
        <v>0.02</v>
      </c>
      <c r="X67" s="156">
        <f t="shared" si="2"/>
        <v>1.1040808032</v>
      </c>
      <c r="Y67" s="154"/>
      <c r="Z67" s="147">
        <f>IF($E67="","",VLOOKUP($D67,'Mortality Margins &amp; Grading'!$AB$5:$AF$125,3,0)*IF(Summary!$D$25="Included Margin",IF(AND($B67&gt;Input!$C$9,Summary!$D$31&lt;&gt;"Included Margin"),0,1),0))</f>
        <v>3.9E-2</v>
      </c>
      <c r="AA67" s="147">
        <f>IF($E67="","",VLOOKUP($D67,'Mortality Margins &amp; Grading'!$AB$5:$AF$125,5,0)*IF(Summary!$D$25="Included Margin",IF(AND($B67&gt;Input!$C$9,Summary!$D$31&lt;&gt;"Included Margin"),0,1),0))</f>
        <v>0.19800000000000001</v>
      </c>
      <c r="AB67" s="147">
        <f>IF($E67="","",IF(AND($B67&gt;Input!$C$9,Summary!$D$31&lt;&gt;"Included Margin"),1,IF(Summary!$D$25="Included Margin",VLOOKUP($B67,'Mortality Margins &amp; Grading'!$AI$5:$AR$125,MATCH('Mortality Margins &amp; Grading'!$AQ$4,'Mortality Margins &amp; Grading'!$AI$4:$AR$4,0),0),1)))</f>
        <v>1</v>
      </c>
      <c r="AC67" s="154"/>
      <c r="AD67" s="158">
        <f>IF(E67="","",Input!$C$48*IF(Summary!$D$30="Included Margin",IF(AND($B67&gt;Input!$C$9,Summary!$D$31&lt;&gt;"Included Margin"),0,1),0))</f>
        <v>-4.4999999999999997E-3</v>
      </c>
      <c r="AE67" s="159">
        <f>IF(E67="","",IF(Summary!$D$26="Included Margin",IF(AND($B67&gt;Input!$C$9,Summary!$D$31&lt;&gt;"Included Margin"),1,1/$R67),1))</f>
        <v>1.0253794191470571</v>
      </c>
      <c r="AF67" s="160">
        <f>IF(E67="","",IF(AND($B67&gt;=Input!$C$9,$C67=12,Summary!$D$31="Included Margin",$U67&gt;0),1/U67-1,IF($B67&gt;=Input!$C$9,0,Input!$C$45*IF(Summary!$D$27="Included Margin",1,0))))</f>
        <v>-0.1</v>
      </c>
      <c r="AG67" s="160">
        <f>IF(E67="","",Input!$C$46*IF(Summary!$D$28="Included Margin",IF(AND($B67&gt;Input!$C$9,Summary!$D$31&lt;&gt;"Included Margin"),0,1),0))</f>
        <v>0.02</v>
      </c>
      <c r="AH67" s="158">
        <f>IF(E67="","",Input!$C$47*IF(Summary!$D$29="Included Margin",IF(AND($B67&gt;Input!$C$9,Summary!$D$31&lt;&gt;"Included Margin"),0,1),0))</f>
        <v>2.5000000000000001E-3</v>
      </c>
      <c r="AI67" s="154"/>
      <c r="AJ67" s="158">
        <f t="shared" si="25"/>
        <v>3.7650000000000003E-2</v>
      </c>
      <c r="AK67" s="155">
        <f t="shared" si="26"/>
        <v>3.0846261138479658E-3</v>
      </c>
      <c r="AL67" s="147">
        <f t="shared" si="27"/>
        <v>7.8132799999999975E-4</v>
      </c>
      <c r="AM67" s="147">
        <f t="shared" si="3"/>
        <v>6.5133995006627643E-5</v>
      </c>
      <c r="AN67" s="160">
        <f t="shared" si="28"/>
        <v>0</v>
      </c>
      <c r="AO67" s="161">
        <f t="shared" si="29"/>
        <v>0</v>
      </c>
      <c r="AP67" s="156">
        <f t="shared" si="4"/>
        <v>1.1176776934618162</v>
      </c>
      <c r="AQ67" s="152"/>
      <c r="AR67" s="162">
        <f t="shared" si="5"/>
        <v>502.58548235234622</v>
      </c>
      <c r="AS67" s="150">
        <f t="shared" si="30"/>
        <v>0</v>
      </c>
      <c r="AT67" s="163">
        <f t="shared" si="6"/>
        <v>0</v>
      </c>
      <c r="AU67" s="163">
        <f t="shared" si="7"/>
        <v>6.5133995006627643</v>
      </c>
      <c r="AV67" s="163">
        <f t="shared" si="31"/>
        <v>1.5402426022100888</v>
      </c>
      <c r="AW67" s="163">
        <f t="shared" si="8"/>
        <v>3.2413590955628777E-2</v>
      </c>
      <c r="AX67" s="163">
        <f t="shared" si="9"/>
        <v>0</v>
      </c>
      <c r="AY67" s="164">
        <f t="shared" si="32"/>
        <v>497.64473904484913</v>
      </c>
      <c r="AZ67" s="164">
        <f>IF($E67="","",IF(OR(AND($D67=Input!$C$6,$C67=12),$AN67=1),0,-AS68+AT68+AU68-AV68-AW68-AX68+AZ68))</f>
        <v>497.64475451460589</v>
      </c>
      <c r="BA67" s="154">
        <f t="shared" si="10"/>
        <v>1.5469756760921882E-5</v>
      </c>
      <c r="BC67" s="147">
        <f t="shared" si="33"/>
        <v>0.73112979798560596</v>
      </c>
      <c r="BD67" s="164">
        <f>IF(AND($C66=12,$D66=Input!$C$6),0,IF($E67="","",AT67+(AU67+BD68)/(1+$AK67)*MIN((1-AM67-AN67),1)))</f>
        <v>2441.1772578349828</v>
      </c>
      <c r="BE67" s="164">
        <f t="shared" si="11"/>
        <v>1784.8174353679465</v>
      </c>
      <c r="BF67" s="164">
        <f t="shared" si="34"/>
        <v>497.64475451460589</v>
      </c>
      <c r="BG67" s="164">
        <f t="shared" si="12"/>
        <v>363.84290883686026</v>
      </c>
      <c r="BH67" s="152"/>
      <c r="BI67" s="162">
        <f t="shared" si="13"/>
        <v>222.57927471426828</v>
      </c>
      <c r="BJ67" s="150">
        <f t="shared" si="14"/>
        <v>0</v>
      </c>
      <c r="BK67" s="163">
        <f t="shared" si="38"/>
        <v>0</v>
      </c>
      <c r="BL67" s="163">
        <f t="shared" si="15"/>
        <v>6.1136141292994495</v>
      </c>
      <c r="BM67" s="163">
        <f t="shared" si="39"/>
        <v>0.75656571336657163</v>
      </c>
      <c r="BN67" s="163">
        <f t="shared" si="16"/>
        <v>1.3280941772445539E-2</v>
      </c>
      <c r="BO67" s="163">
        <f t="shared" si="17"/>
        <v>0</v>
      </c>
      <c r="BP67" s="164">
        <f t="shared" si="40"/>
        <v>217.23550724010784</v>
      </c>
      <c r="BQ67" s="164">
        <f>IF($E67="","",IF(AND($D67=Input!$C$6,$C67=12),0,-BJ68+BK68+BL68-BM68-BN68-BO68+BQ68))</f>
        <v>217.23552536292283</v>
      </c>
      <c r="BR67" s="161">
        <f t="shared" si="18"/>
        <v>0</v>
      </c>
      <c r="BT67" s="147">
        <f t="shared" si="19"/>
        <v>0.73112979798560596</v>
      </c>
      <c r="BU67" s="164">
        <f>IF(AND($C66=12,$D66=Input!$C$6),0,IF($E67="","",BK67+(BL67+BU68)/(1+$AK67)*MIN((1-T67-U67),1)))</f>
        <v>3787.9068240389993</v>
      </c>
      <c r="BV67" s="164">
        <f t="shared" si="20"/>
        <v>2769.4515510479318</v>
      </c>
      <c r="BW67" s="164">
        <f t="shared" si="21"/>
        <v>217.23552536292283</v>
      </c>
      <c r="BX67" s="164">
        <f t="shared" si="22"/>
        <v>158.82736577389073</v>
      </c>
    </row>
    <row r="68" spans="1:76" s="150" customFormat="1" x14ac:dyDescent="0.25">
      <c r="A68" s="150">
        <f t="shared" si="35"/>
        <v>64</v>
      </c>
      <c r="B68" s="150">
        <f t="shared" si="36"/>
        <v>6</v>
      </c>
      <c r="C68" s="150">
        <f t="shared" si="37"/>
        <v>4</v>
      </c>
      <c r="D68" s="150">
        <f>IF(E68="","",Input!$C$4+B68-1)</f>
        <v>50</v>
      </c>
      <c r="E68" s="150">
        <f>IF(OR(AND(C67=12,D67=Input!$C$6),E67=""),"",1)</f>
        <v>1</v>
      </c>
      <c r="F68" s="150">
        <f>IF(E68="","",Input!$C$8+B68-1)</f>
        <v>2023</v>
      </c>
      <c r="G68" s="151">
        <f>IF(E68="","",MAX(0,Input!$C$9-B68))</f>
        <v>14</v>
      </c>
      <c r="H68" s="152">
        <f>IF(E68="","",Input!$C$3)</f>
        <v>100000</v>
      </c>
      <c r="I68" s="153">
        <f>IF(E68="","",HLOOKUP($B68,Input!$C$13:$BT$14,2))</f>
        <v>2.2999999999999998</v>
      </c>
      <c r="J68" s="154"/>
      <c r="K68" s="155">
        <f>IF($E68="","",INDEX(Input!$C$16:$CP$16,1,$B68))</f>
        <v>2.7150000000000001E-2</v>
      </c>
      <c r="L68" s="155">
        <f>IF($E68="","",Input!$C$37)</f>
        <v>1.4999999999999999E-2</v>
      </c>
      <c r="M68" s="155">
        <f t="shared" si="23"/>
        <v>4.215E-2</v>
      </c>
      <c r="N68" s="155">
        <f t="shared" si="24"/>
        <v>3.4464158565041814E-3</v>
      </c>
      <c r="O68" s="147">
        <f>IF($E68="","",MIN(VLOOKUP(IF($B68&lt;=Input!$C$7,$B68,26),'Mortality Tables'!$A$41:$CW$67,IF($B68&lt;=Input!$C$7+1,Input!$C$4+2,$D68-Input!$C$7+2),0)*IF(B68&gt;20,Input!$C$22,1)/1000,1))</f>
        <v>7.5199999999999996E-4</v>
      </c>
      <c r="P68" s="147">
        <f>IF($E68="","",MIN(VLOOKUP(IF($B68&lt;=Input!$C$7,$B68,26),'Mortality Tables'!$A$12:$CW$37,IF($B68&lt;=Input!$C$7+1,Input!$C$4+2,$D68-Input!$C$7+2),0)*IF(B68&gt;20,Input!$C$22,1)/1000,1))</f>
        <v>9.3999999999999997E-4</v>
      </c>
      <c r="Q68" s="155">
        <f>IF($E68="","",Input!$C$21)</f>
        <v>5.0000000000000001E-3</v>
      </c>
      <c r="R68" s="159">
        <f>IF($E68="","",(1-Q68)^($F68-Input!$C$20))</f>
        <v>0.97524875312187509</v>
      </c>
      <c r="S68" s="147">
        <f t="shared" si="0"/>
        <v>7.3338706234765E-4</v>
      </c>
      <c r="T68" s="147">
        <f t="shared" si="1"/>
        <v>6.1136141292994495E-5</v>
      </c>
      <c r="U68" s="160">
        <f>IF($E68="","",IF($C68=12,INDEX(Input!$C$15:$CP$15,1,$B68),0))</f>
        <v>0</v>
      </c>
      <c r="V68" s="150">
        <f>IF(E68="","",IF(C68=1,IF($B68=1,Input!$C$33,Input!$C$34),0))</f>
        <v>0</v>
      </c>
      <c r="W68" s="156">
        <f>IF($E68="","",Input!$C$35)</f>
        <v>0.02</v>
      </c>
      <c r="X68" s="156">
        <f t="shared" si="2"/>
        <v>1.1040808032</v>
      </c>
      <c r="Y68" s="154"/>
      <c r="Z68" s="147">
        <f>IF($E68="","",VLOOKUP($D68,'Mortality Margins &amp; Grading'!$AB$5:$AF$125,3,0)*IF(Summary!$D$25="Included Margin",IF(AND($B68&gt;Input!$C$9,Summary!$D$31&lt;&gt;"Included Margin"),0,1),0))</f>
        <v>3.9E-2</v>
      </c>
      <c r="AA68" s="147">
        <f>IF($E68="","",VLOOKUP($D68,'Mortality Margins &amp; Grading'!$AB$5:$AF$125,5,0)*IF(Summary!$D$25="Included Margin",IF(AND($B68&gt;Input!$C$9,Summary!$D$31&lt;&gt;"Included Margin"),0,1),0))</f>
        <v>0.19800000000000001</v>
      </c>
      <c r="AB68" s="147">
        <f>IF($E68="","",IF(AND($B68&gt;Input!$C$9,Summary!$D$31&lt;&gt;"Included Margin"),1,IF(Summary!$D$25="Included Margin",VLOOKUP($B68,'Mortality Margins &amp; Grading'!$AI$5:$AR$125,MATCH('Mortality Margins &amp; Grading'!$AQ$4,'Mortality Margins &amp; Grading'!$AI$4:$AR$4,0),0),1)))</f>
        <v>1</v>
      </c>
      <c r="AC68" s="154"/>
      <c r="AD68" s="158">
        <f>IF(E68="","",Input!$C$48*IF(Summary!$D$30="Included Margin",IF(AND($B68&gt;Input!$C$9,Summary!$D$31&lt;&gt;"Included Margin"),0,1),0))</f>
        <v>-4.4999999999999997E-3</v>
      </c>
      <c r="AE68" s="159">
        <f>IF(E68="","",IF(Summary!$D$26="Included Margin",IF(AND($B68&gt;Input!$C$9,Summary!$D$31&lt;&gt;"Included Margin"),1,1/$R68),1))</f>
        <v>1.0253794191470571</v>
      </c>
      <c r="AF68" s="160">
        <f>IF(E68="","",IF(AND($B68&gt;=Input!$C$9,$C68=12,Summary!$D$31="Included Margin",$U68&gt;0),1/U68-1,IF($B68&gt;=Input!$C$9,0,Input!$C$45*IF(Summary!$D$27="Included Margin",1,0))))</f>
        <v>-0.1</v>
      </c>
      <c r="AG68" s="160">
        <f>IF(E68="","",Input!$C$46*IF(Summary!$D$28="Included Margin",IF(AND($B68&gt;Input!$C$9,Summary!$D$31&lt;&gt;"Included Margin"),0,1),0))</f>
        <v>0.02</v>
      </c>
      <c r="AH68" s="158">
        <f>IF(E68="","",Input!$C$47*IF(Summary!$D$29="Included Margin",IF(AND($B68&gt;Input!$C$9,Summary!$D$31&lt;&gt;"Included Margin"),0,1),0))</f>
        <v>2.5000000000000001E-3</v>
      </c>
      <c r="AI68" s="154"/>
      <c r="AJ68" s="158">
        <f t="shared" si="25"/>
        <v>3.7650000000000003E-2</v>
      </c>
      <c r="AK68" s="155">
        <f t="shared" si="26"/>
        <v>3.0846261138479658E-3</v>
      </c>
      <c r="AL68" s="147">
        <f t="shared" si="27"/>
        <v>7.8132799999999975E-4</v>
      </c>
      <c r="AM68" s="147">
        <f t="shared" si="3"/>
        <v>6.5133995006627643E-5</v>
      </c>
      <c r="AN68" s="160">
        <f t="shared" si="28"/>
        <v>0</v>
      </c>
      <c r="AO68" s="161">
        <f t="shared" si="29"/>
        <v>0</v>
      </c>
      <c r="AP68" s="156">
        <f t="shared" si="4"/>
        <v>1.1176776934618162</v>
      </c>
      <c r="AQ68" s="152"/>
      <c r="AR68" s="162">
        <f t="shared" si="5"/>
        <v>497.64473904484913</v>
      </c>
      <c r="AS68" s="150">
        <f t="shared" si="30"/>
        <v>0</v>
      </c>
      <c r="AT68" s="163">
        <f t="shared" si="6"/>
        <v>0</v>
      </c>
      <c r="AU68" s="163">
        <f t="shared" si="7"/>
        <v>6.5133995006627643</v>
      </c>
      <c r="AV68" s="163">
        <f t="shared" si="31"/>
        <v>1.5250022563819636</v>
      </c>
      <c r="AW68" s="163">
        <f t="shared" si="8"/>
        <v>3.2090766914280672E-2</v>
      </c>
      <c r="AX68" s="163">
        <f t="shared" si="9"/>
        <v>0</v>
      </c>
      <c r="AY68" s="164">
        <f t="shared" si="32"/>
        <v>492.68843256748261</v>
      </c>
      <c r="AZ68" s="164">
        <f>IF($E68="","",IF(OR(AND($D68=Input!$C$6,$C68=12),$AN68=1),0,-AS69+AT69+AU69-AV69-AW69-AX69+AZ69))</f>
        <v>492.68844803723937</v>
      </c>
      <c r="BA68" s="154">
        <f t="shared" si="10"/>
        <v>1.5469756760921882E-5</v>
      </c>
      <c r="BC68" s="147">
        <f t="shared" si="33"/>
        <v>0.73108509953097278</v>
      </c>
      <c r="BD68" s="164">
        <f>IF(AND($C67=12,$D67=Input!$C$6),0,IF($E68="","",AT68+(AU68+BD69)/(1+$AK68)*MIN((1-AM68-AN68),1)))</f>
        <v>2442.3534819355968</v>
      </c>
      <c r="BE68" s="164">
        <f t="shared" si="11"/>
        <v>1785.5682384307038</v>
      </c>
      <c r="BF68" s="164">
        <f t="shared" si="34"/>
        <v>492.68844803723937</v>
      </c>
      <c r="BG68" s="164">
        <f t="shared" si="12"/>
        <v>360.19718307106564</v>
      </c>
      <c r="BH68" s="152"/>
      <c r="BI68" s="162">
        <f t="shared" si="13"/>
        <v>217.23550724010786</v>
      </c>
      <c r="BJ68" s="150">
        <f t="shared" si="14"/>
        <v>0</v>
      </c>
      <c r="BK68" s="163">
        <f t="shared" si="38"/>
        <v>0</v>
      </c>
      <c r="BL68" s="163">
        <f t="shared" si="15"/>
        <v>6.1136141292994495</v>
      </c>
      <c r="BM68" s="163">
        <f t="shared" si="39"/>
        <v>0.73814886841015381</v>
      </c>
      <c r="BN68" s="163">
        <f t="shared" si="16"/>
        <v>1.2953098471198545E-2</v>
      </c>
      <c r="BO68" s="163">
        <f t="shared" si="17"/>
        <v>0</v>
      </c>
      <c r="BP68" s="164">
        <f t="shared" si="40"/>
        <v>211.87299507768975</v>
      </c>
      <c r="BQ68" s="164">
        <f>IF($E68="","",IF(AND($D68=Input!$C$6,$C68=12),0,-BJ69+BK69+BL69-BM69-BN69-BO69+BQ69))</f>
        <v>211.87301320050474</v>
      </c>
      <c r="BR68" s="161">
        <f t="shared" si="18"/>
        <v>0</v>
      </c>
      <c r="BT68" s="147">
        <f t="shared" si="19"/>
        <v>0.73108509953097278</v>
      </c>
      <c r="BU68" s="164">
        <f>IF(AND($C67=12,$D67=Input!$C$6),0,IF($E68="","",BK68+(BL68+BU69)/(1+$AK68)*MIN((1-T68-U68),1)))</f>
        <v>3793.7097927566451</v>
      </c>
      <c r="BV68" s="164">
        <f t="shared" si="20"/>
        <v>2773.5247014291181</v>
      </c>
      <c r="BW68" s="164">
        <f t="shared" si="21"/>
        <v>211.87301320050474</v>
      </c>
      <c r="BX68" s="164">
        <f t="shared" si="22"/>
        <v>154.89720294361811</v>
      </c>
    </row>
    <row r="69" spans="1:76" s="150" customFormat="1" x14ac:dyDescent="0.25">
      <c r="A69" s="150">
        <f t="shared" si="35"/>
        <v>65</v>
      </c>
      <c r="B69" s="150">
        <f t="shared" si="36"/>
        <v>6</v>
      </c>
      <c r="C69" s="150">
        <f t="shared" si="37"/>
        <v>5</v>
      </c>
      <c r="D69" s="150">
        <f>IF(E69="","",Input!$C$4+B69-1)</f>
        <v>50</v>
      </c>
      <c r="E69" s="150">
        <f>IF(OR(AND(C68=12,D68=Input!$C$6),E68=""),"",1)</f>
        <v>1</v>
      </c>
      <c r="F69" s="150">
        <f>IF(E69="","",Input!$C$8+B69-1)</f>
        <v>2023</v>
      </c>
      <c r="G69" s="151">
        <f>IF(E69="","",MAX(0,Input!$C$9-B69))</f>
        <v>14</v>
      </c>
      <c r="H69" s="152">
        <f>IF(E69="","",Input!$C$3)</f>
        <v>100000</v>
      </c>
      <c r="I69" s="153">
        <f>IF(E69="","",HLOOKUP($B69,Input!$C$13:$BT$14,2))</f>
        <v>2.2999999999999998</v>
      </c>
      <c r="J69" s="154"/>
      <c r="K69" s="155">
        <f>IF($E69="","",INDEX(Input!$C$16:$CP$16,1,$B69))</f>
        <v>2.7150000000000001E-2</v>
      </c>
      <c r="L69" s="155">
        <f>IF($E69="","",Input!$C$37)</f>
        <v>1.4999999999999999E-2</v>
      </c>
      <c r="M69" s="155">
        <f t="shared" si="23"/>
        <v>4.215E-2</v>
      </c>
      <c r="N69" s="155">
        <f t="shared" si="24"/>
        <v>3.4464158565041814E-3</v>
      </c>
      <c r="O69" s="147">
        <f>IF($E69="","",MIN(VLOOKUP(IF($B69&lt;=Input!$C$7,$B69,26),'Mortality Tables'!$A$41:$CW$67,IF($B69&lt;=Input!$C$7+1,Input!$C$4+2,$D69-Input!$C$7+2),0)*IF(B69&gt;20,Input!$C$22,1)/1000,1))</f>
        <v>7.5199999999999996E-4</v>
      </c>
      <c r="P69" s="147">
        <f>IF($E69="","",MIN(VLOOKUP(IF($B69&lt;=Input!$C$7,$B69,26),'Mortality Tables'!$A$12:$CW$37,IF($B69&lt;=Input!$C$7+1,Input!$C$4+2,$D69-Input!$C$7+2),0)*IF(B69&gt;20,Input!$C$22,1)/1000,1))</f>
        <v>9.3999999999999997E-4</v>
      </c>
      <c r="Q69" s="155">
        <f>IF($E69="","",Input!$C$21)</f>
        <v>5.0000000000000001E-3</v>
      </c>
      <c r="R69" s="159">
        <f>IF($E69="","",(1-Q69)^($F69-Input!$C$20))</f>
        <v>0.97524875312187509</v>
      </c>
      <c r="S69" s="147">
        <f t="shared" ref="S69:S132" si="41">IF($E69="","",MIN(O69*R69,1))</f>
        <v>7.3338706234765E-4</v>
      </c>
      <c r="T69" s="147">
        <f t="shared" ref="T69:T132" si="42">IF($E69="","",1-(1-S69)^(1/12))</f>
        <v>6.1136141292994495E-5</v>
      </c>
      <c r="U69" s="160">
        <f>IF($E69="","",IF($C69=12,INDEX(Input!$C$15:$CP$15,1,$B69),0))</f>
        <v>0</v>
      </c>
      <c r="V69" s="150">
        <f>IF(E69="","",IF(C69=1,IF($B69=1,Input!$C$33,Input!$C$34),0))</f>
        <v>0</v>
      </c>
      <c r="W69" s="156">
        <f>IF($E69="","",Input!$C$35)</f>
        <v>0.02</v>
      </c>
      <c r="X69" s="156">
        <f t="shared" ref="X69:X132" si="43">IF($E69="","",IF(B69=1,1,IF(C69=1,(1+W69)*X68,X68)))</f>
        <v>1.1040808032</v>
      </c>
      <c r="Y69" s="154"/>
      <c r="Z69" s="147">
        <f>IF($E69="","",VLOOKUP($D69,'Mortality Margins &amp; Grading'!$AB$5:$AF$125,3,0)*IF(Summary!$D$25="Included Margin",IF(AND($B69&gt;Input!$C$9,Summary!$D$31&lt;&gt;"Included Margin"),0,1),0))</f>
        <v>3.9E-2</v>
      </c>
      <c r="AA69" s="147">
        <f>IF($E69="","",VLOOKUP($D69,'Mortality Margins &amp; Grading'!$AB$5:$AF$125,5,0)*IF(Summary!$D$25="Included Margin",IF(AND($B69&gt;Input!$C$9,Summary!$D$31&lt;&gt;"Included Margin"),0,1),0))</f>
        <v>0.19800000000000001</v>
      </c>
      <c r="AB69" s="147">
        <f>IF($E69="","",IF(AND($B69&gt;Input!$C$9,Summary!$D$31&lt;&gt;"Included Margin"),1,IF(Summary!$D$25="Included Margin",VLOOKUP($B69,'Mortality Margins &amp; Grading'!$AI$5:$AR$125,MATCH('Mortality Margins &amp; Grading'!$AQ$4,'Mortality Margins &amp; Grading'!$AI$4:$AR$4,0),0),1)))</f>
        <v>1</v>
      </c>
      <c r="AC69" s="154"/>
      <c r="AD69" s="158">
        <f>IF(E69="","",Input!$C$48*IF(Summary!$D$30="Included Margin",IF(AND($B69&gt;Input!$C$9,Summary!$D$31&lt;&gt;"Included Margin"),0,1),0))</f>
        <v>-4.4999999999999997E-3</v>
      </c>
      <c r="AE69" s="159">
        <f>IF(E69="","",IF(Summary!$D$26="Included Margin",IF(AND($B69&gt;Input!$C$9,Summary!$D$31&lt;&gt;"Included Margin"),1,1/$R69),1))</f>
        <v>1.0253794191470571</v>
      </c>
      <c r="AF69" s="160">
        <f>IF(E69="","",IF(AND($B69&gt;=Input!$C$9,$C69=12,Summary!$D$31="Included Margin",$U69&gt;0),1/U69-1,IF($B69&gt;=Input!$C$9,0,Input!$C$45*IF(Summary!$D$27="Included Margin",1,0))))</f>
        <v>-0.1</v>
      </c>
      <c r="AG69" s="160">
        <f>IF(E69="","",Input!$C$46*IF(Summary!$D$28="Included Margin",IF(AND($B69&gt;Input!$C$9,Summary!$D$31&lt;&gt;"Included Margin"),0,1),0))</f>
        <v>0.02</v>
      </c>
      <c r="AH69" s="158">
        <f>IF(E69="","",Input!$C$47*IF(Summary!$D$29="Included Margin",IF(AND($B69&gt;Input!$C$9,Summary!$D$31&lt;&gt;"Included Margin"),0,1),0))</f>
        <v>2.5000000000000001E-3</v>
      </c>
      <c r="AI69" s="154"/>
      <c r="AJ69" s="158">
        <f t="shared" si="25"/>
        <v>3.7650000000000003E-2</v>
      </c>
      <c r="AK69" s="155">
        <f t="shared" si="26"/>
        <v>3.0846261138479658E-3</v>
      </c>
      <c r="AL69" s="147">
        <f t="shared" si="27"/>
        <v>7.8132799999999975E-4</v>
      </c>
      <c r="AM69" s="147">
        <f t="shared" ref="AM69:AM132" si="44">IF($E69="","",1-(1-AL69)^(1/12))</f>
        <v>6.5133995006627643E-5</v>
      </c>
      <c r="AN69" s="160">
        <f t="shared" si="28"/>
        <v>0</v>
      </c>
      <c r="AO69" s="161">
        <f t="shared" si="29"/>
        <v>0</v>
      </c>
      <c r="AP69" s="156">
        <f t="shared" ref="AP69:AP132" si="45">IF($E69="","",IF(B69=1,1,IF(C69=1,(1+$W69+$AH69)*AP68,AP68)))</f>
        <v>1.1176776934618162</v>
      </c>
      <c r="AQ69" s="152"/>
      <c r="AR69" s="162">
        <f t="shared" ref="AR69:AR132" si="46">IF($E69="","",(AZ69*(1-$AN69)*(1-$AM69)/(1+$AK69)+AU69/(1+$AK69/2)-AS69+AT69))</f>
        <v>492.68843256748266</v>
      </c>
      <c r="AS69" s="150">
        <f t="shared" si="30"/>
        <v>0</v>
      </c>
      <c r="AT69" s="163">
        <f t="shared" ref="AT69:AT132" si="47">IF($E69="","",$AO69*$AP69)</f>
        <v>0</v>
      </c>
      <c r="AU69" s="163">
        <f t="shared" ref="AU69:AU132" si="48">IF($E69="","",$AM69*$H69)</f>
        <v>6.5133995006627643</v>
      </c>
      <c r="AV69" s="163">
        <f t="shared" si="31"/>
        <v>1.5097139039936451</v>
      </c>
      <c r="AW69" s="163">
        <f t="shared" ref="AW69:AW132" si="49">IF($E69="","",AZ69*$AM69)</f>
        <v>3.1766925988411195E-2</v>
      </c>
      <c r="AX69" s="163">
        <f t="shared" ref="AX69:AX132" si="50">IF($E69="","",$AN69*AZ69*(1-$AM69))</f>
        <v>0</v>
      </c>
      <c r="AY69" s="164">
        <f t="shared" si="32"/>
        <v>487.71651389680193</v>
      </c>
      <c r="AZ69" s="164">
        <f>IF($E69="","",IF(OR(AND($D69=Input!$C$6,$C69=12),$AN69=1),0,-AS70+AT70+AU70-AV70-AW70-AX70+AZ70))</f>
        <v>487.71652936655869</v>
      </c>
      <c r="BA69" s="154">
        <f t="shared" ref="BA69:BA132" si="51">IF(E69="","",AZ69-AY69)</f>
        <v>1.5469756760921882E-5</v>
      </c>
      <c r="BC69" s="147">
        <f t="shared" si="33"/>
        <v>0.73104040380903068</v>
      </c>
      <c r="BD69" s="164">
        <f>IF(AND($C68=12,$D68=Input!$C$6),0,IF($E69="","",AT69+(AU69+BD70)/(1+$AK69)*MIN((1-AM69-AN69),1)))</f>
        <v>2443.533411101288</v>
      </c>
      <c r="BE69" s="164">
        <f t="shared" ref="BE69:BE132" si="52">IF($E69="","",BC69*BD69)</f>
        <v>1786.3216515723439</v>
      </c>
      <c r="BF69" s="164">
        <f t="shared" si="34"/>
        <v>487.71652936655869</v>
      </c>
      <c r="BG69" s="164">
        <f t="shared" ref="BG69:BG132" si="53">IF($E69="","",BC69*BF69)</f>
        <v>356.54048857246801</v>
      </c>
      <c r="BH69" s="152"/>
      <c r="BI69" s="162">
        <f t="shared" ref="BI69:BI132" si="54">IF($E69="","",(BQ69*(1-$U69)*(1-$T69)/(1+$N69)+BL69/(1+$N69/2)-BJ69+BK69))</f>
        <v>211.87299507768978</v>
      </c>
      <c r="BJ69" s="150">
        <f t="shared" ref="BJ69:BJ132" si="55">IF($E69="","",AS69)</f>
        <v>0</v>
      </c>
      <c r="BK69" s="163">
        <f t="shared" si="38"/>
        <v>0</v>
      </c>
      <c r="BL69" s="163">
        <f t="shared" ref="BL69:BL132" si="56">IF(E69="","",$T69*$H69)</f>
        <v>6.1136141292994495</v>
      </c>
      <c r="BM69" s="163">
        <f t="shared" si="39"/>
        <v>0.71966742146289964</v>
      </c>
      <c r="BN69" s="163">
        <f t="shared" ref="BN69:BN132" si="57">IF($E69="","",BQ69*$T69)</f>
        <v>1.2624105172218873E-2</v>
      </c>
      <c r="BO69" s="163">
        <f t="shared" ref="BO69:BO132" si="58">IF($E69="","",$U69*BQ69*(1-$T69))</f>
        <v>0</v>
      </c>
      <c r="BP69" s="164">
        <f t="shared" si="40"/>
        <v>206.49167247502547</v>
      </c>
      <c r="BQ69" s="164">
        <f>IF($E69="","",IF(AND($D69=Input!$C$6,$C69=12),0,-BJ70+BK70+BL70-BM70-BN70-BO70+BQ70))</f>
        <v>206.4916905978404</v>
      </c>
      <c r="BR69" s="161">
        <f t="shared" ref="BR69:BR132" si="59">IF(E69="","",ROUND(BQ69-BP69,1))</f>
        <v>0</v>
      </c>
      <c r="BT69" s="147">
        <f t="shared" ref="BT69:BT132" si="60">IF(E69="","",BC69)</f>
        <v>0.73104040380903068</v>
      </c>
      <c r="BU69" s="164">
        <f>IF(AND($C68=12,$D68=Input!$C$6),0,IF($E69="","",BK69+(BL69+BU70)/(1+$AK69)*MIN((1-T69-U69),1)))</f>
        <v>3799.5310173503444</v>
      </c>
      <c r="BV69" s="164">
        <f t="shared" ref="BV69:BV132" si="61">IF(E69="","",BT69*BU69)</f>
        <v>2777.6106892087328</v>
      </c>
      <c r="BW69" s="164">
        <f t="shared" ref="BW69:BW132" si="62">IF(E69="","",BQ69)</f>
        <v>206.4916905978404</v>
      </c>
      <c r="BX69" s="164">
        <f t="shared" ref="BX69:BX132" si="63">IF(E69="","",BT69*BW69)</f>
        <v>150.95376887785469</v>
      </c>
    </row>
    <row r="70" spans="1:76" s="150" customFormat="1" x14ac:dyDescent="0.25">
      <c r="A70" s="150">
        <f t="shared" si="35"/>
        <v>66</v>
      </c>
      <c r="B70" s="150">
        <f t="shared" si="36"/>
        <v>6</v>
      </c>
      <c r="C70" s="150">
        <f t="shared" si="37"/>
        <v>6</v>
      </c>
      <c r="D70" s="150">
        <f>IF(E70="","",Input!$C$4+B70-1)</f>
        <v>50</v>
      </c>
      <c r="E70" s="150">
        <f>IF(OR(AND(C69=12,D69=Input!$C$6),E69=""),"",1)</f>
        <v>1</v>
      </c>
      <c r="F70" s="150">
        <f>IF(E70="","",Input!$C$8+B70-1)</f>
        <v>2023</v>
      </c>
      <c r="G70" s="151">
        <f>IF(E70="","",MAX(0,Input!$C$9-B70))</f>
        <v>14</v>
      </c>
      <c r="H70" s="152">
        <f>IF(E70="","",Input!$C$3)</f>
        <v>100000</v>
      </c>
      <c r="I70" s="153">
        <f>IF(E70="","",HLOOKUP($B70,Input!$C$13:$BT$14,2))</f>
        <v>2.2999999999999998</v>
      </c>
      <c r="J70" s="154"/>
      <c r="K70" s="155">
        <f>IF($E70="","",INDEX(Input!$C$16:$CP$16,1,$B70))</f>
        <v>2.7150000000000001E-2</v>
      </c>
      <c r="L70" s="155">
        <f>IF($E70="","",Input!$C$37)</f>
        <v>1.4999999999999999E-2</v>
      </c>
      <c r="M70" s="155">
        <f t="shared" ref="M70:M133" si="64">IF($E70="","",K70+L70)</f>
        <v>4.215E-2</v>
      </c>
      <c r="N70" s="155">
        <f t="shared" ref="N70:N133" si="65">IF($E70="","",(1+M70)^(1/12)-1)</f>
        <v>3.4464158565041814E-3</v>
      </c>
      <c r="O70" s="147">
        <f>IF($E70="","",MIN(VLOOKUP(IF($B70&lt;=Input!$C$7,$B70,26),'Mortality Tables'!$A$41:$CW$67,IF($B70&lt;=Input!$C$7+1,Input!$C$4+2,$D70-Input!$C$7+2),0)*IF(B70&gt;20,Input!$C$22,1)/1000,1))</f>
        <v>7.5199999999999996E-4</v>
      </c>
      <c r="P70" s="147">
        <f>IF($E70="","",MIN(VLOOKUP(IF($B70&lt;=Input!$C$7,$B70,26),'Mortality Tables'!$A$12:$CW$37,IF($B70&lt;=Input!$C$7+1,Input!$C$4+2,$D70-Input!$C$7+2),0)*IF(B70&gt;20,Input!$C$22,1)/1000,1))</f>
        <v>9.3999999999999997E-4</v>
      </c>
      <c r="Q70" s="155">
        <f>IF($E70="","",Input!$C$21)</f>
        <v>5.0000000000000001E-3</v>
      </c>
      <c r="R70" s="159">
        <f>IF($E70="","",(1-Q70)^($F70-Input!$C$20))</f>
        <v>0.97524875312187509</v>
      </c>
      <c r="S70" s="147">
        <f t="shared" si="41"/>
        <v>7.3338706234765E-4</v>
      </c>
      <c r="T70" s="147">
        <f t="shared" si="42"/>
        <v>6.1136141292994495E-5</v>
      </c>
      <c r="U70" s="160">
        <f>IF($E70="","",IF($C70=12,INDEX(Input!$C$15:$CP$15,1,$B70),0))</f>
        <v>0</v>
      </c>
      <c r="V70" s="150">
        <f>IF(E70="","",IF(C70=1,IF($B70=1,Input!$C$33,Input!$C$34),0))</f>
        <v>0</v>
      </c>
      <c r="W70" s="156">
        <f>IF($E70="","",Input!$C$35)</f>
        <v>0.02</v>
      </c>
      <c r="X70" s="156">
        <f t="shared" si="43"/>
        <v>1.1040808032</v>
      </c>
      <c r="Y70" s="154"/>
      <c r="Z70" s="147">
        <f>IF($E70="","",VLOOKUP($D70,'Mortality Margins &amp; Grading'!$AB$5:$AF$125,3,0)*IF(Summary!$D$25="Included Margin",IF(AND($B70&gt;Input!$C$9,Summary!$D$31&lt;&gt;"Included Margin"),0,1),0))</f>
        <v>3.9E-2</v>
      </c>
      <c r="AA70" s="147">
        <f>IF($E70="","",VLOOKUP($D70,'Mortality Margins &amp; Grading'!$AB$5:$AF$125,5,0)*IF(Summary!$D$25="Included Margin",IF(AND($B70&gt;Input!$C$9,Summary!$D$31&lt;&gt;"Included Margin"),0,1),0))</f>
        <v>0.19800000000000001</v>
      </c>
      <c r="AB70" s="147">
        <f>IF($E70="","",IF(AND($B70&gt;Input!$C$9,Summary!$D$31&lt;&gt;"Included Margin"),1,IF(Summary!$D$25="Included Margin",VLOOKUP($B70,'Mortality Margins &amp; Grading'!$AI$5:$AR$125,MATCH('Mortality Margins &amp; Grading'!$AQ$4,'Mortality Margins &amp; Grading'!$AI$4:$AR$4,0),0),1)))</f>
        <v>1</v>
      </c>
      <c r="AC70" s="154"/>
      <c r="AD70" s="158">
        <f>IF(E70="","",Input!$C$48*IF(Summary!$D$30="Included Margin",IF(AND($B70&gt;Input!$C$9,Summary!$D$31&lt;&gt;"Included Margin"),0,1),0))</f>
        <v>-4.4999999999999997E-3</v>
      </c>
      <c r="AE70" s="159">
        <f>IF(E70="","",IF(Summary!$D$26="Included Margin",IF(AND($B70&gt;Input!$C$9,Summary!$D$31&lt;&gt;"Included Margin"),1,1/$R70),1))</f>
        <v>1.0253794191470571</v>
      </c>
      <c r="AF70" s="160">
        <f>IF(E70="","",IF(AND($B70&gt;=Input!$C$9,$C70=12,Summary!$D$31="Included Margin",$U70&gt;0),1/U70-1,IF($B70&gt;=Input!$C$9,0,Input!$C$45*IF(Summary!$D$27="Included Margin",1,0))))</f>
        <v>-0.1</v>
      </c>
      <c r="AG70" s="160">
        <f>IF(E70="","",Input!$C$46*IF(Summary!$D$28="Included Margin",IF(AND($B70&gt;Input!$C$9,Summary!$D$31&lt;&gt;"Included Margin"),0,1),0))</f>
        <v>0.02</v>
      </c>
      <c r="AH70" s="158">
        <f>IF(E70="","",Input!$C$47*IF(Summary!$D$29="Included Margin",IF(AND($B70&gt;Input!$C$9,Summary!$D$31&lt;&gt;"Included Margin"),0,1),0))</f>
        <v>2.5000000000000001E-3</v>
      </c>
      <c r="AI70" s="154"/>
      <c r="AJ70" s="158">
        <f t="shared" ref="AJ70:AJ133" si="66">IF(E70="","",M70+AD70)</f>
        <v>3.7650000000000003E-2</v>
      </c>
      <c r="AK70" s="155">
        <f t="shared" ref="AK70:AK133" si="67">IF(E70="","",(1+AJ70)^(1/12)-1)</f>
        <v>3.0846261138479658E-3</v>
      </c>
      <c r="AL70" s="147">
        <f t="shared" ref="AL70:AL133" si="68">IF($E70="","",MIN(($O70*(1+$Z70)*$AB70+$P70*(1+$AA70)*(1-$AB70))*R70*AE70,1))</f>
        <v>7.8132799999999975E-4</v>
      </c>
      <c r="AM70" s="147">
        <f t="shared" si="44"/>
        <v>6.5133995006627643E-5</v>
      </c>
      <c r="AN70" s="160">
        <f t="shared" ref="AN70:AN133" si="69">IF(E70="","",IF(U70=1,1,(1+AF70)*U70))</f>
        <v>0</v>
      </c>
      <c r="AO70" s="161">
        <f t="shared" ref="AO70:AO133" si="70">IF($E70="","",(1+$AG70)*$V70)</f>
        <v>0</v>
      </c>
      <c r="AP70" s="156">
        <f t="shared" si="45"/>
        <v>1.1176776934618162</v>
      </c>
      <c r="AQ70" s="152"/>
      <c r="AR70" s="162">
        <f t="shared" si="46"/>
        <v>487.71651389680193</v>
      </c>
      <c r="AS70" s="150">
        <f t="shared" ref="AS70:AS133" si="71">IF($E70="","",IF($C70=1,$I70*$H70/1000,0))</f>
        <v>0</v>
      </c>
      <c r="AT70" s="163">
        <f t="shared" si="47"/>
        <v>0</v>
      </c>
      <c r="AU70" s="163">
        <f t="shared" si="48"/>
        <v>6.5133995006627643</v>
      </c>
      <c r="AV70" s="163">
        <f t="shared" ref="AV70:AV133" si="72">IF($E70="","",(AR70+AS70-AT70-AU70/2)*$AK70)</f>
        <v>1.4943773938261351</v>
      </c>
      <c r="AW70" s="163">
        <f t="shared" si="49"/>
        <v>3.144206497486942E-2</v>
      </c>
      <c r="AX70" s="163">
        <f t="shared" si="50"/>
        <v>0</v>
      </c>
      <c r="AY70" s="164">
        <f t="shared" ref="AY70:AY133" si="73">IF($E70="","",AR70+AS70-AT70-AU70+AV70+AW70+AX70)</f>
        <v>482.72893385494018</v>
      </c>
      <c r="AZ70" s="164">
        <f>IF($E70="","",IF(OR(AND($D70=Input!$C$6,$C70=12),$AN70=1),0,-AS71+AT71+AU71-AV71-AW71-AX71+AZ71))</f>
        <v>482.72894932469694</v>
      </c>
      <c r="BA70" s="154">
        <f t="shared" si="51"/>
        <v>1.5469756760921882E-5</v>
      </c>
      <c r="BC70" s="147">
        <f t="shared" ref="BC70:BC133" si="74">IF($E70="","",MIN(1,(1-T70-U70))*BC69)</f>
        <v>0.73099571081961257</v>
      </c>
      <c r="BD70" s="164">
        <f>IF(AND($C69=12,$D69=Input!$C$6),0,IF($E70="","",AT70+(AU70+BD71)/(1+$AK70)*MIN((1-AM70-AN70),1)))</f>
        <v>2444.717057002882</v>
      </c>
      <c r="BE70" s="164">
        <f t="shared" si="52"/>
        <v>1787.0776828366531</v>
      </c>
      <c r="BF70" s="164">
        <f t="shared" ref="BF70:BF133" si="75">IF($E70="","",AZ70)</f>
        <v>482.72894932469694</v>
      </c>
      <c r="BG70" s="164">
        <f t="shared" si="53"/>
        <v>352.87279144481158</v>
      </c>
      <c r="BH70" s="152"/>
      <c r="BI70" s="162">
        <f t="shared" si="54"/>
        <v>206.49167247502544</v>
      </c>
      <c r="BJ70" s="150">
        <f t="shared" si="55"/>
        <v>0</v>
      </c>
      <c r="BK70" s="163">
        <f t="shared" si="38"/>
        <v>0</v>
      </c>
      <c r="BL70" s="163">
        <f t="shared" si="56"/>
        <v>6.1136141292994495</v>
      </c>
      <c r="BM70" s="163">
        <f t="shared" si="39"/>
        <v>0.70112114591611285</v>
      </c>
      <c r="BN70" s="163">
        <f t="shared" si="57"/>
        <v>1.2293957841583061E-2</v>
      </c>
      <c r="BO70" s="163">
        <f t="shared" si="58"/>
        <v>0</v>
      </c>
      <c r="BP70" s="164">
        <f t="shared" si="40"/>
        <v>201.09147344948371</v>
      </c>
      <c r="BQ70" s="164">
        <f>IF($E70="","",IF(AND($D70=Input!$C$6,$C70=12),0,-BJ71+BK71+BL71-BM71-BN71-BO71+BQ71))</f>
        <v>201.09149157229865</v>
      </c>
      <c r="BR70" s="161">
        <f t="shared" si="59"/>
        <v>0</v>
      </c>
      <c r="BT70" s="147">
        <f t="shared" si="60"/>
        <v>0.73099571081961257</v>
      </c>
      <c r="BU70" s="164">
        <f>IF(AND($C69=12,$D69=Input!$C$6),0,IF($E70="","",BK70+(BL70+BU71)/(1+$AK70)*MIN((1-T70-U70),1)))</f>
        <v>3805.3705552522547</v>
      </c>
      <c r="BV70" s="164">
        <f t="shared" si="61"/>
        <v>2781.7095539686457</v>
      </c>
      <c r="BW70" s="164">
        <f t="shared" si="62"/>
        <v>201.09149157229865</v>
      </c>
      <c r="BX70" s="164">
        <f t="shared" si="63"/>
        <v>146.99701782166858</v>
      </c>
    </row>
    <row r="71" spans="1:76" s="150" customFormat="1" x14ac:dyDescent="0.25">
      <c r="A71" s="150">
        <f t="shared" ref="A71:A134" si="76">IF(E71="","",A70+1)</f>
        <v>67</v>
      </c>
      <c r="B71" s="150">
        <f t="shared" ref="B71:B134" si="77">IF(E71="","",IF(C70+1&gt;12,B70+1,B70))</f>
        <v>6</v>
      </c>
      <c r="C71" s="150">
        <f t="shared" ref="C71:C134" si="78">IF(E71="","",IF(C70+1&gt;12,1,C70+1))</f>
        <v>7</v>
      </c>
      <c r="D71" s="150">
        <f>IF(E71="","",Input!$C$4+B71-1)</f>
        <v>50</v>
      </c>
      <c r="E71" s="150">
        <f>IF(OR(AND(C70=12,D70=Input!$C$6),E70=""),"",1)</f>
        <v>1</v>
      </c>
      <c r="F71" s="150">
        <f>IF(E71="","",Input!$C$8+B71-1)</f>
        <v>2023</v>
      </c>
      <c r="G71" s="151">
        <f>IF(E71="","",MAX(0,Input!$C$9-B71))</f>
        <v>14</v>
      </c>
      <c r="H71" s="152">
        <f>IF(E71="","",Input!$C$3)</f>
        <v>100000</v>
      </c>
      <c r="I71" s="153">
        <f>IF(E71="","",HLOOKUP($B71,Input!$C$13:$BT$14,2))</f>
        <v>2.2999999999999998</v>
      </c>
      <c r="J71" s="154"/>
      <c r="K71" s="155">
        <f>IF($E71="","",INDEX(Input!$C$16:$CP$16,1,$B71))</f>
        <v>2.7150000000000001E-2</v>
      </c>
      <c r="L71" s="155">
        <f>IF($E71="","",Input!$C$37)</f>
        <v>1.4999999999999999E-2</v>
      </c>
      <c r="M71" s="155">
        <f t="shared" si="64"/>
        <v>4.215E-2</v>
      </c>
      <c r="N71" s="155">
        <f t="shared" si="65"/>
        <v>3.4464158565041814E-3</v>
      </c>
      <c r="O71" s="147">
        <f>IF($E71="","",MIN(VLOOKUP(IF($B71&lt;=Input!$C$7,$B71,26),'Mortality Tables'!$A$41:$CW$67,IF($B71&lt;=Input!$C$7+1,Input!$C$4+2,$D71-Input!$C$7+2),0)*IF(B71&gt;20,Input!$C$22,1)/1000,1))</f>
        <v>7.5199999999999996E-4</v>
      </c>
      <c r="P71" s="147">
        <f>IF($E71="","",MIN(VLOOKUP(IF($B71&lt;=Input!$C$7,$B71,26),'Mortality Tables'!$A$12:$CW$37,IF($B71&lt;=Input!$C$7+1,Input!$C$4+2,$D71-Input!$C$7+2),0)*IF(B71&gt;20,Input!$C$22,1)/1000,1))</f>
        <v>9.3999999999999997E-4</v>
      </c>
      <c r="Q71" s="155">
        <f>IF($E71="","",Input!$C$21)</f>
        <v>5.0000000000000001E-3</v>
      </c>
      <c r="R71" s="159">
        <f>IF($E71="","",(1-Q71)^($F71-Input!$C$20))</f>
        <v>0.97524875312187509</v>
      </c>
      <c r="S71" s="147">
        <f t="shared" si="41"/>
        <v>7.3338706234765E-4</v>
      </c>
      <c r="T71" s="147">
        <f t="shared" si="42"/>
        <v>6.1136141292994495E-5</v>
      </c>
      <c r="U71" s="160">
        <f>IF($E71="","",IF($C71=12,INDEX(Input!$C$15:$CP$15,1,$B71),0))</f>
        <v>0</v>
      </c>
      <c r="V71" s="150">
        <f>IF(E71="","",IF(C71=1,IF($B71=1,Input!$C$33,Input!$C$34),0))</f>
        <v>0</v>
      </c>
      <c r="W71" s="156">
        <f>IF($E71="","",Input!$C$35)</f>
        <v>0.02</v>
      </c>
      <c r="X71" s="156">
        <f t="shared" si="43"/>
        <v>1.1040808032</v>
      </c>
      <c r="Y71" s="154"/>
      <c r="Z71" s="147">
        <f>IF($E71="","",VLOOKUP($D71,'Mortality Margins &amp; Grading'!$AB$5:$AF$125,3,0)*IF(Summary!$D$25="Included Margin",IF(AND($B71&gt;Input!$C$9,Summary!$D$31&lt;&gt;"Included Margin"),0,1),0))</f>
        <v>3.9E-2</v>
      </c>
      <c r="AA71" s="147">
        <f>IF($E71="","",VLOOKUP($D71,'Mortality Margins &amp; Grading'!$AB$5:$AF$125,5,0)*IF(Summary!$D$25="Included Margin",IF(AND($B71&gt;Input!$C$9,Summary!$D$31&lt;&gt;"Included Margin"),0,1),0))</f>
        <v>0.19800000000000001</v>
      </c>
      <c r="AB71" s="147">
        <f>IF($E71="","",IF(AND($B71&gt;Input!$C$9,Summary!$D$31&lt;&gt;"Included Margin"),1,IF(Summary!$D$25="Included Margin",VLOOKUP($B71,'Mortality Margins &amp; Grading'!$AI$5:$AR$125,MATCH('Mortality Margins &amp; Grading'!$AQ$4,'Mortality Margins &amp; Grading'!$AI$4:$AR$4,0),0),1)))</f>
        <v>1</v>
      </c>
      <c r="AC71" s="154"/>
      <c r="AD71" s="158">
        <f>IF(E71="","",Input!$C$48*IF(Summary!$D$30="Included Margin",IF(AND($B71&gt;Input!$C$9,Summary!$D$31&lt;&gt;"Included Margin"),0,1),0))</f>
        <v>-4.4999999999999997E-3</v>
      </c>
      <c r="AE71" s="159">
        <f>IF(E71="","",IF(Summary!$D$26="Included Margin",IF(AND($B71&gt;Input!$C$9,Summary!$D$31&lt;&gt;"Included Margin"),1,1/$R71),1))</f>
        <v>1.0253794191470571</v>
      </c>
      <c r="AF71" s="160">
        <f>IF(E71="","",IF(AND($B71&gt;=Input!$C$9,$C71=12,Summary!$D$31="Included Margin",$U71&gt;0),1/U71-1,IF($B71&gt;=Input!$C$9,0,Input!$C$45*IF(Summary!$D$27="Included Margin",1,0))))</f>
        <v>-0.1</v>
      </c>
      <c r="AG71" s="160">
        <f>IF(E71="","",Input!$C$46*IF(Summary!$D$28="Included Margin",IF(AND($B71&gt;Input!$C$9,Summary!$D$31&lt;&gt;"Included Margin"),0,1),0))</f>
        <v>0.02</v>
      </c>
      <c r="AH71" s="158">
        <f>IF(E71="","",Input!$C$47*IF(Summary!$D$29="Included Margin",IF(AND($B71&gt;Input!$C$9,Summary!$D$31&lt;&gt;"Included Margin"),0,1),0))</f>
        <v>2.5000000000000001E-3</v>
      </c>
      <c r="AI71" s="154"/>
      <c r="AJ71" s="158">
        <f t="shared" si="66"/>
        <v>3.7650000000000003E-2</v>
      </c>
      <c r="AK71" s="155">
        <f t="shared" si="67"/>
        <v>3.0846261138479658E-3</v>
      </c>
      <c r="AL71" s="147">
        <f t="shared" si="68"/>
        <v>7.8132799999999975E-4</v>
      </c>
      <c r="AM71" s="147">
        <f t="shared" si="44"/>
        <v>6.5133995006627643E-5</v>
      </c>
      <c r="AN71" s="160">
        <f t="shared" si="69"/>
        <v>0</v>
      </c>
      <c r="AO71" s="161">
        <f t="shared" si="70"/>
        <v>0</v>
      </c>
      <c r="AP71" s="156">
        <f t="shared" si="45"/>
        <v>1.1176776934618162</v>
      </c>
      <c r="AQ71" s="152"/>
      <c r="AR71" s="162">
        <f t="shared" si="46"/>
        <v>482.72893385494024</v>
      </c>
      <c r="AS71" s="150">
        <f t="shared" si="71"/>
        <v>0</v>
      </c>
      <c r="AT71" s="163">
        <f t="shared" si="47"/>
        <v>0</v>
      </c>
      <c r="AU71" s="163">
        <f t="shared" si="48"/>
        <v>6.5133995006627643</v>
      </c>
      <c r="AV71" s="163">
        <f t="shared" si="72"/>
        <v>1.4789925741841017</v>
      </c>
      <c r="AW71" s="163">
        <f t="shared" si="49"/>
        <v>3.1116180660414588E-2</v>
      </c>
      <c r="AX71" s="163">
        <f t="shared" si="50"/>
        <v>0</v>
      </c>
      <c r="AY71" s="164">
        <f t="shared" si="73"/>
        <v>477.72564310912196</v>
      </c>
      <c r="AZ71" s="164">
        <f>IF($E71="","",IF(OR(AND($D71=Input!$C$6,$C71=12),$AN71=1),0,-AS72+AT72+AU72-AV72-AW72-AX72+AZ72))</f>
        <v>477.72565857887872</v>
      </c>
      <c r="BA71" s="154">
        <f t="shared" si="51"/>
        <v>1.5469756760921882E-5</v>
      </c>
      <c r="BC71" s="147">
        <f t="shared" si="74"/>
        <v>0.73095102056255135</v>
      </c>
      <c r="BD71" s="164">
        <f>IF(AND($C70=12,$D70=Input!$C$6),0,IF($E71="","",AT71+(AU71+BD72)/(1+$AK71)*MIN((1-AM71-AN71),1)))</f>
        <v>2445.904431347969</v>
      </c>
      <c r="BE71" s="164">
        <f t="shared" si="52"/>
        <v>1787.8363402922648</v>
      </c>
      <c r="BF71" s="164">
        <f t="shared" si="75"/>
        <v>477.72565857887872</v>
      </c>
      <c r="BG71" s="164">
        <f t="shared" si="53"/>
        <v>349.19405768714836</v>
      </c>
      <c r="BH71" s="152"/>
      <c r="BI71" s="162">
        <f t="shared" si="54"/>
        <v>201.09147344948369</v>
      </c>
      <c r="BJ71" s="150">
        <f t="shared" si="55"/>
        <v>0</v>
      </c>
      <c r="BK71" s="163">
        <f t="shared" ref="BK71:BK134" si="79">IF($E71="","",$V71*$X71)</f>
        <v>0</v>
      </c>
      <c r="BL71" s="163">
        <f t="shared" si="56"/>
        <v>6.1136141292994495</v>
      </c>
      <c r="BM71" s="163">
        <f t="shared" ref="BM71:BM134" si="80">IF($E71="","",(BI71+BJ71-BK71-BL71/2)*$N71)</f>
        <v>0.68250981436620739</v>
      </c>
      <c r="BN71" s="163">
        <f t="shared" si="57"/>
        <v>1.1962652431217585E-2</v>
      </c>
      <c r="BO71" s="163">
        <f t="shared" si="58"/>
        <v>0</v>
      </c>
      <c r="BP71" s="164">
        <f t="shared" ref="BP71:BP134" si="81">IF($E71="","",BI71+BJ71-BK71-BL71+BM71+BN71+BO71)</f>
        <v>195.67233178698163</v>
      </c>
      <c r="BQ71" s="164">
        <f>IF($E71="","",IF(AND($D71=Input!$C$6,$C71=12),0,-BJ72+BK72+BL72-BM72-BN72-BO72+BQ72))</f>
        <v>195.67234990979662</v>
      </c>
      <c r="BR71" s="161">
        <f t="shared" si="59"/>
        <v>0</v>
      </c>
      <c r="BT71" s="147">
        <f t="shared" si="60"/>
        <v>0.73095102056255135</v>
      </c>
      <c r="BU71" s="164">
        <f>IF(AND($C70=12,$D70=Input!$C$6),0,IF($E71="","",BK71+(BL71+BU72)/(1+$AK71)*MIN((1-T71-U71),1)))</f>
        <v>3811.2284640752109</v>
      </c>
      <c r="BV71" s="164">
        <f t="shared" si="61"/>
        <v>2785.8213354128206</v>
      </c>
      <c r="BW71" s="164">
        <f t="shared" si="62"/>
        <v>195.67234990979662</v>
      </c>
      <c r="BX71" s="164">
        <f t="shared" si="63"/>
        <v>143.0269038624385</v>
      </c>
    </row>
    <row r="72" spans="1:76" s="150" customFormat="1" x14ac:dyDescent="0.25">
      <c r="A72" s="150">
        <f t="shared" si="76"/>
        <v>68</v>
      </c>
      <c r="B72" s="150">
        <f t="shared" si="77"/>
        <v>6</v>
      </c>
      <c r="C72" s="150">
        <f t="shared" si="78"/>
        <v>8</v>
      </c>
      <c r="D72" s="150">
        <f>IF(E72="","",Input!$C$4+B72-1)</f>
        <v>50</v>
      </c>
      <c r="E72" s="150">
        <f>IF(OR(AND(C71=12,D71=Input!$C$6),E71=""),"",1)</f>
        <v>1</v>
      </c>
      <c r="F72" s="150">
        <f>IF(E72="","",Input!$C$8+B72-1)</f>
        <v>2023</v>
      </c>
      <c r="G72" s="151">
        <f>IF(E72="","",MAX(0,Input!$C$9-B72))</f>
        <v>14</v>
      </c>
      <c r="H72" s="152">
        <f>IF(E72="","",Input!$C$3)</f>
        <v>100000</v>
      </c>
      <c r="I72" s="153">
        <f>IF(E72="","",HLOOKUP($B72,Input!$C$13:$BT$14,2))</f>
        <v>2.2999999999999998</v>
      </c>
      <c r="J72" s="154"/>
      <c r="K72" s="155">
        <f>IF($E72="","",INDEX(Input!$C$16:$CP$16,1,$B72))</f>
        <v>2.7150000000000001E-2</v>
      </c>
      <c r="L72" s="155">
        <f>IF($E72="","",Input!$C$37)</f>
        <v>1.4999999999999999E-2</v>
      </c>
      <c r="M72" s="155">
        <f t="shared" si="64"/>
        <v>4.215E-2</v>
      </c>
      <c r="N72" s="155">
        <f t="shared" si="65"/>
        <v>3.4464158565041814E-3</v>
      </c>
      <c r="O72" s="147">
        <f>IF($E72="","",MIN(VLOOKUP(IF($B72&lt;=Input!$C$7,$B72,26),'Mortality Tables'!$A$41:$CW$67,IF($B72&lt;=Input!$C$7+1,Input!$C$4+2,$D72-Input!$C$7+2),0)*IF(B72&gt;20,Input!$C$22,1)/1000,1))</f>
        <v>7.5199999999999996E-4</v>
      </c>
      <c r="P72" s="147">
        <f>IF($E72="","",MIN(VLOOKUP(IF($B72&lt;=Input!$C$7,$B72,26),'Mortality Tables'!$A$12:$CW$37,IF($B72&lt;=Input!$C$7+1,Input!$C$4+2,$D72-Input!$C$7+2),0)*IF(B72&gt;20,Input!$C$22,1)/1000,1))</f>
        <v>9.3999999999999997E-4</v>
      </c>
      <c r="Q72" s="155">
        <f>IF($E72="","",Input!$C$21)</f>
        <v>5.0000000000000001E-3</v>
      </c>
      <c r="R72" s="159">
        <f>IF($E72="","",(1-Q72)^($F72-Input!$C$20))</f>
        <v>0.97524875312187509</v>
      </c>
      <c r="S72" s="147">
        <f t="shared" si="41"/>
        <v>7.3338706234765E-4</v>
      </c>
      <c r="T72" s="147">
        <f t="shared" si="42"/>
        <v>6.1136141292994495E-5</v>
      </c>
      <c r="U72" s="160">
        <f>IF($E72="","",IF($C72=12,INDEX(Input!$C$15:$CP$15,1,$B72),0))</f>
        <v>0</v>
      </c>
      <c r="V72" s="150">
        <f>IF(E72="","",IF(C72=1,IF($B72=1,Input!$C$33,Input!$C$34),0))</f>
        <v>0</v>
      </c>
      <c r="W72" s="156">
        <f>IF($E72="","",Input!$C$35)</f>
        <v>0.02</v>
      </c>
      <c r="X72" s="156">
        <f t="shared" si="43"/>
        <v>1.1040808032</v>
      </c>
      <c r="Y72" s="154"/>
      <c r="Z72" s="147">
        <f>IF($E72="","",VLOOKUP($D72,'Mortality Margins &amp; Grading'!$AB$5:$AF$125,3,0)*IF(Summary!$D$25="Included Margin",IF(AND($B72&gt;Input!$C$9,Summary!$D$31&lt;&gt;"Included Margin"),0,1),0))</f>
        <v>3.9E-2</v>
      </c>
      <c r="AA72" s="147">
        <f>IF($E72="","",VLOOKUP($D72,'Mortality Margins &amp; Grading'!$AB$5:$AF$125,5,0)*IF(Summary!$D$25="Included Margin",IF(AND($B72&gt;Input!$C$9,Summary!$D$31&lt;&gt;"Included Margin"),0,1),0))</f>
        <v>0.19800000000000001</v>
      </c>
      <c r="AB72" s="147">
        <f>IF($E72="","",IF(AND($B72&gt;Input!$C$9,Summary!$D$31&lt;&gt;"Included Margin"),1,IF(Summary!$D$25="Included Margin",VLOOKUP($B72,'Mortality Margins &amp; Grading'!$AI$5:$AR$125,MATCH('Mortality Margins &amp; Grading'!$AQ$4,'Mortality Margins &amp; Grading'!$AI$4:$AR$4,0),0),1)))</f>
        <v>1</v>
      </c>
      <c r="AC72" s="154"/>
      <c r="AD72" s="158">
        <f>IF(E72="","",Input!$C$48*IF(Summary!$D$30="Included Margin",IF(AND($B72&gt;Input!$C$9,Summary!$D$31&lt;&gt;"Included Margin"),0,1),0))</f>
        <v>-4.4999999999999997E-3</v>
      </c>
      <c r="AE72" s="159">
        <f>IF(E72="","",IF(Summary!$D$26="Included Margin",IF(AND($B72&gt;Input!$C$9,Summary!$D$31&lt;&gt;"Included Margin"),1,1/$R72),1))</f>
        <v>1.0253794191470571</v>
      </c>
      <c r="AF72" s="160">
        <f>IF(E72="","",IF(AND($B72&gt;=Input!$C$9,$C72=12,Summary!$D$31="Included Margin",$U72&gt;0),1/U72-1,IF($B72&gt;=Input!$C$9,0,Input!$C$45*IF(Summary!$D$27="Included Margin",1,0))))</f>
        <v>-0.1</v>
      </c>
      <c r="AG72" s="160">
        <f>IF(E72="","",Input!$C$46*IF(Summary!$D$28="Included Margin",IF(AND($B72&gt;Input!$C$9,Summary!$D$31&lt;&gt;"Included Margin"),0,1),0))</f>
        <v>0.02</v>
      </c>
      <c r="AH72" s="158">
        <f>IF(E72="","",Input!$C$47*IF(Summary!$D$29="Included Margin",IF(AND($B72&gt;Input!$C$9,Summary!$D$31&lt;&gt;"Included Margin"),0,1),0))</f>
        <v>2.5000000000000001E-3</v>
      </c>
      <c r="AI72" s="154"/>
      <c r="AJ72" s="158">
        <f t="shared" si="66"/>
        <v>3.7650000000000003E-2</v>
      </c>
      <c r="AK72" s="155">
        <f t="shared" si="67"/>
        <v>3.0846261138479658E-3</v>
      </c>
      <c r="AL72" s="147">
        <f t="shared" si="68"/>
        <v>7.8132799999999975E-4</v>
      </c>
      <c r="AM72" s="147">
        <f t="shared" si="44"/>
        <v>6.5133995006627643E-5</v>
      </c>
      <c r="AN72" s="160">
        <f t="shared" si="69"/>
        <v>0</v>
      </c>
      <c r="AO72" s="161">
        <f t="shared" si="70"/>
        <v>0</v>
      </c>
      <c r="AP72" s="156">
        <f t="shared" si="45"/>
        <v>1.1176776934618162</v>
      </c>
      <c r="AQ72" s="152"/>
      <c r="AR72" s="162">
        <f t="shared" si="46"/>
        <v>477.72564310912196</v>
      </c>
      <c r="AS72" s="150">
        <f t="shared" si="71"/>
        <v>0</v>
      </c>
      <c r="AT72" s="163">
        <f t="shared" si="47"/>
        <v>0</v>
      </c>
      <c r="AU72" s="163">
        <f t="shared" si="48"/>
        <v>6.5133995006627643</v>
      </c>
      <c r="AV72" s="163">
        <f t="shared" si="72"/>
        <v>1.4635592928943768</v>
      </c>
      <c r="AW72" s="163">
        <f t="shared" si="49"/>
        <v>3.0789269821684357E-2</v>
      </c>
      <c r="AX72" s="163">
        <f t="shared" si="50"/>
        <v>0</v>
      </c>
      <c r="AY72" s="164">
        <f t="shared" si="73"/>
        <v>472.70659217117526</v>
      </c>
      <c r="AZ72" s="164">
        <f>IF($E72="","",IF(OR(AND($D72=Input!$C$6,$C72=12),$AN72=1),0,-AS73+AT73+AU73-AV73-AW73-AX73+AZ73))</f>
        <v>472.70660764093202</v>
      </c>
      <c r="BA72" s="154">
        <f t="shared" si="51"/>
        <v>1.5469756760921882E-5</v>
      </c>
      <c r="BC72" s="147">
        <f t="shared" si="74"/>
        <v>0.73090633303767993</v>
      </c>
      <c r="BD72" s="164">
        <f>IF(AND($C71=12,$D71=Input!$C$6),0,IF($E72="","",AT72+(AU72+BD73)/(1+$AK72)*MIN((1-AM72-AN72),1)))</f>
        <v>2447.0955458810154</v>
      </c>
      <c r="BE72" s="164">
        <f t="shared" si="52"/>
        <v>1788.5976320327327</v>
      </c>
      <c r="BF72" s="164">
        <f t="shared" si="75"/>
        <v>472.70660764093202</v>
      </c>
      <c r="BG72" s="164">
        <f t="shared" si="53"/>
        <v>345.50425319351496</v>
      </c>
      <c r="BH72" s="152"/>
      <c r="BI72" s="162">
        <f t="shared" si="54"/>
        <v>195.67233178698166</v>
      </c>
      <c r="BJ72" s="150">
        <f t="shared" si="55"/>
        <v>0</v>
      </c>
      <c r="BK72" s="163">
        <f t="shared" si="79"/>
        <v>0</v>
      </c>
      <c r="BL72" s="163">
        <f t="shared" si="56"/>
        <v>6.1136141292994495</v>
      </c>
      <c r="BM72" s="163">
        <f t="shared" si="80"/>
        <v>0.66383319861191792</v>
      </c>
      <c r="BN72" s="163">
        <f t="shared" si="57"/>
        <v>1.1630184878849223E-2</v>
      </c>
      <c r="BO72" s="163">
        <f t="shared" si="58"/>
        <v>0</v>
      </c>
      <c r="BP72" s="164">
        <f t="shared" si="81"/>
        <v>190.23418104117297</v>
      </c>
      <c r="BQ72" s="164">
        <f>IF($E72="","",IF(AND($D72=Input!$C$6,$C72=12),0,-BJ73+BK73+BL73-BM73-BN73-BO73+BQ73))</f>
        <v>190.23419916398794</v>
      </c>
      <c r="BR72" s="161">
        <f t="shared" si="59"/>
        <v>0</v>
      </c>
      <c r="BT72" s="147">
        <f t="shared" si="60"/>
        <v>0.73090633303767993</v>
      </c>
      <c r="BU72" s="164">
        <f>IF(AND($C71=12,$D71=Input!$C$6),0,IF($E72="","",BK72+(BL72+BU73)/(1+$AK72)*MIN((1-T72-U72),1)))</f>
        <v>3817.1048016132972</v>
      </c>
      <c r="BV72" s="164">
        <f t="shared" si="61"/>
        <v>2789.946073367696</v>
      </c>
      <c r="BW72" s="164">
        <f t="shared" si="62"/>
        <v>190.23419916398794</v>
      </c>
      <c r="BX72" s="164">
        <f t="shared" si="63"/>
        <v>139.0433809293101</v>
      </c>
    </row>
    <row r="73" spans="1:76" s="150" customFormat="1" x14ac:dyDescent="0.25">
      <c r="A73" s="150">
        <f t="shared" si="76"/>
        <v>69</v>
      </c>
      <c r="B73" s="150">
        <f t="shared" si="77"/>
        <v>6</v>
      </c>
      <c r="C73" s="150">
        <f t="shared" si="78"/>
        <v>9</v>
      </c>
      <c r="D73" s="150">
        <f>IF(E73="","",Input!$C$4+B73-1)</f>
        <v>50</v>
      </c>
      <c r="E73" s="150">
        <f>IF(OR(AND(C72=12,D72=Input!$C$6),E72=""),"",1)</f>
        <v>1</v>
      </c>
      <c r="F73" s="150">
        <f>IF(E73="","",Input!$C$8+B73-1)</f>
        <v>2023</v>
      </c>
      <c r="G73" s="151">
        <f>IF(E73="","",MAX(0,Input!$C$9-B73))</f>
        <v>14</v>
      </c>
      <c r="H73" s="152">
        <f>IF(E73="","",Input!$C$3)</f>
        <v>100000</v>
      </c>
      <c r="I73" s="153">
        <f>IF(E73="","",HLOOKUP($B73,Input!$C$13:$BT$14,2))</f>
        <v>2.2999999999999998</v>
      </c>
      <c r="J73" s="154"/>
      <c r="K73" s="155">
        <f>IF($E73="","",INDEX(Input!$C$16:$CP$16,1,$B73))</f>
        <v>2.7150000000000001E-2</v>
      </c>
      <c r="L73" s="155">
        <f>IF($E73="","",Input!$C$37)</f>
        <v>1.4999999999999999E-2</v>
      </c>
      <c r="M73" s="155">
        <f t="shared" si="64"/>
        <v>4.215E-2</v>
      </c>
      <c r="N73" s="155">
        <f t="shared" si="65"/>
        <v>3.4464158565041814E-3</v>
      </c>
      <c r="O73" s="147">
        <f>IF($E73="","",MIN(VLOOKUP(IF($B73&lt;=Input!$C$7,$B73,26),'Mortality Tables'!$A$41:$CW$67,IF($B73&lt;=Input!$C$7+1,Input!$C$4+2,$D73-Input!$C$7+2),0)*IF(B73&gt;20,Input!$C$22,1)/1000,1))</f>
        <v>7.5199999999999996E-4</v>
      </c>
      <c r="P73" s="147">
        <f>IF($E73="","",MIN(VLOOKUP(IF($B73&lt;=Input!$C$7,$B73,26),'Mortality Tables'!$A$12:$CW$37,IF($B73&lt;=Input!$C$7+1,Input!$C$4+2,$D73-Input!$C$7+2),0)*IF(B73&gt;20,Input!$C$22,1)/1000,1))</f>
        <v>9.3999999999999997E-4</v>
      </c>
      <c r="Q73" s="155">
        <f>IF($E73="","",Input!$C$21)</f>
        <v>5.0000000000000001E-3</v>
      </c>
      <c r="R73" s="159">
        <f>IF($E73="","",(1-Q73)^($F73-Input!$C$20))</f>
        <v>0.97524875312187509</v>
      </c>
      <c r="S73" s="147">
        <f t="shared" si="41"/>
        <v>7.3338706234765E-4</v>
      </c>
      <c r="T73" s="147">
        <f t="shared" si="42"/>
        <v>6.1136141292994495E-5</v>
      </c>
      <c r="U73" s="160">
        <f>IF($E73="","",IF($C73=12,INDEX(Input!$C$15:$CP$15,1,$B73),0))</f>
        <v>0</v>
      </c>
      <c r="V73" s="150">
        <f>IF(E73="","",IF(C73=1,IF($B73=1,Input!$C$33,Input!$C$34),0))</f>
        <v>0</v>
      </c>
      <c r="W73" s="156">
        <f>IF($E73="","",Input!$C$35)</f>
        <v>0.02</v>
      </c>
      <c r="X73" s="156">
        <f t="shared" si="43"/>
        <v>1.1040808032</v>
      </c>
      <c r="Y73" s="154"/>
      <c r="Z73" s="147">
        <f>IF($E73="","",VLOOKUP($D73,'Mortality Margins &amp; Grading'!$AB$5:$AF$125,3,0)*IF(Summary!$D$25="Included Margin",IF(AND($B73&gt;Input!$C$9,Summary!$D$31&lt;&gt;"Included Margin"),0,1),0))</f>
        <v>3.9E-2</v>
      </c>
      <c r="AA73" s="147">
        <f>IF($E73="","",VLOOKUP($D73,'Mortality Margins &amp; Grading'!$AB$5:$AF$125,5,0)*IF(Summary!$D$25="Included Margin",IF(AND($B73&gt;Input!$C$9,Summary!$D$31&lt;&gt;"Included Margin"),0,1),0))</f>
        <v>0.19800000000000001</v>
      </c>
      <c r="AB73" s="147">
        <f>IF($E73="","",IF(AND($B73&gt;Input!$C$9,Summary!$D$31&lt;&gt;"Included Margin"),1,IF(Summary!$D$25="Included Margin",VLOOKUP($B73,'Mortality Margins &amp; Grading'!$AI$5:$AR$125,MATCH('Mortality Margins &amp; Grading'!$AQ$4,'Mortality Margins &amp; Grading'!$AI$4:$AR$4,0),0),1)))</f>
        <v>1</v>
      </c>
      <c r="AC73" s="154"/>
      <c r="AD73" s="158">
        <f>IF(E73="","",Input!$C$48*IF(Summary!$D$30="Included Margin",IF(AND($B73&gt;Input!$C$9,Summary!$D$31&lt;&gt;"Included Margin"),0,1),0))</f>
        <v>-4.4999999999999997E-3</v>
      </c>
      <c r="AE73" s="159">
        <f>IF(E73="","",IF(Summary!$D$26="Included Margin",IF(AND($B73&gt;Input!$C$9,Summary!$D$31&lt;&gt;"Included Margin"),1,1/$R73),1))</f>
        <v>1.0253794191470571</v>
      </c>
      <c r="AF73" s="160">
        <f>IF(E73="","",IF(AND($B73&gt;=Input!$C$9,$C73=12,Summary!$D$31="Included Margin",$U73&gt;0),1/U73-1,IF($B73&gt;=Input!$C$9,0,Input!$C$45*IF(Summary!$D$27="Included Margin",1,0))))</f>
        <v>-0.1</v>
      </c>
      <c r="AG73" s="160">
        <f>IF(E73="","",Input!$C$46*IF(Summary!$D$28="Included Margin",IF(AND($B73&gt;Input!$C$9,Summary!$D$31&lt;&gt;"Included Margin"),0,1),0))</f>
        <v>0.02</v>
      </c>
      <c r="AH73" s="158">
        <f>IF(E73="","",Input!$C$47*IF(Summary!$D$29="Included Margin",IF(AND($B73&gt;Input!$C$9,Summary!$D$31&lt;&gt;"Included Margin"),0,1),0))</f>
        <v>2.5000000000000001E-3</v>
      </c>
      <c r="AI73" s="154"/>
      <c r="AJ73" s="158">
        <f t="shared" si="66"/>
        <v>3.7650000000000003E-2</v>
      </c>
      <c r="AK73" s="155">
        <f t="shared" si="67"/>
        <v>3.0846261138479658E-3</v>
      </c>
      <c r="AL73" s="147">
        <f t="shared" si="68"/>
        <v>7.8132799999999975E-4</v>
      </c>
      <c r="AM73" s="147">
        <f t="shared" si="44"/>
        <v>6.5133995006627643E-5</v>
      </c>
      <c r="AN73" s="160">
        <f t="shared" si="69"/>
        <v>0</v>
      </c>
      <c r="AO73" s="161">
        <f t="shared" si="70"/>
        <v>0</v>
      </c>
      <c r="AP73" s="156">
        <f t="shared" si="45"/>
        <v>1.1176776934618162</v>
      </c>
      <c r="AQ73" s="152"/>
      <c r="AR73" s="162">
        <f t="shared" si="46"/>
        <v>472.70659217117526</v>
      </c>
      <c r="AS73" s="150">
        <f t="shared" si="71"/>
        <v>0</v>
      </c>
      <c r="AT73" s="163">
        <f t="shared" si="47"/>
        <v>0</v>
      </c>
      <c r="AU73" s="163">
        <f t="shared" si="48"/>
        <v>6.5133995006627643</v>
      </c>
      <c r="AV73" s="163">
        <f t="shared" si="72"/>
        <v>1.4480773973044532</v>
      </c>
      <c r="AW73" s="163">
        <f t="shared" si="49"/>
        <v>3.0461329225162904E-2</v>
      </c>
      <c r="AX73" s="163">
        <f t="shared" si="50"/>
        <v>0</v>
      </c>
      <c r="AY73" s="164">
        <f t="shared" si="73"/>
        <v>467.67173139704209</v>
      </c>
      <c r="AZ73" s="164">
        <f>IF($E73="","",IF(OR(AND($D73=Input!$C$6,$C73=12),$AN73=1),0,-AS74+AT74+AU74-AV74-AW74-AX74+AZ74))</f>
        <v>467.67174686679886</v>
      </c>
      <c r="BA73" s="154">
        <f t="shared" si="51"/>
        <v>1.5469756760921882E-5</v>
      </c>
      <c r="BC73" s="147">
        <f t="shared" si="74"/>
        <v>0.73086164824483135</v>
      </c>
      <c r="BD73" s="164">
        <f>IF(AND($C72=12,$D72=Input!$C$6),0,IF($E73="","",AT73+(AU73+BD74)/(1+$AK73)*MIN((1-AM73-AN73),1)))</f>
        <v>2448.2904123834837</v>
      </c>
      <c r="BE73" s="164">
        <f t="shared" si="52"/>
        <v>1789.3615661766107</v>
      </c>
      <c r="BF73" s="164">
        <f t="shared" si="75"/>
        <v>467.67174686679886</v>
      </c>
      <c r="BG73" s="164">
        <f t="shared" si="53"/>
        <v>341.80334375260816</v>
      </c>
      <c r="BH73" s="152"/>
      <c r="BI73" s="162">
        <f t="shared" si="54"/>
        <v>190.23418104117295</v>
      </c>
      <c r="BJ73" s="150">
        <f t="shared" si="55"/>
        <v>0</v>
      </c>
      <c r="BK73" s="163">
        <f t="shared" si="79"/>
        <v>0</v>
      </c>
      <c r="BL73" s="163">
        <f t="shared" si="56"/>
        <v>6.1136141292994495</v>
      </c>
      <c r="BM73" s="163">
        <f t="shared" si="80"/>
        <v>0.64509106965150276</v>
      </c>
      <c r="BN73" s="163">
        <f t="shared" si="57"/>
        <v>1.1296551107955246E-2</v>
      </c>
      <c r="BO73" s="163">
        <f t="shared" si="58"/>
        <v>0</v>
      </c>
      <c r="BP73" s="164">
        <f t="shared" si="81"/>
        <v>184.77695453263294</v>
      </c>
      <c r="BQ73" s="164">
        <f>IF($E73="","",IF(AND($D73=Input!$C$6,$C73=12),0,-BJ74+BK74+BL74-BM74-BN74-BO74+BQ74))</f>
        <v>184.77697265544793</v>
      </c>
      <c r="BR73" s="161">
        <f t="shared" si="59"/>
        <v>0</v>
      </c>
      <c r="BT73" s="147">
        <f t="shared" si="60"/>
        <v>0.73086164824483135</v>
      </c>
      <c r="BU73" s="164">
        <f>IF(AND($C72=12,$D72=Input!$C$6),0,IF($E73="","",BK73+(BL73+BU74)/(1+$AK73)*MIN((1-T73-U73),1)))</f>
        <v>3822.9996258424144</v>
      </c>
      <c r="BV73" s="164">
        <f t="shared" si="61"/>
        <v>2794.0838077825606</v>
      </c>
      <c r="BW73" s="164">
        <f t="shared" si="62"/>
        <v>184.77697265544793</v>
      </c>
      <c r="BX73" s="164">
        <f t="shared" si="63"/>
        <v>135.04640279265081</v>
      </c>
    </row>
    <row r="74" spans="1:76" s="150" customFormat="1" x14ac:dyDescent="0.25">
      <c r="A74" s="150">
        <f t="shared" si="76"/>
        <v>70</v>
      </c>
      <c r="B74" s="150">
        <f t="shared" si="77"/>
        <v>6</v>
      </c>
      <c r="C74" s="150">
        <f t="shared" si="78"/>
        <v>10</v>
      </c>
      <c r="D74" s="150">
        <f>IF(E74="","",Input!$C$4+B74-1)</f>
        <v>50</v>
      </c>
      <c r="E74" s="150">
        <f>IF(OR(AND(C73=12,D73=Input!$C$6),E73=""),"",1)</f>
        <v>1</v>
      </c>
      <c r="F74" s="150">
        <f>IF(E74="","",Input!$C$8+B74-1)</f>
        <v>2023</v>
      </c>
      <c r="G74" s="151">
        <f>IF(E74="","",MAX(0,Input!$C$9-B74))</f>
        <v>14</v>
      </c>
      <c r="H74" s="152">
        <f>IF(E74="","",Input!$C$3)</f>
        <v>100000</v>
      </c>
      <c r="I74" s="153">
        <f>IF(E74="","",HLOOKUP($B74,Input!$C$13:$BT$14,2))</f>
        <v>2.2999999999999998</v>
      </c>
      <c r="J74" s="154"/>
      <c r="K74" s="155">
        <f>IF($E74="","",INDEX(Input!$C$16:$CP$16,1,$B74))</f>
        <v>2.7150000000000001E-2</v>
      </c>
      <c r="L74" s="155">
        <f>IF($E74="","",Input!$C$37)</f>
        <v>1.4999999999999999E-2</v>
      </c>
      <c r="M74" s="155">
        <f t="shared" si="64"/>
        <v>4.215E-2</v>
      </c>
      <c r="N74" s="155">
        <f t="shared" si="65"/>
        <v>3.4464158565041814E-3</v>
      </c>
      <c r="O74" s="147">
        <f>IF($E74="","",MIN(VLOOKUP(IF($B74&lt;=Input!$C$7,$B74,26),'Mortality Tables'!$A$41:$CW$67,IF($B74&lt;=Input!$C$7+1,Input!$C$4+2,$D74-Input!$C$7+2),0)*IF(B74&gt;20,Input!$C$22,1)/1000,1))</f>
        <v>7.5199999999999996E-4</v>
      </c>
      <c r="P74" s="147">
        <f>IF($E74="","",MIN(VLOOKUP(IF($B74&lt;=Input!$C$7,$B74,26),'Mortality Tables'!$A$12:$CW$37,IF($B74&lt;=Input!$C$7+1,Input!$C$4+2,$D74-Input!$C$7+2),0)*IF(B74&gt;20,Input!$C$22,1)/1000,1))</f>
        <v>9.3999999999999997E-4</v>
      </c>
      <c r="Q74" s="155">
        <f>IF($E74="","",Input!$C$21)</f>
        <v>5.0000000000000001E-3</v>
      </c>
      <c r="R74" s="159">
        <f>IF($E74="","",(1-Q74)^($F74-Input!$C$20))</f>
        <v>0.97524875312187509</v>
      </c>
      <c r="S74" s="147">
        <f t="shared" si="41"/>
        <v>7.3338706234765E-4</v>
      </c>
      <c r="T74" s="147">
        <f t="shared" si="42"/>
        <v>6.1136141292994495E-5</v>
      </c>
      <c r="U74" s="160">
        <f>IF($E74="","",IF($C74=12,INDEX(Input!$C$15:$CP$15,1,$B74),0))</f>
        <v>0</v>
      </c>
      <c r="V74" s="150">
        <f>IF(E74="","",IF(C74=1,IF($B74=1,Input!$C$33,Input!$C$34),0))</f>
        <v>0</v>
      </c>
      <c r="W74" s="156">
        <f>IF($E74="","",Input!$C$35)</f>
        <v>0.02</v>
      </c>
      <c r="X74" s="156">
        <f t="shared" si="43"/>
        <v>1.1040808032</v>
      </c>
      <c r="Y74" s="154"/>
      <c r="Z74" s="147">
        <f>IF($E74="","",VLOOKUP($D74,'Mortality Margins &amp; Grading'!$AB$5:$AF$125,3,0)*IF(Summary!$D$25="Included Margin",IF(AND($B74&gt;Input!$C$9,Summary!$D$31&lt;&gt;"Included Margin"),0,1),0))</f>
        <v>3.9E-2</v>
      </c>
      <c r="AA74" s="147">
        <f>IF($E74="","",VLOOKUP($D74,'Mortality Margins &amp; Grading'!$AB$5:$AF$125,5,0)*IF(Summary!$D$25="Included Margin",IF(AND($B74&gt;Input!$C$9,Summary!$D$31&lt;&gt;"Included Margin"),0,1),0))</f>
        <v>0.19800000000000001</v>
      </c>
      <c r="AB74" s="147">
        <f>IF($E74="","",IF(AND($B74&gt;Input!$C$9,Summary!$D$31&lt;&gt;"Included Margin"),1,IF(Summary!$D$25="Included Margin",VLOOKUP($B74,'Mortality Margins &amp; Grading'!$AI$5:$AR$125,MATCH('Mortality Margins &amp; Grading'!$AQ$4,'Mortality Margins &amp; Grading'!$AI$4:$AR$4,0),0),1)))</f>
        <v>1</v>
      </c>
      <c r="AC74" s="154"/>
      <c r="AD74" s="158">
        <f>IF(E74="","",Input!$C$48*IF(Summary!$D$30="Included Margin",IF(AND($B74&gt;Input!$C$9,Summary!$D$31&lt;&gt;"Included Margin"),0,1),0))</f>
        <v>-4.4999999999999997E-3</v>
      </c>
      <c r="AE74" s="159">
        <f>IF(E74="","",IF(Summary!$D$26="Included Margin",IF(AND($B74&gt;Input!$C$9,Summary!$D$31&lt;&gt;"Included Margin"),1,1/$R74),1))</f>
        <v>1.0253794191470571</v>
      </c>
      <c r="AF74" s="160">
        <f>IF(E74="","",IF(AND($B74&gt;=Input!$C$9,$C74=12,Summary!$D$31="Included Margin",$U74&gt;0),1/U74-1,IF($B74&gt;=Input!$C$9,0,Input!$C$45*IF(Summary!$D$27="Included Margin",1,0))))</f>
        <v>-0.1</v>
      </c>
      <c r="AG74" s="160">
        <f>IF(E74="","",Input!$C$46*IF(Summary!$D$28="Included Margin",IF(AND($B74&gt;Input!$C$9,Summary!$D$31&lt;&gt;"Included Margin"),0,1),0))</f>
        <v>0.02</v>
      </c>
      <c r="AH74" s="158">
        <f>IF(E74="","",Input!$C$47*IF(Summary!$D$29="Included Margin",IF(AND($B74&gt;Input!$C$9,Summary!$D$31&lt;&gt;"Included Margin"),0,1),0))</f>
        <v>2.5000000000000001E-3</v>
      </c>
      <c r="AI74" s="154"/>
      <c r="AJ74" s="158">
        <f t="shared" si="66"/>
        <v>3.7650000000000003E-2</v>
      </c>
      <c r="AK74" s="155">
        <f t="shared" si="67"/>
        <v>3.0846261138479658E-3</v>
      </c>
      <c r="AL74" s="147">
        <f t="shared" si="68"/>
        <v>7.8132799999999975E-4</v>
      </c>
      <c r="AM74" s="147">
        <f t="shared" si="44"/>
        <v>6.5133995006627643E-5</v>
      </c>
      <c r="AN74" s="160">
        <f t="shared" si="69"/>
        <v>0</v>
      </c>
      <c r="AO74" s="161">
        <f t="shared" si="70"/>
        <v>0</v>
      </c>
      <c r="AP74" s="156">
        <f t="shared" si="45"/>
        <v>1.1176776934618162</v>
      </c>
      <c r="AQ74" s="152"/>
      <c r="AR74" s="162">
        <f t="shared" si="46"/>
        <v>467.67173139704215</v>
      </c>
      <c r="AS74" s="150">
        <f t="shared" si="71"/>
        <v>0</v>
      </c>
      <c r="AT74" s="163">
        <f t="shared" si="47"/>
        <v>0</v>
      </c>
      <c r="AU74" s="163">
        <f t="shared" si="48"/>
        <v>6.5133995006627643</v>
      </c>
      <c r="AV74" s="163">
        <f t="shared" si="72"/>
        <v>1.4325467342809735</v>
      </c>
      <c r="AW74" s="163">
        <f t="shared" si="49"/>
        <v>3.0132355627148937E-2</v>
      </c>
      <c r="AX74" s="163">
        <f t="shared" si="50"/>
        <v>0</v>
      </c>
      <c r="AY74" s="164">
        <f t="shared" si="73"/>
        <v>462.62101098628744</v>
      </c>
      <c r="AZ74" s="164">
        <f>IF($E74="","",IF(OR(AND($D74=Input!$C$6,$C74=12),$AN74=1),0,-AS75+AT75+AU75-AV75-AW75-AX75+AZ75))</f>
        <v>462.62102645604421</v>
      </c>
      <c r="BA74" s="154">
        <f t="shared" si="51"/>
        <v>1.5469756760921882E-5</v>
      </c>
      <c r="BC74" s="147">
        <f t="shared" si="74"/>
        <v>0.73081696618383862</v>
      </c>
      <c r="BD74" s="164">
        <f>IF(AND($C73=12,$D73=Input!$C$6),0,IF($E74="","",AT74+(AU74+BD75)/(1+$AK74)*MIN((1-AM74-AN74),1)))</f>
        <v>2449.489042673948</v>
      </c>
      <c r="BE74" s="164">
        <f t="shared" si="52"/>
        <v>1790.1281508675299</v>
      </c>
      <c r="BF74" s="164">
        <f t="shared" si="75"/>
        <v>462.62102645604421</v>
      </c>
      <c r="BG74" s="164">
        <f t="shared" si="53"/>
        <v>338.0912950474596</v>
      </c>
      <c r="BH74" s="152"/>
      <c r="BI74" s="162">
        <f t="shared" si="54"/>
        <v>184.77695453263297</v>
      </c>
      <c r="BJ74" s="150">
        <f t="shared" si="55"/>
        <v>0</v>
      </c>
      <c r="BK74" s="163">
        <f t="shared" si="79"/>
        <v>0</v>
      </c>
      <c r="BL74" s="163">
        <f t="shared" si="56"/>
        <v>6.1136141292994495</v>
      </c>
      <c r="BM74" s="163">
        <f t="shared" si="80"/>
        <v>0.62628319767993568</v>
      </c>
      <c r="BN74" s="163">
        <f t="shared" si="57"/>
        <v>1.096174702771344E-2</v>
      </c>
      <c r="BO74" s="163">
        <f t="shared" si="58"/>
        <v>0</v>
      </c>
      <c r="BP74" s="164">
        <f t="shared" si="81"/>
        <v>179.30058534804115</v>
      </c>
      <c r="BQ74" s="164">
        <f>IF($E74="","",IF(AND($D74=Input!$C$6,$C74=12),0,-BJ75+BK75+BL75-BM75-BN75-BO75+BQ75))</f>
        <v>179.30060347085615</v>
      </c>
      <c r="BR74" s="161">
        <f t="shared" si="59"/>
        <v>0</v>
      </c>
      <c r="BT74" s="147">
        <f t="shared" si="60"/>
        <v>0.73081696618383862</v>
      </c>
      <c r="BU74" s="164">
        <f>IF(AND($C73=12,$D73=Input!$C$6),0,IF($E74="","",BK74+(BL74+BU75)/(1+$AK74)*MIN((1-T74-U74),1)))</f>
        <v>3828.9129949208527</v>
      </c>
      <c r="BV74" s="164">
        <f t="shared" si="61"/>
        <v>2798.2345787299332</v>
      </c>
      <c r="BW74" s="164">
        <f t="shared" si="62"/>
        <v>179.30060347085615</v>
      </c>
      <c r="BX74" s="164">
        <f t="shared" si="63"/>
        <v>131.03592306350254</v>
      </c>
    </row>
    <row r="75" spans="1:76" s="150" customFormat="1" x14ac:dyDescent="0.25">
      <c r="A75" s="150">
        <f t="shared" si="76"/>
        <v>71</v>
      </c>
      <c r="B75" s="150">
        <f t="shared" si="77"/>
        <v>6</v>
      </c>
      <c r="C75" s="150">
        <f t="shared" si="78"/>
        <v>11</v>
      </c>
      <c r="D75" s="150">
        <f>IF(E75="","",Input!$C$4+B75-1)</f>
        <v>50</v>
      </c>
      <c r="E75" s="150">
        <f>IF(OR(AND(C74=12,D74=Input!$C$6),E74=""),"",1)</f>
        <v>1</v>
      </c>
      <c r="F75" s="150">
        <f>IF(E75="","",Input!$C$8+B75-1)</f>
        <v>2023</v>
      </c>
      <c r="G75" s="151">
        <f>IF(E75="","",MAX(0,Input!$C$9-B75))</f>
        <v>14</v>
      </c>
      <c r="H75" s="152">
        <f>IF(E75="","",Input!$C$3)</f>
        <v>100000</v>
      </c>
      <c r="I75" s="153">
        <f>IF(E75="","",HLOOKUP($B75,Input!$C$13:$BT$14,2))</f>
        <v>2.2999999999999998</v>
      </c>
      <c r="J75" s="154"/>
      <c r="K75" s="155">
        <f>IF($E75="","",INDEX(Input!$C$16:$CP$16,1,$B75))</f>
        <v>2.7150000000000001E-2</v>
      </c>
      <c r="L75" s="155">
        <f>IF($E75="","",Input!$C$37)</f>
        <v>1.4999999999999999E-2</v>
      </c>
      <c r="M75" s="155">
        <f t="shared" si="64"/>
        <v>4.215E-2</v>
      </c>
      <c r="N75" s="155">
        <f t="shared" si="65"/>
        <v>3.4464158565041814E-3</v>
      </c>
      <c r="O75" s="147">
        <f>IF($E75="","",MIN(VLOOKUP(IF($B75&lt;=Input!$C$7,$B75,26),'Mortality Tables'!$A$41:$CW$67,IF($B75&lt;=Input!$C$7+1,Input!$C$4+2,$D75-Input!$C$7+2),0)*IF(B75&gt;20,Input!$C$22,1)/1000,1))</f>
        <v>7.5199999999999996E-4</v>
      </c>
      <c r="P75" s="147">
        <f>IF($E75="","",MIN(VLOOKUP(IF($B75&lt;=Input!$C$7,$B75,26),'Mortality Tables'!$A$12:$CW$37,IF($B75&lt;=Input!$C$7+1,Input!$C$4+2,$D75-Input!$C$7+2),0)*IF(B75&gt;20,Input!$C$22,1)/1000,1))</f>
        <v>9.3999999999999997E-4</v>
      </c>
      <c r="Q75" s="155">
        <f>IF($E75="","",Input!$C$21)</f>
        <v>5.0000000000000001E-3</v>
      </c>
      <c r="R75" s="159">
        <f>IF($E75="","",(1-Q75)^($F75-Input!$C$20))</f>
        <v>0.97524875312187509</v>
      </c>
      <c r="S75" s="147">
        <f t="shared" si="41"/>
        <v>7.3338706234765E-4</v>
      </c>
      <c r="T75" s="147">
        <f t="shared" si="42"/>
        <v>6.1136141292994495E-5</v>
      </c>
      <c r="U75" s="160">
        <f>IF($E75="","",IF($C75=12,INDEX(Input!$C$15:$CP$15,1,$B75),0))</f>
        <v>0</v>
      </c>
      <c r="V75" s="150">
        <f>IF(E75="","",IF(C75=1,IF($B75=1,Input!$C$33,Input!$C$34),0))</f>
        <v>0</v>
      </c>
      <c r="W75" s="156">
        <f>IF($E75="","",Input!$C$35)</f>
        <v>0.02</v>
      </c>
      <c r="X75" s="156">
        <f t="shared" si="43"/>
        <v>1.1040808032</v>
      </c>
      <c r="Y75" s="154"/>
      <c r="Z75" s="147">
        <f>IF($E75="","",VLOOKUP($D75,'Mortality Margins &amp; Grading'!$AB$5:$AF$125,3,0)*IF(Summary!$D$25="Included Margin",IF(AND($B75&gt;Input!$C$9,Summary!$D$31&lt;&gt;"Included Margin"),0,1),0))</f>
        <v>3.9E-2</v>
      </c>
      <c r="AA75" s="147">
        <f>IF($E75="","",VLOOKUP($D75,'Mortality Margins &amp; Grading'!$AB$5:$AF$125,5,0)*IF(Summary!$D$25="Included Margin",IF(AND($B75&gt;Input!$C$9,Summary!$D$31&lt;&gt;"Included Margin"),0,1),0))</f>
        <v>0.19800000000000001</v>
      </c>
      <c r="AB75" s="147">
        <f>IF($E75="","",IF(AND($B75&gt;Input!$C$9,Summary!$D$31&lt;&gt;"Included Margin"),1,IF(Summary!$D$25="Included Margin",VLOOKUP($B75,'Mortality Margins &amp; Grading'!$AI$5:$AR$125,MATCH('Mortality Margins &amp; Grading'!$AQ$4,'Mortality Margins &amp; Grading'!$AI$4:$AR$4,0),0),1)))</f>
        <v>1</v>
      </c>
      <c r="AC75" s="154"/>
      <c r="AD75" s="158">
        <f>IF(E75="","",Input!$C$48*IF(Summary!$D$30="Included Margin",IF(AND($B75&gt;Input!$C$9,Summary!$D$31&lt;&gt;"Included Margin"),0,1),0))</f>
        <v>-4.4999999999999997E-3</v>
      </c>
      <c r="AE75" s="159">
        <f>IF(E75="","",IF(Summary!$D$26="Included Margin",IF(AND($B75&gt;Input!$C$9,Summary!$D$31&lt;&gt;"Included Margin"),1,1/$R75),1))</f>
        <v>1.0253794191470571</v>
      </c>
      <c r="AF75" s="160">
        <f>IF(E75="","",IF(AND($B75&gt;=Input!$C$9,$C75=12,Summary!$D$31="Included Margin",$U75&gt;0),1/U75-1,IF($B75&gt;=Input!$C$9,0,Input!$C$45*IF(Summary!$D$27="Included Margin",1,0))))</f>
        <v>-0.1</v>
      </c>
      <c r="AG75" s="160">
        <f>IF(E75="","",Input!$C$46*IF(Summary!$D$28="Included Margin",IF(AND($B75&gt;Input!$C$9,Summary!$D$31&lt;&gt;"Included Margin"),0,1),0))</f>
        <v>0.02</v>
      </c>
      <c r="AH75" s="158">
        <f>IF(E75="","",Input!$C$47*IF(Summary!$D$29="Included Margin",IF(AND($B75&gt;Input!$C$9,Summary!$D$31&lt;&gt;"Included Margin"),0,1),0))</f>
        <v>2.5000000000000001E-3</v>
      </c>
      <c r="AI75" s="154"/>
      <c r="AJ75" s="158">
        <f t="shared" si="66"/>
        <v>3.7650000000000003E-2</v>
      </c>
      <c r="AK75" s="155">
        <f t="shared" si="67"/>
        <v>3.0846261138479658E-3</v>
      </c>
      <c r="AL75" s="147">
        <f t="shared" si="68"/>
        <v>7.8132799999999975E-4</v>
      </c>
      <c r="AM75" s="147">
        <f t="shared" si="44"/>
        <v>6.5133995006627643E-5</v>
      </c>
      <c r="AN75" s="160">
        <f t="shared" si="69"/>
        <v>0</v>
      </c>
      <c r="AO75" s="161">
        <f t="shared" si="70"/>
        <v>0</v>
      </c>
      <c r="AP75" s="156">
        <f t="shared" si="45"/>
        <v>1.1176776934618162</v>
      </c>
      <c r="AQ75" s="152"/>
      <c r="AR75" s="162">
        <f t="shared" si="46"/>
        <v>462.6210109862875</v>
      </c>
      <c r="AS75" s="150">
        <f t="shared" si="71"/>
        <v>0</v>
      </c>
      <c r="AT75" s="163">
        <f t="shared" si="47"/>
        <v>0</v>
      </c>
      <c r="AU75" s="163">
        <f t="shared" si="48"/>
        <v>6.5133995006627643</v>
      </c>
      <c r="AV75" s="163">
        <f t="shared" si="72"/>
        <v>1.4169671502082148</v>
      </c>
      <c r="AW75" s="163">
        <f t="shared" si="49"/>
        <v>2.9802345773723628E-2</v>
      </c>
      <c r="AX75" s="163">
        <f t="shared" si="50"/>
        <v>0</v>
      </c>
      <c r="AY75" s="164">
        <f t="shared" si="73"/>
        <v>457.55438098160664</v>
      </c>
      <c r="AZ75" s="164">
        <f>IF($E75="","",IF(OR(AND($D75=Input!$C$6,$C75=12),$AN75=1),0,-AS76+AT76+AU76-AV76-AW76-AX76+AZ76))</f>
        <v>457.5543964513634</v>
      </c>
      <c r="BA75" s="154">
        <f t="shared" si="51"/>
        <v>1.5469756760921882E-5</v>
      </c>
      <c r="BC75" s="147">
        <f t="shared" si="74"/>
        <v>0.73077228685453466</v>
      </c>
      <c r="BD75" s="164">
        <f>IF(AND($C74=12,$D74=Input!$C$6),0,IF($E75="","",AT75+(AU75+BD76)/(1+$AK75)*MIN((1-AM75-AN75),1)))</f>
        <v>2450.6914486082087</v>
      </c>
      <c r="BE75" s="164">
        <f t="shared" si="52"/>
        <v>1790.897394274273</v>
      </c>
      <c r="BF75" s="164">
        <f t="shared" si="75"/>
        <v>457.5543964513634</v>
      </c>
      <c r="BG75" s="164">
        <f t="shared" si="53"/>
        <v>334.36807265510919</v>
      </c>
      <c r="BH75" s="152"/>
      <c r="BI75" s="162">
        <f t="shared" si="54"/>
        <v>179.30058534804118</v>
      </c>
      <c r="BJ75" s="150">
        <f t="shared" si="55"/>
        <v>0</v>
      </c>
      <c r="BK75" s="163">
        <f t="shared" si="79"/>
        <v>0</v>
      </c>
      <c r="BL75" s="163">
        <f t="shared" si="56"/>
        <v>6.1136141292994495</v>
      </c>
      <c r="BM75" s="163">
        <f t="shared" si="80"/>
        <v>0.60740935208608759</v>
      </c>
      <c r="BN75" s="163">
        <f t="shared" si="57"/>
        <v>1.062576853295194E-2</v>
      </c>
      <c r="BO75" s="163">
        <f t="shared" si="58"/>
        <v>0</v>
      </c>
      <c r="BP75" s="164">
        <f t="shared" si="81"/>
        <v>173.80500633936077</v>
      </c>
      <c r="BQ75" s="164">
        <f>IF($E75="","",IF(AND($D75=Input!$C$6,$C75=12),0,-BJ76+BK76+BL76-BM76-BN76-BO76+BQ76))</f>
        <v>173.80502446217574</v>
      </c>
      <c r="BR75" s="161">
        <f t="shared" si="59"/>
        <v>0</v>
      </c>
      <c r="BT75" s="147">
        <f t="shared" si="60"/>
        <v>0.73077228685453466</v>
      </c>
      <c r="BU75" s="164">
        <f>IF(AND($C74=12,$D74=Input!$C$6),0,IF($E75="","",BK75+(BL75+BU76)/(1+$AK75)*MIN((1-T75-U75),1)))</f>
        <v>3834.8449671898661</v>
      </c>
      <c r="BV75" s="164">
        <f t="shared" si="61"/>
        <v>2802.3984264059413</v>
      </c>
      <c r="BW75" s="164">
        <f t="shared" si="62"/>
        <v>173.80502446217574</v>
      </c>
      <c r="BX75" s="164">
        <f t="shared" si="63"/>
        <v>127.0118951930325</v>
      </c>
    </row>
    <row r="76" spans="1:76" s="150" customFormat="1" x14ac:dyDescent="0.25">
      <c r="A76" s="150">
        <f t="shared" si="76"/>
        <v>72</v>
      </c>
      <c r="B76" s="150">
        <f t="shared" si="77"/>
        <v>6</v>
      </c>
      <c r="C76" s="150">
        <f t="shared" si="78"/>
        <v>12</v>
      </c>
      <c r="D76" s="150">
        <f>IF(E76="","",Input!$C$4+B76-1)</f>
        <v>50</v>
      </c>
      <c r="E76" s="150">
        <f>IF(OR(AND(C75=12,D75=Input!$C$6),E75=""),"",1)</f>
        <v>1</v>
      </c>
      <c r="F76" s="150">
        <f>IF(E76="","",Input!$C$8+B76-1)</f>
        <v>2023</v>
      </c>
      <c r="G76" s="151">
        <f>IF(E76="","",MAX(0,Input!$C$9-B76))</f>
        <v>14</v>
      </c>
      <c r="H76" s="152">
        <f>IF(E76="","",Input!$C$3)</f>
        <v>100000</v>
      </c>
      <c r="I76" s="153">
        <f>IF(E76="","",HLOOKUP($B76,Input!$C$13:$BT$14,2))</f>
        <v>2.2999999999999998</v>
      </c>
      <c r="J76" s="154"/>
      <c r="K76" s="155">
        <f>IF($E76="","",INDEX(Input!$C$16:$CP$16,1,$B76))</f>
        <v>2.7150000000000001E-2</v>
      </c>
      <c r="L76" s="155">
        <f>IF($E76="","",Input!$C$37)</f>
        <v>1.4999999999999999E-2</v>
      </c>
      <c r="M76" s="155">
        <f t="shared" si="64"/>
        <v>4.215E-2</v>
      </c>
      <c r="N76" s="155">
        <f t="shared" si="65"/>
        <v>3.4464158565041814E-3</v>
      </c>
      <c r="O76" s="147">
        <f>IF($E76="","",MIN(VLOOKUP(IF($B76&lt;=Input!$C$7,$B76,26),'Mortality Tables'!$A$41:$CW$67,IF($B76&lt;=Input!$C$7+1,Input!$C$4+2,$D76-Input!$C$7+2),0)*IF(B76&gt;20,Input!$C$22,1)/1000,1))</f>
        <v>7.5199999999999996E-4</v>
      </c>
      <c r="P76" s="147">
        <f>IF($E76="","",MIN(VLOOKUP(IF($B76&lt;=Input!$C$7,$B76,26),'Mortality Tables'!$A$12:$CW$37,IF($B76&lt;=Input!$C$7+1,Input!$C$4+2,$D76-Input!$C$7+2),0)*IF(B76&gt;20,Input!$C$22,1)/1000,1))</f>
        <v>9.3999999999999997E-4</v>
      </c>
      <c r="Q76" s="155">
        <f>IF($E76="","",Input!$C$21)</f>
        <v>5.0000000000000001E-3</v>
      </c>
      <c r="R76" s="159">
        <f>IF($E76="","",(1-Q76)^($F76-Input!$C$20))</f>
        <v>0.97524875312187509</v>
      </c>
      <c r="S76" s="147">
        <f t="shared" si="41"/>
        <v>7.3338706234765E-4</v>
      </c>
      <c r="T76" s="147">
        <f t="shared" si="42"/>
        <v>6.1136141292994495E-5</v>
      </c>
      <c r="U76" s="160">
        <f>IF($E76="","",IF($C76=12,INDEX(Input!$C$15:$CP$15,1,$B76),0))</f>
        <v>0.05</v>
      </c>
      <c r="V76" s="150">
        <f>IF(E76="","",IF(C76=1,IF($B76=1,Input!$C$33,Input!$C$34),0))</f>
        <v>0</v>
      </c>
      <c r="W76" s="156">
        <f>IF($E76="","",Input!$C$35)</f>
        <v>0.02</v>
      </c>
      <c r="X76" s="156">
        <f t="shared" si="43"/>
        <v>1.1040808032</v>
      </c>
      <c r="Y76" s="154"/>
      <c r="Z76" s="147">
        <f>IF($E76="","",VLOOKUP($D76,'Mortality Margins &amp; Grading'!$AB$5:$AF$125,3,0)*IF(Summary!$D$25="Included Margin",IF(AND($B76&gt;Input!$C$9,Summary!$D$31&lt;&gt;"Included Margin"),0,1),0))</f>
        <v>3.9E-2</v>
      </c>
      <c r="AA76" s="147">
        <f>IF($E76="","",VLOOKUP($D76,'Mortality Margins &amp; Grading'!$AB$5:$AF$125,5,0)*IF(Summary!$D$25="Included Margin",IF(AND($B76&gt;Input!$C$9,Summary!$D$31&lt;&gt;"Included Margin"),0,1),0))</f>
        <v>0.19800000000000001</v>
      </c>
      <c r="AB76" s="147">
        <f>IF($E76="","",IF(AND($B76&gt;Input!$C$9,Summary!$D$31&lt;&gt;"Included Margin"),1,IF(Summary!$D$25="Included Margin",VLOOKUP($B76,'Mortality Margins &amp; Grading'!$AI$5:$AR$125,MATCH('Mortality Margins &amp; Grading'!$AQ$4,'Mortality Margins &amp; Grading'!$AI$4:$AR$4,0),0),1)))</f>
        <v>1</v>
      </c>
      <c r="AC76" s="154"/>
      <c r="AD76" s="158">
        <f>IF(E76="","",Input!$C$48*IF(Summary!$D$30="Included Margin",IF(AND($B76&gt;Input!$C$9,Summary!$D$31&lt;&gt;"Included Margin"),0,1),0))</f>
        <v>-4.4999999999999997E-3</v>
      </c>
      <c r="AE76" s="159">
        <f>IF(E76="","",IF(Summary!$D$26="Included Margin",IF(AND($B76&gt;Input!$C$9,Summary!$D$31&lt;&gt;"Included Margin"),1,1/$R76),1))</f>
        <v>1.0253794191470571</v>
      </c>
      <c r="AF76" s="160">
        <f>IF(E76="","",IF(AND($B76&gt;=Input!$C$9,$C76=12,Summary!$D$31="Included Margin",$U76&gt;0),1/U76-1,IF($B76&gt;=Input!$C$9,0,Input!$C$45*IF(Summary!$D$27="Included Margin",1,0))))</f>
        <v>-0.1</v>
      </c>
      <c r="AG76" s="160">
        <f>IF(E76="","",Input!$C$46*IF(Summary!$D$28="Included Margin",IF(AND($B76&gt;Input!$C$9,Summary!$D$31&lt;&gt;"Included Margin"),0,1),0))</f>
        <v>0.02</v>
      </c>
      <c r="AH76" s="158">
        <f>IF(E76="","",Input!$C$47*IF(Summary!$D$29="Included Margin",IF(AND($B76&gt;Input!$C$9,Summary!$D$31&lt;&gt;"Included Margin"),0,1),0))</f>
        <v>2.5000000000000001E-3</v>
      </c>
      <c r="AI76" s="154"/>
      <c r="AJ76" s="158">
        <f t="shared" si="66"/>
        <v>3.7650000000000003E-2</v>
      </c>
      <c r="AK76" s="155">
        <f t="shared" si="67"/>
        <v>3.0846261138479658E-3</v>
      </c>
      <c r="AL76" s="147">
        <f t="shared" si="68"/>
        <v>7.8132799999999975E-4</v>
      </c>
      <c r="AM76" s="147">
        <f t="shared" si="44"/>
        <v>6.5133995006627643E-5</v>
      </c>
      <c r="AN76" s="160">
        <f t="shared" si="69"/>
        <v>4.5000000000000005E-2</v>
      </c>
      <c r="AO76" s="161">
        <f t="shared" si="70"/>
        <v>0</v>
      </c>
      <c r="AP76" s="156">
        <f t="shared" si="45"/>
        <v>1.1176776934618162</v>
      </c>
      <c r="AQ76" s="152"/>
      <c r="AR76" s="162">
        <f t="shared" si="46"/>
        <v>457.55438098160658</v>
      </c>
      <c r="AS76" s="150">
        <f t="shared" si="71"/>
        <v>0</v>
      </c>
      <c r="AT76" s="163">
        <f t="shared" si="47"/>
        <v>0</v>
      </c>
      <c r="AU76" s="163">
        <f t="shared" si="48"/>
        <v>6.5133995006627643</v>
      </c>
      <c r="AV76" s="163">
        <f t="shared" si="72"/>
        <v>1.4013384909865703</v>
      </c>
      <c r="AW76" s="163">
        <f t="shared" si="49"/>
        <v>3.085999623111875E-2</v>
      </c>
      <c r="AX76" s="163">
        <f t="shared" si="50"/>
        <v>21.319272350655421</v>
      </c>
      <c r="AY76" s="164">
        <f t="shared" si="73"/>
        <v>473.79245231881691</v>
      </c>
      <c r="AZ76" s="164">
        <f>IF($E76="","",IF(OR(AND($D76=Input!$C$6,$C76=12),$AN76=1),0,-AS77+AT77+AU77-AV77-AW77-AX77+AZ77))</f>
        <v>473.79246778857373</v>
      </c>
      <c r="BA76" s="154">
        <f t="shared" si="51"/>
        <v>1.5469756817765301E-5</v>
      </c>
      <c r="BC76" s="147">
        <f t="shared" si="74"/>
        <v>0.69418899591402572</v>
      </c>
      <c r="BD76" s="164">
        <f>IF(AND($C75=12,$D75=Input!$C$6),0,IF($E76="","",AT76+(AU76+BD77)/(1+$AK76)*MIN((1-AM76-AN76),1)))</f>
        <v>2451.8976420794133</v>
      </c>
      <c r="BE76" s="164">
        <f t="shared" si="52"/>
        <v>1702.0803622390752</v>
      </c>
      <c r="BF76" s="164">
        <f t="shared" si="75"/>
        <v>473.79246778857373</v>
      </c>
      <c r="BG76" s="164">
        <f t="shared" si="53"/>
        <v>328.90151748577836</v>
      </c>
      <c r="BH76" s="152"/>
      <c r="BI76" s="162">
        <f t="shared" si="54"/>
        <v>173.80500633936074</v>
      </c>
      <c r="BJ76" s="150">
        <f t="shared" si="55"/>
        <v>0</v>
      </c>
      <c r="BK76" s="163">
        <f t="shared" si="79"/>
        <v>0</v>
      </c>
      <c r="BL76" s="163">
        <f t="shared" si="56"/>
        <v>6.1136141292994495</v>
      </c>
      <c r="BM76" s="163">
        <f t="shared" si="80"/>
        <v>0.58846930144989984</v>
      </c>
      <c r="BN76" s="163">
        <f t="shared" si="57"/>
        <v>1.0830117372735679E-2</v>
      </c>
      <c r="BO76" s="163">
        <f t="shared" si="58"/>
        <v>8.8568357702276952</v>
      </c>
      <c r="BP76" s="164">
        <f t="shared" si="81"/>
        <v>177.1475273991116</v>
      </c>
      <c r="BQ76" s="164">
        <f>IF($E76="","",IF(AND($D76=Input!$C$6,$C76=12),0,-BJ77+BK77+BL77-BM77-BN77-BO77+BQ77))</f>
        <v>177.14754552192662</v>
      </c>
      <c r="BR76" s="161">
        <f t="shared" si="59"/>
        <v>0</v>
      </c>
      <c r="BT76" s="147">
        <f t="shared" si="60"/>
        <v>0.69418899591402572</v>
      </c>
      <c r="BU76" s="164">
        <f>IF(AND($C75=12,$D75=Input!$C$6),0,IF($E76="","",BK76+(BL76+BU77)/(1+$AK76)*MIN((1-T76-U76),1)))</f>
        <v>3840.7956011742472</v>
      </c>
      <c r="BV76" s="164">
        <f t="shared" si="61"/>
        <v>2666.2380418901575</v>
      </c>
      <c r="BW76" s="164">
        <f t="shared" si="62"/>
        <v>177.14754552192662</v>
      </c>
      <c r="BX76" s="164">
        <f t="shared" si="63"/>
        <v>122.9738767545004</v>
      </c>
    </row>
    <row r="77" spans="1:76" s="150" customFormat="1" x14ac:dyDescent="0.25">
      <c r="A77" s="150">
        <f t="shared" si="76"/>
        <v>73</v>
      </c>
      <c r="B77" s="150">
        <f t="shared" si="77"/>
        <v>7</v>
      </c>
      <c r="C77" s="150">
        <f t="shared" si="78"/>
        <v>1</v>
      </c>
      <c r="D77" s="150">
        <f>IF(E77="","",Input!$C$4+B77-1)</f>
        <v>51</v>
      </c>
      <c r="E77" s="150">
        <f>IF(OR(AND(C76=12,D76=Input!$C$6),E76=""),"",1)</f>
        <v>1</v>
      </c>
      <c r="F77" s="150">
        <f>IF(E77="","",Input!$C$8+B77-1)</f>
        <v>2024</v>
      </c>
      <c r="G77" s="151">
        <f>IF(E77="","",MAX(0,Input!$C$9-B77))</f>
        <v>13</v>
      </c>
      <c r="H77" s="152">
        <f>IF(E77="","",Input!$C$3)</f>
        <v>100000</v>
      </c>
      <c r="I77" s="153">
        <f>IF(E77="","",HLOOKUP($B77,Input!$C$13:$BT$14,2))</f>
        <v>2.2999999999999998</v>
      </c>
      <c r="J77" s="154"/>
      <c r="K77" s="155">
        <f>IF($E77="","",INDEX(Input!$C$16:$CP$16,1,$B77))</f>
        <v>2.6710000000000001E-2</v>
      </c>
      <c r="L77" s="155">
        <f>IF($E77="","",Input!$C$37)</f>
        <v>1.4999999999999999E-2</v>
      </c>
      <c r="M77" s="155">
        <f t="shared" si="64"/>
        <v>4.1709999999999997E-2</v>
      </c>
      <c r="N77" s="155">
        <f t="shared" si="65"/>
        <v>3.4111040904465373E-3</v>
      </c>
      <c r="O77" s="147">
        <f>IF($E77="","",MIN(VLOOKUP(IF($B77&lt;=Input!$C$7,$B77,26),'Mortality Tables'!$A$41:$CW$67,IF($B77&lt;=Input!$C$7+1,Input!$C$4+2,$D77-Input!$C$7+2),0)*IF(B77&gt;20,Input!$C$22,1)/1000,1))</f>
        <v>8.8000000000000014E-4</v>
      </c>
      <c r="P77" s="147">
        <f>IF($E77="","",MIN(VLOOKUP(IF($B77&lt;=Input!$C$7,$B77,26),'Mortality Tables'!$A$12:$CW$37,IF($B77&lt;=Input!$C$7+1,Input!$C$4+2,$D77-Input!$C$7+2),0)*IF(B77&gt;20,Input!$C$22,1)/1000,1))</f>
        <v>1.1000000000000001E-3</v>
      </c>
      <c r="Q77" s="155">
        <f>IF($E77="","",Input!$C$21)</f>
        <v>5.0000000000000001E-3</v>
      </c>
      <c r="R77" s="159">
        <f>IF($E77="","",(1-Q77)^($F77-Input!$C$20))</f>
        <v>0.97037250935626573</v>
      </c>
      <c r="S77" s="147">
        <f t="shared" si="41"/>
        <v>8.5392780823351395E-4</v>
      </c>
      <c r="T77" s="147">
        <f t="shared" si="42"/>
        <v>7.1188517000275731E-5</v>
      </c>
      <c r="U77" s="160">
        <f>IF($E77="","",IF($C77=12,INDEX(Input!$C$15:$CP$15,1,$B77),0))</f>
        <v>0</v>
      </c>
      <c r="V77" s="150">
        <f>IF(E77="","",IF(C77=1,IF($B77=1,Input!$C$33,Input!$C$34),0))</f>
        <v>50</v>
      </c>
      <c r="W77" s="156">
        <f>IF($E77="","",Input!$C$35)</f>
        <v>0.02</v>
      </c>
      <c r="X77" s="156">
        <f t="shared" si="43"/>
        <v>1.1261624192640001</v>
      </c>
      <c r="Y77" s="154"/>
      <c r="Z77" s="147">
        <f>IF($E77="","",VLOOKUP($D77,'Mortality Margins &amp; Grading'!$AB$5:$AF$125,3,0)*IF(Summary!$D$25="Included Margin",IF(AND($B77&gt;Input!$C$9,Summary!$D$31&lt;&gt;"Included Margin"),0,1),0))</f>
        <v>3.9E-2</v>
      </c>
      <c r="AA77" s="147">
        <f>IF($E77="","",VLOOKUP($D77,'Mortality Margins &amp; Grading'!$AB$5:$AF$125,5,0)*IF(Summary!$D$25="Included Margin",IF(AND($B77&gt;Input!$C$9,Summary!$D$31&lt;&gt;"Included Margin"),0,1),0))</f>
        <v>0.19800000000000001</v>
      </c>
      <c r="AB77" s="147">
        <f>IF($E77="","",IF(AND($B77&gt;Input!$C$9,Summary!$D$31&lt;&gt;"Included Margin"),1,IF(Summary!$D$25="Included Margin",VLOOKUP($B77,'Mortality Margins &amp; Grading'!$AI$5:$AR$125,MATCH('Mortality Margins &amp; Grading'!$AQ$4,'Mortality Margins &amp; Grading'!$AI$4:$AR$4,0),0),1)))</f>
        <v>1</v>
      </c>
      <c r="AC77" s="154"/>
      <c r="AD77" s="158">
        <f>IF(E77="","",Input!$C$48*IF(Summary!$D$30="Included Margin",IF(AND($B77&gt;Input!$C$9,Summary!$D$31&lt;&gt;"Included Margin"),0,1),0))</f>
        <v>-4.4999999999999997E-3</v>
      </c>
      <c r="AE77" s="159">
        <f>IF(E77="","",IF(Summary!$D$26="Included Margin",IF(AND($B77&gt;Input!$C$9,Summary!$D$31&lt;&gt;"Included Margin"),1,1/$R77),1))</f>
        <v>1.030532079544781</v>
      </c>
      <c r="AF77" s="160">
        <f>IF(E77="","",IF(AND($B77&gt;=Input!$C$9,$C77=12,Summary!$D$31="Included Margin",$U77&gt;0),1/U77-1,IF($B77&gt;=Input!$C$9,0,Input!$C$45*IF(Summary!$D$27="Included Margin",1,0))))</f>
        <v>-0.1</v>
      </c>
      <c r="AG77" s="160">
        <f>IF(E77="","",Input!$C$46*IF(Summary!$D$28="Included Margin",IF(AND($B77&gt;Input!$C$9,Summary!$D$31&lt;&gt;"Included Margin"),0,1),0))</f>
        <v>0.02</v>
      </c>
      <c r="AH77" s="158">
        <f>IF(E77="","",Input!$C$47*IF(Summary!$D$29="Included Margin",IF(AND($B77&gt;Input!$C$9,Summary!$D$31&lt;&gt;"Included Margin"),0,1),0))</f>
        <v>2.5000000000000001E-3</v>
      </c>
      <c r="AI77" s="154"/>
      <c r="AJ77" s="158">
        <f t="shared" si="66"/>
        <v>3.721E-2</v>
      </c>
      <c r="AK77" s="155">
        <f t="shared" si="67"/>
        <v>3.0491739674713969E-3</v>
      </c>
      <c r="AL77" s="147">
        <f t="shared" si="68"/>
        <v>9.1432000000000004E-4</v>
      </c>
      <c r="AM77" s="147">
        <f t="shared" si="44"/>
        <v>7.6225281829822578E-5</v>
      </c>
      <c r="AN77" s="160">
        <f t="shared" si="69"/>
        <v>0</v>
      </c>
      <c r="AO77" s="161">
        <f t="shared" si="70"/>
        <v>51</v>
      </c>
      <c r="AP77" s="156">
        <f t="shared" si="45"/>
        <v>1.142825441564707</v>
      </c>
      <c r="AQ77" s="152"/>
      <c r="AR77" s="162">
        <f t="shared" si="46"/>
        <v>473.7924500980032</v>
      </c>
      <c r="AS77" s="150">
        <f t="shared" si="71"/>
        <v>229.99999999999997</v>
      </c>
      <c r="AT77" s="163">
        <f t="shared" si="47"/>
        <v>58.284097519800056</v>
      </c>
      <c r="AU77" s="163">
        <f t="shared" si="48"/>
        <v>7.6225281829822578</v>
      </c>
      <c r="AV77" s="163">
        <f t="shared" si="72"/>
        <v>1.9566460572158717</v>
      </c>
      <c r="AW77" s="163">
        <f t="shared" si="49"/>
        <v>4.8775891941505382E-2</v>
      </c>
      <c r="AX77" s="163">
        <f t="shared" si="50"/>
        <v>0</v>
      </c>
      <c r="AY77" s="164">
        <f t="shared" si="73"/>
        <v>639.89124634437826</v>
      </c>
      <c r="AZ77" s="164">
        <f>IF($E77="","",IF(OR(AND($D77=Input!$C$6,$C77=12),$AN77=1),0,-AS78+AT78+AU78-AV78-AW78-AX78+AZ78))</f>
        <v>639.89126403494879</v>
      </c>
      <c r="BA77" s="154">
        <f t="shared" si="51"/>
        <v>1.7690570530248806E-5</v>
      </c>
      <c r="BC77" s="147">
        <f t="shared" si="74"/>
        <v>0.69413957762888867</v>
      </c>
      <c r="BD77" s="164">
        <f>IF(AND($C76=12,$D76=Input!$C$6),0,IF($E77="","",AT77+(AU77+BD78)/(1+$AK77)*MIN((1-AM77-AN77),1)))</f>
        <v>2569.013913544155</v>
      </c>
      <c r="BE77" s="164">
        <f t="shared" si="52"/>
        <v>1783.254232870278</v>
      </c>
      <c r="BF77" s="164">
        <f t="shared" si="75"/>
        <v>639.89126403494879</v>
      </c>
      <c r="BG77" s="164">
        <f t="shared" si="53"/>
        <v>444.17385174563503</v>
      </c>
      <c r="BH77" s="152"/>
      <c r="BI77" s="162">
        <f t="shared" si="54"/>
        <v>177.1475248491021</v>
      </c>
      <c r="BJ77" s="150">
        <f t="shared" si="55"/>
        <v>229.99999999999997</v>
      </c>
      <c r="BK77" s="163">
        <f t="shared" si="79"/>
        <v>56.308120963200004</v>
      </c>
      <c r="BL77" s="163">
        <f t="shared" si="56"/>
        <v>7.1188517000275731</v>
      </c>
      <c r="BM77" s="163">
        <f t="shared" si="80"/>
        <v>1.1846081536084021</v>
      </c>
      <c r="BN77" s="163">
        <f t="shared" si="57"/>
        <v>2.4555036378602506E-2</v>
      </c>
      <c r="BO77" s="163">
        <f t="shared" si="58"/>
        <v>0</v>
      </c>
      <c r="BP77" s="164">
        <f t="shared" si="81"/>
        <v>344.92971537586152</v>
      </c>
      <c r="BQ77" s="164">
        <f>IF($E77="","",IF(AND($D77=Input!$C$6,$C77=12),0,-BJ78+BK78+BL78-BM78-BN78-BO78+BQ78))</f>
        <v>344.92973604868604</v>
      </c>
      <c r="BR77" s="161">
        <f t="shared" si="59"/>
        <v>0</v>
      </c>
      <c r="BT77" s="147">
        <f t="shared" si="60"/>
        <v>0.69413957762888867</v>
      </c>
      <c r="BU77" s="164">
        <f>IF(AND($C76=12,$D76=Input!$C$6),0,IF($E77="","",BK77+(BL77+BU78)/(1+$AK77)*MIN((1-T77-U77),1)))</f>
        <v>4049.5610889078216</v>
      </c>
      <c r="BV77" s="164">
        <f t="shared" si="61"/>
        <v>2810.9606238368578</v>
      </c>
      <c r="BW77" s="164">
        <f t="shared" si="62"/>
        <v>344.92973604868604</v>
      </c>
      <c r="BX77" s="164">
        <f t="shared" si="63"/>
        <v>239.42938129247898</v>
      </c>
    </row>
    <row r="78" spans="1:76" s="150" customFormat="1" x14ac:dyDescent="0.25">
      <c r="A78" s="150">
        <f t="shared" si="76"/>
        <v>74</v>
      </c>
      <c r="B78" s="150">
        <f t="shared" si="77"/>
        <v>7</v>
      </c>
      <c r="C78" s="150">
        <f t="shared" si="78"/>
        <v>2</v>
      </c>
      <c r="D78" s="150">
        <f>IF(E78="","",Input!$C$4+B78-1)</f>
        <v>51</v>
      </c>
      <c r="E78" s="150">
        <f>IF(OR(AND(C77=12,D77=Input!$C$6),E77=""),"",1)</f>
        <v>1</v>
      </c>
      <c r="F78" s="150">
        <f>IF(E78="","",Input!$C$8+B78-1)</f>
        <v>2024</v>
      </c>
      <c r="G78" s="151">
        <f>IF(E78="","",MAX(0,Input!$C$9-B78))</f>
        <v>13</v>
      </c>
      <c r="H78" s="152">
        <f>IF(E78="","",Input!$C$3)</f>
        <v>100000</v>
      </c>
      <c r="I78" s="153">
        <f>IF(E78="","",HLOOKUP($B78,Input!$C$13:$BT$14,2))</f>
        <v>2.2999999999999998</v>
      </c>
      <c r="J78" s="154"/>
      <c r="K78" s="155">
        <f>IF($E78="","",INDEX(Input!$C$16:$CP$16,1,$B78))</f>
        <v>2.6710000000000001E-2</v>
      </c>
      <c r="L78" s="155">
        <f>IF($E78="","",Input!$C$37)</f>
        <v>1.4999999999999999E-2</v>
      </c>
      <c r="M78" s="155">
        <f t="shared" si="64"/>
        <v>4.1709999999999997E-2</v>
      </c>
      <c r="N78" s="155">
        <f t="shared" si="65"/>
        <v>3.4111040904465373E-3</v>
      </c>
      <c r="O78" s="147">
        <f>IF($E78="","",MIN(VLOOKUP(IF($B78&lt;=Input!$C$7,$B78,26),'Mortality Tables'!$A$41:$CW$67,IF($B78&lt;=Input!$C$7+1,Input!$C$4+2,$D78-Input!$C$7+2),0)*IF(B78&gt;20,Input!$C$22,1)/1000,1))</f>
        <v>8.8000000000000014E-4</v>
      </c>
      <c r="P78" s="147">
        <f>IF($E78="","",MIN(VLOOKUP(IF($B78&lt;=Input!$C$7,$B78,26),'Mortality Tables'!$A$12:$CW$37,IF($B78&lt;=Input!$C$7+1,Input!$C$4+2,$D78-Input!$C$7+2),0)*IF(B78&gt;20,Input!$C$22,1)/1000,1))</f>
        <v>1.1000000000000001E-3</v>
      </c>
      <c r="Q78" s="155">
        <f>IF($E78="","",Input!$C$21)</f>
        <v>5.0000000000000001E-3</v>
      </c>
      <c r="R78" s="159">
        <f>IF($E78="","",(1-Q78)^($F78-Input!$C$20))</f>
        <v>0.97037250935626573</v>
      </c>
      <c r="S78" s="147">
        <f t="shared" si="41"/>
        <v>8.5392780823351395E-4</v>
      </c>
      <c r="T78" s="147">
        <f t="shared" si="42"/>
        <v>7.1188517000275731E-5</v>
      </c>
      <c r="U78" s="160">
        <f>IF($E78="","",IF($C78=12,INDEX(Input!$C$15:$CP$15,1,$B78),0))</f>
        <v>0</v>
      </c>
      <c r="V78" s="150">
        <f>IF(E78="","",IF(C78=1,IF($B78=1,Input!$C$33,Input!$C$34),0))</f>
        <v>0</v>
      </c>
      <c r="W78" s="156">
        <f>IF($E78="","",Input!$C$35)</f>
        <v>0.02</v>
      </c>
      <c r="X78" s="156">
        <f t="shared" si="43"/>
        <v>1.1261624192640001</v>
      </c>
      <c r="Y78" s="154"/>
      <c r="Z78" s="147">
        <f>IF($E78="","",VLOOKUP($D78,'Mortality Margins &amp; Grading'!$AB$5:$AF$125,3,0)*IF(Summary!$D$25="Included Margin",IF(AND($B78&gt;Input!$C$9,Summary!$D$31&lt;&gt;"Included Margin"),0,1),0))</f>
        <v>3.9E-2</v>
      </c>
      <c r="AA78" s="147">
        <f>IF($E78="","",VLOOKUP($D78,'Mortality Margins &amp; Grading'!$AB$5:$AF$125,5,0)*IF(Summary!$D$25="Included Margin",IF(AND($B78&gt;Input!$C$9,Summary!$D$31&lt;&gt;"Included Margin"),0,1),0))</f>
        <v>0.19800000000000001</v>
      </c>
      <c r="AB78" s="147">
        <f>IF($E78="","",IF(AND($B78&gt;Input!$C$9,Summary!$D$31&lt;&gt;"Included Margin"),1,IF(Summary!$D$25="Included Margin",VLOOKUP($B78,'Mortality Margins &amp; Grading'!$AI$5:$AR$125,MATCH('Mortality Margins &amp; Grading'!$AQ$4,'Mortality Margins &amp; Grading'!$AI$4:$AR$4,0),0),1)))</f>
        <v>1</v>
      </c>
      <c r="AC78" s="154"/>
      <c r="AD78" s="158">
        <f>IF(E78="","",Input!$C$48*IF(Summary!$D$30="Included Margin",IF(AND($B78&gt;Input!$C$9,Summary!$D$31&lt;&gt;"Included Margin"),0,1),0))</f>
        <v>-4.4999999999999997E-3</v>
      </c>
      <c r="AE78" s="159">
        <f>IF(E78="","",IF(Summary!$D$26="Included Margin",IF(AND($B78&gt;Input!$C$9,Summary!$D$31&lt;&gt;"Included Margin"),1,1/$R78),1))</f>
        <v>1.030532079544781</v>
      </c>
      <c r="AF78" s="160">
        <f>IF(E78="","",IF(AND($B78&gt;=Input!$C$9,$C78=12,Summary!$D$31="Included Margin",$U78&gt;0),1/U78-1,IF($B78&gt;=Input!$C$9,0,Input!$C$45*IF(Summary!$D$27="Included Margin",1,0))))</f>
        <v>-0.1</v>
      </c>
      <c r="AG78" s="160">
        <f>IF(E78="","",Input!$C$46*IF(Summary!$D$28="Included Margin",IF(AND($B78&gt;Input!$C$9,Summary!$D$31&lt;&gt;"Included Margin"),0,1),0))</f>
        <v>0.02</v>
      </c>
      <c r="AH78" s="158">
        <f>IF(E78="","",Input!$C$47*IF(Summary!$D$29="Included Margin",IF(AND($B78&gt;Input!$C$9,Summary!$D$31&lt;&gt;"Included Margin"),0,1),0))</f>
        <v>2.5000000000000001E-3</v>
      </c>
      <c r="AI78" s="154"/>
      <c r="AJ78" s="158">
        <f t="shared" si="66"/>
        <v>3.721E-2</v>
      </c>
      <c r="AK78" s="155">
        <f t="shared" si="67"/>
        <v>3.0491739674713969E-3</v>
      </c>
      <c r="AL78" s="147">
        <f t="shared" si="68"/>
        <v>9.1432000000000004E-4</v>
      </c>
      <c r="AM78" s="147">
        <f t="shared" si="44"/>
        <v>7.6225281829822578E-5</v>
      </c>
      <c r="AN78" s="160">
        <f t="shared" si="69"/>
        <v>0</v>
      </c>
      <c r="AO78" s="161">
        <f t="shared" si="70"/>
        <v>0</v>
      </c>
      <c r="AP78" s="156">
        <f t="shared" si="45"/>
        <v>1.142825441564707</v>
      </c>
      <c r="AQ78" s="152"/>
      <c r="AR78" s="162">
        <f t="shared" si="46"/>
        <v>639.89124634437837</v>
      </c>
      <c r="AS78" s="150">
        <f t="shared" si="71"/>
        <v>0</v>
      </c>
      <c r="AT78" s="163">
        <f t="shared" si="47"/>
        <v>0</v>
      </c>
      <c r="AU78" s="163">
        <f t="shared" si="48"/>
        <v>7.6225281829822578</v>
      </c>
      <c r="AV78" s="163">
        <f t="shared" si="72"/>
        <v>1.9395185231151719</v>
      </c>
      <c r="AW78" s="163">
        <f t="shared" si="49"/>
        <v>4.8346388145602263E-2</v>
      </c>
      <c r="AX78" s="163">
        <f t="shared" si="50"/>
        <v>0</v>
      </c>
      <c r="AY78" s="164">
        <f t="shared" si="73"/>
        <v>634.25658307265689</v>
      </c>
      <c r="AZ78" s="164">
        <f>IF($E78="","",IF(OR(AND($D78=Input!$C$6,$C78=12),$AN78=1),0,-AS79+AT79+AU79-AV79-AW79-AX79+AZ79))</f>
        <v>634.25660076322731</v>
      </c>
      <c r="BA78" s="154">
        <f t="shared" si="51"/>
        <v>1.7690570416561968E-5</v>
      </c>
      <c r="BC78" s="147">
        <f t="shared" si="74"/>
        <v>0.69409016286176606</v>
      </c>
      <c r="BD78" s="164">
        <f>IF(AND($C77=12,$D77=Input!$C$6),0,IF($E78="","",AT78+(AU78+BD79)/(1+$AK78)*MIN((1-AM78-AN78),1)))</f>
        <v>2510.9549191114784</v>
      </c>
      <c r="BE78" s="164">
        <f t="shared" si="52"/>
        <v>1742.8291087446387</v>
      </c>
      <c r="BF78" s="164">
        <f t="shared" si="75"/>
        <v>634.25660076322731</v>
      </c>
      <c r="BG78" s="164">
        <f t="shared" si="53"/>
        <v>440.23126731989856</v>
      </c>
      <c r="BH78" s="152"/>
      <c r="BI78" s="162">
        <f t="shared" si="54"/>
        <v>344.92971537586146</v>
      </c>
      <c r="BJ78" s="150">
        <f t="shared" si="55"/>
        <v>0</v>
      </c>
      <c r="BK78" s="163">
        <f t="shared" si="79"/>
        <v>0</v>
      </c>
      <c r="BL78" s="163">
        <f t="shared" si="56"/>
        <v>7.1188517000275731</v>
      </c>
      <c r="BM78" s="163">
        <f t="shared" si="80"/>
        <v>1.1644495909585377</v>
      </c>
      <c r="BN78" s="163">
        <f t="shared" si="57"/>
        <v>2.4132869306011422E-2</v>
      </c>
      <c r="BO78" s="163">
        <f t="shared" si="58"/>
        <v>0</v>
      </c>
      <c r="BP78" s="164">
        <f t="shared" si="81"/>
        <v>338.99944613609847</v>
      </c>
      <c r="BQ78" s="164">
        <f>IF($E78="","",IF(AND($D78=Input!$C$6,$C78=12),0,-BJ79+BK79+BL79-BM79-BN79-BO79+BQ79))</f>
        <v>338.99946680892299</v>
      </c>
      <c r="BR78" s="161">
        <f t="shared" si="59"/>
        <v>0</v>
      </c>
      <c r="BT78" s="147">
        <f t="shared" si="60"/>
        <v>0.69409016286176606</v>
      </c>
      <c r="BU78" s="164">
        <f>IF(AND($C77=12,$D77=Input!$C$6),0,IF($E78="","",BK78+(BL78+BU79)/(1+$AK78)*MIN((1-T78-U78),1)))</f>
        <v>3998.595400097091</v>
      </c>
      <c r="BV78" s="164">
        <f t="shared" si="61"/>
        <v>2775.3857324716987</v>
      </c>
      <c r="BW78" s="164">
        <f t="shared" si="62"/>
        <v>338.99946680892299</v>
      </c>
      <c r="BX78" s="164">
        <f t="shared" si="63"/>
        <v>235.29619512745722</v>
      </c>
    </row>
    <row r="79" spans="1:76" s="150" customFormat="1" x14ac:dyDescent="0.25">
      <c r="A79" s="150">
        <f t="shared" si="76"/>
        <v>75</v>
      </c>
      <c r="B79" s="150">
        <f t="shared" si="77"/>
        <v>7</v>
      </c>
      <c r="C79" s="150">
        <f t="shared" si="78"/>
        <v>3</v>
      </c>
      <c r="D79" s="150">
        <f>IF(E79="","",Input!$C$4+B79-1)</f>
        <v>51</v>
      </c>
      <c r="E79" s="150">
        <f>IF(OR(AND(C78=12,D78=Input!$C$6),E78=""),"",1)</f>
        <v>1</v>
      </c>
      <c r="F79" s="150">
        <f>IF(E79="","",Input!$C$8+B79-1)</f>
        <v>2024</v>
      </c>
      <c r="G79" s="151">
        <f>IF(E79="","",MAX(0,Input!$C$9-B79))</f>
        <v>13</v>
      </c>
      <c r="H79" s="152">
        <f>IF(E79="","",Input!$C$3)</f>
        <v>100000</v>
      </c>
      <c r="I79" s="153">
        <f>IF(E79="","",HLOOKUP($B79,Input!$C$13:$BT$14,2))</f>
        <v>2.2999999999999998</v>
      </c>
      <c r="J79" s="154"/>
      <c r="K79" s="155">
        <f>IF($E79="","",INDEX(Input!$C$16:$CP$16,1,$B79))</f>
        <v>2.6710000000000001E-2</v>
      </c>
      <c r="L79" s="155">
        <f>IF($E79="","",Input!$C$37)</f>
        <v>1.4999999999999999E-2</v>
      </c>
      <c r="M79" s="155">
        <f t="shared" si="64"/>
        <v>4.1709999999999997E-2</v>
      </c>
      <c r="N79" s="155">
        <f t="shared" si="65"/>
        <v>3.4111040904465373E-3</v>
      </c>
      <c r="O79" s="147">
        <f>IF($E79="","",MIN(VLOOKUP(IF($B79&lt;=Input!$C$7,$B79,26),'Mortality Tables'!$A$41:$CW$67,IF($B79&lt;=Input!$C$7+1,Input!$C$4+2,$D79-Input!$C$7+2),0)*IF(B79&gt;20,Input!$C$22,1)/1000,1))</f>
        <v>8.8000000000000014E-4</v>
      </c>
      <c r="P79" s="147">
        <f>IF($E79="","",MIN(VLOOKUP(IF($B79&lt;=Input!$C$7,$B79,26),'Mortality Tables'!$A$12:$CW$37,IF($B79&lt;=Input!$C$7+1,Input!$C$4+2,$D79-Input!$C$7+2),0)*IF(B79&gt;20,Input!$C$22,1)/1000,1))</f>
        <v>1.1000000000000001E-3</v>
      </c>
      <c r="Q79" s="155">
        <f>IF($E79="","",Input!$C$21)</f>
        <v>5.0000000000000001E-3</v>
      </c>
      <c r="R79" s="159">
        <f>IF($E79="","",(1-Q79)^($F79-Input!$C$20))</f>
        <v>0.97037250935626573</v>
      </c>
      <c r="S79" s="147">
        <f t="shared" si="41"/>
        <v>8.5392780823351395E-4</v>
      </c>
      <c r="T79" s="147">
        <f t="shared" si="42"/>
        <v>7.1188517000275731E-5</v>
      </c>
      <c r="U79" s="160">
        <f>IF($E79="","",IF($C79=12,INDEX(Input!$C$15:$CP$15,1,$B79),0))</f>
        <v>0</v>
      </c>
      <c r="V79" s="150">
        <f>IF(E79="","",IF(C79=1,IF($B79=1,Input!$C$33,Input!$C$34),0))</f>
        <v>0</v>
      </c>
      <c r="W79" s="156">
        <f>IF($E79="","",Input!$C$35)</f>
        <v>0.02</v>
      </c>
      <c r="X79" s="156">
        <f t="shared" si="43"/>
        <v>1.1261624192640001</v>
      </c>
      <c r="Y79" s="154"/>
      <c r="Z79" s="147">
        <f>IF($E79="","",VLOOKUP($D79,'Mortality Margins &amp; Grading'!$AB$5:$AF$125,3,0)*IF(Summary!$D$25="Included Margin",IF(AND($B79&gt;Input!$C$9,Summary!$D$31&lt;&gt;"Included Margin"),0,1),0))</f>
        <v>3.9E-2</v>
      </c>
      <c r="AA79" s="147">
        <f>IF($E79="","",VLOOKUP($D79,'Mortality Margins &amp; Grading'!$AB$5:$AF$125,5,0)*IF(Summary!$D$25="Included Margin",IF(AND($B79&gt;Input!$C$9,Summary!$D$31&lt;&gt;"Included Margin"),0,1),0))</f>
        <v>0.19800000000000001</v>
      </c>
      <c r="AB79" s="147">
        <f>IF($E79="","",IF(AND($B79&gt;Input!$C$9,Summary!$D$31&lt;&gt;"Included Margin"),1,IF(Summary!$D$25="Included Margin",VLOOKUP($B79,'Mortality Margins &amp; Grading'!$AI$5:$AR$125,MATCH('Mortality Margins &amp; Grading'!$AQ$4,'Mortality Margins &amp; Grading'!$AI$4:$AR$4,0),0),1)))</f>
        <v>1</v>
      </c>
      <c r="AC79" s="154"/>
      <c r="AD79" s="158">
        <f>IF(E79="","",Input!$C$48*IF(Summary!$D$30="Included Margin",IF(AND($B79&gt;Input!$C$9,Summary!$D$31&lt;&gt;"Included Margin"),0,1),0))</f>
        <v>-4.4999999999999997E-3</v>
      </c>
      <c r="AE79" s="159">
        <f>IF(E79="","",IF(Summary!$D$26="Included Margin",IF(AND($B79&gt;Input!$C$9,Summary!$D$31&lt;&gt;"Included Margin"),1,1/$R79),1))</f>
        <v>1.030532079544781</v>
      </c>
      <c r="AF79" s="160">
        <f>IF(E79="","",IF(AND($B79&gt;=Input!$C$9,$C79=12,Summary!$D$31="Included Margin",$U79&gt;0),1/U79-1,IF($B79&gt;=Input!$C$9,0,Input!$C$45*IF(Summary!$D$27="Included Margin",1,0))))</f>
        <v>-0.1</v>
      </c>
      <c r="AG79" s="160">
        <f>IF(E79="","",Input!$C$46*IF(Summary!$D$28="Included Margin",IF(AND($B79&gt;Input!$C$9,Summary!$D$31&lt;&gt;"Included Margin"),0,1),0))</f>
        <v>0.02</v>
      </c>
      <c r="AH79" s="158">
        <f>IF(E79="","",Input!$C$47*IF(Summary!$D$29="Included Margin",IF(AND($B79&gt;Input!$C$9,Summary!$D$31&lt;&gt;"Included Margin"),0,1),0))</f>
        <v>2.5000000000000001E-3</v>
      </c>
      <c r="AI79" s="154"/>
      <c r="AJ79" s="158">
        <f t="shared" si="66"/>
        <v>3.721E-2</v>
      </c>
      <c r="AK79" s="155">
        <f t="shared" si="67"/>
        <v>3.0491739674713969E-3</v>
      </c>
      <c r="AL79" s="147">
        <f t="shared" si="68"/>
        <v>9.1432000000000004E-4</v>
      </c>
      <c r="AM79" s="147">
        <f t="shared" si="44"/>
        <v>7.6225281829822578E-5</v>
      </c>
      <c r="AN79" s="160">
        <f t="shared" si="69"/>
        <v>0</v>
      </c>
      <c r="AO79" s="161">
        <f t="shared" si="70"/>
        <v>0</v>
      </c>
      <c r="AP79" s="156">
        <f t="shared" si="45"/>
        <v>1.142825441564707</v>
      </c>
      <c r="AQ79" s="152"/>
      <c r="AR79" s="162">
        <f t="shared" si="46"/>
        <v>634.25658307265689</v>
      </c>
      <c r="AS79" s="150">
        <f t="shared" si="71"/>
        <v>0</v>
      </c>
      <c r="AT79" s="163">
        <f t="shared" si="47"/>
        <v>0</v>
      </c>
      <c r="AU79" s="163">
        <f t="shared" si="48"/>
        <v>7.6225281829822578</v>
      </c>
      <c r="AV79" s="163">
        <f t="shared" si="72"/>
        <v>1.9223374545515717</v>
      </c>
      <c r="AW79" s="163">
        <f t="shared" si="49"/>
        <v>4.7915541876527461E-2</v>
      </c>
      <c r="AX79" s="163">
        <f t="shared" si="50"/>
        <v>0</v>
      </c>
      <c r="AY79" s="164">
        <f t="shared" si="73"/>
        <v>628.60430788610267</v>
      </c>
      <c r="AZ79" s="164">
        <f>IF($E79="","",IF(OR(AND($D79=Input!$C$6,$C79=12),$AN79=1),0,-AS80+AT80+AU80-AV80-AW80-AX80+AZ80))</f>
        <v>628.6043255766732</v>
      </c>
      <c r="BA79" s="154">
        <f t="shared" si="51"/>
        <v>1.7690570530248806E-5</v>
      </c>
      <c r="BC79" s="147">
        <f t="shared" si="74"/>
        <v>0.69404075161240741</v>
      </c>
      <c r="BD79" s="164">
        <f>IF(AND($C78=12,$D78=Input!$C$6),0,IF($E79="","",AT79+(AU79+BD80)/(1+$AK79)*MIN((1-AM79-AN79),1)))</f>
        <v>2511.1807257892524</v>
      </c>
      <c r="BE79" s="164">
        <f t="shared" si="52"/>
        <v>1742.8617583613634</v>
      </c>
      <c r="BF79" s="164">
        <f t="shared" si="75"/>
        <v>628.6043255766732</v>
      </c>
      <c r="BG79" s="164">
        <f t="shared" si="53"/>
        <v>436.27701859004475</v>
      </c>
      <c r="BH79" s="152"/>
      <c r="BI79" s="162">
        <f t="shared" si="54"/>
        <v>338.99944613609847</v>
      </c>
      <c r="BJ79" s="150">
        <f t="shared" si="55"/>
        <v>0</v>
      </c>
      <c r="BK79" s="163">
        <f t="shared" si="79"/>
        <v>0</v>
      </c>
      <c r="BL79" s="163">
        <f t="shared" si="56"/>
        <v>7.1188517000275731</v>
      </c>
      <c r="BM79" s="163">
        <f t="shared" si="80"/>
        <v>1.1442208252973329</v>
      </c>
      <c r="BN79" s="163">
        <f t="shared" si="57"/>
        <v>2.3709232019482E-2</v>
      </c>
      <c r="BO79" s="163">
        <f t="shared" si="58"/>
        <v>0</v>
      </c>
      <c r="BP79" s="164">
        <f t="shared" si="81"/>
        <v>333.04852449338773</v>
      </c>
      <c r="BQ79" s="164">
        <f>IF($E79="","",IF(AND($D79=Input!$C$6,$C79=12),0,-BJ80+BK80+BL80-BM80-BN80-BO80+BQ80))</f>
        <v>333.04854516621225</v>
      </c>
      <c r="BR79" s="161">
        <f t="shared" si="59"/>
        <v>0</v>
      </c>
      <c r="BT79" s="147">
        <f t="shared" si="60"/>
        <v>0.69404075161240741</v>
      </c>
      <c r="BU79" s="164">
        <f>IF(AND($C78=12,$D78=Input!$C$6),0,IF($E79="","",BK79+(BL79+BU80)/(1+$AK79)*MIN((1-T79-U79),1)))</f>
        <v>4003.9545037612447</v>
      </c>
      <c r="BV79" s="164">
        <f t="shared" si="61"/>
        <v>2778.9075932123378</v>
      </c>
      <c r="BW79" s="164">
        <f t="shared" si="62"/>
        <v>333.04854516621225</v>
      </c>
      <c r="BX79" s="164">
        <f t="shared" si="63"/>
        <v>231.14926261057676</v>
      </c>
    </row>
    <row r="80" spans="1:76" s="150" customFormat="1" x14ac:dyDescent="0.25">
      <c r="A80" s="150">
        <f t="shared" si="76"/>
        <v>76</v>
      </c>
      <c r="B80" s="150">
        <f t="shared" si="77"/>
        <v>7</v>
      </c>
      <c r="C80" s="150">
        <f t="shared" si="78"/>
        <v>4</v>
      </c>
      <c r="D80" s="150">
        <f>IF(E80="","",Input!$C$4+B80-1)</f>
        <v>51</v>
      </c>
      <c r="E80" s="150">
        <f>IF(OR(AND(C79=12,D79=Input!$C$6),E79=""),"",1)</f>
        <v>1</v>
      </c>
      <c r="F80" s="150">
        <f>IF(E80="","",Input!$C$8+B80-1)</f>
        <v>2024</v>
      </c>
      <c r="G80" s="151">
        <f>IF(E80="","",MAX(0,Input!$C$9-B80))</f>
        <v>13</v>
      </c>
      <c r="H80" s="152">
        <f>IF(E80="","",Input!$C$3)</f>
        <v>100000</v>
      </c>
      <c r="I80" s="153">
        <f>IF(E80="","",HLOOKUP($B80,Input!$C$13:$BT$14,2))</f>
        <v>2.2999999999999998</v>
      </c>
      <c r="J80" s="154"/>
      <c r="K80" s="155">
        <f>IF($E80="","",INDEX(Input!$C$16:$CP$16,1,$B80))</f>
        <v>2.6710000000000001E-2</v>
      </c>
      <c r="L80" s="155">
        <f>IF($E80="","",Input!$C$37)</f>
        <v>1.4999999999999999E-2</v>
      </c>
      <c r="M80" s="155">
        <f t="shared" si="64"/>
        <v>4.1709999999999997E-2</v>
      </c>
      <c r="N80" s="155">
        <f t="shared" si="65"/>
        <v>3.4111040904465373E-3</v>
      </c>
      <c r="O80" s="147">
        <f>IF($E80="","",MIN(VLOOKUP(IF($B80&lt;=Input!$C$7,$B80,26),'Mortality Tables'!$A$41:$CW$67,IF($B80&lt;=Input!$C$7+1,Input!$C$4+2,$D80-Input!$C$7+2),0)*IF(B80&gt;20,Input!$C$22,1)/1000,1))</f>
        <v>8.8000000000000014E-4</v>
      </c>
      <c r="P80" s="147">
        <f>IF($E80="","",MIN(VLOOKUP(IF($B80&lt;=Input!$C$7,$B80,26),'Mortality Tables'!$A$12:$CW$37,IF($B80&lt;=Input!$C$7+1,Input!$C$4+2,$D80-Input!$C$7+2),0)*IF(B80&gt;20,Input!$C$22,1)/1000,1))</f>
        <v>1.1000000000000001E-3</v>
      </c>
      <c r="Q80" s="155">
        <f>IF($E80="","",Input!$C$21)</f>
        <v>5.0000000000000001E-3</v>
      </c>
      <c r="R80" s="159">
        <f>IF($E80="","",(1-Q80)^($F80-Input!$C$20))</f>
        <v>0.97037250935626573</v>
      </c>
      <c r="S80" s="147">
        <f t="shared" si="41"/>
        <v>8.5392780823351395E-4</v>
      </c>
      <c r="T80" s="147">
        <f t="shared" si="42"/>
        <v>7.1188517000275731E-5</v>
      </c>
      <c r="U80" s="160">
        <f>IF($E80="","",IF($C80=12,INDEX(Input!$C$15:$CP$15,1,$B80),0))</f>
        <v>0</v>
      </c>
      <c r="V80" s="150">
        <f>IF(E80="","",IF(C80=1,IF($B80=1,Input!$C$33,Input!$C$34),0))</f>
        <v>0</v>
      </c>
      <c r="W80" s="156">
        <f>IF($E80="","",Input!$C$35)</f>
        <v>0.02</v>
      </c>
      <c r="X80" s="156">
        <f t="shared" si="43"/>
        <v>1.1261624192640001</v>
      </c>
      <c r="Y80" s="154"/>
      <c r="Z80" s="147">
        <f>IF($E80="","",VLOOKUP($D80,'Mortality Margins &amp; Grading'!$AB$5:$AF$125,3,0)*IF(Summary!$D$25="Included Margin",IF(AND($B80&gt;Input!$C$9,Summary!$D$31&lt;&gt;"Included Margin"),0,1),0))</f>
        <v>3.9E-2</v>
      </c>
      <c r="AA80" s="147">
        <f>IF($E80="","",VLOOKUP($D80,'Mortality Margins &amp; Grading'!$AB$5:$AF$125,5,0)*IF(Summary!$D$25="Included Margin",IF(AND($B80&gt;Input!$C$9,Summary!$D$31&lt;&gt;"Included Margin"),0,1),0))</f>
        <v>0.19800000000000001</v>
      </c>
      <c r="AB80" s="147">
        <f>IF($E80="","",IF(AND($B80&gt;Input!$C$9,Summary!$D$31&lt;&gt;"Included Margin"),1,IF(Summary!$D$25="Included Margin",VLOOKUP($B80,'Mortality Margins &amp; Grading'!$AI$5:$AR$125,MATCH('Mortality Margins &amp; Grading'!$AQ$4,'Mortality Margins &amp; Grading'!$AI$4:$AR$4,0),0),1)))</f>
        <v>1</v>
      </c>
      <c r="AC80" s="154"/>
      <c r="AD80" s="158">
        <f>IF(E80="","",Input!$C$48*IF(Summary!$D$30="Included Margin",IF(AND($B80&gt;Input!$C$9,Summary!$D$31&lt;&gt;"Included Margin"),0,1),0))</f>
        <v>-4.4999999999999997E-3</v>
      </c>
      <c r="AE80" s="159">
        <f>IF(E80="","",IF(Summary!$D$26="Included Margin",IF(AND($B80&gt;Input!$C$9,Summary!$D$31&lt;&gt;"Included Margin"),1,1/$R80),1))</f>
        <v>1.030532079544781</v>
      </c>
      <c r="AF80" s="160">
        <f>IF(E80="","",IF(AND($B80&gt;=Input!$C$9,$C80=12,Summary!$D$31="Included Margin",$U80&gt;0),1/U80-1,IF($B80&gt;=Input!$C$9,0,Input!$C$45*IF(Summary!$D$27="Included Margin",1,0))))</f>
        <v>-0.1</v>
      </c>
      <c r="AG80" s="160">
        <f>IF(E80="","",Input!$C$46*IF(Summary!$D$28="Included Margin",IF(AND($B80&gt;Input!$C$9,Summary!$D$31&lt;&gt;"Included Margin"),0,1),0))</f>
        <v>0.02</v>
      </c>
      <c r="AH80" s="158">
        <f>IF(E80="","",Input!$C$47*IF(Summary!$D$29="Included Margin",IF(AND($B80&gt;Input!$C$9,Summary!$D$31&lt;&gt;"Included Margin"),0,1),0))</f>
        <v>2.5000000000000001E-3</v>
      </c>
      <c r="AI80" s="154"/>
      <c r="AJ80" s="158">
        <f t="shared" si="66"/>
        <v>3.721E-2</v>
      </c>
      <c r="AK80" s="155">
        <f t="shared" si="67"/>
        <v>3.0491739674713969E-3</v>
      </c>
      <c r="AL80" s="147">
        <f t="shared" si="68"/>
        <v>9.1432000000000004E-4</v>
      </c>
      <c r="AM80" s="147">
        <f t="shared" si="44"/>
        <v>7.6225281829822578E-5</v>
      </c>
      <c r="AN80" s="160">
        <f t="shared" si="69"/>
        <v>0</v>
      </c>
      <c r="AO80" s="161">
        <f t="shared" si="70"/>
        <v>0</v>
      </c>
      <c r="AP80" s="156">
        <f t="shared" si="45"/>
        <v>1.142825441564707</v>
      </c>
      <c r="AQ80" s="152"/>
      <c r="AR80" s="162">
        <f t="shared" si="46"/>
        <v>628.60430788610267</v>
      </c>
      <c r="AS80" s="150">
        <f t="shared" si="71"/>
        <v>0</v>
      </c>
      <c r="AT80" s="163">
        <f t="shared" si="47"/>
        <v>0</v>
      </c>
      <c r="AU80" s="163">
        <f t="shared" si="48"/>
        <v>7.6225281829822578</v>
      </c>
      <c r="AV80" s="163">
        <f t="shared" si="72"/>
        <v>1.9051026841957459</v>
      </c>
      <c r="AW80" s="163">
        <f t="shared" si="49"/>
        <v>4.7483348938196487E-2</v>
      </c>
      <c r="AX80" s="163">
        <f t="shared" si="50"/>
        <v>0</v>
      </c>
      <c r="AY80" s="164">
        <f t="shared" si="73"/>
        <v>622.93436573625434</v>
      </c>
      <c r="AZ80" s="164">
        <f>IF($E80="","",IF(OR(AND($D80=Input!$C$6,$C80=12),$AN80=1),0,-AS81+AT81+AU81-AV81-AW81-AX81+AZ81))</f>
        <v>622.93438342682487</v>
      </c>
      <c r="BA80" s="154">
        <f t="shared" si="51"/>
        <v>1.7690570530248806E-5</v>
      </c>
      <c r="BC80" s="147">
        <f t="shared" si="74"/>
        <v>0.69399134388056238</v>
      </c>
      <c r="BD80" s="164">
        <f>IF(AND($C79=12,$D79=Input!$C$6),0,IF($E80="","",AT80+(AU80+BD81)/(1+$AK80)*MIN((1-AM80-AN80),1)))</f>
        <v>2511.407238256847</v>
      </c>
      <c r="BE80" s="164">
        <f t="shared" si="52"/>
        <v>1742.894884309241</v>
      </c>
      <c r="BF80" s="164">
        <f t="shared" si="75"/>
        <v>622.93438342682487</v>
      </c>
      <c r="BG80" s="164">
        <f t="shared" si="53"/>
        <v>432.31106990379169</v>
      </c>
      <c r="BH80" s="152"/>
      <c r="BI80" s="162">
        <f t="shared" si="54"/>
        <v>333.04852449338773</v>
      </c>
      <c r="BJ80" s="150">
        <f t="shared" si="55"/>
        <v>0</v>
      </c>
      <c r="BK80" s="163">
        <f t="shared" si="79"/>
        <v>0</v>
      </c>
      <c r="BL80" s="163">
        <f t="shared" si="56"/>
        <v>7.1188517000275731</v>
      </c>
      <c r="BM80" s="163">
        <f t="shared" si="80"/>
        <v>1.1239216121399556</v>
      </c>
      <c r="BN80" s="163">
        <f t="shared" si="57"/>
        <v>2.3284119398934613E-2</v>
      </c>
      <c r="BO80" s="163">
        <f t="shared" si="58"/>
        <v>0</v>
      </c>
      <c r="BP80" s="164">
        <f t="shared" si="81"/>
        <v>327.07687852489903</v>
      </c>
      <c r="BQ80" s="164">
        <f>IF($E80="","",IF(AND($D80=Input!$C$6,$C80=12),0,-BJ81+BK81+BL81-BM81-BN81-BO81+BQ81))</f>
        <v>327.07689919772355</v>
      </c>
      <c r="BR80" s="161">
        <f t="shared" si="59"/>
        <v>0</v>
      </c>
      <c r="BT80" s="147">
        <f t="shared" si="60"/>
        <v>0.69399134388056238</v>
      </c>
      <c r="BU80" s="164">
        <f>IF(AND($C79=12,$D79=Input!$C$6),0,IF($E80="","",BK80+(BL80+BU81)/(1+$AK80)*MIN((1-T80-U80),1)))</f>
        <v>4009.3303309619459</v>
      </c>
      <c r="BV80" s="164">
        <f t="shared" si="61"/>
        <v>2782.440544445381</v>
      </c>
      <c r="BW80" s="164">
        <f t="shared" si="62"/>
        <v>327.07689919772355</v>
      </c>
      <c r="BX80" s="164">
        <f t="shared" si="63"/>
        <v>226.9885368265154</v>
      </c>
    </row>
    <row r="81" spans="1:76" s="150" customFormat="1" x14ac:dyDescent="0.25">
      <c r="A81" s="150">
        <f t="shared" si="76"/>
        <v>77</v>
      </c>
      <c r="B81" s="150">
        <f t="shared" si="77"/>
        <v>7</v>
      </c>
      <c r="C81" s="150">
        <f t="shared" si="78"/>
        <v>5</v>
      </c>
      <c r="D81" s="150">
        <f>IF(E81="","",Input!$C$4+B81-1)</f>
        <v>51</v>
      </c>
      <c r="E81" s="150">
        <f>IF(OR(AND(C80=12,D80=Input!$C$6),E80=""),"",1)</f>
        <v>1</v>
      </c>
      <c r="F81" s="150">
        <f>IF(E81="","",Input!$C$8+B81-1)</f>
        <v>2024</v>
      </c>
      <c r="G81" s="151">
        <f>IF(E81="","",MAX(0,Input!$C$9-B81))</f>
        <v>13</v>
      </c>
      <c r="H81" s="152">
        <f>IF(E81="","",Input!$C$3)</f>
        <v>100000</v>
      </c>
      <c r="I81" s="153">
        <f>IF(E81="","",HLOOKUP($B81,Input!$C$13:$BT$14,2))</f>
        <v>2.2999999999999998</v>
      </c>
      <c r="J81" s="154"/>
      <c r="K81" s="155">
        <f>IF($E81="","",INDEX(Input!$C$16:$CP$16,1,$B81))</f>
        <v>2.6710000000000001E-2</v>
      </c>
      <c r="L81" s="155">
        <f>IF($E81="","",Input!$C$37)</f>
        <v>1.4999999999999999E-2</v>
      </c>
      <c r="M81" s="155">
        <f t="shared" si="64"/>
        <v>4.1709999999999997E-2</v>
      </c>
      <c r="N81" s="155">
        <f t="shared" si="65"/>
        <v>3.4111040904465373E-3</v>
      </c>
      <c r="O81" s="147">
        <f>IF($E81="","",MIN(VLOOKUP(IF($B81&lt;=Input!$C$7,$B81,26),'Mortality Tables'!$A$41:$CW$67,IF($B81&lt;=Input!$C$7+1,Input!$C$4+2,$D81-Input!$C$7+2),0)*IF(B81&gt;20,Input!$C$22,1)/1000,1))</f>
        <v>8.8000000000000014E-4</v>
      </c>
      <c r="P81" s="147">
        <f>IF($E81="","",MIN(VLOOKUP(IF($B81&lt;=Input!$C$7,$B81,26),'Mortality Tables'!$A$12:$CW$37,IF($B81&lt;=Input!$C$7+1,Input!$C$4+2,$D81-Input!$C$7+2),0)*IF(B81&gt;20,Input!$C$22,1)/1000,1))</f>
        <v>1.1000000000000001E-3</v>
      </c>
      <c r="Q81" s="155">
        <f>IF($E81="","",Input!$C$21)</f>
        <v>5.0000000000000001E-3</v>
      </c>
      <c r="R81" s="159">
        <f>IF($E81="","",(1-Q81)^($F81-Input!$C$20))</f>
        <v>0.97037250935626573</v>
      </c>
      <c r="S81" s="147">
        <f t="shared" si="41"/>
        <v>8.5392780823351395E-4</v>
      </c>
      <c r="T81" s="147">
        <f t="shared" si="42"/>
        <v>7.1188517000275731E-5</v>
      </c>
      <c r="U81" s="160">
        <f>IF($E81="","",IF($C81=12,INDEX(Input!$C$15:$CP$15,1,$B81),0))</f>
        <v>0</v>
      </c>
      <c r="V81" s="150">
        <f>IF(E81="","",IF(C81=1,IF($B81=1,Input!$C$33,Input!$C$34),0))</f>
        <v>0</v>
      </c>
      <c r="W81" s="156">
        <f>IF($E81="","",Input!$C$35)</f>
        <v>0.02</v>
      </c>
      <c r="X81" s="156">
        <f t="shared" si="43"/>
        <v>1.1261624192640001</v>
      </c>
      <c r="Y81" s="154"/>
      <c r="Z81" s="147">
        <f>IF($E81="","",VLOOKUP($D81,'Mortality Margins &amp; Grading'!$AB$5:$AF$125,3,0)*IF(Summary!$D$25="Included Margin",IF(AND($B81&gt;Input!$C$9,Summary!$D$31&lt;&gt;"Included Margin"),0,1),0))</f>
        <v>3.9E-2</v>
      </c>
      <c r="AA81" s="147">
        <f>IF($E81="","",VLOOKUP($D81,'Mortality Margins &amp; Grading'!$AB$5:$AF$125,5,0)*IF(Summary!$D$25="Included Margin",IF(AND($B81&gt;Input!$C$9,Summary!$D$31&lt;&gt;"Included Margin"),0,1),0))</f>
        <v>0.19800000000000001</v>
      </c>
      <c r="AB81" s="147">
        <f>IF($E81="","",IF(AND($B81&gt;Input!$C$9,Summary!$D$31&lt;&gt;"Included Margin"),1,IF(Summary!$D$25="Included Margin",VLOOKUP($B81,'Mortality Margins &amp; Grading'!$AI$5:$AR$125,MATCH('Mortality Margins &amp; Grading'!$AQ$4,'Mortality Margins &amp; Grading'!$AI$4:$AR$4,0),0),1)))</f>
        <v>1</v>
      </c>
      <c r="AC81" s="154"/>
      <c r="AD81" s="158">
        <f>IF(E81="","",Input!$C$48*IF(Summary!$D$30="Included Margin",IF(AND($B81&gt;Input!$C$9,Summary!$D$31&lt;&gt;"Included Margin"),0,1),0))</f>
        <v>-4.4999999999999997E-3</v>
      </c>
      <c r="AE81" s="159">
        <f>IF(E81="","",IF(Summary!$D$26="Included Margin",IF(AND($B81&gt;Input!$C$9,Summary!$D$31&lt;&gt;"Included Margin"),1,1/$R81),1))</f>
        <v>1.030532079544781</v>
      </c>
      <c r="AF81" s="160">
        <f>IF(E81="","",IF(AND($B81&gt;=Input!$C$9,$C81=12,Summary!$D$31="Included Margin",$U81&gt;0),1/U81-1,IF($B81&gt;=Input!$C$9,0,Input!$C$45*IF(Summary!$D$27="Included Margin",1,0))))</f>
        <v>-0.1</v>
      </c>
      <c r="AG81" s="160">
        <f>IF(E81="","",Input!$C$46*IF(Summary!$D$28="Included Margin",IF(AND($B81&gt;Input!$C$9,Summary!$D$31&lt;&gt;"Included Margin"),0,1),0))</f>
        <v>0.02</v>
      </c>
      <c r="AH81" s="158">
        <f>IF(E81="","",Input!$C$47*IF(Summary!$D$29="Included Margin",IF(AND($B81&gt;Input!$C$9,Summary!$D$31&lt;&gt;"Included Margin"),0,1),0))</f>
        <v>2.5000000000000001E-3</v>
      </c>
      <c r="AI81" s="154"/>
      <c r="AJ81" s="158">
        <f t="shared" si="66"/>
        <v>3.721E-2</v>
      </c>
      <c r="AK81" s="155">
        <f t="shared" si="67"/>
        <v>3.0491739674713969E-3</v>
      </c>
      <c r="AL81" s="147">
        <f t="shared" si="68"/>
        <v>9.1432000000000004E-4</v>
      </c>
      <c r="AM81" s="147">
        <f t="shared" si="44"/>
        <v>7.6225281829822578E-5</v>
      </c>
      <c r="AN81" s="160">
        <f t="shared" si="69"/>
        <v>0</v>
      </c>
      <c r="AO81" s="161">
        <f t="shared" si="70"/>
        <v>0</v>
      </c>
      <c r="AP81" s="156">
        <f t="shared" si="45"/>
        <v>1.142825441564707</v>
      </c>
      <c r="AQ81" s="152"/>
      <c r="AR81" s="162">
        <f t="shared" si="46"/>
        <v>622.93436573625434</v>
      </c>
      <c r="AS81" s="150">
        <f t="shared" si="71"/>
        <v>0</v>
      </c>
      <c r="AT81" s="163">
        <f t="shared" si="47"/>
        <v>0</v>
      </c>
      <c r="AU81" s="163">
        <f t="shared" si="48"/>
        <v>7.6225281829822578</v>
      </c>
      <c r="AV81" s="163">
        <f t="shared" si="72"/>
        <v>1.8878140441953595</v>
      </c>
      <c r="AW81" s="163">
        <f t="shared" si="49"/>
        <v>4.7049805121409403E-2</v>
      </c>
      <c r="AX81" s="163">
        <f t="shared" si="50"/>
        <v>0</v>
      </c>
      <c r="AY81" s="164">
        <f t="shared" si="73"/>
        <v>617.24670140258888</v>
      </c>
      <c r="AZ81" s="164">
        <f>IF($E81="","",IF(OR(AND($D81=Input!$C$6,$C81=12),$AN81=1),0,-AS82+AT82+AU82-AV82-AW82-AX82+AZ82))</f>
        <v>617.24671909315941</v>
      </c>
      <c r="BA81" s="154">
        <f t="shared" si="51"/>
        <v>1.7690570530248806E-5</v>
      </c>
      <c r="BC81" s="147">
        <f t="shared" si="74"/>
        <v>0.6939419396659805</v>
      </c>
      <c r="BD81" s="164">
        <f>IF(AND($C80=12,$D80=Input!$C$6),0,IF($E81="","",AT81+(AU81+BD82)/(1+$AK81)*MIN((1-AM81-AN81),1)))</f>
        <v>2511.6344587203048</v>
      </c>
      <c r="BE81" s="164">
        <f t="shared" si="52"/>
        <v>1742.9284880162834</v>
      </c>
      <c r="BF81" s="164">
        <f t="shared" si="75"/>
        <v>617.24671909315941</v>
      </c>
      <c r="BG81" s="164">
        <f t="shared" si="53"/>
        <v>428.33338549996967</v>
      </c>
      <c r="BH81" s="152"/>
      <c r="BI81" s="162">
        <f t="shared" si="54"/>
        <v>327.07687852489903</v>
      </c>
      <c r="BJ81" s="150">
        <f t="shared" si="55"/>
        <v>0</v>
      </c>
      <c r="BK81" s="163">
        <f t="shared" si="79"/>
        <v>0</v>
      </c>
      <c r="BL81" s="163">
        <f t="shared" si="56"/>
        <v>7.1188517000275731</v>
      </c>
      <c r="BM81" s="163">
        <f t="shared" si="80"/>
        <v>1.1035517061501452</v>
      </c>
      <c r="BN81" s="163">
        <f t="shared" si="57"/>
        <v>2.2857526306458764E-2</v>
      </c>
      <c r="BO81" s="163">
        <f t="shared" si="58"/>
        <v>0</v>
      </c>
      <c r="BP81" s="164">
        <f t="shared" si="81"/>
        <v>321.08443605732805</v>
      </c>
      <c r="BQ81" s="164">
        <f>IF($E81="","",IF(AND($D81=Input!$C$6,$C81=12),0,-BJ82+BK82+BL82-BM82-BN82-BO82+BQ82))</f>
        <v>321.08445673015257</v>
      </c>
      <c r="BR81" s="161">
        <f t="shared" si="59"/>
        <v>0</v>
      </c>
      <c r="BT81" s="147">
        <f t="shared" si="60"/>
        <v>0.6939419396659805</v>
      </c>
      <c r="BU81" s="164">
        <f>IF(AND($C80=12,$D80=Input!$C$6),0,IF($E81="","",BK81+(BL81+BU82)/(1+$AK81)*MIN((1-T81-U81),1)))</f>
        <v>4014.7229338864063</v>
      </c>
      <c r="BV81" s="164">
        <f t="shared" si="61"/>
        <v>2785.9846199626286</v>
      </c>
      <c r="BW81" s="164">
        <f t="shared" si="62"/>
        <v>321.08445673015257</v>
      </c>
      <c r="BX81" s="164">
        <f t="shared" si="63"/>
        <v>222.81397069991965</v>
      </c>
    </row>
    <row r="82" spans="1:76" s="150" customFormat="1" x14ac:dyDescent="0.25">
      <c r="A82" s="150">
        <f t="shared" si="76"/>
        <v>78</v>
      </c>
      <c r="B82" s="150">
        <f t="shared" si="77"/>
        <v>7</v>
      </c>
      <c r="C82" s="150">
        <f t="shared" si="78"/>
        <v>6</v>
      </c>
      <c r="D82" s="150">
        <f>IF(E82="","",Input!$C$4+B82-1)</f>
        <v>51</v>
      </c>
      <c r="E82" s="150">
        <f>IF(OR(AND(C81=12,D81=Input!$C$6),E81=""),"",1)</f>
        <v>1</v>
      </c>
      <c r="F82" s="150">
        <f>IF(E82="","",Input!$C$8+B82-1)</f>
        <v>2024</v>
      </c>
      <c r="G82" s="151">
        <f>IF(E82="","",MAX(0,Input!$C$9-B82))</f>
        <v>13</v>
      </c>
      <c r="H82" s="152">
        <f>IF(E82="","",Input!$C$3)</f>
        <v>100000</v>
      </c>
      <c r="I82" s="153">
        <f>IF(E82="","",HLOOKUP($B82,Input!$C$13:$BT$14,2))</f>
        <v>2.2999999999999998</v>
      </c>
      <c r="J82" s="154"/>
      <c r="K82" s="155">
        <f>IF($E82="","",INDEX(Input!$C$16:$CP$16,1,$B82))</f>
        <v>2.6710000000000001E-2</v>
      </c>
      <c r="L82" s="155">
        <f>IF($E82="","",Input!$C$37)</f>
        <v>1.4999999999999999E-2</v>
      </c>
      <c r="M82" s="155">
        <f t="shared" si="64"/>
        <v>4.1709999999999997E-2</v>
      </c>
      <c r="N82" s="155">
        <f t="shared" si="65"/>
        <v>3.4111040904465373E-3</v>
      </c>
      <c r="O82" s="147">
        <f>IF($E82="","",MIN(VLOOKUP(IF($B82&lt;=Input!$C$7,$B82,26),'Mortality Tables'!$A$41:$CW$67,IF($B82&lt;=Input!$C$7+1,Input!$C$4+2,$D82-Input!$C$7+2),0)*IF(B82&gt;20,Input!$C$22,1)/1000,1))</f>
        <v>8.8000000000000014E-4</v>
      </c>
      <c r="P82" s="147">
        <f>IF($E82="","",MIN(VLOOKUP(IF($B82&lt;=Input!$C$7,$B82,26),'Mortality Tables'!$A$12:$CW$37,IF($B82&lt;=Input!$C$7+1,Input!$C$4+2,$D82-Input!$C$7+2),0)*IF(B82&gt;20,Input!$C$22,1)/1000,1))</f>
        <v>1.1000000000000001E-3</v>
      </c>
      <c r="Q82" s="155">
        <f>IF($E82="","",Input!$C$21)</f>
        <v>5.0000000000000001E-3</v>
      </c>
      <c r="R82" s="159">
        <f>IF($E82="","",(1-Q82)^($F82-Input!$C$20))</f>
        <v>0.97037250935626573</v>
      </c>
      <c r="S82" s="147">
        <f t="shared" si="41"/>
        <v>8.5392780823351395E-4</v>
      </c>
      <c r="T82" s="147">
        <f t="shared" si="42"/>
        <v>7.1188517000275731E-5</v>
      </c>
      <c r="U82" s="160">
        <f>IF($E82="","",IF($C82=12,INDEX(Input!$C$15:$CP$15,1,$B82),0))</f>
        <v>0</v>
      </c>
      <c r="V82" s="150">
        <f>IF(E82="","",IF(C82=1,IF($B82=1,Input!$C$33,Input!$C$34),0))</f>
        <v>0</v>
      </c>
      <c r="W82" s="156">
        <f>IF($E82="","",Input!$C$35)</f>
        <v>0.02</v>
      </c>
      <c r="X82" s="156">
        <f t="shared" si="43"/>
        <v>1.1261624192640001</v>
      </c>
      <c r="Y82" s="154"/>
      <c r="Z82" s="147">
        <f>IF($E82="","",VLOOKUP($D82,'Mortality Margins &amp; Grading'!$AB$5:$AF$125,3,0)*IF(Summary!$D$25="Included Margin",IF(AND($B82&gt;Input!$C$9,Summary!$D$31&lt;&gt;"Included Margin"),0,1),0))</f>
        <v>3.9E-2</v>
      </c>
      <c r="AA82" s="147">
        <f>IF($E82="","",VLOOKUP($D82,'Mortality Margins &amp; Grading'!$AB$5:$AF$125,5,0)*IF(Summary!$D$25="Included Margin",IF(AND($B82&gt;Input!$C$9,Summary!$D$31&lt;&gt;"Included Margin"),0,1),0))</f>
        <v>0.19800000000000001</v>
      </c>
      <c r="AB82" s="147">
        <f>IF($E82="","",IF(AND($B82&gt;Input!$C$9,Summary!$D$31&lt;&gt;"Included Margin"),1,IF(Summary!$D$25="Included Margin",VLOOKUP($B82,'Mortality Margins &amp; Grading'!$AI$5:$AR$125,MATCH('Mortality Margins &amp; Grading'!$AQ$4,'Mortality Margins &amp; Grading'!$AI$4:$AR$4,0),0),1)))</f>
        <v>1</v>
      </c>
      <c r="AC82" s="154"/>
      <c r="AD82" s="158">
        <f>IF(E82="","",Input!$C$48*IF(Summary!$D$30="Included Margin",IF(AND($B82&gt;Input!$C$9,Summary!$D$31&lt;&gt;"Included Margin"),0,1),0))</f>
        <v>-4.4999999999999997E-3</v>
      </c>
      <c r="AE82" s="159">
        <f>IF(E82="","",IF(Summary!$D$26="Included Margin",IF(AND($B82&gt;Input!$C$9,Summary!$D$31&lt;&gt;"Included Margin"),1,1/$R82),1))</f>
        <v>1.030532079544781</v>
      </c>
      <c r="AF82" s="160">
        <f>IF(E82="","",IF(AND($B82&gt;=Input!$C$9,$C82=12,Summary!$D$31="Included Margin",$U82&gt;0),1/U82-1,IF($B82&gt;=Input!$C$9,0,Input!$C$45*IF(Summary!$D$27="Included Margin",1,0))))</f>
        <v>-0.1</v>
      </c>
      <c r="AG82" s="160">
        <f>IF(E82="","",Input!$C$46*IF(Summary!$D$28="Included Margin",IF(AND($B82&gt;Input!$C$9,Summary!$D$31&lt;&gt;"Included Margin"),0,1),0))</f>
        <v>0.02</v>
      </c>
      <c r="AH82" s="158">
        <f>IF(E82="","",Input!$C$47*IF(Summary!$D$29="Included Margin",IF(AND($B82&gt;Input!$C$9,Summary!$D$31&lt;&gt;"Included Margin"),0,1),0))</f>
        <v>2.5000000000000001E-3</v>
      </c>
      <c r="AI82" s="154"/>
      <c r="AJ82" s="158">
        <f t="shared" si="66"/>
        <v>3.721E-2</v>
      </c>
      <c r="AK82" s="155">
        <f t="shared" si="67"/>
        <v>3.0491739674713969E-3</v>
      </c>
      <c r="AL82" s="147">
        <f t="shared" si="68"/>
        <v>9.1432000000000004E-4</v>
      </c>
      <c r="AM82" s="147">
        <f t="shared" si="44"/>
        <v>7.6225281829822578E-5</v>
      </c>
      <c r="AN82" s="160">
        <f t="shared" si="69"/>
        <v>0</v>
      </c>
      <c r="AO82" s="161">
        <f t="shared" si="70"/>
        <v>0</v>
      </c>
      <c r="AP82" s="156">
        <f t="shared" si="45"/>
        <v>1.142825441564707</v>
      </c>
      <c r="AQ82" s="152"/>
      <c r="AR82" s="162">
        <f t="shared" si="46"/>
        <v>617.24670140258888</v>
      </c>
      <c r="AS82" s="150">
        <f t="shared" si="71"/>
        <v>0</v>
      </c>
      <c r="AT82" s="163">
        <f t="shared" si="47"/>
        <v>0</v>
      </c>
      <c r="AU82" s="163">
        <f t="shared" si="48"/>
        <v>7.6225281829822578</v>
      </c>
      <c r="AV82" s="163">
        <f t="shared" si="72"/>
        <v>1.8704713661734313</v>
      </c>
      <c r="AW82" s="163">
        <f t="shared" si="49"/>
        <v>4.6614906203809856E-2</v>
      </c>
      <c r="AX82" s="163">
        <f t="shared" si="50"/>
        <v>0</v>
      </c>
      <c r="AY82" s="164">
        <f t="shared" si="73"/>
        <v>611.54125949198385</v>
      </c>
      <c r="AZ82" s="164">
        <f>IF($E82="","",IF(OR(AND($D82=Input!$C$6,$C82=12),$AN82=1),0,-AS83+AT83+AU83-AV83-AW83-AX83+AZ83))</f>
        <v>611.54127718255438</v>
      </c>
      <c r="BA82" s="154">
        <f t="shared" si="51"/>
        <v>1.7690570530248806E-5</v>
      </c>
      <c r="BC82" s="147">
        <f t="shared" si="74"/>
        <v>0.69389253896841141</v>
      </c>
      <c r="BD82" s="164">
        <f>IF(AND($C81=12,$D81=Input!$C$6),0,IF($E82="","",AT82+(AU82+BD83)/(1+$AK82)*MIN((1-AM82-AN82),1)))</f>
        <v>2511.8623893925646</v>
      </c>
      <c r="BE82" s="164">
        <f t="shared" si="52"/>
        <v>1742.9625709148672</v>
      </c>
      <c r="BF82" s="164">
        <f t="shared" si="75"/>
        <v>611.54127718255438</v>
      </c>
      <c r="BG82" s="164">
        <f t="shared" si="53"/>
        <v>424.34392950818773</v>
      </c>
      <c r="BH82" s="152"/>
      <c r="BI82" s="162">
        <f t="shared" si="54"/>
        <v>321.08443605732805</v>
      </c>
      <c r="BJ82" s="150">
        <f t="shared" si="55"/>
        <v>0</v>
      </c>
      <c r="BK82" s="163">
        <f t="shared" si="79"/>
        <v>0</v>
      </c>
      <c r="BL82" s="163">
        <f t="shared" si="56"/>
        <v>7.1188517000275731</v>
      </c>
      <c r="BM82" s="163">
        <f t="shared" si="80"/>
        <v>1.0831108611372482</v>
      </c>
      <c r="BN82" s="163">
        <f t="shared" si="57"/>
        <v>2.2429447586250963E-2</v>
      </c>
      <c r="BO82" s="163">
        <f t="shared" si="58"/>
        <v>0</v>
      </c>
      <c r="BP82" s="164">
        <f t="shared" si="81"/>
        <v>315.07112466602399</v>
      </c>
      <c r="BQ82" s="164">
        <f>IF($E82="","",IF(AND($D82=Input!$C$6,$C82=12),0,-BJ83+BK83+BL83-BM83-BN83-BO83+BQ83))</f>
        <v>315.07114533884851</v>
      </c>
      <c r="BR82" s="161">
        <f t="shared" si="59"/>
        <v>0</v>
      </c>
      <c r="BT82" s="147">
        <f t="shared" si="60"/>
        <v>0.69389253896841141</v>
      </c>
      <c r="BU82" s="164">
        <f>IF(AND($C81=12,$D81=Input!$C$6),0,IF($E82="","",BK82+(BL82+BU83)/(1+$AK82)*MIN((1-T82-U82),1)))</f>
        <v>4020.1323648846915</v>
      </c>
      <c r="BV82" s="164">
        <f t="shared" si="61"/>
        <v>2789.5398536589228</v>
      </c>
      <c r="BW82" s="164">
        <f t="shared" si="62"/>
        <v>315.07114533884851</v>
      </c>
      <c r="BX82" s="164">
        <f t="shared" si="63"/>
        <v>218.62551699485894</v>
      </c>
    </row>
    <row r="83" spans="1:76" s="150" customFormat="1" x14ac:dyDescent="0.25">
      <c r="A83" s="150">
        <f t="shared" si="76"/>
        <v>79</v>
      </c>
      <c r="B83" s="150">
        <f t="shared" si="77"/>
        <v>7</v>
      </c>
      <c r="C83" s="150">
        <f t="shared" si="78"/>
        <v>7</v>
      </c>
      <c r="D83" s="150">
        <f>IF(E83="","",Input!$C$4+B83-1)</f>
        <v>51</v>
      </c>
      <c r="E83" s="150">
        <f>IF(OR(AND(C82=12,D82=Input!$C$6),E82=""),"",1)</f>
        <v>1</v>
      </c>
      <c r="F83" s="150">
        <f>IF(E83="","",Input!$C$8+B83-1)</f>
        <v>2024</v>
      </c>
      <c r="G83" s="151">
        <f>IF(E83="","",MAX(0,Input!$C$9-B83))</f>
        <v>13</v>
      </c>
      <c r="H83" s="152">
        <f>IF(E83="","",Input!$C$3)</f>
        <v>100000</v>
      </c>
      <c r="I83" s="153">
        <f>IF(E83="","",HLOOKUP($B83,Input!$C$13:$BT$14,2))</f>
        <v>2.2999999999999998</v>
      </c>
      <c r="J83" s="154"/>
      <c r="K83" s="155">
        <f>IF($E83="","",INDEX(Input!$C$16:$CP$16,1,$B83))</f>
        <v>2.6710000000000001E-2</v>
      </c>
      <c r="L83" s="155">
        <f>IF($E83="","",Input!$C$37)</f>
        <v>1.4999999999999999E-2</v>
      </c>
      <c r="M83" s="155">
        <f t="shared" si="64"/>
        <v>4.1709999999999997E-2</v>
      </c>
      <c r="N83" s="155">
        <f t="shared" si="65"/>
        <v>3.4111040904465373E-3</v>
      </c>
      <c r="O83" s="147">
        <f>IF($E83="","",MIN(VLOOKUP(IF($B83&lt;=Input!$C$7,$B83,26),'Mortality Tables'!$A$41:$CW$67,IF($B83&lt;=Input!$C$7+1,Input!$C$4+2,$D83-Input!$C$7+2),0)*IF(B83&gt;20,Input!$C$22,1)/1000,1))</f>
        <v>8.8000000000000014E-4</v>
      </c>
      <c r="P83" s="147">
        <f>IF($E83="","",MIN(VLOOKUP(IF($B83&lt;=Input!$C$7,$B83,26),'Mortality Tables'!$A$12:$CW$37,IF($B83&lt;=Input!$C$7+1,Input!$C$4+2,$D83-Input!$C$7+2),0)*IF(B83&gt;20,Input!$C$22,1)/1000,1))</f>
        <v>1.1000000000000001E-3</v>
      </c>
      <c r="Q83" s="155">
        <f>IF($E83="","",Input!$C$21)</f>
        <v>5.0000000000000001E-3</v>
      </c>
      <c r="R83" s="159">
        <f>IF($E83="","",(1-Q83)^($F83-Input!$C$20))</f>
        <v>0.97037250935626573</v>
      </c>
      <c r="S83" s="147">
        <f t="shared" si="41"/>
        <v>8.5392780823351395E-4</v>
      </c>
      <c r="T83" s="147">
        <f t="shared" si="42"/>
        <v>7.1188517000275731E-5</v>
      </c>
      <c r="U83" s="160">
        <f>IF($E83="","",IF($C83=12,INDEX(Input!$C$15:$CP$15,1,$B83),0))</f>
        <v>0</v>
      </c>
      <c r="V83" s="150">
        <f>IF(E83="","",IF(C83=1,IF($B83=1,Input!$C$33,Input!$C$34),0))</f>
        <v>0</v>
      </c>
      <c r="W83" s="156">
        <f>IF($E83="","",Input!$C$35)</f>
        <v>0.02</v>
      </c>
      <c r="X83" s="156">
        <f t="shared" si="43"/>
        <v>1.1261624192640001</v>
      </c>
      <c r="Y83" s="154"/>
      <c r="Z83" s="147">
        <f>IF($E83="","",VLOOKUP($D83,'Mortality Margins &amp; Grading'!$AB$5:$AF$125,3,0)*IF(Summary!$D$25="Included Margin",IF(AND($B83&gt;Input!$C$9,Summary!$D$31&lt;&gt;"Included Margin"),0,1),0))</f>
        <v>3.9E-2</v>
      </c>
      <c r="AA83" s="147">
        <f>IF($E83="","",VLOOKUP($D83,'Mortality Margins &amp; Grading'!$AB$5:$AF$125,5,0)*IF(Summary!$D$25="Included Margin",IF(AND($B83&gt;Input!$C$9,Summary!$D$31&lt;&gt;"Included Margin"),0,1),0))</f>
        <v>0.19800000000000001</v>
      </c>
      <c r="AB83" s="147">
        <f>IF($E83="","",IF(AND($B83&gt;Input!$C$9,Summary!$D$31&lt;&gt;"Included Margin"),1,IF(Summary!$D$25="Included Margin",VLOOKUP($B83,'Mortality Margins &amp; Grading'!$AI$5:$AR$125,MATCH('Mortality Margins &amp; Grading'!$AQ$4,'Mortality Margins &amp; Grading'!$AI$4:$AR$4,0),0),1)))</f>
        <v>1</v>
      </c>
      <c r="AC83" s="154"/>
      <c r="AD83" s="158">
        <f>IF(E83="","",Input!$C$48*IF(Summary!$D$30="Included Margin",IF(AND($B83&gt;Input!$C$9,Summary!$D$31&lt;&gt;"Included Margin"),0,1),0))</f>
        <v>-4.4999999999999997E-3</v>
      </c>
      <c r="AE83" s="159">
        <f>IF(E83="","",IF(Summary!$D$26="Included Margin",IF(AND($B83&gt;Input!$C$9,Summary!$D$31&lt;&gt;"Included Margin"),1,1/$R83),1))</f>
        <v>1.030532079544781</v>
      </c>
      <c r="AF83" s="160">
        <f>IF(E83="","",IF(AND($B83&gt;=Input!$C$9,$C83=12,Summary!$D$31="Included Margin",$U83&gt;0),1/U83-1,IF($B83&gt;=Input!$C$9,0,Input!$C$45*IF(Summary!$D$27="Included Margin",1,0))))</f>
        <v>-0.1</v>
      </c>
      <c r="AG83" s="160">
        <f>IF(E83="","",Input!$C$46*IF(Summary!$D$28="Included Margin",IF(AND($B83&gt;Input!$C$9,Summary!$D$31&lt;&gt;"Included Margin"),0,1),0))</f>
        <v>0.02</v>
      </c>
      <c r="AH83" s="158">
        <f>IF(E83="","",Input!$C$47*IF(Summary!$D$29="Included Margin",IF(AND($B83&gt;Input!$C$9,Summary!$D$31&lt;&gt;"Included Margin"),0,1),0))</f>
        <v>2.5000000000000001E-3</v>
      </c>
      <c r="AI83" s="154"/>
      <c r="AJ83" s="158">
        <f t="shared" si="66"/>
        <v>3.721E-2</v>
      </c>
      <c r="AK83" s="155">
        <f t="shared" si="67"/>
        <v>3.0491739674713969E-3</v>
      </c>
      <c r="AL83" s="147">
        <f t="shared" si="68"/>
        <v>9.1432000000000004E-4</v>
      </c>
      <c r="AM83" s="147">
        <f t="shared" si="44"/>
        <v>7.6225281829822578E-5</v>
      </c>
      <c r="AN83" s="160">
        <f t="shared" si="69"/>
        <v>0</v>
      </c>
      <c r="AO83" s="161">
        <f t="shared" si="70"/>
        <v>0</v>
      </c>
      <c r="AP83" s="156">
        <f t="shared" si="45"/>
        <v>1.142825441564707</v>
      </c>
      <c r="AQ83" s="152"/>
      <c r="AR83" s="162">
        <f t="shared" si="46"/>
        <v>611.54125949198374</v>
      </c>
      <c r="AS83" s="150">
        <f t="shared" si="71"/>
        <v>0</v>
      </c>
      <c r="AT83" s="163">
        <f t="shared" si="47"/>
        <v>0</v>
      </c>
      <c r="AU83" s="163">
        <f t="shared" si="48"/>
        <v>7.6225281829822578</v>
      </c>
      <c r="AV83" s="163">
        <f t="shared" si="72"/>
        <v>1.8530744812266939</v>
      </c>
      <c r="AW83" s="163">
        <f t="shared" si="49"/>
        <v>4.6178647949843915E-2</v>
      </c>
      <c r="AX83" s="163">
        <f t="shared" si="50"/>
        <v>0</v>
      </c>
      <c r="AY83" s="164">
        <f t="shared" si="73"/>
        <v>605.81798443817809</v>
      </c>
      <c r="AZ83" s="164">
        <f>IF($E83="","",IF(OR(AND($D83=Input!$C$6,$C83=12),$AN83=1),0,-AS84+AT84+AU84-AV84-AW84-AX84+AZ84))</f>
        <v>605.81800212874862</v>
      </c>
      <c r="BA83" s="154">
        <f t="shared" si="51"/>
        <v>1.7690570530248806E-5</v>
      </c>
      <c r="BC83" s="147">
        <f t="shared" si="74"/>
        <v>0.69384314178760464</v>
      </c>
      <c r="BD83" s="164">
        <f>IF(AND($C82=12,$D82=Input!$C$6),0,IF($E83="","",AT83+(AU83+BD84)/(1+$AK83)*MIN((1-AM83-AN83),1)))</f>
        <v>2512.0910324934816</v>
      </c>
      <c r="BE83" s="164">
        <f t="shared" si="52"/>
        <v>1742.9971344417449</v>
      </c>
      <c r="BF83" s="164">
        <f t="shared" si="75"/>
        <v>605.81800212874862</v>
      </c>
      <c r="BG83" s="164">
        <f t="shared" si="53"/>
        <v>420.34266594850072</v>
      </c>
      <c r="BH83" s="152"/>
      <c r="BI83" s="162">
        <f t="shared" si="54"/>
        <v>315.07112466602399</v>
      </c>
      <c r="BJ83" s="150">
        <f t="shared" si="55"/>
        <v>0</v>
      </c>
      <c r="BK83" s="163">
        <f t="shared" si="79"/>
        <v>0</v>
      </c>
      <c r="BL83" s="163">
        <f t="shared" si="56"/>
        <v>7.1188517000275731</v>
      </c>
      <c r="BM83" s="163">
        <f t="shared" si="80"/>
        <v>1.0625988300532421</v>
      </c>
      <c r="BN83" s="163">
        <f t="shared" si="57"/>
        <v>2.1999878064552426E-2</v>
      </c>
      <c r="BO83" s="163">
        <f t="shared" si="58"/>
        <v>0</v>
      </c>
      <c r="BP83" s="164">
        <f t="shared" si="81"/>
        <v>309.0368716741142</v>
      </c>
      <c r="BQ83" s="164">
        <f>IF($E83="","",IF(AND($D83=Input!$C$6,$C83=12),0,-BJ84+BK84+BL84-BM84-BN84-BO84+BQ84))</f>
        <v>309.03689234693871</v>
      </c>
      <c r="BR83" s="161">
        <f t="shared" si="59"/>
        <v>0</v>
      </c>
      <c r="BT83" s="147">
        <f t="shared" si="60"/>
        <v>0.69384314178760464</v>
      </c>
      <c r="BU83" s="164">
        <f>IF(AND($C82=12,$D82=Input!$C$6),0,IF($E83="","",BK83+(BL83+BU84)/(1+$AK83)*MIN((1-T83-U83),1)))</f>
        <v>4025.5586764702298</v>
      </c>
      <c r="BV83" s="164">
        <f t="shared" si="61"/>
        <v>2793.1062795324556</v>
      </c>
      <c r="BW83" s="164">
        <f t="shared" si="62"/>
        <v>309.03689234693871</v>
      </c>
      <c r="BX83" s="164">
        <f t="shared" si="63"/>
        <v>214.4231283142777</v>
      </c>
    </row>
    <row r="84" spans="1:76" s="150" customFormat="1" x14ac:dyDescent="0.25">
      <c r="A84" s="150">
        <f t="shared" si="76"/>
        <v>80</v>
      </c>
      <c r="B84" s="150">
        <f t="shared" si="77"/>
        <v>7</v>
      </c>
      <c r="C84" s="150">
        <f t="shared" si="78"/>
        <v>8</v>
      </c>
      <c r="D84" s="150">
        <f>IF(E84="","",Input!$C$4+B84-1)</f>
        <v>51</v>
      </c>
      <c r="E84" s="150">
        <f>IF(OR(AND(C83=12,D83=Input!$C$6),E83=""),"",1)</f>
        <v>1</v>
      </c>
      <c r="F84" s="150">
        <f>IF(E84="","",Input!$C$8+B84-1)</f>
        <v>2024</v>
      </c>
      <c r="G84" s="151">
        <f>IF(E84="","",MAX(0,Input!$C$9-B84))</f>
        <v>13</v>
      </c>
      <c r="H84" s="152">
        <f>IF(E84="","",Input!$C$3)</f>
        <v>100000</v>
      </c>
      <c r="I84" s="153">
        <f>IF(E84="","",HLOOKUP($B84,Input!$C$13:$BT$14,2))</f>
        <v>2.2999999999999998</v>
      </c>
      <c r="J84" s="154"/>
      <c r="K84" s="155">
        <f>IF($E84="","",INDEX(Input!$C$16:$CP$16,1,$B84))</f>
        <v>2.6710000000000001E-2</v>
      </c>
      <c r="L84" s="155">
        <f>IF($E84="","",Input!$C$37)</f>
        <v>1.4999999999999999E-2</v>
      </c>
      <c r="M84" s="155">
        <f t="shared" si="64"/>
        <v>4.1709999999999997E-2</v>
      </c>
      <c r="N84" s="155">
        <f t="shared" si="65"/>
        <v>3.4111040904465373E-3</v>
      </c>
      <c r="O84" s="147">
        <f>IF($E84="","",MIN(VLOOKUP(IF($B84&lt;=Input!$C$7,$B84,26),'Mortality Tables'!$A$41:$CW$67,IF($B84&lt;=Input!$C$7+1,Input!$C$4+2,$D84-Input!$C$7+2),0)*IF(B84&gt;20,Input!$C$22,1)/1000,1))</f>
        <v>8.8000000000000014E-4</v>
      </c>
      <c r="P84" s="147">
        <f>IF($E84="","",MIN(VLOOKUP(IF($B84&lt;=Input!$C$7,$B84,26),'Mortality Tables'!$A$12:$CW$37,IF($B84&lt;=Input!$C$7+1,Input!$C$4+2,$D84-Input!$C$7+2),0)*IF(B84&gt;20,Input!$C$22,1)/1000,1))</f>
        <v>1.1000000000000001E-3</v>
      </c>
      <c r="Q84" s="155">
        <f>IF($E84="","",Input!$C$21)</f>
        <v>5.0000000000000001E-3</v>
      </c>
      <c r="R84" s="159">
        <f>IF($E84="","",(1-Q84)^($F84-Input!$C$20))</f>
        <v>0.97037250935626573</v>
      </c>
      <c r="S84" s="147">
        <f t="shared" si="41"/>
        <v>8.5392780823351395E-4</v>
      </c>
      <c r="T84" s="147">
        <f t="shared" si="42"/>
        <v>7.1188517000275731E-5</v>
      </c>
      <c r="U84" s="160">
        <f>IF($E84="","",IF($C84=12,INDEX(Input!$C$15:$CP$15,1,$B84),0))</f>
        <v>0</v>
      </c>
      <c r="V84" s="150">
        <f>IF(E84="","",IF(C84=1,IF($B84=1,Input!$C$33,Input!$C$34),0))</f>
        <v>0</v>
      </c>
      <c r="W84" s="156">
        <f>IF($E84="","",Input!$C$35)</f>
        <v>0.02</v>
      </c>
      <c r="X84" s="156">
        <f t="shared" si="43"/>
        <v>1.1261624192640001</v>
      </c>
      <c r="Y84" s="154"/>
      <c r="Z84" s="147">
        <f>IF($E84="","",VLOOKUP($D84,'Mortality Margins &amp; Grading'!$AB$5:$AF$125,3,0)*IF(Summary!$D$25="Included Margin",IF(AND($B84&gt;Input!$C$9,Summary!$D$31&lt;&gt;"Included Margin"),0,1),0))</f>
        <v>3.9E-2</v>
      </c>
      <c r="AA84" s="147">
        <f>IF($E84="","",VLOOKUP($D84,'Mortality Margins &amp; Grading'!$AB$5:$AF$125,5,0)*IF(Summary!$D$25="Included Margin",IF(AND($B84&gt;Input!$C$9,Summary!$D$31&lt;&gt;"Included Margin"),0,1),0))</f>
        <v>0.19800000000000001</v>
      </c>
      <c r="AB84" s="147">
        <f>IF($E84="","",IF(AND($B84&gt;Input!$C$9,Summary!$D$31&lt;&gt;"Included Margin"),1,IF(Summary!$D$25="Included Margin",VLOOKUP($B84,'Mortality Margins &amp; Grading'!$AI$5:$AR$125,MATCH('Mortality Margins &amp; Grading'!$AQ$4,'Mortality Margins &amp; Grading'!$AI$4:$AR$4,0),0),1)))</f>
        <v>1</v>
      </c>
      <c r="AC84" s="154"/>
      <c r="AD84" s="158">
        <f>IF(E84="","",Input!$C$48*IF(Summary!$D$30="Included Margin",IF(AND($B84&gt;Input!$C$9,Summary!$D$31&lt;&gt;"Included Margin"),0,1),0))</f>
        <v>-4.4999999999999997E-3</v>
      </c>
      <c r="AE84" s="159">
        <f>IF(E84="","",IF(Summary!$D$26="Included Margin",IF(AND($B84&gt;Input!$C$9,Summary!$D$31&lt;&gt;"Included Margin"),1,1/$R84),1))</f>
        <v>1.030532079544781</v>
      </c>
      <c r="AF84" s="160">
        <f>IF(E84="","",IF(AND($B84&gt;=Input!$C$9,$C84=12,Summary!$D$31="Included Margin",$U84&gt;0),1/U84-1,IF($B84&gt;=Input!$C$9,0,Input!$C$45*IF(Summary!$D$27="Included Margin",1,0))))</f>
        <v>-0.1</v>
      </c>
      <c r="AG84" s="160">
        <f>IF(E84="","",Input!$C$46*IF(Summary!$D$28="Included Margin",IF(AND($B84&gt;Input!$C$9,Summary!$D$31&lt;&gt;"Included Margin"),0,1),0))</f>
        <v>0.02</v>
      </c>
      <c r="AH84" s="158">
        <f>IF(E84="","",Input!$C$47*IF(Summary!$D$29="Included Margin",IF(AND($B84&gt;Input!$C$9,Summary!$D$31&lt;&gt;"Included Margin"),0,1),0))</f>
        <v>2.5000000000000001E-3</v>
      </c>
      <c r="AI84" s="154"/>
      <c r="AJ84" s="158">
        <f t="shared" si="66"/>
        <v>3.721E-2</v>
      </c>
      <c r="AK84" s="155">
        <f t="shared" si="67"/>
        <v>3.0491739674713969E-3</v>
      </c>
      <c r="AL84" s="147">
        <f t="shared" si="68"/>
        <v>9.1432000000000004E-4</v>
      </c>
      <c r="AM84" s="147">
        <f t="shared" si="44"/>
        <v>7.6225281829822578E-5</v>
      </c>
      <c r="AN84" s="160">
        <f t="shared" si="69"/>
        <v>0</v>
      </c>
      <c r="AO84" s="161">
        <f t="shared" si="70"/>
        <v>0</v>
      </c>
      <c r="AP84" s="156">
        <f t="shared" si="45"/>
        <v>1.142825441564707</v>
      </c>
      <c r="AQ84" s="152"/>
      <c r="AR84" s="162">
        <f t="shared" si="46"/>
        <v>605.81798443817809</v>
      </c>
      <c r="AS84" s="150">
        <f t="shared" si="71"/>
        <v>0</v>
      </c>
      <c r="AT84" s="163">
        <f t="shared" si="47"/>
        <v>0</v>
      </c>
      <c r="AU84" s="163">
        <f t="shared" si="48"/>
        <v>7.6225281829822578</v>
      </c>
      <c r="AV84" s="163">
        <f t="shared" si="72"/>
        <v>1.8356232199239513</v>
      </c>
      <c r="AW84" s="163">
        <f t="shared" si="49"/>
        <v>4.5741026110718876E-2</v>
      </c>
      <c r="AX84" s="163">
        <f t="shared" si="50"/>
        <v>0</v>
      </c>
      <c r="AY84" s="164">
        <f t="shared" si="73"/>
        <v>600.07682050123049</v>
      </c>
      <c r="AZ84" s="164">
        <f>IF($E84="","",IF(OR(AND($D84=Input!$C$6,$C84=12),$AN84=1),0,-AS85+AT85+AU85-AV85-AW85-AX85+AZ85))</f>
        <v>600.07683819180102</v>
      </c>
      <c r="BA84" s="154">
        <f t="shared" si="51"/>
        <v>1.7690570530248806E-5</v>
      </c>
      <c r="BC84" s="147">
        <f t="shared" si="74"/>
        <v>0.69379374812330996</v>
      </c>
      <c r="BD84" s="164">
        <f>IF(AND($C83=12,$D83=Input!$C$6),0,IF($E84="","",AT84+(AU84+BD85)/(1+$AK84)*MIN((1-AM84-AN84),1)))</f>
        <v>2512.3203902498494</v>
      </c>
      <c r="BE84" s="164">
        <f t="shared" si="52"/>
        <v>1743.0321800380598</v>
      </c>
      <c r="BF84" s="164">
        <f t="shared" si="75"/>
        <v>600.07683819180102</v>
      </c>
      <c r="BG84" s="164">
        <f t="shared" si="53"/>
        <v>416.3295587310746</v>
      </c>
      <c r="BH84" s="152"/>
      <c r="BI84" s="162">
        <f t="shared" si="54"/>
        <v>309.0368716741142</v>
      </c>
      <c r="BJ84" s="150">
        <f t="shared" si="55"/>
        <v>0</v>
      </c>
      <c r="BK84" s="163">
        <f t="shared" si="79"/>
        <v>0</v>
      </c>
      <c r="BL84" s="163">
        <f t="shared" si="56"/>
        <v>7.1188517000275731</v>
      </c>
      <c r="BM84" s="163">
        <f t="shared" si="80"/>
        <v>1.0420153649897494</v>
      </c>
      <c r="BN84" s="163">
        <f t="shared" si="57"/>
        <v>2.1568812549586557E-2</v>
      </c>
      <c r="BO84" s="163">
        <f t="shared" si="58"/>
        <v>0</v>
      </c>
      <c r="BP84" s="164">
        <f t="shared" si="81"/>
        <v>302.98160415162596</v>
      </c>
      <c r="BQ84" s="164">
        <f>IF($E84="","",IF(AND($D84=Input!$C$6,$C84=12),0,-BJ85+BK85+BL85-BM85-BN85-BO85+BQ85))</f>
        <v>302.98162482445048</v>
      </c>
      <c r="BR84" s="161">
        <f t="shared" si="59"/>
        <v>0</v>
      </c>
      <c r="BT84" s="147">
        <f t="shared" si="60"/>
        <v>0.69379374812330996</v>
      </c>
      <c r="BU84" s="164">
        <f>IF(AND($C83=12,$D83=Input!$C$6),0,IF($E84="","",BK84+(BL84+BU85)/(1+$AK84)*MIN((1-T84-U84),1)))</f>
        <v>4031.0019213203227</v>
      </c>
      <c r="BV84" s="164">
        <f t="shared" si="61"/>
        <v>2796.6839316850906</v>
      </c>
      <c r="BW84" s="164">
        <f t="shared" si="62"/>
        <v>302.98162482445048</v>
      </c>
      <c r="BX84" s="164">
        <f t="shared" si="63"/>
        <v>210.20675709944598</v>
      </c>
    </row>
    <row r="85" spans="1:76" s="150" customFormat="1" x14ac:dyDescent="0.25">
      <c r="A85" s="150">
        <f t="shared" si="76"/>
        <v>81</v>
      </c>
      <c r="B85" s="150">
        <f t="shared" si="77"/>
        <v>7</v>
      </c>
      <c r="C85" s="150">
        <f t="shared" si="78"/>
        <v>9</v>
      </c>
      <c r="D85" s="150">
        <f>IF(E85="","",Input!$C$4+B85-1)</f>
        <v>51</v>
      </c>
      <c r="E85" s="150">
        <f>IF(OR(AND(C84=12,D84=Input!$C$6),E84=""),"",1)</f>
        <v>1</v>
      </c>
      <c r="F85" s="150">
        <f>IF(E85="","",Input!$C$8+B85-1)</f>
        <v>2024</v>
      </c>
      <c r="G85" s="151">
        <f>IF(E85="","",MAX(0,Input!$C$9-B85))</f>
        <v>13</v>
      </c>
      <c r="H85" s="152">
        <f>IF(E85="","",Input!$C$3)</f>
        <v>100000</v>
      </c>
      <c r="I85" s="153">
        <f>IF(E85="","",HLOOKUP($B85,Input!$C$13:$BT$14,2))</f>
        <v>2.2999999999999998</v>
      </c>
      <c r="J85" s="154"/>
      <c r="K85" s="155">
        <f>IF($E85="","",INDEX(Input!$C$16:$CP$16,1,$B85))</f>
        <v>2.6710000000000001E-2</v>
      </c>
      <c r="L85" s="155">
        <f>IF($E85="","",Input!$C$37)</f>
        <v>1.4999999999999999E-2</v>
      </c>
      <c r="M85" s="155">
        <f t="shared" si="64"/>
        <v>4.1709999999999997E-2</v>
      </c>
      <c r="N85" s="155">
        <f t="shared" si="65"/>
        <v>3.4111040904465373E-3</v>
      </c>
      <c r="O85" s="147">
        <f>IF($E85="","",MIN(VLOOKUP(IF($B85&lt;=Input!$C$7,$B85,26),'Mortality Tables'!$A$41:$CW$67,IF($B85&lt;=Input!$C$7+1,Input!$C$4+2,$D85-Input!$C$7+2),0)*IF(B85&gt;20,Input!$C$22,1)/1000,1))</f>
        <v>8.8000000000000014E-4</v>
      </c>
      <c r="P85" s="147">
        <f>IF($E85="","",MIN(VLOOKUP(IF($B85&lt;=Input!$C$7,$B85,26),'Mortality Tables'!$A$12:$CW$37,IF($B85&lt;=Input!$C$7+1,Input!$C$4+2,$D85-Input!$C$7+2),0)*IF(B85&gt;20,Input!$C$22,1)/1000,1))</f>
        <v>1.1000000000000001E-3</v>
      </c>
      <c r="Q85" s="155">
        <f>IF($E85="","",Input!$C$21)</f>
        <v>5.0000000000000001E-3</v>
      </c>
      <c r="R85" s="159">
        <f>IF($E85="","",(1-Q85)^($F85-Input!$C$20))</f>
        <v>0.97037250935626573</v>
      </c>
      <c r="S85" s="147">
        <f t="shared" si="41"/>
        <v>8.5392780823351395E-4</v>
      </c>
      <c r="T85" s="147">
        <f t="shared" si="42"/>
        <v>7.1188517000275731E-5</v>
      </c>
      <c r="U85" s="160">
        <f>IF($E85="","",IF($C85=12,INDEX(Input!$C$15:$CP$15,1,$B85),0))</f>
        <v>0</v>
      </c>
      <c r="V85" s="150">
        <f>IF(E85="","",IF(C85=1,IF($B85=1,Input!$C$33,Input!$C$34),0))</f>
        <v>0</v>
      </c>
      <c r="W85" s="156">
        <f>IF($E85="","",Input!$C$35)</f>
        <v>0.02</v>
      </c>
      <c r="X85" s="156">
        <f t="shared" si="43"/>
        <v>1.1261624192640001</v>
      </c>
      <c r="Y85" s="154"/>
      <c r="Z85" s="147">
        <f>IF($E85="","",VLOOKUP($D85,'Mortality Margins &amp; Grading'!$AB$5:$AF$125,3,0)*IF(Summary!$D$25="Included Margin",IF(AND($B85&gt;Input!$C$9,Summary!$D$31&lt;&gt;"Included Margin"),0,1),0))</f>
        <v>3.9E-2</v>
      </c>
      <c r="AA85" s="147">
        <f>IF($E85="","",VLOOKUP($D85,'Mortality Margins &amp; Grading'!$AB$5:$AF$125,5,0)*IF(Summary!$D$25="Included Margin",IF(AND($B85&gt;Input!$C$9,Summary!$D$31&lt;&gt;"Included Margin"),0,1),0))</f>
        <v>0.19800000000000001</v>
      </c>
      <c r="AB85" s="147">
        <f>IF($E85="","",IF(AND($B85&gt;Input!$C$9,Summary!$D$31&lt;&gt;"Included Margin"),1,IF(Summary!$D$25="Included Margin",VLOOKUP($B85,'Mortality Margins &amp; Grading'!$AI$5:$AR$125,MATCH('Mortality Margins &amp; Grading'!$AQ$4,'Mortality Margins &amp; Grading'!$AI$4:$AR$4,0),0),1)))</f>
        <v>1</v>
      </c>
      <c r="AC85" s="154"/>
      <c r="AD85" s="158">
        <f>IF(E85="","",Input!$C$48*IF(Summary!$D$30="Included Margin",IF(AND($B85&gt;Input!$C$9,Summary!$D$31&lt;&gt;"Included Margin"),0,1),0))</f>
        <v>-4.4999999999999997E-3</v>
      </c>
      <c r="AE85" s="159">
        <f>IF(E85="","",IF(Summary!$D$26="Included Margin",IF(AND($B85&gt;Input!$C$9,Summary!$D$31&lt;&gt;"Included Margin"),1,1/$R85),1))</f>
        <v>1.030532079544781</v>
      </c>
      <c r="AF85" s="160">
        <f>IF(E85="","",IF(AND($B85&gt;=Input!$C$9,$C85=12,Summary!$D$31="Included Margin",$U85&gt;0),1/U85-1,IF($B85&gt;=Input!$C$9,0,Input!$C$45*IF(Summary!$D$27="Included Margin",1,0))))</f>
        <v>-0.1</v>
      </c>
      <c r="AG85" s="160">
        <f>IF(E85="","",Input!$C$46*IF(Summary!$D$28="Included Margin",IF(AND($B85&gt;Input!$C$9,Summary!$D$31&lt;&gt;"Included Margin"),0,1),0))</f>
        <v>0.02</v>
      </c>
      <c r="AH85" s="158">
        <f>IF(E85="","",Input!$C$47*IF(Summary!$D$29="Included Margin",IF(AND($B85&gt;Input!$C$9,Summary!$D$31&lt;&gt;"Included Margin"),0,1),0))</f>
        <v>2.5000000000000001E-3</v>
      </c>
      <c r="AI85" s="154"/>
      <c r="AJ85" s="158">
        <f t="shared" si="66"/>
        <v>3.721E-2</v>
      </c>
      <c r="AK85" s="155">
        <f t="shared" si="67"/>
        <v>3.0491739674713969E-3</v>
      </c>
      <c r="AL85" s="147">
        <f t="shared" si="68"/>
        <v>9.1432000000000004E-4</v>
      </c>
      <c r="AM85" s="147">
        <f t="shared" si="44"/>
        <v>7.6225281829822578E-5</v>
      </c>
      <c r="AN85" s="160">
        <f t="shared" si="69"/>
        <v>0</v>
      </c>
      <c r="AO85" s="161">
        <f t="shared" si="70"/>
        <v>0</v>
      </c>
      <c r="AP85" s="156">
        <f t="shared" si="45"/>
        <v>1.142825441564707</v>
      </c>
      <c r="AQ85" s="152"/>
      <c r="AR85" s="162">
        <f t="shared" si="46"/>
        <v>600.07682050123049</v>
      </c>
      <c r="AS85" s="150">
        <f t="shared" si="71"/>
        <v>0</v>
      </c>
      <c r="AT85" s="163">
        <f t="shared" si="47"/>
        <v>0</v>
      </c>
      <c r="AU85" s="163">
        <f t="shared" si="48"/>
        <v>7.6225281829822578</v>
      </c>
      <c r="AV85" s="163">
        <f t="shared" si="72"/>
        <v>1.818117412304425</v>
      </c>
      <c r="AW85" s="163">
        <f t="shared" si="49"/>
        <v>4.5302036424361813E-2</v>
      </c>
      <c r="AX85" s="163">
        <f t="shared" si="50"/>
        <v>0</v>
      </c>
      <c r="AY85" s="164">
        <f t="shared" si="73"/>
        <v>594.31771176697703</v>
      </c>
      <c r="AZ85" s="164">
        <f>IF($E85="","",IF(OR(AND($D85=Input!$C$6,$C85=12),$AN85=1),0,-AS86+AT86+AU86-AV86-AW86-AX86+AZ86))</f>
        <v>594.31772945754756</v>
      </c>
      <c r="BA85" s="154">
        <f t="shared" si="51"/>
        <v>1.7690570530248806E-5</v>
      </c>
      <c r="BC85" s="147">
        <f t="shared" si="74"/>
        <v>0.693744357975277</v>
      </c>
      <c r="BD85" s="164">
        <f>IF(AND($C84=12,$D84=Input!$C$6),0,IF($E85="","",AT85+(AU85+BD86)/(1+$AK85)*MIN((1-AM85-AN85),1)))</f>
        <v>2512.550464895422</v>
      </c>
      <c r="BE85" s="164">
        <f t="shared" si="52"/>
        <v>1743.0677091493583</v>
      </c>
      <c r="BF85" s="164">
        <f t="shared" si="75"/>
        <v>594.31772945754756</v>
      </c>
      <c r="BG85" s="164">
        <f t="shared" si="53"/>
        <v>412.30457165585068</v>
      </c>
      <c r="BH85" s="152"/>
      <c r="BI85" s="162">
        <f t="shared" si="54"/>
        <v>302.98160415162596</v>
      </c>
      <c r="BJ85" s="150">
        <f t="shared" si="55"/>
        <v>0</v>
      </c>
      <c r="BK85" s="163">
        <f t="shared" si="79"/>
        <v>0</v>
      </c>
      <c r="BL85" s="163">
        <f t="shared" si="56"/>
        <v>7.1188517000275731</v>
      </c>
      <c r="BM85" s="163">
        <f t="shared" si="80"/>
        <v>1.0213602171750418</v>
      </c>
      <c r="BN85" s="163">
        <f t="shared" si="57"/>
        <v>2.1136245831496168E-2</v>
      </c>
      <c r="BO85" s="163">
        <f t="shared" si="58"/>
        <v>0</v>
      </c>
      <c r="BP85" s="164">
        <f t="shared" si="81"/>
        <v>296.9052489146049</v>
      </c>
      <c r="BQ85" s="164">
        <f>IF($E85="","",IF(AND($D85=Input!$C$6,$C85=12),0,-BJ86+BK86+BL86-BM86-BN86-BO86+BQ86))</f>
        <v>296.90526958742942</v>
      </c>
      <c r="BR85" s="161">
        <f t="shared" si="59"/>
        <v>0</v>
      </c>
      <c r="BT85" s="147">
        <f t="shared" si="60"/>
        <v>0.693744357975277</v>
      </c>
      <c r="BU85" s="164">
        <f>IF(AND($C84=12,$D84=Input!$C$6),0,IF($E85="","",BK85+(BL85+BU86)/(1+$AK85)*MIN((1-T85-U85),1)))</f>
        <v>4036.4621522766556</v>
      </c>
      <c r="BV85" s="164">
        <f t="shared" si="61"/>
        <v>2800.2728443226733</v>
      </c>
      <c r="BW85" s="164">
        <f t="shared" si="62"/>
        <v>296.90526958742942</v>
      </c>
      <c r="BX85" s="164">
        <f t="shared" si="63"/>
        <v>205.97635562940775</v>
      </c>
    </row>
    <row r="86" spans="1:76" s="150" customFormat="1" x14ac:dyDescent="0.25">
      <c r="A86" s="150">
        <f t="shared" si="76"/>
        <v>82</v>
      </c>
      <c r="B86" s="150">
        <f t="shared" si="77"/>
        <v>7</v>
      </c>
      <c r="C86" s="150">
        <f t="shared" si="78"/>
        <v>10</v>
      </c>
      <c r="D86" s="150">
        <f>IF(E86="","",Input!$C$4+B86-1)</f>
        <v>51</v>
      </c>
      <c r="E86" s="150">
        <f>IF(OR(AND(C85=12,D85=Input!$C$6),E85=""),"",1)</f>
        <v>1</v>
      </c>
      <c r="F86" s="150">
        <f>IF(E86="","",Input!$C$8+B86-1)</f>
        <v>2024</v>
      </c>
      <c r="G86" s="151">
        <f>IF(E86="","",MAX(0,Input!$C$9-B86))</f>
        <v>13</v>
      </c>
      <c r="H86" s="152">
        <f>IF(E86="","",Input!$C$3)</f>
        <v>100000</v>
      </c>
      <c r="I86" s="153">
        <f>IF(E86="","",HLOOKUP($B86,Input!$C$13:$BT$14,2))</f>
        <v>2.2999999999999998</v>
      </c>
      <c r="J86" s="154"/>
      <c r="K86" s="155">
        <f>IF($E86="","",INDEX(Input!$C$16:$CP$16,1,$B86))</f>
        <v>2.6710000000000001E-2</v>
      </c>
      <c r="L86" s="155">
        <f>IF($E86="","",Input!$C$37)</f>
        <v>1.4999999999999999E-2</v>
      </c>
      <c r="M86" s="155">
        <f t="shared" si="64"/>
        <v>4.1709999999999997E-2</v>
      </c>
      <c r="N86" s="155">
        <f t="shared" si="65"/>
        <v>3.4111040904465373E-3</v>
      </c>
      <c r="O86" s="147">
        <f>IF($E86="","",MIN(VLOOKUP(IF($B86&lt;=Input!$C$7,$B86,26),'Mortality Tables'!$A$41:$CW$67,IF($B86&lt;=Input!$C$7+1,Input!$C$4+2,$D86-Input!$C$7+2),0)*IF(B86&gt;20,Input!$C$22,1)/1000,1))</f>
        <v>8.8000000000000014E-4</v>
      </c>
      <c r="P86" s="147">
        <f>IF($E86="","",MIN(VLOOKUP(IF($B86&lt;=Input!$C$7,$B86,26),'Mortality Tables'!$A$12:$CW$37,IF($B86&lt;=Input!$C$7+1,Input!$C$4+2,$D86-Input!$C$7+2),0)*IF(B86&gt;20,Input!$C$22,1)/1000,1))</f>
        <v>1.1000000000000001E-3</v>
      </c>
      <c r="Q86" s="155">
        <f>IF($E86="","",Input!$C$21)</f>
        <v>5.0000000000000001E-3</v>
      </c>
      <c r="R86" s="159">
        <f>IF($E86="","",(1-Q86)^($F86-Input!$C$20))</f>
        <v>0.97037250935626573</v>
      </c>
      <c r="S86" s="147">
        <f t="shared" si="41"/>
        <v>8.5392780823351395E-4</v>
      </c>
      <c r="T86" s="147">
        <f t="shared" si="42"/>
        <v>7.1188517000275731E-5</v>
      </c>
      <c r="U86" s="160">
        <f>IF($E86="","",IF($C86=12,INDEX(Input!$C$15:$CP$15,1,$B86),0))</f>
        <v>0</v>
      </c>
      <c r="V86" s="150">
        <f>IF(E86="","",IF(C86=1,IF($B86=1,Input!$C$33,Input!$C$34),0))</f>
        <v>0</v>
      </c>
      <c r="W86" s="156">
        <f>IF($E86="","",Input!$C$35)</f>
        <v>0.02</v>
      </c>
      <c r="X86" s="156">
        <f t="shared" si="43"/>
        <v>1.1261624192640001</v>
      </c>
      <c r="Y86" s="154"/>
      <c r="Z86" s="147">
        <f>IF($E86="","",VLOOKUP($D86,'Mortality Margins &amp; Grading'!$AB$5:$AF$125,3,0)*IF(Summary!$D$25="Included Margin",IF(AND($B86&gt;Input!$C$9,Summary!$D$31&lt;&gt;"Included Margin"),0,1),0))</f>
        <v>3.9E-2</v>
      </c>
      <c r="AA86" s="147">
        <f>IF($E86="","",VLOOKUP($D86,'Mortality Margins &amp; Grading'!$AB$5:$AF$125,5,0)*IF(Summary!$D$25="Included Margin",IF(AND($B86&gt;Input!$C$9,Summary!$D$31&lt;&gt;"Included Margin"),0,1),0))</f>
        <v>0.19800000000000001</v>
      </c>
      <c r="AB86" s="147">
        <f>IF($E86="","",IF(AND($B86&gt;Input!$C$9,Summary!$D$31&lt;&gt;"Included Margin"),1,IF(Summary!$D$25="Included Margin",VLOOKUP($B86,'Mortality Margins &amp; Grading'!$AI$5:$AR$125,MATCH('Mortality Margins &amp; Grading'!$AQ$4,'Mortality Margins &amp; Grading'!$AI$4:$AR$4,0),0),1)))</f>
        <v>1</v>
      </c>
      <c r="AC86" s="154"/>
      <c r="AD86" s="158">
        <f>IF(E86="","",Input!$C$48*IF(Summary!$D$30="Included Margin",IF(AND($B86&gt;Input!$C$9,Summary!$D$31&lt;&gt;"Included Margin"),0,1),0))</f>
        <v>-4.4999999999999997E-3</v>
      </c>
      <c r="AE86" s="159">
        <f>IF(E86="","",IF(Summary!$D$26="Included Margin",IF(AND($B86&gt;Input!$C$9,Summary!$D$31&lt;&gt;"Included Margin"),1,1/$R86),1))</f>
        <v>1.030532079544781</v>
      </c>
      <c r="AF86" s="160">
        <f>IF(E86="","",IF(AND($B86&gt;=Input!$C$9,$C86=12,Summary!$D$31="Included Margin",$U86&gt;0),1/U86-1,IF($B86&gt;=Input!$C$9,0,Input!$C$45*IF(Summary!$D$27="Included Margin",1,0))))</f>
        <v>-0.1</v>
      </c>
      <c r="AG86" s="160">
        <f>IF(E86="","",Input!$C$46*IF(Summary!$D$28="Included Margin",IF(AND($B86&gt;Input!$C$9,Summary!$D$31&lt;&gt;"Included Margin"),0,1),0))</f>
        <v>0.02</v>
      </c>
      <c r="AH86" s="158">
        <f>IF(E86="","",Input!$C$47*IF(Summary!$D$29="Included Margin",IF(AND($B86&gt;Input!$C$9,Summary!$D$31&lt;&gt;"Included Margin"),0,1),0))</f>
        <v>2.5000000000000001E-3</v>
      </c>
      <c r="AI86" s="154"/>
      <c r="AJ86" s="158">
        <f t="shared" si="66"/>
        <v>3.721E-2</v>
      </c>
      <c r="AK86" s="155">
        <f t="shared" si="67"/>
        <v>3.0491739674713969E-3</v>
      </c>
      <c r="AL86" s="147">
        <f t="shared" si="68"/>
        <v>9.1432000000000004E-4</v>
      </c>
      <c r="AM86" s="147">
        <f t="shared" si="44"/>
        <v>7.6225281829822578E-5</v>
      </c>
      <c r="AN86" s="160">
        <f t="shared" si="69"/>
        <v>0</v>
      </c>
      <c r="AO86" s="161">
        <f t="shared" si="70"/>
        <v>0</v>
      </c>
      <c r="AP86" s="156">
        <f t="shared" si="45"/>
        <v>1.142825441564707</v>
      </c>
      <c r="AQ86" s="152"/>
      <c r="AR86" s="162">
        <f t="shared" si="46"/>
        <v>594.31771176697703</v>
      </c>
      <c r="AS86" s="150">
        <f t="shared" si="71"/>
        <v>0</v>
      </c>
      <c r="AT86" s="163">
        <f t="shared" si="47"/>
        <v>0</v>
      </c>
      <c r="AU86" s="163">
        <f t="shared" si="48"/>
        <v>7.6225281829822578</v>
      </c>
      <c r="AV86" s="163">
        <f t="shared" si="72"/>
        <v>1.8005568878761022</v>
      </c>
      <c r="AW86" s="163">
        <f t="shared" si="49"/>
        <v>4.4861674615378121E-2</v>
      </c>
      <c r="AX86" s="163">
        <f t="shared" si="50"/>
        <v>0</v>
      </c>
      <c r="AY86" s="164">
        <f t="shared" si="73"/>
        <v>588.54060214648632</v>
      </c>
      <c r="AZ86" s="164">
        <f>IF($E86="","",IF(OR(AND($D86=Input!$C$6,$C86=12),$AN86=1),0,-AS87+AT87+AU87-AV87-AW87-AX87+AZ87))</f>
        <v>588.54061983705674</v>
      </c>
      <c r="BA86" s="154">
        <f t="shared" si="51"/>
        <v>1.7690570416561968E-5</v>
      </c>
      <c r="BC86" s="147">
        <f t="shared" si="74"/>
        <v>0.69369497134325542</v>
      </c>
      <c r="BD86" s="164">
        <f>IF(AND($C85=12,$D85=Input!$C$6),0,IF($E86="","",AT86+(AU86+BD87)/(1+$AK86)*MIN((1-AM86-AN86),1)))</f>
        <v>2512.7812586709347</v>
      </c>
      <c r="BE86" s="164">
        <f t="shared" si="52"/>
        <v>1743.1037232256033</v>
      </c>
      <c r="BF86" s="164">
        <f t="shared" si="75"/>
        <v>588.54061983705674</v>
      </c>
      <c r="BG86" s="164">
        <f t="shared" si="53"/>
        <v>408.26766841220888</v>
      </c>
      <c r="BH86" s="152"/>
      <c r="BI86" s="162">
        <f t="shared" si="54"/>
        <v>296.9052489146049</v>
      </c>
      <c r="BJ86" s="150">
        <f t="shared" si="55"/>
        <v>0</v>
      </c>
      <c r="BK86" s="163">
        <f t="shared" si="79"/>
        <v>0</v>
      </c>
      <c r="BL86" s="163">
        <f t="shared" si="56"/>
        <v>7.1188517000275731</v>
      </c>
      <c r="BM86" s="163">
        <f t="shared" si="80"/>
        <v>1.0006331369710328</v>
      </c>
      <c r="BN86" s="163">
        <f t="shared" si="57"/>
        <v>2.0702172682280549E-2</v>
      </c>
      <c r="BO86" s="163">
        <f t="shared" si="58"/>
        <v>0</v>
      </c>
      <c r="BP86" s="164">
        <f t="shared" si="81"/>
        <v>290.80773252423063</v>
      </c>
      <c r="BQ86" s="164">
        <f>IF($E86="","",IF(AND($D86=Input!$C$6,$C86=12),0,-BJ87+BK87+BL87-BM87-BN87-BO87+BQ87))</f>
        <v>290.80775319705515</v>
      </c>
      <c r="BR86" s="161">
        <f t="shared" si="59"/>
        <v>0</v>
      </c>
      <c r="BT86" s="147">
        <f t="shared" si="60"/>
        <v>0.69369497134325542</v>
      </c>
      <c r="BU86" s="164">
        <f>IF(AND($C85=12,$D85=Input!$C$6),0,IF($E86="","",BK86+(BL86+BU87)/(1+$AK86)*MIN((1-T86-U86),1)))</f>
        <v>4041.9394223458103</v>
      </c>
      <c r="BV86" s="164">
        <f t="shared" si="61"/>
        <v>2803.8730517553513</v>
      </c>
      <c r="BW86" s="164">
        <f t="shared" si="62"/>
        <v>290.80775319705515</v>
      </c>
      <c r="BX86" s="164">
        <f t="shared" si="63"/>
        <v>201.73187602042768</v>
      </c>
    </row>
    <row r="87" spans="1:76" s="150" customFormat="1" x14ac:dyDescent="0.25">
      <c r="A87" s="150">
        <f t="shared" si="76"/>
        <v>83</v>
      </c>
      <c r="B87" s="150">
        <f t="shared" si="77"/>
        <v>7</v>
      </c>
      <c r="C87" s="150">
        <f t="shared" si="78"/>
        <v>11</v>
      </c>
      <c r="D87" s="150">
        <f>IF(E87="","",Input!$C$4+B87-1)</f>
        <v>51</v>
      </c>
      <c r="E87" s="150">
        <f>IF(OR(AND(C86=12,D86=Input!$C$6),E86=""),"",1)</f>
        <v>1</v>
      </c>
      <c r="F87" s="150">
        <f>IF(E87="","",Input!$C$8+B87-1)</f>
        <v>2024</v>
      </c>
      <c r="G87" s="151">
        <f>IF(E87="","",MAX(0,Input!$C$9-B87))</f>
        <v>13</v>
      </c>
      <c r="H87" s="152">
        <f>IF(E87="","",Input!$C$3)</f>
        <v>100000</v>
      </c>
      <c r="I87" s="153">
        <f>IF(E87="","",HLOOKUP($B87,Input!$C$13:$BT$14,2))</f>
        <v>2.2999999999999998</v>
      </c>
      <c r="J87" s="154"/>
      <c r="K87" s="155">
        <f>IF($E87="","",INDEX(Input!$C$16:$CP$16,1,$B87))</f>
        <v>2.6710000000000001E-2</v>
      </c>
      <c r="L87" s="155">
        <f>IF($E87="","",Input!$C$37)</f>
        <v>1.4999999999999999E-2</v>
      </c>
      <c r="M87" s="155">
        <f t="shared" si="64"/>
        <v>4.1709999999999997E-2</v>
      </c>
      <c r="N87" s="155">
        <f t="shared" si="65"/>
        <v>3.4111040904465373E-3</v>
      </c>
      <c r="O87" s="147">
        <f>IF($E87="","",MIN(VLOOKUP(IF($B87&lt;=Input!$C$7,$B87,26),'Mortality Tables'!$A$41:$CW$67,IF($B87&lt;=Input!$C$7+1,Input!$C$4+2,$D87-Input!$C$7+2),0)*IF(B87&gt;20,Input!$C$22,1)/1000,1))</f>
        <v>8.8000000000000014E-4</v>
      </c>
      <c r="P87" s="147">
        <f>IF($E87="","",MIN(VLOOKUP(IF($B87&lt;=Input!$C$7,$B87,26),'Mortality Tables'!$A$12:$CW$37,IF($B87&lt;=Input!$C$7+1,Input!$C$4+2,$D87-Input!$C$7+2),0)*IF(B87&gt;20,Input!$C$22,1)/1000,1))</f>
        <v>1.1000000000000001E-3</v>
      </c>
      <c r="Q87" s="155">
        <f>IF($E87="","",Input!$C$21)</f>
        <v>5.0000000000000001E-3</v>
      </c>
      <c r="R87" s="159">
        <f>IF($E87="","",(1-Q87)^($F87-Input!$C$20))</f>
        <v>0.97037250935626573</v>
      </c>
      <c r="S87" s="147">
        <f t="shared" si="41"/>
        <v>8.5392780823351395E-4</v>
      </c>
      <c r="T87" s="147">
        <f t="shared" si="42"/>
        <v>7.1188517000275731E-5</v>
      </c>
      <c r="U87" s="160">
        <f>IF($E87="","",IF($C87=12,INDEX(Input!$C$15:$CP$15,1,$B87),0))</f>
        <v>0</v>
      </c>
      <c r="V87" s="150">
        <f>IF(E87="","",IF(C87=1,IF($B87=1,Input!$C$33,Input!$C$34),0))</f>
        <v>0</v>
      </c>
      <c r="W87" s="156">
        <f>IF($E87="","",Input!$C$35)</f>
        <v>0.02</v>
      </c>
      <c r="X87" s="156">
        <f t="shared" si="43"/>
        <v>1.1261624192640001</v>
      </c>
      <c r="Y87" s="154"/>
      <c r="Z87" s="147">
        <f>IF($E87="","",VLOOKUP($D87,'Mortality Margins &amp; Grading'!$AB$5:$AF$125,3,0)*IF(Summary!$D$25="Included Margin",IF(AND($B87&gt;Input!$C$9,Summary!$D$31&lt;&gt;"Included Margin"),0,1),0))</f>
        <v>3.9E-2</v>
      </c>
      <c r="AA87" s="147">
        <f>IF($E87="","",VLOOKUP($D87,'Mortality Margins &amp; Grading'!$AB$5:$AF$125,5,0)*IF(Summary!$D$25="Included Margin",IF(AND($B87&gt;Input!$C$9,Summary!$D$31&lt;&gt;"Included Margin"),0,1),0))</f>
        <v>0.19800000000000001</v>
      </c>
      <c r="AB87" s="147">
        <f>IF($E87="","",IF(AND($B87&gt;Input!$C$9,Summary!$D$31&lt;&gt;"Included Margin"),1,IF(Summary!$D$25="Included Margin",VLOOKUP($B87,'Mortality Margins &amp; Grading'!$AI$5:$AR$125,MATCH('Mortality Margins &amp; Grading'!$AQ$4,'Mortality Margins &amp; Grading'!$AI$4:$AR$4,0),0),1)))</f>
        <v>1</v>
      </c>
      <c r="AC87" s="154"/>
      <c r="AD87" s="158">
        <f>IF(E87="","",Input!$C$48*IF(Summary!$D$30="Included Margin",IF(AND($B87&gt;Input!$C$9,Summary!$D$31&lt;&gt;"Included Margin"),0,1),0))</f>
        <v>-4.4999999999999997E-3</v>
      </c>
      <c r="AE87" s="159">
        <f>IF(E87="","",IF(Summary!$D$26="Included Margin",IF(AND($B87&gt;Input!$C$9,Summary!$D$31&lt;&gt;"Included Margin"),1,1/$R87),1))</f>
        <v>1.030532079544781</v>
      </c>
      <c r="AF87" s="160">
        <f>IF(E87="","",IF(AND($B87&gt;=Input!$C$9,$C87=12,Summary!$D$31="Included Margin",$U87&gt;0),1/U87-1,IF($B87&gt;=Input!$C$9,0,Input!$C$45*IF(Summary!$D$27="Included Margin",1,0))))</f>
        <v>-0.1</v>
      </c>
      <c r="AG87" s="160">
        <f>IF(E87="","",Input!$C$46*IF(Summary!$D$28="Included Margin",IF(AND($B87&gt;Input!$C$9,Summary!$D$31&lt;&gt;"Included Margin"),0,1),0))</f>
        <v>0.02</v>
      </c>
      <c r="AH87" s="158">
        <f>IF(E87="","",Input!$C$47*IF(Summary!$D$29="Included Margin",IF(AND($B87&gt;Input!$C$9,Summary!$D$31&lt;&gt;"Included Margin"),0,1),0))</f>
        <v>2.5000000000000001E-3</v>
      </c>
      <c r="AI87" s="154"/>
      <c r="AJ87" s="158">
        <f t="shared" si="66"/>
        <v>3.721E-2</v>
      </c>
      <c r="AK87" s="155">
        <f t="shared" si="67"/>
        <v>3.0491739674713969E-3</v>
      </c>
      <c r="AL87" s="147">
        <f t="shared" si="68"/>
        <v>9.1432000000000004E-4</v>
      </c>
      <c r="AM87" s="147">
        <f t="shared" si="44"/>
        <v>7.6225281829822578E-5</v>
      </c>
      <c r="AN87" s="160">
        <f t="shared" si="69"/>
        <v>0</v>
      </c>
      <c r="AO87" s="161">
        <f t="shared" si="70"/>
        <v>0</v>
      </c>
      <c r="AP87" s="156">
        <f t="shared" si="45"/>
        <v>1.142825441564707</v>
      </c>
      <c r="AQ87" s="152"/>
      <c r="AR87" s="162">
        <f t="shared" si="46"/>
        <v>588.54060214648621</v>
      </c>
      <c r="AS87" s="150">
        <f t="shared" si="71"/>
        <v>0</v>
      </c>
      <c r="AT87" s="163">
        <f t="shared" si="47"/>
        <v>0</v>
      </c>
      <c r="AU87" s="163">
        <f t="shared" si="48"/>
        <v>7.6225281829822578</v>
      </c>
      <c r="AV87" s="163">
        <f t="shared" si="72"/>
        <v>1.7829414756140731</v>
      </c>
      <c r="AW87" s="163">
        <f t="shared" si="49"/>
        <v>4.4419936395009865E-2</v>
      </c>
      <c r="AX87" s="163">
        <f t="shared" si="50"/>
        <v>0</v>
      </c>
      <c r="AY87" s="164">
        <f t="shared" si="73"/>
        <v>582.74543537551301</v>
      </c>
      <c r="AZ87" s="164">
        <f>IF($E87="","",IF(OR(AND($D87=Input!$C$6,$C87=12),$AN87=1),0,-AS88+AT88+AU88-AV88-AW88-AX88+AZ88))</f>
        <v>582.74545306608354</v>
      </c>
      <c r="BA87" s="154">
        <f t="shared" si="51"/>
        <v>1.7690570530248806E-5</v>
      </c>
      <c r="BC87" s="147">
        <f t="shared" si="74"/>
        <v>0.69364558822699496</v>
      </c>
      <c r="BD87" s="164">
        <f>IF(AND($C86=12,$D86=Input!$C$6),0,IF($E87="","",AT87+(AU87+BD88)/(1+$AK87)*MIN((1-AM87-AN87),1)))</f>
        <v>2513.0127738241272</v>
      </c>
      <c r="BE87" s="164">
        <f t="shared" si="52"/>
        <v>1743.1402237211889</v>
      </c>
      <c r="BF87" s="164">
        <f t="shared" si="75"/>
        <v>582.74545306608354</v>
      </c>
      <c r="BG87" s="164">
        <f t="shared" si="53"/>
        <v>404.21881257863021</v>
      </c>
      <c r="BH87" s="152"/>
      <c r="BI87" s="162">
        <f t="shared" si="54"/>
        <v>290.80773252423057</v>
      </c>
      <c r="BJ87" s="150">
        <f t="shared" si="55"/>
        <v>0</v>
      </c>
      <c r="BK87" s="163">
        <f t="shared" si="79"/>
        <v>0</v>
      </c>
      <c r="BL87" s="163">
        <f t="shared" si="56"/>
        <v>7.1188517000275731</v>
      </c>
      <c r="BM87" s="163">
        <f t="shared" si="80"/>
        <v>0.97983387387026233</v>
      </c>
      <c r="BN87" s="163">
        <f t="shared" si="57"/>
        <v>2.0266587855732258E-2</v>
      </c>
      <c r="BO87" s="163">
        <f t="shared" si="58"/>
        <v>0</v>
      </c>
      <c r="BP87" s="164">
        <f t="shared" si="81"/>
        <v>284.688981285929</v>
      </c>
      <c r="BQ87" s="164">
        <f>IF($E87="","",IF(AND($D87=Input!$C$6,$C87=12),0,-BJ88+BK88+BL88-BM88-BN88-BO88+BQ88))</f>
        <v>284.68900195875358</v>
      </c>
      <c r="BR87" s="161">
        <f t="shared" si="59"/>
        <v>0</v>
      </c>
      <c r="BT87" s="147">
        <f t="shared" si="60"/>
        <v>0.69364558822699496</v>
      </c>
      <c r="BU87" s="164">
        <f>IF(AND($C86=12,$D86=Input!$C$6),0,IF($E87="","",BK87+(BL87+BU88)/(1+$AK87)*MIN((1-T87-U87),1)))</f>
        <v>4047.4337846997805</v>
      </c>
      <c r="BV87" s="164">
        <f t="shared" si="61"/>
        <v>2807.4845883978919</v>
      </c>
      <c r="BW87" s="164">
        <f t="shared" si="62"/>
        <v>284.68900195875358</v>
      </c>
      <c r="BX87" s="164">
        <f t="shared" si="63"/>
        <v>197.47327022543575</v>
      </c>
    </row>
    <row r="88" spans="1:76" s="150" customFormat="1" x14ac:dyDescent="0.25">
      <c r="A88" s="150">
        <f t="shared" si="76"/>
        <v>84</v>
      </c>
      <c r="B88" s="150">
        <f t="shared" si="77"/>
        <v>7</v>
      </c>
      <c r="C88" s="150">
        <f t="shared" si="78"/>
        <v>12</v>
      </c>
      <c r="D88" s="150">
        <f>IF(E88="","",Input!$C$4+B88-1)</f>
        <v>51</v>
      </c>
      <c r="E88" s="150">
        <f>IF(OR(AND(C87=12,D87=Input!$C$6),E87=""),"",1)</f>
        <v>1</v>
      </c>
      <c r="F88" s="150">
        <f>IF(E88="","",Input!$C$8+B88-1)</f>
        <v>2024</v>
      </c>
      <c r="G88" s="151">
        <f>IF(E88="","",MAX(0,Input!$C$9-B88))</f>
        <v>13</v>
      </c>
      <c r="H88" s="152">
        <f>IF(E88="","",Input!$C$3)</f>
        <v>100000</v>
      </c>
      <c r="I88" s="153">
        <f>IF(E88="","",HLOOKUP($B88,Input!$C$13:$BT$14,2))</f>
        <v>2.2999999999999998</v>
      </c>
      <c r="J88" s="154"/>
      <c r="K88" s="155">
        <f>IF($E88="","",INDEX(Input!$C$16:$CP$16,1,$B88))</f>
        <v>2.6710000000000001E-2</v>
      </c>
      <c r="L88" s="155">
        <f>IF($E88="","",Input!$C$37)</f>
        <v>1.4999999999999999E-2</v>
      </c>
      <c r="M88" s="155">
        <f t="shared" si="64"/>
        <v>4.1709999999999997E-2</v>
      </c>
      <c r="N88" s="155">
        <f t="shared" si="65"/>
        <v>3.4111040904465373E-3</v>
      </c>
      <c r="O88" s="147">
        <f>IF($E88="","",MIN(VLOOKUP(IF($B88&lt;=Input!$C$7,$B88,26),'Mortality Tables'!$A$41:$CW$67,IF($B88&lt;=Input!$C$7+1,Input!$C$4+2,$D88-Input!$C$7+2),0)*IF(B88&gt;20,Input!$C$22,1)/1000,1))</f>
        <v>8.8000000000000014E-4</v>
      </c>
      <c r="P88" s="147">
        <f>IF($E88="","",MIN(VLOOKUP(IF($B88&lt;=Input!$C$7,$B88,26),'Mortality Tables'!$A$12:$CW$37,IF($B88&lt;=Input!$C$7+1,Input!$C$4+2,$D88-Input!$C$7+2),0)*IF(B88&gt;20,Input!$C$22,1)/1000,1))</f>
        <v>1.1000000000000001E-3</v>
      </c>
      <c r="Q88" s="155">
        <f>IF($E88="","",Input!$C$21)</f>
        <v>5.0000000000000001E-3</v>
      </c>
      <c r="R88" s="159">
        <f>IF($E88="","",(1-Q88)^($F88-Input!$C$20))</f>
        <v>0.97037250935626573</v>
      </c>
      <c r="S88" s="147">
        <f t="shared" si="41"/>
        <v>8.5392780823351395E-4</v>
      </c>
      <c r="T88" s="147">
        <f t="shared" si="42"/>
        <v>7.1188517000275731E-5</v>
      </c>
      <c r="U88" s="160">
        <f>IF($E88="","",IF($C88=12,INDEX(Input!$C$15:$CP$15,1,$B88),0))</f>
        <v>0.05</v>
      </c>
      <c r="V88" s="150">
        <f>IF(E88="","",IF(C88=1,IF($B88=1,Input!$C$33,Input!$C$34),0))</f>
        <v>0</v>
      </c>
      <c r="W88" s="156">
        <f>IF($E88="","",Input!$C$35)</f>
        <v>0.02</v>
      </c>
      <c r="X88" s="156">
        <f t="shared" si="43"/>
        <v>1.1261624192640001</v>
      </c>
      <c r="Y88" s="154"/>
      <c r="Z88" s="147">
        <f>IF($E88="","",VLOOKUP($D88,'Mortality Margins &amp; Grading'!$AB$5:$AF$125,3,0)*IF(Summary!$D$25="Included Margin",IF(AND($B88&gt;Input!$C$9,Summary!$D$31&lt;&gt;"Included Margin"),0,1),0))</f>
        <v>3.9E-2</v>
      </c>
      <c r="AA88" s="147">
        <f>IF($E88="","",VLOOKUP($D88,'Mortality Margins &amp; Grading'!$AB$5:$AF$125,5,0)*IF(Summary!$D$25="Included Margin",IF(AND($B88&gt;Input!$C$9,Summary!$D$31&lt;&gt;"Included Margin"),0,1),0))</f>
        <v>0.19800000000000001</v>
      </c>
      <c r="AB88" s="147">
        <f>IF($E88="","",IF(AND($B88&gt;Input!$C$9,Summary!$D$31&lt;&gt;"Included Margin"),1,IF(Summary!$D$25="Included Margin",VLOOKUP($B88,'Mortality Margins &amp; Grading'!$AI$5:$AR$125,MATCH('Mortality Margins &amp; Grading'!$AQ$4,'Mortality Margins &amp; Grading'!$AI$4:$AR$4,0),0),1)))</f>
        <v>1</v>
      </c>
      <c r="AC88" s="154"/>
      <c r="AD88" s="158">
        <f>IF(E88="","",Input!$C$48*IF(Summary!$D$30="Included Margin",IF(AND($B88&gt;Input!$C$9,Summary!$D$31&lt;&gt;"Included Margin"),0,1),0))</f>
        <v>-4.4999999999999997E-3</v>
      </c>
      <c r="AE88" s="159">
        <f>IF(E88="","",IF(Summary!$D$26="Included Margin",IF(AND($B88&gt;Input!$C$9,Summary!$D$31&lt;&gt;"Included Margin"),1,1/$R88),1))</f>
        <v>1.030532079544781</v>
      </c>
      <c r="AF88" s="160">
        <f>IF(E88="","",IF(AND($B88&gt;=Input!$C$9,$C88=12,Summary!$D$31="Included Margin",$U88&gt;0),1/U88-1,IF($B88&gt;=Input!$C$9,0,Input!$C$45*IF(Summary!$D$27="Included Margin",1,0))))</f>
        <v>-0.1</v>
      </c>
      <c r="AG88" s="160">
        <f>IF(E88="","",Input!$C$46*IF(Summary!$D$28="Included Margin",IF(AND($B88&gt;Input!$C$9,Summary!$D$31&lt;&gt;"Included Margin"),0,1),0))</f>
        <v>0.02</v>
      </c>
      <c r="AH88" s="158">
        <f>IF(E88="","",Input!$C$47*IF(Summary!$D$29="Included Margin",IF(AND($B88&gt;Input!$C$9,Summary!$D$31&lt;&gt;"Included Margin"),0,1),0))</f>
        <v>2.5000000000000001E-3</v>
      </c>
      <c r="AI88" s="154"/>
      <c r="AJ88" s="158">
        <f t="shared" si="66"/>
        <v>3.721E-2</v>
      </c>
      <c r="AK88" s="155">
        <f t="shared" si="67"/>
        <v>3.0491739674713969E-3</v>
      </c>
      <c r="AL88" s="147">
        <f t="shared" si="68"/>
        <v>9.1432000000000004E-4</v>
      </c>
      <c r="AM88" s="147">
        <f t="shared" si="44"/>
        <v>7.6225281829822578E-5</v>
      </c>
      <c r="AN88" s="160">
        <f t="shared" si="69"/>
        <v>4.5000000000000005E-2</v>
      </c>
      <c r="AO88" s="161">
        <f t="shared" si="70"/>
        <v>0</v>
      </c>
      <c r="AP88" s="156">
        <f t="shared" si="45"/>
        <v>1.142825441564707</v>
      </c>
      <c r="AQ88" s="152"/>
      <c r="AR88" s="162">
        <f t="shared" si="46"/>
        <v>582.74543537551301</v>
      </c>
      <c r="AS88" s="150">
        <f t="shared" si="71"/>
        <v>0</v>
      </c>
      <c r="AT88" s="163">
        <f t="shared" si="47"/>
        <v>0</v>
      </c>
      <c r="AU88" s="163">
        <f t="shared" si="48"/>
        <v>7.6225281829822578</v>
      </c>
      <c r="AV88" s="163">
        <f t="shared" si="72"/>
        <v>1.7652710039588664</v>
      </c>
      <c r="AW88" s="163">
        <f t="shared" si="49"/>
        <v>4.6049023519470163E-2</v>
      </c>
      <c r="AX88" s="163">
        <f t="shared" si="50"/>
        <v>27.183213418762001</v>
      </c>
      <c r="AY88" s="164">
        <f t="shared" si="73"/>
        <v>604.11744063877109</v>
      </c>
      <c r="AZ88" s="164">
        <f>IF($E88="","",IF(OR(AND($D88=Input!$C$6,$C88=12),$AN88=1),0,-AS89+AT89+AU89-AV89-AW89-AX89+AZ89))</f>
        <v>604.11745832934162</v>
      </c>
      <c r="BA88" s="154">
        <f t="shared" si="51"/>
        <v>1.7690570530248806E-5</v>
      </c>
      <c r="BC88" s="147">
        <f t="shared" si="74"/>
        <v>0.65891392921489556</v>
      </c>
      <c r="BD88" s="164">
        <f>IF(AND($C87=12,$D87=Input!$C$6),0,IF($E88="","",AT88+(AU88+BD89)/(1+$AK88)*MIN((1-AM88-AN88),1)))</f>
        <v>2513.2450126097651</v>
      </c>
      <c r="BE88" s="164">
        <f t="shared" si="52"/>
        <v>1656.0121463384401</v>
      </c>
      <c r="BF88" s="164">
        <f t="shared" si="75"/>
        <v>604.11745832934162</v>
      </c>
      <c r="BG88" s="164">
        <f t="shared" si="53"/>
        <v>398.06140817510243</v>
      </c>
      <c r="BH88" s="152"/>
      <c r="BI88" s="162">
        <f t="shared" si="54"/>
        <v>284.68898128592906</v>
      </c>
      <c r="BJ88" s="150">
        <f t="shared" si="55"/>
        <v>0</v>
      </c>
      <c r="BK88" s="163">
        <f t="shared" si="79"/>
        <v>0</v>
      </c>
      <c r="BL88" s="163">
        <f t="shared" si="56"/>
        <v>7.1188517000275731</v>
      </c>
      <c r="BM88" s="163">
        <f t="shared" si="80"/>
        <v>0.95896217649286719</v>
      </c>
      <c r="BN88" s="163">
        <f t="shared" si="57"/>
        <v>2.0873143249867082E-2</v>
      </c>
      <c r="BO88" s="163">
        <f t="shared" si="58"/>
        <v>14.65942697027468</v>
      </c>
      <c r="BP88" s="164">
        <f t="shared" si="81"/>
        <v>293.20939187591893</v>
      </c>
      <c r="BQ88" s="164">
        <f>IF($E88="","",IF(AND($D88=Input!$C$6,$C88=12),0,-BJ89+BK89+BL89-BM89-BN89-BO89+BQ89))</f>
        <v>293.20941254874344</v>
      </c>
      <c r="BR88" s="161">
        <f t="shared" si="59"/>
        <v>0</v>
      </c>
      <c r="BT88" s="147">
        <f t="shared" si="60"/>
        <v>0.65891392921489556</v>
      </c>
      <c r="BU88" s="164">
        <f>IF(AND($C87=12,$D87=Input!$C$6),0,IF($E88="","",BK88+(BL88+BU89)/(1+$AK88)*MIN((1-T88-U88),1)))</f>
        <v>4052.945292676488</v>
      </c>
      <c r="BV88" s="164">
        <f t="shared" si="61"/>
        <v>2670.5421076904795</v>
      </c>
      <c r="BW88" s="164">
        <f t="shared" si="62"/>
        <v>293.20941254874344</v>
      </c>
      <c r="BX88" s="164">
        <f t="shared" si="63"/>
        <v>193.19976610528386</v>
      </c>
    </row>
    <row r="89" spans="1:76" s="150" customFormat="1" x14ac:dyDescent="0.25">
      <c r="A89" s="150">
        <f t="shared" si="76"/>
        <v>85</v>
      </c>
      <c r="B89" s="150">
        <f t="shared" si="77"/>
        <v>8</v>
      </c>
      <c r="C89" s="150">
        <f t="shared" si="78"/>
        <v>1</v>
      </c>
      <c r="D89" s="150">
        <f>IF(E89="","",Input!$C$4+B89-1)</f>
        <v>52</v>
      </c>
      <c r="E89" s="150">
        <f>IF(OR(AND(C88=12,D88=Input!$C$6),E88=""),"",1)</f>
        <v>1</v>
      </c>
      <c r="F89" s="150">
        <f>IF(E89="","",Input!$C$8+B89-1)</f>
        <v>2025</v>
      </c>
      <c r="G89" s="151">
        <f>IF(E89="","",MAX(0,Input!$C$9-B89))</f>
        <v>12</v>
      </c>
      <c r="H89" s="152">
        <f>IF(E89="","",Input!$C$3)</f>
        <v>100000</v>
      </c>
      <c r="I89" s="153">
        <f>IF(E89="","",HLOOKUP($B89,Input!$C$13:$BT$14,2))</f>
        <v>2.2999999999999998</v>
      </c>
      <c r="J89" s="154"/>
      <c r="K89" s="155">
        <f>IF($E89="","",INDEX(Input!$C$16:$CP$16,1,$B89))</f>
        <v>2.63E-2</v>
      </c>
      <c r="L89" s="155">
        <f>IF($E89="","",Input!$C$37)</f>
        <v>1.4999999999999999E-2</v>
      </c>
      <c r="M89" s="155">
        <f t="shared" si="64"/>
        <v>4.1300000000000003E-2</v>
      </c>
      <c r="N89" s="155">
        <f t="shared" si="65"/>
        <v>3.3781876370064801E-3</v>
      </c>
      <c r="O89" s="147">
        <f>IF($E89="","",MIN(VLOOKUP(IF($B89&lt;=Input!$C$7,$B89,26),'Mortality Tables'!$A$41:$CW$67,IF($B89&lt;=Input!$C$7+1,Input!$C$4+2,$D89-Input!$C$7+2),0)*IF(B89&gt;20,Input!$C$22,1)/1000,1))</f>
        <v>1.0319999999999999E-3</v>
      </c>
      <c r="P89" s="147">
        <f>IF($E89="","",MIN(VLOOKUP(IF($B89&lt;=Input!$C$7,$B89,26),'Mortality Tables'!$A$12:$CW$37,IF($B89&lt;=Input!$C$7+1,Input!$C$4+2,$D89-Input!$C$7+2),0)*IF(B89&gt;20,Input!$C$22,1)/1000,1))</f>
        <v>1.2900000000000001E-3</v>
      </c>
      <c r="Q89" s="155">
        <f>IF($E89="","",Input!$C$21)</f>
        <v>5.0000000000000001E-3</v>
      </c>
      <c r="R89" s="159">
        <f>IF($E89="","",(1-Q89)^($F89-Input!$C$20))</f>
        <v>0.96552064680948435</v>
      </c>
      <c r="S89" s="147">
        <f t="shared" si="41"/>
        <v>9.964173075073877E-4</v>
      </c>
      <c r="T89" s="147">
        <f t="shared" si="42"/>
        <v>8.3072721040688968E-5</v>
      </c>
      <c r="U89" s="160">
        <f>IF($E89="","",IF($C89=12,INDEX(Input!$C$15:$CP$15,1,$B89),0))</f>
        <v>0</v>
      </c>
      <c r="V89" s="150">
        <f>IF(E89="","",IF(C89=1,IF($B89=1,Input!$C$33,Input!$C$34),0))</f>
        <v>50</v>
      </c>
      <c r="W89" s="156">
        <f>IF($E89="","",Input!$C$35)</f>
        <v>0.02</v>
      </c>
      <c r="X89" s="156">
        <f t="shared" si="43"/>
        <v>1.14868566764928</v>
      </c>
      <c r="Y89" s="154"/>
      <c r="Z89" s="147">
        <f>IF($E89="","",VLOOKUP($D89,'Mortality Margins &amp; Grading'!$AB$5:$AF$125,3,0)*IF(Summary!$D$25="Included Margin",IF(AND($B89&gt;Input!$C$9,Summary!$D$31&lt;&gt;"Included Margin"),0,1),0))</f>
        <v>3.7999999999999999E-2</v>
      </c>
      <c r="AA89" s="147">
        <f>IF($E89="","",VLOOKUP($D89,'Mortality Margins &amp; Grading'!$AB$5:$AF$125,5,0)*IF(Summary!$D$25="Included Margin",IF(AND($B89&gt;Input!$C$9,Summary!$D$31&lt;&gt;"Included Margin"),0,1),0))</f>
        <v>0.19600000000000001</v>
      </c>
      <c r="AB89" s="147">
        <f>IF($E89="","",IF(AND($B89&gt;Input!$C$9,Summary!$D$31&lt;&gt;"Included Margin"),1,IF(Summary!$D$25="Included Margin",VLOOKUP($B89,'Mortality Margins &amp; Grading'!$AI$5:$AR$125,MATCH('Mortality Margins &amp; Grading'!$AQ$4,'Mortality Margins &amp; Grading'!$AI$4:$AR$4,0),0),1)))</f>
        <v>1</v>
      </c>
      <c r="AC89" s="154"/>
      <c r="AD89" s="158">
        <f>IF(E89="","",Input!$C$48*IF(Summary!$D$30="Included Margin",IF(AND($B89&gt;Input!$C$9,Summary!$D$31&lt;&gt;"Included Margin"),0,1),0))</f>
        <v>-4.4999999999999997E-3</v>
      </c>
      <c r="AE89" s="159">
        <f>IF(E89="","",IF(Summary!$D$26="Included Margin",IF(AND($B89&gt;Input!$C$9,Summary!$D$31&lt;&gt;"Included Margin"),1,1/$R89),1))</f>
        <v>1.0357106327083228</v>
      </c>
      <c r="AF89" s="160">
        <f>IF(E89="","",IF(AND($B89&gt;=Input!$C$9,$C89=12,Summary!$D$31="Included Margin",$U89&gt;0),1/U89-1,IF($B89&gt;=Input!$C$9,0,Input!$C$45*IF(Summary!$D$27="Included Margin",1,0))))</f>
        <v>-0.1</v>
      </c>
      <c r="AG89" s="160">
        <f>IF(E89="","",Input!$C$46*IF(Summary!$D$28="Included Margin",IF(AND($B89&gt;Input!$C$9,Summary!$D$31&lt;&gt;"Included Margin"),0,1),0))</f>
        <v>0.02</v>
      </c>
      <c r="AH89" s="158">
        <f>IF(E89="","",Input!$C$47*IF(Summary!$D$29="Included Margin",IF(AND($B89&gt;Input!$C$9,Summary!$D$31&lt;&gt;"Included Margin"),0,1),0))</f>
        <v>2.5000000000000001E-3</v>
      </c>
      <c r="AI89" s="154"/>
      <c r="AJ89" s="158">
        <f t="shared" si="66"/>
        <v>3.6800000000000006E-2</v>
      </c>
      <c r="AK89" s="155">
        <f t="shared" si="67"/>
        <v>3.0161266025487965E-3</v>
      </c>
      <c r="AL89" s="147">
        <f t="shared" si="68"/>
        <v>1.0712160000000001E-3</v>
      </c>
      <c r="AM89" s="147">
        <f t="shared" si="44"/>
        <v>8.9311858285978651E-5</v>
      </c>
      <c r="AN89" s="160">
        <f t="shared" si="69"/>
        <v>0</v>
      </c>
      <c r="AO89" s="161">
        <f t="shared" si="70"/>
        <v>51</v>
      </c>
      <c r="AP89" s="156">
        <f t="shared" si="45"/>
        <v>1.1685390139999128</v>
      </c>
      <c r="AQ89" s="152"/>
      <c r="AR89" s="162">
        <f t="shared" si="46"/>
        <v>604.11743804813364</v>
      </c>
      <c r="AS89" s="150">
        <f t="shared" si="71"/>
        <v>229.99999999999997</v>
      </c>
      <c r="AT89" s="163">
        <f t="shared" si="47"/>
        <v>59.595489713995555</v>
      </c>
      <c r="AU89" s="163">
        <f t="shared" si="48"/>
        <v>8.9311858285978651</v>
      </c>
      <c r="AV89" s="163">
        <f t="shared" si="72"/>
        <v>2.322587459043548</v>
      </c>
      <c r="AW89" s="163">
        <f t="shared" si="49"/>
        <v>6.858989599037095E-2</v>
      </c>
      <c r="AX89" s="163">
        <f t="shared" si="50"/>
        <v>0</v>
      </c>
      <c r="AY89" s="164">
        <f t="shared" si="73"/>
        <v>767.98193986057413</v>
      </c>
      <c r="AZ89" s="164">
        <f>IF($E89="","",IF(OR(AND($D89=Input!$C$6,$C89=12),$AN89=1),0,-AS90+AT90+AU90-AV90-AW90-AX90+AZ90))</f>
        <v>767.98196014178211</v>
      </c>
      <c r="BA89" s="154">
        <f t="shared" si="51"/>
        <v>2.0281207980588078E-5</v>
      </c>
      <c r="BC89" s="147">
        <f t="shared" si="74"/>
        <v>0.65885919144186411</v>
      </c>
      <c r="BD89" s="164">
        <f>IF(AND($C88=12,$D88=Input!$C$6),0,IF($E89="","",AT89+(AU89+BD90)/(1+$AK89)*MIN((1-AM89-AN89),1)))</f>
        <v>2632.2827717139608</v>
      </c>
      <c r="BE89" s="164">
        <f t="shared" si="52"/>
        <v>1734.3036986178092</v>
      </c>
      <c r="BF89" s="164">
        <f t="shared" si="75"/>
        <v>767.98196014178211</v>
      </c>
      <c r="BG89" s="164">
        <f t="shared" si="53"/>
        <v>505.99197330095245</v>
      </c>
      <c r="BH89" s="152"/>
      <c r="BI89" s="162">
        <f t="shared" si="54"/>
        <v>293.20938888774674</v>
      </c>
      <c r="BJ89" s="150">
        <f t="shared" si="55"/>
        <v>229.99999999999997</v>
      </c>
      <c r="BK89" s="163">
        <f t="shared" si="79"/>
        <v>57.434283382464002</v>
      </c>
      <c r="BL89" s="163">
        <f t="shared" si="56"/>
        <v>8.3072721040688968</v>
      </c>
      <c r="BM89" s="163">
        <f t="shared" si="80"/>
        <v>1.5594439410837277</v>
      </c>
      <c r="BN89" s="163">
        <f t="shared" si="57"/>
        <v>3.813581497222588E-2</v>
      </c>
      <c r="BO89" s="163">
        <f t="shared" si="58"/>
        <v>0</v>
      </c>
      <c r="BP89" s="164">
        <f t="shared" si="81"/>
        <v>459.0654131572698</v>
      </c>
      <c r="BQ89" s="164">
        <f>IF($E89="","",IF(AND($D89=Input!$C$6,$C89=12),0,-BJ90+BK90+BL90-BM90-BN90-BO90+BQ90))</f>
        <v>459.06543681826651</v>
      </c>
      <c r="BR89" s="161">
        <f t="shared" si="59"/>
        <v>0</v>
      </c>
      <c r="BT89" s="147">
        <f t="shared" si="60"/>
        <v>0.65885919144186411</v>
      </c>
      <c r="BU89" s="164">
        <f>IF(AND($C88=12,$D88=Input!$C$6),0,IF($E89="","",BK89+(BL89+BU90)/(1+$AK89)*MIN((1-T89-U89),1)))</f>
        <v>4272.4686066568529</v>
      </c>
      <c r="BV89" s="164">
        <f t="shared" si="61"/>
        <v>2814.9552116426817</v>
      </c>
      <c r="BW89" s="164">
        <f t="shared" si="62"/>
        <v>459.06543681826651</v>
      </c>
      <c r="BX89" s="164">
        <f t="shared" si="63"/>
        <v>302.45948252098924</v>
      </c>
    </row>
    <row r="90" spans="1:76" s="150" customFormat="1" x14ac:dyDescent="0.25">
      <c r="A90" s="150">
        <f t="shared" si="76"/>
        <v>86</v>
      </c>
      <c r="B90" s="150">
        <f t="shared" si="77"/>
        <v>8</v>
      </c>
      <c r="C90" s="150">
        <f t="shared" si="78"/>
        <v>2</v>
      </c>
      <c r="D90" s="150">
        <f>IF(E90="","",Input!$C$4+B90-1)</f>
        <v>52</v>
      </c>
      <c r="E90" s="150">
        <f>IF(OR(AND(C89=12,D89=Input!$C$6),E89=""),"",1)</f>
        <v>1</v>
      </c>
      <c r="F90" s="150">
        <f>IF(E90="","",Input!$C$8+B90-1)</f>
        <v>2025</v>
      </c>
      <c r="G90" s="151">
        <f>IF(E90="","",MAX(0,Input!$C$9-B90))</f>
        <v>12</v>
      </c>
      <c r="H90" s="152">
        <f>IF(E90="","",Input!$C$3)</f>
        <v>100000</v>
      </c>
      <c r="I90" s="153">
        <f>IF(E90="","",HLOOKUP($B90,Input!$C$13:$BT$14,2))</f>
        <v>2.2999999999999998</v>
      </c>
      <c r="J90" s="154"/>
      <c r="K90" s="155">
        <f>IF($E90="","",INDEX(Input!$C$16:$CP$16,1,$B90))</f>
        <v>2.63E-2</v>
      </c>
      <c r="L90" s="155">
        <f>IF($E90="","",Input!$C$37)</f>
        <v>1.4999999999999999E-2</v>
      </c>
      <c r="M90" s="155">
        <f t="shared" si="64"/>
        <v>4.1300000000000003E-2</v>
      </c>
      <c r="N90" s="155">
        <f t="shared" si="65"/>
        <v>3.3781876370064801E-3</v>
      </c>
      <c r="O90" s="147">
        <f>IF($E90="","",MIN(VLOOKUP(IF($B90&lt;=Input!$C$7,$B90,26),'Mortality Tables'!$A$41:$CW$67,IF($B90&lt;=Input!$C$7+1,Input!$C$4+2,$D90-Input!$C$7+2),0)*IF(B90&gt;20,Input!$C$22,1)/1000,1))</f>
        <v>1.0319999999999999E-3</v>
      </c>
      <c r="P90" s="147">
        <f>IF($E90="","",MIN(VLOOKUP(IF($B90&lt;=Input!$C$7,$B90,26),'Mortality Tables'!$A$12:$CW$37,IF($B90&lt;=Input!$C$7+1,Input!$C$4+2,$D90-Input!$C$7+2),0)*IF(B90&gt;20,Input!$C$22,1)/1000,1))</f>
        <v>1.2900000000000001E-3</v>
      </c>
      <c r="Q90" s="155">
        <f>IF($E90="","",Input!$C$21)</f>
        <v>5.0000000000000001E-3</v>
      </c>
      <c r="R90" s="159">
        <f>IF($E90="","",(1-Q90)^($F90-Input!$C$20))</f>
        <v>0.96552064680948435</v>
      </c>
      <c r="S90" s="147">
        <f t="shared" si="41"/>
        <v>9.964173075073877E-4</v>
      </c>
      <c r="T90" s="147">
        <f t="shared" si="42"/>
        <v>8.3072721040688968E-5</v>
      </c>
      <c r="U90" s="160">
        <f>IF($E90="","",IF($C90=12,INDEX(Input!$C$15:$CP$15,1,$B90),0))</f>
        <v>0</v>
      </c>
      <c r="V90" s="150">
        <f>IF(E90="","",IF(C90=1,IF($B90=1,Input!$C$33,Input!$C$34),0))</f>
        <v>0</v>
      </c>
      <c r="W90" s="156">
        <f>IF($E90="","",Input!$C$35)</f>
        <v>0.02</v>
      </c>
      <c r="X90" s="156">
        <f t="shared" si="43"/>
        <v>1.14868566764928</v>
      </c>
      <c r="Y90" s="154"/>
      <c r="Z90" s="147">
        <f>IF($E90="","",VLOOKUP($D90,'Mortality Margins &amp; Grading'!$AB$5:$AF$125,3,0)*IF(Summary!$D$25="Included Margin",IF(AND($B90&gt;Input!$C$9,Summary!$D$31&lt;&gt;"Included Margin"),0,1),0))</f>
        <v>3.7999999999999999E-2</v>
      </c>
      <c r="AA90" s="147">
        <f>IF($E90="","",VLOOKUP($D90,'Mortality Margins &amp; Grading'!$AB$5:$AF$125,5,0)*IF(Summary!$D$25="Included Margin",IF(AND($B90&gt;Input!$C$9,Summary!$D$31&lt;&gt;"Included Margin"),0,1),0))</f>
        <v>0.19600000000000001</v>
      </c>
      <c r="AB90" s="147">
        <f>IF($E90="","",IF(AND($B90&gt;Input!$C$9,Summary!$D$31&lt;&gt;"Included Margin"),1,IF(Summary!$D$25="Included Margin",VLOOKUP($B90,'Mortality Margins &amp; Grading'!$AI$5:$AR$125,MATCH('Mortality Margins &amp; Grading'!$AQ$4,'Mortality Margins &amp; Grading'!$AI$4:$AR$4,0),0),1)))</f>
        <v>1</v>
      </c>
      <c r="AC90" s="154"/>
      <c r="AD90" s="158">
        <f>IF(E90="","",Input!$C$48*IF(Summary!$D$30="Included Margin",IF(AND($B90&gt;Input!$C$9,Summary!$D$31&lt;&gt;"Included Margin"),0,1),0))</f>
        <v>-4.4999999999999997E-3</v>
      </c>
      <c r="AE90" s="159">
        <f>IF(E90="","",IF(Summary!$D$26="Included Margin",IF(AND($B90&gt;Input!$C$9,Summary!$D$31&lt;&gt;"Included Margin"),1,1/$R90),1))</f>
        <v>1.0357106327083228</v>
      </c>
      <c r="AF90" s="160">
        <f>IF(E90="","",IF(AND($B90&gt;=Input!$C$9,$C90=12,Summary!$D$31="Included Margin",$U90&gt;0),1/U90-1,IF($B90&gt;=Input!$C$9,0,Input!$C$45*IF(Summary!$D$27="Included Margin",1,0))))</f>
        <v>-0.1</v>
      </c>
      <c r="AG90" s="160">
        <f>IF(E90="","",Input!$C$46*IF(Summary!$D$28="Included Margin",IF(AND($B90&gt;Input!$C$9,Summary!$D$31&lt;&gt;"Included Margin"),0,1),0))</f>
        <v>0.02</v>
      </c>
      <c r="AH90" s="158">
        <f>IF(E90="","",Input!$C$47*IF(Summary!$D$29="Included Margin",IF(AND($B90&gt;Input!$C$9,Summary!$D$31&lt;&gt;"Included Margin"),0,1),0))</f>
        <v>2.5000000000000001E-3</v>
      </c>
      <c r="AI90" s="154"/>
      <c r="AJ90" s="158">
        <f t="shared" si="66"/>
        <v>3.6800000000000006E-2</v>
      </c>
      <c r="AK90" s="155">
        <f t="shared" si="67"/>
        <v>3.0161266025487965E-3</v>
      </c>
      <c r="AL90" s="147">
        <f t="shared" si="68"/>
        <v>1.0712160000000001E-3</v>
      </c>
      <c r="AM90" s="147">
        <f t="shared" si="44"/>
        <v>8.9311858285978651E-5</v>
      </c>
      <c r="AN90" s="160">
        <f t="shared" si="69"/>
        <v>0</v>
      </c>
      <c r="AO90" s="161">
        <f t="shared" si="70"/>
        <v>0</v>
      </c>
      <c r="AP90" s="156">
        <f t="shared" si="45"/>
        <v>1.1685390139999128</v>
      </c>
      <c r="AQ90" s="152"/>
      <c r="AR90" s="162">
        <f t="shared" si="46"/>
        <v>767.98193986057413</v>
      </c>
      <c r="AS90" s="150">
        <f t="shared" si="71"/>
        <v>0</v>
      </c>
      <c r="AT90" s="163">
        <f t="shared" si="47"/>
        <v>0</v>
      </c>
      <c r="AU90" s="163">
        <f t="shared" si="48"/>
        <v>8.9311858285978651</v>
      </c>
      <c r="AV90" s="163">
        <f t="shared" si="72"/>
        <v>2.3028619655055373</v>
      </c>
      <c r="AW90" s="163">
        <f t="shared" si="49"/>
        <v>6.8003981630807175E-2</v>
      </c>
      <c r="AX90" s="163">
        <f t="shared" si="50"/>
        <v>0</v>
      </c>
      <c r="AY90" s="164">
        <f t="shared" si="73"/>
        <v>761.42161997911251</v>
      </c>
      <c r="AZ90" s="164">
        <f>IF($E90="","",IF(OR(AND($D90=Input!$C$6,$C90=12),$AN90=1),0,-AS91+AT91+AU91-AV91-AW91-AX91+AZ91))</f>
        <v>761.4216402603206</v>
      </c>
      <c r="BA90" s="154">
        <f t="shared" si="51"/>
        <v>2.0281208094274916E-5</v>
      </c>
      <c r="BC90" s="147">
        <f t="shared" si="74"/>
        <v>0.65880445821604838</v>
      </c>
      <c r="BD90" s="164">
        <f>IF(AND($C89=12,$D89=Input!$C$6),0,IF($E90="","",AT90+(AU90+BD91)/(1+$AK90)*MIN((1-AM90-AN90),1)))</f>
        <v>2571.7461318095211</v>
      </c>
      <c r="BE90" s="164">
        <f t="shared" si="52"/>
        <v>1694.2778170359898</v>
      </c>
      <c r="BF90" s="164">
        <f t="shared" si="75"/>
        <v>761.4216402603206</v>
      </c>
      <c r="BG90" s="164">
        <f t="shared" si="53"/>
        <v>501.62797118567539</v>
      </c>
      <c r="BH90" s="152"/>
      <c r="BI90" s="162">
        <f t="shared" si="54"/>
        <v>459.0654131572698</v>
      </c>
      <c r="BJ90" s="150">
        <f t="shared" si="55"/>
        <v>0</v>
      </c>
      <c r="BK90" s="163">
        <f t="shared" si="79"/>
        <v>0</v>
      </c>
      <c r="BL90" s="163">
        <f t="shared" si="56"/>
        <v>8.3072721040688968</v>
      </c>
      <c r="BM90" s="163">
        <f t="shared" si="80"/>
        <v>1.5367773413455534</v>
      </c>
      <c r="BN90" s="163">
        <f t="shared" si="57"/>
        <v>3.7576493131026283E-2</v>
      </c>
      <c r="BO90" s="163">
        <f t="shared" si="58"/>
        <v>0</v>
      </c>
      <c r="BP90" s="164">
        <f t="shared" si="81"/>
        <v>452.33249488767751</v>
      </c>
      <c r="BQ90" s="164">
        <f>IF($E90="","",IF(AND($D90=Input!$C$6,$C90=12),0,-BJ91+BK91+BL91-BM91-BN91-BO91+BQ91))</f>
        <v>452.33251854867422</v>
      </c>
      <c r="BR90" s="161">
        <f t="shared" si="59"/>
        <v>0</v>
      </c>
      <c r="BT90" s="147">
        <f t="shared" si="60"/>
        <v>0.65880445821604838</v>
      </c>
      <c r="BU90" s="164">
        <f>IF(AND($C89=12,$D89=Input!$C$6),0,IF($E90="","",BK90+(BL90+BU91)/(1+$AK90)*MIN((1-T90-U90),1)))</f>
        <v>4219.7913679822641</v>
      </c>
      <c r="BV90" s="164">
        <f t="shared" si="61"/>
        <v>2780.0173659683132</v>
      </c>
      <c r="BW90" s="164">
        <f t="shared" si="62"/>
        <v>452.33251854867422</v>
      </c>
      <c r="BX90" s="164">
        <f t="shared" si="63"/>
        <v>297.99867981595997</v>
      </c>
    </row>
    <row r="91" spans="1:76" s="150" customFormat="1" x14ac:dyDescent="0.25">
      <c r="A91" s="150">
        <f t="shared" si="76"/>
        <v>87</v>
      </c>
      <c r="B91" s="150">
        <f t="shared" si="77"/>
        <v>8</v>
      </c>
      <c r="C91" s="150">
        <f t="shared" si="78"/>
        <v>3</v>
      </c>
      <c r="D91" s="150">
        <f>IF(E91="","",Input!$C$4+B91-1)</f>
        <v>52</v>
      </c>
      <c r="E91" s="150">
        <f>IF(OR(AND(C90=12,D90=Input!$C$6),E90=""),"",1)</f>
        <v>1</v>
      </c>
      <c r="F91" s="150">
        <f>IF(E91="","",Input!$C$8+B91-1)</f>
        <v>2025</v>
      </c>
      <c r="G91" s="151">
        <f>IF(E91="","",MAX(0,Input!$C$9-B91))</f>
        <v>12</v>
      </c>
      <c r="H91" s="152">
        <f>IF(E91="","",Input!$C$3)</f>
        <v>100000</v>
      </c>
      <c r="I91" s="153">
        <f>IF(E91="","",HLOOKUP($B91,Input!$C$13:$BT$14,2))</f>
        <v>2.2999999999999998</v>
      </c>
      <c r="J91" s="154"/>
      <c r="K91" s="155">
        <f>IF($E91="","",INDEX(Input!$C$16:$CP$16,1,$B91))</f>
        <v>2.63E-2</v>
      </c>
      <c r="L91" s="155">
        <f>IF($E91="","",Input!$C$37)</f>
        <v>1.4999999999999999E-2</v>
      </c>
      <c r="M91" s="155">
        <f t="shared" si="64"/>
        <v>4.1300000000000003E-2</v>
      </c>
      <c r="N91" s="155">
        <f t="shared" si="65"/>
        <v>3.3781876370064801E-3</v>
      </c>
      <c r="O91" s="147">
        <f>IF($E91="","",MIN(VLOOKUP(IF($B91&lt;=Input!$C$7,$B91,26),'Mortality Tables'!$A$41:$CW$67,IF($B91&lt;=Input!$C$7+1,Input!$C$4+2,$D91-Input!$C$7+2),0)*IF(B91&gt;20,Input!$C$22,1)/1000,1))</f>
        <v>1.0319999999999999E-3</v>
      </c>
      <c r="P91" s="147">
        <f>IF($E91="","",MIN(VLOOKUP(IF($B91&lt;=Input!$C$7,$B91,26),'Mortality Tables'!$A$12:$CW$37,IF($B91&lt;=Input!$C$7+1,Input!$C$4+2,$D91-Input!$C$7+2),0)*IF(B91&gt;20,Input!$C$22,1)/1000,1))</f>
        <v>1.2900000000000001E-3</v>
      </c>
      <c r="Q91" s="155">
        <f>IF($E91="","",Input!$C$21)</f>
        <v>5.0000000000000001E-3</v>
      </c>
      <c r="R91" s="159">
        <f>IF($E91="","",(1-Q91)^($F91-Input!$C$20))</f>
        <v>0.96552064680948435</v>
      </c>
      <c r="S91" s="147">
        <f t="shared" si="41"/>
        <v>9.964173075073877E-4</v>
      </c>
      <c r="T91" s="147">
        <f t="shared" si="42"/>
        <v>8.3072721040688968E-5</v>
      </c>
      <c r="U91" s="160">
        <f>IF($E91="","",IF($C91=12,INDEX(Input!$C$15:$CP$15,1,$B91),0))</f>
        <v>0</v>
      </c>
      <c r="V91" s="150">
        <f>IF(E91="","",IF(C91=1,IF($B91=1,Input!$C$33,Input!$C$34),0))</f>
        <v>0</v>
      </c>
      <c r="W91" s="156">
        <f>IF($E91="","",Input!$C$35)</f>
        <v>0.02</v>
      </c>
      <c r="X91" s="156">
        <f t="shared" si="43"/>
        <v>1.14868566764928</v>
      </c>
      <c r="Y91" s="154"/>
      <c r="Z91" s="147">
        <f>IF($E91="","",VLOOKUP($D91,'Mortality Margins &amp; Grading'!$AB$5:$AF$125,3,0)*IF(Summary!$D$25="Included Margin",IF(AND($B91&gt;Input!$C$9,Summary!$D$31&lt;&gt;"Included Margin"),0,1),0))</f>
        <v>3.7999999999999999E-2</v>
      </c>
      <c r="AA91" s="147">
        <f>IF($E91="","",VLOOKUP($D91,'Mortality Margins &amp; Grading'!$AB$5:$AF$125,5,0)*IF(Summary!$D$25="Included Margin",IF(AND($B91&gt;Input!$C$9,Summary!$D$31&lt;&gt;"Included Margin"),0,1),0))</f>
        <v>0.19600000000000001</v>
      </c>
      <c r="AB91" s="147">
        <f>IF($E91="","",IF(AND($B91&gt;Input!$C$9,Summary!$D$31&lt;&gt;"Included Margin"),1,IF(Summary!$D$25="Included Margin",VLOOKUP($B91,'Mortality Margins &amp; Grading'!$AI$5:$AR$125,MATCH('Mortality Margins &amp; Grading'!$AQ$4,'Mortality Margins &amp; Grading'!$AI$4:$AR$4,0),0),1)))</f>
        <v>1</v>
      </c>
      <c r="AC91" s="154"/>
      <c r="AD91" s="158">
        <f>IF(E91="","",Input!$C$48*IF(Summary!$D$30="Included Margin",IF(AND($B91&gt;Input!$C$9,Summary!$D$31&lt;&gt;"Included Margin"),0,1),0))</f>
        <v>-4.4999999999999997E-3</v>
      </c>
      <c r="AE91" s="159">
        <f>IF(E91="","",IF(Summary!$D$26="Included Margin",IF(AND($B91&gt;Input!$C$9,Summary!$D$31&lt;&gt;"Included Margin"),1,1/$R91),1))</f>
        <v>1.0357106327083228</v>
      </c>
      <c r="AF91" s="160">
        <f>IF(E91="","",IF(AND($B91&gt;=Input!$C$9,$C91=12,Summary!$D$31="Included Margin",$U91&gt;0),1/U91-1,IF($B91&gt;=Input!$C$9,0,Input!$C$45*IF(Summary!$D$27="Included Margin",1,0))))</f>
        <v>-0.1</v>
      </c>
      <c r="AG91" s="160">
        <f>IF(E91="","",Input!$C$46*IF(Summary!$D$28="Included Margin",IF(AND($B91&gt;Input!$C$9,Summary!$D$31&lt;&gt;"Included Margin"),0,1),0))</f>
        <v>0.02</v>
      </c>
      <c r="AH91" s="158">
        <f>IF(E91="","",Input!$C$47*IF(Summary!$D$29="Included Margin",IF(AND($B91&gt;Input!$C$9,Summary!$D$31&lt;&gt;"Included Margin"),0,1),0))</f>
        <v>2.5000000000000001E-3</v>
      </c>
      <c r="AI91" s="154"/>
      <c r="AJ91" s="158">
        <f t="shared" si="66"/>
        <v>3.6800000000000006E-2</v>
      </c>
      <c r="AK91" s="155">
        <f t="shared" si="67"/>
        <v>3.0161266025487965E-3</v>
      </c>
      <c r="AL91" s="147">
        <f t="shared" si="68"/>
        <v>1.0712160000000001E-3</v>
      </c>
      <c r="AM91" s="147">
        <f t="shared" si="44"/>
        <v>8.9311858285978651E-5</v>
      </c>
      <c r="AN91" s="160">
        <f t="shared" si="69"/>
        <v>0</v>
      </c>
      <c r="AO91" s="161">
        <f t="shared" si="70"/>
        <v>0</v>
      </c>
      <c r="AP91" s="156">
        <f t="shared" si="45"/>
        <v>1.1685390139999128</v>
      </c>
      <c r="AQ91" s="152"/>
      <c r="AR91" s="162">
        <f t="shared" si="46"/>
        <v>761.42161997911262</v>
      </c>
      <c r="AS91" s="150">
        <f t="shared" si="71"/>
        <v>0</v>
      </c>
      <c r="AT91" s="163">
        <f t="shared" si="47"/>
        <v>0</v>
      </c>
      <c r="AU91" s="163">
        <f t="shared" si="48"/>
        <v>8.9311858285978651</v>
      </c>
      <c r="AV91" s="163">
        <f t="shared" si="72"/>
        <v>2.2830752101898315</v>
      </c>
      <c r="AW91" s="163">
        <f t="shared" si="49"/>
        <v>6.7416247587737135E-2</v>
      </c>
      <c r="AX91" s="163">
        <f t="shared" si="50"/>
        <v>0</v>
      </c>
      <c r="AY91" s="164">
        <f t="shared" si="73"/>
        <v>754.84092560829231</v>
      </c>
      <c r="AZ91" s="164">
        <f>IF($E91="","",IF(OR(AND($D91=Input!$C$6,$C91=12),$AN91=1),0,-AS92+AT92+AU92-AV92-AW92-AX92+AZ92))</f>
        <v>754.84094588950029</v>
      </c>
      <c r="BA91" s="154">
        <f t="shared" si="51"/>
        <v>2.0281207980588078E-5</v>
      </c>
      <c r="BC91" s="147">
        <f t="shared" si="74"/>
        <v>0.65874972953707067</v>
      </c>
      <c r="BD91" s="164">
        <f>IF(AND($C90=12,$D90=Input!$C$6),0,IF($E91="","",AT91+(AU91+BD92)/(1+$AK91)*MIN((1-AM91-AN91),1)))</f>
        <v>2570.8020586740245</v>
      </c>
      <c r="BE91" s="164">
        <f t="shared" si="52"/>
        <v>1693.5151608448582</v>
      </c>
      <c r="BF91" s="164">
        <f t="shared" si="75"/>
        <v>754.84094588950029</v>
      </c>
      <c r="BG91" s="164">
        <f t="shared" si="53"/>
        <v>497.25126894821489</v>
      </c>
      <c r="BH91" s="152"/>
      <c r="BI91" s="162">
        <f t="shared" si="54"/>
        <v>452.33249488767746</v>
      </c>
      <c r="BJ91" s="150">
        <f t="shared" si="55"/>
        <v>0</v>
      </c>
      <c r="BK91" s="163">
        <f t="shared" si="79"/>
        <v>0</v>
      </c>
      <c r="BL91" s="163">
        <f t="shared" si="56"/>
        <v>8.3072721040688968</v>
      </c>
      <c r="BM91" s="163">
        <f t="shared" si="80"/>
        <v>1.5140322800862416</v>
      </c>
      <c r="BN91" s="163">
        <f t="shared" si="57"/>
        <v>3.7015235170471644E-2</v>
      </c>
      <c r="BO91" s="163">
        <f t="shared" si="58"/>
        <v>0</v>
      </c>
      <c r="BP91" s="164">
        <f t="shared" si="81"/>
        <v>445.57627029886532</v>
      </c>
      <c r="BQ91" s="164">
        <f>IF($E91="","",IF(AND($D91=Input!$C$6,$C91=12),0,-BJ92+BK92+BL92-BM92-BN92-BO92+BQ92))</f>
        <v>445.57629395986203</v>
      </c>
      <c r="BR91" s="161">
        <f t="shared" si="59"/>
        <v>0</v>
      </c>
      <c r="BT91" s="147">
        <f t="shared" si="60"/>
        <v>0.65874972953707067</v>
      </c>
      <c r="BU91" s="164">
        <f>IF(AND($C90=12,$D90=Input!$C$6),0,IF($E91="","",BK91+(BL91+BU92)/(1+$AK91)*MIN((1-T91-U91),1)))</f>
        <v>4224.563156944726</v>
      </c>
      <c r="BV91" s="164">
        <f t="shared" si="61"/>
        <v>2782.9298370496117</v>
      </c>
      <c r="BW91" s="164">
        <f t="shared" si="62"/>
        <v>445.57629395986203</v>
      </c>
      <c r="BX91" s="164">
        <f t="shared" si="63"/>
        <v>293.52326313418939</v>
      </c>
    </row>
    <row r="92" spans="1:76" s="150" customFormat="1" x14ac:dyDescent="0.25">
      <c r="A92" s="150">
        <f t="shared" si="76"/>
        <v>88</v>
      </c>
      <c r="B92" s="150">
        <f t="shared" si="77"/>
        <v>8</v>
      </c>
      <c r="C92" s="150">
        <f t="shared" si="78"/>
        <v>4</v>
      </c>
      <c r="D92" s="150">
        <f>IF(E92="","",Input!$C$4+B92-1)</f>
        <v>52</v>
      </c>
      <c r="E92" s="150">
        <f>IF(OR(AND(C91=12,D91=Input!$C$6),E91=""),"",1)</f>
        <v>1</v>
      </c>
      <c r="F92" s="150">
        <f>IF(E92="","",Input!$C$8+B92-1)</f>
        <v>2025</v>
      </c>
      <c r="G92" s="151">
        <f>IF(E92="","",MAX(0,Input!$C$9-B92))</f>
        <v>12</v>
      </c>
      <c r="H92" s="152">
        <f>IF(E92="","",Input!$C$3)</f>
        <v>100000</v>
      </c>
      <c r="I92" s="153">
        <f>IF(E92="","",HLOOKUP($B92,Input!$C$13:$BT$14,2))</f>
        <v>2.2999999999999998</v>
      </c>
      <c r="J92" s="154"/>
      <c r="K92" s="155">
        <f>IF($E92="","",INDEX(Input!$C$16:$CP$16,1,$B92))</f>
        <v>2.63E-2</v>
      </c>
      <c r="L92" s="155">
        <f>IF($E92="","",Input!$C$37)</f>
        <v>1.4999999999999999E-2</v>
      </c>
      <c r="M92" s="155">
        <f t="shared" si="64"/>
        <v>4.1300000000000003E-2</v>
      </c>
      <c r="N92" s="155">
        <f t="shared" si="65"/>
        <v>3.3781876370064801E-3</v>
      </c>
      <c r="O92" s="147">
        <f>IF($E92="","",MIN(VLOOKUP(IF($B92&lt;=Input!$C$7,$B92,26),'Mortality Tables'!$A$41:$CW$67,IF($B92&lt;=Input!$C$7+1,Input!$C$4+2,$D92-Input!$C$7+2),0)*IF(B92&gt;20,Input!$C$22,1)/1000,1))</f>
        <v>1.0319999999999999E-3</v>
      </c>
      <c r="P92" s="147">
        <f>IF($E92="","",MIN(VLOOKUP(IF($B92&lt;=Input!$C$7,$B92,26),'Mortality Tables'!$A$12:$CW$37,IF($B92&lt;=Input!$C$7+1,Input!$C$4+2,$D92-Input!$C$7+2),0)*IF(B92&gt;20,Input!$C$22,1)/1000,1))</f>
        <v>1.2900000000000001E-3</v>
      </c>
      <c r="Q92" s="155">
        <f>IF($E92="","",Input!$C$21)</f>
        <v>5.0000000000000001E-3</v>
      </c>
      <c r="R92" s="159">
        <f>IF($E92="","",(1-Q92)^($F92-Input!$C$20))</f>
        <v>0.96552064680948435</v>
      </c>
      <c r="S92" s="147">
        <f t="shared" si="41"/>
        <v>9.964173075073877E-4</v>
      </c>
      <c r="T92" s="147">
        <f t="shared" si="42"/>
        <v>8.3072721040688968E-5</v>
      </c>
      <c r="U92" s="160">
        <f>IF($E92="","",IF($C92=12,INDEX(Input!$C$15:$CP$15,1,$B92),0))</f>
        <v>0</v>
      </c>
      <c r="V92" s="150">
        <f>IF(E92="","",IF(C92=1,IF($B92=1,Input!$C$33,Input!$C$34),0))</f>
        <v>0</v>
      </c>
      <c r="W92" s="156">
        <f>IF($E92="","",Input!$C$35)</f>
        <v>0.02</v>
      </c>
      <c r="X92" s="156">
        <f t="shared" si="43"/>
        <v>1.14868566764928</v>
      </c>
      <c r="Y92" s="154"/>
      <c r="Z92" s="147">
        <f>IF($E92="","",VLOOKUP($D92,'Mortality Margins &amp; Grading'!$AB$5:$AF$125,3,0)*IF(Summary!$D$25="Included Margin",IF(AND($B92&gt;Input!$C$9,Summary!$D$31&lt;&gt;"Included Margin"),0,1),0))</f>
        <v>3.7999999999999999E-2</v>
      </c>
      <c r="AA92" s="147">
        <f>IF($E92="","",VLOOKUP($D92,'Mortality Margins &amp; Grading'!$AB$5:$AF$125,5,0)*IF(Summary!$D$25="Included Margin",IF(AND($B92&gt;Input!$C$9,Summary!$D$31&lt;&gt;"Included Margin"),0,1),0))</f>
        <v>0.19600000000000001</v>
      </c>
      <c r="AB92" s="147">
        <f>IF($E92="","",IF(AND($B92&gt;Input!$C$9,Summary!$D$31&lt;&gt;"Included Margin"),1,IF(Summary!$D$25="Included Margin",VLOOKUP($B92,'Mortality Margins &amp; Grading'!$AI$5:$AR$125,MATCH('Mortality Margins &amp; Grading'!$AQ$4,'Mortality Margins &amp; Grading'!$AI$4:$AR$4,0),0),1)))</f>
        <v>1</v>
      </c>
      <c r="AC92" s="154"/>
      <c r="AD92" s="158">
        <f>IF(E92="","",Input!$C$48*IF(Summary!$D$30="Included Margin",IF(AND($B92&gt;Input!$C$9,Summary!$D$31&lt;&gt;"Included Margin"),0,1),0))</f>
        <v>-4.4999999999999997E-3</v>
      </c>
      <c r="AE92" s="159">
        <f>IF(E92="","",IF(Summary!$D$26="Included Margin",IF(AND($B92&gt;Input!$C$9,Summary!$D$31&lt;&gt;"Included Margin"),1,1/$R92),1))</f>
        <v>1.0357106327083228</v>
      </c>
      <c r="AF92" s="160">
        <f>IF(E92="","",IF(AND($B92&gt;=Input!$C$9,$C92=12,Summary!$D$31="Included Margin",$U92&gt;0),1/U92-1,IF($B92&gt;=Input!$C$9,0,Input!$C$45*IF(Summary!$D$27="Included Margin",1,0))))</f>
        <v>-0.1</v>
      </c>
      <c r="AG92" s="160">
        <f>IF(E92="","",Input!$C$46*IF(Summary!$D$28="Included Margin",IF(AND($B92&gt;Input!$C$9,Summary!$D$31&lt;&gt;"Included Margin"),0,1),0))</f>
        <v>0.02</v>
      </c>
      <c r="AH92" s="158">
        <f>IF(E92="","",Input!$C$47*IF(Summary!$D$29="Included Margin",IF(AND($B92&gt;Input!$C$9,Summary!$D$31&lt;&gt;"Included Margin"),0,1),0))</f>
        <v>2.5000000000000001E-3</v>
      </c>
      <c r="AI92" s="154"/>
      <c r="AJ92" s="158">
        <f t="shared" si="66"/>
        <v>3.6800000000000006E-2</v>
      </c>
      <c r="AK92" s="155">
        <f t="shared" si="67"/>
        <v>3.0161266025487965E-3</v>
      </c>
      <c r="AL92" s="147">
        <f t="shared" si="68"/>
        <v>1.0712160000000001E-3</v>
      </c>
      <c r="AM92" s="147">
        <f t="shared" si="44"/>
        <v>8.9311858285978651E-5</v>
      </c>
      <c r="AN92" s="160">
        <f t="shared" si="69"/>
        <v>0</v>
      </c>
      <c r="AO92" s="161">
        <f t="shared" si="70"/>
        <v>0</v>
      </c>
      <c r="AP92" s="156">
        <f t="shared" si="45"/>
        <v>1.1685390139999128</v>
      </c>
      <c r="AQ92" s="152"/>
      <c r="AR92" s="162">
        <f t="shared" si="46"/>
        <v>754.84092560829231</v>
      </c>
      <c r="AS92" s="150">
        <f t="shared" si="71"/>
        <v>0</v>
      </c>
      <c r="AT92" s="163">
        <f t="shared" si="47"/>
        <v>0</v>
      </c>
      <c r="AU92" s="163">
        <f t="shared" si="48"/>
        <v>8.9311858285978651</v>
      </c>
      <c r="AV92" s="163">
        <f t="shared" si="72"/>
        <v>2.2632270028347574</v>
      </c>
      <c r="AW92" s="163">
        <f t="shared" si="49"/>
        <v>6.6826688209740942E-2</v>
      </c>
      <c r="AX92" s="163">
        <f t="shared" si="50"/>
        <v>0</v>
      </c>
      <c r="AY92" s="164">
        <f t="shared" si="73"/>
        <v>748.23979347073896</v>
      </c>
      <c r="AZ92" s="164">
        <f>IF($E92="","",IF(OR(AND($D92=Input!$C$6,$C92=12),$AN92=1),0,-AS93+AT93+AU93-AV93-AW93-AX93+AZ93))</f>
        <v>748.23981375194694</v>
      </c>
      <c r="BA92" s="154">
        <f t="shared" si="51"/>
        <v>2.0281207980588078E-5</v>
      </c>
      <c r="BC92" s="147">
        <f t="shared" si="74"/>
        <v>0.65869500540455317</v>
      </c>
      <c r="BD92" s="164">
        <f>IF(AND($C91=12,$D91=Input!$C$6),0,IF($E92="","",AT92+(AU92+BD93)/(1+$AK92)*MIN((1-AM92-AN92),1)))</f>
        <v>2569.8550535156387</v>
      </c>
      <c r="BE92" s="164">
        <f t="shared" si="52"/>
        <v>1692.7506883644019</v>
      </c>
      <c r="BF92" s="164">
        <f t="shared" si="75"/>
        <v>748.23981375194694</v>
      </c>
      <c r="BG92" s="164">
        <f t="shared" si="53"/>
        <v>492.86182816324055</v>
      </c>
      <c r="BH92" s="152"/>
      <c r="BI92" s="162">
        <f t="shared" si="54"/>
        <v>445.57627029886527</v>
      </c>
      <c r="BJ92" s="150">
        <f t="shared" si="55"/>
        <v>0</v>
      </c>
      <c r="BK92" s="163">
        <f t="shared" si="79"/>
        <v>0</v>
      </c>
      <c r="BL92" s="163">
        <f t="shared" si="56"/>
        <v>8.3072721040688968</v>
      </c>
      <c r="BM92" s="163">
        <f t="shared" si="80"/>
        <v>1.491208485707477</v>
      </c>
      <c r="BN92" s="163">
        <f t="shared" si="57"/>
        <v>3.6452034388592042E-2</v>
      </c>
      <c r="BO92" s="163">
        <f t="shared" si="58"/>
        <v>0</v>
      </c>
      <c r="BP92" s="164">
        <f t="shared" si="81"/>
        <v>438.79665871489249</v>
      </c>
      <c r="BQ92" s="164">
        <f>IF($E92="","",IF(AND($D92=Input!$C$6,$C92=12),0,-BJ93+BK93+BL93-BM93-BN93-BO93+BQ93))</f>
        <v>438.79668237588919</v>
      </c>
      <c r="BR92" s="161">
        <f t="shared" si="59"/>
        <v>0</v>
      </c>
      <c r="BT92" s="147">
        <f t="shared" si="60"/>
        <v>0.65869500540455317</v>
      </c>
      <c r="BU92" s="164">
        <f>IF(AND($C91=12,$D91=Input!$C$6),0,IF($E92="","",BK92+(BL92+BU93)/(1+$AK92)*MIN((1-T92-U92),1)))</f>
        <v>4229.3497358609538</v>
      </c>
      <c r="BV92" s="164">
        <f t="shared" si="61"/>
        <v>2785.8515471206765</v>
      </c>
      <c r="BW92" s="164">
        <f t="shared" si="62"/>
        <v>438.79668237588919</v>
      </c>
      <c r="BX92" s="164">
        <f t="shared" si="63"/>
        <v>289.03318306908631</v>
      </c>
    </row>
    <row r="93" spans="1:76" s="150" customFormat="1" x14ac:dyDescent="0.25">
      <c r="A93" s="150">
        <f t="shared" si="76"/>
        <v>89</v>
      </c>
      <c r="B93" s="150">
        <f t="shared" si="77"/>
        <v>8</v>
      </c>
      <c r="C93" s="150">
        <f t="shared" si="78"/>
        <v>5</v>
      </c>
      <c r="D93" s="150">
        <f>IF(E93="","",Input!$C$4+B93-1)</f>
        <v>52</v>
      </c>
      <c r="E93" s="150">
        <f>IF(OR(AND(C92=12,D92=Input!$C$6),E92=""),"",1)</f>
        <v>1</v>
      </c>
      <c r="F93" s="150">
        <f>IF(E93="","",Input!$C$8+B93-1)</f>
        <v>2025</v>
      </c>
      <c r="G93" s="151">
        <f>IF(E93="","",MAX(0,Input!$C$9-B93))</f>
        <v>12</v>
      </c>
      <c r="H93" s="152">
        <f>IF(E93="","",Input!$C$3)</f>
        <v>100000</v>
      </c>
      <c r="I93" s="153">
        <f>IF(E93="","",HLOOKUP($B93,Input!$C$13:$BT$14,2))</f>
        <v>2.2999999999999998</v>
      </c>
      <c r="J93" s="154"/>
      <c r="K93" s="155">
        <f>IF($E93="","",INDEX(Input!$C$16:$CP$16,1,$B93))</f>
        <v>2.63E-2</v>
      </c>
      <c r="L93" s="155">
        <f>IF($E93="","",Input!$C$37)</f>
        <v>1.4999999999999999E-2</v>
      </c>
      <c r="M93" s="155">
        <f t="shared" si="64"/>
        <v>4.1300000000000003E-2</v>
      </c>
      <c r="N93" s="155">
        <f t="shared" si="65"/>
        <v>3.3781876370064801E-3</v>
      </c>
      <c r="O93" s="147">
        <f>IF($E93="","",MIN(VLOOKUP(IF($B93&lt;=Input!$C$7,$B93,26),'Mortality Tables'!$A$41:$CW$67,IF($B93&lt;=Input!$C$7+1,Input!$C$4+2,$D93-Input!$C$7+2),0)*IF(B93&gt;20,Input!$C$22,1)/1000,1))</f>
        <v>1.0319999999999999E-3</v>
      </c>
      <c r="P93" s="147">
        <f>IF($E93="","",MIN(VLOOKUP(IF($B93&lt;=Input!$C$7,$B93,26),'Mortality Tables'!$A$12:$CW$37,IF($B93&lt;=Input!$C$7+1,Input!$C$4+2,$D93-Input!$C$7+2),0)*IF(B93&gt;20,Input!$C$22,1)/1000,1))</f>
        <v>1.2900000000000001E-3</v>
      </c>
      <c r="Q93" s="155">
        <f>IF($E93="","",Input!$C$21)</f>
        <v>5.0000000000000001E-3</v>
      </c>
      <c r="R93" s="159">
        <f>IF($E93="","",(1-Q93)^($F93-Input!$C$20))</f>
        <v>0.96552064680948435</v>
      </c>
      <c r="S93" s="147">
        <f t="shared" si="41"/>
        <v>9.964173075073877E-4</v>
      </c>
      <c r="T93" s="147">
        <f t="shared" si="42"/>
        <v>8.3072721040688968E-5</v>
      </c>
      <c r="U93" s="160">
        <f>IF($E93="","",IF($C93=12,INDEX(Input!$C$15:$CP$15,1,$B93),0))</f>
        <v>0</v>
      </c>
      <c r="V93" s="150">
        <f>IF(E93="","",IF(C93=1,IF($B93=1,Input!$C$33,Input!$C$34),0))</f>
        <v>0</v>
      </c>
      <c r="W93" s="156">
        <f>IF($E93="","",Input!$C$35)</f>
        <v>0.02</v>
      </c>
      <c r="X93" s="156">
        <f t="shared" si="43"/>
        <v>1.14868566764928</v>
      </c>
      <c r="Y93" s="154"/>
      <c r="Z93" s="147">
        <f>IF($E93="","",VLOOKUP($D93,'Mortality Margins &amp; Grading'!$AB$5:$AF$125,3,0)*IF(Summary!$D$25="Included Margin",IF(AND($B93&gt;Input!$C$9,Summary!$D$31&lt;&gt;"Included Margin"),0,1),0))</f>
        <v>3.7999999999999999E-2</v>
      </c>
      <c r="AA93" s="147">
        <f>IF($E93="","",VLOOKUP($D93,'Mortality Margins &amp; Grading'!$AB$5:$AF$125,5,0)*IF(Summary!$D$25="Included Margin",IF(AND($B93&gt;Input!$C$9,Summary!$D$31&lt;&gt;"Included Margin"),0,1),0))</f>
        <v>0.19600000000000001</v>
      </c>
      <c r="AB93" s="147">
        <f>IF($E93="","",IF(AND($B93&gt;Input!$C$9,Summary!$D$31&lt;&gt;"Included Margin"),1,IF(Summary!$D$25="Included Margin",VLOOKUP($B93,'Mortality Margins &amp; Grading'!$AI$5:$AR$125,MATCH('Mortality Margins &amp; Grading'!$AQ$4,'Mortality Margins &amp; Grading'!$AI$4:$AR$4,0),0),1)))</f>
        <v>1</v>
      </c>
      <c r="AC93" s="154"/>
      <c r="AD93" s="158">
        <f>IF(E93="","",Input!$C$48*IF(Summary!$D$30="Included Margin",IF(AND($B93&gt;Input!$C$9,Summary!$D$31&lt;&gt;"Included Margin"),0,1),0))</f>
        <v>-4.4999999999999997E-3</v>
      </c>
      <c r="AE93" s="159">
        <f>IF(E93="","",IF(Summary!$D$26="Included Margin",IF(AND($B93&gt;Input!$C$9,Summary!$D$31&lt;&gt;"Included Margin"),1,1/$R93),1))</f>
        <v>1.0357106327083228</v>
      </c>
      <c r="AF93" s="160">
        <f>IF(E93="","",IF(AND($B93&gt;=Input!$C$9,$C93=12,Summary!$D$31="Included Margin",$U93&gt;0),1/U93-1,IF($B93&gt;=Input!$C$9,0,Input!$C$45*IF(Summary!$D$27="Included Margin",1,0))))</f>
        <v>-0.1</v>
      </c>
      <c r="AG93" s="160">
        <f>IF(E93="","",Input!$C$46*IF(Summary!$D$28="Included Margin",IF(AND($B93&gt;Input!$C$9,Summary!$D$31&lt;&gt;"Included Margin"),0,1),0))</f>
        <v>0.02</v>
      </c>
      <c r="AH93" s="158">
        <f>IF(E93="","",Input!$C$47*IF(Summary!$D$29="Included Margin",IF(AND($B93&gt;Input!$C$9,Summary!$D$31&lt;&gt;"Included Margin"),0,1),0))</f>
        <v>2.5000000000000001E-3</v>
      </c>
      <c r="AI93" s="154"/>
      <c r="AJ93" s="158">
        <f t="shared" si="66"/>
        <v>3.6800000000000006E-2</v>
      </c>
      <c r="AK93" s="155">
        <f t="shared" si="67"/>
        <v>3.0161266025487965E-3</v>
      </c>
      <c r="AL93" s="147">
        <f t="shared" si="68"/>
        <v>1.0712160000000001E-3</v>
      </c>
      <c r="AM93" s="147">
        <f t="shared" si="44"/>
        <v>8.9311858285978651E-5</v>
      </c>
      <c r="AN93" s="160">
        <f t="shared" si="69"/>
        <v>0</v>
      </c>
      <c r="AO93" s="161">
        <f t="shared" si="70"/>
        <v>0</v>
      </c>
      <c r="AP93" s="156">
        <f t="shared" si="45"/>
        <v>1.1685390139999128</v>
      </c>
      <c r="AQ93" s="152"/>
      <c r="AR93" s="162">
        <f t="shared" si="46"/>
        <v>748.23979347073896</v>
      </c>
      <c r="AS93" s="150">
        <f t="shared" si="71"/>
        <v>0</v>
      </c>
      <c r="AT93" s="163">
        <f t="shared" si="47"/>
        <v>0</v>
      </c>
      <c r="AU93" s="163">
        <f t="shared" si="48"/>
        <v>8.9311858285978651</v>
      </c>
      <c r="AV93" s="163">
        <f t="shared" si="72"/>
        <v>2.2433171525877427</v>
      </c>
      <c r="AW93" s="163">
        <f t="shared" si="49"/>
        <v>6.6235297827847026E-2</v>
      </c>
      <c r="AX93" s="163">
        <f t="shared" si="50"/>
        <v>0</v>
      </c>
      <c r="AY93" s="164">
        <f t="shared" si="73"/>
        <v>741.61816009255665</v>
      </c>
      <c r="AZ93" s="164">
        <f>IF($E93="","",IF(OR(AND($D93=Input!$C$6,$C93=12),$AN93=1),0,-AS94+AT94+AU94-AV94-AW94-AX94+AZ94))</f>
        <v>741.61818037376463</v>
      </c>
      <c r="BA93" s="154">
        <f t="shared" si="51"/>
        <v>2.0281207980588078E-5</v>
      </c>
      <c r="BC93" s="147">
        <f t="shared" si="74"/>
        <v>0.65864028581811829</v>
      </c>
      <c r="BD93" s="164">
        <f>IF(AND($C92=12,$D92=Input!$C$6),0,IF($E93="","",AT93+(AU93+BD94)/(1+$AK93)*MIN((1-AM93-AN93),1)))</f>
        <v>2568.9051072283337</v>
      </c>
      <c r="BE93" s="164">
        <f t="shared" si="52"/>
        <v>1691.9843940644935</v>
      </c>
      <c r="BF93" s="164">
        <f t="shared" si="75"/>
        <v>741.61818037376463</v>
      </c>
      <c r="BG93" s="164">
        <f t="shared" si="53"/>
        <v>488.45961028928912</v>
      </c>
      <c r="BH93" s="152"/>
      <c r="BI93" s="162">
        <f t="shared" si="54"/>
        <v>438.79665871489243</v>
      </c>
      <c r="BJ93" s="150">
        <f t="shared" si="55"/>
        <v>0</v>
      </c>
      <c r="BK93" s="163">
        <f t="shared" si="79"/>
        <v>0</v>
      </c>
      <c r="BL93" s="163">
        <f t="shared" si="56"/>
        <v>8.3072721040688968</v>
      </c>
      <c r="BM93" s="163">
        <f t="shared" si="80"/>
        <v>1.4683056856707941</v>
      </c>
      <c r="BN93" s="163">
        <f t="shared" si="57"/>
        <v>3.5886884060218373E-2</v>
      </c>
      <c r="BO93" s="163">
        <f t="shared" si="58"/>
        <v>0</v>
      </c>
      <c r="BP93" s="164">
        <f t="shared" si="81"/>
        <v>431.99357918055455</v>
      </c>
      <c r="BQ93" s="164">
        <f>IF($E93="","",IF(AND($D93=Input!$C$6,$C93=12),0,-BJ94+BK94+BL94-BM94-BN94-BO94+BQ94))</f>
        <v>431.99360284155131</v>
      </c>
      <c r="BR93" s="161">
        <f t="shared" si="59"/>
        <v>0</v>
      </c>
      <c r="BT93" s="147">
        <f t="shared" si="60"/>
        <v>0.65864028581811829</v>
      </c>
      <c r="BU93" s="164">
        <f>IF(AND($C92=12,$D92=Input!$C$6),0,IF($E93="","",BK93+(BL93+BU94)/(1+$AK93)*MIN((1-T93-U93),1)))</f>
        <v>4234.1511505717717</v>
      </c>
      <c r="BV93" s="164">
        <f t="shared" si="61"/>
        <v>2788.7825240097063</v>
      </c>
      <c r="BW93" s="164">
        <f t="shared" si="62"/>
        <v>431.99360284155131</v>
      </c>
      <c r="BX93" s="164">
        <f t="shared" si="63"/>
        <v>284.52839004715804</v>
      </c>
    </row>
    <row r="94" spans="1:76" s="150" customFormat="1" x14ac:dyDescent="0.25">
      <c r="A94" s="150">
        <f t="shared" si="76"/>
        <v>90</v>
      </c>
      <c r="B94" s="150">
        <f t="shared" si="77"/>
        <v>8</v>
      </c>
      <c r="C94" s="150">
        <f t="shared" si="78"/>
        <v>6</v>
      </c>
      <c r="D94" s="150">
        <f>IF(E94="","",Input!$C$4+B94-1)</f>
        <v>52</v>
      </c>
      <c r="E94" s="150">
        <f>IF(OR(AND(C93=12,D93=Input!$C$6),E93=""),"",1)</f>
        <v>1</v>
      </c>
      <c r="F94" s="150">
        <f>IF(E94="","",Input!$C$8+B94-1)</f>
        <v>2025</v>
      </c>
      <c r="G94" s="151">
        <f>IF(E94="","",MAX(0,Input!$C$9-B94))</f>
        <v>12</v>
      </c>
      <c r="H94" s="152">
        <f>IF(E94="","",Input!$C$3)</f>
        <v>100000</v>
      </c>
      <c r="I94" s="153">
        <f>IF(E94="","",HLOOKUP($B94,Input!$C$13:$BT$14,2))</f>
        <v>2.2999999999999998</v>
      </c>
      <c r="J94" s="154"/>
      <c r="K94" s="155">
        <f>IF($E94="","",INDEX(Input!$C$16:$CP$16,1,$B94))</f>
        <v>2.63E-2</v>
      </c>
      <c r="L94" s="155">
        <f>IF($E94="","",Input!$C$37)</f>
        <v>1.4999999999999999E-2</v>
      </c>
      <c r="M94" s="155">
        <f t="shared" si="64"/>
        <v>4.1300000000000003E-2</v>
      </c>
      <c r="N94" s="155">
        <f t="shared" si="65"/>
        <v>3.3781876370064801E-3</v>
      </c>
      <c r="O94" s="147">
        <f>IF($E94="","",MIN(VLOOKUP(IF($B94&lt;=Input!$C$7,$B94,26),'Mortality Tables'!$A$41:$CW$67,IF($B94&lt;=Input!$C$7+1,Input!$C$4+2,$D94-Input!$C$7+2),0)*IF(B94&gt;20,Input!$C$22,1)/1000,1))</f>
        <v>1.0319999999999999E-3</v>
      </c>
      <c r="P94" s="147">
        <f>IF($E94="","",MIN(VLOOKUP(IF($B94&lt;=Input!$C$7,$B94,26),'Mortality Tables'!$A$12:$CW$37,IF($B94&lt;=Input!$C$7+1,Input!$C$4+2,$D94-Input!$C$7+2),0)*IF(B94&gt;20,Input!$C$22,1)/1000,1))</f>
        <v>1.2900000000000001E-3</v>
      </c>
      <c r="Q94" s="155">
        <f>IF($E94="","",Input!$C$21)</f>
        <v>5.0000000000000001E-3</v>
      </c>
      <c r="R94" s="159">
        <f>IF($E94="","",(1-Q94)^($F94-Input!$C$20))</f>
        <v>0.96552064680948435</v>
      </c>
      <c r="S94" s="147">
        <f t="shared" si="41"/>
        <v>9.964173075073877E-4</v>
      </c>
      <c r="T94" s="147">
        <f t="shared" si="42"/>
        <v>8.3072721040688968E-5</v>
      </c>
      <c r="U94" s="160">
        <f>IF($E94="","",IF($C94=12,INDEX(Input!$C$15:$CP$15,1,$B94),0))</f>
        <v>0</v>
      </c>
      <c r="V94" s="150">
        <f>IF(E94="","",IF(C94=1,IF($B94=1,Input!$C$33,Input!$C$34),0))</f>
        <v>0</v>
      </c>
      <c r="W94" s="156">
        <f>IF($E94="","",Input!$C$35)</f>
        <v>0.02</v>
      </c>
      <c r="X94" s="156">
        <f t="shared" si="43"/>
        <v>1.14868566764928</v>
      </c>
      <c r="Y94" s="154"/>
      <c r="Z94" s="147">
        <f>IF($E94="","",VLOOKUP($D94,'Mortality Margins &amp; Grading'!$AB$5:$AF$125,3,0)*IF(Summary!$D$25="Included Margin",IF(AND($B94&gt;Input!$C$9,Summary!$D$31&lt;&gt;"Included Margin"),0,1),0))</f>
        <v>3.7999999999999999E-2</v>
      </c>
      <c r="AA94" s="147">
        <f>IF($E94="","",VLOOKUP($D94,'Mortality Margins &amp; Grading'!$AB$5:$AF$125,5,0)*IF(Summary!$D$25="Included Margin",IF(AND($B94&gt;Input!$C$9,Summary!$D$31&lt;&gt;"Included Margin"),0,1),0))</f>
        <v>0.19600000000000001</v>
      </c>
      <c r="AB94" s="147">
        <f>IF($E94="","",IF(AND($B94&gt;Input!$C$9,Summary!$D$31&lt;&gt;"Included Margin"),1,IF(Summary!$D$25="Included Margin",VLOOKUP($B94,'Mortality Margins &amp; Grading'!$AI$5:$AR$125,MATCH('Mortality Margins &amp; Grading'!$AQ$4,'Mortality Margins &amp; Grading'!$AI$4:$AR$4,0),0),1)))</f>
        <v>1</v>
      </c>
      <c r="AC94" s="154"/>
      <c r="AD94" s="158">
        <f>IF(E94="","",Input!$C$48*IF(Summary!$D$30="Included Margin",IF(AND($B94&gt;Input!$C$9,Summary!$D$31&lt;&gt;"Included Margin"),0,1),0))</f>
        <v>-4.4999999999999997E-3</v>
      </c>
      <c r="AE94" s="159">
        <f>IF(E94="","",IF(Summary!$D$26="Included Margin",IF(AND($B94&gt;Input!$C$9,Summary!$D$31&lt;&gt;"Included Margin"),1,1/$R94),1))</f>
        <v>1.0357106327083228</v>
      </c>
      <c r="AF94" s="160">
        <f>IF(E94="","",IF(AND($B94&gt;=Input!$C$9,$C94=12,Summary!$D$31="Included Margin",$U94&gt;0),1/U94-1,IF($B94&gt;=Input!$C$9,0,Input!$C$45*IF(Summary!$D$27="Included Margin",1,0))))</f>
        <v>-0.1</v>
      </c>
      <c r="AG94" s="160">
        <f>IF(E94="","",Input!$C$46*IF(Summary!$D$28="Included Margin",IF(AND($B94&gt;Input!$C$9,Summary!$D$31&lt;&gt;"Included Margin"),0,1),0))</f>
        <v>0.02</v>
      </c>
      <c r="AH94" s="158">
        <f>IF(E94="","",Input!$C$47*IF(Summary!$D$29="Included Margin",IF(AND($B94&gt;Input!$C$9,Summary!$D$31&lt;&gt;"Included Margin"),0,1),0))</f>
        <v>2.5000000000000001E-3</v>
      </c>
      <c r="AI94" s="154"/>
      <c r="AJ94" s="158">
        <f t="shared" si="66"/>
        <v>3.6800000000000006E-2</v>
      </c>
      <c r="AK94" s="155">
        <f t="shared" si="67"/>
        <v>3.0161266025487965E-3</v>
      </c>
      <c r="AL94" s="147">
        <f t="shared" si="68"/>
        <v>1.0712160000000001E-3</v>
      </c>
      <c r="AM94" s="147">
        <f t="shared" si="44"/>
        <v>8.9311858285978651E-5</v>
      </c>
      <c r="AN94" s="160">
        <f t="shared" si="69"/>
        <v>0</v>
      </c>
      <c r="AO94" s="161">
        <f t="shared" si="70"/>
        <v>0</v>
      </c>
      <c r="AP94" s="156">
        <f t="shared" si="45"/>
        <v>1.1685390139999128</v>
      </c>
      <c r="AQ94" s="152"/>
      <c r="AR94" s="162">
        <f t="shared" si="46"/>
        <v>741.61816009255654</v>
      </c>
      <c r="AS94" s="150">
        <f t="shared" si="71"/>
        <v>0</v>
      </c>
      <c r="AT94" s="163">
        <f t="shared" si="47"/>
        <v>0</v>
      </c>
      <c r="AU94" s="163">
        <f t="shared" si="48"/>
        <v>8.9311858285978651</v>
      </c>
      <c r="AV94" s="163">
        <f t="shared" si="72"/>
        <v>2.2233454680034819</v>
      </c>
      <c r="AW94" s="163">
        <f t="shared" si="49"/>
        <v>6.5642070755477552E-2</v>
      </c>
      <c r="AX94" s="163">
        <f t="shared" si="50"/>
        <v>0</v>
      </c>
      <c r="AY94" s="164">
        <f t="shared" si="73"/>
        <v>734.97596180271762</v>
      </c>
      <c r="AZ94" s="164">
        <f>IF($E94="","",IF(OR(AND($D94=Input!$C$6,$C94=12),$AN94=1),0,-AS95+AT95+AU95-AV95-AW95-AX95+AZ95))</f>
        <v>734.97598208392571</v>
      </c>
      <c r="BA94" s="154">
        <f t="shared" si="51"/>
        <v>2.0281208094274916E-5</v>
      </c>
      <c r="BC94" s="147">
        <f t="shared" si="74"/>
        <v>0.65858557077738833</v>
      </c>
      <c r="BD94" s="164">
        <f>IF(AND($C93=12,$D93=Input!$C$6),0,IF($E94="","",AT94+(AU94+BD95)/(1+$AK94)*MIN((1-AM94-AN94),1)))</f>
        <v>2567.952210677799</v>
      </c>
      <c r="BE94" s="164">
        <f t="shared" si="52"/>
        <v>1691.2162723982944</v>
      </c>
      <c r="BF94" s="164">
        <f t="shared" si="75"/>
        <v>734.97598208392571</v>
      </c>
      <c r="BG94" s="164">
        <f t="shared" si="53"/>
        <v>484.04457666841375</v>
      </c>
      <c r="BH94" s="152"/>
      <c r="BI94" s="162">
        <f t="shared" si="54"/>
        <v>431.9935791805546</v>
      </c>
      <c r="BJ94" s="150">
        <f t="shared" si="55"/>
        <v>0</v>
      </c>
      <c r="BK94" s="163">
        <f t="shared" si="79"/>
        <v>0</v>
      </c>
      <c r="BL94" s="163">
        <f t="shared" si="56"/>
        <v>8.3072721040688968</v>
      </c>
      <c r="BM94" s="163">
        <f t="shared" si="80"/>
        <v>1.4453236064943222</v>
      </c>
      <c r="BN94" s="163">
        <f t="shared" si="57"/>
        <v>3.5319777436902025E-2</v>
      </c>
      <c r="BO94" s="163">
        <f t="shared" si="58"/>
        <v>0</v>
      </c>
      <c r="BP94" s="164">
        <f t="shared" si="81"/>
        <v>425.1669504604169</v>
      </c>
      <c r="BQ94" s="164">
        <f>IF($E94="","",IF(AND($D94=Input!$C$6,$C94=12),0,-BJ95+BK95+BL95-BM95-BN95-BO95+BQ95))</f>
        <v>425.16697412141366</v>
      </c>
      <c r="BR94" s="161">
        <f t="shared" si="59"/>
        <v>0</v>
      </c>
      <c r="BT94" s="147">
        <f t="shared" si="60"/>
        <v>0.65858557077738833</v>
      </c>
      <c r="BU94" s="164">
        <f>IF(AND($C93=12,$D93=Input!$C$6),0,IF($E94="","",BK94+(BL94+BU95)/(1+$AK94)*MIN((1-T94-U94),1)))</f>
        <v>4238.967447060083</v>
      </c>
      <c r="BV94" s="164">
        <f t="shared" si="61"/>
        <v>2791.7227956288334</v>
      </c>
      <c r="BW94" s="164">
        <f t="shared" si="62"/>
        <v>425.16697412141366</v>
      </c>
      <c r="BX94" s="164">
        <f t="shared" si="63"/>
        <v>280.00883432744632</v>
      </c>
    </row>
    <row r="95" spans="1:76" s="150" customFormat="1" x14ac:dyDescent="0.25">
      <c r="A95" s="150">
        <f t="shared" si="76"/>
        <v>91</v>
      </c>
      <c r="B95" s="150">
        <f t="shared" si="77"/>
        <v>8</v>
      </c>
      <c r="C95" s="150">
        <f t="shared" si="78"/>
        <v>7</v>
      </c>
      <c r="D95" s="150">
        <f>IF(E95="","",Input!$C$4+B95-1)</f>
        <v>52</v>
      </c>
      <c r="E95" s="150">
        <f>IF(OR(AND(C94=12,D94=Input!$C$6),E94=""),"",1)</f>
        <v>1</v>
      </c>
      <c r="F95" s="150">
        <f>IF(E95="","",Input!$C$8+B95-1)</f>
        <v>2025</v>
      </c>
      <c r="G95" s="151">
        <f>IF(E95="","",MAX(0,Input!$C$9-B95))</f>
        <v>12</v>
      </c>
      <c r="H95" s="152">
        <f>IF(E95="","",Input!$C$3)</f>
        <v>100000</v>
      </c>
      <c r="I95" s="153">
        <f>IF(E95="","",HLOOKUP($B95,Input!$C$13:$BT$14,2))</f>
        <v>2.2999999999999998</v>
      </c>
      <c r="J95" s="154"/>
      <c r="K95" s="155">
        <f>IF($E95="","",INDEX(Input!$C$16:$CP$16,1,$B95))</f>
        <v>2.63E-2</v>
      </c>
      <c r="L95" s="155">
        <f>IF($E95="","",Input!$C$37)</f>
        <v>1.4999999999999999E-2</v>
      </c>
      <c r="M95" s="155">
        <f t="shared" si="64"/>
        <v>4.1300000000000003E-2</v>
      </c>
      <c r="N95" s="155">
        <f t="shared" si="65"/>
        <v>3.3781876370064801E-3</v>
      </c>
      <c r="O95" s="147">
        <f>IF($E95="","",MIN(VLOOKUP(IF($B95&lt;=Input!$C$7,$B95,26),'Mortality Tables'!$A$41:$CW$67,IF($B95&lt;=Input!$C$7+1,Input!$C$4+2,$D95-Input!$C$7+2),0)*IF(B95&gt;20,Input!$C$22,1)/1000,1))</f>
        <v>1.0319999999999999E-3</v>
      </c>
      <c r="P95" s="147">
        <f>IF($E95="","",MIN(VLOOKUP(IF($B95&lt;=Input!$C$7,$B95,26),'Mortality Tables'!$A$12:$CW$37,IF($B95&lt;=Input!$C$7+1,Input!$C$4+2,$D95-Input!$C$7+2),0)*IF(B95&gt;20,Input!$C$22,1)/1000,1))</f>
        <v>1.2900000000000001E-3</v>
      </c>
      <c r="Q95" s="155">
        <f>IF($E95="","",Input!$C$21)</f>
        <v>5.0000000000000001E-3</v>
      </c>
      <c r="R95" s="159">
        <f>IF($E95="","",(1-Q95)^($F95-Input!$C$20))</f>
        <v>0.96552064680948435</v>
      </c>
      <c r="S95" s="147">
        <f t="shared" si="41"/>
        <v>9.964173075073877E-4</v>
      </c>
      <c r="T95" s="147">
        <f t="shared" si="42"/>
        <v>8.3072721040688968E-5</v>
      </c>
      <c r="U95" s="160">
        <f>IF($E95="","",IF($C95=12,INDEX(Input!$C$15:$CP$15,1,$B95),0))</f>
        <v>0</v>
      </c>
      <c r="V95" s="150">
        <f>IF(E95="","",IF(C95=1,IF($B95=1,Input!$C$33,Input!$C$34),0))</f>
        <v>0</v>
      </c>
      <c r="W95" s="156">
        <f>IF($E95="","",Input!$C$35)</f>
        <v>0.02</v>
      </c>
      <c r="X95" s="156">
        <f t="shared" si="43"/>
        <v>1.14868566764928</v>
      </c>
      <c r="Y95" s="154"/>
      <c r="Z95" s="147">
        <f>IF($E95="","",VLOOKUP($D95,'Mortality Margins &amp; Grading'!$AB$5:$AF$125,3,0)*IF(Summary!$D$25="Included Margin",IF(AND($B95&gt;Input!$C$9,Summary!$D$31&lt;&gt;"Included Margin"),0,1),0))</f>
        <v>3.7999999999999999E-2</v>
      </c>
      <c r="AA95" s="147">
        <f>IF($E95="","",VLOOKUP($D95,'Mortality Margins &amp; Grading'!$AB$5:$AF$125,5,0)*IF(Summary!$D$25="Included Margin",IF(AND($B95&gt;Input!$C$9,Summary!$D$31&lt;&gt;"Included Margin"),0,1),0))</f>
        <v>0.19600000000000001</v>
      </c>
      <c r="AB95" s="147">
        <f>IF($E95="","",IF(AND($B95&gt;Input!$C$9,Summary!$D$31&lt;&gt;"Included Margin"),1,IF(Summary!$D$25="Included Margin",VLOOKUP($B95,'Mortality Margins &amp; Grading'!$AI$5:$AR$125,MATCH('Mortality Margins &amp; Grading'!$AQ$4,'Mortality Margins &amp; Grading'!$AI$4:$AR$4,0),0),1)))</f>
        <v>1</v>
      </c>
      <c r="AC95" s="154"/>
      <c r="AD95" s="158">
        <f>IF(E95="","",Input!$C$48*IF(Summary!$D$30="Included Margin",IF(AND($B95&gt;Input!$C$9,Summary!$D$31&lt;&gt;"Included Margin"),0,1),0))</f>
        <v>-4.4999999999999997E-3</v>
      </c>
      <c r="AE95" s="159">
        <f>IF(E95="","",IF(Summary!$D$26="Included Margin",IF(AND($B95&gt;Input!$C$9,Summary!$D$31&lt;&gt;"Included Margin"),1,1/$R95),1))</f>
        <v>1.0357106327083228</v>
      </c>
      <c r="AF95" s="160">
        <f>IF(E95="","",IF(AND($B95&gt;=Input!$C$9,$C95=12,Summary!$D$31="Included Margin",$U95&gt;0),1/U95-1,IF($B95&gt;=Input!$C$9,0,Input!$C$45*IF(Summary!$D$27="Included Margin",1,0))))</f>
        <v>-0.1</v>
      </c>
      <c r="AG95" s="160">
        <f>IF(E95="","",Input!$C$46*IF(Summary!$D$28="Included Margin",IF(AND($B95&gt;Input!$C$9,Summary!$D$31&lt;&gt;"Included Margin"),0,1),0))</f>
        <v>0.02</v>
      </c>
      <c r="AH95" s="158">
        <f>IF(E95="","",Input!$C$47*IF(Summary!$D$29="Included Margin",IF(AND($B95&gt;Input!$C$9,Summary!$D$31&lt;&gt;"Included Margin"),0,1),0))</f>
        <v>2.5000000000000001E-3</v>
      </c>
      <c r="AI95" s="154"/>
      <c r="AJ95" s="158">
        <f t="shared" si="66"/>
        <v>3.6800000000000006E-2</v>
      </c>
      <c r="AK95" s="155">
        <f t="shared" si="67"/>
        <v>3.0161266025487965E-3</v>
      </c>
      <c r="AL95" s="147">
        <f t="shared" si="68"/>
        <v>1.0712160000000001E-3</v>
      </c>
      <c r="AM95" s="147">
        <f t="shared" si="44"/>
        <v>8.9311858285978651E-5</v>
      </c>
      <c r="AN95" s="160">
        <f t="shared" si="69"/>
        <v>0</v>
      </c>
      <c r="AO95" s="161">
        <f t="shared" si="70"/>
        <v>0</v>
      </c>
      <c r="AP95" s="156">
        <f t="shared" si="45"/>
        <v>1.1685390139999128</v>
      </c>
      <c r="AQ95" s="152"/>
      <c r="AR95" s="162">
        <f t="shared" si="46"/>
        <v>734.97596180271785</v>
      </c>
      <c r="AS95" s="150">
        <f t="shared" si="71"/>
        <v>0</v>
      </c>
      <c r="AT95" s="163">
        <f t="shared" si="47"/>
        <v>0</v>
      </c>
      <c r="AU95" s="163">
        <f t="shared" si="48"/>
        <v>8.9311858285978651</v>
      </c>
      <c r="AV95" s="163">
        <f t="shared" si="72"/>
        <v>2.203311757042095</v>
      </c>
      <c r="AW95" s="163">
        <f t="shared" si="49"/>
        <v>6.5047001288393858E-2</v>
      </c>
      <c r="AX95" s="163">
        <f t="shared" si="50"/>
        <v>0</v>
      </c>
      <c r="AY95" s="164">
        <f t="shared" si="73"/>
        <v>728.31313473245041</v>
      </c>
      <c r="AZ95" s="164">
        <f>IF($E95="","",IF(OR(AND($D95=Input!$C$6,$C95=12),$AN95=1),0,-AS96+AT96+AU96-AV96-AW96-AX96+AZ96))</f>
        <v>728.31315501365839</v>
      </c>
      <c r="BA95" s="154">
        <f t="shared" si="51"/>
        <v>2.0281207980588078E-5</v>
      </c>
      <c r="BC95" s="147">
        <f t="shared" si="74"/>
        <v>0.65853086028198571</v>
      </c>
      <c r="BD95" s="164">
        <f>IF(AND($C94=12,$D94=Input!$C$6),0,IF($E95="","",AT95+(AU95+BD96)/(1+$AK95)*MIN((1-AM95-AN95),1)))</f>
        <v>2566.9963547013554</v>
      </c>
      <c r="BE95" s="164">
        <f t="shared" si="52"/>
        <v>1690.4463178022049</v>
      </c>
      <c r="BF95" s="164">
        <f t="shared" si="75"/>
        <v>728.31315501365839</v>
      </c>
      <c r="BG95" s="164">
        <f t="shared" si="53"/>
        <v>479.61668852583165</v>
      </c>
      <c r="BH95" s="152"/>
      <c r="BI95" s="162">
        <f t="shared" si="54"/>
        <v>425.16695046041696</v>
      </c>
      <c r="BJ95" s="150">
        <f t="shared" si="55"/>
        <v>0</v>
      </c>
      <c r="BK95" s="163">
        <f t="shared" si="79"/>
        <v>0</v>
      </c>
      <c r="BL95" s="163">
        <f t="shared" si="56"/>
        <v>8.3072721040688968</v>
      </c>
      <c r="BM95" s="163">
        <f t="shared" si="80"/>
        <v>1.4222619737495199</v>
      </c>
      <c r="BN95" s="163">
        <f t="shared" si="57"/>
        <v>3.4750707746834301E-2</v>
      </c>
      <c r="BO95" s="163">
        <f t="shared" si="58"/>
        <v>0</v>
      </c>
      <c r="BP95" s="164">
        <f t="shared" si="81"/>
        <v>418.31669103784441</v>
      </c>
      <c r="BQ95" s="164">
        <f>IF($E95="","",IF(AND($D95=Input!$C$6,$C95=12),0,-BJ96+BK96+BL96-BM96-BN96-BO96+BQ96))</f>
        <v>418.31671469884111</v>
      </c>
      <c r="BR95" s="161">
        <f t="shared" si="59"/>
        <v>0</v>
      </c>
      <c r="BT95" s="147">
        <f t="shared" si="60"/>
        <v>0.65853086028198571</v>
      </c>
      <c r="BU95" s="164">
        <f>IF(AND($C94=12,$D94=Input!$C$6),0,IF($E95="","",BK95+(BL95+BU96)/(1+$AK95)*MIN((1-T95-U95),1)))</f>
        <v>4243.7986714513145</v>
      </c>
      <c r="BV95" s="164">
        <f t="shared" si="61"/>
        <v>2794.672389974382</v>
      </c>
      <c r="BW95" s="164">
        <f t="shared" si="62"/>
        <v>418.31671469884111</v>
      </c>
      <c r="BX95" s="164">
        <f t="shared" si="63"/>
        <v>275.4744660009618</v>
      </c>
    </row>
    <row r="96" spans="1:76" s="150" customFormat="1" x14ac:dyDescent="0.25">
      <c r="A96" s="150">
        <f t="shared" si="76"/>
        <v>92</v>
      </c>
      <c r="B96" s="150">
        <f t="shared" si="77"/>
        <v>8</v>
      </c>
      <c r="C96" s="150">
        <f t="shared" si="78"/>
        <v>8</v>
      </c>
      <c r="D96" s="150">
        <f>IF(E96="","",Input!$C$4+B96-1)</f>
        <v>52</v>
      </c>
      <c r="E96" s="150">
        <f>IF(OR(AND(C95=12,D95=Input!$C$6),E95=""),"",1)</f>
        <v>1</v>
      </c>
      <c r="F96" s="150">
        <f>IF(E96="","",Input!$C$8+B96-1)</f>
        <v>2025</v>
      </c>
      <c r="G96" s="151">
        <f>IF(E96="","",MAX(0,Input!$C$9-B96))</f>
        <v>12</v>
      </c>
      <c r="H96" s="152">
        <f>IF(E96="","",Input!$C$3)</f>
        <v>100000</v>
      </c>
      <c r="I96" s="153">
        <f>IF(E96="","",HLOOKUP($B96,Input!$C$13:$BT$14,2))</f>
        <v>2.2999999999999998</v>
      </c>
      <c r="J96" s="154"/>
      <c r="K96" s="155">
        <f>IF($E96="","",INDEX(Input!$C$16:$CP$16,1,$B96))</f>
        <v>2.63E-2</v>
      </c>
      <c r="L96" s="155">
        <f>IF($E96="","",Input!$C$37)</f>
        <v>1.4999999999999999E-2</v>
      </c>
      <c r="M96" s="155">
        <f t="shared" si="64"/>
        <v>4.1300000000000003E-2</v>
      </c>
      <c r="N96" s="155">
        <f t="shared" si="65"/>
        <v>3.3781876370064801E-3</v>
      </c>
      <c r="O96" s="147">
        <f>IF($E96="","",MIN(VLOOKUP(IF($B96&lt;=Input!$C$7,$B96,26),'Mortality Tables'!$A$41:$CW$67,IF($B96&lt;=Input!$C$7+1,Input!$C$4+2,$D96-Input!$C$7+2),0)*IF(B96&gt;20,Input!$C$22,1)/1000,1))</f>
        <v>1.0319999999999999E-3</v>
      </c>
      <c r="P96" s="147">
        <f>IF($E96="","",MIN(VLOOKUP(IF($B96&lt;=Input!$C$7,$B96,26),'Mortality Tables'!$A$12:$CW$37,IF($B96&lt;=Input!$C$7+1,Input!$C$4+2,$D96-Input!$C$7+2),0)*IF(B96&gt;20,Input!$C$22,1)/1000,1))</f>
        <v>1.2900000000000001E-3</v>
      </c>
      <c r="Q96" s="155">
        <f>IF($E96="","",Input!$C$21)</f>
        <v>5.0000000000000001E-3</v>
      </c>
      <c r="R96" s="159">
        <f>IF($E96="","",(1-Q96)^($F96-Input!$C$20))</f>
        <v>0.96552064680948435</v>
      </c>
      <c r="S96" s="147">
        <f t="shared" si="41"/>
        <v>9.964173075073877E-4</v>
      </c>
      <c r="T96" s="147">
        <f t="shared" si="42"/>
        <v>8.3072721040688968E-5</v>
      </c>
      <c r="U96" s="160">
        <f>IF($E96="","",IF($C96=12,INDEX(Input!$C$15:$CP$15,1,$B96),0))</f>
        <v>0</v>
      </c>
      <c r="V96" s="150">
        <f>IF(E96="","",IF(C96=1,IF($B96=1,Input!$C$33,Input!$C$34),0))</f>
        <v>0</v>
      </c>
      <c r="W96" s="156">
        <f>IF($E96="","",Input!$C$35)</f>
        <v>0.02</v>
      </c>
      <c r="X96" s="156">
        <f t="shared" si="43"/>
        <v>1.14868566764928</v>
      </c>
      <c r="Y96" s="154"/>
      <c r="Z96" s="147">
        <f>IF($E96="","",VLOOKUP($D96,'Mortality Margins &amp; Grading'!$AB$5:$AF$125,3,0)*IF(Summary!$D$25="Included Margin",IF(AND($B96&gt;Input!$C$9,Summary!$D$31&lt;&gt;"Included Margin"),0,1),0))</f>
        <v>3.7999999999999999E-2</v>
      </c>
      <c r="AA96" s="147">
        <f>IF($E96="","",VLOOKUP($D96,'Mortality Margins &amp; Grading'!$AB$5:$AF$125,5,0)*IF(Summary!$D$25="Included Margin",IF(AND($B96&gt;Input!$C$9,Summary!$D$31&lt;&gt;"Included Margin"),0,1),0))</f>
        <v>0.19600000000000001</v>
      </c>
      <c r="AB96" s="147">
        <f>IF($E96="","",IF(AND($B96&gt;Input!$C$9,Summary!$D$31&lt;&gt;"Included Margin"),1,IF(Summary!$D$25="Included Margin",VLOOKUP($B96,'Mortality Margins &amp; Grading'!$AI$5:$AR$125,MATCH('Mortality Margins &amp; Grading'!$AQ$4,'Mortality Margins &amp; Grading'!$AI$4:$AR$4,0),0),1)))</f>
        <v>1</v>
      </c>
      <c r="AC96" s="154"/>
      <c r="AD96" s="158">
        <f>IF(E96="","",Input!$C$48*IF(Summary!$D$30="Included Margin",IF(AND($B96&gt;Input!$C$9,Summary!$D$31&lt;&gt;"Included Margin"),0,1),0))</f>
        <v>-4.4999999999999997E-3</v>
      </c>
      <c r="AE96" s="159">
        <f>IF(E96="","",IF(Summary!$D$26="Included Margin",IF(AND($B96&gt;Input!$C$9,Summary!$D$31&lt;&gt;"Included Margin"),1,1/$R96),1))</f>
        <v>1.0357106327083228</v>
      </c>
      <c r="AF96" s="160">
        <f>IF(E96="","",IF(AND($B96&gt;=Input!$C$9,$C96=12,Summary!$D$31="Included Margin",$U96&gt;0),1/U96-1,IF($B96&gt;=Input!$C$9,0,Input!$C$45*IF(Summary!$D$27="Included Margin",1,0))))</f>
        <v>-0.1</v>
      </c>
      <c r="AG96" s="160">
        <f>IF(E96="","",Input!$C$46*IF(Summary!$D$28="Included Margin",IF(AND($B96&gt;Input!$C$9,Summary!$D$31&lt;&gt;"Included Margin"),0,1),0))</f>
        <v>0.02</v>
      </c>
      <c r="AH96" s="158">
        <f>IF(E96="","",Input!$C$47*IF(Summary!$D$29="Included Margin",IF(AND($B96&gt;Input!$C$9,Summary!$D$31&lt;&gt;"Included Margin"),0,1),0))</f>
        <v>2.5000000000000001E-3</v>
      </c>
      <c r="AI96" s="154"/>
      <c r="AJ96" s="158">
        <f t="shared" si="66"/>
        <v>3.6800000000000006E-2</v>
      </c>
      <c r="AK96" s="155">
        <f t="shared" si="67"/>
        <v>3.0161266025487965E-3</v>
      </c>
      <c r="AL96" s="147">
        <f t="shared" si="68"/>
        <v>1.0712160000000001E-3</v>
      </c>
      <c r="AM96" s="147">
        <f t="shared" si="44"/>
        <v>8.9311858285978651E-5</v>
      </c>
      <c r="AN96" s="160">
        <f t="shared" si="69"/>
        <v>0</v>
      </c>
      <c r="AO96" s="161">
        <f t="shared" si="70"/>
        <v>0</v>
      </c>
      <c r="AP96" s="156">
        <f t="shared" si="45"/>
        <v>1.1685390139999128</v>
      </c>
      <c r="AQ96" s="152"/>
      <c r="AR96" s="162">
        <f t="shared" si="46"/>
        <v>728.31313473245041</v>
      </c>
      <c r="AS96" s="150">
        <f t="shared" si="71"/>
        <v>0</v>
      </c>
      <c r="AT96" s="163">
        <f t="shared" si="47"/>
        <v>0</v>
      </c>
      <c r="AU96" s="163">
        <f t="shared" si="48"/>
        <v>8.9311858285978651</v>
      </c>
      <c r="AV96" s="163">
        <f t="shared" si="72"/>
        <v>2.1832158270672792</v>
      </c>
      <c r="AW96" s="163">
        <f t="shared" si="49"/>
        <v>6.4450083704641475E-2</v>
      </c>
      <c r="AX96" s="163">
        <f t="shared" si="50"/>
        <v>0</v>
      </c>
      <c r="AY96" s="164">
        <f t="shared" si="73"/>
        <v>721.62961481462446</v>
      </c>
      <c r="AZ96" s="164">
        <f>IF($E96="","",IF(OR(AND($D96=Input!$C$6,$C96=12),$AN96=1),0,-AS97+AT97+AU97-AV97-AW97-AX97+AZ97))</f>
        <v>721.62963509583244</v>
      </c>
      <c r="BA96" s="154">
        <f t="shared" si="51"/>
        <v>2.0281207980588078E-5</v>
      </c>
      <c r="BC96" s="147">
        <f t="shared" si="74"/>
        <v>0.65847615433153284</v>
      </c>
      <c r="BD96" s="164">
        <f>IF(AND($C95=12,$D95=Input!$C$6),0,IF($E96="","",AT96+(AU96+BD97)/(1+$AK96)*MIN((1-AM96-AN96),1)))</f>
        <v>2566.0375301078666</v>
      </c>
      <c r="BE96" s="164">
        <f t="shared" si="52"/>
        <v>1689.6745246958128</v>
      </c>
      <c r="BF96" s="164">
        <f t="shared" si="75"/>
        <v>721.62963509583244</v>
      </c>
      <c r="BG96" s="164">
        <f t="shared" si="53"/>
        <v>475.17590696957109</v>
      </c>
      <c r="BH96" s="152"/>
      <c r="BI96" s="162">
        <f t="shared" si="54"/>
        <v>418.31669103784441</v>
      </c>
      <c r="BJ96" s="150">
        <f t="shared" si="55"/>
        <v>0</v>
      </c>
      <c r="BK96" s="163">
        <f t="shared" si="79"/>
        <v>0</v>
      </c>
      <c r="BL96" s="163">
        <f t="shared" si="56"/>
        <v>8.3072721040688968</v>
      </c>
      <c r="BM96" s="163">
        <f t="shared" si="80"/>
        <v>1.3991205120578982</v>
      </c>
      <c r="BN96" s="163">
        <f t="shared" si="57"/>
        <v>3.4179668194765589E-2</v>
      </c>
      <c r="BO96" s="163">
        <f t="shared" si="58"/>
        <v>0</v>
      </c>
      <c r="BP96" s="164">
        <f t="shared" si="81"/>
        <v>411.44271911402819</v>
      </c>
      <c r="BQ96" s="164">
        <f>IF($E96="","",IF(AND($D96=Input!$C$6,$C96=12),0,-BJ97+BK97+BL97-BM97-BN97-BO97+BQ97))</f>
        <v>411.4427427750249</v>
      </c>
      <c r="BR96" s="161">
        <f t="shared" si="59"/>
        <v>0</v>
      </c>
      <c r="BT96" s="147">
        <f t="shared" si="60"/>
        <v>0.65847615433153284</v>
      </c>
      <c r="BU96" s="164">
        <f>IF(AND($C95=12,$D95=Input!$C$6),0,IF($E96="","",BK96+(BL96+BU97)/(1+$AK96)*MIN((1-T96-U96),1)))</f>
        <v>4248.6448700138571</v>
      </c>
      <c r="BV96" s="164">
        <f t="shared" si="61"/>
        <v>2797.6313351271197</v>
      </c>
      <c r="BW96" s="164">
        <f t="shared" si="62"/>
        <v>411.4427427750249</v>
      </c>
      <c r="BX96" s="164">
        <f t="shared" si="63"/>
        <v>270.92523499011645</v>
      </c>
    </row>
    <row r="97" spans="1:76" s="150" customFormat="1" x14ac:dyDescent="0.25">
      <c r="A97" s="150">
        <f t="shared" si="76"/>
        <v>93</v>
      </c>
      <c r="B97" s="150">
        <f t="shared" si="77"/>
        <v>8</v>
      </c>
      <c r="C97" s="150">
        <f t="shared" si="78"/>
        <v>9</v>
      </c>
      <c r="D97" s="150">
        <f>IF(E97="","",Input!$C$4+B97-1)</f>
        <v>52</v>
      </c>
      <c r="E97" s="150">
        <f>IF(OR(AND(C96=12,D96=Input!$C$6),E96=""),"",1)</f>
        <v>1</v>
      </c>
      <c r="F97" s="150">
        <f>IF(E97="","",Input!$C$8+B97-1)</f>
        <v>2025</v>
      </c>
      <c r="G97" s="151">
        <f>IF(E97="","",MAX(0,Input!$C$9-B97))</f>
        <v>12</v>
      </c>
      <c r="H97" s="152">
        <f>IF(E97="","",Input!$C$3)</f>
        <v>100000</v>
      </c>
      <c r="I97" s="153">
        <f>IF(E97="","",HLOOKUP($B97,Input!$C$13:$BT$14,2))</f>
        <v>2.2999999999999998</v>
      </c>
      <c r="J97" s="154"/>
      <c r="K97" s="155">
        <f>IF($E97="","",INDEX(Input!$C$16:$CP$16,1,$B97))</f>
        <v>2.63E-2</v>
      </c>
      <c r="L97" s="155">
        <f>IF($E97="","",Input!$C$37)</f>
        <v>1.4999999999999999E-2</v>
      </c>
      <c r="M97" s="155">
        <f t="shared" si="64"/>
        <v>4.1300000000000003E-2</v>
      </c>
      <c r="N97" s="155">
        <f t="shared" si="65"/>
        <v>3.3781876370064801E-3</v>
      </c>
      <c r="O97" s="147">
        <f>IF($E97="","",MIN(VLOOKUP(IF($B97&lt;=Input!$C$7,$B97,26),'Mortality Tables'!$A$41:$CW$67,IF($B97&lt;=Input!$C$7+1,Input!$C$4+2,$D97-Input!$C$7+2),0)*IF(B97&gt;20,Input!$C$22,1)/1000,1))</f>
        <v>1.0319999999999999E-3</v>
      </c>
      <c r="P97" s="147">
        <f>IF($E97="","",MIN(VLOOKUP(IF($B97&lt;=Input!$C$7,$B97,26),'Mortality Tables'!$A$12:$CW$37,IF($B97&lt;=Input!$C$7+1,Input!$C$4+2,$D97-Input!$C$7+2),0)*IF(B97&gt;20,Input!$C$22,1)/1000,1))</f>
        <v>1.2900000000000001E-3</v>
      </c>
      <c r="Q97" s="155">
        <f>IF($E97="","",Input!$C$21)</f>
        <v>5.0000000000000001E-3</v>
      </c>
      <c r="R97" s="159">
        <f>IF($E97="","",(1-Q97)^($F97-Input!$C$20))</f>
        <v>0.96552064680948435</v>
      </c>
      <c r="S97" s="147">
        <f t="shared" si="41"/>
        <v>9.964173075073877E-4</v>
      </c>
      <c r="T97" s="147">
        <f t="shared" si="42"/>
        <v>8.3072721040688968E-5</v>
      </c>
      <c r="U97" s="160">
        <f>IF($E97="","",IF($C97=12,INDEX(Input!$C$15:$CP$15,1,$B97),0))</f>
        <v>0</v>
      </c>
      <c r="V97" s="150">
        <f>IF(E97="","",IF(C97=1,IF($B97=1,Input!$C$33,Input!$C$34),0))</f>
        <v>0</v>
      </c>
      <c r="W97" s="156">
        <f>IF($E97="","",Input!$C$35)</f>
        <v>0.02</v>
      </c>
      <c r="X97" s="156">
        <f t="shared" si="43"/>
        <v>1.14868566764928</v>
      </c>
      <c r="Y97" s="154"/>
      <c r="Z97" s="147">
        <f>IF($E97="","",VLOOKUP($D97,'Mortality Margins &amp; Grading'!$AB$5:$AF$125,3,0)*IF(Summary!$D$25="Included Margin",IF(AND($B97&gt;Input!$C$9,Summary!$D$31&lt;&gt;"Included Margin"),0,1),0))</f>
        <v>3.7999999999999999E-2</v>
      </c>
      <c r="AA97" s="147">
        <f>IF($E97="","",VLOOKUP($D97,'Mortality Margins &amp; Grading'!$AB$5:$AF$125,5,0)*IF(Summary!$D$25="Included Margin",IF(AND($B97&gt;Input!$C$9,Summary!$D$31&lt;&gt;"Included Margin"),0,1),0))</f>
        <v>0.19600000000000001</v>
      </c>
      <c r="AB97" s="147">
        <f>IF($E97="","",IF(AND($B97&gt;Input!$C$9,Summary!$D$31&lt;&gt;"Included Margin"),1,IF(Summary!$D$25="Included Margin",VLOOKUP($B97,'Mortality Margins &amp; Grading'!$AI$5:$AR$125,MATCH('Mortality Margins &amp; Grading'!$AQ$4,'Mortality Margins &amp; Grading'!$AI$4:$AR$4,0),0),1)))</f>
        <v>1</v>
      </c>
      <c r="AC97" s="154"/>
      <c r="AD97" s="158">
        <f>IF(E97="","",Input!$C$48*IF(Summary!$D$30="Included Margin",IF(AND($B97&gt;Input!$C$9,Summary!$D$31&lt;&gt;"Included Margin"),0,1),0))</f>
        <v>-4.4999999999999997E-3</v>
      </c>
      <c r="AE97" s="159">
        <f>IF(E97="","",IF(Summary!$D$26="Included Margin",IF(AND($B97&gt;Input!$C$9,Summary!$D$31&lt;&gt;"Included Margin"),1,1/$R97),1))</f>
        <v>1.0357106327083228</v>
      </c>
      <c r="AF97" s="160">
        <f>IF(E97="","",IF(AND($B97&gt;=Input!$C$9,$C97=12,Summary!$D$31="Included Margin",$U97&gt;0),1/U97-1,IF($B97&gt;=Input!$C$9,0,Input!$C$45*IF(Summary!$D$27="Included Margin",1,0))))</f>
        <v>-0.1</v>
      </c>
      <c r="AG97" s="160">
        <f>IF(E97="","",Input!$C$46*IF(Summary!$D$28="Included Margin",IF(AND($B97&gt;Input!$C$9,Summary!$D$31&lt;&gt;"Included Margin"),0,1),0))</f>
        <v>0.02</v>
      </c>
      <c r="AH97" s="158">
        <f>IF(E97="","",Input!$C$47*IF(Summary!$D$29="Included Margin",IF(AND($B97&gt;Input!$C$9,Summary!$D$31&lt;&gt;"Included Margin"),0,1),0))</f>
        <v>2.5000000000000001E-3</v>
      </c>
      <c r="AI97" s="154"/>
      <c r="AJ97" s="158">
        <f t="shared" si="66"/>
        <v>3.6800000000000006E-2</v>
      </c>
      <c r="AK97" s="155">
        <f t="shared" si="67"/>
        <v>3.0161266025487965E-3</v>
      </c>
      <c r="AL97" s="147">
        <f t="shared" si="68"/>
        <v>1.0712160000000001E-3</v>
      </c>
      <c r="AM97" s="147">
        <f t="shared" si="44"/>
        <v>8.9311858285978651E-5</v>
      </c>
      <c r="AN97" s="160">
        <f t="shared" si="69"/>
        <v>0</v>
      </c>
      <c r="AO97" s="161">
        <f t="shared" si="70"/>
        <v>0</v>
      </c>
      <c r="AP97" s="156">
        <f t="shared" si="45"/>
        <v>1.1685390139999128</v>
      </c>
      <c r="AQ97" s="152"/>
      <c r="AR97" s="162">
        <f t="shared" si="46"/>
        <v>721.62961481462435</v>
      </c>
      <c r="AS97" s="150">
        <f t="shared" si="71"/>
        <v>0</v>
      </c>
      <c r="AT97" s="163">
        <f t="shared" si="47"/>
        <v>0</v>
      </c>
      <c r="AU97" s="163">
        <f t="shared" si="48"/>
        <v>8.9311858285978651</v>
      </c>
      <c r="AV97" s="163">
        <f t="shared" si="72"/>
        <v>2.1630574848444595</v>
      </c>
      <c r="AW97" s="163">
        <f t="shared" si="49"/>
        <v>6.3851312264495197E-2</v>
      </c>
      <c r="AX97" s="163">
        <f t="shared" si="50"/>
        <v>0</v>
      </c>
      <c r="AY97" s="164">
        <f t="shared" si="73"/>
        <v>714.92533778313543</v>
      </c>
      <c r="AZ97" s="164">
        <f>IF($E97="","",IF(OR(AND($D97=Input!$C$6,$C97=12),$AN97=1),0,-AS98+AT98+AU98-AV98-AW98-AX98+AZ98))</f>
        <v>714.92535806434353</v>
      </c>
      <c r="BA97" s="154">
        <f t="shared" si="51"/>
        <v>2.0281208094274916E-5</v>
      </c>
      <c r="BC97" s="147">
        <f t="shared" si="74"/>
        <v>0.65842145292565213</v>
      </c>
      <c r="BD97" s="164">
        <f>IF(AND($C96=12,$D96=Input!$C$6),0,IF($E97="","",AT97+(AU97+BD98)/(1+$AK97)*MIN((1-AM97-AN97),1)))</f>
        <v>2565.0757276776517</v>
      </c>
      <c r="BE97" s="164">
        <f t="shared" si="52"/>
        <v>1688.9008874818437</v>
      </c>
      <c r="BF97" s="164">
        <f t="shared" si="75"/>
        <v>714.92535806434353</v>
      </c>
      <c r="BG97" s="164">
        <f t="shared" si="53"/>
        <v>470.72219299011715</v>
      </c>
      <c r="BH97" s="152"/>
      <c r="BI97" s="162">
        <f t="shared" si="54"/>
        <v>411.44271911402819</v>
      </c>
      <c r="BJ97" s="150">
        <f t="shared" si="55"/>
        <v>0</v>
      </c>
      <c r="BK97" s="163">
        <f t="shared" si="79"/>
        <v>0</v>
      </c>
      <c r="BL97" s="163">
        <f t="shared" si="56"/>
        <v>8.3072721040688968</v>
      </c>
      <c r="BM97" s="163">
        <f t="shared" si="80"/>
        <v>1.3758989450877326</v>
      </c>
      <c r="BN97" s="163">
        <f t="shared" si="57"/>
        <v>3.3606651961924174E-2</v>
      </c>
      <c r="BO97" s="163">
        <f t="shared" si="58"/>
        <v>0</v>
      </c>
      <c r="BP97" s="164">
        <f t="shared" si="81"/>
        <v>404.54495260700895</v>
      </c>
      <c r="BQ97" s="164">
        <f>IF($E97="","",IF(AND($D97=Input!$C$6,$C97=12),0,-BJ98+BK98+BL98-BM98-BN98-BO98+BQ98))</f>
        <v>404.54497626800566</v>
      </c>
      <c r="BR97" s="161">
        <f t="shared" si="59"/>
        <v>0</v>
      </c>
      <c r="BT97" s="147">
        <f t="shared" si="60"/>
        <v>0.65842145292565213</v>
      </c>
      <c r="BU97" s="164">
        <f>IF(AND($C96=12,$D96=Input!$C$6),0,IF($E97="","",BK97+(BL97+BU98)/(1+$AK97)*MIN((1-T97-U97),1)))</f>
        <v>4253.5060891595076</v>
      </c>
      <c r="BV97" s="164">
        <f t="shared" si="61"/>
        <v>2800.5996592525116</v>
      </c>
      <c r="BW97" s="164">
        <f t="shared" si="62"/>
        <v>404.54497626800566</v>
      </c>
      <c r="BX97" s="164">
        <f t="shared" si="63"/>
        <v>266.36109104815375</v>
      </c>
    </row>
    <row r="98" spans="1:76" s="150" customFormat="1" x14ac:dyDescent="0.25">
      <c r="A98" s="150">
        <f t="shared" si="76"/>
        <v>94</v>
      </c>
      <c r="B98" s="150">
        <f t="shared" si="77"/>
        <v>8</v>
      </c>
      <c r="C98" s="150">
        <f t="shared" si="78"/>
        <v>10</v>
      </c>
      <c r="D98" s="150">
        <f>IF(E98="","",Input!$C$4+B98-1)</f>
        <v>52</v>
      </c>
      <c r="E98" s="150">
        <f>IF(OR(AND(C97=12,D97=Input!$C$6),E97=""),"",1)</f>
        <v>1</v>
      </c>
      <c r="F98" s="150">
        <f>IF(E98="","",Input!$C$8+B98-1)</f>
        <v>2025</v>
      </c>
      <c r="G98" s="151">
        <f>IF(E98="","",MAX(0,Input!$C$9-B98))</f>
        <v>12</v>
      </c>
      <c r="H98" s="152">
        <f>IF(E98="","",Input!$C$3)</f>
        <v>100000</v>
      </c>
      <c r="I98" s="153">
        <f>IF(E98="","",HLOOKUP($B98,Input!$C$13:$BT$14,2))</f>
        <v>2.2999999999999998</v>
      </c>
      <c r="J98" s="154"/>
      <c r="K98" s="155">
        <f>IF($E98="","",INDEX(Input!$C$16:$CP$16,1,$B98))</f>
        <v>2.63E-2</v>
      </c>
      <c r="L98" s="155">
        <f>IF($E98="","",Input!$C$37)</f>
        <v>1.4999999999999999E-2</v>
      </c>
      <c r="M98" s="155">
        <f t="shared" si="64"/>
        <v>4.1300000000000003E-2</v>
      </c>
      <c r="N98" s="155">
        <f t="shared" si="65"/>
        <v>3.3781876370064801E-3</v>
      </c>
      <c r="O98" s="147">
        <f>IF($E98="","",MIN(VLOOKUP(IF($B98&lt;=Input!$C$7,$B98,26),'Mortality Tables'!$A$41:$CW$67,IF($B98&lt;=Input!$C$7+1,Input!$C$4+2,$D98-Input!$C$7+2),0)*IF(B98&gt;20,Input!$C$22,1)/1000,1))</f>
        <v>1.0319999999999999E-3</v>
      </c>
      <c r="P98" s="147">
        <f>IF($E98="","",MIN(VLOOKUP(IF($B98&lt;=Input!$C$7,$B98,26),'Mortality Tables'!$A$12:$CW$37,IF($B98&lt;=Input!$C$7+1,Input!$C$4+2,$D98-Input!$C$7+2),0)*IF(B98&gt;20,Input!$C$22,1)/1000,1))</f>
        <v>1.2900000000000001E-3</v>
      </c>
      <c r="Q98" s="155">
        <f>IF($E98="","",Input!$C$21)</f>
        <v>5.0000000000000001E-3</v>
      </c>
      <c r="R98" s="159">
        <f>IF($E98="","",(1-Q98)^($F98-Input!$C$20))</f>
        <v>0.96552064680948435</v>
      </c>
      <c r="S98" s="147">
        <f t="shared" si="41"/>
        <v>9.964173075073877E-4</v>
      </c>
      <c r="T98" s="147">
        <f t="shared" si="42"/>
        <v>8.3072721040688968E-5</v>
      </c>
      <c r="U98" s="160">
        <f>IF($E98="","",IF($C98=12,INDEX(Input!$C$15:$CP$15,1,$B98),0))</f>
        <v>0</v>
      </c>
      <c r="V98" s="150">
        <f>IF(E98="","",IF(C98=1,IF($B98=1,Input!$C$33,Input!$C$34),0))</f>
        <v>0</v>
      </c>
      <c r="W98" s="156">
        <f>IF($E98="","",Input!$C$35)</f>
        <v>0.02</v>
      </c>
      <c r="X98" s="156">
        <f t="shared" si="43"/>
        <v>1.14868566764928</v>
      </c>
      <c r="Y98" s="154"/>
      <c r="Z98" s="147">
        <f>IF($E98="","",VLOOKUP($D98,'Mortality Margins &amp; Grading'!$AB$5:$AF$125,3,0)*IF(Summary!$D$25="Included Margin",IF(AND($B98&gt;Input!$C$9,Summary!$D$31&lt;&gt;"Included Margin"),0,1),0))</f>
        <v>3.7999999999999999E-2</v>
      </c>
      <c r="AA98" s="147">
        <f>IF($E98="","",VLOOKUP($D98,'Mortality Margins &amp; Grading'!$AB$5:$AF$125,5,0)*IF(Summary!$D$25="Included Margin",IF(AND($B98&gt;Input!$C$9,Summary!$D$31&lt;&gt;"Included Margin"),0,1),0))</f>
        <v>0.19600000000000001</v>
      </c>
      <c r="AB98" s="147">
        <f>IF($E98="","",IF(AND($B98&gt;Input!$C$9,Summary!$D$31&lt;&gt;"Included Margin"),1,IF(Summary!$D$25="Included Margin",VLOOKUP($B98,'Mortality Margins &amp; Grading'!$AI$5:$AR$125,MATCH('Mortality Margins &amp; Grading'!$AQ$4,'Mortality Margins &amp; Grading'!$AI$4:$AR$4,0),0),1)))</f>
        <v>1</v>
      </c>
      <c r="AC98" s="154"/>
      <c r="AD98" s="158">
        <f>IF(E98="","",Input!$C$48*IF(Summary!$D$30="Included Margin",IF(AND($B98&gt;Input!$C$9,Summary!$D$31&lt;&gt;"Included Margin"),0,1),0))</f>
        <v>-4.4999999999999997E-3</v>
      </c>
      <c r="AE98" s="159">
        <f>IF(E98="","",IF(Summary!$D$26="Included Margin",IF(AND($B98&gt;Input!$C$9,Summary!$D$31&lt;&gt;"Included Margin"),1,1/$R98),1))</f>
        <v>1.0357106327083228</v>
      </c>
      <c r="AF98" s="160">
        <f>IF(E98="","",IF(AND($B98&gt;=Input!$C$9,$C98=12,Summary!$D$31="Included Margin",$U98&gt;0),1/U98-1,IF($B98&gt;=Input!$C$9,0,Input!$C$45*IF(Summary!$D$27="Included Margin",1,0))))</f>
        <v>-0.1</v>
      </c>
      <c r="AG98" s="160">
        <f>IF(E98="","",Input!$C$46*IF(Summary!$D$28="Included Margin",IF(AND($B98&gt;Input!$C$9,Summary!$D$31&lt;&gt;"Included Margin"),0,1),0))</f>
        <v>0.02</v>
      </c>
      <c r="AH98" s="158">
        <f>IF(E98="","",Input!$C$47*IF(Summary!$D$29="Included Margin",IF(AND($B98&gt;Input!$C$9,Summary!$D$31&lt;&gt;"Included Margin"),0,1),0))</f>
        <v>2.5000000000000001E-3</v>
      </c>
      <c r="AI98" s="154"/>
      <c r="AJ98" s="158">
        <f t="shared" si="66"/>
        <v>3.6800000000000006E-2</v>
      </c>
      <c r="AK98" s="155">
        <f t="shared" si="67"/>
        <v>3.0161266025487965E-3</v>
      </c>
      <c r="AL98" s="147">
        <f t="shared" si="68"/>
        <v>1.0712160000000001E-3</v>
      </c>
      <c r="AM98" s="147">
        <f t="shared" si="44"/>
        <v>8.9311858285978651E-5</v>
      </c>
      <c r="AN98" s="160">
        <f t="shared" si="69"/>
        <v>0</v>
      </c>
      <c r="AO98" s="161">
        <f t="shared" si="70"/>
        <v>0</v>
      </c>
      <c r="AP98" s="156">
        <f t="shared" si="45"/>
        <v>1.1685390139999128</v>
      </c>
      <c r="AQ98" s="152"/>
      <c r="AR98" s="162">
        <f t="shared" si="46"/>
        <v>714.92533778313555</v>
      </c>
      <c r="AS98" s="150">
        <f t="shared" si="71"/>
        <v>0</v>
      </c>
      <c r="AT98" s="163">
        <f t="shared" si="47"/>
        <v>0</v>
      </c>
      <c r="AU98" s="163">
        <f t="shared" si="48"/>
        <v>8.9311858285978651</v>
      </c>
      <c r="AV98" s="163">
        <f t="shared" si="72"/>
        <v>2.1428365365389292</v>
      </c>
      <c r="AW98" s="163">
        <f t="shared" si="49"/>
        <v>6.3250681210403864E-2</v>
      </c>
      <c r="AX98" s="163">
        <f t="shared" si="50"/>
        <v>0</v>
      </c>
      <c r="AY98" s="164">
        <f t="shared" si="73"/>
        <v>708.20023917228696</v>
      </c>
      <c r="AZ98" s="164">
        <f>IF($E98="","",IF(OR(AND($D98=Input!$C$6,$C98=12),$AN98=1),0,-AS99+AT99+AU99-AV99-AW99-AX99+AZ99))</f>
        <v>708.20025945349505</v>
      </c>
      <c r="BA98" s="154">
        <f t="shared" si="51"/>
        <v>2.0281208094274916E-5</v>
      </c>
      <c r="BC98" s="147">
        <f t="shared" si="74"/>
        <v>0.658366756063966</v>
      </c>
      <c r="BD98" s="164">
        <f>IF(AND($C97=12,$D97=Input!$C$6),0,IF($E98="","",AT98+(AU98+BD99)/(1+$AK98)*MIN((1-AM98-AN98),1)))</f>
        <v>2564.1109381623965</v>
      </c>
      <c r="BE98" s="164">
        <f t="shared" si="52"/>
        <v>1688.1254005461094</v>
      </c>
      <c r="BF98" s="164">
        <f t="shared" si="75"/>
        <v>708.20025945349505</v>
      </c>
      <c r="BG98" s="164">
        <f t="shared" si="53"/>
        <v>466.25550746005661</v>
      </c>
      <c r="BH98" s="152"/>
      <c r="BI98" s="162">
        <f t="shared" si="54"/>
        <v>404.54495260700895</v>
      </c>
      <c r="BJ98" s="150">
        <f t="shared" si="55"/>
        <v>0</v>
      </c>
      <c r="BK98" s="163">
        <f t="shared" si="79"/>
        <v>0</v>
      </c>
      <c r="BL98" s="163">
        <f t="shared" si="56"/>
        <v>8.3072721040688968</v>
      </c>
      <c r="BM98" s="163">
        <f t="shared" si="80"/>
        <v>1.3525969955507628</v>
      </c>
      <c r="BN98" s="163">
        <f t="shared" si="57"/>
        <v>3.303165220593484E-2</v>
      </c>
      <c r="BO98" s="163">
        <f t="shared" si="58"/>
        <v>0</v>
      </c>
      <c r="BP98" s="164">
        <f t="shared" si="81"/>
        <v>397.62330915069674</v>
      </c>
      <c r="BQ98" s="164">
        <f>IF($E98="","",IF(AND($D98=Input!$C$6,$C98=12),0,-BJ99+BK99+BL99-BM99-BN99-BO99+BQ99))</f>
        <v>397.62333281169344</v>
      </c>
      <c r="BR98" s="161">
        <f t="shared" si="59"/>
        <v>0</v>
      </c>
      <c r="BT98" s="147">
        <f t="shared" si="60"/>
        <v>0.658366756063966</v>
      </c>
      <c r="BU98" s="164">
        <f>IF(AND($C97=12,$D97=Input!$C$6),0,IF($E98="","",BK98+(BL98+BU99)/(1+$AK98)*MIN((1-T98-U98),1)))</f>
        <v>4258.3823754439145</v>
      </c>
      <c r="BV98" s="164">
        <f t="shared" si="61"/>
        <v>2803.5773906009758</v>
      </c>
      <c r="BW98" s="164">
        <f t="shared" si="62"/>
        <v>397.62333281169344</v>
      </c>
      <c r="BX98" s="164">
        <f t="shared" si="63"/>
        <v>261.78198375857733</v>
      </c>
    </row>
    <row r="99" spans="1:76" s="150" customFormat="1" x14ac:dyDescent="0.25">
      <c r="A99" s="150">
        <f t="shared" si="76"/>
        <v>95</v>
      </c>
      <c r="B99" s="150">
        <f t="shared" si="77"/>
        <v>8</v>
      </c>
      <c r="C99" s="150">
        <f t="shared" si="78"/>
        <v>11</v>
      </c>
      <c r="D99" s="150">
        <f>IF(E99="","",Input!$C$4+B99-1)</f>
        <v>52</v>
      </c>
      <c r="E99" s="150">
        <f>IF(OR(AND(C98=12,D98=Input!$C$6),E98=""),"",1)</f>
        <v>1</v>
      </c>
      <c r="F99" s="150">
        <f>IF(E99="","",Input!$C$8+B99-1)</f>
        <v>2025</v>
      </c>
      <c r="G99" s="151">
        <f>IF(E99="","",MAX(0,Input!$C$9-B99))</f>
        <v>12</v>
      </c>
      <c r="H99" s="152">
        <f>IF(E99="","",Input!$C$3)</f>
        <v>100000</v>
      </c>
      <c r="I99" s="153">
        <f>IF(E99="","",HLOOKUP($B99,Input!$C$13:$BT$14,2))</f>
        <v>2.2999999999999998</v>
      </c>
      <c r="J99" s="154"/>
      <c r="K99" s="155">
        <f>IF($E99="","",INDEX(Input!$C$16:$CP$16,1,$B99))</f>
        <v>2.63E-2</v>
      </c>
      <c r="L99" s="155">
        <f>IF($E99="","",Input!$C$37)</f>
        <v>1.4999999999999999E-2</v>
      </c>
      <c r="M99" s="155">
        <f t="shared" si="64"/>
        <v>4.1300000000000003E-2</v>
      </c>
      <c r="N99" s="155">
        <f t="shared" si="65"/>
        <v>3.3781876370064801E-3</v>
      </c>
      <c r="O99" s="147">
        <f>IF($E99="","",MIN(VLOOKUP(IF($B99&lt;=Input!$C$7,$B99,26),'Mortality Tables'!$A$41:$CW$67,IF($B99&lt;=Input!$C$7+1,Input!$C$4+2,$D99-Input!$C$7+2),0)*IF(B99&gt;20,Input!$C$22,1)/1000,1))</f>
        <v>1.0319999999999999E-3</v>
      </c>
      <c r="P99" s="147">
        <f>IF($E99="","",MIN(VLOOKUP(IF($B99&lt;=Input!$C$7,$B99,26),'Mortality Tables'!$A$12:$CW$37,IF($B99&lt;=Input!$C$7+1,Input!$C$4+2,$D99-Input!$C$7+2),0)*IF(B99&gt;20,Input!$C$22,1)/1000,1))</f>
        <v>1.2900000000000001E-3</v>
      </c>
      <c r="Q99" s="155">
        <f>IF($E99="","",Input!$C$21)</f>
        <v>5.0000000000000001E-3</v>
      </c>
      <c r="R99" s="159">
        <f>IF($E99="","",(1-Q99)^($F99-Input!$C$20))</f>
        <v>0.96552064680948435</v>
      </c>
      <c r="S99" s="147">
        <f t="shared" si="41"/>
        <v>9.964173075073877E-4</v>
      </c>
      <c r="T99" s="147">
        <f t="shared" si="42"/>
        <v>8.3072721040688968E-5</v>
      </c>
      <c r="U99" s="160">
        <f>IF($E99="","",IF($C99=12,INDEX(Input!$C$15:$CP$15,1,$B99),0))</f>
        <v>0</v>
      </c>
      <c r="V99" s="150">
        <f>IF(E99="","",IF(C99=1,IF($B99=1,Input!$C$33,Input!$C$34),0))</f>
        <v>0</v>
      </c>
      <c r="W99" s="156">
        <f>IF($E99="","",Input!$C$35)</f>
        <v>0.02</v>
      </c>
      <c r="X99" s="156">
        <f t="shared" si="43"/>
        <v>1.14868566764928</v>
      </c>
      <c r="Y99" s="154"/>
      <c r="Z99" s="147">
        <f>IF($E99="","",VLOOKUP($D99,'Mortality Margins &amp; Grading'!$AB$5:$AF$125,3,0)*IF(Summary!$D$25="Included Margin",IF(AND($B99&gt;Input!$C$9,Summary!$D$31&lt;&gt;"Included Margin"),0,1),0))</f>
        <v>3.7999999999999999E-2</v>
      </c>
      <c r="AA99" s="147">
        <f>IF($E99="","",VLOOKUP($D99,'Mortality Margins &amp; Grading'!$AB$5:$AF$125,5,0)*IF(Summary!$D$25="Included Margin",IF(AND($B99&gt;Input!$C$9,Summary!$D$31&lt;&gt;"Included Margin"),0,1),0))</f>
        <v>0.19600000000000001</v>
      </c>
      <c r="AB99" s="147">
        <f>IF($E99="","",IF(AND($B99&gt;Input!$C$9,Summary!$D$31&lt;&gt;"Included Margin"),1,IF(Summary!$D$25="Included Margin",VLOOKUP($B99,'Mortality Margins &amp; Grading'!$AI$5:$AR$125,MATCH('Mortality Margins &amp; Grading'!$AQ$4,'Mortality Margins &amp; Grading'!$AI$4:$AR$4,0),0),1)))</f>
        <v>1</v>
      </c>
      <c r="AC99" s="154"/>
      <c r="AD99" s="158">
        <f>IF(E99="","",Input!$C$48*IF(Summary!$D$30="Included Margin",IF(AND($B99&gt;Input!$C$9,Summary!$D$31&lt;&gt;"Included Margin"),0,1),0))</f>
        <v>-4.4999999999999997E-3</v>
      </c>
      <c r="AE99" s="159">
        <f>IF(E99="","",IF(Summary!$D$26="Included Margin",IF(AND($B99&gt;Input!$C$9,Summary!$D$31&lt;&gt;"Included Margin"),1,1/$R99),1))</f>
        <v>1.0357106327083228</v>
      </c>
      <c r="AF99" s="160">
        <f>IF(E99="","",IF(AND($B99&gt;=Input!$C$9,$C99=12,Summary!$D$31="Included Margin",$U99&gt;0),1/U99-1,IF($B99&gt;=Input!$C$9,0,Input!$C$45*IF(Summary!$D$27="Included Margin",1,0))))</f>
        <v>-0.1</v>
      </c>
      <c r="AG99" s="160">
        <f>IF(E99="","",Input!$C$46*IF(Summary!$D$28="Included Margin",IF(AND($B99&gt;Input!$C$9,Summary!$D$31&lt;&gt;"Included Margin"),0,1),0))</f>
        <v>0.02</v>
      </c>
      <c r="AH99" s="158">
        <f>IF(E99="","",Input!$C$47*IF(Summary!$D$29="Included Margin",IF(AND($B99&gt;Input!$C$9,Summary!$D$31&lt;&gt;"Included Margin"),0,1),0))</f>
        <v>2.5000000000000001E-3</v>
      </c>
      <c r="AI99" s="154"/>
      <c r="AJ99" s="158">
        <f t="shared" si="66"/>
        <v>3.6800000000000006E-2</v>
      </c>
      <c r="AK99" s="155">
        <f t="shared" si="67"/>
        <v>3.0161266025487965E-3</v>
      </c>
      <c r="AL99" s="147">
        <f t="shared" si="68"/>
        <v>1.0712160000000001E-3</v>
      </c>
      <c r="AM99" s="147">
        <f t="shared" si="44"/>
        <v>8.9311858285978651E-5</v>
      </c>
      <c r="AN99" s="160">
        <f t="shared" si="69"/>
        <v>0</v>
      </c>
      <c r="AO99" s="161">
        <f t="shared" si="70"/>
        <v>0</v>
      </c>
      <c r="AP99" s="156">
        <f t="shared" si="45"/>
        <v>1.1685390139999128</v>
      </c>
      <c r="AQ99" s="152"/>
      <c r="AR99" s="162">
        <f t="shared" si="46"/>
        <v>708.20023917228707</v>
      </c>
      <c r="AS99" s="150">
        <f t="shared" si="71"/>
        <v>0</v>
      </c>
      <c r="AT99" s="163">
        <f t="shared" si="47"/>
        <v>0</v>
      </c>
      <c r="AU99" s="163">
        <f t="shared" si="48"/>
        <v>8.9311858285978651</v>
      </c>
      <c r="AV99" s="163">
        <f t="shared" si="72"/>
        <v>2.1225527877139849</v>
      </c>
      <c r="AW99" s="163">
        <f t="shared" si="49"/>
        <v>6.2648184766934983E-2</v>
      </c>
      <c r="AX99" s="163">
        <f t="shared" si="50"/>
        <v>0</v>
      </c>
      <c r="AY99" s="164">
        <f t="shared" si="73"/>
        <v>701.45425431617002</v>
      </c>
      <c r="AZ99" s="164">
        <f>IF($E99="","",IF(OR(AND($D99=Input!$C$6,$C99=12),$AN99=1),0,-AS100+AT100+AU100-AV100-AW100-AX100+AZ100))</f>
        <v>701.45427459737812</v>
      </c>
      <c r="BA99" s="154">
        <f t="shared" si="51"/>
        <v>2.0281208094274916E-5</v>
      </c>
      <c r="BC99" s="147">
        <f t="shared" si="74"/>
        <v>0.65831206374609708</v>
      </c>
      <c r="BD99" s="164">
        <f>IF(AND($C98=12,$D98=Input!$C$6),0,IF($E99="","",AT99+(AU99+BD100)/(1+$AK99)*MIN((1-AM99-AN99),1)))</f>
        <v>2563.143152285063</v>
      </c>
      <c r="BE99" s="164">
        <f t="shared" si="52"/>
        <v>1687.3480582574566</v>
      </c>
      <c r="BF99" s="164">
        <f t="shared" si="75"/>
        <v>701.45427459737812</v>
      </c>
      <c r="BG99" s="164">
        <f t="shared" si="53"/>
        <v>461.77581113372145</v>
      </c>
      <c r="BH99" s="152"/>
      <c r="BI99" s="162">
        <f t="shared" si="54"/>
        <v>397.62330915069674</v>
      </c>
      <c r="BJ99" s="150">
        <f t="shared" si="55"/>
        <v>0</v>
      </c>
      <c r="BK99" s="163">
        <f t="shared" si="79"/>
        <v>0</v>
      </c>
      <c r="BL99" s="163">
        <f t="shared" si="56"/>
        <v>8.3072721040688968</v>
      </c>
      <c r="BM99" s="163">
        <f t="shared" si="80"/>
        <v>1.329214385198882</v>
      </c>
      <c r="BN99" s="163">
        <f t="shared" si="57"/>
        <v>3.2454662060737167E-2</v>
      </c>
      <c r="BO99" s="163">
        <f t="shared" si="58"/>
        <v>0</v>
      </c>
      <c r="BP99" s="164">
        <f t="shared" si="81"/>
        <v>390.67770609388748</v>
      </c>
      <c r="BQ99" s="164">
        <f>IF($E99="","",IF(AND($D99=Input!$C$6,$C99=12),0,-BJ100+BK100+BL100-BM100-BN100-BO100+BQ100))</f>
        <v>390.67772975488418</v>
      </c>
      <c r="BR99" s="161">
        <f t="shared" si="59"/>
        <v>0</v>
      </c>
      <c r="BT99" s="147">
        <f t="shared" si="60"/>
        <v>0.65831206374609708</v>
      </c>
      <c r="BU99" s="164">
        <f>IF(AND($C98=12,$D98=Input!$C$6),0,IF($E99="","",BK99+(BL99+BU100)/(1+$AK99)*MIN((1-T99-U99),1)))</f>
        <v>4263.2737755670223</v>
      </c>
      <c r="BV99" s="164">
        <f t="shared" si="61"/>
        <v>2806.5645575081417</v>
      </c>
      <c r="BW99" s="164">
        <f t="shared" si="62"/>
        <v>390.67772975488418</v>
      </c>
      <c r="BX99" s="164">
        <f t="shared" si="63"/>
        <v>257.18786253457779</v>
      </c>
    </row>
    <row r="100" spans="1:76" s="150" customFormat="1" x14ac:dyDescent="0.25">
      <c r="A100" s="150">
        <f t="shared" si="76"/>
        <v>96</v>
      </c>
      <c r="B100" s="150">
        <f t="shared" si="77"/>
        <v>8</v>
      </c>
      <c r="C100" s="150">
        <f t="shared" si="78"/>
        <v>12</v>
      </c>
      <c r="D100" s="150">
        <f>IF(E100="","",Input!$C$4+B100-1)</f>
        <v>52</v>
      </c>
      <c r="E100" s="150">
        <f>IF(OR(AND(C99=12,D99=Input!$C$6),E99=""),"",1)</f>
        <v>1</v>
      </c>
      <c r="F100" s="150">
        <f>IF(E100="","",Input!$C$8+B100-1)</f>
        <v>2025</v>
      </c>
      <c r="G100" s="151">
        <f>IF(E100="","",MAX(0,Input!$C$9-B100))</f>
        <v>12</v>
      </c>
      <c r="H100" s="152">
        <f>IF(E100="","",Input!$C$3)</f>
        <v>100000</v>
      </c>
      <c r="I100" s="153">
        <f>IF(E100="","",HLOOKUP($B100,Input!$C$13:$BT$14,2))</f>
        <v>2.2999999999999998</v>
      </c>
      <c r="J100" s="154"/>
      <c r="K100" s="155">
        <f>IF($E100="","",INDEX(Input!$C$16:$CP$16,1,$B100))</f>
        <v>2.63E-2</v>
      </c>
      <c r="L100" s="155">
        <f>IF($E100="","",Input!$C$37)</f>
        <v>1.4999999999999999E-2</v>
      </c>
      <c r="M100" s="155">
        <f t="shared" si="64"/>
        <v>4.1300000000000003E-2</v>
      </c>
      <c r="N100" s="155">
        <f t="shared" si="65"/>
        <v>3.3781876370064801E-3</v>
      </c>
      <c r="O100" s="147">
        <f>IF($E100="","",MIN(VLOOKUP(IF($B100&lt;=Input!$C$7,$B100,26),'Mortality Tables'!$A$41:$CW$67,IF($B100&lt;=Input!$C$7+1,Input!$C$4+2,$D100-Input!$C$7+2),0)*IF(B100&gt;20,Input!$C$22,1)/1000,1))</f>
        <v>1.0319999999999999E-3</v>
      </c>
      <c r="P100" s="147">
        <f>IF($E100="","",MIN(VLOOKUP(IF($B100&lt;=Input!$C$7,$B100,26),'Mortality Tables'!$A$12:$CW$37,IF($B100&lt;=Input!$C$7+1,Input!$C$4+2,$D100-Input!$C$7+2),0)*IF(B100&gt;20,Input!$C$22,1)/1000,1))</f>
        <v>1.2900000000000001E-3</v>
      </c>
      <c r="Q100" s="155">
        <f>IF($E100="","",Input!$C$21)</f>
        <v>5.0000000000000001E-3</v>
      </c>
      <c r="R100" s="159">
        <f>IF($E100="","",(1-Q100)^($F100-Input!$C$20))</f>
        <v>0.96552064680948435</v>
      </c>
      <c r="S100" s="147">
        <f t="shared" si="41"/>
        <v>9.964173075073877E-4</v>
      </c>
      <c r="T100" s="147">
        <f t="shared" si="42"/>
        <v>8.3072721040688968E-5</v>
      </c>
      <c r="U100" s="160">
        <f>IF($E100="","",IF($C100=12,INDEX(Input!$C$15:$CP$15,1,$B100),0))</f>
        <v>0.05</v>
      </c>
      <c r="V100" s="150">
        <f>IF(E100="","",IF(C100=1,IF($B100=1,Input!$C$33,Input!$C$34),0))</f>
        <v>0</v>
      </c>
      <c r="W100" s="156">
        <f>IF($E100="","",Input!$C$35)</f>
        <v>0.02</v>
      </c>
      <c r="X100" s="156">
        <f t="shared" si="43"/>
        <v>1.14868566764928</v>
      </c>
      <c r="Y100" s="154"/>
      <c r="Z100" s="147">
        <f>IF($E100="","",VLOOKUP($D100,'Mortality Margins &amp; Grading'!$AB$5:$AF$125,3,0)*IF(Summary!$D$25="Included Margin",IF(AND($B100&gt;Input!$C$9,Summary!$D$31&lt;&gt;"Included Margin"),0,1),0))</f>
        <v>3.7999999999999999E-2</v>
      </c>
      <c r="AA100" s="147">
        <f>IF($E100="","",VLOOKUP($D100,'Mortality Margins &amp; Grading'!$AB$5:$AF$125,5,0)*IF(Summary!$D$25="Included Margin",IF(AND($B100&gt;Input!$C$9,Summary!$D$31&lt;&gt;"Included Margin"),0,1),0))</f>
        <v>0.19600000000000001</v>
      </c>
      <c r="AB100" s="147">
        <f>IF($E100="","",IF(AND($B100&gt;Input!$C$9,Summary!$D$31&lt;&gt;"Included Margin"),1,IF(Summary!$D$25="Included Margin",VLOOKUP($B100,'Mortality Margins &amp; Grading'!$AI$5:$AR$125,MATCH('Mortality Margins &amp; Grading'!$AQ$4,'Mortality Margins &amp; Grading'!$AI$4:$AR$4,0),0),1)))</f>
        <v>1</v>
      </c>
      <c r="AC100" s="154"/>
      <c r="AD100" s="158">
        <f>IF(E100="","",Input!$C$48*IF(Summary!$D$30="Included Margin",IF(AND($B100&gt;Input!$C$9,Summary!$D$31&lt;&gt;"Included Margin"),0,1),0))</f>
        <v>-4.4999999999999997E-3</v>
      </c>
      <c r="AE100" s="159">
        <f>IF(E100="","",IF(Summary!$D$26="Included Margin",IF(AND($B100&gt;Input!$C$9,Summary!$D$31&lt;&gt;"Included Margin"),1,1/$R100),1))</f>
        <v>1.0357106327083228</v>
      </c>
      <c r="AF100" s="160">
        <f>IF(E100="","",IF(AND($B100&gt;=Input!$C$9,$C100=12,Summary!$D$31="Included Margin",$U100&gt;0),1/U100-1,IF($B100&gt;=Input!$C$9,0,Input!$C$45*IF(Summary!$D$27="Included Margin",1,0))))</f>
        <v>-0.1</v>
      </c>
      <c r="AG100" s="160">
        <f>IF(E100="","",Input!$C$46*IF(Summary!$D$28="Included Margin",IF(AND($B100&gt;Input!$C$9,Summary!$D$31&lt;&gt;"Included Margin"),0,1),0))</f>
        <v>0.02</v>
      </c>
      <c r="AH100" s="158">
        <f>IF(E100="","",Input!$C$47*IF(Summary!$D$29="Included Margin",IF(AND($B100&gt;Input!$C$9,Summary!$D$31&lt;&gt;"Included Margin"),0,1),0))</f>
        <v>2.5000000000000001E-3</v>
      </c>
      <c r="AI100" s="154"/>
      <c r="AJ100" s="158">
        <f t="shared" si="66"/>
        <v>3.6800000000000006E-2</v>
      </c>
      <c r="AK100" s="155">
        <f t="shared" si="67"/>
        <v>3.0161266025487965E-3</v>
      </c>
      <c r="AL100" s="147">
        <f t="shared" si="68"/>
        <v>1.0712160000000001E-3</v>
      </c>
      <c r="AM100" s="147">
        <f t="shared" si="44"/>
        <v>8.9311858285978651E-5</v>
      </c>
      <c r="AN100" s="160">
        <f t="shared" si="69"/>
        <v>4.5000000000000005E-2</v>
      </c>
      <c r="AO100" s="161">
        <f t="shared" si="70"/>
        <v>0</v>
      </c>
      <c r="AP100" s="156">
        <f t="shared" si="45"/>
        <v>1.1685390139999128</v>
      </c>
      <c r="AQ100" s="152"/>
      <c r="AR100" s="162">
        <f t="shared" si="46"/>
        <v>701.45425431617002</v>
      </c>
      <c r="AS100" s="150">
        <f t="shared" si="71"/>
        <v>0</v>
      </c>
      <c r="AT100" s="163">
        <f t="shared" si="47"/>
        <v>0</v>
      </c>
      <c r="AU100" s="163">
        <f t="shared" si="48"/>
        <v>8.9311858285978651</v>
      </c>
      <c r="AV100" s="163">
        <f t="shared" si="72"/>
        <v>2.1022060433290592</v>
      </c>
      <c r="AW100" s="163">
        <f t="shared" si="49"/>
        <v>6.4967347791329053E-2</v>
      </c>
      <c r="AX100" s="163">
        <f t="shared" si="50"/>
        <v>32.73103483407845</v>
      </c>
      <c r="AY100" s="164">
        <f t="shared" si="73"/>
        <v>727.42127671277092</v>
      </c>
      <c r="AZ100" s="164">
        <f>IF($E100="","",IF(OR(AND($D100=Input!$C$6,$C100=12),$AN100=1),0,-AS101+AT101+AU101-AV101-AW101-AX101+AZ101))</f>
        <v>727.42129699397913</v>
      </c>
      <c r="BA100" s="154">
        <f t="shared" si="51"/>
        <v>2.0281208207961754E-5</v>
      </c>
      <c r="BC100" s="147">
        <f t="shared" si="74"/>
        <v>0.62534177278436287</v>
      </c>
      <c r="BD100" s="164">
        <f>IF(AND($C99=12,$D99=Input!$C$6),0,IF($E100="","",AT100+(AU100+BD101)/(1+$AK100)*MIN((1-AM100-AN100),1)))</f>
        <v>2562.172360739803</v>
      </c>
      <c r="BE100" s="164">
        <f t="shared" si="52"/>
        <v>1602.2334062441246</v>
      </c>
      <c r="BF100" s="164">
        <f t="shared" si="75"/>
        <v>727.42129699397913</v>
      </c>
      <c r="BG100" s="164">
        <f t="shared" si="53"/>
        <v>454.88692342331541</v>
      </c>
      <c r="BH100" s="152"/>
      <c r="BI100" s="162">
        <f t="shared" si="54"/>
        <v>390.67770609388742</v>
      </c>
      <c r="BJ100" s="150">
        <f t="shared" si="55"/>
        <v>0</v>
      </c>
      <c r="BK100" s="163">
        <f t="shared" si="79"/>
        <v>0</v>
      </c>
      <c r="BL100" s="163">
        <f t="shared" si="56"/>
        <v>8.3072721040688968</v>
      </c>
      <c r="BM100" s="163">
        <f t="shared" si="80"/>
        <v>1.3057508348208144</v>
      </c>
      <c r="BN100" s="163">
        <f t="shared" si="57"/>
        <v>3.3553341722635292E-2</v>
      </c>
      <c r="BO100" s="163">
        <f t="shared" si="58"/>
        <v>20.193484657138743</v>
      </c>
      <c r="BP100" s="164">
        <f t="shared" si="81"/>
        <v>403.9032228235007</v>
      </c>
      <c r="BQ100" s="164">
        <f>IF($E100="","",IF(AND($D100=Input!$C$6,$C100=12),0,-BJ101+BK101+BL101-BM101-BN101-BO101+BQ101))</f>
        <v>403.90324648449746</v>
      </c>
      <c r="BR100" s="161">
        <f t="shared" si="59"/>
        <v>0</v>
      </c>
      <c r="BT100" s="147">
        <f t="shared" si="60"/>
        <v>0.62534177278436287</v>
      </c>
      <c r="BU100" s="164">
        <f>IF(AND($C99=12,$D99=Input!$C$6),0,IF($E100="","",BK100+(BL100+BU101)/(1+$AK100)*MIN((1-T100-U100),1)))</f>
        <v>4268.1803363735226</v>
      </c>
      <c r="BV100" s="164">
        <f t="shared" si="61"/>
        <v>2669.071458111177</v>
      </c>
      <c r="BW100" s="164">
        <f t="shared" si="62"/>
        <v>403.90324648449746</v>
      </c>
      <c r="BX100" s="164">
        <f t="shared" si="63"/>
        <v>252.57757218997511</v>
      </c>
    </row>
    <row r="101" spans="1:76" s="150" customFormat="1" x14ac:dyDescent="0.25">
      <c r="A101" s="150">
        <f t="shared" si="76"/>
        <v>97</v>
      </c>
      <c r="B101" s="150">
        <f t="shared" si="77"/>
        <v>9</v>
      </c>
      <c r="C101" s="150">
        <f t="shared" si="78"/>
        <v>1</v>
      </c>
      <c r="D101" s="150">
        <f>IF(E101="","",Input!$C$4+B101-1)</f>
        <v>53</v>
      </c>
      <c r="E101" s="150">
        <f>IF(OR(AND(C100=12,D100=Input!$C$6),E100=""),"",1)</f>
        <v>1</v>
      </c>
      <c r="F101" s="150">
        <f>IF(E101="","",Input!$C$8+B101-1)</f>
        <v>2026</v>
      </c>
      <c r="G101" s="151">
        <f>IF(E101="","",MAX(0,Input!$C$9-B101))</f>
        <v>11</v>
      </c>
      <c r="H101" s="152">
        <f>IF(E101="","",Input!$C$3)</f>
        <v>100000</v>
      </c>
      <c r="I101" s="153">
        <f>IF(E101="","",HLOOKUP($B101,Input!$C$13:$BT$14,2))</f>
        <v>2.2999999999999998</v>
      </c>
      <c r="J101" s="154"/>
      <c r="K101" s="155">
        <f>IF($E101="","",INDEX(Input!$C$16:$CP$16,1,$B101))</f>
        <v>2.5930000000000002E-2</v>
      </c>
      <c r="L101" s="155">
        <f>IF($E101="","",Input!$C$37)</f>
        <v>1.4999999999999999E-2</v>
      </c>
      <c r="M101" s="155">
        <f t="shared" si="64"/>
        <v>4.0930000000000001E-2</v>
      </c>
      <c r="N101" s="155">
        <f t="shared" si="65"/>
        <v>3.3484723449095366E-3</v>
      </c>
      <c r="O101" s="147">
        <f>IF($E101="","",MIN(VLOOKUP(IF($B101&lt;=Input!$C$7,$B101,26),'Mortality Tables'!$A$41:$CW$67,IF($B101&lt;=Input!$C$7+1,Input!$C$4+2,$D101-Input!$C$7+2),0)*IF(B101&gt;20,Input!$C$22,1)/1000,1))</f>
        <v>1.176E-3</v>
      </c>
      <c r="P101" s="147">
        <f>IF($E101="","",MIN(VLOOKUP(IF($B101&lt;=Input!$C$7,$B101,26),'Mortality Tables'!$A$12:$CW$37,IF($B101&lt;=Input!$C$7+1,Input!$C$4+2,$D101-Input!$C$7+2),0)*IF(B101&gt;20,Input!$C$22,1)/1000,1))</f>
        <v>1.47E-3</v>
      </c>
      <c r="Q101" s="155">
        <f>IF($E101="","",Input!$C$21)</f>
        <v>5.0000000000000001E-3</v>
      </c>
      <c r="R101" s="159">
        <f>IF($E101="","",(1-Q101)^($F101-Input!$C$20))</f>
        <v>0.96069304357543694</v>
      </c>
      <c r="S101" s="147">
        <f t="shared" si="41"/>
        <v>1.1297750192447139E-3</v>
      </c>
      <c r="T101" s="147">
        <f t="shared" si="42"/>
        <v>9.4196704555793431E-5</v>
      </c>
      <c r="U101" s="160">
        <f>IF($E101="","",IF($C101=12,INDEX(Input!$C$15:$CP$15,1,$B101),0))</f>
        <v>0</v>
      </c>
      <c r="V101" s="150">
        <f>IF(E101="","",IF(C101=1,IF($B101=1,Input!$C$33,Input!$C$34),0))</f>
        <v>50</v>
      </c>
      <c r="W101" s="156">
        <f>IF($E101="","",Input!$C$35)</f>
        <v>0.02</v>
      </c>
      <c r="X101" s="156">
        <f t="shared" si="43"/>
        <v>1.1716593810022657</v>
      </c>
      <c r="Y101" s="154"/>
      <c r="Z101" s="147">
        <f>IF($E101="","",VLOOKUP($D101,'Mortality Margins &amp; Grading'!$AB$5:$AF$125,3,0)*IF(Summary!$D$25="Included Margin",IF(AND($B101&gt;Input!$C$9,Summary!$D$31&lt;&gt;"Included Margin"),0,1),0))</f>
        <v>3.7999999999999999E-2</v>
      </c>
      <c r="AA101" s="147">
        <f>IF($E101="","",VLOOKUP($D101,'Mortality Margins &amp; Grading'!$AB$5:$AF$125,5,0)*IF(Summary!$D$25="Included Margin",IF(AND($B101&gt;Input!$C$9,Summary!$D$31&lt;&gt;"Included Margin"),0,1),0))</f>
        <v>0.19600000000000001</v>
      </c>
      <c r="AB101" s="147">
        <f>IF($E101="","",IF(AND($B101&gt;Input!$C$9,Summary!$D$31&lt;&gt;"Included Margin"),1,IF(Summary!$D$25="Included Margin",VLOOKUP($B101,'Mortality Margins &amp; Grading'!$AI$5:$AR$125,MATCH('Mortality Margins &amp; Grading'!$AQ$4,'Mortality Margins &amp; Grading'!$AI$4:$AR$4,0),0),1)))</f>
        <v>1</v>
      </c>
      <c r="AC101" s="154"/>
      <c r="AD101" s="158">
        <f>IF(E101="","",Input!$C$48*IF(Summary!$D$30="Included Margin",IF(AND($B101&gt;Input!$C$9,Summary!$D$31&lt;&gt;"Included Margin"),0,1),0))</f>
        <v>-4.4999999999999997E-3</v>
      </c>
      <c r="AE101" s="159">
        <f>IF(E101="","",IF(Summary!$D$26="Included Margin",IF(AND($B101&gt;Input!$C$9,Summary!$D$31&lt;&gt;"Included Margin"),1,1/$R101),1))</f>
        <v>1.040915208752083</v>
      </c>
      <c r="AF101" s="160">
        <f>IF(E101="","",IF(AND($B101&gt;=Input!$C$9,$C101=12,Summary!$D$31="Included Margin",$U101&gt;0),1/U101-1,IF($B101&gt;=Input!$C$9,0,Input!$C$45*IF(Summary!$D$27="Included Margin",1,0))))</f>
        <v>-0.1</v>
      </c>
      <c r="AG101" s="160">
        <f>IF(E101="","",Input!$C$46*IF(Summary!$D$28="Included Margin",IF(AND($B101&gt;Input!$C$9,Summary!$D$31&lt;&gt;"Included Margin"),0,1),0))</f>
        <v>0.02</v>
      </c>
      <c r="AH101" s="158">
        <f>IF(E101="","",Input!$C$47*IF(Summary!$D$29="Included Margin",IF(AND($B101&gt;Input!$C$9,Summary!$D$31&lt;&gt;"Included Margin"),0,1),0))</f>
        <v>2.5000000000000001E-3</v>
      </c>
      <c r="AI101" s="154"/>
      <c r="AJ101" s="158">
        <f t="shared" si="66"/>
        <v>3.6430000000000004E-2</v>
      </c>
      <c r="AK101" s="155">
        <f t="shared" si="67"/>
        <v>2.9862930858015613E-3</v>
      </c>
      <c r="AL101" s="147">
        <f t="shared" si="68"/>
        <v>1.2206879999999997E-3</v>
      </c>
      <c r="AM101" s="147">
        <f t="shared" si="44"/>
        <v>1.0178095717183755E-4</v>
      </c>
      <c r="AN101" s="160">
        <f t="shared" si="69"/>
        <v>0</v>
      </c>
      <c r="AO101" s="161">
        <f t="shared" si="70"/>
        <v>51</v>
      </c>
      <c r="AP101" s="156">
        <f t="shared" si="45"/>
        <v>1.1948311418149107</v>
      </c>
      <c r="AQ101" s="152"/>
      <c r="AR101" s="162">
        <f t="shared" si="46"/>
        <v>727.42127433588303</v>
      </c>
      <c r="AS101" s="150">
        <f t="shared" si="71"/>
        <v>229.99999999999997</v>
      </c>
      <c r="AT101" s="163">
        <f t="shared" si="47"/>
        <v>60.936388232560446</v>
      </c>
      <c r="AU101" s="163">
        <f t="shared" si="48"/>
        <v>10.178095717183755</v>
      </c>
      <c r="AV101" s="163">
        <f t="shared" si="72"/>
        <v>2.6619692284625258</v>
      </c>
      <c r="AW101" s="163">
        <f t="shared" si="49"/>
        <v>9.0489303643536648E-2</v>
      </c>
      <c r="AX101" s="163">
        <f t="shared" si="50"/>
        <v>0</v>
      </c>
      <c r="AY101" s="164">
        <f t="shared" si="73"/>
        <v>889.05924891824486</v>
      </c>
      <c r="AZ101" s="164">
        <f>IF($E101="","",IF(OR(AND($D101=Input!$C$6,$C101=12),$AN101=1),0,-AS102+AT102+AU102-AV102-AW102-AX102+AZ102))</f>
        <v>889.05927157634096</v>
      </c>
      <c r="BA101" s="154">
        <f t="shared" si="51"/>
        <v>2.2658096099803515E-5</v>
      </c>
      <c r="BC101" s="147">
        <f t="shared" si="74"/>
        <v>0.62528286765014551</v>
      </c>
      <c r="BD101" s="164">
        <f>IF(AND($C100=12,$D100=Input!$C$6),0,IF($E101="","",AT101+(AU101+BD102)/(1+$AK101)*MIN((1-AM101-AN101),1)))</f>
        <v>2682.315470922571</v>
      </c>
      <c r="BE101" s="164">
        <f t="shared" si="52"/>
        <v>1677.2059096008156</v>
      </c>
      <c r="BF101" s="164">
        <f t="shared" si="75"/>
        <v>889.05927157634096</v>
      </c>
      <c r="BG101" s="164">
        <f t="shared" si="53"/>
        <v>555.91353084220395</v>
      </c>
      <c r="BH101" s="152"/>
      <c r="BI101" s="162">
        <f t="shared" si="54"/>
        <v>403.90322012466476</v>
      </c>
      <c r="BJ101" s="150">
        <f t="shared" si="55"/>
        <v>229.99999999999997</v>
      </c>
      <c r="BK101" s="163">
        <f t="shared" si="79"/>
        <v>58.582969050113284</v>
      </c>
      <c r="BL101" s="163">
        <f t="shared" si="56"/>
        <v>9.4196704555793431</v>
      </c>
      <c r="BM101" s="163">
        <f t="shared" si="80"/>
        <v>1.910673197180212</v>
      </c>
      <c r="BN101" s="163">
        <f t="shared" si="57"/>
        <v>5.3490990077172798E-2</v>
      </c>
      <c r="BO101" s="163">
        <f t="shared" si="58"/>
        <v>0</v>
      </c>
      <c r="BP101" s="164">
        <f t="shared" si="81"/>
        <v>567.86474480622951</v>
      </c>
      <c r="BQ101" s="164">
        <f>IF($E101="","",IF(AND($D101=Input!$C$6,$C101=12),0,-BJ102+BK102+BL102-BM102-BN102-BO102+BQ102))</f>
        <v>567.86477116606216</v>
      </c>
      <c r="BR101" s="161">
        <f t="shared" si="59"/>
        <v>0</v>
      </c>
      <c r="BT101" s="147">
        <f t="shared" si="60"/>
        <v>0.62528286765014551</v>
      </c>
      <c r="BU101" s="164">
        <f>IF(AND($C100=12,$D100=Input!$C$6),0,IF($E101="","",BK101+(BL101+BU102)/(1+$AK101)*MIN((1-T101-U101),1)))</f>
        <v>4498.4591468222998</v>
      </c>
      <c r="BV101" s="164">
        <f t="shared" si="61"/>
        <v>2812.8094353320744</v>
      </c>
      <c r="BW101" s="164">
        <f t="shared" si="62"/>
        <v>567.86477116606216</v>
      </c>
      <c r="BX101" s="164">
        <f t="shared" si="63"/>
        <v>355.076112552209</v>
      </c>
    </row>
    <row r="102" spans="1:76" s="150" customFormat="1" x14ac:dyDescent="0.25">
      <c r="A102" s="150">
        <f t="shared" si="76"/>
        <v>98</v>
      </c>
      <c r="B102" s="150">
        <f t="shared" si="77"/>
        <v>9</v>
      </c>
      <c r="C102" s="150">
        <f t="shared" si="78"/>
        <v>2</v>
      </c>
      <c r="D102" s="150">
        <f>IF(E102="","",Input!$C$4+B102-1)</f>
        <v>53</v>
      </c>
      <c r="E102" s="150">
        <f>IF(OR(AND(C101=12,D101=Input!$C$6),E101=""),"",1)</f>
        <v>1</v>
      </c>
      <c r="F102" s="150">
        <f>IF(E102="","",Input!$C$8+B102-1)</f>
        <v>2026</v>
      </c>
      <c r="G102" s="151">
        <f>IF(E102="","",MAX(0,Input!$C$9-B102))</f>
        <v>11</v>
      </c>
      <c r="H102" s="152">
        <f>IF(E102="","",Input!$C$3)</f>
        <v>100000</v>
      </c>
      <c r="I102" s="153">
        <f>IF(E102="","",HLOOKUP($B102,Input!$C$13:$BT$14,2))</f>
        <v>2.2999999999999998</v>
      </c>
      <c r="J102" s="154"/>
      <c r="K102" s="155">
        <f>IF($E102="","",INDEX(Input!$C$16:$CP$16,1,$B102))</f>
        <v>2.5930000000000002E-2</v>
      </c>
      <c r="L102" s="155">
        <f>IF($E102="","",Input!$C$37)</f>
        <v>1.4999999999999999E-2</v>
      </c>
      <c r="M102" s="155">
        <f t="shared" si="64"/>
        <v>4.0930000000000001E-2</v>
      </c>
      <c r="N102" s="155">
        <f t="shared" si="65"/>
        <v>3.3484723449095366E-3</v>
      </c>
      <c r="O102" s="147">
        <f>IF($E102="","",MIN(VLOOKUP(IF($B102&lt;=Input!$C$7,$B102,26),'Mortality Tables'!$A$41:$CW$67,IF($B102&lt;=Input!$C$7+1,Input!$C$4+2,$D102-Input!$C$7+2),0)*IF(B102&gt;20,Input!$C$22,1)/1000,1))</f>
        <v>1.176E-3</v>
      </c>
      <c r="P102" s="147">
        <f>IF($E102="","",MIN(VLOOKUP(IF($B102&lt;=Input!$C$7,$B102,26),'Mortality Tables'!$A$12:$CW$37,IF($B102&lt;=Input!$C$7+1,Input!$C$4+2,$D102-Input!$C$7+2),0)*IF(B102&gt;20,Input!$C$22,1)/1000,1))</f>
        <v>1.47E-3</v>
      </c>
      <c r="Q102" s="155">
        <f>IF($E102="","",Input!$C$21)</f>
        <v>5.0000000000000001E-3</v>
      </c>
      <c r="R102" s="159">
        <f>IF($E102="","",(1-Q102)^($F102-Input!$C$20))</f>
        <v>0.96069304357543694</v>
      </c>
      <c r="S102" s="147">
        <f t="shared" si="41"/>
        <v>1.1297750192447139E-3</v>
      </c>
      <c r="T102" s="147">
        <f t="shared" si="42"/>
        <v>9.4196704555793431E-5</v>
      </c>
      <c r="U102" s="160">
        <f>IF($E102="","",IF($C102=12,INDEX(Input!$C$15:$CP$15,1,$B102),0))</f>
        <v>0</v>
      </c>
      <c r="V102" s="150">
        <f>IF(E102="","",IF(C102=1,IF($B102=1,Input!$C$33,Input!$C$34),0))</f>
        <v>0</v>
      </c>
      <c r="W102" s="156">
        <f>IF($E102="","",Input!$C$35)</f>
        <v>0.02</v>
      </c>
      <c r="X102" s="156">
        <f t="shared" si="43"/>
        <v>1.1716593810022657</v>
      </c>
      <c r="Y102" s="154"/>
      <c r="Z102" s="147">
        <f>IF($E102="","",VLOOKUP($D102,'Mortality Margins &amp; Grading'!$AB$5:$AF$125,3,0)*IF(Summary!$D$25="Included Margin",IF(AND($B102&gt;Input!$C$9,Summary!$D$31&lt;&gt;"Included Margin"),0,1),0))</f>
        <v>3.7999999999999999E-2</v>
      </c>
      <c r="AA102" s="147">
        <f>IF($E102="","",VLOOKUP($D102,'Mortality Margins &amp; Grading'!$AB$5:$AF$125,5,0)*IF(Summary!$D$25="Included Margin",IF(AND($B102&gt;Input!$C$9,Summary!$D$31&lt;&gt;"Included Margin"),0,1),0))</f>
        <v>0.19600000000000001</v>
      </c>
      <c r="AB102" s="147">
        <f>IF($E102="","",IF(AND($B102&gt;Input!$C$9,Summary!$D$31&lt;&gt;"Included Margin"),1,IF(Summary!$D$25="Included Margin",VLOOKUP($B102,'Mortality Margins &amp; Grading'!$AI$5:$AR$125,MATCH('Mortality Margins &amp; Grading'!$AQ$4,'Mortality Margins &amp; Grading'!$AI$4:$AR$4,0),0),1)))</f>
        <v>1</v>
      </c>
      <c r="AC102" s="154"/>
      <c r="AD102" s="158">
        <f>IF(E102="","",Input!$C$48*IF(Summary!$D$30="Included Margin",IF(AND($B102&gt;Input!$C$9,Summary!$D$31&lt;&gt;"Included Margin"),0,1),0))</f>
        <v>-4.4999999999999997E-3</v>
      </c>
      <c r="AE102" s="159">
        <f>IF(E102="","",IF(Summary!$D$26="Included Margin",IF(AND($B102&gt;Input!$C$9,Summary!$D$31&lt;&gt;"Included Margin"),1,1/$R102),1))</f>
        <v>1.040915208752083</v>
      </c>
      <c r="AF102" s="160">
        <f>IF(E102="","",IF(AND($B102&gt;=Input!$C$9,$C102=12,Summary!$D$31="Included Margin",$U102&gt;0),1/U102-1,IF($B102&gt;=Input!$C$9,0,Input!$C$45*IF(Summary!$D$27="Included Margin",1,0))))</f>
        <v>-0.1</v>
      </c>
      <c r="AG102" s="160">
        <f>IF(E102="","",Input!$C$46*IF(Summary!$D$28="Included Margin",IF(AND($B102&gt;Input!$C$9,Summary!$D$31&lt;&gt;"Included Margin"),0,1),0))</f>
        <v>0.02</v>
      </c>
      <c r="AH102" s="158">
        <f>IF(E102="","",Input!$C$47*IF(Summary!$D$29="Included Margin",IF(AND($B102&gt;Input!$C$9,Summary!$D$31&lt;&gt;"Included Margin"),0,1),0))</f>
        <v>2.5000000000000001E-3</v>
      </c>
      <c r="AI102" s="154"/>
      <c r="AJ102" s="158">
        <f t="shared" si="66"/>
        <v>3.6430000000000004E-2</v>
      </c>
      <c r="AK102" s="155">
        <f t="shared" si="67"/>
        <v>2.9862930858015613E-3</v>
      </c>
      <c r="AL102" s="147">
        <f t="shared" si="68"/>
        <v>1.2206879999999997E-3</v>
      </c>
      <c r="AM102" s="147">
        <f t="shared" si="44"/>
        <v>1.0178095717183755E-4</v>
      </c>
      <c r="AN102" s="160">
        <f t="shared" si="69"/>
        <v>0</v>
      </c>
      <c r="AO102" s="161">
        <f t="shared" si="70"/>
        <v>0</v>
      </c>
      <c r="AP102" s="156">
        <f t="shared" si="45"/>
        <v>1.1948311418149107</v>
      </c>
      <c r="AQ102" s="152"/>
      <c r="AR102" s="162">
        <f t="shared" si="46"/>
        <v>889.05924891824475</v>
      </c>
      <c r="AS102" s="150">
        <f t="shared" si="71"/>
        <v>0</v>
      </c>
      <c r="AT102" s="163">
        <f t="shared" si="47"/>
        <v>0</v>
      </c>
      <c r="AU102" s="163">
        <f t="shared" si="48"/>
        <v>10.178095717183755</v>
      </c>
      <c r="AV102" s="163">
        <f t="shared" si="72"/>
        <v>2.6397940994790572</v>
      </c>
      <c r="AW102" s="163">
        <f t="shared" si="49"/>
        <v>8.973118101492851E-2</v>
      </c>
      <c r="AX102" s="163">
        <f t="shared" si="50"/>
        <v>0</v>
      </c>
      <c r="AY102" s="164">
        <f t="shared" si="73"/>
        <v>881.61067848155506</v>
      </c>
      <c r="AZ102" s="164">
        <f>IF($E102="","",IF(OR(AND($D102=Input!$C$6,$C102=12),$AN102=1),0,-AS103+AT103+AU103-AV103-AW103-AX103+AZ103))</f>
        <v>881.61070113965116</v>
      </c>
      <c r="BA102" s="154">
        <f t="shared" si="51"/>
        <v>2.2658096099803515E-5</v>
      </c>
      <c r="BC102" s="147">
        <f t="shared" si="74"/>
        <v>0.62522396806459768</v>
      </c>
      <c r="BD102" s="164">
        <f>IF(AND($C101=12,$D101=Input!$C$6),0,IF($E102="","",AT102+(AU102+BD103)/(1+$AK102)*MIN((1-AM102-AN102),1)))</f>
        <v>2619.2968236768838</v>
      </c>
      <c r="BE102" s="164">
        <f t="shared" si="52"/>
        <v>1637.6471536382583</v>
      </c>
      <c r="BF102" s="164">
        <f t="shared" si="75"/>
        <v>881.61070113965116</v>
      </c>
      <c r="BG102" s="164">
        <f t="shared" si="53"/>
        <v>551.20414085474488</v>
      </c>
      <c r="BH102" s="152"/>
      <c r="BI102" s="162">
        <f t="shared" si="54"/>
        <v>567.86474480622962</v>
      </c>
      <c r="BJ102" s="150">
        <f t="shared" si="55"/>
        <v>0</v>
      </c>
      <c r="BK102" s="163">
        <f t="shared" si="79"/>
        <v>0</v>
      </c>
      <c r="BL102" s="163">
        <f t="shared" si="56"/>
        <v>9.4196704555793431</v>
      </c>
      <c r="BM102" s="163">
        <f t="shared" si="80"/>
        <v>1.8857086406234369</v>
      </c>
      <c r="BN102" s="163">
        <f t="shared" si="57"/>
        <v>5.2786287996329763E-2</v>
      </c>
      <c r="BO102" s="163">
        <f t="shared" si="58"/>
        <v>0</v>
      </c>
      <c r="BP102" s="164">
        <f t="shared" si="81"/>
        <v>560.38356927927009</v>
      </c>
      <c r="BQ102" s="164">
        <f>IF($E102="","",IF(AND($D102=Input!$C$6,$C102=12),0,-BJ103+BK103+BL103-BM103-BN103-BO103+BQ103))</f>
        <v>560.38359563910262</v>
      </c>
      <c r="BR102" s="161">
        <f t="shared" si="59"/>
        <v>0</v>
      </c>
      <c r="BT102" s="147">
        <f t="shared" si="60"/>
        <v>0.62522396806459768</v>
      </c>
      <c r="BU102" s="164">
        <f>IF(AND($C101=12,$D101=Input!$C$6),0,IF($E102="","",BK102+(BL102+BU103)/(1+$AK102)*MIN((1-T102-U102),1)))</f>
        <v>4444.1347890017432</v>
      </c>
      <c r="BV102" s="164">
        <f t="shared" si="61"/>
        <v>2778.5795873935936</v>
      </c>
      <c r="BW102" s="164">
        <f t="shared" si="62"/>
        <v>560.38359563910262</v>
      </c>
      <c r="BX102" s="164">
        <f t="shared" si="63"/>
        <v>350.36525530378674</v>
      </c>
    </row>
    <row r="103" spans="1:76" s="150" customFormat="1" x14ac:dyDescent="0.25">
      <c r="A103" s="150">
        <f t="shared" si="76"/>
        <v>99</v>
      </c>
      <c r="B103" s="150">
        <f t="shared" si="77"/>
        <v>9</v>
      </c>
      <c r="C103" s="150">
        <f t="shared" si="78"/>
        <v>3</v>
      </c>
      <c r="D103" s="150">
        <f>IF(E103="","",Input!$C$4+B103-1)</f>
        <v>53</v>
      </c>
      <c r="E103" s="150">
        <f>IF(OR(AND(C102=12,D102=Input!$C$6),E102=""),"",1)</f>
        <v>1</v>
      </c>
      <c r="F103" s="150">
        <f>IF(E103="","",Input!$C$8+B103-1)</f>
        <v>2026</v>
      </c>
      <c r="G103" s="151">
        <f>IF(E103="","",MAX(0,Input!$C$9-B103))</f>
        <v>11</v>
      </c>
      <c r="H103" s="152">
        <f>IF(E103="","",Input!$C$3)</f>
        <v>100000</v>
      </c>
      <c r="I103" s="153">
        <f>IF(E103="","",HLOOKUP($B103,Input!$C$13:$BT$14,2))</f>
        <v>2.2999999999999998</v>
      </c>
      <c r="J103" s="154"/>
      <c r="K103" s="155">
        <f>IF($E103="","",INDEX(Input!$C$16:$CP$16,1,$B103))</f>
        <v>2.5930000000000002E-2</v>
      </c>
      <c r="L103" s="155">
        <f>IF($E103="","",Input!$C$37)</f>
        <v>1.4999999999999999E-2</v>
      </c>
      <c r="M103" s="155">
        <f t="shared" si="64"/>
        <v>4.0930000000000001E-2</v>
      </c>
      <c r="N103" s="155">
        <f t="shared" si="65"/>
        <v>3.3484723449095366E-3</v>
      </c>
      <c r="O103" s="147">
        <f>IF($E103="","",MIN(VLOOKUP(IF($B103&lt;=Input!$C$7,$B103,26),'Mortality Tables'!$A$41:$CW$67,IF($B103&lt;=Input!$C$7+1,Input!$C$4+2,$D103-Input!$C$7+2),0)*IF(B103&gt;20,Input!$C$22,1)/1000,1))</f>
        <v>1.176E-3</v>
      </c>
      <c r="P103" s="147">
        <f>IF($E103="","",MIN(VLOOKUP(IF($B103&lt;=Input!$C$7,$B103,26),'Mortality Tables'!$A$12:$CW$37,IF($B103&lt;=Input!$C$7+1,Input!$C$4+2,$D103-Input!$C$7+2),0)*IF(B103&gt;20,Input!$C$22,1)/1000,1))</f>
        <v>1.47E-3</v>
      </c>
      <c r="Q103" s="155">
        <f>IF($E103="","",Input!$C$21)</f>
        <v>5.0000000000000001E-3</v>
      </c>
      <c r="R103" s="159">
        <f>IF($E103="","",(1-Q103)^($F103-Input!$C$20))</f>
        <v>0.96069304357543694</v>
      </c>
      <c r="S103" s="147">
        <f t="shared" si="41"/>
        <v>1.1297750192447139E-3</v>
      </c>
      <c r="T103" s="147">
        <f t="shared" si="42"/>
        <v>9.4196704555793431E-5</v>
      </c>
      <c r="U103" s="160">
        <f>IF($E103="","",IF($C103=12,INDEX(Input!$C$15:$CP$15,1,$B103),0))</f>
        <v>0</v>
      </c>
      <c r="V103" s="150">
        <f>IF(E103="","",IF(C103=1,IF($B103=1,Input!$C$33,Input!$C$34),0))</f>
        <v>0</v>
      </c>
      <c r="W103" s="156">
        <f>IF($E103="","",Input!$C$35)</f>
        <v>0.02</v>
      </c>
      <c r="X103" s="156">
        <f t="shared" si="43"/>
        <v>1.1716593810022657</v>
      </c>
      <c r="Y103" s="154"/>
      <c r="Z103" s="147">
        <f>IF($E103="","",VLOOKUP($D103,'Mortality Margins &amp; Grading'!$AB$5:$AF$125,3,0)*IF(Summary!$D$25="Included Margin",IF(AND($B103&gt;Input!$C$9,Summary!$D$31&lt;&gt;"Included Margin"),0,1),0))</f>
        <v>3.7999999999999999E-2</v>
      </c>
      <c r="AA103" s="147">
        <f>IF($E103="","",VLOOKUP($D103,'Mortality Margins &amp; Grading'!$AB$5:$AF$125,5,0)*IF(Summary!$D$25="Included Margin",IF(AND($B103&gt;Input!$C$9,Summary!$D$31&lt;&gt;"Included Margin"),0,1),0))</f>
        <v>0.19600000000000001</v>
      </c>
      <c r="AB103" s="147">
        <f>IF($E103="","",IF(AND($B103&gt;Input!$C$9,Summary!$D$31&lt;&gt;"Included Margin"),1,IF(Summary!$D$25="Included Margin",VLOOKUP($B103,'Mortality Margins &amp; Grading'!$AI$5:$AR$125,MATCH('Mortality Margins &amp; Grading'!$AQ$4,'Mortality Margins &amp; Grading'!$AI$4:$AR$4,0),0),1)))</f>
        <v>1</v>
      </c>
      <c r="AC103" s="154"/>
      <c r="AD103" s="158">
        <f>IF(E103="","",Input!$C$48*IF(Summary!$D$30="Included Margin",IF(AND($B103&gt;Input!$C$9,Summary!$D$31&lt;&gt;"Included Margin"),0,1),0))</f>
        <v>-4.4999999999999997E-3</v>
      </c>
      <c r="AE103" s="159">
        <f>IF(E103="","",IF(Summary!$D$26="Included Margin",IF(AND($B103&gt;Input!$C$9,Summary!$D$31&lt;&gt;"Included Margin"),1,1/$R103),1))</f>
        <v>1.040915208752083</v>
      </c>
      <c r="AF103" s="160">
        <f>IF(E103="","",IF(AND($B103&gt;=Input!$C$9,$C103=12,Summary!$D$31="Included Margin",$U103&gt;0),1/U103-1,IF($B103&gt;=Input!$C$9,0,Input!$C$45*IF(Summary!$D$27="Included Margin",1,0))))</f>
        <v>-0.1</v>
      </c>
      <c r="AG103" s="160">
        <f>IF(E103="","",Input!$C$46*IF(Summary!$D$28="Included Margin",IF(AND($B103&gt;Input!$C$9,Summary!$D$31&lt;&gt;"Included Margin"),0,1),0))</f>
        <v>0.02</v>
      </c>
      <c r="AH103" s="158">
        <f>IF(E103="","",Input!$C$47*IF(Summary!$D$29="Included Margin",IF(AND($B103&gt;Input!$C$9,Summary!$D$31&lt;&gt;"Included Margin"),0,1),0))</f>
        <v>2.5000000000000001E-3</v>
      </c>
      <c r="AI103" s="154"/>
      <c r="AJ103" s="158">
        <f t="shared" si="66"/>
        <v>3.6430000000000004E-2</v>
      </c>
      <c r="AK103" s="155">
        <f t="shared" si="67"/>
        <v>2.9862930858015613E-3</v>
      </c>
      <c r="AL103" s="147">
        <f t="shared" si="68"/>
        <v>1.2206879999999997E-3</v>
      </c>
      <c r="AM103" s="147">
        <f t="shared" si="44"/>
        <v>1.0178095717183755E-4</v>
      </c>
      <c r="AN103" s="160">
        <f t="shared" si="69"/>
        <v>0</v>
      </c>
      <c r="AO103" s="161">
        <f t="shared" si="70"/>
        <v>0</v>
      </c>
      <c r="AP103" s="156">
        <f t="shared" si="45"/>
        <v>1.1948311418149107</v>
      </c>
      <c r="AQ103" s="152"/>
      <c r="AR103" s="162">
        <f t="shared" si="46"/>
        <v>881.61067848155494</v>
      </c>
      <c r="AS103" s="150">
        <f t="shared" si="71"/>
        <v>0</v>
      </c>
      <c r="AT103" s="163">
        <f t="shared" si="47"/>
        <v>0</v>
      </c>
      <c r="AU103" s="163">
        <f t="shared" si="48"/>
        <v>10.178095717183755</v>
      </c>
      <c r="AV103" s="163">
        <f t="shared" si="72"/>
        <v>2.6175504850848643</v>
      </c>
      <c r="AW103" s="163">
        <f t="shared" si="49"/>
        <v>8.8970717009201963E-2</v>
      </c>
      <c r="AX103" s="163">
        <f t="shared" si="50"/>
        <v>0</v>
      </c>
      <c r="AY103" s="164">
        <f t="shared" si="73"/>
        <v>874.1391039664652</v>
      </c>
      <c r="AZ103" s="164">
        <f>IF($E103="","",IF(OR(AND($D103=Input!$C$6,$C103=12),$AN103=1),0,-AS104+AT104+AU104-AV104-AW104-AX104+AZ104))</f>
        <v>874.13912662456141</v>
      </c>
      <c r="BA103" s="154">
        <f t="shared" si="51"/>
        <v>2.2658096213490353E-5</v>
      </c>
      <c r="BC103" s="147">
        <f t="shared" si="74"/>
        <v>0.62516507402719668</v>
      </c>
      <c r="BD103" s="164">
        <f>IF(AND($C102=12,$D102=Input!$C$6),0,IF($E103="","",AT103+(AU103+BD104)/(1+$AK103)*MIN((1-AM103-AN103),1)))</f>
        <v>2617.2081338392127</v>
      </c>
      <c r="BE103" s="164">
        <f t="shared" si="52"/>
        <v>1636.1871167361726</v>
      </c>
      <c r="BF103" s="164">
        <f t="shared" si="75"/>
        <v>874.13912662456141</v>
      </c>
      <c r="BG103" s="164">
        <f t="shared" si="53"/>
        <v>546.48125180631303</v>
      </c>
      <c r="BH103" s="152"/>
      <c r="BI103" s="162">
        <f t="shared" si="54"/>
        <v>560.38356927926998</v>
      </c>
      <c r="BJ103" s="150">
        <f t="shared" si="55"/>
        <v>0</v>
      </c>
      <c r="BK103" s="163">
        <f t="shared" si="79"/>
        <v>0</v>
      </c>
      <c r="BL103" s="163">
        <f t="shared" si="56"/>
        <v>9.4196704555793431</v>
      </c>
      <c r="BM103" s="163">
        <f t="shared" si="80"/>
        <v>1.8606581312639985</v>
      </c>
      <c r="BN103" s="163">
        <f t="shared" si="57"/>
        <v>5.2079159630895891E-2</v>
      </c>
      <c r="BO103" s="163">
        <f t="shared" si="58"/>
        <v>0</v>
      </c>
      <c r="BP103" s="164">
        <f t="shared" si="81"/>
        <v>552.87663611458561</v>
      </c>
      <c r="BQ103" s="164">
        <f>IF($E103="","",IF(AND($D103=Input!$C$6,$C103=12),0,-BJ104+BK104+BL104-BM104-BN104-BO104+BQ104))</f>
        <v>552.87666247441814</v>
      </c>
      <c r="BR103" s="161">
        <f t="shared" si="59"/>
        <v>0</v>
      </c>
      <c r="BT103" s="147">
        <f t="shared" si="60"/>
        <v>0.62516507402719668</v>
      </c>
      <c r="BU103" s="164">
        <f>IF(AND($C102=12,$D102=Input!$C$6),0,IF($E103="","",BK103+(BL103+BU104)/(1+$AK103)*MIN((1-T103-U103),1)))</f>
        <v>4448.4065200755604</v>
      </c>
      <c r="BV103" s="164">
        <f t="shared" si="61"/>
        <v>2780.9883914261022</v>
      </c>
      <c r="BW103" s="164">
        <f t="shared" si="62"/>
        <v>552.87666247441814</v>
      </c>
      <c r="BX103" s="164">
        <f t="shared" si="63"/>
        <v>345.63917962372904</v>
      </c>
    </row>
    <row r="104" spans="1:76" s="150" customFormat="1" x14ac:dyDescent="0.25">
      <c r="A104" s="150">
        <f t="shared" si="76"/>
        <v>100</v>
      </c>
      <c r="B104" s="150">
        <f t="shared" si="77"/>
        <v>9</v>
      </c>
      <c r="C104" s="150">
        <f t="shared" si="78"/>
        <v>4</v>
      </c>
      <c r="D104" s="150">
        <f>IF(E104="","",Input!$C$4+B104-1)</f>
        <v>53</v>
      </c>
      <c r="E104" s="150">
        <f>IF(OR(AND(C103=12,D103=Input!$C$6),E103=""),"",1)</f>
        <v>1</v>
      </c>
      <c r="F104" s="150">
        <f>IF(E104="","",Input!$C$8+B104-1)</f>
        <v>2026</v>
      </c>
      <c r="G104" s="151">
        <f>IF(E104="","",MAX(0,Input!$C$9-B104))</f>
        <v>11</v>
      </c>
      <c r="H104" s="152">
        <f>IF(E104="","",Input!$C$3)</f>
        <v>100000</v>
      </c>
      <c r="I104" s="153">
        <f>IF(E104="","",HLOOKUP($B104,Input!$C$13:$BT$14,2))</f>
        <v>2.2999999999999998</v>
      </c>
      <c r="J104" s="154"/>
      <c r="K104" s="155">
        <f>IF($E104="","",INDEX(Input!$C$16:$CP$16,1,$B104))</f>
        <v>2.5930000000000002E-2</v>
      </c>
      <c r="L104" s="155">
        <f>IF($E104="","",Input!$C$37)</f>
        <v>1.4999999999999999E-2</v>
      </c>
      <c r="M104" s="155">
        <f t="shared" si="64"/>
        <v>4.0930000000000001E-2</v>
      </c>
      <c r="N104" s="155">
        <f t="shared" si="65"/>
        <v>3.3484723449095366E-3</v>
      </c>
      <c r="O104" s="147">
        <f>IF($E104="","",MIN(VLOOKUP(IF($B104&lt;=Input!$C$7,$B104,26),'Mortality Tables'!$A$41:$CW$67,IF($B104&lt;=Input!$C$7+1,Input!$C$4+2,$D104-Input!$C$7+2),0)*IF(B104&gt;20,Input!$C$22,1)/1000,1))</f>
        <v>1.176E-3</v>
      </c>
      <c r="P104" s="147">
        <f>IF($E104="","",MIN(VLOOKUP(IF($B104&lt;=Input!$C$7,$B104,26),'Mortality Tables'!$A$12:$CW$37,IF($B104&lt;=Input!$C$7+1,Input!$C$4+2,$D104-Input!$C$7+2),0)*IF(B104&gt;20,Input!$C$22,1)/1000,1))</f>
        <v>1.47E-3</v>
      </c>
      <c r="Q104" s="155">
        <f>IF($E104="","",Input!$C$21)</f>
        <v>5.0000000000000001E-3</v>
      </c>
      <c r="R104" s="159">
        <f>IF($E104="","",(1-Q104)^($F104-Input!$C$20))</f>
        <v>0.96069304357543694</v>
      </c>
      <c r="S104" s="147">
        <f t="shared" si="41"/>
        <v>1.1297750192447139E-3</v>
      </c>
      <c r="T104" s="147">
        <f t="shared" si="42"/>
        <v>9.4196704555793431E-5</v>
      </c>
      <c r="U104" s="160">
        <f>IF($E104="","",IF($C104=12,INDEX(Input!$C$15:$CP$15,1,$B104),0))</f>
        <v>0</v>
      </c>
      <c r="V104" s="150">
        <f>IF(E104="","",IF(C104=1,IF($B104=1,Input!$C$33,Input!$C$34),0))</f>
        <v>0</v>
      </c>
      <c r="W104" s="156">
        <f>IF($E104="","",Input!$C$35)</f>
        <v>0.02</v>
      </c>
      <c r="X104" s="156">
        <f t="shared" si="43"/>
        <v>1.1716593810022657</v>
      </c>
      <c r="Y104" s="154"/>
      <c r="Z104" s="147">
        <f>IF($E104="","",VLOOKUP($D104,'Mortality Margins &amp; Grading'!$AB$5:$AF$125,3,0)*IF(Summary!$D$25="Included Margin",IF(AND($B104&gt;Input!$C$9,Summary!$D$31&lt;&gt;"Included Margin"),0,1),0))</f>
        <v>3.7999999999999999E-2</v>
      </c>
      <c r="AA104" s="147">
        <f>IF($E104="","",VLOOKUP($D104,'Mortality Margins &amp; Grading'!$AB$5:$AF$125,5,0)*IF(Summary!$D$25="Included Margin",IF(AND($B104&gt;Input!$C$9,Summary!$D$31&lt;&gt;"Included Margin"),0,1),0))</f>
        <v>0.19600000000000001</v>
      </c>
      <c r="AB104" s="147">
        <f>IF($E104="","",IF(AND($B104&gt;Input!$C$9,Summary!$D$31&lt;&gt;"Included Margin"),1,IF(Summary!$D$25="Included Margin",VLOOKUP($B104,'Mortality Margins &amp; Grading'!$AI$5:$AR$125,MATCH('Mortality Margins &amp; Grading'!$AQ$4,'Mortality Margins &amp; Grading'!$AI$4:$AR$4,0),0),1)))</f>
        <v>1</v>
      </c>
      <c r="AC104" s="154"/>
      <c r="AD104" s="158">
        <f>IF(E104="","",Input!$C$48*IF(Summary!$D$30="Included Margin",IF(AND($B104&gt;Input!$C$9,Summary!$D$31&lt;&gt;"Included Margin"),0,1),0))</f>
        <v>-4.4999999999999997E-3</v>
      </c>
      <c r="AE104" s="159">
        <f>IF(E104="","",IF(Summary!$D$26="Included Margin",IF(AND($B104&gt;Input!$C$9,Summary!$D$31&lt;&gt;"Included Margin"),1,1/$R104),1))</f>
        <v>1.040915208752083</v>
      </c>
      <c r="AF104" s="160">
        <f>IF(E104="","",IF(AND($B104&gt;=Input!$C$9,$C104=12,Summary!$D$31="Included Margin",$U104&gt;0),1/U104-1,IF($B104&gt;=Input!$C$9,0,Input!$C$45*IF(Summary!$D$27="Included Margin",1,0))))</f>
        <v>-0.1</v>
      </c>
      <c r="AG104" s="160">
        <f>IF(E104="","",Input!$C$46*IF(Summary!$D$28="Included Margin",IF(AND($B104&gt;Input!$C$9,Summary!$D$31&lt;&gt;"Included Margin"),0,1),0))</f>
        <v>0.02</v>
      </c>
      <c r="AH104" s="158">
        <f>IF(E104="","",Input!$C$47*IF(Summary!$D$29="Included Margin",IF(AND($B104&gt;Input!$C$9,Summary!$D$31&lt;&gt;"Included Margin"),0,1),0))</f>
        <v>2.5000000000000001E-3</v>
      </c>
      <c r="AI104" s="154"/>
      <c r="AJ104" s="158">
        <f t="shared" si="66"/>
        <v>3.6430000000000004E-2</v>
      </c>
      <c r="AK104" s="155">
        <f t="shared" si="67"/>
        <v>2.9862930858015613E-3</v>
      </c>
      <c r="AL104" s="147">
        <f t="shared" si="68"/>
        <v>1.2206879999999997E-3</v>
      </c>
      <c r="AM104" s="147">
        <f t="shared" si="44"/>
        <v>1.0178095717183755E-4</v>
      </c>
      <c r="AN104" s="160">
        <f t="shared" si="69"/>
        <v>0</v>
      </c>
      <c r="AO104" s="161">
        <f t="shared" si="70"/>
        <v>0</v>
      </c>
      <c r="AP104" s="156">
        <f t="shared" si="45"/>
        <v>1.1948311418149107</v>
      </c>
      <c r="AQ104" s="152"/>
      <c r="AR104" s="162">
        <f t="shared" si="46"/>
        <v>874.1391039664652</v>
      </c>
      <c r="AS104" s="150">
        <f t="shared" si="71"/>
        <v>0</v>
      </c>
      <c r="AT104" s="163">
        <f t="shared" si="47"/>
        <v>0</v>
      </c>
      <c r="AU104" s="163">
        <f t="shared" si="48"/>
        <v>10.178095717183755</v>
      </c>
      <c r="AV104" s="163">
        <f t="shared" si="72"/>
        <v>2.5952381737704009</v>
      </c>
      <c r="AW104" s="163">
        <f t="shared" si="49"/>
        <v>8.8207904395275136E-2</v>
      </c>
      <c r="AX104" s="163">
        <f t="shared" si="50"/>
        <v>0</v>
      </c>
      <c r="AY104" s="164">
        <f t="shared" si="73"/>
        <v>866.64445432744719</v>
      </c>
      <c r="AZ104" s="164">
        <f>IF($E104="","",IF(OR(AND($D104=Input!$C$6,$C104=12),$AN104=1),0,-AS105+AT105+AU105-AV105-AW105-AX105+AZ105))</f>
        <v>866.64447698554329</v>
      </c>
      <c r="BA104" s="154">
        <f t="shared" si="51"/>
        <v>2.2658096099803515E-5</v>
      </c>
      <c r="BC104" s="147">
        <f t="shared" si="74"/>
        <v>0.62510618553741992</v>
      </c>
      <c r="BD104" s="164">
        <f>IF(AND($C103=12,$D103=Input!$C$6),0,IF($E104="","",AT104+(AU104+BD105)/(1+$AK104)*MIN((1-AM104-AN104),1)))</f>
        <v>2615.1129933161133</v>
      </c>
      <c r="BE104" s="164">
        <f t="shared" si="52"/>
        <v>1634.7233080011799</v>
      </c>
      <c r="BF104" s="164">
        <f t="shared" si="75"/>
        <v>866.64447698554329</v>
      </c>
      <c r="BG104" s="164">
        <f t="shared" si="53"/>
        <v>541.74482322550523</v>
      </c>
      <c r="BH104" s="152"/>
      <c r="BI104" s="162">
        <f t="shared" si="54"/>
        <v>552.87663611458549</v>
      </c>
      <c r="BJ104" s="150">
        <f t="shared" si="55"/>
        <v>0</v>
      </c>
      <c r="BK104" s="163">
        <f t="shared" si="79"/>
        <v>0</v>
      </c>
      <c r="BL104" s="163">
        <f t="shared" si="56"/>
        <v>9.4196704555793431</v>
      </c>
      <c r="BM104" s="163">
        <f t="shared" si="80"/>
        <v>1.8355213731669684</v>
      </c>
      <c r="BN104" s="163">
        <f t="shared" si="57"/>
        <v>5.1369596627189436E-2</v>
      </c>
      <c r="BO104" s="163">
        <f t="shared" si="58"/>
        <v>0</v>
      </c>
      <c r="BP104" s="164">
        <f t="shared" si="81"/>
        <v>545.34385662880038</v>
      </c>
      <c r="BQ104" s="164">
        <f>IF($E104="","",IF(AND($D104=Input!$C$6,$C104=12),0,-BJ105+BK105+BL105-BM105-BN105-BO105+BQ105))</f>
        <v>545.34388298863291</v>
      </c>
      <c r="BR104" s="161">
        <f t="shared" si="59"/>
        <v>0</v>
      </c>
      <c r="BT104" s="147">
        <f t="shared" si="60"/>
        <v>0.62510618553741992</v>
      </c>
      <c r="BU104" s="164">
        <f>IF(AND($C103=12,$D103=Input!$C$6),0,IF($E104="","",BK104+(BL104+BU105)/(1+$AK104)*MIN((1-T104-U104),1)))</f>
        <v>4452.6914114129904</v>
      </c>
      <c r="BV104" s="164">
        <f t="shared" si="61"/>
        <v>2783.4049435636048</v>
      </c>
      <c r="BW104" s="164">
        <f t="shared" si="62"/>
        <v>545.34388298863291</v>
      </c>
      <c r="BX104" s="164">
        <f t="shared" si="63"/>
        <v>340.89783450118938</v>
      </c>
    </row>
    <row r="105" spans="1:76" s="150" customFormat="1" x14ac:dyDescent="0.25">
      <c r="A105" s="150">
        <f t="shared" si="76"/>
        <v>101</v>
      </c>
      <c r="B105" s="150">
        <f t="shared" si="77"/>
        <v>9</v>
      </c>
      <c r="C105" s="150">
        <f t="shared" si="78"/>
        <v>5</v>
      </c>
      <c r="D105" s="150">
        <f>IF(E105="","",Input!$C$4+B105-1)</f>
        <v>53</v>
      </c>
      <c r="E105" s="150">
        <f>IF(OR(AND(C104=12,D104=Input!$C$6),E104=""),"",1)</f>
        <v>1</v>
      </c>
      <c r="F105" s="150">
        <f>IF(E105="","",Input!$C$8+B105-1)</f>
        <v>2026</v>
      </c>
      <c r="G105" s="151">
        <f>IF(E105="","",MAX(0,Input!$C$9-B105))</f>
        <v>11</v>
      </c>
      <c r="H105" s="152">
        <f>IF(E105="","",Input!$C$3)</f>
        <v>100000</v>
      </c>
      <c r="I105" s="153">
        <f>IF(E105="","",HLOOKUP($B105,Input!$C$13:$BT$14,2))</f>
        <v>2.2999999999999998</v>
      </c>
      <c r="J105" s="154"/>
      <c r="K105" s="155">
        <f>IF($E105="","",INDEX(Input!$C$16:$CP$16,1,$B105))</f>
        <v>2.5930000000000002E-2</v>
      </c>
      <c r="L105" s="155">
        <f>IF($E105="","",Input!$C$37)</f>
        <v>1.4999999999999999E-2</v>
      </c>
      <c r="M105" s="155">
        <f t="shared" si="64"/>
        <v>4.0930000000000001E-2</v>
      </c>
      <c r="N105" s="155">
        <f t="shared" si="65"/>
        <v>3.3484723449095366E-3</v>
      </c>
      <c r="O105" s="147">
        <f>IF($E105="","",MIN(VLOOKUP(IF($B105&lt;=Input!$C$7,$B105,26),'Mortality Tables'!$A$41:$CW$67,IF($B105&lt;=Input!$C$7+1,Input!$C$4+2,$D105-Input!$C$7+2),0)*IF(B105&gt;20,Input!$C$22,1)/1000,1))</f>
        <v>1.176E-3</v>
      </c>
      <c r="P105" s="147">
        <f>IF($E105="","",MIN(VLOOKUP(IF($B105&lt;=Input!$C$7,$B105,26),'Mortality Tables'!$A$12:$CW$37,IF($B105&lt;=Input!$C$7+1,Input!$C$4+2,$D105-Input!$C$7+2),0)*IF(B105&gt;20,Input!$C$22,1)/1000,1))</f>
        <v>1.47E-3</v>
      </c>
      <c r="Q105" s="155">
        <f>IF($E105="","",Input!$C$21)</f>
        <v>5.0000000000000001E-3</v>
      </c>
      <c r="R105" s="159">
        <f>IF($E105="","",(1-Q105)^($F105-Input!$C$20))</f>
        <v>0.96069304357543694</v>
      </c>
      <c r="S105" s="147">
        <f t="shared" si="41"/>
        <v>1.1297750192447139E-3</v>
      </c>
      <c r="T105" s="147">
        <f t="shared" si="42"/>
        <v>9.4196704555793431E-5</v>
      </c>
      <c r="U105" s="160">
        <f>IF($E105="","",IF($C105=12,INDEX(Input!$C$15:$CP$15,1,$B105),0))</f>
        <v>0</v>
      </c>
      <c r="V105" s="150">
        <f>IF(E105="","",IF(C105=1,IF($B105=1,Input!$C$33,Input!$C$34),0))</f>
        <v>0</v>
      </c>
      <c r="W105" s="156">
        <f>IF($E105="","",Input!$C$35)</f>
        <v>0.02</v>
      </c>
      <c r="X105" s="156">
        <f t="shared" si="43"/>
        <v>1.1716593810022657</v>
      </c>
      <c r="Y105" s="154"/>
      <c r="Z105" s="147">
        <f>IF($E105="","",VLOOKUP($D105,'Mortality Margins &amp; Grading'!$AB$5:$AF$125,3,0)*IF(Summary!$D$25="Included Margin",IF(AND($B105&gt;Input!$C$9,Summary!$D$31&lt;&gt;"Included Margin"),0,1),0))</f>
        <v>3.7999999999999999E-2</v>
      </c>
      <c r="AA105" s="147">
        <f>IF($E105="","",VLOOKUP($D105,'Mortality Margins &amp; Grading'!$AB$5:$AF$125,5,0)*IF(Summary!$D$25="Included Margin",IF(AND($B105&gt;Input!$C$9,Summary!$D$31&lt;&gt;"Included Margin"),0,1),0))</f>
        <v>0.19600000000000001</v>
      </c>
      <c r="AB105" s="147">
        <f>IF($E105="","",IF(AND($B105&gt;Input!$C$9,Summary!$D$31&lt;&gt;"Included Margin"),1,IF(Summary!$D$25="Included Margin",VLOOKUP($B105,'Mortality Margins &amp; Grading'!$AI$5:$AR$125,MATCH('Mortality Margins &amp; Grading'!$AQ$4,'Mortality Margins &amp; Grading'!$AI$4:$AR$4,0),0),1)))</f>
        <v>1</v>
      </c>
      <c r="AC105" s="154"/>
      <c r="AD105" s="158">
        <f>IF(E105="","",Input!$C$48*IF(Summary!$D$30="Included Margin",IF(AND($B105&gt;Input!$C$9,Summary!$D$31&lt;&gt;"Included Margin"),0,1),0))</f>
        <v>-4.4999999999999997E-3</v>
      </c>
      <c r="AE105" s="159">
        <f>IF(E105="","",IF(Summary!$D$26="Included Margin",IF(AND($B105&gt;Input!$C$9,Summary!$D$31&lt;&gt;"Included Margin"),1,1/$R105),1))</f>
        <v>1.040915208752083</v>
      </c>
      <c r="AF105" s="160">
        <f>IF(E105="","",IF(AND($B105&gt;=Input!$C$9,$C105=12,Summary!$D$31="Included Margin",$U105&gt;0),1/U105-1,IF($B105&gt;=Input!$C$9,0,Input!$C$45*IF(Summary!$D$27="Included Margin",1,0))))</f>
        <v>-0.1</v>
      </c>
      <c r="AG105" s="160">
        <f>IF(E105="","",Input!$C$46*IF(Summary!$D$28="Included Margin",IF(AND($B105&gt;Input!$C$9,Summary!$D$31&lt;&gt;"Included Margin"),0,1),0))</f>
        <v>0.02</v>
      </c>
      <c r="AH105" s="158">
        <f>IF(E105="","",Input!$C$47*IF(Summary!$D$29="Included Margin",IF(AND($B105&gt;Input!$C$9,Summary!$D$31&lt;&gt;"Included Margin"),0,1),0))</f>
        <v>2.5000000000000001E-3</v>
      </c>
      <c r="AI105" s="154"/>
      <c r="AJ105" s="158">
        <f t="shared" si="66"/>
        <v>3.6430000000000004E-2</v>
      </c>
      <c r="AK105" s="155">
        <f t="shared" si="67"/>
        <v>2.9862930858015613E-3</v>
      </c>
      <c r="AL105" s="147">
        <f t="shared" si="68"/>
        <v>1.2206879999999997E-3</v>
      </c>
      <c r="AM105" s="147">
        <f t="shared" si="44"/>
        <v>1.0178095717183755E-4</v>
      </c>
      <c r="AN105" s="160">
        <f t="shared" si="69"/>
        <v>0</v>
      </c>
      <c r="AO105" s="161">
        <f t="shared" si="70"/>
        <v>0</v>
      </c>
      <c r="AP105" s="156">
        <f t="shared" si="45"/>
        <v>1.1948311418149107</v>
      </c>
      <c r="AQ105" s="152"/>
      <c r="AR105" s="162">
        <f t="shared" si="46"/>
        <v>866.64445432744719</v>
      </c>
      <c r="AS105" s="150">
        <f t="shared" si="71"/>
        <v>0</v>
      </c>
      <c r="AT105" s="163">
        <f t="shared" si="47"/>
        <v>0</v>
      </c>
      <c r="AU105" s="163">
        <f t="shared" si="48"/>
        <v>10.178095717183755</v>
      </c>
      <c r="AV105" s="163">
        <f t="shared" si="72"/>
        <v>2.572856953372896</v>
      </c>
      <c r="AW105" s="163">
        <f t="shared" si="49"/>
        <v>8.7442735919733741E-2</v>
      </c>
      <c r="AX105" s="163">
        <f t="shared" si="50"/>
        <v>0</v>
      </c>
      <c r="AY105" s="164">
        <f t="shared" si="73"/>
        <v>859.12665829955608</v>
      </c>
      <c r="AZ105" s="164">
        <f>IF($E105="","",IF(OR(AND($D105=Input!$C$6,$C105=12),$AN105=1),0,-AS106+AT106+AU106-AV106-AW106-AX106+AZ106))</f>
        <v>859.12668095765218</v>
      </c>
      <c r="BA105" s="154">
        <f t="shared" si="51"/>
        <v>2.2658096099803515E-5</v>
      </c>
      <c r="BC105" s="147">
        <f t="shared" si="74"/>
        <v>0.62504730259474484</v>
      </c>
      <c r="BD105" s="164">
        <f>IF(AND($C104=12,$D104=Input!$C$6),0,IF($E105="","",AT105+(AU105+BD106)/(1+$AK105)*MIN((1-AM105-AN105),1)))</f>
        <v>2613.0113821853638</v>
      </c>
      <c r="BE105" s="164">
        <f t="shared" si="52"/>
        <v>1633.2557160843276</v>
      </c>
      <c r="BF105" s="164">
        <f t="shared" si="75"/>
        <v>859.12668095765218</v>
      </c>
      <c r="BG105" s="164">
        <f t="shared" si="53"/>
        <v>536.99481451975646</v>
      </c>
      <c r="BH105" s="152"/>
      <c r="BI105" s="162">
        <f t="shared" si="54"/>
        <v>545.34385662880038</v>
      </c>
      <c r="BJ105" s="150">
        <f t="shared" si="55"/>
        <v>0</v>
      </c>
      <c r="BK105" s="163">
        <f t="shared" si="79"/>
        <v>0</v>
      </c>
      <c r="BL105" s="163">
        <f t="shared" si="56"/>
        <v>9.4196704555793431</v>
      </c>
      <c r="BM105" s="163">
        <f t="shared" si="80"/>
        <v>1.8102980693785149</v>
      </c>
      <c r="BN105" s="163">
        <f t="shared" si="57"/>
        <v>5.0657590602766984E-2</v>
      </c>
      <c r="BO105" s="163">
        <f t="shared" si="58"/>
        <v>0</v>
      </c>
      <c r="BP105" s="164">
        <f t="shared" si="81"/>
        <v>537.78514183320237</v>
      </c>
      <c r="BQ105" s="164">
        <f>IF($E105="","",IF(AND($D105=Input!$C$6,$C105=12),0,-BJ106+BK106+BL106-BM106-BN106-BO106+BQ106))</f>
        <v>537.78516819303491</v>
      </c>
      <c r="BR105" s="161">
        <f t="shared" si="59"/>
        <v>0</v>
      </c>
      <c r="BT105" s="147">
        <f t="shared" si="60"/>
        <v>0.62504730259474484</v>
      </c>
      <c r="BU105" s="164">
        <f>IF(AND($C104=12,$D104=Input!$C$6),0,IF($E105="","",BK105+(BL105+BU106)/(1+$AK105)*MIN((1-T105-U105),1)))</f>
        <v>4456.9895035579111</v>
      </c>
      <c r="BV105" s="164">
        <f t="shared" si="61"/>
        <v>2785.829266891963</v>
      </c>
      <c r="BW105" s="164">
        <f t="shared" si="62"/>
        <v>537.78516819303491</v>
      </c>
      <c r="BX105" s="164">
        <f t="shared" si="63"/>
        <v>336.14116875451765</v>
      </c>
    </row>
    <row r="106" spans="1:76" s="150" customFormat="1" x14ac:dyDescent="0.25">
      <c r="A106" s="150">
        <f t="shared" si="76"/>
        <v>102</v>
      </c>
      <c r="B106" s="150">
        <f t="shared" si="77"/>
        <v>9</v>
      </c>
      <c r="C106" s="150">
        <f t="shared" si="78"/>
        <v>6</v>
      </c>
      <c r="D106" s="150">
        <f>IF(E106="","",Input!$C$4+B106-1)</f>
        <v>53</v>
      </c>
      <c r="E106" s="150">
        <f>IF(OR(AND(C105=12,D105=Input!$C$6),E105=""),"",1)</f>
        <v>1</v>
      </c>
      <c r="F106" s="150">
        <f>IF(E106="","",Input!$C$8+B106-1)</f>
        <v>2026</v>
      </c>
      <c r="G106" s="151">
        <f>IF(E106="","",MAX(0,Input!$C$9-B106))</f>
        <v>11</v>
      </c>
      <c r="H106" s="152">
        <f>IF(E106="","",Input!$C$3)</f>
        <v>100000</v>
      </c>
      <c r="I106" s="153">
        <f>IF(E106="","",HLOOKUP($B106,Input!$C$13:$BT$14,2))</f>
        <v>2.2999999999999998</v>
      </c>
      <c r="J106" s="154"/>
      <c r="K106" s="155">
        <f>IF($E106="","",INDEX(Input!$C$16:$CP$16,1,$B106))</f>
        <v>2.5930000000000002E-2</v>
      </c>
      <c r="L106" s="155">
        <f>IF($E106="","",Input!$C$37)</f>
        <v>1.4999999999999999E-2</v>
      </c>
      <c r="M106" s="155">
        <f t="shared" si="64"/>
        <v>4.0930000000000001E-2</v>
      </c>
      <c r="N106" s="155">
        <f t="shared" si="65"/>
        <v>3.3484723449095366E-3</v>
      </c>
      <c r="O106" s="147">
        <f>IF($E106="","",MIN(VLOOKUP(IF($B106&lt;=Input!$C$7,$B106,26),'Mortality Tables'!$A$41:$CW$67,IF($B106&lt;=Input!$C$7+1,Input!$C$4+2,$D106-Input!$C$7+2),0)*IF(B106&gt;20,Input!$C$22,1)/1000,1))</f>
        <v>1.176E-3</v>
      </c>
      <c r="P106" s="147">
        <f>IF($E106="","",MIN(VLOOKUP(IF($B106&lt;=Input!$C$7,$B106,26),'Mortality Tables'!$A$12:$CW$37,IF($B106&lt;=Input!$C$7+1,Input!$C$4+2,$D106-Input!$C$7+2),0)*IF(B106&gt;20,Input!$C$22,1)/1000,1))</f>
        <v>1.47E-3</v>
      </c>
      <c r="Q106" s="155">
        <f>IF($E106="","",Input!$C$21)</f>
        <v>5.0000000000000001E-3</v>
      </c>
      <c r="R106" s="159">
        <f>IF($E106="","",(1-Q106)^($F106-Input!$C$20))</f>
        <v>0.96069304357543694</v>
      </c>
      <c r="S106" s="147">
        <f t="shared" si="41"/>
        <v>1.1297750192447139E-3</v>
      </c>
      <c r="T106" s="147">
        <f t="shared" si="42"/>
        <v>9.4196704555793431E-5</v>
      </c>
      <c r="U106" s="160">
        <f>IF($E106="","",IF($C106=12,INDEX(Input!$C$15:$CP$15,1,$B106),0))</f>
        <v>0</v>
      </c>
      <c r="V106" s="150">
        <f>IF(E106="","",IF(C106=1,IF($B106=1,Input!$C$33,Input!$C$34),0))</f>
        <v>0</v>
      </c>
      <c r="W106" s="156">
        <f>IF($E106="","",Input!$C$35)</f>
        <v>0.02</v>
      </c>
      <c r="X106" s="156">
        <f t="shared" si="43"/>
        <v>1.1716593810022657</v>
      </c>
      <c r="Y106" s="154"/>
      <c r="Z106" s="147">
        <f>IF($E106="","",VLOOKUP($D106,'Mortality Margins &amp; Grading'!$AB$5:$AF$125,3,0)*IF(Summary!$D$25="Included Margin",IF(AND($B106&gt;Input!$C$9,Summary!$D$31&lt;&gt;"Included Margin"),0,1),0))</f>
        <v>3.7999999999999999E-2</v>
      </c>
      <c r="AA106" s="147">
        <f>IF($E106="","",VLOOKUP($D106,'Mortality Margins &amp; Grading'!$AB$5:$AF$125,5,0)*IF(Summary!$D$25="Included Margin",IF(AND($B106&gt;Input!$C$9,Summary!$D$31&lt;&gt;"Included Margin"),0,1),0))</f>
        <v>0.19600000000000001</v>
      </c>
      <c r="AB106" s="147">
        <f>IF($E106="","",IF(AND($B106&gt;Input!$C$9,Summary!$D$31&lt;&gt;"Included Margin"),1,IF(Summary!$D$25="Included Margin",VLOOKUP($B106,'Mortality Margins &amp; Grading'!$AI$5:$AR$125,MATCH('Mortality Margins &amp; Grading'!$AQ$4,'Mortality Margins &amp; Grading'!$AI$4:$AR$4,0),0),1)))</f>
        <v>1</v>
      </c>
      <c r="AC106" s="154"/>
      <c r="AD106" s="158">
        <f>IF(E106="","",Input!$C$48*IF(Summary!$D$30="Included Margin",IF(AND($B106&gt;Input!$C$9,Summary!$D$31&lt;&gt;"Included Margin"),0,1),0))</f>
        <v>-4.4999999999999997E-3</v>
      </c>
      <c r="AE106" s="159">
        <f>IF(E106="","",IF(Summary!$D$26="Included Margin",IF(AND($B106&gt;Input!$C$9,Summary!$D$31&lt;&gt;"Included Margin"),1,1/$R106),1))</f>
        <v>1.040915208752083</v>
      </c>
      <c r="AF106" s="160">
        <f>IF(E106="","",IF(AND($B106&gt;=Input!$C$9,$C106=12,Summary!$D$31="Included Margin",$U106&gt;0),1/U106-1,IF($B106&gt;=Input!$C$9,0,Input!$C$45*IF(Summary!$D$27="Included Margin",1,0))))</f>
        <v>-0.1</v>
      </c>
      <c r="AG106" s="160">
        <f>IF(E106="","",Input!$C$46*IF(Summary!$D$28="Included Margin",IF(AND($B106&gt;Input!$C$9,Summary!$D$31&lt;&gt;"Included Margin"),0,1),0))</f>
        <v>0.02</v>
      </c>
      <c r="AH106" s="158">
        <f>IF(E106="","",Input!$C$47*IF(Summary!$D$29="Included Margin",IF(AND($B106&gt;Input!$C$9,Summary!$D$31&lt;&gt;"Included Margin"),0,1),0))</f>
        <v>2.5000000000000001E-3</v>
      </c>
      <c r="AI106" s="154"/>
      <c r="AJ106" s="158">
        <f t="shared" si="66"/>
        <v>3.6430000000000004E-2</v>
      </c>
      <c r="AK106" s="155">
        <f t="shared" si="67"/>
        <v>2.9862930858015613E-3</v>
      </c>
      <c r="AL106" s="147">
        <f t="shared" si="68"/>
        <v>1.2206879999999997E-3</v>
      </c>
      <c r="AM106" s="147">
        <f t="shared" si="44"/>
        <v>1.0178095717183755E-4</v>
      </c>
      <c r="AN106" s="160">
        <f t="shared" si="69"/>
        <v>0</v>
      </c>
      <c r="AO106" s="161">
        <f t="shared" si="70"/>
        <v>0</v>
      </c>
      <c r="AP106" s="156">
        <f t="shared" si="45"/>
        <v>1.1948311418149107</v>
      </c>
      <c r="AQ106" s="152"/>
      <c r="AR106" s="162">
        <f t="shared" si="46"/>
        <v>859.12665829955597</v>
      </c>
      <c r="AS106" s="150">
        <f t="shared" si="71"/>
        <v>0</v>
      </c>
      <c r="AT106" s="163">
        <f t="shared" si="47"/>
        <v>0</v>
      </c>
      <c r="AU106" s="163">
        <f t="shared" si="48"/>
        <v>10.178095717183755</v>
      </c>
      <c r="AV106" s="163">
        <f t="shared" si="72"/>
        <v>2.5504066110743384</v>
      </c>
      <c r="AW106" s="163">
        <f t="shared" si="49"/>
        <v>8.6675204306762135E-2</v>
      </c>
      <c r="AX106" s="163">
        <f t="shared" si="50"/>
        <v>0</v>
      </c>
      <c r="AY106" s="164">
        <f t="shared" si="73"/>
        <v>851.5856443977533</v>
      </c>
      <c r="AZ106" s="164">
        <f>IF($E106="","",IF(OR(AND($D106=Input!$C$6,$C106=12),$AN106=1),0,-AS107+AT107+AU107-AV107-AW107-AX107+AZ107))</f>
        <v>851.58566705584951</v>
      </c>
      <c r="BA106" s="154">
        <f t="shared" si="51"/>
        <v>2.2658096213490353E-5</v>
      </c>
      <c r="BC106" s="147">
        <f t="shared" si="74"/>
        <v>0.62498842519864894</v>
      </c>
      <c r="BD106" s="164">
        <f>IF(AND($C105=12,$D105=Input!$C$6),0,IF($E106="","",AT106+(AU106+BD107)/(1+$AK106)*MIN((1-AM106-AN106),1)))</f>
        <v>2610.9032804632138</v>
      </c>
      <c r="BE106" s="164">
        <f t="shared" si="52"/>
        <v>1631.7843296026904</v>
      </c>
      <c r="BF106" s="164">
        <f t="shared" si="75"/>
        <v>851.58566705584951</v>
      </c>
      <c r="BG106" s="164">
        <f t="shared" si="53"/>
        <v>532.23118497497637</v>
      </c>
      <c r="BH106" s="152"/>
      <c r="BI106" s="162">
        <f t="shared" si="54"/>
        <v>537.78514183320226</v>
      </c>
      <c r="BJ106" s="150">
        <f t="shared" si="55"/>
        <v>0</v>
      </c>
      <c r="BK106" s="163">
        <f t="shared" si="79"/>
        <v>0</v>
      </c>
      <c r="BL106" s="163">
        <f t="shared" si="56"/>
        <v>9.4196704555793431</v>
      </c>
      <c r="BM106" s="163">
        <f t="shared" si="80"/>
        <v>1.7849879219223961</v>
      </c>
      <c r="BN106" s="163">
        <f t="shared" si="57"/>
        <v>4.9943133146324398E-2</v>
      </c>
      <c r="BO106" s="163">
        <f t="shared" si="58"/>
        <v>0</v>
      </c>
      <c r="BP106" s="164">
        <f t="shared" si="81"/>
        <v>530.2004024326917</v>
      </c>
      <c r="BQ106" s="164">
        <f>IF($E106="","",IF(AND($D106=Input!$C$6,$C106=12),0,-BJ107+BK107+BL107-BM107-BN107-BO107+BQ107))</f>
        <v>530.20042879252424</v>
      </c>
      <c r="BR106" s="161">
        <f t="shared" si="59"/>
        <v>0</v>
      </c>
      <c r="BT106" s="147">
        <f t="shared" si="60"/>
        <v>0.62498842519864894</v>
      </c>
      <c r="BU106" s="164">
        <f>IF(AND($C105=12,$D105=Input!$C$6),0,IF($E106="","",BK106+(BL106+BU107)/(1+$AK106)*MIN((1-T106-U106),1)))</f>
        <v>4461.3008371791057</v>
      </c>
      <c r="BV106" s="164">
        <f t="shared" si="61"/>
        <v>2788.2613845659835</v>
      </c>
      <c r="BW106" s="164">
        <f t="shared" si="62"/>
        <v>530.20042879252424</v>
      </c>
      <c r="BX106" s="164">
        <f t="shared" si="63"/>
        <v>331.36913103068815</v>
      </c>
    </row>
    <row r="107" spans="1:76" s="150" customFormat="1" x14ac:dyDescent="0.25">
      <c r="A107" s="150">
        <f t="shared" si="76"/>
        <v>103</v>
      </c>
      <c r="B107" s="150">
        <f t="shared" si="77"/>
        <v>9</v>
      </c>
      <c r="C107" s="150">
        <f t="shared" si="78"/>
        <v>7</v>
      </c>
      <c r="D107" s="150">
        <f>IF(E107="","",Input!$C$4+B107-1)</f>
        <v>53</v>
      </c>
      <c r="E107" s="150">
        <f>IF(OR(AND(C106=12,D106=Input!$C$6),E106=""),"",1)</f>
        <v>1</v>
      </c>
      <c r="F107" s="150">
        <f>IF(E107="","",Input!$C$8+B107-1)</f>
        <v>2026</v>
      </c>
      <c r="G107" s="151">
        <f>IF(E107="","",MAX(0,Input!$C$9-B107))</f>
        <v>11</v>
      </c>
      <c r="H107" s="152">
        <f>IF(E107="","",Input!$C$3)</f>
        <v>100000</v>
      </c>
      <c r="I107" s="153">
        <f>IF(E107="","",HLOOKUP($B107,Input!$C$13:$BT$14,2))</f>
        <v>2.2999999999999998</v>
      </c>
      <c r="J107" s="154"/>
      <c r="K107" s="155">
        <f>IF($E107="","",INDEX(Input!$C$16:$CP$16,1,$B107))</f>
        <v>2.5930000000000002E-2</v>
      </c>
      <c r="L107" s="155">
        <f>IF($E107="","",Input!$C$37)</f>
        <v>1.4999999999999999E-2</v>
      </c>
      <c r="M107" s="155">
        <f t="shared" si="64"/>
        <v>4.0930000000000001E-2</v>
      </c>
      <c r="N107" s="155">
        <f t="shared" si="65"/>
        <v>3.3484723449095366E-3</v>
      </c>
      <c r="O107" s="147">
        <f>IF($E107="","",MIN(VLOOKUP(IF($B107&lt;=Input!$C$7,$B107,26),'Mortality Tables'!$A$41:$CW$67,IF($B107&lt;=Input!$C$7+1,Input!$C$4+2,$D107-Input!$C$7+2),0)*IF(B107&gt;20,Input!$C$22,1)/1000,1))</f>
        <v>1.176E-3</v>
      </c>
      <c r="P107" s="147">
        <f>IF($E107="","",MIN(VLOOKUP(IF($B107&lt;=Input!$C$7,$B107,26),'Mortality Tables'!$A$12:$CW$37,IF($B107&lt;=Input!$C$7+1,Input!$C$4+2,$D107-Input!$C$7+2),0)*IF(B107&gt;20,Input!$C$22,1)/1000,1))</f>
        <v>1.47E-3</v>
      </c>
      <c r="Q107" s="155">
        <f>IF($E107="","",Input!$C$21)</f>
        <v>5.0000000000000001E-3</v>
      </c>
      <c r="R107" s="159">
        <f>IF($E107="","",(1-Q107)^($F107-Input!$C$20))</f>
        <v>0.96069304357543694</v>
      </c>
      <c r="S107" s="147">
        <f t="shared" si="41"/>
        <v>1.1297750192447139E-3</v>
      </c>
      <c r="T107" s="147">
        <f t="shared" si="42"/>
        <v>9.4196704555793431E-5</v>
      </c>
      <c r="U107" s="160">
        <f>IF($E107="","",IF($C107=12,INDEX(Input!$C$15:$CP$15,1,$B107),0))</f>
        <v>0</v>
      </c>
      <c r="V107" s="150">
        <f>IF(E107="","",IF(C107=1,IF($B107=1,Input!$C$33,Input!$C$34),0))</f>
        <v>0</v>
      </c>
      <c r="W107" s="156">
        <f>IF($E107="","",Input!$C$35)</f>
        <v>0.02</v>
      </c>
      <c r="X107" s="156">
        <f t="shared" si="43"/>
        <v>1.1716593810022657</v>
      </c>
      <c r="Y107" s="154"/>
      <c r="Z107" s="147">
        <f>IF($E107="","",VLOOKUP($D107,'Mortality Margins &amp; Grading'!$AB$5:$AF$125,3,0)*IF(Summary!$D$25="Included Margin",IF(AND($B107&gt;Input!$C$9,Summary!$D$31&lt;&gt;"Included Margin"),0,1),0))</f>
        <v>3.7999999999999999E-2</v>
      </c>
      <c r="AA107" s="147">
        <f>IF($E107="","",VLOOKUP($D107,'Mortality Margins &amp; Grading'!$AB$5:$AF$125,5,0)*IF(Summary!$D$25="Included Margin",IF(AND($B107&gt;Input!$C$9,Summary!$D$31&lt;&gt;"Included Margin"),0,1),0))</f>
        <v>0.19600000000000001</v>
      </c>
      <c r="AB107" s="147">
        <f>IF($E107="","",IF(AND($B107&gt;Input!$C$9,Summary!$D$31&lt;&gt;"Included Margin"),1,IF(Summary!$D$25="Included Margin",VLOOKUP($B107,'Mortality Margins &amp; Grading'!$AI$5:$AR$125,MATCH('Mortality Margins &amp; Grading'!$AQ$4,'Mortality Margins &amp; Grading'!$AI$4:$AR$4,0),0),1)))</f>
        <v>1</v>
      </c>
      <c r="AC107" s="154"/>
      <c r="AD107" s="158">
        <f>IF(E107="","",Input!$C$48*IF(Summary!$D$30="Included Margin",IF(AND($B107&gt;Input!$C$9,Summary!$D$31&lt;&gt;"Included Margin"),0,1),0))</f>
        <v>-4.4999999999999997E-3</v>
      </c>
      <c r="AE107" s="159">
        <f>IF(E107="","",IF(Summary!$D$26="Included Margin",IF(AND($B107&gt;Input!$C$9,Summary!$D$31&lt;&gt;"Included Margin"),1,1/$R107),1))</f>
        <v>1.040915208752083</v>
      </c>
      <c r="AF107" s="160">
        <f>IF(E107="","",IF(AND($B107&gt;=Input!$C$9,$C107=12,Summary!$D$31="Included Margin",$U107&gt;0),1/U107-1,IF($B107&gt;=Input!$C$9,0,Input!$C$45*IF(Summary!$D$27="Included Margin",1,0))))</f>
        <v>-0.1</v>
      </c>
      <c r="AG107" s="160">
        <f>IF(E107="","",Input!$C$46*IF(Summary!$D$28="Included Margin",IF(AND($B107&gt;Input!$C$9,Summary!$D$31&lt;&gt;"Included Margin"),0,1),0))</f>
        <v>0.02</v>
      </c>
      <c r="AH107" s="158">
        <f>IF(E107="","",Input!$C$47*IF(Summary!$D$29="Included Margin",IF(AND($B107&gt;Input!$C$9,Summary!$D$31&lt;&gt;"Included Margin"),0,1),0))</f>
        <v>2.5000000000000001E-3</v>
      </c>
      <c r="AI107" s="154"/>
      <c r="AJ107" s="158">
        <f t="shared" si="66"/>
        <v>3.6430000000000004E-2</v>
      </c>
      <c r="AK107" s="155">
        <f t="shared" si="67"/>
        <v>2.9862930858015613E-3</v>
      </c>
      <c r="AL107" s="147">
        <f t="shared" si="68"/>
        <v>1.2206879999999997E-3</v>
      </c>
      <c r="AM107" s="147">
        <f t="shared" si="44"/>
        <v>1.0178095717183755E-4</v>
      </c>
      <c r="AN107" s="160">
        <f t="shared" si="69"/>
        <v>0</v>
      </c>
      <c r="AO107" s="161">
        <f t="shared" si="70"/>
        <v>0</v>
      </c>
      <c r="AP107" s="156">
        <f t="shared" si="45"/>
        <v>1.1948311418149107</v>
      </c>
      <c r="AQ107" s="152"/>
      <c r="AR107" s="162">
        <f t="shared" si="46"/>
        <v>851.5856443977533</v>
      </c>
      <c r="AS107" s="150">
        <f t="shared" si="71"/>
        <v>0</v>
      </c>
      <c r="AT107" s="163">
        <f t="shared" si="47"/>
        <v>0</v>
      </c>
      <c r="AU107" s="163">
        <f t="shared" si="48"/>
        <v>10.178095717183755</v>
      </c>
      <c r="AV107" s="163">
        <f t="shared" si="72"/>
        <v>2.5278869333994516</v>
      </c>
      <c r="AW107" s="163">
        <f t="shared" si="49"/>
        <v>8.590530225807412E-2</v>
      </c>
      <c r="AX107" s="163">
        <f t="shared" si="50"/>
        <v>0</v>
      </c>
      <c r="AY107" s="164">
        <f t="shared" si="73"/>
        <v>844.02134091622713</v>
      </c>
      <c r="AZ107" s="164">
        <f>IF($E107="","",IF(OR(AND($D107=Input!$C$6,$C107=12),$AN107=1),0,-AS108+AT108+AU108-AV108-AW108-AX108+AZ108))</f>
        <v>844.02136357432323</v>
      </c>
      <c r="BA107" s="154">
        <f t="shared" si="51"/>
        <v>2.2658096099803515E-5</v>
      </c>
      <c r="BC107" s="147">
        <f t="shared" si="74"/>
        <v>0.62492955334860967</v>
      </c>
      <c r="BD107" s="164">
        <f>IF(AND($C106=12,$D106=Input!$C$6),0,IF($E107="","",AT107+(AU107+BD108)/(1+$AK107)*MIN((1-AM107-AN107),1)))</f>
        <v>2608.7886681041973</v>
      </c>
      <c r="BE107" s="164">
        <f t="shared" si="52"/>
        <v>1630.3091371392704</v>
      </c>
      <c r="BF107" s="164">
        <f t="shared" si="75"/>
        <v>844.02136357432323</v>
      </c>
      <c r="BG107" s="164">
        <f t="shared" si="53"/>
        <v>527.4538937551863</v>
      </c>
      <c r="BH107" s="152"/>
      <c r="BI107" s="162">
        <f t="shared" si="54"/>
        <v>530.20040243269159</v>
      </c>
      <c r="BJ107" s="150">
        <f t="shared" si="55"/>
        <v>0</v>
      </c>
      <c r="BK107" s="163">
        <f t="shared" si="79"/>
        <v>0</v>
      </c>
      <c r="BL107" s="163">
        <f t="shared" si="56"/>
        <v>9.4196704555793431</v>
      </c>
      <c r="BM107" s="163">
        <f t="shared" si="80"/>
        <v>1.7595906317964405</v>
      </c>
      <c r="BN107" s="163">
        <f t="shared" si="57"/>
        <v>4.92262158175975E-2</v>
      </c>
      <c r="BO107" s="163">
        <f t="shared" si="58"/>
        <v>0</v>
      </c>
      <c r="BP107" s="164">
        <f t="shared" si="81"/>
        <v>522.58954882472631</v>
      </c>
      <c r="BQ107" s="164">
        <f>IF($E107="","",IF(AND($D107=Input!$C$6,$C107=12),0,-BJ108+BK108+BL108-BM108-BN108-BO108+BQ108))</f>
        <v>522.58957518455895</v>
      </c>
      <c r="BR107" s="161">
        <f t="shared" si="59"/>
        <v>0</v>
      </c>
      <c r="BT107" s="147">
        <f t="shared" si="60"/>
        <v>0.62492955334860967</v>
      </c>
      <c r="BU107" s="164">
        <f>IF(AND($C106=12,$D106=Input!$C$6),0,IF($E107="","",BK107+(BL107+BU108)/(1+$AK107)*MIN((1-T107-U107),1)))</f>
        <v>4465.6254530706492</v>
      </c>
      <c r="BV107" s="164">
        <f t="shared" si="61"/>
        <v>2790.7013198096233</v>
      </c>
      <c r="BW107" s="164">
        <f t="shared" si="62"/>
        <v>522.58957518455895</v>
      </c>
      <c r="BX107" s="164">
        <f t="shared" si="63"/>
        <v>326.58166980472612</v>
      </c>
    </row>
    <row r="108" spans="1:76" s="150" customFormat="1" x14ac:dyDescent="0.25">
      <c r="A108" s="150">
        <f t="shared" si="76"/>
        <v>104</v>
      </c>
      <c r="B108" s="150">
        <f t="shared" si="77"/>
        <v>9</v>
      </c>
      <c r="C108" s="150">
        <f t="shared" si="78"/>
        <v>8</v>
      </c>
      <c r="D108" s="150">
        <f>IF(E108="","",Input!$C$4+B108-1)</f>
        <v>53</v>
      </c>
      <c r="E108" s="150">
        <f>IF(OR(AND(C107=12,D107=Input!$C$6),E107=""),"",1)</f>
        <v>1</v>
      </c>
      <c r="F108" s="150">
        <f>IF(E108="","",Input!$C$8+B108-1)</f>
        <v>2026</v>
      </c>
      <c r="G108" s="151">
        <f>IF(E108="","",MAX(0,Input!$C$9-B108))</f>
        <v>11</v>
      </c>
      <c r="H108" s="152">
        <f>IF(E108="","",Input!$C$3)</f>
        <v>100000</v>
      </c>
      <c r="I108" s="153">
        <f>IF(E108="","",HLOOKUP($B108,Input!$C$13:$BT$14,2))</f>
        <v>2.2999999999999998</v>
      </c>
      <c r="J108" s="154"/>
      <c r="K108" s="155">
        <f>IF($E108="","",INDEX(Input!$C$16:$CP$16,1,$B108))</f>
        <v>2.5930000000000002E-2</v>
      </c>
      <c r="L108" s="155">
        <f>IF($E108="","",Input!$C$37)</f>
        <v>1.4999999999999999E-2</v>
      </c>
      <c r="M108" s="155">
        <f t="shared" si="64"/>
        <v>4.0930000000000001E-2</v>
      </c>
      <c r="N108" s="155">
        <f t="shared" si="65"/>
        <v>3.3484723449095366E-3</v>
      </c>
      <c r="O108" s="147">
        <f>IF($E108="","",MIN(VLOOKUP(IF($B108&lt;=Input!$C$7,$B108,26),'Mortality Tables'!$A$41:$CW$67,IF($B108&lt;=Input!$C$7+1,Input!$C$4+2,$D108-Input!$C$7+2),0)*IF(B108&gt;20,Input!$C$22,1)/1000,1))</f>
        <v>1.176E-3</v>
      </c>
      <c r="P108" s="147">
        <f>IF($E108="","",MIN(VLOOKUP(IF($B108&lt;=Input!$C$7,$B108,26),'Mortality Tables'!$A$12:$CW$37,IF($B108&lt;=Input!$C$7+1,Input!$C$4+2,$D108-Input!$C$7+2),0)*IF(B108&gt;20,Input!$C$22,1)/1000,1))</f>
        <v>1.47E-3</v>
      </c>
      <c r="Q108" s="155">
        <f>IF($E108="","",Input!$C$21)</f>
        <v>5.0000000000000001E-3</v>
      </c>
      <c r="R108" s="159">
        <f>IF($E108="","",(1-Q108)^($F108-Input!$C$20))</f>
        <v>0.96069304357543694</v>
      </c>
      <c r="S108" s="147">
        <f t="shared" si="41"/>
        <v>1.1297750192447139E-3</v>
      </c>
      <c r="T108" s="147">
        <f t="shared" si="42"/>
        <v>9.4196704555793431E-5</v>
      </c>
      <c r="U108" s="160">
        <f>IF($E108="","",IF($C108=12,INDEX(Input!$C$15:$CP$15,1,$B108),0))</f>
        <v>0</v>
      </c>
      <c r="V108" s="150">
        <f>IF(E108="","",IF(C108=1,IF($B108=1,Input!$C$33,Input!$C$34),0))</f>
        <v>0</v>
      </c>
      <c r="W108" s="156">
        <f>IF($E108="","",Input!$C$35)</f>
        <v>0.02</v>
      </c>
      <c r="X108" s="156">
        <f t="shared" si="43"/>
        <v>1.1716593810022657</v>
      </c>
      <c r="Y108" s="154"/>
      <c r="Z108" s="147">
        <f>IF($E108="","",VLOOKUP($D108,'Mortality Margins &amp; Grading'!$AB$5:$AF$125,3,0)*IF(Summary!$D$25="Included Margin",IF(AND($B108&gt;Input!$C$9,Summary!$D$31&lt;&gt;"Included Margin"),0,1),0))</f>
        <v>3.7999999999999999E-2</v>
      </c>
      <c r="AA108" s="147">
        <f>IF($E108="","",VLOOKUP($D108,'Mortality Margins &amp; Grading'!$AB$5:$AF$125,5,0)*IF(Summary!$D$25="Included Margin",IF(AND($B108&gt;Input!$C$9,Summary!$D$31&lt;&gt;"Included Margin"),0,1),0))</f>
        <v>0.19600000000000001</v>
      </c>
      <c r="AB108" s="147">
        <f>IF($E108="","",IF(AND($B108&gt;Input!$C$9,Summary!$D$31&lt;&gt;"Included Margin"),1,IF(Summary!$D$25="Included Margin",VLOOKUP($B108,'Mortality Margins &amp; Grading'!$AI$5:$AR$125,MATCH('Mortality Margins &amp; Grading'!$AQ$4,'Mortality Margins &amp; Grading'!$AI$4:$AR$4,0),0),1)))</f>
        <v>1</v>
      </c>
      <c r="AC108" s="154"/>
      <c r="AD108" s="158">
        <f>IF(E108="","",Input!$C$48*IF(Summary!$D$30="Included Margin",IF(AND($B108&gt;Input!$C$9,Summary!$D$31&lt;&gt;"Included Margin"),0,1),0))</f>
        <v>-4.4999999999999997E-3</v>
      </c>
      <c r="AE108" s="159">
        <f>IF(E108="","",IF(Summary!$D$26="Included Margin",IF(AND($B108&gt;Input!$C$9,Summary!$D$31&lt;&gt;"Included Margin"),1,1/$R108),1))</f>
        <v>1.040915208752083</v>
      </c>
      <c r="AF108" s="160">
        <f>IF(E108="","",IF(AND($B108&gt;=Input!$C$9,$C108=12,Summary!$D$31="Included Margin",$U108&gt;0),1/U108-1,IF($B108&gt;=Input!$C$9,0,Input!$C$45*IF(Summary!$D$27="Included Margin",1,0))))</f>
        <v>-0.1</v>
      </c>
      <c r="AG108" s="160">
        <f>IF(E108="","",Input!$C$46*IF(Summary!$D$28="Included Margin",IF(AND($B108&gt;Input!$C$9,Summary!$D$31&lt;&gt;"Included Margin"),0,1),0))</f>
        <v>0.02</v>
      </c>
      <c r="AH108" s="158">
        <f>IF(E108="","",Input!$C$47*IF(Summary!$D$29="Included Margin",IF(AND($B108&gt;Input!$C$9,Summary!$D$31&lt;&gt;"Included Margin"),0,1),0))</f>
        <v>2.5000000000000001E-3</v>
      </c>
      <c r="AI108" s="154"/>
      <c r="AJ108" s="158">
        <f t="shared" si="66"/>
        <v>3.6430000000000004E-2</v>
      </c>
      <c r="AK108" s="155">
        <f t="shared" si="67"/>
        <v>2.9862930858015613E-3</v>
      </c>
      <c r="AL108" s="147">
        <f t="shared" si="68"/>
        <v>1.2206879999999997E-3</v>
      </c>
      <c r="AM108" s="147">
        <f t="shared" si="44"/>
        <v>1.0178095717183755E-4</v>
      </c>
      <c r="AN108" s="160">
        <f t="shared" si="69"/>
        <v>0</v>
      </c>
      <c r="AO108" s="161">
        <f t="shared" si="70"/>
        <v>0</v>
      </c>
      <c r="AP108" s="156">
        <f t="shared" si="45"/>
        <v>1.1948311418149107</v>
      </c>
      <c r="AQ108" s="152"/>
      <c r="AR108" s="162">
        <f t="shared" si="46"/>
        <v>844.02134091622713</v>
      </c>
      <c r="AS108" s="150">
        <f t="shared" si="71"/>
        <v>0</v>
      </c>
      <c r="AT108" s="163">
        <f t="shared" si="47"/>
        <v>0</v>
      </c>
      <c r="AU108" s="163">
        <f t="shared" si="48"/>
        <v>10.178095717183755</v>
      </c>
      <c r="AV108" s="163">
        <f t="shared" si="72"/>
        <v>2.505297706213665</v>
      </c>
      <c r="AW108" s="163">
        <f t="shared" si="49"/>
        <v>8.5133022452843599E-2</v>
      </c>
      <c r="AX108" s="163">
        <f t="shared" si="50"/>
        <v>0</v>
      </c>
      <c r="AY108" s="164">
        <f t="shared" si="73"/>
        <v>836.43367592770994</v>
      </c>
      <c r="AZ108" s="164">
        <f>IF($E108="","",IF(OR(AND($D108=Input!$C$6,$C108=12),$AN108=1),0,-AS109+AT109+AU109-AV109-AW109-AX109+AZ109))</f>
        <v>836.43369858580604</v>
      </c>
      <c r="BA108" s="154">
        <f t="shared" si="51"/>
        <v>2.2658096099803515E-5</v>
      </c>
      <c r="BC108" s="147">
        <f t="shared" si="74"/>
        <v>0.62487068704410476</v>
      </c>
      <c r="BD108" s="164">
        <f>IF(AND($C107=12,$D107=Input!$C$6),0,IF($E108="","",AT108+(AU108+BD109)/(1+$AK108)*MIN((1-AM108-AN108),1)))</f>
        <v>2606.667525000938</v>
      </c>
      <c r="BE108" s="164">
        <f t="shared" si="52"/>
        <v>1628.8301272428923</v>
      </c>
      <c r="BF108" s="164">
        <f t="shared" si="75"/>
        <v>836.43369858580604</v>
      </c>
      <c r="BG108" s="164">
        <f t="shared" si="53"/>
        <v>522.66289990215421</v>
      </c>
      <c r="BH108" s="152"/>
      <c r="BI108" s="162">
        <f t="shared" si="54"/>
        <v>522.58954882472642</v>
      </c>
      <c r="BJ108" s="150">
        <f t="shared" si="55"/>
        <v>0</v>
      </c>
      <c r="BK108" s="163">
        <f t="shared" si="79"/>
        <v>0</v>
      </c>
      <c r="BL108" s="163">
        <f t="shared" si="56"/>
        <v>9.4196704555793431</v>
      </c>
      <c r="BM108" s="163">
        <f t="shared" si="80"/>
        <v>1.7341058989690141</v>
      </c>
      <c r="BN108" s="163">
        <f t="shared" si="57"/>
        <v>4.8506830147262321E-2</v>
      </c>
      <c r="BO108" s="163">
        <f t="shared" si="58"/>
        <v>0</v>
      </c>
      <c r="BP108" s="164">
        <f t="shared" si="81"/>
        <v>514.95249109826341</v>
      </c>
      <c r="BQ108" s="164">
        <f>IF($E108="","",IF(AND($D108=Input!$C$6,$C108=12),0,-BJ109+BK109+BL109-BM109-BN109-BO109+BQ109))</f>
        <v>514.95251745809594</v>
      </c>
      <c r="BR108" s="161">
        <f t="shared" si="59"/>
        <v>0</v>
      </c>
      <c r="BT108" s="147">
        <f t="shared" si="60"/>
        <v>0.62487068704410476</v>
      </c>
      <c r="BU108" s="164">
        <f>IF(AND($C107=12,$D107=Input!$C$6),0,IF($E108="","",BK108+(BL108+BU109)/(1+$AK108)*MIN((1-T108-U108),1)))</f>
        <v>4469.9633921522945</v>
      </c>
      <c r="BV108" s="164">
        <f t="shared" si="61"/>
        <v>2793.1490959162015</v>
      </c>
      <c r="BW108" s="164">
        <f t="shared" si="62"/>
        <v>514.95251745809594</v>
      </c>
      <c r="BX108" s="164">
        <f t="shared" si="63"/>
        <v>321.77873337913178</v>
      </c>
    </row>
    <row r="109" spans="1:76" s="150" customFormat="1" x14ac:dyDescent="0.25">
      <c r="A109" s="150">
        <f t="shared" si="76"/>
        <v>105</v>
      </c>
      <c r="B109" s="150">
        <f t="shared" si="77"/>
        <v>9</v>
      </c>
      <c r="C109" s="150">
        <f t="shared" si="78"/>
        <v>9</v>
      </c>
      <c r="D109" s="150">
        <f>IF(E109="","",Input!$C$4+B109-1)</f>
        <v>53</v>
      </c>
      <c r="E109" s="150">
        <f>IF(OR(AND(C108=12,D108=Input!$C$6),E108=""),"",1)</f>
        <v>1</v>
      </c>
      <c r="F109" s="150">
        <f>IF(E109="","",Input!$C$8+B109-1)</f>
        <v>2026</v>
      </c>
      <c r="G109" s="151">
        <f>IF(E109="","",MAX(0,Input!$C$9-B109))</f>
        <v>11</v>
      </c>
      <c r="H109" s="152">
        <f>IF(E109="","",Input!$C$3)</f>
        <v>100000</v>
      </c>
      <c r="I109" s="153">
        <f>IF(E109="","",HLOOKUP($B109,Input!$C$13:$BT$14,2))</f>
        <v>2.2999999999999998</v>
      </c>
      <c r="J109" s="154"/>
      <c r="K109" s="155">
        <f>IF($E109="","",INDEX(Input!$C$16:$CP$16,1,$B109))</f>
        <v>2.5930000000000002E-2</v>
      </c>
      <c r="L109" s="155">
        <f>IF($E109="","",Input!$C$37)</f>
        <v>1.4999999999999999E-2</v>
      </c>
      <c r="M109" s="155">
        <f t="shared" si="64"/>
        <v>4.0930000000000001E-2</v>
      </c>
      <c r="N109" s="155">
        <f t="shared" si="65"/>
        <v>3.3484723449095366E-3</v>
      </c>
      <c r="O109" s="147">
        <f>IF($E109="","",MIN(VLOOKUP(IF($B109&lt;=Input!$C$7,$B109,26),'Mortality Tables'!$A$41:$CW$67,IF($B109&lt;=Input!$C$7+1,Input!$C$4+2,$D109-Input!$C$7+2),0)*IF(B109&gt;20,Input!$C$22,1)/1000,1))</f>
        <v>1.176E-3</v>
      </c>
      <c r="P109" s="147">
        <f>IF($E109="","",MIN(VLOOKUP(IF($B109&lt;=Input!$C$7,$B109,26),'Mortality Tables'!$A$12:$CW$37,IF($B109&lt;=Input!$C$7+1,Input!$C$4+2,$D109-Input!$C$7+2),0)*IF(B109&gt;20,Input!$C$22,1)/1000,1))</f>
        <v>1.47E-3</v>
      </c>
      <c r="Q109" s="155">
        <f>IF($E109="","",Input!$C$21)</f>
        <v>5.0000000000000001E-3</v>
      </c>
      <c r="R109" s="159">
        <f>IF($E109="","",(1-Q109)^($F109-Input!$C$20))</f>
        <v>0.96069304357543694</v>
      </c>
      <c r="S109" s="147">
        <f t="shared" si="41"/>
        <v>1.1297750192447139E-3</v>
      </c>
      <c r="T109" s="147">
        <f t="shared" si="42"/>
        <v>9.4196704555793431E-5</v>
      </c>
      <c r="U109" s="160">
        <f>IF($E109="","",IF($C109=12,INDEX(Input!$C$15:$CP$15,1,$B109),0))</f>
        <v>0</v>
      </c>
      <c r="V109" s="150">
        <f>IF(E109="","",IF(C109=1,IF($B109=1,Input!$C$33,Input!$C$34),0))</f>
        <v>0</v>
      </c>
      <c r="W109" s="156">
        <f>IF($E109="","",Input!$C$35)</f>
        <v>0.02</v>
      </c>
      <c r="X109" s="156">
        <f t="shared" si="43"/>
        <v>1.1716593810022657</v>
      </c>
      <c r="Y109" s="154"/>
      <c r="Z109" s="147">
        <f>IF($E109="","",VLOOKUP($D109,'Mortality Margins &amp; Grading'!$AB$5:$AF$125,3,0)*IF(Summary!$D$25="Included Margin",IF(AND($B109&gt;Input!$C$9,Summary!$D$31&lt;&gt;"Included Margin"),0,1),0))</f>
        <v>3.7999999999999999E-2</v>
      </c>
      <c r="AA109" s="147">
        <f>IF($E109="","",VLOOKUP($D109,'Mortality Margins &amp; Grading'!$AB$5:$AF$125,5,0)*IF(Summary!$D$25="Included Margin",IF(AND($B109&gt;Input!$C$9,Summary!$D$31&lt;&gt;"Included Margin"),0,1),0))</f>
        <v>0.19600000000000001</v>
      </c>
      <c r="AB109" s="147">
        <f>IF($E109="","",IF(AND($B109&gt;Input!$C$9,Summary!$D$31&lt;&gt;"Included Margin"),1,IF(Summary!$D$25="Included Margin",VLOOKUP($B109,'Mortality Margins &amp; Grading'!$AI$5:$AR$125,MATCH('Mortality Margins &amp; Grading'!$AQ$4,'Mortality Margins &amp; Grading'!$AI$4:$AR$4,0),0),1)))</f>
        <v>1</v>
      </c>
      <c r="AC109" s="154"/>
      <c r="AD109" s="158">
        <f>IF(E109="","",Input!$C$48*IF(Summary!$D$30="Included Margin",IF(AND($B109&gt;Input!$C$9,Summary!$D$31&lt;&gt;"Included Margin"),0,1),0))</f>
        <v>-4.4999999999999997E-3</v>
      </c>
      <c r="AE109" s="159">
        <f>IF(E109="","",IF(Summary!$D$26="Included Margin",IF(AND($B109&gt;Input!$C$9,Summary!$D$31&lt;&gt;"Included Margin"),1,1/$R109),1))</f>
        <v>1.040915208752083</v>
      </c>
      <c r="AF109" s="160">
        <f>IF(E109="","",IF(AND($B109&gt;=Input!$C$9,$C109=12,Summary!$D$31="Included Margin",$U109&gt;0),1/U109-1,IF($B109&gt;=Input!$C$9,0,Input!$C$45*IF(Summary!$D$27="Included Margin",1,0))))</f>
        <v>-0.1</v>
      </c>
      <c r="AG109" s="160">
        <f>IF(E109="","",Input!$C$46*IF(Summary!$D$28="Included Margin",IF(AND($B109&gt;Input!$C$9,Summary!$D$31&lt;&gt;"Included Margin"),0,1),0))</f>
        <v>0.02</v>
      </c>
      <c r="AH109" s="158">
        <f>IF(E109="","",Input!$C$47*IF(Summary!$D$29="Included Margin",IF(AND($B109&gt;Input!$C$9,Summary!$D$31&lt;&gt;"Included Margin"),0,1),0))</f>
        <v>2.5000000000000001E-3</v>
      </c>
      <c r="AI109" s="154"/>
      <c r="AJ109" s="158">
        <f t="shared" si="66"/>
        <v>3.6430000000000004E-2</v>
      </c>
      <c r="AK109" s="155">
        <f t="shared" si="67"/>
        <v>2.9862930858015613E-3</v>
      </c>
      <c r="AL109" s="147">
        <f t="shared" si="68"/>
        <v>1.2206879999999997E-3</v>
      </c>
      <c r="AM109" s="147">
        <f t="shared" si="44"/>
        <v>1.0178095717183755E-4</v>
      </c>
      <c r="AN109" s="160">
        <f t="shared" si="69"/>
        <v>0</v>
      </c>
      <c r="AO109" s="161">
        <f t="shared" si="70"/>
        <v>0</v>
      </c>
      <c r="AP109" s="156">
        <f t="shared" si="45"/>
        <v>1.1948311418149107</v>
      </c>
      <c r="AQ109" s="152"/>
      <c r="AR109" s="162">
        <f t="shared" si="46"/>
        <v>836.43367592770983</v>
      </c>
      <c r="AS109" s="150">
        <f t="shared" si="71"/>
        <v>0</v>
      </c>
      <c r="AT109" s="163">
        <f t="shared" si="47"/>
        <v>0</v>
      </c>
      <c r="AU109" s="163">
        <f t="shared" si="48"/>
        <v>10.178095717183755</v>
      </c>
      <c r="AV109" s="163">
        <f t="shared" si="72"/>
        <v>2.4826387147210776</v>
      </c>
      <c r="AW109" s="163">
        <f t="shared" si="49"/>
        <v>8.4358357547634877E-2</v>
      </c>
      <c r="AX109" s="163">
        <f t="shared" si="50"/>
        <v>0</v>
      </c>
      <c r="AY109" s="164">
        <f t="shared" si="73"/>
        <v>828.8225772827949</v>
      </c>
      <c r="AZ109" s="164">
        <f>IF($E109="","",IF(OR(AND($D109=Input!$C$6,$C109=12),$AN109=1),0,-AS110+AT110+AU110-AV110-AW110-AX110+AZ110))</f>
        <v>828.822599940891</v>
      </c>
      <c r="BA109" s="154">
        <f t="shared" si="51"/>
        <v>2.2658096099803515E-5</v>
      </c>
      <c r="BC109" s="147">
        <f t="shared" si="74"/>
        <v>0.62481182628461174</v>
      </c>
      <c r="BD109" s="164">
        <f>IF(AND($C108=12,$D108=Input!$C$6),0,IF($E109="","",AT109+(AU109+BD110)/(1+$AK109)*MIN((1-AM109-AN109),1)))</f>
        <v>2604.539830983962</v>
      </c>
      <c r="BE109" s="164">
        <f t="shared" si="52"/>
        <v>1627.3472884281032</v>
      </c>
      <c r="BF109" s="164">
        <f t="shared" si="75"/>
        <v>828.822599940891</v>
      </c>
      <c r="BG109" s="164">
        <f t="shared" si="53"/>
        <v>517.85816233502828</v>
      </c>
      <c r="BH109" s="152"/>
      <c r="BI109" s="162">
        <f t="shared" si="54"/>
        <v>514.95249109826341</v>
      </c>
      <c r="BJ109" s="150">
        <f t="shared" si="55"/>
        <v>0</v>
      </c>
      <c r="BK109" s="163">
        <f t="shared" si="79"/>
        <v>0</v>
      </c>
      <c r="BL109" s="163">
        <f t="shared" si="56"/>
        <v>9.4196704555793431</v>
      </c>
      <c r="BM109" s="163">
        <f t="shared" si="80"/>
        <v>1.7085334223754749</v>
      </c>
      <c r="BN109" s="163">
        <f t="shared" si="57"/>
        <v>4.7784967636835082E-2</v>
      </c>
      <c r="BO109" s="163">
        <f t="shared" si="58"/>
        <v>0</v>
      </c>
      <c r="BP109" s="164">
        <f t="shared" si="81"/>
        <v>507.28913903269637</v>
      </c>
      <c r="BQ109" s="164">
        <f>IF($E109="","",IF(AND($D109=Input!$C$6,$C109=12),0,-BJ110+BK110+BL110-BM110-BN110-BO110+BQ110))</f>
        <v>507.28916539252896</v>
      </c>
      <c r="BR109" s="161">
        <f t="shared" si="59"/>
        <v>0</v>
      </c>
      <c r="BT109" s="147">
        <f t="shared" si="60"/>
        <v>0.62481182628461174</v>
      </c>
      <c r="BU109" s="164">
        <f>IF(AND($C108=12,$D108=Input!$C$6),0,IF($E109="","",BK109+(BL109+BU110)/(1+$AK109)*MIN((1-T109-U109),1)))</f>
        <v>4474.3146954698595</v>
      </c>
      <c r="BV109" s="164">
        <f t="shared" si="61"/>
        <v>2795.6047362485992</v>
      </c>
      <c r="BW109" s="164">
        <f t="shared" si="62"/>
        <v>507.28916539252896</v>
      </c>
      <c r="BX109" s="164">
        <f t="shared" si="63"/>
        <v>316.96026988330249</v>
      </c>
    </row>
    <row r="110" spans="1:76" s="150" customFormat="1" x14ac:dyDescent="0.25">
      <c r="A110" s="150">
        <f t="shared" si="76"/>
        <v>106</v>
      </c>
      <c r="B110" s="150">
        <f t="shared" si="77"/>
        <v>9</v>
      </c>
      <c r="C110" s="150">
        <f t="shared" si="78"/>
        <v>10</v>
      </c>
      <c r="D110" s="150">
        <f>IF(E110="","",Input!$C$4+B110-1)</f>
        <v>53</v>
      </c>
      <c r="E110" s="150">
        <f>IF(OR(AND(C109=12,D109=Input!$C$6),E109=""),"",1)</f>
        <v>1</v>
      </c>
      <c r="F110" s="150">
        <f>IF(E110="","",Input!$C$8+B110-1)</f>
        <v>2026</v>
      </c>
      <c r="G110" s="151">
        <f>IF(E110="","",MAX(0,Input!$C$9-B110))</f>
        <v>11</v>
      </c>
      <c r="H110" s="152">
        <f>IF(E110="","",Input!$C$3)</f>
        <v>100000</v>
      </c>
      <c r="I110" s="153">
        <f>IF(E110="","",HLOOKUP($B110,Input!$C$13:$BT$14,2))</f>
        <v>2.2999999999999998</v>
      </c>
      <c r="J110" s="154"/>
      <c r="K110" s="155">
        <f>IF($E110="","",INDEX(Input!$C$16:$CP$16,1,$B110))</f>
        <v>2.5930000000000002E-2</v>
      </c>
      <c r="L110" s="155">
        <f>IF($E110="","",Input!$C$37)</f>
        <v>1.4999999999999999E-2</v>
      </c>
      <c r="M110" s="155">
        <f t="shared" si="64"/>
        <v>4.0930000000000001E-2</v>
      </c>
      <c r="N110" s="155">
        <f t="shared" si="65"/>
        <v>3.3484723449095366E-3</v>
      </c>
      <c r="O110" s="147">
        <f>IF($E110="","",MIN(VLOOKUP(IF($B110&lt;=Input!$C$7,$B110,26),'Mortality Tables'!$A$41:$CW$67,IF($B110&lt;=Input!$C$7+1,Input!$C$4+2,$D110-Input!$C$7+2),0)*IF(B110&gt;20,Input!$C$22,1)/1000,1))</f>
        <v>1.176E-3</v>
      </c>
      <c r="P110" s="147">
        <f>IF($E110="","",MIN(VLOOKUP(IF($B110&lt;=Input!$C$7,$B110,26),'Mortality Tables'!$A$12:$CW$37,IF($B110&lt;=Input!$C$7+1,Input!$C$4+2,$D110-Input!$C$7+2),0)*IF(B110&gt;20,Input!$C$22,1)/1000,1))</f>
        <v>1.47E-3</v>
      </c>
      <c r="Q110" s="155">
        <f>IF($E110="","",Input!$C$21)</f>
        <v>5.0000000000000001E-3</v>
      </c>
      <c r="R110" s="159">
        <f>IF($E110="","",(1-Q110)^($F110-Input!$C$20))</f>
        <v>0.96069304357543694</v>
      </c>
      <c r="S110" s="147">
        <f t="shared" si="41"/>
        <v>1.1297750192447139E-3</v>
      </c>
      <c r="T110" s="147">
        <f t="shared" si="42"/>
        <v>9.4196704555793431E-5</v>
      </c>
      <c r="U110" s="160">
        <f>IF($E110="","",IF($C110=12,INDEX(Input!$C$15:$CP$15,1,$B110),0))</f>
        <v>0</v>
      </c>
      <c r="V110" s="150">
        <f>IF(E110="","",IF(C110=1,IF($B110=1,Input!$C$33,Input!$C$34),0))</f>
        <v>0</v>
      </c>
      <c r="W110" s="156">
        <f>IF($E110="","",Input!$C$35)</f>
        <v>0.02</v>
      </c>
      <c r="X110" s="156">
        <f t="shared" si="43"/>
        <v>1.1716593810022657</v>
      </c>
      <c r="Y110" s="154"/>
      <c r="Z110" s="147">
        <f>IF($E110="","",VLOOKUP($D110,'Mortality Margins &amp; Grading'!$AB$5:$AF$125,3,0)*IF(Summary!$D$25="Included Margin",IF(AND($B110&gt;Input!$C$9,Summary!$D$31&lt;&gt;"Included Margin"),0,1),0))</f>
        <v>3.7999999999999999E-2</v>
      </c>
      <c r="AA110" s="147">
        <f>IF($E110="","",VLOOKUP($D110,'Mortality Margins &amp; Grading'!$AB$5:$AF$125,5,0)*IF(Summary!$D$25="Included Margin",IF(AND($B110&gt;Input!$C$9,Summary!$D$31&lt;&gt;"Included Margin"),0,1),0))</f>
        <v>0.19600000000000001</v>
      </c>
      <c r="AB110" s="147">
        <f>IF($E110="","",IF(AND($B110&gt;Input!$C$9,Summary!$D$31&lt;&gt;"Included Margin"),1,IF(Summary!$D$25="Included Margin",VLOOKUP($B110,'Mortality Margins &amp; Grading'!$AI$5:$AR$125,MATCH('Mortality Margins &amp; Grading'!$AQ$4,'Mortality Margins &amp; Grading'!$AI$4:$AR$4,0),0),1)))</f>
        <v>1</v>
      </c>
      <c r="AC110" s="154"/>
      <c r="AD110" s="158">
        <f>IF(E110="","",Input!$C$48*IF(Summary!$D$30="Included Margin",IF(AND($B110&gt;Input!$C$9,Summary!$D$31&lt;&gt;"Included Margin"),0,1),0))</f>
        <v>-4.4999999999999997E-3</v>
      </c>
      <c r="AE110" s="159">
        <f>IF(E110="","",IF(Summary!$D$26="Included Margin",IF(AND($B110&gt;Input!$C$9,Summary!$D$31&lt;&gt;"Included Margin"),1,1/$R110),1))</f>
        <v>1.040915208752083</v>
      </c>
      <c r="AF110" s="160">
        <f>IF(E110="","",IF(AND($B110&gt;=Input!$C$9,$C110=12,Summary!$D$31="Included Margin",$U110&gt;0),1/U110-1,IF($B110&gt;=Input!$C$9,0,Input!$C$45*IF(Summary!$D$27="Included Margin",1,0))))</f>
        <v>-0.1</v>
      </c>
      <c r="AG110" s="160">
        <f>IF(E110="","",Input!$C$46*IF(Summary!$D$28="Included Margin",IF(AND($B110&gt;Input!$C$9,Summary!$D$31&lt;&gt;"Included Margin"),0,1),0))</f>
        <v>0.02</v>
      </c>
      <c r="AH110" s="158">
        <f>IF(E110="","",Input!$C$47*IF(Summary!$D$29="Included Margin",IF(AND($B110&gt;Input!$C$9,Summary!$D$31&lt;&gt;"Included Margin"),0,1),0))</f>
        <v>2.5000000000000001E-3</v>
      </c>
      <c r="AI110" s="154"/>
      <c r="AJ110" s="158">
        <f t="shared" si="66"/>
        <v>3.6430000000000004E-2</v>
      </c>
      <c r="AK110" s="155">
        <f t="shared" si="67"/>
        <v>2.9862930858015613E-3</v>
      </c>
      <c r="AL110" s="147">
        <f t="shared" si="68"/>
        <v>1.2206879999999997E-3</v>
      </c>
      <c r="AM110" s="147">
        <f t="shared" si="44"/>
        <v>1.0178095717183755E-4</v>
      </c>
      <c r="AN110" s="160">
        <f t="shared" si="69"/>
        <v>0</v>
      </c>
      <c r="AO110" s="161">
        <f t="shared" si="70"/>
        <v>0</v>
      </c>
      <c r="AP110" s="156">
        <f t="shared" si="45"/>
        <v>1.1948311418149107</v>
      </c>
      <c r="AQ110" s="152"/>
      <c r="AR110" s="162">
        <f t="shared" si="46"/>
        <v>828.82257728279478</v>
      </c>
      <c r="AS110" s="150">
        <f t="shared" si="71"/>
        <v>0</v>
      </c>
      <c r="AT110" s="163">
        <f t="shared" si="47"/>
        <v>0</v>
      </c>
      <c r="AU110" s="163">
        <f t="shared" si="48"/>
        <v>10.178095717183755</v>
      </c>
      <c r="AV110" s="163">
        <f t="shared" si="72"/>
        <v>2.459909743462414</v>
      </c>
      <c r="AW110" s="163">
        <f t="shared" si="49"/>
        <v>8.3581300176332876E-2</v>
      </c>
      <c r="AX110" s="163">
        <f t="shared" si="50"/>
        <v>0</v>
      </c>
      <c r="AY110" s="164">
        <f t="shared" si="73"/>
        <v>821.18797260924975</v>
      </c>
      <c r="AZ110" s="164">
        <f>IF($E110="","",IF(OR(AND($D110=Input!$C$6,$C110=12),$AN110=1),0,-AS111+AT111+AU111-AV111-AW111-AX111+AZ111))</f>
        <v>821.18799526734597</v>
      </c>
      <c r="BA110" s="154">
        <f t="shared" si="51"/>
        <v>2.2658096213490353E-5</v>
      </c>
      <c r="BC110" s="147">
        <f t="shared" si="74"/>
        <v>0.62475297106960825</v>
      </c>
      <c r="BD110" s="164">
        <f>IF(AND($C109=12,$D109=Input!$C$6),0,IF($E110="","",AT110+(AU110+BD111)/(1+$AK110)*MIN((1-AM110-AN110),1)))</f>
        <v>2602.4055658215034</v>
      </c>
      <c r="BE110" s="164">
        <f t="shared" si="52"/>
        <v>1625.8606091750692</v>
      </c>
      <c r="BF110" s="164">
        <f t="shared" si="75"/>
        <v>821.18799526734597</v>
      </c>
      <c r="BG110" s="164">
        <f t="shared" si="53"/>
        <v>513.03963984996983</v>
      </c>
      <c r="BH110" s="152"/>
      <c r="BI110" s="162">
        <f t="shared" si="54"/>
        <v>507.28913903269648</v>
      </c>
      <c r="BJ110" s="150">
        <f t="shared" si="55"/>
        <v>0</v>
      </c>
      <c r="BK110" s="163">
        <f t="shared" si="79"/>
        <v>0</v>
      </c>
      <c r="BL110" s="163">
        <f t="shared" si="56"/>
        <v>9.4196704555793431</v>
      </c>
      <c r="BM110" s="163">
        <f t="shared" si="80"/>
        <v>1.6828728999146187</v>
      </c>
      <c r="BN110" s="163">
        <f t="shared" si="57"/>
        <v>4.7060619758571759E-2</v>
      </c>
      <c r="BO110" s="163">
        <f t="shared" si="58"/>
        <v>0</v>
      </c>
      <c r="BP110" s="164">
        <f t="shared" si="81"/>
        <v>499.5994020967903</v>
      </c>
      <c r="BQ110" s="164">
        <f>IF($E110="","",IF(AND($D110=Input!$C$6,$C110=12),0,-BJ111+BK111+BL111-BM111-BN111-BO111+BQ111))</f>
        <v>499.59942845662283</v>
      </c>
      <c r="BR110" s="161">
        <f t="shared" si="59"/>
        <v>0</v>
      </c>
      <c r="BT110" s="147">
        <f t="shared" si="60"/>
        <v>0.62475297106960825</v>
      </c>
      <c r="BU110" s="164">
        <f>IF(AND($C109=12,$D109=Input!$C$6),0,IF($E110="","",BK110+(BL110+BU111)/(1+$AK110)*MIN((1-T110-U110),1)))</f>
        <v>4478.6794041956136</v>
      </c>
      <c r="BV110" s="164">
        <f t="shared" si="61"/>
        <v>2798.0682642394727</v>
      </c>
      <c r="BW110" s="164">
        <f t="shared" si="62"/>
        <v>499.59942845662283</v>
      </c>
      <c r="BX110" s="164">
        <f t="shared" si="63"/>
        <v>312.12622727295332</v>
      </c>
    </row>
    <row r="111" spans="1:76" s="150" customFormat="1" x14ac:dyDescent="0.25">
      <c r="A111" s="150">
        <f t="shared" si="76"/>
        <v>107</v>
      </c>
      <c r="B111" s="150">
        <f t="shared" si="77"/>
        <v>9</v>
      </c>
      <c r="C111" s="150">
        <f t="shared" si="78"/>
        <v>11</v>
      </c>
      <c r="D111" s="150">
        <f>IF(E111="","",Input!$C$4+B111-1)</f>
        <v>53</v>
      </c>
      <c r="E111" s="150">
        <f>IF(OR(AND(C110=12,D110=Input!$C$6),E110=""),"",1)</f>
        <v>1</v>
      </c>
      <c r="F111" s="150">
        <f>IF(E111="","",Input!$C$8+B111-1)</f>
        <v>2026</v>
      </c>
      <c r="G111" s="151">
        <f>IF(E111="","",MAX(0,Input!$C$9-B111))</f>
        <v>11</v>
      </c>
      <c r="H111" s="152">
        <f>IF(E111="","",Input!$C$3)</f>
        <v>100000</v>
      </c>
      <c r="I111" s="153">
        <f>IF(E111="","",HLOOKUP($B111,Input!$C$13:$BT$14,2))</f>
        <v>2.2999999999999998</v>
      </c>
      <c r="J111" s="154"/>
      <c r="K111" s="155">
        <f>IF($E111="","",INDEX(Input!$C$16:$CP$16,1,$B111))</f>
        <v>2.5930000000000002E-2</v>
      </c>
      <c r="L111" s="155">
        <f>IF($E111="","",Input!$C$37)</f>
        <v>1.4999999999999999E-2</v>
      </c>
      <c r="M111" s="155">
        <f t="shared" si="64"/>
        <v>4.0930000000000001E-2</v>
      </c>
      <c r="N111" s="155">
        <f t="shared" si="65"/>
        <v>3.3484723449095366E-3</v>
      </c>
      <c r="O111" s="147">
        <f>IF($E111="","",MIN(VLOOKUP(IF($B111&lt;=Input!$C$7,$B111,26),'Mortality Tables'!$A$41:$CW$67,IF($B111&lt;=Input!$C$7+1,Input!$C$4+2,$D111-Input!$C$7+2),0)*IF(B111&gt;20,Input!$C$22,1)/1000,1))</f>
        <v>1.176E-3</v>
      </c>
      <c r="P111" s="147">
        <f>IF($E111="","",MIN(VLOOKUP(IF($B111&lt;=Input!$C$7,$B111,26),'Mortality Tables'!$A$12:$CW$37,IF($B111&lt;=Input!$C$7+1,Input!$C$4+2,$D111-Input!$C$7+2),0)*IF(B111&gt;20,Input!$C$22,1)/1000,1))</f>
        <v>1.47E-3</v>
      </c>
      <c r="Q111" s="155">
        <f>IF($E111="","",Input!$C$21)</f>
        <v>5.0000000000000001E-3</v>
      </c>
      <c r="R111" s="159">
        <f>IF($E111="","",(1-Q111)^($F111-Input!$C$20))</f>
        <v>0.96069304357543694</v>
      </c>
      <c r="S111" s="147">
        <f t="shared" si="41"/>
        <v>1.1297750192447139E-3</v>
      </c>
      <c r="T111" s="147">
        <f t="shared" si="42"/>
        <v>9.4196704555793431E-5</v>
      </c>
      <c r="U111" s="160">
        <f>IF($E111="","",IF($C111=12,INDEX(Input!$C$15:$CP$15,1,$B111),0))</f>
        <v>0</v>
      </c>
      <c r="V111" s="150">
        <f>IF(E111="","",IF(C111=1,IF($B111=1,Input!$C$33,Input!$C$34),0))</f>
        <v>0</v>
      </c>
      <c r="W111" s="156">
        <f>IF($E111="","",Input!$C$35)</f>
        <v>0.02</v>
      </c>
      <c r="X111" s="156">
        <f t="shared" si="43"/>
        <v>1.1716593810022657</v>
      </c>
      <c r="Y111" s="154"/>
      <c r="Z111" s="147">
        <f>IF($E111="","",VLOOKUP($D111,'Mortality Margins &amp; Grading'!$AB$5:$AF$125,3,0)*IF(Summary!$D$25="Included Margin",IF(AND($B111&gt;Input!$C$9,Summary!$D$31&lt;&gt;"Included Margin"),0,1),0))</f>
        <v>3.7999999999999999E-2</v>
      </c>
      <c r="AA111" s="147">
        <f>IF($E111="","",VLOOKUP($D111,'Mortality Margins &amp; Grading'!$AB$5:$AF$125,5,0)*IF(Summary!$D$25="Included Margin",IF(AND($B111&gt;Input!$C$9,Summary!$D$31&lt;&gt;"Included Margin"),0,1),0))</f>
        <v>0.19600000000000001</v>
      </c>
      <c r="AB111" s="147">
        <f>IF($E111="","",IF(AND($B111&gt;Input!$C$9,Summary!$D$31&lt;&gt;"Included Margin"),1,IF(Summary!$D$25="Included Margin",VLOOKUP($B111,'Mortality Margins &amp; Grading'!$AI$5:$AR$125,MATCH('Mortality Margins &amp; Grading'!$AQ$4,'Mortality Margins &amp; Grading'!$AI$4:$AR$4,0),0),1)))</f>
        <v>1</v>
      </c>
      <c r="AC111" s="154"/>
      <c r="AD111" s="158">
        <f>IF(E111="","",Input!$C$48*IF(Summary!$D$30="Included Margin",IF(AND($B111&gt;Input!$C$9,Summary!$D$31&lt;&gt;"Included Margin"),0,1),0))</f>
        <v>-4.4999999999999997E-3</v>
      </c>
      <c r="AE111" s="159">
        <f>IF(E111="","",IF(Summary!$D$26="Included Margin",IF(AND($B111&gt;Input!$C$9,Summary!$D$31&lt;&gt;"Included Margin"),1,1/$R111),1))</f>
        <v>1.040915208752083</v>
      </c>
      <c r="AF111" s="160">
        <f>IF(E111="","",IF(AND($B111&gt;=Input!$C$9,$C111=12,Summary!$D$31="Included Margin",$U111&gt;0),1/U111-1,IF($B111&gt;=Input!$C$9,0,Input!$C$45*IF(Summary!$D$27="Included Margin",1,0))))</f>
        <v>-0.1</v>
      </c>
      <c r="AG111" s="160">
        <f>IF(E111="","",Input!$C$46*IF(Summary!$D$28="Included Margin",IF(AND($B111&gt;Input!$C$9,Summary!$D$31&lt;&gt;"Included Margin"),0,1),0))</f>
        <v>0.02</v>
      </c>
      <c r="AH111" s="158">
        <f>IF(E111="","",Input!$C$47*IF(Summary!$D$29="Included Margin",IF(AND($B111&gt;Input!$C$9,Summary!$D$31&lt;&gt;"Included Margin"),0,1),0))</f>
        <v>2.5000000000000001E-3</v>
      </c>
      <c r="AI111" s="154"/>
      <c r="AJ111" s="158">
        <f t="shared" si="66"/>
        <v>3.6430000000000004E-2</v>
      </c>
      <c r="AK111" s="155">
        <f t="shared" si="67"/>
        <v>2.9862930858015613E-3</v>
      </c>
      <c r="AL111" s="147">
        <f t="shared" si="68"/>
        <v>1.2206879999999997E-3</v>
      </c>
      <c r="AM111" s="147">
        <f t="shared" si="44"/>
        <v>1.0178095717183755E-4</v>
      </c>
      <c r="AN111" s="160">
        <f t="shared" si="69"/>
        <v>0</v>
      </c>
      <c r="AO111" s="161">
        <f t="shared" si="70"/>
        <v>0</v>
      </c>
      <c r="AP111" s="156">
        <f t="shared" si="45"/>
        <v>1.1948311418149107</v>
      </c>
      <c r="AQ111" s="152"/>
      <c r="AR111" s="162">
        <f t="shared" si="46"/>
        <v>821.18797260924975</v>
      </c>
      <c r="AS111" s="150">
        <f t="shared" si="71"/>
        <v>0</v>
      </c>
      <c r="AT111" s="163">
        <f t="shared" si="47"/>
        <v>0</v>
      </c>
      <c r="AU111" s="163">
        <f t="shared" si="48"/>
        <v>10.178095717183755</v>
      </c>
      <c r="AV111" s="163">
        <f t="shared" si="72"/>
        <v>2.4371105763129783</v>
      </c>
      <c r="AW111" s="163">
        <f t="shared" si="49"/>
        <v>8.2801842950073132E-2</v>
      </c>
      <c r="AX111" s="163">
        <f t="shared" si="50"/>
        <v>0</v>
      </c>
      <c r="AY111" s="164">
        <f t="shared" si="73"/>
        <v>813.52978931132907</v>
      </c>
      <c r="AZ111" s="164">
        <f>IF($E111="","",IF(OR(AND($D111=Input!$C$6,$C111=12),$AN111=1),0,-AS112+AT112+AU112-AV112-AW112-AX112+AZ112))</f>
        <v>813.52981196942528</v>
      </c>
      <c r="BA111" s="154">
        <f t="shared" si="51"/>
        <v>2.2658096213490353E-5</v>
      </c>
      <c r="BC111" s="147">
        <f t="shared" si="74"/>
        <v>0.62469412139857206</v>
      </c>
      <c r="BD111" s="164">
        <f>IF(AND($C110=12,$D110=Input!$C$6),0,IF($E111="","",AT111+(AU111+BD112)/(1+$AK111)*MIN((1-AM111-AN111),1)))</f>
        <v>2600.2647092193129</v>
      </c>
      <c r="BE111" s="164">
        <f t="shared" si="52"/>
        <v>1624.370077929472</v>
      </c>
      <c r="BF111" s="164">
        <f t="shared" si="75"/>
        <v>813.52981196942528</v>
      </c>
      <c r="BG111" s="164">
        <f t="shared" si="53"/>
        <v>508.20729111978568</v>
      </c>
      <c r="BH111" s="152"/>
      <c r="BI111" s="162">
        <f t="shared" si="54"/>
        <v>499.5994020967903</v>
      </c>
      <c r="BJ111" s="150">
        <f t="shared" si="55"/>
        <v>0</v>
      </c>
      <c r="BK111" s="163">
        <f t="shared" si="79"/>
        <v>0</v>
      </c>
      <c r="BL111" s="163">
        <f t="shared" si="56"/>
        <v>9.4196704555793431</v>
      </c>
      <c r="BM111" s="163">
        <f t="shared" si="80"/>
        <v>1.6571240284451074</v>
      </c>
      <c r="BN111" s="163">
        <f t="shared" si="57"/>
        <v>4.6333777955367382E-2</v>
      </c>
      <c r="BO111" s="163">
        <f t="shared" si="58"/>
        <v>0</v>
      </c>
      <c r="BP111" s="164">
        <f t="shared" si="81"/>
        <v>491.88318944761136</v>
      </c>
      <c r="BQ111" s="164">
        <f>IF($E111="","",IF(AND($D111=Input!$C$6,$C111=12),0,-BJ112+BK112+BL112-BM112-BN112-BO112+BQ112))</f>
        <v>491.88321580744395</v>
      </c>
      <c r="BR111" s="161">
        <f t="shared" si="59"/>
        <v>0</v>
      </c>
      <c r="BT111" s="147">
        <f t="shared" si="60"/>
        <v>0.62469412139857206</v>
      </c>
      <c r="BU111" s="164">
        <f>IF(AND($C110=12,$D110=Input!$C$6),0,IF($E111="","",BK111+(BL111+BU112)/(1+$AK111)*MIN((1-T111-U111),1)))</f>
        <v>4483.0575596286708</v>
      </c>
      <c r="BV111" s="164">
        <f t="shared" si="61"/>
        <v>2800.5397033914592</v>
      </c>
      <c r="BW111" s="164">
        <f t="shared" si="62"/>
        <v>491.88321580744395</v>
      </c>
      <c r="BX111" s="164">
        <f t="shared" si="63"/>
        <v>307.27655332953543</v>
      </c>
    </row>
    <row r="112" spans="1:76" s="150" customFormat="1" x14ac:dyDescent="0.25">
      <c r="A112" s="150">
        <f t="shared" si="76"/>
        <v>108</v>
      </c>
      <c r="B112" s="150">
        <f t="shared" si="77"/>
        <v>9</v>
      </c>
      <c r="C112" s="150">
        <f t="shared" si="78"/>
        <v>12</v>
      </c>
      <c r="D112" s="150">
        <f>IF(E112="","",Input!$C$4+B112-1)</f>
        <v>53</v>
      </c>
      <c r="E112" s="150">
        <f>IF(OR(AND(C111=12,D111=Input!$C$6),E111=""),"",1)</f>
        <v>1</v>
      </c>
      <c r="F112" s="150">
        <f>IF(E112="","",Input!$C$8+B112-1)</f>
        <v>2026</v>
      </c>
      <c r="G112" s="151">
        <f>IF(E112="","",MAX(0,Input!$C$9-B112))</f>
        <v>11</v>
      </c>
      <c r="H112" s="152">
        <f>IF(E112="","",Input!$C$3)</f>
        <v>100000</v>
      </c>
      <c r="I112" s="153">
        <f>IF(E112="","",HLOOKUP($B112,Input!$C$13:$BT$14,2))</f>
        <v>2.2999999999999998</v>
      </c>
      <c r="J112" s="154"/>
      <c r="K112" s="155">
        <f>IF($E112="","",INDEX(Input!$C$16:$CP$16,1,$B112))</f>
        <v>2.5930000000000002E-2</v>
      </c>
      <c r="L112" s="155">
        <f>IF($E112="","",Input!$C$37)</f>
        <v>1.4999999999999999E-2</v>
      </c>
      <c r="M112" s="155">
        <f t="shared" si="64"/>
        <v>4.0930000000000001E-2</v>
      </c>
      <c r="N112" s="155">
        <f t="shared" si="65"/>
        <v>3.3484723449095366E-3</v>
      </c>
      <c r="O112" s="147">
        <f>IF($E112="","",MIN(VLOOKUP(IF($B112&lt;=Input!$C$7,$B112,26),'Mortality Tables'!$A$41:$CW$67,IF($B112&lt;=Input!$C$7+1,Input!$C$4+2,$D112-Input!$C$7+2),0)*IF(B112&gt;20,Input!$C$22,1)/1000,1))</f>
        <v>1.176E-3</v>
      </c>
      <c r="P112" s="147">
        <f>IF($E112="","",MIN(VLOOKUP(IF($B112&lt;=Input!$C$7,$B112,26),'Mortality Tables'!$A$12:$CW$37,IF($B112&lt;=Input!$C$7+1,Input!$C$4+2,$D112-Input!$C$7+2),0)*IF(B112&gt;20,Input!$C$22,1)/1000,1))</f>
        <v>1.47E-3</v>
      </c>
      <c r="Q112" s="155">
        <f>IF($E112="","",Input!$C$21)</f>
        <v>5.0000000000000001E-3</v>
      </c>
      <c r="R112" s="159">
        <f>IF($E112="","",(1-Q112)^($F112-Input!$C$20))</f>
        <v>0.96069304357543694</v>
      </c>
      <c r="S112" s="147">
        <f t="shared" si="41"/>
        <v>1.1297750192447139E-3</v>
      </c>
      <c r="T112" s="147">
        <f t="shared" si="42"/>
        <v>9.4196704555793431E-5</v>
      </c>
      <c r="U112" s="160">
        <f>IF($E112="","",IF($C112=12,INDEX(Input!$C$15:$CP$15,1,$B112),0))</f>
        <v>0.05</v>
      </c>
      <c r="V112" s="150">
        <f>IF(E112="","",IF(C112=1,IF($B112=1,Input!$C$33,Input!$C$34),0))</f>
        <v>0</v>
      </c>
      <c r="W112" s="156">
        <f>IF($E112="","",Input!$C$35)</f>
        <v>0.02</v>
      </c>
      <c r="X112" s="156">
        <f t="shared" si="43"/>
        <v>1.1716593810022657</v>
      </c>
      <c r="Y112" s="154"/>
      <c r="Z112" s="147">
        <f>IF($E112="","",VLOOKUP($D112,'Mortality Margins &amp; Grading'!$AB$5:$AF$125,3,0)*IF(Summary!$D$25="Included Margin",IF(AND($B112&gt;Input!$C$9,Summary!$D$31&lt;&gt;"Included Margin"),0,1),0))</f>
        <v>3.7999999999999999E-2</v>
      </c>
      <c r="AA112" s="147">
        <f>IF($E112="","",VLOOKUP($D112,'Mortality Margins &amp; Grading'!$AB$5:$AF$125,5,0)*IF(Summary!$D$25="Included Margin",IF(AND($B112&gt;Input!$C$9,Summary!$D$31&lt;&gt;"Included Margin"),0,1),0))</f>
        <v>0.19600000000000001</v>
      </c>
      <c r="AB112" s="147">
        <f>IF($E112="","",IF(AND($B112&gt;Input!$C$9,Summary!$D$31&lt;&gt;"Included Margin"),1,IF(Summary!$D$25="Included Margin",VLOOKUP($B112,'Mortality Margins &amp; Grading'!$AI$5:$AR$125,MATCH('Mortality Margins &amp; Grading'!$AQ$4,'Mortality Margins &amp; Grading'!$AI$4:$AR$4,0),0),1)))</f>
        <v>1</v>
      </c>
      <c r="AC112" s="154"/>
      <c r="AD112" s="158">
        <f>IF(E112="","",Input!$C$48*IF(Summary!$D$30="Included Margin",IF(AND($B112&gt;Input!$C$9,Summary!$D$31&lt;&gt;"Included Margin"),0,1),0))</f>
        <v>-4.4999999999999997E-3</v>
      </c>
      <c r="AE112" s="159">
        <f>IF(E112="","",IF(Summary!$D$26="Included Margin",IF(AND($B112&gt;Input!$C$9,Summary!$D$31&lt;&gt;"Included Margin"),1,1/$R112),1))</f>
        <v>1.040915208752083</v>
      </c>
      <c r="AF112" s="160">
        <f>IF(E112="","",IF(AND($B112&gt;=Input!$C$9,$C112=12,Summary!$D$31="Included Margin",$U112&gt;0),1/U112-1,IF($B112&gt;=Input!$C$9,0,Input!$C$45*IF(Summary!$D$27="Included Margin",1,0))))</f>
        <v>-0.1</v>
      </c>
      <c r="AG112" s="160">
        <f>IF(E112="","",Input!$C$46*IF(Summary!$D$28="Included Margin",IF(AND($B112&gt;Input!$C$9,Summary!$D$31&lt;&gt;"Included Margin"),0,1),0))</f>
        <v>0.02</v>
      </c>
      <c r="AH112" s="158">
        <f>IF(E112="","",Input!$C$47*IF(Summary!$D$29="Included Margin",IF(AND($B112&gt;Input!$C$9,Summary!$D$31&lt;&gt;"Included Margin"),0,1),0))</f>
        <v>2.5000000000000001E-3</v>
      </c>
      <c r="AI112" s="154"/>
      <c r="AJ112" s="158">
        <f t="shared" si="66"/>
        <v>3.6430000000000004E-2</v>
      </c>
      <c r="AK112" s="155">
        <f t="shared" si="67"/>
        <v>2.9862930858015613E-3</v>
      </c>
      <c r="AL112" s="147">
        <f t="shared" si="68"/>
        <v>1.2206879999999997E-3</v>
      </c>
      <c r="AM112" s="147">
        <f t="shared" si="44"/>
        <v>1.0178095717183755E-4</v>
      </c>
      <c r="AN112" s="160">
        <f t="shared" si="69"/>
        <v>4.5000000000000005E-2</v>
      </c>
      <c r="AO112" s="161">
        <f t="shared" si="70"/>
        <v>0</v>
      </c>
      <c r="AP112" s="156">
        <f t="shared" si="45"/>
        <v>1.1948311418149107</v>
      </c>
      <c r="AQ112" s="152"/>
      <c r="AR112" s="162">
        <f t="shared" si="46"/>
        <v>813.52978931132907</v>
      </c>
      <c r="AS112" s="150">
        <f t="shared" si="71"/>
        <v>0</v>
      </c>
      <c r="AT112" s="163">
        <f t="shared" si="47"/>
        <v>0</v>
      </c>
      <c r="AU112" s="163">
        <f t="shared" si="48"/>
        <v>10.178095717183755</v>
      </c>
      <c r="AV112" s="163">
        <f t="shared" si="72"/>
        <v>2.4142409964805966</v>
      </c>
      <c r="AW112" s="163">
        <f t="shared" si="49"/>
        <v>8.5884794195991057E-2</v>
      </c>
      <c r="AX112" s="163">
        <f t="shared" si="50"/>
        <v>37.968029399154446</v>
      </c>
      <c r="AY112" s="164">
        <f t="shared" si="73"/>
        <v>843.81984878397634</v>
      </c>
      <c r="AZ112" s="164">
        <f>IF($E112="","",IF(OR(AND($D112=Input!$C$6,$C112=12),$AN112=1),0,-AS113+AT113+AU113-AV113-AW113-AX113+AZ113))</f>
        <v>843.81987144207255</v>
      </c>
      <c r="BA112" s="154">
        <f t="shared" si="51"/>
        <v>2.2658096213490353E-5</v>
      </c>
      <c r="BC112" s="147">
        <f t="shared" si="74"/>
        <v>0.59340057120105227</v>
      </c>
      <c r="BD112" s="164">
        <f>IF(AND($C111=12,$D111=Input!$C$6),0,IF($E112="","",AT112+(AU112+BD113)/(1+$AK112)*MIN((1-AM112-AN112),1)))</f>
        <v>2598.1172408204643</v>
      </c>
      <c r="BE112" s="164">
        <f t="shared" si="52"/>
        <v>1541.7242547501653</v>
      </c>
      <c r="BF112" s="164">
        <f t="shared" si="75"/>
        <v>843.81987144207255</v>
      </c>
      <c r="BG112" s="164">
        <f t="shared" si="53"/>
        <v>500.72319370452436</v>
      </c>
      <c r="BH112" s="152"/>
      <c r="BI112" s="162">
        <f t="shared" si="54"/>
        <v>491.8831894476113</v>
      </c>
      <c r="BJ112" s="150">
        <f t="shared" si="55"/>
        <v>0</v>
      </c>
      <c r="BK112" s="163">
        <f t="shared" si="79"/>
        <v>0</v>
      </c>
      <c r="BL112" s="163">
        <f t="shared" si="56"/>
        <v>9.4196704555793431</v>
      </c>
      <c r="BM112" s="163">
        <f t="shared" si="80"/>
        <v>1.6312865037818904</v>
      </c>
      <c r="BN112" s="163">
        <f t="shared" si="57"/>
        <v>4.8004666990163064E-2</v>
      </c>
      <c r="BO112" s="163">
        <f t="shared" si="58"/>
        <v>25.478675360823498</v>
      </c>
      <c r="BP112" s="164">
        <f t="shared" si="81"/>
        <v>509.62148552362748</v>
      </c>
      <c r="BQ112" s="164">
        <f>IF($E112="","",IF(AND($D112=Input!$C$6,$C112=12),0,-BJ113+BK113+BL113-BM113-BN113-BO113+BQ113))</f>
        <v>509.62151188346013</v>
      </c>
      <c r="BR112" s="161">
        <f t="shared" si="59"/>
        <v>0</v>
      </c>
      <c r="BT112" s="147">
        <f t="shared" si="60"/>
        <v>0.59340057120105227</v>
      </c>
      <c r="BU112" s="164">
        <f>IF(AND($C111=12,$D111=Input!$C$6),0,IF($E112="","",BK112+(BL112+BU113)/(1+$AK112)*MIN((1-T112-U112),1)))</f>
        <v>4487.4492031953778</v>
      </c>
      <c r="BV112" s="164">
        <f t="shared" si="61"/>
        <v>2662.854920411844</v>
      </c>
      <c r="BW112" s="164">
        <f t="shared" si="62"/>
        <v>509.62151188346013</v>
      </c>
      <c r="BX112" s="164">
        <f t="shared" si="63"/>
        <v>302.40969624798907</v>
      </c>
    </row>
    <row r="113" spans="1:76" s="150" customFormat="1" x14ac:dyDescent="0.25">
      <c r="A113" s="150">
        <f t="shared" si="76"/>
        <v>109</v>
      </c>
      <c r="B113" s="150">
        <f t="shared" si="77"/>
        <v>10</v>
      </c>
      <c r="C113" s="150">
        <f t="shared" si="78"/>
        <v>1</v>
      </c>
      <c r="D113" s="150">
        <f>IF(E113="","",Input!$C$4+B113-1)</f>
        <v>54</v>
      </c>
      <c r="E113" s="150">
        <f>IF(OR(AND(C112=12,D112=Input!$C$6),E112=""),"",1)</f>
        <v>1</v>
      </c>
      <c r="F113" s="150">
        <f>IF(E113="","",Input!$C$8+B113-1)</f>
        <v>2027</v>
      </c>
      <c r="G113" s="151">
        <f>IF(E113="","",MAX(0,Input!$C$9-B113))</f>
        <v>10</v>
      </c>
      <c r="H113" s="152">
        <f>IF(E113="","",Input!$C$3)</f>
        <v>100000</v>
      </c>
      <c r="I113" s="153">
        <f>IF(E113="","",HLOOKUP($B113,Input!$C$13:$BT$14,2))</f>
        <v>2.2999999999999998</v>
      </c>
      <c r="J113" s="154"/>
      <c r="K113" s="155">
        <f>IF($E113="","",INDEX(Input!$C$16:$CP$16,1,$B113))</f>
        <v>2.5579999999999999E-2</v>
      </c>
      <c r="L113" s="155">
        <f>IF($E113="","",Input!$C$37)</f>
        <v>1.4999999999999999E-2</v>
      </c>
      <c r="M113" s="155">
        <f t="shared" si="64"/>
        <v>4.0579999999999998E-2</v>
      </c>
      <c r="N113" s="155">
        <f t="shared" si="65"/>
        <v>3.320354372222889E-3</v>
      </c>
      <c r="O113" s="147">
        <f>IF($E113="","",MIN(VLOOKUP(IF($B113&lt;=Input!$C$7,$B113,26),'Mortality Tables'!$A$41:$CW$67,IF($B113&lt;=Input!$C$7+1,Input!$C$4+2,$D113-Input!$C$7+2),0)*IF(B113&gt;20,Input!$C$22,1)/1000,1))</f>
        <v>1.32E-3</v>
      </c>
      <c r="P113" s="147">
        <f>IF($E113="","",MIN(VLOOKUP(IF($B113&lt;=Input!$C$7,$B113,26),'Mortality Tables'!$A$12:$CW$37,IF($B113&lt;=Input!$C$7+1,Input!$C$4+2,$D113-Input!$C$7+2),0)*IF(B113&gt;20,Input!$C$22,1)/1000,1))</f>
        <v>1.65E-3</v>
      </c>
      <c r="Q113" s="155">
        <f>IF($E113="","",Input!$C$21)</f>
        <v>5.0000000000000001E-3</v>
      </c>
      <c r="R113" s="159">
        <f>IF($E113="","",(1-Q113)^($F113-Input!$C$20))</f>
        <v>0.95588957835755972</v>
      </c>
      <c r="S113" s="147">
        <f t="shared" si="41"/>
        <v>1.2617742434319788E-3</v>
      </c>
      <c r="T113" s="147">
        <f t="shared" si="42"/>
        <v>1.0520871107533303E-4</v>
      </c>
      <c r="U113" s="160">
        <f>IF($E113="","",IF($C113=12,INDEX(Input!$C$15:$CP$15,1,$B113),0))</f>
        <v>0</v>
      </c>
      <c r="V113" s="150">
        <f>IF(E113="","",IF(C113=1,IF($B113=1,Input!$C$33,Input!$C$34),0))</f>
        <v>50</v>
      </c>
      <c r="W113" s="156">
        <f>IF($E113="","",Input!$C$35)</f>
        <v>0.02</v>
      </c>
      <c r="X113" s="156">
        <f t="shared" si="43"/>
        <v>1.1950925686223111</v>
      </c>
      <c r="Y113" s="154"/>
      <c r="Z113" s="147">
        <f>IF($E113="","",VLOOKUP($D113,'Mortality Margins &amp; Grading'!$AB$5:$AF$125,3,0)*IF(Summary!$D$25="Included Margin",IF(AND($B113&gt;Input!$C$9,Summary!$D$31&lt;&gt;"Included Margin"),0,1),0))</f>
        <v>3.7999999999999999E-2</v>
      </c>
      <c r="AA113" s="147">
        <f>IF($E113="","",VLOOKUP($D113,'Mortality Margins &amp; Grading'!$AB$5:$AF$125,5,0)*IF(Summary!$D$25="Included Margin",IF(AND($B113&gt;Input!$C$9,Summary!$D$31&lt;&gt;"Included Margin"),0,1),0))</f>
        <v>0.192</v>
      </c>
      <c r="AB113" s="147">
        <f>IF($E113="","",IF(AND($B113&gt;Input!$C$9,Summary!$D$31&lt;&gt;"Included Margin"),1,IF(Summary!$D$25="Included Margin",VLOOKUP($B113,'Mortality Margins &amp; Grading'!$AI$5:$AR$125,MATCH('Mortality Margins &amp; Grading'!$AQ$4,'Mortality Margins &amp; Grading'!$AI$4:$AR$4,0),0),1)))</f>
        <v>1</v>
      </c>
      <c r="AC113" s="154"/>
      <c r="AD113" s="158">
        <f>IF(E113="","",Input!$C$48*IF(Summary!$D$30="Included Margin",IF(AND($B113&gt;Input!$C$9,Summary!$D$31&lt;&gt;"Included Margin"),0,1),0))</f>
        <v>-4.4999999999999997E-3</v>
      </c>
      <c r="AE113" s="159">
        <f>IF(E113="","",IF(Summary!$D$26="Included Margin",IF(AND($B113&gt;Input!$C$9,Summary!$D$31&lt;&gt;"Included Margin"),1,1/$R113),1))</f>
        <v>1.0461459384443046</v>
      </c>
      <c r="AF113" s="160">
        <f>IF(E113="","",IF(AND($B113&gt;=Input!$C$9,$C113=12,Summary!$D$31="Included Margin",$U113&gt;0),1/U113-1,IF($B113&gt;=Input!$C$9,0,Input!$C$45*IF(Summary!$D$27="Included Margin",1,0))))</f>
        <v>-0.1</v>
      </c>
      <c r="AG113" s="160">
        <f>IF(E113="","",Input!$C$46*IF(Summary!$D$28="Included Margin",IF(AND($B113&gt;Input!$C$9,Summary!$D$31&lt;&gt;"Included Margin"),0,1),0))</f>
        <v>0.02</v>
      </c>
      <c r="AH113" s="158">
        <f>IF(E113="","",Input!$C$47*IF(Summary!$D$29="Included Margin",IF(AND($B113&gt;Input!$C$9,Summary!$D$31&lt;&gt;"Included Margin"),0,1),0))</f>
        <v>2.5000000000000001E-3</v>
      </c>
      <c r="AI113" s="154"/>
      <c r="AJ113" s="158">
        <f t="shared" si="66"/>
        <v>3.6080000000000001E-2</v>
      </c>
      <c r="AK113" s="155">
        <f t="shared" si="67"/>
        <v>2.9580632046699584E-3</v>
      </c>
      <c r="AL113" s="147">
        <f t="shared" si="68"/>
        <v>1.3701599999999998E-3</v>
      </c>
      <c r="AM113" s="147">
        <f t="shared" si="44"/>
        <v>1.142517667291898E-4</v>
      </c>
      <c r="AN113" s="160">
        <f t="shared" si="69"/>
        <v>0</v>
      </c>
      <c r="AO113" s="161">
        <f t="shared" si="70"/>
        <v>51</v>
      </c>
      <c r="AP113" s="156">
        <f t="shared" si="45"/>
        <v>1.221714842505746</v>
      </c>
      <c r="AQ113" s="152"/>
      <c r="AR113" s="162">
        <f t="shared" si="46"/>
        <v>843.81984648601554</v>
      </c>
      <c r="AS113" s="150">
        <f t="shared" si="71"/>
        <v>229.99999999999997</v>
      </c>
      <c r="AT113" s="163">
        <f t="shared" si="47"/>
        <v>62.307456967793044</v>
      </c>
      <c r="AU113" s="163">
        <f t="shared" si="48"/>
        <v>11.42517667291898</v>
      </c>
      <c r="AV113" s="163">
        <f t="shared" si="72"/>
        <v>2.9752193831401326</v>
      </c>
      <c r="AW113" s="163">
        <f t="shared" si="49"/>
        <v>0.11461475281105338</v>
      </c>
      <c r="AX113" s="163">
        <f t="shared" si="50"/>
        <v>0</v>
      </c>
      <c r="AY113" s="164">
        <f t="shared" si="73"/>
        <v>1003.1770469812545</v>
      </c>
      <c r="AZ113" s="164">
        <f>IF($E113="","",IF(OR(AND($D113=Input!$C$6,$C113=12),$AN113=1),0,-AS114+AT114+AU114-AV114-AW114-AX114+AZ114))</f>
        <v>1003.1770719373117</v>
      </c>
      <c r="BA113" s="154">
        <f t="shared" si="51"/>
        <v>2.495605713193072E-5</v>
      </c>
      <c r="BC113" s="147">
        <f t="shared" si="74"/>
        <v>0.59333814029180487</v>
      </c>
      <c r="BD113" s="164">
        <f>IF(AND($C112=12,$D112=Input!$C$6),0,IF($E113="","",AT113+(AU113+BD114)/(1+$AK113)*MIN((1-AM113-AN113),1)))</f>
        <v>2718.778696122798</v>
      </c>
      <c r="BE113" s="164">
        <f t="shared" si="52"/>
        <v>1613.155095422479</v>
      </c>
      <c r="BF113" s="164">
        <f t="shared" si="75"/>
        <v>1003.1770719373117</v>
      </c>
      <c r="BG113" s="164">
        <f t="shared" si="53"/>
        <v>595.22321824666267</v>
      </c>
      <c r="BH113" s="152"/>
      <c r="BI113" s="162">
        <f t="shared" si="54"/>
        <v>509.62148293401964</v>
      </c>
      <c r="BJ113" s="150">
        <f t="shared" si="55"/>
        <v>229.99999999999997</v>
      </c>
      <c r="BK113" s="163">
        <f t="shared" si="79"/>
        <v>59.754628431115556</v>
      </c>
      <c r="BL113" s="163">
        <f t="shared" si="56"/>
        <v>10.520871107533303</v>
      </c>
      <c r="BM113" s="163">
        <f t="shared" si="80"/>
        <v>2.2399323726873943</v>
      </c>
      <c r="BN113" s="163">
        <f t="shared" si="57"/>
        <v>7.0664126101664324E-2</v>
      </c>
      <c r="BO113" s="163">
        <f t="shared" si="58"/>
        <v>0</v>
      </c>
      <c r="BP113" s="164">
        <f t="shared" si="81"/>
        <v>671.65657989415979</v>
      </c>
      <c r="BQ113" s="164">
        <f>IF($E113="","",IF(AND($D113=Input!$C$6,$C113=12),0,-BJ114+BK114+BL114-BM114-BN114-BO114+BQ114))</f>
        <v>671.65660884360034</v>
      </c>
      <c r="BR113" s="161">
        <f t="shared" si="59"/>
        <v>0</v>
      </c>
      <c r="BT113" s="147">
        <f t="shared" si="60"/>
        <v>0.59333814029180487</v>
      </c>
      <c r="BU113" s="164">
        <f>IF(AND($C112=12,$D112=Input!$C$6),0,IF($E113="","",BK113+(BL113+BU114)/(1+$AK113)*MIN((1-T113-U113),1)))</f>
        <v>4728.7870297343443</v>
      </c>
      <c r="BV113" s="164">
        <f t="shared" si="61"/>
        <v>2805.7697020585838</v>
      </c>
      <c r="BW113" s="164">
        <f t="shared" si="62"/>
        <v>671.65660884360034</v>
      </c>
      <c r="BX113" s="164">
        <f t="shared" si="63"/>
        <v>398.51948320596205</v>
      </c>
    </row>
    <row r="114" spans="1:76" s="150" customFormat="1" x14ac:dyDescent="0.25">
      <c r="A114" s="150">
        <f t="shared" si="76"/>
        <v>110</v>
      </c>
      <c r="B114" s="150">
        <f t="shared" si="77"/>
        <v>10</v>
      </c>
      <c r="C114" s="150">
        <f t="shared" si="78"/>
        <v>2</v>
      </c>
      <c r="D114" s="150">
        <f>IF(E114="","",Input!$C$4+B114-1)</f>
        <v>54</v>
      </c>
      <c r="E114" s="150">
        <f>IF(OR(AND(C113=12,D113=Input!$C$6),E113=""),"",1)</f>
        <v>1</v>
      </c>
      <c r="F114" s="150">
        <f>IF(E114="","",Input!$C$8+B114-1)</f>
        <v>2027</v>
      </c>
      <c r="G114" s="151">
        <f>IF(E114="","",MAX(0,Input!$C$9-B114))</f>
        <v>10</v>
      </c>
      <c r="H114" s="152">
        <f>IF(E114="","",Input!$C$3)</f>
        <v>100000</v>
      </c>
      <c r="I114" s="153">
        <f>IF(E114="","",HLOOKUP($B114,Input!$C$13:$BT$14,2))</f>
        <v>2.2999999999999998</v>
      </c>
      <c r="J114" s="154"/>
      <c r="K114" s="155">
        <f>IF($E114="","",INDEX(Input!$C$16:$CP$16,1,$B114))</f>
        <v>2.5579999999999999E-2</v>
      </c>
      <c r="L114" s="155">
        <f>IF($E114="","",Input!$C$37)</f>
        <v>1.4999999999999999E-2</v>
      </c>
      <c r="M114" s="155">
        <f t="shared" si="64"/>
        <v>4.0579999999999998E-2</v>
      </c>
      <c r="N114" s="155">
        <f t="shared" si="65"/>
        <v>3.320354372222889E-3</v>
      </c>
      <c r="O114" s="147">
        <f>IF($E114="","",MIN(VLOOKUP(IF($B114&lt;=Input!$C$7,$B114,26),'Mortality Tables'!$A$41:$CW$67,IF($B114&lt;=Input!$C$7+1,Input!$C$4+2,$D114-Input!$C$7+2),0)*IF(B114&gt;20,Input!$C$22,1)/1000,1))</f>
        <v>1.32E-3</v>
      </c>
      <c r="P114" s="147">
        <f>IF($E114="","",MIN(VLOOKUP(IF($B114&lt;=Input!$C$7,$B114,26),'Mortality Tables'!$A$12:$CW$37,IF($B114&lt;=Input!$C$7+1,Input!$C$4+2,$D114-Input!$C$7+2),0)*IF(B114&gt;20,Input!$C$22,1)/1000,1))</f>
        <v>1.65E-3</v>
      </c>
      <c r="Q114" s="155">
        <f>IF($E114="","",Input!$C$21)</f>
        <v>5.0000000000000001E-3</v>
      </c>
      <c r="R114" s="159">
        <f>IF($E114="","",(1-Q114)^($F114-Input!$C$20))</f>
        <v>0.95588957835755972</v>
      </c>
      <c r="S114" s="147">
        <f t="shared" si="41"/>
        <v>1.2617742434319788E-3</v>
      </c>
      <c r="T114" s="147">
        <f t="shared" si="42"/>
        <v>1.0520871107533303E-4</v>
      </c>
      <c r="U114" s="160">
        <f>IF($E114="","",IF($C114=12,INDEX(Input!$C$15:$CP$15,1,$B114),0))</f>
        <v>0</v>
      </c>
      <c r="V114" s="150">
        <f>IF(E114="","",IF(C114=1,IF($B114=1,Input!$C$33,Input!$C$34),0))</f>
        <v>0</v>
      </c>
      <c r="W114" s="156">
        <f>IF($E114="","",Input!$C$35)</f>
        <v>0.02</v>
      </c>
      <c r="X114" s="156">
        <f t="shared" si="43"/>
        <v>1.1950925686223111</v>
      </c>
      <c r="Y114" s="154"/>
      <c r="Z114" s="147">
        <f>IF($E114="","",VLOOKUP($D114,'Mortality Margins &amp; Grading'!$AB$5:$AF$125,3,0)*IF(Summary!$D$25="Included Margin",IF(AND($B114&gt;Input!$C$9,Summary!$D$31&lt;&gt;"Included Margin"),0,1),0))</f>
        <v>3.7999999999999999E-2</v>
      </c>
      <c r="AA114" s="147">
        <f>IF($E114="","",VLOOKUP($D114,'Mortality Margins &amp; Grading'!$AB$5:$AF$125,5,0)*IF(Summary!$D$25="Included Margin",IF(AND($B114&gt;Input!$C$9,Summary!$D$31&lt;&gt;"Included Margin"),0,1),0))</f>
        <v>0.192</v>
      </c>
      <c r="AB114" s="147">
        <f>IF($E114="","",IF(AND($B114&gt;Input!$C$9,Summary!$D$31&lt;&gt;"Included Margin"),1,IF(Summary!$D$25="Included Margin",VLOOKUP($B114,'Mortality Margins &amp; Grading'!$AI$5:$AR$125,MATCH('Mortality Margins &amp; Grading'!$AQ$4,'Mortality Margins &amp; Grading'!$AI$4:$AR$4,0),0),1)))</f>
        <v>1</v>
      </c>
      <c r="AC114" s="154"/>
      <c r="AD114" s="158">
        <f>IF(E114="","",Input!$C$48*IF(Summary!$D$30="Included Margin",IF(AND($B114&gt;Input!$C$9,Summary!$D$31&lt;&gt;"Included Margin"),0,1),0))</f>
        <v>-4.4999999999999997E-3</v>
      </c>
      <c r="AE114" s="159">
        <f>IF(E114="","",IF(Summary!$D$26="Included Margin",IF(AND($B114&gt;Input!$C$9,Summary!$D$31&lt;&gt;"Included Margin"),1,1/$R114),1))</f>
        <v>1.0461459384443046</v>
      </c>
      <c r="AF114" s="160">
        <f>IF(E114="","",IF(AND($B114&gt;=Input!$C$9,$C114=12,Summary!$D$31="Included Margin",$U114&gt;0),1/U114-1,IF($B114&gt;=Input!$C$9,0,Input!$C$45*IF(Summary!$D$27="Included Margin",1,0))))</f>
        <v>-0.1</v>
      </c>
      <c r="AG114" s="160">
        <f>IF(E114="","",Input!$C$46*IF(Summary!$D$28="Included Margin",IF(AND($B114&gt;Input!$C$9,Summary!$D$31&lt;&gt;"Included Margin"),0,1),0))</f>
        <v>0.02</v>
      </c>
      <c r="AH114" s="158">
        <f>IF(E114="","",Input!$C$47*IF(Summary!$D$29="Included Margin",IF(AND($B114&gt;Input!$C$9,Summary!$D$31&lt;&gt;"Included Margin"),0,1),0))</f>
        <v>2.5000000000000001E-3</v>
      </c>
      <c r="AI114" s="154"/>
      <c r="AJ114" s="158">
        <f t="shared" si="66"/>
        <v>3.6080000000000001E-2</v>
      </c>
      <c r="AK114" s="155">
        <f t="shared" si="67"/>
        <v>2.9580632046699584E-3</v>
      </c>
      <c r="AL114" s="147">
        <f t="shared" si="68"/>
        <v>1.3701599999999998E-3</v>
      </c>
      <c r="AM114" s="147">
        <f t="shared" si="44"/>
        <v>1.142517667291898E-4</v>
      </c>
      <c r="AN114" s="160">
        <f t="shared" si="69"/>
        <v>0</v>
      </c>
      <c r="AO114" s="161">
        <f t="shared" si="70"/>
        <v>0</v>
      </c>
      <c r="AP114" s="156">
        <f t="shared" si="45"/>
        <v>1.221714842505746</v>
      </c>
      <c r="AQ114" s="152"/>
      <c r="AR114" s="162">
        <f t="shared" si="46"/>
        <v>1003.1770469812546</v>
      </c>
      <c r="AS114" s="150">
        <f t="shared" si="71"/>
        <v>0</v>
      </c>
      <c r="AT114" s="163">
        <f t="shared" si="47"/>
        <v>0</v>
      </c>
      <c r="AU114" s="163">
        <f t="shared" si="48"/>
        <v>11.42517667291898</v>
      </c>
      <c r="AV114" s="163">
        <f t="shared" si="72"/>
        <v>2.9505629130832078</v>
      </c>
      <c r="AW114" s="163">
        <f t="shared" si="49"/>
        <v>0.11365949901521269</v>
      </c>
      <c r="AX114" s="163">
        <f t="shared" si="50"/>
        <v>0</v>
      </c>
      <c r="AY114" s="164">
        <f t="shared" si="73"/>
        <v>994.81609272043409</v>
      </c>
      <c r="AZ114" s="164">
        <f>IF($E114="","",IF(OR(AND($D114=Input!$C$6,$C114=12),$AN114=1),0,-AS115+AT115+AU115-AV115-AW115-AX115+AZ115))</f>
        <v>994.8161176764911</v>
      </c>
      <c r="BA114" s="154">
        <f t="shared" si="51"/>
        <v>2.4956057018243882E-5</v>
      </c>
      <c r="BC114" s="147">
        <f t="shared" si="74"/>
        <v>0.59327571595083295</v>
      </c>
      <c r="BD114" s="164">
        <f>IF(AND($C113=12,$D113=Input!$C$6),0,IF($E114="","",AT114+(AU114+BD115)/(1+$AK114)*MIN((1-AM114-AN114),1)))</f>
        <v>2653.2085114154447</v>
      </c>
      <c r="BE114" s="164">
        <f t="shared" si="52"/>
        <v>1574.0841791768416</v>
      </c>
      <c r="BF114" s="164">
        <f t="shared" si="75"/>
        <v>994.8161176764911</v>
      </c>
      <c r="BG114" s="164">
        <f t="shared" si="53"/>
        <v>590.20024445394836</v>
      </c>
      <c r="BH114" s="152"/>
      <c r="BI114" s="162">
        <f t="shared" si="54"/>
        <v>671.65657989415979</v>
      </c>
      <c r="BJ114" s="150">
        <f t="shared" si="55"/>
        <v>0</v>
      </c>
      <c r="BK114" s="163">
        <f t="shared" si="79"/>
        <v>0</v>
      </c>
      <c r="BL114" s="163">
        <f t="shared" si="56"/>
        <v>10.520871107533303</v>
      </c>
      <c r="BM114" s="163">
        <f t="shared" si="80"/>
        <v>2.2126713514930998</v>
      </c>
      <c r="BN114" s="163">
        <f t="shared" si="57"/>
        <v>6.9797374405772605E-2</v>
      </c>
      <c r="BO114" s="163">
        <f t="shared" si="58"/>
        <v>0</v>
      </c>
      <c r="BP114" s="164">
        <f t="shared" si="81"/>
        <v>663.4181775125254</v>
      </c>
      <c r="BQ114" s="164">
        <f>IF($E114="","",IF(AND($D114=Input!$C$6,$C114=12),0,-BJ115+BK115+BL115-BM115-BN115-BO115+BQ115))</f>
        <v>663.41820646196595</v>
      </c>
      <c r="BR114" s="161">
        <f t="shared" si="59"/>
        <v>0</v>
      </c>
      <c r="BT114" s="147">
        <f t="shared" si="60"/>
        <v>0.59327571595083295</v>
      </c>
      <c r="BU114" s="164">
        <f>IF(AND($C113=12,$D113=Input!$C$6),0,IF($E114="","",BK114+(BL114+BU115)/(1+$AK114)*MIN((1-T114-U114),1)))</f>
        <v>4672.8155509318967</v>
      </c>
      <c r="BV114" s="164">
        <f t="shared" si="61"/>
        <v>2772.267991485307</v>
      </c>
      <c r="BW114" s="164">
        <f t="shared" si="62"/>
        <v>663.41820646196595</v>
      </c>
      <c r="BX114" s="164">
        <f t="shared" si="63"/>
        <v>393.58991141354034</v>
      </c>
    </row>
    <row r="115" spans="1:76" s="150" customFormat="1" x14ac:dyDescent="0.25">
      <c r="A115" s="150">
        <f t="shared" si="76"/>
        <v>111</v>
      </c>
      <c r="B115" s="150">
        <f t="shared" si="77"/>
        <v>10</v>
      </c>
      <c r="C115" s="150">
        <f t="shared" si="78"/>
        <v>3</v>
      </c>
      <c r="D115" s="150">
        <f>IF(E115="","",Input!$C$4+B115-1)</f>
        <v>54</v>
      </c>
      <c r="E115" s="150">
        <f>IF(OR(AND(C114=12,D114=Input!$C$6),E114=""),"",1)</f>
        <v>1</v>
      </c>
      <c r="F115" s="150">
        <f>IF(E115="","",Input!$C$8+B115-1)</f>
        <v>2027</v>
      </c>
      <c r="G115" s="151">
        <f>IF(E115="","",MAX(0,Input!$C$9-B115))</f>
        <v>10</v>
      </c>
      <c r="H115" s="152">
        <f>IF(E115="","",Input!$C$3)</f>
        <v>100000</v>
      </c>
      <c r="I115" s="153">
        <f>IF(E115="","",HLOOKUP($B115,Input!$C$13:$BT$14,2))</f>
        <v>2.2999999999999998</v>
      </c>
      <c r="J115" s="154"/>
      <c r="K115" s="155">
        <f>IF($E115="","",INDEX(Input!$C$16:$CP$16,1,$B115))</f>
        <v>2.5579999999999999E-2</v>
      </c>
      <c r="L115" s="155">
        <f>IF($E115="","",Input!$C$37)</f>
        <v>1.4999999999999999E-2</v>
      </c>
      <c r="M115" s="155">
        <f t="shared" si="64"/>
        <v>4.0579999999999998E-2</v>
      </c>
      <c r="N115" s="155">
        <f t="shared" si="65"/>
        <v>3.320354372222889E-3</v>
      </c>
      <c r="O115" s="147">
        <f>IF($E115="","",MIN(VLOOKUP(IF($B115&lt;=Input!$C$7,$B115,26),'Mortality Tables'!$A$41:$CW$67,IF($B115&lt;=Input!$C$7+1,Input!$C$4+2,$D115-Input!$C$7+2),0)*IF(B115&gt;20,Input!$C$22,1)/1000,1))</f>
        <v>1.32E-3</v>
      </c>
      <c r="P115" s="147">
        <f>IF($E115="","",MIN(VLOOKUP(IF($B115&lt;=Input!$C$7,$B115,26),'Mortality Tables'!$A$12:$CW$37,IF($B115&lt;=Input!$C$7+1,Input!$C$4+2,$D115-Input!$C$7+2),0)*IF(B115&gt;20,Input!$C$22,1)/1000,1))</f>
        <v>1.65E-3</v>
      </c>
      <c r="Q115" s="155">
        <f>IF($E115="","",Input!$C$21)</f>
        <v>5.0000000000000001E-3</v>
      </c>
      <c r="R115" s="159">
        <f>IF($E115="","",(1-Q115)^($F115-Input!$C$20))</f>
        <v>0.95588957835755972</v>
      </c>
      <c r="S115" s="147">
        <f t="shared" si="41"/>
        <v>1.2617742434319788E-3</v>
      </c>
      <c r="T115" s="147">
        <f t="shared" si="42"/>
        <v>1.0520871107533303E-4</v>
      </c>
      <c r="U115" s="160">
        <f>IF($E115="","",IF($C115=12,INDEX(Input!$C$15:$CP$15,1,$B115),0))</f>
        <v>0</v>
      </c>
      <c r="V115" s="150">
        <f>IF(E115="","",IF(C115=1,IF($B115=1,Input!$C$33,Input!$C$34),0))</f>
        <v>0</v>
      </c>
      <c r="W115" s="156">
        <f>IF($E115="","",Input!$C$35)</f>
        <v>0.02</v>
      </c>
      <c r="X115" s="156">
        <f t="shared" si="43"/>
        <v>1.1950925686223111</v>
      </c>
      <c r="Y115" s="154"/>
      <c r="Z115" s="147">
        <f>IF($E115="","",VLOOKUP($D115,'Mortality Margins &amp; Grading'!$AB$5:$AF$125,3,0)*IF(Summary!$D$25="Included Margin",IF(AND($B115&gt;Input!$C$9,Summary!$D$31&lt;&gt;"Included Margin"),0,1),0))</f>
        <v>3.7999999999999999E-2</v>
      </c>
      <c r="AA115" s="147">
        <f>IF($E115="","",VLOOKUP($D115,'Mortality Margins &amp; Grading'!$AB$5:$AF$125,5,0)*IF(Summary!$D$25="Included Margin",IF(AND($B115&gt;Input!$C$9,Summary!$D$31&lt;&gt;"Included Margin"),0,1),0))</f>
        <v>0.192</v>
      </c>
      <c r="AB115" s="147">
        <f>IF($E115="","",IF(AND($B115&gt;Input!$C$9,Summary!$D$31&lt;&gt;"Included Margin"),1,IF(Summary!$D$25="Included Margin",VLOOKUP($B115,'Mortality Margins &amp; Grading'!$AI$5:$AR$125,MATCH('Mortality Margins &amp; Grading'!$AQ$4,'Mortality Margins &amp; Grading'!$AI$4:$AR$4,0),0),1)))</f>
        <v>1</v>
      </c>
      <c r="AC115" s="154"/>
      <c r="AD115" s="158">
        <f>IF(E115="","",Input!$C$48*IF(Summary!$D$30="Included Margin",IF(AND($B115&gt;Input!$C$9,Summary!$D$31&lt;&gt;"Included Margin"),0,1),0))</f>
        <v>-4.4999999999999997E-3</v>
      </c>
      <c r="AE115" s="159">
        <f>IF(E115="","",IF(Summary!$D$26="Included Margin",IF(AND($B115&gt;Input!$C$9,Summary!$D$31&lt;&gt;"Included Margin"),1,1/$R115),1))</f>
        <v>1.0461459384443046</v>
      </c>
      <c r="AF115" s="160">
        <f>IF(E115="","",IF(AND($B115&gt;=Input!$C$9,$C115=12,Summary!$D$31="Included Margin",$U115&gt;0),1/U115-1,IF($B115&gt;=Input!$C$9,0,Input!$C$45*IF(Summary!$D$27="Included Margin",1,0))))</f>
        <v>-0.1</v>
      </c>
      <c r="AG115" s="160">
        <f>IF(E115="","",Input!$C$46*IF(Summary!$D$28="Included Margin",IF(AND($B115&gt;Input!$C$9,Summary!$D$31&lt;&gt;"Included Margin"),0,1),0))</f>
        <v>0.02</v>
      </c>
      <c r="AH115" s="158">
        <f>IF(E115="","",Input!$C$47*IF(Summary!$D$29="Included Margin",IF(AND($B115&gt;Input!$C$9,Summary!$D$31&lt;&gt;"Included Margin"),0,1),0))</f>
        <v>2.5000000000000001E-3</v>
      </c>
      <c r="AI115" s="154"/>
      <c r="AJ115" s="158">
        <f t="shared" si="66"/>
        <v>3.6080000000000001E-2</v>
      </c>
      <c r="AK115" s="155">
        <f t="shared" si="67"/>
        <v>2.9580632046699584E-3</v>
      </c>
      <c r="AL115" s="147">
        <f t="shared" si="68"/>
        <v>1.3701599999999998E-3</v>
      </c>
      <c r="AM115" s="147">
        <f t="shared" si="44"/>
        <v>1.142517667291898E-4</v>
      </c>
      <c r="AN115" s="160">
        <f t="shared" si="69"/>
        <v>0</v>
      </c>
      <c r="AO115" s="161">
        <f t="shared" si="70"/>
        <v>0</v>
      </c>
      <c r="AP115" s="156">
        <f t="shared" si="45"/>
        <v>1.221714842505746</v>
      </c>
      <c r="AQ115" s="152"/>
      <c r="AR115" s="162">
        <f t="shared" si="46"/>
        <v>994.81609272043409</v>
      </c>
      <c r="AS115" s="150">
        <f t="shared" si="71"/>
        <v>0</v>
      </c>
      <c r="AT115" s="163">
        <f t="shared" si="47"/>
        <v>0</v>
      </c>
      <c r="AU115" s="163">
        <f t="shared" si="48"/>
        <v>11.42517667291898</v>
      </c>
      <c r="AV115" s="163">
        <f t="shared" si="72"/>
        <v>2.9258306819283462</v>
      </c>
      <c r="AW115" s="163">
        <f t="shared" si="49"/>
        <v>0.11270131004348452</v>
      </c>
      <c r="AX115" s="163">
        <f t="shared" si="50"/>
        <v>0</v>
      </c>
      <c r="AY115" s="164">
        <f t="shared" si="73"/>
        <v>986.42944803948694</v>
      </c>
      <c r="AZ115" s="164">
        <f>IF($E115="","",IF(OR(AND($D115=Input!$C$6,$C115=12),$AN115=1),0,-AS116+AT116+AU116-AV116-AW116-AX116+AZ116))</f>
        <v>986.42947299554396</v>
      </c>
      <c r="BA115" s="154">
        <f t="shared" si="51"/>
        <v>2.4956057018243882E-5</v>
      </c>
      <c r="BC115" s="147">
        <f t="shared" si="74"/>
        <v>0.5932132981774455</v>
      </c>
      <c r="BD115" s="164">
        <f>IF(AND($C114=12,$D114=Input!$C$6),0,IF($E115="","",AT115+(AU115+BD116)/(1+$AK115)*MIN((1-AM115-AN115),1)))</f>
        <v>2649.9357584031973</v>
      </c>
      <c r="BE115" s="164">
        <f t="shared" si="52"/>
        <v>1571.977131200711</v>
      </c>
      <c r="BF115" s="164">
        <f t="shared" si="75"/>
        <v>986.42947299554396</v>
      </c>
      <c r="BG115" s="164">
        <f t="shared" si="53"/>
        <v>585.16308109512602</v>
      </c>
      <c r="BH115" s="152"/>
      <c r="BI115" s="162">
        <f t="shared" si="54"/>
        <v>663.4181775125254</v>
      </c>
      <c r="BJ115" s="150">
        <f t="shared" si="55"/>
        <v>0</v>
      </c>
      <c r="BK115" s="163">
        <f t="shared" si="79"/>
        <v>0</v>
      </c>
      <c r="BL115" s="163">
        <f t="shared" si="56"/>
        <v>10.520871107533303</v>
      </c>
      <c r="BM115" s="163">
        <f t="shared" si="80"/>
        <v>2.1853169361251084</v>
      </c>
      <c r="BN115" s="163">
        <f t="shared" si="57"/>
        <v>6.8927653284859683E-2</v>
      </c>
      <c r="BO115" s="163">
        <f t="shared" si="58"/>
        <v>0</v>
      </c>
      <c r="BP115" s="164">
        <f t="shared" si="81"/>
        <v>655.1515509944021</v>
      </c>
      <c r="BQ115" s="164">
        <f>IF($E115="","",IF(AND($D115=Input!$C$6,$C115=12),0,-BJ116+BK116+BL116-BM116-BN116-BO116+BQ116))</f>
        <v>655.15157994384265</v>
      </c>
      <c r="BR115" s="161">
        <f t="shared" si="59"/>
        <v>0</v>
      </c>
      <c r="BT115" s="147">
        <f t="shared" si="60"/>
        <v>0.5932132981774455</v>
      </c>
      <c r="BU115" s="164">
        <f>IF(AND($C114=12,$D114=Input!$C$6),0,IF($E115="","",BK115+(BL115+BU116)/(1+$AK115)*MIN((1-T115-U115),1)))</f>
        <v>4676.6102905959488</v>
      </c>
      <c r="BV115" s="164">
        <f t="shared" si="61"/>
        <v>2774.2274147750045</v>
      </c>
      <c r="BW115" s="164">
        <f t="shared" si="62"/>
        <v>655.15157994384265</v>
      </c>
      <c r="BX115" s="164">
        <f t="shared" si="63"/>
        <v>388.64462954465125</v>
      </c>
    </row>
    <row r="116" spans="1:76" s="150" customFormat="1" x14ac:dyDescent="0.25">
      <c r="A116" s="150">
        <f t="shared" si="76"/>
        <v>112</v>
      </c>
      <c r="B116" s="150">
        <f t="shared" si="77"/>
        <v>10</v>
      </c>
      <c r="C116" s="150">
        <f t="shared" si="78"/>
        <v>4</v>
      </c>
      <c r="D116" s="150">
        <f>IF(E116="","",Input!$C$4+B116-1)</f>
        <v>54</v>
      </c>
      <c r="E116" s="150">
        <f>IF(OR(AND(C115=12,D115=Input!$C$6),E115=""),"",1)</f>
        <v>1</v>
      </c>
      <c r="F116" s="150">
        <f>IF(E116="","",Input!$C$8+B116-1)</f>
        <v>2027</v>
      </c>
      <c r="G116" s="151">
        <f>IF(E116="","",MAX(0,Input!$C$9-B116))</f>
        <v>10</v>
      </c>
      <c r="H116" s="152">
        <f>IF(E116="","",Input!$C$3)</f>
        <v>100000</v>
      </c>
      <c r="I116" s="153">
        <f>IF(E116="","",HLOOKUP($B116,Input!$C$13:$BT$14,2))</f>
        <v>2.2999999999999998</v>
      </c>
      <c r="J116" s="154"/>
      <c r="K116" s="155">
        <f>IF($E116="","",INDEX(Input!$C$16:$CP$16,1,$B116))</f>
        <v>2.5579999999999999E-2</v>
      </c>
      <c r="L116" s="155">
        <f>IF($E116="","",Input!$C$37)</f>
        <v>1.4999999999999999E-2</v>
      </c>
      <c r="M116" s="155">
        <f t="shared" si="64"/>
        <v>4.0579999999999998E-2</v>
      </c>
      <c r="N116" s="155">
        <f t="shared" si="65"/>
        <v>3.320354372222889E-3</v>
      </c>
      <c r="O116" s="147">
        <f>IF($E116="","",MIN(VLOOKUP(IF($B116&lt;=Input!$C$7,$B116,26),'Mortality Tables'!$A$41:$CW$67,IF($B116&lt;=Input!$C$7+1,Input!$C$4+2,$D116-Input!$C$7+2),0)*IF(B116&gt;20,Input!$C$22,1)/1000,1))</f>
        <v>1.32E-3</v>
      </c>
      <c r="P116" s="147">
        <f>IF($E116="","",MIN(VLOOKUP(IF($B116&lt;=Input!$C$7,$B116,26),'Mortality Tables'!$A$12:$CW$37,IF($B116&lt;=Input!$C$7+1,Input!$C$4+2,$D116-Input!$C$7+2),0)*IF(B116&gt;20,Input!$C$22,1)/1000,1))</f>
        <v>1.65E-3</v>
      </c>
      <c r="Q116" s="155">
        <f>IF($E116="","",Input!$C$21)</f>
        <v>5.0000000000000001E-3</v>
      </c>
      <c r="R116" s="159">
        <f>IF($E116="","",(1-Q116)^($F116-Input!$C$20))</f>
        <v>0.95588957835755972</v>
      </c>
      <c r="S116" s="147">
        <f t="shared" si="41"/>
        <v>1.2617742434319788E-3</v>
      </c>
      <c r="T116" s="147">
        <f t="shared" si="42"/>
        <v>1.0520871107533303E-4</v>
      </c>
      <c r="U116" s="160">
        <f>IF($E116="","",IF($C116=12,INDEX(Input!$C$15:$CP$15,1,$B116),0))</f>
        <v>0</v>
      </c>
      <c r="V116" s="150">
        <f>IF(E116="","",IF(C116=1,IF($B116=1,Input!$C$33,Input!$C$34),0))</f>
        <v>0</v>
      </c>
      <c r="W116" s="156">
        <f>IF($E116="","",Input!$C$35)</f>
        <v>0.02</v>
      </c>
      <c r="X116" s="156">
        <f t="shared" si="43"/>
        <v>1.1950925686223111</v>
      </c>
      <c r="Y116" s="154"/>
      <c r="Z116" s="147">
        <f>IF($E116="","",VLOOKUP($D116,'Mortality Margins &amp; Grading'!$AB$5:$AF$125,3,0)*IF(Summary!$D$25="Included Margin",IF(AND($B116&gt;Input!$C$9,Summary!$D$31&lt;&gt;"Included Margin"),0,1),0))</f>
        <v>3.7999999999999999E-2</v>
      </c>
      <c r="AA116" s="147">
        <f>IF($E116="","",VLOOKUP($D116,'Mortality Margins &amp; Grading'!$AB$5:$AF$125,5,0)*IF(Summary!$D$25="Included Margin",IF(AND($B116&gt;Input!$C$9,Summary!$D$31&lt;&gt;"Included Margin"),0,1),0))</f>
        <v>0.192</v>
      </c>
      <c r="AB116" s="147">
        <f>IF($E116="","",IF(AND($B116&gt;Input!$C$9,Summary!$D$31&lt;&gt;"Included Margin"),1,IF(Summary!$D$25="Included Margin",VLOOKUP($B116,'Mortality Margins &amp; Grading'!$AI$5:$AR$125,MATCH('Mortality Margins &amp; Grading'!$AQ$4,'Mortality Margins &amp; Grading'!$AI$4:$AR$4,0),0),1)))</f>
        <v>1</v>
      </c>
      <c r="AC116" s="154"/>
      <c r="AD116" s="158">
        <f>IF(E116="","",Input!$C$48*IF(Summary!$D$30="Included Margin",IF(AND($B116&gt;Input!$C$9,Summary!$D$31&lt;&gt;"Included Margin"),0,1),0))</f>
        <v>-4.4999999999999997E-3</v>
      </c>
      <c r="AE116" s="159">
        <f>IF(E116="","",IF(Summary!$D$26="Included Margin",IF(AND($B116&gt;Input!$C$9,Summary!$D$31&lt;&gt;"Included Margin"),1,1/$R116),1))</f>
        <v>1.0461459384443046</v>
      </c>
      <c r="AF116" s="160">
        <f>IF(E116="","",IF(AND($B116&gt;=Input!$C$9,$C116=12,Summary!$D$31="Included Margin",$U116&gt;0),1/U116-1,IF($B116&gt;=Input!$C$9,0,Input!$C$45*IF(Summary!$D$27="Included Margin",1,0))))</f>
        <v>-0.1</v>
      </c>
      <c r="AG116" s="160">
        <f>IF(E116="","",Input!$C$46*IF(Summary!$D$28="Included Margin",IF(AND($B116&gt;Input!$C$9,Summary!$D$31&lt;&gt;"Included Margin"),0,1),0))</f>
        <v>0.02</v>
      </c>
      <c r="AH116" s="158">
        <f>IF(E116="","",Input!$C$47*IF(Summary!$D$29="Included Margin",IF(AND($B116&gt;Input!$C$9,Summary!$D$31&lt;&gt;"Included Margin"),0,1),0))</f>
        <v>2.5000000000000001E-3</v>
      </c>
      <c r="AI116" s="154"/>
      <c r="AJ116" s="158">
        <f t="shared" si="66"/>
        <v>3.6080000000000001E-2</v>
      </c>
      <c r="AK116" s="155">
        <f t="shared" si="67"/>
        <v>2.9580632046699584E-3</v>
      </c>
      <c r="AL116" s="147">
        <f t="shared" si="68"/>
        <v>1.3701599999999998E-3</v>
      </c>
      <c r="AM116" s="147">
        <f t="shared" si="44"/>
        <v>1.142517667291898E-4</v>
      </c>
      <c r="AN116" s="160">
        <f t="shared" si="69"/>
        <v>0</v>
      </c>
      <c r="AO116" s="161">
        <f t="shared" si="70"/>
        <v>0</v>
      </c>
      <c r="AP116" s="156">
        <f t="shared" si="45"/>
        <v>1.221714842505746</v>
      </c>
      <c r="AQ116" s="152"/>
      <c r="AR116" s="162">
        <f t="shared" si="46"/>
        <v>986.42944803948683</v>
      </c>
      <c r="AS116" s="150">
        <f t="shared" si="71"/>
        <v>0</v>
      </c>
      <c r="AT116" s="163">
        <f t="shared" si="47"/>
        <v>0</v>
      </c>
      <c r="AU116" s="163">
        <f t="shared" si="48"/>
        <v>11.42517667291898</v>
      </c>
      <c r="AV116" s="163">
        <f t="shared" si="72"/>
        <v>2.9010224568869951</v>
      </c>
      <c r="AW116" s="163">
        <f t="shared" si="49"/>
        <v>0.11174017687705363</v>
      </c>
      <c r="AX116" s="163">
        <f t="shared" si="50"/>
        <v>0</v>
      </c>
      <c r="AY116" s="164">
        <f t="shared" si="73"/>
        <v>978.01703400033193</v>
      </c>
      <c r="AZ116" s="164">
        <f>IF($E116="","",IF(OR(AND($D116=Input!$C$6,$C116=12),$AN116=1),0,-AS117+AT117+AU117-AV117-AW117-AX117+AZ117))</f>
        <v>978.01705895638906</v>
      </c>
      <c r="BA116" s="154">
        <f t="shared" si="51"/>
        <v>2.495605713193072E-5</v>
      </c>
      <c r="BC116" s="147">
        <f t="shared" si="74"/>
        <v>0.59315088697095153</v>
      </c>
      <c r="BD116" s="164">
        <f>IF(AND($C115=12,$D115=Input!$C$6),0,IF($E116="","",AT116+(AU116+BD117)/(1+$AK116)*MIN((1-AM116-AN116),1)))</f>
        <v>2646.6529493139483</v>
      </c>
      <c r="BE116" s="164">
        <f t="shared" si="52"/>
        <v>1569.8645443898533</v>
      </c>
      <c r="BF116" s="164">
        <f t="shared" si="75"/>
        <v>978.01705895638906</v>
      </c>
      <c r="BG116" s="164">
        <f t="shared" si="53"/>
        <v>580.11168599270354</v>
      </c>
      <c r="BH116" s="152"/>
      <c r="BI116" s="162">
        <f t="shared" si="54"/>
        <v>655.15155099440199</v>
      </c>
      <c r="BJ116" s="150">
        <f t="shared" si="55"/>
        <v>0</v>
      </c>
      <c r="BK116" s="163">
        <f t="shared" si="79"/>
        <v>0</v>
      </c>
      <c r="BL116" s="163">
        <f t="shared" si="56"/>
        <v>10.520871107533303</v>
      </c>
      <c r="BM116" s="163">
        <f t="shared" si="80"/>
        <v>2.1578688066221239</v>
      </c>
      <c r="BN116" s="163">
        <f t="shared" si="57"/>
        <v>6.8054952565902521E-2</v>
      </c>
      <c r="BO116" s="163">
        <f t="shared" si="58"/>
        <v>0</v>
      </c>
      <c r="BP116" s="164">
        <f t="shared" si="81"/>
        <v>646.85660364605678</v>
      </c>
      <c r="BQ116" s="164">
        <f>IF($E116="","",IF(AND($D116=Input!$C$6,$C116=12),0,-BJ117+BK117+BL117-BM117-BN117-BO117+BQ117))</f>
        <v>646.85663259549733</v>
      </c>
      <c r="BR116" s="161">
        <f t="shared" si="59"/>
        <v>0</v>
      </c>
      <c r="BT116" s="147">
        <f t="shared" si="60"/>
        <v>0.59315088697095153</v>
      </c>
      <c r="BU116" s="164">
        <f>IF(AND($C115=12,$D115=Input!$C$6),0,IF($E116="","",BK116+(BL116+BU117)/(1+$AK116)*MIN((1-T116-U116),1)))</f>
        <v>4680.4166558025499</v>
      </c>
      <c r="BV116" s="164">
        <f t="shared" si="61"/>
        <v>2776.1932907828973</v>
      </c>
      <c r="BW116" s="164">
        <f t="shared" si="62"/>
        <v>646.85663259549733</v>
      </c>
      <c r="BX116" s="164">
        <f t="shared" si="63"/>
        <v>383.68358536706216</v>
      </c>
    </row>
    <row r="117" spans="1:76" s="150" customFormat="1" x14ac:dyDescent="0.25">
      <c r="A117" s="150">
        <f t="shared" si="76"/>
        <v>113</v>
      </c>
      <c r="B117" s="150">
        <f t="shared" si="77"/>
        <v>10</v>
      </c>
      <c r="C117" s="150">
        <f t="shared" si="78"/>
        <v>5</v>
      </c>
      <c r="D117" s="150">
        <f>IF(E117="","",Input!$C$4+B117-1)</f>
        <v>54</v>
      </c>
      <c r="E117" s="150">
        <f>IF(OR(AND(C116=12,D116=Input!$C$6),E116=""),"",1)</f>
        <v>1</v>
      </c>
      <c r="F117" s="150">
        <f>IF(E117="","",Input!$C$8+B117-1)</f>
        <v>2027</v>
      </c>
      <c r="G117" s="151">
        <f>IF(E117="","",MAX(0,Input!$C$9-B117))</f>
        <v>10</v>
      </c>
      <c r="H117" s="152">
        <f>IF(E117="","",Input!$C$3)</f>
        <v>100000</v>
      </c>
      <c r="I117" s="153">
        <f>IF(E117="","",HLOOKUP($B117,Input!$C$13:$BT$14,2))</f>
        <v>2.2999999999999998</v>
      </c>
      <c r="J117" s="154"/>
      <c r="K117" s="155">
        <f>IF($E117="","",INDEX(Input!$C$16:$CP$16,1,$B117))</f>
        <v>2.5579999999999999E-2</v>
      </c>
      <c r="L117" s="155">
        <f>IF($E117="","",Input!$C$37)</f>
        <v>1.4999999999999999E-2</v>
      </c>
      <c r="M117" s="155">
        <f t="shared" si="64"/>
        <v>4.0579999999999998E-2</v>
      </c>
      <c r="N117" s="155">
        <f t="shared" si="65"/>
        <v>3.320354372222889E-3</v>
      </c>
      <c r="O117" s="147">
        <f>IF($E117="","",MIN(VLOOKUP(IF($B117&lt;=Input!$C$7,$B117,26),'Mortality Tables'!$A$41:$CW$67,IF($B117&lt;=Input!$C$7+1,Input!$C$4+2,$D117-Input!$C$7+2),0)*IF(B117&gt;20,Input!$C$22,1)/1000,1))</f>
        <v>1.32E-3</v>
      </c>
      <c r="P117" s="147">
        <f>IF($E117="","",MIN(VLOOKUP(IF($B117&lt;=Input!$C$7,$B117,26),'Mortality Tables'!$A$12:$CW$37,IF($B117&lt;=Input!$C$7+1,Input!$C$4+2,$D117-Input!$C$7+2),0)*IF(B117&gt;20,Input!$C$22,1)/1000,1))</f>
        <v>1.65E-3</v>
      </c>
      <c r="Q117" s="155">
        <f>IF($E117="","",Input!$C$21)</f>
        <v>5.0000000000000001E-3</v>
      </c>
      <c r="R117" s="159">
        <f>IF($E117="","",(1-Q117)^($F117-Input!$C$20))</f>
        <v>0.95588957835755972</v>
      </c>
      <c r="S117" s="147">
        <f t="shared" si="41"/>
        <v>1.2617742434319788E-3</v>
      </c>
      <c r="T117" s="147">
        <f t="shared" si="42"/>
        <v>1.0520871107533303E-4</v>
      </c>
      <c r="U117" s="160">
        <f>IF($E117="","",IF($C117=12,INDEX(Input!$C$15:$CP$15,1,$B117),0))</f>
        <v>0</v>
      </c>
      <c r="V117" s="150">
        <f>IF(E117="","",IF(C117=1,IF($B117=1,Input!$C$33,Input!$C$34),0))</f>
        <v>0</v>
      </c>
      <c r="W117" s="156">
        <f>IF($E117="","",Input!$C$35)</f>
        <v>0.02</v>
      </c>
      <c r="X117" s="156">
        <f t="shared" si="43"/>
        <v>1.1950925686223111</v>
      </c>
      <c r="Y117" s="154"/>
      <c r="Z117" s="147">
        <f>IF($E117="","",VLOOKUP($D117,'Mortality Margins &amp; Grading'!$AB$5:$AF$125,3,0)*IF(Summary!$D$25="Included Margin",IF(AND($B117&gt;Input!$C$9,Summary!$D$31&lt;&gt;"Included Margin"),0,1),0))</f>
        <v>3.7999999999999999E-2</v>
      </c>
      <c r="AA117" s="147">
        <f>IF($E117="","",VLOOKUP($D117,'Mortality Margins &amp; Grading'!$AB$5:$AF$125,5,0)*IF(Summary!$D$25="Included Margin",IF(AND($B117&gt;Input!$C$9,Summary!$D$31&lt;&gt;"Included Margin"),0,1),0))</f>
        <v>0.192</v>
      </c>
      <c r="AB117" s="147">
        <f>IF($E117="","",IF(AND($B117&gt;Input!$C$9,Summary!$D$31&lt;&gt;"Included Margin"),1,IF(Summary!$D$25="Included Margin",VLOOKUP($B117,'Mortality Margins &amp; Grading'!$AI$5:$AR$125,MATCH('Mortality Margins &amp; Grading'!$AQ$4,'Mortality Margins &amp; Grading'!$AI$4:$AR$4,0),0),1)))</f>
        <v>1</v>
      </c>
      <c r="AC117" s="154"/>
      <c r="AD117" s="158">
        <f>IF(E117="","",Input!$C$48*IF(Summary!$D$30="Included Margin",IF(AND($B117&gt;Input!$C$9,Summary!$D$31&lt;&gt;"Included Margin"),0,1),0))</f>
        <v>-4.4999999999999997E-3</v>
      </c>
      <c r="AE117" s="159">
        <f>IF(E117="","",IF(Summary!$D$26="Included Margin",IF(AND($B117&gt;Input!$C$9,Summary!$D$31&lt;&gt;"Included Margin"),1,1/$R117),1))</f>
        <v>1.0461459384443046</v>
      </c>
      <c r="AF117" s="160">
        <f>IF(E117="","",IF(AND($B117&gt;=Input!$C$9,$C117=12,Summary!$D$31="Included Margin",$U117&gt;0),1/U117-1,IF($B117&gt;=Input!$C$9,0,Input!$C$45*IF(Summary!$D$27="Included Margin",1,0))))</f>
        <v>-0.1</v>
      </c>
      <c r="AG117" s="160">
        <f>IF(E117="","",Input!$C$46*IF(Summary!$D$28="Included Margin",IF(AND($B117&gt;Input!$C$9,Summary!$D$31&lt;&gt;"Included Margin"),0,1),0))</f>
        <v>0.02</v>
      </c>
      <c r="AH117" s="158">
        <f>IF(E117="","",Input!$C$47*IF(Summary!$D$29="Included Margin",IF(AND($B117&gt;Input!$C$9,Summary!$D$31&lt;&gt;"Included Margin"),0,1),0))</f>
        <v>2.5000000000000001E-3</v>
      </c>
      <c r="AI117" s="154"/>
      <c r="AJ117" s="158">
        <f t="shared" si="66"/>
        <v>3.6080000000000001E-2</v>
      </c>
      <c r="AK117" s="155">
        <f t="shared" si="67"/>
        <v>2.9580632046699584E-3</v>
      </c>
      <c r="AL117" s="147">
        <f t="shared" si="68"/>
        <v>1.3701599999999998E-3</v>
      </c>
      <c r="AM117" s="147">
        <f t="shared" si="44"/>
        <v>1.142517667291898E-4</v>
      </c>
      <c r="AN117" s="160">
        <f t="shared" si="69"/>
        <v>0</v>
      </c>
      <c r="AO117" s="161">
        <f t="shared" si="70"/>
        <v>0</v>
      </c>
      <c r="AP117" s="156">
        <f t="shared" si="45"/>
        <v>1.221714842505746</v>
      </c>
      <c r="AQ117" s="152"/>
      <c r="AR117" s="162">
        <f t="shared" si="46"/>
        <v>978.01703400033205</v>
      </c>
      <c r="AS117" s="150">
        <f t="shared" si="71"/>
        <v>0</v>
      </c>
      <c r="AT117" s="163">
        <f t="shared" si="47"/>
        <v>0</v>
      </c>
      <c r="AU117" s="163">
        <f t="shared" si="48"/>
        <v>11.42517667291898</v>
      </c>
      <c r="AV117" s="163">
        <f t="shared" si="72"/>
        <v>2.8761380044553224</v>
      </c>
      <c r="AW117" s="163">
        <f t="shared" si="49"/>
        <v>0.11077609046939298</v>
      </c>
      <c r="AX117" s="163">
        <f t="shared" si="50"/>
        <v>0</v>
      </c>
      <c r="AY117" s="164">
        <f t="shared" si="73"/>
        <v>969.57877142233781</v>
      </c>
      <c r="AZ117" s="164">
        <f>IF($E117="","",IF(OR(AND($D117=Input!$C$6,$C117=12),$AN117=1),0,-AS118+AT118+AU118-AV118-AW118-AX118+AZ118))</f>
        <v>969.57879637839483</v>
      </c>
      <c r="BA117" s="154">
        <f t="shared" si="51"/>
        <v>2.4956057018243882E-5</v>
      </c>
      <c r="BC117" s="147">
        <f t="shared" si="74"/>
        <v>0.59308848233066014</v>
      </c>
      <c r="BD117" s="164">
        <f>IF(AND($C116=12,$D116=Input!$C$6),0,IF($E117="","",AT117+(AU117+BD118)/(1+$AK117)*MIN((1-AM117-AN117),1)))</f>
        <v>2643.3600532487312</v>
      </c>
      <c r="BE117" s="164">
        <f t="shared" si="52"/>
        <v>1567.7464022347829</v>
      </c>
      <c r="BF117" s="164">
        <f t="shared" si="75"/>
        <v>969.57879637839483</v>
      </c>
      <c r="BG117" s="164">
        <f t="shared" si="53"/>
        <v>575.04601684405031</v>
      </c>
      <c r="BH117" s="152"/>
      <c r="BI117" s="162">
        <f t="shared" si="54"/>
        <v>646.85660364605678</v>
      </c>
      <c r="BJ117" s="150">
        <f t="shared" si="55"/>
        <v>0</v>
      </c>
      <c r="BK117" s="163">
        <f t="shared" si="79"/>
        <v>0</v>
      </c>
      <c r="BL117" s="163">
        <f t="shared" si="56"/>
        <v>10.520871107533303</v>
      </c>
      <c r="BM117" s="163">
        <f t="shared" si="80"/>
        <v>2.1303266419266871</v>
      </c>
      <c r="BN117" s="163">
        <f t="shared" si="57"/>
        <v>6.7179262041026117E-2</v>
      </c>
      <c r="BO117" s="163">
        <f t="shared" si="58"/>
        <v>0</v>
      </c>
      <c r="BP117" s="164">
        <f t="shared" si="81"/>
        <v>638.53323844249121</v>
      </c>
      <c r="BQ117" s="164">
        <f>IF($E117="","",IF(AND($D117=Input!$C$6,$C117=12),0,-BJ118+BK118+BL118-BM118-BN118-BO118+BQ118))</f>
        <v>638.53326739193176</v>
      </c>
      <c r="BR117" s="161">
        <f t="shared" si="59"/>
        <v>0</v>
      </c>
      <c r="BT117" s="147">
        <f t="shared" si="60"/>
        <v>0.59308848233066014</v>
      </c>
      <c r="BU117" s="164">
        <f>IF(AND($C116=12,$D116=Input!$C$6),0,IF($E117="","",BK117+(BL117+BU118)/(1+$AK117)*MIN((1-T117-U117),1)))</f>
        <v>4684.2346821676456</v>
      </c>
      <c r="BV117" s="164">
        <f t="shared" si="61"/>
        <v>2778.1656385274509</v>
      </c>
      <c r="BW117" s="164">
        <f t="shared" si="62"/>
        <v>638.53326739193176</v>
      </c>
      <c r="BX117" s="164">
        <f t="shared" si="63"/>
        <v>378.70672647511839</v>
      </c>
    </row>
    <row r="118" spans="1:76" s="150" customFormat="1" x14ac:dyDescent="0.25">
      <c r="A118" s="150">
        <f t="shared" si="76"/>
        <v>114</v>
      </c>
      <c r="B118" s="150">
        <f t="shared" si="77"/>
        <v>10</v>
      </c>
      <c r="C118" s="150">
        <f t="shared" si="78"/>
        <v>6</v>
      </c>
      <c r="D118" s="150">
        <f>IF(E118="","",Input!$C$4+B118-1)</f>
        <v>54</v>
      </c>
      <c r="E118" s="150">
        <f>IF(OR(AND(C117=12,D117=Input!$C$6),E117=""),"",1)</f>
        <v>1</v>
      </c>
      <c r="F118" s="150">
        <f>IF(E118="","",Input!$C$8+B118-1)</f>
        <v>2027</v>
      </c>
      <c r="G118" s="151">
        <f>IF(E118="","",MAX(0,Input!$C$9-B118))</f>
        <v>10</v>
      </c>
      <c r="H118" s="152">
        <f>IF(E118="","",Input!$C$3)</f>
        <v>100000</v>
      </c>
      <c r="I118" s="153">
        <f>IF(E118="","",HLOOKUP($B118,Input!$C$13:$BT$14,2))</f>
        <v>2.2999999999999998</v>
      </c>
      <c r="J118" s="154"/>
      <c r="K118" s="155">
        <f>IF($E118="","",INDEX(Input!$C$16:$CP$16,1,$B118))</f>
        <v>2.5579999999999999E-2</v>
      </c>
      <c r="L118" s="155">
        <f>IF($E118="","",Input!$C$37)</f>
        <v>1.4999999999999999E-2</v>
      </c>
      <c r="M118" s="155">
        <f t="shared" si="64"/>
        <v>4.0579999999999998E-2</v>
      </c>
      <c r="N118" s="155">
        <f t="shared" si="65"/>
        <v>3.320354372222889E-3</v>
      </c>
      <c r="O118" s="147">
        <f>IF($E118="","",MIN(VLOOKUP(IF($B118&lt;=Input!$C$7,$B118,26),'Mortality Tables'!$A$41:$CW$67,IF($B118&lt;=Input!$C$7+1,Input!$C$4+2,$D118-Input!$C$7+2),0)*IF(B118&gt;20,Input!$C$22,1)/1000,1))</f>
        <v>1.32E-3</v>
      </c>
      <c r="P118" s="147">
        <f>IF($E118="","",MIN(VLOOKUP(IF($B118&lt;=Input!$C$7,$B118,26),'Mortality Tables'!$A$12:$CW$37,IF($B118&lt;=Input!$C$7+1,Input!$C$4+2,$D118-Input!$C$7+2),0)*IF(B118&gt;20,Input!$C$22,1)/1000,1))</f>
        <v>1.65E-3</v>
      </c>
      <c r="Q118" s="155">
        <f>IF($E118="","",Input!$C$21)</f>
        <v>5.0000000000000001E-3</v>
      </c>
      <c r="R118" s="159">
        <f>IF($E118="","",(1-Q118)^($F118-Input!$C$20))</f>
        <v>0.95588957835755972</v>
      </c>
      <c r="S118" s="147">
        <f t="shared" si="41"/>
        <v>1.2617742434319788E-3</v>
      </c>
      <c r="T118" s="147">
        <f t="shared" si="42"/>
        <v>1.0520871107533303E-4</v>
      </c>
      <c r="U118" s="160">
        <f>IF($E118="","",IF($C118=12,INDEX(Input!$C$15:$CP$15,1,$B118),0))</f>
        <v>0</v>
      </c>
      <c r="V118" s="150">
        <f>IF(E118="","",IF(C118=1,IF($B118=1,Input!$C$33,Input!$C$34),0))</f>
        <v>0</v>
      </c>
      <c r="W118" s="156">
        <f>IF($E118="","",Input!$C$35)</f>
        <v>0.02</v>
      </c>
      <c r="X118" s="156">
        <f t="shared" si="43"/>
        <v>1.1950925686223111</v>
      </c>
      <c r="Y118" s="154"/>
      <c r="Z118" s="147">
        <f>IF($E118="","",VLOOKUP($D118,'Mortality Margins &amp; Grading'!$AB$5:$AF$125,3,0)*IF(Summary!$D$25="Included Margin",IF(AND($B118&gt;Input!$C$9,Summary!$D$31&lt;&gt;"Included Margin"),0,1),0))</f>
        <v>3.7999999999999999E-2</v>
      </c>
      <c r="AA118" s="147">
        <f>IF($E118="","",VLOOKUP($D118,'Mortality Margins &amp; Grading'!$AB$5:$AF$125,5,0)*IF(Summary!$D$25="Included Margin",IF(AND($B118&gt;Input!$C$9,Summary!$D$31&lt;&gt;"Included Margin"),0,1),0))</f>
        <v>0.192</v>
      </c>
      <c r="AB118" s="147">
        <f>IF($E118="","",IF(AND($B118&gt;Input!$C$9,Summary!$D$31&lt;&gt;"Included Margin"),1,IF(Summary!$D$25="Included Margin",VLOOKUP($B118,'Mortality Margins &amp; Grading'!$AI$5:$AR$125,MATCH('Mortality Margins &amp; Grading'!$AQ$4,'Mortality Margins &amp; Grading'!$AI$4:$AR$4,0),0),1)))</f>
        <v>1</v>
      </c>
      <c r="AC118" s="154"/>
      <c r="AD118" s="158">
        <f>IF(E118="","",Input!$C$48*IF(Summary!$D$30="Included Margin",IF(AND($B118&gt;Input!$C$9,Summary!$D$31&lt;&gt;"Included Margin"),0,1),0))</f>
        <v>-4.4999999999999997E-3</v>
      </c>
      <c r="AE118" s="159">
        <f>IF(E118="","",IF(Summary!$D$26="Included Margin",IF(AND($B118&gt;Input!$C$9,Summary!$D$31&lt;&gt;"Included Margin"),1,1/$R118),1))</f>
        <v>1.0461459384443046</v>
      </c>
      <c r="AF118" s="160">
        <f>IF(E118="","",IF(AND($B118&gt;=Input!$C$9,$C118=12,Summary!$D$31="Included Margin",$U118&gt;0),1/U118-1,IF($B118&gt;=Input!$C$9,0,Input!$C$45*IF(Summary!$D$27="Included Margin",1,0))))</f>
        <v>-0.1</v>
      </c>
      <c r="AG118" s="160">
        <f>IF(E118="","",Input!$C$46*IF(Summary!$D$28="Included Margin",IF(AND($B118&gt;Input!$C$9,Summary!$D$31&lt;&gt;"Included Margin"),0,1),0))</f>
        <v>0.02</v>
      </c>
      <c r="AH118" s="158">
        <f>IF(E118="","",Input!$C$47*IF(Summary!$D$29="Included Margin",IF(AND($B118&gt;Input!$C$9,Summary!$D$31&lt;&gt;"Included Margin"),0,1),0))</f>
        <v>2.5000000000000001E-3</v>
      </c>
      <c r="AI118" s="154"/>
      <c r="AJ118" s="158">
        <f t="shared" si="66"/>
        <v>3.6080000000000001E-2</v>
      </c>
      <c r="AK118" s="155">
        <f t="shared" si="67"/>
        <v>2.9580632046699584E-3</v>
      </c>
      <c r="AL118" s="147">
        <f t="shared" si="68"/>
        <v>1.3701599999999998E-3</v>
      </c>
      <c r="AM118" s="147">
        <f t="shared" si="44"/>
        <v>1.142517667291898E-4</v>
      </c>
      <c r="AN118" s="160">
        <f t="shared" si="69"/>
        <v>0</v>
      </c>
      <c r="AO118" s="161">
        <f t="shared" si="70"/>
        <v>0</v>
      </c>
      <c r="AP118" s="156">
        <f t="shared" si="45"/>
        <v>1.221714842505746</v>
      </c>
      <c r="AQ118" s="152"/>
      <c r="AR118" s="162">
        <f t="shared" si="46"/>
        <v>969.5787714223377</v>
      </c>
      <c r="AS118" s="150">
        <f t="shared" si="71"/>
        <v>0</v>
      </c>
      <c r="AT118" s="163">
        <f t="shared" si="47"/>
        <v>0</v>
      </c>
      <c r="AU118" s="163">
        <f t="shared" si="48"/>
        <v>11.42517667291898</v>
      </c>
      <c r="AV118" s="163">
        <f t="shared" si="72"/>
        <v>2.8511770904120137</v>
      </c>
      <c r="AW118" s="163">
        <f t="shared" si="49"/>
        <v>0.10980904174617856</v>
      </c>
      <c r="AX118" s="163">
        <f t="shared" si="50"/>
        <v>0</v>
      </c>
      <c r="AY118" s="164">
        <f t="shared" si="73"/>
        <v>961.1145808815769</v>
      </c>
      <c r="AZ118" s="164">
        <f>IF($E118="","",IF(OR(AND($D118=Input!$C$6,$C118=12),$AN118=1),0,-AS119+AT119+AU119-AV119-AW119-AX119+AZ119))</f>
        <v>961.11460583763403</v>
      </c>
      <c r="BA118" s="154">
        <f t="shared" si="51"/>
        <v>2.495605713193072E-5</v>
      </c>
      <c r="BC118" s="147">
        <f t="shared" si="74"/>
        <v>0.59302608425588055</v>
      </c>
      <c r="BD118" s="164">
        <f>IF(AND($C117=12,$D117=Input!$C$6),0,IF($E118="","",AT118+(AU118+BD119)/(1+$AK118)*MIN((1-AM118-AN118),1)))</f>
        <v>2640.0570392136378</v>
      </c>
      <c r="BE118" s="164">
        <f t="shared" si="52"/>
        <v>1565.6226881770374</v>
      </c>
      <c r="BF118" s="164">
        <f t="shared" si="75"/>
        <v>961.11460583763403</v>
      </c>
      <c r="BG118" s="164">
        <f t="shared" si="53"/>
        <v>569.96603122102613</v>
      </c>
      <c r="BH118" s="152"/>
      <c r="BI118" s="162">
        <f t="shared" si="54"/>
        <v>638.53323844249121</v>
      </c>
      <c r="BJ118" s="150">
        <f t="shared" si="55"/>
        <v>0</v>
      </c>
      <c r="BK118" s="163">
        <f t="shared" si="79"/>
        <v>0</v>
      </c>
      <c r="BL118" s="163">
        <f t="shared" si="56"/>
        <v>10.520871107533303</v>
      </c>
      <c r="BM118" s="163">
        <f t="shared" si="80"/>
        <v>2.1026901198814203</v>
      </c>
      <c r="BN118" s="163">
        <f t="shared" si="57"/>
        <v>6.6300571467384037E-2</v>
      </c>
      <c r="BO118" s="163">
        <f t="shared" si="58"/>
        <v>0</v>
      </c>
      <c r="BP118" s="164">
        <f t="shared" si="81"/>
        <v>630.18135802630684</v>
      </c>
      <c r="BQ118" s="164">
        <f>IF($E118="","",IF(AND($D118=Input!$C$6,$C118=12),0,-BJ119+BK119+BL119-BM119-BN119-BO119+BQ119))</f>
        <v>630.18138697574727</v>
      </c>
      <c r="BR118" s="161">
        <f t="shared" si="59"/>
        <v>0</v>
      </c>
      <c r="BT118" s="147">
        <f t="shared" si="60"/>
        <v>0.59302608425588055</v>
      </c>
      <c r="BU118" s="164">
        <f>IF(AND($C117=12,$D117=Input!$C$6),0,IF($E118="","",BK118+(BL118+BU119)/(1+$AK118)*MIN((1-T118-U118),1)))</f>
        <v>4688.0644054162922</v>
      </c>
      <c r="BV118" s="164">
        <f t="shared" si="61"/>
        <v>2780.1444770833969</v>
      </c>
      <c r="BW118" s="164">
        <f t="shared" si="62"/>
        <v>630.18138697574727</v>
      </c>
      <c r="BX118" s="164">
        <f t="shared" si="63"/>
        <v>373.71400028916719</v>
      </c>
    </row>
    <row r="119" spans="1:76" s="150" customFormat="1" x14ac:dyDescent="0.25">
      <c r="A119" s="150">
        <f t="shared" si="76"/>
        <v>115</v>
      </c>
      <c r="B119" s="150">
        <f t="shared" si="77"/>
        <v>10</v>
      </c>
      <c r="C119" s="150">
        <f t="shared" si="78"/>
        <v>7</v>
      </c>
      <c r="D119" s="150">
        <f>IF(E119="","",Input!$C$4+B119-1)</f>
        <v>54</v>
      </c>
      <c r="E119" s="150">
        <f>IF(OR(AND(C118=12,D118=Input!$C$6),E118=""),"",1)</f>
        <v>1</v>
      </c>
      <c r="F119" s="150">
        <f>IF(E119="","",Input!$C$8+B119-1)</f>
        <v>2027</v>
      </c>
      <c r="G119" s="151">
        <f>IF(E119="","",MAX(0,Input!$C$9-B119))</f>
        <v>10</v>
      </c>
      <c r="H119" s="152">
        <f>IF(E119="","",Input!$C$3)</f>
        <v>100000</v>
      </c>
      <c r="I119" s="153">
        <f>IF(E119="","",HLOOKUP($B119,Input!$C$13:$BT$14,2))</f>
        <v>2.2999999999999998</v>
      </c>
      <c r="J119" s="154"/>
      <c r="K119" s="155">
        <f>IF($E119="","",INDEX(Input!$C$16:$CP$16,1,$B119))</f>
        <v>2.5579999999999999E-2</v>
      </c>
      <c r="L119" s="155">
        <f>IF($E119="","",Input!$C$37)</f>
        <v>1.4999999999999999E-2</v>
      </c>
      <c r="M119" s="155">
        <f t="shared" si="64"/>
        <v>4.0579999999999998E-2</v>
      </c>
      <c r="N119" s="155">
        <f t="shared" si="65"/>
        <v>3.320354372222889E-3</v>
      </c>
      <c r="O119" s="147">
        <f>IF($E119="","",MIN(VLOOKUP(IF($B119&lt;=Input!$C$7,$B119,26),'Mortality Tables'!$A$41:$CW$67,IF($B119&lt;=Input!$C$7+1,Input!$C$4+2,$D119-Input!$C$7+2),0)*IF(B119&gt;20,Input!$C$22,1)/1000,1))</f>
        <v>1.32E-3</v>
      </c>
      <c r="P119" s="147">
        <f>IF($E119="","",MIN(VLOOKUP(IF($B119&lt;=Input!$C$7,$B119,26),'Mortality Tables'!$A$12:$CW$37,IF($B119&lt;=Input!$C$7+1,Input!$C$4+2,$D119-Input!$C$7+2),0)*IF(B119&gt;20,Input!$C$22,1)/1000,1))</f>
        <v>1.65E-3</v>
      </c>
      <c r="Q119" s="155">
        <f>IF($E119="","",Input!$C$21)</f>
        <v>5.0000000000000001E-3</v>
      </c>
      <c r="R119" s="159">
        <f>IF($E119="","",(1-Q119)^($F119-Input!$C$20))</f>
        <v>0.95588957835755972</v>
      </c>
      <c r="S119" s="147">
        <f t="shared" si="41"/>
        <v>1.2617742434319788E-3</v>
      </c>
      <c r="T119" s="147">
        <f t="shared" si="42"/>
        <v>1.0520871107533303E-4</v>
      </c>
      <c r="U119" s="160">
        <f>IF($E119="","",IF($C119=12,INDEX(Input!$C$15:$CP$15,1,$B119),0))</f>
        <v>0</v>
      </c>
      <c r="V119" s="150">
        <f>IF(E119="","",IF(C119=1,IF($B119=1,Input!$C$33,Input!$C$34),0))</f>
        <v>0</v>
      </c>
      <c r="W119" s="156">
        <f>IF($E119="","",Input!$C$35)</f>
        <v>0.02</v>
      </c>
      <c r="X119" s="156">
        <f t="shared" si="43"/>
        <v>1.1950925686223111</v>
      </c>
      <c r="Y119" s="154"/>
      <c r="Z119" s="147">
        <f>IF($E119="","",VLOOKUP($D119,'Mortality Margins &amp; Grading'!$AB$5:$AF$125,3,0)*IF(Summary!$D$25="Included Margin",IF(AND($B119&gt;Input!$C$9,Summary!$D$31&lt;&gt;"Included Margin"),0,1),0))</f>
        <v>3.7999999999999999E-2</v>
      </c>
      <c r="AA119" s="147">
        <f>IF($E119="","",VLOOKUP($D119,'Mortality Margins &amp; Grading'!$AB$5:$AF$125,5,0)*IF(Summary!$D$25="Included Margin",IF(AND($B119&gt;Input!$C$9,Summary!$D$31&lt;&gt;"Included Margin"),0,1),0))</f>
        <v>0.192</v>
      </c>
      <c r="AB119" s="147">
        <f>IF($E119="","",IF(AND($B119&gt;Input!$C$9,Summary!$D$31&lt;&gt;"Included Margin"),1,IF(Summary!$D$25="Included Margin",VLOOKUP($B119,'Mortality Margins &amp; Grading'!$AI$5:$AR$125,MATCH('Mortality Margins &amp; Grading'!$AQ$4,'Mortality Margins &amp; Grading'!$AI$4:$AR$4,0),0),1)))</f>
        <v>1</v>
      </c>
      <c r="AC119" s="154"/>
      <c r="AD119" s="158">
        <f>IF(E119="","",Input!$C$48*IF(Summary!$D$30="Included Margin",IF(AND($B119&gt;Input!$C$9,Summary!$D$31&lt;&gt;"Included Margin"),0,1),0))</f>
        <v>-4.4999999999999997E-3</v>
      </c>
      <c r="AE119" s="159">
        <f>IF(E119="","",IF(Summary!$D$26="Included Margin",IF(AND($B119&gt;Input!$C$9,Summary!$D$31&lt;&gt;"Included Margin"),1,1/$R119),1))</f>
        <v>1.0461459384443046</v>
      </c>
      <c r="AF119" s="160">
        <f>IF(E119="","",IF(AND($B119&gt;=Input!$C$9,$C119=12,Summary!$D$31="Included Margin",$U119&gt;0),1/U119-1,IF($B119&gt;=Input!$C$9,0,Input!$C$45*IF(Summary!$D$27="Included Margin",1,0))))</f>
        <v>-0.1</v>
      </c>
      <c r="AG119" s="160">
        <f>IF(E119="","",Input!$C$46*IF(Summary!$D$28="Included Margin",IF(AND($B119&gt;Input!$C$9,Summary!$D$31&lt;&gt;"Included Margin"),0,1),0))</f>
        <v>0.02</v>
      </c>
      <c r="AH119" s="158">
        <f>IF(E119="","",Input!$C$47*IF(Summary!$D$29="Included Margin",IF(AND($B119&gt;Input!$C$9,Summary!$D$31&lt;&gt;"Included Margin"),0,1),0))</f>
        <v>2.5000000000000001E-3</v>
      </c>
      <c r="AI119" s="154"/>
      <c r="AJ119" s="158">
        <f t="shared" si="66"/>
        <v>3.6080000000000001E-2</v>
      </c>
      <c r="AK119" s="155">
        <f t="shared" si="67"/>
        <v>2.9580632046699584E-3</v>
      </c>
      <c r="AL119" s="147">
        <f t="shared" si="68"/>
        <v>1.3701599999999998E-3</v>
      </c>
      <c r="AM119" s="147">
        <f t="shared" si="44"/>
        <v>1.142517667291898E-4</v>
      </c>
      <c r="AN119" s="160">
        <f t="shared" si="69"/>
        <v>0</v>
      </c>
      <c r="AO119" s="161">
        <f t="shared" si="70"/>
        <v>0</v>
      </c>
      <c r="AP119" s="156">
        <f t="shared" si="45"/>
        <v>1.221714842505746</v>
      </c>
      <c r="AQ119" s="152"/>
      <c r="AR119" s="162">
        <f t="shared" si="46"/>
        <v>961.11458088157701</v>
      </c>
      <c r="AS119" s="150">
        <f t="shared" si="71"/>
        <v>0</v>
      </c>
      <c r="AT119" s="163">
        <f t="shared" si="47"/>
        <v>0</v>
      </c>
      <c r="AU119" s="163">
        <f t="shared" si="48"/>
        <v>11.42517667291898</v>
      </c>
      <c r="AV119" s="163">
        <f t="shared" si="72"/>
        <v>2.8261394798160739</v>
      </c>
      <c r="AW119" s="163">
        <f t="shared" si="49"/>
        <v>0.10883902160520401</v>
      </c>
      <c r="AX119" s="163">
        <f t="shared" si="50"/>
        <v>0</v>
      </c>
      <c r="AY119" s="164">
        <f t="shared" si="73"/>
        <v>952.62438271007932</v>
      </c>
      <c r="AZ119" s="164">
        <f>IF($E119="","",IF(OR(AND($D119=Input!$C$6,$C119=12),$AN119=1),0,-AS120+AT120+AU120-AV120-AW120-AX120+AZ120))</f>
        <v>952.62440766613634</v>
      </c>
      <c r="BA119" s="154">
        <f t="shared" si="51"/>
        <v>2.4956057018243882E-5</v>
      </c>
      <c r="BC119" s="147">
        <f t="shared" si="74"/>
        <v>0.59296369274592198</v>
      </c>
      <c r="BD119" s="164">
        <f>IF(AND($C118=12,$D118=Input!$C$6),0,IF($E119="","",AT119+(AU119+BD120)/(1+$AK119)*MIN((1-AM119-AN119),1)))</f>
        <v>2636.7438761195258</v>
      </c>
      <c r="BE119" s="164">
        <f t="shared" si="52"/>
        <v>1563.4933856090299</v>
      </c>
      <c r="BF119" s="164">
        <f t="shared" si="75"/>
        <v>952.62440766613634</v>
      </c>
      <c r="BG119" s="164">
        <f t="shared" si="53"/>
        <v>564.87168656960876</v>
      </c>
      <c r="BH119" s="152"/>
      <c r="BI119" s="162">
        <f t="shared" si="54"/>
        <v>630.18135802630673</v>
      </c>
      <c r="BJ119" s="150">
        <f t="shared" si="55"/>
        <v>0</v>
      </c>
      <c r="BK119" s="163">
        <f t="shared" si="79"/>
        <v>0</v>
      </c>
      <c r="BL119" s="163">
        <f t="shared" si="56"/>
        <v>10.520871107533303</v>
      </c>
      <c r="BM119" s="163">
        <f t="shared" si="80"/>
        <v>2.0749589172252594</v>
      </c>
      <c r="BN119" s="163">
        <f t="shared" si="57"/>
        <v>6.5418870567038642E-2</v>
      </c>
      <c r="BO119" s="163">
        <f t="shared" si="58"/>
        <v>0</v>
      </c>
      <c r="BP119" s="164">
        <f t="shared" si="81"/>
        <v>621.80086470656568</v>
      </c>
      <c r="BQ119" s="164">
        <f>IF($E119="","",IF(AND($D119=Input!$C$6,$C119=12),0,-BJ120+BK120+BL120-BM120-BN120-BO120+BQ120))</f>
        <v>621.80089365600622</v>
      </c>
      <c r="BR119" s="161">
        <f t="shared" si="59"/>
        <v>0</v>
      </c>
      <c r="BT119" s="147">
        <f t="shared" si="60"/>
        <v>0.59296369274592198</v>
      </c>
      <c r="BU119" s="164">
        <f>IF(AND($C118=12,$D118=Input!$C$6),0,IF($E119="","",BK119+(BL119+BU120)/(1+$AK119)*MIN((1-T119-U119),1)))</f>
        <v>4691.9058613829957</v>
      </c>
      <c r="BV119" s="164">
        <f t="shared" si="61"/>
        <v>2782.129825581897</v>
      </c>
      <c r="BW119" s="164">
        <f t="shared" si="62"/>
        <v>621.80089365600622</v>
      </c>
      <c r="BX119" s="164">
        <f t="shared" si="63"/>
        <v>368.70535405497981</v>
      </c>
    </row>
    <row r="120" spans="1:76" s="150" customFormat="1" x14ac:dyDescent="0.25">
      <c r="A120" s="150">
        <f t="shared" si="76"/>
        <v>116</v>
      </c>
      <c r="B120" s="150">
        <f t="shared" si="77"/>
        <v>10</v>
      </c>
      <c r="C120" s="150">
        <f t="shared" si="78"/>
        <v>8</v>
      </c>
      <c r="D120" s="150">
        <f>IF(E120="","",Input!$C$4+B120-1)</f>
        <v>54</v>
      </c>
      <c r="E120" s="150">
        <f>IF(OR(AND(C119=12,D119=Input!$C$6),E119=""),"",1)</f>
        <v>1</v>
      </c>
      <c r="F120" s="150">
        <f>IF(E120="","",Input!$C$8+B120-1)</f>
        <v>2027</v>
      </c>
      <c r="G120" s="151">
        <f>IF(E120="","",MAX(0,Input!$C$9-B120))</f>
        <v>10</v>
      </c>
      <c r="H120" s="152">
        <f>IF(E120="","",Input!$C$3)</f>
        <v>100000</v>
      </c>
      <c r="I120" s="153">
        <f>IF(E120="","",HLOOKUP($B120,Input!$C$13:$BT$14,2))</f>
        <v>2.2999999999999998</v>
      </c>
      <c r="J120" s="154"/>
      <c r="K120" s="155">
        <f>IF($E120="","",INDEX(Input!$C$16:$CP$16,1,$B120))</f>
        <v>2.5579999999999999E-2</v>
      </c>
      <c r="L120" s="155">
        <f>IF($E120="","",Input!$C$37)</f>
        <v>1.4999999999999999E-2</v>
      </c>
      <c r="M120" s="155">
        <f t="shared" si="64"/>
        <v>4.0579999999999998E-2</v>
      </c>
      <c r="N120" s="155">
        <f t="shared" si="65"/>
        <v>3.320354372222889E-3</v>
      </c>
      <c r="O120" s="147">
        <f>IF($E120="","",MIN(VLOOKUP(IF($B120&lt;=Input!$C$7,$B120,26),'Mortality Tables'!$A$41:$CW$67,IF($B120&lt;=Input!$C$7+1,Input!$C$4+2,$D120-Input!$C$7+2),0)*IF(B120&gt;20,Input!$C$22,1)/1000,1))</f>
        <v>1.32E-3</v>
      </c>
      <c r="P120" s="147">
        <f>IF($E120="","",MIN(VLOOKUP(IF($B120&lt;=Input!$C$7,$B120,26),'Mortality Tables'!$A$12:$CW$37,IF($B120&lt;=Input!$C$7+1,Input!$C$4+2,$D120-Input!$C$7+2),0)*IF(B120&gt;20,Input!$C$22,1)/1000,1))</f>
        <v>1.65E-3</v>
      </c>
      <c r="Q120" s="155">
        <f>IF($E120="","",Input!$C$21)</f>
        <v>5.0000000000000001E-3</v>
      </c>
      <c r="R120" s="159">
        <f>IF($E120="","",(1-Q120)^($F120-Input!$C$20))</f>
        <v>0.95588957835755972</v>
      </c>
      <c r="S120" s="147">
        <f t="shared" si="41"/>
        <v>1.2617742434319788E-3</v>
      </c>
      <c r="T120" s="147">
        <f t="shared" si="42"/>
        <v>1.0520871107533303E-4</v>
      </c>
      <c r="U120" s="160">
        <f>IF($E120="","",IF($C120=12,INDEX(Input!$C$15:$CP$15,1,$B120),0))</f>
        <v>0</v>
      </c>
      <c r="V120" s="150">
        <f>IF(E120="","",IF(C120=1,IF($B120=1,Input!$C$33,Input!$C$34),0))</f>
        <v>0</v>
      </c>
      <c r="W120" s="156">
        <f>IF($E120="","",Input!$C$35)</f>
        <v>0.02</v>
      </c>
      <c r="X120" s="156">
        <f t="shared" si="43"/>
        <v>1.1950925686223111</v>
      </c>
      <c r="Y120" s="154"/>
      <c r="Z120" s="147">
        <f>IF($E120="","",VLOOKUP($D120,'Mortality Margins &amp; Grading'!$AB$5:$AF$125,3,0)*IF(Summary!$D$25="Included Margin",IF(AND($B120&gt;Input!$C$9,Summary!$D$31&lt;&gt;"Included Margin"),0,1),0))</f>
        <v>3.7999999999999999E-2</v>
      </c>
      <c r="AA120" s="147">
        <f>IF($E120="","",VLOOKUP($D120,'Mortality Margins &amp; Grading'!$AB$5:$AF$125,5,0)*IF(Summary!$D$25="Included Margin",IF(AND($B120&gt;Input!$C$9,Summary!$D$31&lt;&gt;"Included Margin"),0,1),0))</f>
        <v>0.192</v>
      </c>
      <c r="AB120" s="147">
        <f>IF($E120="","",IF(AND($B120&gt;Input!$C$9,Summary!$D$31&lt;&gt;"Included Margin"),1,IF(Summary!$D$25="Included Margin",VLOOKUP($B120,'Mortality Margins &amp; Grading'!$AI$5:$AR$125,MATCH('Mortality Margins &amp; Grading'!$AQ$4,'Mortality Margins &amp; Grading'!$AI$4:$AR$4,0),0),1)))</f>
        <v>1</v>
      </c>
      <c r="AC120" s="154"/>
      <c r="AD120" s="158">
        <f>IF(E120="","",Input!$C$48*IF(Summary!$D$30="Included Margin",IF(AND($B120&gt;Input!$C$9,Summary!$D$31&lt;&gt;"Included Margin"),0,1),0))</f>
        <v>-4.4999999999999997E-3</v>
      </c>
      <c r="AE120" s="159">
        <f>IF(E120="","",IF(Summary!$D$26="Included Margin",IF(AND($B120&gt;Input!$C$9,Summary!$D$31&lt;&gt;"Included Margin"),1,1/$R120),1))</f>
        <v>1.0461459384443046</v>
      </c>
      <c r="AF120" s="160">
        <f>IF(E120="","",IF(AND($B120&gt;=Input!$C$9,$C120=12,Summary!$D$31="Included Margin",$U120&gt;0),1/U120-1,IF($B120&gt;=Input!$C$9,0,Input!$C$45*IF(Summary!$D$27="Included Margin",1,0))))</f>
        <v>-0.1</v>
      </c>
      <c r="AG120" s="160">
        <f>IF(E120="","",Input!$C$46*IF(Summary!$D$28="Included Margin",IF(AND($B120&gt;Input!$C$9,Summary!$D$31&lt;&gt;"Included Margin"),0,1),0))</f>
        <v>0.02</v>
      </c>
      <c r="AH120" s="158">
        <f>IF(E120="","",Input!$C$47*IF(Summary!$D$29="Included Margin",IF(AND($B120&gt;Input!$C$9,Summary!$D$31&lt;&gt;"Included Margin"),0,1),0))</f>
        <v>2.5000000000000001E-3</v>
      </c>
      <c r="AI120" s="154"/>
      <c r="AJ120" s="158">
        <f t="shared" si="66"/>
        <v>3.6080000000000001E-2</v>
      </c>
      <c r="AK120" s="155">
        <f t="shared" si="67"/>
        <v>2.9580632046699584E-3</v>
      </c>
      <c r="AL120" s="147">
        <f t="shared" si="68"/>
        <v>1.3701599999999998E-3</v>
      </c>
      <c r="AM120" s="147">
        <f t="shared" si="44"/>
        <v>1.142517667291898E-4</v>
      </c>
      <c r="AN120" s="160">
        <f t="shared" si="69"/>
        <v>0</v>
      </c>
      <c r="AO120" s="161">
        <f t="shared" si="70"/>
        <v>0</v>
      </c>
      <c r="AP120" s="156">
        <f t="shared" si="45"/>
        <v>1.221714842505746</v>
      </c>
      <c r="AQ120" s="152"/>
      <c r="AR120" s="162">
        <f t="shared" si="46"/>
        <v>952.62438271007932</v>
      </c>
      <c r="AS120" s="150">
        <f t="shared" si="71"/>
        <v>0</v>
      </c>
      <c r="AT120" s="163">
        <f t="shared" si="47"/>
        <v>0</v>
      </c>
      <c r="AU120" s="163">
        <f t="shared" si="48"/>
        <v>11.42517667291898</v>
      </c>
      <c r="AV120" s="163">
        <f t="shared" si="72"/>
        <v>2.8010249370046107</v>
      </c>
      <c r="AW120" s="163">
        <f t="shared" si="49"/>
        <v>0.10786602091629492</v>
      </c>
      <c r="AX120" s="163">
        <f t="shared" si="50"/>
        <v>0</v>
      </c>
      <c r="AY120" s="164">
        <f t="shared" si="73"/>
        <v>944.10809699508127</v>
      </c>
      <c r="AZ120" s="164">
        <f>IF($E120="","",IF(OR(AND($D120=Input!$C$6,$C120=12),$AN120=1),0,-AS121+AT121+AU121-AV121-AW121-AX121+AZ121))</f>
        <v>944.10812195113829</v>
      </c>
      <c r="BA120" s="154">
        <f t="shared" si="51"/>
        <v>2.4956057018243882E-5</v>
      </c>
      <c r="BC120" s="147">
        <f t="shared" si="74"/>
        <v>0.59290130780009376</v>
      </c>
      <c r="BD120" s="164">
        <f>IF(AND($C119=12,$D119=Input!$C$6),0,IF($E120="","",AT120+(AU120+BD121)/(1+$AK120)*MIN((1-AM120-AN120),1)))</f>
        <v>2633.4205327817263</v>
      </c>
      <c r="BE120" s="164">
        <f t="shared" si="52"/>
        <v>1561.3584778739053</v>
      </c>
      <c r="BF120" s="164">
        <f t="shared" si="75"/>
        <v>944.10812195113829</v>
      </c>
      <c r="BG120" s="164">
        <f t="shared" si="53"/>
        <v>559.76294020952025</v>
      </c>
      <c r="BH120" s="152"/>
      <c r="BI120" s="162">
        <f t="shared" si="54"/>
        <v>621.80086470656568</v>
      </c>
      <c r="BJ120" s="150">
        <f t="shared" si="55"/>
        <v>0</v>
      </c>
      <c r="BK120" s="163">
        <f t="shared" si="79"/>
        <v>0</v>
      </c>
      <c r="BL120" s="163">
        <f t="shared" si="56"/>
        <v>10.520871107533303</v>
      </c>
      <c r="BM120" s="163">
        <f t="shared" si="80"/>
        <v>2.0471327095896723</v>
      </c>
      <c r="BN120" s="163">
        <f t="shared" si="57"/>
        <v>6.453414902684089E-2</v>
      </c>
      <c r="BO120" s="163">
        <f t="shared" si="58"/>
        <v>0</v>
      </c>
      <c r="BP120" s="164">
        <f t="shared" si="81"/>
        <v>613.39166045764887</v>
      </c>
      <c r="BQ120" s="164">
        <f>IF($E120="","",IF(AND($D120=Input!$C$6,$C120=12),0,-BJ121+BK121+BL121-BM121-BN121-BO121+BQ121))</f>
        <v>613.39168940708942</v>
      </c>
      <c r="BR120" s="161">
        <f t="shared" si="59"/>
        <v>0</v>
      </c>
      <c r="BT120" s="147">
        <f t="shared" si="60"/>
        <v>0.59290130780009376</v>
      </c>
      <c r="BU120" s="164">
        <f>IF(AND($C119=12,$D119=Input!$C$6),0,IF($E120="","",BK120+(BL120+BU121)/(1+$AK120)*MIN((1-T120-U120),1)))</f>
        <v>4695.7590860120426</v>
      </c>
      <c r="BV120" s="164">
        <f t="shared" si="61"/>
        <v>2784.1217032107129</v>
      </c>
      <c r="BW120" s="164">
        <f t="shared" si="62"/>
        <v>613.39168940708942</v>
      </c>
      <c r="BX120" s="164">
        <f t="shared" si="63"/>
        <v>363.68073484317222</v>
      </c>
    </row>
    <row r="121" spans="1:76" s="150" customFormat="1" x14ac:dyDescent="0.25">
      <c r="A121" s="150">
        <f t="shared" si="76"/>
        <v>117</v>
      </c>
      <c r="B121" s="150">
        <f t="shared" si="77"/>
        <v>10</v>
      </c>
      <c r="C121" s="150">
        <f t="shared" si="78"/>
        <v>9</v>
      </c>
      <c r="D121" s="150">
        <f>IF(E121="","",Input!$C$4+B121-1)</f>
        <v>54</v>
      </c>
      <c r="E121" s="150">
        <f>IF(OR(AND(C120=12,D120=Input!$C$6),E120=""),"",1)</f>
        <v>1</v>
      </c>
      <c r="F121" s="150">
        <f>IF(E121="","",Input!$C$8+B121-1)</f>
        <v>2027</v>
      </c>
      <c r="G121" s="151">
        <f>IF(E121="","",MAX(0,Input!$C$9-B121))</f>
        <v>10</v>
      </c>
      <c r="H121" s="152">
        <f>IF(E121="","",Input!$C$3)</f>
        <v>100000</v>
      </c>
      <c r="I121" s="153">
        <f>IF(E121="","",HLOOKUP($B121,Input!$C$13:$BT$14,2))</f>
        <v>2.2999999999999998</v>
      </c>
      <c r="J121" s="154"/>
      <c r="K121" s="155">
        <f>IF($E121="","",INDEX(Input!$C$16:$CP$16,1,$B121))</f>
        <v>2.5579999999999999E-2</v>
      </c>
      <c r="L121" s="155">
        <f>IF($E121="","",Input!$C$37)</f>
        <v>1.4999999999999999E-2</v>
      </c>
      <c r="M121" s="155">
        <f t="shared" si="64"/>
        <v>4.0579999999999998E-2</v>
      </c>
      <c r="N121" s="155">
        <f t="shared" si="65"/>
        <v>3.320354372222889E-3</v>
      </c>
      <c r="O121" s="147">
        <f>IF($E121="","",MIN(VLOOKUP(IF($B121&lt;=Input!$C$7,$B121,26),'Mortality Tables'!$A$41:$CW$67,IF($B121&lt;=Input!$C$7+1,Input!$C$4+2,$D121-Input!$C$7+2),0)*IF(B121&gt;20,Input!$C$22,1)/1000,1))</f>
        <v>1.32E-3</v>
      </c>
      <c r="P121" s="147">
        <f>IF($E121="","",MIN(VLOOKUP(IF($B121&lt;=Input!$C$7,$B121,26),'Mortality Tables'!$A$12:$CW$37,IF($B121&lt;=Input!$C$7+1,Input!$C$4+2,$D121-Input!$C$7+2),0)*IF(B121&gt;20,Input!$C$22,1)/1000,1))</f>
        <v>1.65E-3</v>
      </c>
      <c r="Q121" s="155">
        <f>IF($E121="","",Input!$C$21)</f>
        <v>5.0000000000000001E-3</v>
      </c>
      <c r="R121" s="159">
        <f>IF($E121="","",(1-Q121)^($F121-Input!$C$20))</f>
        <v>0.95588957835755972</v>
      </c>
      <c r="S121" s="147">
        <f t="shared" si="41"/>
        <v>1.2617742434319788E-3</v>
      </c>
      <c r="T121" s="147">
        <f t="shared" si="42"/>
        <v>1.0520871107533303E-4</v>
      </c>
      <c r="U121" s="160">
        <f>IF($E121="","",IF($C121=12,INDEX(Input!$C$15:$CP$15,1,$B121),0))</f>
        <v>0</v>
      </c>
      <c r="V121" s="150">
        <f>IF(E121="","",IF(C121=1,IF($B121=1,Input!$C$33,Input!$C$34),0))</f>
        <v>0</v>
      </c>
      <c r="W121" s="156">
        <f>IF($E121="","",Input!$C$35)</f>
        <v>0.02</v>
      </c>
      <c r="X121" s="156">
        <f t="shared" si="43"/>
        <v>1.1950925686223111</v>
      </c>
      <c r="Y121" s="154"/>
      <c r="Z121" s="147">
        <f>IF($E121="","",VLOOKUP($D121,'Mortality Margins &amp; Grading'!$AB$5:$AF$125,3,0)*IF(Summary!$D$25="Included Margin",IF(AND($B121&gt;Input!$C$9,Summary!$D$31&lt;&gt;"Included Margin"),0,1),0))</f>
        <v>3.7999999999999999E-2</v>
      </c>
      <c r="AA121" s="147">
        <f>IF($E121="","",VLOOKUP($D121,'Mortality Margins &amp; Grading'!$AB$5:$AF$125,5,0)*IF(Summary!$D$25="Included Margin",IF(AND($B121&gt;Input!$C$9,Summary!$D$31&lt;&gt;"Included Margin"),0,1),0))</f>
        <v>0.192</v>
      </c>
      <c r="AB121" s="147">
        <f>IF($E121="","",IF(AND($B121&gt;Input!$C$9,Summary!$D$31&lt;&gt;"Included Margin"),1,IF(Summary!$D$25="Included Margin",VLOOKUP($B121,'Mortality Margins &amp; Grading'!$AI$5:$AR$125,MATCH('Mortality Margins &amp; Grading'!$AQ$4,'Mortality Margins &amp; Grading'!$AI$4:$AR$4,0),0),1)))</f>
        <v>1</v>
      </c>
      <c r="AC121" s="154"/>
      <c r="AD121" s="158">
        <f>IF(E121="","",Input!$C$48*IF(Summary!$D$30="Included Margin",IF(AND($B121&gt;Input!$C$9,Summary!$D$31&lt;&gt;"Included Margin"),0,1),0))</f>
        <v>-4.4999999999999997E-3</v>
      </c>
      <c r="AE121" s="159">
        <f>IF(E121="","",IF(Summary!$D$26="Included Margin",IF(AND($B121&gt;Input!$C$9,Summary!$D$31&lt;&gt;"Included Margin"),1,1/$R121),1))</f>
        <v>1.0461459384443046</v>
      </c>
      <c r="AF121" s="160">
        <f>IF(E121="","",IF(AND($B121&gt;=Input!$C$9,$C121=12,Summary!$D$31="Included Margin",$U121&gt;0),1/U121-1,IF($B121&gt;=Input!$C$9,0,Input!$C$45*IF(Summary!$D$27="Included Margin",1,0))))</f>
        <v>-0.1</v>
      </c>
      <c r="AG121" s="160">
        <f>IF(E121="","",Input!$C$46*IF(Summary!$D$28="Included Margin",IF(AND($B121&gt;Input!$C$9,Summary!$D$31&lt;&gt;"Included Margin"),0,1),0))</f>
        <v>0.02</v>
      </c>
      <c r="AH121" s="158">
        <f>IF(E121="","",Input!$C$47*IF(Summary!$D$29="Included Margin",IF(AND($B121&gt;Input!$C$9,Summary!$D$31&lt;&gt;"Included Margin"),0,1),0))</f>
        <v>2.5000000000000001E-3</v>
      </c>
      <c r="AI121" s="154"/>
      <c r="AJ121" s="158">
        <f t="shared" si="66"/>
        <v>3.6080000000000001E-2</v>
      </c>
      <c r="AK121" s="155">
        <f t="shared" si="67"/>
        <v>2.9580632046699584E-3</v>
      </c>
      <c r="AL121" s="147">
        <f t="shared" si="68"/>
        <v>1.3701599999999998E-3</v>
      </c>
      <c r="AM121" s="147">
        <f t="shared" si="44"/>
        <v>1.142517667291898E-4</v>
      </c>
      <c r="AN121" s="160">
        <f t="shared" si="69"/>
        <v>0</v>
      </c>
      <c r="AO121" s="161">
        <f t="shared" si="70"/>
        <v>0</v>
      </c>
      <c r="AP121" s="156">
        <f t="shared" si="45"/>
        <v>1.221714842505746</v>
      </c>
      <c r="AQ121" s="152"/>
      <c r="AR121" s="162">
        <f t="shared" si="46"/>
        <v>944.10809699508127</v>
      </c>
      <c r="AS121" s="150">
        <f t="shared" si="71"/>
        <v>0</v>
      </c>
      <c r="AT121" s="163">
        <f t="shared" si="47"/>
        <v>0</v>
      </c>
      <c r="AU121" s="163">
        <f t="shared" si="48"/>
        <v>11.42517667291898</v>
      </c>
      <c r="AV121" s="163">
        <f t="shared" si="72"/>
        <v>2.7758332255906186</v>
      </c>
      <c r="AW121" s="163">
        <f t="shared" si="49"/>
        <v>0.10689003052122291</v>
      </c>
      <c r="AX121" s="163">
        <f t="shared" si="50"/>
        <v>0</v>
      </c>
      <c r="AY121" s="164">
        <f t="shared" si="73"/>
        <v>935.56564357827415</v>
      </c>
      <c r="AZ121" s="164">
        <f>IF($E121="","",IF(OR(AND($D121=Input!$C$6,$C121=12),$AN121=1),0,-AS122+AT122+AU122-AV122-AW122-AX122+AZ122))</f>
        <v>935.56566853433117</v>
      </c>
      <c r="BA121" s="154">
        <f t="shared" si="51"/>
        <v>2.4956057018243882E-5</v>
      </c>
      <c r="BC121" s="147">
        <f t="shared" si="74"/>
        <v>0.59283892941770522</v>
      </c>
      <c r="BD121" s="164">
        <f>IF(AND($C120=12,$D120=Input!$C$6),0,IF($E121="","",AT121+(AU121+BD122)/(1+$AK121)*MIN((1-AM121-AN121),1)))</f>
        <v>2630.0869779197501</v>
      </c>
      <c r="BE121" s="164">
        <f t="shared" si="52"/>
        <v>1559.2179482653924</v>
      </c>
      <c r="BF121" s="164">
        <f t="shared" si="75"/>
        <v>935.56566853433117</v>
      </c>
      <c r="BG121" s="164">
        <f t="shared" si="53"/>
        <v>554.63974933385259</v>
      </c>
      <c r="BH121" s="152"/>
      <c r="BI121" s="162">
        <f t="shared" si="54"/>
        <v>613.39166045764887</v>
      </c>
      <c r="BJ121" s="150">
        <f t="shared" si="55"/>
        <v>0</v>
      </c>
      <c r="BK121" s="163">
        <f t="shared" si="79"/>
        <v>0</v>
      </c>
      <c r="BL121" s="163">
        <f t="shared" si="56"/>
        <v>10.520871107533303</v>
      </c>
      <c r="BM121" s="163">
        <f t="shared" si="80"/>
        <v>2.0192111714948662</v>
      </c>
      <c r="BN121" s="163">
        <f t="shared" si="57"/>
        <v>6.3646396498309651E-2</v>
      </c>
      <c r="BO121" s="163">
        <f t="shared" si="58"/>
        <v>0</v>
      </c>
      <c r="BP121" s="164">
        <f t="shared" si="81"/>
        <v>604.95364691810869</v>
      </c>
      <c r="BQ121" s="164">
        <f>IF($E121="","",IF(AND($D121=Input!$C$6,$C121=12),0,-BJ122+BK122+BL122-BM122-BN122-BO122+BQ122))</f>
        <v>604.95367586754924</v>
      </c>
      <c r="BR121" s="161">
        <f t="shared" si="59"/>
        <v>0</v>
      </c>
      <c r="BT121" s="147">
        <f t="shared" si="60"/>
        <v>0.59283892941770522</v>
      </c>
      <c r="BU121" s="164">
        <f>IF(AND($C120=12,$D120=Input!$C$6),0,IF($E121="","",BK121+(BL121+BU122)/(1+$AK121)*MIN((1-T121-U121),1)))</f>
        <v>4699.6241153578403</v>
      </c>
      <c r="BV121" s="164">
        <f t="shared" si="61"/>
        <v>2786.1201292143719</v>
      </c>
      <c r="BW121" s="164">
        <f t="shared" si="62"/>
        <v>604.95367586754924</v>
      </c>
      <c r="BX121" s="164">
        <f t="shared" si="63"/>
        <v>358.64008954862334</v>
      </c>
    </row>
    <row r="122" spans="1:76" s="150" customFormat="1" x14ac:dyDescent="0.25">
      <c r="A122" s="150">
        <f t="shared" si="76"/>
        <v>118</v>
      </c>
      <c r="B122" s="150">
        <f t="shared" si="77"/>
        <v>10</v>
      </c>
      <c r="C122" s="150">
        <f t="shared" si="78"/>
        <v>10</v>
      </c>
      <c r="D122" s="150">
        <f>IF(E122="","",Input!$C$4+B122-1)</f>
        <v>54</v>
      </c>
      <c r="E122" s="150">
        <f>IF(OR(AND(C121=12,D121=Input!$C$6),E121=""),"",1)</f>
        <v>1</v>
      </c>
      <c r="F122" s="150">
        <f>IF(E122="","",Input!$C$8+B122-1)</f>
        <v>2027</v>
      </c>
      <c r="G122" s="151">
        <f>IF(E122="","",MAX(0,Input!$C$9-B122))</f>
        <v>10</v>
      </c>
      <c r="H122" s="152">
        <f>IF(E122="","",Input!$C$3)</f>
        <v>100000</v>
      </c>
      <c r="I122" s="153">
        <f>IF(E122="","",HLOOKUP($B122,Input!$C$13:$BT$14,2))</f>
        <v>2.2999999999999998</v>
      </c>
      <c r="J122" s="154"/>
      <c r="K122" s="155">
        <f>IF($E122="","",INDEX(Input!$C$16:$CP$16,1,$B122))</f>
        <v>2.5579999999999999E-2</v>
      </c>
      <c r="L122" s="155">
        <f>IF($E122="","",Input!$C$37)</f>
        <v>1.4999999999999999E-2</v>
      </c>
      <c r="M122" s="155">
        <f t="shared" si="64"/>
        <v>4.0579999999999998E-2</v>
      </c>
      <c r="N122" s="155">
        <f t="shared" si="65"/>
        <v>3.320354372222889E-3</v>
      </c>
      <c r="O122" s="147">
        <f>IF($E122="","",MIN(VLOOKUP(IF($B122&lt;=Input!$C$7,$B122,26),'Mortality Tables'!$A$41:$CW$67,IF($B122&lt;=Input!$C$7+1,Input!$C$4+2,$D122-Input!$C$7+2),0)*IF(B122&gt;20,Input!$C$22,1)/1000,1))</f>
        <v>1.32E-3</v>
      </c>
      <c r="P122" s="147">
        <f>IF($E122="","",MIN(VLOOKUP(IF($B122&lt;=Input!$C$7,$B122,26),'Mortality Tables'!$A$12:$CW$37,IF($B122&lt;=Input!$C$7+1,Input!$C$4+2,$D122-Input!$C$7+2),0)*IF(B122&gt;20,Input!$C$22,1)/1000,1))</f>
        <v>1.65E-3</v>
      </c>
      <c r="Q122" s="155">
        <f>IF($E122="","",Input!$C$21)</f>
        <v>5.0000000000000001E-3</v>
      </c>
      <c r="R122" s="159">
        <f>IF($E122="","",(1-Q122)^($F122-Input!$C$20))</f>
        <v>0.95588957835755972</v>
      </c>
      <c r="S122" s="147">
        <f t="shared" si="41"/>
        <v>1.2617742434319788E-3</v>
      </c>
      <c r="T122" s="147">
        <f t="shared" si="42"/>
        <v>1.0520871107533303E-4</v>
      </c>
      <c r="U122" s="160">
        <f>IF($E122="","",IF($C122=12,INDEX(Input!$C$15:$CP$15,1,$B122),0))</f>
        <v>0</v>
      </c>
      <c r="V122" s="150">
        <f>IF(E122="","",IF(C122=1,IF($B122=1,Input!$C$33,Input!$C$34),0))</f>
        <v>0</v>
      </c>
      <c r="W122" s="156">
        <f>IF($E122="","",Input!$C$35)</f>
        <v>0.02</v>
      </c>
      <c r="X122" s="156">
        <f t="shared" si="43"/>
        <v>1.1950925686223111</v>
      </c>
      <c r="Y122" s="154"/>
      <c r="Z122" s="147">
        <f>IF($E122="","",VLOOKUP($D122,'Mortality Margins &amp; Grading'!$AB$5:$AF$125,3,0)*IF(Summary!$D$25="Included Margin",IF(AND($B122&gt;Input!$C$9,Summary!$D$31&lt;&gt;"Included Margin"),0,1),0))</f>
        <v>3.7999999999999999E-2</v>
      </c>
      <c r="AA122" s="147">
        <f>IF($E122="","",VLOOKUP($D122,'Mortality Margins &amp; Grading'!$AB$5:$AF$125,5,0)*IF(Summary!$D$25="Included Margin",IF(AND($B122&gt;Input!$C$9,Summary!$D$31&lt;&gt;"Included Margin"),0,1),0))</f>
        <v>0.192</v>
      </c>
      <c r="AB122" s="147">
        <f>IF($E122="","",IF(AND($B122&gt;Input!$C$9,Summary!$D$31&lt;&gt;"Included Margin"),1,IF(Summary!$D$25="Included Margin",VLOOKUP($B122,'Mortality Margins &amp; Grading'!$AI$5:$AR$125,MATCH('Mortality Margins &amp; Grading'!$AQ$4,'Mortality Margins &amp; Grading'!$AI$4:$AR$4,0),0),1)))</f>
        <v>1</v>
      </c>
      <c r="AC122" s="154"/>
      <c r="AD122" s="158">
        <f>IF(E122="","",Input!$C$48*IF(Summary!$D$30="Included Margin",IF(AND($B122&gt;Input!$C$9,Summary!$D$31&lt;&gt;"Included Margin"),0,1),0))</f>
        <v>-4.4999999999999997E-3</v>
      </c>
      <c r="AE122" s="159">
        <f>IF(E122="","",IF(Summary!$D$26="Included Margin",IF(AND($B122&gt;Input!$C$9,Summary!$D$31&lt;&gt;"Included Margin"),1,1/$R122),1))</f>
        <v>1.0461459384443046</v>
      </c>
      <c r="AF122" s="160">
        <f>IF(E122="","",IF(AND($B122&gt;=Input!$C$9,$C122=12,Summary!$D$31="Included Margin",$U122&gt;0),1/U122-1,IF($B122&gt;=Input!$C$9,0,Input!$C$45*IF(Summary!$D$27="Included Margin",1,0))))</f>
        <v>-0.1</v>
      </c>
      <c r="AG122" s="160">
        <f>IF(E122="","",Input!$C$46*IF(Summary!$D$28="Included Margin",IF(AND($B122&gt;Input!$C$9,Summary!$D$31&lt;&gt;"Included Margin"),0,1),0))</f>
        <v>0.02</v>
      </c>
      <c r="AH122" s="158">
        <f>IF(E122="","",Input!$C$47*IF(Summary!$D$29="Included Margin",IF(AND($B122&gt;Input!$C$9,Summary!$D$31&lt;&gt;"Included Margin"),0,1),0))</f>
        <v>2.5000000000000001E-3</v>
      </c>
      <c r="AI122" s="154"/>
      <c r="AJ122" s="158">
        <f t="shared" si="66"/>
        <v>3.6080000000000001E-2</v>
      </c>
      <c r="AK122" s="155">
        <f t="shared" si="67"/>
        <v>2.9580632046699584E-3</v>
      </c>
      <c r="AL122" s="147">
        <f t="shared" si="68"/>
        <v>1.3701599999999998E-3</v>
      </c>
      <c r="AM122" s="147">
        <f t="shared" si="44"/>
        <v>1.142517667291898E-4</v>
      </c>
      <c r="AN122" s="160">
        <f t="shared" si="69"/>
        <v>0</v>
      </c>
      <c r="AO122" s="161">
        <f t="shared" si="70"/>
        <v>0</v>
      </c>
      <c r="AP122" s="156">
        <f t="shared" si="45"/>
        <v>1.221714842505746</v>
      </c>
      <c r="AQ122" s="152"/>
      <c r="AR122" s="162">
        <f t="shared" si="46"/>
        <v>935.56564357827403</v>
      </c>
      <c r="AS122" s="150">
        <f t="shared" si="71"/>
        <v>0</v>
      </c>
      <c r="AT122" s="163">
        <f t="shared" si="47"/>
        <v>0</v>
      </c>
      <c r="AU122" s="163">
        <f t="shared" si="48"/>
        <v>11.42517667291898</v>
      </c>
      <c r="AV122" s="163">
        <f t="shared" si="72"/>
        <v>2.7505641084607539</v>
      </c>
      <c r="AW122" s="163">
        <f t="shared" si="49"/>
        <v>0.1059110412336194</v>
      </c>
      <c r="AX122" s="163">
        <f t="shared" si="50"/>
        <v>0</v>
      </c>
      <c r="AY122" s="164">
        <f t="shared" si="73"/>
        <v>926.99694205504943</v>
      </c>
      <c r="AZ122" s="164">
        <f>IF($E122="","",IF(OR(AND($D122=Input!$C$6,$C122=12),$AN122=1),0,-AS123+AT123+AU123-AV123-AW123-AX123+AZ123))</f>
        <v>926.99696701110656</v>
      </c>
      <c r="BA122" s="154">
        <f t="shared" si="51"/>
        <v>2.495605713193072E-5</v>
      </c>
      <c r="BC122" s="147">
        <f t="shared" si="74"/>
        <v>0.59277655759806591</v>
      </c>
      <c r="BD122" s="164">
        <f>IF(AND($C121=12,$D121=Input!$C$6),0,IF($E122="","",AT122+(AU122+BD123)/(1+$AK122)*MIN((1-AM122-AN122),1)))</f>
        <v>2626.7431801569942</v>
      </c>
      <c r="BE122" s="164">
        <f t="shared" si="52"/>
        <v>1557.0717800276593</v>
      </c>
      <c r="BF122" s="164">
        <f t="shared" si="75"/>
        <v>926.99696701110656</v>
      </c>
      <c r="BG122" s="164">
        <f t="shared" si="53"/>
        <v>549.50207100869159</v>
      </c>
      <c r="BH122" s="152"/>
      <c r="BI122" s="162">
        <f t="shared" si="54"/>
        <v>604.95364691810869</v>
      </c>
      <c r="BJ122" s="150">
        <f t="shared" si="55"/>
        <v>0</v>
      </c>
      <c r="BK122" s="163">
        <f t="shared" si="79"/>
        <v>0</v>
      </c>
      <c r="BL122" s="163">
        <f t="shared" si="56"/>
        <v>10.520871107533303</v>
      </c>
      <c r="BM122" s="163">
        <f t="shared" si="80"/>
        <v>1.9911939763459781</v>
      </c>
      <c r="BN122" s="163">
        <f t="shared" si="57"/>
        <v>6.2755602597510729E-2</v>
      </c>
      <c r="BO122" s="163">
        <f t="shared" si="58"/>
        <v>0</v>
      </c>
      <c r="BP122" s="164">
        <f t="shared" si="81"/>
        <v>596.48672538951882</v>
      </c>
      <c r="BQ122" s="164">
        <f>IF($E122="","",IF(AND($D122=Input!$C$6,$C122=12),0,-BJ123+BK123+BL123-BM123-BN123-BO123+BQ123))</f>
        <v>596.48675433895937</v>
      </c>
      <c r="BR122" s="161">
        <f t="shared" si="59"/>
        <v>0</v>
      </c>
      <c r="BT122" s="147">
        <f t="shared" si="60"/>
        <v>0.59277655759806591</v>
      </c>
      <c r="BU122" s="164">
        <f>IF(AND($C121=12,$D121=Input!$C$6),0,IF($E122="","",BK122+(BL122+BU123)/(1+$AK122)*MIN((1-T122-U122),1)))</f>
        <v>4703.5009855852504</v>
      </c>
      <c r="BV122" s="164">
        <f t="shared" si="61"/>
        <v>2788.1251228943352</v>
      </c>
      <c r="BW122" s="164">
        <f t="shared" si="62"/>
        <v>596.48675433895937</v>
      </c>
      <c r="BX122" s="164">
        <f t="shared" si="63"/>
        <v>353.58336488989153</v>
      </c>
    </row>
    <row r="123" spans="1:76" s="150" customFormat="1" x14ac:dyDescent="0.25">
      <c r="A123" s="150">
        <f t="shared" si="76"/>
        <v>119</v>
      </c>
      <c r="B123" s="150">
        <f t="shared" si="77"/>
        <v>10</v>
      </c>
      <c r="C123" s="150">
        <f t="shared" si="78"/>
        <v>11</v>
      </c>
      <c r="D123" s="150">
        <f>IF(E123="","",Input!$C$4+B123-1)</f>
        <v>54</v>
      </c>
      <c r="E123" s="150">
        <f>IF(OR(AND(C122=12,D122=Input!$C$6),E122=""),"",1)</f>
        <v>1</v>
      </c>
      <c r="F123" s="150">
        <f>IF(E123="","",Input!$C$8+B123-1)</f>
        <v>2027</v>
      </c>
      <c r="G123" s="151">
        <f>IF(E123="","",MAX(0,Input!$C$9-B123))</f>
        <v>10</v>
      </c>
      <c r="H123" s="152">
        <f>IF(E123="","",Input!$C$3)</f>
        <v>100000</v>
      </c>
      <c r="I123" s="153">
        <f>IF(E123="","",HLOOKUP($B123,Input!$C$13:$BT$14,2))</f>
        <v>2.2999999999999998</v>
      </c>
      <c r="J123" s="154"/>
      <c r="K123" s="155">
        <f>IF($E123="","",INDEX(Input!$C$16:$CP$16,1,$B123))</f>
        <v>2.5579999999999999E-2</v>
      </c>
      <c r="L123" s="155">
        <f>IF($E123="","",Input!$C$37)</f>
        <v>1.4999999999999999E-2</v>
      </c>
      <c r="M123" s="155">
        <f t="shared" si="64"/>
        <v>4.0579999999999998E-2</v>
      </c>
      <c r="N123" s="155">
        <f t="shared" si="65"/>
        <v>3.320354372222889E-3</v>
      </c>
      <c r="O123" s="147">
        <f>IF($E123="","",MIN(VLOOKUP(IF($B123&lt;=Input!$C$7,$B123,26),'Mortality Tables'!$A$41:$CW$67,IF($B123&lt;=Input!$C$7+1,Input!$C$4+2,$D123-Input!$C$7+2),0)*IF(B123&gt;20,Input!$C$22,1)/1000,1))</f>
        <v>1.32E-3</v>
      </c>
      <c r="P123" s="147">
        <f>IF($E123="","",MIN(VLOOKUP(IF($B123&lt;=Input!$C$7,$B123,26),'Mortality Tables'!$A$12:$CW$37,IF($B123&lt;=Input!$C$7+1,Input!$C$4+2,$D123-Input!$C$7+2),0)*IF(B123&gt;20,Input!$C$22,1)/1000,1))</f>
        <v>1.65E-3</v>
      </c>
      <c r="Q123" s="155">
        <f>IF($E123="","",Input!$C$21)</f>
        <v>5.0000000000000001E-3</v>
      </c>
      <c r="R123" s="159">
        <f>IF($E123="","",(1-Q123)^($F123-Input!$C$20))</f>
        <v>0.95588957835755972</v>
      </c>
      <c r="S123" s="147">
        <f t="shared" si="41"/>
        <v>1.2617742434319788E-3</v>
      </c>
      <c r="T123" s="147">
        <f t="shared" si="42"/>
        <v>1.0520871107533303E-4</v>
      </c>
      <c r="U123" s="160">
        <f>IF($E123="","",IF($C123=12,INDEX(Input!$C$15:$CP$15,1,$B123),0))</f>
        <v>0</v>
      </c>
      <c r="V123" s="150">
        <f>IF(E123="","",IF(C123=1,IF($B123=1,Input!$C$33,Input!$C$34),0))</f>
        <v>0</v>
      </c>
      <c r="W123" s="156">
        <f>IF($E123="","",Input!$C$35)</f>
        <v>0.02</v>
      </c>
      <c r="X123" s="156">
        <f t="shared" si="43"/>
        <v>1.1950925686223111</v>
      </c>
      <c r="Y123" s="154"/>
      <c r="Z123" s="147">
        <f>IF($E123="","",VLOOKUP($D123,'Mortality Margins &amp; Grading'!$AB$5:$AF$125,3,0)*IF(Summary!$D$25="Included Margin",IF(AND($B123&gt;Input!$C$9,Summary!$D$31&lt;&gt;"Included Margin"),0,1),0))</f>
        <v>3.7999999999999999E-2</v>
      </c>
      <c r="AA123" s="147">
        <f>IF($E123="","",VLOOKUP($D123,'Mortality Margins &amp; Grading'!$AB$5:$AF$125,5,0)*IF(Summary!$D$25="Included Margin",IF(AND($B123&gt;Input!$C$9,Summary!$D$31&lt;&gt;"Included Margin"),0,1),0))</f>
        <v>0.192</v>
      </c>
      <c r="AB123" s="147">
        <f>IF($E123="","",IF(AND($B123&gt;Input!$C$9,Summary!$D$31&lt;&gt;"Included Margin"),1,IF(Summary!$D$25="Included Margin",VLOOKUP($B123,'Mortality Margins &amp; Grading'!$AI$5:$AR$125,MATCH('Mortality Margins &amp; Grading'!$AQ$4,'Mortality Margins &amp; Grading'!$AI$4:$AR$4,0),0),1)))</f>
        <v>1</v>
      </c>
      <c r="AC123" s="154"/>
      <c r="AD123" s="158">
        <f>IF(E123="","",Input!$C$48*IF(Summary!$D$30="Included Margin",IF(AND($B123&gt;Input!$C$9,Summary!$D$31&lt;&gt;"Included Margin"),0,1),0))</f>
        <v>-4.4999999999999997E-3</v>
      </c>
      <c r="AE123" s="159">
        <f>IF(E123="","",IF(Summary!$D$26="Included Margin",IF(AND($B123&gt;Input!$C$9,Summary!$D$31&lt;&gt;"Included Margin"),1,1/$R123),1))</f>
        <v>1.0461459384443046</v>
      </c>
      <c r="AF123" s="160">
        <f>IF(E123="","",IF(AND($B123&gt;=Input!$C$9,$C123=12,Summary!$D$31="Included Margin",$U123&gt;0),1/U123-1,IF($B123&gt;=Input!$C$9,0,Input!$C$45*IF(Summary!$D$27="Included Margin",1,0))))</f>
        <v>-0.1</v>
      </c>
      <c r="AG123" s="160">
        <f>IF(E123="","",Input!$C$46*IF(Summary!$D$28="Included Margin",IF(AND($B123&gt;Input!$C$9,Summary!$D$31&lt;&gt;"Included Margin"),0,1),0))</f>
        <v>0.02</v>
      </c>
      <c r="AH123" s="158">
        <f>IF(E123="","",Input!$C$47*IF(Summary!$D$29="Included Margin",IF(AND($B123&gt;Input!$C$9,Summary!$D$31&lt;&gt;"Included Margin"),0,1),0))</f>
        <v>2.5000000000000001E-3</v>
      </c>
      <c r="AI123" s="154"/>
      <c r="AJ123" s="158">
        <f t="shared" si="66"/>
        <v>3.6080000000000001E-2</v>
      </c>
      <c r="AK123" s="155">
        <f t="shared" si="67"/>
        <v>2.9580632046699584E-3</v>
      </c>
      <c r="AL123" s="147">
        <f t="shared" si="68"/>
        <v>1.3701599999999998E-3</v>
      </c>
      <c r="AM123" s="147">
        <f t="shared" si="44"/>
        <v>1.142517667291898E-4</v>
      </c>
      <c r="AN123" s="160">
        <f t="shared" si="69"/>
        <v>0</v>
      </c>
      <c r="AO123" s="161">
        <f t="shared" si="70"/>
        <v>0</v>
      </c>
      <c r="AP123" s="156">
        <f t="shared" si="45"/>
        <v>1.221714842505746</v>
      </c>
      <c r="AQ123" s="152"/>
      <c r="AR123" s="162">
        <f t="shared" si="46"/>
        <v>926.99694205504943</v>
      </c>
      <c r="AS123" s="150">
        <f t="shared" si="71"/>
        <v>0</v>
      </c>
      <c r="AT123" s="163">
        <f t="shared" si="47"/>
        <v>0</v>
      </c>
      <c r="AU123" s="163">
        <f t="shared" si="48"/>
        <v>11.42517667291898</v>
      </c>
      <c r="AV123" s="163">
        <f t="shared" si="72"/>
        <v>2.7252173477731039</v>
      </c>
      <c r="AW123" s="163">
        <f t="shared" si="49"/>
        <v>0.10492904383888918</v>
      </c>
      <c r="AX123" s="163">
        <f t="shared" si="50"/>
        <v>0</v>
      </c>
      <c r="AY123" s="164">
        <f t="shared" si="73"/>
        <v>918.40191177374243</v>
      </c>
      <c r="AZ123" s="164">
        <f>IF($E123="","",IF(OR(AND($D123=Input!$C$6,$C123=12),$AN123=1),0,-AS124+AT124+AU124-AV124-AW124-AX124+AZ124))</f>
        <v>918.40193672979956</v>
      </c>
      <c r="BA123" s="154">
        <f t="shared" si="51"/>
        <v>2.495605713193072E-5</v>
      </c>
      <c r="BC123" s="147">
        <f t="shared" si="74"/>
        <v>0.59271419234048539</v>
      </c>
      <c r="BD123" s="164">
        <f>IF(AND($C122=12,$D122=Input!$C$6),0,IF($E123="","",AT123+(AU123+BD124)/(1+$AK123)*MIN((1-AM123-AN123),1)))</f>
        <v>2623.3891080204448</v>
      </c>
      <c r="BE123" s="164">
        <f t="shared" si="52"/>
        <v>1554.9199563551645</v>
      </c>
      <c r="BF123" s="164">
        <f t="shared" si="75"/>
        <v>918.40193672979956</v>
      </c>
      <c r="BG123" s="164">
        <f t="shared" si="53"/>
        <v>544.3498621727407</v>
      </c>
      <c r="BH123" s="152"/>
      <c r="BI123" s="162">
        <f t="shared" si="54"/>
        <v>596.48672538951871</v>
      </c>
      <c r="BJ123" s="150">
        <f t="shared" si="55"/>
        <v>0</v>
      </c>
      <c r="BK123" s="163">
        <f t="shared" si="79"/>
        <v>0</v>
      </c>
      <c r="BL123" s="163">
        <f t="shared" si="56"/>
        <v>10.520871107533303</v>
      </c>
      <c r="BM123" s="163">
        <f t="shared" si="80"/>
        <v>1.9630807964292563</v>
      </c>
      <c r="BN123" s="163">
        <f t="shared" si="57"/>
        <v>6.1861756904935311E-2</v>
      </c>
      <c r="BO123" s="163">
        <f t="shared" si="58"/>
        <v>0</v>
      </c>
      <c r="BP123" s="164">
        <f t="shared" si="81"/>
        <v>587.99079683531966</v>
      </c>
      <c r="BQ123" s="164">
        <f>IF($E123="","",IF(AND($D123=Input!$C$6,$C123=12),0,-BJ124+BK124+BL124-BM124-BN124-BO124+BQ124))</f>
        <v>587.9908257847602</v>
      </c>
      <c r="BR123" s="161">
        <f t="shared" si="59"/>
        <v>0</v>
      </c>
      <c r="BT123" s="147">
        <f t="shared" si="60"/>
        <v>0.59271419234048539</v>
      </c>
      <c r="BU123" s="164">
        <f>IF(AND($C122=12,$D122=Input!$C$6),0,IF($E123="","",BK123+(BL123+BU124)/(1+$AK123)*MIN((1-T123-U123),1)))</f>
        <v>4707.3897329699294</v>
      </c>
      <c r="BV123" s="164">
        <f t="shared" si="61"/>
        <v>2790.1367036091647</v>
      </c>
      <c r="BW123" s="164">
        <f t="shared" si="62"/>
        <v>587.9908257847602</v>
      </c>
      <c r="BX123" s="164">
        <f t="shared" si="63"/>
        <v>348.51050740862922</v>
      </c>
    </row>
    <row r="124" spans="1:76" s="150" customFormat="1" x14ac:dyDescent="0.25">
      <c r="A124" s="150">
        <f t="shared" si="76"/>
        <v>120</v>
      </c>
      <c r="B124" s="150">
        <f t="shared" si="77"/>
        <v>10</v>
      </c>
      <c r="C124" s="150">
        <f t="shared" si="78"/>
        <v>12</v>
      </c>
      <c r="D124" s="150">
        <f>IF(E124="","",Input!$C$4+B124-1)</f>
        <v>54</v>
      </c>
      <c r="E124" s="150">
        <f>IF(OR(AND(C123=12,D123=Input!$C$6),E123=""),"",1)</f>
        <v>1</v>
      </c>
      <c r="F124" s="150">
        <f>IF(E124="","",Input!$C$8+B124-1)</f>
        <v>2027</v>
      </c>
      <c r="G124" s="151">
        <f>IF(E124="","",MAX(0,Input!$C$9-B124))</f>
        <v>10</v>
      </c>
      <c r="H124" s="152">
        <f>IF(E124="","",Input!$C$3)</f>
        <v>100000</v>
      </c>
      <c r="I124" s="153">
        <f>IF(E124="","",HLOOKUP($B124,Input!$C$13:$BT$14,2))</f>
        <v>2.2999999999999998</v>
      </c>
      <c r="J124" s="154"/>
      <c r="K124" s="155">
        <f>IF($E124="","",INDEX(Input!$C$16:$CP$16,1,$B124))</f>
        <v>2.5579999999999999E-2</v>
      </c>
      <c r="L124" s="155">
        <f>IF($E124="","",Input!$C$37)</f>
        <v>1.4999999999999999E-2</v>
      </c>
      <c r="M124" s="155">
        <f t="shared" si="64"/>
        <v>4.0579999999999998E-2</v>
      </c>
      <c r="N124" s="155">
        <f t="shared" si="65"/>
        <v>3.320354372222889E-3</v>
      </c>
      <c r="O124" s="147">
        <f>IF($E124="","",MIN(VLOOKUP(IF($B124&lt;=Input!$C$7,$B124,26),'Mortality Tables'!$A$41:$CW$67,IF($B124&lt;=Input!$C$7+1,Input!$C$4+2,$D124-Input!$C$7+2),0)*IF(B124&gt;20,Input!$C$22,1)/1000,1))</f>
        <v>1.32E-3</v>
      </c>
      <c r="P124" s="147">
        <f>IF($E124="","",MIN(VLOOKUP(IF($B124&lt;=Input!$C$7,$B124,26),'Mortality Tables'!$A$12:$CW$37,IF($B124&lt;=Input!$C$7+1,Input!$C$4+2,$D124-Input!$C$7+2),0)*IF(B124&gt;20,Input!$C$22,1)/1000,1))</f>
        <v>1.65E-3</v>
      </c>
      <c r="Q124" s="155">
        <f>IF($E124="","",Input!$C$21)</f>
        <v>5.0000000000000001E-3</v>
      </c>
      <c r="R124" s="159">
        <f>IF($E124="","",(1-Q124)^($F124-Input!$C$20))</f>
        <v>0.95588957835755972</v>
      </c>
      <c r="S124" s="147">
        <f t="shared" si="41"/>
        <v>1.2617742434319788E-3</v>
      </c>
      <c r="T124" s="147">
        <f t="shared" si="42"/>
        <v>1.0520871107533303E-4</v>
      </c>
      <c r="U124" s="160">
        <f>IF($E124="","",IF($C124=12,INDEX(Input!$C$15:$CP$15,1,$B124),0))</f>
        <v>0.05</v>
      </c>
      <c r="V124" s="150">
        <f>IF(E124="","",IF(C124=1,IF($B124=1,Input!$C$33,Input!$C$34),0))</f>
        <v>0</v>
      </c>
      <c r="W124" s="156">
        <f>IF($E124="","",Input!$C$35)</f>
        <v>0.02</v>
      </c>
      <c r="X124" s="156">
        <f t="shared" si="43"/>
        <v>1.1950925686223111</v>
      </c>
      <c r="Y124" s="154"/>
      <c r="Z124" s="147">
        <f>IF($E124="","",VLOOKUP($D124,'Mortality Margins &amp; Grading'!$AB$5:$AF$125,3,0)*IF(Summary!$D$25="Included Margin",IF(AND($B124&gt;Input!$C$9,Summary!$D$31&lt;&gt;"Included Margin"),0,1),0))</f>
        <v>3.7999999999999999E-2</v>
      </c>
      <c r="AA124" s="147">
        <f>IF($E124="","",VLOOKUP($D124,'Mortality Margins &amp; Grading'!$AB$5:$AF$125,5,0)*IF(Summary!$D$25="Included Margin",IF(AND($B124&gt;Input!$C$9,Summary!$D$31&lt;&gt;"Included Margin"),0,1),0))</f>
        <v>0.192</v>
      </c>
      <c r="AB124" s="147">
        <f>IF($E124="","",IF(AND($B124&gt;Input!$C$9,Summary!$D$31&lt;&gt;"Included Margin"),1,IF(Summary!$D$25="Included Margin",VLOOKUP($B124,'Mortality Margins &amp; Grading'!$AI$5:$AR$125,MATCH('Mortality Margins &amp; Grading'!$AQ$4,'Mortality Margins &amp; Grading'!$AI$4:$AR$4,0),0),1)))</f>
        <v>1</v>
      </c>
      <c r="AC124" s="154"/>
      <c r="AD124" s="158">
        <f>IF(E124="","",Input!$C$48*IF(Summary!$D$30="Included Margin",IF(AND($B124&gt;Input!$C$9,Summary!$D$31&lt;&gt;"Included Margin"),0,1),0))</f>
        <v>-4.4999999999999997E-3</v>
      </c>
      <c r="AE124" s="159">
        <f>IF(E124="","",IF(Summary!$D$26="Included Margin",IF(AND($B124&gt;Input!$C$9,Summary!$D$31&lt;&gt;"Included Margin"),1,1/$R124),1))</f>
        <v>1.0461459384443046</v>
      </c>
      <c r="AF124" s="160">
        <f>IF(E124="","",IF(AND($B124&gt;=Input!$C$9,$C124=12,Summary!$D$31="Included Margin",$U124&gt;0),1/U124-1,IF($B124&gt;=Input!$C$9,0,Input!$C$45*IF(Summary!$D$27="Included Margin",1,0))))</f>
        <v>-0.1</v>
      </c>
      <c r="AG124" s="160">
        <f>IF(E124="","",Input!$C$46*IF(Summary!$D$28="Included Margin",IF(AND($B124&gt;Input!$C$9,Summary!$D$31&lt;&gt;"Included Margin"),0,1),0))</f>
        <v>0.02</v>
      </c>
      <c r="AH124" s="158">
        <f>IF(E124="","",Input!$C$47*IF(Summary!$D$29="Included Margin",IF(AND($B124&gt;Input!$C$9,Summary!$D$31&lt;&gt;"Included Margin"),0,1),0))</f>
        <v>2.5000000000000001E-3</v>
      </c>
      <c r="AI124" s="154"/>
      <c r="AJ124" s="158">
        <f t="shared" si="66"/>
        <v>3.6080000000000001E-2</v>
      </c>
      <c r="AK124" s="155">
        <f t="shared" si="67"/>
        <v>2.9580632046699584E-3</v>
      </c>
      <c r="AL124" s="147">
        <f t="shared" si="68"/>
        <v>1.3701599999999998E-3</v>
      </c>
      <c r="AM124" s="147">
        <f t="shared" si="44"/>
        <v>1.142517667291898E-4</v>
      </c>
      <c r="AN124" s="160">
        <f t="shared" si="69"/>
        <v>4.5000000000000005E-2</v>
      </c>
      <c r="AO124" s="161">
        <f t="shared" si="70"/>
        <v>0</v>
      </c>
      <c r="AP124" s="156">
        <f t="shared" si="45"/>
        <v>1.221714842505746</v>
      </c>
      <c r="AQ124" s="152"/>
      <c r="AR124" s="162">
        <f t="shared" si="46"/>
        <v>918.40191177374243</v>
      </c>
      <c r="AS124" s="150">
        <f t="shared" si="71"/>
        <v>0</v>
      </c>
      <c r="AT124" s="163">
        <f t="shared" si="47"/>
        <v>0</v>
      </c>
      <c r="AU124" s="163">
        <f t="shared" si="48"/>
        <v>11.42517667291898</v>
      </c>
      <c r="AV124" s="163">
        <f t="shared" si="72"/>
        <v>2.6997927049549455</v>
      </c>
      <c r="AW124" s="163">
        <f t="shared" si="49"/>
        <v>0.10884191528180492</v>
      </c>
      <c r="AX124" s="163">
        <f t="shared" si="50"/>
        <v>42.864340182494871</v>
      </c>
      <c r="AY124" s="164">
        <f t="shared" si="73"/>
        <v>952.64970990355505</v>
      </c>
      <c r="AZ124" s="164">
        <f>IF($E124="","",IF(OR(AND($D124=Input!$C$6,$C124=12),$AN124=1),0,-AS125+AT125+AU125-AV125-AW125-AX125+AZ125))</f>
        <v>952.64973485961218</v>
      </c>
      <c r="BA124" s="154">
        <f t="shared" si="51"/>
        <v>2.495605713193072E-5</v>
      </c>
      <c r="BC124" s="147">
        <f t="shared" si="74"/>
        <v>0.56301612402724888</v>
      </c>
      <c r="BD124" s="164">
        <f>IF(AND($C123=12,$D123=Input!$C$6),0,IF($E124="","",AT124+(AU124+BD125)/(1+$AK124)*MIN((1-AM124-AN124),1)))</f>
        <v>2620.0247299403827</v>
      </c>
      <c r="BE124" s="164">
        <f t="shared" si="52"/>
        <v>1475.1161683065739</v>
      </c>
      <c r="BF124" s="164">
        <f t="shared" si="75"/>
        <v>952.64973485961218</v>
      </c>
      <c r="BG124" s="164">
        <f t="shared" si="53"/>
        <v>536.35716127624517</v>
      </c>
      <c r="BH124" s="152"/>
      <c r="BI124" s="162">
        <f t="shared" si="54"/>
        <v>587.99079683531966</v>
      </c>
      <c r="BJ124" s="150">
        <f t="shared" si="55"/>
        <v>0</v>
      </c>
      <c r="BK124" s="163">
        <f t="shared" si="79"/>
        <v>0</v>
      </c>
      <c r="BL124" s="163">
        <f t="shared" si="56"/>
        <v>10.520871107533303</v>
      </c>
      <c r="BM124" s="163">
        <f t="shared" si="80"/>
        <v>1.9348713029082281</v>
      </c>
      <c r="BN124" s="163">
        <f t="shared" si="57"/>
        <v>6.4173525226713893E-2</v>
      </c>
      <c r="BO124" s="163">
        <f t="shared" si="58"/>
        <v>30.494990841059749</v>
      </c>
      <c r="BP124" s="164">
        <f t="shared" si="81"/>
        <v>609.96396139698118</v>
      </c>
      <c r="BQ124" s="164">
        <f>IF($E124="","",IF(AND($D124=Input!$C$6,$C124=12),0,-BJ125+BK125+BL125-BM125-BN125-BO125+BQ125))</f>
        <v>609.96399034642161</v>
      </c>
      <c r="BR124" s="161">
        <f t="shared" si="59"/>
        <v>0</v>
      </c>
      <c r="BT124" s="147">
        <f t="shared" si="60"/>
        <v>0.56301612402724888</v>
      </c>
      <c r="BU124" s="164">
        <f>IF(AND($C123=12,$D123=Input!$C$6),0,IF($E124="","",BK124+(BL124+BU125)/(1+$AK124)*MIN((1-T124-U124),1)))</f>
        <v>4711.2903938986683</v>
      </c>
      <c r="BV124" s="164">
        <f t="shared" si="61"/>
        <v>2652.5324567396387</v>
      </c>
      <c r="BW124" s="164">
        <f t="shared" si="62"/>
        <v>609.96399034642161</v>
      </c>
      <c r="BX124" s="164">
        <f t="shared" si="63"/>
        <v>343.41956164103652</v>
      </c>
    </row>
    <row r="125" spans="1:76" s="150" customFormat="1" x14ac:dyDescent="0.25">
      <c r="A125" s="150">
        <f t="shared" si="76"/>
        <v>121</v>
      </c>
      <c r="B125" s="150">
        <f t="shared" si="77"/>
        <v>11</v>
      </c>
      <c r="C125" s="150">
        <f t="shared" si="78"/>
        <v>1</v>
      </c>
      <c r="D125" s="150">
        <f>IF(E125="","",Input!$C$4+B125-1)</f>
        <v>55</v>
      </c>
      <c r="E125" s="150">
        <f>IF(OR(AND(C124=12,D124=Input!$C$6),E124=""),"",1)</f>
        <v>1</v>
      </c>
      <c r="F125" s="150">
        <f>IF(E125="","",Input!$C$8+B125-1)</f>
        <v>2028</v>
      </c>
      <c r="G125" s="151">
        <f>IF(E125="","",MAX(0,Input!$C$9-B125))</f>
        <v>9</v>
      </c>
      <c r="H125" s="152">
        <f>IF(E125="","",Input!$C$3)</f>
        <v>100000</v>
      </c>
      <c r="I125" s="153">
        <f>IF(E125="","",HLOOKUP($B125,Input!$C$13:$BT$14,2))</f>
        <v>2.2999999999999998</v>
      </c>
      <c r="J125" s="154"/>
      <c r="K125" s="155">
        <f>IF($E125="","",INDEX(Input!$C$16:$CP$16,1,$B125))</f>
        <v>2.5270000000000001E-2</v>
      </c>
      <c r="L125" s="155">
        <f>IF($E125="","",Input!$C$37)</f>
        <v>1.4999999999999999E-2</v>
      </c>
      <c r="M125" s="155">
        <f t="shared" si="64"/>
        <v>4.027E-2</v>
      </c>
      <c r="N125" s="155">
        <f t="shared" si="65"/>
        <v>3.2954426413740467E-3</v>
      </c>
      <c r="O125" s="147">
        <f>IF($E125="","",MIN(VLOOKUP(IF($B125&lt;=Input!$C$7,$B125,26),'Mortality Tables'!$A$41:$CW$67,IF($B125&lt;=Input!$C$7+1,Input!$C$4+2,$D125-Input!$C$7+2),0)*IF(B125&gt;20,Input!$C$22,1)/1000,1))</f>
        <v>1.5039999999999999E-3</v>
      </c>
      <c r="P125" s="147">
        <f>IF($E125="","",MIN(VLOOKUP(IF($B125&lt;=Input!$C$7,$B125,26),'Mortality Tables'!$A$12:$CW$37,IF($B125&lt;=Input!$C$7+1,Input!$C$4+2,$D125-Input!$C$7+2),0)*IF(B125&gt;20,Input!$C$22,1)/1000,1))</f>
        <v>1.8799999999999999E-3</v>
      </c>
      <c r="Q125" s="155">
        <f>IF($E125="","",Input!$C$21)</f>
        <v>5.0000000000000001E-3</v>
      </c>
      <c r="R125" s="159">
        <f>IF($E125="","",(1-Q125)^($F125-Input!$C$20))</f>
        <v>0.95111013046577197</v>
      </c>
      <c r="S125" s="147">
        <f t="shared" si="41"/>
        <v>1.4304696362205209E-3</v>
      </c>
      <c r="T125" s="147">
        <f t="shared" si="42"/>
        <v>1.1928402964889173E-4</v>
      </c>
      <c r="U125" s="160">
        <f>IF($E125="","",IF($C125=12,INDEX(Input!$C$15:$CP$15,1,$B125),0))</f>
        <v>0</v>
      </c>
      <c r="V125" s="150">
        <f>IF(E125="","",IF(C125=1,IF($B125=1,Input!$C$33,Input!$C$34),0))</f>
        <v>50</v>
      </c>
      <c r="W125" s="156">
        <f>IF($E125="","",Input!$C$35)</f>
        <v>0.02</v>
      </c>
      <c r="X125" s="156">
        <f t="shared" si="43"/>
        <v>1.2189944199947573</v>
      </c>
      <c r="Y125" s="154"/>
      <c r="Z125" s="147">
        <f>IF($E125="","",VLOOKUP($D125,'Mortality Margins &amp; Grading'!$AB$5:$AF$125,3,0)*IF(Summary!$D$25="Included Margin",IF(AND($B125&gt;Input!$C$9,Summary!$D$31&lt;&gt;"Included Margin"),0,1),0))</f>
        <v>3.7999999999999999E-2</v>
      </c>
      <c r="AA125" s="147">
        <f>IF($E125="","",VLOOKUP($D125,'Mortality Margins &amp; Grading'!$AB$5:$AF$125,5,0)*IF(Summary!$D$25="Included Margin",IF(AND($B125&gt;Input!$C$9,Summary!$D$31&lt;&gt;"Included Margin"),0,1),0))</f>
        <v>0.192</v>
      </c>
      <c r="AB125" s="147">
        <f>IF($E125="","",IF(AND($B125&gt;Input!$C$9,Summary!$D$31&lt;&gt;"Included Margin"),1,IF(Summary!$D$25="Included Margin",VLOOKUP($B125,'Mortality Margins &amp; Grading'!$AI$5:$AR$125,MATCH('Mortality Margins &amp; Grading'!$AQ$4,'Mortality Margins &amp; Grading'!$AI$4:$AR$4,0),0),1)))</f>
        <v>1</v>
      </c>
      <c r="AC125" s="154"/>
      <c r="AD125" s="158">
        <f>IF(E125="","",Input!$C$48*IF(Summary!$D$30="Included Margin",IF(AND($B125&gt;Input!$C$9,Summary!$D$31&lt;&gt;"Included Margin"),0,1),0))</f>
        <v>-4.4999999999999997E-3</v>
      </c>
      <c r="AE125" s="159">
        <f>IF(E125="","",IF(Summary!$D$26="Included Margin",IF(AND($B125&gt;Input!$C$9,Summary!$D$31&lt;&gt;"Included Margin"),1,1/$R125),1))</f>
        <v>1.0514029532103564</v>
      </c>
      <c r="AF125" s="160">
        <f>IF(E125="","",IF(AND($B125&gt;=Input!$C$9,$C125=12,Summary!$D$31="Included Margin",$U125&gt;0),1/U125-1,IF($B125&gt;=Input!$C$9,0,Input!$C$45*IF(Summary!$D$27="Included Margin",1,0))))</f>
        <v>-0.1</v>
      </c>
      <c r="AG125" s="160">
        <f>IF(E125="","",Input!$C$46*IF(Summary!$D$28="Included Margin",IF(AND($B125&gt;Input!$C$9,Summary!$D$31&lt;&gt;"Included Margin"),0,1),0))</f>
        <v>0.02</v>
      </c>
      <c r="AH125" s="158">
        <f>IF(E125="","",Input!$C$47*IF(Summary!$D$29="Included Margin",IF(AND($B125&gt;Input!$C$9,Summary!$D$31&lt;&gt;"Included Margin"),0,1),0))</f>
        <v>2.5000000000000001E-3</v>
      </c>
      <c r="AI125" s="154"/>
      <c r="AJ125" s="158">
        <f t="shared" si="66"/>
        <v>3.5770000000000003E-2</v>
      </c>
      <c r="AK125" s="155">
        <f t="shared" si="67"/>
        <v>2.9330522945167914E-3</v>
      </c>
      <c r="AL125" s="147">
        <f t="shared" si="68"/>
        <v>1.5611519999999999E-3</v>
      </c>
      <c r="AM125" s="147">
        <f t="shared" si="44"/>
        <v>1.3018918028206983E-4</v>
      </c>
      <c r="AN125" s="160">
        <f t="shared" si="69"/>
        <v>0</v>
      </c>
      <c r="AO125" s="161">
        <f t="shared" si="70"/>
        <v>51</v>
      </c>
      <c r="AP125" s="156">
        <f t="shared" si="45"/>
        <v>1.2492034264621252</v>
      </c>
      <c r="AQ125" s="152"/>
      <c r="AR125" s="162">
        <f t="shared" si="46"/>
        <v>952.64970690084135</v>
      </c>
      <c r="AS125" s="150">
        <f t="shared" si="71"/>
        <v>229.99999999999997</v>
      </c>
      <c r="AT125" s="163">
        <f t="shared" si="47"/>
        <v>63.70937474956839</v>
      </c>
      <c r="AU125" s="163">
        <f t="shared" si="48"/>
        <v>13.018918028206983</v>
      </c>
      <c r="AV125" s="163">
        <f t="shared" si="72"/>
        <v>3.2628179249462921</v>
      </c>
      <c r="AW125" s="163">
        <f t="shared" si="49"/>
        <v>0.14442259185090459</v>
      </c>
      <c r="AX125" s="163">
        <f t="shared" si="50"/>
        <v>0</v>
      </c>
      <c r="AY125" s="164">
        <f t="shared" si="73"/>
        <v>1109.3286546398629</v>
      </c>
      <c r="AZ125" s="164">
        <f>IF($E125="","",IF(OR(AND($D125=Input!$C$6,$C125=12),$AN125=1),0,-AS126+AT126+AU126-AV126-AW126-AX126+AZ126))</f>
        <v>1109.328682598634</v>
      </c>
      <c r="BA125" s="154">
        <f t="shared" si="51"/>
        <v>2.7958771170233376E-5</v>
      </c>
      <c r="BC125" s="147">
        <f t="shared" si="74"/>
        <v>0.56294896519521764</v>
      </c>
      <c r="BD125" s="164">
        <f>IF(AND($C124=12,$D124=Input!$C$6),0,IF($E125="","",AT125+(AU125+BD126)/(1+$AK125)*MIN((1-AM125-AN125),1)))</f>
        <v>2740.5008349481077</v>
      </c>
      <c r="BE125" s="164">
        <f t="shared" si="52"/>
        <v>1542.7621091506671</v>
      </c>
      <c r="BF125" s="164">
        <f t="shared" si="75"/>
        <v>1109.328682598634</v>
      </c>
      <c r="BG125" s="164">
        <f t="shared" si="53"/>
        <v>624.49543393027511</v>
      </c>
      <c r="BH125" s="152"/>
      <c r="BI125" s="162">
        <f t="shared" si="54"/>
        <v>609.96395801425433</v>
      </c>
      <c r="BJ125" s="150">
        <f t="shared" si="55"/>
        <v>229.99999999999997</v>
      </c>
      <c r="BK125" s="163">
        <f t="shared" si="79"/>
        <v>60.949720999737863</v>
      </c>
      <c r="BL125" s="163">
        <f t="shared" si="56"/>
        <v>11.928402964889173</v>
      </c>
      <c r="BM125" s="163">
        <f t="shared" si="80"/>
        <v>2.5475420510081115</v>
      </c>
      <c r="BN125" s="163">
        <f t="shared" si="57"/>
        <v>9.1815926483972979E-2</v>
      </c>
      <c r="BO125" s="163">
        <f t="shared" si="58"/>
        <v>0</v>
      </c>
      <c r="BP125" s="164">
        <f t="shared" si="81"/>
        <v>769.72519202711931</v>
      </c>
      <c r="BQ125" s="164">
        <f>IF($E125="","",IF(AND($D125=Input!$C$6,$C125=12),0,-BJ126+BK126+BL126-BM126-BN126-BO126+BQ126))</f>
        <v>769.72522435928659</v>
      </c>
      <c r="BR125" s="161">
        <f t="shared" si="59"/>
        <v>0</v>
      </c>
      <c r="BT125" s="147">
        <f t="shared" si="60"/>
        <v>0.56294896519521764</v>
      </c>
      <c r="BU125" s="164">
        <f>IF(AND($C124=12,$D124=Input!$C$6),0,IF($E125="","",BK125+(BL125+BU126)/(1+$AK125)*MIN((1-T125-U125),1)))</f>
        <v>4963.9528621862919</v>
      </c>
      <c r="BV125" s="164">
        <f t="shared" si="61"/>
        <v>2794.4521270456116</v>
      </c>
      <c r="BW125" s="164">
        <f t="shared" si="62"/>
        <v>769.72522435928659</v>
      </c>
      <c r="BX125" s="164">
        <f t="shared" si="63"/>
        <v>433.31601853771713</v>
      </c>
    </row>
    <row r="126" spans="1:76" s="150" customFormat="1" x14ac:dyDescent="0.25">
      <c r="A126" s="150">
        <f t="shared" si="76"/>
        <v>122</v>
      </c>
      <c r="B126" s="150">
        <f t="shared" si="77"/>
        <v>11</v>
      </c>
      <c r="C126" s="150">
        <f t="shared" si="78"/>
        <v>2</v>
      </c>
      <c r="D126" s="150">
        <f>IF(E126="","",Input!$C$4+B126-1)</f>
        <v>55</v>
      </c>
      <c r="E126" s="150">
        <f>IF(OR(AND(C125=12,D125=Input!$C$6),E125=""),"",1)</f>
        <v>1</v>
      </c>
      <c r="F126" s="150">
        <f>IF(E126="","",Input!$C$8+B126-1)</f>
        <v>2028</v>
      </c>
      <c r="G126" s="151">
        <f>IF(E126="","",MAX(0,Input!$C$9-B126))</f>
        <v>9</v>
      </c>
      <c r="H126" s="152">
        <f>IF(E126="","",Input!$C$3)</f>
        <v>100000</v>
      </c>
      <c r="I126" s="153">
        <f>IF(E126="","",HLOOKUP($B126,Input!$C$13:$BT$14,2))</f>
        <v>2.2999999999999998</v>
      </c>
      <c r="J126" s="154"/>
      <c r="K126" s="155">
        <f>IF($E126="","",INDEX(Input!$C$16:$CP$16,1,$B126))</f>
        <v>2.5270000000000001E-2</v>
      </c>
      <c r="L126" s="155">
        <f>IF($E126="","",Input!$C$37)</f>
        <v>1.4999999999999999E-2</v>
      </c>
      <c r="M126" s="155">
        <f t="shared" si="64"/>
        <v>4.027E-2</v>
      </c>
      <c r="N126" s="155">
        <f t="shared" si="65"/>
        <v>3.2954426413740467E-3</v>
      </c>
      <c r="O126" s="147">
        <f>IF($E126="","",MIN(VLOOKUP(IF($B126&lt;=Input!$C$7,$B126,26),'Mortality Tables'!$A$41:$CW$67,IF($B126&lt;=Input!$C$7+1,Input!$C$4+2,$D126-Input!$C$7+2),0)*IF(B126&gt;20,Input!$C$22,1)/1000,1))</f>
        <v>1.5039999999999999E-3</v>
      </c>
      <c r="P126" s="147">
        <f>IF($E126="","",MIN(VLOOKUP(IF($B126&lt;=Input!$C$7,$B126,26),'Mortality Tables'!$A$12:$CW$37,IF($B126&lt;=Input!$C$7+1,Input!$C$4+2,$D126-Input!$C$7+2),0)*IF(B126&gt;20,Input!$C$22,1)/1000,1))</f>
        <v>1.8799999999999999E-3</v>
      </c>
      <c r="Q126" s="155">
        <f>IF($E126="","",Input!$C$21)</f>
        <v>5.0000000000000001E-3</v>
      </c>
      <c r="R126" s="159">
        <f>IF($E126="","",(1-Q126)^($F126-Input!$C$20))</f>
        <v>0.95111013046577197</v>
      </c>
      <c r="S126" s="147">
        <f t="shared" si="41"/>
        <v>1.4304696362205209E-3</v>
      </c>
      <c r="T126" s="147">
        <f t="shared" si="42"/>
        <v>1.1928402964889173E-4</v>
      </c>
      <c r="U126" s="160">
        <f>IF($E126="","",IF($C126=12,INDEX(Input!$C$15:$CP$15,1,$B126),0))</f>
        <v>0</v>
      </c>
      <c r="V126" s="150">
        <f>IF(E126="","",IF(C126=1,IF($B126=1,Input!$C$33,Input!$C$34),0))</f>
        <v>0</v>
      </c>
      <c r="W126" s="156">
        <f>IF($E126="","",Input!$C$35)</f>
        <v>0.02</v>
      </c>
      <c r="X126" s="156">
        <f t="shared" si="43"/>
        <v>1.2189944199947573</v>
      </c>
      <c r="Y126" s="154"/>
      <c r="Z126" s="147">
        <f>IF($E126="","",VLOOKUP($D126,'Mortality Margins &amp; Grading'!$AB$5:$AF$125,3,0)*IF(Summary!$D$25="Included Margin",IF(AND($B126&gt;Input!$C$9,Summary!$D$31&lt;&gt;"Included Margin"),0,1),0))</f>
        <v>3.7999999999999999E-2</v>
      </c>
      <c r="AA126" s="147">
        <f>IF($E126="","",VLOOKUP($D126,'Mortality Margins &amp; Grading'!$AB$5:$AF$125,5,0)*IF(Summary!$D$25="Included Margin",IF(AND($B126&gt;Input!$C$9,Summary!$D$31&lt;&gt;"Included Margin"),0,1),0))</f>
        <v>0.192</v>
      </c>
      <c r="AB126" s="147">
        <f>IF($E126="","",IF(AND($B126&gt;Input!$C$9,Summary!$D$31&lt;&gt;"Included Margin"),1,IF(Summary!$D$25="Included Margin",VLOOKUP($B126,'Mortality Margins &amp; Grading'!$AI$5:$AR$125,MATCH('Mortality Margins &amp; Grading'!$AQ$4,'Mortality Margins &amp; Grading'!$AI$4:$AR$4,0),0),1)))</f>
        <v>1</v>
      </c>
      <c r="AC126" s="154"/>
      <c r="AD126" s="158">
        <f>IF(E126="","",Input!$C$48*IF(Summary!$D$30="Included Margin",IF(AND($B126&gt;Input!$C$9,Summary!$D$31&lt;&gt;"Included Margin"),0,1),0))</f>
        <v>-4.4999999999999997E-3</v>
      </c>
      <c r="AE126" s="159">
        <f>IF(E126="","",IF(Summary!$D$26="Included Margin",IF(AND($B126&gt;Input!$C$9,Summary!$D$31&lt;&gt;"Included Margin"),1,1/$R126),1))</f>
        <v>1.0514029532103564</v>
      </c>
      <c r="AF126" s="160">
        <f>IF(E126="","",IF(AND($B126&gt;=Input!$C$9,$C126=12,Summary!$D$31="Included Margin",$U126&gt;0),1/U126-1,IF($B126&gt;=Input!$C$9,0,Input!$C$45*IF(Summary!$D$27="Included Margin",1,0))))</f>
        <v>-0.1</v>
      </c>
      <c r="AG126" s="160">
        <f>IF(E126="","",Input!$C$46*IF(Summary!$D$28="Included Margin",IF(AND($B126&gt;Input!$C$9,Summary!$D$31&lt;&gt;"Included Margin"),0,1),0))</f>
        <v>0.02</v>
      </c>
      <c r="AH126" s="158">
        <f>IF(E126="","",Input!$C$47*IF(Summary!$D$29="Included Margin",IF(AND($B126&gt;Input!$C$9,Summary!$D$31&lt;&gt;"Included Margin"),0,1),0))</f>
        <v>2.5000000000000001E-3</v>
      </c>
      <c r="AI126" s="154"/>
      <c r="AJ126" s="158">
        <f t="shared" si="66"/>
        <v>3.5770000000000003E-2</v>
      </c>
      <c r="AK126" s="155">
        <f t="shared" si="67"/>
        <v>2.9330522945167914E-3</v>
      </c>
      <c r="AL126" s="147">
        <f t="shared" si="68"/>
        <v>1.5611519999999999E-3</v>
      </c>
      <c r="AM126" s="147">
        <f t="shared" si="44"/>
        <v>1.3018918028206983E-4</v>
      </c>
      <c r="AN126" s="160">
        <f t="shared" si="69"/>
        <v>0</v>
      </c>
      <c r="AO126" s="161">
        <f t="shared" si="70"/>
        <v>0</v>
      </c>
      <c r="AP126" s="156">
        <f t="shared" si="45"/>
        <v>1.2492034264621252</v>
      </c>
      <c r="AQ126" s="152"/>
      <c r="AR126" s="162">
        <f t="shared" si="46"/>
        <v>1109.3286546398629</v>
      </c>
      <c r="AS126" s="150">
        <f t="shared" si="71"/>
        <v>0</v>
      </c>
      <c r="AT126" s="163">
        <f t="shared" si="47"/>
        <v>0</v>
      </c>
      <c r="AU126" s="163">
        <f t="shared" si="48"/>
        <v>13.018918028206983</v>
      </c>
      <c r="AV126" s="163">
        <f t="shared" si="72"/>
        <v>3.2346263721672961</v>
      </c>
      <c r="AW126" s="163">
        <f t="shared" si="49"/>
        <v>0.14316742178984998</v>
      </c>
      <c r="AX126" s="163">
        <f t="shared" si="50"/>
        <v>0</v>
      </c>
      <c r="AY126" s="164">
        <f t="shared" si="73"/>
        <v>1099.687530405613</v>
      </c>
      <c r="AZ126" s="164">
        <f>IF($E126="","",IF(OR(AND($D126=Input!$C$6,$C126=12),$AN126=1),0,-AS127+AT127+AU127-AV127-AW127-AX127+AZ127))</f>
        <v>1099.6875583643841</v>
      </c>
      <c r="BA126" s="154">
        <f t="shared" si="51"/>
        <v>2.7958771170233376E-5</v>
      </c>
      <c r="BC126" s="147">
        <f t="shared" si="74"/>
        <v>0.56288181437416251</v>
      </c>
      <c r="BD126" s="164">
        <f>IF(AND($C125=12,$D125=Input!$C$6),0,IF($E126="","",AT126+(AU126+BD127)/(1+$AK126)*MIN((1-AM126-AN126),1)))</f>
        <v>2671.9732684364303</v>
      </c>
      <c r="BE126" s="164">
        <f t="shared" si="52"/>
        <v>1504.0051612967591</v>
      </c>
      <c r="BF126" s="164">
        <f t="shared" si="75"/>
        <v>1099.6875583643841</v>
      </c>
      <c r="BG126" s="164">
        <f t="shared" si="53"/>
        <v>618.99412809683724</v>
      </c>
      <c r="BH126" s="152"/>
      <c r="BI126" s="162">
        <f t="shared" si="54"/>
        <v>769.72519202711931</v>
      </c>
      <c r="BJ126" s="150">
        <f t="shared" si="55"/>
        <v>0</v>
      </c>
      <c r="BK126" s="163">
        <f t="shared" si="79"/>
        <v>0</v>
      </c>
      <c r="BL126" s="163">
        <f t="shared" si="56"/>
        <v>11.928402964889173</v>
      </c>
      <c r="BM126" s="163">
        <f t="shared" si="80"/>
        <v>2.5169305360590015</v>
      </c>
      <c r="BN126" s="163">
        <f t="shared" si="57"/>
        <v>9.0704107679202367E-2</v>
      </c>
      <c r="BO126" s="163">
        <f t="shared" si="58"/>
        <v>0</v>
      </c>
      <c r="BP126" s="164">
        <f t="shared" si="81"/>
        <v>760.40442370596838</v>
      </c>
      <c r="BQ126" s="164">
        <f>IF($E126="","",IF(AND($D126=Input!$C$6,$C126=12),0,-BJ127+BK127+BL127-BM127-BN127-BO127+BQ127))</f>
        <v>760.40445603813566</v>
      </c>
      <c r="BR126" s="161">
        <f t="shared" si="59"/>
        <v>0</v>
      </c>
      <c r="BT126" s="147">
        <f t="shared" si="60"/>
        <v>0.56288181437416251</v>
      </c>
      <c r="BU126" s="164">
        <f>IF(AND($C125=12,$D125=Input!$C$6),0,IF($E126="","",BK126+(BL126+BU127)/(1+$AK126)*MIN((1-T126-U126),1)))</f>
        <v>4906.0421381787874</v>
      </c>
      <c r="BV126" s="164">
        <f t="shared" si="61"/>
        <v>2761.5219001341716</v>
      </c>
      <c r="BW126" s="164">
        <f t="shared" si="62"/>
        <v>760.40445603813566</v>
      </c>
      <c r="BX126" s="164">
        <f t="shared" si="63"/>
        <v>428.01783987294391</v>
      </c>
    </row>
    <row r="127" spans="1:76" s="150" customFormat="1" x14ac:dyDescent="0.25">
      <c r="A127" s="150">
        <f t="shared" si="76"/>
        <v>123</v>
      </c>
      <c r="B127" s="150">
        <f t="shared" si="77"/>
        <v>11</v>
      </c>
      <c r="C127" s="150">
        <f t="shared" si="78"/>
        <v>3</v>
      </c>
      <c r="D127" s="150">
        <f>IF(E127="","",Input!$C$4+B127-1)</f>
        <v>55</v>
      </c>
      <c r="E127" s="150">
        <f>IF(OR(AND(C126=12,D126=Input!$C$6),E126=""),"",1)</f>
        <v>1</v>
      </c>
      <c r="F127" s="150">
        <f>IF(E127="","",Input!$C$8+B127-1)</f>
        <v>2028</v>
      </c>
      <c r="G127" s="151">
        <f>IF(E127="","",MAX(0,Input!$C$9-B127))</f>
        <v>9</v>
      </c>
      <c r="H127" s="152">
        <f>IF(E127="","",Input!$C$3)</f>
        <v>100000</v>
      </c>
      <c r="I127" s="153">
        <f>IF(E127="","",HLOOKUP($B127,Input!$C$13:$BT$14,2))</f>
        <v>2.2999999999999998</v>
      </c>
      <c r="J127" s="154"/>
      <c r="K127" s="155">
        <f>IF($E127="","",INDEX(Input!$C$16:$CP$16,1,$B127))</f>
        <v>2.5270000000000001E-2</v>
      </c>
      <c r="L127" s="155">
        <f>IF($E127="","",Input!$C$37)</f>
        <v>1.4999999999999999E-2</v>
      </c>
      <c r="M127" s="155">
        <f t="shared" si="64"/>
        <v>4.027E-2</v>
      </c>
      <c r="N127" s="155">
        <f t="shared" si="65"/>
        <v>3.2954426413740467E-3</v>
      </c>
      <c r="O127" s="147">
        <f>IF($E127="","",MIN(VLOOKUP(IF($B127&lt;=Input!$C$7,$B127,26),'Mortality Tables'!$A$41:$CW$67,IF($B127&lt;=Input!$C$7+1,Input!$C$4+2,$D127-Input!$C$7+2),0)*IF(B127&gt;20,Input!$C$22,1)/1000,1))</f>
        <v>1.5039999999999999E-3</v>
      </c>
      <c r="P127" s="147">
        <f>IF($E127="","",MIN(VLOOKUP(IF($B127&lt;=Input!$C$7,$B127,26),'Mortality Tables'!$A$12:$CW$37,IF($B127&lt;=Input!$C$7+1,Input!$C$4+2,$D127-Input!$C$7+2),0)*IF(B127&gt;20,Input!$C$22,1)/1000,1))</f>
        <v>1.8799999999999999E-3</v>
      </c>
      <c r="Q127" s="155">
        <f>IF($E127="","",Input!$C$21)</f>
        <v>5.0000000000000001E-3</v>
      </c>
      <c r="R127" s="159">
        <f>IF($E127="","",(1-Q127)^($F127-Input!$C$20))</f>
        <v>0.95111013046577197</v>
      </c>
      <c r="S127" s="147">
        <f t="shared" si="41"/>
        <v>1.4304696362205209E-3</v>
      </c>
      <c r="T127" s="147">
        <f t="shared" si="42"/>
        <v>1.1928402964889173E-4</v>
      </c>
      <c r="U127" s="160">
        <f>IF($E127="","",IF($C127=12,INDEX(Input!$C$15:$CP$15,1,$B127),0))</f>
        <v>0</v>
      </c>
      <c r="V127" s="150">
        <f>IF(E127="","",IF(C127=1,IF($B127=1,Input!$C$33,Input!$C$34),0))</f>
        <v>0</v>
      </c>
      <c r="W127" s="156">
        <f>IF($E127="","",Input!$C$35)</f>
        <v>0.02</v>
      </c>
      <c r="X127" s="156">
        <f t="shared" si="43"/>
        <v>1.2189944199947573</v>
      </c>
      <c r="Y127" s="154"/>
      <c r="Z127" s="147">
        <f>IF($E127="","",VLOOKUP($D127,'Mortality Margins &amp; Grading'!$AB$5:$AF$125,3,0)*IF(Summary!$D$25="Included Margin",IF(AND($B127&gt;Input!$C$9,Summary!$D$31&lt;&gt;"Included Margin"),0,1),0))</f>
        <v>3.7999999999999999E-2</v>
      </c>
      <c r="AA127" s="147">
        <f>IF($E127="","",VLOOKUP($D127,'Mortality Margins &amp; Grading'!$AB$5:$AF$125,5,0)*IF(Summary!$D$25="Included Margin",IF(AND($B127&gt;Input!$C$9,Summary!$D$31&lt;&gt;"Included Margin"),0,1),0))</f>
        <v>0.192</v>
      </c>
      <c r="AB127" s="147">
        <f>IF($E127="","",IF(AND($B127&gt;Input!$C$9,Summary!$D$31&lt;&gt;"Included Margin"),1,IF(Summary!$D$25="Included Margin",VLOOKUP($B127,'Mortality Margins &amp; Grading'!$AI$5:$AR$125,MATCH('Mortality Margins &amp; Grading'!$AQ$4,'Mortality Margins &amp; Grading'!$AI$4:$AR$4,0),0),1)))</f>
        <v>1</v>
      </c>
      <c r="AC127" s="154"/>
      <c r="AD127" s="158">
        <f>IF(E127="","",Input!$C$48*IF(Summary!$D$30="Included Margin",IF(AND($B127&gt;Input!$C$9,Summary!$D$31&lt;&gt;"Included Margin"),0,1),0))</f>
        <v>-4.4999999999999997E-3</v>
      </c>
      <c r="AE127" s="159">
        <f>IF(E127="","",IF(Summary!$D$26="Included Margin",IF(AND($B127&gt;Input!$C$9,Summary!$D$31&lt;&gt;"Included Margin"),1,1/$R127),1))</f>
        <v>1.0514029532103564</v>
      </c>
      <c r="AF127" s="160">
        <f>IF(E127="","",IF(AND($B127&gt;=Input!$C$9,$C127=12,Summary!$D$31="Included Margin",$U127&gt;0),1/U127-1,IF($B127&gt;=Input!$C$9,0,Input!$C$45*IF(Summary!$D$27="Included Margin",1,0))))</f>
        <v>-0.1</v>
      </c>
      <c r="AG127" s="160">
        <f>IF(E127="","",Input!$C$46*IF(Summary!$D$28="Included Margin",IF(AND($B127&gt;Input!$C$9,Summary!$D$31&lt;&gt;"Included Margin"),0,1),0))</f>
        <v>0.02</v>
      </c>
      <c r="AH127" s="158">
        <f>IF(E127="","",Input!$C$47*IF(Summary!$D$29="Included Margin",IF(AND($B127&gt;Input!$C$9,Summary!$D$31&lt;&gt;"Included Margin"),0,1),0))</f>
        <v>2.5000000000000001E-3</v>
      </c>
      <c r="AI127" s="154"/>
      <c r="AJ127" s="158">
        <f t="shared" si="66"/>
        <v>3.5770000000000003E-2</v>
      </c>
      <c r="AK127" s="155">
        <f t="shared" si="67"/>
        <v>2.9330522945167914E-3</v>
      </c>
      <c r="AL127" s="147">
        <f t="shared" si="68"/>
        <v>1.5611519999999999E-3</v>
      </c>
      <c r="AM127" s="147">
        <f t="shared" si="44"/>
        <v>1.3018918028206983E-4</v>
      </c>
      <c r="AN127" s="160">
        <f t="shared" si="69"/>
        <v>0</v>
      </c>
      <c r="AO127" s="161">
        <f t="shared" si="70"/>
        <v>0</v>
      </c>
      <c r="AP127" s="156">
        <f t="shared" si="45"/>
        <v>1.2492034264621252</v>
      </c>
      <c r="AQ127" s="152"/>
      <c r="AR127" s="162">
        <f t="shared" si="46"/>
        <v>1099.6875304056132</v>
      </c>
      <c r="AS127" s="150">
        <f t="shared" si="71"/>
        <v>0</v>
      </c>
      <c r="AT127" s="163">
        <f t="shared" si="47"/>
        <v>0</v>
      </c>
      <c r="AU127" s="163">
        <f t="shared" si="48"/>
        <v>13.018918028206983</v>
      </c>
      <c r="AV127" s="163">
        <f t="shared" si="72"/>
        <v>3.2063484506103084</v>
      </c>
      <c r="AW127" s="163">
        <f t="shared" si="49"/>
        <v>0.14190840633917834</v>
      </c>
      <c r="AX127" s="163">
        <f t="shared" si="50"/>
        <v>0</v>
      </c>
      <c r="AY127" s="164">
        <f t="shared" si="73"/>
        <v>1090.0168692343555</v>
      </c>
      <c r="AZ127" s="164">
        <f>IF($E127="","",IF(OR(AND($D127=Input!$C$6,$C127=12),$AN127=1),0,-AS128+AT128+AU128-AV128-AW128-AX128+AZ128))</f>
        <v>1090.0168971931266</v>
      </c>
      <c r="BA127" s="154">
        <f t="shared" si="51"/>
        <v>2.7958771170233376E-5</v>
      </c>
      <c r="BC127" s="147">
        <f t="shared" si="74"/>
        <v>0.56281467156312792</v>
      </c>
      <c r="BD127" s="164">
        <f>IF(AND($C126=12,$D126=Input!$C$6),0,IF($E127="","",AT127+(AU127+BD128)/(1+$AK127)*MIN((1-AM127-AN127),1)))</f>
        <v>2667.1403154677328</v>
      </c>
      <c r="BE127" s="164">
        <f t="shared" si="52"/>
        <v>1501.1057006627493</v>
      </c>
      <c r="BF127" s="164">
        <f t="shared" si="75"/>
        <v>1090.0168971931266</v>
      </c>
      <c r="BG127" s="164">
        <f t="shared" si="53"/>
        <v>613.47750199200937</v>
      </c>
      <c r="BH127" s="152"/>
      <c r="BI127" s="162">
        <f t="shared" si="54"/>
        <v>760.40442370596838</v>
      </c>
      <c r="BJ127" s="150">
        <f t="shared" si="55"/>
        <v>0</v>
      </c>
      <c r="BK127" s="163">
        <f t="shared" si="79"/>
        <v>0</v>
      </c>
      <c r="BL127" s="163">
        <f t="shared" si="56"/>
        <v>11.928402964889173</v>
      </c>
      <c r="BM127" s="163">
        <f t="shared" si="80"/>
        <v>2.4862144786831122</v>
      </c>
      <c r="BN127" s="163">
        <f t="shared" si="57"/>
        <v>8.9588491864183065E-2</v>
      </c>
      <c r="BO127" s="163">
        <f t="shared" si="58"/>
        <v>0</v>
      </c>
      <c r="BP127" s="164">
        <f t="shared" si="81"/>
        <v>751.05182371162653</v>
      </c>
      <c r="BQ127" s="164">
        <f>IF($E127="","",IF(AND($D127=Input!$C$6,$C127=12),0,-BJ128+BK128+BL128-BM128-BN128-BO128+BQ128))</f>
        <v>751.0518560437938</v>
      </c>
      <c r="BR127" s="161">
        <f t="shared" si="59"/>
        <v>0</v>
      </c>
      <c r="BT127" s="147">
        <f t="shared" si="60"/>
        <v>0.56281467156312792</v>
      </c>
      <c r="BU127" s="164">
        <f>IF(AND($C126=12,$D126=Input!$C$6),0,IF($E127="","",BK127+(BL127+BU128)/(1+$AK127)*MIN((1-T127-U127),1)))</f>
        <v>4909.0904123185446</v>
      </c>
      <c r="BV127" s="164">
        <f t="shared" si="61"/>
        <v>2762.9081080827618</v>
      </c>
      <c r="BW127" s="164">
        <f t="shared" si="62"/>
        <v>751.0518560437938</v>
      </c>
      <c r="BX127" s="164">
        <f t="shared" si="63"/>
        <v>422.70300368616546</v>
      </c>
    </row>
    <row r="128" spans="1:76" s="150" customFormat="1" x14ac:dyDescent="0.25">
      <c r="A128" s="150">
        <f t="shared" si="76"/>
        <v>124</v>
      </c>
      <c r="B128" s="150">
        <f t="shared" si="77"/>
        <v>11</v>
      </c>
      <c r="C128" s="150">
        <f t="shared" si="78"/>
        <v>4</v>
      </c>
      <c r="D128" s="150">
        <f>IF(E128="","",Input!$C$4+B128-1)</f>
        <v>55</v>
      </c>
      <c r="E128" s="150">
        <f>IF(OR(AND(C127=12,D127=Input!$C$6),E127=""),"",1)</f>
        <v>1</v>
      </c>
      <c r="F128" s="150">
        <f>IF(E128="","",Input!$C$8+B128-1)</f>
        <v>2028</v>
      </c>
      <c r="G128" s="151">
        <f>IF(E128="","",MAX(0,Input!$C$9-B128))</f>
        <v>9</v>
      </c>
      <c r="H128" s="152">
        <f>IF(E128="","",Input!$C$3)</f>
        <v>100000</v>
      </c>
      <c r="I128" s="153">
        <f>IF(E128="","",HLOOKUP($B128,Input!$C$13:$BT$14,2))</f>
        <v>2.2999999999999998</v>
      </c>
      <c r="J128" s="154"/>
      <c r="K128" s="155">
        <f>IF($E128="","",INDEX(Input!$C$16:$CP$16,1,$B128))</f>
        <v>2.5270000000000001E-2</v>
      </c>
      <c r="L128" s="155">
        <f>IF($E128="","",Input!$C$37)</f>
        <v>1.4999999999999999E-2</v>
      </c>
      <c r="M128" s="155">
        <f t="shared" si="64"/>
        <v>4.027E-2</v>
      </c>
      <c r="N128" s="155">
        <f t="shared" si="65"/>
        <v>3.2954426413740467E-3</v>
      </c>
      <c r="O128" s="147">
        <f>IF($E128="","",MIN(VLOOKUP(IF($B128&lt;=Input!$C$7,$B128,26),'Mortality Tables'!$A$41:$CW$67,IF($B128&lt;=Input!$C$7+1,Input!$C$4+2,$D128-Input!$C$7+2),0)*IF(B128&gt;20,Input!$C$22,1)/1000,1))</f>
        <v>1.5039999999999999E-3</v>
      </c>
      <c r="P128" s="147">
        <f>IF($E128="","",MIN(VLOOKUP(IF($B128&lt;=Input!$C$7,$B128,26),'Mortality Tables'!$A$12:$CW$37,IF($B128&lt;=Input!$C$7+1,Input!$C$4+2,$D128-Input!$C$7+2),0)*IF(B128&gt;20,Input!$C$22,1)/1000,1))</f>
        <v>1.8799999999999999E-3</v>
      </c>
      <c r="Q128" s="155">
        <f>IF($E128="","",Input!$C$21)</f>
        <v>5.0000000000000001E-3</v>
      </c>
      <c r="R128" s="159">
        <f>IF($E128="","",(1-Q128)^($F128-Input!$C$20))</f>
        <v>0.95111013046577197</v>
      </c>
      <c r="S128" s="147">
        <f t="shared" si="41"/>
        <v>1.4304696362205209E-3</v>
      </c>
      <c r="T128" s="147">
        <f t="shared" si="42"/>
        <v>1.1928402964889173E-4</v>
      </c>
      <c r="U128" s="160">
        <f>IF($E128="","",IF($C128=12,INDEX(Input!$C$15:$CP$15,1,$B128),0))</f>
        <v>0</v>
      </c>
      <c r="V128" s="150">
        <f>IF(E128="","",IF(C128=1,IF($B128=1,Input!$C$33,Input!$C$34),0))</f>
        <v>0</v>
      </c>
      <c r="W128" s="156">
        <f>IF($E128="","",Input!$C$35)</f>
        <v>0.02</v>
      </c>
      <c r="X128" s="156">
        <f t="shared" si="43"/>
        <v>1.2189944199947573</v>
      </c>
      <c r="Y128" s="154"/>
      <c r="Z128" s="147">
        <f>IF($E128="","",VLOOKUP($D128,'Mortality Margins &amp; Grading'!$AB$5:$AF$125,3,0)*IF(Summary!$D$25="Included Margin",IF(AND($B128&gt;Input!$C$9,Summary!$D$31&lt;&gt;"Included Margin"),0,1),0))</f>
        <v>3.7999999999999999E-2</v>
      </c>
      <c r="AA128" s="147">
        <f>IF($E128="","",VLOOKUP($D128,'Mortality Margins &amp; Grading'!$AB$5:$AF$125,5,0)*IF(Summary!$D$25="Included Margin",IF(AND($B128&gt;Input!$C$9,Summary!$D$31&lt;&gt;"Included Margin"),0,1),0))</f>
        <v>0.192</v>
      </c>
      <c r="AB128" s="147">
        <f>IF($E128="","",IF(AND($B128&gt;Input!$C$9,Summary!$D$31&lt;&gt;"Included Margin"),1,IF(Summary!$D$25="Included Margin",VLOOKUP($B128,'Mortality Margins &amp; Grading'!$AI$5:$AR$125,MATCH('Mortality Margins &amp; Grading'!$AQ$4,'Mortality Margins &amp; Grading'!$AI$4:$AR$4,0),0),1)))</f>
        <v>1</v>
      </c>
      <c r="AC128" s="154"/>
      <c r="AD128" s="158">
        <f>IF(E128="","",Input!$C$48*IF(Summary!$D$30="Included Margin",IF(AND($B128&gt;Input!$C$9,Summary!$D$31&lt;&gt;"Included Margin"),0,1),0))</f>
        <v>-4.4999999999999997E-3</v>
      </c>
      <c r="AE128" s="159">
        <f>IF(E128="","",IF(Summary!$D$26="Included Margin",IF(AND($B128&gt;Input!$C$9,Summary!$D$31&lt;&gt;"Included Margin"),1,1/$R128),1))</f>
        <v>1.0514029532103564</v>
      </c>
      <c r="AF128" s="160">
        <f>IF(E128="","",IF(AND($B128&gt;=Input!$C$9,$C128=12,Summary!$D$31="Included Margin",$U128&gt;0),1/U128-1,IF($B128&gt;=Input!$C$9,0,Input!$C$45*IF(Summary!$D$27="Included Margin",1,0))))</f>
        <v>-0.1</v>
      </c>
      <c r="AG128" s="160">
        <f>IF(E128="","",Input!$C$46*IF(Summary!$D$28="Included Margin",IF(AND($B128&gt;Input!$C$9,Summary!$D$31&lt;&gt;"Included Margin"),0,1),0))</f>
        <v>0.02</v>
      </c>
      <c r="AH128" s="158">
        <f>IF(E128="","",Input!$C$47*IF(Summary!$D$29="Included Margin",IF(AND($B128&gt;Input!$C$9,Summary!$D$31&lt;&gt;"Included Margin"),0,1),0))</f>
        <v>2.5000000000000001E-3</v>
      </c>
      <c r="AI128" s="154"/>
      <c r="AJ128" s="158">
        <f t="shared" si="66"/>
        <v>3.5770000000000003E-2</v>
      </c>
      <c r="AK128" s="155">
        <f t="shared" si="67"/>
        <v>2.9330522945167914E-3</v>
      </c>
      <c r="AL128" s="147">
        <f t="shared" si="68"/>
        <v>1.5611519999999999E-3</v>
      </c>
      <c r="AM128" s="147">
        <f t="shared" si="44"/>
        <v>1.3018918028206983E-4</v>
      </c>
      <c r="AN128" s="160">
        <f t="shared" si="69"/>
        <v>0</v>
      </c>
      <c r="AO128" s="161">
        <f t="shared" si="70"/>
        <v>0</v>
      </c>
      <c r="AP128" s="156">
        <f t="shared" si="45"/>
        <v>1.2492034264621252</v>
      </c>
      <c r="AQ128" s="152"/>
      <c r="AR128" s="162">
        <f t="shared" si="46"/>
        <v>1090.0168692343555</v>
      </c>
      <c r="AS128" s="150">
        <f t="shared" si="71"/>
        <v>0</v>
      </c>
      <c r="AT128" s="163">
        <f t="shared" si="47"/>
        <v>0</v>
      </c>
      <c r="AU128" s="163">
        <f t="shared" si="48"/>
        <v>13.018918028206983</v>
      </c>
      <c r="AV128" s="163">
        <f t="shared" si="72"/>
        <v>3.1779838956724564</v>
      </c>
      <c r="AW128" s="163">
        <f t="shared" si="49"/>
        <v>0.1406455337179989</v>
      </c>
      <c r="AX128" s="163">
        <f t="shared" si="50"/>
        <v>0</v>
      </c>
      <c r="AY128" s="164">
        <f t="shared" si="73"/>
        <v>1080.3165806355389</v>
      </c>
      <c r="AZ128" s="164">
        <f>IF($E128="","",IF(OR(AND($D128=Input!$C$6,$C128=12),$AN128=1),0,-AS129+AT129+AU129-AV129-AW129-AX129+AZ129))</f>
        <v>1080.3166085943101</v>
      </c>
      <c r="BA128" s="154">
        <f t="shared" si="51"/>
        <v>2.7958771170233376E-5</v>
      </c>
      <c r="BC128" s="147">
        <f t="shared" si="74"/>
        <v>0.56274753676115841</v>
      </c>
      <c r="BD128" s="164">
        <f>IF(AND($C127=12,$D127=Input!$C$6),0,IF($E128="","",AT128+(AU128+BD129)/(1+$AK128)*MIN((1-AM128-AN128),1)))</f>
        <v>2662.2925560694189</v>
      </c>
      <c r="BE128" s="164">
        <f t="shared" si="52"/>
        <v>1498.1985780656337</v>
      </c>
      <c r="BF128" s="164">
        <f t="shared" si="75"/>
        <v>1080.3166085943101</v>
      </c>
      <c r="BG128" s="164">
        <f t="shared" si="53"/>
        <v>607.94551040861654</v>
      </c>
      <c r="BH128" s="152"/>
      <c r="BI128" s="162">
        <f t="shared" si="54"/>
        <v>751.05182371162653</v>
      </c>
      <c r="BJ128" s="150">
        <f t="shared" si="55"/>
        <v>0</v>
      </c>
      <c r="BK128" s="163">
        <f t="shared" si="79"/>
        <v>0</v>
      </c>
      <c r="BL128" s="163">
        <f t="shared" si="56"/>
        <v>11.928402964889173</v>
      </c>
      <c r="BM128" s="163">
        <f t="shared" si="80"/>
        <v>2.4553935218540435</v>
      </c>
      <c r="BN128" s="163">
        <f t="shared" si="57"/>
        <v>8.8469066071616129E-2</v>
      </c>
      <c r="BO128" s="163">
        <f t="shared" si="58"/>
        <v>0</v>
      </c>
      <c r="BP128" s="164">
        <f t="shared" si="81"/>
        <v>741.66728333466301</v>
      </c>
      <c r="BQ128" s="164">
        <f>IF($E128="","",IF(AND($D128=Input!$C$6,$C128=12),0,-BJ129+BK129+BL129-BM129-BN129-BO129+BQ129))</f>
        <v>741.66731566683029</v>
      </c>
      <c r="BR128" s="161">
        <f t="shared" si="59"/>
        <v>0</v>
      </c>
      <c r="BT128" s="147">
        <f t="shared" si="60"/>
        <v>0.56274753676115841</v>
      </c>
      <c r="BU128" s="164">
        <f>IF(AND($C127=12,$D127=Input!$C$6),0,IF($E128="","",BK128+(BL128+BU129)/(1+$AK128)*MIN((1-T128-U128),1)))</f>
        <v>4912.1479919261783</v>
      </c>
      <c r="BV128" s="164">
        <f t="shared" si="61"/>
        <v>2764.2991826627276</v>
      </c>
      <c r="BW128" s="164">
        <f t="shared" si="62"/>
        <v>741.66731566683029</v>
      </c>
      <c r="BX128" s="164">
        <f t="shared" si="63"/>
        <v>417.37145498776925</v>
      </c>
    </row>
    <row r="129" spans="1:76" s="150" customFormat="1" x14ac:dyDescent="0.25">
      <c r="A129" s="150">
        <f t="shared" si="76"/>
        <v>125</v>
      </c>
      <c r="B129" s="150">
        <f t="shared" si="77"/>
        <v>11</v>
      </c>
      <c r="C129" s="150">
        <f t="shared" si="78"/>
        <v>5</v>
      </c>
      <c r="D129" s="150">
        <f>IF(E129="","",Input!$C$4+B129-1)</f>
        <v>55</v>
      </c>
      <c r="E129" s="150">
        <f>IF(OR(AND(C128=12,D128=Input!$C$6),E128=""),"",1)</f>
        <v>1</v>
      </c>
      <c r="F129" s="150">
        <f>IF(E129="","",Input!$C$8+B129-1)</f>
        <v>2028</v>
      </c>
      <c r="G129" s="151">
        <f>IF(E129="","",MAX(0,Input!$C$9-B129))</f>
        <v>9</v>
      </c>
      <c r="H129" s="152">
        <f>IF(E129="","",Input!$C$3)</f>
        <v>100000</v>
      </c>
      <c r="I129" s="153">
        <f>IF(E129="","",HLOOKUP($B129,Input!$C$13:$BT$14,2))</f>
        <v>2.2999999999999998</v>
      </c>
      <c r="J129" s="154"/>
      <c r="K129" s="155">
        <f>IF($E129="","",INDEX(Input!$C$16:$CP$16,1,$B129))</f>
        <v>2.5270000000000001E-2</v>
      </c>
      <c r="L129" s="155">
        <f>IF($E129="","",Input!$C$37)</f>
        <v>1.4999999999999999E-2</v>
      </c>
      <c r="M129" s="155">
        <f t="shared" si="64"/>
        <v>4.027E-2</v>
      </c>
      <c r="N129" s="155">
        <f t="shared" si="65"/>
        <v>3.2954426413740467E-3</v>
      </c>
      <c r="O129" s="147">
        <f>IF($E129="","",MIN(VLOOKUP(IF($B129&lt;=Input!$C$7,$B129,26),'Mortality Tables'!$A$41:$CW$67,IF($B129&lt;=Input!$C$7+1,Input!$C$4+2,$D129-Input!$C$7+2),0)*IF(B129&gt;20,Input!$C$22,1)/1000,1))</f>
        <v>1.5039999999999999E-3</v>
      </c>
      <c r="P129" s="147">
        <f>IF($E129="","",MIN(VLOOKUP(IF($B129&lt;=Input!$C$7,$B129,26),'Mortality Tables'!$A$12:$CW$37,IF($B129&lt;=Input!$C$7+1,Input!$C$4+2,$D129-Input!$C$7+2),0)*IF(B129&gt;20,Input!$C$22,1)/1000,1))</f>
        <v>1.8799999999999999E-3</v>
      </c>
      <c r="Q129" s="155">
        <f>IF($E129="","",Input!$C$21)</f>
        <v>5.0000000000000001E-3</v>
      </c>
      <c r="R129" s="159">
        <f>IF($E129="","",(1-Q129)^($F129-Input!$C$20))</f>
        <v>0.95111013046577197</v>
      </c>
      <c r="S129" s="147">
        <f t="shared" si="41"/>
        <v>1.4304696362205209E-3</v>
      </c>
      <c r="T129" s="147">
        <f t="shared" si="42"/>
        <v>1.1928402964889173E-4</v>
      </c>
      <c r="U129" s="160">
        <f>IF($E129="","",IF($C129=12,INDEX(Input!$C$15:$CP$15,1,$B129),0))</f>
        <v>0</v>
      </c>
      <c r="V129" s="150">
        <f>IF(E129="","",IF(C129=1,IF($B129=1,Input!$C$33,Input!$C$34),0))</f>
        <v>0</v>
      </c>
      <c r="W129" s="156">
        <f>IF($E129="","",Input!$C$35)</f>
        <v>0.02</v>
      </c>
      <c r="X129" s="156">
        <f t="shared" si="43"/>
        <v>1.2189944199947573</v>
      </c>
      <c r="Y129" s="154"/>
      <c r="Z129" s="147">
        <f>IF($E129="","",VLOOKUP($D129,'Mortality Margins &amp; Grading'!$AB$5:$AF$125,3,0)*IF(Summary!$D$25="Included Margin",IF(AND($B129&gt;Input!$C$9,Summary!$D$31&lt;&gt;"Included Margin"),0,1),0))</f>
        <v>3.7999999999999999E-2</v>
      </c>
      <c r="AA129" s="147">
        <f>IF($E129="","",VLOOKUP($D129,'Mortality Margins &amp; Grading'!$AB$5:$AF$125,5,0)*IF(Summary!$D$25="Included Margin",IF(AND($B129&gt;Input!$C$9,Summary!$D$31&lt;&gt;"Included Margin"),0,1),0))</f>
        <v>0.192</v>
      </c>
      <c r="AB129" s="147">
        <f>IF($E129="","",IF(AND($B129&gt;Input!$C$9,Summary!$D$31&lt;&gt;"Included Margin"),1,IF(Summary!$D$25="Included Margin",VLOOKUP($B129,'Mortality Margins &amp; Grading'!$AI$5:$AR$125,MATCH('Mortality Margins &amp; Grading'!$AQ$4,'Mortality Margins &amp; Grading'!$AI$4:$AR$4,0),0),1)))</f>
        <v>1</v>
      </c>
      <c r="AC129" s="154"/>
      <c r="AD129" s="158">
        <f>IF(E129="","",Input!$C$48*IF(Summary!$D$30="Included Margin",IF(AND($B129&gt;Input!$C$9,Summary!$D$31&lt;&gt;"Included Margin"),0,1),0))</f>
        <v>-4.4999999999999997E-3</v>
      </c>
      <c r="AE129" s="159">
        <f>IF(E129="","",IF(Summary!$D$26="Included Margin",IF(AND($B129&gt;Input!$C$9,Summary!$D$31&lt;&gt;"Included Margin"),1,1/$R129),1))</f>
        <v>1.0514029532103564</v>
      </c>
      <c r="AF129" s="160">
        <f>IF(E129="","",IF(AND($B129&gt;=Input!$C$9,$C129=12,Summary!$D$31="Included Margin",$U129&gt;0),1/U129-1,IF($B129&gt;=Input!$C$9,0,Input!$C$45*IF(Summary!$D$27="Included Margin",1,0))))</f>
        <v>-0.1</v>
      </c>
      <c r="AG129" s="160">
        <f>IF(E129="","",Input!$C$46*IF(Summary!$D$28="Included Margin",IF(AND($B129&gt;Input!$C$9,Summary!$D$31&lt;&gt;"Included Margin"),0,1),0))</f>
        <v>0.02</v>
      </c>
      <c r="AH129" s="158">
        <f>IF(E129="","",Input!$C$47*IF(Summary!$D$29="Included Margin",IF(AND($B129&gt;Input!$C$9,Summary!$D$31&lt;&gt;"Included Margin"),0,1),0))</f>
        <v>2.5000000000000001E-3</v>
      </c>
      <c r="AI129" s="154"/>
      <c r="AJ129" s="158">
        <f t="shared" si="66"/>
        <v>3.5770000000000003E-2</v>
      </c>
      <c r="AK129" s="155">
        <f t="shared" si="67"/>
        <v>2.9330522945167914E-3</v>
      </c>
      <c r="AL129" s="147">
        <f t="shared" si="68"/>
        <v>1.5611519999999999E-3</v>
      </c>
      <c r="AM129" s="147">
        <f t="shared" si="44"/>
        <v>1.3018918028206983E-4</v>
      </c>
      <c r="AN129" s="160">
        <f t="shared" si="69"/>
        <v>0</v>
      </c>
      <c r="AO129" s="161">
        <f t="shared" si="70"/>
        <v>0</v>
      </c>
      <c r="AP129" s="156">
        <f t="shared" si="45"/>
        <v>1.2492034264621252</v>
      </c>
      <c r="AQ129" s="152"/>
      <c r="AR129" s="162">
        <f t="shared" si="46"/>
        <v>1080.3165806355391</v>
      </c>
      <c r="AS129" s="150">
        <f t="shared" si="71"/>
        <v>0</v>
      </c>
      <c r="AT129" s="163">
        <f t="shared" si="47"/>
        <v>0</v>
      </c>
      <c r="AU129" s="163">
        <f t="shared" si="48"/>
        <v>13.018918028206983</v>
      </c>
      <c r="AV129" s="163">
        <f t="shared" si="72"/>
        <v>3.1495324419402233</v>
      </c>
      <c r="AW129" s="163">
        <f t="shared" si="49"/>
        <v>0.13937879210932858</v>
      </c>
      <c r="AX129" s="163">
        <f t="shared" si="50"/>
        <v>0</v>
      </c>
      <c r="AY129" s="164">
        <f t="shared" si="73"/>
        <v>1070.5865738413816</v>
      </c>
      <c r="AZ129" s="164">
        <f>IF($E129="","",IF(OR(AND($D129=Input!$C$6,$C129=12),$AN129=1),0,-AS130+AT130+AU130-AV130-AW130-AX130+AZ130))</f>
        <v>1070.5866018001527</v>
      </c>
      <c r="BA129" s="154">
        <f t="shared" si="51"/>
        <v>2.7958771170233376E-5</v>
      </c>
      <c r="BC129" s="147">
        <f t="shared" si="74"/>
        <v>0.56268040996729851</v>
      </c>
      <c r="BD129" s="164">
        <f>IF(AND($C128=12,$D128=Input!$C$6),0,IF($E129="","",AT129+(AU129+BD130)/(1+$AK129)*MIN((1-AM129-AN129),1)))</f>
        <v>2657.4299448799138</v>
      </c>
      <c r="BE129" s="164">
        <f t="shared" si="52"/>
        <v>1495.2837708444054</v>
      </c>
      <c r="BF129" s="164">
        <f t="shared" si="75"/>
        <v>1070.5866018001527</v>
      </c>
      <c r="BG129" s="164">
        <f t="shared" si="53"/>
        <v>602.39810800640691</v>
      </c>
      <c r="BH129" s="152"/>
      <c r="BI129" s="162">
        <f t="shared" si="54"/>
        <v>741.66728333466301</v>
      </c>
      <c r="BJ129" s="150">
        <f t="shared" si="55"/>
        <v>0</v>
      </c>
      <c r="BK129" s="163">
        <f t="shared" si="79"/>
        <v>0</v>
      </c>
      <c r="BL129" s="163">
        <f t="shared" si="56"/>
        <v>11.928402964889173</v>
      </c>
      <c r="BM129" s="163">
        <f t="shared" si="80"/>
        <v>2.4244673073261014</v>
      </c>
      <c r="BN129" s="163">
        <f t="shared" si="57"/>
        <v>8.7345817289917541E-2</v>
      </c>
      <c r="BO129" s="163">
        <f t="shared" si="58"/>
        <v>0</v>
      </c>
      <c r="BP129" s="164">
        <f t="shared" si="81"/>
        <v>732.25069349438991</v>
      </c>
      <c r="BQ129" s="164">
        <f>IF($E129="","",IF(AND($D129=Input!$C$6,$C129=12),0,-BJ130+BK130+BL130-BM130-BN130-BO130+BQ130))</f>
        <v>732.25072582655719</v>
      </c>
      <c r="BR129" s="161">
        <f t="shared" si="59"/>
        <v>0</v>
      </c>
      <c r="BT129" s="147">
        <f t="shared" si="60"/>
        <v>0.56268040996729851</v>
      </c>
      <c r="BU129" s="164">
        <f>IF(AND($C128=12,$D128=Input!$C$6),0,IF($E129="","",BK129+(BL129+BU130)/(1+$AK129)*MIN((1-T129-U129),1)))</f>
        <v>4915.2149054084948</v>
      </c>
      <c r="BV129" s="164">
        <f t="shared" si="61"/>
        <v>2765.6951380526284</v>
      </c>
      <c r="BW129" s="164">
        <f t="shared" si="62"/>
        <v>732.25072582655719</v>
      </c>
      <c r="BX129" s="164">
        <f t="shared" si="63"/>
        <v>412.02313860693909</v>
      </c>
    </row>
    <row r="130" spans="1:76" s="150" customFormat="1" x14ac:dyDescent="0.25">
      <c r="A130" s="150">
        <f t="shared" si="76"/>
        <v>126</v>
      </c>
      <c r="B130" s="150">
        <f t="shared" si="77"/>
        <v>11</v>
      </c>
      <c r="C130" s="150">
        <f t="shared" si="78"/>
        <v>6</v>
      </c>
      <c r="D130" s="150">
        <f>IF(E130="","",Input!$C$4+B130-1)</f>
        <v>55</v>
      </c>
      <c r="E130" s="150">
        <f>IF(OR(AND(C129=12,D129=Input!$C$6),E129=""),"",1)</f>
        <v>1</v>
      </c>
      <c r="F130" s="150">
        <f>IF(E130="","",Input!$C$8+B130-1)</f>
        <v>2028</v>
      </c>
      <c r="G130" s="151">
        <f>IF(E130="","",MAX(0,Input!$C$9-B130))</f>
        <v>9</v>
      </c>
      <c r="H130" s="152">
        <f>IF(E130="","",Input!$C$3)</f>
        <v>100000</v>
      </c>
      <c r="I130" s="153">
        <f>IF(E130="","",HLOOKUP($B130,Input!$C$13:$BT$14,2))</f>
        <v>2.2999999999999998</v>
      </c>
      <c r="J130" s="154"/>
      <c r="K130" s="155">
        <f>IF($E130="","",INDEX(Input!$C$16:$CP$16,1,$B130))</f>
        <v>2.5270000000000001E-2</v>
      </c>
      <c r="L130" s="155">
        <f>IF($E130="","",Input!$C$37)</f>
        <v>1.4999999999999999E-2</v>
      </c>
      <c r="M130" s="155">
        <f t="shared" si="64"/>
        <v>4.027E-2</v>
      </c>
      <c r="N130" s="155">
        <f t="shared" si="65"/>
        <v>3.2954426413740467E-3</v>
      </c>
      <c r="O130" s="147">
        <f>IF($E130="","",MIN(VLOOKUP(IF($B130&lt;=Input!$C$7,$B130,26),'Mortality Tables'!$A$41:$CW$67,IF($B130&lt;=Input!$C$7+1,Input!$C$4+2,$D130-Input!$C$7+2),0)*IF(B130&gt;20,Input!$C$22,1)/1000,1))</f>
        <v>1.5039999999999999E-3</v>
      </c>
      <c r="P130" s="147">
        <f>IF($E130="","",MIN(VLOOKUP(IF($B130&lt;=Input!$C$7,$B130,26),'Mortality Tables'!$A$12:$CW$37,IF($B130&lt;=Input!$C$7+1,Input!$C$4+2,$D130-Input!$C$7+2),0)*IF(B130&gt;20,Input!$C$22,1)/1000,1))</f>
        <v>1.8799999999999999E-3</v>
      </c>
      <c r="Q130" s="155">
        <f>IF($E130="","",Input!$C$21)</f>
        <v>5.0000000000000001E-3</v>
      </c>
      <c r="R130" s="159">
        <f>IF($E130="","",(1-Q130)^($F130-Input!$C$20))</f>
        <v>0.95111013046577197</v>
      </c>
      <c r="S130" s="147">
        <f t="shared" si="41"/>
        <v>1.4304696362205209E-3</v>
      </c>
      <c r="T130" s="147">
        <f t="shared" si="42"/>
        <v>1.1928402964889173E-4</v>
      </c>
      <c r="U130" s="160">
        <f>IF($E130="","",IF($C130=12,INDEX(Input!$C$15:$CP$15,1,$B130),0))</f>
        <v>0</v>
      </c>
      <c r="V130" s="150">
        <f>IF(E130="","",IF(C130=1,IF($B130=1,Input!$C$33,Input!$C$34),0))</f>
        <v>0</v>
      </c>
      <c r="W130" s="156">
        <f>IF($E130="","",Input!$C$35)</f>
        <v>0.02</v>
      </c>
      <c r="X130" s="156">
        <f t="shared" si="43"/>
        <v>1.2189944199947573</v>
      </c>
      <c r="Y130" s="154"/>
      <c r="Z130" s="147">
        <f>IF($E130="","",VLOOKUP($D130,'Mortality Margins &amp; Grading'!$AB$5:$AF$125,3,0)*IF(Summary!$D$25="Included Margin",IF(AND($B130&gt;Input!$C$9,Summary!$D$31&lt;&gt;"Included Margin"),0,1),0))</f>
        <v>3.7999999999999999E-2</v>
      </c>
      <c r="AA130" s="147">
        <f>IF($E130="","",VLOOKUP($D130,'Mortality Margins &amp; Grading'!$AB$5:$AF$125,5,0)*IF(Summary!$D$25="Included Margin",IF(AND($B130&gt;Input!$C$9,Summary!$D$31&lt;&gt;"Included Margin"),0,1),0))</f>
        <v>0.192</v>
      </c>
      <c r="AB130" s="147">
        <f>IF($E130="","",IF(AND($B130&gt;Input!$C$9,Summary!$D$31&lt;&gt;"Included Margin"),1,IF(Summary!$D$25="Included Margin",VLOOKUP($B130,'Mortality Margins &amp; Grading'!$AI$5:$AR$125,MATCH('Mortality Margins &amp; Grading'!$AQ$4,'Mortality Margins &amp; Grading'!$AI$4:$AR$4,0),0),1)))</f>
        <v>1</v>
      </c>
      <c r="AC130" s="154"/>
      <c r="AD130" s="158">
        <f>IF(E130="","",Input!$C$48*IF(Summary!$D$30="Included Margin",IF(AND($B130&gt;Input!$C$9,Summary!$D$31&lt;&gt;"Included Margin"),0,1),0))</f>
        <v>-4.4999999999999997E-3</v>
      </c>
      <c r="AE130" s="159">
        <f>IF(E130="","",IF(Summary!$D$26="Included Margin",IF(AND($B130&gt;Input!$C$9,Summary!$D$31&lt;&gt;"Included Margin"),1,1/$R130),1))</f>
        <v>1.0514029532103564</v>
      </c>
      <c r="AF130" s="160">
        <f>IF(E130="","",IF(AND($B130&gt;=Input!$C$9,$C130=12,Summary!$D$31="Included Margin",$U130&gt;0),1/U130-1,IF($B130&gt;=Input!$C$9,0,Input!$C$45*IF(Summary!$D$27="Included Margin",1,0))))</f>
        <v>-0.1</v>
      </c>
      <c r="AG130" s="160">
        <f>IF(E130="","",Input!$C$46*IF(Summary!$D$28="Included Margin",IF(AND($B130&gt;Input!$C$9,Summary!$D$31&lt;&gt;"Included Margin"),0,1),0))</f>
        <v>0.02</v>
      </c>
      <c r="AH130" s="158">
        <f>IF(E130="","",Input!$C$47*IF(Summary!$D$29="Included Margin",IF(AND($B130&gt;Input!$C$9,Summary!$D$31&lt;&gt;"Included Margin"),0,1),0))</f>
        <v>2.5000000000000001E-3</v>
      </c>
      <c r="AI130" s="154"/>
      <c r="AJ130" s="158">
        <f t="shared" si="66"/>
        <v>3.5770000000000003E-2</v>
      </c>
      <c r="AK130" s="155">
        <f t="shared" si="67"/>
        <v>2.9330522945167914E-3</v>
      </c>
      <c r="AL130" s="147">
        <f t="shared" si="68"/>
        <v>1.5611519999999999E-3</v>
      </c>
      <c r="AM130" s="147">
        <f t="shared" si="44"/>
        <v>1.3018918028206983E-4</v>
      </c>
      <c r="AN130" s="160">
        <f t="shared" si="69"/>
        <v>0</v>
      </c>
      <c r="AO130" s="161">
        <f t="shared" si="70"/>
        <v>0</v>
      </c>
      <c r="AP130" s="156">
        <f t="shared" si="45"/>
        <v>1.2492034264621252</v>
      </c>
      <c r="AQ130" s="152"/>
      <c r="AR130" s="162">
        <f t="shared" si="46"/>
        <v>1070.5865738413818</v>
      </c>
      <c r="AS130" s="150">
        <f t="shared" si="71"/>
        <v>0</v>
      </c>
      <c r="AT130" s="163">
        <f t="shared" si="47"/>
        <v>0</v>
      </c>
      <c r="AU130" s="163">
        <f t="shared" si="48"/>
        <v>13.018918028206983</v>
      </c>
      <c r="AV130" s="163">
        <f t="shared" si="72"/>
        <v>3.1209938231869563</v>
      </c>
      <c r="AW130" s="163">
        <f t="shared" si="49"/>
        <v>0.13810816965998127</v>
      </c>
      <c r="AX130" s="163">
        <f t="shared" si="50"/>
        <v>0</v>
      </c>
      <c r="AY130" s="164">
        <f t="shared" si="73"/>
        <v>1060.8267578060218</v>
      </c>
      <c r="AZ130" s="164">
        <f>IF($E130="","",IF(OR(AND($D130=Input!$C$6,$C130=12),$AN130=1),0,-AS131+AT131+AU131-AV131-AW131-AX131+AZ131))</f>
        <v>1060.8267857647927</v>
      </c>
      <c r="BA130" s="154">
        <f t="shared" si="51"/>
        <v>2.7958770942859701E-5</v>
      </c>
      <c r="BC130" s="147">
        <f t="shared" si="74"/>
        <v>0.56261329118059311</v>
      </c>
      <c r="BD130" s="164">
        <f>IF(AND($C129=12,$D129=Input!$C$6),0,IF($E130="","",AT130+(AU130+BD131)/(1+$AK130)*MIN((1-AM130-AN130),1)))</f>
        <v>2652.552436398671</v>
      </c>
      <c r="BE130" s="164">
        <f t="shared" si="52"/>
        <v>1492.3612562713572</v>
      </c>
      <c r="BF130" s="164">
        <f t="shared" si="75"/>
        <v>1060.8267857647927</v>
      </c>
      <c r="BG130" s="164">
        <f t="shared" si="53"/>
        <v>596.83524931165994</v>
      </c>
      <c r="BH130" s="152"/>
      <c r="BI130" s="162">
        <f t="shared" si="54"/>
        <v>732.25069349438991</v>
      </c>
      <c r="BJ130" s="150">
        <f t="shared" si="55"/>
        <v>0</v>
      </c>
      <c r="BK130" s="163">
        <f t="shared" si="79"/>
        <v>0</v>
      </c>
      <c r="BL130" s="163">
        <f t="shared" si="56"/>
        <v>11.928402964889173</v>
      </c>
      <c r="BM130" s="163">
        <f t="shared" si="80"/>
        <v>2.3934354756301359</v>
      </c>
      <c r="BN130" s="163">
        <f t="shared" si="57"/>
        <v>8.6218732463066952E-2</v>
      </c>
      <c r="BO130" s="163">
        <f t="shared" si="58"/>
        <v>0</v>
      </c>
      <c r="BP130" s="164">
        <f t="shared" si="81"/>
        <v>722.80194473759389</v>
      </c>
      <c r="BQ130" s="164">
        <f>IF($E130="","",IF(AND($D130=Input!$C$6,$C130=12),0,-BJ131+BK131+BL131-BM131-BN131-BO131+BQ131))</f>
        <v>722.80197706976116</v>
      </c>
      <c r="BR130" s="161">
        <f t="shared" si="59"/>
        <v>0</v>
      </c>
      <c r="BT130" s="147">
        <f t="shared" si="60"/>
        <v>0.56261329118059311</v>
      </c>
      <c r="BU130" s="164">
        <f>IF(AND($C129=12,$D129=Input!$C$6),0,IF($E130="","",BK130+(BL130+BU131)/(1+$AK130)*MIN((1-T130-U130),1)))</f>
        <v>4918.2911812590173</v>
      </c>
      <c r="BV130" s="164">
        <f t="shared" si="61"/>
        <v>2767.0959884726226</v>
      </c>
      <c r="BW130" s="164">
        <f t="shared" si="62"/>
        <v>722.80197706976116</v>
      </c>
      <c r="BX130" s="164">
        <f t="shared" si="63"/>
        <v>406.65799919105791</v>
      </c>
    </row>
    <row r="131" spans="1:76" s="150" customFormat="1" x14ac:dyDescent="0.25">
      <c r="A131" s="150">
        <f t="shared" si="76"/>
        <v>127</v>
      </c>
      <c r="B131" s="150">
        <f t="shared" si="77"/>
        <v>11</v>
      </c>
      <c r="C131" s="150">
        <f t="shared" si="78"/>
        <v>7</v>
      </c>
      <c r="D131" s="150">
        <f>IF(E131="","",Input!$C$4+B131-1)</f>
        <v>55</v>
      </c>
      <c r="E131" s="150">
        <f>IF(OR(AND(C130=12,D130=Input!$C$6),E130=""),"",1)</f>
        <v>1</v>
      </c>
      <c r="F131" s="150">
        <f>IF(E131="","",Input!$C$8+B131-1)</f>
        <v>2028</v>
      </c>
      <c r="G131" s="151">
        <f>IF(E131="","",MAX(0,Input!$C$9-B131))</f>
        <v>9</v>
      </c>
      <c r="H131" s="152">
        <f>IF(E131="","",Input!$C$3)</f>
        <v>100000</v>
      </c>
      <c r="I131" s="153">
        <f>IF(E131="","",HLOOKUP($B131,Input!$C$13:$BT$14,2))</f>
        <v>2.2999999999999998</v>
      </c>
      <c r="J131" s="154"/>
      <c r="K131" s="155">
        <f>IF($E131="","",INDEX(Input!$C$16:$CP$16,1,$B131))</f>
        <v>2.5270000000000001E-2</v>
      </c>
      <c r="L131" s="155">
        <f>IF($E131="","",Input!$C$37)</f>
        <v>1.4999999999999999E-2</v>
      </c>
      <c r="M131" s="155">
        <f t="shared" si="64"/>
        <v>4.027E-2</v>
      </c>
      <c r="N131" s="155">
        <f t="shared" si="65"/>
        <v>3.2954426413740467E-3</v>
      </c>
      <c r="O131" s="147">
        <f>IF($E131="","",MIN(VLOOKUP(IF($B131&lt;=Input!$C$7,$B131,26),'Mortality Tables'!$A$41:$CW$67,IF($B131&lt;=Input!$C$7+1,Input!$C$4+2,$D131-Input!$C$7+2),0)*IF(B131&gt;20,Input!$C$22,1)/1000,1))</f>
        <v>1.5039999999999999E-3</v>
      </c>
      <c r="P131" s="147">
        <f>IF($E131="","",MIN(VLOOKUP(IF($B131&lt;=Input!$C$7,$B131,26),'Mortality Tables'!$A$12:$CW$37,IF($B131&lt;=Input!$C$7+1,Input!$C$4+2,$D131-Input!$C$7+2),0)*IF(B131&gt;20,Input!$C$22,1)/1000,1))</f>
        <v>1.8799999999999999E-3</v>
      </c>
      <c r="Q131" s="155">
        <f>IF($E131="","",Input!$C$21)</f>
        <v>5.0000000000000001E-3</v>
      </c>
      <c r="R131" s="159">
        <f>IF($E131="","",(1-Q131)^($F131-Input!$C$20))</f>
        <v>0.95111013046577197</v>
      </c>
      <c r="S131" s="147">
        <f t="shared" si="41"/>
        <v>1.4304696362205209E-3</v>
      </c>
      <c r="T131" s="147">
        <f t="shared" si="42"/>
        <v>1.1928402964889173E-4</v>
      </c>
      <c r="U131" s="160">
        <f>IF($E131="","",IF($C131=12,INDEX(Input!$C$15:$CP$15,1,$B131),0))</f>
        <v>0</v>
      </c>
      <c r="V131" s="150">
        <f>IF(E131="","",IF(C131=1,IF($B131=1,Input!$C$33,Input!$C$34),0))</f>
        <v>0</v>
      </c>
      <c r="W131" s="156">
        <f>IF($E131="","",Input!$C$35)</f>
        <v>0.02</v>
      </c>
      <c r="X131" s="156">
        <f t="shared" si="43"/>
        <v>1.2189944199947573</v>
      </c>
      <c r="Y131" s="154"/>
      <c r="Z131" s="147">
        <f>IF($E131="","",VLOOKUP($D131,'Mortality Margins &amp; Grading'!$AB$5:$AF$125,3,0)*IF(Summary!$D$25="Included Margin",IF(AND($B131&gt;Input!$C$9,Summary!$D$31&lt;&gt;"Included Margin"),0,1),0))</f>
        <v>3.7999999999999999E-2</v>
      </c>
      <c r="AA131" s="147">
        <f>IF($E131="","",VLOOKUP($D131,'Mortality Margins &amp; Grading'!$AB$5:$AF$125,5,0)*IF(Summary!$D$25="Included Margin",IF(AND($B131&gt;Input!$C$9,Summary!$D$31&lt;&gt;"Included Margin"),0,1),0))</f>
        <v>0.192</v>
      </c>
      <c r="AB131" s="147">
        <f>IF($E131="","",IF(AND($B131&gt;Input!$C$9,Summary!$D$31&lt;&gt;"Included Margin"),1,IF(Summary!$D$25="Included Margin",VLOOKUP($B131,'Mortality Margins &amp; Grading'!$AI$5:$AR$125,MATCH('Mortality Margins &amp; Grading'!$AQ$4,'Mortality Margins &amp; Grading'!$AI$4:$AR$4,0),0),1)))</f>
        <v>1</v>
      </c>
      <c r="AC131" s="154"/>
      <c r="AD131" s="158">
        <f>IF(E131="","",Input!$C$48*IF(Summary!$D$30="Included Margin",IF(AND($B131&gt;Input!$C$9,Summary!$D$31&lt;&gt;"Included Margin"),0,1),0))</f>
        <v>-4.4999999999999997E-3</v>
      </c>
      <c r="AE131" s="159">
        <f>IF(E131="","",IF(Summary!$D$26="Included Margin",IF(AND($B131&gt;Input!$C$9,Summary!$D$31&lt;&gt;"Included Margin"),1,1/$R131),1))</f>
        <v>1.0514029532103564</v>
      </c>
      <c r="AF131" s="160">
        <f>IF(E131="","",IF(AND($B131&gt;=Input!$C$9,$C131=12,Summary!$D$31="Included Margin",$U131&gt;0),1/U131-1,IF($B131&gt;=Input!$C$9,0,Input!$C$45*IF(Summary!$D$27="Included Margin",1,0))))</f>
        <v>-0.1</v>
      </c>
      <c r="AG131" s="160">
        <f>IF(E131="","",Input!$C$46*IF(Summary!$D$28="Included Margin",IF(AND($B131&gt;Input!$C$9,Summary!$D$31&lt;&gt;"Included Margin"),0,1),0))</f>
        <v>0.02</v>
      </c>
      <c r="AH131" s="158">
        <f>IF(E131="","",Input!$C$47*IF(Summary!$D$29="Included Margin",IF(AND($B131&gt;Input!$C$9,Summary!$D$31&lt;&gt;"Included Margin"),0,1),0))</f>
        <v>2.5000000000000001E-3</v>
      </c>
      <c r="AI131" s="154"/>
      <c r="AJ131" s="158">
        <f t="shared" si="66"/>
        <v>3.5770000000000003E-2</v>
      </c>
      <c r="AK131" s="155">
        <f t="shared" si="67"/>
        <v>2.9330522945167914E-3</v>
      </c>
      <c r="AL131" s="147">
        <f t="shared" si="68"/>
        <v>1.5611519999999999E-3</v>
      </c>
      <c r="AM131" s="147">
        <f t="shared" si="44"/>
        <v>1.3018918028206983E-4</v>
      </c>
      <c r="AN131" s="160">
        <f t="shared" si="69"/>
        <v>0</v>
      </c>
      <c r="AO131" s="161">
        <f t="shared" si="70"/>
        <v>0</v>
      </c>
      <c r="AP131" s="156">
        <f t="shared" si="45"/>
        <v>1.2492034264621252</v>
      </c>
      <c r="AQ131" s="152"/>
      <c r="AR131" s="162">
        <f t="shared" si="46"/>
        <v>1060.8267578060218</v>
      </c>
      <c r="AS131" s="150">
        <f t="shared" si="71"/>
        <v>0</v>
      </c>
      <c r="AT131" s="163">
        <f t="shared" si="47"/>
        <v>0</v>
      </c>
      <c r="AU131" s="163">
        <f t="shared" si="48"/>
        <v>13.018918028206983</v>
      </c>
      <c r="AV131" s="163">
        <f t="shared" si="72"/>
        <v>3.0923677723703817</v>
      </c>
      <c r="AW131" s="163">
        <f t="shared" si="49"/>
        <v>0.13683365448045695</v>
      </c>
      <c r="AX131" s="163">
        <f t="shared" si="50"/>
        <v>0</v>
      </c>
      <c r="AY131" s="164">
        <f t="shared" si="73"/>
        <v>1051.0370412046655</v>
      </c>
      <c r="AZ131" s="164">
        <f>IF($E131="","",IF(OR(AND($D131=Input!$C$6,$C131=12),$AN131=1),0,-AS132+AT132+AU132-AV132-AW132-AX132+AZ132))</f>
        <v>1051.0370691634366</v>
      </c>
      <c r="BA131" s="154">
        <f t="shared" si="51"/>
        <v>2.7958771170233376E-5</v>
      </c>
      <c r="BC131" s="147">
        <f t="shared" si="74"/>
        <v>0.56254618040008708</v>
      </c>
      <c r="BD131" s="164">
        <f>IF(AND($C130=12,$D130=Input!$C$6),0,IF($E131="","",AT131+(AU131+BD132)/(1+$AK131)*MIN((1-AM131-AN131),1)))</f>
        <v>2647.6599849857462</v>
      </c>
      <c r="BE131" s="164">
        <f t="shared" si="52"/>
        <v>1489.4310115518833</v>
      </c>
      <c r="BF131" s="164">
        <f t="shared" si="75"/>
        <v>1051.0370691634366</v>
      </c>
      <c r="BG131" s="164">
        <f t="shared" si="53"/>
        <v>591.25688871679347</v>
      </c>
      <c r="BH131" s="152"/>
      <c r="BI131" s="162">
        <f t="shared" si="54"/>
        <v>722.80194473759389</v>
      </c>
      <c r="BJ131" s="150">
        <f t="shared" si="55"/>
        <v>0</v>
      </c>
      <c r="BK131" s="163">
        <f t="shared" si="79"/>
        <v>0</v>
      </c>
      <c r="BL131" s="163">
        <f t="shared" si="56"/>
        <v>11.928402964889173</v>
      </c>
      <c r="BM131" s="163">
        <f t="shared" si="80"/>
        <v>2.36229766606936</v>
      </c>
      <c r="BN131" s="163">
        <f t="shared" si="57"/>
        <v>8.5087798490456001E-2</v>
      </c>
      <c r="BO131" s="163">
        <f t="shared" si="58"/>
        <v>0</v>
      </c>
      <c r="BP131" s="164">
        <f t="shared" si="81"/>
        <v>713.32092723726453</v>
      </c>
      <c r="BQ131" s="164">
        <f>IF($E131="","",IF(AND($D131=Input!$C$6,$C131=12),0,-BJ132+BK132+BL132-BM132-BN132-BO132+BQ132))</f>
        <v>713.32095956943181</v>
      </c>
      <c r="BR131" s="161">
        <f t="shared" si="59"/>
        <v>0</v>
      </c>
      <c r="BT131" s="147">
        <f t="shared" si="60"/>
        <v>0.56254618040008708</v>
      </c>
      <c r="BU131" s="164">
        <f>IF(AND($C130=12,$D130=Input!$C$6),0,IF($E131="","",BK131+(BL131+BU132)/(1+$AK131)*MIN((1-T131-U131),1)))</f>
        <v>4921.3768480582521</v>
      </c>
      <c r="BV131" s="164">
        <f t="shared" si="61"/>
        <v>2768.5017481845894</v>
      </c>
      <c r="BW131" s="164">
        <f t="shared" si="62"/>
        <v>713.32095956943181</v>
      </c>
      <c r="BX131" s="164">
        <f t="shared" si="63"/>
        <v>401.27598120510879</v>
      </c>
    </row>
    <row r="132" spans="1:76" s="150" customFormat="1" x14ac:dyDescent="0.25">
      <c r="A132" s="150">
        <f t="shared" si="76"/>
        <v>128</v>
      </c>
      <c r="B132" s="150">
        <f t="shared" si="77"/>
        <v>11</v>
      </c>
      <c r="C132" s="150">
        <f t="shared" si="78"/>
        <v>8</v>
      </c>
      <c r="D132" s="150">
        <f>IF(E132="","",Input!$C$4+B132-1)</f>
        <v>55</v>
      </c>
      <c r="E132" s="150">
        <f>IF(OR(AND(C131=12,D131=Input!$C$6),E131=""),"",1)</f>
        <v>1</v>
      </c>
      <c r="F132" s="150">
        <f>IF(E132="","",Input!$C$8+B132-1)</f>
        <v>2028</v>
      </c>
      <c r="G132" s="151">
        <f>IF(E132="","",MAX(0,Input!$C$9-B132))</f>
        <v>9</v>
      </c>
      <c r="H132" s="152">
        <f>IF(E132="","",Input!$C$3)</f>
        <v>100000</v>
      </c>
      <c r="I132" s="153">
        <f>IF(E132="","",HLOOKUP($B132,Input!$C$13:$BT$14,2))</f>
        <v>2.2999999999999998</v>
      </c>
      <c r="J132" s="154"/>
      <c r="K132" s="155">
        <f>IF($E132="","",INDEX(Input!$C$16:$CP$16,1,$B132))</f>
        <v>2.5270000000000001E-2</v>
      </c>
      <c r="L132" s="155">
        <f>IF($E132="","",Input!$C$37)</f>
        <v>1.4999999999999999E-2</v>
      </c>
      <c r="M132" s="155">
        <f t="shared" si="64"/>
        <v>4.027E-2</v>
      </c>
      <c r="N132" s="155">
        <f t="shared" si="65"/>
        <v>3.2954426413740467E-3</v>
      </c>
      <c r="O132" s="147">
        <f>IF($E132="","",MIN(VLOOKUP(IF($B132&lt;=Input!$C$7,$B132,26),'Mortality Tables'!$A$41:$CW$67,IF($B132&lt;=Input!$C$7+1,Input!$C$4+2,$D132-Input!$C$7+2),0)*IF(B132&gt;20,Input!$C$22,1)/1000,1))</f>
        <v>1.5039999999999999E-3</v>
      </c>
      <c r="P132" s="147">
        <f>IF($E132="","",MIN(VLOOKUP(IF($B132&lt;=Input!$C$7,$B132,26),'Mortality Tables'!$A$12:$CW$37,IF($B132&lt;=Input!$C$7+1,Input!$C$4+2,$D132-Input!$C$7+2),0)*IF(B132&gt;20,Input!$C$22,1)/1000,1))</f>
        <v>1.8799999999999999E-3</v>
      </c>
      <c r="Q132" s="155">
        <f>IF($E132="","",Input!$C$21)</f>
        <v>5.0000000000000001E-3</v>
      </c>
      <c r="R132" s="159">
        <f>IF($E132="","",(1-Q132)^($F132-Input!$C$20))</f>
        <v>0.95111013046577197</v>
      </c>
      <c r="S132" s="147">
        <f t="shared" si="41"/>
        <v>1.4304696362205209E-3</v>
      </c>
      <c r="T132" s="147">
        <f t="shared" si="42"/>
        <v>1.1928402964889173E-4</v>
      </c>
      <c r="U132" s="160">
        <f>IF($E132="","",IF($C132=12,INDEX(Input!$C$15:$CP$15,1,$B132),0))</f>
        <v>0</v>
      </c>
      <c r="V132" s="150">
        <f>IF(E132="","",IF(C132=1,IF($B132=1,Input!$C$33,Input!$C$34),0))</f>
        <v>0</v>
      </c>
      <c r="W132" s="156">
        <f>IF($E132="","",Input!$C$35)</f>
        <v>0.02</v>
      </c>
      <c r="X132" s="156">
        <f t="shared" si="43"/>
        <v>1.2189944199947573</v>
      </c>
      <c r="Y132" s="154"/>
      <c r="Z132" s="147">
        <f>IF($E132="","",VLOOKUP($D132,'Mortality Margins &amp; Grading'!$AB$5:$AF$125,3,0)*IF(Summary!$D$25="Included Margin",IF(AND($B132&gt;Input!$C$9,Summary!$D$31&lt;&gt;"Included Margin"),0,1),0))</f>
        <v>3.7999999999999999E-2</v>
      </c>
      <c r="AA132" s="147">
        <f>IF($E132="","",VLOOKUP($D132,'Mortality Margins &amp; Grading'!$AB$5:$AF$125,5,0)*IF(Summary!$D$25="Included Margin",IF(AND($B132&gt;Input!$C$9,Summary!$D$31&lt;&gt;"Included Margin"),0,1),0))</f>
        <v>0.192</v>
      </c>
      <c r="AB132" s="147">
        <f>IF($E132="","",IF(AND($B132&gt;Input!$C$9,Summary!$D$31&lt;&gt;"Included Margin"),1,IF(Summary!$D$25="Included Margin",VLOOKUP($B132,'Mortality Margins &amp; Grading'!$AI$5:$AR$125,MATCH('Mortality Margins &amp; Grading'!$AQ$4,'Mortality Margins &amp; Grading'!$AI$4:$AR$4,0),0),1)))</f>
        <v>1</v>
      </c>
      <c r="AC132" s="154"/>
      <c r="AD132" s="158">
        <f>IF(E132="","",Input!$C$48*IF(Summary!$D$30="Included Margin",IF(AND($B132&gt;Input!$C$9,Summary!$D$31&lt;&gt;"Included Margin"),0,1),0))</f>
        <v>-4.4999999999999997E-3</v>
      </c>
      <c r="AE132" s="159">
        <f>IF(E132="","",IF(Summary!$D$26="Included Margin",IF(AND($B132&gt;Input!$C$9,Summary!$D$31&lt;&gt;"Included Margin"),1,1/$R132),1))</f>
        <v>1.0514029532103564</v>
      </c>
      <c r="AF132" s="160">
        <f>IF(E132="","",IF(AND($B132&gt;=Input!$C$9,$C132=12,Summary!$D$31="Included Margin",$U132&gt;0),1/U132-1,IF($B132&gt;=Input!$C$9,0,Input!$C$45*IF(Summary!$D$27="Included Margin",1,0))))</f>
        <v>-0.1</v>
      </c>
      <c r="AG132" s="160">
        <f>IF(E132="","",Input!$C$46*IF(Summary!$D$28="Included Margin",IF(AND($B132&gt;Input!$C$9,Summary!$D$31&lt;&gt;"Included Margin"),0,1),0))</f>
        <v>0.02</v>
      </c>
      <c r="AH132" s="158">
        <f>IF(E132="","",Input!$C$47*IF(Summary!$D$29="Included Margin",IF(AND($B132&gt;Input!$C$9,Summary!$D$31&lt;&gt;"Included Margin"),0,1),0))</f>
        <v>2.5000000000000001E-3</v>
      </c>
      <c r="AI132" s="154"/>
      <c r="AJ132" s="158">
        <f t="shared" si="66"/>
        <v>3.5770000000000003E-2</v>
      </c>
      <c r="AK132" s="155">
        <f t="shared" si="67"/>
        <v>2.9330522945167914E-3</v>
      </c>
      <c r="AL132" s="147">
        <f t="shared" si="68"/>
        <v>1.5611519999999999E-3</v>
      </c>
      <c r="AM132" s="147">
        <f t="shared" si="44"/>
        <v>1.3018918028206983E-4</v>
      </c>
      <c r="AN132" s="160">
        <f t="shared" si="69"/>
        <v>0</v>
      </c>
      <c r="AO132" s="161">
        <f t="shared" si="70"/>
        <v>0</v>
      </c>
      <c r="AP132" s="156">
        <f t="shared" si="45"/>
        <v>1.2492034264621252</v>
      </c>
      <c r="AQ132" s="152"/>
      <c r="AR132" s="162">
        <f t="shared" si="46"/>
        <v>1051.0370412046655</v>
      </c>
      <c r="AS132" s="150">
        <f t="shared" si="71"/>
        <v>0</v>
      </c>
      <c r="AT132" s="163">
        <f t="shared" si="47"/>
        <v>0</v>
      </c>
      <c r="AU132" s="163">
        <f t="shared" si="48"/>
        <v>13.018918028206983</v>
      </c>
      <c r="AV132" s="163">
        <f t="shared" si="72"/>
        <v>3.0636540216301045</v>
      </c>
      <c r="AW132" s="163">
        <f t="shared" si="49"/>
        <v>0.13555523464483046</v>
      </c>
      <c r="AX132" s="163">
        <f t="shared" si="50"/>
        <v>0</v>
      </c>
      <c r="AY132" s="164">
        <f t="shared" si="73"/>
        <v>1041.2173324327334</v>
      </c>
      <c r="AZ132" s="164">
        <f>IF($E132="","",IF(OR(AND($D132=Input!$C$6,$C132=12),$AN132=1),0,-AS133+AT133+AU133-AV133-AW133-AX133+AZ133))</f>
        <v>1041.2173603915046</v>
      </c>
      <c r="BA132" s="154">
        <f t="shared" si="51"/>
        <v>2.7958771170233376E-5</v>
      </c>
      <c r="BC132" s="147">
        <f t="shared" si="74"/>
        <v>0.56247907762482541</v>
      </c>
      <c r="BD132" s="164">
        <f>IF(AND($C131=12,$D131=Input!$C$6),0,IF($E132="","",AT132+(AU132+BD133)/(1+$AK132)*MIN((1-AM132-AN132),1)))</f>
        <v>2642.7525448613719</v>
      </c>
      <c r="BE132" s="164">
        <f t="shared" si="52"/>
        <v>1486.4930138242846</v>
      </c>
      <c r="BF132" s="164">
        <f t="shared" si="75"/>
        <v>1041.2173603915046</v>
      </c>
      <c r="BG132" s="164">
        <f t="shared" si="53"/>
        <v>585.66298047996895</v>
      </c>
      <c r="BH132" s="152"/>
      <c r="BI132" s="162">
        <f t="shared" si="54"/>
        <v>713.32092723726453</v>
      </c>
      <c r="BJ132" s="150">
        <f t="shared" si="55"/>
        <v>0</v>
      </c>
      <c r="BK132" s="163">
        <f t="shared" si="79"/>
        <v>0</v>
      </c>
      <c r="BL132" s="163">
        <f t="shared" si="56"/>
        <v>11.928402964889173</v>
      </c>
      <c r="BM132" s="163">
        <f t="shared" si="80"/>
        <v>2.3310535167151611</v>
      </c>
      <c r="BN132" s="163">
        <f t="shared" si="57"/>
        <v>8.3953002226735976E-2</v>
      </c>
      <c r="BO132" s="163">
        <f t="shared" si="58"/>
        <v>0</v>
      </c>
      <c r="BP132" s="164">
        <f t="shared" si="81"/>
        <v>703.80753079131728</v>
      </c>
      <c r="BQ132" s="164">
        <f>IF($E132="","",IF(AND($D132=Input!$C$6,$C132=12),0,-BJ133+BK133+BL133-BM133-BN133-BO133+BQ133))</f>
        <v>703.80756312348456</v>
      </c>
      <c r="BR132" s="161">
        <f t="shared" si="59"/>
        <v>0</v>
      </c>
      <c r="BT132" s="147">
        <f t="shared" si="60"/>
        <v>0.56247907762482541</v>
      </c>
      <c r="BU132" s="164">
        <f>IF(AND($C131=12,$D131=Input!$C$6),0,IF($E132="","",BK132+(BL132+BU133)/(1+$AK132)*MIN((1-T132-U132),1)))</f>
        <v>4924.4719344739515</v>
      </c>
      <c r="BV132" s="164">
        <f t="shared" si="61"/>
        <v>2769.9124314922478</v>
      </c>
      <c r="BW132" s="164">
        <f t="shared" si="62"/>
        <v>703.80756312348456</v>
      </c>
      <c r="BX132" s="164">
        <f t="shared" si="63"/>
        <v>395.87702893107365</v>
      </c>
    </row>
    <row r="133" spans="1:76" s="150" customFormat="1" x14ac:dyDescent="0.25">
      <c r="A133" s="150">
        <f t="shared" si="76"/>
        <v>129</v>
      </c>
      <c r="B133" s="150">
        <f t="shared" si="77"/>
        <v>11</v>
      </c>
      <c r="C133" s="150">
        <f t="shared" si="78"/>
        <v>9</v>
      </c>
      <c r="D133" s="150">
        <f>IF(E133="","",Input!$C$4+B133-1)</f>
        <v>55</v>
      </c>
      <c r="E133" s="150">
        <f>IF(OR(AND(C132=12,D132=Input!$C$6),E132=""),"",1)</f>
        <v>1</v>
      </c>
      <c r="F133" s="150">
        <f>IF(E133="","",Input!$C$8+B133-1)</f>
        <v>2028</v>
      </c>
      <c r="G133" s="151">
        <f>IF(E133="","",MAX(0,Input!$C$9-B133))</f>
        <v>9</v>
      </c>
      <c r="H133" s="152">
        <f>IF(E133="","",Input!$C$3)</f>
        <v>100000</v>
      </c>
      <c r="I133" s="153">
        <f>IF(E133="","",HLOOKUP($B133,Input!$C$13:$BT$14,2))</f>
        <v>2.2999999999999998</v>
      </c>
      <c r="J133" s="154"/>
      <c r="K133" s="155">
        <f>IF($E133="","",INDEX(Input!$C$16:$CP$16,1,$B133))</f>
        <v>2.5270000000000001E-2</v>
      </c>
      <c r="L133" s="155">
        <f>IF($E133="","",Input!$C$37)</f>
        <v>1.4999999999999999E-2</v>
      </c>
      <c r="M133" s="155">
        <f t="shared" si="64"/>
        <v>4.027E-2</v>
      </c>
      <c r="N133" s="155">
        <f t="shared" si="65"/>
        <v>3.2954426413740467E-3</v>
      </c>
      <c r="O133" s="147">
        <f>IF($E133="","",MIN(VLOOKUP(IF($B133&lt;=Input!$C$7,$B133,26),'Mortality Tables'!$A$41:$CW$67,IF($B133&lt;=Input!$C$7+1,Input!$C$4+2,$D133-Input!$C$7+2),0)*IF(B133&gt;20,Input!$C$22,1)/1000,1))</f>
        <v>1.5039999999999999E-3</v>
      </c>
      <c r="P133" s="147">
        <f>IF($E133="","",MIN(VLOOKUP(IF($B133&lt;=Input!$C$7,$B133,26),'Mortality Tables'!$A$12:$CW$37,IF($B133&lt;=Input!$C$7+1,Input!$C$4+2,$D133-Input!$C$7+2),0)*IF(B133&gt;20,Input!$C$22,1)/1000,1))</f>
        <v>1.8799999999999999E-3</v>
      </c>
      <c r="Q133" s="155">
        <f>IF($E133="","",Input!$C$21)</f>
        <v>5.0000000000000001E-3</v>
      </c>
      <c r="R133" s="159">
        <f>IF($E133="","",(1-Q133)^($F133-Input!$C$20))</f>
        <v>0.95111013046577197</v>
      </c>
      <c r="S133" s="147">
        <f t="shared" ref="S133:S196" si="82">IF($E133="","",MIN(O133*R133,1))</f>
        <v>1.4304696362205209E-3</v>
      </c>
      <c r="T133" s="147">
        <f t="shared" ref="T133:T196" si="83">IF($E133="","",1-(1-S133)^(1/12))</f>
        <v>1.1928402964889173E-4</v>
      </c>
      <c r="U133" s="160">
        <f>IF($E133="","",IF($C133=12,INDEX(Input!$C$15:$CP$15,1,$B133),0))</f>
        <v>0</v>
      </c>
      <c r="V133" s="150">
        <f>IF(E133="","",IF(C133=1,IF($B133=1,Input!$C$33,Input!$C$34),0))</f>
        <v>0</v>
      </c>
      <c r="W133" s="156">
        <f>IF($E133="","",Input!$C$35)</f>
        <v>0.02</v>
      </c>
      <c r="X133" s="156">
        <f t="shared" ref="X133:X196" si="84">IF($E133="","",IF(B133=1,1,IF(C133=1,(1+W133)*X132,X132)))</f>
        <v>1.2189944199947573</v>
      </c>
      <c r="Y133" s="154"/>
      <c r="Z133" s="147">
        <f>IF($E133="","",VLOOKUP($D133,'Mortality Margins &amp; Grading'!$AB$5:$AF$125,3,0)*IF(Summary!$D$25="Included Margin",IF(AND($B133&gt;Input!$C$9,Summary!$D$31&lt;&gt;"Included Margin"),0,1),0))</f>
        <v>3.7999999999999999E-2</v>
      </c>
      <c r="AA133" s="147">
        <f>IF($E133="","",VLOOKUP($D133,'Mortality Margins &amp; Grading'!$AB$5:$AF$125,5,0)*IF(Summary!$D$25="Included Margin",IF(AND($B133&gt;Input!$C$9,Summary!$D$31&lt;&gt;"Included Margin"),0,1),0))</f>
        <v>0.192</v>
      </c>
      <c r="AB133" s="147">
        <f>IF($E133="","",IF(AND($B133&gt;Input!$C$9,Summary!$D$31&lt;&gt;"Included Margin"),1,IF(Summary!$D$25="Included Margin",VLOOKUP($B133,'Mortality Margins &amp; Grading'!$AI$5:$AR$125,MATCH('Mortality Margins &amp; Grading'!$AQ$4,'Mortality Margins &amp; Grading'!$AI$4:$AR$4,0),0),1)))</f>
        <v>1</v>
      </c>
      <c r="AC133" s="154"/>
      <c r="AD133" s="158">
        <f>IF(E133="","",Input!$C$48*IF(Summary!$D$30="Included Margin",IF(AND($B133&gt;Input!$C$9,Summary!$D$31&lt;&gt;"Included Margin"),0,1),0))</f>
        <v>-4.4999999999999997E-3</v>
      </c>
      <c r="AE133" s="159">
        <f>IF(E133="","",IF(Summary!$D$26="Included Margin",IF(AND($B133&gt;Input!$C$9,Summary!$D$31&lt;&gt;"Included Margin"),1,1/$R133),1))</f>
        <v>1.0514029532103564</v>
      </c>
      <c r="AF133" s="160">
        <f>IF(E133="","",IF(AND($B133&gt;=Input!$C$9,$C133=12,Summary!$D$31="Included Margin",$U133&gt;0),1/U133-1,IF($B133&gt;=Input!$C$9,0,Input!$C$45*IF(Summary!$D$27="Included Margin",1,0))))</f>
        <v>-0.1</v>
      </c>
      <c r="AG133" s="160">
        <f>IF(E133="","",Input!$C$46*IF(Summary!$D$28="Included Margin",IF(AND($B133&gt;Input!$C$9,Summary!$D$31&lt;&gt;"Included Margin"),0,1),0))</f>
        <v>0.02</v>
      </c>
      <c r="AH133" s="158">
        <f>IF(E133="","",Input!$C$47*IF(Summary!$D$29="Included Margin",IF(AND($B133&gt;Input!$C$9,Summary!$D$31&lt;&gt;"Included Margin"),0,1),0))</f>
        <v>2.5000000000000001E-3</v>
      </c>
      <c r="AI133" s="154"/>
      <c r="AJ133" s="158">
        <f t="shared" si="66"/>
        <v>3.5770000000000003E-2</v>
      </c>
      <c r="AK133" s="155">
        <f t="shared" si="67"/>
        <v>2.9330522945167914E-3</v>
      </c>
      <c r="AL133" s="147">
        <f t="shared" si="68"/>
        <v>1.5611519999999999E-3</v>
      </c>
      <c r="AM133" s="147">
        <f t="shared" ref="AM133:AM196" si="85">IF($E133="","",1-(1-AL133)^(1/12))</f>
        <v>1.3018918028206983E-4</v>
      </c>
      <c r="AN133" s="160">
        <f t="shared" si="69"/>
        <v>0</v>
      </c>
      <c r="AO133" s="161">
        <f t="shared" si="70"/>
        <v>0</v>
      </c>
      <c r="AP133" s="156">
        <f t="shared" ref="AP133:AP196" si="86">IF($E133="","",IF(B133=1,1,IF(C133=1,(1+$W133+$AH133)*AP132,AP132)))</f>
        <v>1.2492034264621252</v>
      </c>
      <c r="AQ133" s="152"/>
      <c r="AR133" s="162">
        <f t="shared" ref="AR133:AR196" si="87">IF($E133="","",(AZ133*(1-$AN133)*(1-$AM133)/(1+$AK133)+AU133/(1+$AK133/2)-AS133+AT133))</f>
        <v>1041.2173324327334</v>
      </c>
      <c r="AS133" s="150">
        <f t="shared" si="71"/>
        <v>0</v>
      </c>
      <c r="AT133" s="163">
        <f t="shared" ref="AT133:AT196" si="88">IF($E133="","",$AO133*$AP133)</f>
        <v>0</v>
      </c>
      <c r="AU133" s="163">
        <f t="shared" ref="AU133:AU196" si="89">IF($E133="","",$AM133*$H133)</f>
        <v>13.018918028206983</v>
      </c>
      <c r="AV133" s="163">
        <f t="shared" si="72"/>
        <v>3.0348523022851026</v>
      </c>
      <c r="AW133" s="163">
        <f t="shared" ref="AW133:AW196" si="90">IF($E133="","",AZ133*$AM133)</f>
        <v>0.13427289819063992</v>
      </c>
      <c r="AX133" s="163">
        <f t="shared" ref="AX133:AX196" si="91">IF($E133="","",$AN133*AZ133*(1-$AM133))</f>
        <v>0</v>
      </c>
      <c r="AY133" s="164">
        <f t="shared" si="73"/>
        <v>1031.3675396050021</v>
      </c>
      <c r="AZ133" s="164">
        <f>IF($E133="","",IF(OR(AND($D133=Input!$C$6,$C133=12),$AN133=1),0,-AS134+AT134+AU134-AV134-AW134-AX134+AZ134))</f>
        <v>1031.3675675637733</v>
      </c>
      <c r="BA133" s="154">
        <f t="shared" ref="BA133:BA196" si="92">IF(E133="","",AZ133-AY133)</f>
        <v>2.7958771170233376E-5</v>
      </c>
      <c r="BC133" s="147">
        <f t="shared" si="74"/>
        <v>0.56241198285385308</v>
      </c>
      <c r="BD133" s="164">
        <f>IF(AND($C132=12,$D132=Input!$C$6),0,IF($E133="","",AT133+(AU133+BD134)/(1+$AK133)*MIN((1-AM133-AN133),1)))</f>
        <v>2637.8300701055273</v>
      </c>
      <c r="BE133" s="164">
        <f t="shared" ref="BE133:BE196" si="93">IF($E133="","",BC133*BD133)</f>
        <v>1483.5472401595678</v>
      </c>
      <c r="BF133" s="164">
        <f t="shared" si="75"/>
        <v>1031.3675675637733</v>
      </c>
      <c r="BG133" s="164">
        <f t="shared" ref="BG133:BG196" si="94">IF($E133="","",BC133*BF133)</f>
        <v>580.05347872469702</v>
      </c>
      <c r="BH133" s="152"/>
      <c r="BI133" s="162">
        <f t="shared" ref="BI133:BI196" si="95">IF($E133="","",(BQ133*(1-$U133)*(1-$T133)/(1+$N133)+BL133/(1+$N133/2)-BJ133+BK133))</f>
        <v>703.80753079131716</v>
      </c>
      <c r="BJ133" s="150">
        <f t="shared" ref="BJ133:BJ196" si="96">IF($E133="","",AS133)</f>
        <v>0</v>
      </c>
      <c r="BK133" s="163">
        <f t="shared" si="79"/>
        <v>0</v>
      </c>
      <c r="BL133" s="163">
        <f t="shared" ref="BL133:BL196" si="97">IF(E133="","",$T133*$H133)</f>
        <v>11.928402964889173</v>
      </c>
      <c r="BM133" s="163">
        <f t="shared" si="80"/>
        <v>2.29970266440289</v>
      </c>
      <c r="BN133" s="163">
        <f t="shared" ref="BN133:BN196" si="98">IF($E133="","",BQ133*$T133)</f>
        <v>8.2814330481665005E-2</v>
      </c>
      <c r="BO133" s="163">
        <f t="shared" ref="BO133:BO196" si="99">IF($E133="","",$U133*BQ133*(1-$T133))</f>
        <v>0</v>
      </c>
      <c r="BP133" s="164">
        <f t="shared" si="81"/>
        <v>694.26164482131253</v>
      </c>
      <c r="BQ133" s="164">
        <f>IF($E133="","",IF(AND($D133=Input!$C$6,$C133=12),0,-BJ134+BK134+BL134-BM134-BN134-BO134+BQ134))</f>
        <v>694.26167715347992</v>
      </c>
      <c r="BR133" s="161">
        <f t="shared" ref="BR133:BR196" si="100">IF(E133="","",ROUND(BQ133-BP133,1))</f>
        <v>0</v>
      </c>
      <c r="BT133" s="147">
        <f t="shared" ref="BT133:BT196" si="101">IF(E133="","",BC133)</f>
        <v>0.56241198285385308</v>
      </c>
      <c r="BU133" s="164">
        <f>IF(AND($C132=12,$D132=Input!$C$6),0,IF($E133="","",BK133+(BL133+BU134)/(1+$AK133)*MIN((1-T133-U133),1)))</f>
        <v>4927.5764692613848</v>
      </c>
      <c r="BV133" s="164">
        <f t="shared" ref="BV133:BV196" si="102">IF(E133="","",BT133*BU133)</f>
        <v>2771.328052741284</v>
      </c>
      <c r="BW133" s="164">
        <f t="shared" ref="BW133:BW196" si="103">IF(E133="","",BQ133)</f>
        <v>694.26167715347992</v>
      </c>
      <c r="BX133" s="164">
        <f t="shared" ref="BX133:BX196" si="104">IF(E133="","",BT133*BW133)</f>
        <v>390.46108646733023</v>
      </c>
    </row>
    <row r="134" spans="1:76" s="150" customFormat="1" x14ac:dyDescent="0.25">
      <c r="A134" s="150">
        <f t="shared" si="76"/>
        <v>130</v>
      </c>
      <c r="B134" s="150">
        <f t="shared" si="77"/>
        <v>11</v>
      </c>
      <c r="C134" s="150">
        <f t="shared" si="78"/>
        <v>10</v>
      </c>
      <c r="D134" s="150">
        <f>IF(E134="","",Input!$C$4+B134-1)</f>
        <v>55</v>
      </c>
      <c r="E134" s="150">
        <f>IF(OR(AND(C133=12,D133=Input!$C$6),E133=""),"",1)</f>
        <v>1</v>
      </c>
      <c r="F134" s="150">
        <f>IF(E134="","",Input!$C$8+B134-1)</f>
        <v>2028</v>
      </c>
      <c r="G134" s="151">
        <f>IF(E134="","",MAX(0,Input!$C$9-B134))</f>
        <v>9</v>
      </c>
      <c r="H134" s="152">
        <f>IF(E134="","",Input!$C$3)</f>
        <v>100000</v>
      </c>
      <c r="I134" s="153">
        <f>IF(E134="","",HLOOKUP($B134,Input!$C$13:$BT$14,2))</f>
        <v>2.2999999999999998</v>
      </c>
      <c r="J134" s="154"/>
      <c r="K134" s="155">
        <f>IF($E134="","",INDEX(Input!$C$16:$CP$16,1,$B134))</f>
        <v>2.5270000000000001E-2</v>
      </c>
      <c r="L134" s="155">
        <f>IF($E134="","",Input!$C$37)</f>
        <v>1.4999999999999999E-2</v>
      </c>
      <c r="M134" s="155">
        <f t="shared" ref="M134:M197" si="105">IF($E134="","",K134+L134)</f>
        <v>4.027E-2</v>
      </c>
      <c r="N134" s="155">
        <f t="shared" ref="N134:N197" si="106">IF($E134="","",(1+M134)^(1/12)-1)</f>
        <v>3.2954426413740467E-3</v>
      </c>
      <c r="O134" s="147">
        <f>IF($E134="","",MIN(VLOOKUP(IF($B134&lt;=Input!$C$7,$B134,26),'Mortality Tables'!$A$41:$CW$67,IF($B134&lt;=Input!$C$7+1,Input!$C$4+2,$D134-Input!$C$7+2),0)*IF(B134&gt;20,Input!$C$22,1)/1000,1))</f>
        <v>1.5039999999999999E-3</v>
      </c>
      <c r="P134" s="147">
        <f>IF($E134="","",MIN(VLOOKUP(IF($B134&lt;=Input!$C$7,$B134,26),'Mortality Tables'!$A$12:$CW$37,IF($B134&lt;=Input!$C$7+1,Input!$C$4+2,$D134-Input!$C$7+2),0)*IF(B134&gt;20,Input!$C$22,1)/1000,1))</f>
        <v>1.8799999999999999E-3</v>
      </c>
      <c r="Q134" s="155">
        <f>IF($E134="","",Input!$C$21)</f>
        <v>5.0000000000000001E-3</v>
      </c>
      <c r="R134" s="159">
        <f>IF($E134="","",(1-Q134)^($F134-Input!$C$20))</f>
        <v>0.95111013046577197</v>
      </c>
      <c r="S134" s="147">
        <f t="shared" si="82"/>
        <v>1.4304696362205209E-3</v>
      </c>
      <c r="T134" s="147">
        <f t="shared" si="83"/>
        <v>1.1928402964889173E-4</v>
      </c>
      <c r="U134" s="160">
        <f>IF($E134="","",IF($C134=12,INDEX(Input!$C$15:$CP$15,1,$B134),0))</f>
        <v>0</v>
      </c>
      <c r="V134" s="150">
        <f>IF(E134="","",IF(C134=1,IF($B134=1,Input!$C$33,Input!$C$34),0))</f>
        <v>0</v>
      </c>
      <c r="W134" s="156">
        <f>IF($E134="","",Input!$C$35)</f>
        <v>0.02</v>
      </c>
      <c r="X134" s="156">
        <f t="shared" si="84"/>
        <v>1.2189944199947573</v>
      </c>
      <c r="Y134" s="154"/>
      <c r="Z134" s="147">
        <f>IF($E134="","",VLOOKUP($D134,'Mortality Margins &amp; Grading'!$AB$5:$AF$125,3,0)*IF(Summary!$D$25="Included Margin",IF(AND($B134&gt;Input!$C$9,Summary!$D$31&lt;&gt;"Included Margin"),0,1),0))</f>
        <v>3.7999999999999999E-2</v>
      </c>
      <c r="AA134" s="147">
        <f>IF($E134="","",VLOOKUP($D134,'Mortality Margins &amp; Grading'!$AB$5:$AF$125,5,0)*IF(Summary!$D$25="Included Margin",IF(AND($B134&gt;Input!$C$9,Summary!$D$31&lt;&gt;"Included Margin"),0,1),0))</f>
        <v>0.192</v>
      </c>
      <c r="AB134" s="147">
        <f>IF($E134="","",IF(AND($B134&gt;Input!$C$9,Summary!$D$31&lt;&gt;"Included Margin"),1,IF(Summary!$D$25="Included Margin",VLOOKUP($B134,'Mortality Margins &amp; Grading'!$AI$5:$AR$125,MATCH('Mortality Margins &amp; Grading'!$AQ$4,'Mortality Margins &amp; Grading'!$AI$4:$AR$4,0),0),1)))</f>
        <v>1</v>
      </c>
      <c r="AC134" s="154"/>
      <c r="AD134" s="158">
        <f>IF(E134="","",Input!$C$48*IF(Summary!$D$30="Included Margin",IF(AND($B134&gt;Input!$C$9,Summary!$D$31&lt;&gt;"Included Margin"),0,1),0))</f>
        <v>-4.4999999999999997E-3</v>
      </c>
      <c r="AE134" s="159">
        <f>IF(E134="","",IF(Summary!$D$26="Included Margin",IF(AND($B134&gt;Input!$C$9,Summary!$D$31&lt;&gt;"Included Margin"),1,1/$R134),1))</f>
        <v>1.0514029532103564</v>
      </c>
      <c r="AF134" s="160">
        <f>IF(E134="","",IF(AND($B134&gt;=Input!$C$9,$C134=12,Summary!$D$31="Included Margin",$U134&gt;0),1/U134-1,IF($B134&gt;=Input!$C$9,0,Input!$C$45*IF(Summary!$D$27="Included Margin",1,0))))</f>
        <v>-0.1</v>
      </c>
      <c r="AG134" s="160">
        <f>IF(E134="","",Input!$C$46*IF(Summary!$D$28="Included Margin",IF(AND($B134&gt;Input!$C$9,Summary!$D$31&lt;&gt;"Included Margin"),0,1),0))</f>
        <v>0.02</v>
      </c>
      <c r="AH134" s="158">
        <f>IF(E134="","",Input!$C$47*IF(Summary!$D$29="Included Margin",IF(AND($B134&gt;Input!$C$9,Summary!$D$31&lt;&gt;"Included Margin"),0,1),0))</f>
        <v>2.5000000000000001E-3</v>
      </c>
      <c r="AI134" s="154"/>
      <c r="AJ134" s="158">
        <f t="shared" ref="AJ134:AJ197" si="107">IF(E134="","",M134+AD134)</f>
        <v>3.5770000000000003E-2</v>
      </c>
      <c r="AK134" s="155">
        <f t="shared" ref="AK134:AK197" si="108">IF(E134="","",(1+AJ134)^(1/12)-1)</f>
        <v>2.9330522945167914E-3</v>
      </c>
      <c r="AL134" s="147">
        <f t="shared" ref="AL134:AL197" si="109">IF($E134="","",MIN(($O134*(1+$Z134)*$AB134+$P134*(1+$AA134)*(1-$AB134))*R134*AE134,1))</f>
        <v>1.5611519999999999E-3</v>
      </c>
      <c r="AM134" s="147">
        <f t="shared" si="85"/>
        <v>1.3018918028206983E-4</v>
      </c>
      <c r="AN134" s="160">
        <f t="shared" ref="AN134:AN197" si="110">IF(E134="","",IF(U134=1,1,(1+AF134)*U134))</f>
        <v>0</v>
      </c>
      <c r="AO134" s="161">
        <f t="shared" ref="AO134:AO197" si="111">IF($E134="","",(1+$AG134)*$V134)</f>
        <v>0</v>
      </c>
      <c r="AP134" s="156">
        <f t="shared" si="86"/>
        <v>1.2492034264621252</v>
      </c>
      <c r="AQ134" s="152"/>
      <c r="AR134" s="162">
        <f t="shared" si="87"/>
        <v>1031.3675396050023</v>
      </c>
      <c r="AS134" s="150">
        <f t="shared" ref="AS134:AS197" si="112">IF($E134="","",IF($C134=1,$I134*$H134/1000,0))</f>
        <v>0</v>
      </c>
      <c r="AT134" s="163">
        <f t="shared" si="88"/>
        <v>0</v>
      </c>
      <c r="AU134" s="163">
        <f t="shared" si="89"/>
        <v>13.018918028206983</v>
      </c>
      <c r="AV134" s="163">
        <f t="shared" ref="AV134:AV197" si="113">IF($E134="","",(AR134+AS134-AT134-AU134/2)*$AK134)</f>
        <v>3.0059623448312109</v>
      </c>
      <c r="AW134" s="163">
        <f t="shared" si="90"/>
        <v>0.13298663311877473</v>
      </c>
      <c r="AX134" s="163">
        <f t="shared" si="91"/>
        <v>0</v>
      </c>
      <c r="AY134" s="164">
        <f t="shared" ref="AY134:AY197" si="114">IF($E134="","",AR134+AS134-AT134-AU134+AV134+AW134+AX134)</f>
        <v>1021.4875705547454</v>
      </c>
      <c r="AZ134" s="164">
        <f>IF($E134="","",IF(OR(AND($D134=Input!$C$6,$C134=12),$AN134=1),0,-AS135+AT135+AU135-AV135-AW135-AX135+AZ135))</f>
        <v>1021.4875985135162</v>
      </c>
      <c r="BA134" s="154">
        <f t="shared" si="92"/>
        <v>2.7958770829172863E-5</v>
      </c>
      <c r="BC134" s="147">
        <f t="shared" ref="BC134:BC197" si="115">IF($E134="","",MIN(1,(1-T134-U134))*BC133)</f>
        <v>0.56234489608621541</v>
      </c>
      <c r="BD134" s="164">
        <f>IF(AND($C133=12,$D133=Input!$C$6),0,IF($E134="","",AT134+(AU134+BD135)/(1+$AK134)*MIN((1-AM134-AN134),1)))</f>
        <v>2632.8925146575093</v>
      </c>
      <c r="BE134" s="164">
        <f t="shared" si="93"/>
        <v>1480.5936675612516</v>
      </c>
      <c r="BF134" s="164">
        <f t="shared" ref="BF134:BF197" si="116">IF($E134="","",AZ134)</f>
        <v>1021.4875985135162</v>
      </c>
      <c r="BG134" s="164">
        <f t="shared" si="94"/>
        <v>574.42833743944095</v>
      </c>
      <c r="BH134" s="152"/>
      <c r="BI134" s="162">
        <f t="shared" si="95"/>
        <v>694.26164482131264</v>
      </c>
      <c r="BJ134" s="150">
        <f t="shared" si="96"/>
        <v>0</v>
      </c>
      <c r="BK134" s="163">
        <f t="shared" si="79"/>
        <v>0</v>
      </c>
      <c r="BL134" s="163">
        <f t="shared" si="97"/>
        <v>11.928402964889173</v>
      </c>
      <c r="BM134" s="163">
        <f t="shared" si="80"/>
        <v>2.2682447447276428</v>
      </c>
      <c r="BN134" s="163">
        <f t="shared" si="98"/>
        <v>8.1671770019954806E-2</v>
      </c>
      <c r="BO134" s="163">
        <f t="shared" si="99"/>
        <v>0</v>
      </c>
      <c r="BP134" s="164">
        <f t="shared" si="81"/>
        <v>684.68315837117109</v>
      </c>
      <c r="BQ134" s="164">
        <f>IF($E134="","",IF(AND($D134=Input!$C$6,$C134=12),0,-BJ135+BK135+BL135-BM135-BN135-BO135+BQ135))</f>
        <v>684.68319070333837</v>
      </c>
      <c r="BR134" s="161">
        <f t="shared" si="100"/>
        <v>0</v>
      </c>
      <c r="BT134" s="147">
        <f t="shared" si="101"/>
        <v>0.56234489608621541</v>
      </c>
      <c r="BU134" s="164">
        <f>IF(AND($C133=12,$D133=Input!$C$6),0,IF($E134="","",BK134+(BL134+BU135)/(1+$AK134)*MIN((1-T134-U134),1)))</f>
        <v>4930.6904812635994</v>
      </c>
      <c r="BV134" s="164">
        <f t="shared" si="102"/>
        <v>2772.7486263194701</v>
      </c>
      <c r="BW134" s="164">
        <f t="shared" si="103"/>
        <v>684.68319070333837</v>
      </c>
      <c r="BX134" s="164">
        <f t="shared" si="104"/>
        <v>385.02809772804721</v>
      </c>
    </row>
    <row r="135" spans="1:76" s="150" customFormat="1" x14ac:dyDescent="0.25">
      <c r="A135" s="150">
        <f t="shared" ref="A135:A198" si="117">IF(E135="","",A134+1)</f>
        <v>131</v>
      </c>
      <c r="B135" s="150">
        <f t="shared" ref="B135:B198" si="118">IF(E135="","",IF(C134+1&gt;12,B134+1,B134))</f>
        <v>11</v>
      </c>
      <c r="C135" s="150">
        <f t="shared" ref="C135:C198" si="119">IF(E135="","",IF(C134+1&gt;12,1,C134+1))</f>
        <v>11</v>
      </c>
      <c r="D135" s="150">
        <f>IF(E135="","",Input!$C$4+B135-1)</f>
        <v>55</v>
      </c>
      <c r="E135" s="150">
        <f>IF(OR(AND(C134=12,D134=Input!$C$6),E134=""),"",1)</f>
        <v>1</v>
      </c>
      <c r="F135" s="150">
        <f>IF(E135="","",Input!$C$8+B135-1)</f>
        <v>2028</v>
      </c>
      <c r="G135" s="151">
        <f>IF(E135="","",MAX(0,Input!$C$9-B135))</f>
        <v>9</v>
      </c>
      <c r="H135" s="152">
        <f>IF(E135="","",Input!$C$3)</f>
        <v>100000</v>
      </c>
      <c r="I135" s="153">
        <f>IF(E135="","",HLOOKUP($B135,Input!$C$13:$BT$14,2))</f>
        <v>2.2999999999999998</v>
      </c>
      <c r="J135" s="154"/>
      <c r="K135" s="155">
        <f>IF($E135="","",INDEX(Input!$C$16:$CP$16,1,$B135))</f>
        <v>2.5270000000000001E-2</v>
      </c>
      <c r="L135" s="155">
        <f>IF($E135="","",Input!$C$37)</f>
        <v>1.4999999999999999E-2</v>
      </c>
      <c r="M135" s="155">
        <f t="shared" si="105"/>
        <v>4.027E-2</v>
      </c>
      <c r="N135" s="155">
        <f t="shared" si="106"/>
        <v>3.2954426413740467E-3</v>
      </c>
      <c r="O135" s="147">
        <f>IF($E135="","",MIN(VLOOKUP(IF($B135&lt;=Input!$C$7,$B135,26),'Mortality Tables'!$A$41:$CW$67,IF($B135&lt;=Input!$C$7+1,Input!$C$4+2,$D135-Input!$C$7+2),0)*IF(B135&gt;20,Input!$C$22,1)/1000,1))</f>
        <v>1.5039999999999999E-3</v>
      </c>
      <c r="P135" s="147">
        <f>IF($E135="","",MIN(VLOOKUP(IF($B135&lt;=Input!$C$7,$B135,26),'Mortality Tables'!$A$12:$CW$37,IF($B135&lt;=Input!$C$7+1,Input!$C$4+2,$D135-Input!$C$7+2),0)*IF(B135&gt;20,Input!$C$22,1)/1000,1))</f>
        <v>1.8799999999999999E-3</v>
      </c>
      <c r="Q135" s="155">
        <f>IF($E135="","",Input!$C$21)</f>
        <v>5.0000000000000001E-3</v>
      </c>
      <c r="R135" s="159">
        <f>IF($E135="","",(1-Q135)^($F135-Input!$C$20))</f>
        <v>0.95111013046577197</v>
      </c>
      <c r="S135" s="147">
        <f t="shared" si="82"/>
        <v>1.4304696362205209E-3</v>
      </c>
      <c r="T135" s="147">
        <f t="shared" si="83"/>
        <v>1.1928402964889173E-4</v>
      </c>
      <c r="U135" s="160">
        <f>IF($E135="","",IF($C135=12,INDEX(Input!$C$15:$CP$15,1,$B135),0))</f>
        <v>0</v>
      </c>
      <c r="V135" s="150">
        <f>IF(E135="","",IF(C135=1,IF($B135=1,Input!$C$33,Input!$C$34),0))</f>
        <v>0</v>
      </c>
      <c r="W135" s="156">
        <f>IF($E135="","",Input!$C$35)</f>
        <v>0.02</v>
      </c>
      <c r="X135" s="156">
        <f t="shared" si="84"/>
        <v>1.2189944199947573</v>
      </c>
      <c r="Y135" s="154"/>
      <c r="Z135" s="147">
        <f>IF($E135="","",VLOOKUP($D135,'Mortality Margins &amp; Grading'!$AB$5:$AF$125,3,0)*IF(Summary!$D$25="Included Margin",IF(AND($B135&gt;Input!$C$9,Summary!$D$31&lt;&gt;"Included Margin"),0,1),0))</f>
        <v>3.7999999999999999E-2</v>
      </c>
      <c r="AA135" s="147">
        <f>IF($E135="","",VLOOKUP($D135,'Mortality Margins &amp; Grading'!$AB$5:$AF$125,5,0)*IF(Summary!$D$25="Included Margin",IF(AND($B135&gt;Input!$C$9,Summary!$D$31&lt;&gt;"Included Margin"),0,1),0))</f>
        <v>0.192</v>
      </c>
      <c r="AB135" s="147">
        <f>IF($E135="","",IF(AND($B135&gt;Input!$C$9,Summary!$D$31&lt;&gt;"Included Margin"),1,IF(Summary!$D$25="Included Margin",VLOOKUP($B135,'Mortality Margins &amp; Grading'!$AI$5:$AR$125,MATCH('Mortality Margins &amp; Grading'!$AQ$4,'Mortality Margins &amp; Grading'!$AI$4:$AR$4,0),0),1)))</f>
        <v>1</v>
      </c>
      <c r="AC135" s="154"/>
      <c r="AD135" s="158">
        <f>IF(E135="","",Input!$C$48*IF(Summary!$D$30="Included Margin",IF(AND($B135&gt;Input!$C$9,Summary!$D$31&lt;&gt;"Included Margin"),0,1),0))</f>
        <v>-4.4999999999999997E-3</v>
      </c>
      <c r="AE135" s="159">
        <f>IF(E135="","",IF(Summary!$D$26="Included Margin",IF(AND($B135&gt;Input!$C$9,Summary!$D$31&lt;&gt;"Included Margin"),1,1/$R135),1))</f>
        <v>1.0514029532103564</v>
      </c>
      <c r="AF135" s="160">
        <f>IF(E135="","",IF(AND($B135&gt;=Input!$C$9,$C135=12,Summary!$D$31="Included Margin",$U135&gt;0),1/U135-1,IF($B135&gt;=Input!$C$9,0,Input!$C$45*IF(Summary!$D$27="Included Margin",1,0))))</f>
        <v>-0.1</v>
      </c>
      <c r="AG135" s="160">
        <f>IF(E135="","",Input!$C$46*IF(Summary!$D$28="Included Margin",IF(AND($B135&gt;Input!$C$9,Summary!$D$31&lt;&gt;"Included Margin"),0,1),0))</f>
        <v>0.02</v>
      </c>
      <c r="AH135" s="158">
        <f>IF(E135="","",Input!$C$47*IF(Summary!$D$29="Included Margin",IF(AND($B135&gt;Input!$C$9,Summary!$D$31&lt;&gt;"Included Margin"),0,1),0))</f>
        <v>2.5000000000000001E-3</v>
      </c>
      <c r="AI135" s="154"/>
      <c r="AJ135" s="158">
        <f t="shared" si="107"/>
        <v>3.5770000000000003E-2</v>
      </c>
      <c r="AK135" s="155">
        <f t="shared" si="108"/>
        <v>2.9330522945167914E-3</v>
      </c>
      <c r="AL135" s="147">
        <f t="shared" si="109"/>
        <v>1.5611519999999999E-3</v>
      </c>
      <c r="AM135" s="147">
        <f t="shared" si="85"/>
        <v>1.3018918028206983E-4</v>
      </c>
      <c r="AN135" s="160">
        <f t="shared" si="110"/>
        <v>0</v>
      </c>
      <c r="AO135" s="161">
        <f t="shared" si="111"/>
        <v>0</v>
      </c>
      <c r="AP135" s="156">
        <f t="shared" si="86"/>
        <v>1.2492034264621252</v>
      </c>
      <c r="AQ135" s="152"/>
      <c r="AR135" s="162">
        <f t="shared" si="87"/>
        <v>1021.4875705547454</v>
      </c>
      <c r="AS135" s="150">
        <f t="shared" si="112"/>
        <v>0</v>
      </c>
      <c r="AT135" s="163">
        <f t="shared" si="88"/>
        <v>0</v>
      </c>
      <c r="AU135" s="163">
        <f t="shared" si="89"/>
        <v>13.018918028206983</v>
      </c>
      <c r="AV135" s="163">
        <f t="shared" si="113"/>
        <v>2.9769838789385994</v>
      </c>
      <c r="AW135" s="163">
        <f t="shared" si="90"/>
        <v>0.13169642739336337</v>
      </c>
      <c r="AX135" s="163">
        <f t="shared" si="91"/>
        <v>0</v>
      </c>
      <c r="AY135" s="164">
        <f t="shared" si="114"/>
        <v>1011.5773328328704</v>
      </c>
      <c r="AZ135" s="164">
        <f>IF($E135="","",IF(OR(AND($D135=Input!$C$6,$C135=12),$AN135=1),0,-AS136+AT136+AU136-AV136-AW136-AX136+AZ136))</f>
        <v>1011.5773607916412</v>
      </c>
      <c r="BA135" s="154">
        <f t="shared" si="92"/>
        <v>2.7958770829172863E-5</v>
      </c>
      <c r="BC135" s="147">
        <f t="shared" si="115"/>
        <v>0.56227781732095772</v>
      </c>
      <c r="BD135" s="164">
        <f>IF(AND($C134=12,$D134=Input!$C$6),0,IF($E135="","",AT135+(AU135+BD136)/(1+$AK135)*MIN((1-AM135-AN135),1)))</f>
        <v>2627.9398323155006</v>
      </c>
      <c r="BE135" s="164">
        <f t="shared" si="93"/>
        <v>1477.6322729651633</v>
      </c>
      <c r="BF135" s="164">
        <f t="shared" si="116"/>
        <v>1011.5773607916412</v>
      </c>
      <c r="BG135" s="164">
        <f t="shared" si="94"/>
        <v>568.78751047721903</v>
      </c>
      <c r="BH135" s="152"/>
      <c r="BI135" s="162">
        <f t="shared" si="95"/>
        <v>684.68315837117109</v>
      </c>
      <c r="BJ135" s="150">
        <f t="shared" si="96"/>
        <v>0</v>
      </c>
      <c r="BK135" s="163">
        <f t="shared" ref="BK135:BK198" si="120">IF($E135="","",$V135*$X135)</f>
        <v>0</v>
      </c>
      <c r="BL135" s="163">
        <f t="shared" si="97"/>
        <v>11.928402964889173</v>
      </c>
      <c r="BM135" s="163">
        <f t="shared" ref="BM135:BM198" si="121">IF($E135="","",(BI135+BJ135-BK135-BL135/2)*$N135)</f>
        <v>2.2366793920400228</v>
      </c>
      <c r="BN135" s="163">
        <f t="shared" si="98"/>
        <v>8.052530756111681E-2</v>
      </c>
      <c r="BO135" s="163">
        <f t="shared" si="99"/>
        <v>0</v>
      </c>
      <c r="BP135" s="164">
        <f t="shared" ref="BP135:BP198" si="122">IF($E135="","",BI135+BJ135-BK135-BL135+BM135+BN135+BO135)</f>
        <v>675.07196010588302</v>
      </c>
      <c r="BQ135" s="164">
        <f>IF($E135="","",IF(AND($D135=Input!$C$6,$C135=12),0,-BJ136+BK136+BL136-BM136-BN136-BO136+BQ136))</f>
        <v>675.0719924380503</v>
      </c>
      <c r="BR135" s="161">
        <f t="shared" si="100"/>
        <v>0</v>
      </c>
      <c r="BT135" s="147">
        <f t="shared" si="101"/>
        <v>0.56227781732095772</v>
      </c>
      <c r="BU135" s="164">
        <f>IF(AND($C134=12,$D134=Input!$C$6),0,IF($E135="","",BK135+(BL135+BU136)/(1+$AK135)*MIN((1-T135-U135),1)))</f>
        <v>4933.8139994116937</v>
      </c>
      <c r="BV135" s="164">
        <f t="shared" si="102"/>
        <v>2774.1741666567923</v>
      </c>
      <c r="BW135" s="164">
        <f t="shared" si="103"/>
        <v>675.0719924380503</v>
      </c>
      <c r="BX135" s="164">
        <f t="shared" si="104"/>
        <v>379.57800644257702</v>
      </c>
    </row>
    <row r="136" spans="1:76" s="150" customFormat="1" x14ac:dyDescent="0.25">
      <c r="A136" s="150">
        <f t="shared" si="117"/>
        <v>132</v>
      </c>
      <c r="B136" s="150">
        <f t="shared" si="118"/>
        <v>11</v>
      </c>
      <c r="C136" s="150">
        <f t="shared" si="119"/>
        <v>12</v>
      </c>
      <c r="D136" s="150">
        <f>IF(E136="","",Input!$C$4+B136-1)</f>
        <v>55</v>
      </c>
      <c r="E136" s="150">
        <f>IF(OR(AND(C135=12,D135=Input!$C$6),E135=""),"",1)</f>
        <v>1</v>
      </c>
      <c r="F136" s="150">
        <f>IF(E136="","",Input!$C$8+B136-1)</f>
        <v>2028</v>
      </c>
      <c r="G136" s="151">
        <f>IF(E136="","",MAX(0,Input!$C$9-B136))</f>
        <v>9</v>
      </c>
      <c r="H136" s="152">
        <f>IF(E136="","",Input!$C$3)</f>
        <v>100000</v>
      </c>
      <c r="I136" s="153">
        <f>IF(E136="","",HLOOKUP($B136,Input!$C$13:$BT$14,2))</f>
        <v>2.2999999999999998</v>
      </c>
      <c r="J136" s="154"/>
      <c r="K136" s="155">
        <f>IF($E136="","",INDEX(Input!$C$16:$CP$16,1,$B136))</f>
        <v>2.5270000000000001E-2</v>
      </c>
      <c r="L136" s="155">
        <f>IF($E136="","",Input!$C$37)</f>
        <v>1.4999999999999999E-2</v>
      </c>
      <c r="M136" s="155">
        <f t="shared" si="105"/>
        <v>4.027E-2</v>
      </c>
      <c r="N136" s="155">
        <f t="shared" si="106"/>
        <v>3.2954426413740467E-3</v>
      </c>
      <c r="O136" s="147">
        <f>IF($E136="","",MIN(VLOOKUP(IF($B136&lt;=Input!$C$7,$B136,26),'Mortality Tables'!$A$41:$CW$67,IF($B136&lt;=Input!$C$7+1,Input!$C$4+2,$D136-Input!$C$7+2),0)*IF(B136&gt;20,Input!$C$22,1)/1000,1))</f>
        <v>1.5039999999999999E-3</v>
      </c>
      <c r="P136" s="147">
        <f>IF($E136="","",MIN(VLOOKUP(IF($B136&lt;=Input!$C$7,$B136,26),'Mortality Tables'!$A$12:$CW$37,IF($B136&lt;=Input!$C$7+1,Input!$C$4+2,$D136-Input!$C$7+2),0)*IF(B136&gt;20,Input!$C$22,1)/1000,1))</f>
        <v>1.8799999999999999E-3</v>
      </c>
      <c r="Q136" s="155">
        <f>IF($E136="","",Input!$C$21)</f>
        <v>5.0000000000000001E-3</v>
      </c>
      <c r="R136" s="159">
        <f>IF($E136="","",(1-Q136)^($F136-Input!$C$20))</f>
        <v>0.95111013046577197</v>
      </c>
      <c r="S136" s="147">
        <f t="shared" si="82"/>
        <v>1.4304696362205209E-3</v>
      </c>
      <c r="T136" s="147">
        <f t="shared" si="83"/>
        <v>1.1928402964889173E-4</v>
      </c>
      <c r="U136" s="160">
        <f>IF($E136="","",IF($C136=12,INDEX(Input!$C$15:$CP$15,1,$B136),0))</f>
        <v>0.02</v>
      </c>
      <c r="V136" s="150">
        <f>IF(E136="","",IF(C136=1,IF($B136=1,Input!$C$33,Input!$C$34),0))</f>
        <v>0</v>
      </c>
      <c r="W136" s="156">
        <f>IF($E136="","",Input!$C$35)</f>
        <v>0.02</v>
      </c>
      <c r="X136" s="156">
        <f t="shared" si="84"/>
        <v>1.2189944199947573</v>
      </c>
      <c r="Y136" s="154"/>
      <c r="Z136" s="147">
        <f>IF($E136="","",VLOOKUP($D136,'Mortality Margins &amp; Grading'!$AB$5:$AF$125,3,0)*IF(Summary!$D$25="Included Margin",IF(AND($B136&gt;Input!$C$9,Summary!$D$31&lt;&gt;"Included Margin"),0,1),0))</f>
        <v>3.7999999999999999E-2</v>
      </c>
      <c r="AA136" s="147">
        <f>IF($E136="","",VLOOKUP($D136,'Mortality Margins &amp; Grading'!$AB$5:$AF$125,5,0)*IF(Summary!$D$25="Included Margin",IF(AND($B136&gt;Input!$C$9,Summary!$D$31&lt;&gt;"Included Margin"),0,1),0))</f>
        <v>0.192</v>
      </c>
      <c r="AB136" s="147">
        <f>IF($E136="","",IF(AND($B136&gt;Input!$C$9,Summary!$D$31&lt;&gt;"Included Margin"),1,IF(Summary!$D$25="Included Margin",VLOOKUP($B136,'Mortality Margins &amp; Grading'!$AI$5:$AR$125,MATCH('Mortality Margins &amp; Grading'!$AQ$4,'Mortality Margins &amp; Grading'!$AI$4:$AR$4,0),0),1)))</f>
        <v>1</v>
      </c>
      <c r="AC136" s="154"/>
      <c r="AD136" s="158">
        <f>IF(E136="","",Input!$C$48*IF(Summary!$D$30="Included Margin",IF(AND($B136&gt;Input!$C$9,Summary!$D$31&lt;&gt;"Included Margin"),0,1),0))</f>
        <v>-4.4999999999999997E-3</v>
      </c>
      <c r="AE136" s="159">
        <f>IF(E136="","",IF(Summary!$D$26="Included Margin",IF(AND($B136&gt;Input!$C$9,Summary!$D$31&lt;&gt;"Included Margin"),1,1/$R136),1))</f>
        <v>1.0514029532103564</v>
      </c>
      <c r="AF136" s="160">
        <f>IF(E136="","",IF(AND($B136&gt;=Input!$C$9,$C136=12,Summary!$D$31="Included Margin",$U136&gt;0),1/U136-1,IF($B136&gt;=Input!$C$9,0,Input!$C$45*IF(Summary!$D$27="Included Margin",1,0))))</f>
        <v>-0.1</v>
      </c>
      <c r="AG136" s="160">
        <f>IF(E136="","",Input!$C$46*IF(Summary!$D$28="Included Margin",IF(AND($B136&gt;Input!$C$9,Summary!$D$31&lt;&gt;"Included Margin"),0,1),0))</f>
        <v>0.02</v>
      </c>
      <c r="AH136" s="158">
        <f>IF(E136="","",Input!$C$47*IF(Summary!$D$29="Included Margin",IF(AND($B136&gt;Input!$C$9,Summary!$D$31&lt;&gt;"Included Margin"),0,1),0))</f>
        <v>2.5000000000000001E-3</v>
      </c>
      <c r="AI136" s="154"/>
      <c r="AJ136" s="158">
        <f t="shared" si="107"/>
        <v>3.5770000000000003E-2</v>
      </c>
      <c r="AK136" s="155">
        <f t="shared" si="108"/>
        <v>2.9330522945167914E-3</v>
      </c>
      <c r="AL136" s="147">
        <f t="shared" si="109"/>
        <v>1.5611519999999999E-3</v>
      </c>
      <c r="AM136" s="147">
        <f t="shared" si="85"/>
        <v>1.3018918028206983E-4</v>
      </c>
      <c r="AN136" s="160">
        <f t="shared" si="110"/>
        <v>1.8000000000000002E-2</v>
      </c>
      <c r="AO136" s="161">
        <f t="shared" si="111"/>
        <v>0</v>
      </c>
      <c r="AP136" s="156">
        <f t="shared" si="86"/>
        <v>1.2492034264621252</v>
      </c>
      <c r="AQ136" s="152"/>
      <c r="AR136" s="162">
        <f t="shared" si="87"/>
        <v>1011.5773328328703</v>
      </c>
      <c r="AS136" s="150">
        <f t="shared" si="112"/>
        <v>0</v>
      </c>
      <c r="AT136" s="163">
        <f t="shared" si="88"/>
        <v>0</v>
      </c>
      <c r="AU136" s="163">
        <f t="shared" si="89"/>
        <v>13.018918028206983</v>
      </c>
      <c r="AV136" s="163">
        <f t="shared" si="113"/>
        <v>2.947916633449247</v>
      </c>
      <c r="AW136" s="163">
        <f t="shared" si="90"/>
        <v>0.13279253456380929</v>
      </c>
      <c r="AX136" s="163">
        <f t="shared" si="91"/>
        <v>18.357550375910289</v>
      </c>
      <c r="AY136" s="164">
        <f t="shared" si="114"/>
        <v>1019.9966743485867</v>
      </c>
      <c r="AZ136" s="164">
        <f>IF($E136="","",IF(OR(AND($D136=Input!$C$6,$C136=12),$AN136=1),0,-AS137+AT137+AU137-AV137-AW137-AX137+AZ137))</f>
        <v>1019.9967023073576</v>
      </c>
      <c r="BA136" s="154">
        <f t="shared" si="92"/>
        <v>2.7958770942859701E-5</v>
      </c>
      <c r="BC136" s="147">
        <f t="shared" si="115"/>
        <v>0.55096519021070633</v>
      </c>
      <c r="BD136" s="164">
        <f>IF(AND($C135=12,$D135=Input!$C$6),0,IF($E136="","",AT136+(AU136+BD137)/(1+$AK136)*MIN((1-AM136-AN136),1)))</f>
        <v>2622.9719767361389</v>
      </c>
      <c r="BE136" s="164">
        <f t="shared" si="93"/>
        <v>1445.1662540797793</v>
      </c>
      <c r="BF136" s="164">
        <f t="shared" si="116"/>
        <v>1019.9967023073576</v>
      </c>
      <c r="BG136" s="164">
        <f t="shared" si="94"/>
        <v>561.98267710106654</v>
      </c>
      <c r="BH136" s="152"/>
      <c r="BI136" s="162">
        <f t="shared" si="95"/>
        <v>675.07196010588302</v>
      </c>
      <c r="BJ136" s="150">
        <f t="shared" si="96"/>
        <v>0</v>
      </c>
      <c r="BK136" s="163">
        <f t="shared" si="120"/>
        <v>0</v>
      </c>
      <c r="BL136" s="163">
        <f t="shared" si="97"/>
        <v>11.928402964889173</v>
      </c>
      <c r="BM136" s="163">
        <f t="shared" si="121"/>
        <v>2.2050062394418921</v>
      </c>
      <c r="BN136" s="163">
        <f t="shared" si="98"/>
        <v>8.0994826305416115E-2</v>
      </c>
      <c r="BO136" s="163">
        <f t="shared" si="99"/>
        <v>13.57854276964496</v>
      </c>
      <c r="BP136" s="164">
        <f t="shared" si="122"/>
        <v>679.00810097638612</v>
      </c>
      <c r="BQ136" s="164">
        <f>IF($E136="","",IF(AND($D136=Input!$C$6,$C136=12),0,-BJ137+BK137+BL137-BM137-BN137-BO137+BQ137))</f>
        <v>679.0081333085534</v>
      </c>
      <c r="BR136" s="161">
        <f t="shared" si="100"/>
        <v>0</v>
      </c>
      <c r="BT136" s="147">
        <f t="shared" si="101"/>
        <v>0.55096519021070633</v>
      </c>
      <c r="BU136" s="164">
        <f>IF(AND($C135=12,$D135=Input!$C$6),0,IF($E136="","",BK136+(BL136+BU137)/(1+$AK136)*MIN((1-T136-U136),1)))</f>
        <v>4936.9470527250833</v>
      </c>
      <c r="BV136" s="164">
        <f t="shared" si="102"/>
        <v>2720.0859719648615</v>
      </c>
      <c r="BW136" s="164">
        <f t="shared" si="103"/>
        <v>679.0081333085534</v>
      </c>
      <c r="BX136" s="164">
        <f t="shared" si="104"/>
        <v>374.10984532296379</v>
      </c>
    </row>
    <row r="137" spans="1:76" s="150" customFormat="1" x14ac:dyDescent="0.25">
      <c r="A137" s="150">
        <f t="shared" si="117"/>
        <v>133</v>
      </c>
      <c r="B137" s="150">
        <f t="shared" si="118"/>
        <v>12</v>
      </c>
      <c r="C137" s="150">
        <f t="shared" si="119"/>
        <v>1</v>
      </c>
      <c r="D137" s="150">
        <f>IF(E137="","",Input!$C$4+B137-1)</f>
        <v>56</v>
      </c>
      <c r="E137" s="150">
        <f>IF(OR(AND(C136=12,D136=Input!$C$6),E136=""),"",1)</f>
        <v>1</v>
      </c>
      <c r="F137" s="150">
        <f>IF(E137="","",Input!$C$8+B137-1)</f>
        <v>2029</v>
      </c>
      <c r="G137" s="151">
        <f>IF(E137="","",MAX(0,Input!$C$9-B137))</f>
        <v>8</v>
      </c>
      <c r="H137" s="152">
        <f>IF(E137="","",Input!$C$3)</f>
        <v>100000</v>
      </c>
      <c r="I137" s="153">
        <f>IF(E137="","",HLOOKUP($B137,Input!$C$13:$BT$14,2))</f>
        <v>2.2999999999999998</v>
      </c>
      <c r="J137" s="154"/>
      <c r="K137" s="155">
        <f>IF($E137="","",INDEX(Input!$C$16:$CP$16,1,$B137))</f>
        <v>2.4979999999999999E-2</v>
      </c>
      <c r="L137" s="155">
        <f>IF($E137="","",Input!$C$37)</f>
        <v>1.4999999999999999E-2</v>
      </c>
      <c r="M137" s="155">
        <f t="shared" si="105"/>
        <v>3.9980000000000002E-2</v>
      </c>
      <c r="N137" s="155">
        <f t="shared" si="106"/>
        <v>3.2721319575468311E-3</v>
      </c>
      <c r="O137" s="147">
        <f>IF($E137="","",MIN(VLOOKUP(IF($B137&lt;=Input!$C$7,$B137,26),'Mortality Tables'!$A$41:$CW$67,IF($B137&lt;=Input!$C$7+1,Input!$C$4+2,$D137-Input!$C$7+2),0)*IF(B137&gt;20,Input!$C$22,1)/1000,1))</f>
        <v>1.7280000000000002E-3</v>
      </c>
      <c r="P137" s="147">
        <f>IF($E137="","",MIN(VLOOKUP(IF($B137&lt;=Input!$C$7,$B137,26),'Mortality Tables'!$A$12:$CW$37,IF($B137&lt;=Input!$C$7+1,Input!$C$4+2,$D137-Input!$C$7+2),0)*IF(B137&gt;20,Input!$C$22,1)/1000,1))</f>
        <v>2.16E-3</v>
      </c>
      <c r="Q137" s="155">
        <f>IF($E137="","",Input!$C$21)</f>
        <v>5.0000000000000001E-3</v>
      </c>
      <c r="R137" s="159">
        <f>IF($E137="","",(1-Q137)^($F137-Input!$C$20))</f>
        <v>0.94635457981344306</v>
      </c>
      <c r="S137" s="147">
        <f t="shared" si="82"/>
        <v>1.6353007139176298E-3</v>
      </c>
      <c r="T137" s="147">
        <f t="shared" si="83"/>
        <v>1.3637730623894395E-4</v>
      </c>
      <c r="U137" s="160">
        <f>IF($E137="","",IF($C137=12,INDEX(Input!$C$15:$CP$15,1,$B137),0))</f>
        <v>0</v>
      </c>
      <c r="V137" s="150">
        <f>IF(E137="","",IF(C137=1,IF($B137=1,Input!$C$33,Input!$C$34),0))</f>
        <v>50</v>
      </c>
      <c r="W137" s="156">
        <f>IF($E137="","",Input!$C$35)</f>
        <v>0.02</v>
      </c>
      <c r="X137" s="156">
        <f t="shared" si="84"/>
        <v>1.2433743083946525</v>
      </c>
      <c r="Y137" s="154"/>
      <c r="Z137" s="147">
        <f>IF($E137="","",VLOOKUP($D137,'Mortality Margins &amp; Grading'!$AB$5:$AF$125,3,0)*IF(Summary!$D$25="Included Margin",IF(AND($B137&gt;Input!$C$9,Summary!$D$31&lt;&gt;"Included Margin"),0,1),0))</f>
        <v>3.6999999999999998E-2</v>
      </c>
      <c r="AA137" s="147">
        <f>IF($E137="","",VLOOKUP($D137,'Mortality Margins &amp; Grading'!$AB$5:$AF$125,5,0)*IF(Summary!$D$25="Included Margin",IF(AND($B137&gt;Input!$C$9,Summary!$D$31&lt;&gt;"Included Margin"),0,1),0))</f>
        <v>0.189</v>
      </c>
      <c r="AB137" s="147">
        <f>IF($E137="","",IF(AND($B137&gt;Input!$C$9,Summary!$D$31&lt;&gt;"Included Margin"),1,IF(Summary!$D$25="Included Margin",VLOOKUP($B137,'Mortality Margins &amp; Grading'!$AI$5:$AR$125,MATCH('Mortality Margins &amp; Grading'!$AQ$4,'Mortality Margins &amp; Grading'!$AI$4:$AR$4,0),0),1)))</f>
        <v>1</v>
      </c>
      <c r="AC137" s="154"/>
      <c r="AD137" s="158">
        <f>IF(E137="","",Input!$C$48*IF(Summary!$D$30="Included Margin",IF(AND($B137&gt;Input!$C$9,Summary!$D$31&lt;&gt;"Included Margin"),0,1),0))</f>
        <v>-4.4999999999999997E-3</v>
      </c>
      <c r="AE137" s="159">
        <f>IF(E137="","",IF(Summary!$D$26="Included Margin",IF(AND($B137&gt;Input!$C$9,Summary!$D$31&lt;&gt;"Included Margin"),1,1/$R137),1))</f>
        <v>1.0566863851360366</v>
      </c>
      <c r="AF137" s="160">
        <f>IF(E137="","",IF(AND($B137&gt;=Input!$C$9,$C137=12,Summary!$D$31="Included Margin",$U137&gt;0),1/U137-1,IF($B137&gt;=Input!$C$9,0,Input!$C$45*IF(Summary!$D$27="Included Margin",1,0))))</f>
        <v>-0.1</v>
      </c>
      <c r="AG137" s="160">
        <f>IF(E137="","",Input!$C$46*IF(Summary!$D$28="Included Margin",IF(AND($B137&gt;Input!$C$9,Summary!$D$31&lt;&gt;"Included Margin"),0,1),0))</f>
        <v>0.02</v>
      </c>
      <c r="AH137" s="158">
        <f>IF(E137="","",Input!$C$47*IF(Summary!$D$29="Included Margin",IF(AND($B137&gt;Input!$C$9,Summary!$D$31&lt;&gt;"Included Margin"),0,1),0))</f>
        <v>2.5000000000000001E-3</v>
      </c>
      <c r="AI137" s="154"/>
      <c r="AJ137" s="158">
        <f t="shared" si="107"/>
        <v>3.5480000000000005E-2</v>
      </c>
      <c r="AK137" s="155">
        <f t="shared" si="108"/>
        <v>2.909648778641305E-3</v>
      </c>
      <c r="AL137" s="147">
        <f t="shared" si="109"/>
        <v>1.791936E-3</v>
      </c>
      <c r="AM137" s="147">
        <f t="shared" si="85"/>
        <v>1.4945078427586189E-4</v>
      </c>
      <c r="AN137" s="160">
        <f t="shared" si="110"/>
        <v>0</v>
      </c>
      <c r="AO137" s="161">
        <f t="shared" si="111"/>
        <v>51</v>
      </c>
      <c r="AP137" s="156">
        <f t="shared" si="86"/>
        <v>1.277310503557523</v>
      </c>
      <c r="AQ137" s="152"/>
      <c r="AR137" s="162">
        <f t="shared" si="87"/>
        <v>1019.9966707218413</v>
      </c>
      <c r="AS137" s="150">
        <f t="shared" si="112"/>
        <v>229.99999999999997</v>
      </c>
      <c r="AT137" s="163">
        <f t="shared" si="88"/>
        <v>65.142835681433667</v>
      </c>
      <c r="AU137" s="163">
        <f t="shared" si="89"/>
        <v>14.945078427586189</v>
      </c>
      <c r="AV137" s="163">
        <f t="shared" si="113"/>
        <v>3.425766049397025</v>
      </c>
      <c r="AW137" s="163">
        <f t="shared" si="90"/>
        <v>0.17538198032480018</v>
      </c>
      <c r="AX137" s="163">
        <f t="shared" si="91"/>
        <v>0</v>
      </c>
      <c r="AY137" s="164">
        <f t="shared" si="114"/>
        <v>1173.509904642543</v>
      </c>
      <c r="AZ137" s="164">
        <f>IF($E137="","",IF(OR(AND($D137=Input!$C$6,$C137=12),$AN137=1),0,-AS138+AT138+AU138-AV138-AW138-AX138+AZ138))</f>
        <v>1173.5099362280596</v>
      </c>
      <c r="BA137" s="154">
        <f t="shared" si="92"/>
        <v>3.1585516580889816E-5</v>
      </c>
      <c r="BC137" s="147">
        <f t="shared" si="115"/>
        <v>0.55089005106223399</v>
      </c>
      <c r="BD137" s="164">
        <f>IF(AND($C136=12,$D136=Input!$C$6),0,IF($E137="","",AT137+(AU137+BD138)/(1+$AK137)*MIN((1-AM137-AN137),1)))</f>
        <v>2666.221508474709</v>
      </c>
      <c r="BE137" s="164">
        <f t="shared" si="93"/>
        <v>1468.7949029468589</v>
      </c>
      <c r="BF137" s="164">
        <f t="shared" si="116"/>
        <v>1173.5099362280596</v>
      </c>
      <c r="BG137" s="164">
        <f t="shared" si="94"/>
        <v>646.47494869071465</v>
      </c>
      <c r="BH137" s="152"/>
      <c r="BI137" s="162">
        <f t="shared" si="95"/>
        <v>679.00809686390357</v>
      </c>
      <c r="BJ137" s="150">
        <f t="shared" si="96"/>
        <v>229.99999999999997</v>
      </c>
      <c r="BK137" s="163">
        <f t="shared" si="120"/>
        <v>62.168715419732621</v>
      </c>
      <c r="BL137" s="163">
        <f t="shared" si="97"/>
        <v>13.637730623894395</v>
      </c>
      <c r="BM137" s="163">
        <f t="shared" si="121"/>
        <v>2.7486579758312328</v>
      </c>
      <c r="BN137" s="163">
        <f t="shared" si="98"/>
        <v>0.11402020600200109</v>
      </c>
      <c r="BO137" s="163">
        <f t="shared" si="99"/>
        <v>0</v>
      </c>
      <c r="BP137" s="164">
        <f t="shared" si="122"/>
        <v>836.06432900210973</v>
      </c>
      <c r="BQ137" s="164">
        <f>IF($E137="","",IF(AND($D137=Input!$C$6,$C137=12),0,-BJ138+BK138+BL138-BM138-BN138-BO138+BQ138))</f>
        <v>836.06436544675967</v>
      </c>
      <c r="BR137" s="161">
        <f t="shared" si="100"/>
        <v>0</v>
      </c>
      <c r="BT137" s="147">
        <f t="shared" si="101"/>
        <v>0.55089005106223399</v>
      </c>
      <c r="BU137" s="164">
        <f>IF(AND($C136=12,$D136=Input!$C$6),0,IF($E137="","",BK137+(BL137+BU138)/(1+$AK137)*MIN((1-T137-U137),1)))</f>
        <v>5041.1635661965956</v>
      </c>
      <c r="BV137" s="164">
        <f t="shared" si="102"/>
        <v>2777.126854395116</v>
      </c>
      <c r="BW137" s="164">
        <f t="shared" si="103"/>
        <v>836.06436544675967</v>
      </c>
      <c r="BX137" s="164">
        <f t="shared" si="104"/>
        <v>460.57954097227969</v>
      </c>
    </row>
    <row r="138" spans="1:76" s="150" customFormat="1" x14ac:dyDescent="0.25">
      <c r="A138" s="150">
        <f t="shared" si="117"/>
        <v>134</v>
      </c>
      <c r="B138" s="150">
        <f t="shared" si="118"/>
        <v>12</v>
      </c>
      <c r="C138" s="150">
        <f t="shared" si="119"/>
        <v>2</v>
      </c>
      <c r="D138" s="150">
        <f>IF(E138="","",Input!$C$4+B138-1)</f>
        <v>56</v>
      </c>
      <c r="E138" s="150">
        <f>IF(OR(AND(C137=12,D137=Input!$C$6),E137=""),"",1)</f>
        <v>1</v>
      </c>
      <c r="F138" s="150">
        <f>IF(E138="","",Input!$C$8+B138-1)</f>
        <v>2029</v>
      </c>
      <c r="G138" s="151">
        <f>IF(E138="","",MAX(0,Input!$C$9-B138))</f>
        <v>8</v>
      </c>
      <c r="H138" s="152">
        <f>IF(E138="","",Input!$C$3)</f>
        <v>100000</v>
      </c>
      <c r="I138" s="153">
        <f>IF(E138="","",HLOOKUP($B138,Input!$C$13:$BT$14,2))</f>
        <v>2.2999999999999998</v>
      </c>
      <c r="J138" s="154"/>
      <c r="K138" s="155">
        <f>IF($E138="","",INDEX(Input!$C$16:$CP$16,1,$B138))</f>
        <v>2.4979999999999999E-2</v>
      </c>
      <c r="L138" s="155">
        <f>IF($E138="","",Input!$C$37)</f>
        <v>1.4999999999999999E-2</v>
      </c>
      <c r="M138" s="155">
        <f t="shared" si="105"/>
        <v>3.9980000000000002E-2</v>
      </c>
      <c r="N138" s="155">
        <f t="shared" si="106"/>
        <v>3.2721319575468311E-3</v>
      </c>
      <c r="O138" s="147">
        <f>IF($E138="","",MIN(VLOOKUP(IF($B138&lt;=Input!$C$7,$B138,26),'Mortality Tables'!$A$41:$CW$67,IF($B138&lt;=Input!$C$7+1,Input!$C$4+2,$D138-Input!$C$7+2),0)*IF(B138&gt;20,Input!$C$22,1)/1000,1))</f>
        <v>1.7280000000000002E-3</v>
      </c>
      <c r="P138" s="147">
        <f>IF($E138="","",MIN(VLOOKUP(IF($B138&lt;=Input!$C$7,$B138,26),'Mortality Tables'!$A$12:$CW$37,IF($B138&lt;=Input!$C$7+1,Input!$C$4+2,$D138-Input!$C$7+2),0)*IF(B138&gt;20,Input!$C$22,1)/1000,1))</f>
        <v>2.16E-3</v>
      </c>
      <c r="Q138" s="155">
        <f>IF($E138="","",Input!$C$21)</f>
        <v>5.0000000000000001E-3</v>
      </c>
      <c r="R138" s="159">
        <f>IF($E138="","",(1-Q138)^($F138-Input!$C$20))</f>
        <v>0.94635457981344306</v>
      </c>
      <c r="S138" s="147">
        <f t="shared" si="82"/>
        <v>1.6353007139176298E-3</v>
      </c>
      <c r="T138" s="147">
        <f t="shared" si="83"/>
        <v>1.3637730623894395E-4</v>
      </c>
      <c r="U138" s="160">
        <f>IF($E138="","",IF($C138=12,INDEX(Input!$C$15:$CP$15,1,$B138),0))</f>
        <v>0</v>
      </c>
      <c r="V138" s="150">
        <f>IF(E138="","",IF(C138=1,IF($B138=1,Input!$C$33,Input!$C$34),0))</f>
        <v>0</v>
      </c>
      <c r="W138" s="156">
        <f>IF($E138="","",Input!$C$35)</f>
        <v>0.02</v>
      </c>
      <c r="X138" s="156">
        <f t="shared" si="84"/>
        <v>1.2433743083946525</v>
      </c>
      <c r="Y138" s="154"/>
      <c r="Z138" s="147">
        <f>IF($E138="","",VLOOKUP($D138,'Mortality Margins &amp; Grading'!$AB$5:$AF$125,3,0)*IF(Summary!$D$25="Included Margin",IF(AND($B138&gt;Input!$C$9,Summary!$D$31&lt;&gt;"Included Margin"),0,1),0))</f>
        <v>3.6999999999999998E-2</v>
      </c>
      <c r="AA138" s="147">
        <f>IF($E138="","",VLOOKUP($D138,'Mortality Margins &amp; Grading'!$AB$5:$AF$125,5,0)*IF(Summary!$D$25="Included Margin",IF(AND($B138&gt;Input!$C$9,Summary!$D$31&lt;&gt;"Included Margin"),0,1),0))</f>
        <v>0.189</v>
      </c>
      <c r="AB138" s="147">
        <f>IF($E138="","",IF(AND($B138&gt;Input!$C$9,Summary!$D$31&lt;&gt;"Included Margin"),1,IF(Summary!$D$25="Included Margin",VLOOKUP($B138,'Mortality Margins &amp; Grading'!$AI$5:$AR$125,MATCH('Mortality Margins &amp; Grading'!$AQ$4,'Mortality Margins &amp; Grading'!$AI$4:$AR$4,0),0),1)))</f>
        <v>1</v>
      </c>
      <c r="AC138" s="154"/>
      <c r="AD138" s="158">
        <f>IF(E138="","",Input!$C$48*IF(Summary!$D$30="Included Margin",IF(AND($B138&gt;Input!$C$9,Summary!$D$31&lt;&gt;"Included Margin"),0,1),0))</f>
        <v>-4.4999999999999997E-3</v>
      </c>
      <c r="AE138" s="159">
        <f>IF(E138="","",IF(Summary!$D$26="Included Margin",IF(AND($B138&gt;Input!$C$9,Summary!$D$31&lt;&gt;"Included Margin"),1,1/$R138),1))</f>
        <v>1.0566863851360366</v>
      </c>
      <c r="AF138" s="160">
        <f>IF(E138="","",IF(AND($B138&gt;=Input!$C$9,$C138=12,Summary!$D$31="Included Margin",$U138&gt;0),1/U138-1,IF($B138&gt;=Input!$C$9,0,Input!$C$45*IF(Summary!$D$27="Included Margin",1,0))))</f>
        <v>-0.1</v>
      </c>
      <c r="AG138" s="160">
        <f>IF(E138="","",Input!$C$46*IF(Summary!$D$28="Included Margin",IF(AND($B138&gt;Input!$C$9,Summary!$D$31&lt;&gt;"Included Margin"),0,1),0))</f>
        <v>0.02</v>
      </c>
      <c r="AH138" s="158">
        <f>IF(E138="","",Input!$C$47*IF(Summary!$D$29="Included Margin",IF(AND($B138&gt;Input!$C$9,Summary!$D$31&lt;&gt;"Included Margin"),0,1),0))</f>
        <v>2.5000000000000001E-3</v>
      </c>
      <c r="AI138" s="154"/>
      <c r="AJ138" s="158">
        <f t="shared" si="107"/>
        <v>3.5480000000000005E-2</v>
      </c>
      <c r="AK138" s="155">
        <f t="shared" si="108"/>
        <v>2.909648778641305E-3</v>
      </c>
      <c r="AL138" s="147">
        <f t="shared" si="109"/>
        <v>1.791936E-3</v>
      </c>
      <c r="AM138" s="147">
        <f t="shared" si="85"/>
        <v>1.4945078427586189E-4</v>
      </c>
      <c r="AN138" s="160">
        <f t="shared" si="110"/>
        <v>0</v>
      </c>
      <c r="AO138" s="161">
        <f t="shared" si="111"/>
        <v>0</v>
      </c>
      <c r="AP138" s="156">
        <f t="shared" si="86"/>
        <v>1.277310503557523</v>
      </c>
      <c r="AQ138" s="152"/>
      <c r="AR138" s="162">
        <f t="shared" si="87"/>
        <v>1173.5099046425432</v>
      </c>
      <c r="AS138" s="150">
        <f t="shared" si="112"/>
        <v>0</v>
      </c>
      <c r="AT138" s="163">
        <f t="shared" si="88"/>
        <v>0</v>
      </c>
      <c r="AU138" s="163">
        <f t="shared" si="89"/>
        <v>14.945078427586189</v>
      </c>
      <c r="AV138" s="163">
        <f t="shared" si="113"/>
        <v>3.3927591961698877</v>
      </c>
      <c r="AW138" s="163">
        <f t="shared" si="90"/>
        <v>0.17368143398198266</v>
      </c>
      <c r="AX138" s="163">
        <f t="shared" si="91"/>
        <v>0</v>
      </c>
      <c r="AY138" s="164">
        <f t="shared" si="114"/>
        <v>1162.1312668451089</v>
      </c>
      <c r="AZ138" s="164">
        <f>IF($E138="","",IF(OR(AND($D138=Input!$C$6,$C138=12),$AN138=1),0,-AS139+AT139+AU139-AV139-AW139-AX139+AZ139))</f>
        <v>1162.1312984306253</v>
      </c>
      <c r="BA138" s="154">
        <f t="shared" si="92"/>
        <v>3.1585516353516141E-5</v>
      </c>
      <c r="BC138" s="147">
        <f t="shared" si="115"/>
        <v>0.55081492216103634</v>
      </c>
      <c r="BD138" s="164">
        <f>IF(AND($C137=12,$D137=Input!$C$6),0,IF($E138="","",AT138+(AU138+BD139)/(1+$AK138)*MIN((1-AM138-AN138),1)))</f>
        <v>2594.0917423482015</v>
      </c>
      <c r="BE138" s="164">
        <f t="shared" si="93"/>
        <v>1428.8644411401117</v>
      </c>
      <c r="BF138" s="164">
        <f t="shared" si="116"/>
        <v>1162.1312984306253</v>
      </c>
      <c r="BG138" s="164">
        <f t="shared" si="94"/>
        <v>640.11926068596892</v>
      </c>
      <c r="BH138" s="152"/>
      <c r="BI138" s="162">
        <f t="shared" si="95"/>
        <v>836.06432900210973</v>
      </c>
      <c r="BJ138" s="150">
        <f t="shared" si="96"/>
        <v>0</v>
      </c>
      <c r="BK138" s="163">
        <f t="shared" si="120"/>
        <v>0</v>
      </c>
      <c r="BL138" s="163">
        <f t="shared" si="97"/>
        <v>13.637730623894395</v>
      </c>
      <c r="BM138" s="163">
        <f t="shared" si="121"/>
        <v>2.713400582391321</v>
      </c>
      <c r="BN138" s="163">
        <f t="shared" si="98"/>
        <v>0.11254572398114099</v>
      </c>
      <c r="BO138" s="163">
        <f t="shared" si="99"/>
        <v>0</v>
      </c>
      <c r="BP138" s="164">
        <f t="shared" si="122"/>
        <v>825.25254468458775</v>
      </c>
      <c r="BQ138" s="164">
        <f>IF($E138="","",IF(AND($D138=Input!$C$6,$C138=12),0,-BJ139+BK139+BL139-BM139-BN139-BO139+BQ139))</f>
        <v>825.25258112923768</v>
      </c>
      <c r="BR138" s="161">
        <f t="shared" si="100"/>
        <v>0</v>
      </c>
      <c r="BT138" s="147">
        <f t="shared" si="101"/>
        <v>0.55081492216103634</v>
      </c>
      <c r="BU138" s="164">
        <f>IF(AND($C137=12,$D137=Input!$C$6),0,IF($E138="","",BK138+(BL138+BU139)/(1+$AK138)*MIN((1-T138-U138),1)))</f>
        <v>4980.5253369454658</v>
      </c>
      <c r="BV138" s="164">
        <f t="shared" si="102"/>
        <v>2743.347675790686</v>
      </c>
      <c r="BW138" s="164">
        <f t="shared" si="103"/>
        <v>825.25258112923768</v>
      </c>
      <c r="BX138" s="164">
        <f t="shared" si="104"/>
        <v>454.56143623789535</v>
      </c>
    </row>
    <row r="139" spans="1:76" s="150" customFormat="1" x14ac:dyDescent="0.25">
      <c r="A139" s="150">
        <f t="shared" si="117"/>
        <v>135</v>
      </c>
      <c r="B139" s="150">
        <f t="shared" si="118"/>
        <v>12</v>
      </c>
      <c r="C139" s="150">
        <f t="shared" si="119"/>
        <v>3</v>
      </c>
      <c r="D139" s="150">
        <f>IF(E139="","",Input!$C$4+B139-1)</f>
        <v>56</v>
      </c>
      <c r="E139" s="150">
        <f>IF(OR(AND(C138=12,D138=Input!$C$6),E138=""),"",1)</f>
        <v>1</v>
      </c>
      <c r="F139" s="150">
        <f>IF(E139="","",Input!$C$8+B139-1)</f>
        <v>2029</v>
      </c>
      <c r="G139" s="151">
        <f>IF(E139="","",MAX(0,Input!$C$9-B139))</f>
        <v>8</v>
      </c>
      <c r="H139" s="152">
        <f>IF(E139="","",Input!$C$3)</f>
        <v>100000</v>
      </c>
      <c r="I139" s="153">
        <f>IF(E139="","",HLOOKUP($B139,Input!$C$13:$BT$14,2))</f>
        <v>2.2999999999999998</v>
      </c>
      <c r="J139" s="154"/>
      <c r="K139" s="155">
        <f>IF($E139="","",INDEX(Input!$C$16:$CP$16,1,$B139))</f>
        <v>2.4979999999999999E-2</v>
      </c>
      <c r="L139" s="155">
        <f>IF($E139="","",Input!$C$37)</f>
        <v>1.4999999999999999E-2</v>
      </c>
      <c r="M139" s="155">
        <f t="shared" si="105"/>
        <v>3.9980000000000002E-2</v>
      </c>
      <c r="N139" s="155">
        <f t="shared" si="106"/>
        <v>3.2721319575468311E-3</v>
      </c>
      <c r="O139" s="147">
        <f>IF($E139="","",MIN(VLOOKUP(IF($B139&lt;=Input!$C$7,$B139,26),'Mortality Tables'!$A$41:$CW$67,IF($B139&lt;=Input!$C$7+1,Input!$C$4+2,$D139-Input!$C$7+2),0)*IF(B139&gt;20,Input!$C$22,1)/1000,1))</f>
        <v>1.7280000000000002E-3</v>
      </c>
      <c r="P139" s="147">
        <f>IF($E139="","",MIN(VLOOKUP(IF($B139&lt;=Input!$C$7,$B139,26),'Mortality Tables'!$A$12:$CW$37,IF($B139&lt;=Input!$C$7+1,Input!$C$4+2,$D139-Input!$C$7+2),0)*IF(B139&gt;20,Input!$C$22,1)/1000,1))</f>
        <v>2.16E-3</v>
      </c>
      <c r="Q139" s="155">
        <f>IF($E139="","",Input!$C$21)</f>
        <v>5.0000000000000001E-3</v>
      </c>
      <c r="R139" s="159">
        <f>IF($E139="","",(1-Q139)^($F139-Input!$C$20))</f>
        <v>0.94635457981344306</v>
      </c>
      <c r="S139" s="147">
        <f t="shared" si="82"/>
        <v>1.6353007139176298E-3</v>
      </c>
      <c r="T139" s="147">
        <f t="shared" si="83"/>
        <v>1.3637730623894395E-4</v>
      </c>
      <c r="U139" s="160">
        <f>IF($E139="","",IF($C139=12,INDEX(Input!$C$15:$CP$15,1,$B139),0))</f>
        <v>0</v>
      </c>
      <c r="V139" s="150">
        <f>IF(E139="","",IF(C139=1,IF($B139=1,Input!$C$33,Input!$C$34),0))</f>
        <v>0</v>
      </c>
      <c r="W139" s="156">
        <f>IF($E139="","",Input!$C$35)</f>
        <v>0.02</v>
      </c>
      <c r="X139" s="156">
        <f t="shared" si="84"/>
        <v>1.2433743083946525</v>
      </c>
      <c r="Y139" s="154"/>
      <c r="Z139" s="147">
        <f>IF($E139="","",VLOOKUP($D139,'Mortality Margins &amp; Grading'!$AB$5:$AF$125,3,0)*IF(Summary!$D$25="Included Margin",IF(AND($B139&gt;Input!$C$9,Summary!$D$31&lt;&gt;"Included Margin"),0,1),0))</f>
        <v>3.6999999999999998E-2</v>
      </c>
      <c r="AA139" s="147">
        <f>IF($E139="","",VLOOKUP($D139,'Mortality Margins &amp; Grading'!$AB$5:$AF$125,5,0)*IF(Summary!$D$25="Included Margin",IF(AND($B139&gt;Input!$C$9,Summary!$D$31&lt;&gt;"Included Margin"),0,1),0))</f>
        <v>0.189</v>
      </c>
      <c r="AB139" s="147">
        <f>IF($E139="","",IF(AND($B139&gt;Input!$C$9,Summary!$D$31&lt;&gt;"Included Margin"),1,IF(Summary!$D$25="Included Margin",VLOOKUP($B139,'Mortality Margins &amp; Grading'!$AI$5:$AR$125,MATCH('Mortality Margins &amp; Grading'!$AQ$4,'Mortality Margins &amp; Grading'!$AI$4:$AR$4,0),0),1)))</f>
        <v>1</v>
      </c>
      <c r="AC139" s="154"/>
      <c r="AD139" s="158">
        <f>IF(E139="","",Input!$C$48*IF(Summary!$D$30="Included Margin",IF(AND($B139&gt;Input!$C$9,Summary!$D$31&lt;&gt;"Included Margin"),0,1),0))</f>
        <v>-4.4999999999999997E-3</v>
      </c>
      <c r="AE139" s="159">
        <f>IF(E139="","",IF(Summary!$D$26="Included Margin",IF(AND($B139&gt;Input!$C$9,Summary!$D$31&lt;&gt;"Included Margin"),1,1/$R139),1))</f>
        <v>1.0566863851360366</v>
      </c>
      <c r="AF139" s="160">
        <f>IF(E139="","",IF(AND($B139&gt;=Input!$C$9,$C139=12,Summary!$D$31="Included Margin",$U139&gt;0),1/U139-1,IF($B139&gt;=Input!$C$9,0,Input!$C$45*IF(Summary!$D$27="Included Margin",1,0))))</f>
        <v>-0.1</v>
      </c>
      <c r="AG139" s="160">
        <f>IF(E139="","",Input!$C$46*IF(Summary!$D$28="Included Margin",IF(AND($B139&gt;Input!$C$9,Summary!$D$31&lt;&gt;"Included Margin"),0,1),0))</f>
        <v>0.02</v>
      </c>
      <c r="AH139" s="158">
        <f>IF(E139="","",Input!$C$47*IF(Summary!$D$29="Included Margin",IF(AND($B139&gt;Input!$C$9,Summary!$D$31&lt;&gt;"Included Margin"),0,1),0))</f>
        <v>2.5000000000000001E-3</v>
      </c>
      <c r="AI139" s="154"/>
      <c r="AJ139" s="158">
        <f t="shared" si="107"/>
        <v>3.5480000000000005E-2</v>
      </c>
      <c r="AK139" s="155">
        <f t="shared" si="108"/>
        <v>2.909648778641305E-3</v>
      </c>
      <c r="AL139" s="147">
        <f t="shared" si="109"/>
        <v>1.791936E-3</v>
      </c>
      <c r="AM139" s="147">
        <f t="shared" si="85"/>
        <v>1.4945078427586189E-4</v>
      </c>
      <c r="AN139" s="160">
        <f t="shared" si="110"/>
        <v>0</v>
      </c>
      <c r="AO139" s="161">
        <f t="shared" si="111"/>
        <v>0</v>
      </c>
      <c r="AP139" s="156">
        <f t="shared" si="86"/>
        <v>1.277310503557523</v>
      </c>
      <c r="AQ139" s="152"/>
      <c r="AR139" s="162">
        <f t="shared" si="87"/>
        <v>1162.1312668451089</v>
      </c>
      <c r="AS139" s="150">
        <f t="shared" si="112"/>
        <v>0</v>
      </c>
      <c r="AT139" s="163">
        <f t="shared" si="88"/>
        <v>0</v>
      </c>
      <c r="AU139" s="163">
        <f t="shared" si="89"/>
        <v>14.945078427586189</v>
      </c>
      <c r="AV139" s="163">
        <f t="shared" si="113"/>
        <v>3.359651356599981</v>
      </c>
      <c r="AW139" s="163">
        <f t="shared" si="90"/>
        <v>0.17197568472101088</v>
      </c>
      <c r="AX139" s="163">
        <f t="shared" si="91"/>
        <v>0</v>
      </c>
      <c r="AY139" s="164">
        <f t="shared" si="114"/>
        <v>1150.7178154588437</v>
      </c>
      <c r="AZ139" s="164">
        <f>IF($E139="","",IF(OR(AND($D139=Input!$C$6,$C139=12),$AN139=1),0,-AS140+AT140+AU140-AV140-AW140-AX140+AZ140))</f>
        <v>1150.71784704436</v>
      </c>
      <c r="BA139" s="154">
        <f t="shared" si="92"/>
        <v>3.1585516353516141E-5</v>
      </c>
      <c r="BC139" s="147">
        <f t="shared" si="115"/>
        <v>0.55073980350571583</v>
      </c>
      <c r="BD139" s="164">
        <f>IF(AND($C138=12,$D138=Input!$C$6),0,IF($E139="","",AT139+(AU139+BD140)/(1+$AK139)*MIN((1-AM139-AN139),1)))</f>
        <v>2587.0834349924608</v>
      </c>
      <c r="BE139" s="164">
        <f t="shared" si="93"/>
        <v>1424.8098226406403</v>
      </c>
      <c r="BF139" s="164">
        <f t="shared" si="116"/>
        <v>1150.71784704436</v>
      </c>
      <c r="BG139" s="164">
        <f t="shared" si="94"/>
        <v>633.74612097173122</v>
      </c>
      <c r="BH139" s="152"/>
      <c r="BI139" s="162">
        <f t="shared" si="95"/>
        <v>825.25254468458786</v>
      </c>
      <c r="BJ139" s="150">
        <f t="shared" si="96"/>
        <v>0</v>
      </c>
      <c r="BK139" s="163">
        <f t="shared" si="120"/>
        <v>0</v>
      </c>
      <c r="BL139" s="163">
        <f t="shared" si="97"/>
        <v>13.637730623894395</v>
      </c>
      <c r="BM139" s="163">
        <f t="shared" si="121"/>
        <v>2.678022997407854</v>
      </c>
      <c r="BN139" s="163">
        <f t="shared" si="98"/>
        <v>0.11106621548915691</v>
      </c>
      <c r="BO139" s="163">
        <f t="shared" si="99"/>
        <v>0</v>
      </c>
      <c r="BP139" s="164">
        <f t="shared" si="122"/>
        <v>814.40390327359046</v>
      </c>
      <c r="BQ139" s="164">
        <f>IF($E139="","",IF(AND($D139=Input!$C$6,$C139=12),0,-BJ140+BK140+BL140-BM140-BN140-BO140+BQ140))</f>
        <v>814.40393971824028</v>
      </c>
      <c r="BR139" s="161">
        <f t="shared" si="100"/>
        <v>0</v>
      </c>
      <c r="BT139" s="147">
        <f t="shared" si="101"/>
        <v>0.55073980350571583</v>
      </c>
      <c r="BU139" s="164">
        <f>IF(AND($C138=12,$D138=Input!$C$6),0,IF($E139="","",BK139+(BL139+BU140)/(1+$AK139)*MIN((1-T139-U139),1)))</f>
        <v>4982.0604856507243</v>
      </c>
      <c r="BV139" s="164">
        <f t="shared" si="102"/>
        <v>2743.819012920871</v>
      </c>
      <c r="BW139" s="164">
        <f t="shared" si="103"/>
        <v>814.40393971824028</v>
      </c>
      <c r="BX139" s="164">
        <f t="shared" si="104"/>
        <v>448.52466573470451</v>
      </c>
    </row>
    <row r="140" spans="1:76" s="150" customFormat="1" x14ac:dyDescent="0.25">
      <c r="A140" s="150">
        <f t="shared" si="117"/>
        <v>136</v>
      </c>
      <c r="B140" s="150">
        <f t="shared" si="118"/>
        <v>12</v>
      </c>
      <c r="C140" s="150">
        <f t="shared" si="119"/>
        <v>4</v>
      </c>
      <c r="D140" s="150">
        <f>IF(E140="","",Input!$C$4+B140-1)</f>
        <v>56</v>
      </c>
      <c r="E140" s="150">
        <f>IF(OR(AND(C139=12,D139=Input!$C$6),E139=""),"",1)</f>
        <v>1</v>
      </c>
      <c r="F140" s="150">
        <f>IF(E140="","",Input!$C$8+B140-1)</f>
        <v>2029</v>
      </c>
      <c r="G140" s="151">
        <f>IF(E140="","",MAX(0,Input!$C$9-B140))</f>
        <v>8</v>
      </c>
      <c r="H140" s="152">
        <f>IF(E140="","",Input!$C$3)</f>
        <v>100000</v>
      </c>
      <c r="I140" s="153">
        <f>IF(E140="","",HLOOKUP($B140,Input!$C$13:$BT$14,2))</f>
        <v>2.2999999999999998</v>
      </c>
      <c r="J140" s="154"/>
      <c r="K140" s="155">
        <f>IF($E140="","",INDEX(Input!$C$16:$CP$16,1,$B140))</f>
        <v>2.4979999999999999E-2</v>
      </c>
      <c r="L140" s="155">
        <f>IF($E140="","",Input!$C$37)</f>
        <v>1.4999999999999999E-2</v>
      </c>
      <c r="M140" s="155">
        <f t="shared" si="105"/>
        <v>3.9980000000000002E-2</v>
      </c>
      <c r="N140" s="155">
        <f t="shared" si="106"/>
        <v>3.2721319575468311E-3</v>
      </c>
      <c r="O140" s="147">
        <f>IF($E140="","",MIN(VLOOKUP(IF($B140&lt;=Input!$C$7,$B140,26),'Mortality Tables'!$A$41:$CW$67,IF($B140&lt;=Input!$C$7+1,Input!$C$4+2,$D140-Input!$C$7+2),0)*IF(B140&gt;20,Input!$C$22,1)/1000,1))</f>
        <v>1.7280000000000002E-3</v>
      </c>
      <c r="P140" s="147">
        <f>IF($E140="","",MIN(VLOOKUP(IF($B140&lt;=Input!$C$7,$B140,26),'Mortality Tables'!$A$12:$CW$37,IF($B140&lt;=Input!$C$7+1,Input!$C$4+2,$D140-Input!$C$7+2),0)*IF(B140&gt;20,Input!$C$22,1)/1000,1))</f>
        <v>2.16E-3</v>
      </c>
      <c r="Q140" s="155">
        <f>IF($E140="","",Input!$C$21)</f>
        <v>5.0000000000000001E-3</v>
      </c>
      <c r="R140" s="159">
        <f>IF($E140="","",(1-Q140)^($F140-Input!$C$20))</f>
        <v>0.94635457981344306</v>
      </c>
      <c r="S140" s="147">
        <f t="shared" si="82"/>
        <v>1.6353007139176298E-3</v>
      </c>
      <c r="T140" s="147">
        <f t="shared" si="83"/>
        <v>1.3637730623894395E-4</v>
      </c>
      <c r="U140" s="160">
        <f>IF($E140="","",IF($C140=12,INDEX(Input!$C$15:$CP$15,1,$B140),0))</f>
        <v>0</v>
      </c>
      <c r="V140" s="150">
        <f>IF(E140="","",IF(C140=1,IF($B140=1,Input!$C$33,Input!$C$34),0))</f>
        <v>0</v>
      </c>
      <c r="W140" s="156">
        <f>IF($E140="","",Input!$C$35)</f>
        <v>0.02</v>
      </c>
      <c r="X140" s="156">
        <f t="shared" si="84"/>
        <v>1.2433743083946525</v>
      </c>
      <c r="Y140" s="154"/>
      <c r="Z140" s="147">
        <f>IF($E140="","",VLOOKUP($D140,'Mortality Margins &amp; Grading'!$AB$5:$AF$125,3,0)*IF(Summary!$D$25="Included Margin",IF(AND($B140&gt;Input!$C$9,Summary!$D$31&lt;&gt;"Included Margin"),0,1),0))</f>
        <v>3.6999999999999998E-2</v>
      </c>
      <c r="AA140" s="147">
        <f>IF($E140="","",VLOOKUP($D140,'Mortality Margins &amp; Grading'!$AB$5:$AF$125,5,0)*IF(Summary!$D$25="Included Margin",IF(AND($B140&gt;Input!$C$9,Summary!$D$31&lt;&gt;"Included Margin"),0,1),0))</f>
        <v>0.189</v>
      </c>
      <c r="AB140" s="147">
        <f>IF($E140="","",IF(AND($B140&gt;Input!$C$9,Summary!$D$31&lt;&gt;"Included Margin"),1,IF(Summary!$D$25="Included Margin",VLOOKUP($B140,'Mortality Margins &amp; Grading'!$AI$5:$AR$125,MATCH('Mortality Margins &amp; Grading'!$AQ$4,'Mortality Margins &amp; Grading'!$AI$4:$AR$4,0),0),1)))</f>
        <v>1</v>
      </c>
      <c r="AC140" s="154"/>
      <c r="AD140" s="158">
        <f>IF(E140="","",Input!$C$48*IF(Summary!$D$30="Included Margin",IF(AND($B140&gt;Input!$C$9,Summary!$D$31&lt;&gt;"Included Margin"),0,1),0))</f>
        <v>-4.4999999999999997E-3</v>
      </c>
      <c r="AE140" s="159">
        <f>IF(E140="","",IF(Summary!$D$26="Included Margin",IF(AND($B140&gt;Input!$C$9,Summary!$D$31&lt;&gt;"Included Margin"),1,1/$R140),1))</f>
        <v>1.0566863851360366</v>
      </c>
      <c r="AF140" s="160">
        <f>IF(E140="","",IF(AND($B140&gt;=Input!$C$9,$C140=12,Summary!$D$31="Included Margin",$U140&gt;0),1/U140-1,IF($B140&gt;=Input!$C$9,0,Input!$C$45*IF(Summary!$D$27="Included Margin",1,0))))</f>
        <v>-0.1</v>
      </c>
      <c r="AG140" s="160">
        <f>IF(E140="","",Input!$C$46*IF(Summary!$D$28="Included Margin",IF(AND($B140&gt;Input!$C$9,Summary!$D$31&lt;&gt;"Included Margin"),0,1),0))</f>
        <v>0.02</v>
      </c>
      <c r="AH140" s="158">
        <f>IF(E140="","",Input!$C$47*IF(Summary!$D$29="Included Margin",IF(AND($B140&gt;Input!$C$9,Summary!$D$31&lt;&gt;"Included Margin"),0,1),0))</f>
        <v>2.5000000000000001E-3</v>
      </c>
      <c r="AI140" s="154"/>
      <c r="AJ140" s="158">
        <f t="shared" si="107"/>
        <v>3.5480000000000005E-2</v>
      </c>
      <c r="AK140" s="155">
        <f t="shared" si="108"/>
        <v>2.909648778641305E-3</v>
      </c>
      <c r="AL140" s="147">
        <f t="shared" si="109"/>
        <v>1.791936E-3</v>
      </c>
      <c r="AM140" s="147">
        <f t="shared" si="85"/>
        <v>1.4945078427586189E-4</v>
      </c>
      <c r="AN140" s="160">
        <f t="shared" si="110"/>
        <v>0</v>
      </c>
      <c r="AO140" s="161">
        <f t="shared" si="111"/>
        <v>0</v>
      </c>
      <c r="AP140" s="156">
        <f t="shared" si="86"/>
        <v>1.277310503557523</v>
      </c>
      <c r="AQ140" s="152"/>
      <c r="AR140" s="162">
        <f t="shared" si="87"/>
        <v>1150.7178154588439</v>
      </c>
      <c r="AS140" s="150">
        <f t="shared" si="112"/>
        <v>0</v>
      </c>
      <c r="AT140" s="163">
        <f t="shared" si="88"/>
        <v>0</v>
      </c>
      <c r="AU140" s="163">
        <f t="shared" si="89"/>
        <v>14.945078427586189</v>
      </c>
      <c r="AV140" s="163">
        <f t="shared" si="113"/>
        <v>3.3264422217138532</v>
      </c>
      <c r="AW140" s="163">
        <f t="shared" si="90"/>
        <v>0.1702647166232612</v>
      </c>
      <c r="AX140" s="163">
        <f t="shared" si="91"/>
        <v>0</v>
      </c>
      <c r="AY140" s="164">
        <f t="shared" si="114"/>
        <v>1139.2694439695949</v>
      </c>
      <c r="AZ140" s="164">
        <f>IF($E140="","",IF(OR(AND($D140=Input!$C$6,$C140=12),$AN140=1),0,-AS141+AT141+AU141-AV141-AW141-AX141+AZ141))</f>
        <v>1139.2694755551111</v>
      </c>
      <c r="BA140" s="154">
        <f t="shared" si="92"/>
        <v>3.1585516126142466E-5</v>
      </c>
      <c r="BC140" s="147">
        <f t="shared" si="115"/>
        <v>0.55066469509487515</v>
      </c>
      <c r="BD140" s="164">
        <f>IF(AND($C139=12,$D139=Input!$C$6),0,IF($E140="","",AT140+(AU140+BD141)/(1+$AK140)*MIN((1-AM140-AN140),1)))</f>
        <v>2580.0536853221806</v>
      </c>
      <c r="BE140" s="164">
        <f t="shared" si="93"/>
        <v>1420.7444759563475</v>
      </c>
      <c r="BF140" s="164">
        <f t="shared" si="116"/>
        <v>1139.2694755551111</v>
      </c>
      <c r="BG140" s="164">
        <f t="shared" si="94"/>
        <v>627.35547838745356</v>
      </c>
      <c r="BH140" s="152"/>
      <c r="BI140" s="162">
        <f t="shared" si="95"/>
        <v>814.40390327359046</v>
      </c>
      <c r="BJ140" s="150">
        <f t="shared" si="96"/>
        <v>0</v>
      </c>
      <c r="BK140" s="163">
        <f t="shared" si="120"/>
        <v>0</v>
      </c>
      <c r="BL140" s="163">
        <f t="shared" si="97"/>
        <v>13.637730623894395</v>
      </c>
      <c r="BM140" s="163">
        <f t="shared" si="121"/>
        <v>2.6425248111509636</v>
      </c>
      <c r="BN140" s="163">
        <f t="shared" si="98"/>
        <v>0.10958166339093862</v>
      </c>
      <c r="BO140" s="163">
        <f t="shared" si="99"/>
        <v>0</v>
      </c>
      <c r="BP140" s="164">
        <f t="shared" si="122"/>
        <v>803.51827912423801</v>
      </c>
      <c r="BQ140" s="164">
        <f>IF($E140="","",IF(AND($D140=Input!$C$6,$C140=12),0,-BJ141+BK141+BL141-BM141-BN141-BO141+BQ141))</f>
        <v>803.51831556888783</v>
      </c>
      <c r="BR140" s="161">
        <f t="shared" si="100"/>
        <v>0</v>
      </c>
      <c r="BT140" s="147">
        <f t="shared" si="101"/>
        <v>0.55066469509487515</v>
      </c>
      <c r="BU140" s="164">
        <f>IF(AND($C139=12,$D139=Input!$C$6),0,IF($E140="","",BK140+(BL140+BU141)/(1+$AK140)*MIN((1-T140-U140),1)))</f>
        <v>4983.6003110967849</v>
      </c>
      <c r="BV140" s="164">
        <f t="shared" si="102"/>
        <v>2744.2927457848359</v>
      </c>
      <c r="BW140" s="164">
        <f t="shared" si="103"/>
        <v>803.51831556888783</v>
      </c>
      <c r="BX140" s="164">
        <f t="shared" si="104"/>
        <v>442.46916824588931</v>
      </c>
    </row>
    <row r="141" spans="1:76" s="150" customFormat="1" x14ac:dyDescent="0.25">
      <c r="A141" s="150">
        <f t="shared" si="117"/>
        <v>137</v>
      </c>
      <c r="B141" s="150">
        <f t="shared" si="118"/>
        <v>12</v>
      </c>
      <c r="C141" s="150">
        <f t="shared" si="119"/>
        <v>5</v>
      </c>
      <c r="D141" s="150">
        <f>IF(E141="","",Input!$C$4+B141-1)</f>
        <v>56</v>
      </c>
      <c r="E141" s="150">
        <f>IF(OR(AND(C140=12,D140=Input!$C$6),E140=""),"",1)</f>
        <v>1</v>
      </c>
      <c r="F141" s="150">
        <f>IF(E141="","",Input!$C$8+B141-1)</f>
        <v>2029</v>
      </c>
      <c r="G141" s="151">
        <f>IF(E141="","",MAX(0,Input!$C$9-B141))</f>
        <v>8</v>
      </c>
      <c r="H141" s="152">
        <f>IF(E141="","",Input!$C$3)</f>
        <v>100000</v>
      </c>
      <c r="I141" s="153">
        <f>IF(E141="","",HLOOKUP($B141,Input!$C$13:$BT$14,2))</f>
        <v>2.2999999999999998</v>
      </c>
      <c r="J141" s="154"/>
      <c r="K141" s="155">
        <f>IF($E141="","",INDEX(Input!$C$16:$CP$16,1,$B141))</f>
        <v>2.4979999999999999E-2</v>
      </c>
      <c r="L141" s="155">
        <f>IF($E141="","",Input!$C$37)</f>
        <v>1.4999999999999999E-2</v>
      </c>
      <c r="M141" s="155">
        <f t="shared" si="105"/>
        <v>3.9980000000000002E-2</v>
      </c>
      <c r="N141" s="155">
        <f t="shared" si="106"/>
        <v>3.2721319575468311E-3</v>
      </c>
      <c r="O141" s="147">
        <f>IF($E141="","",MIN(VLOOKUP(IF($B141&lt;=Input!$C$7,$B141,26),'Mortality Tables'!$A$41:$CW$67,IF($B141&lt;=Input!$C$7+1,Input!$C$4+2,$D141-Input!$C$7+2),0)*IF(B141&gt;20,Input!$C$22,1)/1000,1))</f>
        <v>1.7280000000000002E-3</v>
      </c>
      <c r="P141" s="147">
        <f>IF($E141="","",MIN(VLOOKUP(IF($B141&lt;=Input!$C$7,$B141,26),'Mortality Tables'!$A$12:$CW$37,IF($B141&lt;=Input!$C$7+1,Input!$C$4+2,$D141-Input!$C$7+2),0)*IF(B141&gt;20,Input!$C$22,1)/1000,1))</f>
        <v>2.16E-3</v>
      </c>
      <c r="Q141" s="155">
        <f>IF($E141="","",Input!$C$21)</f>
        <v>5.0000000000000001E-3</v>
      </c>
      <c r="R141" s="159">
        <f>IF($E141="","",(1-Q141)^($F141-Input!$C$20))</f>
        <v>0.94635457981344306</v>
      </c>
      <c r="S141" s="147">
        <f t="shared" si="82"/>
        <v>1.6353007139176298E-3</v>
      </c>
      <c r="T141" s="147">
        <f t="shared" si="83"/>
        <v>1.3637730623894395E-4</v>
      </c>
      <c r="U141" s="160">
        <f>IF($E141="","",IF($C141=12,INDEX(Input!$C$15:$CP$15,1,$B141),0))</f>
        <v>0</v>
      </c>
      <c r="V141" s="150">
        <f>IF(E141="","",IF(C141=1,IF($B141=1,Input!$C$33,Input!$C$34),0))</f>
        <v>0</v>
      </c>
      <c r="W141" s="156">
        <f>IF($E141="","",Input!$C$35)</f>
        <v>0.02</v>
      </c>
      <c r="X141" s="156">
        <f t="shared" si="84"/>
        <v>1.2433743083946525</v>
      </c>
      <c r="Y141" s="154"/>
      <c r="Z141" s="147">
        <f>IF($E141="","",VLOOKUP($D141,'Mortality Margins &amp; Grading'!$AB$5:$AF$125,3,0)*IF(Summary!$D$25="Included Margin",IF(AND($B141&gt;Input!$C$9,Summary!$D$31&lt;&gt;"Included Margin"),0,1),0))</f>
        <v>3.6999999999999998E-2</v>
      </c>
      <c r="AA141" s="147">
        <f>IF($E141="","",VLOOKUP($D141,'Mortality Margins &amp; Grading'!$AB$5:$AF$125,5,0)*IF(Summary!$D$25="Included Margin",IF(AND($B141&gt;Input!$C$9,Summary!$D$31&lt;&gt;"Included Margin"),0,1),0))</f>
        <v>0.189</v>
      </c>
      <c r="AB141" s="147">
        <f>IF($E141="","",IF(AND($B141&gt;Input!$C$9,Summary!$D$31&lt;&gt;"Included Margin"),1,IF(Summary!$D$25="Included Margin",VLOOKUP($B141,'Mortality Margins &amp; Grading'!$AI$5:$AR$125,MATCH('Mortality Margins &amp; Grading'!$AQ$4,'Mortality Margins &amp; Grading'!$AI$4:$AR$4,0),0),1)))</f>
        <v>1</v>
      </c>
      <c r="AC141" s="154"/>
      <c r="AD141" s="158">
        <f>IF(E141="","",Input!$C$48*IF(Summary!$D$30="Included Margin",IF(AND($B141&gt;Input!$C$9,Summary!$D$31&lt;&gt;"Included Margin"),0,1),0))</f>
        <v>-4.4999999999999997E-3</v>
      </c>
      <c r="AE141" s="159">
        <f>IF(E141="","",IF(Summary!$D$26="Included Margin",IF(AND($B141&gt;Input!$C$9,Summary!$D$31&lt;&gt;"Included Margin"),1,1/$R141),1))</f>
        <v>1.0566863851360366</v>
      </c>
      <c r="AF141" s="160">
        <f>IF(E141="","",IF(AND($B141&gt;=Input!$C$9,$C141=12,Summary!$D$31="Included Margin",$U141&gt;0),1/U141-1,IF($B141&gt;=Input!$C$9,0,Input!$C$45*IF(Summary!$D$27="Included Margin",1,0))))</f>
        <v>-0.1</v>
      </c>
      <c r="AG141" s="160">
        <f>IF(E141="","",Input!$C$46*IF(Summary!$D$28="Included Margin",IF(AND($B141&gt;Input!$C$9,Summary!$D$31&lt;&gt;"Included Margin"),0,1),0))</f>
        <v>0.02</v>
      </c>
      <c r="AH141" s="158">
        <f>IF(E141="","",Input!$C$47*IF(Summary!$D$29="Included Margin",IF(AND($B141&gt;Input!$C$9,Summary!$D$31&lt;&gt;"Included Margin"),0,1),0))</f>
        <v>2.5000000000000001E-3</v>
      </c>
      <c r="AI141" s="154"/>
      <c r="AJ141" s="158">
        <f t="shared" si="107"/>
        <v>3.5480000000000005E-2</v>
      </c>
      <c r="AK141" s="155">
        <f t="shared" si="108"/>
        <v>2.909648778641305E-3</v>
      </c>
      <c r="AL141" s="147">
        <f t="shared" si="109"/>
        <v>1.791936E-3</v>
      </c>
      <c r="AM141" s="147">
        <f t="shared" si="85"/>
        <v>1.4945078427586189E-4</v>
      </c>
      <c r="AN141" s="160">
        <f t="shared" si="110"/>
        <v>0</v>
      </c>
      <c r="AO141" s="161">
        <f t="shared" si="111"/>
        <v>0</v>
      </c>
      <c r="AP141" s="156">
        <f t="shared" si="86"/>
        <v>1.277310503557523</v>
      </c>
      <c r="AQ141" s="152"/>
      <c r="AR141" s="162">
        <f t="shared" si="87"/>
        <v>1139.2694439695949</v>
      </c>
      <c r="AS141" s="150">
        <f t="shared" si="112"/>
        <v>0</v>
      </c>
      <c r="AT141" s="163">
        <f t="shared" si="88"/>
        <v>0</v>
      </c>
      <c r="AU141" s="163">
        <f t="shared" si="89"/>
        <v>14.945078427586189</v>
      </c>
      <c r="AV141" s="163">
        <f t="shared" si="113"/>
        <v>3.2931314815927277</v>
      </c>
      <c r="AW141" s="163">
        <f t="shared" si="90"/>
        <v>0.16854851372140597</v>
      </c>
      <c r="AX141" s="163">
        <f t="shared" si="91"/>
        <v>0</v>
      </c>
      <c r="AY141" s="164">
        <f t="shared" si="114"/>
        <v>1127.7860455373229</v>
      </c>
      <c r="AZ141" s="164">
        <f>IF($E141="","",IF(OR(AND($D141=Input!$C$6,$C141=12),$AN141=1),0,-AS142+AT142+AU142-AV142-AW142-AX142+AZ142))</f>
        <v>1127.7860771228391</v>
      </c>
      <c r="BA141" s="154">
        <f t="shared" si="92"/>
        <v>3.1585516126142466E-5</v>
      </c>
      <c r="BC141" s="147">
        <f t="shared" si="115"/>
        <v>0.55058959692711718</v>
      </c>
      <c r="BD141" s="164">
        <f>IF(AND($C140=12,$D140=Input!$C$6),0,IF($E141="","",AT141+(AU141+BD142)/(1+$AK141)*MIN((1-AM141-AN141),1)))</f>
        <v>2573.0024277333814</v>
      </c>
      <c r="BE141" s="164">
        <f t="shared" si="93"/>
        <v>1416.6683695782165</v>
      </c>
      <c r="BF141" s="164">
        <f t="shared" si="116"/>
        <v>1127.7860771228391</v>
      </c>
      <c r="BG141" s="164">
        <f t="shared" si="94"/>
        <v>620.94728162307865</v>
      </c>
      <c r="BH141" s="152"/>
      <c r="BI141" s="162">
        <f t="shared" si="95"/>
        <v>803.51827912423801</v>
      </c>
      <c r="BJ141" s="150">
        <f t="shared" si="96"/>
        <v>0</v>
      </c>
      <c r="BK141" s="163">
        <f t="shared" si="120"/>
        <v>0</v>
      </c>
      <c r="BL141" s="163">
        <f t="shared" si="97"/>
        <v>13.637730623894395</v>
      </c>
      <c r="BM141" s="163">
        <f t="shared" si="121"/>
        <v>2.6069056124940237</v>
      </c>
      <c r="BN141" s="163">
        <f t="shared" si="98"/>
        <v>0.10809205049296275</v>
      </c>
      <c r="BO141" s="163">
        <f t="shared" si="99"/>
        <v>0</v>
      </c>
      <c r="BP141" s="164">
        <f t="shared" si="122"/>
        <v>792.5955461633306</v>
      </c>
      <c r="BQ141" s="164">
        <f>IF($E141="","",IF(AND($D141=Input!$C$6,$C141=12),0,-BJ142+BK142+BL142-BM142-BN142-BO142+BQ142))</f>
        <v>792.59558260798042</v>
      </c>
      <c r="BR141" s="161">
        <f t="shared" si="100"/>
        <v>0</v>
      </c>
      <c r="BT141" s="147">
        <f t="shared" si="101"/>
        <v>0.55058959692711718</v>
      </c>
      <c r="BU141" s="164">
        <f>IF(AND($C140=12,$D140=Input!$C$6),0,IF($E141="","",BK141+(BL141+BU142)/(1+$AK141)*MIN((1-T141-U141),1)))</f>
        <v>4985.1448275310649</v>
      </c>
      <c r="BV141" s="164">
        <f t="shared" si="102"/>
        <v>2744.7688812136321</v>
      </c>
      <c r="BW141" s="164">
        <f t="shared" si="103"/>
        <v>792.59558260798042</v>
      </c>
      <c r="BX141" s="164">
        <f t="shared" si="104"/>
        <v>436.39488235434152</v>
      </c>
    </row>
    <row r="142" spans="1:76" s="150" customFormat="1" x14ac:dyDescent="0.25">
      <c r="A142" s="150">
        <f t="shared" si="117"/>
        <v>138</v>
      </c>
      <c r="B142" s="150">
        <f t="shared" si="118"/>
        <v>12</v>
      </c>
      <c r="C142" s="150">
        <f t="shared" si="119"/>
        <v>6</v>
      </c>
      <c r="D142" s="150">
        <f>IF(E142="","",Input!$C$4+B142-1)</f>
        <v>56</v>
      </c>
      <c r="E142" s="150">
        <f>IF(OR(AND(C141=12,D141=Input!$C$6),E141=""),"",1)</f>
        <v>1</v>
      </c>
      <c r="F142" s="150">
        <f>IF(E142="","",Input!$C$8+B142-1)</f>
        <v>2029</v>
      </c>
      <c r="G142" s="151">
        <f>IF(E142="","",MAX(0,Input!$C$9-B142))</f>
        <v>8</v>
      </c>
      <c r="H142" s="152">
        <f>IF(E142="","",Input!$C$3)</f>
        <v>100000</v>
      </c>
      <c r="I142" s="153">
        <f>IF(E142="","",HLOOKUP($B142,Input!$C$13:$BT$14,2))</f>
        <v>2.2999999999999998</v>
      </c>
      <c r="J142" s="154"/>
      <c r="K142" s="155">
        <f>IF($E142="","",INDEX(Input!$C$16:$CP$16,1,$B142))</f>
        <v>2.4979999999999999E-2</v>
      </c>
      <c r="L142" s="155">
        <f>IF($E142="","",Input!$C$37)</f>
        <v>1.4999999999999999E-2</v>
      </c>
      <c r="M142" s="155">
        <f t="shared" si="105"/>
        <v>3.9980000000000002E-2</v>
      </c>
      <c r="N142" s="155">
        <f t="shared" si="106"/>
        <v>3.2721319575468311E-3</v>
      </c>
      <c r="O142" s="147">
        <f>IF($E142="","",MIN(VLOOKUP(IF($B142&lt;=Input!$C$7,$B142,26),'Mortality Tables'!$A$41:$CW$67,IF($B142&lt;=Input!$C$7+1,Input!$C$4+2,$D142-Input!$C$7+2),0)*IF(B142&gt;20,Input!$C$22,1)/1000,1))</f>
        <v>1.7280000000000002E-3</v>
      </c>
      <c r="P142" s="147">
        <f>IF($E142="","",MIN(VLOOKUP(IF($B142&lt;=Input!$C$7,$B142,26),'Mortality Tables'!$A$12:$CW$37,IF($B142&lt;=Input!$C$7+1,Input!$C$4+2,$D142-Input!$C$7+2),0)*IF(B142&gt;20,Input!$C$22,1)/1000,1))</f>
        <v>2.16E-3</v>
      </c>
      <c r="Q142" s="155">
        <f>IF($E142="","",Input!$C$21)</f>
        <v>5.0000000000000001E-3</v>
      </c>
      <c r="R142" s="159">
        <f>IF($E142="","",(1-Q142)^($F142-Input!$C$20))</f>
        <v>0.94635457981344306</v>
      </c>
      <c r="S142" s="147">
        <f t="shared" si="82"/>
        <v>1.6353007139176298E-3</v>
      </c>
      <c r="T142" s="147">
        <f t="shared" si="83"/>
        <v>1.3637730623894395E-4</v>
      </c>
      <c r="U142" s="160">
        <f>IF($E142="","",IF($C142=12,INDEX(Input!$C$15:$CP$15,1,$B142),0))</f>
        <v>0</v>
      </c>
      <c r="V142" s="150">
        <f>IF(E142="","",IF(C142=1,IF($B142=1,Input!$C$33,Input!$C$34),0))</f>
        <v>0</v>
      </c>
      <c r="W142" s="156">
        <f>IF($E142="","",Input!$C$35)</f>
        <v>0.02</v>
      </c>
      <c r="X142" s="156">
        <f t="shared" si="84"/>
        <v>1.2433743083946525</v>
      </c>
      <c r="Y142" s="154"/>
      <c r="Z142" s="147">
        <f>IF($E142="","",VLOOKUP($D142,'Mortality Margins &amp; Grading'!$AB$5:$AF$125,3,0)*IF(Summary!$D$25="Included Margin",IF(AND($B142&gt;Input!$C$9,Summary!$D$31&lt;&gt;"Included Margin"),0,1),0))</f>
        <v>3.6999999999999998E-2</v>
      </c>
      <c r="AA142" s="147">
        <f>IF($E142="","",VLOOKUP($D142,'Mortality Margins &amp; Grading'!$AB$5:$AF$125,5,0)*IF(Summary!$D$25="Included Margin",IF(AND($B142&gt;Input!$C$9,Summary!$D$31&lt;&gt;"Included Margin"),0,1),0))</f>
        <v>0.189</v>
      </c>
      <c r="AB142" s="147">
        <f>IF($E142="","",IF(AND($B142&gt;Input!$C$9,Summary!$D$31&lt;&gt;"Included Margin"),1,IF(Summary!$D$25="Included Margin",VLOOKUP($B142,'Mortality Margins &amp; Grading'!$AI$5:$AR$125,MATCH('Mortality Margins &amp; Grading'!$AQ$4,'Mortality Margins &amp; Grading'!$AI$4:$AR$4,0),0),1)))</f>
        <v>1</v>
      </c>
      <c r="AC142" s="154"/>
      <c r="AD142" s="158">
        <f>IF(E142="","",Input!$C$48*IF(Summary!$D$30="Included Margin",IF(AND($B142&gt;Input!$C$9,Summary!$D$31&lt;&gt;"Included Margin"),0,1),0))</f>
        <v>-4.4999999999999997E-3</v>
      </c>
      <c r="AE142" s="159">
        <f>IF(E142="","",IF(Summary!$D$26="Included Margin",IF(AND($B142&gt;Input!$C$9,Summary!$D$31&lt;&gt;"Included Margin"),1,1/$R142),1))</f>
        <v>1.0566863851360366</v>
      </c>
      <c r="AF142" s="160">
        <f>IF(E142="","",IF(AND($B142&gt;=Input!$C$9,$C142=12,Summary!$D$31="Included Margin",$U142&gt;0),1/U142-1,IF($B142&gt;=Input!$C$9,0,Input!$C$45*IF(Summary!$D$27="Included Margin",1,0))))</f>
        <v>-0.1</v>
      </c>
      <c r="AG142" s="160">
        <f>IF(E142="","",Input!$C$46*IF(Summary!$D$28="Included Margin",IF(AND($B142&gt;Input!$C$9,Summary!$D$31&lt;&gt;"Included Margin"),0,1),0))</f>
        <v>0.02</v>
      </c>
      <c r="AH142" s="158">
        <f>IF(E142="","",Input!$C$47*IF(Summary!$D$29="Included Margin",IF(AND($B142&gt;Input!$C$9,Summary!$D$31&lt;&gt;"Included Margin"),0,1),0))</f>
        <v>2.5000000000000001E-3</v>
      </c>
      <c r="AI142" s="154"/>
      <c r="AJ142" s="158">
        <f t="shared" si="107"/>
        <v>3.5480000000000005E-2</v>
      </c>
      <c r="AK142" s="155">
        <f t="shared" si="108"/>
        <v>2.909648778641305E-3</v>
      </c>
      <c r="AL142" s="147">
        <f t="shared" si="109"/>
        <v>1.791936E-3</v>
      </c>
      <c r="AM142" s="147">
        <f t="shared" si="85"/>
        <v>1.4945078427586189E-4</v>
      </c>
      <c r="AN142" s="160">
        <f t="shared" si="110"/>
        <v>0</v>
      </c>
      <c r="AO142" s="161">
        <f t="shared" si="111"/>
        <v>0</v>
      </c>
      <c r="AP142" s="156">
        <f t="shared" si="86"/>
        <v>1.277310503557523</v>
      </c>
      <c r="AQ142" s="152"/>
      <c r="AR142" s="162">
        <f t="shared" si="87"/>
        <v>1127.7860455373225</v>
      </c>
      <c r="AS142" s="150">
        <f t="shared" si="112"/>
        <v>0</v>
      </c>
      <c r="AT142" s="163">
        <f t="shared" si="88"/>
        <v>0</v>
      </c>
      <c r="AU142" s="163">
        <f t="shared" si="89"/>
        <v>14.945078427586189</v>
      </c>
      <c r="AV142" s="163">
        <f t="shared" si="113"/>
        <v>3.2597188253696148</v>
      </c>
      <c r="AW142" s="163">
        <f t="shared" si="90"/>
        <v>0.16682705999926453</v>
      </c>
      <c r="AX142" s="163">
        <f t="shared" si="91"/>
        <v>0</v>
      </c>
      <c r="AY142" s="164">
        <f t="shared" si="114"/>
        <v>1116.2675129951053</v>
      </c>
      <c r="AZ142" s="164">
        <f>IF($E142="","",IF(OR(AND($D142=Input!$C$6,$C142=12),$AN142=1),0,-AS143+AT143+AU143-AV143-AW143-AX143+AZ143))</f>
        <v>1116.2675445806217</v>
      </c>
      <c r="BA142" s="154">
        <f t="shared" si="92"/>
        <v>3.1585516353516141E-5</v>
      </c>
      <c r="BC142" s="147">
        <f t="shared" si="115"/>
        <v>0.55051450900104504</v>
      </c>
      <c r="BD142" s="164">
        <f>IF(AND($C141=12,$D141=Input!$C$6),0,IF($E142="","",AT142+(AU142+BD143)/(1+$AK142)*MIN((1-AM142-AN142),1)))</f>
        <v>2565.9295964213643</v>
      </c>
      <c r="BE142" s="164">
        <f t="shared" si="93"/>
        <v>1412.5814719051571</v>
      </c>
      <c r="BF142" s="164">
        <f t="shared" si="116"/>
        <v>1116.2675445806217</v>
      </c>
      <c r="BG142" s="164">
        <f t="shared" si="94"/>
        <v>614.52147921860308</v>
      </c>
      <c r="BH142" s="152"/>
      <c r="BI142" s="162">
        <f t="shared" si="95"/>
        <v>792.5955461633306</v>
      </c>
      <c r="BJ142" s="150">
        <f t="shared" si="96"/>
        <v>0</v>
      </c>
      <c r="BK142" s="163">
        <f t="shared" si="120"/>
        <v>0</v>
      </c>
      <c r="BL142" s="163">
        <f t="shared" si="97"/>
        <v>13.637730623894395</v>
      </c>
      <c r="BM142" s="163">
        <f t="shared" si="121"/>
        <v>2.5711649889088886</v>
      </c>
      <c r="BN142" s="163">
        <f t="shared" si="98"/>
        <v>0.10659735954309363</v>
      </c>
      <c r="BO142" s="163">
        <f t="shared" si="99"/>
        <v>0</v>
      </c>
      <c r="BP142" s="164">
        <f t="shared" si="122"/>
        <v>781.63557788788819</v>
      </c>
      <c r="BQ142" s="164">
        <f>IF($E142="","",IF(AND($D142=Input!$C$6,$C142=12),0,-BJ143+BK143+BL143-BM143-BN143-BO143+BQ143))</f>
        <v>781.63561433253801</v>
      </c>
      <c r="BR142" s="161">
        <f t="shared" si="100"/>
        <v>0</v>
      </c>
      <c r="BT142" s="147">
        <f t="shared" si="101"/>
        <v>0.55051450900104504</v>
      </c>
      <c r="BU142" s="164">
        <f>IF(AND($C141=12,$D141=Input!$C$6),0,IF($E142="","",BK142+(BL142+BU143)/(1+$AK142)*MIN((1-T142-U142),1)))</f>
        <v>4986.6940492443855</v>
      </c>
      <c r="BV142" s="164">
        <f t="shared" si="102"/>
        <v>2745.2474260582062</v>
      </c>
      <c r="BW142" s="164">
        <f t="shared" si="103"/>
        <v>781.63561433253801</v>
      </c>
      <c r="BX142" s="164">
        <f t="shared" si="104"/>
        <v>430.30174644200736</v>
      </c>
    </row>
    <row r="143" spans="1:76" s="150" customFormat="1" x14ac:dyDescent="0.25">
      <c r="A143" s="150">
        <f t="shared" si="117"/>
        <v>139</v>
      </c>
      <c r="B143" s="150">
        <f t="shared" si="118"/>
        <v>12</v>
      </c>
      <c r="C143" s="150">
        <f t="shared" si="119"/>
        <v>7</v>
      </c>
      <c r="D143" s="150">
        <f>IF(E143="","",Input!$C$4+B143-1)</f>
        <v>56</v>
      </c>
      <c r="E143" s="150">
        <f>IF(OR(AND(C142=12,D142=Input!$C$6),E142=""),"",1)</f>
        <v>1</v>
      </c>
      <c r="F143" s="150">
        <f>IF(E143="","",Input!$C$8+B143-1)</f>
        <v>2029</v>
      </c>
      <c r="G143" s="151">
        <f>IF(E143="","",MAX(0,Input!$C$9-B143))</f>
        <v>8</v>
      </c>
      <c r="H143" s="152">
        <f>IF(E143="","",Input!$C$3)</f>
        <v>100000</v>
      </c>
      <c r="I143" s="153">
        <f>IF(E143="","",HLOOKUP($B143,Input!$C$13:$BT$14,2))</f>
        <v>2.2999999999999998</v>
      </c>
      <c r="J143" s="154"/>
      <c r="K143" s="155">
        <f>IF($E143="","",INDEX(Input!$C$16:$CP$16,1,$B143))</f>
        <v>2.4979999999999999E-2</v>
      </c>
      <c r="L143" s="155">
        <f>IF($E143="","",Input!$C$37)</f>
        <v>1.4999999999999999E-2</v>
      </c>
      <c r="M143" s="155">
        <f t="shared" si="105"/>
        <v>3.9980000000000002E-2</v>
      </c>
      <c r="N143" s="155">
        <f t="shared" si="106"/>
        <v>3.2721319575468311E-3</v>
      </c>
      <c r="O143" s="147">
        <f>IF($E143="","",MIN(VLOOKUP(IF($B143&lt;=Input!$C$7,$B143,26),'Mortality Tables'!$A$41:$CW$67,IF($B143&lt;=Input!$C$7+1,Input!$C$4+2,$D143-Input!$C$7+2),0)*IF(B143&gt;20,Input!$C$22,1)/1000,1))</f>
        <v>1.7280000000000002E-3</v>
      </c>
      <c r="P143" s="147">
        <f>IF($E143="","",MIN(VLOOKUP(IF($B143&lt;=Input!$C$7,$B143,26),'Mortality Tables'!$A$12:$CW$37,IF($B143&lt;=Input!$C$7+1,Input!$C$4+2,$D143-Input!$C$7+2),0)*IF(B143&gt;20,Input!$C$22,1)/1000,1))</f>
        <v>2.16E-3</v>
      </c>
      <c r="Q143" s="155">
        <f>IF($E143="","",Input!$C$21)</f>
        <v>5.0000000000000001E-3</v>
      </c>
      <c r="R143" s="159">
        <f>IF($E143="","",(1-Q143)^($F143-Input!$C$20))</f>
        <v>0.94635457981344306</v>
      </c>
      <c r="S143" s="147">
        <f t="shared" si="82"/>
        <v>1.6353007139176298E-3</v>
      </c>
      <c r="T143" s="147">
        <f t="shared" si="83"/>
        <v>1.3637730623894395E-4</v>
      </c>
      <c r="U143" s="160">
        <f>IF($E143="","",IF($C143=12,INDEX(Input!$C$15:$CP$15,1,$B143),0))</f>
        <v>0</v>
      </c>
      <c r="V143" s="150">
        <f>IF(E143="","",IF(C143=1,IF($B143=1,Input!$C$33,Input!$C$34),0))</f>
        <v>0</v>
      </c>
      <c r="W143" s="156">
        <f>IF($E143="","",Input!$C$35)</f>
        <v>0.02</v>
      </c>
      <c r="X143" s="156">
        <f t="shared" si="84"/>
        <v>1.2433743083946525</v>
      </c>
      <c r="Y143" s="154"/>
      <c r="Z143" s="147">
        <f>IF($E143="","",VLOOKUP($D143,'Mortality Margins &amp; Grading'!$AB$5:$AF$125,3,0)*IF(Summary!$D$25="Included Margin",IF(AND($B143&gt;Input!$C$9,Summary!$D$31&lt;&gt;"Included Margin"),0,1),0))</f>
        <v>3.6999999999999998E-2</v>
      </c>
      <c r="AA143" s="147">
        <f>IF($E143="","",VLOOKUP($D143,'Mortality Margins &amp; Grading'!$AB$5:$AF$125,5,0)*IF(Summary!$D$25="Included Margin",IF(AND($B143&gt;Input!$C$9,Summary!$D$31&lt;&gt;"Included Margin"),0,1),0))</f>
        <v>0.189</v>
      </c>
      <c r="AB143" s="147">
        <f>IF($E143="","",IF(AND($B143&gt;Input!$C$9,Summary!$D$31&lt;&gt;"Included Margin"),1,IF(Summary!$D$25="Included Margin",VLOOKUP($B143,'Mortality Margins &amp; Grading'!$AI$5:$AR$125,MATCH('Mortality Margins &amp; Grading'!$AQ$4,'Mortality Margins &amp; Grading'!$AI$4:$AR$4,0),0),1)))</f>
        <v>1</v>
      </c>
      <c r="AC143" s="154"/>
      <c r="AD143" s="158">
        <f>IF(E143="","",Input!$C$48*IF(Summary!$D$30="Included Margin",IF(AND($B143&gt;Input!$C$9,Summary!$D$31&lt;&gt;"Included Margin"),0,1),0))</f>
        <v>-4.4999999999999997E-3</v>
      </c>
      <c r="AE143" s="159">
        <f>IF(E143="","",IF(Summary!$D$26="Included Margin",IF(AND($B143&gt;Input!$C$9,Summary!$D$31&lt;&gt;"Included Margin"),1,1/$R143),1))</f>
        <v>1.0566863851360366</v>
      </c>
      <c r="AF143" s="160">
        <f>IF(E143="","",IF(AND($B143&gt;=Input!$C$9,$C143=12,Summary!$D$31="Included Margin",$U143&gt;0),1/U143-1,IF($B143&gt;=Input!$C$9,0,Input!$C$45*IF(Summary!$D$27="Included Margin",1,0))))</f>
        <v>-0.1</v>
      </c>
      <c r="AG143" s="160">
        <f>IF(E143="","",Input!$C$46*IF(Summary!$D$28="Included Margin",IF(AND($B143&gt;Input!$C$9,Summary!$D$31&lt;&gt;"Included Margin"),0,1),0))</f>
        <v>0.02</v>
      </c>
      <c r="AH143" s="158">
        <f>IF(E143="","",Input!$C$47*IF(Summary!$D$29="Included Margin",IF(AND($B143&gt;Input!$C$9,Summary!$D$31&lt;&gt;"Included Margin"),0,1),0))</f>
        <v>2.5000000000000001E-3</v>
      </c>
      <c r="AI143" s="154"/>
      <c r="AJ143" s="158">
        <f t="shared" si="107"/>
        <v>3.5480000000000005E-2</v>
      </c>
      <c r="AK143" s="155">
        <f t="shared" si="108"/>
        <v>2.909648778641305E-3</v>
      </c>
      <c r="AL143" s="147">
        <f t="shared" si="109"/>
        <v>1.791936E-3</v>
      </c>
      <c r="AM143" s="147">
        <f t="shared" si="85"/>
        <v>1.4945078427586189E-4</v>
      </c>
      <c r="AN143" s="160">
        <f t="shared" si="110"/>
        <v>0</v>
      </c>
      <c r="AO143" s="161">
        <f t="shared" si="111"/>
        <v>0</v>
      </c>
      <c r="AP143" s="156">
        <f t="shared" si="86"/>
        <v>1.277310503557523</v>
      </c>
      <c r="AQ143" s="152"/>
      <c r="AR143" s="162">
        <f t="shared" si="87"/>
        <v>1116.2675129951051</v>
      </c>
      <c r="AS143" s="150">
        <f t="shared" si="112"/>
        <v>0</v>
      </c>
      <c r="AT143" s="163">
        <f t="shared" si="88"/>
        <v>0</v>
      </c>
      <c r="AU143" s="163">
        <f t="shared" si="89"/>
        <v>14.945078427586189</v>
      </c>
      <c r="AV143" s="163">
        <f t="shared" si="113"/>
        <v>3.2262039412264119</v>
      </c>
      <c r="AW143" s="163">
        <f t="shared" si="90"/>
        <v>0.16510033939165397</v>
      </c>
      <c r="AX143" s="163">
        <f t="shared" si="91"/>
        <v>0</v>
      </c>
      <c r="AY143" s="164">
        <f t="shared" si="114"/>
        <v>1104.7137388481372</v>
      </c>
      <c r="AZ143" s="164">
        <f>IF($E143="","",IF(OR(AND($D143=Input!$C$6,$C143=12),$AN143=1),0,-AS144+AT144+AU144-AV144-AW144-AX144+AZ144))</f>
        <v>1104.7137704336535</v>
      </c>
      <c r="BA143" s="154">
        <f t="shared" si="92"/>
        <v>3.1585516353516141E-5</v>
      </c>
      <c r="BC143" s="147">
        <f t="shared" si="115"/>
        <v>0.55043943131526207</v>
      </c>
      <c r="BD143" s="164">
        <f>IF(AND($C142=12,$D142=Input!$C$6),0,IF($E143="","",AT143+(AU143+BD144)/(1+$AK143)*MIN((1-AM143-AN143),1)))</f>
        <v>2558.8351253800979</v>
      </c>
      <c r="BE143" s="164">
        <f t="shared" si="93"/>
        <v>1408.4837512437384</v>
      </c>
      <c r="BF143" s="164">
        <f t="shared" si="116"/>
        <v>1104.7137704336535</v>
      </c>
      <c r="BG143" s="164">
        <f t="shared" si="94"/>
        <v>608.07801956363926</v>
      </c>
      <c r="BH143" s="152"/>
      <c r="BI143" s="162">
        <f t="shared" si="95"/>
        <v>781.63557788788819</v>
      </c>
      <c r="BJ143" s="150">
        <f t="shared" si="96"/>
        <v>0</v>
      </c>
      <c r="BK143" s="163">
        <f t="shared" si="120"/>
        <v>0</v>
      </c>
      <c r="BL143" s="163">
        <f t="shared" si="97"/>
        <v>13.637730623894395</v>
      </c>
      <c r="BM143" s="163">
        <f t="shared" si="121"/>
        <v>2.535302526461114</v>
      </c>
      <c r="BN143" s="163">
        <f t="shared" si="98"/>
        <v>0.10509757323038352</v>
      </c>
      <c r="BO143" s="163">
        <f t="shared" si="99"/>
        <v>0</v>
      </c>
      <c r="BP143" s="164">
        <f t="shared" si="122"/>
        <v>770.63824736368531</v>
      </c>
      <c r="BQ143" s="164">
        <f>IF($E143="","",IF(AND($D143=Input!$C$6,$C143=12),0,-BJ144+BK144+BL144-BM144-BN144-BO144+BQ144))</f>
        <v>770.63828380833513</v>
      </c>
      <c r="BR143" s="161">
        <f t="shared" si="100"/>
        <v>0</v>
      </c>
      <c r="BT143" s="147">
        <f t="shared" si="101"/>
        <v>0.55043943131526207</v>
      </c>
      <c r="BU143" s="164">
        <f>IF(AND($C142=12,$D142=Input!$C$6),0,IF($E143="","",BK143+(BL143+BU144)/(1+$AK143)*MIN((1-T143-U143),1)))</f>
        <v>4988.2479905711043</v>
      </c>
      <c r="BV143" s="164">
        <f t="shared" si="102"/>
        <v>2745.7283871894574</v>
      </c>
      <c r="BW143" s="164">
        <f t="shared" si="103"/>
        <v>770.63828380833513</v>
      </c>
      <c r="BX143" s="164">
        <f t="shared" si="104"/>
        <v>424.18969868922954</v>
      </c>
    </row>
    <row r="144" spans="1:76" s="150" customFormat="1" x14ac:dyDescent="0.25">
      <c r="A144" s="150">
        <f t="shared" si="117"/>
        <v>140</v>
      </c>
      <c r="B144" s="150">
        <f t="shared" si="118"/>
        <v>12</v>
      </c>
      <c r="C144" s="150">
        <f t="shared" si="119"/>
        <v>8</v>
      </c>
      <c r="D144" s="150">
        <f>IF(E144="","",Input!$C$4+B144-1)</f>
        <v>56</v>
      </c>
      <c r="E144" s="150">
        <f>IF(OR(AND(C143=12,D143=Input!$C$6),E143=""),"",1)</f>
        <v>1</v>
      </c>
      <c r="F144" s="150">
        <f>IF(E144="","",Input!$C$8+B144-1)</f>
        <v>2029</v>
      </c>
      <c r="G144" s="151">
        <f>IF(E144="","",MAX(0,Input!$C$9-B144))</f>
        <v>8</v>
      </c>
      <c r="H144" s="152">
        <f>IF(E144="","",Input!$C$3)</f>
        <v>100000</v>
      </c>
      <c r="I144" s="153">
        <f>IF(E144="","",HLOOKUP($B144,Input!$C$13:$BT$14,2))</f>
        <v>2.2999999999999998</v>
      </c>
      <c r="J144" s="154"/>
      <c r="K144" s="155">
        <f>IF($E144="","",INDEX(Input!$C$16:$CP$16,1,$B144))</f>
        <v>2.4979999999999999E-2</v>
      </c>
      <c r="L144" s="155">
        <f>IF($E144="","",Input!$C$37)</f>
        <v>1.4999999999999999E-2</v>
      </c>
      <c r="M144" s="155">
        <f t="shared" si="105"/>
        <v>3.9980000000000002E-2</v>
      </c>
      <c r="N144" s="155">
        <f t="shared" si="106"/>
        <v>3.2721319575468311E-3</v>
      </c>
      <c r="O144" s="147">
        <f>IF($E144="","",MIN(VLOOKUP(IF($B144&lt;=Input!$C$7,$B144,26),'Mortality Tables'!$A$41:$CW$67,IF($B144&lt;=Input!$C$7+1,Input!$C$4+2,$D144-Input!$C$7+2),0)*IF(B144&gt;20,Input!$C$22,1)/1000,1))</f>
        <v>1.7280000000000002E-3</v>
      </c>
      <c r="P144" s="147">
        <f>IF($E144="","",MIN(VLOOKUP(IF($B144&lt;=Input!$C$7,$B144,26),'Mortality Tables'!$A$12:$CW$37,IF($B144&lt;=Input!$C$7+1,Input!$C$4+2,$D144-Input!$C$7+2),0)*IF(B144&gt;20,Input!$C$22,1)/1000,1))</f>
        <v>2.16E-3</v>
      </c>
      <c r="Q144" s="155">
        <f>IF($E144="","",Input!$C$21)</f>
        <v>5.0000000000000001E-3</v>
      </c>
      <c r="R144" s="159">
        <f>IF($E144="","",(1-Q144)^($F144-Input!$C$20))</f>
        <v>0.94635457981344306</v>
      </c>
      <c r="S144" s="147">
        <f t="shared" si="82"/>
        <v>1.6353007139176298E-3</v>
      </c>
      <c r="T144" s="147">
        <f t="shared" si="83"/>
        <v>1.3637730623894395E-4</v>
      </c>
      <c r="U144" s="160">
        <f>IF($E144="","",IF($C144=12,INDEX(Input!$C$15:$CP$15,1,$B144),0))</f>
        <v>0</v>
      </c>
      <c r="V144" s="150">
        <f>IF(E144="","",IF(C144=1,IF($B144=1,Input!$C$33,Input!$C$34),0))</f>
        <v>0</v>
      </c>
      <c r="W144" s="156">
        <f>IF($E144="","",Input!$C$35)</f>
        <v>0.02</v>
      </c>
      <c r="X144" s="156">
        <f t="shared" si="84"/>
        <v>1.2433743083946525</v>
      </c>
      <c r="Y144" s="154"/>
      <c r="Z144" s="147">
        <f>IF($E144="","",VLOOKUP($D144,'Mortality Margins &amp; Grading'!$AB$5:$AF$125,3,0)*IF(Summary!$D$25="Included Margin",IF(AND($B144&gt;Input!$C$9,Summary!$D$31&lt;&gt;"Included Margin"),0,1),0))</f>
        <v>3.6999999999999998E-2</v>
      </c>
      <c r="AA144" s="147">
        <f>IF($E144="","",VLOOKUP($D144,'Mortality Margins &amp; Grading'!$AB$5:$AF$125,5,0)*IF(Summary!$D$25="Included Margin",IF(AND($B144&gt;Input!$C$9,Summary!$D$31&lt;&gt;"Included Margin"),0,1),0))</f>
        <v>0.189</v>
      </c>
      <c r="AB144" s="147">
        <f>IF($E144="","",IF(AND($B144&gt;Input!$C$9,Summary!$D$31&lt;&gt;"Included Margin"),1,IF(Summary!$D$25="Included Margin",VLOOKUP($B144,'Mortality Margins &amp; Grading'!$AI$5:$AR$125,MATCH('Mortality Margins &amp; Grading'!$AQ$4,'Mortality Margins &amp; Grading'!$AI$4:$AR$4,0),0),1)))</f>
        <v>1</v>
      </c>
      <c r="AC144" s="154"/>
      <c r="AD144" s="158">
        <f>IF(E144="","",Input!$C$48*IF(Summary!$D$30="Included Margin",IF(AND($B144&gt;Input!$C$9,Summary!$D$31&lt;&gt;"Included Margin"),0,1),0))</f>
        <v>-4.4999999999999997E-3</v>
      </c>
      <c r="AE144" s="159">
        <f>IF(E144="","",IF(Summary!$D$26="Included Margin",IF(AND($B144&gt;Input!$C$9,Summary!$D$31&lt;&gt;"Included Margin"),1,1/$R144),1))</f>
        <v>1.0566863851360366</v>
      </c>
      <c r="AF144" s="160">
        <f>IF(E144="","",IF(AND($B144&gt;=Input!$C$9,$C144=12,Summary!$D$31="Included Margin",$U144&gt;0),1/U144-1,IF($B144&gt;=Input!$C$9,0,Input!$C$45*IF(Summary!$D$27="Included Margin",1,0))))</f>
        <v>-0.1</v>
      </c>
      <c r="AG144" s="160">
        <f>IF(E144="","",Input!$C$46*IF(Summary!$D$28="Included Margin",IF(AND($B144&gt;Input!$C$9,Summary!$D$31&lt;&gt;"Included Margin"),0,1),0))</f>
        <v>0.02</v>
      </c>
      <c r="AH144" s="158">
        <f>IF(E144="","",Input!$C$47*IF(Summary!$D$29="Included Margin",IF(AND($B144&gt;Input!$C$9,Summary!$D$31&lt;&gt;"Included Margin"),0,1),0))</f>
        <v>2.5000000000000001E-3</v>
      </c>
      <c r="AI144" s="154"/>
      <c r="AJ144" s="158">
        <f t="shared" si="107"/>
        <v>3.5480000000000005E-2</v>
      </c>
      <c r="AK144" s="155">
        <f t="shared" si="108"/>
        <v>2.909648778641305E-3</v>
      </c>
      <c r="AL144" s="147">
        <f t="shared" si="109"/>
        <v>1.791936E-3</v>
      </c>
      <c r="AM144" s="147">
        <f t="shared" si="85"/>
        <v>1.4945078427586189E-4</v>
      </c>
      <c r="AN144" s="160">
        <f t="shared" si="110"/>
        <v>0</v>
      </c>
      <c r="AO144" s="161">
        <f t="shared" si="111"/>
        <v>0</v>
      </c>
      <c r="AP144" s="156">
        <f t="shared" si="86"/>
        <v>1.277310503557523</v>
      </c>
      <c r="AQ144" s="152"/>
      <c r="AR144" s="162">
        <f t="shared" si="87"/>
        <v>1104.7137388481372</v>
      </c>
      <c r="AS144" s="150">
        <f t="shared" si="112"/>
        <v>0</v>
      </c>
      <c r="AT144" s="163">
        <f t="shared" si="88"/>
        <v>0</v>
      </c>
      <c r="AU144" s="163">
        <f t="shared" si="89"/>
        <v>14.945078427586189</v>
      </c>
      <c r="AV144" s="163">
        <f t="shared" si="113"/>
        <v>3.192586516390989</v>
      </c>
      <c r="AW144" s="163">
        <f t="shared" si="90"/>
        <v>0.16336833578423893</v>
      </c>
      <c r="AX144" s="163">
        <f t="shared" si="91"/>
        <v>0</v>
      </c>
      <c r="AY144" s="164">
        <f t="shared" si="114"/>
        <v>1093.1246152727263</v>
      </c>
      <c r="AZ144" s="164">
        <f>IF($E144="","",IF(OR(AND($D144=Input!$C$6,$C144=12),$AN144=1),0,-AS145+AT145+AU145-AV145-AW145-AX145+AZ145))</f>
        <v>1093.1246468582426</v>
      </c>
      <c r="BA144" s="154">
        <f t="shared" si="92"/>
        <v>3.1585516353516141E-5</v>
      </c>
      <c r="BC144" s="147">
        <f t="shared" si="115"/>
        <v>0.55036436386837162</v>
      </c>
      <c r="BD144" s="164">
        <f>IF(AND($C143=12,$D143=Input!$C$6),0,IF($E144="","",AT144+(AU144+BD145)/(1+$AK144)*MIN((1-AM144-AN144),1)))</f>
        <v>2551.7189484016008</v>
      </c>
      <c r="BE144" s="164">
        <f t="shared" si="93"/>
        <v>1404.3751758079172</v>
      </c>
      <c r="BF144" s="164">
        <f t="shared" si="116"/>
        <v>1093.1246468582426</v>
      </c>
      <c r="BG144" s="164">
        <f t="shared" si="94"/>
        <v>601.61685089697505</v>
      </c>
      <c r="BH144" s="152"/>
      <c r="BI144" s="162">
        <f t="shared" si="95"/>
        <v>770.63824736368531</v>
      </c>
      <c r="BJ144" s="150">
        <f t="shared" si="96"/>
        <v>0</v>
      </c>
      <c r="BK144" s="163">
        <f t="shared" si="120"/>
        <v>0</v>
      </c>
      <c r="BL144" s="163">
        <f t="shared" si="97"/>
        <v>13.637730623894395</v>
      </c>
      <c r="BM144" s="163">
        <f t="shared" si="121"/>
        <v>2.4993178098051647</v>
      </c>
      <c r="BN144" s="163">
        <f t="shared" si="98"/>
        <v>0.10359267418487211</v>
      </c>
      <c r="BO144" s="163">
        <f t="shared" si="99"/>
        <v>0</v>
      </c>
      <c r="BP144" s="164">
        <f t="shared" si="122"/>
        <v>759.60342722378084</v>
      </c>
      <c r="BQ144" s="164">
        <f>IF($E144="","",IF(AND($D144=Input!$C$6,$C144=12),0,-BJ145+BK145+BL145-BM145-BN145-BO145+BQ145))</f>
        <v>759.60346366843078</v>
      </c>
      <c r="BR144" s="161">
        <f t="shared" si="100"/>
        <v>0</v>
      </c>
      <c r="BT144" s="147">
        <f t="shared" si="101"/>
        <v>0.55036436386837162</v>
      </c>
      <c r="BU144" s="164">
        <f>IF(AND($C143=12,$D143=Input!$C$6),0,IF($E144="","",BK144+(BL144+BU145)/(1+$AK144)*MIN((1-T144-U144),1)))</f>
        <v>4989.8066658892476</v>
      </c>
      <c r="BV144" s="164">
        <f t="shared" si="102"/>
        <v>2746.211771498296</v>
      </c>
      <c r="BW144" s="164">
        <f t="shared" si="103"/>
        <v>759.60346366843078</v>
      </c>
      <c r="BX144" s="164">
        <f t="shared" si="104"/>
        <v>418.05867707408765</v>
      </c>
    </row>
    <row r="145" spans="1:76" s="150" customFormat="1" x14ac:dyDescent="0.25">
      <c r="A145" s="150">
        <f t="shared" si="117"/>
        <v>141</v>
      </c>
      <c r="B145" s="150">
        <f t="shared" si="118"/>
        <v>12</v>
      </c>
      <c r="C145" s="150">
        <f t="shared" si="119"/>
        <v>9</v>
      </c>
      <c r="D145" s="150">
        <f>IF(E145="","",Input!$C$4+B145-1)</f>
        <v>56</v>
      </c>
      <c r="E145" s="150">
        <f>IF(OR(AND(C144=12,D144=Input!$C$6),E144=""),"",1)</f>
        <v>1</v>
      </c>
      <c r="F145" s="150">
        <f>IF(E145="","",Input!$C$8+B145-1)</f>
        <v>2029</v>
      </c>
      <c r="G145" s="151">
        <f>IF(E145="","",MAX(0,Input!$C$9-B145))</f>
        <v>8</v>
      </c>
      <c r="H145" s="152">
        <f>IF(E145="","",Input!$C$3)</f>
        <v>100000</v>
      </c>
      <c r="I145" s="153">
        <f>IF(E145="","",HLOOKUP($B145,Input!$C$13:$BT$14,2))</f>
        <v>2.2999999999999998</v>
      </c>
      <c r="J145" s="154"/>
      <c r="K145" s="155">
        <f>IF($E145="","",INDEX(Input!$C$16:$CP$16,1,$B145))</f>
        <v>2.4979999999999999E-2</v>
      </c>
      <c r="L145" s="155">
        <f>IF($E145="","",Input!$C$37)</f>
        <v>1.4999999999999999E-2</v>
      </c>
      <c r="M145" s="155">
        <f t="shared" si="105"/>
        <v>3.9980000000000002E-2</v>
      </c>
      <c r="N145" s="155">
        <f t="shared" si="106"/>
        <v>3.2721319575468311E-3</v>
      </c>
      <c r="O145" s="147">
        <f>IF($E145="","",MIN(VLOOKUP(IF($B145&lt;=Input!$C$7,$B145,26),'Mortality Tables'!$A$41:$CW$67,IF($B145&lt;=Input!$C$7+1,Input!$C$4+2,$D145-Input!$C$7+2),0)*IF(B145&gt;20,Input!$C$22,1)/1000,1))</f>
        <v>1.7280000000000002E-3</v>
      </c>
      <c r="P145" s="147">
        <f>IF($E145="","",MIN(VLOOKUP(IF($B145&lt;=Input!$C$7,$B145,26),'Mortality Tables'!$A$12:$CW$37,IF($B145&lt;=Input!$C$7+1,Input!$C$4+2,$D145-Input!$C$7+2),0)*IF(B145&gt;20,Input!$C$22,1)/1000,1))</f>
        <v>2.16E-3</v>
      </c>
      <c r="Q145" s="155">
        <f>IF($E145="","",Input!$C$21)</f>
        <v>5.0000000000000001E-3</v>
      </c>
      <c r="R145" s="159">
        <f>IF($E145="","",(1-Q145)^($F145-Input!$C$20))</f>
        <v>0.94635457981344306</v>
      </c>
      <c r="S145" s="147">
        <f t="shared" si="82"/>
        <v>1.6353007139176298E-3</v>
      </c>
      <c r="T145" s="147">
        <f t="shared" si="83"/>
        <v>1.3637730623894395E-4</v>
      </c>
      <c r="U145" s="160">
        <f>IF($E145="","",IF($C145=12,INDEX(Input!$C$15:$CP$15,1,$B145),0))</f>
        <v>0</v>
      </c>
      <c r="V145" s="150">
        <f>IF(E145="","",IF(C145=1,IF($B145=1,Input!$C$33,Input!$C$34),0))</f>
        <v>0</v>
      </c>
      <c r="W145" s="156">
        <f>IF($E145="","",Input!$C$35)</f>
        <v>0.02</v>
      </c>
      <c r="X145" s="156">
        <f t="shared" si="84"/>
        <v>1.2433743083946525</v>
      </c>
      <c r="Y145" s="154"/>
      <c r="Z145" s="147">
        <f>IF($E145="","",VLOOKUP($D145,'Mortality Margins &amp; Grading'!$AB$5:$AF$125,3,0)*IF(Summary!$D$25="Included Margin",IF(AND($B145&gt;Input!$C$9,Summary!$D$31&lt;&gt;"Included Margin"),0,1),0))</f>
        <v>3.6999999999999998E-2</v>
      </c>
      <c r="AA145" s="147">
        <f>IF($E145="","",VLOOKUP($D145,'Mortality Margins &amp; Grading'!$AB$5:$AF$125,5,0)*IF(Summary!$D$25="Included Margin",IF(AND($B145&gt;Input!$C$9,Summary!$D$31&lt;&gt;"Included Margin"),0,1),0))</f>
        <v>0.189</v>
      </c>
      <c r="AB145" s="147">
        <f>IF($E145="","",IF(AND($B145&gt;Input!$C$9,Summary!$D$31&lt;&gt;"Included Margin"),1,IF(Summary!$D$25="Included Margin",VLOOKUP($B145,'Mortality Margins &amp; Grading'!$AI$5:$AR$125,MATCH('Mortality Margins &amp; Grading'!$AQ$4,'Mortality Margins &amp; Grading'!$AI$4:$AR$4,0),0),1)))</f>
        <v>1</v>
      </c>
      <c r="AC145" s="154"/>
      <c r="AD145" s="158">
        <f>IF(E145="","",Input!$C$48*IF(Summary!$D$30="Included Margin",IF(AND($B145&gt;Input!$C$9,Summary!$D$31&lt;&gt;"Included Margin"),0,1),0))</f>
        <v>-4.4999999999999997E-3</v>
      </c>
      <c r="AE145" s="159">
        <f>IF(E145="","",IF(Summary!$D$26="Included Margin",IF(AND($B145&gt;Input!$C$9,Summary!$D$31&lt;&gt;"Included Margin"),1,1/$R145),1))</f>
        <v>1.0566863851360366</v>
      </c>
      <c r="AF145" s="160">
        <f>IF(E145="","",IF(AND($B145&gt;=Input!$C$9,$C145=12,Summary!$D$31="Included Margin",$U145&gt;0),1/U145-1,IF($B145&gt;=Input!$C$9,0,Input!$C$45*IF(Summary!$D$27="Included Margin",1,0))))</f>
        <v>-0.1</v>
      </c>
      <c r="AG145" s="160">
        <f>IF(E145="","",Input!$C$46*IF(Summary!$D$28="Included Margin",IF(AND($B145&gt;Input!$C$9,Summary!$D$31&lt;&gt;"Included Margin"),0,1),0))</f>
        <v>0.02</v>
      </c>
      <c r="AH145" s="158">
        <f>IF(E145="","",Input!$C$47*IF(Summary!$D$29="Included Margin",IF(AND($B145&gt;Input!$C$9,Summary!$D$31&lt;&gt;"Included Margin"),0,1),0))</f>
        <v>2.5000000000000001E-3</v>
      </c>
      <c r="AI145" s="154"/>
      <c r="AJ145" s="158">
        <f t="shared" si="107"/>
        <v>3.5480000000000005E-2</v>
      </c>
      <c r="AK145" s="155">
        <f t="shared" si="108"/>
        <v>2.909648778641305E-3</v>
      </c>
      <c r="AL145" s="147">
        <f t="shared" si="109"/>
        <v>1.791936E-3</v>
      </c>
      <c r="AM145" s="147">
        <f t="shared" si="85"/>
        <v>1.4945078427586189E-4</v>
      </c>
      <c r="AN145" s="160">
        <f t="shared" si="110"/>
        <v>0</v>
      </c>
      <c r="AO145" s="161">
        <f t="shared" si="111"/>
        <v>0</v>
      </c>
      <c r="AP145" s="156">
        <f t="shared" si="86"/>
        <v>1.277310503557523</v>
      </c>
      <c r="AQ145" s="152"/>
      <c r="AR145" s="162">
        <f t="shared" si="87"/>
        <v>1093.1246152727263</v>
      </c>
      <c r="AS145" s="150">
        <f t="shared" si="112"/>
        <v>0</v>
      </c>
      <c r="AT145" s="163">
        <f t="shared" si="88"/>
        <v>0</v>
      </c>
      <c r="AU145" s="163">
        <f t="shared" si="89"/>
        <v>14.945078427586189</v>
      </c>
      <c r="AV145" s="163">
        <f t="shared" si="113"/>
        <v>3.1588662371342719</v>
      </c>
      <c r="AW145" s="163">
        <f t="shared" si="90"/>
        <v>0.16163103301338133</v>
      </c>
      <c r="AX145" s="163">
        <f t="shared" si="91"/>
        <v>0</v>
      </c>
      <c r="AY145" s="164">
        <f t="shared" si="114"/>
        <v>1081.5000341152879</v>
      </c>
      <c r="AZ145" s="164">
        <f>IF($E145="","",IF(OR(AND($D145=Input!$C$6,$C145=12),$AN145=1),0,-AS146+AT146+AU146-AV146-AW146-AX146+AZ146))</f>
        <v>1081.500065700804</v>
      </c>
      <c r="BA145" s="154">
        <f t="shared" si="92"/>
        <v>3.1585516126142466E-5</v>
      </c>
      <c r="BC145" s="147">
        <f t="shared" si="115"/>
        <v>0.55028930665897735</v>
      </c>
      <c r="BD145" s="164">
        <f>IF(AND($C144=12,$D144=Input!$C$6),0,IF($E145="","",AT145+(AU145+BD146)/(1+$AK145)*MIN((1-AM145-AN145),1)))</f>
        <v>2544.5809990753241</v>
      </c>
      <c r="BE145" s="164">
        <f t="shared" si="93"/>
        <v>1400.255713718768</v>
      </c>
      <c r="BF145" s="164">
        <f t="shared" si="116"/>
        <v>1081.500065700804</v>
      </c>
      <c r="BG145" s="164">
        <f t="shared" si="94"/>
        <v>595.13792130613388</v>
      </c>
      <c r="BH145" s="152"/>
      <c r="BI145" s="162">
        <f t="shared" si="95"/>
        <v>759.60342722378095</v>
      </c>
      <c r="BJ145" s="150">
        <f t="shared" si="96"/>
        <v>0</v>
      </c>
      <c r="BK145" s="163">
        <f t="shared" si="120"/>
        <v>0</v>
      </c>
      <c r="BL145" s="163">
        <f t="shared" si="97"/>
        <v>13.637730623894395</v>
      </c>
      <c r="BM145" s="163">
        <f t="shared" si="121"/>
        <v>2.4632104221796021</v>
      </c>
      <c r="BN145" s="163">
        <f t="shared" si="98"/>
        <v>0.10208264497738535</v>
      </c>
      <c r="BO145" s="163">
        <f t="shared" si="99"/>
        <v>0</v>
      </c>
      <c r="BP145" s="164">
        <f t="shared" si="122"/>
        <v>748.53098966704351</v>
      </c>
      <c r="BQ145" s="164">
        <f>IF($E145="","",IF(AND($D145=Input!$C$6,$C145=12),0,-BJ146+BK146+BL146-BM146-BN146-BO146+BQ146))</f>
        <v>748.53102611169334</v>
      </c>
      <c r="BR145" s="161">
        <f t="shared" si="100"/>
        <v>0</v>
      </c>
      <c r="BT145" s="147">
        <f t="shared" si="101"/>
        <v>0.55028930665897735</v>
      </c>
      <c r="BU145" s="164">
        <f>IF(AND($C144=12,$D144=Input!$C$6),0,IF($E145="","",BK145+(BL145+BU146)/(1+$AK145)*MIN((1-T145-U145),1)))</f>
        <v>4991.3700896206437</v>
      </c>
      <c r="BV145" s="164">
        <f t="shared" si="102"/>
        <v>2746.6975858957016</v>
      </c>
      <c r="BW145" s="164">
        <f t="shared" si="103"/>
        <v>748.53102611169334</v>
      </c>
      <c r="BX145" s="164">
        <f t="shared" si="104"/>
        <v>411.90861937173662</v>
      </c>
    </row>
    <row r="146" spans="1:76" s="150" customFormat="1" x14ac:dyDescent="0.25">
      <c r="A146" s="150">
        <f t="shared" si="117"/>
        <v>142</v>
      </c>
      <c r="B146" s="150">
        <f t="shared" si="118"/>
        <v>12</v>
      </c>
      <c r="C146" s="150">
        <f t="shared" si="119"/>
        <v>10</v>
      </c>
      <c r="D146" s="150">
        <f>IF(E146="","",Input!$C$4+B146-1)</f>
        <v>56</v>
      </c>
      <c r="E146" s="150">
        <f>IF(OR(AND(C145=12,D145=Input!$C$6),E145=""),"",1)</f>
        <v>1</v>
      </c>
      <c r="F146" s="150">
        <f>IF(E146="","",Input!$C$8+B146-1)</f>
        <v>2029</v>
      </c>
      <c r="G146" s="151">
        <f>IF(E146="","",MAX(0,Input!$C$9-B146))</f>
        <v>8</v>
      </c>
      <c r="H146" s="152">
        <f>IF(E146="","",Input!$C$3)</f>
        <v>100000</v>
      </c>
      <c r="I146" s="153">
        <f>IF(E146="","",HLOOKUP($B146,Input!$C$13:$BT$14,2))</f>
        <v>2.2999999999999998</v>
      </c>
      <c r="J146" s="154"/>
      <c r="K146" s="155">
        <f>IF($E146="","",INDEX(Input!$C$16:$CP$16,1,$B146))</f>
        <v>2.4979999999999999E-2</v>
      </c>
      <c r="L146" s="155">
        <f>IF($E146="","",Input!$C$37)</f>
        <v>1.4999999999999999E-2</v>
      </c>
      <c r="M146" s="155">
        <f t="shared" si="105"/>
        <v>3.9980000000000002E-2</v>
      </c>
      <c r="N146" s="155">
        <f t="shared" si="106"/>
        <v>3.2721319575468311E-3</v>
      </c>
      <c r="O146" s="147">
        <f>IF($E146="","",MIN(VLOOKUP(IF($B146&lt;=Input!$C$7,$B146,26),'Mortality Tables'!$A$41:$CW$67,IF($B146&lt;=Input!$C$7+1,Input!$C$4+2,$D146-Input!$C$7+2),0)*IF(B146&gt;20,Input!$C$22,1)/1000,1))</f>
        <v>1.7280000000000002E-3</v>
      </c>
      <c r="P146" s="147">
        <f>IF($E146="","",MIN(VLOOKUP(IF($B146&lt;=Input!$C$7,$B146,26),'Mortality Tables'!$A$12:$CW$37,IF($B146&lt;=Input!$C$7+1,Input!$C$4+2,$D146-Input!$C$7+2),0)*IF(B146&gt;20,Input!$C$22,1)/1000,1))</f>
        <v>2.16E-3</v>
      </c>
      <c r="Q146" s="155">
        <f>IF($E146="","",Input!$C$21)</f>
        <v>5.0000000000000001E-3</v>
      </c>
      <c r="R146" s="159">
        <f>IF($E146="","",(1-Q146)^($F146-Input!$C$20))</f>
        <v>0.94635457981344306</v>
      </c>
      <c r="S146" s="147">
        <f t="shared" si="82"/>
        <v>1.6353007139176298E-3</v>
      </c>
      <c r="T146" s="147">
        <f t="shared" si="83"/>
        <v>1.3637730623894395E-4</v>
      </c>
      <c r="U146" s="160">
        <f>IF($E146="","",IF($C146=12,INDEX(Input!$C$15:$CP$15,1,$B146),0))</f>
        <v>0</v>
      </c>
      <c r="V146" s="150">
        <f>IF(E146="","",IF(C146=1,IF($B146=1,Input!$C$33,Input!$C$34),0))</f>
        <v>0</v>
      </c>
      <c r="W146" s="156">
        <f>IF($E146="","",Input!$C$35)</f>
        <v>0.02</v>
      </c>
      <c r="X146" s="156">
        <f t="shared" si="84"/>
        <v>1.2433743083946525</v>
      </c>
      <c r="Y146" s="154"/>
      <c r="Z146" s="147">
        <f>IF($E146="","",VLOOKUP($D146,'Mortality Margins &amp; Grading'!$AB$5:$AF$125,3,0)*IF(Summary!$D$25="Included Margin",IF(AND($B146&gt;Input!$C$9,Summary!$D$31&lt;&gt;"Included Margin"),0,1),0))</f>
        <v>3.6999999999999998E-2</v>
      </c>
      <c r="AA146" s="147">
        <f>IF($E146="","",VLOOKUP($D146,'Mortality Margins &amp; Grading'!$AB$5:$AF$125,5,0)*IF(Summary!$D$25="Included Margin",IF(AND($B146&gt;Input!$C$9,Summary!$D$31&lt;&gt;"Included Margin"),0,1),0))</f>
        <v>0.189</v>
      </c>
      <c r="AB146" s="147">
        <f>IF($E146="","",IF(AND($B146&gt;Input!$C$9,Summary!$D$31&lt;&gt;"Included Margin"),1,IF(Summary!$D$25="Included Margin",VLOOKUP($B146,'Mortality Margins &amp; Grading'!$AI$5:$AR$125,MATCH('Mortality Margins &amp; Grading'!$AQ$4,'Mortality Margins &amp; Grading'!$AI$4:$AR$4,0),0),1)))</f>
        <v>1</v>
      </c>
      <c r="AC146" s="154"/>
      <c r="AD146" s="158">
        <f>IF(E146="","",Input!$C$48*IF(Summary!$D$30="Included Margin",IF(AND($B146&gt;Input!$C$9,Summary!$D$31&lt;&gt;"Included Margin"),0,1),0))</f>
        <v>-4.4999999999999997E-3</v>
      </c>
      <c r="AE146" s="159">
        <f>IF(E146="","",IF(Summary!$D$26="Included Margin",IF(AND($B146&gt;Input!$C$9,Summary!$D$31&lt;&gt;"Included Margin"),1,1/$R146),1))</f>
        <v>1.0566863851360366</v>
      </c>
      <c r="AF146" s="160">
        <f>IF(E146="","",IF(AND($B146&gt;=Input!$C$9,$C146=12,Summary!$D$31="Included Margin",$U146&gt;0),1/U146-1,IF($B146&gt;=Input!$C$9,0,Input!$C$45*IF(Summary!$D$27="Included Margin",1,0))))</f>
        <v>-0.1</v>
      </c>
      <c r="AG146" s="160">
        <f>IF(E146="","",Input!$C$46*IF(Summary!$D$28="Included Margin",IF(AND($B146&gt;Input!$C$9,Summary!$D$31&lt;&gt;"Included Margin"),0,1),0))</f>
        <v>0.02</v>
      </c>
      <c r="AH146" s="158">
        <f>IF(E146="","",Input!$C$47*IF(Summary!$D$29="Included Margin",IF(AND($B146&gt;Input!$C$9,Summary!$D$31&lt;&gt;"Included Margin"),0,1),0))</f>
        <v>2.5000000000000001E-3</v>
      </c>
      <c r="AI146" s="154"/>
      <c r="AJ146" s="158">
        <f t="shared" si="107"/>
        <v>3.5480000000000005E-2</v>
      </c>
      <c r="AK146" s="155">
        <f t="shared" si="108"/>
        <v>2.909648778641305E-3</v>
      </c>
      <c r="AL146" s="147">
        <f t="shared" si="109"/>
        <v>1.791936E-3</v>
      </c>
      <c r="AM146" s="147">
        <f t="shared" si="85"/>
        <v>1.4945078427586189E-4</v>
      </c>
      <c r="AN146" s="160">
        <f t="shared" si="110"/>
        <v>0</v>
      </c>
      <c r="AO146" s="161">
        <f t="shared" si="111"/>
        <v>0</v>
      </c>
      <c r="AP146" s="156">
        <f t="shared" si="86"/>
        <v>1.277310503557523</v>
      </c>
      <c r="AQ146" s="152"/>
      <c r="AR146" s="162">
        <f t="shared" si="87"/>
        <v>1081.5000341152877</v>
      </c>
      <c r="AS146" s="150">
        <f t="shared" si="112"/>
        <v>0</v>
      </c>
      <c r="AT146" s="163">
        <f t="shared" si="88"/>
        <v>0</v>
      </c>
      <c r="AU146" s="163">
        <f t="shared" si="89"/>
        <v>14.945078427586189</v>
      </c>
      <c r="AV146" s="163">
        <f t="shared" si="113"/>
        <v>3.1250427887673138</v>
      </c>
      <c r="AW146" s="163">
        <f t="shared" si="90"/>
        <v>0.15988841486598956</v>
      </c>
      <c r="AX146" s="163">
        <f t="shared" si="91"/>
        <v>0</v>
      </c>
      <c r="AY146" s="164">
        <f t="shared" si="114"/>
        <v>1069.8398868913348</v>
      </c>
      <c r="AZ146" s="164">
        <f>IF($E146="","",IF(OR(AND($D146=Input!$C$6,$C146=12),$AN146=1),0,-AS147+AT147+AU147-AV147-AW147-AX147+AZ147))</f>
        <v>1069.8399184768512</v>
      </c>
      <c r="BA146" s="154">
        <f t="shared" si="92"/>
        <v>3.1585516353516141E-5</v>
      </c>
      <c r="BC146" s="147">
        <f t="shared" si="115"/>
        <v>0.55021425968568305</v>
      </c>
      <c r="BD146" s="164">
        <f>IF(AND($C145=12,$D145=Input!$C$6),0,IF($E146="","",AT146+(AU146+BD147)/(1+$AK146)*MIN((1-AM146-AN146),1)))</f>
        <v>2537.4212107875333</v>
      </c>
      <c r="BE146" s="164">
        <f t="shared" si="93"/>
        <v>1396.1253330042121</v>
      </c>
      <c r="BF146" s="164">
        <f t="shared" si="116"/>
        <v>1069.8399184768512</v>
      </c>
      <c r="BG146" s="164">
        <f t="shared" si="94"/>
        <v>588.64117872693214</v>
      </c>
      <c r="BH146" s="152"/>
      <c r="BI146" s="162">
        <f t="shared" si="95"/>
        <v>748.5309896670434</v>
      </c>
      <c r="BJ146" s="150">
        <f t="shared" si="96"/>
        <v>0</v>
      </c>
      <c r="BK146" s="163">
        <f t="shared" si="120"/>
        <v>0</v>
      </c>
      <c r="BL146" s="163">
        <f t="shared" si="97"/>
        <v>13.637730623894395</v>
      </c>
      <c r="BM146" s="163">
        <f t="shared" si="121"/>
        <v>2.4269799454022594</v>
      </c>
      <c r="BN146" s="163">
        <f t="shared" si="98"/>
        <v>0.10056746811933356</v>
      </c>
      <c r="BO146" s="163">
        <f t="shared" si="99"/>
        <v>0</v>
      </c>
      <c r="BP146" s="164">
        <f t="shared" si="122"/>
        <v>737.42080645667068</v>
      </c>
      <c r="BQ146" s="164">
        <f>IF($E146="","",IF(AND($D146=Input!$C$6,$C146=12),0,-BJ147+BK147+BL147-BM147-BN147-BO147+BQ147))</f>
        <v>737.4208429013205</v>
      </c>
      <c r="BR146" s="161">
        <f t="shared" si="100"/>
        <v>0</v>
      </c>
      <c r="BT146" s="147">
        <f t="shared" si="101"/>
        <v>0.55021425968568305</v>
      </c>
      <c r="BU146" s="164">
        <f>IF(AND($C145=12,$D145=Input!$C$6),0,IF($E146="","",BK146+(BL146+BU147)/(1+$AK146)*MIN((1-T146-U146),1)))</f>
        <v>4992.9382762310552</v>
      </c>
      <c r="BV146" s="164">
        <f t="shared" si="102"/>
        <v>2747.1858373127807</v>
      </c>
      <c r="BW146" s="164">
        <f t="shared" si="103"/>
        <v>737.4208429013205</v>
      </c>
      <c r="BX146" s="164">
        <f t="shared" si="104"/>
        <v>405.73946315374246</v>
      </c>
    </row>
    <row r="147" spans="1:76" s="150" customFormat="1" x14ac:dyDescent="0.25">
      <c r="A147" s="150">
        <f t="shared" si="117"/>
        <v>143</v>
      </c>
      <c r="B147" s="150">
        <f t="shared" si="118"/>
        <v>12</v>
      </c>
      <c r="C147" s="150">
        <f t="shared" si="119"/>
        <v>11</v>
      </c>
      <c r="D147" s="150">
        <f>IF(E147="","",Input!$C$4+B147-1)</f>
        <v>56</v>
      </c>
      <c r="E147" s="150">
        <f>IF(OR(AND(C146=12,D146=Input!$C$6),E146=""),"",1)</f>
        <v>1</v>
      </c>
      <c r="F147" s="150">
        <f>IF(E147="","",Input!$C$8+B147-1)</f>
        <v>2029</v>
      </c>
      <c r="G147" s="151">
        <f>IF(E147="","",MAX(0,Input!$C$9-B147))</f>
        <v>8</v>
      </c>
      <c r="H147" s="152">
        <f>IF(E147="","",Input!$C$3)</f>
        <v>100000</v>
      </c>
      <c r="I147" s="153">
        <f>IF(E147="","",HLOOKUP($B147,Input!$C$13:$BT$14,2))</f>
        <v>2.2999999999999998</v>
      </c>
      <c r="J147" s="154"/>
      <c r="K147" s="155">
        <f>IF($E147="","",INDEX(Input!$C$16:$CP$16,1,$B147))</f>
        <v>2.4979999999999999E-2</v>
      </c>
      <c r="L147" s="155">
        <f>IF($E147="","",Input!$C$37)</f>
        <v>1.4999999999999999E-2</v>
      </c>
      <c r="M147" s="155">
        <f t="shared" si="105"/>
        <v>3.9980000000000002E-2</v>
      </c>
      <c r="N147" s="155">
        <f t="shared" si="106"/>
        <v>3.2721319575468311E-3</v>
      </c>
      <c r="O147" s="147">
        <f>IF($E147="","",MIN(VLOOKUP(IF($B147&lt;=Input!$C$7,$B147,26),'Mortality Tables'!$A$41:$CW$67,IF($B147&lt;=Input!$C$7+1,Input!$C$4+2,$D147-Input!$C$7+2),0)*IF(B147&gt;20,Input!$C$22,1)/1000,1))</f>
        <v>1.7280000000000002E-3</v>
      </c>
      <c r="P147" s="147">
        <f>IF($E147="","",MIN(VLOOKUP(IF($B147&lt;=Input!$C$7,$B147,26),'Mortality Tables'!$A$12:$CW$37,IF($B147&lt;=Input!$C$7+1,Input!$C$4+2,$D147-Input!$C$7+2),0)*IF(B147&gt;20,Input!$C$22,1)/1000,1))</f>
        <v>2.16E-3</v>
      </c>
      <c r="Q147" s="155">
        <f>IF($E147="","",Input!$C$21)</f>
        <v>5.0000000000000001E-3</v>
      </c>
      <c r="R147" s="159">
        <f>IF($E147="","",(1-Q147)^($F147-Input!$C$20))</f>
        <v>0.94635457981344306</v>
      </c>
      <c r="S147" s="147">
        <f t="shared" si="82"/>
        <v>1.6353007139176298E-3</v>
      </c>
      <c r="T147" s="147">
        <f t="shared" si="83"/>
        <v>1.3637730623894395E-4</v>
      </c>
      <c r="U147" s="160">
        <f>IF($E147="","",IF($C147=12,INDEX(Input!$C$15:$CP$15,1,$B147),0))</f>
        <v>0</v>
      </c>
      <c r="V147" s="150">
        <f>IF(E147="","",IF(C147=1,IF($B147=1,Input!$C$33,Input!$C$34),0))</f>
        <v>0</v>
      </c>
      <c r="W147" s="156">
        <f>IF($E147="","",Input!$C$35)</f>
        <v>0.02</v>
      </c>
      <c r="X147" s="156">
        <f t="shared" si="84"/>
        <v>1.2433743083946525</v>
      </c>
      <c r="Y147" s="154"/>
      <c r="Z147" s="147">
        <f>IF($E147="","",VLOOKUP($D147,'Mortality Margins &amp; Grading'!$AB$5:$AF$125,3,0)*IF(Summary!$D$25="Included Margin",IF(AND($B147&gt;Input!$C$9,Summary!$D$31&lt;&gt;"Included Margin"),0,1),0))</f>
        <v>3.6999999999999998E-2</v>
      </c>
      <c r="AA147" s="147">
        <f>IF($E147="","",VLOOKUP($D147,'Mortality Margins &amp; Grading'!$AB$5:$AF$125,5,0)*IF(Summary!$D$25="Included Margin",IF(AND($B147&gt;Input!$C$9,Summary!$D$31&lt;&gt;"Included Margin"),0,1),0))</f>
        <v>0.189</v>
      </c>
      <c r="AB147" s="147">
        <f>IF($E147="","",IF(AND($B147&gt;Input!$C$9,Summary!$D$31&lt;&gt;"Included Margin"),1,IF(Summary!$D$25="Included Margin",VLOOKUP($B147,'Mortality Margins &amp; Grading'!$AI$5:$AR$125,MATCH('Mortality Margins &amp; Grading'!$AQ$4,'Mortality Margins &amp; Grading'!$AI$4:$AR$4,0),0),1)))</f>
        <v>1</v>
      </c>
      <c r="AC147" s="154"/>
      <c r="AD147" s="158">
        <f>IF(E147="","",Input!$C$48*IF(Summary!$D$30="Included Margin",IF(AND($B147&gt;Input!$C$9,Summary!$D$31&lt;&gt;"Included Margin"),0,1),0))</f>
        <v>-4.4999999999999997E-3</v>
      </c>
      <c r="AE147" s="159">
        <f>IF(E147="","",IF(Summary!$D$26="Included Margin",IF(AND($B147&gt;Input!$C$9,Summary!$D$31&lt;&gt;"Included Margin"),1,1/$R147),1))</f>
        <v>1.0566863851360366</v>
      </c>
      <c r="AF147" s="160">
        <f>IF(E147="","",IF(AND($B147&gt;=Input!$C$9,$C147=12,Summary!$D$31="Included Margin",$U147&gt;0),1/U147-1,IF($B147&gt;=Input!$C$9,0,Input!$C$45*IF(Summary!$D$27="Included Margin",1,0))))</f>
        <v>-0.1</v>
      </c>
      <c r="AG147" s="160">
        <f>IF(E147="","",Input!$C$46*IF(Summary!$D$28="Included Margin",IF(AND($B147&gt;Input!$C$9,Summary!$D$31&lt;&gt;"Included Margin"),0,1),0))</f>
        <v>0.02</v>
      </c>
      <c r="AH147" s="158">
        <f>IF(E147="","",Input!$C$47*IF(Summary!$D$29="Included Margin",IF(AND($B147&gt;Input!$C$9,Summary!$D$31&lt;&gt;"Included Margin"),0,1),0))</f>
        <v>2.5000000000000001E-3</v>
      </c>
      <c r="AI147" s="154"/>
      <c r="AJ147" s="158">
        <f t="shared" si="107"/>
        <v>3.5480000000000005E-2</v>
      </c>
      <c r="AK147" s="155">
        <f t="shared" si="108"/>
        <v>2.909648778641305E-3</v>
      </c>
      <c r="AL147" s="147">
        <f t="shared" si="109"/>
        <v>1.791936E-3</v>
      </c>
      <c r="AM147" s="147">
        <f t="shared" si="85"/>
        <v>1.4945078427586189E-4</v>
      </c>
      <c r="AN147" s="160">
        <f t="shared" si="110"/>
        <v>0</v>
      </c>
      <c r="AO147" s="161">
        <f t="shared" si="111"/>
        <v>0</v>
      </c>
      <c r="AP147" s="156">
        <f t="shared" si="86"/>
        <v>1.277310503557523</v>
      </c>
      <c r="AQ147" s="152"/>
      <c r="AR147" s="162">
        <f t="shared" si="87"/>
        <v>1069.8398868913348</v>
      </c>
      <c r="AS147" s="150">
        <f t="shared" si="112"/>
        <v>0</v>
      </c>
      <c r="AT147" s="163">
        <f t="shared" si="88"/>
        <v>0</v>
      </c>
      <c r="AU147" s="163">
        <f t="shared" si="89"/>
        <v>14.945078427586189</v>
      </c>
      <c r="AV147" s="163">
        <f t="shared" si="113"/>
        <v>3.0911158556383613</v>
      </c>
      <c r="AW147" s="163">
        <f t="shared" si="90"/>
        <v>0.1581404650793671</v>
      </c>
      <c r="AX147" s="163">
        <f t="shared" si="91"/>
        <v>0</v>
      </c>
      <c r="AY147" s="164">
        <f t="shared" si="114"/>
        <v>1058.1440647844665</v>
      </c>
      <c r="AZ147" s="164">
        <f>IF($E147="","",IF(OR(AND($D147=Input!$C$6,$C147=12),$AN147=1),0,-AS148+AT148+AU148-AV148-AW148-AX148+AZ148))</f>
        <v>1058.1440963699827</v>
      </c>
      <c r="BA147" s="154">
        <f t="shared" si="92"/>
        <v>3.1585516126142466E-5</v>
      </c>
      <c r="BC147" s="147">
        <f t="shared" si="115"/>
        <v>0.55013922294709283</v>
      </c>
      <c r="BD147" s="164">
        <f>IF(AND($C146=12,$D146=Input!$C$6),0,IF($E147="","",AT147+(AU147+BD148)/(1+$AK147)*MIN((1-AM147-AN147),1)))</f>
        <v>2530.2395167206851</v>
      </c>
      <c r="BE147" s="164">
        <f t="shared" si="93"/>
        <v>1391.9840015987454</v>
      </c>
      <c r="BF147" s="164">
        <f t="shared" si="116"/>
        <v>1058.1440963699827</v>
      </c>
      <c r="BG147" s="164">
        <f t="shared" si="94"/>
        <v>582.12657094303597</v>
      </c>
      <c r="BH147" s="152"/>
      <c r="BI147" s="162">
        <f t="shared" si="95"/>
        <v>737.42080645667079</v>
      </c>
      <c r="BJ147" s="150">
        <f t="shared" si="96"/>
        <v>0</v>
      </c>
      <c r="BK147" s="163">
        <f t="shared" si="120"/>
        <v>0</v>
      </c>
      <c r="BL147" s="163">
        <f t="shared" si="97"/>
        <v>13.637730623894395</v>
      </c>
      <c r="BM147" s="163">
        <f t="shared" si="121"/>
        <v>2.3906259598653992</v>
      </c>
      <c r="BN147" s="163">
        <f t="shared" si="98"/>
        <v>9.9047126062508942E-2</v>
      </c>
      <c r="BO147" s="163">
        <f t="shared" si="99"/>
        <v>0</v>
      </c>
      <c r="BP147" s="164">
        <f t="shared" si="122"/>
        <v>726.27274891870422</v>
      </c>
      <c r="BQ147" s="164">
        <f>IF($E147="","",IF(AND($D147=Input!$C$6,$C147=12),0,-BJ148+BK148+BL148-BM148-BN148-BO148+BQ148))</f>
        <v>726.27278536335405</v>
      </c>
      <c r="BR147" s="161">
        <f t="shared" si="100"/>
        <v>0</v>
      </c>
      <c r="BT147" s="147">
        <f t="shared" si="101"/>
        <v>0.55013922294709283</v>
      </c>
      <c r="BU147" s="164">
        <f>IF(AND($C146=12,$D146=Input!$C$6),0,IF($E147="","",BK147+(BL147+BU148)/(1+$AK147)*MIN((1-T147-U147),1)))</f>
        <v>4994.5112402303157</v>
      </c>
      <c r="BV147" s="164">
        <f t="shared" si="102"/>
        <v>2747.6765327008266</v>
      </c>
      <c r="BW147" s="164">
        <f t="shared" si="103"/>
        <v>726.27278536335405</v>
      </c>
      <c r="BX147" s="164">
        <f t="shared" si="104"/>
        <v>399.55114578741632</v>
      </c>
    </row>
    <row r="148" spans="1:76" s="150" customFormat="1" x14ac:dyDescent="0.25">
      <c r="A148" s="150">
        <f t="shared" si="117"/>
        <v>144</v>
      </c>
      <c r="B148" s="150">
        <f t="shared" si="118"/>
        <v>12</v>
      </c>
      <c r="C148" s="150">
        <f t="shared" si="119"/>
        <v>12</v>
      </c>
      <c r="D148" s="150">
        <f>IF(E148="","",Input!$C$4+B148-1)</f>
        <v>56</v>
      </c>
      <c r="E148" s="150">
        <f>IF(OR(AND(C147=12,D147=Input!$C$6),E147=""),"",1)</f>
        <v>1</v>
      </c>
      <c r="F148" s="150">
        <f>IF(E148="","",Input!$C$8+B148-1)</f>
        <v>2029</v>
      </c>
      <c r="G148" s="151">
        <f>IF(E148="","",MAX(0,Input!$C$9-B148))</f>
        <v>8</v>
      </c>
      <c r="H148" s="152">
        <f>IF(E148="","",Input!$C$3)</f>
        <v>100000</v>
      </c>
      <c r="I148" s="153">
        <f>IF(E148="","",HLOOKUP($B148,Input!$C$13:$BT$14,2))</f>
        <v>2.2999999999999998</v>
      </c>
      <c r="J148" s="154"/>
      <c r="K148" s="155">
        <f>IF($E148="","",INDEX(Input!$C$16:$CP$16,1,$B148))</f>
        <v>2.4979999999999999E-2</v>
      </c>
      <c r="L148" s="155">
        <f>IF($E148="","",Input!$C$37)</f>
        <v>1.4999999999999999E-2</v>
      </c>
      <c r="M148" s="155">
        <f t="shared" si="105"/>
        <v>3.9980000000000002E-2</v>
      </c>
      <c r="N148" s="155">
        <f t="shared" si="106"/>
        <v>3.2721319575468311E-3</v>
      </c>
      <c r="O148" s="147">
        <f>IF($E148="","",MIN(VLOOKUP(IF($B148&lt;=Input!$C$7,$B148,26),'Mortality Tables'!$A$41:$CW$67,IF($B148&lt;=Input!$C$7+1,Input!$C$4+2,$D148-Input!$C$7+2),0)*IF(B148&gt;20,Input!$C$22,1)/1000,1))</f>
        <v>1.7280000000000002E-3</v>
      </c>
      <c r="P148" s="147">
        <f>IF($E148="","",MIN(VLOOKUP(IF($B148&lt;=Input!$C$7,$B148,26),'Mortality Tables'!$A$12:$CW$37,IF($B148&lt;=Input!$C$7+1,Input!$C$4+2,$D148-Input!$C$7+2),0)*IF(B148&gt;20,Input!$C$22,1)/1000,1))</f>
        <v>2.16E-3</v>
      </c>
      <c r="Q148" s="155">
        <f>IF($E148="","",Input!$C$21)</f>
        <v>5.0000000000000001E-3</v>
      </c>
      <c r="R148" s="159">
        <f>IF($E148="","",(1-Q148)^($F148-Input!$C$20))</f>
        <v>0.94635457981344306</v>
      </c>
      <c r="S148" s="147">
        <f t="shared" si="82"/>
        <v>1.6353007139176298E-3</v>
      </c>
      <c r="T148" s="147">
        <f t="shared" si="83"/>
        <v>1.3637730623894395E-4</v>
      </c>
      <c r="U148" s="160">
        <f>IF($E148="","",IF($C148=12,INDEX(Input!$C$15:$CP$15,1,$B148),0))</f>
        <v>0.02</v>
      </c>
      <c r="V148" s="150">
        <f>IF(E148="","",IF(C148=1,IF($B148=1,Input!$C$33,Input!$C$34),0))</f>
        <v>0</v>
      </c>
      <c r="W148" s="156">
        <f>IF($E148="","",Input!$C$35)</f>
        <v>0.02</v>
      </c>
      <c r="X148" s="156">
        <f t="shared" si="84"/>
        <v>1.2433743083946525</v>
      </c>
      <c r="Y148" s="154"/>
      <c r="Z148" s="147">
        <f>IF($E148="","",VLOOKUP($D148,'Mortality Margins &amp; Grading'!$AB$5:$AF$125,3,0)*IF(Summary!$D$25="Included Margin",IF(AND($B148&gt;Input!$C$9,Summary!$D$31&lt;&gt;"Included Margin"),0,1),0))</f>
        <v>3.6999999999999998E-2</v>
      </c>
      <c r="AA148" s="147">
        <f>IF($E148="","",VLOOKUP($D148,'Mortality Margins &amp; Grading'!$AB$5:$AF$125,5,0)*IF(Summary!$D$25="Included Margin",IF(AND($B148&gt;Input!$C$9,Summary!$D$31&lt;&gt;"Included Margin"),0,1),0))</f>
        <v>0.189</v>
      </c>
      <c r="AB148" s="147">
        <f>IF($E148="","",IF(AND($B148&gt;Input!$C$9,Summary!$D$31&lt;&gt;"Included Margin"),1,IF(Summary!$D$25="Included Margin",VLOOKUP($B148,'Mortality Margins &amp; Grading'!$AI$5:$AR$125,MATCH('Mortality Margins &amp; Grading'!$AQ$4,'Mortality Margins &amp; Grading'!$AI$4:$AR$4,0),0),1)))</f>
        <v>1</v>
      </c>
      <c r="AC148" s="154"/>
      <c r="AD148" s="158">
        <f>IF(E148="","",Input!$C$48*IF(Summary!$D$30="Included Margin",IF(AND($B148&gt;Input!$C$9,Summary!$D$31&lt;&gt;"Included Margin"),0,1),0))</f>
        <v>-4.4999999999999997E-3</v>
      </c>
      <c r="AE148" s="159">
        <f>IF(E148="","",IF(Summary!$D$26="Included Margin",IF(AND($B148&gt;Input!$C$9,Summary!$D$31&lt;&gt;"Included Margin"),1,1/$R148),1))</f>
        <v>1.0566863851360366</v>
      </c>
      <c r="AF148" s="160">
        <f>IF(E148="","",IF(AND($B148&gt;=Input!$C$9,$C148=12,Summary!$D$31="Included Margin",$U148&gt;0),1/U148-1,IF($B148&gt;=Input!$C$9,0,Input!$C$45*IF(Summary!$D$27="Included Margin",1,0))))</f>
        <v>-0.1</v>
      </c>
      <c r="AG148" s="160">
        <f>IF(E148="","",Input!$C$46*IF(Summary!$D$28="Included Margin",IF(AND($B148&gt;Input!$C$9,Summary!$D$31&lt;&gt;"Included Margin"),0,1),0))</f>
        <v>0.02</v>
      </c>
      <c r="AH148" s="158">
        <f>IF(E148="","",Input!$C$47*IF(Summary!$D$29="Included Margin",IF(AND($B148&gt;Input!$C$9,Summary!$D$31&lt;&gt;"Included Margin"),0,1),0))</f>
        <v>2.5000000000000001E-3</v>
      </c>
      <c r="AI148" s="154"/>
      <c r="AJ148" s="158">
        <f t="shared" si="107"/>
        <v>3.5480000000000005E-2</v>
      </c>
      <c r="AK148" s="155">
        <f t="shared" si="108"/>
        <v>2.909648778641305E-3</v>
      </c>
      <c r="AL148" s="147">
        <f t="shared" si="109"/>
        <v>1.791936E-3</v>
      </c>
      <c r="AM148" s="147">
        <f t="shared" si="85"/>
        <v>1.4945078427586189E-4</v>
      </c>
      <c r="AN148" s="160">
        <f t="shared" si="110"/>
        <v>1.8000000000000002E-2</v>
      </c>
      <c r="AO148" s="161">
        <f t="shared" si="111"/>
        <v>0</v>
      </c>
      <c r="AP148" s="156">
        <f t="shared" si="86"/>
        <v>1.277310503557523</v>
      </c>
      <c r="AQ148" s="152"/>
      <c r="AR148" s="162">
        <f t="shared" si="87"/>
        <v>1058.1440647844663</v>
      </c>
      <c r="AS148" s="150">
        <f t="shared" si="112"/>
        <v>0</v>
      </c>
      <c r="AT148" s="163">
        <f t="shared" si="88"/>
        <v>0</v>
      </c>
      <c r="AU148" s="163">
        <f t="shared" si="89"/>
        <v>14.945078427586189</v>
      </c>
      <c r="AV148" s="163">
        <f t="shared" si="113"/>
        <v>3.0570851211299055</v>
      </c>
      <c r="AW148" s="163">
        <f t="shared" si="90"/>
        <v>0.15925373456319836</v>
      </c>
      <c r="AX148" s="163">
        <f t="shared" si="91"/>
        <v>19.177810443119629</v>
      </c>
      <c r="AY148" s="164">
        <f t="shared" si="114"/>
        <v>1065.5931356556928</v>
      </c>
      <c r="AZ148" s="164">
        <f>IF($E148="","",IF(OR(AND($D148=Input!$C$6,$C148=12),$AN148=1),0,-AS149+AT149+AU149-AV149-AW149-AX149+AZ149))</f>
        <v>1065.5931672412091</v>
      </c>
      <c r="BA148" s="154">
        <f t="shared" si="92"/>
        <v>3.1585516353516141E-5</v>
      </c>
      <c r="BC148" s="147">
        <f t="shared" si="115"/>
        <v>0.53906141198286905</v>
      </c>
      <c r="BD148" s="164">
        <f>IF(AND($C147=12,$D147=Input!$C$6),0,IF($E148="","",AT148+(AU148+BD149)/(1+$AK148)*MIN((1-AM148-AN148),1)))</f>
        <v>2523.0358498528035</v>
      </c>
      <c r="BE148" s="164">
        <f t="shared" si="93"/>
        <v>1360.0712677050503</v>
      </c>
      <c r="BF148" s="164">
        <f t="shared" si="116"/>
        <v>1065.5931672412091</v>
      </c>
      <c r="BG148" s="164">
        <f t="shared" si="94"/>
        <v>574.42015733234371</v>
      </c>
      <c r="BH148" s="152"/>
      <c r="BI148" s="162">
        <f t="shared" si="95"/>
        <v>726.27274891870422</v>
      </c>
      <c r="BJ148" s="150">
        <f t="shared" si="96"/>
        <v>0</v>
      </c>
      <c r="BK148" s="163">
        <f t="shared" si="120"/>
        <v>0</v>
      </c>
      <c r="BL148" s="163">
        <f t="shared" si="97"/>
        <v>13.637730623894395</v>
      </c>
      <c r="BM148" s="163">
        <f t="shared" si="121"/>
        <v>2.3541480445308478</v>
      </c>
      <c r="BN148" s="163">
        <f t="shared" si="98"/>
        <v>9.9511837958043151E-2</v>
      </c>
      <c r="BO148" s="163">
        <f t="shared" si="99"/>
        <v>14.591616383346746</v>
      </c>
      <c r="BP148" s="164">
        <f t="shared" si="122"/>
        <v>729.68029456064539</v>
      </c>
      <c r="BQ148" s="164">
        <f>IF($E148="","",IF(AND($D148=Input!$C$6,$C148=12),0,-BJ149+BK149+BL149-BM149-BN149-BO149+BQ149))</f>
        <v>729.68033100529533</v>
      </c>
      <c r="BR148" s="161">
        <f t="shared" si="100"/>
        <v>0</v>
      </c>
      <c r="BT148" s="147">
        <f t="shared" si="101"/>
        <v>0.53906141198286905</v>
      </c>
      <c r="BU148" s="164">
        <f>IF(AND($C147=12,$D147=Input!$C$6),0,IF($E148="","",BK148+(BL148+BU149)/(1+$AK148)*MIN((1-T148-U148),1)))</f>
        <v>4996.0889961724615</v>
      </c>
      <c r="BV148" s="164">
        <f t="shared" si="102"/>
        <v>2693.1987886688021</v>
      </c>
      <c r="BW148" s="164">
        <f t="shared" si="103"/>
        <v>729.68033100529533</v>
      </c>
      <c r="BX148" s="164">
        <f t="shared" si="104"/>
        <v>393.34250952784174</v>
      </c>
    </row>
    <row r="149" spans="1:76" s="150" customFormat="1" x14ac:dyDescent="0.25">
      <c r="A149" s="150">
        <f t="shared" si="117"/>
        <v>145</v>
      </c>
      <c r="B149" s="150">
        <f t="shared" si="118"/>
        <v>13</v>
      </c>
      <c r="C149" s="150">
        <f t="shared" si="119"/>
        <v>1</v>
      </c>
      <c r="D149" s="150">
        <f>IF(E149="","",Input!$C$4+B149-1)</f>
        <v>57</v>
      </c>
      <c r="E149" s="150">
        <f>IF(OR(AND(C148=12,D148=Input!$C$6),E148=""),"",1)</f>
        <v>1</v>
      </c>
      <c r="F149" s="150">
        <f>IF(E149="","",Input!$C$8+B149-1)</f>
        <v>2030</v>
      </c>
      <c r="G149" s="151">
        <f>IF(E149="","",MAX(0,Input!$C$9-B149))</f>
        <v>7</v>
      </c>
      <c r="H149" s="152">
        <f>IF(E149="","",Input!$C$3)</f>
        <v>100000</v>
      </c>
      <c r="I149" s="153">
        <f>IF(E149="","",HLOOKUP($B149,Input!$C$13:$BT$14,2))</f>
        <v>2.2999999999999998</v>
      </c>
      <c r="J149" s="154"/>
      <c r="K149" s="155">
        <f>IF($E149="","",INDEX(Input!$C$16:$CP$16,1,$B149))</f>
        <v>2.4719999999999999E-2</v>
      </c>
      <c r="L149" s="155">
        <f>IF($E149="","",Input!$C$37)</f>
        <v>1.4999999999999999E-2</v>
      </c>
      <c r="M149" s="155">
        <f t="shared" si="105"/>
        <v>3.9719999999999998E-2</v>
      </c>
      <c r="N149" s="155">
        <f t="shared" si="106"/>
        <v>3.2512276573994914E-3</v>
      </c>
      <c r="O149" s="147">
        <f>IF($E149="","",MIN(VLOOKUP(IF($B149&lt;=Input!$C$7,$B149,26),'Mortality Tables'!$A$41:$CW$67,IF($B149&lt;=Input!$C$7+1,Input!$C$4+2,$D149-Input!$C$7+2),0)*IF(B149&gt;20,Input!$C$22,1)/1000,1))</f>
        <v>1.9920000000000003E-3</v>
      </c>
      <c r="P149" s="147">
        <f>IF($E149="","",MIN(VLOOKUP(IF($B149&lt;=Input!$C$7,$B149,26),'Mortality Tables'!$A$12:$CW$37,IF($B149&lt;=Input!$C$7+1,Input!$C$4+2,$D149-Input!$C$7+2),0)*IF(B149&gt;20,Input!$C$22,1)/1000,1))</f>
        <v>2.49E-3</v>
      </c>
      <c r="Q149" s="155">
        <f>IF($E149="","",Input!$C$21)</f>
        <v>5.0000000000000001E-3</v>
      </c>
      <c r="R149" s="159">
        <f>IF($E149="","",(1-Q149)^($F149-Input!$C$20))</f>
        <v>0.94162280691437594</v>
      </c>
      <c r="S149" s="147">
        <f t="shared" si="82"/>
        <v>1.8757126313734371E-3</v>
      </c>
      <c r="T149" s="147">
        <f t="shared" si="83"/>
        <v>1.5644392663760609E-4</v>
      </c>
      <c r="U149" s="160">
        <f>IF($E149="","",IF($C149=12,INDEX(Input!$C$15:$CP$15,1,$B149),0))</f>
        <v>0</v>
      </c>
      <c r="V149" s="150">
        <f>IF(E149="","",IF(C149=1,IF($B149=1,Input!$C$33,Input!$C$34),0))</f>
        <v>50</v>
      </c>
      <c r="W149" s="156">
        <f>IF($E149="","",Input!$C$35)</f>
        <v>0.02</v>
      </c>
      <c r="X149" s="156">
        <f t="shared" si="84"/>
        <v>1.2682417945625455</v>
      </c>
      <c r="Y149" s="154"/>
      <c r="Z149" s="147">
        <f>IF($E149="","",VLOOKUP($D149,'Mortality Margins &amp; Grading'!$AB$5:$AF$125,3,0)*IF(Summary!$D$25="Included Margin",IF(AND($B149&gt;Input!$C$9,Summary!$D$31&lt;&gt;"Included Margin"),0,1),0))</f>
        <v>3.6999999999999998E-2</v>
      </c>
      <c r="AA149" s="147">
        <f>IF($E149="","",VLOOKUP($D149,'Mortality Margins &amp; Grading'!$AB$5:$AF$125,5,0)*IF(Summary!$D$25="Included Margin",IF(AND($B149&gt;Input!$C$9,Summary!$D$31&lt;&gt;"Included Margin"),0,1),0))</f>
        <v>0.189</v>
      </c>
      <c r="AB149" s="147">
        <f>IF($E149="","",IF(AND($B149&gt;Input!$C$9,Summary!$D$31&lt;&gt;"Included Margin"),1,IF(Summary!$D$25="Included Margin",VLOOKUP($B149,'Mortality Margins &amp; Grading'!$AI$5:$AR$125,MATCH('Mortality Margins &amp; Grading'!$AQ$4,'Mortality Margins &amp; Grading'!$AI$4:$AR$4,0),0),1)))</f>
        <v>1</v>
      </c>
      <c r="AC149" s="154"/>
      <c r="AD149" s="158">
        <f>IF(E149="","",Input!$C$48*IF(Summary!$D$30="Included Margin",IF(AND($B149&gt;Input!$C$9,Summary!$D$31&lt;&gt;"Included Margin"),0,1),0))</f>
        <v>-4.4999999999999997E-3</v>
      </c>
      <c r="AE149" s="159">
        <f>IF(E149="","",IF(Summary!$D$26="Included Margin",IF(AND($B149&gt;Input!$C$9,Summary!$D$31&lt;&gt;"Included Margin"),1,1/$R149),1))</f>
        <v>1.0619963669708909</v>
      </c>
      <c r="AF149" s="160">
        <f>IF(E149="","",IF(AND($B149&gt;=Input!$C$9,$C149=12,Summary!$D$31="Included Margin",$U149&gt;0),1/U149-1,IF($B149&gt;=Input!$C$9,0,Input!$C$45*IF(Summary!$D$27="Included Margin",1,0))))</f>
        <v>-0.1</v>
      </c>
      <c r="AG149" s="160">
        <f>IF(E149="","",Input!$C$46*IF(Summary!$D$28="Included Margin",IF(AND($B149&gt;Input!$C$9,Summary!$D$31&lt;&gt;"Included Margin"),0,1),0))</f>
        <v>0.02</v>
      </c>
      <c r="AH149" s="158">
        <f>IF(E149="","",Input!$C$47*IF(Summary!$D$29="Included Margin",IF(AND($B149&gt;Input!$C$9,Summary!$D$31&lt;&gt;"Included Margin"),0,1),0))</f>
        <v>2.5000000000000001E-3</v>
      </c>
      <c r="AI149" s="154"/>
      <c r="AJ149" s="158">
        <f t="shared" si="107"/>
        <v>3.5220000000000001E-2</v>
      </c>
      <c r="AK149" s="155">
        <f t="shared" si="108"/>
        <v>2.8886612074769946E-3</v>
      </c>
      <c r="AL149" s="147">
        <f t="shared" si="109"/>
        <v>2.0657040000000002E-3</v>
      </c>
      <c r="AM149" s="147">
        <f t="shared" si="85"/>
        <v>1.7230519619415574E-4</v>
      </c>
      <c r="AN149" s="160">
        <f t="shared" si="110"/>
        <v>0</v>
      </c>
      <c r="AO149" s="161">
        <f t="shared" si="111"/>
        <v>51</v>
      </c>
      <c r="AP149" s="156">
        <f t="shared" si="86"/>
        <v>1.3060499898875673</v>
      </c>
      <c r="AQ149" s="152"/>
      <c r="AR149" s="162">
        <f t="shared" si="87"/>
        <v>1065.5931313486199</v>
      </c>
      <c r="AS149" s="150">
        <f t="shared" si="112"/>
        <v>229.99999999999997</v>
      </c>
      <c r="AT149" s="163">
        <f t="shared" si="88"/>
        <v>66.608549484265936</v>
      </c>
      <c r="AU149" s="163">
        <f t="shared" si="89"/>
        <v>17.230519619415574</v>
      </c>
      <c r="AV149" s="163">
        <f t="shared" si="113"/>
        <v>3.5252335194142552</v>
      </c>
      <c r="AW149" s="163">
        <f t="shared" si="90"/>
        <v>0.20943503041585754</v>
      </c>
      <c r="AX149" s="163">
        <f t="shared" si="91"/>
        <v>0</v>
      </c>
      <c r="AY149" s="164">
        <f t="shared" si="114"/>
        <v>1215.4887307947683</v>
      </c>
      <c r="AZ149" s="164">
        <f>IF($E149="","",IF(OR(AND($D149=Input!$C$6,$C149=12),$AN149=1),0,-AS150+AT150+AU150-AV150-AW150-AX150+AZ150))</f>
        <v>1215.4887666873576</v>
      </c>
      <c r="BA149" s="154">
        <f t="shared" si="92"/>
        <v>3.5892589266950381E-5</v>
      </c>
      <c r="BC149" s="147">
        <f t="shared" si="115"/>
        <v>0.5389770790988796</v>
      </c>
      <c r="BD149" s="164">
        <f>IF(AND($C148=12,$D148=Input!$C$6),0,IF($E149="","",AT149+(AU149+BD150)/(1+$AK149)*MIN((1-AM149-AN149),1)))</f>
        <v>2562.2057924997594</v>
      </c>
      <c r="BE149" s="164">
        <f t="shared" si="93"/>
        <v>1380.9701940917503</v>
      </c>
      <c r="BF149" s="164">
        <f t="shared" si="116"/>
        <v>1215.4887666873576</v>
      </c>
      <c r="BG149" s="164">
        <f t="shared" si="94"/>
        <v>655.12058514665159</v>
      </c>
      <c r="BH149" s="152"/>
      <c r="BI149" s="162">
        <f t="shared" si="95"/>
        <v>729.68028973020273</v>
      </c>
      <c r="BJ149" s="150">
        <f t="shared" si="96"/>
        <v>229.99999999999997</v>
      </c>
      <c r="BK149" s="163">
        <f t="shared" si="120"/>
        <v>63.412089728127278</v>
      </c>
      <c r="BL149" s="163">
        <f t="shared" si="97"/>
        <v>15.644392663760609</v>
      </c>
      <c r="BM149" s="163">
        <f t="shared" si="121"/>
        <v>2.8885402192385885</v>
      </c>
      <c r="BN149" s="163">
        <f t="shared" si="98"/>
        <v>0.13824177442796742</v>
      </c>
      <c r="BO149" s="163">
        <f t="shared" si="99"/>
        <v>0</v>
      </c>
      <c r="BP149" s="164">
        <f t="shared" si="122"/>
        <v>883.65058933198134</v>
      </c>
      <c r="BQ149" s="164">
        <f>IF($E149="","",IF(AND($D149=Input!$C$6,$C149=12),0,-BJ150+BK150+BL150-BM150-BN150-BO150+BQ150))</f>
        <v>883.65063060707394</v>
      </c>
      <c r="BR149" s="161">
        <f t="shared" si="100"/>
        <v>0</v>
      </c>
      <c r="BT149" s="147">
        <f t="shared" si="101"/>
        <v>0.5389770790988796</v>
      </c>
      <c r="BU149" s="164">
        <f>IF(AND($C148=12,$D148=Input!$C$6),0,IF($E149="","",BK149+(BL149+BU150)/(1+$AK149)*MIN((1-T149-U149),1)))</f>
        <v>5099.9574109564765</v>
      </c>
      <c r="BV149" s="164">
        <f t="shared" si="102"/>
        <v>2748.7601488860059</v>
      </c>
      <c r="BW149" s="164">
        <f t="shared" si="103"/>
        <v>883.65063060707394</v>
      </c>
      <c r="BX149" s="164">
        <f t="shared" si="104"/>
        <v>476.26743582848371</v>
      </c>
    </row>
    <row r="150" spans="1:76" s="150" customFormat="1" x14ac:dyDescent="0.25">
      <c r="A150" s="150">
        <f t="shared" si="117"/>
        <v>146</v>
      </c>
      <c r="B150" s="150">
        <f t="shared" si="118"/>
        <v>13</v>
      </c>
      <c r="C150" s="150">
        <f t="shared" si="119"/>
        <v>2</v>
      </c>
      <c r="D150" s="150">
        <f>IF(E150="","",Input!$C$4+B150-1)</f>
        <v>57</v>
      </c>
      <c r="E150" s="150">
        <f>IF(OR(AND(C149=12,D149=Input!$C$6),E149=""),"",1)</f>
        <v>1</v>
      </c>
      <c r="F150" s="150">
        <f>IF(E150="","",Input!$C$8+B150-1)</f>
        <v>2030</v>
      </c>
      <c r="G150" s="151">
        <f>IF(E150="","",MAX(0,Input!$C$9-B150))</f>
        <v>7</v>
      </c>
      <c r="H150" s="152">
        <f>IF(E150="","",Input!$C$3)</f>
        <v>100000</v>
      </c>
      <c r="I150" s="153">
        <f>IF(E150="","",HLOOKUP($B150,Input!$C$13:$BT$14,2))</f>
        <v>2.2999999999999998</v>
      </c>
      <c r="J150" s="154"/>
      <c r="K150" s="155">
        <f>IF($E150="","",INDEX(Input!$C$16:$CP$16,1,$B150))</f>
        <v>2.4719999999999999E-2</v>
      </c>
      <c r="L150" s="155">
        <f>IF($E150="","",Input!$C$37)</f>
        <v>1.4999999999999999E-2</v>
      </c>
      <c r="M150" s="155">
        <f t="shared" si="105"/>
        <v>3.9719999999999998E-2</v>
      </c>
      <c r="N150" s="155">
        <f t="shared" si="106"/>
        <v>3.2512276573994914E-3</v>
      </c>
      <c r="O150" s="147">
        <f>IF($E150="","",MIN(VLOOKUP(IF($B150&lt;=Input!$C$7,$B150,26),'Mortality Tables'!$A$41:$CW$67,IF($B150&lt;=Input!$C$7+1,Input!$C$4+2,$D150-Input!$C$7+2),0)*IF(B150&gt;20,Input!$C$22,1)/1000,1))</f>
        <v>1.9920000000000003E-3</v>
      </c>
      <c r="P150" s="147">
        <f>IF($E150="","",MIN(VLOOKUP(IF($B150&lt;=Input!$C$7,$B150,26),'Mortality Tables'!$A$12:$CW$37,IF($B150&lt;=Input!$C$7+1,Input!$C$4+2,$D150-Input!$C$7+2),0)*IF(B150&gt;20,Input!$C$22,1)/1000,1))</f>
        <v>2.49E-3</v>
      </c>
      <c r="Q150" s="155">
        <f>IF($E150="","",Input!$C$21)</f>
        <v>5.0000000000000001E-3</v>
      </c>
      <c r="R150" s="159">
        <f>IF($E150="","",(1-Q150)^($F150-Input!$C$20))</f>
        <v>0.94162280691437594</v>
      </c>
      <c r="S150" s="147">
        <f t="shared" si="82"/>
        <v>1.8757126313734371E-3</v>
      </c>
      <c r="T150" s="147">
        <f t="shared" si="83"/>
        <v>1.5644392663760609E-4</v>
      </c>
      <c r="U150" s="160">
        <f>IF($E150="","",IF($C150=12,INDEX(Input!$C$15:$CP$15,1,$B150),0))</f>
        <v>0</v>
      </c>
      <c r="V150" s="150">
        <f>IF(E150="","",IF(C150=1,IF($B150=1,Input!$C$33,Input!$C$34),0))</f>
        <v>0</v>
      </c>
      <c r="W150" s="156">
        <f>IF($E150="","",Input!$C$35)</f>
        <v>0.02</v>
      </c>
      <c r="X150" s="156">
        <f t="shared" si="84"/>
        <v>1.2682417945625455</v>
      </c>
      <c r="Y150" s="154"/>
      <c r="Z150" s="147">
        <f>IF($E150="","",VLOOKUP($D150,'Mortality Margins &amp; Grading'!$AB$5:$AF$125,3,0)*IF(Summary!$D$25="Included Margin",IF(AND($B150&gt;Input!$C$9,Summary!$D$31&lt;&gt;"Included Margin"),0,1),0))</f>
        <v>3.6999999999999998E-2</v>
      </c>
      <c r="AA150" s="147">
        <f>IF($E150="","",VLOOKUP($D150,'Mortality Margins &amp; Grading'!$AB$5:$AF$125,5,0)*IF(Summary!$D$25="Included Margin",IF(AND($B150&gt;Input!$C$9,Summary!$D$31&lt;&gt;"Included Margin"),0,1),0))</f>
        <v>0.189</v>
      </c>
      <c r="AB150" s="147">
        <f>IF($E150="","",IF(AND($B150&gt;Input!$C$9,Summary!$D$31&lt;&gt;"Included Margin"),1,IF(Summary!$D$25="Included Margin",VLOOKUP($B150,'Mortality Margins &amp; Grading'!$AI$5:$AR$125,MATCH('Mortality Margins &amp; Grading'!$AQ$4,'Mortality Margins &amp; Grading'!$AI$4:$AR$4,0),0),1)))</f>
        <v>1</v>
      </c>
      <c r="AC150" s="154"/>
      <c r="AD150" s="158">
        <f>IF(E150="","",Input!$C$48*IF(Summary!$D$30="Included Margin",IF(AND($B150&gt;Input!$C$9,Summary!$D$31&lt;&gt;"Included Margin"),0,1),0))</f>
        <v>-4.4999999999999997E-3</v>
      </c>
      <c r="AE150" s="159">
        <f>IF(E150="","",IF(Summary!$D$26="Included Margin",IF(AND($B150&gt;Input!$C$9,Summary!$D$31&lt;&gt;"Included Margin"),1,1/$R150),1))</f>
        <v>1.0619963669708909</v>
      </c>
      <c r="AF150" s="160">
        <f>IF(E150="","",IF(AND($B150&gt;=Input!$C$9,$C150=12,Summary!$D$31="Included Margin",$U150&gt;0),1/U150-1,IF($B150&gt;=Input!$C$9,0,Input!$C$45*IF(Summary!$D$27="Included Margin",1,0))))</f>
        <v>-0.1</v>
      </c>
      <c r="AG150" s="160">
        <f>IF(E150="","",Input!$C$46*IF(Summary!$D$28="Included Margin",IF(AND($B150&gt;Input!$C$9,Summary!$D$31&lt;&gt;"Included Margin"),0,1),0))</f>
        <v>0.02</v>
      </c>
      <c r="AH150" s="158">
        <f>IF(E150="","",Input!$C$47*IF(Summary!$D$29="Included Margin",IF(AND($B150&gt;Input!$C$9,Summary!$D$31&lt;&gt;"Included Margin"),0,1),0))</f>
        <v>2.5000000000000001E-3</v>
      </c>
      <c r="AI150" s="154"/>
      <c r="AJ150" s="158">
        <f t="shared" si="107"/>
        <v>3.5220000000000001E-2</v>
      </c>
      <c r="AK150" s="155">
        <f t="shared" si="108"/>
        <v>2.8886612074769946E-3</v>
      </c>
      <c r="AL150" s="147">
        <f t="shared" si="109"/>
        <v>2.0657040000000002E-3</v>
      </c>
      <c r="AM150" s="147">
        <f t="shared" si="85"/>
        <v>1.7230519619415574E-4</v>
      </c>
      <c r="AN150" s="160">
        <f t="shared" si="110"/>
        <v>0</v>
      </c>
      <c r="AO150" s="161">
        <f t="shared" si="111"/>
        <v>0</v>
      </c>
      <c r="AP150" s="156">
        <f t="shared" si="86"/>
        <v>1.3060499898875673</v>
      </c>
      <c r="AQ150" s="152"/>
      <c r="AR150" s="162">
        <f t="shared" si="87"/>
        <v>1215.4887307947681</v>
      </c>
      <c r="AS150" s="150">
        <f t="shared" si="112"/>
        <v>0</v>
      </c>
      <c r="AT150" s="163">
        <f t="shared" si="88"/>
        <v>0</v>
      </c>
      <c r="AU150" s="163">
        <f t="shared" si="89"/>
        <v>17.230519619415574</v>
      </c>
      <c r="AV150" s="163">
        <f t="shared" si="113"/>
        <v>3.4862485779676557</v>
      </c>
      <c r="AW150" s="163">
        <f t="shared" si="90"/>
        <v>0.2071025059354327</v>
      </c>
      <c r="AX150" s="163">
        <f t="shared" si="91"/>
        <v>0</v>
      </c>
      <c r="AY150" s="164">
        <f t="shared" si="114"/>
        <v>1201.9515622592555</v>
      </c>
      <c r="AZ150" s="164">
        <f>IF($E150="","",IF(OR(AND($D150=Input!$C$6,$C150=12),$AN150=1),0,-AS151+AT151+AU151-AV151-AW151-AX151+AZ151))</f>
        <v>1201.951598151845</v>
      </c>
      <c r="BA150" s="154">
        <f t="shared" si="92"/>
        <v>3.5892589494324056E-5</v>
      </c>
      <c r="BC150" s="147">
        <f t="shared" si="115"/>
        <v>0.53889275940825765</v>
      </c>
      <c r="BD150" s="164">
        <f>IF(AND($C149=12,$D149=Input!$C$6),0,IF($E150="","",AT150+(AU150+BD151)/(1+$AK150)*MIN((1-AM150-AN150),1)))</f>
        <v>2486.0069791698129</v>
      </c>
      <c r="BE150" s="164">
        <f t="shared" si="93"/>
        <v>1339.6911609130073</v>
      </c>
      <c r="BF150" s="164">
        <f t="shared" si="116"/>
        <v>1201.951598151845</v>
      </c>
      <c r="BG150" s="164">
        <f t="shared" si="94"/>
        <v>647.72301340321303</v>
      </c>
      <c r="BH150" s="152"/>
      <c r="BI150" s="162">
        <f t="shared" si="95"/>
        <v>883.65058933198134</v>
      </c>
      <c r="BJ150" s="150">
        <f t="shared" si="96"/>
        <v>0</v>
      </c>
      <c r="BK150" s="163">
        <f t="shared" si="120"/>
        <v>0</v>
      </c>
      <c r="BL150" s="163">
        <f t="shared" si="97"/>
        <v>15.644392663760609</v>
      </c>
      <c r="BM150" s="163">
        <f t="shared" si="121"/>
        <v>2.8475174944576795</v>
      </c>
      <c r="BN150" s="163">
        <f t="shared" si="98"/>
        <v>0.13626109824904845</v>
      </c>
      <c r="BO150" s="163">
        <f t="shared" si="99"/>
        <v>0</v>
      </c>
      <c r="BP150" s="164">
        <f t="shared" si="122"/>
        <v>870.98997526092739</v>
      </c>
      <c r="BQ150" s="164">
        <f>IF($E150="","",IF(AND($D150=Input!$C$6,$C150=12),0,-BJ151+BK151+BL151-BM151-BN151-BO151+BQ151))</f>
        <v>870.99001653602011</v>
      </c>
      <c r="BR150" s="161">
        <f t="shared" si="100"/>
        <v>0</v>
      </c>
      <c r="BT150" s="147">
        <f t="shared" si="101"/>
        <v>0.53889275940825765</v>
      </c>
      <c r="BU150" s="164">
        <f>IF(AND($C149=12,$D149=Input!$C$6),0,IF($E150="","",BK150+(BL150+BU151)/(1+$AK150)*MIN((1-T150-U150),1)))</f>
        <v>5036.2401383066663</v>
      </c>
      <c r="BV150" s="164">
        <f t="shared" si="102"/>
        <v>2713.9933451747047</v>
      </c>
      <c r="BW150" s="164">
        <f t="shared" si="103"/>
        <v>870.99001653602011</v>
      </c>
      <c r="BX150" s="164">
        <f t="shared" si="104"/>
        <v>469.37021342813983</v>
      </c>
    </row>
    <row r="151" spans="1:76" s="150" customFormat="1" x14ac:dyDescent="0.25">
      <c r="A151" s="150">
        <f t="shared" si="117"/>
        <v>147</v>
      </c>
      <c r="B151" s="150">
        <f t="shared" si="118"/>
        <v>13</v>
      </c>
      <c r="C151" s="150">
        <f t="shared" si="119"/>
        <v>3</v>
      </c>
      <c r="D151" s="150">
        <f>IF(E151="","",Input!$C$4+B151-1)</f>
        <v>57</v>
      </c>
      <c r="E151" s="150">
        <f>IF(OR(AND(C150=12,D150=Input!$C$6),E150=""),"",1)</f>
        <v>1</v>
      </c>
      <c r="F151" s="150">
        <f>IF(E151="","",Input!$C$8+B151-1)</f>
        <v>2030</v>
      </c>
      <c r="G151" s="151">
        <f>IF(E151="","",MAX(0,Input!$C$9-B151))</f>
        <v>7</v>
      </c>
      <c r="H151" s="152">
        <f>IF(E151="","",Input!$C$3)</f>
        <v>100000</v>
      </c>
      <c r="I151" s="153">
        <f>IF(E151="","",HLOOKUP($B151,Input!$C$13:$BT$14,2))</f>
        <v>2.2999999999999998</v>
      </c>
      <c r="J151" s="154"/>
      <c r="K151" s="155">
        <f>IF($E151="","",INDEX(Input!$C$16:$CP$16,1,$B151))</f>
        <v>2.4719999999999999E-2</v>
      </c>
      <c r="L151" s="155">
        <f>IF($E151="","",Input!$C$37)</f>
        <v>1.4999999999999999E-2</v>
      </c>
      <c r="M151" s="155">
        <f t="shared" si="105"/>
        <v>3.9719999999999998E-2</v>
      </c>
      <c r="N151" s="155">
        <f t="shared" si="106"/>
        <v>3.2512276573994914E-3</v>
      </c>
      <c r="O151" s="147">
        <f>IF($E151="","",MIN(VLOOKUP(IF($B151&lt;=Input!$C$7,$B151,26),'Mortality Tables'!$A$41:$CW$67,IF($B151&lt;=Input!$C$7+1,Input!$C$4+2,$D151-Input!$C$7+2),0)*IF(B151&gt;20,Input!$C$22,1)/1000,1))</f>
        <v>1.9920000000000003E-3</v>
      </c>
      <c r="P151" s="147">
        <f>IF($E151="","",MIN(VLOOKUP(IF($B151&lt;=Input!$C$7,$B151,26),'Mortality Tables'!$A$12:$CW$37,IF($B151&lt;=Input!$C$7+1,Input!$C$4+2,$D151-Input!$C$7+2),0)*IF(B151&gt;20,Input!$C$22,1)/1000,1))</f>
        <v>2.49E-3</v>
      </c>
      <c r="Q151" s="155">
        <f>IF($E151="","",Input!$C$21)</f>
        <v>5.0000000000000001E-3</v>
      </c>
      <c r="R151" s="159">
        <f>IF($E151="","",(1-Q151)^($F151-Input!$C$20))</f>
        <v>0.94162280691437594</v>
      </c>
      <c r="S151" s="147">
        <f t="shared" si="82"/>
        <v>1.8757126313734371E-3</v>
      </c>
      <c r="T151" s="147">
        <f t="shared" si="83"/>
        <v>1.5644392663760609E-4</v>
      </c>
      <c r="U151" s="160">
        <f>IF($E151="","",IF($C151=12,INDEX(Input!$C$15:$CP$15,1,$B151),0))</f>
        <v>0</v>
      </c>
      <c r="V151" s="150">
        <f>IF(E151="","",IF(C151=1,IF($B151=1,Input!$C$33,Input!$C$34),0))</f>
        <v>0</v>
      </c>
      <c r="W151" s="156">
        <f>IF($E151="","",Input!$C$35)</f>
        <v>0.02</v>
      </c>
      <c r="X151" s="156">
        <f t="shared" si="84"/>
        <v>1.2682417945625455</v>
      </c>
      <c r="Y151" s="154"/>
      <c r="Z151" s="147">
        <f>IF($E151="","",VLOOKUP($D151,'Mortality Margins &amp; Grading'!$AB$5:$AF$125,3,0)*IF(Summary!$D$25="Included Margin",IF(AND($B151&gt;Input!$C$9,Summary!$D$31&lt;&gt;"Included Margin"),0,1),0))</f>
        <v>3.6999999999999998E-2</v>
      </c>
      <c r="AA151" s="147">
        <f>IF($E151="","",VLOOKUP($D151,'Mortality Margins &amp; Grading'!$AB$5:$AF$125,5,0)*IF(Summary!$D$25="Included Margin",IF(AND($B151&gt;Input!$C$9,Summary!$D$31&lt;&gt;"Included Margin"),0,1),0))</f>
        <v>0.189</v>
      </c>
      <c r="AB151" s="147">
        <f>IF($E151="","",IF(AND($B151&gt;Input!$C$9,Summary!$D$31&lt;&gt;"Included Margin"),1,IF(Summary!$D$25="Included Margin",VLOOKUP($B151,'Mortality Margins &amp; Grading'!$AI$5:$AR$125,MATCH('Mortality Margins &amp; Grading'!$AQ$4,'Mortality Margins &amp; Grading'!$AI$4:$AR$4,0),0),1)))</f>
        <v>1</v>
      </c>
      <c r="AC151" s="154"/>
      <c r="AD151" s="158">
        <f>IF(E151="","",Input!$C$48*IF(Summary!$D$30="Included Margin",IF(AND($B151&gt;Input!$C$9,Summary!$D$31&lt;&gt;"Included Margin"),0,1),0))</f>
        <v>-4.4999999999999997E-3</v>
      </c>
      <c r="AE151" s="159">
        <f>IF(E151="","",IF(Summary!$D$26="Included Margin",IF(AND($B151&gt;Input!$C$9,Summary!$D$31&lt;&gt;"Included Margin"),1,1/$R151),1))</f>
        <v>1.0619963669708909</v>
      </c>
      <c r="AF151" s="160">
        <f>IF(E151="","",IF(AND($B151&gt;=Input!$C$9,$C151=12,Summary!$D$31="Included Margin",$U151&gt;0),1/U151-1,IF($B151&gt;=Input!$C$9,0,Input!$C$45*IF(Summary!$D$27="Included Margin",1,0))))</f>
        <v>-0.1</v>
      </c>
      <c r="AG151" s="160">
        <f>IF(E151="","",Input!$C$46*IF(Summary!$D$28="Included Margin",IF(AND($B151&gt;Input!$C$9,Summary!$D$31&lt;&gt;"Included Margin"),0,1),0))</f>
        <v>0.02</v>
      </c>
      <c r="AH151" s="158">
        <f>IF(E151="","",Input!$C$47*IF(Summary!$D$29="Included Margin",IF(AND($B151&gt;Input!$C$9,Summary!$D$31&lt;&gt;"Included Margin"),0,1),0))</f>
        <v>2.5000000000000001E-3</v>
      </c>
      <c r="AI151" s="154"/>
      <c r="AJ151" s="158">
        <f t="shared" si="107"/>
        <v>3.5220000000000001E-2</v>
      </c>
      <c r="AK151" s="155">
        <f t="shared" si="108"/>
        <v>2.8886612074769946E-3</v>
      </c>
      <c r="AL151" s="147">
        <f t="shared" si="109"/>
        <v>2.0657040000000002E-3</v>
      </c>
      <c r="AM151" s="147">
        <f t="shared" si="85"/>
        <v>1.7230519619415574E-4</v>
      </c>
      <c r="AN151" s="160">
        <f t="shared" si="110"/>
        <v>0</v>
      </c>
      <c r="AO151" s="161">
        <f t="shared" si="111"/>
        <v>0</v>
      </c>
      <c r="AP151" s="156">
        <f t="shared" si="86"/>
        <v>1.3060499898875673</v>
      </c>
      <c r="AQ151" s="152"/>
      <c r="AR151" s="162">
        <f t="shared" si="87"/>
        <v>1201.9515622592555</v>
      </c>
      <c r="AS151" s="150">
        <f t="shared" si="112"/>
        <v>0</v>
      </c>
      <c r="AT151" s="163">
        <f t="shared" si="88"/>
        <v>0</v>
      </c>
      <c r="AU151" s="163">
        <f t="shared" si="89"/>
        <v>17.230519619415574</v>
      </c>
      <c r="AV151" s="163">
        <f t="shared" si="113"/>
        <v>3.4471442843600424</v>
      </c>
      <c r="AW151" s="163">
        <f t="shared" si="90"/>
        <v>0.2047628404455045</v>
      </c>
      <c r="AX151" s="163">
        <f t="shared" si="91"/>
        <v>0</v>
      </c>
      <c r="AY151" s="164">
        <f t="shared" si="114"/>
        <v>1188.3729497646455</v>
      </c>
      <c r="AZ151" s="164">
        <f>IF($E151="","",IF(OR(AND($D151=Input!$C$6,$C151=12),$AN151=1),0,-AS152+AT152+AU152-AV152-AW152-AX152+AZ152))</f>
        <v>1188.3729856572349</v>
      </c>
      <c r="BA151" s="154">
        <f t="shared" si="92"/>
        <v>3.5892589494324056E-5</v>
      </c>
      <c r="BC151" s="147">
        <f t="shared" si="115"/>
        <v>0.53880845290893919</v>
      </c>
      <c r="BD151" s="164">
        <f>IF(AND($C150=12,$D150=Input!$C$6),0,IF($E151="","",AT151+(AU151+BD152)/(1+$AK151)*MIN((1-AM151-AN151),1)))</f>
        <v>2476.3873547897251</v>
      </c>
      <c r="BE151" s="164">
        <f t="shared" si="93"/>
        <v>1334.2984394375121</v>
      </c>
      <c r="BF151" s="164">
        <f t="shared" si="116"/>
        <v>1188.3729856572349</v>
      </c>
      <c r="BG151" s="164">
        <f t="shared" si="94"/>
        <v>640.30540988075177</v>
      </c>
      <c r="BH151" s="152"/>
      <c r="BI151" s="162">
        <f t="shared" si="95"/>
        <v>870.98997526092762</v>
      </c>
      <c r="BJ151" s="150">
        <f t="shared" si="96"/>
        <v>0</v>
      </c>
      <c r="BK151" s="163">
        <f t="shared" si="120"/>
        <v>0</v>
      </c>
      <c r="BL151" s="163">
        <f t="shared" si="97"/>
        <v>15.644392663760609</v>
      </c>
      <c r="BM151" s="163">
        <f t="shared" si="121"/>
        <v>2.8063549558302086</v>
      </c>
      <c r="BN151" s="163">
        <f t="shared" si="98"/>
        <v>0.13427367152011482</v>
      </c>
      <c r="BO151" s="163">
        <f t="shared" si="99"/>
        <v>0</v>
      </c>
      <c r="BP151" s="164">
        <f t="shared" si="122"/>
        <v>858.28621122451727</v>
      </c>
      <c r="BQ151" s="164">
        <f>IF($E151="","",IF(AND($D151=Input!$C$6,$C151=12),0,-BJ152+BK152+BL152-BM152-BN152-BO152+BQ152))</f>
        <v>858.28625249960987</v>
      </c>
      <c r="BR151" s="161">
        <f t="shared" si="100"/>
        <v>0</v>
      </c>
      <c r="BT151" s="147">
        <f t="shared" si="101"/>
        <v>0.53880845290893919</v>
      </c>
      <c r="BU151" s="164">
        <f>IF(AND($C150=12,$D150=Input!$C$6),0,IF($E151="","",BK151+(BL151+BU152)/(1+$AK151)*MIN((1-T151-U151),1)))</f>
        <v>5035.9340259254932</v>
      </c>
      <c r="BV151" s="164">
        <f t="shared" si="102"/>
        <v>2713.4038214604006</v>
      </c>
      <c r="BW151" s="164">
        <f t="shared" si="103"/>
        <v>858.28625249960987</v>
      </c>
      <c r="BX151" s="164">
        <f t="shared" si="104"/>
        <v>462.45188786232592</v>
      </c>
    </row>
    <row r="152" spans="1:76" s="150" customFormat="1" x14ac:dyDescent="0.25">
      <c r="A152" s="150">
        <f t="shared" si="117"/>
        <v>148</v>
      </c>
      <c r="B152" s="150">
        <f t="shared" si="118"/>
        <v>13</v>
      </c>
      <c r="C152" s="150">
        <f t="shared" si="119"/>
        <v>4</v>
      </c>
      <c r="D152" s="150">
        <f>IF(E152="","",Input!$C$4+B152-1)</f>
        <v>57</v>
      </c>
      <c r="E152" s="150">
        <f>IF(OR(AND(C151=12,D151=Input!$C$6),E151=""),"",1)</f>
        <v>1</v>
      </c>
      <c r="F152" s="150">
        <f>IF(E152="","",Input!$C$8+B152-1)</f>
        <v>2030</v>
      </c>
      <c r="G152" s="151">
        <f>IF(E152="","",MAX(0,Input!$C$9-B152))</f>
        <v>7</v>
      </c>
      <c r="H152" s="152">
        <f>IF(E152="","",Input!$C$3)</f>
        <v>100000</v>
      </c>
      <c r="I152" s="153">
        <f>IF(E152="","",HLOOKUP($B152,Input!$C$13:$BT$14,2))</f>
        <v>2.2999999999999998</v>
      </c>
      <c r="J152" s="154"/>
      <c r="K152" s="155">
        <f>IF($E152="","",INDEX(Input!$C$16:$CP$16,1,$B152))</f>
        <v>2.4719999999999999E-2</v>
      </c>
      <c r="L152" s="155">
        <f>IF($E152="","",Input!$C$37)</f>
        <v>1.4999999999999999E-2</v>
      </c>
      <c r="M152" s="155">
        <f t="shared" si="105"/>
        <v>3.9719999999999998E-2</v>
      </c>
      <c r="N152" s="155">
        <f t="shared" si="106"/>
        <v>3.2512276573994914E-3</v>
      </c>
      <c r="O152" s="147">
        <f>IF($E152="","",MIN(VLOOKUP(IF($B152&lt;=Input!$C$7,$B152,26),'Mortality Tables'!$A$41:$CW$67,IF($B152&lt;=Input!$C$7+1,Input!$C$4+2,$D152-Input!$C$7+2),0)*IF(B152&gt;20,Input!$C$22,1)/1000,1))</f>
        <v>1.9920000000000003E-3</v>
      </c>
      <c r="P152" s="147">
        <f>IF($E152="","",MIN(VLOOKUP(IF($B152&lt;=Input!$C$7,$B152,26),'Mortality Tables'!$A$12:$CW$37,IF($B152&lt;=Input!$C$7+1,Input!$C$4+2,$D152-Input!$C$7+2),0)*IF(B152&gt;20,Input!$C$22,1)/1000,1))</f>
        <v>2.49E-3</v>
      </c>
      <c r="Q152" s="155">
        <f>IF($E152="","",Input!$C$21)</f>
        <v>5.0000000000000001E-3</v>
      </c>
      <c r="R152" s="159">
        <f>IF($E152="","",(1-Q152)^($F152-Input!$C$20))</f>
        <v>0.94162280691437594</v>
      </c>
      <c r="S152" s="147">
        <f t="shared" si="82"/>
        <v>1.8757126313734371E-3</v>
      </c>
      <c r="T152" s="147">
        <f t="shared" si="83"/>
        <v>1.5644392663760609E-4</v>
      </c>
      <c r="U152" s="160">
        <f>IF($E152="","",IF($C152=12,INDEX(Input!$C$15:$CP$15,1,$B152),0))</f>
        <v>0</v>
      </c>
      <c r="V152" s="150">
        <f>IF(E152="","",IF(C152=1,IF($B152=1,Input!$C$33,Input!$C$34),0))</f>
        <v>0</v>
      </c>
      <c r="W152" s="156">
        <f>IF($E152="","",Input!$C$35)</f>
        <v>0.02</v>
      </c>
      <c r="X152" s="156">
        <f t="shared" si="84"/>
        <v>1.2682417945625455</v>
      </c>
      <c r="Y152" s="154"/>
      <c r="Z152" s="147">
        <f>IF($E152="","",VLOOKUP($D152,'Mortality Margins &amp; Grading'!$AB$5:$AF$125,3,0)*IF(Summary!$D$25="Included Margin",IF(AND($B152&gt;Input!$C$9,Summary!$D$31&lt;&gt;"Included Margin"),0,1),0))</f>
        <v>3.6999999999999998E-2</v>
      </c>
      <c r="AA152" s="147">
        <f>IF($E152="","",VLOOKUP($D152,'Mortality Margins &amp; Grading'!$AB$5:$AF$125,5,0)*IF(Summary!$D$25="Included Margin",IF(AND($B152&gt;Input!$C$9,Summary!$D$31&lt;&gt;"Included Margin"),0,1),0))</f>
        <v>0.189</v>
      </c>
      <c r="AB152" s="147">
        <f>IF($E152="","",IF(AND($B152&gt;Input!$C$9,Summary!$D$31&lt;&gt;"Included Margin"),1,IF(Summary!$D$25="Included Margin",VLOOKUP($B152,'Mortality Margins &amp; Grading'!$AI$5:$AR$125,MATCH('Mortality Margins &amp; Grading'!$AQ$4,'Mortality Margins &amp; Grading'!$AI$4:$AR$4,0),0),1)))</f>
        <v>1</v>
      </c>
      <c r="AC152" s="154"/>
      <c r="AD152" s="158">
        <f>IF(E152="","",Input!$C$48*IF(Summary!$D$30="Included Margin",IF(AND($B152&gt;Input!$C$9,Summary!$D$31&lt;&gt;"Included Margin"),0,1),0))</f>
        <v>-4.4999999999999997E-3</v>
      </c>
      <c r="AE152" s="159">
        <f>IF(E152="","",IF(Summary!$D$26="Included Margin",IF(AND($B152&gt;Input!$C$9,Summary!$D$31&lt;&gt;"Included Margin"),1,1/$R152),1))</f>
        <v>1.0619963669708909</v>
      </c>
      <c r="AF152" s="160">
        <f>IF(E152="","",IF(AND($B152&gt;=Input!$C$9,$C152=12,Summary!$D$31="Included Margin",$U152&gt;0),1/U152-1,IF($B152&gt;=Input!$C$9,0,Input!$C$45*IF(Summary!$D$27="Included Margin",1,0))))</f>
        <v>-0.1</v>
      </c>
      <c r="AG152" s="160">
        <f>IF(E152="","",Input!$C$46*IF(Summary!$D$28="Included Margin",IF(AND($B152&gt;Input!$C$9,Summary!$D$31&lt;&gt;"Included Margin"),0,1),0))</f>
        <v>0.02</v>
      </c>
      <c r="AH152" s="158">
        <f>IF(E152="","",Input!$C$47*IF(Summary!$D$29="Included Margin",IF(AND($B152&gt;Input!$C$9,Summary!$D$31&lt;&gt;"Included Margin"),0,1),0))</f>
        <v>2.5000000000000001E-3</v>
      </c>
      <c r="AI152" s="154"/>
      <c r="AJ152" s="158">
        <f t="shared" si="107"/>
        <v>3.5220000000000001E-2</v>
      </c>
      <c r="AK152" s="155">
        <f t="shared" si="108"/>
        <v>2.8886612074769946E-3</v>
      </c>
      <c r="AL152" s="147">
        <f t="shared" si="109"/>
        <v>2.0657040000000002E-3</v>
      </c>
      <c r="AM152" s="147">
        <f t="shared" si="85"/>
        <v>1.7230519619415574E-4</v>
      </c>
      <c r="AN152" s="160">
        <f t="shared" si="110"/>
        <v>0</v>
      </c>
      <c r="AO152" s="161">
        <f t="shared" si="111"/>
        <v>0</v>
      </c>
      <c r="AP152" s="156">
        <f t="shared" si="86"/>
        <v>1.3060499898875673</v>
      </c>
      <c r="AQ152" s="152"/>
      <c r="AR152" s="162">
        <f t="shared" si="87"/>
        <v>1188.3729497646457</v>
      </c>
      <c r="AS152" s="150">
        <f t="shared" si="112"/>
        <v>0</v>
      </c>
      <c r="AT152" s="163">
        <f t="shared" si="88"/>
        <v>0</v>
      </c>
      <c r="AU152" s="163">
        <f t="shared" si="89"/>
        <v>17.230519619415574</v>
      </c>
      <c r="AV152" s="163">
        <f t="shared" si="113"/>
        <v>3.4079202731955007</v>
      </c>
      <c r="AW152" s="163">
        <f t="shared" si="90"/>
        <v>0.2024160120839158</v>
      </c>
      <c r="AX152" s="163">
        <f t="shared" si="91"/>
        <v>0</v>
      </c>
      <c r="AY152" s="164">
        <f t="shared" si="114"/>
        <v>1174.7527664305094</v>
      </c>
      <c r="AZ152" s="164">
        <f>IF($E152="","",IF(OR(AND($D152=Input!$C$6,$C152=12),$AN152=1),0,-AS153+AT153+AU153-AV153-AW153-AX153+AZ153))</f>
        <v>1174.7528023230989</v>
      </c>
      <c r="BA152" s="154">
        <f t="shared" si="92"/>
        <v>3.5892589494324056E-5</v>
      </c>
      <c r="BC152" s="147">
        <f t="shared" si="115"/>
        <v>0.53872415959886055</v>
      </c>
      <c r="BD152" s="164">
        <f>IF(AND($C151=12,$D151=Input!$C$6),0,IF($E152="","",AT152+(AU152+BD153)/(1+$AK152)*MIN((1-AM152-AN152),1)))</f>
        <v>2466.7382799881334</v>
      </c>
      <c r="BE152" s="164">
        <f t="shared" si="93"/>
        <v>1328.8915068369458</v>
      </c>
      <c r="BF152" s="164">
        <f t="shared" si="116"/>
        <v>1174.7528023230989</v>
      </c>
      <c r="BG152" s="164">
        <f t="shared" si="94"/>
        <v>632.86771616791782</v>
      </c>
      <c r="BH152" s="152"/>
      <c r="BI152" s="162">
        <f t="shared" si="95"/>
        <v>858.28621122451727</v>
      </c>
      <c r="BJ152" s="150">
        <f t="shared" si="96"/>
        <v>0</v>
      </c>
      <c r="BK152" s="163">
        <f t="shared" si="120"/>
        <v>0</v>
      </c>
      <c r="BL152" s="163">
        <f t="shared" si="97"/>
        <v>15.644392663760609</v>
      </c>
      <c r="BM152" s="163">
        <f t="shared" si="121"/>
        <v>2.7650521268419546</v>
      </c>
      <c r="BN152" s="163">
        <f t="shared" si="98"/>
        <v>0.13227947123390976</v>
      </c>
      <c r="BO152" s="163">
        <f t="shared" si="99"/>
        <v>0</v>
      </c>
      <c r="BP152" s="164">
        <f t="shared" si="122"/>
        <v>845.53915015883251</v>
      </c>
      <c r="BQ152" s="164">
        <f>IF($E152="","",IF(AND($D152=Input!$C$6,$C152=12),0,-BJ153+BK153+BL153-BM153-BN153-BO153+BQ153))</f>
        <v>845.53919143392511</v>
      </c>
      <c r="BR152" s="161">
        <f t="shared" si="100"/>
        <v>0</v>
      </c>
      <c r="BT152" s="147">
        <f t="shared" si="101"/>
        <v>0.53872415959886055</v>
      </c>
      <c r="BU152" s="164">
        <f>IF(AND($C151=12,$D151=Input!$C$6),0,IF($E152="","",BK152+(BL152+BU153)/(1+$AK152)*MIN((1-T152-U152),1)))</f>
        <v>5035.6269812540859</v>
      </c>
      <c r="BV152" s="164">
        <f t="shared" si="102"/>
        <v>2712.8139135294546</v>
      </c>
      <c r="BW152" s="164">
        <f t="shared" si="103"/>
        <v>845.53919143392511</v>
      </c>
      <c r="BX152" s="164">
        <f t="shared" si="104"/>
        <v>455.5123903131414</v>
      </c>
    </row>
    <row r="153" spans="1:76" s="150" customFormat="1" x14ac:dyDescent="0.25">
      <c r="A153" s="150">
        <f t="shared" si="117"/>
        <v>149</v>
      </c>
      <c r="B153" s="150">
        <f t="shared" si="118"/>
        <v>13</v>
      </c>
      <c r="C153" s="150">
        <f t="shared" si="119"/>
        <v>5</v>
      </c>
      <c r="D153" s="150">
        <f>IF(E153="","",Input!$C$4+B153-1)</f>
        <v>57</v>
      </c>
      <c r="E153" s="150">
        <f>IF(OR(AND(C152=12,D152=Input!$C$6),E152=""),"",1)</f>
        <v>1</v>
      </c>
      <c r="F153" s="150">
        <f>IF(E153="","",Input!$C$8+B153-1)</f>
        <v>2030</v>
      </c>
      <c r="G153" s="151">
        <f>IF(E153="","",MAX(0,Input!$C$9-B153))</f>
        <v>7</v>
      </c>
      <c r="H153" s="152">
        <f>IF(E153="","",Input!$C$3)</f>
        <v>100000</v>
      </c>
      <c r="I153" s="153">
        <f>IF(E153="","",HLOOKUP($B153,Input!$C$13:$BT$14,2))</f>
        <v>2.2999999999999998</v>
      </c>
      <c r="J153" s="154"/>
      <c r="K153" s="155">
        <f>IF($E153="","",INDEX(Input!$C$16:$CP$16,1,$B153))</f>
        <v>2.4719999999999999E-2</v>
      </c>
      <c r="L153" s="155">
        <f>IF($E153="","",Input!$C$37)</f>
        <v>1.4999999999999999E-2</v>
      </c>
      <c r="M153" s="155">
        <f t="shared" si="105"/>
        <v>3.9719999999999998E-2</v>
      </c>
      <c r="N153" s="155">
        <f t="shared" si="106"/>
        <v>3.2512276573994914E-3</v>
      </c>
      <c r="O153" s="147">
        <f>IF($E153="","",MIN(VLOOKUP(IF($B153&lt;=Input!$C$7,$B153,26),'Mortality Tables'!$A$41:$CW$67,IF($B153&lt;=Input!$C$7+1,Input!$C$4+2,$D153-Input!$C$7+2),0)*IF(B153&gt;20,Input!$C$22,1)/1000,1))</f>
        <v>1.9920000000000003E-3</v>
      </c>
      <c r="P153" s="147">
        <f>IF($E153="","",MIN(VLOOKUP(IF($B153&lt;=Input!$C$7,$B153,26),'Mortality Tables'!$A$12:$CW$37,IF($B153&lt;=Input!$C$7+1,Input!$C$4+2,$D153-Input!$C$7+2),0)*IF(B153&gt;20,Input!$C$22,1)/1000,1))</f>
        <v>2.49E-3</v>
      </c>
      <c r="Q153" s="155">
        <f>IF($E153="","",Input!$C$21)</f>
        <v>5.0000000000000001E-3</v>
      </c>
      <c r="R153" s="159">
        <f>IF($E153="","",(1-Q153)^($F153-Input!$C$20))</f>
        <v>0.94162280691437594</v>
      </c>
      <c r="S153" s="147">
        <f t="shared" si="82"/>
        <v>1.8757126313734371E-3</v>
      </c>
      <c r="T153" s="147">
        <f t="shared" si="83"/>
        <v>1.5644392663760609E-4</v>
      </c>
      <c r="U153" s="160">
        <f>IF($E153="","",IF($C153=12,INDEX(Input!$C$15:$CP$15,1,$B153),0))</f>
        <v>0</v>
      </c>
      <c r="V153" s="150">
        <f>IF(E153="","",IF(C153=1,IF($B153=1,Input!$C$33,Input!$C$34),0))</f>
        <v>0</v>
      </c>
      <c r="W153" s="156">
        <f>IF($E153="","",Input!$C$35)</f>
        <v>0.02</v>
      </c>
      <c r="X153" s="156">
        <f t="shared" si="84"/>
        <v>1.2682417945625455</v>
      </c>
      <c r="Y153" s="154"/>
      <c r="Z153" s="147">
        <f>IF($E153="","",VLOOKUP($D153,'Mortality Margins &amp; Grading'!$AB$5:$AF$125,3,0)*IF(Summary!$D$25="Included Margin",IF(AND($B153&gt;Input!$C$9,Summary!$D$31&lt;&gt;"Included Margin"),0,1),0))</f>
        <v>3.6999999999999998E-2</v>
      </c>
      <c r="AA153" s="147">
        <f>IF($E153="","",VLOOKUP($D153,'Mortality Margins &amp; Grading'!$AB$5:$AF$125,5,0)*IF(Summary!$D$25="Included Margin",IF(AND($B153&gt;Input!$C$9,Summary!$D$31&lt;&gt;"Included Margin"),0,1),0))</f>
        <v>0.189</v>
      </c>
      <c r="AB153" s="147">
        <f>IF($E153="","",IF(AND($B153&gt;Input!$C$9,Summary!$D$31&lt;&gt;"Included Margin"),1,IF(Summary!$D$25="Included Margin",VLOOKUP($B153,'Mortality Margins &amp; Grading'!$AI$5:$AR$125,MATCH('Mortality Margins &amp; Grading'!$AQ$4,'Mortality Margins &amp; Grading'!$AI$4:$AR$4,0),0),1)))</f>
        <v>1</v>
      </c>
      <c r="AC153" s="154"/>
      <c r="AD153" s="158">
        <f>IF(E153="","",Input!$C$48*IF(Summary!$D$30="Included Margin",IF(AND($B153&gt;Input!$C$9,Summary!$D$31&lt;&gt;"Included Margin"),0,1),0))</f>
        <v>-4.4999999999999997E-3</v>
      </c>
      <c r="AE153" s="159">
        <f>IF(E153="","",IF(Summary!$D$26="Included Margin",IF(AND($B153&gt;Input!$C$9,Summary!$D$31&lt;&gt;"Included Margin"),1,1/$R153),1))</f>
        <v>1.0619963669708909</v>
      </c>
      <c r="AF153" s="160">
        <f>IF(E153="","",IF(AND($B153&gt;=Input!$C$9,$C153=12,Summary!$D$31="Included Margin",$U153&gt;0),1/U153-1,IF($B153&gt;=Input!$C$9,0,Input!$C$45*IF(Summary!$D$27="Included Margin",1,0))))</f>
        <v>-0.1</v>
      </c>
      <c r="AG153" s="160">
        <f>IF(E153="","",Input!$C$46*IF(Summary!$D$28="Included Margin",IF(AND($B153&gt;Input!$C$9,Summary!$D$31&lt;&gt;"Included Margin"),0,1),0))</f>
        <v>0.02</v>
      </c>
      <c r="AH153" s="158">
        <f>IF(E153="","",Input!$C$47*IF(Summary!$D$29="Included Margin",IF(AND($B153&gt;Input!$C$9,Summary!$D$31&lt;&gt;"Included Margin"),0,1),0))</f>
        <v>2.5000000000000001E-3</v>
      </c>
      <c r="AI153" s="154"/>
      <c r="AJ153" s="158">
        <f t="shared" si="107"/>
        <v>3.5220000000000001E-2</v>
      </c>
      <c r="AK153" s="155">
        <f t="shared" si="108"/>
        <v>2.8886612074769946E-3</v>
      </c>
      <c r="AL153" s="147">
        <f t="shared" si="109"/>
        <v>2.0657040000000002E-3</v>
      </c>
      <c r="AM153" s="147">
        <f t="shared" si="85"/>
        <v>1.7230519619415574E-4</v>
      </c>
      <c r="AN153" s="160">
        <f t="shared" si="110"/>
        <v>0</v>
      </c>
      <c r="AO153" s="161">
        <f t="shared" si="111"/>
        <v>0</v>
      </c>
      <c r="AP153" s="156">
        <f t="shared" si="86"/>
        <v>1.3060499898875673</v>
      </c>
      <c r="AQ153" s="152"/>
      <c r="AR153" s="162">
        <f t="shared" si="87"/>
        <v>1174.7527664305094</v>
      </c>
      <c r="AS153" s="150">
        <f t="shared" si="112"/>
        <v>0</v>
      </c>
      <c r="AT153" s="163">
        <f t="shared" si="88"/>
        <v>0</v>
      </c>
      <c r="AU153" s="163">
        <f t="shared" si="89"/>
        <v>17.230519619415574</v>
      </c>
      <c r="AV153" s="163">
        <f t="shared" si="113"/>
        <v>3.3685761779594565</v>
      </c>
      <c r="AW153" s="163">
        <f t="shared" si="90"/>
        <v>0.20006199892157858</v>
      </c>
      <c r="AX153" s="163">
        <f t="shared" si="91"/>
        <v>0</v>
      </c>
      <c r="AY153" s="164">
        <f t="shared" si="114"/>
        <v>1161.090884987975</v>
      </c>
      <c r="AZ153" s="164">
        <f>IF($E153="","",IF(OR(AND($D153=Input!$C$6,$C153=12),$AN153=1),0,-AS154+AT154+AU154-AV154-AW154-AX154+AZ154))</f>
        <v>1161.0909208805642</v>
      </c>
      <c r="BA153" s="154">
        <f t="shared" si="92"/>
        <v>3.5892589266950381E-5</v>
      </c>
      <c r="BC153" s="147">
        <f t="shared" si="115"/>
        <v>0.53863987947595837</v>
      </c>
      <c r="BD153" s="164">
        <f>IF(AND($C152=12,$D152=Input!$C$6),0,IF($E153="","",AT153+(AU153+BD154)/(1+$AK153)*MIN((1-AM153-AN153),1)))</f>
        <v>2457.0596646027516</v>
      </c>
      <c r="BE153" s="164">
        <f t="shared" si="93"/>
        <v>1323.4703216068649</v>
      </c>
      <c r="BF153" s="164">
        <f t="shared" si="116"/>
        <v>1161.0909208805642</v>
      </c>
      <c r="BG153" s="164">
        <f t="shared" si="94"/>
        <v>625.40987368373658</v>
      </c>
      <c r="BH153" s="152"/>
      <c r="BI153" s="162">
        <f t="shared" si="95"/>
        <v>845.53915015883251</v>
      </c>
      <c r="BJ153" s="150">
        <f t="shared" si="96"/>
        <v>0</v>
      </c>
      <c r="BK153" s="163">
        <f t="shared" si="120"/>
        <v>0</v>
      </c>
      <c r="BL153" s="163">
        <f t="shared" si="97"/>
        <v>15.644392663760609</v>
      </c>
      <c r="BM153" s="163">
        <f t="shared" si="121"/>
        <v>2.7236085293546397</v>
      </c>
      <c r="BN153" s="163">
        <f t="shared" si="98"/>
        <v>0.130278474304763</v>
      </c>
      <c r="BO153" s="163">
        <f t="shared" si="99"/>
        <v>0</v>
      </c>
      <c r="BP153" s="164">
        <f t="shared" si="122"/>
        <v>832.74864449873132</v>
      </c>
      <c r="BQ153" s="164">
        <f>IF($E153="","",IF(AND($D153=Input!$C$6,$C153=12),0,-BJ154+BK154+BL154-BM154-BN154-BO154+BQ154))</f>
        <v>832.74868577382392</v>
      </c>
      <c r="BR153" s="161">
        <f t="shared" si="100"/>
        <v>0</v>
      </c>
      <c r="BT153" s="147">
        <f t="shared" si="101"/>
        <v>0.53863987947595837</v>
      </c>
      <c r="BU153" s="164">
        <f>IF(AND($C152=12,$D152=Input!$C$6),0,IF($E153="","",BK153+(BL153+BU154)/(1+$AK153)*MIN((1-T153-U153),1)))</f>
        <v>5035.3190014530774</v>
      </c>
      <c r="BV153" s="164">
        <f t="shared" si="102"/>
        <v>2712.2236200656885</v>
      </c>
      <c r="BW153" s="164">
        <f t="shared" si="103"/>
        <v>832.74868577382392</v>
      </c>
      <c r="BX153" s="164">
        <f t="shared" si="104"/>
        <v>448.55165173897524</v>
      </c>
    </row>
    <row r="154" spans="1:76" s="150" customFormat="1" x14ac:dyDescent="0.25">
      <c r="A154" s="150">
        <f t="shared" si="117"/>
        <v>150</v>
      </c>
      <c r="B154" s="150">
        <f t="shared" si="118"/>
        <v>13</v>
      </c>
      <c r="C154" s="150">
        <f t="shared" si="119"/>
        <v>6</v>
      </c>
      <c r="D154" s="150">
        <f>IF(E154="","",Input!$C$4+B154-1)</f>
        <v>57</v>
      </c>
      <c r="E154" s="150">
        <f>IF(OR(AND(C153=12,D153=Input!$C$6),E153=""),"",1)</f>
        <v>1</v>
      </c>
      <c r="F154" s="150">
        <f>IF(E154="","",Input!$C$8+B154-1)</f>
        <v>2030</v>
      </c>
      <c r="G154" s="151">
        <f>IF(E154="","",MAX(0,Input!$C$9-B154))</f>
        <v>7</v>
      </c>
      <c r="H154" s="152">
        <f>IF(E154="","",Input!$C$3)</f>
        <v>100000</v>
      </c>
      <c r="I154" s="153">
        <f>IF(E154="","",HLOOKUP($B154,Input!$C$13:$BT$14,2))</f>
        <v>2.2999999999999998</v>
      </c>
      <c r="J154" s="154"/>
      <c r="K154" s="155">
        <f>IF($E154="","",INDEX(Input!$C$16:$CP$16,1,$B154))</f>
        <v>2.4719999999999999E-2</v>
      </c>
      <c r="L154" s="155">
        <f>IF($E154="","",Input!$C$37)</f>
        <v>1.4999999999999999E-2</v>
      </c>
      <c r="M154" s="155">
        <f t="shared" si="105"/>
        <v>3.9719999999999998E-2</v>
      </c>
      <c r="N154" s="155">
        <f t="shared" si="106"/>
        <v>3.2512276573994914E-3</v>
      </c>
      <c r="O154" s="147">
        <f>IF($E154="","",MIN(VLOOKUP(IF($B154&lt;=Input!$C$7,$B154,26),'Mortality Tables'!$A$41:$CW$67,IF($B154&lt;=Input!$C$7+1,Input!$C$4+2,$D154-Input!$C$7+2),0)*IF(B154&gt;20,Input!$C$22,1)/1000,1))</f>
        <v>1.9920000000000003E-3</v>
      </c>
      <c r="P154" s="147">
        <f>IF($E154="","",MIN(VLOOKUP(IF($B154&lt;=Input!$C$7,$B154,26),'Mortality Tables'!$A$12:$CW$37,IF($B154&lt;=Input!$C$7+1,Input!$C$4+2,$D154-Input!$C$7+2),0)*IF(B154&gt;20,Input!$C$22,1)/1000,1))</f>
        <v>2.49E-3</v>
      </c>
      <c r="Q154" s="155">
        <f>IF($E154="","",Input!$C$21)</f>
        <v>5.0000000000000001E-3</v>
      </c>
      <c r="R154" s="159">
        <f>IF($E154="","",(1-Q154)^($F154-Input!$C$20))</f>
        <v>0.94162280691437594</v>
      </c>
      <c r="S154" s="147">
        <f t="shared" si="82"/>
        <v>1.8757126313734371E-3</v>
      </c>
      <c r="T154" s="147">
        <f t="shared" si="83"/>
        <v>1.5644392663760609E-4</v>
      </c>
      <c r="U154" s="160">
        <f>IF($E154="","",IF($C154=12,INDEX(Input!$C$15:$CP$15,1,$B154),0))</f>
        <v>0</v>
      </c>
      <c r="V154" s="150">
        <f>IF(E154="","",IF(C154=1,IF($B154=1,Input!$C$33,Input!$C$34),0))</f>
        <v>0</v>
      </c>
      <c r="W154" s="156">
        <f>IF($E154="","",Input!$C$35)</f>
        <v>0.02</v>
      </c>
      <c r="X154" s="156">
        <f t="shared" si="84"/>
        <v>1.2682417945625455</v>
      </c>
      <c r="Y154" s="154"/>
      <c r="Z154" s="147">
        <f>IF($E154="","",VLOOKUP($D154,'Mortality Margins &amp; Grading'!$AB$5:$AF$125,3,0)*IF(Summary!$D$25="Included Margin",IF(AND($B154&gt;Input!$C$9,Summary!$D$31&lt;&gt;"Included Margin"),0,1),0))</f>
        <v>3.6999999999999998E-2</v>
      </c>
      <c r="AA154" s="147">
        <f>IF($E154="","",VLOOKUP($D154,'Mortality Margins &amp; Grading'!$AB$5:$AF$125,5,0)*IF(Summary!$D$25="Included Margin",IF(AND($B154&gt;Input!$C$9,Summary!$D$31&lt;&gt;"Included Margin"),0,1),0))</f>
        <v>0.189</v>
      </c>
      <c r="AB154" s="147">
        <f>IF($E154="","",IF(AND($B154&gt;Input!$C$9,Summary!$D$31&lt;&gt;"Included Margin"),1,IF(Summary!$D$25="Included Margin",VLOOKUP($B154,'Mortality Margins &amp; Grading'!$AI$5:$AR$125,MATCH('Mortality Margins &amp; Grading'!$AQ$4,'Mortality Margins &amp; Grading'!$AI$4:$AR$4,0),0),1)))</f>
        <v>1</v>
      </c>
      <c r="AC154" s="154"/>
      <c r="AD154" s="158">
        <f>IF(E154="","",Input!$C$48*IF(Summary!$D$30="Included Margin",IF(AND($B154&gt;Input!$C$9,Summary!$D$31&lt;&gt;"Included Margin"),0,1),0))</f>
        <v>-4.4999999999999997E-3</v>
      </c>
      <c r="AE154" s="159">
        <f>IF(E154="","",IF(Summary!$D$26="Included Margin",IF(AND($B154&gt;Input!$C$9,Summary!$D$31&lt;&gt;"Included Margin"),1,1/$R154),1))</f>
        <v>1.0619963669708909</v>
      </c>
      <c r="AF154" s="160">
        <f>IF(E154="","",IF(AND($B154&gt;=Input!$C$9,$C154=12,Summary!$D$31="Included Margin",$U154&gt;0),1/U154-1,IF($B154&gt;=Input!$C$9,0,Input!$C$45*IF(Summary!$D$27="Included Margin",1,0))))</f>
        <v>-0.1</v>
      </c>
      <c r="AG154" s="160">
        <f>IF(E154="","",Input!$C$46*IF(Summary!$D$28="Included Margin",IF(AND($B154&gt;Input!$C$9,Summary!$D$31&lt;&gt;"Included Margin"),0,1),0))</f>
        <v>0.02</v>
      </c>
      <c r="AH154" s="158">
        <f>IF(E154="","",Input!$C$47*IF(Summary!$D$29="Included Margin",IF(AND($B154&gt;Input!$C$9,Summary!$D$31&lt;&gt;"Included Margin"),0,1),0))</f>
        <v>2.5000000000000001E-3</v>
      </c>
      <c r="AI154" s="154"/>
      <c r="AJ154" s="158">
        <f t="shared" si="107"/>
        <v>3.5220000000000001E-2</v>
      </c>
      <c r="AK154" s="155">
        <f t="shared" si="108"/>
        <v>2.8886612074769946E-3</v>
      </c>
      <c r="AL154" s="147">
        <f t="shared" si="109"/>
        <v>2.0657040000000002E-3</v>
      </c>
      <c r="AM154" s="147">
        <f t="shared" si="85"/>
        <v>1.7230519619415574E-4</v>
      </c>
      <c r="AN154" s="160">
        <f t="shared" si="110"/>
        <v>0</v>
      </c>
      <c r="AO154" s="161">
        <f t="shared" si="111"/>
        <v>0</v>
      </c>
      <c r="AP154" s="156">
        <f t="shared" si="86"/>
        <v>1.3060499898875673</v>
      </c>
      <c r="AQ154" s="152"/>
      <c r="AR154" s="162">
        <f t="shared" si="87"/>
        <v>1161.0908849879747</v>
      </c>
      <c r="AS154" s="150">
        <f t="shared" si="112"/>
        <v>0</v>
      </c>
      <c r="AT154" s="163">
        <f t="shared" si="88"/>
        <v>0</v>
      </c>
      <c r="AU154" s="163">
        <f t="shared" si="89"/>
        <v>17.230519619415574</v>
      </c>
      <c r="AV154" s="163">
        <f t="shared" si="113"/>
        <v>3.3291116310152566</v>
      </c>
      <c r="AW154" s="163">
        <f t="shared" si="90"/>
        <v>0.19770077896226909</v>
      </c>
      <c r="AX154" s="163">
        <f t="shared" si="91"/>
        <v>0</v>
      </c>
      <c r="AY154" s="164">
        <f t="shared" si="114"/>
        <v>1147.3871777785366</v>
      </c>
      <c r="AZ154" s="164">
        <f>IF($E154="","",IF(OR(AND($D154=Input!$C$6,$C154=12),$AN154=1),0,-AS155+AT155+AU155-AV155-AW155-AX155+AZ155))</f>
        <v>1147.3872136711261</v>
      </c>
      <c r="BA154" s="154">
        <f t="shared" si="92"/>
        <v>3.5892589494324056E-5</v>
      </c>
      <c r="BC154" s="147">
        <f t="shared" si="115"/>
        <v>0.53855561253816953</v>
      </c>
      <c r="BD154" s="164">
        <f>IF(AND($C153=12,$D153=Input!$C$6),0,IF($E154="","",AT154+(AU154+BD155)/(1+$AK154)*MIN((1-AM154-AN154),1)))</f>
        <v>2447.3514181952623</v>
      </c>
      <c r="BE154" s="164">
        <f t="shared" si="93"/>
        <v>1318.0348421223075</v>
      </c>
      <c r="BF154" s="164">
        <f t="shared" si="116"/>
        <v>1147.3872136711261</v>
      </c>
      <c r="BG154" s="164">
        <f t="shared" si="94"/>
        <v>617.93182367711688</v>
      </c>
      <c r="BH154" s="152"/>
      <c r="BI154" s="162">
        <f t="shared" si="95"/>
        <v>832.74864449873132</v>
      </c>
      <c r="BJ154" s="150">
        <f t="shared" si="96"/>
        <v>0</v>
      </c>
      <c r="BK154" s="163">
        <f t="shared" si="120"/>
        <v>0</v>
      </c>
      <c r="BL154" s="163">
        <f t="shared" si="97"/>
        <v>15.644392663760609</v>
      </c>
      <c r="BM154" s="163">
        <f t="shared" si="121"/>
        <v>2.6820236836003941</v>
      </c>
      <c r="BN154" s="163">
        <f t="shared" si="98"/>
        <v>0.12827065756832359</v>
      </c>
      <c r="BO154" s="163">
        <f t="shared" si="99"/>
        <v>0</v>
      </c>
      <c r="BP154" s="164">
        <f t="shared" si="122"/>
        <v>819.91454617613942</v>
      </c>
      <c r="BQ154" s="164">
        <f>IF($E154="","",IF(AND($D154=Input!$C$6,$C154=12),0,-BJ155+BK155+BL155-BM155-BN155-BO155+BQ155))</f>
        <v>819.91458745123202</v>
      </c>
      <c r="BR154" s="161">
        <f t="shared" si="100"/>
        <v>0</v>
      </c>
      <c r="BT154" s="147">
        <f t="shared" si="101"/>
        <v>0.53855561253816953</v>
      </c>
      <c r="BU154" s="164">
        <f>IF(AND($C153=12,$D153=Input!$C$6),0,IF($E154="","",BK154+(BL154+BU155)/(1+$AK154)*MIN((1-T154-U154),1)))</f>
        <v>5035.0100836744541</v>
      </c>
      <c r="BV154" s="164">
        <f t="shared" si="102"/>
        <v>2711.6329397491559</v>
      </c>
      <c r="BW154" s="164">
        <f t="shared" si="103"/>
        <v>819.91458745123202</v>
      </c>
      <c r="BX154" s="164">
        <f t="shared" si="104"/>
        <v>441.56960287377882</v>
      </c>
    </row>
    <row r="155" spans="1:76" s="150" customFormat="1" x14ac:dyDescent="0.25">
      <c r="A155" s="150">
        <f t="shared" si="117"/>
        <v>151</v>
      </c>
      <c r="B155" s="150">
        <f t="shared" si="118"/>
        <v>13</v>
      </c>
      <c r="C155" s="150">
        <f t="shared" si="119"/>
        <v>7</v>
      </c>
      <c r="D155" s="150">
        <f>IF(E155="","",Input!$C$4+B155-1)</f>
        <v>57</v>
      </c>
      <c r="E155" s="150">
        <f>IF(OR(AND(C154=12,D154=Input!$C$6),E154=""),"",1)</f>
        <v>1</v>
      </c>
      <c r="F155" s="150">
        <f>IF(E155="","",Input!$C$8+B155-1)</f>
        <v>2030</v>
      </c>
      <c r="G155" s="151">
        <f>IF(E155="","",MAX(0,Input!$C$9-B155))</f>
        <v>7</v>
      </c>
      <c r="H155" s="152">
        <f>IF(E155="","",Input!$C$3)</f>
        <v>100000</v>
      </c>
      <c r="I155" s="153">
        <f>IF(E155="","",HLOOKUP($B155,Input!$C$13:$BT$14,2))</f>
        <v>2.2999999999999998</v>
      </c>
      <c r="J155" s="154"/>
      <c r="K155" s="155">
        <f>IF($E155="","",INDEX(Input!$C$16:$CP$16,1,$B155))</f>
        <v>2.4719999999999999E-2</v>
      </c>
      <c r="L155" s="155">
        <f>IF($E155="","",Input!$C$37)</f>
        <v>1.4999999999999999E-2</v>
      </c>
      <c r="M155" s="155">
        <f t="shared" si="105"/>
        <v>3.9719999999999998E-2</v>
      </c>
      <c r="N155" s="155">
        <f t="shared" si="106"/>
        <v>3.2512276573994914E-3</v>
      </c>
      <c r="O155" s="147">
        <f>IF($E155="","",MIN(VLOOKUP(IF($B155&lt;=Input!$C$7,$B155,26),'Mortality Tables'!$A$41:$CW$67,IF($B155&lt;=Input!$C$7+1,Input!$C$4+2,$D155-Input!$C$7+2),0)*IF(B155&gt;20,Input!$C$22,1)/1000,1))</f>
        <v>1.9920000000000003E-3</v>
      </c>
      <c r="P155" s="147">
        <f>IF($E155="","",MIN(VLOOKUP(IF($B155&lt;=Input!$C$7,$B155,26),'Mortality Tables'!$A$12:$CW$37,IF($B155&lt;=Input!$C$7+1,Input!$C$4+2,$D155-Input!$C$7+2),0)*IF(B155&gt;20,Input!$C$22,1)/1000,1))</f>
        <v>2.49E-3</v>
      </c>
      <c r="Q155" s="155">
        <f>IF($E155="","",Input!$C$21)</f>
        <v>5.0000000000000001E-3</v>
      </c>
      <c r="R155" s="159">
        <f>IF($E155="","",(1-Q155)^($F155-Input!$C$20))</f>
        <v>0.94162280691437594</v>
      </c>
      <c r="S155" s="147">
        <f t="shared" si="82"/>
        <v>1.8757126313734371E-3</v>
      </c>
      <c r="T155" s="147">
        <f t="shared" si="83"/>
        <v>1.5644392663760609E-4</v>
      </c>
      <c r="U155" s="160">
        <f>IF($E155="","",IF($C155=12,INDEX(Input!$C$15:$CP$15,1,$B155),0))</f>
        <v>0</v>
      </c>
      <c r="V155" s="150">
        <f>IF(E155="","",IF(C155=1,IF($B155=1,Input!$C$33,Input!$C$34),0))</f>
        <v>0</v>
      </c>
      <c r="W155" s="156">
        <f>IF($E155="","",Input!$C$35)</f>
        <v>0.02</v>
      </c>
      <c r="X155" s="156">
        <f t="shared" si="84"/>
        <v>1.2682417945625455</v>
      </c>
      <c r="Y155" s="154"/>
      <c r="Z155" s="147">
        <f>IF($E155="","",VLOOKUP($D155,'Mortality Margins &amp; Grading'!$AB$5:$AF$125,3,0)*IF(Summary!$D$25="Included Margin",IF(AND($B155&gt;Input!$C$9,Summary!$D$31&lt;&gt;"Included Margin"),0,1),0))</f>
        <v>3.6999999999999998E-2</v>
      </c>
      <c r="AA155" s="147">
        <f>IF($E155="","",VLOOKUP($D155,'Mortality Margins &amp; Grading'!$AB$5:$AF$125,5,0)*IF(Summary!$D$25="Included Margin",IF(AND($B155&gt;Input!$C$9,Summary!$D$31&lt;&gt;"Included Margin"),0,1),0))</f>
        <v>0.189</v>
      </c>
      <c r="AB155" s="147">
        <f>IF($E155="","",IF(AND($B155&gt;Input!$C$9,Summary!$D$31&lt;&gt;"Included Margin"),1,IF(Summary!$D$25="Included Margin",VLOOKUP($B155,'Mortality Margins &amp; Grading'!$AI$5:$AR$125,MATCH('Mortality Margins &amp; Grading'!$AQ$4,'Mortality Margins &amp; Grading'!$AI$4:$AR$4,0),0),1)))</f>
        <v>1</v>
      </c>
      <c r="AC155" s="154"/>
      <c r="AD155" s="158">
        <f>IF(E155="","",Input!$C$48*IF(Summary!$D$30="Included Margin",IF(AND($B155&gt;Input!$C$9,Summary!$D$31&lt;&gt;"Included Margin"),0,1),0))</f>
        <v>-4.4999999999999997E-3</v>
      </c>
      <c r="AE155" s="159">
        <f>IF(E155="","",IF(Summary!$D$26="Included Margin",IF(AND($B155&gt;Input!$C$9,Summary!$D$31&lt;&gt;"Included Margin"),1,1/$R155),1))</f>
        <v>1.0619963669708909</v>
      </c>
      <c r="AF155" s="160">
        <f>IF(E155="","",IF(AND($B155&gt;=Input!$C$9,$C155=12,Summary!$D$31="Included Margin",$U155&gt;0),1/U155-1,IF($B155&gt;=Input!$C$9,0,Input!$C$45*IF(Summary!$D$27="Included Margin",1,0))))</f>
        <v>-0.1</v>
      </c>
      <c r="AG155" s="160">
        <f>IF(E155="","",Input!$C$46*IF(Summary!$D$28="Included Margin",IF(AND($B155&gt;Input!$C$9,Summary!$D$31&lt;&gt;"Included Margin"),0,1),0))</f>
        <v>0.02</v>
      </c>
      <c r="AH155" s="158">
        <f>IF(E155="","",Input!$C$47*IF(Summary!$D$29="Included Margin",IF(AND($B155&gt;Input!$C$9,Summary!$D$31&lt;&gt;"Included Margin"),0,1),0))</f>
        <v>2.5000000000000001E-3</v>
      </c>
      <c r="AI155" s="154"/>
      <c r="AJ155" s="158">
        <f t="shared" si="107"/>
        <v>3.5220000000000001E-2</v>
      </c>
      <c r="AK155" s="155">
        <f t="shared" si="108"/>
        <v>2.8886612074769946E-3</v>
      </c>
      <c r="AL155" s="147">
        <f t="shared" si="109"/>
        <v>2.0657040000000002E-3</v>
      </c>
      <c r="AM155" s="147">
        <f t="shared" si="85"/>
        <v>1.7230519619415574E-4</v>
      </c>
      <c r="AN155" s="160">
        <f t="shared" si="110"/>
        <v>0</v>
      </c>
      <c r="AO155" s="161">
        <f t="shared" si="111"/>
        <v>0</v>
      </c>
      <c r="AP155" s="156">
        <f t="shared" si="86"/>
        <v>1.3060499898875673</v>
      </c>
      <c r="AQ155" s="152"/>
      <c r="AR155" s="162">
        <f t="shared" si="87"/>
        <v>1147.3871777785366</v>
      </c>
      <c r="AS155" s="150">
        <f t="shared" si="112"/>
        <v>0</v>
      </c>
      <c r="AT155" s="163">
        <f t="shared" si="88"/>
        <v>0</v>
      </c>
      <c r="AU155" s="163">
        <f t="shared" si="89"/>
        <v>17.230519619415574</v>
      </c>
      <c r="AV155" s="163">
        <f t="shared" si="113"/>
        <v>3.2895262636007301</v>
      </c>
      <c r="AW155" s="163">
        <f t="shared" si="90"/>
        <v>0.19533233014242224</v>
      </c>
      <c r="AX155" s="163">
        <f t="shared" si="91"/>
        <v>0</v>
      </c>
      <c r="AY155" s="164">
        <f t="shared" si="114"/>
        <v>1133.6415167528642</v>
      </c>
      <c r="AZ155" s="164">
        <f>IF($E155="","",IF(OR(AND($D155=Input!$C$6,$C155=12),$AN155=1),0,-AS156+AT156+AU156-AV156-AW156-AX156+AZ156))</f>
        <v>1133.6415526454537</v>
      </c>
      <c r="BA155" s="154">
        <f t="shared" si="92"/>
        <v>3.5892589494324056E-5</v>
      </c>
      <c r="BC155" s="147">
        <f t="shared" si="115"/>
        <v>0.53847135878343133</v>
      </c>
      <c r="BD155" s="164">
        <f>IF(AND($C154=12,$D154=Input!$C$6),0,IF($E155="","",AT155+(AU155+BD156)/(1+$AK155)*MIN((1-AM155-AN155),1)))</f>
        <v>2437.6134500504713</v>
      </c>
      <c r="BE155" s="164">
        <f t="shared" si="93"/>
        <v>1312.5850266374453</v>
      </c>
      <c r="BF155" s="164">
        <f t="shared" si="116"/>
        <v>1133.6415526454537</v>
      </c>
      <c r="BG155" s="164">
        <f t="shared" si="94"/>
        <v>610.43350722635626</v>
      </c>
      <c r="BH155" s="152"/>
      <c r="BI155" s="162">
        <f t="shared" si="95"/>
        <v>819.91454617613942</v>
      </c>
      <c r="BJ155" s="150">
        <f t="shared" si="96"/>
        <v>0</v>
      </c>
      <c r="BK155" s="163">
        <f t="shared" si="120"/>
        <v>0</v>
      </c>
      <c r="BL155" s="163">
        <f t="shared" si="97"/>
        <v>15.644392663760609</v>
      </c>
      <c r="BM155" s="163">
        <f t="shared" si="121"/>
        <v>2.640297108176199</v>
      </c>
      <c r="BN155" s="163">
        <f t="shared" si="98"/>
        <v>0.12625599778129179</v>
      </c>
      <c r="BO155" s="163">
        <f t="shared" si="99"/>
        <v>0</v>
      </c>
      <c r="BP155" s="164">
        <f t="shared" si="122"/>
        <v>807.03670661833632</v>
      </c>
      <c r="BQ155" s="164">
        <f>IF($E155="","",IF(AND($D155=Input!$C$6,$C155=12),0,-BJ156+BK156+BL156-BM156-BN156-BO156+BQ156))</f>
        <v>807.03674789342892</v>
      </c>
      <c r="BR155" s="161">
        <f t="shared" si="100"/>
        <v>0</v>
      </c>
      <c r="BT155" s="147">
        <f t="shared" si="101"/>
        <v>0.53847135878343133</v>
      </c>
      <c r="BU155" s="164">
        <f>IF(AND($C154=12,$D154=Input!$C$6),0,IF($E155="","",BK155+(BL155+BU156)/(1+$AK155)*MIN((1-T155-U155),1)))</f>
        <v>5034.7002250615296</v>
      </c>
      <c r="BV155" s="164">
        <f t="shared" si="102"/>
        <v>2711.0418712561295</v>
      </c>
      <c r="BW155" s="164">
        <f t="shared" si="103"/>
        <v>807.03674789342892</v>
      </c>
      <c r="BX155" s="164">
        <f t="shared" si="104"/>
        <v>434.56617422633616</v>
      </c>
    </row>
    <row r="156" spans="1:76" s="150" customFormat="1" x14ac:dyDescent="0.25">
      <c r="A156" s="150">
        <f t="shared" si="117"/>
        <v>152</v>
      </c>
      <c r="B156" s="150">
        <f t="shared" si="118"/>
        <v>13</v>
      </c>
      <c r="C156" s="150">
        <f t="shared" si="119"/>
        <v>8</v>
      </c>
      <c r="D156" s="150">
        <f>IF(E156="","",Input!$C$4+B156-1)</f>
        <v>57</v>
      </c>
      <c r="E156" s="150">
        <f>IF(OR(AND(C155=12,D155=Input!$C$6),E155=""),"",1)</f>
        <v>1</v>
      </c>
      <c r="F156" s="150">
        <f>IF(E156="","",Input!$C$8+B156-1)</f>
        <v>2030</v>
      </c>
      <c r="G156" s="151">
        <f>IF(E156="","",MAX(0,Input!$C$9-B156))</f>
        <v>7</v>
      </c>
      <c r="H156" s="152">
        <f>IF(E156="","",Input!$C$3)</f>
        <v>100000</v>
      </c>
      <c r="I156" s="153">
        <f>IF(E156="","",HLOOKUP($B156,Input!$C$13:$BT$14,2))</f>
        <v>2.2999999999999998</v>
      </c>
      <c r="J156" s="154"/>
      <c r="K156" s="155">
        <f>IF($E156="","",INDEX(Input!$C$16:$CP$16,1,$B156))</f>
        <v>2.4719999999999999E-2</v>
      </c>
      <c r="L156" s="155">
        <f>IF($E156="","",Input!$C$37)</f>
        <v>1.4999999999999999E-2</v>
      </c>
      <c r="M156" s="155">
        <f t="shared" si="105"/>
        <v>3.9719999999999998E-2</v>
      </c>
      <c r="N156" s="155">
        <f t="shared" si="106"/>
        <v>3.2512276573994914E-3</v>
      </c>
      <c r="O156" s="147">
        <f>IF($E156="","",MIN(VLOOKUP(IF($B156&lt;=Input!$C$7,$B156,26),'Mortality Tables'!$A$41:$CW$67,IF($B156&lt;=Input!$C$7+1,Input!$C$4+2,$D156-Input!$C$7+2),0)*IF(B156&gt;20,Input!$C$22,1)/1000,1))</f>
        <v>1.9920000000000003E-3</v>
      </c>
      <c r="P156" s="147">
        <f>IF($E156="","",MIN(VLOOKUP(IF($B156&lt;=Input!$C$7,$B156,26),'Mortality Tables'!$A$12:$CW$37,IF($B156&lt;=Input!$C$7+1,Input!$C$4+2,$D156-Input!$C$7+2),0)*IF(B156&gt;20,Input!$C$22,1)/1000,1))</f>
        <v>2.49E-3</v>
      </c>
      <c r="Q156" s="155">
        <f>IF($E156="","",Input!$C$21)</f>
        <v>5.0000000000000001E-3</v>
      </c>
      <c r="R156" s="159">
        <f>IF($E156="","",(1-Q156)^($F156-Input!$C$20))</f>
        <v>0.94162280691437594</v>
      </c>
      <c r="S156" s="147">
        <f t="shared" si="82"/>
        <v>1.8757126313734371E-3</v>
      </c>
      <c r="T156" s="147">
        <f t="shared" si="83"/>
        <v>1.5644392663760609E-4</v>
      </c>
      <c r="U156" s="160">
        <f>IF($E156="","",IF($C156=12,INDEX(Input!$C$15:$CP$15,1,$B156),0))</f>
        <v>0</v>
      </c>
      <c r="V156" s="150">
        <f>IF(E156="","",IF(C156=1,IF($B156=1,Input!$C$33,Input!$C$34),0))</f>
        <v>0</v>
      </c>
      <c r="W156" s="156">
        <f>IF($E156="","",Input!$C$35)</f>
        <v>0.02</v>
      </c>
      <c r="X156" s="156">
        <f t="shared" si="84"/>
        <v>1.2682417945625455</v>
      </c>
      <c r="Y156" s="154"/>
      <c r="Z156" s="147">
        <f>IF($E156="","",VLOOKUP($D156,'Mortality Margins &amp; Grading'!$AB$5:$AF$125,3,0)*IF(Summary!$D$25="Included Margin",IF(AND($B156&gt;Input!$C$9,Summary!$D$31&lt;&gt;"Included Margin"),0,1),0))</f>
        <v>3.6999999999999998E-2</v>
      </c>
      <c r="AA156" s="147">
        <f>IF($E156="","",VLOOKUP($D156,'Mortality Margins &amp; Grading'!$AB$5:$AF$125,5,0)*IF(Summary!$D$25="Included Margin",IF(AND($B156&gt;Input!$C$9,Summary!$D$31&lt;&gt;"Included Margin"),0,1),0))</f>
        <v>0.189</v>
      </c>
      <c r="AB156" s="147">
        <f>IF($E156="","",IF(AND($B156&gt;Input!$C$9,Summary!$D$31&lt;&gt;"Included Margin"),1,IF(Summary!$D$25="Included Margin",VLOOKUP($B156,'Mortality Margins &amp; Grading'!$AI$5:$AR$125,MATCH('Mortality Margins &amp; Grading'!$AQ$4,'Mortality Margins &amp; Grading'!$AI$4:$AR$4,0),0),1)))</f>
        <v>1</v>
      </c>
      <c r="AC156" s="154"/>
      <c r="AD156" s="158">
        <f>IF(E156="","",Input!$C$48*IF(Summary!$D$30="Included Margin",IF(AND($B156&gt;Input!$C$9,Summary!$D$31&lt;&gt;"Included Margin"),0,1),0))</f>
        <v>-4.4999999999999997E-3</v>
      </c>
      <c r="AE156" s="159">
        <f>IF(E156="","",IF(Summary!$D$26="Included Margin",IF(AND($B156&gt;Input!$C$9,Summary!$D$31&lt;&gt;"Included Margin"),1,1/$R156),1))</f>
        <v>1.0619963669708909</v>
      </c>
      <c r="AF156" s="160">
        <f>IF(E156="","",IF(AND($B156&gt;=Input!$C$9,$C156=12,Summary!$D$31="Included Margin",$U156&gt;0),1/U156-1,IF($B156&gt;=Input!$C$9,0,Input!$C$45*IF(Summary!$D$27="Included Margin",1,0))))</f>
        <v>-0.1</v>
      </c>
      <c r="AG156" s="160">
        <f>IF(E156="","",Input!$C$46*IF(Summary!$D$28="Included Margin",IF(AND($B156&gt;Input!$C$9,Summary!$D$31&lt;&gt;"Included Margin"),0,1),0))</f>
        <v>0.02</v>
      </c>
      <c r="AH156" s="158">
        <f>IF(E156="","",Input!$C$47*IF(Summary!$D$29="Included Margin",IF(AND($B156&gt;Input!$C$9,Summary!$D$31&lt;&gt;"Included Margin"),0,1),0))</f>
        <v>2.5000000000000001E-3</v>
      </c>
      <c r="AI156" s="154"/>
      <c r="AJ156" s="158">
        <f t="shared" si="107"/>
        <v>3.5220000000000001E-2</v>
      </c>
      <c r="AK156" s="155">
        <f t="shared" si="108"/>
        <v>2.8886612074769946E-3</v>
      </c>
      <c r="AL156" s="147">
        <f t="shared" si="109"/>
        <v>2.0657040000000002E-3</v>
      </c>
      <c r="AM156" s="147">
        <f t="shared" si="85"/>
        <v>1.7230519619415574E-4</v>
      </c>
      <c r="AN156" s="160">
        <f t="shared" si="110"/>
        <v>0</v>
      </c>
      <c r="AO156" s="161">
        <f t="shared" si="111"/>
        <v>0</v>
      </c>
      <c r="AP156" s="156">
        <f t="shared" si="86"/>
        <v>1.3060499898875673</v>
      </c>
      <c r="AQ156" s="152"/>
      <c r="AR156" s="162">
        <f t="shared" si="87"/>
        <v>1133.6415167528644</v>
      </c>
      <c r="AS156" s="150">
        <f t="shared" si="112"/>
        <v>0</v>
      </c>
      <c r="AT156" s="163">
        <f t="shared" si="88"/>
        <v>0</v>
      </c>
      <c r="AU156" s="163">
        <f t="shared" si="89"/>
        <v>17.230519619415574</v>
      </c>
      <c r="AV156" s="163">
        <f t="shared" si="113"/>
        <v>3.2498197058247422</v>
      </c>
      <c r="AW156" s="163">
        <f t="shared" si="90"/>
        <v>0.19295663033092547</v>
      </c>
      <c r="AX156" s="163">
        <f t="shared" si="91"/>
        <v>0</v>
      </c>
      <c r="AY156" s="164">
        <f t="shared" si="114"/>
        <v>1119.8537734696044</v>
      </c>
      <c r="AZ156" s="164">
        <f>IF($E156="","",IF(OR(AND($D156=Input!$C$6,$C156=12),$AN156=1),0,-AS157+AT157+AU157-AV157-AW157-AX157+AZ157))</f>
        <v>1119.8538093621937</v>
      </c>
      <c r="BA156" s="154">
        <f t="shared" si="92"/>
        <v>3.5892589266950381E-5</v>
      </c>
      <c r="BC156" s="147">
        <f t="shared" si="115"/>
        <v>0.53838711820968133</v>
      </c>
      <c r="BD156" s="164">
        <f>IF(AND($C155=12,$D155=Input!$C$6),0,IF($E156="","",AT156+(AU156+BD157)/(1+$AK156)*MIN((1-AM156-AN156),1)))</f>
        <v>2427.8456691754604</v>
      </c>
      <c r="BE156" s="164">
        <f t="shared" si="93"/>
        <v>1307.1208332852316</v>
      </c>
      <c r="BF156" s="164">
        <f t="shared" si="116"/>
        <v>1119.8538093621937</v>
      </c>
      <c r="BG156" s="164">
        <f t="shared" si="94"/>
        <v>602.91486523864535</v>
      </c>
      <c r="BH156" s="152"/>
      <c r="BI156" s="162">
        <f t="shared" si="95"/>
        <v>807.03670661833632</v>
      </c>
      <c r="BJ156" s="150">
        <f t="shared" si="96"/>
        <v>0</v>
      </c>
      <c r="BK156" s="163">
        <f t="shared" si="120"/>
        <v>0</v>
      </c>
      <c r="BL156" s="163">
        <f t="shared" si="97"/>
        <v>15.644392663760609</v>
      </c>
      <c r="BM156" s="163">
        <f t="shared" si="121"/>
        <v>2.598428320038316</v>
      </c>
      <c r="BN156" s="163">
        <f t="shared" si="98"/>
        <v>0.12423447162114984</v>
      </c>
      <c r="BO156" s="163">
        <f t="shared" si="99"/>
        <v>0</v>
      </c>
      <c r="BP156" s="164">
        <f t="shared" si="122"/>
        <v>794.11497674623513</v>
      </c>
      <c r="BQ156" s="164">
        <f>IF($E156="","",IF(AND($D156=Input!$C$6,$C156=12),0,-BJ157+BK157+BL157-BM157-BN157-BO157+BQ157))</f>
        <v>794.11501802132773</v>
      </c>
      <c r="BR156" s="161">
        <f t="shared" si="100"/>
        <v>0</v>
      </c>
      <c r="BT156" s="147">
        <f t="shared" si="101"/>
        <v>0.53838711820968133</v>
      </c>
      <c r="BU156" s="164">
        <f>IF(AND($C155=12,$D155=Input!$C$6),0,IF($E156="","",BK156+(BL156+BU157)/(1+$AK156)*MIN((1-T156-U156),1)))</f>
        <v>5034.3894227489154</v>
      </c>
      <c r="BV156" s="164">
        <f t="shared" si="102"/>
        <v>2710.4504132590896</v>
      </c>
      <c r="BW156" s="164">
        <f t="shared" si="103"/>
        <v>794.11501802132773</v>
      </c>
      <c r="BX156" s="164">
        <f t="shared" si="104"/>
        <v>427.54129607953178</v>
      </c>
    </row>
    <row r="157" spans="1:76" s="150" customFormat="1" x14ac:dyDescent="0.25">
      <c r="A157" s="150">
        <f t="shared" si="117"/>
        <v>153</v>
      </c>
      <c r="B157" s="150">
        <f t="shared" si="118"/>
        <v>13</v>
      </c>
      <c r="C157" s="150">
        <f t="shared" si="119"/>
        <v>9</v>
      </c>
      <c r="D157" s="150">
        <f>IF(E157="","",Input!$C$4+B157-1)</f>
        <v>57</v>
      </c>
      <c r="E157" s="150">
        <f>IF(OR(AND(C156=12,D156=Input!$C$6),E156=""),"",1)</f>
        <v>1</v>
      </c>
      <c r="F157" s="150">
        <f>IF(E157="","",Input!$C$8+B157-1)</f>
        <v>2030</v>
      </c>
      <c r="G157" s="151">
        <f>IF(E157="","",MAX(0,Input!$C$9-B157))</f>
        <v>7</v>
      </c>
      <c r="H157" s="152">
        <f>IF(E157="","",Input!$C$3)</f>
        <v>100000</v>
      </c>
      <c r="I157" s="153">
        <f>IF(E157="","",HLOOKUP($B157,Input!$C$13:$BT$14,2))</f>
        <v>2.2999999999999998</v>
      </c>
      <c r="J157" s="154"/>
      <c r="K157" s="155">
        <f>IF($E157="","",INDEX(Input!$C$16:$CP$16,1,$B157))</f>
        <v>2.4719999999999999E-2</v>
      </c>
      <c r="L157" s="155">
        <f>IF($E157="","",Input!$C$37)</f>
        <v>1.4999999999999999E-2</v>
      </c>
      <c r="M157" s="155">
        <f t="shared" si="105"/>
        <v>3.9719999999999998E-2</v>
      </c>
      <c r="N157" s="155">
        <f t="shared" si="106"/>
        <v>3.2512276573994914E-3</v>
      </c>
      <c r="O157" s="147">
        <f>IF($E157="","",MIN(VLOOKUP(IF($B157&lt;=Input!$C$7,$B157,26),'Mortality Tables'!$A$41:$CW$67,IF($B157&lt;=Input!$C$7+1,Input!$C$4+2,$D157-Input!$C$7+2),0)*IF(B157&gt;20,Input!$C$22,1)/1000,1))</f>
        <v>1.9920000000000003E-3</v>
      </c>
      <c r="P157" s="147">
        <f>IF($E157="","",MIN(VLOOKUP(IF($B157&lt;=Input!$C$7,$B157,26),'Mortality Tables'!$A$12:$CW$37,IF($B157&lt;=Input!$C$7+1,Input!$C$4+2,$D157-Input!$C$7+2),0)*IF(B157&gt;20,Input!$C$22,1)/1000,1))</f>
        <v>2.49E-3</v>
      </c>
      <c r="Q157" s="155">
        <f>IF($E157="","",Input!$C$21)</f>
        <v>5.0000000000000001E-3</v>
      </c>
      <c r="R157" s="159">
        <f>IF($E157="","",(1-Q157)^($F157-Input!$C$20))</f>
        <v>0.94162280691437594</v>
      </c>
      <c r="S157" s="147">
        <f t="shared" si="82"/>
        <v>1.8757126313734371E-3</v>
      </c>
      <c r="T157" s="147">
        <f t="shared" si="83"/>
        <v>1.5644392663760609E-4</v>
      </c>
      <c r="U157" s="160">
        <f>IF($E157="","",IF($C157=12,INDEX(Input!$C$15:$CP$15,1,$B157),0))</f>
        <v>0</v>
      </c>
      <c r="V157" s="150">
        <f>IF(E157="","",IF(C157=1,IF($B157=1,Input!$C$33,Input!$C$34),0))</f>
        <v>0</v>
      </c>
      <c r="W157" s="156">
        <f>IF($E157="","",Input!$C$35)</f>
        <v>0.02</v>
      </c>
      <c r="X157" s="156">
        <f t="shared" si="84"/>
        <v>1.2682417945625455</v>
      </c>
      <c r="Y157" s="154"/>
      <c r="Z157" s="147">
        <f>IF($E157="","",VLOOKUP($D157,'Mortality Margins &amp; Grading'!$AB$5:$AF$125,3,0)*IF(Summary!$D$25="Included Margin",IF(AND($B157&gt;Input!$C$9,Summary!$D$31&lt;&gt;"Included Margin"),0,1),0))</f>
        <v>3.6999999999999998E-2</v>
      </c>
      <c r="AA157" s="147">
        <f>IF($E157="","",VLOOKUP($D157,'Mortality Margins &amp; Grading'!$AB$5:$AF$125,5,0)*IF(Summary!$D$25="Included Margin",IF(AND($B157&gt;Input!$C$9,Summary!$D$31&lt;&gt;"Included Margin"),0,1),0))</f>
        <v>0.189</v>
      </c>
      <c r="AB157" s="147">
        <f>IF($E157="","",IF(AND($B157&gt;Input!$C$9,Summary!$D$31&lt;&gt;"Included Margin"),1,IF(Summary!$D$25="Included Margin",VLOOKUP($B157,'Mortality Margins &amp; Grading'!$AI$5:$AR$125,MATCH('Mortality Margins &amp; Grading'!$AQ$4,'Mortality Margins &amp; Grading'!$AI$4:$AR$4,0),0),1)))</f>
        <v>1</v>
      </c>
      <c r="AC157" s="154"/>
      <c r="AD157" s="158">
        <f>IF(E157="","",Input!$C$48*IF(Summary!$D$30="Included Margin",IF(AND($B157&gt;Input!$C$9,Summary!$D$31&lt;&gt;"Included Margin"),0,1),0))</f>
        <v>-4.4999999999999997E-3</v>
      </c>
      <c r="AE157" s="159">
        <f>IF(E157="","",IF(Summary!$D$26="Included Margin",IF(AND($B157&gt;Input!$C$9,Summary!$D$31&lt;&gt;"Included Margin"),1,1/$R157),1))</f>
        <v>1.0619963669708909</v>
      </c>
      <c r="AF157" s="160">
        <f>IF(E157="","",IF(AND($B157&gt;=Input!$C$9,$C157=12,Summary!$D$31="Included Margin",$U157&gt;0),1/U157-1,IF($B157&gt;=Input!$C$9,0,Input!$C$45*IF(Summary!$D$27="Included Margin",1,0))))</f>
        <v>-0.1</v>
      </c>
      <c r="AG157" s="160">
        <f>IF(E157="","",Input!$C$46*IF(Summary!$D$28="Included Margin",IF(AND($B157&gt;Input!$C$9,Summary!$D$31&lt;&gt;"Included Margin"),0,1),0))</f>
        <v>0.02</v>
      </c>
      <c r="AH157" s="158">
        <f>IF(E157="","",Input!$C$47*IF(Summary!$D$29="Included Margin",IF(AND($B157&gt;Input!$C$9,Summary!$D$31&lt;&gt;"Included Margin"),0,1),0))</f>
        <v>2.5000000000000001E-3</v>
      </c>
      <c r="AI157" s="154"/>
      <c r="AJ157" s="158">
        <f t="shared" si="107"/>
        <v>3.5220000000000001E-2</v>
      </c>
      <c r="AK157" s="155">
        <f t="shared" si="108"/>
        <v>2.8886612074769946E-3</v>
      </c>
      <c r="AL157" s="147">
        <f t="shared" si="109"/>
        <v>2.0657040000000002E-3</v>
      </c>
      <c r="AM157" s="147">
        <f t="shared" si="85"/>
        <v>1.7230519619415574E-4</v>
      </c>
      <c r="AN157" s="160">
        <f t="shared" si="110"/>
        <v>0</v>
      </c>
      <c r="AO157" s="161">
        <f t="shared" si="111"/>
        <v>0</v>
      </c>
      <c r="AP157" s="156">
        <f t="shared" si="86"/>
        <v>1.3060499898875673</v>
      </c>
      <c r="AQ157" s="152"/>
      <c r="AR157" s="162">
        <f t="shared" si="87"/>
        <v>1119.8537734696044</v>
      </c>
      <c r="AS157" s="150">
        <f t="shared" si="112"/>
        <v>0</v>
      </c>
      <c r="AT157" s="163">
        <f t="shared" si="88"/>
        <v>0</v>
      </c>
      <c r="AU157" s="163">
        <f t="shared" si="89"/>
        <v>17.230519619415574</v>
      </c>
      <c r="AV157" s="163">
        <f t="shared" si="113"/>
        <v>3.2099915866637376</v>
      </c>
      <c r="AW157" s="163">
        <f t="shared" si="90"/>
        <v>0.19057365732891202</v>
      </c>
      <c r="AX157" s="163">
        <f t="shared" si="91"/>
        <v>0</v>
      </c>
      <c r="AY157" s="164">
        <f t="shared" si="114"/>
        <v>1106.0238190941816</v>
      </c>
      <c r="AZ157" s="164">
        <f>IF($E157="","",IF(OR(AND($D157=Input!$C$6,$C157=12),$AN157=1),0,-AS158+AT158+AU158-AV158-AW158-AX158+AZ158))</f>
        <v>1106.0238549867709</v>
      </c>
      <c r="BA157" s="154">
        <f t="shared" si="92"/>
        <v>3.5892589266950381E-5</v>
      </c>
      <c r="BC157" s="147">
        <f t="shared" si="115"/>
        <v>0.53830289081485749</v>
      </c>
      <c r="BD157" s="164">
        <f>IF(AND($C156=12,$D156=Input!$C$6),0,IF($E157="","",AT157+(AU157+BD158)/(1+$AK157)*MIN((1-AM157-AN157),1)))</f>
        <v>2418.0479842987384</v>
      </c>
      <c r="BE157" s="164">
        <f t="shared" si="93"/>
        <v>1301.6422200770501</v>
      </c>
      <c r="BF157" s="164">
        <f t="shared" si="116"/>
        <v>1106.0238549867709</v>
      </c>
      <c r="BG157" s="164">
        <f t="shared" si="94"/>
        <v>595.37583844957146</v>
      </c>
      <c r="BH157" s="152"/>
      <c r="BI157" s="162">
        <f t="shared" si="95"/>
        <v>794.11497674623513</v>
      </c>
      <c r="BJ157" s="150">
        <f t="shared" si="96"/>
        <v>0</v>
      </c>
      <c r="BK157" s="163">
        <f t="shared" si="120"/>
        <v>0</v>
      </c>
      <c r="BL157" s="163">
        <f t="shared" si="97"/>
        <v>15.644392663760609</v>
      </c>
      <c r="BM157" s="163">
        <f t="shared" si="121"/>
        <v>2.5564168344966958</v>
      </c>
      <c r="BN157" s="163">
        <f t="shared" si="98"/>
        <v>0.1222060556858921</v>
      </c>
      <c r="BO157" s="163">
        <f t="shared" si="99"/>
        <v>0</v>
      </c>
      <c r="BP157" s="164">
        <f t="shared" si="122"/>
        <v>781.149206972657</v>
      </c>
      <c r="BQ157" s="164">
        <f>IF($E157="","",IF(AND($D157=Input!$C$6,$C157=12),0,-BJ158+BK158+BL158-BM158-BN158-BO158+BQ158))</f>
        <v>781.14924824774971</v>
      </c>
      <c r="BR157" s="161">
        <f t="shared" si="100"/>
        <v>0</v>
      </c>
      <c r="BT157" s="147">
        <f t="shared" si="101"/>
        <v>0.53830289081485749</v>
      </c>
      <c r="BU157" s="164">
        <f>IF(AND($C156=12,$D156=Input!$C$6),0,IF($E157="","",BK157+(BL157+BU158)/(1+$AK157)*MIN((1-T157-U157),1)))</f>
        <v>5034.0776738624982</v>
      </c>
      <c r="BV157" s="164">
        <f t="shared" si="102"/>
        <v>2709.8585644267159</v>
      </c>
      <c r="BW157" s="164">
        <f t="shared" si="103"/>
        <v>781.14924824774971</v>
      </c>
      <c r="BX157" s="164">
        <f t="shared" si="104"/>
        <v>420.49489848961645</v>
      </c>
    </row>
    <row r="158" spans="1:76" s="150" customFormat="1" x14ac:dyDescent="0.25">
      <c r="A158" s="150">
        <f t="shared" si="117"/>
        <v>154</v>
      </c>
      <c r="B158" s="150">
        <f t="shared" si="118"/>
        <v>13</v>
      </c>
      <c r="C158" s="150">
        <f t="shared" si="119"/>
        <v>10</v>
      </c>
      <c r="D158" s="150">
        <f>IF(E158="","",Input!$C$4+B158-1)</f>
        <v>57</v>
      </c>
      <c r="E158" s="150">
        <f>IF(OR(AND(C157=12,D157=Input!$C$6),E157=""),"",1)</f>
        <v>1</v>
      </c>
      <c r="F158" s="150">
        <f>IF(E158="","",Input!$C$8+B158-1)</f>
        <v>2030</v>
      </c>
      <c r="G158" s="151">
        <f>IF(E158="","",MAX(0,Input!$C$9-B158))</f>
        <v>7</v>
      </c>
      <c r="H158" s="152">
        <f>IF(E158="","",Input!$C$3)</f>
        <v>100000</v>
      </c>
      <c r="I158" s="153">
        <f>IF(E158="","",HLOOKUP($B158,Input!$C$13:$BT$14,2))</f>
        <v>2.2999999999999998</v>
      </c>
      <c r="J158" s="154"/>
      <c r="K158" s="155">
        <f>IF($E158="","",INDEX(Input!$C$16:$CP$16,1,$B158))</f>
        <v>2.4719999999999999E-2</v>
      </c>
      <c r="L158" s="155">
        <f>IF($E158="","",Input!$C$37)</f>
        <v>1.4999999999999999E-2</v>
      </c>
      <c r="M158" s="155">
        <f t="shared" si="105"/>
        <v>3.9719999999999998E-2</v>
      </c>
      <c r="N158" s="155">
        <f t="shared" si="106"/>
        <v>3.2512276573994914E-3</v>
      </c>
      <c r="O158" s="147">
        <f>IF($E158="","",MIN(VLOOKUP(IF($B158&lt;=Input!$C$7,$B158,26),'Mortality Tables'!$A$41:$CW$67,IF($B158&lt;=Input!$C$7+1,Input!$C$4+2,$D158-Input!$C$7+2),0)*IF(B158&gt;20,Input!$C$22,1)/1000,1))</f>
        <v>1.9920000000000003E-3</v>
      </c>
      <c r="P158" s="147">
        <f>IF($E158="","",MIN(VLOOKUP(IF($B158&lt;=Input!$C$7,$B158,26),'Mortality Tables'!$A$12:$CW$37,IF($B158&lt;=Input!$C$7+1,Input!$C$4+2,$D158-Input!$C$7+2),0)*IF(B158&gt;20,Input!$C$22,1)/1000,1))</f>
        <v>2.49E-3</v>
      </c>
      <c r="Q158" s="155">
        <f>IF($E158="","",Input!$C$21)</f>
        <v>5.0000000000000001E-3</v>
      </c>
      <c r="R158" s="159">
        <f>IF($E158="","",(1-Q158)^($F158-Input!$C$20))</f>
        <v>0.94162280691437594</v>
      </c>
      <c r="S158" s="147">
        <f t="shared" si="82"/>
        <v>1.8757126313734371E-3</v>
      </c>
      <c r="T158" s="147">
        <f t="shared" si="83"/>
        <v>1.5644392663760609E-4</v>
      </c>
      <c r="U158" s="160">
        <f>IF($E158="","",IF($C158=12,INDEX(Input!$C$15:$CP$15,1,$B158),0))</f>
        <v>0</v>
      </c>
      <c r="V158" s="150">
        <f>IF(E158="","",IF(C158=1,IF($B158=1,Input!$C$33,Input!$C$34),0))</f>
        <v>0</v>
      </c>
      <c r="W158" s="156">
        <f>IF($E158="","",Input!$C$35)</f>
        <v>0.02</v>
      </c>
      <c r="X158" s="156">
        <f t="shared" si="84"/>
        <v>1.2682417945625455</v>
      </c>
      <c r="Y158" s="154"/>
      <c r="Z158" s="147">
        <f>IF($E158="","",VLOOKUP($D158,'Mortality Margins &amp; Grading'!$AB$5:$AF$125,3,0)*IF(Summary!$D$25="Included Margin",IF(AND($B158&gt;Input!$C$9,Summary!$D$31&lt;&gt;"Included Margin"),0,1),0))</f>
        <v>3.6999999999999998E-2</v>
      </c>
      <c r="AA158" s="147">
        <f>IF($E158="","",VLOOKUP($D158,'Mortality Margins &amp; Grading'!$AB$5:$AF$125,5,0)*IF(Summary!$D$25="Included Margin",IF(AND($B158&gt;Input!$C$9,Summary!$D$31&lt;&gt;"Included Margin"),0,1),0))</f>
        <v>0.189</v>
      </c>
      <c r="AB158" s="147">
        <f>IF($E158="","",IF(AND($B158&gt;Input!$C$9,Summary!$D$31&lt;&gt;"Included Margin"),1,IF(Summary!$D$25="Included Margin",VLOOKUP($B158,'Mortality Margins &amp; Grading'!$AI$5:$AR$125,MATCH('Mortality Margins &amp; Grading'!$AQ$4,'Mortality Margins &amp; Grading'!$AI$4:$AR$4,0),0),1)))</f>
        <v>1</v>
      </c>
      <c r="AC158" s="154"/>
      <c r="AD158" s="158">
        <f>IF(E158="","",Input!$C$48*IF(Summary!$D$30="Included Margin",IF(AND($B158&gt;Input!$C$9,Summary!$D$31&lt;&gt;"Included Margin"),0,1),0))</f>
        <v>-4.4999999999999997E-3</v>
      </c>
      <c r="AE158" s="159">
        <f>IF(E158="","",IF(Summary!$D$26="Included Margin",IF(AND($B158&gt;Input!$C$9,Summary!$D$31&lt;&gt;"Included Margin"),1,1/$R158),1))</f>
        <v>1.0619963669708909</v>
      </c>
      <c r="AF158" s="160">
        <f>IF(E158="","",IF(AND($B158&gt;=Input!$C$9,$C158=12,Summary!$D$31="Included Margin",$U158&gt;0),1/U158-1,IF($B158&gt;=Input!$C$9,0,Input!$C$45*IF(Summary!$D$27="Included Margin",1,0))))</f>
        <v>-0.1</v>
      </c>
      <c r="AG158" s="160">
        <f>IF(E158="","",Input!$C$46*IF(Summary!$D$28="Included Margin",IF(AND($B158&gt;Input!$C$9,Summary!$D$31&lt;&gt;"Included Margin"),0,1),0))</f>
        <v>0.02</v>
      </c>
      <c r="AH158" s="158">
        <f>IF(E158="","",Input!$C$47*IF(Summary!$D$29="Included Margin",IF(AND($B158&gt;Input!$C$9,Summary!$D$31&lt;&gt;"Included Margin"),0,1),0))</f>
        <v>2.5000000000000001E-3</v>
      </c>
      <c r="AI158" s="154"/>
      <c r="AJ158" s="158">
        <f t="shared" si="107"/>
        <v>3.5220000000000001E-2</v>
      </c>
      <c r="AK158" s="155">
        <f t="shared" si="108"/>
        <v>2.8886612074769946E-3</v>
      </c>
      <c r="AL158" s="147">
        <f t="shared" si="109"/>
        <v>2.0657040000000002E-3</v>
      </c>
      <c r="AM158" s="147">
        <f t="shared" si="85"/>
        <v>1.7230519619415574E-4</v>
      </c>
      <c r="AN158" s="160">
        <f t="shared" si="110"/>
        <v>0</v>
      </c>
      <c r="AO158" s="161">
        <f t="shared" si="111"/>
        <v>0</v>
      </c>
      <c r="AP158" s="156">
        <f t="shared" si="86"/>
        <v>1.3060499898875673</v>
      </c>
      <c r="AQ158" s="152"/>
      <c r="AR158" s="162">
        <f t="shared" si="87"/>
        <v>1106.0238190941816</v>
      </c>
      <c r="AS158" s="150">
        <f t="shared" si="112"/>
        <v>0</v>
      </c>
      <c r="AT158" s="163">
        <f t="shared" si="88"/>
        <v>0</v>
      </c>
      <c r="AU158" s="163">
        <f t="shared" si="89"/>
        <v>17.230519619415574</v>
      </c>
      <c r="AV158" s="163">
        <f t="shared" si="113"/>
        <v>3.170041533958277</v>
      </c>
      <c r="AW158" s="163">
        <f t="shared" si="90"/>
        <v>0.18818338886955333</v>
      </c>
      <c r="AX158" s="163">
        <f t="shared" si="91"/>
        <v>0</v>
      </c>
      <c r="AY158" s="164">
        <f t="shared" si="114"/>
        <v>1092.1515243975937</v>
      </c>
      <c r="AZ158" s="164">
        <f>IF($E158="","",IF(OR(AND($D158=Input!$C$6,$C158=12),$AN158=1),0,-AS159+AT159+AU159-AV159-AW159-AX159+AZ159))</f>
        <v>1092.1515602901832</v>
      </c>
      <c r="BA158" s="154">
        <f t="shared" si="92"/>
        <v>3.5892589494324056E-5</v>
      </c>
      <c r="BC158" s="147">
        <f t="shared" si="115"/>
        <v>0.53821867659689804</v>
      </c>
      <c r="BD158" s="164">
        <f>IF(AND($C157=12,$D157=Input!$C$6),0,IF($E158="","",AT158+(AU158+BD159)/(1+$AK158)*MIN((1-AM158-AN158),1)))</f>
        <v>2408.2203038693847</v>
      </c>
      <c r="BE158" s="164">
        <f t="shared" si="93"/>
        <v>1296.1491449023599</v>
      </c>
      <c r="BF158" s="164">
        <f t="shared" si="116"/>
        <v>1092.1515602901832</v>
      </c>
      <c r="BG158" s="164">
        <f t="shared" si="94"/>
        <v>587.81636742261969</v>
      </c>
      <c r="BH158" s="152"/>
      <c r="BI158" s="162">
        <f t="shared" si="95"/>
        <v>781.14920697265711</v>
      </c>
      <c r="BJ158" s="150">
        <f t="shared" si="96"/>
        <v>0</v>
      </c>
      <c r="BK158" s="163">
        <f t="shared" si="120"/>
        <v>0</v>
      </c>
      <c r="BL158" s="163">
        <f t="shared" si="97"/>
        <v>15.644392663760609</v>
      </c>
      <c r="BM158" s="163">
        <f t="shared" si="121"/>
        <v>2.5142621652093644</v>
      </c>
      <c r="BN158" s="163">
        <f t="shared" si="98"/>
        <v>0.12017072649375413</v>
      </c>
      <c r="BO158" s="163">
        <f t="shared" si="99"/>
        <v>0</v>
      </c>
      <c r="BP158" s="164">
        <f t="shared" si="122"/>
        <v>768.13924720059958</v>
      </c>
      <c r="BQ158" s="164">
        <f>IF($E158="","",IF(AND($D158=Input!$C$6,$C158=12),0,-BJ159+BK159+BL159-BM159-BN159-BO159+BQ159))</f>
        <v>768.13928847569218</v>
      </c>
      <c r="BR158" s="161">
        <f t="shared" si="100"/>
        <v>0</v>
      </c>
      <c r="BT158" s="147">
        <f t="shared" si="101"/>
        <v>0.53821867659689804</v>
      </c>
      <c r="BU158" s="164">
        <f>IF(AND($C157=12,$D157=Input!$C$6),0,IF($E158="","",BK158+(BL158+BU159)/(1+$AK158)*MIN((1-T158-U158),1)))</f>
        <v>5033.7649755194097</v>
      </c>
      <c r="BV158" s="164">
        <f t="shared" si="102"/>
        <v>2709.2663234238735</v>
      </c>
      <c r="BW158" s="164">
        <f t="shared" si="103"/>
        <v>768.13928847569218</v>
      </c>
      <c r="BX158" s="164">
        <f t="shared" si="104"/>
        <v>413.42691128546994</v>
      </c>
    </row>
    <row r="159" spans="1:76" s="150" customFormat="1" x14ac:dyDescent="0.25">
      <c r="A159" s="150">
        <f t="shared" si="117"/>
        <v>155</v>
      </c>
      <c r="B159" s="150">
        <f t="shared" si="118"/>
        <v>13</v>
      </c>
      <c r="C159" s="150">
        <f t="shared" si="119"/>
        <v>11</v>
      </c>
      <c r="D159" s="150">
        <f>IF(E159="","",Input!$C$4+B159-1)</f>
        <v>57</v>
      </c>
      <c r="E159" s="150">
        <f>IF(OR(AND(C158=12,D158=Input!$C$6),E158=""),"",1)</f>
        <v>1</v>
      </c>
      <c r="F159" s="150">
        <f>IF(E159="","",Input!$C$8+B159-1)</f>
        <v>2030</v>
      </c>
      <c r="G159" s="151">
        <f>IF(E159="","",MAX(0,Input!$C$9-B159))</f>
        <v>7</v>
      </c>
      <c r="H159" s="152">
        <f>IF(E159="","",Input!$C$3)</f>
        <v>100000</v>
      </c>
      <c r="I159" s="153">
        <f>IF(E159="","",HLOOKUP($B159,Input!$C$13:$BT$14,2))</f>
        <v>2.2999999999999998</v>
      </c>
      <c r="J159" s="154"/>
      <c r="K159" s="155">
        <f>IF($E159="","",INDEX(Input!$C$16:$CP$16,1,$B159))</f>
        <v>2.4719999999999999E-2</v>
      </c>
      <c r="L159" s="155">
        <f>IF($E159="","",Input!$C$37)</f>
        <v>1.4999999999999999E-2</v>
      </c>
      <c r="M159" s="155">
        <f t="shared" si="105"/>
        <v>3.9719999999999998E-2</v>
      </c>
      <c r="N159" s="155">
        <f t="shared" si="106"/>
        <v>3.2512276573994914E-3</v>
      </c>
      <c r="O159" s="147">
        <f>IF($E159="","",MIN(VLOOKUP(IF($B159&lt;=Input!$C$7,$B159,26),'Mortality Tables'!$A$41:$CW$67,IF($B159&lt;=Input!$C$7+1,Input!$C$4+2,$D159-Input!$C$7+2),0)*IF(B159&gt;20,Input!$C$22,1)/1000,1))</f>
        <v>1.9920000000000003E-3</v>
      </c>
      <c r="P159" s="147">
        <f>IF($E159="","",MIN(VLOOKUP(IF($B159&lt;=Input!$C$7,$B159,26),'Mortality Tables'!$A$12:$CW$37,IF($B159&lt;=Input!$C$7+1,Input!$C$4+2,$D159-Input!$C$7+2),0)*IF(B159&gt;20,Input!$C$22,1)/1000,1))</f>
        <v>2.49E-3</v>
      </c>
      <c r="Q159" s="155">
        <f>IF($E159="","",Input!$C$21)</f>
        <v>5.0000000000000001E-3</v>
      </c>
      <c r="R159" s="159">
        <f>IF($E159="","",(1-Q159)^($F159-Input!$C$20))</f>
        <v>0.94162280691437594</v>
      </c>
      <c r="S159" s="147">
        <f t="shared" si="82"/>
        <v>1.8757126313734371E-3</v>
      </c>
      <c r="T159" s="147">
        <f t="shared" si="83"/>
        <v>1.5644392663760609E-4</v>
      </c>
      <c r="U159" s="160">
        <f>IF($E159="","",IF($C159=12,INDEX(Input!$C$15:$CP$15,1,$B159),0))</f>
        <v>0</v>
      </c>
      <c r="V159" s="150">
        <f>IF(E159="","",IF(C159=1,IF($B159=1,Input!$C$33,Input!$C$34),0))</f>
        <v>0</v>
      </c>
      <c r="W159" s="156">
        <f>IF($E159="","",Input!$C$35)</f>
        <v>0.02</v>
      </c>
      <c r="X159" s="156">
        <f t="shared" si="84"/>
        <v>1.2682417945625455</v>
      </c>
      <c r="Y159" s="154"/>
      <c r="Z159" s="147">
        <f>IF($E159="","",VLOOKUP($D159,'Mortality Margins &amp; Grading'!$AB$5:$AF$125,3,0)*IF(Summary!$D$25="Included Margin",IF(AND($B159&gt;Input!$C$9,Summary!$D$31&lt;&gt;"Included Margin"),0,1),0))</f>
        <v>3.6999999999999998E-2</v>
      </c>
      <c r="AA159" s="147">
        <f>IF($E159="","",VLOOKUP($D159,'Mortality Margins &amp; Grading'!$AB$5:$AF$125,5,0)*IF(Summary!$D$25="Included Margin",IF(AND($B159&gt;Input!$C$9,Summary!$D$31&lt;&gt;"Included Margin"),0,1),0))</f>
        <v>0.189</v>
      </c>
      <c r="AB159" s="147">
        <f>IF($E159="","",IF(AND($B159&gt;Input!$C$9,Summary!$D$31&lt;&gt;"Included Margin"),1,IF(Summary!$D$25="Included Margin",VLOOKUP($B159,'Mortality Margins &amp; Grading'!$AI$5:$AR$125,MATCH('Mortality Margins &amp; Grading'!$AQ$4,'Mortality Margins &amp; Grading'!$AI$4:$AR$4,0),0),1)))</f>
        <v>1</v>
      </c>
      <c r="AC159" s="154"/>
      <c r="AD159" s="158">
        <f>IF(E159="","",Input!$C$48*IF(Summary!$D$30="Included Margin",IF(AND($B159&gt;Input!$C$9,Summary!$D$31&lt;&gt;"Included Margin"),0,1),0))</f>
        <v>-4.4999999999999997E-3</v>
      </c>
      <c r="AE159" s="159">
        <f>IF(E159="","",IF(Summary!$D$26="Included Margin",IF(AND($B159&gt;Input!$C$9,Summary!$D$31&lt;&gt;"Included Margin"),1,1/$R159),1))</f>
        <v>1.0619963669708909</v>
      </c>
      <c r="AF159" s="160">
        <f>IF(E159="","",IF(AND($B159&gt;=Input!$C$9,$C159=12,Summary!$D$31="Included Margin",$U159&gt;0),1/U159-1,IF($B159&gt;=Input!$C$9,0,Input!$C$45*IF(Summary!$D$27="Included Margin",1,0))))</f>
        <v>-0.1</v>
      </c>
      <c r="AG159" s="160">
        <f>IF(E159="","",Input!$C$46*IF(Summary!$D$28="Included Margin",IF(AND($B159&gt;Input!$C$9,Summary!$D$31&lt;&gt;"Included Margin"),0,1),0))</f>
        <v>0.02</v>
      </c>
      <c r="AH159" s="158">
        <f>IF(E159="","",Input!$C$47*IF(Summary!$D$29="Included Margin",IF(AND($B159&gt;Input!$C$9,Summary!$D$31&lt;&gt;"Included Margin"),0,1),0))</f>
        <v>2.5000000000000001E-3</v>
      </c>
      <c r="AI159" s="154"/>
      <c r="AJ159" s="158">
        <f t="shared" si="107"/>
        <v>3.5220000000000001E-2</v>
      </c>
      <c r="AK159" s="155">
        <f t="shared" si="108"/>
        <v>2.8886612074769946E-3</v>
      </c>
      <c r="AL159" s="147">
        <f t="shared" si="109"/>
        <v>2.0657040000000002E-3</v>
      </c>
      <c r="AM159" s="147">
        <f t="shared" si="85"/>
        <v>1.7230519619415574E-4</v>
      </c>
      <c r="AN159" s="160">
        <f t="shared" si="110"/>
        <v>0</v>
      </c>
      <c r="AO159" s="161">
        <f t="shared" si="111"/>
        <v>0</v>
      </c>
      <c r="AP159" s="156">
        <f t="shared" si="86"/>
        <v>1.3060499898875673</v>
      </c>
      <c r="AQ159" s="152"/>
      <c r="AR159" s="162">
        <f t="shared" si="87"/>
        <v>1092.1515243975937</v>
      </c>
      <c r="AS159" s="150">
        <f t="shared" si="112"/>
        <v>0</v>
      </c>
      <c r="AT159" s="163">
        <f t="shared" si="88"/>
        <v>0</v>
      </c>
      <c r="AU159" s="163">
        <f t="shared" si="89"/>
        <v>17.230519619415574</v>
      </c>
      <c r="AV159" s="163">
        <f t="shared" si="113"/>
        <v>3.1299691744095548</v>
      </c>
      <c r="AW159" s="163">
        <f t="shared" si="90"/>
        <v>0.1857858026178511</v>
      </c>
      <c r="AX159" s="163">
        <f t="shared" si="91"/>
        <v>0</v>
      </c>
      <c r="AY159" s="164">
        <f t="shared" si="114"/>
        <v>1078.2367597552054</v>
      </c>
      <c r="AZ159" s="164">
        <f>IF($E159="","",IF(OR(AND($D159=Input!$C$6,$C159=12),$AN159=1),0,-AS160+AT160+AU160-AV160-AW160-AX160+AZ160))</f>
        <v>1078.2367956477949</v>
      </c>
      <c r="BA159" s="154">
        <f t="shared" si="92"/>
        <v>3.5892589494324056E-5</v>
      </c>
      <c r="BC159" s="147">
        <f t="shared" si="115"/>
        <v>0.5381344755537415</v>
      </c>
      <c r="BD159" s="164">
        <f>IF(AND($C158=12,$D158=Input!$C$6),0,IF($E159="","",AT159+(AU159+BD160)/(1+$AK159)*MIN((1-AM159-AN159),1)))</f>
        <v>2398.3625360561987</v>
      </c>
      <c r="BE159" s="164">
        <f t="shared" si="93"/>
        <v>1290.641565528344</v>
      </c>
      <c r="BF159" s="164">
        <f t="shared" si="116"/>
        <v>1078.2367956477949</v>
      </c>
      <c r="BG159" s="164">
        <f t="shared" si="94"/>
        <v>580.23639254867282</v>
      </c>
      <c r="BH159" s="152"/>
      <c r="BI159" s="162">
        <f t="shared" si="95"/>
        <v>768.1392472005997</v>
      </c>
      <c r="BJ159" s="150">
        <f t="shared" si="96"/>
        <v>0</v>
      </c>
      <c r="BK159" s="163">
        <f t="shared" si="120"/>
        <v>0</v>
      </c>
      <c r="BL159" s="163">
        <f t="shared" si="97"/>
        <v>15.644392663760609</v>
      </c>
      <c r="BM159" s="163">
        <f t="shared" si="121"/>
        <v>2.4719638241767967</v>
      </c>
      <c r="BN159" s="163">
        <f t="shared" si="98"/>
        <v>0.1181284604829408</v>
      </c>
      <c r="BO159" s="163">
        <f t="shared" si="99"/>
        <v>0</v>
      </c>
      <c r="BP159" s="164">
        <f t="shared" si="122"/>
        <v>755.08494682149876</v>
      </c>
      <c r="BQ159" s="164">
        <f>IF($E159="","",IF(AND($D159=Input!$C$6,$C159=12),0,-BJ160+BK160+BL160-BM160-BN160-BO160+BQ160))</f>
        <v>755.08498809659136</v>
      </c>
      <c r="BR159" s="161">
        <f t="shared" si="100"/>
        <v>0</v>
      </c>
      <c r="BT159" s="147">
        <f t="shared" si="101"/>
        <v>0.5381344755537415</v>
      </c>
      <c r="BU159" s="164">
        <f>IF(AND($C158=12,$D158=Input!$C$6),0,IF($E159="","",BK159+(BL159+BU160)/(1+$AK159)*MIN((1-T159-U159),1)))</f>
        <v>5033.4513248280027</v>
      </c>
      <c r="BV159" s="164">
        <f t="shared" si="102"/>
        <v>2708.6736889116028</v>
      </c>
      <c r="BW159" s="164">
        <f t="shared" si="103"/>
        <v>755.08498809659136</v>
      </c>
      <c r="BX159" s="164">
        <f t="shared" si="104"/>
        <v>406.33726406786235</v>
      </c>
    </row>
    <row r="160" spans="1:76" s="150" customFormat="1" x14ac:dyDescent="0.25">
      <c r="A160" s="150">
        <f t="shared" si="117"/>
        <v>156</v>
      </c>
      <c r="B160" s="150">
        <f t="shared" si="118"/>
        <v>13</v>
      </c>
      <c r="C160" s="150">
        <f t="shared" si="119"/>
        <v>12</v>
      </c>
      <c r="D160" s="150">
        <f>IF(E160="","",Input!$C$4+B160-1)</f>
        <v>57</v>
      </c>
      <c r="E160" s="150">
        <f>IF(OR(AND(C159=12,D159=Input!$C$6),E159=""),"",1)</f>
        <v>1</v>
      </c>
      <c r="F160" s="150">
        <f>IF(E160="","",Input!$C$8+B160-1)</f>
        <v>2030</v>
      </c>
      <c r="G160" s="151">
        <f>IF(E160="","",MAX(0,Input!$C$9-B160))</f>
        <v>7</v>
      </c>
      <c r="H160" s="152">
        <f>IF(E160="","",Input!$C$3)</f>
        <v>100000</v>
      </c>
      <c r="I160" s="153">
        <f>IF(E160="","",HLOOKUP($B160,Input!$C$13:$BT$14,2))</f>
        <v>2.2999999999999998</v>
      </c>
      <c r="J160" s="154"/>
      <c r="K160" s="155">
        <f>IF($E160="","",INDEX(Input!$C$16:$CP$16,1,$B160))</f>
        <v>2.4719999999999999E-2</v>
      </c>
      <c r="L160" s="155">
        <f>IF($E160="","",Input!$C$37)</f>
        <v>1.4999999999999999E-2</v>
      </c>
      <c r="M160" s="155">
        <f t="shared" si="105"/>
        <v>3.9719999999999998E-2</v>
      </c>
      <c r="N160" s="155">
        <f t="shared" si="106"/>
        <v>3.2512276573994914E-3</v>
      </c>
      <c r="O160" s="147">
        <f>IF($E160="","",MIN(VLOOKUP(IF($B160&lt;=Input!$C$7,$B160,26),'Mortality Tables'!$A$41:$CW$67,IF($B160&lt;=Input!$C$7+1,Input!$C$4+2,$D160-Input!$C$7+2),0)*IF(B160&gt;20,Input!$C$22,1)/1000,1))</f>
        <v>1.9920000000000003E-3</v>
      </c>
      <c r="P160" s="147">
        <f>IF($E160="","",MIN(VLOOKUP(IF($B160&lt;=Input!$C$7,$B160,26),'Mortality Tables'!$A$12:$CW$37,IF($B160&lt;=Input!$C$7+1,Input!$C$4+2,$D160-Input!$C$7+2),0)*IF(B160&gt;20,Input!$C$22,1)/1000,1))</f>
        <v>2.49E-3</v>
      </c>
      <c r="Q160" s="155">
        <f>IF($E160="","",Input!$C$21)</f>
        <v>5.0000000000000001E-3</v>
      </c>
      <c r="R160" s="159">
        <f>IF($E160="","",(1-Q160)^($F160-Input!$C$20))</f>
        <v>0.94162280691437594</v>
      </c>
      <c r="S160" s="147">
        <f t="shared" si="82"/>
        <v>1.8757126313734371E-3</v>
      </c>
      <c r="T160" s="147">
        <f t="shared" si="83"/>
        <v>1.5644392663760609E-4</v>
      </c>
      <c r="U160" s="160">
        <f>IF($E160="","",IF($C160=12,INDEX(Input!$C$15:$CP$15,1,$B160),0))</f>
        <v>0.02</v>
      </c>
      <c r="V160" s="150">
        <f>IF(E160="","",IF(C160=1,IF($B160=1,Input!$C$33,Input!$C$34),0))</f>
        <v>0</v>
      </c>
      <c r="W160" s="156">
        <f>IF($E160="","",Input!$C$35)</f>
        <v>0.02</v>
      </c>
      <c r="X160" s="156">
        <f t="shared" si="84"/>
        <v>1.2682417945625455</v>
      </c>
      <c r="Y160" s="154"/>
      <c r="Z160" s="147">
        <f>IF($E160="","",VLOOKUP($D160,'Mortality Margins &amp; Grading'!$AB$5:$AF$125,3,0)*IF(Summary!$D$25="Included Margin",IF(AND($B160&gt;Input!$C$9,Summary!$D$31&lt;&gt;"Included Margin"),0,1),0))</f>
        <v>3.6999999999999998E-2</v>
      </c>
      <c r="AA160" s="147">
        <f>IF($E160="","",VLOOKUP($D160,'Mortality Margins &amp; Grading'!$AB$5:$AF$125,5,0)*IF(Summary!$D$25="Included Margin",IF(AND($B160&gt;Input!$C$9,Summary!$D$31&lt;&gt;"Included Margin"),0,1),0))</f>
        <v>0.189</v>
      </c>
      <c r="AB160" s="147">
        <f>IF($E160="","",IF(AND($B160&gt;Input!$C$9,Summary!$D$31&lt;&gt;"Included Margin"),1,IF(Summary!$D$25="Included Margin",VLOOKUP($B160,'Mortality Margins &amp; Grading'!$AI$5:$AR$125,MATCH('Mortality Margins &amp; Grading'!$AQ$4,'Mortality Margins &amp; Grading'!$AI$4:$AR$4,0),0),1)))</f>
        <v>1</v>
      </c>
      <c r="AC160" s="154"/>
      <c r="AD160" s="158">
        <f>IF(E160="","",Input!$C$48*IF(Summary!$D$30="Included Margin",IF(AND($B160&gt;Input!$C$9,Summary!$D$31&lt;&gt;"Included Margin"),0,1),0))</f>
        <v>-4.4999999999999997E-3</v>
      </c>
      <c r="AE160" s="159">
        <f>IF(E160="","",IF(Summary!$D$26="Included Margin",IF(AND($B160&gt;Input!$C$9,Summary!$D$31&lt;&gt;"Included Margin"),1,1/$R160),1))</f>
        <v>1.0619963669708909</v>
      </c>
      <c r="AF160" s="160">
        <f>IF(E160="","",IF(AND($B160&gt;=Input!$C$9,$C160=12,Summary!$D$31="Included Margin",$U160&gt;0),1/U160-1,IF($B160&gt;=Input!$C$9,0,Input!$C$45*IF(Summary!$D$27="Included Margin",1,0))))</f>
        <v>-0.1</v>
      </c>
      <c r="AG160" s="160">
        <f>IF(E160="","",Input!$C$46*IF(Summary!$D$28="Included Margin",IF(AND($B160&gt;Input!$C$9,Summary!$D$31&lt;&gt;"Included Margin"),0,1),0))</f>
        <v>0.02</v>
      </c>
      <c r="AH160" s="158">
        <f>IF(E160="","",Input!$C$47*IF(Summary!$D$29="Included Margin",IF(AND($B160&gt;Input!$C$9,Summary!$D$31&lt;&gt;"Included Margin"),0,1),0))</f>
        <v>2.5000000000000001E-3</v>
      </c>
      <c r="AI160" s="154"/>
      <c r="AJ160" s="158">
        <f t="shared" si="107"/>
        <v>3.5220000000000001E-2</v>
      </c>
      <c r="AK160" s="155">
        <f t="shared" si="108"/>
        <v>2.8886612074769946E-3</v>
      </c>
      <c r="AL160" s="147">
        <f t="shared" si="109"/>
        <v>2.0657040000000002E-3</v>
      </c>
      <c r="AM160" s="147">
        <f t="shared" si="85"/>
        <v>1.7230519619415574E-4</v>
      </c>
      <c r="AN160" s="160">
        <f t="shared" si="110"/>
        <v>1.8000000000000002E-2</v>
      </c>
      <c r="AO160" s="161">
        <f t="shared" si="111"/>
        <v>0</v>
      </c>
      <c r="AP160" s="156">
        <f t="shared" si="86"/>
        <v>1.3060499898875673</v>
      </c>
      <c r="AQ160" s="152"/>
      <c r="AR160" s="162">
        <f t="shared" si="87"/>
        <v>1078.2367597552054</v>
      </c>
      <c r="AS160" s="150">
        <f t="shared" si="112"/>
        <v>0</v>
      </c>
      <c r="AT160" s="163">
        <f t="shared" si="88"/>
        <v>0</v>
      </c>
      <c r="AU160" s="163">
        <f t="shared" si="89"/>
        <v>17.230519619415574</v>
      </c>
      <c r="AV160" s="163">
        <f t="shared" si="113"/>
        <v>3.089774133575915</v>
      </c>
      <c r="AW160" s="163">
        <f t="shared" si="90"/>
        <v>0.18674223642609847</v>
      </c>
      <c r="AX160" s="163">
        <f t="shared" si="91"/>
        <v>19.504815583416697</v>
      </c>
      <c r="AY160" s="164">
        <f t="shared" si="114"/>
        <v>1083.7875720892087</v>
      </c>
      <c r="AZ160" s="164">
        <f>IF($E160="","",IF(OR(AND($D160=Input!$C$6,$C160=12),$AN160=1),0,-AS161+AT161+AU161-AV161-AW161-AX161+AZ161))</f>
        <v>1083.7876079817981</v>
      </c>
      <c r="BA160" s="154">
        <f t="shared" si="92"/>
        <v>3.5892589494324056E-5</v>
      </c>
      <c r="BC160" s="147">
        <f t="shared" si="115"/>
        <v>0.52728759817225201</v>
      </c>
      <c r="BD160" s="164">
        <f>IF(AND($C159=12,$D159=Input!$C$6),0,IF($E160="","",AT160+(AU160+BD161)/(1+$AK160)*MIN((1-AM160-AN160),1)))</f>
        <v>2388.4745887468371</v>
      </c>
      <c r="BE160" s="164">
        <f t="shared" si="93"/>
        <v>1259.4130291957772</v>
      </c>
      <c r="BF160" s="164">
        <f t="shared" si="116"/>
        <v>1083.7876079817981</v>
      </c>
      <c r="BG160" s="164">
        <f t="shared" si="94"/>
        <v>571.46776474157252</v>
      </c>
      <c r="BH160" s="152"/>
      <c r="BI160" s="162">
        <f t="shared" si="95"/>
        <v>755.08494682149876</v>
      </c>
      <c r="BJ160" s="150">
        <f t="shared" si="96"/>
        <v>0</v>
      </c>
      <c r="BK160" s="163">
        <f t="shared" si="120"/>
        <v>0</v>
      </c>
      <c r="BL160" s="163">
        <f t="shared" si="97"/>
        <v>15.644392663760609</v>
      </c>
      <c r="BM160" s="163">
        <f t="shared" si="121"/>
        <v>2.4295213217362628</v>
      </c>
      <c r="BN160" s="163">
        <f t="shared" si="98"/>
        <v>0.11844819797076896</v>
      </c>
      <c r="BO160" s="163">
        <f t="shared" si="99"/>
        <v>15.140206464378918</v>
      </c>
      <c r="BP160" s="164">
        <f t="shared" si="122"/>
        <v>757.12873014182412</v>
      </c>
      <c r="BQ160" s="164">
        <f>IF($E160="","",IF(AND($D160=Input!$C$6,$C160=12),0,-BJ161+BK161+BL161-BM161-BN161-BO161+BQ161))</f>
        <v>757.12877141691672</v>
      </c>
      <c r="BR160" s="161">
        <f t="shared" si="100"/>
        <v>0</v>
      </c>
      <c r="BT160" s="147">
        <f t="shared" si="101"/>
        <v>0.52728759817225201</v>
      </c>
      <c r="BU160" s="164">
        <f>IF(AND($C159=12,$D159=Input!$C$6),0,IF($E160="","",BK160+(BL160+BU161)/(1+$AK160)*MIN((1-T160-U160),1)))</f>
        <v>5033.1367188878212</v>
      </c>
      <c r="BV160" s="164">
        <f t="shared" si="102"/>
        <v>2653.9105717749285</v>
      </c>
      <c r="BW160" s="164">
        <f t="shared" si="103"/>
        <v>757.12877141691672</v>
      </c>
      <c r="BX160" s="164">
        <f t="shared" si="104"/>
        <v>399.22461138753403</v>
      </c>
    </row>
    <row r="161" spans="1:76" s="150" customFormat="1" x14ac:dyDescent="0.25">
      <c r="A161" s="150">
        <f t="shared" si="117"/>
        <v>157</v>
      </c>
      <c r="B161" s="150">
        <f t="shared" si="118"/>
        <v>14</v>
      </c>
      <c r="C161" s="150">
        <f t="shared" si="119"/>
        <v>1</v>
      </c>
      <c r="D161" s="150">
        <f>IF(E161="","",Input!$C$4+B161-1)</f>
        <v>58</v>
      </c>
      <c r="E161" s="150">
        <f>IF(OR(AND(C160=12,D160=Input!$C$6),E160=""),"",1)</f>
        <v>1</v>
      </c>
      <c r="F161" s="150">
        <f>IF(E161="","",Input!$C$8+B161-1)</f>
        <v>2031</v>
      </c>
      <c r="G161" s="151">
        <f>IF(E161="","",MAX(0,Input!$C$9-B161))</f>
        <v>6</v>
      </c>
      <c r="H161" s="152">
        <f>IF(E161="","",Input!$C$3)</f>
        <v>100000</v>
      </c>
      <c r="I161" s="153">
        <f>IF(E161="","",HLOOKUP($B161,Input!$C$13:$BT$14,2))</f>
        <v>2.2999999999999998</v>
      </c>
      <c r="J161" s="154"/>
      <c r="K161" s="155">
        <f>IF($E161="","",INDEX(Input!$C$16:$CP$16,1,$B161))</f>
        <v>2.4490000000000001E-2</v>
      </c>
      <c r="L161" s="155">
        <f>IF($E161="","",Input!$C$37)</f>
        <v>1.4999999999999999E-2</v>
      </c>
      <c r="M161" s="155">
        <f t="shared" si="105"/>
        <v>3.9489999999999997E-2</v>
      </c>
      <c r="N161" s="155">
        <f t="shared" si="106"/>
        <v>3.2327313971030058E-3</v>
      </c>
      <c r="O161" s="147">
        <f>IF($E161="","",MIN(VLOOKUP(IF($B161&lt;=Input!$C$7,$B161,26),'Mortality Tables'!$A$41:$CW$67,IF($B161&lt;=Input!$C$7+1,Input!$C$4+2,$D161-Input!$C$7+2),0)*IF(B161&gt;20,Input!$C$22,1)/1000,1))</f>
        <v>2.2559999999999998E-3</v>
      </c>
      <c r="P161" s="147">
        <f>IF($E161="","",MIN(VLOOKUP(IF($B161&lt;=Input!$C$7,$B161,26),'Mortality Tables'!$A$12:$CW$37,IF($B161&lt;=Input!$C$7+1,Input!$C$4+2,$D161-Input!$C$7+2),0)*IF(B161&gt;20,Input!$C$22,1)/1000,1))</f>
        <v>2.82E-3</v>
      </c>
      <c r="Q161" s="155">
        <f>IF($E161="","",Input!$C$21)</f>
        <v>5.0000000000000001E-3</v>
      </c>
      <c r="R161" s="159">
        <f>IF($E161="","",(1-Q161)^($F161-Input!$C$20))</f>
        <v>0.93691469287980411</v>
      </c>
      <c r="S161" s="147">
        <f t="shared" si="82"/>
        <v>2.1136795471368378E-3</v>
      </c>
      <c r="T161" s="147">
        <f t="shared" si="83"/>
        <v>1.7631083212388265E-4</v>
      </c>
      <c r="U161" s="160">
        <f>IF($E161="","",IF($C161=12,INDEX(Input!$C$15:$CP$15,1,$B161),0))</f>
        <v>0</v>
      </c>
      <c r="V161" s="150">
        <f>IF(E161="","",IF(C161=1,IF($B161=1,Input!$C$33,Input!$C$34),0))</f>
        <v>50</v>
      </c>
      <c r="W161" s="156">
        <f>IF($E161="","",Input!$C$35)</f>
        <v>0.02</v>
      </c>
      <c r="X161" s="156">
        <f t="shared" si="84"/>
        <v>1.2936066304537963</v>
      </c>
      <c r="Y161" s="154"/>
      <c r="Z161" s="147">
        <f>IF($E161="","",VLOOKUP($D161,'Mortality Margins &amp; Grading'!$AB$5:$AF$125,3,0)*IF(Summary!$D$25="Included Margin",IF(AND($B161&gt;Input!$C$9,Summary!$D$31&lt;&gt;"Included Margin"),0,1),0))</f>
        <v>3.5999999999999997E-2</v>
      </c>
      <c r="AA161" s="147">
        <f>IF($E161="","",VLOOKUP($D161,'Mortality Margins &amp; Grading'!$AB$5:$AF$125,5,0)*IF(Summary!$D$25="Included Margin",IF(AND($B161&gt;Input!$C$9,Summary!$D$31&lt;&gt;"Included Margin"),0,1),0))</f>
        <v>0.185</v>
      </c>
      <c r="AB161" s="147">
        <f>IF($E161="","",IF(AND($B161&gt;Input!$C$9,Summary!$D$31&lt;&gt;"Included Margin"),1,IF(Summary!$D$25="Included Margin",VLOOKUP($B161,'Mortality Margins &amp; Grading'!$AI$5:$AR$125,MATCH('Mortality Margins &amp; Grading'!$AQ$4,'Mortality Margins &amp; Grading'!$AI$4:$AR$4,0),0),1)))</f>
        <v>1</v>
      </c>
      <c r="AC161" s="154"/>
      <c r="AD161" s="158">
        <f>IF(E161="","",Input!$C$48*IF(Summary!$D$30="Included Margin",IF(AND($B161&gt;Input!$C$9,Summary!$D$31&lt;&gt;"Included Margin"),0,1),0))</f>
        <v>-4.4999999999999997E-3</v>
      </c>
      <c r="AE161" s="159">
        <f>IF(E161="","",IF(Summary!$D$26="Included Margin",IF(AND($B161&gt;Input!$C$9,Summary!$D$31&lt;&gt;"Included Margin"),1,1/$R161),1))</f>
        <v>1.0673330321315486</v>
      </c>
      <c r="AF161" s="160">
        <f>IF(E161="","",IF(AND($B161&gt;=Input!$C$9,$C161=12,Summary!$D$31="Included Margin",$U161&gt;0),1/U161-1,IF($B161&gt;=Input!$C$9,0,Input!$C$45*IF(Summary!$D$27="Included Margin",1,0))))</f>
        <v>-0.1</v>
      </c>
      <c r="AG161" s="160">
        <f>IF(E161="","",Input!$C$46*IF(Summary!$D$28="Included Margin",IF(AND($B161&gt;Input!$C$9,Summary!$D$31&lt;&gt;"Included Margin"),0,1),0))</f>
        <v>0.02</v>
      </c>
      <c r="AH161" s="158">
        <f>IF(E161="","",Input!$C$47*IF(Summary!$D$29="Included Margin",IF(AND($B161&gt;Input!$C$9,Summary!$D$31&lt;&gt;"Included Margin"),0,1),0))</f>
        <v>2.5000000000000001E-3</v>
      </c>
      <c r="AI161" s="154"/>
      <c r="AJ161" s="158">
        <f t="shared" si="107"/>
        <v>3.499E-2</v>
      </c>
      <c r="AK161" s="155">
        <f t="shared" si="108"/>
        <v>2.8700912510091214E-3</v>
      </c>
      <c r="AL161" s="147">
        <f t="shared" si="109"/>
        <v>2.337216E-3</v>
      </c>
      <c r="AM161" s="147">
        <f t="shared" si="85"/>
        <v>1.949769522339162E-4</v>
      </c>
      <c r="AN161" s="160">
        <f t="shared" si="110"/>
        <v>0</v>
      </c>
      <c r="AO161" s="161">
        <f t="shared" si="111"/>
        <v>51</v>
      </c>
      <c r="AP161" s="156">
        <f t="shared" si="86"/>
        <v>1.3354361146600375</v>
      </c>
      <c r="AQ161" s="152"/>
      <c r="AR161" s="162">
        <f t="shared" si="87"/>
        <v>1083.7875678866421</v>
      </c>
      <c r="AS161" s="150">
        <f t="shared" si="112"/>
        <v>229.99999999999997</v>
      </c>
      <c r="AT161" s="163">
        <f t="shared" si="88"/>
        <v>68.107241847661911</v>
      </c>
      <c r="AU161" s="163">
        <f t="shared" si="89"/>
        <v>19.49769522339162</v>
      </c>
      <c r="AV161" s="163">
        <f t="shared" si="113"/>
        <v>3.5472361230809177</v>
      </c>
      <c r="AW161" s="163">
        <f t="shared" si="90"/>
        <v>0.2398157478879733</v>
      </c>
      <c r="AX161" s="163">
        <f t="shared" si="91"/>
        <v>0</v>
      </c>
      <c r="AY161" s="164">
        <f t="shared" si="114"/>
        <v>1229.9696826865572</v>
      </c>
      <c r="AZ161" s="164">
        <f>IF($E161="","",IF(OR(AND($D161=Input!$C$6,$C161=12),$AN161=1),0,-AS162+AT162+AU162-AV162-AW162-AX162+AZ162))</f>
        <v>1229.9697227817135</v>
      </c>
      <c r="BA161" s="154">
        <f t="shared" si="92"/>
        <v>4.0095156236930052E-5</v>
      </c>
      <c r="BC161" s="147">
        <f t="shared" si="115"/>
        <v>0.52719463165704961</v>
      </c>
      <c r="BD161" s="164">
        <f>IF(AND($C160=12,$D160=Input!$C$6),0,IF($E161="","",AT161+(AU161+BD162)/(1+$AK161)*MIN((1-AM161-AN161),1)))</f>
        <v>2422.4787036115013</v>
      </c>
      <c r="BE161" s="164">
        <f t="shared" si="93"/>
        <v>1277.1177678475124</v>
      </c>
      <c r="BF161" s="164">
        <f t="shared" si="116"/>
        <v>1229.9697227817135</v>
      </c>
      <c r="BG161" s="164">
        <f t="shared" si="94"/>
        <v>648.43343495122883</v>
      </c>
      <c r="BH161" s="152"/>
      <c r="BI161" s="162">
        <f t="shared" si="95"/>
        <v>757.12872542761306</v>
      </c>
      <c r="BJ161" s="150">
        <f t="shared" si="96"/>
        <v>229.99999999999997</v>
      </c>
      <c r="BK161" s="163">
        <f t="shared" si="120"/>
        <v>64.680331522689812</v>
      </c>
      <c r="BL161" s="163">
        <f t="shared" si="97"/>
        <v>17.631083212388265</v>
      </c>
      <c r="BM161" s="163">
        <f t="shared" si="121"/>
        <v>2.9535296070508745</v>
      </c>
      <c r="BN161" s="163">
        <f t="shared" si="98"/>
        <v>0.16007806383606829</v>
      </c>
      <c r="BO161" s="163">
        <f t="shared" si="99"/>
        <v>0</v>
      </c>
      <c r="BP161" s="164">
        <f t="shared" si="122"/>
        <v>907.93091836342194</v>
      </c>
      <c r="BQ161" s="164">
        <f>IF($E161="","",IF(AND($D161=Input!$C$6,$C161=12),0,-BJ162+BK162+BL162-BM162-BN162-BO162+BQ162))</f>
        <v>907.9309643527256</v>
      </c>
      <c r="BR161" s="161">
        <f t="shared" si="100"/>
        <v>0</v>
      </c>
      <c r="BT161" s="147">
        <f t="shared" si="101"/>
        <v>0.52719463165704961</v>
      </c>
      <c r="BU161" s="164">
        <f>IF(AND($C160=12,$D160=Input!$C$6),0,IF($E161="","",BK161+(BL161+BU162)/(1+$AK161)*MIN((1-T161-U161),1)))</f>
        <v>5135.8675138978551</v>
      </c>
      <c r="BV161" s="164">
        <f t="shared" si="102"/>
        <v>2707.6017822287868</v>
      </c>
      <c r="BW161" s="164">
        <f t="shared" si="103"/>
        <v>907.9309643527256</v>
      </c>
      <c r="BX161" s="164">
        <f t="shared" si="104"/>
        <v>478.65633032196502</v>
      </c>
    </row>
    <row r="162" spans="1:76" s="150" customFormat="1" x14ac:dyDescent="0.25">
      <c r="A162" s="150">
        <f t="shared" si="117"/>
        <v>158</v>
      </c>
      <c r="B162" s="150">
        <f t="shared" si="118"/>
        <v>14</v>
      </c>
      <c r="C162" s="150">
        <f t="shared" si="119"/>
        <v>2</v>
      </c>
      <c r="D162" s="150">
        <f>IF(E162="","",Input!$C$4+B162-1)</f>
        <v>58</v>
      </c>
      <c r="E162" s="150">
        <f>IF(OR(AND(C161=12,D161=Input!$C$6),E161=""),"",1)</f>
        <v>1</v>
      </c>
      <c r="F162" s="150">
        <f>IF(E162="","",Input!$C$8+B162-1)</f>
        <v>2031</v>
      </c>
      <c r="G162" s="151">
        <f>IF(E162="","",MAX(0,Input!$C$9-B162))</f>
        <v>6</v>
      </c>
      <c r="H162" s="152">
        <f>IF(E162="","",Input!$C$3)</f>
        <v>100000</v>
      </c>
      <c r="I162" s="153">
        <f>IF(E162="","",HLOOKUP($B162,Input!$C$13:$BT$14,2))</f>
        <v>2.2999999999999998</v>
      </c>
      <c r="J162" s="154"/>
      <c r="K162" s="155">
        <f>IF($E162="","",INDEX(Input!$C$16:$CP$16,1,$B162))</f>
        <v>2.4490000000000001E-2</v>
      </c>
      <c r="L162" s="155">
        <f>IF($E162="","",Input!$C$37)</f>
        <v>1.4999999999999999E-2</v>
      </c>
      <c r="M162" s="155">
        <f t="shared" si="105"/>
        <v>3.9489999999999997E-2</v>
      </c>
      <c r="N162" s="155">
        <f t="shared" si="106"/>
        <v>3.2327313971030058E-3</v>
      </c>
      <c r="O162" s="147">
        <f>IF($E162="","",MIN(VLOOKUP(IF($B162&lt;=Input!$C$7,$B162,26),'Mortality Tables'!$A$41:$CW$67,IF($B162&lt;=Input!$C$7+1,Input!$C$4+2,$D162-Input!$C$7+2),0)*IF(B162&gt;20,Input!$C$22,1)/1000,1))</f>
        <v>2.2559999999999998E-3</v>
      </c>
      <c r="P162" s="147">
        <f>IF($E162="","",MIN(VLOOKUP(IF($B162&lt;=Input!$C$7,$B162,26),'Mortality Tables'!$A$12:$CW$37,IF($B162&lt;=Input!$C$7+1,Input!$C$4+2,$D162-Input!$C$7+2),0)*IF(B162&gt;20,Input!$C$22,1)/1000,1))</f>
        <v>2.82E-3</v>
      </c>
      <c r="Q162" s="155">
        <f>IF($E162="","",Input!$C$21)</f>
        <v>5.0000000000000001E-3</v>
      </c>
      <c r="R162" s="159">
        <f>IF($E162="","",(1-Q162)^($F162-Input!$C$20))</f>
        <v>0.93691469287980411</v>
      </c>
      <c r="S162" s="147">
        <f t="shared" si="82"/>
        <v>2.1136795471368378E-3</v>
      </c>
      <c r="T162" s="147">
        <f t="shared" si="83"/>
        <v>1.7631083212388265E-4</v>
      </c>
      <c r="U162" s="160">
        <f>IF($E162="","",IF($C162=12,INDEX(Input!$C$15:$CP$15,1,$B162),0))</f>
        <v>0</v>
      </c>
      <c r="V162" s="150">
        <f>IF(E162="","",IF(C162=1,IF($B162=1,Input!$C$33,Input!$C$34),0))</f>
        <v>0</v>
      </c>
      <c r="W162" s="156">
        <f>IF($E162="","",Input!$C$35)</f>
        <v>0.02</v>
      </c>
      <c r="X162" s="156">
        <f t="shared" si="84"/>
        <v>1.2936066304537963</v>
      </c>
      <c r="Y162" s="154"/>
      <c r="Z162" s="147">
        <f>IF($E162="","",VLOOKUP($D162,'Mortality Margins &amp; Grading'!$AB$5:$AF$125,3,0)*IF(Summary!$D$25="Included Margin",IF(AND($B162&gt;Input!$C$9,Summary!$D$31&lt;&gt;"Included Margin"),0,1),0))</f>
        <v>3.5999999999999997E-2</v>
      </c>
      <c r="AA162" s="147">
        <f>IF($E162="","",VLOOKUP($D162,'Mortality Margins &amp; Grading'!$AB$5:$AF$125,5,0)*IF(Summary!$D$25="Included Margin",IF(AND($B162&gt;Input!$C$9,Summary!$D$31&lt;&gt;"Included Margin"),0,1),0))</f>
        <v>0.185</v>
      </c>
      <c r="AB162" s="147">
        <f>IF($E162="","",IF(AND($B162&gt;Input!$C$9,Summary!$D$31&lt;&gt;"Included Margin"),1,IF(Summary!$D$25="Included Margin",VLOOKUP($B162,'Mortality Margins &amp; Grading'!$AI$5:$AR$125,MATCH('Mortality Margins &amp; Grading'!$AQ$4,'Mortality Margins &amp; Grading'!$AI$4:$AR$4,0),0),1)))</f>
        <v>1</v>
      </c>
      <c r="AC162" s="154"/>
      <c r="AD162" s="158">
        <f>IF(E162="","",Input!$C$48*IF(Summary!$D$30="Included Margin",IF(AND($B162&gt;Input!$C$9,Summary!$D$31&lt;&gt;"Included Margin"),0,1),0))</f>
        <v>-4.4999999999999997E-3</v>
      </c>
      <c r="AE162" s="159">
        <f>IF(E162="","",IF(Summary!$D$26="Included Margin",IF(AND($B162&gt;Input!$C$9,Summary!$D$31&lt;&gt;"Included Margin"),1,1/$R162),1))</f>
        <v>1.0673330321315486</v>
      </c>
      <c r="AF162" s="160">
        <f>IF(E162="","",IF(AND($B162&gt;=Input!$C$9,$C162=12,Summary!$D$31="Included Margin",$U162&gt;0),1/U162-1,IF($B162&gt;=Input!$C$9,0,Input!$C$45*IF(Summary!$D$27="Included Margin",1,0))))</f>
        <v>-0.1</v>
      </c>
      <c r="AG162" s="160">
        <f>IF(E162="","",Input!$C$46*IF(Summary!$D$28="Included Margin",IF(AND($B162&gt;Input!$C$9,Summary!$D$31&lt;&gt;"Included Margin"),0,1),0))</f>
        <v>0.02</v>
      </c>
      <c r="AH162" s="158">
        <f>IF(E162="","",Input!$C$47*IF(Summary!$D$29="Included Margin",IF(AND($B162&gt;Input!$C$9,Summary!$D$31&lt;&gt;"Included Margin"),0,1),0))</f>
        <v>2.5000000000000001E-3</v>
      </c>
      <c r="AI162" s="154"/>
      <c r="AJ162" s="158">
        <f t="shared" si="107"/>
        <v>3.499E-2</v>
      </c>
      <c r="AK162" s="155">
        <f t="shared" si="108"/>
        <v>2.8700912510091214E-3</v>
      </c>
      <c r="AL162" s="147">
        <f t="shared" si="109"/>
        <v>2.337216E-3</v>
      </c>
      <c r="AM162" s="147">
        <f t="shared" si="85"/>
        <v>1.949769522339162E-4</v>
      </c>
      <c r="AN162" s="160">
        <f t="shared" si="110"/>
        <v>0</v>
      </c>
      <c r="AO162" s="161">
        <f t="shared" si="111"/>
        <v>0</v>
      </c>
      <c r="AP162" s="156">
        <f t="shared" si="86"/>
        <v>1.3354361146600375</v>
      </c>
      <c r="AQ162" s="152"/>
      <c r="AR162" s="162">
        <f t="shared" si="87"/>
        <v>1229.9696826865575</v>
      </c>
      <c r="AS162" s="150">
        <f t="shared" si="112"/>
        <v>0</v>
      </c>
      <c r="AT162" s="163">
        <f t="shared" si="88"/>
        <v>0</v>
      </c>
      <c r="AU162" s="163">
        <f t="shared" si="89"/>
        <v>19.49769522339162</v>
      </c>
      <c r="AV162" s="163">
        <f t="shared" si="113"/>
        <v>3.5021451430474047</v>
      </c>
      <c r="AW162" s="163">
        <f t="shared" si="90"/>
        <v>0.23674314374063163</v>
      </c>
      <c r="AX162" s="163">
        <f t="shared" si="91"/>
        <v>0</v>
      </c>
      <c r="AY162" s="164">
        <f t="shared" si="114"/>
        <v>1214.2108757499536</v>
      </c>
      <c r="AZ162" s="164">
        <f>IF($E162="","",IF(OR(AND($D162=Input!$C$6,$C162=12),$AN162=1),0,-AS163+AT163+AU163-AV163-AW163-AX163+AZ163))</f>
        <v>1214.2109158451099</v>
      </c>
      <c r="BA162" s="154">
        <f t="shared" si="92"/>
        <v>4.0095156236930052E-5</v>
      </c>
      <c r="BC162" s="147">
        <f t="shared" si="115"/>
        <v>0.52710168153285086</v>
      </c>
      <c r="BD162" s="164">
        <f>IF(AND($C161=12,$D161=Input!$C$6),0,IF($E162="","",AT162+(AU162+BD163)/(1+$AK162)*MIN((1-AM162-AN162),1)))</f>
        <v>2342.0914829348676</v>
      </c>
      <c r="BE162" s="164">
        <f t="shared" si="93"/>
        <v>1234.520358958737</v>
      </c>
      <c r="BF162" s="164">
        <f t="shared" si="116"/>
        <v>1214.2109158451099</v>
      </c>
      <c r="BG162" s="164">
        <f t="shared" si="94"/>
        <v>640.01261547750028</v>
      </c>
      <c r="BH162" s="152"/>
      <c r="BI162" s="162">
        <f t="shared" si="95"/>
        <v>907.93091836342182</v>
      </c>
      <c r="BJ162" s="150">
        <f t="shared" si="96"/>
        <v>0</v>
      </c>
      <c r="BK162" s="163">
        <f t="shared" si="120"/>
        <v>0</v>
      </c>
      <c r="BL162" s="163">
        <f t="shared" si="97"/>
        <v>17.631083212388265</v>
      </c>
      <c r="BM162" s="163">
        <f t="shared" si="121"/>
        <v>2.906598508061188</v>
      </c>
      <c r="BN162" s="163">
        <f t="shared" si="98"/>
        <v>0.15750974836005399</v>
      </c>
      <c r="BO162" s="163">
        <f t="shared" si="99"/>
        <v>0</v>
      </c>
      <c r="BP162" s="164">
        <f t="shared" si="122"/>
        <v>893.36394340745483</v>
      </c>
      <c r="BQ162" s="164">
        <f>IF($E162="","",IF(AND($D162=Input!$C$6,$C162=12),0,-BJ163+BK163+BL163-BM163-BN163-BO163+BQ163))</f>
        <v>893.3639893967586</v>
      </c>
      <c r="BR162" s="161">
        <f t="shared" si="100"/>
        <v>0</v>
      </c>
      <c r="BT162" s="147">
        <f t="shared" si="101"/>
        <v>0.52710168153285086</v>
      </c>
      <c r="BU162" s="164">
        <f>IF(AND($C161=12,$D161=Input!$C$6),0,IF($E162="","",BK162+(BL162+BU163)/(1+$AK162)*MIN((1-T162-U162),1)))</f>
        <v>5069.0076986434842</v>
      </c>
      <c r="BV162" s="164">
        <f t="shared" si="102"/>
        <v>2671.8824816579472</v>
      </c>
      <c r="BW162" s="164">
        <f t="shared" si="103"/>
        <v>893.3639893967586</v>
      </c>
      <c r="BX162" s="164">
        <f t="shared" si="104"/>
        <v>470.89366103192742</v>
      </c>
    </row>
    <row r="163" spans="1:76" s="150" customFormat="1" x14ac:dyDescent="0.25">
      <c r="A163" s="150">
        <f t="shared" si="117"/>
        <v>159</v>
      </c>
      <c r="B163" s="150">
        <f t="shared" si="118"/>
        <v>14</v>
      </c>
      <c r="C163" s="150">
        <f t="shared" si="119"/>
        <v>3</v>
      </c>
      <c r="D163" s="150">
        <f>IF(E163="","",Input!$C$4+B163-1)</f>
        <v>58</v>
      </c>
      <c r="E163" s="150">
        <f>IF(OR(AND(C162=12,D162=Input!$C$6),E162=""),"",1)</f>
        <v>1</v>
      </c>
      <c r="F163" s="150">
        <f>IF(E163="","",Input!$C$8+B163-1)</f>
        <v>2031</v>
      </c>
      <c r="G163" s="151">
        <f>IF(E163="","",MAX(0,Input!$C$9-B163))</f>
        <v>6</v>
      </c>
      <c r="H163" s="152">
        <f>IF(E163="","",Input!$C$3)</f>
        <v>100000</v>
      </c>
      <c r="I163" s="153">
        <f>IF(E163="","",HLOOKUP($B163,Input!$C$13:$BT$14,2))</f>
        <v>2.2999999999999998</v>
      </c>
      <c r="J163" s="154"/>
      <c r="K163" s="155">
        <f>IF($E163="","",INDEX(Input!$C$16:$CP$16,1,$B163))</f>
        <v>2.4490000000000001E-2</v>
      </c>
      <c r="L163" s="155">
        <f>IF($E163="","",Input!$C$37)</f>
        <v>1.4999999999999999E-2</v>
      </c>
      <c r="M163" s="155">
        <f t="shared" si="105"/>
        <v>3.9489999999999997E-2</v>
      </c>
      <c r="N163" s="155">
        <f t="shared" si="106"/>
        <v>3.2327313971030058E-3</v>
      </c>
      <c r="O163" s="147">
        <f>IF($E163="","",MIN(VLOOKUP(IF($B163&lt;=Input!$C$7,$B163,26),'Mortality Tables'!$A$41:$CW$67,IF($B163&lt;=Input!$C$7+1,Input!$C$4+2,$D163-Input!$C$7+2),0)*IF(B163&gt;20,Input!$C$22,1)/1000,1))</f>
        <v>2.2559999999999998E-3</v>
      </c>
      <c r="P163" s="147">
        <f>IF($E163="","",MIN(VLOOKUP(IF($B163&lt;=Input!$C$7,$B163,26),'Mortality Tables'!$A$12:$CW$37,IF($B163&lt;=Input!$C$7+1,Input!$C$4+2,$D163-Input!$C$7+2),0)*IF(B163&gt;20,Input!$C$22,1)/1000,1))</f>
        <v>2.82E-3</v>
      </c>
      <c r="Q163" s="155">
        <f>IF($E163="","",Input!$C$21)</f>
        <v>5.0000000000000001E-3</v>
      </c>
      <c r="R163" s="159">
        <f>IF($E163="","",(1-Q163)^($F163-Input!$C$20))</f>
        <v>0.93691469287980411</v>
      </c>
      <c r="S163" s="147">
        <f t="shared" si="82"/>
        <v>2.1136795471368378E-3</v>
      </c>
      <c r="T163" s="147">
        <f t="shared" si="83"/>
        <v>1.7631083212388265E-4</v>
      </c>
      <c r="U163" s="160">
        <f>IF($E163="","",IF($C163=12,INDEX(Input!$C$15:$CP$15,1,$B163),0))</f>
        <v>0</v>
      </c>
      <c r="V163" s="150">
        <f>IF(E163="","",IF(C163=1,IF($B163=1,Input!$C$33,Input!$C$34),0))</f>
        <v>0</v>
      </c>
      <c r="W163" s="156">
        <f>IF($E163="","",Input!$C$35)</f>
        <v>0.02</v>
      </c>
      <c r="X163" s="156">
        <f t="shared" si="84"/>
        <v>1.2936066304537963</v>
      </c>
      <c r="Y163" s="154"/>
      <c r="Z163" s="147">
        <f>IF($E163="","",VLOOKUP($D163,'Mortality Margins &amp; Grading'!$AB$5:$AF$125,3,0)*IF(Summary!$D$25="Included Margin",IF(AND($B163&gt;Input!$C$9,Summary!$D$31&lt;&gt;"Included Margin"),0,1),0))</f>
        <v>3.5999999999999997E-2</v>
      </c>
      <c r="AA163" s="147">
        <f>IF($E163="","",VLOOKUP($D163,'Mortality Margins &amp; Grading'!$AB$5:$AF$125,5,0)*IF(Summary!$D$25="Included Margin",IF(AND($B163&gt;Input!$C$9,Summary!$D$31&lt;&gt;"Included Margin"),0,1),0))</f>
        <v>0.185</v>
      </c>
      <c r="AB163" s="147">
        <f>IF($E163="","",IF(AND($B163&gt;Input!$C$9,Summary!$D$31&lt;&gt;"Included Margin"),1,IF(Summary!$D$25="Included Margin",VLOOKUP($B163,'Mortality Margins &amp; Grading'!$AI$5:$AR$125,MATCH('Mortality Margins &amp; Grading'!$AQ$4,'Mortality Margins &amp; Grading'!$AI$4:$AR$4,0),0),1)))</f>
        <v>1</v>
      </c>
      <c r="AC163" s="154"/>
      <c r="AD163" s="158">
        <f>IF(E163="","",Input!$C$48*IF(Summary!$D$30="Included Margin",IF(AND($B163&gt;Input!$C$9,Summary!$D$31&lt;&gt;"Included Margin"),0,1),0))</f>
        <v>-4.4999999999999997E-3</v>
      </c>
      <c r="AE163" s="159">
        <f>IF(E163="","",IF(Summary!$D$26="Included Margin",IF(AND($B163&gt;Input!$C$9,Summary!$D$31&lt;&gt;"Included Margin"),1,1/$R163),1))</f>
        <v>1.0673330321315486</v>
      </c>
      <c r="AF163" s="160">
        <f>IF(E163="","",IF(AND($B163&gt;=Input!$C$9,$C163=12,Summary!$D$31="Included Margin",$U163&gt;0),1/U163-1,IF($B163&gt;=Input!$C$9,0,Input!$C$45*IF(Summary!$D$27="Included Margin",1,0))))</f>
        <v>-0.1</v>
      </c>
      <c r="AG163" s="160">
        <f>IF(E163="","",Input!$C$46*IF(Summary!$D$28="Included Margin",IF(AND($B163&gt;Input!$C$9,Summary!$D$31&lt;&gt;"Included Margin"),0,1),0))</f>
        <v>0.02</v>
      </c>
      <c r="AH163" s="158">
        <f>IF(E163="","",Input!$C$47*IF(Summary!$D$29="Included Margin",IF(AND($B163&gt;Input!$C$9,Summary!$D$31&lt;&gt;"Included Margin"),0,1),0))</f>
        <v>2.5000000000000001E-3</v>
      </c>
      <c r="AI163" s="154"/>
      <c r="AJ163" s="158">
        <f t="shared" si="107"/>
        <v>3.499E-2</v>
      </c>
      <c r="AK163" s="155">
        <f t="shared" si="108"/>
        <v>2.8700912510091214E-3</v>
      </c>
      <c r="AL163" s="147">
        <f t="shared" si="109"/>
        <v>2.337216E-3</v>
      </c>
      <c r="AM163" s="147">
        <f t="shared" si="85"/>
        <v>1.949769522339162E-4</v>
      </c>
      <c r="AN163" s="160">
        <f t="shared" si="110"/>
        <v>0</v>
      </c>
      <c r="AO163" s="161">
        <f t="shared" si="111"/>
        <v>0</v>
      </c>
      <c r="AP163" s="156">
        <f t="shared" si="86"/>
        <v>1.3354361146600375</v>
      </c>
      <c r="AQ163" s="152"/>
      <c r="AR163" s="162">
        <f t="shared" si="87"/>
        <v>1214.2108757499539</v>
      </c>
      <c r="AS163" s="150">
        <f t="shared" si="112"/>
        <v>0</v>
      </c>
      <c r="AT163" s="163">
        <f t="shared" si="88"/>
        <v>0</v>
      </c>
      <c r="AU163" s="163">
        <f t="shared" si="89"/>
        <v>19.49769522339162</v>
      </c>
      <c r="AV163" s="163">
        <f t="shared" si="113"/>
        <v>3.4569159291323168</v>
      </c>
      <c r="AW163" s="163">
        <f t="shared" si="90"/>
        <v>0.2336611200154162</v>
      </c>
      <c r="AX163" s="163">
        <f t="shared" si="91"/>
        <v>0</v>
      </c>
      <c r="AY163" s="164">
        <f t="shared" si="114"/>
        <v>1198.4037575757097</v>
      </c>
      <c r="AZ163" s="164">
        <f>IF($E163="","",IF(OR(AND($D163=Input!$C$6,$C163=12),$AN163=1),0,-AS164+AT164+AU164-AV164-AW164-AX164+AZ164))</f>
        <v>1198.403797670866</v>
      </c>
      <c r="BA163" s="154">
        <f t="shared" si="92"/>
        <v>4.0095156236930052E-5</v>
      </c>
      <c r="BC163" s="147">
        <f t="shared" si="115"/>
        <v>0.52700874779676588</v>
      </c>
      <c r="BD163" s="164">
        <f>IF(AND($C162=12,$D162=Input!$C$6),0,IF($E163="","",AT163+(AU163+BD164)/(1+$AK163)*MIN((1-AM163-AN163),1)))</f>
        <v>2329.7738577930872</v>
      </c>
      <c r="BE163" s="164">
        <f t="shared" si="93"/>
        <v>1227.8112034451754</v>
      </c>
      <c r="BF163" s="164">
        <f t="shared" si="116"/>
        <v>1198.403797670866</v>
      </c>
      <c r="BG163" s="164">
        <f t="shared" si="94"/>
        <v>631.56928476541179</v>
      </c>
      <c r="BH163" s="152"/>
      <c r="BI163" s="162">
        <f t="shared" si="95"/>
        <v>893.36394340745483</v>
      </c>
      <c r="BJ163" s="150">
        <f t="shared" si="96"/>
        <v>0</v>
      </c>
      <c r="BK163" s="163">
        <f t="shared" si="120"/>
        <v>0</v>
      </c>
      <c r="BL163" s="163">
        <f t="shared" si="97"/>
        <v>17.631083212388265</v>
      </c>
      <c r="BM163" s="163">
        <f t="shared" si="121"/>
        <v>2.8595073907602204</v>
      </c>
      <c r="BN163" s="163">
        <f t="shared" si="98"/>
        <v>0.15493267584416298</v>
      </c>
      <c r="BO163" s="163">
        <f t="shared" si="99"/>
        <v>0</v>
      </c>
      <c r="BP163" s="164">
        <f t="shared" si="122"/>
        <v>878.74730026167094</v>
      </c>
      <c r="BQ163" s="164">
        <f>IF($E163="","",IF(AND($D163=Input!$C$6,$C163=12),0,-BJ164+BK164+BL164-BM164-BN164-BO164+BQ164))</f>
        <v>878.74734625097472</v>
      </c>
      <c r="BR163" s="161">
        <f t="shared" si="100"/>
        <v>0</v>
      </c>
      <c r="BT163" s="147">
        <f t="shared" si="101"/>
        <v>0.52700874779676588</v>
      </c>
      <c r="BU163" s="164">
        <f>IF(AND($C162=12,$D162=Input!$C$6),0,IF($E163="","",BK163+(BL163+BU164)/(1+$AK163)*MIN((1-T163-U163),1)))</f>
        <v>5066.8215741571858</v>
      </c>
      <c r="BV163" s="164">
        <f t="shared" si="102"/>
        <v>2670.2592931062168</v>
      </c>
      <c r="BW163" s="164">
        <f t="shared" si="103"/>
        <v>878.74734625097472</v>
      </c>
      <c r="BX163" s="164">
        <f t="shared" si="104"/>
        <v>463.10753857745721</v>
      </c>
    </row>
    <row r="164" spans="1:76" s="150" customFormat="1" x14ac:dyDescent="0.25">
      <c r="A164" s="150">
        <f t="shared" si="117"/>
        <v>160</v>
      </c>
      <c r="B164" s="150">
        <f t="shared" si="118"/>
        <v>14</v>
      </c>
      <c r="C164" s="150">
        <f t="shared" si="119"/>
        <v>4</v>
      </c>
      <c r="D164" s="150">
        <f>IF(E164="","",Input!$C$4+B164-1)</f>
        <v>58</v>
      </c>
      <c r="E164" s="150">
        <f>IF(OR(AND(C163=12,D163=Input!$C$6),E163=""),"",1)</f>
        <v>1</v>
      </c>
      <c r="F164" s="150">
        <f>IF(E164="","",Input!$C$8+B164-1)</f>
        <v>2031</v>
      </c>
      <c r="G164" s="151">
        <f>IF(E164="","",MAX(0,Input!$C$9-B164))</f>
        <v>6</v>
      </c>
      <c r="H164" s="152">
        <f>IF(E164="","",Input!$C$3)</f>
        <v>100000</v>
      </c>
      <c r="I164" s="153">
        <f>IF(E164="","",HLOOKUP($B164,Input!$C$13:$BT$14,2))</f>
        <v>2.2999999999999998</v>
      </c>
      <c r="J164" s="154"/>
      <c r="K164" s="155">
        <f>IF($E164="","",INDEX(Input!$C$16:$CP$16,1,$B164))</f>
        <v>2.4490000000000001E-2</v>
      </c>
      <c r="L164" s="155">
        <f>IF($E164="","",Input!$C$37)</f>
        <v>1.4999999999999999E-2</v>
      </c>
      <c r="M164" s="155">
        <f t="shared" si="105"/>
        <v>3.9489999999999997E-2</v>
      </c>
      <c r="N164" s="155">
        <f t="shared" si="106"/>
        <v>3.2327313971030058E-3</v>
      </c>
      <c r="O164" s="147">
        <f>IF($E164="","",MIN(VLOOKUP(IF($B164&lt;=Input!$C$7,$B164,26),'Mortality Tables'!$A$41:$CW$67,IF($B164&lt;=Input!$C$7+1,Input!$C$4+2,$D164-Input!$C$7+2),0)*IF(B164&gt;20,Input!$C$22,1)/1000,1))</f>
        <v>2.2559999999999998E-3</v>
      </c>
      <c r="P164" s="147">
        <f>IF($E164="","",MIN(VLOOKUP(IF($B164&lt;=Input!$C$7,$B164,26),'Mortality Tables'!$A$12:$CW$37,IF($B164&lt;=Input!$C$7+1,Input!$C$4+2,$D164-Input!$C$7+2),0)*IF(B164&gt;20,Input!$C$22,1)/1000,1))</f>
        <v>2.82E-3</v>
      </c>
      <c r="Q164" s="155">
        <f>IF($E164="","",Input!$C$21)</f>
        <v>5.0000000000000001E-3</v>
      </c>
      <c r="R164" s="159">
        <f>IF($E164="","",(1-Q164)^($F164-Input!$C$20))</f>
        <v>0.93691469287980411</v>
      </c>
      <c r="S164" s="147">
        <f t="shared" si="82"/>
        <v>2.1136795471368378E-3</v>
      </c>
      <c r="T164" s="147">
        <f t="shared" si="83"/>
        <v>1.7631083212388265E-4</v>
      </c>
      <c r="U164" s="160">
        <f>IF($E164="","",IF($C164=12,INDEX(Input!$C$15:$CP$15,1,$B164),0))</f>
        <v>0</v>
      </c>
      <c r="V164" s="150">
        <f>IF(E164="","",IF(C164=1,IF($B164=1,Input!$C$33,Input!$C$34),0))</f>
        <v>0</v>
      </c>
      <c r="W164" s="156">
        <f>IF($E164="","",Input!$C$35)</f>
        <v>0.02</v>
      </c>
      <c r="X164" s="156">
        <f t="shared" si="84"/>
        <v>1.2936066304537963</v>
      </c>
      <c r="Y164" s="154"/>
      <c r="Z164" s="147">
        <f>IF($E164="","",VLOOKUP($D164,'Mortality Margins &amp; Grading'!$AB$5:$AF$125,3,0)*IF(Summary!$D$25="Included Margin",IF(AND($B164&gt;Input!$C$9,Summary!$D$31&lt;&gt;"Included Margin"),0,1),0))</f>
        <v>3.5999999999999997E-2</v>
      </c>
      <c r="AA164" s="147">
        <f>IF($E164="","",VLOOKUP($D164,'Mortality Margins &amp; Grading'!$AB$5:$AF$125,5,0)*IF(Summary!$D$25="Included Margin",IF(AND($B164&gt;Input!$C$9,Summary!$D$31&lt;&gt;"Included Margin"),0,1),0))</f>
        <v>0.185</v>
      </c>
      <c r="AB164" s="147">
        <f>IF($E164="","",IF(AND($B164&gt;Input!$C$9,Summary!$D$31&lt;&gt;"Included Margin"),1,IF(Summary!$D$25="Included Margin",VLOOKUP($B164,'Mortality Margins &amp; Grading'!$AI$5:$AR$125,MATCH('Mortality Margins &amp; Grading'!$AQ$4,'Mortality Margins &amp; Grading'!$AI$4:$AR$4,0),0),1)))</f>
        <v>1</v>
      </c>
      <c r="AC164" s="154"/>
      <c r="AD164" s="158">
        <f>IF(E164="","",Input!$C$48*IF(Summary!$D$30="Included Margin",IF(AND($B164&gt;Input!$C$9,Summary!$D$31&lt;&gt;"Included Margin"),0,1),0))</f>
        <v>-4.4999999999999997E-3</v>
      </c>
      <c r="AE164" s="159">
        <f>IF(E164="","",IF(Summary!$D$26="Included Margin",IF(AND($B164&gt;Input!$C$9,Summary!$D$31&lt;&gt;"Included Margin"),1,1/$R164),1))</f>
        <v>1.0673330321315486</v>
      </c>
      <c r="AF164" s="160">
        <f>IF(E164="","",IF(AND($B164&gt;=Input!$C$9,$C164=12,Summary!$D$31="Included Margin",$U164&gt;0),1/U164-1,IF($B164&gt;=Input!$C$9,0,Input!$C$45*IF(Summary!$D$27="Included Margin",1,0))))</f>
        <v>-0.1</v>
      </c>
      <c r="AG164" s="160">
        <f>IF(E164="","",Input!$C$46*IF(Summary!$D$28="Included Margin",IF(AND($B164&gt;Input!$C$9,Summary!$D$31&lt;&gt;"Included Margin"),0,1),0))</f>
        <v>0.02</v>
      </c>
      <c r="AH164" s="158">
        <f>IF(E164="","",Input!$C$47*IF(Summary!$D$29="Included Margin",IF(AND($B164&gt;Input!$C$9,Summary!$D$31&lt;&gt;"Included Margin"),0,1),0))</f>
        <v>2.5000000000000001E-3</v>
      </c>
      <c r="AI164" s="154"/>
      <c r="AJ164" s="158">
        <f t="shared" si="107"/>
        <v>3.499E-2</v>
      </c>
      <c r="AK164" s="155">
        <f t="shared" si="108"/>
        <v>2.8700912510091214E-3</v>
      </c>
      <c r="AL164" s="147">
        <f t="shared" si="109"/>
        <v>2.337216E-3</v>
      </c>
      <c r="AM164" s="147">
        <f t="shared" si="85"/>
        <v>1.949769522339162E-4</v>
      </c>
      <c r="AN164" s="160">
        <f t="shared" si="110"/>
        <v>0</v>
      </c>
      <c r="AO164" s="161">
        <f t="shared" si="111"/>
        <v>0</v>
      </c>
      <c r="AP164" s="156">
        <f t="shared" si="86"/>
        <v>1.3354361146600375</v>
      </c>
      <c r="AQ164" s="152"/>
      <c r="AR164" s="162">
        <f t="shared" si="87"/>
        <v>1198.40375757571</v>
      </c>
      <c r="AS164" s="150">
        <f t="shared" si="112"/>
        <v>0</v>
      </c>
      <c r="AT164" s="163">
        <f t="shared" si="88"/>
        <v>0</v>
      </c>
      <c r="AU164" s="163">
        <f t="shared" si="89"/>
        <v>19.49769522339162</v>
      </c>
      <c r="AV164" s="163">
        <f t="shared" si="113"/>
        <v>3.4115480575567521</v>
      </c>
      <c r="AW164" s="163">
        <f t="shared" si="90"/>
        <v>0.23056964783504802</v>
      </c>
      <c r="AX164" s="163">
        <f t="shared" si="91"/>
        <v>0</v>
      </c>
      <c r="AY164" s="164">
        <f t="shared" si="114"/>
        <v>1182.5481800577099</v>
      </c>
      <c r="AZ164" s="164">
        <f>IF($E164="","",IF(OR(AND($D164=Input!$C$6,$C164=12),$AN164=1),0,-AS165+AT165+AU165-AV165-AW165-AX165+AZ165))</f>
        <v>1182.5482201528662</v>
      </c>
      <c r="BA164" s="154">
        <f t="shared" si="92"/>
        <v>4.0095156236930052E-5</v>
      </c>
      <c r="BC164" s="147">
        <f t="shared" si="115"/>
        <v>0.52691583044590529</v>
      </c>
      <c r="BD164" s="164">
        <f>IF(AND($C163=12,$D163=Input!$C$6),0,IF($E164="","",AT164+(AU164+BD165)/(1+$AK164)*MIN((1-AM164-AN164),1)))</f>
        <v>2317.4184709274796</v>
      </c>
      <c r="BE164" s="164">
        <f t="shared" si="93"/>
        <v>1221.084478099433</v>
      </c>
      <c r="BF164" s="164">
        <f t="shared" si="116"/>
        <v>1182.5482201528662</v>
      </c>
      <c r="BG164" s="164">
        <f t="shared" si="94"/>
        <v>623.10337746417474</v>
      </c>
      <c r="BH164" s="152"/>
      <c r="BI164" s="162">
        <f t="shared" si="95"/>
        <v>878.74730026167094</v>
      </c>
      <c r="BJ164" s="150">
        <f t="shared" si="96"/>
        <v>0</v>
      </c>
      <c r="BK164" s="163">
        <f t="shared" si="120"/>
        <v>0</v>
      </c>
      <c r="BL164" s="163">
        <f t="shared" si="97"/>
        <v>17.631083212388265</v>
      </c>
      <c r="BM164" s="163">
        <f t="shared" si="121"/>
        <v>2.8122557095425944</v>
      </c>
      <c r="BN164" s="163">
        <f t="shared" si="98"/>
        <v>0.15234681643001219</v>
      </c>
      <c r="BO164" s="163">
        <f t="shared" si="99"/>
        <v>0</v>
      </c>
      <c r="BP164" s="164">
        <f t="shared" si="122"/>
        <v>864.0808195752553</v>
      </c>
      <c r="BQ164" s="164">
        <f>IF($E164="","",IF(AND($D164=Input!$C$6,$C164=12),0,-BJ165+BK165+BL165-BM165-BN165-BO165+BQ165))</f>
        <v>864.08086556455908</v>
      </c>
      <c r="BR164" s="161">
        <f t="shared" si="100"/>
        <v>0</v>
      </c>
      <c r="BT164" s="147">
        <f t="shared" si="101"/>
        <v>0.52691583044590529</v>
      </c>
      <c r="BU164" s="164">
        <f>IF(AND($C163=12,$D163=Input!$C$6),0,IF($E164="","",BK164+(BL164+BU165)/(1+$AK164)*MIN((1-T164-U164),1)))</f>
        <v>5064.6287886822947</v>
      </c>
      <c r="BV164" s="164">
        <f t="shared" si="102"/>
        <v>2668.6330840887708</v>
      </c>
      <c r="BW164" s="164">
        <f t="shared" si="103"/>
        <v>864.08086556455908</v>
      </c>
      <c r="BX164" s="164">
        <f t="shared" si="104"/>
        <v>455.29788685136629</v>
      </c>
    </row>
    <row r="165" spans="1:76" s="150" customFormat="1" x14ac:dyDescent="0.25">
      <c r="A165" s="150">
        <f t="shared" si="117"/>
        <v>161</v>
      </c>
      <c r="B165" s="150">
        <f t="shared" si="118"/>
        <v>14</v>
      </c>
      <c r="C165" s="150">
        <f t="shared" si="119"/>
        <v>5</v>
      </c>
      <c r="D165" s="150">
        <f>IF(E165="","",Input!$C$4+B165-1)</f>
        <v>58</v>
      </c>
      <c r="E165" s="150">
        <f>IF(OR(AND(C164=12,D164=Input!$C$6),E164=""),"",1)</f>
        <v>1</v>
      </c>
      <c r="F165" s="150">
        <f>IF(E165="","",Input!$C$8+B165-1)</f>
        <v>2031</v>
      </c>
      <c r="G165" s="151">
        <f>IF(E165="","",MAX(0,Input!$C$9-B165))</f>
        <v>6</v>
      </c>
      <c r="H165" s="152">
        <f>IF(E165="","",Input!$C$3)</f>
        <v>100000</v>
      </c>
      <c r="I165" s="153">
        <f>IF(E165="","",HLOOKUP($B165,Input!$C$13:$BT$14,2))</f>
        <v>2.2999999999999998</v>
      </c>
      <c r="J165" s="154"/>
      <c r="K165" s="155">
        <f>IF($E165="","",INDEX(Input!$C$16:$CP$16,1,$B165))</f>
        <v>2.4490000000000001E-2</v>
      </c>
      <c r="L165" s="155">
        <f>IF($E165="","",Input!$C$37)</f>
        <v>1.4999999999999999E-2</v>
      </c>
      <c r="M165" s="155">
        <f t="shared" si="105"/>
        <v>3.9489999999999997E-2</v>
      </c>
      <c r="N165" s="155">
        <f t="shared" si="106"/>
        <v>3.2327313971030058E-3</v>
      </c>
      <c r="O165" s="147">
        <f>IF($E165="","",MIN(VLOOKUP(IF($B165&lt;=Input!$C$7,$B165,26),'Mortality Tables'!$A$41:$CW$67,IF($B165&lt;=Input!$C$7+1,Input!$C$4+2,$D165-Input!$C$7+2),0)*IF(B165&gt;20,Input!$C$22,1)/1000,1))</f>
        <v>2.2559999999999998E-3</v>
      </c>
      <c r="P165" s="147">
        <f>IF($E165="","",MIN(VLOOKUP(IF($B165&lt;=Input!$C$7,$B165,26),'Mortality Tables'!$A$12:$CW$37,IF($B165&lt;=Input!$C$7+1,Input!$C$4+2,$D165-Input!$C$7+2),0)*IF(B165&gt;20,Input!$C$22,1)/1000,1))</f>
        <v>2.82E-3</v>
      </c>
      <c r="Q165" s="155">
        <f>IF($E165="","",Input!$C$21)</f>
        <v>5.0000000000000001E-3</v>
      </c>
      <c r="R165" s="159">
        <f>IF($E165="","",(1-Q165)^($F165-Input!$C$20))</f>
        <v>0.93691469287980411</v>
      </c>
      <c r="S165" s="147">
        <f t="shared" si="82"/>
        <v>2.1136795471368378E-3</v>
      </c>
      <c r="T165" s="147">
        <f t="shared" si="83"/>
        <v>1.7631083212388265E-4</v>
      </c>
      <c r="U165" s="160">
        <f>IF($E165="","",IF($C165=12,INDEX(Input!$C$15:$CP$15,1,$B165),0))</f>
        <v>0</v>
      </c>
      <c r="V165" s="150">
        <f>IF(E165="","",IF(C165=1,IF($B165=1,Input!$C$33,Input!$C$34),0))</f>
        <v>0</v>
      </c>
      <c r="W165" s="156">
        <f>IF($E165="","",Input!$C$35)</f>
        <v>0.02</v>
      </c>
      <c r="X165" s="156">
        <f t="shared" si="84"/>
        <v>1.2936066304537963</v>
      </c>
      <c r="Y165" s="154"/>
      <c r="Z165" s="147">
        <f>IF($E165="","",VLOOKUP($D165,'Mortality Margins &amp; Grading'!$AB$5:$AF$125,3,0)*IF(Summary!$D$25="Included Margin",IF(AND($B165&gt;Input!$C$9,Summary!$D$31&lt;&gt;"Included Margin"),0,1),0))</f>
        <v>3.5999999999999997E-2</v>
      </c>
      <c r="AA165" s="147">
        <f>IF($E165="","",VLOOKUP($D165,'Mortality Margins &amp; Grading'!$AB$5:$AF$125,5,0)*IF(Summary!$D$25="Included Margin",IF(AND($B165&gt;Input!$C$9,Summary!$D$31&lt;&gt;"Included Margin"),0,1),0))</f>
        <v>0.185</v>
      </c>
      <c r="AB165" s="147">
        <f>IF($E165="","",IF(AND($B165&gt;Input!$C$9,Summary!$D$31&lt;&gt;"Included Margin"),1,IF(Summary!$D$25="Included Margin",VLOOKUP($B165,'Mortality Margins &amp; Grading'!$AI$5:$AR$125,MATCH('Mortality Margins &amp; Grading'!$AQ$4,'Mortality Margins &amp; Grading'!$AI$4:$AR$4,0),0),1)))</f>
        <v>1</v>
      </c>
      <c r="AC165" s="154"/>
      <c r="AD165" s="158">
        <f>IF(E165="","",Input!$C$48*IF(Summary!$D$30="Included Margin",IF(AND($B165&gt;Input!$C$9,Summary!$D$31&lt;&gt;"Included Margin"),0,1),0))</f>
        <v>-4.4999999999999997E-3</v>
      </c>
      <c r="AE165" s="159">
        <f>IF(E165="","",IF(Summary!$D$26="Included Margin",IF(AND($B165&gt;Input!$C$9,Summary!$D$31&lt;&gt;"Included Margin"),1,1/$R165),1))</f>
        <v>1.0673330321315486</v>
      </c>
      <c r="AF165" s="160">
        <f>IF(E165="","",IF(AND($B165&gt;=Input!$C$9,$C165=12,Summary!$D$31="Included Margin",$U165&gt;0),1/U165-1,IF($B165&gt;=Input!$C$9,0,Input!$C$45*IF(Summary!$D$27="Included Margin",1,0))))</f>
        <v>-0.1</v>
      </c>
      <c r="AG165" s="160">
        <f>IF(E165="","",Input!$C$46*IF(Summary!$D$28="Included Margin",IF(AND($B165&gt;Input!$C$9,Summary!$D$31&lt;&gt;"Included Margin"),0,1),0))</f>
        <v>0.02</v>
      </c>
      <c r="AH165" s="158">
        <f>IF(E165="","",Input!$C$47*IF(Summary!$D$29="Included Margin",IF(AND($B165&gt;Input!$C$9,Summary!$D$31&lt;&gt;"Included Margin"),0,1),0))</f>
        <v>2.5000000000000001E-3</v>
      </c>
      <c r="AI165" s="154"/>
      <c r="AJ165" s="158">
        <f t="shared" si="107"/>
        <v>3.499E-2</v>
      </c>
      <c r="AK165" s="155">
        <f t="shared" si="108"/>
        <v>2.8700912510091214E-3</v>
      </c>
      <c r="AL165" s="147">
        <f t="shared" si="109"/>
        <v>2.337216E-3</v>
      </c>
      <c r="AM165" s="147">
        <f t="shared" si="85"/>
        <v>1.949769522339162E-4</v>
      </c>
      <c r="AN165" s="160">
        <f t="shared" si="110"/>
        <v>0</v>
      </c>
      <c r="AO165" s="161">
        <f t="shared" si="111"/>
        <v>0</v>
      </c>
      <c r="AP165" s="156">
        <f t="shared" si="86"/>
        <v>1.3354361146600375</v>
      </c>
      <c r="AQ165" s="152"/>
      <c r="AR165" s="162">
        <f t="shared" si="87"/>
        <v>1182.5481800577102</v>
      </c>
      <c r="AS165" s="150">
        <f t="shared" si="112"/>
        <v>0</v>
      </c>
      <c r="AT165" s="163">
        <f t="shared" si="88"/>
        <v>0</v>
      </c>
      <c r="AU165" s="163">
        <f t="shared" si="89"/>
        <v>19.49769522339162</v>
      </c>
      <c r="AV165" s="163">
        <f t="shared" si="113"/>
        <v>3.3660411032426443</v>
      </c>
      <c r="AW165" s="163">
        <f t="shared" si="90"/>
        <v>0.2274686982337199</v>
      </c>
      <c r="AX165" s="163">
        <f t="shared" si="91"/>
        <v>0</v>
      </c>
      <c r="AY165" s="164">
        <f t="shared" si="114"/>
        <v>1166.6439946357948</v>
      </c>
      <c r="AZ165" s="164">
        <f>IF($E165="","",IF(OR(AND($D165=Input!$C$6,$C165=12),$AN165=1),0,-AS166+AT166+AU166-AV166-AW166-AX166+AZ166))</f>
        <v>1166.644034730951</v>
      </c>
      <c r="BA165" s="154">
        <f t="shared" si="92"/>
        <v>4.0095156236930052E-5</v>
      </c>
      <c r="BC165" s="147">
        <f t="shared" si="115"/>
        <v>0.52682292947738008</v>
      </c>
      <c r="BD165" s="164">
        <f>IF(AND($C164=12,$D164=Input!$C$6),0,IF($E165="","",AT165+(AU165+BD166)/(1+$AK165)*MIN((1-AM165-AN165),1)))</f>
        <v>2305.0252065732143</v>
      </c>
      <c r="BE165" s="164">
        <f t="shared" si="93"/>
        <v>1214.340131846104</v>
      </c>
      <c r="BF165" s="164">
        <f t="shared" si="116"/>
        <v>1166.644034730951</v>
      </c>
      <c r="BG165" s="164">
        <f t="shared" si="94"/>
        <v>614.61482803426998</v>
      </c>
      <c r="BH165" s="152"/>
      <c r="BI165" s="162">
        <f t="shared" si="95"/>
        <v>864.08081957525542</v>
      </c>
      <c r="BJ165" s="150">
        <f t="shared" si="96"/>
        <v>0</v>
      </c>
      <c r="BK165" s="163">
        <f t="shared" si="120"/>
        <v>0</v>
      </c>
      <c r="BL165" s="163">
        <f t="shared" si="97"/>
        <v>17.631083212388265</v>
      </c>
      <c r="BM165" s="163">
        <f t="shared" si="121"/>
        <v>2.7648429169426141</v>
      </c>
      <c r="BN165" s="163">
        <f t="shared" si="98"/>
        <v>0.14975214015741206</v>
      </c>
      <c r="BO165" s="163">
        <f t="shared" si="99"/>
        <v>0</v>
      </c>
      <c r="BP165" s="164">
        <f t="shared" si="122"/>
        <v>849.36433141996713</v>
      </c>
      <c r="BQ165" s="164">
        <f>IF($E165="","",IF(AND($D165=Input!$C$6,$C165=12),0,-BJ166+BK166+BL166-BM166-BN166-BO166+BQ166))</f>
        <v>849.36437740927079</v>
      </c>
      <c r="BR165" s="161">
        <f t="shared" si="100"/>
        <v>0</v>
      </c>
      <c r="BT165" s="147">
        <f t="shared" si="101"/>
        <v>0.52682292947738008</v>
      </c>
      <c r="BU165" s="164">
        <f>IF(AND($C164=12,$D164=Input!$C$6),0,IF($E165="","",BK165+(BL165+BU166)/(1+$AK165)*MIN((1-T165-U165),1)))</f>
        <v>5062.4293219231813</v>
      </c>
      <c r="BV165" s="164">
        <f t="shared" si="102"/>
        <v>2667.0038456477573</v>
      </c>
      <c r="BW165" s="164">
        <f t="shared" si="103"/>
        <v>849.36437740927079</v>
      </c>
      <c r="BX165" s="164">
        <f t="shared" si="104"/>
        <v>447.46462950048311</v>
      </c>
    </row>
    <row r="166" spans="1:76" s="150" customFormat="1" x14ac:dyDescent="0.25">
      <c r="A166" s="150">
        <f t="shared" si="117"/>
        <v>162</v>
      </c>
      <c r="B166" s="150">
        <f t="shared" si="118"/>
        <v>14</v>
      </c>
      <c r="C166" s="150">
        <f t="shared" si="119"/>
        <v>6</v>
      </c>
      <c r="D166" s="150">
        <f>IF(E166="","",Input!$C$4+B166-1)</f>
        <v>58</v>
      </c>
      <c r="E166" s="150">
        <f>IF(OR(AND(C165=12,D165=Input!$C$6),E165=""),"",1)</f>
        <v>1</v>
      </c>
      <c r="F166" s="150">
        <f>IF(E166="","",Input!$C$8+B166-1)</f>
        <v>2031</v>
      </c>
      <c r="G166" s="151">
        <f>IF(E166="","",MAX(0,Input!$C$9-B166))</f>
        <v>6</v>
      </c>
      <c r="H166" s="152">
        <f>IF(E166="","",Input!$C$3)</f>
        <v>100000</v>
      </c>
      <c r="I166" s="153">
        <f>IF(E166="","",HLOOKUP($B166,Input!$C$13:$BT$14,2))</f>
        <v>2.2999999999999998</v>
      </c>
      <c r="J166" s="154"/>
      <c r="K166" s="155">
        <f>IF($E166="","",INDEX(Input!$C$16:$CP$16,1,$B166))</f>
        <v>2.4490000000000001E-2</v>
      </c>
      <c r="L166" s="155">
        <f>IF($E166="","",Input!$C$37)</f>
        <v>1.4999999999999999E-2</v>
      </c>
      <c r="M166" s="155">
        <f t="shared" si="105"/>
        <v>3.9489999999999997E-2</v>
      </c>
      <c r="N166" s="155">
        <f t="shared" si="106"/>
        <v>3.2327313971030058E-3</v>
      </c>
      <c r="O166" s="147">
        <f>IF($E166="","",MIN(VLOOKUP(IF($B166&lt;=Input!$C$7,$B166,26),'Mortality Tables'!$A$41:$CW$67,IF($B166&lt;=Input!$C$7+1,Input!$C$4+2,$D166-Input!$C$7+2),0)*IF(B166&gt;20,Input!$C$22,1)/1000,1))</f>
        <v>2.2559999999999998E-3</v>
      </c>
      <c r="P166" s="147">
        <f>IF($E166="","",MIN(VLOOKUP(IF($B166&lt;=Input!$C$7,$B166,26),'Mortality Tables'!$A$12:$CW$37,IF($B166&lt;=Input!$C$7+1,Input!$C$4+2,$D166-Input!$C$7+2),0)*IF(B166&gt;20,Input!$C$22,1)/1000,1))</f>
        <v>2.82E-3</v>
      </c>
      <c r="Q166" s="155">
        <f>IF($E166="","",Input!$C$21)</f>
        <v>5.0000000000000001E-3</v>
      </c>
      <c r="R166" s="159">
        <f>IF($E166="","",(1-Q166)^($F166-Input!$C$20))</f>
        <v>0.93691469287980411</v>
      </c>
      <c r="S166" s="147">
        <f t="shared" si="82"/>
        <v>2.1136795471368378E-3</v>
      </c>
      <c r="T166" s="147">
        <f t="shared" si="83"/>
        <v>1.7631083212388265E-4</v>
      </c>
      <c r="U166" s="160">
        <f>IF($E166="","",IF($C166=12,INDEX(Input!$C$15:$CP$15,1,$B166),0))</f>
        <v>0</v>
      </c>
      <c r="V166" s="150">
        <f>IF(E166="","",IF(C166=1,IF($B166=1,Input!$C$33,Input!$C$34),0))</f>
        <v>0</v>
      </c>
      <c r="W166" s="156">
        <f>IF($E166="","",Input!$C$35)</f>
        <v>0.02</v>
      </c>
      <c r="X166" s="156">
        <f t="shared" si="84"/>
        <v>1.2936066304537963</v>
      </c>
      <c r="Y166" s="154"/>
      <c r="Z166" s="147">
        <f>IF($E166="","",VLOOKUP($D166,'Mortality Margins &amp; Grading'!$AB$5:$AF$125,3,0)*IF(Summary!$D$25="Included Margin",IF(AND($B166&gt;Input!$C$9,Summary!$D$31&lt;&gt;"Included Margin"),0,1),0))</f>
        <v>3.5999999999999997E-2</v>
      </c>
      <c r="AA166" s="147">
        <f>IF($E166="","",VLOOKUP($D166,'Mortality Margins &amp; Grading'!$AB$5:$AF$125,5,0)*IF(Summary!$D$25="Included Margin",IF(AND($B166&gt;Input!$C$9,Summary!$D$31&lt;&gt;"Included Margin"),0,1),0))</f>
        <v>0.185</v>
      </c>
      <c r="AB166" s="147">
        <f>IF($E166="","",IF(AND($B166&gt;Input!$C$9,Summary!$D$31&lt;&gt;"Included Margin"),1,IF(Summary!$D$25="Included Margin",VLOOKUP($B166,'Mortality Margins &amp; Grading'!$AI$5:$AR$125,MATCH('Mortality Margins &amp; Grading'!$AQ$4,'Mortality Margins &amp; Grading'!$AI$4:$AR$4,0),0),1)))</f>
        <v>1</v>
      </c>
      <c r="AC166" s="154"/>
      <c r="AD166" s="158">
        <f>IF(E166="","",Input!$C$48*IF(Summary!$D$30="Included Margin",IF(AND($B166&gt;Input!$C$9,Summary!$D$31&lt;&gt;"Included Margin"),0,1),0))</f>
        <v>-4.4999999999999997E-3</v>
      </c>
      <c r="AE166" s="159">
        <f>IF(E166="","",IF(Summary!$D$26="Included Margin",IF(AND($B166&gt;Input!$C$9,Summary!$D$31&lt;&gt;"Included Margin"),1,1/$R166),1))</f>
        <v>1.0673330321315486</v>
      </c>
      <c r="AF166" s="160">
        <f>IF(E166="","",IF(AND($B166&gt;=Input!$C$9,$C166=12,Summary!$D$31="Included Margin",$U166&gt;0),1/U166-1,IF($B166&gt;=Input!$C$9,0,Input!$C$45*IF(Summary!$D$27="Included Margin",1,0))))</f>
        <v>-0.1</v>
      </c>
      <c r="AG166" s="160">
        <f>IF(E166="","",Input!$C$46*IF(Summary!$D$28="Included Margin",IF(AND($B166&gt;Input!$C$9,Summary!$D$31&lt;&gt;"Included Margin"),0,1),0))</f>
        <v>0.02</v>
      </c>
      <c r="AH166" s="158">
        <f>IF(E166="","",Input!$C$47*IF(Summary!$D$29="Included Margin",IF(AND($B166&gt;Input!$C$9,Summary!$D$31&lt;&gt;"Included Margin"),0,1),0))</f>
        <v>2.5000000000000001E-3</v>
      </c>
      <c r="AI166" s="154"/>
      <c r="AJ166" s="158">
        <f t="shared" si="107"/>
        <v>3.499E-2</v>
      </c>
      <c r="AK166" s="155">
        <f t="shared" si="108"/>
        <v>2.8700912510091214E-3</v>
      </c>
      <c r="AL166" s="147">
        <f t="shared" si="109"/>
        <v>2.337216E-3</v>
      </c>
      <c r="AM166" s="147">
        <f t="shared" si="85"/>
        <v>1.949769522339162E-4</v>
      </c>
      <c r="AN166" s="160">
        <f t="shared" si="110"/>
        <v>0</v>
      </c>
      <c r="AO166" s="161">
        <f t="shared" si="111"/>
        <v>0</v>
      </c>
      <c r="AP166" s="156">
        <f t="shared" si="86"/>
        <v>1.3354361146600375</v>
      </c>
      <c r="AQ166" s="152"/>
      <c r="AR166" s="162">
        <f t="shared" si="87"/>
        <v>1166.643994635795</v>
      </c>
      <c r="AS166" s="150">
        <f t="shared" si="112"/>
        <v>0</v>
      </c>
      <c r="AT166" s="163">
        <f t="shared" si="88"/>
        <v>0</v>
      </c>
      <c r="AU166" s="163">
        <f t="shared" si="89"/>
        <v>19.49769522339162</v>
      </c>
      <c r="AV166" s="163">
        <f t="shared" si="113"/>
        <v>3.3203946398087787</v>
      </c>
      <c r="AW166" s="163">
        <f t="shared" si="90"/>
        <v>0.22435824215682526</v>
      </c>
      <c r="AX166" s="163">
        <f t="shared" si="91"/>
        <v>0</v>
      </c>
      <c r="AY166" s="164">
        <f t="shared" si="114"/>
        <v>1150.6910522943688</v>
      </c>
      <c r="AZ166" s="164">
        <f>IF($E166="","",IF(OR(AND($D166=Input!$C$6,$C166=12),$AN166=1),0,-AS167+AT167+AU167-AV167-AW167-AX167+AZ167))</f>
        <v>1150.691092389525</v>
      </c>
      <c r="BA166" s="154">
        <f t="shared" si="92"/>
        <v>4.0095156236930052E-5</v>
      </c>
      <c r="BC166" s="147">
        <f t="shared" si="115"/>
        <v>0.526730044888302</v>
      </c>
      <c r="BD166" s="164">
        <f>IF(AND($C165=12,$D165=Input!$C$6),0,IF($E166="","",AT166+(AU166+BD167)/(1+$AK166)*MIN((1-AM166-AN166),1)))</f>
        <v>2292.5939486105644</v>
      </c>
      <c r="BE166" s="164">
        <f t="shared" si="93"/>
        <v>1207.5781134622921</v>
      </c>
      <c r="BF166" s="164">
        <f t="shared" si="116"/>
        <v>1150.691092389525</v>
      </c>
      <c r="BG166" s="164">
        <f t="shared" si="94"/>
        <v>606.10357074690376</v>
      </c>
      <c r="BH166" s="152"/>
      <c r="BI166" s="162">
        <f t="shared" si="95"/>
        <v>849.36433141996713</v>
      </c>
      <c r="BJ166" s="150">
        <f t="shared" si="96"/>
        <v>0</v>
      </c>
      <c r="BK166" s="163">
        <f t="shared" si="120"/>
        <v>0</v>
      </c>
      <c r="BL166" s="163">
        <f t="shared" si="97"/>
        <v>17.631083212388265</v>
      </c>
      <c r="BM166" s="163">
        <f t="shared" si="121"/>
        <v>2.717268463627919</v>
      </c>
      <c r="BN166" s="163">
        <f t="shared" si="98"/>
        <v>0.14714861696401949</v>
      </c>
      <c r="BO166" s="163">
        <f t="shared" si="99"/>
        <v>0</v>
      </c>
      <c r="BP166" s="164">
        <f t="shared" si="122"/>
        <v>834.59766528817079</v>
      </c>
      <c r="BQ166" s="164">
        <f>IF($E166="","",IF(AND($D166=Input!$C$6,$C166=12),0,-BJ167+BK167+BL167-BM167-BN167-BO167+BQ167))</f>
        <v>834.59771127747445</v>
      </c>
      <c r="BR166" s="161">
        <f t="shared" si="100"/>
        <v>0</v>
      </c>
      <c r="BT166" s="147">
        <f t="shared" si="101"/>
        <v>0.526730044888302</v>
      </c>
      <c r="BU166" s="164">
        <f>IF(AND($C165=12,$D165=Input!$C$6),0,IF($E166="","",BK166+(BL166+BU167)/(1+$AK166)*MIN((1-T166-U166),1)))</f>
        <v>5060.2231535223791</v>
      </c>
      <c r="BV166" s="164">
        <f t="shared" si="102"/>
        <v>2665.3715687996678</v>
      </c>
      <c r="BW166" s="164">
        <f t="shared" si="103"/>
        <v>834.59771127747445</v>
      </c>
      <c r="BX166" s="164">
        <f t="shared" si="104"/>
        <v>439.60768992485822</v>
      </c>
    </row>
    <row r="167" spans="1:76" s="150" customFormat="1" x14ac:dyDescent="0.25">
      <c r="A167" s="150">
        <f t="shared" si="117"/>
        <v>163</v>
      </c>
      <c r="B167" s="150">
        <f t="shared" si="118"/>
        <v>14</v>
      </c>
      <c r="C167" s="150">
        <f t="shared" si="119"/>
        <v>7</v>
      </c>
      <c r="D167" s="150">
        <f>IF(E167="","",Input!$C$4+B167-1)</f>
        <v>58</v>
      </c>
      <c r="E167" s="150">
        <f>IF(OR(AND(C166=12,D166=Input!$C$6),E166=""),"",1)</f>
        <v>1</v>
      </c>
      <c r="F167" s="150">
        <f>IF(E167="","",Input!$C$8+B167-1)</f>
        <v>2031</v>
      </c>
      <c r="G167" s="151">
        <f>IF(E167="","",MAX(0,Input!$C$9-B167))</f>
        <v>6</v>
      </c>
      <c r="H167" s="152">
        <f>IF(E167="","",Input!$C$3)</f>
        <v>100000</v>
      </c>
      <c r="I167" s="153">
        <f>IF(E167="","",HLOOKUP($B167,Input!$C$13:$BT$14,2))</f>
        <v>2.2999999999999998</v>
      </c>
      <c r="J167" s="154"/>
      <c r="K167" s="155">
        <f>IF($E167="","",INDEX(Input!$C$16:$CP$16,1,$B167))</f>
        <v>2.4490000000000001E-2</v>
      </c>
      <c r="L167" s="155">
        <f>IF($E167="","",Input!$C$37)</f>
        <v>1.4999999999999999E-2</v>
      </c>
      <c r="M167" s="155">
        <f t="shared" si="105"/>
        <v>3.9489999999999997E-2</v>
      </c>
      <c r="N167" s="155">
        <f t="shared" si="106"/>
        <v>3.2327313971030058E-3</v>
      </c>
      <c r="O167" s="147">
        <f>IF($E167="","",MIN(VLOOKUP(IF($B167&lt;=Input!$C$7,$B167,26),'Mortality Tables'!$A$41:$CW$67,IF($B167&lt;=Input!$C$7+1,Input!$C$4+2,$D167-Input!$C$7+2),0)*IF(B167&gt;20,Input!$C$22,1)/1000,1))</f>
        <v>2.2559999999999998E-3</v>
      </c>
      <c r="P167" s="147">
        <f>IF($E167="","",MIN(VLOOKUP(IF($B167&lt;=Input!$C$7,$B167,26),'Mortality Tables'!$A$12:$CW$37,IF($B167&lt;=Input!$C$7+1,Input!$C$4+2,$D167-Input!$C$7+2),0)*IF(B167&gt;20,Input!$C$22,1)/1000,1))</f>
        <v>2.82E-3</v>
      </c>
      <c r="Q167" s="155">
        <f>IF($E167="","",Input!$C$21)</f>
        <v>5.0000000000000001E-3</v>
      </c>
      <c r="R167" s="159">
        <f>IF($E167="","",(1-Q167)^($F167-Input!$C$20))</f>
        <v>0.93691469287980411</v>
      </c>
      <c r="S167" s="147">
        <f t="shared" si="82"/>
        <v>2.1136795471368378E-3</v>
      </c>
      <c r="T167" s="147">
        <f t="shared" si="83"/>
        <v>1.7631083212388265E-4</v>
      </c>
      <c r="U167" s="160">
        <f>IF($E167="","",IF($C167=12,INDEX(Input!$C$15:$CP$15,1,$B167),0))</f>
        <v>0</v>
      </c>
      <c r="V167" s="150">
        <f>IF(E167="","",IF(C167=1,IF($B167=1,Input!$C$33,Input!$C$34),0))</f>
        <v>0</v>
      </c>
      <c r="W167" s="156">
        <f>IF($E167="","",Input!$C$35)</f>
        <v>0.02</v>
      </c>
      <c r="X167" s="156">
        <f t="shared" si="84"/>
        <v>1.2936066304537963</v>
      </c>
      <c r="Y167" s="154"/>
      <c r="Z167" s="147">
        <f>IF($E167="","",VLOOKUP($D167,'Mortality Margins &amp; Grading'!$AB$5:$AF$125,3,0)*IF(Summary!$D$25="Included Margin",IF(AND($B167&gt;Input!$C$9,Summary!$D$31&lt;&gt;"Included Margin"),0,1),0))</f>
        <v>3.5999999999999997E-2</v>
      </c>
      <c r="AA167" s="147">
        <f>IF($E167="","",VLOOKUP($D167,'Mortality Margins &amp; Grading'!$AB$5:$AF$125,5,0)*IF(Summary!$D$25="Included Margin",IF(AND($B167&gt;Input!$C$9,Summary!$D$31&lt;&gt;"Included Margin"),0,1),0))</f>
        <v>0.185</v>
      </c>
      <c r="AB167" s="147">
        <f>IF($E167="","",IF(AND($B167&gt;Input!$C$9,Summary!$D$31&lt;&gt;"Included Margin"),1,IF(Summary!$D$25="Included Margin",VLOOKUP($B167,'Mortality Margins &amp; Grading'!$AI$5:$AR$125,MATCH('Mortality Margins &amp; Grading'!$AQ$4,'Mortality Margins &amp; Grading'!$AI$4:$AR$4,0),0),1)))</f>
        <v>1</v>
      </c>
      <c r="AC167" s="154"/>
      <c r="AD167" s="158">
        <f>IF(E167="","",Input!$C$48*IF(Summary!$D$30="Included Margin",IF(AND($B167&gt;Input!$C$9,Summary!$D$31&lt;&gt;"Included Margin"),0,1),0))</f>
        <v>-4.4999999999999997E-3</v>
      </c>
      <c r="AE167" s="159">
        <f>IF(E167="","",IF(Summary!$D$26="Included Margin",IF(AND($B167&gt;Input!$C$9,Summary!$D$31&lt;&gt;"Included Margin"),1,1/$R167),1))</f>
        <v>1.0673330321315486</v>
      </c>
      <c r="AF167" s="160">
        <f>IF(E167="","",IF(AND($B167&gt;=Input!$C$9,$C167=12,Summary!$D$31="Included Margin",$U167&gt;0),1/U167-1,IF($B167&gt;=Input!$C$9,0,Input!$C$45*IF(Summary!$D$27="Included Margin",1,0))))</f>
        <v>-0.1</v>
      </c>
      <c r="AG167" s="160">
        <f>IF(E167="","",Input!$C$46*IF(Summary!$D$28="Included Margin",IF(AND($B167&gt;Input!$C$9,Summary!$D$31&lt;&gt;"Included Margin"),0,1),0))</f>
        <v>0.02</v>
      </c>
      <c r="AH167" s="158">
        <f>IF(E167="","",Input!$C$47*IF(Summary!$D$29="Included Margin",IF(AND($B167&gt;Input!$C$9,Summary!$D$31&lt;&gt;"Included Margin"),0,1),0))</f>
        <v>2.5000000000000001E-3</v>
      </c>
      <c r="AI167" s="154"/>
      <c r="AJ167" s="158">
        <f t="shared" si="107"/>
        <v>3.499E-2</v>
      </c>
      <c r="AK167" s="155">
        <f t="shared" si="108"/>
        <v>2.8700912510091214E-3</v>
      </c>
      <c r="AL167" s="147">
        <f t="shared" si="109"/>
        <v>2.337216E-3</v>
      </c>
      <c r="AM167" s="147">
        <f t="shared" si="85"/>
        <v>1.949769522339162E-4</v>
      </c>
      <c r="AN167" s="160">
        <f t="shared" si="110"/>
        <v>0</v>
      </c>
      <c r="AO167" s="161">
        <f t="shared" si="111"/>
        <v>0</v>
      </c>
      <c r="AP167" s="156">
        <f t="shared" si="86"/>
        <v>1.3354361146600375</v>
      </c>
      <c r="AQ167" s="152"/>
      <c r="AR167" s="162">
        <f t="shared" si="87"/>
        <v>1150.691052294369</v>
      </c>
      <c r="AS167" s="150">
        <f t="shared" si="112"/>
        <v>0</v>
      </c>
      <c r="AT167" s="163">
        <f t="shared" si="88"/>
        <v>0</v>
      </c>
      <c r="AU167" s="163">
        <f t="shared" si="89"/>
        <v>19.49769522339162</v>
      </c>
      <c r="AV167" s="163">
        <f t="shared" si="113"/>
        <v>3.2746082395667986</v>
      </c>
      <c r="AW167" s="163">
        <f t="shared" si="90"/>
        <v>0.22123825046068579</v>
      </c>
      <c r="AX167" s="163">
        <f t="shared" si="91"/>
        <v>0</v>
      </c>
      <c r="AY167" s="164">
        <f t="shared" si="114"/>
        <v>1134.6892035610047</v>
      </c>
      <c r="AZ167" s="164">
        <f>IF($E167="","",IF(OR(AND($D167=Input!$C$6,$C167=12),$AN167=1),0,-AS168+AT168+AU168-AV168-AW168-AX168+AZ168))</f>
        <v>1134.6892436561609</v>
      </c>
      <c r="BA167" s="154">
        <f t="shared" si="92"/>
        <v>4.0095156236930052E-5</v>
      </c>
      <c r="BC167" s="147">
        <f t="shared" si="115"/>
        <v>0.52663717667578314</v>
      </c>
      <c r="BD167" s="164">
        <f>IF(AND($C166=12,$D166=Input!$C$6),0,IF($E167="","",AT167+(AU167+BD168)/(1+$AK167)*MIN((1-AM167-AN167),1)))</f>
        <v>2280.1245805638187</v>
      </c>
      <c r="BE167" s="164">
        <f t="shared" si="93"/>
        <v>1200.7983715771836</v>
      </c>
      <c r="BF167" s="164">
        <f t="shared" si="116"/>
        <v>1134.6892436561609</v>
      </c>
      <c r="BG167" s="164">
        <f t="shared" si="94"/>
        <v>597.56953968346033</v>
      </c>
      <c r="BH167" s="152"/>
      <c r="BI167" s="162">
        <f t="shared" si="95"/>
        <v>834.59766528817067</v>
      </c>
      <c r="BJ167" s="150">
        <f t="shared" si="96"/>
        <v>0</v>
      </c>
      <c r="BK167" s="163">
        <f t="shared" si="120"/>
        <v>0</v>
      </c>
      <c r="BL167" s="163">
        <f t="shared" si="97"/>
        <v>17.631083212388265</v>
      </c>
      <c r="BM167" s="163">
        <f t="shared" si="121"/>
        <v>2.6695317983931228</v>
      </c>
      <c r="BN167" s="163">
        <f t="shared" si="98"/>
        <v>0.1445362166849895</v>
      </c>
      <c r="BO167" s="163">
        <f t="shared" si="99"/>
        <v>0</v>
      </c>
      <c r="BP167" s="164">
        <f t="shared" si="122"/>
        <v>819.78065009086049</v>
      </c>
      <c r="BQ167" s="164">
        <f>IF($E167="","",IF(AND($D167=Input!$C$6,$C167=12),0,-BJ168+BK168+BL168-BM168-BN168-BO168+BQ168))</f>
        <v>819.78069608016426</v>
      </c>
      <c r="BR167" s="161">
        <f t="shared" si="100"/>
        <v>0</v>
      </c>
      <c r="BT167" s="147">
        <f t="shared" si="101"/>
        <v>0.52663717667578314</v>
      </c>
      <c r="BU167" s="164">
        <f>IF(AND($C166=12,$D166=Input!$C$6),0,IF($E167="","",BK167+(BL167+BU168)/(1+$AK167)*MIN((1-T167-U167),1)))</f>
        <v>5058.0102630603933</v>
      </c>
      <c r="BV167" s="164">
        <f t="shared" si="102"/>
        <v>2663.7362445352605</v>
      </c>
      <c r="BW167" s="164">
        <f t="shared" si="103"/>
        <v>819.78069608016426</v>
      </c>
      <c r="BX167" s="164">
        <f t="shared" si="104"/>
        <v>431.72699127696592</v>
      </c>
    </row>
    <row r="168" spans="1:76" s="150" customFormat="1" x14ac:dyDescent="0.25">
      <c r="A168" s="150">
        <f t="shared" si="117"/>
        <v>164</v>
      </c>
      <c r="B168" s="150">
        <f t="shared" si="118"/>
        <v>14</v>
      </c>
      <c r="C168" s="150">
        <f t="shared" si="119"/>
        <v>8</v>
      </c>
      <c r="D168" s="150">
        <f>IF(E168="","",Input!$C$4+B168-1)</f>
        <v>58</v>
      </c>
      <c r="E168" s="150">
        <f>IF(OR(AND(C167=12,D167=Input!$C$6),E167=""),"",1)</f>
        <v>1</v>
      </c>
      <c r="F168" s="150">
        <f>IF(E168="","",Input!$C$8+B168-1)</f>
        <v>2031</v>
      </c>
      <c r="G168" s="151">
        <f>IF(E168="","",MAX(0,Input!$C$9-B168))</f>
        <v>6</v>
      </c>
      <c r="H168" s="152">
        <f>IF(E168="","",Input!$C$3)</f>
        <v>100000</v>
      </c>
      <c r="I168" s="153">
        <f>IF(E168="","",HLOOKUP($B168,Input!$C$13:$BT$14,2))</f>
        <v>2.2999999999999998</v>
      </c>
      <c r="J168" s="154"/>
      <c r="K168" s="155">
        <f>IF($E168="","",INDEX(Input!$C$16:$CP$16,1,$B168))</f>
        <v>2.4490000000000001E-2</v>
      </c>
      <c r="L168" s="155">
        <f>IF($E168="","",Input!$C$37)</f>
        <v>1.4999999999999999E-2</v>
      </c>
      <c r="M168" s="155">
        <f t="shared" si="105"/>
        <v>3.9489999999999997E-2</v>
      </c>
      <c r="N168" s="155">
        <f t="shared" si="106"/>
        <v>3.2327313971030058E-3</v>
      </c>
      <c r="O168" s="147">
        <f>IF($E168="","",MIN(VLOOKUP(IF($B168&lt;=Input!$C$7,$B168,26),'Mortality Tables'!$A$41:$CW$67,IF($B168&lt;=Input!$C$7+1,Input!$C$4+2,$D168-Input!$C$7+2),0)*IF(B168&gt;20,Input!$C$22,1)/1000,1))</f>
        <v>2.2559999999999998E-3</v>
      </c>
      <c r="P168" s="147">
        <f>IF($E168="","",MIN(VLOOKUP(IF($B168&lt;=Input!$C$7,$B168,26),'Mortality Tables'!$A$12:$CW$37,IF($B168&lt;=Input!$C$7+1,Input!$C$4+2,$D168-Input!$C$7+2),0)*IF(B168&gt;20,Input!$C$22,1)/1000,1))</f>
        <v>2.82E-3</v>
      </c>
      <c r="Q168" s="155">
        <f>IF($E168="","",Input!$C$21)</f>
        <v>5.0000000000000001E-3</v>
      </c>
      <c r="R168" s="159">
        <f>IF($E168="","",(1-Q168)^($F168-Input!$C$20))</f>
        <v>0.93691469287980411</v>
      </c>
      <c r="S168" s="147">
        <f t="shared" si="82"/>
        <v>2.1136795471368378E-3</v>
      </c>
      <c r="T168" s="147">
        <f t="shared" si="83"/>
        <v>1.7631083212388265E-4</v>
      </c>
      <c r="U168" s="160">
        <f>IF($E168="","",IF($C168=12,INDEX(Input!$C$15:$CP$15,1,$B168),0))</f>
        <v>0</v>
      </c>
      <c r="V168" s="150">
        <f>IF(E168="","",IF(C168=1,IF($B168=1,Input!$C$33,Input!$C$34),0))</f>
        <v>0</v>
      </c>
      <c r="W168" s="156">
        <f>IF($E168="","",Input!$C$35)</f>
        <v>0.02</v>
      </c>
      <c r="X168" s="156">
        <f t="shared" si="84"/>
        <v>1.2936066304537963</v>
      </c>
      <c r="Y168" s="154"/>
      <c r="Z168" s="147">
        <f>IF($E168="","",VLOOKUP($D168,'Mortality Margins &amp; Grading'!$AB$5:$AF$125,3,0)*IF(Summary!$D$25="Included Margin",IF(AND($B168&gt;Input!$C$9,Summary!$D$31&lt;&gt;"Included Margin"),0,1),0))</f>
        <v>3.5999999999999997E-2</v>
      </c>
      <c r="AA168" s="147">
        <f>IF($E168="","",VLOOKUP($D168,'Mortality Margins &amp; Grading'!$AB$5:$AF$125,5,0)*IF(Summary!$D$25="Included Margin",IF(AND($B168&gt;Input!$C$9,Summary!$D$31&lt;&gt;"Included Margin"),0,1),0))</f>
        <v>0.185</v>
      </c>
      <c r="AB168" s="147">
        <f>IF($E168="","",IF(AND($B168&gt;Input!$C$9,Summary!$D$31&lt;&gt;"Included Margin"),1,IF(Summary!$D$25="Included Margin",VLOOKUP($B168,'Mortality Margins &amp; Grading'!$AI$5:$AR$125,MATCH('Mortality Margins &amp; Grading'!$AQ$4,'Mortality Margins &amp; Grading'!$AI$4:$AR$4,0),0),1)))</f>
        <v>1</v>
      </c>
      <c r="AC168" s="154"/>
      <c r="AD168" s="158">
        <f>IF(E168="","",Input!$C$48*IF(Summary!$D$30="Included Margin",IF(AND($B168&gt;Input!$C$9,Summary!$D$31&lt;&gt;"Included Margin"),0,1),0))</f>
        <v>-4.4999999999999997E-3</v>
      </c>
      <c r="AE168" s="159">
        <f>IF(E168="","",IF(Summary!$D$26="Included Margin",IF(AND($B168&gt;Input!$C$9,Summary!$D$31&lt;&gt;"Included Margin"),1,1/$R168),1))</f>
        <v>1.0673330321315486</v>
      </c>
      <c r="AF168" s="160">
        <f>IF(E168="","",IF(AND($B168&gt;=Input!$C$9,$C168=12,Summary!$D$31="Included Margin",$U168&gt;0),1/U168-1,IF($B168&gt;=Input!$C$9,0,Input!$C$45*IF(Summary!$D$27="Included Margin",1,0))))</f>
        <v>-0.1</v>
      </c>
      <c r="AG168" s="160">
        <f>IF(E168="","",Input!$C$46*IF(Summary!$D$28="Included Margin",IF(AND($B168&gt;Input!$C$9,Summary!$D$31&lt;&gt;"Included Margin"),0,1),0))</f>
        <v>0.02</v>
      </c>
      <c r="AH168" s="158">
        <f>IF(E168="","",Input!$C$47*IF(Summary!$D$29="Included Margin",IF(AND($B168&gt;Input!$C$9,Summary!$D$31&lt;&gt;"Included Margin"),0,1),0))</f>
        <v>2.5000000000000001E-3</v>
      </c>
      <c r="AI168" s="154"/>
      <c r="AJ168" s="158">
        <f t="shared" si="107"/>
        <v>3.499E-2</v>
      </c>
      <c r="AK168" s="155">
        <f t="shared" si="108"/>
        <v>2.8700912510091214E-3</v>
      </c>
      <c r="AL168" s="147">
        <f t="shared" si="109"/>
        <v>2.337216E-3</v>
      </c>
      <c r="AM168" s="147">
        <f t="shared" si="85"/>
        <v>1.949769522339162E-4</v>
      </c>
      <c r="AN168" s="160">
        <f t="shared" si="110"/>
        <v>0</v>
      </c>
      <c r="AO168" s="161">
        <f t="shared" si="111"/>
        <v>0</v>
      </c>
      <c r="AP168" s="156">
        <f t="shared" si="86"/>
        <v>1.3354361146600375</v>
      </c>
      <c r="AQ168" s="152"/>
      <c r="AR168" s="162">
        <f t="shared" si="87"/>
        <v>1134.6892035610049</v>
      </c>
      <c r="AS168" s="150">
        <f t="shared" si="112"/>
        <v>0</v>
      </c>
      <c r="AT168" s="163">
        <f t="shared" si="88"/>
        <v>0</v>
      </c>
      <c r="AU168" s="163">
        <f t="shared" si="89"/>
        <v>19.49769522339162</v>
      </c>
      <c r="AV168" s="163">
        <f t="shared" si="113"/>
        <v>3.2286814735171991</v>
      </c>
      <c r="AW168" s="163">
        <f t="shared" si="90"/>
        <v>0.21810869391227833</v>
      </c>
      <c r="AX168" s="163">
        <f t="shared" si="91"/>
        <v>0</v>
      </c>
      <c r="AY168" s="164">
        <f t="shared" si="114"/>
        <v>1118.6382985050425</v>
      </c>
      <c r="AZ168" s="164">
        <f>IF($E168="","",IF(OR(AND($D168=Input!$C$6,$C168=12),$AN168=1),0,-AS169+AT169+AU169-AV169-AW169-AX169+AZ169))</f>
        <v>1118.6383386001987</v>
      </c>
      <c r="BA168" s="154">
        <f t="shared" si="92"/>
        <v>4.0095156236930052E-5</v>
      </c>
      <c r="BC168" s="147">
        <f t="shared" si="115"/>
        <v>0.52654432483693603</v>
      </c>
      <c r="BD168" s="164">
        <f>IF(AND($C167=12,$D167=Input!$C$6),0,IF($E168="","",AT168+(AU168+BD169)/(1+$AK168)*MIN((1-AM168-AN168),1)))</f>
        <v>2267.6169856001907</v>
      </c>
      <c r="BE168" s="164">
        <f t="shared" si="93"/>
        <v>1194.0008546716206</v>
      </c>
      <c r="BF168" s="164">
        <f t="shared" si="116"/>
        <v>1118.6383386001987</v>
      </c>
      <c r="BG168" s="164">
        <f t="shared" si="94"/>
        <v>589.01266873495342</v>
      </c>
      <c r="BH168" s="152"/>
      <c r="BI168" s="162">
        <f t="shared" si="95"/>
        <v>819.78065009086049</v>
      </c>
      <c r="BJ168" s="150">
        <f t="shared" si="96"/>
        <v>0</v>
      </c>
      <c r="BK168" s="163">
        <f t="shared" si="120"/>
        <v>0</v>
      </c>
      <c r="BL168" s="163">
        <f t="shared" si="97"/>
        <v>17.631083212388265</v>
      </c>
      <c r="BM168" s="163">
        <f t="shared" si="121"/>
        <v>2.6216323681534259</v>
      </c>
      <c r="BN168" s="163">
        <f t="shared" si="98"/>
        <v>0.1419149090526258</v>
      </c>
      <c r="BO168" s="163">
        <f t="shared" si="99"/>
        <v>0</v>
      </c>
      <c r="BP168" s="164">
        <f t="shared" si="122"/>
        <v>804.91311415567827</v>
      </c>
      <c r="BQ168" s="164">
        <f>IF($E168="","",IF(AND($D168=Input!$C$6,$C168=12),0,-BJ169+BK169+BL169-BM169-BN169-BO169+BQ169))</f>
        <v>804.91316014498204</v>
      </c>
      <c r="BR168" s="161">
        <f t="shared" si="100"/>
        <v>0</v>
      </c>
      <c r="BT168" s="147">
        <f t="shared" si="101"/>
        <v>0.52654432483693603</v>
      </c>
      <c r="BU168" s="164">
        <f>IF(AND($C167=12,$D167=Input!$C$6),0,IF($E168="","",BK168+(BL168+BU169)/(1+$AK168)*MIN((1-T168-U168),1)))</f>
        <v>5055.7906300555114</v>
      </c>
      <c r="BV168" s="164">
        <f t="shared" si="102"/>
        <v>2662.0978638194865</v>
      </c>
      <c r="BW168" s="164">
        <f t="shared" si="103"/>
        <v>804.91316014498204</v>
      </c>
      <c r="BX168" s="164">
        <f t="shared" si="104"/>
        <v>423.82245646090416</v>
      </c>
    </row>
    <row r="169" spans="1:76" s="150" customFormat="1" x14ac:dyDescent="0.25">
      <c r="A169" s="150">
        <f t="shared" si="117"/>
        <v>165</v>
      </c>
      <c r="B169" s="150">
        <f t="shared" si="118"/>
        <v>14</v>
      </c>
      <c r="C169" s="150">
        <f t="shared" si="119"/>
        <v>9</v>
      </c>
      <c r="D169" s="150">
        <f>IF(E169="","",Input!$C$4+B169-1)</f>
        <v>58</v>
      </c>
      <c r="E169" s="150">
        <f>IF(OR(AND(C168=12,D168=Input!$C$6),E168=""),"",1)</f>
        <v>1</v>
      </c>
      <c r="F169" s="150">
        <f>IF(E169="","",Input!$C$8+B169-1)</f>
        <v>2031</v>
      </c>
      <c r="G169" s="151">
        <f>IF(E169="","",MAX(0,Input!$C$9-B169))</f>
        <v>6</v>
      </c>
      <c r="H169" s="152">
        <f>IF(E169="","",Input!$C$3)</f>
        <v>100000</v>
      </c>
      <c r="I169" s="153">
        <f>IF(E169="","",HLOOKUP($B169,Input!$C$13:$BT$14,2))</f>
        <v>2.2999999999999998</v>
      </c>
      <c r="J169" s="154"/>
      <c r="K169" s="155">
        <f>IF($E169="","",INDEX(Input!$C$16:$CP$16,1,$B169))</f>
        <v>2.4490000000000001E-2</v>
      </c>
      <c r="L169" s="155">
        <f>IF($E169="","",Input!$C$37)</f>
        <v>1.4999999999999999E-2</v>
      </c>
      <c r="M169" s="155">
        <f t="shared" si="105"/>
        <v>3.9489999999999997E-2</v>
      </c>
      <c r="N169" s="155">
        <f t="shared" si="106"/>
        <v>3.2327313971030058E-3</v>
      </c>
      <c r="O169" s="147">
        <f>IF($E169="","",MIN(VLOOKUP(IF($B169&lt;=Input!$C$7,$B169,26),'Mortality Tables'!$A$41:$CW$67,IF($B169&lt;=Input!$C$7+1,Input!$C$4+2,$D169-Input!$C$7+2),0)*IF(B169&gt;20,Input!$C$22,1)/1000,1))</f>
        <v>2.2559999999999998E-3</v>
      </c>
      <c r="P169" s="147">
        <f>IF($E169="","",MIN(VLOOKUP(IF($B169&lt;=Input!$C$7,$B169,26),'Mortality Tables'!$A$12:$CW$37,IF($B169&lt;=Input!$C$7+1,Input!$C$4+2,$D169-Input!$C$7+2),0)*IF(B169&gt;20,Input!$C$22,1)/1000,1))</f>
        <v>2.82E-3</v>
      </c>
      <c r="Q169" s="155">
        <f>IF($E169="","",Input!$C$21)</f>
        <v>5.0000000000000001E-3</v>
      </c>
      <c r="R169" s="159">
        <f>IF($E169="","",(1-Q169)^($F169-Input!$C$20))</f>
        <v>0.93691469287980411</v>
      </c>
      <c r="S169" s="147">
        <f t="shared" si="82"/>
        <v>2.1136795471368378E-3</v>
      </c>
      <c r="T169" s="147">
        <f t="shared" si="83"/>
        <v>1.7631083212388265E-4</v>
      </c>
      <c r="U169" s="160">
        <f>IF($E169="","",IF($C169=12,INDEX(Input!$C$15:$CP$15,1,$B169),0))</f>
        <v>0</v>
      </c>
      <c r="V169" s="150">
        <f>IF(E169="","",IF(C169=1,IF($B169=1,Input!$C$33,Input!$C$34),0))</f>
        <v>0</v>
      </c>
      <c r="W169" s="156">
        <f>IF($E169="","",Input!$C$35)</f>
        <v>0.02</v>
      </c>
      <c r="X169" s="156">
        <f t="shared" si="84"/>
        <v>1.2936066304537963</v>
      </c>
      <c r="Y169" s="154"/>
      <c r="Z169" s="147">
        <f>IF($E169="","",VLOOKUP($D169,'Mortality Margins &amp; Grading'!$AB$5:$AF$125,3,0)*IF(Summary!$D$25="Included Margin",IF(AND($B169&gt;Input!$C$9,Summary!$D$31&lt;&gt;"Included Margin"),0,1),0))</f>
        <v>3.5999999999999997E-2</v>
      </c>
      <c r="AA169" s="147">
        <f>IF($E169="","",VLOOKUP($D169,'Mortality Margins &amp; Grading'!$AB$5:$AF$125,5,0)*IF(Summary!$D$25="Included Margin",IF(AND($B169&gt;Input!$C$9,Summary!$D$31&lt;&gt;"Included Margin"),0,1),0))</f>
        <v>0.185</v>
      </c>
      <c r="AB169" s="147">
        <f>IF($E169="","",IF(AND($B169&gt;Input!$C$9,Summary!$D$31&lt;&gt;"Included Margin"),1,IF(Summary!$D$25="Included Margin",VLOOKUP($B169,'Mortality Margins &amp; Grading'!$AI$5:$AR$125,MATCH('Mortality Margins &amp; Grading'!$AQ$4,'Mortality Margins &amp; Grading'!$AI$4:$AR$4,0),0),1)))</f>
        <v>1</v>
      </c>
      <c r="AC169" s="154"/>
      <c r="AD169" s="158">
        <f>IF(E169="","",Input!$C$48*IF(Summary!$D$30="Included Margin",IF(AND($B169&gt;Input!$C$9,Summary!$D$31&lt;&gt;"Included Margin"),0,1),0))</f>
        <v>-4.4999999999999997E-3</v>
      </c>
      <c r="AE169" s="159">
        <f>IF(E169="","",IF(Summary!$D$26="Included Margin",IF(AND($B169&gt;Input!$C$9,Summary!$D$31&lt;&gt;"Included Margin"),1,1/$R169),1))</f>
        <v>1.0673330321315486</v>
      </c>
      <c r="AF169" s="160">
        <f>IF(E169="","",IF(AND($B169&gt;=Input!$C$9,$C169=12,Summary!$D$31="Included Margin",$U169&gt;0),1/U169-1,IF($B169&gt;=Input!$C$9,0,Input!$C$45*IF(Summary!$D$27="Included Margin",1,0))))</f>
        <v>-0.1</v>
      </c>
      <c r="AG169" s="160">
        <f>IF(E169="","",Input!$C$46*IF(Summary!$D$28="Included Margin",IF(AND($B169&gt;Input!$C$9,Summary!$D$31&lt;&gt;"Included Margin"),0,1),0))</f>
        <v>0.02</v>
      </c>
      <c r="AH169" s="158">
        <f>IF(E169="","",Input!$C$47*IF(Summary!$D$29="Included Margin",IF(AND($B169&gt;Input!$C$9,Summary!$D$31&lt;&gt;"Included Margin"),0,1),0))</f>
        <v>2.5000000000000001E-3</v>
      </c>
      <c r="AI169" s="154"/>
      <c r="AJ169" s="158">
        <f t="shared" si="107"/>
        <v>3.499E-2</v>
      </c>
      <c r="AK169" s="155">
        <f t="shared" si="108"/>
        <v>2.8700912510091214E-3</v>
      </c>
      <c r="AL169" s="147">
        <f t="shared" si="109"/>
        <v>2.337216E-3</v>
      </c>
      <c r="AM169" s="147">
        <f t="shared" si="85"/>
        <v>1.949769522339162E-4</v>
      </c>
      <c r="AN169" s="160">
        <f t="shared" si="110"/>
        <v>0</v>
      </c>
      <c r="AO169" s="161">
        <f t="shared" si="111"/>
        <v>0</v>
      </c>
      <c r="AP169" s="156">
        <f t="shared" si="86"/>
        <v>1.3354361146600375</v>
      </c>
      <c r="AQ169" s="152"/>
      <c r="AR169" s="162">
        <f t="shared" si="87"/>
        <v>1118.6382985050425</v>
      </c>
      <c r="AS169" s="150">
        <f t="shared" si="112"/>
        <v>0</v>
      </c>
      <c r="AT169" s="163">
        <f t="shared" si="88"/>
        <v>0</v>
      </c>
      <c r="AU169" s="163">
        <f t="shared" si="89"/>
        <v>19.49769522339162</v>
      </c>
      <c r="AV169" s="163">
        <f t="shared" si="113"/>
        <v>3.1826139113453031</v>
      </c>
      <c r="AW169" s="163">
        <f t="shared" si="90"/>
        <v>0.21496954318896108</v>
      </c>
      <c r="AX169" s="163">
        <f t="shared" si="91"/>
        <v>0</v>
      </c>
      <c r="AY169" s="164">
        <f t="shared" si="114"/>
        <v>1102.538186736185</v>
      </c>
      <c r="AZ169" s="164">
        <f>IF($E169="","",IF(OR(AND($D169=Input!$C$6,$C169=12),$AN169=1),0,-AS170+AT170+AU170-AV170-AW170-AX170+AZ170))</f>
        <v>1102.5382268313413</v>
      </c>
      <c r="BA169" s="154">
        <f t="shared" si="92"/>
        <v>4.0095156236930052E-5</v>
      </c>
      <c r="BC169" s="147">
        <f t="shared" si="115"/>
        <v>0.52645148936887387</v>
      </c>
      <c r="BD169" s="164">
        <f>IF(AND($C168=12,$D168=Input!$C$6),0,IF($E169="","",AT169+(AU169+BD170)/(1+$AK169)*MIN((1-AM169-AN169),1)))</f>
        <v>2255.0710465287234</v>
      </c>
      <c r="BE169" s="164">
        <f t="shared" si="93"/>
        <v>1187.1855110776714</v>
      </c>
      <c r="BF169" s="164">
        <f t="shared" si="116"/>
        <v>1102.5382268313413</v>
      </c>
      <c r="BG169" s="164">
        <f t="shared" si="94"/>
        <v>580.43289160147685</v>
      </c>
      <c r="BH169" s="152"/>
      <c r="BI169" s="162">
        <f t="shared" si="95"/>
        <v>804.91311415567839</v>
      </c>
      <c r="BJ169" s="150">
        <f t="shared" si="96"/>
        <v>0</v>
      </c>
      <c r="BK169" s="163">
        <f t="shared" si="120"/>
        <v>0</v>
      </c>
      <c r="BL169" s="163">
        <f t="shared" si="97"/>
        <v>17.631083212388265</v>
      </c>
      <c r="BM169" s="163">
        <f t="shared" si="121"/>
        <v>2.5735696179382055</v>
      </c>
      <c r="BN169" s="163">
        <f t="shared" si="98"/>
        <v>0.13928466369602999</v>
      </c>
      <c r="BO169" s="163">
        <f t="shared" si="99"/>
        <v>0</v>
      </c>
      <c r="BP169" s="164">
        <f t="shared" si="122"/>
        <v>789.99488522492436</v>
      </c>
      <c r="BQ169" s="164">
        <f>IF($E169="","",IF(AND($D169=Input!$C$6,$C169=12),0,-BJ170+BK170+BL170-BM170-BN170-BO170+BQ170))</f>
        <v>789.99493121422802</v>
      </c>
      <c r="BR169" s="161">
        <f t="shared" si="100"/>
        <v>0</v>
      </c>
      <c r="BT169" s="147">
        <f t="shared" si="101"/>
        <v>0.52645148936887387</v>
      </c>
      <c r="BU169" s="164">
        <f>IF(AND($C168=12,$D168=Input!$C$6),0,IF($E169="","",BK169+(BL169+BU170)/(1+$AK169)*MIN((1-T169-U169),1)))</f>
        <v>5053.5642339636142</v>
      </c>
      <c r="BV169" s="164">
        <f t="shared" si="102"/>
        <v>2660.456417591417</v>
      </c>
      <c r="BW169" s="164">
        <f t="shared" si="103"/>
        <v>789.99493121422802</v>
      </c>
      <c r="BX169" s="164">
        <f t="shared" si="104"/>
        <v>415.89400813159142</v>
      </c>
    </row>
    <row r="170" spans="1:76" s="150" customFormat="1" x14ac:dyDescent="0.25">
      <c r="A170" s="150">
        <f t="shared" si="117"/>
        <v>166</v>
      </c>
      <c r="B170" s="150">
        <f t="shared" si="118"/>
        <v>14</v>
      </c>
      <c r="C170" s="150">
        <f t="shared" si="119"/>
        <v>10</v>
      </c>
      <c r="D170" s="150">
        <f>IF(E170="","",Input!$C$4+B170-1)</f>
        <v>58</v>
      </c>
      <c r="E170" s="150">
        <f>IF(OR(AND(C169=12,D169=Input!$C$6),E169=""),"",1)</f>
        <v>1</v>
      </c>
      <c r="F170" s="150">
        <f>IF(E170="","",Input!$C$8+B170-1)</f>
        <v>2031</v>
      </c>
      <c r="G170" s="151">
        <f>IF(E170="","",MAX(0,Input!$C$9-B170))</f>
        <v>6</v>
      </c>
      <c r="H170" s="152">
        <f>IF(E170="","",Input!$C$3)</f>
        <v>100000</v>
      </c>
      <c r="I170" s="153">
        <f>IF(E170="","",HLOOKUP($B170,Input!$C$13:$BT$14,2))</f>
        <v>2.2999999999999998</v>
      </c>
      <c r="J170" s="154"/>
      <c r="K170" s="155">
        <f>IF($E170="","",INDEX(Input!$C$16:$CP$16,1,$B170))</f>
        <v>2.4490000000000001E-2</v>
      </c>
      <c r="L170" s="155">
        <f>IF($E170="","",Input!$C$37)</f>
        <v>1.4999999999999999E-2</v>
      </c>
      <c r="M170" s="155">
        <f t="shared" si="105"/>
        <v>3.9489999999999997E-2</v>
      </c>
      <c r="N170" s="155">
        <f t="shared" si="106"/>
        <v>3.2327313971030058E-3</v>
      </c>
      <c r="O170" s="147">
        <f>IF($E170="","",MIN(VLOOKUP(IF($B170&lt;=Input!$C$7,$B170,26),'Mortality Tables'!$A$41:$CW$67,IF($B170&lt;=Input!$C$7+1,Input!$C$4+2,$D170-Input!$C$7+2),0)*IF(B170&gt;20,Input!$C$22,1)/1000,1))</f>
        <v>2.2559999999999998E-3</v>
      </c>
      <c r="P170" s="147">
        <f>IF($E170="","",MIN(VLOOKUP(IF($B170&lt;=Input!$C$7,$B170,26),'Mortality Tables'!$A$12:$CW$37,IF($B170&lt;=Input!$C$7+1,Input!$C$4+2,$D170-Input!$C$7+2),0)*IF(B170&gt;20,Input!$C$22,1)/1000,1))</f>
        <v>2.82E-3</v>
      </c>
      <c r="Q170" s="155">
        <f>IF($E170="","",Input!$C$21)</f>
        <v>5.0000000000000001E-3</v>
      </c>
      <c r="R170" s="159">
        <f>IF($E170="","",(1-Q170)^($F170-Input!$C$20))</f>
        <v>0.93691469287980411</v>
      </c>
      <c r="S170" s="147">
        <f t="shared" si="82"/>
        <v>2.1136795471368378E-3</v>
      </c>
      <c r="T170" s="147">
        <f t="shared" si="83"/>
        <v>1.7631083212388265E-4</v>
      </c>
      <c r="U170" s="160">
        <f>IF($E170="","",IF($C170=12,INDEX(Input!$C$15:$CP$15,1,$B170),0))</f>
        <v>0</v>
      </c>
      <c r="V170" s="150">
        <f>IF(E170="","",IF(C170=1,IF($B170=1,Input!$C$33,Input!$C$34),0))</f>
        <v>0</v>
      </c>
      <c r="W170" s="156">
        <f>IF($E170="","",Input!$C$35)</f>
        <v>0.02</v>
      </c>
      <c r="X170" s="156">
        <f t="shared" si="84"/>
        <v>1.2936066304537963</v>
      </c>
      <c r="Y170" s="154"/>
      <c r="Z170" s="147">
        <f>IF($E170="","",VLOOKUP($D170,'Mortality Margins &amp; Grading'!$AB$5:$AF$125,3,0)*IF(Summary!$D$25="Included Margin",IF(AND($B170&gt;Input!$C$9,Summary!$D$31&lt;&gt;"Included Margin"),0,1),0))</f>
        <v>3.5999999999999997E-2</v>
      </c>
      <c r="AA170" s="147">
        <f>IF($E170="","",VLOOKUP($D170,'Mortality Margins &amp; Grading'!$AB$5:$AF$125,5,0)*IF(Summary!$D$25="Included Margin",IF(AND($B170&gt;Input!$C$9,Summary!$D$31&lt;&gt;"Included Margin"),0,1),0))</f>
        <v>0.185</v>
      </c>
      <c r="AB170" s="147">
        <f>IF($E170="","",IF(AND($B170&gt;Input!$C$9,Summary!$D$31&lt;&gt;"Included Margin"),1,IF(Summary!$D$25="Included Margin",VLOOKUP($B170,'Mortality Margins &amp; Grading'!$AI$5:$AR$125,MATCH('Mortality Margins &amp; Grading'!$AQ$4,'Mortality Margins &amp; Grading'!$AI$4:$AR$4,0),0),1)))</f>
        <v>1</v>
      </c>
      <c r="AC170" s="154"/>
      <c r="AD170" s="158">
        <f>IF(E170="","",Input!$C$48*IF(Summary!$D$30="Included Margin",IF(AND($B170&gt;Input!$C$9,Summary!$D$31&lt;&gt;"Included Margin"),0,1),0))</f>
        <v>-4.4999999999999997E-3</v>
      </c>
      <c r="AE170" s="159">
        <f>IF(E170="","",IF(Summary!$D$26="Included Margin",IF(AND($B170&gt;Input!$C$9,Summary!$D$31&lt;&gt;"Included Margin"),1,1/$R170),1))</f>
        <v>1.0673330321315486</v>
      </c>
      <c r="AF170" s="160">
        <f>IF(E170="","",IF(AND($B170&gt;=Input!$C$9,$C170=12,Summary!$D$31="Included Margin",$U170&gt;0),1/U170-1,IF($B170&gt;=Input!$C$9,0,Input!$C$45*IF(Summary!$D$27="Included Margin",1,0))))</f>
        <v>-0.1</v>
      </c>
      <c r="AG170" s="160">
        <f>IF(E170="","",Input!$C$46*IF(Summary!$D$28="Included Margin",IF(AND($B170&gt;Input!$C$9,Summary!$D$31&lt;&gt;"Included Margin"),0,1),0))</f>
        <v>0.02</v>
      </c>
      <c r="AH170" s="158">
        <f>IF(E170="","",Input!$C$47*IF(Summary!$D$29="Included Margin",IF(AND($B170&gt;Input!$C$9,Summary!$D$31&lt;&gt;"Included Margin"),0,1),0))</f>
        <v>2.5000000000000001E-3</v>
      </c>
      <c r="AI170" s="154"/>
      <c r="AJ170" s="158">
        <f t="shared" si="107"/>
        <v>3.499E-2</v>
      </c>
      <c r="AK170" s="155">
        <f t="shared" si="108"/>
        <v>2.8700912510091214E-3</v>
      </c>
      <c r="AL170" s="147">
        <f t="shared" si="109"/>
        <v>2.337216E-3</v>
      </c>
      <c r="AM170" s="147">
        <f t="shared" si="85"/>
        <v>1.949769522339162E-4</v>
      </c>
      <c r="AN170" s="160">
        <f t="shared" si="110"/>
        <v>0</v>
      </c>
      <c r="AO170" s="161">
        <f t="shared" si="111"/>
        <v>0</v>
      </c>
      <c r="AP170" s="156">
        <f t="shared" si="86"/>
        <v>1.3354361146600375</v>
      </c>
      <c r="AQ170" s="152"/>
      <c r="AR170" s="162">
        <f t="shared" si="87"/>
        <v>1102.538186736185</v>
      </c>
      <c r="AS170" s="150">
        <f t="shared" si="112"/>
        <v>0</v>
      </c>
      <c r="AT170" s="163">
        <f t="shared" si="88"/>
        <v>0</v>
      </c>
      <c r="AU170" s="163">
        <f t="shared" si="89"/>
        <v>19.49769522339162</v>
      </c>
      <c r="AV170" s="163">
        <f t="shared" si="113"/>
        <v>3.1364051214172366</v>
      </c>
      <c r="AW170" s="163">
        <f t="shared" si="90"/>
        <v>0.2118207688781989</v>
      </c>
      <c r="AX170" s="163">
        <f t="shared" si="91"/>
        <v>0</v>
      </c>
      <c r="AY170" s="164">
        <f t="shared" si="114"/>
        <v>1086.3887174030888</v>
      </c>
      <c r="AZ170" s="164">
        <f>IF($E170="","",IF(OR(AND($D170=Input!$C$6,$C170=12),$AN170=1),0,-AS171+AT171+AU171-AV171-AW171-AX171+AZ171))</f>
        <v>1086.388757498245</v>
      </c>
      <c r="BA170" s="154">
        <f t="shared" si="92"/>
        <v>4.0095156236930052E-5</v>
      </c>
      <c r="BC170" s="147">
        <f t="shared" si="115"/>
        <v>0.52635867026871042</v>
      </c>
      <c r="BD170" s="164">
        <f>IF(AND($C169=12,$D169=Input!$C$6),0,IF($E170="","",AT170+(AU170+BD171)/(1+$AK170)*MIN((1-AM170-AN170),1)))</f>
        <v>2242.4866457991911</v>
      </c>
      <c r="BE170" s="164">
        <f t="shared" si="93"/>
        <v>1180.3522889782028</v>
      </c>
      <c r="BF170" s="164">
        <f t="shared" si="116"/>
        <v>1086.388757498245</v>
      </c>
      <c r="BG170" s="164">
        <f t="shared" si="94"/>
        <v>571.83014179165275</v>
      </c>
      <c r="BH170" s="152"/>
      <c r="BI170" s="162">
        <f t="shared" si="95"/>
        <v>789.99488522492425</v>
      </c>
      <c r="BJ170" s="150">
        <f t="shared" si="96"/>
        <v>0</v>
      </c>
      <c r="BK170" s="163">
        <f t="shared" si="120"/>
        <v>0</v>
      </c>
      <c r="BL170" s="163">
        <f t="shared" si="97"/>
        <v>17.631083212388265</v>
      </c>
      <c r="BM170" s="163">
        <f t="shared" si="121"/>
        <v>2.5253429908845861</v>
      </c>
      <c r="BN170" s="163">
        <f t="shared" si="98"/>
        <v>0.13664545014074972</v>
      </c>
      <c r="BO170" s="163">
        <f t="shared" si="99"/>
        <v>0</v>
      </c>
      <c r="BP170" s="164">
        <f t="shared" si="122"/>
        <v>775.0257904535614</v>
      </c>
      <c r="BQ170" s="164">
        <f>IF($E170="","",IF(AND($D170=Input!$C$6,$C170=12),0,-BJ171+BK171+BL171-BM171-BN171-BO171+BQ171))</f>
        <v>775.02583644286506</v>
      </c>
      <c r="BR170" s="161">
        <f t="shared" si="100"/>
        <v>0</v>
      </c>
      <c r="BT170" s="147">
        <f t="shared" si="101"/>
        <v>0.52635867026871042</v>
      </c>
      <c r="BU170" s="164">
        <f>IF(AND($C169=12,$D169=Input!$C$6),0,IF($E170="","",BK170+(BL170+BU171)/(1+$AK170)*MIN((1-T170-U170),1)))</f>
        <v>5051.3310541779856</v>
      </c>
      <c r="BV170" s="164">
        <f t="shared" si="102"/>
        <v>2658.8118967641676</v>
      </c>
      <c r="BW170" s="164">
        <f t="shared" si="103"/>
        <v>775.02583644286506</v>
      </c>
      <c r="BX170" s="164">
        <f t="shared" si="104"/>
        <v>407.94156869396147</v>
      </c>
    </row>
    <row r="171" spans="1:76" s="150" customFormat="1" x14ac:dyDescent="0.25">
      <c r="A171" s="150">
        <f t="shared" si="117"/>
        <v>167</v>
      </c>
      <c r="B171" s="150">
        <f t="shared" si="118"/>
        <v>14</v>
      </c>
      <c r="C171" s="150">
        <f t="shared" si="119"/>
        <v>11</v>
      </c>
      <c r="D171" s="150">
        <f>IF(E171="","",Input!$C$4+B171-1)</f>
        <v>58</v>
      </c>
      <c r="E171" s="150">
        <f>IF(OR(AND(C170=12,D170=Input!$C$6),E170=""),"",1)</f>
        <v>1</v>
      </c>
      <c r="F171" s="150">
        <f>IF(E171="","",Input!$C$8+B171-1)</f>
        <v>2031</v>
      </c>
      <c r="G171" s="151">
        <f>IF(E171="","",MAX(0,Input!$C$9-B171))</f>
        <v>6</v>
      </c>
      <c r="H171" s="152">
        <f>IF(E171="","",Input!$C$3)</f>
        <v>100000</v>
      </c>
      <c r="I171" s="153">
        <f>IF(E171="","",HLOOKUP($B171,Input!$C$13:$BT$14,2))</f>
        <v>2.2999999999999998</v>
      </c>
      <c r="J171" s="154"/>
      <c r="K171" s="155">
        <f>IF($E171="","",INDEX(Input!$C$16:$CP$16,1,$B171))</f>
        <v>2.4490000000000001E-2</v>
      </c>
      <c r="L171" s="155">
        <f>IF($E171="","",Input!$C$37)</f>
        <v>1.4999999999999999E-2</v>
      </c>
      <c r="M171" s="155">
        <f t="shared" si="105"/>
        <v>3.9489999999999997E-2</v>
      </c>
      <c r="N171" s="155">
        <f t="shared" si="106"/>
        <v>3.2327313971030058E-3</v>
      </c>
      <c r="O171" s="147">
        <f>IF($E171="","",MIN(VLOOKUP(IF($B171&lt;=Input!$C$7,$B171,26),'Mortality Tables'!$A$41:$CW$67,IF($B171&lt;=Input!$C$7+1,Input!$C$4+2,$D171-Input!$C$7+2),0)*IF(B171&gt;20,Input!$C$22,1)/1000,1))</f>
        <v>2.2559999999999998E-3</v>
      </c>
      <c r="P171" s="147">
        <f>IF($E171="","",MIN(VLOOKUP(IF($B171&lt;=Input!$C$7,$B171,26),'Mortality Tables'!$A$12:$CW$37,IF($B171&lt;=Input!$C$7+1,Input!$C$4+2,$D171-Input!$C$7+2),0)*IF(B171&gt;20,Input!$C$22,1)/1000,1))</f>
        <v>2.82E-3</v>
      </c>
      <c r="Q171" s="155">
        <f>IF($E171="","",Input!$C$21)</f>
        <v>5.0000000000000001E-3</v>
      </c>
      <c r="R171" s="159">
        <f>IF($E171="","",(1-Q171)^($F171-Input!$C$20))</f>
        <v>0.93691469287980411</v>
      </c>
      <c r="S171" s="147">
        <f t="shared" si="82"/>
        <v>2.1136795471368378E-3</v>
      </c>
      <c r="T171" s="147">
        <f t="shared" si="83"/>
        <v>1.7631083212388265E-4</v>
      </c>
      <c r="U171" s="160">
        <f>IF($E171="","",IF($C171=12,INDEX(Input!$C$15:$CP$15,1,$B171),0))</f>
        <v>0</v>
      </c>
      <c r="V171" s="150">
        <f>IF(E171="","",IF(C171=1,IF($B171=1,Input!$C$33,Input!$C$34),0))</f>
        <v>0</v>
      </c>
      <c r="W171" s="156">
        <f>IF($E171="","",Input!$C$35)</f>
        <v>0.02</v>
      </c>
      <c r="X171" s="156">
        <f t="shared" si="84"/>
        <v>1.2936066304537963</v>
      </c>
      <c r="Y171" s="154"/>
      <c r="Z171" s="147">
        <f>IF($E171="","",VLOOKUP($D171,'Mortality Margins &amp; Grading'!$AB$5:$AF$125,3,0)*IF(Summary!$D$25="Included Margin",IF(AND($B171&gt;Input!$C$9,Summary!$D$31&lt;&gt;"Included Margin"),0,1),0))</f>
        <v>3.5999999999999997E-2</v>
      </c>
      <c r="AA171" s="147">
        <f>IF($E171="","",VLOOKUP($D171,'Mortality Margins &amp; Grading'!$AB$5:$AF$125,5,0)*IF(Summary!$D$25="Included Margin",IF(AND($B171&gt;Input!$C$9,Summary!$D$31&lt;&gt;"Included Margin"),0,1),0))</f>
        <v>0.185</v>
      </c>
      <c r="AB171" s="147">
        <f>IF($E171="","",IF(AND($B171&gt;Input!$C$9,Summary!$D$31&lt;&gt;"Included Margin"),1,IF(Summary!$D$25="Included Margin",VLOOKUP($B171,'Mortality Margins &amp; Grading'!$AI$5:$AR$125,MATCH('Mortality Margins &amp; Grading'!$AQ$4,'Mortality Margins &amp; Grading'!$AI$4:$AR$4,0),0),1)))</f>
        <v>1</v>
      </c>
      <c r="AC171" s="154"/>
      <c r="AD171" s="158">
        <f>IF(E171="","",Input!$C$48*IF(Summary!$D$30="Included Margin",IF(AND($B171&gt;Input!$C$9,Summary!$D$31&lt;&gt;"Included Margin"),0,1),0))</f>
        <v>-4.4999999999999997E-3</v>
      </c>
      <c r="AE171" s="159">
        <f>IF(E171="","",IF(Summary!$D$26="Included Margin",IF(AND($B171&gt;Input!$C$9,Summary!$D$31&lt;&gt;"Included Margin"),1,1/$R171),1))</f>
        <v>1.0673330321315486</v>
      </c>
      <c r="AF171" s="160">
        <f>IF(E171="","",IF(AND($B171&gt;=Input!$C$9,$C171=12,Summary!$D$31="Included Margin",$U171&gt;0),1/U171-1,IF($B171&gt;=Input!$C$9,0,Input!$C$45*IF(Summary!$D$27="Included Margin",1,0))))</f>
        <v>-0.1</v>
      </c>
      <c r="AG171" s="160">
        <f>IF(E171="","",Input!$C$46*IF(Summary!$D$28="Included Margin",IF(AND($B171&gt;Input!$C$9,Summary!$D$31&lt;&gt;"Included Margin"),0,1),0))</f>
        <v>0.02</v>
      </c>
      <c r="AH171" s="158">
        <f>IF(E171="","",Input!$C$47*IF(Summary!$D$29="Included Margin",IF(AND($B171&gt;Input!$C$9,Summary!$D$31&lt;&gt;"Included Margin"),0,1),0))</f>
        <v>2.5000000000000001E-3</v>
      </c>
      <c r="AI171" s="154"/>
      <c r="AJ171" s="158">
        <f t="shared" si="107"/>
        <v>3.499E-2</v>
      </c>
      <c r="AK171" s="155">
        <f t="shared" si="108"/>
        <v>2.8700912510091214E-3</v>
      </c>
      <c r="AL171" s="147">
        <f t="shared" si="109"/>
        <v>2.337216E-3</v>
      </c>
      <c r="AM171" s="147">
        <f t="shared" si="85"/>
        <v>1.949769522339162E-4</v>
      </c>
      <c r="AN171" s="160">
        <f t="shared" si="110"/>
        <v>0</v>
      </c>
      <c r="AO171" s="161">
        <f t="shared" si="111"/>
        <v>0</v>
      </c>
      <c r="AP171" s="156">
        <f t="shared" si="86"/>
        <v>1.3354361146600375</v>
      </c>
      <c r="AQ171" s="152"/>
      <c r="AR171" s="162">
        <f t="shared" si="87"/>
        <v>1086.388717403089</v>
      </c>
      <c r="AS171" s="150">
        <f t="shared" si="112"/>
        <v>0</v>
      </c>
      <c r="AT171" s="163">
        <f t="shared" si="88"/>
        <v>0</v>
      </c>
      <c r="AU171" s="163">
        <f t="shared" si="89"/>
        <v>19.49769522339162</v>
      </c>
      <c r="AV171" s="163">
        <f t="shared" si="113"/>
        <v>3.0900546707758774</v>
      </c>
      <c r="AW171" s="163">
        <f t="shared" si="90"/>
        <v>0.20866234147728752</v>
      </c>
      <c r="AX171" s="163">
        <f t="shared" si="91"/>
        <v>0</v>
      </c>
      <c r="AY171" s="164">
        <f t="shared" si="114"/>
        <v>1070.1897391919504</v>
      </c>
      <c r="AZ171" s="164">
        <f>IF($E171="","",IF(OR(AND($D171=Input!$C$6,$C171=12),$AN171=1),0,-AS172+AT172+AU172-AV172-AW172-AX172+AZ172))</f>
        <v>1070.1897792871066</v>
      </c>
      <c r="BA171" s="154">
        <f t="shared" si="92"/>
        <v>4.0095156236930052E-5</v>
      </c>
      <c r="BC171" s="147">
        <f t="shared" si="115"/>
        <v>0.52626586753355975</v>
      </c>
      <c r="BD171" s="164">
        <f>IF(AND($C170=12,$D170=Input!$C$6),0,IF($E171="","",AT171+(AU171+BD172)/(1+$AK171)*MIN((1-AM171-AN171),1)))</f>
        <v>2229.8636655009996</v>
      </c>
      <c r="BE171" s="164">
        <f t="shared" si="93"/>
        <v>1173.5011364064471</v>
      </c>
      <c r="BF171" s="164">
        <f t="shared" si="116"/>
        <v>1070.1897792871066</v>
      </c>
      <c r="BG171" s="164">
        <f t="shared" si="94"/>
        <v>563.20435262207798</v>
      </c>
      <c r="BH171" s="152"/>
      <c r="BI171" s="162">
        <f t="shared" si="95"/>
        <v>775.02579045356129</v>
      </c>
      <c r="BJ171" s="150">
        <f t="shared" si="96"/>
        <v>0</v>
      </c>
      <c r="BK171" s="163">
        <f t="shared" si="120"/>
        <v>0</v>
      </c>
      <c r="BL171" s="163">
        <f t="shared" si="97"/>
        <v>17.631083212388265</v>
      </c>
      <c r="BM171" s="163">
        <f t="shared" si="121"/>
        <v>2.4769519282309909</v>
      </c>
      <c r="BN171" s="163">
        <f t="shared" si="98"/>
        <v>0.13399723780842568</v>
      </c>
      <c r="BO171" s="163">
        <f t="shared" si="99"/>
        <v>0</v>
      </c>
      <c r="BP171" s="164">
        <f t="shared" si="122"/>
        <v>760.00565640721243</v>
      </c>
      <c r="BQ171" s="164">
        <f>IF($E171="","",IF(AND($D171=Input!$C$6,$C171=12),0,-BJ172+BK172+BL172-BM172-BN172-BO172+BQ172))</f>
        <v>760.0057023965162</v>
      </c>
      <c r="BR171" s="161">
        <f t="shared" si="100"/>
        <v>0</v>
      </c>
      <c r="BT171" s="147">
        <f t="shared" si="101"/>
        <v>0.52626586753355975</v>
      </c>
      <c r="BU171" s="164">
        <f>IF(AND($C170=12,$D170=Input!$C$6),0,IF($E171="","",BK171+(BL171+BU172)/(1+$AK171)*MIN((1-T171-U171),1)))</f>
        <v>5049.0910700291224</v>
      </c>
      <c r="BV171" s="164">
        <f t="shared" si="102"/>
        <v>2657.1642922248257</v>
      </c>
      <c r="BW171" s="164">
        <f t="shared" si="103"/>
        <v>760.0057023965162</v>
      </c>
      <c r="BX171" s="164">
        <f t="shared" si="104"/>
        <v>399.96506030215505</v>
      </c>
    </row>
    <row r="172" spans="1:76" s="150" customFormat="1" x14ac:dyDescent="0.25">
      <c r="A172" s="150">
        <f t="shared" si="117"/>
        <v>168</v>
      </c>
      <c r="B172" s="150">
        <f t="shared" si="118"/>
        <v>14</v>
      </c>
      <c r="C172" s="150">
        <f t="shared" si="119"/>
        <v>12</v>
      </c>
      <c r="D172" s="150">
        <f>IF(E172="","",Input!$C$4+B172-1)</f>
        <v>58</v>
      </c>
      <c r="E172" s="150">
        <f>IF(OR(AND(C171=12,D171=Input!$C$6),E171=""),"",1)</f>
        <v>1</v>
      </c>
      <c r="F172" s="150">
        <f>IF(E172="","",Input!$C$8+B172-1)</f>
        <v>2031</v>
      </c>
      <c r="G172" s="151">
        <f>IF(E172="","",MAX(0,Input!$C$9-B172))</f>
        <v>6</v>
      </c>
      <c r="H172" s="152">
        <f>IF(E172="","",Input!$C$3)</f>
        <v>100000</v>
      </c>
      <c r="I172" s="153">
        <f>IF(E172="","",HLOOKUP($B172,Input!$C$13:$BT$14,2))</f>
        <v>2.2999999999999998</v>
      </c>
      <c r="J172" s="154"/>
      <c r="K172" s="155">
        <f>IF($E172="","",INDEX(Input!$C$16:$CP$16,1,$B172))</f>
        <v>2.4490000000000001E-2</v>
      </c>
      <c r="L172" s="155">
        <f>IF($E172="","",Input!$C$37)</f>
        <v>1.4999999999999999E-2</v>
      </c>
      <c r="M172" s="155">
        <f t="shared" si="105"/>
        <v>3.9489999999999997E-2</v>
      </c>
      <c r="N172" s="155">
        <f t="shared" si="106"/>
        <v>3.2327313971030058E-3</v>
      </c>
      <c r="O172" s="147">
        <f>IF($E172="","",MIN(VLOOKUP(IF($B172&lt;=Input!$C$7,$B172,26),'Mortality Tables'!$A$41:$CW$67,IF($B172&lt;=Input!$C$7+1,Input!$C$4+2,$D172-Input!$C$7+2),0)*IF(B172&gt;20,Input!$C$22,1)/1000,1))</f>
        <v>2.2559999999999998E-3</v>
      </c>
      <c r="P172" s="147">
        <f>IF($E172="","",MIN(VLOOKUP(IF($B172&lt;=Input!$C$7,$B172,26),'Mortality Tables'!$A$12:$CW$37,IF($B172&lt;=Input!$C$7+1,Input!$C$4+2,$D172-Input!$C$7+2),0)*IF(B172&gt;20,Input!$C$22,1)/1000,1))</f>
        <v>2.82E-3</v>
      </c>
      <c r="Q172" s="155">
        <f>IF($E172="","",Input!$C$21)</f>
        <v>5.0000000000000001E-3</v>
      </c>
      <c r="R172" s="159">
        <f>IF($E172="","",(1-Q172)^($F172-Input!$C$20))</f>
        <v>0.93691469287980411</v>
      </c>
      <c r="S172" s="147">
        <f t="shared" si="82"/>
        <v>2.1136795471368378E-3</v>
      </c>
      <c r="T172" s="147">
        <f t="shared" si="83"/>
        <v>1.7631083212388265E-4</v>
      </c>
      <c r="U172" s="160">
        <f>IF($E172="","",IF($C172=12,INDEX(Input!$C$15:$CP$15,1,$B172),0))</f>
        <v>0.02</v>
      </c>
      <c r="V172" s="150">
        <f>IF(E172="","",IF(C172=1,IF($B172=1,Input!$C$33,Input!$C$34),0))</f>
        <v>0</v>
      </c>
      <c r="W172" s="156">
        <f>IF($E172="","",Input!$C$35)</f>
        <v>0.02</v>
      </c>
      <c r="X172" s="156">
        <f t="shared" si="84"/>
        <v>1.2936066304537963</v>
      </c>
      <c r="Y172" s="154"/>
      <c r="Z172" s="147">
        <f>IF($E172="","",VLOOKUP($D172,'Mortality Margins &amp; Grading'!$AB$5:$AF$125,3,0)*IF(Summary!$D$25="Included Margin",IF(AND($B172&gt;Input!$C$9,Summary!$D$31&lt;&gt;"Included Margin"),0,1),0))</f>
        <v>3.5999999999999997E-2</v>
      </c>
      <c r="AA172" s="147">
        <f>IF($E172="","",VLOOKUP($D172,'Mortality Margins &amp; Grading'!$AB$5:$AF$125,5,0)*IF(Summary!$D$25="Included Margin",IF(AND($B172&gt;Input!$C$9,Summary!$D$31&lt;&gt;"Included Margin"),0,1),0))</f>
        <v>0.185</v>
      </c>
      <c r="AB172" s="147">
        <f>IF($E172="","",IF(AND($B172&gt;Input!$C$9,Summary!$D$31&lt;&gt;"Included Margin"),1,IF(Summary!$D$25="Included Margin",VLOOKUP($B172,'Mortality Margins &amp; Grading'!$AI$5:$AR$125,MATCH('Mortality Margins &amp; Grading'!$AQ$4,'Mortality Margins &amp; Grading'!$AI$4:$AR$4,0),0),1)))</f>
        <v>1</v>
      </c>
      <c r="AC172" s="154"/>
      <c r="AD172" s="158">
        <f>IF(E172="","",Input!$C$48*IF(Summary!$D$30="Included Margin",IF(AND($B172&gt;Input!$C$9,Summary!$D$31&lt;&gt;"Included Margin"),0,1),0))</f>
        <v>-4.4999999999999997E-3</v>
      </c>
      <c r="AE172" s="159">
        <f>IF(E172="","",IF(Summary!$D$26="Included Margin",IF(AND($B172&gt;Input!$C$9,Summary!$D$31&lt;&gt;"Included Margin"),1,1/$R172),1))</f>
        <v>1.0673330321315486</v>
      </c>
      <c r="AF172" s="160">
        <f>IF(E172="","",IF(AND($B172&gt;=Input!$C$9,$C172=12,Summary!$D$31="Included Margin",$U172&gt;0),1/U172-1,IF($B172&gt;=Input!$C$9,0,Input!$C$45*IF(Summary!$D$27="Included Margin",1,0))))</f>
        <v>-0.1</v>
      </c>
      <c r="AG172" s="160">
        <f>IF(E172="","",Input!$C$46*IF(Summary!$D$28="Included Margin",IF(AND($B172&gt;Input!$C$9,Summary!$D$31&lt;&gt;"Included Margin"),0,1),0))</f>
        <v>0.02</v>
      </c>
      <c r="AH172" s="158">
        <f>IF(E172="","",Input!$C$47*IF(Summary!$D$29="Included Margin",IF(AND($B172&gt;Input!$C$9,Summary!$D$31&lt;&gt;"Included Margin"),0,1),0))</f>
        <v>2.5000000000000001E-3</v>
      </c>
      <c r="AI172" s="154"/>
      <c r="AJ172" s="158">
        <f t="shared" si="107"/>
        <v>3.499E-2</v>
      </c>
      <c r="AK172" s="155">
        <f t="shared" si="108"/>
        <v>2.8700912510091214E-3</v>
      </c>
      <c r="AL172" s="147">
        <f t="shared" si="109"/>
        <v>2.337216E-3</v>
      </c>
      <c r="AM172" s="147">
        <f t="shared" si="85"/>
        <v>1.949769522339162E-4</v>
      </c>
      <c r="AN172" s="160">
        <f t="shared" si="110"/>
        <v>1.8000000000000002E-2</v>
      </c>
      <c r="AO172" s="161">
        <f t="shared" si="111"/>
        <v>0</v>
      </c>
      <c r="AP172" s="156">
        <f t="shared" si="86"/>
        <v>1.3354361146600375</v>
      </c>
      <c r="AQ172" s="152"/>
      <c r="AR172" s="162">
        <f t="shared" si="87"/>
        <v>1070.1897391919506</v>
      </c>
      <c r="AS172" s="150">
        <f t="shared" si="112"/>
        <v>0</v>
      </c>
      <c r="AT172" s="163">
        <f t="shared" si="88"/>
        <v>0</v>
      </c>
      <c r="AU172" s="163">
        <f t="shared" si="89"/>
        <v>19.49769522339162</v>
      </c>
      <c r="AV172" s="163">
        <f t="shared" si="113"/>
        <v>3.0435621251368019</v>
      </c>
      <c r="AW172" s="163">
        <f t="shared" si="90"/>
        <v>0.20926092809885669</v>
      </c>
      <c r="AX172" s="163">
        <f t="shared" si="91"/>
        <v>19.314910011608287</v>
      </c>
      <c r="AY172" s="164">
        <f t="shared" si="114"/>
        <v>1073.259777033403</v>
      </c>
      <c r="AZ172" s="164">
        <f>IF($E172="","",IF(OR(AND($D172=Input!$C$6,$C172=12),$AN172=1),0,-AS173+AT173+AU173-AV173-AW173-AX173+AZ173))</f>
        <v>1073.259817128559</v>
      </c>
      <c r="BA172" s="154">
        <f t="shared" si="92"/>
        <v>4.0095156009556376E-5</v>
      </c>
      <c r="BC172" s="147">
        <f t="shared" si="115"/>
        <v>0.51564776380986532</v>
      </c>
      <c r="BD172" s="164">
        <f>IF(AND($C171=12,$D171=Input!$C$6),0,IF($E172="","",AT172+(AU172+BD173)/(1+$AK172)*MIN((1-AM172-AN172),1)))</f>
        <v>2217.2019873620784</v>
      </c>
      <c r="BE172" s="164">
        <f t="shared" si="93"/>
        <v>1143.295246698045</v>
      </c>
      <c r="BF172" s="164">
        <f t="shared" si="116"/>
        <v>1073.259817128559</v>
      </c>
      <c r="BG172" s="164">
        <f t="shared" si="94"/>
        <v>553.42402468932642</v>
      </c>
      <c r="BH172" s="152"/>
      <c r="BI172" s="162">
        <f t="shared" si="95"/>
        <v>760.00565640721243</v>
      </c>
      <c r="BJ172" s="150">
        <f t="shared" si="96"/>
        <v>0</v>
      </c>
      <c r="BK172" s="163">
        <f t="shared" si="120"/>
        <v>0</v>
      </c>
      <c r="BL172" s="163">
        <f t="shared" si="97"/>
        <v>17.631083212388265</v>
      </c>
      <c r="BM172" s="163">
        <f t="shared" si="121"/>
        <v>2.4283958693106631</v>
      </c>
      <c r="BN172" s="163">
        <f t="shared" si="98"/>
        <v>0.13402040409840538</v>
      </c>
      <c r="BO172" s="163">
        <f t="shared" si="99"/>
        <v>15.200061531702829</v>
      </c>
      <c r="BP172" s="164">
        <f t="shared" si="122"/>
        <v>760.13705099993604</v>
      </c>
      <c r="BQ172" s="164">
        <f>IF($E172="","",IF(AND($D172=Input!$C$6,$C172=12),0,-BJ173+BK173+BL173-BM173-BN173-BO173+BQ173))</f>
        <v>760.13709698923981</v>
      </c>
      <c r="BR172" s="161">
        <f t="shared" si="100"/>
        <v>0</v>
      </c>
      <c r="BT172" s="147">
        <f t="shared" si="101"/>
        <v>0.51564776380986532</v>
      </c>
      <c r="BU172" s="164">
        <f>IF(AND($C171=12,$D171=Input!$C$6),0,IF($E172="","",BK172+(BL172+BU173)/(1+$AK172)*MIN((1-T172-U172),1)))</f>
        <v>5046.8442607845436</v>
      </c>
      <c r="BV172" s="164">
        <f t="shared" si="102"/>
        <v>2602.3939573702028</v>
      </c>
      <c r="BW172" s="164">
        <f t="shared" si="103"/>
        <v>760.13709698923981</v>
      </c>
      <c r="BX172" s="164">
        <f t="shared" si="104"/>
        <v>391.96299425142422</v>
      </c>
    </row>
    <row r="173" spans="1:76" s="150" customFormat="1" x14ac:dyDescent="0.25">
      <c r="A173" s="150">
        <f t="shared" si="117"/>
        <v>169</v>
      </c>
      <c r="B173" s="150">
        <f t="shared" si="118"/>
        <v>15</v>
      </c>
      <c r="C173" s="150">
        <f t="shared" si="119"/>
        <v>1</v>
      </c>
      <c r="D173" s="150">
        <f>IF(E173="","",Input!$C$4+B173-1)</f>
        <v>59</v>
      </c>
      <c r="E173" s="150">
        <f>IF(OR(AND(C172=12,D172=Input!$C$6),E172=""),"",1)</f>
        <v>1</v>
      </c>
      <c r="F173" s="150">
        <f>IF(E173="","",Input!$C$8+B173-1)</f>
        <v>2032</v>
      </c>
      <c r="G173" s="151">
        <f>IF(E173="","",MAX(0,Input!$C$9-B173))</f>
        <v>5</v>
      </c>
      <c r="H173" s="152">
        <f>IF(E173="","",Input!$C$3)</f>
        <v>100000</v>
      </c>
      <c r="I173" s="153">
        <f>IF(E173="","",HLOOKUP($B173,Input!$C$13:$BT$14,2))</f>
        <v>2.2999999999999998</v>
      </c>
      <c r="J173" s="154"/>
      <c r="K173" s="155">
        <f>IF($E173="","",INDEX(Input!$C$16:$CP$16,1,$B173))</f>
        <v>2.4279999999999999E-2</v>
      </c>
      <c r="L173" s="155">
        <f>IF($E173="","",Input!$C$37)</f>
        <v>1.4999999999999999E-2</v>
      </c>
      <c r="M173" s="155">
        <f t="shared" si="105"/>
        <v>3.9279999999999995E-2</v>
      </c>
      <c r="N173" s="155">
        <f t="shared" si="106"/>
        <v>3.2158402306332601E-3</v>
      </c>
      <c r="O173" s="147">
        <f>IF($E173="","",MIN(VLOOKUP(IF($B173&lt;=Input!$C$7,$B173,26),'Mortality Tables'!$A$41:$CW$67,IF($B173&lt;=Input!$C$7+1,Input!$C$4+2,$D173-Input!$C$7+2),0)*IF(B173&gt;20,Input!$C$22,1)/1000,1))</f>
        <v>2.5760000000000006E-3</v>
      </c>
      <c r="P173" s="147">
        <f>IF($E173="","",MIN(VLOOKUP(IF($B173&lt;=Input!$C$7,$B173,26),'Mortality Tables'!$A$12:$CW$37,IF($B173&lt;=Input!$C$7+1,Input!$C$4+2,$D173-Input!$C$7+2),0)*IF(B173&gt;20,Input!$C$22,1)/1000,1))</f>
        <v>3.2200000000000002E-3</v>
      </c>
      <c r="Q173" s="155">
        <f>IF($E173="","",Input!$C$21)</f>
        <v>5.0000000000000001E-3</v>
      </c>
      <c r="R173" s="159">
        <f>IF($E173="","",(1-Q173)^($F173-Input!$C$20))</f>
        <v>0.93223011941540512</v>
      </c>
      <c r="S173" s="147">
        <f t="shared" si="82"/>
        <v>2.4014247876140843E-3</v>
      </c>
      <c r="T173" s="147">
        <f t="shared" si="83"/>
        <v>2.0033933211704991E-4</v>
      </c>
      <c r="U173" s="160">
        <f>IF($E173="","",IF($C173=12,INDEX(Input!$C$15:$CP$15,1,$B173),0))</f>
        <v>0</v>
      </c>
      <c r="V173" s="150">
        <f>IF(E173="","",IF(C173=1,IF($B173=1,Input!$C$33,Input!$C$34),0))</f>
        <v>50</v>
      </c>
      <c r="W173" s="156">
        <f>IF($E173="","",Input!$C$35)</f>
        <v>0.02</v>
      </c>
      <c r="X173" s="156">
        <f t="shared" si="84"/>
        <v>1.3194787630628724</v>
      </c>
      <c r="Y173" s="154"/>
      <c r="Z173" s="147">
        <f>IF($E173="","",VLOOKUP($D173,'Mortality Margins &amp; Grading'!$AB$5:$AF$125,3,0)*IF(Summary!$D$25="Included Margin",IF(AND($B173&gt;Input!$C$9,Summary!$D$31&lt;&gt;"Included Margin"),0,1),0))</f>
        <v>3.5999999999999997E-2</v>
      </c>
      <c r="AA173" s="147">
        <f>IF($E173="","",VLOOKUP($D173,'Mortality Margins &amp; Grading'!$AB$5:$AF$125,5,0)*IF(Summary!$D$25="Included Margin",IF(AND($B173&gt;Input!$C$9,Summary!$D$31&lt;&gt;"Included Margin"),0,1),0))</f>
        <v>0.185</v>
      </c>
      <c r="AB173" s="147">
        <f>IF($E173="","",IF(AND($B173&gt;Input!$C$9,Summary!$D$31&lt;&gt;"Included Margin"),1,IF(Summary!$D$25="Included Margin",VLOOKUP($B173,'Mortality Margins &amp; Grading'!$AI$5:$AR$125,MATCH('Mortality Margins &amp; Grading'!$AQ$4,'Mortality Margins &amp; Grading'!$AI$4:$AR$4,0),0),1)))</f>
        <v>1</v>
      </c>
      <c r="AC173" s="154"/>
      <c r="AD173" s="158">
        <f>IF(E173="","",Input!$C$48*IF(Summary!$D$30="Included Margin",IF(AND($B173&gt;Input!$C$9,Summary!$D$31&lt;&gt;"Included Margin"),0,1),0))</f>
        <v>-4.4999999999999997E-3</v>
      </c>
      <c r="AE173" s="159">
        <f>IF(E173="","",IF(Summary!$D$26="Included Margin",IF(AND($B173&gt;Input!$C$9,Summary!$D$31&lt;&gt;"Included Margin"),1,1/$R173),1))</f>
        <v>1.072696514705074</v>
      </c>
      <c r="AF173" s="160">
        <f>IF(E173="","",IF(AND($B173&gt;=Input!$C$9,$C173=12,Summary!$D$31="Included Margin",$U173&gt;0),1/U173-1,IF($B173&gt;=Input!$C$9,0,Input!$C$45*IF(Summary!$D$27="Included Margin",1,0))))</f>
        <v>-0.1</v>
      </c>
      <c r="AG173" s="160">
        <f>IF(E173="","",Input!$C$46*IF(Summary!$D$28="Included Margin",IF(AND($B173&gt;Input!$C$9,Summary!$D$31&lt;&gt;"Included Margin"),0,1),0))</f>
        <v>0.02</v>
      </c>
      <c r="AH173" s="158">
        <f>IF(E173="","",Input!$C$47*IF(Summary!$D$29="Included Margin",IF(AND($B173&gt;Input!$C$9,Summary!$D$31&lt;&gt;"Included Margin"),0,1),0))</f>
        <v>2.5000000000000001E-3</v>
      </c>
      <c r="AI173" s="154"/>
      <c r="AJ173" s="158">
        <f t="shared" si="107"/>
        <v>3.4779999999999998E-2</v>
      </c>
      <c r="AK173" s="155">
        <f t="shared" si="108"/>
        <v>2.8531327693710473E-3</v>
      </c>
      <c r="AL173" s="147">
        <f t="shared" si="109"/>
        <v>2.6687360000000001E-3</v>
      </c>
      <c r="AM173" s="147">
        <f t="shared" si="85"/>
        <v>2.2266715801622095E-4</v>
      </c>
      <c r="AN173" s="160">
        <f t="shared" si="110"/>
        <v>0</v>
      </c>
      <c r="AO173" s="161">
        <f t="shared" si="111"/>
        <v>51</v>
      </c>
      <c r="AP173" s="156">
        <f t="shared" si="86"/>
        <v>1.3654834272398884</v>
      </c>
      <c r="AQ173" s="152"/>
      <c r="AR173" s="162">
        <f t="shared" si="87"/>
        <v>1073.259771878304</v>
      </c>
      <c r="AS173" s="150">
        <f t="shared" si="112"/>
        <v>229.99999999999997</v>
      </c>
      <c r="AT173" s="163">
        <f t="shared" si="88"/>
        <v>69.639654789234299</v>
      </c>
      <c r="AU173" s="163">
        <f t="shared" si="89"/>
        <v>22.266715801622095</v>
      </c>
      <c r="AV173" s="163">
        <f t="shared" si="113"/>
        <v>3.4879170327622333</v>
      </c>
      <c r="AW173" s="163">
        <f t="shared" si="90"/>
        <v>0.27056551992216427</v>
      </c>
      <c r="AX173" s="163">
        <f t="shared" si="91"/>
        <v>0</v>
      </c>
      <c r="AY173" s="164">
        <f t="shared" si="114"/>
        <v>1215.1118838401321</v>
      </c>
      <c r="AZ173" s="164">
        <f>IF($E173="","",IF(OR(AND($D173=Input!$C$6,$C173=12),$AN173=1),0,-AS174+AT174+AU174-AV174-AW174-AX174+AZ174))</f>
        <v>1215.1119290903871</v>
      </c>
      <c r="BA173" s="154">
        <f t="shared" si="92"/>
        <v>4.525025497059687E-5</v>
      </c>
      <c r="BC173" s="147">
        <f t="shared" si="115"/>
        <v>0.51554445928125603</v>
      </c>
      <c r="BD173" s="164">
        <f>IF(AND($C172=12,$D172=Input!$C$6),0,IF($E173="","",AT173+(AU173+BD174)/(1+$AK173)*MIN((1-AM173-AN173),1)))</f>
        <v>2245.2753576636551</v>
      </c>
      <c r="BE173" s="164">
        <f t="shared" si="93"/>
        <v>1157.5392702042377</v>
      </c>
      <c r="BF173" s="164">
        <f t="shared" si="116"/>
        <v>1215.1119290903871</v>
      </c>
      <c r="BG173" s="164">
        <f t="shared" si="94"/>
        <v>626.44422244910754</v>
      </c>
      <c r="BH173" s="152"/>
      <c r="BI173" s="162">
        <f t="shared" si="95"/>
        <v>760.13704527651669</v>
      </c>
      <c r="BJ173" s="150">
        <f t="shared" si="96"/>
        <v>229.99999999999997</v>
      </c>
      <c r="BK173" s="163">
        <f t="shared" si="120"/>
        <v>65.973938153143621</v>
      </c>
      <c r="BL173" s="163">
        <f t="shared" si="97"/>
        <v>20.033933211704991</v>
      </c>
      <c r="BM173" s="163">
        <f t="shared" si="121"/>
        <v>2.9397479353543678</v>
      </c>
      <c r="BN173" s="163">
        <f t="shared" si="98"/>
        <v>0.18175800562451117</v>
      </c>
      <c r="BO173" s="163">
        <f t="shared" si="99"/>
        <v>0</v>
      </c>
      <c r="BP173" s="164">
        <f t="shared" si="122"/>
        <v>907.25067985264695</v>
      </c>
      <c r="BQ173" s="164">
        <f>IF($E173="","",IF(AND($D173=Input!$C$6,$C173=12),0,-BJ174+BK174+BL174-BM174-BN174-BO174+BQ174))</f>
        <v>907.25073156537007</v>
      </c>
      <c r="BR173" s="161">
        <f t="shared" si="100"/>
        <v>0</v>
      </c>
      <c r="BT173" s="147">
        <f t="shared" si="101"/>
        <v>0.51554445928125603</v>
      </c>
      <c r="BU173" s="164">
        <f>IF(AND($C172=12,$D172=Input!$C$6),0,IF($E173="","",BK173+(BL173+BU174)/(1+$AK173)*MIN((1-T173-U173),1)))</f>
        <v>5147.9198422209474</v>
      </c>
      <c r="BV173" s="164">
        <f t="shared" si="102"/>
        <v>2653.9815514810471</v>
      </c>
      <c r="BW173" s="164">
        <f t="shared" si="103"/>
        <v>907.25073156537007</v>
      </c>
      <c r="BX173" s="164">
        <f t="shared" si="104"/>
        <v>467.72808783739265</v>
      </c>
    </row>
    <row r="174" spans="1:76" s="150" customFormat="1" x14ac:dyDescent="0.25">
      <c r="A174" s="150">
        <f t="shared" si="117"/>
        <v>170</v>
      </c>
      <c r="B174" s="150">
        <f t="shared" si="118"/>
        <v>15</v>
      </c>
      <c r="C174" s="150">
        <f t="shared" si="119"/>
        <v>2</v>
      </c>
      <c r="D174" s="150">
        <f>IF(E174="","",Input!$C$4+B174-1)</f>
        <v>59</v>
      </c>
      <c r="E174" s="150">
        <f>IF(OR(AND(C173=12,D173=Input!$C$6),E173=""),"",1)</f>
        <v>1</v>
      </c>
      <c r="F174" s="150">
        <f>IF(E174="","",Input!$C$8+B174-1)</f>
        <v>2032</v>
      </c>
      <c r="G174" s="151">
        <f>IF(E174="","",MAX(0,Input!$C$9-B174))</f>
        <v>5</v>
      </c>
      <c r="H174" s="152">
        <f>IF(E174="","",Input!$C$3)</f>
        <v>100000</v>
      </c>
      <c r="I174" s="153">
        <f>IF(E174="","",HLOOKUP($B174,Input!$C$13:$BT$14,2))</f>
        <v>2.2999999999999998</v>
      </c>
      <c r="J174" s="154"/>
      <c r="K174" s="155">
        <f>IF($E174="","",INDEX(Input!$C$16:$CP$16,1,$B174))</f>
        <v>2.4279999999999999E-2</v>
      </c>
      <c r="L174" s="155">
        <f>IF($E174="","",Input!$C$37)</f>
        <v>1.4999999999999999E-2</v>
      </c>
      <c r="M174" s="155">
        <f t="shared" si="105"/>
        <v>3.9279999999999995E-2</v>
      </c>
      <c r="N174" s="155">
        <f t="shared" si="106"/>
        <v>3.2158402306332601E-3</v>
      </c>
      <c r="O174" s="147">
        <f>IF($E174="","",MIN(VLOOKUP(IF($B174&lt;=Input!$C$7,$B174,26),'Mortality Tables'!$A$41:$CW$67,IF($B174&lt;=Input!$C$7+1,Input!$C$4+2,$D174-Input!$C$7+2),0)*IF(B174&gt;20,Input!$C$22,1)/1000,1))</f>
        <v>2.5760000000000006E-3</v>
      </c>
      <c r="P174" s="147">
        <f>IF($E174="","",MIN(VLOOKUP(IF($B174&lt;=Input!$C$7,$B174,26),'Mortality Tables'!$A$12:$CW$37,IF($B174&lt;=Input!$C$7+1,Input!$C$4+2,$D174-Input!$C$7+2),0)*IF(B174&gt;20,Input!$C$22,1)/1000,1))</f>
        <v>3.2200000000000002E-3</v>
      </c>
      <c r="Q174" s="155">
        <f>IF($E174="","",Input!$C$21)</f>
        <v>5.0000000000000001E-3</v>
      </c>
      <c r="R174" s="159">
        <f>IF($E174="","",(1-Q174)^($F174-Input!$C$20))</f>
        <v>0.93223011941540512</v>
      </c>
      <c r="S174" s="147">
        <f t="shared" si="82"/>
        <v>2.4014247876140843E-3</v>
      </c>
      <c r="T174" s="147">
        <f t="shared" si="83"/>
        <v>2.0033933211704991E-4</v>
      </c>
      <c r="U174" s="160">
        <f>IF($E174="","",IF($C174=12,INDEX(Input!$C$15:$CP$15,1,$B174),0))</f>
        <v>0</v>
      </c>
      <c r="V174" s="150">
        <f>IF(E174="","",IF(C174=1,IF($B174=1,Input!$C$33,Input!$C$34),0))</f>
        <v>0</v>
      </c>
      <c r="W174" s="156">
        <f>IF($E174="","",Input!$C$35)</f>
        <v>0.02</v>
      </c>
      <c r="X174" s="156">
        <f t="shared" si="84"/>
        <v>1.3194787630628724</v>
      </c>
      <c r="Y174" s="154"/>
      <c r="Z174" s="147">
        <f>IF($E174="","",VLOOKUP($D174,'Mortality Margins &amp; Grading'!$AB$5:$AF$125,3,0)*IF(Summary!$D$25="Included Margin",IF(AND($B174&gt;Input!$C$9,Summary!$D$31&lt;&gt;"Included Margin"),0,1),0))</f>
        <v>3.5999999999999997E-2</v>
      </c>
      <c r="AA174" s="147">
        <f>IF($E174="","",VLOOKUP($D174,'Mortality Margins &amp; Grading'!$AB$5:$AF$125,5,0)*IF(Summary!$D$25="Included Margin",IF(AND($B174&gt;Input!$C$9,Summary!$D$31&lt;&gt;"Included Margin"),0,1),0))</f>
        <v>0.185</v>
      </c>
      <c r="AB174" s="147">
        <f>IF($E174="","",IF(AND($B174&gt;Input!$C$9,Summary!$D$31&lt;&gt;"Included Margin"),1,IF(Summary!$D$25="Included Margin",VLOOKUP($B174,'Mortality Margins &amp; Grading'!$AI$5:$AR$125,MATCH('Mortality Margins &amp; Grading'!$AQ$4,'Mortality Margins &amp; Grading'!$AI$4:$AR$4,0),0),1)))</f>
        <v>1</v>
      </c>
      <c r="AC174" s="154"/>
      <c r="AD174" s="158">
        <f>IF(E174="","",Input!$C$48*IF(Summary!$D$30="Included Margin",IF(AND($B174&gt;Input!$C$9,Summary!$D$31&lt;&gt;"Included Margin"),0,1),0))</f>
        <v>-4.4999999999999997E-3</v>
      </c>
      <c r="AE174" s="159">
        <f>IF(E174="","",IF(Summary!$D$26="Included Margin",IF(AND($B174&gt;Input!$C$9,Summary!$D$31&lt;&gt;"Included Margin"),1,1/$R174),1))</f>
        <v>1.072696514705074</v>
      </c>
      <c r="AF174" s="160">
        <f>IF(E174="","",IF(AND($B174&gt;=Input!$C$9,$C174=12,Summary!$D$31="Included Margin",$U174&gt;0),1/U174-1,IF($B174&gt;=Input!$C$9,0,Input!$C$45*IF(Summary!$D$27="Included Margin",1,0))))</f>
        <v>-0.1</v>
      </c>
      <c r="AG174" s="160">
        <f>IF(E174="","",Input!$C$46*IF(Summary!$D$28="Included Margin",IF(AND($B174&gt;Input!$C$9,Summary!$D$31&lt;&gt;"Included Margin"),0,1),0))</f>
        <v>0.02</v>
      </c>
      <c r="AH174" s="158">
        <f>IF(E174="","",Input!$C$47*IF(Summary!$D$29="Included Margin",IF(AND($B174&gt;Input!$C$9,Summary!$D$31&lt;&gt;"Included Margin"),0,1),0))</f>
        <v>2.5000000000000001E-3</v>
      </c>
      <c r="AI174" s="154"/>
      <c r="AJ174" s="158">
        <f t="shared" si="107"/>
        <v>3.4779999999999998E-2</v>
      </c>
      <c r="AK174" s="155">
        <f t="shared" si="108"/>
        <v>2.8531327693710473E-3</v>
      </c>
      <c r="AL174" s="147">
        <f t="shared" si="109"/>
        <v>2.6687360000000001E-3</v>
      </c>
      <c r="AM174" s="147">
        <f t="shared" si="85"/>
        <v>2.2266715801622095E-4</v>
      </c>
      <c r="AN174" s="160">
        <f t="shared" si="110"/>
        <v>0</v>
      </c>
      <c r="AO174" s="161">
        <f t="shared" si="111"/>
        <v>0</v>
      </c>
      <c r="AP174" s="156">
        <f t="shared" si="86"/>
        <v>1.3654834272398884</v>
      </c>
      <c r="AQ174" s="152"/>
      <c r="AR174" s="162">
        <f t="shared" si="87"/>
        <v>1215.1118838401324</v>
      </c>
      <c r="AS174" s="150">
        <f t="shared" si="112"/>
        <v>0</v>
      </c>
      <c r="AT174" s="163">
        <f t="shared" si="88"/>
        <v>0</v>
      </c>
      <c r="AU174" s="163">
        <f t="shared" si="89"/>
        <v>22.266715801622095</v>
      </c>
      <c r="AV174" s="163">
        <f t="shared" si="113"/>
        <v>3.4351105859765272</v>
      </c>
      <c r="AW174" s="163">
        <f t="shared" si="90"/>
        <v>0.26643166548967318</v>
      </c>
      <c r="AX174" s="163">
        <f t="shared" si="91"/>
        <v>0</v>
      </c>
      <c r="AY174" s="164">
        <f t="shared" si="114"/>
        <v>1196.5467102899763</v>
      </c>
      <c r="AZ174" s="164">
        <f>IF($E174="","",IF(OR(AND($D174=Input!$C$6,$C174=12),$AN174=1),0,-AS175+AT175+AU175-AV175-AW175-AX175+AZ175))</f>
        <v>1196.5467555402313</v>
      </c>
      <c r="BA174" s="154">
        <f t="shared" si="92"/>
        <v>4.525025497059687E-5</v>
      </c>
      <c r="BC174" s="147">
        <f t="shared" si="115"/>
        <v>0.51544117544860701</v>
      </c>
      <c r="BD174" s="164">
        <f>IF(AND($C173=12,$D173=Input!$C$6),0,IF($E174="","",AT174+(AU174+BD175)/(1+$AK174)*MIN((1-AM174-AN174),1)))</f>
        <v>2160.062297590152</v>
      </c>
      <c r="BE174" s="164">
        <f t="shared" si="93"/>
        <v>1113.3850497120866</v>
      </c>
      <c r="BF174" s="164">
        <f t="shared" si="116"/>
        <v>1196.5467555402313</v>
      </c>
      <c r="BG174" s="164">
        <f t="shared" si="94"/>
        <v>616.74946615487386</v>
      </c>
      <c r="BH174" s="152"/>
      <c r="BI174" s="162">
        <f t="shared" si="95"/>
        <v>907.25067985264695</v>
      </c>
      <c r="BJ174" s="150">
        <f t="shared" si="96"/>
        <v>0</v>
      </c>
      <c r="BK174" s="163">
        <f t="shared" si="120"/>
        <v>0</v>
      </c>
      <c r="BL174" s="163">
        <f t="shared" si="97"/>
        <v>20.033933211704991</v>
      </c>
      <c r="BM174" s="163">
        <f t="shared" si="121"/>
        <v>2.8853602713395077</v>
      </c>
      <c r="BN174" s="163">
        <f t="shared" si="98"/>
        <v>0.1783582041383725</v>
      </c>
      <c r="BO174" s="163">
        <f t="shared" si="99"/>
        <v>0</v>
      </c>
      <c r="BP174" s="164">
        <f t="shared" si="122"/>
        <v>890.28046511641992</v>
      </c>
      <c r="BQ174" s="164">
        <f>IF($E174="","",IF(AND($D174=Input!$C$6,$C174=12),0,-BJ175+BK175+BL175-BM175-BN175-BO175+BQ175))</f>
        <v>890.28051682914293</v>
      </c>
      <c r="BR174" s="161">
        <f t="shared" si="100"/>
        <v>0</v>
      </c>
      <c r="BT174" s="147">
        <f t="shared" si="101"/>
        <v>0.51544117544860701</v>
      </c>
      <c r="BU174" s="164">
        <f>IF(AND($C173=12,$D173=Input!$C$6),0,IF($E174="","",BK174+(BL174+BU175)/(1+$AK174)*MIN((1-T174-U174),1)))</f>
        <v>5077.432660299999</v>
      </c>
      <c r="BV174" s="164">
        <f t="shared" si="102"/>
        <v>2617.1178586861793</v>
      </c>
      <c r="BW174" s="164">
        <f t="shared" si="103"/>
        <v>890.28051682914293</v>
      </c>
      <c r="BX174" s="164">
        <f t="shared" si="104"/>
        <v>458.88723607340677</v>
      </c>
    </row>
    <row r="175" spans="1:76" s="150" customFormat="1" x14ac:dyDescent="0.25">
      <c r="A175" s="150">
        <f t="shared" si="117"/>
        <v>171</v>
      </c>
      <c r="B175" s="150">
        <f t="shared" si="118"/>
        <v>15</v>
      </c>
      <c r="C175" s="150">
        <f t="shared" si="119"/>
        <v>3</v>
      </c>
      <c r="D175" s="150">
        <f>IF(E175="","",Input!$C$4+B175-1)</f>
        <v>59</v>
      </c>
      <c r="E175" s="150">
        <f>IF(OR(AND(C174=12,D174=Input!$C$6),E174=""),"",1)</f>
        <v>1</v>
      </c>
      <c r="F175" s="150">
        <f>IF(E175="","",Input!$C$8+B175-1)</f>
        <v>2032</v>
      </c>
      <c r="G175" s="151">
        <f>IF(E175="","",MAX(0,Input!$C$9-B175))</f>
        <v>5</v>
      </c>
      <c r="H175" s="152">
        <f>IF(E175="","",Input!$C$3)</f>
        <v>100000</v>
      </c>
      <c r="I175" s="153">
        <f>IF(E175="","",HLOOKUP($B175,Input!$C$13:$BT$14,2))</f>
        <v>2.2999999999999998</v>
      </c>
      <c r="J175" s="154"/>
      <c r="K175" s="155">
        <f>IF($E175="","",INDEX(Input!$C$16:$CP$16,1,$B175))</f>
        <v>2.4279999999999999E-2</v>
      </c>
      <c r="L175" s="155">
        <f>IF($E175="","",Input!$C$37)</f>
        <v>1.4999999999999999E-2</v>
      </c>
      <c r="M175" s="155">
        <f t="shared" si="105"/>
        <v>3.9279999999999995E-2</v>
      </c>
      <c r="N175" s="155">
        <f t="shared" si="106"/>
        <v>3.2158402306332601E-3</v>
      </c>
      <c r="O175" s="147">
        <f>IF($E175="","",MIN(VLOOKUP(IF($B175&lt;=Input!$C$7,$B175,26),'Mortality Tables'!$A$41:$CW$67,IF($B175&lt;=Input!$C$7+1,Input!$C$4+2,$D175-Input!$C$7+2),0)*IF(B175&gt;20,Input!$C$22,1)/1000,1))</f>
        <v>2.5760000000000006E-3</v>
      </c>
      <c r="P175" s="147">
        <f>IF($E175="","",MIN(VLOOKUP(IF($B175&lt;=Input!$C$7,$B175,26),'Mortality Tables'!$A$12:$CW$37,IF($B175&lt;=Input!$C$7+1,Input!$C$4+2,$D175-Input!$C$7+2),0)*IF(B175&gt;20,Input!$C$22,1)/1000,1))</f>
        <v>3.2200000000000002E-3</v>
      </c>
      <c r="Q175" s="155">
        <f>IF($E175="","",Input!$C$21)</f>
        <v>5.0000000000000001E-3</v>
      </c>
      <c r="R175" s="159">
        <f>IF($E175="","",(1-Q175)^($F175-Input!$C$20))</f>
        <v>0.93223011941540512</v>
      </c>
      <c r="S175" s="147">
        <f t="shared" si="82"/>
        <v>2.4014247876140843E-3</v>
      </c>
      <c r="T175" s="147">
        <f t="shared" si="83"/>
        <v>2.0033933211704991E-4</v>
      </c>
      <c r="U175" s="160">
        <f>IF($E175="","",IF($C175=12,INDEX(Input!$C$15:$CP$15,1,$B175),0))</f>
        <v>0</v>
      </c>
      <c r="V175" s="150">
        <f>IF(E175="","",IF(C175=1,IF($B175=1,Input!$C$33,Input!$C$34),0))</f>
        <v>0</v>
      </c>
      <c r="W175" s="156">
        <f>IF($E175="","",Input!$C$35)</f>
        <v>0.02</v>
      </c>
      <c r="X175" s="156">
        <f t="shared" si="84"/>
        <v>1.3194787630628724</v>
      </c>
      <c r="Y175" s="154"/>
      <c r="Z175" s="147">
        <f>IF($E175="","",VLOOKUP($D175,'Mortality Margins &amp; Grading'!$AB$5:$AF$125,3,0)*IF(Summary!$D$25="Included Margin",IF(AND($B175&gt;Input!$C$9,Summary!$D$31&lt;&gt;"Included Margin"),0,1),0))</f>
        <v>3.5999999999999997E-2</v>
      </c>
      <c r="AA175" s="147">
        <f>IF($E175="","",VLOOKUP($D175,'Mortality Margins &amp; Grading'!$AB$5:$AF$125,5,0)*IF(Summary!$D$25="Included Margin",IF(AND($B175&gt;Input!$C$9,Summary!$D$31&lt;&gt;"Included Margin"),0,1),0))</f>
        <v>0.185</v>
      </c>
      <c r="AB175" s="147">
        <f>IF($E175="","",IF(AND($B175&gt;Input!$C$9,Summary!$D$31&lt;&gt;"Included Margin"),1,IF(Summary!$D$25="Included Margin",VLOOKUP($B175,'Mortality Margins &amp; Grading'!$AI$5:$AR$125,MATCH('Mortality Margins &amp; Grading'!$AQ$4,'Mortality Margins &amp; Grading'!$AI$4:$AR$4,0),0),1)))</f>
        <v>1</v>
      </c>
      <c r="AC175" s="154"/>
      <c r="AD175" s="158">
        <f>IF(E175="","",Input!$C$48*IF(Summary!$D$30="Included Margin",IF(AND($B175&gt;Input!$C$9,Summary!$D$31&lt;&gt;"Included Margin"),0,1),0))</f>
        <v>-4.4999999999999997E-3</v>
      </c>
      <c r="AE175" s="159">
        <f>IF(E175="","",IF(Summary!$D$26="Included Margin",IF(AND($B175&gt;Input!$C$9,Summary!$D$31&lt;&gt;"Included Margin"),1,1/$R175),1))</f>
        <v>1.072696514705074</v>
      </c>
      <c r="AF175" s="160">
        <f>IF(E175="","",IF(AND($B175&gt;=Input!$C$9,$C175=12,Summary!$D$31="Included Margin",$U175&gt;0),1/U175-1,IF($B175&gt;=Input!$C$9,0,Input!$C$45*IF(Summary!$D$27="Included Margin",1,0))))</f>
        <v>-0.1</v>
      </c>
      <c r="AG175" s="160">
        <f>IF(E175="","",Input!$C$46*IF(Summary!$D$28="Included Margin",IF(AND($B175&gt;Input!$C$9,Summary!$D$31&lt;&gt;"Included Margin"),0,1),0))</f>
        <v>0.02</v>
      </c>
      <c r="AH175" s="158">
        <f>IF(E175="","",Input!$C$47*IF(Summary!$D$29="Included Margin",IF(AND($B175&gt;Input!$C$9,Summary!$D$31&lt;&gt;"Included Margin"),0,1),0))</f>
        <v>2.5000000000000001E-3</v>
      </c>
      <c r="AI175" s="154"/>
      <c r="AJ175" s="158">
        <f t="shared" si="107"/>
        <v>3.4779999999999998E-2</v>
      </c>
      <c r="AK175" s="155">
        <f t="shared" si="108"/>
        <v>2.8531327693710473E-3</v>
      </c>
      <c r="AL175" s="147">
        <f t="shared" si="109"/>
        <v>2.6687360000000001E-3</v>
      </c>
      <c r="AM175" s="147">
        <f t="shared" si="85"/>
        <v>2.2266715801622095E-4</v>
      </c>
      <c r="AN175" s="160">
        <f t="shared" si="110"/>
        <v>0</v>
      </c>
      <c r="AO175" s="161">
        <f t="shared" si="111"/>
        <v>0</v>
      </c>
      <c r="AP175" s="156">
        <f t="shared" si="86"/>
        <v>1.3654834272398884</v>
      </c>
      <c r="AQ175" s="152"/>
      <c r="AR175" s="162">
        <f t="shared" si="87"/>
        <v>1196.5467102899763</v>
      </c>
      <c r="AS175" s="150">
        <f t="shared" si="112"/>
        <v>0</v>
      </c>
      <c r="AT175" s="163">
        <f t="shared" si="88"/>
        <v>0</v>
      </c>
      <c r="AU175" s="163">
        <f t="shared" si="89"/>
        <v>22.266715801622095</v>
      </c>
      <c r="AV175" s="163">
        <f t="shared" si="113"/>
        <v>3.3821416809515163</v>
      </c>
      <c r="AW175" s="163">
        <f t="shared" si="90"/>
        <v>0.26228509331619554</v>
      </c>
      <c r="AX175" s="163">
        <f t="shared" si="91"/>
        <v>0</v>
      </c>
      <c r="AY175" s="164">
        <f t="shared" si="114"/>
        <v>1177.924421262622</v>
      </c>
      <c r="AZ175" s="164">
        <f>IF($E175="","",IF(OR(AND($D175=Input!$C$6,$C175=12),$AN175=1),0,-AS176+AT176+AU176-AV176-AW176-AX176+AZ176))</f>
        <v>1177.924466512877</v>
      </c>
      <c r="BA175" s="154">
        <f t="shared" si="92"/>
        <v>4.525025497059687E-5</v>
      </c>
      <c r="BC175" s="147">
        <f t="shared" si="115"/>
        <v>0.51533791230777204</v>
      </c>
      <c r="BD175" s="164">
        <f>IF(AND($C174=12,$D174=Input!$C$6),0,IF($E175="","",AT175+(AU175+BD176)/(1+$AK175)*MIN((1-AM175-AN175),1)))</f>
        <v>2144.4409809587569</v>
      </c>
      <c r="BE175" s="164">
        <f t="shared" si="93"/>
        <v>1105.1117381945164</v>
      </c>
      <c r="BF175" s="164">
        <f t="shared" si="116"/>
        <v>1177.924466512877</v>
      </c>
      <c r="BG175" s="164">
        <f t="shared" si="94"/>
        <v>607.02913542899216</v>
      </c>
      <c r="BH175" s="152"/>
      <c r="BI175" s="162">
        <f t="shared" si="95"/>
        <v>890.2804651164198</v>
      </c>
      <c r="BJ175" s="150">
        <f t="shared" si="96"/>
        <v>0</v>
      </c>
      <c r="BK175" s="163">
        <f t="shared" si="120"/>
        <v>0</v>
      </c>
      <c r="BL175" s="163">
        <f t="shared" si="97"/>
        <v>20.033933211704991</v>
      </c>
      <c r="BM175" s="163">
        <f t="shared" si="121"/>
        <v>2.8307867720682629</v>
      </c>
      <c r="BN175" s="163">
        <f t="shared" si="98"/>
        <v>0.17494678599260566</v>
      </c>
      <c r="BO175" s="163">
        <f t="shared" si="99"/>
        <v>0</v>
      </c>
      <c r="BP175" s="164">
        <f t="shared" si="122"/>
        <v>873.25226546277565</v>
      </c>
      <c r="BQ175" s="164">
        <f>IF($E175="","",IF(AND($D175=Input!$C$6,$C175=12),0,-BJ176+BK176+BL176-BM176-BN176-BO176+BQ176))</f>
        <v>873.25231717549877</v>
      </c>
      <c r="BR175" s="161">
        <f t="shared" si="100"/>
        <v>0</v>
      </c>
      <c r="BT175" s="147">
        <f t="shared" si="101"/>
        <v>0.51533791230777204</v>
      </c>
      <c r="BU175" s="164">
        <f>IF(AND($C174=12,$D174=Input!$C$6),0,IF($E175="","",BK175+(BL175+BU176)/(1+$AK175)*MIN((1-T175-U175),1)))</f>
        <v>5072.9056327068192</v>
      </c>
      <c r="BV175" s="164">
        <f t="shared" si="102"/>
        <v>2614.2605980934695</v>
      </c>
      <c r="BW175" s="164">
        <f t="shared" si="103"/>
        <v>873.25231717549877</v>
      </c>
      <c r="BX175" s="164">
        <f t="shared" si="104"/>
        <v>450.02002605114592</v>
      </c>
    </row>
    <row r="176" spans="1:76" s="150" customFormat="1" x14ac:dyDescent="0.25">
      <c r="A176" s="150">
        <f t="shared" si="117"/>
        <v>172</v>
      </c>
      <c r="B176" s="150">
        <f t="shared" si="118"/>
        <v>15</v>
      </c>
      <c r="C176" s="150">
        <f t="shared" si="119"/>
        <v>4</v>
      </c>
      <c r="D176" s="150">
        <f>IF(E176="","",Input!$C$4+B176-1)</f>
        <v>59</v>
      </c>
      <c r="E176" s="150">
        <f>IF(OR(AND(C175=12,D175=Input!$C$6),E175=""),"",1)</f>
        <v>1</v>
      </c>
      <c r="F176" s="150">
        <f>IF(E176="","",Input!$C$8+B176-1)</f>
        <v>2032</v>
      </c>
      <c r="G176" s="151">
        <f>IF(E176="","",MAX(0,Input!$C$9-B176))</f>
        <v>5</v>
      </c>
      <c r="H176" s="152">
        <f>IF(E176="","",Input!$C$3)</f>
        <v>100000</v>
      </c>
      <c r="I176" s="153">
        <f>IF(E176="","",HLOOKUP($B176,Input!$C$13:$BT$14,2))</f>
        <v>2.2999999999999998</v>
      </c>
      <c r="J176" s="154"/>
      <c r="K176" s="155">
        <f>IF($E176="","",INDEX(Input!$C$16:$CP$16,1,$B176))</f>
        <v>2.4279999999999999E-2</v>
      </c>
      <c r="L176" s="155">
        <f>IF($E176="","",Input!$C$37)</f>
        <v>1.4999999999999999E-2</v>
      </c>
      <c r="M176" s="155">
        <f t="shared" si="105"/>
        <v>3.9279999999999995E-2</v>
      </c>
      <c r="N176" s="155">
        <f t="shared" si="106"/>
        <v>3.2158402306332601E-3</v>
      </c>
      <c r="O176" s="147">
        <f>IF($E176="","",MIN(VLOOKUP(IF($B176&lt;=Input!$C$7,$B176,26),'Mortality Tables'!$A$41:$CW$67,IF($B176&lt;=Input!$C$7+1,Input!$C$4+2,$D176-Input!$C$7+2),0)*IF(B176&gt;20,Input!$C$22,1)/1000,1))</f>
        <v>2.5760000000000006E-3</v>
      </c>
      <c r="P176" s="147">
        <f>IF($E176="","",MIN(VLOOKUP(IF($B176&lt;=Input!$C$7,$B176,26),'Mortality Tables'!$A$12:$CW$37,IF($B176&lt;=Input!$C$7+1,Input!$C$4+2,$D176-Input!$C$7+2),0)*IF(B176&gt;20,Input!$C$22,1)/1000,1))</f>
        <v>3.2200000000000002E-3</v>
      </c>
      <c r="Q176" s="155">
        <f>IF($E176="","",Input!$C$21)</f>
        <v>5.0000000000000001E-3</v>
      </c>
      <c r="R176" s="159">
        <f>IF($E176="","",(1-Q176)^($F176-Input!$C$20))</f>
        <v>0.93223011941540512</v>
      </c>
      <c r="S176" s="147">
        <f t="shared" si="82"/>
        <v>2.4014247876140843E-3</v>
      </c>
      <c r="T176" s="147">
        <f t="shared" si="83"/>
        <v>2.0033933211704991E-4</v>
      </c>
      <c r="U176" s="160">
        <f>IF($E176="","",IF($C176=12,INDEX(Input!$C$15:$CP$15,1,$B176),0))</f>
        <v>0</v>
      </c>
      <c r="V176" s="150">
        <f>IF(E176="","",IF(C176=1,IF($B176=1,Input!$C$33,Input!$C$34),0))</f>
        <v>0</v>
      </c>
      <c r="W176" s="156">
        <f>IF($E176="","",Input!$C$35)</f>
        <v>0.02</v>
      </c>
      <c r="X176" s="156">
        <f t="shared" si="84"/>
        <v>1.3194787630628724</v>
      </c>
      <c r="Y176" s="154"/>
      <c r="Z176" s="147">
        <f>IF($E176="","",VLOOKUP($D176,'Mortality Margins &amp; Grading'!$AB$5:$AF$125,3,0)*IF(Summary!$D$25="Included Margin",IF(AND($B176&gt;Input!$C$9,Summary!$D$31&lt;&gt;"Included Margin"),0,1),0))</f>
        <v>3.5999999999999997E-2</v>
      </c>
      <c r="AA176" s="147">
        <f>IF($E176="","",VLOOKUP($D176,'Mortality Margins &amp; Grading'!$AB$5:$AF$125,5,0)*IF(Summary!$D$25="Included Margin",IF(AND($B176&gt;Input!$C$9,Summary!$D$31&lt;&gt;"Included Margin"),0,1),0))</f>
        <v>0.185</v>
      </c>
      <c r="AB176" s="147">
        <f>IF($E176="","",IF(AND($B176&gt;Input!$C$9,Summary!$D$31&lt;&gt;"Included Margin"),1,IF(Summary!$D$25="Included Margin",VLOOKUP($B176,'Mortality Margins &amp; Grading'!$AI$5:$AR$125,MATCH('Mortality Margins &amp; Grading'!$AQ$4,'Mortality Margins &amp; Grading'!$AI$4:$AR$4,0),0),1)))</f>
        <v>1</v>
      </c>
      <c r="AC176" s="154"/>
      <c r="AD176" s="158">
        <f>IF(E176="","",Input!$C$48*IF(Summary!$D$30="Included Margin",IF(AND($B176&gt;Input!$C$9,Summary!$D$31&lt;&gt;"Included Margin"),0,1),0))</f>
        <v>-4.4999999999999997E-3</v>
      </c>
      <c r="AE176" s="159">
        <f>IF(E176="","",IF(Summary!$D$26="Included Margin",IF(AND($B176&gt;Input!$C$9,Summary!$D$31&lt;&gt;"Included Margin"),1,1/$R176),1))</f>
        <v>1.072696514705074</v>
      </c>
      <c r="AF176" s="160">
        <f>IF(E176="","",IF(AND($B176&gt;=Input!$C$9,$C176=12,Summary!$D$31="Included Margin",$U176&gt;0),1/U176-1,IF($B176&gt;=Input!$C$9,0,Input!$C$45*IF(Summary!$D$27="Included Margin",1,0))))</f>
        <v>-0.1</v>
      </c>
      <c r="AG176" s="160">
        <f>IF(E176="","",Input!$C$46*IF(Summary!$D$28="Included Margin",IF(AND($B176&gt;Input!$C$9,Summary!$D$31&lt;&gt;"Included Margin"),0,1),0))</f>
        <v>0.02</v>
      </c>
      <c r="AH176" s="158">
        <f>IF(E176="","",Input!$C$47*IF(Summary!$D$29="Included Margin",IF(AND($B176&gt;Input!$C$9,Summary!$D$31&lt;&gt;"Included Margin"),0,1),0))</f>
        <v>2.5000000000000001E-3</v>
      </c>
      <c r="AI176" s="154"/>
      <c r="AJ176" s="158">
        <f t="shared" si="107"/>
        <v>3.4779999999999998E-2</v>
      </c>
      <c r="AK176" s="155">
        <f t="shared" si="108"/>
        <v>2.8531327693710473E-3</v>
      </c>
      <c r="AL176" s="147">
        <f t="shared" si="109"/>
        <v>2.6687360000000001E-3</v>
      </c>
      <c r="AM176" s="147">
        <f t="shared" si="85"/>
        <v>2.2266715801622095E-4</v>
      </c>
      <c r="AN176" s="160">
        <f t="shared" si="110"/>
        <v>0</v>
      </c>
      <c r="AO176" s="161">
        <f t="shared" si="111"/>
        <v>0</v>
      </c>
      <c r="AP176" s="156">
        <f t="shared" si="86"/>
        <v>1.3654834272398884</v>
      </c>
      <c r="AQ176" s="152"/>
      <c r="AR176" s="162">
        <f t="shared" si="87"/>
        <v>1177.924421262622</v>
      </c>
      <c r="AS176" s="150">
        <f t="shared" si="112"/>
        <v>0</v>
      </c>
      <c r="AT176" s="163">
        <f t="shared" si="88"/>
        <v>0</v>
      </c>
      <c r="AU176" s="163">
        <f t="shared" si="89"/>
        <v>22.266715801622095</v>
      </c>
      <c r="AV176" s="163">
        <f t="shared" si="113"/>
        <v>3.329009817886873</v>
      </c>
      <c r="AW176" s="163">
        <f t="shared" si="90"/>
        <v>0.25812576427579248</v>
      </c>
      <c r="AX176" s="163">
        <f t="shared" si="91"/>
        <v>0</v>
      </c>
      <c r="AY176" s="164">
        <f t="shared" si="114"/>
        <v>1159.2448410431625</v>
      </c>
      <c r="AZ176" s="164">
        <f>IF($E176="","",IF(OR(AND($D176=Input!$C$6,$C176=12),$AN176=1),0,-AS177+AT177+AU177-AV177-AW177-AX177+AZ177))</f>
        <v>1159.2448862934175</v>
      </c>
      <c r="BA176" s="154">
        <f t="shared" si="92"/>
        <v>4.525025497059687E-5</v>
      </c>
      <c r="BC176" s="147">
        <f t="shared" si="115"/>
        <v>0.51523466985460575</v>
      </c>
      <c r="BD176" s="164">
        <f>IF(AND($C175=12,$D175=Input!$C$6),0,IF($E176="","",AT176+(AU176+BD177)/(1+$AK176)*MIN((1-AM176-AN176),1)))</f>
        <v>2128.7716055816973</v>
      </c>
      <c r="BE176" s="164">
        <f t="shared" si="93"/>
        <v>1096.8169353977448</v>
      </c>
      <c r="BF176" s="164">
        <f t="shared" si="116"/>
        <v>1159.2448862934175</v>
      </c>
      <c r="BG176" s="164">
        <f t="shared" si="94"/>
        <v>597.28315627002894</v>
      </c>
      <c r="BH176" s="152"/>
      <c r="BI176" s="162">
        <f t="shared" si="95"/>
        <v>873.25226546277565</v>
      </c>
      <c r="BJ176" s="150">
        <f t="shared" si="96"/>
        <v>0</v>
      </c>
      <c r="BK176" s="163">
        <f t="shared" si="120"/>
        <v>0</v>
      </c>
      <c r="BL176" s="163">
        <f t="shared" si="97"/>
        <v>20.033933211704991</v>
      </c>
      <c r="BM176" s="163">
        <f t="shared" si="121"/>
        <v>2.7760268025668187</v>
      </c>
      <c r="BN176" s="163">
        <f t="shared" si="98"/>
        <v>0.17152371149466342</v>
      </c>
      <c r="BO176" s="163">
        <f t="shared" si="99"/>
        <v>0</v>
      </c>
      <c r="BP176" s="164">
        <f t="shared" si="122"/>
        <v>856.1658827651321</v>
      </c>
      <c r="BQ176" s="164">
        <f>IF($E176="","",IF(AND($D176=Input!$C$6,$C176=12),0,-BJ177+BK177+BL177-BM177-BN177-BO177+BQ177))</f>
        <v>856.16593447785522</v>
      </c>
      <c r="BR176" s="161">
        <f t="shared" si="100"/>
        <v>0</v>
      </c>
      <c r="BT176" s="147">
        <f t="shared" si="101"/>
        <v>0.51523466985460575</v>
      </c>
      <c r="BU176" s="164">
        <f>IF(AND($C175=12,$D175=Input!$C$6),0,IF($E176="","",BK176+(BL176+BU177)/(1+$AK176)*MIN((1-T176-U176),1)))</f>
        <v>5068.3647791913063</v>
      </c>
      <c r="BV176" s="164">
        <f t="shared" si="102"/>
        <v>2611.3972537093446</v>
      </c>
      <c r="BW176" s="164">
        <f t="shared" si="103"/>
        <v>856.16593447785522</v>
      </c>
      <c r="BX176" s="164">
        <f t="shared" si="104"/>
        <v>441.12637259145777</v>
      </c>
    </row>
    <row r="177" spans="1:76" s="150" customFormat="1" x14ac:dyDescent="0.25">
      <c r="A177" s="150">
        <f t="shared" si="117"/>
        <v>173</v>
      </c>
      <c r="B177" s="150">
        <f t="shared" si="118"/>
        <v>15</v>
      </c>
      <c r="C177" s="150">
        <f t="shared" si="119"/>
        <v>5</v>
      </c>
      <c r="D177" s="150">
        <f>IF(E177="","",Input!$C$4+B177-1)</f>
        <v>59</v>
      </c>
      <c r="E177" s="150">
        <f>IF(OR(AND(C176=12,D176=Input!$C$6),E176=""),"",1)</f>
        <v>1</v>
      </c>
      <c r="F177" s="150">
        <f>IF(E177="","",Input!$C$8+B177-1)</f>
        <v>2032</v>
      </c>
      <c r="G177" s="151">
        <f>IF(E177="","",MAX(0,Input!$C$9-B177))</f>
        <v>5</v>
      </c>
      <c r="H177" s="152">
        <f>IF(E177="","",Input!$C$3)</f>
        <v>100000</v>
      </c>
      <c r="I177" s="153">
        <f>IF(E177="","",HLOOKUP($B177,Input!$C$13:$BT$14,2))</f>
        <v>2.2999999999999998</v>
      </c>
      <c r="J177" s="154"/>
      <c r="K177" s="155">
        <f>IF($E177="","",INDEX(Input!$C$16:$CP$16,1,$B177))</f>
        <v>2.4279999999999999E-2</v>
      </c>
      <c r="L177" s="155">
        <f>IF($E177="","",Input!$C$37)</f>
        <v>1.4999999999999999E-2</v>
      </c>
      <c r="M177" s="155">
        <f t="shared" si="105"/>
        <v>3.9279999999999995E-2</v>
      </c>
      <c r="N177" s="155">
        <f t="shared" si="106"/>
        <v>3.2158402306332601E-3</v>
      </c>
      <c r="O177" s="147">
        <f>IF($E177="","",MIN(VLOOKUP(IF($B177&lt;=Input!$C$7,$B177,26),'Mortality Tables'!$A$41:$CW$67,IF($B177&lt;=Input!$C$7+1,Input!$C$4+2,$D177-Input!$C$7+2),0)*IF(B177&gt;20,Input!$C$22,1)/1000,1))</f>
        <v>2.5760000000000006E-3</v>
      </c>
      <c r="P177" s="147">
        <f>IF($E177="","",MIN(VLOOKUP(IF($B177&lt;=Input!$C$7,$B177,26),'Mortality Tables'!$A$12:$CW$37,IF($B177&lt;=Input!$C$7+1,Input!$C$4+2,$D177-Input!$C$7+2),0)*IF(B177&gt;20,Input!$C$22,1)/1000,1))</f>
        <v>3.2200000000000002E-3</v>
      </c>
      <c r="Q177" s="155">
        <f>IF($E177="","",Input!$C$21)</f>
        <v>5.0000000000000001E-3</v>
      </c>
      <c r="R177" s="159">
        <f>IF($E177="","",(1-Q177)^($F177-Input!$C$20))</f>
        <v>0.93223011941540512</v>
      </c>
      <c r="S177" s="147">
        <f t="shared" si="82"/>
        <v>2.4014247876140843E-3</v>
      </c>
      <c r="T177" s="147">
        <f t="shared" si="83"/>
        <v>2.0033933211704991E-4</v>
      </c>
      <c r="U177" s="160">
        <f>IF($E177="","",IF($C177=12,INDEX(Input!$C$15:$CP$15,1,$B177),0))</f>
        <v>0</v>
      </c>
      <c r="V177" s="150">
        <f>IF(E177="","",IF(C177=1,IF($B177=1,Input!$C$33,Input!$C$34),0))</f>
        <v>0</v>
      </c>
      <c r="W177" s="156">
        <f>IF($E177="","",Input!$C$35)</f>
        <v>0.02</v>
      </c>
      <c r="X177" s="156">
        <f t="shared" si="84"/>
        <v>1.3194787630628724</v>
      </c>
      <c r="Y177" s="154"/>
      <c r="Z177" s="147">
        <f>IF($E177="","",VLOOKUP($D177,'Mortality Margins &amp; Grading'!$AB$5:$AF$125,3,0)*IF(Summary!$D$25="Included Margin",IF(AND($B177&gt;Input!$C$9,Summary!$D$31&lt;&gt;"Included Margin"),0,1),0))</f>
        <v>3.5999999999999997E-2</v>
      </c>
      <c r="AA177" s="147">
        <f>IF($E177="","",VLOOKUP($D177,'Mortality Margins &amp; Grading'!$AB$5:$AF$125,5,0)*IF(Summary!$D$25="Included Margin",IF(AND($B177&gt;Input!$C$9,Summary!$D$31&lt;&gt;"Included Margin"),0,1),0))</f>
        <v>0.185</v>
      </c>
      <c r="AB177" s="147">
        <f>IF($E177="","",IF(AND($B177&gt;Input!$C$9,Summary!$D$31&lt;&gt;"Included Margin"),1,IF(Summary!$D$25="Included Margin",VLOOKUP($B177,'Mortality Margins &amp; Grading'!$AI$5:$AR$125,MATCH('Mortality Margins &amp; Grading'!$AQ$4,'Mortality Margins &amp; Grading'!$AI$4:$AR$4,0),0),1)))</f>
        <v>1</v>
      </c>
      <c r="AC177" s="154"/>
      <c r="AD177" s="158">
        <f>IF(E177="","",Input!$C$48*IF(Summary!$D$30="Included Margin",IF(AND($B177&gt;Input!$C$9,Summary!$D$31&lt;&gt;"Included Margin"),0,1),0))</f>
        <v>-4.4999999999999997E-3</v>
      </c>
      <c r="AE177" s="159">
        <f>IF(E177="","",IF(Summary!$D$26="Included Margin",IF(AND($B177&gt;Input!$C$9,Summary!$D$31&lt;&gt;"Included Margin"),1,1/$R177),1))</f>
        <v>1.072696514705074</v>
      </c>
      <c r="AF177" s="160">
        <f>IF(E177="","",IF(AND($B177&gt;=Input!$C$9,$C177=12,Summary!$D$31="Included Margin",$U177&gt;0),1/U177-1,IF($B177&gt;=Input!$C$9,0,Input!$C$45*IF(Summary!$D$27="Included Margin",1,0))))</f>
        <v>-0.1</v>
      </c>
      <c r="AG177" s="160">
        <f>IF(E177="","",Input!$C$46*IF(Summary!$D$28="Included Margin",IF(AND($B177&gt;Input!$C$9,Summary!$D$31&lt;&gt;"Included Margin"),0,1),0))</f>
        <v>0.02</v>
      </c>
      <c r="AH177" s="158">
        <f>IF(E177="","",Input!$C$47*IF(Summary!$D$29="Included Margin",IF(AND($B177&gt;Input!$C$9,Summary!$D$31&lt;&gt;"Included Margin"),0,1),0))</f>
        <v>2.5000000000000001E-3</v>
      </c>
      <c r="AI177" s="154"/>
      <c r="AJ177" s="158">
        <f t="shared" si="107"/>
        <v>3.4779999999999998E-2</v>
      </c>
      <c r="AK177" s="155">
        <f t="shared" si="108"/>
        <v>2.8531327693710473E-3</v>
      </c>
      <c r="AL177" s="147">
        <f t="shared" si="109"/>
        <v>2.6687360000000001E-3</v>
      </c>
      <c r="AM177" s="147">
        <f t="shared" si="85"/>
        <v>2.2266715801622095E-4</v>
      </c>
      <c r="AN177" s="160">
        <f t="shared" si="110"/>
        <v>0</v>
      </c>
      <c r="AO177" s="161">
        <f t="shared" si="111"/>
        <v>0</v>
      </c>
      <c r="AP177" s="156">
        <f t="shared" si="86"/>
        <v>1.3654834272398884</v>
      </c>
      <c r="AQ177" s="152"/>
      <c r="AR177" s="162">
        <f t="shared" si="87"/>
        <v>1159.2448410431628</v>
      </c>
      <c r="AS177" s="150">
        <f t="shared" si="112"/>
        <v>0</v>
      </c>
      <c r="AT177" s="163">
        <f t="shared" si="88"/>
        <v>0</v>
      </c>
      <c r="AU177" s="163">
        <f t="shared" si="89"/>
        <v>22.266715801622095</v>
      </c>
      <c r="AV177" s="163">
        <f t="shared" si="113"/>
        <v>3.2757144954446384</v>
      </c>
      <c r="AW177" s="163">
        <f t="shared" si="90"/>
        <v>0.2539536391221548</v>
      </c>
      <c r="AX177" s="163">
        <f t="shared" si="91"/>
        <v>0</v>
      </c>
      <c r="AY177" s="164">
        <f t="shared" si="114"/>
        <v>1140.5077933761074</v>
      </c>
      <c r="AZ177" s="164">
        <f>IF($E177="","",IF(OR(AND($D177=Input!$C$6,$C177=12),$AN177=1),0,-AS178+AT178+AU178-AV178-AW178-AX178+AZ178))</f>
        <v>1140.5078386263622</v>
      </c>
      <c r="BA177" s="154">
        <f t="shared" si="92"/>
        <v>4.5250254743223195E-5</v>
      </c>
      <c r="BC177" s="147">
        <f t="shared" si="115"/>
        <v>0.51513144808496358</v>
      </c>
      <c r="BD177" s="164">
        <f>IF(AND($C176=12,$D176=Input!$C$6),0,IF($E177="","",AT177+(AU177+BD178)/(1+$AK177)*MIN((1-AM177-AN177),1)))</f>
        <v>2113.0540236069642</v>
      </c>
      <c r="BE177" s="164">
        <f t="shared" si="93"/>
        <v>1088.5005790624143</v>
      </c>
      <c r="BF177" s="164">
        <f t="shared" si="116"/>
        <v>1140.5078386263622</v>
      </c>
      <c r="BG177" s="164">
        <f t="shared" si="94"/>
        <v>587.51145446384987</v>
      </c>
      <c r="BH177" s="152"/>
      <c r="BI177" s="162">
        <f t="shared" si="95"/>
        <v>856.1658827651321</v>
      </c>
      <c r="BJ177" s="150">
        <f t="shared" si="96"/>
        <v>0</v>
      </c>
      <c r="BK177" s="163">
        <f t="shared" si="120"/>
        <v>0</v>
      </c>
      <c r="BL177" s="163">
        <f t="shared" si="97"/>
        <v>20.033933211704991</v>
      </c>
      <c r="BM177" s="163">
        <f t="shared" si="121"/>
        <v>2.7210797256917405</v>
      </c>
      <c r="BN177" s="163">
        <f t="shared" si="98"/>
        <v>0.16808894081637463</v>
      </c>
      <c r="BO177" s="163">
        <f t="shared" si="99"/>
        <v>0</v>
      </c>
      <c r="BP177" s="164">
        <f t="shared" si="122"/>
        <v>839.02111821993526</v>
      </c>
      <c r="BQ177" s="164">
        <f>IF($E177="","",IF(AND($D177=Input!$C$6,$C177=12),0,-BJ178+BK178+BL178-BM178-BN178-BO178+BQ178))</f>
        <v>839.02116993265838</v>
      </c>
      <c r="BR177" s="161">
        <f t="shared" si="100"/>
        <v>0</v>
      </c>
      <c r="BT177" s="147">
        <f t="shared" si="101"/>
        <v>0.51513144808496358</v>
      </c>
      <c r="BU177" s="164">
        <f>IF(AND($C176=12,$D176=Input!$C$6),0,IF($E177="","",BK177+(BL177+BU178)/(1+$AK177)*MIN((1-T177-U177),1)))</f>
        <v>5063.8100575279313</v>
      </c>
      <c r="BV177" s="164">
        <f t="shared" si="102"/>
        <v>2608.5278077615662</v>
      </c>
      <c r="BW177" s="164">
        <f t="shared" si="103"/>
        <v>839.02116993265838</v>
      </c>
      <c r="BX177" s="164">
        <f t="shared" si="104"/>
        <v>432.20619024135061</v>
      </c>
    </row>
    <row r="178" spans="1:76" s="150" customFormat="1" x14ac:dyDescent="0.25">
      <c r="A178" s="150">
        <f t="shared" si="117"/>
        <v>174</v>
      </c>
      <c r="B178" s="150">
        <f t="shared" si="118"/>
        <v>15</v>
      </c>
      <c r="C178" s="150">
        <f t="shared" si="119"/>
        <v>6</v>
      </c>
      <c r="D178" s="150">
        <f>IF(E178="","",Input!$C$4+B178-1)</f>
        <v>59</v>
      </c>
      <c r="E178" s="150">
        <f>IF(OR(AND(C177=12,D177=Input!$C$6),E177=""),"",1)</f>
        <v>1</v>
      </c>
      <c r="F178" s="150">
        <f>IF(E178="","",Input!$C$8+B178-1)</f>
        <v>2032</v>
      </c>
      <c r="G178" s="151">
        <f>IF(E178="","",MAX(0,Input!$C$9-B178))</f>
        <v>5</v>
      </c>
      <c r="H178" s="152">
        <f>IF(E178="","",Input!$C$3)</f>
        <v>100000</v>
      </c>
      <c r="I178" s="153">
        <f>IF(E178="","",HLOOKUP($B178,Input!$C$13:$BT$14,2))</f>
        <v>2.2999999999999998</v>
      </c>
      <c r="J178" s="154"/>
      <c r="K178" s="155">
        <f>IF($E178="","",INDEX(Input!$C$16:$CP$16,1,$B178))</f>
        <v>2.4279999999999999E-2</v>
      </c>
      <c r="L178" s="155">
        <f>IF($E178="","",Input!$C$37)</f>
        <v>1.4999999999999999E-2</v>
      </c>
      <c r="M178" s="155">
        <f t="shared" si="105"/>
        <v>3.9279999999999995E-2</v>
      </c>
      <c r="N178" s="155">
        <f t="shared" si="106"/>
        <v>3.2158402306332601E-3</v>
      </c>
      <c r="O178" s="147">
        <f>IF($E178="","",MIN(VLOOKUP(IF($B178&lt;=Input!$C$7,$B178,26),'Mortality Tables'!$A$41:$CW$67,IF($B178&lt;=Input!$C$7+1,Input!$C$4+2,$D178-Input!$C$7+2),0)*IF(B178&gt;20,Input!$C$22,1)/1000,1))</f>
        <v>2.5760000000000006E-3</v>
      </c>
      <c r="P178" s="147">
        <f>IF($E178="","",MIN(VLOOKUP(IF($B178&lt;=Input!$C$7,$B178,26),'Mortality Tables'!$A$12:$CW$37,IF($B178&lt;=Input!$C$7+1,Input!$C$4+2,$D178-Input!$C$7+2),0)*IF(B178&gt;20,Input!$C$22,1)/1000,1))</f>
        <v>3.2200000000000002E-3</v>
      </c>
      <c r="Q178" s="155">
        <f>IF($E178="","",Input!$C$21)</f>
        <v>5.0000000000000001E-3</v>
      </c>
      <c r="R178" s="159">
        <f>IF($E178="","",(1-Q178)^($F178-Input!$C$20))</f>
        <v>0.93223011941540512</v>
      </c>
      <c r="S178" s="147">
        <f t="shared" si="82"/>
        <v>2.4014247876140843E-3</v>
      </c>
      <c r="T178" s="147">
        <f t="shared" si="83"/>
        <v>2.0033933211704991E-4</v>
      </c>
      <c r="U178" s="160">
        <f>IF($E178="","",IF($C178=12,INDEX(Input!$C$15:$CP$15,1,$B178),0))</f>
        <v>0</v>
      </c>
      <c r="V178" s="150">
        <f>IF(E178="","",IF(C178=1,IF($B178=1,Input!$C$33,Input!$C$34),0))</f>
        <v>0</v>
      </c>
      <c r="W178" s="156">
        <f>IF($E178="","",Input!$C$35)</f>
        <v>0.02</v>
      </c>
      <c r="X178" s="156">
        <f t="shared" si="84"/>
        <v>1.3194787630628724</v>
      </c>
      <c r="Y178" s="154"/>
      <c r="Z178" s="147">
        <f>IF($E178="","",VLOOKUP($D178,'Mortality Margins &amp; Grading'!$AB$5:$AF$125,3,0)*IF(Summary!$D$25="Included Margin",IF(AND($B178&gt;Input!$C$9,Summary!$D$31&lt;&gt;"Included Margin"),0,1),0))</f>
        <v>3.5999999999999997E-2</v>
      </c>
      <c r="AA178" s="147">
        <f>IF($E178="","",VLOOKUP($D178,'Mortality Margins &amp; Grading'!$AB$5:$AF$125,5,0)*IF(Summary!$D$25="Included Margin",IF(AND($B178&gt;Input!$C$9,Summary!$D$31&lt;&gt;"Included Margin"),0,1),0))</f>
        <v>0.185</v>
      </c>
      <c r="AB178" s="147">
        <f>IF($E178="","",IF(AND($B178&gt;Input!$C$9,Summary!$D$31&lt;&gt;"Included Margin"),1,IF(Summary!$D$25="Included Margin",VLOOKUP($B178,'Mortality Margins &amp; Grading'!$AI$5:$AR$125,MATCH('Mortality Margins &amp; Grading'!$AQ$4,'Mortality Margins &amp; Grading'!$AI$4:$AR$4,0),0),1)))</f>
        <v>1</v>
      </c>
      <c r="AC178" s="154"/>
      <c r="AD178" s="158">
        <f>IF(E178="","",Input!$C$48*IF(Summary!$D$30="Included Margin",IF(AND($B178&gt;Input!$C$9,Summary!$D$31&lt;&gt;"Included Margin"),0,1),0))</f>
        <v>-4.4999999999999997E-3</v>
      </c>
      <c r="AE178" s="159">
        <f>IF(E178="","",IF(Summary!$D$26="Included Margin",IF(AND($B178&gt;Input!$C$9,Summary!$D$31&lt;&gt;"Included Margin"),1,1/$R178),1))</f>
        <v>1.072696514705074</v>
      </c>
      <c r="AF178" s="160">
        <f>IF(E178="","",IF(AND($B178&gt;=Input!$C$9,$C178=12,Summary!$D$31="Included Margin",$U178&gt;0),1/U178-1,IF($B178&gt;=Input!$C$9,0,Input!$C$45*IF(Summary!$D$27="Included Margin",1,0))))</f>
        <v>-0.1</v>
      </c>
      <c r="AG178" s="160">
        <f>IF(E178="","",Input!$C$46*IF(Summary!$D$28="Included Margin",IF(AND($B178&gt;Input!$C$9,Summary!$D$31&lt;&gt;"Included Margin"),0,1),0))</f>
        <v>0.02</v>
      </c>
      <c r="AH178" s="158">
        <f>IF(E178="","",Input!$C$47*IF(Summary!$D$29="Included Margin",IF(AND($B178&gt;Input!$C$9,Summary!$D$31&lt;&gt;"Included Margin"),0,1),0))</f>
        <v>2.5000000000000001E-3</v>
      </c>
      <c r="AI178" s="154"/>
      <c r="AJ178" s="158">
        <f t="shared" si="107"/>
        <v>3.4779999999999998E-2</v>
      </c>
      <c r="AK178" s="155">
        <f t="shared" si="108"/>
        <v>2.8531327693710473E-3</v>
      </c>
      <c r="AL178" s="147">
        <f t="shared" si="109"/>
        <v>2.6687360000000001E-3</v>
      </c>
      <c r="AM178" s="147">
        <f t="shared" si="85"/>
        <v>2.2266715801622095E-4</v>
      </c>
      <c r="AN178" s="160">
        <f t="shared" si="110"/>
        <v>0</v>
      </c>
      <c r="AO178" s="161">
        <f t="shared" si="111"/>
        <v>0</v>
      </c>
      <c r="AP178" s="156">
        <f t="shared" si="86"/>
        <v>1.3654834272398884</v>
      </c>
      <c r="AQ178" s="152"/>
      <c r="AR178" s="162">
        <f t="shared" si="87"/>
        <v>1140.5077933761072</v>
      </c>
      <c r="AS178" s="150">
        <f t="shared" si="112"/>
        <v>0</v>
      </c>
      <c r="AT178" s="163">
        <f t="shared" si="88"/>
        <v>0</v>
      </c>
      <c r="AU178" s="163">
        <f t="shared" si="89"/>
        <v>22.266715801622095</v>
      </c>
      <c r="AV178" s="163">
        <f t="shared" si="113"/>
        <v>3.2222552107444948</v>
      </c>
      <c r="AW178" s="163">
        <f t="shared" si="90"/>
        <v>0.24976867848823259</v>
      </c>
      <c r="AX178" s="163">
        <f t="shared" si="91"/>
        <v>0</v>
      </c>
      <c r="AY178" s="164">
        <f t="shared" si="114"/>
        <v>1121.713101463718</v>
      </c>
      <c r="AZ178" s="164">
        <f>IF($E178="","",IF(OR(AND($D178=Input!$C$6,$C178=12),$AN178=1),0,-AS179+AT179+AU179-AV179-AW179-AX179+AZ179))</f>
        <v>1121.7131467139727</v>
      </c>
      <c r="BA178" s="154">
        <f t="shared" si="92"/>
        <v>4.5250254743223195E-5</v>
      </c>
      <c r="BC178" s="147">
        <f t="shared" si="115"/>
        <v>0.51502824699470173</v>
      </c>
      <c r="BD178" s="164">
        <f>IF(AND($C177=12,$D177=Input!$C$6),0,IF($E178="","",AT178+(AU178+BD179)/(1+$AK178)*MIN((1-AM178-AN178),1)))</f>
        <v>2097.2880867276854</v>
      </c>
      <c r="BE178" s="164">
        <f t="shared" si="93"/>
        <v>1080.1626067502318</v>
      </c>
      <c r="BF178" s="164">
        <f t="shared" si="116"/>
        <v>1121.7131467139727</v>
      </c>
      <c r="BG178" s="164">
        <f t="shared" si="94"/>
        <v>577.7139555830081</v>
      </c>
      <c r="BH178" s="152"/>
      <c r="BI178" s="162">
        <f t="shared" si="95"/>
        <v>839.02111821993526</v>
      </c>
      <c r="BJ178" s="150">
        <f t="shared" si="96"/>
        <v>0</v>
      </c>
      <c r="BK178" s="163">
        <f t="shared" si="120"/>
        <v>0</v>
      </c>
      <c r="BL178" s="163">
        <f t="shared" si="97"/>
        <v>20.033933211704991</v>
      </c>
      <c r="BM178" s="163">
        <f t="shared" si="121"/>
        <v>2.6659449021225621</v>
      </c>
      <c r="BN178" s="163">
        <f t="shared" si="98"/>
        <v>0.16464243399348052</v>
      </c>
      <c r="BO178" s="163">
        <f t="shared" si="99"/>
        <v>0</v>
      </c>
      <c r="BP178" s="164">
        <f t="shared" si="122"/>
        <v>821.81777234434628</v>
      </c>
      <c r="BQ178" s="164">
        <f>IF($E178="","",IF(AND($D178=Input!$C$6,$C178=12),0,-BJ179+BK179+BL179-BM179-BN179-BO179+BQ179))</f>
        <v>821.8178240570694</v>
      </c>
      <c r="BR178" s="161">
        <f t="shared" si="100"/>
        <v>0</v>
      </c>
      <c r="BT178" s="147">
        <f t="shared" si="101"/>
        <v>0.51502824699470173</v>
      </c>
      <c r="BU178" s="164">
        <f>IF(AND($C177=12,$D177=Input!$C$6),0,IF($E178="","",BK178+(BL178+BU179)/(1+$AK178)*MIN((1-T178-U178),1)))</f>
        <v>5059.2414253622055</v>
      </c>
      <c r="BV178" s="164">
        <f t="shared" si="102"/>
        <v>2605.652242427273</v>
      </c>
      <c r="BW178" s="164">
        <f t="shared" si="103"/>
        <v>821.8178240570694</v>
      </c>
      <c r="BX178" s="164">
        <f t="shared" si="104"/>
        <v>423.25939327311266</v>
      </c>
    </row>
    <row r="179" spans="1:76" s="150" customFormat="1" x14ac:dyDescent="0.25">
      <c r="A179" s="150">
        <f t="shared" si="117"/>
        <v>175</v>
      </c>
      <c r="B179" s="150">
        <f t="shared" si="118"/>
        <v>15</v>
      </c>
      <c r="C179" s="150">
        <f t="shared" si="119"/>
        <v>7</v>
      </c>
      <c r="D179" s="150">
        <f>IF(E179="","",Input!$C$4+B179-1)</f>
        <v>59</v>
      </c>
      <c r="E179" s="150">
        <f>IF(OR(AND(C178=12,D178=Input!$C$6),E178=""),"",1)</f>
        <v>1</v>
      </c>
      <c r="F179" s="150">
        <f>IF(E179="","",Input!$C$8+B179-1)</f>
        <v>2032</v>
      </c>
      <c r="G179" s="151">
        <f>IF(E179="","",MAX(0,Input!$C$9-B179))</f>
        <v>5</v>
      </c>
      <c r="H179" s="152">
        <f>IF(E179="","",Input!$C$3)</f>
        <v>100000</v>
      </c>
      <c r="I179" s="153">
        <f>IF(E179="","",HLOOKUP($B179,Input!$C$13:$BT$14,2))</f>
        <v>2.2999999999999998</v>
      </c>
      <c r="J179" s="154"/>
      <c r="K179" s="155">
        <f>IF($E179="","",INDEX(Input!$C$16:$CP$16,1,$B179))</f>
        <v>2.4279999999999999E-2</v>
      </c>
      <c r="L179" s="155">
        <f>IF($E179="","",Input!$C$37)</f>
        <v>1.4999999999999999E-2</v>
      </c>
      <c r="M179" s="155">
        <f t="shared" si="105"/>
        <v>3.9279999999999995E-2</v>
      </c>
      <c r="N179" s="155">
        <f t="shared" si="106"/>
        <v>3.2158402306332601E-3</v>
      </c>
      <c r="O179" s="147">
        <f>IF($E179="","",MIN(VLOOKUP(IF($B179&lt;=Input!$C$7,$B179,26),'Mortality Tables'!$A$41:$CW$67,IF($B179&lt;=Input!$C$7+1,Input!$C$4+2,$D179-Input!$C$7+2),0)*IF(B179&gt;20,Input!$C$22,1)/1000,1))</f>
        <v>2.5760000000000006E-3</v>
      </c>
      <c r="P179" s="147">
        <f>IF($E179="","",MIN(VLOOKUP(IF($B179&lt;=Input!$C$7,$B179,26),'Mortality Tables'!$A$12:$CW$37,IF($B179&lt;=Input!$C$7+1,Input!$C$4+2,$D179-Input!$C$7+2),0)*IF(B179&gt;20,Input!$C$22,1)/1000,1))</f>
        <v>3.2200000000000002E-3</v>
      </c>
      <c r="Q179" s="155">
        <f>IF($E179="","",Input!$C$21)</f>
        <v>5.0000000000000001E-3</v>
      </c>
      <c r="R179" s="159">
        <f>IF($E179="","",(1-Q179)^($F179-Input!$C$20))</f>
        <v>0.93223011941540512</v>
      </c>
      <c r="S179" s="147">
        <f t="shared" si="82"/>
        <v>2.4014247876140843E-3</v>
      </c>
      <c r="T179" s="147">
        <f t="shared" si="83"/>
        <v>2.0033933211704991E-4</v>
      </c>
      <c r="U179" s="160">
        <f>IF($E179="","",IF($C179=12,INDEX(Input!$C$15:$CP$15,1,$B179),0))</f>
        <v>0</v>
      </c>
      <c r="V179" s="150">
        <f>IF(E179="","",IF(C179=1,IF($B179=1,Input!$C$33,Input!$C$34),0))</f>
        <v>0</v>
      </c>
      <c r="W179" s="156">
        <f>IF($E179="","",Input!$C$35)</f>
        <v>0.02</v>
      </c>
      <c r="X179" s="156">
        <f t="shared" si="84"/>
        <v>1.3194787630628724</v>
      </c>
      <c r="Y179" s="154"/>
      <c r="Z179" s="147">
        <f>IF($E179="","",VLOOKUP($D179,'Mortality Margins &amp; Grading'!$AB$5:$AF$125,3,0)*IF(Summary!$D$25="Included Margin",IF(AND($B179&gt;Input!$C$9,Summary!$D$31&lt;&gt;"Included Margin"),0,1),0))</f>
        <v>3.5999999999999997E-2</v>
      </c>
      <c r="AA179" s="147">
        <f>IF($E179="","",VLOOKUP($D179,'Mortality Margins &amp; Grading'!$AB$5:$AF$125,5,0)*IF(Summary!$D$25="Included Margin",IF(AND($B179&gt;Input!$C$9,Summary!$D$31&lt;&gt;"Included Margin"),0,1),0))</f>
        <v>0.185</v>
      </c>
      <c r="AB179" s="147">
        <f>IF($E179="","",IF(AND($B179&gt;Input!$C$9,Summary!$D$31&lt;&gt;"Included Margin"),1,IF(Summary!$D$25="Included Margin",VLOOKUP($B179,'Mortality Margins &amp; Grading'!$AI$5:$AR$125,MATCH('Mortality Margins &amp; Grading'!$AQ$4,'Mortality Margins &amp; Grading'!$AI$4:$AR$4,0),0),1)))</f>
        <v>1</v>
      </c>
      <c r="AC179" s="154"/>
      <c r="AD179" s="158">
        <f>IF(E179="","",Input!$C$48*IF(Summary!$D$30="Included Margin",IF(AND($B179&gt;Input!$C$9,Summary!$D$31&lt;&gt;"Included Margin"),0,1),0))</f>
        <v>-4.4999999999999997E-3</v>
      </c>
      <c r="AE179" s="159">
        <f>IF(E179="","",IF(Summary!$D$26="Included Margin",IF(AND($B179&gt;Input!$C$9,Summary!$D$31&lt;&gt;"Included Margin"),1,1/$R179),1))</f>
        <v>1.072696514705074</v>
      </c>
      <c r="AF179" s="160">
        <f>IF(E179="","",IF(AND($B179&gt;=Input!$C$9,$C179=12,Summary!$D$31="Included Margin",$U179&gt;0),1/U179-1,IF($B179&gt;=Input!$C$9,0,Input!$C$45*IF(Summary!$D$27="Included Margin",1,0))))</f>
        <v>-0.1</v>
      </c>
      <c r="AG179" s="160">
        <f>IF(E179="","",Input!$C$46*IF(Summary!$D$28="Included Margin",IF(AND($B179&gt;Input!$C$9,Summary!$D$31&lt;&gt;"Included Margin"),0,1),0))</f>
        <v>0.02</v>
      </c>
      <c r="AH179" s="158">
        <f>IF(E179="","",Input!$C$47*IF(Summary!$D$29="Included Margin",IF(AND($B179&gt;Input!$C$9,Summary!$D$31&lt;&gt;"Included Margin"),0,1),0))</f>
        <v>2.5000000000000001E-3</v>
      </c>
      <c r="AI179" s="154"/>
      <c r="AJ179" s="158">
        <f t="shared" si="107"/>
        <v>3.4779999999999998E-2</v>
      </c>
      <c r="AK179" s="155">
        <f t="shared" si="108"/>
        <v>2.8531327693710473E-3</v>
      </c>
      <c r="AL179" s="147">
        <f t="shared" si="109"/>
        <v>2.6687360000000001E-3</v>
      </c>
      <c r="AM179" s="147">
        <f t="shared" si="85"/>
        <v>2.2266715801622095E-4</v>
      </c>
      <c r="AN179" s="160">
        <f t="shared" si="110"/>
        <v>0</v>
      </c>
      <c r="AO179" s="161">
        <f t="shared" si="111"/>
        <v>0</v>
      </c>
      <c r="AP179" s="156">
        <f t="shared" si="86"/>
        <v>1.3654834272398884</v>
      </c>
      <c r="AQ179" s="152"/>
      <c r="AR179" s="162">
        <f t="shared" si="87"/>
        <v>1121.7131014637177</v>
      </c>
      <c r="AS179" s="150">
        <f t="shared" si="112"/>
        <v>0</v>
      </c>
      <c r="AT179" s="163">
        <f t="shared" si="88"/>
        <v>0</v>
      </c>
      <c r="AU179" s="163">
        <f t="shared" si="89"/>
        <v>22.266715801622095</v>
      </c>
      <c r="AV179" s="163">
        <f t="shared" si="113"/>
        <v>3.1686314593590237</v>
      </c>
      <c r="AW179" s="163">
        <f t="shared" si="90"/>
        <v>0.24557084288586384</v>
      </c>
      <c r="AX179" s="163">
        <f t="shared" si="91"/>
        <v>0</v>
      </c>
      <c r="AY179" s="164">
        <f t="shared" si="114"/>
        <v>1102.8605879643405</v>
      </c>
      <c r="AZ179" s="164">
        <f>IF($E179="","",IF(OR(AND($D179=Input!$C$6,$C179=12),$AN179=1),0,-AS180+AT180+AU180-AV180-AW180-AX180+AZ180))</f>
        <v>1102.8606332145955</v>
      </c>
      <c r="BA179" s="154">
        <f t="shared" si="92"/>
        <v>4.525025497059687E-5</v>
      </c>
      <c r="BC179" s="147">
        <f t="shared" si="115"/>
        <v>0.5149250665796774</v>
      </c>
      <c r="BD179" s="164">
        <f>IF(AND($C178=12,$D178=Input!$C$6),0,IF($E179="","",AT179+(AU179+BD180)/(1+$AK179)*MIN((1-AM179-AN179),1)))</f>
        <v>2081.4736461807242</v>
      </c>
      <c r="BE179" s="164">
        <f t="shared" si="93"/>
        <v>1071.8029558434532</v>
      </c>
      <c r="BF179" s="164">
        <f t="shared" si="116"/>
        <v>1102.8606332145955</v>
      </c>
      <c r="BG179" s="164">
        <f t="shared" si="94"/>
        <v>567.89058498613076</v>
      </c>
      <c r="BH179" s="152"/>
      <c r="BI179" s="162">
        <f t="shared" si="95"/>
        <v>821.81777234434639</v>
      </c>
      <c r="BJ179" s="150">
        <f t="shared" si="96"/>
        <v>0</v>
      </c>
      <c r="BK179" s="163">
        <f t="shared" si="120"/>
        <v>0</v>
      </c>
      <c r="BL179" s="163">
        <f t="shared" si="97"/>
        <v>20.033933211704991</v>
      </c>
      <c r="BM179" s="163">
        <f t="shared" si="121"/>
        <v>2.6106216903543444</v>
      </c>
      <c r="BN179" s="163">
        <f t="shared" si="98"/>
        <v>0.16118415092517002</v>
      </c>
      <c r="BO179" s="163">
        <f t="shared" si="99"/>
        <v>0</v>
      </c>
      <c r="BP179" s="164">
        <f t="shared" si="122"/>
        <v>804.55564497392095</v>
      </c>
      <c r="BQ179" s="164">
        <f>IF($E179="","",IF(AND($D179=Input!$C$6,$C179=12),0,-BJ180+BK180+BL180-BM180-BN180-BO180+BQ180))</f>
        <v>804.55569668664396</v>
      </c>
      <c r="BR179" s="161">
        <f t="shared" si="100"/>
        <v>0</v>
      </c>
      <c r="BT179" s="147">
        <f t="shared" si="101"/>
        <v>0.5149250665796774</v>
      </c>
      <c r="BU179" s="164">
        <f>IF(AND($C178=12,$D178=Input!$C$6),0,IF($E179="","",BK179+(BL179+BU180)/(1+$AK179)*MIN((1-T179-U179),1)))</f>
        <v>5054.658840210288</v>
      </c>
      <c r="BV179" s="164">
        <f t="shared" si="102"/>
        <v>2602.7705398328376</v>
      </c>
      <c r="BW179" s="164">
        <f t="shared" si="103"/>
        <v>804.55569668664396</v>
      </c>
      <c r="BX179" s="164">
        <f t="shared" si="104"/>
        <v>414.28589568342886</v>
      </c>
    </row>
    <row r="180" spans="1:76" s="150" customFormat="1" x14ac:dyDescent="0.25">
      <c r="A180" s="150">
        <f t="shared" si="117"/>
        <v>176</v>
      </c>
      <c r="B180" s="150">
        <f t="shared" si="118"/>
        <v>15</v>
      </c>
      <c r="C180" s="150">
        <f t="shared" si="119"/>
        <v>8</v>
      </c>
      <c r="D180" s="150">
        <f>IF(E180="","",Input!$C$4+B180-1)</f>
        <v>59</v>
      </c>
      <c r="E180" s="150">
        <f>IF(OR(AND(C179=12,D179=Input!$C$6),E179=""),"",1)</f>
        <v>1</v>
      </c>
      <c r="F180" s="150">
        <f>IF(E180="","",Input!$C$8+B180-1)</f>
        <v>2032</v>
      </c>
      <c r="G180" s="151">
        <f>IF(E180="","",MAX(0,Input!$C$9-B180))</f>
        <v>5</v>
      </c>
      <c r="H180" s="152">
        <f>IF(E180="","",Input!$C$3)</f>
        <v>100000</v>
      </c>
      <c r="I180" s="153">
        <f>IF(E180="","",HLOOKUP($B180,Input!$C$13:$BT$14,2))</f>
        <v>2.2999999999999998</v>
      </c>
      <c r="J180" s="154"/>
      <c r="K180" s="155">
        <f>IF($E180="","",INDEX(Input!$C$16:$CP$16,1,$B180))</f>
        <v>2.4279999999999999E-2</v>
      </c>
      <c r="L180" s="155">
        <f>IF($E180="","",Input!$C$37)</f>
        <v>1.4999999999999999E-2</v>
      </c>
      <c r="M180" s="155">
        <f t="shared" si="105"/>
        <v>3.9279999999999995E-2</v>
      </c>
      <c r="N180" s="155">
        <f t="shared" si="106"/>
        <v>3.2158402306332601E-3</v>
      </c>
      <c r="O180" s="147">
        <f>IF($E180="","",MIN(VLOOKUP(IF($B180&lt;=Input!$C$7,$B180,26),'Mortality Tables'!$A$41:$CW$67,IF($B180&lt;=Input!$C$7+1,Input!$C$4+2,$D180-Input!$C$7+2),0)*IF(B180&gt;20,Input!$C$22,1)/1000,1))</f>
        <v>2.5760000000000006E-3</v>
      </c>
      <c r="P180" s="147">
        <f>IF($E180="","",MIN(VLOOKUP(IF($B180&lt;=Input!$C$7,$B180,26),'Mortality Tables'!$A$12:$CW$37,IF($B180&lt;=Input!$C$7+1,Input!$C$4+2,$D180-Input!$C$7+2),0)*IF(B180&gt;20,Input!$C$22,1)/1000,1))</f>
        <v>3.2200000000000002E-3</v>
      </c>
      <c r="Q180" s="155">
        <f>IF($E180="","",Input!$C$21)</f>
        <v>5.0000000000000001E-3</v>
      </c>
      <c r="R180" s="159">
        <f>IF($E180="","",(1-Q180)^($F180-Input!$C$20))</f>
        <v>0.93223011941540512</v>
      </c>
      <c r="S180" s="147">
        <f t="shared" si="82"/>
        <v>2.4014247876140843E-3</v>
      </c>
      <c r="T180" s="147">
        <f t="shared" si="83"/>
        <v>2.0033933211704991E-4</v>
      </c>
      <c r="U180" s="160">
        <f>IF($E180="","",IF($C180=12,INDEX(Input!$C$15:$CP$15,1,$B180),0))</f>
        <v>0</v>
      </c>
      <c r="V180" s="150">
        <f>IF(E180="","",IF(C180=1,IF($B180=1,Input!$C$33,Input!$C$34),0))</f>
        <v>0</v>
      </c>
      <c r="W180" s="156">
        <f>IF($E180="","",Input!$C$35)</f>
        <v>0.02</v>
      </c>
      <c r="X180" s="156">
        <f t="shared" si="84"/>
        <v>1.3194787630628724</v>
      </c>
      <c r="Y180" s="154"/>
      <c r="Z180" s="147">
        <f>IF($E180="","",VLOOKUP($D180,'Mortality Margins &amp; Grading'!$AB$5:$AF$125,3,0)*IF(Summary!$D$25="Included Margin",IF(AND($B180&gt;Input!$C$9,Summary!$D$31&lt;&gt;"Included Margin"),0,1),0))</f>
        <v>3.5999999999999997E-2</v>
      </c>
      <c r="AA180" s="147">
        <f>IF($E180="","",VLOOKUP($D180,'Mortality Margins &amp; Grading'!$AB$5:$AF$125,5,0)*IF(Summary!$D$25="Included Margin",IF(AND($B180&gt;Input!$C$9,Summary!$D$31&lt;&gt;"Included Margin"),0,1),0))</f>
        <v>0.185</v>
      </c>
      <c r="AB180" s="147">
        <f>IF($E180="","",IF(AND($B180&gt;Input!$C$9,Summary!$D$31&lt;&gt;"Included Margin"),1,IF(Summary!$D$25="Included Margin",VLOOKUP($B180,'Mortality Margins &amp; Grading'!$AI$5:$AR$125,MATCH('Mortality Margins &amp; Grading'!$AQ$4,'Mortality Margins &amp; Grading'!$AI$4:$AR$4,0),0),1)))</f>
        <v>1</v>
      </c>
      <c r="AC180" s="154"/>
      <c r="AD180" s="158">
        <f>IF(E180="","",Input!$C$48*IF(Summary!$D$30="Included Margin",IF(AND($B180&gt;Input!$C$9,Summary!$D$31&lt;&gt;"Included Margin"),0,1),0))</f>
        <v>-4.4999999999999997E-3</v>
      </c>
      <c r="AE180" s="159">
        <f>IF(E180="","",IF(Summary!$D$26="Included Margin",IF(AND($B180&gt;Input!$C$9,Summary!$D$31&lt;&gt;"Included Margin"),1,1/$R180),1))</f>
        <v>1.072696514705074</v>
      </c>
      <c r="AF180" s="160">
        <f>IF(E180="","",IF(AND($B180&gt;=Input!$C$9,$C180=12,Summary!$D$31="Included Margin",$U180&gt;0),1/U180-1,IF($B180&gt;=Input!$C$9,0,Input!$C$45*IF(Summary!$D$27="Included Margin",1,0))))</f>
        <v>-0.1</v>
      </c>
      <c r="AG180" s="160">
        <f>IF(E180="","",Input!$C$46*IF(Summary!$D$28="Included Margin",IF(AND($B180&gt;Input!$C$9,Summary!$D$31&lt;&gt;"Included Margin"),0,1),0))</f>
        <v>0.02</v>
      </c>
      <c r="AH180" s="158">
        <f>IF(E180="","",Input!$C$47*IF(Summary!$D$29="Included Margin",IF(AND($B180&gt;Input!$C$9,Summary!$D$31&lt;&gt;"Included Margin"),0,1),0))</f>
        <v>2.5000000000000001E-3</v>
      </c>
      <c r="AI180" s="154"/>
      <c r="AJ180" s="158">
        <f t="shared" si="107"/>
        <v>3.4779999999999998E-2</v>
      </c>
      <c r="AK180" s="155">
        <f t="shared" si="108"/>
        <v>2.8531327693710473E-3</v>
      </c>
      <c r="AL180" s="147">
        <f t="shared" si="109"/>
        <v>2.6687360000000001E-3</v>
      </c>
      <c r="AM180" s="147">
        <f t="shared" si="85"/>
        <v>2.2266715801622095E-4</v>
      </c>
      <c r="AN180" s="160">
        <f t="shared" si="110"/>
        <v>0</v>
      </c>
      <c r="AO180" s="161">
        <f t="shared" si="111"/>
        <v>0</v>
      </c>
      <c r="AP180" s="156">
        <f t="shared" si="86"/>
        <v>1.3654834272398884</v>
      </c>
      <c r="AQ180" s="152"/>
      <c r="AR180" s="162">
        <f t="shared" si="87"/>
        <v>1102.8605879643403</v>
      </c>
      <c r="AS180" s="150">
        <f t="shared" si="112"/>
        <v>0</v>
      </c>
      <c r="AT180" s="163">
        <f t="shared" si="88"/>
        <v>0</v>
      </c>
      <c r="AU180" s="163">
        <f t="shared" si="89"/>
        <v>22.266715801622095</v>
      </c>
      <c r="AV180" s="163">
        <f t="shared" si="113"/>
        <v>3.1148427353089398</v>
      </c>
      <c r="AW180" s="163">
        <f t="shared" si="90"/>
        <v>0.24136009270540168</v>
      </c>
      <c r="AX180" s="163">
        <f t="shared" si="91"/>
        <v>0</v>
      </c>
      <c r="AY180" s="164">
        <f t="shared" si="114"/>
        <v>1083.9500749907327</v>
      </c>
      <c r="AZ180" s="164">
        <f>IF($E180="","",IF(OR(AND($D180=Input!$C$6,$C180=12),$AN180=1),0,-AS181+AT181+AU181-AV181-AW181-AX181+AZ181))</f>
        <v>1083.9501202409876</v>
      </c>
      <c r="BA180" s="154">
        <f t="shared" si="92"/>
        <v>4.525025497059687E-5</v>
      </c>
      <c r="BC180" s="147">
        <f t="shared" si="115"/>
        <v>0.51482190683574847</v>
      </c>
      <c r="BD180" s="164">
        <f>IF(AND($C179=12,$D179=Input!$C$6),0,IF($E180="","",AT180+(AU180+BD181)/(1+$AK180)*MIN((1-AM180-AN180),1)))</f>
        <v>2065.6105527452769</v>
      </c>
      <c r="BE180" s="164">
        <f t="shared" si="93"/>
        <v>1063.4215635443679</v>
      </c>
      <c r="BF180" s="164">
        <f t="shared" si="116"/>
        <v>1083.9501202409876</v>
      </c>
      <c r="BG180" s="164">
        <f t="shared" si="94"/>
        <v>558.04126781730406</v>
      </c>
      <c r="BH180" s="152"/>
      <c r="BI180" s="162">
        <f t="shared" si="95"/>
        <v>804.55564497392083</v>
      </c>
      <c r="BJ180" s="150">
        <f t="shared" si="96"/>
        <v>0</v>
      </c>
      <c r="BK180" s="163">
        <f t="shared" si="120"/>
        <v>0</v>
      </c>
      <c r="BL180" s="163">
        <f t="shared" si="97"/>
        <v>20.033933211704991</v>
      </c>
      <c r="BM180" s="163">
        <f t="shared" si="121"/>
        <v>2.5551094466902144</v>
      </c>
      <c r="BN180" s="163">
        <f t="shared" si="98"/>
        <v>0.15771405137361302</v>
      </c>
      <c r="BO180" s="163">
        <f t="shared" si="99"/>
        <v>0</v>
      </c>
      <c r="BP180" s="164">
        <f t="shared" si="122"/>
        <v>787.23453526027981</v>
      </c>
      <c r="BQ180" s="164">
        <f>IF($E180="","",IF(AND($D180=Input!$C$6,$C180=12),0,-BJ181+BK181+BL181-BM181-BN181-BO181+BQ181))</f>
        <v>787.23458697300282</v>
      </c>
      <c r="BR180" s="161">
        <f t="shared" si="100"/>
        <v>0</v>
      </c>
      <c r="BT180" s="147">
        <f t="shared" si="101"/>
        <v>0.51482190683574847</v>
      </c>
      <c r="BU180" s="164">
        <f>IF(AND($C179=12,$D179=Input!$C$6),0,IF($E180="","",BK180+(BL180+BU181)/(1+$AK180)*MIN((1-T180-U180),1)))</f>
        <v>5050.0622594585866</v>
      </c>
      <c r="BV180" s="164">
        <f t="shared" si="102"/>
        <v>2599.8826820537179</v>
      </c>
      <c r="BW180" s="164">
        <f t="shared" si="103"/>
        <v>787.23458697300282</v>
      </c>
      <c r="BX180" s="164">
        <f t="shared" si="104"/>
        <v>405.28561119249417</v>
      </c>
    </row>
    <row r="181" spans="1:76" s="150" customFormat="1" x14ac:dyDescent="0.25">
      <c r="A181" s="150">
        <f t="shared" si="117"/>
        <v>177</v>
      </c>
      <c r="B181" s="150">
        <f t="shared" si="118"/>
        <v>15</v>
      </c>
      <c r="C181" s="150">
        <f t="shared" si="119"/>
        <v>9</v>
      </c>
      <c r="D181" s="150">
        <f>IF(E181="","",Input!$C$4+B181-1)</f>
        <v>59</v>
      </c>
      <c r="E181" s="150">
        <f>IF(OR(AND(C180=12,D180=Input!$C$6),E180=""),"",1)</f>
        <v>1</v>
      </c>
      <c r="F181" s="150">
        <f>IF(E181="","",Input!$C$8+B181-1)</f>
        <v>2032</v>
      </c>
      <c r="G181" s="151">
        <f>IF(E181="","",MAX(0,Input!$C$9-B181))</f>
        <v>5</v>
      </c>
      <c r="H181" s="152">
        <f>IF(E181="","",Input!$C$3)</f>
        <v>100000</v>
      </c>
      <c r="I181" s="153">
        <f>IF(E181="","",HLOOKUP($B181,Input!$C$13:$BT$14,2))</f>
        <v>2.2999999999999998</v>
      </c>
      <c r="J181" s="154"/>
      <c r="K181" s="155">
        <f>IF($E181="","",INDEX(Input!$C$16:$CP$16,1,$B181))</f>
        <v>2.4279999999999999E-2</v>
      </c>
      <c r="L181" s="155">
        <f>IF($E181="","",Input!$C$37)</f>
        <v>1.4999999999999999E-2</v>
      </c>
      <c r="M181" s="155">
        <f t="shared" si="105"/>
        <v>3.9279999999999995E-2</v>
      </c>
      <c r="N181" s="155">
        <f t="shared" si="106"/>
        <v>3.2158402306332601E-3</v>
      </c>
      <c r="O181" s="147">
        <f>IF($E181="","",MIN(VLOOKUP(IF($B181&lt;=Input!$C$7,$B181,26),'Mortality Tables'!$A$41:$CW$67,IF($B181&lt;=Input!$C$7+1,Input!$C$4+2,$D181-Input!$C$7+2),0)*IF(B181&gt;20,Input!$C$22,1)/1000,1))</f>
        <v>2.5760000000000006E-3</v>
      </c>
      <c r="P181" s="147">
        <f>IF($E181="","",MIN(VLOOKUP(IF($B181&lt;=Input!$C$7,$B181,26),'Mortality Tables'!$A$12:$CW$37,IF($B181&lt;=Input!$C$7+1,Input!$C$4+2,$D181-Input!$C$7+2),0)*IF(B181&gt;20,Input!$C$22,1)/1000,1))</f>
        <v>3.2200000000000002E-3</v>
      </c>
      <c r="Q181" s="155">
        <f>IF($E181="","",Input!$C$21)</f>
        <v>5.0000000000000001E-3</v>
      </c>
      <c r="R181" s="159">
        <f>IF($E181="","",(1-Q181)^($F181-Input!$C$20))</f>
        <v>0.93223011941540512</v>
      </c>
      <c r="S181" s="147">
        <f t="shared" si="82"/>
        <v>2.4014247876140843E-3</v>
      </c>
      <c r="T181" s="147">
        <f t="shared" si="83"/>
        <v>2.0033933211704991E-4</v>
      </c>
      <c r="U181" s="160">
        <f>IF($E181="","",IF($C181=12,INDEX(Input!$C$15:$CP$15,1,$B181),0))</f>
        <v>0</v>
      </c>
      <c r="V181" s="150">
        <f>IF(E181="","",IF(C181=1,IF($B181=1,Input!$C$33,Input!$C$34),0))</f>
        <v>0</v>
      </c>
      <c r="W181" s="156">
        <f>IF($E181="","",Input!$C$35)</f>
        <v>0.02</v>
      </c>
      <c r="X181" s="156">
        <f t="shared" si="84"/>
        <v>1.3194787630628724</v>
      </c>
      <c r="Y181" s="154"/>
      <c r="Z181" s="147">
        <f>IF($E181="","",VLOOKUP($D181,'Mortality Margins &amp; Grading'!$AB$5:$AF$125,3,0)*IF(Summary!$D$25="Included Margin",IF(AND($B181&gt;Input!$C$9,Summary!$D$31&lt;&gt;"Included Margin"),0,1),0))</f>
        <v>3.5999999999999997E-2</v>
      </c>
      <c r="AA181" s="147">
        <f>IF($E181="","",VLOOKUP($D181,'Mortality Margins &amp; Grading'!$AB$5:$AF$125,5,0)*IF(Summary!$D$25="Included Margin",IF(AND($B181&gt;Input!$C$9,Summary!$D$31&lt;&gt;"Included Margin"),0,1),0))</f>
        <v>0.185</v>
      </c>
      <c r="AB181" s="147">
        <f>IF($E181="","",IF(AND($B181&gt;Input!$C$9,Summary!$D$31&lt;&gt;"Included Margin"),1,IF(Summary!$D$25="Included Margin",VLOOKUP($B181,'Mortality Margins &amp; Grading'!$AI$5:$AR$125,MATCH('Mortality Margins &amp; Grading'!$AQ$4,'Mortality Margins &amp; Grading'!$AI$4:$AR$4,0),0),1)))</f>
        <v>1</v>
      </c>
      <c r="AC181" s="154"/>
      <c r="AD181" s="158">
        <f>IF(E181="","",Input!$C$48*IF(Summary!$D$30="Included Margin",IF(AND($B181&gt;Input!$C$9,Summary!$D$31&lt;&gt;"Included Margin"),0,1),0))</f>
        <v>-4.4999999999999997E-3</v>
      </c>
      <c r="AE181" s="159">
        <f>IF(E181="","",IF(Summary!$D$26="Included Margin",IF(AND($B181&gt;Input!$C$9,Summary!$D$31&lt;&gt;"Included Margin"),1,1/$R181),1))</f>
        <v>1.072696514705074</v>
      </c>
      <c r="AF181" s="160">
        <f>IF(E181="","",IF(AND($B181&gt;=Input!$C$9,$C181=12,Summary!$D$31="Included Margin",$U181&gt;0),1/U181-1,IF($B181&gt;=Input!$C$9,0,Input!$C$45*IF(Summary!$D$27="Included Margin",1,0))))</f>
        <v>-0.1</v>
      </c>
      <c r="AG181" s="160">
        <f>IF(E181="","",Input!$C$46*IF(Summary!$D$28="Included Margin",IF(AND($B181&gt;Input!$C$9,Summary!$D$31&lt;&gt;"Included Margin"),0,1),0))</f>
        <v>0.02</v>
      </c>
      <c r="AH181" s="158">
        <f>IF(E181="","",Input!$C$47*IF(Summary!$D$29="Included Margin",IF(AND($B181&gt;Input!$C$9,Summary!$D$31&lt;&gt;"Included Margin"),0,1),0))</f>
        <v>2.5000000000000001E-3</v>
      </c>
      <c r="AI181" s="154"/>
      <c r="AJ181" s="158">
        <f t="shared" si="107"/>
        <v>3.4779999999999998E-2</v>
      </c>
      <c r="AK181" s="155">
        <f t="shared" si="108"/>
        <v>2.8531327693710473E-3</v>
      </c>
      <c r="AL181" s="147">
        <f t="shared" si="109"/>
        <v>2.6687360000000001E-3</v>
      </c>
      <c r="AM181" s="147">
        <f t="shared" si="85"/>
        <v>2.2266715801622095E-4</v>
      </c>
      <c r="AN181" s="160">
        <f t="shared" si="110"/>
        <v>0</v>
      </c>
      <c r="AO181" s="161">
        <f t="shared" si="111"/>
        <v>0</v>
      </c>
      <c r="AP181" s="156">
        <f t="shared" si="86"/>
        <v>1.3654834272398884</v>
      </c>
      <c r="AQ181" s="152"/>
      <c r="AR181" s="162">
        <f t="shared" si="87"/>
        <v>1083.9500749907327</v>
      </c>
      <c r="AS181" s="150">
        <f t="shared" si="112"/>
        <v>0</v>
      </c>
      <c r="AT181" s="163">
        <f t="shared" si="88"/>
        <v>0</v>
      </c>
      <c r="AU181" s="163">
        <f t="shared" si="89"/>
        <v>22.266715801622095</v>
      </c>
      <c r="AV181" s="163">
        <f t="shared" si="113"/>
        <v>3.0608885310583238</v>
      </c>
      <c r="AW181" s="163">
        <f t="shared" si="90"/>
        <v>0.23713638821534094</v>
      </c>
      <c r="AX181" s="163">
        <f t="shared" si="91"/>
        <v>0</v>
      </c>
      <c r="AY181" s="164">
        <f t="shared" si="114"/>
        <v>1064.9813841083842</v>
      </c>
      <c r="AZ181" s="164">
        <f>IF($E181="","",IF(OR(AND($D181=Input!$C$6,$C181=12),$AN181=1),0,-AS182+AT182+AU182-AV182-AW182-AX182+AZ182))</f>
        <v>1064.9814293586392</v>
      </c>
      <c r="BA181" s="154">
        <f t="shared" si="92"/>
        <v>4.525025497059687E-5</v>
      </c>
      <c r="BC181" s="147">
        <f t="shared" si="115"/>
        <v>0.51471876775877379</v>
      </c>
      <c r="BD181" s="164">
        <f>IF(AND($C180=12,$D180=Input!$C$6),0,IF($E181="","",AT181+(AU181+BD182)/(1+$AK181)*MIN((1-AM181-AN181),1)))</f>
        <v>2049.6986567414633</v>
      </c>
      <c r="BE181" s="164">
        <f t="shared" si="93"/>
        <v>1055.0183668747798</v>
      </c>
      <c r="BF181" s="164">
        <f t="shared" si="116"/>
        <v>1064.9814293586392</v>
      </c>
      <c r="BG181" s="164">
        <f t="shared" si="94"/>
        <v>548.16592900545629</v>
      </c>
      <c r="BH181" s="152"/>
      <c r="BI181" s="162">
        <f t="shared" si="95"/>
        <v>787.23453526027959</v>
      </c>
      <c r="BJ181" s="150">
        <f t="shared" si="96"/>
        <v>0</v>
      </c>
      <c r="BK181" s="163">
        <f t="shared" si="120"/>
        <v>0</v>
      </c>
      <c r="BL181" s="163">
        <f t="shared" si="97"/>
        <v>20.033933211704991</v>
      </c>
      <c r="BM181" s="163">
        <f t="shared" si="121"/>
        <v>2.4994075252338743</v>
      </c>
      <c r="BN181" s="163">
        <f t="shared" si="98"/>
        <v>0.15423209496349213</v>
      </c>
      <c r="BO181" s="163">
        <f t="shared" si="99"/>
        <v>0</v>
      </c>
      <c r="BP181" s="164">
        <f t="shared" si="122"/>
        <v>769.85424166877203</v>
      </c>
      <c r="BQ181" s="164">
        <f>IF($E181="","",IF(AND($D181=Input!$C$6,$C181=12),0,-BJ182+BK182+BL182-BM182-BN182-BO182+BQ182))</f>
        <v>769.85429338149515</v>
      </c>
      <c r="BR181" s="161">
        <f t="shared" si="100"/>
        <v>0</v>
      </c>
      <c r="BT181" s="147">
        <f t="shared" si="101"/>
        <v>0.51471876775877379</v>
      </c>
      <c r="BU181" s="164">
        <f>IF(AND($C180=12,$D180=Input!$C$6),0,IF($E181="","",BK181+(BL181+BU182)/(1+$AK181)*MIN((1-T181-U181),1)))</f>
        <v>5045.4516403633661</v>
      </c>
      <c r="BV181" s="164">
        <f t="shared" si="102"/>
        <v>2596.9886511143159</v>
      </c>
      <c r="BW181" s="164">
        <f t="shared" si="103"/>
        <v>769.85429338149515</v>
      </c>
      <c r="BX181" s="164">
        <f t="shared" si="104"/>
        <v>396.25845324312468</v>
      </c>
    </row>
    <row r="182" spans="1:76" s="150" customFormat="1" x14ac:dyDescent="0.25">
      <c r="A182" s="150">
        <f t="shared" si="117"/>
        <v>178</v>
      </c>
      <c r="B182" s="150">
        <f t="shared" si="118"/>
        <v>15</v>
      </c>
      <c r="C182" s="150">
        <f t="shared" si="119"/>
        <v>10</v>
      </c>
      <c r="D182" s="150">
        <f>IF(E182="","",Input!$C$4+B182-1)</f>
        <v>59</v>
      </c>
      <c r="E182" s="150">
        <f>IF(OR(AND(C181=12,D181=Input!$C$6),E181=""),"",1)</f>
        <v>1</v>
      </c>
      <c r="F182" s="150">
        <f>IF(E182="","",Input!$C$8+B182-1)</f>
        <v>2032</v>
      </c>
      <c r="G182" s="151">
        <f>IF(E182="","",MAX(0,Input!$C$9-B182))</f>
        <v>5</v>
      </c>
      <c r="H182" s="152">
        <f>IF(E182="","",Input!$C$3)</f>
        <v>100000</v>
      </c>
      <c r="I182" s="153">
        <f>IF(E182="","",HLOOKUP($B182,Input!$C$13:$BT$14,2))</f>
        <v>2.2999999999999998</v>
      </c>
      <c r="J182" s="154"/>
      <c r="K182" s="155">
        <f>IF($E182="","",INDEX(Input!$C$16:$CP$16,1,$B182))</f>
        <v>2.4279999999999999E-2</v>
      </c>
      <c r="L182" s="155">
        <f>IF($E182="","",Input!$C$37)</f>
        <v>1.4999999999999999E-2</v>
      </c>
      <c r="M182" s="155">
        <f t="shared" si="105"/>
        <v>3.9279999999999995E-2</v>
      </c>
      <c r="N182" s="155">
        <f t="shared" si="106"/>
        <v>3.2158402306332601E-3</v>
      </c>
      <c r="O182" s="147">
        <f>IF($E182="","",MIN(VLOOKUP(IF($B182&lt;=Input!$C$7,$B182,26),'Mortality Tables'!$A$41:$CW$67,IF($B182&lt;=Input!$C$7+1,Input!$C$4+2,$D182-Input!$C$7+2),0)*IF(B182&gt;20,Input!$C$22,1)/1000,1))</f>
        <v>2.5760000000000006E-3</v>
      </c>
      <c r="P182" s="147">
        <f>IF($E182="","",MIN(VLOOKUP(IF($B182&lt;=Input!$C$7,$B182,26),'Mortality Tables'!$A$12:$CW$37,IF($B182&lt;=Input!$C$7+1,Input!$C$4+2,$D182-Input!$C$7+2),0)*IF(B182&gt;20,Input!$C$22,1)/1000,1))</f>
        <v>3.2200000000000002E-3</v>
      </c>
      <c r="Q182" s="155">
        <f>IF($E182="","",Input!$C$21)</f>
        <v>5.0000000000000001E-3</v>
      </c>
      <c r="R182" s="159">
        <f>IF($E182="","",(1-Q182)^($F182-Input!$C$20))</f>
        <v>0.93223011941540512</v>
      </c>
      <c r="S182" s="147">
        <f t="shared" si="82"/>
        <v>2.4014247876140843E-3</v>
      </c>
      <c r="T182" s="147">
        <f t="shared" si="83"/>
        <v>2.0033933211704991E-4</v>
      </c>
      <c r="U182" s="160">
        <f>IF($E182="","",IF($C182=12,INDEX(Input!$C$15:$CP$15,1,$B182),0))</f>
        <v>0</v>
      </c>
      <c r="V182" s="150">
        <f>IF(E182="","",IF(C182=1,IF($B182=1,Input!$C$33,Input!$C$34),0))</f>
        <v>0</v>
      </c>
      <c r="W182" s="156">
        <f>IF($E182="","",Input!$C$35)</f>
        <v>0.02</v>
      </c>
      <c r="X182" s="156">
        <f t="shared" si="84"/>
        <v>1.3194787630628724</v>
      </c>
      <c r="Y182" s="154"/>
      <c r="Z182" s="147">
        <f>IF($E182="","",VLOOKUP($D182,'Mortality Margins &amp; Grading'!$AB$5:$AF$125,3,0)*IF(Summary!$D$25="Included Margin",IF(AND($B182&gt;Input!$C$9,Summary!$D$31&lt;&gt;"Included Margin"),0,1),0))</f>
        <v>3.5999999999999997E-2</v>
      </c>
      <c r="AA182" s="147">
        <f>IF($E182="","",VLOOKUP($D182,'Mortality Margins &amp; Grading'!$AB$5:$AF$125,5,0)*IF(Summary!$D$25="Included Margin",IF(AND($B182&gt;Input!$C$9,Summary!$D$31&lt;&gt;"Included Margin"),0,1),0))</f>
        <v>0.185</v>
      </c>
      <c r="AB182" s="147">
        <f>IF($E182="","",IF(AND($B182&gt;Input!$C$9,Summary!$D$31&lt;&gt;"Included Margin"),1,IF(Summary!$D$25="Included Margin",VLOOKUP($B182,'Mortality Margins &amp; Grading'!$AI$5:$AR$125,MATCH('Mortality Margins &amp; Grading'!$AQ$4,'Mortality Margins &amp; Grading'!$AI$4:$AR$4,0),0),1)))</f>
        <v>1</v>
      </c>
      <c r="AC182" s="154"/>
      <c r="AD182" s="158">
        <f>IF(E182="","",Input!$C$48*IF(Summary!$D$30="Included Margin",IF(AND($B182&gt;Input!$C$9,Summary!$D$31&lt;&gt;"Included Margin"),0,1),0))</f>
        <v>-4.4999999999999997E-3</v>
      </c>
      <c r="AE182" s="159">
        <f>IF(E182="","",IF(Summary!$D$26="Included Margin",IF(AND($B182&gt;Input!$C$9,Summary!$D$31&lt;&gt;"Included Margin"),1,1/$R182),1))</f>
        <v>1.072696514705074</v>
      </c>
      <c r="AF182" s="160">
        <f>IF(E182="","",IF(AND($B182&gt;=Input!$C$9,$C182=12,Summary!$D$31="Included Margin",$U182&gt;0),1/U182-1,IF($B182&gt;=Input!$C$9,0,Input!$C$45*IF(Summary!$D$27="Included Margin",1,0))))</f>
        <v>-0.1</v>
      </c>
      <c r="AG182" s="160">
        <f>IF(E182="","",Input!$C$46*IF(Summary!$D$28="Included Margin",IF(AND($B182&gt;Input!$C$9,Summary!$D$31&lt;&gt;"Included Margin"),0,1),0))</f>
        <v>0.02</v>
      </c>
      <c r="AH182" s="158">
        <f>IF(E182="","",Input!$C$47*IF(Summary!$D$29="Included Margin",IF(AND($B182&gt;Input!$C$9,Summary!$D$31&lt;&gt;"Included Margin"),0,1),0))</f>
        <v>2.5000000000000001E-3</v>
      </c>
      <c r="AI182" s="154"/>
      <c r="AJ182" s="158">
        <f t="shared" si="107"/>
        <v>3.4779999999999998E-2</v>
      </c>
      <c r="AK182" s="155">
        <f t="shared" si="108"/>
        <v>2.8531327693710473E-3</v>
      </c>
      <c r="AL182" s="147">
        <f t="shared" si="109"/>
        <v>2.6687360000000001E-3</v>
      </c>
      <c r="AM182" s="147">
        <f t="shared" si="85"/>
        <v>2.2266715801622095E-4</v>
      </c>
      <c r="AN182" s="160">
        <f t="shared" si="110"/>
        <v>0</v>
      </c>
      <c r="AO182" s="161">
        <f t="shared" si="111"/>
        <v>0</v>
      </c>
      <c r="AP182" s="156">
        <f t="shared" si="86"/>
        <v>1.3654834272398884</v>
      </c>
      <c r="AQ182" s="152"/>
      <c r="AR182" s="162">
        <f t="shared" si="87"/>
        <v>1064.9813841083844</v>
      </c>
      <c r="AS182" s="150">
        <f t="shared" si="112"/>
        <v>0</v>
      </c>
      <c r="AT182" s="163">
        <f t="shared" si="88"/>
        <v>0</v>
      </c>
      <c r="AU182" s="163">
        <f t="shared" si="89"/>
        <v>22.266715801622095</v>
      </c>
      <c r="AV182" s="163">
        <f t="shared" si="113"/>
        <v>3.006768337509826</v>
      </c>
      <c r="AW182" s="163">
        <f t="shared" si="90"/>
        <v>0.23289968956194299</v>
      </c>
      <c r="AX182" s="163">
        <f t="shared" si="91"/>
        <v>0</v>
      </c>
      <c r="AY182" s="164">
        <f t="shared" si="114"/>
        <v>1045.9543363338341</v>
      </c>
      <c r="AZ182" s="164">
        <f>IF($E182="","",IF(OR(AND($D182=Input!$C$6,$C182=12),$AN182=1),0,-AS183+AT183+AU183-AV183-AW183-AX183+AZ183))</f>
        <v>1045.9543815840889</v>
      </c>
      <c r="BA182" s="154">
        <f t="shared" si="92"/>
        <v>4.5250254743223195E-5</v>
      </c>
      <c r="BC182" s="147">
        <f t="shared" si="115"/>
        <v>0.5146156493446129</v>
      </c>
      <c r="BD182" s="164">
        <f>IF(AND($C181=12,$D181=Input!$C$6),0,IF($E182="","",AT182+(AU182+BD183)/(1+$AK182)*MIN((1-AM182-AN182),1)))</f>
        <v>2033.7378080289159</v>
      </c>
      <c r="BE182" s="164">
        <f t="shared" si="93"/>
        <v>1046.5933026754903</v>
      </c>
      <c r="BF182" s="164">
        <f t="shared" si="116"/>
        <v>1045.9543815840889</v>
      </c>
      <c r="BG182" s="164">
        <f t="shared" si="94"/>
        <v>538.26449326373893</v>
      </c>
      <c r="BH182" s="152"/>
      <c r="BI182" s="162">
        <f t="shared" si="95"/>
        <v>769.85424166877203</v>
      </c>
      <c r="BJ182" s="150">
        <f t="shared" si="96"/>
        <v>0</v>
      </c>
      <c r="BK182" s="163">
        <f t="shared" si="120"/>
        <v>0</v>
      </c>
      <c r="BL182" s="163">
        <f t="shared" si="97"/>
        <v>20.033933211704991</v>
      </c>
      <c r="BM182" s="163">
        <f t="shared" si="121"/>
        <v>2.4435152778820868</v>
      </c>
      <c r="BN182" s="163">
        <f t="shared" si="98"/>
        <v>0.15073824118153309</v>
      </c>
      <c r="BO182" s="163">
        <f t="shared" si="99"/>
        <v>0</v>
      </c>
      <c r="BP182" s="164">
        <f t="shared" si="122"/>
        <v>752.4145619761307</v>
      </c>
      <c r="BQ182" s="164">
        <f>IF($E182="","",IF(AND($D182=Input!$C$6,$C182=12),0,-BJ183+BK183+BL183-BM183-BN183-BO183+BQ183))</f>
        <v>752.41461368885382</v>
      </c>
      <c r="BR182" s="161">
        <f t="shared" si="100"/>
        <v>0</v>
      </c>
      <c r="BT182" s="147">
        <f t="shared" si="101"/>
        <v>0.5146156493446129</v>
      </c>
      <c r="BU182" s="164">
        <f>IF(AND($C181=12,$D181=Input!$C$6),0,IF($E182="","",BK182+(BL182+BU183)/(1+$AK182)*MIN((1-T182-U182),1)))</f>
        <v>5040.8269400503459</v>
      </c>
      <c r="BV182" s="164">
        <f t="shared" si="102"/>
        <v>2594.0884289878268</v>
      </c>
      <c r="BW182" s="164">
        <f t="shared" si="103"/>
        <v>752.41461368885382</v>
      </c>
      <c r="BX182" s="164">
        <f t="shared" si="104"/>
        <v>387.20433499986558</v>
      </c>
    </row>
    <row r="183" spans="1:76" s="150" customFormat="1" x14ac:dyDescent="0.25">
      <c r="A183" s="150">
        <f t="shared" si="117"/>
        <v>179</v>
      </c>
      <c r="B183" s="150">
        <f t="shared" si="118"/>
        <v>15</v>
      </c>
      <c r="C183" s="150">
        <f t="shared" si="119"/>
        <v>11</v>
      </c>
      <c r="D183" s="150">
        <f>IF(E183="","",Input!$C$4+B183-1)</f>
        <v>59</v>
      </c>
      <c r="E183" s="150">
        <f>IF(OR(AND(C182=12,D182=Input!$C$6),E182=""),"",1)</f>
        <v>1</v>
      </c>
      <c r="F183" s="150">
        <f>IF(E183="","",Input!$C$8+B183-1)</f>
        <v>2032</v>
      </c>
      <c r="G183" s="151">
        <f>IF(E183="","",MAX(0,Input!$C$9-B183))</f>
        <v>5</v>
      </c>
      <c r="H183" s="152">
        <f>IF(E183="","",Input!$C$3)</f>
        <v>100000</v>
      </c>
      <c r="I183" s="153">
        <f>IF(E183="","",HLOOKUP($B183,Input!$C$13:$BT$14,2))</f>
        <v>2.2999999999999998</v>
      </c>
      <c r="J183" s="154"/>
      <c r="K183" s="155">
        <f>IF($E183="","",INDEX(Input!$C$16:$CP$16,1,$B183))</f>
        <v>2.4279999999999999E-2</v>
      </c>
      <c r="L183" s="155">
        <f>IF($E183="","",Input!$C$37)</f>
        <v>1.4999999999999999E-2</v>
      </c>
      <c r="M183" s="155">
        <f t="shared" si="105"/>
        <v>3.9279999999999995E-2</v>
      </c>
      <c r="N183" s="155">
        <f t="shared" si="106"/>
        <v>3.2158402306332601E-3</v>
      </c>
      <c r="O183" s="147">
        <f>IF($E183="","",MIN(VLOOKUP(IF($B183&lt;=Input!$C$7,$B183,26),'Mortality Tables'!$A$41:$CW$67,IF($B183&lt;=Input!$C$7+1,Input!$C$4+2,$D183-Input!$C$7+2),0)*IF(B183&gt;20,Input!$C$22,1)/1000,1))</f>
        <v>2.5760000000000006E-3</v>
      </c>
      <c r="P183" s="147">
        <f>IF($E183="","",MIN(VLOOKUP(IF($B183&lt;=Input!$C$7,$B183,26),'Mortality Tables'!$A$12:$CW$37,IF($B183&lt;=Input!$C$7+1,Input!$C$4+2,$D183-Input!$C$7+2),0)*IF(B183&gt;20,Input!$C$22,1)/1000,1))</f>
        <v>3.2200000000000002E-3</v>
      </c>
      <c r="Q183" s="155">
        <f>IF($E183="","",Input!$C$21)</f>
        <v>5.0000000000000001E-3</v>
      </c>
      <c r="R183" s="159">
        <f>IF($E183="","",(1-Q183)^($F183-Input!$C$20))</f>
        <v>0.93223011941540512</v>
      </c>
      <c r="S183" s="147">
        <f t="shared" si="82"/>
        <v>2.4014247876140843E-3</v>
      </c>
      <c r="T183" s="147">
        <f t="shared" si="83"/>
        <v>2.0033933211704991E-4</v>
      </c>
      <c r="U183" s="160">
        <f>IF($E183="","",IF($C183=12,INDEX(Input!$C$15:$CP$15,1,$B183),0))</f>
        <v>0</v>
      </c>
      <c r="V183" s="150">
        <f>IF(E183="","",IF(C183=1,IF($B183=1,Input!$C$33,Input!$C$34),0))</f>
        <v>0</v>
      </c>
      <c r="W183" s="156">
        <f>IF($E183="","",Input!$C$35)</f>
        <v>0.02</v>
      </c>
      <c r="X183" s="156">
        <f t="shared" si="84"/>
        <v>1.3194787630628724</v>
      </c>
      <c r="Y183" s="154"/>
      <c r="Z183" s="147">
        <f>IF($E183="","",VLOOKUP($D183,'Mortality Margins &amp; Grading'!$AB$5:$AF$125,3,0)*IF(Summary!$D$25="Included Margin",IF(AND($B183&gt;Input!$C$9,Summary!$D$31&lt;&gt;"Included Margin"),0,1),0))</f>
        <v>3.5999999999999997E-2</v>
      </c>
      <c r="AA183" s="147">
        <f>IF($E183="","",VLOOKUP($D183,'Mortality Margins &amp; Grading'!$AB$5:$AF$125,5,0)*IF(Summary!$D$25="Included Margin",IF(AND($B183&gt;Input!$C$9,Summary!$D$31&lt;&gt;"Included Margin"),0,1),0))</f>
        <v>0.185</v>
      </c>
      <c r="AB183" s="147">
        <f>IF($E183="","",IF(AND($B183&gt;Input!$C$9,Summary!$D$31&lt;&gt;"Included Margin"),1,IF(Summary!$D$25="Included Margin",VLOOKUP($B183,'Mortality Margins &amp; Grading'!$AI$5:$AR$125,MATCH('Mortality Margins &amp; Grading'!$AQ$4,'Mortality Margins &amp; Grading'!$AI$4:$AR$4,0),0),1)))</f>
        <v>1</v>
      </c>
      <c r="AC183" s="154"/>
      <c r="AD183" s="158">
        <f>IF(E183="","",Input!$C$48*IF(Summary!$D$30="Included Margin",IF(AND($B183&gt;Input!$C$9,Summary!$D$31&lt;&gt;"Included Margin"),0,1),0))</f>
        <v>-4.4999999999999997E-3</v>
      </c>
      <c r="AE183" s="159">
        <f>IF(E183="","",IF(Summary!$D$26="Included Margin",IF(AND($B183&gt;Input!$C$9,Summary!$D$31&lt;&gt;"Included Margin"),1,1/$R183),1))</f>
        <v>1.072696514705074</v>
      </c>
      <c r="AF183" s="160">
        <f>IF(E183="","",IF(AND($B183&gt;=Input!$C$9,$C183=12,Summary!$D$31="Included Margin",$U183&gt;0),1/U183-1,IF($B183&gt;=Input!$C$9,0,Input!$C$45*IF(Summary!$D$27="Included Margin",1,0))))</f>
        <v>-0.1</v>
      </c>
      <c r="AG183" s="160">
        <f>IF(E183="","",Input!$C$46*IF(Summary!$D$28="Included Margin",IF(AND($B183&gt;Input!$C$9,Summary!$D$31&lt;&gt;"Included Margin"),0,1),0))</f>
        <v>0.02</v>
      </c>
      <c r="AH183" s="158">
        <f>IF(E183="","",Input!$C$47*IF(Summary!$D$29="Included Margin",IF(AND($B183&gt;Input!$C$9,Summary!$D$31&lt;&gt;"Included Margin"),0,1),0))</f>
        <v>2.5000000000000001E-3</v>
      </c>
      <c r="AI183" s="154"/>
      <c r="AJ183" s="158">
        <f t="shared" si="107"/>
        <v>3.4779999999999998E-2</v>
      </c>
      <c r="AK183" s="155">
        <f t="shared" si="108"/>
        <v>2.8531327693710473E-3</v>
      </c>
      <c r="AL183" s="147">
        <f t="shared" si="109"/>
        <v>2.6687360000000001E-3</v>
      </c>
      <c r="AM183" s="147">
        <f t="shared" si="85"/>
        <v>2.2266715801622095E-4</v>
      </c>
      <c r="AN183" s="160">
        <f t="shared" si="110"/>
        <v>0</v>
      </c>
      <c r="AO183" s="161">
        <f t="shared" si="111"/>
        <v>0</v>
      </c>
      <c r="AP183" s="156">
        <f t="shared" si="86"/>
        <v>1.3654834272398884</v>
      </c>
      <c r="AQ183" s="152"/>
      <c r="AR183" s="162">
        <f t="shared" si="87"/>
        <v>1045.9543363338341</v>
      </c>
      <c r="AS183" s="150">
        <f t="shared" si="112"/>
        <v>0</v>
      </c>
      <c r="AT183" s="163">
        <f t="shared" si="88"/>
        <v>0</v>
      </c>
      <c r="AU183" s="163">
        <f t="shared" si="89"/>
        <v>22.266715801622095</v>
      </c>
      <c r="AV183" s="163">
        <f t="shared" si="113"/>
        <v>2.9524816439998682</v>
      </c>
      <c r="AW183" s="163">
        <f t="shared" si="90"/>
        <v>0.22864995676885966</v>
      </c>
      <c r="AX183" s="163">
        <f t="shared" si="91"/>
        <v>0</v>
      </c>
      <c r="AY183" s="164">
        <f t="shared" si="114"/>
        <v>1026.8687521329807</v>
      </c>
      <c r="AZ183" s="164">
        <f>IF($E183="","",IF(OR(AND($D183=Input!$C$6,$C183=12),$AN183=1),0,-AS184+AT184+AU184-AV184-AW184-AX184+AZ184))</f>
        <v>1026.8687973832355</v>
      </c>
      <c r="BA183" s="154">
        <f t="shared" si="92"/>
        <v>4.5250254743223195E-5</v>
      </c>
      <c r="BC183" s="147">
        <f t="shared" si="115"/>
        <v>0.51451255158912623</v>
      </c>
      <c r="BD183" s="164">
        <f>IF(AND($C182=12,$D182=Input!$C$6),0,IF($E183="","",AT183+(AU183+BD184)/(1+$AK183)*MIN((1-AM183-AN183),1)))</f>
        <v>2017.7278560053628</v>
      </c>
      <c r="BE183" s="164">
        <f t="shared" si="93"/>
        <v>1038.1463076057762</v>
      </c>
      <c r="BF183" s="164">
        <f t="shared" si="116"/>
        <v>1026.8687973832355</v>
      </c>
      <c r="BG183" s="164">
        <f t="shared" si="94"/>
        <v>528.336885088906</v>
      </c>
      <c r="BH183" s="152"/>
      <c r="BI183" s="162">
        <f t="shared" si="95"/>
        <v>752.4145619761307</v>
      </c>
      <c r="BJ183" s="150">
        <f t="shared" si="96"/>
        <v>0</v>
      </c>
      <c r="BK183" s="163">
        <f t="shared" si="120"/>
        <v>0</v>
      </c>
      <c r="BL183" s="163">
        <f t="shared" si="97"/>
        <v>20.033933211704991</v>
      </c>
      <c r="BM183" s="163">
        <f t="shared" si="121"/>
        <v>2.387432054317133</v>
      </c>
      <c r="BN183" s="163">
        <f t="shared" si="98"/>
        <v>0.14723244937603319</v>
      </c>
      <c r="BO183" s="163">
        <f t="shared" si="99"/>
        <v>0</v>
      </c>
      <c r="BP183" s="164">
        <f t="shared" si="122"/>
        <v>734.91529326811894</v>
      </c>
      <c r="BQ183" s="164">
        <f>IF($E183="","",IF(AND($D183=Input!$C$6,$C183=12),0,-BJ184+BK184+BL184-BM184-BN184-BO184+BQ184))</f>
        <v>734.91534498084195</v>
      </c>
      <c r="BR183" s="161">
        <f t="shared" si="100"/>
        <v>0</v>
      </c>
      <c r="BT183" s="147">
        <f t="shared" si="101"/>
        <v>0.51451255158912623</v>
      </c>
      <c r="BU183" s="164">
        <f>IF(AND($C182=12,$D182=Input!$C$6),0,IF($E183="","",BK183+(BL183+BU184)/(1+$AK183)*MIN((1-T183-U183),1)))</f>
        <v>5036.1881155143046</v>
      </c>
      <c r="BV183" s="164">
        <f t="shared" si="102"/>
        <v>2591.181997596098</v>
      </c>
      <c r="BW183" s="164">
        <f t="shared" si="103"/>
        <v>734.91534498084195</v>
      </c>
      <c r="BX183" s="164">
        <f t="shared" si="104"/>
        <v>378.12316934809593</v>
      </c>
    </row>
    <row r="184" spans="1:76" s="150" customFormat="1" x14ac:dyDescent="0.25">
      <c r="A184" s="150">
        <f t="shared" si="117"/>
        <v>180</v>
      </c>
      <c r="B184" s="150">
        <f t="shared" si="118"/>
        <v>15</v>
      </c>
      <c r="C184" s="150">
        <f t="shared" si="119"/>
        <v>12</v>
      </c>
      <c r="D184" s="150">
        <f>IF(E184="","",Input!$C$4+B184-1)</f>
        <v>59</v>
      </c>
      <c r="E184" s="150">
        <f>IF(OR(AND(C183=12,D183=Input!$C$6),E183=""),"",1)</f>
        <v>1</v>
      </c>
      <c r="F184" s="150">
        <f>IF(E184="","",Input!$C$8+B184-1)</f>
        <v>2032</v>
      </c>
      <c r="G184" s="151">
        <f>IF(E184="","",MAX(0,Input!$C$9-B184))</f>
        <v>5</v>
      </c>
      <c r="H184" s="152">
        <f>IF(E184="","",Input!$C$3)</f>
        <v>100000</v>
      </c>
      <c r="I184" s="153">
        <f>IF(E184="","",HLOOKUP($B184,Input!$C$13:$BT$14,2))</f>
        <v>2.2999999999999998</v>
      </c>
      <c r="J184" s="154"/>
      <c r="K184" s="155">
        <f>IF($E184="","",INDEX(Input!$C$16:$CP$16,1,$B184))</f>
        <v>2.4279999999999999E-2</v>
      </c>
      <c r="L184" s="155">
        <f>IF($E184="","",Input!$C$37)</f>
        <v>1.4999999999999999E-2</v>
      </c>
      <c r="M184" s="155">
        <f t="shared" si="105"/>
        <v>3.9279999999999995E-2</v>
      </c>
      <c r="N184" s="155">
        <f t="shared" si="106"/>
        <v>3.2158402306332601E-3</v>
      </c>
      <c r="O184" s="147">
        <f>IF($E184="","",MIN(VLOOKUP(IF($B184&lt;=Input!$C$7,$B184,26),'Mortality Tables'!$A$41:$CW$67,IF($B184&lt;=Input!$C$7+1,Input!$C$4+2,$D184-Input!$C$7+2),0)*IF(B184&gt;20,Input!$C$22,1)/1000,1))</f>
        <v>2.5760000000000006E-3</v>
      </c>
      <c r="P184" s="147">
        <f>IF($E184="","",MIN(VLOOKUP(IF($B184&lt;=Input!$C$7,$B184,26),'Mortality Tables'!$A$12:$CW$37,IF($B184&lt;=Input!$C$7+1,Input!$C$4+2,$D184-Input!$C$7+2),0)*IF(B184&gt;20,Input!$C$22,1)/1000,1))</f>
        <v>3.2200000000000002E-3</v>
      </c>
      <c r="Q184" s="155">
        <f>IF($E184="","",Input!$C$21)</f>
        <v>5.0000000000000001E-3</v>
      </c>
      <c r="R184" s="159">
        <f>IF($E184="","",(1-Q184)^($F184-Input!$C$20))</f>
        <v>0.93223011941540512</v>
      </c>
      <c r="S184" s="147">
        <f t="shared" si="82"/>
        <v>2.4014247876140843E-3</v>
      </c>
      <c r="T184" s="147">
        <f t="shared" si="83"/>
        <v>2.0033933211704991E-4</v>
      </c>
      <c r="U184" s="160">
        <f>IF($E184="","",IF($C184=12,INDEX(Input!$C$15:$CP$15,1,$B184),0))</f>
        <v>0.02</v>
      </c>
      <c r="V184" s="150">
        <f>IF(E184="","",IF(C184=1,IF($B184=1,Input!$C$33,Input!$C$34),0))</f>
        <v>0</v>
      </c>
      <c r="W184" s="156">
        <f>IF($E184="","",Input!$C$35)</f>
        <v>0.02</v>
      </c>
      <c r="X184" s="156">
        <f t="shared" si="84"/>
        <v>1.3194787630628724</v>
      </c>
      <c r="Y184" s="154"/>
      <c r="Z184" s="147">
        <f>IF($E184="","",VLOOKUP($D184,'Mortality Margins &amp; Grading'!$AB$5:$AF$125,3,0)*IF(Summary!$D$25="Included Margin",IF(AND($B184&gt;Input!$C$9,Summary!$D$31&lt;&gt;"Included Margin"),0,1),0))</f>
        <v>3.5999999999999997E-2</v>
      </c>
      <c r="AA184" s="147">
        <f>IF($E184="","",VLOOKUP($D184,'Mortality Margins &amp; Grading'!$AB$5:$AF$125,5,0)*IF(Summary!$D$25="Included Margin",IF(AND($B184&gt;Input!$C$9,Summary!$D$31&lt;&gt;"Included Margin"),0,1),0))</f>
        <v>0.185</v>
      </c>
      <c r="AB184" s="147">
        <f>IF($E184="","",IF(AND($B184&gt;Input!$C$9,Summary!$D$31&lt;&gt;"Included Margin"),1,IF(Summary!$D$25="Included Margin",VLOOKUP($B184,'Mortality Margins &amp; Grading'!$AI$5:$AR$125,MATCH('Mortality Margins &amp; Grading'!$AQ$4,'Mortality Margins &amp; Grading'!$AI$4:$AR$4,0),0),1)))</f>
        <v>1</v>
      </c>
      <c r="AC184" s="154"/>
      <c r="AD184" s="158">
        <f>IF(E184="","",Input!$C$48*IF(Summary!$D$30="Included Margin",IF(AND($B184&gt;Input!$C$9,Summary!$D$31&lt;&gt;"Included Margin"),0,1),0))</f>
        <v>-4.4999999999999997E-3</v>
      </c>
      <c r="AE184" s="159">
        <f>IF(E184="","",IF(Summary!$D$26="Included Margin",IF(AND($B184&gt;Input!$C$9,Summary!$D$31&lt;&gt;"Included Margin"),1,1/$R184),1))</f>
        <v>1.072696514705074</v>
      </c>
      <c r="AF184" s="160">
        <f>IF(E184="","",IF(AND($B184&gt;=Input!$C$9,$C184=12,Summary!$D$31="Included Margin",$U184&gt;0),1/U184-1,IF($B184&gt;=Input!$C$9,0,Input!$C$45*IF(Summary!$D$27="Included Margin",1,0))))</f>
        <v>-0.1</v>
      </c>
      <c r="AG184" s="160">
        <f>IF(E184="","",Input!$C$46*IF(Summary!$D$28="Included Margin",IF(AND($B184&gt;Input!$C$9,Summary!$D$31&lt;&gt;"Included Margin"),0,1),0))</f>
        <v>0.02</v>
      </c>
      <c r="AH184" s="158">
        <f>IF(E184="","",Input!$C$47*IF(Summary!$D$29="Included Margin",IF(AND($B184&gt;Input!$C$9,Summary!$D$31&lt;&gt;"Included Margin"),0,1),0))</f>
        <v>2.5000000000000001E-3</v>
      </c>
      <c r="AI184" s="154"/>
      <c r="AJ184" s="158">
        <f t="shared" si="107"/>
        <v>3.4779999999999998E-2</v>
      </c>
      <c r="AK184" s="155">
        <f t="shared" si="108"/>
        <v>2.8531327693710473E-3</v>
      </c>
      <c r="AL184" s="147">
        <f t="shared" si="109"/>
        <v>2.6687360000000001E-3</v>
      </c>
      <c r="AM184" s="147">
        <f t="shared" si="85"/>
        <v>2.2266715801622095E-4</v>
      </c>
      <c r="AN184" s="160">
        <f t="shared" si="110"/>
        <v>1.8000000000000002E-2</v>
      </c>
      <c r="AO184" s="161">
        <f t="shared" si="111"/>
        <v>0</v>
      </c>
      <c r="AP184" s="156">
        <f t="shared" si="86"/>
        <v>1.3654834272398884</v>
      </c>
      <c r="AQ184" s="152"/>
      <c r="AR184" s="162">
        <f t="shared" si="87"/>
        <v>1026.8687521329805</v>
      </c>
      <c r="AS184" s="150">
        <f t="shared" si="112"/>
        <v>0</v>
      </c>
      <c r="AT184" s="163">
        <f t="shared" si="88"/>
        <v>0</v>
      </c>
      <c r="AU184" s="163">
        <f t="shared" si="89"/>
        <v>22.266715801622095</v>
      </c>
      <c r="AV184" s="163">
        <f t="shared" si="113"/>
        <v>2.8980279382938221</v>
      </c>
      <c r="AW184" s="163">
        <f t="shared" si="90"/>
        <v>0.22850015248142191</v>
      </c>
      <c r="AX184" s="163">
        <f t="shared" si="91"/>
        <v>18.467415449448403</v>
      </c>
      <c r="AY184" s="164">
        <f t="shared" si="114"/>
        <v>1026.195979871582</v>
      </c>
      <c r="AZ184" s="164">
        <f>IF($E184="","",IF(OR(AND($D184=Input!$C$6,$C184=12),$AN184=1),0,-AS185+AT185+AU185-AV185-AW185-AX185+AZ185))</f>
        <v>1026.196025121837</v>
      </c>
      <c r="BA184" s="154">
        <f t="shared" si="92"/>
        <v>4.525025497059687E-5</v>
      </c>
      <c r="BC184" s="147">
        <f t="shared" si="115"/>
        <v>0.50411922345639248</v>
      </c>
      <c r="BD184" s="164">
        <f>IF(AND($C183=12,$D183=Input!$C$6),0,IF($E184="","",AT184+(AU184+BD185)/(1+$AK184)*MIN((1-AM184-AN184),1)))</f>
        <v>2001.6686496052062</v>
      </c>
      <c r="BE184" s="164">
        <f t="shared" si="93"/>
        <v>1009.0796452559823</v>
      </c>
      <c r="BF184" s="164">
        <f t="shared" si="116"/>
        <v>1026.196025121837</v>
      </c>
      <c r="BG184" s="164">
        <f t="shared" si="94"/>
        <v>517.32514329845708</v>
      </c>
      <c r="BH184" s="152"/>
      <c r="BI184" s="162">
        <f t="shared" si="95"/>
        <v>734.91529326811883</v>
      </c>
      <c r="BJ184" s="150">
        <f t="shared" si="96"/>
        <v>0</v>
      </c>
      <c r="BK184" s="163">
        <f t="shared" si="120"/>
        <v>0</v>
      </c>
      <c r="BL184" s="163">
        <f t="shared" si="97"/>
        <v>20.033933211704991</v>
      </c>
      <c r="BM184" s="163">
        <f t="shared" si="121"/>
        <v>2.3311572019992468</v>
      </c>
      <c r="BN184" s="163">
        <f t="shared" si="98"/>
        <v>0.14664763138406989</v>
      </c>
      <c r="BO184" s="163">
        <f t="shared" si="99"/>
        <v>14.636991203492578</v>
      </c>
      <c r="BP184" s="164">
        <f t="shared" si="122"/>
        <v>731.99615609328976</v>
      </c>
      <c r="BQ184" s="164">
        <f>IF($E184="","",IF(AND($D184=Input!$C$6,$C184=12),0,-BJ185+BK185+BL185-BM185-BN185-BO185+BQ185))</f>
        <v>731.99620780601288</v>
      </c>
      <c r="BR184" s="161">
        <f t="shared" si="100"/>
        <v>0</v>
      </c>
      <c r="BT184" s="147">
        <f t="shared" si="101"/>
        <v>0.50411922345639248</v>
      </c>
      <c r="BU184" s="164">
        <f>IF(AND($C183=12,$D183=Input!$C$6),0,IF($E184="","",BK184+(BL184+BU185)/(1+$AK184)*MIN((1-T184-U184),1)))</f>
        <v>5031.5351236186789</v>
      </c>
      <c r="BV184" s="164">
        <f t="shared" si="102"/>
        <v>2536.4935793122122</v>
      </c>
      <c r="BW184" s="164">
        <f t="shared" si="103"/>
        <v>731.99620780601288</v>
      </c>
      <c r="BX184" s="164">
        <f t="shared" si="104"/>
        <v>369.01335985219129</v>
      </c>
    </row>
    <row r="185" spans="1:76" s="150" customFormat="1" x14ac:dyDescent="0.25">
      <c r="A185" s="150">
        <f t="shared" si="117"/>
        <v>181</v>
      </c>
      <c r="B185" s="150">
        <f t="shared" si="118"/>
        <v>16</v>
      </c>
      <c r="C185" s="150">
        <f t="shared" si="119"/>
        <v>1</v>
      </c>
      <c r="D185" s="150">
        <f>IF(E185="","",Input!$C$4+B185-1)</f>
        <v>60</v>
      </c>
      <c r="E185" s="150">
        <f>IF(OR(AND(C184=12,D184=Input!$C$6),E184=""),"",1)</f>
        <v>1</v>
      </c>
      <c r="F185" s="150">
        <f>IF(E185="","",Input!$C$8+B185-1)</f>
        <v>2033</v>
      </c>
      <c r="G185" s="151">
        <f>IF(E185="","",MAX(0,Input!$C$9-B185))</f>
        <v>4</v>
      </c>
      <c r="H185" s="152">
        <f>IF(E185="","",Input!$C$3)</f>
        <v>100000</v>
      </c>
      <c r="I185" s="153">
        <f>IF(E185="","",HLOOKUP($B185,Input!$C$13:$BT$14,2))</f>
        <v>2.2999999999999998</v>
      </c>
      <c r="J185" s="154"/>
      <c r="K185" s="155">
        <f>IF($E185="","",INDEX(Input!$C$16:$CP$16,1,$B185))</f>
        <v>2.409E-2</v>
      </c>
      <c r="L185" s="155">
        <f>IF($E185="","",Input!$C$37)</f>
        <v>1.4999999999999999E-2</v>
      </c>
      <c r="M185" s="155">
        <f t="shared" si="105"/>
        <v>3.909E-2</v>
      </c>
      <c r="N185" s="155">
        <f t="shared" si="106"/>
        <v>3.2005550505740388E-3</v>
      </c>
      <c r="O185" s="147">
        <f>IF($E185="","",MIN(VLOOKUP(IF($B185&lt;=Input!$C$7,$B185,26),'Mortality Tables'!$A$41:$CW$67,IF($B185&lt;=Input!$C$7+1,Input!$C$4+2,$D185-Input!$C$7+2),0)*IF(B185&gt;20,Input!$C$22,1)/1000,1))</f>
        <v>2.9920000000000003E-3</v>
      </c>
      <c r="P185" s="147">
        <f>IF($E185="","",MIN(VLOOKUP(IF($B185&lt;=Input!$C$7,$B185,26),'Mortality Tables'!$A$12:$CW$37,IF($B185&lt;=Input!$C$7+1,Input!$C$4+2,$D185-Input!$C$7+2),0)*IF(B185&gt;20,Input!$C$22,1)/1000,1))</f>
        <v>3.7400000000000003E-3</v>
      </c>
      <c r="Q185" s="155">
        <f>IF($E185="","",Input!$C$21)</f>
        <v>5.0000000000000001E-3</v>
      </c>
      <c r="R185" s="159">
        <f>IF($E185="","",(1-Q185)^($F185-Input!$C$20))</f>
        <v>0.92756896881832807</v>
      </c>
      <c r="S185" s="147">
        <f t="shared" si="82"/>
        <v>2.7752863547044378E-3</v>
      </c>
      <c r="T185" s="147">
        <f t="shared" si="83"/>
        <v>2.3156856736161746E-4</v>
      </c>
      <c r="U185" s="160">
        <f>IF($E185="","",IF($C185=12,INDEX(Input!$C$15:$CP$15,1,$B185),0))</f>
        <v>0</v>
      </c>
      <c r="V185" s="150">
        <f>IF(E185="","",IF(C185=1,IF($B185=1,Input!$C$33,Input!$C$34),0))</f>
        <v>50</v>
      </c>
      <c r="W185" s="156">
        <f>IF($E185="","",Input!$C$35)</f>
        <v>0.02</v>
      </c>
      <c r="X185" s="156">
        <f t="shared" si="84"/>
        <v>1.3458683383241299</v>
      </c>
      <c r="Y185" s="154"/>
      <c r="Z185" s="147">
        <f>IF($E185="","",VLOOKUP($D185,'Mortality Margins &amp; Grading'!$AB$5:$AF$125,3,0)*IF(Summary!$D$25="Included Margin",IF(AND($B185&gt;Input!$C$9,Summary!$D$31&lt;&gt;"Included Margin"),0,1),0))</f>
        <v>3.5000000000000003E-2</v>
      </c>
      <c r="AA185" s="147">
        <f>IF($E185="","",VLOOKUP($D185,'Mortality Margins &amp; Grading'!$AB$5:$AF$125,5,0)*IF(Summary!$D$25="Included Margin",IF(AND($B185&gt;Input!$C$9,Summary!$D$31&lt;&gt;"Included Margin"),0,1),0))</f>
        <v>0.182</v>
      </c>
      <c r="AB185" s="147">
        <f>IF($E185="","",IF(AND($B185&gt;Input!$C$9,Summary!$D$31&lt;&gt;"Included Margin"),1,IF(Summary!$D$25="Included Margin",VLOOKUP($B185,'Mortality Margins &amp; Grading'!$AI$5:$AR$125,MATCH('Mortality Margins &amp; Grading'!$AQ$4,'Mortality Margins &amp; Grading'!$AI$4:$AR$4,0),0),1)))</f>
        <v>1</v>
      </c>
      <c r="AC185" s="154"/>
      <c r="AD185" s="158">
        <f>IF(E185="","",Input!$C$48*IF(Summary!$D$30="Included Margin",IF(AND($B185&gt;Input!$C$9,Summary!$D$31&lt;&gt;"Included Margin"),0,1),0))</f>
        <v>-4.4999999999999997E-3</v>
      </c>
      <c r="AE185" s="159">
        <f>IF(E185="","",IF(Summary!$D$26="Included Margin",IF(AND($B185&gt;Input!$C$9,Summary!$D$31&lt;&gt;"Included Margin"),1,1/$R185),1))</f>
        <v>1.0780869494523357</v>
      </c>
      <c r="AF185" s="160">
        <f>IF(E185="","",IF(AND($B185&gt;=Input!$C$9,$C185=12,Summary!$D$31="Included Margin",$U185&gt;0),1/U185-1,IF($B185&gt;=Input!$C$9,0,Input!$C$45*IF(Summary!$D$27="Included Margin",1,0))))</f>
        <v>-0.1</v>
      </c>
      <c r="AG185" s="160">
        <f>IF(E185="","",Input!$C$46*IF(Summary!$D$28="Included Margin",IF(AND($B185&gt;Input!$C$9,Summary!$D$31&lt;&gt;"Included Margin"),0,1),0))</f>
        <v>0.02</v>
      </c>
      <c r="AH185" s="158">
        <f>IF(E185="","",Input!$C$47*IF(Summary!$D$29="Included Margin",IF(AND($B185&gt;Input!$C$9,Summary!$D$31&lt;&gt;"Included Margin"),0,1),0))</f>
        <v>2.5000000000000001E-3</v>
      </c>
      <c r="AI185" s="154"/>
      <c r="AJ185" s="158">
        <f t="shared" si="107"/>
        <v>3.4590000000000003E-2</v>
      </c>
      <c r="AK185" s="155">
        <f t="shared" si="108"/>
        <v>2.8377866625948212E-3</v>
      </c>
      <c r="AL185" s="147">
        <f t="shared" si="109"/>
        <v>3.0967200000000007E-3</v>
      </c>
      <c r="AM185" s="147">
        <f t="shared" si="85"/>
        <v>2.584269985951293E-4</v>
      </c>
      <c r="AN185" s="160">
        <f t="shared" si="110"/>
        <v>0</v>
      </c>
      <c r="AO185" s="161">
        <f t="shared" si="111"/>
        <v>51</v>
      </c>
      <c r="AP185" s="156">
        <f t="shared" si="86"/>
        <v>1.3962068043527858</v>
      </c>
      <c r="AQ185" s="152"/>
      <c r="AR185" s="162">
        <f t="shared" si="87"/>
        <v>1026.1959731675249</v>
      </c>
      <c r="AS185" s="150">
        <f t="shared" si="112"/>
        <v>229.99999999999997</v>
      </c>
      <c r="AT185" s="163">
        <f t="shared" si="88"/>
        <v>71.20654702199208</v>
      </c>
      <c r="AU185" s="163">
        <f t="shared" si="89"/>
        <v>25.84269985951293</v>
      </c>
      <c r="AV185" s="163">
        <f t="shared" si="113"/>
        <v>3.3260791543383008</v>
      </c>
      <c r="AW185" s="163">
        <f t="shared" si="90"/>
        <v>0.3004920267373799</v>
      </c>
      <c r="AX185" s="163">
        <f t="shared" si="91"/>
        <v>0</v>
      </c>
      <c r="AY185" s="164">
        <f t="shared" si="114"/>
        <v>1162.7732974670955</v>
      </c>
      <c r="AZ185" s="164">
        <f>IF($E185="","",IF(OR(AND($D185=Input!$C$6,$C185=12),$AN185=1),0,-AS186+AT186+AU186-AV186-AW186-AX186+AZ186))</f>
        <v>1162.7733494214076</v>
      </c>
      <c r="BA185" s="154">
        <f t="shared" si="92"/>
        <v>5.1954312084490084E-5</v>
      </c>
      <c r="BC185" s="147">
        <f t="shared" si="115"/>
        <v>0.50400248529003722</v>
      </c>
      <c r="BD185" s="164">
        <f>IF(AND($C184=12,$D184=Input!$C$6),0,IF($E185="","",AT185+(AU185+BD186)/(1+$AK185)*MIN((1-AM185-AN185),1)))</f>
        <v>2022.3717260047174</v>
      </c>
      <c r="BE185" s="164">
        <f t="shared" si="93"/>
        <v>1019.2803760866798</v>
      </c>
      <c r="BF185" s="164">
        <f t="shared" si="116"/>
        <v>1162.7733494214076</v>
      </c>
      <c r="BG185" s="164">
        <f t="shared" si="94"/>
        <v>586.04065793741029</v>
      </c>
      <c r="BH185" s="152"/>
      <c r="BI185" s="162">
        <f t="shared" si="95"/>
        <v>731.99614859864084</v>
      </c>
      <c r="BJ185" s="150">
        <f t="shared" si="96"/>
        <v>229.99999999999997</v>
      </c>
      <c r="BK185" s="163">
        <f t="shared" si="120"/>
        <v>67.293416916206496</v>
      </c>
      <c r="BL185" s="163">
        <f t="shared" si="97"/>
        <v>23.156856736161746</v>
      </c>
      <c r="BM185" s="163">
        <f t="shared" si="121"/>
        <v>2.8264879492574333</v>
      </c>
      <c r="BN185" s="163">
        <f t="shared" si="98"/>
        <v>0.2025240673350055</v>
      </c>
      <c r="BO185" s="163">
        <f t="shared" si="99"/>
        <v>0</v>
      </c>
      <c r="BP185" s="164">
        <f t="shared" si="122"/>
        <v>874.57488696286498</v>
      </c>
      <c r="BQ185" s="164">
        <f>IF($E185="","",IF(AND($D185=Input!$C$6,$C185=12),0,-BJ186+BK186+BL186-BM186-BN186-BO186+BQ186))</f>
        <v>874.57494617023701</v>
      </c>
      <c r="BR185" s="161">
        <f t="shared" si="100"/>
        <v>0</v>
      </c>
      <c r="BT185" s="147">
        <f t="shared" si="101"/>
        <v>0.50400248529003722</v>
      </c>
      <c r="BU185" s="164">
        <f>IF(AND($C184=12,$D184=Input!$C$6),0,IF($E185="","",BK185+(BL185+BU186)/(1+$AK185)*MIN((1-T185-U185),1)))</f>
        <v>5129.8869780902778</v>
      </c>
      <c r="BV185" s="164">
        <f t="shared" si="102"/>
        <v>2585.4757862144988</v>
      </c>
      <c r="BW185" s="164">
        <f t="shared" si="103"/>
        <v>874.57494617023701</v>
      </c>
      <c r="BX185" s="164">
        <f t="shared" si="104"/>
        <v>440.7879464422</v>
      </c>
    </row>
    <row r="186" spans="1:76" s="150" customFormat="1" x14ac:dyDescent="0.25">
      <c r="A186" s="150">
        <f t="shared" si="117"/>
        <v>182</v>
      </c>
      <c r="B186" s="150">
        <f t="shared" si="118"/>
        <v>16</v>
      </c>
      <c r="C186" s="150">
        <f t="shared" si="119"/>
        <v>2</v>
      </c>
      <c r="D186" s="150">
        <f>IF(E186="","",Input!$C$4+B186-1)</f>
        <v>60</v>
      </c>
      <c r="E186" s="150">
        <f>IF(OR(AND(C185=12,D185=Input!$C$6),E185=""),"",1)</f>
        <v>1</v>
      </c>
      <c r="F186" s="150">
        <f>IF(E186="","",Input!$C$8+B186-1)</f>
        <v>2033</v>
      </c>
      <c r="G186" s="151">
        <f>IF(E186="","",MAX(0,Input!$C$9-B186))</f>
        <v>4</v>
      </c>
      <c r="H186" s="152">
        <f>IF(E186="","",Input!$C$3)</f>
        <v>100000</v>
      </c>
      <c r="I186" s="153">
        <f>IF(E186="","",HLOOKUP($B186,Input!$C$13:$BT$14,2))</f>
        <v>2.2999999999999998</v>
      </c>
      <c r="J186" s="154"/>
      <c r="K186" s="155">
        <f>IF($E186="","",INDEX(Input!$C$16:$CP$16,1,$B186))</f>
        <v>2.409E-2</v>
      </c>
      <c r="L186" s="155">
        <f>IF($E186="","",Input!$C$37)</f>
        <v>1.4999999999999999E-2</v>
      </c>
      <c r="M186" s="155">
        <f t="shared" si="105"/>
        <v>3.909E-2</v>
      </c>
      <c r="N186" s="155">
        <f t="shared" si="106"/>
        <v>3.2005550505740388E-3</v>
      </c>
      <c r="O186" s="147">
        <f>IF($E186="","",MIN(VLOOKUP(IF($B186&lt;=Input!$C$7,$B186,26),'Mortality Tables'!$A$41:$CW$67,IF($B186&lt;=Input!$C$7+1,Input!$C$4+2,$D186-Input!$C$7+2),0)*IF(B186&gt;20,Input!$C$22,1)/1000,1))</f>
        <v>2.9920000000000003E-3</v>
      </c>
      <c r="P186" s="147">
        <f>IF($E186="","",MIN(VLOOKUP(IF($B186&lt;=Input!$C$7,$B186,26),'Mortality Tables'!$A$12:$CW$37,IF($B186&lt;=Input!$C$7+1,Input!$C$4+2,$D186-Input!$C$7+2),0)*IF(B186&gt;20,Input!$C$22,1)/1000,1))</f>
        <v>3.7400000000000003E-3</v>
      </c>
      <c r="Q186" s="155">
        <f>IF($E186="","",Input!$C$21)</f>
        <v>5.0000000000000001E-3</v>
      </c>
      <c r="R186" s="159">
        <f>IF($E186="","",(1-Q186)^($F186-Input!$C$20))</f>
        <v>0.92756896881832807</v>
      </c>
      <c r="S186" s="147">
        <f t="shared" si="82"/>
        <v>2.7752863547044378E-3</v>
      </c>
      <c r="T186" s="147">
        <f t="shared" si="83"/>
        <v>2.3156856736161746E-4</v>
      </c>
      <c r="U186" s="160">
        <f>IF($E186="","",IF($C186=12,INDEX(Input!$C$15:$CP$15,1,$B186),0))</f>
        <v>0</v>
      </c>
      <c r="V186" s="150">
        <f>IF(E186="","",IF(C186=1,IF($B186=1,Input!$C$33,Input!$C$34),0))</f>
        <v>0</v>
      </c>
      <c r="W186" s="156">
        <f>IF($E186="","",Input!$C$35)</f>
        <v>0.02</v>
      </c>
      <c r="X186" s="156">
        <f t="shared" si="84"/>
        <v>1.3458683383241299</v>
      </c>
      <c r="Y186" s="154"/>
      <c r="Z186" s="147">
        <f>IF($E186="","",VLOOKUP($D186,'Mortality Margins &amp; Grading'!$AB$5:$AF$125,3,0)*IF(Summary!$D$25="Included Margin",IF(AND($B186&gt;Input!$C$9,Summary!$D$31&lt;&gt;"Included Margin"),0,1),0))</f>
        <v>3.5000000000000003E-2</v>
      </c>
      <c r="AA186" s="147">
        <f>IF($E186="","",VLOOKUP($D186,'Mortality Margins &amp; Grading'!$AB$5:$AF$125,5,0)*IF(Summary!$D$25="Included Margin",IF(AND($B186&gt;Input!$C$9,Summary!$D$31&lt;&gt;"Included Margin"),0,1),0))</f>
        <v>0.182</v>
      </c>
      <c r="AB186" s="147">
        <f>IF($E186="","",IF(AND($B186&gt;Input!$C$9,Summary!$D$31&lt;&gt;"Included Margin"),1,IF(Summary!$D$25="Included Margin",VLOOKUP($B186,'Mortality Margins &amp; Grading'!$AI$5:$AR$125,MATCH('Mortality Margins &amp; Grading'!$AQ$4,'Mortality Margins &amp; Grading'!$AI$4:$AR$4,0),0),1)))</f>
        <v>1</v>
      </c>
      <c r="AC186" s="154"/>
      <c r="AD186" s="158">
        <f>IF(E186="","",Input!$C$48*IF(Summary!$D$30="Included Margin",IF(AND($B186&gt;Input!$C$9,Summary!$D$31&lt;&gt;"Included Margin"),0,1),0))</f>
        <v>-4.4999999999999997E-3</v>
      </c>
      <c r="AE186" s="159">
        <f>IF(E186="","",IF(Summary!$D$26="Included Margin",IF(AND($B186&gt;Input!$C$9,Summary!$D$31&lt;&gt;"Included Margin"),1,1/$R186),1))</f>
        <v>1.0780869494523357</v>
      </c>
      <c r="AF186" s="160">
        <f>IF(E186="","",IF(AND($B186&gt;=Input!$C$9,$C186=12,Summary!$D$31="Included Margin",$U186&gt;0),1/U186-1,IF($B186&gt;=Input!$C$9,0,Input!$C$45*IF(Summary!$D$27="Included Margin",1,0))))</f>
        <v>-0.1</v>
      </c>
      <c r="AG186" s="160">
        <f>IF(E186="","",Input!$C$46*IF(Summary!$D$28="Included Margin",IF(AND($B186&gt;Input!$C$9,Summary!$D$31&lt;&gt;"Included Margin"),0,1),0))</f>
        <v>0.02</v>
      </c>
      <c r="AH186" s="158">
        <f>IF(E186="","",Input!$C$47*IF(Summary!$D$29="Included Margin",IF(AND($B186&gt;Input!$C$9,Summary!$D$31&lt;&gt;"Included Margin"),0,1),0))</f>
        <v>2.5000000000000001E-3</v>
      </c>
      <c r="AI186" s="154"/>
      <c r="AJ186" s="158">
        <f t="shared" si="107"/>
        <v>3.4590000000000003E-2</v>
      </c>
      <c r="AK186" s="155">
        <f t="shared" si="108"/>
        <v>2.8377866625948212E-3</v>
      </c>
      <c r="AL186" s="147">
        <f t="shared" si="109"/>
        <v>3.0967200000000007E-3</v>
      </c>
      <c r="AM186" s="147">
        <f t="shared" si="85"/>
        <v>2.584269985951293E-4</v>
      </c>
      <c r="AN186" s="160">
        <f t="shared" si="110"/>
        <v>0</v>
      </c>
      <c r="AO186" s="161">
        <f t="shared" si="111"/>
        <v>0</v>
      </c>
      <c r="AP186" s="156">
        <f t="shared" si="86"/>
        <v>1.3962068043527858</v>
      </c>
      <c r="AQ186" s="152"/>
      <c r="AR186" s="162">
        <f t="shared" si="87"/>
        <v>1162.7732974670955</v>
      </c>
      <c r="AS186" s="150">
        <f t="shared" si="112"/>
        <v>0</v>
      </c>
      <c r="AT186" s="163">
        <f t="shared" si="88"/>
        <v>0</v>
      </c>
      <c r="AU186" s="163">
        <f t="shared" si="89"/>
        <v>25.84269985951293</v>
      </c>
      <c r="AV186" s="163">
        <f t="shared" si="113"/>
        <v>3.263034520680141</v>
      </c>
      <c r="AW186" s="163">
        <f t="shared" si="90"/>
        <v>0.29473299855878732</v>
      </c>
      <c r="AX186" s="163">
        <f t="shared" si="91"/>
        <v>0</v>
      </c>
      <c r="AY186" s="164">
        <f t="shared" si="114"/>
        <v>1140.4883651268215</v>
      </c>
      <c r="AZ186" s="164">
        <f>IF($E186="","",IF(OR(AND($D186=Input!$C$6,$C186=12),$AN186=1),0,-AS187+AT187+AU187-AV187-AW187-AX187+AZ187))</f>
        <v>1140.4884170811335</v>
      </c>
      <c r="BA186" s="154">
        <f t="shared" si="92"/>
        <v>5.1954312084490084E-5</v>
      </c>
      <c r="BC186" s="147">
        <f t="shared" si="115"/>
        <v>0.50388577415657188</v>
      </c>
      <c r="BD186" s="164">
        <f>IF(AND($C185=12,$D185=Input!$C$6),0,IF($E186="","",AT186+(AU186+BD187)/(1+$AK186)*MIN((1-AM186-AN186),1)))</f>
        <v>1931.3652650246404</v>
      </c>
      <c r="BE186" s="164">
        <f t="shared" si="93"/>
        <v>973.18748174605355</v>
      </c>
      <c r="BF186" s="164">
        <f t="shared" si="116"/>
        <v>1140.4884170811335</v>
      </c>
      <c r="BG186" s="164">
        <f t="shared" si="94"/>
        <v>574.67588895753022</v>
      </c>
      <c r="BH186" s="152"/>
      <c r="BI186" s="162">
        <f t="shared" si="95"/>
        <v>874.57488696286498</v>
      </c>
      <c r="BJ186" s="150">
        <f t="shared" si="96"/>
        <v>0</v>
      </c>
      <c r="BK186" s="163">
        <f t="shared" si="120"/>
        <v>0</v>
      </c>
      <c r="BL186" s="163">
        <f t="shared" si="97"/>
        <v>23.156856736161746</v>
      </c>
      <c r="BM186" s="163">
        <f t="shared" si="121"/>
        <v>2.7620676741830459</v>
      </c>
      <c r="BN186" s="163">
        <f t="shared" si="98"/>
        <v>0.19784709041756535</v>
      </c>
      <c r="BO186" s="163">
        <f t="shared" si="99"/>
        <v>0</v>
      </c>
      <c r="BP186" s="164">
        <f t="shared" si="122"/>
        <v>854.37794499130382</v>
      </c>
      <c r="BQ186" s="164">
        <f>IF($E186="","",IF(AND($D186=Input!$C$6,$C186=12),0,-BJ187+BK187+BL187-BM187-BN187-BO187+BQ187))</f>
        <v>854.37800419867585</v>
      </c>
      <c r="BR186" s="161">
        <f t="shared" si="100"/>
        <v>0</v>
      </c>
      <c r="BT186" s="147">
        <f t="shared" si="101"/>
        <v>0.50388577415657188</v>
      </c>
      <c r="BU186" s="164">
        <f>IF(AND($C185=12,$D185=Input!$C$6),0,IF($E186="","",BK186+(BL186+BU187)/(1+$AK186)*MIN((1-T186-U186),1)))</f>
        <v>5054.9792016158472</v>
      </c>
      <c r="BV186" s="164">
        <f t="shared" si="102"/>
        <v>2547.1321083515709</v>
      </c>
      <c r="BW186" s="164">
        <f t="shared" si="103"/>
        <v>854.37800419867585</v>
      </c>
      <c r="BX186" s="164">
        <f t="shared" si="104"/>
        <v>430.50892206799659</v>
      </c>
    </row>
    <row r="187" spans="1:76" s="150" customFormat="1" x14ac:dyDescent="0.25">
      <c r="A187" s="150">
        <f t="shared" si="117"/>
        <v>183</v>
      </c>
      <c r="B187" s="150">
        <f t="shared" si="118"/>
        <v>16</v>
      </c>
      <c r="C187" s="150">
        <f t="shared" si="119"/>
        <v>3</v>
      </c>
      <c r="D187" s="150">
        <f>IF(E187="","",Input!$C$4+B187-1)</f>
        <v>60</v>
      </c>
      <c r="E187" s="150">
        <f>IF(OR(AND(C186=12,D186=Input!$C$6),E186=""),"",1)</f>
        <v>1</v>
      </c>
      <c r="F187" s="150">
        <f>IF(E187="","",Input!$C$8+B187-1)</f>
        <v>2033</v>
      </c>
      <c r="G187" s="151">
        <f>IF(E187="","",MAX(0,Input!$C$9-B187))</f>
        <v>4</v>
      </c>
      <c r="H187" s="152">
        <f>IF(E187="","",Input!$C$3)</f>
        <v>100000</v>
      </c>
      <c r="I187" s="153">
        <f>IF(E187="","",HLOOKUP($B187,Input!$C$13:$BT$14,2))</f>
        <v>2.2999999999999998</v>
      </c>
      <c r="J187" s="154"/>
      <c r="K187" s="155">
        <f>IF($E187="","",INDEX(Input!$C$16:$CP$16,1,$B187))</f>
        <v>2.409E-2</v>
      </c>
      <c r="L187" s="155">
        <f>IF($E187="","",Input!$C$37)</f>
        <v>1.4999999999999999E-2</v>
      </c>
      <c r="M187" s="155">
        <f t="shared" si="105"/>
        <v>3.909E-2</v>
      </c>
      <c r="N187" s="155">
        <f t="shared" si="106"/>
        <v>3.2005550505740388E-3</v>
      </c>
      <c r="O187" s="147">
        <f>IF($E187="","",MIN(VLOOKUP(IF($B187&lt;=Input!$C$7,$B187,26),'Mortality Tables'!$A$41:$CW$67,IF($B187&lt;=Input!$C$7+1,Input!$C$4+2,$D187-Input!$C$7+2),0)*IF(B187&gt;20,Input!$C$22,1)/1000,1))</f>
        <v>2.9920000000000003E-3</v>
      </c>
      <c r="P187" s="147">
        <f>IF($E187="","",MIN(VLOOKUP(IF($B187&lt;=Input!$C$7,$B187,26),'Mortality Tables'!$A$12:$CW$37,IF($B187&lt;=Input!$C$7+1,Input!$C$4+2,$D187-Input!$C$7+2),0)*IF(B187&gt;20,Input!$C$22,1)/1000,1))</f>
        <v>3.7400000000000003E-3</v>
      </c>
      <c r="Q187" s="155">
        <f>IF($E187="","",Input!$C$21)</f>
        <v>5.0000000000000001E-3</v>
      </c>
      <c r="R187" s="159">
        <f>IF($E187="","",(1-Q187)^($F187-Input!$C$20))</f>
        <v>0.92756896881832807</v>
      </c>
      <c r="S187" s="147">
        <f t="shared" si="82"/>
        <v>2.7752863547044378E-3</v>
      </c>
      <c r="T187" s="147">
        <f t="shared" si="83"/>
        <v>2.3156856736161746E-4</v>
      </c>
      <c r="U187" s="160">
        <f>IF($E187="","",IF($C187=12,INDEX(Input!$C$15:$CP$15,1,$B187),0))</f>
        <v>0</v>
      </c>
      <c r="V187" s="150">
        <f>IF(E187="","",IF(C187=1,IF($B187=1,Input!$C$33,Input!$C$34),0))</f>
        <v>0</v>
      </c>
      <c r="W187" s="156">
        <f>IF($E187="","",Input!$C$35)</f>
        <v>0.02</v>
      </c>
      <c r="X187" s="156">
        <f t="shared" si="84"/>
        <v>1.3458683383241299</v>
      </c>
      <c r="Y187" s="154"/>
      <c r="Z187" s="147">
        <f>IF($E187="","",VLOOKUP($D187,'Mortality Margins &amp; Grading'!$AB$5:$AF$125,3,0)*IF(Summary!$D$25="Included Margin",IF(AND($B187&gt;Input!$C$9,Summary!$D$31&lt;&gt;"Included Margin"),0,1),0))</f>
        <v>3.5000000000000003E-2</v>
      </c>
      <c r="AA187" s="147">
        <f>IF($E187="","",VLOOKUP($D187,'Mortality Margins &amp; Grading'!$AB$5:$AF$125,5,0)*IF(Summary!$D$25="Included Margin",IF(AND($B187&gt;Input!$C$9,Summary!$D$31&lt;&gt;"Included Margin"),0,1),0))</f>
        <v>0.182</v>
      </c>
      <c r="AB187" s="147">
        <f>IF($E187="","",IF(AND($B187&gt;Input!$C$9,Summary!$D$31&lt;&gt;"Included Margin"),1,IF(Summary!$D$25="Included Margin",VLOOKUP($B187,'Mortality Margins &amp; Grading'!$AI$5:$AR$125,MATCH('Mortality Margins &amp; Grading'!$AQ$4,'Mortality Margins &amp; Grading'!$AI$4:$AR$4,0),0),1)))</f>
        <v>1</v>
      </c>
      <c r="AC187" s="154"/>
      <c r="AD187" s="158">
        <f>IF(E187="","",Input!$C$48*IF(Summary!$D$30="Included Margin",IF(AND($B187&gt;Input!$C$9,Summary!$D$31&lt;&gt;"Included Margin"),0,1),0))</f>
        <v>-4.4999999999999997E-3</v>
      </c>
      <c r="AE187" s="159">
        <f>IF(E187="","",IF(Summary!$D$26="Included Margin",IF(AND($B187&gt;Input!$C$9,Summary!$D$31&lt;&gt;"Included Margin"),1,1/$R187),1))</f>
        <v>1.0780869494523357</v>
      </c>
      <c r="AF187" s="160">
        <f>IF(E187="","",IF(AND($B187&gt;=Input!$C$9,$C187=12,Summary!$D$31="Included Margin",$U187&gt;0),1/U187-1,IF($B187&gt;=Input!$C$9,0,Input!$C$45*IF(Summary!$D$27="Included Margin",1,0))))</f>
        <v>-0.1</v>
      </c>
      <c r="AG187" s="160">
        <f>IF(E187="","",Input!$C$46*IF(Summary!$D$28="Included Margin",IF(AND($B187&gt;Input!$C$9,Summary!$D$31&lt;&gt;"Included Margin"),0,1),0))</f>
        <v>0.02</v>
      </c>
      <c r="AH187" s="158">
        <f>IF(E187="","",Input!$C$47*IF(Summary!$D$29="Included Margin",IF(AND($B187&gt;Input!$C$9,Summary!$D$31&lt;&gt;"Included Margin"),0,1),0))</f>
        <v>2.5000000000000001E-3</v>
      </c>
      <c r="AI187" s="154"/>
      <c r="AJ187" s="158">
        <f t="shared" si="107"/>
        <v>3.4590000000000003E-2</v>
      </c>
      <c r="AK187" s="155">
        <f t="shared" si="108"/>
        <v>2.8377866625948212E-3</v>
      </c>
      <c r="AL187" s="147">
        <f t="shared" si="109"/>
        <v>3.0967200000000007E-3</v>
      </c>
      <c r="AM187" s="147">
        <f t="shared" si="85"/>
        <v>2.584269985951293E-4</v>
      </c>
      <c r="AN187" s="160">
        <f t="shared" si="110"/>
        <v>0</v>
      </c>
      <c r="AO187" s="161">
        <f t="shared" si="111"/>
        <v>0</v>
      </c>
      <c r="AP187" s="156">
        <f t="shared" si="86"/>
        <v>1.3962068043527858</v>
      </c>
      <c r="AQ187" s="152"/>
      <c r="AR187" s="162">
        <f t="shared" si="87"/>
        <v>1140.4883651268217</v>
      </c>
      <c r="AS187" s="150">
        <f t="shared" si="112"/>
        <v>0</v>
      </c>
      <c r="AT187" s="163">
        <f t="shared" si="88"/>
        <v>0</v>
      </c>
      <c r="AU187" s="163">
        <f t="shared" si="89"/>
        <v>25.84269985951293</v>
      </c>
      <c r="AV187" s="163">
        <f t="shared" si="113"/>
        <v>3.1997946369080839</v>
      </c>
      <c r="AW187" s="163">
        <f t="shared" si="90"/>
        <v>0.28895613458922309</v>
      </c>
      <c r="AX187" s="163">
        <f t="shared" si="91"/>
        <v>0</v>
      </c>
      <c r="AY187" s="164">
        <f t="shared" si="114"/>
        <v>1118.134416038806</v>
      </c>
      <c r="AZ187" s="164">
        <f>IF($E187="","",IF(OR(AND($D187=Input!$C$6,$C187=12),$AN187=1),0,-AS188+AT188+AU188-AV188-AW188-AX188+AZ188))</f>
        <v>1118.1344679931178</v>
      </c>
      <c r="BA187" s="154">
        <f t="shared" si="92"/>
        <v>5.1954311857116409E-5</v>
      </c>
      <c r="BC187" s="147">
        <f t="shared" si="115"/>
        <v>0.50376909004973658</v>
      </c>
      <c r="BD187" s="164">
        <f>IF(AND($C186=12,$D186=Input!$C$6),0,IF($E187="","",AT187+(AU187+BD188)/(1+$AK187)*MIN((1-AM187-AN187),1)))</f>
        <v>1911.5040304555666</v>
      </c>
      <c r="BE187" s="164">
        <f t="shared" si="93"/>
        <v>962.9566460490048</v>
      </c>
      <c r="BF187" s="164">
        <f t="shared" si="116"/>
        <v>1118.1344679931178</v>
      </c>
      <c r="BG187" s="164">
        <f t="shared" si="94"/>
        <v>563.28158349413923</v>
      </c>
      <c r="BH187" s="152"/>
      <c r="BI187" s="162">
        <f t="shared" si="95"/>
        <v>854.37794499130382</v>
      </c>
      <c r="BJ187" s="150">
        <f t="shared" si="96"/>
        <v>0</v>
      </c>
      <c r="BK187" s="163">
        <f t="shared" si="120"/>
        <v>0</v>
      </c>
      <c r="BL187" s="163">
        <f t="shared" si="97"/>
        <v>23.156856736161746</v>
      </c>
      <c r="BM187" s="163">
        <f t="shared" si="121"/>
        <v>2.6974262495498147</v>
      </c>
      <c r="BN187" s="163">
        <f t="shared" si="98"/>
        <v>0.19315405781919531</v>
      </c>
      <c r="BO187" s="163">
        <f t="shared" si="99"/>
        <v>0</v>
      </c>
      <c r="BP187" s="164">
        <f t="shared" si="122"/>
        <v>834.11166856251111</v>
      </c>
      <c r="BQ187" s="164">
        <f>IF($E187="","",IF(AND($D187=Input!$C$6,$C187=12),0,-BJ188+BK188+BL188-BM188-BN188-BO188+BQ188))</f>
        <v>834.11172776988315</v>
      </c>
      <c r="BR187" s="161">
        <f t="shared" si="100"/>
        <v>0</v>
      </c>
      <c r="BT187" s="147">
        <f t="shared" si="101"/>
        <v>0.50376909004973658</v>
      </c>
      <c r="BU187" s="164">
        <f>IF(AND($C186=12,$D186=Input!$C$6),0,IF($E187="","",BK187+(BL187+BU188)/(1+$AK187)*MIN((1-T187-U187),1)))</f>
        <v>5047.3414654700082</v>
      </c>
      <c r="BV187" s="164">
        <f t="shared" si="102"/>
        <v>2542.69461723013</v>
      </c>
      <c r="BW187" s="164">
        <f t="shared" si="103"/>
        <v>834.11172776988315</v>
      </c>
      <c r="BX187" s="164">
        <f t="shared" si="104"/>
        <v>420.19970609844762</v>
      </c>
    </row>
    <row r="188" spans="1:76" s="150" customFormat="1" x14ac:dyDescent="0.25">
      <c r="A188" s="150">
        <f t="shared" si="117"/>
        <v>184</v>
      </c>
      <c r="B188" s="150">
        <f t="shared" si="118"/>
        <v>16</v>
      </c>
      <c r="C188" s="150">
        <f t="shared" si="119"/>
        <v>4</v>
      </c>
      <c r="D188" s="150">
        <f>IF(E188="","",Input!$C$4+B188-1)</f>
        <v>60</v>
      </c>
      <c r="E188" s="150">
        <f>IF(OR(AND(C187=12,D187=Input!$C$6),E187=""),"",1)</f>
        <v>1</v>
      </c>
      <c r="F188" s="150">
        <f>IF(E188="","",Input!$C$8+B188-1)</f>
        <v>2033</v>
      </c>
      <c r="G188" s="151">
        <f>IF(E188="","",MAX(0,Input!$C$9-B188))</f>
        <v>4</v>
      </c>
      <c r="H188" s="152">
        <f>IF(E188="","",Input!$C$3)</f>
        <v>100000</v>
      </c>
      <c r="I188" s="153">
        <f>IF(E188="","",HLOOKUP($B188,Input!$C$13:$BT$14,2))</f>
        <v>2.2999999999999998</v>
      </c>
      <c r="J188" s="154"/>
      <c r="K188" s="155">
        <f>IF($E188="","",INDEX(Input!$C$16:$CP$16,1,$B188))</f>
        <v>2.409E-2</v>
      </c>
      <c r="L188" s="155">
        <f>IF($E188="","",Input!$C$37)</f>
        <v>1.4999999999999999E-2</v>
      </c>
      <c r="M188" s="155">
        <f t="shared" si="105"/>
        <v>3.909E-2</v>
      </c>
      <c r="N188" s="155">
        <f t="shared" si="106"/>
        <v>3.2005550505740388E-3</v>
      </c>
      <c r="O188" s="147">
        <f>IF($E188="","",MIN(VLOOKUP(IF($B188&lt;=Input!$C$7,$B188,26),'Mortality Tables'!$A$41:$CW$67,IF($B188&lt;=Input!$C$7+1,Input!$C$4+2,$D188-Input!$C$7+2),0)*IF(B188&gt;20,Input!$C$22,1)/1000,1))</f>
        <v>2.9920000000000003E-3</v>
      </c>
      <c r="P188" s="147">
        <f>IF($E188="","",MIN(VLOOKUP(IF($B188&lt;=Input!$C$7,$B188,26),'Mortality Tables'!$A$12:$CW$37,IF($B188&lt;=Input!$C$7+1,Input!$C$4+2,$D188-Input!$C$7+2),0)*IF(B188&gt;20,Input!$C$22,1)/1000,1))</f>
        <v>3.7400000000000003E-3</v>
      </c>
      <c r="Q188" s="155">
        <f>IF($E188="","",Input!$C$21)</f>
        <v>5.0000000000000001E-3</v>
      </c>
      <c r="R188" s="159">
        <f>IF($E188="","",(1-Q188)^($F188-Input!$C$20))</f>
        <v>0.92756896881832807</v>
      </c>
      <c r="S188" s="147">
        <f t="shared" si="82"/>
        <v>2.7752863547044378E-3</v>
      </c>
      <c r="T188" s="147">
        <f t="shared" si="83"/>
        <v>2.3156856736161746E-4</v>
      </c>
      <c r="U188" s="160">
        <f>IF($E188="","",IF($C188=12,INDEX(Input!$C$15:$CP$15,1,$B188),0))</f>
        <v>0</v>
      </c>
      <c r="V188" s="150">
        <f>IF(E188="","",IF(C188=1,IF($B188=1,Input!$C$33,Input!$C$34),0))</f>
        <v>0</v>
      </c>
      <c r="W188" s="156">
        <f>IF($E188="","",Input!$C$35)</f>
        <v>0.02</v>
      </c>
      <c r="X188" s="156">
        <f t="shared" si="84"/>
        <v>1.3458683383241299</v>
      </c>
      <c r="Y188" s="154"/>
      <c r="Z188" s="147">
        <f>IF($E188="","",VLOOKUP($D188,'Mortality Margins &amp; Grading'!$AB$5:$AF$125,3,0)*IF(Summary!$D$25="Included Margin",IF(AND($B188&gt;Input!$C$9,Summary!$D$31&lt;&gt;"Included Margin"),0,1),0))</f>
        <v>3.5000000000000003E-2</v>
      </c>
      <c r="AA188" s="147">
        <f>IF($E188="","",VLOOKUP($D188,'Mortality Margins &amp; Grading'!$AB$5:$AF$125,5,0)*IF(Summary!$D$25="Included Margin",IF(AND($B188&gt;Input!$C$9,Summary!$D$31&lt;&gt;"Included Margin"),0,1),0))</f>
        <v>0.182</v>
      </c>
      <c r="AB188" s="147">
        <f>IF($E188="","",IF(AND($B188&gt;Input!$C$9,Summary!$D$31&lt;&gt;"Included Margin"),1,IF(Summary!$D$25="Included Margin",VLOOKUP($B188,'Mortality Margins &amp; Grading'!$AI$5:$AR$125,MATCH('Mortality Margins &amp; Grading'!$AQ$4,'Mortality Margins &amp; Grading'!$AI$4:$AR$4,0),0),1)))</f>
        <v>1</v>
      </c>
      <c r="AC188" s="154"/>
      <c r="AD188" s="158">
        <f>IF(E188="","",Input!$C$48*IF(Summary!$D$30="Included Margin",IF(AND($B188&gt;Input!$C$9,Summary!$D$31&lt;&gt;"Included Margin"),0,1),0))</f>
        <v>-4.4999999999999997E-3</v>
      </c>
      <c r="AE188" s="159">
        <f>IF(E188="","",IF(Summary!$D$26="Included Margin",IF(AND($B188&gt;Input!$C$9,Summary!$D$31&lt;&gt;"Included Margin"),1,1/$R188),1))</f>
        <v>1.0780869494523357</v>
      </c>
      <c r="AF188" s="160">
        <f>IF(E188="","",IF(AND($B188&gt;=Input!$C$9,$C188=12,Summary!$D$31="Included Margin",$U188&gt;0),1/U188-1,IF($B188&gt;=Input!$C$9,0,Input!$C$45*IF(Summary!$D$27="Included Margin",1,0))))</f>
        <v>-0.1</v>
      </c>
      <c r="AG188" s="160">
        <f>IF(E188="","",Input!$C$46*IF(Summary!$D$28="Included Margin",IF(AND($B188&gt;Input!$C$9,Summary!$D$31&lt;&gt;"Included Margin"),0,1),0))</f>
        <v>0.02</v>
      </c>
      <c r="AH188" s="158">
        <f>IF(E188="","",Input!$C$47*IF(Summary!$D$29="Included Margin",IF(AND($B188&gt;Input!$C$9,Summary!$D$31&lt;&gt;"Included Margin"),0,1),0))</f>
        <v>2.5000000000000001E-3</v>
      </c>
      <c r="AI188" s="154"/>
      <c r="AJ188" s="158">
        <f t="shared" si="107"/>
        <v>3.4590000000000003E-2</v>
      </c>
      <c r="AK188" s="155">
        <f t="shared" si="108"/>
        <v>2.8377866625948212E-3</v>
      </c>
      <c r="AL188" s="147">
        <f t="shared" si="109"/>
        <v>3.0967200000000007E-3</v>
      </c>
      <c r="AM188" s="147">
        <f t="shared" si="85"/>
        <v>2.584269985951293E-4</v>
      </c>
      <c r="AN188" s="160">
        <f t="shared" si="110"/>
        <v>0</v>
      </c>
      <c r="AO188" s="161">
        <f t="shared" si="111"/>
        <v>0</v>
      </c>
      <c r="AP188" s="156">
        <f t="shared" si="86"/>
        <v>1.3962068043527858</v>
      </c>
      <c r="AQ188" s="152"/>
      <c r="AR188" s="162">
        <f t="shared" si="87"/>
        <v>1118.1344160388057</v>
      </c>
      <c r="AS188" s="150">
        <f t="shared" si="112"/>
        <v>0</v>
      </c>
      <c r="AT188" s="163">
        <f t="shared" si="88"/>
        <v>0</v>
      </c>
      <c r="AU188" s="163">
        <f t="shared" si="89"/>
        <v>25.84269985951293</v>
      </c>
      <c r="AV188" s="163">
        <f t="shared" si="113"/>
        <v>3.1363588983297888</v>
      </c>
      <c r="AW188" s="163">
        <f t="shared" si="90"/>
        <v>0.28316137959099263</v>
      </c>
      <c r="AX188" s="163">
        <f t="shared" si="91"/>
        <v>0</v>
      </c>
      <c r="AY188" s="164">
        <f t="shared" si="114"/>
        <v>1095.7112364572135</v>
      </c>
      <c r="AZ188" s="164">
        <f>IF($E188="","",IF(OR(AND($D188=Input!$C$6,$C188=12),$AN188=1),0,-AS189+AT189+AU189-AV189-AW189-AX189+AZ189))</f>
        <v>1095.7112884115256</v>
      </c>
      <c r="BA188" s="154">
        <f t="shared" si="92"/>
        <v>5.1954312084490084E-5</v>
      </c>
      <c r="BC188" s="147">
        <f t="shared" si="115"/>
        <v>0.50365243296327267</v>
      </c>
      <c r="BD188" s="164">
        <f>IF(AND($C187=12,$D187=Input!$C$6),0,IF($E188="","",AT188+(AU188+BD189)/(1+$AK188)*MIN((1-AM188-AN188),1)))</f>
        <v>1891.5812853647124</v>
      </c>
      <c r="BE188" s="164">
        <f t="shared" si="93"/>
        <v>952.69951652173188</v>
      </c>
      <c r="BF188" s="164">
        <f t="shared" si="116"/>
        <v>1095.7112884115256</v>
      </c>
      <c r="BG188" s="164">
        <f t="shared" si="94"/>
        <v>551.857656233787</v>
      </c>
      <c r="BH188" s="152"/>
      <c r="BI188" s="162">
        <f t="shared" si="95"/>
        <v>834.11166856251111</v>
      </c>
      <c r="BJ188" s="150">
        <f t="shared" si="96"/>
        <v>0</v>
      </c>
      <c r="BK188" s="163">
        <f t="shared" si="120"/>
        <v>0</v>
      </c>
      <c r="BL188" s="163">
        <f t="shared" si="97"/>
        <v>23.156856736161746</v>
      </c>
      <c r="BM188" s="163">
        <f t="shared" si="121"/>
        <v>2.6325629161693129</v>
      </c>
      <c r="BN188" s="163">
        <f t="shared" si="98"/>
        <v>0.18844491442205005</v>
      </c>
      <c r="BO188" s="163">
        <f t="shared" si="99"/>
        <v>0</v>
      </c>
      <c r="BP188" s="164">
        <f t="shared" si="122"/>
        <v>813.7758196569406</v>
      </c>
      <c r="BQ188" s="164">
        <f>IF($E188="","",IF(AND($D188=Input!$C$6,$C188=12),0,-BJ189+BK189+BL189-BM189-BN189-BO189+BQ189))</f>
        <v>813.77587886431274</v>
      </c>
      <c r="BR188" s="161">
        <f t="shared" si="100"/>
        <v>0</v>
      </c>
      <c r="BT188" s="147">
        <f t="shared" si="101"/>
        <v>0.50365243296327267</v>
      </c>
      <c r="BU188" s="164">
        <f>IF(AND($C187=12,$D187=Input!$C$6),0,IF($E188="","",BK188+(BL188+BU189)/(1+$AK188)*MIN((1-T188-U188),1)))</f>
        <v>5039.6802809688825</v>
      </c>
      <c r="BV188" s="164">
        <f t="shared" si="102"/>
        <v>2538.2472348670071</v>
      </c>
      <c r="BW188" s="164">
        <f t="shared" si="103"/>
        <v>813.77587886431274</v>
      </c>
      <c r="BX188" s="164">
        <f t="shared" si="104"/>
        <v>409.86020127683656</v>
      </c>
    </row>
    <row r="189" spans="1:76" s="150" customFormat="1" x14ac:dyDescent="0.25">
      <c r="A189" s="150">
        <f t="shared" si="117"/>
        <v>185</v>
      </c>
      <c r="B189" s="150">
        <f t="shared" si="118"/>
        <v>16</v>
      </c>
      <c r="C189" s="150">
        <f t="shared" si="119"/>
        <v>5</v>
      </c>
      <c r="D189" s="150">
        <f>IF(E189="","",Input!$C$4+B189-1)</f>
        <v>60</v>
      </c>
      <c r="E189" s="150">
        <f>IF(OR(AND(C188=12,D188=Input!$C$6),E188=""),"",1)</f>
        <v>1</v>
      </c>
      <c r="F189" s="150">
        <f>IF(E189="","",Input!$C$8+B189-1)</f>
        <v>2033</v>
      </c>
      <c r="G189" s="151">
        <f>IF(E189="","",MAX(0,Input!$C$9-B189))</f>
        <v>4</v>
      </c>
      <c r="H189" s="152">
        <f>IF(E189="","",Input!$C$3)</f>
        <v>100000</v>
      </c>
      <c r="I189" s="153">
        <f>IF(E189="","",HLOOKUP($B189,Input!$C$13:$BT$14,2))</f>
        <v>2.2999999999999998</v>
      </c>
      <c r="J189" s="154"/>
      <c r="K189" s="155">
        <f>IF($E189="","",INDEX(Input!$C$16:$CP$16,1,$B189))</f>
        <v>2.409E-2</v>
      </c>
      <c r="L189" s="155">
        <f>IF($E189="","",Input!$C$37)</f>
        <v>1.4999999999999999E-2</v>
      </c>
      <c r="M189" s="155">
        <f t="shared" si="105"/>
        <v>3.909E-2</v>
      </c>
      <c r="N189" s="155">
        <f t="shared" si="106"/>
        <v>3.2005550505740388E-3</v>
      </c>
      <c r="O189" s="147">
        <f>IF($E189="","",MIN(VLOOKUP(IF($B189&lt;=Input!$C$7,$B189,26),'Mortality Tables'!$A$41:$CW$67,IF($B189&lt;=Input!$C$7+1,Input!$C$4+2,$D189-Input!$C$7+2),0)*IF(B189&gt;20,Input!$C$22,1)/1000,1))</f>
        <v>2.9920000000000003E-3</v>
      </c>
      <c r="P189" s="147">
        <f>IF($E189="","",MIN(VLOOKUP(IF($B189&lt;=Input!$C$7,$B189,26),'Mortality Tables'!$A$12:$CW$37,IF($B189&lt;=Input!$C$7+1,Input!$C$4+2,$D189-Input!$C$7+2),0)*IF(B189&gt;20,Input!$C$22,1)/1000,1))</f>
        <v>3.7400000000000003E-3</v>
      </c>
      <c r="Q189" s="155">
        <f>IF($E189="","",Input!$C$21)</f>
        <v>5.0000000000000001E-3</v>
      </c>
      <c r="R189" s="159">
        <f>IF($E189="","",(1-Q189)^($F189-Input!$C$20))</f>
        <v>0.92756896881832807</v>
      </c>
      <c r="S189" s="147">
        <f t="shared" si="82"/>
        <v>2.7752863547044378E-3</v>
      </c>
      <c r="T189" s="147">
        <f t="shared" si="83"/>
        <v>2.3156856736161746E-4</v>
      </c>
      <c r="U189" s="160">
        <f>IF($E189="","",IF($C189=12,INDEX(Input!$C$15:$CP$15,1,$B189),0))</f>
        <v>0</v>
      </c>
      <c r="V189" s="150">
        <f>IF(E189="","",IF(C189=1,IF($B189=1,Input!$C$33,Input!$C$34),0))</f>
        <v>0</v>
      </c>
      <c r="W189" s="156">
        <f>IF($E189="","",Input!$C$35)</f>
        <v>0.02</v>
      </c>
      <c r="X189" s="156">
        <f t="shared" si="84"/>
        <v>1.3458683383241299</v>
      </c>
      <c r="Y189" s="154"/>
      <c r="Z189" s="147">
        <f>IF($E189="","",VLOOKUP($D189,'Mortality Margins &amp; Grading'!$AB$5:$AF$125,3,0)*IF(Summary!$D$25="Included Margin",IF(AND($B189&gt;Input!$C$9,Summary!$D$31&lt;&gt;"Included Margin"),0,1),0))</f>
        <v>3.5000000000000003E-2</v>
      </c>
      <c r="AA189" s="147">
        <f>IF($E189="","",VLOOKUP($D189,'Mortality Margins &amp; Grading'!$AB$5:$AF$125,5,0)*IF(Summary!$D$25="Included Margin",IF(AND($B189&gt;Input!$C$9,Summary!$D$31&lt;&gt;"Included Margin"),0,1),0))</f>
        <v>0.182</v>
      </c>
      <c r="AB189" s="147">
        <f>IF($E189="","",IF(AND($B189&gt;Input!$C$9,Summary!$D$31&lt;&gt;"Included Margin"),1,IF(Summary!$D$25="Included Margin",VLOOKUP($B189,'Mortality Margins &amp; Grading'!$AI$5:$AR$125,MATCH('Mortality Margins &amp; Grading'!$AQ$4,'Mortality Margins &amp; Grading'!$AI$4:$AR$4,0),0),1)))</f>
        <v>1</v>
      </c>
      <c r="AC189" s="154"/>
      <c r="AD189" s="158">
        <f>IF(E189="","",Input!$C$48*IF(Summary!$D$30="Included Margin",IF(AND($B189&gt;Input!$C$9,Summary!$D$31&lt;&gt;"Included Margin"),0,1),0))</f>
        <v>-4.4999999999999997E-3</v>
      </c>
      <c r="AE189" s="159">
        <f>IF(E189="","",IF(Summary!$D$26="Included Margin",IF(AND($B189&gt;Input!$C$9,Summary!$D$31&lt;&gt;"Included Margin"),1,1/$R189),1))</f>
        <v>1.0780869494523357</v>
      </c>
      <c r="AF189" s="160">
        <f>IF(E189="","",IF(AND($B189&gt;=Input!$C$9,$C189=12,Summary!$D$31="Included Margin",$U189&gt;0),1/U189-1,IF($B189&gt;=Input!$C$9,0,Input!$C$45*IF(Summary!$D$27="Included Margin",1,0))))</f>
        <v>-0.1</v>
      </c>
      <c r="AG189" s="160">
        <f>IF(E189="","",Input!$C$46*IF(Summary!$D$28="Included Margin",IF(AND($B189&gt;Input!$C$9,Summary!$D$31&lt;&gt;"Included Margin"),0,1),0))</f>
        <v>0.02</v>
      </c>
      <c r="AH189" s="158">
        <f>IF(E189="","",Input!$C$47*IF(Summary!$D$29="Included Margin",IF(AND($B189&gt;Input!$C$9,Summary!$D$31&lt;&gt;"Included Margin"),0,1),0))</f>
        <v>2.5000000000000001E-3</v>
      </c>
      <c r="AI189" s="154"/>
      <c r="AJ189" s="158">
        <f t="shared" si="107"/>
        <v>3.4590000000000003E-2</v>
      </c>
      <c r="AK189" s="155">
        <f t="shared" si="108"/>
        <v>2.8377866625948212E-3</v>
      </c>
      <c r="AL189" s="147">
        <f t="shared" si="109"/>
        <v>3.0967200000000007E-3</v>
      </c>
      <c r="AM189" s="147">
        <f t="shared" si="85"/>
        <v>2.584269985951293E-4</v>
      </c>
      <c r="AN189" s="160">
        <f t="shared" si="110"/>
        <v>0</v>
      </c>
      <c r="AO189" s="161">
        <f t="shared" si="111"/>
        <v>0</v>
      </c>
      <c r="AP189" s="156">
        <f t="shared" si="86"/>
        <v>1.3962068043527858</v>
      </c>
      <c r="AQ189" s="152"/>
      <c r="AR189" s="162">
        <f t="shared" si="87"/>
        <v>1095.7112364572138</v>
      </c>
      <c r="AS189" s="150">
        <f t="shared" si="112"/>
        <v>0</v>
      </c>
      <c r="AT189" s="163">
        <f t="shared" si="88"/>
        <v>0</v>
      </c>
      <c r="AU189" s="163">
        <f t="shared" si="89"/>
        <v>25.84269985951293</v>
      </c>
      <c r="AV189" s="163">
        <f t="shared" si="113"/>
        <v>3.0727266983801784</v>
      </c>
      <c r="AW189" s="163">
        <f t="shared" si="90"/>
        <v>0.27734867815532949</v>
      </c>
      <c r="AX189" s="163">
        <f t="shared" si="91"/>
        <v>0</v>
      </c>
      <c r="AY189" s="164">
        <f t="shared" si="114"/>
        <v>1073.2186119742362</v>
      </c>
      <c r="AZ189" s="164">
        <f>IF($E189="","",IF(OR(AND($D189=Input!$C$6,$C189=12),$AN189=1),0,-AS190+AT190+AU190-AV190-AW190-AX190+AZ190))</f>
        <v>1073.2186639285483</v>
      </c>
      <c r="BA189" s="154">
        <f t="shared" si="92"/>
        <v>5.1954312084490084E-5</v>
      </c>
      <c r="BC189" s="147">
        <f t="shared" si="115"/>
        <v>0.50353580289092315</v>
      </c>
      <c r="BD189" s="164">
        <f>IF(AND($C188=12,$D188=Input!$C$6),0,IF($E189="","",AT189+(AU189+BD190)/(1+$AK189)*MIN((1-AM189-AN189),1)))</f>
        <v>1871.5968392531299</v>
      </c>
      <c r="BE189" s="164">
        <f t="shared" si="93"/>
        <v>942.41601714143883</v>
      </c>
      <c r="BF189" s="164">
        <f t="shared" si="116"/>
        <v>1073.2186639285483</v>
      </c>
      <c r="BG189" s="164">
        <f t="shared" si="94"/>
        <v>540.40402161878535</v>
      </c>
      <c r="BH189" s="152"/>
      <c r="BI189" s="162">
        <f t="shared" si="95"/>
        <v>813.77581965694083</v>
      </c>
      <c r="BJ189" s="150">
        <f t="shared" si="96"/>
        <v>0</v>
      </c>
      <c r="BK189" s="163">
        <f t="shared" si="120"/>
        <v>0</v>
      </c>
      <c r="BL189" s="163">
        <f t="shared" si="97"/>
        <v>23.156856736161746</v>
      </c>
      <c r="BM189" s="163">
        <f t="shared" si="121"/>
        <v>2.5674769122468795</v>
      </c>
      <c r="BN189" s="163">
        <f t="shared" si="98"/>
        <v>0.18371960491906925</v>
      </c>
      <c r="BO189" s="163">
        <f t="shared" si="99"/>
        <v>0</v>
      </c>
      <c r="BP189" s="164">
        <f t="shared" si="122"/>
        <v>793.37015943794495</v>
      </c>
      <c r="BQ189" s="164">
        <f>IF($E189="","",IF(AND($D189=Input!$C$6,$C189=12),0,-BJ190+BK190+BL190-BM190-BN190-BO190+BQ190))</f>
        <v>793.37021864531698</v>
      </c>
      <c r="BR189" s="161">
        <f t="shared" si="100"/>
        <v>0</v>
      </c>
      <c r="BT189" s="147">
        <f t="shared" si="101"/>
        <v>0.50353580289092315</v>
      </c>
      <c r="BU189" s="164">
        <f>IF(AND($C188=12,$D188=Input!$C$6),0,IF($E189="","",BK189+(BL189+BU190)/(1+$AK189)*MIN((1-T189-U189),1)))</f>
        <v>5031.9955761244692</v>
      </c>
      <c r="BV189" s="164">
        <f t="shared" si="102"/>
        <v>2533.789932567408</v>
      </c>
      <c r="BW189" s="164">
        <f t="shared" si="103"/>
        <v>793.37021864531698</v>
      </c>
      <c r="BX189" s="164">
        <f t="shared" si="104"/>
        <v>399.49031003531695</v>
      </c>
    </row>
    <row r="190" spans="1:76" s="150" customFormat="1" x14ac:dyDescent="0.25">
      <c r="A190" s="150">
        <f t="shared" si="117"/>
        <v>186</v>
      </c>
      <c r="B190" s="150">
        <f t="shared" si="118"/>
        <v>16</v>
      </c>
      <c r="C190" s="150">
        <f t="shared" si="119"/>
        <v>6</v>
      </c>
      <c r="D190" s="150">
        <f>IF(E190="","",Input!$C$4+B190-1)</f>
        <v>60</v>
      </c>
      <c r="E190" s="150">
        <f>IF(OR(AND(C189=12,D189=Input!$C$6),E189=""),"",1)</f>
        <v>1</v>
      </c>
      <c r="F190" s="150">
        <f>IF(E190="","",Input!$C$8+B190-1)</f>
        <v>2033</v>
      </c>
      <c r="G190" s="151">
        <f>IF(E190="","",MAX(0,Input!$C$9-B190))</f>
        <v>4</v>
      </c>
      <c r="H190" s="152">
        <f>IF(E190="","",Input!$C$3)</f>
        <v>100000</v>
      </c>
      <c r="I190" s="153">
        <f>IF(E190="","",HLOOKUP($B190,Input!$C$13:$BT$14,2))</f>
        <v>2.2999999999999998</v>
      </c>
      <c r="J190" s="154"/>
      <c r="K190" s="155">
        <f>IF($E190="","",INDEX(Input!$C$16:$CP$16,1,$B190))</f>
        <v>2.409E-2</v>
      </c>
      <c r="L190" s="155">
        <f>IF($E190="","",Input!$C$37)</f>
        <v>1.4999999999999999E-2</v>
      </c>
      <c r="M190" s="155">
        <f t="shared" si="105"/>
        <v>3.909E-2</v>
      </c>
      <c r="N190" s="155">
        <f t="shared" si="106"/>
        <v>3.2005550505740388E-3</v>
      </c>
      <c r="O190" s="147">
        <f>IF($E190="","",MIN(VLOOKUP(IF($B190&lt;=Input!$C$7,$B190,26),'Mortality Tables'!$A$41:$CW$67,IF($B190&lt;=Input!$C$7+1,Input!$C$4+2,$D190-Input!$C$7+2),0)*IF(B190&gt;20,Input!$C$22,1)/1000,1))</f>
        <v>2.9920000000000003E-3</v>
      </c>
      <c r="P190" s="147">
        <f>IF($E190="","",MIN(VLOOKUP(IF($B190&lt;=Input!$C$7,$B190,26),'Mortality Tables'!$A$12:$CW$37,IF($B190&lt;=Input!$C$7+1,Input!$C$4+2,$D190-Input!$C$7+2),0)*IF(B190&gt;20,Input!$C$22,1)/1000,1))</f>
        <v>3.7400000000000003E-3</v>
      </c>
      <c r="Q190" s="155">
        <f>IF($E190="","",Input!$C$21)</f>
        <v>5.0000000000000001E-3</v>
      </c>
      <c r="R190" s="159">
        <f>IF($E190="","",(1-Q190)^($F190-Input!$C$20))</f>
        <v>0.92756896881832807</v>
      </c>
      <c r="S190" s="147">
        <f t="shared" si="82"/>
        <v>2.7752863547044378E-3</v>
      </c>
      <c r="T190" s="147">
        <f t="shared" si="83"/>
        <v>2.3156856736161746E-4</v>
      </c>
      <c r="U190" s="160">
        <f>IF($E190="","",IF($C190=12,INDEX(Input!$C$15:$CP$15,1,$B190),0))</f>
        <v>0</v>
      </c>
      <c r="V190" s="150">
        <f>IF(E190="","",IF(C190=1,IF($B190=1,Input!$C$33,Input!$C$34),0))</f>
        <v>0</v>
      </c>
      <c r="W190" s="156">
        <f>IF($E190="","",Input!$C$35)</f>
        <v>0.02</v>
      </c>
      <c r="X190" s="156">
        <f t="shared" si="84"/>
        <v>1.3458683383241299</v>
      </c>
      <c r="Y190" s="154"/>
      <c r="Z190" s="147">
        <f>IF($E190="","",VLOOKUP($D190,'Mortality Margins &amp; Grading'!$AB$5:$AF$125,3,0)*IF(Summary!$D$25="Included Margin",IF(AND($B190&gt;Input!$C$9,Summary!$D$31&lt;&gt;"Included Margin"),0,1),0))</f>
        <v>3.5000000000000003E-2</v>
      </c>
      <c r="AA190" s="147">
        <f>IF($E190="","",VLOOKUP($D190,'Mortality Margins &amp; Grading'!$AB$5:$AF$125,5,0)*IF(Summary!$D$25="Included Margin",IF(AND($B190&gt;Input!$C$9,Summary!$D$31&lt;&gt;"Included Margin"),0,1),0))</f>
        <v>0.182</v>
      </c>
      <c r="AB190" s="147">
        <f>IF($E190="","",IF(AND($B190&gt;Input!$C$9,Summary!$D$31&lt;&gt;"Included Margin"),1,IF(Summary!$D$25="Included Margin",VLOOKUP($B190,'Mortality Margins &amp; Grading'!$AI$5:$AR$125,MATCH('Mortality Margins &amp; Grading'!$AQ$4,'Mortality Margins &amp; Grading'!$AI$4:$AR$4,0),0),1)))</f>
        <v>1</v>
      </c>
      <c r="AC190" s="154"/>
      <c r="AD190" s="158">
        <f>IF(E190="","",Input!$C$48*IF(Summary!$D$30="Included Margin",IF(AND($B190&gt;Input!$C$9,Summary!$D$31&lt;&gt;"Included Margin"),0,1),0))</f>
        <v>-4.4999999999999997E-3</v>
      </c>
      <c r="AE190" s="159">
        <f>IF(E190="","",IF(Summary!$D$26="Included Margin",IF(AND($B190&gt;Input!$C$9,Summary!$D$31&lt;&gt;"Included Margin"),1,1/$R190),1))</f>
        <v>1.0780869494523357</v>
      </c>
      <c r="AF190" s="160">
        <f>IF(E190="","",IF(AND($B190&gt;=Input!$C$9,$C190=12,Summary!$D$31="Included Margin",$U190&gt;0),1/U190-1,IF($B190&gt;=Input!$C$9,0,Input!$C$45*IF(Summary!$D$27="Included Margin",1,0))))</f>
        <v>-0.1</v>
      </c>
      <c r="AG190" s="160">
        <f>IF(E190="","",Input!$C$46*IF(Summary!$D$28="Included Margin",IF(AND($B190&gt;Input!$C$9,Summary!$D$31&lt;&gt;"Included Margin"),0,1),0))</f>
        <v>0.02</v>
      </c>
      <c r="AH190" s="158">
        <f>IF(E190="","",Input!$C$47*IF(Summary!$D$29="Included Margin",IF(AND($B190&gt;Input!$C$9,Summary!$D$31&lt;&gt;"Included Margin"),0,1),0))</f>
        <v>2.5000000000000001E-3</v>
      </c>
      <c r="AI190" s="154"/>
      <c r="AJ190" s="158">
        <f t="shared" si="107"/>
        <v>3.4590000000000003E-2</v>
      </c>
      <c r="AK190" s="155">
        <f t="shared" si="108"/>
        <v>2.8377866625948212E-3</v>
      </c>
      <c r="AL190" s="147">
        <f t="shared" si="109"/>
        <v>3.0967200000000007E-3</v>
      </c>
      <c r="AM190" s="147">
        <f t="shared" si="85"/>
        <v>2.584269985951293E-4</v>
      </c>
      <c r="AN190" s="160">
        <f t="shared" si="110"/>
        <v>0</v>
      </c>
      <c r="AO190" s="161">
        <f t="shared" si="111"/>
        <v>0</v>
      </c>
      <c r="AP190" s="156">
        <f t="shared" si="86"/>
        <v>1.3962068043527858</v>
      </c>
      <c r="AQ190" s="152"/>
      <c r="AR190" s="162">
        <f t="shared" si="87"/>
        <v>1073.2186119742364</v>
      </c>
      <c r="AS190" s="150">
        <f t="shared" si="112"/>
        <v>0</v>
      </c>
      <c r="AT190" s="163">
        <f t="shared" si="88"/>
        <v>0</v>
      </c>
      <c r="AU190" s="163">
        <f t="shared" si="89"/>
        <v>25.84269985951293</v>
      </c>
      <c r="AV190" s="163">
        <f t="shared" si="113"/>
        <v>3.0088974286156316</v>
      </c>
      <c r="AW190" s="163">
        <f t="shared" si="90"/>
        <v>0.27151797470186539</v>
      </c>
      <c r="AX190" s="163">
        <f t="shared" si="91"/>
        <v>0</v>
      </c>
      <c r="AY190" s="164">
        <f t="shared" si="114"/>
        <v>1050.6563275180411</v>
      </c>
      <c r="AZ190" s="164">
        <f>IF($E190="","",IF(OR(AND($D190=Input!$C$6,$C190=12),$AN190=1),0,-AS191+AT191+AU191-AV191-AW191-AX191+AZ191))</f>
        <v>1050.6563794723529</v>
      </c>
      <c r="BA190" s="154">
        <f t="shared" si="92"/>
        <v>5.1954311857116409E-5</v>
      </c>
      <c r="BC190" s="147">
        <f t="shared" si="115"/>
        <v>0.50341919982643246</v>
      </c>
      <c r="BD190" s="164">
        <f>IF(AND($C189=12,$D189=Input!$C$6),0,IF($E190="","",AT190+(AU190+BD191)/(1+$AK190)*MIN((1-AM190-AN190),1)))</f>
        <v>1851.5505010318934</v>
      </c>
      <c r="BE190" s="164">
        <f t="shared" si="93"/>
        <v>932.10607166770592</v>
      </c>
      <c r="BF190" s="164">
        <f t="shared" si="116"/>
        <v>1050.6563794723529</v>
      </c>
      <c r="BG190" s="164">
        <f t="shared" si="94"/>
        <v>528.9205938465085</v>
      </c>
      <c r="BH190" s="152"/>
      <c r="BI190" s="162">
        <f t="shared" si="95"/>
        <v>793.37015943794495</v>
      </c>
      <c r="BJ190" s="150">
        <f t="shared" si="96"/>
        <v>0</v>
      </c>
      <c r="BK190" s="163">
        <f t="shared" si="120"/>
        <v>0</v>
      </c>
      <c r="BL190" s="163">
        <f t="shared" si="97"/>
        <v>23.156856736161746</v>
      </c>
      <c r="BM190" s="163">
        <f t="shared" si="121"/>
        <v>2.5021674733726744</v>
      </c>
      <c r="BN190" s="163">
        <f t="shared" si="98"/>
        <v>0.17897807381332789</v>
      </c>
      <c r="BO190" s="163">
        <f t="shared" si="99"/>
        <v>0</v>
      </c>
      <c r="BP190" s="164">
        <f t="shared" si="122"/>
        <v>772.89444824896918</v>
      </c>
      <c r="BQ190" s="164">
        <f>IF($E190="","",IF(AND($D190=Input!$C$6,$C190=12),0,-BJ191+BK191+BL191-BM191-BN191-BO191+BQ191))</f>
        <v>772.89450745634122</v>
      </c>
      <c r="BR190" s="161">
        <f t="shared" si="100"/>
        <v>0</v>
      </c>
      <c r="BT190" s="147">
        <f t="shared" si="101"/>
        <v>0.50341919982643246</v>
      </c>
      <c r="BU190" s="164">
        <f>IF(AND($C189=12,$D189=Input!$C$6),0,IF($E190="","",BK190+(BL190+BU191)/(1+$AK190)*MIN((1-T190-U190),1)))</f>
        <v>5024.2872787277565</v>
      </c>
      <c r="BV190" s="164">
        <f t="shared" si="102"/>
        <v>2529.3226815552512</v>
      </c>
      <c r="BW190" s="164">
        <f t="shared" si="103"/>
        <v>772.89450745634122</v>
      </c>
      <c r="BX190" s="164">
        <f t="shared" si="104"/>
        <v>389.08993449391591</v>
      </c>
    </row>
    <row r="191" spans="1:76" s="150" customFormat="1" x14ac:dyDescent="0.25">
      <c r="A191" s="150">
        <f t="shared" si="117"/>
        <v>187</v>
      </c>
      <c r="B191" s="150">
        <f t="shared" si="118"/>
        <v>16</v>
      </c>
      <c r="C191" s="150">
        <f t="shared" si="119"/>
        <v>7</v>
      </c>
      <c r="D191" s="150">
        <f>IF(E191="","",Input!$C$4+B191-1)</f>
        <v>60</v>
      </c>
      <c r="E191" s="150">
        <f>IF(OR(AND(C190=12,D190=Input!$C$6),E190=""),"",1)</f>
        <v>1</v>
      </c>
      <c r="F191" s="150">
        <f>IF(E191="","",Input!$C$8+B191-1)</f>
        <v>2033</v>
      </c>
      <c r="G191" s="151">
        <f>IF(E191="","",MAX(0,Input!$C$9-B191))</f>
        <v>4</v>
      </c>
      <c r="H191" s="152">
        <f>IF(E191="","",Input!$C$3)</f>
        <v>100000</v>
      </c>
      <c r="I191" s="153">
        <f>IF(E191="","",HLOOKUP($B191,Input!$C$13:$BT$14,2))</f>
        <v>2.2999999999999998</v>
      </c>
      <c r="J191" s="154"/>
      <c r="K191" s="155">
        <f>IF($E191="","",INDEX(Input!$C$16:$CP$16,1,$B191))</f>
        <v>2.409E-2</v>
      </c>
      <c r="L191" s="155">
        <f>IF($E191="","",Input!$C$37)</f>
        <v>1.4999999999999999E-2</v>
      </c>
      <c r="M191" s="155">
        <f t="shared" si="105"/>
        <v>3.909E-2</v>
      </c>
      <c r="N191" s="155">
        <f t="shared" si="106"/>
        <v>3.2005550505740388E-3</v>
      </c>
      <c r="O191" s="147">
        <f>IF($E191="","",MIN(VLOOKUP(IF($B191&lt;=Input!$C$7,$B191,26),'Mortality Tables'!$A$41:$CW$67,IF($B191&lt;=Input!$C$7+1,Input!$C$4+2,$D191-Input!$C$7+2),0)*IF(B191&gt;20,Input!$C$22,1)/1000,1))</f>
        <v>2.9920000000000003E-3</v>
      </c>
      <c r="P191" s="147">
        <f>IF($E191="","",MIN(VLOOKUP(IF($B191&lt;=Input!$C$7,$B191,26),'Mortality Tables'!$A$12:$CW$37,IF($B191&lt;=Input!$C$7+1,Input!$C$4+2,$D191-Input!$C$7+2),0)*IF(B191&gt;20,Input!$C$22,1)/1000,1))</f>
        <v>3.7400000000000003E-3</v>
      </c>
      <c r="Q191" s="155">
        <f>IF($E191="","",Input!$C$21)</f>
        <v>5.0000000000000001E-3</v>
      </c>
      <c r="R191" s="159">
        <f>IF($E191="","",(1-Q191)^($F191-Input!$C$20))</f>
        <v>0.92756896881832807</v>
      </c>
      <c r="S191" s="147">
        <f t="shared" si="82"/>
        <v>2.7752863547044378E-3</v>
      </c>
      <c r="T191" s="147">
        <f t="shared" si="83"/>
        <v>2.3156856736161746E-4</v>
      </c>
      <c r="U191" s="160">
        <f>IF($E191="","",IF($C191=12,INDEX(Input!$C$15:$CP$15,1,$B191),0))</f>
        <v>0</v>
      </c>
      <c r="V191" s="150">
        <f>IF(E191="","",IF(C191=1,IF($B191=1,Input!$C$33,Input!$C$34),0))</f>
        <v>0</v>
      </c>
      <c r="W191" s="156">
        <f>IF($E191="","",Input!$C$35)</f>
        <v>0.02</v>
      </c>
      <c r="X191" s="156">
        <f t="shared" si="84"/>
        <v>1.3458683383241299</v>
      </c>
      <c r="Y191" s="154"/>
      <c r="Z191" s="147">
        <f>IF($E191="","",VLOOKUP($D191,'Mortality Margins &amp; Grading'!$AB$5:$AF$125,3,0)*IF(Summary!$D$25="Included Margin",IF(AND($B191&gt;Input!$C$9,Summary!$D$31&lt;&gt;"Included Margin"),0,1),0))</f>
        <v>3.5000000000000003E-2</v>
      </c>
      <c r="AA191" s="147">
        <f>IF($E191="","",VLOOKUP($D191,'Mortality Margins &amp; Grading'!$AB$5:$AF$125,5,0)*IF(Summary!$D$25="Included Margin",IF(AND($B191&gt;Input!$C$9,Summary!$D$31&lt;&gt;"Included Margin"),0,1),0))</f>
        <v>0.182</v>
      </c>
      <c r="AB191" s="147">
        <f>IF($E191="","",IF(AND($B191&gt;Input!$C$9,Summary!$D$31&lt;&gt;"Included Margin"),1,IF(Summary!$D$25="Included Margin",VLOOKUP($B191,'Mortality Margins &amp; Grading'!$AI$5:$AR$125,MATCH('Mortality Margins &amp; Grading'!$AQ$4,'Mortality Margins &amp; Grading'!$AI$4:$AR$4,0),0),1)))</f>
        <v>1</v>
      </c>
      <c r="AC191" s="154"/>
      <c r="AD191" s="158">
        <f>IF(E191="","",Input!$C$48*IF(Summary!$D$30="Included Margin",IF(AND($B191&gt;Input!$C$9,Summary!$D$31&lt;&gt;"Included Margin"),0,1),0))</f>
        <v>-4.4999999999999997E-3</v>
      </c>
      <c r="AE191" s="159">
        <f>IF(E191="","",IF(Summary!$D$26="Included Margin",IF(AND($B191&gt;Input!$C$9,Summary!$D$31&lt;&gt;"Included Margin"),1,1/$R191),1))</f>
        <v>1.0780869494523357</v>
      </c>
      <c r="AF191" s="160">
        <f>IF(E191="","",IF(AND($B191&gt;=Input!$C$9,$C191=12,Summary!$D$31="Included Margin",$U191&gt;0),1/U191-1,IF($B191&gt;=Input!$C$9,0,Input!$C$45*IF(Summary!$D$27="Included Margin",1,0))))</f>
        <v>-0.1</v>
      </c>
      <c r="AG191" s="160">
        <f>IF(E191="","",Input!$C$46*IF(Summary!$D$28="Included Margin",IF(AND($B191&gt;Input!$C$9,Summary!$D$31&lt;&gt;"Included Margin"),0,1),0))</f>
        <v>0.02</v>
      </c>
      <c r="AH191" s="158">
        <f>IF(E191="","",Input!$C$47*IF(Summary!$D$29="Included Margin",IF(AND($B191&gt;Input!$C$9,Summary!$D$31&lt;&gt;"Included Margin"),0,1),0))</f>
        <v>2.5000000000000001E-3</v>
      </c>
      <c r="AI191" s="154"/>
      <c r="AJ191" s="158">
        <f t="shared" si="107"/>
        <v>3.4590000000000003E-2</v>
      </c>
      <c r="AK191" s="155">
        <f t="shared" si="108"/>
        <v>2.8377866625948212E-3</v>
      </c>
      <c r="AL191" s="147">
        <f t="shared" si="109"/>
        <v>3.0967200000000007E-3</v>
      </c>
      <c r="AM191" s="147">
        <f t="shared" si="85"/>
        <v>2.584269985951293E-4</v>
      </c>
      <c r="AN191" s="160">
        <f t="shared" si="110"/>
        <v>0</v>
      </c>
      <c r="AO191" s="161">
        <f t="shared" si="111"/>
        <v>0</v>
      </c>
      <c r="AP191" s="156">
        <f t="shared" si="86"/>
        <v>1.3962068043527858</v>
      </c>
      <c r="AQ191" s="152"/>
      <c r="AR191" s="162">
        <f t="shared" si="87"/>
        <v>1050.6563275180411</v>
      </c>
      <c r="AS191" s="150">
        <f t="shared" si="112"/>
        <v>0</v>
      </c>
      <c r="AT191" s="163">
        <f t="shared" si="88"/>
        <v>0</v>
      </c>
      <c r="AU191" s="163">
        <f t="shared" si="89"/>
        <v>25.84269985951293</v>
      </c>
      <c r="AV191" s="163">
        <f t="shared" si="113"/>
        <v>2.9448704787081699</v>
      </c>
      <c r="AW191" s="163">
        <f t="shared" si="90"/>
        <v>0.26566921347809891</v>
      </c>
      <c r="AX191" s="163">
        <f t="shared" si="91"/>
        <v>0</v>
      </c>
      <c r="AY191" s="164">
        <f t="shared" si="114"/>
        <v>1028.0241673507144</v>
      </c>
      <c r="AZ191" s="164">
        <f>IF($E191="","",IF(OR(AND($D191=Input!$C$6,$C191=12),$AN191=1),0,-AS192+AT192+AU192-AV192-AW192-AX192+AZ192))</f>
        <v>1028.0242193050262</v>
      </c>
      <c r="BA191" s="154">
        <f t="shared" si="92"/>
        <v>5.1954311857116409E-5</v>
      </c>
      <c r="BC191" s="147">
        <f t="shared" si="115"/>
        <v>0.50330262376354629</v>
      </c>
      <c r="BD191" s="164">
        <f>IF(AND($C190=12,$D190=Input!$C$6),0,IF($E191="","",AT191+(AU191+BD192)/(1+$AK191)*MIN((1-AM191-AN191),1)))</f>
        <v>1831.4420790202719</v>
      </c>
      <c r="BE191" s="164">
        <f t="shared" si="93"/>
        <v>921.76960364186687</v>
      </c>
      <c r="BF191" s="164">
        <f t="shared" si="116"/>
        <v>1028.0242193050262</v>
      </c>
      <c r="BG191" s="164">
        <f t="shared" si="94"/>
        <v>517.40728686869102</v>
      </c>
      <c r="BH191" s="152"/>
      <c r="BI191" s="162">
        <f t="shared" si="95"/>
        <v>772.89444824896918</v>
      </c>
      <c r="BJ191" s="150">
        <f t="shared" si="96"/>
        <v>0</v>
      </c>
      <c r="BK191" s="163">
        <f t="shared" si="120"/>
        <v>0</v>
      </c>
      <c r="BL191" s="163">
        <f t="shared" si="97"/>
        <v>23.156856736161746</v>
      </c>
      <c r="BM191" s="163">
        <f t="shared" si="121"/>
        <v>2.4366338325127024</v>
      </c>
      <c r="BN191" s="163">
        <f t="shared" si="98"/>
        <v>0.17422026541738458</v>
      </c>
      <c r="BO191" s="163">
        <f t="shared" si="99"/>
        <v>0</v>
      </c>
      <c r="BP191" s="164">
        <f t="shared" si="122"/>
        <v>752.34844561073749</v>
      </c>
      <c r="BQ191" s="164">
        <f>IF($E191="","",IF(AND($D191=Input!$C$6,$C191=12),0,-BJ192+BK192+BL192-BM192-BN192-BO192+BQ192))</f>
        <v>752.34850481810952</v>
      </c>
      <c r="BR191" s="161">
        <f t="shared" si="100"/>
        <v>0</v>
      </c>
      <c r="BT191" s="147">
        <f t="shared" si="101"/>
        <v>0.50330262376354629</v>
      </c>
      <c r="BU191" s="164">
        <f>IF(AND($C190=12,$D190=Input!$C$6),0,IF($E191="","",BK191+(BL191+BU192)/(1+$AK191)*MIN((1-T191-U191),1)))</f>
        <v>5016.555316348049</v>
      </c>
      <c r="BV191" s="164">
        <f t="shared" si="102"/>
        <v>2524.8454529729402</v>
      </c>
      <c r="BW191" s="164">
        <f t="shared" si="103"/>
        <v>752.34850481810952</v>
      </c>
      <c r="BX191" s="164">
        <f t="shared" si="104"/>
        <v>378.65897645953555</v>
      </c>
    </row>
    <row r="192" spans="1:76" s="150" customFormat="1" x14ac:dyDescent="0.25">
      <c r="A192" s="150">
        <f t="shared" si="117"/>
        <v>188</v>
      </c>
      <c r="B192" s="150">
        <f t="shared" si="118"/>
        <v>16</v>
      </c>
      <c r="C192" s="150">
        <f t="shared" si="119"/>
        <v>8</v>
      </c>
      <c r="D192" s="150">
        <f>IF(E192="","",Input!$C$4+B192-1)</f>
        <v>60</v>
      </c>
      <c r="E192" s="150">
        <f>IF(OR(AND(C191=12,D191=Input!$C$6),E191=""),"",1)</f>
        <v>1</v>
      </c>
      <c r="F192" s="150">
        <f>IF(E192="","",Input!$C$8+B192-1)</f>
        <v>2033</v>
      </c>
      <c r="G192" s="151">
        <f>IF(E192="","",MAX(0,Input!$C$9-B192))</f>
        <v>4</v>
      </c>
      <c r="H192" s="152">
        <f>IF(E192="","",Input!$C$3)</f>
        <v>100000</v>
      </c>
      <c r="I192" s="153">
        <f>IF(E192="","",HLOOKUP($B192,Input!$C$13:$BT$14,2))</f>
        <v>2.2999999999999998</v>
      </c>
      <c r="J192" s="154"/>
      <c r="K192" s="155">
        <f>IF($E192="","",INDEX(Input!$C$16:$CP$16,1,$B192))</f>
        <v>2.409E-2</v>
      </c>
      <c r="L192" s="155">
        <f>IF($E192="","",Input!$C$37)</f>
        <v>1.4999999999999999E-2</v>
      </c>
      <c r="M192" s="155">
        <f t="shared" si="105"/>
        <v>3.909E-2</v>
      </c>
      <c r="N192" s="155">
        <f t="shared" si="106"/>
        <v>3.2005550505740388E-3</v>
      </c>
      <c r="O192" s="147">
        <f>IF($E192="","",MIN(VLOOKUP(IF($B192&lt;=Input!$C$7,$B192,26),'Mortality Tables'!$A$41:$CW$67,IF($B192&lt;=Input!$C$7+1,Input!$C$4+2,$D192-Input!$C$7+2),0)*IF(B192&gt;20,Input!$C$22,1)/1000,1))</f>
        <v>2.9920000000000003E-3</v>
      </c>
      <c r="P192" s="147">
        <f>IF($E192="","",MIN(VLOOKUP(IF($B192&lt;=Input!$C$7,$B192,26),'Mortality Tables'!$A$12:$CW$37,IF($B192&lt;=Input!$C$7+1,Input!$C$4+2,$D192-Input!$C$7+2),0)*IF(B192&gt;20,Input!$C$22,1)/1000,1))</f>
        <v>3.7400000000000003E-3</v>
      </c>
      <c r="Q192" s="155">
        <f>IF($E192="","",Input!$C$21)</f>
        <v>5.0000000000000001E-3</v>
      </c>
      <c r="R192" s="159">
        <f>IF($E192="","",(1-Q192)^($F192-Input!$C$20))</f>
        <v>0.92756896881832807</v>
      </c>
      <c r="S192" s="147">
        <f t="shared" si="82"/>
        <v>2.7752863547044378E-3</v>
      </c>
      <c r="T192" s="147">
        <f t="shared" si="83"/>
        <v>2.3156856736161746E-4</v>
      </c>
      <c r="U192" s="160">
        <f>IF($E192="","",IF($C192=12,INDEX(Input!$C$15:$CP$15,1,$B192),0))</f>
        <v>0</v>
      </c>
      <c r="V192" s="150">
        <f>IF(E192="","",IF(C192=1,IF($B192=1,Input!$C$33,Input!$C$34),0))</f>
        <v>0</v>
      </c>
      <c r="W192" s="156">
        <f>IF($E192="","",Input!$C$35)</f>
        <v>0.02</v>
      </c>
      <c r="X192" s="156">
        <f t="shared" si="84"/>
        <v>1.3458683383241299</v>
      </c>
      <c r="Y192" s="154"/>
      <c r="Z192" s="147">
        <f>IF($E192="","",VLOOKUP($D192,'Mortality Margins &amp; Grading'!$AB$5:$AF$125,3,0)*IF(Summary!$D$25="Included Margin",IF(AND($B192&gt;Input!$C$9,Summary!$D$31&lt;&gt;"Included Margin"),0,1),0))</f>
        <v>3.5000000000000003E-2</v>
      </c>
      <c r="AA192" s="147">
        <f>IF($E192="","",VLOOKUP($D192,'Mortality Margins &amp; Grading'!$AB$5:$AF$125,5,0)*IF(Summary!$D$25="Included Margin",IF(AND($B192&gt;Input!$C$9,Summary!$D$31&lt;&gt;"Included Margin"),0,1),0))</f>
        <v>0.182</v>
      </c>
      <c r="AB192" s="147">
        <f>IF($E192="","",IF(AND($B192&gt;Input!$C$9,Summary!$D$31&lt;&gt;"Included Margin"),1,IF(Summary!$D$25="Included Margin",VLOOKUP($B192,'Mortality Margins &amp; Grading'!$AI$5:$AR$125,MATCH('Mortality Margins &amp; Grading'!$AQ$4,'Mortality Margins &amp; Grading'!$AI$4:$AR$4,0),0),1)))</f>
        <v>1</v>
      </c>
      <c r="AC192" s="154"/>
      <c r="AD192" s="158">
        <f>IF(E192="","",Input!$C$48*IF(Summary!$D$30="Included Margin",IF(AND($B192&gt;Input!$C$9,Summary!$D$31&lt;&gt;"Included Margin"),0,1),0))</f>
        <v>-4.4999999999999997E-3</v>
      </c>
      <c r="AE192" s="159">
        <f>IF(E192="","",IF(Summary!$D$26="Included Margin",IF(AND($B192&gt;Input!$C$9,Summary!$D$31&lt;&gt;"Included Margin"),1,1/$R192),1))</f>
        <v>1.0780869494523357</v>
      </c>
      <c r="AF192" s="160">
        <f>IF(E192="","",IF(AND($B192&gt;=Input!$C$9,$C192=12,Summary!$D$31="Included Margin",$U192&gt;0),1/U192-1,IF($B192&gt;=Input!$C$9,0,Input!$C$45*IF(Summary!$D$27="Included Margin",1,0))))</f>
        <v>-0.1</v>
      </c>
      <c r="AG192" s="160">
        <f>IF(E192="","",Input!$C$46*IF(Summary!$D$28="Included Margin",IF(AND($B192&gt;Input!$C$9,Summary!$D$31&lt;&gt;"Included Margin"),0,1),0))</f>
        <v>0.02</v>
      </c>
      <c r="AH192" s="158">
        <f>IF(E192="","",Input!$C$47*IF(Summary!$D$29="Included Margin",IF(AND($B192&gt;Input!$C$9,Summary!$D$31&lt;&gt;"Included Margin"),0,1),0))</f>
        <v>2.5000000000000001E-3</v>
      </c>
      <c r="AI192" s="154"/>
      <c r="AJ192" s="158">
        <f t="shared" si="107"/>
        <v>3.4590000000000003E-2</v>
      </c>
      <c r="AK192" s="155">
        <f t="shared" si="108"/>
        <v>2.8377866625948212E-3</v>
      </c>
      <c r="AL192" s="147">
        <f t="shared" si="109"/>
        <v>3.0967200000000007E-3</v>
      </c>
      <c r="AM192" s="147">
        <f t="shared" si="85"/>
        <v>2.584269985951293E-4</v>
      </c>
      <c r="AN192" s="160">
        <f t="shared" si="110"/>
        <v>0</v>
      </c>
      <c r="AO192" s="161">
        <f t="shared" si="111"/>
        <v>0</v>
      </c>
      <c r="AP192" s="156">
        <f t="shared" si="86"/>
        <v>1.3962068043527858</v>
      </c>
      <c r="AQ192" s="152"/>
      <c r="AR192" s="162">
        <f t="shared" si="87"/>
        <v>1028.0241673507142</v>
      </c>
      <c r="AS192" s="150">
        <f t="shared" si="112"/>
        <v>0</v>
      </c>
      <c r="AT192" s="163">
        <f t="shared" si="88"/>
        <v>0</v>
      </c>
      <c r="AU192" s="163">
        <f t="shared" si="89"/>
        <v>25.84269985951293</v>
      </c>
      <c r="AV192" s="163">
        <f t="shared" si="113"/>
        <v>2.8806452364396193</v>
      </c>
      <c r="AW192" s="163">
        <f t="shared" si="90"/>
        <v>0.25980233855886242</v>
      </c>
      <c r="AX192" s="163">
        <f t="shared" si="91"/>
        <v>0</v>
      </c>
      <c r="AY192" s="164">
        <f t="shared" si="114"/>
        <v>1005.3219150661997</v>
      </c>
      <c r="AZ192" s="164">
        <f>IF($E192="","",IF(OR(AND($D192=Input!$C$6,$C192=12),$AN192=1),0,-AS193+AT193+AU193-AV193-AW193-AX193+AZ193))</f>
        <v>1005.3219670205117</v>
      </c>
      <c r="BA192" s="154">
        <f t="shared" si="92"/>
        <v>5.1954311970803246E-5</v>
      </c>
      <c r="BC192" s="147">
        <f t="shared" si="115"/>
        <v>0.50318607469601206</v>
      </c>
      <c r="BD192" s="164">
        <f>IF(AND($C191=12,$D191=Input!$C$6),0,IF($E192="","",AT192+(AU192+BD193)/(1+$AK192)*MIN((1-AM192-AN192),1)))</f>
        <v>1811.2713809438965</v>
      </c>
      <c r="BE192" s="164">
        <f t="shared" si="93"/>
        <v>911.40653638638446</v>
      </c>
      <c r="BF192" s="164">
        <f t="shared" si="116"/>
        <v>1005.3219670205117</v>
      </c>
      <c r="BG192" s="164">
        <f t="shared" si="94"/>
        <v>505.86401439072495</v>
      </c>
      <c r="BH192" s="152"/>
      <c r="BI192" s="162">
        <f t="shared" si="95"/>
        <v>752.3484456107376</v>
      </c>
      <c r="BJ192" s="150">
        <f t="shared" si="96"/>
        <v>0</v>
      </c>
      <c r="BK192" s="163">
        <f t="shared" si="120"/>
        <v>0</v>
      </c>
      <c r="BL192" s="163">
        <f t="shared" si="97"/>
        <v>23.156856736161746</v>
      </c>
      <c r="BM192" s="163">
        <f t="shared" si="121"/>
        <v>2.3708752199998031</v>
      </c>
      <c r="BN192" s="163">
        <f t="shared" si="98"/>
        <v>0.16944612385262742</v>
      </c>
      <c r="BO192" s="163">
        <f t="shared" si="99"/>
        <v>0</v>
      </c>
      <c r="BP192" s="164">
        <f t="shared" si="122"/>
        <v>731.7319102184282</v>
      </c>
      <c r="BQ192" s="164">
        <f>IF($E192="","",IF(AND($D192=Input!$C$6,$C192=12),0,-BJ193+BK193+BL193-BM193-BN193-BO193+BQ193))</f>
        <v>731.73196942580023</v>
      </c>
      <c r="BR192" s="161">
        <f t="shared" si="100"/>
        <v>0</v>
      </c>
      <c r="BT192" s="147">
        <f t="shared" si="101"/>
        <v>0.50318607469601206</v>
      </c>
      <c r="BU192" s="164">
        <f>IF(AND($C191=12,$D191=Input!$C$6),0,IF($E192="","",BK192+(BL192+BU193)/(1+$AK192)*MIN((1-T192-U192),1)))</f>
        <v>5008.7996163322832</v>
      </c>
      <c r="BV192" s="164">
        <f t="shared" si="102"/>
        <v>2520.358217881133</v>
      </c>
      <c r="BW192" s="164">
        <f t="shared" si="103"/>
        <v>731.73196942580023</v>
      </c>
      <c r="BX192" s="164">
        <f t="shared" si="104"/>
        <v>368.19733742495072</v>
      </c>
    </row>
    <row r="193" spans="1:76" s="150" customFormat="1" x14ac:dyDescent="0.25">
      <c r="A193" s="150">
        <f t="shared" si="117"/>
        <v>189</v>
      </c>
      <c r="B193" s="150">
        <f t="shared" si="118"/>
        <v>16</v>
      </c>
      <c r="C193" s="150">
        <f t="shared" si="119"/>
        <v>9</v>
      </c>
      <c r="D193" s="150">
        <f>IF(E193="","",Input!$C$4+B193-1)</f>
        <v>60</v>
      </c>
      <c r="E193" s="150">
        <f>IF(OR(AND(C192=12,D192=Input!$C$6),E192=""),"",1)</f>
        <v>1</v>
      </c>
      <c r="F193" s="150">
        <f>IF(E193="","",Input!$C$8+B193-1)</f>
        <v>2033</v>
      </c>
      <c r="G193" s="151">
        <f>IF(E193="","",MAX(0,Input!$C$9-B193))</f>
        <v>4</v>
      </c>
      <c r="H193" s="152">
        <f>IF(E193="","",Input!$C$3)</f>
        <v>100000</v>
      </c>
      <c r="I193" s="153">
        <f>IF(E193="","",HLOOKUP($B193,Input!$C$13:$BT$14,2))</f>
        <v>2.2999999999999998</v>
      </c>
      <c r="J193" s="154"/>
      <c r="K193" s="155">
        <f>IF($E193="","",INDEX(Input!$C$16:$CP$16,1,$B193))</f>
        <v>2.409E-2</v>
      </c>
      <c r="L193" s="155">
        <f>IF($E193="","",Input!$C$37)</f>
        <v>1.4999999999999999E-2</v>
      </c>
      <c r="M193" s="155">
        <f t="shared" si="105"/>
        <v>3.909E-2</v>
      </c>
      <c r="N193" s="155">
        <f t="shared" si="106"/>
        <v>3.2005550505740388E-3</v>
      </c>
      <c r="O193" s="147">
        <f>IF($E193="","",MIN(VLOOKUP(IF($B193&lt;=Input!$C$7,$B193,26),'Mortality Tables'!$A$41:$CW$67,IF($B193&lt;=Input!$C$7+1,Input!$C$4+2,$D193-Input!$C$7+2),0)*IF(B193&gt;20,Input!$C$22,1)/1000,1))</f>
        <v>2.9920000000000003E-3</v>
      </c>
      <c r="P193" s="147">
        <f>IF($E193="","",MIN(VLOOKUP(IF($B193&lt;=Input!$C$7,$B193,26),'Mortality Tables'!$A$12:$CW$37,IF($B193&lt;=Input!$C$7+1,Input!$C$4+2,$D193-Input!$C$7+2),0)*IF(B193&gt;20,Input!$C$22,1)/1000,1))</f>
        <v>3.7400000000000003E-3</v>
      </c>
      <c r="Q193" s="155">
        <f>IF($E193="","",Input!$C$21)</f>
        <v>5.0000000000000001E-3</v>
      </c>
      <c r="R193" s="159">
        <f>IF($E193="","",(1-Q193)^($F193-Input!$C$20))</f>
        <v>0.92756896881832807</v>
      </c>
      <c r="S193" s="147">
        <f t="shared" si="82"/>
        <v>2.7752863547044378E-3</v>
      </c>
      <c r="T193" s="147">
        <f t="shared" si="83"/>
        <v>2.3156856736161746E-4</v>
      </c>
      <c r="U193" s="160">
        <f>IF($E193="","",IF($C193=12,INDEX(Input!$C$15:$CP$15,1,$B193),0))</f>
        <v>0</v>
      </c>
      <c r="V193" s="150">
        <f>IF(E193="","",IF(C193=1,IF($B193=1,Input!$C$33,Input!$C$34),0))</f>
        <v>0</v>
      </c>
      <c r="W193" s="156">
        <f>IF($E193="","",Input!$C$35)</f>
        <v>0.02</v>
      </c>
      <c r="X193" s="156">
        <f t="shared" si="84"/>
        <v>1.3458683383241299</v>
      </c>
      <c r="Y193" s="154"/>
      <c r="Z193" s="147">
        <f>IF($E193="","",VLOOKUP($D193,'Mortality Margins &amp; Grading'!$AB$5:$AF$125,3,0)*IF(Summary!$D$25="Included Margin",IF(AND($B193&gt;Input!$C$9,Summary!$D$31&lt;&gt;"Included Margin"),0,1),0))</f>
        <v>3.5000000000000003E-2</v>
      </c>
      <c r="AA193" s="147">
        <f>IF($E193="","",VLOOKUP($D193,'Mortality Margins &amp; Grading'!$AB$5:$AF$125,5,0)*IF(Summary!$D$25="Included Margin",IF(AND($B193&gt;Input!$C$9,Summary!$D$31&lt;&gt;"Included Margin"),0,1),0))</f>
        <v>0.182</v>
      </c>
      <c r="AB193" s="147">
        <f>IF($E193="","",IF(AND($B193&gt;Input!$C$9,Summary!$D$31&lt;&gt;"Included Margin"),1,IF(Summary!$D$25="Included Margin",VLOOKUP($B193,'Mortality Margins &amp; Grading'!$AI$5:$AR$125,MATCH('Mortality Margins &amp; Grading'!$AQ$4,'Mortality Margins &amp; Grading'!$AI$4:$AR$4,0),0),1)))</f>
        <v>1</v>
      </c>
      <c r="AC193" s="154"/>
      <c r="AD193" s="158">
        <f>IF(E193="","",Input!$C$48*IF(Summary!$D$30="Included Margin",IF(AND($B193&gt;Input!$C$9,Summary!$D$31&lt;&gt;"Included Margin"),0,1),0))</f>
        <v>-4.4999999999999997E-3</v>
      </c>
      <c r="AE193" s="159">
        <f>IF(E193="","",IF(Summary!$D$26="Included Margin",IF(AND($B193&gt;Input!$C$9,Summary!$D$31&lt;&gt;"Included Margin"),1,1/$R193),1))</f>
        <v>1.0780869494523357</v>
      </c>
      <c r="AF193" s="160">
        <f>IF(E193="","",IF(AND($B193&gt;=Input!$C$9,$C193=12,Summary!$D$31="Included Margin",$U193&gt;0),1/U193-1,IF($B193&gt;=Input!$C$9,0,Input!$C$45*IF(Summary!$D$27="Included Margin",1,0))))</f>
        <v>-0.1</v>
      </c>
      <c r="AG193" s="160">
        <f>IF(E193="","",Input!$C$46*IF(Summary!$D$28="Included Margin",IF(AND($B193&gt;Input!$C$9,Summary!$D$31&lt;&gt;"Included Margin"),0,1),0))</f>
        <v>0.02</v>
      </c>
      <c r="AH193" s="158">
        <f>IF(E193="","",Input!$C$47*IF(Summary!$D$29="Included Margin",IF(AND($B193&gt;Input!$C$9,Summary!$D$31&lt;&gt;"Included Margin"),0,1),0))</f>
        <v>2.5000000000000001E-3</v>
      </c>
      <c r="AI193" s="154"/>
      <c r="AJ193" s="158">
        <f t="shared" si="107"/>
        <v>3.4590000000000003E-2</v>
      </c>
      <c r="AK193" s="155">
        <f t="shared" si="108"/>
        <v>2.8377866625948212E-3</v>
      </c>
      <c r="AL193" s="147">
        <f t="shared" si="109"/>
        <v>3.0967200000000007E-3</v>
      </c>
      <c r="AM193" s="147">
        <f t="shared" si="85"/>
        <v>2.584269985951293E-4</v>
      </c>
      <c r="AN193" s="160">
        <f t="shared" si="110"/>
        <v>0</v>
      </c>
      <c r="AO193" s="161">
        <f t="shared" si="111"/>
        <v>0</v>
      </c>
      <c r="AP193" s="156">
        <f t="shared" si="86"/>
        <v>1.3962068043527858</v>
      </c>
      <c r="AQ193" s="152"/>
      <c r="AR193" s="162">
        <f t="shared" si="87"/>
        <v>1005.3219150661996</v>
      </c>
      <c r="AS193" s="150">
        <f t="shared" si="112"/>
        <v>0</v>
      </c>
      <c r="AT193" s="163">
        <f t="shared" si="88"/>
        <v>0</v>
      </c>
      <c r="AU193" s="163">
        <f t="shared" si="89"/>
        <v>25.84269985951293</v>
      </c>
      <c r="AV193" s="163">
        <f t="shared" si="113"/>
        <v>2.8162210876957614</v>
      </c>
      <c r="AW193" s="163">
        <f t="shared" si="90"/>
        <v>0.25391729384578721</v>
      </c>
      <c r="AX193" s="163">
        <f t="shared" si="91"/>
        <v>0</v>
      </c>
      <c r="AY193" s="164">
        <f t="shared" si="114"/>
        <v>982.54935358822831</v>
      </c>
      <c r="AZ193" s="164">
        <f>IF($E193="","",IF(OR(AND($D193=Input!$C$6,$C193=12),$AN193=1),0,-AS194+AT194+AU194-AV194-AW194-AX194+AZ194))</f>
        <v>982.54940554254028</v>
      </c>
      <c r="BA193" s="154">
        <f t="shared" si="92"/>
        <v>5.1954311970803246E-5</v>
      </c>
      <c r="BC193" s="147">
        <f t="shared" si="115"/>
        <v>0.50306955261757835</v>
      </c>
      <c r="BD193" s="164">
        <f>IF(AND($C192=12,$D192=Input!$C$6),0,IF($E193="","",AT193+(AU193+BD194)/(1+$AK193)*MIN((1-AM193-AN193),1)))</f>
        <v>1791.038213932922</v>
      </c>
      <c r="BE193" s="164">
        <f t="shared" si="93"/>
        <v>901.01679300422165</v>
      </c>
      <c r="BF193" s="164">
        <f t="shared" si="116"/>
        <v>982.54940554254028</v>
      </c>
      <c r="BG193" s="164">
        <f t="shared" si="94"/>
        <v>494.29068987095332</v>
      </c>
      <c r="BH193" s="152"/>
      <c r="BI193" s="162">
        <f t="shared" si="95"/>
        <v>731.73191021842831</v>
      </c>
      <c r="BJ193" s="150">
        <f t="shared" si="96"/>
        <v>0</v>
      </c>
      <c r="BK193" s="163">
        <f t="shared" si="120"/>
        <v>0</v>
      </c>
      <c r="BL193" s="163">
        <f t="shared" si="97"/>
        <v>23.156856736161746</v>
      </c>
      <c r="BM193" s="163">
        <f t="shared" si="121"/>
        <v>2.304890863524609</v>
      </c>
      <c r="BN193" s="163">
        <f t="shared" si="98"/>
        <v>0.16465559304861788</v>
      </c>
      <c r="BO193" s="163">
        <f t="shared" si="99"/>
        <v>0</v>
      </c>
      <c r="BP193" s="164">
        <f t="shared" si="122"/>
        <v>711.04459993883972</v>
      </c>
      <c r="BQ193" s="164">
        <f>IF($E193="","",IF(AND($D193=Input!$C$6,$C193=12),0,-BJ194+BK194+BL194-BM194-BN194-BO194+BQ194))</f>
        <v>711.04465914621176</v>
      </c>
      <c r="BR193" s="161">
        <f t="shared" si="100"/>
        <v>0</v>
      </c>
      <c r="BT193" s="147">
        <f t="shared" si="101"/>
        <v>0.50306955261757835</v>
      </c>
      <c r="BU193" s="164">
        <f>IF(AND($C192=12,$D192=Input!$C$6),0,IF($E193="","",BK193+(BL193+BU194)/(1+$AK193)*MIN((1-T193-U193),1)))</f>
        <v>5001.0201058043458</v>
      </c>
      <c r="BV193" s="164">
        <f t="shared" si="102"/>
        <v>2515.8609472585067</v>
      </c>
      <c r="BW193" s="164">
        <f t="shared" si="103"/>
        <v>711.04465914621176</v>
      </c>
      <c r="BX193" s="164">
        <f t="shared" si="104"/>
        <v>357.70491856780325</v>
      </c>
    </row>
    <row r="194" spans="1:76" s="150" customFormat="1" x14ac:dyDescent="0.25">
      <c r="A194" s="150">
        <f t="shared" si="117"/>
        <v>190</v>
      </c>
      <c r="B194" s="150">
        <f t="shared" si="118"/>
        <v>16</v>
      </c>
      <c r="C194" s="150">
        <f t="shared" si="119"/>
        <v>10</v>
      </c>
      <c r="D194" s="150">
        <f>IF(E194="","",Input!$C$4+B194-1)</f>
        <v>60</v>
      </c>
      <c r="E194" s="150">
        <f>IF(OR(AND(C193=12,D193=Input!$C$6),E193=""),"",1)</f>
        <v>1</v>
      </c>
      <c r="F194" s="150">
        <f>IF(E194="","",Input!$C$8+B194-1)</f>
        <v>2033</v>
      </c>
      <c r="G194" s="151">
        <f>IF(E194="","",MAX(0,Input!$C$9-B194))</f>
        <v>4</v>
      </c>
      <c r="H194" s="152">
        <f>IF(E194="","",Input!$C$3)</f>
        <v>100000</v>
      </c>
      <c r="I194" s="153">
        <f>IF(E194="","",HLOOKUP($B194,Input!$C$13:$BT$14,2))</f>
        <v>2.2999999999999998</v>
      </c>
      <c r="J194" s="154"/>
      <c r="K194" s="155">
        <f>IF($E194="","",INDEX(Input!$C$16:$CP$16,1,$B194))</f>
        <v>2.409E-2</v>
      </c>
      <c r="L194" s="155">
        <f>IF($E194="","",Input!$C$37)</f>
        <v>1.4999999999999999E-2</v>
      </c>
      <c r="M194" s="155">
        <f t="shared" si="105"/>
        <v>3.909E-2</v>
      </c>
      <c r="N194" s="155">
        <f t="shared" si="106"/>
        <v>3.2005550505740388E-3</v>
      </c>
      <c r="O194" s="147">
        <f>IF($E194="","",MIN(VLOOKUP(IF($B194&lt;=Input!$C$7,$B194,26),'Mortality Tables'!$A$41:$CW$67,IF($B194&lt;=Input!$C$7+1,Input!$C$4+2,$D194-Input!$C$7+2),0)*IF(B194&gt;20,Input!$C$22,1)/1000,1))</f>
        <v>2.9920000000000003E-3</v>
      </c>
      <c r="P194" s="147">
        <f>IF($E194="","",MIN(VLOOKUP(IF($B194&lt;=Input!$C$7,$B194,26),'Mortality Tables'!$A$12:$CW$37,IF($B194&lt;=Input!$C$7+1,Input!$C$4+2,$D194-Input!$C$7+2),0)*IF(B194&gt;20,Input!$C$22,1)/1000,1))</f>
        <v>3.7400000000000003E-3</v>
      </c>
      <c r="Q194" s="155">
        <f>IF($E194="","",Input!$C$21)</f>
        <v>5.0000000000000001E-3</v>
      </c>
      <c r="R194" s="159">
        <f>IF($E194="","",(1-Q194)^($F194-Input!$C$20))</f>
        <v>0.92756896881832807</v>
      </c>
      <c r="S194" s="147">
        <f t="shared" si="82"/>
        <v>2.7752863547044378E-3</v>
      </c>
      <c r="T194" s="147">
        <f t="shared" si="83"/>
        <v>2.3156856736161746E-4</v>
      </c>
      <c r="U194" s="160">
        <f>IF($E194="","",IF($C194=12,INDEX(Input!$C$15:$CP$15,1,$B194),0))</f>
        <v>0</v>
      </c>
      <c r="V194" s="150">
        <f>IF(E194="","",IF(C194=1,IF($B194=1,Input!$C$33,Input!$C$34),0))</f>
        <v>0</v>
      </c>
      <c r="W194" s="156">
        <f>IF($E194="","",Input!$C$35)</f>
        <v>0.02</v>
      </c>
      <c r="X194" s="156">
        <f t="shared" si="84"/>
        <v>1.3458683383241299</v>
      </c>
      <c r="Y194" s="154"/>
      <c r="Z194" s="147">
        <f>IF($E194="","",VLOOKUP($D194,'Mortality Margins &amp; Grading'!$AB$5:$AF$125,3,0)*IF(Summary!$D$25="Included Margin",IF(AND($B194&gt;Input!$C$9,Summary!$D$31&lt;&gt;"Included Margin"),0,1),0))</f>
        <v>3.5000000000000003E-2</v>
      </c>
      <c r="AA194" s="147">
        <f>IF($E194="","",VLOOKUP($D194,'Mortality Margins &amp; Grading'!$AB$5:$AF$125,5,0)*IF(Summary!$D$25="Included Margin",IF(AND($B194&gt;Input!$C$9,Summary!$D$31&lt;&gt;"Included Margin"),0,1),0))</f>
        <v>0.182</v>
      </c>
      <c r="AB194" s="147">
        <f>IF($E194="","",IF(AND($B194&gt;Input!$C$9,Summary!$D$31&lt;&gt;"Included Margin"),1,IF(Summary!$D$25="Included Margin",VLOOKUP($B194,'Mortality Margins &amp; Grading'!$AI$5:$AR$125,MATCH('Mortality Margins &amp; Grading'!$AQ$4,'Mortality Margins &amp; Grading'!$AI$4:$AR$4,0),0),1)))</f>
        <v>1</v>
      </c>
      <c r="AC194" s="154"/>
      <c r="AD194" s="158">
        <f>IF(E194="","",Input!$C$48*IF(Summary!$D$30="Included Margin",IF(AND($B194&gt;Input!$C$9,Summary!$D$31&lt;&gt;"Included Margin"),0,1),0))</f>
        <v>-4.4999999999999997E-3</v>
      </c>
      <c r="AE194" s="159">
        <f>IF(E194="","",IF(Summary!$D$26="Included Margin",IF(AND($B194&gt;Input!$C$9,Summary!$D$31&lt;&gt;"Included Margin"),1,1/$R194),1))</f>
        <v>1.0780869494523357</v>
      </c>
      <c r="AF194" s="160">
        <f>IF(E194="","",IF(AND($B194&gt;=Input!$C$9,$C194=12,Summary!$D$31="Included Margin",$U194&gt;0),1/U194-1,IF($B194&gt;=Input!$C$9,0,Input!$C$45*IF(Summary!$D$27="Included Margin",1,0))))</f>
        <v>-0.1</v>
      </c>
      <c r="AG194" s="160">
        <f>IF(E194="","",Input!$C$46*IF(Summary!$D$28="Included Margin",IF(AND($B194&gt;Input!$C$9,Summary!$D$31&lt;&gt;"Included Margin"),0,1),0))</f>
        <v>0.02</v>
      </c>
      <c r="AH194" s="158">
        <f>IF(E194="","",Input!$C$47*IF(Summary!$D$29="Included Margin",IF(AND($B194&gt;Input!$C$9,Summary!$D$31&lt;&gt;"Included Margin"),0,1),0))</f>
        <v>2.5000000000000001E-3</v>
      </c>
      <c r="AI194" s="154"/>
      <c r="AJ194" s="158">
        <f t="shared" si="107"/>
        <v>3.4590000000000003E-2</v>
      </c>
      <c r="AK194" s="155">
        <f t="shared" si="108"/>
        <v>2.8377866625948212E-3</v>
      </c>
      <c r="AL194" s="147">
        <f t="shared" si="109"/>
        <v>3.0967200000000007E-3</v>
      </c>
      <c r="AM194" s="147">
        <f t="shared" si="85"/>
        <v>2.584269985951293E-4</v>
      </c>
      <c r="AN194" s="160">
        <f t="shared" si="110"/>
        <v>0</v>
      </c>
      <c r="AO194" s="161">
        <f t="shared" si="111"/>
        <v>0</v>
      </c>
      <c r="AP194" s="156">
        <f t="shared" si="86"/>
        <v>1.3962068043527858</v>
      </c>
      <c r="AQ194" s="152"/>
      <c r="AR194" s="162">
        <f t="shared" si="87"/>
        <v>982.54935358822831</v>
      </c>
      <c r="AS194" s="150">
        <f t="shared" si="112"/>
        <v>0</v>
      </c>
      <c r="AT194" s="163">
        <f t="shared" si="88"/>
        <v>0</v>
      </c>
      <c r="AU194" s="163">
        <f t="shared" si="89"/>
        <v>25.84269985951293</v>
      </c>
      <c r="AV194" s="163">
        <f t="shared" si="113"/>
        <v>2.751597416460454</v>
      </c>
      <c r="AW194" s="163">
        <f t="shared" si="90"/>
        <v>0.24801402306676712</v>
      </c>
      <c r="AX194" s="163">
        <f t="shared" si="91"/>
        <v>0</v>
      </c>
      <c r="AY194" s="164">
        <f t="shared" si="114"/>
        <v>959.70626516824257</v>
      </c>
      <c r="AZ194" s="164">
        <f>IF($E194="","",IF(OR(AND($D194=Input!$C$6,$C194=12),$AN194=1),0,-AS195+AT195+AU195-AV195-AW195-AX195+AZ195))</f>
        <v>959.70631712255454</v>
      </c>
      <c r="BA194" s="154">
        <f t="shared" si="92"/>
        <v>5.1954311970803246E-5</v>
      </c>
      <c r="BC194" s="147">
        <f t="shared" si="115"/>
        <v>0.50295305752199548</v>
      </c>
      <c r="BD194" s="164">
        <f>IF(AND($C193=12,$D193=Input!$C$6),0,IF($E194="","",AT194+(AU194+BD195)/(1+$AK194)*MIN((1-AM194-AN194),1)))</f>
        <v>1770.7423845201824</v>
      </c>
      <c r="BE194" s="164">
        <f t="shared" si="93"/>
        <v>890.60029637821481</v>
      </c>
      <c r="BF194" s="164">
        <f t="shared" si="116"/>
        <v>959.70631712255454</v>
      </c>
      <c r="BG194" s="164">
        <f t="shared" si="94"/>
        <v>482.68722651996262</v>
      </c>
      <c r="BH194" s="152"/>
      <c r="BI194" s="162">
        <f t="shared" si="95"/>
        <v>711.04459993883972</v>
      </c>
      <c r="BJ194" s="150">
        <f t="shared" si="96"/>
        <v>0</v>
      </c>
      <c r="BK194" s="163">
        <f t="shared" si="120"/>
        <v>0</v>
      </c>
      <c r="BL194" s="163">
        <f t="shared" si="97"/>
        <v>23.156856736161746</v>
      </c>
      <c r="BM194" s="163">
        <f t="shared" si="121"/>
        <v>2.2386799881264796</v>
      </c>
      <c r="BN194" s="163">
        <f t="shared" si="98"/>
        <v>0.15984861674243203</v>
      </c>
      <c r="BO194" s="163">
        <f t="shared" si="99"/>
        <v>0</v>
      </c>
      <c r="BP194" s="164">
        <f t="shared" si="122"/>
        <v>690.28627180754688</v>
      </c>
      <c r="BQ194" s="164">
        <f>IF($E194="","",IF(AND($D194=Input!$C$6,$C194=12),0,-BJ195+BK195+BL195-BM195-BN195-BO195+BQ195))</f>
        <v>690.28633101491891</v>
      </c>
      <c r="BR194" s="161">
        <f t="shared" si="100"/>
        <v>0</v>
      </c>
      <c r="BT194" s="147">
        <f t="shared" si="101"/>
        <v>0.50295305752199548</v>
      </c>
      <c r="BU194" s="164">
        <f>IF(AND($C193=12,$D193=Input!$C$6),0,IF($E194="","",BK194+(BL194+BU195)/(1+$AK194)*MIN((1-T194-U194),1)))</f>
        <v>4993.2167116643886</v>
      </c>
      <c r="BV194" s="164">
        <f t="shared" si="102"/>
        <v>2511.3536120015283</v>
      </c>
      <c r="BW194" s="164">
        <f t="shared" si="103"/>
        <v>690.28633101491891</v>
      </c>
      <c r="BX194" s="164">
        <f t="shared" si="104"/>
        <v>347.18162074959372</v>
      </c>
    </row>
    <row r="195" spans="1:76" s="150" customFormat="1" x14ac:dyDescent="0.25">
      <c r="A195" s="150">
        <f t="shared" si="117"/>
        <v>191</v>
      </c>
      <c r="B195" s="150">
        <f t="shared" si="118"/>
        <v>16</v>
      </c>
      <c r="C195" s="150">
        <f t="shared" si="119"/>
        <v>11</v>
      </c>
      <c r="D195" s="150">
        <f>IF(E195="","",Input!$C$4+B195-1)</f>
        <v>60</v>
      </c>
      <c r="E195" s="150">
        <f>IF(OR(AND(C194=12,D194=Input!$C$6),E194=""),"",1)</f>
        <v>1</v>
      </c>
      <c r="F195" s="150">
        <f>IF(E195="","",Input!$C$8+B195-1)</f>
        <v>2033</v>
      </c>
      <c r="G195" s="151">
        <f>IF(E195="","",MAX(0,Input!$C$9-B195))</f>
        <v>4</v>
      </c>
      <c r="H195" s="152">
        <f>IF(E195="","",Input!$C$3)</f>
        <v>100000</v>
      </c>
      <c r="I195" s="153">
        <f>IF(E195="","",HLOOKUP($B195,Input!$C$13:$BT$14,2))</f>
        <v>2.2999999999999998</v>
      </c>
      <c r="J195" s="154"/>
      <c r="K195" s="155">
        <f>IF($E195="","",INDEX(Input!$C$16:$CP$16,1,$B195))</f>
        <v>2.409E-2</v>
      </c>
      <c r="L195" s="155">
        <f>IF($E195="","",Input!$C$37)</f>
        <v>1.4999999999999999E-2</v>
      </c>
      <c r="M195" s="155">
        <f t="shared" si="105"/>
        <v>3.909E-2</v>
      </c>
      <c r="N195" s="155">
        <f t="shared" si="106"/>
        <v>3.2005550505740388E-3</v>
      </c>
      <c r="O195" s="147">
        <f>IF($E195="","",MIN(VLOOKUP(IF($B195&lt;=Input!$C$7,$B195,26),'Mortality Tables'!$A$41:$CW$67,IF($B195&lt;=Input!$C$7+1,Input!$C$4+2,$D195-Input!$C$7+2),0)*IF(B195&gt;20,Input!$C$22,1)/1000,1))</f>
        <v>2.9920000000000003E-3</v>
      </c>
      <c r="P195" s="147">
        <f>IF($E195="","",MIN(VLOOKUP(IF($B195&lt;=Input!$C$7,$B195,26),'Mortality Tables'!$A$12:$CW$37,IF($B195&lt;=Input!$C$7+1,Input!$C$4+2,$D195-Input!$C$7+2),0)*IF(B195&gt;20,Input!$C$22,1)/1000,1))</f>
        <v>3.7400000000000003E-3</v>
      </c>
      <c r="Q195" s="155">
        <f>IF($E195="","",Input!$C$21)</f>
        <v>5.0000000000000001E-3</v>
      </c>
      <c r="R195" s="159">
        <f>IF($E195="","",(1-Q195)^($F195-Input!$C$20))</f>
        <v>0.92756896881832807</v>
      </c>
      <c r="S195" s="147">
        <f t="shared" si="82"/>
        <v>2.7752863547044378E-3</v>
      </c>
      <c r="T195" s="147">
        <f t="shared" si="83"/>
        <v>2.3156856736161746E-4</v>
      </c>
      <c r="U195" s="160">
        <f>IF($E195="","",IF($C195=12,INDEX(Input!$C$15:$CP$15,1,$B195),0))</f>
        <v>0</v>
      </c>
      <c r="V195" s="150">
        <f>IF(E195="","",IF(C195=1,IF($B195=1,Input!$C$33,Input!$C$34),0))</f>
        <v>0</v>
      </c>
      <c r="W195" s="156">
        <f>IF($E195="","",Input!$C$35)</f>
        <v>0.02</v>
      </c>
      <c r="X195" s="156">
        <f t="shared" si="84"/>
        <v>1.3458683383241299</v>
      </c>
      <c r="Y195" s="154"/>
      <c r="Z195" s="147">
        <f>IF($E195="","",VLOOKUP($D195,'Mortality Margins &amp; Grading'!$AB$5:$AF$125,3,0)*IF(Summary!$D$25="Included Margin",IF(AND($B195&gt;Input!$C$9,Summary!$D$31&lt;&gt;"Included Margin"),0,1),0))</f>
        <v>3.5000000000000003E-2</v>
      </c>
      <c r="AA195" s="147">
        <f>IF($E195="","",VLOOKUP($D195,'Mortality Margins &amp; Grading'!$AB$5:$AF$125,5,0)*IF(Summary!$D$25="Included Margin",IF(AND($B195&gt;Input!$C$9,Summary!$D$31&lt;&gt;"Included Margin"),0,1),0))</f>
        <v>0.182</v>
      </c>
      <c r="AB195" s="147">
        <f>IF($E195="","",IF(AND($B195&gt;Input!$C$9,Summary!$D$31&lt;&gt;"Included Margin"),1,IF(Summary!$D$25="Included Margin",VLOOKUP($B195,'Mortality Margins &amp; Grading'!$AI$5:$AR$125,MATCH('Mortality Margins &amp; Grading'!$AQ$4,'Mortality Margins &amp; Grading'!$AI$4:$AR$4,0),0),1)))</f>
        <v>1</v>
      </c>
      <c r="AC195" s="154"/>
      <c r="AD195" s="158">
        <f>IF(E195="","",Input!$C$48*IF(Summary!$D$30="Included Margin",IF(AND($B195&gt;Input!$C$9,Summary!$D$31&lt;&gt;"Included Margin"),0,1),0))</f>
        <v>-4.4999999999999997E-3</v>
      </c>
      <c r="AE195" s="159">
        <f>IF(E195="","",IF(Summary!$D$26="Included Margin",IF(AND($B195&gt;Input!$C$9,Summary!$D$31&lt;&gt;"Included Margin"),1,1/$R195),1))</f>
        <v>1.0780869494523357</v>
      </c>
      <c r="AF195" s="160">
        <f>IF(E195="","",IF(AND($B195&gt;=Input!$C$9,$C195=12,Summary!$D$31="Included Margin",$U195&gt;0),1/U195-1,IF($B195&gt;=Input!$C$9,0,Input!$C$45*IF(Summary!$D$27="Included Margin",1,0))))</f>
        <v>-0.1</v>
      </c>
      <c r="AG195" s="160">
        <f>IF(E195="","",Input!$C$46*IF(Summary!$D$28="Included Margin",IF(AND($B195&gt;Input!$C$9,Summary!$D$31&lt;&gt;"Included Margin"),0,1),0))</f>
        <v>0.02</v>
      </c>
      <c r="AH195" s="158">
        <f>IF(E195="","",Input!$C$47*IF(Summary!$D$29="Included Margin",IF(AND($B195&gt;Input!$C$9,Summary!$D$31&lt;&gt;"Included Margin"),0,1),0))</f>
        <v>2.5000000000000001E-3</v>
      </c>
      <c r="AI195" s="154"/>
      <c r="AJ195" s="158">
        <f t="shared" si="107"/>
        <v>3.4590000000000003E-2</v>
      </c>
      <c r="AK195" s="155">
        <f t="shared" si="108"/>
        <v>2.8377866625948212E-3</v>
      </c>
      <c r="AL195" s="147">
        <f t="shared" si="109"/>
        <v>3.0967200000000007E-3</v>
      </c>
      <c r="AM195" s="147">
        <f t="shared" si="85"/>
        <v>2.584269985951293E-4</v>
      </c>
      <c r="AN195" s="160">
        <f t="shared" si="110"/>
        <v>0</v>
      </c>
      <c r="AO195" s="161">
        <f t="shared" si="111"/>
        <v>0</v>
      </c>
      <c r="AP195" s="156">
        <f t="shared" si="86"/>
        <v>1.3962068043527858</v>
      </c>
      <c r="AQ195" s="152"/>
      <c r="AR195" s="162">
        <f t="shared" si="87"/>
        <v>959.70626516824245</v>
      </c>
      <c r="AS195" s="150">
        <f t="shared" si="112"/>
        <v>0</v>
      </c>
      <c r="AT195" s="163">
        <f t="shared" si="88"/>
        <v>0</v>
      </c>
      <c r="AU195" s="163">
        <f t="shared" si="89"/>
        <v>25.84269985951293</v>
      </c>
      <c r="AV195" s="163">
        <f t="shared" si="113"/>
        <v>2.6867736048097437</v>
      </c>
      <c r="AW195" s="163">
        <f t="shared" si="90"/>
        <v>0.24209246977542057</v>
      </c>
      <c r="AX195" s="163">
        <f t="shared" si="91"/>
        <v>0</v>
      </c>
      <c r="AY195" s="164">
        <f t="shared" si="114"/>
        <v>936.79243138331481</v>
      </c>
      <c r="AZ195" s="164">
        <f>IF($E195="","",IF(OR(AND($D195=Input!$C$6,$C195=12),$AN195=1),0,-AS196+AT196+AU196-AV196-AW196-AX196+AZ196))</f>
        <v>936.79248333762678</v>
      </c>
      <c r="BA195" s="154">
        <f t="shared" si="92"/>
        <v>5.1954311970803246E-5</v>
      </c>
      <c r="BC195" s="147">
        <f t="shared" si="115"/>
        <v>0.50283658940301501</v>
      </c>
      <c r="BD195" s="164">
        <f>IF(AND($C194=12,$D194=Input!$C$6),0,IF($E195="","",AT195+(AU195+BD196)/(1+$AK195)*MIN((1-AM195-AN195),1)))</f>
        <v>1750.3836986393417</v>
      </c>
      <c r="BE195" s="164">
        <f t="shared" si="93"/>
        <v>880.15696917044136</v>
      </c>
      <c r="BF195" s="164">
        <f t="shared" si="116"/>
        <v>936.79248333762678</v>
      </c>
      <c r="BG195" s="164">
        <f t="shared" si="94"/>
        <v>471.05353729987303</v>
      </c>
      <c r="BH195" s="152"/>
      <c r="BI195" s="162">
        <f t="shared" si="95"/>
        <v>690.28627180754688</v>
      </c>
      <c r="BJ195" s="150">
        <f t="shared" si="96"/>
        <v>0</v>
      </c>
      <c r="BK195" s="163">
        <f t="shared" si="120"/>
        <v>0</v>
      </c>
      <c r="BL195" s="163">
        <f t="shared" si="97"/>
        <v>23.156856736161746</v>
      </c>
      <c r="BM195" s="163">
        <f t="shared" si="121"/>
        <v>2.172241816184397</v>
      </c>
      <c r="BN195" s="163">
        <f t="shared" si="98"/>
        <v>0.15502513847800001</v>
      </c>
      <c r="BO195" s="163">
        <f t="shared" si="99"/>
        <v>0</v>
      </c>
      <c r="BP195" s="164">
        <f t="shared" si="122"/>
        <v>669.45668202604747</v>
      </c>
      <c r="BQ195" s="164">
        <f>IF($E195="","",IF(AND($D195=Input!$C$6,$C195=12),0,-BJ196+BK196+BL196-BM196-BN196-BO196+BQ196))</f>
        <v>669.45674123341951</v>
      </c>
      <c r="BR195" s="161">
        <f t="shared" si="100"/>
        <v>0</v>
      </c>
      <c r="BT195" s="147">
        <f t="shared" si="101"/>
        <v>0.50283658940301501</v>
      </c>
      <c r="BU195" s="164">
        <f>IF(AND($C194=12,$D194=Input!$C$6),0,IF($E195="","",BK195+(BL195+BU196)/(1+$AK195)*MIN((1-T195-U195),1)))</f>
        <v>4985.389360588144</v>
      </c>
      <c r="BV195" s="164">
        <f t="shared" si="102"/>
        <v>2506.8361829242199</v>
      </c>
      <c r="BW195" s="164">
        <f t="shared" si="103"/>
        <v>669.45674123341951</v>
      </c>
      <c r="BX195" s="164">
        <f t="shared" si="104"/>
        <v>336.62734451466946</v>
      </c>
    </row>
    <row r="196" spans="1:76" s="150" customFormat="1" x14ac:dyDescent="0.25">
      <c r="A196" s="150">
        <f t="shared" si="117"/>
        <v>192</v>
      </c>
      <c r="B196" s="150">
        <f t="shared" si="118"/>
        <v>16</v>
      </c>
      <c r="C196" s="150">
        <f t="shared" si="119"/>
        <v>12</v>
      </c>
      <c r="D196" s="150">
        <f>IF(E196="","",Input!$C$4+B196-1)</f>
        <v>60</v>
      </c>
      <c r="E196" s="150">
        <f>IF(OR(AND(C195=12,D195=Input!$C$6),E195=""),"",1)</f>
        <v>1</v>
      </c>
      <c r="F196" s="150">
        <f>IF(E196="","",Input!$C$8+B196-1)</f>
        <v>2033</v>
      </c>
      <c r="G196" s="151">
        <f>IF(E196="","",MAX(0,Input!$C$9-B196))</f>
        <v>4</v>
      </c>
      <c r="H196" s="152">
        <f>IF(E196="","",Input!$C$3)</f>
        <v>100000</v>
      </c>
      <c r="I196" s="153">
        <f>IF(E196="","",HLOOKUP($B196,Input!$C$13:$BT$14,2))</f>
        <v>2.2999999999999998</v>
      </c>
      <c r="J196" s="154"/>
      <c r="K196" s="155">
        <f>IF($E196="","",INDEX(Input!$C$16:$CP$16,1,$B196))</f>
        <v>2.409E-2</v>
      </c>
      <c r="L196" s="155">
        <f>IF($E196="","",Input!$C$37)</f>
        <v>1.4999999999999999E-2</v>
      </c>
      <c r="M196" s="155">
        <f t="shared" si="105"/>
        <v>3.909E-2</v>
      </c>
      <c r="N196" s="155">
        <f t="shared" si="106"/>
        <v>3.2005550505740388E-3</v>
      </c>
      <c r="O196" s="147">
        <f>IF($E196="","",MIN(VLOOKUP(IF($B196&lt;=Input!$C$7,$B196,26),'Mortality Tables'!$A$41:$CW$67,IF($B196&lt;=Input!$C$7+1,Input!$C$4+2,$D196-Input!$C$7+2),0)*IF(B196&gt;20,Input!$C$22,1)/1000,1))</f>
        <v>2.9920000000000003E-3</v>
      </c>
      <c r="P196" s="147">
        <f>IF($E196="","",MIN(VLOOKUP(IF($B196&lt;=Input!$C$7,$B196,26),'Mortality Tables'!$A$12:$CW$37,IF($B196&lt;=Input!$C$7+1,Input!$C$4+2,$D196-Input!$C$7+2),0)*IF(B196&gt;20,Input!$C$22,1)/1000,1))</f>
        <v>3.7400000000000003E-3</v>
      </c>
      <c r="Q196" s="155">
        <f>IF($E196="","",Input!$C$21)</f>
        <v>5.0000000000000001E-3</v>
      </c>
      <c r="R196" s="159">
        <f>IF($E196="","",(1-Q196)^($F196-Input!$C$20))</f>
        <v>0.92756896881832807</v>
      </c>
      <c r="S196" s="147">
        <f t="shared" si="82"/>
        <v>2.7752863547044378E-3</v>
      </c>
      <c r="T196" s="147">
        <f t="shared" si="83"/>
        <v>2.3156856736161746E-4</v>
      </c>
      <c r="U196" s="160">
        <f>IF($E196="","",IF($C196=12,INDEX(Input!$C$15:$CP$15,1,$B196),0))</f>
        <v>0.02</v>
      </c>
      <c r="V196" s="150">
        <f>IF(E196="","",IF(C196=1,IF($B196=1,Input!$C$33,Input!$C$34),0))</f>
        <v>0</v>
      </c>
      <c r="W196" s="156">
        <f>IF($E196="","",Input!$C$35)</f>
        <v>0.02</v>
      </c>
      <c r="X196" s="156">
        <f t="shared" si="84"/>
        <v>1.3458683383241299</v>
      </c>
      <c r="Y196" s="154"/>
      <c r="Z196" s="147">
        <f>IF($E196="","",VLOOKUP($D196,'Mortality Margins &amp; Grading'!$AB$5:$AF$125,3,0)*IF(Summary!$D$25="Included Margin",IF(AND($B196&gt;Input!$C$9,Summary!$D$31&lt;&gt;"Included Margin"),0,1),0))</f>
        <v>3.5000000000000003E-2</v>
      </c>
      <c r="AA196" s="147">
        <f>IF($E196="","",VLOOKUP($D196,'Mortality Margins &amp; Grading'!$AB$5:$AF$125,5,0)*IF(Summary!$D$25="Included Margin",IF(AND($B196&gt;Input!$C$9,Summary!$D$31&lt;&gt;"Included Margin"),0,1),0))</f>
        <v>0.182</v>
      </c>
      <c r="AB196" s="147">
        <f>IF($E196="","",IF(AND($B196&gt;Input!$C$9,Summary!$D$31&lt;&gt;"Included Margin"),1,IF(Summary!$D$25="Included Margin",VLOOKUP($B196,'Mortality Margins &amp; Grading'!$AI$5:$AR$125,MATCH('Mortality Margins &amp; Grading'!$AQ$4,'Mortality Margins &amp; Grading'!$AI$4:$AR$4,0),0),1)))</f>
        <v>1</v>
      </c>
      <c r="AC196" s="154"/>
      <c r="AD196" s="158">
        <f>IF(E196="","",Input!$C$48*IF(Summary!$D$30="Included Margin",IF(AND($B196&gt;Input!$C$9,Summary!$D$31&lt;&gt;"Included Margin"),0,1),0))</f>
        <v>-4.4999999999999997E-3</v>
      </c>
      <c r="AE196" s="159">
        <f>IF(E196="","",IF(Summary!$D$26="Included Margin",IF(AND($B196&gt;Input!$C$9,Summary!$D$31&lt;&gt;"Included Margin"),1,1/$R196),1))</f>
        <v>1.0780869494523357</v>
      </c>
      <c r="AF196" s="160">
        <f>IF(E196="","",IF(AND($B196&gt;=Input!$C$9,$C196=12,Summary!$D$31="Included Margin",$U196&gt;0),1/U196-1,IF($B196&gt;=Input!$C$9,0,Input!$C$45*IF(Summary!$D$27="Included Margin",1,0))))</f>
        <v>-0.1</v>
      </c>
      <c r="AG196" s="160">
        <f>IF(E196="","",Input!$C$46*IF(Summary!$D$28="Included Margin",IF(AND($B196&gt;Input!$C$9,Summary!$D$31&lt;&gt;"Included Margin"),0,1),0))</f>
        <v>0.02</v>
      </c>
      <c r="AH196" s="158">
        <f>IF(E196="","",Input!$C$47*IF(Summary!$D$29="Included Margin",IF(AND($B196&gt;Input!$C$9,Summary!$D$31&lt;&gt;"Included Margin"),0,1),0))</f>
        <v>2.5000000000000001E-3</v>
      </c>
      <c r="AI196" s="154"/>
      <c r="AJ196" s="158">
        <f t="shared" si="107"/>
        <v>3.4590000000000003E-2</v>
      </c>
      <c r="AK196" s="155">
        <f t="shared" si="108"/>
        <v>2.8377866625948212E-3</v>
      </c>
      <c r="AL196" s="147">
        <f t="shared" si="109"/>
        <v>3.0967200000000007E-3</v>
      </c>
      <c r="AM196" s="147">
        <f t="shared" si="85"/>
        <v>2.584269985951293E-4</v>
      </c>
      <c r="AN196" s="160">
        <f t="shared" si="110"/>
        <v>1.8000000000000002E-2</v>
      </c>
      <c r="AO196" s="161">
        <f t="shared" si="111"/>
        <v>0</v>
      </c>
      <c r="AP196" s="156">
        <f t="shared" si="86"/>
        <v>1.3962068043527858</v>
      </c>
      <c r="AQ196" s="152"/>
      <c r="AR196" s="162">
        <f t="shared" si="87"/>
        <v>936.79243138331458</v>
      </c>
      <c r="AS196" s="150">
        <f t="shared" si="112"/>
        <v>0</v>
      </c>
      <c r="AT196" s="163">
        <f t="shared" si="88"/>
        <v>0</v>
      </c>
      <c r="AU196" s="163">
        <f t="shared" si="89"/>
        <v>25.84269985951293</v>
      </c>
      <c r="AV196" s="163">
        <f t="shared" si="113"/>
        <v>2.621749032905961</v>
      </c>
      <c r="AW196" s="163">
        <f t="shared" si="90"/>
        <v>0.24048123966451185</v>
      </c>
      <c r="AX196" s="163">
        <f t="shared" si="91"/>
        <v>16.745710371892418</v>
      </c>
      <c r="AY196" s="164">
        <f t="shared" si="114"/>
        <v>930.55767216826462</v>
      </c>
      <c r="AZ196" s="164">
        <f>IF($E196="","",IF(OR(AND($D196=Input!$C$6,$C196=12),$AN196=1),0,-AS197+AT197+AU197-AV197-AW197-AX197+AZ197))</f>
        <v>930.5577241225767</v>
      </c>
      <c r="BA196" s="154">
        <f t="shared" si="92"/>
        <v>5.1954312084490084E-5</v>
      </c>
      <c r="BC196" s="147">
        <f t="shared" si="115"/>
        <v>0.49266341646632966</v>
      </c>
      <c r="BD196" s="164">
        <f>IF(AND($C195=12,$D195=Input!$C$6),0,IF($E196="","",AT196+(AU196+BD197)/(1+$AK196)*MIN((1-AM196-AN196),1)))</f>
        <v>1729.961961623037</v>
      </c>
      <c r="BE196" s="164">
        <f t="shared" si="93"/>
        <v>852.28897036999888</v>
      </c>
      <c r="BF196" s="164">
        <f t="shared" si="116"/>
        <v>930.5577241225767</v>
      </c>
      <c r="BG196" s="164">
        <f t="shared" si="94"/>
        <v>458.45174758536092</v>
      </c>
      <c r="BH196" s="152"/>
      <c r="BI196" s="162">
        <f t="shared" si="95"/>
        <v>669.45668202604747</v>
      </c>
      <c r="BJ196" s="150">
        <f t="shared" si="96"/>
        <v>0</v>
      </c>
      <c r="BK196" s="163">
        <f t="shared" si="120"/>
        <v>0</v>
      </c>
      <c r="BL196" s="163">
        <f t="shared" si="97"/>
        <v>23.156856736161746</v>
      </c>
      <c r="BM196" s="163">
        <f t="shared" si="121"/>
        <v>2.1055755674078336</v>
      </c>
      <c r="BN196" s="163">
        <f t="shared" si="98"/>
        <v>0.15325010367902339</v>
      </c>
      <c r="BO196" s="163">
        <f t="shared" si="99"/>
        <v>13.232764491115626</v>
      </c>
      <c r="BP196" s="164">
        <f t="shared" si="122"/>
        <v>661.79141545208824</v>
      </c>
      <c r="BQ196" s="164">
        <f>IF($E196="","",IF(AND($D196=Input!$C$6,$C196=12),0,-BJ197+BK197+BL197-BM197-BN197-BO197+BQ197))</f>
        <v>661.79147465946028</v>
      </c>
      <c r="BR196" s="161">
        <f t="shared" si="100"/>
        <v>0</v>
      </c>
      <c r="BT196" s="147">
        <f t="shared" si="101"/>
        <v>0.49266341646632966</v>
      </c>
      <c r="BU196" s="164">
        <f>IF(AND($C195=12,$D195=Input!$C$6),0,IF($E196="","",BK196+(BL196+BU197)/(1+$AK196)*MIN((1-T196-U196),1)))</f>
        <v>4977.5379790262314</v>
      </c>
      <c r="BV196" s="164">
        <f t="shared" si="102"/>
        <v>2452.2508663379731</v>
      </c>
      <c r="BW196" s="164">
        <f t="shared" si="103"/>
        <v>661.79147465946028</v>
      </c>
      <c r="BX196" s="164">
        <f t="shared" si="104"/>
        <v>326.04044889402013</v>
      </c>
    </row>
    <row r="197" spans="1:76" s="150" customFormat="1" x14ac:dyDescent="0.25">
      <c r="A197" s="150">
        <f t="shared" si="117"/>
        <v>193</v>
      </c>
      <c r="B197" s="150">
        <f t="shared" si="118"/>
        <v>17</v>
      </c>
      <c r="C197" s="150">
        <f t="shared" si="119"/>
        <v>1</v>
      </c>
      <c r="D197" s="150">
        <f>IF(E197="","",Input!$C$4+B197-1)</f>
        <v>61</v>
      </c>
      <c r="E197" s="150">
        <f>IF(OR(AND(C196=12,D196=Input!$C$6),E196=""),"",1)</f>
        <v>1</v>
      </c>
      <c r="F197" s="150">
        <f>IF(E197="","",Input!$C$8+B197-1)</f>
        <v>2034</v>
      </c>
      <c r="G197" s="151">
        <f>IF(E197="","",MAX(0,Input!$C$9-B197))</f>
        <v>3</v>
      </c>
      <c r="H197" s="152">
        <f>IF(E197="","",Input!$C$3)</f>
        <v>100000</v>
      </c>
      <c r="I197" s="153">
        <f>IF(E197="","",HLOOKUP($B197,Input!$C$13:$BT$14,2))</f>
        <v>2.2999999999999998</v>
      </c>
      <c r="J197" s="154"/>
      <c r="K197" s="155">
        <f>IF($E197="","",INDEX(Input!$C$16:$CP$16,1,$B197))</f>
        <v>2.393E-2</v>
      </c>
      <c r="L197" s="155">
        <f>IF($E197="","",Input!$C$37)</f>
        <v>1.4999999999999999E-2</v>
      </c>
      <c r="M197" s="155">
        <f t="shared" si="105"/>
        <v>3.8929999999999999E-2</v>
      </c>
      <c r="N197" s="155">
        <f t="shared" si="106"/>
        <v>3.1876813327058606E-3</v>
      </c>
      <c r="O197" s="147">
        <f>IF($E197="","",MIN(VLOOKUP(IF($B197&lt;=Input!$C$7,$B197,26),'Mortality Tables'!$A$41:$CW$67,IF($B197&lt;=Input!$C$7+1,Input!$C$4+2,$D197-Input!$C$7+2),0)*IF(B197&gt;20,Input!$C$22,1)/1000,1))</f>
        <v>3.4640000000000005E-3</v>
      </c>
      <c r="P197" s="147">
        <f>IF($E197="","",MIN(VLOOKUP(IF($B197&lt;=Input!$C$7,$B197,26),'Mortality Tables'!$A$12:$CW$37,IF($B197&lt;=Input!$C$7+1,Input!$C$4+2,$D197-Input!$C$7+2),0)*IF(B197&gt;20,Input!$C$22,1)/1000,1))</f>
        <v>4.3299999999999996E-3</v>
      </c>
      <c r="Q197" s="155">
        <f>IF($E197="","",Input!$C$21)</f>
        <v>5.0000000000000001E-3</v>
      </c>
      <c r="R197" s="159">
        <f>IF($E197="","",(1-Q197)^($F197-Input!$C$20))</f>
        <v>0.92293112397423638</v>
      </c>
      <c r="S197" s="147">
        <f t="shared" ref="S197:S260" si="123">IF($E197="","",MIN(O197*R197,1))</f>
        <v>3.1970334134467553E-3</v>
      </c>
      <c r="T197" s="147">
        <f t="shared" ref="T197:T260" si="124">IF($E197="","",1-(1-S197)^(1/12))</f>
        <v>2.6681063664890647E-4</v>
      </c>
      <c r="U197" s="160">
        <f>IF($E197="","",IF($C197=12,INDEX(Input!$C$15:$CP$15,1,$B197),0))</f>
        <v>0</v>
      </c>
      <c r="V197" s="150">
        <f>IF(E197="","",IF(C197=1,IF($B197=1,Input!$C$33,Input!$C$34),0))</f>
        <v>50</v>
      </c>
      <c r="W197" s="156">
        <f>IF($E197="","",Input!$C$35)</f>
        <v>0.02</v>
      </c>
      <c r="X197" s="156">
        <f t="shared" ref="X197:X244" si="125">IF($E197="","",IF(B197=1,1,IF(C197=1,(1+W197)*X196,X196)))</f>
        <v>1.3727857050906125</v>
      </c>
      <c r="Y197" s="154"/>
      <c r="Z197" s="147">
        <f>IF($E197="","",VLOOKUP($D197,'Mortality Margins &amp; Grading'!$AB$5:$AF$125,3,0)*IF(Summary!$D$25="Included Margin",IF(AND($B197&gt;Input!$C$9,Summary!$D$31&lt;&gt;"Included Margin"),0,1),0))</f>
        <v>3.5000000000000003E-2</v>
      </c>
      <c r="AA197" s="147">
        <f>IF($E197="","",VLOOKUP($D197,'Mortality Margins &amp; Grading'!$AB$5:$AF$125,5,0)*IF(Summary!$D$25="Included Margin",IF(AND($B197&gt;Input!$C$9,Summary!$D$31&lt;&gt;"Included Margin"),0,1),0))</f>
        <v>0.182</v>
      </c>
      <c r="AB197" s="147">
        <f>IF($E197="","",IF(AND($B197&gt;Input!$C$9,Summary!$D$31&lt;&gt;"Included Margin"),1,IF(Summary!$D$25="Included Margin",VLOOKUP($B197,'Mortality Margins &amp; Grading'!$AI$5:$AR$125,MATCH('Mortality Margins &amp; Grading'!$AQ$4,'Mortality Margins &amp; Grading'!$AI$4:$AR$4,0),0),1)))</f>
        <v>1</v>
      </c>
      <c r="AC197" s="154"/>
      <c r="AD197" s="158">
        <f>IF(E197="","",Input!$C$48*IF(Summary!$D$30="Included Margin",IF(AND($B197&gt;Input!$C$9,Summary!$D$31&lt;&gt;"Included Margin"),0,1),0))</f>
        <v>-4.4999999999999997E-3</v>
      </c>
      <c r="AE197" s="159">
        <f>IF(E197="","",IF(Summary!$D$26="Included Margin",IF(AND($B197&gt;Input!$C$9,Summary!$D$31&lt;&gt;"Included Margin"),1,1/$R197),1))</f>
        <v>1.0835044718113926</v>
      </c>
      <c r="AF197" s="160">
        <f>IF(E197="","",IF(AND($B197&gt;=Input!$C$9,$C197=12,Summary!$D$31="Included Margin",$U197&gt;0),1/U197-1,IF($B197&gt;=Input!$C$9,0,Input!$C$45*IF(Summary!$D$27="Included Margin",1,0))))</f>
        <v>-0.1</v>
      </c>
      <c r="AG197" s="160">
        <f>IF(E197="","",Input!$C$46*IF(Summary!$D$28="Included Margin",IF(AND($B197&gt;Input!$C$9,Summary!$D$31&lt;&gt;"Included Margin"),0,1),0))</f>
        <v>0.02</v>
      </c>
      <c r="AH197" s="158">
        <f>IF(E197="","",Input!$C$47*IF(Summary!$D$29="Included Margin",IF(AND($B197&gt;Input!$C$9,Summary!$D$31&lt;&gt;"Included Margin"),0,1),0))</f>
        <v>2.5000000000000001E-3</v>
      </c>
      <c r="AI197" s="154"/>
      <c r="AJ197" s="158">
        <f t="shared" si="107"/>
        <v>3.4430000000000002E-2</v>
      </c>
      <c r="AK197" s="155">
        <f t="shared" si="108"/>
        <v>2.8248616214174849E-3</v>
      </c>
      <c r="AL197" s="147">
        <f t="shared" si="109"/>
        <v>3.58524E-3</v>
      </c>
      <c r="AM197" s="147">
        <f t="shared" ref="AM197:AM260" si="126">IF($E197="","",1-(1-AL197)^(1/12))</f>
        <v>2.9926207682284822E-4</v>
      </c>
      <c r="AN197" s="160">
        <f t="shared" si="110"/>
        <v>0</v>
      </c>
      <c r="AO197" s="161">
        <f t="shared" si="111"/>
        <v>51</v>
      </c>
      <c r="AP197" s="156">
        <f t="shared" ref="AP197:AP260" si="127">IF($E197="","",IF(B197=1,1,IF(C197=1,(1+$W197+$AH197)*AP196,AP196)))</f>
        <v>1.4276214574507233</v>
      </c>
      <c r="AQ197" s="152"/>
      <c r="AR197" s="162">
        <f t="shared" ref="AR197:AR260" si="128">IF($E197="","",(AZ197*(1-$AN197)*(1-$AM197)/(1+$AK197)+AU197/(1+$AK197/2)-AS197+AT197))</f>
        <v>930.55766450517092</v>
      </c>
      <c r="AS197" s="150">
        <f t="shared" si="112"/>
        <v>229.99999999999997</v>
      </c>
      <c r="AT197" s="163">
        <f t="shared" ref="AT197:AT260" si="129">IF($E197="","",$AO197*$AP197)</f>
        <v>72.808694329986892</v>
      </c>
      <c r="AU197" s="163">
        <f t="shared" ref="AU197:AU260" si="130">IF($E197="","",$AM197*$H197)</f>
        <v>29.926207682284822</v>
      </c>
      <c r="AV197" s="163">
        <f t="shared" si="113"/>
        <v>3.030471621806142</v>
      </c>
      <c r="AW197" s="163">
        <f t="shared" ref="AW197:AW260" si="131">IF($E197="","",AZ197*$AM197)</f>
        <v>0.31756819600449976</v>
      </c>
      <c r="AX197" s="163">
        <f t="shared" ref="AX197:AX260" si="132">IF($E197="","",$AN197*AZ197*(1-$AM197))</f>
        <v>0</v>
      </c>
      <c r="AY197" s="164">
        <f t="shared" si="114"/>
        <v>1061.1708023107099</v>
      </c>
      <c r="AZ197" s="164">
        <f>IF($E197="","",IF(OR(AND($D197=Input!$C$6,$C197=12),$AN197=1),0,-AS198+AT198+AU198-AV198-AW198-AX198+AZ198))</f>
        <v>1061.1708619281155</v>
      </c>
      <c r="BA197" s="154">
        <f t="shared" ref="BA197:BA260" si="133">IF(E197="","",AZ197-AY197)</f>
        <v>5.9617405668177526E-5</v>
      </c>
      <c r="BC197" s="147">
        <f t="shared" si="115"/>
        <v>0.49253196862652865</v>
      </c>
      <c r="BD197" s="164">
        <f>IF(AND($C196=12,$D196=Input!$C$6),0,IF($E197="","",AT197+(AU197+BD198)/(1+$AK197)*MIN((1-AM197-AN197),1)))</f>
        <v>1741.2936548744885</v>
      </c>
      <c r="BE197" s="164">
        <f t="shared" ref="BE197:BE260" si="134">IF($E197="","",BC197*BD197)</f>
        <v>857.64279179221501</v>
      </c>
      <c r="BF197" s="164">
        <f t="shared" si="116"/>
        <v>1061.1708619281155</v>
      </c>
      <c r="BG197" s="164">
        <f t="shared" ref="BG197:BG260" si="135">IF($E197="","",BC197*BF197)</f>
        <v>522.66057367456494</v>
      </c>
      <c r="BH197" s="152"/>
      <c r="BI197" s="162">
        <f t="shared" ref="BI197:BI260" si="136">IF($E197="","",(BQ197*(1-$U197)*(1-$T197)/(1+$N197)+BL197/(1+$N197/2)-BJ197+BK197))</f>
        <v>661.79140698866172</v>
      </c>
      <c r="BJ197" s="150">
        <f t="shared" ref="BJ197:BJ260" si="137">IF($E197="","",AS197)</f>
        <v>229.99999999999997</v>
      </c>
      <c r="BK197" s="163">
        <f t="shared" si="120"/>
        <v>68.63928525453062</v>
      </c>
      <c r="BL197" s="163">
        <f t="shared" ref="BL197:BL260" si="138">IF(E197="","",$T197*$H197)</f>
        <v>26.681063664890647</v>
      </c>
      <c r="BM197" s="163">
        <f t="shared" si="121"/>
        <v>2.5814212881384577</v>
      </c>
      <c r="BN197" s="163">
        <f t="shared" ref="BN197:BN260" si="139">IF($E197="","",BQ197*$T197)</f>
        <v>0.21325261685498842</v>
      </c>
      <c r="BO197" s="163">
        <f t="shared" ref="BO197:BO260" si="140">IF($E197="","",$U197*BQ197*(1-$T197))</f>
        <v>0</v>
      </c>
      <c r="BP197" s="164">
        <f t="shared" si="122"/>
        <v>799.26573197423397</v>
      </c>
      <c r="BQ197" s="164">
        <f>IF($E197="","",IF(AND($D197=Input!$C$6,$C197=12),0,-BJ198+BK198+BL198-BM198-BN198-BO198+BQ198))</f>
        <v>799.26579964503242</v>
      </c>
      <c r="BR197" s="161">
        <f t="shared" ref="BR197:BR260" si="141">IF(E197="","",ROUND(BQ197-BP197,1))</f>
        <v>0</v>
      </c>
      <c r="BT197" s="147">
        <f t="shared" ref="BT197:BT260" si="142">IF(E197="","",BC197)</f>
        <v>0.49253196862652865</v>
      </c>
      <c r="BU197" s="164">
        <f>IF(AND($C196=12,$D196=Input!$C$6),0,IF($E197="","",BK197+(BL197+BU198)/(1+$AK197)*MIN((1-T197-U197),1)))</f>
        <v>5071.5808483935643</v>
      </c>
      <c r="BV197" s="164">
        <f t="shared" ref="BV197:BV260" si="143">IF(E197="","",BT197*BU197)</f>
        <v>2497.9156993078827</v>
      </c>
      <c r="BW197" s="164">
        <f t="shared" ref="BW197:BW260" si="144">IF(E197="","",BQ197)</f>
        <v>799.26579964503242</v>
      </c>
      <c r="BX197" s="164">
        <f t="shared" ref="BX197:BX260" si="145">IF(E197="","",BT197*BW197)</f>
        <v>393.66395775502446</v>
      </c>
    </row>
    <row r="198" spans="1:76" s="150" customFormat="1" x14ac:dyDescent="0.25">
      <c r="A198" s="150">
        <f t="shared" si="117"/>
        <v>194</v>
      </c>
      <c r="B198" s="150">
        <f t="shared" si="118"/>
        <v>17</v>
      </c>
      <c r="C198" s="150">
        <f t="shared" si="119"/>
        <v>2</v>
      </c>
      <c r="D198" s="150">
        <f>IF(E198="","",Input!$C$4+B198-1)</f>
        <v>61</v>
      </c>
      <c r="E198" s="150">
        <f>IF(OR(AND(C197=12,D197=Input!$C$6),E197=""),"",1)</f>
        <v>1</v>
      </c>
      <c r="F198" s="150">
        <f>IF(E198="","",Input!$C$8+B198-1)</f>
        <v>2034</v>
      </c>
      <c r="G198" s="151">
        <f>IF(E198="","",MAX(0,Input!$C$9-B198))</f>
        <v>3</v>
      </c>
      <c r="H198" s="152">
        <f>IF(E198="","",Input!$C$3)</f>
        <v>100000</v>
      </c>
      <c r="I198" s="153">
        <f>IF(E198="","",HLOOKUP($B198,Input!$C$13:$BT$14,2))</f>
        <v>2.2999999999999998</v>
      </c>
      <c r="J198" s="154"/>
      <c r="K198" s="155">
        <f>IF($E198="","",INDEX(Input!$C$16:$CP$16,1,$B198))</f>
        <v>2.393E-2</v>
      </c>
      <c r="L198" s="155">
        <f>IF($E198="","",Input!$C$37)</f>
        <v>1.4999999999999999E-2</v>
      </c>
      <c r="M198" s="155">
        <f t="shared" ref="M198:M244" si="146">IF($E198="","",K198+L198)</f>
        <v>3.8929999999999999E-2</v>
      </c>
      <c r="N198" s="155">
        <f t="shared" ref="N198:N244" si="147">IF($E198="","",(1+M198)^(1/12)-1)</f>
        <v>3.1876813327058606E-3</v>
      </c>
      <c r="O198" s="147">
        <f>IF($E198="","",MIN(VLOOKUP(IF($B198&lt;=Input!$C$7,$B198,26),'Mortality Tables'!$A$41:$CW$67,IF($B198&lt;=Input!$C$7+1,Input!$C$4+2,$D198-Input!$C$7+2),0)*IF(B198&gt;20,Input!$C$22,1)/1000,1))</f>
        <v>3.4640000000000005E-3</v>
      </c>
      <c r="P198" s="147">
        <f>IF($E198="","",MIN(VLOOKUP(IF($B198&lt;=Input!$C$7,$B198,26),'Mortality Tables'!$A$12:$CW$37,IF($B198&lt;=Input!$C$7+1,Input!$C$4+2,$D198-Input!$C$7+2),0)*IF(B198&gt;20,Input!$C$22,1)/1000,1))</f>
        <v>4.3299999999999996E-3</v>
      </c>
      <c r="Q198" s="155">
        <f>IF($E198="","",Input!$C$21)</f>
        <v>5.0000000000000001E-3</v>
      </c>
      <c r="R198" s="159">
        <f>IF($E198="","",(1-Q198)^($F198-Input!$C$20))</f>
        <v>0.92293112397423638</v>
      </c>
      <c r="S198" s="147">
        <f t="shared" si="123"/>
        <v>3.1970334134467553E-3</v>
      </c>
      <c r="T198" s="147">
        <f t="shared" si="124"/>
        <v>2.6681063664890647E-4</v>
      </c>
      <c r="U198" s="160">
        <f>IF($E198="","",IF($C198=12,INDEX(Input!$C$15:$CP$15,1,$B198),0))</f>
        <v>0</v>
      </c>
      <c r="V198" s="150">
        <f>IF(E198="","",IF(C198=1,IF($B198=1,Input!$C$33,Input!$C$34),0))</f>
        <v>0</v>
      </c>
      <c r="W198" s="156">
        <f>IF($E198="","",Input!$C$35)</f>
        <v>0.02</v>
      </c>
      <c r="X198" s="156">
        <f t="shared" si="125"/>
        <v>1.3727857050906125</v>
      </c>
      <c r="Y198" s="154"/>
      <c r="Z198" s="147">
        <f>IF($E198="","",VLOOKUP($D198,'Mortality Margins &amp; Grading'!$AB$5:$AF$125,3,0)*IF(Summary!$D$25="Included Margin",IF(AND($B198&gt;Input!$C$9,Summary!$D$31&lt;&gt;"Included Margin"),0,1),0))</f>
        <v>3.5000000000000003E-2</v>
      </c>
      <c r="AA198" s="147">
        <f>IF($E198="","",VLOOKUP($D198,'Mortality Margins &amp; Grading'!$AB$5:$AF$125,5,0)*IF(Summary!$D$25="Included Margin",IF(AND($B198&gt;Input!$C$9,Summary!$D$31&lt;&gt;"Included Margin"),0,1),0))</f>
        <v>0.182</v>
      </c>
      <c r="AB198" s="147">
        <f>IF($E198="","",IF(AND($B198&gt;Input!$C$9,Summary!$D$31&lt;&gt;"Included Margin"),1,IF(Summary!$D$25="Included Margin",VLOOKUP($B198,'Mortality Margins &amp; Grading'!$AI$5:$AR$125,MATCH('Mortality Margins &amp; Grading'!$AQ$4,'Mortality Margins &amp; Grading'!$AI$4:$AR$4,0),0),1)))</f>
        <v>1</v>
      </c>
      <c r="AC198" s="154"/>
      <c r="AD198" s="158">
        <f>IF(E198="","",Input!$C$48*IF(Summary!$D$30="Included Margin",IF(AND($B198&gt;Input!$C$9,Summary!$D$31&lt;&gt;"Included Margin"),0,1),0))</f>
        <v>-4.4999999999999997E-3</v>
      </c>
      <c r="AE198" s="159">
        <f>IF(E198="","",IF(Summary!$D$26="Included Margin",IF(AND($B198&gt;Input!$C$9,Summary!$D$31&lt;&gt;"Included Margin"),1,1/$R198),1))</f>
        <v>1.0835044718113926</v>
      </c>
      <c r="AF198" s="160">
        <f>IF(E198="","",IF(AND($B198&gt;=Input!$C$9,$C198=12,Summary!$D$31="Included Margin",$U198&gt;0),1/U198-1,IF($B198&gt;=Input!$C$9,0,Input!$C$45*IF(Summary!$D$27="Included Margin",1,0))))</f>
        <v>-0.1</v>
      </c>
      <c r="AG198" s="160">
        <f>IF(E198="","",Input!$C$46*IF(Summary!$D$28="Included Margin",IF(AND($B198&gt;Input!$C$9,Summary!$D$31&lt;&gt;"Included Margin"),0,1),0))</f>
        <v>0.02</v>
      </c>
      <c r="AH198" s="158">
        <f>IF(E198="","",Input!$C$47*IF(Summary!$D$29="Included Margin",IF(AND($B198&gt;Input!$C$9,Summary!$D$31&lt;&gt;"Included Margin"),0,1),0))</f>
        <v>2.5000000000000001E-3</v>
      </c>
      <c r="AI198" s="154"/>
      <c r="AJ198" s="158">
        <f t="shared" ref="AJ198:AJ261" si="148">IF(E198="","",M198+AD198)</f>
        <v>3.4430000000000002E-2</v>
      </c>
      <c r="AK198" s="155">
        <f t="shared" ref="AK198:AK261" si="149">IF(E198="","",(1+AJ198)^(1/12)-1)</f>
        <v>2.8248616214174849E-3</v>
      </c>
      <c r="AL198" s="147">
        <f t="shared" ref="AL198:AL261" si="150">IF($E198="","",MIN(($O198*(1+$Z198)*$AB198+$P198*(1+$AA198)*(1-$AB198))*R198*AE198,1))</f>
        <v>3.58524E-3</v>
      </c>
      <c r="AM198" s="147">
        <f t="shared" si="126"/>
        <v>2.9926207682284822E-4</v>
      </c>
      <c r="AN198" s="160">
        <f t="shared" ref="AN198:AN261" si="151">IF(E198="","",IF(U198=1,1,(1+AF198)*U198))</f>
        <v>0</v>
      </c>
      <c r="AO198" s="161">
        <f t="shared" ref="AO198:AO261" si="152">IF($E198="","",(1+$AG198)*$V198)</f>
        <v>0</v>
      </c>
      <c r="AP198" s="156">
        <f t="shared" si="127"/>
        <v>1.4276214574507233</v>
      </c>
      <c r="AQ198" s="152"/>
      <c r="AR198" s="162">
        <f t="shared" si="128"/>
        <v>1061.1708023107099</v>
      </c>
      <c r="AS198" s="150">
        <f t="shared" ref="AS198:AS261" si="153">IF($E198="","",IF($C198=1,$I198*$H198/1000,0))</f>
        <v>0</v>
      </c>
      <c r="AT198" s="163">
        <f t="shared" si="129"/>
        <v>0</v>
      </c>
      <c r="AU198" s="163">
        <f t="shared" si="130"/>
        <v>29.926207682284822</v>
      </c>
      <c r="AV198" s="163">
        <f t="shared" ref="AV198:AV261" si="154">IF($E198="","",(AR198+AS198-AT198-AU198/2)*$AK198)</f>
        <v>2.9553919754381974</v>
      </c>
      <c r="AW198" s="163">
        <f t="shared" si="131"/>
        <v>0.3095895020798175</v>
      </c>
      <c r="AX198" s="163">
        <f t="shared" si="132"/>
        <v>0</v>
      </c>
      <c r="AY198" s="164">
        <f t="shared" ref="AY198:AY261" si="155">IF($E198="","",AR198+AS198-AT198-AU198+AV198+AW198+AX198)</f>
        <v>1034.5095761059433</v>
      </c>
      <c r="AZ198" s="164">
        <f>IF($E198="","",IF(OR(AND($D198=Input!$C$6,$C198=12),$AN198=1),0,-AS199+AT199+AU199-AV199-AW199-AX199+AZ199))</f>
        <v>1034.5096357233488</v>
      </c>
      <c r="BA198" s="154">
        <f t="shared" si="133"/>
        <v>5.961740544080385E-5</v>
      </c>
      <c r="BC198" s="147">
        <f t="shared" ref="BC198:BC261" si="156">IF($E198="","",MIN(1,(1-T198-U198))*BC197)</f>
        <v>0.49240055585840947</v>
      </c>
      <c r="BD198" s="164">
        <f>IF(AND($C197=12,$D197=Input!$C$6),0,IF($E198="","",AT198+(AU198+BD199)/(1+$AK198)*MIN((1-AM198-AN198),1)))</f>
        <v>1643.7728666541338</v>
      </c>
      <c r="BE198" s="164">
        <f t="shared" si="134"/>
        <v>809.39467324546672</v>
      </c>
      <c r="BF198" s="164">
        <f t="shared" ref="BF198:BF261" si="157">IF($E198="","",AZ198)</f>
        <v>1034.5096357233488</v>
      </c>
      <c r="BG198" s="164">
        <f t="shared" si="135"/>
        <v>509.3931196710576</v>
      </c>
      <c r="BH198" s="152"/>
      <c r="BI198" s="162">
        <f t="shared" si="136"/>
        <v>799.26573197423397</v>
      </c>
      <c r="BJ198" s="150">
        <f t="shared" si="137"/>
        <v>0</v>
      </c>
      <c r="BK198" s="163">
        <f t="shared" si="120"/>
        <v>0</v>
      </c>
      <c r="BL198" s="163">
        <f t="shared" si="138"/>
        <v>26.681063664890647</v>
      </c>
      <c r="BM198" s="163">
        <f t="shared" si="121"/>
        <v>2.5052790893950969</v>
      </c>
      <c r="BN198" s="163">
        <f t="shared" si="139"/>
        <v>0.2068574521494172</v>
      </c>
      <c r="BO198" s="163">
        <f t="shared" si="140"/>
        <v>0</v>
      </c>
      <c r="BP198" s="164">
        <f t="shared" si="122"/>
        <v>775.29680485088784</v>
      </c>
      <c r="BQ198" s="164">
        <f>IF($E198="","",IF(AND($D198=Input!$C$6,$C198=12),0,-BJ199+BK199+BL199-BM199-BN199-BO199+BQ199))</f>
        <v>775.29687252168628</v>
      </c>
      <c r="BR198" s="161">
        <f t="shared" si="141"/>
        <v>0</v>
      </c>
      <c r="BT198" s="147">
        <f t="shared" si="142"/>
        <v>0.49240055585840947</v>
      </c>
      <c r="BU198" s="164">
        <f>IF(AND($C197=12,$D197=Input!$C$6),0,IF($E198="","",BK198+(BL198+BU199)/(1+$AK198)*MIN((1-T198-U198),1)))</f>
        <v>4991.7320830967037</v>
      </c>
      <c r="BV198" s="164">
        <f t="shared" si="143"/>
        <v>2457.9316524130732</v>
      </c>
      <c r="BW198" s="164">
        <f t="shared" si="144"/>
        <v>775.29687252168628</v>
      </c>
      <c r="BX198" s="164">
        <f t="shared" si="145"/>
        <v>381.75661098496477</v>
      </c>
    </row>
    <row r="199" spans="1:76" s="150" customFormat="1" x14ac:dyDescent="0.25">
      <c r="A199" s="150">
        <f t="shared" ref="A199:A262" si="158">IF(E199="","",A198+1)</f>
        <v>195</v>
      </c>
      <c r="B199" s="150">
        <f t="shared" ref="B199:B262" si="159">IF(E199="","",IF(C198+1&gt;12,B198+1,B198))</f>
        <v>17</v>
      </c>
      <c r="C199" s="150">
        <f t="shared" ref="C199:C262" si="160">IF(E199="","",IF(C198+1&gt;12,1,C198+1))</f>
        <v>3</v>
      </c>
      <c r="D199" s="150">
        <f>IF(E199="","",Input!$C$4+B199-1)</f>
        <v>61</v>
      </c>
      <c r="E199" s="150">
        <f>IF(OR(AND(C198=12,D198=Input!$C$6),E198=""),"",1)</f>
        <v>1</v>
      </c>
      <c r="F199" s="150">
        <f>IF(E199="","",Input!$C$8+B199-1)</f>
        <v>2034</v>
      </c>
      <c r="G199" s="151">
        <f>IF(E199="","",MAX(0,Input!$C$9-B199))</f>
        <v>3</v>
      </c>
      <c r="H199" s="152">
        <f>IF(E199="","",Input!$C$3)</f>
        <v>100000</v>
      </c>
      <c r="I199" s="153">
        <f>IF(E199="","",HLOOKUP($B199,Input!$C$13:$BT$14,2))</f>
        <v>2.2999999999999998</v>
      </c>
      <c r="J199" s="154"/>
      <c r="K199" s="155">
        <f>IF($E199="","",INDEX(Input!$C$16:$CP$16,1,$B199))</f>
        <v>2.393E-2</v>
      </c>
      <c r="L199" s="155">
        <f>IF($E199="","",Input!$C$37)</f>
        <v>1.4999999999999999E-2</v>
      </c>
      <c r="M199" s="155">
        <f t="shared" si="146"/>
        <v>3.8929999999999999E-2</v>
      </c>
      <c r="N199" s="155">
        <f t="shared" si="147"/>
        <v>3.1876813327058606E-3</v>
      </c>
      <c r="O199" s="147">
        <f>IF($E199="","",MIN(VLOOKUP(IF($B199&lt;=Input!$C$7,$B199,26),'Mortality Tables'!$A$41:$CW$67,IF($B199&lt;=Input!$C$7+1,Input!$C$4+2,$D199-Input!$C$7+2),0)*IF(B199&gt;20,Input!$C$22,1)/1000,1))</f>
        <v>3.4640000000000005E-3</v>
      </c>
      <c r="P199" s="147">
        <f>IF($E199="","",MIN(VLOOKUP(IF($B199&lt;=Input!$C$7,$B199,26),'Mortality Tables'!$A$12:$CW$37,IF($B199&lt;=Input!$C$7+1,Input!$C$4+2,$D199-Input!$C$7+2),0)*IF(B199&gt;20,Input!$C$22,1)/1000,1))</f>
        <v>4.3299999999999996E-3</v>
      </c>
      <c r="Q199" s="155">
        <f>IF($E199="","",Input!$C$21)</f>
        <v>5.0000000000000001E-3</v>
      </c>
      <c r="R199" s="159">
        <f>IF($E199="","",(1-Q199)^($F199-Input!$C$20))</f>
        <v>0.92293112397423638</v>
      </c>
      <c r="S199" s="147">
        <f t="shared" si="123"/>
        <v>3.1970334134467553E-3</v>
      </c>
      <c r="T199" s="147">
        <f t="shared" si="124"/>
        <v>2.6681063664890647E-4</v>
      </c>
      <c r="U199" s="160">
        <f>IF($E199="","",IF($C199=12,INDEX(Input!$C$15:$CP$15,1,$B199),0))</f>
        <v>0</v>
      </c>
      <c r="V199" s="150">
        <f>IF(E199="","",IF(C199=1,IF($B199=1,Input!$C$33,Input!$C$34),0))</f>
        <v>0</v>
      </c>
      <c r="W199" s="156">
        <f>IF($E199="","",Input!$C$35)</f>
        <v>0.02</v>
      </c>
      <c r="X199" s="156">
        <f t="shared" si="125"/>
        <v>1.3727857050906125</v>
      </c>
      <c r="Y199" s="154"/>
      <c r="Z199" s="147">
        <f>IF($E199="","",VLOOKUP($D199,'Mortality Margins &amp; Grading'!$AB$5:$AF$125,3,0)*IF(Summary!$D$25="Included Margin",IF(AND($B199&gt;Input!$C$9,Summary!$D$31&lt;&gt;"Included Margin"),0,1),0))</f>
        <v>3.5000000000000003E-2</v>
      </c>
      <c r="AA199" s="147">
        <f>IF($E199="","",VLOOKUP($D199,'Mortality Margins &amp; Grading'!$AB$5:$AF$125,5,0)*IF(Summary!$D$25="Included Margin",IF(AND($B199&gt;Input!$C$9,Summary!$D$31&lt;&gt;"Included Margin"),0,1),0))</f>
        <v>0.182</v>
      </c>
      <c r="AB199" s="147">
        <f>IF($E199="","",IF(AND($B199&gt;Input!$C$9,Summary!$D$31&lt;&gt;"Included Margin"),1,IF(Summary!$D$25="Included Margin",VLOOKUP($B199,'Mortality Margins &amp; Grading'!$AI$5:$AR$125,MATCH('Mortality Margins &amp; Grading'!$AQ$4,'Mortality Margins &amp; Grading'!$AI$4:$AR$4,0),0),1)))</f>
        <v>1</v>
      </c>
      <c r="AC199" s="154"/>
      <c r="AD199" s="158">
        <f>IF(E199="","",Input!$C$48*IF(Summary!$D$30="Included Margin",IF(AND($B199&gt;Input!$C$9,Summary!$D$31&lt;&gt;"Included Margin"),0,1),0))</f>
        <v>-4.4999999999999997E-3</v>
      </c>
      <c r="AE199" s="159">
        <f>IF(E199="","",IF(Summary!$D$26="Included Margin",IF(AND($B199&gt;Input!$C$9,Summary!$D$31&lt;&gt;"Included Margin"),1,1/$R199),1))</f>
        <v>1.0835044718113926</v>
      </c>
      <c r="AF199" s="160">
        <f>IF(E199="","",IF(AND($B199&gt;=Input!$C$9,$C199=12,Summary!$D$31="Included Margin",$U199&gt;0),1/U199-1,IF($B199&gt;=Input!$C$9,0,Input!$C$45*IF(Summary!$D$27="Included Margin",1,0))))</f>
        <v>-0.1</v>
      </c>
      <c r="AG199" s="160">
        <f>IF(E199="","",Input!$C$46*IF(Summary!$D$28="Included Margin",IF(AND($B199&gt;Input!$C$9,Summary!$D$31&lt;&gt;"Included Margin"),0,1),0))</f>
        <v>0.02</v>
      </c>
      <c r="AH199" s="158">
        <f>IF(E199="","",Input!$C$47*IF(Summary!$D$29="Included Margin",IF(AND($B199&gt;Input!$C$9,Summary!$D$31&lt;&gt;"Included Margin"),0,1),0))</f>
        <v>2.5000000000000001E-3</v>
      </c>
      <c r="AI199" s="154"/>
      <c r="AJ199" s="158">
        <f t="shared" si="148"/>
        <v>3.4430000000000002E-2</v>
      </c>
      <c r="AK199" s="155">
        <f t="shared" si="149"/>
        <v>2.8248616214174849E-3</v>
      </c>
      <c r="AL199" s="147">
        <f t="shared" si="150"/>
        <v>3.58524E-3</v>
      </c>
      <c r="AM199" s="147">
        <f t="shared" si="126"/>
        <v>2.9926207682284822E-4</v>
      </c>
      <c r="AN199" s="160">
        <f t="shared" si="151"/>
        <v>0</v>
      </c>
      <c r="AO199" s="161">
        <f t="shared" si="152"/>
        <v>0</v>
      </c>
      <c r="AP199" s="156">
        <f t="shared" si="127"/>
        <v>1.4276214574507233</v>
      </c>
      <c r="AQ199" s="152"/>
      <c r="AR199" s="162">
        <f t="shared" si="128"/>
        <v>1034.5095761059431</v>
      </c>
      <c r="AS199" s="150">
        <f t="shared" si="153"/>
        <v>0</v>
      </c>
      <c r="AT199" s="163">
        <f t="shared" si="129"/>
        <v>0</v>
      </c>
      <c r="AU199" s="163">
        <f t="shared" si="130"/>
        <v>29.926207682284822</v>
      </c>
      <c r="AV199" s="163">
        <f t="shared" si="154"/>
        <v>2.8800777007524219</v>
      </c>
      <c r="AW199" s="163">
        <f t="shared" si="131"/>
        <v>0.30158587426659689</v>
      </c>
      <c r="AX199" s="163">
        <f t="shared" si="132"/>
        <v>0</v>
      </c>
      <c r="AY199" s="164">
        <f t="shared" si="155"/>
        <v>1007.7650319986773</v>
      </c>
      <c r="AZ199" s="164">
        <f>IF($E199="","",IF(OR(AND($D199=Input!$C$6,$C199=12),$AN199=1),0,-AS200+AT200+AU200-AV200-AW200-AX200+AZ200))</f>
        <v>1007.7650916160829</v>
      </c>
      <c r="BA199" s="154">
        <f t="shared" si="133"/>
        <v>5.9617405668177526E-5</v>
      </c>
      <c r="BC199" s="147">
        <f t="shared" si="156"/>
        <v>0.49226917815261462</v>
      </c>
      <c r="BD199" s="164">
        <f>IF(AND($C198=12,$D198=Input!$C$6),0,IF($E199="","",AT199+(AU199+BD200)/(1+$AK199)*MIN((1-AM199-AN199),1)))</f>
        <v>1618.9835460145725</v>
      </c>
      <c r="BE199" s="164">
        <f t="shared" si="134"/>
        <v>796.97569963919932</v>
      </c>
      <c r="BF199" s="164">
        <f t="shared" si="157"/>
        <v>1007.7650916160829</v>
      </c>
      <c r="BG199" s="164">
        <f t="shared" si="135"/>
        <v>496.09169342074352</v>
      </c>
      <c r="BH199" s="152"/>
      <c r="BI199" s="162">
        <f t="shared" si="136"/>
        <v>775.29680485088784</v>
      </c>
      <c r="BJ199" s="150">
        <f t="shared" si="137"/>
        <v>0</v>
      </c>
      <c r="BK199" s="163">
        <f t="shared" ref="BK199:BK262" si="161">IF($E199="","",$V199*$X199)</f>
        <v>0</v>
      </c>
      <c r="BL199" s="163">
        <f t="shared" si="138"/>
        <v>26.681063664890647</v>
      </c>
      <c r="BM199" s="163">
        <f t="shared" ref="BM199:BM262" si="162">IF($E199="","",(BI199+BJ199-BK199-BL199/2)*$N199)</f>
        <v>2.4288737878390196</v>
      </c>
      <c r="BN199" s="163">
        <f t="shared" si="139"/>
        <v>0.20044018950276216</v>
      </c>
      <c r="BO199" s="163">
        <f t="shared" si="140"/>
        <v>0</v>
      </c>
      <c r="BP199" s="164">
        <f t="shared" ref="BP199:BP262" si="163">IF($E199="","",BI199+BJ199-BK199-BL199+BM199+BN199+BO199)</f>
        <v>751.24505516333898</v>
      </c>
      <c r="BQ199" s="164">
        <f>IF($E199="","",IF(AND($D199=Input!$C$6,$C199=12),0,-BJ200+BK200+BL200-BM200-BN200-BO200+BQ200))</f>
        <v>751.24512283413742</v>
      </c>
      <c r="BR199" s="161">
        <f t="shared" si="141"/>
        <v>0</v>
      </c>
      <c r="BT199" s="147">
        <f t="shared" si="142"/>
        <v>0.49226917815261462</v>
      </c>
      <c r="BU199" s="164">
        <f>IF(AND($C198=12,$D198=Input!$C$6),0,IF($E199="","",BK199+(BL199+BU200)/(1+$AK199)*MIN((1-T199-U199),1)))</f>
        <v>4980.4879377668321</v>
      </c>
      <c r="BV199" s="164">
        <f t="shared" si="143"/>
        <v>2451.740703923489</v>
      </c>
      <c r="BW199" s="164">
        <f t="shared" si="144"/>
        <v>751.24512283413742</v>
      </c>
      <c r="BX199" s="164">
        <f t="shared" si="145"/>
        <v>369.81481920872085</v>
      </c>
    </row>
    <row r="200" spans="1:76" s="150" customFormat="1" x14ac:dyDescent="0.25">
      <c r="A200" s="150">
        <f t="shared" si="158"/>
        <v>196</v>
      </c>
      <c r="B200" s="150">
        <f t="shared" si="159"/>
        <v>17</v>
      </c>
      <c r="C200" s="150">
        <f t="shared" si="160"/>
        <v>4</v>
      </c>
      <c r="D200" s="150">
        <f>IF(E200="","",Input!$C$4+B200-1)</f>
        <v>61</v>
      </c>
      <c r="E200" s="150">
        <f>IF(OR(AND(C199=12,D199=Input!$C$6),E199=""),"",1)</f>
        <v>1</v>
      </c>
      <c r="F200" s="150">
        <f>IF(E200="","",Input!$C$8+B200-1)</f>
        <v>2034</v>
      </c>
      <c r="G200" s="151">
        <f>IF(E200="","",MAX(0,Input!$C$9-B200))</f>
        <v>3</v>
      </c>
      <c r="H200" s="152">
        <f>IF(E200="","",Input!$C$3)</f>
        <v>100000</v>
      </c>
      <c r="I200" s="153">
        <f>IF(E200="","",HLOOKUP($B200,Input!$C$13:$BT$14,2))</f>
        <v>2.2999999999999998</v>
      </c>
      <c r="J200" s="154"/>
      <c r="K200" s="155">
        <f>IF($E200="","",INDEX(Input!$C$16:$CP$16,1,$B200))</f>
        <v>2.393E-2</v>
      </c>
      <c r="L200" s="155">
        <f>IF($E200="","",Input!$C$37)</f>
        <v>1.4999999999999999E-2</v>
      </c>
      <c r="M200" s="155">
        <f t="shared" si="146"/>
        <v>3.8929999999999999E-2</v>
      </c>
      <c r="N200" s="155">
        <f t="shared" si="147"/>
        <v>3.1876813327058606E-3</v>
      </c>
      <c r="O200" s="147">
        <f>IF($E200="","",MIN(VLOOKUP(IF($B200&lt;=Input!$C$7,$B200,26),'Mortality Tables'!$A$41:$CW$67,IF($B200&lt;=Input!$C$7+1,Input!$C$4+2,$D200-Input!$C$7+2),0)*IF(B200&gt;20,Input!$C$22,1)/1000,1))</f>
        <v>3.4640000000000005E-3</v>
      </c>
      <c r="P200" s="147">
        <f>IF($E200="","",MIN(VLOOKUP(IF($B200&lt;=Input!$C$7,$B200,26),'Mortality Tables'!$A$12:$CW$37,IF($B200&lt;=Input!$C$7+1,Input!$C$4+2,$D200-Input!$C$7+2),0)*IF(B200&gt;20,Input!$C$22,1)/1000,1))</f>
        <v>4.3299999999999996E-3</v>
      </c>
      <c r="Q200" s="155">
        <f>IF($E200="","",Input!$C$21)</f>
        <v>5.0000000000000001E-3</v>
      </c>
      <c r="R200" s="159">
        <f>IF($E200="","",(1-Q200)^($F200-Input!$C$20))</f>
        <v>0.92293112397423638</v>
      </c>
      <c r="S200" s="147">
        <f t="shared" si="123"/>
        <v>3.1970334134467553E-3</v>
      </c>
      <c r="T200" s="147">
        <f t="shared" si="124"/>
        <v>2.6681063664890647E-4</v>
      </c>
      <c r="U200" s="160">
        <f>IF($E200="","",IF($C200=12,INDEX(Input!$C$15:$CP$15,1,$B200),0))</f>
        <v>0</v>
      </c>
      <c r="V200" s="150">
        <f>IF(E200="","",IF(C200=1,IF($B200=1,Input!$C$33,Input!$C$34),0))</f>
        <v>0</v>
      </c>
      <c r="W200" s="156">
        <f>IF($E200="","",Input!$C$35)</f>
        <v>0.02</v>
      </c>
      <c r="X200" s="156">
        <f t="shared" si="125"/>
        <v>1.3727857050906125</v>
      </c>
      <c r="Y200" s="154"/>
      <c r="Z200" s="147">
        <f>IF($E200="","",VLOOKUP($D200,'Mortality Margins &amp; Grading'!$AB$5:$AF$125,3,0)*IF(Summary!$D$25="Included Margin",IF(AND($B200&gt;Input!$C$9,Summary!$D$31&lt;&gt;"Included Margin"),0,1),0))</f>
        <v>3.5000000000000003E-2</v>
      </c>
      <c r="AA200" s="147">
        <f>IF($E200="","",VLOOKUP($D200,'Mortality Margins &amp; Grading'!$AB$5:$AF$125,5,0)*IF(Summary!$D$25="Included Margin",IF(AND($B200&gt;Input!$C$9,Summary!$D$31&lt;&gt;"Included Margin"),0,1),0))</f>
        <v>0.182</v>
      </c>
      <c r="AB200" s="147">
        <f>IF($E200="","",IF(AND($B200&gt;Input!$C$9,Summary!$D$31&lt;&gt;"Included Margin"),1,IF(Summary!$D$25="Included Margin",VLOOKUP($B200,'Mortality Margins &amp; Grading'!$AI$5:$AR$125,MATCH('Mortality Margins &amp; Grading'!$AQ$4,'Mortality Margins &amp; Grading'!$AI$4:$AR$4,0),0),1)))</f>
        <v>1</v>
      </c>
      <c r="AC200" s="154"/>
      <c r="AD200" s="158">
        <f>IF(E200="","",Input!$C$48*IF(Summary!$D$30="Included Margin",IF(AND($B200&gt;Input!$C$9,Summary!$D$31&lt;&gt;"Included Margin"),0,1),0))</f>
        <v>-4.4999999999999997E-3</v>
      </c>
      <c r="AE200" s="159">
        <f>IF(E200="","",IF(Summary!$D$26="Included Margin",IF(AND($B200&gt;Input!$C$9,Summary!$D$31&lt;&gt;"Included Margin"),1,1/$R200),1))</f>
        <v>1.0835044718113926</v>
      </c>
      <c r="AF200" s="160">
        <f>IF(E200="","",IF(AND($B200&gt;=Input!$C$9,$C200=12,Summary!$D$31="Included Margin",$U200&gt;0),1/U200-1,IF($B200&gt;=Input!$C$9,0,Input!$C$45*IF(Summary!$D$27="Included Margin",1,0))))</f>
        <v>-0.1</v>
      </c>
      <c r="AG200" s="160">
        <f>IF(E200="","",Input!$C$46*IF(Summary!$D$28="Included Margin",IF(AND($B200&gt;Input!$C$9,Summary!$D$31&lt;&gt;"Included Margin"),0,1),0))</f>
        <v>0.02</v>
      </c>
      <c r="AH200" s="158">
        <f>IF(E200="","",Input!$C$47*IF(Summary!$D$29="Included Margin",IF(AND($B200&gt;Input!$C$9,Summary!$D$31&lt;&gt;"Included Margin"),0,1),0))</f>
        <v>2.5000000000000001E-3</v>
      </c>
      <c r="AI200" s="154"/>
      <c r="AJ200" s="158">
        <f t="shared" si="148"/>
        <v>3.4430000000000002E-2</v>
      </c>
      <c r="AK200" s="155">
        <f t="shared" si="149"/>
        <v>2.8248616214174849E-3</v>
      </c>
      <c r="AL200" s="147">
        <f t="shared" si="150"/>
        <v>3.58524E-3</v>
      </c>
      <c r="AM200" s="147">
        <f t="shared" si="126"/>
        <v>2.9926207682284822E-4</v>
      </c>
      <c r="AN200" s="160">
        <f t="shared" si="151"/>
        <v>0</v>
      </c>
      <c r="AO200" s="161">
        <f t="shared" si="152"/>
        <v>0</v>
      </c>
      <c r="AP200" s="156">
        <f t="shared" si="127"/>
        <v>1.4276214574507233</v>
      </c>
      <c r="AQ200" s="152"/>
      <c r="AR200" s="162">
        <f t="shared" si="128"/>
        <v>1007.7650319986773</v>
      </c>
      <c r="AS200" s="150">
        <f t="shared" si="153"/>
        <v>0</v>
      </c>
      <c r="AT200" s="163">
        <f t="shared" si="129"/>
        <v>0</v>
      </c>
      <c r="AU200" s="163">
        <f t="shared" si="130"/>
        <v>29.926207682284822</v>
      </c>
      <c r="AV200" s="163">
        <f t="shared" si="154"/>
        <v>2.8045280645214996</v>
      </c>
      <c r="AW200" s="163">
        <f t="shared" si="131"/>
        <v>0.29355723464496736</v>
      </c>
      <c r="AX200" s="163">
        <f t="shared" si="132"/>
        <v>0</v>
      </c>
      <c r="AY200" s="164">
        <f t="shared" si="155"/>
        <v>980.93690961555887</v>
      </c>
      <c r="AZ200" s="164">
        <f>IF($E200="","",IF(OR(AND($D200=Input!$C$6,$C200=12),$AN200=1),0,-AS201+AT201+AU201-AV201-AW201-AX201+AZ201))</f>
        <v>980.93696923296454</v>
      </c>
      <c r="BA200" s="154">
        <f t="shared" si="133"/>
        <v>5.9617405668177526E-5</v>
      </c>
      <c r="BC200" s="147">
        <f t="shared" si="156"/>
        <v>0.49213783549978907</v>
      </c>
      <c r="BD200" s="164">
        <f>IF(AND($C199=12,$D199=Input!$C$6),0,IF($E200="","",AT200+(AU200+BD201)/(1+$AK200)*MIN((1-AM200-AN200),1)))</f>
        <v>1594.1167572876773</v>
      </c>
      <c r="BE200" s="164">
        <f t="shared" si="134"/>
        <v>784.52517046550008</v>
      </c>
      <c r="BF200" s="164">
        <f t="shared" si="157"/>
        <v>980.93696923296454</v>
      </c>
      <c r="BG200" s="164">
        <f t="shared" si="135"/>
        <v>482.75619680003433</v>
      </c>
      <c r="BH200" s="152"/>
      <c r="BI200" s="162">
        <f t="shared" si="136"/>
        <v>751.24505516333898</v>
      </c>
      <c r="BJ200" s="150">
        <f t="shared" si="137"/>
        <v>0</v>
      </c>
      <c r="BK200" s="163">
        <f t="shared" si="161"/>
        <v>0</v>
      </c>
      <c r="BL200" s="163">
        <f t="shared" si="138"/>
        <v>26.681063664890647</v>
      </c>
      <c r="BM200" s="163">
        <f t="shared" si="162"/>
        <v>2.3522044743411059</v>
      </c>
      <c r="BN200" s="163">
        <f t="shared" si="139"/>
        <v>0.19400075255749025</v>
      </c>
      <c r="BO200" s="163">
        <f t="shared" si="140"/>
        <v>0</v>
      </c>
      <c r="BP200" s="164">
        <f t="shared" si="163"/>
        <v>727.1101967253469</v>
      </c>
      <c r="BQ200" s="164">
        <f>IF($E200="","",IF(AND($D200=Input!$C$6,$C200=12),0,-BJ201+BK201+BL201-BM201-BN201-BO201+BQ201))</f>
        <v>727.11026439614534</v>
      </c>
      <c r="BR200" s="161">
        <f t="shared" si="141"/>
        <v>0</v>
      </c>
      <c r="BT200" s="147">
        <f t="shared" si="142"/>
        <v>0.49213783549978907</v>
      </c>
      <c r="BU200" s="164">
        <f>IF(AND($C199=12,$D199=Input!$C$6),0,IF($E200="","",BK200+(BL200+BU201)/(1+$AK200)*MIN((1-T200-U200),1)))</f>
        <v>4969.2090199471077</v>
      </c>
      <c r="BV200" s="164">
        <f t="shared" si="143"/>
        <v>2445.5357712227978</v>
      </c>
      <c r="BW200" s="164">
        <f t="shared" si="144"/>
        <v>727.11026439614534</v>
      </c>
      <c r="BX200" s="164">
        <f t="shared" si="145"/>
        <v>357.83847168959829</v>
      </c>
    </row>
    <row r="201" spans="1:76" s="150" customFormat="1" x14ac:dyDescent="0.25">
      <c r="A201" s="150">
        <f t="shared" si="158"/>
        <v>197</v>
      </c>
      <c r="B201" s="150">
        <f t="shared" si="159"/>
        <v>17</v>
      </c>
      <c r="C201" s="150">
        <f t="shared" si="160"/>
        <v>5</v>
      </c>
      <c r="D201" s="150">
        <f>IF(E201="","",Input!$C$4+B201-1)</f>
        <v>61</v>
      </c>
      <c r="E201" s="150">
        <f>IF(OR(AND(C200=12,D200=Input!$C$6),E200=""),"",1)</f>
        <v>1</v>
      </c>
      <c r="F201" s="150">
        <f>IF(E201="","",Input!$C$8+B201-1)</f>
        <v>2034</v>
      </c>
      <c r="G201" s="151">
        <f>IF(E201="","",MAX(0,Input!$C$9-B201))</f>
        <v>3</v>
      </c>
      <c r="H201" s="152">
        <f>IF(E201="","",Input!$C$3)</f>
        <v>100000</v>
      </c>
      <c r="I201" s="153">
        <f>IF(E201="","",HLOOKUP($B201,Input!$C$13:$BT$14,2))</f>
        <v>2.2999999999999998</v>
      </c>
      <c r="J201" s="154"/>
      <c r="K201" s="155">
        <f>IF($E201="","",INDEX(Input!$C$16:$CP$16,1,$B201))</f>
        <v>2.393E-2</v>
      </c>
      <c r="L201" s="155">
        <f>IF($E201="","",Input!$C$37)</f>
        <v>1.4999999999999999E-2</v>
      </c>
      <c r="M201" s="155">
        <f t="shared" si="146"/>
        <v>3.8929999999999999E-2</v>
      </c>
      <c r="N201" s="155">
        <f t="shared" si="147"/>
        <v>3.1876813327058606E-3</v>
      </c>
      <c r="O201" s="147">
        <f>IF($E201="","",MIN(VLOOKUP(IF($B201&lt;=Input!$C$7,$B201,26),'Mortality Tables'!$A$41:$CW$67,IF($B201&lt;=Input!$C$7+1,Input!$C$4+2,$D201-Input!$C$7+2),0)*IF(B201&gt;20,Input!$C$22,1)/1000,1))</f>
        <v>3.4640000000000005E-3</v>
      </c>
      <c r="P201" s="147">
        <f>IF($E201="","",MIN(VLOOKUP(IF($B201&lt;=Input!$C$7,$B201,26),'Mortality Tables'!$A$12:$CW$37,IF($B201&lt;=Input!$C$7+1,Input!$C$4+2,$D201-Input!$C$7+2),0)*IF(B201&gt;20,Input!$C$22,1)/1000,1))</f>
        <v>4.3299999999999996E-3</v>
      </c>
      <c r="Q201" s="155">
        <f>IF($E201="","",Input!$C$21)</f>
        <v>5.0000000000000001E-3</v>
      </c>
      <c r="R201" s="159">
        <f>IF($E201="","",(1-Q201)^($F201-Input!$C$20))</f>
        <v>0.92293112397423638</v>
      </c>
      <c r="S201" s="147">
        <f t="shared" si="123"/>
        <v>3.1970334134467553E-3</v>
      </c>
      <c r="T201" s="147">
        <f t="shared" si="124"/>
        <v>2.6681063664890647E-4</v>
      </c>
      <c r="U201" s="160">
        <f>IF($E201="","",IF($C201=12,INDEX(Input!$C$15:$CP$15,1,$B201),0))</f>
        <v>0</v>
      </c>
      <c r="V201" s="150">
        <f>IF(E201="","",IF(C201=1,IF($B201=1,Input!$C$33,Input!$C$34),0))</f>
        <v>0</v>
      </c>
      <c r="W201" s="156">
        <f>IF($E201="","",Input!$C$35)</f>
        <v>0.02</v>
      </c>
      <c r="X201" s="156">
        <f t="shared" si="125"/>
        <v>1.3727857050906125</v>
      </c>
      <c r="Y201" s="154"/>
      <c r="Z201" s="147">
        <f>IF($E201="","",VLOOKUP($D201,'Mortality Margins &amp; Grading'!$AB$5:$AF$125,3,0)*IF(Summary!$D$25="Included Margin",IF(AND($B201&gt;Input!$C$9,Summary!$D$31&lt;&gt;"Included Margin"),0,1),0))</f>
        <v>3.5000000000000003E-2</v>
      </c>
      <c r="AA201" s="147">
        <f>IF($E201="","",VLOOKUP($D201,'Mortality Margins &amp; Grading'!$AB$5:$AF$125,5,0)*IF(Summary!$D$25="Included Margin",IF(AND($B201&gt;Input!$C$9,Summary!$D$31&lt;&gt;"Included Margin"),0,1),0))</f>
        <v>0.182</v>
      </c>
      <c r="AB201" s="147">
        <f>IF($E201="","",IF(AND($B201&gt;Input!$C$9,Summary!$D$31&lt;&gt;"Included Margin"),1,IF(Summary!$D$25="Included Margin",VLOOKUP($B201,'Mortality Margins &amp; Grading'!$AI$5:$AR$125,MATCH('Mortality Margins &amp; Grading'!$AQ$4,'Mortality Margins &amp; Grading'!$AI$4:$AR$4,0),0),1)))</f>
        <v>1</v>
      </c>
      <c r="AC201" s="154"/>
      <c r="AD201" s="158">
        <f>IF(E201="","",Input!$C$48*IF(Summary!$D$30="Included Margin",IF(AND($B201&gt;Input!$C$9,Summary!$D$31&lt;&gt;"Included Margin"),0,1),0))</f>
        <v>-4.4999999999999997E-3</v>
      </c>
      <c r="AE201" s="159">
        <f>IF(E201="","",IF(Summary!$D$26="Included Margin",IF(AND($B201&gt;Input!$C$9,Summary!$D$31&lt;&gt;"Included Margin"),1,1/$R201),1))</f>
        <v>1.0835044718113926</v>
      </c>
      <c r="AF201" s="160">
        <f>IF(E201="","",IF(AND($B201&gt;=Input!$C$9,$C201=12,Summary!$D$31="Included Margin",$U201&gt;0),1/U201-1,IF($B201&gt;=Input!$C$9,0,Input!$C$45*IF(Summary!$D$27="Included Margin",1,0))))</f>
        <v>-0.1</v>
      </c>
      <c r="AG201" s="160">
        <f>IF(E201="","",Input!$C$46*IF(Summary!$D$28="Included Margin",IF(AND($B201&gt;Input!$C$9,Summary!$D$31&lt;&gt;"Included Margin"),0,1),0))</f>
        <v>0.02</v>
      </c>
      <c r="AH201" s="158">
        <f>IF(E201="","",Input!$C$47*IF(Summary!$D$29="Included Margin",IF(AND($B201&gt;Input!$C$9,Summary!$D$31&lt;&gt;"Included Margin"),0,1),0))</f>
        <v>2.5000000000000001E-3</v>
      </c>
      <c r="AI201" s="154"/>
      <c r="AJ201" s="158">
        <f t="shared" si="148"/>
        <v>3.4430000000000002E-2</v>
      </c>
      <c r="AK201" s="155">
        <f t="shared" si="149"/>
        <v>2.8248616214174849E-3</v>
      </c>
      <c r="AL201" s="147">
        <f t="shared" si="150"/>
        <v>3.58524E-3</v>
      </c>
      <c r="AM201" s="147">
        <f t="shared" si="126"/>
        <v>2.9926207682284822E-4</v>
      </c>
      <c r="AN201" s="160">
        <f t="shared" si="151"/>
        <v>0</v>
      </c>
      <c r="AO201" s="161">
        <f t="shared" si="152"/>
        <v>0</v>
      </c>
      <c r="AP201" s="156">
        <f t="shared" si="127"/>
        <v>1.4276214574507233</v>
      </c>
      <c r="AQ201" s="152"/>
      <c r="AR201" s="162">
        <f t="shared" si="128"/>
        <v>980.93690961555887</v>
      </c>
      <c r="AS201" s="150">
        <f t="shared" si="153"/>
        <v>0</v>
      </c>
      <c r="AT201" s="163">
        <f t="shared" si="129"/>
        <v>0</v>
      </c>
      <c r="AU201" s="163">
        <f t="shared" si="130"/>
        <v>29.926207682284822</v>
      </c>
      <c r="AV201" s="163">
        <f t="shared" si="154"/>
        <v>2.7287423312267367</v>
      </c>
      <c r="AW201" s="163">
        <f t="shared" si="131"/>
        <v>0.2855035050515542</v>
      </c>
      <c r="AX201" s="163">
        <f t="shared" si="132"/>
        <v>0</v>
      </c>
      <c r="AY201" s="164">
        <f t="shared" si="155"/>
        <v>954.02494776955234</v>
      </c>
      <c r="AZ201" s="164">
        <f>IF($E201="","",IF(OR(AND($D201=Input!$C$6,$C201=12),$AN201=1),0,-AS202+AT202+AU202-AV202-AW202-AX202+AZ202))</f>
        <v>954.02500738695801</v>
      </c>
      <c r="BA201" s="154">
        <f t="shared" si="133"/>
        <v>5.9617405668177526E-5</v>
      </c>
      <c r="BC201" s="147">
        <f t="shared" si="156"/>
        <v>0.49200652789058036</v>
      </c>
      <c r="BD201" s="164">
        <f>IF(AND($C200=12,$D200=Input!$C$6),0,IF($E201="","",AT201+(AU201+BD202)/(1+$AK201)*MIN((1-AM201-AN201),1)))</f>
        <v>1569.1722583811113</v>
      </c>
      <c r="BE201" s="164">
        <f t="shared" si="134"/>
        <v>772.04299450831115</v>
      </c>
      <c r="BF201" s="164">
        <f t="shared" si="157"/>
        <v>954.02500738695801</v>
      </c>
      <c r="BG201" s="164">
        <f t="shared" si="135"/>
        <v>469.38653140524247</v>
      </c>
      <c r="BH201" s="152"/>
      <c r="BI201" s="162">
        <f t="shared" si="136"/>
        <v>727.1101967253469</v>
      </c>
      <c r="BJ201" s="150">
        <f t="shared" si="137"/>
        <v>0</v>
      </c>
      <c r="BK201" s="163">
        <f t="shared" si="161"/>
        <v>0</v>
      </c>
      <c r="BL201" s="163">
        <f t="shared" si="138"/>
        <v>26.681063664890647</v>
      </c>
      <c r="BM201" s="163">
        <f t="shared" si="162"/>
        <v>2.2752702366308202</v>
      </c>
      <c r="BN201" s="163">
        <f t="shared" si="139"/>
        <v>0.18753906469222165</v>
      </c>
      <c r="BO201" s="163">
        <f t="shared" si="140"/>
        <v>0</v>
      </c>
      <c r="BP201" s="164">
        <f t="shared" si="163"/>
        <v>702.89194236177934</v>
      </c>
      <c r="BQ201" s="164">
        <f>IF($E201="","",IF(AND($D201=Input!$C$6,$C201=12),0,-BJ202+BK202+BL202-BM202-BN202-BO202+BQ202))</f>
        <v>702.89201003257779</v>
      </c>
      <c r="BR201" s="161">
        <f t="shared" si="141"/>
        <v>0</v>
      </c>
      <c r="BT201" s="147">
        <f t="shared" si="142"/>
        <v>0.49200652789058036</v>
      </c>
      <c r="BU201" s="164">
        <f>IF(AND($C200=12,$D200=Input!$C$6),0,IF($E201="","",BK201+(BL201+BU202)/(1+$AK201)*MIN((1-T201-U201),1)))</f>
        <v>4957.895222103698</v>
      </c>
      <c r="BV201" s="164">
        <f t="shared" si="143"/>
        <v>2439.3168138725382</v>
      </c>
      <c r="BW201" s="164">
        <f t="shared" si="144"/>
        <v>702.89201003257779</v>
      </c>
      <c r="BX201" s="164">
        <f t="shared" si="145"/>
        <v>345.82745733815955</v>
      </c>
    </row>
    <row r="202" spans="1:76" s="150" customFormat="1" x14ac:dyDescent="0.25">
      <c r="A202" s="150">
        <f t="shared" si="158"/>
        <v>198</v>
      </c>
      <c r="B202" s="150">
        <f t="shared" si="159"/>
        <v>17</v>
      </c>
      <c r="C202" s="150">
        <f t="shared" si="160"/>
        <v>6</v>
      </c>
      <c r="D202" s="150">
        <f>IF(E202="","",Input!$C$4+B202-1)</f>
        <v>61</v>
      </c>
      <c r="E202" s="150">
        <f>IF(OR(AND(C201=12,D201=Input!$C$6),E201=""),"",1)</f>
        <v>1</v>
      </c>
      <c r="F202" s="150">
        <f>IF(E202="","",Input!$C$8+B202-1)</f>
        <v>2034</v>
      </c>
      <c r="G202" s="151">
        <f>IF(E202="","",MAX(0,Input!$C$9-B202))</f>
        <v>3</v>
      </c>
      <c r="H202" s="152">
        <f>IF(E202="","",Input!$C$3)</f>
        <v>100000</v>
      </c>
      <c r="I202" s="153">
        <f>IF(E202="","",HLOOKUP($B202,Input!$C$13:$BT$14,2))</f>
        <v>2.2999999999999998</v>
      </c>
      <c r="J202" s="154"/>
      <c r="K202" s="155">
        <f>IF($E202="","",INDEX(Input!$C$16:$CP$16,1,$B202))</f>
        <v>2.393E-2</v>
      </c>
      <c r="L202" s="155">
        <f>IF($E202="","",Input!$C$37)</f>
        <v>1.4999999999999999E-2</v>
      </c>
      <c r="M202" s="155">
        <f t="shared" si="146"/>
        <v>3.8929999999999999E-2</v>
      </c>
      <c r="N202" s="155">
        <f t="shared" si="147"/>
        <v>3.1876813327058606E-3</v>
      </c>
      <c r="O202" s="147">
        <f>IF($E202="","",MIN(VLOOKUP(IF($B202&lt;=Input!$C$7,$B202,26),'Mortality Tables'!$A$41:$CW$67,IF($B202&lt;=Input!$C$7+1,Input!$C$4+2,$D202-Input!$C$7+2),0)*IF(B202&gt;20,Input!$C$22,1)/1000,1))</f>
        <v>3.4640000000000005E-3</v>
      </c>
      <c r="P202" s="147">
        <f>IF($E202="","",MIN(VLOOKUP(IF($B202&lt;=Input!$C$7,$B202,26),'Mortality Tables'!$A$12:$CW$37,IF($B202&lt;=Input!$C$7+1,Input!$C$4+2,$D202-Input!$C$7+2),0)*IF(B202&gt;20,Input!$C$22,1)/1000,1))</f>
        <v>4.3299999999999996E-3</v>
      </c>
      <c r="Q202" s="155">
        <f>IF($E202="","",Input!$C$21)</f>
        <v>5.0000000000000001E-3</v>
      </c>
      <c r="R202" s="159">
        <f>IF($E202="","",(1-Q202)^($F202-Input!$C$20))</f>
        <v>0.92293112397423638</v>
      </c>
      <c r="S202" s="147">
        <f t="shared" si="123"/>
        <v>3.1970334134467553E-3</v>
      </c>
      <c r="T202" s="147">
        <f t="shared" si="124"/>
        <v>2.6681063664890647E-4</v>
      </c>
      <c r="U202" s="160">
        <f>IF($E202="","",IF($C202=12,INDEX(Input!$C$15:$CP$15,1,$B202),0))</f>
        <v>0</v>
      </c>
      <c r="V202" s="150">
        <f>IF(E202="","",IF(C202=1,IF($B202=1,Input!$C$33,Input!$C$34),0))</f>
        <v>0</v>
      </c>
      <c r="W202" s="156">
        <f>IF($E202="","",Input!$C$35)</f>
        <v>0.02</v>
      </c>
      <c r="X202" s="156">
        <f t="shared" si="125"/>
        <v>1.3727857050906125</v>
      </c>
      <c r="Y202" s="154"/>
      <c r="Z202" s="147">
        <f>IF($E202="","",VLOOKUP($D202,'Mortality Margins &amp; Grading'!$AB$5:$AF$125,3,0)*IF(Summary!$D$25="Included Margin",IF(AND($B202&gt;Input!$C$9,Summary!$D$31&lt;&gt;"Included Margin"),0,1),0))</f>
        <v>3.5000000000000003E-2</v>
      </c>
      <c r="AA202" s="147">
        <f>IF($E202="","",VLOOKUP($D202,'Mortality Margins &amp; Grading'!$AB$5:$AF$125,5,0)*IF(Summary!$D$25="Included Margin",IF(AND($B202&gt;Input!$C$9,Summary!$D$31&lt;&gt;"Included Margin"),0,1),0))</f>
        <v>0.182</v>
      </c>
      <c r="AB202" s="147">
        <f>IF($E202="","",IF(AND($B202&gt;Input!$C$9,Summary!$D$31&lt;&gt;"Included Margin"),1,IF(Summary!$D$25="Included Margin",VLOOKUP($B202,'Mortality Margins &amp; Grading'!$AI$5:$AR$125,MATCH('Mortality Margins &amp; Grading'!$AQ$4,'Mortality Margins &amp; Grading'!$AI$4:$AR$4,0),0),1)))</f>
        <v>1</v>
      </c>
      <c r="AC202" s="154"/>
      <c r="AD202" s="158">
        <f>IF(E202="","",Input!$C$48*IF(Summary!$D$30="Included Margin",IF(AND($B202&gt;Input!$C$9,Summary!$D$31&lt;&gt;"Included Margin"),0,1),0))</f>
        <v>-4.4999999999999997E-3</v>
      </c>
      <c r="AE202" s="159">
        <f>IF(E202="","",IF(Summary!$D$26="Included Margin",IF(AND($B202&gt;Input!$C$9,Summary!$D$31&lt;&gt;"Included Margin"),1,1/$R202),1))</f>
        <v>1.0835044718113926</v>
      </c>
      <c r="AF202" s="160">
        <f>IF(E202="","",IF(AND($B202&gt;=Input!$C$9,$C202=12,Summary!$D$31="Included Margin",$U202&gt;0),1/U202-1,IF($B202&gt;=Input!$C$9,0,Input!$C$45*IF(Summary!$D$27="Included Margin",1,0))))</f>
        <v>-0.1</v>
      </c>
      <c r="AG202" s="160">
        <f>IF(E202="","",Input!$C$46*IF(Summary!$D$28="Included Margin",IF(AND($B202&gt;Input!$C$9,Summary!$D$31&lt;&gt;"Included Margin"),0,1),0))</f>
        <v>0.02</v>
      </c>
      <c r="AH202" s="158">
        <f>IF(E202="","",Input!$C$47*IF(Summary!$D$29="Included Margin",IF(AND($B202&gt;Input!$C$9,Summary!$D$31&lt;&gt;"Included Margin"),0,1),0))</f>
        <v>2.5000000000000001E-3</v>
      </c>
      <c r="AI202" s="154"/>
      <c r="AJ202" s="158">
        <f t="shared" si="148"/>
        <v>3.4430000000000002E-2</v>
      </c>
      <c r="AK202" s="155">
        <f t="shared" si="149"/>
        <v>2.8248616214174849E-3</v>
      </c>
      <c r="AL202" s="147">
        <f t="shared" si="150"/>
        <v>3.58524E-3</v>
      </c>
      <c r="AM202" s="147">
        <f t="shared" si="126"/>
        <v>2.9926207682284822E-4</v>
      </c>
      <c r="AN202" s="160">
        <f t="shared" si="151"/>
        <v>0</v>
      </c>
      <c r="AO202" s="161">
        <f t="shared" si="152"/>
        <v>0</v>
      </c>
      <c r="AP202" s="156">
        <f t="shared" si="127"/>
        <v>1.4276214574507233</v>
      </c>
      <c r="AQ202" s="152"/>
      <c r="AR202" s="162">
        <f t="shared" si="128"/>
        <v>954.02494776955234</v>
      </c>
      <c r="AS202" s="150">
        <f t="shared" si="153"/>
        <v>0</v>
      </c>
      <c r="AT202" s="163">
        <f t="shared" si="129"/>
        <v>0</v>
      </c>
      <c r="AU202" s="163">
        <f t="shared" si="130"/>
        <v>29.926207682284822</v>
      </c>
      <c r="AV202" s="163">
        <f t="shared" si="154"/>
        <v>2.6527197630509014</v>
      </c>
      <c r="AW202" s="163">
        <f t="shared" si="131"/>
        <v>0.27742460707871752</v>
      </c>
      <c r="AX202" s="163">
        <f t="shared" si="132"/>
        <v>0</v>
      </c>
      <c r="AY202" s="164">
        <f t="shared" si="155"/>
        <v>927.02888445739711</v>
      </c>
      <c r="AZ202" s="164">
        <f>IF($E202="","",IF(OR(AND($D202=Input!$C$6,$C202=12),$AN202=1),0,-AS203+AT203+AU203-AV203-AW203-AX203+AZ203))</f>
        <v>927.02894407480278</v>
      </c>
      <c r="BA202" s="154">
        <f t="shared" si="133"/>
        <v>5.9617405668177526E-5</v>
      </c>
      <c r="BC202" s="147">
        <f t="shared" si="156"/>
        <v>0.49187525531563847</v>
      </c>
      <c r="BD202" s="164">
        <f>IF(AND($C201=12,$D201=Input!$C$6),0,IF($E202="","",AT202+(AU202+BD203)/(1+$AK202)*MIN((1-AM202-AN202),1)))</f>
        <v>1544.1498064459854</v>
      </c>
      <c r="BE202" s="164">
        <f t="shared" si="134"/>
        <v>759.52908029121284</v>
      </c>
      <c r="BF202" s="164">
        <f t="shared" si="157"/>
        <v>927.02894407480278</v>
      </c>
      <c r="BG202" s="164">
        <f t="shared" si="135"/>
        <v>455.98259855178037</v>
      </c>
      <c r="BH202" s="152"/>
      <c r="BI202" s="162">
        <f t="shared" si="136"/>
        <v>702.89194236177934</v>
      </c>
      <c r="BJ202" s="150">
        <f t="shared" si="137"/>
        <v>0</v>
      </c>
      <c r="BK202" s="163">
        <f t="shared" si="161"/>
        <v>0</v>
      </c>
      <c r="BL202" s="163">
        <f t="shared" si="138"/>
        <v>26.681063664890647</v>
      </c>
      <c r="BM202" s="163">
        <f t="shared" si="162"/>
        <v>2.1980701592853533</v>
      </c>
      <c r="BN202" s="163">
        <f t="shared" si="139"/>
        <v>0.18105504902081779</v>
      </c>
      <c r="BO202" s="163">
        <f t="shared" si="140"/>
        <v>0</v>
      </c>
      <c r="BP202" s="164">
        <f t="shared" si="163"/>
        <v>678.59000390519498</v>
      </c>
      <c r="BQ202" s="164">
        <f>IF($E202="","",IF(AND($D202=Input!$C$6,$C202=12),0,-BJ203+BK203+BL203-BM203-BN203-BO203+BQ203))</f>
        <v>678.59007157599331</v>
      </c>
      <c r="BR202" s="161">
        <f t="shared" si="141"/>
        <v>0</v>
      </c>
      <c r="BT202" s="147">
        <f t="shared" si="142"/>
        <v>0.49187525531563847</v>
      </c>
      <c r="BU202" s="164">
        <f>IF(AND($C201=12,$D201=Input!$C$6),0,IF($E202="","",BK202+(BL202+BU203)/(1+$AK202)*MIN((1-T202-U202),1)))</f>
        <v>4946.5464363702213</v>
      </c>
      <c r="BV202" s="164">
        <f t="shared" si="143"/>
        <v>2433.083791320264</v>
      </c>
      <c r="BW202" s="164">
        <f t="shared" si="144"/>
        <v>678.59007157599331</v>
      </c>
      <c r="BX202" s="164">
        <f t="shared" si="145"/>
        <v>333.7816647110991</v>
      </c>
    </row>
    <row r="203" spans="1:76" s="150" customFormat="1" x14ac:dyDescent="0.25">
      <c r="A203" s="150">
        <f t="shared" si="158"/>
        <v>199</v>
      </c>
      <c r="B203" s="150">
        <f t="shared" si="159"/>
        <v>17</v>
      </c>
      <c r="C203" s="150">
        <f t="shared" si="160"/>
        <v>7</v>
      </c>
      <c r="D203" s="150">
        <f>IF(E203="","",Input!$C$4+B203-1)</f>
        <v>61</v>
      </c>
      <c r="E203" s="150">
        <f>IF(OR(AND(C202=12,D202=Input!$C$6),E202=""),"",1)</f>
        <v>1</v>
      </c>
      <c r="F203" s="150">
        <f>IF(E203="","",Input!$C$8+B203-1)</f>
        <v>2034</v>
      </c>
      <c r="G203" s="151">
        <f>IF(E203="","",MAX(0,Input!$C$9-B203))</f>
        <v>3</v>
      </c>
      <c r="H203" s="152">
        <f>IF(E203="","",Input!$C$3)</f>
        <v>100000</v>
      </c>
      <c r="I203" s="153">
        <f>IF(E203="","",HLOOKUP($B203,Input!$C$13:$BT$14,2))</f>
        <v>2.2999999999999998</v>
      </c>
      <c r="J203" s="154"/>
      <c r="K203" s="155">
        <f>IF($E203="","",INDEX(Input!$C$16:$CP$16,1,$B203))</f>
        <v>2.393E-2</v>
      </c>
      <c r="L203" s="155">
        <f>IF($E203="","",Input!$C$37)</f>
        <v>1.4999999999999999E-2</v>
      </c>
      <c r="M203" s="155">
        <f t="shared" si="146"/>
        <v>3.8929999999999999E-2</v>
      </c>
      <c r="N203" s="155">
        <f t="shared" si="147"/>
        <v>3.1876813327058606E-3</v>
      </c>
      <c r="O203" s="147">
        <f>IF($E203="","",MIN(VLOOKUP(IF($B203&lt;=Input!$C$7,$B203,26),'Mortality Tables'!$A$41:$CW$67,IF($B203&lt;=Input!$C$7+1,Input!$C$4+2,$D203-Input!$C$7+2),0)*IF(B203&gt;20,Input!$C$22,1)/1000,1))</f>
        <v>3.4640000000000005E-3</v>
      </c>
      <c r="P203" s="147">
        <f>IF($E203="","",MIN(VLOOKUP(IF($B203&lt;=Input!$C$7,$B203,26),'Mortality Tables'!$A$12:$CW$37,IF($B203&lt;=Input!$C$7+1,Input!$C$4+2,$D203-Input!$C$7+2),0)*IF(B203&gt;20,Input!$C$22,1)/1000,1))</f>
        <v>4.3299999999999996E-3</v>
      </c>
      <c r="Q203" s="155">
        <f>IF($E203="","",Input!$C$21)</f>
        <v>5.0000000000000001E-3</v>
      </c>
      <c r="R203" s="159">
        <f>IF($E203="","",(1-Q203)^($F203-Input!$C$20))</f>
        <v>0.92293112397423638</v>
      </c>
      <c r="S203" s="147">
        <f t="shared" si="123"/>
        <v>3.1970334134467553E-3</v>
      </c>
      <c r="T203" s="147">
        <f t="shared" si="124"/>
        <v>2.6681063664890647E-4</v>
      </c>
      <c r="U203" s="160">
        <f>IF($E203="","",IF($C203=12,INDEX(Input!$C$15:$CP$15,1,$B203),0))</f>
        <v>0</v>
      </c>
      <c r="V203" s="150">
        <f>IF(E203="","",IF(C203=1,IF($B203=1,Input!$C$33,Input!$C$34),0))</f>
        <v>0</v>
      </c>
      <c r="W203" s="156">
        <f>IF($E203="","",Input!$C$35)</f>
        <v>0.02</v>
      </c>
      <c r="X203" s="156">
        <f t="shared" si="125"/>
        <v>1.3727857050906125</v>
      </c>
      <c r="Y203" s="154"/>
      <c r="Z203" s="147">
        <f>IF($E203="","",VLOOKUP($D203,'Mortality Margins &amp; Grading'!$AB$5:$AF$125,3,0)*IF(Summary!$D$25="Included Margin",IF(AND($B203&gt;Input!$C$9,Summary!$D$31&lt;&gt;"Included Margin"),0,1),0))</f>
        <v>3.5000000000000003E-2</v>
      </c>
      <c r="AA203" s="147">
        <f>IF($E203="","",VLOOKUP($D203,'Mortality Margins &amp; Grading'!$AB$5:$AF$125,5,0)*IF(Summary!$D$25="Included Margin",IF(AND($B203&gt;Input!$C$9,Summary!$D$31&lt;&gt;"Included Margin"),0,1),0))</f>
        <v>0.182</v>
      </c>
      <c r="AB203" s="147">
        <f>IF($E203="","",IF(AND($B203&gt;Input!$C$9,Summary!$D$31&lt;&gt;"Included Margin"),1,IF(Summary!$D$25="Included Margin",VLOOKUP($B203,'Mortality Margins &amp; Grading'!$AI$5:$AR$125,MATCH('Mortality Margins &amp; Grading'!$AQ$4,'Mortality Margins &amp; Grading'!$AI$4:$AR$4,0),0),1)))</f>
        <v>1</v>
      </c>
      <c r="AC203" s="154"/>
      <c r="AD203" s="158">
        <f>IF(E203="","",Input!$C$48*IF(Summary!$D$30="Included Margin",IF(AND($B203&gt;Input!$C$9,Summary!$D$31&lt;&gt;"Included Margin"),0,1),0))</f>
        <v>-4.4999999999999997E-3</v>
      </c>
      <c r="AE203" s="159">
        <f>IF(E203="","",IF(Summary!$D$26="Included Margin",IF(AND($B203&gt;Input!$C$9,Summary!$D$31&lt;&gt;"Included Margin"),1,1/$R203),1))</f>
        <v>1.0835044718113926</v>
      </c>
      <c r="AF203" s="160">
        <f>IF(E203="","",IF(AND($B203&gt;=Input!$C$9,$C203=12,Summary!$D$31="Included Margin",$U203&gt;0),1/U203-1,IF($B203&gt;=Input!$C$9,0,Input!$C$45*IF(Summary!$D$27="Included Margin",1,0))))</f>
        <v>-0.1</v>
      </c>
      <c r="AG203" s="160">
        <f>IF(E203="","",Input!$C$46*IF(Summary!$D$28="Included Margin",IF(AND($B203&gt;Input!$C$9,Summary!$D$31&lt;&gt;"Included Margin"),0,1),0))</f>
        <v>0.02</v>
      </c>
      <c r="AH203" s="158">
        <f>IF(E203="","",Input!$C$47*IF(Summary!$D$29="Included Margin",IF(AND($B203&gt;Input!$C$9,Summary!$D$31&lt;&gt;"Included Margin"),0,1),0))</f>
        <v>2.5000000000000001E-3</v>
      </c>
      <c r="AI203" s="154"/>
      <c r="AJ203" s="158">
        <f t="shared" si="148"/>
        <v>3.4430000000000002E-2</v>
      </c>
      <c r="AK203" s="155">
        <f t="shared" si="149"/>
        <v>2.8248616214174849E-3</v>
      </c>
      <c r="AL203" s="147">
        <f t="shared" si="150"/>
        <v>3.58524E-3</v>
      </c>
      <c r="AM203" s="147">
        <f t="shared" si="126"/>
        <v>2.9926207682284822E-4</v>
      </c>
      <c r="AN203" s="160">
        <f t="shared" si="151"/>
        <v>0</v>
      </c>
      <c r="AO203" s="161">
        <f t="shared" si="152"/>
        <v>0</v>
      </c>
      <c r="AP203" s="156">
        <f t="shared" si="127"/>
        <v>1.4276214574507233</v>
      </c>
      <c r="AQ203" s="152"/>
      <c r="AR203" s="162">
        <f t="shared" si="128"/>
        <v>927.02888445739711</v>
      </c>
      <c r="AS203" s="150">
        <f t="shared" si="153"/>
        <v>0</v>
      </c>
      <c r="AT203" s="163">
        <f t="shared" si="129"/>
        <v>0</v>
      </c>
      <c r="AU203" s="163">
        <f t="shared" si="130"/>
        <v>29.926207682284822</v>
      </c>
      <c r="AV203" s="163">
        <f t="shared" si="154"/>
        <v>2.5764596198710374</v>
      </c>
      <c r="AW203" s="163">
        <f t="shared" si="131"/>
        <v>0.26932046207378896</v>
      </c>
      <c r="AX203" s="163">
        <f t="shared" si="132"/>
        <v>0</v>
      </c>
      <c r="AY203" s="164">
        <f t="shared" si="155"/>
        <v>899.94845685705707</v>
      </c>
      <c r="AZ203" s="164">
        <f>IF($E203="","",IF(OR(AND($D203=Input!$C$6,$C203=12),$AN203=1),0,-AS204+AT204+AU204-AV204-AW204-AX204+AZ204))</f>
        <v>899.94851647446274</v>
      </c>
      <c r="BA203" s="154">
        <f t="shared" si="133"/>
        <v>5.9617405668177526E-5</v>
      </c>
      <c r="BC203" s="147">
        <f t="shared" si="156"/>
        <v>0.49174401776561588</v>
      </c>
      <c r="BD203" s="164">
        <f>IF(AND($C202=12,$D202=Input!$C$6),0,IF($E203="","",AT203+(AU203+BD204)/(1+$AK203)*MIN((1-AM203-AN203),1)))</f>
        <v>1519.0491578744932</v>
      </c>
      <c r="BE203" s="164">
        <f t="shared" si="134"/>
        <v>746.9833360766786</v>
      </c>
      <c r="BF203" s="164">
        <f t="shared" si="157"/>
        <v>899.94851647446274</v>
      </c>
      <c r="BG203" s="164">
        <f t="shared" si="135"/>
        <v>442.54429927335786</v>
      </c>
      <c r="BH203" s="152"/>
      <c r="BI203" s="162">
        <f t="shared" si="136"/>
        <v>678.59000390519498</v>
      </c>
      <c r="BJ203" s="150">
        <f t="shared" si="137"/>
        <v>0</v>
      </c>
      <c r="BK203" s="163">
        <f t="shared" si="161"/>
        <v>0</v>
      </c>
      <c r="BL203" s="163">
        <f t="shared" si="138"/>
        <v>26.681063664890647</v>
      </c>
      <c r="BM203" s="163">
        <f t="shared" si="162"/>
        <v>2.1206033237187327</v>
      </c>
      <c r="BN203" s="163">
        <f t="shared" si="139"/>
        <v>0.17454862839146681</v>
      </c>
      <c r="BO203" s="163">
        <f t="shared" si="140"/>
        <v>0</v>
      </c>
      <c r="BP203" s="164">
        <f t="shared" si="163"/>
        <v>654.20409219241446</v>
      </c>
      <c r="BQ203" s="164">
        <f>IF($E203="","",IF(AND($D203=Input!$C$6,$C203=12),0,-BJ204+BK204+BL204-BM204-BN204-BO204+BQ204))</f>
        <v>654.20415986321291</v>
      </c>
      <c r="BR203" s="161">
        <f t="shared" si="141"/>
        <v>0</v>
      </c>
      <c r="BT203" s="147">
        <f t="shared" si="142"/>
        <v>0.49174401776561588</v>
      </c>
      <c r="BU203" s="164">
        <f>IF(AND($C202=12,$D202=Input!$C$6),0,IF($E203="","",BK203+(BL203+BU204)/(1+$AK203)*MIN((1-T203-U203),1)))</f>
        <v>4935.1625545467195</v>
      </c>
      <c r="BV203" s="164">
        <f t="shared" si="143"/>
        <v>2426.8366628992244</v>
      </c>
      <c r="BW203" s="164">
        <f t="shared" si="144"/>
        <v>654.20415986321291</v>
      </c>
      <c r="BX203" s="164">
        <f t="shared" si="145"/>
        <v>321.70098201011558</v>
      </c>
    </row>
    <row r="204" spans="1:76" s="150" customFormat="1" x14ac:dyDescent="0.25">
      <c r="A204" s="150">
        <f t="shared" si="158"/>
        <v>200</v>
      </c>
      <c r="B204" s="150">
        <f t="shared" si="159"/>
        <v>17</v>
      </c>
      <c r="C204" s="150">
        <f t="shared" si="160"/>
        <v>8</v>
      </c>
      <c r="D204" s="150">
        <f>IF(E204="","",Input!$C$4+B204-1)</f>
        <v>61</v>
      </c>
      <c r="E204" s="150">
        <f>IF(OR(AND(C203=12,D203=Input!$C$6),E203=""),"",1)</f>
        <v>1</v>
      </c>
      <c r="F204" s="150">
        <f>IF(E204="","",Input!$C$8+B204-1)</f>
        <v>2034</v>
      </c>
      <c r="G204" s="151">
        <f>IF(E204="","",MAX(0,Input!$C$9-B204))</f>
        <v>3</v>
      </c>
      <c r="H204" s="152">
        <f>IF(E204="","",Input!$C$3)</f>
        <v>100000</v>
      </c>
      <c r="I204" s="153">
        <f>IF(E204="","",HLOOKUP($B204,Input!$C$13:$BT$14,2))</f>
        <v>2.2999999999999998</v>
      </c>
      <c r="J204" s="154"/>
      <c r="K204" s="155">
        <f>IF($E204="","",INDEX(Input!$C$16:$CP$16,1,$B204))</f>
        <v>2.393E-2</v>
      </c>
      <c r="L204" s="155">
        <f>IF($E204="","",Input!$C$37)</f>
        <v>1.4999999999999999E-2</v>
      </c>
      <c r="M204" s="155">
        <f t="shared" si="146"/>
        <v>3.8929999999999999E-2</v>
      </c>
      <c r="N204" s="155">
        <f t="shared" si="147"/>
        <v>3.1876813327058606E-3</v>
      </c>
      <c r="O204" s="147">
        <f>IF($E204="","",MIN(VLOOKUP(IF($B204&lt;=Input!$C$7,$B204,26),'Mortality Tables'!$A$41:$CW$67,IF($B204&lt;=Input!$C$7+1,Input!$C$4+2,$D204-Input!$C$7+2),0)*IF(B204&gt;20,Input!$C$22,1)/1000,1))</f>
        <v>3.4640000000000005E-3</v>
      </c>
      <c r="P204" s="147">
        <f>IF($E204="","",MIN(VLOOKUP(IF($B204&lt;=Input!$C$7,$B204,26),'Mortality Tables'!$A$12:$CW$37,IF($B204&lt;=Input!$C$7+1,Input!$C$4+2,$D204-Input!$C$7+2),0)*IF(B204&gt;20,Input!$C$22,1)/1000,1))</f>
        <v>4.3299999999999996E-3</v>
      </c>
      <c r="Q204" s="155">
        <f>IF($E204="","",Input!$C$21)</f>
        <v>5.0000000000000001E-3</v>
      </c>
      <c r="R204" s="159">
        <f>IF($E204="","",(1-Q204)^($F204-Input!$C$20))</f>
        <v>0.92293112397423638</v>
      </c>
      <c r="S204" s="147">
        <f t="shared" si="123"/>
        <v>3.1970334134467553E-3</v>
      </c>
      <c r="T204" s="147">
        <f t="shared" si="124"/>
        <v>2.6681063664890647E-4</v>
      </c>
      <c r="U204" s="160">
        <f>IF($E204="","",IF($C204=12,INDEX(Input!$C$15:$CP$15,1,$B204),0))</f>
        <v>0</v>
      </c>
      <c r="V204" s="150">
        <f>IF(E204="","",IF(C204=1,IF($B204=1,Input!$C$33,Input!$C$34),0))</f>
        <v>0</v>
      </c>
      <c r="W204" s="156">
        <f>IF($E204="","",Input!$C$35)</f>
        <v>0.02</v>
      </c>
      <c r="X204" s="156">
        <f t="shared" si="125"/>
        <v>1.3727857050906125</v>
      </c>
      <c r="Y204" s="154"/>
      <c r="Z204" s="147">
        <f>IF($E204="","",VLOOKUP($D204,'Mortality Margins &amp; Grading'!$AB$5:$AF$125,3,0)*IF(Summary!$D$25="Included Margin",IF(AND($B204&gt;Input!$C$9,Summary!$D$31&lt;&gt;"Included Margin"),0,1),0))</f>
        <v>3.5000000000000003E-2</v>
      </c>
      <c r="AA204" s="147">
        <f>IF($E204="","",VLOOKUP($D204,'Mortality Margins &amp; Grading'!$AB$5:$AF$125,5,0)*IF(Summary!$D$25="Included Margin",IF(AND($B204&gt;Input!$C$9,Summary!$D$31&lt;&gt;"Included Margin"),0,1),0))</f>
        <v>0.182</v>
      </c>
      <c r="AB204" s="147">
        <f>IF($E204="","",IF(AND($B204&gt;Input!$C$9,Summary!$D$31&lt;&gt;"Included Margin"),1,IF(Summary!$D$25="Included Margin",VLOOKUP($B204,'Mortality Margins &amp; Grading'!$AI$5:$AR$125,MATCH('Mortality Margins &amp; Grading'!$AQ$4,'Mortality Margins &amp; Grading'!$AI$4:$AR$4,0),0),1)))</f>
        <v>1</v>
      </c>
      <c r="AC204" s="154"/>
      <c r="AD204" s="158">
        <f>IF(E204="","",Input!$C$48*IF(Summary!$D$30="Included Margin",IF(AND($B204&gt;Input!$C$9,Summary!$D$31&lt;&gt;"Included Margin"),0,1),0))</f>
        <v>-4.4999999999999997E-3</v>
      </c>
      <c r="AE204" s="159">
        <f>IF(E204="","",IF(Summary!$D$26="Included Margin",IF(AND($B204&gt;Input!$C$9,Summary!$D$31&lt;&gt;"Included Margin"),1,1/$R204),1))</f>
        <v>1.0835044718113926</v>
      </c>
      <c r="AF204" s="160">
        <f>IF(E204="","",IF(AND($B204&gt;=Input!$C$9,$C204=12,Summary!$D$31="Included Margin",$U204&gt;0),1/U204-1,IF($B204&gt;=Input!$C$9,0,Input!$C$45*IF(Summary!$D$27="Included Margin",1,0))))</f>
        <v>-0.1</v>
      </c>
      <c r="AG204" s="160">
        <f>IF(E204="","",Input!$C$46*IF(Summary!$D$28="Included Margin",IF(AND($B204&gt;Input!$C$9,Summary!$D$31&lt;&gt;"Included Margin"),0,1),0))</f>
        <v>0.02</v>
      </c>
      <c r="AH204" s="158">
        <f>IF(E204="","",Input!$C$47*IF(Summary!$D$29="Included Margin",IF(AND($B204&gt;Input!$C$9,Summary!$D$31&lt;&gt;"Included Margin"),0,1),0))</f>
        <v>2.5000000000000001E-3</v>
      </c>
      <c r="AI204" s="154"/>
      <c r="AJ204" s="158">
        <f t="shared" si="148"/>
        <v>3.4430000000000002E-2</v>
      </c>
      <c r="AK204" s="155">
        <f t="shared" si="149"/>
        <v>2.8248616214174849E-3</v>
      </c>
      <c r="AL204" s="147">
        <f t="shared" si="150"/>
        <v>3.58524E-3</v>
      </c>
      <c r="AM204" s="147">
        <f t="shared" si="126"/>
        <v>2.9926207682284822E-4</v>
      </c>
      <c r="AN204" s="160">
        <f t="shared" si="151"/>
        <v>0</v>
      </c>
      <c r="AO204" s="161">
        <f t="shared" si="152"/>
        <v>0</v>
      </c>
      <c r="AP204" s="156">
        <f t="shared" si="127"/>
        <v>1.4276214574507233</v>
      </c>
      <c r="AQ204" s="152"/>
      <c r="AR204" s="162">
        <f t="shared" si="128"/>
        <v>899.94845685705707</v>
      </c>
      <c r="AS204" s="150">
        <f t="shared" si="153"/>
        <v>0</v>
      </c>
      <c r="AT204" s="163">
        <f t="shared" si="129"/>
        <v>0</v>
      </c>
      <c r="AU204" s="163">
        <f t="shared" si="130"/>
        <v>29.926207682284822</v>
      </c>
      <c r="AV204" s="163">
        <f t="shared" si="154"/>
        <v>2.4999611592512623</v>
      </c>
      <c r="AW204" s="163">
        <f t="shared" si="131"/>
        <v>0.26119099113830596</v>
      </c>
      <c r="AX204" s="163">
        <f t="shared" si="132"/>
        <v>0</v>
      </c>
      <c r="AY204" s="164">
        <f t="shared" si="155"/>
        <v>872.78340132516178</v>
      </c>
      <c r="AZ204" s="164">
        <f>IF($E204="","",IF(OR(AND($D204=Input!$C$6,$C204=12),$AN204=1),0,-AS205+AT205+AU205-AV205-AW205-AX205+AZ205))</f>
        <v>872.78346094256744</v>
      </c>
      <c r="BA204" s="154">
        <f t="shared" si="133"/>
        <v>5.9617405668177526E-5</v>
      </c>
      <c r="BC204" s="147">
        <f t="shared" si="156"/>
        <v>0.49161281523116757</v>
      </c>
      <c r="BD204" s="164">
        <f>IF(AND($C203=12,$D203=Input!$C$6),0,IF($E204="","",AT204+(AU204+BD205)/(1+$AK204)*MIN((1-AM204-AN204),1)))</f>
        <v>1493.8700682975393</v>
      </c>
      <c r="BE204" s="164">
        <f t="shared" si="134"/>
        <v>734.40566986532986</v>
      </c>
      <c r="BF204" s="164">
        <f t="shared" si="157"/>
        <v>872.78346094256744</v>
      </c>
      <c r="BG204" s="164">
        <f t="shared" si="135"/>
        <v>429.07153432117735</v>
      </c>
      <c r="BH204" s="152"/>
      <c r="BI204" s="162">
        <f t="shared" si="136"/>
        <v>654.20409219241446</v>
      </c>
      <c r="BJ204" s="150">
        <f t="shared" si="137"/>
        <v>0</v>
      </c>
      <c r="BK204" s="163">
        <f t="shared" si="161"/>
        <v>0</v>
      </c>
      <c r="BL204" s="163">
        <f t="shared" si="138"/>
        <v>26.681063664890647</v>
      </c>
      <c r="BM204" s="163">
        <f t="shared" si="162"/>
        <v>2.0428688081708892</v>
      </c>
      <c r="BN204" s="163">
        <f t="shared" si="139"/>
        <v>0.16801972538576534</v>
      </c>
      <c r="BO204" s="163">
        <f t="shared" si="140"/>
        <v>0</v>
      </c>
      <c r="BP204" s="164">
        <f t="shared" si="163"/>
        <v>629.73391706108043</v>
      </c>
      <c r="BQ204" s="164">
        <f>IF($E204="","",IF(AND($D204=Input!$C$6,$C204=12),0,-BJ205+BK205+BL205-BM205-BN205-BO205+BQ205))</f>
        <v>629.73398473187888</v>
      </c>
      <c r="BR204" s="161">
        <f t="shared" si="141"/>
        <v>0</v>
      </c>
      <c r="BT204" s="147">
        <f t="shared" si="142"/>
        <v>0.49161281523116757</v>
      </c>
      <c r="BU204" s="164">
        <f>IF(AND($C203=12,$D203=Input!$C$6),0,IF($E204="","",BK204+(BL204+BU205)/(1+$AK204)*MIN((1-T204-U204),1)))</f>
        <v>4923.7434680986271</v>
      </c>
      <c r="BV204" s="164">
        <f t="shared" si="143"/>
        <v>2420.5753878280384</v>
      </c>
      <c r="BW204" s="164">
        <f t="shared" si="144"/>
        <v>629.73398473187888</v>
      </c>
      <c r="BX204" s="164">
        <f t="shared" si="145"/>
        <v>309.58529708078009</v>
      </c>
    </row>
    <row r="205" spans="1:76" s="150" customFormat="1" x14ac:dyDescent="0.25">
      <c r="A205" s="150">
        <f t="shared" si="158"/>
        <v>201</v>
      </c>
      <c r="B205" s="150">
        <f t="shared" si="159"/>
        <v>17</v>
      </c>
      <c r="C205" s="150">
        <f t="shared" si="160"/>
        <v>9</v>
      </c>
      <c r="D205" s="150">
        <f>IF(E205="","",Input!$C$4+B205-1)</f>
        <v>61</v>
      </c>
      <c r="E205" s="150">
        <f>IF(OR(AND(C204=12,D204=Input!$C$6),E204=""),"",1)</f>
        <v>1</v>
      </c>
      <c r="F205" s="150">
        <f>IF(E205="","",Input!$C$8+B205-1)</f>
        <v>2034</v>
      </c>
      <c r="G205" s="151">
        <f>IF(E205="","",MAX(0,Input!$C$9-B205))</f>
        <v>3</v>
      </c>
      <c r="H205" s="152">
        <f>IF(E205="","",Input!$C$3)</f>
        <v>100000</v>
      </c>
      <c r="I205" s="153">
        <f>IF(E205="","",HLOOKUP($B205,Input!$C$13:$BT$14,2))</f>
        <v>2.2999999999999998</v>
      </c>
      <c r="J205" s="154"/>
      <c r="K205" s="155">
        <f>IF($E205="","",INDEX(Input!$C$16:$CP$16,1,$B205))</f>
        <v>2.393E-2</v>
      </c>
      <c r="L205" s="155">
        <f>IF($E205="","",Input!$C$37)</f>
        <v>1.4999999999999999E-2</v>
      </c>
      <c r="M205" s="155">
        <f t="shared" si="146"/>
        <v>3.8929999999999999E-2</v>
      </c>
      <c r="N205" s="155">
        <f t="shared" si="147"/>
        <v>3.1876813327058606E-3</v>
      </c>
      <c r="O205" s="147">
        <f>IF($E205="","",MIN(VLOOKUP(IF($B205&lt;=Input!$C$7,$B205,26),'Mortality Tables'!$A$41:$CW$67,IF($B205&lt;=Input!$C$7+1,Input!$C$4+2,$D205-Input!$C$7+2),0)*IF(B205&gt;20,Input!$C$22,1)/1000,1))</f>
        <v>3.4640000000000005E-3</v>
      </c>
      <c r="P205" s="147">
        <f>IF($E205="","",MIN(VLOOKUP(IF($B205&lt;=Input!$C$7,$B205,26),'Mortality Tables'!$A$12:$CW$37,IF($B205&lt;=Input!$C$7+1,Input!$C$4+2,$D205-Input!$C$7+2),0)*IF(B205&gt;20,Input!$C$22,1)/1000,1))</f>
        <v>4.3299999999999996E-3</v>
      </c>
      <c r="Q205" s="155">
        <f>IF($E205="","",Input!$C$21)</f>
        <v>5.0000000000000001E-3</v>
      </c>
      <c r="R205" s="159">
        <f>IF($E205="","",(1-Q205)^($F205-Input!$C$20))</f>
        <v>0.92293112397423638</v>
      </c>
      <c r="S205" s="147">
        <f t="shared" si="123"/>
        <v>3.1970334134467553E-3</v>
      </c>
      <c r="T205" s="147">
        <f t="shared" si="124"/>
        <v>2.6681063664890647E-4</v>
      </c>
      <c r="U205" s="160">
        <f>IF($E205="","",IF($C205=12,INDEX(Input!$C$15:$CP$15,1,$B205),0))</f>
        <v>0</v>
      </c>
      <c r="V205" s="150">
        <f>IF(E205="","",IF(C205=1,IF($B205=1,Input!$C$33,Input!$C$34),0))</f>
        <v>0</v>
      </c>
      <c r="W205" s="156">
        <f>IF($E205="","",Input!$C$35)</f>
        <v>0.02</v>
      </c>
      <c r="X205" s="156">
        <f t="shared" si="125"/>
        <v>1.3727857050906125</v>
      </c>
      <c r="Y205" s="154"/>
      <c r="Z205" s="147">
        <f>IF($E205="","",VLOOKUP($D205,'Mortality Margins &amp; Grading'!$AB$5:$AF$125,3,0)*IF(Summary!$D$25="Included Margin",IF(AND($B205&gt;Input!$C$9,Summary!$D$31&lt;&gt;"Included Margin"),0,1),0))</f>
        <v>3.5000000000000003E-2</v>
      </c>
      <c r="AA205" s="147">
        <f>IF($E205="","",VLOOKUP($D205,'Mortality Margins &amp; Grading'!$AB$5:$AF$125,5,0)*IF(Summary!$D$25="Included Margin",IF(AND($B205&gt;Input!$C$9,Summary!$D$31&lt;&gt;"Included Margin"),0,1),0))</f>
        <v>0.182</v>
      </c>
      <c r="AB205" s="147">
        <f>IF($E205="","",IF(AND($B205&gt;Input!$C$9,Summary!$D$31&lt;&gt;"Included Margin"),1,IF(Summary!$D$25="Included Margin",VLOOKUP($B205,'Mortality Margins &amp; Grading'!$AI$5:$AR$125,MATCH('Mortality Margins &amp; Grading'!$AQ$4,'Mortality Margins &amp; Grading'!$AI$4:$AR$4,0),0),1)))</f>
        <v>1</v>
      </c>
      <c r="AC205" s="154"/>
      <c r="AD205" s="158">
        <f>IF(E205="","",Input!$C$48*IF(Summary!$D$30="Included Margin",IF(AND($B205&gt;Input!$C$9,Summary!$D$31&lt;&gt;"Included Margin"),0,1),0))</f>
        <v>-4.4999999999999997E-3</v>
      </c>
      <c r="AE205" s="159">
        <f>IF(E205="","",IF(Summary!$D$26="Included Margin",IF(AND($B205&gt;Input!$C$9,Summary!$D$31&lt;&gt;"Included Margin"),1,1/$R205),1))</f>
        <v>1.0835044718113926</v>
      </c>
      <c r="AF205" s="160">
        <f>IF(E205="","",IF(AND($B205&gt;=Input!$C$9,$C205=12,Summary!$D$31="Included Margin",$U205&gt;0),1/U205-1,IF($B205&gt;=Input!$C$9,0,Input!$C$45*IF(Summary!$D$27="Included Margin",1,0))))</f>
        <v>-0.1</v>
      </c>
      <c r="AG205" s="160">
        <f>IF(E205="","",Input!$C$46*IF(Summary!$D$28="Included Margin",IF(AND($B205&gt;Input!$C$9,Summary!$D$31&lt;&gt;"Included Margin"),0,1),0))</f>
        <v>0.02</v>
      </c>
      <c r="AH205" s="158">
        <f>IF(E205="","",Input!$C$47*IF(Summary!$D$29="Included Margin",IF(AND($B205&gt;Input!$C$9,Summary!$D$31&lt;&gt;"Included Margin"),0,1),0))</f>
        <v>2.5000000000000001E-3</v>
      </c>
      <c r="AI205" s="154"/>
      <c r="AJ205" s="158">
        <f t="shared" si="148"/>
        <v>3.4430000000000002E-2</v>
      </c>
      <c r="AK205" s="155">
        <f t="shared" si="149"/>
        <v>2.8248616214174849E-3</v>
      </c>
      <c r="AL205" s="147">
        <f t="shared" si="150"/>
        <v>3.58524E-3</v>
      </c>
      <c r="AM205" s="147">
        <f t="shared" si="126"/>
        <v>2.9926207682284822E-4</v>
      </c>
      <c r="AN205" s="160">
        <f t="shared" si="151"/>
        <v>0</v>
      </c>
      <c r="AO205" s="161">
        <f t="shared" si="152"/>
        <v>0</v>
      </c>
      <c r="AP205" s="156">
        <f t="shared" si="127"/>
        <v>1.4276214574507233</v>
      </c>
      <c r="AQ205" s="152"/>
      <c r="AR205" s="162">
        <f t="shared" si="128"/>
        <v>872.78340132516189</v>
      </c>
      <c r="AS205" s="150">
        <f t="shared" si="153"/>
        <v>0</v>
      </c>
      <c r="AT205" s="163">
        <f t="shared" si="129"/>
        <v>0</v>
      </c>
      <c r="AU205" s="163">
        <f t="shared" si="130"/>
        <v>29.926207682284822</v>
      </c>
      <c r="AV205" s="163">
        <f t="shared" si="154"/>
        <v>2.4232236364355368</v>
      </c>
      <c r="AW205" s="163">
        <f t="shared" si="131"/>
        <v>0.25303611512724361</v>
      </c>
      <c r="AX205" s="163">
        <f t="shared" si="132"/>
        <v>0</v>
      </c>
      <c r="AY205" s="164">
        <f t="shared" si="155"/>
        <v>845.53345339443979</v>
      </c>
      <c r="AZ205" s="164">
        <f>IF($E205="","",IF(OR(AND($D205=Input!$C$6,$C205=12),$AN205=1),0,-AS206+AT206+AU206-AV206-AW206-AX206+AZ206))</f>
        <v>845.53351301184546</v>
      </c>
      <c r="BA205" s="154">
        <f t="shared" si="133"/>
        <v>5.9617405668177526E-5</v>
      </c>
      <c r="BC205" s="147">
        <f t="shared" si="156"/>
        <v>0.491481647702951</v>
      </c>
      <c r="BD205" s="164">
        <f>IF(AND($C204=12,$D204=Input!$C$6),0,IF($E205="","",AT205+(AU205+BD206)/(1+$AK205)*MIN((1-AM205-AN205),1)))</f>
        <v>1468.6122925823609</v>
      </c>
      <c r="BE205" s="164">
        <f t="shared" si="134"/>
        <v>721.79598939518712</v>
      </c>
      <c r="BF205" s="164">
        <f t="shared" si="157"/>
        <v>845.53351301184546</v>
      </c>
      <c r="BG205" s="164">
        <f t="shared" si="135"/>
        <v>415.56420416312636</v>
      </c>
      <c r="BH205" s="152"/>
      <c r="BI205" s="162">
        <f t="shared" si="136"/>
        <v>629.73391706108032</v>
      </c>
      <c r="BJ205" s="150">
        <f t="shared" si="137"/>
        <v>0</v>
      </c>
      <c r="BK205" s="163">
        <f t="shared" si="161"/>
        <v>0</v>
      </c>
      <c r="BL205" s="163">
        <f t="shared" si="138"/>
        <v>26.681063664890647</v>
      </c>
      <c r="BM205" s="163">
        <f t="shared" si="162"/>
        <v>1.9648656876966921</v>
      </c>
      <c r="BN205" s="163">
        <f t="shared" si="139"/>
        <v>0.1614682623177974</v>
      </c>
      <c r="BO205" s="163">
        <f t="shared" si="140"/>
        <v>0</v>
      </c>
      <c r="BP205" s="164">
        <f t="shared" si="163"/>
        <v>605.17918734620423</v>
      </c>
      <c r="BQ205" s="164">
        <f>IF($E205="","",IF(AND($D205=Input!$C$6,$C205=12),0,-BJ206+BK206+BL206-BM206-BN206-BO206+BQ206))</f>
        <v>605.17925501700267</v>
      </c>
      <c r="BR205" s="161">
        <f t="shared" si="141"/>
        <v>0</v>
      </c>
      <c r="BT205" s="147">
        <f t="shared" si="142"/>
        <v>0.491481647702951</v>
      </c>
      <c r="BU205" s="164">
        <f>IF(AND($C204=12,$D204=Input!$C$6),0,IF($E205="","",BK205+(BL205+BU206)/(1+$AK205)*MIN((1-T205-U205),1)))</f>
        <v>4912.2890681557346</v>
      </c>
      <c r="BV205" s="164">
        <f t="shared" si="143"/>
        <v>2414.2999252103741</v>
      </c>
      <c r="BW205" s="164">
        <f t="shared" si="144"/>
        <v>605.17925501700267</v>
      </c>
      <c r="BX205" s="164">
        <f t="shared" si="145"/>
        <v>297.43449741140086</v>
      </c>
    </row>
    <row r="206" spans="1:76" s="150" customFormat="1" x14ac:dyDescent="0.25">
      <c r="A206" s="150">
        <f t="shared" si="158"/>
        <v>202</v>
      </c>
      <c r="B206" s="150">
        <f t="shared" si="159"/>
        <v>17</v>
      </c>
      <c r="C206" s="150">
        <f t="shared" si="160"/>
        <v>10</v>
      </c>
      <c r="D206" s="150">
        <f>IF(E206="","",Input!$C$4+B206-1)</f>
        <v>61</v>
      </c>
      <c r="E206" s="150">
        <f>IF(OR(AND(C205=12,D205=Input!$C$6),E205=""),"",1)</f>
        <v>1</v>
      </c>
      <c r="F206" s="150">
        <f>IF(E206="","",Input!$C$8+B206-1)</f>
        <v>2034</v>
      </c>
      <c r="G206" s="151">
        <f>IF(E206="","",MAX(0,Input!$C$9-B206))</f>
        <v>3</v>
      </c>
      <c r="H206" s="152">
        <f>IF(E206="","",Input!$C$3)</f>
        <v>100000</v>
      </c>
      <c r="I206" s="153">
        <f>IF(E206="","",HLOOKUP($B206,Input!$C$13:$BT$14,2))</f>
        <v>2.2999999999999998</v>
      </c>
      <c r="J206" s="154"/>
      <c r="K206" s="155">
        <f>IF($E206="","",INDEX(Input!$C$16:$CP$16,1,$B206))</f>
        <v>2.393E-2</v>
      </c>
      <c r="L206" s="155">
        <f>IF($E206="","",Input!$C$37)</f>
        <v>1.4999999999999999E-2</v>
      </c>
      <c r="M206" s="155">
        <f t="shared" si="146"/>
        <v>3.8929999999999999E-2</v>
      </c>
      <c r="N206" s="155">
        <f t="shared" si="147"/>
        <v>3.1876813327058606E-3</v>
      </c>
      <c r="O206" s="147">
        <f>IF($E206="","",MIN(VLOOKUP(IF($B206&lt;=Input!$C$7,$B206,26),'Mortality Tables'!$A$41:$CW$67,IF($B206&lt;=Input!$C$7+1,Input!$C$4+2,$D206-Input!$C$7+2),0)*IF(B206&gt;20,Input!$C$22,1)/1000,1))</f>
        <v>3.4640000000000005E-3</v>
      </c>
      <c r="P206" s="147">
        <f>IF($E206="","",MIN(VLOOKUP(IF($B206&lt;=Input!$C$7,$B206,26),'Mortality Tables'!$A$12:$CW$37,IF($B206&lt;=Input!$C$7+1,Input!$C$4+2,$D206-Input!$C$7+2),0)*IF(B206&gt;20,Input!$C$22,1)/1000,1))</f>
        <v>4.3299999999999996E-3</v>
      </c>
      <c r="Q206" s="155">
        <f>IF($E206="","",Input!$C$21)</f>
        <v>5.0000000000000001E-3</v>
      </c>
      <c r="R206" s="159">
        <f>IF($E206="","",(1-Q206)^($F206-Input!$C$20))</f>
        <v>0.92293112397423638</v>
      </c>
      <c r="S206" s="147">
        <f t="shared" si="123"/>
        <v>3.1970334134467553E-3</v>
      </c>
      <c r="T206" s="147">
        <f t="shared" si="124"/>
        <v>2.6681063664890647E-4</v>
      </c>
      <c r="U206" s="160">
        <f>IF($E206="","",IF($C206=12,INDEX(Input!$C$15:$CP$15,1,$B206),0))</f>
        <v>0</v>
      </c>
      <c r="V206" s="150">
        <f>IF(E206="","",IF(C206=1,IF($B206=1,Input!$C$33,Input!$C$34),0))</f>
        <v>0</v>
      </c>
      <c r="W206" s="156">
        <f>IF($E206="","",Input!$C$35)</f>
        <v>0.02</v>
      </c>
      <c r="X206" s="156">
        <f t="shared" si="125"/>
        <v>1.3727857050906125</v>
      </c>
      <c r="Y206" s="154"/>
      <c r="Z206" s="147">
        <f>IF($E206="","",VLOOKUP($D206,'Mortality Margins &amp; Grading'!$AB$5:$AF$125,3,0)*IF(Summary!$D$25="Included Margin",IF(AND($B206&gt;Input!$C$9,Summary!$D$31&lt;&gt;"Included Margin"),0,1),0))</f>
        <v>3.5000000000000003E-2</v>
      </c>
      <c r="AA206" s="147">
        <f>IF($E206="","",VLOOKUP($D206,'Mortality Margins &amp; Grading'!$AB$5:$AF$125,5,0)*IF(Summary!$D$25="Included Margin",IF(AND($B206&gt;Input!$C$9,Summary!$D$31&lt;&gt;"Included Margin"),0,1),0))</f>
        <v>0.182</v>
      </c>
      <c r="AB206" s="147">
        <f>IF($E206="","",IF(AND($B206&gt;Input!$C$9,Summary!$D$31&lt;&gt;"Included Margin"),1,IF(Summary!$D$25="Included Margin",VLOOKUP($B206,'Mortality Margins &amp; Grading'!$AI$5:$AR$125,MATCH('Mortality Margins &amp; Grading'!$AQ$4,'Mortality Margins &amp; Grading'!$AI$4:$AR$4,0),0),1)))</f>
        <v>1</v>
      </c>
      <c r="AC206" s="154"/>
      <c r="AD206" s="158">
        <f>IF(E206="","",Input!$C$48*IF(Summary!$D$30="Included Margin",IF(AND($B206&gt;Input!$C$9,Summary!$D$31&lt;&gt;"Included Margin"),0,1),0))</f>
        <v>-4.4999999999999997E-3</v>
      </c>
      <c r="AE206" s="159">
        <f>IF(E206="","",IF(Summary!$D$26="Included Margin",IF(AND($B206&gt;Input!$C$9,Summary!$D$31&lt;&gt;"Included Margin"),1,1/$R206),1))</f>
        <v>1.0835044718113926</v>
      </c>
      <c r="AF206" s="160">
        <f>IF(E206="","",IF(AND($B206&gt;=Input!$C$9,$C206=12,Summary!$D$31="Included Margin",$U206&gt;0),1/U206-1,IF($B206&gt;=Input!$C$9,0,Input!$C$45*IF(Summary!$D$27="Included Margin",1,0))))</f>
        <v>-0.1</v>
      </c>
      <c r="AG206" s="160">
        <f>IF(E206="","",Input!$C$46*IF(Summary!$D$28="Included Margin",IF(AND($B206&gt;Input!$C$9,Summary!$D$31&lt;&gt;"Included Margin"),0,1),0))</f>
        <v>0.02</v>
      </c>
      <c r="AH206" s="158">
        <f>IF(E206="","",Input!$C$47*IF(Summary!$D$29="Included Margin",IF(AND($B206&gt;Input!$C$9,Summary!$D$31&lt;&gt;"Included Margin"),0,1),0))</f>
        <v>2.5000000000000001E-3</v>
      </c>
      <c r="AI206" s="154"/>
      <c r="AJ206" s="158">
        <f t="shared" si="148"/>
        <v>3.4430000000000002E-2</v>
      </c>
      <c r="AK206" s="155">
        <f t="shared" si="149"/>
        <v>2.8248616214174849E-3</v>
      </c>
      <c r="AL206" s="147">
        <f t="shared" si="150"/>
        <v>3.58524E-3</v>
      </c>
      <c r="AM206" s="147">
        <f t="shared" si="126"/>
        <v>2.9926207682284822E-4</v>
      </c>
      <c r="AN206" s="160">
        <f t="shared" si="151"/>
        <v>0</v>
      </c>
      <c r="AO206" s="161">
        <f t="shared" si="152"/>
        <v>0</v>
      </c>
      <c r="AP206" s="156">
        <f t="shared" si="127"/>
        <v>1.4276214574507233</v>
      </c>
      <c r="AQ206" s="152"/>
      <c r="AR206" s="162">
        <f t="shared" si="128"/>
        <v>845.53345339443979</v>
      </c>
      <c r="AS206" s="150">
        <f t="shared" si="153"/>
        <v>0</v>
      </c>
      <c r="AT206" s="163">
        <f t="shared" si="129"/>
        <v>0</v>
      </c>
      <c r="AU206" s="163">
        <f t="shared" si="130"/>
        <v>29.926207682284822</v>
      </c>
      <c r="AV206" s="163">
        <f t="shared" si="154"/>
        <v>2.3462463043404149</v>
      </c>
      <c r="AW206" s="163">
        <f t="shared" si="131"/>
        <v>0.24485575464824411</v>
      </c>
      <c r="AX206" s="163">
        <f t="shared" si="132"/>
        <v>0</v>
      </c>
      <c r="AY206" s="164">
        <f t="shared" si="155"/>
        <v>818.19834777114363</v>
      </c>
      <c r="AZ206" s="164">
        <f>IF($E206="","",IF(OR(AND($D206=Input!$C$6,$C206=12),$AN206=1),0,-AS207+AT207+AU207-AV207-AW207-AX207+AZ207))</f>
        <v>818.1984073885493</v>
      </c>
      <c r="BA206" s="154">
        <f t="shared" si="133"/>
        <v>5.9617405668177526E-5</v>
      </c>
      <c r="BC206" s="147">
        <f t="shared" si="156"/>
        <v>0.49135051517162615</v>
      </c>
      <c r="BD206" s="164">
        <f>IF(AND($C205=12,$D205=Input!$C$6),0,IF($E206="","",AT206+(AU206+BD207)/(1+$AK206)*MIN((1-AM206-AN206),1)))</f>
        <v>1443.2755848301404</v>
      </c>
      <c r="BE206" s="164">
        <f t="shared" si="134"/>
        <v>709.15420214091944</v>
      </c>
      <c r="BF206" s="164">
        <f t="shared" si="157"/>
        <v>818.1984073885493</v>
      </c>
      <c r="BG206" s="164">
        <f t="shared" si="135"/>
        <v>402.02220898296775</v>
      </c>
      <c r="BH206" s="152"/>
      <c r="BI206" s="162">
        <f t="shared" si="136"/>
        <v>605.17918734620434</v>
      </c>
      <c r="BJ206" s="150">
        <f t="shared" si="137"/>
        <v>0</v>
      </c>
      <c r="BK206" s="163">
        <f t="shared" si="161"/>
        <v>0</v>
      </c>
      <c r="BL206" s="163">
        <f t="shared" si="138"/>
        <v>26.681063664890647</v>
      </c>
      <c r="BM206" s="163">
        <f t="shared" si="162"/>
        <v>1.8865930341549442</v>
      </c>
      <c r="BN206" s="163">
        <f t="shared" si="139"/>
        <v>0.15489416123321004</v>
      </c>
      <c r="BO206" s="163">
        <f t="shared" si="140"/>
        <v>0</v>
      </c>
      <c r="BP206" s="164">
        <f t="shared" si="163"/>
        <v>580.53961087670189</v>
      </c>
      <c r="BQ206" s="164">
        <f>IF($E206="","",IF(AND($D206=Input!$C$6,$C206=12),0,-BJ207+BK207+BL207-BM207-BN207-BO207+BQ207))</f>
        <v>580.53967854750022</v>
      </c>
      <c r="BR206" s="161">
        <f t="shared" si="141"/>
        <v>0</v>
      </c>
      <c r="BT206" s="147">
        <f t="shared" si="142"/>
        <v>0.49135051517162615</v>
      </c>
      <c r="BU206" s="164">
        <f>IF(AND($C205=12,$D205=Input!$C$6),0,IF($E206="","",BK206+(BL206+BU207)/(1+$AK206)*MIN((1-T206-U206),1)))</f>
        <v>4900.7992455111525</v>
      </c>
      <c r="BV206" s="164">
        <f t="shared" si="143"/>
        <v>2408.0102340346216</v>
      </c>
      <c r="BW206" s="164">
        <f t="shared" si="144"/>
        <v>580.53967854750022</v>
      </c>
      <c r="BX206" s="164">
        <f t="shared" si="145"/>
        <v>285.24847013188446</v>
      </c>
    </row>
    <row r="207" spans="1:76" s="150" customFormat="1" x14ac:dyDescent="0.25">
      <c r="A207" s="150">
        <f t="shared" si="158"/>
        <v>203</v>
      </c>
      <c r="B207" s="150">
        <f t="shared" si="159"/>
        <v>17</v>
      </c>
      <c r="C207" s="150">
        <f t="shared" si="160"/>
        <v>11</v>
      </c>
      <c r="D207" s="150">
        <f>IF(E207="","",Input!$C$4+B207-1)</f>
        <v>61</v>
      </c>
      <c r="E207" s="150">
        <f>IF(OR(AND(C206=12,D206=Input!$C$6),E206=""),"",1)</f>
        <v>1</v>
      </c>
      <c r="F207" s="150">
        <f>IF(E207="","",Input!$C$8+B207-1)</f>
        <v>2034</v>
      </c>
      <c r="G207" s="151">
        <f>IF(E207="","",MAX(0,Input!$C$9-B207))</f>
        <v>3</v>
      </c>
      <c r="H207" s="152">
        <f>IF(E207="","",Input!$C$3)</f>
        <v>100000</v>
      </c>
      <c r="I207" s="153">
        <f>IF(E207="","",HLOOKUP($B207,Input!$C$13:$BT$14,2))</f>
        <v>2.2999999999999998</v>
      </c>
      <c r="J207" s="154"/>
      <c r="K207" s="155">
        <f>IF($E207="","",INDEX(Input!$C$16:$CP$16,1,$B207))</f>
        <v>2.393E-2</v>
      </c>
      <c r="L207" s="155">
        <f>IF($E207="","",Input!$C$37)</f>
        <v>1.4999999999999999E-2</v>
      </c>
      <c r="M207" s="155">
        <f t="shared" si="146"/>
        <v>3.8929999999999999E-2</v>
      </c>
      <c r="N207" s="155">
        <f t="shared" si="147"/>
        <v>3.1876813327058606E-3</v>
      </c>
      <c r="O207" s="147">
        <f>IF($E207="","",MIN(VLOOKUP(IF($B207&lt;=Input!$C$7,$B207,26),'Mortality Tables'!$A$41:$CW$67,IF($B207&lt;=Input!$C$7+1,Input!$C$4+2,$D207-Input!$C$7+2),0)*IF(B207&gt;20,Input!$C$22,1)/1000,1))</f>
        <v>3.4640000000000005E-3</v>
      </c>
      <c r="P207" s="147">
        <f>IF($E207="","",MIN(VLOOKUP(IF($B207&lt;=Input!$C$7,$B207,26),'Mortality Tables'!$A$12:$CW$37,IF($B207&lt;=Input!$C$7+1,Input!$C$4+2,$D207-Input!$C$7+2),0)*IF(B207&gt;20,Input!$C$22,1)/1000,1))</f>
        <v>4.3299999999999996E-3</v>
      </c>
      <c r="Q207" s="155">
        <f>IF($E207="","",Input!$C$21)</f>
        <v>5.0000000000000001E-3</v>
      </c>
      <c r="R207" s="159">
        <f>IF($E207="","",(1-Q207)^($F207-Input!$C$20))</f>
        <v>0.92293112397423638</v>
      </c>
      <c r="S207" s="147">
        <f t="shared" si="123"/>
        <v>3.1970334134467553E-3</v>
      </c>
      <c r="T207" s="147">
        <f t="shared" si="124"/>
        <v>2.6681063664890647E-4</v>
      </c>
      <c r="U207" s="160">
        <f>IF($E207="","",IF($C207=12,INDEX(Input!$C$15:$CP$15,1,$B207),0))</f>
        <v>0</v>
      </c>
      <c r="V207" s="150">
        <f>IF(E207="","",IF(C207=1,IF($B207=1,Input!$C$33,Input!$C$34),0))</f>
        <v>0</v>
      </c>
      <c r="W207" s="156">
        <f>IF($E207="","",Input!$C$35)</f>
        <v>0.02</v>
      </c>
      <c r="X207" s="156">
        <f t="shared" si="125"/>
        <v>1.3727857050906125</v>
      </c>
      <c r="Y207" s="154"/>
      <c r="Z207" s="147">
        <f>IF($E207="","",VLOOKUP($D207,'Mortality Margins &amp; Grading'!$AB$5:$AF$125,3,0)*IF(Summary!$D$25="Included Margin",IF(AND($B207&gt;Input!$C$9,Summary!$D$31&lt;&gt;"Included Margin"),0,1),0))</f>
        <v>3.5000000000000003E-2</v>
      </c>
      <c r="AA207" s="147">
        <f>IF($E207="","",VLOOKUP($D207,'Mortality Margins &amp; Grading'!$AB$5:$AF$125,5,0)*IF(Summary!$D$25="Included Margin",IF(AND($B207&gt;Input!$C$9,Summary!$D$31&lt;&gt;"Included Margin"),0,1),0))</f>
        <v>0.182</v>
      </c>
      <c r="AB207" s="147">
        <f>IF($E207="","",IF(AND($B207&gt;Input!$C$9,Summary!$D$31&lt;&gt;"Included Margin"),1,IF(Summary!$D$25="Included Margin",VLOOKUP($B207,'Mortality Margins &amp; Grading'!$AI$5:$AR$125,MATCH('Mortality Margins &amp; Grading'!$AQ$4,'Mortality Margins &amp; Grading'!$AI$4:$AR$4,0),0),1)))</f>
        <v>1</v>
      </c>
      <c r="AC207" s="154"/>
      <c r="AD207" s="158">
        <f>IF(E207="","",Input!$C$48*IF(Summary!$D$30="Included Margin",IF(AND($B207&gt;Input!$C$9,Summary!$D$31&lt;&gt;"Included Margin"),0,1),0))</f>
        <v>-4.4999999999999997E-3</v>
      </c>
      <c r="AE207" s="159">
        <f>IF(E207="","",IF(Summary!$D$26="Included Margin",IF(AND($B207&gt;Input!$C$9,Summary!$D$31&lt;&gt;"Included Margin"),1,1/$R207),1))</f>
        <v>1.0835044718113926</v>
      </c>
      <c r="AF207" s="160">
        <f>IF(E207="","",IF(AND($B207&gt;=Input!$C$9,$C207=12,Summary!$D$31="Included Margin",$U207&gt;0),1/U207-1,IF($B207&gt;=Input!$C$9,0,Input!$C$45*IF(Summary!$D$27="Included Margin",1,0))))</f>
        <v>-0.1</v>
      </c>
      <c r="AG207" s="160">
        <f>IF(E207="","",Input!$C$46*IF(Summary!$D$28="Included Margin",IF(AND($B207&gt;Input!$C$9,Summary!$D$31&lt;&gt;"Included Margin"),0,1),0))</f>
        <v>0.02</v>
      </c>
      <c r="AH207" s="158">
        <f>IF(E207="","",Input!$C$47*IF(Summary!$D$29="Included Margin",IF(AND($B207&gt;Input!$C$9,Summary!$D$31&lt;&gt;"Included Margin"),0,1),0))</f>
        <v>2.5000000000000001E-3</v>
      </c>
      <c r="AI207" s="154"/>
      <c r="AJ207" s="158">
        <f t="shared" si="148"/>
        <v>3.4430000000000002E-2</v>
      </c>
      <c r="AK207" s="155">
        <f t="shared" si="149"/>
        <v>2.8248616214174849E-3</v>
      </c>
      <c r="AL207" s="147">
        <f t="shared" si="150"/>
        <v>3.58524E-3</v>
      </c>
      <c r="AM207" s="147">
        <f t="shared" si="126"/>
        <v>2.9926207682284822E-4</v>
      </c>
      <c r="AN207" s="160">
        <f t="shared" si="151"/>
        <v>0</v>
      </c>
      <c r="AO207" s="161">
        <f t="shared" si="152"/>
        <v>0</v>
      </c>
      <c r="AP207" s="156">
        <f t="shared" si="127"/>
        <v>1.4276214574507233</v>
      </c>
      <c r="AQ207" s="152"/>
      <c r="AR207" s="162">
        <f t="shared" si="128"/>
        <v>818.19834777114363</v>
      </c>
      <c r="AS207" s="150">
        <f t="shared" si="153"/>
        <v>0</v>
      </c>
      <c r="AT207" s="163">
        <f t="shared" si="129"/>
        <v>0</v>
      </c>
      <c r="AU207" s="163">
        <f t="shared" si="130"/>
        <v>29.926207682284822</v>
      </c>
      <c r="AV207" s="163">
        <f t="shared" si="154"/>
        <v>2.2690284135477725</v>
      </c>
      <c r="AW207" s="163">
        <f t="shared" si="131"/>
        <v>0.23664983006084381</v>
      </c>
      <c r="AX207" s="163">
        <f t="shared" si="132"/>
        <v>0</v>
      </c>
      <c r="AY207" s="164">
        <f t="shared" si="155"/>
        <v>790.7778183324674</v>
      </c>
      <c r="AZ207" s="164">
        <f>IF($E207="","",IF(OR(AND($D207=Input!$C$6,$C207=12),$AN207=1),0,-AS208+AT208+AU208-AV208-AW208-AX208+AZ208))</f>
        <v>790.77787794987307</v>
      </c>
      <c r="BA207" s="154">
        <f t="shared" si="133"/>
        <v>5.9617405668177526E-5</v>
      </c>
      <c r="BC207" s="147">
        <f t="shared" si="156"/>
        <v>0.49121941762785543</v>
      </c>
      <c r="BD207" s="164">
        <f>IF(AND($C206=12,$D206=Input!$C$6),0,IF($E207="","",AT207+(AU207+BD208)/(1+$AK207)*MIN((1-AM207-AN207),1)))</f>
        <v>1417.8596983736122</v>
      </c>
      <c r="BE207" s="164">
        <f t="shared" si="134"/>
        <v>696.48021531309257</v>
      </c>
      <c r="BF207" s="164">
        <f t="shared" si="157"/>
        <v>790.77787794987307</v>
      </c>
      <c r="BG207" s="164">
        <f t="shared" si="135"/>
        <v>388.445448679528</v>
      </c>
      <c r="BH207" s="152"/>
      <c r="BI207" s="162">
        <f t="shared" si="136"/>
        <v>580.53961087670177</v>
      </c>
      <c r="BJ207" s="150">
        <f t="shared" si="137"/>
        <v>0</v>
      </c>
      <c r="BK207" s="163">
        <f t="shared" si="161"/>
        <v>0</v>
      </c>
      <c r="BL207" s="163">
        <f t="shared" si="138"/>
        <v>26.681063664890647</v>
      </c>
      <c r="BM207" s="163">
        <f t="shared" si="162"/>
        <v>1.8080499161973322</v>
      </c>
      <c r="BN207" s="163">
        <f t="shared" si="139"/>
        <v>0.14829734390828569</v>
      </c>
      <c r="BO207" s="163">
        <f t="shared" si="140"/>
        <v>0</v>
      </c>
      <c r="BP207" s="164">
        <f t="shared" si="163"/>
        <v>555.81489447191677</v>
      </c>
      <c r="BQ207" s="164">
        <f>IF($E207="","",IF(AND($D207=Input!$C$6,$C207=12),0,-BJ208+BK208+BL208-BM208-BN208-BO208+BQ208))</f>
        <v>555.81496214271522</v>
      </c>
      <c r="BR207" s="161">
        <f t="shared" si="141"/>
        <v>0</v>
      </c>
      <c r="BT207" s="147">
        <f t="shared" si="142"/>
        <v>0.49121941762785543</v>
      </c>
      <c r="BU207" s="164">
        <f>IF(AND($C206=12,$D206=Input!$C$6),0,IF($E207="","",BK207+(BL207+BU208)/(1+$AK207)*MIN((1-T207-U207),1)))</f>
        <v>4889.2738906202685</v>
      </c>
      <c r="BV207" s="164">
        <f t="shared" si="143"/>
        <v>2401.7062731735673</v>
      </c>
      <c r="BW207" s="164">
        <f t="shared" si="144"/>
        <v>555.81496214271522</v>
      </c>
      <c r="BX207" s="164">
        <f t="shared" si="145"/>
        <v>273.0271020125931</v>
      </c>
    </row>
    <row r="208" spans="1:76" s="150" customFormat="1" x14ac:dyDescent="0.25">
      <c r="A208" s="150">
        <f t="shared" si="158"/>
        <v>204</v>
      </c>
      <c r="B208" s="150">
        <f t="shared" si="159"/>
        <v>17</v>
      </c>
      <c r="C208" s="150">
        <f t="shared" si="160"/>
        <v>12</v>
      </c>
      <c r="D208" s="150">
        <f>IF(E208="","",Input!$C$4+B208-1)</f>
        <v>61</v>
      </c>
      <c r="E208" s="150">
        <f>IF(OR(AND(C207=12,D207=Input!$C$6),E207=""),"",1)</f>
        <v>1</v>
      </c>
      <c r="F208" s="150">
        <f>IF(E208="","",Input!$C$8+B208-1)</f>
        <v>2034</v>
      </c>
      <c r="G208" s="151">
        <f>IF(E208="","",MAX(0,Input!$C$9-B208))</f>
        <v>3</v>
      </c>
      <c r="H208" s="152">
        <f>IF(E208="","",Input!$C$3)</f>
        <v>100000</v>
      </c>
      <c r="I208" s="153">
        <f>IF(E208="","",HLOOKUP($B208,Input!$C$13:$BT$14,2))</f>
        <v>2.2999999999999998</v>
      </c>
      <c r="J208" s="154"/>
      <c r="K208" s="155">
        <f>IF($E208="","",INDEX(Input!$C$16:$CP$16,1,$B208))</f>
        <v>2.393E-2</v>
      </c>
      <c r="L208" s="155">
        <f>IF($E208="","",Input!$C$37)</f>
        <v>1.4999999999999999E-2</v>
      </c>
      <c r="M208" s="155">
        <f t="shared" si="146"/>
        <v>3.8929999999999999E-2</v>
      </c>
      <c r="N208" s="155">
        <f t="shared" si="147"/>
        <v>3.1876813327058606E-3</v>
      </c>
      <c r="O208" s="147">
        <f>IF($E208="","",MIN(VLOOKUP(IF($B208&lt;=Input!$C$7,$B208,26),'Mortality Tables'!$A$41:$CW$67,IF($B208&lt;=Input!$C$7+1,Input!$C$4+2,$D208-Input!$C$7+2),0)*IF(B208&gt;20,Input!$C$22,1)/1000,1))</f>
        <v>3.4640000000000005E-3</v>
      </c>
      <c r="P208" s="147">
        <f>IF($E208="","",MIN(VLOOKUP(IF($B208&lt;=Input!$C$7,$B208,26),'Mortality Tables'!$A$12:$CW$37,IF($B208&lt;=Input!$C$7+1,Input!$C$4+2,$D208-Input!$C$7+2),0)*IF(B208&gt;20,Input!$C$22,1)/1000,1))</f>
        <v>4.3299999999999996E-3</v>
      </c>
      <c r="Q208" s="155">
        <f>IF($E208="","",Input!$C$21)</f>
        <v>5.0000000000000001E-3</v>
      </c>
      <c r="R208" s="159">
        <f>IF($E208="","",(1-Q208)^($F208-Input!$C$20))</f>
        <v>0.92293112397423638</v>
      </c>
      <c r="S208" s="147">
        <f t="shared" si="123"/>
        <v>3.1970334134467553E-3</v>
      </c>
      <c r="T208" s="147">
        <f t="shared" si="124"/>
        <v>2.6681063664890647E-4</v>
      </c>
      <c r="U208" s="160">
        <f>IF($E208="","",IF($C208=12,INDEX(Input!$C$15:$CP$15,1,$B208),0))</f>
        <v>0.02</v>
      </c>
      <c r="V208" s="150">
        <f>IF(E208="","",IF(C208=1,IF($B208=1,Input!$C$33,Input!$C$34),0))</f>
        <v>0</v>
      </c>
      <c r="W208" s="156">
        <f>IF($E208="","",Input!$C$35)</f>
        <v>0.02</v>
      </c>
      <c r="X208" s="156">
        <f t="shared" si="125"/>
        <v>1.3727857050906125</v>
      </c>
      <c r="Y208" s="154"/>
      <c r="Z208" s="147">
        <f>IF($E208="","",VLOOKUP($D208,'Mortality Margins &amp; Grading'!$AB$5:$AF$125,3,0)*IF(Summary!$D$25="Included Margin",IF(AND($B208&gt;Input!$C$9,Summary!$D$31&lt;&gt;"Included Margin"),0,1),0))</f>
        <v>3.5000000000000003E-2</v>
      </c>
      <c r="AA208" s="147">
        <f>IF($E208="","",VLOOKUP($D208,'Mortality Margins &amp; Grading'!$AB$5:$AF$125,5,0)*IF(Summary!$D$25="Included Margin",IF(AND($B208&gt;Input!$C$9,Summary!$D$31&lt;&gt;"Included Margin"),0,1),0))</f>
        <v>0.182</v>
      </c>
      <c r="AB208" s="147">
        <f>IF($E208="","",IF(AND($B208&gt;Input!$C$9,Summary!$D$31&lt;&gt;"Included Margin"),1,IF(Summary!$D$25="Included Margin",VLOOKUP($B208,'Mortality Margins &amp; Grading'!$AI$5:$AR$125,MATCH('Mortality Margins &amp; Grading'!$AQ$4,'Mortality Margins &amp; Grading'!$AI$4:$AR$4,0),0),1)))</f>
        <v>1</v>
      </c>
      <c r="AC208" s="154"/>
      <c r="AD208" s="158">
        <f>IF(E208="","",Input!$C$48*IF(Summary!$D$30="Included Margin",IF(AND($B208&gt;Input!$C$9,Summary!$D$31&lt;&gt;"Included Margin"),0,1),0))</f>
        <v>-4.4999999999999997E-3</v>
      </c>
      <c r="AE208" s="159">
        <f>IF(E208="","",IF(Summary!$D$26="Included Margin",IF(AND($B208&gt;Input!$C$9,Summary!$D$31&lt;&gt;"Included Margin"),1,1/$R208),1))</f>
        <v>1.0835044718113926</v>
      </c>
      <c r="AF208" s="160">
        <f>IF(E208="","",IF(AND($B208&gt;=Input!$C$9,$C208=12,Summary!$D$31="Included Margin",$U208&gt;0),1/U208-1,IF($B208&gt;=Input!$C$9,0,Input!$C$45*IF(Summary!$D$27="Included Margin",1,0))))</f>
        <v>-0.1</v>
      </c>
      <c r="AG208" s="160">
        <f>IF(E208="","",Input!$C$46*IF(Summary!$D$28="Included Margin",IF(AND($B208&gt;Input!$C$9,Summary!$D$31&lt;&gt;"Included Margin"),0,1),0))</f>
        <v>0.02</v>
      </c>
      <c r="AH208" s="158">
        <f>IF(E208="","",Input!$C$47*IF(Summary!$D$29="Included Margin",IF(AND($B208&gt;Input!$C$9,Summary!$D$31&lt;&gt;"Included Margin"),0,1),0))</f>
        <v>2.5000000000000001E-3</v>
      </c>
      <c r="AI208" s="154"/>
      <c r="AJ208" s="158">
        <f t="shared" si="148"/>
        <v>3.4430000000000002E-2</v>
      </c>
      <c r="AK208" s="155">
        <f t="shared" si="149"/>
        <v>2.8248616214174849E-3</v>
      </c>
      <c r="AL208" s="147">
        <f t="shared" si="150"/>
        <v>3.58524E-3</v>
      </c>
      <c r="AM208" s="147">
        <f t="shared" si="126"/>
        <v>2.9926207682284822E-4</v>
      </c>
      <c r="AN208" s="160">
        <f t="shared" si="151"/>
        <v>1.8000000000000002E-2</v>
      </c>
      <c r="AO208" s="161">
        <f t="shared" si="152"/>
        <v>0</v>
      </c>
      <c r="AP208" s="156">
        <f t="shared" si="127"/>
        <v>1.4276214574507233</v>
      </c>
      <c r="AQ208" s="152"/>
      <c r="AR208" s="162">
        <f t="shared" si="128"/>
        <v>790.7778183324674</v>
      </c>
      <c r="AS208" s="150">
        <f t="shared" si="153"/>
        <v>0</v>
      </c>
      <c r="AT208" s="163">
        <f t="shared" si="129"/>
        <v>0</v>
      </c>
      <c r="AU208" s="163">
        <f t="shared" si="130"/>
        <v>29.926207682284822</v>
      </c>
      <c r="AV208" s="163">
        <f t="shared" si="154"/>
        <v>2.1915692122975075</v>
      </c>
      <c r="AW208" s="163">
        <f t="shared" si="131"/>
        <v>0.23260515425223829</v>
      </c>
      <c r="AX208" s="163">
        <f t="shared" si="132"/>
        <v>13.986535957879781</v>
      </c>
      <c r="AY208" s="164">
        <f t="shared" si="155"/>
        <v>777.26232097461218</v>
      </c>
      <c r="AZ208" s="164">
        <f>IF($E208="","",IF(OR(AND($D208=Input!$C$6,$C208=12),$AN208=1),0,-AS209+AT209+AU209-AV209-AW209-AX209+AZ209))</f>
        <v>777.26238059201773</v>
      </c>
      <c r="BA208" s="154">
        <f t="shared" si="133"/>
        <v>5.9617405554490688E-5</v>
      </c>
      <c r="BC208" s="147">
        <f t="shared" si="156"/>
        <v>0.48126396670974669</v>
      </c>
      <c r="BD208" s="164">
        <f>IF(AND($C207=12,$D207=Input!$C$6),0,IF($E208="","",AT208+(AU208+BD209)/(1+$AK208)*MIN((1-AM208-AN208),1)))</f>
        <v>1392.3643857746613</v>
      </c>
      <c r="BE208" s="164">
        <f t="shared" si="134"/>
        <v>670.09480740329354</v>
      </c>
      <c r="BF208" s="164">
        <f t="shared" si="157"/>
        <v>777.26238059201773</v>
      </c>
      <c r="BG208" s="164">
        <f t="shared" si="135"/>
        <v>374.06837645797526</v>
      </c>
      <c r="BH208" s="152"/>
      <c r="BI208" s="162">
        <f t="shared" si="136"/>
        <v>555.81489447191677</v>
      </c>
      <c r="BJ208" s="150">
        <f t="shared" si="137"/>
        <v>0</v>
      </c>
      <c r="BK208" s="163">
        <f t="shared" si="161"/>
        <v>0</v>
      </c>
      <c r="BL208" s="163">
        <f t="shared" si="138"/>
        <v>26.681063664890647</v>
      </c>
      <c r="BM208" s="163">
        <f t="shared" si="162"/>
        <v>1.7292353992573526</v>
      </c>
      <c r="BN208" s="163">
        <f t="shared" si="139"/>
        <v>0.14456911413164439</v>
      </c>
      <c r="BO208" s="163">
        <f t="shared" si="140"/>
        <v>10.833941507695549</v>
      </c>
      <c r="BP208" s="164">
        <f t="shared" si="163"/>
        <v>541.84157682811065</v>
      </c>
      <c r="BQ208" s="164">
        <f>IF($E208="","",IF(AND($D208=Input!$C$6,$C208=12),0,-BJ209+BK209+BL209-BM209-BN209-BO209+BQ209))</f>
        <v>541.84164449890909</v>
      </c>
      <c r="BR208" s="161">
        <f t="shared" si="141"/>
        <v>0</v>
      </c>
      <c r="BT208" s="147">
        <f t="shared" si="142"/>
        <v>0.48126396670974669</v>
      </c>
      <c r="BU208" s="164">
        <f>IF(AND($C207=12,$D207=Input!$C$6),0,IF($E208="","",BK208+(BL208+BU209)/(1+$AK208)*MIN((1-T208-U208),1)))</f>
        <v>4877.7128935997043</v>
      </c>
      <c r="BV208" s="164">
        <f t="shared" si="143"/>
        <v>2347.4674556450705</v>
      </c>
      <c r="BW208" s="164">
        <f t="shared" si="144"/>
        <v>541.84164449890909</v>
      </c>
      <c r="BX208" s="164">
        <f t="shared" si="145"/>
        <v>260.7688591600774</v>
      </c>
    </row>
    <row r="209" spans="1:76" s="150" customFormat="1" x14ac:dyDescent="0.25">
      <c r="A209" s="150">
        <f t="shared" si="158"/>
        <v>205</v>
      </c>
      <c r="B209" s="150">
        <f t="shared" si="159"/>
        <v>18</v>
      </c>
      <c r="C209" s="150">
        <f t="shared" si="160"/>
        <v>1</v>
      </c>
      <c r="D209" s="150">
        <f>IF(E209="","",Input!$C$4+B209-1)</f>
        <v>62</v>
      </c>
      <c r="E209" s="150">
        <f>IF(OR(AND(C208=12,D208=Input!$C$6),E208=""),"",1)</f>
        <v>1</v>
      </c>
      <c r="F209" s="150">
        <f>IF(E209="","",Input!$C$8+B209-1)</f>
        <v>2035</v>
      </c>
      <c r="G209" s="151">
        <f>IF(E209="","",MAX(0,Input!$C$9-B209))</f>
        <v>2</v>
      </c>
      <c r="H209" s="152">
        <f>IF(E209="","",Input!$C$3)</f>
        <v>100000</v>
      </c>
      <c r="I209" s="153">
        <f>IF(E209="","",HLOOKUP($B209,Input!$C$13:$BT$14,2))</f>
        <v>2.2999999999999998</v>
      </c>
      <c r="J209" s="154"/>
      <c r="K209" s="155">
        <f>IF($E209="","",INDEX(Input!$C$16:$CP$16,1,$B209))</f>
        <v>2.3779999999999999E-2</v>
      </c>
      <c r="L209" s="155">
        <f>IF($E209="","",Input!$C$37)</f>
        <v>1.4999999999999999E-2</v>
      </c>
      <c r="M209" s="155">
        <f t="shared" si="146"/>
        <v>3.8779999999999995E-2</v>
      </c>
      <c r="N209" s="155">
        <f t="shared" si="147"/>
        <v>3.1756105715352589E-3</v>
      </c>
      <c r="O209" s="147">
        <f>IF($E209="","",MIN(VLOOKUP(IF($B209&lt;=Input!$C$7,$B209,26),'Mortality Tables'!$A$41:$CW$67,IF($B209&lt;=Input!$C$7+1,Input!$C$4+2,$D209-Input!$C$7+2),0)*IF(B209&gt;20,Input!$C$22,1)/1000,1))</f>
        <v>3.872E-3</v>
      </c>
      <c r="P209" s="147">
        <f>IF($E209="","",MIN(VLOOKUP(IF($B209&lt;=Input!$C$7,$B209,26),'Mortality Tables'!$A$12:$CW$37,IF($B209&lt;=Input!$C$7+1,Input!$C$4+2,$D209-Input!$C$7+2),0)*IF(B209&gt;20,Input!$C$22,1)/1000,1))</f>
        <v>4.8399999999999997E-3</v>
      </c>
      <c r="Q209" s="155">
        <f>IF($E209="","",Input!$C$21)</f>
        <v>5.0000000000000001E-3</v>
      </c>
      <c r="R209" s="159">
        <f>IF($E209="","",(1-Q209)^($F209-Input!$C$20))</f>
        <v>0.9183164683543652</v>
      </c>
      <c r="S209" s="147">
        <f t="shared" si="123"/>
        <v>3.5557213654681019E-3</v>
      </c>
      <c r="T209" s="147">
        <f t="shared" si="124"/>
        <v>2.9679411190586258E-4</v>
      </c>
      <c r="U209" s="160">
        <f>IF($E209="","",IF($C209=12,INDEX(Input!$C$15:$CP$15,1,$B209),0))</f>
        <v>0</v>
      </c>
      <c r="V209" s="150">
        <f>IF(E209="","",IF(C209=1,IF($B209=1,Input!$C$33,Input!$C$34),0))</f>
        <v>50</v>
      </c>
      <c r="W209" s="156">
        <f>IF($E209="","",Input!$C$35)</f>
        <v>0.02</v>
      </c>
      <c r="X209" s="156">
        <f t="shared" si="125"/>
        <v>1.4002414191924248</v>
      </c>
      <c r="Y209" s="154"/>
      <c r="Z209" s="147">
        <f>IF($E209="","",VLOOKUP($D209,'Mortality Margins &amp; Grading'!$AB$5:$AF$125,3,0)*IF(Summary!$D$25="Included Margin",IF(AND($B209&gt;Input!$C$9,Summary!$D$31&lt;&gt;"Included Margin"),0,1),0))</f>
        <v>3.5000000000000003E-2</v>
      </c>
      <c r="AA209" s="147">
        <f>IF($E209="","",VLOOKUP($D209,'Mortality Margins &amp; Grading'!$AB$5:$AF$125,5,0)*IF(Summary!$D$25="Included Margin",IF(AND($B209&gt;Input!$C$9,Summary!$D$31&lt;&gt;"Included Margin"),0,1),0))</f>
        <v>0.17799999999999999</v>
      </c>
      <c r="AB209" s="147">
        <f>IF($E209="","",IF(AND($B209&gt;Input!$C$9,Summary!$D$31&lt;&gt;"Included Margin"),1,IF(Summary!$D$25="Included Margin",VLOOKUP($B209,'Mortality Margins &amp; Grading'!$AI$5:$AR$125,MATCH('Mortality Margins &amp; Grading'!$AQ$4,'Mortality Margins &amp; Grading'!$AI$4:$AR$4,0),0),1)))</f>
        <v>1</v>
      </c>
      <c r="AC209" s="154"/>
      <c r="AD209" s="158">
        <f>IF(E209="","",Input!$C$48*IF(Summary!$D$30="Included Margin",IF(AND($B209&gt;Input!$C$9,Summary!$D$31&lt;&gt;"Included Margin"),0,1),0))</f>
        <v>-4.4999999999999997E-3</v>
      </c>
      <c r="AE209" s="159">
        <f>IF(E209="","",IF(Summary!$D$26="Included Margin",IF(AND($B209&gt;Input!$C$9,Summary!$D$31&lt;&gt;"Included Margin"),1,1/$R209),1))</f>
        <v>1.0889492179008973</v>
      </c>
      <c r="AF209" s="160">
        <f>IF(E209="","",IF(AND($B209&gt;=Input!$C$9,$C209=12,Summary!$D$31="Included Margin",$U209&gt;0),1/U209-1,IF($B209&gt;=Input!$C$9,0,Input!$C$45*IF(Summary!$D$27="Included Margin",1,0))))</f>
        <v>-0.1</v>
      </c>
      <c r="AG209" s="160">
        <f>IF(E209="","",Input!$C$46*IF(Summary!$D$28="Included Margin",IF(AND($B209&gt;Input!$C$9,Summary!$D$31&lt;&gt;"Included Margin"),0,1),0))</f>
        <v>0.02</v>
      </c>
      <c r="AH209" s="158">
        <f>IF(E209="","",Input!$C$47*IF(Summary!$D$29="Included Margin",IF(AND($B209&gt;Input!$C$9,Summary!$D$31&lt;&gt;"Included Margin"),0,1),0))</f>
        <v>2.5000000000000001E-3</v>
      </c>
      <c r="AI209" s="154"/>
      <c r="AJ209" s="158">
        <f t="shared" si="148"/>
        <v>3.4279999999999998E-2</v>
      </c>
      <c r="AK209" s="155">
        <f t="shared" si="149"/>
        <v>2.8127427308537456E-3</v>
      </c>
      <c r="AL209" s="147">
        <f t="shared" si="150"/>
        <v>4.0075199999999997E-3</v>
      </c>
      <c r="AM209" s="147">
        <f t="shared" si="126"/>
        <v>3.3457498620581561E-4</v>
      </c>
      <c r="AN209" s="160">
        <f t="shared" si="151"/>
        <v>0</v>
      </c>
      <c r="AO209" s="161">
        <f t="shared" si="152"/>
        <v>51</v>
      </c>
      <c r="AP209" s="156">
        <f t="shared" si="127"/>
        <v>1.4597429402433646</v>
      </c>
      <c r="AQ209" s="152"/>
      <c r="AR209" s="162">
        <f t="shared" si="128"/>
        <v>777.26231451002218</v>
      </c>
      <c r="AS209" s="150">
        <f t="shared" si="153"/>
        <v>229.99999999999997</v>
      </c>
      <c r="AT209" s="163">
        <f t="shared" si="129"/>
        <v>74.446889952411595</v>
      </c>
      <c r="AU209" s="163">
        <f t="shared" si="130"/>
        <v>33.457498620581561</v>
      </c>
      <c r="AV209" s="163">
        <f t="shared" si="154"/>
        <v>2.5767161366338747</v>
      </c>
      <c r="AW209" s="163">
        <f t="shared" si="131"/>
        <v>0.3018657892820108</v>
      </c>
      <c r="AX209" s="163">
        <f t="shared" si="132"/>
        <v>0</v>
      </c>
      <c r="AY209" s="164">
        <f t="shared" si="155"/>
        <v>902.23650786294502</v>
      </c>
      <c r="AZ209" s="164">
        <f>IF($E209="","",IF(OR(AND($D209=Input!$C$6,$C209=12),$AN209=1),0,-AS210+AT210+AU210-AV210-AW210-AX210+AZ210))</f>
        <v>902.23657394494046</v>
      </c>
      <c r="BA209" s="154">
        <f t="shared" si="133"/>
        <v>6.6081995441891195E-5</v>
      </c>
      <c r="BC209" s="147">
        <f t="shared" si="156"/>
        <v>0.48112113039815479</v>
      </c>
      <c r="BD209" s="164">
        <f>IF(AND($C208=12,$D208=Input!$C$6),0,IF($E209="","",AT209+(AU209+BD210)/(1+$AK209)*MIN((1-AM209-AN209),1)))</f>
        <v>1392.3989149869535</v>
      </c>
      <c r="BE209" s="164">
        <f t="shared" si="134"/>
        <v>669.91253994368731</v>
      </c>
      <c r="BF209" s="164">
        <f t="shared" si="157"/>
        <v>902.23657394494046</v>
      </c>
      <c r="BG209" s="164">
        <f t="shared" si="135"/>
        <v>434.08508034294812</v>
      </c>
      <c r="BH209" s="152"/>
      <c r="BI209" s="162">
        <f t="shared" si="136"/>
        <v>541.84156979200498</v>
      </c>
      <c r="BJ209" s="150">
        <f t="shared" si="137"/>
        <v>229.99999999999997</v>
      </c>
      <c r="BK209" s="163">
        <f t="shared" si="161"/>
        <v>70.012070959621241</v>
      </c>
      <c r="BL209" s="163">
        <f t="shared" si="138"/>
        <v>29.679411190586258</v>
      </c>
      <c r="BM209" s="163">
        <f t="shared" si="162"/>
        <v>2.1816120499405267</v>
      </c>
      <c r="BN209" s="163">
        <f t="shared" si="139"/>
        <v>0.20019711743822563</v>
      </c>
      <c r="BO209" s="163">
        <f t="shared" si="140"/>
        <v>0</v>
      </c>
      <c r="BP209" s="164">
        <f t="shared" si="163"/>
        <v>674.53189680917626</v>
      </c>
      <c r="BQ209" s="164">
        <f>IF($E209="","",IF(AND($D209=Input!$C$6,$C209=12),0,-BJ210+BK210+BL210-BM210-BN210-BO210+BQ210))</f>
        <v>674.53197151608026</v>
      </c>
      <c r="BR209" s="161">
        <f t="shared" si="141"/>
        <v>0</v>
      </c>
      <c r="BT209" s="147">
        <f t="shared" si="142"/>
        <v>0.48112113039815479</v>
      </c>
      <c r="BU209" s="164">
        <f>IF(AND($C208=12,$D208=Input!$C$6),0,IF($E209="","",BK209+(BL209+BU210)/(1+$AK209)*MIN((1-T209-U209),1)))</f>
        <v>4965.9963414271124</v>
      </c>
      <c r="BV209" s="164">
        <f t="shared" si="143"/>
        <v>2389.2457733405136</v>
      </c>
      <c r="BW209" s="164">
        <f t="shared" si="144"/>
        <v>674.53197151608026</v>
      </c>
      <c r="BX209" s="164">
        <f t="shared" si="145"/>
        <v>324.53158462551249</v>
      </c>
    </row>
    <row r="210" spans="1:76" s="150" customFormat="1" x14ac:dyDescent="0.25">
      <c r="A210" s="150">
        <f t="shared" si="158"/>
        <v>206</v>
      </c>
      <c r="B210" s="150">
        <f t="shared" si="159"/>
        <v>18</v>
      </c>
      <c r="C210" s="150">
        <f t="shared" si="160"/>
        <v>2</v>
      </c>
      <c r="D210" s="150">
        <f>IF(E210="","",Input!$C$4+B210-1)</f>
        <v>62</v>
      </c>
      <c r="E210" s="150">
        <f>IF(OR(AND(C209=12,D209=Input!$C$6),E209=""),"",1)</f>
        <v>1</v>
      </c>
      <c r="F210" s="150">
        <f>IF(E210="","",Input!$C$8+B210-1)</f>
        <v>2035</v>
      </c>
      <c r="G210" s="151">
        <f>IF(E210="","",MAX(0,Input!$C$9-B210))</f>
        <v>2</v>
      </c>
      <c r="H210" s="152">
        <f>IF(E210="","",Input!$C$3)</f>
        <v>100000</v>
      </c>
      <c r="I210" s="153">
        <f>IF(E210="","",HLOOKUP($B210,Input!$C$13:$BT$14,2))</f>
        <v>2.2999999999999998</v>
      </c>
      <c r="J210" s="154"/>
      <c r="K210" s="155">
        <f>IF($E210="","",INDEX(Input!$C$16:$CP$16,1,$B210))</f>
        <v>2.3779999999999999E-2</v>
      </c>
      <c r="L210" s="155">
        <f>IF($E210="","",Input!$C$37)</f>
        <v>1.4999999999999999E-2</v>
      </c>
      <c r="M210" s="155">
        <f t="shared" si="146"/>
        <v>3.8779999999999995E-2</v>
      </c>
      <c r="N210" s="155">
        <f t="shared" si="147"/>
        <v>3.1756105715352589E-3</v>
      </c>
      <c r="O210" s="147">
        <f>IF($E210="","",MIN(VLOOKUP(IF($B210&lt;=Input!$C$7,$B210,26),'Mortality Tables'!$A$41:$CW$67,IF($B210&lt;=Input!$C$7+1,Input!$C$4+2,$D210-Input!$C$7+2),0)*IF(B210&gt;20,Input!$C$22,1)/1000,1))</f>
        <v>3.872E-3</v>
      </c>
      <c r="P210" s="147">
        <f>IF($E210="","",MIN(VLOOKUP(IF($B210&lt;=Input!$C$7,$B210,26),'Mortality Tables'!$A$12:$CW$37,IF($B210&lt;=Input!$C$7+1,Input!$C$4+2,$D210-Input!$C$7+2),0)*IF(B210&gt;20,Input!$C$22,1)/1000,1))</f>
        <v>4.8399999999999997E-3</v>
      </c>
      <c r="Q210" s="155">
        <f>IF($E210="","",Input!$C$21)</f>
        <v>5.0000000000000001E-3</v>
      </c>
      <c r="R210" s="159">
        <f>IF($E210="","",(1-Q210)^($F210-Input!$C$20))</f>
        <v>0.9183164683543652</v>
      </c>
      <c r="S210" s="147">
        <f t="shared" si="123"/>
        <v>3.5557213654681019E-3</v>
      </c>
      <c r="T210" s="147">
        <f t="shared" si="124"/>
        <v>2.9679411190586258E-4</v>
      </c>
      <c r="U210" s="160">
        <f>IF($E210="","",IF($C210=12,INDEX(Input!$C$15:$CP$15,1,$B210),0))</f>
        <v>0</v>
      </c>
      <c r="V210" s="150">
        <f>IF(E210="","",IF(C210=1,IF($B210=1,Input!$C$33,Input!$C$34),0))</f>
        <v>0</v>
      </c>
      <c r="W210" s="156">
        <f>IF($E210="","",Input!$C$35)</f>
        <v>0.02</v>
      </c>
      <c r="X210" s="156">
        <f t="shared" si="125"/>
        <v>1.4002414191924248</v>
      </c>
      <c r="Y210" s="154"/>
      <c r="Z210" s="147">
        <f>IF($E210="","",VLOOKUP($D210,'Mortality Margins &amp; Grading'!$AB$5:$AF$125,3,0)*IF(Summary!$D$25="Included Margin",IF(AND($B210&gt;Input!$C$9,Summary!$D$31&lt;&gt;"Included Margin"),0,1),0))</f>
        <v>3.5000000000000003E-2</v>
      </c>
      <c r="AA210" s="147">
        <f>IF($E210="","",VLOOKUP($D210,'Mortality Margins &amp; Grading'!$AB$5:$AF$125,5,0)*IF(Summary!$D$25="Included Margin",IF(AND($B210&gt;Input!$C$9,Summary!$D$31&lt;&gt;"Included Margin"),0,1),0))</f>
        <v>0.17799999999999999</v>
      </c>
      <c r="AB210" s="147">
        <f>IF($E210="","",IF(AND($B210&gt;Input!$C$9,Summary!$D$31&lt;&gt;"Included Margin"),1,IF(Summary!$D$25="Included Margin",VLOOKUP($B210,'Mortality Margins &amp; Grading'!$AI$5:$AR$125,MATCH('Mortality Margins &amp; Grading'!$AQ$4,'Mortality Margins &amp; Grading'!$AI$4:$AR$4,0),0),1)))</f>
        <v>1</v>
      </c>
      <c r="AC210" s="154"/>
      <c r="AD210" s="158">
        <f>IF(E210="","",Input!$C$48*IF(Summary!$D$30="Included Margin",IF(AND($B210&gt;Input!$C$9,Summary!$D$31&lt;&gt;"Included Margin"),0,1),0))</f>
        <v>-4.4999999999999997E-3</v>
      </c>
      <c r="AE210" s="159">
        <f>IF(E210="","",IF(Summary!$D$26="Included Margin",IF(AND($B210&gt;Input!$C$9,Summary!$D$31&lt;&gt;"Included Margin"),1,1/$R210),1))</f>
        <v>1.0889492179008973</v>
      </c>
      <c r="AF210" s="160">
        <f>IF(E210="","",IF(AND($B210&gt;=Input!$C$9,$C210=12,Summary!$D$31="Included Margin",$U210&gt;0),1/U210-1,IF($B210&gt;=Input!$C$9,0,Input!$C$45*IF(Summary!$D$27="Included Margin",1,0))))</f>
        <v>-0.1</v>
      </c>
      <c r="AG210" s="160">
        <f>IF(E210="","",Input!$C$46*IF(Summary!$D$28="Included Margin",IF(AND($B210&gt;Input!$C$9,Summary!$D$31&lt;&gt;"Included Margin"),0,1),0))</f>
        <v>0.02</v>
      </c>
      <c r="AH210" s="158">
        <f>IF(E210="","",Input!$C$47*IF(Summary!$D$29="Included Margin",IF(AND($B210&gt;Input!$C$9,Summary!$D$31&lt;&gt;"Included Margin"),0,1),0))</f>
        <v>2.5000000000000001E-3</v>
      </c>
      <c r="AI210" s="154"/>
      <c r="AJ210" s="158">
        <f t="shared" si="148"/>
        <v>3.4279999999999998E-2</v>
      </c>
      <c r="AK210" s="155">
        <f t="shared" si="149"/>
        <v>2.8127427308537456E-3</v>
      </c>
      <c r="AL210" s="147">
        <f t="shared" si="150"/>
        <v>4.0075199999999997E-3</v>
      </c>
      <c r="AM210" s="147">
        <f t="shared" si="126"/>
        <v>3.3457498620581561E-4</v>
      </c>
      <c r="AN210" s="160">
        <f t="shared" si="151"/>
        <v>0</v>
      </c>
      <c r="AO210" s="161">
        <f t="shared" si="152"/>
        <v>0</v>
      </c>
      <c r="AP210" s="156">
        <f t="shared" si="127"/>
        <v>1.4597429402433646</v>
      </c>
      <c r="AQ210" s="152"/>
      <c r="AR210" s="162">
        <f t="shared" si="128"/>
        <v>902.2365078629449</v>
      </c>
      <c r="AS210" s="150">
        <f t="shared" si="153"/>
        <v>0</v>
      </c>
      <c r="AT210" s="163">
        <f t="shared" si="129"/>
        <v>0</v>
      </c>
      <c r="AU210" s="163">
        <f t="shared" si="130"/>
        <v>33.457498620581561</v>
      </c>
      <c r="AV210" s="163">
        <f t="shared" si="154"/>
        <v>2.4907055109835716</v>
      </c>
      <c r="AW210" s="163">
        <f t="shared" si="131"/>
        <v>0.29160263785306595</v>
      </c>
      <c r="AX210" s="163">
        <f t="shared" si="132"/>
        <v>0</v>
      </c>
      <c r="AY210" s="164">
        <f t="shared" si="155"/>
        <v>871.56131739120008</v>
      </c>
      <c r="AZ210" s="164">
        <f>IF($E210="","",IF(OR(AND($D210=Input!$C$6,$C210=12),$AN210=1),0,-AS211+AT211+AU211-AV211-AW211-AX211+AZ211))</f>
        <v>871.56138347319552</v>
      </c>
      <c r="BA210" s="154">
        <f t="shared" si="133"/>
        <v>6.6081995441891195E-5</v>
      </c>
      <c r="BC210" s="147">
        <f t="shared" si="156"/>
        <v>0.48097833647953914</v>
      </c>
      <c r="BD210" s="164">
        <f>IF(AND($C209=12,$D209=Input!$C$6),0,IF($E210="","",AT210+(AU210+BD211)/(1+$AK210)*MIN((1-AM210-AN210),1)))</f>
        <v>1288.6439284587179</v>
      </c>
      <c r="BE210" s="164">
        <f t="shared" si="134"/>
        <v>619.80981302453245</v>
      </c>
      <c r="BF210" s="164">
        <f t="shared" si="157"/>
        <v>871.56138347319552</v>
      </c>
      <c r="BG210" s="164">
        <f t="shared" si="135"/>
        <v>419.2021443627433</v>
      </c>
      <c r="BH210" s="152"/>
      <c r="BI210" s="162">
        <f t="shared" si="136"/>
        <v>674.53189680917626</v>
      </c>
      <c r="BJ210" s="150">
        <f t="shared" si="137"/>
        <v>0</v>
      </c>
      <c r="BK210" s="163">
        <f t="shared" si="161"/>
        <v>0</v>
      </c>
      <c r="BL210" s="163">
        <f t="shared" si="138"/>
        <v>29.679411190586258</v>
      </c>
      <c r="BM210" s="163">
        <f t="shared" si="162"/>
        <v>2.0949254963780666</v>
      </c>
      <c r="BN210" s="163">
        <f t="shared" si="139"/>
        <v>0.19206720892093107</v>
      </c>
      <c r="BO210" s="163">
        <f t="shared" si="140"/>
        <v>0</v>
      </c>
      <c r="BP210" s="164">
        <f t="shared" si="163"/>
        <v>647.13947832388897</v>
      </c>
      <c r="BQ210" s="164">
        <f>IF($E210="","",IF(AND($D210=Input!$C$6,$C210=12),0,-BJ211+BK211+BL211-BM211-BN211-BO211+BQ211))</f>
        <v>647.13955303079297</v>
      </c>
      <c r="BR210" s="161">
        <f t="shared" si="141"/>
        <v>0</v>
      </c>
      <c r="BT210" s="147">
        <f t="shared" si="142"/>
        <v>0.48097833647953914</v>
      </c>
      <c r="BU210" s="164">
        <f>IF(AND($C209=12,$D209=Input!$C$6),0,IF($E210="","",BK210+(BL210+BU211)/(1+$AK210)*MIN((1-T210-U210),1)))</f>
        <v>4881.5336225547671</v>
      </c>
      <c r="BV210" s="164">
        <f t="shared" si="143"/>
        <v>2347.9119212453302</v>
      </c>
      <c r="BW210" s="164">
        <f t="shared" si="144"/>
        <v>647.13955303079297</v>
      </c>
      <c r="BX210" s="164">
        <f t="shared" si="145"/>
        <v>311.26010568686331</v>
      </c>
    </row>
    <row r="211" spans="1:76" s="150" customFormat="1" x14ac:dyDescent="0.25">
      <c r="A211" s="150">
        <f t="shared" si="158"/>
        <v>207</v>
      </c>
      <c r="B211" s="150">
        <f t="shared" si="159"/>
        <v>18</v>
      </c>
      <c r="C211" s="150">
        <f t="shared" si="160"/>
        <v>3</v>
      </c>
      <c r="D211" s="150">
        <f>IF(E211="","",Input!$C$4+B211-1)</f>
        <v>62</v>
      </c>
      <c r="E211" s="150">
        <f>IF(OR(AND(C210=12,D210=Input!$C$6),E210=""),"",1)</f>
        <v>1</v>
      </c>
      <c r="F211" s="150">
        <f>IF(E211="","",Input!$C$8+B211-1)</f>
        <v>2035</v>
      </c>
      <c r="G211" s="151">
        <f>IF(E211="","",MAX(0,Input!$C$9-B211))</f>
        <v>2</v>
      </c>
      <c r="H211" s="152">
        <f>IF(E211="","",Input!$C$3)</f>
        <v>100000</v>
      </c>
      <c r="I211" s="153">
        <f>IF(E211="","",HLOOKUP($B211,Input!$C$13:$BT$14,2))</f>
        <v>2.2999999999999998</v>
      </c>
      <c r="J211" s="154"/>
      <c r="K211" s="155">
        <f>IF($E211="","",INDEX(Input!$C$16:$CP$16,1,$B211))</f>
        <v>2.3779999999999999E-2</v>
      </c>
      <c r="L211" s="155">
        <f>IF($E211="","",Input!$C$37)</f>
        <v>1.4999999999999999E-2</v>
      </c>
      <c r="M211" s="155">
        <f t="shared" si="146"/>
        <v>3.8779999999999995E-2</v>
      </c>
      <c r="N211" s="155">
        <f t="shared" si="147"/>
        <v>3.1756105715352589E-3</v>
      </c>
      <c r="O211" s="147">
        <f>IF($E211="","",MIN(VLOOKUP(IF($B211&lt;=Input!$C$7,$B211,26),'Mortality Tables'!$A$41:$CW$67,IF($B211&lt;=Input!$C$7+1,Input!$C$4+2,$D211-Input!$C$7+2),0)*IF(B211&gt;20,Input!$C$22,1)/1000,1))</f>
        <v>3.872E-3</v>
      </c>
      <c r="P211" s="147">
        <f>IF($E211="","",MIN(VLOOKUP(IF($B211&lt;=Input!$C$7,$B211,26),'Mortality Tables'!$A$12:$CW$37,IF($B211&lt;=Input!$C$7+1,Input!$C$4+2,$D211-Input!$C$7+2),0)*IF(B211&gt;20,Input!$C$22,1)/1000,1))</f>
        <v>4.8399999999999997E-3</v>
      </c>
      <c r="Q211" s="155">
        <f>IF($E211="","",Input!$C$21)</f>
        <v>5.0000000000000001E-3</v>
      </c>
      <c r="R211" s="159">
        <f>IF($E211="","",(1-Q211)^($F211-Input!$C$20))</f>
        <v>0.9183164683543652</v>
      </c>
      <c r="S211" s="147">
        <f t="shared" si="123"/>
        <v>3.5557213654681019E-3</v>
      </c>
      <c r="T211" s="147">
        <f t="shared" si="124"/>
        <v>2.9679411190586258E-4</v>
      </c>
      <c r="U211" s="160">
        <f>IF($E211="","",IF($C211=12,INDEX(Input!$C$15:$CP$15,1,$B211),0))</f>
        <v>0</v>
      </c>
      <c r="V211" s="150">
        <f>IF(E211="","",IF(C211=1,IF($B211=1,Input!$C$33,Input!$C$34),0))</f>
        <v>0</v>
      </c>
      <c r="W211" s="156">
        <f>IF($E211="","",Input!$C$35)</f>
        <v>0.02</v>
      </c>
      <c r="X211" s="156">
        <f t="shared" si="125"/>
        <v>1.4002414191924248</v>
      </c>
      <c r="Y211" s="154"/>
      <c r="Z211" s="147">
        <f>IF($E211="","",VLOOKUP($D211,'Mortality Margins &amp; Grading'!$AB$5:$AF$125,3,0)*IF(Summary!$D$25="Included Margin",IF(AND($B211&gt;Input!$C$9,Summary!$D$31&lt;&gt;"Included Margin"),0,1),0))</f>
        <v>3.5000000000000003E-2</v>
      </c>
      <c r="AA211" s="147">
        <f>IF($E211="","",VLOOKUP($D211,'Mortality Margins &amp; Grading'!$AB$5:$AF$125,5,0)*IF(Summary!$D$25="Included Margin",IF(AND($B211&gt;Input!$C$9,Summary!$D$31&lt;&gt;"Included Margin"),0,1),0))</f>
        <v>0.17799999999999999</v>
      </c>
      <c r="AB211" s="147">
        <f>IF($E211="","",IF(AND($B211&gt;Input!$C$9,Summary!$D$31&lt;&gt;"Included Margin"),1,IF(Summary!$D$25="Included Margin",VLOOKUP($B211,'Mortality Margins &amp; Grading'!$AI$5:$AR$125,MATCH('Mortality Margins &amp; Grading'!$AQ$4,'Mortality Margins &amp; Grading'!$AI$4:$AR$4,0),0),1)))</f>
        <v>1</v>
      </c>
      <c r="AC211" s="154"/>
      <c r="AD211" s="158">
        <f>IF(E211="","",Input!$C$48*IF(Summary!$D$30="Included Margin",IF(AND($B211&gt;Input!$C$9,Summary!$D$31&lt;&gt;"Included Margin"),0,1),0))</f>
        <v>-4.4999999999999997E-3</v>
      </c>
      <c r="AE211" s="159">
        <f>IF(E211="","",IF(Summary!$D$26="Included Margin",IF(AND($B211&gt;Input!$C$9,Summary!$D$31&lt;&gt;"Included Margin"),1,1/$R211),1))</f>
        <v>1.0889492179008973</v>
      </c>
      <c r="AF211" s="160">
        <f>IF(E211="","",IF(AND($B211&gt;=Input!$C$9,$C211=12,Summary!$D$31="Included Margin",$U211&gt;0),1/U211-1,IF($B211&gt;=Input!$C$9,0,Input!$C$45*IF(Summary!$D$27="Included Margin",1,0))))</f>
        <v>-0.1</v>
      </c>
      <c r="AG211" s="160">
        <f>IF(E211="","",Input!$C$46*IF(Summary!$D$28="Included Margin",IF(AND($B211&gt;Input!$C$9,Summary!$D$31&lt;&gt;"Included Margin"),0,1),0))</f>
        <v>0.02</v>
      </c>
      <c r="AH211" s="158">
        <f>IF(E211="","",Input!$C$47*IF(Summary!$D$29="Included Margin",IF(AND($B211&gt;Input!$C$9,Summary!$D$31&lt;&gt;"Included Margin"),0,1),0))</f>
        <v>2.5000000000000001E-3</v>
      </c>
      <c r="AI211" s="154"/>
      <c r="AJ211" s="158">
        <f t="shared" si="148"/>
        <v>3.4279999999999998E-2</v>
      </c>
      <c r="AK211" s="155">
        <f t="shared" si="149"/>
        <v>2.8127427308537456E-3</v>
      </c>
      <c r="AL211" s="147">
        <f t="shared" si="150"/>
        <v>4.0075199999999997E-3</v>
      </c>
      <c r="AM211" s="147">
        <f t="shared" si="126"/>
        <v>3.3457498620581561E-4</v>
      </c>
      <c r="AN211" s="160">
        <f t="shared" si="151"/>
        <v>0</v>
      </c>
      <c r="AO211" s="161">
        <f t="shared" si="152"/>
        <v>0</v>
      </c>
      <c r="AP211" s="156">
        <f t="shared" si="127"/>
        <v>1.4597429402433646</v>
      </c>
      <c r="AQ211" s="152"/>
      <c r="AR211" s="162">
        <f t="shared" si="128"/>
        <v>871.56131739119996</v>
      </c>
      <c r="AS211" s="150">
        <f t="shared" si="153"/>
        <v>0</v>
      </c>
      <c r="AT211" s="163">
        <f t="shared" si="129"/>
        <v>0</v>
      </c>
      <c r="AU211" s="163">
        <f t="shared" si="130"/>
        <v>33.457498620581561</v>
      </c>
      <c r="AV211" s="163">
        <f t="shared" si="154"/>
        <v>2.4044240919666167</v>
      </c>
      <c r="AW211" s="163">
        <f t="shared" si="131"/>
        <v>0.281307174214939</v>
      </c>
      <c r="AX211" s="163">
        <f t="shared" si="132"/>
        <v>0</v>
      </c>
      <c r="AY211" s="164">
        <f t="shared" si="155"/>
        <v>840.78955003679994</v>
      </c>
      <c r="AZ211" s="164">
        <f>IF($E211="","",IF(OR(AND($D211=Input!$C$6,$C211=12),$AN211=1),0,-AS212+AT212+AU212-AV212-AW212-AX212+AZ212))</f>
        <v>840.78961611879549</v>
      </c>
      <c r="BA211" s="154">
        <f t="shared" si="133"/>
        <v>6.6081995555578033E-5</v>
      </c>
      <c r="BC211" s="147">
        <f t="shared" si="156"/>
        <v>0.48083558494131773</v>
      </c>
      <c r="BD211" s="164">
        <f>IF(AND($C210=12,$D210=Input!$C$6),0,IF($E211="","",AT211+(AU211+BD212)/(1+$AK211)*MIN((1-AM211-AN211),1)))</f>
        <v>1259.2435591191288</v>
      </c>
      <c r="BE211" s="164">
        <f t="shared" si="134"/>
        <v>605.48911333263311</v>
      </c>
      <c r="BF211" s="164">
        <f t="shared" si="157"/>
        <v>840.78961611879549</v>
      </c>
      <c r="BG211" s="164">
        <f t="shared" si="135"/>
        <v>404.28156687906704</v>
      </c>
      <c r="BH211" s="152"/>
      <c r="BI211" s="162">
        <f t="shared" si="136"/>
        <v>647.13947832388897</v>
      </c>
      <c r="BJ211" s="150">
        <f t="shared" si="137"/>
        <v>0</v>
      </c>
      <c r="BK211" s="163">
        <f t="shared" si="161"/>
        <v>0</v>
      </c>
      <c r="BL211" s="163">
        <f t="shared" si="138"/>
        <v>29.679411190586258</v>
      </c>
      <c r="BM211" s="163">
        <f t="shared" si="162"/>
        <v>2.0079378426562706</v>
      </c>
      <c r="BN211" s="163">
        <f t="shared" si="139"/>
        <v>0.18390906169014121</v>
      </c>
      <c r="BO211" s="163">
        <f t="shared" si="140"/>
        <v>0</v>
      </c>
      <c r="BP211" s="164">
        <f t="shared" si="163"/>
        <v>619.65191403764902</v>
      </c>
      <c r="BQ211" s="164">
        <f>IF($E211="","",IF(AND($D211=Input!$C$6,$C211=12),0,-BJ212+BK212+BL212-BM212-BN212-BO212+BQ212))</f>
        <v>619.65198874455314</v>
      </c>
      <c r="BR211" s="161">
        <f t="shared" si="141"/>
        <v>0</v>
      </c>
      <c r="BT211" s="147">
        <f t="shared" si="142"/>
        <v>0.48083558494131773</v>
      </c>
      <c r="BU211" s="164">
        <f>IF(AND($C210=12,$D210=Input!$C$6),0,IF($E211="","",BK211+(BL211+BU212)/(1+$AK211)*MIN((1-T211-U211),1)))</f>
        <v>4867.0380264796067</v>
      </c>
      <c r="BV211" s="164">
        <f t="shared" si="143"/>
        <v>2340.2450763939582</v>
      </c>
      <c r="BW211" s="164">
        <f t="shared" si="144"/>
        <v>619.65198874455314</v>
      </c>
      <c r="BX211" s="164">
        <f t="shared" si="145"/>
        <v>297.95072646803806</v>
      </c>
    </row>
    <row r="212" spans="1:76" s="150" customFormat="1" x14ac:dyDescent="0.25">
      <c r="A212" s="150">
        <f t="shared" si="158"/>
        <v>208</v>
      </c>
      <c r="B212" s="150">
        <f t="shared" si="159"/>
        <v>18</v>
      </c>
      <c r="C212" s="150">
        <f t="shared" si="160"/>
        <v>4</v>
      </c>
      <c r="D212" s="150">
        <f>IF(E212="","",Input!$C$4+B212-1)</f>
        <v>62</v>
      </c>
      <c r="E212" s="150">
        <f>IF(OR(AND(C211=12,D211=Input!$C$6),E211=""),"",1)</f>
        <v>1</v>
      </c>
      <c r="F212" s="150">
        <f>IF(E212="","",Input!$C$8+B212-1)</f>
        <v>2035</v>
      </c>
      <c r="G212" s="151">
        <f>IF(E212="","",MAX(0,Input!$C$9-B212))</f>
        <v>2</v>
      </c>
      <c r="H212" s="152">
        <f>IF(E212="","",Input!$C$3)</f>
        <v>100000</v>
      </c>
      <c r="I212" s="153">
        <f>IF(E212="","",HLOOKUP($B212,Input!$C$13:$BT$14,2))</f>
        <v>2.2999999999999998</v>
      </c>
      <c r="J212" s="154"/>
      <c r="K212" s="155">
        <f>IF($E212="","",INDEX(Input!$C$16:$CP$16,1,$B212))</f>
        <v>2.3779999999999999E-2</v>
      </c>
      <c r="L212" s="155">
        <f>IF($E212="","",Input!$C$37)</f>
        <v>1.4999999999999999E-2</v>
      </c>
      <c r="M212" s="155">
        <f t="shared" si="146"/>
        <v>3.8779999999999995E-2</v>
      </c>
      <c r="N212" s="155">
        <f t="shared" si="147"/>
        <v>3.1756105715352589E-3</v>
      </c>
      <c r="O212" s="147">
        <f>IF($E212="","",MIN(VLOOKUP(IF($B212&lt;=Input!$C$7,$B212,26),'Mortality Tables'!$A$41:$CW$67,IF($B212&lt;=Input!$C$7+1,Input!$C$4+2,$D212-Input!$C$7+2),0)*IF(B212&gt;20,Input!$C$22,1)/1000,1))</f>
        <v>3.872E-3</v>
      </c>
      <c r="P212" s="147">
        <f>IF($E212="","",MIN(VLOOKUP(IF($B212&lt;=Input!$C$7,$B212,26),'Mortality Tables'!$A$12:$CW$37,IF($B212&lt;=Input!$C$7+1,Input!$C$4+2,$D212-Input!$C$7+2),0)*IF(B212&gt;20,Input!$C$22,1)/1000,1))</f>
        <v>4.8399999999999997E-3</v>
      </c>
      <c r="Q212" s="155">
        <f>IF($E212="","",Input!$C$21)</f>
        <v>5.0000000000000001E-3</v>
      </c>
      <c r="R212" s="159">
        <f>IF($E212="","",(1-Q212)^($F212-Input!$C$20))</f>
        <v>0.9183164683543652</v>
      </c>
      <c r="S212" s="147">
        <f t="shared" si="123"/>
        <v>3.5557213654681019E-3</v>
      </c>
      <c r="T212" s="147">
        <f t="shared" si="124"/>
        <v>2.9679411190586258E-4</v>
      </c>
      <c r="U212" s="160">
        <f>IF($E212="","",IF($C212=12,INDEX(Input!$C$15:$CP$15,1,$B212),0))</f>
        <v>0</v>
      </c>
      <c r="V212" s="150">
        <f>IF(E212="","",IF(C212=1,IF($B212=1,Input!$C$33,Input!$C$34),0))</f>
        <v>0</v>
      </c>
      <c r="W212" s="156">
        <f>IF($E212="","",Input!$C$35)</f>
        <v>0.02</v>
      </c>
      <c r="X212" s="156">
        <f t="shared" si="125"/>
        <v>1.4002414191924248</v>
      </c>
      <c r="Y212" s="154"/>
      <c r="Z212" s="147">
        <f>IF($E212="","",VLOOKUP($D212,'Mortality Margins &amp; Grading'!$AB$5:$AF$125,3,0)*IF(Summary!$D$25="Included Margin",IF(AND($B212&gt;Input!$C$9,Summary!$D$31&lt;&gt;"Included Margin"),0,1),0))</f>
        <v>3.5000000000000003E-2</v>
      </c>
      <c r="AA212" s="147">
        <f>IF($E212="","",VLOOKUP($D212,'Mortality Margins &amp; Grading'!$AB$5:$AF$125,5,0)*IF(Summary!$D$25="Included Margin",IF(AND($B212&gt;Input!$C$9,Summary!$D$31&lt;&gt;"Included Margin"),0,1),0))</f>
        <v>0.17799999999999999</v>
      </c>
      <c r="AB212" s="147">
        <f>IF($E212="","",IF(AND($B212&gt;Input!$C$9,Summary!$D$31&lt;&gt;"Included Margin"),1,IF(Summary!$D$25="Included Margin",VLOOKUP($B212,'Mortality Margins &amp; Grading'!$AI$5:$AR$125,MATCH('Mortality Margins &amp; Grading'!$AQ$4,'Mortality Margins &amp; Grading'!$AI$4:$AR$4,0),0),1)))</f>
        <v>1</v>
      </c>
      <c r="AC212" s="154"/>
      <c r="AD212" s="158">
        <f>IF(E212="","",Input!$C$48*IF(Summary!$D$30="Included Margin",IF(AND($B212&gt;Input!$C$9,Summary!$D$31&lt;&gt;"Included Margin"),0,1),0))</f>
        <v>-4.4999999999999997E-3</v>
      </c>
      <c r="AE212" s="159">
        <f>IF(E212="","",IF(Summary!$D$26="Included Margin",IF(AND($B212&gt;Input!$C$9,Summary!$D$31&lt;&gt;"Included Margin"),1,1/$R212),1))</f>
        <v>1.0889492179008973</v>
      </c>
      <c r="AF212" s="160">
        <f>IF(E212="","",IF(AND($B212&gt;=Input!$C$9,$C212=12,Summary!$D$31="Included Margin",$U212&gt;0),1/U212-1,IF($B212&gt;=Input!$C$9,0,Input!$C$45*IF(Summary!$D$27="Included Margin",1,0))))</f>
        <v>-0.1</v>
      </c>
      <c r="AG212" s="160">
        <f>IF(E212="","",Input!$C$46*IF(Summary!$D$28="Included Margin",IF(AND($B212&gt;Input!$C$9,Summary!$D$31&lt;&gt;"Included Margin"),0,1),0))</f>
        <v>0.02</v>
      </c>
      <c r="AH212" s="158">
        <f>IF(E212="","",Input!$C$47*IF(Summary!$D$29="Included Margin",IF(AND($B212&gt;Input!$C$9,Summary!$D$31&lt;&gt;"Included Margin"),0,1),0))</f>
        <v>2.5000000000000001E-3</v>
      </c>
      <c r="AI212" s="154"/>
      <c r="AJ212" s="158">
        <f t="shared" si="148"/>
        <v>3.4279999999999998E-2</v>
      </c>
      <c r="AK212" s="155">
        <f t="shared" si="149"/>
        <v>2.8127427308537456E-3</v>
      </c>
      <c r="AL212" s="147">
        <f t="shared" si="150"/>
        <v>4.0075199999999997E-3</v>
      </c>
      <c r="AM212" s="147">
        <f t="shared" si="126"/>
        <v>3.3457498620581561E-4</v>
      </c>
      <c r="AN212" s="160">
        <f t="shared" si="151"/>
        <v>0</v>
      </c>
      <c r="AO212" s="161">
        <f t="shared" si="152"/>
        <v>0</v>
      </c>
      <c r="AP212" s="156">
        <f t="shared" si="127"/>
        <v>1.4597429402433646</v>
      </c>
      <c r="AQ212" s="152"/>
      <c r="AR212" s="162">
        <f t="shared" si="128"/>
        <v>840.78955003679982</v>
      </c>
      <c r="AS212" s="150">
        <f t="shared" si="153"/>
        <v>0</v>
      </c>
      <c r="AT212" s="163">
        <f t="shared" si="129"/>
        <v>0</v>
      </c>
      <c r="AU212" s="163">
        <f t="shared" si="130"/>
        <v>33.457498620581561</v>
      </c>
      <c r="AV212" s="163">
        <f t="shared" si="154"/>
        <v>2.3178710270250051</v>
      </c>
      <c r="AW212" s="163">
        <f t="shared" si="131"/>
        <v>0.27097929663680487</v>
      </c>
      <c r="AX212" s="163">
        <f t="shared" si="132"/>
        <v>0</v>
      </c>
      <c r="AY212" s="164">
        <f t="shared" si="155"/>
        <v>809.92090173988015</v>
      </c>
      <c r="AZ212" s="164">
        <f>IF($E212="","",IF(OR(AND($D212=Input!$C$6,$C212=12),$AN212=1),0,-AS213+AT213+AU213-AV213-AW213-AX213+AZ213))</f>
        <v>809.92096782187571</v>
      </c>
      <c r="BA212" s="154">
        <f t="shared" si="133"/>
        <v>6.6081995555578033E-5</v>
      </c>
      <c r="BC212" s="147">
        <f t="shared" si="156"/>
        <v>0.48069287577091235</v>
      </c>
      <c r="BD212" s="164">
        <f>IF(AND($C211=12,$D211=Input!$C$6),0,IF($E212="","",AT212+(AU212+BD213)/(1+$AK212)*MIN((1-AM212-AN212),1)))</f>
        <v>1229.7506265068737</v>
      </c>
      <c r="BE212" s="164">
        <f t="shared" si="134"/>
        <v>591.13236513667027</v>
      </c>
      <c r="BF212" s="164">
        <f t="shared" si="157"/>
        <v>809.92096782187571</v>
      </c>
      <c r="BG212" s="164">
        <f t="shared" si="135"/>
        <v>389.32323916945802</v>
      </c>
      <c r="BH212" s="152"/>
      <c r="BI212" s="162">
        <f t="shared" si="136"/>
        <v>619.65191403764914</v>
      </c>
      <c r="BJ212" s="150">
        <f t="shared" si="137"/>
        <v>0</v>
      </c>
      <c r="BK212" s="163">
        <f t="shared" si="161"/>
        <v>0</v>
      </c>
      <c r="BL212" s="163">
        <f t="shared" si="138"/>
        <v>29.679411190586258</v>
      </c>
      <c r="BM212" s="163">
        <f t="shared" si="162"/>
        <v>1.9206480429231323</v>
      </c>
      <c r="BN212" s="163">
        <f t="shared" si="139"/>
        <v>0.17572257766050389</v>
      </c>
      <c r="BO212" s="163">
        <f t="shared" si="140"/>
        <v>0</v>
      </c>
      <c r="BP212" s="164">
        <f t="shared" si="163"/>
        <v>592.06887346764654</v>
      </c>
      <c r="BQ212" s="164">
        <f>IF($E212="","",IF(AND($D212=Input!$C$6,$C212=12),0,-BJ213+BK213+BL213-BM213-BN213-BO213+BQ213))</f>
        <v>592.06894817455054</v>
      </c>
      <c r="BR212" s="161">
        <f t="shared" si="141"/>
        <v>0</v>
      </c>
      <c r="BT212" s="147">
        <f t="shared" si="142"/>
        <v>0.48069287577091235</v>
      </c>
      <c r="BU212" s="164">
        <f>IF(AND($C211=12,$D211=Input!$C$6),0,IF($E212="","",BK212+(BL212+BU213)/(1+$AK212)*MIN((1-T212-U212),1)))</f>
        <v>4852.4973424325481</v>
      </c>
      <c r="BV212" s="164">
        <f t="shared" si="143"/>
        <v>2332.560902204611</v>
      </c>
      <c r="BW212" s="164">
        <f t="shared" si="144"/>
        <v>592.06894817455054</v>
      </c>
      <c r="BX212" s="164">
        <f t="shared" si="145"/>
        <v>284.60332535268395</v>
      </c>
    </row>
    <row r="213" spans="1:76" s="150" customFormat="1" x14ac:dyDescent="0.25">
      <c r="A213" s="150">
        <f t="shared" si="158"/>
        <v>209</v>
      </c>
      <c r="B213" s="150">
        <f t="shared" si="159"/>
        <v>18</v>
      </c>
      <c r="C213" s="150">
        <f t="shared" si="160"/>
        <v>5</v>
      </c>
      <c r="D213" s="150">
        <f>IF(E213="","",Input!$C$4+B213-1)</f>
        <v>62</v>
      </c>
      <c r="E213" s="150">
        <f>IF(OR(AND(C212=12,D212=Input!$C$6),E212=""),"",1)</f>
        <v>1</v>
      </c>
      <c r="F213" s="150">
        <f>IF(E213="","",Input!$C$8+B213-1)</f>
        <v>2035</v>
      </c>
      <c r="G213" s="151">
        <f>IF(E213="","",MAX(0,Input!$C$9-B213))</f>
        <v>2</v>
      </c>
      <c r="H213" s="152">
        <f>IF(E213="","",Input!$C$3)</f>
        <v>100000</v>
      </c>
      <c r="I213" s="153">
        <f>IF(E213="","",HLOOKUP($B213,Input!$C$13:$BT$14,2))</f>
        <v>2.2999999999999998</v>
      </c>
      <c r="J213" s="154"/>
      <c r="K213" s="155">
        <f>IF($E213="","",INDEX(Input!$C$16:$CP$16,1,$B213))</f>
        <v>2.3779999999999999E-2</v>
      </c>
      <c r="L213" s="155">
        <f>IF($E213="","",Input!$C$37)</f>
        <v>1.4999999999999999E-2</v>
      </c>
      <c r="M213" s="155">
        <f t="shared" si="146"/>
        <v>3.8779999999999995E-2</v>
      </c>
      <c r="N213" s="155">
        <f t="shared" si="147"/>
        <v>3.1756105715352589E-3</v>
      </c>
      <c r="O213" s="147">
        <f>IF($E213="","",MIN(VLOOKUP(IF($B213&lt;=Input!$C$7,$B213,26),'Mortality Tables'!$A$41:$CW$67,IF($B213&lt;=Input!$C$7+1,Input!$C$4+2,$D213-Input!$C$7+2),0)*IF(B213&gt;20,Input!$C$22,1)/1000,1))</f>
        <v>3.872E-3</v>
      </c>
      <c r="P213" s="147">
        <f>IF($E213="","",MIN(VLOOKUP(IF($B213&lt;=Input!$C$7,$B213,26),'Mortality Tables'!$A$12:$CW$37,IF($B213&lt;=Input!$C$7+1,Input!$C$4+2,$D213-Input!$C$7+2),0)*IF(B213&gt;20,Input!$C$22,1)/1000,1))</f>
        <v>4.8399999999999997E-3</v>
      </c>
      <c r="Q213" s="155">
        <f>IF($E213="","",Input!$C$21)</f>
        <v>5.0000000000000001E-3</v>
      </c>
      <c r="R213" s="159">
        <f>IF($E213="","",(1-Q213)^($F213-Input!$C$20))</f>
        <v>0.9183164683543652</v>
      </c>
      <c r="S213" s="147">
        <f t="shared" si="123"/>
        <v>3.5557213654681019E-3</v>
      </c>
      <c r="T213" s="147">
        <f t="shared" si="124"/>
        <v>2.9679411190586258E-4</v>
      </c>
      <c r="U213" s="160">
        <f>IF($E213="","",IF($C213=12,INDEX(Input!$C$15:$CP$15,1,$B213),0))</f>
        <v>0</v>
      </c>
      <c r="V213" s="150">
        <f>IF(E213="","",IF(C213=1,IF($B213=1,Input!$C$33,Input!$C$34),0))</f>
        <v>0</v>
      </c>
      <c r="W213" s="156">
        <f>IF($E213="","",Input!$C$35)</f>
        <v>0.02</v>
      </c>
      <c r="X213" s="156">
        <f t="shared" si="125"/>
        <v>1.4002414191924248</v>
      </c>
      <c r="Y213" s="154"/>
      <c r="Z213" s="147">
        <f>IF($E213="","",VLOOKUP($D213,'Mortality Margins &amp; Grading'!$AB$5:$AF$125,3,0)*IF(Summary!$D$25="Included Margin",IF(AND($B213&gt;Input!$C$9,Summary!$D$31&lt;&gt;"Included Margin"),0,1),0))</f>
        <v>3.5000000000000003E-2</v>
      </c>
      <c r="AA213" s="147">
        <f>IF($E213="","",VLOOKUP($D213,'Mortality Margins &amp; Grading'!$AB$5:$AF$125,5,0)*IF(Summary!$D$25="Included Margin",IF(AND($B213&gt;Input!$C$9,Summary!$D$31&lt;&gt;"Included Margin"),0,1),0))</f>
        <v>0.17799999999999999</v>
      </c>
      <c r="AB213" s="147">
        <f>IF($E213="","",IF(AND($B213&gt;Input!$C$9,Summary!$D$31&lt;&gt;"Included Margin"),1,IF(Summary!$D$25="Included Margin",VLOOKUP($B213,'Mortality Margins &amp; Grading'!$AI$5:$AR$125,MATCH('Mortality Margins &amp; Grading'!$AQ$4,'Mortality Margins &amp; Grading'!$AI$4:$AR$4,0),0),1)))</f>
        <v>1</v>
      </c>
      <c r="AC213" s="154"/>
      <c r="AD213" s="158">
        <f>IF(E213="","",Input!$C$48*IF(Summary!$D$30="Included Margin",IF(AND($B213&gt;Input!$C$9,Summary!$D$31&lt;&gt;"Included Margin"),0,1),0))</f>
        <v>-4.4999999999999997E-3</v>
      </c>
      <c r="AE213" s="159">
        <f>IF(E213="","",IF(Summary!$D$26="Included Margin",IF(AND($B213&gt;Input!$C$9,Summary!$D$31&lt;&gt;"Included Margin"),1,1/$R213),1))</f>
        <v>1.0889492179008973</v>
      </c>
      <c r="AF213" s="160">
        <f>IF(E213="","",IF(AND($B213&gt;=Input!$C$9,$C213=12,Summary!$D$31="Included Margin",$U213&gt;0),1/U213-1,IF($B213&gt;=Input!$C$9,0,Input!$C$45*IF(Summary!$D$27="Included Margin",1,0))))</f>
        <v>-0.1</v>
      </c>
      <c r="AG213" s="160">
        <f>IF(E213="","",Input!$C$46*IF(Summary!$D$28="Included Margin",IF(AND($B213&gt;Input!$C$9,Summary!$D$31&lt;&gt;"Included Margin"),0,1),0))</f>
        <v>0.02</v>
      </c>
      <c r="AH213" s="158">
        <f>IF(E213="","",Input!$C$47*IF(Summary!$D$29="Included Margin",IF(AND($B213&gt;Input!$C$9,Summary!$D$31&lt;&gt;"Included Margin"),0,1),0))</f>
        <v>2.5000000000000001E-3</v>
      </c>
      <c r="AI213" s="154"/>
      <c r="AJ213" s="158">
        <f t="shared" si="148"/>
        <v>3.4279999999999998E-2</v>
      </c>
      <c r="AK213" s="155">
        <f t="shared" si="149"/>
        <v>2.8127427308537456E-3</v>
      </c>
      <c r="AL213" s="147">
        <f t="shared" si="150"/>
        <v>4.0075199999999997E-3</v>
      </c>
      <c r="AM213" s="147">
        <f t="shared" si="126"/>
        <v>3.3457498620581561E-4</v>
      </c>
      <c r="AN213" s="160">
        <f t="shared" si="151"/>
        <v>0</v>
      </c>
      <c r="AO213" s="161">
        <f t="shared" si="152"/>
        <v>0</v>
      </c>
      <c r="AP213" s="156">
        <f t="shared" si="127"/>
        <v>1.4597429402433646</v>
      </c>
      <c r="AQ213" s="152"/>
      <c r="AR213" s="162">
        <f t="shared" si="128"/>
        <v>809.92090173988015</v>
      </c>
      <c r="AS213" s="150">
        <f t="shared" si="153"/>
        <v>0</v>
      </c>
      <c r="AT213" s="163">
        <f t="shared" si="129"/>
        <v>0</v>
      </c>
      <c r="AU213" s="163">
        <f t="shared" si="130"/>
        <v>33.457498620581561</v>
      </c>
      <c r="AV213" s="163">
        <f t="shared" si="154"/>
        <v>2.2310454609165635</v>
      </c>
      <c r="AW213" s="163">
        <f t="shared" si="131"/>
        <v>0.26061890306755225</v>
      </c>
      <c r="AX213" s="163">
        <f t="shared" si="132"/>
        <v>0</v>
      </c>
      <c r="AY213" s="164">
        <f t="shared" si="155"/>
        <v>778.95506748328273</v>
      </c>
      <c r="AZ213" s="164">
        <f>IF($E213="","",IF(OR(AND($D213=Input!$C$6,$C213=12),$AN213=1),0,-AS214+AT214+AU214-AV214-AW214-AX214+AZ214))</f>
        <v>778.95513356527829</v>
      </c>
      <c r="BA213" s="154">
        <f t="shared" si="133"/>
        <v>6.6081995555578033E-5</v>
      </c>
      <c r="BC213" s="147">
        <f t="shared" si="156"/>
        <v>0.48055020895574846</v>
      </c>
      <c r="BD213" s="164">
        <f>IF(AND($C212=12,$D212=Input!$C$6),0,IF($E213="","",AT213+(AU213+BD214)/(1+$AK213)*MIN((1-AM213-AN213),1)))</f>
        <v>1200.1648391984211</v>
      </c>
      <c r="BE213" s="164">
        <f t="shared" si="134"/>
        <v>576.73946425814347</v>
      </c>
      <c r="BF213" s="164">
        <f t="shared" si="157"/>
        <v>778.95513356527829</v>
      </c>
      <c r="BG213" s="164">
        <f t="shared" si="135"/>
        <v>374.32705220194742</v>
      </c>
      <c r="BH213" s="152"/>
      <c r="BI213" s="162">
        <f t="shared" si="136"/>
        <v>592.06887346764654</v>
      </c>
      <c r="BJ213" s="150">
        <f t="shared" si="137"/>
        <v>0</v>
      </c>
      <c r="BK213" s="163">
        <f t="shared" si="161"/>
        <v>0</v>
      </c>
      <c r="BL213" s="163">
        <f t="shared" si="138"/>
        <v>29.679411190586258</v>
      </c>
      <c r="BM213" s="163">
        <f t="shared" si="162"/>
        <v>1.833055047693946</v>
      </c>
      <c r="BN213" s="163">
        <f t="shared" si="139"/>
        <v>0.16750765840597384</v>
      </c>
      <c r="BO213" s="163">
        <f t="shared" si="140"/>
        <v>0</v>
      </c>
      <c r="BP213" s="164">
        <f t="shared" si="163"/>
        <v>564.39002498316017</v>
      </c>
      <c r="BQ213" s="164">
        <f>IF($E213="","",IF(AND($D213=Input!$C$6,$C213=12),0,-BJ214+BK214+BL214-BM214-BN214-BO214+BQ214))</f>
        <v>564.39009969006418</v>
      </c>
      <c r="BR213" s="161">
        <f t="shared" si="141"/>
        <v>0</v>
      </c>
      <c r="BT213" s="147">
        <f t="shared" si="142"/>
        <v>0.48055020895574846</v>
      </c>
      <c r="BU213" s="164">
        <f>IF(AND($C212=12,$D212=Input!$C$6),0,IF($E213="","",BK213+(BL213+BU214)/(1+$AK213)*MIN((1-T213-U213),1)))</f>
        <v>4837.911430169258</v>
      </c>
      <c r="BV213" s="164">
        <f t="shared" si="143"/>
        <v>2324.8593486772406</v>
      </c>
      <c r="BW213" s="164">
        <f t="shared" si="144"/>
        <v>564.39009969006418</v>
      </c>
      <c r="BX213" s="164">
        <f t="shared" si="145"/>
        <v>271.21778033861602</v>
      </c>
    </row>
    <row r="214" spans="1:76" s="150" customFormat="1" x14ac:dyDescent="0.25">
      <c r="A214" s="150">
        <f t="shared" si="158"/>
        <v>210</v>
      </c>
      <c r="B214" s="150">
        <f t="shared" si="159"/>
        <v>18</v>
      </c>
      <c r="C214" s="150">
        <f t="shared" si="160"/>
        <v>6</v>
      </c>
      <c r="D214" s="150">
        <f>IF(E214="","",Input!$C$4+B214-1)</f>
        <v>62</v>
      </c>
      <c r="E214" s="150">
        <f>IF(OR(AND(C213=12,D213=Input!$C$6),E213=""),"",1)</f>
        <v>1</v>
      </c>
      <c r="F214" s="150">
        <f>IF(E214="","",Input!$C$8+B214-1)</f>
        <v>2035</v>
      </c>
      <c r="G214" s="151">
        <f>IF(E214="","",MAX(0,Input!$C$9-B214))</f>
        <v>2</v>
      </c>
      <c r="H214" s="152">
        <f>IF(E214="","",Input!$C$3)</f>
        <v>100000</v>
      </c>
      <c r="I214" s="153">
        <f>IF(E214="","",HLOOKUP($B214,Input!$C$13:$BT$14,2))</f>
        <v>2.2999999999999998</v>
      </c>
      <c r="J214" s="154"/>
      <c r="K214" s="155">
        <f>IF($E214="","",INDEX(Input!$C$16:$CP$16,1,$B214))</f>
        <v>2.3779999999999999E-2</v>
      </c>
      <c r="L214" s="155">
        <f>IF($E214="","",Input!$C$37)</f>
        <v>1.4999999999999999E-2</v>
      </c>
      <c r="M214" s="155">
        <f t="shared" si="146"/>
        <v>3.8779999999999995E-2</v>
      </c>
      <c r="N214" s="155">
        <f t="shared" si="147"/>
        <v>3.1756105715352589E-3</v>
      </c>
      <c r="O214" s="147">
        <f>IF($E214="","",MIN(VLOOKUP(IF($B214&lt;=Input!$C$7,$B214,26),'Mortality Tables'!$A$41:$CW$67,IF($B214&lt;=Input!$C$7+1,Input!$C$4+2,$D214-Input!$C$7+2),0)*IF(B214&gt;20,Input!$C$22,1)/1000,1))</f>
        <v>3.872E-3</v>
      </c>
      <c r="P214" s="147">
        <f>IF($E214="","",MIN(VLOOKUP(IF($B214&lt;=Input!$C$7,$B214,26),'Mortality Tables'!$A$12:$CW$37,IF($B214&lt;=Input!$C$7+1,Input!$C$4+2,$D214-Input!$C$7+2),0)*IF(B214&gt;20,Input!$C$22,1)/1000,1))</f>
        <v>4.8399999999999997E-3</v>
      </c>
      <c r="Q214" s="155">
        <f>IF($E214="","",Input!$C$21)</f>
        <v>5.0000000000000001E-3</v>
      </c>
      <c r="R214" s="159">
        <f>IF($E214="","",(1-Q214)^($F214-Input!$C$20))</f>
        <v>0.9183164683543652</v>
      </c>
      <c r="S214" s="147">
        <f t="shared" si="123"/>
        <v>3.5557213654681019E-3</v>
      </c>
      <c r="T214" s="147">
        <f t="shared" si="124"/>
        <v>2.9679411190586258E-4</v>
      </c>
      <c r="U214" s="160">
        <f>IF($E214="","",IF($C214=12,INDEX(Input!$C$15:$CP$15,1,$B214),0))</f>
        <v>0</v>
      </c>
      <c r="V214" s="150">
        <f>IF(E214="","",IF(C214=1,IF($B214=1,Input!$C$33,Input!$C$34),0))</f>
        <v>0</v>
      </c>
      <c r="W214" s="156">
        <f>IF($E214="","",Input!$C$35)</f>
        <v>0.02</v>
      </c>
      <c r="X214" s="156">
        <f t="shared" si="125"/>
        <v>1.4002414191924248</v>
      </c>
      <c r="Y214" s="154"/>
      <c r="Z214" s="147">
        <f>IF($E214="","",VLOOKUP($D214,'Mortality Margins &amp; Grading'!$AB$5:$AF$125,3,0)*IF(Summary!$D$25="Included Margin",IF(AND($B214&gt;Input!$C$9,Summary!$D$31&lt;&gt;"Included Margin"),0,1),0))</f>
        <v>3.5000000000000003E-2</v>
      </c>
      <c r="AA214" s="147">
        <f>IF($E214="","",VLOOKUP($D214,'Mortality Margins &amp; Grading'!$AB$5:$AF$125,5,0)*IF(Summary!$D$25="Included Margin",IF(AND($B214&gt;Input!$C$9,Summary!$D$31&lt;&gt;"Included Margin"),0,1),0))</f>
        <v>0.17799999999999999</v>
      </c>
      <c r="AB214" s="147">
        <f>IF($E214="","",IF(AND($B214&gt;Input!$C$9,Summary!$D$31&lt;&gt;"Included Margin"),1,IF(Summary!$D$25="Included Margin",VLOOKUP($B214,'Mortality Margins &amp; Grading'!$AI$5:$AR$125,MATCH('Mortality Margins &amp; Grading'!$AQ$4,'Mortality Margins &amp; Grading'!$AI$4:$AR$4,0),0),1)))</f>
        <v>1</v>
      </c>
      <c r="AC214" s="154"/>
      <c r="AD214" s="158">
        <f>IF(E214="","",Input!$C$48*IF(Summary!$D$30="Included Margin",IF(AND($B214&gt;Input!$C$9,Summary!$D$31&lt;&gt;"Included Margin"),0,1),0))</f>
        <v>-4.4999999999999997E-3</v>
      </c>
      <c r="AE214" s="159">
        <f>IF(E214="","",IF(Summary!$D$26="Included Margin",IF(AND($B214&gt;Input!$C$9,Summary!$D$31&lt;&gt;"Included Margin"),1,1/$R214),1))</f>
        <v>1.0889492179008973</v>
      </c>
      <c r="AF214" s="160">
        <f>IF(E214="","",IF(AND($B214&gt;=Input!$C$9,$C214=12,Summary!$D$31="Included Margin",$U214&gt;0),1/U214-1,IF($B214&gt;=Input!$C$9,0,Input!$C$45*IF(Summary!$D$27="Included Margin",1,0))))</f>
        <v>-0.1</v>
      </c>
      <c r="AG214" s="160">
        <f>IF(E214="","",Input!$C$46*IF(Summary!$D$28="Included Margin",IF(AND($B214&gt;Input!$C$9,Summary!$D$31&lt;&gt;"Included Margin"),0,1),0))</f>
        <v>0.02</v>
      </c>
      <c r="AH214" s="158">
        <f>IF(E214="","",Input!$C$47*IF(Summary!$D$29="Included Margin",IF(AND($B214&gt;Input!$C$9,Summary!$D$31&lt;&gt;"Included Margin"),0,1),0))</f>
        <v>2.5000000000000001E-3</v>
      </c>
      <c r="AI214" s="154"/>
      <c r="AJ214" s="158">
        <f t="shared" si="148"/>
        <v>3.4279999999999998E-2</v>
      </c>
      <c r="AK214" s="155">
        <f t="shared" si="149"/>
        <v>2.8127427308537456E-3</v>
      </c>
      <c r="AL214" s="147">
        <f t="shared" si="150"/>
        <v>4.0075199999999997E-3</v>
      </c>
      <c r="AM214" s="147">
        <f t="shared" si="126"/>
        <v>3.3457498620581561E-4</v>
      </c>
      <c r="AN214" s="160">
        <f t="shared" si="151"/>
        <v>0</v>
      </c>
      <c r="AO214" s="161">
        <f t="shared" si="152"/>
        <v>0</v>
      </c>
      <c r="AP214" s="156">
        <f t="shared" si="127"/>
        <v>1.4597429402433646</v>
      </c>
      <c r="AQ214" s="152"/>
      <c r="AR214" s="162">
        <f t="shared" si="128"/>
        <v>778.95506748328273</v>
      </c>
      <c r="AS214" s="150">
        <f t="shared" si="153"/>
        <v>0</v>
      </c>
      <c r="AT214" s="163">
        <f t="shared" si="129"/>
        <v>0</v>
      </c>
      <c r="AU214" s="163">
        <f t="shared" si="130"/>
        <v>33.457498620581561</v>
      </c>
      <c r="AV214" s="163">
        <f t="shared" si="154"/>
        <v>2.1439465357064971</v>
      </c>
      <c r="AW214" s="163">
        <f t="shared" si="131"/>
        <v>0.25022589113477484</v>
      </c>
      <c r="AX214" s="163">
        <f t="shared" si="132"/>
        <v>0</v>
      </c>
      <c r="AY214" s="164">
        <f t="shared" si="155"/>
        <v>747.89174128954244</v>
      </c>
      <c r="AZ214" s="164">
        <f>IF($E214="","",IF(OR(AND($D214=Input!$C$6,$C214=12),$AN214=1),0,-AS215+AT215+AU215-AV215-AW215-AX215+AZ215))</f>
        <v>747.89180737153799</v>
      </c>
      <c r="BA214" s="154">
        <f t="shared" si="133"/>
        <v>6.6081995555578033E-5</v>
      </c>
      <c r="BC214" s="147">
        <f t="shared" si="156"/>
        <v>0.48040758448325527</v>
      </c>
      <c r="BD214" s="164">
        <f>IF(AND($C213=12,$D213=Input!$C$6),0,IF($E214="","",AT214+(AU214+BD215)/(1+$AK214)*MIN((1-AM214-AN214),1)))</f>
        <v>1170.4859048527308</v>
      </c>
      <c r="BE214" s="164">
        <f t="shared" si="134"/>
        <v>562.31030622199773</v>
      </c>
      <c r="BF214" s="164">
        <f t="shared" si="157"/>
        <v>747.89180737153799</v>
      </c>
      <c r="BG214" s="164">
        <f t="shared" si="135"/>
        <v>359.2928966341766</v>
      </c>
      <c r="BH214" s="152"/>
      <c r="BI214" s="162">
        <f t="shared" si="136"/>
        <v>564.39002498316017</v>
      </c>
      <c r="BJ214" s="150">
        <f t="shared" si="137"/>
        <v>0</v>
      </c>
      <c r="BK214" s="163">
        <f t="shared" si="161"/>
        <v>0</v>
      </c>
      <c r="BL214" s="163">
        <f t="shared" si="138"/>
        <v>29.679411190586258</v>
      </c>
      <c r="BM214" s="163">
        <f t="shared" si="162"/>
        <v>1.7451578038386886</v>
      </c>
      <c r="BN214" s="163">
        <f t="shared" si="139"/>
        <v>0.15926420515862921</v>
      </c>
      <c r="BO214" s="163">
        <f t="shared" si="140"/>
        <v>0</v>
      </c>
      <c r="BP214" s="164">
        <f t="shared" si="163"/>
        <v>536.61503580157114</v>
      </c>
      <c r="BQ214" s="164">
        <f>IF($E214="","",IF(AND($D214=Input!$C$6,$C214=12),0,-BJ215+BK215+BL215-BM215-BN215-BO215+BQ215))</f>
        <v>536.61511050847525</v>
      </c>
      <c r="BR214" s="161">
        <f t="shared" si="141"/>
        <v>0</v>
      </c>
      <c r="BT214" s="147">
        <f t="shared" si="142"/>
        <v>0.48040758448325527</v>
      </c>
      <c r="BU214" s="164">
        <f>IF(AND($C213=12,$D213=Input!$C$6),0,IF($E214="","",BK214+(BL214+BU215)/(1+$AK214)*MIN((1-T214-U214),1)))</f>
        <v>4823.2801490091788</v>
      </c>
      <c r="BV214" s="164">
        <f t="shared" si="143"/>
        <v>2317.1403656715352</v>
      </c>
      <c r="BW214" s="164">
        <f t="shared" si="144"/>
        <v>536.61511050847525</v>
      </c>
      <c r="BX214" s="164">
        <f t="shared" si="145"/>
        <v>257.7939690365917</v>
      </c>
    </row>
    <row r="215" spans="1:76" s="150" customFormat="1" x14ac:dyDescent="0.25">
      <c r="A215" s="150">
        <f t="shared" si="158"/>
        <v>211</v>
      </c>
      <c r="B215" s="150">
        <f t="shared" si="159"/>
        <v>18</v>
      </c>
      <c r="C215" s="150">
        <f t="shared" si="160"/>
        <v>7</v>
      </c>
      <c r="D215" s="150">
        <f>IF(E215="","",Input!$C$4+B215-1)</f>
        <v>62</v>
      </c>
      <c r="E215" s="150">
        <f>IF(OR(AND(C214=12,D214=Input!$C$6),E214=""),"",1)</f>
        <v>1</v>
      </c>
      <c r="F215" s="150">
        <f>IF(E215="","",Input!$C$8+B215-1)</f>
        <v>2035</v>
      </c>
      <c r="G215" s="151">
        <f>IF(E215="","",MAX(0,Input!$C$9-B215))</f>
        <v>2</v>
      </c>
      <c r="H215" s="152">
        <f>IF(E215="","",Input!$C$3)</f>
        <v>100000</v>
      </c>
      <c r="I215" s="153">
        <f>IF(E215="","",HLOOKUP($B215,Input!$C$13:$BT$14,2))</f>
        <v>2.2999999999999998</v>
      </c>
      <c r="J215" s="154"/>
      <c r="K215" s="155">
        <f>IF($E215="","",INDEX(Input!$C$16:$CP$16,1,$B215))</f>
        <v>2.3779999999999999E-2</v>
      </c>
      <c r="L215" s="155">
        <f>IF($E215="","",Input!$C$37)</f>
        <v>1.4999999999999999E-2</v>
      </c>
      <c r="M215" s="155">
        <f t="shared" si="146"/>
        <v>3.8779999999999995E-2</v>
      </c>
      <c r="N215" s="155">
        <f t="shared" si="147"/>
        <v>3.1756105715352589E-3</v>
      </c>
      <c r="O215" s="147">
        <f>IF($E215="","",MIN(VLOOKUP(IF($B215&lt;=Input!$C$7,$B215,26),'Mortality Tables'!$A$41:$CW$67,IF($B215&lt;=Input!$C$7+1,Input!$C$4+2,$D215-Input!$C$7+2),0)*IF(B215&gt;20,Input!$C$22,1)/1000,1))</f>
        <v>3.872E-3</v>
      </c>
      <c r="P215" s="147">
        <f>IF($E215="","",MIN(VLOOKUP(IF($B215&lt;=Input!$C$7,$B215,26),'Mortality Tables'!$A$12:$CW$37,IF($B215&lt;=Input!$C$7+1,Input!$C$4+2,$D215-Input!$C$7+2),0)*IF(B215&gt;20,Input!$C$22,1)/1000,1))</f>
        <v>4.8399999999999997E-3</v>
      </c>
      <c r="Q215" s="155">
        <f>IF($E215="","",Input!$C$21)</f>
        <v>5.0000000000000001E-3</v>
      </c>
      <c r="R215" s="159">
        <f>IF($E215="","",(1-Q215)^($F215-Input!$C$20))</f>
        <v>0.9183164683543652</v>
      </c>
      <c r="S215" s="147">
        <f t="shared" si="123"/>
        <v>3.5557213654681019E-3</v>
      </c>
      <c r="T215" s="147">
        <f t="shared" si="124"/>
        <v>2.9679411190586258E-4</v>
      </c>
      <c r="U215" s="160">
        <f>IF($E215="","",IF($C215=12,INDEX(Input!$C$15:$CP$15,1,$B215),0))</f>
        <v>0</v>
      </c>
      <c r="V215" s="150">
        <f>IF(E215="","",IF(C215=1,IF($B215=1,Input!$C$33,Input!$C$34),0))</f>
        <v>0</v>
      </c>
      <c r="W215" s="156">
        <f>IF($E215="","",Input!$C$35)</f>
        <v>0.02</v>
      </c>
      <c r="X215" s="156">
        <f t="shared" si="125"/>
        <v>1.4002414191924248</v>
      </c>
      <c r="Y215" s="154"/>
      <c r="Z215" s="147">
        <f>IF($E215="","",VLOOKUP($D215,'Mortality Margins &amp; Grading'!$AB$5:$AF$125,3,0)*IF(Summary!$D$25="Included Margin",IF(AND($B215&gt;Input!$C$9,Summary!$D$31&lt;&gt;"Included Margin"),0,1),0))</f>
        <v>3.5000000000000003E-2</v>
      </c>
      <c r="AA215" s="147">
        <f>IF($E215="","",VLOOKUP($D215,'Mortality Margins &amp; Grading'!$AB$5:$AF$125,5,0)*IF(Summary!$D$25="Included Margin",IF(AND($B215&gt;Input!$C$9,Summary!$D$31&lt;&gt;"Included Margin"),0,1),0))</f>
        <v>0.17799999999999999</v>
      </c>
      <c r="AB215" s="147">
        <f>IF($E215="","",IF(AND($B215&gt;Input!$C$9,Summary!$D$31&lt;&gt;"Included Margin"),1,IF(Summary!$D$25="Included Margin",VLOOKUP($B215,'Mortality Margins &amp; Grading'!$AI$5:$AR$125,MATCH('Mortality Margins &amp; Grading'!$AQ$4,'Mortality Margins &amp; Grading'!$AI$4:$AR$4,0),0),1)))</f>
        <v>1</v>
      </c>
      <c r="AC215" s="154"/>
      <c r="AD215" s="158">
        <f>IF(E215="","",Input!$C$48*IF(Summary!$D$30="Included Margin",IF(AND($B215&gt;Input!$C$9,Summary!$D$31&lt;&gt;"Included Margin"),0,1),0))</f>
        <v>-4.4999999999999997E-3</v>
      </c>
      <c r="AE215" s="159">
        <f>IF(E215="","",IF(Summary!$D$26="Included Margin",IF(AND($B215&gt;Input!$C$9,Summary!$D$31&lt;&gt;"Included Margin"),1,1/$R215),1))</f>
        <v>1.0889492179008973</v>
      </c>
      <c r="AF215" s="160">
        <f>IF(E215="","",IF(AND($B215&gt;=Input!$C$9,$C215=12,Summary!$D$31="Included Margin",$U215&gt;0),1/U215-1,IF($B215&gt;=Input!$C$9,0,Input!$C$45*IF(Summary!$D$27="Included Margin",1,0))))</f>
        <v>-0.1</v>
      </c>
      <c r="AG215" s="160">
        <f>IF(E215="","",Input!$C$46*IF(Summary!$D$28="Included Margin",IF(AND($B215&gt;Input!$C$9,Summary!$D$31&lt;&gt;"Included Margin"),0,1),0))</f>
        <v>0.02</v>
      </c>
      <c r="AH215" s="158">
        <f>IF(E215="","",Input!$C$47*IF(Summary!$D$29="Included Margin",IF(AND($B215&gt;Input!$C$9,Summary!$D$31&lt;&gt;"Included Margin"),0,1),0))</f>
        <v>2.5000000000000001E-3</v>
      </c>
      <c r="AI215" s="154"/>
      <c r="AJ215" s="158">
        <f t="shared" si="148"/>
        <v>3.4279999999999998E-2</v>
      </c>
      <c r="AK215" s="155">
        <f t="shared" si="149"/>
        <v>2.8127427308537456E-3</v>
      </c>
      <c r="AL215" s="147">
        <f t="shared" si="150"/>
        <v>4.0075199999999997E-3</v>
      </c>
      <c r="AM215" s="147">
        <f t="shared" si="126"/>
        <v>3.3457498620581561E-4</v>
      </c>
      <c r="AN215" s="160">
        <f t="shared" si="151"/>
        <v>0</v>
      </c>
      <c r="AO215" s="161">
        <f t="shared" si="152"/>
        <v>0</v>
      </c>
      <c r="AP215" s="156">
        <f t="shared" si="127"/>
        <v>1.4597429402433646</v>
      </c>
      <c r="AQ215" s="152"/>
      <c r="AR215" s="162">
        <f t="shared" si="128"/>
        <v>747.89174128954244</v>
      </c>
      <c r="AS215" s="150">
        <f t="shared" si="153"/>
        <v>0</v>
      </c>
      <c r="AT215" s="163">
        <f t="shared" si="129"/>
        <v>0</v>
      </c>
      <c r="AU215" s="163">
        <f t="shared" si="130"/>
        <v>33.457498620581561</v>
      </c>
      <c r="AV215" s="163">
        <f t="shared" si="154"/>
        <v>2.0565733907589157</v>
      </c>
      <c r="AW215" s="163">
        <f t="shared" si="131"/>
        <v>0.23980015814376018</v>
      </c>
      <c r="AX215" s="163">
        <f t="shared" si="132"/>
        <v>0</v>
      </c>
      <c r="AY215" s="164">
        <f t="shared" si="155"/>
        <v>716.7306162178636</v>
      </c>
      <c r="AZ215" s="164">
        <f>IF($E215="","",IF(OR(AND($D215=Input!$C$6,$C215=12),$AN215=1),0,-AS216+AT216+AU216-AV216-AW216-AX216+AZ216))</f>
        <v>716.73068229985915</v>
      </c>
      <c r="BA215" s="154">
        <f t="shared" si="133"/>
        <v>6.6081995555578033E-5</v>
      </c>
      <c r="BC215" s="147">
        <f t="shared" si="156"/>
        <v>0.48026500234086572</v>
      </c>
      <c r="BD215" s="164">
        <f>IF(AND($C214=12,$D214=Input!$C$6),0,IF($E215="","",AT215+(AU215+BD216)/(1+$AK215)*MIN((1-AM215-AN215),1)))</f>
        <v>1140.7135302083641</v>
      </c>
      <c r="BE215" s="164">
        <f t="shared" si="134"/>
        <v>547.84478625577719</v>
      </c>
      <c r="BF215" s="164">
        <f t="shared" si="157"/>
        <v>716.73068229985915</v>
      </c>
      <c r="BG215" s="164">
        <f t="shared" si="135"/>
        <v>344.22066281251216</v>
      </c>
      <c r="BH215" s="152"/>
      <c r="BI215" s="162">
        <f t="shared" si="136"/>
        <v>536.61503580157114</v>
      </c>
      <c r="BJ215" s="150">
        <f t="shared" si="137"/>
        <v>0</v>
      </c>
      <c r="BK215" s="163">
        <f t="shared" si="161"/>
        <v>0</v>
      </c>
      <c r="BL215" s="163">
        <f t="shared" si="138"/>
        <v>29.679411190586258</v>
      </c>
      <c r="BM215" s="163">
        <f t="shared" si="162"/>
        <v>1.6569552545693569</v>
      </c>
      <c r="BN215" s="163">
        <f t="shared" si="139"/>
        <v>0.15099211880748417</v>
      </c>
      <c r="BO215" s="163">
        <f t="shared" si="140"/>
        <v>0</v>
      </c>
      <c r="BP215" s="164">
        <f t="shared" si="163"/>
        <v>508.74357198436172</v>
      </c>
      <c r="BQ215" s="164">
        <f>IF($E215="","",IF(AND($D215=Input!$C$6,$C215=12),0,-BJ216+BK216+BL216-BM216-BN216-BO216+BQ216))</f>
        <v>508.74364669126584</v>
      </c>
      <c r="BR215" s="161">
        <f t="shared" si="141"/>
        <v>0</v>
      </c>
      <c r="BT215" s="147">
        <f t="shared" si="142"/>
        <v>0.48026500234086572</v>
      </c>
      <c r="BU215" s="164">
        <f>IF(AND($C214=12,$D214=Input!$C$6),0,IF($E215="","",BK215+(BL215+BU216)/(1+$AK215)*MIN((1-T215-U215),1)))</f>
        <v>4808.6033578341712</v>
      </c>
      <c r="BV215" s="164">
        <f t="shared" si="143"/>
        <v>2309.4039029065229</v>
      </c>
      <c r="BW215" s="164">
        <f t="shared" si="144"/>
        <v>508.74364669126584</v>
      </c>
      <c r="BX215" s="164">
        <f t="shared" si="145"/>
        <v>244.33176866908136</v>
      </c>
    </row>
    <row r="216" spans="1:76" s="150" customFormat="1" x14ac:dyDescent="0.25">
      <c r="A216" s="150">
        <f t="shared" si="158"/>
        <v>212</v>
      </c>
      <c r="B216" s="150">
        <f t="shared" si="159"/>
        <v>18</v>
      </c>
      <c r="C216" s="150">
        <f t="shared" si="160"/>
        <v>8</v>
      </c>
      <c r="D216" s="150">
        <f>IF(E216="","",Input!$C$4+B216-1)</f>
        <v>62</v>
      </c>
      <c r="E216" s="150">
        <f>IF(OR(AND(C215=12,D215=Input!$C$6),E215=""),"",1)</f>
        <v>1</v>
      </c>
      <c r="F216" s="150">
        <f>IF(E216="","",Input!$C$8+B216-1)</f>
        <v>2035</v>
      </c>
      <c r="G216" s="151">
        <f>IF(E216="","",MAX(0,Input!$C$9-B216))</f>
        <v>2</v>
      </c>
      <c r="H216" s="152">
        <f>IF(E216="","",Input!$C$3)</f>
        <v>100000</v>
      </c>
      <c r="I216" s="153">
        <f>IF(E216="","",HLOOKUP($B216,Input!$C$13:$BT$14,2))</f>
        <v>2.2999999999999998</v>
      </c>
      <c r="J216" s="154"/>
      <c r="K216" s="155">
        <f>IF($E216="","",INDEX(Input!$C$16:$CP$16,1,$B216))</f>
        <v>2.3779999999999999E-2</v>
      </c>
      <c r="L216" s="155">
        <f>IF($E216="","",Input!$C$37)</f>
        <v>1.4999999999999999E-2</v>
      </c>
      <c r="M216" s="155">
        <f t="shared" si="146"/>
        <v>3.8779999999999995E-2</v>
      </c>
      <c r="N216" s="155">
        <f t="shared" si="147"/>
        <v>3.1756105715352589E-3</v>
      </c>
      <c r="O216" s="147">
        <f>IF($E216="","",MIN(VLOOKUP(IF($B216&lt;=Input!$C$7,$B216,26),'Mortality Tables'!$A$41:$CW$67,IF($B216&lt;=Input!$C$7+1,Input!$C$4+2,$D216-Input!$C$7+2),0)*IF(B216&gt;20,Input!$C$22,1)/1000,1))</f>
        <v>3.872E-3</v>
      </c>
      <c r="P216" s="147">
        <f>IF($E216="","",MIN(VLOOKUP(IF($B216&lt;=Input!$C$7,$B216,26),'Mortality Tables'!$A$12:$CW$37,IF($B216&lt;=Input!$C$7+1,Input!$C$4+2,$D216-Input!$C$7+2),0)*IF(B216&gt;20,Input!$C$22,1)/1000,1))</f>
        <v>4.8399999999999997E-3</v>
      </c>
      <c r="Q216" s="155">
        <f>IF($E216="","",Input!$C$21)</f>
        <v>5.0000000000000001E-3</v>
      </c>
      <c r="R216" s="159">
        <f>IF($E216="","",(1-Q216)^($F216-Input!$C$20))</f>
        <v>0.9183164683543652</v>
      </c>
      <c r="S216" s="147">
        <f t="shared" si="123"/>
        <v>3.5557213654681019E-3</v>
      </c>
      <c r="T216" s="147">
        <f t="shared" si="124"/>
        <v>2.9679411190586258E-4</v>
      </c>
      <c r="U216" s="160">
        <f>IF($E216="","",IF($C216=12,INDEX(Input!$C$15:$CP$15,1,$B216),0))</f>
        <v>0</v>
      </c>
      <c r="V216" s="150">
        <f>IF(E216="","",IF(C216=1,IF($B216=1,Input!$C$33,Input!$C$34),0))</f>
        <v>0</v>
      </c>
      <c r="W216" s="156">
        <f>IF($E216="","",Input!$C$35)</f>
        <v>0.02</v>
      </c>
      <c r="X216" s="156">
        <f t="shared" si="125"/>
        <v>1.4002414191924248</v>
      </c>
      <c r="Y216" s="154"/>
      <c r="Z216" s="147">
        <f>IF($E216="","",VLOOKUP($D216,'Mortality Margins &amp; Grading'!$AB$5:$AF$125,3,0)*IF(Summary!$D$25="Included Margin",IF(AND($B216&gt;Input!$C$9,Summary!$D$31&lt;&gt;"Included Margin"),0,1),0))</f>
        <v>3.5000000000000003E-2</v>
      </c>
      <c r="AA216" s="147">
        <f>IF($E216="","",VLOOKUP($D216,'Mortality Margins &amp; Grading'!$AB$5:$AF$125,5,0)*IF(Summary!$D$25="Included Margin",IF(AND($B216&gt;Input!$C$9,Summary!$D$31&lt;&gt;"Included Margin"),0,1),0))</f>
        <v>0.17799999999999999</v>
      </c>
      <c r="AB216" s="147">
        <f>IF($E216="","",IF(AND($B216&gt;Input!$C$9,Summary!$D$31&lt;&gt;"Included Margin"),1,IF(Summary!$D$25="Included Margin",VLOOKUP($B216,'Mortality Margins &amp; Grading'!$AI$5:$AR$125,MATCH('Mortality Margins &amp; Grading'!$AQ$4,'Mortality Margins &amp; Grading'!$AI$4:$AR$4,0),0),1)))</f>
        <v>1</v>
      </c>
      <c r="AC216" s="154"/>
      <c r="AD216" s="158">
        <f>IF(E216="","",Input!$C$48*IF(Summary!$D$30="Included Margin",IF(AND($B216&gt;Input!$C$9,Summary!$D$31&lt;&gt;"Included Margin"),0,1),0))</f>
        <v>-4.4999999999999997E-3</v>
      </c>
      <c r="AE216" s="159">
        <f>IF(E216="","",IF(Summary!$D$26="Included Margin",IF(AND($B216&gt;Input!$C$9,Summary!$D$31&lt;&gt;"Included Margin"),1,1/$R216),1))</f>
        <v>1.0889492179008973</v>
      </c>
      <c r="AF216" s="160">
        <f>IF(E216="","",IF(AND($B216&gt;=Input!$C$9,$C216=12,Summary!$D$31="Included Margin",$U216&gt;0),1/U216-1,IF($B216&gt;=Input!$C$9,0,Input!$C$45*IF(Summary!$D$27="Included Margin",1,0))))</f>
        <v>-0.1</v>
      </c>
      <c r="AG216" s="160">
        <f>IF(E216="","",Input!$C$46*IF(Summary!$D$28="Included Margin",IF(AND($B216&gt;Input!$C$9,Summary!$D$31&lt;&gt;"Included Margin"),0,1),0))</f>
        <v>0.02</v>
      </c>
      <c r="AH216" s="158">
        <f>IF(E216="","",Input!$C$47*IF(Summary!$D$29="Included Margin",IF(AND($B216&gt;Input!$C$9,Summary!$D$31&lt;&gt;"Included Margin"),0,1),0))</f>
        <v>2.5000000000000001E-3</v>
      </c>
      <c r="AI216" s="154"/>
      <c r="AJ216" s="158">
        <f t="shared" si="148"/>
        <v>3.4279999999999998E-2</v>
      </c>
      <c r="AK216" s="155">
        <f t="shared" si="149"/>
        <v>2.8127427308537456E-3</v>
      </c>
      <c r="AL216" s="147">
        <f t="shared" si="150"/>
        <v>4.0075199999999997E-3</v>
      </c>
      <c r="AM216" s="147">
        <f t="shared" si="126"/>
        <v>3.3457498620581561E-4</v>
      </c>
      <c r="AN216" s="160">
        <f t="shared" si="151"/>
        <v>0</v>
      </c>
      <c r="AO216" s="161">
        <f t="shared" si="152"/>
        <v>0</v>
      </c>
      <c r="AP216" s="156">
        <f t="shared" si="127"/>
        <v>1.4597429402433646</v>
      </c>
      <c r="AQ216" s="152"/>
      <c r="AR216" s="162">
        <f t="shared" si="128"/>
        <v>716.7306162178636</v>
      </c>
      <c r="AS216" s="150">
        <f t="shared" si="153"/>
        <v>0</v>
      </c>
      <c r="AT216" s="163">
        <f t="shared" si="129"/>
        <v>0</v>
      </c>
      <c r="AU216" s="163">
        <f t="shared" si="130"/>
        <v>33.457498620581561</v>
      </c>
      <c r="AV216" s="163">
        <f t="shared" si="154"/>
        <v>1.9689251627283264</v>
      </c>
      <c r="AW216" s="163">
        <f t="shared" si="131"/>
        <v>0.22934160107647472</v>
      </c>
      <c r="AX216" s="163">
        <f t="shared" si="132"/>
        <v>0</v>
      </c>
      <c r="AY216" s="164">
        <f t="shared" si="155"/>
        <v>685.47138436108685</v>
      </c>
      <c r="AZ216" s="164">
        <f>IF($E216="","",IF(OR(AND($D216=Input!$C$6,$C216=12),$AN216=1),0,-AS217+AT217+AU217-AV217-AW217-AX217+AZ217))</f>
        <v>685.4714504430824</v>
      </c>
      <c r="BA216" s="154">
        <f t="shared" si="133"/>
        <v>6.6081995555578033E-5</v>
      </c>
      <c r="BC216" s="147">
        <f t="shared" si="156"/>
        <v>0.48012246251601648</v>
      </c>
      <c r="BD216" s="164">
        <f>IF(AND($C215=12,$D215=Input!$C$6),0,IF($E216="","",AT216+(AU216+BD217)/(1+$AK216)*MIN((1-AM216-AN216),1)))</f>
        <v>1110.8474210805866</v>
      </c>
      <c r="BE216" s="164">
        <f t="shared" si="134"/>
        <v>533.34279928877754</v>
      </c>
      <c r="BF216" s="164">
        <f t="shared" si="157"/>
        <v>685.4714504430824</v>
      </c>
      <c r="BG216" s="164">
        <f t="shared" si="135"/>
        <v>329.11024077115826</v>
      </c>
      <c r="BH216" s="152"/>
      <c r="BI216" s="162">
        <f t="shared" si="136"/>
        <v>508.74357198436172</v>
      </c>
      <c r="BJ216" s="150">
        <f t="shared" si="137"/>
        <v>0</v>
      </c>
      <c r="BK216" s="163">
        <f t="shared" si="161"/>
        <v>0</v>
      </c>
      <c r="BL216" s="163">
        <f t="shared" si="138"/>
        <v>29.679411190586258</v>
      </c>
      <c r="BM216" s="163">
        <f t="shared" si="162"/>
        <v>1.5684463394272643</v>
      </c>
      <c r="BN216" s="163">
        <f t="shared" si="139"/>
        <v>0.14269129989729723</v>
      </c>
      <c r="BO216" s="163">
        <f t="shared" si="140"/>
        <v>0</v>
      </c>
      <c r="BP216" s="164">
        <f t="shared" si="163"/>
        <v>480.77529843310003</v>
      </c>
      <c r="BQ216" s="164">
        <f>IF($E216="","",IF(AND($D216=Input!$C$6,$C216=12),0,-BJ217+BK217+BL217-BM217-BN217-BO217+BQ217))</f>
        <v>480.77537314000415</v>
      </c>
      <c r="BR216" s="161">
        <f t="shared" si="141"/>
        <v>0</v>
      </c>
      <c r="BT216" s="147">
        <f t="shared" si="142"/>
        <v>0.48012246251601648</v>
      </c>
      <c r="BU216" s="164">
        <f>IF(AND($C215=12,$D215=Input!$C$6),0,IF($E216="","",BK216+(BL216+BU217)/(1+$AK216)*MIN((1-T216-U216),1)))</f>
        <v>4793.8809150871539</v>
      </c>
      <c r="BV216" s="164">
        <f t="shared" si="143"/>
        <v>2301.6499099601788</v>
      </c>
      <c r="BW216" s="164">
        <f t="shared" si="144"/>
        <v>480.77537314000415</v>
      </c>
      <c r="BX216" s="164">
        <f t="shared" si="145"/>
        <v>230.83105606903547</v>
      </c>
    </row>
    <row r="217" spans="1:76" s="150" customFormat="1" x14ac:dyDescent="0.25">
      <c r="A217" s="150">
        <f t="shared" si="158"/>
        <v>213</v>
      </c>
      <c r="B217" s="150">
        <f t="shared" si="159"/>
        <v>18</v>
      </c>
      <c r="C217" s="150">
        <f t="shared" si="160"/>
        <v>9</v>
      </c>
      <c r="D217" s="150">
        <f>IF(E217="","",Input!$C$4+B217-1)</f>
        <v>62</v>
      </c>
      <c r="E217" s="150">
        <f>IF(OR(AND(C216=12,D216=Input!$C$6),E216=""),"",1)</f>
        <v>1</v>
      </c>
      <c r="F217" s="150">
        <f>IF(E217="","",Input!$C$8+B217-1)</f>
        <v>2035</v>
      </c>
      <c r="G217" s="151">
        <f>IF(E217="","",MAX(0,Input!$C$9-B217))</f>
        <v>2</v>
      </c>
      <c r="H217" s="152">
        <f>IF(E217="","",Input!$C$3)</f>
        <v>100000</v>
      </c>
      <c r="I217" s="153">
        <f>IF(E217="","",HLOOKUP($B217,Input!$C$13:$BT$14,2))</f>
        <v>2.2999999999999998</v>
      </c>
      <c r="J217" s="154"/>
      <c r="K217" s="155">
        <f>IF($E217="","",INDEX(Input!$C$16:$CP$16,1,$B217))</f>
        <v>2.3779999999999999E-2</v>
      </c>
      <c r="L217" s="155">
        <f>IF($E217="","",Input!$C$37)</f>
        <v>1.4999999999999999E-2</v>
      </c>
      <c r="M217" s="155">
        <f t="shared" si="146"/>
        <v>3.8779999999999995E-2</v>
      </c>
      <c r="N217" s="155">
        <f t="shared" si="147"/>
        <v>3.1756105715352589E-3</v>
      </c>
      <c r="O217" s="147">
        <f>IF($E217="","",MIN(VLOOKUP(IF($B217&lt;=Input!$C$7,$B217,26),'Mortality Tables'!$A$41:$CW$67,IF($B217&lt;=Input!$C$7+1,Input!$C$4+2,$D217-Input!$C$7+2),0)*IF(B217&gt;20,Input!$C$22,1)/1000,1))</f>
        <v>3.872E-3</v>
      </c>
      <c r="P217" s="147">
        <f>IF($E217="","",MIN(VLOOKUP(IF($B217&lt;=Input!$C$7,$B217,26),'Mortality Tables'!$A$12:$CW$37,IF($B217&lt;=Input!$C$7+1,Input!$C$4+2,$D217-Input!$C$7+2),0)*IF(B217&gt;20,Input!$C$22,1)/1000,1))</f>
        <v>4.8399999999999997E-3</v>
      </c>
      <c r="Q217" s="155">
        <f>IF($E217="","",Input!$C$21)</f>
        <v>5.0000000000000001E-3</v>
      </c>
      <c r="R217" s="159">
        <f>IF($E217="","",(1-Q217)^($F217-Input!$C$20))</f>
        <v>0.9183164683543652</v>
      </c>
      <c r="S217" s="147">
        <f t="shared" si="123"/>
        <v>3.5557213654681019E-3</v>
      </c>
      <c r="T217" s="147">
        <f t="shared" si="124"/>
        <v>2.9679411190586258E-4</v>
      </c>
      <c r="U217" s="160">
        <f>IF($E217="","",IF($C217=12,INDEX(Input!$C$15:$CP$15,1,$B217),0))</f>
        <v>0</v>
      </c>
      <c r="V217" s="150">
        <f>IF(E217="","",IF(C217=1,IF($B217=1,Input!$C$33,Input!$C$34),0))</f>
        <v>0</v>
      </c>
      <c r="W217" s="156">
        <f>IF($E217="","",Input!$C$35)</f>
        <v>0.02</v>
      </c>
      <c r="X217" s="156">
        <f t="shared" si="125"/>
        <v>1.4002414191924248</v>
      </c>
      <c r="Y217" s="154"/>
      <c r="Z217" s="147">
        <f>IF($E217="","",VLOOKUP($D217,'Mortality Margins &amp; Grading'!$AB$5:$AF$125,3,0)*IF(Summary!$D$25="Included Margin",IF(AND($B217&gt;Input!$C$9,Summary!$D$31&lt;&gt;"Included Margin"),0,1),0))</f>
        <v>3.5000000000000003E-2</v>
      </c>
      <c r="AA217" s="147">
        <f>IF($E217="","",VLOOKUP($D217,'Mortality Margins &amp; Grading'!$AB$5:$AF$125,5,0)*IF(Summary!$D$25="Included Margin",IF(AND($B217&gt;Input!$C$9,Summary!$D$31&lt;&gt;"Included Margin"),0,1),0))</f>
        <v>0.17799999999999999</v>
      </c>
      <c r="AB217" s="147">
        <f>IF($E217="","",IF(AND($B217&gt;Input!$C$9,Summary!$D$31&lt;&gt;"Included Margin"),1,IF(Summary!$D$25="Included Margin",VLOOKUP($B217,'Mortality Margins &amp; Grading'!$AI$5:$AR$125,MATCH('Mortality Margins &amp; Grading'!$AQ$4,'Mortality Margins &amp; Grading'!$AI$4:$AR$4,0),0),1)))</f>
        <v>1</v>
      </c>
      <c r="AC217" s="154"/>
      <c r="AD217" s="158">
        <f>IF(E217="","",Input!$C$48*IF(Summary!$D$30="Included Margin",IF(AND($B217&gt;Input!$C$9,Summary!$D$31&lt;&gt;"Included Margin"),0,1),0))</f>
        <v>-4.4999999999999997E-3</v>
      </c>
      <c r="AE217" s="159">
        <f>IF(E217="","",IF(Summary!$D$26="Included Margin",IF(AND($B217&gt;Input!$C$9,Summary!$D$31&lt;&gt;"Included Margin"),1,1/$R217),1))</f>
        <v>1.0889492179008973</v>
      </c>
      <c r="AF217" s="160">
        <f>IF(E217="","",IF(AND($B217&gt;=Input!$C$9,$C217=12,Summary!$D$31="Included Margin",$U217&gt;0),1/U217-1,IF($B217&gt;=Input!$C$9,0,Input!$C$45*IF(Summary!$D$27="Included Margin",1,0))))</f>
        <v>-0.1</v>
      </c>
      <c r="AG217" s="160">
        <f>IF(E217="","",Input!$C$46*IF(Summary!$D$28="Included Margin",IF(AND($B217&gt;Input!$C$9,Summary!$D$31&lt;&gt;"Included Margin"),0,1),0))</f>
        <v>0.02</v>
      </c>
      <c r="AH217" s="158">
        <f>IF(E217="","",Input!$C$47*IF(Summary!$D$29="Included Margin",IF(AND($B217&gt;Input!$C$9,Summary!$D$31&lt;&gt;"Included Margin"),0,1),0))</f>
        <v>2.5000000000000001E-3</v>
      </c>
      <c r="AI217" s="154"/>
      <c r="AJ217" s="158">
        <f t="shared" si="148"/>
        <v>3.4279999999999998E-2</v>
      </c>
      <c r="AK217" s="155">
        <f t="shared" si="149"/>
        <v>2.8127427308537456E-3</v>
      </c>
      <c r="AL217" s="147">
        <f t="shared" si="150"/>
        <v>4.0075199999999997E-3</v>
      </c>
      <c r="AM217" s="147">
        <f t="shared" si="126"/>
        <v>3.3457498620581561E-4</v>
      </c>
      <c r="AN217" s="160">
        <f t="shared" si="151"/>
        <v>0</v>
      </c>
      <c r="AO217" s="161">
        <f t="shared" si="152"/>
        <v>0</v>
      </c>
      <c r="AP217" s="156">
        <f t="shared" si="127"/>
        <v>1.4597429402433646</v>
      </c>
      <c r="AQ217" s="152"/>
      <c r="AR217" s="162">
        <f t="shared" si="128"/>
        <v>685.47138436108685</v>
      </c>
      <c r="AS217" s="150">
        <f t="shared" si="153"/>
        <v>0</v>
      </c>
      <c r="AT217" s="163">
        <f t="shared" si="129"/>
        <v>0</v>
      </c>
      <c r="AU217" s="163">
        <f t="shared" si="130"/>
        <v>33.457498620581561</v>
      </c>
      <c r="AV217" s="163">
        <f t="shared" si="154"/>
        <v>1.8810009855511058</v>
      </c>
      <c r="AW217" s="163">
        <f t="shared" si="131"/>
        <v>0.21885011659054587</v>
      </c>
      <c r="AX217" s="163">
        <f t="shared" si="132"/>
        <v>0</v>
      </c>
      <c r="AY217" s="164">
        <f t="shared" si="155"/>
        <v>654.11373684264697</v>
      </c>
      <c r="AZ217" s="164">
        <f>IF($E217="","",IF(OR(AND($D217=Input!$C$6,$C217=12),$AN217=1),0,-AS218+AT218+AU218-AV218-AW218-AX218+AZ218))</f>
        <v>654.11380292464253</v>
      </c>
      <c r="BA217" s="154">
        <f t="shared" si="133"/>
        <v>6.6081995555578033E-5</v>
      </c>
      <c r="BC217" s="147">
        <f t="shared" si="156"/>
        <v>0.47997996499614798</v>
      </c>
      <c r="BD217" s="164">
        <f>IF(AND($C216=12,$D216=Input!$C$6),0,IF($E217="","",AT217+(AU217+BD218)/(1+$AK217)*MIN((1-AM217-AN217),1)))</f>
        <v>1080.8872823584616</v>
      </c>
      <c r="BE217" s="164">
        <f t="shared" si="134"/>
        <v>518.80423995119588</v>
      </c>
      <c r="BF217" s="164">
        <f t="shared" si="157"/>
        <v>654.11380292464253</v>
      </c>
      <c r="BG217" s="164">
        <f t="shared" si="135"/>
        <v>313.96152023126717</v>
      </c>
      <c r="BH217" s="152"/>
      <c r="BI217" s="162">
        <f t="shared" si="136"/>
        <v>480.77529843310009</v>
      </c>
      <c r="BJ217" s="150">
        <f t="shared" si="137"/>
        <v>0</v>
      </c>
      <c r="BK217" s="163">
        <f t="shared" si="161"/>
        <v>0</v>
      </c>
      <c r="BL217" s="163">
        <f t="shared" si="138"/>
        <v>29.679411190586258</v>
      </c>
      <c r="BM217" s="163">
        <f t="shared" si="162"/>
        <v>1.4796299942702877</v>
      </c>
      <c r="BN217" s="163">
        <f t="shared" si="139"/>
        <v>0.13436164862737557</v>
      </c>
      <c r="BO217" s="163">
        <f t="shared" si="140"/>
        <v>0</v>
      </c>
      <c r="BP217" s="164">
        <f t="shared" si="163"/>
        <v>452.70987888541146</v>
      </c>
      <c r="BQ217" s="164">
        <f>IF($E217="","",IF(AND($D217=Input!$C$6,$C217=12),0,-BJ218+BK218+BL218-BM218-BN218-BO218+BQ218))</f>
        <v>452.70995359231557</v>
      </c>
      <c r="BR217" s="161">
        <f t="shared" si="141"/>
        <v>0</v>
      </c>
      <c r="BT217" s="147">
        <f t="shared" si="142"/>
        <v>0.47997996499614798</v>
      </c>
      <c r="BU217" s="164">
        <f>IF(AND($C216=12,$D216=Input!$C$6),0,IF($E217="","",BK217+(BL217+BU218)/(1+$AK217)*MIN((1-T217-U217),1)))</f>
        <v>4779.1126787707371</v>
      </c>
      <c r="BV217" s="164">
        <f t="shared" si="143"/>
        <v>2293.8783362690256</v>
      </c>
      <c r="BW217" s="164">
        <f t="shared" si="144"/>
        <v>452.70995359231557</v>
      </c>
      <c r="BX217" s="164">
        <f t="shared" si="145"/>
        <v>217.29170767864741</v>
      </c>
    </row>
    <row r="218" spans="1:76" s="150" customFormat="1" x14ac:dyDescent="0.25">
      <c r="A218" s="150">
        <f t="shared" si="158"/>
        <v>214</v>
      </c>
      <c r="B218" s="150">
        <f t="shared" si="159"/>
        <v>18</v>
      </c>
      <c r="C218" s="150">
        <f t="shared" si="160"/>
        <v>10</v>
      </c>
      <c r="D218" s="150">
        <f>IF(E218="","",Input!$C$4+B218-1)</f>
        <v>62</v>
      </c>
      <c r="E218" s="150">
        <f>IF(OR(AND(C217=12,D217=Input!$C$6),E217=""),"",1)</f>
        <v>1</v>
      </c>
      <c r="F218" s="150">
        <f>IF(E218="","",Input!$C$8+B218-1)</f>
        <v>2035</v>
      </c>
      <c r="G218" s="151">
        <f>IF(E218="","",MAX(0,Input!$C$9-B218))</f>
        <v>2</v>
      </c>
      <c r="H218" s="152">
        <f>IF(E218="","",Input!$C$3)</f>
        <v>100000</v>
      </c>
      <c r="I218" s="153">
        <f>IF(E218="","",HLOOKUP($B218,Input!$C$13:$BT$14,2))</f>
        <v>2.2999999999999998</v>
      </c>
      <c r="J218" s="154"/>
      <c r="K218" s="155">
        <f>IF($E218="","",INDEX(Input!$C$16:$CP$16,1,$B218))</f>
        <v>2.3779999999999999E-2</v>
      </c>
      <c r="L218" s="155">
        <f>IF($E218="","",Input!$C$37)</f>
        <v>1.4999999999999999E-2</v>
      </c>
      <c r="M218" s="155">
        <f t="shared" si="146"/>
        <v>3.8779999999999995E-2</v>
      </c>
      <c r="N218" s="155">
        <f t="shared" si="147"/>
        <v>3.1756105715352589E-3</v>
      </c>
      <c r="O218" s="147">
        <f>IF($E218="","",MIN(VLOOKUP(IF($B218&lt;=Input!$C$7,$B218,26),'Mortality Tables'!$A$41:$CW$67,IF($B218&lt;=Input!$C$7+1,Input!$C$4+2,$D218-Input!$C$7+2),0)*IF(B218&gt;20,Input!$C$22,1)/1000,1))</f>
        <v>3.872E-3</v>
      </c>
      <c r="P218" s="147">
        <f>IF($E218="","",MIN(VLOOKUP(IF($B218&lt;=Input!$C$7,$B218,26),'Mortality Tables'!$A$12:$CW$37,IF($B218&lt;=Input!$C$7+1,Input!$C$4+2,$D218-Input!$C$7+2),0)*IF(B218&gt;20,Input!$C$22,1)/1000,1))</f>
        <v>4.8399999999999997E-3</v>
      </c>
      <c r="Q218" s="155">
        <f>IF($E218="","",Input!$C$21)</f>
        <v>5.0000000000000001E-3</v>
      </c>
      <c r="R218" s="159">
        <f>IF($E218="","",(1-Q218)^($F218-Input!$C$20))</f>
        <v>0.9183164683543652</v>
      </c>
      <c r="S218" s="147">
        <f t="shared" si="123"/>
        <v>3.5557213654681019E-3</v>
      </c>
      <c r="T218" s="147">
        <f t="shared" si="124"/>
        <v>2.9679411190586258E-4</v>
      </c>
      <c r="U218" s="160">
        <f>IF($E218="","",IF($C218=12,INDEX(Input!$C$15:$CP$15,1,$B218),0))</f>
        <v>0</v>
      </c>
      <c r="V218" s="150">
        <f>IF(E218="","",IF(C218=1,IF($B218=1,Input!$C$33,Input!$C$34),0))</f>
        <v>0</v>
      </c>
      <c r="W218" s="156">
        <f>IF($E218="","",Input!$C$35)</f>
        <v>0.02</v>
      </c>
      <c r="X218" s="156">
        <f t="shared" si="125"/>
        <v>1.4002414191924248</v>
      </c>
      <c r="Y218" s="154"/>
      <c r="Z218" s="147">
        <f>IF($E218="","",VLOOKUP($D218,'Mortality Margins &amp; Grading'!$AB$5:$AF$125,3,0)*IF(Summary!$D$25="Included Margin",IF(AND($B218&gt;Input!$C$9,Summary!$D$31&lt;&gt;"Included Margin"),0,1),0))</f>
        <v>3.5000000000000003E-2</v>
      </c>
      <c r="AA218" s="147">
        <f>IF($E218="","",VLOOKUP($D218,'Mortality Margins &amp; Grading'!$AB$5:$AF$125,5,0)*IF(Summary!$D$25="Included Margin",IF(AND($B218&gt;Input!$C$9,Summary!$D$31&lt;&gt;"Included Margin"),0,1),0))</f>
        <v>0.17799999999999999</v>
      </c>
      <c r="AB218" s="147">
        <f>IF($E218="","",IF(AND($B218&gt;Input!$C$9,Summary!$D$31&lt;&gt;"Included Margin"),1,IF(Summary!$D$25="Included Margin",VLOOKUP($B218,'Mortality Margins &amp; Grading'!$AI$5:$AR$125,MATCH('Mortality Margins &amp; Grading'!$AQ$4,'Mortality Margins &amp; Grading'!$AI$4:$AR$4,0),0),1)))</f>
        <v>1</v>
      </c>
      <c r="AC218" s="154"/>
      <c r="AD218" s="158">
        <f>IF(E218="","",Input!$C$48*IF(Summary!$D$30="Included Margin",IF(AND($B218&gt;Input!$C$9,Summary!$D$31&lt;&gt;"Included Margin"),0,1),0))</f>
        <v>-4.4999999999999997E-3</v>
      </c>
      <c r="AE218" s="159">
        <f>IF(E218="","",IF(Summary!$D$26="Included Margin",IF(AND($B218&gt;Input!$C$9,Summary!$D$31&lt;&gt;"Included Margin"),1,1/$R218),1))</f>
        <v>1.0889492179008973</v>
      </c>
      <c r="AF218" s="160">
        <f>IF(E218="","",IF(AND($B218&gt;=Input!$C$9,$C218=12,Summary!$D$31="Included Margin",$U218&gt;0),1/U218-1,IF($B218&gt;=Input!$C$9,0,Input!$C$45*IF(Summary!$D$27="Included Margin",1,0))))</f>
        <v>-0.1</v>
      </c>
      <c r="AG218" s="160">
        <f>IF(E218="","",Input!$C$46*IF(Summary!$D$28="Included Margin",IF(AND($B218&gt;Input!$C$9,Summary!$D$31&lt;&gt;"Included Margin"),0,1),0))</f>
        <v>0.02</v>
      </c>
      <c r="AH218" s="158">
        <f>IF(E218="","",Input!$C$47*IF(Summary!$D$29="Included Margin",IF(AND($B218&gt;Input!$C$9,Summary!$D$31&lt;&gt;"Included Margin"),0,1),0))</f>
        <v>2.5000000000000001E-3</v>
      </c>
      <c r="AI218" s="154"/>
      <c r="AJ218" s="158">
        <f t="shared" si="148"/>
        <v>3.4279999999999998E-2</v>
      </c>
      <c r="AK218" s="155">
        <f t="shared" si="149"/>
        <v>2.8127427308537456E-3</v>
      </c>
      <c r="AL218" s="147">
        <f t="shared" si="150"/>
        <v>4.0075199999999997E-3</v>
      </c>
      <c r="AM218" s="147">
        <f t="shared" si="126"/>
        <v>3.3457498620581561E-4</v>
      </c>
      <c r="AN218" s="160">
        <f t="shared" si="151"/>
        <v>0</v>
      </c>
      <c r="AO218" s="161">
        <f t="shared" si="152"/>
        <v>0</v>
      </c>
      <c r="AP218" s="156">
        <f t="shared" si="127"/>
        <v>1.4597429402433646</v>
      </c>
      <c r="AQ218" s="152"/>
      <c r="AR218" s="162">
        <f t="shared" si="128"/>
        <v>654.11373684264697</v>
      </c>
      <c r="AS218" s="150">
        <f t="shared" si="153"/>
        <v>0</v>
      </c>
      <c r="AT218" s="163">
        <f t="shared" si="129"/>
        <v>0</v>
      </c>
      <c r="AU218" s="163">
        <f t="shared" si="130"/>
        <v>33.457498620581561</v>
      </c>
      <c r="AV218" s="163">
        <f t="shared" si="154"/>
        <v>1.79279999043694</v>
      </c>
      <c r="AW218" s="163">
        <f t="shared" si="131"/>
        <v>0.20832560101824094</v>
      </c>
      <c r="AX218" s="163">
        <f t="shared" si="132"/>
        <v>0</v>
      </c>
      <c r="AY218" s="164">
        <f t="shared" si="155"/>
        <v>622.65736381352065</v>
      </c>
      <c r="AZ218" s="164">
        <f>IF($E218="","",IF(OR(AND($D218=Input!$C$6,$C218=12),$AN218=1),0,-AS219+AT219+AU219-AV219-AW219-AX219+AZ219))</f>
        <v>622.6574298955162</v>
      </c>
      <c r="BA218" s="154">
        <f t="shared" si="133"/>
        <v>6.6081995555578033E-5</v>
      </c>
      <c r="BC218" s="147">
        <f t="shared" si="156"/>
        <v>0.47983750976870432</v>
      </c>
      <c r="BD218" s="164">
        <f>IF(AND($C217=12,$D217=Input!$C$6),0,IF($E218="","",AT218+(AU218+BD219)/(1+$AK218)*MIN((1-AM218-AN218),1)))</f>
        <v>1050.832818001933</v>
      </c>
      <c r="BE218" s="164">
        <f t="shared" si="134"/>
        <v>504.22900257327763</v>
      </c>
      <c r="BF218" s="164">
        <f t="shared" si="157"/>
        <v>622.6574298955162</v>
      </c>
      <c r="BG218" s="164">
        <f t="shared" si="135"/>
        <v>298.7743906000461</v>
      </c>
      <c r="BH218" s="152"/>
      <c r="BI218" s="162">
        <f t="shared" si="136"/>
        <v>452.70987888541151</v>
      </c>
      <c r="BJ218" s="150">
        <f t="shared" si="137"/>
        <v>0</v>
      </c>
      <c r="BK218" s="163">
        <f t="shared" si="161"/>
        <v>0</v>
      </c>
      <c r="BL218" s="163">
        <f t="shared" si="138"/>
        <v>29.679411190586258</v>
      </c>
      <c r="BM218" s="163">
        <f t="shared" si="162"/>
        <v>1.3905051512600757</v>
      </c>
      <c r="BN218" s="163">
        <f t="shared" si="139"/>
        <v>0.12600306485037505</v>
      </c>
      <c r="BO218" s="163">
        <f t="shared" si="140"/>
        <v>0</v>
      </c>
      <c r="BP218" s="164">
        <f t="shared" si="163"/>
        <v>424.54697591093566</v>
      </c>
      <c r="BQ218" s="164">
        <f>IF($E218="","",IF(AND($D218=Input!$C$6,$C218=12),0,-BJ219+BK219+BL219-BM219-BN219-BO219+BQ219))</f>
        <v>424.54705061783977</v>
      </c>
      <c r="BR218" s="161">
        <f t="shared" si="141"/>
        <v>0</v>
      </c>
      <c r="BT218" s="147">
        <f t="shared" si="142"/>
        <v>0.47983750976870432</v>
      </c>
      <c r="BU218" s="164">
        <f>IF(AND($C217=12,$D217=Input!$C$6),0,IF($E218="","",BK218+(BL218+BU219)/(1+$AK218)*MIN((1-T218-U218),1)))</f>
        <v>4764.2985064458553</v>
      </c>
      <c r="BV218" s="164">
        <f t="shared" si="143"/>
        <v>2286.0891311277364</v>
      </c>
      <c r="BW218" s="164">
        <f t="shared" si="144"/>
        <v>424.54705061783977</v>
      </c>
      <c r="BX218" s="164">
        <f t="shared" si="145"/>
        <v>203.71359954811228</v>
      </c>
    </row>
    <row r="219" spans="1:76" s="150" customFormat="1" x14ac:dyDescent="0.25">
      <c r="A219" s="150">
        <f t="shared" si="158"/>
        <v>215</v>
      </c>
      <c r="B219" s="150">
        <f t="shared" si="159"/>
        <v>18</v>
      </c>
      <c r="C219" s="150">
        <f t="shared" si="160"/>
        <v>11</v>
      </c>
      <c r="D219" s="150">
        <f>IF(E219="","",Input!$C$4+B219-1)</f>
        <v>62</v>
      </c>
      <c r="E219" s="150">
        <f>IF(OR(AND(C218=12,D218=Input!$C$6),E218=""),"",1)</f>
        <v>1</v>
      </c>
      <c r="F219" s="150">
        <f>IF(E219="","",Input!$C$8+B219-1)</f>
        <v>2035</v>
      </c>
      <c r="G219" s="151">
        <f>IF(E219="","",MAX(0,Input!$C$9-B219))</f>
        <v>2</v>
      </c>
      <c r="H219" s="152">
        <f>IF(E219="","",Input!$C$3)</f>
        <v>100000</v>
      </c>
      <c r="I219" s="153">
        <f>IF(E219="","",HLOOKUP($B219,Input!$C$13:$BT$14,2))</f>
        <v>2.2999999999999998</v>
      </c>
      <c r="J219" s="154"/>
      <c r="K219" s="155">
        <f>IF($E219="","",INDEX(Input!$C$16:$CP$16,1,$B219))</f>
        <v>2.3779999999999999E-2</v>
      </c>
      <c r="L219" s="155">
        <f>IF($E219="","",Input!$C$37)</f>
        <v>1.4999999999999999E-2</v>
      </c>
      <c r="M219" s="155">
        <f t="shared" si="146"/>
        <v>3.8779999999999995E-2</v>
      </c>
      <c r="N219" s="155">
        <f t="shared" si="147"/>
        <v>3.1756105715352589E-3</v>
      </c>
      <c r="O219" s="147">
        <f>IF($E219="","",MIN(VLOOKUP(IF($B219&lt;=Input!$C$7,$B219,26),'Mortality Tables'!$A$41:$CW$67,IF($B219&lt;=Input!$C$7+1,Input!$C$4+2,$D219-Input!$C$7+2),0)*IF(B219&gt;20,Input!$C$22,1)/1000,1))</f>
        <v>3.872E-3</v>
      </c>
      <c r="P219" s="147">
        <f>IF($E219="","",MIN(VLOOKUP(IF($B219&lt;=Input!$C$7,$B219,26),'Mortality Tables'!$A$12:$CW$37,IF($B219&lt;=Input!$C$7+1,Input!$C$4+2,$D219-Input!$C$7+2),0)*IF(B219&gt;20,Input!$C$22,1)/1000,1))</f>
        <v>4.8399999999999997E-3</v>
      </c>
      <c r="Q219" s="155">
        <f>IF($E219="","",Input!$C$21)</f>
        <v>5.0000000000000001E-3</v>
      </c>
      <c r="R219" s="159">
        <f>IF($E219="","",(1-Q219)^($F219-Input!$C$20))</f>
        <v>0.9183164683543652</v>
      </c>
      <c r="S219" s="147">
        <f t="shared" si="123"/>
        <v>3.5557213654681019E-3</v>
      </c>
      <c r="T219" s="147">
        <f t="shared" si="124"/>
        <v>2.9679411190586258E-4</v>
      </c>
      <c r="U219" s="160">
        <f>IF($E219="","",IF($C219=12,INDEX(Input!$C$15:$CP$15,1,$B219),0))</f>
        <v>0</v>
      </c>
      <c r="V219" s="150">
        <f>IF(E219="","",IF(C219=1,IF($B219=1,Input!$C$33,Input!$C$34),0))</f>
        <v>0</v>
      </c>
      <c r="W219" s="156">
        <f>IF($E219="","",Input!$C$35)</f>
        <v>0.02</v>
      </c>
      <c r="X219" s="156">
        <f t="shared" si="125"/>
        <v>1.4002414191924248</v>
      </c>
      <c r="Y219" s="154"/>
      <c r="Z219" s="147">
        <f>IF($E219="","",VLOOKUP($D219,'Mortality Margins &amp; Grading'!$AB$5:$AF$125,3,0)*IF(Summary!$D$25="Included Margin",IF(AND($B219&gt;Input!$C$9,Summary!$D$31&lt;&gt;"Included Margin"),0,1),0))</f>
        <v>3.5000000000000003E-2</v>
      </c>
      <c r="AA219" s="147">
        <f>IF($E219="","",VLOOKUP($D219,'Mortality Margins &amp; Grading'!$AB$5:$AF$125,5,0)*IF(Summary!$D$25="Included Margin",IF(AND($B219&gt;Input!$C$9,Summary!$D$31&lt;&gt;"Included Margin"),0,1),0))</f>
        <v>0.17799999999999999</v>
      </c>
      <c r="AB219" s="147">
        <f>IF($E219="","",IF(AND($B219&gt;Input!$C$9,Summary!$D$31&lt;&gt;"Included Margin"),1,IF(Summary!$D$25="Included Margin",VLOOKUP($B219,'Mortality Margins &amp; Grading'!$AI$5:$AR$125,MATCH('Mortality Margins &amp; Grading'!$AQ$4,'Mortality Margins &amp; Grading'!$AI$4:$AR$4,0),0),1)))</f>
        <v>1</v>
      </c>
      <c r="AC219" s="154"/>
      <c r="AD219" s="158">
        <f>IF(E219="","",Input!$C$48*IF(Summary!$D$30="Included Margin",IF(AND($B219&gt;Input!$C$9,Summary!$D$31&lt;&gt;"Included Margin"),0,1),0))</f>
        <v>-4.4999999999999997E-3</v>
      </c>
      <c r="AE219" s="159">
        <f>IF(E219="","",IF(Summary!$D$26="Included Margin",IF(AND($B219&gt;Input!$C$9,Summary!$D$31&lt;&gt;"Included Margin"),1,1/$R219),1))</f>
        <v>1.0889492179008973</v>
      </c>
      <c r="AF219" s="160">
        <f>IF(E219="","",IF(AND($B219&gt;=Input!$C$9,$C219=12,Summary!$D$31="Included Margin",$U219&gt;0),1/U219-1,IF($B219&gt;=Input!$C$9,0,Input!$C$45*IF(Summary!$D$27="Included Margin",1,0))))</f>
        <v>-0.1</v>
      </c>
      <c r="AG219" s="160">
        <f>IF(E219="","",Input!$C$46*IF(Summary!$D$28="Included Margin",IF(AND($B219&gt;Input!$C$9,Summary!$D$31&lt;&gt;"Included Margin"),0,1),0))</f>
        <v>0.02</v>
      </c>
      <c r="AH219" s="158">
        <f>IF(E219="","",Input!$C$47*IF(Summary!$D$29="Included Margin",IF(AND($B219&gt;Input!$C$9,Summary!$D$31&lt;&gt;"Included Margin"),0,1),0))</f>
        <v>2.5000000000000001E-3</v>
      </c>
      <c r="AI219" s="154"/>
      <c r="AJ219" s="158">
        <f t="shared" si="148"/>
        <v>3.4279999999999998E-2</v>
      </c>
      <c r="AK219" s="155">
        <f t="shared" si="149"/>
        <v>2.8127427308537456E-3</v>
      </c>
      <c r="AL219" s="147">
        <f t="shared" si="150"/>
        <v>4.0075199999999997E-3</v>
      </c>
      <c r="AM219" s="147">
        <f t="shared" si="126"/>
        <v>3.3457498620581561E-4</v>
      </c>
      <c r="AN219" s="160">
        <f t="shared" si="151"/>
        <v>0</v>
      </c>
      <c r="AO219" s="161">
        <f t="shared" si="152"/>
        <v>0</v>
      </c>
      <c r="AP219" s="156">
        <f t="shared" si="127"/>
        <v>1.4597429402433646</v>
      </c>
      <c r="AQ219" s="152"/>
      <c r="AR219" s="162">
        <f t="shared" si="128"/>
        <v>622.65736381352053</v>
      </c>
      <c r="AS219" s="150">
        <f t="shared" si="153"/>
        <v>0</v>
      </c>
      <c r="AT219" s="163">
        <f t="shared" si="129"/>
        <v>0</v>
      </c>
      <c r="AU219" s="163">
        <f t="shared" si="130"/>
        <v>33.457498620581561</v>
      </c>
      <c r="AV219" s="163">
        <f t="shared" si="154"/>
        <v>1.7043213058602409</v>
      </c>
      <c r="AW219" s="163">
        <f t="shared" si="131"/>
        <v>0.19776795036544267</v>
      </c>
      <c r="AX219" s="163">
        <f t="shared" si="132"/>
        <v>0</v>
      </c>
      <c r="AY219" s="164">
        <f t="shared" si="155"/>
        <v>591.10195444916474</v>
      </c>
      <c r="AZ219" s="164">
        <f>IF($E219="","",IF(OR(AND($D219=Input!$C$6,$C219=12),$AN219=1),0,-AS220+AT220+AU220-AV220-AW220-AX220+AZ220))</f>
        <v>591.10202053116029</v>
      </c>
      <c r="BA219" s="154">
        <f t="shared" si="133"/>
        <v>6.6081995555578033E-5</v>
      </c>
      <c r="BC219" s="147">
        <f t="shared" si="156"/>
        <v>0.47969509682113337</v>
      </c>
      <c r="BD219" s="164">
        <f>IF(AND($C218=12,$D218=Input!$C$6),0,IF($E219="","",AT219+(AU219+BD220)/(1+$AK219)*MIN((1-AM219-AN219),1)))</f>
        <v>1020.683731038901</v>
      </c>
      <c r="BE219" s="164">
        <f t="shared" si="134"/>
        <v>489.61698118446128</v>
      </c>
      <c r="BF219" s="164">
        <f t="shared" si="157"/>
        <v>591.10202053116029</v>
      </c>
      <c r="BG219" s="164">
        <f t="shared" si="135"/>
        <v>283.54874096986248</v>
      </c>
      <c r="BH219" s="152"/>
      <c r="BI219" s="162">
        <f t="shared" si="136"/>
        <v>424.54697591093571</v>
      </c>
      <c r="BJ219" s="150">
        <f t="shared" si="137"/>
        <v>0</v>
      </c>
      <c r="BK219" s="163">
        <f t="shared" si="161"/>
        <v>0</v>
      </c>
      <c r="BL219" s="163">
        <f t="shared" si="138"/>
        <v>29.679411190586258</v>
      </c>
      <c r="BM219" s="163">
        <f t="shared" si="162"/>
        <v>1.3010707388492087</v>
      </c>
      <c r="BN219" s="163">
        <f t="shared" si="139"/>
        <v>0.11761544807109621</v>
      </c>
      <c r="BO219" s="163">
        <f t="shared" si="140"/>
        <v>0</v>
      </c>
      <c r="BP219" s="164">
        <f t="shared" si="163"/>
        <v>396.28625090726973</v>
      </c>
      <c r="BQ219" s="164">
        <f>IF($E219="","",IF(AND($D219=Input!$C$6,$C219=12),0,-BJ220+BK220+BL220-BM220-BN220-BO220+BQ220))</f>
        <v>396.28632561417385</v>
      </c>
      <c r="BR219" s="161">
        <f t="shared" si="141"/>
        <v>0</v>
      </c>
      <c r="BT219" s="147">
        <f t="shared" si="142"/>
        <v>0.47969509682113337</v>
      </c>
      <c r="BU219" s="164">
        <f>IF(AND($C218=12,$D218=Input!$C$6),0,IF($E219="","",BK219+(BL219+BU220)/(1+$AK219)*MIN((1-T219-U219),1)))</f>
        <v>4749.4382552303905</v>
      </c>
      <c r="BV219" s="164">
        <f t="shared" si="143"/>
        <v>2278.2822436887368</v>
      </c>
      <c r="BW219" s="164">
        <f t="shared" si="144"/>
        <v>396.28632561417385</v>
      </c>
      <c r="BX219" s="164">
        <f t="shared" si="145"/>
        <v>190.0966073343823</v>
      </c>
    </row>
    <row r="220" spans="1:76" s="150" customFormat="1" x14ac:dyDescent="0.25">
      <c r="A220" s="150">
        <f t="shared" si="158"/>
        <v>216</v>
      </c>
      <c r="B220" s="150">
        <f t="shared" si="159"/>
        <v>18</v>
      </c>
      <c r="C220" s="150">
        <f t="shared" si="160"/>
        <v>12</v>
      </c>
      <c r="D220" s="150">
        <f>IF(E220="","",Input!$C$4+B220-1)</f>
        <v>62</v>
      </c>
      <c r="E220" s="150">
        <f>IF(OR(AND(C219=12,D219=Input!$C$6),E219=""),"",1)</f>
        <v>1</v>
      </c>
      <c r="F220" s="150">
        <f>IF(E220="","",Input!$C$8+B220-1)</f>
        <v>2035</v>
      </c>
      <c r="G220" s="151">
        <f>IF(E220="","",MAX(0,Input!$C$9-B220))</f>
        <v>2</v>
      </c>
      <c r="H220" s="152">
        <f>IF(E220="","",Input!$C$3)</f>
        <v>100000</v>
      </c>
      <c r="I220" s="153">
        <f>IF(E220="","",HLOOKUP($B220,Input!$C$13:$BT$14,2))</f>
        <v>2.2999999999999998</v>
      </c>
      <c r="J220" s="154"/>
      <c r="K220" s="155">
        <f>IF($E220="","",INDEX(Input!$C$16:$CP$16,1,$B220))</f>
        <v>2.3779999999999999E-2</v>
      </c>
      <c r="L220" s="155">
        <f>IF($E220="","",Input!$C$37)</f>
        <v>1.4999999999999999E-2</v>
      </c>
      <c r="M220" s="155">
        <f t="shared" si="146"/>
        <v>3.8779999999999995E-2</v>
      </c>
      <c r="N220" s="155">
        <f t="shared" si="147"/>
        <v>3.1756105715352589E-3</v>
      </c>
      <c r="O220" s="147">
        <f>IF($E220="","",MIN(VLOOKUP(IF($B220&lt;=Input!$C$7,$B220,26),'Mortality Tables'!$A$41:$CW$67,IF($B220&lt;=Input!$C$7+1,Input!$C$4+2,$D220-Input!$C$7+2),0)*IF(B220&gt;20,Input!$C$22,1)/1000,1))</f>
        <v>3.872E-3</v>
      </c>
      <c r="P220" s="147">
        <f>IF($E220="","",MIN(VLOOKUP(IF($B220&lt;=Input!$C$7,$B220,26),'Mortality Tables'!$A$12:$CW$37,IF($B220&lt;=Input!$C$7+1,Input!$C$4+2,$D220-Input!$C$7+2),0)*IF(B220&gt;20,Input!$C$22,1)/1000,1))</f>
        <v>4.8399999999999997E-3</v>
      </c>
      <c r="Q220" s="155">
        <f>IF($E220="","",Input!$C$21)</f>
        <v>5.0000000000000001E-3</v>
      </c>
      <c r="R220" s="159">
        <f>IF($E220="","",(1-Q220)^($F220-Input!$C$20))</f>
        <v>0.9183164683543652</v>
      </c>
      <c r="S220" s="147">
        <f t="shared" si="123"/>
        <v>3.5557213654681019E-3</v>
      </c>
      <c r="T220" s="147">
        <f t="shared" si="124"/>
        <v>2.9679411190586258E-4</v>
      </c>
      <c r="U220" s="160">
        <f>IF($E220="","",IF($C220=12,INDEX(Input!$C$15:$CP$15,1,$B220),0))</f>
        <v>0.02</v>
      </c>
      <c r="V220" s="150">
        <f>IF(E220="","",IF(C220=1,IF($B220=1,Input!$C$33,Input!$C$34),0))</f>
        <v>0</v>
      </c>
      <c r="W220" s="156">
        <f>IF($E220="","",Input!$C$35)</f>
        <v>0.02</v>
      </c>
      <c r="X220" s="156">
        <f t="shared" si="125"/>
        <v>1.4002414191924248</v>
      </c>
      <c r="Y220" s="154"/>
      <c r="Z220" s="147">
        <f>IF($E220="","",VLOOKUP($D220,'Mortality Margins &amp; Grading'!$AB$5:$AF$125,3,0)*IF(Summary!$D$25="Included Margin",IF(AND($B220&gt;Input!$C$9,Summary!$D$31&lt;&gt;"Included Margin"),0,1),0))</f>
        <v>3.5000000000000003E-2</v>
      </c>
      <c r="AA220" s="147">
        <f>IF($E220="","",VLOOKUP($D220,'Mortality Margins &amp; Grading'!$AB$5:$AF$125,5,0)*IF(Summary!$D$25="Included Margin",IF(AND($B220&gt;Input!$C$9,Summary!$D$31&lt;&gt;"Included Margin"),0,1),0))</f>
        <v>0.17799999999999999</v>
      </c>
      <c r="AB220" s="147">
        <f>IF($E220="","",IF(AND($B220&gt;Input!$C$9,Summary!$D$31&lt;&gt;"Included Margin"),1,IF(Summary!$D$25="Included Margin",VLOOKUP($B220,'Mortality Margins &amp; Grading'!$AI$5:$AR$125,MATCH('Mortality Margins &amp; Grading'!$AQ$4,'Mortality Margins &amp; Grading'!$AI$4:$AR$4,0),0),1)))</f>
        <v>1</v>
      </c>
      <c r="AC220" s="154"/>
      <c r="AD220" s="158">
        <f>IF(E220="","",Input!$C$48*IF(Summary!$D$30="Included Margin",IF(AND($B220&gt;Input!$C$9,Summary!$D$31&lt;&gt;"Included Margin"),0,1),0))</f>
        <v>-4.4999999999999997E-3</v>
      </c>
      <c r="AE220" s="159">
        <f>IF(E220="","",IF(Summary!$D$26="Included Margin",IF(AND($B220&gt;Input!$C$9,Summary!$D$31&lt;&gt;"Included Margin"),1,1/$R220),1))</f>
        <v>1.0889492179008973</v>
      </c>
      <c r="AF220" s="160">
        <f>IF(E220="","",IF(AND($B220&gt;=Input!$C$9,$C220=12,Summary!$D$31="Included Margin",$U220&gt;0),1/U220-1,IF($B220&gt;=Input!$C$9,0,Input!$C$45*IF(Summary!$D$27="Included Margin",1,0))))</f>
        <v>-0.1</v>
      </c>
      <c r="AG220" s="160">
        <f>IF(E220="","",Input!$C$46*IF(Summary!$D$28="Included Margin",IF(AND($B220&gt;Input!$C$9,Summary!$D$31&lt;&gt;"Included Margin"),0,1),0))</f>
        <v>0.02</v>
      </c>
      <c r="AH220" s="158">
        <f>IF(E220="","",Input!$C$47*IF(Summary!$D$29="Included Margin",IF(AND($B220&gt;Input!$C$9,Summary!$D$31&lt;&gt;"Included Margin"),0,1),0))</f>
        <v>2.5000000000000001E-3</v>
      </c>
      <c r="AI220" s="154"/>
      <c r="AJ220" s="158">
        <f t="shared" si="148"/>
        <v>3.4279999999999998E-2</v>
      </c>
      <c r="AK220" s="155">
        <f t="shared" si="149"/>
        <v>2.8127427308537456E-3</v>
      </c>
      <c r="AL220" s="147">
        <f t="shared" si="150"/>
        <v>4.0075199999999997E-3</v>
      </c>
      <c r="AM220" s="147">
        <f t="shared" si="126"/>
        <v>3.3457498620581561E-4</v>
      </c>
      <c r="AN220" s="160">
        <f t="shared" si="151"/>
        <v>1.8000000000000002E-2</v>
      </c>
      <c r="AO220" s="161">
        <f t="shared" si="152"/>
        <v>0</v>
      </c>
      <c r="AP220" s="156">
        <f t="shared" si="127"/>
        <v>1.4597429402433646</v>
      </c>
      <c r="AQ220" s="152"/>
      <c r="AR220" s="162">
        <f t="shared" si="128"/>
        <v>591.10195444916462</v>
      </c>
      <c r="AS220" s="150">
        <f t="shared" si="153"/>
        <v>0</v>
      </c>
      <c r="AT220" s="163">
        <f t="shared" si="129"/>
        <v>0</v>
      </c>
      <c r="AU220" s="163">
        <f t="shared" si="130"/>
        <v>33.457498620581561</v>
      </c>
      <c r="AV220" s="163">
        <f t="shared" si="154"/>
        <v>1.6155640575515344</v>
      </c>
      <c r="AW220" s="163">
        <f t="shared" si="131"/>
        <v>0.19060800438963532</v>
      </c>
      <c r="AX220" s="163">
        <f t="shared" si="132"/>
        <v>10.251203205118477</v>
      </c>
      <c r="AY220" s="164">
        <f t="shared" si="155"/>
        <v>569.70183109564277</v>
      </c>
      <c r="AZ220" s="164">
        <f>IF($E220="","",IF(OR(AND($D220=Input!$C$6,$C220=12),$AN220=1),0,-AS221+AT221+AU221-AV221-AW221-AX221+AZ221))</f>
        <v>569.70189717763833</v>
      </c>
      <c r="BA220" s="154">
        <f t="shared" si="133"/>
        <v>6.6081995555578033E-5</v>
      </c>
      <c r="BC220" s="147">
        <f t="shared" si="156"/>
        <v>0.46995882420446405</v>
      </c>
      <c r="BD220" s="164">
        <f>IF(AND($C219=12,$D219=Input!$C$6),0,IF($E220="","",AT220+(AU220+BD221)/(1+$AK220)*MIN((1-AM220-AN220),1)))</f>
        <v>990.43972356228778</v>
      </c>
      <c r="BE220" s="164">
        <f t="shared" si="134"/>
        <v>465.46588793072721</v>
      </c>
      <c r="BF220" s="164">
        <f t="shared" si="157"/>
        <v>569.70189717763833</v>
      </c>
      <c r="BG220" s="164">
        <f t="shared" si="135"/>
        <v>267.73643374465541</v>
      </c>
      <c r="BH220" s="152"/>
      <c r="BI220" s="162">
        <f t="shared" si="136"/>
        <v>396.28625090726979</v>
      </c>
      <c r="BJ220" s="150">
        <f t="shared" si="137"/>
        <v>0</v>
      </c>
      <c r="BK220" s="163">
        <f t="shared" si="161"/>
        <v>0</v>
      </c>
      <c r="BL220" s="163">
        <f t="shared" si="138"/>
        <v>29.679411190586258</v>
      </c>
      <c r="BM220" s="163">
        <f t="shared" si="162"/>
        <v>1.2113256817683162</v>
      </c>
      <c r="BN220" s="163">
        <f t="shared" si="139"/>
        <v>0.11142724229109795</v>
      </c>
      <c r="BO220" s="163">
        <f t="shared" si="140"/>
        <v>7.5064946960276719</v>
      </c>
      <c r="BP220" s="164">
        <f t="shared" si="163"/>
        <v>375.43608733677058</v>
      </c>
      <c r="BQ220" s="164">
        <f>IF($E220="","",IF(AND($D220=Input!$C$6,$C220=12),0,-BJ221+BK221+BL221-BM221-BN221-BO221+BQ221))</f>
        <v>375.4361620436747</v>
      </c>
      <c r="BR220" s="161">
        <f t="shared" si="141"/>
        <v>0</v>
      </c>
      <c r="BT220" s="147">
        <f t="shared" si="142"/>
        <v>0.46995882420446405</v>
      </c>
      <c r="BU220" s="164">
        <f>IF(AND($C219=12,$D219=Input!$C$6),0,IF($E220="","",BK220+(BL220+BU221)/(1+$AK220)*MIN((1-T220-U220),1)))</f>
        <v>4734.5317817977966</v>
      </c>
      <c r="BV220" s="164">
        <f t="shared" si="143"/>
        <v>2225.0349893323587</v>
      </c>
      <c r="BW220" s="164">
        <f t="shared" si="144"/>
        <v>375.4361620436747</v>
      </c>
      <c r="BX220" s="164">
        <f t="shared" si="145"/>
        <v>176.43953727788201</v>
      </c>
    </row>
    <row r="221" spans="1:76" s="150" customFormat="1" x14ac:dyDescent="0.25">
      <c r="A221" s="150">
        <f t="shared" si="158"/>
        <v>217</v>
      </c>
      <c r="B221" s="150">
        <f t="shared" si="159"/>
        <v>19</v>
      </c>
      <c r="C221" s="150">
        <f t="shared" si="160"/>
        <v>1</v>
      </c>
      <c r="D221" s="150">
        <f>IF(E221="","",Input!$C$4+B221-1)</f>
        <v>63</v>
      </c>
      <c r="E221" s="150">
        <f>IF(OR(AND(C220=12,D220=Input!$C$6),E220=""),"",1)</f>
        <v>1</v>
      </c>
      <c r="F221" s="150">
        <f>IF(E221="","",Input!$C$8+B221-1)</f>
        <v>2036</v>
      </c>
      <c r="G221" s="151">
        <f>IF(E221="","",MAX(0,Input!$C$9-B221))</f>
        <v>1</v>
      </c>
      <c r="H221" s="152">
        <f>IF(E221="","",Input!$C$3)</f>
        <v>100000</v>
      </c>
      <c r="I221" s="153">
        <f>IF(E221="","",HLOOKUP($B221,Input!$C$13:$BT$14,2))</f>
        <v>2.2999999999999998</v>
      </c>
      <c r="J221" s="154"/>
      <c r="K221" s="155">
        <f>IF($E221="","",INDEX(Input!$C$16:$CP$16,1,$B221))</f>
        <v>2.3640000000000001E-2</v>
      </c>
      <c r="L221" s="155">
        <f>IF($E221="","",Input!$C$37)</f>
        <v>1.4999999999999999E-2</v>
      </c>
      <c r="M221" s="155">
        <f t="shared" si="146"/>
        <v>3.8640000000000001E-2</v>
      </c>
      <c r="N221" s="155">
        <f t="shared" si="147"/>
        <v>3.1643430861472144E-3</v>
      </c>
      <c r="O221" s="147">
        <f>IF($E221="","",MIN(VLOOKUP(IF($B221&lt;=Input!$C$7,$B221,26),'Mortality Tables'!$A$41:$CW$67,IF($B221&lt;=Input!$C$7+1,Input!$C$4+2,$D221-Input!$C$7+2),0)*IF(B221&gt;20,Input!$C$22,1)/1000,1))</f>
        <v>4.2000000000000006E-3</v>
      </c>
      <c r="P221" s="147">
        <f>IF($E221="","",MIN(VLOOKUP(IF($B221&lt;=Input!$C$7,$B221,26),'Mortality Tables'!$A$12:$CW$37,IF($B221&lt;=Input!$C$7+1,Input!$C$4+2,$D221-Input!$C$7+2),0)*IF(B221&gt;20,Input!$C$22,1)/1000,1))</f>
        <v>5.2500000000000003E-3</v>
      </c>
      <c r="Q221" s="155">
        <f>IF($E221="","",Input!$C$21)</f>
        <v>5.0000000000000001E-3</v>
      </c>
      <c r="R221" s="159">
        <f>IF($E221="","",(1-Q221)^($F221-Input!$C$20))</f>
        <v>0.91372488601259338</v>
      </c>
      <c r="S221" s="147">
        <f t="shared" si="123"/>
        <v>3.8376445212528927E-3</v>
      </c>
      <c r="T221" s="147">
        <f t="shared" si="124"/>
        <v>3.2036760242304396E-4</v>
      </c>
      <c r="U221" s="160">
        <f>IF($E221="","",IF($C221=12,INDEX(Input!$C$15:$CP$15,1,$B221),0))</f>
        <v>0</v>
      </c>
      <c r="V221" s="150">
        <f>IF(E221="","",IF(C221=1,IF($B221=1,Input!$C$33,Input!$C$34),0))</f>
        <v>50</v>
      </c>
      <c r="W221" s="156">
        <f>IF($E221="","",Input!$C$35)</f>
        <v>0.02</v>
      </c>
      <c r="X221" s="156">
        <f t="shared" si="125"/>
        <v>1.4282462475762734</v>
      </c>
      <c r="Y221" s="154"/>
      <c r="Z221" s="147">
        <f>IF($E221="","",VLOOKUP($D221,'Mortality Margins &amp; Grading'!$AB$5:$AF$125,3,0)*IF(Summary!$D$25="Included Margin",IF(AND($B221&gt;Input!$C$9,Summary!$D$31&lt;&gt;"Included Margin"),0,1),0))</f>
        <v>3.5000000000000003E-2</v>
      </c>
      <c r="AA221" s="147">
        <f>IF($E221="","",VLOOKUP($D221,'Mortality Margins &amp; Grading'!$AB$5:$AF$125,5,0)*IF(Summary!$D$25="Included Margin",IF(AND($B221&gt;Input!$C$9,Summary!$D$31&lt;&gt;"Included Margin"),0,1),0))</f>
        <v>0.17799999999999999</v>
      </c>
      <c r="AB221" s="147">
        <f>IF($E221="","",IF(AND($B221&gt;Input!$C$9,Summary!$D$31&lt;&gt;"Included Margin"),1,IF(Summary!$D$25="Included Margin",VLOOKUP($B221,'Mortality Margins &amp; Grading'!$AI$5:$AR$125,MATCH('Mortality Margins &amp; Grading'!$AQ$4,'Mortality Margins &amp; Grading'!$AI$4:$AR$4,0),0),1)))</f>
        <v>1</v>
      </c>
      <c r="AC221" s="154"/>
      <c r="AD221" s="158">
        <f>IF(E221="","",Input!$C$48*IF(Summary!$D$30="Included Margin",IF(AND($B221&gt;Input!$C$9,Summary!$D$31&lt;&gt;"Included Margin"),0,1),0))</f>
        <v>-4.4999999999999997E-3</v>
      </c>
      <c r="AE221" s="159">
        <f>IF(E221="","",IF(Summary!$D$26="Included Margin",IF(AND($B221&gt;Input!$C$9,Summary!$D$31&lt;&gt;"Included Margin"),1,1/$R221),1))</f>
        <v>1.0944213245235148</v>
      </c>
      <c r="AF221" s="160">
        <f>IF(E221="","",IF(AND($B221&gt;=Input!$C$9,$C221=12,Summary!$D$31="Included Margin",$U221&gt;0),1/U221-1,IF($B221&gt;=Input!$C$9,0,Input!$C$45*IF(Summary!$D$27="Included Margin",1,0))))</f>
        <v>-0.1</v>
      </c>
      <c r="AG221" s="160">
        <f>IF(E221="","",Input!$C$46*IF(Summary!$D$28="Included Margin",IF(AND($B221&gt;Input!$C$9,Summary!$D$31&lt;&gt;"Included Margin"),0,1),0))</f>
        <v>0.02</v>
      </c>
      <c r="AH221" s="158">
        <f>IF(E221="","",Input!$C$47*IF(Summary!$D$29="Included Margin",IF(AND($B221&gt;Input!$C$9,Summary!$D$31&lt;&gt;"Included Margin"),0,1),0))</f>
        <v>2.5000000000000001E-3</v>
      </c>
      <c r="AI221" s="154"/>
      <c r="AJ221" s="158">
        <f t="shared" si="148"/>
        <v>3.4140000000000004E-2</v>
      </c>
      <c r="AK221" s="155">
        <f t="shared" si="149"/>
        <v>2.8014303126533413E-3</v>
      </c>
      <c r="AL221" s="147">
        <f t="shared" si="150"/>
        <v>4.3470000000000002E-3</v>
      </c>
      <c r="AM221" s="147">
        <f t="shared" si="126"/>
        <v>3.629737486653406E-4</v>
      </c>
      <c r="AN221" s="160">
        <f t="shared" si="151"/>
        <v>0</v>
      </c>
      <c r="AO221" s="161">
        <f t="shared" si="152"/>
        <v>51</v>
      </c>
      <c r="AP221" s="156">
        <f t="shared" si="127"/>
        <v>1.4925871563988402</v>
      </c>
      <c r="AQ221" s="152"/>
      <c r="AR221" s="162">
        <f t="shared" si="128"/>
        <v>569.70182606169499</v>
      </c>
      <c r="AS221" s="150">
        <f t="shared" si="153"/>
        <v>229.99999999999997</v>
      </c>
      <c r="AT221" s="163">
        <f t="shared" si="129"/>
        <v>76.121944976340856</v>
      </c>
      <c r="AU221" s="163">
        <f t="shared" si="130"/>
        <v>36.297374866534057</v>
      </c>
      <c r="AV221" s="163">
        <f t="shared" si="154"/>
        <v>1.9762163293881863</v>
      </c>
      <c r="AW221" s="163">
        <f t="shared" si="131"/>
        <v>0.25027369091661189</v>
      </c>
      <c r="AX221" s="163">
        <f t="shared" si="132"/>
        <v>0</v>
      </c>
      <c r="AY221" s="164">
        <f t="shared" si="155"/>
        <v>689.50899623912494</v>
      </c>
      <c r="AZ221" s="164">
        <f>IF($E221="","",IF(OR(AND($D221=Input!$C$6,$C221=12),$AN221=1),0,-AS222+AT222+AU222-AV222-AW222-AX222+AZ222))</f>
        <v>689.50906735506817</v>
      </c>
      <c r="BA221" s="154">
        <f t="shared" si="133"/>
        <v>7.1115943228505785E-5</v>
      </c>
      <c r="BC221" s="147">
        <f t="shared" si="156"/>
        <v>0.46980826462271613</v>
      </c>
      <c r="BD221" s="164">
        <f>IF(AND($C220=12,$D220=Input!$C$6),0,IF($E221="","",AT221+(AU221+BD222)/(1+$AK221)*MIN((1-AM221-AN221),1)))</f>
        <v>978.31856111089962</v>
      </c>
      <c r="BE221" s="164">
        <f t="shared" si="134"/>
        <v>459.62214544370443</v>
      </c>
      <c r="BF221" s="164">
        <f t="shared" si="157"/>
        <v>689.50906735506817</v>
      </c>
      <c r="BG221" s="164">
        <f t="shared" si="135"/>
        <v>323.93705837571207</v>
      </c>
      <c r="BH221" s="152"/>
      <c r="BI221" s="162">
        <f t="shared" si="136"/>
        <v>375.43608197380092</v>
      </c>
      <c r="BJ221" s="150">
        <f t="shared" si="137"/>
        <v>229.99999999999997</v>
      </c>
      <c r="BK221" s="163">
        <f t="shared" si="161"/>
        <v>71.412312378813667</v>
      </c>
      <c r="BL221" s="163">
        <f t="shared" si="138"/>
        <v>32.036760242304396</v>
      </c>
      <c r="BM221" s="163">
        <f t="shared" si="162"/>
        <v>1.6391467727685249</v>
      </c>
      <c r="BN221" s="163">
        <f t="shared" si="139"/>
        <v>0.16139723625285399</v>
      </c>
      <c r="BO221" s="163">
        <f t="shared" si="140"/>
        <v>0</v>
      </c>
      <c r="BP221" s="164">
        <f t="shared" si="163"/>
        <v>503.78755336170423</v>
      </c>
      <c r="BQ221" s="164">
        <f>IF($E221="","",IF(AND($D221=Input!$C$6,$C221=12),0,-BJ222+BK222+BL222-BM222-BN222-BO222+BQ222))</f>
        <v>503.787633431578</v>
      </c>
      <c r="BR221" s="161">
        <f t="shared" si="141"/>
        <v>0</v>
      </c>
      <c r="BT221" s="147">
        <f t="shared" si="142"/>
        <v>0.46980826462271613</v>
      </c>
      <c r="BU221" s="164">
        <f>IF(AND($C220=12,$D220=Input!$C$6),0,IF($E221="","",BK221+(BL221+BU222)/(1+$AK221)*MIN((1-T221-U221),1)))</f>
        <v>4816.5319445711339</v>
      </c>
      <c r="BV221" s="164">
        <f t="shared" si="143"/>
        <v>2262.8465143788408</v>
      </c>
      <c r="BW221" s="164">
        <f t="shared" si="144"/>
        <v>503.787633431578</v>
      </c>
      <c r="BX221" s="164">
        <f t="shared" si="145"/>
        <v>236.68359380087472</v>
      </c>
    </row>
    <row r="222" spans="1:76" s="150" customFormat="1" x14ac:dyDescent="0.25">
      <c r="A222" s="150">
        <f t="shared" si="158"/>
        <v>218</v>
      </c>
      <c r="B222" s="150">
        <f t="shared" si="159"/>
        <v>19</v>
      </c>
      <c r="C222" s="150">
        <f t="shared" si="160"/>
        <v>2</v>
      </c>
      <c r="D222" s="150">
        <f>IF(E222="","",Input!$C$4+B222-1)</f>
        <v>63</v>
      </c>
      <c r="E222" s="150">
        <f>IF(OR(AND(C221=12,D221=Input!$C$6),E221=""),"",1)</f>
        <v>1</v>
      </c>
      <c r="F222" s="150">
        <f>IF(E222="","",Input!$C$8+B222-1)</f>
        <v>2036</v>
      </c>
      <c r="G222" s="151">
        <f>IF(E222="","",MAX(0,Input!$C$9-B222))</f>
        <v>1</v>
      </c>
      <c r="H222" s="152">
        <f>IF(E222="","",Input!$C$3)</f>
        <v>100000</v>
      </c>
      <c r="I222" s="153">
        <f>IF(E222="","",HLOOKUP($B222,Input!$C$13:$BT$14,2))</f>
        <v>2.2999999999999998</v>
      </c>
      <c r="J222" s="154"/>
      <c r="K222" s="155">
        <f>IF($E222="","",INDEX(Input!$C$16:$CP$16,1,$B222))</f>
        <v>2.3640000000000001E-2</v>
      </c>
      <c r="L222" s="155">
        <f>IF($E222="","",Input!$C$37)</f>
        <v>1.4999999999999999E-2</v>
      </c>
      <c r="M222" s="155">
        <f t="shared" si="146"/>
        <v>3.8640000000000001E-2</v>
      </c>
      <c r="N222" s="155">
        <f t="shared" si="147"/>
        <v>3.1643430861472144E-3</v>
      </c>
      <c r="O222" s="147">
        <f>IF($E222="","",MIN(VLOOKUP(IF($B222&lt;=Input!$C$7,$B222,26),'Mortality Tables'!$A$41:$CW$67,IF($B222&lt;=Input!$C$7+1,Input!$C$4+2,$D222-Input!$C$7+2),0)*IF(B222&gt;20,Input!$C$22,1)/1000,1))</f>
        <v>4.2000000000000006E-3</v>
      </c>
      <c r="P222" s="147">
        <f>IF($E222="","",MIN(VLOOKUP(IF($B222&lt;=Input!$C$7,$B222,26),'Mortality Tables'!$A$12:$CW$37,IF($B222&lt;=Input!$C$7+1,Input!$C$4+2,$D222-Input!$C$7+2),0)*IF(B222&gt;20,Input!$C$22,1)/1000,1))</f>
        <v>5.2500000000000003E-3</v>
      </c>
      <c r="Q222" s="155">
        <f>IF($E222="","",Input!$C$21)</f>
        <v>5.0000000000000001E-3</v>
      </c>
      <c r="R222" s="159">
        <f>IF($E222="","",(1-Q222)^($F222-Input!$C$20))</f>
        <v>0.91372488601259338</v>
      </c>
      <c r="S222" s="147">
        <f t="shared" si="123"/>
        <v>3.8376445212528927E-3</v>
      </c>
      <c r="T222" s="147">
        <f t="shared" si="124"/>
        <v>3.2036760242304396E-4</v>
      </c>
      <c r="U222" s="160">
        <f>IF($E222="","",IF($C222=12,INDEX(Input!$C$15:$CP$15,1,$B222),0))</f>
        <v>0</v>
      </c>
      <c r="V222" s="150">
        <f>IF(E222="","",IF(C222=1,IF($B222=1,Input!$C$33,Input!$C$34),0))</f>
        <v>0</v>
      </c>
      <c r="W222" s="156">
        <f>IF($E222="","",Input!$C$35)</f>
        <v>0.02</v>
      </c>
      <c r="X222" s="156">
        <f t="shared" si="125"/>
        <v>1.4282462475762734</v>
      </c>
      <c r="Y222" s="154"/>
      <c r="Z222" s="147">
        <f>IF($E222="","",VLOOKUP($D222,'Mortality Margins &amp; Grading'!$AB$5:$AF$125,3,0)*IF(Summary!$D$25="Included Margin",IF(AND($B222&gt;Input!$C$9,Summary!$D$31&lt;&gt;"Included Margin"),0,1),0))</f>
        <v>3.5000000000000003E-2</v>
      </c>
      <c r="AA222" s="147">
        <f>IF($E222="","",VLOOKUP($D222,'Mortality Margins &amp; Grading'!$AB$5:$AF$125,5,0)*IF(Summary!$D$25="Included Margin",IF(AND($B222&gt;Input!$C$9,Summary!$D$31&lt;&gt;"Included Margin"),0,1),0))</f>
        <v>0.17799999999999999</v>
      </c>
      <c r="AB222" s="147">
        <f>IF($E222="","",IF(AND($B222&gt;Input!$C$9,Summary!$D$31&lt;&gt;"Included Margin"),1,IF(Summary!$D$25="Included Margin",VLOOKUP($B222,'Mortality Margins &amp; Grading'!$AI$5:$AR$125,MATCH('Mortality Margins &amp; Grading'!$AQ$4,'Mortality Margins &amp; Grading'!$AI$4:$AR$4,0),0),1)))</f>
        <v>1</v>
      </c>
      <c r="AC222" s="154"/>
      <c r="AD222" s="158">
        <f>IF(E222="","",Input!$C$48*IF(Summary!$D$30="Included Margin",IF(AND($B222&gt;Input!$C$9,Summary!$D$31&lt;&gt;"Included Margin"),0,1),0))</f>
        <v>-4.4999999999999997E-3</v>
      </c>
      <c r="AE222" s="159">
        <f>IF(E222="","",IF(Summary!$D$26="Included Margin",IF(AND($B222&gt;Input!$C$9,Summary!$D$31&lt;&gt;"Included Margin"),1,1/$R222),1))</f>
        <v>1.0944213245235148</v>
      </c>
      <c r="AF222" s="160">
        <f>IF(E222="","",IF(AND($B222&gt;=Input!$C$9,$C222=12,Summary!$D$31="Included Margin",$U222&gt;0),1/U222-1,IF($B222&gt;=Input!$C$9,0,Input!$C$45*IF(Summary!$D$27="Included Margin",1,0))))</f>
        <v>-0.1</v>
      </c>
      <c r="AG222" s="160">
        <f>IF(E222="","",Input!$C$46*IF(Summary!$D$28="Included Margin",IF(AND($B222&gt;Input!$C$9,Summary!$D$31&lt;&gt;"Included Margin"),0,1),0))</f>
        <v>0.02</v>
      </c>
      <c r="AH222" s="158">
        <f>IF(E222="","",Input!$C$47*IF(Summary!$D$29="Included Margin",IF(AND($B222&gt;Input!$C$9,Summary!$D$31&lt;&gt;"Included Margin"),0,1),0))</f>
        <v>2.5000000000000001E-3</v>
      </c>
      <c r="AI222" s="154"/>
      <c r="AJ222" s="158">
        <f t="shared" si="148"/>
        <v>3.4140000000000004E-2</v>
      </c>
      <c r="AK222" s="155">
        <f t="shared" si="149"/>
        <v>2.8014303126533413E-3</v>
      </c>
      <c r="AL222" s="147">
        <f t="shared" si="150"/>
        <v>4.3470000000000002E-3</v>
      </c>
      <c r="AM222" s="147">
        <f t="shared" si="126"/>
        <v>3.629737486653406E-4</v>
      </c>
      <c r="AN222" s="160">
        <f t="shared" si="151"/>
        <v>0</v>
      </c>
      <c r="AO222" s="161">
        <f t="shared" si="152"/>
        <v>0</v>
      </c>
      <c r="AP222" s="156">
        <f t="shared" si="127"/>
        <v>1.4925871563988402</v>
      </c>
      <c r="AQ222" s="152"/>
      <c r="AR222" s="162">
        <f t="shared" si="128"/>
        <v>689.50899623912483</v>
      </c>
      <c r="AS222" s="150">
        <f t="shared" si="153"/>
        <v>0</v>
      </c>
      <c r="AT222" s="163">
        <f t="shared" si="129"/>
        <v>0</v>
      </c>
      <c r="AU222" s="163">
        <f t="shared" si="130"/>
        <v>36.297374866534057</v>
      </c>
      <c r="AV222" s="163">
        <f t="shared" si="154"/>
        <v>1.8807691198010381</v>
      </c>
      <c r="AW222" s="163">
        <f t="shared" si="131"/>
        <v>0.23786770624540546</v>
      </c>
      <c r="AX222" s="163">
        <f t="shared" si="132"/>
        <v>0</v>
      </c>
      <c r="AY222" s="164">
        <f t="shared" si="155"/>
        <v>655.33025819863724</v>
      </c>
      <c r="AZ222" s="164">
        <f>IF($E222="","",IF(OR(AND($D222=Input!$C$6,$C222=12),$AN222=1),0,-AS223+AT223+AU223-AV223-AW223-AX223+AZ223))</f>
        <v>655.33032931458058</v>
      </c>
      <c r="BA222" s="154">
        <f t="shared" si="133"/>
        <v>7.1115943342192622E-5</v>
      </c>
      <c r="BC222" s="147">
        <f t="shared" si="156"/>
        <v>0.4696577532753804</v>
      </c>
      <c r="BD222" s="164">
        <f>IF(AND($C221=12,$D221=Input!$C$6),0,IF($E222="","",AT222+(AU222+BD223)/(1+$AK222)*MIN((1-AM222-AN222),1)))</f>
        <v>868.75519253956804</v>
      </c>
      <c r="BE222" s="164">
        <f t="shared" si="134"/>
        <v>408.01761187445402</v>
      </c>
      <c r="BF222" s="164">
        <f t="shared" si="157"/>
        <v>655.33032931458058</v>
      </c>
      <c r="BG222" s="164">
        <f t="shared" si="135"/>
        <v>307.78097011910108</v>
      </c>
      <c r="BH222" s="152"/>
      <c r="BI222" s="162">
        <f t="shared" si="136"/>
        <v>503.78755336170434</v>
      </c>
      <c r="BJ222" s="150">
        <f t="shared" si="137"/>
        <v>0</v>
      </c>
      <c r="BK222" s="163">
        <f t="shared" si="161"/>
        <v>0</v>
      </c>
      <c r="BL222" s="163">
        <f t="shared" si="138"/>
        <v>32.036760242304396</v>
      </c>
      <c r="BM222" s="163">
        <f t="shared" si="162"/>
        <v>1.5434690109794842</v>
      </c>
      <c r="BN222" s="163">
        <f t="shared" si="139"/>
        <v>0.15167676597294485</v>
      </c>
      <c r="BO222" s="163">
        <f t="shared" si="140"/>
        <v>0</v>
      </c>
      <c r="BP222" s="164">
        <f t="shared" si="163"/>
        <v>473.44593889635235</v>
      </c>
      <c r="BQ222" s="164">
        <f>IF($E222="","",IF(AND($D222=Input!$C$6,$C222=12),0,-BJ223+BK223+BL223-BM223-BN223-BO223+BQ223))</f>
        <v>473.44601896622606</v>
      </c>
      <c r="BR222" s="161">
        <f t="shared" si="141"/>
        <v>0</v>
      </c>
      <c r="BT222" s="147">
        <f t="shared" si="142"/>
        <v>0.4696577532753804</v>
      </c>
      <c r="BU222" s="164">
        <f>IF(AND($C221=12,$D221=Input!$C$6),0,IF($E222="","",BK222+(BL222+BU223)/(1+$AK222)*MIN((1-T222-U222),1)))</f>
        <v>4727.9009237483087</v>
      </c>
      <c r="BV222" s="164">
        <f t="shared" si="143"/>
        <v>2220.4953255562264</v>
      </c>
      <c r="BW222" s="164">
        <f t="shared" si="144"/>
        <v>473.44601896622606</v>
      </c>
      <c r="BX222" s="164">
        <f t="shared" si="145"/>
        <v>222.35759356485087</v>
      </c>
    </row>
    <row r="223" spans="1:76" s="150" customFormat="1" x14ac:dyDescent="0.25">
      <c r="A223" s="150">
        <f t="shared" si="158"/>
        <v>219</v>
      </c>
      <c r="B223" s="150">
        <f t="shared" si="159"/>
        <v>19</v>
      </c>
      <c r="C223" s="150">
        <f t="shared" si="160"/>
        <v>3</v>
      </c>
      <c r="D223" s="150">
        <f>IF(E223="","",Input!$C$4+B223-1)</f>
        <v>63</v>
      </c>
      <c r="E223" s="150">
        <f>IF(OR(AND(C222=12,D222=Input!$C$6),E222=""),"",1)</f>
        <v>1</v>
      </c>
      <c r="F223" s="150">
        <f>IF(E223="","",Input!$C$8+B223-1)</f>
        <v>2036</v>
      </c>
      <c r="G223" s="151">
        <f>IF(E223="","",MAX(0,Input!$C$9-B223))</f>
        <v>1</v>
      </c>
      <c r="H223" s="152">
        <f>IF(E223="","",Input!$C$3)</f>
        <v>100000</v>
      </c>
      <c r="I223" s="153">
        <f>IF(E223="","",HLOOKUP($B223,Input!$C$13:$BT$14,2))</f>
        <v>2.2999999999999998</v>
      </c>
      <c r="J223" s="154"/>
      <c r="K223" s="155">
        <f>IF($E223="","",INDEX(Input!$C$16:$CP$16,1,$B223))</f>
        <v>2.3640000000000001E-2</v>
      </c>
      <c r="L223" s="155">
        <f>IF($E223="","",Input!$C$37)</f>
        <v>1.4999999999999999E-2</v>
      </c>
      <c r="M223" s="155">
        <f t="shared" si="146"/>
        <v>3.8640000000000001E-2</v>
      </c>
      <c r="N223" s="155">
        <f t="shared" si="147"/>
        <v>3.1643430861472144E-3</v>
      </c>
      <c r="O223" s="147">
        <f>IF($E223="","",MIN(VLOOKUP(IF($B223&lt;=Input!$C$7,$B223,26),'Mortality Tables'!$A$41:$CW$67,IF($B223&lt;=Input!$C$7+1,Input!$C$4+2,$D223-Input!$C$7+2),0)*IF(B223&gt;20,Input!$C$22,1)/1000,1))</f>
        <v>4.2000000000000006E-3</v>
      </c>
      <c r="P223" s="147">
        <f>IF($E223="","",MIN(VLOOKUP(IF($B223&lt;=Input!$C$7,$B223,26),'Mortality Tables'!$A$12:$CW$37,IF($B223&lt;=Input!$C$7+1,Input!$C$4+2,$D223-Input!$C$7+2),0)*IF(B223&gt;20,Input!$C$22,1)/1000,1))</f>
        <v>5.2500000000000003E-3</v>
      </c>
      <c r="Q223" s="155">
        <f>IF($E223="","",Input!$C$21)</f>
        <v>5.0000000000000001E-3</v>
      </c>
      <c r="R223" s="159">
        <f>IF($E223="","",(1-Q223)^($F223-Input!$C$20))</f>
        <v>0.91372488601259338</v>
      </c>
      <c r="S223" s="147">
        <f t="shared" si="123"/>
        <v>3.8376445212528927E-3</v>
      </c>
      <c r="T223" s="147">
        <f t="shared" si="124"/>
        <v>3.2036760242304396E-4</v>
      </c>
      <c r="U223" s="160">
        <f>IF($E223="","",IF($C223=12,INDEX(Input!$C$15:$CP$15,1,$B223),0))</f>
        <v>0</v>
      </c>
      <c r="V223" s="150">
        <f>IF(E223="","",IF(C223=1,IF($B223=1,Input!$C$33,Input!$C$34),0))</f>
        <v>0</v>
      </c>
      <c r="W223" s="156">
        <f>IF($E223="","",Input!$C$35)</f>
        <v>0.02</v>
      </c>
      <c r="X223" s="156">
        <f t="shared" si="125"/>
        <v>1.4282462475762734</v>
      </c>
      <c r="Y223" s="154"/>
      <c r="Z223" s="147">
        <f>IF($E223="","",VLOOKUP($D223,'Mortality Margins &amp; Grading'!$AB$5:$AF$125,3,0)*IF(Summary!$D$25="Included Margin",IF(AND($B223&gt;Input!$C$9,Summary!$D$31&lt;&gt;"Included Margin"),0,1),0))</f>
        <v>3.5000000000000003E-2</v>
      </c>
      <c r="AA223" s="147">
        <f>IF($E223="","",VLOOKUP($D223,'Mortality Margins &amp; Grading'!$AB$5:$AF$125,5,0)*IF(Summary!$D$25="Included Margin",IF(AND($B223&gt;Input!$C$9,Summary!$D$31&lt;&gt;"Included Margin"),0,1),0))</f>
        <v>0.17799999999999999</v>
      </c>
      <c r="AB223" s="147">
        <f>IF($E223="","",IF(AND($B223&gt;Input!$C$9,Summary!$D$31&lt;&gt;"Included Margin"),1,IF(Summary!$D$25="Included Margin",VLOOKUP($B223,'Mortality Margins &amp; Grading'!$AI$5:$AR$125,MATCH('Mortality Margins &amp; Grading'!$AQ$4,'Mortality Margins &amp; Grading'!$AI$4:$AR$4,0),0),1)))</f>
        <v>1</v>
      </c>
      <c r="AC223" s="154"/>
      <c r="AD223" s="158">
        <f>IF(E223="","",Input!$C$48*IF(Summary!$D$30="Included Margin",IF(AND($B223&gt;Input!$C$9,Summary!$D$31&lt;&gt;"Included Margin"),0,1),0))</f>
        <v>-4.4999999999999997E-3</v>
      </c>
      <c r="AE223" s="159">
        <f>IF(E223="","",IF(Summary!$D$26="Included Margin",IF(AND($B223&gt;Input!$C$9,Summary!$D$31&lt;&gt;"Included Margin"),1,1/$R223),1))</f>
        <v>1.0944213245235148</v>
      </c>
      <c r="AF223" s="160">
        <f>IF(E223="","",IF(AND($B223&gt;=Input!$C$9,$C223=12,Summary!$D$31="Included Margin",$U223&gt;0),1/U223-1,IF($B223&gt;=Input!$C$9,0,Input!$C$45*IF(Summary!$D$27="Included Margin",1,0))))</f>
        <v>-0.1</v>
      </c>
      <c r="AG223" s="160">
        <f>IF(E223="","",Input!$C$46*IF(Summary!$D$28="Included Margin",IF(AND($B223&gt;Input!$C$9,Summary!$D$31&lt;&gt;"Included Margin"),0,1),0))</f>
        <v>0.02</v>
      </c>
      <c r="AH223" s="158">
        <f>IF(E223="","",Input!$C$47*IF(Summary!$D$29="Included Margin",IF(AND($B223&gt;Input!$C$9,Summary!$D$31&lt;&gt;"Included Margin"),0,1),0))</f>
        <v>2.5000000000000001E-3</v>
      </c>
      <c r="AI223" s="154"/>
      <c r="AJ223" s="158">
        <f t="shared" si="148"/>
        <v>3.4140000000000004E-2</v>
      </c>
      <c r="AK223" s="155">
        <f t="shared" si="149"/>
        <v>2.8014303126533413E-3</v>
      </c>
      <c r="AL223" s="147">
        <f t="shared" si="150"/>
        <v>4.3470000000000002E-3</v>
      </c>
      <c r="AM223" s="147">
        <f t="shared" si="126"/>
        <v>3.629737486653406E-4</v>
      </c>
      <c r="AN223" s="160">
        <f t="shared" si="151"/>
        <v>0</v>
      </c>
      <c r="AO223" s="161">
        <f t="shared" si="152"/>
        <v>0</v>
      </c>
      <c r="AP223" s="156">
        <f t="shared" si="127"/>
        <v>1.4925871563988402</v>
      </c>
      <c r="AQ223" s="152"/>
      <c r="AR223" s="162">
        <f t="shared" si="128"/>
        <v>655.33025819863724</v>
      </c>
      <c r="AS223" s="150">
        <f t="shared" si="153"/>
        <v>0</v>
      </c>
      <c r="AT223" s="163">
        <f t="shared" si="129"/>
        <v>0</v>
      </c>
      <c r="AU223" s="163">
        <f t="shared" si="130"/>
        <v>36.297374866534057</v>
      </c>
      <c r="AV223" s="163">
        <f t="shared" si="154"/>
        <v>1.7850197670061783</v>
      </c>
      <c r="AW223" s="163">
        <f t="shared" si="131"/>
        <v>0.22542244977128723</v>
      </c>
      <c r="AX223" s="163">
        <f t="shared" si="132"/>
        <v>0</v>
      </c>
      <c r="AY223" s="164">
        <f t="shared" si="155"/>
        <v>621.0433255488806</v>
      </c>
      <c r="AZ223" s="164">
        <f>IF($E223="","",IF(OR(AND($D223=Input!$C$6,$C223=12),$AN223=1),0,-AS224+AT224+AU224-AV224-AW224-AX224+AZ224))</f>
        <v>621.04339666482394</v>
      </c>
      <c r="BA223" s="154">
        <f t="shared" si="133"/>
        <v>7.1115943342192622E-5</v>
      </c>
      <c r="BC223" s="147">
        <f t="shared" si="156"/>
        <v>0.46950729014700415</v>
      </c>
      <c r="BD223" s="164">
        <f>IF(AND($C222=12,$D222=Input!$C$6),0,IF($E223="","",AT223+(AU223+BD224)/(1+$AK223)*MIN((1-AM223-AN223),1)))</f>
        <v>835.20790834331763</v>
      </c>
      <c r="BE223" s="164">
        <f t="shared" si="134"/>
        <v>392.13620175561846</v>
      </c>
      <c r="BF223" s="164">
        <f t="shared" si="157"/>
        <v>621.04339666482394</v>
      </c>
      <c r="BG223" s="164">
        <f t="shared" si="135"/>
        <v>291.58440223179247</v>
      </c>
      <c r="BH223" s="152"/>
      <c r="BI223" s="162">
        <f t="shared" si="136"/>
        <v>473.44593889635235</v>
      </c>
      <c r="BJ223" s="150">
        <f t="shared" si="137"/>
        <v>0</v>
      </c>
      <c r="BK223" s="163">
        <f t="shared" si="161"/>
        <v>0</v>
      </c>
      <c r="BL223" s="163">
        <f t="shared" si="138"/>
        <v>32.036760242304396</v>
      </c>
      <c r="BM223" s="163">
        <f t="shared" si="162"/>
        <v>1.4474577330235032</v>
      </c>
      <c r="BN223" s="163">
        <f t="shared" si="139"/>
        <v>0.14192241181105533</v>
      </c>
      <c r="BO223" s="163">
        <f t="shared" si="140"/>
        <v>0</v>
      </c>
      <c r="BP223" s="164">
        <f t="shared" si="163"/>
        <v>442.99855879888247</v>
      </c>
      <c r="BQ223" s="164">
        <f>IF($E223="","",IF(AND($D223=Input!$C$6,$C223=12),0,-BJ224+BK224+BL224-BM224-BN224-BO224+BQ224))</f>
        <v>442.99863886875625</v>
      </c>
      <c r="BR223" s="161">
        <f t="shared" si="141"/>
        <v>0</v>
      </c>
      <c r="BT223" s="147">
        <f t="shared" si="142"/>
        <v>0.46950729014700415</v>
      </c>
      <c r="BU223" s="164">
        <f>IF(AND($C222=12,$D222=Input!$C$6),0,IF($E223="","",BK223+(BL223+BU224)/(1+$AK223)*MIN((1-T223-U223),1)))</f>
        <v>4710.6284447498329</v>
      </c>
      <c r="BV223" s="164">
        <f t="shared" si="143"/>
        <v>2211.6743959838909</v>
      </c>
      <c r="BW223" s="164">
        <f t="shared" si="144"/>
        <v>442.99863886875625</v>
      </c>
      <c r="BX223" s="164">
        <f t="shared" si="145"/>
        <v>207.99109047408106</v>
      </c>
    </row>
    <row r="224" spans="1:76" s="150" customFormat="1" x14ac:dyDescent="0.25">
      <c r="A224" s="150">
        <f t="shared" si="158"/>
        <v>220</v>
      </c>
      <c r="B224" s="150">
        <f t="shared" si="159"/>
        <v>19</v>
      </c>
      <c r="C224" s="150">
        <f t="shared" si="160"/>
        <v>4</v>
      </c>
      <c r="D224" s="150">
        <f>IF(E224="","",Input!$C$4+B224-1)</f>
        <v>63</v>
      </c>
      <c r="E224" s="150">
        <f>IF(OR(AND(C223=12,D223=Input!$C$6),E223=""),"",1)</f>
        <v>1</v>
      </c>
      <c r="F224" s="150">
        <f>IF(E224="","",Input!$C$8+B224-1)</f>
        <v>2036</v>
      </c>
      <c r="G224" s="151">
        <f>IF(E224="","",MAX(0,Input!$C$9-B224))</f>
        <v>1</v>
      </c>
      <c r="H224" s="152">
        <f>IF(E224="","",Input!$C$3)</f>
        <v>100000</v>
      </c>
      <c r="I224" s="153">
        <f>IF(E224="","",HLOOKUP($B224,Input!$C$13:$BT$14,2))</f>
        <v>2.2999999999999998</v>
      </c>
      <c r="J224" s="154"/>
      <c r="K224" s="155">
        <f>IF($E224="","",INDEX(Input!$C$16:$CP$16,1,$B224))</f>
        <v>2.3640000000000001E-2</v>
      </c>
      <c r="L224" s="155">
        <f>IF($E224="","",Input!$C$37)</f>
        <v>1.4999999999999999E-2</v>
      </c>
      <c r="M224" s="155">
        <f t="shared" si="146"/>
        <v>3.8640000000000001E-2</v>
      </c>
      <c r="N224" s="155">
        <f t="shared" si="147"/>
        <v>3.1643430861472144E-3</v>
      </c>
      <c r="O224" s="147">
        <f>IF($E224="","",MIN(VLOOKUP(IF($B224&lt;=Input!$C$7,$B224,26),'Mortality Tables'!$A$41:$CW$67,IF($B224&lt;=Input!$C$7+1,Input!$C$4+2,$D224-Input!$C$7+2),0)*IF(B224&gt;20,Input!$C$22,1)/1000,1))</f>
        <v>4.2000000000000006E-3</v>
      </c>
      <c r="P224" s="147">
        <f>IF($E224="","",MIN(VLOOKUP(IF($B224&lt;=Input!$C$7,$B224,26),'Mortality Tables'!$A$12:$CW$37,IF($B224&lt;=Input!$C$7+1,Input!$C$4+2,$D224-Input!$C$7+2),0)*IF(B224&gt;20,Input!$C$22,1)/1000,1))</f>
        <v>5.2500000000000003E-3</v>
      </c>
      <c r="Q224" s="155">
        <f>IF($E224="","",Input!$C$21)</f>
        <v>5.0000000000000001E-3</v>
      </c>
      <c r="R224" s="159">
        <f>IF($E224="","",(1-Q224)^($F224-Input!$C$20))</f>
        <v>0.91372488601259338</v>
      </c>
      <c r="S224" s="147">
        <f t="shared" si="123"/>
        <v>3.8376445212528927E-3</v>
      </c>
      <c r="T224" s="147">
        <f t="shared" si="124"/>
        <v>3.2036760242304396E-4</v>
      </c>
      <c r="U224" s="160">
        <f>IF($E224="","",IF($C224=12,INDEX(Input!$C$15:$CP$15,1,$B224),0))</f>
        <v>0</v>
      </c>
      <c r="V224" s="150">
        <f>IF(E224="","",IF(C224=1,IF($B224=1,Input!$C$33,Input!$C$34),0))</f>
        <v>0</v>
      </c>
      <c r="W224" s="156">
        <f>IF($E224="","",Input!$C$35)</f>
        <v>0.02</v>
      </c>
      <c r="X224" s="156">
        <f t="shared" si="125"/>
        <v>1.4282462475762734</v>
      </c>
      <c r="Y224" s="154"/>
      <c r="Z224" s="147">
        <f>IF($E224="","",VLOOKUP($D224,'Mortality Margins &amp; Grading'!$AB$5:$AF$125,3,0)*IF(Summary!$D$25="Included Margin",IF(AND($B224&gt;Input!$C$9,Summary!$D$31&lt;&gt;"Included Margin"),0,1),0))</f>
        <v>3.5000000000000003E-2</v>
      </c>
      <c r="AA224" s="147">
        <f>IF($E224="","",VLOOKUP($D224,'Mortality Margins &amp; Grading'!$AB$5:$AF$125,5,0)*IF(Summary!$D$25="Included Margin",IF(AND($B224&gt;Input!$C$9,Summary!$D$31&lt;&gt;"Included Margin"),0,1),0))</f>
        <v>0.17799999999999999</v>
      </c>
      <c r="AB224" s="147">
        <f>IF($E224="","",IF(AND($B224&gt;Input!$C$9,Summary!$D$31&lt;&gt;"Included Margin"),1,IF(Summary!$D$25="Included Margin",VLOOKUP($B224,'Mortality Margins &amp; Grading'!$AI$5:$AR$125,MATCH('Mortality Margins &amp; Grading'!$AQ$4,'Mortality Margins &amp; Grading'!$AI$4:$AR$4,0),0),1)))</f>
        <v>1</v>
      </c>
      <c r="AC224" s="154"/>
      <c r="AD224" s="158">
        <f>IF(E224="","",Input!$C$48*IF(Summary!$D$30="Included Margin",IF(AND($B224&gt;Input!$C$9,Summary!$D$31&lt;&gt;"Included Margin"),0,1),0))</f>
        <v>-4.4999999999999997E-3</v>
      </c>
      <c r="AE224" s="159">
        <f>IF(E224="","",IF(Summary!$D$26="Included Margin",IF(AND($B224&gt;Input!$C$9,Summary!$D$31&lt;&gt;"Included Margin"),1,1/$R224),1))</f>
        <v>1.0944213245235148</v>
      </c>
      <c r="AF224" s="160">
        <f>IF(E224="","",IF(AND($B224&gt;=Input!$C$9,$C224=12,Summary!$D$31="Included Margin",$U224&gt;0),1/U224-1,IF($B224&gt;=Input!$C$9,0,Input!$C$45*IF(Summary!$D$27="Included Margin",1,0))))</f>
        <v>-0.1</v>
      </c>
      <c r="AG224" s="160">
        <f>IF(E224="","",Input!$C$46*IF(Summary!$D$28="Included Margin",IF(AND($B224&gt;Input!$C$9,Summary!$D$31&lt;&gt;"Included Margin"),0,1),0))</f>
        <v>0.02</v>
      </c>
      <c r="AH224" s="158">
        <f>IF(E224="","",Input!$C$47*IF(Summary!$D$29="Included Margin",IF(AND($B224&gt;Input!$C$9,Summary!$D$31&lt;&gt;"Included Margin"),0,1),0))</f>
        <v>2.5000000000000001E-3</v>
      </c>
      <c r="AI224" s="154"/>
      <c r="AJ224" s="158">
        <f t="shared" si="148"/>
        <v>3.4140000000000004E-2</v>
      </c>
      <c r="AK224" s="155">
        <f t="shared" si="149"/>
        <v>2.8014303126533413E-3</v>
      </c>
      <c r="AL224" s="147">
        <f t="shared" si="150"/>
        <v>4.3470000000000002E-3</v>
      </c>
      <c r="AM224" s="147">
        <f t="shared" si="126"/>
        <v>3.629737486653406E-4</v>
      </c>
      <c r="AN224" s="160">
        <f t="shared" si="151"/>
        <v>0</v>
      </c>
      <c r="AO224" s="161">
        <f t="shared" si="152"/>
        <v>0</v>
      </c>
      <c r="AP224" s="156">
        <f t="shared" si="127"/>
        <v>1.4925871563988402</v>
      </c>
      <c r="AQ224" s="152"/>
      <c r="AR224" s="162">
        <f t="shared" si="128"/>
        <v>621.0433255488806</v>
      </c>
      <c r="AS224" s="150">
        <f t="shared" si="153"/>
        <v>0</v>
      </c>
      <c r="AT224" s="163">
        <f t="shared" si="129"/>
        <v>0</v>
      </c>
      <c r="AU224" s="163">
        <f t="shared" si="130"/>
        <v>36.297374866534057</v>
      </c>
      <c r="AV224" s="163">
        <f t="shared" si="154"/>
        <v>1.6889673145532464</v>
      </c>
      <c r="AW224" s="163">
        <f t="shared" si="131"/>
        <v>0.21293779717728084</v>
      </c>
      <c r="AX224" s="163">
        <f t="shared" si="132"/>
        <v>0</v>
      </c>
      <c r="AY224" s="164">
        <f t="shared" si="155"/>
        <v>586.64785579407703</v>
      </c>
      <c r="AZ224" s="164">
        <f>IF($E224="","",IF(OR(AND($D224=Input!$C$6,$C224=12),$AN224=1),0,-AS225+AT225+AU225-AV225-AW225-AX225+AZ225))</f>
        <v>586.64792691002037</v>
      </c>
      <c r="BA224" s="154">
        <f t="shared" si="133"/>
        <v>7.1115943342192622E-5</v>
      </c>
      <c r="BC224" s="147">
        <f t="shared" si="156"/>
        <v>0.46935687522213959</v>
      </c>
      <c r="BD224" s="164">
        <f>IF(AND($C223=12,$D223=Input!$C$6),0,IF($E224="","",AT224+(AU224+BD225)/(1+$AK224)*MIN((1-AM224-AN224),1)))</f>
        <v>801.55442843845594</v>
      </c>
      <c r="BE224" s="164">
        <f t="shared" si="134"/>
        <v>376.21508185234177</v>
      </c>
      <c r="BF224" s="164">
        <f t="shared" si="157"/>
        <v>586.64792691002037</v>
      </c>
      <c r="BG224" s="164">
        <f t="shared" si="135"/>
        <v>275.34723783003329</v>
      </c>
      <c r="BH224" s="152"/>
      <c r="BI224" s="162">
        <f t="shared" si="136"/>
        <v>442.99855879888253</v>
      </c>
      <c r="BJ224" s="150">
        <f t="shared" si="137"/>
        <v>0</v>
      </c>
      <c r="BK224" s="163">
        <f t="shared" si="161"/>
        <v>0</v>
      </c>
      <c r="BL224" s="163">
        <f t="shared" si="138"/>
        <v>32.036760242304396</v>
      </c>
      <c r="BM224" s="163">
        <f t="shared" si="162"/>
        <v>1.3511117763207783</v>
      </c>
      <c r="BN224" s="163">
        <f t="shared" si="139"/>
        <v>0.13213405565382005</v>
      </c>
      <c r="BO224" s="163">
        <f t="shared" si="140"/>
        <v>0</v>
      </c>
      <c r="BP224" s="164">
        <f t="shared" si="163"/>
        <v>412.44504438855273</v>
      </c>
      <c r="BQ224" s="164">
        <f>IF($E224="","",IF(AND($D224=Input!$C$6,$C224=12),0,-BJ225+BK225+BL225-BM225-BN225-BO225+BQ225))</f>
        <v>412.44512445842645</v>
      </c>
      <c r="BR224" s="161">
        <f t="shared" si="141"/>
        <v>0</v>
      </c>
      <c r="BT224" s="147">
        <f t="shared" si="142"/>
        <v>0.46935687522213959</v>
      </c>
      <c r="BU224" s="164">
        <f>IF(AND($C223=12,$D223=Input!$C$6),0,IF($E224="","",BK224+(BL224+BU225)/(1+$AK224)*MIN((1-T224-U224),1)))</f>
        <v>4693.3020272822932</v>
      </c>
      <c r="BV224" s="164">
        <f t="shared" si="143"/>
        <v>2202.8335739989502</v>
      </c>
      <c r="BW224" s="164">
        <f t="shared" si="144"/>
        <v>412.44512445842645</v>
      </c>
      <c r="BX224" s="164">
        <f t="shared" si="145"/>
        <v>193.5839548164135</v>
      </c>
    </row>
    <row r="225" spans="1:76" s="150" customFormat="1" x14ac:dyDescent="0.25">
      <c r="A225" s="150">
        <f t="shared" si="158"/>
        <v>221</v>
      </c>
      <c r="B225" s="150">
        <f t="shared" si="159"/>
        <v>19</v>
      </c>
      <c r="C225" s="150">
        <f t="shared" si="160"/>
        <v>5</v>
      </c>
      <c r="D225" s="150">
        <f>IF(E225="","",Input!$C$4+B225-1)</f>
        <v>63</v>
      </c>
      <c r="E225" s="150">
        <f>IF(OR(AND(C224=12,D224=Input!$C$6),E224=""),"",1)</f>
        <v>1</v>
      </c>
      <c r="F225" s="150">
        <f>IF(E225="","",Input!$C$8+B225-1)</f>
        <v>2036</v>
      </c>
      <c r="G225" s="151">
        <f>IF(E225="","",MAX(0,Input!$C$9-B225))</f>
        <v>1</v>
      </c>
      <c r="H225" s="152">
        <f>IF(E225="","",Input!$C$3)</f>
        <v>100000</v>
      </c>
      <c r="I225" s="153">
        <f>IF(E225="","",HLOOKUP($B225,Input!$C$13:$BT$14,2))</f>
        <v>2.2999999999999998</v>
      </c>
      <c r="J225" s="154"/>
      <c r="K225" s="155">
        <f>IF($E225="","",INDEX(Input!$C$16:$CP$16,1,$B225))</f>
        <v>2.3640000000000001E-2</v>
      </c>
      <c r="L225" s="155">
        <f>IF($E225="","",Input!$C$37)</f>
        <v>1.4999999999999999E-2</v>
      </c>
      <c r="M225" s="155">
        <f t="shared" si="146"/>
        <v>3.8640000000000001E-2</v>
      </c>
      <c r="N225" s="155">
        <f t="shared" si="147"/>
        <v>3.1643430861472144E-3</v>
      </c>
      <c r="O225" s="147">
        <f>IF($E225="","",MIN(VLOOKUP(IF($B225&lt;=Input!$C$7,$B225,26),'Mortality Tables'!$A$41:$CW$67,IF($B225&lt;=Input!$C$7+1,Input!$C$4+2,$D225-Input!$C$7+2),0)*IF(B225&gt;20,Input!$C$22,1)/1000,1))</f>
        <v>4.2000000000000006E-3</v>
      </c>
      <c r="P225" s="147">
        <f>IF($E225="","",MIN(VLOOKUP(IF($B225&lt;=Input!$C$7,$B225,26),'Mortality Tables'!$A$12:$CW$37,IF($B225&lt;=Input!$C$7+1,Input!$C$4+2,$D225-Input!$C$7+2),0)*IF(B225&gt;20,Input!$C$22,1)/1000,1))</f>
        <v>5.2500000000000003E-3</v>
      </c>
      <c r="Q225" s="155">
        <f>IF($E225="","",Input!$C$21)</f>
        <v>5.0000000000000001E-3</v>
      </c>
      <c r="R225" s="159">
        <f>IF($E225="","",(1-Q225)^($F225-Input!$C$20))</f>
        <v>0.91372488601259338</v>
      </c>
      <c r="S225" s="147">
        <f t="shared" si="123"/>
        <v>3.8376445212528927E-3</v>
      </c>
      <c r="T225" s="147">
        <f t="shared" si="124"/>
        <v>3.2036760242304396E-4</v>
      </c>
      <c r="U225" s="160">
        <f>IF($E225="","",IF($C225=12,INDEX(Input!$C$15:$CP$15,1,$B225),0))</f>
        <v>0</v>
      </c>
      <c r="V225" s="150">
        <f>IF(E225="","",IF(C225=1,IF($B225=1,Input!$C$33,Input!$C$34),0))</f>
        <v>0</v>
      </c>
      <c r="W225" s="156">
        <f>IF($E225="","",Input!$C$35)</f>
        <v>0.02</v>
      </c>
      <c r="X225" s="156">
        <f t="shared" si="125"/>
        <v>1.4282462475762734</v>
      </c>
      <c r="Y225" s="154"/>
      <c r="Z225" s="147">
        <f>IF($E225="","",VLOOKUP($D225,'Mortality Margins &amp; Grading'!$AB$5:$AF$125,3,0)*IF(Summary!$D$25="Included Margin",IF(AND($B225&gt;Input!$C$9,Summary!$D$31&lt;&gt;"Included Margin"),0,1),0))</f>
        <v>3.5000000000000003E-2</v>
      </c>
      <c r="AA225" s="147">
        <f>IF($E225="","",VLOOKUP($D225,'Mortality Margins &amp; Grading'!$AB$5:$AF$125,5,0)*IF(Summary!$D$25="Included Margin",IF(AND($B225&gt;Input!$C$9,Summary!$D$31&lt;&gt;"Included Margin"),0,1),0))</f>
        <v>0.17799999999999999</v>
      </c>
      <c r="AB225" s="147">
        <f>IF($E225="","",IF(AND($B225&gt;Input!$C$9,Summary!$D$31&lt;&gt;"Included Margin"),1,IF(Summary!$D$25="Included Margin",VLOOKUP($B225,'Mortality Margins &amp; Grading'!$AI$5:$AR$125,MATCH('Mortality Margins &amp; Grading'!$AQ$4,'Mortality Margins &amp; Grading'!$AI$4:$AR$4,0),0),1)))</f>
        <v>1</v>
      </c>
      <c r="AC225" s="154"/>
      <c r="AD225" s="158">
        <f>IF(E225="","",Input!$C$48*IF(Summary!$D$30="Included Margin",IF(AND($B225&gt;Input!$C$9,Summary!$D$31&lt;&gt;"Included Margin"),0,1),0))</f>
        <v>-4.4999999999999997E-3</v>
      </c>
      <c r="AE225" s="159">
        <f>IF(E225="","",IF(Summary!$D$26="Included Margin",IF(AND($B225&gt;Input!$C$9,Summary!$D$31&lt;&gt;"Included Margin"),1,1/$R225),1))</f>
        <v>1.0944213245235148</v>
      </c>
      <c r="AF225" s="160">
        <f>IF(E225="","",IF(AND($B225&gt;=Input!$C$9,$C225=12,Summary!$D$31="Included Margin",$U225&gt;0),1/U225-1,IF($B225&gt;=Input!$C$9,0,Input!$C$45*IF(Summary!$D$27="Included Margin",1,0))))</f>
        <v>-0.1</v>
      </c>
      <c r="AG225" s="160">
        <f>IF(E225="","",Input!$C$46*IF(Summary!$D$28="Included Margin",IF(AND($B225&gt;Input!$C$9,Summary!$D$31&lt;&gt;"Included Margin"),0,1),0))</f>
        <v>0.02</v>
      </c>
      <c r="AH225" s="158">
        <f>IF(E225="","",Input!$C$47*IF(Summary!$D$29="Included Margin",IF(AND($B225&gt;Input!$C$9,Summary!$D$31&lt;&gt;"Included Margin"),0,1),0))</f>
        <v>2.5000000000000001E-3</v>
      </c>
      <c r="AI225" s="154"/>
      <c r="AJ225" s="158">
        <f t="shared" si="148"/>
        <v>3.4140000000000004E-2</v>
      </c>
      <c r="AK225" s="155">
        <f t="shared" si="149"/>
        <v>2.8014303126533413E-3</v>
      </c>
      <c r="AL225" s="147">
        <f t="shared" si="150"/>
        <v>4.3470000000000002E-3</v>
      </c>
      <c r="AM225" s="147">
        <f t="shared" si="126"/>
        <v>3.629737486653406E-4</v>
      </c>
      <c r="AN225" s="160">
        <f t="shared" si="151"/>
        <v>0</v>
      </c>
      <c r="AO225" s="161">
        <f t="shared" si="152"/>
        <v>0</v>
      </c>
      <c r="AP225" s="156">
        <f t="shared" si="127"/>
        <v>1.4925871563988402</v>
      </c>
      <c r="AQ225" s="152"/>
      <c r="AR225" s="162">
        <f t="shared" si="128"/>
        <v>586.64785579407703</v>
      </c>
      <c r="AS225" s="150">
        <f t="shared" si="153"/>
        <v>0</v>
      </c>
      <c r="AT225" s="163">
        <f t="shared" si="129"/>
        <v>0</v>
      </c>
      <c r="AU225" s="163">
        <f t="shared" si="130"/>
        <v>36.297374866534057</v>
      </c>
      <c r="AV225" s="163">
        <f t="shared" si="154"/>
        <v>1.5926108029641886</v>
      </c>
      <c r="AW225" s="163">
        <f t="shared" si="131"/>
        <v>0.20041362375287786</v>
      </c>
      <c r="AX225" s="163">
        <f t="shared" si="132"/>
        <v>0</v>
      </c>
      <c r="AY225" s="164">
        <f t="shared" si="155"/>
        <v>552.14350535426001</v>
      </c>
      <c r="AZ225" s="164">
        <f>IF($E225="","",IF(OR(AND($D225=Input!$C$6,$C225=12),$AN225=1),0,-AS226+AT226+AU226-AV226-AW226-AX226+AZ226))</f>
        <v>552.14357647020336</v>
      </c>
      <c r="BA225" s="154">
        <f t="shared" si="133"/>
        <v>7.1115943342192622E-5</v>
      </c>
      <c r="BC225" s="147">
        <f t="shared" si="156"/>
        <v>0.4692065084853439</v>
      </c>
      <c r="BD225" s="164">
        <f>IF(AND($C224=12,$D224=Input!$C$6),0,IF($E225="","",AT225+(AU225+BD226)/(1+$AK225)*MIN((1-AM225-AN225),1)))</f>
        <v>767.79441665683123</v>
      </c>
      <c r="BE225" s="164">
        <f t="shared" si="134"/>
        <v>360.25413747409317</v>
      </c>
      <c r="BF225" s="164">
        <f t="shared" si="157"/>
        <v>552.14357647020336</v>
      </c>
      <c r="BG225" s="164">
        <f t="shared" si="135"/>
        <v>259.0693596981946</v>
      </c>
      <c r="BH225" s="152"/>
      <c r="BI225" s="162">
        <f t="shared" si="136"/>
        <v>412.44504438855273</v>
      </c>
      <c r="BJ225" s="150">
        <f t="shared" si="137"/>
        <v>0</v>
      </c>
      <c r="BK225" s="163">
        <f t="shared" si="161"/>
        <v>0</v>
      </c>
      <c r="BL225" s="163">
        <f t="shared" si="138"/>
        <v>32.036760242304396</v>
      </c>
      <c r="BM225" s="163">
        <f t="shared" si="162"/>
        <v>1.254429974238952</v>
      </c>
      <c r="BN225" s="163">
        <f t="shared" si="139"/>
        <v>0.1223115789761508</v>
      </c>
      <c r="BO225" s="163">
        <f t="shared" si="140"/>
        <v>0</v>
      </c>
      <c r="BP225" s="164">
        <f t="shared" si="163"/>
        <v>381.78502569946346</v>
      </c>
      <c r="BQ225" s="164">
        <f>IF($E225="","",IF(AND($D225=Input!$C$6,$C225=12),0,-BJ226+BK226+BL226-BM226-BN226-BO226+BQ226))</f>
        <v>381.78510576933718</v>
      </c>
      <c r="BR225" s="161">
        <f t="shared" si="141"/>
        <v>0</v>
      </c>
      <c r="BT225" s="147">
        <f t="shared" si="142"/>
        <v>0.4692065084853439</v>
      </c>
      <c r="BU225" s="164">
        <f>IF(AND($C224=12,$D224=Input!$C$6),0,IF($E225="","",BK225+(BL225+BU226)/(1+$AK225)*MIN((1-T225-U225),1)))</f>
        <v>4675.9215029067273</v>
      </c>
      <c r="BV225" s="164">
        <f t="shared" si="143"/>
        <v>2193.9728023304074</v>
      </c>
      <c r="BW225" s="164">
        <f t="shared" si="144"/>
        <v>381.78510576933718</v>
      </c>
      <c r="BX225" s="164">
        <f t="shared" si="145"/>
        <v>179.13605646973843</v>
      </c>
    </row>
    <row r="226" spans="1:76" s="150" customFormat="1" x14ac:dyDescent="0.25">
      <c r="A226" s="150">
        <f t="shared" si="158"/>
        <v>222</v>
      </c>
      <c r="B226" s="150">
        <f t="shared" si="159"/>
        <v>19</v>
      </c>
      <c r="C226" s="150">
        <f t="shared" si="160"/>
        <v>6</v>
      </c>
      <c r="D226" s="150">
        <f>IF(E226="","",Input!$C$4+B226-1)</f>
        <v>63</v>
      </c>
      <c r="E226" s="150">
        <f>IF(OR(AND(C225=12,D225=Input!$C$6),E225=""),"",1)</f>
        <v>1</v>
      </c>
      <c r="F226" s="150">
        <f>IF(E226="","",Input!$C$8+B226-1)</f>
        <v>2036</v>
      </c>
      <c r="G226" s="151">
        <f>IF(E226="","",MAX(0,Input!$C$9-B226))</f>
        <v>1</v>
      </c>
      <c r="H226" s="152">
        <f>IF(E226="","",Input!$C$3)</f>
        <v>100000</v>
      </c>
      <c r="I226" s="153">
        <f>IF(E226="","",HLOOKUP($B226,Input!$C$13:$BT$14,2))</f>
        <v>2.2999999999999998</v>
      </c>
      <c r="J226" s="154"/>
      <c r="K226" s="155">
        <f>IF($E226="","",INDEX(Input!$C$16:$CP$16,1,$B226))</f>
        <v>2.3640000000000001E-2</v>
      </c>
      <c r="L226" s="155">
        <f>IF($E226="","",Input!$C$37)</f>
        <v>1.4999999999999999E-2</v>
      </c>
      <c r="M226" s="155">
        <f t="shared" si="146"/>
        <v>3.8640000000000001E-2</v>
      </c>
      <c r="N226" s="155">
        <f t="shared" si="147"/>
        <v>3.1643430861472144E-3</v>
      </c>
      <c r="O226" s="147">
        <f>IF($E226="","",MIN(VLOOKUP(IF($B226&lt;=Input!$C$7,$B226,26),'Mortality Tables'!$A$41:$CW$67,IF($B226&lt;=Input!$C$7+1,Input!$C$4+2,$D226-Input!$C$7+2),0)*IF(B226&gt;20,Input!$C$22,1)/1000,1))</f>
        <v>4.2000000000000006E-3</v>
      </c>
      <c r="P226" s="147">
        <f>IF($E226="","",MIN(VLOOKUP(IF($B226&lt;=Input!$C$7,$B226,26),'Mortality Tables'!$A$12:$CW$37,IF($B226&lt;=Input!$C$7+1,Input!$C$4+2,$D226-Input!$C$7+2),0)*IF(B226&gt;20,Input!$C$22,1)/1000,1))</f>
        <v>5.2500000000000003E-3</v>
      </c>
      <c r="Q226" s="155">
        <f>IF($E226="","",Input!$C$21)</f>
        <v>5.0000000000000001E-3</v>
      </c>
      <c r="R226" s="159">
        <f>IF($E226="","",(1-Q226)^($F226-Input!$C$20))</f>
        <v>0.91372488601259338</v>
      </c>
      <c r="S226" s="147">
        <f t="shared" si="123"/>
        <v>3.8376445212528927E-3</v>
      </c>
      <c r="T226" s="147">
        <f t="shared" si="124"/>
        <v>3.2036760242304396E-4</v>
      </c>
      <c r="U226" s="160">
        <f>IF($E226="","",IF($C226=12,INDEX(Input!$C$15:$CP$15,1,$B226),0))</f>
        <v>0</v>
      </c>
      <c r="V226" s="150">
        <f>IF(E226="","",IF(C226=1,IF($B226=1,Input!$C$33,Input!$C$34),0))</f>
        <v>0</v>
      </c>
      <c r="W226" s="156">
        <f>IF($E226="","",Input!$C$35)</f>
        <v>0.02</v>
      </c>
      <c r="X226" s="156">
        <f t="shared" si="125"/>
        <v>1.4282462475762734</v>
      </c>
      <c r="Y226" s="154"/>
      <c r="Z226" s="147">
        <f>IF($E226="","",VLOOKUP($D226,'Mortality Margins &amp; Grading'!$AB$5:$AF$125,3,0)*IF(Summary!$D$25="Included Margin",IF(AND($B226&gt;Input!$C$9,Summary!$D$31&lt;&gt;"Included Margin"),0,1),0))</f>
        <v>3.5000000000000003E-2</v>
      </c>
      <c r="AA226" s="147">
        <f>IF($E226="","",VLOOKUP($D226,'Mortality Margins &amp; Grading'!$AB$5:$AF$125,5,0)*IF(Summary!$D$25="Included Margin",IF(AND($B226&gt;Input!$C$9,Summary!$D$31&lt;&gt;"Included Margin"),0,1),0))</f>
        <v>0.17799999999999999</v>
      </c>
      <c r="AB226" s="147">
        <f>IF($E226="","",IF(AND($B226&gt;Input!$C$9,Summary!$D$31&lt;&gt;"Included Margin"),1,IF(Summary!$D$25="Included Margin",VLOOKUP($B226,'Mortality Margins &amp; Grading'!$AI$5:$AR$125,MATCH('Mortality Margins &amp; Grading'!$AQ$4,'Mortality Margins &amp; Grading'!$AI$4:$AR$4,0),0),1)))</f>
        <v>1</v>
      </c>
      <c r="AC226" s="154"/>
      <c r="AD226" s="158">
        <f>IF(E226="","",Input!$C$48*IF(Summary!$D$30="Included Margin",IF(AND($B226&gt;Input!$C$9,Summary!$D$31&lt;&gt;"Included Margin"),0,1),0))</f>
        <v>-4.4999999999999997E-3</v>
      </c>
      <c r="AE226" s="159">
        <f>IF(E226="","",IF(Summary!$D$26="Included Margin",IF(AND($B226&gt;Input!$C$9,Summary!$D$31&lt;&gt;"Included Margin"),1,1/$R226),1))</f>
        <v>1.0944213245235148</v>
      </c>
      <c r="AF226" s="160">
        <f>IF(E226="","",IF(AND($B226&gt;=Input!$C$9,$C226=12,Summary!$D$31="Included Margin",$U226&gt;0),1/U226-1,IF($B226&gt;=Input!$C$9,0,Input!$C$45*IF(Summary!$D$27="Included Margin",1,0))))</f>
        <v>-0.1</v>
      </c>
      <c r="AG226" s="160">
        <f>IF(E226="","",Input!$C$46*IF(Summary!$D$28="Included Margin",IF(AND($B226&gt;Input!$C$9,Summary!$D$31&lt;&gt;"Included Margin"),0,1),0))</f>
        <v>0.02</v>
      </c>
      <c r="AH226" s="158">
        <f>IF(E226="","",Input!$C$47*IF(Summary!$D$29="Included Margin",IF(AND($B226&gt;Input!$C$9,Summary!$D$31&lt;&gt;"Included Margin"),0,1),0))</f>
        <v>2.5000000000000001E-3</v>
      </c>
      <c r="AI226" s="154"/>
      <c r="AJ226" s="158">
        <f t="shared" si="148"/>
        <v>3.4140000000000004E-2</v>
      </c>
      <c r="AK226" s="155">
        <f t="shared" si="149"/>
        <v>2.8014303126533413E-3</v>
      </c>
      <c r="AL226" s="147">
        <f t="shared" si="150"/>
        <v>4.3470000000000002E-3</v>
      </c>
      <c r="AM226" s="147">
        <f t="shared" si="126"/>
        <v>3.629737486653406E-4</v>
      </c>
      <c r="AN226" s="160">
        <f t="shared" si="151"/>
        <v>0</v>
      </c>
      <c r="AO226" s="161">
        <f t="shared" si="152"/>
        <v>0</v>
      </c>
      <c r="AP226" s="156">
        <f t="shared" si="127"/>
        <v>1.4925871563988402</v>
      </c>
      <c r="AQ226" s="152"/>
      <c r="AR226" s="162">
        <f t="shared" si="128"/>
        <v>552.14350535426001</v>
      </c>
      <c r="AS226" s="150">
        <f t="shared" si="153"/>
        <v>0</v>
      </c>
      <c r="AT226" s="163">
        <f t="shared" si="129"/>
        <v>0</v>
      </c>
      <c r="AU226" s="163">
        <f t="shared" si="130"/>
        <v>36.297374866534057</v>
      </c>
      <c r="AV226" s="163">
        <f t="shared" si="154"/>
        <v>1.4959492697236716</v>
      </c>
      <c r="AW226" s="163">
        <f t="shared" si="131"/>
        <v>0.18784980439279217</v>
      </c>
      <c r="AX226" s="163">
        <f t="shared" si="132"/>
        <v>0</v>
      </c>
      <c r="AY226" s="164">
        <f t="shared" si="155"/>
        <v>517.52992956184255</v>
      </c>
      <c r="AZ226" s="164">
        <f>IF($E226="","",IF(OR(AND($D226=Input!$C$6,$C226=12),$AN226=1),0,-AS227+AT227+AU227-AV227-AW227-AX227+AZ227))</f>
        <v>517.53000067778578</v>
      </c>
      <c r="BA226" s="154">
        <f t="shared" si="133"/>
        <v>7.1115943228505785E-5</v>
      </c>
      <c r="BC226" s="147">
        <f t="shared" si="156"/>
        <v>0.46905618992117915</v>
      </c>
      <c r="BD226" s="164">
        <f>IF(AND($C225=12,$D225=Input!$C$6),0,IF($E226="","",AT226+(AU226+BD227)/(1+$AK226)*MIN((1-AM226-AN226),1)))</f>
        <v>733.92753576613336</v>
      </c>
      <c r="BE226" s="164">
        <f t="shared" si="134"/>
        <v>344.25325360470242</v>
      </c>
      <c r="BF226" s="164">
        <f t="shared" si="157"/>
        <v>517.53000067778578</v>
      </c>
      <c r="BG226" s="164">
        <f t="shared" si="135"/>
        <v>242.75065028782745</v>
      </c>
      <c r="BH226" s="152"/>
      <c r="BI226" s="162">
        <f t="shared" si="136"/>
        <v>381.78502569946346</v>
      </c>
      <c r="BJ226" s="150">
        <f t="shared" si="137"/>
        <v>0</v>
      </c>
      <c r="BK226" s="163">
        <f t="shared" si="161"/>
        <v>0</v>
      </c>
      <c r="BL226" s="163">
        <f t="shared" si="138"/>
        <v>32.036760242304396</v>
      </c>
      <c r="BM226" s="163">
        <f t="shared" si="162"/>
        <v>1.1574111560789879</v>
      </c>
      <c r="BN226" s="163">
        <f t="shared" si="139"/>
        <v>0.11245486283980136</v>
      </c>
      <c r="BO226" s="163">
        <f t="shared" si="140"/>
        <v>0</v>
      </c>
      <c r="BP226" s="164">
        <f t="shared" si="163"/>
        <v>351.01813147607783</v>
      </c>
      <c r="BQ226" s="164">
        <f>IF($E226="","",IF(AND($D226=Input!$C$6,$C226=12),0,-BJ227+BK227+BL227-BM227-BN227-BO227+BQ227))</f>
        <v>351.0182115459516</v>
      </c>
      <c r="BR226" s="161">
        <f t="shared" si="141"/>
        <v>0</v>
      </c>
      <c r="BT226" s="147">
        <f t="shared" si="142"/>
        <v>0.46905618992117915</v>
      </c>
      <c r="BU226" s="164">
        <f>IF(AND($C225=12,$D225=Input!$C$6),0,IF($E226="","",BK226+(BL226+BU227)/(1+$AK226)*MIN((1-T226-U226),1)))</f>
        <v>4658.4867026581715</v>
      </c>
      <c r="BV226" s="164">
        <f t="shared" si="143"/>
        <v>2185.0920235473191</v>
      </c>
      <c r="BW226" s="164">
        <f t="shared" si="144"/>
        <v>351.0182115459516</v>
      </c>
      <c r="BX226" s="164">
        <f t="shared" si="145"/>
        <v>164.64726490069052</v>
      </c>
    </row>
    <row r="227" spans="1:76" s="150" customFormat="1" x14ac:dyDescent="0.25">
      <c r="A227" s="150">
        <f t="shared" si="158"/>
        <v>223</v>
      </c>
      <c r="B227" s="150">
        <f t="shared" si="159"/>
        <v>19</v>
      </c>
      <c r="C227" s="150">
        <f t="shared" si="160"/>
        <v>7</v>
      </c>
      <c r="D227" s="150">
        <f>IF(E227="","",Input!$C$4+B227-1)</f>
        <v>63</v>
      </c>
      <c r="E227" s="150">
        <f>IF(OR(AND(C226=12,D226=Input!$C$6),E226=""),"",1)</f>
        <v>1</v>
      </c>
      <c r="F227" s="150">
        <f>IF(E227="","",Input!$C$8+B227-1)</f>
        <v>2036</v>
      </c>
      <c r="G227" s="151">
        <f>IF(E227="","",MAX(0,Input!$C$9-B227))</f>
        <v>1</v>
      </c>
      <c r="H227" s="152">
        <f>IF(E227="","",Input!$C$3)</f>
        <v>100000</v>
      </c>
      <c r="I227" s="153">
        <f>IF(E227="","",HLOOKUP($B227,Input!$C$13:$BT$14,2))</f>
        <v>2.2999999999999998</v>
      </c>
      <c r="J227" s="154"/>
      <c r="K227" s="155">
        <f>IF($E227="","",INDEX(Input!$C$16:$CP$16,1,$B227))</f>
        <v>2.3640000000000001E-2</v>
      </c>
      <c r="L227" s="155">
        <f>IF($E227="","",Input!$C$37)</f>
        <v>1.4999999999999999E-2</v>
      </c>
      <c r="M227" s="155">
        <f t="shared" si="146"/>
        <v>3.8640000000000001E-2</v>
      </c>
      <c r="N227" s="155">
        <f t="shared" si="147"/>
        <v>3.1643430861472144E-3</v>
      </c>
      <c r="O227" s="147">
        <f>IF($E227="","",MIN(VLOOKUP(IF($B227&lt;=Input!$C$7,$B227,26),'Mortality Tables'!$A$41:$CW$67,IF($B227&lt;=Input!$C$7+1,Input!$C$4+2,$D227-Input!$C$7+2),0)*IF(B227&gt;20,Input!$C$22,1)/1000,1))</f>
        <v>4.2000000000000006E-3</v>
      </c>
      <c r="P227" s="147">
        <f>IF($E227="","",MIN(VLOOKUP(IF($B227&lt;=Input!$C$7,$B227,26),'Mortality Tables'!$A$12:$CW$37,IF($B227&lt;=Input!$C$7+1,Input!$C$4+2,$D227-Input!$C$7+2),0)*IF(B227&gt;20,Input!$C$22,1)/1000,1))</f>
        <v>5.2500000000000003E-3</v>
      </c>
      <c r="Q227" s="155">
        <f>IF($E227="","",Input!$C$21)</f>
        <v>5.0000000000000001E-3</v>
      </c>
      <c r="R227" s="159">
        <f>IF($E227="","",(1-Q227)^($F227-Input!$C$20))</f>
        <v>0.91372488601259338</v>
      </c>
      <c r="S227" s="147">
        <f t="shared" si="123"/>
        <v>3.8376445212528927E-3</v>
      </c>
      <c r="T227" s="147">
        <f t="shared" si="124"/>
        <v>3.2036760242304396E-4</v>
      </c>
      <c r="U227" s="160">
        <f>IF($E227="","",IF($C227=12,INDEX(Input!$C$15:$CP$15,1,$B227),0))</f>
        <v>0</v>
      </c>
      <c r="V227" s="150">
        <f>IF(E227="","",IF(C227=1,IF($B227=1,Input!$C$33,Input!$C$34),0))</f>
        <v>0</v>
      </c>
      <c r="W227" s="156">
        <f>IF($E227="","",Input!$C$35)</f>
        <v>0.02</v>
      </c>
      <c r="X227" s="156">
        <f t="shared" si="125"/>
        <v>1.4282462475762734</v>
      </c>
      <c r="Y227" s="154"/>
      <c r="Z227" s="147">
        <f>IF($E227="","",VLOOKUP($D227,'Mortality Margins &amp; Grading'!$AB$5:$AF$125,3,0)*IF(Summary!$D$25="Included Margin",IF(AND($B227&gt;Input!$C$9,Summary!$D$31&lt;&gt;"Included Margin"),0,1),0))</f>
        <v>3.5000000000000003E-2</v>
      </c>
      <c r="AA227" s="147">
        <f>IF($E227="","",VLOOKUP($D227,'Mortality Margins &amp; Grading'!$AB$5:$AF$125,5,0)*IF(Summary!$D$25="Included Margin",IF(AND($B227&gt;Input!$C$9,Summary!$D$31&lt;&gt;"Included Margin"),0,1),0))</f>
        <v>0.17799999999999999</v>
      </c>
      <c r="AB227" s="147">
        <f>IF($E227="","",IF(AND($B227&gt;Input!$C$9,Summary!$D$31&lt;&gt;"Included Margin"),1,IF(Summary!$D$25="Included Margin",VLOOKUP($B227,'Mortality Margins &amp; Grading'!$AI$5:$AR$125,MATCH('Mortality Margins &amp; Grading'!$AQ$4,'Mortality Margins &amp; Grading'!$AI$4:$AR$4,0),0),1)))</f>
        <v>1</v>
      </c>
      <c r="AC227" s="154"/>
      <c r="AD227" s="158">
        <f>IF(E227="","",Input!$C$48*IF(Summary!$D$30="Included Margin",IF(AND($B227&gt;Input!$C$9,Summary!$D$31&lt;&gt;"Included Margin"),0,1),0))</f>
        <v>-4.4999999999999997E-3</v>
      </c>
      <c r="AE227" s="159">
        <f>IF(E227="","",IF(Summary!$D$26="Included Margin",IF(AND($B227&gt;Input!$C$9,Summary!$D$31&lt;&gt;"Included Margin"),1,1/$R227),1))</f>
        <v>1.0944213245235148</v>
      </c>
      <c r="AF227" s="160">
        <f>IF(E227="","",IF(AND($B227&gt;=Input!$C$9,$C227=12,Summary!$D$31="Included Margin",$U227&gt;0),1/U227-1,IF($B227&gt;=Input!$C$9,0,Input!$C$45*IF(Summary!$D$27="Included Margin",1,0))))</f>
        <v>-0.1</v>
      </c>
      <c r="AG227" s="160">
        <f>IF(E227="","",Input!$C$46*IF(Summary!$D$28="Included Margin",IF(AND($B227&gt;Input!$C$9,Summary!$D$31&lt;&gt;"Included Margin"),0,1),0))</f>
        <v>0.02</v>
      </c>
      <c r="AH227" s="158">
        <f>IF(E227="","",Input!$C$47*IF(Summary!$D$29="Included Margin",IF(AND($B227&gt;Input!$C$9,Summary!$D$31&lt;&gt;"Included Margin"),0,1),0))</f>
        <v>2.5000000000000001E-3</v>
      </c>
      <c r="AI227" s="154"/>
      <c r="AJ227" s="158">
        <f t="shared" si="148"/>
        <v>3.4140000000000004E-2</v>
      </c>
      <c r="AK227" s="155">
        <f t="shared" si="149"/>
        <v>2.8014303126533413E-3</v>
      </c>
      <c r="AL227" s="147">
        <f t="shared" si="150"/>
        <v>4.3470000000000002E-3</v>
      </c>
      <c r="AM227" s="147">
        <f t="shared" si="126"/>
        <v>3.629737486653406E-4</v>
      </c>
      <c r="AN227" s="160">
        <f t="shared" si="151"/>
        <v>0</v>
      </c>
      <c r="AO227" s="161">
        <f t="shared" si="152"/>
        <v>0</v>
      </c>
      <c r="AP227" s="156">
        <f t="shared" si="127"/>
        <v>1.4925871563988402</v>
      </c>
      <c r="AQ227" s="152"/>
      <c r="AR227" s="162">
        <f t="shared" si="128"/>
        <v>517.52992956184244</v>
      </c>
      <c r="AS227" s="150">
        <f t="shared" si="153"/>
        <v>0</v>
      </c>
      <c r="AT227" s="163">
        <f t="shared" si="129"/>
        <v>0</v>
      </c>
      <c r="AU227" s="163">
        <f t="shared" si="130"/>
        <v>36.297374866534057</v>
      </c>
      <c r="AV227" s="163">
        <f t="shared" si="154"/>
        <v>1.3989817492694689</v>
      </c>
      <c r="AW227" s="163">
        <f t="shared" si="131"/>
        <v>0.17524621359571016</v>
      </c>
      <c r="AX227" s="163">
        <f t="shared" si="132"/>
        <v>0</v>
      </c>
      <c r="AY227" s="164">
        <f t="shared" si="155"/>
        <v>482.80678265817357</v>
      </c>
      <c r="AZ227" s="164">
        <f>IF($E227="","",IF(OR(AND($D227=Input!$C$6,$C227=12),$AN227=1),0,-AS228+AT228+AU228-AV228-AW228-AX228+AZ228))</f>
        <v>482.80685377411692</v>
      </c>
      <c r="BA227" s="154">
        <f t="shared" si="133"/>
        <v>7.1115943342192622E-5</v>
      </c>
      <c r="BC227" s="147">
        <f t="shared" si="156"/>
        <v>0.4689059195142124</v>
      </c>
      <c r="BD227" s="164">
        <f>IF(AND($C226=12,$D226=Input!$C$6),0,IF($E227="","",AT227+(AU227+BD228)/(1+$AK227)*MIN((1-AM227-AN227),1)))</f>
        <v>699.95344746652574</v>
      </c>
      <c r="BE227" s="164">
        <f t="shared" si="134"/>
        <v>328.21231490143424</v>
      </c>
      <c r="BF227" s="164">
        <f t="shared" si="157"/>
        <v>482.80685377411692</v>
      </c>
      <c r="BG227" s="164">
        <f t="shared" si="135"/>
        <v>226.39099171671617</v>
      </c>
      <c r="BH227" s="152"/>
      <c r="BI227" s="162">
        <f t="shared" si="136"/>
        <v>351.01813147607788</v>
      </c>
      <c r="BJ227" s="150">
        <f t="shared" si="137"/>
        <v>0</v>
      </c>
      <c r="BK227" s="163">
        <f t="shared" si="161"/>
        <v>0</v>
      </c>
      <c r="BL227" s="163">
        <f t="shared" si="138"/>
        <v>32.036760242304396</v>
      </c>
      <c r="BM227" s="163">
        <f t="shared" si="162"/>
        <v>1.060054147060995</v>
      </c>
      <c r="BN227" s="163">
        <f t="shared" si="139"/>
        <v>0.10256378789192731</v>
      </c>
      <c r="BO227" s="163">
        <f t="shared" si="140"/>
        <v>0</v>
      </c>
      <c r="BP227" s="164">
        <f t="shared" si="163"/>
        <v>320.14398916872642</v>
      </c>
      <c r="BQ227" s="164">
        <f>IF($E227="","",IF(AND($D227=Input!$C$6,$C227=12),0,-BJ228+BK228+BL228-BM228-BN228-BO228+BQ228))</f>
        <v>320.14406923860014</v>
      </c>
      <c r="BR227" s="161">
        <f t="shared" si="141"/>
        <v>0</v>
      </c>
      <c r="BT227" s="147">
        <f t="shared" si="142"/>
        <v>0.4689059195142124</v>
      </c>
      <c r="BU227" s="164">
        <f>IF(AND($C226=12,$D226=Input!$C$6),0,IF($E227="","",BK227+(BL227+BU228)/(1+$AK227)*MIN((1-T227-U227),1)))</f>
        <v>4640.997457044019</v>
      </c>
      <c r="BV227" s="164">
        <f t="shared" si="143"/>
        <v>2176.1911800583471</v>
      </c>
      <c r="BW227" s="164">
        <f t="shared" si="144"/>
        <v>320.14406923860014</v>
      </c>
      <c r="BX227" s="164">
        <f t="shared" si="145"/>
        <v>150.11744916334749</v>
      </c>
    </row>
    <row r="228" spans="1:76" s="150" customFormat="1" x14ac:dyDescent="0.25">
      <c r="A228" s="150">
        <f t="shared" si="158"/>
        <v>224</v>
      </c>
      <c r="B228" s="150">
        <f t="shared" si="159"/>
        <v>19</v>
      </c>
      <c r="C228" s="150">
        <f t="shared" si="160"/>
        <v>8</v>
      </c>
      <c r="D228" s="150">
        <f>IF(E228="","",Input!$C$4+B228-1)</f>
        <v>63</v>
      </c>
      <c r="E228" s="150">
        <f>IF(OR(AND(C227=12,D227=Input!$C$6),E227=""),"",1)</f>
        <v>1</v>
      </c>
      <c r="F228" s="150">
        <f>IF(E228="","",Input!$C$8+B228-1)</f>
        <v>2036</v>
      </c>
      <c r="G228" s="151">
        <f>IF(E228="","",MAX(0,Input!$C$9-B228))</f>
        <v>1</v>
      </c>
      <c r="H228" s="152">
        <f>IF(E228="","",Input!$C$3)</f>
        <v>100000</v>
      </c>
      <c r="I228" s="153">
        <f>IF(E228="","",HLOOKUP($B228,Input!$C$13:$BT$14,2))</f>
        <v>2.2999999999999998</v>
      </c>
      <c r="J228" s="154"/>
      <c r="K228" s="155">
        <f>IF($E228="","",INDEX(Input!$C$16:$CP$16,1,$B228))</f>
        <v>2.3640000000000001E-2</v>
      </c>
      <c r="L228" s="155">
        <f>IF($E228="","",Input!$C$37)</f>
        <v>1.4999999999999999E-2</v>
      </c>
      <c r="M228" s="155">
        <f t="shared" si="146"/>
        <v>3.8640000000000001E-2</v>
      </c>
      <c r="N228" s="155">
        <f t="shared" si="147"/>
        <v>3.1643430861472144E-3</v>
      </c>
      <c r="O228" s="147">
        <f>IF($E228="","",MIN(VLOOKUP(IF($B228&lt;=Input!$C$7,$B228,26),'Mortality Tables'!$A$41:$CW$67,IF($B228&lt;=Input!$C$7+1,Input!$C$4+2,$D228-Input!$C$7+2),0)*IF(B228&gt;20,Input!$C$22,1)/1000,1))</f>
        <v>4.2000000000000006E-3</v>
      </c>
      <c r="P228" s="147">
        <f>IF($E228="","",MIN(VLOOKUP(IF($B228&lt;=Input!$C$7,$B228,26),'Mortality Tables'!$A$12:$CW$37,IF($B228&lt;=Input!$C$7+1,Input!$C$4+2,$D228-Input!$C$7+2),0)*IF(B228&gt;20,Input!$C$22,1)/1000,1))</f>
        <v>5.2500000000000003E-3</v>
      </c>
      <c r="Q228" s="155">
        <f>IF($E228="","",Input!$C$21)</f>
        <v>5.0000000000000001E-3</v>
      </c>
      <c r="R228" s="159">
        <f>IF($E228="","",(1-Q228)^($F228-Input!$C$20))</f>
        <v>0.91372488601259338</v>
      </c>
      <c r="S228" s="147">
        <f t="shared" si="123"/>
        <v>3.8376445212528927E-3</v>
      </c>
      <c r="T228" s="147">
        <f t="shared" si="124"/>
        <v>3.2036760242304396E-4</v>
      </c>
      <c r="U228" s="160">
        <f>IF($E228="","",IF($C228=12,INDEX(Input!$C$15:$CP$15,1,$B228),0))</f>
        <v>0</v>
      </c>
      <c r="V228" s="150">
        <f>IF(E228="","",IF(C228=1,IF($B228=1,Input!$C$33,Input!$C$34),0))</f>
        <v>0</v>
      </c>
      <c r="W228" s="156">
        <f>IF($E228="","",Input!$C$35)</f>
        <v>0.02</v>
      </c>
      <c r="X228" s="156">
        <f t="shared" si="125"/>
        <v>1.4282462475762734</v>
      </c>
      <c r="Y228" s="154"/>
      <c r="Z228" s="147">
        <f>IF($E228="","",VLOOKUP($D228,'Mortality Margins &amp; Grading'!$AB$5:$AF$125,3,0)*IF(Summary!$D$25="Included Margin",IF(AND($B228&gt;Input!$C$9,Summary!$D$31&lt;&gt;"Included Margin"),0,1),0))</f>
        <v>3.5000000000000003E-2</v>
      </c>
      <c r="AA228" s="147">
        <f>IF($E228="","",VLOOKUP($D228,'Mortality Margins &amp; Grading'!$AB$5:$AF$125,5,0)*IF(Summary!$D$25="Included Margin",IF(AND($B228&gt;Input!$C$9,Summary!$D$31&lt;&gt;"Included Margin"),0,1),0))</f>
        <v>0.17799999999999999</v>
      </c>
      <c r="AB228" s="147">
        <f>IF($E228="","",IF(AND($B228&gt;Input!$C$9,Summary!$D$31&lt;&gt;"Included Margin"),1,IF(Summary!$D$25="Included Margin",VLOOKUP($B228,'Mortality Margins &amp; Grading'!$AI$5:$AR$125,MATCH('Mortality Margins &amp; Grading'!$AQ$4,'Mortality Margins &amp; Grading'!$AI$4:$AR$4,0),0),1)))</f>
        <v>1</v>
      </c>
      <c r="AC228" s="154"/>
      <c r="AD228" s="158">
        <f>IF(E228="","",Input!$C$48*IF(Summary!$D$30="Included Margin",IF(AND($B228&gt;Input!$C$9,Summary!$D$31&lt;&gt;"Included Margin"),0,1),0))</f>
        <v>-4.4999999999999997E-3</v>
      </c>
      <c r="AE228" s="159">
        <f>IF(E228="","",IF(Summary!$D$26="Included Margin",IF(AND($B228&gt;Input!$C$9,Summary!$D$31&lt;&gt;"Included Margin"),1,1/$R228),1))</f>
        <v>1.0944213245235148</v>
      </c>
      <c r="AF228" s="160">
        <f>IF(E228="","",IF(AND($B228&gt;=Input!$C$9,$C228=12,Summary!$D$31="Included Margin",$U228&gt;0),1/U228-1,IF($B228&gt;=Input!$C$9,0,Input!$C$45*IF(Summary!$D$27="Included Margin",1,0))))</f>
        <v>-0.1</v>
      </c>
      <c r="AG228" s="160">
        <f>IF(E228="","",Input!$C$46*IF(Summary!$D$28="Included Margin",IF(AND($B228&gt;Input!$C$9,Summary!$D$31&lt;&gt;"Included Margin"),0,1),0))</f>
        <v>0.02</v>
      </c>
      <c r="AH228" s="158">
        <f>IF(E228="","",Input!$C$47*IF(Summary!$D$29="Included Margin",IF(AND($B228&gt;Input!$C$9,Summary!$D$31&lt;&gt;"Included Margin"),0,1),0))</f>
        <v>2.5000000000000001E-3</v>
      </c>
      <c r="AI228" s="154"/>
      <c r="AJ228" s="158">
        <f t="shared" si="148"/>
        <v>3.4140000000000004E-2</v>
      </c>
      <c r="AK228" s="155">
        <f t="shared" si="149"/>
        <v>2.8014303126533413E-3</v>
      </c>
      <c r="AL228" s="147">
        <f t="shared" si="150"/>
        <v>4.3470000000000002E-3</v>
      </c>
      <c r="AM228" s="147">
        <f t="shared" si="126"/>
        <v>3.629737486653406E-4</v>
      </c>
      <c r="AN228" s="160">
        <f t="shared" si="151"/>
        <v>0</v>
      </c>
      <c r="AO228" s="161">
        <f t="shared" si="152"/>
        <v>0</v>
      </c>
      <c r="AP228" s="156">
        <f t="shared" si="127"/>
        <v>1.4925871563988402</v>
      </c>
      <c r="AQ228" s="152"/>
      <c r="AR228" s="162">
        <f t="shared" si="128"/>
        <v>482.80678265817357</v>
      </c>
      <c r="AS228" s="150">
        <f t="shared" si="153"/>
        <v>0</v>
      </c>
      <c r="AT228" s="163">
        <f t="shared" si="129"/>
        <v>0</v>
      </c>
      <c r="AU228" s="163">
        <f t="shared" si="130"/>
        <v>36.297374866534057</v>
      </c>
      <c r="AV228" s="163">
        <f t="shared" si="154"/>
        <v>1.3017072729828161</v>
      </c>
      <c r="AW228" s="163">
        <f t="shared" si="131"/>
        <v>0.16260272546303722</v>
      </c>
      <c r="AX228" s="163">
        <f t="shared" si="132"/>
        <v>0</v>
      </c>
      <c r="AY228" s="164">
        <f t="shared" si="155"/>
        <v>447.9737177900854</v>
      </c>
      <c r="AZ228" s="164">
        <f>IF($E228="","",IF(OR(AND($D228=Input!$C$6,$C228=12),$AN228=1),0,-AS229+AT229+AU229-AV229-AW229-AX229+AZ229))</f>
        <v>447.97378890602874</v>
      </c>
      <c r="BA228" s="154">
        <f t="shared" si="133"/>
        <v>7.1115943342192622E-5</v>
      </c>
      <c r="BC228" s="147">
        <f t="shared" si="156"/>
        <v>0.46875569724901567</v>
      </c>
      <c r="BD228" s="164">
        <f>IF(AND($C227=12,$D227=Input!$C$6),0,IF($E228="","",AT228+(AU228+BD229)/(1+$AK228)*MIN((1-AM228-AN228),1)))</f>
        <v>665.87181238726555</v>
      </c>
      <c r="BE228" s="164">
        <f t="shared" si="134"/>
        <v>312.13120569405839</v>
      </c>
      <c r="BF228" s="164">
        <f t="shared" si="157"/>
        <v>447.97378890602874</v>
      </c>
      <c r="BG228" s="164">
        <f t="shared" si="135"/>
        <v>209.99026576792886</v>
      </c>
      <c r="BH228" s="152"/>
      <c r="BI228" s="162">
        <f t="shared" si="136"/>
        <v>320.14398916872642</v>
      </c>
      <c r="BJ228" s="150">
        <f t="shared" si="137"/>
        <v>0</v>
      </c>
      <c r="BK228" s="163">
        <f t="shared" si="161"/>
        <v>0</v>
      </c>
      <c r="BL228" s="163">
        <f t="shared" si="138"/>
        <v>32.036760242304396</v>
      </c>
      <c r="BM228" s="163">
        <f t="shared" si="162"/>
        <v>0.9623577683100023</v>
      </c>
      <c r="BN228" s="163">
        <f t="shared" si="139"/>
        <v>9.2638234363640798E-2</v>
      </c>
      <c r="BO228" s="163">
        <f t="shared" si="140"/>
        <v>0</v>
      </c>
      <c r="BP228" s="164">
        <f t="shared" si="163"/>
        <v>289.16222492909566</v>
      </c>
      <c r="BQ228" s="164">
        <f>IF($E228="","",IF(AND($D228=Input!$C$6,$C228=12),0,-BJ229+BK229+BL229-BM229-BN229-BO229+BQ229))</f>
        <v>289.16230499896938</v>
      </c>
      <c r="BR228" s="161">
        <f t="shared" si="141"/>
        <v>0</v>
      </c>
      <c r="BT228" s="147">
        <f t="shared" si="142"/>
        <v>0.46875569724901567</v>
      </c>
      <c r="BU228" s="164">
        <f>IF(AND($C227=12,$D227=Input!$C$6),0,IF($E228="","",BK228+(BL228+BU229)/(1+$AK228)*MIN((1-T228-U228),1)))</f>
        <v>4623.4535960423709</v>
      </c>
      <c r="BV228" s="164">
        <f t="shared" si="143"/>
        <v>2167.2702141113105</v>
      </c>
      <c r="BW228" s="164">
        <f t="shared" si="144"/>
        <v>289.16230499896938</v>
      </c>
      <c r="BX228" s="164">
        <f t="shared" si="145"/>
        <v>135.5464778979244</v>
      </c>
    </row>
    <row r="229" spans="1:76" s="150" customFormat="1" x14ac:dyDescent="0.25">
      <c r="A229" s="150">
        <f t="shared" si="158"/>
        <v>225</v>
      </c>
      <c r="B229" s="150">
        <f t="shared" si="159"/>
        <v>19</v>
      </c>
      <c r="C229" s="150">
        <f t="shared" si="160"/>
        <v>9</v>
      </c>
      <c r="D229" s="150">
        <f>IF(E229="","",Input!$C$4+B229-1)</f>
        <v>63</v>
      </c>
      <c r="E229" s="150">
        <f>IF(OR(AND(C228=12,D228=Input!$C$6),E228=""),"",1)</f>
        <v>1</v>
      </c>
      <c r="F229" s="150">
        <f>IF(E229="","",Input!$C$8+B229-1)</f>
        <v>2036</v>
      </c>
      <c r="G229" s="151">
        <f>IF(E229="","",MAX(0,Input!$C$9-B229))</f>
        <v>1</v>
      </c>
      <c r="H229" s="152">
        <f>IF(E229="","",Input!$C$3)</f>
        <v>100000</v>
      </c>
      <c r="I229" s="153">
        <f>IF(E229="","",HLOOKUP($B229,Input!$C$13:$BT$14,2))</f>
        <v>2.2999999999999998</v>
      </c>
      <c r="J229" s="154"/>
      <c r="K229" s="155">
        <f>IF($E229="","",INDEX(Input!$C$16:$CP$16,1,$B229))</f>
        <v>2.3640000000000001E-2</v>
      </c>
      <c r="L229" s="155">
        <f>IF($E229="","",Input!$C$37)</f>
        <v>1.4999999999999999E-2</v>
      </c>
      <c r="M229" s="155">
        <f t="shared" si="146"/>
        <v>3.8640000000000001E-2</v>
      </c>
      <c r="N229" s="155">
        <f t="shared" si="147"/>
        <v>3.1643430861472144E-3</v>
      </c>
      <c r="O229" s="147">
        <f>IF($E229="","",MIN(VLOOKUP(IF($B229&lt;=Input!$C$7,$B229,26),'Mortality Tables'!$A$41:$CW$67,IF($B229&lt;=Input!$C$7+1,Input!$C$4+2,$D229-Input!$C$7+2),0)*IF(B229&gt;20,Input!$C$22,1)/1000,1))</f>
        <v>4.2000000000000006E-3</v>
      </c>
      <c r="P229" s="147">
        <f>IF($E229="","",MIN(VLOOKUP(IF($B229&lt;=Input!$C$7,$B229,26),'Mortality Tables'!$A$12:$CW$37,IF($B229&lt;=Input!$C$7+1,Input!$C$4+2,$D229-Input!$C$7+2),0)*IF(B229&gt;20,Input!$C$22,1)/1000,1))</f>
        <v>5.2500000000000003E-3</v>
      </c>
      <c r="Q229" s="155">
        <f>IF($E229="","",Input!$C$21)</f>
        <v>5.0000000000000001E-3</v>
      </c>
      <c r="R229" s="159">
        <f>IF($E229="","",(1-Q229)^($F229-Input!$C$20))</f>
        <v>0.91372488601259338</v>
      </c>
      <c r="S229" s="147">
        <f t="shared" si="123"/>
        <v>3.8376445212528927E-3</v>
      </c>
      <c r="T229" s="147">
        <f t="shared" si="124"/>
        <v>3.2036760242304396E-4</v>
      </c>
      <c r="U229" s="160">
        <f>IF($E229="","",IF($C229=12,INDEX(Input!$C$15:$CP$15,1,$B229),0))</f>
        <v>0</v>
      </c>
      <c r="V229" s="150">
        <f>IF(E229="","",IF(C229=1,IF($B229=1,Input!$C$33,Input!$C$34),0))</f>
        <v>0</v>
      </c>
      <c r="W229" s="156">
        <f>IF($E229="","",Input!$C$35)</f>
        <v>0.02</v>
      </c>
      <c r="X229" s="156">
        <f t="shared" si="125"/>
        <v>1.4282462475762734</v>
      </c>
      <c r="Y229" s="154"/>
      <c r="Z229" s="147">
        <f>IF($E229="","",VLOOKUP($D229,'Mortality Margins &amp; Grading'!$AB$5:$AF$125,3,0)*IF(Summary!$D$25="Included Margin",IF(AND($B229&gt;Input!$C$9,Summary!$D$31&lt;&gt;"Included Margin"),0,1),0))</f>
        <v>3.5000000000000003E-2</v>
      </c>
      <c r="AA229" s="147">
        <f>IF($E229="","",VLOOKUP($D229,'Mortality Margins &amp; Grading'!$AB$5:$AF$125,5,0)*IF(Summary!$D$25="Included Margin",IF(AND($B229&gt;Input!$C$9,Summary!$D$31&lt;&gt;"Included Margin"),0,1),0))</f>
        <v>0.17799999999999999</v>
      </c>
      <c r="AB229" s="147">
        <f>IF($E229="","",IF(AND($B229&gt;Input!$C$9,Summary!$D$31&lt;&gt;"Included Margin"),1,IF(Summary!$D$25="Included Margin",VLOOKUP($B229,'Mortality Margins &amp; Grading'!$AI$5:$AR$125,MATCH('Mortality Margins &amp; Grading'!$AQ$4,'Mortality Margins &amp; Grading'!$AI$4:$AR$4,0),0),1)))</f>
        <v>1</v>
      </c>
      <c r="AC229" s="154"/>
      <c r="AD229" s="158">
        <f>IF(E229="","",Input!$C$48*IF(Summary!$D$30="Included Margin",IF(AND($B229&gt;Input!$C$9,Summary!$D$31&lt;&gt;"Included Margin"),0,1),0))</f>
        <v>-4.4999999999999997E-3</v>
      </c>
      <c r="AE229" s="159">
        <f>IF(E229="","",IF(Summary!$D$26="Included Margin",IF(AND($B229&gt;Input!$C$9,Summary!$D$31&lt;&gt;"Included Margin"),1,1/$R229),1))</f>
        <v>1.0944213245235148</v>
      </c>
      <c r="AF229" s="160">
        <f>IF(E229="","",IF(AND($B229&gt;=Input!$C$9,$C229=12,Summary!$D$31="Included Margin",$U229&gt;0),1/U229-1,IF($B229&gt;=Input!$C$9,0,Input!$C$45*IF(Summary!$D$27="Included Margin",1,0))))</f>
        <v>-0.1</v>
      </c>
      <c r="AG229" s="160">
        <f>IF(E229="","",Input!$C$46*IF(Summary!$D$28="Included Margin",IF(AND($B229&gt;Input!$C$9,Summary!$D$31&lt;&gt;"Included Margin"),0,1),0))</f>
        <v>0.02</v>
      </c>
      <c r="AH229" s="158">
        <f>IF(E229="","",Input!$C$47*IF(Summary!$D$29="Included Margin",IF(AND($B229&gt;Input!$C$9,Summary!$D$31&lt;&gt;"Included Margin"),0,1),0))</f>
        <v>2.5000000000000001E-3</v>
      </c>
      <c r="AI229" s="154"/>
      <c r="AJ229" s="158">
        <f t="shared" si="148"/>
        <v>3.4140000000000004E-2</v>
      </c>
      <c r="AK229" s="155">
        <f t="shared" si="149"/>
        <v>2.8014303126533413E-3</v>
      </c>
      <c r="AL229" s="147">
        <f t="shared" si="150"/>
        <v>4.3470000000000002E-3</v>
      </c>
      <c r="AM229" s="147">
        <f t="shared" si="126"/>
        <v>3.629737486653406E-4</v>
      </c>
      <c r="AN229" s="160">
        <f t="shared" si="151"/>
        <v>0</v>
      </c>
      <c r="AO229" s="161">
        <f t="shared" si="152"/>
        <v>0</v>
      </c>
      <c r="AP229" s="156">
        <f t="shared" si="127"/>
        <v>1.4925871563988402</v>
      </c>
      <c r="AQ229" s="152"/>
      <c r="AR229" s="162">
        <f t="shared" si="128"/>
        <v>447.9737177900854</v>
      </c>
      <c r="AS229" s="150">
        <f t="shared" si="153"/>
        <v>0</v>
      </c>
      <c r="AT229" s="163">
        <f t="shared" si="129"/>
        <v>0</v>
      </c>
      <c r="AU229" s="163">
        <f t="shared" si="130"/>
        <v>36.297374866534057</v>
      </c>
      <c r="AV229" s="163">
        <f t="shared" si="154"/>
        <v>1.2041248691787336</v>
      </c>
      <c r="AW229" s="163">
        <f t="shared" si="131"/>
        <v>0.14991921369764</v>
      </c>
      <c r="AX229" s="163">
        <f t="shared" si="132"/>
        <v>0</v>
      </c>
      <c r="AY229" s="164">
        <f t="shared" si="155"/>
        <v>413.0303870064277</v>
      </c>
      <c r="AZ229" s="164">
        <f>IF($E229="","",IF(OR(AND($D229=Input!$C$6,$C229=12),$AN229=1),0,-AS230+AT230+AU230-AV230-AW230-AX230+AZ230))</f>
        <v>413.03045812237104</v>
      </c>
      <c r="BA229" s="154">
        <f t="shared" si="133"/>
        <v>7.1115943342192622E-5</v>
      </c>
      <c r="BC229" s="147">
        <f t="shared" si="156"/>
        <v>0.46860552311016584</v>
      </c>
      <c r="BD229" s="164">
        <f>IF(AND($C228=12,$D228=Input!$C$6),0,IF($E229="","",AT229+(AU229+BD230)/(1+$AK229)*MIN((1-AM229-AN229),1)))</f>
        <v>631.68229008331366</v>
      </c>
      <c r="BE229" s="164">
        <f t="shared" si="134"/>
        <v>296.00980998391873</v>
      </c>
      <c r="BF229" s="164">
        <f t="shared" si="157"/>
        <v>413.03045812237104</v>
      </c>
      <c r="BG229" s="164">
        <f t="shared" si="135"/>
        <v>193.54835388886514</v>
      </c>
      <c r="BH229" s="152"/>
      <c r="BI229" s="162">
        <f t="shared" si="136"/>
        <v>289.1622249290956</v>
      </c>
      <c r="BJ229" s="150">
        <f t="shared" si="137"/>
        <v>0</v>
      </c>
      <c r="BK229" s="163">
        <f t="shared" si="161"/>
        <v>0</v>
      </c>
      <c r="BL229" s="163">
        <f t="shared" si="138"/>
        <v>32.036760242304396</v>
      </c>
      <c r="BM229" s="163">
        <f t="shared" si="162"/>
        <v>0.86432083684168348</v>
      </c>
      <c r="BN229" s="163">
        <f t="shared" si="139"/>
        <v>8.2678082068560324E-2</v>
      </c>
      <c r="BO229" s="163">
        <f t="shared" si="140"/>
        <v>0</v>
      </c>
      <c r="BP229" s="164">
        <f t="shared" si="163"/>
        <v>258.07246360570144</v>
      </c>
      <c r="BQ229" s="164">
        <f>IF($E229="","",IF(AND($D229=Input!$C$6,$C229=12),0,-BJ230+BK230+BL230-BM230-BN230-BO230+BQ230))</f>
        <v>258.07254367557522</v>
      </c>
      <c r="BR229" s="161">
        <f t="shared" si="141"/>
        <v>0</v>
      </c>
      <c r="BT229" s="147">
        <f t="shared" si="142"/>
        <v>0.46860552311016584</v>
      </c>
      <c r="BU229" s="164">
        <f>IF(AND($C228=12,$D228=Input!$C$6),0,IF($E229="","",BK229+(BL229+BU230)/(1+$AK229)*MIN((1-T229-U229),1)))</f>
        <v>4605.8549491003851</v>
      </c>
      <c r="BV229" s="164">
        <f t="shared" si="143"/>
        <v>2158.3290677927321</v>
      </c>
      <c r="BW229" s="164">
        <f t="shared" si="144"/>
        <v>258.07254367557522</v>
      </c>
      <c r="BX229" s="164">
        <f t="shared" si="145"/>
        <v>120.93421932946404</v>
      </c>
    </row>
    <row r="230" spans="1:76" s="150" customFormat="1" x14ac:dyDescent="0.25">
      <c r="A230" s="150">
        <f t="shared" si="158"/>
        <v>226</v>
      </c>
      <c r="B230" s="150">
        <f t="shared" si="159"/>
        <v>19</v>
      </c>
      <c r="C230" s="150">
        <f t="shared" si="160"/>
        <v>10</v>
      </c>
      <c r="D230" s="150">
        <f>IF(E230="","",Input!$C$4+B230-1)</f>
        <v>63</v>
      </c>
      <c r="E230" s="150">
        <f>IF(OR(AND(C229=12,D229=Input!$C$6),E229=""),"",1)</f>
        <v>1</v>
      </c>
      <c r="F230" s="150">
        <f>IF(E230="","",Input!$C$8+B230-1)</f>
        <v>2036</v>
      </c>
      <c r="G230" s="151">
        <f>IF(E230="","",MAX(0,Input!$C$9-B230))</f>
        <v>1</v>
      </c>
      <c r="H230" s="152">
        <f>IF(E230="","",Input!$C$3)</f>
        <v>100000</v>
      </c>
      <c r="I230" s="153">
        <f>IF(E230="","",HLOOKUP($B230,Input!$C$13:$BT$14,2))</f>
        <v>2.2999999999999998</v>
      </c>
      <c r="J230" s="154"/>
      <c r="K230" s="155">
        <f>IF($E230="","",INDEX(Input!$C$16:$CP$16,1,$B230))</f>
        <v>2.3640000000000001E-2</v>
      </c>
      <c r="L230" s="155">
        <f>IF($E230="","",Input!$C$37)</f>
        <v>1.4999999999999999E-2</v>
      </c>
      <c r="M230" s="155">
        <f t="shared" si="146"/>
        <v>3.8640000000000001E-2</v>
      </c>
      <c r="N230" s="155">
        <f t="shared" si="147"/>
        <v>3.1643430861472144E-3</v>
      </c>
      <c r="O230" s="147">
        <f>IF($E230="","",MIN(VLOOKUP(IF($B230&lt;=Input!$C$7,$B230,26),'Mortality Tables'!$A$41:$CW$67,IF($B230&lt;=Input!$C$7+1,Input!$C$4+2,$D230-Input!$C$7+2),0)*IF(B230&gt;20,Input!$C$22,1)/1000,1))</f>
        <v>4.2000000000000006E-3</v>
      </c>
      <c r="P230" s="147">
        <f>IF($E230="","",MIN(VLOOKUP(IF($B230&lt;=Input!$C$7,$B230,26),'Mortality Tables'!$A$12:$CW$37,IF($B230&lt;=Input!$C$7+1,Input!$C$4+2,$D230-Input!$C$7+2),0)*IF(B230&gt;20,Input!$C$22,1)/1000,1))</f>
        <v>5.2500000000000003E-3</v>
      </c>
      <c r="Q230" s="155">
        <f>IF($E230="","",Input!$C$21)</f>
        <v>5.0000000000000001E-3</v>
      </c>
      <c r="R230" s="159">
        <f>IF($E230="","",(1-Q230)^($F230-Input!$C$20))</f>
        <v>0.91372488601259338</v>
      </c>
      <c r="S230" s="147">
        <f t="shared" si="123"/>
        <v>3.8376445212528927E-3</v>
      </c>
      <c r="T230" s="147">
        <f t="shared" si="124"/>
        <v>3.2036760242304396E-4</v>
      </c>
      <c r="U230" s="160">
        <f>IF($E230="","",IF($C230=12,INDEX(Input!$C$15:$CP$15,1,$B230),0))</f>
        <v>0</v>
      </c>
      <c r="V230" s="150">
        <f>IF(E230="","",IF(C230=1,IF($B230=1,Input!$C$33,Input!$C$34),0))</f>
        <v>0</v>
      </c>
      <c r="W230" s="156">
        <f>IF($E230="","",Input!$C$35)</f>
        <v>0.02</v>
      </c>
      <c r="X230" s="156">
        <f t="shared" si="125"/>
        <v>1.4282462475762734</v>
      </c>
      <c r="Y230" s="154"/>
      <c r="Z230" s="147">
        <f>IF($E230="","",VLOOKUP($D230,'Mortality Margins &amp; Grading'!$AB$5:$AF$125,3,0)*IF(Summary!$D$25="Included Margin",IF(AND($B230&gt;Input!$C$9,Summary!$D$31&lt;&gt;"Included Margin"),0,1),0))</f>
        <v>3.5000000000000003E-2</v>
      </c>
      <c r="AA230" s="147">
        <f>IF($E230="","",VLOOKUP($D230,'Mortality Margins &amp; Grading'!$AB$5:$AF$125,5,0)*IF(Summary!$D$25="Included Margin",IF(AND($B230&gt;Input!$C$9,Summary!$D$31&lt;&gt;"Included Margin"),0,1),0))</f>
        <v>0.17799999999999999</v>
      </c>
      <c r="AB230" s="147">
        <f>IF($E230="","",IF(AND($B230&gt;Input!$C$9,Summary!$D$31&lt;&gt;"Included Margin"),1,IF(Summary!$D$25="Included Margin",VLOOKUP($B230,'Mortality Margins &amp; Grading'!$AI$5:$AR$125,MATCH('Mortality Margins &amp; Grading'!$AQ$4,'Mortality Margins &amp; Grading'!$AI$4:$AR$4,0),0),1)))</f>
        <v>1</v>
      </c>
      <c r="AC230" s="154"/>
      <c r="AD230" s="158">
        <f>IF(E230="","",Input!$C$48*IF(Summary!$D$30="Included Margin",IF(AND($B230&gt;Input!$C$9,Summary!$D$31&lt;&gt;"Included Margin"),0,1),0))</f>
        <v>-4.4999999999999997E-3</v>
      </c>
      <c r="AE230" s="159">
        <f>IF(E230="","",IF(Summary!$D$26="Included Margin",IF(AND($B230&gt;Input!$C$9,Summary!$D$31&lt;&gt;"Included Margin"),1,1/$R230),1))</f>
        <v>1.0944213245235148</v>
      </c>
      <c r="AF230" s="160">
        <f>IF(E230="","",IF(AND($B230&gt;=Input!$C$9,$C230=12,Summary!$D$31="Included Margin",$U230&gt;0),1/U230-1,IF($B230&gt;=Input!$C$9,0,Input!$C$45*IF(Summary!$D$27="Included Margin",1,0))))</f>
        <v>-0.1</v>
      </c>
      <c r="AG230" s="160">
        <f>IF(E230="","",Input!$C$46*IF(Summary!$D$28="Included Margin",IF(AND($B230&gt;Input!$C$9,Summary!$D$31&lt;&gt;"Included Margin"),0,1),0))</f>
        <v>0.02</v>
      </c>
      <c r="AH230" s="158">
        <f>IF(E230="","",Input!$C$47*IF(Summary!$D$29="Included Margin",IF(AND($B230&gt;Input!$C$9,Summary!$D$31&lt;&gt;"Included Margin"),0,1),0))</f>
        <v>2.5000000000000001E-3</v>
      </c>
      <c r="AI230" s="154"/>
      <c r="AJ230" s="158">
        <f t="shared" si="148"/>
        <v>3.4140000000000004E-2</v>
      </c>
      <c r="AK230" s="155">
        <f t="shared" si="149"/>
        <v>2.8014303126533413E-3</v>
      </c>
      <c r="AL230" s="147">
        <f t="shared" si="150"/>
        <v>4.3470000000000002E-3</v>
      </c>
      <c r="AM230" s="147">
        <f t="shared" si="126"/>
        <v>3.629737486653406E-4</v>
      </c>
      <c r="AN230" s="160">
        <f t="shared" si="151"/>
        <v>0</v>
      </c>
      <c r="AO230" s="161">
        <f t="shared" si="152"/>
        <v>0</v>
      </c>
      <c r="AP230" s="156">
        <f t="shared" si="127"/>
        <v>1.4925871563988402</v>
      </c>
      <c r="AQ230" s="152"/>
      <c r="AR230" s="162">
        <f t="shared" si="128"/>
        <v>413.03038700642765</v>
      </c>
      <c r="AS230" s="150">
        <f t="shared" si="153"/>
        <v>0</v>
      </c>
      <c r="AT230" s="163">
        <f t="shared" si="129"/>
        <v>0</v>
      </c>
      <c r="AU230" s="163">
        <f t="shared" si="130"/>
        <v>36.297374866534057</v>
      </c>
      <c r="AV230" s="163">
        <f t="shared" si="154"/>
        <v>1.1062335630963223</v>
      </c>
      <c r="AW230" s="163">
        <f t="shared" si="131"/>
        <v>0.1371955516025849</v>
      </c>
      <c r="AX230" s="163">
        <f t="shared" si="132"/>
        <v>0</v>
      </c>
      <c r="AY230" s="164">
        <f t="shared" si="155"/>
        <v>377.97644125459254</v>
      </c>
      <c r="AZ230" s="164">
        <f>IF($E230="","",IF(OR(AND($D230=Input!$C$6,$C230=12),$AN230=1),0,-AS231+AT231+AU231-AV231-AW231-AX231+AZ231))</f>
        <v>377.97651237053589</v>
      </c>
      <c r="BA230" s="154">
        <f t="shared" si="133"/>
        <v>7.1115943342192622E-5</v>
      </c>
      <c r="BC230" s="147">
        <f t="shared" si="156"/>
        <v>0.46845539708224482</v>
      </c>
      <c r="BD230" s="164">
        <f>IF(AND($C229=12,$D229=Input!$C$6),0,IF($E230="","",AT230+(AU230+BD231)/(1+$AK230)*MIN((1-AM230-AN230),1)))</f>
        <v>597.38453903193454</v>
      </c>
      <c r="BE230" s="164">
        <f t="shared" si="134"/>
        <v>279.84801144299865</v>
      </c>
      <c r="BF230" s="164">
        <f t="shared" si="157"/>
        <v>377.97651237053589</v>
      </c>
      <c r="BG230" s="164">
        <f t="shared" si="135"/>
        <v>177.06513719030141</v>
      </c>
      <c r="BH230" s="152"/>
      <c r="BI230" s="162">
        <f t="shared" si="136"/>
        <v>258.07246360570144</v>
      </c>
      <c r="BJ230" s="150">
        <f t="shared" si="137"/>
        <v>0</v>
      </c>
      <c r="BK230" s="163">
        <f t="shared" si="161"/>
        <v>0</v>
      </c>
      <c r="BL230" s="163">
        <f t="shared" si="138"/>
        <v>32.036760242304396</v>
      </c>
      <c r="BM230" s="163">
        <f t="shared" si="162"/>
        <v>0.76594216554803396</v>
      </c>
      <c r="BN230" s="163">
        <f t="shared" si="139"/>
        <v>7.2683210401355405E-2</v>
      </c>
      <c r="BO230" s="163">
        <f t="shared" si="140"/>
        <v>0</v>
      </c>
      <c r="BP230" s="164">
        <f t="shared" si="163"/>
        <v>226.87432873934642</v>
      </c>
      <c r="BQ230" s="164">
        <f>IF($E230="","",IF(AND($D230=Input!$C$6,$C230=12),0,-BJ231+BK231+BL231-BM231-BN231-BO231+BQ231))</f>
        <v>226.8744088092202</v>
      </c>
      <c r="BR230" s="161">
        <f t="shared" si="141"/>
        <v>0</v>
      </c>
      <c r="BT230" s="147">
        <f t="shared" si="142"/>
        <v>0.46845539708224482</v>
      </c>
      <c r="BU230" s="164">
        <f>IF(AND($C229=12,$D229=Input!$C$6),0,IF($E230="","",BK230+(BL230+BU231)/(1+$AK230)*MIN((1-T230-U230),1)))</f>
        <v>4588.2013451326166</v>
      </c>
      <c r="BV230" s="164">
        <f t="shared" si="143"/>
        <v>2149.3676830273898</v>
      </c>
      <c r="BW230" s="164">
        <f t="shared" si="144"/>
        <v>226.8744088092202</v>
      </c>
      <c r="BX230" s="164">
        <f t="shared" si="145"/>
        <v>106.28054126652279</v>
      </c>
    </row>
    <row r="231" spans="1:76" s="150" customFormat="1" x14ac:dyDescent="0.25">
      <c r="A231" s="150">
        <f t="shared" si="158"/>
        <v>227</v>
      </c>
      <c r="B231" s="150">
        <f t="shared" si="159"/>
        <v>19</v>
      </c>
      <c r="C231" s="150">
        <f t="shared" si="160"/>
        <v>11</v>
      </c>
      <c r="D231" s="150">
        <f>IF(E231="","",Input!$C$4+B231-1)</f>
        <v>63</v>
      </c>
      <c r="E231" s="150">
        <f>IF(OR(AND(C230=12,D230=Input!$C$6),E230=""),"",1)</f>
        <v>1</v>
      </c>
      <c r="F231" s="150">
        <f>IF(E231="","",Input!$C$8+B231-1)</f>
        <v>2036</v>
      </c>
      <c r="G231" s="151">
        <f>IF(E231="","",MAX(0,Input!$C$9-B231))</f>
        <v>1</v>
      </c>
      <c r="H231" s="152">
        <f>IF(E231="","",Input!$C$3)</f>
        <v>100000</v>
      </c>
      <c r="I231" s="153">
        <f>IF(E231="","",HLOOKUP($B231,Input!$C$13:$BT$14,2))</f>
        <v>2.2999999999999998</v>
      </c>
      <c r="J231" s="154"/>
      <c r="K231" s="155">
        <f>IF($E231="","",INDEX(Input!$C$16:$CP$16,1,$B231))</f>
        <v>2.3640000000000001E-2</v>
      </c>
      <c r="L231" s="155">
        <f>IF($E231="","",Input!$C$37)</f>
        <v>1.4999999999999999E-2</v>
      </c>
      <c r="M231" s="155">
        <f t="shared" si="146"/>
        <v>3.8640000000000001E-2</v>
      </c>
      <c r="N231" s="155">
        <f t="shared" si="147"/>
        <v>3.1643430861472144E-3</v>
      </c>
      <c r="O231" s="147">
        <f>IF($E231="","",MIN(VLOOKUP(IF($B231&lt;=Input!$C$7,$B231,26),'Mortality Tables'!$A$41:$CW$67,IF($B231&lt;=Input!$C$7+1,Input!$C$4+2,$D231-Input!$C$7+2),0)*IF(B231&gt;20,Input!$C$22,1)/1000,1))</f>
        <v>4.2000000000000006E-3</v>
      </c>
      <c r="P231" s="147">
        <f>IF($E231="","",MIN(VLOOKUP(IF($B231&lt;=Input!$C$7,$B231,26),'Mortality Tables'!$A$12:$CW$37,IF($B231&lt;=Input!$C$7+1,Input!$C$4+2,$D231-Input!$C$7+2),0)*IF(B231&gt;20,Input!$C$22,1)/1000,1))</f>
        <v>5.2500000000000003E-3</v>
      </c>
      <c r="Q231" s="155">
        <f>IF($E231="","",Input!$C$21)</f>
        <v>5.0000000000000001E-3</v>
      </c>
      <c r="R231" s="159">
        <f>IF($E231="","",(1-Q231)^($F231-Input!$C$20))</f>
        <v>0.91372488601259338</v>
      </c>
      <c r="S231" s="147">
        <f t="shared" si="123"/>
        <v>3.8376445212528927E-3</v>
      </c>
      <c r="T231" s="147">
        <f t="shared" si="124"/>
        <v>3.2036760242304396E-4</v>
      </c>
      <c r="U231" s="160">
        <f>IF($E231="","",IF($C231=12,INDEX(Input!$C$15:$CP$15,1,$B231),0))</f>
        <v>0</v>
      </c>
      <c r="V231" s="150">
        <f>IF(E231="","",IF(C231=1,IF($B231=1,Input!$C$33,Input!$C$34),0))</f>
        <v>0</v>
      </c>
      <c r="W231" s="156">
        <f>IF($E231="","",Input!$C$35)</f>
        <v>0.02</v>
      </c>
      <c r="X231" s="156">
        <f t="shared" si="125"/>
        <v>1.4282462475762734</v>
      </c>
      <c r="Y231" s="154"/>
      <c r="Z231" s="147">
        <f>IF($E231="","",VLOOKUP($D231,'Mortality Margins &amp; Grading'!$AB$5:$AF$125,3,0)*IF(Summary!$D$25="Included Margin",IF(AND($B231&gt;Input!$C$9,Summary!$D$31&lt;&gt;"Included Margin"),0,1),0))</f>
        <v>3.5000000000000003E-2</v>
      </c>
      <c r="AA231" s="147">
        <f>IF($E231="","",VLOOKUP($D231,'Mortality Margins &amp; Grading'!$AB$5:$AF$125,5,0)*IF(Summary!$D$25="Included Margin",IF(AND($B231&gt;Input!$C$9,Summary!$D$31&lt;&gt;"Included Margin"),0,1),0))</f>
        <v>0.17799999999999999</v>
      </c>
      <c r="AB231" s="147">
        <f>IF($E231="","",IF(AND($B231&gt;Input!$C$9,Summary!$D$31&lt;&gt;"Included Margin"),1,IF(Summary!$D$25="Included Margin",VLOOKUP($B231,'Mortality Margins &amp; Grading'!$AI$5:$AR$125,MATCH('Mortality Margins &amp; Grading'!$AQ$4,'Mortality Margins &amp; Grading'!$AI$4:$AR$4,0),0),1)))</f>
        <v>1</v>
      </c>
      <c r="AC231" s="154"/>
      <c r="AD231" s="158">
        <f>IF(E231="","",Input!$C$48*IF(Summary!$D$30="Included Margin",IF(AND($B231&gt;Input!$C$9,Summary!$D$31&lt;&gt;"Included Margin"),0,1),0))</f>
        <v>-4.4999999999999997E-3</v>
      </c>
      <c r="AE231" s="159">
        <f>IF(E231="","",IF(Summary!$D$26="Included Margin",IF(AND($B231&gt;Input!$C$9,Summary!$D$31&lt;&gt;"Included Margin"),1,1/$R231),1))</f>
        <v>1.0944213245235148</v>
      </c>
      <c r="AF231" s="160">
        <f>IF(E231="","",IF(AND($B231&gt;=Input!$C$9,$C231=12,Summary!$D$31="Included Margin",$U231&gt;0),1/U231-1,IF($B231&gt;=Input!$C$9,0,Input!$C$45*IF(Summary!$D$27="Included Margin",1,0))))</f>
        <v>-0.1</v>
      </c>
      <c r="AG231" s="160">
        <f>IF(E231="","",Input!$C$46*IF(Summary!$D$28="Included Margin",IF(AND($B231&gt;Input!$C$9,Summary!$D$31&lt;&gt;"Included Margin"),0,1),0))</f>
        <v>0.02</v>
      </c>
      <c r="AH231" s="158">
        <f>IF(E231="","",Input!$C$47*IF(Summary!$D$29="Included Margin",IF(AND($B231&gt;Input!$C$9,Summary!$D$31&lt;&gt;"Included Margin"),0,1),0))</f>
        <v>2.5000000000000001E-3</v>
      </c>
      <c r="AI231" s="154"/>
      <c r="AJ231" s="158">
        <f t="shared" si="148"/>
        <v>3.4140000000000004E-2</v>
      </c>
      <c r="AK231" s="155">
        <f t="shared" si="149"/>
        <v>2.8014303126533413E-3</v>
      </c>
      <c r="AL231" s="147">
        <f t="shared" si="150"/>
        <v>4.3470000000000002E-3</v>
      </c>
      <c r="AM231" s="147">
        <f t="shared" si="126"/>
        <v>3.629737486653406E-4</v>
      </c>
      <c r="AN231" s="160">
        <f t="shared" si="151"/>
        <v>0</v>
      </c>
      <c r="AO231" s="161">
        <f t="shared" si="152"/>
        <v>0</v>
      </c>
      <c r="AP231" s="156">
        <f t="shared" si="127"/>
        <v>1.4925871563988402</v>
      </c>
      <c r="AQ231" s="152"/>
      <c r="AR231" s="162">
        <f t="shared" si="128"/>
        <v>377.97644125459249</v>
      </c>
      <c r="AS231" s="150">
        <f t="shared" si="153"/>
        <v>0</v>
      </c>
      <c r="AT231" s="163">
        <f t="shared" si="129"/>
        <v>0</v>
      </c>
      <c r="AU231" s="163">
        <f t="shared" si="130"/>
        <v>36.297374866534057</v>
      </c>
      <c r="AV231" s="163">
        <f t="shared" si="154"/>
        <v>1.0080323768890254</v>
      </c>
      <c r="AW231" s="163">
        <f t="shared" si="131"/>
        <v>0.12443161207987247</v>
      </c>
      <c r="AX231" s="163">
        <f t="shared" si="132"/>
        <v>0</v>
      </c>
      <c r="AY231" s="164">
        <f t="shared" si="155"/>
        <v>342.8115303770274</v>
      </c>
      <c r="AZ231" s="164">
        <f>IF($E231="","",IF(OR(AND($D231=Input!$C$6,$C231=12),$AN231=1),0,-AS232+AT232+AU232-AV232-AW232-AX232+AZ232))</f>
        <v>342.81160149297074</v>
      </c>
      <c r="BA231" s="154">
        <f t="shared" si="133"/>
        <v>7.1115943342192622E-5</v>
      </c>
      <c r="BC231" s="147">
        <f t="shared" si="156"/>
        <v>0.46830531914983942</v>
      </c>
      <c r="BD231" s="164">
        <f>IF(AND($C230=12,$D230=Input!$C$6),0,IF($E231="","",AT231+(AU231+BD232)/(1+$AK231)*MIN((1-AM231-AN231),1)))</f>
        <v>562.97821662928391</v>
      </c>
      <c r="BE231" s="164">
        <f t="shared" si="134"/>
        <v>263.64569341298426</v>
      </c>
      <c r="BF231" s="164">
        <f t="shared" si="157"/>
        <v>342.81160149297074</v>
      </c>
      <c r="BG231" s="164">
        <f t="shared" si="135"/>
        <v>160.54049644543323</v>
      </c>
      <c r="BH231" s="152"/>
      <c r="BI231" s="162">
        <f t="shared" si="136"/>
        <v>226.87432873934645</v>
      </c>
      <c r="BJ231" s="150">
        <f t="shared" si="137"/>
        <v>0</v>
      </c>
      <c r="BK231" s="163">
        <f t="shared" si="161"/>
        <v>0</v>
      </c>
      <c r="BL231" s="163">
        <f t="shared" si="138"/>
        <v>32.036760242304396</v>
      </c>
      <c r="BM231" s="163">
        <f t="shared" si="162"/>
        <v>0.66722056318299527</v>
      </c>
      <c r="BN231" s="163">
        <f t="shared" si="139"/>
        <v>6.265349833628614E-2</v>
      </c>
      <c r="BO231" s="163">
        <f t="shared" si="140"/>
        <v>0</v>
      </c>
      <c r="BP231" s="164">
        <f t="shared" si="163"/>
        <v>195.56744255856137</v>
      </c>
      <c r="BQ231" s="164">
        <f>IF($E231="","",IF(AND($D231=Input!$C$6,$C231=12),0,-BJ232+BK232+BL232-BM232-BN232-BO232+BQ232))</f>
        <v>195.56752262843509</v>
      </c>
      <c r="BR231" s="161">
        <f t="shared" si="141"/>
        <v>0</v>
      </c>
      <c r="BT231" s="147">
        <f t="shared" si="142"/>
        <v>0.46830531914983942</v>
      </c>
      <c r="BU231" s="164">
        <f>IF(AND($C230=12,$D230=Input!$C$6),0,IF($E231="","",BK231+(BL231+BU232)/(1+$AK231)*MIN((1-T231-U231),1)))</f>
        <v>4570.492612519357</v>
      </c>
      <c r="BV231" s="164">
        <f t="shared" si="143"/>
        <v>2140.386001577861</v>
      </c>
      <c r="BW231" s="164">
        <f t="shared" si="144"/>
        <v>195.56752262843509</v>
      </c>
      <c r="BX231" s="164">
        <f t="shared" si="145"/>
        <v>91.585311099852731</v>
      </c>
    </row>
    <row r="232" spans="1:76" s="150" customFormat="1" x14ac:dyDescent="0.25">
      <c r="A232" s="150">
        <f t="shared" si="158"/>
        <v>228</v>
      </c>
      <c r="B232" s="150">
        <f t="shared" si="159"/>
        <v>19</v>
      </c>
      <c r="C232" s="150">
        <f t="shared" si="160"/>
        <v>12</v>
      </c>
      <c r="D232" s="150">
        <f>IF(E232="","",Input!$C$4+B232-1)</f>
        <v>63</v>
      </c>
      <c r="E232" s="150">
        <f>IF(OR(AND(C231=12,D231=Input!$C$6),E231=""),"",1)</f>
        <v>1</v>
      </c>
      <c r="F232" s="150">
        <f>IF(E232="","",Input!$C$8+B232-1)</f>
        <v>2036</v>
      </c>
      <c r="G232" s="151">
        <f>IF(E232="","",MAX(0,Input!$C$9-B232))</f>
        <v>1</v>
      </c>
      <c r="H232" s="152">
        <f>IF(E232="","",Input!$C$3)</f>
        <v>100000</v>
      </c>
      <c r="I232" s="153">
        <f>IF(E232="","",HLOOKUP($B232,Input!$C$13:$BT$14,2))</f>
        <v>2.2999999999999998</v>
      </c>
      <c r="J232" s="154"/>
      <c r="K232" s="155">
        <f>IF($E232="","",INDEX(Input!$C$16:$CP$16,1,$B232))</f>
        <v>2.3640000000000001E-2</v>
      </c>
      <c r="L232" s="155">
        <f>IF($E232="","",Input!$C$37)</f>
        <v>1.4999999999999999E-2</v>
      </c>
      <c r="M232" s="155">
        <f t="shared" si="146"/>
        <v>3.8640000000000001E-2</v>
      </c>
      <c r="N232" s="155">
        <f t="shared" si="147"/>
        <v>3.1643430861472144E-3</v>
      </c>
      <c r="O232" s="147">
        <f>IF($E232="","",MIN(VLOOKUP(IF($B232&lt;=Input!$C$7,$B232,26),'Mortality Tables'!$A$41:$CW$67,IF($B232&lt;=Input!$C$7+1,Input!$C$4+2,$D232-Input!$C$7+2),0)*IF(B232&gt;20,Input!$C$22,1)/1000,1))</f>
        <v>4.2000000000000006E-3</v>
      </c>
      <c r="P232" s="147">
        <f>IF($E232="","",MIN(VLOOKUP(IF($B232&lt;=Input!$C$7,$B232,26),'Mortality Tables'!$A$12:$CW$37,IF($B232&lt;=Input!$C$7+1,Input!$C$4+2,$D232-Input!$C$7+2),0)*IF(B232&gt;20,Input!$C$22,1)/1000,1))</f>
        <v>5.2500000000000003E-3</v>
      </c>
      <c r="Q232" s="155">
        <f>IF($E232="","",Input!$C$21)</f>
        <v>5.0000000000000001E-3</v>
      </c>
      <c r="R232" s="159">
        <f>IF($E232="","",(1-Q232)^($F232-Input!$C$20))</f>
        <v>0.91372488601259338</v>
      </c>
      <c r="S232" s="147">
        <f t="shared" si="123"/>
        <v>3.8376445212528927E-3</v>
      </c>
      <c r="T232" s="147">
        <f t="shared" si="124"/>
        <v>3.2036760242304396E-4</v>
      </c>
      <c r="U232" s="160">
        <f>IF($E232="","",IF($C232=12,INDEX(Input!$C$15:$CP$15,1,$B232),0))</f>
        <v>0.02</v>
      </c>
      <c r="V232" s="150">
        <f>IF(E232="","",IF(C232=1,IF($B232=1,Input!$C$33,Input!$C$34),0))</f>
        <v>0</v>
      </c>
      <c r="W232" s="156">
        <f>IF($E232="","",Input!$C$35)</f>
        <v>0.02</v>
      </c>
      <c r="X232" s="156">
        <f t="shared" si="125"/>
        <v>1.4282462475762734</v>
      </c>
      <c r="Y232" s="154"/>
      <c r="Z232" s="147">
        <f>IF($E232="","",VLOOKUP($D232,'Mortality Margins &amp; Grading'!$AB$5:$AF$125,3,0)*IF(Summary!$D$25="Included Margin",IF(AND($B232&gt;Input!$C$9,Summary!$D$31&lt;&gt;"Included Margin"),0,1),0))</f>
        <v>3.5000000000000003E-2</v>
      </c>
      <c r="AA232" s="147">
        <f>IF($E232="","",VLOOKUP($D232,'Mortality Margins &amp; Grading'!$AB$5:$AF$125,5,0)*IF(Summary!$D$25="Included Margin",IF(AND($B232&gt;Input!$C$9,Summary!$D$31&lt;&gt;"Included Margin"),0,1),0))</f>
        <v>0.17799999999999999</v>
      </c>
      <c r="AB232" s="147">
        <f>IF($E232="","",IF(AND($B232&gt;Input!$C$9,Summary!$D$31&lt;&gt;"Included Margin"),1,IF(Summary!$D$25="Included Margin",VLOOKUP($B232,'Mortality Margins &amp; Grading'!$AI$5:$AR$125,MATCH('Mortality Margins &amp; Grading'!$AQ$4,'Mortality Margins &amp; Grading'!$AI$4:$AR$4,0),0),1)))</f>
        <v>1</v>
      </c>
      <c r="AC232" s="154"/>
      <c r="AD232" s="158">
        <f>IF(E232="","",Input!$C$48*IF(Summary!$D$30="Included Margin",IF(AND($B232&gt;Input!$C$9,Summary!$D$31&lt;&gt;"Included Margin"),0,1),0))</f>
        <v>-4.4999999999999997E-3</v>
      </c>
      <c r="AE232" s="159">
        <f>IF(E232="","",IF(Summary!$D$26="Included Margin",IF(AND($B232&gt;Input!$C$9,Summary!$D$31&lt;&gt;"Included Margin"),1,1/$R232),1))</f>
        <v>1.0944213245235148</v>
      </c>
      <c r="AF232" s="160">
        <f>IF(E232="","",IF(AND($B232&gt;=Input!$C$9,$C232=12,Summary!$D$31="Included Margin",$U232&gt;0),1/U232-1,IF($B232&gt;=Input!$C$9,0,Input!$C$45*IF(Summary!$D$27="Included Margin",1,0))))</f>
        <v>-0.1</v>
      </c>
      <c r="AG232" s="160">
        <f>IF(E232="","",Input!$C$46*IF(Summary!$D$28="Included Margin",IF(AND($B232&gt;Input!$C$9,Summary!$D$31&lt;&gt;"Included Margin"),0,1),0))</f>
        <v>0.02</v>
      </c>
      <c r="AH232" s="158">
        <f>IF(E232="","",Input!$C$47*IF(Summary!$D$29="Included Margin",IF(AND($B232&gt;Input!$C$9,Summary!$D$31&lt;&gt;"Included Margin"),0,1),0))</f>
        <v>2.5000000000000001E-3</v>
      </c>
      <c r="AI232" s="154"/>
      <c r="AJ232" s="158">
        <f t="shared" si="148"/>
        <v>3.4140000000000004E-2</v>
      </c>
      <c r="AK232" s="155">
        <f t="shared" si="149"/>
        <v>2.8014303126533413E-3</v>
      </c>
      <c r="AL232" s="147">
        <f t="shared" si="150"/>
        <v>4.3470000000000002E-3</v>
      </c>
      <c r="AM232" s="147">
        <f t="shared" si="126"/>
        <v>3.629737486653406E-4</v>
      </c>
      <c r="AN232" s="160">
        <f t="shared" si="151"/>
        <v>1.8000000000000002E-2</v>
      </c>
      <c r="AO232" s="161">
        <f t="shared" si="152"/>
        <v>0</v>
      </c>
      <c r="AP232" s="156">
        <f t="shared" si="127"/>
        <v>1.4925871563988402</v>
      </c>
      <c r="AQ232" s="152"/>
      <c r="AR232" s="162">
        <f t="shared" si="128"/>
        <v>342.8115303770274</v>
      </c>
      <c r="AS232" s="150">
        <f t="shared" si="153"/>
        <v>0</v>
      </c>
      <c r="AT232" s="163">
        <f t="shared" si="129"/>
        <v>0</v>
      </c>
      <c r="AU232" s="163">
        <f t="shared" si="130"/>
        <v>36.297374866534057</v>
      </c>
      <c r="AV232" s="163">
        <f t="shared" si="154"/>
        <v>0.90952032961486129</v>
      </c>
      <c r="AW232" s="163">
        <f t="shared" si="131"/>
        <v>0.11367338862440708</v>
      </c>
      <c r="AX232" s="163">
        <f t="shared" si="132"/>
        <v>5.6350584981760985</v>
      </c>
      <c r="AY232" s="164">
        <f t="shared" si="155"/>
        <v>313.17240772690866</v>
      </c>
      <c r="AZ232" s="164">
        <f>IF($E232="","",IF(OR(AND($D232=Input!$C$6,$C232=12),$AN232=1),0,-AS233+AT233+AU233-AV233-AW233-AX233+AZ233))</f>
        <v>313.17247884285206</v>
      </c>
      <c r="BA232" s="154">
        <f t="shared" si="133"/>
        <v>7.1115943399036041E-5</v>
      </c>
      <c r="BC232" s="147">
        <f t="shared" si="156"/>
        <v>0.45878918291454462</v>
      </c>
      <c r="BD232" s="164">
        <f>IF(AND($C231=12,$D231=Input!$C$6),0,IF($E232="","",AT232+(AU232+BD233)/(1+$AK232)*MIN((1-AM232-AN232),1)))</f>
        <v>528.46297918698701</v>
      </c>
      <c r="BE232" s="164">
        <f t="shared" si="134"/>
        <v>242.45309842178378</v>
      </c>
      <c r="BF232" s="164">
        <f t="shared" si="157"/>
        <v>313.17247884285206</v>
      </c>
      <c r="BG232" s="164">
        <f t="shared" si="135"/>
        <v>143.68014567963462</v>
      </c>
      <c r="BH232" s="152"/>
      <c r="BI232" s="162">
        <f t="shared" si="136"/>
        <v>195.56744255856134</v>
      </c>
      <c r="BJ232" s="150">
        <f t="shared" si="137"/>
        <v>0</v>
      </c>
      <c r="BK232" s="163">
        <f t="shared" si="161"/>
        <v>0</v>
      </c>
      <c r="BL232" s="163">
        <f t="shared" si="138"/>
        <v>32.036760242304396</v>
      </c>
      <c r="BM232" s="163">
        <f t="shared" si="162"/>
        <v>0.56815483434803016</v>
      </c>
      <c r="BN232" s="163">
        <f t="shared" si="139"/>
        <v>5.3662065740548825E-2</v>
      </c>
      <c r="BO232" s="163">
        <f t="shared" si="140"/>
        <v>3.3489574942954841</v>
      </c>
      <c r="BP232" s="164">
        <f t="shared" si="163"/>
        <v>167.50145671064104</v>
      </c>
      <c r="BQ232" s="164">
        <f>IF($E232="","",IF(AND($D232=Input!$C$6,$C232=12),0,-BJ233+BK233+BL233-BM233-BN233-BO233+BQ233))</f>
        <v>167.50153678051475</v>
      </c>
      <c r="BR232" s="161">
        <f t="shared" si="141"/>
        <v>0</v>
      </c>
      <c r="BT232" s="147">
        <f t="shared" si="142"/>
        <v>0.45878918291454462</v>
      </c>
      <c r="BU232" s="164">
        <f>IF(AND($C231=12,$D231=Input!$C$6),0,IF($E232="","",BK232+(BL232+BU233)/(1+$AK232)*MIN((1-T232-U232),1)))</f>
        <v>4552.7285791049617</v>
      </c>
      <c r="BV232" s="164">
        <f t="shared" si="143"/>
        <v>2088.7426248392612</v>
      </c>
      <c r="BW232" s="164">
        <f t="shared" si="144"/>
        <v>167.50153678051475</v>
      </c>
      <c r="BX232" s="164">
        <f t="shared" si="145"/>
        <v>76.847893196462906</v>
      </c>
    </row>
    <row r="233" spans="1:76" s="150" customFormat="1" x14ac:dyDescent="0.25">
      <c r="A233" s="150">
        <f t="shared" si="158"/>
        <v>229</v>
      </c>
      <c r="B233" s="150">
        <f t="shared" si="159"/>
        <v>20</v>
      </c>
      <c r="C233" s="150">
        <f t="shared" si="160"/>
        <v>1</v>
      </c>
      <c r="D233" s="150">
        <f>IF(E233="","",Input!$C$4+B233-1)</f>
        <v>64</v>
      </c>
      <c r="E233" s="150">
        <f>IF(OR(AND(C232=12,D232=Input!$C$6),E232=""),"",1)</f>
        <v>1</v>
      </c>
      <c r="F233" s="150">
        <f>IF(E233="","",Input!$C$8+B233-1)</f>
        <v>2037</v>
      </c>
      <c r="G233" s="151">
        <f>IF(E233="","",MAX(0,Input!$C$9-B233))</f>
        <v>0</v>
      </c>
      <c r="H233" s="152">
        <f>IF(E233="","",Input!$C$3)</f>
        <v>100000</v>
      </c>
      <c r="I233" s="153">
        <f>IF(E233="","",HLOOKUP($B233,Input!$C$13:$BT$14,2))</f>
        <v>2.2999999999999998</v>
      </c>
      <c r="J233" s="154"/>
      <c r="K233" s="155">
        <f>IF($E233="","",INDEX(Input!$C$16:$CP$16,1,$B233))</f>
        <v>2.3519999999999999E-2</v>
      </c>
      <c r="L233" s="155">
        <f>IF($E233="","",Input!$C$37)</f>
        <v>1.4999999999999999E-2</v>
      </c>
      <c r="M233" s="155">
        <f t="shared" si="146"/>
        <v>3.8519999999999999E-2</v>
      </c>
      <c r="N233" s="155">
        <f t="shared" si="147"/>
        <v>3.1546841333971454E-3</v>
      </c>
      <c r="O233" s="147">
        <f>IF($E233="","",MIN(VLOOKUP(IF($B233&lt;=Input!$C$7,$B233,26),'Mortality Tables'!$A$41:$CW$67,IF($B233&lt;=Input!$C$7+1,Input!$C$4+2,$D233-Input!$C$7+2),0)*IF(B233&gt;20,Input!$C$22,1)/1000,1))</f>
        <v>4.5759999999999993E-3</v>
      </c>
      <c r="P233" s="147">
        <f>IF($E233="","",MIN(VLOOKUP(IF($B233&lt;=Input!$C$7,$B233,26),'Mortality Tables'!$A$12:$CW$37,IF($B233&lt;=Input!$C$7+1,Input!$C$4+2,$D233-Input!$C$7+2),0)*IF(B233&gt;20,Input!$C$22,1)/1000,1))</f>
        <v>5.7199999999999994E-3</v>
      </c>
      <c r="Q233" s="155">
        <f>IF($E233="","",Input!$C$21)</f>
        <v>5.0000000000000001E-3</v>
      </c>
      <c r="R233" s="159">
        <f>IF($E233="","",(1-Q233)^($F233-Input!$C$20))</f>
        <v>0.90915626158253038</v>
      </c>
      <c r="S233" s="147">
        <f t="shared" si="123"/>
        <v>4.1602990530016587E-3</v>
      </c>
      <c r="T233" s="147">
        <f t="shared" si="124"/>
        <v>3.473544230223613E-4</v>
      </c>
      <c r="U233" s="160">
        <f>IF($E233="","",IF($C233=12,INDEX(Input!$C$15:$CP$15,1,$B233),0))</f>
        <v>0</v>
      </c>
      <c r="V233" s="150">
        <f>IF(E233="","",IF(C233=1,IF($B233=1,Input!$C$33,Input!$C$34),0))</f>
        <v>50</v>
      </c>
      <c r="W233" s="156">
        <f>IF($E233="","",Input!$C$35)</f>
        <v>0.02</v>
      </c>
      <c r="X233" s="156">
        <f t="shared" si="125"/>
        <v>1.4568111725277988</v>
      </c>
      <c r="Y233" s="154"/>
      <c r="Z233" s="147">
        <f>IF($E233="","",VLOOKUP($D233,'Mortality Margins &amp; Grading'!$AB$5:$AF$125,3,0)*IF(Summary!$D$25="Included Margin",IF(AND($B233&gt;Input!$C$9,Summary!$D$31&lt;&gt;"Included Margin"),0,1),0))</f>
        <v>3.4000000000000002E-2</v>
      </c>
      <c r="AA233" s="147">
        <f>IF($E233="","",VLOOKUP($D233,'Mortality Margins &amp; Grading'!$AB$5:$AF$125,5,0)*IF(Summary!$D$25="Included Margin",IF(AND($B233&gt;Input!$C$9,Summary!$D$31&lt;&gt;"Included Margin"),0,1),0))</f>
        <v>0.17399999999999999</v>
      </c>
      <c r="AB233" s="147">
        <f>IF($E233="","",IF(AND($B233&gt;Input!$C$9,Summary!$D$31&lt;&gt;"Included Margin"),1,IF(Summary!$D$25="Included Margin",VLOOKUP($B233,'Mortality Margins &amp; Grading'!$AI$5:$AR$125,MATCH('Mortality Margins &amp; Grading'!$AQ$4,'Mortality Margins &amp; Grading'!$AI$4:$AR$4,0),0),1)))</f>
        <v>1</v>
      </c>
      <c r="AC233" s="154"/>
      <c r="AD233" s="158">
        <f>IF(E233="","",Input!$C$48*IF(Summary!$D$30="Included Margin",IF(AND($B233&gt;Input!$C$9,Summary!$D$31&lt;&gt;"Included Margin"),0,1),0))</f>
        <v>-4.4999999999999997E-3</v>
      </c>
      <c r="AE233" s="159">
        <f>IF(E233="","",IF(Summary!$D$26="Included Margin",IF(AND($B233&gt;Input!$C$9,Summary!$D$31&lt;&gt;"Included Margin"),1,1/$R233),1))</f>
        <v>1.0999209291693617</v>
      </c>
      <c r="AF233" s="160">
        <f>IF(E233="","",IF(AND($B233&gt;=Input!$C$9,$C233=12,Summary!$D$31="Included Margin",$U233&gt;0),1/U233-1,IF($B233&gt;=Input!$C$9,0,Input!$C$45*IF(Summary!$D$27="Included Margin",1,0))))</f>
        <v>0</v>
      </c>
      <c r="AG233" s="160">
        <f>IF(E233="","",Input!$C$46*IF(Summary!$D$28="Included Margin",IF(AND($B233&gt;Input!$C$9,Summary!$D$31&lt;&gt;"Included Margin"),0,1),0))</f>
        <v>0.02</v>
      </c>
      <c r="AH233" s="158">
        <f>IF(E233="","",Input!$C$47*IF(Summary!$D$29="Included Margin",IF(AND($B233&gt;Input!$C$9,Summary!$D$31&lt;&gt;"Included Margin"),0,1),0))</f>
        <v>2.5000000000000001E-3</v>
      </c>
      <c r="AI233" s="154"/>
      <c r="AJ233" s="158">
        <f t="shared" si="148"/>
        <v>3.4020000000000002E-2</v>
      </c>
      <c r="AK233" s="155">
        <f t="shared" si="149"/>
        <v>2.791732836803229E-3</v>
      </c>
      <c r="AL233" s="147">
        <f t="shared" si="150"/>
        <v>4.7315840000000005E-3</v>
      </c>
      <c r="AM233" s="147">
        <f t="shared" si="126"/>
        <v>3.9515635343867483E-4</v>
      </c>
      <c r="AN233" s="160">
        <f t="shared" si="151"/>
        <v>0</v>
      </c>
      <c r="AO233" s="161">
        <f t="shared" si="152"/>
        <v>51</v>
      </c>
      <c r="AP233" s="156">
        <f t="shared" si="127"/>
        <v>1.526170367417814</v>
      </c>
      <c r="AQ233" s="152"/>
      <c r="AR233" s="162">
        <f t="shared" si="128"/>
        <v>313.17240195621019</v>
      </c>
      <c r="AS233" s="150">
        <f t="shared" si="153"/>
        <v>229.99999999999997</v>
      </c>
      <c r="AT233" s="163">
        <f t="shared" si="129"/>
        <v>77.834688738308515</v>
      </c>
      <c r="AU233" s="163">
        <f t="shared" si="130"/>
        <v>39.515635343867487</v>
      </c>
      <c r="AV233" s="163">
        <f t="shared" si="154"/>
        <v>1.2439400258150313</v>
      </c>
      <c r="AW233" s="163">
        <f t="shared" si="131"/>
        <v>0.1688245928035883</v>
      </c>
      <c r="AX233" s="163">
        <f t="shared" si="132"/>
        <v>0</v>
      </c>
      <c r="AY233" s="164">
        <f t="shared" si="155"/>
        <v>427.23484249265277</v>
      </c>
      <c r="AZ233" s="164">
        <f>IF($E233="","",IF(OR(AND($D233=Input!$C$6,$C233=12),$AN233=1),0,-AS234+AT234+AU234-AV234-AW234-AX234+AZ234))</f>
        <v>427.23491937929464</v>
      </c>
      <c r="BA233" s="154">
        <f t="shared" si="133"/>
        <v>7.6886641863893601E-5</v>
      </c>
      <c r="BC233" s="147">
        <f t="shared" si="156"/>
        <v>0.45862982046262446</v>
      </c>
      <c r="BD233" s="164">
        <f>IF(AND($C232=12,$D232=Input!$C$6),0,IF($E233="","",AT233+(AU233+BD234)/(1+$AK233)*MIN((1-AM233-AN233),1)))</f>
        <v>503.55943291886393</v>
      </c>
      <c r="BE233" s="164">
        <f t="shared" si="134"/>
        <v>230.94737231183956</v>
      </c>
      <c r="BF233" s="164">
        <f t="shared" si="157"/>
        <v>427.23491937929464</v>
      </c>
      <c r="BG233" s="164">
        <f t="shared" si="135"/>
        <v>195.94267437028972</v>
      </c>
      <c r="BH233" s="152"/>
      <c r="BI233" s="162">
        <f t="shared" si="136"/>
        <v>167.50145049455909</v>
      </c>
      <c r="BJ233" s="150">
        <f t="shared" si="137"/>
        <v>229.99999999999997</v>
      </c>
      <c r="BK233" s="163">
        <f t="shared" si="161"/>
        <v>72.840558626389935</v>
      </c>
      <c r="BL233" s="163">
        <f t="shared" si="138"/>
        <v>34.73544230223613</v>
      </c>
      <c r="BM233" s="163">
        <f t="shared" si="162"/>
        <v>0.9694128899623814</v>
      </c>
      <c r="BN233" s="163">
        <f t="shared" si="139"/>
        <v>0.10107875723374378</v>
      </c>
      <c r="BO233" s="163">
        <f t="shared" si="140"/>
        <v>0</v>
      </c>
      <c r="BP233" s="164">
        <f t="shared" si="163"/>
        <v>290.99594121312913</v>
      </c>
      <c r="BQ233" s="164">
        <f>IF($E233="","",IF(AND($D233=Input!$C$6,$C233=12),0,-BJ234+BK234+BL234-BM234-BN234-BO234+BQ234))</f>
        <v>290.99602749908479</v>
      </c>
      <c r="BR233" s="161">
        <f t="shared" si="141"/>
        <v>0</v>
      </c>
      <c r="BT233" s="147">
        <f t="shared" si="142"/>
        <v>0.45862982046262446</v>
      </c>
      <c r="BU233" s="164">
        <f>IF(AND($C232=12,$D232=Input!$C$6),0,IF($E233="","",BK233+(BL233+BU234)/(1+$AK233)*MIN((1-T233-U233),1)))</f>
        <v>4628.1425269177344</v>
      </c>
      <c r="BV233" s="164">
        <f t="shared" si="143"/>
        <v>2122.6041761957176</v>
      </c>
      <c r="BW233" s="164">
        <f t="shared" si="144"/>
        <v>290.99602749908479</v>
      </c>
      <c r="BX233" s="164">
        <f t="shared" si="145"/>
        <v>133.4594558472422</v>
      </c>
    </row>
    <row r="234" spans="1:76" s="150" customFormat="1" x14ac:dyDescent="0.25">
      <c r="A234" s="150">
        <f t="shared" si="158"/>
        <v>230</v>
      </c>
      <c r="B234" s="150">
        <f t="shared" si="159"/>
        <v>20</v>
      </c>
      <c r="C234" s="150">
        <f t="shared" si="160"/>
        <v>2</v>
      </c>
      <c r="D234" s="150">
        <f>IF(E234="","",Input!$C$4+B234-1)</f>
        <v>64</v>
      </c>
      <c r="E234" s="150">
        <f>IF(OR(AND(C233=12,D233=Input!$C$6),E233=""),"",1)</f>
        <v>1</v>
      </c>
      <c r="F234" s="150">
        <f>IF(E234="","",Input!$C$8+B234-1)</f>
        <v>2037</v>
      </c>
      <c r="G234" s="151">
        <f>IF(E234="","",MAX(0,Input!$C$9-B234))</f>
        <v>0</v>
      </c>
      <c r="H234" s="152">
        <f>IF(E234="","",Input!$C$3)</f>
        <v>100000</v>
      </c>
      <c r="I234" s="153">
        <f>IF(E234="","",HLOOKUP($B234,Input!$C$13:$BT$14,2))</f>
        <v>2.2999999999999998</v>
      </c>
      <c r="J234" s="154"/>
      <c r="K234" s="155">
        <f>IF($E234="","",INDEX(Input!$C$16:$CP$16,1,$B234))</f>
        <v>2.3519999999999999E-2</v>
      </c>
      <c r="L234" s="155">
        <f>IF($E234="","",Input!$C$37)</f>
        <v>1.4999999999999999E-2</v>
      </c>
      <c r="M234" s="155">
        <f t="shared" si="146"/>
        <v>3.8519999999999999E-2</v>
      </c>
      <c r="N234" s="155">
        <f t="shared" si="147"/>
        <v>3.1546841333971454E-3</v>
      </c>
      <c r="O234" s="147">
        <f>IF($E234="","",MIN(VLOOKUP(IF($B234&lt;=Input!$C$7,$B234,26),'Mortality Tables'!$A$41:$CW$67,IF($B234&lt;=Input!$C$7+1,Input!$C$4+2,$D234-Input!$C$7+2),0)*IF(B234&gt;20,Input!$C$22,1)/1000,1))</f>
        <v>4.5759999999999993E-3</v>
      </c>
      <c r="P234" s="147">
        <f>IF($E234="","",MIN(VLOOKUP(IF($B234&lt;=Input!$C$7,$B234,26),'Mortality Tables'!$A$12:$CW$37,IF($B234&lt;=Input!$C$7+1,Input!$C$4+2,$D234-Input!$C$7+2),0)*IF(B234&gt;20,Input!$C$22,1)/1000,1))</f>
        <v>5.7199999999999994E-3</v>
      </c>
      <c r="Q234" s="155">
        <f>IF($E234="","",Input!$C$21)</f>
        <v>5.0000000000000001E-3</v>
      </c>
      <c r="R234" s="159">
        <f>IF($E234="","",(1-Q234)^($F234-Input!$C$20))</f>
        <v>0.90915626158253038</v>
      </c>
      <c r="S234" s="147">
        <f t="shared" si="123"/>
        <v>4.1602990530016587E-3</v>
      </c>
      <c r="T234" s="147">
        <f t="shared" si="124"/>
        <v>3.473544230223613E-4</v>
      </c>
      <c r="U234" s="160">
        <f>IF($E234="","",IF($C234=12,INDEX(Input!$C$15:$CP$15,1,$B234),0))</f>
        <v>0</v>
      </c>
      <c r="V234" s="150">
        <f>IF(E234="","",IF(C234=1,IF($B234=1,Input!$C$33,Input!$C$34),0))</f>
        <v>0</v>
      </c>
      <c r="W234" s="156">
        <f>IF($E234="","",Input!$C$35)</f>
        <v>0.02</v>
      </c>
      <c r="X234" s="156">
        <f t="shared" si="125"/>
        <v>1.4568111725277988</v>
      </c>
      <c r="Y234" s="154"/>
      <c r="Z234" s="147">
        <f>IF($E234="","",VLOOKUP($D234,'Mortality Margins &amp; Grading'!$AB$5:$AF$125,3,0)*IF(Summary!$D$25="Included Margin",IF(AND($B234&gt;Input!$C$9,Summary!$D$31&lt;&gt;"Included Margin"),0,1),0))</f>
        <v>3.4000000000000002E-2</v>
      </c>
      <c r="AA234" s="147">
        <f>IF($E234="","",VLOOKUP($D234,'Mortality Margins &amp; Grading'!$AB$5:$AF$125,5,0)*IF(Summary!$D$25="Included Margin",IF(AND($B234&gt;Input!$C$9,Summary!$D$31&lt;&gt;"Included Margin"),0,1),0))</f>
        <v>0.17399999999999999</v>
      </c>
      <c r="AB234" s="147">
        <f>IF($E234="","",IF(AND($B234&gt;Input!$C$9,Summary!$D$31&lt;&gt;"Included Margin"),1,IF(Summary!$D$25="Included Margin",VLOOKUP($B234,'Mortality Margins &amp; Grading'!$AI$5:$AR$125,MATCH('Mortality Margins &amp; Grading'!$AQ$4,'Mortality Margins &amp; Grading'!$AI$4:$AR$4,0),0),1)))</f>
        <v>1</v>
      </c>
      <c r="AC234" s="154"/>
      <c r="AD234" s="158">
        <f>IF(E234="","",Input!$C$48*IF(Summary!$D$30="Included Margin",IF(AND($B234&gt;Input!$C$9,Summary!$D$31&lt;&gt;"Included Margin"),0,1),0))</f>
        <v>-4.4999999999999997E-3</v>
      </c>
      <c r="AE234" s="159">
        <f>IF(E234="","",IF(Summary!$D$26="Included Margin",IF(AND($B234&gt;Input!$C$9,Summary!$D$31&lt;&gt;"Included Margin"),1,1/$R234),1))</f>
        <v>1.0999209291693617</v>
      </c>
      <c r="AF234" s="160">
        <f>IF(E234="","",IF(AND($B234&gt;=Input!$C$9,$C234=12,Summary!$D$31="Included Margin",$U234&gt;0),1/U234-1,IF($B234&gt;=Input!$C$9,0,Input!$C$45*IF(Summary!$D$27="Included Margin",1,0))))</f>
        <v>0</v>
      </c>
      <c r="AG234" s="160">
        <f>IF(E234="","",Input!$C$46*IF(Summary!$D$28="Included Margin",IF(AND($B234&gt;Input!$C$9,Summary!$D$31&lt;&gt;"Included Margin"),0,1),0))</f>
        <v>0.02</v>
      </c>
      <c r="AH234" s="158">
        <f>IF(E234="","",Input!$C$47*IF(Summary!$D$29="Included Margin",IF(AND($B234&gt;Input!$C$9,Summary!$D$31&lt;&gt;"Included Margin"),0,1),0))</f>
        <v>2.5000000000000001E-3</v>
      </c>
      <c r="AI234" s="154"/>
      <c r="AJ234" s="158">
        <f t="shared" si="148"/>
        <v>3.4020000000000002E-2</v>
      </c>
      <c r="AK234" s="155">
        <f t="shared" si="149"/>
        <v>2.791732836803229E-3</v>
      </c>
      <c r="AL234" s="147">
        <f t="shared" si="150"/>
        <v>4.7315840000000005E-3</v>
      </c>
      <c r="AM234" s="147">
        <f t="shared" si="126"/>
        <v>3.9515635343867483E-4</v>
      </c>
      <c r="AN234" s="160">
        <f t="shared" si="151"/>
        <v>0</v>
      </c>
      <c r="AO234" s="161">
        <f t="shared" si="152"/>
        <v>0</v>
      </c>
      <c r="AP234" s="156">
        <f t="shared" si="127"/>
        <v>1.526170367417814</v>
      </c>
      <c r="AQ234" s="152"/>
      <c r="AR234" s="162">
        <f t="shared" si="128"/>
        <v>427.23484249265272</v>
      </c>
      <c r="AS234" s="150">
        <f t="shared" si="153"/>
        <v>0</v>
      </c>
      <c r="AT234" s="163">
        <f t="shared" si="129"/>
        <v>0</v>
      </c>
      <c r="AU234" s="163">
        <f t="shared" si="130"/>
        <v>39.515635343867487</v>
      </c>
      <c r="AV234" s="163">
        <f t="shared" si="154"/>
        <v>1.1375669904348855</v>
      </c>
      <c r="AW234" s="163">
        <f t="shared" si="131"/>
        <v>0.15371999869516065</v>
      </c>
      <c r="AX234" s="163">
        <f t="shared" si="132"/>
        <v>0</v>
      </c>
      <c r="AY234" s="164">
        <f t="shared" si="155"/>
        <v>389.01049413791532</v>
      </c>
      <c r="AZ234" s="164">
        <f>IF($E234="","",IF(OR(AND($D234=Input!$C$6,$C234=12),$AN234=1),0,-AS235+AT235+AU235-AV235-AW235-AX235+AZ235))</f>
        <v>389.01057102455718</v>
      </c>
      <c r="BA234" s="154">
        <f t="shared" si="133"/>
        <v>7.6886641863893601E-5</v>
      </c>
      <c r="BC234" s="147">
        <f t="shared" si="156"/>
        <v>0.45847051336595679</v>
      </c>
      <c r="BD234" s="164">
        <f>IF(AND($C233=12,$D233=Input!$C$6),0,IF($E234="","",AT234+(AU234+BD235)/(1+$AK234)*MIN((1-AM234-AN234),1)))</f>
        <v>387.56638275734855</v>
      </c>
      <c r="BE234" s="164">
        <f t="shared" si="134"/>
        <v>177.68775846614849</v>
      </c>
      <c r="BF234" s="164">
        <f t="shared" si="157"/>
        <v>389.01057102455718</v>
      </c>
      <c r="BG234" s="164">
        <f t="shared" si="135"/>
        <v>178.34987620241273</v>
      </c>
      <c r="BH234" s="152"/>
      <c r="BI234" s="162">
        <f t="shared" si="136"/>
        <v>290.99594121312913</v>
      </c>
      <c r="BJ234" s="150">
        <f t="shared" si="137"/>
        <v>0</v>
      </c>
      <c r="BK234" s="163">
        <f t="shared" si="161"/>
        <v>0</v>
      </c>
      <c r="BL234" s="163">
        <f t="shared" si="138"/>
        <v>34.73544230223613</v>
      </c>
      <c r="BM234" s="163">
        <f t="shared" si="162"/>
        <v>0.86321060427932872</v>
      </c>
      <c r="BN234" s="163">
        <f t="shared" si="139"/>
        <v>8.9344121811702606E-2</v>
      </c>
      <c r="BO234" s="163">
        <f t="shared" si="140"/>
        <v>0</v>
      </c>
      <c r="BP234" s="164">
        <f t="shared" si="163"/>
        <v>257.213053636984</v>
      </c>
      <c r="BQ234" s="164">
        <f>IF($E234="","",IF(AND($D234=Input!$C$6,$C234=12),0,-BJ235+BK235+BL235-BM235-BN235-BO235+BQ235))</f>
        <v>257.21313992293972</v>
      </c>
      <c r="BR234" s="161">
        <f t="shared" si="141"/>
        <v>0</v>
      </c>
      <c r="BT234" s="147">
        <f t="shared" si="142"/>
        <v>0.45847051336595679</v>
      </c>
      <c r="BU234" s="164">
        <f>IF(AND($C233=12,$D233=Input!$C$6),0,IF($E234="","",BK234+(BL234+BU235)/(1+$AK234)*MIN((1-T234-U234),1)))</f>
        <v>4534.870985079564</v>
      </c>
      <c r="BV234" s="164">
        <f t="shared" si="143"/>
        <v>2079.1046285778098</v>
      </c>
      <c r="BW234" s="164">
        <f t="shared" si="144"/>
        <v>257.21313992293972</v>
      </c>
      <c r="BX234" s="164">
        <f t="shared" si="145"/>
        <v>117.92464030493984</v>
      </c>
    </row>
    <row r="235" spans="1:76" s="150" customFormat="1" x14ac:dyDescent="0.25">
      <c r="A235" s="150">
        <f t="shared" si="158"/>
        <v>231</v>
      </c>
      <c r="B235" s="150">
        <f t="shared" si="159"/>
        <v>20</v>
      </c>
      <c r="C235" s="150">
        <f t="shared" si="160"/>
        <v>3</v>
      </c>
      <c r="D235" s="150">
        <f>IF(E235="","",Input!$C$4+B235-1)</f>
        <v>64</v>
      </c>
      <c r="E235" s="150">
        <f>IF(OR(AND(C234=12,D234=Input!$C$6),E234=""),"",1)</f>
        <v>1</v>
      </c>
      <c r="F235" s="150">
        <f>IF(E235="","",Input!$C$8+B235-1)</f>
        <v>2037</v>
      </c>
      <c r="G235" s="151">
        <f>IF(E235="","",MAX(0,Input!$C$9-B235))</f>
        <v>0</v>
      </c>
      <c r="H235" s="152">
        <f>IF(E235="","",Input!$C$3)</f>
        <v>100000</v>
      </c>
      <c r="I235" s="153">
        <f>IF(E235="","",HLOOKUP($B235,Input!$C$13:$BT$14,2))</f>
        <v>2.2999999999999998</v>
      </c>
      <c r="J235" s="154"/>
      <c r="K235" s="155">
        <f>IF($E235="","",INDEX(Input!$C$16:$CP$16,1,$B235))</f>
        <v>2.3519999999999999E-2</v>
      </c>
      <c r="L235" s="155">
        <f>IF($E235="","",Input!$C$37)</f>
        <v>1.4999999999999999E-2</v>
      </c>
      <c r="M235" s="155">
        <f t="shared" si="146"/>
        <v>3.8519999999999999E-2</v>
      </c>
      <c r="N235" s="155">
        <f t="shared" si="147"/>
        <v>3.1546841333971454E-3</v>
      </c>
      <c r="O235" s="147">
        <f>IF($E235="","",MIN(VLOOKUP(IF($B235&lt;=Input!$C$7,$B235,26),'Mortality Tables'!$A$41:$CW$67,IF($B235&lt;=Input!$C$7+1,Input!$C$4+2,$D235-Input!$C$7+2),0)*IF(B235&gt;20,Input!$C$22,1)/1000,1))</f>
        <v>4.5759999999999993E-3</v>
      </c>
      <c r="P235" s="147">
        <f>IF($E235="","",MIN(VLOOKUP(IF($B235&lt;=Input!$C$7,$B235,26),'Mortality Tables'!$A$12:$CW$37,IF($B235&lt;=Input!$C$7+1,Input!$C$4+2,$D235-Input!$C$7+2),0)*IF(B235&gt;20,Input!$C$22,1)/1000,1))</f>
        <v>5.7199999999999994E-3</v>
      </c>
      <c r="Q235" s="155">
        <f>IF($E235="","",Input!$C$21)</f>
        <v>5.0000000000000001E-3</v>
      </c>
      <c r="R235" s="159">
        <f>IF($E235="","",(1-Q235)^($F235-Input!$C$20))</f>
        <v>0.90915626158253038</v>
      </c>
      <c r="S235" s="147">
        <f t="shared" si="123"/>
        <v>4.1602990530016587E-3</v>
      </c>
      <c r="T235" s="147">
        <f t="shared" si="124"/>
        <v>3.473544230223613E-4</v>
      </c>
      <c r="U235" s="160">
        <f>IF($E235="","",IF($C235=12,INDEX(Input!$C$15:$CP$15,1,$B235),0))</f>
        <v>0</v>
      </c>
      <c r="V235" s="150">
        <f>IF(E235="","",IF(C235=1,IF($B235=1,Input!$C$33,Input!$C$34),0))</f>
        <v>0</v>
      </c>
      <c r="W235" s="156">
        <f>IF($E235="","",Input!$C$35)</f>
        <v>0.02</v>
      </c>
      <c r="X235" s="156">
        <f t="shared" si="125"/>
        <v>1.4568111725277988</v>
      </c>
      <c r="Y235" s="154"/>
      <c r="Z235" s="147">
        <f>IF($E235="","",VLOOKUP($D235,'Mortality Margins &amp; Grading'!$AB$5:$AF$125,3,0)*IF(Summary!$D$25="Included Margin",IF(AND($B235&gt;Input!$C$9,Summary!$D$31&lt;&gt;"Included Margin"),0,1),0))</f>
        <v>3.4000000000000002E-2</v>
      </c>
      <c r="AA235" s="147">
        <f>IF($E235="","",VLOOKUP($D235,'Mortality Margins &amp; Grading'!$AB$5:$AF$125,5,0)*IF(Summary!$D$25="Included Margin",IF(AND($B235&gt;Input!$C$9,Summary!$D$31&lt;&gt;"Included Margin"),0,1),0))</f>
        <v>0.17399999999999999</v>
      </c>
      <c r="AB235" s="147">
        <f>IF($E235="","",IF(AND($B235&gt;Input!$C$9,Summary!$D$31&lt;&gt;"Included Margin"),1,IF(Summary!$D$25="Included Margin",VLOOKUP($B235,'Mortality Margins &amp; Grading'!$AI$5:$AR$125,MATCH('Mortality Margins &amp; Grading'!$AQ$4,'Mortality Margins &amp; Grading'!$AI$4:$AR$4,0),0),1)))</f>
        <v>1</v>
      </c>
      <c r="AC235" s="154"/>
      <c r="AD235" s="158">
        <f>IF(E235="","",Input!$C$48*IF(Summary!$D$30="Included Margin",IF(AND($B235&gt;Input!$C$9,Summary!$D$31&lt;&gt;"Included Margin"),0,1),0))</f>
        <v>-4.4999999999999997E-3</v>
      </c>
      <c r="AE235" s="159">
        <f>IF(E235="","",IF(Summary!$D$26="Included Margin",IF(AND($B235&gt;Input!$C$9,Summary!$D$31&lt;&gt;"Included Margin"),1,1/$R235),1))</f>
        <v>1.0999209291693617</v>
      </c>
      <c r="AF235" s="160">
        <f>IF(E235="","",IF(AND($B235&gt;=Input!$C$9,$C235=12,Summary!$D$31="Included Margin",$U235&gt;0),1/U235-1,IF($B235&gt;=Input!$C$9,0,Input!$C$45*IF(Summary!$D$27="Included Margin",1,0))))</f>
        <v>0</v>
      </c>
      <c r="AG235" s="160">
        <f>IF(E235="","",Input!$C$46*IF(Summary!$D$28="Included Margin",IF(AND($B235&gt;Input!$C$9,Summary!$D$31&lt;&gt;"Included Margin"),0,1),0))</f>
        <v>0.02</v>
      </c>
      <c r="AH235" s="158">
        <f>IF(E235="","",Input!$C$47*IF(Summary!$D$29="Included Margin",IF(AND($B235&gt;Input!$C$9,Summary!$D$31&lt;&gt;"Included Margin"),0,1),0))</f>
        <v>2.5000000000000001E-3</v>
      </c>
      <c r="AI235" s="154"/>
      <c r="AJ235" s="158">
        <f t="shared" si="148"/>
        <v>3.4020000000000002E-2</v>
      </c>
      <c r="AK235" s="155">
        <f t="shared" si="149"/>
        <v>2.791732836803229E-3</v>
      </c>
      <c r="AL235" s="147">
        <f t="shared" si="150"/>
        <v>4.7315840000000005E-3</v>
      </c>
      <c r="AM235" s="147">
        <f t="shared" si="126"/>
        <v>3.9515635343867483E-4</v>
      </c>
      <c r="AN235" s="160">
        <f t="shared" si="151"/>
        <v>0</v>
      </c>
      <c r="AO235" s="161">
        <f t="shared" si="152"/>
        <v>0</v>
      </c>
      <c r="AP235" s="156">
        <f t="shared" si="127"/>
        <v>1.526170367417814</v>
      </c>
      <c r="AQ235" s="152"/>
      <c r="AR235" s="162">
        <f t="shared" si="128"/>
        <v>389.01049413791537</v>
      </c>
      <c r="AS235" s="150">
        <f t="shared" si="153"/>
        <v>0</v>
      </c>
      <c r="AT235" s="163">
        <f t="shared" si="129"/>
        <v>0</v>
      </c>
      <c r="AU235" s="163">
        <f t="shared" si="130"/>
        <v>39.515635343867487</v>
      </c>
      <c r="AV235" s="163">
        <f t="shared" si="154"/>
        <v>1.0308548219675597</v>
      </c>
      <c r="AW235" s="163">
        <f t="shared" si="131"/>
        <v>0.13856724889001634</v>
      </c>
      <c r="AX235" s="163">
        <f t="shared" si="132"/>
        <v>0</v>
      </c>
      <c r="AY235" s="164">
        <f t="shared" si="155"/>
        <v>350.66428086490549</v>
      </c>
      <c r="AZ235" s="164">
        <f>IF($E235="","",IF(OR(AND($D235=Input!$C$6,$C235=12),$AN235=1),0,-AS236+AT236+AU236-AV236-AW236-AX236+AZ236))</f>
        <v>350.6643577515473</v>
      </c>
      <c r="BA235" s="154">
        <f t="shared" si="133"/>
        <v>7.6886641807050182E-5</v>
      </c>
      <c r="BC235" s="147">
        <f t="shared" si="156"/>
        <v>0.45831126160531377</v>
      </c>
      <c r="BD235" s="164">
        <f>IF(AND($C234=12,$D234=Input!$C$6),0,IF($E235="","",AT235+(AU235+BD236)/(1+$AK235)*MIN((1-AM235-AN235),1)))</f>
        <v>349.28636679203953</v>
      </c>
      <c r="BE235" s="164">
        <f t="shared" si="134"/>
        <v>160.081875425996</v>
      </c>
      <c r="BF235" s="164">
        <f t="shared" si="157"/>
        <v>350.6643577515473</v>
      </c>
      <c r="BG235" s="164">
        <f t="shared" si="135"/>
        <v>160.71342420112873</v>
      </c>
      <c r="BH235" s="152"/>
      <c r="BI235" s="162">
        <f t="shared" si="136"/>
        <v>257.213053636984</v>
      </c>
      <c r="BJ235" s="150">
        <f t="shared" si="137"/>
        <v>0</v>
      </c>
      <c r="BK235" s="163">
        <f t="shared" si="161"/>
        <v>0</v>
      </c>
      <c r="BL235" s="163">
        <f t="shared" si="138"/>
        <v>34.73544230223613</v>
      </c>
      <c r="BM235" s="163">
        <f t="shared" si="162"/>
        <v>0.75663626486252411</v>
      </c>
      <c r="BN235" s="163">
        <f t="shared" si="139"/>
        <v>7.7568376964427227E-2</v>
      </c>
      <c r="BO235" s="163">
        <f t="shared" si="140"/>
        <v>0</v>
      </c>
      <c r="BP235" s="164">
        <f t="shared" si="163"/>
        <v>223.31181597657482</v>
      </c>
      <c r="BQ235" s="164">
        <f>IF($E235="","",IF(AND($D235=Input!$C$6,$C235=12),0,-BJ236+BK236+BL236-BM236-BN236-BO236+BQ236))</f>
        <v>223.31190226253051</v>
      </c>
      <c r="BR235" s="161">
        <f t="shared" si="141"/>
        <v>0</v>
      </c>
      <c r="BT235" s="147">
        <f t="shared" si="142"/>
        <v>0.45831126160531377</v>
      </c>
      <c r="BU235" s="164">
        <f>IF(AND($C234=12,$D234=Input!$C$6),0,IF($E235="","",BK235+(BL235+BU236)/(1+$AK235)*MIN((1-T235-U235),1)))</f>
        <v>4514.3758449434863</v>
      </c>
      <c r="BV235" s="164">
        <f t="shared" si="143"/>
        <v>2068.9892888566037</v>
      </c>
      <c r="BW235" s="164">
        <f t="shared" si="144"/>
        <v>223.31190226253051</v>
      </c>
      <c r="BX235" s="164">
        <f t="shared" si="145"/>
        <v>102.34635965742288</v>
      </c>
    </row>
    <row r="236" spans="1:76" s="150" customFormat="1" x14ac:dyDescent="0.25">
      <c r="A236" s="150">
        <f t="shared" si="158"/>
        <v>232</v>
      </c>
      <c r="B236" s="150">
        <f t="shared" si="159"/>
        <v>20</v>
      </c>
      <c r="C236" s="150">
        <f t="shared" si="160"/>
        <v>4</v>
      </c>
      <c r="D236" s="150">
        <f>IF(E236="","",Input!$C$4+B236-1)</f>
        <v>64</v>
      </c>
      <c r="E236" s="150">
        <f>IF(OR(AND(C235=12,D235=Input!$C$6),E235=""),"",1)</f>
        <v>1</v>
      </c>
      <c r="F236" s="150">
        <f>IF(E236="","",Input!$C$8+B236-1)</f>
        <v>2037</v>
      </c>
      <c r="G236" s="151">
        <f>IF(E236="","",MAX(0,Input!$C$9-B236))</f>
        <v>0</v>
      </c>
      <c r="H236" s="152">
        <f>IF(E236="","",Input!$C$3)</f>
        <v>100000</v>
      </c>
      <c r="I236" s="153">
        <f>IF(E236="","",HLOOKUP($B236,Input!$C$13:$BT$14,2))</f>
        <v>2.2999999999999998</v>
      </c>
      <c r="J236" s="154"/>
      <c r="K236" s="155">
        <f>IF($E236="","",INDEX(Input!$C$16:$CP$16,1,$B236))</f>
        <v>2.3519999999999999E-2</v>
      </c>
      <c r="L236" s="155">
        <f>IF($E236="","",Input!$C$37)</f>
        <v>1.4999999999999999E-2</v>
      </c>
      <c r="M236" s="155">
        <f t="shared" si="146"/>
        <v>3.8519999999999999E-2</v>
      </c>
      <c r="N236" s="155">
        <f t="shared" si="147"/>
        <v>3.1546841333971454E-3</v>
      </c>
      <c r="O236" s="147">
        <f>IF($E236="","",MIN(VLOOKUP(IF($B236&lt;=Input!$C$7,$B236,26),'Mortality Tables'!$A$41:$CW$67,IF($B236&lt;=Input!$C$7+1,Input!$C$4+2,$D236-Input!$C$7+2),0)*IF(B236&gt;20,Input!$C$22,1)/1000,1))</f>
        <v>4.5759999999999993E-3</v>
      </c>
      <c r="P236" s="147">
        <f>IF($E236="","",MIN(VLOOKUP(IF($B236&lt;=Input!$C$7,$B236,26),'Mortality Tables'!$A$12:$CW$37,IF($B236&lt;=Input!$C$7+1,Input!$C$4+2,$D236-Input!$C$7+2),0)*IF(B236&gt;20,Input!$C$22,1)/1000,1))</f>
        <v>5.7199999999999994E-3</v>
      </c>
      <c r="Q236" s="155">
        <f>IF($E236="","",Input!$C$21)</f>
        <v>5.0000000000000001E-3</v>
      </c>
      <c r="R236" s="159">
        <f>IF($E236="","",(1-Q236)^($F236-Input!$C$20))</f>
        <v>0.90915626158253038</v>
      </c>
      <c r="S236" s="147">
        <f t="shared" si="123"/>
        <v>4.1602990530016587E-3</v>
      </c>
      <c r="T236" s="147">
        <f t="shared" si="124"/>
        <v>3.473544230223613E-4</v>
      </c>
      <c r="U236" s="160">
        <f>IF($E236="","",IF($C236=12,INDEX(Input!$C$15:$CP$15,1,$B236),0))</f>
        <v>0</v>
      </c>
      <c r="V236" s="150">
        <f>IF(E236="","",IF(C236=1,IF($B236=1,Input!$C$33,Input!$C$34),0))</f>
        <v>0</v>
      </c>
      <c r="W236" s="156">
        <f>IF($E236="","",Input!$C$35)</f>
        <v>0.02</v>
      </c>
      <c r="X236" s="156">
        <f t="shared" si="125"/>
        <v>1.4568111725277988</v>
      </c>
      <c r="Y236" s="154"/>
      <c r="Z236" s="147">
        <f>IF($E236="","",VLOOKUP($D236,'Mortality Margins &amp; Grading'!$AB$5:$AF$125,3,0)*IF(Summary!$D$25="Included Margin",IF(AND($B236&gt;Input!$C$9,Summary!$D$31&lt;&gt;"Included Margin"),0,1),0))</f>
        <v>3.4000000000000002E-2</v>
      </c>
      <c r="AA236" s="147">
        <f>IF($E236="","",VLOOKUP($D236,'Mortality Margins &amp; Grading'!$AB$5:$AF$125,5,0)*IF(Summary!$D$25="Included Margin",IF(AND($B236&gt;Input!$C$9,Summary!$D$31&lt;&gt;"Included Margin"),0,1),0))</f>
        <v>0.17399999999999999</v>
      </c>
      <c r="AB236" s="147">
        <f>IF($E236="","",IF(AND($B236&gt;Input!$C$9,Summary!$D$31&lt;&gt;"Included Margin"),1,IF(Summary!$D$25="Included Margin",VLOOKUP($B236,'Mortality Margins &amp; Grading'!$AI$5:$AR$125,MATCH('Mortality Margins &amp; Grading'!$AQ$4,'Mortality Margins &amp; Grading'!$AI$4:$AR$4,0),0),1)))</f>
        <v>1</v>
      </c>
      <c r="AC236" s="154"/>
      <c r="AD236" s="158">
        <f>IF(E236="","",Input!$C$48*IF(Summary!$D$30="Included Margin",IF(AND($B236&gt;Input!$C$9,Summary!$D$31&lt;&gt;"Included Margin"),0,1),0))</f>
        <v>-4.4999999999999997E-3</v>
      </c>
      <c r="AE236" s="159">
        <f>IF(E236="","",IF(Summary!$D$26="Included Margin",IF(AND($B236&gt;Input!$C$9,Summary!$D$31&lt;&gt;"Included Margin"),1,1/$R236),1))</f>
        <v>1.0999209291693617</v>
      </c>
      <c r="AF236" s="160">
        <f>IF(E236="","",IF(AND($B236&gt;=Input!$C$9,$C236=12,Summary!$D$31="Included Margin",$U236&gt;0),1/U236-1,IF($B236&gt;=Input!$C$9,0,Input!$C$45*IF(Summary!$D$27="Included Margin",1,0))))</f>
        <v>0</v>
      </c>
      <c r="AG236" s="160">
        <f>IF(E236="","",Input!$C$46*IF(Summary!$D$28="Included Margin",IF(AND($B236&gt;Input!$C$9,Summary!$D$31&lt;&gt;"Included Margin"),0,1),0))</f>
        <v>0.02</v>
      </c>
      <c r="AH236" s="158">
        <f>IF(E236="","",Input!$C$47*IF(Summary!$D$29="Included Margin",IF(AND($B236&gt;Input!$C$9,Summary!$D$31&lt;&gt;"Included Margin"),0,1),0))</f>
        <v>2.5000000000000001E-3</v>
      </c>
      <c r="AI236" s="154"/>
      <c r="AJ236" s="158">
        <f t="shared" si="148"/>
        <v>3.4020000000000002E-2</v>
      </c>
      <c r="AK236" s="155">
        <f t="shared" si="149"/>
        <v>2.791732836803229E-3</v>
      </c>
      <c r="AL236" s="147">
        <f t="shared" si="150"/>
        <v>4.7315840000000005E-3</v>
      </c>
      <c r="AM236" s="147">
        <f t="shared" si="126"/>
        <v>3.9515635343867483E-4</v>
      </c>
      <c r="AN236" s="160">
        <f t="shared" si="151"/>
        <v>0</v>
      </c>
      <c r="AO236" s="161">
        <f t="shared" si="152"/>
        <v>0</v>
      </c>
      <c r="AP236" s="156">
        <f t="shared" si="127"/>
        <v>1.526170367417814</v>
      </c>
      <c r="AQ236" s="152"/>
      <c r="AR236" s="162">
        <f t="shared" si="128"/>
        <v>350.66428086490544</v>
      </c>
      <c r="AS236" s="150">
        <f t="shared" si="153"/>
        <v>0</v>
      </c>
      <c r="AT236" s="163">
        <f t="shared" si="129"/>
        <v>0</v>
      </c>
      <c r="AU236" s="163">
        <f t="shared" si="130"/>
        <v>39.515635343867487</v>
      </c>
      <c r="AV236" s="163">
        <f t="shared" si="154"/>
        <v>0.92380243920623806</v>
      </c>
      <c r="AW236" s="163">
        <f t="shared" si="131"/>
        <v>0.12336618986061869</v>
      </c>
      <c r="AX236" s="163">
        <f t="shared" si="132"/>
        <v>0</v>
      </c>
      <c r="AY236" s="164">
        <f t="shared" si="155"/>
        <v>312.19581415010481</v>
      </c>
      <c r="AZ236" s="164">
        <f>IF($E236="","",IF(OR(AND($D236=Input!$C$6,$C236=12),$AN236=1),0,-AS237+AT237+AU237-AV237-AW237-AX237+AZ237))</f>
        <v>312.19589103674667</v>
      </c>
      <c r="BA236" s="154">
        <f t="shared" si="133"/>
        <v>7.6886641863893601E-5</v>
      </c>
      <c r="BC236" s="147">
        <f t="shared" si="156"/>
        <v>0.45815206516147422</v>
      </c>
      <c r="BD236" s="164">
        <f>IF(AND($C235=12,$D235=Input!$C$6),0,IF($E236="","",AT236+(AU236+BD237)/(1+$AK236)*MIN((1-AM236-AN236),1)))</f>
        <v>310.88430843182061</v>
      </c>
      <c r="BE236" s="164">
        <f t="shared" si="134"/>
        <v>142.43228793433533</v>
      </c>
      <c r="BF236" s="164">
        <f t="shared" si="157"/>
        <v>312.19589103674667</v>
      </c>
      <c r="BG236" s="164">
        <f t="shared" si="135"/>
        <v>143.03319221341206</v>
      </c>
      <c r="BH236" s="152"/>
      <c r="BI236" s="162">
        <f t="shared" si="136"/>
        <v>223.31181597657482</v>
      </c>
      <c r="BJ236" s="150">
        <f t="shared" si="137"/>
        <v>0</v>
      </c>
      <c r="BK236" s="163">
        <f t="shared" si="161"/>
        <v>0</v>
      </c>
      <c r="BL236" s="163">
        <f t="shared" si="138"/>
        <v>34.73544230223613</v>
      </c>
      <c r="BM236" s="163">
        <f t="shared" si="162"/>
        <v>0.64968856831270549</v>
      </c>
      <c r="BN236" s="163">
        <f t="shared" si="139"/>
        <v>6.5751378675100572E-2</v>
      </c>
      <c r="BO236" s="163">
        <f t="shared" si="140"/>
        <v>0</v>
      </c>
      <c r="BP236" s="164">
        <f t="shared" si="163"/>
        <v>189.2918136213265</v>
      </c>
      <c r="BQ236" s="164">
        <f>IF($E236="","",IF(AND($D236=Input!$C$6,$C236=12),0,-BJ237+BK237+BL237-BM237-BN237-BO237+BQ237))</f>
        <v>189.29189990728219</v>
      </c>
      <c r="BR236" s="161">
        <f t="shared" si="141"/>
        <v>0</v>
      </c>
      <c r="BT236" s="147">
        <f t="shared" si="142"/>
        <v>0.45815206516147422</v>
      </c>
      <c r="BU236" s="164">
        <f>IF(AND($C235=12,$D235=Input!$C$6),0,IF($E236="","",BK236+(BL236+BU237)/(1+$AK236)*MIN((1-T236-U236),1)))</f>
        <v>4493.8163464189483</v>
      </c>
      <c r="BV236" s="164">
        <f t="shared" si="143"/>
        <v>2058.8512395682319</v>
      </c>
      <c r="BW236" s="164">
        <f t="shared" si="144"/>
        <v>189.29189990728219</v>
      </c>
      <c r="BX236" s="164">
        <f t="shared" si="145"/>
        <v>86.724474860860397</v>
      </c>
    </row>
    <row r="237" spans="1:76" s="150" customFormat="1" x14ac:dyDescent="0.25">
      <c r="A237" s="150">
        <f t="shared" si="158"/>
        <v>233</v>
      </c>
      <c r="B237" s="150">
        <f t="shared" si="159"/>
        <v>20</v>
      </c>
      <c r="C237" s="150">
        <f t="shared" si="160"/>
        <v>5</v>
      </c>
      <c r="D237" s="150">
        <f>IF(E237="","",Input!$C$4+B237-1)</f>
        <v>64</v>
      </c>
      <c r="E237" s="150">
        <f>IF(OR(AND(C236=12,D236=Input!$C$6),E236=""),"",1)</f>
        <v>1</v>
      </c>
      <c r="F237" s="150">
        <f>IF(E237="","",Input!$C$8+B237-1)</f>
        <v>2037</v>
      </c>
      <c r="G237" s="151">
        <f>IF(E237="","",MAX(0,Input!$C$9-B237))</f>
        <v>0</v>
      </c>
      <c r="H237" s="152">
        <f>IF(E237="","",Input!$C$3)</f>
        <v>100000</v>
      </c>
      <c r="I237" s="153">
        <f>IF(E237="","",HLOOKUP($B237,Input!$C$13:$BT$14,2))</f>
        <v>2.2999999999999998</v>
      </c>
      <c r="J237" s="154"/>
      <c r="K237" s="155">
        <f>IF($E237="","",INDEX(Input!$C$16:$CP$16,1,$B237))</f>
        <v>2.3519999999999999E-2</v>
      </c>
      <c r="L237" s="155">
        <f>IF($E237="","",Input!$C$37)</f>
        <v>1.4999999999999999E-2</v>
      </c>
      <c r="M237" s="155">
        <f t="shared" si="146"/>
        <v>3.8519999999999999E-2</v>
      </c>
      <c r="N237" s="155">
        <f t="shared" si="147"/>
        <v>3.1546841333971454E-3</v>
      </c>
      <c r="O237" s="147">
        <f>IF($E237="","",MIN(VLOOKUP(IF($B237&lt;=Input!$C$7,$B237,26),'Mortality Tables'!$A$41:$CW$67,IF($B237&lt;=Input!$C$7+1,Input!$C$4+2,$D237-Input!$C$7+2),0)*IF(B237&gt;20,Input!$C$22,1)/1000,1))</f>
        <v>4.5759999999999993E-3</v>
      </c>
      <c r="P237" s="147">
        <f>IF($E237="","",MIN(VLOOKUP(IF($B237&lt;=Input!$C$7,$B237,26),'Mortality Tables'!$A$12:$CW$37,IF($B237&lt;=Input!$C$7+1,Input!$C$4+2,$D237-Input!$C$7+2),0)*IF(B237&gt;20,Input!$C$22,1)/1000,1))</f>
        <v>5.7199999999999994E-3</v>
      </c>
      <c r="Q237" s="155">
        <f>IF($E237="","",Input!$C$21)</f>
        <v>5.0000000000000001E-3</v>
      </c>
      <c r="R237" s="159">
        <f>IF($E237="","",(1-Q237)^($F237-Input!$C$20))</f>
        <v>0.90915626158253038</v>
      </c>
      <c r="S237" s="147">
        <f t="shared" si="123"/>
        <v>4.1602990530016587E-3</v>
      </c>
      <c r="T237" s="147">
        <f t="shared" si="124"/>
        <v>3.473544230223613E-4</v>
      </c>
      <c r="U237" s="160">
        <f>IF($E237="","",IF($C237=12,INDEX(Input!$C$15:$CP$15,1,$B237),0))</f>
        <v>0</v>
      </c>
      <c r="V237" s="150">
        <f>IF(E237="","",IF(C237=1,IF($B237=1,Input!$C$33,Input!$C$34),0))</f>
        <v>0</v>
      </c>
      <c r="W237" s="156">
        <f>IF($E237="","",Input!$C$35)</f>
        <v>0.02</v>
      </c>
      <c r="X237" s="156">
        <f t="shared" si="125"/>
        <v>1.4568111725277988</v>
      </c>
      <c r="Y237" s="154"/>
      <c r="Z237" s="147">
        <f>IF($E237="","",VLOOKUP($D237,'Mortality Margins &amp; Grading'!$AB$5:$AF$125,3,0)*IF(Summary!$D$25="Included Margin",IF(AND($B237&gt;Input!$C$9,Summary!$D$31&lt;&gt;"Included Margin"),0,1),0))</f>
        <v>3.4000000000000002E-2</v>
      </c>
      <c r="AA237" s="147">
        <f>IF($E237="","",VLOOKUP($D237,'Mortality Margins &amp; Grading'!$AB$5:$AF$125,5,0)*IF(Summary!$D$25="Included Margin",IF(AND($B237&gt;Input!$C$9,Summary!$D$31&lt;&gt;"Included Margin"),0,1),0))</f>
        <v>0.17399999999999999</v>
      </c>
      <c r="AB237" s="147">
        <f>IF($E237="","",IF(AND($B237&gt;Input!$C$9,Summary!$D$31&lt;&gt;"Included Margin"),1,IF(Summary!$D$25="Included Margin",VLOOKUP($B237,'Mortality Margins &amp; Grading'!$AI$5:$AR$125,MATCH('Mortality Margins &amp; Grading'!$AQ$4,'Mortality Margins &amp; Grading'!$AI$4:$AR$4,0),0),1)))</f>
        <v>1</v>
      </c>
      <c r="AC237" s="154"/>
      <c r="AD237" s="158">
        <f>IF(E237="","",Input!$C$48*IF(Summary!$D$30="Included Margin",IF(AND($B237&gt;Input!$C$9,Summary!$D$31&lt;&gt;"Included Margin"),0,1),0))</f>
        <v>-4.4999999999999997E-3</v>
      </c>
      <c r="AE237" s="159">
        <f>IF(E237="","",IF(Summary!$D$26="Included Margin",IF(AND($B237&gt;Input!$C$9,Summary!$D$31&lt;&gt;"Included Margin"),1,1/$R237),1))</f>
        <v>1.0999209291693617</v>
      </c>
      <c r="AF237" s="160">
        <f>IF(E237="","",IF(AND($B237&gt;=Input!$C$9,$C237=12,Summary!$D$31="Included Margin",$U237&gt;0),1/U237-1,IF($B237&gt;=Input!$C$9,0,Input!$C$45*IF(Summary!$D$27="Included Margin",1,0))))</f>
        <v>0</v>
      </c>
      <c r="AG237" s="160">
        <f>IF(E237="","",Input!$C$46*IF(Summary!$D$28="Included Margin",IF(AND($B237&gt;Input!$C$9,Summary!$D$31&lt;&gt;"Included Margin"),0,1),0))</f>
        <v>0.02</v>
      </c>
      <c r="AH237" s="158">
        <f>IF(E237="","",Input!$C$47*IF(Summary!$D$29="Included Margin",IF(AND($B237&gt;Input!$C$9,Summary!$D$31&lt;&gt;"Included Margin"),0,1),0))</f>
        <v>2.5000000000000001E-3</v>
      </c>
      <c r="AI237" s="154"/>
      <c r="AJ237" s="158">
        <f t="shared" si="148"/>
        <v>3.4020000000000002E-2</v>
      </c>
      <c r="AK237" s="155">
        <f t="shared" si="149"/>
        <v>2.791732836803229E-3</v>
      </c>
      <c r="AL237" s="147">
        <f t="shared" si="150"/>
        <v>4.7315840000000005E-3</v>
      </c>
      <c r="AM237" s="147">
        <f t="shared" si="126"/>
        <v>3.9515635343867483E-4</v>
      </c>
      <c r="AN237" s="160">
        <f t="shared" si="151"/>
        <v>0</v>
      </c>
      <c r="AO237" s="161">
        <f t="shared" si="152"/>
        <v>0</v>
      </c>
      <c r="AP237" s="156">
        <f t="shared" si="127"/>
        <v>1.526170367417814</v>
      </c>
      <c r="AQ237" s="152"/>
      <c r="AR237" s="162">
        <f t="shared" si="128"/>
        <v>312.19581415010481</v>
      </c>
      <c r="AS237" s="150">
        <f t="shared" si="153"/>
        <v>0</v>
      </c>
      <c r="AT237" s="163">
        <f t="shared" si="129"/>
        <v>0</v>
      </c>
      <c r="AU237" s="163">
        <f t="shared" si="130"/>
        <v>39.515635343867487</v>
      </c>
      <c r="AV237" s="163">
        <f t="shared" si="154"/>
        <v>0.8164087574970571</v>
      </c>
      <c r="AW237" s="163">
        <f t="shared" si="131"/>
        <v>0.10811666758996231</v>
      </c>
      <c r="AX237" s="163">
        <f t="shared" si="132"/>
        <v>0</v>
      </c>
      <c r="AY237" s="164">
        <f t="shared" si="155"/>
        <v>273.60470423132438</v>
      </c>
      <c r="AZ237" s="164">
        <f>IF($E237="","",IF(OR(AND($D237=Input!$C$6,$C237=12),$AN237=1),0,-AS238+AT238+AU238-AV238-AW238-AX238+AZ238))</f>
        <v>273.60478111796618</v>
      </c>
      <c r="BA237" s="154">
        <f t="shared" si="133"/>
        <v>7.6886641807050182E-5</v>
      </c>
      <c r="BC237" s="147">
        <f t="shared" si="156"/>
        <v>0.45799292401522357</v>
      </c>
      <c r="BD237" s="164">
        <f>IF(AND($C236=12,$D236=Input!$C$6),0,IF($E237="","",AT237+(AU237+BD238)/(1+$AK237)*MIN((1-AM237-AN237),1)))</f>
        <v>272.35981858735158</v>
      </c>
      <c r="BE237" s="164">
        <f t="shared" si="134"/>
        <v>124.73886969907699</v>
      </c>
      <c r="BF237" s="164">
        <f t="shared" si="157"/>
        <v>273.60478111796618</v>
      </c>
      <c r="BG237" s="164">
        <f t="shared" si="135"/>
        <v>125.30905372876256</v>
      </c>
      <c r="BH237" s="152"/>
      <c r="BI237" s="162">
        <f t="shared" si="136"/>
        <v>189.29181362132644</v>
      </c>
      <c r="BJ237" s="150">
        <f t="shared" si="137"/>
        <v>0</v>
      </c>
      <c r="BK237" s="163">
        <f t="shared" si="161"/>
        <v>0</v>
      </c>
      <c r="BL237" s="163">
        <f t="shared" si="138"/>
        <v>34.73544230223613</v>
      </c>
      <c r="BM237" s="163">
        <f t="shared" si="162"/>
        <v>0.54236620666447</v>
      </c>
      <c r="BN237" s="163">
        <f t="shared" si="139"/>
        <v>5.3892982422377854E-2</v>
      </c>
      <c r="BO237" s="163">
        <f t="shared" si="140"/>
        <v>0</v>
      </c>
      <c r="BP237" s="164">
        <f t="shared" si="163"/>
        <v>155.15263050817717</v>
      </c>
      <c r="BQ237" s="164">
        <f>IF($E237="","",IF(AND($D237=Input!$C$6,$C237=12),0,-BJ238+BK238+BL238-BM238-BN238-BO238+BQ238))</f>
        <v>155.15271679413289</v>
      </c>
      <c r="BR237" s="161">
        <f t="shared" si="141"/>
        <v>0</v>
      </c>
      <c r="BT237" s="147">
        <f t="shared" si="142"/>
        <v>0.45799292401522357</v>
      </c>
      <c r="BU237" s="164">
        <f>IF(AND($C236=12,$D236=Input!$C$6),0,IF($E237="","",BK237+(BL237+BU238)/(1+$AK237)*MIN((1-T237-U237),1)))</f>
        <v>4473.1922874091533</v>
      </c>
      <c r="BV237" s="164">
        <f t="shared" si="143"/>
        <v>2048.6904153928645</v>
      </c>
      <c r="BW237" s="164">
        <f t="shared" si="144"/>
        <v>155.15271679413289</v>
      </c>
      <c r="BX237" s="164">
        <f t="shared" si="145"/>
        <v>71.05884643345081</v>
      </c>
    </row>
    <row r="238" spans="1:76" s="150" customFormat="1" x14ac:dyDescent="0.25">
      <c r="A238" s="150">
        <f t="shared" si="158"/>
        <v>234</v>
      </c>
      <c r="B238" s="150">
        <f t="shared" si="159"/>
        <v>20</v>
      </c>
      <c r="C238" s="150">
        <f t="shared" si="160"/>
        <v>6</v>
      </c>
      <c r="D238" s="150">
        <f>IF(E238="","",Input!$C$4+B238-1)</f>
        <v>64</v>
      </c>
      <c r="E238" s="150">
        <f>IF(OR(AND(C237=12,D237=Input!$C$6),E237=""),"",1)</f>
        <v>1</v>
      </c>
      <c r="F238" s="150">
        <f>IF(E238="","",Input!$C$8+B238-1)</f>
        <v>2037</v>
      </c>
      <c r="G238" s="151">
        <f>IF(E238="","",MAX(0,Input!$C$9-B238))</f>
        <v>0</v>
      </c>
      <c r="H238" s="152">
        <f>IF(E238="","",Input!$C$3)</f>
        <v>100000</v>
      </c>
      <c r="I238" s="153">
        <f>IF(E238="","",HLOOKUP($B238,Input!$C$13:$BT$14,2))</f>
        <v>2.2999999999999998</v>
      </c>
      <c r="J238" s="154"/>
      <c r="K238" s="155">
        <f>IF($E238="","",INDEX(Input!$C$16:$CP$16,1,$B238))</f>
        <v>2.3519999999999999E-2</v>
      </c>
      <c r="L238" s="155">
        <f>IF($E238="","",Input!$C$37)</f>
        <v>1.4999999999999999E-2</v>
      </c>
      <c r="M238" s="155">
        <f t="shared" si="146"/>
        <v>3.8519999999999999E-2</v>
      </c>
      <c r="N238" s="155">
        <f t="shared" si="147"/>
        <v>3.1546841333971454E-3</v>
      </c>
      <c r="O238" s="147">
        <f>IF($E238="","",MIN(VLOOKUP(IF($B238&lt;=Input!$C$7,$B238,26),'Mortality Tables'!$A$41:$CW$67,IF($B238&lt;=Input!$C$7+1,Input!$C$4+2,$D238-Input!$C$7+2),0)*IF(B238&gt;20,Input!$C$22,1)/1000,1))</f>
        <v>4.5759999999999993E-3</v>
      </c>
      <c r="P238" s="147">
        <f>IF($E238="","",MIN(VLOOKUP(IF($B238&lt;=Input!$C$7,$B238,26),'Mortality Tables'!$A$12:$CW$37,IF($B238&lt;=Input!$C$7+1,Input!$C$4+2,$D238-Input!$C$7+2),0)*IF(B238&gt;20,Input!$C$22,1)/1000,1))</f>
        <v>5.7199999999999994E-3</v>
      </c>
      <c r="Q238" s="155">
        <f>IF($E238="","",Input!$C$21)</f>
        <v>5.0000000000000001E-3</v>
      </c>
      <c r="R238" s="159">
        <f>IF($E238="","",(1-Q238)^($F238-Input!$C$20))</f>
        <v>0.90915626158253038</v>
      </c>
      <c r="S238" s="147">
        <f t="shared" si="123"/>
        <v>4.1602990530016587E-3</v>
      </c>
      <c r="T238" s="147">
        <f t="shared" si="124"/>
        <v>3.473544230223613E-4</v>
      </c>
      <c r="U238" s="160">
        <f>IF($E238="","",IF($C238=12,INDEX(Input!$C$15:$CP$15,1,$B238),0))</f>
        <v>0</v>
      </c>
      <c r="V238" s="150">
        <f>IF(E238="","",IF(C238=1,IF($B238=1,Input!$C$33,Input!$C$34),0))</f>
        <v>0</v>
      </c>
      <c r="W238" s="156">
        <f>IF($E238="","",Input!$C$35)</f>
        <v>0.02</v>
      </c>
      <c r="X238" s="156">
        <f t="shared" si="125"/>
        <v>1.4568111725277988</v>
      </c>
      <c r="Y238" s="154"/>
      <c r="Z238" s="147">
        <f>IF($E238="","",VLOOKUP($D238,'Mortality Margins &amp; Grading'!$AB$5:$AF$125,3,0)*IF(Summary!$D$25="Included Margin",IF(AND($B238&gt;Input!$C$9,Summary!$D$31&lt;&gt;"Included Margin"),0,1),0))</f>
        <v>3.4000000000000002E-2</v>
      </c>
      <c r="AA238" s="147">
        <f>IF($E238="","",VLOOKUP($D238,'Mortality Margins &amp; Grading'!$AB$5:$AF$125,5,0)*IF(Summary!$D$25="Included Margin",IF(AND($B238&gt;Input!$C$9,Summary!$D$31&lt;&gt;"Included Margin"),0,1),0))</f>
        <v>0.17399999999999999</v>
      </c>
      <c r="AB238" s="147">
        <f>IF($E238="","",IF(AND($B238&gt;Input!$C$9,Summary!$D$31&lt;&gt;"Included Margin"),1,IF(Summary!$D$25="Included Margin",VLOOKUP($B238,'Mortality Margins &amp; Grading'!$AI$5:$AR$125,MATCH('Mortality Margins &amp; Grading'!$AQ$4,'Mortality Margins &amp; Grading'!$AI$4:$AR$4,0),0),1)))</f>
        <v>1</v>
      </c>
      <c r="AC238" s="154"/>
      <c r="AD238" s="158">
        <f>IF(E238="","",Input!$C$48*IF(Summary!$D$30="Included Margin",IF(AND($B238&gt;Input!$C$9,Summary!$D$31&lt;&gt;"Included Margin"),0,1),0))</f>
        <v>-4.4999999999999997E-3</v>
      </c>
      <c r="AE238" s="159">
        <f>IF(E238="","",IF(Summary!$D$26="Included Margin",IF(AND($B238&gt;Input!$C$9,Summary!$D$31&lt;&gt;"Included Margin"),1,1/$R238),1))</f>
        <v>1.0999209291693617</v>
      </c>
      <c r="AF238" s="160">
        <f>IF(E238="","",IF(AND($B238&gt;=Input!$C$9,$C238=12,Summary!$D$31="Included Margin",$U238&gt;0),1/U238-1,IF($B238&gt;=Input!$C$9,0,Input!$C$45*IF(Summary!$D$27="Included Margin",1,0))))</f>
        <v>0</v>
      </c>
      <c r="AG238" s="160">
        <f>IF(E238="","",Input!$C$46*IF(Summary!$D$28="Included Margin",IF(AND($B238&gt;Input!$C$9,Summary!$D$31&lt;&gt;"Included Margin"),0,1),0))</f>
        <v>0.02</v>
      </c>
      <c r="AH238" s="158">
        <f>IF(E238="","",Input!$C$47*IF(Summary!$D$29="Included Margin",IF(AND($B238&gt;Input!$C$9,Summary!$D$31&lt;&gt;"Included Margin"),0,1),0))</f>
        <v>2.5000000000000001E-3</v>
      </c>
      <c r="AI238" s="154"/>
      <c r="AJ238" s="158">
        <f t="shared" si="148"/>
        <v>3.4020000000000002E-2</v>
      </c>
      <c r="AK238" s="155">
        <f t="shared" si="149"/>
        <v>2.791732836803229E-3</v>
      </c>
      <c r="AL238" s="147">
        <f t="shared" si="150"/>
        <v>4.7315840000000005E-3</v>
      </c>
      <c r="AM238" s="147">
        <f t="shared" si="126"/>
        <v>3.9515635343867483E-4</v>
      </c>
      <c r="AN238" s="160">
        <f t="shared" si="151"/>
        <v>0</v>
      </c>
      <c r="AO238" s="161">
        <f t="shared" si="152"/>
        <v>0</v>
      </c>
      <c r="AP238" s="156">
        <f t="shared" si="127"/>
        <v>1.526170367417814</v>
      </c>
      <c r="AQ238" s="152"/>
      <c r="AR238" s="162">
        <f t="shared" si="128"/>
        <v>273.60470423132432</v>
      </c>
      <c r="AS238" s="150">
        <f t="shared" si="153"/>
        <v>0</v>
      </c>
      <c r="AT238" s="163">
        <f t="shared" si="129"/>
        <v>0</v>
      </c>
      <c r="AU238" s="163">
        <f t="shared" si="130"/>
        <v>39.515635343867487</v>
      </c>
      <c r="AV238" s="163">
        <f t="shared" si="154"/>
        <v>0.70867268872811495</v>
      </c>
      <c r="AW238" s="163">
        <f t="shared" si="131"/>
        <v>9.2818527570012715E-2</v>
      </c>
      <c r="AX238" s="163">
        <f t="shared" si="132"/>
        <v>0</v>
      </c>
      <c r="AY238" s="164">
        <f t="shared" si="155"/>
        <v>234.89056010375498</v>
      </c>
      <c r="AZ238" s="164">
        <f>IF($E238="","",IF(OR(AND($D238=Input!$C$6,$C238=12),$AN238=1),0,-AS239+AT239+AU239-AV239-AW239-AX239+AZ239))</f>
        <v>234.89063699039681</v>
      </c>
      <c r="BA238" s="154">
        <f t="shared" si="133"/>
        <v>7.6886641835471892E-5</v>
      </c>
      <c r="BC238" s="147">
        <f t="shared" si="156"/>
        <v>0.45783383814735396</v>
      </c>
      <c r="BD238" s="164">
        <f>IF(AND($C237=12,$D237=Input!$C$6),0,IF($E238="","",AT238+(AU238+BD239)/(1+$AK238)*MIN((1-AM238-AN238),1)))</f>
        <v>233.71250692881748</v>
      </c>
      <c r="BE238" s="164">
        <f t="shared" si="134"/>
        <v>107.00149407026056</v>
      </c>
      <c r="BF238" s="164">
        <f t="shared" si="157"/>
        <v>234.89063699039681</v>
      </c>
      <c r="BG238" s="164">
        <f t="shared" si="135"/>
        <v>107.54088187819021</v>
      </c>
      <c r="BH238" s="152"/>
      <c r="BI238" s="162">
        <f t="shared" si="136"/>
        <v>155.1526305081772</v>
      </c>
      <c r="BJ238" s="150">
        <f t="shared" si="137"/>
        <v>0</v>
      </c>
      <c r="BK238" s="163">
        <f t="shared" si="161"/>
        <v>0</v>
      </c>
      <c r="BL238" s="163">
        <f t="shared" si="138"/>
        <v>34.73544230223613</v>
      </c>
      <c r="BM238" s="163">
        <f t="shared" si="162"/>
        <v>0.43466786737027829</v>
      </c>
      <c r="BN238" s="163">
        <f t="shared" si="139"/>
        <v>4.1993043178619134E-2</v>
      </c>
      <c r="BO238" s="163">
        <f t="shared" si="140"/>
        <v>0</v>
      </c>
      <c r="BP238" s="164">
        <f t="shared" si="163"/>
        <v>120.89384911648997</v>
      </c>
      <c r="BQ238" s="164">
        <f>IF($E238="","",IF(AND($D238=Input!$C$6,$C238=12),0,-BJ239+BK239+BL239-BM239-BN239-BO239+BQ239))</f>
        <v>120.89393540244566</v>
      </c>
      <c r="BR238" s="161">
        <f t="shared" si="141"/>
        <v>0</v>
      </c>
      <c r="BT238" s="147">
        <f t="shared" si="142"/>
        <v>0.45783383814735396</v>
      </c>
      <c r="BU238" s="164">
        <f>IF(AND($C237=12,$D237=Input!$C$6),0,IF($E238="","",BK238+(BL238+BU239)/(1+$AK238)*MIN((1-T238-U238),1)))</f>
        <v>4452.5034651826854</v>
      </c>
      <c r="BV238" s="164">
        <f t="shared" si="143"/>
        <v>2038.5067508289821</v>
      </c>
      <c r="BW238" s="164">
        <f t="shared" si="144"/>
        <v>120.89393540244566</v>
      </c>
      <c r="BX238" s="164">
        <f t="shared" si="145"/>
        <v>55.349334454039969</v>
      </c>
    </row>
    <row r="239" spans="1:76" s="150" customFormat="1" x14ac:dyDescent="0.25">
      <c r="A239" s="150">
        <f t="shared" si="158"/>
        <v>235</v>
      </c>
      <c r="B239" s="150">
        <f t="shared" si="159"/>
        <v>20</v>
      </c>
      <c r="C239" s="150">
        <f t="shared" si="160"/>
        <v>7</v>
      </c>
      <c r="D239" s="150">
        <f>IF(E239="","",Input!$C$4+B239-1)</f>
        <v>64</v>
      </c>
      <c r="E239" s="150">
        <f>IF(OR(AND(C238=12,D238=Input!$C$6),E238=""),"",1)</f>
        <v>1</v>
      </c>
      <c r="F239" s="150">
        <f>IF(E239="","",Input!$C$8+B239-1)</f>
        <v>2037</v>
      </c>
      <c r="G239" s="151">
        <f>IF(E239="","",MAX(0,Input!$C$9-B239))</f>
        <v>0</v>
      </c>
      <c r="H239" s="152">
        <f>IF(E239="","",Input!$C$3)</f>
        <v>100000</v>
      </c>
      <c r="I239" s="153">
        <f>IF(E239="","",HLOOKUP($B239,Input!$C$13:$BT$14,2))</f>
        <v>2.2999999999999998</v>
      </c>
      <c r="J239" s="154"/>
      <c r="K239" s="155">
        <f>IF($E239="","",INDEX(Input!$C$16:$CP$16,1,$B239))</f>
        <v>2.3519999999999999E-2</v>
      </c>
      <c r="L239" s="155">
        <f>IF($E239="","",Input!$C$37)</f>
        <v>1.4999999999999999E-2</v>
      </c>
      <c r="M239" s="155">
        <f t="shared" si="146"/>
        <v>3.8519999999999999E-2</v>
      </c>
      <c r="N239" s="155">
        <f t="shared" si="147"/>
        <v>3.1546841333971454E-3</v>
      </c>
      <c r="O239" s="147">
        <f>IF($E239="","",MIN(VLOOKUP(IF($B239&lt;=Input!$C$7,$B239,26),'Mortality Tables'!$A$41:$CW$67,IF($B239&lt;=Input!$C$7+1,Input!$C$4+2,$D239-Input!$C$7+2),0)*IF(B239&gt;20,Input!$C$22,1)/1000,1))</f>
        <v>4.5759999999999993E-3</v>
      </c>
      <c r="P239" s="147">
        <f>IF($E239="","",MIN(VLOOKUP(IF($B239&lt;=Input!$C$7,$B239,26),'Mortality Tables'!$A$12:$CW$37,IF($B239&lt;=Input!$C$7+1,Input!$C$4+2,$D239-Input!$C$7+2),0)*IF(B239&gt;20,Input!$C$22,1)/1000,1))</f>
        <v>5.7199999999999994E-3</v>
      </c>
      <c r="Q239" s="155">
        <f>IF($E239="","",Input!$C$21)</f>
        <v>5.0000000000000001E-3</v>
      </c>
      <c r="R239" s="159">
        <f>IF($E239="","",(1-Q239)^($F239-Input!$C$20))</f>
        <v>0.90915626158253038</v>
      </c>
      <c r="S239" s="147">
        <f t="shared" si="123"/>
        <v>4.1602990530016587E-3</v>
      </c>
      <c r="T239" s="147">
        <f t="shared" si="124"/>
        <v>3.473544230223613E-4</v>
      </c>
      <c r="U239" s="160">
        <f>IF($E239="","",IF($C239=12,INDEX(Input!$C$15:$CP$15,1,$B239),0))</f>
        <v>0</v>
      </c>
      <c r="V239" s="150">
        <f>IF(E239="","",IF(C239=1,IF($B239=1,Input!$C$33,Input!$C$34),0))</f>
        <v>0</v>
      </c>
      <c r="W239" s="156">
        <f>IF($E239="","",Input!$C$35)</f>
        <v>0.02</v>
      </c>
      <c r="X239" s="156">
        <f t="shared" si="125"/>
        <v>1.4568111725277988</v>
      </c>
      <c r="Y239" s="154"/>
      <c r="Z239" s="147">
        <f>IF($E239="","",VLOOKUP($D239,'Mortality Margins &amp; Grading'!$AB$5:$AF$125,3,0)*IF(Summary!$D$25="Included Margin",IF(AND($B239&gt;Input!$C$9,Summary!$D$31&lt;&gt;"Included Margin"),0,1),0))</f>
        <v>3.4000000000000002E-2</v>
      </c>
      <c r="AA239" s="147">
        <f>IF($E239="","",VLOOKUP($D239,'Mortality Margins &amp; Grading'!$AB$5:$AF$125,5,0)*IF(Summary!$D$25="Included Margin",IF(AND($B239&gt;Input!$C$9,Summary!$D$31&lt;&gt;"Included Margin"),0,1),0))</f>
        <v>0.17399999999999999</v>
      </c>
      <c r="AB239" s="147">
        <f>IF($E239="","",IF(AND($B239&gt;Input!$C$9,Summary!$D$31&lt;&gt;"Included Margin"),1,IF(Summary!$D$25="Included Margin",VLOOKUP($B239,'Mortality Margins &amp; Grading'!$AI$5:$AR$125,MATCH('Mortality Margins &amp; Grading'!$AQ$4,'Mortality Margins &amp; Grading'!$AI$4:$AR$4,0),0),1)))</f>
        <v>1</v>
      </c>
      <c r="AC239" s="154"/>
      <c r="AD239" s="158">
        <f>IF(E239="","",Input!$C$48*IF(Summary!$D$30="Included Margin",IF(AND($B239&gt;Input!$C$9,Summary!$D$31&lt;&gt;"Included Margin"),0,1),0))</f>
        <v>-4.4999999999999997E-3</v>
      </c>
      <c r="AE239" s="159">
        <f>IF(E239="","",IF(Summary!$D$26="Included Margin",IF(AND($B239&gt;Input!$C$9,Summary!$D$31&lt;&gt;"Included Margin"),1,1/$R239),1))</f>
        <v>1.0999209291693617</v>
      </c>
      <c r="AF239" s="160">
        <f>IF(E239="","",IF(AND($B239&gt;=Input!$C$9,$C239=12,Summary!$D$31="Included Margin",$U239&gt;0),1/U239-1,IF($B239&gt;=Input!$C$9,0,Input!$C$45*IF(Summary!$D$27="Included Margin",1,0))))</f>
        <v>0</v>
      </c>
      <c r="AG239" s="160">
        <f>IF(E239="","",Input!$C$46*IF(Summary!$D$28="Included Margin",IF(AND($B239&gt;Input!$C$9,Summary!$D$31&lt;&gt;"Included Margin"),0,1),0))</f>
        <v>0.02</v>
      </c>
      <c r="AH239" s="158">
        <f>IF(E239="","",Input!$C$47*IF(Summary!$D$29="Included Margin",IF(AND($B239&gt;Input!$C$9,Summary!$D$31&lt;&gt;"Included Margin"),0,1),0))</f>
        <v>2.5000000000000001E-3</v>
      </c>
      <c r="AI239" s="154"/>
      <c r="AJ239" s="158">
        <f t="shared" si="148"/>
        <v>3.4020000000000002E-2</v>
      </c>
      <c r="AK239" s="155">
        <f t="shared" si="149"/>
        <v>2.791732836803229E-3</v>
      </c>
      <c r="AL239" s="147">
        <f t="shared" si="150"/>
        <v>4.7315840000000005E-3</v>
      </c>
      <c r="AM239" s="147">
        <f t="shared" si="126"/>
        <v>3.9515635343867483E-4</v>
      </c>
      <c r="AN239" s="160">
        <f t="shared" si="151"/>
        <v>0</v>
      </c>
      <c r="AO239" s="161">
        <f t="shared" si="152"/>
        <v>0</v>
      </c>
      <c r="AP239" s="156">
        <f t="shared" si="127"/>
        <v>1.526170367417814</v>
      </c>
      <c r="AQ239" s="152"/>
      <c r="AR239" s="162">
        <f t="shared" si="128"/>
        <v>234.89056010375492</v>
      </c>
      <c r="AS239" s="150">
        <f t="shared" si="153"/>
        <v>0</v>
      </c>
      <c r="AT239" s="163">
        <f t="shared" si="129"/>
        <v>0</v>
      </c>
      <c r="AU239" s="163">
        <f t="shared" si="130"/>
        <v>39.515635343867487</v>
      </c>
      <c r="AV239" s="163">
        <f t="shared" si="154"/>
        <v>0.60059314131844654</v>
      </c>
      <c r="AW239" s="163">
        <f t="shared" si="131"/>
        <v>7.7471614800140726E-2</v>
      </c>
      <c r="AX239" s="163">
        <f t="shared" si="132"/>
        <v>0</v>
      </c>
      <c r="AY239" s="164">
        <f t="shared" si="155"/>
        <v>196.05298951600605</v>
      </c>
      <c r="AZ239" s="164">
        <f>IF($E239="","",IF(OR(AND($D239=Input!$C$6,$C239=12),$AN239=1),0,-AS240+AT240+AU240-AV240-AW240-AX240+AZ240))</f>
        <v>196.05306640264791</v>
      </c>
      <c r="BA239" s="154">
        <f t="shared" si="133"/>
        <v>7.6886641863893601E-5</v>
      </c>
      <c r="BC239" s="147">
        <f t="shared" si="156"/>
        <v>0.45767480753866419</v>
      </c>
      <c r="BD239" s="164">
        <f>IF(AND($C238=12,$D238=Input!$C$6),0,IF($E239="","",AT239+(AU239+BD240)/(1+$AK239)*MIN((1-AM239-AN239),1)))</f>
        <v>194.94198188197365</v>
      </c>
      <c r="BE239" s="164">
        <f t="shared" si="134"/>
        <v>89.220034039038055</v>
      </c>
      <c r="BF239" s="164">
        <f t="shared" si="157"/>
        <v>196.05306640264791</v>
      </c>
      <c r="BG239" s="164">
        <f t="shared" si="135"/>
        <v>89.728549433196832</v>
      </c>
      <c r="BH239" s="152"/>
      <c r="BI239" s="162">
        <f t="shared" si="136"/>
        <v>120.89384911648996</v>
      </c>
      <c r="BJ239" s="150">
        <f t="shared" si="137"/>
        <v>0</v>
      </c>
      <c r="BK239" s="163">
        <f t="shared" si="161"/>
        <v>0</v>
      </c>
      <c r="BL239" s="163">
        <f t="shared" si="138"/>
        <v>34.73544230223613</v>
      </c>
      <c r="BM239" s="163">
        <f t="shared" si="162"/>
        <v>0.32659223328440123</v>
      </c>
      <c r="BN239" s="163">
        <f t="shared" si="139"/>
        <v>3.005141540811556E-2</v>
      </c>
      <c r="BO239" s="163">
        <f t="shared" si="140"/>
        <v>0</v>
      </c>
      <c r="BP239" s="164">
        <f t="shared" si="163"/>
        <v>86.515050462946334</v>
      </c>
      <c r="BQ239" s="164">
        <f>IF($E239="","",IF(AND($D239=Input!$C$6,$C239=12),0,-BJ240+BK240+BL240-BM240-BN240-BO240+BQ240))</f>
        <v>86.515136748902052</v>
      </c>
      <c r="BR239" s="161">
        <f t="shared" si="141"/>
        <v>0</v>
      </c>
      <c r="BT239" s="147">
        <f t="shared" si="142"/>
        <v>0.45767480753866419</v>
      </c>
      <c r="BU239" s="164">
        <f>IF(AND($C238=12,$D238=Input!$C$6),0,IF($E239="","",BK239+(BL239+BU240)/(1+$AK239)*MIN((1-T239-U239),1)))</f>
        <v>4431.7496763715153</v>
      </c>
      <c r="BV239" s="164">
        <f t="shared" si="143"/>
        <v>2028.3001801928706</v>
      </c>
      <c r="BW239" s="164">
        <f t="shared" si="144"/>
        <v>86.515136748902052</v>
      </c>
      <c r="BX239" s="164">
        <f t="shared" si="145"/>
        <v>39.595798560734963</v>
      </c>
    </row>
    <row r="240" spans="1:76" s="150" customFormat="1" x14ac:dyDescent="0.25">
      <c r="A240" s="150">
        <f t="shared" si="158"/>
        <v>236</v>
      </c>
      <c r="B240" s="150">
        <f t="shared" si="159"/>
        <v>20</v>
      </c>
      <c r="C240" s="150">
        <f t="shared" si="160"/>
        <v>8</v>
      </c>
      <c r="D240" s="150">
        <f>IF(E240="","",Input!$C$4+B240-1)</f>
        <v>64</v>
      </c>
      <c r="E240" s="150">
        <f>IF(OR(AND(C239=12,D239=Input!$C$6),E239=""),"",1)</f>
        <v>1</v>
      </c>
      <c r="F240" s="150">
        <f>IF(E240="","",Input!$C$8+B240-1)</f>
        <v>2037</v>
      </c>
      <c r="G240" s="151">
        <f>IF(E240="","",MAX(0,Input!$C$9-B240))</f>
        <v>0</v>
      </c>
      <c r="H240" s="152">
        <f>IF(E240="","",Input!$C$3)</f>
        <v>100000</v>
      </c>
      <c r="I240" s="153">
        <f>IF(E240="","",HLOOKUP($B240,Input!$C$13:$BT$14,2))</f>
        <v>2.2999999999999998</v>
      </c>
      <c r="J240" s="154"/>
      <c r="K240" s="155">
        <f>IF($E240="","",INDEX(Input!$C$16:$CP$16,1,$B240))</f>
        <v>2.3519999999999999E-2</v>
      </c>
      <c r="L240" s="155">
        <f>IF($E240="","",Input!$C$37)</f>
        <v>1.4999999999999999E-2</v>
      </c>
      <c r="M240" s="155">
        <f t="shared" si="146"/>
        <v>3.8519999999999999E-2</v>
      </c>
      <c r="N240" s="155">
        <f t="shared" si="147"/>
        <v>3.1546841333971454E-3</v>
      </c>
      <c r="O240" s="147">
        <f>IF($E240="","",MIN(VLOOKUP(IF($B240&lt;=Input!$C$7,$B240,26),'Mortality Tables'!$A$41:$CW$67,IF($B240&lt;=Input!$C$7+1,Input!$C$4+2,$D240-Input!$C$7+2),0)*IF(B240&gt;20,Input!$C$22,1)/1000,1))</f>
        <v>4.5759999999999993E-3</v>
      </c>
      <c r="P240" s="147">
        <f>IF($E240="","",MIN(VLOOKUP(IF($B240&lt;=Input!$C$7,$B240,26),'Mortality Tables'!$A$12:$CW$37,IF($B240&lt;=Input!$C$7+1,Input!$C$4+2,$D240-Input!$C$7+2),0)*IF(B240&gt;20,Input!$C$22,1)/1000,1))</f>
        <v>5.7199999999999994E-3</v>
      </c>
      <c r="Q240" s="155">
        <f>IF($E240="","",Input!$C$21)</f>
        <v>5.0000000000000001E-3</v>
      </c>
      <c r="R240" s="159">
        <f>IF($E240="","",(1-Q240)^($F240-Input!$C$20))</f>
        <v>0.90915626158253038</v>
      </c>
      <c r="S240" s="147">
        <f t="shared" si="123"/>
        <v>4.1602990530016587E-3</v>
      </c>
      <c r="T240" s="147">
        <f t="shared" si="124"/>
        <v>3.473544230223613E-4</v>
      </c>
      <c r="U240" s="160">
        <f>IF($E240="","",IF($C240=12,INDEX(Input!$C$15:$CP$15,1,$B240),0))</f>
        <v>0</v>
      </c>
      <c r="V240" s="150">
        <f>IF(E240="","",IF(C240=1,IF($B240=1,Input!$C$33,Input!$C$34),0))</f>
        <v>0</v>
      </c>
      <c r="W240" s="156">
        <f>IF($E240="","",Input!$C$35)</f>
        <v>0.02</v>
      </c>
      <c r="X240" s="156">
        <f t="shared" si="125"/>
        <v>1.4568111725277988</v>
      </c>
      <c r="Y240" s="154"/>
      <c r="Z240" s="147">
        <f>IF($E240="","",VLOOKUP($D240,'Mortality Margins &amp; Grading'!$AB$5:$AF$125,3,0)*IF(Summary!$D$25="Included Margin",IF(AND($B240&gt;Input!$C$9,Summary!$D$31&lt;&gt;"Included Margin"),0,1),0))</f>
        <v>3.4000000000000002E-2</v>
      </c>
      <c r="AA240" s="147">
        <f>IF($E240="","",VLOOKUP($D240,'Mortality Margins &amp; Grading'!$AB$5:$AF$125,5,0)*IF(Summary!$D$25="Included Margin",IF(AND($B240&gt;Input!$C$9,Summary!$D$31&lt;&gt;"Included Margin"),0,1),0))</f>
        <v>0.17399999999999999</v>
      </c>
      <c r="AB240" s="147">
        <f>IF($E240="","",IF(AND($B240&gt;Input!$C$9,Summary!$D$31&lt;&gt;"Included Margin"),1,IF(Summary!$D$25="Included Margin",VLOOKUP($B240,'Mortality Margins &amp; Grading'!$AI$5:$AR$125,MATCH('Mortality Margins &amp; Grading'!$AQ$4,'Mortality Margins &amp; Grading'!$AI$4:$AR$4,0),0),1)))</f>
        <v>1</v>
      </c>
      <c r="AC240" s="154"/>
      <c r="AD240" s="158">
        <f>IF(E240="","",Input!$C$48*IF(Summary!$D$30="Included Margin",IF(AND($B240&gt;Input!$C$9,Summary!$D$31&lt;&gt;"Included Margin"),0,1),0))</f>
        <v>-4.4999999999999997E-3</v>
      </c>
      <c r="AE240" s="159">
        <f>IF(E240="","",IF(Summary!$D$26="Included Margin",IF(AND($B240&gt;Input!$C$9,Summary!$D$31&lt;&gt;"Included Margin"),1,1/$R240),1))</f>
        <v>1.0999209291693617</v>
      </c>
      <c r="AF240" s="160">
        <f>IF(E240="","",IF(AND($B240&gt;=Input!$C$9,$C240=12,Summary!$D$31="Included Margin",$U240&gt;0),1/U240-1,IF($B240&gt;=Input!$C$9,0,Input!$C$45*IF(Summary!$D$27="Included Margin",1,0))))</f>
        <v>0</v>
      </c>
      <c r="AG240" s="160">
        <f>IF(E240="","",Input!$C$46*IF(Summary!$D$28="Included Margin",IF(AND($B240&gt;Input!$C$9,Summary!$D$31&lt;&gt;"Included Margin"),0,1),0))</f>
        <v>0.02</v>
      </c>
      <c r="AH240" s="158">
        <f>IF(E240="","",Input!$C$47*IF(Summary!$D$29="Included Margin",IF(AND($B240&gt;Input!$C$9,Summary!$D$31&lt;&gt;"Included Margin"),0,1),0))</f>
        <v>2.5000000000000001E-3</v>
      </c>
      <c r="AI240" s="154"/>
      <c r="AJ240" s="158">
        <f t="shared" si="148"/>
        <v>3.4020000000000002E-2</v>
      </c>
      <c r="AK240" s="155">
        <f t="shared" si="149"/>
        <v>2.791732836803229E-3</v>
      </c>
      <c r="AL240" s="147">
        <f t="shared" si="150"/>
        <v>4.7315840000000005E-3</v>
      </c>
      <c r="AM240" s="147">
        <f t="shared" si="126"/>
        <v>3.9515635343867483E-4</v>
      </c>
      <c r="AN240" s="160">
        <f t="shared" si="151"/>
        <v>0</v>
      </c>
      <c r="AO240" s="161">
        <f t="shared" si="152"/>
        <v>0</v>
      </c>
      <c r="AP240" s="156">
        <f t="shared" si="127"/>
        <v>1.526170367417814</v>
      </c>
      <c r="AQ240" s="152"/>
      <c r="AR240" s="162">
        <f t="shared" si="128"/>
        <v>196.05298951600602</v>
      </c>
      <c r="AS240" s="150">
        <f t="shared" si="153"/>
        <v>0</v>
      </c>
      <c r="AT240" s="163">
        <f t="shared" si="129"/>
        <v>0</v>
      </c>
      <c r="AU240" s="163">
        <f t="shared" si="130"/>
        <v>39.515635343867487</v>
      </c>
      <c r="AV240" s="163">
        <f t="shared" si="154"/>
        <v>0.49216902020696468</v>
      </c>
      <c r="AW240" s="163">
        <f t="shared" si="131"/>
        <v>6.2075773785552082E-2</v>
      </c>
      <c r="AX240" s="163">
        <f t="shared" si="132"/>
        <v>0</v>
      </c>
      <c r="AY240" s="164">
        <f t="shared" si="155"/>
        <v>157.09159896613104</v>
      </c>
      <c r="AZ240" s="164">
        <f>IF($E240="","",IF(OR(AND($D240=Input!$C$6,$C240=12),$AN240=1),0,-AS241+AT241+AU241-AV241-AW241-AX241+AZ241))</f>
        <v>157.09167585277294</v>
      </c>
      <c r="BA240" s="154">
        <f t="shared" si="133"/>
        <v>7.6886641892315311E-5</v>
      </c>
      <c r="BC240" s="147">
        <f t="shared" si="156"/>
        <v>0.45751583216995972</v>
      </c>
      <c r="BD240" s="164">
        <f>IF(AND($C239=12,$D239=Input!$C$6),0,IF($E240="","",AT240+(AU240+BD241)/(1+$AK240)*MIN((1-AM240-AN240),1)))</f>
        <v>156.04785062417844</v>
      </c>
      <c r="BE240" s="164">
        <f t="shared" si="134"/>
        <v>71.394362236654572</v>
      </c>
      <c r="BF240" s="164">
        <f t="shared" si="157"/>
        <v>157.09167585277294</v>
      </c>
      <c r="BG240" s="164">
        <f t="shared" si="135"/>
        <v>71.871928804754972</v>
      </c>
      <c r="BH240" s="152"/>
      <c r="BI240" s="162">
        <f t="shared" si="136"/>
        <v>86.515050462946334</v>
      </c>
      <c r="BJ240" s="150">
        <f t="shared" si="137"/>
        <v>0</v>
      </c>
      <c r="BK240" s="163">
        <f t="shared" si="161"/>
        <v>0</v>
      </c>
      <c r="BL240" s="163">
        <f t="shared" si="138"/>
        <v>34.73544230223613</v>
      </c>
      <c r="BM240" s="163">
        <f t="shared" si="162"/>
        <v>0.218137982646812</v>
      </c>
      <c r="BN240" s="163">
        <f t="shared" si="139"/>
        <v>1.8067953065309544E-2</v>
      </c>
      <c r="BO240" s="163">
        <f t="shared" si="140"/>
        <v>0</v>
      </c>
      <c r="BP240" s="164">
        <f t="shared" si="163"/>
        <v>52.015814096422325</v>
      </c>
      <c r="BQ240" s="164">
        <f>IF($E240="","",IF(AND($D240=Input!$C$6,$C240=12),0,-BJ241+BK241+BL241-BM241-BN241-BO241+BQ241))</f>
        <v>52.015900382378035</v>
      </c>
      <c r="BR240" s="161">
        <f t="shared" si="141"/>
        <v>0</v>
      </c>
      <c r="BT240" s="147">
        <f t="shared" si="142"/>
        <v>0.45751583216995972</v>
      </c>
      <c r="BU240" s="164">
        <f>IF(AND($C239=12,$D239=Input!$C$6),0,IF($E240="","",BK240+(BL240+BU241)/(1+$AK240)*MIN((1-T240-U240),1)))</f>
        <v>4410.930716969001</v>
      </c>
      <c r="BV240" s="164">
        <f t="shared" si="143"/>
        <v>2018.0706376181095</v>
      </c>
      <c r="BW240" s="164">
        <f t="shared" si="144"/>
        <v>52.015900382378035</v>
      </c>
      <c r="BX240" s="164">
        <f t="shared" si="145"/>
        <v>23.798097949513412</v>
      </c>
    </row>
    <row r="241" spans="1:76" s="150" customFormat="1" x14ac:dyDescent="0.25">
      <c r="A241" s="150">
        <f t="shared" si="158"/>
        <v>237</v>
      </c>
      <c r="B241" s="150">
        <f t="shared" si="159"/>
        <v>20</v>
      </c>
      <c r="C241" s="150">
        <f t="shared" si="160"/>
        <v>9</v>
      </c>
      <c r="D241" s="150">
        <f>IF(E241="","",Input!$C$4+B241-1)</f>
        <v>64</v>
      </c>
      <c r="E241" s="150">
        <f>IF(OR(AND(C240=12,D240=Input!$C$6),E240=""),"",1)</f>
        <v>1</v>
      </c>
      <c r="F241" s="150">
        <f>IF(E241="","",Input!$C$8+B241-1)</f>
        <v>2037</v>
      </c>
      <c r="G241" s="151">
        <f>IF(E241="","",MAX(0,Input!$C$9-B241))</f>
        <v>0</v>
      </c>
      <c r="H241" s="152">
        <f>IF(E241="","",Input!$C$3)</f>
        <v>100000</v>
      </c>
      <c r="I241" s="153">
        <f>IF(E241="","",HLOOKUP($B241,Input!$C$13:$BT$14,2))</f>
        <v>2.2999999999999998</v>
      </c>
      <c r="J241" s="154"/>
      <c r="K241" s="155">
        <f>IF($E241="","",INDEX(Input!$C$16:$CP$16,1,$B241))</f>
        <v>2.3519999999999999E-2</v>
      </c>
      <c r="L241" s="155">
        <f>IF($E241="","",Input!$C$37)</f>
        <v>1.4999999999999999E-2</v>
      </c>
      <c r="M241" s="155">
        <f t="shared" si="146"/>
        <v>3.8519999999999999E-2</v>
      </c>
      <c r="N241" s="155">
        <f t="shared" si="147"/>
        <v>3.1546841333971454E-3</v>
      </c>
      <c r="O241" s="147">
        <f>IF($E241="","",MIN(VLOOKUP(IF($B241&lt;=Input!$C$7,$B241,26),'Mortality Tables'!$A$41:$CW$67,IF($B241&lt;=Input!$C$7+1,Input!$C$4+2,$D241-Input!$C$7+2),0)*IF(B241&gt;20,Input!$C$22,1)/1000,1))</f>
        <v>4.5759999999999993E-3</v>
      </c>
      <c r="P241" s="147">
        <f>IF($E241="","",MIN(VLOOKUP(IF($B241&lt;=Input!$C$7,$B241,26),'Mortality Tables'!$A$12:$CW$37,IF($B241&lt;=Input!$C$7+1,Input!$C$4+2,$D241-Input!$C$7+2),0)*IF(B241&gt;20,Input!$C$22,1)/1000,1))</f>
        <v>5.7199999999999994E-3</v>
      </c>
      <c r="Q241" s="155">
        <f>IF($E241="","",Input!$C$21)</f>
        <v>5.0000000000000001E-3</v>
      </c>
      <c r="R241" s="159">
        <f>IF($E241="","",(1-Q241)^($F241-Input!$C$20))</f>
        <v>0.90915626158253038</v>
      </c>
      <c r="S241" s="147">
        <f t="shared" si="123"/>
        <v>4.1602990530016587E-3</v>
      </c>
      <c r="T241" s="147">
        <f t="shared" si="124"/>
        <v>3.473544230223613E-4</v>
      </c>
      <c r="U241" s="160">
        <f>IF($E241="","",IF($C241=12,INDEX(Input!$C$15:$CP$15,1,$B241),0))</f>
        <v>0</v>
      </c>
      <c r="V241" s="150">
        <f>IF(E241="","",IF(C241=1,IF($B241=1,Input!$C$33,Input!$C$34),0))</f>
        <v>0</v>
      </c>
      <c r="W241" s="156">
        <f>IF($E241="","",Input!$C$35)</f>
        <v>0.02</v>
      </c>
      <c r="X241" s="156">
        <f t="shared" si="125"/>
        <v>1.4568111725277988</v>
      </c>
      <c r="Y241" s="154"/>
      <c r="Z241" s="147">
        <f>IF($E241="","",VLOOKUP($D241,'Mortality Margins &amp; Grading'!$AB$5:$AF$125,3,0)*IF(Summary!$D$25="Included Margin",IF(AND($B241&gt;Input!$C$9,Summary!$D$31&lt;&gt;"Included Margin"),0,1),0))</f>
        <v>3.4000000000000002E-2</v>
      </c>
      <c r="AA241" s="147">
        <f>IF($E241="","",VLOOKUP($D241,'Mortality Margins &amp; Grading'!$AB$5:$AF$125,5,0)*IF(Summary!$D$25="Included Margin",IF(AND($B241&gt;Input!$C$9,Summary!$D$31&lt;&gt;"Included Margin"),0,1),0))</f>
        <v>0.17399999999999999</v>
      </c>
      <c r="AB241" s="147">
        <f>IF($E241="","",IF(AND($B241&gt;Input!$C$9,Summary!$D$31&lt;&gt;"Included Margin"),1,IF(Summary!$D$25="Included Margin",VLOOKUP($B241,'Mortality Margins &amp; Grading'!$AI$5:$AR$125,MATCH('Mortality Margins &amp; Grading'!$AQ$4,'Mortality Margins &amp; Grading'!$AI$4:$AR$4,0),0),1)))</f>
        <v>1</v>
      </c>
      <c r="AC241" s="154"/>
      <c r="AD241" s="158">
        <f>IF(E241="","",Input!$C$48*IF(Summary!$D$30="Included Margin",IF(AND($B241&gt;Input!$C$9,Summary!$D$31&lt;&gt;"Included Margin"),0,1),0))</f>
        <v>-4.4999999999999997E-3</v>
      </c>
      <c r="AE241" s="159">
        <f>IF(E241="","",IF(Summary!$D$26="Included Margin",IF(AND($B241&gt;Input!$C$9,Summary!$D$31&lt;&gt;"Included Margin"),1,1/$R241),1))</f>
        <v>1.0999209291693617</v>
      </c>
      <c r="AF241" s="160">
        <f>IF(E241="","",IF(AND($B241&gt;=Input!$C$9,$C241=12,Summary!$D$31="Included Margin",$U241&gt;0),1/U241-1,IF($B241&gt;=Input!$C$9,0,Input!$C$45*IF(Summary!$D$27="Included Margin",1,0))))</f>
        <v>0</v>
      </c>
      <c r="AG241" s="160">
        <f>IF(E241="","",Input!$C$46*IF(Summary!$D$28="Included Margin",IF(AND($B241&gt;Input!$C$9,Summary!$D$31&lt;&gt;"Included Margin"),0,1),0))</f>
        <v>0.02</v>
      </c>
      <c r="AH241" s="158">
        <f>IF(E241="","",Input!$C$47*IF(Summary!$D$29="Included Margin",IF(AND($B241&gt;Input!$C$9,Summary!$D$31&lt;&gt;"Included Margin"),0,1),0))</f>
        <v>2.5000000000000001E-3</v>
      </c>
      <c r="AI241" s="154"/>
      <c r="AJ241" s="158">
        <f t="shared" si="148"/>
        <v>3.4020000000000002E-2</v>
      </c>
      <c r="AK241" s="155">
        <f t="shared" si="149"/>
        <v>2.791732836803229E-3</v>
      </c>
      <c r="AL241" s="147">
        <f t="shared" si="150"/>
        <v>4.7315840000000005E-3</v>
      </c>
      <c r="AM241" s="147">
        <f t="shared" si="126"/>
        <v>3.9515635343867483E-4</v>
      </c>
      <c r="AN241" s="160">
        <f t="shared" si="151"/>
        <v>0</v>
      </c>
      <c r="AO241" s="161">
        <f t="shared" si="152"/>
        <v>0</v>
      </c>
      <c r="AP241" s="156">
        <f t="shared" si="127"/>
        <v>1.526170367417814</v>
      </c>
      <c r="AQ241" s="152"/>
      <c r="AR241" s="162">
        <f t="shared" si="128"/>
        <v>157.09159896613107</v>
      </c>
      <c r="AS241" s="150">
        <f t="shared" si="153"/>
        <v>0</v>
      </c>
      <c r="AT241" s="163">
        <f t="shared" si="129"/>
        <v>0</v>
      </c>
      <c r="AU241" s="163">
        <f t="shared" si="130"/>
        <v>39.515635343867487</v>
      </c>
      <c r="AV241" s="163">
        <f t="shared" si="154"/>
        <v>0.38339922684136374</v>
      </c>
      <c r="AW241" s="163">
        <f t="shared" si="131"/>
        <v>4.6630848535711963E-2</v>
      </c>
      <c r="AX241" s="163">
        <f t="shared" si="132"/>
        <v>0</v>
      </c>
      <c r="AY241" s="164">
        <f t="shared" si="155"/>
        <v>118.00599369764066</v>
      </c>
      <c r="AZ241" s="164">
        <f>IF($E241="","",IF(OR(AND($D241=Input!$C$6,$C241=12),$AN241=1),0,-AS242+AT242+AU242-AV242-AW242-AX242+AZ242))</f>
        <v>118.00607058428254</v>
      </c>
      <c r="BA241" s="154">
        <f t="shared" si="133"/>
        <v>7.6886641878104456E-5</v>
      </c>
      <c r="BC241" s="147">
        <f t="shared" si="156"/>
        <v>0.45735691202205275</v>
      </c>
      <c r="BD241" s="164">
        <f>IF(AND($C240=12,$D240=Input!$C$6),0,IF($E241="","",AT241+(AU241+BD242)/(1+$AK241)*MIN((1-AM241-AN241),1)))</f>
        <v>117.0297190804131</v>
      </c>
      <c r="BE241" s="164">
        <f t="shared" si="134"/>
        <v>53.524350933426042</v>
      </c>
      <c r="BF241" s="164">
        <f t="shared" si="157"/>
        <v>118.00607058428254</v>
      </c>
      <c r="BG241" s="164">
        <f t="shared" si="135"/>
        <v>53.970892042283857</v>
      </c>
      <c r="BH241" s="152"/>
      <c r="BI241" s="162">
        <f t="shared" si="136"/>
        <v>52.015814096422325</v>
      </c>
      <c r="BJ241" s="150">
        <f t="shared" si="137"/>
        <v>0</v>
      </c>
      <c r="BK241" s="163">
        <f t="shared" si="161"/>
        <v>0</v>
      </c>
      <c r="BL241" s="163">
        <f t="shared" si="138"/>
        <v>34.73544230223613</v>
      </c>
      <c r="BM241" s="163">
        <f t="shared" si="162"/>
        <v>0.1093037890670209</v>
      </c>
      <c r="BN241" s="163">
        <f t="shared" si="139"/>
        <v>6.0425095930086124E-3</v>
      </c>
      <c r="BO241" s="163">
        <f t="shared" si="140"/>
        <v>0</v>
      </c>
      <c r="BP241" s="164">
        <f t="shared" si="163"/>
        <v>17.395718092846224</v>
      </c>
      <c r="BQ241" s="164">
        <f>IF($E241="","",IF(AND($D241=Input!$C$6,$C241=12),0,-BJ242+BK242+BL242-BM242-BN242-BO242+BQ242))</f>
        <v>17.395804378801934</v>
      </c>
      <c r="BR241" s="161">
        <f t="shared" si="141"/>
        <v>0</v>
      </c>
      <c r="BT241" s="147">
        <f t="shared" si="142"/>
        <v>0.45735691202205275</v>
      </c>
      <c r="BU241" s="164">
        <f>IF(AND($C240=12,$D240=Input!$C$6),0,IF($E241="","",BK241+(BL241+BU242)/(1+$AK241)*MIN((1-T241-U241),1)))</f>
        <v>4390.046382327886</v>
      </c>
      <c r="BV241" s="164">
        <f t="shared" si="143"/>
        <v>2007.818057055066</v>
      </c>
      <c r="BW241" s="164">
        <f t="shared" si="144"/>
        <v>17.395804378801934</v>
      </c>
      <c r="BX241" s="164">
        <f t="shared" si="145"/>
        <v>7.9560913728285563</v>
      </c>
    </row>
    <row r="242" spans="1:76" s="150" customFormat="1" x14ac:dyDescent="0.25">
      <c r="A242" s="150">
        <f t="shared" si="158"/>
        <v>238</v>
      </c>
      <c r="B242" s="150">
        <f t="shared" si="159"/>
        <v>20</v>
      </c>
      <c r="C242" s="150">
        <f t="shared" si="160"/>
        <v>10</v>
      </c>
      <c r="D242" s="150">
        <f>IF(E242="","",Input!$C$4+B242-1)</f>
        <v>64</v>
      </c>
      <c r="E242" s="150">
        <f>IF(OR(AND(C241=12,D241=Input!$C$6),E241=""),"",1)</f>
        <v>1</v>
      </c>
      <c r="F242" s="150">
        <f>IF(E242="","",Input!$C$8+B242-1)</f>
        <v>2037</v>
      </c>
      <c r="G242" s="151">
        <f>IF(E242="","",MAX(0,Input!$C$9-B242))</f>
        <v>0</v>
      </c>
      <c r="H242" s="152">
        <f>IF(E242="","",Input!$C$3)</f>
        <v>100000</v>
      </c>
      <c r="I242" s="153">
        <f>IF(E242="","",HLOOKUP($B242,Input!$C$13:$BT$14,2))</f>
        <v>2.2999999999999998</v>
      </c>
      <c r="J242" s="154"/>
      <c r="K242" s="155">
        <f>IF($E242="","",INDEX(Input!$C$16:$CP$16,1,$B242))</f>
        <v>2.3519999999999999E-2</v>
      </c>
      <c r="L242" s="155">
        <f>IF($E242="","",Input!$C$37)</f>
        <v>1.4999999999999999E-2</v>
      </c>
      <c r="M242" s="155">
        <f t="shared" si="146"/>
        <v>3.8519999999999999E-2</v>
      </c>
      <c r="N242" s="155">
        <f t="shared" si="147"/>
        <v>3.1546841333971454E-3</v>
      </c>
      <c r="O242" s="147">
        <f>IF($E242="","",MIN(VLOOKUP(IF($B242&lt;=Input!$C$7,$B242,26),'Mortality Tables'!$A$41:$CW$67,IF($B242&lt;=Input!$C$7+1,Input!$C$4+2,$D242-Input!$C$7+2),0)*IF(B242&gt;20,Input!$C$22,1)/1000,1))</f>
        <v>4.5759999999999993E-3</v>
      </c>
      <c r="P242" s="147">
        <f>IF($E242="","",MIN(VLOOKUP(IF($B242&lt;=Input!$C$7,$B242,26),'Mortality Tables'!$A$12:$CW$37,IF($B242&lt;=Input!$C$7+1,Input!$C$4+2,$D242-Input!$C$7+2),0)*IF(B242&gt;20,Input!$C$22,1)/1000,1))</f>
        <v>5.7199999999999994E-3</v>
      </c>
      <c r="Q242" s="155">
        <f>IF($E242="","",Input!$C$21)</f>
        <v>5.0000000000000001E-3</v>
      </c>
      <c r="R242" s="159">
        <f>IF($E242="","",(1-Q242)^($F242-Input!$C$20))</f>
        <v>0.90915626158253038</v>
      </c>
      <c r="S242" s="147">
        <f t="shared" si="123"/>
        <v>4.1602990530016587E-3</v>
      </c>
      <c r="T242" s="147">
        <f t="shared" si="124"/>
        <v>3.473544230223613E-4</v>
      </c>
      <c r="U242" s="160">
        <f>IF($E242="","",IF($C242=12,INDEX(Input!$C$15:$CP$15,1,$B242),0))</f>
        <v>0</v>
      </c>
      <c r="V242" s="150">
        <f>IF(E242="","",IF(C242=1,IF($B242=1,Input!$C$33,Input!$C$34),0))</f>
        <v>0</v>
      </c>
      <c r="W242" s="156">
        <f>IF($E242="","",Input!$C$35)</f>
        <v>0.02</v>
      </c>
      <c r="X242" s="156">
        <f t="shared" si="125"/>
        <v>1.4568111725277988</v>
      </c>
      <c r="Y242" s="154"/>
      <c r="Z242" s="147">
        <f>IF($E242="","",VLOOKUP($D242,'Mortality Margins &amp; Grading'!$AB$5:$AF$125,3,0)*IF(Summary!$D$25="Included Margin",IF(AND($B242&gt;Input!$C$9,Summary!$D$31&lt;&gt;"Included Margin"),0,1),0))</f>
        <v>3.4000000000000002E-2</v>
      </c>
      <c r="AA242" s="147">
        <f>IF($E242="","",VLOOKUP($D242,'Mortality Margins &amp; Grading'!$AB$5:$AF$125,5,0)*IF(Summary!$D$25="Included Margin",IF(AND($B242&gt;Input!$C$9,Summary!$D$31&lt;&gt;"Included Margin"),0,1),0))</f>
        <v>0.17399999999999999</v>
      </c>
      <c r="AB242" s="147">
        <f>IF($E242="","",IF(AND($B242&gt;Input!$C$9,Summary!$D$31&lt;&gt;"Included Margin"),1,IF(Summary!$D$25="Included Margin",VLOOKUP($B242,'Mortality Margins &amp; Grading'!$AI$5:$AR$125,MATCH('Mortality Margins &amp; Grading'!$AQ$4,'Mortality Margins &amp; Grading'!$AI$4:$AR$4,0),0),1)))</f>
        <v>1</v>
      </c>
      <c r="AC242" s="154"/>
      <c r="AD242" s="158">
        <f>IF(E242="","",Input!$C$48*IF(Summary!$D$30="Included Margin",IF(AND($B242&gt;Input!$C$9,Summary!$D$31&lt;&gt;"Included Margin"),0,1),0))</f>
        <v>-4.4999999999999997E-3</v>
      </c>
      <c r="AE242" s="159">
        <f>IF(E242="","",IF(Summary!$D$26="Included Margin",IF(AND($B242&gt;Input!$C$9,Summary!$D$31&lt;&gt;"Included Margin"),1,1/$R242),1))</f>
        <v>1.0999209291693617</v>
      </c>
      <c r="AF242" s="160">
        <f>IF(E242="","",IF(AND($B242&gt;=Input!$C$9,$C242=12,Summary!$D$31="Included Margin",$U242&gt;0),1/U242-1,IF($B242&gt;=Input!$C$9,0,Input!$C$45*IF(Summary!$D$27="Included Margin",1,0))))</f>
        <v>0</v>
      </c>
      <c r="AG242" s="160">
        <f>IF(E242="","",Input!$C$46*IF(Summary!$D$28="Included Margin",IF(AND($B242&gt;Input!$C$9,Summary!$D$31&lt;&gt;"Included Margin"),0,1),0))</f>
        <v>0.02</v>
      </c>
      <c r="AH242" s="158">
        <f>IF(E242="","",Input!$C$47*IF(Summary!$D$29="Included Margin",IF(AND($B242&gt;Input!$C$9,Summary!$D$31&lt;&gt;"Included Margin"),0,1),0))</f>
        <v>2.5000000000000001E-3</v>
      </c>
      <c r="AI242" s="154"/>
      <c r="AJ242" s="158">
        <f t="shared" si="148"/>
        <v>3.4020000000000002E-2</v>
      </c>
      <c r="AK242" s="155">
        <f t="shared" si="149"/>
        <v>2.791732836803229E-3</v>
      </c>
      <c r="AL242" s="147">
        <f t="shared" si="150"/>
        <v>4.7315840000000005E-3</v>
      </c>
      <c r="AM242" s="147">
        <f t="shared" si="126"/>
        <v>3.9515635343867483E-4</v>
      </c>
      <c r="AN242" s="160">
        <f t="shared" si="151"/>
        <v>0</v>
      </c>
      <c r="AO242" s="161">
        <f t="shared" si="152"/>
        <v>0</v>
      </c>
      <c r="AP242" s="156">
        <f t="shared" si="127"/>
        <v>1.526170367417814</v>
      </c>
      <c r="AQ242" s="152"/>
      <c r="AR242" s="162">
        <f t="shared" si="128"/>
        <v>118.00599369764066</v>
      </c>
      <c r="AS242" s="150">
        <f t="shared" si="153"/>
        <v>0</v>
      </c>
      <c r="AT242" s="163">
        <f t="shared" si="129"/>
        <v>0</v>
      </c>
      <c r="AU242" s="163">
        <f t="shared" si="130"/>
        <v>39.515635343867487</v>
      </c>
      <c r="AV242" s="163">
        <f t="shared" si="154"/>
        <v>0.2742826591669898</v>
      </c>
      <c r="AW242" s="163">
        <f t="shared" si="131"/>
        <v>3.1136682562764442E-2</v>
      </c>
      <c r="AX242" s="163">
        <f t="shared" si="132"/>
        <v>0</v>
      </c>
      <c r="AY242" s="164">
        <f t="shared" si="155"/>
        <v>78.79577769550292</v>
      </c>
      <c r="AZ242" s="164">
        <f>IF($E242="","",IF(OR(AND($D242=Input!$C$6,$C242=12),$AN242=1),0,-AS243+AT243+AU243-AV243-AW243-AX243+AZ243))</f>
        <v>78.795854582144813</v>
      </c>
      <c r="BA242" s="154">
        <f t="shared" si="133"/>
        <v>7.6886641892315311E-5</v>
      </c>
      <c r="BC242" s="147">
        <f t="shared" si="156"/>
        <v>0.45719804707576206</v>
      </c>
      <c r="BD242" s="164">
        <f>IF(AND($C241=12,$D241=Input!$C$6),0,IF($E242="","",AT242+(AU242+BD243)/(1+$AK242)*MIN((1-AM242-AN242),1)))</f>
        <v>77.887191919288952</v>
      </c>
      <c r="BE242" s="164">
        <f t="shared" si="134"/>
        <v>35.609872037713984</v>
      </c>
      <c r="BF242" s="164">
        <f t="shared" si="157"/>
        <v>78.795854582144813</v>
      </c>
      <c r="BG242" s="164">
        <f t="shared" si="135"/>
        <v>36.025310832622345</v>
      </c>
      <c r="BH242" s="152"/>
      <c r="BI242" s="162">
        <f t="shared" si="136"/>
        <v>17.39571809284622</v>
      </c>
      <c r="BJ242" s="150">
        <f t="shared" si="137"/>
        <v>0</v>
      </c>
      <c r="BK242" s="163">
        <f t="shared" si="161"/>
        <v>0</v>
      </c>
      <c r="BL242" s="163">
        <f t="shared" si="138"/>
        <v>34.73544230223613</v>
      </c>
      <c r="BM242" s="163">
        <f t="shared" si="162"/>
        <v>8.8321507853454789E-5</v>
      </c>
      <c r="BN242" s="163">
        <f t="shared" si="139"/>
        <v>-6.0250620794070064E-3</v>
      </c>
      <c r="BO242" s="163">
        <f t="shared" si="140"/>
        <v>0</v>
      </c>
      <c r="BP242" s="164">
        <f t="shared" si="163"/>
        <v>-17.345660949961463</v>
      </c>
      <c r="BQ242" s="164">
        <f>IF($E242="","",IF(AND($D242=Input!$C$6,$C242=12),0,-BJ243+BK243+BL243-BM243-BN243-BO243+BQ243))</f>
        <v>-17.345574664005753</v>
      </c>
      <c r="BR242" s="161">
        <f t="shared" si="141"/>
        <v>0</v>
      </c>
      <c r="BT242" s="147">
        <f t="shared" si="142"/>
        <v>0.45719804707576206</v>
      </c>
      <c r="BU242" s="164">
        <f>IF(AND($C241=12,$D241=Input!$C$6),0,IF($E242="","",BK242+(BL242+BU243)/(1+$AK242)*MIN((1-T242-U242),1)))</f>
        <v>4369.0964671582824</v>
      </c>
      <c r="BV242" s="164">
        <f t="shared" si="143"/>
        <v>1997.5423722703781</v>
      </c>
      <c r="BW242" s="164">
        <f t="shared" si="144"/>
        <v>-17.345574664005753</v>
      </c>
      <c r="BX242" s="164">
        <f t="shared" si="145"/>
        <v>-7.9303628617902477</v>
      </c>
    </row>
    <row r="243" spans="1:76" s="150" customFormat="1" x14ac:dyDescent="0.25">
      <c r="A243" s="150">
        <f t="shared" si="158"/>
        <v>239</v>
      </c>
      <c r="B243" s="150">
        <f t="shared" si="159"/>
        <v>20</v>
      </c>
      <c r="C243" s="150">
        <f t="shared" si="160"/>
        <v>11</v>
      </c>
      <c r="D243" s="150">
        <f>IF(E243="","",Input!$C$4+B243-1)</f>
        <v>64</v>
      </c>
      <c r="E243" s="150">
        <f>IF(OR(AND(C242=12,D242=Input!$C$6),E242=""),"",1)</f>
        <v>1</v>
      </c>
      <c r="F243" s="150">
        <f>IF(E243="","",Input!$C$8+B243-1)</f>
        <v>2037</v>
      </c>
      <c r="G243" s="151">
        <f>IF(E243="","",MAX(0,Input!$C$9-B243))</f>
        <v>0</v>
      </c>
      <c r="H243" s="152">
        <f>IF(E243="","",Input!$C$3)</f>
        <v>100000</v>
      </c>
      <c r="I243" s="153">
        <f>IF(E243="","",HLOOKUP($B243,Input!$C$13:$BT$14,2))</f>
        <v>2.2999999999999998</v>
      </c>
      <c r="J243" s="154"/>
      <c r="K243" s="155">
        <f>IF($E243="","",INDEX(Input!$C$16:$CP$16,1,$B243))</f>
        <v>2.3519999999999999E-2</v>
      </c>
      <c r="L243" s="155">
        <f>IF($E243="","",Input!$C$37)</f>
        <v>1.4999999999999999E-2</v>
      </c>
      <c r="M243" s="155">
        <f t="shared" si="146"/>
        <v>3.8519999999999999E-2</v>
      </c>
      <c r="N243" s="155">
        <f t="shared" si="147"/>
        <v>3.1546841333971454E-3</v>
      </c>
      <c r="O243" s="147">
        <f>IF($E243="","",MIN(VLOOKUP(IF($B243&lt;=Input!$C$7,$B243,26),'Mortality Tables'!$A$41:$CW$67,IF($B243&lt;=Input!$C$7+1,Input!$C$4+2,$D243-Input!$C$7+2),0)*IF(B243&gt;20,Input!$C$22,1)/1000,1))</f>
        <v>4.5759999999999993E-3</v>
      </c>
      <c r="P243" s="147">
        <f>IF($E243="","",MIN(VLOOKUP(IF($B243&lt;=Input!$C$7,$B243,26),'Mortality Tables'!$A$12:$CW$37,IF($B243&lt;=Input!$C$7+1,Input!$C$4+2,$D243-Input!$C$7+2),0)*IF(B243&gt;20,Input!$C$22,1)/1000,1))</f>
        <v>5.7199999999999994E-3</v>
      </c>
      <c r="Q243" s="155">
        <f>IF($E243="","",Input!$C$21)</f>
        <v>5.0000000000000001E-3</v>
      </c>
      <c r="R243" s="159">
        <f>IF($E243="","",(1-Q243)^($F243-Input!$C$20))</f>
        <v>0.90915626158253038</v>
      </c>
      <c r="S243" s="147">
        <f t="shared" si="123"/>
        <v>4.1602990530016587E-3</v>
      </c>
      <c r="T243" s="147">
        <f t="shared" si="124"/>
        <v>3.473544230223613E-4</v>
      </c>
      <c r="U243" s="160">
        <f>IF($E243="","",IF($C243=12,INDEX(Input!$C$15:$CP$15,1,$B243),0))</f>
        <v>0</v>
      </c>
      <c r="V243" s="150">
        <f>IF(E243="","",IF(C243=1,IF($B243=1,Input!$C$33,Input!$C$34),0))</f>
        <v>0</v>
      </c>
      <c r="W243" s="156">
        <f>IF($E243="","",Input!$C$35)</f>
        <v>0.02</v>
      </c>
      <c r="X243" s="156">
        <f t="shared" si="125"/>
        <v>1.4568111725277988</v>
      </c>
      <c r="Y243" s="154"/>
      <c r="Z243" s="147">
        <f>IF($E243="","",VLOOKUP($D243,'Mortality Margins &amp; Grading'!$AB$5:$AF$125,3,0)*IF(Summary!$D$25="Included Margin",IF(AND($B243&gt;Input!$C$9,Summary!$D$31&lt;&gt;"Included Margin"),0,1),0))</f>
        <v>3.4000000000000002E-2</v>
      </c>
      <c r="AA243" s="147">
        <f>IF($E243="","",VLOOKUP($D243,'Mortality Margins &amp; Grading'!$AB$5:$AF$125,5,0)*IF(Summary!$D$25="Included Margin",IF(AND($B243&gt;Input!$C$9,Summary!$D$31&lt;&gt;"Included Margin"),0,1),0))</f>
        <v>0.17399999999999999</v>
      </c>
      <c r="AB243" s="147">
        <f>IF($E243="","",IF(AND($B243&gt;Input!$C$9,Summary!$D$31&lt;&gt;"Included Margin"),1,IF(Summary!$D$25="Included Margin",VLOOKUP($B243,'Mortality Margins &amp; Grading'!$AI$5:$AR$125,MATCH('Mortality Margins &amp; Grading'!$AQ$4,'Mortality Margins &amp; Grading'!$AI$4:$AR$4,0),0),1)))</f>
        <v>1</v>
      </c>
      <c r="AC243" s="154"/>
      <c r="AD243" s="158">
        <f>IF(E243="","",Input!$C$48*IF(Summary!$D$30="Included Margin",IF(AND($B243&gt;Input!$C$9,Summary!$D$31&lt;&gt;"Included Margin"),0,1),0))</f>
        <v>-4.4999999999999997E-3</v>
      </c>
      <c r="AE243" s="159">
        <f>IF(E243="","",IF(Summary!$D$26="Included Margin",IF(AND($B243&gt;Input!$C$9,Summary!$D$31&lt;&gt;"Included Margin"),1,1/$R243),1))</f>
        <v>1.0999209291693617</v>
      </c>
      <c r="AF243" s="160">
        <f>IF(E243="","",IF(AND($B243&gt;=Input!$C$9,$C243=12,Summary!$D$31="Included Margin",$U243&gt;0),1/U243-1,IF($B243&gt;=Input!$C$9,0,Input!$C$45*IF(Summary!$D$27="Included Margin",1,0))))</f>
        <v>0</v>
      </c>
      <c r="AG243" s="160">
        <f>IF(E243="","",Input!$C$46*IF(Summary!$D$28="Included Margin",IF(AND($B243&gt;Input!$C$9,Summary!$D$31&lt;&gt;"Included Margin"),0,1),0))</f>
        <v>0.02</v>
      </c>
      <c r="AH243" s="158">
        <f>IF(E243="","",Input!$C$47*IF(Summary!$D$29="Included Margin",IF(AND($B243&gt;Input!$C$9,Summary!$D$31&lt;&gt;"Included Margin"),0,1),0))</f>
        <v>2.5000000000000001E-3</v>
      </c>
      <c r="AI243" s="154"/>
      <c r="AJ243" s="158">
        <f t="shared" si="148"/>
        <v>3.4020000000000002E-2</v>
      </c>
      <c r="AK243" s="155">
        <f t="shared" si="149"/>
        <v>2.791732836803229E-3</v>
      </c>
      <c r="AL243" s="147">
        <f t="shared" si="150"/>
        <v>4.7315840000000005E-3</v>
      </c>
      <c r="AM243" s="147">
        <f t="shared" si="126"/>
        <v>3.9515635343867483E-4</v>
      </c>
      <c r="AN243" s="160">
        <f t="shared" si="151"/>
        <v>0</v>
      </c>
      <c r="AO243" s="161">
        <f t="shared" si="152"/>
        <v>0</v>
      </c>
      <c r="AP243" s="156">
        <f t="shared" si="127"/>
        <v>1.526170367417814</v>
      </c>
      <c r="AQ243" s="152"/>
      <c r="AR243" s="162">
        <f t="shared" si="128"/>
        <v>78.795777695502935</v>
      </c>
      <c r="AS243" s="150">
        <f t="shared" si="153"/>
        <v>0</v>
      </c>
      <c r="AT243" s="163">
        <f t="shared" si="129"/>
        <v>0</v>
      </c>
      <c r="AU243" s="163">
        <f t="shared" si="130"/>
        <v>39.515635343867487</v>
      </c>
      <c r="AV243" s="163">
        <f t="shared" si="154"/>
        <v>0.16481821161567445</v>
      </c>
      <c r="AW243" s="163">
        <f t="shared" si="131"/>
        <v>1.5593118879947023E-2</v>
      </c>
      <c r="AX243" s="163">
        <f t="shared" si="132"/>
        <v>0</v>
      </c>
      <c r="AY243" s="164">
        <f t="shared" si="155"/>
        <v>39.460553682131071</v>
      </c>
      <c r="AZ243" s="164">
        <f>IF($E243="","",IF(OR(AND($D243=Input!$C$6,$C243=12),$AN243=1),0,-AS244+AT244+AU244-AV244-AW244-AX244+AZ244))</f>
        <v>39.460630568772956</v>
      </c>
      <c r="BA243" s="154">
        <f t="shared" si="133"/>
        <v>7.6886641885209883E-5</v>
      </c>
      <c r="BC243" s="147">
        <f t="shared" si="156"/>
        <v>0.45703923731191309</v>
      </c>
      <c r="BD243" s="164">
        <f>IF(AND($C242=12,$D242=Input!$C$6),0,IF($E243="","",AT243+(AU243+BD244)/(1+$AK243)*MIN((1-AM243-AN243),1)))</f>
        <v>38.619872549041965</v>
      </c>
      <c r="BE243" s="164">
        <f t="shared" si="134"/>
        <v>17.650797094897428</v>
      </c>
      <c r="BF243" s="164">
        <f t="shared" si="157"/>
        <v>39.460630568772956</v>
      </c>
      <c r="BG243" s="164">
        <f t="shared" si="135"/>
        <v>18.035056498999154</v>
      </c>
      <c r="BH243" s="152"/>
      <c r="BI243" s="162">
        <f t="shared" si="136"/>
        <v>-17.345660949961463</v>
      </c>
      <c r="BJ243" s="150">
        <f t="shared" si="137"/>
        <v>0</v>
      </c>
      <c r="BK243" s="163">
        <f t="shared" si="161"/>
        <v>0</v>
      </c>
      <c r="BL243" s="163">
        <f t="shared" si="138"/>
        <v>34.73544230223613</v>
      </c>
      <c r="BM243" s="163">
        <f t="shared" si="162"/>
        <v>-0.10950975573082807</v>
      </c>
      <c r="BN243" s="163">
        <f t="shared" si="139"/>
        <v>-1.8134909537783021E-2</v>
      </c>
      <c r="BO243" s="163">
        <f t="shared" si="140"/>
        <v>0</v>
      </c>
      <c r="BP243" s="164">
        <f t="shared" si="163"/>
        <v>-52.208747917466205</v>
      </c>
      <c r="BQ243" s="164">
        <f>IF($E243="","",IF(AND($D243=Input!$C$6,$C243=12),0,-BJ244+BK244+BL244-BM244-BN244-BO244+BQ244))</f>
        <v>-52.208661631510495</v>
      </c>
      <c r="BR243" s="161">
        <f t="shared" si="141"/>
        <v>0</v>
      </c>
      <c r="BT243" s="147">
        <f t="shared" si="142"/>
        <v>0.45703923731191309</v>
      </c>
      <c r="BU243" s="164">
        <f>IF(AND($C242=12,$D242=Input!$C$6),0,IF($E243="","",BK243+(BL243+BU244)/(1+$AK243)*MIN((1-T243-U243),1)))</f>
        <v>4348.0807655256558</v>
      </c>
      <c r="BV243" s="164">
        <f t="shared" si="143"/>
        <v>1987.2435168464449</v>
      </c>
      <c r="BW243" s="164">
        <f t="shared" si="144"/>
        <v>-52.208661631510495</v>
      </c>
      <c r="BX243" s="164">
        <f t="shared" si="145"/>
        <v>-23.861406893141297</v>
      </c>
    </row>
    <row r="244" spans="1:76" s="150" customFormat="1" x14ac:dyDescent="0.25">
      <c r="A244" s="150">
        <f t="shared" si="158"/>
        <v>240</v>
      </c>
      <c r="B244" s="150">
        <f t="shared" si="159"/>
        <v>20</v>
      </c>
      <c r="C244" s="150">
        <f t="shared" si="160"/>
        <v>12</v>
      </c>
      <c r="D244" s="150">
        <f>IF(E244="","",Input!$C$4+B244-1)</f>
        <v>64</v>
      </c>
      <c r="E244" s="150">
        <f>IF(OR(AND(C243=12,D243=Input!$C$6),E243=""),"",1)</f>
        <v>1</v>
      </c>
      <c r="F244" s="150">
        <f>IF(E244="","",Input!$C$8+B244-1)</f>
        <v>2037</v>
      </c>
      <c r="G244" s="151">
        <f>IF(E244="","",MAX(0,Input!$C$9-B244))</f>
        <v>0</v>
      </c>
      <c r="H244" s="152">
        <f>IF(E244="","",Input!$C$3)</f>
        <v>100000</v>
      </c>
      <c r="I244" s="153">
        <f>IF(E244="","",HLOOKUP($B244,Input!$C$13:$BT$14,2))</f>
        <v>2.2999999999999998</v>
      </c>
      <c r="J244" s="154"/>
      <c r="K244" s="155">
        <f>IF($E244="","",INDEX(Input!$C$16:$CP$16,1,$B244))</f>
        <v>2.3519999999999999E-2</v>
      </c>
      <c r="L244" s="155">
        <f>IF($E244="","",Input!$C$37)</f>
        <v>1.4999999999999999E-2</v>
      </c>
      <c r="M244" s="155">
        <f t="shared" si="146"/>
        <v>3.8519999999999999E-2</v>
      </c>
      <c r="N244" s="155">
        <f t="shared" si="147"/>
        <v>3.1546841333971454E-3</v>
      </c>
      <c r="O244" s="147">
        <f>IF($E244="","",MIN(VLOOKUP(IF($B244&lt;=Input!$C$7,$B244,26),'Mortality Tables'!$A$41:$CW$67,IF($B244&lt;=Input!$C$7+1,Input!$C$4+2,$D244-Input!$C$7+2),0)*IF(B244&gt;20,Input!$C$22,1)/1000,1))</f>
        <v>4.5759999999999993E-3</v>
      </c>
      <c r="P244" s="147">
        <f>IF($E244="","",MIN(VLOOKUP(IF($B244&lt;=Input!$C$7,$B244,26),'Mortality Tables'!$A$12:$CW$37,IF($B244&lt;=Input!$C$7+1,Input!$C$4+2,$D244-Input!$C$7+2),0)*IF(B244&gt;20,Input!$C$22,1)/1000,1))</f>
        <v>5.7199999999999994E-3</v>
      </c>
      <c r="Q244" s="155">
        <f>IF($E244="","",Input!$C$21)</f>
        <v>5.0000000000000001E-3</v>
      </c>
      <c r="R244" s="159">
        <f>IF($E244="","",(1-Q244)^($F244-Input!$C$20))</f>
        <v>0.90915626158253038</v>
      </c>
      <c r="S244" s="147">
        <f t="shared" si="123"/>
        <v>4.1602990530016587E-3</v>
      </c>
      <c r="T244" s="147">
        <f t="shared" si="124"/>
        <v>3.473544230223613E-4</v>
      </c>
      <c r="U244" s="160">
        <f>IF($E244="","",IF($C244=12,INDEX(Input!$C$15:$CP$15,1,$B244),0))</f>
        <v>0.8</v>
      </c>
      <c r="V244" s="150">
        <f>IF(E244="","",IF(C244=1,IF($B244=1,Input!$C$33,Input!$C$34),0))</f>
        <v>0</v>
      </c>
      <c r="W244" s="156">
        <f>IF($E244="","",Input!$C$35)</f>
        <v>0.02</v>
      </c>
      <c r="X244" s="156">
        <f t="shared" si="125"/>
        <v>1.4568111725277988</v>
      </c>
      <c r="Y244" s="154"/>
      <c r="Z244" s="147">
        <f>IF($E244="","",VLOOKUP($D244,'Mortality Margins &amp; Grading'!$AB$5:$AF$125,3,0)*IF(Summary!$D$25="Included Margin",IF(AND($B244&gt;Input!$C$9,Summary!$D$31&lt;&gt;"Included Margin"),0,1),0))</f>
        <v>3.4000000000000002E-2</v>
      </c>
      <c r="AA244" s="147">
        <f>IF($E244="","",VLOOKUP($D244,'Mortality Margins &amp; Grading'!$AB$5:$AF$125,5,0)*IF(Summary!$D$25="Included Margin",IF(AND($B244&gt;Input!$C$9,Summary!$D$31&lt;&gt;"Included Margin"),0,1),0))</f>
        <v>0.17399999999999999</v>
      </c>
      <c r="AB244" s="147">
        <f>IF($E244="","",IF(AND($B244&gt;Input!$C$9,Summary!$D$31&lt;&gt;"Included Margin"),1,IF(Summary!$D$25="Included Margin",VLOOKUP($B244,'Mortality Margins &amp; Grading'!$AI$5:$AR$125,MATCH('Mortality Margins &amp; Grading'!$AQ$4,'Mortality Margins &amp; Grading'!$AI$4:$AR$4,0),0),1)))</f>
        <v>1</v>
      </c>
      <c r="AC244" s="154"/>
      <c r="AD244" s="158">
        <f>IF(E244="","",Input!$C$48*IF(Summary!$D$30="Included Margin",IF(AND($B244&gt;Input!$C$9,Summary!$D$31&lt;&gt;"Included Margin"),0,1),0))</f>
        <v>-4.4999999999999997E-3</v>
      </c>
      <c r="AE244" s="159">
        <f>IF(E244="","",IF(Summary!$D$26="Included Margin",IF(AND($B244&gt;Input!$C$9,Summary!$D$31&lt;&gt;"Included Margin"),1,1/$R244),1))</f>
        <v>1.0999209291693617</v>
      </c>
      <c r="AF244" s="160">
        <f>IF(E244="","",IF(AND($B244&gt;=Input!$C$9,$C244=12,Summary!$D$31="Included Margin",$U244&gt;0),1/U244-1,IF($B244&gt;=Input!$C$9,0,Input!$C$45*IF(Summary!$D$27="Included Margin",1,0))))</f>
        <v>0.25</v>
      </c>
      <c r="AG244" s="160">
        <f>IF(E244="","",Input!$C$46*IF(Summary!$D$28="Included Margin",IF(AND($B244&gt;Input!$C$9,Summary!$D$31&lt;&gt;"Included Margin"),0,1),0))</f>
        <v>0.02</v>
      </c>
      <c r="AH244" s="158">
        <f>IF(E244="","",Input!$C$47*IF(Summary!$D$29="Included Margin",IF(AND($B244&gt;Input!$C$9,Summary!$D$31&lt;&gt;"Included Margin"),0,1),0))</f>
        <v>2.5000000000000001E-3</v>
      </c>
      <c r="AI244" s="154"/>
      <c r="AJ244" s="158">
        <f t="shared" si="148"/>
        <v>3.4020000000000002E-2</v>
      </c>
      <c r="AK244" s="155">
        <f t="shared" si="149"/>
        <v>2.791732836803229E-3</v>
      </c>
      <c r="AL244" s="147">
        <f t="shared" si="150"/>
        <v>4.7315840000000005E-3</v>
      </c>
      <c r="AM244" s="147">
        <f t="shared" si="126"/>
        <v>3.9515635343867483E-4</v>
      </c>
      <c r="AN244" s="160">
        <f t="shared" si="151"/>
        <v>1</v>
      </c>
      <c r="AO244" s="161">
        <f t="shared" si="152"/>
        <v>0</v>
      </c>
      <c r="AP244" s="156">
        <f t="shared" si="127"/>
        <v>1.526170367417814</v>
      </c>
      <c r="AQ244" s="152"/>
      <c r="AR244" s="162">
        <f t="shared" si="128"/>
        <v>39.460553682131071</v>
      </c>
      <c r="AS244" s="150">
        <f t="shared" si="153"/>
        <v>0</v>
      </c>
      <c r="AT244" s="163">
        <f t="shared" si="129"/>
        <v>0</v>
      </c>
      <c r="AU244" s="163">
        <f t="shared" si="130"/>
        <v>39.515635343867487</v>
      </c>
      <c r="AV244" s="163">
        <f t="shared" si="154"/>
        <v>5.5004775094533317E-2</v>
      </c>
      <c r="AW244" s="163">
        <f t="shared" si="131"/>
        <v>0</v>
      </c>
      <c r="AX244" s="163">
        <f t="shared" si="132"/>
        <v>0</v>
      </c>
      <c r="AY244" s="165">
        <f t="shared" si="155"/>
        <v>-7.6886641882947804E-5</v>
      </c>
      <c r="AZ244" s="164">
        <f>IF($E244="","",IF(OR(AND($D244=Input!$C$6,$C244=12),$AN244=1),0,-AS245+AT245+AU245-AV245-AW245-AX245+AZ245))</f>
        <v>0</v>
      </c>
      <c r="BA244" s="154">
        <f t="shared" si="133"/>
        <v>7.6886641882947804E-5</v>
      </c>
      <c r="BC244" s="147">
        <f t="shared" si="156"/>
        <v>9.1249092861807532E-2</v>
      </c>
      <c r="BD244" s="164">
        <f>IF(AND($C243=12,$D243=Input!$C$6),0,IF($E244="","",AT244+(AU244+BD245)/(1+$AK244)*MIN((1-AM244-AN244),1)))</f>
        <v>-0.77263688648551021</v>
      </c>
      <c r="BE244" s="164">
        <f t="shared" si="134"/>
        <v>-7.0502415003374161E-2</v>
      </c>
      <c r="BF244" s="164">
        <f t="shared" si="157"/>
        <v>0</v>
      </c>
      <c r="BG244" s="164">
        <f t="shared" si="135"/>
        <v>0</v>
      </c>
      <c r="BH244" s="152"/>
      <c r="BI244" s="162">
        <f t="shared" si="136"/>
        <v>-52.208747917466169</v>
      </c>
      <c r="BJ244" s="150">
        <f t="shared" si="137"/>
        <v>0</v>
      </c>
      <c r="BK244" s="163">
        <f t="shared" si="161"/>
        <v>0</v>
      </c>
      <c r="BL244" s="163">
        <f t="shared" si="138"/>
        <v>34.73544230223613</v>
      </c>
      <c r="BM244" s="163">
        <f t="shared" si="162"/>
        <v>-0.21949178302845992</v>
      </c>
      <c r="BN244" s="163">
        <f t="shared" si="139"/>
        <v>-0.15143590442498026</v>
      </c>
      <c r="BO244" s="163">
        <f t="shared" si="140"/>
        <v>-348.65438286710031</v>
      </c>
      <c r="BP244" s="164">
        <f t="shared" si="163"/>
        <v>-435.96950077425606</v>
      </c>
      <c r="BQ244" s="164">
        <f>IF($E244="","",IF(AND($D244=Input!$C$6,$C244=12),0,-BJ245+BK245+BL245-BM245-BN245-BO245+BQ245))</f>
        <v>-435.96941448830034</v>
      </c>
      <c r="BR244" s="161">
        <f t="shared" si="141"/>
        <v>0</v>
      </c>
      <c r="BT244" s="147">
        <f t="shared" si="142"/>
        <v>9.1249092861807532E-2</v>
      </c>
      <c r="BU244" s="164">
        <f>IF(AND($C243=12,$D243=Input!$C$6),0,IF($E244="","",BK244+(BL244+BU245)/(1+$AK244)*MIN((1-T244-U244),1)))</f>
        <v>4326.9990708488031</v>
      </c>
      <c r="BV244" s="164">
        <f t="shared" si="143"/>
        <v>394.83474002883736</v>
      </c>
      <c r="BW244" s="164">
        <f t="shared" si="144"/>
        <v>-435.96941448830034</v>
      </c>
      <c r="BX244" s="164">
        <f t="shared" si="145"/>
        <v>-39.781813587550779</v>
      </c>
    </row>
    <row r="245" spans="1:76" s="150" customFormat="1" x14ac:dyDescent="0.25">
      <c r="A245" s="150">
        <f t="shared" si="158"/>
        <v>241</v>
      </c>
      <c r="B245" s="150">
        <f t="shared" si="159"/>
        <v>21</v>
      </c>
      <c r="C245" s="150">
        <f t="shared" si="160"/>
        <v>1</v>
      </c>
      <c r="D245" s="150">
        <f>IF(E245="","",Input!$C$4+B245-1)</f>
        <v>65</v>
      </c>
      <c r="E245" s="150">
        <f>IF(OR(AND(C244=12,D244=Input!$C$6),E244=""),"",1)</f>
        <v>1</v>
      </c>
      <c r="F245" s="150">
        <f>IF(E245="","",Input!$C$8+B245-1)</f>
        <v>2038</v>
      </c>
      <c r="G245" s="151">
        <f>IF(E245="","",MAX(0,Input!$C$9-B245))</f>
        <v>0</v>
      </c>
      <c r="H245" s="152">
        <f>IF(E245="","",Input!$C$3)</f>
        <v>100000</v>
      </c>
      <c r="I245" s="153">
        <f>IF(E245="","",HLOOKUP($B245,Input!$C$13:$BT$14,2))</f>
        <v>17.786999999999999</v>
      </c>
      <c r="J245" s="154"/>
      <c r="K245" s="155">
        <f>IF($E245="","",INDEX(Input!$C$16:$CP$16,1,$B245))</f>
        <v>2.341E-2</v>
      </c>
      <c r="L245" s="155">
        <f>IF($E245="","",Input!$C$37)</f>
        <v>1.4999999999999999E-2</v>
      </c>
      <c r="M245" s="155">
        <f t="shared" ref="M245:M308" si="164">IF($E245="","",K245+L245)</f>
        <v>3.841E-2</v>
      </c>
      <c r="N245" s="155">
        <f t="shared" ref="N245:N308" si="165">IF($E245="","",(1+M245)^(1/12)-1)</f>
        <v>3.1458291945904993E-3</v>
      </c>
      <c r="O245" s="147">
        <f>IF($E245="","",MIN(VLOOKUP(IF($B245&lt;=Input!$C$7,$B245,26),'Mortality Tables'!$A$41:$CW$67,IF($B245&lt;=Input!$C$7+1,Input!$C$4+2,$D245-Input!$C$7+2),0)*IF(B245&gt;20,Input!$C$22,1)/1000,1))</f>
        <v>1.9813200000000003E-2</v>
      </c>
      <c r="P245" s="147">
        <f>IF($E245="","",MIN(VLOOKUP(IF($B245&lt;=Input!$C$7,$B245,26),'Mortality Tables'!$A$12:$CW$37,IF($B245&lt;=Input!$C$7+1,Input!$C$4+2,$D245-Input!$C$7+2),0)*IF(B245&gt;20,Input!$C$22,1)/1000,1))</f>
        <v>2.47665E-2</v>
      </c>
      <c r="Q245" s="155">
        <f>IF($E245="","",Input!$C$21)</f>
        <v>5.0000000000000001E-3</v>
      </c>
      <c r="R245" s="159">
        <f>IF($E245="","",(1-Q245)^($F245-Input!$C$20))</f>
        <v>0.90461048027461777</v>
      </c>
      <c r="S245" s="147">
        <f t="shared" si="123"/>
        <v>1.7923228367777058E-2</v>
      </c>
      <c r="T245" s="147">
        <f t="shared" si="124"/>
        <v>1.5060143897818179E-3</v>
      </c>
      <c r="U245" s="160">
        <f>IF($E245="","",IF($C245=12,INDEX(Input!$C$15:$CP$15,1,$B245),0))</f>
        <v>0</v>
      </c>
      <c r="V245" s="150">
        <f>IF(E245="","",IF(C245=1,IF($B245=1,Input!$C$33,Input!$C$34),0))</f>
        <v>50</v>
      </c>
      <c r="W245" s="156">
        <f>IF($E245="","",Input!$C$35)</f>
        <v>0.02</v>
      </c>
      <c r="X245" s="156">
        <f t="shared" ref="X245:X308" si="166">IF($E245="","",IF(B245=1,1,IF(C245=1,(1+W245)*X244,X244)))</f>
        <v>1.4859473959783549</v>
      </c>
      <c r="Y245" s="154"/>
      <c r="Z245" s="147">
        <f>IF($E245="","",VLOOKUP($D245,'Mortality Margins &amp; Grading'!$AB$5:$AF$125,3,0)*IF(Summary!$D$25="Included Margin",IF(AND($B245&gt;Input!$C$9,Summary!$D$31&lt;&gt;"Included Margin"),0,1),0))</f>
        <v>3.4000000000000002E-2</v>
      </c>
      <c r="AA245" s="147">
        <f>IF($E245="","",VLOOKUP($D245,'Mortality Margins &amp; Grading'!$AB$5:$AF$125,5,0)*IF(Summary!$D$25="Included Margin",IF(AND($B245&gt;Input!$C$9,Summary!$D$31&lt;&gt;"Included Margin"),0,1),0))</f>
        <v>0.17399999999999999</v>
      </c>
      <c r="AB245" s="147">
        <f>IF($E245="","",IF(AND($B245&gt;Input!$C$9,Summary!$D$31&lt;&gt;"Included Margin"),1,IF(Summary!$D$25="Included Margin",VLOOKUP($B245,'Mortality Margins &amp; Grading'!$AI$5:$AR$125,MATCH('Mortality Margins &amp; Grading'!$AQ$4,'Mortality Margins &amp; Grading'!$AI$4:$AR$4,0),0),1)))</f>
        <v>1</v>
      </c>
      <c r="AC245" s="154"/>
      <c r="AD245" s="158">
        <f>IF(E245="","",Input!$C$48*IF(Summary!$D$30="Included Margin",IF(AND($B245&gt;Input!$C$9,Summary!$D$31&lt;&gt;"Included Margin"),0,1),0))</f>
        <v>-4.4999999999999997E-3</v>
      </c>
      <c r="AE245" s="159">
        <f>IF(E245="","",IF(Summary!$D$26="Included Margin",IF(AND($B245&gt;Input!$C$9,Summary!$D$31&lt;&gt;"Included Margin"),1,1/$R245),1))</f>
        <v>1.1054481700194589</v>
      </c>
      <c r="AF245" s="160">
        <f>IF(E245="","",IF(AND($B245&gt;=Input!$C$9,$C245=12,Summary!$D$31="Included Margin",$U245&gt;0),1/U245-1,IF($B245&gt;=Input!$C$9,0,Input!$C$45*IF(Summary!$D$27="Included Margin",1,0))))</f>
        <v>0</v>
      </c>
      <c r="AG245" s="160">
        <f>IF(E245="","",Input!$C$46*IF(Summary!$D$28="Included Margin",IF(AND($B245&gt;Input!$C$9,Summary!$D$31&lt;&gt;"Included Margin"),0,1),0))</f>
        <v>0.02</v>
      </c>
      <c r="AH245" s="158">
        <f>IF(E245="","",Input!$C$47*IF(Summary!$D$29="Included Margin",IF(AND($B245&gt;Input!$C$9,Summary!$D$31&lt;&gt;"Included Margin"),0,1),0))</f>
        <v>2.5000000000000001E-3</v>
      </c>
      <c r="AI245" s="154"/>
      <c r="AJ245" s="158">
        <f t="shared" si="148"/>
        <v>3.3910000000000003E-2</v>
      </c>
      <c r="AK245" s="155">
        <f t="shared" si="149"/>
        <v>2.7828425776430521E-3</v>
      </c>
      <c r="AL245" s="147">
        <f t="shared" si="150"/>
        <v>2.0486848800000002E-2</v>
      </c>
      <c r="AM245" s="147">
        <f t="shared" si="126"/>
        <v>1.7234810350180707E-3</v>
      </c>
      <c r="AN245" s="160">
        <f t="shared" si="151"/>
        <v>0</v>
      </c>
      <c r="AO245" s="161">
        <f t="shared" si="152"/>
        <v>51</v>
      </c>
      <c r="AP245" s="156">
        <f t="shared" si="127"/>
        <v>1.5605092006847148</v>
      </c>
      <c r="AQ245" s="152"/>
      <c r="AR245" s="162">
        <f t="shared" si="128"/>
        <v>315.90399422546585</v>
      </c>
      <c r="AS245" s="150">
        <f t="shared" si="153"/>
        <v>1778.7</v>
      </c>
      <c r="AT245" s="163">
        <f t="shared" si="129"/>
        <v>79.585969234920455</v>
      </c>
      <c r="AU245" s="163">
        <f t="shared" si="130"/>
        <v>172.34810350180706</v>
      </c>
      <c r="AV245" s="163">
        <f t="shared" si="154"/>
        <v>5.3676691343614715</v>
      </c>
      <c r="AW245" s="163">
        <f t="shared" si="131"/>
        <v>3.1905571785113396</v>
      </c>
      <c r="AX245" s="163">
        <f t="shared" si="132"/>
        <v>0</v>
      </c>
      <c r="AY245" s="164">
        <f t="shared" si="155"/>
        <v>1851.2281478016114</v>
      </c>
      <c r="AZ245" s="164">
        <f>IF($E245="","",IF(OR(AND($D245=Input!$C$6,$C245=12),$AN245=1),0,-AS246+AT246+AU246-AV246-AW246-AX246+AZ246))</f>
        <v>1851.2284810130716</v>
      </c>
      <c r="BA245" s="154">
        <f t="shared" si="133"/>
        <v>3.3321146020171E-4</v>
      </c>
      <c r="BC245" s="147">
        <f t="shared" si="156"/>
        <v>9.1111670414903118E-2</v>
      </c>
      <c r="BD245" s="164">
        <f>IF(AND($C244=12,$D244=Input!$C$6),0,IF($E245="","",AT245+(AU245+BD246)/(1+$AK245)*MIN((1-AM245-AN245),1)))</f>
        <v>1921.2117463877771</v>
      </c>
      <c r="BE245" s="164">
        <f t="shared" si="134"/>
        <v>175.04481143412357</v>
      </c>
      <c r="BF245" s="164">
        <f t="shared" si="157"/>
        <v>1851.2284810130716</v>
      </c>
      <c r="BG245" s="164">
        <f t="shared" si="135"/>
        <v>168.6685192247447</v>
      </c>
      <c r="BH245" s="152"/>
      <c r="BI245" s="162">
        <f t="shared" si="136"/>
        <v>-435.9697865002031</v>
      </c>
      <c r="BJ245" s="150">
        <f t="shared" si="137"/>
        <v>1778.7</v>
      </c>
      <c r="BK245" s="163">
        <f t="shared" si="161"/>
        <v>74.297369798917742</v>
      </c>
      <c r="BL245" s="163">
        <f t="shared" si="138"/>
        <v>150.60143897818179</v>
      </c>
      <c r="BM245" s="163">
        <f t="shared" si="162"/>
        <v>3.7533898693492214</v>
      </c>
      <c r="BN245" s="163">
        <f t="shared" si="139"/>
        <v>1.6916710812625444</v>
      </c>
      <c r="BO245" s="163">
        <f t="shared" si="140"/>
        <v>0</v>
      </c>
      <c r="BP245" s="164">
        <f t="shared" si="163"/>
        <v>1123.2764656733091</v>
      </c>
      <c r="BQ245" s="164">
        <f>IF($E245="","",IF(AND($D245=Input!$C$6,$C245=12),0,-BJ246+BK246+BL246-BM246-BN246-BO246+BQ246))</f>
        <v>1123.2768376852118</v>
      </c>
      <c r="BR245" s="161">
        <f t="shared" si="141"/>
        <v>0</v>
      </c>
      <c r="BT245" s="147">
        <f t="shared" si="142"/>
        <v>9.1111670414903118E-2</v>
      </c>
      <c r="BU245" s="164">
        <f>IF(AND($C244=12,$D244=Input!$C$6),0,IF($E245="","",BK245+(BL245+BU246)/(1+$AK245)*MIN((1-T245-U245),1)))</f>
        <v>21698.404550409476</v>
      </c>
      <c r="BV245" s="164">
        <f t="shared" si="143"/>
        <v>1976.9778839261421</v>
      </c>
      <c r="BW245" s="164">
        <f t="shared" si="144"/>
        <v>1123.2768376852118</v>
      </c>
      <c r="BX245" s="164">
        <f t="shared" si="145"/>
        <v>102.34362901986965</v>
      </c>
    </row>
    <row r="246" spans="1:76" s="150" customFormat="1" x14ac:dyDescent="0.25">
      <c r="A246" s="150">
        <f t="shared" si="158"/>
        <v>242</v>
      </c>
      <c r="B246" s="150">
        <f t="shared" si="159"/>
        <v>21</v>
      </c>
      <c r="C246" s="150">
        <f t="shared" si="160"/>
        <v>2</v>
      </c>
      <c r="D246" s="150">
        <f>IF(E246="","",Input!$C$4+B246-1)</f>
        <v>65</v>
      </c>
      <c r="E246" s="150">
        <f>IF(OR(AND(C245=12,D245=Input!$C$6),E245=""),"",1)</f>
        <v>1</v>
      </c>
      <c r="F246" s="150">
        <f>IF(E246="","",Input!$C$8+B246-1)</f>
        <v>2038</v>
      </c>
      <c r="G246" s="151">
        <f>IF(E246="","",MAX(0,Input!$C$9-B246))</f>
        <v>0</v>
      </c>
      <c r="H246" s="152">
        <f>IF(E246="","",Input!$C$3)</f>
        <v>100000</v>
      </c>
      <c r="I246" s="153">
        <f>IF(E246="","",HLOOKUP($B246,Input!$C$13:$BT$14,2))</f>
        <v>17.786999999999999</v>
      </c>
      <c r="J246" s="154"/>
      <c r="K246" s="155">
        <f>IF($E246="","",INDEX(Input!$C$16:$CP$16,1,$B246))</f>
        <v>2.341E-2</v>
      </c>
      <c r="L246" s="155">
        <f>IF($E246="","",Input!$C$37)</f>
        <v>1.4999999999999999E-2</v>
      </c>
      <c r="M246" s="155">
        <f t="shared" si="164"/>
        <v>3.841E-2</v>
      </c>
      <c r="N246" s="155">
        <f t="shared" si="165"/>
        <v>3.1458291945904993E-3</v>
      </c>
      <c r="O246" s="147">
        <f>IF($E246="","",MIN(VLOOKUP(IF($B246&lt;=Input!$C$7,$B246,26),'Mortality Tables'!$A$41:$CW$67,IF($B246&lt;=Input!$C$7+1,Input!$C$4+2,$D246-Input!$C$7+2),0)*IF(B246&gt;20,Input!$C$22,1)/1000,1))</f>
        <v>1.9813200000000003E-2</v>
      </c>
      <c r="P246" s="147">
        <f>IF($E246="","",MIN(VLOOKUP(IF($B246&lt;=Input!$C$7,$B246,26),'Mortality Tables'!$A$12:$CW$37,IF($B246&lt;=Input!$C$7+1,Input!$C$4+2,$D246-Input!$C$7+2),0)*IF(B246&gt;20,Input!$C$22,1)/1000,1))</f>
        <v>2.47665E-2</v>
      </c>
      <c r="Q246" s="155">
        <f>IF($E246="","",Input!$C$21)</f>
        <v>5.0000000000000001E-3</v>
      </c>
      <c r="R246" s="159">
        <f>IF($E246="","",(1-Q246)^($F246-Input!$C$20))</f>
        <v>0.90461048027461777</v>
      </c>
      <c r="S246" s="147">
        <f t="shared" si="123"/>
        <v>1.7923228367777058E-2</v>
      </c>
      <c r="T246" s="147">
        <f t="shared" si="124"/>
        <v>1.5060143897818179E-3</v>
      </c>
      <c r="U246" s="160">
        <f>IF($E246="","",IF($C246=12,INDEX(Input!$C$15:$CP$15,1,$B246),0))</f>
        <v>0</v>
      </c>
      <c r="V246" s="150">
        <f>IF(E246="","",IF(C246=1,IF($B246=1,Input!$C$33,Input!$C$34),0))</f>
        <v>0</v>
      </c>
      <c r="W246" s="156">
        <f>IF($E246="","",Input!$C$35)</f>
        <v>0.02</v>
      </c>
      <c r="X246" s="156">
        <f t="shared" si="166"/>
        <v>1.4859473959783549</v>
      </c>
      <c r="Y246" s="154"/>
      <c r="Z246" s="147">
        <f>IF($E246="","",VLOOKUP($D246,'Mortality Margins &amp; Grading'!$AB$5:$AF$125,3,0)*IF(Summary!$D$25="Included Margin",IF(AND($B246&gt;Input!$C$9,Summary!$D$31&lt;&gt;"Included Margin"),0,1),0))</f>
        <v>3.4000000000000002E-2</v>
      </c>
      <c r="AA246" s="147">
        <f>IF($E246="","",VLOOKUP($D246,'Mortality Margins &amp; Grading'!$AB$5:$AF$125,5,0)*IF(Summary!$D$25="Included Margin",IF(AND($B246&gt;Input!$C$9,Summary!$D$31&lt;&gt;"Included Margin"),0,1),0))</f>
        <v>0.17399999999999999</v>
      </c>
      <c r="AB246" s="147">
        <f>IF($E246="","",IF(AND($B246&gt;Input!$C$9,Summary!$D$31&lt;&gt;"Included Margin"),1,IF(Summary!$D$25="Included Margin",VLOOKUP($B246,'Mortality Margins &amp; Grading'!$AI$5:$AR$125,MATCH('Mortality Margins &amp; Grading'!$AQ$4,'Mortality Margins &amp; Grading'!$AI$4:$AR$4,0),0),1)))</f>
        <v>1</v>
      </c>
      <c r="AC246" s="154"/>
      <c r="AD246" s="158">
        <f>IF(E246="","",Input!$C$48*IF(Summary!$D$30="Included Margin",IF(AND($B246&gt;Input!$C$9,Summary!$D$31&lt;&gt;"Included Margin"),0,1),0))</f>
        <v>-4.4999999999999997E-3</v>
      </c>
      <c r="AE246" s="159">
        <f>IF(E246="","",IF(Summary!$D$26="Included Margin",IF(AND($B246&gt;Input!$C$9,Summary!$D$31&lt;&gt;"Included Margin"),1,1/$R246),1))</f>
        <v>1.1054481700194589</v>
      </c>
      <c r="AF246" s="160">
        <f>IF(E246="","",IF(AND($B246&gt;=Input!$C$9,$C246=12,Summary!$D$31="Included Margin",$U246&gt;0),1/U246-1,IF($B246&gt;=Input!$C$9,0,Input!$C$45*IF(Summary!$D$27="Included Margin",1,0))))</f>
        <v>0</v>
      </c>
      <c r="AG246" s="160">
        <f>IF(E246="","",Input!$C$46*IF(Summary!$D$28="Included Margin",IF(AND($B246&gt;Input!$C$9,Summary!$D$31&lt;&gt;"Included Margin"),0,1),0))</f>
        <v>0.02</v>
      </c>
      <c r="AH246" s="158">
        <f>IF(E246="","",Input!$C$47*IF(Summary!$D$29="Included Margin",IF(AND($B246&gt;Input!$C$9,Summary!$D$31&lt;&gt;"Included Margin"),0,1),0))</f>
        <v>2.5000000000000001E-3</v>
      </c>
      <c r="AI246" s="154"/>
      <c r="AJ246" s="158">
        <f t="shared" si="148"/>
        <v>3.3910000000000003E-2</v>
      </c>
      <c r="AK246" s="155">
        <f t="shared" si="149"/>
        <v>2.7828425776430521E-3</v>
      </c>
      <c r="AL246" s="147">
        <f t="shared" si="150"/>
        <v>2.0486848800000002E-2</v>
      </c>
      <c r="AM246" s="147">
        <f t="shared" si="126"/>
        <v>1.7234810350180707E-3</v>
      </c>
      <c r="AN246" s="160">
        <f t="shared" si="151"/>
        <v>0</v>
      </c>
      <c r="AO246" s="161">
        <f t="shared" si="152"/>
        <v>0</v>
      </c>
      <c r="AP246" s="156">
        <f t="shared" si="127"/>
        <v>1.5605092006847148</v>
      </c>
      <c r="AQ246" s="152"/>
      <c r="AR246" s="162">
        <f t="shared" si="128"/>
        <v>1851.2281478016114</v>
      </c>
      <c r="AS246" s="150">
        <f t="shared" si="153"/>
        <v>0</v>
      </c>
      <c r="AT246" s="163">
        <f t="shared" si="129"/>
        <v>0</v>
      </c>
      <c r="AU246" s="163">
        <f t="shared" si="130"/>
        <v>172.34810350180706</v>
      </c>
      <c r="AV246" s="163">
        <f t="shared" si="154"/>
        <v>4.911867690333179</v>
      </c>
      <c r="AW246" s="163">
        <f t="shared" si="131"/>
        <v>2.9069941508032686</v>
      </c>
      <c r="AX246" s="163">
        <f t="shared" si="132"/>
        <v>0</v>
      </c>
      <c r="AY246" s="165">
        <f t="shared" si="155"/>
        <v>1686.6989061409406</v>
      </c>
      <c r="AZ246" s="164">
        <f>IF($E246="","",IF(OR(AND($D246=Input!$C$6,$C246=12),$AN246=1),0,-AS247+AT247+AU247-AV247-AW247-AX247+AZ247))</f>
        <v>1686.699239352401</v>
      </c>
      <c r="BA246" s="154">
        <f t="shared" si="133"/>
        <v>3.3321146042908367E-4</v>
      </c>
      <c r="BC246" s="147">
        <f t="shared" si="156"/>
        <v>9.0974454928181209E-2</v>
      </c>
      <c r="BD246" s="164">
        <f>IF(AND($C245=12,$D245=Input!$C$6),0,IF($E246="","",AT246+(AU246+BD247)/(1+$AK246)*MIN((1-AM246-AN246),1)))</f>
        <v>1677.5909631731488</v>
      </c>
      <c r="BE246" s="164">
        <f t="shared" si="134"/>
        <v>152.61792346711974</v>
      </c>
      <c r="BF246" s="164">
        <f t="shared" si="157"/>
        <v>1686.699239352401</v>
      </c>
      <c r="BG246" s="164">
        <f t="shared" si="135"/>
        <v>153.44654392786254</v>
      </c>
      <c r="BH246" s="152"/>
      <c r="BI246" s="162">
        <f t="shared" si="136"/>
        <v>1123.2764656733088</v>
      </c>
      <c r="BJ246" s="150">
        <f t="shared" si="137"/>
        <v>0</v>
      </c>
      <c r="BK246" s="163">
        <f t="shared" si="161"/>
        <v>0</v>
      </c>
      <c r="BL246" s="163">
        <f t="shared" si="138"/>
        <v>150.60143897818179</v>
      </c>
      <c r="BM246" s="163">
        <f t="shared" si="162"/>
        <v>3.296752697569076</v>
      </c>
      <c r="BN246" s="163">
        <f t="shared" si="139"/>
        <v>1.4720450250317498</v>
      </c>
      <c r="BO246" s="163">
        <f t="shared" si="140"/>
        <v>0</v>
      </c>
      <c r="BP246" s="164">
        <f t="shared" si="163"/>
        <v>977.44382441772791</v>
      </c>
      <c r="BQ246" s="164">
        <f>IF($E246="","",IF(AND($D246=Input!$C$6,$C246=12),0,-BJ247+BK247+BL247-BM247-BN247-BO247+BQ247))</f>
        <v>977.44419642963078</v>
      </c>
      <c r="BR246" s="161">
        <f t="shared" si="141"/>
        <v>0</v>
      </c>
      <c r="BT246" s="147">
        <f t="shared" si="142"/>
        <v>9.0974454928181209E-2</v>
      </c>
      <c r="BU246" s="164">
        <f>IF(AND($C245=12,$D245=Input!$C$6),0,IF($E246="","",BK246+(BL246+BU247)/(1+$AK246)*MIN((1-T246-U246),1)))</f>
        <v>21566.388326888235</v>
      </c>
      <c r="BV246" s="164">
        <f t="shared" si="143"/>
        <v>1961.9904228081471</v>
      </c>
      <c r="BW246" s="164">
        <f t="shared" si="144"/>
        <v>977.44419642963078</v>
      </c>
      <c r="BX246" s="164">
        <f t="shared" si="145"/>
        <v>88.92245299289975</v>
      </c>
    </row>
    <row r="247" spans="1:76" s="150" customFormat="1" x14ac:dyDescent="0.25">
      <c r="A247" s="150">
        <f t="shared" si="158"/>
        <v>243</v>
      </c>
      <c r="B247" s="150">
        <f t="shared" si="159"/>
        <v>21</v>
      </c>
      <c r="C247" s="150">
        <f t="shared" si="160"/>
        <v>3</v>
      </c>
      <c r="D247" s="150">
        <f>IF(E247="","",Input!$C$4+B247-1)</f>
        <v>65</v>
      </c>
      <c r="E247" s="150">
        <f>IF(OR(AND(C246=12,D246=Input!$C$6),E246=""),"",1)</f>
        <v>1</v>
      </c>
      <c r="F247" s="150">
        <f>IF(E247="","",Input!$C$8+B247-1)</f>
        <v>2038</v>
      </c>
      <c r="G247" s="151">
        <f>IF(E247="","",MAX(0,Input!$C$9-B247))</f>
        <v>0</v>
      </c>
      <c r="H247" s="152">
        <f>IF(E247="","",Input!$C$3)</f>
        <v>100000</v>
      </c>
      <c r="I247" s="153">
        <f>IF(E247="","",HLOOKUP($B247,Input!$C$13:$BT$14,2))</f>
        <v>17.786999999999999</v>
      </c>
      <c r="J247" s="154"/>
      <c r="K247" s="155">
        <f>IF($E247="","",INDEX(Input!$C$16:$CP$16,1,$B247))</f>
        <v>2.341E-2</v>
      </c>
      <c r="L247" s="155">
        <f>IF($E247="","",Input!$C$37)</f>
        <v>1.4999999999999999E-2</v>
      </c>
      <c r="M247" s="155">
        <f t="shared" si="164"/>
        <v>3.841E-2</v>
      </c>
      <c r="N247" s="155">
        <f t="shared" si="165"/>
        <v>3.1458291945904993E-3</v>
      </c>
      <c r="O247" s="147">
        <f>IF($E247="","",MIN(VLOOKUP(IF($B247&lt;=Input!$C$7,$B247,26),'Mortality Tables'!$A$41:$CW$67,IF($B247&lt;=Input!$C$7+1,Input!$C$4+2,$D247-Input!$C$7+2),0)*IF(B247&gt;20,Input!$C$22,1)/1000,1))</f>
        <v>1.9813200000000003E-2</v>
      </c>
      <c r="P247" s="147">
        <f>IF($E247="","",MIN(VLOOKUP(IF($B247&lt;=Input!$C$7,$B247,26),'Mortality Tables'!$A$12:$CW$37,IF($B247&lt;=Input!$C$7+1,Input!$C$4+2,$D247-Input!$C$7+2),0)*IF(B247&gt;20,Input!$C$22,1)/1000,1))</f>
        <v>2.47665E-2</v>
      </c>
      <c r="Q247" s="155">
        <f>IF($E247="","",Input!$C$21)</f>
        <v>5.0000000000000001E-3</v>
      </c>
      <c r="R247" s="159">
        <f>IF($E247="","",(1-Q247)^($F247-Input!$C$20))</f>
        <v>0.90461048027461777</v>
      </c>
      <c r="S247" s="147">
        <f t="shared" si="123"/>
        <v>1.7923228367777058E-2</v>
      </c>
      <c r="T247" s="147">
        <f t="shared" si="124"/>
        <v>1.5060143897818179E-3</v>
      </c>
      <c r="U247" s="160">
        <f>IF($E247="","",IF($C247=12,INDEX(Input!$C$15:$CP$15,1,$B247),0))</f>
        <v>0</v>
      </c>
      <c r="V247" s="150">
        <f>IF(E247="","",IF(C247=1,IF($B247=1,Input!$C$33,Input!$C$34),0))</f>
        <v>0</v>
      </c>
      <c r="W247" s="156">
        <f>IF($E247="","",Input!$C$35)</f>
        <v>0.02</v>
      </c>
      <c r="X247" s="156">
        <f t="shared" si="166"/>
        <v>1.4859473959783549</v>
      </c>
      <c r="Y247" s="154"/>
      <c r="Z247" s="147">
        <f>IF($E247="","",VLOOKUP($D247,'Mortality Margins &amp; Grading'!$AB$5:$AF$125,3,0)*IF(Summary!$D$25="Included Margin",IF(AND($B247&gt;Input!$C$9,Summary!$D$31&lt;&gt;"Included Margin"),0,1),0))</f>
        <v>3.4000000000000002E-2</v>
      </c>
      <c r="AA247" s="147">
        <f>IF($E247="","",VLOOKUP($D247,'Mortality Margins &amp; Grading'!$AB$5:$AF$125,5,0)*IF(Summary!$D$25="Included Margin",IF(AND($B247&gt;Input!$C$9,Summary!$D$31&lt;&gt;"Included Margin"),0,1),0))</f>
        <v>0.17399999999999999</v>
      </c>
      <c r="AB247" s="147">
        <f>IF($E247="","",IF(AND($B247&gt;Input!$C$9,Summary!$D$31&lt;&gt;"Included Margin"),1,IF(Summary!$D$25="Included Margin",VLOOKUP($B247,'Mortality Margins &amp; Grading'!$AI$5:$AR$125,MATCH('Mortality Margins &amp; Grading'!$AQ$4,'Mortality Margins &amp; Grading'!$AI$4:$AR$4,0),0),1)))</f>
        <v>1</v>
      </c>
      <c r="AC247" s="154"/>
      <c r="AD247" s="158">
        <f>IF(E247="","",Input!$C$48*IF(Summary!$D$30="Included Margin",IF(AND($B247&gt;Input!$C$9,Summary!$D$31&lt;&gt;"Included Margin"),0,1),0))</f>
        <v>-4.4999999999999997E-3</v>
      </c>
      <c r="AE247" s="159">
        <f>IF(E247="","",IF(Summary!$D$26="Included Margin",IF(AND($B247&gt;Input!$C$9,Summary!$D$31&lt;&gt;"Included Margin"),1,1/$R247),1))</f>
        <v>1.1054481700194589</v>
      </c>
      <c r="AF247" s="160">
        <f>IF(E247="","",IF(AND($B247&gt;=Input!$C$9,$C247=12,Summary!$D$31="Included Margin",$U247&gt;0),1/U247-1,IF($B247&gt;=Input!$C$9,0,Input!$C$45*IF(Summary!$D$27="Included Margin",1,0))))</f>
        <v>0</v>
      </c>
      <c r="AG247" s="160">
        <f>IF(E247="","",Input!$C$46*IF(Summary!$D$28="Included Margin",IF(AND($B247&gt;Input!$C$9,Summary!$D$31&lt;&gt;"Included Margin"),0,1),0))</f>
        <v>0.02</v>
      </c>
      <c r="AH247" s="158">
        <f>IF(E247="","",Input!$C$47*IF(Summary!$D$29="Included Margin",IF(AND($B247&gt;Input!$C$9,Summary!$D$31&lt;&gt;"Included Margin"),0,1),0))</f>
        <v>2.5000000000000001E-3</v>
      </c>
      <c r="AI247" s="154"/>
      <c r="AJ247" s="158">
        <f t="shared" si="148"/>
        <v>3.3910000000000003E-2</v>
      </c>
      <c r="AK247" s="155">
        <f t="shared" si="149"/>
        <v>2.7828425776430521E-3</v>
      </c>
      <c r="AL247" s="147">
        <f t="shared" si="150"/>
        <v>2.0486848800000002E-2</v>
      </c>
      <c r="AM247" s="147">
        <f t="shared" si="126"/>
        <v>1.7234810350180707E-3</v>
      </c>
      <c r="AN247" s="160">
        <f t="shared" si="151"/>
        <v>0</v>
      </c>
      <c r="AO247" s="161">
        <f t="shared" si="152"/>
        <v>0</v>
      </c>
      <c r="AP247" s="156">
        <f t="shared" si="127"/>
        <v>1.5605092006847148</v>
      </c>
      <c r="AQ247" s="152"/>
      <c r="AR247" s="162">
        <f t="shared" si="128"/>
        <v>1686.6989061409408</v>
      </c>
      <c r="AS247" s="150">
        <f t="shared" si="153"/>
        <v>0</v>
      </c>
      <c r="AT247" s="163">
        <f t="shared" si="129"/>
        <v>0</v>
      </c>
      <c r="AU247" s="163">
        <f t="shared" si="130"/>
        <v>172.34810350180706</v>
      </c>
      <c r="AV247" s="163">
        <f t="shared" si="154"/>
        <v>4.4540087113725422</v>
      </c>
      <c r="AW247" s="163">
        <f t="shared" si="131"/>
        <v>2.6221510902153664</v>
      </c>
      <c r="AX247" s="163">
        <f t="shared" si="132"/>
        <v>0</v>
      </c>
      <c r="AY247" s="164">
        <f t="shared" si="155"/>
        <v>1521.4269624407216</v>
      </c>
      <c r="AZ247" s="164">
        <f>IF($E247="","",IF(OR(AND($D247=Input!$C$6,$C247=12),$AN247=1),0,-AS248+AT248+AU248-AV248-AW248-AX248+AZ248))</f>
        <v>1521.4272956521818</v>
      </c>
      <c r="BA247" s="154">
        <f t="shared" si="133"/>
        <v>3.3321146020171E-4</v>
      </c>
      <c r="BC247" s="147">
        <f t="shared" si="156"/>
        <v>9.0837446089956808E-2</v>
      </c>
      <c r="BD247" s="164">
        <f>IF(AND($C246=12,$D246=Input!$C$6),0,IF($E247="","",AT247+(AU247+BD248)/(1+$AK247)*MIN((1-AM247-AN247),1)))</f>
        <v>1512.8156790516593</v>
      </c>
      <c r="BE247" s="164">
        <f t="shared" si="134"/>
        <v>137.42031268989652</v>
      </c>
      <c r="BF247" s="164">
        <f t="shared" si="157"/>
        <v>1521.4272956521818</v>
      </c>
      <c r="BG247" s="164">
        <f t="shared" si="135"/>
        <v>138.20256994859383</v>
      </c>
      <c r="BH247" s="152"/>
      <c r="BI247" s="162">
        <f t="shared" si="136"/>
        <v>977.4438244177278</v>
      </c>
      <c r="BJ247" s="150">
        <f t="shared" si="137"/>
        <v>0</v>
      </c>
      <c r="BK247" s="163">
        <f t="shared" si="161"/>
        <v>0</v>
      </c>
      <c r="BL247" s="163">
        <f t="shared" si="138"/>
        <v>150.60143897818179</v>
      </c>
      <c r="BM247" s="163">
        <f t="shared" si="162"/>
        <v>2.8379881171830261</v>
      </c>
      <c r="BN247" s="163">
        <f t="shared" si="139"/>
        <v>1.2513957617758134</v>
      </c>
      <c r="BO247" s="163">
        <f t="shared" si="140"/>
        <v>0</v>
      </c>
      <c r="BP247" s="164">
        <f t="shared" si="163"/>
        <v>830.93176931850485</v>
      </c>
      <c r="BQ247" s="164">
        <f>IF($E247="","",IF(AND($D247=Input!$C$6,$C247=12),0,-BJ248+BK248+BL248-BM248-BN248-BO248+BQ248))</f>
        <v>830.93214133040783</v>
      </c>
      <c r="BR247" s="161">
        <f t="shared" si="141"/>
        <v>0</v>
      </c>
      <c r="BT247" s="147">
        <f t="shared" si="142"/>
        <v>9.0837446089956808E-2</v>
      </c>
      <c r="BU247" s="164">
        <f>IF(AND($C246=12,$D246=Input!$C$6),0,IF($E247="","",BK247+(BL247+BU248)/(1+$AK247)*MIN((1-T247-U247),1)))</f>
        <v>21508.421551884956</v>
      </c>
      <c r="BV247" s="164">
        <f t="shared" si="143"/>
        <v>1953.7700831994148</v>
      </c>
      <c r="BW247" s="164">
        <f t="shared" si="144"/>
        <v>830.93214133040783</v>
      </c>
      <c r="BX247" s="164">
        <f t="shared" si="145"/>
        <v>75.479753592513291</v>
      </c>
    </row>
    <row r="248" spans="1:76" s="150" customFormat="1" x14ac:dyDescent="0.25">
      <c r="A248" s="150">
        <f t="shared" si="158"/>
        <v>244</v>
      </c>
      <c r="B248" s="150">
        <f t="shared" si="159"/>
        <v>21</v>
      </c>
      <c r="C248" s="150">
        <f t="shared" si="160"/>
        <v>4</v>
      </c>
      <c r="D248" s="150">
        <f>IF(E248="","",Input!$C$4+B248-1)</f>
        <v>65</v>
      </c>
      <c r="E248" s="150">
        <f>IF(OR(AND(C247=12,D247=Input!$C$6),E247=""),"",1)</f>
        <v>1</v>
      </c>
      <c r="F248" s="150">
        <f>IF(E248="","",Input!$C$8+B248-1)</f>
        <v>2038</v>
      </c>
      <c r="G248" s="151">
        <f>IF(E248="","",MAX(0,Input!$C$9-B248))</f>
        <v>0</v>
      </c>
      <c r="H248" s="152">
        <f>IF(E248="","",Input!$C$3)</f>
        <v>100000</v>
      </c>
      <c r="I248" s="153">
        <f>IF(E248="","",HLOOKUP($B248,Input!$C$13:$BT$14,2))</f>
        <v>17.786999999999999</v>
      </c>
      <c r="J248" s="154"/>
      <c r="K248" s="155">
        <f>IF($E248="","",INDEX(Input!$C$16:$CP$16,1,$B248))</f>
        <v>2.341E-2</v>
      </c>
      <c r="L248" s="155">
        <f>IF($E248="","",Input!$C$37)</f>
        <v>1.4999999999999999E-2</v>
      </c>
      <c r="M248" s="155">
        <f t="shared" si="164"/>
        <v>3.841E-2</v>
      </c>
      <c r="N248" s="155">
        <f t="shared" si="165"/>
        <v>3.1458291945904993E-3</v>
      </c>
      <c r="O248" s="147">
        <f>IF($E248="","",MIN(VLOOKUP(IF($B248&lt;=Input!$C$7,$B248,26),'Mortality Tables'!$A$41:$CW$67,IF($B248&lt;=Input!$C$7+1,Input!$C$4+2,$D248-Input!$C$7+2),0)*IF(B248&gt;20,Input!$C$22,1)/1000,1))</f>
        <v>1.9813200000000003E-2</v>
      </c>
      <c r="P248" s="147">
        <f>IF($E248="","",MIN(VLOOKUP(IF($B248&lt;=Input!$C$7,$B248,26),'Mortality Tables'!$A$12:$CW$37,IF($B248&lt;=Input!$C$7+1,Input!$C$4+2,$D248-Input!$C$7+2),0)*IF(B248&gt;20,Input!$C$22,1)/1000,1))</f>
        <v>2.47665E-2</v>
      </c>
      <c r="Q248" s="155">
        <f>IF($E248="","",Input!$C$21)</f>
        <v>5.0000000000000001E-3</v>
      </c>
      <c r="R248" s="159">
        <f>IF($E248="","",(1-Q248)^($F248-Input!$C$20))</f>
        <v>0.90461048027461777</v>
      </c>
      <c r="S248" s="147">
        <f t="shared" si="123"/>
        <v>1.7923228367777058E-2</v>
      </c>
      <c r="T248" s="147">
        <f t="shared" si="124"/>
        <v>1.5060143897818179E-3</v>
      </c>
      <c r="U248" s="160">
        <f>IF($E248="","",IF($C248=12,INDEX(Input!$C$15:$CP$15,1,$B248),0))</f>
        <v>0</v>
      </c>
      <c r="V248" s="150">
        <f>IF(E248="","",IF(C248=1,IF($B248=1,Input!$C$33,Input!$C$34),0))</f>
        <v>0</v>
      </c>
      <c r="W248" s="156">
        <f>IF($E248="","",Input!$C$35)</f>
        <v>0.02</v>
      </c>
      <c r="X248" s="156">
        <f t="shared" si="166"/>
        <v>1.4859473959783549</v>
      </c>
      <c r="Y248" s="154"/>
      <c r="Z248" s="147">
        <f>IF($E248="","",VLOOKUP($D248,'Mortality Margins &amp; Grading'!$AB$5:$AF$125,3,0)*IF(Summary!$D$25="Included Margin",IF(AND($B248&gt;Input!$C$9,Summary!$D$31&lt;&gt;"Included Margin"),0,1),0))</f>
        <v>3.4000000000000002E-2</v>
      </c>
      <c r="AA248" s="147">
        <f>IF($E248="","",VLOOKUP($D248,'Mortality Margins &amp; Grading'!$AB$5:$AF$125,5,0)*IF(Summary!$D$25="Included Margin",IF(AND($B248&gt;Input!$C$9,Summary!$D$31&lt;&gt;"Included Margin"),0,1),0))</f>
        <v>0.17399999999999999</v>
      </c>
      <c r="AB248" s="147">
        <f>IF($E248="","",IF(AND($B248&gt;Input!$C$9,Summary!$D$31&lt;&gt;"Included Margin"),1,IF(Summary!$D$25="Included Margin",VLOOKUP($B248,'Mortality Margins &amp; Grading'!$AI$5:$AR$125,MATCH('Mortality Margins &amp; Grading'!$AQ$4,'Mortality Margins &amp; Grading'!$AI$4:$AR$4,0),0),1)))</f>
        <v>1</v>
      </c>
      <c r="AC248" s="154"/>
      <c r="AD248" s="158">
        <f>IF(E248="","",Input!$C$48*IF(Summary!$D$30="Included Margin",IF(AND($B248&gt;Input!$C$9,Summary!$D$31&lt;&gt;"Included Margin"),0,1),0))</f>
        <v>-4.4999999999999997E-3</v>
      </c>
      <c r="AE248" s="159">
        <f>IF(E248="","",IF(Summary!$D$26="Included Margin",IF(AND($B248&gt;Input!$C$9,Summary!$D$31&lt;&gt;"Included Margin"),1,1/$R248),1))</f>
        <v>1.1054481700194589</v>
      </c>
      <c r="AF248" s="160">
        <f>IF(E248="","",IF(AND($B248&gt;=Input!$C$9,$C248=12,Summary!$D$31="Included Margin",$U248&gt;0),1/U248-1,IF($B248&gt;=Input!$C$9,0,Input!$C$45*IF(Summary!$D$27="Included Margin",1,0))))</f>
        <v>0</v>
      </c>
      <c r="AG248" s="160">
        <f>IF(E248="","",Input!$C$46*IF(Summary!$D$28="Included Margin",IF(AND($B248&gt;Input!$C$9,Summary!$D$31&lt;&gt;"Included Margin"),0,1),0))</f>
        <v>0.02</v>
      </c>
      <c r="AH248" s="158">
        <f>IF(E248="","",Input!$C$47*IF(Summary!$D$29="Included Margin",IF(AND($B248&gt;Input!$C$9,Summary!$D$31&lt;&gt;"Included Margin"),0,1),0))</f>
        <v>2.5000000000000001E-3</v>
      </c>
      <c r="AI248" s="154"/>
      <c r="AJ248" s="158">
        <f t="shared" si="148"/>
        <v>3.3910000000000003E-2</v>
      </c>
      <c r="AK248" s="155">
        <f t="shared" si="149"/>
        <v>2.7828425776430521E-3</v>
      </c>
      <c r="AL248" s="147">
        <f t="shared" si="150"/>
        <v>2.0486848800000002E-2</v>
      </c>
      <c r="AM248" s="147">
        <f t="shared" si="126"/>
        <v>1.7234810350180707E-3</v>
      </c>
      <c r="AN248" s="160">
        <f t="shared" si="151"/>
        <v>0</v>
      </c>
      <c r="AO248" s="161">
        <f t="shared" si="152"/>
        <v>0</v>
      </c>
      <c r="AP248" s="156">
        <f t="shared" si="127"/>
        <v>1.5605092006847148</v>
      </c>
      <c r="AQ248" s="152"/>
      <c r="AR248" s="162">
        <f t="shared" si="128"/>
        <v>1521.4269624407216</v>
      </c>
      <c r="AS248" s="150">
        <f t="shared" si="153"/>
        <v>0</v>
      </c>
      <c r="AT248" s="163">
        <f t="shared" si="129"/>
        <v>0</v>
      </c>
      <c r="AU248" s="163">
        <f t="shared" si="130"/>
        <v>172.34810350180706</v>
      </c>
      <c r="AV248" s="163">
        <f t="shared" si="154"/>
        <v>3.9940829095537462</v>
      </c>
      <c r="AW248" s="163">
        <f t="shared" si="131"/>
        <v>2.3360222185466224</v>
      </c>
      <c r="AX248" s="163">
        <f t="shared" si="132"/>
        <v>0</v>
      </c>
      <c r="AY248" s="165">
        <f t="shared" si="155"/>
        <v>1355.4089640670147</v>
      </c>
      <c r="AZ248" s="164">
        <f>IF($E248="","",IF(OR(AND($D248=Input!$C$6,$C248=12),$AN248=1),0,-AS249+AT249+AU249-AV249-AW249-AX249+AZ249))</f>
        <v>1355.4092972784752</v>
      </c>
      <c r="BA248" s="154">
        <f t="shared" si="133"/>
        <v>3.3321146042908367E-4</v>
      </c>
      <c r="BC248" s="147">
        <f t="shared" si="156"/>
        <v>9.0700643589014307E-2</v>
      </c>
      <c r="BD248" s="164">
        <f>IF(AND($C247=12,$D247=Input!$C$6),0,IF($E248="","",AT248+(AU248+BD249)/(1+$AK248)*MIN((1-AM248-AN248),1)))</f>
        <v>1347.2965822294668</v>
      </c>
      <c r="BE248" s="164">
        <f t="shared" si="134"/>
        <v>122.20066711349197</v>
      </c>
      <c r="BF248" s="164">
        <f t="shared" si="157"/>
        <v>1355.4092972784752</v>
      </c>
      <c r="BG248" s="164">
        <f t="shared" si="135"/>
        <v>122.93649558969132</v>
      </c>
      <c r="BH248" s="152"/>
      <c r="BI248" s="162">
        <f t="shared" si="136"/>
        <v>830.93176931850496</v>
      </c>
      <c r="BJ248" s="150">
        <f t="shared" si="137"/>
        <v>0</v>
      </c>
      <c r="BK248" s="163">
        <f t="shared" si="161"/>
        <v>0</v>
      </c>
      <c r="BL248" s="163">
        <f t="shared" si="138"/>
        <v>150.60143897818179</v>
      </c>
      <c r="BM248" s="163">
        <f t="shared" si="162"/>
        <v>2.3770862168924394</v>
      </c>
      <c r="BN248" s="163">
        <f t="shared" si="139"/>
        <v>1.0297185245165621</v>
      </c>
      <c r="BO248" s="163">
        <f t="shared" si="140"/>
        <v>0</v>
      </c>
      <c r="BP248" s="164">
        <f t="shared" si="163"/>
        <v>683.73713508173205</v>
      </c>
      <c r="BQ248" s="164">
        <f>IF($E248="","",IF(AND($D248=Input!$C$6,$C248=12),0,-BJ249+BK249+BL249-BM249-BN249-BO249+BQ249))</f>
        <v>683.73750709363503</v>
      </c>
      <c r="BR248" s="161">
        <f t="shared" si="141"/>
        <v>0</v>
      </c>
      <c r="BT248" s="147">
        <f t="shared" si="142"/>
        <v>9.0700643589014307E-2</v>
      </c>
      <c r="BU248" s="164">
        <f>IF(AND($C247=12,$D247=Input!$C$6),0,IF($E248="","",BK248+(BL248+BU249)/(1+$AK248)*MIN((1-T248-U248),1)))</f>
        <v>21450.205790698052</v>
      </c>
      <c r="BV248" s="164">
        <f t="shared" si="143"/>
        <v>1945.5474703331149</v>
      </c>
      <c r="BW248" s="164">
        <f t="shared" si="144"/>
        <v>683.73750709363503</v>
      </c>
      <c r="BX248" s="164">
        <f t="shared" si="145"/>
        <v>62.015431939340935</v>
      </c>
    </row>
    <row r="249" spans="1:76" s="150" customFormat="1" x14ac:dyDescent="0.25">
      <c r="A249" s="150">
        <f t="shared" si="158"/>
        <v>245</v>
      </c>
      <c r="B249" s="150">
        <f t="shared" si="159"/>
        <v>21</v>
      </c>
      <c r="C249" s="150">
        <f t="shared" si="160"/>
        <v>5</v>
      </c>
      <c r="D249" s="150">
        <f>IF(E249="","",Input!$C$4+B249-1)</f>
        <v>65</v>
      </c>
      <c r="E249" s="150">
        <f>IF(OR(AND(C248=12,D248=Input!$C$6),E248=""),"",1)</f>
        <v>1</v>
      </c>
      <c r="F249" s="150">
        <f>IF(E249="","",Input!$C$8+B249-1)</f>
        <v>2038</v>
      </c>
      <c r="G249" s="151">
        <f>IF(E249="","",MAX(0,Input!$C$9-B249))</f>
        <v>0</v>
      </c>
      <c r="H249" s="152">
        <f>IF(E249="","",Input!$C$3)</f>
        <v>100000</v>
      </c>
      <c r="I249" s="153">
        <f>IF(E249="","",HLOOKUP($B249,Input!$C$13:$BT$14,2))</f>
        <v>17.786999999999999</v>
      </c>
      <c r="J249" s="154"/>
      <c r="K249" s="155">
        <f>IF($E249="","",INDEX(Input!$C$16:$CP$16,1,$B249))</f>
        <v>2.341E-2</v>
      </c>
      <c r="L249" s="155">
        <f>IF($E249="","",Input!$C$37)</f>
        <v>1.4999999999999999E-2</v>
      </c>
      <c r="M249" s="155">
        <f t="shared" si="164"/>
        <v>3.841E-2</v>
      </c>
      <c r="N249" s="155">
        <f t="shared" si="165"/>
        <v>3.1458291945904993E-3</v>
      </c>
      <c r="O249" s="147">
        <f>IF($E249="","",MIN(VLOOKUP(IF($B249&lt;=Input!$C$7,$B249,26),'Mortality Tables'!$A$41:$CW$67,IF($B249&lt;=Input!$C$7+1,Input!$C$4+2,$D249-Input!$C$7+2),0)*IF(B249&gt;20,Input!$C$22,1)/1000,1))</f>
        <v>1.9813200000000003E-2</v>
      </c>
      <c r="P249" s="147">
        <f>IF($E249="","",MIN(VLOOKUP(IF($B249&lt;=Input!$C$7,$B249,26),'Mortality Tables'!$A$12:$CW$37,IF($B249&lt;=Input!$C$7+1,Input!$C$4+2,$D249-Input!$C$7+2),0)*IF(B249&gt;20,Input!$C$22,1)/1000,1))</f>
        <v>2.47665E-2</v>
      </c>
      <c r="Q249" s="155">
        <f>IF($E249="","",Input!$C$21)</f>
        <v>5.0000000000000001E-3</v>
      </c>
      <c r="R249" s="159">
        <f>IF($E249="","",(1-Q249)^($F249-Input!$C$20))</f>
        <v>0.90461048027461777</v>
      </c>
      <c r="S249" s="147">
        <f t="shared" si="123"/>
        <v>1.7923228367777058E-2</v>
      </c>
      <c r="T249" s="147">
        <f t="shared" si="124"/>
        <v>1.5060143897818179E-3</v>
      </c>
      <c r="U249" s="160">
        <f>IF($E249="","",IF($C249=12,INDEX(Input!$C$15:$CP$15,1,$B249),0))</f>
        <v>0</v>
      </c>
      <c r="V249" s="150">
        <f>IF(E249="","",IF(C249=1,IF($B249=1,Input!$C$33,Input!$C$34),0))</f>
        <v>0</v>
      </c>
      <c r="W249" s="156">
        <f>IF($E249="","",Input!$C$35)</f>
        <v>0.02</v>
      </c>
      <c r="X249" s="156">
        <f t="shared" si="166"/>
        <v>1.4859473959783549</v>
      </c>
      <c r="Y249" s="154"/>
      <c r="Z249" s="147">
        <f>IF($E249="","",VLOOKUP($D249,'Mortality Margins &amp; Grading'!$AB$5:$AF$125,3,0)*IF(Summary!$D$25="Included Margin",IF(AND($B249&gt;Input!$C$9,Summary!$D$31&lt;&gt;"Included Margin"),0,1),0))</f>
        <v>3.4000000000000002E-2</v>
      </c>
      <c r="AA249" s="147">
        <f>IF($E249="","",VLOOKUP($D249,'Mortality Margins &amp; Grading'!$AB$5:$AF$125,5,0)*IF(Summary!$D$25="Included Margin",IF(AND($B249&gt;Input!$C$9,Summary!$D$31&lt;&gt;"Included Margin"),0,1),0))</f>
        <v>0.17399999999999999</v>
      </c>
      <c r="AB249" s="147">
        <f>IF($E249="","",IF(AND($B249&gt;Input!$C$9,Summary!$D$31&lt;&gt;"Included Margin"),1,IF(Summary!$D$25="Included Margin",VLOOKUP($B249,'Mortality Margins &amp; Grading'!$AI$5:$AR$125,MATCH('Mortality Margins &amp; Grading'!$AQ$4,'Mortality Margins &amp; Grading'!$AI$4:$AR$4,0),0),1)))</f>
        <v>1</v>
      </c>
      <c r="AC249" s="154"/>
      <c r="AD249" s="158">
        <f>IF(E249="","",Input!$C$48*IF(Summary!$D$30="Included Margin",IF(AND($B249&gt;Input!$C$9,Summary!$D$31&lt;&gt;"Included Margin"),0,1),0))</f>
        <v>-4.4999999999999997E-3</v>
      </c>
      <c r="AE249" s="159">
        <f>IF(E249="","",IF(Summary!$D$26="Included Margin",IF(AND($B249&gt;Input!$C$9,Summary!$D$31&lt;&gt;"Included Margin"),1,1/$R249),1))</f>
        <v>1.1054481700194589</v>
      </c>
      <c r="AF249" s="160">
        <f>IF(E249="","",IF(AND($B249&gt;=Input!$C$9,$C249=12,Summary!$D$31="Included Margin",$U249&gt;0),1/U249-1,IF($B249&gt;=Input!$C$9,0,Input!$C$45*IF(Summary!$D$27="Included Margin",1,0))))</f>
        <v>0</v>
      </c>
      <c r="AG249" s="160">
        <f>IF(E249="","",Input!$C$46*IF(Summary!$D$28="Included Margin",IF(AND($B249&gt;Input!$C$9,Summary!$D$31&lt;&gt;"Included Margin"),0,1),0))</f>
        <v>0.02</v>
      </c>
      <c r="AH249" s="158">
        <f>IF(E249="","",Input!$C$47*IF(Summary!$D$29="Included Margin",IF(AND($B249&gt;Input!$C$9,Summary!$D$31&lt;&gt;"Included Margin"),0,1),0))</f>
        <v>2.5000000000000001E-3</v>
      </c>
      <c r="AI249" s="154"/>
      <c r="AJ249" s="158">
        <f t="shared" si="148"/>
        <v>3.3910000000000003E-2</v>
      </c>
      <c r="AK249" s="155">
        <f t="shared" si="149"/>
        <v>2.7828425776430521E-3</v>
      </c>
      <c r="AL249" s="147">
        <f t="shared" si="150"/>
        <v>2.0486848800000002E-2</v>
      </c>
      <c r="AM249" s="147">
        <f t="shared" si="126"/>
        <v>1.7234810350180707E-3</v>
      </c>
      <c r="AN249" s="160">
        <f t="shared" si="151"/>
        <v>0</v>
      </c>
      <c r="AO249" s="161">
        <f t="shared" si="152"/>
        <v>0</v>
      </c>
      <c r="AP249" s="156">
        <f t="shared" si="127"/>
        <v>1.5605092006847148</v>
      </c>
      <c r="AQ249" s="152"/>
      <c r="AR249" s="162">
        <f t="shared" si="128"/>
        <v>1355.4089640670149</v>
      </c>
      <c r="AS249" s="150">
        <f t="shared" si="153"/>
        <v>0</v>
      </c>
      <c r="AT249" s="163">
        <f t="shared" si="129"/>
        <v>0</v>
      </c>
      <c r="AU249" s="163">
        <f t="shared" si="130"/>
        <v>172.34810350180706</v>
      </c>
      <c r="AV249" s="163">
        <f t="shared" si="154"/>
        <v>3.5320809550243206</v>
      </c>
      <c r="AW249" s="163">
        <f t="shared" si="131"/>
        <v>2.0486017315126266</v>
      </c>
      <c r="AX249" s="163">
        <f t="shared" si="132"/>
        <v>0</v>
      </c>
      <c r="AY249" s="164">
        <f t="shared" si="155"/>
        <v>1188.6415432517449</v>
      </c>
      <c r="AZ249" s="164">
        <f>IF($E249="","",IF(OR(AND($D249=Input!$C$6,$C249=12),$AN249=1),0,-AS250+AT250+AU250-AV250-AW250-AX250+AZ250))</f>
        <v>1188.6418764632051</v>
      </c>
      <c r="BA249" s="154">
        <f t="shared" si="133"/>
        <v>3.3321146020171E-4</v>
      </c>
      <c r="BC249" s="147">
        <f t="shared" si="156"/>
        <v>9.0564047114606777E-2</v>
      </c>
      <c r="BD249" s="164">
        <f>IF(AND($C248=12,$D248=Input!$C$6),0,IF($E249="","",AT249+(AU249+BD250)/(1+$AK249)*MIN((1-AM249-AN249),1)))</f>
        <v>1181.030315058993</v>
      </c>
      <c r="BE249" s="164">
        <f t="shared" si="134"/>
        <v>106.95888509678153</v>
      </c>
      <c r="BF249" s="164">
        <f t="shared" si="157"/>
        <v>1188.6418764632051</v>
      </c>
      <c r="BG249" s="164">
        <f t="shared" si="135"/>
        <v>107.64821890240832</v>
      </c>
      <c r="BH249" s="152"/>
      <c r="BI249" s="162">
        <f t="shared" si="136"/>
        <v>683.73713508173205</v>
      </c>
      <c r="BJ249" s="150">
        <f t="shared" si="137"/>
        <v>0</v>
      </c>
      <c r="BK249" s="163">
        <f t="shared" si="161"/>
        <v>0</v>
      </c>
      <c r="BL249" s="163">
        <f t="shared" si="138"/>
        <v>150.60143897818179</v>
      </c>
      <c r="BM249" s="163">
        <f t="shared" si="162"/>
        <v>1.9140370392233288</v>
      </c>
      <c r="BN249" s="163">
        <f t="shared" si="139"/>
        <v>0.8070085240671393</v>
      </c>
      <c r="BO249" s="163">
        <f t="shared" si="140"/>
        <v>0</v>
      </c>
      <c r="BP249" s="164">
        <f t="shared" si="163"/>
        <v>535.85674166684066</v>
      </c>
      <c r="BQ249" s="164">
        <f>IF($E249="","",IF(AND($D249=Input!$C$6,$C249=12),0,-BJ250+BK250+BL250-BM250-BN250-BO250+BQ250))</f>
        <v>535.85711367874364</v>
      </c>
      <c r="BR249" s="161">
        <f t="shared" si="141"/>
        <v>0</v>
      </c>
      <c r="BT249" s="147">
        <f t="shared" si="142"/>
        <v>9.0564047114606777E-2</v>
      </c>
      <c r="BU249" s="164">
        <f>IF(AND($C248=12,$D248=Input!$C$6),0,IF($E249="","",BK249+(BL249+BU250)/(1+$AK249)*MIN((1-T249-U249),1)))</f>
        <v>21391.739973850745</v>
      </c>
      <c r="BV249" s="164">
        <f t="shared" si="143"/>
        <v>1937.3225468552359</v>
      </c>
      <c r="BW249" s="164">
        <f t="shared" si="144"/>
        <v>535.85711367874364</v>
      </c>
      <c r="BX249" s="164">
        <f t="shared" si="145"/>
        <v>48.529388889898939</v>
      </c>
    </row>
    <row r="250" spans="1:76" s="150" customFormat="1" x14ac:dyDescent="0.25">
      <c r="A250" s="150">
        <f t="shared" si="158"/>
        <v>246</v>
      </c>
      <c r="B250" s="150">
        <f t="shared" si="159"/>
        <v>21</v>
      </c>
      <c r="C250" s="150">
        <f t="shared" si="160"/>
        <v>6</v>
      </c>
      <c r="D250" s="150">
        <f>IF(E250="","",Input!$C$4+B250-1)</f>
        <v>65</v>
      </c>
      <c r="E250" s="150">
        <f>IF(OR(AND(C249=12,D249=Input!$C$6),E249=""),"",1)</f>
        <v>1</v>
      </c>
      <c r="F250" s="150">
        <f>IF(E250="","",Input!$C$8+B250-1)</f>
        <v>2038</v>
      </c>
      <c r="G250" s="151">
        <f>IF(E250="","",MAX(0,Input!$C$9-B250))</f>
        <v>0</v>
      </c>
      <c r="H250" s="152">
        <f>IF(E250="","",Input!$C$3)</f>
        <v>100000</v>
      </c>
      <c r="I250" s="153">
        <f>IF(E250="","",HLOOKUP($B250,Input!$C$13:$BT$14,2))</f>
        <v>17.786999999999999</v>
      </c>
      <c r="J250" s="154"/>
      <c r="K250" s="155">
        <f>IF($E250="","",INDEX(Input!$C$16:$CP$16,1,$B250))</f>
        <v>2.341E-2</v>
      </c>
      <c r="L250" s="155">
        <f>IF($E250="","",Input!$C$37)</f>
        <v>1.4999999999999999E-2</v>
      </c>
      <c r="M250" s="155">
        <f t="shared" si="164"/>
        <v>3.841E-2</v>
      </c>
      <c r="N250" s="155">
        <f t="shared" si="165"/>
        <v>3.1458291945904993E-3</v>
      </c>
      <c r="O250" s="147">
        <f>IF($E250="","",MIN(VLOOKUP(IF($B250&lt;=Input!$C$7,$B250,26),'Mortality Tables'!$A$41:$CW$67,IF($B250&lt;=Input!$C$7+1,Input!$C$4+2,$D250-Input!$C$7+2),0)*IF(B250&gt;20,Input!$C$22,1)/1000,1))</f>
        <v>1.9813200000000003E-2</v>
      </c>
      <c r="P250" s="147">
        <f>IF($E250="","",MIN(VLOOKUP(IF($B250&lt;=Input!$C$7,$B250,26),'Mortality Tables'!$A$12:$CW$37,IF($B250&lt;=Input!$C$7+1,Input!$C$4+2,$D250-Input!$C$7+2),0)*IF(B250&gt;20,Input!$C$22,1)/1000,1))</f>
        <v>2.47665E-2</v>
      </c>
      <c r="Q250" s="155">
        <f>IF($E250="","",Input!$C$21)</f>
        <v>5.0000000000000001E-3</v>
      </c>
      <c r="R250" s="159">
        <f>IF($E250="","",(1-Q250)^($F250-Input!$C$20))</f>
        <v>0.90461048027461777</v>
      </c>
      <c r="S250" s="147">
        <f t="shared" si="123"/>
        <v>1.7923228367777058E-2</v>
      </c>
      <c r="T250" s="147">
        <f t="shared" si="124"/>
        <v>1.5060143897818179E-3</v>
      </c>
      <c r="U250" s="160">
        <f>IF($E250="","",IF($C250=12,INDEX(Input!$C$15:$CP$15,1,$B250),0))</f>
        <v>0</v>
      </c>
      <c r="V250" s="150">
        <f>IF(E250="","",IF(C250=1,IF($B250=1,Input!$C$33,Input!$C$34),0))</f>
        <v>0</v>
      </c>
      <c r="W250" s="156">
        <f>IF($E250="","",Input!$C$35)</f>
        <v>0.02</v>
      </c>
      <c r="X250" s="156">
        <f t="shared" si="166"/>
        <v>1.4859473959783549</v>
      </c>
      <c r="Y250" s="154"/>
      <c r="Z250" s="147">
        <f>IF($E250="","",VLOOKUP($D250,'Mortality Margins &amp; Grading'!$AB$5:$AF$125,3,0)*IF(Summary!$D$25="Included Margin",IF(AND($B250&gt;Input!$C$9,Summary!$D$31&lt;&gt;"Included Margin"),0,1),0))</f>
        <v>3.4000000000000002E-2</v>
      </c>
      <c r="AA250" s="147">
        <f>IF($E250="","",VLOOKUP($D250,'Mortality Margins &amp; Grading'!$AB$5:$AF$125,5,0)*IF(Summary!$D$25="Included Margin",IF(AND($B250&gt;Input!$C$9,Summary!$D$31&lt;&gt;"Included Margin"),0,1),0))</f>
        <v>0.17399999999999999</v>
      </c>
      <c r="AB250" s="147">
        <f>IF($E250="","",IF(AND($B250&gt;Input!$C$9,Summary!$D$31&lt;&gt;"Included Margin"),1,IF(Summary!$D$25="Included Margin",VLOOKUP($B250,'Mortality Margins &amp; Grading'!$AI$5:$AR$125,MATCH('Mortality Margins &amp; Grading'!$AQ$4,'Mortality Margins &amp; Grading'!$AI$4:$AR$4,0),0),1)))</f>
        <v>1</v>
      </c>
      <c r="AC250" s="154"/>
      <c r="AD250" s="158">
        <f>IF(E250="","",Input!$C$48*IF(Summary!$D$30="Included Margin",IF(AND($B250&gt;Input!$C$9,Summary!$D$31&lt;&gt;"Included Margin"),0,1),0))</f>
        <v>-4.4999999999999997E-3</v>
      </c>
      <c r="AE250" s="159">
        <f>IF(E250="","",IF(Summary!$D$26="Included Margin",IF(AND($B250&gt;Input!$C$9,Summary!$D$31&lt;&gt;"Included Margin"),1,1/$R250),1))</f>
        <v>1.1054481700194589</v>
      </c>
      <c r="AF250" s="160">
        <f>IF(E250="","",IF(AND($B250&gt;=Input!$C$9,$C250=12,Summary!$D$31="Included Margin",$U250&gt;0),1/U250-1,IF($B250&gt;=Input!$C$9,0,Input!$C$45*IF(Summary!$D$27="Included Margin",1,0))))</f>
        <v>0</v>
      </c>
      <c r="AG250" s="160">
        <f>IF(E250="","",Input!$C$46*IF(Summary!$D$28="Included Margin",IF(AND($B250&gt;Input!$C$9,Summary!$D$31&lt;&gt;"Included Margin"),0,1),0))</f>
        <v>0.02</v>
      </c>
      <c r="AH250" s="158">
        <f>IF(E250="","",Input!$C$47*IF(Summary!$D$29="Included Margin",IF(AND($B250&gt;Input!$C$9,Summary!$D$31&lt;&gt;"Included Margin"),0,1),0))</f>
        <v>2.5000000000000001E-3</v>
      </c>
      <c r="AI250" s="154"/>
      <c r="AJ250" s="158">
        <f t="shared" si="148"/>
        <v>3.3910000000000003E-2</v>
      </c>
      <c r="AK250" s="155">
        <f t="shared" si="149"/>
        <v>2.7828425776430521E-3</v>
      </c>
      <c r="AL250" s="147">
        <f t="shared" si="150"/>
        <v>2.0486848800000002E-2</v>
      </c>
      <c r="AM250" s="147">
        <f t="shared" si="126"/>
        <v>1.7234810350180707E-3</v>
      </c>
      <c r="AN250" s="160">
        <f t="shared" si="151"/>
        <v>0</v>
      </c>
      <c r="AO250" s="161">
        <f t="shared" si="152"/>
        <v>0</v>
      </c>
      <c r="AP250" s="156">
        <f t="shared" si="127"/>
        <v>1.5605092006847148</v>
      </c>
      <c r="AQ250" s="152"/>
      <c r="AR250" s="162">
        <f t="shared" si="128"/>
        <v>1188.6415432517447</v>
      </c>
      <c r="AS250" s="150">
        <f t="shared" si="153"/>
        <v>0</v>
      </c>
      <c r="AT250" s="163">
        <f t="shared" si="129"/>
        <v>0</v>
      </c>
      <c r="AU250" s="163">
        <f t="shared" si="130"/>
        <v>172.34810350180706</v>
      </c>
      <c r="AV250" s="163">
        <f t="shared" si="154"/>
        <v>3.0679934758158702</v>
      </c>
      <c r="AW250" s="163">
        <f t="shared" si="131"/>
        <v>1.7598837986278288</v>
      </c>
      <c r="AX250" s="163">
        <f t="shared" si="132"/>
        <v>0</v>
      </c>
      <c r="AY250" s="165">
        <f t="shared" si="155"/>
        <v>1021.1213170243814</v>
      </c>
      <c r="AZ250" s="164">
        <f>IF($E250="","",IF(OR(AND($D250=Input!$C$6,$C250=12),$AN250=1),0,-AS251+AT251+AU251-AV251-AW251-AX251+AZ251))</f>
        <v>1021.1216502358417</v>
      </c>
      <c r="BA250" s="154">
        <f t="shared" si="133"/>
        <v>3.3321146031539683E-4</v>
      </c>
      <c r="BC250" s="147">
        <f t="shared" si="156"/>
        <v>9.0427656356455305E-2</v>
      </c>
      <c r="BD250" s="164">
        <f>IF(AND($C249=12,$D249=Input!$C$6),0,IF($E250="","",AT250+(AU250+BD251)/(1+$AK250)*MIN((1-AM250-AN250),1)))</f>
        <v>1014.0135047358904</v>
      </c>
      <c r="BE250" s="164">
        <f t="shared" si="134"/>
        <v>91.694864747061956</v>
      </c>
      <c r="BF250" s="164">
        <f t="shared" si="157"/>
        <v>1021.1216502358417</v>
      </c>
      <c r="BG250" s="164">
        <f t="shared" si="135"/>
        <v>92.337637685663239</v>
      </c>
      <c r="BH250" s="152"/>
      <c r="BI250" s="162">
        <f t="shared" si="136"/>
        <v>535.85674166684078</v>
      </c>
      <c r="BJ250" s="150">
        <f t="shared" si="137"/>
        <v>0</v>
      </c>
      <c r="BK250" s="163">
        <f t="shared" si="161"/>
        <v>0</v>
      </c>
      <c r="BL250" s="163">
        <f t="shared" si="138"/>
        <v>150.60143897818179</v>
      </c>
      <c r="BM250" s="163">
        <f t="shared" si="162"/>
        <v>1.4488305803112349</v>
      </c>
      <c r="BN250" s="163">
        <f t="shared" si="139"/>
        <v>0.58326094892853797</v>
      </c>
      <c r="BO250" s="163">
        <f t="shared" si="140"/>
        <v>0</v>
      </c>
      <c r="BP250" s="164">
        <f t="shared" si="163"/>
        <v>387.28739421789868</v>
      </c>
      <c r="BQ250" s="164">
        <f>IF($E250="","",IF(AND($D250=Input!$C$6,$C250=12),0,-BJ251+BK251+BL251-BM251-BN251-BO251+BQ251))</f>
        <v>387.2877662298016</v>
      </c>
      <c r="BR250" s="161">
        <f t="shared" si="141"/>
        <v>0</v>
      </c>
      <c r="BT250" s="147">
        <f t="shared" si="142"/>
        <v>9.0427656356455305E-2</v>
      </c>
      <c r="BU250" s="164">
        <f>IF(AND($C249=12,$D249=Input!$C$6),0,IF($E250="","",BK250+(BL250+BU251)/(1+$AK250)*MIN((1-T250-U250),1)))</f>
        <v>21333.023027272506</v>
      </c>
      <c r="BV250" s="164">
        <f t="shared" si="143"/>
        <v>1929.0952753545459</v>
      </c>
      <c r="BW250" s="164">
        <f t="shared" si="144"/>
        <v>387.2877662298016</v>
      </c>
      <c r="BX250" s="164">
        <f t="shared" si="145"/>
        <v>35.021525035687695</v>
      </c>
    </row>
    <row r="251" spans="1:76" s="150" customFormat="1" x14ac:dyDescent="0.25">
      <c r="A251" s="150">
        <f t="shared" si="158"/>
        <v>247</v>
      </c>
      <c r="B251" s="150">
        <f t="shared" si="159"/>
        <v>21</v>
      </c>
      <c r="C251" s="150">
        <f t="shared" si="160"/>
        <v>7</v>
      </c>
      <c r="D251" s="150">
        <f>IF(E251="","",Input!$C$4+B251-1)</f>
        <v>65</v>
      </c>
      <c r="E251" s="150">
        <f>IF(OR(AND(C250=12,D250=Input!$C$6),E250=""),"",1)</f>
        <v>1</v>
      </c>
      <c r="F251" s="150">
        <f>IF(E251="","",Input!$C$8+B251-1)</f>
        <v>2038</v>
      </c>
      <c r="G251" s="151">
        <f>IF(E251="","",MAX(0,Input!$C$9-B251))</f>
        <v>0</v>
      </c>
      <c r="H251" s="152">
        <f>IF(E251="","",Input!$C$3)</f>
        <v>100000</v>
      </c>
      <c r="I251" s="153">
        <f>IF(E251="","",HLOOKUP($B251,Input!$C$13:$BT$14,2))</f>
        <v>17.786999999999999</v>
      </c>
      <c r="J251" s="154"/>
      <c r="K251" s="155">
        <f>IF($E251="","",INDEX(Input!$C$16:$CP$16,1,$B251))</f>
        <v>2.341E-2</v>
      </c>
      <c r="L251" s="155">
        <f>IF($E251="","",Input!$C$37)</f>
        <v>1.4999999999999999E-2</v>
      </c>
      <c r="M251" s="155">
        <f t="shared" si="164"/>
        <v>3.841E-2</v>
      </c>
      <c r="N251" s="155">
        <f t="shared" si="165"/>
        <v>3.1458291945904993E-3</v>
      </c>
      <c r="O251" s="147">
        <f>IF($E251="","",MIN(VLOOKUP(IF($B251&lt;=Input!$C$7,$B251,26),'Mortality Tables'!$A$41:$CW$67,IF($B251&lt;=Input!$C$7+1,Input!$C$4+2,$D251-Input!$C$7+2),0)*IF(B251&gt;20,Input!$C$22,1)/1000,1))</f>
        <v>1.9813200000000003E-2</v>
      </c>
      <c r="P251" s="147">
        <f>IF($E251="","",MIN(VLOOKUP(IF($B251&lt;=Input!$C$7,$B251,26),'Mortality Tables'!$A$12:$CW$37,IF($B251&lt;=Input!$C$7+1,Input!$C$4+2,$D251-Input!$C$7+2),0)*IF(B251&gt;20,Input!$C$22,1)/1000,1))</f>
        <v>2.47665E-2</v>
      </c>
      <c r="Q251" s="155">
        <f>IF($E251="","",Input!$C$21)</f>
        <v>5.0000000000000001E-3</v>
      </c>
      <c r="R251" s="159">
        <f>IF($E251="","",(1-Q251)^($F251-Input!$C$20))</f>
        <v>0.90461048027461777</v>
      </c>
      <c r="S251" s="147">
        <f t="shared" si="123"/>
        <v>1.7923228367777058E-2</v>
      </c>
      <c r="T251" s="147">
        <f t="shared" si="124"/>
        <v>1.5060143897818179E-3</v>
      </c>
      <c r="U251" s="160">
        <f>IF($E251="","",IF($C251=12,INDEX(Input!$C$15:$CP$15,1,$B251),0))</f>
        <v>0</v>
      </c>
      <c r="V251" s="150">
        <f>IF(E251="","",IF(C251=1,IF($B251=1,Input!$C$33,Input!$C$34),0))</f>
        <v>0</v>
      </c>
      <c r="W251" s="156">
        <f>IF($E251="","",Input!$C$35)</f>
        <v>0.02</v>
      </c>
      <c r="X251" s="156">
        <f t="shared" si="166"/>
        <v>1.4859473959783549</v>
      </c>
      <c r="Y251" s="154"/>
      <c r="Z251" s="147">
        <f>IF($E251="","",VLOOKUP($D251,'Mortality Margins &amp; Grading'!$AB$5:$AF$125,3,0)*IF(Summary!$D$25="Included Margin",IF(AND($B251&gt;Input!$C$9,Summary!$D$31&lt;&gt;"Included Margin"),0,1),0))</f>
        <v>3.4000000000000002E-2</v>
      </c>
      <c r="AA251" s="147">
        <f>IF($E251="","",VLOOKUP($D251,'Mortality Margins &amp; Grading'!$AB$5:$AF$125,5,0)*IF(Summary!$D$25="Included Margin",IF(AND($B251&gt;Input!$C$9,Summary!$D$31&lt;&gt;"Included Margin"),0,1),0))</f>
        <v>0.17399999999999999</v>
      </c>
      <c r="AB251" s="147">
        <f>IF($E251="","",IF(AND($B251&gt;Input!$C$9,Summary!$D$31&lt;&gt;"Included Margin"),1,IF(Summary!$D$25="Included Margin",VLOOKUP($B251,'Mortality Margins &amp; Grading'!$AI$5:$AR$125,MATCH('Mortality Margins &amp; Grading'!$AQ$4,'Mortality Margins &amp; Grading'!$AI$4:$AR$4,0),0),1)))</f>
        <v>1</v>
      </c>
      <c r="AC251" s="154"/>
      <c r="AD251" s="158">
        <f>IF(E251="","",Input!$C$48*IF(Summary!$D$30="Included Margin",IF(AND($B251&gt;Input!$C$9,Summary!$D$31&lt;&gt;"Included Margin"),0,1),0))</f>
        <v>-4.4999999999999997E-3</v>
      </c>
      <c r="AE251" s="159">
        <f>IF(E251="","",IF(Summary!$D$26="Included Margin",IF(AND($B251&gt;Input!$C$9,Summary!$D$31&lt;&gt;"Included Margin"),1,1/$R251),1))</f>
        <v>1.1054481700194589</v>
      </c>
      <c r="AF251" s="160">
        <f>IF(E251="","",IF(AND($B251&gt;=Input!$C$9,$C251=12,Summary!$D$31="Included Margin",$U251&gt;0),1/U251-1,IF($B251&gt;=Input!$C$9,0,Input!$C$45*IF(Summary!$D$27="Included Margin",1,0))))</f>
        <v>0</v>
      </c>
      <c r="AG251" s="160">
        <f>IF(E251="","",Input!$C$46*IF(Summary!$D$28="Included Margin",IF(AND($B251&gt;Input!$C$9,Summary!$D$31&lt;&gt;"Included Margin"),0,1),0))</f>
        <v>0.02</v>
      </c>
      <c r="AH251" s="158">
        <f>IF(E251="","",Input!$C$47*IF(Summary!$D$29="Included Margin",IF(AND($B251&gt;Input!$C$9,Summary!$D$31&lt;&gt;"Included Margin"),0,1),0))</f>
        <v>2.5000000000000001E-3</v>
      </c>
      <c r="AI251" s="154"/>
      <c r="AJ251" s="158">
        <f t="shared" si="148"/>
        <v>3.3910000000000003E-2</v>
      </c>
      <c r="AK251" s="155">
        <f t="shared" si="149"/>
        <v>2.7828425776430521E-3</v>
      </c>
      <c r="AL251" s="147">
        <f t="shared" si="150"/>
        <v>2.0486848800000002E-2</v>
      </c>
      <c r="AM251" s="147">
        <f t="shared" si="126"/>
        <v>1.7234810350180707E-3</v>
      </c>
      <c r="AN251" s="160">
        <f t="shared" si="151"/>
        <v>0</v>
      </c>
      <c r="AO251" s="161">
        <f t="shared" si="152"/>
        <v>0</v>
      </c>
      <c r="AP251" s="156">
        <f t="shared" si="127"/>
        <v>1.5605092006847148</v>
      </c>
      <c r="AQ251" s="152"/>
      <c r="AR251" s="162">
        <f t="shared" si="128"/>
        <v>1021.1213170243814</v>
      </c>
      <c r="AS251" s="150">
        <f t="shared" si="153"/>
        <v>0</v>
      </c>
      <c r="AT251" s="163">
        <f t="shared" si="129"/>
        <v>0</v>
      </c>
      <c r="AU251" s="163">
        <f t="shared" si="130"/>
        <v>172.34810350180706</v>
      </c>
      <c r="AV251" s="163">
        <f t="shared" si="154"/>
        <v>2.6018110576539675</v>
      </c>
      <c r="AW251" s="163">
        <f t="shared" si="131"/>
        <v>1.4698625630872637</v>
      </c>
      <c r="AX251" s="163">
        <f t="shared" si="132"/>
        <v>0</v>
      </c>
      <c r="AY251" s="164">
        <f t="shared" si="155"/>
        <v>852.84488714331565</v>
      </c>
      <c r="AZ251" s="164">
        <f>IF($E251="","",IF(OR(AND($D251=Input!$C$6,$C251=12),$AN251=1),0,-AS252+AT252+AU252-AV252-AW252-AX252+AZ252))</f>
        <v>852.84522035477585</v>
      </c>
      <c r="BA251" s="154">
        <f t="shared" si="133"/>
        <v>3.3321146020171E-4</v>
      </c>
      <c r="BC251" s="147">
        <f t="shared" si="156"/>
        <v>9.0291471004748242E-2</v>
      </c>
      <c r="BD251" s="164">
        <f>IF(AND($C250=12,$D250=Input!$C$6),0,IF($E251="","",AT251+(AU251+BD252)/(1+$AK251)*MIN((1-AM251-AN251),1)))</f>
        <v>846.24276323062338</v>
      </c>
      <c r="BE251" s="164">
        <f t="shared" si="134"/>
        <v>76.40850391921586</v>
      </c>
      <c r="BF251" s="164">
        <f t="shared" si="157"/>
        <v>852.84522035477585</v>
      </c>
      <c r="BG251" s="164">
        <f t="shared" si="135"/>
        <v>77.004649485201369</v>
      </c>
      <c r="BH251" s="152"/>
      <c r="BI251" s="162">
        <f t="shared" si="136"/>
        <v>387.28739421789874</v>
      </c>
      <c r="BJ251" s="150">
        <f t="shared" si="137"/>
        <v>0</v>
      </c>
      <c r="BK251" s="163">
        <f t="shared" si="161"/>
        <v>0</v>
      </c>
      <c r="BL251" s="163">
        <f t="shared" si="138"/>
        <v>150.60143897818179</v>
      </c>
      <c r="BM251" s="163">
        <f t="shared" si="162"/>
        <v>0.98145678968509364</v>
      </c>
      <c r="BN251" s="163">
        <f t="shared" si="139"/>
        <v>0.3584709651856513</v>
      </c>
      <c r="BO251" s="163">
        <f t="shared" si="140"/>
        <v>0</v>
      </c>
      <c r="BP251" s="164">
        <f t="shared" si="163"/>
        <v>238.0258829945877</v>
      </c>
      <c r="BQ251" s="164">
        <f>IF($E251="","",IF(AND($D251=Input!$C$6,$C251=12),0,-BJ252+BK252+BL252-BM252-BN252-BO252+BQ252))</f>
        <v>238.02625500649057</v>
      </c>
      <c r="BR251" s="161">
        <f t="shared" si="141"/>
        <v>0</v>
      </c>
      <c r="BT251" s="147">
        <f t="shared" si="142"/>
        <v>9.0291471004748242E-2</v>
      </c>
      <c r="BU251" s="164">
        <f>IF(AND($C250=12,$D250=Input!$C$6),0,IF($E251="","",BK251+(BL251+BU252)/(1+$AK251)*MIN((1-T251-U251),1)))</f>
        <v>21274.053872279328</v>
      </c>
      <c r="BV251" s="164">
        <f t="shared" si="143"/>
        <v>1920.8656183623609</v>
      </c>
      <c r="BW251" s="164">
        <f t="shared" si="144"/>
        <v>238.02625500649057</v>
      </c>
      <c r="BX251" s="164">
        <f t="shared" si="145"/>
        <v>21.491740702287355</v>
      </c>
    </row>
    <row r="252" spans="1:76" s="150" customFormat="1" x14ac:dyDescent="0.25">
      <c r="A252" s="150">
        <f t="shared" si="158"/>
        <v>248</v>
      </c>
      <c r="B252" s="150">
        <f t="shared" si="159"/>
        <v>21</v>
      </c>
      <c r="C252" s="150">
        <f t="shared" si="160"/>
        <v>8</v>
      </c>
      <c r="D252" s="150">
        <f>IF(E252="","",Input!$C$4+B252-1)</f>
        <v>65</v>
      </c>
      <c r="E252" s="150">
        <f>IF(OR(AND(C251=12,D251=Input!$C$6),E251=""),"",1)</f>
        <v>1</v>
      </c>
      <c r="F252" s="150">
        <f>IF(E252="","",Input!$C$8+B252-1)</f>
        <v>2038</v>
      </c>
      <c r="G252" s="151">
        <f>IF(E252="","",MAX(0,Input!$C$9-B252))</f>
        <v>0</v>
      </c>
      <c r="H252" s="152">
        <f>IF(E252="","",Input!$C$3)</f>
        <v>100000</v>
      </c>
      <c r="I252" s="153">
        <f>IF(E252="","",HLOOKUP($B252,Input!$C$13:$BT$14,2))</f>
        <v>17.786999999999999</v>
      </c>
      <c r="J252" s="154"/>
      <c r="K252" s="155">
        <f>IF($E252="","",INDEX(Input!$C$16:$CP$16,1,$B252))</f>
        <v>2.341E-2</v>
      </c>
      <c r="L252" s="155">
        <f>IF($E252="","",Input!$C$37)</f>
        <v>1.4999999999999999E-2</v>
      </c>
      <c r="M252" s="155">
        <f t="shared" si="164"/>
        <v>3.841E-2</v>
      </c>
      <c r="N252" s="155">
        <f t="shared" si="165"/>
        <v>3.1458291945904993E-3</v>
      </c>
      <c r="O252" s="147">
        <f>IF($E252="","",MIN(VLOOKUP(IF($B252&lt;=Input!$C$7,$B252,26),'Mortality Tables'!$A$41:$CW$67,IF($B252&lt;=Input!$C$7+1,Input!$C$4+2,$D252-Input!$C$7+2),0)*IF(B252&gt;20,Input!$C$22,1)/1000,1))</f>
        <v>1.9813200000000003E-2</v>
      </c>
      <c r="P252" s="147">
        <f>IF($E252="","",MIN(VLOOKUP(IF($B252&lt;=Input!$C$7,$B252,26),'Mortality Tables'!$A$12:$CW$37,IF($B252&lt;=Input!$C$7+1,Input!$C$4+2,$D252-Input!$C$7+2),0)*IF(B252&gt;20,Input!$C$22,1)/1000,1))</f>
        <v>2.47665E-2</v>
      </c>
      <c r="Q252" s="155">
        <f>IF($E252="","",Input!$C$21)</f>
        <v>5.0000000000000001E-3</v>
      </c>
      <c r="R252" s="159">
        <f>IF($E252="","",(1-Q252)^($F252-Input!$C$20))</f>
        <v>0.90461048027461777</v>
      </c>
      <c r="S252" s="147">
        <f t="shared" si="123"/>
        <v>1.7923228367777058E-2</v>
      </c>
      <c r="T252" s="147">
        <f t="shared" si="124"/>
        <v>1.5060143897818179E-3</v>
      </c>
      <c r="U252" s="160">
        <f>IF($E252="","",IF($C252=12,INDEX(Input!$C$15:$CP$15,1,$B252),0))</f>
        <v>0</v>
      </c>
      <c r="V252" s="150">
        <f>IF(E252="","",IF(C252=1,IF($B252=1,Input!$C$33,Input!$C$34),0))</f>
        <v>0</v>
      </c>
      <c r="W252" s="156">
        <f>IF($E252="","",Input!$C$35)</f>
        <v>0.02</v>
      </c>
      <c r="X252" s="156">
        <f t="shared" si="166"/>
        <v>1.4859473959783549</v>
      </c>
      <c r="Y252" s="154"/>
      <c r="Z252" s="147">
        <f>IF($E252="","",VLOOKUP($D252,'Mortality Margins &amp; Grading'!$AB$5:$AF$125,3,0)*IF(Summary!$D$25="Included Margin",IF(AND($B252&gt;Input!$C$9,Summary!$D$31&lt;&gt;"Included Margin"),0,1),0))</f>
        <v>3.4000000000000002E-2</v>
      </c>
      <c r="AA252" s="147">
        <f>IF($E252="","",VLOOKUP($D252,'Mortality Margins &amp; Grading'!$AB$5:$AF$125,5,0)*IF(Summary!$D$25="Included Margin",IF(AND($B252&gt;Input!$C$9,Summary!$D$31&lt;&gt;"Included Margin"),0,1),0))</f>
        <v>0.17399999999999999</v>
      </c>
      <c r="AB252" s="147">
        <f>IF($E252="","",IF(AND($B252&gt;Input!$C$9,Summary!$D$31&lt;&gt;"Included Margin"),1,IF(Summary!$D$25="Included Margin",VLOOKUP($B252,'Mortality Margins &amp; Grading'!$AI$5:$AR$125,MATCH('Mortality Margins &amp; Grading'!$AQ$4,'Mortality Margins &amp; Grading'!$AI$4:$AR$4,0),0),1)))</f>
        <v>1</v>
      </c>
      <c r="AC252" s="154"/>
      <c r="AD252" s="158">
        <f>IF(E252="","",Input!$C$48*IF(Summary!$D$30="Included Margin",IF(AND($B252&gt;Input!$C$9,Summary!$D$31&lt;&gt;"Included Margin"),0,1),0))</f>
        <v>-4.4999999999999997E-3</v>
      </c>
      <c r="AE252" s="159">
        <f>IF(E252="","",IF(Summary!$D$26="Included Margin",IF(AND($B252&gt;Input!$C$9,Summary!$D$31&lt;&gt;"Included Margin"),1,1/$R252),1))</f>
        <v>1.1054481700194589</v>
      </c>
      <c r="AF252" s="160">
        <f>IF(E252="","",IF(AND($B252&gt;=Input!$C$9,$C252=12,Summary!$D$31="Included Margin",$U252&gt;0),1/U252-1,IF($B252&gt;=Input!$C$9,0,Input!$C$45*IF(Summary!$D$27="Included Margin",1,0))))</f>
        <v>0</v>
      </c>
      <c r="AG252" s="160">
        <f>IF(E252="","",Input!$C$46*IF(Summary!$D$28="Included Margin",IF(AND($B252&gt;Input!$C$9,Summary!$D$31&lt;&gt;"Included Margin"),0,1),0))</f>
        <v>0.02</v>
      </c>
      <c r="AH252" s="158">
        <f>IF(E252="","",Input!$C$47*IF(Summary!$D$29="Included Margin",IF(AND($B252&gt;Input!$C$9,Summary!$D$31&lt;&gt;"Included Margin"),0,1),0))</f>
        <v>2.5000000000000001E-3</v>
      </c>
      <c r="AI252" s="154"/>
      <c r="AJ252" s="158">
        <f t="shared" si="148"/>
        <v>3.3910000000000003E-2</v>
      </c>
      <c r="AK252" s="155">
        <f t="shared" si="149"/>
        <v>2.7828425776430521E-3</v>
      </c>
      <c r="AL252" s="147">
        <f t="shared" si="150"/>
        <v>2.0486848800000002E-2</v>
      </c>
      <c r="AM252" s="147">
        <f t="shared" si="126"/>
        <v>1.7234810350180707E-3</v>
      </c>
      <c r="AN252" s="160">
        <f t="shared" si="151"/>
        <v>0</v>
      </c>
      <c r="AO252" s="161">
        <f t="shared" si="152"/>
        <v>0</v>
      </c>
      <c r="AP252" s="156">
        <f t="shared" si="127"/>
        <v>1.5605092006847148</v>
      </c>
      <c r="AQ252" s="152"/>
      <c r="AR252" s="162">
        <f t="shared" si="128"/>
        <v>852.84488714331542</v>
      </c>
      <c r="AS252" s="150">
        <f t="shared" si="153"/>
        <v>0</v>
      </c>
      <c r="AT252" s="163">
        <f t="shared" si="129"/>
        <v>0</v>
      </c>
      <c r="AU252" s="163">
        <f t="shared" si="130"/>
        <v>172.34810350180706</v>
      </c>
      <c r="AV252" s="163">
        <f t="shared" si="154"/>
        <v>2.1335242437671713</v>
      </c>
      <c r="AW252" s="163">
        <f t="shared" si="131"/>
        <v>1.1785321416477408</v>
      </c>
      <c r="AX252" s="163">
        <f t="shared" si="132"/>
        <v>0</v>
      </c>
      <c r="AY252" s="165">
        <f t="shared" si="155"/>
        <v>683.80884002692335</v>
      </c>
      <c r="AZ252" s="164">
        <f>IF($E252="","",IF(OR(AND($D252=Input!$C$6,$C252=12),$AN252=1),0,-AS253+AT253+AU253-AV253-AW253-AX253+AZ253))</f>
        <v>683.80917323838366</v>
      </c>
      <c r="BA252" s="154">
        <f t="shared" si="133"/>
        <v>3.3321146031539683E-4</v>
      </c>
      <c r="BC252" s="147">
        <f t="shared" si="156"/>
        <v>9.0155490750140524E-2</v>
      </c>
      <c r="BD252" s="164">
        <f>IF(AND($C251=12,$D251=Input!$C$6),0,IF($E252="","",AT252+(AU252+BD253)/(1+$AK252)*MIN((1-AM252-AN252),1)))</f>
        <v>677.71468721973986</v>
      </c>
      <c r="BE252" s="164">
        <f t="shared" si="134"/>
        <v>61.099700214873636</v>
      </c>
      <c r="BF252" s="164">
        <f t="shared" si="157"/>
        <v>683.80917323838366</v>
      </c>
      <c r="BG252" s="164">
        <f t="shared" si="135"/>
        <v>61.649151592754336</v>
      </c>
      <c r="BH252" s="152"/>
      <c r="BI252" s="162">
        <f t="shared" si="136"/>
        <v>238.02588299458768</v>
      </c>
      <c r="BJ252" s="150">
        <f t="shared" si="137"/>
        <v>0</v>
      </c>
      <c r="BK252" s="163">
        <f t="shared" si="161"/>
        <v>0</v>
      </c>
      <c r="BL252" s="163">
        <f t="shared" si="138"/>
        <v>150.60143897818179</v>
      </c>
      <c r="BM252" s="163">
        <f t="shared" si="162"/>
        <v>0.51190557005010418</v>
      </c>
      <c r="BN252" s="163">
        <f t="shared" si="139"/>
        <v>0.132633716402839</v>
      </c>
      <c r="BO252" s="163">
        <f t="shared" si="140"/>
        <v>0</v>
      </c>
      <c r="BP252" s="164">
        <f t="shared" si="163"/>
        <v>88.068983302858825</v>
      </c>
      <c r="BQ252" s="164">
        <f>IF($E252="","",IF(AND($D252=Input!$C$6,$C252=12),0,-BJ253+BK253+BL253-BM253-BN253-BO253+BQ253))</f>
        <v>88.069355314761737</v>
      </c>
      <c r="BR252" s="161">
        <f t="shared" si="141"/>
        <v>0</v>
      </c>
      <c r="BT252" s="147">
        <f t="shared" si="142"/>
        <v>9.0155490750140524E-2</v>
      </c>
      <c r="BU252" s="164">
        <f>IF(AND($C251=12,$D251=Input!$C$6),0,IF($E252="","",BK252+(BL252+BU253)/(1+$AK252)*MIN((1-T252-U252),1)))</f>
        <v>21214.831425553897</v>
      </c>
      <c r="BV252" s="164">
        <f t="shared" si="143"/>
        <v>1912.6335383523149</v>
      </c>
      <c r="BW252" s="164">
        <f t="shared" si="144"/>
        <v>88.069355314761737</v>
      </c>
      <c r="BX252" s="164">
        <f t="shared" si="145"/>
        <v>7.9399359484508407</v>
      </c>
    </row>
    <row r="253" spans="1:76" s="150" customFormat="1" x14ac:dyDescent="0.25">
      <c r="A253" s="150">
        <f t="shared" si="158"/>
        <v>249</v>
      </c>
      <c r="B253" s="150">
        <f t="shared" si="159"/>
        <v>21</v>
      </c>
      <c r="C253" s="150">
        <f t="shared" si="160"/>
        <v>9</v>
      </c>
      <c r="D253" s="150">
        <f>IF(E253="","",Input!$C$4+B253-1)</f>
        <v>65</v>
      </c>
      <c r="E253" s="150">
        <f>IF(OR(AND(C252=12,D252=Input!$C$6),E252=""),"",1)</f>
        <v>1</v>
      </c>
      <c r="F253" s="150">
        <f>IF(E253="","",Input!$C$8+B253-1)</f>
        <v>2038</v>
      </c>
      <c r="G253" s="151">
        <f>IF(E253="","",MAX(0,Input!$C$9-B253))</f>
        <v>0</v>
      </c>
      <c r="H253" s="152">
        <f>IF(E253="","",Input!$C$3)</f>
        <v>100000</v>
      </c>
      <c r="I253" s="153">
        <f>IF(E253="","",HLOOKUP($B253,Input!$C$13:$BT$14,2))</f>
        <v>17.786999999999999</v>
      </c>
      <c r="J253" s="154"/>
      <c r="K253" s="155">
        <f>IF($E253="","",INDEX(Input!$C$16:$CP$16,1,$B253))</f>
        <v>2.341E-2</v>
      </c>
      <c r="L253" s="155">
        <f>IF($E253="","",Input!$C$37)</f>
        <v>1.4999999999999999E-2</v>
      </c>
      <c r="M253" s="155">
        <f t="shared" si="164"/>
        <v>3.841E-2</v>
      </c>
      <c r="N253" s="155">
        <f t="shared" si="165"/>
        <v>3.1458291945904993E-3</v>
      </c>
      <c r="O253" s="147">
        <f>IF($E253="","",MIN(VLOOKUP(IF($B253&lt;=Input!$C$7,$B253,26),'Mortality Tables'!$A$41:$CW$67,IF($B253&lt;=Input!$C$7+1,Input!$C$4+2,$D253-Input!$C$7+2),0)*IF(B253&gt;20,Input!$C$22,1)/1000,1))</f>
        <v>1.9813200000000003E-2</v>
      </c>
      <c r="P253" s="147">
        <f>IF($E253="","",MIN(VLOOKUP(IF($B253&lt;=Input!$C$7,$B253,26),'Mortality Tables'!$A$12:$CW$37,IF($B253&lt;=Input!$C$7+1,Input!$C$4+2,$D253-Input!$C$7+2),0)*IF(B253&gt;20,Input!$C$22,1)/1000,1))</f>
        <v>2.47665E-2</v>
      </c>
      <c r="Q253" s="155">
        <f>IF($E253="","",Input!$C$21)</f>
        <v>5.0000000000000001E-3</v>
      </c>
      <c r="R253" s="159">
        <f>IF($E253="","",(1-Q253)^($F253-Input!$C$20))</f>
        <v>0.90461048027461777</v>
      </c>
      <c r="S253" s="147">
        <f t="shared" si="123"/>
        <v>1.7923228367777058E-2</v>
      </c>
      <c r="T253" s="147">
        <f t="shared" si="124"/>
        <v>1.5060143897818179E-3</v>
      </c>
      <c r="U253" s="160">
        <f>IF($E253="","",IF($C253=12,INDEX(Input!$C$15:$CP$15,1,$B253),0))</f>
        <v>0</v>
      </c>
      <c r="V253" s="150">
        <f>IF(E253="","",IF(C253=1,IF($B253=1,Input!$C$33,Input!$C$34),0))</f>
        <v>0</v>
      </c>
      <c r="W253" s="156">
        <f>IF($E253="","",Input!$C$35)</f>
        <v>0.02</v>
      </c>
      <c r="X253" s="156">
        <f t="shared" si="166"/>
        <v>1.4859473959783549</v>
      </c>
      <c r="Y253" s="154"/>
      <c r="Z253" s="147">
        <f>IF($E253="","",VLOOKUP($D253,'Mortality Margins &amp; Grading'!$AB$5:$AF$125,3,0)*IF(Summary!$D$25="Included Margin",IF(AND($B253&gt;Input!$C$9,Summary!$D$31&lt;&gt;"Included Margin"),0,1),0))</f>
        <v>3.4000000000000002E-2</v>
      </c>
      <c r="AA253" s="147">
        <f>IF($E253="","",VLOOKUP($D253,'Mortality Margins &amp; Grading'!$AB$5:$AF$125,5,0)*IF(Summary!$D$25="Included Margin",IF(AND($B253&gt;Input!$C$9,Summary!$D$31&lt;&gt;"Included Margin"),0,1),0))</f>
        <v>0.17399999999999999</v>
      </c>
      <c r="AB253" s="147">
        <f>IF($E253="","",IF(AND($B253&gt;Input!$C$9,Summary!$D$31&lt;&gt;"Included Margin"),1,IF(Summary!$D$25="Included Margin",VLOOKUP($B253,'Mortality Margins &amp; Grading'!$AI$5:$AR$125,MATCH('Mortality Margins &amp; Grading'!$AQ$4,'Mortality Margins &amp; Grading'!$AI$4:$AR$4,0),0),1)))</f>
        <v>1</v>
      </c>
      <c r="AC253" s="154"/>
      <c r="AD253" s="158">
        <f>IF(E253="","",Input!$C$48*IF(Summary!$D$30="Included Margin",IF(AND($B253&gt;Input!$C$9,Summary!$D$31&lt;&gt;"Included Margin"),0,1),0))</f>
        <v>-4.4999999999999997E-3</v>
      </c>
      <c r="AE253" s="159">
        <f>IF(E253="","",IF(Summary!$D$26="Included Margin",IF(AND($B253&gt;Input!$C$9,Summary!$D$31&lt;&gt;"Included Margin"),1,1/$R253),1))</f>
        <v>1.1054481700194589</v>
      </c>
      <c r="AF253" s="160">
        <f>IF(E253="","",IF(AND($B253&gt;=Input!$C$9,$C253=12,Summary!$D$31="Included Margin",$U253&gt;0),1/U253-1,IF($B253&gt;=Input!$C$9,0,Input!$C$45*IF(Summary!$D$27="Included Margin",1,0))))</f>
        <v>0</v>
      </c>
      <c r="AG253" s="160">
        <f>IF(E253="","",Input!$C$46*IF(Summary!$D$28="Included Margin",IF(AND($B253&gt;Input!$C$9,Summary!$D$31&lt;&gt;"Included Margin"),0,1),0))</f>
        <v>0.02</v>
      </c>
      <c r="AH253" s="158">
        <f>IF(E253="","",Input!$C$47*IF(Summary!$D$29="Included Margin",IF(AND($B253&gt;Input!$C$9,Summary!$D$31&lt;&gt;"Included Margin"),0,1),0))</f>
        <v>2.5000000000000001E-3</v>
      </c>
      <c r="AI253" s="154"/>
      <c r="AJ253" s="158">
        <f t="shared" si="148"/>
        <v>3.3910000000000003E-2</v>
      </c>
      <c r="AK253" s="155">
        <f t="shared" si="149"/>
        <v>2.7828425776430521E-3</v>
      </c>
      <c r="AL253" s="147">
        <f t="shared" si="150"/>
        <v>2.0486848800000002E-2</v>
      </c>
      <c r="AM253" s="147">
        <f t="shared" si="126"/>
        <v>1.7234810350180707E-3</v>
      </c>
      <c r="AN253" s="160">
        <f t="shared" si="151"/>
        <v>0</v>
      </c>
      <c r="AO253" s="161">
        <f t="shared" si="152"/>
        <v>0</v>
      </c>
      <c r="AP253" s="156">
        <f t="shared" si="127"/>
        <v>1.5605092006847148</v>
      </c>
      <c r="AQ253" s="152"/>
      <c r="AR253" s="162">
        <f t="shared" si="128"/>
        <v>683.80884002692335</v>
      </c>
      <c r="AS253" s="150">
        <f t="shared" si="153"/>
        <v>0</v>
      </c>
      <c r="AT253" s="163">
        <f t="shared" si="129"/>
        <v>0</v>
      </c>
      <c r="AU253" s="163">
        <f t="shared" si="130"/>
        <v>172.34810350180706</v>
      </c>
      <c r="AV253" s="163">
        <f t="shared" si="154"/>
        <v>1.6631235346951985</v>
      </c>
      <c r="AW253" s="163">
        <f t="shared" si="131"/>
        <v>0.88588662450850075</v>
      </c>
      <c r="AX253" s="163">
        <f t="shared" si="132"/>
        <v>0</v>
      </c>
      <c r="AY253" s="164">
        <f t="shared" si="155"/>
        <v>514.00974668432002</v>
      </c>
      <c r="AZ253" s="164">
        <f>IF($E253="","",IF(OR(AND($D253=Input!$C$6,$C253=12),$AN253=1),0,-AS254+AT254+AU254-AV254-AW254-AX254+AZ254))</f>
        <v>514.01007989578034</v>
      </c>
      <c r="BA253" s="154">
        <f t="shared" si="133"/>
        <v>3.3321146031539683E-4</v>
      </c>
      <c r="BC253" s="147">
        <f t="shared" si="156"/>
        <v>9.0019715283752966E-2</v>
      </c>
      <c r="BD253" s="164">
        <f>IF(AND($C252=12,$D252=Input!$C$6),0,IF($E253="","",AT253+(AU253+BD254)/(1+$AK253)*MIN((1-AM253-AN253),1)))</f>
        <v>508.42585801683339</v>
      </c>
      <c r="BE253" s="164">
        <f t="shared" si="134"/>
        <v>45.76835098157315</v>
      </c>
      <c r="BF253" s="164">
        <f t="shared" si="157"/>
        <v>514.01007989578034</v>
      </c>
      <c r="BG253" s="164">
        <f t="shared" si="135"/>
        <v>46.271041045197258</v>
      </c>
      <c r="BH253" s="152"/>
      <c r="BI253" s="162">
        <f t="shared" si="136"/>
        <v>88.068983302858811</v>
      </c>
      <c r="BJ253" s="150">
        <f t="shared" si="137"/>
        <v>0</v>
      </c>
      <c r="BK253" s="163">
        <f t="shared" si="161"/>
        <v>0</v>
      </c>
      <c r="BL253" s="163">
        <f t="shared" si="138"/>
        <v>150.60143897818179</v>
      </c>
      <c r="BM253" s="163">
        <f t="shared" si="162"/>
        <v>4.016677706958454E-2</v>
      </c>
      <c r="BN253" s="163">
        <f t="shared" si="139"/>
        <v>-9.4255676480992201E-2</v>
      </c>
      <c r="BO253" s="163">
        <f t="shared" si="140"/>
        <v>0</v>
      </c>
      <c r="BP253" s="164">
        <f t="shared" si="163"/>
        <v>-62.586544574734383</v>
      </c>
      <c r="BQ253" s="164">
        <f>IF($E253="","",IF(AND($D253=Input!$C$6,$C253=12),0,-BJ254+BK254+BL254-BM254-BN254-BO254+BQ254))</f>
        <v>-62.586172562831479</v>
      </c>
      <c r="BR253" s="161">
        <f t="shared" si="141"/>
        <v>0</v>
      </c>
      <c r="BT253" s="147">
        <f t="shared" si="142"/>
        <v>9.0019715283752966E-2</v>
      </c>
      <c r="BU253" s="164">
        <f>IF(AND($C252=12,$D252=Input!$C$6),0,IF($E253="","",BK253+(BL253+BU254)/(1+$AK253)*MIN((1-T253-U253),1)))</f>
        <v>21155.354599125709</v>
      </c>
      <c r="BV253" s="164">
        <f t="shared" si="143"/>
        <v>1904.3989977401302</v>
      </c>
      <c r="BW253" s="164">
        <f t="shared" si="144"/>
        <v>-62.586172562831479</v>
      </c>
      <c r="BX253" s="164">
        <f t="shared" si="145"/>
        <v>-5.6339894348059216</v>
      </c>
    </row>
    <row r="254" spans="1:76" s="150" customFormat="1" x14ac:dyDescent="0.25">
      <c r="A254" s="150">
        <f t="shared" si="158"/>
        <v>250</v>
      </c>
      <c r="B254" s="150">
        <f t="shared" si="159"/>
        <v>21</v>
      </c>
      <c r="C254" s="150">
        <f t="shared" si="160"/>
        <v>10</v>
      </c>
      <c r="D254" s="150">
        <f>IF(E254="","",Input!$C$4+B254-1)</f>
        <v>65</v>
      </c>
      <c r="E254" s="150">
        <f>IF(OR(AND(C253=12,D253=Input!$C$6),E253=""),"",1)</f>
        <v>1</v>
      </c>
      <c r="F254" s="150">
        <f>IF(E254="","",Input!$C$8+B254-1)</f>
        <v>2038</v>
      </c>
      <c r="G254" s="151">
        <f>IF(E254="","",MAX(0,Input!$C$9-B254))</f>
        <v>0</v>
      </c>
      <c r="H254" s="152">
        <f>IF(E254="","",Input!$C$3)</f>
        <v>100000</v>
      </c>
      <c r="I254" s="153">
        <f>IF(E254="","",HLOOKUP($B254,Input!$C$13:$BT$14,2))</f>
        <v>17.786999999999999</v>
      </c>
      <c r="J254" s="154"/>
      <c r="K254" s="155">
        <f>IF($E254="","",INDEX(Input!$C$16:$CP$16,1,$B254))</f>
        <v>2.341E-2</v>
      </c>
      <c r="L254" s="155">
        <f>IF($E254="","",Input!$C$37)</f>
        <v>1.4999999999999999E-2</v>
      </c>
      <c r="M254" s="155">
        <f t="shared" si="164"/>
        <v>3.841E-2</v>
      </c>
      <c r="N254" s="155">
        <f t="shared" si="165"/>
        <v>3.1458291945904993E-3</v>
      </c>
      <c r="O254" s="147">
        <f>IF($E254="","",MIN(VLOOKUP(IF($B254&lt;=Input!$C$7,$B254,26),'Mortality Tables'!$A$41:$CW$67,IF($B254&lt;=Input!$C$7+1,Input!$C$4+2,$D254-Input!$C$7+2),0)*IF(B254&gt;20,Input!$C$22,1)/1000,1))</f>
        <v>1.9813200000000003E-2</v>
      </c>
      <c r="P254" s="147">
        <f>IF($E254="","",MIN(VLOOKUP(IF($B254&lt;=Input!$C$7,$B254,26),'Mortality Tables'!$A$12:$CW$37,IF($B254&lt;=Input!$C$7+1,Input!$C$4+2,$D254-Input!$C$7+2),0)*IF(B254&gt;20,Input!$C$22,1)/1000,1))</f>
        <v>2.47665E-2</v>
      </c>
      <c r="Q254" s="155">
        <f>IF($E254="","",Input!$C$21)</f>
        <v>5.0000000000000001E-3</v>
      </c>
      <c r="R254" s="159">
        <f>IF($E254="","",(1-Q254)^($F254-Input!$C$20))</f>
        <v>0.90461048027461777</v>
      </c>
      <c r="S254" s="147">
        <f t="shared" si="123"/>
        <v>1.7923228367777058E-2</v>
      </c>
      <c r="T254" s="147">
        <f t="shared" si="124"/>
        <v>1.5060143897818179E-3</v>
      </c>
      <c r="U254" s="160">
        <f>IF($E254="","",IF($C254=12,INDEX(Input!$C$15:$CP$15,1,$B254),0))</f>
        <v>0</v>
      </c>
      <c r="V254" s="150">
        <f>IF(E254="","",IF(C254=1,IF($B254=1,Input!$C$33,Input!$C$34),0))</f>
        <v>0</v>
      </c>
      <c r="W254" s="156">
        <f>IF($E254="","",Input!$C$35)</f>
        <v>0.02</v>
      </c>
      <c r="X254" s="156">
        <f t="shared" si="166"/>
        <v>1.4859473959783549</v>
      </c>
      <c r="Y254" s="154"/>
      <c r="Z254" s="147">
        <f>IF($E254="","",VLOOKUP($D254,'Mortality Margins &amp; Grading'!$AB$5:$AF$125,3,0)*IF(Summary!$D$25="Included Margin",IF(AND($B254&gt;Input!$C$9,Summary!$D$31&lt;&gt;"Included Margin"),0,1),0))</f>
        <v>3.4000000000000002E-2</v>
      </c>
      <c r="AA254" s="147">
        <f>IF($E254="","",VLOOKUP($D254,'Mortality Margins &amp; Grading'!$AB$5:$AF$125,5,0)*IF(Summary!$D$25="Included Margin",IF(AND($B254&gt;Input!$C$9,Summary!$D$31&lt;&gt;"Included Margin"),0,1),0))</f>
        <v>0.17399999999999999</v>
      </c>
      <c r="AB254" s="147">
        <f>IF($E254="","",IF(AND($B254&gt;Input!$C$9,Summary!$D$31&lt;&gt;"Included Margin"),1,IF(Summary!$D$25="Included Margin",VLOOKUP($B254,'Mortality Margins &amp; Grading'!$AI$5:$AR$125,MATCH('Mortality Margins &amp; Grading'!$AQ$4,'Mortality Margins &amp; Grading'!$AI$4:$AR$4,0),0),1)))</f>
        <v>1</v>
      </c>
      <c r="AC254" s="154"/>
      <c r="AD254" s="158">
        <f>IF(E254="","",Input!$C$48*IF(Summary!$D$30="Included Margin",IF(AND($B254&gt;Input!$C$9,Summary!$D$31&lt;&gt;"Included Margin"),0,1),0))</f>
        <v>-4.4999999999999997E-3</v>
      </c>
      <c r="AE254" s="159">
        <f>IF(E254="","",IF(Summary!$D$26="Included Margin",IF(AND($B254&gt;Input!$C$9,Summary!$D$31&lt;&gt;"Included Margin"),1,1/$R254),1))</f>
        <v>1.1054481700194589</v>
      </c>
      <c r="AF254" s="160">
        <f>IF(E254="","",IF(AND($B254&gt;=Input!$C$9,$C254=12,Summary!$D$31="Included Margin",$U254&gt;0),1/U254-1,IF($B254&gt;=Input!$C$9,0,Input!$C$45*IF(Summary!$D$27="Included Margin",1,0))))</f>
        <v>0</v>
      </c>
      <c r="AG254" s="160">
        <f>IF(E254="","",Input!$C$46*IF(Summary!$D$28="Included Margin",IF(AND($B254&gt;Input!$C$9,Summary!$D$31&lt;&gt;"Included Margin"),0,1),0))</f>
        <v>0.02</v>
      </c>
      <c r="AH254" s="158">
        <f>IF(E254="","",Input!$C$47*IF(Summary!$D$29="Included Margin",IF(AND($B254&gt;Input!$C$9,Summary!$D$31&lt;&gt;"Included Margin"),0,1),0))</f>
        <v>2.5000000000000001E-3</v>
      </c>
      <c r="AI254" s="154"/>
      <c r="AJ254" s="158">
        <f t="shared" si="148"/>
        <v>3.3910000000000003E-2</v>
      </c>
      <c r="AK254" s="155">
        <f t="shared" si="149"/>
        <v>2.7828425776430521E-3</v>
      </c>
      <c r="AL254" s="147">
        <f t="shared" si="150"/>
        <v>2.0486848800000002E-2</v>
      </c>
      <c r="AM254" s="147">
        <f t="shared" si="126"/>
        <v>1.7234810350180707E-3</v>
      </c>
      <c r="AN254" s="160">
        <f t="shared" si="151"/>
        <v>0</v>
      </c>
      <c r="AO254" s="161">
        <f t="shared" si="152"/>
        <v>0</v>
      </c>
      <c r="AP254" s="156">
        <f t="shared" si="127"/>
        <v>1.5605092006847148</v>
      </c>
      <c r="AQ254" s="152"/>
      <c r="AR254" s="162">
        <f t="shared" si="128"/>
        <v>514.00974668432002</v>
      </c>
      <c r="AS254" s="150">
        <f t="shared" si="153"/>
        <v>0</v>
      </c>
      <c r="AT254" s="163">
        <f t="shared" si="129"/>
        <v>0</v>
      </c>
      <c r="AU254" s="163">
        <f t="shared" si="130"/>
        <v>172.34810350180706</v>
      </c>
      <c r="AV254" s="163">
        <f t="shared" si="154"/>
        <v>1.1905993880962153</v>
      </c>
      <c r="AW254" s="163">
        <f t="shared" si="131"/>
        <v>0.59192007519133139</v>
      </c>
      <c r="AX254" s="163">
        <f t="shared" si="132"/>
        <v>0</v>
      </c>
      <c r="AY254" s="165">
        <f t="shared" si="155"/>
        <v>343.44416264580053</v>
      </c>
      <c r="AZ254" s="164">
        <f>IF($E254="","",IF(OR(AND($D254=Input!$C$6,$C254=12),$AN254=1),0,-AS255+AT255+AU255-AV255-AW255-AX255+AZ255))</f>
        <v>343.44449585726085</v>
      </c>
      <c r="BA254" s="154">
        <f t="shared" si="133"/>
        <v>3.3321146031539683E-4</v>
      </c>
      <c r="BC254" s="147">
        <f t="shared" si="156"/>
        <v>8.9884144297171578E-2</v>
      </c>
      <c r="BD254" s="164">
        <f>IF(AND($C253=12,$D253=Input!$C$6),0,IF($E254="","",AT254+(AU254+BD255)/(1+$AK254)*MIN((1-AM254-AN254),1)))</f>
        <v>338.37284150319289</v>
      </c>
      <c r="BE254" s="164">
        <f t="shared" si="134"/>
        <v>30.414353311916958</v>
      </c>
      <c r="BF254" s="164">
        <f t="shared" si="157"/>
        <v>343.44449585726085</v>
      </c>
      <c r="BG254" s="164">
        <f t="shared" si="135"/>
        <v>30.870214623703379</v>
      </c>
      <c r="BH254" s="152"/>
      <c r="BI254" s="162">
        <f t="shared" si="136"/>
        <v>-62.586544574734404</v>
      </c>
      <c r="BJ254" s="150">
        <f t="shared" si="137"/>
        <v>0</v>
      </c>
      <c r="BK254" s="163">
        <f t="shared" si="161"/>
        <v>0</v>
      </c>
      <c r="BL254" s="163">
        <f t="shared" si="138"/>
        <v>150.60143897818179</v>
      </c>
      <c r="BM254" s="163">
        <f t="shared" si="162"/>
        <v>-0.43376978085419099</v>
      </c>
      <c r="BN254" s="163">
        <f t="shared" si="139"/>
        <v>-0.32220211525779763</v>
      </c>
      <c r="BO254" s="163">
        <f t="shared" si="140"/>
        <v>0</v>
      </c>
      <c r="BP254" s="164">
        <f t="shared" si="163"/>
        <v>-213.94395544902818</v>
      </c>
      <c r="BQ254" s="164">
        <f>IF($E254="","",IF(AND($D254=Input!$C$6,$C254=12),0,-BJ255+BK255+BL255-BM255-BN255-BO255+BQ255))</f>
        <v>-213.94358343712526</v>
      </c>
      <c r="BR254" s="161">
        <f t="shared" si="141"/>
        <v>0</v>
      </c>
      <c r="BT254" s="147">
        <f t="shared" si="142"/>
        <v>8.9884144297171578E-2</v>
      </c>
      <c r="BU254" s="164">
        <f>IF(AND($C253=12,$D253=Input!$C$6),0,IF($E254="","",BK254+(BL254+BU255)/(1+$AK254)*MIN((1-T254-U254),1)))</f>
        <v>21095.622300351064</v>
      </c>
      <c r="BV254" s="164">
        <f t="shared" si="143"/>
        <v>1896.1619588833858</v>
      </c>
      <c r="BW254" s="164">
        <f t="shared" si="144"/>
        <v>-213.94358343712526</v>
      </c>
      <c r="BX254" s="164">
        <f t="shared" si="145"/>
        <v>-19.230135925116535</v>
      </c>
    </row>
    <row r="255" spans="1:76" s="150" customFormat="1" x14ac:dyDescent="0.25">
      <c r="A255" s="150">
        <f t="shared" si="158"/>
        <v>251</v>
      </c>
      <c r="B255" s="150">
        <f t="shared" si="159"/>
        <v>21</v>
      </c>
      <c r="C255" s="150">
        <f t="shared" si="160"/>
        <v>11</v>
      </c>
      <c r="D255" s="150">
        <f>IF(E255="","",Input!$C$4+B255-1)</f>
        <v>65</v>
      </c>
      <c r="E255" s="150">
        <f>IF(OR(AND(C254=12,D254=Input!$C$6),E254=""),"",1)</f>
        <v>1</v>
      </c>
      <c r="F255" s="150">
        <f>IF(E255="","",Input!$C$8+B255-1)</f>
        <v>2038</v>
      </c>
      <c r="G255" s="151">
        <f>IF(E255="","",MAX(0,Input!$C$9-B255))</f>
        <v>0</v>
      </c>
      <c r="H255" s="152">
        <f>IF(E255="","",Input!$C$3)</f>
        <v>100000</v>
      </c>
      <c r="I255" s="153">
        <f>IF(E255="","",HLOOKUP($B255,Input!$C$13:$BT$14,2))</f>
        <v>17.786999999999999</v>
      </c>
      <c r="J255" s="154"/>
      <c r="K255" s="155">
        <f>IF($E255="","",INDEX(Input!$C$16:$CP$16,1,$B255))</f>
        <v>2.341E-2</v>
      </c>
      <c r="L255" s="155">
        <f>IF($E255="","",Input!$C$37)</f>
        <v>1.4999999999999999E-2</v>
      </c>
      <c r="M255" s="155">
        <f t="shared" si="164"/>
        <v>3.841E-2</v>
      </c>
      <c r="N255" s="155">
        <f t="shared" si="165"/>
        <v>3.1458291945904993E-3</v>
      </c>
      <c r="O255" s="147">
        <f>IF($E255="","",MIN(VLOOKUP(IF($B255&lt;=Input!$C$7,$B255,26),'Mortality Tables'!$A$41:$CW$67,IF($B255&lt;=Input!$C$7+1,Input!$C$4+2,$D255-Input!$C$7+2),0)*IF(B255&gt;20,Input!$C$22,1)/1000,1))</f>
        <v>1.9813200000000003E-2</v>
      </c>
      <c r="P255" s="147">
        <f>IF($E255="","",MIN(VLOOKUP(IF($B255&lt;=Input!$C$7,$B255,26),'Mortality Tables'!$A$12:$CW$37,IF($B255&lt;=Input!$C$7+1,Input!$C$4+2,$D255-Input!$C$7+2),0)*IF(B255&gt;20,Input!$C$22,1)/1000,1))</f>
        <v>2.47665E-2</v>
      </c>
      <c r="Q255" s="155">
        <f>IF($E255="","",Input!$C$21)</f>
        <v>5.0000000000000001E-3</v>
      </c>
      <c r="R255" s="159">
        <f>IF($E255="","",(1-Q255)^($F255-Input!$C$20))</f>
        <v>0.90461048027461777</v>
      </c>
      <c r="S255" s="147">
        <f t="shared" si="123"/>
        <v>1.7923228367777058E-2</v>
      </c>
      <c r="T255" s="147">
        <f t="shared" si="124"/>
        <v>1.5060143897818179E-3</v>
      </c>
      <c r="U255" s="160">
        <f>IF($E255="","",IF($C255=12,INDEX(Input!$C$15:$CP$15,1,$B255),0))</f>
        <v>0</v>
      </c>
      <c r="V255" s="150">
        <f>IF(E255="","",IF(C255=1,IF($B255=1,Input!$C$33,Input!$C$34),0))</f>
        <v>0</v>
      </c>
      <c r="W255" s="156">
        <f>IF($E255="","",Input!$C$35)</f>
        <v>0.02</v>
      </c>
      <c r="X255" s="156">
        <f t="shared" si="166"/>
        <v>1.4859473959783549</v>
      </c>
      <c r="Y255" s="154"/>
      <c r="Z255" s="147">
        <f>IF($E255="","",VLOOKUP($D255,'Mortality Margins &amp; Grading'!$AB$5:$AF$125,3,0)*IF(Summary!$D$25="Included Margin",IF(AND($B255&gt;Input!$C$9,Summary!$D$31&lt;&gt;"Included Margin"),0,1),0))</f>
        <v>3.4000000000000002E-2</v>
      </c>
      <c r="AA255" s="147">
        <f>IF($E255="","",VLOOKUP($D255,'Mortality Margins &amp; Grading'!$AB$5:$AF$125,5,0)*IF(Summary!$D$25="Included Margin",IF(AND($B255&gt;Input!$C$9,Summary!$D$31&lt;&gt;"Included Margin"),0,1),0))</f>
        <v>0.17399999999999999</v>
      </c>
      <c r="AB255" s="147">
        <f>IF($E255="","",IF(AND($B255&gt;Input!$C$9,Summary!$D$31&lt;&gt;"Included Margin"),1,IF(Summary!$D$25="Included Margin",VLOOKUP($B255,'Mortality Margins &amp; Grading'!$AI$5:$AR$125,MATCH('Mortality Margins &amp; Grading'!$AQ$4,'Mortality Margins &amp; Grading'!$AI$4:$AR$4,0),0),1)))</f>
        <v>1</v>
      </c>
      <c r="AC255" s="154"/>
      <c r="AD255" s="158">
        <f>IF(E255="","",Input!$C$48*IF(Summary!$D$30="Included Margin",IF(AND($B255&gt;Input!$C$9,Summary!$D$31&lt;&gt;"Included Margin"),0,1),0))</f>
        <v>-4.4999999999999997E-3</v>
      </c>
      <c r="AE255" s="159">
        <f>IF(E255="","",IF(Summary!$D$26="Included Margin",IF(AND($B255&gt;Input!$C$9,Summary!$D$31&lt;&gt;"Included Margin"),1,1/$R255),1))</f>
        <v>1.1054481700194589</v>
      </c>
      <c r="AF255" s="160">
        <f>IF(E255="","",IF(AND($B255&gt;=Input!$C$9,$C255=12,Summary!$D$31="Included Margin",$U255&gt;0),1/U255-1,IF($B255&gt;=Input!$C$9,0,Input!$C$45*IF(Summary!$D$27="Included Margin",1,0))))</f>
        <v>0</v>
      </c>
      <c r="AG255" s="160">
        <f>IF(E255="","",Input!$C$46*IF(Summary!$D$28="Included Margin",IF(AND($B255&gt;Input!$C$9,Summary!$D$31&lt;&gt;"Included Margin"),0,1),0))</f>
        <v>0.02</v>
      </c>
      <c r="AH255" s="158">
        <f>IF(E255="","",Input!$C$47*IF(Summary!$D$29="Included Margin",IF(AND($B255&gt;Input!$C$9,Summary!$D$31&lt;&gt;"Included Margin"),0,1),0))</f>
        <v>2.5000000000000001E-3</v>
      </c>
      <c r="AI255" s="154"/>
      <c r="AJ255" s="158">
        <f t="shared" si="148"/>
        <v>3.3910000000000003E-2</v>
      </c>
      <c r="AK255" s="155">
        <f t="shared" si="149"/>
        <v>2.7828425776430521E-3</v>
      </c>
      <c r="AL255" s="147">
        <f t="shared" si="150"/>
        <v>2.0486848800000002E-2</v>
      </c>
      <c r="AM255" s="147">
        <f t="shared" si="126"/>
        <v>1.7234810350180707E-3</v>
      </c>
      <c r="AN255" s="160">
        <f t="shared" si="151"/>
        <v>0</v>
      </c>
      <c r="AO255" s="161">
        <f t="shared" si="152"/>
        <v>0</v>
      </c>
      <c r="AP255" s="156">
        <f t="shared" si="127"/>
        <v>1.5605092006847148</v>
      </c>
      <c r="AQ255" s="152"/>
      <c r="AR255" s="162">
        <f t="shared" si="128"/>
        <v>343.44416264580059</v>
      </c>
      <c r="AS255" s="150">
        <f t="shared" si="153"/>
        <v>0</v>
      </c>
      <c r="AT255" s="163">
        <f t="shared" si="129"/>
        <v>0</v>
      </c>
      <c r="AU255" s="163">
        <f t="shared" si="130"/>
        <v>172.34810350180706</v>
      </c>
      <c r="AV255" s="163">
        <f t="shared" si="154"/>
        <v>0.71594221855326923</v>
      </c>
      <c r="AW255" s="163">
        <f t="shared" si="131"/>
        <v>0.29662653042014309</v>
      </c>
      <c r="AX255" s="163">
        <f t="shared" si="132"/>
        <v>0</v>
      </c>
      <c r="AY255" s="164">
        <f t="shared" si="155"/>
        <v>172.10862789296695</v>
      </c>
      <c r="AZ255" s="164">
        <f>IF($E255="","",IF(OR(AND($D255=Input!$C$6,$C255=12),$AN255=1),0,-AS256+AT256+AU256-AV256-AW256-AX256+AZ256))</f>
        <v>172.10896110442721</v>
      </c>
      <c r="BA255" s="154">
        <f t="shared" si="133"/>
        <v>3.3321146025855342E-4</v>
      </c>
      <c r="BC255" s="147">
        <f t="shared" si="156"/>
        <v>8.9748777482446807E-2</v>
      </c>
      <c r="BD255" s="164">
        <f>IF(AND($C254=12,$D254=Input!$C$6),0,IF($E255="","",AT255+(AU255+BD256)/(1+$AK255)*MIN((1-AM255-AN255),1)))</f>
        <v>167.55218805813965</v>
      </c>
      <c r="BE255" s="164">
        <f t="shared" si="134"/>
        <v>15.037604042727056</v>
      </c>
      <c r="BF255" s="164">
        <f t="shared" si="157"/>
        <v>172.10896110442721</v>
      </c>
      <c r="BG255" s="164">
        <f t="shared" si="135"/>
        <v>15.446568852896331</v>
      </c>
      <c r="BH255" s="152"/>
      <c r="BI255" s="162">
        <f t="shared" si="136"/>
        <v>-213.94395544902821</v>
      </c>
      <c r="BJ255" s="150">
        <f t="shared" si="137"/>
        <v>0</v>
      </c>
      <c r="BK255" s="163">
        <f t="shared" si="161"/>
        <v>0</v>
      </c>
      <c r="BL255" s="163">
        <f t="shared" si="138"/>
        <v>150.60143897818179</v>
      </c>
      <c r="BM255" s="163">
        <f t="shared" si="162"/>
        <v>-0.90991434280017391</v>
      </c>
      <c r="BN255" s="163">
        <f t="shared" si="139"/>
        <v>-0.5512105245562946</v>
      </c>
      <c r="BO255" s="163">
        <f t="shared" si="140"/>
        <v>0</v>
      </c>
      <c r="BP255" s="164">
        <f t="shared" si="163"/>
        <v>-366.00651929456643</v>
      </c>
      <c r="BQ255" s="164">
        <f>IF($E255="","",IF(AND($D255=Input!$C$6,$C255=12),0,-BJ256+BK256+BL256-BM256-BN256-BO256+BQ256))</f>
        <v>-366.00614728266351</v>
      </c>
      <c r="BR255" s="161">
        <f t="shared" si="141"/>
        <v>0</v>
      </c>
      <c r="BT255" s="147">
        <f t="shared" si="142"/>
        <v>8.9748777482446807E-2</v>
      </c>
      <c r="BU255" s="164">
        <f>IF(AND($C254=12,$D254=Input!$C$6),0,IF($E255="","",BK255+(BL255+BU256)/(1+$AK255)*MIN((1-T255-U255),1)))</f>
        <v>21035.633431893006</v>
      </c>
      <c r="BV255" s="164">
        <f t="shared" si="143"/>
        <v>1887.9223840812842</v>
      </c>
      <c r="BW255" s="164">
        <f t="shared" si="144"/>
        <v>-366.00614728266351</v>
      </c>
      <c r="BX255" s="164">
        <f t="shared" si="145"/>
        <v>-32.84860426967942</v>
      </c>
    </row>
    <row r="256" spans="1:76" s="150" customFormat="1" x14ac:dyDescent="0.25">
      <c r="A256" s="150">
        <f t="shared" si="158"/>
        <v>252</v>
      </c>
      <c r="B256" s="150">
        <f t="shared" si="159"/>
        <v>21</v>
      </c>
      <c r="C256" s="150">
        <f t="shared" si="160"/>
        <v>12</v>
      </c>
      <c r="D256" s="150">
        <f>IF(E256="","",Input!$C$4+B256-1)</f>
        <v>65</v>
      </c>
      <c r="E256" s="150">
        <f>IF(OR(AND(C255=12,D255=Input!$C$6),E255=""),"",1)</f>
        <v>1</v>
      </c>
      <c r="F256" s="150">
        <f>IF(E256="","",Input!$C$8+B256-1)</f>
        <v>2038</v>
      </c>
      <c r="G256" s="151">
        <f>IF(E256="","",MAX(0,Input!$C$9-B256))</f>
        <v>0</v>
      </c>
      <c r="H256" s="152">
        <f>IF(E256="","",Input!$C$3)</f>
        <v>100000</v>
      </c>
      <c r="I256" s="153">
        <f>IF(E256="","",HLOOKUP($B256,Input!$C$13:$BT$14,2))</f>
        <v>17.786999999999999</v>
      </c>
      <c r="J256" s="154"/>
      <c r="K256" s="155">
        <f>IF($E256="","",INDEX(Input!$C$16:$CP$16,1,$B256))</f>
        <v>2.341E-2</v>
      </c>
      <c r="L256" s="155">
        <f>IF($E256="","",Input!$C$37)</f>
        <v>1.4999999999999999E-2</v>
      </c>
      <c r="M256" s="155">
        <f t="shared" si="164"/>
        <v>3.841E-2</v>
      </c>
      <c r="N256" s="155">
        <f t="shared" si="165"/>
        <v>3.1458291945904993E-3</v>
      </c>
      <c r="O256" s="147">
        <f>IF($E256="","",MIN(VLOOKUP(IF($B256&lt;=Input!$C$7,$B256,26),'Mortality Tables'!$A$41:$CW$67,IF($B256&lt;=Input!$C$7+1,Input!$C$4+2,$D256-Input!$C$7+2),0)*IF(B256&gt;20,Input!$C$22,1)/1000,1))</f>
        <v>1.9813200000000003E-2</v>
      </c>
      <c r="P256" s="147">
        <f>IF($E256="","",MIN(VLOOKUP(IF($B256&lt;=Input!$C$7,$B256,26),'Mortality Tables'!$A$12:$CW$37,IF($B256&lt;=Input!$C$7+1,Input!$C$4+2,$D256-Input!$C$7+2),0)*IF(B256&gt;20,Input!$C$22,1)/1000,1))</f>
        <v>2.47665E-2</v>
      </c>
      <c r="Q256" s="155">
        <f>IF($E256="","",Input!$C$21)</f>
        <v>5.0000000000000001E-3</v>
      </c>
      <c r="R256" s="159">
        <f>IF($E256="","",(1-Q256)^($F256-Input!$C$20))</f>
        <v>0.90461048027461777</v>
      </c>
      <c r="S256" s="147">
        <f t="shared" si="123"/>
        <v>1.7923228367777058E-2</v>
      </c>
      <c r="T256" s="147">
        <f t="shared" si="124"/>
        <v>1.5060143897818179E-3</v>
      </c>
      <c r="U256" s="160">
        <f>IF($E256="","",IF($C256=12,INDEX(Input!$C$15:$CP$15,1,$B256),0))</f>
        <v>0.1</v>
      </c>
      <c r="V256" s="150">
        <f>IF(E256="","",IF(C256=1,IF($B256=1,Input!$C$33,Input!$C$34),0))</f>
        <v>0</v>
      </c>
      <c r="W256" s="156">
        <f>IF($E256="","",Input!$C$35)</f>
        <v>0.02</v>
      </c>
      <c r="X256" s="156">
        <f t="shared" si="166"/>
        <v>1.4859473959783549</v>
      </c>
      <c r="Y256" s="154"/>
      <c r="Z256" s="147">
        <f>IF($E256="","",VLOOKUP($D256,'Mortality Margins &amp; Grading'!$AB$5:$AF$125,3,0)*IF(Summary!$D$25="Included Margin",IF(AND($B256&gt;Input!$C$9,Summary!$D$31&lt;&gt;"Included Margin"),0,1),0))</f>
        <v>3.4000000000000002E-2</v>
      </c>
      <c r="AA256" s="147">
        <f>IF($E256="","",VLOOKUP($D256,'Mortality Margins &amp; Grading'!$AB$5:$AF$125,5,0)*IF(Summary!$D$25="Included Margin",IF(AND($B256&gt;Input!$C$9,Summary!$D$31&lt;&gt;"Included Margin"),0,1),0))</f>
        <v>0.17399999999999999</v>
      </c>
      <c r="AB256" s="147">
        <f>IF($E256="","",IF(AND($B256&gt;Input!$C$9,Summary!$D$31&lt;&gt;"Included Margin"),1,IF(Summary!$D$25="Included Margin",VLOOKUP($B256,'Mortality Margins &amp; Grading'!$AI$5:$AR$125,MATCH('Mortality Margins &amp; Grading'!$AQ$4,'Mortality Margins &amp; Grading'!$AI$4:$AR$4,0),0),1)))</f>
        <v>1</v>
      </c>
      <c r="AC256" s="154"/>
      <c r="AD256" s="158">
        <f>IF(E256="","",Input!$C$48*IF(Summary!$D$30="Included Margin",IF(AND($B256&gt;Input!$C$9,Summary!$D$31&lt;&gt;"Included Margin"),0,1),0))</f>
        <v>-4.4999999999999997E-3</v>
      </c>
      <c r="AE256" s="159">
        <f>IF(E256="","",IF(Summary!$D$26="Included Margin",IF(AND($B256&gt;Input!$C$9,Summary!$D$31&lt;&gt;"Included Margin"),1,1/$R256),1))</f>
        <v>1.1054481700194589</v>
      </c>
      <c r="AF256" s="160">
        <f>IF(E256="","",IF(AND($B256&gt;=Input!$C$9,$C256=12,Summary!$D$31="Included Margin",$U256&gt;0),1/U256-1,IF($B256&gt;=Input!$C$9,0,Input!$C$45*IF(Summary!$D$27="Included Margin",1,0))))</f>
        <v>9</v>
      </c>
      <c r="AG256" s="160">
        <f>IF(E256="","",Input!$C$46*IF(Summary!$D$28="Included Margin",IF(AND($B256&gt;Input!$C$9,Summary!$D$31&lt;&gt;"Included Margin"),0,1),0))</f>
        <v>0.02</v>
      </c>
      <c r="AH256" s="158">
        <f>IF(E256="","",Input!$C$47*IF(Summary!$D$29="Included Margin",IF(AND($B256&gt;Input!$C$9,Summary!$D$31&lt;&gt;"Included Margin"),0,1),0))</f>
        <v>2.5000000000000001E-3</v>
      </c>
      <c r="AI256" s="154"/>
      <c r="AJ256" s="158">
        <f t="shared" si="148"/>
        <v>3.3910000000000003E-2</v>
      </c>
      <c r="AK256" s="155">
        <f t="shared" si="149"/>
        <v>2.7828425776430521E-3</v>
      </c>
      <c r="AL256" s="147">
        <f t="shared" si="150"/>
        <v>2.0486848800000002E-2</v>
      </c>
      <c r="AM256" s="147">
        <f t="shared" si="126"/>
        <v>1.7234810350180707E-3</v>
      </c>
      <c r="AN256" s="160">
        <f t="shared" si="151"/>
        <v>1</v>
      </c>
      <c r="AO256" s="161">
        <f t="shared" si="152"/>
        <v>0</v>
      </c>
      <c r="AP256" s="156">
        <f t="shared" si="127"/>
        <v>1.5605092006847148</v>
      </c>
      <c r="AQ256" s="152"/>
      <c r="AR256" s="162">
        <f t="shared" si="128"/>
        <v>172.10862789296692</v>
      </c>
      <c r="AS256" s="150">
        <f t="shared" si="153"/>
        <v>0</v>
      </c>
      <c r="AT256" s="163">
        <f t="shared" si="129"/>
        <v>0</v>
      </c>
      <c r="AU256" s="163">
        <f t="shared" si="130"/>
        <v>172.34810350180706</v>
      </c>
      <c r="AV256" s="163">
        <f t="shared" si="154"/>
        <v>0.23914239737984283</v>
      </c>
      <c r="AW256" s="163">
        <f t="shared" si="131"/>
        <v>0</v>
      </c>
      <c r="AX256" s="163">
        <f t="shared" si="132"/>
        <v>0</v>
      </c>
      <c r="AY256" s="165">
        <f t="shared" si="155"/>
        <v>-3.3321146029513526E-4</v>
      </c>
      <c r="AZ256" s="164">
        <f>IF($E256="","",IF(OR(AND($D256=Input!$C$6,$C256=12),$AN256=1),0,-AS257+AT257+AU257-AV257-AW257-AX257+AZ257))</f>
        <v>0</v>
      </c>
      <c r="BA256" s="154">
        <f t="shared" si="133"/>
        <v>3.3321146029513526E-4</v>
      </c>
      <c r="BC256" s="147">
        <f t="shared" si="156"/>
        <v>8.0638736783848239E-2</v>
      </c>
      <c r="BD256" s="164">
        <f>IF(AND($C255=12,$D255=Input!$C$6),0,IF($E256="","",AT256+(AU256+BD257)/(1+$AK256)*MIN((1-AM256-AN256),1)))</f>
        <v>-4.0395675109500653</v>
      </c>
      <c r="BE256" s="164">
        <f t="shared" si="134"/>
        <v>-0.3257456212360873</v>
      </c>
      <c r="BF256" s="164">
        <f t="shared" si="157"/>
        <v>0</v>
      </c>
      <c r="BG256" s="164">
        <f t="shared" si="135"/>
        <v>0</v>
      </c>
      <c r="BH256" s="152"/>
      <c r="BI256" s="162">
        <f t="shared" si="136"/>
        <v>-366.00651929456649</v>
      </c>
      <c r="BJ256" s="150">
        <f t="shared" si="137"/>
        <v>0</v>
      </c>
      <c r="BK256" s="163">
        <f t="shared" si="161"/>
        <v>0</v>
      </c>
      <c r="BL256" s="163">
        <f t="shared" si="138"/>
        <v>150.60143897818179</v>
      </c>
      <c r="BM256" s="163">
        <f t="shared" si="162"/>
        <v>-1.3882771955497502</v>
      </c>
      <c r="BN256" s="163">
        <f t="shared" si="139"/>
        <v>-0.86809539105372868</v>
      </c>
      <c r="BO256" s="163">
        <f t="shared" si="140"/>
        <v>-57.555095939599454</v>
      </c>
      <c r="BP256" s="164">
        <f t="shared" si="163"/>
        <v>-576.41942679895135</v>
      </c>
      <c r="BQ256" s="164">
        <f>IF($E256="","",IF(AND($D256=Input!$C$6,$C256=12),0,-BJ257+BK257+BL257-BM257-BN257-BO257+BQ257))</f>
        <v>-576.41905478704825</v>
      </c>
      <c r="BR256" s="161">
        <f t="shared" si="141"/>
        <v>0</v>
      </c>
      <c r="BT256" s="147">
        <f t="shared" si="142"/>
        <v>8.0638736783848239E-2</v>
      </c>
      <c r="BU256" s="164">
        <f>IF(AND($C255=12,$D255=Input!$C$6),0,IF($E256="","",BK256+(BL256+BU257)/(1+$AK256)*MIN((1-T256-U256),1)))</f>
        <v>20975.386891701157</v>
      </c>
      <c r="BV256" s="164">
        <f t="shared" si="143"/>
        <v>1691.4287024992702</v>
      </c>
      <c r="BW256" s="164">
        <f t="shared" si="144"/>
        <v>-576.41905478704825</v>
      </c>
      <c r="BX256" s="164">
        <f t="shared" si="145"/>
        <v>-46.481704436167384</v>
      </c>
    </row>
    <row r="257" spans="1:76" s="150" customFormat="1" x14ac:dyDescent="0.25">
      <c r="A257" s="150">
        <f t="shared" si="158"/>
        <v>253</v>
      </c>
      <c r="B257" s="150">
        <f t="shared" si="159"/>
        <v>22</v>
      </c>
      <c r="C257" s="150">
        <f t="shared" si="160"/>
        <v>1</v>
      </c>
      <c r="D257" s="150">
        <f>IF(E257="","",Input!$C$4+B257-1)</f>
        <v>66</v>
      </c>
      <c r="E257" s="150">
        <f>IF(OR(AND(C256=12,D256=Input!$C$6),E256=""),"",1)</f>
        <v>1</v>
      </c>
      <c r="F257" s="150">
        <f>IF(E257="","",Input!$C$8+B257-1)</f>
        <v>2039</v>
      </c>
      <c r="G257" s="151">
        <f>IF(E257="","",MAX(0,Input!$C$9-B257))</f>
        <v>0</v>
      </c>
      <c r="H257" s="152">
        <f>IF(E257="","",Input!$C$3)</f>
        <v>100000</v>
      </c>
      <c r="I257" s="153">
        <f>IF(E257="","",HLOOKUP($B257,Input!$C$13:$BT$14,2))</f>
        <v>20.237000000000002</v>
      </c>
      <c r="J257" s="154"/>
      <c r="K257" s="155">
        <f>IF($E257="","",INDEX(Input!$C$16:$CP$16,1,$B257))</f>
        <v>2.4029999999999999E-2</v>
      </c>
      <c r="L257" s="155">
        <f>IF($E257="","",Input!$C$37)</f>
        <v>1.4999999999999999E-2</v>
      </c>
      <c r="M257" s="155">
        <f t="shared" si="164"/>
        <v>3.9029999999999995E-2</v>
      </c>
      <c r="N257" s="155">
        <f t="shared" si="165"/>
        <v>3.1957276193304018E-3</v>
      </c>
      <c r="O257" s="147">
        <f>IF($E257="","",MIN(VLOOKUP(IF($B257&lt;=Input!$C$7,$B257,26),'Mortality Tables'!$A$41:$CW$67,IF($B257&lt;=Input!$C$7+1,Input!$C$4+2,$D257-Input!$C$7+2),0)*IF(B257&gt;20,Input!$C$22,1)/1000,1))</f>
        <v>2.2594000000000006E-2</v>
      </c>
      <c r="P257" s="147">
        <f>IF($E257="","",MIN(VLOOKUP(IF($B257&lt;=Input!$C$7,$B257,26),'Mortality Tables'!$A$12:$CW$37,IF($B257&lt;=Input!$C$7+1,Input!$C$4+2,$D257-Input!$C$7+2),0)*IF(B257&gt;20,Input!$C$22,1)/1000,1))</f>
        <v>2.8242500000000004E-2</v>
      </c>
      <c r="Q257" s="155">
        <f>IF($E257="","",Input!$C$21)</f>
        <v>5.0000000000000001E-3</v>
      </c>
      <c r="R257" s="159">
        <f>IF($E257="","",(1-Q257)^($F257-Input!$C$20))</f>
        <v>0.90008742787324469</v>
      </c>
      <c r="S257" s="147">
        <f t="shared" si="123"/>
        <v>2.0336575345368098E-2</v>
      </c>
      <c r="T257" s="147">
        <f t="shared" si="124"/>
        <v>1.7107192603179611E-3</v>
      </c>
      <c r="U257" s="160">
        <f>IF($E257="","",IF($C257=12,INDEX(Input!$C$15:$CP$15,1,$B257),0))</f>
        <v>0</v>
      </c>
      <c r="V257" s="150">
        <f>IF(E257="","",IF(C257=1,IF($B257=1,Input!$C$33,Input!$C$34),0))</f>
        <v>50</v>
      </c>
      <c r="W257" s="156">
        <f>IF($E257="","",Input!$C$35)</f>
        <v>0.02</v>
      </c>
      <c r="X257" s="156">
        <f t="shared" si="166"/>
        <v>1.5156663438979221</v>
      </c>
      <c r="Y257" s="154"/>
      <c r="Z257" s="147">
        <f>IF($E257="","",VLOOKUP($D257,'Mortality Margins &amp; Grading'!$AB$5:$AF$125,3,0)*IF(Summary!$D$25="Included Margin",IF(AND($B257&gt;Input!$C$9,Summary!$D$31&lt;&gt;"Included Margin"),0,1),0))</f>
        <v>3.3000000000000002E-2</v>
      </c>
      <c r="AA257" s="147">
        <f>IF($E257="","",VLOOKUP($D257,'Mortality Margins &amp; Grading'!$AB$5:$AF$125,5,0)*IF(Summary!$D$25="Included Margin",IF(AND($B257&gt;Input!$C$9,Summary!$D$31&lt;&gt;"Included Margin"),0,1),0))</f>
        <v>0.16900000000000001</v>
      </c>
      <c r="AB257" s="147">
        <f>IF($E257="","",IF(AND($B257&gt;Input!$C$9,Summary!$D$31&lt;&gt;"Included Margin"),1,IF(Summary!$D$25="Included Margin",VLOOKUP($B257,'Mortality Margins &amp; Grading'!$AI$5:$AR$125,MATCH('Mortality Margins &amp; Grading'!$AQ$4,'Mortality Margins &amp; Grading'!$AI$4:$AR$4,0),0),1)))</f>
        <v>1</v>
      </c>
      <c r="AC257" s="154"/>
      <c r="AD257" s="158">
        <f>IF(E257="","",Input!$C$48*IF(Summary!$D$30="Included Margin",IF(AND($B257&gt;Input!$C$9,Summary!$D$31&lt;&gt;"Included Margin"),0,1),0))</f>
        <v>-4.4999999999999997E-3</v>
      </c>
      <c r="AE257" s="159">
        <f>IF(E257="","",IF(Summary!$D$26="Included Margin",IF(AND($B257&gt;Input!$C$9,Summary!$D$31&lt;&gt;"Included Margin"),1,1/$R257),1))</f>
        <v>1.1110031859492049</v>
      </c>
      <c r="AF257" s="160">
        <f>IF(E257="","",IF(AND($B257&gt;=Input!$C$9,$C257=12,Summary!$D$31="Included Margin",$U257&gt;0),1/U257-1,IF($B257&gt;=Input!$C$9,0,Input!$C$45*IF(Summary!$D$27="Included Margin",1,0))))</f>
        <v>0</v>
      </c>
      <c r="AG257" s="160">
        <f>IF(E257="","",Input!$C$46*IF(Summary!$D$28="Included Margin",IF(AND($B257&gt;Input!$C$9,Summary!$D$31&lt;&gt;"Included Margin"),0,1),0))</f>
        <v>0.02</v>
      </c>
      <c r="AH257" s="158">
        <f>IF(E257="","",Input!$C$47*IF(Summary!$D$29="Included Margin",IF(AND($B257&gt;Input!$C$9,Summary!$D$31&lt;&gt;"Included Margin"),0,1),0))</f>
        <v>2.5000000000000001E-3</v>
      </c>
      <c r="AI257" s="154"/>
      <c r="AJ257" s="158">
        <f t="shared" si="148"/>
        <v>3.4529999999999998E-2</v>
      </c>
      <c r="AK257" s="155">
        <f t="shared" si="149"/>
        <v>2.8329399868891603E-3</v>
      </c>
      <c r="AL257" s="147">
        <f t="shared" si="150"/>
        <v>2.3339602000000004E-2</v>
      </c>
      <c r="AM257" s="147">
        <f t="shared" si="126"/>
        <v>1.9660883853290789E-3</v>
      </c>
      <c r="AN257" s="160">
        <f t="shared" si="151"/>
        <v>0</v>
      </c>
      <c r="AO257" s="161">
        <f t="shared" si="152"/>
        <v>51</v>
      </c>
      <c r="AP257" s="156">
        <f t="shared" si="127"/>
        <v>1.5956206577001208</v>
      </c>
      <c r="AQ257" s="152"/>
      <c r="AR257" s="162">
        <f t="shared" si="128"/>
        <v>352.61902387544473</v>
      </c>
      <c r="AS257" s="150">
        <f t="shared" si="153"/>
        <v>2023.7000000000003</v>
      </c>
      <c r="AT257" s="163">
        <f t="shared" si="129"/>
        <v>81.376653542706165</v>
      </c>
      <c r="AU257" s="163">
        <f t="shared" si="130"/>
        <v>196.6088385329079</v>
      </c>
      <c r="AV257" s="163">
        <f t="shared" si="154"/>
        <v>6.2229434882939536</v>
      </c>
      <c r="AW257" s="163">
        <f t="shared" si="131"/>
        <v>4.1458960148072634</v>
      </c>
      <c r="AX257" s="163">
        <f t="shared" si="132"/>
        <v>0</v>
      </c>
      <c r="AY257" s="164">
        <f t="shared" si="155"/>
        <v>2108.7023713029321</v>
      </c>
      <c r="AZ257" s="164">
        <f>IF($E257="","",IF(OR(AND($D257=Input!$C$6,$C257=12),$AN257=1),0,-AS258+AT258+AU258-AV258-AW258-AX258+AZ258))</f>
        <v>2108.7027652184283</v>
      </c>
      <c r="BA257" s="154">
        <f t="shared" si="133"/>
        <v>3.9391549626088818E-4</v>
      </c>
      <c r="BC257" s="147">
        <f t="shared" si="156"/>
        <v>8.0500786543704406E-2</v>
      </c>
      <c r="BD257" s="164">
        <f>IF(AND($C256=12,$D256=Input!$C$6),0,IF($E257="","",AT257+(AU257+BD258)/(1+$AK257)*MIN((1-AM257-AN257),1)))</f>
        <v>2178.016599740969</v>
      </c>
      <c r="BE257" s="164">
        <f t="shared" si="134"/>
        <v>175.33204938439263</v>
      </c>
      <c r="BF257" s="164">
        <f t="shared" si="157"/>
        <v>2108.7027652184283</v>
      </c>
      <c r="BG257" s="164">
        <f t="shared" si="135"/>
        <v>169.75223118696792</v>
      </c>
      <c r="BH257" s="152"/>
      <c r="BI257" s="162">
        <f t="shared" si="136"/>
        <v>-576.41949086575039</v>
      </c>
      <c r="BJ257" s="150">
        <f t="shared" si="137"/>
        <v>2023.7000000000003</v>
      </c>
      <c r="BK257" s="163">
        <f t="shared" si="161"/>
        <v>75.7833171948961</v>
      </c>
      <c r="BL257" s="163">
        <f t="shared" si="138"/>
        <v>171.0719260317961</v>
      </c>
      <c r="BM257" s="163">
        <f t="shared" si="162"/>
        <v>4.1095818166587526</v>
      </c>
      <c r="BN257" s="163">
        <f t="shared" si="139"/>
        <v>2.0641528958493849</v>
      </c>
      <c r="BO257" s="163">
        <f t="shared" si="140"/>
        <v>0</v>
      </c>
      <c r="BP257" s="164">
        <f t="shared" si="163"/>
        <v>1206.5990006200657</v>
      </c>
      <c r="BQ257" s="164">
        <f>IF($E257="","",IF(AND($D257=Input!$C$6,$C257=12),0,-BJ258+BK258+BL258-BM258-BN258-BO258+BQ258))</f>
        <v>1206.5994366987679</v>
      </c>
      <c r="BR257" s="161">
        <f t="shared" si="141"/>
        <v>0</v>
      </c>
      <c r="BT257" s="147">
        <f t="shared" si="142"/>
        <v>8.0500786543704406E-2</v>
      </c>
      <c r="BU257" s="164">
        <f>IF(AND($C256=12,$D256=Input!$C$6),0,IF($E257="","",BK257+(BL257+BU258)/(1+$AK257)*MIN((1-T257-U257),1)))</f>
        <v>23259.4140183214</v>
      </c>
      <c r="BV257" s="164">
        <f t="shared" si="143"/>
        <v>1872.4011230205369</v>
      </c>
      <c r="BW257" s="164">
        <f t="shared" si="144"/>
        <v>1206.5994366987679</v>
      </c>
      <c r="BX257" s="164">
        <f t="shared" si="145"/>
        <v>97.132203697441497</v>
      </c>
    </row>
    <row r="258" spans="1:76" s="150" customFormat="1" x14ac:dyDescent="0.25">
      <c r="A258" s="150">
        <f t="shared" si="158"/>
        <v>254</v>
      </c>
      <c r="B258" s="150">
        <f t="shared" si="159"/>
        <v>22</v>
      </c>
      <c r="C258" s="150">
        <f t="shared" si="160"/>
        <v>2</v>
      </c>
      <c r="D258" s="150">
        <f>IF(E258="","",Input!$C$4+B258-1)</f>
        <v>66</v>
      </c>
      <c r="E258" s="150">
        <f>IF(OR(AND(C257=12,D257=Input!$C$6),E257=""),"",1)</f>
        <v>1</v>
      </c>
      <c r="F258" s="150">
        <f>IF(E258="","",Input!$C$8+B258-1)</f>
        <v>2039</v>
      </c>
      <c r="G258" s="151">
        <f>IF(E258="","",MAX(0,Input!$C$9-B258))</f>
        <v>0</v>
      </c>
      <c r="H258" s="152">
        <f>IF(E258="","",Input!$C$3)</f>
        <v>100000</v>
      </c>
      <c r="I258" s="153">
        <f>IF(E258="","",HLOOKUP($B258,Input!$C$13:$BT$14,2))</f>
        <v>20.237000000000002</v>
      </c>
      <c r="J258" s="154"/>
      <c r="K258" s="155">
        <f>IF($E258="","",INDEX(Input!$C$16:$CP$16,1,$B258))</f>
        <v>2.4029999999999999E-2</v>
      </c>
      <c r="L258" s="155">
        <f>IF($E258="","",Input!$C$37)</f>
        <v>1.4999999999999999E-2</v>
      </c>
      <c r="M258" s="155">
        <f t="shared" si="164"/>
        <v>3.9029999999999995E-2</v>
      </c>
      <c r="N258" s="155">
        <f t="shared" si="165"/>
        <v>3.1957276193304018E-3</v>
      </c>
      <c r="O258" s="147">
        <f>IF($E258="","",MIN(VLOOKUP(IF($B258&lt;=Input!$C$7,$B258,26),'Mortality Tables'!$A$41:$CW$67,IF($B258&lt;=Input!$C$7+1,Input!$C$4+2,$D258-Input!$C$7+2),0)*IF(B258&gt;20,Input!$C$22,1)/1000,1))</f>
        <v>2.2594000000000006E-2</v>
      </c>
      <c r="P258" s="147">
        <f>IF($E258="","",MIN(VLOOKUP(IF($B258&lt;=Input!$C$7,$B258,26),'Mortality Tables'!$A$12:$CW$37,IF($B258&lt;=Input!$C$7+1,Input!$C$4+2,$D258-Input!$C$7+2),0)*IF(B258&gt;20,Input!$C$22,1)/1000,1))</f>
        <v>2.8242500000000004E-2</v>
      </c>
      <c r="Q258" s="155">
        <f>IF($E258="","",Input!$C$21)</f>
        <v>5.0000000000000001E-3</v>
      </c>
      <c r="R258" s="159">
        <f>IF($E258="","",(1-Q258)^($F258-Input!$C$20))</f>
        <v>0.90008742787324469</v>
      </c>
      <c r="S258" s="147">
        <f t="shared" si="123"/>
        <v>2.0336575345368098E-2</v>
      </c>
      <c r="T258" s="147">
        <f t="shared" si="124"/>
        <v>1.7107192603179611E-3</v>
      </c>
      <c r="U258" s="160">
        <f>IF($E258="","",IF($C258=12,INDEX(Input!$C$15:$CP$15,1,$B258),0))</f>
        <v>0</v>
      </c>
      <c r="V258" s="150">
        <f>IF(E258="","",IF(C258=1,IF($B258=1,Input!$C$33,Input!$C$34),0))</f>
        <v>0</v>
      </c>
      <c r="W258" s="156">
        <f>IF($E258="","",Input!$C$35)</f>
        <v>0.02</v>
      </c>
      <c r="X258" s="156">
        <f t="shared" si="166"/>
        <v>1.5156663438979221</v>
      </c>
      <c r="Y258" s="154"/>
      <c r="Z258" s="147">
        <f>IF($E258="","",VLOOKUP($D258,'Mortality Margins &amp; Grading'!$AB$5:$AF$125,3,0)*IF(Summary!$D$25="Included Margin",IF(AND($B258&gt;Input!$C$9,Summary!$D$31&lt;&gt;"Included Margin"),0,1),0))</f>
        <v>3.3000000000000002E-2</v>
      </c>
      <c r="AA258" s="147">
        <f>IF($E258="","",VLOOKUP($D258,'Mortality Margins &amp; Grading'!$AB$5:$AF$125,5,0)*IF(Summary!$D$25="Included Margin",IF(AND($B258&gt;Input!$C$9,Summary!$D$31&lt;&gt;"Included Margin"),0,1),0))</f>
        <v>0.16900000000000001</v>
      </c>
      <c r="AB258" s="147">
        <f>IF($E258="","",IF(AND($B258&gt;Input!$C$9,Summary!$D$31&lt;&gt;"Included Margin"),1,IF(Summary!$D$25="Included Margin",VLOOKUP($B258,'Mortality Margins &amp; Grading'!$AI$5:$AR$125,MATCH('Mortality Margins &amp; Grading'!$AQ$4,'Mortality Margins &amp; Grading'!$AI$4:$AR$4,0),0),1)))</f>
        <v>1</v>
      </c>
      <c r="AC258" s="154"/>
      <c r="AD258" s="158">
        <f>IF(E258="","",Input!$C$48*IF(Summary!$D$30="Included Margin",IF(AND($B258&gt;Input!$C$9,Summary!$D$31&lt;&gt;"Included Margin"),0,1),0))</f>
        <v>-4.4999999999999997E-3</v>
      </c>
      <c r="AE258" s="159">
        <f>IF(E258="","",IF(Summary!$D$26="Included Margin",IF(AND($B258&gt;Input!$C$9,Summary!$D$31&lt;&gt;"Included Margin"),1,1/$R258),1))</f>
        <v>1.1110031859492049</v>
      </c>
      <c r="AF258" s="160">
        <f>IF(E258="","",IF(AND($B258&gt;=Input!$C$9,$C258=12,Summary!$D$31="Included Margin",$U258&gt;0),1/U258-1,IF($B258&gt;=Input!$C$9,0,Input!$C$45*IF(Summary!$D$27="Included Margin",1,0))))</f>
        <v>0</v>
      </c>
      <c r="AG258" s="160">
        <f>IF(E258="","",Input!$C$46*IF(Summary!$D$28="Included Margin",IF(AND($B258&gt;Input!$C$9,Summary!$D$31&lt;&gt;"Included Margin"),0,1),0))</f>
        <v>0.02</v>
      </c>
      <c r="AH258" s="158">
        <f>IF(E258="","",Input!$C$47*IF(Summary!$D$29="Included Margin",IF(AND($B258&gt;Input!$C$9,Summary!$D$31&lt;&gt;"Included Margin"),0,1),0))</f>
        <v>2.5000000000000001E-3</v>
      </c>
      <c r="AI258" s="154"/>
      <c r="AJ258" s="158">
        <f t="shared" si="148"/>
        <v>3.4529999999999998E-2</v>
      </c>
      <c r="AK258" s="155">
        <f t="shared" si="149"/>
        <v>2.8329399868891603E-3</v>
      </c>
      <c r="AL258" s="147">
        <f t="shared" si="150"/>
        <v>2.3339602000000004E-2</v>
      </c>
      <c r="AM258" s="147">
        <f t="shared" si="126"/>
        <v>1.9660883853290789E-3</v>
      </c>
      <c r="AN258" s="160">
        <f t="shared" si="151"/>
        <v>0</v>
      </c>
      <c r="AO258" s="161">
        <f t="shared" si="152"/>
        <v>0</v>
      </c>
      <c r="AP258" s="156">
        <f t="shared" si="127"/>
        <v>1.5956206577001208</v>
      </c>
      <c r="AQ258" s="152"/>
      <c r="AR258" s="162">
        <f t="shared" si="128"/>
        <v>2108.7023713029325</v>
      </c>
      <c r="AS258" s="150">
        <f t="shared" si="153"/>
        <v>0</v>
      </c>
      <c r="AT258" s="163">
        <f t="shared" si="129"/>
        <v>0</v>
      </c>
      <c r="AU258" s="163">
        <f t="shared" si="130"/>
        <v>196.6088385329079</v>
      </c>
      <c r="AV258" s="163">
        <f t="shared" si="154"/>
        <v>5.6953367478842161</v>
      </c>
      <c r="AW258" s="163">
        <f t="shared" si="131"/>
        <v>3.7779710212902953</v>
      </c>
      <c r="AX258" s="163">
        <f t="shared" si="132"/>
        <v>0</v>
      </c>
      <c r="AY258" s="165">
        <f t="shared" si="155"/>
        <v>1921.5668405391993</v>
      </c>
      <c r="AZ258" s="164">
        <f>IF($E258="","",IF(OR(AND($D258=Input!$C$6,$C258=12),$AN258=1),0,-AS259+AT259+AU259-AV259-AW259-AX259+AZ259))</f>
        <v>1921.5672344546952</v>
      </c>
      <c r="BA258" s="154">
        <f t="shared" si="133"/>
        <v>3.9391549580614083E-4</v>
      </c>
      <c r="BC258" s="147">
        <f t="shared" si="156"/>
        <v>8.036307229769335E-2</v>
      </c>
      <c r="BD258" s="164">
        <f>IF(AND($C257=12,$D257=Input!$C$6),0,IF($E258="","",AT258+(AU258+BD259)/(1+$AK258)*MIN((1-AM258-AN258),1)))</f>
        <v>1910.1127636802821</v>
      </c>
      <c r="BE258" s="164">
        <f t="shared" si="134"/>
        <v>153.50253012438537</v>
      </c>
      <c r="BF258" s="164">
        <f t="shared" si="157"/>
        <v>1921.5672344546952</v>
      </c>
      <c r="BG258" s="164">
        <f t="shared" si="135"/>
        <v>154.42304658736134</v>
      </c>
      <c r="BH258" s="152"/>
      <c r="BI258" s="162">
        <f t="shared" si="136"/>
        <v>1206.5990006200661</v>
      </c>
      <c r="BJ258" s="150">
        <f t="shared" si="137"/>
        <v>0</v>
      </c>
      <c r="BK258" s="163">
        <f t="shared" si="161"/>
        <v>0</v>
      </c>
      <c r="BL258" s="163">
        <f t="shared" si="138"/>
        <v>171.0719260317961</v>
      </c>
      <c r="BM258" s="163">
        <f t="shared" si="162"/>
        <v>3.5826121122820771</v>
      </c>
      <c r="BN258" s="163">
        <f t="shared" si="139"/>
        <v>1.7806719303974694</v>
      </c>
      <c r="BO258" s="163">
        <f t="shared" si="140"/>
        <v>0</v>
      </c>
      <c r="BP258" s="164">
        <f t="shared" si="163"/>
        <v>1040.8903586309495</v>
      </c>
      <c r="BQ258" s="164">
        <f>IF($E258="","",IF(AND($D258=Input!$C$6,$C258=12),0,-BJ259+BK259+BL259-BM259-BN259-BO259+BQ259))</f>
        <v>1040.8907947096513</v>
      </c>
      <c r="BR258" s="161">
        <f t="shared" si="141"/>
        <v>0</v>
      </c>
      <c r="BT258" s="147">
        <f t="shared" si="142"/>
        <v>8.036307229769335E-2</v>
      </c>
      <c r="BU258" s="164">
        <f>IF(AND($C257=12,$D257=Input!$C$6),0,IF($E258="","",BK258+(BL258+BU259)/(1+$AK258)*MIN((1-T258-U258),1)))</f>
        <v>23118.077806553163</v>
      </c>
      <c r="BV258" s="164">
        <f t="shared" si="143"/>
        <v>1857.839758151732</v>
      </c>
      <c r="BW258" s="164">
        <f t="shared" si="144"/>
        <v>1040.8907947096513</v>
      </c>
      <c r="BX258" s="164">
        <f t="shared" si="145"/>
        <v>83.6491821892552</v>
      </c>
    </row>
    <row r="259" spans="1:76" s="150" customFormat="1" x14ac:dyDescent="0.25">
      <c r="A259" s="150">
        <f t="shared" si="158"/>
        <v>255</v>
      </c>
      <c r="B259" s="150">
        <f t="shared" si="159"/>
        <v>22</v>
      </c>
      <c r="C259" s="150">
        <f t="shared" si="160"/>
        <v>3</v>
      </c>
      <c r="D259" s="150">
        <f>IF(E259="","",Input!$C$4+B259-1)</f>
        <v>66</v>
      </c>
      <c r="E259" s="150">
        <f>IF(OR(AND(C258=12,D258=Input!$C$6),E258=""),"",1)</f>
        <v>1</v>
      </c>
      <c r="F259" s="150">
        <f>IF(E259="","",Input!$C$8+B259-1)</f>
        <v>2039</v>
      </c>
      <c r="G259" s="151">
        <f>IF(E259="","",MAX(0,Input!$C$9-B259))</f>
        <v>0</v>
      </c>
      <c r="H259" s="152">
        <f>IF(E259="","",Input!$C$3)</f>
        <v>100000</v>
      </c>
      <c r="I259" s="153">
        <f>IF(E259="","",HLOOKUP($B259,Input!$C$13:$BT$14,2))</f>
        <v>20.237000000000002</v>
      </c>
      <c r="J259" s="154"/>
      <c r="K259" s="155">
        <f>IF($E259="","",INDEX(Input!$C$16:$CP$16,1,$B259))</f>
        <v>2.4029999999999999E-2</v>
      </c>
      <c r="L259" s="155">
        <f>IF($E259="","",Input!$C$37)</f>
        <v>1.4999999999999999E-2</v>
      </c>
      <c r="M259" s="155">
        <f t="shared" si="164"/>
        <v>3.9029999999999995E-2</v>
      </c>
      <c r="N259" s="155">
        <f t="shared" si="165"/>
        <v>3.1957276193304018E-3</v>
      </c>
      <c r="O259" s="147">
        <f>IF($E259="","",MIN(VLOOKUP(IF($B259&lt;=Input!$C$7,$B259,26),'Mortality Tables'!$A$41:$CW$67,IF($B259&lt;=Input!$C$7+1,Input!$C$4+2,$D259-Input!$C$7+2),0)*IF(B259&gt;20,Input!$C$22,1)/1000,1))</f>
        <v>2.2594000000000006E-2</v>
      </c>
      <c r="P259" s="147">
        <f>IF($E259="","",MIN(VLOOKUP(IF($B259&lt;=Input!$C$7,$B259,26),'Mortality Tables'!$A$12:$CW$37,IF($B259&lt;=Input!$C$7+1,Input!$C$4+2,$D259-Input!$C$7+2),0)*IF(B259&gt;20,Input!$C$22,1)/1000,1))</f>
        <v>2.8242500000000004E-2</v>
      </c>
      <c r="Q259" s="155">
        <f>IF($E259="","",Input!$C$21)</f>
        <v>5.0000000000000001E-3</v>
      </c>
      <c r="R259" s="159">
        <f>IF($E259="","",(1-Q259)^($F259-Input!$C$20))</f>
        <v>0.90008742787324469</v>
      </c>
      <c r="S259" s="147">
        <f t="shared" si="123"/>
        <v>2.0336575345368098E-2</v>
      </c>
      <c r="T259" s="147">
        <f t="shared" si="124"/>
        <v>1.7107192603179611E-3</v>
      </c>
      <c r="U259" s="160">
        <f>IF($E259="","",IF($C259=12,INDEX(Input!$C$15:$CP$15,1,$B259),0))</f>
        <v>0</v>
      </c>
      <c r="V259" s="150">
        <f>IF(E259="","",IF(C259=1,IF($B259=1,Input!$C$33,Input!$C$34),0))</f>
        <v>0</v>
      </c>
      <c r="W259" s="156">
        <f>IF($E259="","",Input!$C$35)</f>
        <v>0.02</v>
      </c>
      <c r="X259" s="156">
        <f t="shared" si="166"/>
        <v>1.5156663438979221</v>
      </c>
      <c r="Y259" s="154"/>
      <c r="Z259" s="147">
        <f>IF($E259="","",VLOOKUP($D259,'Mortality Margins &amp; Grading'!$AB$5:$AF$125,3,0)*IF(Summary!$D$25="Included Margin",IF(AND($B259&gt;Input!$C$9,Summary!$D$31&lt;&gt;"Included Margin"),0,1),0))</f>
        <v>3.3000000000000002E-2</v>
      </c>
      <c r="AA259" s="147">
        <f>IF($E259="","",VLOOKUP($D259,'Mortality Margins &amp; Grading'!$AB$5:$AF$125,5,0)*IF(Summary!$D$25="Included Margin",IF(AND($B259&gt;Input!$C$9,Summary!$D$31&lt;&gt;"Included Margin"),0,1),0))</f>
        <v>0.16900000000000001</v>
      </c>
      <c r="AB259" s="147">
        <f>IF($E259="","",IF(AND($B259&gt;Input!$C$9,Summary!$D$31&lt;&gt;"Included Margin"),1,IF(Summary!$D$25="Included Margin",VLOOKUP($B259,'Mortality Margins &amp; Grading'!$AI$5:$AR$125,MATCH('Mortality Margins &amp; Grading'!$AQ$4,'Mortality Margins &amp; Grading'!$AI$4:$AR$4,0),0),1)))</f>
        <v>1</v>
      </c>
      <c r="AC259" s="154"/>
      <c r="AD259" s="158">
        <f>IF(E259="","",Input!$C$48*IF(Summary!$D$30="Included Margin",IF(AND($B259&gt;Input!$C$9,Summary!$D$31&lt;&gt;"Included Margin"),0,1),0))</f>
        <v>-4.4999999999999997E-3</v>
      </c>
      <c r="AE259" s="159">
        <f>IF(E259="","",IF(Summary!$D$26="Included Margin",IF(AND($B259&gt;Input!$C$9,Summary!$D$31&lt;&gt;"Included Margin"),1,1/$R259),1))</f>
        <v>1.1110031859492049</v>
      </c>
      <c r="AF259" s="160">
        <f>IF(E259="","",IF(AND($B259&gt;=Input!$C$9,$C259=12,Summary!$D$31="Included Margin",$U259&gt;0),1/U259-1,IF($B259&gt;=Input!$C$9,0,Input!$C$45*IF(Summary!$D$27="Included Margin",1,0))))</f>
        <v>0</v>
      </c>
      <c r="AG259" s="160">
        <f>IF(E259="","",Input!$C$46*IF(Summary!$D$28="Included Margin",IF(AND($B259&gt;Input!$C$9,Summary!$D$31&lt;&gt;"Included Margin"),0,1),0))</f>
        <v>0.02</v>
      </c>
      <c r="AH259" s="158">
        <f>IF(E259="","",Input!$C$47*IF(Summary!$D$29="Included Margin",IF(AND($B259&gt;Input!$C$9,Summary!$D$31&lt;&gt;"Included Margin"),0,1),0))</f>
        <v>2.5000000000000001E-3</v>
      </c>
      <c r="AI259" s="154"/>
      <c r="AJ259" s="158">
        <f t="shared" si="148"/>
        <v>3.4529999999999998E-2</v>
      </c>
      <c r="AK259" s="155">
        <f t="shared" si="149"/>
        <v>2.8329399868891603E-3</v>
      </c>
      <c r="AL259" s="147">
        <f t="shared" si="150"/>
        <v>2.3339602000000004E-2</v>
      </c>
      <c r="AM259" s="147">
        <f t="shared" si="126"/>
        <v>1.9660883853290789E-3</v>
      </c>
      <c r="AN259" s="160">
        <f t="shared" si="151"/>
        <v>0</v>
      </c>
      <c r="AO259" s="161">
        <f t="shared" si="152"/>
        <v>0</v>
      </c>
      <c r="AP259" s="156">
        <f t="shared" si="127"/>
        <v>1.5956206577001208</v>
      </c>
      <c r="AQ259" s="152"/>
      <c r="AR259" s="162">
        <f t="shared" si="128"/>
        <v>1921.5668405391993</v>
      </c>
      <c r="AS259" s="150">
        <f t="shared" si="153"/>
        <v>0</v>
      </c>
      <c r="AT259" s="163">
        <f t="shared" si="129"/>
        <v>0</v>
      </c>
      <c r="AU259" s="163">
        <f t="shared" si="130"/>
        <v>196.6088385329079</v>
      </c>
      <c r="AV259" s="163">
        <f t="shared" si="154"/>
        <v>5.1651930198159093</v>
      </c>
      <c r="AW259" s="163">
        <f t="shared" si="131"/>
        <v>3.4082768669640715</v>
      </c>
      <c r="AX259" s="163">
        <f t="shared" si="132"/>
        <v>0</v>
      </c>
      <c r="AY259" s="164">
        <f t="shared" si="155"/>
        <v>1733.5314718930715</v>
      </c>
      <c r="AZ259" s="164">
        <f>IF($E259="","",IF(OR(AND($D259=Input!$C$6,$C259=12),$AN259=1),0,-AS260+AT260+AU260-AV260-AW260-AX260+AZ260))</f>
        <v>1733.5318658085673</v>
      </c>
      <c r="BA259" s="154">
        <f t="shared" si="133"/>
        <v>3.9391549580614083E-4</v>
      </c>
      <c r="BC259" s="147">
        <f t="shared" si="156"/>
        <v>8.0225593642095361E-2</v>
      </c>
      <c r="BD259" s="164">
        <f>IF(AND($C258=12,$D258=Input!$C$6),0,IF($E259="","",AT259+(AU259+BD260)/(1+$AK259)*MIN((1-AM259-AN259),1)))</f>
        <v>1722.6886685116629</v>
      </c>
      <c r="BE259" s="164">
        <f t="shared" si="134"/>
        <v>138.20372109185899</v>
      </c>
      <c r="BF259" s="164">
        <f t="shared" si="157"/>
        <v>1733.5318658085673</v>
      </c>
      <c r="BG259" s="164">
        <f t="shared" si="135"/>
        <v>139.0736230319815</v>
      </c>
      <c r="BH259" s="152"/>
      <c r="BI259" s="162">
        <f t="shared" si="136"/>
        <v>1040.8903586309495</v>
      </c>
      <c r="BJ259" s="150">
        <f t="shared" si="137"/>
        <v>0</v>
      </c>
      <c r="BK259" s="163">
        <f t="shared" si="161"/>
        <v>0</v>
      </c>
      <c r="BL259" s="163">
        <f t="shared" si="138"/>
        <v>171.0719260317961</v>
      </c>
      <c r="BM259" s="163">
        <f t="shared" si="162"/>
        <v>3.0530524283157234</v>
      </c>
      <c r="BN259" s="163">
        <f t="shared" si="139"/>
        <v>1.4957976971571327</v>
      </c>
      <c r="BO259" s="163">
        <f t="shared" si="140"/>
        <v>0</v>
      </c>
      <c r="BP259" s="164">
        <f t="shared" si="163"/>
        <v>874.36728272462631</v>
      </c>
      <c r="BQ259" s="164">
        <f>IF($E259="","",IF(AND($D259=Input!$C$6,$C259=12),0,-BJ260+BK260+BL260-BM260-BN260-BO260+BQ260))</f>
        <v>874.36771880332822</v>
      </c>
      <c r="BR259" s="161">
        <f t="shared" si="141"/>
        <v>0</v>
      </c>
      <c r="BT259" s="147">
        <f t="shared" si="142"/>
        <v>8.0225593642095361E-2</v>
      </c>
      <c r="BU259" s="164">
        <f>IF(AND($C258=12,$D258=Input!$C$6),0,IF($E259="","",BK259+(BL259+BU260)/(1+$AK259)*MIN((1-T259-U259),1)))</f>
        <v>23052.226551553285</v>
      </c>
      <c r="BV259" s="164">
        <f t="shared" si="143"/>
        <v>1849.3785598704351</v>
      </c>
      <c r="BW259" s="164">
        <f t="shared" si="144"/>
        <v>874.36771880332822</v>
      </c>
      <c r="BX259" s="164">
        <f t="shared" si="145"/>
        <v>70.146669302481712</v>
      </c>
    </row>
    <row r="260" spans="1:76" s="150" customFormat="1" x14ac:dyDescent="0.25">
      <c r="A260" s="150">
        <f t="shared" si="158"/>
        <v>256</v>
      </c>
      <c r="B260" s="150">
        <f t="shared" si="159"/>
        <v>22</v>
      </c>
      <c r="C260" s="150">
        <f t="shared" si="160"/>
        <v>4</v>
      </c>
      <c r="D260" s="150">
        <f>IF(E260="","",Input!$C$4+B260-1)</f>
        <v>66</v>
      </c>
      <c r="E260" s="150">
        <f>IF(OR(AND(C259=12,D259=Input!$C$6),E259=""),"",1)</f>
        <v>1</v>
      </c>
      <c r="F260" s="150">
        <f>IF(E260="","",Input!$C$8+B260-1)</f>
        <v>2039</v>
      </c>
      <c r="G260" s="151">
        <f>IF(E260="","",MAX(0,Input!$C$9-B260))</f>
        <v>0</v>
      </c>
      <c r="H260" s="152">
        <f>IF(E260="","",Input!$C$3)</f>
        <v>100000</v>
      </c>
      <c r="I260" s="153">
        <f>IF(E260="","",HLOOKUP($B260,Input!$C$13:$BT$14,2))</f>
        <v>20.237000000000002</v>
      </c>
      <c r="J260" s="154"/>
      <c r="K260" s="155">
        <f>IF($E260="","",INDEX(Input!$C$16:$CP$16,1,$B260))</f>
        <v>2.4029999999999999E-2</v>
      </c>
      <c r="L260" s="155">
        <f>IF($E260="","",Input!$C$37)</f>
        <v>1.4999999999999999E-2</v>
      </c>
      <c r="M260" s="155">
        <f t="shared" si="164"/>
        <v>3.9029999999999995E-2</v>
      </c>
      <c r="N260" s="155">
        <f t="shared" si="165"/>
        <v>3.1957276193304018E-3</v>
      </c>
      <c r="O260" s="147">
        <f>IF($E260="","",MIN(VLOOKUP(IF($B260&lt;=Input!$C$7,$B260,26),'Mortality Tables'!$A$41:$CW$67,IF($B260&lt;=Input!$C$7+1,Input!$C$4+2,$D260-Input!$C$7+2),0)*IF(B260&gt;20,Input!$C$22,1)/1000,1))</f>
        <v>2.2594000000000006E-2</v>
      </c>
      <c r="P260" s="147">
        <f>IF($E260="","",MIN(VLOOKUP(IF($B260&lt;=Input!$C$7,$B260,26),'Mortality Tables'!$A$12:$CW$37,IF($B260&lt;=Input!$C$7+1,Input!$C$4+2,$D260-Input!$C$7+2),0)*IF(B260&gt;20,Input!$C$22,1)/1000,1))</f>
        <v>2.8242500000000004E-2</v>
      </c>
      <c r="Q260" s="155">
        <f>IF($E260="","",Input!$C$21)</f>
        <v>5.0000000000000001E-3</v>
      </c>
      <c r="R260" s="159">
        <f>IF($E260="","",(1-Q260)^($F260-Input!$C$20))</f>
        <v>0.90008742787324469</v>
      </c>
      <c r="S260" s="147">
        <f t="shared" si="123"/>
        <v>2.0336575345368098E-2</v>
      </c>
      <c r="T260" s="147">
        <f t="shared" si="124"/>
        <v>1.7107192603179611E-3</v>
      </c>
      <c r="U260" s="160">
        <f>IF($E260="","",IF($C260=12,INDEX(Input!$C$15:$CP$15,1,$B260),0))</f>
        <v>0</v>
      </c>
      <c r="V260" s="150">
        <f>IF(E260="","",IF(C260=1,IF($B260=1,Input!$C$33,Input!$C$34),0))</f>
        <v>0</v>
      </c>
      <c r="W260" s="156">
        <f>IF($E260="","",Input!$C$35)</f>
        <v>0.02</v>
      </c>
      <c r="X260" s="156">
        <f t="shared" si="166"/>
        <v>1.5156663438979221</v>
      </c>
      <c r="Y260" s="154"/>
      <c r="Z260" s="147">
        <f>IF($E260="","",VLOOKUP($D260,'Mortality Margins &amp; Grading'!$AB$5:$AF$125,3,0)*IF(Summary!$D$25="Included Margin",IF(AND($B260&gt;Input!$C$9,Summary!$D$31&lt;&gt;"Included Margin"),0,1),0))</f>
        <v>3.3000000000000002E-2</v>
      </c>
      <c r="AA260" s="147">
        <f>IF($E260="","",VLOOKUP($D260,'Mortality Margins &amp; Grading'!$AB$5:$AF$125,5,0)*IF(Summary!$D$25="Included Margin",IF(AND($B260&gt;Input!$C$9,Summary!$D$31&lt;&gt;"Included Margin"),0,1),0))</f>
        <v>0.16900000000000001</v>
      </c>
      <c r="AB260" s="147">
        <f>IF($E260="","",IF(AND($B260&gt;Input!$C$9,Summary!$D$31&lt;&gt;"Included Margin"),1,IF(Summary!$D$25="Included Margin",VLOOKUP($B260,'Mortality Margins &amp; Grading'!$AI$5:$AR$125,MATCH('Mortality Margins &amp; Grading'!$AQ$4,'Mortality Margins &amp; Grading'!$AI$4:$AR$4,0),0),1)))</f>
        <v>1</v>
      </c>
      <c r="AC260" s="154"/>
      <c r="AD260" s="158">
        <f>IF(E260="","",Input!$C$48*IF(Summary!$D$30="Included Margin",IF(AND($B260&gt;Input!$C$9,Summary!$D$31&lt;&gt;"Included Margin"),0,1),0))</f>
        <v>-4.4999999999999997E-3</v>
      </c>
      <c r="AE260" s="159">
        <f>IF(E260="","",IF(Summary!$D$26="Included Margin",IF(AND($B260&gt;Input!$C$9,Summary!$D$31&lt;&gt;"Included Margin"),1,1/$R260),1))</f>
        <v>1.1110031859492049</v>
      </c>
      <c r="AF260" s="160">
        <f>IF(E260="","",IF(AND($B260&gt;=Input!$C$9,$C260=12,Summary!$D$31="Included Margin",$U260&gt;0),1/U260-1,IF($B260&gt;=Input!$C$9,0,Input!$C$45*IF(Summary!$D$27="Included Margin",1,0))))</f>
        <v>0</v>
      </c>
      <c r="AG260" s="160">
        <f>IF(E260="","",Input!$C$46*IF(Summary!$D$28="Included Margin",IF(AND($B260&gt;Input!$C$9,Summary!$D$31&lt;&gt;"Included Margin"),0,1),0))</f>
        <v>0.02</v>
      </c>
      <c r="AH260" s="158">
        <f>IF(E260="","",Input!$C$47*IF(Summary!$D$29="Included Margin",IF(AND($B260&gt;Input!$C$9,Summary!$D$31&lt;&gt;"Included Margin"),0,1),0))</f>
        <v>2.5000000000000001E-3</v>
      </c>
      <c r="AI260" s="154"/>
      <c r="AJ260" s="158">
        <f t="shared" si="148"/>
        <v>3.4529999999999998E-2</v>
      </c>
      <c r="AK260" s="155">
        <f t="shared" si="149"/>
        <v>2.8329399868891603E-3</v>
      </c>
      <c r="AL260" s="147">
        <f t="shared" si="150"/>
        <v>2.3339602000000004E-2</v>
      </c>
      <c r="AM260" s="147">
        <f t="shared" si="126"/>
        <v>1.9660883853290789E-3</v>
      </c>
      <c r="AN260" s="160">
        <f t="shared" si="151"/>
        <v>0</v>
      </c>
      <c r="AO260" s="161">
        <f t="shared" si="152"/>
        <v>0</v>
      </c>
      <c r="AP260" s="156">
        <f t="shared" si="127"/>
        <v>1.5956206577001208</v>
      </c>
      <c r="AQ260" s="152"/>
      <c r="AR260" s="162">
        <f t="shared" si="128"/>
        <v>1733.5314718930715</v>
      </c>
      <c r="AS260" s="150">
        <f t="shared" si="153"/>
        <v>0</v>
      </c>
      <c r="AT260" s="163">
        <f t="shared" si="129"/>
        <v>0</v>
      </c>
      <c r="AU260" s="163">
        <f t="shared" si="130"/>
        <v>196.6088385329079</v>
      </c>
      <c r="AV260" s="163">
        <f t="shared" si="154"/>
        <v>4.6325001050288499</v>
      </c>
      <c r="AW260" s="163">
        <f t="shared" si="131"/>
        <v>3.0368050448502029</v>
      </c>
      <c r="AX260" s="163">
        <f t="shared" si="132"/>
        <v>0</v>
      </c>
      <c r="AY260" s="165">
        <f t="shared" si="155"/>
        <v>1544.5919385100426</v>
      </c>
      <c r="AZ260" s="164">
        <f>IF($E260="","",IF(OR(AND($D260=Input!$C$6,$C260=12),$AN260=1),0,-AS261+AT261+AU261-AV261-AW261-AX261+AZ261))</f>
        <v>1544.5923324255384</v>
      </c>
      <c r="BA260" s="154">
        <f t="shared" si="133"/>
        <v>3.9391549580614083E-4</v>
      </c>
      <c r="BC260" s="147">
        <f t="shared" si="156"/>
        <v>8.0088350173881384E-2</v>
      </c>
      <c r="BD260" s="164">
        <f>IF(AND($C259=12,$D259=Input!$C$6),0,IF($E260="","",AT260+(AU260+BD261)/(1+$AK260)*MIN((1-AM260-AN260),1)))</f>
        <v>1534.3633479038233</v>
      </c>
      <c r="BE260" s="164">
        <f t="shared" si="134"/>
        <v>122.88462910089039</v>
      </c>
      <c r="BF260" s="164">
        <f t="shared" si="157"/>
        <v>1544.5923324255384</v>
      </c>
      <c r="BG260" s="164">
        <f t="shared" si="135"/>
        <v>123.70385159518872</v>
      </c>
      <c r="BH260" s="152"/>
      <c r="BI260" s="162">
        <f t="shared" si="136"/>
        <v>874.36728272462631</v>
      </c>
      <c r="BJ260" s="150">
        <f t="shared" si="137"/>
        <v>0</v>
      </c>
      <c r="BK260" s="163">
        <f t="shared" si="161"/>
        <v>0</v>
      </c>
      <c r="BL260" s="163">
        <f t="shared" si="138"/>
        <v>171.0719260317961</v>
      </c>
      <c r="BM260" s="163">
        <f t="shared" si="162"/>
        <v>2.5208900353860333</v>
      </c>
      <c r="BN260" s="163">
        <f t="shared" si="139"/>
        <v>1.2095233484194734</v>
      </c>
      <c r="BO260" s="163">
        <f t="shared" si="140"/>
        <v>0</v>
      </c>
      <c r="BP260" s="164">
        <f t="shared" si="163"/>
        <v>707.02577007663569</v>
      </c>
      <c r="BQ260" s="164">
        <f>IF($E260="","",IF(AND($D260=Input!$C$6,$C260=12),0,-BJ261+BK261+BL261-BM261-BN261-BO261+BQ261))</f>
        <v>707.0262061553376</v>
      </c>
      <c r="BR260" s="161">
        <f t="shared" si="141"/>
        <v>0</v>
      </c>
      <c r="BT260" s="147">
        <f t="shared" si="142"/>
        <v>8.0088350173881384E-2</v>
      </c>
      <c r="BU260" s="164">
        <f>IF(AND($C259=12,$D259=Input!$C$6),0,IF($E260="","",BK260+(BL260+BU261)/(1+$AK260)*MIN((1-T260-U260),1)))</f>
        <v>22986.075578155647</v>
      </c>
      <c r="BV260" s="164">
        <f t="shared" si="143"/>
        <v>1840.9168700266325</v>
      </c>
      <c r="BW260" s="164">
        <f t="shared" si="144"/>
        <v>707.0262061553376</v>
      </c>
      <c r="BX260" s="164">
        <f t="shared" si="145"/>
        <v>56.624562380679528</v>
      </c>
    </row>
    <row r="261" spans="1:76" s="150" customFormat="1" x14ac:dyDescent="0.25">
      <c r="A261" s="150">
        <f t="shared" si="158"/>
        <v>257</v>
      </c>
      <c r="B261" s="150">
        <f t="shared" si="159"/>
        <v>22</v>
      </c>
      <c r="C261" s="150">
        <f t="shared" si="160"/>
        <v>5</v>
      </c>
      <c r="D261" s="150">
        <f>IF(E261="","",Input!$C$4+B261-1)</f>
        <v>66</v>
      </c>
      <c r="E261" s="150">
        <f>IF(OR(AND(C260=12,D260=Input!$C$6),E260=""),"",1)</f>
        <v>1</v>
      </c>
      <c r="F261" s="150">
        <f>IF(E261="","",Input!$C$8+B261-1)</f>
        <v>2039</v>
      </c>
      <c r="G261" s="151">
        <f>IF(E261="","",MAX(0,Input!$C$9-B261))</f>
        <v>0</v>
      </c>
      <c r="H261" s="152">
        <f>IF(E261="","",Input!$C$3)</f>
        <v>100000</v>
      </c>
      <c r="I261" s="153">
        <f>IF(E261="","",HLOOKUP($B261,Input!$C$13:$BT$14,2))</f>
        <v>20.237000000000002</v>
      </c>
      <c r="J261" s="154"/>
      <c r="K261" s="155">
        <f>IF($E261="","",INDEX(Input!$C$16:$CP$16,1,$B261))</f>
        <v>2.4029999999999999E-2</v>
      </c>
      <c r="L261" s="155">
        <f>IF($E261="","",Input!$C$37)</f>
        <v>1.4999999999999999E-2</v>
      </c>
      <c r="M261" s="155">
        <f t="shared" si="164"/>
        <v>3.9029999999999995E-2</v>
      </c>
      <c r="N261" s="155">
        <f t="shared" si="165"/>
        <v>3.1957276193304018E-3</v>
      </c>
      <c r="O261" s="147">
        <f>IF($E261="","",MIN(VLOOKUP(IF($B261&lt;=Input!$C$7,$B261,26),'Mortality Tables'!$A$41:$CW$67,IF($B261&lt;=Input!$C$7+1,Input!$C$4+2,$D261-Input!$C$7+2),0)*IF(B261&gt;20,Input!$C$22,1)/1000,1))</f>
        <v>2.2594000000000006E-2</v>
      </c>
      <c r="P261" s="147">
        <f>IF($E261="","",MIN(VLOOKUP(IF($B261&lt;=Input!$C$7,$B261,26),'Mortality Tables'!$A$12:$CW$37,IF($B261&lt;=Input!$C$7+1,Input!$C$4+2,$D261-Input!$C$7+2),0)*IF(B261&gt;20,Input!$C$22,1)/1000,1))</f>
        <v>2.8242500000000004E-2</v>
      </c>
      <c r="Q261" s="155">
        <f>IF($E261="","",Input!$C$21)</f>
        <v>5.0000000000000001E-3</v>
      </c>
      <c r="R261" s="159">
        <f>IF($E261="","",(1-Q261)^($F261-Input!$C$20))</f>
        <v>0.90008742787324469</v>
      </c>
      <c r="S261" s="147">
        <f t="shared" ref="S261:S324" si="167">IF($E261="","",MIN(O261*R261,1))</f>
        <v>2.0336575345368098E-2</v>
      </c>
      <c r="T261" s="147">
        <f t="shared" ref="T261:T324" si="168">IF($E261="","",1-(1-S261)^(1/12))</f>
        <v>1.7107192603179611E-3</v>
      </c>
      <c r="U261" s="160">
        <f>IF($E261="","",IF($C261=12,INDEX(Input!$C$15:$CP$15,1,$B261),0))</f>
        <v>0</v>
      </c>
      <c r="V261" s="150">
        <f>IF(E261="","",IF(C261=1,IF($B261=1,Input!$C$33,Input!$C$34),0))</f>
        <v>0</v>
      </c>
      <c r="W261" s="156">
        <f>IF($E261="","",Input!$C$35)</f>
        <v>0.02</v>
      </c>
      <c r="X261" s="156">
        <f t="shared" si="166"/>
        <v>1.5156663438979221</v>
      </c>
      <c r="Y261" s="154"/>
      <c r="Z261" s="147">
        <f>IF($E261="","",VLOOKUP($D261,'Mortality Margins &amp; Grading'!$AB$5:$AF$125,3,0)*IF(Summary!$D$25="Included Margin",IF(AND($B261&gt;Input!$C$9,Summary!$D$31&lt;&gt;"Included Margin"),0,1),0))</f>
        <v>3.3000000000000002E-2</v>
      </c>
      <c r="AA261" s="147">
        <f>IF($E261="","",VLOOKUP($D261,'Mortality Margins &amp; Grading'!$AB$5:$AF$125,5,0)*IF(Summary!$D$25="Included Margin",IF(AND($B261&gt;Input!$C$9,Summary!$D$31&lt;&gt;"Included Margin"),0,1),0))</f>
        <v>0.16900000000000001</v>
      </c>
      <c r="AB261" s="147">
        <f>IF($E261="","",IF(AND($B261&gt;Input!$C$9,Summary!$D$31&lt;&gt;"Included Margin"),1,IF(Summary!$D$25="Included Margin",VLOOKUP($B261,'Mortality Margins &amp; Grading'!$AI$5:$AR$125,MATCH('Mortality Margins &amp; Grading'!$AQ$4,'Mortality Margins &amp; Grading'!$AI$4:$AR$4,0),0),1)))</f>
        <v>1</v>
      </c>
      <c r="AC261" s="154"/>
      <c r="AD261" s="158">
        <f>IF(E261="","",Input!$C$48*IF(Summary!$D$30="Included Margin",IF(AND($B261&gt;Input!$C$9,Summary!$D$31&lt;&gt;"Included Margin"),0,1),0))</f>
        <v>-4.4999999999999997E-3</v>
      </c>
      <c r="AE261" s="159">
        <f>IF(E261="","",IF(Summary!$D$26="Included Margin",IF(AND($B261&gt;Input!$C$9,Summary!$D$31&lt;&gt;"Included Margin"),1,1/$R261),1))</f>
        <v>1.1110031859492049</v>
      </c>
      <c r="AF261" s="160">
        <f>IF(E261="","",IF(AND($B261&gt;=Input!$C$9,$C261=12,Summary!$D$31="Included Margin",$U261&gt;0),1/U261-1,IF($B261&gt;=Input!$C$9,0,Input!$C$45*IF(Summary!$D$27="Included Margin",1,0))))</f>
        <v>0</v>
      </c>
      <c r="AG261" s="160">
        <f>IF(E261="","",Input!$C$46*IF(Summary!$D$28="Included Margin",IF(AND($B261&gt;Input!$C$9,Summary!$D$31&lt;&gt;"Included Margin"),0,1),0))</f>
        <v>0.02</v>
      </c>
      <c r="AH261" s="158">
        <f>IF(E261="","",Input!$C$47*IF(Summary!$D$29="Included Margin",IF(AND($B261&gt;Input!$C$9,Summary!$D$31&lt;&gt;"Included Margin"),0,1),0))</f>
        <v>2.5000000000000001E-3</v>
      </c>
      <c r="AI261" s="154"/>
      <c r="AJ261" s="158">
        <f t="shared" si="148"/>
        <v>3.4529999999999998E-2</v>
      </c>
      <c r="AK261" s="155">
        <f t="shared" si="149"/>
        <v>2.8329399868891603E-3</v>
      </c>
      <c r="AL261" s="147">
        <f t="shared" si="150"/>
        <v>2.3339602000000004E-2</v>
      </c>
      <c r="AM261" s="147">
        <f t="shared" ref="AM261:AM324" si="169">IF($E261="","",1-(1-AL261)^(1/12))</f>
        <v>1.9660883853290789E-3</v>
      </c>
      <c r="AN261" s="160">
        <f t="shared" si="151"/>
        <v>0</v>
      </c>
      <c r="AO261" s="161">
        <f t="shared" si="152"/>
        <v>0</v>
      </c>
      <c r="AP261" s="156">
        <f t="shared" ref="AP261:AP324" si="170">IF($E261="","",IF(B261=1,1,IF(C261=1,(1+$W261+$AH261)*AP260,AP260)))</f>
        <v>1.5956206577001208</v>
      </c>
      <c r="AQ261" s="152"/>
      <c r="AR261" s="162">
        <f t="shared" ref="AR261:AR324" si="171">IF($E261="","",(AZ261*(1-$AN261)*(1-$AM261)/(1+$AK261)+AU261/(1+$AK261/2)-AS261+AT261))</f>
        <v>1544.5919385100424</v>
      </c>
      <c r="AS261" s="150">
        <f t="shared" si="153"/>
        <v>0</v>
      </c>
      <c r="AT261" s="163">
        <f t="shared" ref="AT261:AT324" si="172">IF($E261="","",$AO261*$AP261)</f>
        <v>0</v>
      </c>
      <c r="AU261" s="163">
        <f t="shared" ref="AU261:AU324" si="173">IF($E261="","",$AM261*$H261)</f>
        <v>196.6088385329079</v>
      </c>
      <c r="AV261" s="163">
        <f t="shared" si="154"/>
        <v>4.0972457458038871</v>
      </c>
      <c r="AW261" s="163">
        <f t="shared" ref="AW261:AW324" si="174">IF($E261="","",AZ261*$AM261)</f>
        <v>2.6635470070646439</v>
      </c>
      <c r="AX261" s="163">
        <f t="shared" ref="AX261:AX324" si="175">IF($E261="","",$AN261*AZ261*(1-$AM261))</f>
        <v>0</v>
      </c>
      <c r="AY261" s="164">
        <f t="shared" si="155"/>
        <v>1354.7438927300029</v>
      </c>
      <c r="AZ261" s="164">
        <f>IF($E261="","",IF(OR(AND($D261=Input!$C$6,$C261=12),$AN261=1),0,-AS262+AT262+AU262-AV262-AW262-AX262+AZ262))</f>
        <v>1354.744286645499</v>
      </c>
      <c r="BA261" s="154">
        <f t="shared" ref="BA261:BA324" si="176">IF(E261="","",AZ261-AY261)</f>
        <v>3.939154960335145E-4</v>
      </c>
      <c r="BC261" s="147">
        <f t="shared" si="156"/>
        <v>7.9951341490711841E-2</v>
      </c>
      <c r="BD261" s="164">
        <f>IF(AND($C260=12,$D260=Input!$C$6),0,IF($E261="","",AT261+(AU261+BD262)/(1+$AK261)*MIN((1-AM261-AN261),1)))</f>
        <v>1345.132468330215</v>
      </c>
      <c r="BE261" s="164">
        <f t="shared" ref="BE261:BE324" si="177">IF($E261="","",BC261*BD261)</f>
        <v>107.54514532571315</v>
      </c>
      <c r="BF261" s="164">
        <f t="shared" si="157"/>
        <v>1354.744286645499</v>
      </c>
      <c r="BG261" s="164">
        <f t="shared" ref="BG261:BG324" si="178">IF($E261="","",BC261*BF261)</f>
        <v>108.3136230941851</v>
      </c>
      <c r="BH261" s="152"/>
      <c r="BI261" s="162">
        <f t="shared" ref="BI261:BI324" si="179">IF($E261="","",(BQ261*(1-$U261)*(1-$T261)/(1+$N261)+BL261/(1+$N261/2)-BJ261+BK261))</f>
        <v>707.02577007663569</v>
      </c>
      <c r="BJ261" s="150">
        <f t="shared" ref="BJ261:BJ324" si="180">IF($E261="","",AS261)</f>
        <v>0</v>
      </c>
      <c r="BK261" s="163">
        <f t="shared" si="161"/>
        <v>0</v>
      </c>
      <c r="BL261" s="163">
        <f t="shared" ref="BL261:BL324" si="181">IF(E261="","",$T261*$H261)</f>
        <v>171.0719260317961</v>
      </c>
      <c r="BM261" s="163">
        <f t="shared" si="162"/>
        <v>1.9861121415563221</v>
      </c>
      <c r="BN261" s="163">
        <f t="shared" ref="BN261:BN324" si="182">IF($E261="","",BQ261*$T261)</f>
        <v>0.92184200282009654</v>
      </c>
      <c r="BO261" s="163">
        <f t="shared" ref="BO261:BO324" si="183">IF($E261="","",$U261*BQ261*(1-$T261))</f>
        <v>0</v>
      </c>
      <c r="BP261" s="164">
        <f t="shared" si="163"/>
        <v>538.86179818921596</v>
      </c>
      <c r="BQ261" s="164">
        <f>IF($E261="","",IF(AND($D261=Input!$C$6,$C261=12),0,-BJ262+BK262+BL262-BM262-BN262-BO262+BQ262))</f>
        <v>538.86223426791798</v>
      </c>
      <c r="BR261" s="161">
        <f t="shared" ref="BR261:BR324" si="184">IF(E261="","",ROUND(BQ261-BP261,1))</f>
        <v>0</v>
      </c>
      <c r="BT261" s="147">
        <f t="shared" ref="BT261:BT324" si="185">IF(E261="","",BC261)</f>
        <v>7.9951341490711841E-2</v>
      </c>
      <c r="BU261" s="164">
        <f>IF(AND($C260=12,$D260=Input!$C$6),0,IF($E261="","",BK261+(BL261+BU262)/(1+$AK261)*MIN((1-T261-U261),1)))</f>
        <v>22919.623522208305</v>
      </c>
      <c r="BV261" s="164">
        <f t="shared" ref="BV261:BV324" si="186">IF(E261="","",BT261*BU261)</f>
        <v>1832.4546470626278</v>
      </c>
      <c r="BW261" s="164">
        <f t="shared" ref="BW261:BW324" si="187">IF(E261="","",BQ261)</f>
        <v>538.86223426791798</v>
      </c>
      <c r="BX261" s="164">
        <f t="shared" ref="BX261:BX324" si="188">IF(E261="","",BT261*BW261)</f>
        <v>43.082758508402279</v>
      </c>
    </row>
    <row r="262" spans="1:76" s="150" customFormat="1" x14ac:dyDescent="0.25">
      <c r="A262" s="150">
        <f t="shared" si="158"/>
        <v>258</v>
      </c>
      <c r="B262" s="150">
        <f t="shared" si="159"/>
        <v>22</v>
      </c>
      <c r="C262" s="150">
        <f t="shared" si="160"/>
        <v>6</v>
      </c>
      <c r="D262" s="150">
        <f>IF(E262="","",Input!$C$4+B262-1)</f>
        <v>66</v>
      </c>
      <c r="E262" s="150">
        <f>IF(OR(AND(C261=12,D261=Input!$C$6),E261=""),"",1)</f>
        <v>1</v>
      </c>
      <c r="F262" s="150">
        <f>IF(E262="","",Input!$C$8+B262-1)</f>
        <v>2039</v>
      </c>
      <c r="G262" s="151">
        <f>IF(E262="","",MAX(0,Input!$C$9-B262))</f>
        <v>0</v>
      </c>
      <c r="H262" s="152">
        <f>IF(E262="","",Input!$C$3)</f>
        <v>100000</v>
      </c>
      <c r="I262" s="153">
        <f>IF(E262="","",HLOOKUP($B262,Input!$C$13:$BT$14,2))</f>
        <v>20.237000000000002</v>
      </c>
      <c r="J262" s="154"/>
      <c r="K262" s="155">
        <f>IF($E262="","",INDEX(Input!$C$16:$CP$16,1,$B262))</f>
        <v>2.4029999999999999E-2</v>
      </c>
      <c r="L262" s="155">
        <f>IF($E262="","",Input!$C$37)</f>
        <v>1.4999999999999999E-2</v>
      </c>
      <c r="M262" s="155">
        <f t="shared" si="164"/>
        <v>3.9029999999999995E-2</v>
      </c>
      <c r="N262" s="155">
        <f t="shared" si="165"/>
        <v>3.1957276193304018E-3</v>
      </c>
      <c r="O262" s="147">
        <f>IF($E262="","",MIN(VLOOKUP(IF($B262&lt;=Input!$C$7,$B262,26),'Mortality Tables'!$A$41:$CW$67,IF($B262&lt;=Input!$C$7+1,Input!$C$4+2,$D262-Input!$C$7+2),0)*IF(B262&gt;20,Input!$C$22,1)/1000,1))</f>
        <v>2.2594000000000006E-2</v>
      </c>
      <c r="P262" s="147">
        <f>IF($E262="","",MIN(VLOOKUP(IF($B262&lt;=Input!$C$7,$B262,26),'Mortality Tables'!$A$12:$CW$37,IF($B262&lt;=Input!$C$7+1,Input!$C$4+2,$D262-Input!$C$7+2),0)*IF(B262&gt;20,Input!$C$22,1)/1000,1))</f>
        <v>2.8242500000000004E-2</v>
      </c>
      <c r="Q262" s="155">
        <f>IF($E262="","",Input!$C$21)</f>
        <v>5.0000000000000001E-3</v>
      </c>
      <c r="R262" s="159">
        <f>IF($E262="","",(1-Q262)^($F262-Input!$C$20))</f>
        <v>0.90008742787324469</v>
      </c>
      <c r="S262" s="147">
        <f t="shared" si="167"/>
        <v>2.0336575345368098E-2</v>
      </c>
      <c r="T262" s="147">
        <f t="shared" si="168"/>
        <v>1.7107192603179611E-3</v>
      </c>
      <c r="U262" s="160">
        <f>IF($E262="","",IF($C262=12,INDEX(Input!$C$15:$CP$15,1,$B262),0))</f>
        <v>0</v>
      </c>
      <c r="V262" s="150">
        <f>IF(E262="","",IF(C262=1,IF($B262=1,Input!$C$33,Input!$C$34),0))</f>
        <v>0</v>
      </c>
      <c r="W262" s="156">
        <f>IF($E262="","",Input!$C$35)</f>
        <v>0.02</v>
      </c>
      <c r="X262" s="156">
        <f t="shared" si="166"/>
        <v>1.5156663438979221</v>
      </c>
      <c r="Y262" s="154"/>
      <c r="Z262" s="147">
        <f>IF($E262="","",VLOOKUP($D262,'Mortality Margins &amp; Grading'!$AB$5:$AF$125,3,0)*IF(Summary!$D$25="Included Margin",IF(AND($B262&gt;Input!$C$9,Summary!$D$31&lt;&gt;"Included Margin"),0,1),0))</f>
        <v>3.3000000000000002E-2</v>
      </c>
      <c r="AA262" s="147">
        <f>IF($E262="","",VLOOKUP($D262,'Mortality Margins &amp; Grading'!$AB$5:$AF$125,5,0)*IF(Summary!$D$25="Included Margin",IF(AND($B262&gt;Input!$C$9,Summary!$D$31&lt;&gt;"Included Margin"),0,1),0))</f>
        <v>0.16900000000000001</v>
      </c>
      <c r="AB262" s="147">
        <f>IF($E262="","",IF(AND($B262&gt;Input!$C$9,Summary!$D$31&lt;&gt;"Included Margin"),1,IF(Summary!$D$25="Included Margin",VLOOKUP($B262,'Mortality Margins &amp; Grading'!$AI$5:$AR$125,MATCH('Mortality Margins &amp; Grading'!$AQ$4,'Mortality Margins &amp; Grading'!$AI$4:$AR$4,0),0),1)))</f>
        <v>1</v>
      </c>
      <c r="AC262" s="154"/>
      <c r="AD262" s="158">
        <f>IF(E262="","",Input!$C$48*IF(Summary!$D$30="Included Margin",IF(AND($B262&gt;Input!$C$9,Summary!$D$31&lt;&gt;"Included Margin"),0,1),0))</f>
        <v>-4.4999999999999997E-3</v>
      </c>
      <c r="AE262" s="159">
        <f>IF(E262="","",IF(Summary!$D$26="Included Margin",IF(AND($B262&gt;Input!$C$9,Summary!$D$31&lt;&gt;"Included Margin"),1,1/$R262),1))</f>
        <v>1.1110031859492049</v>
      </c>
      <c r="AF262" s="160">
        <f>IF(E262="","",IF(AND($B262&gt;=Input!$C$9,$C262=12,Summary!$D$31="Included Margin",$U262&gt;0),1/U262-1,IF($B262&gt;=Input!$C$9,0,Input!$C$45*IF(Summary!$D$27="Included Margin",1,0))))</f>
        <v>0</v>
      </c>
      <c r="AG262" s="160">
        <f>IF(E262="","",Input!$C$46*IF(Summary!$D$28="Included Margin",IF(AND($B262&gt;Input!$C$9,Summary!$D$31&lt;&gt;"Included Margin"),0,1),0))</f>
        <v>0.02</v>
      </c>
      <c r="AH262" s="158">
        <f>IF(E262="","",Input!$C$47*IF(Summary!$D$29="Included Margin",IF(AND($B262&gt;Input!$C$9,Summary!$D$31&lt;&gt;"Included Margin"),0,1),0))</f>
        <v>2.5000000000000001E-3</v>
      </c>
      <c r="AI262" s="154"/>
      <c r="AJ262" s="158">
        <f t="shared" ref="AJ262:AJ325" si="189">IF(E262="","",M262+AD262)</f>
        <v>3.4529999999999998E-2</v>
      </c>
      <c r="AK262" s="155">
        <f t="shared" ref="AK262:AK325" si="190">IF(E262="","",(1+AJ262)^(1/12)-1)</f>
        <v>2.8329399868891603E-3</v>
      </c>
      <c r="AL262" s="147">
        <f t="shared" ref="AL262:AL325" si="191">IF($E262="","",MIN(($O262*(1+$Z262)*$AB262+$P262*(1+$AA262)*(1-$AB262))*R262*AE262,1))</f>
        <v>2.3339602000000004E-2</v>
      </c>
      <c r="AM262" s="147">
        <f t="shared" si="169"/>
        <v>1.9660883853290789E-3</v>
      </c>
      <c r="AN262" s="160">
        <f t="shared" ref="AN262:AN325" si="192">IF(E262="","",IF(U262=1,1,(1+AF262)*U262))</f>
        <v>0</v>
      </c>
      <c r="AO262" s="161">
        <f t="shared" ref="AO262:AO325" si="193">IF($E262="","",(1+$AG262)*$V262)</f>
        <v>0</v>
      </c>
      <c r="AP262" s="156">
        <f t="shared" si="170"/>
        <v>1.5956206577001208</v>
      </c>
      <c r="AQ262" s="152"/>
      <c r="AR262" s="162">
        <f t="shared" si="171"/>
        <v>1354.7438927300032</v>
      </c>
      <c r="AS262" s="150">
        <f t="shared" ref="AS262:AS325" si="194">IF($E262="","",IF($C262=1,$I262*$H262/1000,0))</f>
        <v>0</v>
      </c>
      <c r="AT262" s="163">
        <f t="shared" si="172"/>
        <v>0</v>
      </c>
      <c r="AU262" s="163">
        <f t="shared" si="173"/>
        <v>196.6088385329079</v>
      </c>
      <c r="AV262" s="163">
        <f t="shared" ref="AV262:AV325" si="195">IF($E262="","",(AR262+AS262-AT262-AU262/2)*$AK262)</f>
        <v>3.5594176254808501</v>
      </c>
      <c r="AW262" s="163">
        <f t="shared" si="174"/>
        <v>2.2884941646210017</v>
      </c>
      <c r="AX262" s="163">
        <f t="shared" si="175"/>
        <v>0</v>
      </c>
      <c r="AY262" s="165">
        <f t="shared" ref="AY262:AY325" si="196">IF($E262="","",AR262+AS262-AT262-AU262+AV262+AW262+AX262)</f>
        <v>1163.9829659871971</v>
      </c>
      <c r="AZ262" s="164">
        <f>IF($E262="","",IF(OR(AND($D262=Input!$C$6,$C262=12),$AN262=1),0,-AS263+AT263+AU263-AV263-AW263-AX263+AZ263))</f>
        <v>1163.9833599026929</v>
      </c>
      <c r="BA262" s="154">
        <f t="shared" si="176"/>
        <v>3.9391549580614083E-4</v>
      </c>
      <c r="BC262" s="147">
        <f t="shared" ref="BC262:BC325" si="197">IF($E262="","",MIN(1,(1-T262-U262))*BC261)</f>
        <v>7.9814567190935423E-2</v>
      </c>
      <c r="BD262" s="164">
        <f>IF(AND($C261=12,$D261=Input!$C$6),0,IF($E262="","",AT262+(AU262+BD263)/(1+$AK262)*MIN((1-AM262-AN262),1)))</f>
        <v>1154.9916754266035</v>
      </c>
      <c r="BE262" s="164">
        <f t="shared" si="177"/>
        <v>92.185160683307714</v>
      </c>
      <c r="BF262" s="164">
        <f t="shared" ref="BF262:BF325" si="198">IF($E262="","",AZ262)</f>
        <v>1163.9833599026929</v>
      </c>
      <c r="BG262" s="164">
        <f t="shared" si="178"/>
        <v>92.902828088084249</v>
      </c>
      <c r="BH262" s="152"/>
      <c r="BI262" s="162">
        <f t="shared" si="179"/>
        <v>538.86179818921607</v>
      </c>
      <c r="BJ262" s="150">
        <f t="shared" si="180"/>
        <v>0</v>
      </c>
      <c r="BK262" s="163">
        <f t="shared" si="161"/>
        <v>0</v>
      </c>
      <c r="BL262" s="163">
        <f t="shared" si="181"/>
        <v>171.0719260317961</v>
      </c>
      <c r="BM262" s="163">
        <f t="shared" si="162"/>
        <v>1.4487058920193938</v>
      </c>
      <c r="BN262" s="163">
        <f t="shared" si="182"/>
        <v>0.63274674517369911</v>
      </c>
      <c r="BO262" s="163">
        <f t="shared" si="183"/>
        <v>0</v>
      </c>
      <c r="BP262" s="164">
        <f t="shared" si="163"/>
        <v>369.87132479461303</v>
      </c>
      <c r="BQ262" s="164">
        <f>IF($E262="","",IF(AND($D262=Input!$C$6,$C262=12),0,-BJ263+BK263+BL263-BM263-BN263-BO263+BQ263))</f>
        <v>369.87176087331494</v>
      </c>
      <c r="BR262" s="161">
        <f t="shared" si="184"/>
        <v>0</v>
      </c>
      <c r="BT262" s="147">
        <f t="shared" si="185"/>
        <v>7.9814567190935423E-2</v>
      </c>
      <c r="BU262" s="164">
        <f>IF(AND($C261=12,$D261=Input!$C$6),0,IF($E262="","",BK262+(BL262+BU263)/(1+$AK262)*MIN((1-T262-U262),1)))</f>
        <v>22852.869013350442</v>
      </c>
      <c r="BV262" s="164">
        <f t="shared" si="186"/>
        <v>1823.991849371705</v>
      </c>
      <c r="BW262" s="164">
        <f t="shared" si="187"/>
        <v>369.87176087331494</v>
      </c>
      <c r="BX262" s="164">
        <f t="shared" si="188"/>
        <v>29.521154510252796</v>
      </c>
    </row>
    <row r="263" spans="1:76" s="150" customFormat="1" x14ac:dyDescent="0.25">
      <c r="A263" s="150">
        <f t="shared" ref="A263:A326" si="199">IF(E263="","",A262+1)</f>
        <v>259</v>
      </c>
      <c r="B263" s="150">
        <f t="shared" ref="B263:B326" si="200">IF(E263="","",IF(C262+1&gt;12,B262+1,B262))</f>
        <v>22</v>
      </c>
      <c r="C263" s="150">
        <f t="shared" ref="C263:C326" si="201">IF(E263="","",IF(C262+1&gt;12,1,C262+1))</f>
        <v>7</v>
      </c>
      <c r="D263" s="150">
        <f>IF(E263="","",Input!$C$4+B263-1)</f>
        <v>66</v>
      </c>
      <c r="E263" s="150">
        <f>IF(OR(AND(C262=12,D262=Input!$C$6),E262=""),"",1)</f>
        <v>1</v>
      </c>
      <c r="F263" s="150">
        <f>IF(E263="","",Input!$C$8+B263-1)</f>
        <v>2039</v>
      </c>
      <c r="G263" s="151">
        <f>IF(E263="","",MAX(0,Input!$C$9-B263))</f>
        <v>0</v>
      </c>
      <c r="H263" s="152">
        <f>IF(E263="","",Input!$C$3)</f>
        <v>100000</v>
      </c>
      <c r="I263" s="153">
        <f>IF(E263="","",HLOOKUP($B263,Input!$C$13:$BT$14,2))</f>
        <v>20.237000000000002</v>
      </c>
      <c r="J263" s="154"/>
      <c r="K263" s="155">
        <f>IF($E263="","",INDEX(Input!$C$16:$CP$16,1,$B263))</f>
        <v>2.4029999999999999E-2</v>
      </c>
      <c r="L263" s="155">
        <f>IF($E263="","",Input!$C$37)</f>
        <v>1.4999999999999999E-2</v>
      </c>
      <c r="M263" s="155">
        <f t="shared" si="164"/>
        <v>3.9029999999999995E-2</v>
      </c>
      <c r="N263" s="155">
        <f t="shared" si="165"/>
        <v>3.1957276193304018E-3</v>
      </c>
      <c r="O263" s="147">
        <f>IF($E263="","",MIN(VLOOKUP(IF($B263&lt;=Input!$C$7,$B263,26),'Mortality Tables'!$A$41:$CW$67,IF($B263&lt;=Input!$C$7+1,Input!$C$4+2,$D263-Input!$C$7+2),0)*IF(B263&gt;20,Input!$C$22,1)/1000,1))</f>
        <v>2.2594000000000006E-2</v>
      </c>
      <c r="P263" s="147">
        <f>IF($E263="","",MIN(VLOOKUP(IF($B263&lt;=Input!$C$7,$B263,26),'Mortality Tables'!$A$12:$CW$37,IF($B263&lt;=Input!$C$7+1,Input!$C$4+2,$D263-Input!$C$7+2),0)*IF(B263&gt;20,Input!$C$22,1)/1000,1))</f>
        <v>2.8242500000000004E-2</v>
      </c>
      <c r="Q263" s="155">
        <f>IF($E263="","",Input!$C$21)</f>
        <v>5.0000000000000001E-3</v>
      </c>
      <c r="R263" s="159">
        <f>IF($E263="","",(1-Q263)^($F263-Input!$C$20))</f>
        <v>0.90008742787324469</v>
      </c>
      <c r="S263" s="147">
        <f t="shared" si="167"/>
        <v>2.0336575345368098E-2</v>
      </c>
      <c r="T263" s="147">
        <f t="shared" si="168"/>
        <v>1.7107192603179611E-3</v>
      </c>
      <c r="U263" s="160">
        <f>IF($E263="","",IF($C263=12,INDEX(Input!$C$15:$CP$15,1,$B263),0))</f>
        <v>0</v>
      </c>
      <c r="V263" s="150">
        <f>IF(E263="","",IF(C263=1,IF($B263=1,Input!$C$33,Input!$C$34),0))</f>
        <v>0</v>
      </c>
      <c r="W263" s="156">
        <f>IF($E263="","",Input!$C$35)</f>
        <v>0.02</v>
      </c>
      <c r="X263" s="156">
        <f t="shared" si="166"/>
        <v>1.5156663438979221</v>
      </c>
      <c r="Y263" s="154"/>
      <c r="Z263" s="147">
        <f>IF($E263="","",VLOOKUP($D263,'Mortality Margins &amp; Grading'!$AB$5:$AF$125,3,0)*IF(Summary!$D$25="Included Margin",IF(AND($B263&gt;Input!$C$9,Summary!$D$31&lt;&gt;"Included Margin"),0,1),0))</f>
        <v>3.3000000000000002E-2</v>
      </c>
      <c r="AA263" s="147">
        <f>IF($E263="","",VLOOKUP($D263,'Mortality Margins &amp; Grading'!$AB$5:$AF$125,5,0)*IF(Summary!$D$25="Included Margin",IF(AND($B263&gt;Input!$C$9,Summary!$D$31&lt;&gt;"Included Margin"),0,1),0))</f>
        <v>0.16900000000000001</v>
      </c>
      <c r="AB263" s="147">
        <f>IF($E263="","",IF(AND($B263&gt;Input!$C$9,Summary!$D$31&lt;&gt;"Included Margin"),1,IF(Summary!$D$25="Included Margin",VLOOKUP($B263,'Mortality Margins &amp; Grading'!$AI$5:$AR$125,MATCH('Mortality Margins &amp; Grading'!$AQ$4,'Mortality Margins &amp; Grading'!$AI$4:$AR$4,0),0),1)))</f>
        <v>1</v>
      </c>
      <c r="AC263" s="154"/>
      <c r="AD263" s="158">
        <f>IF(E263="","",Input!$C$48*IF(Summary!$D$30="Included Margin",IF(AND($B263&gt;Input!$C$9,Summary!$D$31&lt;&gt;"Included Margin"),0,1),0))</f>
        <v>-4.4999999999999997E-3</v>
      </c>
      <c r="AE263" s="159">
        <f>IF(E263="","",IF(Summary!$D$26="Included Margin",IF(AND($B263&gt;Input!$C$9,Summary!$D$31&lt;&gt;"Included Margin"),1,1/$R263),1))</f>
        <v>1.1110031859492049</v>
      </c>
      <c r="AF263" s="160">
        <f>IF(E263="","",IF(AND($B263&gt;=Input!$C$9,$C263=12,Summary!$D$31="Included Margin",$U263&gt;0),1/U263-1,IF($B263&gt;=Input!$C$9,0,Input!$C$45*IF(Summary!$D$27="Included Margin",1,0))))</f>
        <v>0</v>
      </c>
      <c r="AG263" s="160">
        <f>IF(E263="","",Input!$C$46*IF(Summary!$D$28="Included Margin",IF(AND($B263&gt;Input!$C$9,Summary!$D$31&lt;&gt;"Included Margin"),0,1),0))</f>
        <v>0.02</v>
      </c>
      <c r="AH263" s="158">
        <f>IF(E263="","",Input!$C$47*IF(Summary!$D$29="Included Margin",IF(AND($B263&gt;Input!$C$9,Summary!$D$31&lt;&gt;"Included Margin"),0,1),0))</f>
        <v>2.5000000000000001E-3</v>
      </c>
      <c r="AI263" s="154"/>
      <c r="AJ263" s="158">
        <f t="shared" si="189"/>
        <v>3.4529999999999998E-2</v>
      </c>
      <c r="AK263" s="155">
        <f t="shared" si="190"/>
        <v>2.8329399868891603E-3</v>
      </c>
      <c r="AL263" s="147">
        <f t="shared" si="191"/>
        <v>2.3339602000000004E-2</v>
      </c>
      <c r="AM263" s="147">
        <f t="shared" si="169"/>
        <v>1.9660883853290789E-3</v>
      </c>
      <c r="AN263" s="160">
        <f t="shared" si="192"/>
        <v>0</v>
      </c>
      <c r="AO263" s="161">
        <f t="shared" si="193"/>
        <v>0</v>
      </c>
      <c r="AP263" s="156">
        <f t="shared" si="170"/>
        <v>1.5956206577001208</v>
      </c>
      <c r="AQ263" s="152"/>
      <c r="AR263" s="162">
        <f t="shared" si="171"/>
        <v>1163.9829659871968</v>
      </c>
      <c r="AS263" s="150">
        <f t="shared" si="194"/>
        <v>0</v>
      </c>
      <c r="AT263" s="163">
        <f t="shared" si="172"/>
        <v>0</v>
      </c>
      <c r="AU263" s="163">
        <f t="shared" si="173"/>
        <v>196.6088385329079</v>
      </c>
      <c r="AV263" s="163">
        <f t="shared" si="195"/>
        <v>3.0190033681751207</v>
      </c>
      <c r="AW263" s="163">
        <f t="shared" si="174"/>
        <v>1.911637887232893</v>
      </c>
      <c r="AX263" s="163">
        <f t="shared" si="175"/>
        <v>0</v>
      </c>
      <c r="AY263" s="164">
        <f t="shared" si="196"/>
        <v>972.3047687096971</v>
      </c>
      <c r="AZ263" s="164">
        <f>IF($E263="","",IF(OR(AND($D263=Input!$C$6,$C263=12),$AN263=1),0,-AS264+AT264+AU264-AV264-AW264-AX264+AZ264))</f>
        <v>972.30516262519291</v>
      </c>
      <c r="BA263" s="154">
        <f t="shared" si="176"/>
        <v>3.9391549580614083E-4</v>
      </c>
      <c r="BC263" s="147">
        <f t="shared" si="197"/>
        <v>7.9678026873587951E-2</v>
      </c>
      <c r="BD263" s="164">
        <f>IF(AND($C262=12,$D262=Input!$C$6),0,IF($E263="","",AT263+(AU263+BD264)/(1+$AK263)*MIN((1-AM263-AN263),1)))</f>
        <v>963.93659389087077</v>
      </c>
      <c r="BE263" s="164">
        <f t="shared" si="177"/>
        <v>76.804565832471638</v>
      </c>
      <c r="BF263" s="164">
        <f t="shared" si="198"/>
        <v>972.30516262519291</v>
      </c>
      <c r="BG263" s="164">
        <f t="shared" si="178"/>
        <v>77.471356876978419</v>
      </c>
      <c r="BH263" s="152"/>
      <c r="BI263" s="162">
        <f t="shared" si="179"/>
        <v>369.87132479461303</v>
      </c>
      <c r="BJ263" s="150">
        <f t="shared" si="180"/>
        <v>0</v>
      </c>
      <c r="BK263" s="163">
        <f t="shared" ref="BK263:BK326" si="202">IF($E263="","",$V263*$X263)</f>
        <v>0</v>
      </c>
      <c r="BL263" s="163">
        <f t="shared" si="181"/>
        <v>171.0719260317961</v>
      </c>
      <c r="BM263" s="163">
        <f t="shared" ref="BM263:BM326" si="203">IF($E263="","",(BI263+BJ263-BK263-BL263/2)*$N263)</f>
        <v>0.90865836878854134</v>
      </c>
      <c r="BN263" s="163">
        <f t="shared" si="182"/>
        <v>0.34223062630784706</v>
      </c>
      <c r="BO263" s="163">
        <f t="shared" si="183"/>
        <v>0</v>
      </c>
      <c r="BP263" s="164">
        <f t="shared" ref="BP263:BP326" si="204">IF($E263="","",BI263+BJ263-BK263-BL263+BM263+BN263+BO263)</f>
        <v>200.05028775791331</v>
      </c>
      <c r="BQ263" s="164">
        <f>IF($E263="","",IF(AND($D263=Input!$C$6,$C263=12),0,-BJ264+BK264+BL264-BM264-BN264-BO264+BQ264))</f>
        <v>200.05072383661522</v>
      </c>
      <c r="BR263" s="161">
        <f t="shared" si="184"/>
        <v>0</v>
      </c>
      <c r="BT263" s="147">
        <f t="shared" si="185"/>
        <v>7.9678026873587951E-2</v>
      </c>
      <c r="BU263" s="164">
        <f>IF(AND($C262=12,$D262=Input!$C$6),0,IF($E263="","",BK263+(BL263+BU264)/(1+$AK263)*MIN((1-T263-U263),1)))</f>
        <v>22785.810674984121</v>
      </c>
      <c r="BV263" s="164">
        <f t="shared" si="186"/>
        <v>1815.528435297872</v>
      </c>
      <c r="BW263" s="164">
        <f t="shared" si="187"/>
        <v>200.05072383661522</v>
      </c>
      <c r="BX263" s="164">
        <f t="shared" si="188"/>
        <v>15.939646949934549</v>
      </c>
    </row>
    <row r="264" spans="1:76" s="150" customFormat="1" x14ac:dyDescent="0.25">
      <c r="A264" s="150">
        <f t="shared" si="199"/>
        <v>260</v>
      </c>
      <c r="B264" s="150">
        <f t="shared" si="200"/>
        <v>22</v>
      </c>
      <c r="C264" s="150">
        <f t="shared" si="201"/>
        <v>8</v>
      </c>
      <c r="D264" s="150">
        <f>IF(E264="","",Input!$C$4+B264-1)</f>
        <v>66</v>
      </c>
      <c r="E264" s="150">
        <f>IF(OR(AND(C263=12,D263=Input!$C$6),E263=""),"",1)</f>
        <v>1</v>
      </c>
      <c r="F264" s="150">
        <f>IF(E264="","",Input!$C$8+B264-1)</f>
        <v>2039</v>
      </c>
      <c r="G264" s="151">
        <f>IF(E264="","",MAX(0,Input!$C$9-B264))</f>
        <v>0</v>
      </c>
      <c r="H264" s="152">
        <f>IF(E264="","",Input!$C$3)</f>
        <v>100000</v>
      </c>
      <c r="I264" s="153">
        <f>IF(E264="","",HLOOKUP($B264,Input!$C$13:$BT$14,2))</f>
        <v>20.237000000000002</v>
      </c>
      <c r="J264" s="154"/>
      <c r="K264" s="155">
        <f>IF($E264="","",INDEX(Input!$C$16:$CP$16,1,$B264))</f>
        <v>2.4029999999999999E-2</v>
      </c>
      <c r="L264" s="155">
        <f>IF($E264="","",Input!$C$37)</f>
        <v>1.4999999999999999E-2</v>
      </c>
      <c r="M264" s="155">
        <f t="shared" si="164"/>
        <v>3.9029999999999995E-2</v>
      </c>
      <c r="N264" s="155">
        <f t="shared" si="165"/>
        <v>3.1957276193304018E-3</v>
      </c>
      <c r="O264" s="147">
        <f>IF($E264="","",MIN(VLOOKUP(IF($B264&lt;=Input!$C$7,$B264,26),'Mortality Tables'!$A$41:$CW$67,IF($B264&lt;=Input!$C$7+1,Input!$C$4+2,$D264-Input!$C$7+2),0)*IF(B264&gt;20,Input!$C$22,1)/1000,1))</f>
        <v>2.2594000000000006E-2</v>
      </c>
      <c r="P264" s="147">
        <f>IF($E264="","",MIN(VLOOKUP(IF($B264&lt;=Input!$C$7,$B264,26),'Mortality Tables'!$A$12:$CW$37,IF($B264&lt;=Input!$C$7+1,Input!$C$4+2,$D264-Input!$C$7+2),0)*IF(B264&gt;20,Input!$C$22,1)/1000,1))</f>
        <v>2.8242500000000004E-2</v>
      </c>
      <c r="Q264" s="155">
        <f>IF($E264="","",Input!$C$21)</f>
        <v>5.0000000000000001E-3</v>
      </c>
      <c r="R264" s="159">
        <f>IF($E264="","",(1-Q264)^($F264-Input!$C$20))</f>
        <v>0.90008742787324469</v>
      </c>
      <c r="S264" s="147">
        <f t="shared" si="167"/>
        <v>2.0336575345368098E-2</v>
      </c>
      <c r="T264" s="147">
        <f t="shared" si="168"/>
        <v>1.7107192603179611E-3</v>
      </c>
      <c r="U264" s="160">
        <f>IF($E264="","",IF($C264=12,INDEX(Input!$C$15:$CP$15,1,$B264),0))</f>
        <v>0</v>
      </c>
      <c r="V264" s="150">
        <f>IF(E264="","",IF(C264=1,IF($B264=1,Input!$C$33,Input!$C$34),0))</f>
        <v>0</v>
      </c>
      <c r="W264" s="156">
        <f>IF($E264="","",Input!$C$35)</f>
        <v>0.02</v>
      </c>
      <c r="X264" s="156">
        <f t="shared" si="166"/>
        <v>1.5156663438979221</v>
      </c>
      <c r="Y264" s="154"/>
      <c r="Z264" s="147">
        <f>IF($E264="","",VLOOKUP($D264,'Mortality Margins &amp; Grading'!$AB$5:$AF$125,3,0)*IF(Summary!$D$25="Included Margin",IF(AND($B264&gt;Input!$C$9,Summary!$D$31&lt;&gt;"Included Margin"),0,1),0))</f>
        <v>3.3000000000000002E-2</v>
      </c>
      <c r="AA264" s="147">
        <f>IF($E264="","",VLOOKUP($D264,'Mortality Margins &amp; Grading'!$AB$5:$AF$125,5,0)*IF(Summary!$D$25="Included Margin",IF(AND($B264&gt;Input!$C$9,Summary!$D$31&lt;&gt;"Included Margin"),0,1),0))</f>
        <v>0.16900000000000001</v>
      </c>
      <c r="AB264" s="147">
        <f>IF($E264="","",IF(AND($B264&gt;Input!$C$9,Summary!$D$31&lt;&gt;"Included Margin"),1,IF(Summary!$D$25="Included Margin",VLOOKUP($B264,'Mortality Margins &amp; Grading'!$AI$5:$AR$125,MATCH('Mortality Margins &amp; Grading'!$AQ$4,'Mortality Margins &amp; Grading'!$AI$4:$AR$4,0),0),1)))</f>
        <v>1</v>
      </c>
      <c r="AC264" s="154"/>
      <c r="AD264" s="158">
        <f>IF(E264="","",Input!$C$48*IF(Summary!$D$30="Included Margin",IF(AND($B264&gt;Input!$C$9,Summary!$D$31&lt;&gt;"Included Margin"),0,1),0))</f>
        <v>-4.4999999999999997E-3</v>
      </c>
      <c r="AE264" s="159">
        <f>IF(E264="","",IF(Summary!$D$26="Included Margin",IF(AND($B264&gt;Input!$C$9,Summary!$D$31&lt;&gt;"Included Margin"),1,1/$R264),1))</f>
        <v>1.1110031859492049</v>
      </c>
      <c r="AF264" s="160">
        <f>IF(E264="","",IF(AND($B264&gt;=Input!$C$9,$C264=12,Summary!$D$31="Included Margin",$U264&gt;0),1/U264-1,IF($B264&gt;=Input!$C$9,0,Input!$C$45*IF(Summary!$D$27="Included Margin",1,0))))</f>
        <v>0</v>
      </c>
      <c r="AG264" s="160">
        <f>IF(E264="","",Input!$C$46*IF(Summary!$D$28="Included Margin",IF(AND($B264&gt;Input!$C$9,Summary!$D$31&lt;&gt;"Included Margin"),0,1),0))</f>
        <v>0.02</v>
      </c>
      <c r="AH264" s="158">
        <f>IF(E264="","",Input!$C$47*IF(Summary!$D$29="Included Margin",IF(AND($B264&gt;Input!$C$9,Summary!$D$31&lt;&gt;"Included Margin"),0,1),0))</f>
        <v>2.5000000000000001E-3</v>
      </c>
      <c r="AI264" s="154"/>
      <c r="AJ264" s="158">
        <f t="shared" si="189"/>
        <v>3.4529999999999998E-2</v>
      </c>
      <c r="AK264" s="155">
        <f t="shared" si="190"/>
        <v>2.8329399868891603E-3</v>
      </c>
      <c r="AL264" s="147">
        <f t="shared" si="191"/>
        <v>2.3339602000000004E-2</v>
      </c>
      <c r="AM264" s="147">
        <f t="shared" si="169"/>
        <v>1.9660883853290789E-3</v>
      </c>
      <c r="AN264" s="160">
        <f t="shared" si="192"/>
        <v>0</v>
      </c>
      <c r="AO264" s="161">
        <f t="shared" si="193"/>
        <v>0</v>
      </c>
      <c r="AP264" s="156">
        <f t="shared" si="170"/>
        <v>1.5956206577001208</v>
      </c>
      <c r="AQ264" s="152"/>
      <c r="AR264" s="162">
        <f t="shared" si="171"/>
        <v>972.30476870969699</v>
      </c>
      <c r="AS264" s="150">
        <f t="shared" si="194"/>
        <v>0</v>
      </c>
      <c r="AT264" s="163">
        <f t="shared" si="172"/>
        <v>0</v>
      </c>
      <c r="AU264" s="163">
        <f t="shared" si="173"/>
        <v>196.6088385329079</v>
      </c>
      <c r="AV264" s="163">
        <f t="shared" si="195"/>
        <v>2.4759905384928627</v>
      </c>
      <c r="AW264" s="163">
        <f t="shared" si="174"/>
        <v>1.5329695031153567</v>
      </c>
      <c r="AX264" s="163">
        <f t="shared" si="175"/>
        <v>0</v>
      </c>
      <c r="AY264" s="165">
        <f t="shared" si="196"/>
        <v>779.70489021839728</v>
      </c>
      <c r="AZ264" s="164">
        <f>IF($E264="","",IF(OR(AND($D264=Input!$C$6,$C264=12),$AN264=1),0,-AS265+AT265+AU265-AV265-AW265-AX265+AZ265))</f>
        <v>779.7052841338932</v>
      </c>
      <c r="BA264" s="154">
        <f t="shared" si="176"/>
        <v>3.9391549591982766E-4</v>
      </c>
      <c r="BC264" s="147">
        <f t="shared" si="197"/>
        <v>7.954172013839117E-2</v>
      </c>
      <c r="BD264" s="164">
        <f>IF(AND($C263=12,$D263=Input!$C$6),0,IF($E264="","",AT264+(AU264+BD265)/(1+$AK264)*MIN((1-AM264-AN264),1)))</f>
        <v>771.96282738233674</v>
      </c>
      <c r="BE264" s="164">
        <f t="shared" si="177"/>
        <v>61.403251172887003</v>
      </c>
      <c r="BF264" s="164">
        <f t="shared" si="198"/>
        <v>779.7052841338932</v>
      </c>
      <c r="BG264" s="164">
        <f t="shared" si="178"/>
        <v>62.019099501002898</v>
      </c>
      <c r="BH264" s="152"/>
      <c r="BI264" s="162">
        <f t="shared" si="179"/>
        <v>200.05028775791334</v>
      </c>
      <c r="BJ264" s="150">
        <f t="shared" si="180"/>
        <v>0</v>
      </c>
      <c r="BK264" s="163">
        <f t="shared" si="202"/>
        <v>0</v>
      </c>
      <c r="BL264" s="163">
        <f t="shared" si="181"/>
        <v>171.0719260317961</v>
      </c>
      <c r="BM264" s="163">
        <f t="shared" si="203"/>
        <v>0.36595659038702905</v>
      </c>
      <c r="BN264" s="163">
        <f t="shared" si="182"/>
        <v>5.0286662895932512E-2</v>
      </c>
      <c r="BO264" s="163">
        <f t="shared" si="183"/>
        <v>0</v>
      </c>
      <c r="BP264" s="164">
        <f t="shared" si="204"/>
        <v>29.394604979400203</v>
      </c>
      <c r="BQ264" s="164">
        <f>IF($E264="","",IF(AND($D264=Input!$C$6,$C264=12),0,-BJ265+BK265+BL265-BM265-BN265-BO265+BQ265))</f>
        <v>29.395041058102095</v>
      </c>
      <c r="BR264" s="161">
        <f t="shared" si="184"/>
        <v>0</v>
      </c>
      <c r="BT264" s="147">
        <f t="shared" si="185"/>
        <v>7.954172013839117E-2</v>
      </c>
      <c r="BU264" s="164">
        <f>IF(AND($C263=12,$D263=Input!$C$6),0,IF($E264="","",BK264+(BL264+BU265)/(1+$AK264)*MIN((1-T264-U264),1)))</f>
        <v>22718.447124245897</v>
      </c>
      <c r="BV264" s="164">
        <f t="shared" si="186"/>
        <v>1807.0643631356047</v>
      </c>
      <c r="BW264" s="164">
        <f t="shared" si="187"/>
        <v>29.395041058102095</v>
      </c>
      <c r="BX264" s="164">
        <f t="shared" si="188"/>
        <v>2.3381321293000745</v>
      </c>
    </row>
    <row r="265" spans="1:76" s="150" customFormat="1" x14ac:dyDescent="0.25">
      <c r="A265" s="150">
        <f t="shared" si="199"/>
        <v>261</v>
      </c>
      <c r="B265" s="150">
        <f t="shared" si="200"/>
        <v>22</v>
      </c>
      <c r="C265" s="150">
        <f t="shared" si="201"/>
        <v>9</v>
      </c>
      <c r="D265" s="150">
        <f>IF(E265="","",Input!$C$4+B265-1)</f>
        <v>66</v>
      </c>
      <c r="E265" s="150">
        <f>IF(OR(AND(C264=12,D264=Input!$C$6),E264=""),"",1)</f>
        <v>1</v>
      </c>
      <c r="F265" s="150">
        <f>IF(E265="","",Input!$C$8+B265-1)</f>
        <v>2039</v>
      </c>
      <c r="G265" s="151">
        <f>IF(E265="","",MAX(0,Input!$C$9-B265))</f>
        <v>0</v>
      </c>
      <c r="H265" s="152">
        <f>IF(E265="","",Input!$C$3)</f>
        <v>100000</v>
      </c>
      <c r="I265" s="153">
        <f>IF(E265="","",HLOOKUP($B265,Input!$C$13:$BT$14,2))</f>
        <v>20.237000000000002</v>
      </c>
      <c r="J265" s="154"/>
      <c r="K265" s="155">
        <f>IF($E265="","",INDEX(Input!$C$16:$CP$16,1,$B265))</f>
        <v>2.4029999999999999E-2</v>
      </c>
      <c r="L265" s="155">
        <f>IF($E265="","",Input!$C$37)</f>
        <v>1.4999999999999999E-2</v>
      </c>
      <c r="M265" s="155">
        <f t="shared" si="164"/>
        <v>3.9029999999999995E-2</v>
      </c>
      <c r="N265" s="155">
        <f t="shared" si="165"/>
        <v>3.1957276193304018E-3</v>
      </c>
      <c r="O265" s="147">
        <f>IF($E265="","",MIN(VLOOKUP(IF($B265&lt;=Input!$C$7,$B265,26),'Mortality Tables'!$A$41:$CW$67,IF($B265&lt;=Input!$C$7+1,Input!$C$4+2,$D265-Input!$C$7+2),0)*IF(B265&gt;20,Input!$C$22,1)/1000,1))</f>
        <v>2.2594000000000006E-2</v>
      </c>
      <c r="P265" s="147">
        <f>IF($E265="","",MIN(VLOOKUP(IF($B265&lt;=Input!$C$7,$B265,26),'Mortality Tables'!$A$12:$CW$37,IF($B265&lt;=Input!$C$7+1,Input!$C$4+2,$D265-Input!$C$7+2),0)*IF(B265&gt;20,Input!$C$22,1)/1000,1))</f>
        <v>2.8242500000000004E-2</v>
      </c>
      <c r="Q265" s="155">
        <f>IF($E265="","",Input!$C$21)</f>
        <v>5.0000000000000001E-3</v>
      </c>
      <c r="R265" s="159">
        <f>IF($E265="","",(1-Q265)^($F265-Input!$C$20))</f>
        <v>0.90008742787324469</v>
      </c>
      <c r="S265" s="147">
        <f t="shared" si="167"/>
        <v>2.0336575345368098E-2</v>
      </c>
      <c r="T265" s="147">
        <f t="shared" si="168"/>
        <v>1.7107192603179611E-3</v>
      </c>
      <c r="U265" s="160">
        <f>IF($E265="","",IF($C265=12,INDEX(Input!$C$15:$CP$15,1,$B265),0))</f>
        <v>0</v>
      </c>
      <c r="V265" s="150">
        <f>IF(E265="","",IF(C265=1,IF($B265=1,Input!$C$33,Input!$C$34),0))</f>
        <v>0</v>
      </c>
      <c r="W265" s="156">
        <f>IF($E265="","",Input!$C$35)</f>
        <v>0.02</v>
      </c>
      <c r="X265" s="156">
        <f t="shared" si="166"/>
        <v>1.5156663438979221</v>
      </c>
      <c r="Y265" s="154"/>
      <c r="Z265" s="147">
        <f>IF($E265="","",VLOOKUP($D265,'Mortality Margins &amp; Grading'!$AB$5:$AF$125,3,0)*IF(Summary!$D$25="Included Margin",IF(AND($B265&gt;Input!$C$9,Summary!$D$31&lt;&gt;"Included Margin"),0,1),0))</f>
        <v>3.3000000000000002E-2</v>
      </c>
      <c r="AA265" s="147">
        <f>IF($E265="","",VLOOKUP($D265,'Mortality Margins &amp; Grading'!$AB$5:$AF$125,5,0)*IF(Summary!$D$25="Included Margin",IF(AND($B265&gt;Input!$C$9,Summary!$D$31&lt;&gt;"Included Margin"),0,1),0))</f>
        <v>0.16900000000000001</v>
      </c>
      <c r="AB265" s="147">
        <f>IF($E265="","",IF(AND($B265&gt;Input!$C$9,Summary!$D$31&lt;&gt;"Included Margin"),1,IF(Summary!$D$25="Included Margin",VLOOKUP($B265,'Mortality Margins &amp; Grading'!$AI$5:$AR$125,MATCH('Mortality Margins &amp; Grading'!$AQ$4,'Mortality Margins &amp; Grading'!$AI$4:$AR$4,0),0),1)))</f>
        <v>1</v>
      </c>
      <c r="AC265" s="154"/>
      <c r="AD265" s="158">
        <f>IF(E265="","",Input!$C$48*IF(Summary!$D$30="Included Margin",IF(AND($B265&gt;Input!$C$9,Summary!$D$31&lt;&gt;"Included Margin"),0,1),0))</f>
        <v>-4.4999999999999997E-3</v>
      </c>
      <c r="AE265" s="159">
        <f>IF(E265="","",IF(Summary!$D$26="Included Margin",IF(AND($B265&gt;Input!$C$9,Summary!$D$31&lt;&gt;"Included Margin"),1,1/$R265),1))</f>
        <v>1.1110031859492049</v>
      </c>
      <c r="AF265" s="160">
        <f>IF(E265="","",IF(AND($B265&gt;=Input!$C$9,$C265=12,Summary!$D$31="Included Margin",$U265&gt;0),1/U265-1,IF($B265&gt;=Input!$C$9,0,Input!$C$45*IF(Summary!$D$27="Included Margin",1,0))))</f>
        <v>0</v>
      </c>
      <c r="AG265" s="160">
        <f>IF(E265="","",Input!$C$46*IF(Summary!$D$28="Included Margin",IF(AND($B265&gt;Input!$C$9,Summary!$D$31&lt;&gt;"Included Margin"),0,1),0))</f>
        <v>0.02</v>
      </c>
      <c r="AH265" s="158">
        <f>IF(E265="","",Input!$C$47*IF(Summary!$D$29="Included Margin",IF(AND($B265&gt;Input!$C$9,Summary!$D$31&lt;&gt;"Included Margin"),0,1),0))</f>
        <v>2.5000000000000001E-3</v>
      </c>
      <c r="AI265" s="154"/>
      <c r="AJ265" s="158">
        <f t="shared" si="189"/>
        <v>3.4529999999999998E-2</v>
      </c>
      <c r="AK265" s="155">
        <f t="shared" si="190"/>
        <v>2.8329399868891603E-3</v>
      </c>
      <c r="AL265" s="147">
        <f t="shared" si="191"/>
        <v>2.3339602000000004E-2</v>
      </c>
      <c r="AM265" s="147">
        <f t="shared" si="169"/>
        <v>1.9660883853290789E-3</v>
      </c>
      <c r="AN265" s="160">
        <f t="shared" si="192"/>
        <v>0</v>
      </c>
      <c r="AO265" s="161">
        <f t="shared" si="193"/>
        <v>0</v>
      </c>
      <c r="AP265" s="156">
        <f t="shared" si="170"/>
        <v>1.5956206577001208</v>
      </c>
      <c r="AQ265" s="152"/>
      <c r="AR265" s="162">
        <f t="shared" si="171"/>
        <v>779.70489021839728</v>
      </c>
      <c r="AS265" s="150">
        <f t="shared" si="194"/>
        <v>0</v>
      </c>
      <c r="AT265" s="163">
        <f t="shared" si="172"/>
        <v>0</v>
      </c>
      <c r="AU265" s="163">
        <f t="shared" si="173"/>
        <v>196.6088385329079</v>
      </c>
      <c r="AV265" s="163">
        <f t="shared" si="195"/>
        <v>1.9303666412448661</v>
      </c>
      <c r="AW265" s="163">
        <f t="shared" si="174"/>
        <v>1.1524802987853069</v>
      </c>
      <c r="AX265" s="163">
        <f t="shared" si="175"/>
        <v>0</v>
      </c>
      <c r="AY265" s="164">
        <f t="shared" si="196"/>
        <v>586.17889862551954</v>
      </c>
      <c r="AZ265" s="164">
        <f>IF($E265="","",IF(OR(AND($D265=Input!$C$6,$C265=12),$AN265=1),0,-AS266+AT266+AU266-AV266-AW266-AX266+AZ266))</f>
        <v>586.17929254101546</v>
      </c>
      <c r="BA265" s="154">
        <f t="shared" si="176"/>
        <v>3.9391549591982766E-4</v>
      </c>
      <c r="BC265" s="147">
        <f t="shared" si="197"/>
        <v>7.9405646585751596E-2</v>
      </c>
      <c r="BD265" s="164">
        <f>IF(AND($C264=12,$D264=Input!$C$6),0,IF($E265="","",AT265+(AU265+BD266)/(1+$AK265)*MIN((1-AM265-AN265),1)))</f>
        <v>579.06595842059494</v>
      </c>
      <c r="BE265" s="164">
        <f t="shared" si="177"/>
        <v>45.981106844185291</v>
      </c>
      <c r="BF265" s="164">
        <f t="shared" si="198"/>
        <v>586.17929254101546</v>
      </c>
      <c r="BG265" s="164">
        <f t="shared" si="178"/>
        <v>46.545945739397773</v>
      </c>
      <c r="BH265" s="152"/>
      <c r="BI265" s="162">
        <f t="shared" si="179"/>
        <v>29.394604979400185</v>
      </c>
      <c r="BJ265" s="150">
        <f t="shared" si="180"/>
        <v>0</v>
      </c>
      <c r="BK265" s="163">
        <f t="shared" si="202"/>
        <v>0</v>
      </c>
      <c r="BL265" s="163">
        <f t="shared" si="181"/>
        <v>171.0719260317961</v>
      </c>
      <c r="BM265" s="163">
        <f t="shared" si="203"/>
        <v>-0.17941248846395305</v>
      </c>
      <c r="BN265" s="163">
        <f t="shared" si="182"/>
        <v>-0.24309216271068904</v>
      </c>
      <c r="BO265" s="163">
        <f t="shared" si="183"/>
        <v>0</v>
      </c>
      <c r="BP265" s="164">
        <f t="shared" si="204"/>
        <v>-142.09982570357056</v>
      </c>
      <c r="BQ265" s="164">
        <f>IF($E265="","",IF(AND($D265=Input!$C$6,$C265=12),0,-BJ266+BK266+BL266-BM266-BN266-BO266+BQ266))</f>
        <v>-142.09938962486865</v>
      </c>
      <c r="BR265" s="161">
        <f t="shared" si="184"/>
        <v>0</v>
      </c>
      <c r="BT265" s="147">
        <f t="shared" si="185"/>
        <v>7.9405646585751596E-2</v>
      </c>
      <c r="BU265" s="164">
        <f>IF(AND($C264=12,$D264=Input!$C$6),0,IF($E265="","",BK265+(BL265+BU266)/(1+$AK265)*MIN((1-T265-U265),1)))</f>
        <v>22650.776971978295</v>
      </c>
      <c r="BV265" s="164">
        <f t="shared" si="186"/>
        <v>1798.5995911295893</v>
      </c>
      <c r="BW265" s="164">
        <f t="shared" si="187"/>
        <v>-142.09938962486865</v>
      </c>
      <c r="BX265" s="164">
        <f t="shared" si="188"/>
        <v>-11.283493912603337</v>
      </c>
    </row>
    <row r="266" spans="1:76" s="150" customFormat="1" x14ac:dyDescent="0.25">
      <c r="A266" s="150">
        <f t="shared" si="199"/>
        <v>262</v>
      </c>
      <c r="B266" s="150">
        <f t="shared" si="200"/>
        <v>22</v>
      </c>
      <c r="C266" s="150">
        <f t="shared" si="201"/>
        <v>10</v>
      </c>
      <c r="D266" s="150">
        <f>IF(E266="","",Input!$C$4+B266-1)</f>
        <v>66</v>
      </c>
      <c r="E266" s="150">
        <f>IF(OR(AND(C265=12,D265=Input!$C$6),E265=""),"",1)</f>
        <v>1</v>
      </c>
      <c r="F266" s="150">
        <f>IF(E266="","",Input!$C$8+B266-1)</f>
        <v>2039</v>
      </c>
      <c r="G266" s="151">
        <f>IF(E266="","",MAX(0,Input!$C$9-B266))</f>
        <v>0</v>
      </c>
      <c r="H266" s="152">
        <f>IF(E266="","",Input!$C$3)</f>
        <v>100000</v>
      </c>
      <c r="I266" s="153">
        <f>IF(E266="","",HLOOKUP($B266,Input!$C$13:$BT$14,2))</f>
        <v>20.237000000000002</v>
      </c>
      <c r="J266" s="154"/>
      <c r="K266" s="155">
        <f>IF($E266="","",INDEX(Input!$C$16:$CP$16,1,$B266))</f>
        <v>2.4029999999999999E-2</v>
      </c>
      <c r="L266" s="155">
        <f>IF($E266="","",Input!$C$37)</f>
        <v>1.4999999999999999E-2</v>
      </c>
      <c r="M266" s="155">
        <f t="shared" si="164"/>
        <v>3.9029999999999995E-2</v>
      </c>
      <c r="N266" s="155">
        <f t="shared" si="165"/>
        <v>3.1957276193304018E-3</v>
      </c>
      <c r="O266" s="147">
        <f>IF($E266="","",MIN(VLOOKUP(IF($B266&lt;=Input!$C$7,$B266,26),'Mortality Tables'!$A$41:$CW$67,IF($B266&lt;=Input!$C$7+1,Input!$C$4+2,$D266-Input!$C$7+2),0)*IF(B266&gt;20,Input!$C$22,1)/1000,1))</f>
        <v>2.2594000000000006E-2</v>
      </c>
      <c r="P266" s="147">
        <f>IF($E266="","",MIN(VLOOKUP(IF($B266&lt;=Input!$C$7,$B266,26),'Mortality Tables'!$A$12:$CW$37,IF($B266&lt;=Input!$C$7+1,Input!$C$4+2,$D266-Input!$C$7+2),0)*IF(B266&gt;20,Input!$C$22,1)/1000,1))</f>
        <v>2.8242500000000004E-2</v>
      </c>
      <c r="Q266" s="155">
        <f>IF($E266="","",Input!$C$21)</f>
        <v>5.0000000000000001E-3</v>
      </c>
      <c r="R266" s="159">
        <f>IF($E266="","",(1-Q266)^($F266-Input!$C$20))</f>
        <v>0.90008742787324469</v>
      </c>
      <c r="S266" s="147">
        <f t="shared" si="167"/>
        <v>2.0336575345368098E-2</v>
      </c>
      <c r="T266" s="147">
        <f t="shared" si="168"/>
        <v>1.7107192603179611E-3</v>
      </c>
      <c r="U266" s="160">
        <f>IF($E266="","",IF($C266=12,INDEX(Input!$C$15:$CP$15,1,$B266),0))</f>
        <v>0</v>
      </c>
      <c r="V266" s="150">
        <f>IF(E266="","",IF(C266=1,IF($B266=1,Input!$C$33,Input!$C$34),0))</f>
        <v>0</v>
      </c>
      <c r="W266" s="156">
        <f>IF($E266="","",Input!$C$35)</f>
        <v>0.02</v>
      </c>
      <c r="X266" s="156">
        <f t="shared" si="166"/>
        <v>1.5156663438979221</v>
      </c>
      <c r="Y266" s="154"/>
      <c r="Z266" s="147">
        <f>IF($E266="","",VLOOKUP($D266,'Mortality Margins &amp; Grading'!$AB$5:$AF$125,3,0)*IF(Summary!$D$25="Included Margin",IF(AND($B266&gt;Input!$C$9,Summary!$D$31&lt;&gt;"Included Margin"),0,1),0))</f>
        <v>3.3000000000000002E-2</v>
      </c>
      <c r="AA266" s="147">
        <f>IF($E266="","",VLOOKUP($D266,'Mortality Margins &amp; Grading'!$AB$5:$AF$125,5,0)*IF(Summary!$D$25="Included Margin",IF(AND($B266&gt;Input!$C$9,Summary!$D$31&lt;&gt;"Included Margin"),0,1),0))</f>
        <v>0.16900000000000001</v>
      </c>
      <c r="AB266" s="147">
        <f>IF($E266="","",IF(AND($B266&gt;Input!$C$9,Summary!$D$31&lt;&gt;"Included Margin"),1,IF(Summary!$D$25="Included Margin",VLOOKUP($B266,'Mortality Margins &amp; Grading'!$AI$5:$AR$125,MATCH('Mortality Margins &amp; Grading'!$AQ$4,'Mortality Margins &amp; Grading'!$AI$4:$AR$4,0),0),1)))</f>
        <v>1</v>
      </c>
      <c r="AC266" s="154"/>
      <c r="AD266" s="158">
        <f>IF(E266="","",Input!$C$48*IF(Summary!$D$30="Included Margin",IF(AND($B266&gt;Input!$C$9,Summary!$D$31&lt;&gt;"Included Margin"),0,1),0))</f>
        <v>-4.4999999999999997E-3</v>
      </c>
      <c r="AE266" s="159">
        <f>IF(E266="","",IF(Summary!$D$26="Included Margin",IF(AND($B266&gt;Input!$C$9,Summary!$D$31&lt;&gt;"Included Margin"),1,1/$R266),1))</f>
        <v>1.1110031859492049</v>
      </c>
      <c r="AF266" s="160">
        <f>IF(E266="","",IF(AND($B266&gt;=Input!$C$9,$C266=12,Summary!$D$31="Included Margin",$U266&gt;0),1/U266-1,IF($B266&gt;=Input!$C$9,0,Input!$C$45*IF(Summary!$D$27="Included Margin",1,0))))</f>
        <v>0</v>
      </c>
      <c r="AG266" s="160">
        <f>IF(E266="","",Input!$C$46*IF(Summary!$D$28="Included Margin",IF(AND($B266&gt;Input!$C$9,Summary!$D$31&lt;&gt;"Included Margin"),0,1),0))</f>
        <v>0.02</v>
      </c>
      <c r="AH266" s="158">
        <f>IF(E266="","",Input!$C$47*IF(Summary!$D$29="Included Margin",IF(AND($B266&gt;Input!$C$9,Summary!$D$31&lt;&gt;"Included Margin"),0,1),0))</f>
        <v>2.5000000000000001E-3</v>
      </c>
      <c r="AI266" s="154"/>
      <c r="AJ266" s="158">
        <f t="shared" si="189"/>
        <v>3.4529999999999998E-2</v>
      </c>
      <c r="AK266" s="155">
        <f t="shared" si="190"/>
        <v>2.8329399868891603E-3</v>
      </c>
      <c r="AL266" s="147">
        <f t="shared" si="191"/>
        <v>2.3339602000000004E-2</v>
      </c>
      <c r="AM266" s="147">
        <f t="shared" si="169"/>
        <v>1.9660883853290789E-3</v>
      </c>
      <c r="AN266" s="160">
        <f t="shared" si="192"/>
        <v>0</v>
      </c>
      <c r="AO266" s="161">
        <f t="shared" si="193"/>
        <v>0</v>
      </c>
      <c r="AP266" s="156">
        <f t="shared" si="170"/>
        <v>1.5956206577001208</v>
      </c>
      <c r="AQ266" s="152"/>
      <c r="AR266" s="162">
        <f t="shared" si="171"/>
        <v>586.17889862551965</v>
      </c>
      <c r="AS266" s="150">
        <f t="shared" si="194"/>
        <v>0</v>
      </c>
      <c r="AT266" s="163">
        <f t="shared" si="172"/>
        <v>0</v>
      </c>
      <c r="AU266" s="163">
        <f t="shared" si="173"/>
        <v>196.6088385329079</v>
      </c>
      <c r="AV266" s="163">
        <f t="shared" si="195"/>
        <v>1.3821191211590276</v>
      </c>
      <c r="AW266" s="163">
        <f t="shared" si="174"/>
        <v>0.77016151886102835</v>
      </c>
      <c r="AX266" s="163">
        <f t="shared" si="175"/>
        <v>0</v>
      </c>
      <c r="AY266" s="165">
        <f t="shared" si="196"/>
        <v>391.72234073263178</v>
      </c>
      <c r="AZ266" s="164">
        <f>IF($E266="","",IF(OR(AND($D266=Input!$C$6,$C266=12),$AN266=1),0,-AS267+AT267+AU267-AV267-AW267-AX267+AZ267))</f>
        <v>391.72273464812758</v>
      </c>
      <c r="BA266" s="154">
        <f t="shared" si="176"/>
        <v>3.9391549580614083E-4</v>
      </c>
      <c r="BC266" s="147">
        <f t="shared" si="197"/>
        <v>7.9269805816759353E-2</v>
      </c>
      <c r="BD266" s="164">
        <f>IF(AND($C265=12,$D265=Input!$C$6),0,IF($E266="","",AT266+(AU266+BD267)/(1+$AK266)*MIN((1-AM266-AN266),1)))</f>
        <v>385.2415482838627</v>
      </c>
      <c r="BE266" s="164">
        <f t="shared" si="177"/>
        <v>30.538022725009519</v>
      </c>
      <c r="BF266" s="164">
        <f t="shared" si="198"/>
        <v>391.72273464812758</v>
      </c>
      <c r="BG266" s="164">
        <f t="shared" si="178"/>
        <v>31.051785109567025</v>
      </c>
      <c r="BH266" s="152"/>
      <c r="BI266" s="162">
        <f t="shared" si="179"/>
        <v>-142.09982570357053</v>
      </c>
      <c r="BJ266" s="150">
        <f t="shared" si="180"/>
        <v>0</v>
      </c>
      <c r="BK266" s="163">
        <f t="shared" si="202"/>
        <v>0</v>
      </c>
      <c r="BL266" s="163">
        <f t="shared" si="181"/>
        <v>171.0719260317961</v>
      </c>
      <c r="BM266" s="163">
        <f t="shared" si="203"/>
        <v>-0.72746197715886562</v>
      </c>
      <c r="BN266" s="163">
        <f t="shared" si="182"/>
        <v>-0.53791290265138614</v>
      </c>
      <c r="BO266" s="163">
        <f t="shared" si="183"/>
        <v>0</v>
      </c>
      <c r="BP266" s="164">
        <f t="shared" si="204"/>
        <v>-314.43712661517685</v>
      </c>
      <c r="BQ266" s="164">
        <f>IF($E266="","",IF(AND($D266=Input!$C$6,$C266=12),0,-BJ267+BK267+BL267-BM267-BN267-BO267+BQ267))</f>
        <v>-314.436690536475</v>
      </c>
      <c r="BR266" s="161">
        <f t="shared" si="184"/>
        <v>0</v>
      </c>
      <c r="BT266" s="147">
        <f t="shared" si="185"/>
        <v>7.9269805816759353E-2</v>
      </c>
      <c r="BU266" s="164">
        <f>IF(AND($C265=12,$D265=Input!$C$6),0,IF($E266="","",BK266+(BL266+BU267)/(1+$AK266)*MIN((1-T266-U266),1)))</f>
        <v>22582.79882270117</v>
      </c>
      <c r="BV266" s="164">
        <f t="shared" si="186"/>
        <v>1790.1340774744635</v>
      </c>
      <c r="BW266" s="164">
        <f t="shared" si="187"/>
        <v>-314.436690536475</v>
      </c>
      <c r="BX266" s="164">
        <f t="shared" si="188"/>
        <v>-24.925335400490827</v>
      </c>
    </row>
    <row r="267" spans="1:76" s="150" customFormat="1" x14ac:dyDescent="0.25">
      <c r="A267" s="150">
        <f t="shared" si="199"/>
        <v>263</v>
      </c>
      <c r="B267" s="150">
        <f t="shared" si="200"/>
        <v>22</v>
      </c>
      <c r="C267" s="150">
        <f t="shared" si="201"/>
        <v>11</v>
      </c>
      <c r="D267" s="150">
        <f>IF(E267="","",Input!$C$4+B267-1)</f>
        <v>66</v>
      </c>
      <c r="E267" s="150">
        <f>IF(OR(AND(C266=12,D266=Input!$C$6),E266=""),"",1)</f>
        <v>1</v>
      </c>
      <c r="F267" s="150">
        <f>IF(E267="","",Input!$C$8+B267-1)</f>
        <v>2039</v>
      </c>
      <c r="G267" s="151">
        <f>IF(E267="","",MAX(0,Input!$C$9-B267))</f>
        <v>0</v>
      </c>
      <c r="H267" s="152">
        <f>IF(E267="","",Input!$C$3)</f>
        <v>100000</v>
      </c>
      <c r="I267" s="153">
        <f>IF(E267="","",HLOOKUP($B267,Input!$C$13:$BT$14,2))</f>
        <v>20.237000000000002</v>
      </c>
      <c r="J267" s="154"/>
      <c r="K267" s="155">
        <f>IF($E267="","",INDEX(Input!$C$16:$CP$16,1,$B267))</f>
        <v>2.4029999999999999E-2</v>
      </c>
      <c r="L267" s="155">
        <f>IF($E267="","",Input!$C$37)</f>
        <v>1.4999999999999999E-2</v>
      </c>
      <c r="M267" s="155">
        <f t="shared" si="164"/>
        <v>3.9029999999999995E-2</v>
      </c>
      <c r="N267" s="155">
        <f t="shared" si="165"/>
        <v>3.1957276193304018E-3</v>
      </c>
      <c r="O267" s="147">
        <f>IF($E267="","",MIN(VLOOKUP(IF($B267&lt;=Input!$C$7,$B267,26),'Mortality Tables'!$A$41:$CW$67,IF($B267&lt;=Input!$C$7+1,Input!$C$4+2,$D267-Input!$C$7+2),0)*IF(B267&gt;20,Input!$C$22,1)/1000,1))</f>
        <v>2.2594000000000006E-2</v>
      </c>
      <c r="P267" s="147">
        <f>IF($E267="","",MIN(VLOOKUP(IF($B267&lt;=Input!$C$7,$B267,26),'Mortality Tables'!$A$12:$CW$37,IF($B267&lt;=Input!$C$7+1,Input!$C$4+2,$D267-Input!$C$7+2),0)*IF(B267&gt;20,Input!$C$22,1)/1000,1))</f>
        <v>2.8242500000000004E-2</v>
      </c>
      <c r="Q267" s="155">
        <f>IF($E267="","",Input!$C$21)</f>
        <v>5.0000000000000001E-3</v>
      </c>
      <c r="R267" s="159">
        <f>IF($E267="","",(1-Q267)^($F267-Input!$C$20))</f>
        <v>0.90008742787324469</v>
      </c>
      <c r="S267" s="147">
        <f t="shared" si="167"/>
        <v>2.0336575345368098E-2</v>
      </c>
      <c r="T267" s="147">
        <f t="shared" si="168"/>
        <v>1.7107192603179611E-3</v>
      </c>
      <c r="U267" s="160">
        <f>IF($E267="","",IF($C267=12,INDEX(Input!$C$15:$CP$15,1,$B267),0))</f>
        <v>0</v>
      </c>
      <c r="V267" s="150">
        <f>IF(E267="","",IF(C267=1,IF($B267=1,Input!$C$33,Input!$C$34),0))</f>
        <v>0</v>
      </c>
      <c r="W267" s="156">
        <f>IF($E267="","",Input!$C$35)</f>
        <v>0.02</v>
      </c>
      <c r="X267" s="156">
        <f t="shared" si="166"/>
        <v>1.5156663438979221</v>
      </c>
      <c r="Y267" s="154"/>
      <c r="Z267" s="147">
        <f>IF($E267="","",VLOOKUP($D267,'Mortality Margins &amp; Grading'!$AB$5:$AF$125,3,0)*IF(Summary!$D$25="Included Margin",IF(AND($B267&gt;Input!$C$9,Summary!$D$31&lt;&gt;"Included Margin"),0,1),0))</f>
        <v>3.3000000000000002E-2</v>
      </c>
      <c r="AA267" s="147">
        <f>IF($E267="","",VLOOKUP($D267,'Mortality Margins &amp; Grading'!$AB$5:$AF$125,5,0)*IF(Summary!$D$25="Included Margin",IF(AND($B267&gt;Input!$C$9,Summary!$D$31&lt;&gt;"Included Margin"),0,1),0))</f>
        <v>0.16900000000000001</v>
      </c>
      <c r="AB267" s="147">
        <f>IF($E267="","",IF(AND($B267&gt;Input!$C$9,Summary!$D$31&lt;&gt;"Included Margin"),1,IF(Summary!$D$25="Included Margin",VLOOKUP($B267,'Mortality Margins &amp; Grading'!$AI$5:$AR$125,MATCH('Mortality Margins &amp; Grading'!$AQ$4,'Mortality Margins &amp; Grading'!$AI$4:$AR$4,0),0),1)))</f>
        <v>1</v>
      </c>
      <c r="AC267" s="154"/>
      <c r="AD267" s="158">
        <f>IF(E267="","",Input!$C$48*IF(Summary!$D$30="Included Margin",IF(AND($B267&gt;Input!$C$9,Summary!$D$31&lt;&gt;"Included Margin"),0,1),0))</f>
        <v>-4.4999999999999997E-3</v>
      </c>
      <c r="AE267" s="159">
        <f>IF(E267="","",IF(Summary!$D$26="Included Margin",IF(AND($B267&gt;Input!$C$9,Summary!$D$31&lt;&gt;"Included Margin"),1,1/$R267),1))</f>
        <v>1.1110031859492049</v>
      </c>
      <c r="AF267" s="160">
        <f>IF(E267="","",IF(AND($B267&gt;=Input!$C$9,$C267=12,Summary!$D$31="Included Margin",$U267&gt;0),1/U267-1,IF($B267&gt;=Input!$C$9,0,Input!$C$45*IF(Summary!$D$27="Included Margin",1,0))))</f>
        <v>0</v>
      </c>
      <c r="AG267" s="160">
        <f>IF(E267="","",Input!$C$46*IF(Summary!$D$28="Included Margin",IF(AND($B267&gt;Input!$C$9,Summary!$D$31&lt;&gt;"Included Margin"),0,1),0))</f>
        <v>0.02</v>
      </c>
      <c r="AH267" s="158">
        <f>IF(E267="","",Input!$C$47*IF(Summary!$D$29="Included Margin",IF(AND($B267&gt;Input!$C$9,Summary!$D$31&lt;&gt;"Included Margin"),0,1),0))</f>
        <v>2.5000000000000001E-3</v>
      </c>
      <c r="AI267" s="154"/>
      <c r="AJ267" s="158">
        <f t="shared" si="189"/>
        <v>3.4529999999999998E-2</v>
      </c>
      <c r="AK267" s="155">
        <f t="shared" si="190"/>
        <v>2.8329399868891603E-3</v>
      </c>
      <c r="AL267" s="147">
        <f t="shared" si="191"/>
        <v>2.3339602000000004E-2</v>
      </c>
      <c r="AM267" s="147">
        <f t="shared" si="169"/>
        <v>1.9660883853290789E-3</v>
      </c>
      <c r="AN267" s="160">
        <f t="shared" si="192"/>
        <v>0</v>
      </c>
      <c r="AO267" s="161">
        <f t="shared" si="193"/>
        <v>0</v>
      </c>
      <c r="AP267" s="156">
        <f t="shared" si="170"/>
        <v>1.5956206577001208</v>
      </c>
      <c r="AQ267" s="152"/>
      <c r="AR267" s="162">
        <f t="shared" si="171"/>
        <v>391.72234073263166</v>
      </c>
      <c r="AS267" s="150">
        <f t="shared" si="194"/>
        <v>0</v>
      </c>
      <c r="AT267" s="163">
        <f t="shared" si="172"/>
        <v>0</v>
      </c>
      <c r="AU267" s="163">
        <f t="shared" si="173"/>
        <v>196.6088385329079</v>
      </c>
      <c r="AV267" s="163">
        <f t="shared" si="195"/>
        <v>0.83123536259143826</v>
      </c>
      <c r="AW267" s="163">
        <f t="shared" si="174"/>
        <v>0.38600436586070874</v>
      </c>
      <c r="AX267" s="163">
        <f t="shared" si="175"/>
        <v>0</v>
      </c>
      <c r="AY267" s="164">
        <f t="shared" si="196"/>
        <v>196.33074192817591</v>
      </c>
      <c r="AZ267" s="164">
        <f>IF($E267="","",IF(OR(AND($D267=Input!$C$6,$C267=12),$AN267=1),0,-AS268+AT268+AU268-AV268-AW268-AX268+AZ268))</f>
        <v>196.3311358436718</v>
      </c>
      <c r="BA267" s="154">
        <f t="shared" si="176"/>
        <v>3.9391549589140595E-4</v>
      </c>
      <c r="BC267" s="147">
        <f t="shared" si="197"/>
        <v>7.9134197433186962E-2</v>
      </c>
      <c r="BD267" s="164">
        <f>IF(AND($C266=12,$D266=Input!$C$6),0,IF($E267="","",AT267+(AU267+BD268)/(1+$AK267)*MIN((1-AM267-AN267),1)))</f>
        <v>190.4851369068422</v>
      </c>
      <c r="BE267" s="164">
        <f t="shared" si="177"/>
        <v>15.0738884320737</v>
      </c>
      <c r="BF267" s="164">
        <f t="shared" si="198"/>
        <v>196.3311358436718</v>
      </c>
      <c r="BG267" s="164">
        <f t="shared" si="178"/>
        <v>15.536506866134975</v>
      </c>
      <c r="BH267" s="152"/>
      <c r="BI267" s="162">
        <f t="shared" si="179"/>
        <v>-314.43712661517679</v>
      </c>
      <c r="BJ267" s="150">
        <f t="shared" si="180"/>
        <v>0</v>
      </c>
      <c r="BK267" s="163">
        <f t="shared" si="202"/>
        <v>0</v>
      </c>
      <c r="BL267" s="163">
        <f t="shared" si="181"/>
        <v>171.0719260317961</v>
      </c>
      <c r="BM267" s="163">
        <f t="shared" si="203"/>
        <v>-1.2782050495229402</v>
      </c>
      <c r="BN267" s="163">
        <f t="shared" si="182"/>
        <v>-0.83418264372576845</v>
      </c>
      <c r="BO267" s="163">
        <f t="shared" si="183"/>
        <v>0</v>
      </c>
      <c r="BP267" s="164">
        <f t="shared" si="204"/>
        <v>-487.62144034022168</v>
      </c>
      <c r="BQ267" s="164">
        <f>IF($E267="","",IF(AND($D267=Input!$C$6,$C267=12),0,-BJ268+BK268+BL268-BM268-BN268-BO268+BQ268))</f>
        <v>-487.62100426151977</v>
      </c>
      <c r="BR267" s="161">
        <f t="shared" si="184"/>
        <v>0</v>
      </c>
      <c r="BT267" s="147">
        <f t="shared" si="185"/>
        <v>7.9134197433186962E-2</v>
      </c>
      <c r="BU267" s="164">
        <f>IF(AND($C266=12,$D266=Input!$C$6),0,IF($E267="","",BK267+(BL267+BU268)/(1+$AK267)*MIN((1-T267-U267),1)))</f>
        <v>22514.511274582914</v>
      </c>
      <c r="BV267" s="164">
        <f t="shared" si="186"/>
        <v>1781.6677803145581</v>
      </c>
      <c r="BW267" s="164">
        <f t="shared" si="187"/>
        <v>-487.62100426151977</v>
      </c>
      <c r="BX267" s="164">
        <f t="shared" si="188"/>
        <v>-38.587496823800009</v>
      </c>
    </row>
    <row r="268" spans="1:76" s="150" customFormat="1" x14ac:dyDescent="0.25">
      <c r="A268" s="150">
        <f t="shared" si="199"/>
        <v>264</v>
      </c>
      <c r="B268" s="150">
        <f t="shared" si="200"/>
        <v>22</v>
      </c>
      <c r="C268" s="150">
        <f t="shared" si="201"/>
        <v>12</v>
      </c>
      <c r="D268" s="150">
        <f>IF(E268="","",Input!$C$4+B268-1)</f>
        <v>66</v>
      </c>
      <c r="E268" s="150">
        <f>IF(OR(AND(C267=12,D267=Input!$C$6),E267=""),"",1)</f>
        <v>1</v>
      </c>
      <c r="F268" s="150">
        <f>IF(E268="","",Input!$C$8+B268-1)</f>
        <v>2039</v>
      </c>
      <c r="G268" s="151">
        <f>IF(E268="","",MAX(0,Input!$C$9-B268))</f>
        <v>0</v>
      </c>
      <c r="H268" s="152">
        <f>IF(E268="","",Input!$C$3)</f>
        <v>100000</v>
      </c>
      <c r="I268" s="153">
        <f>IF(E268="","",HLOOKUP($B268,Input!$C$13:$BT$14,2))</f>
        <v>20.237000000000002</v>
      </c>
      <c r="J268" s="154"/>
      <c r="K268" s="155">
        <f>IF($E268="","",INDEX(Input!$C$16:$CP$16,1,$B268))</f>
        <v>2.4029999999999999E-2</v>
      </c>
      <c r="L268" s="155">
        <f>IF($E268="","",Input!$C$37)</f>
        <v>1.4999999999999999E-2</v>
      </c>
      <c r="M268" s="155">
        <f t="shared" si="164"/>
        <v>3.9029999999999995E-2</v>
      </c>
      <c r="N268" s="155">
        <f t="shared" si="165"/>
        <v>3.1957276193304018E-3</v>
      </c>
      <c r="O268" s="147">
        <f>IF($E268="","",MIN(VLOOKUP(IF($B268&lt;=Input!$C$7,$B268,26),'Mortality Tables'!$A$41:$CW$67,IF($B268&lt;=Input!$C$7+1,Input!$C$4+2,$D268-Input!$C$7+2),0)*IF(B268&gt;20,Input!$C$22,1)/1000,1))</f>
        <v>2.2594000000000006E-2</v>
      </c>
      <c r="P268" s="147">
        <f>IF($E268="","",MIN(VLOOKUP(IF($B268&lt;=Input!$C$7,$B268,26),'Mortality Tables'!$A$12:$CW$37,IF($B268&lt;=Input!$C$7+1,Input!$C$4+2,$D268-Input!$C$7+2),0)*IF(B268&gt;20,Input!$C$22,1)/1000,1))</f>
        <v>2.8242500000000004E-2</v>
      </c>
      <c r="Q268" s="155">
        <f>IF($E268="","",Input!$C$21)</f>
        <v>5.0000000000000001E-3</v>
      </c>
      <c r="R268" s="159">
        <f>IF($E268="","",(1-Q268)^($F268-Input!$C$20))</f>
        <v>0.90008742787324469</v>
      </c>
      <c r="S268" s="147">
        <f t="shared" si="167"/>
        <v>2.0336575345368098E-2</v>
      </c>
      <c r="T268" s="147">
        <f t="shared" si="168"/>
        <v>1.7107192603179611E-3</v>
      </c>
      <c r="U268" s="160">
        <f>IF($E268="","",IF($C268=12,INDEX(Input!$C$15:$CP$15,1,$B268),0))</f>
        <v>0.1</v>
      </c>
      <c r="V268" s="150">
        <f>IF(E268="","",IF(C268=1,IF($B268=1,Input!$C$33,Input!$C$34),0))</f>
        <v>0</v>
      </c>
      <c r="W268" s="156">
        <f>IF($E268="","",Input!$C$35)</f>
        <v>0.02</v>
      </c>
      <c r="X268" s="156">
        <f t="shared" si="166"/>
        <v>1.5156663438979221</v>
      </c>
      <c r="Y268" s="154"/>
      <c r="Z268" s="147">
        <f>IF($E268="","",VLOOKUP($D268,'Mortality Margins &amp; Grading'!$AB$5:$AF$125,3,0)*IF(Summary!$D$25="Included Margin",IF(AND($B268&gt;Input!$C$9,Summary!$D$31&lt;&gt;"Included Margin"),0,1),0))</f>
        <v>3.3000000000000002E-2</v>
      </c>
      <c r="AA268" s="147">
        <f>IF($E268="","",VLOOKUP($D268,'Mortality Margins &amp; Grading'!$AB$5:$AF$125,5,0)*IF(Summary!$D$25="Included Margin",IF(AND($B268&gt;Input!$C$9,Summary!$D$31&lt;&gt;"Included Margin"),0,1),0))</f>
        <v>0.16900000000000001</v>
      </c>
      <c r="AB268" s="147">
        <f>IF($E268="","",IF(AND($B268&gt;Input!$C$9,Summary!$D$31&lt;&gt;"Included Margin"),1,IF(Summary!$D$25="Included Margin",VLOOKUP($B268,'Mortality Margins &amp; Grading'!$AI$5:$AR$125,MATCH('Mortality Margins &amp; Grading'!$AQ$4,'Mortality Margins &amp; Grading'!$AI$4:$AR$4,0),0),1)))</f>
        <v>1</v>
      </c>
      <c r="AC268" s="154"/>
      <c r="AD268" s="158">
        <f>IF(E268="","",Input!$C$48*IF(Summary!$D$30="Included Margin",IF(AND($B268&gt;Input!$C$9,Summary!$D$31&lt;&gt;"Included Margin"),0,1),0))</f>
        <v>-4.4999999999999997E-3</v>
      </c>
      <c r="AE268" s="159">
        <f>IF(E268="","",IF(Summary!$D$26="Included Margin",IF(AND($B268&gt;Input!$C$9,Summary!$D$31&lt;&gt;"Included Margin"),1,1/$R268),1))</f>
        <v>1.1110031859492049</v>
      </c>
      <c r="AF268" s="160">
        <f>IF(E268="","",IF(AND($B268&gt;=Input!$C$9,$C268=12,Summary!$D$31="Included Margin",$U268&gt;0),1/U268-1,IF($B268&gt;=Input!$C$9,0,Input!$C$45*IF(Summary!$D$27="Included Margin",1,0))))</f>
        <v>9</v>
      </c>
      <c r="AG268" s="160">
        <f>IF(E268="","",Input!$C$46*IF(Summary!$D$28="Included Margin",IF(AND($B268&gt;Input!$C$9,Summary!$D$31&lt;&gt;"Included Margin"),0,1),0))</f>
        <v>0.02</v>
      </c>
      <c r="AH268" s="158">
        <f>IF(E268="","",Input!$C$47*IF(Summary!$D$29="Included Margin",IF(AND($B268&gt;Input!$C$9,Summary!$D$31&lt;&gt;"Included Margin"),0,1),0))</f>
        <v>2.5000000000000001E-3</v>
      </c>
      <c r="AI268" s="154"/>
      <c r="AJ268" s="158">
        <f t="shared" si="189"/>
        <v>3.4529999999999998E-2</v>
      </c>
      <c r="AK268" s="155">
        <f t="shared" si="190"/>
        <v>2.8329399868891603E-3</v>
      </c>
      <c r="AL268" s="147">
        <f t="shared" si="191"/>
        <v>2.3339602000000004E-2</v>
      </c>
      <c r="AM268" s="147">
        <f t="shared" si="169"/>
        <v>1.9660883853290789E-3</v>
      </c>
      <c r="AN268" s="160">
        <f t="shared" si="192"/>
        <v>1</v>
      </c>
      <c r="AO268" s="161">
        <f t="shared" si="193"/>
        <v>0</v>
      </c>
      <c r="AP268" s="156">
        <f t="shared" si="170"/>
        <v>1.5956206577001208</v>
      </c>
      <c r="AQ268" s="152"/>
      <c r="AR268" s="162">
        <f t="shared" si="171"/>
        <v>196.33074192817594</v>
      </c>
      <c r="AS268" s="150">
        <f t="shared" si="194"/>
        <v>0</v>
      </c>
      <c r="AT268" s="163">
        <f t="shared" si="172"/>
        <v>0</v>
      </c>
      <c r="AU268" s="163">
        <f t="shared" si="173"/>
        <v>196.6088385329079</v>
      </c>
      <c r="AV268" s="163">
        <f t="shared" si="195"/>
        <v>0.27770268923609132</v>
      </c>
      <c r="AW268" s="163">
        <f t="shared" si="174"/>
        <v>0</v>
      </c>
      <c r="AX268" s="163">
        <f t="shared" si="175"/>
        <v>0</v>
      </c>
      <c r="AY268" s="165">
        <f t="shared" si="196"/>
        <v>-3.9391549586531571E-4</v>
      </c>
      <c r="AZ268" s="164">
        <f>IF($E268="","",IF(OR(AND($D268=Input!$C$6,$C268=12),$AN268=1),0,-AS269+AT269+AU269-AV269-AW269-AX269+AZ269))</f>
        <v>0</v>
      </c>
      <c r="BA268" s="154">
        <f t="shared" si="176"/>
        <v>3.9391549586531571E-4</v>
      </c>
      <c r="BC268" s="147">
        <f t="shared" si="197"/>
        <v>7.1085401294169515E-2</v>
      </c>
      <c r="BD268" s="164">
        <f>IF(AND($C267=12,$D267=Input!$C$6),0,IF($E268="","",AT268+(AU268+BD269)/(1+$AK268)*MIN((1-AM268-AN268),1)))</f>
        <v>-5.2077572219092882</v>
      </c>
      <c r="BE268" s="164">
        <f t="shared" si="177"/>
        <v>-0.37019551196203115</v>
      </c>
      <c r="BF268" s="164">
        <f t="shared" si="198"/>
        <v>0</v>
      </c>
      <c r="BG268" s="164">
        <f t="shared" si="178"/>
        <v>0</v>
      </c>
      <c r="BH268" s="152"/>
      <c r="BI268" s="162">
        <f t="shared" si="179"/>
        <v>-487.62144034022174</v>
      </c>
      <c r="BJ268" s="150">
        <f t="shared" si="180"/>
        <v>0</v>
      </c>
      <c r="BK268" s="163">
        <f t="shared" si="202"/>
        <v>0</v>
      </c>
      <c r="BL268" s="163">
        <f t="shared" si="181"/>
        <v>171.0719260317961</v>
      </c>
      <c r="BM268" s="163">
        <f t="shared" si="203"/>
        <v>-1.8316549441288474</v>
      </c>
      <c r="BN268" s="163">
        <f t="shared" si="182"/>
        <v>-1.2576761195155965</v>
      </c>
      <c r="BO268" s="163">
        <f t="shared" si="183"/>
        <v>-73.391620581938298</v>
      </c>
      <c r="BP268" s="164">
        <f t="shared" si="204"/>
        <v>-735.17431801760063</v>
      </c>
      <c r="BQ268" s="164">
        <f>IF($E268="","",IF(AND($D268=Input!$C$6,$C268=12),0,-BJ269+BK269+BL269-BM269-BN269-BO269+BQ269))</f>
        <v>-735.1738819388986</v>
      </c>
      <c r="BR268" s="161">
        <f t="shared" si="184"/>
        <v>0</v>
      </c>
      <c r="BT268" s="147">
        <f t="shared" si="185"/>
        <v>7.1085401294169515E-2</v>
      </c>
      <c r="BU268" s="164">
        <f>IF(AND($C267=12,$D267=Input!$C$6),0,IF($E268="","",BK268+(BL268+BU269)/(1+$AK268)*MIN((1-T268-U268),1)))</f>
        <v>22445.91291941157</v>
      </c>
      <c r="BV268" s="164">
        <f t="shared" si="186"/>
        <v>1595.5767272903554</v>
      </c>
      <c r="BW268" s="164">
        <f t="shared" si="187"/>
        <v>-735.1738819388986</v>
      </c>
      <c r="BX268" s="164">
        <f t="shared" si="188"/>
        <v>-52.260130418619006</v>
      </c>
    </row>
    <row r="269" spans="1:76" s="150" customFormat="1" x14ac:dyDescent="0.25">
      <c r="A269" s="150">
        <f t="shared" si="199"/>
        <v>265</v>
      </c>
      <c r="B269" s="150">
        <f t="shared" si="200"/>
        <v>23</v>
      </c>
      <c r="C269" s="150">
        <f t="shared" si="201"/>
        <v>1</v>
      </c>
      <c r="D269" s="150">
        <f>IF(E269="","",Input!$C$4+B269-1)</f>
        <v>67</v>
      </c>
      <c r="E269" s="150">
        <f>IF(OR(AND(C268=12,D268=Input!$C$6),E268=""),"",1)</f>
        <v>1</v>
      </c>
      <c r="F269" s="150">
        <f>IF(E269="","",Input!$C$8+B269-1)</f>
        <v>2040</v>
      </c>
      <c r="G269" s="151">
        <f>IF(E269="","",MAX(0,Input!$C$9-B269))</f>
        <v>0</v>
      </c>
      <c r="H269" s="152">
        <f>IF(E269="","",Input!$C$3)</f>
        <v>100000</v>
      </c>
      <c r="I269" s="153">
        <f>IF(E269="","",HLOOKUP($B269,Input!$C$13:$BT$14,2))</f>
        <v>22.956499999999998</v>
      </c>
      <c r="J269" s="154"/>
      <c r="K269" s="155">
        <f>IF($E269="","",INDEX(Input!$C$16:$CP$16,1,$B269))</f>
        <v>2.4639999999999999E-2</v>
      </c>
      <c r="L269" s="155">
        <f>IF($E269="","",Input!$C$37)</f>
        <v>1.4999999999999999E-2</v>
      </c>
      <c r="M269" s="155">
        <f t="shared" si="164"/>
        <v>3.9639999999999995E-2</v>
      </c>
      <c r="N269" s="155">
        <f t="shared" si="165"/>
        <v>3.2447946009999118E-3</v>
      </c>
      <c r="O269" s="147">
        <f>IF($E269="","",MIN(VLOOKUP(IF($B269&lt;=Input!$C$7,$B269,26),'Mortality Tables'!$A$41:$CW$67,IF($B269&lt;=Input!$C$7+1,Input!$C$4+2,$D269-Input!$C$7+2),0)*IF(B269&gt;20,Input!$C$22,1)/1000,1))</f>
        <v>2.56276E-2</v>
      </c>
      <c r="P269" s="147">
        <f>IF($E269="","",MIN(VLOOKUP(IF($B269&lt;=Input!$C$7,$B269,26),'Mortality Tables'!$A$12:$CW$37,IF($B269&lt;=Input!$C$7+1,Input!$C$4+2,$D269-Input!$C$7+2),0)*IF(B269&gt;20,Input!$C$22,1)/1000,1))</f>
        <v>3.20345E-2</v>
      </c>
      <c r="Q269" s="155">
        <f>IF($E269="","",Input!$C$21)</f>
        <v>5.0000000000000001E-3</v>
      </c>
      <c r="R269" s="159">
        <f>IF($E269="","",(1-Q269)^($F269-Input!$C$20))</f>
        <v>0.89558699073387849</v>
      </c>
      <c r="S269" s="147">
        <f t="shared" si="167"/>
        <v>2.2951745163731545E-2</v>
      </c>
      <c r="T269" s="147">
        <f t="shared" si="168"/>
        <v>1.9330656617703168E-3</v>
      </c>
      <c r="U269" s="160">
        <f>IF($E269="","",IF($C269=12,INDEX(Input!$C$15:$CP$15,1,$B269),0))</f>
        <v>0</v>
      </c>
      <c r="V269" s="150">
        <f>IF(E269="","",IF(C269=1,IF($B269=1,Input!$C$33,Input!$C$34),0))</f>
        <v>50</v>
      </c>
      <c r="W269" s="156">
        <f>IF($E269="","",Input!$C$35)</f>
        <v>0.02</v>
      </c>
      <c r="X269" s="156">
        <f t="shared" si="166"/>
        <v>1.5459796707758806</v>
      </c>
      <c r="Y269" s="154"/>
      <c r="Z269" s="147">
        <f>IF($E269="","",VLOOKUP($D269,'Mortality Margins &amp; Grading'!$AB$5:$AF$125,3,0)*IF(Summary!$D$25="Included Margin",IF(AND($B269&gt;Input!$C$9,Summary!$D$31&lt;&gt;"Included Margin"),0,1),0))</f>
        <v>3.3000000000000002E-2</v>
      </c>
      <c r="AA269" s="147">
        <f>IF($E269="","",VLOOKUP($D269,'Mortality Margins &amp; Grading'!$AB$5:$AF$125,5,0)*IF(Summary!$D$25="Included Margin",IF(AND($B269&gt;Input!$C$9,Summary!$D$31&lt;&gt;"Included Margin"),0,1),0))</f>
        <v>0.16900000000000001</v>
      </c>
      <c r="AB269" s="147">
        <f>IF($E269="","",IF(AND($B269&gt;Input!$C$9,Summary!$D$31&lt;&gt;"Included Margin"),1,IF(Summary!$D$25="Included Margin",VLOOKUP($B269,'Mortality Margins &amp; Grading'!$AI$5:$AR$125,MATCH('Mortality Margins &amp; Grading'!$AQ$4,'Mortality Margins &amp; Grading'!$AI$4:$AR$4,0),0),1)))</f>
        <v>1</v>
      </c>
      <c r="AC269" s="154"/>
      <c r="AD269" s="158">
        <f>IF(E269="","",Input!$C$48*IF(Summary!$D$30="Included Margin",IF(AND($B269&gt;Input!$C$9,Summary!$D$31&lt;&gt;"Included Margin"),0,1),0))</f>
        <v>-4.4999999999999997E-3</v>
      </c>
      <c r="AE269" s="159">
        <f>IF(E269="","",IF(Summary!$D$26="Included Margin",IF(AND($B269&gt;Input!$C$9,Summary!$D$31&lt;&gt;"Included Margin"),1,1/$R269),1))</f>
        <v>1.1165861165318642</v>
      </c>
      <c r="AF269" s="160">
        <f>IF(E269="","",IF(AND($B269&gt;=Input!$C$9,$C269=12,Summary!$D$31="Included Margin",$U269&gt;0),1/U269-1,IF($B269&gt;=Input!$C$9,0,Input!$C$45*IF(Summary!$D$27="Included Margin",1,0))))</f>
        <v>0</v>
      </c>
      <c r="AG269" s="160">
        <f>IF(E269="","",Input!$C$46*IF(Summary!$D$28="Included Margin",IF(AND($B269&gt;Input!$C$9,Summary!$D$31&lt;&gt;"Included Margin"),0,1),0))</f>
        <v>0.02</v>
      </c>
      <c r="AH269" s="158">
        <f>IF(E269="","",Input!$C$47*IF(Summary!$D$29="Included Margin",IF(AND($B269&gt;Input!$C$9,Summary!$D$31&lt;&gt;"Included Margin"),0,1),0))</f>
        <v>2.5000000000000001E-3</v>
      </c>
      <c r="AI269" s="154"/>
      <c r="AJ269" s="158">
        <f t="shared" si="189"/>
        <v>3.5139999999999998E-2</v>
      </c>
      <c r="AK269" s="155">
        <f t="shared" si="190"/>
        <v>2.8822025211785451E-3</v>
      </c>
      <c r="AL269" s="147">
        <f t="shared" si="191"/>
        <v>2.64733108E-2</v>
      </c>
      <c r="AM269" s="147">
        <f t="shared" si="169"/>
        <v>2.23333894828881E-3</v>
      </c>
      <c r="AN269" s="160">
        <f t="shared" si="192"/>
        <v>0</v>
      </c>
      <c r="AO269" s="161">
        <f t="shared" si="193"/>
        <v>51</v>
      </c>
      <c r="AP269" s="156">
        <f t="shared" si="170"/>
        <v>1.6315221224983736</v>
      </c>
      <c r="AQ269" s="152"/>
      <c r="AR269" s="162">
        <f t="shared" si="171"/>
        <v>389.89634241645518</v>
      </c>
      <c r="AS269" s="150">
        <f t="shared" si="194"/>
        <v>2295.65</v>
      </c>
      <c r="AT269" s="163">
        <f t="shared" si="172"/>
        <v>83.207628247417048</v>
      </c>
      <c r="AU269" s="163">
        <f t="shared" si="173"/>
        <v>223.333894828881</v>
      </c>
      <c r="AV269" s="163">
        <f t="shared" si="195"/>
        <v>7.1786204455683231</v>
      </c>
      <c r="AW269" s="163">
        <f t="shared" si="174"/>
        <v>5.3410859033721145</v>
      </c>
      <c r="AX269" s="163">
        <f t="shared" si="175"/>
        <v>0</v>
      </c>
      <c r="AY269" s="164">
        <f t="shared" si="196"/>
        <v>2391.5245256890976</v>
      </c>
      <c r="AZ269" s="164">
        <f>IF($E269="","",IF(OR(AND($D269=Input!$C$6,$C269=12),$AN269=1),0,-AS270+AT270+AU270-AV270-AW270-AX270+AZ270))</f>
        <v>2391.5249888354242</v>
      </c>
      <c r="BA269" s="154">
        <f t="shared" si="176"/>
        <v>4.6314632663779776E-4</v>
      </c>
      <c r="BC269" s="147">
        <f t="shared" si="197"/>
        <v>7.0947988545874599E-2</v>
      </c>
      <c r="BD269" s="164">
        <f>IF(AND($C268=12,$D268=Input!$C$6),0,IF($E269="","",AT269+(AU269+BD270)/(1+$AK269)*MIN((1-AM269-AN269),1)))</f>
        <v>2459.6860282470079</v>
      </c>
      <c r="BE269" s="164">
        <f t="shared" si="177"/>
        <v>174.5097761585165</v>
      </c>
      <c r="BF269" s="164">
        <f t="shared" si="198"/>
        <v>2391.5249888354242</v>
      </c>
      <c r="BG269" s="164">
        <f t="shared" si="178"/>
        <v>169.67388751506854</v>
      </c>
      <c r="BH269" s="152"/>
      <c r="BI269" s="162">
        <f t="shared" si="179"/>
        <v>-735.17438993105759</v>
      </c>
      <c r="BJ269" s="150">
        <f t="shared" si="180"/>
        <v>2295.65</v>
      </c>
      <c r="BK269" s="163">
        <f t="shared" si="202"/>
        <v>77.298983538794033</v>
      </c>
      <c r="BL269" s="163">
        <f t="shared" si="181"/>
        <v>193.30656617703167</v>
      </c>
      <c r="BM269" s="163">
        <f t="shared" si="203"/>
        <v>4.4989834589597555</v>
      </c>
      <c r="BN269" s="163">
        <f t="shared" si="182"/>
        <v>2.5069474282231647</v>
      </c>
      <c r="BO269" s="163">
        <f t="shared" si="183"/>
        <v>0</v>
      </c>
      <c r="BP269" s="164">
        <f t="shared" si="204"/>
        <v>1296.8759912402995</v>
      </c>
      <c r="BQ269" s="164">
        <f>IF($E269="","",IF(AND($D269=Input!$C$6,$C269=12),0,-BJ270+BK270+BL270-BM270-BN270-BO270+BQ270))</f>
        <v>1296.8764992324589</v>
      </c>
      <c r="BR269" s="161">
        <f t="shared" si="184"/>
        <v>0</v>
      </c>
      <c r="BT269" s="147">
        <f t="shared" si="185"/>
        <v>7.0947988545874599E-2</v>
      </c>
      <c r="BU269" s="164">
        <f>IF(AND($C268=12,$D268=Input!$C$6),0,IF($E269="","",BK269+(BL269+BU270)/(1+$AK269)*MIN((1-T269-U269),1)))</f>
        <v>24887.115148323708</v>
      </c>
      <c r="BV269" s="164">
        <f t="shared" si="186"/>
        <v>1765.6907604831326</v>
      </c>
      <c r="BW269" s="164">
        <f t="shared" si="187"/>
        <v>1296.8764992324589</v>
      </c>
      <c r="BX269" s="164">
        <f t="shared" si="188"/>
        <v>92.010779012958437</v>
      </c>
    </row>
    <row r="270" spans="1:76" s="150" customFormat="1" x14ac:dyDescent="0.25">
      <c r="A270" s="150">
        <f t="shared" si="199"/>
        <v>266</v>
      </c>
      <c r="B270" s="150">
        <f t="shared" si="200"/>
        <v>23</v>
      </c>
      <c r="C270" s="150">
        <f t="shared" si="201"/>
        <v>2</v>
      </c>
      <c r="D270" s="150">
        <f>IF(E270="","",Input!$C$4+B270-1)</f>
        <v>67</v>
      </c>
      <c r="E270" s="150">
        <f>IF(OR(AND(C269=12,D269=Input!$C$6),E269=""),"",1)</f>
        <v>1</v>
      </c>
      <c r="F270" s="150">
        <f>IF(E270="","",Input!$C$8+B270-1)</f>
        <v>2040</v>
      </c>
      <c r="G270" s="151">
        <f>IF(E270="","",MAX(0,Input!$C$9-B270))</f>
        <v>0</v>
      </c>
      <c r="H270" s="152">
        <f>IF(E270="","",Input!$C$3)</f>
        <v>100000</v>
      </c>
      <c r="I270" s="153">
        <f>IF(E270="","",HLOOKUP($B270,Input!$C$13:$BT$14,2))</f>
        <v>22.956499999999998</v>
      </c>
      <c r="J270" s="154"/>
      <c r="K270" s="155">
        <f>IF($E270="","",INDEX(Input!$C$16:$CP$16,1,$B270))</f>
        <v>2.4639999999999999E-2</v>
      </c>
      <c r="L270" s="155">
        <f>IF($E270="","",Input!$C$37)</f>
        <v>1.4999999999999999E-2</v>
      </c>
      <c r="M270" s="155">
        <f t="shared" si="164"/>
        <v>3.9639999999999995E-2</v>
      </c>
      <c r="N270" s="155">
        <f t="shared" si="165"/>
        <v>3.2447946009999118E-3</v>
      </c>
      <c r="O270" s="147">
        <f>IF($E270="","",MIN(VLOOKUP(IF($B270&lt;=Input!$C$7,$B270,26),'Mortality Tables'!$A$41:$CW$67,IF($B270&lt;=Input!$C$7+1,Input!$C$4+2,$D270-Input!$C$7+2),0)*IF(B270&gt;20,Input!$C$22,1)/1000,1))</f>
        <v>2.56276E-2</v>
      </c>
      <c r="P270" s="147">
        <f>IF($E270="","",MIN(VLOOKUP(IF($B270&lt;=Input!$C$7,$B270,26),'Mortality Tables'!$A$12:$CW$37,IF($B270&lt;=Input!$C$7+1,Input!$C$4+2,$D270-Input!$C$7+2),0)*IF(B270&gt;20,Input!$C$22,1)/1000,1))</f>
        <v>3.20345E-2</v>
      </c>
      <c r="Q270" s="155">
        <f>IF($E270="","",Input!$C$21)</f>
        <v>5.0000000000000001E-3</v>
      </c>
      <c r="R270" s="159">
        <f>IF($E270="","",(1-Q270)^($F270-Input!$C$20))</f>
        <v>0.89558699073387849</v>
      </c>
      <c r="S270" s="147">
        <f t="shared" si="167"/>
        <v>2.2951745163731545E-2</v>
      </c>
      <c r="T270" s="147">
        <f t="shared" si="168"/>
        <v>1.9330656617703168E-3</v>
      </c>
      <c r="U270" s="160">
        <f>IF($E270="","",IF($C270=12,INDEX(Input!$C$15:$CP$15,1,$B270),0))</f>
        <v>0</v>
      </c>
      <c r="V270" s="150">
        <f>IF(E270="","",IF(C270=1,IF($B270=1,Input!$C$33,Input!$C$34),0))</f>
        <v>0</v>
      </c>
      <c r="W270" s="156">
        <f>IF($E270="","",Input!$C$35)</f>
        <v>0.02</v>
      </c>
      <c r="X270" s="156">
        <f t="shared" si="166"/>
        <v>1.5459796707758806</v>
      </c>
      <c r="Y270" s="154"/>
      <c r="Z270" s="147">
        <f>IF($E270="","",VLOOKUP($D270,'Mortality Margins &amp; Grading'!$AB$5:$AF$125,3,0)*IF(Summary!$D$25="Included Margin",IF(AND($B270&gt;Input!$C$9,Summary!$D$31&lt;&gt;"Included Margin"),0,1),0))</f>
        <v>3.3000000000000002E-2</v>
      </c>
      <c r="AA270" s="147">
        <f>IF($E270="","",VLOOKUP($D270,'Mortality Margins &amp; Grading'!$AB$5:$AF$125,5,0)*IF(Summary!$D$25="Included Margin",IF(AND($B270&gt;Input!$C$9,Summary!$D$31&lt;&gt;"Included Margin"),0,1),0))</f>
        <v>0.16900000000000001</v>
      </c>
      <c r="AB270" s="147">
        <f>IF($E270="","",IF(AND($B270&gt;Input!$C$9,Summary!$D$31&lt;&gt;"Included Margin"),1,IF(Summary!$D$25="Included Margin",VLOOKUP($B270,'Mortality Margins &amp; Grading'!$AI$5:$AR$125,MATCH('Mortality Margins &amp; Grading'!$AQ$4,'Mortality Margins &amp; Grading'!$AI$4:$AR$4,0),0),1)))</f>
        <v>1</v>
      </c>
      <c r="AC270" s="154"/>
      <c r="AD270" s="158">
        <f>IF(E270="","",Input!$C$48*IF(Summary!$D$30="Included Margin",IF(AND($B270&gt;Input!$C$9,Summary!$D$31&lt;&gt;"Included Margin"),0,1),0))</f>
        <v>-4.4999999999999997E-3</v>
      </c>
      <c r="AE270" s="159">
        <f>IF(E270="","",IF(Summary!$D$26="Included Margin",IF(AND($B270&gt;Input!$C$9,Summary!$D$31&lt;&gt;"Included Margin"),1,1/$R270),1))</f>
        <v>1.1165861165318642</v>
      </c>
      <c r="AF270" s="160">
        <f>IF(E270="","",IF(AND($B270&gt;=Input!$C$9,$C270=12,Summary!$D$31="Included Margin",$U270&gt;0),1/U270-1,IF($B270&gt;=Input!$C$9,0,Input!$C$45*IF(Summary!$D$27="Included Margin",1,0))))</f>
        <v>0</v>
      </c>
      <c r="AG270" s="160">
        <f>IF(E270="","",Input!$C$46*IF(Summary!$D$28="Included Margin",IF(AND($B270&gt;Input!$C$9,Summary!$D$31&lt;&gt;"Included Margin"),0,1),0))</f>
        <v>0.02</v>
      </c>
      <c r="AH270" s="158">
        <f>IF(E270="","",Input!$C$47*IF(Summary!$D$29="Included Margin",IF(AND($B270&gt;Input!$C$9,Summary!$D$31&lt;&gt;"Included Margin"),0,1),0))</f>
        <v>2.5000000000000001E-3</v>
      </c>
      <c r="AI270" s="154"/>
      <c r="AJ270" s="158">
        <f t="shared" si="189"/>
        <v>3.5139999999999998E-2</v>
      </c>
      <c r="AK270" s="155">
        <f t="shared" si="190"/>
        <v>2.8822025211785451E-3</v>
      </c>
      <c r="AL270" s="147">
        <f t="shared" si="191"/>
        <v>2.64733108E-2</v>
      </c>
      <c r="AM270" s="147">
        <f t="shared" si="169"/>
        <v>2.23333894828881E-3</v>
      </c>
      <c r="AN270" s="160">
        <f t="shared" si="192"/>
        <v>0</v>
      </c>
      <c r="AO270" s="161">
        <f t="shared" si="193"/>
        <v>0</v>
      </c>
      <c r="AP270" s="156">
        <f t="shared" si="170"/>
        <v>1.6315221224983736</v>
      </c>
      <c r="AQ270" s="152"/>
      <c r="AR270" s="162">
        <f t="shared" si="171"/>
        <v>2391.5245256890976</v>
      </c>
      <c r="AS270" s="150">
        <f t="shared" si="194"/>
        <v>0</v>
      </c>
      <c r="AT270" s="163">
        <f t="shared" si="172"/>
        <v>0</v>
      </c>
      <c r="AU270" s="163">
        <f t="shared" si="173"/>
        <v>223.333894828881</v>
      </c>
      <c r="AV270" s="163">
        <f t="shared" si="195"/>
        <v>6.5710112600312289</v>
      </c>
      <c r="AW270" s="163">
        <f t="shared" si="174"/>
        <v>4.8678524774869052</v>
      </c>
      <c r="AX270" s="163">
        <f t="shared" si="175"/>
        <v>0</v>
      </c>
      <c r="AY270" s="165">
        <f t="shared" si="196"/>
        <v>2179.6294945977347</v>
      </c>
      <c r="AZ270" s="164">
        <f>IF($E270="","",IF(OR(AND($D270=Input!$C$6,$C270=12),$AN270=1),0,-AS271+AT271+AU271-AV271-AW271-AX271+AZ271))</f>
        <v>2179.6299577440614</v>
      </c>
      <c r="BA270" s="154">
        <f t="shared" si="176"/>
        <v>4.6314632663779776E-4</v>
      </c>
      <c r="BC270" s="147">
        <f t="shared" si="197"/>
        <v>7.0810841425444901E-2</v>
      </c>
      <c r="BD270" s="164">
        <f>IF(AND($C269=12,$D269=Input!$C$6),0,IF($E270="","",AT270+(AU270+BD271)/(1+$AK270)*MIN((1-AM270-AN270),1)))</f>
        <v>2165.3286903926105</v>
      </c>
      <c r="BE270" s="164">
        <f t="shared" si="177"/>
        <v>153.32874652935743</v>
      </c>
      <c r="BF270" s="164">
        <f t="shared" si="198"/>
        <v>2179.6299577440614</v>
      </c>
      <c r="BG270" s="164">
        <f t="shared" si="178"/>
        <v>154.3414313039639</v>
      </c>
      <c r="BH270" s="152"/>
      <c r="BI270" s="162">
        <f t="shared" si="179"/>
        <v>1296.8759912402998</v>
      </c>
      <c r="BJ270" s="150">
        <f t="shared" si="180"/>
        <v>0</v>
      </c>
      <c r="BK270" s="163">
        <f t="shared" si="202"/>
        <v>0</v>
      </c>
      <c r="BL270" s="163">
        <f t="shared" si="181"/>
        <v>193.30656617703167</v>
      </c>
      <c r="BM270" s="163">
        <f t="shared" si="203"/>
        <v>3.8944761634084015</v>
      </c>
      <c r="BN270" s="163">
        <f t="shared" si="182"/>
        <v>2.1449477459276256</v>
      </c>
      <c r="BO270" s="163">
        <f t="shared" si="183"/>
        <v>0</v>
      </c>
      <c r="BP270" s="164">
        <f t="shared" si="204"/>
        <v>1109.6088489726039</v>
      </c>
      <c r="BQ270" s="164">
        <f>IF($E270="","",IF(AND($D270=Input!$C$6,$C270=12),0,-BJ271+BK271+BL271-BM271-BN271-BO271+BQ271))</f>
        <v>1109.6093569647633</v>
      </c>
      <c r="BR270" s="161">
        <f t="shared" si="184"/>
        <v>0</v>
      </c>
      <c r="BT270" s="147">
        <f t="shared" si="185"/>
        <v>7.0810841425444901E-2</v>
      </c>
      <c r="BU270" s="164">
        <f>IF(AND($C269=12,$D269=Input!$C$6),0,IF($E270="","",BK270+(BL270+BU271)/(1+$AK270)*MIN((1-T270-U270),1)))</f>
        <v>24736.206899753633</v>
      </c>
      <c r="BV270" s="164">
        <f t="shared" si="186"/>
        <v>1751.5916242454505</v>
      </c>
      <c r="BW270" s="164">
        <f t="shared" si="187"/>
        <v>1109.6093569647633</v>
      </c>
      <c r="BX270" s="164">
        <f t="shared" si="188"/>
        <v>78.572372220221737</v>
      </c>
    </row>
    <row r="271" spans="1:76" s="150" customFormat="1" x14ac:dyDescent="0.25">
      <c r="A271" s="150">
        <f t="shared" si="199"/>
        <v>267</v>
      </c>
      <c r="B271" s="150">
        <f t="shared" si="200"/>
        <v>23</v>
      </c>
      <c r="C271" s="150">
        <f t="shared" si="201"/>
        <v>3</v>
      </c>
      <c r="D271" s="150">
        <f>IF(E271="","",Input!$C$4+B271-1)</f>
        <v>67</v>
      </c>
      <c r="E271" s="150">
        <f>IF(OR(AND(C270=12,D270=Input!$C$6),E270=""),"",1)</f>
        <v>1</v>
      </c>
      <c r="F271" s="150">
        <f>IF(E271="","",Input!$C$8+B271-1)</f>
        <v>2040</v>
      </c>
      <c r="G271" s="151">
        <f>IF(E271="","",MAX(0,Input!$C$9-B271))</f>
        <v>0</v>
      </c>
      <c r="H271" s="152">
        <f>IF(E271="","",Input!$C$3)</f>
        <v>100000</v>
      </c>
      <c r="I271" s="153">
        <f>IF(E271="","",HLOOKUP($B271,Input!$C$13:$BT$14,2))</f>
        <v>22.956499999999998</v>
      </c>
      <c r="J271" s="154"/>
      <c r="K271" s="155">
        <f>IF($E271="","",INDEX(Input!$C$16:$CP$16,1,$B271))</f>
        <v>2.4639999999999999E-2</v>
      </c>
      <c r="L271" s="155">
        <f>IF($E271="","",Input!$C$37)</f>
        <v>1.4999999999999999E-2</v>
      </c>
      <c r="M271" s="155">
        <f t="shared" si="164"/>
        <v>3.9639999999999995E-2</v>
      </c>
      <c r="N271" s="155">
        <f t="shared" si="165"/>
        <v>3.2447946009999118E-3</v>
      </c>
      <c r="O271" s="147">
        <f>IF($E271="","",MIN(VLOOKUP(IF($B271&lt;=Input!$C$7,$B271,26),'Mortality Tables'!$A$41:$CW$67,IF($B271&lt;=Input!$C$7+1,Input!$C$4+2,$D271-Input!$C$7+2),0)*IF(B271&gt;20,Input!$C$22,1)/1000,1))</f>
        <v>2.56276E-2</v>
      </c>
      <c r="P271" s="147">
        <f>IF($E271="","",MIN(VLOOKUP(IF($B271&lt;=Input!$C$7,$B271,26),'Mortality Tables'!$A$12:$CW$37,IF($B271&lt;=Input!$C$7+1,Input!$C$4+2,$D271-Input!$C$7+2),0)*IF(B271&gt;20,Input!$C$22,1)/1000,1))</f>
        <v>3.20345E-2</v>
      </c>
      <c r="Q271" s="155">
        <f>IF($E271="","",Input!$C$21)</f>
        <v>5.0000000000000001E-3</v>
      </c>
      <c r="R271" s="159">
        <f>IF($E271="","",(1-Q271)^($F271-Input!$C$20))</f>
        <v>0.89558699073387849</v>
      </c>
      <c r="S271" s="147">
        <f t="shared" si="167"/>
        <v>2.2951745163731545E-2</v>
      </c>
      <c r="T271" s="147">
        <f t="shared" si="168"/>
        <v>1.9330656617703168E-3</v>
      </c>
      <c r="U271" s="160">
        <f>IF($E271="","",IF($C271=12,INDEX(Input!$C$15:$CP$15,1,$B271),0))</f>
        <v>0</v>
      </c>
      <c r="V271" s="150">
        <f>IF(E271="","",IF(C271=1,IF($B271=1,Input!$C$33,Input!$C$34),0))</f>
        <v>0</v>
      </c>
      <c r="W271" s="156">
        <f>IF($E271="","",Input!$C$35)</f>
        <v>0.02</v>
      </c>
      <c r="X271" s="156">
        <f t="shared" si="166"/>
        <v>1.5459796707758806</v>
      </c>
      <c r="Y271" s="154"/>
      <c r="Z271" s="147">
        <f>IF($E271="","",VLOOKUP($D271,'Mortality Margins &amp; Grading'!$AB$5:$AF$125,3,0)*IF(Summary!$D$25="Included Margin",IF(AND($B271&gt;Input!$C$9,Summary!$D$31&lt;&gt;"Included Margin"),0,1),0))</f>
        <v>3.3000000000000002E-2</v>
      </c>
      <c r="AA271" s="147">
        <f>IF($E271="","",VLOOKUP($D271,'Mortality Margins &amp; Grading'!$AB$5:$AF$125,5,0)*IF(Summary!$D$25="Included Margin",IF(AND($B271&gt;Input!$C$9,Summary!$D$31&lt;&gt;"Included Margin"),0,1),0))</f>
        <v>0.16900000000000001</v>
      </c>
      <c r="AB271" s="147">
        <f>IF($E271="","",IF(AND($B271&gt;Input!$C$9,Summary!$D$31&lt;&gt;"Included Margin"),1,IF(Summary!$D$25="Included Margin",VLOOKUP($B271,'Mortality Margins &amp; Grading'!$AI$5:$AR$125,MATCH('Mortality Margins &amp; Grading'!$AQ$4,'Mortality Margins &amp; Grading'!$AI$4:$AR$4,0),0),1)))</f>
        <v>1</v>
      </c>
      <c r="AC271" s="154"/>
      <c r="AD271" s="158">
        <f>IF(E271="","",Input!$C$48*IF(Summary!$D$30="Included Margin",IF(AND($B271&gt;Input!$C$9,Summary!$D$31&lt;&gt;"Included Margin"),0,1),0))</f>
        <v>-4.4999999999999997E-3</v>
      </c>
      <c r="AE271" s="159">
        <f>IF(E271="","",IF(Summary!$D$26="Included Margin",IF(AND($B271&gt;Input!$C$9,Summary!$D$31&lt;&gt;"Included Margin"),1,1/$R271),1))</f>
        <v>1.1165861165318642</v>
      </c>
      <c r="AF271" s="160">
        <f>IF(E271="","",IF(AND($B271&gt;=Input!$C$9,$C271=12,Summary!$D$31="Included Margin",$U271&gt;0),1/U271-1,IF($B271&gt;=Input!$C$9,0,Input!$C$45*IF(Summary!$D$27="Included Margin",1,0))))</f>
        <v>0</v>
      </c>
      <c r="AG271" s="160">
        <f>IF(E271="","",Input!$C$46*IF(Summary!$D$28="Included Margin",IF(AND($B271&gt;Input!$C$9,Summary!$D$31&lt;&gt;"Included Margin"),0,1),0))</f>
        <v>0.02</v>
      </c>
      <c r="AH271" s="158">
        <f>IF(E271="","",Input!$C$47*IF(Summary!$D$29="Included Margin",IF(AND($B271&gt;Input!$C$9,Summary!$D$31&lt;&gt;"Included Margin"),0,1),0))</f>
        <v>2.5000000000000001E-3</v>
      </c>
      <c r="AI271" s="154"/>
      <c r="AJ271" s="158">
        <f t="shared" si="189"/>
        <v>3.5139999999999998E-2</v>
      </c>
      <c r="AK271" s="155">
        <f t="shared" si="190"/>
        <v>2.8822025211785451E-3</v>
      </c>
      <c r="AL271" s="147">
        <f t="shared" si="191"/>
        <v>2.64733108E-2</v>
      </c>
      <c r="AM271" s="147">
        <f t="shared" si="169"/>
        <v>2.23333894828881E-3</v>
      </c>
      <c r="AN271" s="160">
        <f t="shared" si="192"/>
        <v>0</v>
      </c>
      <c r="AO271" s="161">
        <f t="shared" si="193"/>
        <v>0</v>
      </c>
      <c r="AP271" s="156">
        <f t="shared" si="170"/>
        <v>1.6315221224983736</v>
      </c>
      <c r="AQ271" s="152"/>
      <c r="AR271" s="162">
        <f t="shared" si="171"/>
        <v>2179.6294945977343</v>
      </c>
      <c r="AS271" s="150">
        <f t="shared" si="194"/>
        <v>0</v>
      </c>
      <c r="AT271" s="163">
        <f t="shared" si="172"/>
        <v>0</v>
      </c>
      <c r="AU271" s="163">
        <f t="shared" si="173"/>
        <v>223.333894828881</v>
      </c>
      <c r="AV271" s="163">
        <f t="shared" si="195"/>
        <v>5.9602868671944957</v>
      </c>
      <c r="AW271" s="163">
        <f t="shared" si="174"/>
        <v>4.3921927877172102</v>
      </c>
      <c r="AX271" s="163">
        <f t="shared" si="175"/>
        <v>0</v>
      </c>
      <c r="AY271" s="164">
        <f t="shared" si="196"/>
        <v>1966.648079423765</v>
      </c>
      <c r="AZ271" s="164">
        <f>IF($E271="","",IF(OR(AND($D271=Input!$C$6,$C271=12),$AN271=1),0,-AS272+AT272+AU272-AV272-AW272-AX272+AZ272))</f>
        <v>1966.6485425700919</v>
      </c>
      <c r="BA271" s="154">
        <f t="shared" si="176"/>
        <v>4.6314632686517143E-4</v>
      </c>
      <c r="BC271" s="147">
        <f t="shared" si="197"/>
        <v>7.0673959419404311E-2</v>
      </c>
      <c r="BD271" s="164">
        <f>IF(AND($C270=12,$D270=Input!$C$6),0,IF($E271="","",AT271+(AU271+BD272)/(1+$AK271)*MIN((1-AM271-AN271),1)))</f>
        <v>1953.0964179601474</v>
      </c>
      <c r="BE271" s="164">
        <f t="shared" si="177"/>
        <v>138.03305698509939</v>
      </c>
      <c r="BF271" s="164">
        <f t="shared" si="198"/>
        <v>1966.6485425700919</v>
      </c>
      <c r="BG271" s="164">
        <f t="shared" si="178"/>
        <v>138.9908392898293</v>
      </c>
      <c r="BH271" s="152"/>
      <c r="BI271" s="162">
        <f t="shared" si="179"/>
        <v>1109.6088489726042</v>
      </c>
      <c r="BJ271" s="150">
        <f t="shared" si="180"/>
        <v>0</v>
      </c>
      <c r="BK271" s="163">
        <f t="shared" si="202"/>
        <v>0</v>
      </c>
      <c r="BL271" s="163">
        <f t="shared" si="181"/>
        <v>193.30656617703167</v>
      </c>
      <c r="BM271" s="163">
        <f t="shared" si="203"/>
        <v>3.2868327512335003</v>
      </c>
      <c r="BN271" s="163">
        <f t="shared" si="182"/>
        <v>1.7810700495374345</v>
      </c>
      <c r="BO271" s="163">
        <f t="shared" si="183"/>
        <v>0</v>
      </c>
      <c r="BP271" s="164">
        <f t="shared" si="204"/>
        <v>921.3701855963435</v>
      </c>
      <c r="BQ271" s="164">
        <f>IF($E271="","",IF(AND($D271=Input!$C$6,$C271=12),0,-BJ272+BK272+BL272-BM272-BN272-BO272+BQ272))</f>
        <v>921.3706935885026</v>
      </c>
      <c r="BR271" s="161">
        <f t="shared" si="184"/>
        <v>0</v>
      </c>
      <c r="BT271" s="147">
        <f t="shared" si="185"/>
        <v>7.0673959419404311E-2</v>
      </c>
      <c r="BU271" s="164">
        <f>IF(AND($C270=12,$D270=Input!$C$6),0,IF($E271="","",BK271+(BL271+BU272)/(1+$AK271)*MIN((1-T271-U271),1)))</f>
        <v>24662.242499871492</v>
      </c>
      <c r="BV271" s="164">
        <f t="shared" si="186"/>
        <v>1742.9783256274261</v>
      </c>
      <c r="BW271" s="164">
        <f t="shared" si="187"/>
        <v>921.3706935885026</v>
      </c>
      <c r="BX271" s="164">
        <f t="shared" si="188"/>
        <v>65.116915008902239</v>
      </c>
    </row>
    <row r="272" spans="1:76" s="150" customFormat="1" x14ac:dyDescent="0.25">
      <c r="A272" s="150">
        <f t="shared" si="199"/>
        <v>268</v>
      </c>
      <c r="B272" s="150">
        <f t="shared" si="200"/>
        <v>23</v>
      </c>
      <c r="C272" s="150">
        <f t="shared" si="201"/>
        <v>4</v>
      </c>
      <c r="D272" s="150">
        <f>IF(E272="","",Input!$C$4+B272-1)</f>
        <v>67</v>
      </c>
      <c r="E272" s="150">
        <f>IF(OR(AND(C271=12,D271=Input!$C$6),E271=""),"",1)</f>
        <v>1</v>
      </c>
      <c r="F272" s="150">
        <f>IF(E272="","",Input!$C$8+B272-1)</f>
        <v>2040</v>
      </c>
      <c r="G272" s="151">
        <f>IF(E272="","",MAX(0,Input!$C$9-B272))</f>
        <v>0</v>
      </c>
      <c r="H272" s="152">
        <f>IF(E272="","",Input!$C$3)</f>
        <v>100000</v>
      </c>
      <c r="I272" s="153">
        <f>IF(E272="","",HLOOKUP($B272,Input!$C$13:$BT$14,2))</f>
        <v>22.956499999999998</v>
      </c>
      <c r="J272" s="154"/>
      <c r="K272" s="155">
        <f>IF($E272="","",INDEX(Input!$C$16:$CP$16,1,$B272))</f>
        <v>2.4639999999999999E-2</v>
      </c>
      <c r="L272" s="155">
        <f>IF($E272="","",Input!$C$37)</f>
        <v>1.4999999999999999E-2</v>
      </c>
      <c r="M272" s="155">
        <f t="shared" si="164"/>
        <v>3.9639999999999995E-2</v>
      </c>
      <c r="N272" s="155">
        <f t="shared" si="165"/>
        <v>3.2447946009999118E-3</v>
      </c>
      <c r="O272" s="147">
        <f>IF($E272="","",MIN(VLOOKUP(IF($B272&lt;=Input!$C$7,$B272,26),'Mortality Tables'!$A$41:$CW$67,IF($B272&lt;=Input!$C$7+1,Input!$C$4+2,$D272-Input!$C$7+2),0)*IF(B272&gt;20,Input!$C$22,1)/1000,1))</f>
        <v>2.56276E-2</v>
      </c>
      <c r="P272" s="147">
        <f>IF($E272="","",MIN(VLOOKUP(IF($B272&lt;=Input!$C$7,$B272,26),'Mortality Tables'!$A$12:$CW$37,IF($B272&lt;=Input!$C$7+1,Input!$C$4+2,$D272-Input!$C$7+2),0)*IF(B272&gt;20,Input!$C$22,1)/1000,1))</f>
        <v>3.20345E-2</v>
      </c>
      <c r="Q272" s="155">
        <f>IF($E272="","",Input!$C$21)</f>
        <v>5.0000000000000001E-3</v>
      </c>
      <c r="R272" s="159">
        <f>IF($E272="","",(1-Q272)^($F272-Input!$C$20))</f>
        <v>0.89558699073387849</v>
      </c>
      <c r="S272" s="147">
        <f t="shared" si="167"/>
        <v>2.2951745163731545E-2</v>
      </c>
      <c r="T272" s="147">
        <f t="shared" si="168"/>
        <v>1.9330656617703168E-3</v>
      </c>
      <c r="U272" s="160">
        <f>IF($E272="","",IF($C272=12,INDEX(Input!$C$15:$CP$15,1,$B272),0))</f>
        <v>0</v>
      </c>
      <c r="V272" s="150">
        <f>IF(E272="","",IF(C272=1,IF($B272=1,Input!$C$33,Input!$C$34),0))</f>
        <v>0</v>
      </c>
      <c r="W272" s="156">
        <f>IF($E272="","",Input!$C$35)</f>
        <v>0.02</v>
      </c>
      <c r="X272" s="156">
        <f t="shared" si="166"/>
        <v>1.5459796707758806</v>
      </c>
      <c r="Y272" s="154"/>
      <c r="Z272" s="147">
        <f>IF($E272="","",VLOOKUP($D272,'Mortality Margins &amp; Grading'!$AB$5:$AF$125,3,0)*IF(Summary!$D$25="Included Margin",IF(AND($B272&gt;Input!$C$9,Summary!$D$31&lt;&gt;"Included Margin"),0,1),0))</f>
        <v>3.3000000000000002E-2</v>
      </c>
      <c r="AA272" s="147">
        <f>IF($E272="","",VLOOKUP($D272,'Mortality Margins &amp; Grading'!$AB$5:$AF$125,5,0)*IF(Summary!$D$25="Included Margin",IF(AND($B272&gt;Input!$C$9,Summary!$D$31&lt;&gt;"Included Margin"),0,1),0))</f>
        <v>0.16900000000000001</v>
      </c>
      <c r="AB272" s="147">
        <f>IF($E272="","",IF(AND($B272&gt;Input!$C$9,Summary!$D$31&lt;&gt;"Included Margin"),1,IF(Summary!$D$25="Included Margin",VLOOKUP($B272,'Mortality Margins &amp; Grading'!$AI$5:$AR$125,MATCH('Mortality Margins &amp; Grading'!$AQ$4,'Mortality Margins &amp; Grading'!$AI$4:$AR$4,0),0),1)))</f>
        <v>1</v>
      </c>
      <c r="AC272" s="154"/>
      <c r="AD272" s="158">
        <f>IF(E272="","",Input!$C$48*IF(Summary!$D$30="Included Margin",IF(AND($B272&gt;Input!$C$9,Summary!$D$31&lt;&gt;"Included Margin"),0,1),0))</f>
        <v>-4.4999999999999997E-3</v>
      </c>
      <c r="AE272" s="159">
        <f>IF(E272="","",IF(Summary!$D$26="Included Margin",IF(AND($B272&gt;Input!$C$9,Summary!$D$31&lt;&gt;"Included Margin"),1,1/$R272),1))</f>
        <v>1.1165861165318642</v>
      </c>
      <c r="AF272" s="160">
        <f>IF(E272="","",IF(AND($B272&gt;=Input!$C$9,$C272=12,Summary!$D$31="Included Margin",$U272&gt;0),1/U272-1,IF($B272&gt;=Input!$C$9,0,Input!$C$45*IF(Summary!$D$27="Included Margin",1,0))))</f>
        <v>0</v>
      </c>
      <c r="AG272" s="160">
        <f>IF(E272="","",Input!$C$46*IF(Summary!$D$28="Included Margin",IF(AND($B272&gt;Input!$C$9,Summary!$D$31&lt;&gt;"Included Margin"),0,1),0))</f>
        <v>0.02</v>
      </c>
      <c r="AH272" s="158">
        <f>IF(E272="","",Input!$C$47*IF(Summary!$D$29="Included Margin",IF(AND($B272&gt;Input!$C$9,Summary!$D$31&lt;&gt;"Included Margin"),0,1),0))</f>
        <v>2.5000000000000001E-3</v>
      </c>
      <c r="AI272" s="154"/>
      <c r="AJ272" s="158">
        <f t="shared" si="189"/>
        <v>3.5139999999999998E-2</v>
      </c>
      <c r="AK272" s="155">
        <f t="shared" si="190"/>
        <v>2.8822025211785451E-3</v>
      </c>
      <c r="AL272" s="147">
        <f t="shared" si="191"/>
        <v>2.64733108E-2</v>
      </c>
      <c r="AM272" s="147">
        <f t="shared" si="169"/>
        <v>2.23333894828881E-3</v>
      </c>
      <c r="AN272" s="160">
        <f t="shared" si="192"/>
        <v>0</v>
      </c>
      <c r="AO272" s="161">
        <f t="shared" si="193"/>
        <v>0</v>
      </c>
      <c r="AP272" s="156">
        <f t="shared" si="170"/>
        <v>1.6315221224983736</v>
      </c>
      <c r="AQ272" s="152"/>
      <c r="AR272" s="162">
        <f t="shared" si="171"/>
        <v>1966.6480794237648</v>
      </c>
      <c r="AS272" s="150">
        <f t="shared" si="194"/>
        <v>0</v>
      </c>
      <c r="AT272" s="163">
        <f t="shared" si="172"/>
        <v>0</v>
      </c>
      <c r="AU272" s="163">
        <f t="shared" si="173"/>
        <v>223.333894828881</v>
      </c>
      <c r="AV272" s="163">
        <f t="shared" si="195"/>
        <v>5.3464312954159059</v>
      </c>
      <c r="AW272" s="163">
        <f t="shared" si="174"/>
        <v>3.9140943946280373</v>
      </c>
      <c r="AX272" s="163">
        <f t="shared" si="175"/>
        <v>0</v>
      </c>
      <c r="AY272" s="165">
        <f t="shared" si="196"/>
        <v>1752.5747102849277</v>
      </c>
      <c r="AZ272" s="164">
        <f>IF($E272="","",IF(OR(AND($D272=Input!$C$6,$C272=12),$AN272=1),0,-AS273+AT273+AU273-AV273-AW273-AX273+AZ273))</f>
        <v>1752.5751734312548</v>
      </c>
      <c r="BA272" s="154">
        <f t="shared" si="176"/>
        <v>4.6314632709254511E-4</v>
      </c>
      <c r="BC272" s="147">
        <f t="shared" si="197"/>
        <v>7.0537342015269316E-2</v>
      </c>
      <c r="BD272" s="164">
        <f>IF(AND($C271=12,$D271=Input!$C$6),0,IF($E272="","",AT272+(AU272+BD273)/(1+$AK272)*MIN((1-AM272-AN272),1)))</f>
        <v>1739.7760324114943</v>
      </c>
      <c r="BE272" s="164">
        <f t="shared" si="177"/>
        <v>122.71917702817785</v>
      </c>
      <c r="BF272" s="164">
        <f t="shared" si="198"/>
        <v>1752.5751734312548</v>
      </c>
      <c r="BG272" s="164">
        <f t="shared" si="178"/>
        <v>123.62199441579035</v>
      </c>
      <c r="BH272" s="152"/>
      <c r="BI272" s="162">
        <f t="shared" si="179"/>
        <v>921.37018559634339</v>
      </c>
      <c r="BJ272" s="150">
        <f t="shared" si="180"/>
        <v>0</v>
      </c>
      <c r="BK272" s="163">
        <f t="shared" si="202"/>
        <v>0</v>
      </c>
      <c r="BL272" s="163">
        <f t="shared" si="181"/>
        <v>193.30656617703167</v>
      </c>
      <c r="BM272" s="163">
        <f t="shared" si="203"/>
        <v>2.6760369526107692</v>
      </c>
      <c r="BN272" s="163">
        <f t="shared" si="182"/>
        <v>1.4153045961243174</v>
      </c>
      <c r="BO272" s="163">
        <f t="shared" si="183"/>
        <v>0</v>
      </c>
      <c r="BP272" s="164">
        <f t="shared" si="204"/>
        <v>732.15496096804679</v>
      </c>
      <c r="BQ272" s="164">
        <f>IF($E272="","",IF(AND($D272=Input!$C$6,$C272=12),0,-BJ273+BK273+BL273-BM273-BN273-BO273+BQ273))</f>
        <v>732.15546896020601</v>
      </c>
      <c r="BR272" s="161">
        <f t="shared" si="184"/>
        <v>0</v>
      </c>
      <c r="BT272" s="147">
        <f t="shared" si="185"/>
        <v>7.0537342015269316E-2</v>
      </c>
      <c r="BU272" s="164">
        <f>IF(AND($C271=12,$D271=Input!$C$6),0,IF($E272="","",BK272+(BL272+BU273)/(1+$AK272)*MIN((1-T272-U272),1)))</f>
        <v>24587.921251756863</v>
      </c>
      <c r="BV272" s="164">
        <f t="shared" si="186"/>
        <v>1734.3666107796828</v>
      </c>
      <c r="BW272" s="164">
        <f t="shared" si="187"/>
        <v>732.15546896020601</v>
      </c>
      <c r="BX272" s="164">
        <f t="shared" si="188"/>
        <v>51.644300722395947</v>
      </c>
    </row>
    <row r="273" spans="1:76" s="150" customFormat="1" x14ac:dyDescent="0.25">
      <c r="A273" s="150">
        <f t="shared" si="199"/>
        <v>269</v>
      </c>
      <c r="B273" s="150">
        <f t="shared" si="200"/>
        <v>23</v>
      </c>
      <c r="C273" s="150">
        <f t="shared" si="201"/>
        <v>5</v>
      </c>
      <c r="D273" s="150">
        <f>IF(E273="","",Input!$C$4+B273-1)</f>
        <v>67</v>
      </c>
      <c r="E273" s="150">
        <f>IF(OR(AND(C272=12,D272=Input!$C$6),E272=""),"",1)</f>
        <v>1</v>
      </c>
      <c r="F273" s="150">
        <f>IF(E273="","",Input!$C$8+B273-1)</f>
        <v>2040</v>
      </c>
      <c r="G273" s="151">
        <f>IF(E273="","",MAX(0,Input!$C$9-B273))</f>
        <v>0</v>
      </c>
      <c r="H273" s="152">
        <f>IF(E273="","",Input!$C$3)</f>
        <v>100000</v>
      </c>
      <c r="I273" s="153">
        <f>IF(E273="","",HLOOKUP($B273,Input!$C$13:$BT$14,2))</f>
        <v>22.956499999999998</v>
      </c>
      <c r="J273" s="154"/>
      <c r="K273" s="155">
        <f>IF($E273="","",INDEX(Input!$C$16:$CP$16,1,$B273))</f>
        <v>2.4639999999999999E-2</v>
      </c>
      <c r="L273" s="155">
        <f>IF($E273="","",Input!$C$37)</f>
        <v>1.4999999999999999E-2</v>
      </c>
      <c r="M273" s="155">
        <f t="shared" si="164"/>
        <v>3.9639999999999995E-2</v>
      </c>
      <c r="N273" s="155">
        <f t="shared" si="165"/>
        <v>3.2447946009999118E-3</v>
      </c>
      <c r="O273" s="147">
        <f>IF($E273="","",MIN(VLOOKUP(IF($B273&lt;=Input!$C$7,$B273,26),'Mortality Tables'!$A$41:$CW$67,IF($B273&lt;=Input!$C$7+1,Input!$C$4+2,$D273-Input!$C$7+2),0)*IF(B273&gt;20,Input!$C$22,1)/1000,1))</f>
        <v>2.56276E-2</v>
      </c>
      <c r="P273" s="147">
        <f>IF($E273="","",MIN(VLOOKUP(IF($B273&lt;=Input!$C$7,$B273,26),'Mortality Tables'!$A$12:$CW$37,IF($B273&lt;=Input!$C$7+1,Input!$C$4+2,$D273-Input!$C$7+2),0)*IF(B273&gt;20,Input!$C$22,1)/1000,1))</f>
        <v>3.20345E-2</v>
      </c>
      <c r="Q273" s="155">
        <f>IF($E273="","",Input!$C$21)</f>
        <v>5.0000000000000001E-3</v>
      </c>
      <c r="R273" s="159">
        <f>IF($E273="","",(1-Q273)^($F273-Input!$C$20))</f>
        <v>0.89558699073387849</v>
      </c>
      <c r="S273" s="147">
        <f t="shared" si="167"/>
        <v>2.2951745163731545E-2</v>
      </c>
      <c r="T273" s="147">
        <f t="shared" si="168"/>
        <v>1.9330656617703168E-3</v>
      </c>
      <c r="U273" s="160">
        <f>IF($E273="","",IF($C273=12,INDEX(Input!$C$15:$CP$15,1,$B273),0))</f>
        <v>0</v>
      </c>
      <c r="V273" s="150">
        <f>IF(E273="","",IF(C273=1,IF($B273=1,Input!$C$33,Input!$C$34),0))</f>
        <v>0</v>
      </c>
      <c r="W273" s="156">
        <f>IF($E273="","",Input!$C$35)</f>
        <v>0.02</v>
      </c>
      <c r="X273" s="156">
        <f t="shared" si="166"/>
        <v>1.5459796707758806</v>
      </c>
      <c r="Y273" s="154"/>
      <c r="Z273" s="147">
        <f>IF($E273="","",VLOOKUP($D273,'Mortality Margins &amp; Grading'!$AB$5:$AF$125,3,0)*IF(Summary!$D$25="Included Margin",IF(AND($B273&gt;Input!$C$9,Summary!$D$31&lt;&gt;"Included Margin"),0,1),0))</f>
        <v>3.3000000000000002E-2</v>
      </c>
      <c r="AA273" s="147">
        <f>IF($E273="","",VLOOKUP($D273,'Mortality Margins &amp; Grading'!$AB$5:$AF$125,5,0)*IF(Summary!$D$25="Included Margin",IF(AND($B273&gt;Input!$C$9,Summary!$D$31&lt;&gt;"Included Margin"),0,1),0))</f>
        <v>0.16900000000000001</v>
      </c>
      <c r="AB273" s="147">
        <f>IF($E273="","",IF(AND($B273&gt;Input!$C$9,Summary!$D$31&lt;&gt;"Included Margin"),1,IF(Summary!$D$25="Included Margin",VLOOKUP($B273,'Mortality Margins &amp; Grading'!$AI$5:$AR$125,MATCH('Mortality Margins &amp; Grading'!$AQ$4,'Mortality Margins &amp; Grading'!$AI$4:$AR$4,0),0),1)))</f>
        <v>1</v>
      </c>
      <c r="AC273" s="154"/>
      <c r="AD273" s="158">
        <f>IF(E273="","",Input!$C$48*IF(Summary!$D$30="Included Margin",IF(AND($B273&gt;Input!$C$9,Summary!$D$31&lt;&gt;"Included Margin"),0,1),0))</f>
        <v>-4.4999999999999997E-3</v>
      </c>
      <c r="AE273" s="159">
        <f>IF(E273="","",IF(Summary!$D$26="Included Margin",IF(AND($B273&gt;Input!$C$9,Summary!$D$31&lt;&gt;"Included Margin"),1,1/$R273),1))</f>
        <v>1.1165861165318642</v>
      </c>
      <c r="AF273" s="160">
        <f>IF(E273="","",IF(AND($B273&gt;=Input!$C$9,$C273=12,Summary!$D$31="Included Margin",$U273&gt;0),1/U273-1,IF($B273&gt;=Input!$C$9,0,Input!$C$45*IF(Summary!$D$27="Included Margin",1,0))))</f>
        <v>0</v>
      </c>
      <c r="AG273" s="160">
        <f>IF(E273="","",Input!$C$46*IF(Summary!$D$28="Included Margin",IF(AND($B273&gt;Input!$C$9,Summary!$D$31&lt;&gt;"Included Margin"),0,1),0))</f>
        <v>0.02</v>
      </c>
      <c r="AH273" s="158">
        <f>IF(E273="","",Input!$C$47*IF(Summary!$D$29="Included Margin",IF(AND($B273&gt;Input!$C$9,Summary!$D$31&lt;&gt;"Included Margin"),0,1),0))</f>
        <v>2.5000000000000001E-3</v>
      </c>
      <c r="AI273" s="154"/>
      <c r="AJ273" s="158">
        <f t="shared" si="189"/>
        <v>3.5139999999999998E-2</v>
      </c>
      <c r="AK273" s="155">
        <f t="shared" si="190"/>
        <v>2.8822025211785451E-3</v>
      </c>
      <c r="AL273" s="147">
        <f t="shared" si="191"/>
        <v>2.64733108E-2</v>
      </c>
      <c r="AM273" s="147">
        <f t="shared" si="169"/>
        <v>2.23333894828881E-3</v>
      </c>
      <c r="AN273" s="160">
        <f t="shared" si="192"/>
        <v>0</v>
      </c>
      <c r="AO273" s="161">
        <f t="shared" si="193"/>
        <v>0</v>
      </c>
      <c r="AP273" s="156">
        <f t="shared" si="170"/>
        <v>1.6315221224983736</v>
      </c>
      <c r="AQ273" s="152"/>
      <c r="AR273" s="162">
        <f t="shared" si="171"/>
        <v>1752.5747102849277</v>
      </c>
      <c r="AS273" s="150">
        <f t="shared" si="194"/>
        <v>0</v>
      </c>
      <c r="AT273" s="163">
        <f t="shared" si="172"/>
        <v>0</v>
      </c>
      <c r="AU273" s="163">
        <f t="shared" si="173"/>
        <v>223.333894828881</v>
      </c>
      <c r="AV273" s="163">
        <f t="shared" si="195"/>
        <v>4.7294284911667646</v>
      </c>
      <c r="AW273" s="163">
        <f t="shared" si="174"/>
        <v>3.4335447950075144</v>
      </c>
      <c r="AX273" s="163">
        <f t="shared" si="175"/>
        <v>0</v>
      </c>
      <c r="AY273" s="164">
        <f t="shared" si="196"/>
        <v>1537.403788742221</v>
      </c>
      <c r="AZ273" s="164">
        <f>IF($E273="","",IF(OR(AND($D273=Input!$C$6,$C273=12),$AN273=1),0,-AS274+AT274+AU274-AV274-AW274-AX274+AZ274))</f>
        <v>1537.4042518885481</v>
      </c>
      <c r="BA273" s="154">
        <f t="shared" si="176"/>
        <v>4.6314632709254511E-4</v>
      </c>
      <c r="BC273" s="147">
        <f t="shared" si="197"/>
        <v>7.0400988701547054E-2</v>
      </c>
      <c r="BD273" s="164">
        <f>IF(AND($C272=12,$D272=Input!$C$6),0,IF($E273="","",AT273+(AU273+BD274)/(1+$AK273)*MIN((1-AM273-AN273),1)))</f>
        <v>1525.3619549996486</v>
      </c>
      <c r="BE273" s="164">
        <f t="shared" si="177"/>
        <v>107.38698975969999</v>
      </c>
      <c r="BF273" s="164">
        <f t="shared" si="198"/>
        <v>1537.4042518885481</v>
      </c>
      <c r="BG273" s="164">
        <f t="shared" si="178"/>
        <v>108.23477936691607</v>
      </c>
      <c r="BH273" s="152"/>
      <c r="BI273" s="162">
        <f t="shared" si="179"/>
        <v>732.15496096804691</v>
      </c>
      <c r="BJ273" s="150">
        <f t="shared" si="180"/>
        <v>0</v>
      </c>
      <c r="BK273" s="163">
        <f t="shared" si="202"/>
        <v>0</v>
      </c>
      <c r="BL273" s="163">
        <f t="shared" si="181"/>
        <v>193.30656617703167</v>
      </c>
      <c r="BM273" s="163">
        <f t="shared" si="203"/>
        <v>2.0620724133098873</v>
      </c>
      <c r="BN273" s="163">
        <f t="shared" si="182"/>
        <v>1.0476415922147719</v>
      </c>
      <c r="BO273" s="163">
        <f t="shared" si="183"/>
        <v>0</v>
      </c>
      <c r="BP273" s="164">
        <f t="shared" si="204"/>
        <v>541.95810879653993</v>
      </c>
      <c r="BQ273" s="164">
        <f>IF($E273="","",IF(AND($D273=Input!$C$6,$C273=12),0,-BJ274+BK274+BL274-BM274-BN274-BO274+BQ274))</f>
        <v>541.95861678869903</v>
      </c>
      <c r="BR273" s="161">
        <f t="shared" si="184"/>
        <v>0</v>
      </c>
      <c r="BT273" s="147">
        <f t="shared" si="185"/>
        <v>7.0400988701547054E-2</v>
      </c>
      <c r="BU273" s="164">
        <f>IF(AND($C272=12,$D272=Input!$C$6),0,IF($E273="","",BK273+(BL273+BU274)/(1+$AK273)*MIN((1-T273-U273),1)))</f>
        <v>24513.241433761748</v>
      </c>
      <c r="BV273" s="164">
        <f t="shared" si="186"/>
        <v>1725.7564332165559</v>
      </c>
      <c r="BW273" s="164">
        <f t="shared" si="187"/>
        <v>541.95861678869903</v>
      </c>
      <c r="BX273" s="164">
        <f t="shared" si="188"/>
        <v>38.154422457247271</v>
      </c>
    </row>
    <row r="274" spans="1:76" s="150" customFormat="1" x14ac:dyDescent="0.25">
      <c r="A274" s="150">
        <f t="shared" si="199"/>
        <v>270</v>
      </c>
      <c r="B274" s="150">
        <f t="shared" si="200"/>
        <v>23</v>
      </c>
      <c r="C274" s="150">
        <f t="shared" si="201"/>
        <v>6</v>
      </c>
      <c r="D274" s="150">
        <f>IF(E274="","",Input!$C$4+B274-1)</f>
        <v>67</v>
      </c>
      <c r="E274" s="150">
        <f>IF(OR(AND(C273=12,D273=Input!$C$6),E273=""),"",1)</f>
        <v>1</v>
      </c>
      <c r="F274" s="150">
        <f>IF(E274="","",Input!$C$8+B274-1)</f>
        <v>2040</v>
      </c>
      <c r="G274" s="151">
        <f>IF(E274="","",MAX(0,Input!$C$9-B274))</f>
        <v>0</v>
      </c>
      <c r="H274" s="152">
        <f>IF(E274="","",Input!$C$3)</f>
        <v>100000</v>
      </c>
      <c r="I274" s="153">
        <f>IF(E274="","",HLOOKUP($B274,Input!$C$13:$BT$14,2))</f>
        <v>22.956499999999998</v>
      </c>
      <c r="J274" s="154"/>
      <c r="K274" s="155">
        <f>IF($E274="","",INDEX(Input!$C$16:$CP$16,1,$B274))</f>
        <v>2.4639999999999999E-2</v>
      </c>
      <c r="L274" s="155">
        <f>IF($E274="","",Input!$C$37)</f>
        <v>1.4999999999999999E-2</v>
      </c>
      <c r="M274" s="155">
        <f t="shared" si="164"/>
        <v>3.9639999999999995E-2</v>
      </c>
      <c r="N274" s="155">
        <f t="shared" si="165"/>
        <v>3.2447946009999118E-3</v>
      </c>
      <c r="O274" s="147">
        <f>IF($E274="","",MIN(VLOOKUP(IF($B274&lt;=Input!$C$7,$B274,26),'Mortality Tables'!$A$41:$CW$67,IF($B274&lt;=Input!$C$7+1,Input!$C$4+2,$D274-Input!$C$7+2),0)*IF(B274&gt;20,Input!$C$22,1)/1000,1))</f>
        <v>2.56276E-2</v>
      </c>
      <c r="P274" s="147">
        <f>IF($E274="","",MIN(VLOOKUP(IF($B274&lt;=Input!$C$7,$B274,26),'Mortality Tables'!$A$12:$CW$37,IF($B274&lt;=Input!$C$7+1,Input!$C$4+2,$D274-Input!$C$7+2),0)*IF(B274&gt;20,Input!$C$22,1)/1000,1))</f>
        <v>3.20345E-2</v>
      </c>
      <c r="Q274" s="155">
        <f>IF($E274="","",Input!$C$21)</f>
        <v>5.0000000000000001E-3</v>
      </c>
      <c r="R274" s="159">
        <f>IF($E274="","",(1-Q274)^($F274-Input!$C$20))</f>
        <v>0.89558699073387849</v>
      </c>
      <c r="S274" s="147">
        <f t="shared" si="167"/>
        <v>2.2951745163731545E-2</v>
      </c>
      <c r="T274" s="147">
        <f t="shared" si="168"/>
        <v>1.9330656617703168E-3</v>
      </c>
      <c r="U274" s="160">
        <f>IF($E274="","",IF($C274=12,INDEX(Input!$C$15:$CP$15,1,$B274),0))</f>
        <v>0</v>
      </c>
      <c r="V274" s="150">
        <f>IF(E274="","",IF(C274=1,IF($B274=1,Input!$C$33,Input!$C$34),0))</f>
        <v>0</v>
      </c>
      <c r="W274" s="156">
        <f>IF($E274="","",Input!$C$35)</f>
        <v>0.02</v>
      </c>
      <c r="X274" s="156">
        <f t="shared" si="166"/>
        <v>1.5459796707758806</v>
      </c>
      <c r="Y274" s="154"/>
      <c r="Z274" s="147">
        <f>IF($E274="","",VLOOKUP($D274,'Mortality Margins &amp; Grading'!$AB$5:$AF$125,3,0)*IF(Summary!$D$25="Included Margin",IF(AND($B274&gt;Input!$C$9,Summary!$D$31&lt;&gt;"Included Margin"),0,1),0))</f>
        <v>3.3000000000000002E-2</v>
      </c>
      <c r="AA274" s="147">
        <f>IF($E274="","",VLOOKUP($D274,'Mortality Margins &amp; Grading'!$AB$5:$AF$125,5,0)*IF(Summary!$D$25="Included Margin",IF(AND($B274&gt;Input!$C$9,Summary!$D$31&lt;&gt;"Included Margin"),0,1),0))</f>
        <v>0.16900000000000001</v>
      </c>
      <c r="AB274" s="147">
        <f>IF($E274="","",IF(AND($B274&gt;Input!$C$9,Summary!$D$31&lt;&gt;"Included Margin"),1,IF(Summary!$D$25="Included Margin",VLOOKUP($B274,'Mortality Margins &amp; Grading'!$AI$5:$AR$125,MATCH('Mortality Margins &amp; Grading'!$AQ$4,'Mortality Margins &amp; Grading'!$AI$4:$AR$4,0),0),1)))</f>
        <v>1</v>
      </c>
      <c r="AC274" s="154"/>
      <c r="AD274" s="158">
        <f>IF(E274="","",Input!$C$48*IF(Summary!$D$30="Included Margin",IF(AND($B274&gt;Input!$C$9,Summary!$D$31&lt;&gt;"Included Margin"),0,1),0))</f>
        <v>-4.4999999999999997E-3</v>
      </c>
      <c r="AE274" s="159">
        <f>IF(E274="","",IF(Summary!$D$26="Included Margin",IF(AND($B274&gt;Input!$C$9,Summary!$D$31&lt;&gt;"Included Margin"),1,1/$R274),1))</f>
        <v>1.1165861165318642</v>
      </c>
      <c r="AF274" s="160">
        <f>IF(E274="","",IF(AND($B274&gt;=Input!$C$9,$C274=12,Summary!$D$31="Included Margin",$U274&gt;0),1/U274-1,IF($B274&gt;=Input!$C$9,0,Input!$C$45*IF(Summary!$D$27="Included Margin",1,0))))</f>
        <v>0</v>
      </c>
      <c r="AG274" s="160">
        <f>IF(E274="","",Input!$C$46*IF(Summary!$D$28="Included Margin",IF(AND($B274&gt;Input!$C$9,Summary!$D$31&lt;&gt;"Included Margin"),0,1),0))</f>
        <v>0.02</v>
      </c>
      <c r="AH274" s="158">
        <f>IF(E274="","",Input!$C$47*IF(Summary!$D$29="Included Margin",IF(AND($B274&gt;Input!$C$9,Summary!$D$31&lt;&gt;"Included Margin"),0,1),0))</f>
        <v>2.5000000000000001E-3</v>
      </c>
      <c r="AI274" s="154"/>
      <c r="AJ274" s="158">
        <f t="shared" si="189"/>
        <v>3.5139999999999998E-2</v>
      </c>
      <c r="AK274" s="155">
        <f t="shared" si="190"/>
        <v>2.8822025211785451E-3</v>
      </c>
      <c r="AL274" s="147">
        <f t="shared" si="191"/>
        <v>2.64733108E-2</v>
      </c>
      <c r="AM274" s="147">
        <f t="shared" si="169"/>
        <v>2.23333894828881E-3</v>
      </c>
      <c r="AN274" s="160">
        <f t="shared" si="192"/>
        <v>0</v>
      </c>
      <c r="AO274" s="161">
        <f t="shared" si="193"/>
        <v>0</v>
      </c>
      <c r="AP274" s="156">
        <f t="shared" si="170"/>
        <v>1.6315221224983736</v>
      </c>
      <c r="AQ274" s="152"/>
      <c r="AR274" s="162">
        <f t="shared" si="171"/>
        <v>1537.403788742221</v>
      </c>
      <c r="AS274" s="150">
        <f t="shared" si="194"/>
        <v>0</v>
      </c>
      <c r="AT274" s="163">
        <f t="shared" si="172"/>
        <v>0</v>
      </c>
      <c r="AU274" s="163">
        <f t="shared" si="173"/>
        <v>223.333894828881</v>
      </c>
      <c r="AV274" s="163">
        <f t="shared" si="195"/>
        <v>4.109262318612064</v>
      </c>
      <c r="AW274" s="163">
        <f t="shared" si="174"/>
        <v>2.9505314215399046</v>
      </c>
      <c r="AX274" s="163">
        <f t="shared" si="175"/>
        <v>0</v>
      </c>
      <c r="AY274" s="165">
        <f t="shared" si="196"/>
        <v>1321.1296876534918</v>
      </c>
      <c r="AZ274" s="164">
        <f>IF($E274="","",IF(OR(AND($D274=Input!$C$6,$C274=12),$AN274=1),0,-AS275+AT275+AU275-AV275-AW275-AX275+AZ275))</f>
        <v>1321.1301507998189</v>
      </c>
      <c r="BA274" s="154">
        <f t="shared" si="176"/>
        <v>4.6314632709254511E-4</v>
      </c>
      <c r="BC274" s="147">
        <f t="shared" si="197"/>
        <v>7.0264898967733413E-2</v>
      </c>
      <c r="BD274" s="164">
        <f>IF(AND($C273=12,$D273=Input!$C$6),0,IF($E274="","",AT274+(AU274+BD275)/(1+$AK274)*MIN((1-AM274-AN274),1)))</f>
        <v>1309.8485783754184</v>
      </c>
      <c r="BE274" s="164">
        <f t="shared" si="177"/>
        <v>92.036378022578006</v>
      </c>
      <c r="BF274" s="164">
        <f t="shared" si="198"/>
        <v>1321.1301507998189</v>
      </c>
      <c r="BG274" s="164">
        <f t="shared" si="178"/>
        <v>92.829076569175683</v>
      </c>
      <c r="BH274" s="152"/>
      <c r="BI274" s="162">
        <f t="shared" si="179"/>
        <v>541.95810879653982</v>
      </c>
      <c r="BJ274" s="150">
        <f t="shared" si="180"/>
        <v>0</v>
      </c>
      <c r="BK274" s="163">
        <f t="shared" si="202"/>
        <v>0</v>
      </c>
      <c r="BL274" s="163">
        <f t="shared" si="181"/>
        <v>193.30656617703167</v>
      </c>
      <c r="BM274" s="163">
        <f t="shared" si="203"/>
        <v>1.4449226942566029</v>
      </c>
      <c r="BN274" s="163">
        <f t="shared" si="182"/>
        <v>0.67807119352784517</v>
      </c>
      <c r="BO274" s="163">
        <f t="shared" si="183"/>
        <v>0</v>
      </c>
      <c r="BP274" s="164">
        <f t="shared" si="204"/>
        <v>350.77453650729262</v>
      </c>
      <c r="BQ274" s="164">
        <f>IF($E274="","",IF(AND($D274=Input!$C$6,$C274=12),0,-BJ275+BK275+BL275-BM275-BN275-BO275+BQ275))</f>
        <v>350.77504449945184</v>
      </c>
      <c r="BR274" s="161">
        <f t="shared" si="184"/>
        <v>0</v>
      </c>
      <c r="BT274" s="147">
        <f t="shared" si="185"/>
        <v>7.0264898967733413E-2</v>
      </c>
      <c r="BU274" s="164">
        <f>IF(AND($C273=12,$D273=Input!$C$6),0,IF($E274="","",BK274+(BL274+BU275)/(1+$AK274)*MIN((1-T274-U274),1)))</f>
        <v>24438.201315931892</v>
      </c>
      <c r="BV274" s="164">
        <f t="shared" si="186"/>
        <v>1717.1477464170841</v>
      </c>
      <c r="BW274" s="164">
        <f t="shared" si="187"/>
        <v>350.77504449945184</v>
      </c>
      <c r="BX274" s="164">
        <f t="shared" si="188"/>
        <v>24.647173062156174</v>
      </c>
    </row>
    <row r="275" spans="1:76" s="150" customFormat="1" x14ac:dyDescent="0.25">
      <c r="A275" s="150">
        <f t="shared" si="199"/>
        <v>271</v>
      </c>
      <c r="B275" s="150">
        <f t="shared" si="200"/>
        <v>23</v>
      </c>
      <c r="C275" s="150">
        <f t="shared" si="201"/>
        <v>7</v>
      </c>
      <c r="D275" s="150">
        <f>IF(E275="","",Input!$C$4+B275-1)</f>
        <v>67</v>
      </c>
      <c r="E275" s="150">
        <f>IF(OR(AND(C274=12,D274=Input!$C$6),E274=""),"",1)</f>
        <v>1</v>
      </c>
      <c r="F275" s="150">
        <f>IF(E275="","",Input!$C$8+B275-1)</f>
        <v>2040</v>
      </c>
      <c r="G275" s="151">
        <f>IF(E275="","",MAX(0,Input!$C$9-B275))</f>
        <v>0</v>
      </c>
      <c r="H275" s="152">
        <f>IF(E275="","",Input!$C$3)</f>
        <v>100000</v>
      </c>
      <c r="I275" s="153">
        <f>IF(E275="","",HLOOKUP($B275,Input!$C$13:$BT$14,2))</f>
        <v>22.956499999999998</v>
      </c>
      <c r="J275" s="154"/>
      <c r="K275" s="155">
        <f>IF($E275="","",INDEX(Input!$C$16:$CP$16,1,$B275))</f>
        <v>2.4639999999999999E-2</v>
      </c>
      <c r="L275" s="155">
        <f>IF($E275="","",Input!$C$37)</f>
        <v>1.4999999999999999E-2</v>
      </c>
      <c r="M275" s="155">
        <f t="shared" si="164"/>
        <v>3.9639999999999995E-2</v>
      </c>
      <c r="N275" s="155">
        <f t="shared" si="165"/>
        <v>3.2447946009999118E-3</v>
      </c>
      <c r="O275" s="147">
        <f>IF($E275="","",MIN(VLOOKUP(IF($B275&lt;=Input!$C$7,$B275,26),'Mortality Tables'!$A$41:$CW$67,IF($B275&lt;=Input!$C$7+1,Input!$C$4+2,$D275-Input!$C$7+2),0)*IF(B275&gt;20,Input!$C$22,1)/1000,1))</f>
        <v>2.56276E-2</v>
      </c>
      <c r="P275" s="147">
        <f>IF($E275="","",MIN(VLOOKUP(IF($B275&lt;=Input!$C$7,$B275,26),'Mortality Tables'!$A$12:$CW$37,IF($B275&lt;=Input!$C$7+1,Input!$C$4+2,$D275-Input!$C$7+2),0)*IF(B275&gt;20,Input!$C$22,1)/1000,1))</f>
        <v>3.20345E-2</v>
      </c>
      <c r="Q275" s="155">
        <f>IF($E275="","",Input!$C$21)</f>
        <v>5.0000000000000001E-3</v>
      </c>
      <c r="R275" s="159">
        <f>IF($E275="","",(1-Q275)^($F275-Input!$C$20))</f>
        <v>0.89558699073387849</v>
      </c>
      <c r="S275" s="147">
        <f t="shared" si="167"/>
        <v>2.2951745163731545E-2</v>
      </c>
      <c r="T275" s="147">
        <f t="shared" si="168"/>
        <v>1.9330656617703168E-3</v>
      </c>
      <c r="U275" s="160">
        <f>IF($E275="","",IF($C275=12,INDEX(Input!$C$15:$CP$15,1,$B275),0))</f>
        <v>0</v>
      </c>
      <c r="V275" s="150">
        <f>IF(E275="","",IF(C275=1,IF($B275=1,Input!$C$33,Input!$C$34),0))</f>
        <v>0</v>
      </c>
      <c r="W275" s="156">
        <f>IF($E275="","",Input!$C$35)</f>
        <v>0.02</v>
      </c>
      <c r="X275" s="156">
        <f t="shared" si="166"/>
        <v>1.5459796707758806</v>
      </c>
      <c r="Y275" s="154"/>
      <c r="Z275" s="147">
        <f>IF($E275="","",VLOOKUP($D275,'Mortality Margins &amp; Grading'!$AB$5:$AF$125,3,0)*IF(Summary!$D$25="Included Margin",IF(AND($B275&gt;Input!$C$9,Summary!$D$31&lt;&gt;"Included Margin"),0,1),0))</f>
        <v>3.3000000000000002E-2</v>
      </c>
      <c r="AA275" s="147">
        <f>IF($E275="","",VLOOKUP($D275,'Mortality Margins &amp; Grading'!$AB$5:$AF$125,5,0)*IF(Summary!$D$25="Included Margin",IF(AND($B275&gt;Input!$C$9,Summary!$D$31&lt;&gt;"Included Margin"),0,1),0))</f>
        <v>0.16900000000000001</v>
      </c>
      <c r="AB275" s="147">
        <f>IF($E275="","",IF(AND($B275&gt;Input!$C$9,Summary!$D$31&lt;&gt;"Included Margin"),1,IF(Summary!$D$25="Included Margin",VLOOKUP($B275,'Mortality Margins &amp; Grading'!$AI$5:$AR$125,MATCH('Mortality Margins &amp; Grading'!$AQ$4,'Mortality Margins &amp; Grading'!$AI$4:$AR$4,0),0),1)))</f>
        <v>1</v>
      </c>
      <c r="AC275" s="154"/>
      <c r="AD275" s="158">
        <f>IF(E275="","",Input!$C$48*IF(Summary!$D$30="Included Margin",IF(AND($B275&gt;Input!$C$9,Summary!$D$31&lt;&gt;"Included Margin"),0,1),0))</f>
        <v>-4.4999999999999997E-3</v>
      </c>
      <c r="AE275" s="159">
        <f>IF(E275="","",IF(Summary!$D$26="Included Margin",IF(AND($B275&gt;Input!$C$9,Summary!$D$31&lt;&gt;"Included Margin"),1,1/$R275),1))</f>
        <v>1.1165861165318642</v>
      </c>
      <c r="AF275" s="160">
        <f>IF(E275="","",IF(AND($B275&gt;=Input!$C$9,$C275=12,Summary!$D$31="Included Margin",$U275&gt;0),1/U275-1,IF($B275&gt;=Input!$C$9,0,Input!$C$45*IF(Summary!$D$27="Included Margin",1,0))))</f>
        <v>0</v>
      </c>
      <c r="AG275" s="160">
        <f>IF(E275="","",Input!$C$46*IF(Summary!$D$28="Included Margin",IF(AND($B275&gt;Input!$C$9,Summary!$D$31&lt;&gt;"Included Margin"),0,1),0))</f>
        <v>0.02</v>
      </c>
      <c r="AH275" s="158">
        <f>IF(E275="","",Input!$C$47*IF(Summary!$D$29="Included Margin",IF(AND($B275&gt;Input!$C$9,Summary!$D$31&lt;&gt;"Included Margin"),0,1),0))</f>
        <v>2.5000000000000001E-3</v>
      </c>
      <c r="AI275" s="154"/>
      <c r="AJ275" s="158">
        <f t="shared" si="189"/>
        <v>3.5139999999999998E-2</v>
      </c>
      <c r="AK275" s="155">
        <f t="shared" si="190"/>
        <v>2.8822025211785451E-3</v>
      </c>
      <c r="AL275" s="147">
        <f t="shared" si="191"/>
        <v>2.64733108E-2</v>
      </c>
      <c r="AM275" s="147">
        <f t="shared" si="169"/>
        <v>2.23333894828881E-3</v>
      </c>
      <c r="AN275" s="160">
        <f t="shared" si="192"/>
        <v>0</v>
      </c>
      <c r="AO275" s="161">
        <f t="shared" si="193"/>
        <v>0</v>
      </c>
      <c r="AP275" s="156">
        <f t="shared" si="170"/>
        <v>1.6315221224983736</v>
      </c>
      <c r="AQ275" s="152"/>
      <c r="AR275" s="162">
        <f t="shared" si="171"/>
        <v>1321.1296876534918</v>
      </c>
      <c r="AS275" s="150">
        <f t="shared" si="194"/>
        <v>0</v>
      </c>
      <c r="AT275" s="163">
        <f t="shared" si="172"/>
        <v>0</v>
      </c>
      <c r="AU275" s="163">
        <f t="shared" si="173"/>
        <v>223.333894828881</v>
      </c>
      <c r="AV275" s="163">
        <f t="shared" si="195"/>
        <v>3.4859165591885053</v>
      </c>
      <c r="AW275" s="163">
        <f t="shared" si="174"/>
        <v>2.4650416424769461</v>
      </c>
      <c r="AX275" s="163">
        <f t="shared" si="175"/>
        <v>0</v>
      </c>
      <c r="AY275" s="164">
        <f t="shared" si="196"/>
        <v>1103.7467510262763</v>
      </c>
      <c r="AZ275" s="164">
        <f>IF($E275="","",IF(OR(AND($D275=Input!$C$6,$C275=12),$AN275=1),0,-AS276+AT276+AU276-AV276-AW276-AX276+AZ276))</f>
        <v>1103.7472141726034</v>
      </c>
      <c r="BA275" s="154">
        <f t="shared" si="176"/>
        <v>4.6314632709254511E-4</v>
      </c>
      <c r="BC275" s="147">
        <f t="shared" si="197"/>
        <v>7.0129072304311132E-2</v>
      </c>
      <c r="BD275" s="164">
        <f>IF(AND($C274=12,$D274=Input!$C$6),0,IF($E275="","",AT275+(AU275+BD276)/(1+$AK275)*MIN((1-AM275-AN275),1)))</f>
        <v>1093.2302664407778</v>
      </c>
      <c r="BE275" s="164">
        <f t="shared" si="177"/>
        <v>76.667224400486631</v>
      </c>
      <c r="BF275" s="164">
        <f t="shared" si="198"/>
        <v>1103.7472141726034</v>
      </c>
      <c r="BG275" s="164">
        <f t="shared" si="178"/>
        <v>77.404768188392495</v>
      </c>
      <c r="BH275" s="152"/>
      <c r="BI275" s="162">
        <f t="shared" si="179"/>
        <v>350.77453650729262</v>
      </c>
      <c r="BJ275" s="150">
        <f t="shared" si="180"/>
        <v>0</v>
      </c>
      <c r="BK275" s="163">
        <f t="shared" si="202"/>
        <v>0</v>
      </c>
      <c r="BL275" s="163">
        <f t="shared" si="181"/>
        <v>193.30656617703167</v>
      </c>
      <c r="BM275" s="163">
        <f t="shared" si="203"/>
        <v>0.82457127109257733</v>
      </c>
      <c r="BN275" s="163">
        <f t="shared" si="182"/>
        <v>0.30658350471154833</v>
      </c>
      <c r="BO275" s="163">
        <f t="shared" si="183"/>
        <v>0</v>
      </c>
      <c r="BP275" s="164">
        <f t="shared" si="204"/>
        <v>158.59912510606506</v>
      </c>
      <c r="BQ275" s="164">
        <f>IF($E275="","",IF(AND($D275=Input!$C$6,$C275=12),0,-BJ276+BK276+BL276-BM276-BN276-BO276+BQ276))</f>
        <v>158.59963309822427</v>
      </c>
      <c r="BR275" s="161">
        <f t="shared" si="184"/>
        <v>0</v>
      </c>
      <c r="BT275" s="147">
        <f t="shared" si="185"/>
        <v>7.0129072304311132E-2</v>
      </c>
      <c r="BU275" s="164">
        <f>IF(AND($C274=12,$D274=Input!$C$6),0,IF($E275="","",BK275+(BL275+BU276)/(1+$AK275)*MIN((1-T275-U275),1)))</f>
        <v>24362.799159966722</v>
      </c>
      <c r="BV275" s="164">
        <f t="shared" si="186"/>
        <v>1708.5405038247168</v>
      </c>
      <c r="BW275" s="164">
        <f t="shared" si="187"/>
        <v>158.59963309822427</v>
      </c>
      <c r="BX275" s="164">
        <f t="shared" si="188"/>
        <v>11.122445136982588</v>
      </c>
    </row>
    <row r="276" spans="1:76" s="150" customFormat="1" x14ac:dyDescent="0.25">
      <c r="A276" s="150">
        <f t="shared" si="199"/>
        <v>272</v>
      </c>
      <c r="B276" s="150">
        <f t="shared" si="200"/>
        <v>23</v>
      </c>
      <c r="C276" s="150">
        <f t="shared" si="201"/>
        <v>8</v>
      </c>
      <c r="D276" s="150">
        <f>IF(E276="","",Input!$C$4+B276-1)</f>
        <v>67</v>
      </c>
      <c r="E276" s="150">
        <f>IF(OR(AND(C275=12,D275=Input!$C$6),E275=""),"",1)</f>
        <v>1</v>
      </c>
      <c r="F276" s="150">
        <f>IF(E276="","",Input!$C$8+B276-1)</f>
        <v>2040</v>
      </c>
      <c r="G276" s="151">
        <f>IF(E276="","",MAX(0,Input!$C$9-B276))</f>
        <v>0</v>
      </c>
      <c r="H276" s="152">
        <f>IF(E276="","",Input!$C$3)</f>
        <v>100000</v>
      </c>
      <c r="I276" s="153">
        <f>IF(E276="","",HLOOKUP($B276,Input!$C$13:$BT$14,2))</f>
        <v>22.956499999999998</v>
      </c>
      <c r="J276" s="154"/>
      <c r="K276" s="155">
        <f>IF($E276="","",INDEX(Input!$C$16:$CP$16,1,$B276))</f>
        <v>2.4639999999999999E-2</v>
      </c>
      <c r="L276" s="155">
        <f>IF($E276="","",Input!$C$37)</f>
        <v>1.4999999999999999E-2</v>
      </c>
      <c r="M276" s="155">
        <f t="shared" si="164"/>
        <v>3.9639999999999995E-2</v>
      </c>
      <c r="N276" s="155">
        <f t="shared" si="165"/>
        <v>3.2447946009999118E-3</v>
      </c>
      <c r="O276" s="147">
        <f>IF($E276="","",MIN(VLOOKUP(IF($B276&lt;=Input!$C$7,$B276,26),'Mortality Tables'!$A$41:$CW$67,IF($B276&lt;=Input!$C$7+1,Input!$C$4+2,$D276-Input!$C$7+2),0)*IF(B276&gt;20,Input!$C$22,1)/1000,1))</f>
        <v>2.56276E-2</v>
      </c>
      <c r="P276" s="147">
        <f>IF($E276="","",MIN(VLOOKUP(IF($B276&lt;=Input!$C$7,$B276,26),'Mortality Tables'!$A$12:$CW$37,IF($B276&lt;=Input!$C$7+1,Input!$C$4+2,$D276-Input!$C$7+2),0)*IF(B276&gt;20,Input!$C$22,1)/1000,1))</f>
        <v>3.20345E-2</v>
      </c>
      <c r="Q276" s="155">
        <f>IF($E276="","",Input!$C$21)</f>
        <v>5.0000000000000001E-3</v>
      </c>
      <c r="R276" s="159">
        <f>IF($E276="","",(1-Q276)^($F276-Input!$C$20))</f>
        <v>0.89558699073387849</v>
      </c>
      <c r="S276" s="147">
        <f t="shared" si="167"/>
        <v>2.2951745163731545E-2</v>
      </c>
      <c r="T276" s="147">
        <f t="shared" si="168"/>
        <v>1.9330656617703168E-3</v>
      </c>
      <c r="U276" s="160">
        <f>IF($E276="","",IF($C276=12,INDEX(Input!$C$15:$CP$15,1,$B276),0))</f>
        <v>0</v>
      </c>
      <c r="V276" s="150">
        <f>IF(E276="","",IF(C276=1,IF($B276=1,Input!$C$33,Input!$C$34),0))</f>
        <v>0</v>
      </c>
      <c r="W276" s="156">
        <f>IF($E276="","",Input!$C$35)</f>
        <v>0.02</v>
      </c>
      <c r="X276" s="156">
        <f t="shared" si="166"/>
        <v>1.5459796707758806</v>
      </c>
      <c r="Y276" s="154"/>
      <c r="Z276" s="147">
        <f>IF($E276="","",VLOOKUP($D276,'Mortality Margins &amp; Grading'!$AB$5:$AF$125,3,0)*IF(Summary!$D$25="Included Margin",IF(AND($B276&gt;Input!$C$9,Summary!$D$31&lt;&gt;"Included Margin"),0,1),0))</f>
        <v>3.3000000000000002E-2</v>
      </c>
      <c r="AA276" s="147">
        <f>IF($E276="","",VLOOKUP($D276,'Mortality Margins &amp; Grading'!$AB$5:$AF$125,5,0)*IF(Summary!$D$25="Included Margin",IF(AND($B276&gt;Input!$C$9,Summary!$D$31&lt;&gt;"Included Margin"),0,1),0))</f>
        <v>0.16900000000000001</v>
      </c>
      <c r="AB276" s="147">
        <f>IF($E276="","",IF(AND($B276&gt;Input!$C$9,Summary!$D$31&lt;&gt;"Included Margin"),1,IF(Summary!$D$25="Included Margin",VLOOKUP($B276,'Mortality Margins &amp; Grading'!$AI$5:$AR$125,MATCH('Mortality Margins &amp; Grading'!$AQ$4,'Mortality Margins &amp; Grading'!$AI$4:$AR$4,0),0),1)))</f>
        <v>1</v>
      </c>
      <c r="AC276" s="154"/>
      <c r="AD276" s="158">
        <f>IF(E276="","",Input!$C$48*IF(Summary!$D$30="Included Margin",IF(AND($B276&gt;Input!$C$9,Summary!$D$31&lt;&gt;"Included Margin"),0,1),0))</f>
        <v>-4.4999999999999997E-3</v>
      </c>
      <c r="AE276" s="159">
        <f>IF(E276="","",IF(Summary!$D$26="Included Margin",IF(AND($B276&gt;Input!$C$9,Summary!$D$31&lt;&gt;"Included Margin"),1,1/$R276),1))</f>
        <v>1.1165861165318642</v>
      </c>
      <c r="AF276" s="160">
        <f>IF(E276="","",IF(AND($B276&gt;=Input!$C$9,$C276=12,Summary!$D$31="Included Margin",$U276&gt;0),1/U276-1,IF($B276&gt;=Input!$C$9,0,Input!$C$45*IF(Summary!$D$27="Included Margin",1,0))))</f>
        <v>0</v>
      </c>
      <c r="AG276" s="160">
        <f>IF(E276="","",Input!$C$46*IF(Summary!$D$28="Included Margin",IF(AND($B276&gt;Input!$C$9,Summary!$D$31&lt;&gt;"Included Margin"),0,1),0))</f>
        <v>0.02</v>
      </c>
      <c r="AH276" s="158">
        <f>IF(E276="","",Input!$C$47*IF(Summary!$D$29="Included Margin",IF(AND($B276&gt;Input!$C$9,Summary!$D$31&lt;&gt;"Included Margin"),0,1),0))</f>
        <v>2.5000000000000001E-3</v>
      </c>
      <c r="AI276" s="154"/>
      <c r="AJ276" s="158">
        <f t="shared" si="189"/>
        <v>3.5139999999999998E-2</v>
      </c>
      <c r="AK276" s="155">
        <f t="shared" si="190"/>
        <v>2.8822025211785451E-3</v>
      </c>
      <c r="AL276" s="147">
        <f t="shared" si="191"/>
        <v>2.64733108E-2</v>
      </c>
      <c r="AM276" s="147">
        <f t="shared" si="169"/>
        <v>2.23333894828881E-3</v>
      </c>
      <c r="AN276" s="160">
        <f t="shared" si="192"/>
        <v>0</v>
      </c>
      <c r="AO276" s="161">
        <f t="shared" si="193"/>
        <v>0</v>
      </c>
      <c r="AP276" s="156">
        <f t="shared" si="170"/>
        <v>1.6315221224983736</v>
      </c>
      <c r="AQ276" s="152"/>
      <c r="AR276" s="162">
        <f t="shared" si="171"/>
        <v>1103.7467510262766</v>
      </c>
      <c r="AS276" s="150">
        <f t="shared" si="194"/>
        <v>0</v>
      </c>
      <c r="AT276" s="163">
        <f t="shared" si="172"/>
        <v>0</v>
      </c>
      <c r="AU276" s="163">
        <f t="shared" si="173"/>
        <v>223.333894828881</v>
      </c>
      <c r="AV276" s="163">
        <f t="shared" si="195"/>
        <v>2.8593749111803497</v>
      </c>
      <c r="AW276" s="163">
        <f t="shared" si="174"/>
        <v>1.9770627613075078</v>
      </c>
      <c r="AX276" s="163">
        <f t="shared" si="175"/>
        <v>0</v>
      </c>
      <c r="AY276" s="165">
        <f t="shared" si="196"/>
        <v>885.24929386988333</v>
      </c>
      <c r="AZ276" s="164">
        <f>IF($E276="","",IF(OR(AND($D276=Input!$C$6,$C276=12),$AN276=1),0,-AS277+AT277+AU277-AV277-AW277-AX277+AZ277))</f>
        <v>885.24975701621031</v>
      </c>
      <c r="BA276" s="154">
        <f t="shared" si="176"/>
        <v>4.6314632697885827E-4</v>
      </c>
      <c r="BC276" s="147">
        <f t="shared" si="197"/>
        <v>6.9993508202747856E-2</v>
      </c>
      <c r="BD276" s="164">
        <f>IF(AND($C275=12,$D275=Input!$C$6),0,IF($E276="","",AT276+(AU276+BD277)/(1+$AK276)*MIN((1-AM276-AN276),1)))</f>
        <v>875.50135420147342</v>
      </c>
      <c r="BE276" s="164">
        <f t="shared" si="177"/>
        <v>61.279411216817685</v>
      </c>
      <c r="BF276" s="164">
        <f t="shared" si="198"/>
        <v>885.24975701621031</v>
      </c>
      <c r="BG276" s="164">
        <f t="shared" si="178"/>
        <v>61.961736129194662</v>
      </c>
      <c r="BH276" s="152"/>
      <c r="BI276" s="162">
        <f t="shared" si="179"/>
        <v>158.59912510606509</v>
      </c>
      <c r="BJ276" s="150">
        <f t="shared" si="180"/>
        <v>0</v>
      </c>
      <c r="BK276" s="163">
        <f t="shared" si="202"/>
        <v>0</v>
      </c>
      <c r="BL276" s="163">
        <f t="shared" si="181"/>
        <v>193.30656617703167</v>
      </c>
      <c r="BM276" s="163">
        <f t="shared" si="203"/>
        <v>0.2010015337329373</v>
      </c>
      <c r="BN276" s="163">
        <f t="shared" si="182"/>
        <v>-6.6831420922092391E-2</v>
      </c>
      <c r="BO276" s="163">
        <f t="shared" si="183"/>
        <v>0</v>
      </c>
      <c r="BP276" s="164">
        <f t="shared" si="204"/>
        <v>-34.573270958155739</v>
      </c>
      <c r="BQ276" s="164">
        <f>IF($E276="","",IF(AND($D276=Input!$C$6,$C276=12),0,-BJ277+BK277+BL277-BM277-BN277-BO277+BQ277))</f>
        <v>-34.572762965996532</v>
      </c>
      <c r="BR276" s="161">
        <f t="shared" si="184"/>
        <v>0</v>
      </c>
      <c r="BT276" s="147">
        <f t="shared" si="185"/>
        <v>6.9993508202747856E-2</v>
      </c>
      <c r="BU276" s="164">
        <f>IF(AND($C275=12,$D275=Input!$C$6),0,IF($E276="","",BK276+(BL276+BU277)/(1+$AK276)*MIN((1-T276-U276),1)))</f>
        <v>24287.033219179055</v>
      </c>
      <c r="BV276" s="164">
        <f t="shared" si="186"/>
        <v>1699.9346588470189</v>
      </c>
      <c r="BW276" s="164">
        <f t="shared" si="187"/>
        <v>-34.572762965996532</v>
      </c>
      <c r="BX276" s="164">
        <f t="shared" si="188"/>
        <v>-2.4198689682521355</v>
      </c>
    </row>
    <row r="277" spans="1:76" s="150" customFormat="1" x14ac:dyDescent="0.25">
      <c r="A277" s="150">
        <f t="shared" si="199"/>
        <v>273</v>
      </c>
      <c r="B277" s="150">
        <f t="shared" si="200"/>
        <v>23</v>
      </c>
      <c r="C277" s="150">
        <f t="shared" si="201"/>
        <v>9</v>
      </c>
      <c r="D277" s="150">
        <f>IF(E277="","",Input!$C$4+B277-1)</f>
        <v>67</v>
      </c>
      <c r="E277" s="150">
        <f>IF(OR(AND(C276=12,D276=Input!$C$6),E276=""),"",1)</f>
        <v>1</v>
      </c>
      <c r="F277" s="150">
        <f>IF(E277="","",Input!$C$8+B277-1)</f>
        <v>2040</v>
      </c>
      <c r="G277" s="151">
        <f>IF(E277="","",MAX(0,Input!$C$9-B277))</f>
        <v>0</v>
      </c>
      <c r="H277" s="152">
        <f>IF(E277="","",Input!$C$3)</f>
        <v>100000</v>
      </c>
      <c r="I277" s="153">
        <f>IF(E277="","",HLOOKUP($B277,Input!$C$13:$BT$14,2))</f>
        <v>22.956499999999998</v>
      </c>
      <c r="J277" s="154"/>
      <c r="K277" s="155">
        <f>IF($E277="","",INDEX(Input!$C$16:$CP$16,1,$B277))</f>
        <v>2.4639999999999999E-2</v>
      </c>
      <c r="L277" s="155">
        <f>IF($E277="","",Input!$C$37)</f>
        <v>1.4999999999999999E-2</v>
      </c>
      <c r="M277" s="155">
        <f t="shared" si="164"/>
        <v>3.9639999999999995E-2</v>
      </c>
      <c r="N277" s="155">
        <f t="shared" si="165"/>
        <v>3.2447946009999118E-3</v>
      </c>
      <c r="O277" s="147">
        <f>IF($E277="","",MIN(VLOOKUP(IF($B277&lt;=Input!$C$7,$B277,26),'Mortality Tables'!$A$41:$CW$67,IF($B277&lt;=Input!$C$7+1,Input!$C$4+2,$D277-Input!$C$7+2),0)*IF(B277&gt;20,Input!$C$22,1)/1000,1))</f>
        <v>2.56276E-2</v>
      </c>
      <c r="P277" s="147">
        <f>IF($E277="","",MIN(VLOOKUP(IF($B277&lt;=Input!$C$7,$B277,26),'Mortality Tables'!$A$12:$CW$37,IF($B277&lt;=Input!$C$7+1,Input!$C$4+2,$D277-Input!$C$7+2),0)*IF(B277&gt;20,Input!$C$22,1)/1000,1))</f>
        <v>3.20345E-2</v>
      </c>
      <c r="Q277" s="155">
        <f>IF($E277="","",Input!$C$21)</f>
        <v>5.0000000000000001E-3</v>
      </c>
      <c r="R277" s="159">
        <f>IF($E277="","",(1-Q277)^($F277-Input!$C$20))</f>
        <v>0.89558699073387849</v>
      </c>
      <c r="S277" s="147">
        <f t="shared" si="167"/>
        <v>2.2951745163731545E-2</v>
      </c>
      <c r="T277" s="147">
        <f t="shared" si="168"/>
        <v>1.9330656617703168E-3</v>
      </c>
      <c r="U277" s="160">
        <f>IF($E277="","",IF($C277=12,INDEX(Input!$C$15:$CP$15,1,$B277),0))</f>
        <v>0</v>
      </c>
      <c r="V277" s="150">
        <f>IF(E277="","",IF(C277=1,IF($B277=1,Input!$C$33,Input!$C$34),0))</f>
        <v>0</v>
      </c>
      <c r="W277" s="156">
        <f>IF($E277="","",Input!$C$35)</f>
        <v>0.02</v>
      </c>
      <c r="X277" s="156">
        <f t="shared" si="166"/>
        <v>1.5459796707758806</v>
      </c>
      <c r="Y277" s="154"/>
      <c r="Z277" s="147">
        <f>IF($E277="","",VLOOKUP($D277,'Mortality Margins &amp; Grading'!$AB$5:$AF$125,3,0)*IF(Summary!$D$25="Included Margin",IF(AND($B277&gt;Input!$C$9,Summary!$D$31&lt;&gt;"Included Margin"),0,1),0))</f>
        <v>3.3000000000000002E-2</v>
      </c>
      <c r="AA277" s="147">
        <f>IF($E277="","",VLOOKUP($D277,'Mortality Margins &amp; Grading'!$AB$5:$AF$125,5,0)*IF(Summary!$D$25="Included Margin",IF(AND($B277&gt;Input!$C$9,Summary!$D$31&lt;&gt;"Included Margin"),0,1),0))</f>
        <v>0.16900000000000001</v>
      </c>
      <c r="AB277" s="147">
        <f>IF($E277="","",IF(AND($B277&gt;Input!$C$9,Summary!$D$31&lt;&gt;"Included Margin"),1,IF(Summary!$D$25="Included Margin",VLOOKUP($B277,'Mortality Margins &amp; Grading'!$AI$5:$AR$125,MATCH('Mortality Margins &amp; Grading'!$AQ$4,'Mortality Margins &amp; Grading'!$AI$4:$AR$4,0),0),1)))</f>
        <v>1</v>
      </c>
      <c r="AC277" s="154"/>
      <c r="AD277" s="158">
        <f>IF(E277="","",Input!$C$48*IF(Summary!$D$30="Included Margin",IF(AND($B277&gt;Input!$C$9,Summary!$D$31&lt;&gt;"Included Margin"),0,1),0))</f>
        <v>-4.4999999999999997E-3</v>
      </c>
      <c r="AE277" s="159">
        <f>IF(E277="","",IF(Summary!$D$26="Included Margin",IF(AND($B277&gt;Input!$C$9,Summary!$D$31&lt;&gt;"Included Margin"),1,1/$R277),1))</f>
        <v>1.1165861165318642</v>
      </c>
      <c r="AF277" s="160">
        <f>IF(E277="","",IF(AND($B277&gt;=Input!$C$9,$C277=12,Summary!$D$31="Included Margin",$U277&gt;0),1/U277-1,IF($B277&gt;=Input!$C$9,0,Input!$C$45*IF(Summary!$D$27="Included Margin",1,0))))</f>
        <v>0</v>
      </c>
      <c r="AG277" s="160">
        <f>IF(E277="","",Input!$C$46*IF(Summary!$D$28="Included Margin",IF(AND($B277&gt;Input!$C$9,Summary!$D$31&lt;&gt;"Included Margin"),0,1),0))</f>
        <v>0.02</v>
      </c>
      <c r="AH277" s="158">
        <f>IF(E277="","",Input!$C$47*IF(Summary!$D$29="Included Margin",IF(AND($B277&gt;Input!$C$9,Summary!$D$31&lt;&gt;"Included Margin"),0,1),0))</f>
        <v>2.5000000000000001E-3</v>
      </c>
      <c r="AI277" s="154"/>
      <c r="AJ277" s="158">
        <f t="shared" si="189"/>
        <v>3.5139999999999998E-2</v>
      </c>
      <c r="AK277" s="155">
        <f t="shared" si="190"/>
        <v>2.8822025211785451E-3</v>
      </c>
      <c r="AL277" s="147">
        <f t="shared" si="191"/>
        <v>2.64733108E-2</v>
      </c>
      <c r="AM277" s="147">
        <f t="shared" si="169"/>
        <v>2.23333894828881E-3</v>
      </c>
      <c r="AN277" s="160">
        <f t="shared" si="192"/>
        <v>0</v>
      </c>
      <c r="AO277" s="161">
        <f t="shared" si="193"/>
        <v>0</v>
      </c>
      <c r="AP277" s="156">
        <f t="shared" si="170"/>
        <v>1.6315221224983736</v>
      </c>
      <c r="AQ277" s="152"/>
      <c r="AR277" s="162">
        <f t="shared" si="171"/>
        <v>885.24929386988322</v>
      </c>
      <c r="AS277" s="150">
        <f t="shared" si="194"/>
        <v>0</v>
      </c>
      <c r="AT277" s="163">
        <f t="shared" si="172"/>
        <v>0</v>
      </c>
      <c r="AU277" s="163">
        <f t="shared" si="173"/>
        <v>223.333894828881</v>
      </c>
      <c r="AV277" s="163">
        <f t="shared" si="195"/>
        <v>2.2296209892930916</v>
      </c>
      <c r="AW277" s="163">
        <f t="shared" si="174"/>
        <v>1.4865820164255503</v>
      </c>
      <c r="AX277" s="163">
        <f t="shared" si="175"/>
        <v>0</v>
      </c>
      <c r="AY277" s="164">
        <f t="shared" si="196"/>
        <v>665.6316020467209</v>
      </c>
      <c r="AZ277" s="164">
        <f>IF($E277="","",IF(OR(AND($D277=Input!$C$6,$C277=12),$AN277=1),0,-AS278+AT278+AU278-AV278-AW278-AX278+AZ278))</f>
        <v>665.63206519304799</v>
      </c>
      <c r="BA277" s="154">
        <f t="shared" si="176"/>
        <v>4.6314632709254511E-4</v>
      </c>
      <c r="BC277" s="147">
        <f t="shared" si="197"/>
        <v>6.985820615549429E-2</v>
      </c>
      <c r="BD277" s="164">
        <f>IF(AND($C276=12,$D276=Input!$C$6),0,IF($E277="","",AT277+(AU277+BD278)/(1+$AK277)*MIN((1-AM277-AN277),1)))</f>
        <v>656.65614761887196</v>
      </c>
      <c r="BE277" s="164">
        <f t="shared" si="177"/>
        <v>45.872820533631845</v>
      </c>
      <c r="BF277" s="164">
        <f t="shared" si="198"/>
        <v>665.63206519304799</v>
      </c>
      <c r="BG277" s="164">
        <f t="shared" si="178"/>
        <v>46.49986203396336</v>
      </c>
      <c r="BH277" s="152"/>
      <c r="BI277" s="162">
        <f t="shared" si="179"/>
        <v>-34.573270958155717</v>
      </c>
      <c r="BJ277" s="150">
        <f t="shared" si="180"/>
        <v>0</v>
      </c>
      <c r="BK277" s="163">
        <f t="shared" si="202"/>
        <v>0</v>
      </c>
      <c r="BL277" s="163">
        <f t="shared" si="181"/>
        <v>193.30656617703167</v>
      </c>
      <c r="BM277" s="163">
        <f t="shared" si="203"/>
        <v>-0.42580321407846294</v>
      </c>
      <c r="BN277" s="163">
        <f t="shared" si="182"/>
        <v>-0.44218358166336219</v>
      </c>
      <c r="BO277" s="163">
        <f t="shared" si="183"/>
        <v>0</v>
      </c>
      <c r="BP277" s="164">
        <f t="shared" si="204"/>
        <v>-228.7478239309292</v>
      </c>
      <c r="BQ277" s="164">
        <f>IF($E277="","",IF(AND($D277=Input!$C$6,$C277=12),0,-BJ278+BK278+BL278-BM278-BN278-BO278+BQ278))</f>
        <v>-228.74731593877002</v>
      </c>
      <c r="BR277" s="161">
        <f t="shared" si="184"/>
        <v>0</v>
      </c>
      <c r="BT277" s="147">
        <f t="shared" si="185"/>
        <v>6.985820615549429E-2</v>
      </c>
      <c r="BU277" s="164">
        <f>IF(AND($C276=12,$D276=Input!$C$6),0,IF($E277="","",BK277+(BL277+BU278)/(1+$AK277)*MIN((1-T277-U277),1)))</f>
        <v>24210.901738454661</v>
      </c>
      <c r="BV277" s="164">
        <f t="shared" si="186"/>
        <v>1691.3301648553809</v>
      </c>
      <c r="BW277" s="164">
        <f t="shared" si="187"/>
        <v>-228.74731593877002</v>
      </c>
      <c r="BX277" s="164">
        <f t="shared" si="188"/>
        <v>-15.97987715436658</v>
      </c>
    </row>
    <row r="278" spans="1:76" s="150" customFormat="1" x14ac:dyDescent="0.25">
      <c r="A278" s="150">
        <f t="shared" si="199"/>
        <v>274</v>
      </c>
      <c r="B278" s="150">
        <f t="shared" si="200"/>
        <v>23</v>
      </c>
      <c r="C278" s="150">
        <f t="shared" si="201"/>
        <v>10</v>
      </c>
      <c r="D278" s="150">
        <f>IF(E278="","",Input!$C$4+B278-1)</f>
        <v>67</v>
      </c>
      <c r="E278" s="150">
        <f>IF(OR(AND(C277=12,D277=Input!$C$6),E277=""),"",1)</f>
        <v>1</v>
      </c>
      <c r="F278" s="150">
        <f>IF(E278="","",Input!$C$8+B278-1)</f>
        <v>2040</v>
      </c>
      <c r="G278" s="151">
        <f>IF(E278="","",MAX(0,Input!$C$9-B278))</f>
        <v>0</v>
      </c>
      <c r="H278" s="152">
        <f>IF(E278="","",Input!$C$3)</f>
        <v>100000</v>
      </c>
      <c r="I278" s="153">
        <f>IF(E278="","",HLOOKUP($B278,Input!$C$13:$BT$14,2))</f>
        <v>22.956499999999998</v>
      </c>
      <c r="J278" s="154"/>
      <c r="K278" s="155">
        <f>IF($E278="","",INDEX(Input!$C$16:$CP$16,1,$B278))</f>
        <v>2.4639999999999999E-2</v>
      </c>
      <c r="L278" s="155">
        <f>IF($E278="","",Input!$C$37)</f>
        <v>1.4999999999999999E-2</v>
      </c>
      <c r="M278" s="155">
        <f t="shared" si="164"/>
        <v>3.9639999999999995E-2</v>
      </c>
      <c r="N278" s="155">
        <f t="shared" si="165"/>
        <v>3.2447946009999118E-3</v>
      </c>
      <c r="O278" s="147">
        <f>IF($E278="","",MIN(VLOOKUP(IF($B278&lt;=Input!$C$7,$B278,26),'Mortality Tables'!$A$41:$CW$67,IF($B278&lt;=Input!$C$7+1,Input!$C$4+2,$D278-Input!$C$7+2),0)*IF(B278&gt;20,Input!$C$22,1)/1000,1))</f>
        <v>2.56276E-2</v>
      </c>
      <c r="P278" s="147">
        <f>IF($E278="","",MIN(VLOOKUP(IF($B278&lt;=Input!$C$7,$B278,26),'Mortality Tables'!$A$12:$CW$37,IF($B278&lt;=Input!$C$7+1,Input!$C$4+2,$D278-Input!$C$7+2),0)*IF(B278&gt;20,Input!$C$22,1)/1000,1))</f>
        <v>3.20345E-2</v>
      </c>
      <c r="Q278" s="155">
        <f>IF($E278="","",Input!$C$21)</f>
        <v>5.0000000000000001E-3</v>
      </c>
      <c r="R278" s="159">
        <f>IF($E278="","",(1-Q278)^($F278-Input!$C$20))</f>
        <v>0.89558699073387849</v>
      </c>
      <c r="S278" s="147">
        <f t="shared" si="167"/>
        <v>2.2951745163731545E-2</v>
      </c>
      <c r="T278" s="147">
        <f t="shared" si="168"/>
        <v>1.9330656617703168E-3</v>
      </c>
      <c r="U278" s="160">
        <f>IF($E278="","",IF($C278=12,INDEX(Input!$C$15:$CP$15,1,$B278),0))</f>
        <v>0</v>
      </c>
      <c r="V278" s="150">
        <f>IF(E278="","",IF(C278=1,IF($B278=1,Input!$C$33,Input!$C$34),0))</f>
        <v>0</v>
      </c>
      <c r="W278" s="156">
        <f>IF($E278="","",Input!$C$35)</f>
        <v>0.02</v>
      </c>
      <c r="X278" s="156">
        <f t="shared" si="166"/>
        <v>1.5459796707758806</v>
      </c>
      <c r="Y278" s="154"/>
      <c r="Z278" s="147">
        <f>IF($E278="","",VLOOKUP($D278,'Mortality Margins &amp; Grading'!$AB$5:$AF$125,3,0)*IF(Summary!$D$25="Included Margin",IF(AND($B278&gt;Input!$C$9,Summary!$D$31&lt;&gt;"Included Margin"),0,1),0))</f>
        <v>3.3000000000000002E-2</v>
      </c>
      <c r="AA278" s="147">
        <f>IF($E278="","",VLOOKUP($D278,'Mortality Margins &amp; Grading'!$AB$5:$AF$125,5,0)*IF(Summary!$D$25="Included Margin",IF(AND($B278&gt;Input!$C$9,Summary!$D$31&lt;&gt;"Included Margin"),0,1),0))</f>
        <v>0.16900000000000001</v>
      </c>
      <c r="AB278" s="147">
        <f>IF($E278="","",IF(AND($B278&gt;Input!$C$9,Summary!$D$31&lt;&gt;"Included Margin"),1,IF(Summary!$D$25="Included Margin",VLOOKUP($B278,'Mortality Margins &amp; Grading'!$AI$5:$AR$125,MATCH('Mortality Margins &amp; Grading'!$AQ$4,'Mortality Margins &amp; Grading'!$AI$4:$AR$4,0),0),1)))</f>
        <v>1</v>
      </c>
      <c r="AC278" s="154"/>
      <c r="AD278" s="158">
        <f>IF(E278="","",Input!$C$48*IF(Summary!$D$30="Included Margin",IF(AND($B278&gt;Input!$C$9,Summary!$D$31&lt;&gt;"Included Margin"),0,1),0))</f>
        <v>-4.4999999999999997E-3</v>
      </c>
      <c r="AE278" s="159">
        <f>IF(E278="","",IF(Summary!$D$26="Included Margin",IF(AND($B278&gt;Input!$C$9,Summary!$D$31&lt;&gt;"Included Margin"),1,1/$R278),1))</f>
        <v>1.1165861165318642</v>
      </c>
      <c r="AF278" s="160">
        <f>IF(E278="","",IF(AND($B278&gt;=Input!$C$9,$C278=12,Summary!$D$31="Included Margin",$U278&gt;0),1/U278-1,IF($B278&gt;=Input!$C$9,0,Input!$C$45*IF(Summary!$D$27="Included Margin",1,0))))</f>
        <v>0</v>
      </c>
      <c r="AG278" s="160">
        <f>IF(E278="","",Input!$C$46*IF(Summary!$D$28="Included Margin",IF(AND($B278&gt;Input!$C$9,Summary!$D$31&lt;&gt;"Included Margin"),0,1),0))</f>
        <v>0.02</v>
      </c>
      <c r="AH278" s="158">
        <f>IF(E278="","",Input!$C$47*IF(Summary!$D$29="Included Margin",IF(AND($B278&gt;Input!$C$9,Summary!$D$31&lt;&gt;"Included Margin"),0,1),0))</f>
        <v>2.5000000000000001E-3</v>
      </c>
      <c r="AI278" s="154"/>
      <c r="AJ278" s="158">
        <f t="shared" si="189"/>
        <v>3.5139999999999998E-2</v>
      </c>
      <c r="AK278" s="155">
        <f t="shared" si="190"/>
        <v>2.8822025211785451E-3</v>
      </c>
      <c r="AL278" s="147">
        <f t="shared" si="191"/>
        <v>2.64733108E-2</v>
      </c>
      <c r="AM278" s="147">
        <f t="shared" si="169"/>
        <v>2.23333894828881E-3</v>
      </c>
      <c r="AN278" s="160">
        <f t="shared" si="192"/>
        <v>0</v>
      </c>
      <c r="AO278" s="161">
        <f t="shared" si="193"/>
        <v>0</v>
      </c>
      <c r="AP278" s="156">
        <f t="shared" si="170"/>
        <v>1.6315221224983736</v>
      </c>
      <c r="AQ278" s="152"/>
      <c r="AR278" s="162">
        <f t="shared" si="171"/>
        <v>665.63160204672101</v>
      </c>
      <c r="AS278" s="150">
        <f t="shared" si="194"/>
        <v>0</v>
      </c>
      <c r="AT278" s="163">
        <f t="shared" si="172"/>
        <v>0</v>
      </c>
      <c r="AU278" s="163">
        <f t="shared" si="173"/>
        <v>223.333894828881</v>
      </c>
      <c r="AV278" s="163">
        <f t="shared" si="195"/>
        <v>1.5966383242249609</v>
      </c>
      <c r="AW278" s="163">
        <f t="shared" si="174"/>
        <v>0.9935865807963854</v>
      </c>
      <c r="AX278" s="163">
        <f t="shared" si="175"/>
        <v>0</v>
      </c>
      <c r="AY278" s="165">
        <f t="shared" si="196"/>
        <v>444.88793212286134</v>
      </c>
      <c r="AZ278" s="164">
        <f>IF($E278="","",IF(OR(AND($D278=Input!$C$6,$C278=12),$AN278=1),0,-AS279+AT279+AU279-AV279-AW279-AX279+AZ279))</f>
        <v>444.88839526918832</v>
      </c>
      <c r="BA278" s="154">
        <f t="shared" si="176"/>
        <v>4.6314632697885827E-4</v>
      </c>
      <c r="BC278" s="147">
        <f t="shared" si="197"/>
        <v>6.972316565598223E-2</v>
      </c>
      <c r="BD278" s="164">
        <f>IF(AND($C277=12,$D277=Input!$C$6),0,IF($E278="","",AT278+(AU278+BD279)/(1+$AK278)*MIN((1-AM278-AN278),1)))</f>
        <v>436.68892346105173</v>
      </c>
      <c r="BE278" s="164">
        <f t="shared" si="177"/>
        <v>30.447334150607453</v>
      </c>
      <c r="BF278" s="164">
        <f t="shared" si="198"/>
        <v>444.88839526918832</v>
      </c>
      <c r="BG278" s="164">
        <f t="shared" si="178"/>
        <v>31.019027281777717</v>
      </c>
      <c r="BH278" s="152"/>
      <c r="BI278" s="162">
        <f t="shared" si="179"/>
        <v>-228.74782393092923</v>
      </c>
      <c r="BJ278" s="150">
        <f t="shared" si="180"/>
        <v>0</v>
      </c>
      <c r="BK278" s="163">
        <f t="shared" si="202"/>
        <v>0</v>
      </c>
      <c r="BL278" s="163">
        <f t="shared" si="181"/>
        <v>193.30656617703167</v>
      </c>
      <c r="BM278" s="163">
        <f t="shared" si="203"/>
        <v>-1.05585975521609</v>
      </c>
      <c r="BN278" s="163">
        <f t="shared" si="182"/>
        <v>-0.81948302767256431</v>
      </c>
      <c r="BO278" s="163">
        <f t="shared" si="183"/>
        <v>0</v>
      </c>
      <c r="BP278" s="164">
        <f t="shared" si="204"/>
        <v>-423.92973289084955</v>
      </c>
      <c r="BQ278" s="164">
        <f>IF($E278="","",IF(AND($D278=Input!$C$6,$C278=12),0,-BJ279+BK279+BL279-BM279-BN279-BO279+BQ279))</f>
        <v>-423.92922489869034</v>
      </c>
      <c r="BR278" s="161">
        <f t="shared" si="184"/>
        <v>0</v>
      </c>
      <c r="BT278" s="147">
        <f t="shared" si="185"/>
        <v>6.972316565598223E-2</v>
      </c>
      <c r="BU278" s="164">
        <f>IF(AND($C277=12,$D277=Input!$C$6),0,IF($E278="","",BK278+(BL278+BU279)/(1+$AK278)*MIN((1-T278-U278),1)))</f>
        <v>24134.402954211597</v>
      </c>
      <c r="BV278" s="164">
        <f t="shared" si="186"/>
        <v>1682.7269751847221</v>
      </c>
      <c r="BW278" s="164">
        <f t="shared" si="187"/>
        <v>-423.92922489869034</v>
      </c>
      <c r="BX278" s="164">
        <f t="shared" si="188"/>
        <v>-29.557687574023532</v>
      </c>
    </row>
    <row r="279" spans="1:76" s="150" customFormat="1" x14ac:dyDescent="0.25">
      <c r="A279" s="150">
        <f t="shared" si="199"/>
        <v>275</v>
      </c>
      <c r="B279" s="150">
        <f t="shared" si="200"/>
        <v>23</v>
      </c>
      <c r="C279" s="150">
        <f t="shared" si="201"/>
        <v>11</v>
      </c>
      <c r="D279" s="150">
        <f>IF(E279="","",Input!$C$4+B279-1)</f>
        <v>67</v>
      </c>
      <c r="E279" s="150">
        <f>IF(OR(AND(C278=12,D278=Input!$C$6),E278=""),"",1)</f>
        <v>1</v>
      </c>
      <c r="F279" s="150">
        <f>IF(E279="","",Input!$C$8+B279-1)</f>
        <v>2040</v>
      </c>
      <c r="G279" s="151">
        <f>IF(E279="","",MAX(0,Input!$C$9-B279))</f>
        <v>0</v>
      </c>
      <c r="H279" s="152">
        <f>IF(E279="","",Input!$C$3)</f>
        <v>100000</v>
      </c>
      <c r="I279" s="153">
        <f>IF(E279="","",HLOOKUP($B279,Input!$C$13:$BT$14,2))</f>
        <v>22.956499999999998</v>
      </c>
      <c r="J279" s="154"/>
      <c r="K279" s="155">
        <f>IF($E279="","",INDEX(Input!$C$16:$CP$16,1,$B279))</f>
        <v>2.4639999999999999E-2</v>
      </c>
      <c r="L279" s="155">
        <f>IF($E279="","",Input!$C$37)</f>
        <v>1.4999999999999999E-2</v>
      </c>
      <c r="M279" s="155">
        <f t="shared" si="164"/>
        <v>3.9639999999999995E-2</v>
      </c>
      <c r="N279" s="155">
        <f t="shared" si="165"/>
        <v>3.2447946009999118E-3</v>
      </c>
      <c r="O279" s="147">
        <f>IF($E279="","",MIN(VLOOKUP(IF($B279&lt;=Input!$C$7,$B279,26),'Mortality Tables'!$A$41:$CW$67,IF($B279&lt;=Input!$C$7+1,Input!$C$4+2,$D279-Input!$C$7+2),0)*IF(B279&gt;20,Input!$C$22,1)/1000,1))</f>
        <v>2.56276E-2</v>
      </c>
      <c r="P279" s="147">
        <f>IF($E279="","",MIN(VLOOKUP(IF($B279&lt;=Input!$C$7,$B279,26),'Mortality Tables'!$A$12:$CW$37,IF($B279&lt;=Input!$C$7+1,Input!$C$4+2,$D279-Input!$C$7+2),0)*IF(B279&gt;20,Input!$C$22,1)/1000,1))</f>
        <v>3.20345E-2</v>
      </c>
      <c r="Q279" s="155">
        <f>IF($E279="","",Input!$C$21)</f>
        <v>5.0000000000000001E-3</v>
      </c>
      <c r="R279" s="159">
        <f>IF($E279="","",(1-Q279)^($F279-Input!$C$20))</f>
        <v>0.89558699073387849</v>
      </c>
      <c r="S279" s="147">
        <f t="shared" si="167"/>
        <v>2.2951745163731545E-2</v>
      </c>
      <c r="T279" s="147">
        <f t="shared" si="168"/>
        <v>1.9330656617703168E-3</v>
      </c>
      <c r="U279" s="160">
        <f>IF($E279="","",IF($C279=12,INDEX(Input!$C$15:$CP$15,1,$B279),0))</f>
        <v>0</v>
      </c>
      <c r="V279" s="150">
        <f>IF(E279="","",IF(C279=1,IF($B279=1,Input!$C$33,Input!$C$34),0))</f>
        <v>0</v>
      </c>
      <c r="W279" s="156">
        <f>IF($E279="","",Input!$C$35)</f>
        <v>0.02</v>
      </c>
      <c r="X279" s="156">
        <f t="shared" si="166"/>
        <v>1.5459796707758806</v>
      </c>
      <c r="Y279" s="154"/>
      <c r="Z279" s="147">
        <f>IF($E279="","",VLOOKUP($D279,'Mortality Margins &amp; Grading'!$AB$5:$AF$125,3,0)*IF(Summary!$D$25="Included Margin",IF(AND($B279&gt;Input!$C$9,Summary!$D$31&lt;&gt;"Included Margin"),0,1),0))</f>
        <v>3.3000000000000002E-2</v>
      </c>
      <c r="AA279" s="147">
        <f>IF($E279="","",VLOOKUP($D279,'Mortality Margins &amp; Grading'!$AB$5:$AF$125,5,0)*IF(Summary!$D$25="Included Margin",IF(AND($B279&gt;Input!$C$9,Summary!$D$31&lt;&gt;"Included Margin"),0,1),0))</f>
        <v>0.16900000000000001</v>
      </c>
      <c r="AB279" s="147">
        <f>IF($E279="","",IF(AND($B279&gt;Input!$C$9,Summary!$D$31&lt;&gt;"Included Margin"),1,IF(Summary!$D$25="Included Margin",VLOOKUP($B279,'Mortality Margins &amp; Grading'!$AI$5:$AR$125,MATCH('Mortality Margins &amp; Grading'!$AQ$4,'Mortality Margins &amp; Grading'!$AI$4:$AR$4,0),0),1)))</f>
        <v>1</v>
      </c>
      <c r="AC279" s="154"/>
      <c r="AD279" s="158">
        <f>IF(E279="","",Input!$C$48*IF(Summary!$D$30="Included Margin",IF(AND($B279&gt;Input!$C$9,Summary!$D$31&lt;&gt;"Included Margin"),0,1),0))</f>
        <v>-4.4999999999999997E-3</v>
      </c>
      <c r="AE279" s="159">
        <f>IF(E279="","",IF(Summary!$D$26="Included Margin",IF(AND($B279&gt;Input!$C$9,Summary!$D$31&lt;&gt;"Included Margin"),1,1/$R279),1))</f>
        <v>1.1165861165318642</v>
      </c>
      <c r="AF279" s="160">
        <f>IF(E279="","",IF(AND($B279&gt;=Input!$C$9,$C279=12,Summary!$D$31="Included Margin",$U279&gt;0),1/U279-1,IF($B279&gt;=Input!$C$9,0,Input!$C$45*IF(Summary!$D$27="Included Margin",1,0))))</f>
        <v>0</v>
      </c>
      <c r="AG279" s="160">
        <f>IF(E279="","",Input!$C$46*IF(Summary!$D$28="Included Margin",IF(AND($B279&gt;Input!$C$9,Summary!$D$31&lt;&gt;"Included Margin"),0,1),0))</f>
        <v>0.02</v>
      </c>
      <c r="AH279" s="158">
        <f>IF(E279="","",Input!$C$47*IF(Summary!$D$29="Included Margin",IF(AND($B279&gt;Input!$C$9,Summary!$D$31&lt;&gt;"Included Margin"),0,1),0))</f>
        <v>2.5000000000000001E-3</v>
      </c>
      <c r="AI279" s="154"/>
      <c r="AJ279" s="158">
        <f t="shared" si="189"/>
        <v>3.5139999999999998E-2</v>
      </c>
      <c r="AK279" s="155">
        <f t="shared" si="190"/>
        <v>2.8822025211785451E-3</v>
      </c>
      <c r="AL279" s="147">
        <f t="shared" si="191"/>
        <v>2.64733108E-2</v>
      </c>
      <c r="AM279" s="147">
        <f t="shared" si="169"/>
        <v>2.23333894828881E-3</v>
      </c>
      <c r="AN279" s="160">
        <f t="shared" si="192"/>
        <v>0</v>
      </c>
      <c r="AO279" s="161">
        <f t="shared" si="193"/>
        <v>0</v>
      </c>
      <c r="AP279" s="156">
        <f t="shared" si="170"/>
        <v>1.6315221224983736</v>
      </c>
      <c r="AQ279" s="152"/>
      <c r="AR279" s="162">
        <f t="shared" si="171"/>
        <v>444.88793212286134</v>
      </c>
      <c r="AS279" s="150">
        <f t="shared" si="194"/>
        <v>0</v>
      </c>
      <c r="AT279" s="163">
        <f t="shared" si="172"/>
        <v>0</v>
      </c>
      <c r="AU279" s="163">
        <f t="shared" si="173"/>
        <v>223.333894828881</v>
      </c>
      <c r="AV279" s="163">
        <f t="shared" si="195"/>
        <v>0.9604103622362079</v>
      </c>
      <c r="AW279" s="163">
        <f t="shared" si="174"/>
        <v>0.49806356162122312</v>
      </c>
      <c r="AX279" s="163">
        <f t="shared" si="175"/>
        <v>0</v>
      </c>
      <c r="AY279" s="164">
        <f t="shared" si="196"/>
        <v>223.01251121783778</v>
      </c>
      <c r="AZ279" s="164">
        <f>IF($E279="","",IF(OR(AND($D279=Input!$C$6,$C279=12),$AN279=1),0,-AS280+AT280+AU280-AV280-AW280-AX280+AZ280))</f>
        <v>223.01297436416479</v>
      </c>
      <c r="BA279" s="154">
        <f t="shared" si="176"/>
        <v>4.6314632700727998E-4</v>
      </c>
      <c r="BC279" s="147">
        <f t="shared" si="197"/>
        <v>6.9588386198622731E-2</v>
      </c>
      <c r="BD279" s="164">
        <f>IF(AND($C278=12,$D278=Input!$C$6),0,IF($E279="","",AT279+(AU279+BD280)/(1+$AK279)*MIN((1-AM279-AN279),1)))</f>
        <v>215.59392915312756</v>
      </c>
      <c r="BE279" s="164">
        <f t="shared" si="177"/>
        <v>15.00283360398635</v>
      </c>
      <c r="BF279" s="164">
        <f t="shared" si="198"/>
        <v>223.01297436416479</v>
      </c>
      <c r="BG279" s="164">
        <f t="shared" si="178"/>
        <v>15.519112987357049</v>
      </c>
      <c r="BH279" s="152"/>
      <c r="BI279" s="162">
        <f t="shared" si="179"/>
        <v>-423.92973289084955</v>
      </c>
      <c r="BJ279" s="150">
        <f t="shared" si="180"/>
        <v>0</v>
      </c>
      <c r="BK279" s="163">
        <f t="shared" si="202"/>
        <v>0</v>
      </c>
      <c r="BL279" s="163">
        <f t="shared" si="181"/>
        <v>193.30656617703167</v>
      </c>
      <c r="BM279" s="163">
        <f t="shared" si="203"/>
        <v>-1.6891849596220958</v>
      </c>
      <c r="BN279" s="163">
        <f t="shared" si="182"/>
        <v>-1.198739861249116</v>
      </c>
      <c r="BO279" s="163">
        <f t="shared" si="183"/>
        <v>0</v>
      </c>
      <c r="BP279" s="164">
        <f t="shared" si="204"/>
        <v>-620.12422388875245</v>
      </c>
      <c r="BQ279" s="164">
        <f>IF($E279="","",IF(AND($D279=Input!$C$6,$C279=12),0,-BJ280+BK280+BL280-BM280-BN280-BO280+BQ280))</f>
        <v>-620.12371589659324</v>
      </c>
      <c r="BR279" s="161">
        <f t="shared" si="184"/>
        <v>0</v>
      </c>
      <c r="BT279" s="147">
        <f t="shared" si="185"/>
        <v>6.9588386198622731E-2</v>
      </c>
      <c r="BU279" s="164">
        <f>IF(AND($C278=12,$D278=Input!$C$6),0,IF($E279="","",BK279+(BL279+BU280)/(1+$AK279)*MIN((1-T279-U279),1)))</f>
        <v>24057.535094359348</v>
      </c>
      <c r="BV279" s="164">
        <f t="shared" si="186"/>
        <v>1674.125043133198</v>
      </c>
      <c r="BW279" s="164">
        <f t="shared" si="187"/>
        <v>-620.12371589659324</v>
      </c>
      <c r="BX279" s="164">
        <f t="shared" si="188"/>
        <v>-43.153408632737133</v>
      </c>
    </row>
    <row r="280" spans="1:76" s="150" customFormat="1" x14ac:dyDescent="0.25">
      <c r="A280" s="150">
        <f t="shared" si="199"/>
        <v>276</v>
      </c>
      <c r="B280" s="150">
        <f t="shared" si="200"/>
        <v>23</v>
      </c>
      <c r="C280" s="150">
        <f t="shared" si="201"/>
        <v>12</v>
      </c>
      <c r="D280" s="150">
        <f>IF(E280="","",Input!$C$4+B280-1)</f>
        <v>67</v>
      </c>
      <c r="E280" s="150">
        <f>IF(OR(AND(C279=12,D279=Input!$C$6),E279=""),"",1)</f>
        <v>1</v>
      </c>
      <c r="F280" s="150">
        <f>IF(E280="","",Input!$C$8+B280-1)</f>
        <v>2040</v>
      </c>
      <c r="G280" s="151">
        <f>IF(E280="","",MAX(0,Input!$C$9-B280))</f>
        <v>0</v>
      </c>
      <c r="H280" s="152">
        <f>IF(E280="","",Input!$C$3)</f>
        <v>100000</v>
      </c>
      <c r="I280" s="153">
        <f>IF(E280="","",HLOOKUP($B280,Input!$C$13:$BT$14,2))</f>
        <v>22.956499999999998</v>
      </c>
      <c r="J280" s="154"/>
      <c r="K280" s="155">
        <f>IF($E280="","",INDEX(Input!$C$16:$CP$16,1,$B280))</f>
        <v>2.4639999999999999E-2</v>
      </c>
      <c r="L280" s="155">
        <f>IF($E280="","",Input!$C$37)</f>
        <v>1.4999999999999999E-2</v>
      </c>
      <c r="M280" s="155">
        <f t="shared" si="164"/>
        <v>3.9639999999999995E-2</v>
      </c>
      <c r="N280" s="155">
        <f t="shared" si="165"/>
        <v>3.2447946009999118E-3</v>
      </c>
      <c r="O280" s="147">
        <f>IF($E280="","",MIN(VLOOKUP(IF($B280&lt;=Input!$C$7,$B280,26),'Mortality Tables'!$A$41:$CW$67,IF($B280&lt;=Input!$C$7+1,Input!$C$4+2,$D280-Input!$C$7+2),0)*IF(B280&gt;20,Input!$C$22,1)/1000,1))</f>
        <v>2.56276E-2</v>
      </c>
      <c r="P280" s="147">
        <f>IF($E280="","",MIN(VLOOKUP(IF($B280&lt;=Input!$C$7,$B280,26),'Mortality Tables'!$A$12:$CW$37,IF($B280&lt;=Input!$C$7+1,Input!$C$4+2,$D280-Input!$C$7+2),0)*IF(B280&gt;20,Input!$C$22,1)/1000,1))</f>
        <v>3.20345E-2</v>
      </c>
      <c r="Q280" s="155">
        <f>IF($E280="","",Input!$C$21)</f>
        <v>5.0000000000000001E-3</v>
      </c>
      <c r="R280" s="159">
        <f>IF($E280="","",(1-Q280)^($F280-Input!$C$20))</f>
        <v>0.89558699073387849</v>
      </c>
      <c r="S280" s="147">
        <f t="shared" si="167"/>
        <v>2.2951745163731545E-2</v>
      </c>
      <c r="T280" s="147">
        <f t="shared" si="168"/>
        <v>1.9330656617703168E-3</v>
      </c>
      <c r="U280" s="160">
        <f>IF($E280="","",IF($C280=12,INDEX(Input!$C$15:$CP$15,1,$B280),0))</f>
        <v>0.1</v>
      </c>
      <c r="V280" s="150">
        <f>IF(E280="","",IF(C280=1,IF($B280=1,Input!$C$33,Input!$C$34),0))</f>
        <v>0</v>
      </c>
      <c r="W280" s="156">
        <f>IF($E280="","",Input!$C$35)</f>
        <v>0.02</v>
      </c>
      <c r="X280" s="156">
        <f t="shared" si="166"/>
        <v>1.5459796707758806</v>
      </c>
      <c r="Y280" s="154"/>
      <c r="Z280" s="147">
        <f>IF($E280="","",VLOOKUP($D280,'Mortality Margins &amp; Grading'!$AB$5:$AF$125,3,0)*IF(Summary!$D$25="Included Margin",IF(AND($B280&gt;Input!$C$9,Summary!$D$31&lt;&gt;"Included Margin"),0,1),0))</f>
        <v>3.3000000000000002E-2</v>
      </c>
      <c r="AA280" s="147">
        <f>IF($E280="","",VLOOKUP($D280,'Mortality Margins &amp; Grading'!$AB$5:$AF$125,5,0)*IF(Summary!$D$25="Included Margin",IF(AND($B280&gt;Input!$C$9,Summary!$D$31&lt;&gt;"Included Margin"),0,1),0))</f>
        <v>0.16900000000000001</v>
      </c>
      <c r="AB280" s="147">
        <f>IF($E280="","",IF(AND($B280&gt;Input!$C$9,Summary!$D$31&lt;&gt;"Included Margin"),1,IF(Summary!$D$25="Included Margin",VLOOKUP($B280,'Mortality Margins &amp; Grading'!$AI$5:$AR$125,MATCH('Mortality Margins &amp; Grading'!$AQ$4,'Mortality Margins &amp; Grading'!$AI$4:$AR$4,0),0),1)))</f>
        <v>1</v>
      </c>
      <c r="AC280" s="154"/>
      <c r="AD280" s="158">
        <f>IF(E280="","",Input!$C$48*IF(Summary!$D$30="Included Margin",IF(AND($B280&gt;Input!$C$9,Summary!$D$31&lt;&gt;"Included Margin"),0,1),0))</f>
        <v>-4.4999999999999997E-3</v>
      </c>
      <c r="AE280" s="159">
        <f>IF(E280="","",IF(Summary!$D$26="Included Margin",IF(AND($B280&gt;Input!$C$9,Summary!$D$31&lt;&gt;"Included Margin"),1,1/$R280),1))</f>
        <v>1.1165861165318642</v>
      </c>
      <c r="AF280" s="160">
        <f>IF(E280="","",IF(AND($B280&gt;=Input!$C$9,$C280=12,Summary!$D$31="Included Margin",$U280&gt;0),1/U280-1,IF($B280&gt;=Input!$C$9,0,Input!$C$45*IF(Summary!$D$27="Included Margin",1,0))))</f>
        <v>9</v>
      </c>
      <c r="AG280" s="160">
        <f>IF(E280="","",Input!$C$46*IF(Summary!$D$28="Included Margin",IF(AND($B280&gt;Input!$C$9,Summary!$D$31&lt;&gt;"Included Margin"),0,1),0))</f>
        <v>0.02</v>
      </c>
      <c r="AH280" s="158">
        <f>IF(E280="","",Input!$C$47*IF(Summary!$D$29="Included Margin",IF(AND($B280&gt;Input!$C$9,Summary!$D$31&lt;&gt;"Included Margin"),0,1),0))</f>
        <v>2.5000000000000001E-3</v>
      </c>
      <c r="AI280" s="154"/>
      <c r="AJ280" s="158">
        <f t="shared" si="189"/>
        <v>3.5139999999999998E-2</v>
      </c>
      <c r="AK280" s="155">
        <f t="shared" si="190"/>
        <v>2.8822025211785451E-3</v>
      </c>
      <c r="AL280" s="147">
        <f t="shared" si="191"/>
        <v>2.64733108E-2</v>
      </c>
      <c r="AM280" s="147">
        <f t="shared" si="169"/>
        <v>2.23333894828881E-3</v>
      </c>
      <c r="AN280" s="160">
        <f t="shared" si="192"/>
        <v>1</v>
      </c>
      <c r="AO280" s="161">
        <f t="shared" si="193"/>
        <v>0</v>
      </c>
      <c r="AP280" s="156">
        <f t="shared" si="170"/>
        <v>1.6315221224983736</v>
      </c>
      <c r="AQ280" s="152"/>
      <c r="AR280" s="162">
        <f t="shared" si="171"/>
        <v>223.01251121783778</v>
      </c>
      <c r="AS280" s="150">
        <f t="shared" si="194"/>
        <v>0</v>
      </c>
      <c r="AT280" s="163">
        <f t="shared" si="172"/>
        <v>0</v>
      </c>
      <c r="AU280" s="163">
        <f t="shared" si="173"/>
        <v>223.333894828881</v>
      </c>
      <c r="AV280" s="163">
        <f t="shared" si="195"/>
        <v>0.32092046471619823</v>
      </c>
      <c r="AW280" s="163">
        <f t="shared" si="174"/>
        <v>0</v>
      </c>
      <c r="AX280" s="163">
        <f t="shared" si="175"/>
        <v>0</v>
      </c>
      <c r="AY280" s="165">
        <f t="shared" si="196"/>
        <v>-4.6314632701865976E-4</v>
      </c>
      <c r="AZ280" s="164">
        <f>IF($E280="","",IF(OR(AND($D280=Input!$C$6,$C280=12),$AN280=1),0,-AS281+AT281+AU281-AV281-AW281-AX281+AZ281))</f>
        <v>0</v>
      </c>
      <c r="BA280" s="154">
        <f t="shared" si="176"/>
        <v>4.6314632701865976E-4</v>
      </c>
      <c r="BC280" s="147">
        <f t="shared" si="197"/>
        <v>6.2495028658941888E-2</v>
      </c>
      <c r="BD280" s="164">
        <f>IF(AND($C279=12,$D279=Input!$C$6),0,IF($E280="","",AT280+(AU280+BD281)/(1+$AK280)*MIN((1-AM280-AN280),1)))</f>
        <v>-6.6346173731896423</v>
      </c>
      <c r="BE280" s="164">
        <f t="shared" si="177"/>
        <v>-0.41463060287860043</v>
      </c>
      <c r="BF280" s="164">
        <f t="shared" si="198"/>
        <v>0</v>
      </c>
      <c r="BG280" s="164">
        <f t="shared" si="178"/>
        <v>0</v>
      </c>
      <c r="BH280" s="152"/>
      <c r="BI280" s="162">
        <f t="shared" si="179"/>
        <v>-620.12422388875257</v>
      </c>
      <c r="BJ280" s="150">
        <f t="shared" si="180"/>
        <v>0</v>
      </c>
      <c r="BK280" s="163">
        <f t="shared" si="202"/>
        <v>0</v>
      </c>
      <c r="BL280" s="163">
        <f t="shared" si="181"/>
        <v>193.30656617703167</v>
      </c>
      <c r="BM280" s="163">
        <f t="shared" si="203"/>
        <v>-2.3257957847580171</v>
      </c>
      <c r="BN280" s="163">
        <f t="shared" si="182"/>
        <v>-1.7555158190022668</v>
      </c>
      <c r="BO280" s="163">
        <f t="shared" si="183"/>
        <v>-90.639564206487009</v>
      </c>
      <c r="BP280" s="164">
        <f t="shared" si="204"/>
        <v>-908.15166587603153</v>
      </c>
      <c r="BQ280" s="164">
        <f>IF($E280="","",IF(AND($D280=Input!$C$6,$C280=12),0,-BJ281+BK281+BL281-BM281-BN281-BO281+BQ281))</f>
        <v>-908.1511578838722</v>
      </c>
      <c r="BR280" s="161">
        <f t="shared" si="184"/>
        <v>0</v>
      </c>
      <c r="BT280" s="147">
        <f t="shared" si="185"/>
        <v>6.2495028658941888E-2</v>
      </c>
      <c r="BU280" s="164">
        <f>IF(AND($C279=12,$D279=Input!$C$6),0,IF($E280="","",BK280+(BL280+BU281)/(1+$AK280)*MIN((1-T280-U280),1)))</f>
        <v>23980.296378257775</v>
      </c>
      <c r="BV280" s="164">
        <f t="shared" si="186"/>
        <v>1498.64930940914</v>
      </c>
      <c r="BW280" s="164">
        <f t="shared" si="187"/>
        <v>-908.1511578838722</v>
      </c>
      <c r="BX280" s="164">
        <f t="shared" si="188"/>
        <v>-56.754932638603854</v>
      </c>
    </row>
    <row r="281" spans="1:76" s="150" customFormat="1" x14ac:dyDescent="0.25">
      <c r="A281" s="150">
        <f t="shared" si="199"/>
        <v>277</v>
      </c>
      <c r="B281" s="150">
        <f t="shared" si="200"/>
        <v>24</v>
      </c>
      <c r="C281" s="150">
        <f t="shared" si="201"/>
        <v>1</v>
      </c>
      <c r="D281" s="150">
        <f>IF(E281="","",Input!$C$4+B281-1)</f>
        <v>68</v>
      </c>
      <c r="E281" s="150">
        <f>IF(OR(AND(C280=12,D280=Input!$C$6),E280=""),"",1)</f>
        <v>1</v>
      </c>
      <c r="F281" s="150">
        <f>IF(E281="","",Input!$C$8+B281-1)</f>
        <v>2041</v>
      </c>
      <c r="G281" s="151">
        <f>IF(E281="","",MAX(0,Input!$C$9-B281))</f>
        <v>0</v>
      </c>
      <c r="H281" s="152">
        <f>IF(E281="","",Input!$C$3)</f>
        <v>100000</v>
      </c>
      <c r="I281" s="153">
        <f>IF(E281="","",HLOOKUP($B281,Input!$C$13:$BT$14,2))</f>
        <v>25.798500000000001</v>
      </c>
      <c r="J281" s="154"/>
      <c r="K281" s="155">
        <f>IF($E281="","",INDEX(Input!$C$16:$CP$16,1,$B281))</f>
        <v>2.5229999999999999E-2</v>
      </c>
      <c r="L281" s="155">
        <f>IF($E281="","",Input!$C$37)</f>
        <v>1.4999999999999999E-2</v>
      </c>
      <c r="M281" s="155">
        <f t="shared" si="164"/>
        <v>4.0230000000000002E-2</v>
      </c>
      <c r="N281" s="155">
        <f t="shared" si="165"/>
        <v>3.2922277288198742E-3</v>
      </c>
      <c r="O281" s="147">
        <f>IF($E281="","",MIN(VLOOKUP(IF($B281&lt;=Input!$C$7,$B281,26),'Mortality Tables'!$A$41:$CW$67,IF($B281&lt;=Input!$C$7+1,Input!$C$4+2,$D281-Input!$C$7+2),0)*IF(B281&gt;20,Input!$C$22,1)/1000,1))</f>
        <v>2.8850800000000006E-2</v>
      </c>
      <c r="P281" s="147">
        <f>IF($E281="","",MIN(VLOOKUP(IF($B281&lt;=Input!$C$7,$B281,26),'Mortality Tables'!$A$12:$CW$37,IF($B281&lt;=Input!$C$7+1,Input!$C$4+2,$D281-Input!$C$7+2),0)*IF(B281&gt;20,Input!$C$22,1)/1000,1))</f>
        <v>3.6063500000000005E-2</v>
      </c>
      <c r="Q281" s="155">
        <f>IF($E281="","",Input!$C$21)</f>
        <v>5.0000000000000001E-3</v>
      </c>
      <c r="R281" s="159">
        <f>IF($E281="","",(1-Q281)^($F281-Input!$C$20))</f>
        <v>0.89110905578020905</v>
      </c>
      <c r="S281" s="147">
        <f t="shared" si="167"/>
        <v>2.570920914650366E-2</v>
      </c>
      <c r="T281" s="147">
        <f t="shared" si="168"/>
        <v>2.1681018195488511E-3</v>
      </c>
      <c r="U281" s="160">
        <f>IF($E281="","",IF($C281=12,INDEX(Input!$C$15:$CP$15,1,$B281),0))</f>
        <v>0</v>
      </c>
      <c r="V281" s="150">
        <f>IF(E281="","",IF(C281=1,IF($B281=1,Input!$C$33,Input!$C$34),0))</f>
        <v>50</v>
      </c>
      <c r="W281" s="156">
        <f>IF($E281="","",Input!$C$35)</f>
        <v>0.02</v>
      </c>
      <c r="X281" s="156">
        <f t="shared" si="166"/>
        <v>1.5768992641913981</v>
      </c>
      <c r="Y281" s="154"/>
      <c r="Z281" s="147">
        <f>IF($E281="","",VLOOKUP($D281,'Mortality Margins &amp; Grading'!$AB$5:$AF$125,3,0)*IF(Summary!$D$25="Included Margin",IF(AND($B281&gt;Input!$C$9,Summary!$D$31&lt;&gt;"Included Margin"),0,1),0))</f>
        <v>3.2000000000000001E-2</v>
      </c>
      <c r="AA281" s="147">
        <f>IF($E281="","",VLOOKUP($D281,'Mortality Margins &amp; Grading'!$AB$5:$AF$125,5,0)*IF(Summary!$D$25="Included Margin",IF(AND($B281&gt;Input!$C$9,Summary!$D$31&lt;&gt;"Included Margin"),0,1),0))</f>
        <v>0.16500000000000001</v>
      </c>
      <c r="AB281" s="147">
        <f>IF($E281="","",IF(AND($B281&gt;Input!$C$9,Summary!$D$31&lt;&gt;"Included Margin"),1,IF(Summary!$D$25="Included Margin",VLOOKUP($B281,'Mortality Margins &amp; Grading'!$AI$5:$AR$125,MATCH('Mortality Margins &amp; Grading'!$AQ$4,'Mortality Margins &amp; Grading'!$AI$4:$AR$4,0),0),1)))</f>
        <v>1</v>
      </c>
      <c r="AC281" s="154"/>
      <c r="AD281" s="158">
        <f>IF(E281="","",Input!$C$48*IF(Summary!$D$30="Included Margin",IF(AND($B281&gt;Input!$C$9,Summary!$D$31&lt;&gt;"Included Margin"),0,1),0))</f>
        <v>-4.4999999999999997E-3</v>
      </c>
      <c r="AE281" s="159">
        <f>IF(E281="","",IF(Summary!$D$26="Included Margin",IF(AND($B281&gt;Input!$C$9,Summary!$D$31&lt;&gt;"Included Margin"),1,1/$R281),1))</f>
        <v>1.1221971020420747</v>
      </c>
      <c r="AF281" s="160">
        <f>IF(E281="","",IF(AND($B281&gt;=Input!$C$9,$C281=12,Summary!$D$31="Included Margin",$U281&gt;0),1/U281-1,IF($B281&gt;=Input!$C$9,0,Input!$C$45*IF(Summary!$D$27="Included Margin",1,0))))</f>
        <v>0</v>
      </c>
      <c r="AG281" s="160">
        <f>IF(E281="","",Input!$C$46*IF(Summary!$D$28="Included Margin",IF(AND($B281&gt;Input!$C$9,Summary!$D$31&lt;&gt;"Included Margin"),0,1),0))</f>
        <v>0.02</v>
      </c>
      <c r="AH281" s="158">
        <f>IF(E281="","",Input!$C$47*IF(Summary!$D$29="Included Margin",IF(AND($B281&gt;Input!$C$9,Summary!$D$31&lt;&gt;"Included Margin"),0,1),0))</f>
        <v>2.5000000000000001E-3</v>
      </c>
      <c r="AI281" s="154"/>
      <c r="AJ281" s="158">
        <f t="shared" si="189"/>
        <v>3.5730000000000005E-2</v>
      </c>
      <c r="AK281" s="155">
        <f t="shared" si="190"/>
        <v>2.9298245804976197E-3</v>
      </c>
      <c r="AL281" s="147">
        <f t="shared" si="191"/>
        <v>2.9774025600000007E-2</v>
      </c>
      <c r="AM281" s="147">
        <f t="shared" si="169"/>
        <v>2.5156862873524366E-3</v>
      </c>
      <c r="AN281" s="160">
        <f t="shared" si="192"/>
        <v>0</v>
      </c>
      <c r="AO281" s="161">
        <f t="shared" si="193"/>
        <v>51</v>
      </c>
      <c r="AP281" s="156">
        <f t="shared" si="170"/>
        <v>1.668231370254587</v>
      </c>
      <c r="AQ281" s="152"/>
      <c r="AR281" s="162">
        <f t="shared" si="171"/>
        <v>431.23402416039698</v>
      </c>
      <c r="AS281" s="150">
        <f t="shared" si="194"/>
        <v>2579.85</v>
      </c>
      <c r="AT281" s="163">
        <f t="shared" si="172"/>
        <v>85.079799882983934</v>
      </c>
      <c r="AU281" s="163">
        <f t="shared" si="173"/>
        <v>251.56862873524366</v>
      </c>
      <c r="AV281" s="163">
        <f t="shared" si="195"/>
        <v>8.2041531228525368</v>
      </c>
      <c r="AW281" s="163">
        <f t="shared" si="174"/>
        <v>6.7657017689149006</v>
      </c>
      <c r="AX281" s="163">
        <f t="shared" si="175"/>
        <v>0</v>
      </c>
      <c r="AY281" s="164">
        <f t="shared" si="196"/>
        <v>2689.4054504339365</v>
      </c>
      <c r="AZ281" s="164">
        <f>IF($E281="","",IF(OR(AND($D281=Input!$C$6,$C281=12),$AN281=1),0,-AS282+AT282+AU282-AV282-AW282-AX282+AZ282))</f>
        <v>2689.4059895024802</v>
      </c>
      <c r="BA281" s="154">
        <f t="shared" si="176"/>
        <v>5.3906854373053648E-4</v>
      </c>
      <c r="BC281" s="147">
        <f t="shared" si="197"/>
        <v>6.2359533073593681E-2</v>
      </c>
      <c r="BD281" s="164">
        <f>IF(AND($C280=12,$D280=Input!$C$6),0,IF($E281="","",AT281+(AU281+BD282)/(1+$AK281)*MIN((1-AM281-AN281),1)))</f>
        <v>2755.9450405104308</v>
      </c>
      <c r="BE281" s="164">
        <f t="shared" si="177"/>
        <v>171.85944590271669</v>
      </c>
      <c r="BF281" s="164">
        <f t="shared" si="198"/>
        <v>2689.4059895024802</v>
      </c>
      <c r="BG281" s="164">
        <f t="shared" si="178"/>
        <v>167.71010175070086</v>
      </c>
      <c r="BH281" s="152"/>
      <c r="BI281" s="162">
        <f t="shared" si="179"/>
        <v>-908.15174440695569</v>
      </c>
      <c r="BJ281" s="150">
        <f t="shared" si="180"/>
        <v>2579.85</v>
      </c>
      <c r="BK281" s="163">
        <f t="shared" si="202"/>
        <v>78.844963209569912</v>
      </c>
      <c r="BL281" s="163">
        <f t="shared" si="181"/>
        <v>216.81018195488511</v>
      </c>
      <c r="BM281" s="163">
        <f t="shared" si="203"/>
        <v>4.8871415306657271</v>
      </c>
      <c r="BN281" s="163">
        <f t="shared" si="182"/>
        <v>3.0005040619008492</v>
      </c>
      <c r="BO281" s="163">
        <f t="shared" si="183"/>
        <v>0</v>
      </c>
      <c r="BP281" s="164">
        <f t="shared" si="204"/>
        <v>1383.9307560211557</v>
      </c>
      <c r="BQ281" s="164">
        <f>IF($E281="","",IF(AND($D281=Input!$C$6,$C281=12),0,-BJ282+BK282+BL282-BM282-BN282-BO282+BQ282))</f>
        <v>1383.9313425442392</v>
      </c>
      <c r="BR281" s="161">
        <f t="shared" si="184"/>
        <v>0</v>
      </c>
      <c r="BT281" s="147">
        <f t="shared" si="185"/>
        <v>6.2359533073593681E-2</v>
      </c>
      <c r="BU281" s="164">
        <f>IF(AND($C280=12,$D280=Input!$C$6),0,IF($E281="","",BK281+(BL281+BU282)/(1+$AK281)*MIN((1-T281-U281),1)))</f>
        <v>26585.780302954168</v>
      </c>
      <c r="BV281" s="164">
        <f t="shared" si="186"/>
        <v>1657.8768460893659</v>
      </c>
      <c r="BW281" s="164">
        <f t="shared" si="187"/>
        <v>1383.9313425442392</v>
      </c>
      <c r="BX281" s="164">
        <f t="shared" si="188"/>
        <v>86.30131232697039</v>
      </c>
    </row>
    <row r="282" spans="1:76" s="150" customFormat="1" x14ac:dyDescent="0.25">
      <c r="A282" s="150">
        <f t="shared" si="199"/>
        <v>278</v>
      </c>
      <c r="B282" s="150">
        <f t="shared" si="200"/>
        <v>24</v>
      </c>
      <c r="C282" s="150">
        <f t="shared" si="201"/>
        <v>2</v>
      </c>
      <c r="D282" s="150">
        <f>IF(E282="","",Input!$C$4+B282-1)</f>
        <v>68</v>
      </c>
      <c r="E282" s="150">
        <f>IF(OR(AND(C281=12,D281=Input!$C$6),E281=""),"",1)</f>
        <v>1</v>
      </c>
      <c r="F282" s="150">
        <f>IF(E282="","",Input!$C$8+B282-1)</f>
        <v>2041</v>
      </c>
      <c r="G282" s="151">
        <f>IF(E282="","",MAX(0,Input!$C$9-B282))</f>
        <v>0</v>
      </c>
      <c r="H282" s="152">
        <f>IF(E282="","",Input!$C$3)</f>
        <v>100000</v>
      </c>
      <c r="I282" s="153">
        <f>IF(E282="","",HLOOKUP($B282,Input!$C$13:$BT$14,2))</f>
        <v>25.798500000000001</v>
      </c>
      <c r="J282" s="154"/>
      <c r="K282" s="155">
        <f>IF($E282="","",INDEX(Input!$C$16:$CP$16,1,$B282))</f>
        <v>2.5229999999999999E-2</v>
      </c>
      <c r="L282" s="155">
        <f>IF($E282="","",Input!$C$37)</f>
        <v>1.4999999999999999E-2</v>
      </c>
      <c r="M282" s="155">
        <f t="shared" si="164"/>
        <v>4.0230000000000002E-2</v>
      </c>
      <c r="N282" s="155">
        <f t="shared" si="165"/>
        <v>3.2922277288198742E-3</v>
      </c>
      <c r="O282" s="147">
        <f>IF($E282="","",MIN(VLOOKUP(IF($B282&lt;=Input!$C$7,$B282,26),'Mortality Tables'!$A$41:$CW$67,IF($B282&lt;=Input!$C$7+1,Input!$C$4+2,$D282-Input!$C$7+2),0)*IF(B282&gt;20,Input!$C$22,1)/1000,1))</f>
        <v>2.8850800000000006E-2</v>
      </c>
      <c r="P282" s="147">
        <f>IF($E282="","",MIN(VLOOKUP(IF($B282&lt;=Input!$C$7,$B282,26),'Mortality Tables'!$A$12:$CW$37,IF($B282&lt;=Input!$C$7+1,Input!$C$4+2,$D282-Input!$C$7+2),0)*IF(B282&gt;20,Input!$C$22,1)/1000,1))</f>
        <v>3.6063500000000005E-2</v>
      </c>
      <c r="Q282" s="155">
        <f>IF($E282="","",Input!$C$21)</f>
        <v>5.0000000000000001E-3</v>
      </c>
      <c r="R282" s="159">
        <f>IF($E282="","",(1-Q282)^($F282-Input!$C$20))</f>
        <v>0.89110905578020905</v>
      </c>
      <c r="S282" s="147">
        <f t="shared" si="167"/>
        <v>2.570920914650366E-2</v>
      </c>
      <c r="T282" s="147">
        <f t="shared" si="168"/>
        <v>2.1681018195488511E-3</v>
      </c>
      <c r="U282" s="160">
        <f>IF($E282="","",IF($C282=12,INDEX(Input!$C$15:$CP$15,1,$B282),0))</f>
        <v>0</v>
      </c>
      <c r="V282" s="150">
        <f>IF(E282="","",IF(C282=1,IF($B282=1,Input!$C$33,Input!$C$34),0))</f>
        <v>0</v>
      </c>
      <c r="W282" s="156">
        <f>IF($E282="","",Input!$C$35)</f>
        <v>0.02</v>
      </c>
      <c r="X282" s="156">
        <f t="shared" si="166"/>
        <v>1.5768992641913981</v>
      </c>
      <c r="Y282" s="154"/>
      <c r="Z282" s="147">
        <f>IF($E282="","",VLOOKUP($D282,'Mortality Margins &amp; Grading'!$AB$5:$AF$125,3,0)*IF(Summary!$D$25="Included Margin",IF(AND($B282&gt;Input!$C$9,Summary!$D$31&lt;&gt;"Included Margin"),0,1),0))</f>
        <v>3.2000000000000001E-2</v>
      </c>
      <c r="AA282" s="147">
        <f>IF($E282="","",VLOOKUP($D282,'Mortality Margins &amp; Grading'!$AB$5:$AF$125,5,0)*IF(Summary!$D$25="Included Margin",IF(AND($B282&gt;Input!$C$9,Summary!$D$31&lt;&gt;"Included Margin"),0,1),0))</f>
        <v>0.16500000000000001</v>
      </c>
      <c r="AB282" s="147">
        <f>IF($E282="","",IF(AND($B282&gt;Input!$C$9,Summary!$D$31&lt;&gt;"Included Margin"),1,IF(Summary!$D$25="Included Margin",VLOOKUP($B282,'Mortality Margins &amp; Grading'!$AI$5:$AR$125,MATCH('Mortality Margins &amp; Grading'!$AQ$4,'Mortality Margins &amp; Grading'!$AI$4:$AR$4,0),0),1)))</f>
        <v>1</v>
      </c>
      <c r="AC282" s="154"/>
      <c r="AD282" s="158">
        <f>IF(E282="","",Input!$C$48*IF(Summary!$D$30="Included Margin",IF(AND($B282&gt;Input!$C$9,Summary!$D$31&lt;&gt;"Included Margin"),0,1),0))</f>
        <v>-4.4999999999999997E-3</v>
      </c>
      <c r="AE282" s="159">
        <f>IF(E282="","",IF(Summary!$D$26="Included Margin",IF(AND($B282&gt;Input!$C$9,Summary!$D$31&lt;&gt;"Included Margin"),1,1/$R282),1))</f>
        <v>1.1221971020420747</v>
      </c>
      <c r="AF282" s="160">
        <f>IF(E282="","",IF(AND($B282&gt;=Input!$C$9,$C282=12,Summary!$D$31="Included Margin",$U282&gt;0),1/U282-1,IF($B282&gt;=Input!$C$9,0,Input!$C$45*IF(Summary!$D$27="Included Margin",1,0))))</f>
        <v>0</v>
      </c>
      <c r="AG282" s="160">
        <f>IF(E282="","",Input!$C$46*IF(Summary!$D$28="Included Margin",IF(AND($B282&gt;Input!$C$9,Summary!$D$31&lt;&gt;"Included Margin"),0,1),0))</f>
        <v>0.02</v>
      </c>
      <c r="AH282" s="158">
        <f>IF(E282="","",Input!$C$47*IF(Summary!$D$29="Included Margin",IF(AND($B282&gt;Input!$C$9,Summary!$D$31&lt;&gt;"Included Margin"),0,1),0))</f>
        <v>2.5000000000000001E-3</v>
      </c>
      <c r="AI282" s="154"/>
      <c r="AJ282" s="158">
        <f t="shared" si="189"/>
        <v>3.5730000000000005E-2</v>
      </c>
      <c r="AK282" s="155">
        <f t="shared" si="190"/>
        <v>2.9298245804976197E-3</v>
      </c>
      <c r="AL282" s="147">
        <f t="shared" si="191"/>
        <v>2.9774025600000007E-2</v>
      </c>
      <c r="AM282" s="147">
        <f t="shared" si="169"/>
        <v>2.5156862873524366E-3</v>
      </c>
      <c r="AN282" s="160">
        <f t="shared" si="192"/>
        <v>0</v>
      </c>
      <c r="AO282" s="161">
        <f t="shared" si="193"/>
        <v>0</v>
      </c>
      <c r="AP282" s="156">
        <f t="shared" si="170"/>
        <v>1.668231370254587</v>
      </c>
      <c r="AQ282" s="152"/>
      <c r="AR282" s="162">
        <f t="shared" si="171"/>
        <v>2689.4054504339369</v>
      </c>
      <c r="AS282" s="150">
        <f t="shared" si="194"/>
        <v>0</v>
      </c>
      <c r="AT282" s="163">
        <f t="shared" si="172"/>
        <v>0</v>
      </c>
      <c r="AU282" s="163">
        <f t="shared" si="173"/>
        <v>251.56862873524366</v>
      </c>
      <c r="AV282" s="163">
        <f t="shared" si="195"/>
        <v>7.5109602195303227</v>
      </c>
      <c r="AW282" s="163">
        <f t="shared" si="174"/>
        <v>6.1672440902954264</v>
      </c>
      <c r="AX282" s="163">
        <f t="shared" si="175"/>
        <v>0</v>
      </c>
      <c r="AY282" s="165">
        <f t="shared" si="196"/>
        <v>2451.5150260085188</v>
      </c>
      <c r="AZ282" s="164">
        <f>IF($E282="","",IF(OR(AND($D282=Input!$C$6,$C282=12),$AN282=1),0,-AS283+AT283+AU283-AV283-AW283-AX283+AZ283))</f>
        <v>2451.5155650770625</v>
      </c>
      <c r="BA282" s="154">
        <f t="shared" si="176"/>
        <v>5.3906854373053648E-4</v>
      </c>
      <c r="BC282" s="147">
        <f t="shared" si="197"/>
        <v>6.2224331256470609E-2</v>
      </c>
      <c r="BD282" s="164">
        <f>IF(AND($C281=12,$D281=Input!$C$6),0,IF($E282="","",AT282+(AU282+BD283)/(1+$AK282)*MIN((1-AM282-AN282),1)))</f>
        <v>2433.8775185735985</v>
      </c>
      <c r="BE282" s="164">
        <f t="shared" si="177"/>
        <v>151.44640095340029</v>
      </c>
      <c r="BF282" s="164">
        <f t="shared" si="198"/>
        <v>2451.5155650770625</v>
      </c>
      <c r="BG282" s="164">
        <f t="shared" si="178"/>
        <v>152.54391660174886</v>
      </c>
      <c r="BH282" s="152"/>
      <c r="BI282" s="162">
        <f t="shared" si="179"/>
        <v>1383.930756021156</v>
      </c>
      <c r="BJ282" s="150">
        <f t="shared" si="180"/>
        <v>0</v>
      </c>
      <c r="BK282" s="163">
        <f t="shared" si="202"/>
        <v>0</v>
      </c>
      <c r="BL282" s="163">
        <f t="shared" si="181"/>
        <v>216.81018195488511</v>
      </c>
      <c r="BM282" s="163">
        <f t="shared" si="203"/>
        <v>4.1993209632783239</v>
      </c>
      <c r="BN282" s="163">
        <f t="shared" si="182"/>
        <v>2.5450600165819113</v>
      </c>
      <c r="BO282" s="163">
        <f t="shared" si="183"/>
        <v>0</v>
      </c>
      <c r="BP282" s="164">
        <f t="shared" si="204"/>
        <v>1173.8649550461309</v>
      </c>
      <c r="BQ282" s="164">
        <f>IF($E282="","",IF(AND($D282=Input!$C$6,$C282=12),0,-BJ283+BK283+BL283-BM283-BN283-BO283+BQ283))</f>
        <v>1173.8655415692144</v>
      </c>
      <c r="BR282" s="161">
        <f t="shared" si="184"/>
        <v>0</v>
      </c>
      <c r="BT282" s="147">
        <f t="shared" si="185"/>
        <v>6.2224331256470609E-2</v>
      </c>
      <c r="BU282" s="164">
        <f>IF(AND($C281=12,$D281=Input!$C$6),0,IF($E282="","",BK282+(BL282+BU283)/(1+$AK282)*MIN((1-T282-U282),1)))</f>
        <v>26425.549176303473</v>
      </c>
      <c r="BV282" s="164">
        <f t="shared" si="186"/>
        <v>1644.3121255804615</v>
      </c>
      <c r="BW282" s="164">
        <f t="shared" si="187"/>
        <v>1173.8655415692144</v>
      </c>
      <c r="BX282" s="164">
        <f t="shared" si="188"/>
        <v>73.042998309159074</v>
      </c>
    </row>
    <row r="283" spans="1:76" s="150" customFormat="1" x14ac:dyDescent="0.25">
      <c r="A283" s="150">
        <f t="shared" si="199"/>
        <v>279</v>
      </c>
      <c r="B283" s="150">
        <f t="shared" si="200"/>
        <v>24</v>
      </c>
      <c r="C283" s="150">
        <f t="shared" si="201"/>
        <v>3</v>
      </c>
      <c r="D283" s="150">
        <f>IF(E283="","",Input!$C$4+B283-1)</f>
        <v>68</v>
      </c>
      <c r="E283" s="150">
        <f>IF(OR(AND(C282=12,D282=Input!$C$6),E282=""),"",1)</f>
        <v>1</v>
      </c>
      <c r="F283" s="150">
        <f>IF(E283="","",Input!$C$8+B283-1)</f>
        <v>2041</v>
      </c>
      <c r="G283" s="151">
        <f>IF(E283="","",MAX(0,Input!$C$9-B283))</f>
        <v>0</v>
      </c>
      <c r="H283" s="152">
        <f>IF(E283="","",Input!$C$3)</f>
        <v>100000</v>
      </c>
      <c r="I283" s="153">
        <f>IF(E283="","",HLOOKUP($B283,Input!$C$13:$BT$14,2))</f>
        <v>25.798500000000001</v>
      </c>
      <c r="J283" s="154"/>
      <c r="K283" s="155">
        <f>IF($E283="","",INDEX(Input!$C$16:$CP$16,1,$B283))</f>
        <v>2.5229999999999999E-2</v>
      </c>
      <c r="L283" s="155">
        <f>IF($E283="","",Input!$C$37)</f>
        <v>1.4999999999999999E-2</v>
      </c>
      <c r="M283" s="155">
        <f t="shared" si="164"/>
        <v>4.0230000000000002E-2</v>
      </c>
      <c r="N283" s="155">
        <f t="shared" si="165"/>
        <v>3.2922277288198742E-3</v>
      </c>
      <c r="O283" s="147">
        <f>IF($E283="","",MIN(VLOOKUP(IF($B283&lt;=Input!$C$7,$B283,26),'Mortality Tables'!$A$41:$CW$67,IF($B283&lt;=Input!$C$7+1,Input!$C$4+2,$D283-Input!$C$7+2),0)*IF(B283&gt;20,Input!$C$22,1)/1000,1))</f>
        <v>2.8850800000000006E-2</v>
      </c>
      <c r="P283" s="147">
        <f>IF($E283="","",MIN(VLOOKUP(IF($B283&lt;=Input!$C$7,$B283,26),'Mortality Tables'!$A$12:$CW$37,IF($B283&lt;=Input!$C$7+1,Input!$C$4+2,$D283-Input!$C$7+2),0)*IF(B283&gt;20,Input!$C$22,1)/1000,1))</f>
        <v>3.6063500000000005E-2</v>
      </c>
      <c r="Q283" s="155">
        <f>IF($E283="","",Input!$C$21)</f>
        <v>5.0000000000000001E-3</v>
      </c>
      <c r="R283" s="159">
        <f>IF($E283="","",(1-Q283)^($F283-Input!$C$20))</f>
        <v>0.89110905578020905</v>
      </c>
      <c r="S283" s="147">
        <f t="shared" si="167"/>
        <v>2.570920914650366E-2</v>
      </c>
      <c r="T283" s="147">
        <f t="shared" si="168"/>
        <v>2.1681018195488511E-3</v>
      </c>
      <c r="U283" s="160">
        <f>IF($E283="","",IF($C283=12,INDEX(Input!$C$15:$CP$15,1,$B283),0))</f>
        <v>0</v>
      </c>
      <c r="V283" s="150">
        <f>IF(E283="","",IF(C283=1,IF($B283=1,Input!$C$33,Input!$C$34),0))</f>
        <v>0</v>
      </c>
      <c r="W283" s="156">
        <f>IF($E283="","",Input!$C$35)</f>
        <v>0.02</v>
      </c>
      <c r="X283" s="156">
        <f t="shared" si="166"/>
        <v>1.5768992641913981</v>
      </c>
      <c r="Y283" s="154"/>
      <c r="Z283" s="147">
        <f>IF($E283="","",VLOOKUP($D283,'Mortality Margins &amp; Grading'!$AB$5:$AF$125,3,0)*IF(Summary!$D$25="Included Margin",IF(AND($B283&gt;Input!$C$9,Summary!$D$31&lt;&gt;"Included Margin"),0,1),0))</f>
        <v>3.2000000000000001E-2</v>
      </c>
      <c r="AA283" s="147">
        <f>IF($E283="","",VLOOKUP($D283,'Mortality Margins &amp; Grading'!$AB$5:$AF$125,5,0)*IF(Summary!$D$25="Included Margin",IF(AND($B283&gt;Input!$C$9,Summary!$D$31&lt;&gt;"Included Margin"),0,1),0))</f>
        <v>0.16500000000000001</v>
      </c>
      <c r="AB283" s="147">
        <f>IF($E283="","",IF(AND($B283&gt;Input!$C$9,Summary!$D$31&lt;&gt;"Included Margin"),1,IF(Summary!$D$25="Included Margin",VLOOKUP($B283,'Mortality Margins &amp; Grading'!$AI$5:$AR$125,MATCH('Mortality Margins &amp; Grading'!$AQ$4,'Mortality Margins &amp; Grading'!$AI$4:$AR$4,0),0),1)))</f>
        <v>1</v>
      </c>
      <c r="AC283" s="154"/>
      <c r="AD283" s="158">
        <f>IF(E283="","",Input!$C$48*IF(Summary!$D$30="Included Margin",IF(AND($B283&gt;Input!$C$9,Summary!$D$31&lt;&gt;"Included Margin"),0,1),0))</f>
        <v>-4.4999999999999997E-3</v>
      </c>
      <c r="AE283" s="159">
        <f>IF(E283="","",IF(Summary!$D$26="Included Margin",IF(AND($B283&gt;Input!$C$9,Summary!$D$31&lt;&gt;"Included Margin"),1,1/$R283),1))</f>
        <v>1.1221971020420747</v>
      </c>
      <c r="AF283" s="160">
        <f>IF(E283="","",IF(AND($B283&gt;=Input!$C$9,$C283=12,Summary!$D$31="Included Margin",$U283&gt;0),1/U283-1,IF($B283&gt;=Input!$C$9,0,Input!$C$45*IF(Summary!$D$27="Included Margin",1,0))))</f>
        <v>0</v>
      </c>
      <c r="AG283" s="160">
        <f>IF(E283="","",Input!$C$46*IF(Summary!$D$28="Included Margin",IF(AND($B283&gt;Input!$C$9,Summary!$D$31&lt;&gt;"Included Margin"),0,1),0))</f>
        <v>0.02</v>
      </c>
      <c r="AH283" s="158">
        <f>IF(E283="","",Input!$C$47*IF(Summary!$D$29="Included Margin",IF(AND($B283&gt;Input!$C$9,Summary!$D$31&lt;&gt;"Included Margin"),0,1),0))</f>
        <v>2.5000000000000001E-3</v>
      </c>
      <c r="AI283" s="154"/>
      <c r="AJ283" s="158">
        <f t="shared" si="189"/>
        <v>3.5730000000000005E-2</v>
      </c>
      <c r="AK283" s="155">
        <f t="shared" si="190"/>
        <v>2.9298245804976197E-3</v>
      </c>
      <c r="AL283" s="147">
        <f t="shared" si="191"/>
        <v>2.9774025600000007E-2</v>
      </c>
      <c r="AM283" s="147">
        <f t="shared" si="169"/>
        <v>2.5156862873524366E-3</v>
      </c>
      <c r="AN283" s="160">
        <f t="shared" si="192"/>
        <v>0</v>
      </c>
      <c r="AO283" s="161">
        <f t="shared" si="193"/>
        <v>0</v>
      </c>
      <c r="AP283" s="156">
        <f t="shared" si="170"/>
        <v>1.668231370254587</v>
      </c>
      <c r="AQ283" s="152"/>
      <c r="AR283" s="162">
        <f t="shared" si="171"/>
        <v>2451.5150260085193</v>
      </c>
      <c r="AS283" s="150">
        <f t="shared" si="194"/>
        <v>0</v>
      </c>
      <c r="AT283" s="163">
        <f t="shared" si="172"/>
        <v>0</v>
      </c>
      <c r="AU283" s="163">
        <f t="shared" si="173"/>
        <v>251.56862873524366</v>
      </c>
      <c r="AV283" s="163">
        <f t="shared" si="195"/>
        <v>6.8139830065837232</v>
      </c>
      <c r="AW283" s="163">
        <f t="shared" si="174"/>
        <v>5.5655192848168422</v>
      </c>
      <c r="AX283" s="163">
        <f t="shared" si="175"/>
        <v>0</v>
      </c>
      <c r="AY283" s="164">
        <f t="shared" si="196"/>
        <v>2212.3258995646761</v>
      </c>
      <c r="AZ283" s="164">
        <f>IF($E283="","",IF(OR(AND($D283=Input!$C$6,$C283=12),$AN283=1),0,-AS284+AT284+AU284-AV284-AW284-AX284+AZ284))</f>
        <v>2212.3264386332194</v>
      </c>
      <c r="BA283" s="154">
        <f t="shared" si="176"/>
        <v>5.3906854327578912E-4</v>
      </c>
      <c r="BC283" s="147">
        <f t="shared" si="197"/>
        <v>6.2089422570653245E-2</v>
      </c>
      <c r="BD283" s="164">
        <f>IF(AND($C282=12,$D282=Input!$C$6),0,IF($E283="","",AT283+(AU283+BD284)/(1+$AK283)*MIN((1-AM283-AN283),1)))</f>
        <v>2195.5960225743852</v>
      </c>
      <c r="BE283" s="164">
        <f t="shared" si="177"/>
        <v>136.32328924006652</v>
      </c>
      <c r="BF283" s="164">
        <f t="shared" si="198"/>
        <v>2212.3264386332194</v>
      </c>
      <c r="BG283" s="164">
        <f t="shared" si="178"/>
        <v>137.36207111252631</v>
      </c>
      <c r="BH283" s="152"/>
      <c r="BI283" s="162">
        <f t="shared" si="179"/>
        <v>1173.8649550461309</v>
      </c>
      <c r="BJ283" s="150">
        <f t="shared" si="180"/>
        <v>0</v>
      </c>
      <c r="BK283" s="163">
        <f t="shared" si="202"/>
        <v>0</v>
      </c>
      <c r="BL283" s="163">
        <f t="shared" si="181"/>
        <v>216.81018195488511</v>
      </c>
      <c r="BM283" s="163">
        <f t="shared" si="203"/>
        <v>3.5077365084315897</v>
      </c>
      <c r="BN283" s="163">
        <f t="shared" si="182"/>
        <v>2.0871236931720256</v>
      </c>
      <c r="BO283" s="163">
        <f t="shared" si="183"/>
        <v>0</v>
      </c>
      <c r="BP283" s="164">
        <f t="shared" si="204"/>
        <v>962.64963329284933</v>
      </c>
      <c r="BQ283" s="164">
        <f>IF($E283="","",IF(AND($D283=Input!$C$6,$C283=12),0,-BJ284+BK284+BL284-BM284-BN284-BO284+BQ284))</f>
        <v>962.65021981593293</v>
      </c>
      <c r="BR283" s="161">
        <f t="shared" si="184"/>
        <v>0</v>
      </c>
      <c r="BT283" s="147">
        <f t="shared" si="185"/>
        <v>6.2089422570653245E-2</v>
      </c>
      <c r="BU283" s="164">
        <f>IF(AND($C282=12,$D282=Input!$C$6),0,IF($E283="","",BK283+(BL283+BU284)/(1+$AK283)*MIN((1-T283-U283),1)))</f>
        <v>26343.747210689693</v>
      </c>
      <c r="BV283" s="164">
        <f t="shared" si="186"/>
        <v>1635.6680526589801</v>
      </c>
      <c r="BW283" s="164">
        <f t="shared" si="187"/>
        <v>962.65021981593293</v>
      </c>
      <c r="BX283" s="164">
        <f t="shared" si="188"/>
        <v>59.770396285883692</v>
      </c>
    </row>
    <row r="284" spans="1:76" s="150" customFormat="1" x14ac:dyDescent="0.25">
      <c r="A284" s="150">
        <f t="shared" si="199"/>
        <v>280</v>
      </c>
      <c r="B284" s="150">
        <f t="shared" si="200"/>
        <v>24</v>
      </c>
      <c r="C284" s="150">
        <f t="shared" si="201"/>
        <v>4</v>
      </c>
      <c r="D284" s="150">
        <f>IF(E284="","",Input!$C$4+B284-1)</f>
        <v>68</v>
      </c>
      <c r="E284" s="150">
        <f>IF(OR(AND(C283=12,D283=Input!$C$6),E283=""),"",1)</f>
        <v>1</v>
      </c>
      <c r="F284" s="150">
        <f>IF(E284="","",Input!$C$8+B284-1)</f>
        <v>2041</v>
      </c>
      <c r="G284" s="151">
        <f>IF(E284="","",MAX(0,Input!$C$9-B284))</f>
        <v>0</v>
      </c>
      <c r="H284" s="152">
        <f>IF(E284="","",Input!$C$3)</f>
        <v>100000</v>
      </c>
      <c r="I284" s="153">
        <f>IF(E284="","",HLOOKUP($B284,Input!$C$13:$BT$14,2))</f>
        <v>25.798500000000001</v>
      </c>
      <c r="J284" s="154"/>
      <c r="K284" s="155">
        <f>IF($E284="","",INDEX(Input!$C$16:$CP$16,1,$B284))</f>
        <v>2.5229999999999999E-2</v>
      </c>
      <c r="L284" s="155">
        <f>IF($E284="","",Input!$C$37)</f>
        <v>1.4999999999999999E-2</v>
      </c>
      <c r="M284" s="155">
        <f t="shared" si="164"/>
        <v>4.0230000000000002E-2</v>
      </c>
      <c r="N284" s="155">
        <f t="shared" si="165"/>
        <v>3.2922277288198742E-3</v>
      </c>
      <c r="O284" s="147">
        <f>IF($E284="","",MIN(VLOOKUP(IF($B284&lt;=Input!$C$7,$B284,26),'Mortality Tables'!$A$41:$CW$67,IF($B284&lt;=Input!$C$7+1,Input!$C$4+2,$D284-Input!$C$7+2),0)*IF(B284&gt;20,Input!$C$22,1)/1000,1))</f>
        <v>2.8850800000000006E-2</v>
      </c>
      <c r="P284" s="147">
        <f>IF($E284="","",MIN(VLOOKUP(IF($B284&lt;=Input!$C$7,$B284,26),'Mortality Tables'!$A$12:$CW$37,IF($B284&lt;=Input!$C$7+1,Input!$C$4+2,$D284-Input!$C$7+2),0)*IF(B284&gt;20,Input!$C$22,1)/1000,1))</f>
        <v>3.6063500000000005E-2</v>
      </c>
      <c r="Q284" s="155">
        <f>IF($E284="","",Input!$C$21)</f>
        <v>5.0000000000000001E-3</v>
      </c>
      <c r="R284" s="159">
        <f>IF($E284="","",(1-Q284)^($F284-Input!$C$20))</f>
        <v>0.89110905578020905</v>
      </c>
      <c r="S284" s="147">
        <f t="shared" si="167"/>
        <v>2.570920914650366E-2</v>
      </c>
      <c r="T284" s="147">
        <f t="shared" si="168"/>
        <v>2.1681018195488511E-3</v>
      </c>
      <c r="U284" s="160">
        <f>IF($E284="","",IF($C284=12,INDEX(Input!$C$15:$CP$15,1,$B284),0))</f>
        <v>0</v>
      </c>
      <c r="V284" s="150">
        <f>IF(E284="","",IF(C284=1,IF($B284=1,Input!$C$33,Input!$C$34),0))</f>
        <v>0</v>
      </c>
      <c r="W284" s="156">
        <f>IF($E284="","",Input!$C$35)</f>
        <v>0.02</v>
      </c>
      <c r="X284" s="156">
        <f t="shared" si="166"/>
        <v>1.5768992641913981</v>
      </c>
      <c r="Y284" s="154"/>
      <c r="Z284" s="147">
        <f>IF($E284="","",VLOOKUP($D284,'Mortality Margins &amp; Grading'!$AB$5:$AF$125,3,0)*IF(Summary!$D$25="Included Margin",IF(AND($B284&gt;Input!$C$9,Summary!$D$31&lt;&gt;"Included Margin"),0,1),0))</f>
        <v>3.2000000000000001E-2</v>
      </c>
      <c r="AA284" s="147">
        <f>IF($E284="","",VLOOKUP($D284,'Mortality Margins &amp; Grading'!$AB$5:$AF$125,5,0)*IF(Summary!$D$25="Included Margin",IF(AND($B284&gt;Input!$C$9,Summary!$D$31&lt;&gt;"Included Margin"),0,1),0))</f>
        <v>0.16500000000000001</v>
      </c>
      <c r="AB284" s="147">
        <f>IF($E284="","",IF(AND($B284&gt;Input!$C$9,Summary!$D$31&lt;&gt;"Included Margin"),1,IF(Summary!$D$25="Included Margin",VLOOKUP($B284,'Mortality Margins &amp; Grading'!$AI$5:$AR$125,MATCH('Mortality Margins &amp; Grading'!$AQ$4,'Mortality Margins &amp; Grading'!$AI$4:$AR$4,0),0),1)))</f>
        <v>1</v>
      </c>
      <c r="AC284" s="154"/>
      <c r="AD284" s="158">
        <f>IF(E284="","",Input!$C$48*IF(Summary!$D$30="Included Margin",IF(AND($B284&gt;Input!$C$9,Summary!$D$31&lt;&gt;"Included Margin"),0,1),0))</f>
        <v>-4.4999999999999997E-3</v>
      </c>
      <c r="AE284" s="159">
        <f>IF(E284="","",IF(Summary!$D$26="Included Margin",IF(AND($B284&gt;Input!$C$9,Summary!$D$31&lt;&gt;"Included Margin"),1,1/$R284),1))</f>
        <v>1.1221971020420747</v>
      </c>
      <c r="AF284" s="160">
        <f>IF(E284="","",IF(AND($B284&gt;=Input!$C$9,$C284=12,Summary!$D$31="Included Margin",$U284&gt;0),1/U284-1,IF($B284&gt;=Input!$C$9,0,Input!$C$45*IF(Summary!$D$27="Included Margin",1,0))))</f>
        <v>0</v>
      </c>
      <c r="AG284" s="160">
        <f>IF(E284="","",Input!$C$46*IF(Summary!$D$28="Included Margin",IF(AND($B284&gt;Input!$C$9,Summary!$D$31&lt;&gt;"Included Margin"),0,1),0))</f>
        <v>0.02</v>
      </c>
      <c r="AH284" s="158">
        <f>IF(E284="","",Input!$C$47*IF(Summary!$D$29="Included Margin",IF(AND($B284&gt;Input!$C$9,Summary!$D$31&lt;&gt;"Included Margin"),0,1),0))</f>
        <v>2.5000000000000001E-3</v>
      </c>
      <c r="AI284" s="154"/>
      <c r="AJ284" s="158">
        <f t="shared" si="189"/>
        <v>3.5730000000000005E-2</v>
      </c>
      <c r="AK284" s="155">
        <f t="shared" si="190"/>
        <v>2.9298245804976197E-3</v>
      </c>
      <c r="AL284" s="147">
        <f t="shared" si="191"/>
        <v>2.9774025600000007E-2</v>
      </c>
      <c r="AM284" s="147">
        <f t="shared" si="169"/>
        <v>2.5156862873524366E-3</v>
      </c>
      <c r="AN284" s="160">
        <f t="shared" si="192"/>
        <v>0</v>
      </c>
      <c r="AO284" s="161">
        <f t="shared" si="193"/>
        <v>0</v>
      </c>
      <c r="AP284" s="156">
        <f t="shared" si="170"/>
        <v>1.668231370254587</v>
      </c>
      <c r="AQ284" s="152"/>
      <c r="AR284" s="162">
        <f t="shared" si="171"/>
        <v>2212.3258995646756</v>
      </c>
      <c r="AS284" s="150">
        <f t="shared" si="194"/>
        <v>0</v>
      </c>
      <c r="AT284" s="163">
        <f t="shared" si="172"/>
        <v>0</v>
      </c>
      <c r="AU284" s="163">
        <f t="shared" si="173"/>
        <v>251.56862873524366</v>
      </c>
      <c r="AV284" s="163">
        <f t="shared" si="195"/>
        <v>6.1132008245407965</v>
      </c>
      <c r="AW284" s="163">
        <f t="shared" si="174"/>
        <v>4.9605095164344375</v>
      </c>
      <c r="AX284" s="163">
        <f t="shared" si="175"/>
        <v>0</v>
      </c>
      <c r="AY284" s="165">
        <f t="shared" si="196"/>
        <v>1971.8309811704073</v>
      </c>
      <c r="AZ284" s="164">
        <f>IF($E284="","",IF(OR(AND($D284=Input!$C$6,$C284=12),$AN284=1),0,-AS285+AT285+AU285-AV285-AW285-AX285+AZ285))</f>
        <v>1971.831520238951</v>
      </c>
      <c r="BA284" s="154">
        <f t="shared" si="176"/>
        <v>5.3906854373053648E-4</v>
      </c>
      <c r="BC284" s="147">
        <f t="shared" si="197"/>
        <v>6.1954806380603071E-2</v>
      </c>
      <c r="BD284" s="164">
        <f>IF(AND($C283=12,$D283=Input!$C$6),0,IF($E284="","",AT284+(AU284+BD285)/(1+$AK284)*MIN((1-AM284-AN284),1)))</f>
        <v>1956.0136896013637</v>
      </c>
      <c r="BE284" s="164">
        <f t="shared" si="177"/>
        <v>121.18444941706153</v>
      </c>
      <c r="BF284" s="164">
        <f t="shared" si="198"/>
        <v>1971.831520238951</v>
      </c>
      <c r="BG284" s="164">
        <f t="shared" si="178"/>
        <v>122.16444005157442</v>
      </c>
      <c r="BH284" s="152"/>
      <c r="BI284" s="162">
        <f t="shared" si="179"/>
        <v>962.64963329284944</v>
      </c>
      <c r="BJ284" s="150">
        <f t="shared" si="180"/>
        <v>0</v>
      </c>
      <c r="BK284" s="163">
        <f t="shared" si="202"/>
        <v>0</v>
      </c>
      <c r="BL284" s="163">
        <f t="shared" si="181"/>
        <v>216.81018195488511</v>
      </c>
      <c r="BM284" s="163">
        <f t="shared" si="203"/>
        <v>2.812367569403825</v>
      </c>
      <c r="BN284" s="163">
        <f t="shared" si="182"/>
        <v>1.6266814534424212</v>
      </c>
      <c r="BO284" s="163">
        <f t="shared" si="183"/>
        <v>0</v>
      </c>
      <c r="BP284" s="164">
        <f t="shared" si="204"/>
        <v>750.27850036081054</v>
      </c>
      <c r="BQ284" s="164">
        <f>IF($E284="","",IF(AND($D284=Input!$C$6,$C284=12),0,-BJ285+BK285+BL285-BM285-BN285-BO285+BQ285))</f>
        <v>750.27908688389402</v>
      </c>
      <c r="BR284" s="161">
        <f t="shared" si="184"/>
        <v>0</v>
      </c>
      <c r="BT284" s="147">
        <f t="shared" si="185"/>
        <v>6.1954806380603071E-2</v>
      </c>
      <c r="BU284" s="164">
        <f>IF(AND($C283=12,$D283=Input!$C$6),0,IF($E284="","",BK284+(BL284+BU285)/(1+$AK284)*MIN((1-T284-U284),1)))</f>
        <v>26261.527318568616</v>
      </c>
      <c r="BV284" s="164">
        <f t="shared" si="186"/>
        <v>1627.0278402808367</v>
      </c>
      <c r="BW284" s="164">
        <f t="shared" si="187"/>
        <v>750.27908688389402</v>
      </c>
      <c r="BX284" s="164">
        <f t="shared" si="188"/>
        <v>46.483395559307326</v>
      </c>
    </row>
    <row r="285" spans="1:76" s="150" customFormat="1" x14ac:dyDescent="0.25">
      <c r="A285" s="150">
        <f t="shared" si="199"/>
        <v>281</v>
      </c>
      <c r="B285" s="150">
        <f t="shared" si="200"/>
        <v>24</v>
      </c>
      <c r="C285" s="150">
        <f t="shared" si="201"/>
        <v>5</v>
      </c>
      <c r="D285" s="150">
        <f>IF(E285="","",Input!$C$4+B285-1)</f>
        <v>68</v>
      </c>
      <c r="E285" s="150">
        <f>IF(OR(AND(C284=12,D284=Input!$C$6),E284=""),"",1)</f>
        <v>1</v>
      </c>
      <c r="F285" s="150">
        <f>IF(E285="","",Input!$C$8+B285-1)</f>
        <v>2041</v>
      </c>
      <c r="G285" s="151">
        <f>IF(E285="","",MAX(0,Input!$C$9-B285))</f>
        <v>0</v>
      </c>
      <c r="H285" s="152">
        <f>IF(E285="","",Input!$C$3)</f>
        <v>100000</v>
      </c>
      <c r="I285" s="153">
        <f>IF(E285="","",HLOOKUP($B285,Input!$C$13:$BT$14,2))</f>
        <v>25.798500000000001</v>
      </c>
      <c r="J285" s="154"/>
      <c r="K285" s="155">
        <f>IF($E285="","",INDEX(Input!$C$16:$CP$16,1,$B285))</f>
        <v>2.5229999999999999E-2</v>
      </c>
      <c r="L285" s="155">
        <f>IF($E285="","",Input!$C$37)</f>
        <v>1.4999999999999999E-2</v>
      </c>
      <c r="M285" s="155">
        <f t="shared" si="164"/>
        <v>4.0230000000000002E-2</v>
      </c>
      <c r="N285" s="155">
        <f t="shared" si="165"/>
        <v>3.2922277288198742E-3</v>
      </c>
      <c r="O285" s="147">
        <f>IF($E285="","",MIN(VLOOKUP(IF($B285&lt;=Input!$C$7,$B285,26),'Mortality Tables'!$A$41:$CW$67,IF($B285&lt;=Input!$C$7+1,Input!$C$4+2,$D285-Input!$C$7+2),0)*IF(B285&gt;20,Input!$C$22,1)/1000,1))</f>
        <v>2.8850800000000006E-2</v>
      </c>
      <c r="P285" s="147">
        <f>IF($E285="","",MIN(VLOOKUP(IF($B285&lt;=Input!$C$7,$B285,26),'Mortality Tables'!$A$12:$CW$37,IF($B285&lt;=Input!$C$7+1,Input!$C$4+2,$D285-Input!$C$7+2),0)*IF(B285&gt;20,Input!$C$22,1)/1000,1))</f>
        <v>3.6063500000000005E-2</v>
      </c>
      <c r="Q285" s="155">
        <f>IF($E285="","",Input!$C$21)</f>
        <v>5.0000000000000001E-3</v>
      </c>
      <c r="R285" s="159">
        <f>IF($E285="","",(1-Q285)^($F285-Input!$C$20))</f>
        <v>0.89110905578020905</v>
      </c>
      <c r="S285" s="147">
        <f t="shared" si="167"/>
        <v>2.570920914650366E-2</v>
      </c>
      <c r="T285" s="147">
        <f t="shared" si="168"/>
        <v>2.1681018195488511E-3</v>
      </c>
      <c r="U285" s="160">
        <f>IF($E285="","",IF($C285=12,INDEX(Input!$C$15:$CP$15,1,$B285),0))</f>
        <v>0</v>
      </c>
      <c r="V285" s="150">
        <f>IF(E285="","",IF(C285=1,IF($B285=1,Input!$C$33,Input!$C$34),0))</f>
        <v>0</v>
      </c>
      <c r="W285" s="156">
        <f>IF($E285="","",Input!$C$35)</f>
        <v>0.02</v>
      </c>
      <c r="X285" s="156">
        <f t="shared" si="166"/>
        <v>1.5768992641913981</v>
      </c>
      <c r="Y285" s="154"/>
      <c r="Z285" s="147">
        <f>IF($E285="","",VLOOKUP($D285,'Mortality Margins &amp; Grading'!$AB$5:$AF$125,3,0)*IF(Summary!$D$25="Included Margin",IF(AND($B285&gt;Input!$C$9,Summary!$D$31&lt;&gt;"Included Margin"),0,1),0))</f>
        <v>3.2000000000000001E-2</v>
      </c>
      <c r="AA285" s="147">
        <f>IF($E285="","",VLOOKUP($D285,'Mortality Margins &amp; Grading'!$AB$5:$AF$125,5,0)*IF(Summary!$D$25="Included Margin",IF(AND($B285&gt;Input!$C$9,Summary!$D$31&lt;&gt;"Included Margin"),0,1),0))</f>
        <v>0.16500000000000001</v>
      </c>
      <c r="AB285" s="147">
        <f>IF($E285="","",IF(AND($B285&gt;Input!$C$9,Summary!$D$31&lt;&gt;"Included Margin"),1,IF(Summary!$D$25="Included Margin",VLOOKUP($B285,'Mortality Margins &amp; Grading'!$AI$5:$AR$125,MATCH('Mortality Margins &amp; Grading'!$AQ$4,'Mortality Margins &amp; Grading'!$AI$4:$AR$4,0),0),1)))</f>
        <v>1</v>
      </c>
      <c r="AC285" s="154"/>
      <c r="AD285" s="158">
        <f>IF(E285="","",Input!$C$48*IF(Summary!$D$30="Included Margin",IF(AND($B285&gt;Input!$C$9,Summary!$D$31&lt;&gt;"Included Margin"),0,1),0))</f>
        <v>-4.4999999999999997E-3</v>
      </c>
      <c r="AE285" s="159">
        <f>IF(E285="","",IF(Summary!$D$26="Included Margin",IF(AND($B285&gt;Input!$C$9,Summary!$D$31&lt;&gt;"Included Margin"),1,1/$R285),1))</f>
        <v>1.1221971020420747</v>
      </c>
      <c r="AF285" s="160">
        <f>IF(E285="","",IF(AND($B285&gt;=Input!$C$9,$C285=12,Summary!$D$31="Included Margin",$U285&gt;0),1/U285-1,IF($B285&gt;=Input!$C$9,0,Input!$C$45*IF(Summary!$D$27="Included Margin",1,0))))</f>
        <v>0</v>
      </c>
      <c r="AG285" s="160">
        <f>IF(E285="","",Input!$C$46*IF(Summary!$D$28="Included Margin",IF(AND($B285&gt;Input!$C$9,Summary!$D$31&lt;&gt;"Included Margin"),0,1),0))</f>
        <v>0.02</v>
      </c>
      <c r="AH285" s="158">
        <f>IF(E285="","",Input!$C$47*IF(Summary!$D$29="Included Margin",IF(AND($B285&gt;Input!$C$9,Summary!$D$31&lt;&gt;"Included Margin"),0,1),0))</f>
        <v>2.5000000000000001E-3</v>
      </c>
      <c r="AI285" s="154"/>
      <c r="AJ285" s="158">
        <f t="shared" si="189"/>
        <v>3.5730000000000005E-2</v>
      </c>
      <c r="AK285" s="155">
        <f t="shared" si="190"/>
        <v>2.9298245804976197E-3</v>
      </c>
      <c r="AL285" s="147">
        <f t="shared" si="191"/>
        <v>2.9774025600000007E-2</v>
      </c>
      <c r="AM285" s="147">
        <f t="shared" si="169"/>
        <v>2.5156862873524366E-3</v>
      </c>
      <c r="AN285" s="160">
        <f t="shared" si="192"/>
        <v>0</v>
      </c>
      <c r="AO285" s="161">
        <f t="shared" si="193"/>
        <v>0</v>
      </c>
      <c r="AP285" s="156">
        <f t="shared" si="170"/>
        <v>1.668231370254587</v>
      </c>
      <c r="AQ285" s="152"/>
      <c r="AR285" s="162">
        <f t="shared" si="171"/>
        <v>1971.8309811704078</v>
      </c>
      <c r="AS285" s="150">
        <f t="shared" si="194"/>
        <v>0</v>
      </c>
      <c r="AT285" s="163">
        <f t="shared" si="172"/>
        <v>0</v>
      </c>
      <c r="AU285" s="163">
        <f t="shared" si="173"/>
        <v>251.56862873524366</v>
      </c>
      <c r="AV285" s="163">
        <f t="shared" si="195"/>
        <v>5.4085929011445018</v>
      </c>
      <c r="AW285" s="163">
        <f t="shared" si="174"/>
        <v>4.3521968517321712</v>
      </c>
      <c r="AX285" s="163">
        <f t="shared" si="175"/>
        <v>0</v>
      </c>
      <c r="AY285" s="164">
        <f t="shared" si="196"/>
        <v>1730.0231421880405</v>
      </c>
      <c r="AZ285" s="164">
        <f>IF($E285="","",IF(OR(AND($D285=Input!$C$6,$C285=12),$AN285=1),0,-AS286+AT286+AU286-AV286-AW286-AX286+AZ286))</f>
        <v>1730.023681256584</v>
      </c>
      <c r="BA285" s="154">
        <f t="shared" si="176"/>
        <v>5.390685435031628E-4</v>
      </c>
      <c r="BC285" s="147">
        <f t="shared" si="197"/>
        <v>6.1820482052159488E-2</v>
      </c>
      <c r="BD285" s="164">
        <f>IF(AND($C284=12,$D284=Input!$C$6),0,IF($E285="","",AT285+(AU285+BD286)/(1+$AK285)*MIN((1-AM285-AN285),1)))</f>
        <v>1715.12341806729</v>
      </c>
      <c r="BE285" s="164">
        <f t="shared" si="177"/>
        <v>106.02975648386733</v>
      </c>
      <c r="BF285" s="164">
        <f t="shared" si="198"/>
        <v>1730.023681256584</v>
      </c>
      <c r="BG285" s="164">
        <f t="shared" si="178"/>
        <v>106.95089793693354</v>
      </c>
      <c r="BH285" s="152"/>
      <c r="BI285" s="162">
        <f t="shared" si="179"/>
        <v>750.27850036081054</v>
      </c>
      <c r="BJ285" s="150">
        <f t="shared" si="180"/>
        <v>0</v>
      </c>
      <c r="BK285" s="163">
        <f t="shared" si="202"/>
        <v>0</v>
      </c>
      <c r="BL285" s="163">
        <f t="shared" si="181"/>
        <v>216.81018195488511</v>
      </c>
      <c r="BM285" s="163">
        <f t="shared" si="203"/>
        <v>2.113193436764075</v>
      </c>
      <c r="BN285" s="163">
        <f t="shared" si="182"/>
        <v>1.1637195845332953</v>
      </c>
      <c r="BO285" s="163">
        <f t="shared" si="183"/>
        <v>0</v>
      </c>
      <c r="BP285" s="164">
        <f t="shared" si="204"/>
        <v>536.74523142722273</v>
      </c>
      <c r="BQ285" s="164">
        <f>IF($E285="","",IF(AND($D285=Input!$C$6,$C285=12),0,-BJ286+BK286+BL286-BM286-BN286-BO286+BQ286))</f>
        <v>536.74581795030622</v>
      </c>
      <c r="BR285" s="161">
        <f t="shared" si="184"/>
        <v>0</v>
      </c>
      <c r="BT285" s="147">
        <f t="shared" si="185"/>
        <v>6.1820482052159488E-2</v>
      </c>
      <c r="BU285" s="164">
        <f>IF(AND($C284=12,$D284=Input!$C$6),0,IF($E285="","",BK285+(BL285+BU286)/(1+$AK285)*MIN((1-T285-U285),1)))</f>
        <v>26178.887364752358</v>
      </c>
      <c r="BV285" s="164">
        <f t="shared" si="186"/>
        <v>1618.3914364781779</v>
      </c>
      <c r="BW285" s="164">
        <f t="shared" si="187"/>
        <v>536.74581795030622</v>
      </c>
      <c r="BX285" s="164">
        <f t="shared" si="188"/>
        <v>33.18188520516857</v>
      </c>
    </row>
    <row r="286" spans="1:76" s="150" customFormat="1" x14ac:dyDescent="0.25">
      <c r="A286" s="150">
        <f t="shared" si="199"/>
        <v>282</v>
      </c>
      <c r="B286" s="150">
        <f t="shared" si="200"/>
        <v>24</v>
      </c>
      <c r="C286" s="150">
        <f t="shared" si="201"/>
        <v>6</v>
      </c>
      <c r="D286" s="150">
        <f>IF(E286="","",Input!$C$4+B286-1)</f>
        <v>68</v>
      </c>
      <c r="E286" s="150">
        <f>IF(OR(AND(C285=12,D285=Input!$C$6),E285=""),"",1)</f>
        <v>1</v>
      </c>
      <c r="F286" s="150">
        <f>IF(E286="","",Input!$C$8+B286-1)</f>
        <v>2041</v>
      </c>
      <c r="G286" s="151">
        <f>IF(E286="","",MAX(0,Input!$C$9-B286))</f>
        <v>0</v>
      </c>
      <c r="H286" s="152">
        <f>IF(E286="","",Input!$C$3)</f>
        <v>100000</v>
      </c>
      <c r="I286" s="153">
        <f>IF(E286="","",HLOOKUP($B286,Input!$C$13:$BT$14,2))</f>
        <v>25.798500000000001</v>
      </c>
      <c r="J286" s="154"/>
      <c r="K286" s="155">
        <f>IF($E286="","",INDEX(Input!$C$16:$CP$16,1,$B286))</f>
        <v>2.5229999999999999E-2</v>
      </c>
      <c r="L286" s="155">
        <f>IF($E286="","",Input!$C$37)</f>
        <v>1.4999999999999999E-2</v>
      </c>
      <c r="M286" s="155">
        <f t="shared" si="164"/>
        <v>4.0230000000000002E-2</v>
      </c>
      <c r="N286" s="155">
        <f t="shared" si="165"/>
        <v>3.2922277288198742E-3</v>
      </c>
      <c r="O286" s="147">
        <f>IF($E286="","",MIN(VLOOKUP(IF($B286&lt;=Input!$C$7,$B286,26),'Mortality Tables'!$A$41:$CW$67,IF($B286&lt;=Input!$C$7+1,Input!$C$4+2,$D286-Input!$C$7+2),0)*IF(B286&gt;20,Input!$C$22,1)/1000,1))</f>
        <v>2.8850800000000006E-2</v>
      </c>
      <c r="P286" s="147">
        <f>IF($E286="","",MIN(VLOOKUP(IF($B286&lt;=Input!$C$7,$B286,26),'Mortality Tables'!$A$12:$CW$37,IF($B286&lt;=Input!$C$7+1,Input!$C$4+2,$D286-Input!$C$7+2),0)*IF(B286&gt;20,Input!$C$22,1)/1000,1))</f>
        <v>3.6063500000000005E-2</v>
      </c>
      <c r="Q286" s="155">
        <f>IF($E286="","",Input!$C$21)</f>
        <v>5.0000000000000001E-3</v>
      </c>
      <c r="R286" s="159">
        <f>IF($E286="","",(1-Q286)^($F286-Input!$C$20))</f>
        <v>0.89110905578020905</v>
      </c>
      <c r="S286" s="147">
        <f t="shared" si="167"/>
        <v>2.570920914650366E-2</v>
      </c>
      <c r="T286" s="147">
        <f t="shared" si="168"/>
        <v>2.1681018195488511E-3</v>
      </c>
      <c r="U286" s="160">
        <f>IF($E286="","",IF($C286=12,INDEX(Input!$C$15:$CP$15,1,$B286),0))</f>
        <v>0</v>
      </c>
      <c r="V286" s="150">
        <f>IF(E286="","",IF(C286=1,IF($B286=1,Input!$C$33,Input!$C$34),0))</f>
        <v>0</v>
      </c>
      <c r="W286" s="156">
        <f>IF($E286="","",Input!$C$35)</f>
        <v>0.02</v>
      </c>
      <c r="X286" s="156">
        <f t="shared" si="166"/>
        <v>1.5768992641913981</v>
      </c>
      <c r="Y286" s="154"/>
      <c r="Z286" s="147">
        <f>IF($E286="","",VLOOKUP($D286,'Mortality Margins &amp; Grading'!$AB$5:$AF$125,3,0)*IF(Summary!$D$25="Included Margin",IF(AND($B286&gt;Input!$C$9,Summary!$D$31&lt;&gt;"Included Margin"),0,1),0))</f>
        <v>3.2000000000000001E-2</v>
      </c>
      <c r="AA286" s="147">
        <f>IF($E286="","",VLOOKUP($D286,'Mortality Margins &amp; Grading'!$AB$5:$AF$125,5,0)*IF(Summary!$D$25="Included Margin",IF(AND($B286&gt;Input!$C$9,Summary!$D$31&lt;&gt;"Included Margin"),0,1),0))</f>
        <v>0.16500000000000001</v>
      </c>
      <c r="AB286" s="147">
        <f>IF($E286="","",IF(AND($B286&gt;Input!$C$9,Summary!$D$31&lt;&gt;"Included Margin"),1,IF(Summary!$D$25="Included Margin",VLOOKUP($B286,'Mortality Margins &amp; Grading'!$AI$5:$AR$125,MATCH('Mortality Margins &amp; Grading'!$AQ$4,'Mortality Margins &amp; Grading'!$AI$4:$AR$4,0),0),1)))</f>
        <v>1</v>
      </c>
      <c r="AC286" s="154"/>
      <c r="AD286" s="158">
        <f>IF(E286="","",Input!$C$48*IF(Summary!$D$30="Included Margin",IF(AND($B286&gt;Input!$C$9,Summary!$D$31&lt;&gt;"Included Margin"),0,1),0))</f>
        <v>-4.4999999999999997E-3</v>
      </c>
      <c r="AE286" s="159">
        <f>IF(E286="","",IF(Summary!$D$26="Included Margin",IF(AND($B286&gt;Input!$C$9,Summary!$D$31&lt;&gt;"Included Margin"),1,1/$R286),1))</f>
        <v>1.1221971020420747</v>
      </c>
      <c r="AF286" s="160">
        <f>IF(E286="","",IF(AND($B286&gt;=Input!$C$9,$C286=12,Summary!$D$31="Included Margin",$U286&gt;0),1/U286-1,IF($B286&gt;=Input!$C$9,0,Input!$C$45*IF(Summary!$D$27="Included Margin",1,0))))</f>
        <v>0</v>
      </c>
      <c r="AG286" s="160">
        <f>IF(E286="","",Input!$C$46*IF(Summary!$D$28="Included Margin",IF(AND($B286&gt;Input!$C$9,Summary!$D$31&lt;&gt;"Included Margin"),0,1),0))</f>
        <v>0.02</v>
      </c>
      <c r="AH286" s="158">
        <f>IF(E286="","",Input!$C$47*IF(Summary!$D$29="Included Margin",IF(AND($B286&gt;Input!$C$9,Summary!$D$31&lt;&gt;"Included Margin"),0,1),0))</f>
        <v>2.5000000000000001E-3</v>
      </c>
      <c r="AI286" s="154"/>
      <c r="AJ286" s="158">
        <f t="shared" si="189"/>
        <v>3.5730000000000005E-2</v>
      </c>
      <c r="AK286" s="155">
        <f t="shared" si="190"/>
        <v>2.9298245804976197E-3</v>
      </c>
      <c r="AL286" s="147">
        <f t="shared" si="191"/>
        <v>2.9774025600000007E-2</v>
      </c>
      <c r="AM286" s="147">
        <f t="shared" si="169"/>
        <v>2.5156862873524366E-3</v>
      </c>
      <c r="AN286" s="160">
        <f t="shared" si="192"/>
        <v>0</v>
      </c>
      <c r="AO286" s="161">
        <f t="shared" si="193"/>
        <v>0</v>
      </c>
      <c r="AP286" s="156">
        <f t="shared" si="170"/>
        <v>1.668231370254587</v>
      </c>
      <c r="AQ286" s="152"/>
      <c r="AR286" s="162">
        <f t="shared" si="171"/>
        <v>1730.0231421880405</v>
      </c>
      <c r="AS286" s="150">
        <f t="shared" si="194"/>
        <v>0</v>
      </c>
      <c r="AT286" s="163">
        <f t="shared" si="172"/>
        <v>0</v>
      </c>
      <c r="AU286" s="163">
        <f t="shared" si="173"/>
        <v>251.56862873524366</v>
      </c>
      <c r="AV286" s="163">
        <f t="shared" si="195"/>
        <v>4.7001383507369514</v>
      </c>
      <c r="AW286" s="163">
        <f t="shared" si="174"/>
        <v>3.7405632593910956</v>
      </c>
      <c r="AX286" s="163">
        <f t="shared" si="175"/>
        <v>0</v>
      </c>
      <c r="AY286" s="165">
        <f t="shared" si="196"/>
        <v>1486.895215062925</v>
      </c>
      <c r="AZ286" s="164">
        <f>IF($E286="","",IF(OR(AND($D286=Input!$C$6,$C286=12),$AN286=1),0,-AS287+AT287+AU287-AV287-AW287-AX287+AZ287))</f>
        <v>1486.8957541314685</v>
      </c>
      <c r="BA286" s="154">
        <f t="shared" si="176"/>
        <v>5.390685435031628E-4</v>
      </c>
      <c r="BC286" s="147">
        <f t="shared" si="197"/>
        <v>6.1686448952536811E-2</v>
      </c>
      <c r="BD286" s="164">
        <f>IF(AND($C285=12,$D285=Input!$C$6),0,IF($E286="","",AT286+(AU286+BD287)/(1+$AK286)*MIN((1-AM286-AN286),1)))</f>
        <v>1472.9180676156186</v>
      </c>
      <c r="BE286" s="164">
        <f t="shared" si="177"/>
        <v>90.85908518924002</v>
      </c>
      <c r="BF286" s="164">
        <f t="shared" si="198"/>
        <v>1486.8957541314685</v>
      </c>
      <c r="BG286" s="164">
        <f t="shared" si="178"/>
        <v>91.721319034974556</v>
      </c>
      <c r="BH286" s="152"/>
      <c r="BI286" s="162">
        <f t="shared" si="179"/>
        <v>536.74523142722273</v>
      </c>
      <c r="BJ286" s="150">
        <f t="shared" si="180"/>
        <v>0</v>
      </c>
      <c r="BK286" s="163">
        <f t="shared" si="202"/>
        <v>0</v>
      </c>
      <c r="BL286" s="163">
        <f t="shared" si="181"/>
        <v>216.81018195488511</v>
      </c>
      <c r="BM286" s="163">
        <f t="shared" si="203"/>
        <v>1.4101932877553658</v>
      </c>
      <c r="BN286" s="163">
        <f t="shared" si="182"/>
        <v>0.6982242985454189</v>
      </c>
      <c r="BO286" s="163">
        <f t="shared" si="183"/>
        <v>0</v>
      </c>
      <c r="BP286" s="164">
        <f t="shared" si="204"/>
        <v>322.04346705863838</v>
      </c>
      <c r="BQ286" s="164">
        <f>IF($E286="","",IF(AND($D286=Input!$C$6,$C286=12),0,-BJ287+BK287+BL287-BM287-BN287-BO287+BQ287))</f>
        <v>322.04405358172187</v>
      </c>
      <c r="BR286" s="161">
        <f t="shared" si="184"/>
        <v>0</v>
      </c>
      <c r="BT286" s="147">
        <f t="shared" si="185"/>
        <v>6.1686448952536811E-2</v>
      </c>
      <c r="BU286" s="164">
        <f>IF(AND($C285=12,$D285=Input!$C$6),0,IF($E286="","",BK286+(BL286+BU287)/(1+$AK286)*MIN((1-T286-U286),1)))</f>
        <v>26095.825203144359</v>
      </c>
      <c r="BV286" s="164">
        <f t="shared" si="186"/>
        <v>1609.7587892680881</v>
      </c>
      <c r="BW286" s="164">
        <f t="shared" si="187"/>
        <v>322.04405358172187</v>
      </c>
      <c r="BX286" s="164">
        <f t="shared" si="188"/>
        <v>19.865754071736916</v>
      </c>
    </row>
    <row r="287" spans="1:76" s="150" customFormat="1" x14ac:dyDescent="0.25">
      <c r="A287" s="150">
        <f t="shared" si="199"/>
        <v>283</v>
      </c>
      <c r="B287" s="150">
        <f t="shared" si="200"/>
        <v>24</v>
      </c>
      <c r="C287" s="150">
        <f t="shared" si="201"/>
        <v>7</v>
      </c>
      <c r="D287" s="150">
        <f>IF(E287="","",Input!$C$4+B287-1)</f>
        <v>68</v>
      </c>
      <c r="E287" s="150">
        <f>IF(OR(AND(C286=12,D286=Input!$C$6),E286=""),"",1)</f>
        <v>1</v>
      </c>
      <c r="F287" s="150">
        <f>IF(E287="","",Input!$C$8+B287-1)</f>
        <v>2041</v>
      </c>
      <c r="G287" s="151">
        <f>IF(E287="","",MAX(0,Input!$C$9-B287))</f>
        <v>0</v>
      </c>
      <c r="H287" s="152">
        <f>IF(E287="","",Input!$C$3)</f>
        <v>100000</v>
      </c>
      <c r="I287" s="153">
        <f>IF(E287="","",HLOOKUP($B287,Input!$C$13:$BT$14,2))</f>
        <v>25.798500000000001</v>
      </c>
      <c r="J287" s="154"/>
      <c r="K287" s="155">
        <f>IF($E287="","",INDEX(Input!$C$16:$CP$16,1,$B287))</f>
        <v>2.5229999999999999E-2</v>
      </c>
      <c r="L287" s="155">
        <f>IF($E287="","",Input!$C$37)</f>
        <v>1.4999999999999999E-2</v>
      </c>
      <c r="M287" s="155">
        <f t="shared" si="164"/>
        <v>4.0230000000000002E-2</v>
      </c>
      <c r="N287" s="155">
        <f t="shared" si="165"/>
        <v>3.2922277288198742E-3</v>
      </c>
      <c r="O287" s="147">
        <f>IF($E287="","",MIN(VLOOKUP(IF($B287&lt;=Input!$C$7,$B287,26),'Mortality Tables'!$A$41:$CW$67,IF($B287&lt;=Input!$C$7+1,Input!$C$4+2,$D287-Input!$C$7+2),0)*IF(B287&gt;20,Input!$C$22,1)/1000,1))</f>
        <v>2.8850800000000006E-2</v>
      </c>
      <c r="P287" s="147">
        <f>IF($E287="","",MIN(VLOOKUP(IF($B287&lt;=Input!$C$7,$B287,26),'Mortality Tables'!$A$12:$CW$37,IF($B287&lt;=Input!$C$7+1,Input!$C$4+2,$D287-Input!$C$7+2),0)*IF(B287&gt;20,Input!$C$22,1)/1000,1))</f>
        <v>3.6063500000000005E-2</v>
      </c>
      <c r="Q287" s="155">
        <f>IF($E287="","",Input!$C$21)</f>
        <v>5.0000000000000001E-3</v>
      </c>
      <c r="R287" s="159">
        <f>IF($E287="","",(1-Q287)^($F287-Input!$C$20))</f>
        <v>0.89110905578020905</v>
      </c>
      <c r="S287" s="147">
        <f t="shared" si="167"/>
        <v>2.570920914650366E-2</v>
      </c>
      <c r="T287" s="147">
        <f t="shared" si="168"/>
        <v>2.1681018195488511E-3</v>
      </c>
      <c r="U287" s="160">
        <f>IF($E287="","",IF($C287=12,INDEX(Input!$C$15:$CP$15,1,$B287),0))</f>
        <v>0</v>
      </c>
      <c r="V287" s="150">
        <f>IF(E287="","",IF(C287=1,IF($B287=1,Input!$C$33,Input!$C$34),0))</f>
        <v>0</v>
      </c>
      <c r="W287" s="156">
        <f>IF($E287="","",Input!$C$35)</f>
        <v>0.02</v>
      </c>
      <c r="X287" s="156">
        <f t="shared" si="166"/>
        <v>1.5768992641913981</v>
      </c>
      <c r="Y287" s="154"/>
      <c r="Z287" s="147">
        <f>IF($E287="","",VLOOKUP($D287,'Mortality Margins &amp; Grading'!$AB$5:$AF$125,3,0)*IF(Summary!$D$25="Included Margin",IF(AND($B287&gt;Input!$C$9,Summary!$D$31&lt;&gt;"Included Margin"),0,1),0))</f>
        <v>3.2000000000000001E-2</v>
      </c>
      <c r="AA287" s="147">
        <f>IF($E287="","",VLOOKUP($D287,'Mortality Margins &amp; Grading'!$AB$5:$AF$125,5,0)*IF(Summary!$D$25="Included Margin",IF(AND($B287&gt;Input!$C$9,Summary!$D$31&lt;&gt;"Included Margin"),0,1),0))</f>
        <v>0.16500000000000001</v>
      </c>
      <c r="AB287" s="147">
        <f>IF($E287="","",IF(AND($B287&gt;Input!$C$9,Summary!$D$31&lt;&gt;"Included Margin"),1,IF(Summary!$D$25="Included Margin",VLOOKUP($B287,'Mortality Margins &amp; Grading'!$AI$5:$AR$125,MATCH('Mortality Margins &amp; Grading'!$AQ$4,'Mortality Margins &amp; Grading'!$AI$4:$AR$4,0),0),1)))</f>
        <v>1</v>
      </c>
      <c r="AC287" s="154"/>
      <c r="AD287" s="158">
        <f>IF(E287="","",Input!$C$48*IF(Summary!$D$30="Included Margin",IF(AND($B287&gt;Input!$C$9,Summary!$D$31&lt;&gt;"Included Margin"),0,1),0))</f>
        <v>-4.4999999999999997E-3</v>
      </c>
      <c r="AE287" s="159">
        <f>IF(E287="","",IF(Summary!$D$26="Included Margin",IF(AND($B287&gt;Input!$C$9,Summary!$D$31&lt;&gt;"Included Margin"),1,1/$R287),1))</f>
        <v>1.1221971020420747</v>
      </c>
      <c r="AF287" s="160">
        <f>IF(E287="","",IF(AND($B287&gt;=Input!$C$9,$C287=12,Summary!$D$31="Included Margin",$U287&gt;0),1/U287-1,IF($B287&gt;=Input!$C$9,0,Input!$C$45*IF(Summary!$D$27="Included Margin",1,0))))</f>
        <v>0</v>
      </c>
      <c r="AG287" s="160">
        <f>IF(E287="","",Input!$C$46*IF(Summary!$D$28="Included Margin",IF(AND($B287&gt;Input!$C$9,Summary!$D$31&lt;&gt;"Included Margin"),0,1),0))</f>
        <v>0.02</v>
      </c>
      <c r="AH287" s="158">
        <f>IF(E287="","",Input!$C$47*IF(Summary!$D$29="Included Margin",IF(AND($B287&gt;Input!$C$9,Summary!$D$31&lt;&gt;"Included Margin"),0,1),0))</f>
        <v>2.5000000000000001E-3</v>
      </c>
      <c r="AI287" s="154"/>
      <c r="AJ287" s="158">
        <f t="shared" si="189"/>
        <v>3.5730000000000005E-2</v>
      </c>
      <c r="AK287" s="155">
        <f t="shared" si="190"/>
        <v>2.9298245804976197E-3</v>
      </c>
      <c r="AL287" s="147">
        <f t="shared" si="191"/>
        <v>2.9774025600000007E-2</v>
      </c>
      <c r="AM287" s="147">
        <f t="shared" si="169"/>
        <v>2.5156862873524366E-3</v>
      </c>
      <c r="AN287" s="160">
        <f t="shared" si="192"/>
        <v>0</v>
      </c>
      <c r="AO287" s="161">
        <f t="shared" si="193"/>
        <v>0</v>
      </c>
      <c r="AP287" s="156">
        <f t="shared" si="170"/>
        <v>1.668231370254587</v>
      </c>
      <c r="AQ287" s="152"/>
      <c r="AR287" s="162">
        <f t="shared" si="171"/>
        <v>1486.895215062925</v>
      </c>
      <c r="AS287" s="150">
        <f t="shared" si="194"/>
        <v>0</v>
      </c>
      <c r="AT287" s="163">
        <f t="shared" si="172"/>
        <v>0</v>
      </c>
      <c r="AU287" s="163">
        <f t="shared" si="173"/>
        <v>251.56862873524366</v>
      </c>
      <c r="AV287" s="163">
        <f t="shared" si="195"/>
        <v>3.9878161736403537</v>
      </c>
      <c r="AW287" s="163">
        <f t="shared" si="174"/>
        <v>3.125590609654882</v>
      </c>
      <c r="AX287" s="163">
        <f t="shared" si="175"/>
        <v>0</v>
      </c>
      <c r="AY287" s="164">
        <f t="shared" si="196"/>
        <v>1242.4399931109765</v>
      </c>
      <c r="AZ287" s="164">
        <f>IF($E287="","",IF(OR(AND($D287=Input!$C$6,$C287=12),$AN287=1),0,-AS288+AT288+AU288-AV288-AW288-AX288+AZ288))</f>
        <v>1242.44053217952</v>
      </c>
      <c r="BA287" s="154">
        <f t="shared" si="176"/>
        <v>5.390685435031628E-4</v>
      </c>
      <c r="BC287" s="147">
        <f t="shared" si="197"/>
        <v>6.1552706450321307E-2</v>
      </c>
      <c r="BD287" s="164">
        <f>IF(AND($C286=12,$D286=Input!$C$6),0,IF($E287="","",AT287+(AU287+BD288)/(1+$AK287)*MIN((1-AM287-AN287),1)))</f>
        <v>1229.3904589088504</v>
      </c>
      <c r="BE287" s="164">
        <f t="shared" si="177"/>
        <v>75.672310030042269</v>
      </c>
      <c r="BF287" s="164">
        <f t="shared" si="198"/>
        <v>1242.44053217952</v>
      </c>
      <c r="BG287" s="164">
        <f t="shared" si="178"/>
        <v>76.475577359226975</v>
      </c>
      <c r="BH287" s="152"/>
      <c r="BI287" s="162">
        <f t="shared" si="179"/>
        <v>322.04346705863838</v>
      </c>
      <c r="BJ287" s="150">
        <f t="shared" si="180"/>
        <v>0</v>
      </c>
      <c r="BK287" s="163">
        <f t="shared" si="202"/>
        <v>0</v>
      </c>
      <c r="BL287" s="163">
        <f t="shared" si="181"/>
        <v>216.81018195488511</v>
      </c>
      <c r="BM287" s="163">
        <f t="shared" si="203"/>
        <v>0.70334618567456142</v>
      </c>
      <c r="BN287" s="163">
        <f t="shared" si="182"/>
        <v>0.23018173212950557</v>
      </c>
      <c r="BO287" s="163">
        <f t="shared" si="183"/>
        <v>0</v>
      </c>
      <c r="BP287" s="164">
        <f t="shared" si="204"/>
        <v>106.16681302155735</v>
      </c>
      <c r="BQ287" s="164">
        <f>IF($E287="","",IF(AND($D287=Input!$C$6,$C287=12),0,-BJ288+BK288+BL288-BM288-BN288-BO288+BQ288))</f>
        <v>106.1673995446408</v>
      </c>
      <c r="BR287" s="161">
        <f t="shared" si="184"/>
        <v>0</v>
      </c>
      <c r="BT287" s="147">
        <f t="shared" si="185"/>
        <v>6.1552706450321307E-2</v>
      </c>
      <c r="BU287" s="164">
        <f>IF(AND($C286=12,$D286=Input!$C$6),0,IF($E287="","",BK287+(BL287+BU288)/(1+$AK287)*MIN((1-T287-U287),1)))</f>
        <v>26012.338676683645</v>
      </c>
      <c r="BV287" s="164">
        <f t="shared" si="186"/>
        <v>1601.1298466522478</v>
      </c>
      <c r="BW287" s="164">
        <f t="shared" si="187"/>
        <v>106.1673995446408</v>
      </c>
      <c r="BX287" s="164">
        <f t="shared" si="188"/>
        <v>6.5348907787652513</v>
      </c>
    </row>
    <row r="288" spans="1:76" s="150" customFormat="1" x14ac:dyDescent="0.25">
      <c r="A288" s="150">
        <f t="shared" si="199"/>
        <v>284</v>
      </c>
      <c r="B288" s="150">
        <f t="shared" si="200"/>
        <v>24</v>
      </c>
      <c r="C288" s="150">
        <f t="shared" si="201"/>
        <v>8</v>
      </c>
      <c r="D288" s="150">
        <f>IF(E288="","",Input!$C$4+B288-1)</f>
        <v>68</v>
      </c>
      <c r="E288" s="150">
        <f>IF(OR(AND(C287=12,D287=Input!$C$6),E287=""),"",1)</f>
        <v>1</v>
      </c>
      <c r="F288" s="150">
        <f>IF(E288="","",Input!$C$8+B288-1)</f>
        <v>2041</v>
      </c>
      <c r="G288" s="151">
        <f>IF(E288="","",MAX(0,Input!$C$9-B288))</f>
        <v>0</v>
      </c>
      <c r="H288" s="152">
        <f>IF(E288="","",Input!$C$3)</f>
        <v>100000</v>
      </c>
      <c r="I288" s="153">
        <f>IF(E288="","",HLOOKUP($B288,Input!$C$13:$BT$14,2))</f>
        <v>25.798500000000001</v>
      </c>
      <c r="J288" s="154"/>
      <c r="K288" s="155">
        <f>IF($E288="","",INDEX(Input!$C$16:$CP$16,1,$B288))</f>
        <v>2.5229999999999999E-2</v>
      </c>
      <c r="L288" s="155">
        <f>IF($E288="","",Input!$C$37)</f>
        <v>1.4999999999999999E-2</v>
      </c>
      <c r="M288" s="155">
        <f t="shared" si="164"/>
        <v>4.0230000000000002E-2</v>
      </c>
      <c r="N288" s="155">
        <f t="shared" si="165"/>
        <v>3.2922277288198742E-3</v>
      </c>
      <c r="O288" s="147">
        <f>IF($E288="","",MIN(VLOOKUP(IF($B288&lt;=Input!$C$7,$B288,26),'Mortality Tables'!$A$41:$CW$67,IF($B288&lt;=Input!$C$7+1,Input!$C$4+2,$D288-Input!$C$7+2),0)*IF(B288&gt;20,Input!$C$22,1)/1000,1))</f>
        <v>2.8850800000000006E-2</v>
      </c>
      <c r="P288" s="147">
        <f>IF($E288="","",MIN(VLOOKUP(IF($B288&lt;=Input!$C$7,$B288,26),'Mortality Tables'!$A$12:$CW$37,IF($B288&lt;=Input!$C$7+1,Input!$C$4+2,$D288-Input!$C$7+2),0)*IF(B288&gt;20,Input!$C$22,1)/1000,1))</f>
        <v>3.6063500000000005E-2</v>
      </c>
      <c r="Q288" s="155">
        <f>IF($E288="","",Input!$C$21)</f>
        <v>5.0000000000000001E-3</v>
      </c>
      <c r="R288" s="159">
        <f>IF($E288="","",(1-Q288)^($F288-Input!$C$20))</f>
        <v>0.89110905578020905</v>
      </c>
      <c r="S288" s="147">
        <f t="shared" si="167"/>
        <v>2.570920914650366E-2</v>
      </c>
      <c r="T288" s="147">
        <f t="shared" si="168"/>
        <v>2.1681018195488511E-3</v>
      </c>
      <c r="U288" s="160">
        <f>IF($E288="","",IF($C288=12,INDEX(Input!$C$15:$CP$15,1,$B288),0))</f>
        <v>0</v>
      </c>
      <c r="V288" s="150">
        <f>IF(E288="","",IF(C288=1,IF($B288=1,Input!$C$33,Input!$C$34),0))</f>
        <v>0</v>
      </c>
      <c r="W288" s="156">
        <f>IF($E288="","",Input!$C$35)</f>
        <v>0.02</v>
      </c>
      <c r="X288" s="156">
        <f t="shared" si="166"/>
        <v>1.5768992641913981</v>
      </c>
      <c r="Y288" s="154"/>
      <c r="Z288" s="147">
        <f>IF($E288="","",VLOOKUP($D288,'Mortality Margins &amp; Grading'!$AB$5:$AF$125,3,0)*IF(Summary!$D$25="Included Margin",IF(AND($B288&gt;Input!$C$9,Summary!$D$31&lt;&gt;"Included Margin"),0,1),0))</f>
        <v>3.2000000000000001E-2</v>
      </c>
      <c r="AA288" s="147">
        <f>IF($E288="","",VLOOKUP($D288,'Mortality Margins &amp; Grading'!$AB$5:$AF$125,5,0)*IF(Summary!$D$25="Included Margin",IF(AND($B288&gt;Input!$C$9,Summary!$D$31&lt;&gt;"Included Margin"),0,1),0))</f>
        <v>0.16500000000000001</v>
      </c>
      <c r="AB288" s="147">
        <f>IF($E288="","",IF(AND($B288&gt;Input!$C$9,Summary!$D$31&lt;&gt;"Included Margin"),1,IF(Summary!$D$25="Included Margin",VLOOKUP($B288,'Mortality Margins &amp; Grading'!$AI$5:$AR$125,MATCH('Mortality Margins &amp; Grading'!$AQ$4,'Mortality Margins &amp; Grading'!$AI$4:$AR$4,0),0),1)))</f>
        <v>1</v>
      </c>
      <c r="AC288" s="154"/>
      <c r="AD288" s="158">
        <f>IF(E288="","",Input!$C$48*IF(Summary!$D$30="Included Margin",IF(AND($B288&gt;Input!$C$9,Summary!$D$31&lt;&gt;"Included Margin"),0,1),0))</f>
        <v>-4.4999999999999997E-3</v>
      </c>
      <c r="AE288" s="159">
        <f>IF(E288="","",IF(Summary!$D$26="Included Margin",IF(AND($B288&gt;Input!$C$9,Summary!$D$31&lt;&gt;"Included Margin"),1,1/$R288),1))</f>
        <v>1.1221971020420747</v>
      </c>
      <c r="AF288" s="160">
        <f>IF(E288="","",IF(AND($B288&gt;=Input!$C$9,$C288=12,Summary!$D$31="Included Margin",$U288&gt;0),1/U288-1,IF($B288&gt;=Input!$C$9,0,Input!$C$45*IF(Summary!$D$27="Included Margin",1,0))))</f>
        <v>0</v>
      </c>
      <c r="AG288" s="160">
        <f>IF(E288="","",Input!$C$46*IF(Summary!$D$28="Included Margin",IF(AND($B288&gt;Input!$C$9,Summary!$D$31&lt;&gt;"Included Margin"),0,1),0))</f>
        <v>0.02</v>
      </c>
      <c r="AH288" s="158">
        <f>IF(E288="","",Input!$C$47*IF(Summary!$D$29="Included Margin",IF(AND($B288&gt;Input!$C$9,Summary!$D$31&lt;&gt;"Included Margin"),0,1),0))</f>
        <v>2.5000000000000001E-3</v>
      </c>
      <c r="AI288" s="154"/>
      <c r="AJ288" s="158">
        <f t="shared" si="189"/>
        <v>3.5730000000000005E-2</v>
      </c>
      <c r="AK288" s="155">
        <f t="shared" si="190"/>
        <v>2.9298245804976197E-3</v>
      </c>
      <c r="AL288" s="147">
        <f t="shared" si="191"/>
        <v>2.9774025600000007E-2</v>
      </c>
      <c r="AM288" s="147">
        <f t="shared" si="169"/>
        <v>2.5156862873524366E-3</v>
      </c>
      <c r="AN288" s="160">
        <f t="shared" si="192"/>
        <v>0</v>
      </c>
      <c r="AO288" s="161">
        <f t="shared" si="193"/>
        <v>0</v>
      </c>
      <c r="AP288" s="156">
        <f t="shared" si="170"/>
        <v>1.668231370254587</v>
      </c>
      <c r="AQ288" s="152"/>
      <c r="AR288" s="162">
        <f t="shared" si="171"/>
        <v>1242.4399931109765</v>
      </c>
      <c r="AS288" s="150">
        <f t="shared" si="194"/>
        <v>0</v>
      </c>
      <c r="AT288" s="163">
        <f t="shared" si="172"/>
        <v>0</v>
      </c>
      <c r="AU288" s="163">
        <f t="shared" si="173"/>
        <v>251.56862873524366</v>
      </c>
      <c r="AV288" s="163">
        <f t="shared" si="195"/>
        <v>3.2716052555345341</v>
      </c>
      <c r="AW288" s="163">
        <f t="shared" si="174"/>
        <v>2.5072606737924295</v>
      </c>
      <c r="AX288" s="163">
        <f t="shared" si="175"/>
        <v>0</v>
      </c>
      <c r="AY288" s="165">
        <f t="shared" si="196"/>
        <v>996.65023030505972</v>
      </c>
      <c r="AZ288" s="164">
        <f>IF($E288="","",IF(OR(AND($D288=Input!$C$6,$C288=12),$AN288=1),0,-AS289+AT289+AU289-AV289-AW289-AX289+AZ289))</f>
        <v>996.65076937360323</v>
      </c>
      <c r="BA288" s="154">
        <f t="shared" si="176"/>
        <v>5.390685435031628E-4</v>
      </c>
      <c r="BC288" s="147">
        <f t="shared" si="197"/>
        <v>6.1419253915468208E-2</v>
      </c>
      <c r="BD288" s="164">
        <f>IF(AND($C287=12,$D287=Input!$C$6),0,IF($E288="","",AT288+(AU288+BD289)/(1+$AK288)*MIN((1-AM288-AN288),1)))</f>
        <v>984.53337341572728</v>
      </c>
      <c r="BE288" s="164">
        <f t="shared" si="177"/>
        <v>60.469305250073035</v>
      </c>
      <c r="BF288" s="164">
        <f t="shared" si="198"/>
        <v>996.65076937360323</v>
      </c>
      <c r="BG288" s="164">
        <f t="shared" si="178"/>
        <v>61.213546669204085</v>
      </c>
      <c r="BH288" s="152"/>
      <c r="BI288" s="162">
        <f t="shared" si="179"/>
        <v>106.16681302155735</v>
      </c>
      <c r="BJ288" s="150">
        <f t="shared" si="180"/>
        <v>0</v>
      </c>
      <c r="BK288" s="163">
        <f t="shared" si="202"/>
        <v>0</v>
      </c>
      <c r="BL288" s="163">
        <f t="shared" si="181"/>
        <v>216.81018195488511</v>
      </c>
      <c r="BM288" s="163">
        <f t="shared" si="203"/>
        <v>-7.3689207511715531E-3</v>
      </c>
      <c r="BN288" s="163">
        <f t="shared" si="182"/>
        <v>-0.24042205392666507</v>
      </c>
      <c r="BO288" s="163">
        <f t="shared" si="183"/>
        <v>0</v>
      </c>
      <c r="BP288" s="164">
        <f t="shared" si="204"/>
        <v>-110.8911599080056</v>
      </c>
      <c r="BQ288" s="164">
        <f>IF($E288="","",IF(AND($D288=Input!$C$6,$C288=12),0,-BJ289+BK289+BL289-BM289-BN289-BO289+BQ289))</f>
        <v>-110.89057338492213</v>
      </c>
      <c r="BR288" s="161">
        <f t="shared" si="184"/>
        <v>0</v>
      </c>
      <c r="BT288" s="147">
        <f t="shared" si="185"/>
        <v>6.1419253915468208E-2</v>
      </c>
      <c r="BU288" s="164">
        <f>IF(AND($C287=12,$D287=Input!$C$6),0,IF($E288="","",BK288+(BL288+BU289)/(1+$AK288)*MIN((1-T288-U288),1)))</f>
        <v>25928.425617288809</v>
      </c>
      <c r="BV288" s="164">
        <f t="shared" si="186"/>
        <v>1592.5045566165918</v>
      </c>
      <c r="BW288" s="164">
        <f t="shared" si="187"/>
        <v>-110.89057338492213</v>
      </c>
      <c r="BX288" s="164">
        <f t="shared" si="188"/>
        <v>-6.8108162835603938</v>
      </c>
    </row>
    <row r="289" spans="1:76" s="150" customFormat="1" x14ac:dyDescent="0.25">
      <c r="A289" s="150">
        <f t="shared" si="199"/>
        <v>285</v>
      </c>
      <c r="B289" s="150">
        <f t="shared" si="200"/>
        <v>24</v>
      </c>
      <c r="C289" s="150">
        <f t="shared" si="201"/>
        <v>9</v>
      </c>
      <c r="D289" s="150">
        <f>IF(E289="","",Input!$C$4+B289-1)</f>
        <v>68</v>
      </c>
      <c r="E289" s="150">
        <f>IF(OR(AND(C288=12,D288=Input!$C$6),E288=""),"",1)</f>
        <v>1</v>
      </c>
      <c r="F289" s="150">
        <f>IF(E289="","",Input!$C$8+B289-1)</f>
        <v>2041</v>
      </c>
      <c r="G289" s="151">
        <f>IF(E289="","",MAX(0,Input!$C$9-B289))</f>
        <v>0</v>
      </c>
      <c r="H289" s="152">
        <f>IF(E289="","",Input!$C$3)</f>
        <v>100000</v>
      </c>
      <c r="I289" s="153">
        <f>IF(E289="","",HLOOKUP($B289,Input!$C$13:$BT$14,2))</f>
        <v>25.798500000000001</v>
      </c>
      <c r="J289" s="154"/>
      <c r="K289" s="155">
        <f>IF($E289="","",INDEX(Input!$C$16:$CP$16,1,$B289))</f>
        <v>2.5229999999999999E-2</v>
      </c>
      <c r="L289" s="155">
        <f>IF($E289="","",Input!$C$37)</f>
        <v>1.4999999999999999E-2</v>
      </c>
      <c r="M289" s="155">
        <f t="shared" si="164"/>
        <v>4.0230000000000002E-2</v>
      </c>
      <c r="N289" s="155">
        <f t="shared" si="165"/>
        <v>3.2922277288198742E-3</v>
      </c>
      <c r="O289" s="147">
        <f>IF($E289="","",MIN(VLOOKUP(IF($B289&lt;=Input!$C$7,$B289,26),'Mortality Tables'!$A$41:$CW$67,IF($B289&lt;=Input!$C$7+1,Input!$C$4+2,$D289-Input!$C$7+2),0)*IF(B289&gt;20,Input!$C$22,1)/1000,1))</f>
        <v>2.8850800000000006E-2</v>
      </c>
      <c r="P289" s="147">
        <f>IF($E289="","",MIN(VLOOKUP(IF($B289&lt;=Input!$C$7,$B289,26),'Mortality Tables'!$A$12:$CW$37,IF($B289&lt;=Input!$C$7+1,Input!$C$4+2,$D289-Input!$C$7+2),0)*IF(B289&gt;20,Input!$C$22,1)/1000,1))</f>
        <v>3.6063500000000005E-2</v>
      </c>
      <c r="Q289" s="155">
        <f>IF($E289="","",Input!$C$21)</f>
        <v>5.0000000000000001E-3</v>
      </c>
      <c r="R289" s="159">
        <f>IF($E289="","",(1-Q289)^($F289-Input!$C$20))</f>
        <v>0.89110905578020905</v>
      </c>
      <c r="S289" s="147">
        <f t="shared" si="167"/>
        <v>2.570920914650366E-2</v>
      </c>
      <c r="T289" s="147">
        <f t="shared" si="168"/>
        <v>2.1681018195488511E-3</v>
      </c>
      <c r="U289" s="160">
        <f>IF($E289="","",IF($C289=12,INDEX(Input!$C$15:$CP$15,1,$B289),0))</f>
        <v>0</v>
      </c>
      <c r="V289" s="150">
        <f>IF(E289="","",IF(C289=1,IF($B289=1,Input!$C$33,Input!$C$34),0))</f>
        <v>0</v>
      </c>
      <c r="W289" s="156">
        <f>IF($E289="","",Input!$C$35)</f>
        <v>0.02</v>
      </c>
      <c r="X289" s="156">
        <f t="shared" si="166"/>
        <v>1.5768992641913981</v>
      </c>
      <c r="Y289" s="154"/>
      <c r="Z289" s="147">
        <f>IF($E289="","",VLOOKUP($D289,'Mortality Margins &amp; Grading'!$AB$5:$AF$125,3,0)*IF(Summary!$D$25="Included Margin",IF(AND($B289&gt;Input!$C$9,Summary!$D$31&lt;&gt;"Included Margin"),0,1),0))</f>
        <v>3.2000000000000001E-2</v>
      </c>
      <c r="AA289" s="147">
        <f>IF($E289="","",VLOOKUP($D289,'Mortality Margins &amp; Grading'!$AB$5:$AF$125,5,0)*IF(Summary!$D$25="Included Margin",IF(AND($B289&gt;Input!$C$9,Summary!$D$31&lt;&gt;"Included Margin"),0,1),0))</f>
        <v>0.16500000000000001</v>
      </c>
      <c r="AB289" s="147">
        <f>IF($E289="","",IF(AND($B289&gt;Input!$C$9,Summary!$D$31&lt;&gt;"Included Margin"),1,IF(Summary!$D$25="Included Margin",VLOOKUP($B289,'Mortality Margins &amp; Grading'!$AI$5:$AR$125,MATCH('Mortality Margins &amp; Grading'!$AQ$4,'Mortality Margins &amp; Grading'!$AI$4:$AR$4,0),0),1)))</f>
        <v>1</v>
      </c>
      <c r="AC289" s="154"/>
      <c r="AD289" s="158">
        <f>IF(E289="","",Input!$C$48*IF(Summary!$D$30="Included Margin",IF(AND($B289&gt;Input!$C$9,Summary!$D$31&lt;&gt;"Included Margin"),0,1),0))</f>
        <v>-4.4999999999999997E-3</v>
      </c>
      <c r="AE289" s="159">
        <f>IF(E289="","",IF(Summary!$D$26="Included Margin",IF(AND($B289&gt;Input!$C$9,Summary!$D$31&lt;&gt;"Included Margin"),1,1/$R289),1))</f>
        <v>1.1221971020420747</v>
      </c>
      <c r="AF289" s="160">
        <f>IF(E289="","",IF(AND($B289&gt;=Input!$C$9,$C289=12,Summary!$D$31="Included Margin",$U289&gt;0),1/U289-1,IF($B289&gt;=Input!$C$9,0,Input!$C$45*IF(Summary!$D$27="Included Margin",1,0))))</f>
        <v>0</v>
      </c>
      <c r="AG289" s="160">
        <f>IF(E289="","",Input!$C$46*IF(Summary!$D$28="Included Margin",IF(AND($B289&gt;Input!$C$9,Summary!$D$31&lt;&gt;"Included Margin"),0,1),0))</f>
        <v>0.02</v>
      </c>
      <c r="AH289" s="158">
        <f>IF(E289="","",Input!$C$47*IF(Summary!$D$29="Included Margin",IF(AND($B289&gt;Input!$C$9,Summary!$D$31&lt;&gt;"Included Margin"),0,1),0))</f>
        <v>2.5000000000000001E-3</v>
      </c>
      <c r="AI289" s="154"/>
      <c r="AJ289" s="158">
        <f t="shared" si="189"/>
        <v>3.5730000000000005E-2</v>
      </c>
      <c r="AK289" s="155">
        <f t="shared" si="190"/>
        <v>2.9298245804976197E-3</v>
      </c>
      <c r="AL289" s="147">
        <f t="shared" si="191"/>
        <v>2.9774025600000007E-2</v>
      </c>
      <c r="AM289" s="147">
        <f t="shared" si="169"/>
        <v>2.5156862873524366E-3</v>
      </c>
      <c r="AN289" s="160">
        <f t="shared" si="192"/>
        <v>0</v>
      </c>
      <c r="AO289" s="161">
        <f t="shared" si="193"/>
        <v>0</v>
      </c>
      <c r="AP289" s="156">
        <f t="shared" si="170"/>
        <v>1.668231370254587</v>
      </c>
      <c r="AQ289" s="152"/>
      <c r="AR289" s="162">
        <f t="shared" si="171"/>
        <v>996.65023030505972</v>
      </c>
      <c r="AS289" s="150">
        <f t="shared" si="194"/>
        <v>0</v>
      </c>
      <c r="AT289" s="163">
        <f t="shared" si="172"/>
        <v>0</v>
      </c>
      <c r="AU289" s="163">
        <f t="shared" si="173"/>
        <v>251.56862873524366</v>
      </c>
      <c r="AV289" s="163">
        <f t="shared" si="195"/>
        <v>2.5514843668310792</v>
      </c>
      <c r="AW289" s="163">
        <f t="shared" si="174"/>
        <v>1.8855551235575327</v>
      </c>
      <c r="AX289" s="163">
        <f t="shared" si="175"/>
        <v>0</v>
      </c>
      <c r="AY289" s="164">
        <f t="shared" si="196"/>
        <v>749.51864106020469</v>
      </c>
      <c r="AZ289" s="164">
        <f>IF($E289="","",IF(OR(AND($D289=Input!$C$6,$C289=12),$AN289=1),0,-AS290+AT290+AU290-AV290-AW290-AX290+AZ290))</f>
        <v>749.51918012874819</v>
      </c>
      <c r="BA289" s="154">
        <f t="shared" si="176"/>
        <v>5.390685435031628E-4</v>
      </c>
      <c r="BC289" s="147">
        <f t="shared" si="197"/>
        <v>6.1286090719298747E-2</v>
      </c>
      <c r="BD289" s="164">
        <f>IF(AND($C288=12,$D288=Input!$C$6),0,IF($E289="","",AT289+(AU289+BD290)/(1+$AK289)*MIN((1-AM289-AN289),1)))</f>
        <v>738.33955319726283</v>
      </c>
      <c r="BE289" s="164">
        <f t="shared" si="177"/>
        <v>45.249944838893953</v>
      </c>
      <c r="BF289" s="164">
        <f t="shared" si="198"/>
        <v>749.51918012874819</v>
      </c>
      <c r="BG289" s="164">
        <f t="shared" si="178"/>
        <v>45.935100469224878</v>
      </c>
      <c r="BH289" s="152"/>
      <c r="BI289" s="162">
        <f t="shared" si="179"/>
        <v>-110.89115990800559</v>
      </c>
      <c r="BJ289" s="150">
        <f t="shared" si="180"/>
        <v>0</v>
      </c>
      <c r="BK289" s="163">
        <f t="shared" si="202"/>
        <v>0</v>
      </c>
      <c r="BL289" s="163">
        <f t="shared" si="181"/>
        <v>216.81018195488511</v>
      </c>
      <c r="BM289" s="163">
        <f t="shared" si="203"/>
        <v>-0.72197319799131232</v>
      </c>
      <c r="BN289" s="163">
        <f t="shared" si="182"/>
        <v>-0.71360107511338478</v>
      </c>
      <c r="BO289" s="163">
        <f t="shared" si="183"/>
        <v>0</v>
      </c>
      <c r="BP289" s="164">
        <f t="shared" si="204"/>
        <v>-329.13691613599536</v>
      </c>
      <c r="BQ289" s="164">
        <f>IF($E289="","",IF(AND($D289=Input!$C$6,$C289=12),0,-BJ290+BK290+BL290-BM290-BN290-BO290+BQ290))</f>
        <v>-329.13632961291194</v>
      </c>
      <c r="BR289" s="161">
        <f t="shared" si="184"/>
        <v>0</v>
      </c>
      <c r="BT289" s="147">
        <f t="shared" si="185"/>
        <v>6.1286090719298747E-2</v>
      </c>
      <c r="BU289" s="164">
        <f>IF(AND($C288=12,$D288=Input!$C$6),0,IF($E289="","",BK289+(BL289+BU290)/(1+$AK289)*MIN((1-T289-U289),1)))</f>
        <v>25844.083845801706</v>
      </c>
      <c r="BV289" s="164">
        <f t="shared" si="186"/>
        <v>1583.8828671309666</v>
      </c>
      <c r="BW289" s="164">
        <f t="shared" si="187"/>
        <v>-329.13632961291194</v>
      </c>
      <c r="BX289" s="164">
        <f t="shared" si="188"/>
        <v>-20.171478955673937</v>
      </c>
    </row>
    <row r="290" spans="1:76" s="150" customFormat="1" x14ac:dyDescent="0.25">
      <c r="A290" s="150">
        <f t="shared" si="199"/>
        <v>286</v>
      </c>
      <c r="B290" s="150">
        <f t="shared" si="200"/>
        <v>24</v>
      </c>
      <c r="C290" s="150">
        <f t="shared" si="201"/>
        <v>10</v>
      </c>
      <c r="D290" s="150">
        <f>IF(E290="","",Input!$C$4+B290-1)</f>
        <v>68</v>
      </c>
      <c r="E290" s="150">
        <f>IF(OR(AND(C289=12,D289=Input!$C$6),E289=""),"",1)</f>
        <v>1</v>
      </c>
      <c r="F290" s="150">
        <f>IF(E290="","",Input!$C$8+B290-1)</f>
        <v>2041</v>
      </c>
      <c r="G290" s="151">
        <f>IF(E290="","",MAX(0,Input!$C$9-B290))</f>
        <v>0</v>
      </c>
      <c r="H290" s="152">
        <f>IF(E290="","",Input!$C$3)</f>
        <v>100000</v>
      </c>
      <c r="I290" s="153">
        <f>IF(E290="","",HLOOKUP($B290,Input!$C$13:$BT$14,2))</f>
        <v>25.798500000000001</v>
      </c>
      <c r="J290" s="154"/>
      <c r="K290" s="155">
        <f>IF($E290="","",INDEX(Input!$C$16:$CP$16,1,$B290))</f>
        <v>2.5229999999999999E-2</v>
      </c>
      <c r="L290" s="155">
        <f>IF($E290="","",Input!$C$37)</f>
        <v>1.4999999999999999E-2</v>
      </c>
      <c r="M290" s="155">
        <f t="shared" si="164"/>
        <v>4.0230000000000002E-2</v>
      </c>
      <c r="N290" s="155">
        <f t="shared" si="165"/>
        <v>3.2922277288198742E-3</v>
      </c>
      <c r="O290" s="147">
        <f>IF($E290="","",MIN(VLOOKUP(IF($B290&lt;=Input!$C$7,$B290,26),'Mortality Tables'!$A$41:$CW$67,IF($B290&lt;=Input!$C$7+1,Input!$C$4+2,$D290-Input!$C$7+2),0)*IF(B290&gt;20,Input!$C$22,1)/1000,1))</f>
        <v>2.8850800000000006E-2</v>
      </c>
      <c r="P290" s="147">
        <f>IF($E290="","",MIN(VLOOKUP(IF($B290&lt;=Input!$C$7,$B290,26),'Mortality Tables'!$A$12:$CW$37,IF($B290&lt;=Input!$C$7+1,Input!$C$4+2,$D290-Input!$C$7+2),0)*IF(B290&gt;20,Input!$C$22,1)/1000,1))</f>
        <v>3.6063500000000005E-2</v>
      </c>
      <c r="Q290" s="155">
        <f>IF($E290="","",Input!$C$21)</f>
        <v>5.0000000000000001E-3</v>
      </c>
      <c r="R290" s="159">
        <f>IF($E290="","",(1-Q290)^($F290-Input!$C$20))</f>
        <v>0.89110905578020905</v>
      </c>
      <c r="S290" s="147">
        <f t="shared" si="167"/>
        <v>2.570920914650366E-2</v>
      </c>
      <c r="T290" s="147">
        <f t="shared" si="168"/>
        <v>2.1681018195488511E-3</v>
      </c>
      <c r="U290" s="160">
        <f>IF($E290="","",IF($C290=12,INDEX(Input!$C$15:$CP$15,1,$B290),0))</f>
        <v>0</v>
      </c>
      <c r="V290" s="150">
        <f>IF(E290="","",IF(C290=1,IF($B290=1,Input!$C$33,Input!$C$34),0))</f>
        <v>0</v>
      </c>
      <c r="W290" s="156">
        <f>IF($E290="","",Input!$C$35)</f>
        <v>0.02</v>
      </c>
      <c r="X290" s="156">
        <f t="shared" si="166"/>
        <v>1.5768992641913981</v>
      </c>
      <c r="Y290" s="154"/>
      <c r="Z290" s="147">
        <f>IF($E290="","",VLOOKUP($D290,'Mortality Margins &amp; Grading'!$AB$5:$AF$125,3,0)*IF(Summary!$D$25="Included Margin",IF(AND($B290&gt;Input!$C$9,Summary!$D$31&lt;&gt;"Included Margin"),0,1),0))</f>
        <v>3.2000000000000001E-2</v>
      </c>
      <c r="AA290" s="147">
        <f>IF($E290="","",VLOOKUP($D290,'Mortality Margins &amp; Grading'!$AB$5:$AF$125,5,0)*IF(Summary!$D$25="Included Margin",IF(AND($B290&gt;Input!$C$9,Summary!$D$31&lt;&gt;"Included Margin"),0,1),0))</f>
        <v>0.16500000000000001</v>
      </c>
      <c r="AB290" s="147">
        <f>IF($E290="","",IF(AND($B290&gt;Input!$C$9,Summary!$D$31&lt;&gt;"Included Margin"),1,IF(Summary!$D$25="Included Margin",VLOOKUP($B290,'Mortality Margins &amp; Grading'!$AI$5:$AR$125,MATCH('Mortality Margins &amp; Grading'!$AQ$4,'Mortality Margins &amp; Grading'!$AI$4:$AR$4,0),0),1)))</f>
        <v>1</v>
      </c>
      <c r="AC290" s="154"/>
      <c r="AD290" s="158">
        <f>IF(E290="","",Input!$C$48*IF(Summary!$D$30="Included Margin",IF(AND($B290&gt;Input!$C$9,Summary!$D$31&lt;&gt;"Included Margin"),0,1),0))</f>
        <v>-4.4999999999999997E-3</v>
      </c>
      <c r="AE290" s="159">
        <f>IF(E290="","",IF(Summary!$D$26="Included Margin",IF(AND($B290&gt;Input!$C$9,Summary!$D$31&lt;&gt;"Included Margin"),1,1/$R290),1))</f>
        <v>1.1221971020420747</v>
      </c>
      <c r="AF290" s="160">
        <f>IF(E290="","",IF(AND($B290&gt;=Input!$C$9,$C290=12,Summary!$D$31="Included Margin",$U290&gt;0),1/U290-1,IF($B290&gt;=Input!$C$9,0,Input!$C$45*IF(Summary!$D$27="Included Margin",1,0))))</f>
        <v>0</v>
      </c>
      <c r="AG290" s="160">
        <f>IF(E290="","",Input!$C$46*IF(Summary!$D$28="Included Margin",IF(AND($B290&gt;Input!$C$9,Summary!$D$31&lt;&gt;"Included Margin"),0,1),0))</f>
        <v>0.02</v>
      </c>
      <c r="AH290" s="158">
        <f>IF(E290="","",Input!$C$47*IF(Summary!$D$29="Included Margin",IF(AND($B290&gt;Input!$C$9,Summary!$D$31&lt;&gt;"Included Margin"),0,1),0))</f>
        <v>2.5000000000000001E-3</v>
      </c>
      <c r="AI290" s="154"/>
      <c r="AJ290" s="158">
        <f t="shared" si="189"/>
        <v>3.5730000000000005E-2</v>
      </c>
      <c r="AK290" s="155">
        <f t="shared" si="190"/>
        <v>2.9298245804976197E-3</v>
      </c>
      <c r="AL290" s="147">
        <f t="shared" si="191"/>
        <v>2.9774025600000007E-2</v>
      </c>
      <c r="AM290" s="147">
        <f t="shared" si="169"/>
        <v>2.5156862873524366E-3</v>
      </c>
      <c r="AN290" s="160">
        <f t="shared" si="192"/>
        <v>0</v>
      </c>
      <c r="AO290" s="161">
        <f t="shared" si="193"/>
        <v>0</v>
      </c>
      <c r="AP290" s="156">
        <f t="shared" si="170"/>
        <v>1.668231370254587</v>
      </c>
      <c r="AQ290" s="152"/>
      <c r="AR290" s="162">
        <f t="shared" si="171"/>
        <v>749.51864106020469</v>
      </c>
      <c r="AS290" s="150">
        <f t="shared" si="194"/>
        <v>0</v>
      </c>
      <c r="AT290" s="163">
        <f t="shared" si="172"/>
        <v>0</v>
      </c>
      <c r="AU290" s="163">
        <f t="shared" si="173"/>
        <v>251.56862873524366</v>
      </c>
      <c r="AV290" s="163">
        <f t="shared" si="195"/>
        <v>1.8274321620440619</v>
      </c>
      <c r="AW290" s="163">
        <f t="shared" si="174"/>
        <v>1.2604555306456078</v>
      </c>
      <c r="AX290" s="163">
        <f t="shared" si="175"/>
        <v>0</v>
      </c>
      <c r="AY290" s="165">
        <f t="shared" si="196"/>
        <v>501.03790001765071</v>
      </c>
      <c r="AZ290" s="164">
        <f>IF($E290="","",IF(OR(AND($D290=Input!$C$6,$C290=12),$AN290=1),0,-AS291+AT291+AU291-AV291-AW291-AX291+AZ291))</f>
        <v>501.03843908619422</v>
      </c>
      <c r="BA290" s="154">
        <f t="shared" si="176"/>
        <v>5.390685435031628E-4</v>
      </c>
      <c r="BC290" s="147">
        <f t="shared" si="197"/>
        <v>6.1153216234497203E-2</v>
      </c>
      <c r="BD290" s="164">
        <f>IF(AND($C289=12,$D289=Input!$C$6),0,IF($E290="","",AT290+(AU290+BD291)/(1+$AK290)*MIN((1-AM290-AN290),1)))</f>
        <v>490.80170069160664</v>
      </c>
      <c r="BE290" s="164">
        <f t="shared" si="177"/>
        <v>30.014102530652796</v>
      </c>
      <c r="BF290" s="164">
        <f t="shared" si="198"/>
        <v>501.03843908619422</v>
      </c>
      <c r="BG290" s="164">
        <f t="shared" si="178"/>
        <v>30.64011200723299</v>
      </c>
      <c r="BH290" s="152"/>
      <c r="BI290" s="162">
        <f t="shared" si="179"/>
        <v>-329.13691613599542</v>
      </c>
      <c r="BJ290" s="150">
        <f t="shared" si="180"/>
        <v>0</v>
      </c>
      <c r="BK290" s="163">
        <f t="shared" si="202"/>
        <v>0</v>
      </c>
      <c r="BL290" s="163">
        <f t="shared" si="181"/>
        <v>216.81018195488511</v>
      </c>
      <c r="BM290" s="163">
        <f t="shared" si="203"/>
        <v>-1.4404879283423633</v>
      </c>
      <c r="BN290" s="163">
        <f t="shared" si="182"/>
        <v>-1.1893694236164245</v>
      </c>
      <c r="BO290" s="163">
        <f t="shared" si="183"/>
        <v>0</v>
      </c>
      <c r="BP290" s="164">
        <f t="shared" si="204"/>
        <v>-548.57695544283933</v>
      </c>
      <c r="BQ290" s="164">
        <f>IF($E290="","",IF(AND($D290=Input!$C$6,$C290=12),0,-BJ291+BK291+BL291-BM291-BN291-BO291+BQ291))</f>
        <v>-548.57636891975585</v>
      </c>
      <c r="BR290" s="161">
        <f t="shared" si="184"/>
        <v>0</v>
      </c>
      <c r="BT290" s="147">
        <f t="shared" si="185"/>
        <v>6.1153216234497203E-2</v>
      </c>
      <c r="BU290" s="164">
        <f>IF(AND($C289=12,$D289=Input!$C$6),0,IF($E290="","",BK290+(BL290+BU291)/(1+$AK290)*MIN((1-T290-U290),1)))</f>
        <v>25759.311171930873</v>
      </c>
      <c r="BV290" s="164">
        <f t="shared" si="186"/>
        <v>1575.2647261487882</v>
      </c>
      <c r="BW290" s="164">
        <f t="shared" si="187"/>
        <v>-548.57636891975585</v>
      </c>
      <c r="BX290" s="164">
        <f t="shared" si="188"/>
        <v>-33.547209309685137</v>
      </c>
    </row>
    <row r="291" spans="1:76" s="150" customFormat="1" x14ac:dyDescent="0.25">
      <c r="A291" s="150">
        <f t="shared" si="199"/>
        <v>287</v>
      </c>
      <c r="B291" s="150">
        <f t="shared" si="200"/>
        <v>24</v>
      </c>
      <c r="C291" s="150">
        <f t="shared" si="201"/>
        <v>11</v>
      </c>
      <c r="D291" s="150">
        <f>IF(E291="","",Input!$C$4+B291-1)</f>
        <v>68</v>
      </c>
      <c r="E291" s="150">
        <f>IF(OR(AND(C290=12,D290=Input!$C$6),E290=""),"",1)</f>
        <v>1</v>
      </c>
      <c r="F291" s="150">
        <f>IF(E291="","",Input!$C$8+B291-1)</f>
        <v>2041</v>
      </c>
      <c r="G291" s="151">
        <f>IF(E291="","",MAX(0,Input!$C$9-B291))</f>
        <v>0</v>
      </c>
      <c r="H291" s="152">
        <f>IF(E291="","",Input!$C$3)</f>
        <v>100000</v>
      </c>
      <c r="I291" s="153">
        <f>IF(E291="","",HLOOKUP($B291,Input!$C$13:$BT$14,2))</f>
        <v>25.798500000000001</v>
      </c>
      <c r="J291" s="154"/>
      <c r="K291" s="155">
        <f>IF($E291="","",INDEX(Input!$C$16:$CP$16,1,$B291))</f>
        <v>2.5229999999999999E-2</v>
      </c>
      <c r="L291" s="155">
        <f>IF($E291="","",Input!$C$37)</f>
        <v>1.4999999999999999E-2</v>
      </c>
      <c r="M291" s="155">
        <f t="shared" si="164"/>
        <v>4.0230000000000002E-2</v>
      </c>
      <c r="N291" s="155">
        <f t="shared" si="165"/>
        <v>3.2922277288198742E-3</v>
      </c>
      <c r="O291" s="147">
        <f>IF($E291="","",MIN(VLOOKUP(IF($B291&lt;=Input!$C$7,$B291,26),'Mortality Tables'!$A$41:$CW$67,IF($B291&lt;=Input!$C$7+1,Input!$C$4+2,$D291-Input!$C$7+2),0)*IF(B291&gt;20,Input!$C$22,1)/1000,1))</f>
        <v>2.8850800000000006E-2</v>
      </c>
      <c r="P291" s="147">
        <f>IF($E291="","",MIN(VLOOKUP(IF($B291&lt;=Input!$C$7,$B291,26),'Mortality Tables'!$A$12:$CW$37,IF($B291&lt;=Input!$C$7+1,Input!$C$4+2,$D291-Input!$C$7+2),0)*IF(B291&gt;20,Input!$C$22,1)/1000,1))</f>
        <v>3.6063500000000005E-2</v>
      </c>
      <c r="Q291" s="155">
        <f>IF($E291="","",Input!$C$21)</f>
        <v>5.0000000000000001E-3</v>
      </c>
      <c r="R291" s="159">
        <f>IF($E291="","",(1-Q291)^($F291-Input!$C$20))</f>
        <v>0.89110905578020905</v>
      </c>
      <c r="S291" s="147">
        <f t="shared" si="167"/>
        <v>2.570920914650366E-2</v>
      </c>
      <c r="T291" s="147">
        <f t="shared" si="168"/>
        <v>2.1681018195488511E-3</v>
      </c>
      <c r="U291" s="160">
        <f>IF($E291="","",IF($C291=12,INDEX(Input!$C$15:$CP$15,1,$B291),0))</f>
        <v>0</v>
      </c>
      <c r="V291" s="150">
        <f>IF(E291="","",IF(C291=1,IF($B291=1,Input!$C$33,Input!$C$34),0))</f>
        <v>0</v>
      </c>
      <c r="W291" s="156">
        <f>IF($E291="","",Input!$C$35)</f>
        <v>0.02</v>
      </c>
      <c r="X291" s="156">
        <f t="shared" si="166"/>
        <v>1.5768992641913981</v>
      </c>
      <c r="Y291" s="154"/>
      <c r="Z291" s="147">
        <f>IF($E291="","",VLOOKUP($D291,'Mortality Margins &amp; Grading'!$AB$5:$AF$125,3,0)*IF(Summary!$D$25="Included Margin",IF(AND($B291&gt;Input!$C$9,Summary!$D$31&lt;&gt;"Included Margin"),0,1),0))</f>
        <v>3.2000000000000001E-2</v>
      </c>
      <c r="AA291" s="147">
        <f>IF($E291="","",VLOOKUP($D291,'Mortality Margins &amp; Grading'!$AB$5:$AF$125,5,0)*IF(Summary!$D$25="Included Margin",IF(AND($B291&gt;Input!$C$9,Summary!$D$31&lt;&gt;"Included Margin"),0,1),0))</f>
        <v>0.16500000000000001</v>
      </c>
      <c r="AB291" s="147">
        <f>IF($E291="","",IF(AND($B291&gt;Input!$C$9,Summary!$D$31&lt;&gt;"Included Margin"),1,IF(Summary!$D$25="Included Margin",VLOOKUP($B291,'Mortality Margins &amp; Grading'!$AI$5:$AR$125,MATCH('Mortality Margins &amp; Grading'!$AQ$4,'Mortality Margins &amp; Grading'!$AI$4:$AR$4,0),0),1)))</f>
        <v>1</v>
      </c>
      <c r="AC291" s="154"/>
      <c r="AD291" s="158">
        <f>IF(E291="","",Input!$C$48*IF(Summary!$D$30="Included Margin",IF(AND($B291&gt;Input!$C$9,Summary!$D$31&lt;&gt;"Included Margin"),0,1),0))</f>
        <v>-4.4999999999999997E-3</v>
      </c>
      <c r="AE291" s="159">
        <f>IF(E291="","",IF(Summary!$D$26="Included Margin",IF(AND($B291&gt;Input!$C$9,Summary!$D$31&lt;&gt;"Included Margin"),1,1/$R291),1))</f>
        <v>1.1221971020420747</v>
      </c>
      <c r="AF291" s="160">
        <f>IF(E291="","",IF(AND($B291&gt;=Input!$C$9,$C291=12,Summary!$D$31="Included Margin",$U291&gt;0),1/U291-1,IF($B291&gt;=Input!$C$9,0,Input!$C$45*IF(Summary!$D$27="Included Margin",1,0))))</f>
        <v>0</v>
      </c>
      <c r="AG291" s="160">
        <f>IF(E291="","",Input!$C$46*IF(Summary!$D$28="Included Margin",IF(AND($B291&gt;Input!$C$9,Summary!$D$31&lt;&gt;"Included Margin"),0,1),0))</f>
        <v>0.02</v>
      </c>
      <c r="AH291" s="158">
        <f>IF(E291="","",Input!$C$47*IF(Summary!$D$29="Included Margin",IF(AND($B291&gt;Input!$C$9,Summary!$D$31&lt;&gt;"Included Margin"),0,1),0))</f>
        <v>2.5000000000000001E-3</v>
      </c>
      <c r="AI291" s="154"/>
      <c r="AJ291" s="158">
        <f t="shared" si="189"/>
        <v>3.5730000000000005E-2</v>
      </c>
      <c r="AK291" s="155">
        <f t="shared" si="190"/>
        <v>2.9298245804976197E-3</v>
      </c>
      <c r="AL291" s="147">
        <f t="shared" si="191"/>
        <v>2.9774025600000007E-2</v>
      </c>
      <c r="AM291" s="147">
        <f t="shared" si="169"/>
        <v>2.5156862873524366E-3</v>
      </c>
      <c r="AN291" s="160">
        <f t="shared" si="192"/>
        <v>0</v>
      </c>
      <c r="AO291" s="161">
        <f t="shared" si="193"/>
        <v>0</v>
      </c>
      <c r="AP291" s="156">
        <f t="shared" si="170"/>
        <v>1.668231370254587</v>
      </c>
      <c r="AQ291" s="152"/>
      <c r="AR291" s="162">
        <f t="shared" si="171"/>
        <v>501.03790001765071</v>
      </c>
      <c r="AS291" s="150">
        <f t="shared" si="194"/>
        <v>0</v>
      </c>
      <c r="AT291" s="163">
        <f t="shared" si="172"/>
        <v>0</v>
      </c>
      <c r="AU291" s="163">
        <f t="shared" si="173"/>
        <v>251.56862873524366</v>
      </c>
      <c r="AV291" s="163">
        <f t="shared" si="195"/>
        <v>1.0994271791573234</v>
      </c>
      <c r="AW291" s="163">
        <f t="shared" si="174"/>
        <v>0.63194336614744839</v>
      </c>
      <c r="AX291" s="163">
        <f t="shared" si="175"/>
        <v>0</v>
      </c>
      <c r="AY291" s="164">
        <f t="shared" si="196"/>
        <v>251.20064182771182</v>
      </c>
      <c r="AZ291" s="164">
        <f>IF($E291="","",IF(OR(AND($D291=Input!$C$6,$C291=12),$AN291=1),0,-AS292+AT292+AU292-AV292-AW292-AX292+AZ292))</f>
        <v>251.20118089625535</v>
      </c>
      <c r="BA291" s="154">
        <f t="shared" si="176"/>
        <v>5.3906854353158451E-4</v>
      </c>
      <c r="BC291" s="147">
        <f t="shared" si="197"/>
        <v>6.1020629835107927E-2</v>
      </c>
      <c r="BD291" s="164">
        <f>IF(AND($C290=12,$D290=Input!$C$6),0,IF($E291="","",AT291+(AU291+BD292)/(1+$AK291)*MIN((1-AM291-AN291),1)))</f>
        <v>241.91247849773282</v>
      </c>
      <c r="BE291" s="164">
        <f t="shared" si="177"/>
        <v>14.761651802903661</v>
      </c>
      <c r="BF291" s="164">
        <f t="shared" si="198"/>
        <v>251.20118089625535</v>
      </c>
      <c r="BG291" s="164">
        <f t="shared" si="178"/>
        <v>15.328454273612383</v>
      </c>
      <c r="BH291" s="152"/>
      <c r="BI291" s="162">
        <f t="shared" si="179"/>
        <v>-548.57695544283945</v>
      </c>
      <c r="BJ291" s="150">
        <f t="shared" si="180"/>
        <v>0</v>
      </c>
      <c r="BK291" s="163">
        <f t="shared" si="202"/>
        <v>0</v>
      </c>
      <c r="BL291" s="163">
        <f t="shared" si="181"/>
        <v>216.81018195488511</v>
      </c>
      <c r="BM291" s="163">
        <f t="shared" si="203"/>
        <v>-2.1629345105616782</v>
      </c>
      <c r="BN291" s="163">
        <f t="shared" si="182"/>
        <v>-1.667741268736727</v>
      </c>
      <c r="BO291" s="163">
        <f t="shared" si="183"/>
        <v>0</v>
      </c>
      <c r="BP291" s="164">
        <f t="shared" si="204"/>
        <v>-769.21781317702289</v>
      </c>
      <c r="BQ291" s="164">
        <f>IF($E291="","",IF(AND($D291=Input!$C$6,$C291=12),0,-BJ292+BK292+BL292-BM292-BN292-BO292+BQ292))</f>
        <v>-769.21722665393941</v>
      </c>
      <c r="BR291" s="161">
        <f t="shared" si="184"/>
        <v>0</v>
      </c>
      <c r="BT291" s="147">
        <f t="shared" si="185"/>
        <v>6.1020629835107927E-2</v>
      </c>
      <c r="BU291" s="164">
        <f>IF(AND($C290=12,$D290=Input!$C$6),0,IF($E291="","",BK291+(BL291+BU292)/(1+$AK291)*MIN((1-T291-U291),1)))</f>
        <v>25674.10539419463</v>
      </c>
      <c r="BV291" s="164">
        <f t="shared" si="186"/>
        <v>1566.6500816066982</v>
      </c>
      <c r="BW291" s="164">
        <f t="shared" si="187"/>
        <v>-769.21722665393941</v>
      </c>
      <c r="BX291" s="164">
        <f t="shared" si="188"/>
        <v>-46.938119650438352</v>
      </c>
    </row>
    <row r="292" spans="1:76" s="150" customFormat="1" x14ac:dyDescent="0.25">
      <c r="A292" s="150">
        <f t="shared" si="199"/>
        <v>288</v>
      </c>
      <c r="B292" s="150">
        <f t="shared" si="200"/>
        <v>24</v>
      </c>
      <c r="C292" s="150">
        <f t="shared" si="201"/>
        <v>12</v>
      </c>
      <c r="D292" s="150">
        <f>IF(E292="","",Input!$C$4+B292-1)</f>
        <v>68</v>
      </c>
      <c r="E292" s="150">
        <f>IF(OR(AND(C291=12,D291=Input!$C$6),E291=""),"",1)</f>
        <v>1</v>
      </c>
      <c r="F292" s="150">
        <f>IF(E292="","",Input!$C$8+B292-1)</f>
        <v>2041</v>
      </c>
      <c r="G292" s="151">
        <f>IF(E292="","",MAX(0,Input!$C$9-B292))</f>
        <v>0</v>
      </c>
      <c r="H292" s="152">
        <f>IF(E292="","",Input!$C$3)</f>
        <v>100000</v>
      </c>
      <c r="I292" s="153">
        <f>IF(E292="","",HLOOKUP($B292,Input!$C$13:$BT$14,2))</f>
        <v>25.798500000000001</v>
      </c>
      <c r="J292" s="154"/>
      <c r="K292" s="155">
        <f>IF($E292="","",INDEX(Input!$C$16:$CP$16,1,$B292))</f>
        <v>2.5229999999999999E-2</v>
      </c>
      <c r="L292" s="155">
        <f>IF($E292="","",Input!$C$37)</f>
        <v>1.4999999999999999E-2</v>
      </c>
      <c r="M292" s="155">
        <f t="shared" si="164"/>
        <v>4.0230000000000002E-2</v>
      </c>
      <c r="N292" s="155">
        <f t="shared" si="165"/>
        <v>3.2922277288198742E-3</v>
      </c>
      <c r="O292" s="147">
        <f>IF($E292="","",MIN(VLOOKUP(IF($B292&lt;=Input!$C$7,$B292,26),'Mortality Tables'!$A$41:$CW$67,IF($B292&lt;=Input!$C$7+1,Input!$C$4+2,$D292-Input!$C$7+2),0)*IF(B292&gt;20,Input!$C$22,1)/1000,1))</f>
        <v>2.8850800000000006E-2</v>
      </c>
      <c r="P292" s="147">
        <f>IF($E292="","",MIN(VLOOKUP(IF($B292&lt;=Input!$C$7,$B292,26),'Mortality Tables'!$A$12:$CW$37,IF($B292&lt;=Input!$C$7+1,Input!$C$4+2,$D292-Input!$C$7+2),0)*IF(B292&gt;20,Input!$C$22,1)/1000,1))</f>
        <v>3.6063500000000005E-2</v>
      </c>
      <c r="Q292" s="155">
        <f>IF($E292="","",Input!$C$21)</f>
        <v>5.0000000000000001E-3</v>
      </c>
      <c r="R292" s="159">
        <f>IF($E292="","",(1-Q292)^($F292-Input!$C$20))</f>
        <v>0.89110905578020905</v>
      </c>
      <c r="S292" s="147">
        <f t="shared" si="167"/>
        <v>2.570920914650366E-2</v>
      </c>
      <c r="T292" s="147">
        <f t="shared" si="168"/>
        <v>2.1681018195488511E-3</v>
      </c>
      <c r="U292" s="160">
        <f>IF($E292="","",IF($C292=12,INDEX(Input!$C$15:$CP$15,1,$B292),0))</f>
        <v>0.1</v>
      </c>
      <c r="V292" s="150">
        <f>IF(E292="","",IF(C292=1,IF($B292=1,Input!$C$33,Input!$C$34),0))</f>
        <v>0</v>
      </c>
      <c r="W292" s="156">
        <f>IF($E292="","",Input!$C$35)</f>
        <v>0.02</v>
      </c>
      <c r="X292" s="156">
        <f t="shared" si="166"/>
        <v>1.5768992641913981</v>
      </c>
      <c r="Y292" s="154"/>
      <c r="Z292" s="147">
        <f>IF($E292="","",VLOOKUP($D292,'Mortality Margins &amp; Grading'!$AB$5:$AF$125,3,0)*IF(Summary!$D$25="Included Margin",IF(AND($B292&gt;Input!$C$9,Summary!$D$31&lt;&gt;"Included Margin"),0,1),0))</f>
        <v>3.2000000000000001E-2</v>
      </c>
      <c r="AA292" s="147">
        <f>IF($E292="","",VLOOKUP($D292,'Mortality Margins &amp; Grading'!$AB$5:$AF$125,5,0)*IF(Summary!$D$25="Included Margin",IF(AND($B292&gt;Input!$C$9,Summary!$D$31&lt;&gt;"Included Margin"),0,1),0))</f>
        <v>0.16500000000000001</v>
      </c>
      <c r="AB292" s="147">
        <f>IF($E292="","",IF(AND($B292&gt;Input!$C$9,Summary!$D$31&lt;&gt;"Included Margin"),1,IF(Summary!$D$25="Included Margin",VLOOKUP($B292,'Mortality Margins &amp; Grading'!$AI$5:$AR$125,MATCH('Mortality Margins &amp; Grading'!$AQ$4,'Mortality Margins &amp; Grading'!$AI$4:$AR$4,0),0),1)))</f>
        <v>1</v>
      </c>
      <c r="AC292" s="154"/>
      <c r="AD292" s="158">
        <f>IF(E292="","",Input!$C$48*IF(Summary!$D$30="Included Margin",IF(AND($B292&gt;Input!$C$9,Summary!$D$31&lt;&gt;"Included Margin"),0,1),0))</f>
        <v>-4.4999999999999997E-3</v>
      </c>
      <c r="AE292" s="159">
        <f>IF(E292="","",IF(Summary!$D$26="Included Margin",IF(AND($B292&gt;Input!$C$9,Summary!$D$31&lt;&gt;"Included Margin"),1,1/$R292),1))</f>
        <v>1.1221971020420747</v>
      </c>
      <c r="AF292" s="160">
        <f>IF(E292="","",IF(AND($B292&gt;=Input!$C$9,$C292=12,Summary!$D$31="Included Margin",$U292&gt;0),1/U292-1,IF($B292&gt;=Input!$C$9,0,Input!$C$45*IF(Summary!$D$27="Included Margin",1,0))))</f>
        <v>9</v>
      </c>
      <c r="AG292" s="160">
        <f>IF(E292="","",Input!$C$46*IF(Summary!$D$28="Included Margin",IF(AND($B292&gt;Input!$C$9,Summary!$D$31&lt;&gt;"Included Margin"),0,1),0))</f>
        <v>0.02</v>
      </c>
      <c r="AH292" s="158">
        <f>IF(E292="","",Input!$C$47*IF(Summary!$D$29="Included Margin",IF(AND($B292&gt;Input!$C$9,Summary!$D$31&lt;&gt;"Included Margin"),0,1),0))</f>
        <v>2.5000000000000001E-3</v>
      </c>
      <c r="AI292" s="154"/>
      <c r="AJ292" s="158">
        <f t="shared" si="189"/>
        <v>3.5730000000000005E-2</v>
      </c>
      <c r="AK292" s="155">
        <f t="shared" si="190"/>
        <v>2.9298245804976197E-3</v>
      </c>
      <c r="AL292" s="147">
        <f t="shared" si="191"/>
        <v>2.9774025600000007E-2</v>
      </c>
      <c r="AM292" s="147">
        <f t="shared" si="169"/>
        <v>2.5156862873524366E-3</v>
      </c>
      <c r="AN292" s="160">
        <f t="shared" si="192"/>
        <v>1</v>
      </c>
      <c r="AO292" s="161">
        <f t="shared" si="193"/>
        <v>0</v>
      </c>
      <c r="AP292" s="156">
        <f t="shared" si="170"/>
        <v>1.668231370254587</v>
      </c>
      <c r="AQ292" s="152"/>
      <c r="AR292" s="162">
        <f t="shared" si="171"/>
        <v>251.20064182771185</v>
      </c>
      <c r="AS292" s="150">
        <f t="shared" si="194"/>
        <v>0</v>
      </c>
      <c r="AT292" s="163">
        <f t="shared" si="172"/>
        <v>0</v>
      </c>
      <c r="AU292" s="163">
        <f t="shared" si="173"/>
        <v>251.56862873524366</v>
      </c>
      <c r="AV292" s="163">
        <f t="shared" si="195"/>
        <v>0.36744783898831035</v>
      </c>
      <c r="AW292" s="163">
        <f t="shared" si="174"/>
        <v>0</v>
      </c>
      <c r="AX292" s="163">
        <f t="shared" si="175"/>
        <v>0</v>
      </c>
      <c r="AY292" s="165">
        <f t="shared" si="196"/>
        <v>-5.3906854350482813E-4</v>
      </c>
      <c r="AZ292" s="164">
        <f>IF($E292="","",IF(OR(AND($D292=Input!$C$6,$C292=12),$AN292=1),0,-AS293+AT293+AU293-AV293-AW293-AX293+AZ293))</f>
        <v>0</v>
      </c>
      <c r="BA292" s="154">
        <f t="shared" si="176"/>
        <v>5.3906854350482813E-4</v>
      </c>
      <c r="BC292" s="147">
        <f t="shared" si="197"/>
        <v>5.4786267913021623E-2</v>
      </c>
      <c r="BD292" s="164">
        <f>IF(AND($C291=12,$D291=Input!$C$6),0,IF($E292="","",AT292+(AU292+BD293)/(1+$AK292)*MIN((1-AM292-AN292),1)))</f>
        <v>-8.3354908420514899</v>
      </c>
      <c r="BE292" s="164">
        <f t="shared" si="177"/>
        <v>-0.45667043445917116</v>
      </c>
      <c r="BF292" s="164">
        <f t="shared" si="198"/>
        <v>0</v>
      </c>
      <c r="BG292" s="164">
        <f t="shared" si="178"/>
        <v>0</v>
      </c>
      <c r="BH292" s="152"/>
      <c r="BI292" s="162">
        <f t="shared" si="179"/>
        <v>-769.21781317702278</v>
      </c>
      <c r="BJ292" s="150">
        <f t="shared" si="180"/>
        <v>0</v>
      </c>
      <c r="BK292" s="163">
        <f t="shared" si="202"/>
        <v>0</v>
      </c>
      <c r="BL292" s="163">
        <f t="shared" si="181"/>
        <v>216.81018195488511</v>
      </c>
      <c r="BM292" s="163">
        <f t="shared" si="203"/>
        <v>-2.8893344605047577</v>
      </c>
      <c r="BN292" s="163">
        <f t="shared" si="182"/>
        <v>-2.387478730347107</v>
      </c>
      <c r="BO292" s="163">
        <f t="shared" si="183"/>
        <v>-109.87963811881437</v>
      </c>
      <c r="BP292" s="164">
        <f t="shared" si="204"/>
        <v>-1101.1844464415742</v>
      </c>
      <c r="BQ292" s="164">
        <f>IF($E292="","",IF(AND($D292=Input!$C$6,$C292=12),0,-BJ293+BK293+BL293-BM293-BN293-BO293+BQ293))</f>
        <v>-1101.1838599184907</v>
      </c>
      <c r="BR292" s="161">
        <f t="shared" si="184"/>
        <v>0</v>
      </c>
      <c r="BT292" s="147">
        <f t="shared" si="185"/>
        <v>5.4786267913021623E-2</v>
      </c>
      <c r="BU292" s="164">
        <f>IF(AND($C291=12,$D291=Input!$C$6),0,IF($E292="","",BK292+(BL292+BU293)/(1+$AK292)*MIN((1-T292-U292),1)))</f>
        <v>25588.464299863932</v>
      </c>
      <c r="BV292" s="164">
        <f t="shared" si="186"/>
        <v>1401.8964606151346</v>
      </c>
      <c r="BW292" s="164">
        <f t="shared" si="187"/>
        <v>-1101.1838599184907</v>
      </c>
      <c r="BX292" s="164">
        <f t="shared" si="188"/>
        <v>-60.329753970989707</v>
      </c>
    </row>
    <row r="293" spans="1:76" s="150" customFormat="1" x14ac:dyDescent="0.25">
      <c r="A293" s="150">
        <f t="shared" si="199"/>
        <v>289</v>
      </c>
      <c r="B293" s="150">
        <f t="shared" si="200"/>
        <v>25</v>
      </c>
      <c r="C293" s="150">
        <f t="shared" si="201"/>
        <v>1</v>
      </c>
      <c r="D293" s="150">
        <f>IF(E293="","",Input!$C$4+B293-1)</f>
        <v>69</v>
      </c>
      <c r="E293" s="150">
        <f>IF(OR(AND(C292=12,D292=Input!$C$6),E292=""),"",1)</f>
        <v>1</v>
      </c>
      <c r="F293" s="150">
        <f>IF(E293="","",Input!$C$8+B293-1)</f>
        <v>2042</v>
      </c>
      <c r="G293" s="151">
        <f>IF(E293="","",MAX(0,Input!$C$9-B293))</f>
        <v>0</v>
      </c>
      <c r="H293" s="152">
        <f>IF(E293="","",Input!$C$3)</f>
        <v>100000</v>
      </c>
      <c r="I293" s="153">
        <f>IF(E293="","",HLOOKUP($B293,Input!$C$13:$BT$14,2))</f>
        <v>28.836500000000001</v>
      </c>
      <c r="J293" s="154"/>
      <c r="K293" s="155">
        <f>IF($E293="","",INDEX(Input!$C$16:$CP$16,1,$B293))</f>
        <v>2.579E-2</v>
      </c>
      <c r="L293" s="155">
        <f>IF($E293="","",Input!$C$37)</f>
        <v>1.4999999999999999E-2</v>
      </c>
      <c r="M293" s="155">
        <f t="shared" si="164"/>
        <v>4.079E-2</v>
      </c>
      <c r="N293" s="155">
        <f t="shared" si="165"/>
        <v>3.3372261959632166E-3</v>
      </c>
      <c r="O293" s="147">
        <f>IF($E293="","",MIN(VLOOKUP(IF($B293&lt;=Input!$C$7,$B293,26),'Mortality Tables'!$A$41:$CW$67,IF($B293&lt;=Input!$C$7+1,Input!$C$4+2,$D293-Input!$C$7+2),0)*IF(B293&gt;20,Input!$C$22,1)/1000,1))</f>
        <v>3.2263600000000003E-2</v>
      </c>
      <c r="P293" s="147">
        <f>IF($E293="","",MIN(VLOOKUP(IF($B293&lt;=Input!$C$7,$B293,26),'Mortality Tables'!$A$12:$CW$37,IF($B293&lt;=Input!$C$7+1,Input!$C$4+2,$D293-Input!$C$7+2),0)*IF(B293&gt;20,Input!$C$22,1)/1000,1))</f>
        <v>4.0329500000000004E-2</v>
      </c>
      <c r="Q293" s="155">
        <f>IF($E293="","",Input!$C$21)</f>
        <v>5.0000000000000001E-3</v>
      </c>
      <c r="R293" s="159">
        <f>IF($E293="","",(1-Q293)^($F293-Input!$C$20))</f>
        <v>0.88665351050130803</v>
      </c>
      <c r="S293" s="147">
        <f t="shared" si="167"/>
        <v>2.8606634201410006E-2</v>
      </c>
      <c r="T293" s="147">
        <f t="shared" si="168"/>
        <v>2.4157256454033771E-3</v>
      </c>
      <c r="U293" s="160">
        <f>IF($E293="","",IF($C293=12,INDEX(Input!$C$15:$CP$15,1,$B293),0))</f>
        <v>0</v>
      </c>
      <c r="V293" s="150">
        <f>IF(E293="","",IF(C293=1,IF($B293=1,Input!$C$33,Input!$C$34),0))</f>
        <v>50</v>
      </c>
      <c r="W293" s="156">
        <f>IF($E293="","",Input!$C$35)</f>
        <v>0.02</v>
      </c>
      <c r="X293" s="156">
        <f t="shared" si="166"/>
        <v>1.6084372494752261</v>
      </c>
      <c r="Y293" s="154"/>
      <c r="Z293" s="147">
        <f>IF($E293="","",VLOOKUP($D293,'Mortality Margins &amp; Grading'!$AB$5:$AF$125,3,0)*IF(Summary!$D$25="Included Margin",IF(AND($B293&gt;Input!$C$9,Summary!$D$31&lt;&gt;"Included Margin"),0,1),0))</f>
        <v>3.2000000000000001E-2</v>
      </c>
      <c r="AA293" s="147">
        <f>IF($E293="","",VLOOKUP($D293,'Mortality Margins &amp; Grading'!$AB$5:$AF$125,5,0)*IF(Summary!$D$25="Included Margin",IF(AND($B293&gt;Input!$C$9,Summary!$D$31&lt;&gt;"Included Margin"),0,1),0))</f>
        <v>0.16500000000000001</v>
      </c>
      <c r="AB293" s="147">
        <f>IF($E293="","",IF(AND($B293&gt;Input!$C$9,Summary!$D$31&lt;&gt;"Included Margin"),1,IF(Summary!$D$25="Included Margin",VLOOKUP($B293,'Mortality Margins &amp; Grading'!$AI$5:$AR$125,MATCH('Mortality Margins &amp; Grading'!$AQ$4,'Mortality Margins &amp; Grading'!$AI$4:$AR$4,0),0),1)))</f>
        <v>1</v>
      </c>
      <c r="AC293" s="154"/>
      <c r="AD293" s="158">
        <f>IF(E293="","",Input!$C$48*IF(Summary!$D$30="Included Margin",IF(AND($B293&gt;Input!$C$9,Summary!$D$31&lt;&gt;"Included Margin"),0,1),0))</f>
        <v>-4.4999999999999997E-3</v>
      </c>
      <c r="AE293" s="159">
        <f>IF(E293="","",IF(Summary!$D$26="Included Margin",IF(AND($B293&gt;Input!$C$9,Summary!$D$31&lt;&gt;"Included Margin"),1,1/$R293),1))</f>
        <v>1.1278362834593714</v>
      </c>
      <c r="AF293" s="160">
        <f>IF(E293="","",IF(AND($B293&gt;=Input!$C$9,$C293=12,Summary!$D$31="Included Margin",$U293&gt;0),1/U293-1,IF($B293&gt;=Input!$C$9,0,Input!$C$45*IF(Summary!$D$27="Included Margin",1,0))))</f>
        <v>0</v>
      </c>
      <c r="AG293" s="160">
        <f>IF(E293="","",Input!$C$46*IF(Summary!$D$28="Included Margin",IF(AND($B293&gt;Input!$C$9,Summary!$D$31&lt;&gt;"Included Margin"),0,1),0))</f>
        <v>0.02</v>
      </c>
      <c r="AH293" s="158">
        <f>IF(E293="","",Input!$C$47*IF(Summary!$D$29="Included Margin",IF(AND($B293&gt;Input!$C$9,Summary!$D$31&lt;&gt;"Included Margin"),0,1),0))</f>
        <v>2.5000000000000001E-3</v>
      </c>
      <c r="AI293" s="154"/>
      <c r="AJ293" s="158">
        <f t="shared" si="189"/>
        <v>3.6290000000000003E-2</v>
      </c>
      <c r="AK293" s="155">
        <f t="shared" si="190"/>
        <v>2.9750021821515205E-3</v>
      </c>
      <c r="AL293" s="147">
        <f t="shared" si="191"/>
        <v>3.3296035200000004E-2</v>
      </c>
      <c r="AM293" s="147">
        <f t="shared" si="169"/>
        <v>2.8179361552718163E-3</v>
      </c>
      <c r="AN293" s="160">
        <f t="shared" si="192"/>
        <v>0</v>
      </c>
      <c r="AO293" s="161">
        <f t="shared" si="193"/>
        <v>51</v>
      </c>
      <c r="AP293" s="156">
        <f t="shared" si="170"/>
        <v>1.7057665760853151</v>
      </c>
      <c r="AQ293" s="152"/>
      <c r="AR293" s="162">
        <f t="shared" si="171"/>
        <v>474.62984960021856</v>
      </c>
      <c r="AS293" s="150">
        <f t="shared" si="194"/>
        <v>2883.65</v>
      </c>
      <c r="AT293" s="163">
        <f t="shared" si="172"/>
        <v>86.994095380351069</v>
      </c>
      <c r="AU293" s="163">
        <f t="shared" si="173"/>
        <v>281.7936155271816</v>
      </c>
      <c r="AV293" s="163">
        <f t="shared" si="195"/>
        <v>9.3129139466904221</v>
      </c>
      <c r="AW293" s="163">
        <f t="shared" si="174"/>
        <v>8.4743230361303041</v>
      </c>
      <c r="AX293" s="163">
        <f t="shared" si="175"/>
        <v>0</v>
      </c>
      <c r="AY293" s="164">
        <f t="shared" si="196"/>
        <v>3007.2793756755073</v>
      </c>
      <c r="AZ293" s="164">
        <f>IF($E293="","",IF(OR(AND($D293=Input!$C$6,$C293=12),$AN293=1),0,-AS294+AT294+AU294-AV294-AW294-AX294+AZ294))</f>
        <v>3007.2799982627271</v>
      </c>
      <c r="BA293" s="154">
        <f t="shared" si="176"/>
        <v>6.2258721982288989E-4</v>
      </c>
      <c r="BC293" s="147">
        <f t="shared" si="197"/>
        <v>5.4653919320608195E-2</v>
      </c>
      <c r="BD293" s="164">
        <f>IF(AND($C292=12,$D292=Input!$C$6),0,IF($E293="","",AT293+(AU293+BD294)/(1+$AK293)*MIN((1-AM293-AN293),1)))</f>
        <v>3071.5453899086315</v>
      </c>
      <c r="BE293" s="164">
        <f t="shared" si="177"/>
        <v>167.87199392965238</v>
      </c>
      <c r="BF293" s="164">
        <f t="shared" si="198"/>
        <v>3007.2799982627271</v>
      </c>
      <c r="BG293" s="164">
        <f t="shared" si="178"/>
        <v>164.35963839952984</v>
      </c>
      <c r="BH293" s="152"/>
      <c r="BI293" s="162">
        <f t="shared" si="179"/>
        <v>-1101.1845314012105</v>
      </c>
      <c r="BJ293" s="150">
        <f t="shared" si="180"/>
        <v>2883.65</v>
      </c>
      <c r="BK293" s="163">
        <f t="shared" si="202"/>
        <v>80.421862473761308</v>
      </c>
      <c r="BL293" s="163">
        <f t="shared" si="181"/>
        <v>241.57256454033771</v>
      </c>
      <c r="BM293" s="163">
        <f t="shared" si="203"/>
        <v>5.2770133637271286</v>
      </c>
      <c r="BN293" s="163">
        <f t="shared" si="182"/>
        <v>3.5494212160149035</v>
      </c>
      <c r="BO293" s="163">
        <f t="shared" si="183"/>
        <v>0</v>
      </c>
      <c r="BP293" s="164">
        <f t="shared" si="204"/>
        <v>1469.2974761644325</v>
      </c>
      <c r="BQ293" s="164">
        <f>IF($E293="","",IF(AND($D293=Input!$C$6,$C293=12),0,-BJ294+BK294+BL294-BM294-BN294-BO294+BQ294))</f>
        <v>1469.2981476471523</v>
      </c>
      <c r="BR293" s="161">
        <f t="shared" si="184"/>
        <v>0</v>
      </c>
      <c r="BT293" s="147">
        <f t="shared" si="185"/>
        <v>5.4653919320608195E-2</v>
      </c>
      <c r="BU293" s="164">
        <f>IF(AND($C292=12,$D292=Input!$C$6),0,IF($E293="","",BK293+(BL293+BU294)/(1+$AK293)*MIN((1-T293-U293),1)))</f>
        <v>28366.974893577015</v>
      </c>
      <c r="BV293" s="164">
        <f t="shared" si="186"/>
        <v>1550.3663572032765</v>
      </c>
      <c r="BW293" s="164">
        <f t="shared" si="187"/>
        <v>1469.2981476471523</v>
      </c>
      <c r="BX293" s="164">
        <f t="shared" si="188"/>
        <v>80.30290241942653</v>
      </c>
    </row>
    <row r="294" spans="1:76" s="150" customFormat="1" x14ac:dyDescent="0.25">
      <c r="A294" s="150">
        <f t="shared" si="199"/>
        <v>290</v>
      </c>
      <c r="B294" s="150">
        <f t="shared" si="200"/>
        <v>25</v>
      </c>
      <c r="C294" s="150">
        <f t="shared" si="201"/>
        <v>2</v>
      </c>
      <c r="D294" s="150">
        <f>IF(E294="","",Input!$C$4+B294-1)</f>
        <v>69</v>
      </c>
      <c r="E294" s="150">
        <f>IF(OR(AND(C293=12,D293=Input!$C$6),E293=""),"",1)</f>
        <v>1</v>
      </c>
      <c r="F294" s="150">
        <f>IF(E294="","",Input!$C$8+B294-1)</f>
        <v>2042</v>
      </c>
      <c r="G294" s="151">
        <f>IF(E294="","",MAX(0,Input!$C$9-B294))</f>
        <v>0</v>
      </c>
      <c r="H294" s="152">
        <f>IF(E294="","",Input!$C$3)</f>
        <v>100000</v>
      </c>
      <c r="I294" s="153">
        <f>IF(E294="","",HLOOKUP($B294,Input!$C$13:$BT$14,2))</f>
        <v>28.836500000000001</v>
      </c>
      <c r="J294" s="154"/>
      <c r="K294" s="155">
        <f>IF($E294="","",INDEX(Input!$C$16:$CP$16,1,$B294))</f>
        <v>2.579E-2</v>
      </c>
      <c r="L294" s="155">
        <f>IF($E294="","",Input!$C$37)</f>
        <v>1.4999999999999999E-2</v>
      </c>
      <c r="M294" s="155">
        <f t="shared" si="164"/>
        <v>4.079E-2</v>
      </c>
      <c r="N294" s="155">
        <f t="shared" si="165"/>
        <v>3.3372261959632166E-3</v>
      </c>
      <c r="O294" s="147">
        <f>IF($E294="","",MIN(VLOOKUP(IF($B294&lt;=Input!$C$7,$B294,26),'Mortality Tables'!$A$41:$CW$67,IF($B294&lt;=Input!$C$7+1,Input!$C$4+2,$D294-Input!$C$7+2),0)*IF(B294&gt;20,Input!$C$22,1)/1000,1))</f>
        <v>3.2263600000000003E-2</v>
      </c>
      <c r="P294" s="147">
        <f>IF($E294="","",MIN(VLOOKUP(IF($B294&lt;=Input!$C$7,$B294,26),'Mortality Tables'!$A$12:$CW$37,IF($B294&lt;=Input!$C$7+1,Input!$C$4+2,$D294-Input!$C$7+2),0)*IF(B294&gt;20,Input!$C$22,1)/1000,1))</f>
        <v>4.0329500000000004E-2</v>
      </c>
      <c r="Q294" s="155">
        <f>IF($E294="","",Input!$C$21)</f>
        <v>5.0000000000000001E-3</v>
      </c>
      <c r="R294" s="159">
        <f>IF($E294="","",(1-Q294)^($F294-Input!$C$20))</f>
        <v>0.88665351050130803</v>
      </c>
      <c r="S294" s="147">
        <f t="shared" si="167"/>
        <v>2.8606634201410006E-2</v>
      </c>
      <c r="T294" s="147">
        <f t="shared" si="168"/>
        <v>2.4157256454033771E-3</v>
      </c>
      <c r="U294" s="160">
        <f>IF($E294="","",IF($C294=12,INDEX(Input!$C$15:$CP$15,1,$B294),0))</f>
        <v>0</v>
      </c>
      <c r="V294" s="150">
        <f>IF(E294="","",IF(C294=1,IF($B294=1,Input!$C$33,Input!$C$34),0))</f>
        <v>0</v>
      </c>
      <c r="W294" s="156">
        <f>IF($E294="","",Input!$C$35)</f>
        <v>0.02</v>
      </c>
      <c r="X294" s="156">
        <f t="shared" si="166"/>
        <v>1.6084372494752261</v>
      </c>
      <c r="Y294" s="154"/>
      <c r="Z294" s="147">
        <f>IF($E294="","",VLOOKUP($D294,'Mortality Margins &amp; Grading'!$AB$5:$AF$125,3,0)*IF(Summary!$D$25="Included Margin",IF(AND($B294&gt;Input!$C$9,Summary!$D$31&lt;&gt;"Included Margin"),0,1),0))</f>
        <v>3.2000000000000001E-2</v>
      </c>
      <c r="AA294" s="147">
        <f>IF($E294="","",VLOOKUP($D294,'Mortality Margins &amp; Grading'!$AB$5:$AF$125,5,0)*IF(Summary!$D$25="Included Margin",IF(AND($B294&gt;Input!$C$9,Summary!$D$31&lt;&gt;"Included Margin"),0,1),0))</f>
        <v>0.16500000000000001</v>
      </c>
      <c r="AB294" s="147">
        <f>IF($E294="","",IF(AND($B294&gt;Input!$C$9,Summary!$D$31&lt;&gt;"Included Margin"),1,IF(Summary!$D$25="Included Margin",VLOOKUP($B294,'Mortality Margins &amp; Grading'!$AI$5:$AR$125,MATCH('Mortality Margins &amp; Grading'!$AQ$4,'Mortality Margins &amp; Grading'!$AI$4:$AR$4,0),0),1)))</f>
        <v>1</v>
      </c>
      <c r="AC294" s="154"/>
      <c r="AD294" s="158">
        <f>IF(E294="","",Input!$C$48*IF(Summary!$D$30="Included Margin",IF(AND($B294&gt;Input!$C$9,Summary!$D$31&lt;&gt;"Included Margin"),0,1),0))</f>
        <v>-4.4999999999999997E-3</v>
      </c>
      <c r="AE294" s="159">
        <f>IF(E294="","",IF(Summary!$D$26="Included Margin",IF(AND($B294&gt;Input!$C$9,Summary!$D$31&lt;&gt;"Included Margin"),1,1/$R294),1))</f>
        <v>1.1278362834593714</v>
      </c>
      <c r="AF294" s="160">
        <f>IF(E294="","",IF(AND($B294&gt;=Input!$C$9,$C294=12,Summary!$D$31="Included Margin",$U294&gt;0),1/U294-1,IF($B294&gt;=Input!$C$9,0,Input!$C$45*IF(Summary!$D$27="Included Margin",1,0))))</f>
        <v>0</v>
      </c>
      <c r="AG294" s="160">
        <f>IF(E294="","",Input!$C$46*IF(Summary!$D$28="Included Margin",IF(AND($B294&gt;Input!$C$9,Summary!$D$31&lt;&gt;"Included Margin"),0,1),0))</f>
        <v>0.02</v>
      </c>
      <c r="AH294" s="158">
        <f>IF(E294="","",Input!$C$47*IF(Summary!$D$29="Included Margin",IF(AND($B294&gt;Input!$C$9,Summary!$D$31&lt;&gt;"Included Margin"),0,1),0))</f>
        <v>2.5000000000000001E-3</v>
      </c>
      <c r="AI294" s="154"/>
      <c r="AJ294" s="158">
        <f t="shared" si="189"/>
        <v>3.6290000000000003E-2</v>
      </c>
      <c r="AK294" s="155">
        <f t="shared" si="190"/>
        <v>2.9750021821515205E-3</v>
      </c>
      <c r="AL294" s="147">
        <f t="shared" si="191"/>
        <v>3.3296035200000004E-2</v>
      </c>
      <c r="AM294" s="147">
        <f t="shared" si="169"/>
        <v>2.8179361552718163E-3</v>
      </c>
      <c r="AN294" s="160">
        <f t="shared" si="192"/>
        <v>0</v>
      </c>
      <c r="AO294" s="161">
        <f t="shared" si="193"/>
        <v>0</v>
      </c>
      <c r="AP294" s="156">
        <f t="shared" si="170"/>
        <v>1.7057665760853151</v>
      </c>
      <c r="AQ294" s="152"/>
      <c r="AR294" s="162">
        <f t="shared" si="171"/>
        <v>3007.2793756755068</v>
      </c>
      <c r="AS294" s="150">
        <f t="shared" si="194"/>
        <v>0</v>
      </c>
      <c r="AT294" s="163">
        <f t="shared" si="172"/>
        <v>0</v>
      </c>
      <c r="AU294" s="163">
        <f t="shared" si="173"/>
        <v>281.7936155271816</v>
      </c>
      <c r="AV294" s="163">
        <f t="shared" si="195"/>
        <v>8.527494394419028</v>
      </c>
      <c r="AW294" s="163">
        <f t="shared" si="174"/>
        <v>7.726048063555063</v>
      </c>
      <c r="AX294" s="163">
        <f t="shared" si="175"/>
        <v>0</v>
      </c>
      <c r="AY294" s="165">
        <f t="shared" si="196"/>
        <v>2741.7393026062996</v>
      </c>
      <c r="AZ294" s="164">
        <f>IF($E294="","",IF(OR(AND($D294=Input!$C$6,$C294=12),$AN294=1),0,-AS295+AT295+AU295-AV295-AW295-AX295+AZ295))</f>
        <v>2741.7399251935194</v>
      </c>
      <c r="BA294" s="154">
        <f t="shared" si="176"/>
        <v>6.2258721982288989E-4</v>
      </c>
      <c r="BC294" s="147">
        <f t="shared" si="197"/>
        <v>5.4521890446083597E-2</v>
      </c>
      <c r="BD294" s="164">
        <f>IF(AND($C293=12,$D293=Input!$C$6),0,IF($E294="","",AT294+(AU294+BD295)/(1+$AK294)*MIN((1-AM294-AN294),1)))</f>
        <v>2720.095858498049</v>
      </c>
      <c r="BE294" s="164">
        <f t="shared" si="177"/>
        <v>148.30476839987634</v>
      </c>
      <c r="BF294" s="164">
        <f t="shared" si="198"/>
        <v>2741.7399251935194</v>
      </c>
      <c r="BG294" s="164">
        <f t="shared" si="178"/>
        <v>149.4848438330545</v>
      </c>
      <c r="BH294" s="152"/>
      <c r="BI294" s="162">
        <f t="shared" si="179"/>
        <v>1469.2974761644325</v>
      </c>
      <c r="BJ294" s="150">
        <f t="shared" si="180"/>
        <v>0</v>
      </c>
      <c r="BK294" s="163">
        <f t="shared" si="202"/>
        <v>0</v>
      </c>
      <c r="BL294" s="163">
        <f t="shared" si="181"/>
        <v>241.57256454033771</v>
      </c>
      <c r="BM294" s="163">
        <f t="shared" si="203"/>
        <v>4.5002868818135688</v>
      </c>
      <c r="BN294" s="163">
        <f t="shared" si="182"/>
        <v>2.9839279864218526</v>
      </c>
      <c r="BO294" s="163">
        <f t="shared" si="183"/>
        <v>0</v>
      </c>
      <c r="BP294" s="164">
        <f t="shared" si="204"/>
        <v>1235.2091264923301</v>
      </c>
      <c r="BQ294" s="164">
        <f>IF($E294="","",IF(AND($D294=Input!$C$6,$C294=12),0,-BJ295+BK295+BL295-BM295-BN295-BO295+BQ295))</f>
        <v>1235.2097979750499</v>
      </c>
      <c r="BR294" s="161">
        <f t="shared" si="184"/>
        <v>0</v>
      </c>
      <c r="BT294" s="147">
        <f t="shared" si="185"/>
        <v>5.4521890446083597E-2</v>
      </c>
      <c r="BU294" s="164">
        <f>IF(AND($C293=12,$D293=Input!$C$6),0,IF($E294="","",BK294+(BL294+BU295)/(1+$AK294)*MIN((1-T294-U294),1)))</f>
        <v>28197.834829337458</v>
      </c>
      <c r="BV294" s="164">
        <f t="shared" si="186"/>
        <v>1537.3992613818973</v>
      </c>
      <c r="BW294" s="164">
        <f t="shared" si="187"/>
        <v>1235.2097979750499</v>
      </c>
      <c r="BX294" s="164">
        <f t="shared" si="188"/>
        <v>67.345973283124721</v>
      </c>
    </row>
    <row r="295" spans="1:76" s="150" customFormat="1" x14ac:dyDescent="0.25">
      <c r="A295" s="150">
        <f t="shared" si="199"/>
        <v>291</v>
      </c>
      <c r="B295" s="150">
        <f t="shared" si="200"/>
        <v>25</v>
      </c>
      <c r="C295" s="150">
        <f t="shared" si="201"/>
        <v>3</v>
      </c>
      <c r="D295" s="150">
        <f>IF(E295="","",Input!$C$4+B295-1)</f>
        <v>69</v>
      </c>
      <c r="E295" s="150">
        <f>IF(OR(AND(C294=12,D294=Input!$C$6),E294=""),"",1)</f>
        <v>1</v>
      </c>
      <c r="F295" s="150">
        <f>IF(E295="","",Input!$C$8+B295-1)</f>
        <v>2042</v>
      </c>
      <c r="G295" s="151">
        <f>IF(E295="","",MAX(0,Input!$C$9-B295))</f>
        <v>0</v>
      </c>
      <c r="H295" s="152">
        <f>IF(E295="","",Input!$C$3)</f>
        <v>100000</v>
      </c>
      <c r="I295" s="153">
        <f>IF(E295="","",HLOOKUP($B295,Input!$C$13:$BT$14,2))</f>
        <v>28.836500000000001</v>
      </c>
      <c r="J295" s="154"/>
      <c r="K295" s="155">
        <f>IF($E295="","",INDEX(Input!$C$16:$CP$16,1,$B295))</f>
        <v>2.579E-2</v>
      </c>
      <c r="L295" s="155">
        <f>IF($E295="","",Input!$C$37)</f>
        <v>1.4999999999999999E-2</v>
      </c>
      <c r="M295" s="155">
        <f t="shared" si="164"/>
        <v>4.079E-2</v>
      </c>
      <c r="N295" s="155">
        <f t="shared" si="165"/>
        <v>3.3372261959632166E-3</v>
      </c>
      <c r="O295" s="147">
        <f>IF($E295="","",MIN(VLOOKUP(IF($B295&lt;=Input!$C$7,$B295,26),'Mortality Tables'!$A$41:$CW$67,IF($B295&lt;=Input!$C$7+1,Input!$C$4+2,$D295-Input!$C$7+2),0)*IF(B295&gt;20,Input!$C$22,1)/1000,1))</f>
        <v>3.2263600000000003E-2</v>
      </c>
      <c r="P295" s="147">
        <f>IF($E295="","",MIN(VLOOKUP(IF($B295&lt;=Input!$C$7,$B295,26),'Mortality Tables'!$A$12:$CW$37,IF($B295&lt;=Input!$C$7+1,Input!$C$4+2,$D295-Input!$C$7+2),0)*IF(B295&gt;20,Input!$C$22,1)/1000,1))</f>
        <v>4.0329500000000004E-2</v>
      </c>
      <c r="Q295" s="155">
        <f>IF($E295="","",Input!$C$21)</f>
        <v>5.0000000000000001E-3</v>
      </c>
      <c r="R295" s="159">
        <f>IF($E295="","",(1-Q295)^($F295-Input!$C$20))</f>
        <v>0.88665351050130803</v>
      </c>
      <c r="S295" s="147">
        <f t="shared" si="167"/>
        <v>2.8606634201410006E-2</v>
      </c>
      <c r="T295" s="147">
        <f t="shared" si="168"/>
        <v>2.4157256454033771E-3</v>
      </c>
      <c r="U295" s="160">
        <f>IF($E295="","",IF($C295=12,INDEX(Input!$C$15:$CP$15,1,$B295),0))</f>
        <v>0</v>
      </c>
      <c r="V295" s="150">
        <f>IF(E295="","",IF(C295=1,IF($B295=1,Input!$C$33,Input!$C$34),0))</f>
        <v>0</v>
      </c>
      <c r="W295" s="156">
        <f>IF($E295="","",Input!$C$35)</f>
        <v>0.02</v>
      </c>
      <c r="X295" s="156">
        <f t="shared" si="166"/>
        <v>1.6084372494752261</v>
      </c>
      <c r="Y295" s="154"/>
      <c r="Z295" s="147">
        <f>IF($E295="","",VLOOKUP($D295,'Mortality Margins &amp; Grading'!$AB$5:$AF$125,3,0)*IF(Summary!$D$25="Included Margin",IF(AND($B295&gt;Input!$C$9,Summary!$D$31&lt;&gt;"Included Margin"),0,1),0))</f>
        <v>3.2000000000000001E-2</v>
      </c>
      <c r="AA295" s="147">
        <f>IF($E295="","",VLOOKUP($D295,'Mortality Margins &amp; Grading'!$AB$5:$AF$125,5,0)*IF(Summary!$D$25="Included Margin",IF(AND($B295&gt;Input!$C$9,Summary!$D$31&lt;&gt;"Included Margin"),0,1),0))</f>
        <v>0.16500000000000001</v>
      </c>
      <c r="AB295" s="147">
        <f>IF($E295="","",IF(AND($B295&gt;Input!$C$9,Summary!$D$31&lt;&gt;"Included Margin"),1,IF(Summary!$D$25="Included Margin",VLOOKUP($B295,'Mortality Margins &amp; Grading'!$AI$5:$AR$125,MATCH('Mortality Margins &amp; Grading'!$AQ$4,'Mortality Margins &amp; Grading'!$AI$4:$AR$4,0),0),1)))</f>
        <v>1</v>
      </c>
      <c r="AC295" s="154"/>
      <c r="AD295" s="158">
        <f>IF(E295="","",Input!$C$48*IF(Summary!$D$30="Included Margin",IF(AND($B295&gt;Input!$C$9,Summary!$D$31&lt;&gt;"Included Margin"),0,1),0))</f>
        <v>-4.4999999999999997E-3</v>
      </c>
      <c r="AE295" s="159">
        <f>IF(E295="","",IF(Summary!$D$26="Included Margin",IF(AND($B295&gt;Input!$C$9,Summary!$D$31&lt;&gt;"Included Margin"),1,1/$R295),1))</f>
        <v>1.1278362834593714</v>
      </c>
      <c r="AF295" s="160">
        <f>IF(E295="","",IF(AND($B295&gt;=Input!$C$9,$C295=12,Summary!$D$31="Included Margin",$U295&gt;0),1/U295-1,IF($B295&gt;=Input!$C$9,0,Input!$C$45*IF(Summary!$D$27="Included Margin",1,0))))</f>
        <v>0</v>
      </c>
      <c r="AG295" s="160">
        <f>IF(E295="","",Input!$C$46*IF(Summary!$D$28="Included Margin",IF(AND($B295&gt;Input!$C$9,Summary!$D$31&lt;&gt;"Included Margin"),0,1),0))</f>
        <v>0.02</v>
      </c>
      <c r="AH295" s="158">
        <f>IF(E295="","",Input!$C$47*IF(Summary!$D$29="Included Margin",IF(AND($B295&gt;Input!$C$9,Summary!$D$31&lt;&gt;"Included Margin"),0,1),0))</f>
        <v>2.5000000000000001E-3</v>
      </c>
      <c r="AI295" s="154"/>
      <c r="AJ295" s="158">
        <f t="shared" si="189"/>
        <v>3.6290000000000003E-2</v>
      </c>
      <c r="AK295" s="155">
        <f t="shared" si="190"/>
        <v>2.9750021821515205E-3</v>
      </c>
      <c r="AL295" s="147">
        <f t="shared" si="191"/>
        <v>3.3296035200000004E-2</v>
      </c>
      <c r="AM295" s="147">
        <f t="shared" si="169"/>
        <v>2.8179361552718163E-3</v>
      </c>
      <c r="AN295" s="160">
        <f t="shared" si="192"/>
        <v>0</v>
      </c>
      <c r="AO295" s="161">
        <f t="shared" si="193"/>
        <v>0</v>
      </c>
      <c r="AP295" s="156">
        <f t="shared" si="170"/>
        <v>1.7057665760853151</v>
      </c>
      <c r="AQ295" s="152"/>
      <c r="AR295" s="162">
        <f t="shared" si="171"/>
        <v>2741.7393026062991</v>
      </c>
      <c r="AS295" s="150">
        <f t="shared" si="194"/>
        <v>0</v>
      </c>
      <c r="AT295" s="163">
        <f t="shared" si="172"/>
        <v>0</v>
      </c>
      <c r="AU295" s="163">
        <f t="shared" si="173"/>
        <v>281.7936155271816</v>
      </c>
      <c r="AV295" s="163">
        <f t="shared" si="195"/>
        <v>7.7375120975894616</v>
      </c>
      <c r="AW295" s="163">
        <f t="shared" si="174"/>
        <v>6.9734261307478542</v>
      </c>
      <c r="AX295" s="163">
        <f t="shared" si="175"/>
        <v>0</v>
      </c>
      <c r="AY295" s="164">
        <f t="shared" si="196"/>
        <v>2474.6566253074548</v>
      </c>
      <c r="AZ295" s="164">
        <f>IF($E295="","",IF(OR(AND($D295=Input!$C$6,$C295=12),$AN295=1),0,-AS296+AT296+AU296-AV296-AW296-AX296+AZ296))</f>
        <v>2474.657247894675</v>
      </c>
      <c r="BA295" s="154">
        <f t="shared" si="176"/>
        <v>6.2258722027763724E-4</v>
      </c>
      <c r="BC295" s="147">
        <f t="shared" si="197"/>
        <v>5.4390180517097118E-2</v>
      </c>
      <c r="BD295" s="164">
        <f>IF(AND($C294=12,$D294=Input!$C$6),0,IF($E295="","",AT295+(AU295+BD296)/(1+$AK295)*MIN((1-AM295-AN295),1)))</f>
        <v>2454.1041192294574</v>
      </c>
      <c r="BE295" s="164">
        <f t="shared" si="177"/>
        <v>133.47916605264183</v>
      </c>
      <c r="BF295" s="164">
        <f t="shared" si="198"/>
        <v>2474.657247894675</v>
      </c>
      <c r="BG295" s="164">
        <f t="shared" si="178"/>
        <v>134.59705443093412</v>
      </c>
      <c r="BH295" s="152"/>
      <c r="BI295" s="162">
        <f t="shared" si="179"/>
        <v>1235.2091264923299</v>
      </c>
      <c r="BJ295" s="150">
        <f t="shared" si="180"/>
        <v>0</v>
      </c>
      <c r="BK295" s="163">
        <f t="shared" si="202"/>
        <v>0</v>
      </c>
      <c r="BL295" s="163">
        <f t="shared" si="181"/>
        <v>241.57256454033771</v>
      </c>
      <c r="BM295" s="163">
        <f t="shared" si="203"/>
        <v>3.7190811091180307</v>
      </c>
      <c r="BN295" s="163">
        <f t="shared" si="182"/>
        <v>2.4151736235089403</v>
      </c>
      <c r="BO295" s="163">
        <f t="shared" si="183"/>
        <v>0</v>
      </c>
      <c r="BP295" s="164">
        <f t="shared" si="204"/>
        <v>999.77081668461926</v>
      </c>
      <c r="BQ295" s="164">
        <f>IF($E295="","",IF(AND($D295=Input!$C$6,$C295=12),0,-BJ296+BK296+BL296-BM296-BN296-BO296+BQ296))</f>
        <v>999.77148816733916</v>
      </c>
      <c r="BR295" s="161">
        <f t="shared" si="184"/>
        <v>0</v>
      </c>
      <c r="BT295" s="147">
        <f t="shared" si="185"/>
        <v>5.4390180517097118E-2</v>
      </c>
      <c r="BU295" s="164">
        <f>IF(AND($C294=12,$D294=Input!$C$6),0,IF($E295="","",BK295+(BL295+BU296)/(1+$AK295)*MIN((1-T295-U295),1)))</f>
        <v>28108.637213760354</v>
      </c>
      <c r="BV295" s="164">
        <f t="shared" si="186"/>
        <v>1528.8338521460194</v>
      </c>
      <c r="BW295" s="164">
        <f t="shared" si="187"/>
        <v>999.77148816733916</v>
      </c>
      <c r="BX295" s="164">
        <f t="shared" si="188"/>
        <v>54.377751717268403</v>
      </c>
    </row>
    <row r="296" spans="1:76" s="150" customFormat="1" x14ac:dyDescent="0.25">
      <c r="A296" s="150">
        <f t="shared" si="199"/>
        <v>292</v>
      </c>
      <c r="B296" s="150">
        <f t="shared" si="200"/>
        <v>25</v>
      </c>
      <c r="C296" s="150">
        <f t="shared" si="201"/>
        <v>4</v>
      </c>
      <c r="D296" s="150">
        <f>IF(E296="","",Input!$C$4+B296-1)</f>
        <v>69</v>
      </c>
      <c r="E296" s="150">
        <f>IF(OR(AND(C295=12,D295=Input!$C$6),E295=""),"",1)</f>
        <v>1</v>
      </c>
      <c r="F296" s="150">
        <f>IF(E296="","",Input!$C$8+B296-1)</f>
        <v>2042</v>
      </c>
      <c r="G296" s="151">
        <f>IF(E296="","",MAX(0,Input!$C$9-B296))</f>
        <v>0</v>
      </c>
      <c r="H296" s="152">
        <f>IF(E296="","",Input!$C$3)</f>
        <v>100000</v>
      </c>
      <c r="I296" s="153">
        <f>IF(E296="","",HLOOKUP($B296,Input!$C$13:$BT$14,2))</f>
        <v>28.836500000000001</v>
      </c>
      <c r="J296" s="154"/>
      <c r="K296" s="155">
        <f>IF($E296="","",INDEX(Input!$C$16:$CP$16,1,$B296))</f>
        <v>2.579E-2</v>
      </c>
      <c r="L296" s="155">
        <f>IF($E296="","",Input!$C$37)</f>
        <v>1.4999999999999999E-2</v>
      </c>
      <c r="M296" s="155">
        <f t="shared" si="164"/>
        <v>4.079E-2</v>
      </c>
      <c r="N296" s="155">
        <f t="shared" si="165"/>
        <v>3.3372261959632166E-3</v>
      </c>
      <c r="O296" s="147">
        <f>IF($E296="","",MIN(VLOOKUP(IF($B296&lt;=Input!$C$7,$B296,26),'Mortality Tables'!$A$41:$CW$67,IF($B296&lt;=Input!$C$7+1,Input!$C$4+2,$D296-Input!$C$7+2),0)*IF(B296&gt;20,Input!$C$22,1)/1000,1))</f>
        <v>3.2263600000000003E-2</v>
      </c>
      <c r="P296" s="147">
        <f>IF($E296="","",MIN(VLOOKUP(IF($B296&lt;=Input!$C$7,$B296,26),'Mortality Tables'!$A$12:$CW$37,IF($B296&lt;=Input!$C$7+1,Input!$C$4+2,$D296-Input!$C$7+2),0)*IF(B296&gt;20,Input!$C$22,1)/1000,1))</f>
        <v>4.0329500000000004E-2</v>
      </c>
      <c r="Q296" s="155">
        <f>IF($E296="","",Input!$C$21)</f>
        <v>5.0000000000000001E-3</v>
      </c>
      <c r="R296" s="159">
        <f>IF($E296="","",(1-Q296)^($F296-Input!$C$20))</f>
        <v>0.88665351050130803</v>
      </c>
      <c r="S296" s="147">
        <f t="shared" si="167"/>
        <v>2.8606634201410006E-2</v>
      </c>
      <c r="T296" s="147">
        <f t="shared" si="168"/>
        <v>2.4157256454033771E-3</v>
      </c>
      <c r="U296" s="160">
        <f>IF($E296="","",IF($C296=12,INDEX(Input!$C$15:$CP$15,1,$B296),0))</f>
        <v>0</v>
      </c>
      <c r="V296" s="150">
        <f>IF(E296="","",IF(C296=1,IF($B296=1,Input!$C$33,Input!$C$34),0))</f>
        <v>0</v>
      </c>
      <c r="W296" s="156">
        <f>IF($E296="","",Input!$C$35)</f>
        <v>0.02</v>
      </c>
      <c r="X296" s="156">
        <f t="shared" si="166"/>
        <v>1.6084372494752261</v>
      </c>
      <c r="Y296" s="154"/>
      <c r="Z296" s="147">
        <f>IF($E296="","",VLOOKUP($D296,'Mortality Margins &amp; Grading'!$AB$5:$AF$125,3,0)*IF(Summary!$D$25="Included Margin",IF(AND($B296&gt;Input!$C$9,Summary!$D$31&lt;&gt;"Included Margin"),0,1),0))</f>
        <v>3.2000000000000001E-2</v>
      </c>
      <c r="AA296" s="147">
        <f>IF($E296="","",VLOOKUP($D296,'Mortality Margins &amp; Grading'!$AB$5:$AF$125,5,0)*IF(Summary!$D$25="Included Margin",IF(AND($B296&gt;Input!$C$9,Summary!$D$31&lt;&gt;"Included Margin"),0,1),0))</f>
        <v>0.16500000000000001</v>
      </c>
      <c r="AB296" s="147">
        <f>IF($E296="","",IF(AND($B296&gt;Input!$C$9,Summary!$D$31&lt;&gt;"Included Margin"),1,IF(Summary!$D$25="Included Margin",VLOOKUP($B296,'Mortality Margins &amp; Grading'!$AI$5:$AR$125,MATCH('Mortality Margins &amp; Grading'!$AQ$4,'Mortality Margins &amp; Grading'!$AI$4:$AR$4,0),0),1)))</f>
        <v>1</v>
      </c>
      <c r="AC296" s="154"/>
      <c r="AD296" s="158">
        <f>IF(E296="","",Input!$C$48*IF(Summary!$D$30="Included Margin",IF(AND($B296&gt;Input!$C$9,Summary!$D$31&lt;&gt;"Included Margin"),0,1),0))</f>
        <v>-4.4999999999999997E-3</v>
      </c>
      <c r="AE296" s="159">
        <f>IF(E296="","",IF(Summary!$D$26="Included Margin",IF(AND($B296&gt;Input!$C$9,Summary!$D$31&lt;&gt;"Included Margin"),1,1/$R296),1))</f>
        <v>1.1278362834593714</v>
      </c>
      <c r="AF296" s="160">
        <f>IF(E296="","",IF(AND($B296&gt;=Input!$C$9,$C296=12,Summary!$D$31="Included Margin",$U296&gt;0),1/U296-1,IF($B296&gt;=Input!$C$9,0,Input!$C$45*IF(Summary!$D$27="Included Margin",1,0))))</f>
        <v>0</v>
      </c>
      <c r="AG296" s="160">
        <f>IF(E296="","",Input!$C$46*IF(Summary!$D$28="Included Margin",IF(AND($B296&gt;Input!$C$9,Summary!$D$31&lt;&gt;"Included Margin"),0,1),0))</f>
        <v>0.02</v>
      </c>
      <c r="AH296" s="158">
        <f>IF(E296="","",Input!$C$47*IF(Summary!$D$29="Included Margin",IF(AND($B296&gt;Input!$C$9,Summary!$D$31&lt;&gt;"Included Margin"),0,1),0))</f>
        <v>2.5000000000000001E-3</v>
      </c>
      <c r="AI296" s="154"/>
      <c r="AJ296" s="158">
        <f t="shared" si="189"/>
        <v>3.6290000000000003E-2</v>
      </c>
      <c r="AK296" s="155">
        <f t="shared" si="190"/>
        <v>2.9750021821515205E-3</v>
      </c>
      <c r="AL296" s="147">
        <f t="shared" si="191"/>
        <v>3.3296035200000004E-2</v>
      </c>
      <c r="AM296" s="147">
        <f t="shared" si="169"/>
        <v>2.8179361552718163E-3</v>
      </c>
      <c r="AN296" s="160">
        <f t="shared" si="192"/>
        <v>0</v>
      </c>
      <c r="AO296" s="161">
        <f t="shared" si="193"/>
        <v>0</v>
      </c>
      <c r="AP296" s="156">
        <f t="shared" si="170"/>
        <v>1.7057665760853151</v>
      </c>
      <c r="AQ296" s="152"/>
      <c r="AR296" s="162">
        <f t="shared" si="171"/>
        <v>2474.6566253074552</v>
      </c>
      <c r="AS296" s="150">
        <f t="shared" si="194"/>
        <v>0</v>
      </c>
      <c r="AT296" s="163">
        <f t="shared" si="172"/>
        <v>0</v>
      </c>
      <c r="AU296" s="163">
        <f t="shared" si="173"/>
        <v>281.7936155271816</v>
      </c>
      <c r="AV296" s="163">
        <f t="shared" si="195"/>
        <v>6.9429405498105305</v>
      </c>
      <c r="AW296" s="163">
        <f t="shared" si="174"/>
        <v>6.2164319848752267</v>
      </c>
      <c r="AX296" s="163">
        <f t="shared" si="175"/>
        <v>0</v>
      </c>
      <c r="AY296" s="165">
        <f t="shared" si="196"/>
        <v>2206.022382314959</v>
      </c>
      <c r="AZ296" s="164">
        <f>IF($E296="","",IF(OR(AND($D296=Input!$C$6,$C296=12),$AN296=1),0,-AS297+AT297+AU297-AV297-AW297-AX297+AZ297))</f>
        <v>2206.0230049021793</v>
      </c>
      <c r="BA296" s="154">
        <f t="shared" si="176"/>
        <v>6.2258722027763724E-4</v>
      </c>
      <c r="BC296" s="147">
        <f t="shared" si="197"/>
        <v>5.4258788763163847E-2</v>
      </c>
      <c r="BD296" s="164">
        <f>IF(AND($C295=12,$D295=Input!$C$6),0,IF($E296="","",AT296+(AU296+BD297)/(1+$AK296)*MIN((1-AM296-AN296),1)))</f>
        <v>2186.5671518628933</v>
      </c>
      <c r="BE296" s="164">
        <f t="shared" si="177"/>
        <v>118.64048520940153</v>
      </c>
      <c r="BF296" s="164">
        <f t="shared" si="198"/>
        <v>2206.0230049021793</v>
      </c>
      <c r="BG296" s="164">
        <f t="shared" si="178"/>
        <v>119.69613622966732</v>
      </c>
      <c r="BH296" s="152"/>
      <c r="BI296" s="162">
        <f t="shared" si="179"/>
        <v>999.77081668461938</v>
      </c>
      <c r="BJ296" s="150">
        <f t="shared" si="180"/>
        <v>0</v>
      </c>
      <c r="BK296" s="163">
        <f t="shared" si="202"/>
        <v>0</v>
      </c>
      <c r="BL296" s="163">
        <f t="shared" si="181"/>
        <v>241.57256454033771</v>
      </c>
      <c r="BM296" s="163">
        <f t="shared" si="203"/>
        <v>2.933370214094436</v>
      </c>
      <c r="BN296" s="163">
        <f t="shared" si="182"/>
        <v>1.8431393207017046</v>
      </c>
      <c r="BO296" s="163">
        <f t="shared" si="183"/>
        <v>0</v>
      </c>
      <c r="BP296" s="164">
        <f t="shared" si="204"/>
        <v>762.9747616790778</v>
      </c>
      <c r="BQ296" s="164">
        <f>IF($E296="","",IF(AND($D296=Input!$C$6,$C296=12),0,-BJ297+BK297+BL297-BM297-BN297-BO297+BQ297))</f>
        <v>762.97543316179758</v>
      </c>
      <c r="BR296" s="161">
        <f t="shared" si="184"/>
        <v>0</v>
      </c>
      <c r="BT296" s="147">
        <f t="shared" si="185"/>
        <v>5.4258788763163847E-2</v>
      </c>
      <c r="BU296" s="164">
        <f>IF(AND($C295=12,$D295=Input!$C$6),0,IF($E296="","",BK296+(BL296+BU297)/(1+$AK296)*MIN((1-T296-U296),1)))</f>
        <v>28018.957593724277</v>
      </c>
      <c r="BV296" s="164">
        <f t="shared" si="186"/>
        <v>1520.2747014419313</v>
      </c>
      <c r="BW296" s="164">
        <f t="shared" si="187"/>
        <v>762.97543316179758</v>
      </c>
      <c r="BX296" s="164">
        <f t="shared" si="188"/>
        <v>41.398122859409412</v>
      </c>
    </row>
    <row r="297" spans="1:76" s="150" customFormat="1" x14ac:dyDescent="0.25">
      <c r="A297" s="150">
        <f t="shared" si="199"/>
        <v>293</v>
      </c>
      <c r="B297" s="150">
        <f t="shared" si="200"/>
        <v>25</v>
      </c>
      <c r="C297" s="150">
        <f t="shared" si="201"/>
        <v>5</v>
      </c>
      <c r="D297" s="150">
        <f>IF(E297="","",Input!$C$4+B297-1)</f>
        <v>69</v>
      </c>
      <c r="E297" s="150">
        <f>IF(OR(AND(C296=12,D296=Input!$C$6),E296=""),"",1)</f>
        <v>1</v>
      </c>
      <c r="F297" s="150">
        <f>IF(E297="","",Input!$C$8+B297-1)</f>
        <v>2042</v>
      </c>
      <c r="G297" s="151">
        <f>IF(E297="","",MAX(0,Input!$C$9-B297))</f>
        <v>0</v>
      </c>
      <c r="H297" s="152">
        <f>IF(E297="","",Input!$C$3)</f>
        <v>100000</v>
      </c>
      <c r="I297" s="153">
        <f>IF(E297="","",HLOOKUP($B297,Input!$C$13:$BT$14,2))</f>
        <v>28.836500000000001</v>
      </c>
      <c r="J297" s="154"/>
      <c r="K297" s="155">
        <f>IF($E297="","",INDEX(Input!$C$16:$CP$16,1,$B297))</f>
        <v>2.579E-2</v>
      </c>
      <c r="L297" s="155">
        <f>IF($E297="","",Input!$C$37)</f>
        <v>1.4999999999999999E-2</v>
      </c>
      <c r="M297" s="155">
        <f t="shared" si="164"/>
        <v>4.079E-2</v>
      </c>
      <c r="N297" s="155">
        <f t="shared" si="165"/>
        <v>3.3372261959632166E-3</v>
      </c>
      <c r="O297" s="147">
        <f>IF($E297="","",MIN(VLOOKUP(IF($B297&lt;=Input!$C$7,$B297,26),'Mortality Tables'!$A$41:$CW$67,IF($B297&lt;=Input!$C$7+1,Input!$C$4+2,$D297-Input!$C$7+2),0)*IF(B297&gt;20,Input!$C$22,1)/1000,1))</f>
        <v>3.2263600000000003E-2</v>
      </c>
      <c r="P297" s="147">
        <f>IF($E297="","",MIN(VLOOKUP(IF($B297&lt;=Input!$C$7,$B297,26),'Mortality Tables'!$A$12:$CW$37,IF($B297&lt;=Input!$C$7+1,Input!$C$4+2,$D297-Input!$C$7+2),0)*IF(B297&gt;20,Input!$C$22,1)/1000,1))</f>
        <v>4.0329500000000004E-2</v>
      </c>
      <c r="Q297" s="155">
        <f>IF($E297="","",Input!$C$21)</f>
        <v>5.0000000000000001E-3</v>
      </c>
      <c r="R297" s="159">
        <f>IF($E297="","",(1-Q297)^($F297-Input!$C$20))</f>
        <v>0.88665351050130803</v>
      </c>
      <c r="S297" s="147">
        <f t="shared" si="167"/>
        <v>2.8606634201410006E-2</v>
      </c>
      <c r="T297" s="147">
        <f t="shared" si="168"/>
        <v>2.4157256454033771E-3</v>
      </c>
      <c r="U297" s="160">
        <f>IF($E297="","",IF($C297=12,INDEX(Input!$C$15:$CP$15,1,$B297),0))</f>
        <v>0</v>
      </c>
      <c r="V297" s="150">
        <f>IF(E297="","",IF(C297=1,IF($B297=1,Input!$C$33,Input!$C$34),0))</f>
        <v>0</v>
      </c>
      <c r="W297" s="156">
        <f>IF($E297="","",Input!$C$35)</f>
        <v>0.02</v>
      </c>
      <c r="X297" s="156">
        <f t="shared" si="166"/>
        <v>1.6084372494752261</v>
      </c>
      <c r="Y297" s="154"/>
      <c r="Z297" s="147">
        <f>IF($E297="","",VLOOKUP($D297,'Mortality Margins &amp; Grading'!$AB$5:$AF$125,3,0)*IF(Summary!$D$25="Included Margin",IF(AND($B297&gt;Input!$C$9,Summary!$D$31&lt;&gt;"Included Margin"),0,1),0))</f>
        <v>3.2000000000000001E-2</v>
      </c>
      <c r="AA297" s="147">
        <f>IF($E297="","",VLOOKUP($D297,'Mortality Margins &amp; Grading'!$AB$5:$AF$125,5,0)*IF(Summary!$D$25="Included Margin",IF(AND($B297&gt;Input!$C$9,Summary!$D$31&lt;&gt;"Included Margin"),0,1),0))</f>
        <v>0.16500000000000001</v>
      </c>
      <c r="AB297" s="147">
        <f>IF($E297="","",IF(AND($B297&gt;Input!$C$9,Summary!$D$31&lt;&gt;"Included Margin"),1,IF(Summary!$D$25="Included Margin",VLOOKUP($B297,'Mortality Margins &amp; Grading'!$AI$5:$AR$125,MATCH('Mortality Margins &amp; Grading'!$AQ$4,'Mortality Margins &amp; Grading'!$AI$4:$AR$4,0),0),1)))</f>
        <v>1</v>
      </c>
      <c r="AC297" s="154"/>
      <c r="AD297" s="158">
        <f>IF(E297="","",Input!$C$48*IF(Summary!$D$30="Included Margin",IF(AND($B297&gt;Input!$C$9,Summary!$D$31&lt;&gt;"Included Margin"),0,1),0))</f>
        <v>-4.4999999999999997E-3</v>
      </c>
      <c r="AE297" s="159">
        <f>IF(E297="","",IF(Summary!$D$26="Included Margin",IF(AND($B297&gt;Input!$C$9,Summary!$D$31&lt;&gt;"Included Margin"),1,1/$R297),1))</f>
        <v>1.1278362834593714</v>
      </c>
      <c r="AF297" s="160">
        <f>IF(E297="","",IF(AND($B297&gt;=Input!$C$9,$C297=12,Summary!$D$31="Included Margin",$U297&gt;0),1/U297-1,IF($B297&gt;=Input!$C$9,0,Input!$C$45*IF(Summary!$D$27="Included Margin",1,0))))</f>
        <v>0</v>
      </c>
      <c r="AG297" s="160">
        <f>IF(E297="","",Input!$C$46*IF(Summary!$D$28="Included Margin",IF(AND($B297&gt;Input!$C$9,Summary!$D$31&lt;&gt;"Included Margin"),0,1),0))</f>
        <v>0.02</v>
      </c>
      <c r="AH297" s="158">
        <f>IF(E297="","",Input!$C$47*IF(Summary!$D$29="Included Margin",IF(AND($B297&gt;Input!$C$9,Summary!$D$31&lt;&gt;"Included Margin"),0,1),0))</f>
        <v>2.5000000000000001E-3</v>
      </c>
      <c r="AI297" s="154"/>
      <c r="AJ297" s="158">
        <f t="shared" si="189"/>
        <v>3.6290000000000003E-2</v>
      </c>
      <c r="AK297" s="155">
        <f t="shared" si="190"/>
        <v>2.9750021821515205E-3</v>
      </c>
      <c r="AL297" s="147">
        <f t="shared" si="191"/>
        <v>3.3296035200000004E-2</v>
      </c>
      <c r="AM297" s="147">
        <f t="shared" si="169"/>
        <v>2.8179361552718163E-3</v>
      </c>
      <c r="AN297" s="160">
        <f t="shared" si="192"/>
        <v>0</v>
      </c>
      <c r="AO297" s="161">
        <f t="shared" si="193"/>
        <v>0</v>
      </c>
      <c r="AP297" s="156">
        <f t="shared" si="170"/>
        <v>1.7057665760853151</v>
      </c>
      <c r="AQ297" s="152"/>
      <c r="AR297" s="162">
        <f t="shared" si="171"/>
        <v>2206.0223823149595</v>
      </c>
      <c r="AS297" s="150">
        <f t="shared" si="194"/>
        <v>0</v>
      </c>
      <c r="AT297" s="163">
        <f t="shared" si="172"/>
        <v>0</v>
      </c>
      <c r="AU297" s="163">
        <f t="shared" si="173"/>
        <v>281.7936155271816</v>
      </c>
      <c r="AV297" s="163">
        <f t="shared" si="195"/>
        <v>6.143753090707234</v>
      </c>
      <c r="AW297" s="163">
        <f t="shared" si="174"/>
        <v>5.4550402264022235</v>
      </c>
      <c r="AX297" s="163">
        <f t="shared" si="175"/>
        <v>0</v>
      </c>
      <c r="AY297" s="164">
        <f t="shared" si="196"/>
        <v>1935.8275601048872</v>
      </c>
      <c r="AZ297" s="164">
        <f>IF($E297="","",IF(OR(AND($D297=Input!$C$6,$C297=12),$AN297=1),0,-AS298+AT298+AU298-AV298-AW298-AX298+AZ298))</f>
        <v>1935.8281826921072</v>
      </c>
      <c r="BA297" s="154">
        <f t="shared" si="176"/>
        <v>6.2258722005026357E-4</v>
      </c>
      <c r="BC297" s="147">
        <f t="shared" si="197"/>
        <v>5.4127714415660146E-2</v>
      </c>
      <c r="BD297" s="164">
        <f>IF(AND($C296=12,$D296=Input!$C$6),0,IF($E297="","",AT297+(AU297+BD298)/(1+$AK297)*MIN((1-AM297-AN297),1)))</f>
        <v>1917.4759796914811</v>
      </c>
      <c r="BE297" s="164">
        <f t="shared" si="177"/>
        <v>103.78859222762864</v>
      </c>
      <c r="BF297" s="164">
        <f t="shared" si="198"/>
        <v>1935.8281826921072</v>
      </c>
      <c r="BG297" s="164">
        <f t="shared" si="178"/>
        <v>104.78195503054475</v>
      </c>
      <c r="BH297" s="152"/>
      <c r="BI297" s="162">
        <f t="shared" si="179"/>
        <v>762.97476167907757</v>
      </c>
      <c r="BJ297" s="150">
        <f t="shared" si="180"/>
        <v>0</v>
      </c>
      <c r="BK297" s="163">
        <f t="shared" si="202"/>
        <v>0</v>
      </c>
      <c r="BL297" s="163">
        <f t="shared" si="181"/>
        <v>241.57256454033771</v>
      </c>
      <c r="BM297" s="163">
        <f t="shared" si="203"/>
        <v>2.1431282162291949</v>
      </c>
      <c r="BN297" s="163">
        <f t="shared" si="182"/>
        <v>1.2678061629703687</v>
      </c>
      <c r="BO297" s="163">
        <f t="shared" si="183"/>
        <v>0</v>
      </c>
      <c r="BP297" s="164">
        <f t="shared" si="204"/>
        <v>524.8131315179395</v>
      </c>
      <c r="BQ297" s="164">
        <f>IF($E297="","",IF(AND($D297=Input!$C$6,$C297=12),0,-BJ298+BK298+BL298-BM298-BN298-BO298+BQ298))</f>
        <v>524.81380300065939</v>
      </c>
      <c r="BR297" s="161">
        <f t="shared" si="184"/>
        <v>0</v>
      </c>
      <c r="BT297" s="147">
        <f t="shared" si="185"/>
        <v>5.4127714415660146E-2</v>
      </c>
      <c r="BU297" s="164">
        <f>IF(AND($C296=12,$D296=Input!$C$6),0,IF($E297="","",BK297+(BL297+BU298)/(1+$AK297)*MIN((1-T297-U297),1)))</f>
        <v>27928.79336458226</v>
      </c>
      <c r="BV297" s="164">
        <f t="shared" si="186"/>
        <v>1511.7217512120926</v>
      </c>
      <c r="BW297" s="164">
        <f t="shared" si="187"/>
        <v>524.81380300065939</v>
      </c>
      <c r="BX297" s="164">
        <f t="shared" si="188"/>
        <v>28.406971650216214</v>
      </c>
    </row>
    <row r="298" spans="1:76" s="150" customFormat="1" x14ac:dyDescent="0.25">
      <c r="A298" s="150">
        <f t="shared" si="199"/>
        <v>294</v>
      </c>
      <c r="B298" s="150">
        <f t="shared" si="200"/>
        <v>25</v>
      </c>
      <c r="C298" s="150">
        <f t="shared" si="201"/>
        <v>6</v>
      </c>
      <c r="D298" s="150">
        <f>IF(E298="","",Input!$C$4+B298-1)</f>
        <v>69</v>
      </c>
      <c r="E298" s="150">
        <f>IF(OR(AND(C297=12,D297=Input!$C$6),E297=""),"",1)</f>
        <v>1</v>
      </c>
      <c r="F298" s="150">
        <f>IF(E298="","",Input!$C$8+B298-1)</f>
        <v>2042</v>
      </c>
      <c r="G298" s="151">
        <f>IF(E298="","",MAX(0,Input!$C$9-B298))</f>
        <v>0</v>
      </c>
      <c r="H298" s="152">
        <f>IF(E298="","",Input!$C$3)</f>
        <v>100000</v>
      </c>
      <c r="I298" s="153">
        <f>IF(E298="","",HLOOKUP($B298,Input!$C$13:$BT$14,2))</f>
        <v>28.836500000000001</v>
      </c>
      <c r="J298" s="154"/>
      <c r="K298" s="155">
        <f>IF($E298="","",INDEX(Input!$C$16:$CP$16,1,$B298))</f>
        <v>2.579E-2</v>
      </c>
      <c r="L298" s="155">
        <f>IF($E298="","",Input!$C$37)</f>
        <v>1.4999999999999999E-2</v>
      </c>
      <c r="M298" s="155">
        <f t="shared" si="164"/>
        <v>4.079E-2</v>
      </c>
      <c r="N298" s="155">
        <f t="shared" si="165"/>
        <v>3.3372261959632166E-3</v>
      </c>
      <c r="O298" s="147">
        <f>IF($E298="","",MIN(VLOOKUP(IF($B298&lt;=Input!$C$7,$B298,26),'Mortality Tables'!$A$41:$CW$67,IF($B298&lt;=Input!$C$7+1,Input!$C$4+2,$D298-Input!$C$7+2),0)*IF(B298&gt;20,Input!$C$22,1)/1000,1))</f>
        <v>3.2263600000000003E-2</v>
      </c>
      <c r="P298" s="147">
        <f>IF($E298="","",MIN(VLOOKUP(IF($B298&lt;=Input!$C$7,$B298,26),'Mortality Tables'!$A$12:$CW$37,IF($B298&lt;=Input!$C$7+1,Input!$C$4+2,$D298-Input!$C$7+2),0)*IF(B298&gt;20,Input!$C$22,1)/1000,1))</f>
        <v>4.0329500000000004E-2</v>
      </c>
      <c r="Q298" s="155">
        <f>IF($E298="","",Input!$C$21)</f>
        <v>5.0000000000000001E-3</v>
      </c>
      <c r="R298" s="159">
        <f>IF($E298="","",(1-Q298)^($F298-Input!$C$20))</f>
        <v>0.88665351050130803</v>
      </c>
      <c r="S298" s="147">
        <f t="shared" si="167"/>
        <v>2.8606634201410006E-2</v>
      </c>
      <c r="T298" s="147">
        <f t="shared" si="168"/>
        <v>2.4157256454033771E-3</v>
      </c>
      <c r="U298" s="160">
        <f>IF($E298="","",IF($C298=12,INDEX(Input!$C$15:$CP$15,1,$B298),0))</f>
        <v>0</v>
      </c>
      <c r="V298" s="150">
        <f>IF(E298="","",IF(C298=1,IF($B298=1,Input!$C$33,Input!$C$34),0))</f>
        <v>0</v>
      </c>
      <c r="W298" s="156">
        <f>IF($E298="","",Input!$C$35)</f>
        <v>0.02</v>
      </c>
      <c r="X298" s="156">
        <f t="shared" si="166"/>
        <v>1.6084372494752261</v>
      </c>
      <c r="Y298" s="154"/>
      <c r="Z298" s="147">
        <f>IF($E298="","",VLOOKUP($D298,'Mortality Margins &amp; Grading'!$AB$5:$AF$125,3,0)*IF(Summary!$D$25="Included Margin",IF(AND($B298&gt;Input!$C$9,Summary!$D$31&lt;&gt;"Included Margin"),0,1),0))</f>
        <v>3.2000000000000001E-2</v>
      </c>
      <c r="AA298" s="147">
        <f>IF($E298="","",VLOOKUP($D298,'Mortality Margins &amp; Grading'!$AB$5:$AF$125,5,0)*IF(Summary!$D$25="Included Margin",IF(AND($B298&gt;Input!$C$9,Summary!$D$31&lt;&gt;"Included Margin"),0,1),0))</f>
        <v>0.16500000000000001</v>
      </c>
      <c r="AB298" s="147">
        <f>IF($E298="","",IF(AND($B298&gt;Input!$C$9,Summary!$D$31&lt;&gt;"Included Margin"),1,IF(Summary!$D$25="Included Margin",VLOOKUP($B298,'Mortality Margins &amp; Grading'!$AI$5:$AR$125,MATCH('Mortality Margins &amp; Grading'!$AQ$4,'Mortality Margins &amp; Grading'!$AI$4:$AR$4,0),0),1)))</f>
        <v>1</v>
      </c>
      <c r="AC298" s="154"/>
      <c r="AD298" s="158">
        <f>IF(E298="","",Input!$C$48*IF(Summary!$D$30="Included Margin",IF(AND($B298&gt;Input!$C$9,Summary!$D$31&lt;&gt;"Included Margin"),0,1),0))</f>
        <v>-4.4999999999999997E-3</v>
      </c>
      <c r="AE298" s="159">
        <f>IF(E298="","",IF(Summary!$D$26="Included Margin",IF(AND($B298&gt;Input!$C$9,Summary!$D$31&lt;&gt;"Included Margin"),1,1/$R298),1))</f>
        <v>1.1278362834593714</v>
      </c>
      <c r="AF298" s="160">
        <f>IF(E298="","",IF(AND($B298&gt;=Input!$C$9,$C298=12,Summary!$D$31="Included Margin",$U298&gt;0),1/U298-1,IF($B298&gt;=Input!$C$9,0,Input!$C$45*IF(Summary!$D$27="Included Margin",1,0))))</f>
        <v>0</v>
      </c>
      <c r="AG298" s="160">
        <f>IF(E298="","",Input!$C$46*IF(Summary!$D$28="Included Margin",IF(AND($B298&gt;Input!$C$9,Summary!$D$31&lt;&gt;"Included Margin"),0,1),0))</f>
        <v>0.02</v>
      </c>
      <c r="AH298" s="158">
        <f>IF(E298="","",Input!$C$47*IF(Summary!$D$29="Included Margin",IF(AND($B298&gt;Input!$C$9,Summary!$D$31&lt;&gt;"Included Margin"),0,1),0))</f>
        <v>2.5000000000000001E-3</v>
      </c>
      <c r="AI298" s="154"/>
      <c r="AJ298" s="158">
        <f t="shared" si="189"/>
        <v>3.6290000000000003E-2</v>
      </c>
      <c r="AK298" s="155">
        <f t="shared" si="190"/>
        <v>2.9750021821515205E-3</v>
      </c>
      <c r="AL298" s="147">
        <f t="shared" si="191"/>
        <v>3.3296035200000004E-2</v>
      </c>
      <c r="AM298" s="147">
        <f t="shared" si="169"/>
        <v>2.8179361552718163E-3</v>
      </c>
      <c r="AN298" s="160">
        <f t="shared" si="192"/>
        <v>0</v>
      </c>
      <c r="AO298" s="161">
        <f t="shared" si="193"/>
        <v>0</v>
      </c>
      <c r="AP298" s="156">
        <f t="shared" si="170"/>
        <v>1.7057665760853151</v>
      </c>
      <c r="AQ298" s="152"/>
      <c r="AR298" s="162">
        <f t="shared" si="171"/>
        <v>1935.8275601048872</v>
      </c>
      <c r="AS298" s="150">
        <f t="shared" si="194"/>
        <v>0</v>
      </c>
      <c r="AT298" s="163">
        <f t="shared" si="172"/>
        <v>0</v>
      </c>
      <c r="AU298" s="163">
        <f t="shared" si="173"/>
        <v>281.7936155271816</v>
      </c>
      <c r="AV298" s="163">
        <f t="shared" si="195"/>
        <v>5.3399229050262269</v>
      </c>
      <c r="AW298" s="163">
        <f t="shared" si="174"/>
        <v>4.6892253082401565</v>
      </c>
      <c r="AX298" s="163">
        <f t="shared" si="175"/>
        <v>0</v>
      </c>
      <c r="AY298" s="165">
        <f t="shared" si="196"/>
        <v>1664.063092790972</v>
      </c>
      <c r="AZ298" s="164">
        <f>IF($E298="","",IF(OR(AND($D298=Input!$C$6,$C298=12),$AN298=1),0,-AS299+AT299+AU299-AV299-AW299-AX299+AZ299))</f>
        <v>1664.063715378192</v>
      </c>
      <c r="BA298" s="154">
        <f t="shared" si="176"/>
        <v>6.2258722005026357E-4</v>
      </c>
      <c r="BC298" s="147">
        <f t="shared" si="197"/>
        <v>5.3996956707819163E-2</v>
      </c>
      <c r="BD298" s="164">
        <f>IF(AND($C297=12,$D297=Input!$C$6),0,IF($E298="","",AT298+(AU298+BD299)/(1+$AK298)*MIN((1-AM298-AN298),1)))</f>
        <v>1646.8215738598851</v>
      </c>
      <c r="BE298" s="164">
        <f t="shared" si="177"/>
        <v>88.92335322921484</v>
      </c>
      <c r="BF298" s="164">
        <f t="shared" si="198"/>
        <v>1664.063715378192</v>
      </c>
      <c r="BG298" s="164">
        <f t="shared" si="178"/>
        <v>89.854376398328938</v>
      </c>
      <c r="BH298" s="152"/>
      <c r="BI298" s="162">
        <f t="shared" si="179"/>
        <v>524.81313151793938</v>
      </c>
      <c r="BJ298" s="150">
        <f t="shared" si="180"/>
        <v>0</v>
      </c>
      <c r="BK298" s="163">
        <f t="shared" si="202"/>
        <v>0</v>
      </c>
      <c r="BL298" s="163">
        <f t="shared" si="181"/>
        <v>241.57256454033771</v>
      </c>
      <c r="BM298" s="163">
        <f t="shared" si="203"/>
        <v>1.3483289851821412</v>
      </c>
      <c r="BN298" s="163">
        <f t="shared" si="182"/>
        <v>0.68915512620439079</v>
      </c>
      <c r="BO298" s="163">
        <f t="shared" si="183"/>
        <v>0</v>
      </c>
      <c r="BP298" s="164">
        <f t="shared" si="204"/>
        <v>285.27805108898826</v>
      </c>
      <c r="BQ298" s="164">
        <f>IF($E298="","",IF(AND($D298=Input!$C$6,$C298=12),0,-BJ299+BK299+BL299-BM299-BN299-BO299+BQ299))</f>
        <v>285.27872257170822</v>
      </c>
      <c r="BR298" s="161">
        <f t="shared" si="184"/>
        <v>0</v>
      </c>
      <c r="BT298" s="147">
        <f t="shared" si="185"/>
        <v>5.3996956707819163E-2</v>
      </c>
      <c r="BU298" s="164">
        <f>IF(AND($C297=12,$D297=Input!$C$6),0,IF($E298="","",BK298+(BL298+BU299)/(1+$AK298)*MIN((1-T298-U298),1)))</f>
        <v>27838.1419076124</v>
      </c>
      <c r="BV298" s="164">
        <f t="shared" si="186"/>
        <v>1503.1749434114731</v>
      </c>
      <c r="BW298" s="164">
        <f t="shared" si="187"/>
        <v>285.27872257170822</v>
      </c>
      <c r="BX298" s="164">
        <f t="shared" si="188"/>
        <v>15.404182832366482</v>
      </c>
    </row>
    <row r="299" spans="1:76" s="150" customFormat="1" x14ac:dyDescent="0.25">
      <c r="A299" s="150">
        <f t="shared" si="199"/>
        <v>295</v>
      </c>
      <c r="B299" s="150">
        <f t="shared" si="200"/>
        <v>25</v>
      </c>
      <c r="C299" s="150">
        <f t="shared" si="201"/>
        <v>7</v>
      </c>
      <c r="D299" s="150">
        <f>IF(E299="","",Input!$C$4+B299-1)</f>
        <v>69</v>
      </c>
      <c r="E299" s="150">
        <f>IF(OR(AND(C298=12,D298=Input!$C$6),E298=""),"",1)</f>
        <v>1</v>
      </c>
      <c r="F299" s="150">
        <f>IF(E299="","",Input!$C$8+B299-1)</f>
        <v>2042</v>
      </c>
      <c r="G299" s="151">
        <f>IF(E299="","",MAX(0,Input!$C$9-B299))</f>
        <v>0</v>
      </c>
      <c r="H299" s="152">
        <f>IF(E299="","",Input!$C$3)</f>
        <v>100000</v>
      </c>
      <c r="I299" s="153">
        <f>IF(E299="","",HLOOKUP($B299,Input!$C$13:$BT$14,2))</f>
        <v>28.836500000000001</v>
      </c>
      <c r="J299" s="154"/>
      <c r="K299" s="155">
        <f>IF($E299="","",INDEX(Input!$C$16:$CP$16,1,$B299))</f>
        <v>2.579E-2</v>
      </c>
      <c r="L299" s="155">
        <f>IF($E299="","",Input!$C$37)</f>
        <v>1.4999999999999999E-2</v>
      </c>
      <c r="M299" s="155">
        <f t="shared" si="164"/>
        <v>4.079E-2</v>
      </c>
      <c r="N299" s="155">
        <f t="shared" si="165"/>
        <v>3.3372261959632166E-3</v>
      </c>
      <c r="O299" s="147">
        <f>IF($E299="","",MIN(VLOOKUP(IF($B299&lt;=Input!$C$7,$B299,26),'Mortality Tables'!$A$41:$CW$67,IF($B299&lt;=Input!$C$7+1,Input!$C$4+2,$D299-Input!$C$7+2),0)*IF(B299&gt;20,Input!$C$22,1)/1000,1))</f>
        <v>3.2263600000000003E-2</v>
      </c>
      <c r="P299" s="147">
        <f>IF($E299="","",MIN(VLOOKUP(IF($B299&lt;=Input!$C$7,$B299,26),'Mortality Tables'!$A$12:$CW$37,IF($B299&lt;=Input!$C$7+1,Input!$C$4+2,$D299-Input!$C$7+2),0)*IF(B299&gt;20,Input!$C$22,1)/1000,1))</f>
        <v>4.0329500000000004E-2</v>
      </c>
      <c r="Q299" s="155">
        <f>IF($E299="","",Input!$C$21)</f>
        <v>5.0000000000000001E-3</v>
      </c>
      <c r="R299" s="159">
        <f>IF($E299="","",(1-Q299)^($F299-Input!$C$20))</f>
        <v>0.88665351050130803</v>
      </c>
      <c r="S299" s="147">
        <f t="shared" si="167"/>
        <v>2.8606634201410006E-2</v>
      </c>
      <c r="T299" s="147">
        <f t="shared" si="168"/>
        <v>2.4157256454033771E-3</v>
      </c>
      <c r="U299" s="160">
        <f>IF($E299="","",IF($C299=12,INDEX(Input!$C$15:$CP$15,1,$B299),0))</f>
        <v>0</v>
      </c>
      <c r="V299" s="150">
        <f>IF(E299="","",IF(C299=1,IF($B299=1,Input!$C$33,Input!$C$34),0))</f>
        <v>0</v>
      </c>
      <c r="W299" s="156">
        <f>IF($E299="","",Input!$C$35)</f>
        <v>0.02</v>
      </c>
      <c r="X299" s="156">
        <f t="shared" si="166"/>
        <v>1.6084372494752261</v>
      </c>
      <c r="Y299" s="154"/>
      <c r="Z299" s="147">
        <f>IF($E299="","",VLOOKUP($D299,'Mortality Margins &amp; Grading'!$AB$5:$AF$125,3,0)*IF(Summary!$D$25="Included Margin",IF(AND($B299&gt;Input!$C$9,Summary!$D$31&lt;&gt;"Included Margin"),0,1),0))</f>
        <v>3.2000000000000001E-2</v>
      </c>
      <c r="AA299" s="147">
        <f>IF($E299="","",VLOOKUP($D299,'Mortality Margins &amp; Grading'!$AB$5:$AF$125,5,0)*IF(Summary!$D$25="Included Margin",IF(AND($B299&gt;Input!$C$9,Summary!$D$31&lt;&gt;"Included Margin"),0,1),0))</f>
        <v>0.16500000000000001</v>
      </c>
      <c r="AB299" s="147">
        <f>IF($E299="","",IF(AND($B299&gt;Input!$C$9,Summary!$D$31&lt;&gt;"Included Margin"),1,IF(Summary!$D$25="Included Margin",VLOOKUP($B299,'Mortality Margins &amp; Grading'!$AI$5:$AR$125,MATCH('Mortality Margins &amp; Grading'!$AQ$4,'Mortality Margins &amp; Grading'!$AI$4:$AR$4,0),0),1)))</f>
        <v>1</v>
      </c>
      <c r="AC299" s="154"/>
      <c r="AD299" s="158">
        <f>IF(E299="","",Input!$C$48*IF(Summary!$D$30="Included Margin",IF(AND($B299&gt;Input!$C$9,Summary!$D$31&lt;&gt;"Included Margin"),0,1),0))</f>
        <v>-4.4999999999999997E-3</v>
      </c>
      <c r="AE299" s="159">
        <f>IF(E299="","",IF(Summary!$D$26="Included Margin",IF(AND($B299&gt;Input!$C$9,Summary!$D$31&lt;&gt;"Included Margin"),1,1/$R299),1))</f>
        <v>1.1278362834593714</v>
      </c>
      <c r="AF299" s="160">
        <f>IF(E299="","",IF(AND($B299&gt;=Input!$C$9,$C299=12,Summary!$D$31="Included Margin",$U299&gt;0),1/U299-1,IF($B299&gt;=Input!$C$9,0,Input!$C$45*IF(Summary!$D$27="Included Margin",1,0))))</f>
        <v>0</v>
      </c>
      <c r="AG299" s="160">
        <f>IF(E299="","",Input!$C$46*IF(Summary!$D$28="Included Margin",IF(AND($B299&gt;Input!$C$9,Summary!$D$31&lt;&gt;"Included Margin"),0,1),0))</f>
        <v>0.02</v>
      </c>
      <c r="AH299" s="158">
        <f>IF(E299="","",Input!$C$47*IF(Summary!$D$29="Included Margin",IF(AND($B299&gt;Input!$C$9,Summary!$D$31&lt;&gt;"Included Margin"),0,1),0))</f>
        <v>2.5000000000000001E-3</v>
      </c>
      <c r="AI299" s="154"/>
      <c r="AJ299" s="158">
        <f t="shared" si="189"/>
        <v>3.6290000000000003E-2</v>
      </c>
      <c r="AK299" s="155">
        <f t="shared" si="190"/>
        <v>2.9750021821515205E-3</v>
      </c>
      <c r="AL299" s="147">
        <f t="shared" si="191"/>
        <v>3.3296035200000004E-2</v>
      </c>
      <c r="AM299" s="147">
        <f t="shared" si="169"/>
        <v>2.8179361552718163E-3</v>
      </c>
      <c r="AN299" s="160">
        <f t="shared" si="192"/>
        <v>0</v>
      </c>
      <c r="AO299" s="161">
        <f t="shared" si="193"/>
        <v>0</v>
      </c>
      <c r="AP299" s="156">
        <f t="shared" si="170"/>
        <v>1.7057665760853151</v>
      </c>
      <c r="AQ299" s="152"/>
      <c r="AR299" s="162">
        <f t="shared" si="171"/>
        <v>1664.063092790972</v>
      </c>
      <c r="AS299" s="150">
        <f t="shared" si="194"/>
        <v>0</v>
      </c>
      <c r="AT299" s="163">
        <f t="shared" si="172"/>
        <v>0</v>
      </c>
      <c r="AU299" s="163">
        <f t="shared" si="173"/>
        <v>281.7936155271816</v>
      </c>
      <c r="AV299" s="163">
        <f t="shared" si="195"/>
        <v>4.5314230217360834</v>
      </c>
      <c r="AW299" s="163">
        <f t="shared" si="174"/>
        <v>3.9189615348894113</v>
      </c>
      <c r="AX299" s="163">
        <f t="shared" si="175"/>
        <v>0</v>
      </c>
      <c r="AY299" s="164">
        <f t="shared" si="196"/>
        <v>1390.7198618204159</v>
      </c>
      <c r="AZ299" s="164">
        <f>IF($E299="","",IF(OR(AND($D299=Input!$C$6,$C299=12),$AN299=1),0,-AS300+AT300+AU300-AV300-AW300-AX300+AZ300))</f>
        <v>1390.7204844076359</v>
      </c>
      <c r="BA299" s="154">
        <f t="shared" si="176"/>
        <v>6.2258722005026357E-4</v>
      </c>
      <c r="BC299" s="147">
        <f t="shared" si="197"/>
        <v>5.3866514874726351E-2</v>
      </c>
      <c r="BD299" s="164">
        <f>IF(AND($C298=12,$D298=Input!$C$6),0,IF($E299="","",AT299+(AU299+BD300)/(1+$AK299)*MIN((1-AM299-AN299),1)))</f>
        <v>1374.5948530613618</v>
      </c>
      <c r="BE299" s="164">
        <f t="shared" si="177"/>
        <v>74.044634099152134</v>
      </c>
      <c r="BF299" s="164">
        <f t="shared" si="198"/>
        <v>1390.7204844076359</v>
      </c>
      <c r="BG299" s="164">
        <f t="shared" si="178"/>
        <v>74.913265659930559</v>
      </c>
      <c r="BH299" s="152"/>
      <c r="BI299" s="162">
        <f t="shared" si="179"/>
        <v>285.27805108898832</v>
      </c>
      <c r="BJ299" s="150">
        <f t="shared" si="180"/>
        <v>0</v>
      </c>
      <c r="BK299" s="163">
        <f t="shared" si="202"/>
        <v>0</v>
      </c>
      <c r="BL299" s="163">
        <f t="shared" si="181"/>
        <v>241.57256454033771</v>
      </c>
      <c r="BM299" s="163">
        <f t="shared" si="203"/>
        <v>0.54894623992248981</v>
      </c>
      <c r="BN299" s="163">
        <f t="shared" si="182"/>
        <v>0.10716707658340846</v>
      </c>
      <c r="BO299" s="163">
        <f t="shared" si="183"/>
        <v>0</v>
      </c>
      <c r="BP299" s="164">
        <f t="shared" si="204"/>
        <v>44.361599865156506</v>
      </c>
      <c r="BQ299" s="164">
        <f>IF($E299="","",IF(AND($D299=Input!$C$6,$C299=12),0,-BJ300+BK300+BL300-BM300-BN300-BO300+BQ300))</f>
        <v>44.362271347876401</v>
      </c>
      <c r="BR299" s="161">
        <f t="shared" si="184"/>
        <v>0</v>
      </c>
      <c r="BT299" s="147">
        <f t="shared" si="185"/>
        <v>5.3866514874726351E-2</v>
      </c>
      <c r="BU299" s="164">
        <f>IF(AND($C298=12,$D298=Input!$C$6),0,IF($E299="","",BK299+(BL299+BU300)/(1+$AK299)*MIN((1-T299-U299),1)))</f>
        <v>27747.000589941785</v>
      </c>
      <c r="BV299" s="164">
        <f t="shared" si="186"/>
        <v>1494.6342200071399</v>
      </c>
      <c r="BW299" s="164">
        <f t="shared" si="187"/>
        <v>44.362271347876401</v>
      </c>
      <c r="BX299" s="164">
        <f t="shared" si="188"/>
        <v>2.3896409494370308</v>
      </c>
    </row>
    <row r="300" spans="1:76" s="150" customFormat="1" x14ac:dyDescent="0.25">
      <c r="A300" s="150">
        <f t="shared" si="199"/>
        <v>296</v>
      </c>
      <c r="B300" s="150">
        <f t="shared" si="200"/>
        <v>25</v>
      </c>
      <c r="C300" s="150">
        <f t="shared" si="201"/>
        <v>8</v>
      </c>
      <c r="D300" s="150">
        <f>IF(E300="","",Input!$C$4+B300-1)</f>
        <v>69</v>
      </c>
      <c r="E300" s="150">
        <f>IF(OR(AND(C299=12,D299=Input!$C$6),E299=""),"",1)</f>
        <v>1</v>
      </c>
      <c r="F300" s="150">
        <f>IF(E300="","",Input!$C$8+B300-1)</f>
        <v>2042</v>
      </c>
      <c r="G300" s="151">
        <f>IF(E300="","",MAX(0,Input!$C$9-B300))</f>
        <v>0</v>
      </c>
      <c r="H300" s="152">
        <f>IF(E300="","",Input!$C$3)</f>
        <v>100000</v>
      </c>
      <c r="I300" s="153">
        <f>IF(E300="","",HLOOKUP($B300,Input!$C$13:$BT$14,2))</f>
        <v>28.836500000000001</v>
      </c>
      <c r="J300" s="154"/>
      <c r="K300" s="155">
        <f>IF($E300="","",INDEX(Input!$C$16:$CP$16,1,$B300))</f>
        <v>2.579E-2</v>
      </c>
      <c r="L300" s="155">
        <f>IF($E300="","",Input!$C$37)</f>
        <v>1.4999999999999999E-2</v>
      </c>
      <c r="M300" s="155">
        <f t="shared" si="164"/>
        <v>4.079E-2</v>
      </c>
      <c r="N300" s="155">
        <f t="shared" si="165"/>
        <v>3.3372261959632166E-3</v>
      </c>
      <c r="O300" s="147">
        <f>IF($E300="","",MIN(VLOOKUP(IF($B300&lt;=Input!$C$7,$B300,26),'Mortality Tables'!$A$41:$CW$67,IF($B300&lt;=Input!$C$7+1,Input!$C$4+2,$D300-Input!$C$7+2),0)*IF(B300&gt;20,Input!$C$22,1)/1000,1))</f>
        <v>3.2263600000000003E-2</v>
      </c>
      <c r="P300" s="147">
        <f>IF($E300="","",MIN(VLOOKUP(IF($B300&lt;=Input!$C$7,$B300,26),'Mortality Tables'!$A$12:$CW$37,IF($B300&lt;=Input!$C$7+1,Input!$C$4+2,$D300-Input!$C$7+2),0)*IF(B300&gt;20,Input!$C$22,1)/1000,1))</f>
        <v>4.0329500000000004E-2</v>
      </c>
      <c r="Q300" s="155">
        <f>IF($E300="","",Input!$C$21)</f>
        <v>5.0000000000000001E-3</v>
      </c>
      <c r="R300" s="159">
        <f>IF($E300="","",(1-Q300)^($F300-Input!$C$20))</f>
        <v>0.88665351050130803</v>
      </c>
      <c r="S300" s="147">
        <f t="shared" si="167"/>
        <v>2.8606634201410006E-2</v>
      </c>
      <c r="T300" s="147">
        <f t="shared" si="168"/>
        <v>2.4157256454033771E-3</v>
      </c>
      <c r="U300" s="160">
        <f>IF($E300="","",IF($C300=12,INDEX(Input!$C$15:$CP$15,1,$B300),0))</f>
        <v>0</v>
      </c>
      <c r="V300" s="150">
        <f>IF(E300="","",IF(C300=1,IF($B300=1,Input!$C$33,Input!$C$34),0))</f>
        <v>0</v>
      </c>
      <c r="W300" s="156">
        <f>IF($E300="","",Input!$C$35)</f>
        <v>0.02</v>
      </c>
      <c r="X300" s="156">
        <f t="shared" si="166"/>
        <v>1.6084372494752261</v>
      </c>
      <c r="Y300" s="154"/>
      <c r="Z300" s="147">
        <f>IF($E300="","",VLOOKUP($D300,'Mortality Margins &amp; Grading'!$AB$5:$AF$125,3,0)*IF(Summary!$D$25="Included Margin",IF(AND($B300&gt;Input!$C$9,Summary!$D$31&lt;&gt;"Included Margin"),0,1),0))</f>
        <v>3.2000000000000001E-2</v>
      </c>
      <c r="AA300" s="147">
        <f>IF($E300="","",VLOOKUP($D300,'Mortality Margins &amp; Grading'!$AB$5:$AF$125,5,0)*IF(Summary!$D$25="Included Margin",IF(AND($B300&gt;Input!$C$9,Summary!$D$31&lt;&gt;"Included Margin"),0,1),0))</f>
        <v>0.16500000000000001</v>
      </c>
      <c r="AB300" s="147">
        <f>IF($E300="","",IF(AND($B300&gt;Input!$C$9,Summary!$D$31&lt;&gt;"Included Margin"),1,IF(Summary!$D$25="Included Margin",VLOOKUP($B300,'Mortality Margins &amp; Grading'!$AI$5:$AR$125,MATCH('Mortality Margins &amp; Grading'!$AQ$4,'Mortality Margins &amp; Grading'!$AI$4:$AR$4,0),0),1)))</f>
        <v>1</v>
      </c>
      <c r="AC300" s="154"/>
      <c r="AD300" s="158">
        <f>IF(E300="","",Input!$C$48*IF(Summary!$D$30="Included Margin",IF(AND($B300&gt;Input!$C$9,Summary!$D$31&lt;&gt;"Included Margin"),0,1),0))</f>
        <v>-4.4999999999999997E-3</v>
      </c>
      <c r="AE300" s="159">
        <f>IF(E300="","",IF(Summary!$D$26="Included Margin",IF(AND($B300&gt;Input!$C$9,Summary!$D$31&lt;&gt;"Included Margin"),1,1/$R300),1))</f>
        <v>1.1278362834593714</v>
      </c>
      <c r="AF300" s="160">
        <f>IF(E300="","",IF(AND($B300&gt;=Input!$C$9,$C300=12,Summary!$D$31="Included Margin",$U300&gt;0),1/U300-1,IF($B300&gt;=Input!$C$9,0,Input!$C$45*IF(Summary!$D$27="Included Margin",1,0))))</f>
        <v>0</v>
      </c>
      <c r="AG300" s="160">
        <f>IF(E300="","",Input!$C$46*IF(Summary!$D$28="Included Margin",IF(AND($B300&gt;Input!$C$9,Summary!$D$31&lt;&gt;"Included Margin"),0,1),0))</f>
        <v>0.02</v>
      </c>
      <c r="AH300" s="158">
        <f>IF(E300="","",Input!$C$47*IF(Summary!$D$29="Included Margin",IF(AND($B300&gt;Input!$C$9,Summary!$D$31&lt;&gt;"Included Margin"),0,1),0))</f>
        <v>2.5000000000000001E-3</v>
      </c>
      <c r="AI300" s="154"/>
      <c r="AJ300" s="158">
        <f t="shared" si="189"/>
        <v>3.6290000000000003E-2</v>
      </c>
      <c r="AK300" s="155">
        <f t="shared" si="190"/>
        <v>2.9750021821515205E-3</v>
      </c>
      <c r="AL300" s="147">
        <f t="shared" si="191"/>
        <v>3.3296035200000004E-2</v>
      </c>
      <c r="AM300" s="147">
        <f t="shared" si="169"/>
        <v>2.8179361552718163E-3</v>
      </c>
      <c r="AN300" s="160">
        <f t="shared" si="192"/>
        <v>0</v>
      </c>
      <c r="AO300" s="161">
        <f t="shared" si="193"/>
        <v>0</v>
      </c>
      <c r="AP300" s="156">
        <f t="shared" si="170"/>
        <v>1.7057665760853151</v>
      </c>
      <c r="AQ300" s="152"/>
      <c r="AR300" s="162">
        <f t="shared" si="171"/>
        <v>1390.7198618204159</v>
      </c>
      <c r="AS300" s="150">
        <f t="shared" si="194"/>
        <v>0</v>
      </c>
      <c r="AT300" s="163">
        <f t="shared" si="172"/>
        <v>0</v>
      </c>
      <c r="AU300" s="163">
        <f t="shared" si="173"/>
        <v>281.7936155271816</v>
      </c>
      <c r="AV300" s="163">
        <f t="shared" si="195"/>
        <v>3.7182263131223325</v>
      </c>
      <c r="AW300" s="163">
        <f t="shared" si="174"/>
        <v>3.1442230615772897</v>
      </c>
      <c r="AX300" s="163">
        <f t="shared" si="175"/>
        <v>0</v>
      </c>
      <c r="AY300" s="165">
        <f t="shared" si="196"/>
        <v>1115.788695667934</v>
      </c>
      <c r="AZ300" s="164">
        <f>IF($E300="","",IF(OR(AND($D300=Input!$C$6,$C300=12),$AN300=1),0,-AS301+AT301+AU301-AV301-AW301-AX301+AZ301))</f>
        <v>1115.7893182551541</v>
      </c>
      <c r="BA300" s="154">
        <f t="shared" si="176"/>
        <v>6.2258722005026357E-4</v>
      </c>
      <c r="BC300" s="147">
        <f t="shared" si="197"/>
        <v>5.3736388153314975E-2</v>
      </c>
      <c r="BD300" s="164">
        <f>IF(AND($C299=12,$D299=Input!$C$6),0,IF($E300="","",AT300+(AU300+BD301)/(1+$AK300)*MIN((1-AM300-AN300),1)))</f>
        <v>1100.7866832330549</v>
      </c>
      <c r="BE300" s="164">
        <f t="shared" si="177"/>
        <v>59.152300484211615</v>
      </c>
      <c r="BF300" s="164">
        <f t="shared" si="198"/>
        <v>1115.7893182551541</v>
      </c>
      <c r="BG300" s="164">
        <f t="shared" si="178"/>
        <v>59.958487903081654</v>
      </c>
      <c r="BH300" s="152"/>
      <c r="BI300" s="162">
        <f t="shared" si="179"/>
        <v>44.361599865156506</v>
      </c>
      <c r="BJ300" s="150">
        <f t="shared" si="180"/>
        <v>0</v>
      </c>
      <c r="BK300" s="163">
        <f t="shared" si="202"/>
        <v>0</v>
      </c>
      <c r="BL300" s="163">
        <f t="shared" si="181"/>
        <v>241.57256454033771</v>
      </c>
      <c r="BM300" s="163">
        <f t="shared" si="203"/>
        <v>-0.25504645214017635</v>
      </c>
      <c r="BN300" s="163">
        <f t="shared" si="182"/>
        <v>-0.47817723005544488</v>
      </c>
      <c r="BO300" s="163">
        <f t="shared" si="183"/>
        <v>0</v>
      </c>
      <c r="BP300" s="164">
        <f t="shared" si="204"/>
        <v>-197.94418835737682</v>
      </c>
      <c r="BQ300" s="164">
        <f>IF($E300="","",IF(AND($D300=Input!$C$6,$C300=12),0,-BJ301+BK301+BL301-BM301-BN301-BO301+BQ301))</f>
        <v>-197.94351687465692</v>
      </c>
      <c r="BR300" s="161">
        <f t="shared" si="184"/>
        <v>0</v>
      </c>
      <c r="BT300" s="147">
        <f t="shared" si="185"/>
        <v>5.3736388153314975E-2</v>
      </c>
      <c r="BU300" s="164">
        <f>IF(AND($C299=12,$D299=Input!$C$6),0,IF($E300="","",BK300+(BL300+BU301)/(1+$AK300)*MIN((1-T300-U300),1)))</f>
        <v>27655.36676447004</v>
      </c>
      <c r="BV300" s="164">
        <f t="shared" si="186"/>
        <v>1486.0995229778484</v>
      </c>
      <c r="BW300" s="164">
        <f t="shared" si="187"/>
        <v>-197.94351687465692</v>
      </c>
      <c r="BX300" s="164">
        <f t="shared" si="188"/>
        <v>-10.636769655208816</v>
      </c>
    </row>
    <row r="301" spans="1:76" s="150" customFormat="1" x14ac:dyDescent="0.25">
      <c r="A301" s="150">
        <f t="shared" si="199"/>
        <v>297</v>
      </c>
      <c r="B301" s="150">
        <f t="shared" si="200"/>
        <v>25</v>
      </c>
      <c r="C301" s="150">
        <f t="shared" si="201"/>
        <v>9</v>
      </c>
      <c r="D301" s="150">
        <f>IF(E301="","",Input!$C$4+B301-1)</f>
        <v>69</v>
      </c>
      <c r="E301" s="150">
        <f>IF(OR(AND(C300=12,D300=Input!$C$6),E300=""),"",1)</f>
        <v>1</v>
      </c>
      <c r="F301" s="150">
        <f>IF(E301="","",Input!$C$8+B301-1)</f>
        <v>2042</v>
      </c>
      <c r="G301" s="151">
        <f>IF(E301="","",MAX(0,Input!$C$9-B301))</f>
        <v>0</v>
      </c>
      <c r="H301" s="152">
        <f>IF(E301="","",Input!$C$3)</f>
        <v>100000</v>
      </c>
      <c r="I301" s="153">
        <f>IF(E301="","",HLOOKUP($B301,Input!$C$13:$BT$14,2))</f>
        <v>28.836500000000001</v>
      </c>
      <c r="J301" s="154"/>
      <c r="K301" s="155">
        <f>IF($E301="","",INDEX(Input!$C$16:$CP$16,1,$B301))</f>
        <v>2.579E-2</v>
      </c>
      <c r="L301" s="155">
        <f>IF($E301="","",Input!$C$37)</f>
        <v>1.4999999999999999E-2</v>
      </c>
      <c r="M301" s="155">
        <f t="shared" si="164"/>
        <v>4.079E-2</v>
      </c>
      <c r="N301" s="155">
        <f t="shared" si="165"/>
        <v>3.3372261959632166E-3</v>
      </c>
      <c r="O301" s="147">
        <f>IF($E301="","",MIN(VLOOKUP(IF($B301&lt;=Input!$C$7,$B301,26),'Mortality Tables'!$A$41:$CW$67,IF($B301&lt;=Input!$C$7+1,Input!$C$4+2,$D301-Input!$C$7+2),0)*IF(B301&gt;20,Input!$C$22,1)/1000,1))</f>
        <v>3.2263600000000003E-2</v>
      </c>
      <c r="P301" s="147">
        <f>IF($E301="","",MIN(VLOOKUP(IF($B301&lt;=Input!$C$7,$B301,26),'Mortality Tables'!$A$12:$CW$37,IF($B301&lt;=Input!$C$7+1,Input!$C$4+2,$D301-Input!$C$7+2),0)*IF(B301&gt;20,Input!$C$22,1)/1000,1))</f>
        <v>4.0329500000000004E-2</v>
      </c>
      <c r="Q301" s="155">
        <f>IF($E301="","",Input!$C$21)</f>
        <v>5.0000000000000001E-3</v>
      </c>
      <c r="R301" s="159">
        <f>IF($E301="","",(1-Q301)^($F301-Input!$C$20))</f>
        <v>0.88665351050130803</v>
      </c>
      <c r="S301" s="147">
        <f t="shared" si="167"/>
        <v>2.8606634201410006E-2</v>
      </c>
      <c r="T301" s="147">
        <f t="shared" si="168"/>
        <v>2.4157256454033771E-3</v>
      </c>
      <c r="U301" s="160">
        <f>IF($E301="","",IF($C301=12,INDEX(Input!$C$15:$CP$15,1,$B301),0))</f>
        <v>0</v>
      </c>
      <c r="V301" s="150">
        <f>IF(E301="","",IF(C301=1,IF($B301=1,Input!$C$33,Input!$C$34),0))</f>
        <v>0</v>
      </c>
      <c r="W301" s="156">
        <f>IF($E301="","",Input!$C$35)</f>
        <v>0.02</v>
      </c>
      <c r="X301" s="156">
        <f t="shared" si="166"/>
        <v>1.6084372494752261</v>
      </c>
      <c r="Y301" s="154"/>
      <c r="Z301" s="147">
        <f>IF($E301="","",VLOOKUP($D301,'Mortality Margins &amp; Grading'!$AB$5:$AF$125,3,0)*IF(Summary!$D$25="Included Margin",IF(AND($B301&gt;Input!$C$9,Summary!$D$31&lt;&gt;"Included Margin"),0,1),0))</f>
        <v>3.2000000000000001E-2</v>
      </c>
      <c r="AA301" s="147">
        <f>IF($E301="","",VLOOKUP($D301,'Mortality Margins &amp; Grading'!$AB$5:$AF$125,5,0)*IF(Summary!$D$25="Included Margin",IF(AND($B301&gt;Input!$C$9,Summary!$D$31&lt;&gt;"Included Margin"),0,1),0))</f>
        <v>0.16500000000000001</v>
      </c>
      <c r="AB301" s="147">
        <f>IF($E301="","",IF(AND($B301&gt;Input!$C$9,Summary!$D$31&lt;&gt;"Included Margin"),1,IF(Summary!$D$25="Included Margin",VLOOKUP($B301,'Mortality Margins &amp; Grading'!$AI$5:$AR$125,MATCH('Mortality Margins &amp; Grading'!$AQ$4,'Mortality Margins &amp; Grading'!$AI$4:$AR$4,0),0),1)))</f>
        <v>1</v>
      </c>
      <c r="AC301" s="154"/>
      <c r="AD301" s="158">
        <f>IF(E301="","",Input!$C$48*IF(Summary!$D$30="Included Margin",IF(AND($B301&gt;Input!$C$9,Summary!$D$31&lt;&gt;"Included Margin"),0,1),0))</f>
        <v>-4.4999999999999997E-3</v>
      </c>
      <c r="AE301" s="159">
        <f>IF(E301="","",IF(Summary!$D$26="Included Margin",IF(AND($B301&gt;Input!$C$9,Summary!$D$31&lt;&gt;"Included Margin"),1,1/$R301),1))</f>
        <v>1.1278362834593714</v>
      </c>
      <c r="AF301" s="160">
        <f>IF(E301="","",IF(AND($B301&gt;=Input!$C$9,$C301=12,Summary!$D$31="Included Margin",$U301&gt;0),1/U301-1,IF($B301&gt;=Input!$C$9,0,Input!$C$45*IF(Summary!$D$27="Included Margin",1,0))))</f>
        <v>0</v>
      </c>
      <c r="AG301" s="160">
        <f>IF(E301="","",Input!$C$46*IF(Summary!$D$28="Included Margin",IF(AND($B301&gt;Input!$C$9,Summary!$D$31&lt;&gt;"Included Margin"),0,1),0))</f>
        <v>0.02</v>
      </c>
      <c r="AH301" s="158">
        <f>IF(E301="","",Input!$C$47*IF(Summary!$D$29="Included Margin",IF(AND($B301&gt;Input!$C$9,Summary!$D$31&lt;&gt;"Included Margin"),0,1),0))</f>
        <v>2.5000000000000001E-3</v>
      </c>
      <c r="AI301" s="154"/>
      <c r="AJ301" s="158">
        <f t="shared" si="189"/>
        <v>3.6290000000000003E-2</v>
      </c>
      <c r="AK301" s="155">
        <f t="shared" si="190"/>
        <v>2.9750021821515205E-3</v>
      </c>
      <c r="AL301" s="147">
        <f t="shared" si="191"/>
        <v>3.3296035200000004E-2</v>
      </c>
      <c r="AM301" s="147">
        <f t="shared" si="169"/>
        <v>2.8179361552718163E-3</v>
      </c>
      <c r="AN301" s="160">
        <f t="shared" si="192"/>
        <v>0</v>
      </c>
      <c r="AO301" s="161">
        <f t="shared" si="193"/>
        <v>0</v>
      </c>
      <c r="AP301" s="156">
        <f t="shared" si="170"/>
        <v>1.7057665760853151</v>
      </c>
      <c r="AQ301" s="152"/>
      <c r="AR301" s="162">
        <f t="shared" si="171"/>
        <v>1115.788695667934</v>
      </c>
      <c r="AS301" s="150">
        <f t="shared" si="194"/>
        <v>0</v>
      </c>
      <c r="AT301" s="163">
        <f t="shared" si="172"/>
        <v>0</v>
      </c>
      <c r="AU301" s="163">
        <f t="shared" si="173"/>
        <v>281.7936155271816</v>
      </c>
      <c r="AV301" s="163">
        <f t="shared" si="195"/>
        <v>2.9003054938772364</v>
      </c>
      <c r="AW301" s="163">
        <f t="shared" si="174"/>
        <v>2.3649838933908311</v>
      </c>
      <c r="AX301" s="163">
        <f t="shared" si="175"/>
        <v>0</v>
      </c>
      <c r="AY301" s="164">
        <f t="shared" si="196"/>
        <v>839.26036952802042</v>
      </c>
      <c r="AZ301" s="164">
        <f>IF($E301="","",IF(OR(AND($D301=Input!$C$6,$C301=12),$AN301=1),0,-AS302+AT302+AU302-AV302-AW302-AX302+AZ302))</f>
        <v>839.26099211524058</v>
      </c>
      <c r="BA301" s="154">
        <f t="shared" si="176"/>
        <v>6.2258722016395041E-4</v>
      </c>
      <c r="BC301" s="147">
        <f t="shared" si="197"/>
        <v>5.3606575782361658E-2</v>
      </c>
      <c r="BD301" s="164">
        <f>IF(AND($C300=12,$D300=Input!$C$6),0,IF($E301="","",AT301+(AU301+BD302)/(1+$AK301)*MIN((1-AM301-AN301),1)))</f>
        <v>825.38787724951817</v>
      </c>
      <c r="BE301" s="164">
        <f t="shared" si="177"/>
        <v>44.246217791618918</v>
      </c>
      <c r="BF301" s="164">
        <f t="shared" si="198"/>
        <v>839.26099211524058</v>
      </c>
      <c r="BG301" s="164">
        <f t="shared" si="178"/>
        <v>44.989907975005671</v>
      </c>
      <c r="BH301" s="152"/>
      <c r="BI301" s="162">
        <f t="shared" si="179"/>
        <v>-197.94418835737685</v>
      </c>
      <c r="BJ301" s="150">
        <f t="shared" si="180"/>
        <v>0</v>
      </c>
      <c r="BK301" s="163">
        <f t="shared" si="202"/>
        <v>0</v>
      </c>
      <c r="BL301" s="163">
        <f t="shared" si="181"/>
        <v>241.57256454033771</v>
      </c>
      <c r="BM301" s="163">
        <f t="shared" si="203"/>
        <v>-1.06367567602993</v>
      </c>
      <c r="BN301" s="163">
        <f t="shared" si="182"/>
        <v>-1.0668971488538725</v>
      </c>
      <c r="BO301" s="163">
        <f t="shared" si="183"/>
        <v>0</v>
      </c>
      <c r="BP301" s="164">
        <f t="shared" si="204"/>
        <v>-441.64732572259834</v>
      </c>
      <c r="BQ301" s="164">
        <f>IF($E301="","",IF(AND($D301=Input!$C$6,$C301=12),0,-BJ302+BK302+BL302-BM302-BN302-BO302+BQ302))</f>
        <v>-441.64665423987844</v>
      </c>
      <c r="BR301" s="161">
        <f t="shared" si="184"/>
        <v>0</v>
      </c>
      <c r="BT301" s="147">
        <f t="shared" si="185"/>
        <v>5.3606575782361658E-2</v>
      </c>
      <c r="BU301" s="164">
        <f>IF(AND($C300=12,$D300=Input!$C$6),0,IF($E301="","",BK301+(BL301+BU302)/(1+$AK301)*MIN((1-T301-U301),1)))</f>
        <v>27563.237769792428</v>
      </c>
      <c r="BV301" s="164">
        <f t="shared" si="186"/>
        <v>1477.5707943136308</v>
      </c>
      <c r="BW301" s="164">
        <f t="shared" si="187"/>
        <v>-441.64665423987844</v>
      </c>
      <c r="BX301" s="164">
        <f t="shared" si="188"/>
        <v>-23.675164839536521</v>
      </c>
    </row>
    <row r="302" spans="1:76" s="150" customFormat="1" x14ac:dyDescent="0.25">
      <c r="A302" s="150">
        <f t="shared" si="199"/>
        <v>298</v>
      </c>
      <c r="B302" s="150">
        <f t="shared" si="200"/>
        <v>25</v>
      </c>
      <c r="C302" s="150">
        <f t="shared" si="201"/>
        <v>10</v>
      </c>
      <c r="D302" s="150">
        <f>IF(E302="","",Input!$C$4+B302-1)</f>
        <v>69</v>
      </c>
      <c r="E302" s="150">
        <f>IF(OR(AND(C301=12,D301=Input!$C$6),E301=""),"",1)</f>
        <v>1</v>
      </c>
      <c r="F302" s="150">
        <f>IF(E302="","",Input!$C$8+B302-1)</f>
        <v>2042</v>
      </c>
      <c r="G302" s="151">
        <f>IF(E302="","",MAX(0,Input!$C$9-B302))</f>
        <v>0</v>
      </c>
      <c r="H302" s="152">
        <f>IF(E302="","",Input!$C$3)</f>
        <v>100000</v>
      </c>
      <c r="I302" s="153">
        <f>IF(E302="","",HLOOKUP($B302,Input!$C$13:$BT$14,2))</f>
        <v>28.836500000000001</v>
      </c>
      <c r="J302" s="154"/>
      <c r="K302" s="155">
        <f>IF($E302="","",INDEX(Input!$C$16:$CP$16,1,$B302))</f>
        <v>2.579E-2</v>
      </c>
      <c r="L302" s="155">
        <f>IF($E302="","",Input!$C$37)</f>
        <v>1.4999999999999999E-2</v>
      </c>
      <c r="M302" s="155">
        <f t="shared" si="164"/>
        <v>4.079E-2</v>
      </c>
      <c r="N302" s="155">
        <f t="shared" si="165"/>
        <v>3.3372261959632166E-3</v>
      </c>
      <c r="O302" s="147">
        <f>IF($E302="","",MIN(VLOOKUP(IF($B302&lt;=Input!$C$7,$B302,26),'Mortality Tables'!$A$41:$CW$67,IF($B302&lt;=Input!$C$7+1,Input!$C$4+2,$D302-Input!$C$7+2),0)*IF(B302&gt;20,Input!$C$22,1)/1000,1))</f>
        <v>3.2263600000000003E-2</v>
      </c>
      <c r="P302" s="147">
        <f>IF($E302="","",MIN(VLOOKUP(IF($B302&lt;=Input!$C$7,$B302,26),'Mortality Tables'!$A$12:$CW$37,IF($B302&lt;=Input!$C$7+1,Input!$C$4+2,$D302-Input!$C$7+2),0)*IF(B302&gt;20,Input!$C$22,1)/1000,1))</f>
        <v>4.0329500000000004E-2</v>
      </c>
      <c r="Q302" s="155">
        <f>IF($E302="","",Input!$C$21)</f>
        <v>5.0000000000000001E-3</v>
      </c>
      <c r="R302" s="159">
        <f>IF($E302="","",(1-Q302)^($F302-Input!$C$20))</f>
        <v>0.88665351050130803</v>
      </c>
      <c r="S302" s="147">
        <f t="shared" si="167"/>
        <v>2.8606634201410006E-2</v>
      </c>
      <c r="T302" s="147">
        <f t="shared" si="168"/>
        <v>2.4157256454033771E-3</v>
      </c>
      <c r="U302" s="160">
        <f>IF($E302="","",IF($C302=12,INDEX(Input!$C$15:$CP$15,1,$B302),0))</f>
        <v>0</v>
      </c>
      <c r="V302" s="150">
        <f>IF(E302="","",IF(C302=1,IF($B302=1,Input!$C$33,Input!$C$34),0))</f>
        <v>0</v>
      </c>
      <c r="W302" s="156">
        <f>IF($E302="","",Input!$C$35)</f>
        <v>0.02</v>
      </c>
      <c r="X302" s="156">
        <f t="shared" si="166"/>
        <v>1.6084372494752261</v>
      </c>
      <c r="Y302" s="154"/>
      <c r="Z302" s="147">
        <f>IF($E302="","",VLOOKUP($D302,'Mortality Margins &amp; Grading'!$AB$5:$AF$125,3,0)*IF(Summary!$D$25="Included Margin",IF(AND($B302&gt;Input!$C$9,Summary!$D$31&lt;&gt;"Included Margin"),0,1),0))</f>
        <v>3.2000000000000001E-2</v>
      </c>
      <c r="AA302" s="147">
        <f>IF($E302="","",VLOOKUP($D302,'Mortality Margins &amp; Grading'!$AB$5:$AF$125,5,0)*IF(Summary!$D$25="Included Margin",IF(AND($B302&gt;Input!$C$9,Summary!$D$31&lt;&gt;"Included Margin"),0,1),0))</f>
        <v>0.16500000000000001</v>
      </c>
      <c r="AB302" s="147">
        <f>IF($E302="","",IF(AND($B302&gt;Input!$C$9,Summary!$D$31&lt;&gt;"Included Margin"),1,IF(Summary!$D$25="Included Margin",VLOOKUP($B302,'Mortality Margins &amp; Grading'!$AI$5:$AR$125,MATCH('Mortality Margins &amp; Grading'!$AQ$4,'Mortality Margins &amp; Grading'!$AI$4:$AR$4,0),0),1)))</f>
        <v>1</v>
      </c>
      <c r="AC302" s="154"/>
      <c r="AD302" s="158">
        <f>IF(E302="","",Input!$C$48*IF(Summary!$D$30="Included Margin",IF(AND($B302&gt;Input!$C$9,Summary!$D$31&lt;&gt;"Included Margin"),0,1),0))</f>
        <v>-4.4999999999999997E-3</v>
      </c>
      <c r="AE302" s="159">
        <f>IF(E302="","",IF(Summary!$D$26="Included Margin",IF(AND($B302&gt;Input!$C$9,Summary!$D$31&lt;&gt;"Included Margin"),1,1/$R302),1))</f>
        <v>1.1278362834593714</v>
      </c>
      <c r="AF302" s="160">
        <f>IF(E302="","",IF(AND($B302&gt;=Input!$C$9,$C302=12,Summary!$D$31="Included Margin",$U302&gt;0),1/U302-1,IF($B302&gt;=Input!$C$9,0,Input!$C$45*IF(Summary!$D$27="Included Margin",1,0))))</f>
        <v>0</v>
      </c>
      <c r="AG302" s="160">
        <f>IF(E302="","",Input!$C$46*IF(Summary!$D$28="Included Margin",IF(AND($B302&gt;Input!$C$9,Summary!$D$31&lt;&gt;"Included Margin"),0,1),0))</f>
        <v>0.02</v>
      </c>
      <c r="AH302" s="158">
        <f>IF(E302="","",Input!$C$47*IF(Summary!$D$29="Included Margin",IF(AND($B302&gt;Input!$C$9,Summary!$D$31&lt;&gt;"Included Margin"),0,1),0))</f>
        <v>2.5000000000000001E-3</v>
      </c>
      <c r="AI302" s="154"/>
      <c r="AJ302" s="158">
        <f t="shared" si="189"/>
        <v>3.6290000000000003E-2</v>
      </c>
      <c r="AK302" s="155">
        <f t="shared" si="190"/>
        <v>2.9750021821515205E-3</v>
      </c>
      <c r="AL302" s="147">
        <f t="shared" si="191"/>
        <v>3.3296035200000004E-2</v>
      </c>
      <c r="AM302" s="147">
        <f t="shared" si="169"/>
        <v>2.8179361552718163E-3</v>
      </c>
      <c r="AN302" s="160">
        <f t="shared" si="192"/>
        <v>0</v>
      </c>
      <c r="AO302" s="161">
        <f t="shared" si="193"/>
        <v>0</v>
      </c>
      <c r="AP302" s="156">
        <f t="shared" si="170"/>
        <v>1.7057665760853151</v>
      </c>
      <c r="AQ302" s="152"/>
      <c r="AR302" s="162">
        <f t="shared" si="171"/>
        <v>839.26036952802042</v>
      </c>
      <c r="AS302" s="150">
        <f t="shared" si="194"/>
        <v>0</v>
      </c>
      <c r="AT302" s="163">
        <f t="shared" si="172"/>
        <v>0</v>
      </c>
      <c r="AU302" s="163">
        <f t="shared" si="173"/>
        <v>281.7936155271816</v>
      </c>
      <c r="AV302" s="163">
        <f t="shared" si="195"/>
        <v>2.0776331201842861</v>
      </c>
      <c r="AW302" s="163">
        <f t="shared" si="174"/>
        <v>1.5812178844046043</v>
      </c>
      <c r="AX302" s="163">
        <f t="shared" si="175"/>
        <v>0</v>
      </c>
      <c r="AY302" s="165">
        <f t="shared" si="196"/>
        <v>561.1256050054277</v>
      </c>
      <c r="AZ302" s="164">
        <f>IF($E302="","",IF(OR(AND($D302=Input!$C$6,$C302=12),$AN302=1),0,-AS303+AT303+AU303-AV303-AW303-AX303+AZ303))</f>
        <v>561.12622759264787</v>
      </c>
      <c r="BA302" s="154">
        <f t="shared" si="176"/>
        <v>6.2258722016395041E-4</v>
      </c>
      <c r="BC302" s="147">
        <f t="shared" si="197"/>
        <v>5.347707700248195E-2</v>
      </c>
      <c r="BD302" s="164">
        <f>IF(AND($C301=12,$D301=Input!$C$6),0,IF($E302="","",AT302+(AU302+BD303)/(1+$AK302)*MIN((1-AM302-AN302),1)))</f>
        <v>548.38919461445857</v>
      </c>
      <c r="BE302" s="164">
        <f t="shared" si="177"/>
        <v>29.326251187726459</v>
      </c>
      <c r="BF302" s="164">
        <f t="shared" si="198"/>
        <v>561.12622759264787</v>
      </c>
      <c r="BG302" s="164">
        <f t="shared" si="178"/>
        <v>30.00739048108424</v>
      </c>
      <c r="BH302" s="152"/>
      <c r="BI302" s="162">
        <f t="shared" si="179"/>
        <v>-441.6473257225984</v>
      </c>
      <c r="BJ302" s="150">
        <f t="shared" si="180"/>
        <v>0</v>
      </c>
      <c r="BK302" s="163">
        <f t="shared" si="202"/>
        <v>0</v>
      </c>
      <c r="BL302" s="163">
        <f t="shared" si="181"/>
        <v>241.57256454033771</v>
      </c>
      <c r="BM302" s="163">
        <f t="shared" si="203"/>
        <v>-1.8769681700835696</v>
      </c>
      <c r="BN302" s="163">
        <f t="shared" si="182"/>
        <v>-1.6590121465724161</v>
      </c>
      <c r="BO302" s="163">
        <f t="shared" si="183"/>
        <v>0</v>
      </c>
      <c r="BP302" s="164">
        <f t="shared" si="204"/>
        <v>-686.75587057959217</v>
      </c>
      <c r="BQ302" s="164">
        <f>IF($E302="","",IF(AND($D302=Input!$C$6,$C302=12),0,-BJ303+BK303+BL303-BM303-BN303-BO303+BQ303))</f>
        <v>-686.75519909687216</v>
      </c>
      <c r="BR302" s="161">
        <f t="shared" si="184"/>
        <v>0</v>
      </c>
      <c r="BT302" s="147">
        <f t="shared" si="185"/>
        <v>5.347707700248195E-2</v>
      </c>
      <c r="BU302" s="164">
        <f>IF(AND($C301=12,$D301=Input!$C$6),0,IF($E302="","",BK302+(BL302+BU303)/(1+$AK302)*MIN((1-T302-U302),1)))</f>
        <v>27470.610930122566</v>
      </c>
      <c r="BV302" s="164">
        <f t="shared" si="186"/>
        <v>1469.0479760153867</v>
      </c>
      <c r="BW302" s="164">
        <f t="shared" si="187"/>
        <v>-686.75519909687216</v>
      </c>
      <c r="BX302" s="164">
        <f t="shared" si="188"/>
        <v>-36.725660663958259</v>
      </c>
    </row>
    <row r="303" spans="1:76" s="150" customFormat="1" x14ac:dyDescent="0.25">
      <c r="A303" s="150">
        <f t="shared" si="199"/>
        <v>299</v>
      </c>
      <c r="B303" s="150">
        <f t="shared" si="200"/>
        <v>25</v>
      </c>
      <c r="C303" s="150">
        <f t="shared" si="201"/>
        <v>11</v>
      </c>
      <c r="D303" s="150">
        <f>IF(E303="","",Input!$C$4+B303-1)</f>
        <v>69</v>
      </c>
      <c r="E303" s="150">
        <f>IF(OR(AND(C302=12,D302=Input!$C$6),E302=""),"",1)</f>
        <v>1</v>
      </c>
      <c r="F303" s="150">
        <f>IF(E303="","",Input!$C$8+B303-1)</f>
        <v>2042</v>
      </c>
      <c r="G303" s="151">
        <f>IF(E303="","",MAX(0,Input!$C$9-B303))</f>
        <v>0</v>
      </c>
      <c r="H303" s="152">
        <f>IF(E303="","",Input!$C$3)</f>
        <v>100000</v>
      </c>
      <c r="I303" s="153">
        <f>IF(E303="","",HLOOKUP($B303,Input!$C$13:$BT$14,2))</f>
        <v>28.836500000000001</v>
      </c>
      <c r="J303" s="154"/>
      <c r="K303" s="155">
        <f>IF($E303="","",INDEX(Input!$C$16:$CP$16,1,$B303))</f>
        <v>2.579E-2</v>
      </c>
      <c r="L303" s="155">
        <f>IF($E303="","",Input!$C$37)</f>
        <v>1.4999999999999999E-2</v>
      </c>
      <c r="M303" s="155">
        <f t="shared" si="164"/>
        <v>4.079E-2</v>
      </c>
      <c r="N303" s="155">
        <f t="shared" si="165"/>
        <v>3.3372261959632166E-3</v>
      </c>
      <c r="O303" s="147">
        <f>IF($E303="","",MIN(VLOOKUP(IF($B303&lt;=Input!$C$7,$B303,26),'Mortality Tables'!$A$41:$CW$67,IF($B303&lt;=Input!$C$7+1,Input!$C$4+2,$D303-Input!$C$7+2),0)*IF(B303&gt;20,Input!$C$22,1)/1000,1))</f>
        <v>3.2263600000000003E-2</v>
      </c>
      <c r="P303" s="147">
        <f>IF($E303="","",MIN(VLOOKUP(IF($B303&lt;=Input!$C$7,$B303,26),'Mortality Tables'!$A$12:$CW$37,IF($B303&lt;=Input!$C$7+1,Input!$C$4+2,$D303-Input!$C$7+2),0)*IF(B303&gt;20,Input!$C$22,1)/1000,1))</f>
        <v>4.0329500000000004E-2</v>
      </c>
      <c r="Q303" s="155">
        <f>IF($E303="","",Input!$C$21)</f>
        <v>5.0000000000000001E-3</v>
      </c>
      <c r="R303" s="159">
        <f>IF($E303="","",(1-Q303)^($F303-Input!$C$20))</f>
        <v>0.88665351050130803</v>
      </c>
      <c r="S303" s="147">
        <f t="shared" si="167"/>
        <v>2.8606634201410006E-2</v>
      </c>
      <c r="T303" s="147">
        <f t="shared" si="168"/>
        <v>2.4157256454033771E-3</v>
      </c>
      <c r="U303" s="160">
        <f>IF($E303="","",IF($C303=12,INDEX(Input!$C$15:$CP$15,1,$B303),0))</f>
        <v>0</v>
      </c>
      <c r="V303" s="150">
        <f>IF(E303="","",IF(C303=1,IF($B303=1,Input!$C$33,Input!$C$34),0))</f>
        <v>0</v>
      </c>
      <c r="W303" s="156">
        <f>IF($E303="","",Input!$C$35)</f>
        <v>0.02</v>
      </c>
      <c r="X303" s="156">
        <f t="shared" si="166"/>
        <v>1.6084372494752261</v>
      </c>
      <c r="Y303" s="154"/>
      <c r="Z303" s="147">
        <f>IF($E303="","",VLOOKUP($D303,'Mortality Margins &amp; Grading'!$AB$5:$AF$125,3,0)*IF(Summary!$D$25="Included Margin",IF(AND($B303&gt;Input!$C$9,Summary!$D$31&lt;&gt;"Included Margin"),0,1),0))</f>
        <v>3.2000000000000001E-2</v>
      </c>
      <c r="AA303" s="147">
        <f>IF($E303="","",VLOOKUP($D303,'Mortality Margins &amp; Grading'!$AB$5:$AF$125,5,0)*IF(Summary!$D$25="Included Margin",IF(AND($B303&gt;Input!$C$9,Summary!$D$31&lt;&gt;"Included Margin"),0,1),0))</f>
        <v>0.16500000000000001</v>
      </c>
      <c r="AB303" s="147">
        <f>IF($E303="","",IF(AND($B303&gt;Input!$C$9,Summary!$D$31&lt;&gt;"Included Margin"),1,IF(Summary!$D$25="Included Margin",VLOOKUP($B303,'Mortality Margins &amp; Grading'!$AI$5:$AR$125,MATCH('Mortality Margins &amp; Grading'!$AQ$4,'Mortality Margins &amp; Grading'!$AI$4:$AR$4,0),0),1)))</f>
        <v>1</v>
      </c>
      <c r="AC303" s="154"/>
      <c r="AD303" s="158">
        <f>IF(E303="","",Input!$C$48*IF(Summary!$D$30="Included Margin",IF(AND($B303&gt;Input!$C$9,Summary!$D$31&lt;&gt;"Included Margin"),0,1),0))</f>
        <v>-4.4999999999999997E-3</v>
      </c>
      <c r="AE303" s="159">
        <f>IF(E303="","",IF(Summary!$D$26="Included Margin",IF(AND($B303&gt;Input!$C$9,Summary!$D$31&lt;&gt;"Included Margin"),1,1/$R303),1))</f>
        <v>1.1278362834593714</v>
      </c>
      <c r="AF303" s="160">
        <f>IF(E303="","",IF(AND($B303&gt;=Input!$C$9,$C303=12,Summary!$D$31="Included Margin",$U303&gt;0),1/U303-1,IF($B303&gt;=Input!$C$9,0,Input!$C$45*IF(Summary!$D$27="Included Margin",1,0))))</f>
        <v>0</v>
      </c>
      <c r="AG303" s="160">
        <f>IF(E303="","",Input!$C$46*IF(Summary!$D$28="Included Margin",IF(AND($B303&gt;Input!$C$9,Summary!$D$31&lt;&gt;"Included Margin"),0,1),0))</f>
        <v>0.02</v>
      </c>
      <c r="AH303" s="158">
        <f>IF(E303="","",Input!$C$47*IF(Summary!$D$29="Included Margin",IF(AND($B303&gt;Input!$C$9,Summary!$D$31&lt;&gt;"Included Margin"),0,1),0))</f>
        <v>2.5000000000000001E-3</v>
      </c>
      <c r="AI303" s="154"/>
      <c r="AJ303" s="158">
        <f t="shared" si="189"/>
        <v>3.6290000000000003E-2</v>
      </c>
      <c r="AK303" s="155">
        <f t="shared" si="190"/>
        <v>2.9750021821515205E-3</v>
      </c>
      <c r="AL303" s="147">
        <f t="shared" si="191"/>
        <v>3.3296035200000004E-2</v>
      </c>
      <c r="AM303" s="147">
        <f t="shared" si="169"/>
        <v>2.8179361552718163E-3</v>
      </c>
      <c r="AN303" s="160">
        <f t="shared" si="192"/>
        <v>0</v>
      </c>
      <c r="AO303" s="161">
        <f t="shared" si="193"/>
        <v>0</v>
      </c>
      <c r="AP303" s="156">
        <f t="shared" si="170"/>
        <v>1.7057665760853151</v>
      </c>
      <c r="AQ303" s="152"/>
      <c r="AR303" s="162">
        <f t="shared" si="171"/>
        <v>561.1256050054277</v>
      </c>
      <c r="AS303" s="150">
        <f t="shared" si="194"/>
        <v>0</v>
      </c>
      <c r="AT303" s="163">
        <f t="shared" si="172"/>
        <v>0</v>
      </c>
      <c r="AU303" s="163">
        <f t="shared" si="173"/>
        <v>281.7936155271816</v>
      </c>
      <c r="AV303" s="163">
        <f t="shared" si="195"/>
        <v>1.2501815887973735</v>
      </c>
      <c r="AW303" s="163">
        <f t="shared" si="174"/>
        <v>0.79289873680342859</v>
      </c>
      <c r="AX303" s="163">
        <f t="shared" si="175"/>
        <v>0</v>
      </c>
      <c r="AY303" s="164">
        <f t="shared" si="196"/>
        <v>281.37506980384688</v>
      </c>
      <c r="AZ303" s="164">
        <f>IF($E303="","",IF(OR(AND($D303=Input!$C$6,$C303=12),$AN303=1),0,-AS304+AT304+AU304-AV304-AW304-AX304+AZ304))</f>
        <v>281.37569239106699</v>
      </c>
      <c r="BA303" s="154">
        <f t="shared" si="176"/>
        <v>6.2258722010710699E-4</v>
      </c>
      <c r="BC303" s="147">
        <f t="shared" si="197"/>
        <v>5.3347891056125842E-2</v>
      </c>
      <c r="BD303" s="164">
        <f>IF(AND($C302=12,$D302=Input!$C$6),0,IF($E303="","",AT303+(AU303+BD304)/(1+$AK303)*MIN((1-AM303-AN303),1)))</f>
        <v>269.78134115068826</v>
      </c>
      <c r="BE303" s="164">
        <f t="shared" si="177"/>
        <v>14.392265596682437</v>
      </c>
      <c r="BF303" s="164">
        <f t="shared" si="198"/>
        <v>281.37569239106699</v>
      </c>
      <c r="BG303" s="164">
        <f t="shared" si="178"/>
        <v>15.010799783520619</v>
      </c>
      <c r="BH303" s="152"/>
      <c r="BI303" s="162">
        <f t="shared" si="179"/>
        <v>-686.75587057959206</v>
      </c>
      <c r="BJ303" s="150">
        <f t="shared" si="180"/>
        <v>0</v>
      </c>
      <c r="BK303" s="163">
        <f t="shared" si="202"/>
        <v>0</v>
      </c>
      <c r="BL303" s="163">
        <f t="shared" si="181"/>
        <v>241.57256454033771</v>
      </c>
      <c r="BM303" s="163">
        <f t="shared" si="203"/>
        <v>-2.694950826834754</v>
      </c>
      <c r="BN303" s="163">
        <f t="shared" si="182"/>
        <v>-2.254541802234149</v>
      </c>
      <c r="BO303" s="163">
        <f t="shared" si="183"/>
        <v>0</v>
      </c>
      <c r="BP303" s="164">
        <f t="shared" si="204"/>
        <v>-933.27792774899865</v>
      </c>
      <c r="BQ303" s="164">
        <f>IF($E303="","",IF(AND($D303=Input!$C$6,$C303=12),0,-BJ304+BK304+BL304-BM304-BN304-BO304+BQ304))</f>
        <v>-933.27725626627875</v>
      </c>
      <c r="BR303" s="161">
        <f t="shared" si="184"/>
        <v>0</v>
      </c>
      <c r="BT303" s="147">
        <f t="shared" si="185"/>
        <v>5.3347891056125842E-2</v>
      </c>
      <c r="BU303" s="164">
        <f>IF(AND($C302=12,$D302=Input!$C$6),0,IF($E303="","",BK303+(BL303+BU304)/(1+$AK303)*MIN((1-T303-U303),1)))</f>
        <v>27377.483555214709</v>
      </c>
      <c r="BV303" s="164">
        <f t="shared" si="186"/>
        <v>1460.531010094471</v>
      </c>
      <c r="BW303" s="164">
        <f t="shared" si="187"/>
        <v>-933.27725626627875</v>
      </c>
      <c r="BX303" s="164">
        <f t="shared" si="188"/>
        <v>-49.788373392453479</v>
      </c>
    </row>
    <row r="304" spans="1:76" s="150" customFormat="1" x14ac:dyDescent="0.25">
      <c r="A304" s="150">
        <f t="shared" si="199"/>
        <v>300</v>
      </c>
      <c r="B304" s="150">
        <f t="shared" si="200"/>
        <v>25</v>
      </c>
      <c r="C304" s="150">
        <f t="shared" si="201"/>
        <v>12</v>
      </c>
      <c r="D304" s="150">
        <f>IF(E304="","",Input!$C$4+B304-1)</f>
        <v>69</v>
      </c>
      <c r="E304" s="150">
        <f>IF(OR(AND(C303=12,D303=Input!$C$6),E303=""),"",1)</f>
        <v>1</v>
      </c>
      <c r="F304" s="150">
        <f>IF(E304="","",Input!$C$8+B304-1)</f>
        <v>2042</v>
      </c>
      <c r="G304" s="151">
        <f>IF(E304="","",MAX(0,Input!$C$9-B304))</f>
        <v>0</v>
      </c>
      <c r="H304" s="152">
        <f>IF(E304="","",Input!$C$3)</f>
        <v>100000</v>
      </c>
      <c r="I304" s="153">
        <f>IF(E304="","",HLOOKUP($B304,Input!$C$13:$BT$14,2))</f>
        <v>28.836500000000001</v>
      </c>
      <c r="J304" s="154"/>
      <c r="K304" s="155">
        <f>IF($E304="","",INDEX(Input!$C$16:$CP$16,1,$B304))</f>
        <v>2.579E-2</v>
      </c>
      <c r="L304" s="155">
        <f>IF($E304="","",Input!$C$37)</f>
        <v>1.4999999999999999E-2</v>
      </c>
      <c r="M304" s="155">
        <f t="shared" si="164"/>
        <v>4.079E-2</v>
      </c>
      <c r="N304" s="155">
        <f t="shared" si="165"/>
        <v>3.3372261959632166E-3</v>
      </c>
      <c r="O304" s="147">
        <f>IF($E304="","",MIN(VLOOKUP(IF($B304&lt;=Input!$C$7,$B304,26),'Mortality Tables'!$A$41:$CW$67,IF($B304&lt;=Input!$C$7+1,Input!$C$4+2,$D304-Input!$C$7+2),0)*IF(B304&gt;20,Input!$C$22,1)/1000,1))</f>
        <v>3.2263600000000003E-2</v>
      </c>
      <c r="P304" s="147">
        <f>IF($E304="","",MIN(VLOOKUP(IF($B304&lt;=Input!$C$7,$B304,26),'Mortality Tables'!$A$12:$CW$37,IF($B304&lt;=Input!$C$7+1,Input!$C$4+2,$D304-Input!$C$7+2),0)*IF(B304&gt;20,Input!$C$22,1)/1000,1))</f>
        <v>4.0329500000000004E-2</v>
      </c>
      <c r="Q304" s="155">
        <f>IF($E304="","",Input!$C$21)</f>
        <v>5.0000000000000001E-3</v>
      </c>
      <c r="R304" s="159">
        <f>IF($E304="","",(1-Q304)^($F304-Input!$C$20))</f>
        <v>0.88665351050130803</v>
      </c>
      <c r="S304" s="147">
        <f t="shared" si="167"/>
        <v>2.8606634201410006E-2</v>
      </c>
      <c r="T304" s="147">
        <f t="shared" si="168"/>
        <v>2.4157256454033771E-3</v>
      </c>
      <c r="U304" s="160">
        <f>IF($E304="","",IF($C304=12,INDEX(Input!$C$15:$CP$15,1,$B304),0))</f>
        <v>0.1</v>
      </c>
      <c r="V304" s="150">
        <f>IF(E304="","",IF(C304=1,IF($B304=1,Input!$C$33,Input!$C$34),0))</f>
        <v>0</v>
      </c>
      <c r="W304" s="156">
        <f>IF($E304="","",Input!$C$35)</f>
        <v>0.02</v>
      </c>
      <c r="X304" s="156">
        <f t="shared" si="166"/>
        <v>1.6084372494752261</v>
      </c>
      <c r="Y304" s="154"/>
      <c r="Z304" s="147">
        <f>IF($E304="","",VLOOKUP($D304,'Mortality Margins &amp; Grading'!$AB$5:$AF$125,3,0)*IF(Summary!$D$25="Included Margin",IF(AND($B304&gt;Input!$C$9,Summary!$D$31&lt;&gt;"Included Margin"),0,1),0))</f>
        <v>3.2000000000000001E-2</v>
      </c>
      <c r="AA304" s="147">
        <f>IF($E304="","",VLOOKUP($D304,'Mortality Margins &amp; Grading'!$AB$5:$AF$125,5,0)*IF(Summary!$D$25="Included Margin",IF(AND($B304&gt;Input!$C$9,Summary!$D$31&lt;&gt;"Included Margin"),0,1),0))</f>
        <v>0.16500000000000001</v>
      </c>
      <c r="AB304" s="147">
        <f>IF($E304="","",IF(AND($B304&gt;Input!$C$9,Summary!$D$31&lt;&gt;"Included Margin"),1,IF(Summary!$D$25="Included Margin",VLOOKUP($B304,'Mortality Margins &amp; Grading'!$AI$5:$AR$125,MATCH('Mortality Margins &amp; Grading'!$AQ$4,'Mortality Margins &amp; Grading'!$AI$4:$AR$4,0),0),1)))</f>
        <v>1</v>
      </c>
      <c r="AC304" s="154"/>
      <c r="AD304" s="158">
        <f>IF(E304="","",Input!$C$48*IF(Summary!$D$30="Included Margin",IF(AND($B304&gt;Input!$C$9,Summary!$D$31&lt;&gt;"Included Margin"),0,1),0))</f>
        <v>-4.4999999999999997E-3</v>
      </c>
      <c r="AE304" s="159">
        <f>IF(E304="","",IF(Summary!$D$26="Included Margin",IF(AND($B304&gt;Input!$C$9,Summary!$D$31&lt;&gt;"Included Margin"),1,1/$R304),1))</f>
        <v>1.1278362834593714</v>
      </c>
      <c r="AF304" s="160">
        <f>IF(E304="","",IF(AND($B304&gt;=Input!$C$9,$C304=12,Summary!$D$31="Included Margin",$U304&gt;0),1/U304-1,IF($B304&gt;=Input!$C$9,0,Input!$C$45*IF(Summary!$D$27="Included Margin",1,0))))</f>
        <v>9</v>
      </c>
      <c r="AG304" s="160">
        <f>IF(E304="","",Input!$C$46*IF(Summary!$D$28="Included Margin",IF(AND($B304&gt;Input!$C$9,Summary!$D$31&lt;&gt;"Included Margin"),0,1),0))</f>
        <v>0.02</v>
      </c>
      <c r="AH304" s="158">
        <f>IF(E304="","",Input!$C$47*IF(Summary!$D$29="Included Margin",IF(AND($B304&gt;Input!$C$9,Summary!$D$31&lt;&gt;"Included Margin"),0,1),0))</f>
        <v>2.5000000000000001E-3</v>
      </c>
      <c r="AI304" s="154"/>
      <c r="AJ304" s="158">
        <f t="shared" si="189"/>
        <v>3.6290000000000003E-2</v>
      </c>
      <c r="AK304" s="155">
        <f t="shared" si="190"/>
        <v>2.9750021821515205E-3</v>
      </c>
      <c r="AL304" s="147">
        <f t="shared" si="191"/>
        <v>3.3296035200000004E-2</v>
      </c>
      <c r="AM304" s="147">
        <f t="shared" si="169"/>
        <v>2.8179361552718163E-3</v>
      </c>
      <c r="AN304" s="160">
        <f t="shared" si="192"/>
        <v>1</v>
      </c>
      <c r="AO304" s="161">
        <f t="shared" si="193"/>
        <v>0</v>
      </c>
      <c r="AP304" s="156">
        <f t="shared" si="170"/>
        <v>1.7057665760853151</v>
      </c>
      <c r="AQ304" s="152"/>
      <c r="AR304" s="162">
        <f t="shared" si="171"/>
        <v>281.37506980384688</v>
      </c>
      <c r="AS304" s="150">
        <f t="shared" si="194"/>
        <v>0</v>
      </c>
      <c r="AT304" s="163">
        <f t="shared" si="172"/>
        <v>0</v>
      </c>
      <c r="AU304" s="163">
        <f t="shared" si="173"/>
        <v>281.7936155271816</v>
      </c>
      <c r="AV304" s="163">
        <f t="shared" si="195"/>
        <v>0.41792313611461496</v>
      </c>
      <c r="AW304" s="163">
        <f t="shared" si="174"/>
        <v>0</v>
      </c>
      <c r="AX304" s="163">
        <f t="shared" si="175"/>
        <v>0</v>
      </c>
      <c r="AY304" s="165">
        <f t="shared" si="196"/>
        <v>-6.2258722010155587E-4</v>
      </c>
      <c r="AZ304" s="164">
        <f>IF($E304="","",IF(OR(AND($D304=Input!$C$6,$C304=12),$AN304=1),0,-AS305+AT305+AU305-AV305-AW305-AX305+AZ305))</f>
        <v>0</v>
      </c>
      <c r="BA304" s="154">
        <f t="shared" si="176"/>
        <v>6.2258722010155587E-4</v>
      </c>
      <c r="BC304" s="147">
        <f t="shared" si="197"/>
        <v>4.7884228081960793E-2</v>
      </c>
      <c r="BD304" s="164">
        <f>IF(AND($C303=12,$D303=Input!$C$6),0,IF($E304="","",AT304+(AU304+BD305)/(1+$AK304)*MIN((1-AM304-AN304),1)))</f>
        <v>-10.445031311723774</v>
      </c>
      <c r="BE304" s="164">
        <f t="shared" si="177"/>
        <v>-0.50015226165380333</v>
      </c>
      <c r="BF304" s="164">
        <f t="shared" si="198"/>
        <v>0</v>
      </c>
      <c r="BG304" s="164">
        <f t="shared" si="178"/>
        <v>0</v>
      </c>
      <c r="BH304" s="152"/>
      <c r="BI304" s="162">
        <f t="shared" si="179"/>
        <v>-933.27792774899854</v>
      </c>
      <c r="BJ304" s="150">
        <f t="shared" si="180"/>
        <v>0</v>
      </c>
      <c r="BK304" s="163">
        <f t="shared" si="202"/>
        <v>0</v>
      </c>
      <c r="BL304" s="163">
        <f t="shared" si="181"/>
        <v>241.57256454033771</v>
      </c>
      <c r="BM304" s="163">
        <f t="shared" si="203"/>
        <v>-3.517650693903239</v>
      </c>
      <c r="BN304" s="163">
        <f t="shared" si="182"/>
        <v>-3.1705620086356459</v>
      </c>
      <c r="BO304" s="163">
        <f t="shared" si="183"/>
        <v>-130.9297190556133</v>
      </c>
      <c r="BP304" s="164">
        <f t="shared" si="204"/>
        <v>-1312.4684240474885</v>
      </c>
      <c r="BQ304" s="164">
        <f>IF($E304="","",IF(AND($D304=Input!$C$6,$C304=12),0,-BJ305+BK305+BL305-BM305-BN305-BO305+BQ305))</f>
        <v>-1312.4677525647687</v>
      </c>
      <c r="BR304" s="161">
        <f t="shared" si="184"/>
        <v>0</v>
      </c>
      <c r="BT304" s="147">
        <f t="shared" si="185"/>
        <v>4.7884228081960793E-2</v>
      </c>
      <c r="BU304" s="164">
        <f>IF(AND($C303=12,$D303=Input!$C$6),0,IF($E304="","",BK304+(BL304+BU305)/(1+$AK304)*MIN((1-T304-U304),1)))</f>
        <v>27283.8529402856</v>
      </c>
      <c r="BV304" s="164">
        <f t="shared" si="186"/>
        <v>1306.4662371473123</v>
      </c>
      <c r="BW304" s="164">
        <f t="shared" si="187"/>
        <v>-1312.4677525647687</v>
      </c>
      <c r="BX304" s="164">
        <f t="shared" si="188"/>
        <v>-62.846505214029868</v>
      </c>
    </row>
    <row r="305" spans="1:76" s="150" customFormat="1" x14ac:dyDescent="0.25">
      <c r="A305" s="150">
        <f t="shared" si="199"/>
        <v>301</v>
      </c>
      <c r="B305" s="150">
        <f t="shared" si="200"/>
        <v>26</v>
      </c>
      <c r="C305" s="150">
        <f t="shared" si="201"/>
        <v>1</v>
      </c>
      <c r="D305" s="150">
        <f>IF(E305="","",Input!$C$4+B305-1)</f>
        <v>70</v>
      </c>
      <c r="E305" s="150">
        <f>IF(OR(AND(C304=12,D304=Input!$C$6),E304=""),"",1)</f>
        <v>1</v>
      </c>
      <c r="F305" s="150">
        <f>IF(E305="","",Input!$C$8+B305-1)</f>
        <v>2043</v>
      </c>
      <c r="G305" s="151">
        <f>IF(E305="","",MAX(0,Input!$C$9-B305))</f>
        <v>0</v>
      </c>
      <c r="H305" s="152">
        <f>IF(E305="","",Input!$C$3)</f>
        <v>100000</v>
      </c>
      <c r="I305" s="153">
        <f>IF(E305="","",HLOOKUP($B305,Input!$C$13:$BT$14,2))</f>
        <v>32.364500000000007</v>
      </c>
      <c r="J305" s="154"/>
      <c r="K305" s="155">
        <f>IF($E305="","",INDEX(Input!$C$16:$CP$16,1,$B305))</f>
        <v>2.6339999999999999E-2</v>
      </c>
      <c r="L305" s="155">
        <f>IF($E305="","",Input!$C$37)</f>
        <v>1.4999999999999999E-2</v>
      </c>
      <c r="M305" s="155">
        <f t="shared" si="164"/>
        <v>4.1340000000000002E-2</v>
      </c>
      <c r="N305" s="155">
        <f t="shared" si="165"/>
        <v>3.3813995212614856E-3</v>
      </c>
      <c r="O305" s="147">
        <f>IF($E305="","",MIN(VLOOKUP(IF($B305&lt;=Input!$C$7,$B305,26),'Mortality Tables'!$A$41:$CW$67,IF($B305&lt;=Input!$C$7+1,Input!$C$4+2,$D305-Input!$C$7+2),0)*IF(B305&gt;20,Input!$C$22,1)/1000,1))</f>
        <v>3.6245200000000005E-2</v>
      </c>
      <c r="P305" s="147">
        <f>IF($E305="","",MIN(VLOOKUP(IF($B305&lt;=Input!$C$7,$B305,26),'Mortality Tables'!$A$12:$CW$37,IF($B305&lt;=Input!$C$7+1,Input!$C$4+2,$D305-Input!$C$7+2),0)*IF(B305&gt;20,Input!$C$22,1)/1000,1))</f>
        <v>4.5306500000000006E-2</v>
      </c>
      <c r="Q305" s="155">
        <f>IF($E305="","",Input!$C$21)</f>
        <v>5.0000000000000001E-3</v>
      </c>
      <c r="R305" s="159">
        <f>IF($E305="","",(1-Q305)^($F305-Input!$C$20))</f>
        <v>0.88222024294880153</v>
      </c>
      <c r="S305" s="147">
        <f t="shared" si="167"/>
        <v>3.1976249149727909E-2</v>
      </c>
      <c r="T305" s="147">
        <f t="shared" si="168"/>
        <v>2.7045574106063786E-3</v>
      </c>
      <c r="U305" s="160">
        <f>IF($E305="","",IF($C305=12,INDEX(Input!$C$15:$CP$15,1,$B305),0))</f>
        <v>0</v>
      </c>
      <c r="V305" s="150">
        <f>IF(E305="","",IF(C305=1,IF($B305=1,Input!$C$33,Input!$C$34),0))</f>
        <v>50</v>
      </c>
      <c r="W305" s="156">
        <f>IF($E305="","",Input!$C$35)</f>
        <v>0.02</v>
      </c>
      <c r="X305" s="156">
        <f t="shared" si="166"/>
        <v>1.6406059944647307</v>
      </c>
      <c r="Y305" s="154"/>
      <c r="Z305" s="147">
        <f>IF($E305="","",VLOOKUP($D305,'Mortality Margins &amp; Grading'!$AB$5:$AF$125,3,0)*IF(Summary!$D$25="Included Margin",IF(AND($B305&gt;Input!$C$9,Summary!$D$31&lt;&gt;"Included Margin"),0,1),0))</f>
        <v>3.1E-2</v>
      </c>
      <c r="AA305" s="147">
        <f>IF($E305="","",VLOOKUP($D305,'Mortality Margins &amp; Grading'!$AB$5:$AF$125,5,0)*IF(Summary!$D$25="Included Margin",IF(AND($B305&gt;Input!$C$9,Summary!$D$31&lt;&gt;"Included Margin"),0,1),0))</f>
        <v>0.161</v>
      </c>
      <c r="AB305" s="147">
        <f>IF($E305="","",IF(AND($B305&gt;Input!$C$9,Summary!$D$31&lt;&gt;"Included Margin"),1,IF(Summary!$D$25="Included Margin",VLOOKUP($B305,'Mortality Margins &amp; Grading'!$AI$5:$AR$125,MATCH('Mortality Margins &amp; Grading'!$AQ$4,'Mortality Margins &amp; Grading'!$AI$4:$AR$4,0),0),1)))</f>
        <v>1</v>
      </c>
      <c r="AC305" s="154"/>
      <c r="AD305" s="158">
        <f>IF(E305="","",Input!$C$48*IF(Summary!$D$30="Included Margin",IF(AND($B305&gt;Input!$C$9,Summary!$D$31&lt;&gt;"Included Margin"),0,1),0))</f>
        <v>-4.4999999999999997E-3</v>
      </c>
      <c r="AE305" s="159">
        <f>IF(E305="","",IF(Summary!$D$26="Included Margin",IF(AND($B305&gt;Input!$C$9,Summary!$D$31&lt;&gt;"Included Margin"),1,1/$R305),1))</f>
        <v>1.1335038024717301</v>
      </c>
      <c r="AF305" s="160">
        <f>IF(E305="","",IF(AND($B305&gt;=Input!$C$9,$C305=12,Summary!$D$31="Included Margin",$U305&gt;0),1/U305-1,IF($B305&gt;=Input!$C$9,0,Input!$C$45*IF(Summary!$D$27="Included Margin",1,0))))</f>
        <v>0</v>
      </c>
      <c r="AG305" s="160">
        <f>IF(E305="","",Input!$C$46*IF(Summary!$D$28="Included Margin",IF(AND($B305&gt;Input!$C$9,Summary!$D$31&lt;&gt;"Included Margin"),0,1),0))</f>
        <v>0.02</v>
      </c>
      <c r="AH305" s="158">
        <f>IF(E305="","",Input!$C$47*IF(Summary!$D$29="Included Margin",IF(AND($B305&gt;Input!$C$9,Summary!$D$31&lt;&gt;"Included Margin"),0,1),0))</f>
        <v>2.5000000000000001E-3</v>
      </c>
      <c r="AI305" s="154"/>
      <c r="AJ305" s="158">
        <f t="shared" si="189"/>
        <v>3.6840000000000005E-2</v>
      </c>
      <c r="AK305" s="155">
        <f t="shared" si="190"/>
        <v>3.0193512630141139E-3</v>
      </c>
      <c r="AL305" s="147">
        <f t="shared" si="191"/>
        <v>3.736880120000001E-2</v>
      </c>
      <c r="AM305" s="147">
        <f t="shared" si="169"/>
        <v>3.168711641606925E-3</v>
      </c>
      <c r="AN305" s="160">
        <f t="shared" si="192"/>
        <v>0</v>
      </c>
      <c r="AO305" s="161">
        <f t="shared" si="193"/>
        <v>51</v>
      </c>
      <c r="AP305" s="156">
        <f t="shared" si="170"/>
        <v>1.7441463240472346</v>
      </c>
      <c r="AQ305" s="152"/>
      <c r="AR305" s="162">
        <f t="shared" si="171"/>
        <v>523.01423024942528</v>
      </c>
      <c r="AS305" s="150">
        <f t="shared" si="194"/>
        <v>3236.4500000000003</v>
      </c>
      <c r="AT305" s="163">
        <f t="shared" si="172"/>
        <v>88.95146252640896</v>
      </c>
      <c r="AU305" s="163">
        <f t="shared" si="173"/>
        <v>316.8711641606925</v>
      </c>
      <c r="AV305" s="163">
        <f t="shared" si="195"/>
        <v>10.604194686273251</v>
      </c>
      <c r="AW305" s="163">
        <f t="shared" si="174"/>
        <v>10.694213991464723</v>
      </c>
      <c r="AX305" s="163">
        <f t="shared" si="175"/>
        <v>0</v>
      </c>
      <c r="AY305" s="164">
        <f t="shared" si="196"/>
        <v>3374.9400122400625</v>
      </c>
      <c r="AZ305" s="164">
        <f>IF($E305="","",IF(OR(AND($D305=Input!$C$6,$C305=12),$AN305=1),0,-AS306+AT306+AU306-AV306-AW306-AX306+AZ306))</f>
        <v>3374.9407333390068</v>
      </c>
      <c r="BA305" s="154">
        <f t="shared" si="176"/>
        <v>7.2109894426830579E-4</v>
      </c>
      <c r="BC305" s="147">
        <f t="shared" si="197"/>
        <v>4.7754722438050561E-2</v>
      </c>
      <c r="BD305" s="164">
        <f>IF(AND($C304=12,$D304=Input!$C$6),0,IF($E305="","",AT305+(AU305+BD306)/(1+$AK305)*MIN((1-AM305-AN305),1)))</f>
        <v>3435.8581428598977</v>
      </c>
      <c r="BE305" s="164">
        <f t="shared" si="177"/>
        <v>164.07845194879027</v>
      </c>
      <c r="BF305" s="164">
        <f t="shared" si="198"/>
        <v>3374.9407333390068</v>
      </c>
      <c r="BG305" s="164">
        <f t="shared" si="178"/>
        <v>161.16935796547509</v>
      </c>
      <c r="BH305" s="152"/>
      <c r="BI305" s="162">
        <f t="shared" si="179"/>
        <v>-1312.4685243483686</v>
      </c>
      <c r="BJ305" s="150">
        <f t="shared" si="180"/>
        <v>3236.4500000000003</v>
      </c>
      <c r="BK305" s="163">
        <f t="shared" si="202"/>
        <v>82.030299723236539</v>
      </c>
      <c r="BL305" s="163">
        <f t="shared" si="181"/>
        <v>270.45574106063788</v>
      </c>
      <c r="BM305" s="163">
        <f t="shared" si="203"/>
        <v>5.7711133677988746</v>
      </c>
      <c r="BN305" s="163">
        <f t="shared" si="182"/>
        <v>4.2773784344078161</v>
      </c>
      <c r="BO305" s="163">
        <f t="shared" si="183"/>
        <v>0</v>
      </c>
      <c r="BP305" s="164">
        <f t="shared" si="204"/>
        <v>1581.5439266699639</v>
      </c>
      <c r="BQ305" s="164">
        <f>IF($E305="","",IF(AND($D305=Input!$C$6,$C305=12),0,-BJ306+BK306+BL306-BM306-BN306-BO306+BQ306))</f>
        <v>1581.5446984535636</v>
      </c>
      <c r="BR305" s="161">
        <f t="shared" si="184"/>
        <v>0</v>
      </c>
      <c r="BT305" s="147">
        <f t="shared" si="185"/>
        <v>4.7754722438050561E-2</v>
      </c>
      <c r="BU305" s="164">
        <f>IF(AND($C304=12,$D304=Input!$C$6),0,IF($E305="","",BK305+(BL305+BU306)/(1+$AK305)*MIN((1-T305-U305),1)))</f>
        <v>30245.840421830366</v>
      </c>
      <c r="BV305" s="164">
        <f t="shared" si="186"/>
        <v>1444.3817142500793</v>
      </c>
      <c r="BW305" s="164">
        <f t="shared" si="187"/>
        <v>1581.5446984535636</v>
      </c>
      <c r="BX305" s="164">
        <f t="shared" si="188"/>
        <v>75.526228098020297</v>
      </c>
    </row>
    <row r="306" spans="1:76" s="150" customFormat="1" x14ac:dyDescent="0.25">
      <c r="A306" s="150">
        <f t="shared" si="199"/>
        <v>302</v>
      </c>
      <c r="B306" s="150">
        <f t="shared" si="200"/>
        <v>26</v>
      </c>
      <c r="C306" s="150">
        <f t="shared" si="201"/>
        <v>2</v>
      </c>
      <c r="D306" s="150">
        <f>IF(E306="","",Input!$C$4+B306-1)</f>
        <v>70</v>
      </c>
      <c r="E306" s="150">
        <f>IF(OR(AND(C305=12,D305=Input!$C$6),E305=""),"",1)</f>
        <v>1</v>
      </c>
      <c r="F306" s="150">
        <f>IF(E306="","",Input!$C$8+B306-1)</f>
        <v>2043</v>
      </c>
      <c r="G306" s="151">
        <f>IF(E306="","",MAX(0,Input!$C$9-B306))</f>
        <v>0</v>
      </c>
      <c r="H306" s="152">
        <f>IF(E306="","",Input!$C$3)</f>
        <v>100000</v>
      </c>
      <c r="I306" s="153">
        <f>IF(E306="","",HLOOKUP($B306,Input!$C$13:$BT$14,2))</f>
        <v>32.364500000000007</v>
      </c>
      <c r="J306" s="154"/>
      <c r="K306" s="155">
        <f>IF($E306="","",INDEX(Input!$C$16:$CP$16,1,$B306))</f>
        <v>2.6339999999999999E-2</v>
      </c>
      <c r="L306" s="155">
        <f>IF($E306="","",Input!$C$37)</f>
        <v>1.4999999999999999E-2</v>
      </c>
      <c r="M306" s="155">
        <f t="shared" si="164"/>
        <v>4.1340000000000002E-2</v>
      </c>
      <c r="N306" s="155">
        <f t="shared" si="165"/>
        <v>3.3813995212614856E-3</v>
      </c>
      <c r="O306" s="147">
        <f>IF($E306="","",MIN(VLOOKUP(IF($B306&lt;=Input!$C$7,$B306,26),'Mortality Tables'!$A$41:$CW$67,IF($B306&lt;=Input!$C$7+1,Input!$C$4+2,$D306-Input!$C$7+2),0)*IF(B306&gt;20,Input!$C$22,1)/1000,1))</f>
        <v>3.6245200000000005E-2</v>
      </c>
      <c r="P306" s="147">
        <f>IF($E306="","",MIN(VLOOKUP(IF($B306&lt;=Input!$C$7,$B306,26),'Mortality Tables'!$A$12:$CW$37,IF($B306&lt;=Input!$C$7+1,Input!$C$4+2,$D306-Input!$C$7+2),0)*IF(B306&gt;20,Input!$C$22,1)/1000,1))</f>
        <v>4.5306500000000006E-2</v>
      </c>
      <c r="Q306" s="155">
        <f>IF($E306="","",Input!$C$21)</f>
        <v>5.0000000000000001E-3</v>
      </c>
      <c r="R306" s="159">
        <f>IF($E306="","",(1-Q306)^($F306-Input!$C$20))</f>
        <v>0.88222024294880153</v>
      </c>
      <c r="S306" s="147">
        <f t="shared" si="167"/>
        <v>3.1976249149727909E-2</v>
      </c>
      <c r="T306" s="147">
        <f t="shared" si="168"/>
        <v>2.7045574106063786E-3</v>
      </c>
      <c r="U306" s="160">
        <f>IF($E306="","",IF($C306=12,INDEX(Input!$C$15:$CP$15,1,$B306),0))</f>
        <v>0</v>
      </c>
      <c r="V306" s="150">
        <f>IF(E306="","",IF(C306=1,IF($B306=1,Input!$C$33,Input!$C$34),0))</f>
        <v>0</v>
      </c>
      <c r="W306" s="156">
        <f>IF($E306="","",Input!$C$35)</f>
        <v>0.02</v>
      </c>
      <c r="X306" s="156">
        <f t="shared" si="166"/>
        <v>1.6406059944647307</v>
      </c>
      <c r="Y306" s="154"/>
      <c r="Z306" s="147">
        <f>IF($E306="","",VLOOKUP($D306,'Mortality Margins &amp; Grading'!$AB$5:$AF$125,3,0)*IF(Summary!$D$25="Included Margin",IF(AND($B306&gt;Input!$C$9,Summary!$D$31&lt;&gt;"Included Margin"),0,1),0))</f>
        <v>3.1E-2</v>
      </c>
      <c r="AA306" s="147">
        <f>IF($E306="","",VLOOKUP($D306,'Mortality Margins &amp; Grading'!$AB$5:$AF$125,5,0)*IF(Summary!$D$25="Included Margin",IF(AND($B306&gt;Input!$C$9,Summary!$D$31&lt;&gt;"Included Margin"),0,1),0))</f>
        <v>0.161</v>
      </c>
      <c r="AB306" s="147">
        <f>IF($E306="","",IF(AND($B306&gt;Input!$C$9,Summary!$D$31&lt;&gt;"Included Margin"),1,IF(Summary!$D$25="Included Margin",VLOOKUP($B306,'Mortality Margins &amp; Grading'!$AI$5:$AR$125,MATCH('Mortality Margins &amp; Grading'!$AQ$4,'Mortality Margins &amp; Grading'!$AI$4:$AR$4,0),0),1)))</f>
        <v>1</v>
      </c>
      <c r="AC306" s="154"/>
      <c r="AD306" s="158">
        <f>IF(E306="","",Input!$C$48*IF(Summary!$D$30="Included Margin",IF(AND($B306&gt;Input!$C$9,Summary!$D$31&lt;&gt;"Included Margin"),0,1),0))</f>
        <v>-4.4999999999999997E-3</v>
      </c>
      <c r="AE306" s="159">
        <f>IF(E306="","",IF(Summary!$D$26="Included Margin",IF(AND($B306&gt;Input!$C$9,Summary!$D$31&lt;&gt;"Included Margin"),1,1/$R306),1))</f>
        <v>1.1335038024717301</v>
      </c>
      <c r="AF306" s="160">
        <f>IF(E306="","",IF(AND($B306&gt;=Input!$C$9,$C306=12,Summary!$D$31="Included Margin",$U306&gt;0),1/U306-1,IF($B306&gt;=Input!$C$9,0,Input!$C$45*IF(Summary!$D$27="Included Margin",1,0))))</f>
        <v>0</v>
      </c>
      <c r="AG306" s="160">
        <f>IF(E306="","",Input!$C$46*IF(Summary!$D$28="Included Margin",IF(AND($B306&gt;Input!$C$9,Summary!$D$31&lt;&gt;"Included Margin"),0,1),0))</f>
        <v>0.02</v>
      </c>
      <c r="AH306" s="158">
        <f>IF(E306="","",Input!$C$47*IF(Summary!$D$29="Included Margin",IF(AND($B306&gt;Input!$C$9,Summary!$D$31&lt;&gt;"Included Margin"),0,1),0))</f>
        <v>2.5000000000000001E-3</v>
      </c>
      <c r="AI306" s="154"/>
      <c r="AJ306" s="158">
        <f t="shared" si="189"/>
        <v>3.6840000000000005E-2</v>
      </c>
      <c r="AK306" s="155">
        <f t="shared" si="190"/>
        <v>3.0193512630141139E-3</v>
      </c>
      <c r="AL306" s="147">
        <f t="shared" si="191"/>
        <v>3.736880120000001E-2</v>
      </c>
      <c r="AM306" s="147">
        <f t="shared" si="169"/>
        <v>3.168711641606925E-3</v>
      </c>
      <c r="AN306" s="160">
        <f t="shared" si="192"/>
        <v>0</v>
      </c>
      <c r="AO306" s="161">
        <f t="shared" si="193"/>
        <v>0</v>
      </c>
      <c r="AP306" s="156">
        <f t="shared" si="170"/>
        <v>1.7441463240472346</v>
      </c>
      <c r="AQ306" s="152"/>
      <c r="AR306" s="162">
        <f t="shared" si="171"/>
        <v>3374.9400122400621</v>
      </c>
      <c r="AS306" s="150">
        <f t="shared" si="194"/>
        <v>0</v>
      </c>
      <c r="AT306" s="163">
        <f t="shared" si="172"/>
        <v>0</v>
      </c>
      <c r="AU306" s="163">
        <f t="shared" si="173"/>
        <v>316.8711641606925</v>
      </c>
      <c r="AV306" s="163">
        <f t="shared" si="195"/>
        <v>9.7117567136932301</v>
      </c>
      <c r="AW306" s="163">
        <f t="shared" si="174"/>
        <v>9.751815091264822</v>
      </c>
      <c r="AX306" s="163">
        <f t="shared" si="175"/>
        <v>0</v>
      </c>
      <c r="AY306" s="165">
        <f t="shared" si="196"/>
        <v>3077.5324198843277</v>
      </c>
      <c r="AZ306" s="164">
        <f>IF($E306="","",IF(OR(AND($D306=Input!$C$6,$C306=12),$AN306=1),0,-AS307+AT307+AU307-AV307-AW307-AX307+AZ307))</f>
        <v>3077.5331409832725</v>
      </c>
      <c r="BA306" s="154">
        <f t="shared" si="176"/>
        <v>7.2109894472305314E-4</v>
      </c>
      <c r="BC306" s="147">
        <f t="shared" si="197"/>
        <v>4.7625567049589278E-2</v>
      </c>
      <c r="BD306" s="164">
        <f>IF(AND($C305=12,$D305=Input!$C$6),0,IF($E306="","",AT306+(AU306+BD307)/(1+$AK306)*MIN((1-AM306-AN306),1)))</f>
        <v>3050.8122206318899</v>
      </c>
      <c r="BE306" s="164">
        <f t="shared" si="177"/>
        <v>145.29666196941042</v>
      </c>
      <c r="BF306" s="164">
        <f t="shared" si="198"/>
        <v>3077.5331409832725</v>
      </c>
      <c r="BG306" s="164">
        <f t="shared" si="178"/>
        <v>146.56926095323195</v>
      </c>
      <c r="BH306" s="152"/>
      <c r="BI306" s="162">
        <f t="shared" si="179"/>
        <v>1581.5439266699641</v>
      </c>
      <c r="BJ306" s="150">
        <f t="shared" si="180"/>
        <v>0</v>
      </c>
      <c r="BK306" s="163">
        <f t="shared" si="202"/>
        <v>0</v>
      </c>
      <c r="BL306" s="163">
        <f t="shared" si="181"/>
        <v>270.45574106063788</v>
      </c>
      <c r="BM306" s="163">
        <f t="shared" si="203"/>
        <v>4.8905724198233953</v>
      </c>
      <c r="BN306" s="163">
        <f t="shared" si="182"/>
        <v>3.5687941983574651</v>
      </c>
      <c r="BO306" s="163">
        <f t="shared" si="183"/>
        <v>0</v>
      </c>
      <c r="BP306" s="164">
        <f t="shared" si="204"/>
        <v>1319.5475522275071</v>
      </c>
      <c r="BQ306" s="164">
        <f>IF($E306="","",IF(AND($D306=Input!$C$6,$C306=12),0,-BJ307+BK307+BL307-BM307-BN307-BO307+BQ307))</f>
        <v>1319.5483240111066</v>
      </c>
      <c r="BR306" s="161">
        <f t="shared" si="184"/>
        <v>0</v>
      </c>
      <c r="BT306" s="147">
        <f t="shared" si="185"/>
        <v>4.7625567049589278E-2</v>
      </c>
      <c r="BU306" s="164">
        <f>IF(AND($C305=12,$D305=Input!$C$6),0,IF($E306="","",BK306+(BL306+BU307)/(1+$AK306)*MIN((1-T306-U306),1)))</f>
        <v>30066.477496839627</v>
      </c>
      <c r="BV306" s="164">
        <f t="shared" si="186"/>
        <v>1431.9330399707028</v>
      </c>
      <c r="BW306" s="164">
        <f t="shared" si="187"/>
        <v>1319.5483240111066</v>
      </c>
      <c r="BX306" s="164">
        <f t="shared" si="188"/>
        <v>62.844237180364118</v>
      </c>
    </row>
    <row r="307" spans="1:76" s="150" customFormat="1" x14ac:dyDescent="0.25">
      <c r="A307" s="150">
        <f t="shared" si="199"/>
        <v>303</v>
      </c>
      <c r="B307" s="150">
        <f t="shared" si="200"/>
        <v>26</v>
      </c>
      <c r="C307" s="150">
        <f t="shared" si="201"/>
        <v>3</v>
      </c>
      <c r="D307" s="150">
        <f>IF(E307="","",Input!$C$4+B307-1)</f>
        <v>70</v>
      </c>
      <c r="E307" s="150">
        <f>IF(OR(AND(C306=12,D306=Input!$C$6),E306=""),"",1)</f>
        <v>1</v>
      </c>
      <c r="F307" s="150">
        <f>IF(E307="","",Input!$C$8+B307-1)</f>
        <v>2043</v>
      </c>
      <c r="G307" s="151">
        <f>IF(E307="","",MAX(0,Input!$C$9-B307))</f>
        <v>0</v>
      </c>
      <c r="H307" s="152">
        <f>IF(E307="","",Input!$C$3)</f>
        <v>100000</v>
      </c>
      <c r="I307" s="153">
        <f>IF(E307="","",HLOOKUP($B307,Input!$C$13:$BT$14,2))</f>
        <v>32.364500000000007</v>
      </c>
      <c r="J307" s="154"/>
      <c r="K307" s="155">
        <f>IF($E307="","",INDEX(Input!$C$16:$CP$16,1,$B307))</f>
        <v>2.6339999999999999E-2</v>
      </c>
      <c r="L307" s="155">
        <f>IF($E307="","",Input!$C$37)</f>
        <v>1.4999999999999999E-2</v>
      </c>
      <c r="M307" s="155">
        <f t="shared" si="164"/>
        <v>4.1340000000000002E-2</v>
      </c>
      <c r="N307" s="155">
        <f t="shared" si="165"/>
        <v>3.3813995212614856E-3</v>
      </c>
      <c r="O307" s="147">
        <f>IF($E307="","",MIN(VLOOKUP(IF($B307&lt;=Input!$C$7,$B307,26),'Mortality Tables'!$A$41:$CW$67,IF($B307&lt;=Input!$C$7+1,Input!$C$4+2,$D307-Input!$C$7+2),0)*IF(B307&gt;20,Input!$C$22,1)/1000,1))</f>
        <v>3.6245200000000005E-2</v>
      </c>
      <c r="P307" s="147">
        <f>IF($E307="","",MIN(VLOOKUP(IF($B307&lt;=Input!$C$7,$B307,26),'Mortality Tables'!$A$12:$CW$37,IF($B307&lt;=Input!$C$7+1,Input!$C$4+2,$D307-Input!$C$7+2),0)*IF(B307&gt;20,Input!$C$22,1)/1000,1))</f>
        <v>4.5306500000000006E-2</v>
      </c>
      <c r="Q307" s="155">
        <f>IF($E307="","",Input!$C$21)</f>
        <v>5.0000000000000001E-3</v>
      </c>
      <c r="R307" s="159">
        <f>IF($E307="","",(1-Q307)^($F307-Input!$C$20))</f>
        <v>0.88222024294880153</v>
      </c>
      <c r="S307" s="147">
        <f t="shared" si="167"/>
        <v>3.1976249149727909E-2</v>
      </c>
      <c r="T307" s="147">
        <f t="shared" si="168"/>
        <v>2.7045574106063786E-3</v>
      </c>
      <c r="U307" s="160">
        <f>IF($E307="","",IF($C307=12,INDEX(Input!$C$15:$CP$15,1,$B307),0))</f>
        <v>0</v>
      </c>
      <c r="V307" s="150">
        <f>IF(E307="","",IF(C307=1,IF($B307=1,Input!$C$33,Input!$C$34),0))</f>
        <v>0</v>
      </c>
      <c r="W307" s="156">
        <f>IF($E307="","",Input!$C$35)</f>
        <v>0.02</v>
      </c>
      <c r="X307" s="156">
        <f t="shared" si="166"/>
        <v>1.6406059944647307</v>
      </c>
      <c r="Y307" s="154"/>
      <c r="Z307" s="147">
        <f>IF($E307="","",VLOOKUP($D307,'Mortality Margins &amp; Grading'!$AB$5:$AF$125,3,0)*IF(Summary!$D$25="Included Margin",IF(AND($B307&gt;Input!$C$9,Summary!$D$31&lt;&gt;"Included Margin"),0,1),0))</f>
        <v>3.1E-2</v>
      </c>
      <c r="AA307" s="147">
        <f>IF($E307="","",VLOOKUP($D307,'Mortality Margins &amp; Grading'!$AB$5:$AF$125,5,0)*IF(Summary!$D$25="Included Margin",IF(AND($B307&gt;Input!$C$9,Summary!$D$31&lt;&gt;"Included Margin"),0,1),0))</f>
        <v>0.161</v>
      </c>
      <c r="AB307" s="147">
        <f>IF($E307="","",IF(AND($B307&gt;Input!$C$9,Summary!$D$31&lt;&gt;"Included Margin"),1,IF(Summary!$D$25="Included Margin",VLOOKUP($B307,'Mortality Margins &amp; Grading'!$AI$5:$AR$125,MATCH('Mortality Margins &amp; Grading'!$AQ$4,'Mortality Margins &amp; Grading'!$AI$4:$AR$4,0),0),1)))</f>
        <v>1</v>
      </c>
      <c r="AC307" s="154"/>
      <c r="AD307" s="158">
        <f>IF(E307="","",Input!$C$48*IF(Summary!$D$30="Included Margin",IF(AND($B307&gt;Input!$C$9,Summary!$D$31&lt;&gt;"Included Margin"),0,1),0))</f>
        <v>-4.4999999999999997E-3</v>
      </c>
      <c r="AE307" s="159">
        <f>IF(E307="","",IF(Summary!$D$26="Included Margin",IF(AND($B307&gt;Input!$C$9,Summary!$D$31&lt;&gt;"Included Margin"),1,1/$R307),1))</f>
        <v>1.1335038024717301</v>
      </c>
      <c r="AF307" s="160">
        <f>IF(E307="","",IF(AND($B307&gt;=Input!$C$9,$C307=12,Summary!$D$31="Included Margin",$U307&gt;0),1/U307-1,IF($B307&gt;=Input!$C$9,0,Input!$C$45*IF(Summary!$D$27="Included Margin",1,0))))</f>
        <v>0</v>
      </c>
      <c r="AG307" s="160">
        <f>IF(E307="","",Input!$C$46*IF(Summary!$D$28="Included Margin",IF(AND($B307&gt;Input!$C$9,Summary!$D$31&lt;&gt;"Included Margin"),0,1),0))</f>
        <v>0.02</v>
      </c>
      <c r="AH307" s="158">
        <f>IF(E307="","",Input!$C$47*IF(Summary!$D$29="Included Margin",IF(AND($B307&gt;Input!$C$9,Summary!$D$31&lt;&gt;"Included Margin"),0,1),0))</f>
        <v>2.5000000000000001E-3</v>
      </c>
      <c r="AI307" s="154"/>
      <c r="AJ307" s="158">
        <f t="shared" si="189"/>
        <v>3.6840000000000005E-2</v>
      </c>
      <c r="AK307" s="155">
        <f t="shared" si="190"/>
        <v>3.0193512630141139E-3</v>
      </c>
      <c r="AL307" s="147">
        <f t="shared" si="191"/>
        <v>3.736880120000001E-2</v>
      </c>
      <c r="AM307" s="147">
        <f t="shared" si="169"/>
        <v>3.168711641606925E-3</v>
      </c>
      <c r="AN307" s="160">
        <f t="shared" si="192"/>
        <v>0</v>
      </c>
      <c r="AO307" s="161">
        <f t="shared" si="193"/>
        <v>0</v>
      </c>
      <c r="AP307" s="156">
        <f t="shared" si="170"/>
        <v>1.7441463240472346</v>
      </c>
      <c r="AQ307" s="152"/>
      <c r="AR307" s="162">
        <f t="shared" si="171"/>
        <v>3077.5324198843273</v>
      </c>
      <c r="AS307" s="150">
        <f t="shared" si="194"/>
        <v>0</v>
      </c>
      <c r="AT307" s="163">
        <f t="shared" si="172"/>
        <v>0</v>
      </c>
      <c r="AU307" s="163">
        <f t="shared" si="173"/>
        <v>316.8711641606925</v>
      </c>
      <c r="AV307" s="163">
        <f t="shared" si="195"/>
        <v>8.8137787240839565</v>
      </c>
      <c r="AW307" s="163">
        <f t="shared" si="174"/>
        <v>8.8035660299154959</v>
      </c>
      <c r="AX307" s="163">
        <f t="shared" si="175"/>
        <v>0</v>
      </c>
      <c r="AY307" s="164">
        <f t="shared" si="196"/>
        <v>2778.2786004776344</v>
      </c>
      <c r="AZ307" s="164">
        <f>IF($E307="","",IF(OR(AND($D307=Input!$C$6,$C307=12),$AN307=1),0,-AS308+AT308+AU308-AV308-AW308-AX308+AZ308))</f>
        <v>2778.2793215765792</v>
      </c>
      <c r="BA307" s="154">
        <f t="shared" si="176"/>
        <v>7.2109894472305314E-4</v>
      </c>
      <c r="BC307" s="147">
        <f t="shared" si="197"/>
        <v>4.749676096929098E-2</v>
      </c>
      <c r="BD307" s="164">
        <f>IF(AND($C306=12,$D306=Input!$C$6),0,IF($E307="","",AT307+(AU307+BD308)/(1+$AK307)*MIN((1-AM307-AN307),1)))</f>
        <v>2752.8796854567972</v>
      </c>
      <c r="BE307" s="164">
        <f t="shared" si="177"/>
        <v>130.75286839735844</v>
      </c>
      <c r="BF307" s="164">
        <f t="shared" si="198"/>
        <v>2778.2793215765792</v>
      </c>
      <c r="BG307" s="164">
        <f t="shared" si="178"/>
        <v>131.95926884284668</v>
      </c>
      <c r="BH307" s="152"/>
      <c r="BI307" s="162">
        <f t="shared" si="179"/>
        <v>1319.5475522275071</v>
      </c>
      <c r="BJ307" s="150">
        <f t="shared" si="180"/>
        <v>0</v>
      </c>
      <c r="BK307" s="163">
        <f t="shared" si="202"/>
        <v>0</v>
      </c>
      <c r="BL307" s="163">
        <f t="shared" si="181"/>
        <v>270.45574106063788</v>
      </c>
      <c r="BM307" s="163">
        <f t="shared" si="203"/>
        <v>4.0046580047114269</v>
      </c>
      <c r="BN307" s="163">
        <f t="shared" si="182"/>
        <v>2.8558858543657344</v>
      </c>
      <c r="BO307" s="163">
        <f t="shared" si="183"/>
        <v>0</v>
      </c>
      <c r="BP307" s="164">
        <f t="shared" si="204"/>
        <v>1055.9523550259464</v>
      </c>
      <c r="BQ307" s="164">
        <f>IF($E307="","",IF(AND($D307=Input!$C$6,$C307=12),0,-BJ308+BK308+BL308-BM308-BN308-BO308+BQ308))</f>
        <v>1055.9531268095459</v>
      </c>
      <c r="BR307" s="161">
        <f t="shared" si="184"/>
        <v>0</v>
      </c>
      <c r="BT307" s="147">
        <f t="shared" si="185"/>
        <v>4.749676096929098E-2</v>
      </c>
      <c r="BU307" s="164">
        <f>IF(AND($C306=12,$D306=Input!$C$6),0,IF($E307="","",BK307+(BL307+BU308)/(1+$AK307)*MIN((1-T307-U307),1)))</f>
        <v>29968.586237656633</v>
      </c>
      <c r="BV307" s="164">
        <f t="shared" si="186"/>
        <v>1423.4107771175604</v>
      </c>
      <c r="BW307" s="164">
        <f t="shared" si="187"/>
        <v>1055.9531268095459</v>
      </c>
      <c r="BX307" s="164">
        <f t="shared" si="188"/>
        <v>50.15435325884841</v>
      </c>
    </row>
    <row r="308" spans="1:76" s="150" customFormat="1" x14ac:dyDescent="0.25">
      <c r="A308" s="150">
        <f t="shared" si="199"/>
        <v>304</v>
      </c>
      <c r="B308" s="150">
        <f t="shared" si="200"/>
        <v>26</v>
      </c>
      <c r="C308" s="150">
        <f t="shared" si="201"/>
        <v>4</v>
      </c>
      <c r="D308" s="150">
        <f>IF(E308="","",Input!$C$4+B308-1)</f>
        <v>70</v>
      </c>
      <c r="E308" s="150">
        <f>IF(OR(AND(C307=12,D307=Input!$C$6),E307=""),"",1)</f>
        <v>1</v>
      </c>
      <c r="F308" s="150">
        <f>IF(E308="","",Input!$C$8+B308-1)</f>
        <v>2043</v>
      </c>
      <c r="G308" s="151">
        <f>IF(E308="","",MAX(0,Input!$C$9-B308))</f>
        <v>0</v>
      </c>
      <c r="H308" s="152">
        <f>IF(E308="","",Input!$C$3)</f>
        <v>100000</v>
      </c>
      <c r="I308" s="153">
        <f>IF(E308="","",HLOOKUP($B308,Input!$C$13:$BT$14,2))</f>
        <v>32.364500000000007</v>
      </c>
      <c r="J308" s="154"/>
      <c r="K308" s="155">
        <f>IF($E308="","",INDEX(Input!$C$16:$CP$16,1,$B308))</f>
        <v>2.6339999999999999E-2</v>
      </c>
      <c r="L308" s="155">
        <f>IF($E308="","",Input!$C$37)</f>
        <v>1.4999999999999999E-2</v>
      </c>
      <c r="M308" s="155">
        <f t="shared" si="164"/>
        <v>4.1340000000000002E-2</v>
      </c>
      <c r="N308" s="155">
        <f t="shared" si="165"/>
        <v>3.3813995212614856E-3</v>
      </c>
      <c r="O308" s="147">
        <f>IF($E308="","",MIN(VLOOKUP(IF($B308&lt;=Input!$C$7,$B308,26),'Mortality Tables'!$A$41:$CW$67,IF($B308&lt;=Input!$C$7+1,Input!$C$4+2,$D308-Input!$C$7+2),0)*IF(B308&gt;20,Input!$C$22,1)/1000,1))</f>
        <v>3.6245200000000005E-2</v>
      </c>
      <c r="P308" s="147">
        <f>IF($E308="","",MIN(VLOOKUP(IF($B308&lt;=Input!$C$7,$B308,26),'Mortality Tables'!$A$12:$CW$37,IF($B308&lt;=Input!$C$7+1,Input!$C$4+2,$D308-Input!$C$7+2),0)*IF(B308&gt;20,Input!$C$22,1)/1000,1))</f>
        <v>4.5306500000000006E-2</v>
      </c>
      <c r="Q308" s="155">
        <f>IF($E308="","",Input!$C$21)</f>
        <v>5.0000000000000001E-3</v>
      </c>
      <c r="R308" s="159">
        <f>IF($E308="","",(1-Q308)^($F308-Input!$C$20))</f>
        <v>0.88222024294880153</v>
      </c>
      <c r="S308" s="147">
        <f t="shared" si="167"/>
        <v>3.1976249149727909E-2</v>
      </c>
      <c r="T308" s="147">
        <f t="shared" si="168"/>
        <v>2.7045574106063786E-3</v>
      </c>
      <c r="U308" s="160">
        <f>IF($E308="","",IF($C308=12,INDEX(Input!$C$15:$CP$15,1,$B308),0))</f>
        <v>0</v>
      </c>
      <c r="V308" s="150">
        <f>IF(E308="","",IF(C308=1,IF($B308=1,Input!$C$33,Input!$C$34),0))</f>
        <v>0</v>
      </c>
      <c r="W308" s="156">
        <f>IF($E308="","",Input!$C$35)</f>
        <v>0.02</v>
      </c>
      <c r="X308" s="156">
        <f t="shared" si="166"/>
        <v>1.6406059944647307</v>
      </c>
      <c r="Y308" s="154"/>
      <c r="Z308" s="147">
        <f>IF($E308="","",VLOOKUP($D308,'Mortality Margins &amp; Grading'!$AB$5:$AF$125,3,0)*IF(Summary!$D$25="Included Margin",IF(AND($B308&gt;Input!$C$9,Summary!$D$31&lt;&gt;"Included Margin"),0,1),0))</f>
        <v>3.1E-2</v>
      </c>
      <c r="AA308" s="147">
        <f>IF($E308="","",VLOOKUP($D308,'Mortality Margins &amp; Grading'!$AB$5:$AF$125,5,0)*IF(Summary!$D$25="Included Margin",IF(AND($B308&gt;Input!$C$9,Summary!$D$31&lt;&gt;"Included Margin"),0,1),0))</f>
        <v>0.161</v>
      </c>
      <c r="AB308" s="147">
        <f>IF($E308="","",IF(AND($B308&gt;Input!$C$9,Summary!$D$31&lt;&gt;"Included Margin"),1,IF(Summary!$D$25="Included Margin",VLOOKUP($B308,'Mortality Margins &amp; Grading'!$AI$5:$AR$125,MATCH('Mortality Margins &amp; Grading'!$AQ$4,'Mortality Margins &amp; Grading'!$AI$4:$AR$4,0),0),1)))</f>
        <v>1</v>
      </c>
      <c r="AC308" s="154"/>
      <c r="AD308" s="158">
        <f>IF(E308="","",Input!$C$48*IF(Summary!$D$30="Included Margin",IF(AND($B308&gt;Input!$C$9,Summary!$D$31&lt;&gt;"Included Margin"),0,1),0))</f>
        <v>-4.4999999999999997E-3</v>
      </c>
      <c r="AE308" s="159">
        <f>IF(E308="","",IF(Summary!$D$26="Included Margin",IF(AND($B308&gt;Input!$C$9,Summary!$D$31&lt;&gt;"Included Margin"),1,1/$R308),1))</f>
        <v>1.1335038024717301</v>
      </c>
      <c r="AF308" s="160">
        <f>IF(E308="","",IF(AND($B308&gt;=Input!$C$9,$C308=12,Summary!$D$31="Included Margin",$U308&gt;0),1/U308-1,IF($B308&gt;=Input!$C$9,0,Input!$C$45*IF(Summary!$D$27="Included Margin",1,0))))</f>
        <v>0</v>
      </c>
      <c r="AG308" s="160">
        <f>IF(E308="","",Input!$C$46*IF(Summary!$D$28="Included Margin",IF(AND($B308&gt;Input!$C$9,Summary!$D$31&lt;&gt;"Included Margin"),0,1),0))</f>
        <v>0.02</v>
      </c>
      <c r="AH308" s="158">
        <f>IF(E308="","",Input!$C$47*IF(Summary!$D$29="Included Margin",IF(AND($B308&gt;Input!$C$9,Summary!$D$31&lt;&gt;"Included Margin"),0,1),0))</f>
        <v>2.5000000000000001E-3</v>
      </c>
      <c r="AI308" s="154"/>
      <c r="AJ308" s="158">
        <f t="shared" si="189"/>
        <v>3.6840000000000005E-2</v>
      </c>
      <c r="AK308" s="155">
        <f t="shared" si="190"/>
        <v>3.0193512630141139E-3</v>
      </c>
      <c r="AL308" s="147">
        <f t="shared" si="191"/>
        <v>3.736880120000001E-2</v>
      </c>
      <c r="AM308" s="147">
        <f t="shared" si="169"/>
        <v>3.168711641606925E-3</v>
      </c>
      <c r="AN308" s="160">
        <f t="shared" si="192"/>
        <v>0</v>
      </c>
      <c r="AO308" s="161">
        <f t="shared" si="193"/>
        <v>0</v>
      </c>
      <c r="AP308" s="156">
        <f t="shared" si="170"/>
        <v>1.7441463240472346</v>
      </c>
      <c r="AQ308" s="152"/>
      <c r="AR308" s="162">
        <f t="shared" si="171"/>
        <v>2778.2786004776344</v>
      </c>
      <c r="AS308" s="150">
        <f t="shared" si="194"/>
        <v>0</v>
      </c>
      <c r="AT308" s="163">
        <f t="shared" si="172"/>
        <v>0</v>
      </c>
      <c r="AU308" s="163">
        <f t="shared" si="173"/>
        <v>316.8711641606925</v>
      </c>
      <c r="AV308" s="163">
        <f t="shared" si="195"/>
        <v>7.9102263264965611</v>
      </c>
      <c r="AW308" s="163">
        <f t="shared" si="174"/>
        <v>7.849430491175859</v>
      </c>
      <c r="AX308" s="163">
        <f t="shared" si="175"/>
        <v>0</v>
      </c>
      <c r="AY308" s="165">
        <f t="shared" si="196"/>
        <v>2477.1670931346148</v>
      </c>
      <c r="AZ308" s="164">
        <f>IF($E308="","",IF(OR(AND($D308=Input!$C$6,$C308=12),$AN308=1),0,-AS309+AT309+AU309-AV309-AW309-AX309+AZ309))</f>
        <v>2477.1678142335591</v>
      </c>
      <c r="BA308" s="154">
        <f t="shared" si="176"/>
        <v>7.2109894426830579E-4</v>
      </c>
      <c r="BC308" s="147">
        <f t="shared" si="197"/>
        <v>4.7368303252431687E-2</v>
      </c>
      <c r="BD308" s="164">
        <f>IF(AND($C307=12,$D307=Input!$C$6),0,IF($E308="","",AT308+(AU308+BD309)/(1+$AK308)*MIN((1-AM308-AN308),1)))</f>
        <v>2453.0976645256619</v>
      </c>
      <c r="BE308" s="164">
        <f t="shared" si="177"/>
        <v>116.19907408108348</v>
      </c>
      <c r="BF308" s="164">
        <f t="shared" si="198"/>
        <v>2477.1678142335591</v>
      </c>
      <c r="BG308" s="164">
        <f t="shared" si="178"/>
        <v>117.33923623177859</v>
      </c>
      <c r="BH308" s="152"/>
      <c r="BI308" s="162">
        <f t="shared" si="179"/>
        <v>1055.9523550259462</v>
      </c>
      <c r="BJ308" s="150">
        <f t="shared" si="180"/>
        <v>0</v>
      </c>
      <c r="BK308" s="163">
        <f t="shared" si="202"/>
        <v>0</v>
      </c>
      <c r="BL308" s="163">
        <f t="shared" si="181"/>
        <v>270.45574106063788</v>
      </c>
      <c r="BM308" s="163">
        <f t="shared" si="203"/>
        <v>3.1133373310872421</v>
      </c>
      <c r="BN308" s="163">
        <f t="shared" si="182"/>
        <v>2.138627014730869</v>
      </c>
      <c r="BO308" s="163">
        <f t="shared" si="183"/>
        <v>0</v>
      </c>
      <c r="BP308" s="164">
        <f t="shared" si="204"/>
        <v>790.74857831112649</v>
      </c>
      <c r="BQ308" s="164">
        <f>IF($E308="","",IF(AND($D308=Input!$C$6,$C308=12),0,-BJ309+BK309+BL309-BM309-BN309-BO309+BQ309))</f>
        <v>790.74935009472608</v>
      </c>
      <c r="BR308" s="161">
        <f t="shared" si="184"/>
        <v>0</v>
      </c>
      <c r="BT308" s="147">
        <f t="shared" si="185"/>
        <v>4.7368303252431687E-2</v>
      </c>
      <c r="BU308" s="164">
        <f>IF(AND($C307=12,$D307=Input!$C$6),0,IF($E308="","",BK308+(BL308+BU309)/(1+$AK308)*MIN((1-T308-U308),1)))</f>
        <v>29870.133138317171</v>
      </c>
      <c r="BV308" s="164">
        <f t="shared" si="186"/>
        <v>1414.8975246863167</v>
      </c>
      <c r="BW308" s="164">
        <f t="shared" si="187"/>
        <v>790.74935009472608</v>
      </c>
      <c r="BX308" s="164">
        <f t="shared" si="188"/>
        <v>37.456455011950254</v>
      </c>
    </row>
    <row r="309" spans="1:76" s="150" customFormat="1" x14ac:dyDescent="0.25">
      <c r="A309" s="150">
        <f t="shared" si="199"/>
        <v>305</v>
      </c>
      <c r="B309" s="150">
        <f t="shared" si="200"/>
        <v>26</v>
      </c>
      <c r="C309" s="150">
        <f t="shared" si="201"/>
        <v>5</v>
      </c>
      <c r="D309" s="150">
        <f>IF(E309="","",Input!$C$4+B309-1)</f>
        <v>70</v>
      </c>
      <c r="E309" s="150">
        <f>IF(OR(AND(C308=12,D308=Input!$C$6),E308=""),"",1)</f>
        <v>1</v>
      </c>
      <c r="F309" s="150">
        <f>IF(E309="","",Input!$C$8+B309-1)</f>
        <v>2043</v>
      </c>
      <c r="G309" s="151">
        <f>IF(E309="","",MAX(0,Input!$C$9-B309))</f>
        <v>0</v>
      </c>
      <c r="H309" s="152">
        <f>IF(E309="","",Input!$C$3)</f>
        <v>100000</v>
      </c>
      <c r="I309" s="153">
        <f>IF(E309="","",HLOOKUP($B309,Input!$C$13:$BT$14,2))</f>
        <v>32.364500000000007</v>
      </c>
      <c r="J309" s="154"/>
      <c r="K309" s="155">
        <f>IF($E309="","",INDEX(Input!$C$16:$CP$16,1,$B309))</f>
        <v>2.6339999999999999E-2</v>
      </c>
      <c r="L309" s="155">
        <f>IF($E309="","",Input!$C$37)</f>
        <v>1.4999999999999999E-2</v>
      </c>
      <c r="M309" s="155">
        <f t="shared" ref="M309:M372" si="205">IF($E309="","",K309+L309)</f>
        <v>4.1340000000000002E-2</v>
      </c>
      <c r="N309" s="155">
        <f t="shared" ref="N309:N372" si="206">IF($E309="","",(1+M309)^(1/12)-1)</f>
        <v>3.3813995212614856E-3</v>
      </c>
      <c r="O309" s="147">
        <f>IF($E309="","",MIN(VLOOKUP(IF($B309&lt;=Input!$C$7,$B309,26),'Mortality Tables'!$A$41:$CW$67,IF($B309&lt;=Input!$C$7+1,Input!$C$4+2,$D309-Input!$C$7+2),0)*IF(B309&gt;20,Input!$C$22,1)/1000,1))</f>
        <v>3.6245200000000005E-2</v>
      </c>
      <c r="P309" s="147">
        <f>IF($E309="","",MIN(VLOOKUP(IF($B309&lt;=Input!$C$7,$B309,26),'Mortality Tables'!$A$12:$CW$37,IF($B309&lt;=Input!$C$7+1,Input!$C$4+2,$D309-Input!$C$7+2),0)*IF(B309&gt;20,Input!$C$22,1)/1000,1))</f>
        <v>4.5306500000000006E-2</v>
      </c>
      <c r="Q309" s="155">
        <f>IF($E309="","",Input!$C$21)</f>
        <v>5.0000000000000001E-3</v>
      </c>
      <c r="R309" s="159">
        <f>IF($E309="","",(1-Q309)^($F309-Input!$C$20))</f>
        <v>0.88222024294880153</v>
      </c>
      <c r="S309" s="147">
        <f t="shared" si="167"/>
        <v>3.1976249149727909E-2</v>
      </c>
      <c r="T309" s="147">
        <f t="shared" si="168"/>
        <v>2.7045574106063786E-3</v>
      </c>
      <c r="U309" s="160">
        <f>IF($E309="","",IF($C309=12,INDEX(Input!$C$15:$CP$15,1,$B309),0))</f>
        <v>0</v>
      </c>
      <c r="V309" s="150">
        <f>IF(E309="","",IF(C309=1,IF($B309=1,Input!$C$33,Input!$C$34),0))</f>
        <v>0</v>
      </c>
      <c r="W309" s="156">
        <f>IF($E309="","",Input!$C$35)</f>
        <v>0.02</v>
      </c>
      <c r="X309" s="156">
        <f t="shared" ref="X309:X372" si="207">IF($E309="","",IF(B309=1,1,IF(C309=1,(1+W309)*X308,X308)))</f>
        <v>1.6406059944647307</v>
      </c>
      <c r="Y309" s="154"/>
      <c r="Z309" s="147">
        <f>IF($E309="","",VLOOKUP($D309,'Mortality Margins &amp; Grading'!$AB$5:$AF$125,3,0)*IF(Summary!$D$25="Included Margin",IF(AND($B309&gt;Input!$C$9,Summary!$D$31&lt;&gt;"Included Margin"),0,1),0))</f>
        <v>3.1E-2</v>
      </c>
      <c r="AA309" s="147">
        <f>IF($E309="","",VLOOKUP($D309,'Mortality Margins &amp; Grading'!$AB$5:$AF$125,5,0)*IF(Summary!$D$25="Included Margin",IF(AND($B309&gt;Input!$C$9,Summary!$D$31&lt;&gt;"Included Margin"),0,1),0))</f>
        <v>0.161</v>
      </c>
      <c r="AB309" s="147">
        <f>IF($E309="","",IF(AND($B309&gt;Input!$C$9,Summary!$D$31&lt;&gt;"Included Margin"),1,IF(Summary!$D$25="Included Margin",VLOOKUP($B309,'Mortality Margins &amp; Grading'!$AI$5:$AR$125,MATCH('Mortality Margins &amp; Grading'!$AQ$4,'Mortality Margins &amp; Grading'!$AI$4:$AR$4,0),0),1)))</f>
        <v>1</v>
      </c>
      <c r="AC309" s="154"/>
      <c r="AD309" s="158">
        <f>IF(E309="","",Input!$C$48*IF(Summary!$D$30="Included Margin",IF(AND($B309&gt;Input!$C$9,Summary!$D$31&lt;&gt;"Included Margin"),0,1),0))</f>
        <v>-4.4999999999999997E-3</v>
      </c>
      <c r="AE309" s="159">
        <f>IF(E309="","",IF(Summary!$D$26="Included Margin",IF(AND($B309&gt;Input!$C$9,Summary!$D$31&lt;&gt;"Included Margin"),1,1/$R309),1))</f>
        <v>1.1335038024717301</v>
      </c>
      <c r="AF309" s="160">
        <f>IF(E309="","",IF(AND($B309&gt;=Input!$C$9,$C309=12,Summary!$D$31="Included Margin",$U309&gt;0),1/U309-1,IF($B309&gt;=Input!$C$9,0,Input!$C$45*IF(Summary!$D$27="Included Margin",1,0))))</f>
        <v>0</v>
      </c>
      <c r="AG309" s="160">
        <f>IF(E309="","",Input!$C$46*IF(Summary!$D$28="Included Margin",IF(AND($B309&gt;Input!$C$9,Summary!$D$31&lt;&gt;"Included Margin"),0,1),0))</f>
        <v>0.02</v>
      </c>
      <c r="AH309" s="158">
        <f>IF(E309="","",Input!$C$47*IF(Summary!$D$29="Included Margin",IF(AND($B309&gt;Input!$C$9,Summary!$D$31&lt;&gt;"Included Margin"),0,1),0))</f>
        <v>2.5000000000000001E-3</v>
      </c>
      <c r="AI309" s="154"/>
      <c r="AJ309" s="158">
        <f t="shared" si="189"/>
        <v>3.6840000000000005E-2</v>
      </c>
      <c r="AK309" s="155">
        <f t="shared" si="190"/>
        <v>3.0193512630141139E-3</v>
      </c>
      <c r="AL309" s="147">
        <f t="shared" si="191"/>
        <v>3.736880120000001E-2</v>
      </c>
      <c r="AM309" s="147">
        <f t="shared" si="169"/>
        <v>3.168711641606925E-3</v>
      </c>
      <c r="AN309" s="160">
        <f t="shared" si="192"/>
        <v>0</v>
      </c>
      <c r="AO309" s="161">
        <f t="shared" si="193"/>
        <v>0</v>
      </c>
      <c r="AP309" s="156">
        <f t="shared" si="170"/>
        <v>1.7441463240472346</v>
      </c>
      <c r="AQ309" s="152"/>
      <c r="AR309" s="162">
        <f t="shared" si="171"/>
        <v>2477.1670931346143</v>
      </c>
      <c r="AS309" s="150">
        <f t="shared" si="194"/>
        <v>0</v>
      </c>
      <c r="AT309" s="163">
        <f t="shared" si="172"/>
        <v>0</v>
      </c>
      <c r="AU309" s="163">
        <f t="shared" si="173"/>
        <v>316.8711641606925</v>
      </c>
      <c r="AV309" s="163">
        <f t="shared" si="195"/>
        <v>7.0010649164923295</v>
      </c>
      <c r="AW309" s="163">
        <f t="shared" si="174"/>
        <v>6.8893719333634778</v>
      </c>
      <c r="AX309" s="163">
        <f t="shared" si="175"/>
        <v>0</v>
      </c>
      <c r="AY309" s="164">
        <f t="shared" si="196"/>
        <v>2174.186365823778</v>
      </c>
      <c r="AZ309" s="164">
        <f>IF($E309="","",IF(OR(AND($D309=Input!$C$6,$C309=12),$AN309=1),0,-AS310+AT310+AU310-AV310-AW310-AX310+AZ310))</f>
        <v>2174.1870869227223</v>
      </c>
      <c r="BA309" s="154">
        <f t="shared" si="176"/>
        <v>7.2109894426830579E-4</v>
      </c>
      <c r="BC309" s="147">
        <f t="shared" si="197"/>
        <v>4.7240192956842474E-2</v>
      </c>
      <c r="BD309" s="164">
        <f>IF(AND($C308=12,$D308=Input!$C$6),0,IF($E309="","",AT309+(AU309+BD310)/(1+$AK309)*MIN((1-AM309-AN309),1)))</f>
        <v>2151.4546767239426</v>
      </c>
      <c r="BE309" s="164">
        <f t="shared" si="177"/>
        <v>101.6351340663402</v>
      </c>
      <c r="BF309" s="164">
        <f t="shared" si="198"/>
        <v>2174.1870869227223</v>
      </c>
      <c r="BG309" s="164">
        <f t="shared" si="178"/>
        <v>102.70901751050464</v>
      </c>
      <c r="BH309" s="152"/>
      <c r="BI309" s="162">
        <f t="shared" si="179"/>
        <v>790.74857831112649</v>
      </c>
      <c r="BJ309" s="150">
        <f t="shared" si="180"/>
        <v>0</v>
      </c>
      <c r="BK309" s="163">
        <f t="shared" si="202"/>
        <v>0</v>
      </c>
      <c r="BL309" s="163">
        <f t="shared" si="181"/>
        <v>270.45574106063788</v>
      </c>
      <c r="BM309" s="163">
        <f t="shared" si="203"/>
        <v>2.216577407467013</v>
      </c>
      <c r="BN309" s="163">
        <f t="shared" si="182"/>
        <v>1.416991130721184</v>
      </c>
      <c r="BO309" s="163">
        <f t="shared" si="183"/>
        <v>0</v>
      </c>
      <c r="BP309" s="164">
        <f t="shared" si="204"/>
        <v>523.92640578867679</v>
      </c>
      <c r="BQ309" s="164">
        <f>IF($E309="","",IF(AND($D309=Input!$C$6,$C309=12),0,-BJ310+BK310+BL310-BM310-BN310-BO310+BQ310))</f>
        <v>523.92717757227638</v>
      </c>
      <c r="BR309" s="161">
        <f t="shared" si="184"/>
        <v>0</v>
      </c>
      <c r="BT309" s="147">
        <f t="shared" si="185"/>
        <v>4.7240192956842474E-2</v>
      </c>
      <c r="BU309" s="164">
        <f>IF(AND($C308=12,$D308=Input!$C$6),0,IF($E309="","",BK309+(BL309+BU310)/(1+$AK309)*MIN((1-T309-U309),1)))</f>
        <v>29771.114974178265</v>
      </c>
      <c r="BV309" s="164">
        <f t="shared" si="186"/>
        <v>1406.3932159205235</v>
      </c>
      <c r="BW309" s="164">
        <f t="shared" si="187"/>
        <v>523.92717757227638</v>
      </c>
      <c r="BX309" s="164">
        <f t="shared" si="188"/>
        <v>24.750420963848207</v>
      </c>
    </row>
    <row r="310" spans="1:76" s="150" customFormat="1" x14ac:dyDescent="0.25">
      <c r="A310" s="150">
        <f t="shared" si="199"/>
        <v>306</v>
      </c>
      <c r="B310" s="150">
        <f t="shared" si="200"/>
        <v>26</v>
      </c>
      <c r="C310" s="150">
        <f t="shared" si="201"/>
        <v>6</v>
      </c>
      <c r="D310" s="150">
        <f>IF(E310="","",Input!$C$4+B310-1)</f>
        <v>70</v>
      </c>
      <c r="E310" s="150">
        <f>IF(OR(AND(C309=12,D309=Input!$C$6),E309=""),"",1)</f>
        <v>1</v>
      </c>
      <c r="F310" s="150">
        <f>IF(E310="","",Input!$C$8+B310-1)</f>
        <v>2043</v>
      </c>
      <c r="G310" s="151">
        <f>IF(E310="","",MAX(0,Input!$C$9-B310))</f>
        <v>0</v>
      </c>
      <c r="H310" s="152">
        <f>IF(E310="","",Input!$C$3)</f>
        <v>100000</v>
      </c>
      <c r="I310" s="153">
        <f>IF(E310="","",HLOOKUP($B310,Input!$C$13:$BT$14,2))</f>
        <v>32.364500000000007</v>
      </c>
      <c r="J310" s="154"/>
      <c r="K310" s="155">
        <f>IF($E310="","",INDEX(Input!$C$16:$CP$16,1,$B310))</f>
        <v>2.6339999999999999E-2</v>
      </c>
      <c r="L310" s="155">
        <f>IF($E310="","",Input!$C$37)</f>
        <v>1.4999999999999999E-2</v>
      </c>
      <c r="M310" s="155">
        <f t="shared" si="205"/>
        <v>4.1340000000000002E-2</v>
      </c>
      <c r="N310" s="155">
        <f t="shared" si="206"/>
        <v>3.3813995212614856E-3</v>
      </c>
      <c r="O310" s="147">
        <f>IF($E310="","",MIN(VLOOKUP(IF($B310&lt;=Input!$C$7,$B310,26),'Mortality Tables'!$A$41:$CW$67,IF($B310&lt;=Input!$C$7+1,Input!$C$4+2,$D310-Input!$C$7+2),0)*IF(B310&gt;20,Input!$C$22,1)/1000,1))</f>
        <v>3.6245200000000005E-2</v>
      </c>
      <c r="P310" s="147">
        <f>IF($E310="","",MIN(VLOOKUP(IF($B310&lt;=Input!$C$7,$B310,26),'Mortality Tables'!$A$12:$CW$37,IF($B310&lt;=Input!$C$7+1,Input!$C$4+2,$D310-Input!$C$7+2),0)*IF(B310&gt;20,Input!$C$22,1)/1000,1))</f>
        <v>4.5306500000000006E-2</v>
      </c>
      <c r="Q310" s="155">
        <f>IF($E310="","",Input!$C$21)</f>
        <v>5.0000000000000001E-3</v>
      </c>
      <c r="R310" s="159">
        <f>IF($E310="","",(1-Q310)^($F310-Input!$C$20))</f>
        <v>0.88222024294880153</v>
      </c>
      <c r="S310" s="147">
        <f t="shared" si="167"/>
        <v>3.1976249149727909E-2</v>
      </c>
      <c r="T310" s="147">
        <f t="shared" si="168"/>
        <v>2.7045574106063786E-3</v>
      </c>
      <c r="U310" s="160">
        <f>IF($E310="","",IF($C310=12,INDEX(Input!$C$15:$CP$15,1,$B310),0))</f>
        <v>0</v>
      </c>
      <c r="V310" s="150">
        <f>IF(E310="","",IF(C310=1,IF($B310=1,Input!$C$33,Input!$C$34),0))</f>
        <v>0</v>
      </c>
      <c r="W310" s="156">
        <f>IF($E310="","",Input!$C$35)</f>
        <v>0.02</v>
      </c>
      <c r="X310" s="156">
        <f t="shared" si="207"/>
        <v>1.6406059944647307</v>
      </c>
      <c r="Y310" s="154"/>
      <c r="Z310" s="147">
        <f>IF($E310="","",VLOOKUP($D310,'Mortality Margins &amp; Grading'!$AB$5:$AF$125,3,0)*IF(Summary!$D$25="Included Margin",IF(AND($B310&gt;Input!$C$9,Summary!$D$31&lt;&gt;"Included Margin"),0,1),0))</f>
        <v>3.1E-2</v>
      </c>
      <c r="AA310" s="147">
        <f>IF($E310="","",VLOOKUP($D310,'Mortality Margins &amp; Grading'!$AB$5:$AF$125,5,0)*IF(Summary!$D$25="Included Margin",IF(AND($B310&gt;Input!$C$9,Summary!$D$31&lt;&gt;"Included Margin"),0,1),0))</f>
        <v>0.161</v>
      </c>
      <c r="AB310" s="147">
        <f>IF($E310="","",IF(AND($B310&gt;Input!$C$9,Summary!$D$31&lt;&gt;"Included Margin"),1,IF(Summary!$D$25="Included Margin",VLOOKUP($B310,'Mortality Margins &amp; Grading'!$AI$5:$AR$125,MATCH('Mortality Margins &amp; Grading'!$AQ$4,'Mortality Margins &amp; Grading'!$AI$4:$AR$4,0),0),1)))</f>
        <v>1</v>
      </c>
      <c r="AC310" s="154"/>
      <c r="AD310" s="158">
        <f>IF(E310="","",Input!$C$48*IF(Summary!$D$30="Included Margin",IF(AND($B310&gt;Input!$C$9,Summary!$D$31&lt;&gt;"Included Margin"),0,1),0))</f>
        <v>-4.4999999999999997E-3</v>
      </c>
      <c r="AE310" s="159">
        <f>IF(E310="","",IF(Summary!$D$26="Included Margin",IF(AND($B310&gt;Input!$C$9,Summary!$D$31&lt;&gt;"Included Margin"),1,1/$R310),1))</f>
        <v>1.1335038024717301</v>
      </c>
      <c r="AF310" s="160">
        <f>IF(E310="","",IF(AND($B310&gt;=Input!$C$9,$C310=12,Summary!$D$31="Included Margin",$U310&gt;0),1/U310-1,IF($B310&gt;=Input!$C$9,0,Input!$C$45*IF(Summary!$D$27="Included Margin",1,0))))</f>
        <v>0</v>
      </c>
      <c r="AG310" s="160">
        <f>IF(E310="","",Input!$C$46*IF(Summary!$D$28="Included Margin",IF(AND($B310&gt;Input!$C$9,Summary!$D$31&lt;&gt;"Included Margin"),0,1),0))</f>
        <v>0.02</v>
      </c>
      <c r="AH310" s="158">
        <f>IF(E310="","",Input!$C$47*IF(Summary!$D$29="Included Margin",IF(AND($B310&gt;Input!$C$9,Summary!$D$31&lt;&gt;"Included Margin"),0,1),0))</f>
        <v>2.5000000000000001E-3</v>
      </c>
      <c r="AI310" s="154"/>
      <c r="AJ310" s="158">
        <f t="shared" si="189"/>
        <v>3.6840000000000005E-2</v>
      </c>
      <c r="AK310" s="155">
        <f t="shared" si="190"/>
        <v>3.0193512630141139E-3</v>
      </c>
      <c r="AL310" s="147">
        <f t="shared" si="191"/>
        <v>3.736880120000001E-2</v>
      </c>
      <c r="AM310" s="147">
        <f t="shared" si="169"/>
        <v>3.168711641606925E-3</v>
      </c>
      <c r="AN310" s="160">
        <f t="shared" si="192"/>
        <v>0</v>
      </c>
      <c r="AO310" s="161">
        <f t="shared" si="193"/>
        <v>0</v>
      </c>
      <c r="AP310" s="156">
        <f t="shared" si="170"/>
        <v>1.7441463240472346</v>
      </c>
      <c r="AQ310" s="152"/>
      <c r="AR310" s="162">
        <f t="shared" si="171"/>
        <v>2174.186365823778</v>
      </c>
      <c r="AS310" s="150">
        <f t="shared" si="194"/>
        <v>0</v>
      </c>
      <c r="AT310" s="163">
        <f t="shared" si="172"/>
        <v>0</v>
      </c>
      <c r="AU310" s="163">
        <f t="shared" si="173"/>
        <v>316.8711641606925</v>
      </c>
      <c r="AV310" s="163">
        <f t="shared" si="195"/>
        <v>6.0862596748174207</v>
      </c>
      <c r="AW310" s="163">
        <f t="shared" si="174"/>
        <v>5.923353587954896</v>
      </c>
      <c r="AX310" s="163">
        <f t="shared" si="175"/>
        <v>0</v>
      </c>
      <c r="AY310" s="165">
        <f t="shared" si="196"/>
        <v>1869.3248149258579</v>
      </c>
      <c r="AZ310" s="164">
        <f>IF($E310="","",IF(OR(AND($D310=Input!$C$6,$C310=12),$AN310=1),0,-AS311+AT311+AU311-AV311-AW311-AX311+AZ311))</f>
        <v>1869.3255360248022</v>
      </c>
      <c r="BA310" s="154">
        <f t="shared" si="176"/>
        <v>7.2109894426830579E-4</v>
      </c>
      <c r="BC310" s="147">
        <f t="shared" si="197"/>
        <v>4.7112429142902569E-2</v>
      </c>
      <c r="BD310" s="164">
        <f>IF(AND($C309=12,$D309=Input!$C$6),0,IF($E310="","",AT310+(AU310+BD311)/(1+$AK310)*MIN((1-AM310-AN310),1)))</f>
        <v>1847.9391696653995</v>
      </c>
      <c r="BE310" s="164">
        <f t="shared" si="177"/>
        <v>87.060903191255349</v>
      </c>
      <c r="BF310" s="164">
        <f t="shared" si="198"/>
        <v>1869.3255360248022</v>
      </c>
      <c r="BG310" s="164">
        <f t="shared" si="178"/>
        <v>88.06846686098686</v>
      </c>
      <c r="BH310" s="152"/>
      <c r="BI310" s="162">
        <f t="shared" si="179"/>
        <v>523.92640578867679</v>
      </c>
      <c r="BJ310" s="150">
        <f t="shared" si="180"/>
        <v>0</v>
      </c>
      <c r="BK310" s="163">
        <f t="shared" si="202"/>
        <v>0</v>
      </c>
      <c r="BL310" s="163">
        <f t="shared" si="181"/>
        <v>270.45574106063788</v>
      </c>
      <c r="BM310" s="163">
        <f t="shared" si="203"/>
        <v>1.314345041037652</v>
      </c>
      <c r="BN310" s="163">
        <f t="shared" si="182"/>
        <v>0.690951491592384</v>
      </c>
      <c r="BO310" s="163">
        <f t="shared" si="183"/>
        <v>0</v>
      </c>
      <c r="BP310" s="164">
        <f t="shared" si="204"/>
        <v>255.47596126066895</v>
      </c>
      <c r="BQ310" s="164">
        <f>IF($E310="","",IF(AND($D310=Input!$C$6,$C310=12),0,-BJ311+BK311+BL311-BM311-BN311-BO311+BQ311))</f>
        <v>255.47673304426854</v>
      </c>
      <c r="BR310" s="161">
        <f t="shared" si="184"/>
        <v>0</v>
      </c>
      <c r="BT310" s="147">
        <f t="shared" si="185"/>
        <v>4.7112429142902569E-2</v>
      </c>
      <c r="BU310" s="164">
        <f>IF(AND($C309=12,$D309=Input!$C$6),0,IF($E310="","",BK310+(BL310+BU311)/(1+$AK310)*MIN((1-T310-U310),1)))</f>
        <v>29671.528502089321</v>
      </c>
      <c r="BV310" s="164">
        <f t="shared" si="186"/>
        <v>1397.8977841162971</v>
      </c>
      <c r="BW310" s="164">
        <f t="shared" si="187"/>
        <v>255.47673304426854</v>
      </c>
      <c r="BX310" s="164">
        <f t="shared" si="188"/>
        <v>12.036129483208336</v>
      </c>
    </row>
    <row r="311" spans="1:76" s="150" customFormat="1" x14ac:dyDescent="0.25">
      <c r="A311" s="150">
        <f t="shared" si="199"/>
        <v>307</v>
      </c>
      <c r="B311" s="150">
        <f t="shared" si="200"/>
        <v>26</v>
      </c>
      <c r="C311" s="150">
        <f t="shared" si="201"/>
        <v>7</v>
      </c>
      <c r="D311" s="150">
        <f>IF(E311="","",Input!$C$4+B311-1)</f>
        <v>70</v>
      </c>
      <c r="E311" s="150">
        <f>IF(OR(AND(C310=12,D310=Input!$C$6),E310=""),"",1)</f>
        <v>1</v>
      </c>
      <c r="F311" s="150">
        <f>IF(E311="","",Input!$C$8+B311-1)</f>
        <v>2043</v>
      </c>
      <c r="G311" s="151">
        <f>IF(E311="","",MAX(0,Input!$C$9-B311))</f>
        <v>0</v>
      </c>
      <c r="H311" s="152">
        <f>IF(E311="","",Input!$C$3)</f>
        <v>100000</v>
      </c>
      <c r="I311" s="153">
        <f>IF(E311="","",HLOOKUP($B311,Input!$C$13:$BT$14,2))</f>
        <v>32.364500000000007</v>
      </c>
      <c r="J311" s="154"/>
      <c r="K311" s="155">
        <f>IF($E311="","",INDEX(Input!$C$16:$CP$16,1,$B311))</f>
        <v>2.6339999999999999E-2</v>
      </c>
      <c r="L311" s="155">
        <f>IF($E311="","",Input!$C$37)</f>
        <v>1.4999999999999999E-2</v>
      </c>
      <c r="M311" s="155">
        <f t="shared" si="205"/>
        <v>4.1340000000000002E-2</v>
      </c>
      <c r="N311" s="155">
        <f t="shared" si="206"/>
        <v>3.3813995212614856E-3</v>
      </c>
      <c r="O311" s="147">
        <f>IF($E311="","",MIN(VLOOKUP(IF($B311&lt;=Input!$C$7,$B311,26),'Mortality Tables'!$A$41:$CW$67,IF($B311&lt;=Input!$C$7+1,Input!$C$4+2,$D311-Input!$C$7+2),0)*IF(B311&gt;20,Input!$C$22,1)/1000,1))</f>
        <v>3.6245200000000005E-2</v>
      </c>
      <c r="P311" s="147">
        <f>IF($E311="","",MIN(VLOOKUP(IF($B311&lt;=Input!$C$7,$B311,26),'Mortality Tables'!$A$12:$CW$37,IF($B311&lt;=Input!$C$7+1,Input!$C$4+2,$D311-Input!$C$7+2),0)*IF(B311&gt;20,Input!$C$22,1)/1000,1))</f>
        <v>4.5306500000000006E-2</v>
      </c>
      <c r="Q311" s="155">
        <f>IF($E311="","",Input!$C$21)</f>
        <v>5.0000000000000001E-3</v>
      </c>
      <c r="R311" s="159">
        <f>IF($E311="","",(1-Q311)^($F311-Input!$C$20))</f>
        <v>0.88222024294880153</v>
      </c>
      <c r="S311" s="147">
        <f t="shared" si="167"/>
        <v>3.1976249149727909E-2</v>
      </c>
      <c r="T311" s="147">
        <f t="shared" si="168"/>
        <v>2.7045574106063786E-3</v>
      </c>
      <c r="U311" s="160">
        <f>IF($E311="","",IF($C311=12,INDEX(Input!$C$15:$CP$15,1,$B311),0))</f>
        <v>0</v>
      </c>
      <c r="V311" s="150">
        <f>IF(E311="","",IF(C311=1,IF($B311=1,Input!$C$33,Input!$C$34),0))</f>
        <v>0</v>
      </c>
      <c r="W311" s="156">
        <f>IF($E311="","",Input!$C$35)</f>
        <v>0.02</v>
      </c>
      <c r="X311" s="156">
        <f t="shared" si="207"/>
        <v>1.6406059944647307</v>
      </c>
      <c r="Y311" s="154"/>
      <c r="Z311" s="147">
        <f>IF($E311="","",VLOOKUP($D311,'Mortality Margins &amp; Grading'!$AB$5:$AF$125,3,0)*IF(Summary!$D$25="Included Margin",IF(AND($B311&gt;Input!$C$9,Summary!$D$31&lt;&gt;"Included Margin"),0,1),0))</f>
        <v>3.1E-2</v>
      </c>
      <c r="AA311" s="147">
        <f>IF($E311="","",VLOOKUP($D311,'Mortality Margins &amp; Grading'!$AB$5:$AF$125,5,0)*IF(Summary!$D$25="Included Margin",IF(AND($B311&gt;Input!$C$9,Summary!$D$31&lt;&gt;"Included Margin"),0,1),0))</f>
        <v>0.161</v>
      </c>
      <c r="AB311" s="147">
        <f>IF($E311="","",IF(AND($B311&gt;Input!$C$9,Summary!$D$31&lt;&gt;"Included Margin"),1,IF(Summary!$D$25="Included Margin",VLOOKUP($B311,'Mortality Margins &amp; Grading'!$AI$5:$AR$125,MATCH('Mortality Margins &amp; Grading'!$AQ$4,'Mortality Margins &amp; Grading'!$AI$4:$AR$4,0),0),1)))</f>
        <v>1</v>
      </c>
      <c r="AC311" s="154"/>
      <c r="AD311" s="158">
        <f>IF(E311="","",Input!$C$48*IF(Summary!$D$30="Included Margin",IF(AND($B311&gt;Input!$C$9,Summary!$D$31&lt;&gt;"Included Margin"),0,1),0))</f>
        <v>-4.4999999999999997E-3</v>
      </c>
      <c r="AE311" s="159">
        <f>IF(E311="","",IF(Summary!$D$26="Included Margin",IF(AND($B311&gt;Input!$C$9,Summary!$D$31&lt;&gt;"Included Margin"),1,1/$R311),1))</f>
        <v>1.1335038024717301</v>
      </c>
      <c r="AF311" s="160">
        <f>IF(E311="","",IF(AND($B311&gt;=Input!$C$9,$C311=12,Summary!$D$31="Included Margin",$U311&gt;0),1/U311-1,IF($B311&gt;=Input!$C$9,0,Input!$C$45*IF(Summary!$D$27="Included Margin",1,0))))</f>
        <v>0</v>
      </c>
      <c r="AG311" s="160">
        <f>IF(E311="","",Input!$C$46*IF(Summary!$D$28="Included Margin",IF(AND($B311&gt;Input!$C$9,Summary!$D$31&lt;&gt;"Included Margin"),0,1),0))</f>
        <v>0.02</v>
      </c>
      <c r="AH311" s="158">
        <f>IF(E311="","",Input!$C$47*IF(Summary!$D$29="Included Margin",IF(AND($B311&gt;Input!$C$9,Summary!$D$31&lt;&gt;"Included Margin"),0,1),0))</f>
        <v>2.5000000000000001E-3</v>
      </c>
      <c r="AI311" s="154"/>
      <c r="AJ311" s="158">
        <f t="shared" si="189"/>
        <v>3.6840000000000005E-2</v>
      </c>
      <c r="AK311" s="155">
        <f t="shared" si="190"/>
        <v>3.0193512630141139E-3</v>
      </c>
      <c r="AL311" s="147">
        <f t="shared" si="191"/>
        <v>3.736880120000001E-2</v>
      </c>
      <c r="AM311" s="147">
        <f t="shared" si="169"/>
        <v>3.168711641606925E-3</v>
      </c>
      <c r="AN311" s="160">
        <f t="shared" si="192"/>
        <v>0</v>
      </c>
      <c r="AO311" s="161">
        <f t="shared" si="193"/>
        <v>0</v>
      </c>
      <c r="AP311" s="156">
        <f t="shared" si="170"/>
        <v>1.7441463240472346</v>
      </c>
      <c r="AQ311" s="152"/>
      <c r="AR311" s="162">
        <f t="shared" si="171"/>
        <v>1869.3248149258577</v>
      </c>
      <c r="AS311" s="150">
        <f t="shared" si="194"/>
        <v>0</v>
      </c>
      <c r="AT311" s="163">
        <f t="shared" si="172"/>
        <v>0</v>
      </c>
      <c r="AU311" s="163">
        <f t="shared" si="173"/>
        <v>316.8711641606925</v>
      </c>
      <c r="AV311" s="163">
        <f t="shared" si="195"/>
        <v>5.1657755660693434</v>
      </c>
      <c r="AW311" s="163">
        <f t="shared" si="174"/>
        <v>4.9513384581774655</v>
      </c>
      <c r="AX311" s="163">
        <f t="shared" si="175"/>
        <v>0</v>
      </c>
      <c r="AY311" s="164">
        <f t="shared" si="196"/>
        <v>1562.5707647894119</v>
      </c>
      <c r="AZ311" s="164">
        <f>IF($E311="","",IF(OR(AND($D311=Input!$C$6,$C311=12),$AN311=1),0,-AS312+AT312+AU312-AV312-AW312-AX312+AZ312))</f>
        <v>1562.5714858883564</v>
      </c>
      <c r="BA311" s="154">
        <f t="shared" si="176"/>
        <v>7.2109894449567946E-4</v>
      </c>
      <c r="BC311" s="147">
        <f t="shared" si="197"/>
        <v>4.6985010873532462E-2</v>
      </c>
      <c r="BD311" s="164">
        <f>IF(AND($C310=12,$D310=Input!$C$6),0,IF($E311="","",AT311+(AU311+BD312)/(1+$AK311)*MIN((1-AM311-AN311),1)))</f>
        <v>1542.5395192496603</v>
      </c>
      <c r="BE311" s="164">
        <f t="shared" si="177"/>
        <v>72.476236084798828</v>
      </c>
      <c r="BF311" s="164">
        <f t="shared" si="198"/>
        <v>1562.5714858883564</v>
      </c>
      <c r="BG311" s="164">
        <f t="shared" si="178"/>
        <v>73.417438255136204</v>
      </c>
      <c r="BH311" s="152"/>
      <c r="BI311" s="162">
        <f t="shared" si="179"/>
        <v>255.47596126066898</v>
      </c>
      <c r="BJ311" s="150">
        <f t="shared" si="180"/>
        <v>0</v>
      </c>
      <c r="BK311" s="163">
        <f t="shared" si="202"/>
        <v>0</v>
      </c>
      <c r="BL311" s="163">
        <f t="shared" si="181"/>
        <v>270.45574106063788</v>
      </c>
      <c r="BM311" s="163">
        <f t="shared" si="203"/>
        <v>0.40660683642821333</v>
      </c>
      <c r="BN311" s="163">
        <f t="shared" si="182"/>
        <v>-3.9518776401112544E-2</v>
      </c>
      <c r="BO311" s="163">
        <f t="shared" si="183"/>
        <v>0</v>
      </c>
      <c r="BP311" s="164">
        <f t="shared" si="204"/>
        <v>-14.612691739941795</v>
      </c>
      <c r="BQ311" s="164">
        <f>IF($E311="","",IF(AND($D311=Input!$C$6,$C311=12),0,-BJ312+BK312+BL312-BM312-BN312-BO312+BQ312))</f>
        <v>-14.611919956342206</v>
      </c>
      <c r="BR311" s="161">
        <f t="shared" si="184"/>
        <v>0</v>
      </c>
      <c r="BT311" s="147">
        <f t="shared" si="185"/>
        <v>4.6985010873532462E-2</v>
      </c>
      <c r="BU311" s="164">
        <f>IF(AND($C310=12,$D310=Input!$C$6),0,IF($E311="","",BK311+(BL311+BU312)/(1+$AK311)*MIN((1-T311-U311),1)))</f>
        <v>29571.370460285903</v>
      </c>
      <c r="BV311" s="164">
        <f t="shared" si="186"/>
        <v>1389.4111626217898</v>
      </c>
      <c r="BW311" s="164">
        <f t="shared" si="187"/>
        <v>-14.611919956342206</v>
      </c>
      <c r="BX311" s="164">
        <f t="shared" si="188"/>
        <v>-0.68654121803192447</v>
      </c>
    </row>
    <row r="312" spans="1:76" s="150" customFormat="1" x14ac:dyDescent="0.25">
      <c r="A312" s="150">
        <f t="shared" si="199"/>
        <v>308</v>
      </c>
      <c r="B312" s="150">
        <f t="shared" si="200"/>
        <v>26</v>
      </c>
      <c r="C312" s="150">
        <f t="shared" si="201"/>
        <v>8</v>
      </c>
      <c r="D312" s="150">
        <f>IF(E312="","",Input!$C$4+B312-1)</f>
        <v>70</v>
      </c>
      <c r="E312" s="150">
        <f>IF(OR(AND(C311=12,D311=Input!$C$6),E311=""),"",1)</f>
        <v>1</v>
      </c>
      <c r="F312" s="150">
        <f>IF(E312="","",Input!$C$8+B312-1)</f>
        <v>2043</v>
      </c>
      <c r="G312" s="151">
        <f>IF(E312="","",MAX(0,Input!$C$9-B312))</f>
        <v>0</v>
      </c>
      <c r="H312" s="152">
        <f>IF(E312="","",Input!$C$3)</f>
        <v>100000</v>
      </c>
      <c r="I312" s="153">
        <f>IF(E312="","",HLOOKUP($B312,Input!$C$13:$BT$14,2))</f>
        <v>32.364500000000007</v>
      </c>
      <c r="J312" s="154"/>
      <c r="K312" s="155">
        <f>IF($E312="","",INDEX(Input!$C$16:$CP$16,1,$B312))</f>
        <v>2.6339999999999999E-2</v>
      </c>
      <c r="L312" s="155">
        <f>IF($E312="","",Input!$C$37)</f>
        <v>1.4999999999999999E-2</v>
      </c>
      <c r="M312" s="155">
        <f t="shared" si="205"/>
        <v>4.1340000000000002E-2</v>
      </c>
      <c r="N312" s="155">
        <f t="shared" si="206"/>
        <v>3.3813995212614856E-3</v>
      </c>
      <c r="O312" s="147">
        <f>IF($E312="","",MIN(VLOOKUP(IF($B312&lt;=Input!$C$7,$B312,26),'Mortality Tables'!$A$41:$CW$67,IF($B312&lt;=Input!$C$7+1,Input!$C$4+2,$D312-Input!$C$7+2),0)*IF(B312&gt;20,Input!$C$22,1)/1000,1))</f>
        <v>3.6245200000000005E-2</v>
      </c>
      <c r="P312" s="147">
        <f>IF($E312="","",MIN(VLOOKUP(IF($B312&lt;=Input!$C$7,$B312,26),'Mortality Tables'!$A$12:$CW$37,IF($B312&lt;=Input!$C$7+1,Input!$C$4+2,$D312-Input!$C$7+2),0)*IF(B312&gt;20,Input!$C$22,1)/1000,1))</f>
        <v>4.5306500000000006E-2</v>
      </c>
      <c r="Q312" s="155">
        <f>IF($E312="","",Input!$C$21)</f>
        <v>5.0000000000000001E-3</v>
      </c>
      <c r="R312" s="159">
        <f>IF($E312="","",(1-Q312)^($F312-Input!$C$20))</f>
        <v>0.88222024294880153</v>
      </c>
      <c r="S312" s="147">
        <f t="shared" si="167"/>
        <v>3.1976249149727909E-2</v>
      </c>
      <c r="T312" s="147">
        <f t="shared" si="168"/>
        <v>2.7045574106063786E-3</v>
      </c>
      <c r="U312" s="160">
        <f>IF($E312="","",IF($C312=12,INDEX(Input!$C$15:$CP$15,1,$B312),0))</f>
        <v>0</v>
      </c>
      <c r="V312" s="150">
        <f>IF(E312="","",IF(C312=1,IF($B312=1,Input!$C$33,Input!$C$34),0))</f>
        <v>0</v>
      </c>
      <c r="W312" s="156">
        <f>IF($E312="","",Input!$C$35)</f>
        <v>0.02</v>
      </c>
      <c r="X312" s="156">
        <f t="shared" si="207"/>
        <v>1.6406059944647307</v>
      </c>
      <c r="Y312" s="154"/>
      <c r="Z312" s="147">
        <f>IF($E312="","",VLOOKUP($D312,'Mortality Margins &amp; Grading'!$AB$5:$AF$125,3,0)*IF(Summary!$D$25="Included Margin",IF(AND($B312&gt;Input!$C$9,Summary!$D$31&lt;&gt;"Included Margin"),0,1),0))</f>
        <v>3.1E-2</v>
      </c>
      <c r="AA312" s="147">
        <f>IF($E312="","",VLOOKUP($D312,'Mortality Margins &amp; Grading'!$AB$5:$AF$125,5,0)*IF(Summary!$D$25="Included Margin",IF(AND($B312&gt;Input!$C$9,Summary!$D$31&lt;&gt;"Included Margin"),0,1),0))</f>
        <v>0.161</v>
      </c>
      <c r="AB312" s="147">
        <f>IF($E312="","",IF(AND($B312&gt;Input!$C$9,Summary!$D$31&lt;&gt;"Included Margin"),1,IF(Summary!$D$25="Included Margin",VLOOKUP($B312,'Mortality Margins &amp; Grading'!$AI$5:$AR$125,MATCH('Mortality Margins &amp; Grading'!$AQ$4,'Mortality Margins &amp; Grading'!$AI$4:$AR$4,0),0),1)))</f>
        <v>1</v>
      </c>
      <c r="AC312" s="154"/>
      <c r="AD312" s="158">
        <f>IF(E312="","",Input!$C$48*IF(Summary!$D$30="Included Margin",IF(AND($B312&gt;Input!$C$9,Summary!$D$31&lt;&gt;"Included Margin"),0,1),0))</f>
        <v>-4.4999999999999997E-3</v>
      </c>
      <c r="AE312" s="159">
        <f>IF(E312="","",IF(Summary!$D$26="Included Margin",IF(AND($B312&gt;Input!$C$9,Summary!$D$31&lt;&gt;"Included Margin"),1,1/$R312),1))</f>
        <v>1.1335038024717301</v>
      </c>
      <c r="AF312" s="160">
        <f>IF(E312="","",IF(AND($B312&gt;=Input!$C$9,$C312=12,Summary!$D$31="Included Margin",$U312&gt;0),1/U312-1,IF($B312&gt;=Input!$C$9,0,Input!$C$45*IF(Summary!$D$27="Included Margin",1,0))))</f>
        <v>0</v>
      </c>
      <c r="AG312" s="160">
        <f>IF(E312="","",Input!$C$46*IF(Summary!$D$28="Included Margin",IF(AND($B312&gt;Input!$C$9,Summary!$D$31&lt;&gt;"Included Margin"),0,1),0))</f>
        <v>0.02</v>
      </c>
      <c r="AH312" s="158">
        <f>IF(E312="","",Input!$C$47*IF(Summary!$D$29="Included Margin",IF(AND($B312&gt;Input!$C$9,Summary!$D$31&lt;&gt;"Included Margin"),0,1),0))</f>
        <v>2.5000000000000001E-3</v>
      </c>
      <c r="AI312" s="154"/>
      <c r="AJ312" s="158">
        <f t="shared" si="189"/>
        <v>3.6840000000000005E-2</v>
      </c>
      <c r="AK312" s="155">
        <f t="shared" si="190"/>
        <v>3.0193512630141139E-3</v>
      </c>
      <c r="AL312" s="147">
        <f t="shared" si="191"/>
        <v>3.736880120000001E-2</v>
      </c>
      <c r="AM312" s="147">
        <f t="shared" si="169"/>
        <v>3.168711641606925E-3</v>
      </c>
      <c r="AN312" s="160">
        <f t="shared" si="192"/>
        <v>0</v>
      </c>
      <c r="AO312" s="161">
        <f t="shared" si="193"/>
        <v>0</v>
      </c>
      <c r="AP312" s="156">
        <f t="shared" si="170"/>
        <v>1.7441463240472346</v>
      </c>
      <c r="AQ312" s="152"/>
      <c r="AR312" s="162">
        <f t="shared" si="171"/>
        <v>1562.5707647894119</v>
      </c>
      <c r="AS312" s="150">
        <f t="shared" si="194"/>
        <v>0</v>
      </c>
      <c r="AT312" s="163">
        <f t="shared" si="172"/>
        <v>0</v>
      </c>
      <c r="AU312" s="163">
        <f t="shared" si="173"/>
        <v>316.8711641606925</v>
      </c>
      <c r="AV312" s="163">
        <f t="shared" si="195"/>
        <v>4.2395773373551711</v>
      </c>
      <c r="AW312" s="163">
        <f t="shared" si="174"/>
        <v>3.973289317592438</v>
      </c>
      <c r="AX312" s="163">
        <f t="shared" si="175"/>
        <v>0</v>
      </c>
      <c r="AY312" s="165">
        <f t="shared" si="196"/>
        <v>1253.912467283667</v>
      </c>
      <c r="AZ312" s="164">
        <f>IF($E312="","",IF(OR(AND($D312=Input!$C$6,$C312=12),$AN312=1),0,-AS313+AT313+AU313-AV313-AW313-AX313+AZ313))</f>
        <v>1253.9131883826115</v>
      </c>
      <c r="BA312" s="154">
        <f t="shared" si="176"/>
        <v>7.2109894449567946E-4</v>
      </c>
      <c r="BC312" s="147">
        <f t="shared" si="197"/>
        <v>4.6857937214187032E-2</v>
      </c>
      <c r="BD312" s="164">
        <f>IF(AND($C311=12,$D311=Input!$C$6),0,IF($E312="","",AT312+(AU312+BD313)/(1+$AK312)*MIN((1-AM312-AN312),1)))</f>
        <v>1235.2440292170343</v>
      </c>
      <c r="BE312" s="164">
        <f t="shared" si="177"/>
        <v>57.880987165251206</v>
      </c>
      <c r="BF312" s="164">
        <f t="shared" si="198"/>
        <v>1253.9131883826115</v>
      </c>
      <c r="BG312" s="164">
        <f t="shared" si="178"/>
        <v>58.755785453273482</v>
      </c>
      <c r="BH312" s="152"/>
      <c r="BI312" s="162">
        <f t="shared" si="179"/>
        <v>-14.612691739941795</v>
      </c>
      <c r="BJ312" s="150">
        <f t="shared" si="180"/>
        <v>0</v>
      </c>
      <c r="BK312" s="163">
        <f t="shared" si="202"/>
        <v>0</v>
      </c>
      <c r="BL312" s="163">
        <f t="shared" si="181"/>
        <v>270.45574106063788</v>
      </c>
      <c r="BM312" s="163">
        <f t="shared" si="203"/>
        <v>-0.50667080552621147</v>
      </c>
      <c r="BN312" s="163">
        <f t="shared" si="182"/>
        <v>-0.77444671100088158</v>
      </c>
      <c r="BO312" s="163">
        <f t="shared" si="183"/>
        <v>0</v>
      </c>
      <c r="BP312" s="164">
        <f t="shared" si="204"/>
        <v>-286.34955031710678</v>
      </c>
      <c r="BQ312" s="164">
        <f>IF($E312="","",IF(AND($D312=Input!$C$6,$C312=12),0,-BJ313+BK313+BL313-BM313-BN313-BO313+BQ313))</f>
        <v>-286.34877853350719</v>
      </c>
      <c r="BR312" s="161">
        <f t="shared" si="184"/>
        <v>0</v>
      </c>
      <c r="BT312" s="147">
        <f t="shared" si="185"/>
        <v>4.6857937214187032E-2</v>
      </c>
      <c r="BU312" s="164">
        <f>IF(AND($C311=12,$D311=Input!$C$6),0,IF($E312="","",BK312+(BL312+BU313)/(1+$AK312)*MIN((1-T312-U312),1)))</f>
        <v>29470.637568282909</v>
      </c>
      <c r="BV312" s="164">
        <f t="shared" si="186"/>
        <v>1380.9332848366621</v>
      </c>
      <c r="BW312" s="164">
        <f t="shared" si="187"/>
        <v>-286.34877853350719</v>
      </c>
      <c r="BX312" s="164">
        <f t="shared" si="188"/>
        <v>-13.417713085882227</v>
      </c>
    </row>
    <row r="313" spans="1:76" s="150" customFormat="1" x14ac:dyDescent="0.25">
      <c r="A313" s="150">
        <f t="shared" si="199"/>
        <v>309</v>
      </c>
      <c r="B313" s="150">
        <f t="shared" si="200"/>
        <v>26</v>
      </c>
      <c r="C313" s="150">
        <f t="shared" si="201"/>
        <v>9</v>
      </c>
      <c r="D313" s="150">
        <f>IF(E313="","",Input!$C$4+B313-1)</f>
        <v>70</v>
      </c>
      <c r="E313" s="150">
        <f>IF(OR(AND(C312=12,D312=Input!$C$6),E312=""),"",1)</f>
        <v>1</v>
      </c>
      <c r="F313" s="150">
        <f>IF(E313="","",Input!$C$8+B313-1)</f>
        <v>2043</v>
      </c>
      <c r="G313" s="151">
        <f>IF(E313="","",MAX(0,Input!$C$9-B313))</f>
        <v>0</v>
      </c>
      <c r="H313" s="152">
        <f>IF(E313="","",Input!$C$3)</f>
        <v>100000</v>
      </c>
      <c r="I313" s="153">
        <f>IF(E313="","",HLOOKUP($B313,Input!$C$13:$BT$14,2))</f>
        <v>32.364500000000007</v>
      </c>
      <c r="J313" s="154"/>
      <c r="K313" s="155">
        <f>IF($E313="","",INDEX(Input!$C$16:$CP$16,1,$B313))</f>
        <v>2.6339999999999999E-2</v>
      </c>
      <c r="L313" s="155">
        <f>IF($E313="","",Input!$C$37)</f>
        <v>1.4999999999999999E-2</v>
      </c>
      <c r="M313" s="155">
        <f t="shared" si="205"/>
        <v>4.1340000000000002E-2</v>
      </c>
      <c r="N313" s="155">
        <f t="shared" si="206"/>
        <v>3.3813995212614856E-3</v>
      </c>
      <c r="O313" s="147">
        <f>IF($E313="","",MIN(VLOOKUP(IF($B313&lt;=Input!$C$7,$B313,26),'Mortality Tables'!$A$41:$CW$67,IF($B313&lt;=Input!$C$7+1,Input!$C$4+2,$D313-Input!$C$7+2),0)*IF(B313&gt;20,Input!$C$22,1)/1000,1))</f>
        <v>3.6245200000000005E-2</v>
      </c>
      <c r="P313" s="147">
        <f>IF($E313="","",MIN(VLOOKUP(IF($B313&lt;=Input!$C$7,$B313,26),'Mortality Tables'!$A$12:$CW$37,IF($B313&lt;=Input!$C$7+1,Input!$C$4+2,$D313-Input!$C$7+2),0)*IF(B313&gt;20,Input!$C$22,1)/1000,1))</f>
        <v>4.5306500000000006E-2</v>
      </c>
      <c r="Q313" s="155">
        <f>IF($E313="","",Input!$C$21)</f>
        <v>5.0000000000000001E-3</v>
      </c>
      <c r="R313" s="159">
        <f>IF($E313="","",(1-Q313)^($F313-Input!$C$20))</f>
        <v>0.88222024294880153</v>
      </c>
      <c r="S313" s="147">
        <f t="shared" si="167"/>
        <v>3.1976249149727909E-2</v>
      </c>
      <c r="T313" s="147">
        <f t="shared" si="168"/>
        <v>2.7045574106063786E-3</v>
      </c>
      <c r="U313" s="160">
        <f>IF($E313="","",IF($C313=12,INDEX(Input!$C$15:$CP$15,1,$B313),0))</f>
        <v>0</v>
      </c>
      <c r="V313" s="150">
        <f>IF(E313="","",IF(C313=1,IF($B313=1,Input!$C$33,Input!$C$34),0))</f>
        <v>0</v>
      </c>
      <c r="W313" s="156">
        <f>IF($E313="","",Input!$C$35)</f>
        <v>0.02</v>
      </c>
      <c r="X313" s="156">
        <f t="shared" si="207"/>
        <v>1.6406059944647307</v>
      </c>
      <c r="Y313" s="154"/>
      <c r="Z313" s="147">
        <f>IF($E313="","",VLOOKUP($D313,'Mortality Margins &amp; Grading'!$AB$5:$AF$125,3,0)*IF(Summary!$D$25="Included Margin",IF(AND($B313&gt;Input!$C$9,Summary!$D$31&lt;&gt;"Included Margin"),0,1),0))</f>
        <v>3.1E-2</v>
      </c>
      <c r="AA313" s="147">
        <f>IF($E313="","",VLOOKUP($D313,'Mortality Margins &amp; Grading'!$AB$5:$AF$125,5,0)*IF(Summary!$D$25="Included Margin",IF(AND($B313&gt;Input!$C$9,Summary!$D$31&lt;&gt;"Included Margin"),0,1),0))</f>
        <v>0.161</v>
      </c>
      <c r="AB313" s="147">
        <f>IF($E313="","",IF(AND($B313&gt;Input!$C$9,Summary!$D$31&lt;&gt;"Included Margin"),1,IF(Summary!$D$25="Included Margin",VLOOKUP($B313,'Mortality Margins &amp; Grading'!$AI$5:$AR$125,MATCH('Mortality Margins &amp; Grading'!$AQ$4,'Mortality Margins &amp; Grading'!$AI$4:$AR$4,0),0),1)))</f>
        <v>1</v>
      </c>
      <c r="AC313" s="154"/>
      <c r="AD313" s="158">
        <f>IF(E313="","",Input!$C$48*IF(Summary!$D$30="Included Margin",IF(AND($B313&gt;Input!$C$9,Summary!$D$31&lt;&gt;"Included Margin"),0,1),0))</f>
        <v>-4.4999999999999997E-3</v>
      </c>
      <c r="AE313" s="159">
        <f>IF(E313="","",IF(Summary!$D$26="Included Margin",IF(AND($B313&gt;Input!$C$9,Summary!$D$31&lt;&gt;"Included Margin"),1,1/$R313),1))</f>
        <v>1.1335038024717301</v>
      </c>
      <c r="AF313" s="160">
        <f>IF(E313="","",IF(AND($B313&gt;=Input!$C$9,$C313=12,Summary!$D$31="Included Margin",$U313&gt;0),1/U313-1,IF($B313&gt;=Input!$C$9,0,Input!$C$45*IF(Summary!$D$27="Included Margin",1,0))))</f>
        <v>0</v>
      </c>
      <c r="AG313" s="160">
        <f>IF(E313="","",Input!$C$46*IF(Summary!$D$28="Included Margin",IF(AND($B313&gt;Input!$C$9,Summary!$D$31&lt;&gt;"Included Margin"),0,1),0))</f>
        <v>0.02</v>
      </c>
      <c r="AH313" s="158">
        <f>IF(E313="","",Input!$C$47*IF(Summary!$D$29="Included Margin",IF(AND($B313&gt;Input!$C$9,Summary!$D$31&lt;&gt;"Included Margin"),0,1),0))</f>
        <v>2.5000000000000001E-3</v>
      </c>
      <c r="AI313" s="154"/>
      <c r="AJ313" s="158">
        <f t="shared" si="189"/>
        <v>3.6840000000000005E-2</v>
      </c>
      <c r="AK313" s="155">
        <f t="shared" si="190"/>
        <v>3.0193512630141139E-3</v>
      </c>
      <c r="AL313" s="147">
        <f t="shared" si="191"/>
        <v>3.736880120000001E-2</v>
      </c>
      <c r="AM313" s="147">
        <f t="shared" si="169"/>
        <v>3.168711641606925E-3</v>
      </c>
      <c r="AN313" s="160">
        <f t="shared" si="192"/>
        <v>0</v>
      </c>
      <c r="AO313" s="161">
        <f t="shared" si="193"/>
        <v>0</v>
      </c>
      <c r="AP313" s="156">
        <f t="shared" si="170"/>
        <v>1.7441463240472346</v>
      </c>
      <c r="AQ313" s="152"/>
      <c r="AR313" s="162">
        <f t="shared" si="171"/>
        <v>1253.912467283667</v>
      </c>
      <c r="AS313" s="150">
        <f t="shared" si="194"/>
        <v>0</v>
      </c>
      <c r="AT313" s="163">
        <f t="shared" si="172"/>
        <v>0</v>
      </c>
      <c r="AU313" s="163">
        <f t="shared" si="173"/>
        <v>316.8711641606925</v>
      </c>
      <c r="AV313" s="163">
        <f t="shared" si="195"/>
        <v>3.307629516941414</v>
      </c>
      <c r="AW313" s="163">
        <f t="shared" si="174"/>
        <v>2.9891687086692547</v>
      </c>
      <c r="AX313" s="163">
        <f t="shared" si="175"/>
        <v>0</v>
      </c>
      <c r="AY313" s="164">
        <f t="shared" si="196"/>
        <v>943.33810134858516</v>
      </c>
      <c r="AZ313" s="164">
        <f>IF($E313="","",IF(OR(AND($D313=Input!$C$6,$C313=12),$AN313=1),0,-AS314+AT314+AU314-AV314-AW314-AX314+AZ314))</f>
        <v>943.33882244752954</v>
      </c>
      <c r="BA313" s="154">
        <f t="shared" si="176"/>
        <v>7.2109894438199262E-4</v>
      </c>
      <c r="BC313" s="147">
        <f t="shared" si="197"/>
        <v>4.6731207232848675E-2</v>
      </c>
      <c r="BD313" s="164">
        <f>IF(AND($C312=12,$D312=Input!$C$6),0,IF($E313="","",AT313+(AU313+BD314)/(1+$AK313)*MIN((1-AM313-AN313),1)))</f>
        <v>926.04093070056967</v>
      </c>
      <c r="BE313" s="164">
        <f t="shared" si="177"/>
        <v>43.275010638668377</v>
      </c>
      <c r="BF313" s="164">
        <f t="shared" si="198"/>
        <v>943.33882244752954</v>
      </c>
      <c r="BG313" s="164">
        <f t="shared" si="178"/>
        <v>44.083362002586945</v>
      </c>
      <c r="BH313" s="152"/>
      <c r="BI313" s="162">
        <f t="shared" si="179"/>
        <v>-286.34955031710689</v>
      </c>
      <c r="BJ313" s="150">
        <f t="shared" si="180"/>
        <v>0</v>
      </c>
      <c r="BK313" s="163">
        <f t="shared" si="202"/>
        <v>0</v>
      </c>
      <c r="BL313" s="163">
        <f t="shared" si="181"/>
        <v>270.45574106063788</v>
      </c>
      <c r="BM313" s="163">
        <f t="shared" si="203"/>
        <v>-1.4255216890281377</v>
      </c>
      <c r="BN313" s="163">
        <f t="shared" si="182"/>
        <v>-1.5138595149452729</v>
      </c>
      <c r="BO313" s="163">
        <f t="shared" si="183"/>
        <v>0</v>
      </c>
      <c r="BP313" s="164">
        <f t="shared" si="204"/>
        <v>-559.74467258171819</v>
      </c>
      <c r="BQ313" s="164">
        <f>IF($E313="","",IF(AND($D313=Input!$C$6,$C313=12),0,-BJ314+BK314+BL314-BM314-BN314-BO314+BQ314))</f>
        <v>-559.74390079811849</v>
      </c>
      <c r="BR313" s="161">
        <f t="shared" si="184"/>
        <v>0</v>
      </c>
      <c r="BT313" s="147">
        <f t="shared" si="185"/>
        <v>4.6731207232848675E-2</v>
      </c>
      <c r="BU313" s="164">
        <f>IF(AND($C312=12,$D312=Input!$C$6),0,IF($E313="","",BK313+(BL313+BU314)/(1+$AK313)*MIN((1-T313-U313),1)))</f>
        <v>29369.326526767109</v>
      </c>
      <c r="BV313" s="164">
        <f t="shared" si="186"/>
        <v>1372.4640842115537</v>
      </c>
      <c r="BW313" s="164">
        <f t="shared" si="187"/>
        <v>-559.74390079811849</v>
      </c>
      <c r="BX313" s="164">
        <f t="shared" si="188"/>
        <v>-26.157508225519965</v>
      </c>
    </row>
    <row r="314" spans="1:76" s="150" customFormat="1" x14ac:dyDescent="0.25">
      <c r="A314" s="150">
        <f t="shared" si="199"/>
        <v>310</v>
      </c>
      <c r="B314" s="150">
        <f t="shared" si="200"/>
        <v>26</v>
      </c>
      <c r="C314" s="150">
        <f t="shared" si="201"/>
        <v>10</v>
      </c>
      <c r="D314" s="150">
        <f>IF(E314="","",Input!$C$4+B314-1)</f>
        <v>70</v>
      </c>
      <c r="E314" s="150">
        <f>IF(OR(AND(C313=12,D313=Input!$C$6),E313=""),"",1)</f>
        <v>1</v>
      </c>
      <c r="F314" s="150">
        <f>IF(E314="","",Input!$C$8+B314-1)</f>
        <v>2043</v>
      </c>
      <c r="G314" s="151">
        <f>IF(E314="","",MAX(0,Input!$C$9-B314))</f>
        <v>0</v>
      </c>
      <c r="H314" s="152">
        <f>IF(E314="","",Input!$C$3)</f>
        <v>100000</v>
      </c>
      <c r="I314" s="153">
        <f>IF(E314="","",HLOOKUP($B314,Input!$C$13:$BT$14,2))</f>
        <v>32.364500000000007</v>
      </c>
      <c r="J314" s="154"/>
      <c r="K314" s="155">
        <f>IF($E314="","",INDEX(Input!$C$16:$CP$16,1,$B314))</f>
        <v>2.6339999999999999E-2</v>
      </c>
      <c r="L314" s="155">
        <f>IF($E314="","",Input!$C$37)</f>
        <v>1.4999999999999999E-2</v>
      </c>
      <c r="M314" s="155">
        <f t="shared" si="205"/>
        <v>4.1340000000000002E-2</v>
      </c>
      <c r="N314" s="155">
        <f t="shared" si="206"/>
        <v>3.3813995212614856E-3</v>
      </c>
      <c r="O314" s="147">
        <f>IF($E314="","",MIN(VLOOKUP(IF($B314&lt;=Input!$C$7,$B314,26),'Mortality Tables'!$A$41:$CW$67,IF($B314&lt;=Input!$C$7+1,Input!$C$4+2,$D314-Input!$C$7+2),0)*IF(B314&gt;20,Input!$C$22,1)/1000,1))</f>
        <v>3.6245200000000005E-2</v>
      </c>
      <c r="P314" s="147">
        <f>IF($E314="","",MIN(VLOOKUP(IF($B314&lt;=Input!$C$7,$B314,26),'Mortality Tables'!$A$12:$CW$37,IF($B314&lt;=Input!$C$7+1,Input!$C$4+2,$D314-Input!$C$7+2),0)*IF(B314&gt;20,Input!$C$22,1)/1000,1))</f>
        <v>4.5306500000000006E-2</v>
      </c>
      <c r="Q314" s="155">
        <f>IF($E314="","",Input!$C$21)</f>
        <v>5.0000000000000001E-3</v>
      </c>
      <c r="R314" s="159">
        <f>IF($E314="","",(1-Q314)^($F314-Input!$C$20))</f>
        <v>0.88222024294880153</v>
      </c>
      <c r="S314" s="147">
        <f t="shared" si="167"/>
        <v>3.1976249149727909E-2</v>
      </c>
      <c r="T314" s="147">
        <f t="shared" si="168"/>
        <v>2.7045574106063786E-3</v>
      </c>
      <c r="U314" s="160">
        <f>IF($E314="","",IF($C314=12,INDEX(Input!$C$15:$CP$15,1,$B314),0))</f>
        <v>0</v>
      </c>
      <c r="V314" s="150">
        <f>IF(E314="","",IF(C314=1,IF($B314=1,Input!$C$33,Input!$C$34),0))</f>
        <v>0</v>
      </c>
      <c r="W314" s="156">
        <f>IF($E314="","",Input!$C$35)</f>
        <v>0.02</v>
      </c>
      <c r="X314" s="156">
        <f t="shared" si="207"/>
        <v>1.6406059944647307</v>
      </c>
      <c r="Y314" s="154"/>
      <c r="Z314" s="147">
        <f>IF($E314="","",VLOOKUP($D314,'Mortality Margins &amp; Grading'!$AB$5:$AF$125,3,0)*IF(Summary!$D$25="Included Margin",IF(AND($B314&gt;Input!$C$9,Summary!$D$31&lt;&gt;"Included Margin"),0,1),0))</f>
        <v>3.1E-2</v>
      </c>
      <c r="AA314" s="147">
        <f>IF($E314="","",VLOOKUP($D314,'Mortality Margins &amp; Grading'!$AB$5:$AF$125,5,0)*IF(Summary!$D$25="Included Margin",IF(AND($B314&gt;Input!$C$9,Summary!$D$31&lt;&gt;"Included Margin"),0,1),0))</f>
        <v>0.161</v>
      </c>
      <c r="AB314" s="147">
        <f>IF($E314="","",IF(AND($B314&gt;Input!$C$9,Summary!$D$31&lt;&gt;"Included Margin"),1,IF(Summary!$D$25="Included Margin",VLOOKUP($B314,'Mortality Margins &amp; Grading'!$AI$5:$AR$125,MATCH('Mortality Margins &amp; Grading'!$AQ$4,'Mortality Margins &amp; Grading'!$AI$4:$AR$4,0),0),1)))</f>
        <v>1</v>
      </c>
      <c r="AC314" s="154"/>
      <c r="AD314" s="158">
        <f>IF(E314="","",Input!$C$48*IF(Summary!$D$30="Included Margin",IF(AND($B314&gt;Input!$C$9,Summary!$D$31&lt;&gt;"Included Margin"),0,1),0))</f>
        <v>-4.4999999999999997E-3</v>
      </c>
      <c r="AE314" s="159">
        <f>IF(E314="","",IF(Summary!$D$26="Included Margin",IF(AND($B314&gt;Input!$C$9,Summary!$D$31&lt;&gt;"Included Margin"),1,1/$R314),1))</f>
        <v>1.1335038024717301</v>
      </c>
      <c r="AF314" s="160">
        <f>IF(E314="","",IF(AND($B314&gt;=Input!$C$9,$C314=12,Summary!$D$31="Included Margin",$U314&gt;0),1/U314-1,IF($B314&gt;=Input!$C$9,0,Input!$C$45*IF(Summary!$D$27="Included Margin",1,0))))</f>
        <v>0</v>
      </c>
      <c r="AG314" s="160">
        <f>IF(E314="","",Input!$C$46*IF(Summary!$D$28="Included Margin",IF(AND($B314&gt;Input!$C$9,Summary!$D$31&lt;&gt;"Included Margin"),0,1),0))</f>
        <v>0.02</v>
      </c>
      <c r="AH314" s="158">
        <f>IF(E314="","",Input!$C$47*IF(Summary!$D$29="Included Margin",IF(AND($B314&gt;Input!$C$9,Summary!$D$31&lt;&gt;"Included Margin"),0,1),0))</f>
        <v>2.5000000000000001E-3</v>
      </c>
      <c r="AI314" s="154"/>
      <c r="AJ314" s="158">
        <f t="shared" si="189"/>
        <v>3.6840000000000005E-2</v>
      </c>
      <c r="AK314" s="155">
        <f t="shared" si="190"/>
        <v>3.0193512630141139E-3</v>
      </c>
      <c r="AL314" s="147">
        <f t="shared" si="191"/>
        <v>3.736880120000001E-2</v>
      </c>
      <c r="AM314" s="147">
        <f t="shared" si="169"/>
        <v>3.168711641606925E-3</v>
      </c>
      <c r="AN314" s="160">
        <f t="shared" si="192"/>
        <v>0</v>
      </c>
      <c r="AO314" s="161">
        <f t="shared" si="193"/>
        <v>0</v>
      </c>
      <c r="AP314" s="156">
        <f t="shared" si="170"/>
        <v>1.7441463240472346</v>
      </c>
      <c r="AQ314" s="152"/>
      <c r="AR314" s="162">
        <f t="shared" si="171"/>
        <v>943.33810134858504</v>
      </c>
      <c r="AS314" s="150">
        <f t="shared" si="194"/>
        <v>0</v>
      </c>
      <c r="AT314" s="163">
        <f t="shared" si="172"/>
        <v>0</v>
      </c>
      <c r="AU314" s="163">
        <f t="shared" si="173"/>
        <v>316.8711641606925</v>
      </c>
      <c r="AV314" s="163">
        <f t="shared" si="195"/>
        <v>2.3698964128955167</v>
      </c>
      <c r="AW314" s="163">
        <f t="shared" si="174"/>
        <v>1.9989389413509941</v>
      </c>
      <c r="AX314" s="163">
        <f t="shared" si="175"/>
        <v>0</v>
      </c>
      <c r="AY314" s="165">
        <f t="shared" si="196"/>
        <v>630.83577254213901</v>
      </c>
      <c r="AZ314" s="164">
        <f>IF($E314="","",IF(OR(AND($D314=Input!$C$6,$C314=12),$AN314=1),0,-AS315+AT315+AU315-AV315-AW315-AX315+AZ315))</f>
        <v>630.83649364108351</v>
      </c>
      <c r="BA314" s="154">
        <f t="shared" si="176"/>
        <v>7.2109894449567946E-4</v>
      </c>
      <c r="BC314" s="147">
        <f t="shared" si="197"/>
        <v>4.6604820000020489E-2</v>
      </c>
      <c r="BD314" s="164">
        <f>IF(AND($C313=12,$D313=Input!$C$6),0,IF($E314="","",AT314+(AU314+BD315)/(1+$AK314)*MIN((1-AM314-AN314),1)))</f>
        <v>614.91838177532577</v>
      </c>
      <c r="BE314" s="164">
        <f t="shared" si="177"/>
        <v>28.658160497342937</v>
      </c>
      <c r="BF314" s="164">
        <f t="shared" si="198"/>
        <v>630.83649364108351</v>
      </c>
      <c r="BG314" s="164">
        <f t="shared" si="178"/>
        <v>29.400021235586767</v>
      </c>
      <c r="BH314" s="152"/>
      <c r="BI314" s="162">
        <f t="shared" si="179"/>
        <v>-559.74467258171808</v>
      </c>
      <c r="BJ314" s="150">
        <f t="shared" si="180"/>
        <v>0</v>
      </c>
      <c r="BK314" s="163">
        <f t="shared" si="202"/>
        <v>0</v>
      </c>
      <c r="BL314" s="163">
        <f t="shared" si="181"/>
        <v>270.45574106063788</v>
      </c>
      <c r="BM314" s="163">
        <f t="shared" si="203"/>
        <v>-2.3499798245689192</v>
      </c>
      <c r="BN314" s="163">
        <f t="shared" si="182"/>
        <v>-2.2577845569762971</v>
      </c>
      <c r="BO314" s="163">
        <f t="shared" si="183"/>
        <v>0</v>
      </c>
      <c r="BP314" s="164">
        <f t="shared" si="204"/>
        <v>-834.80817802390106</v>
      </c>
      <c r="BQ314" s="164">
        <f>IF($E314="","",IF(AND($D314=Input!$C$6,$C314=12),0,-BJ315+BK315+BL315-BM315-BN315-BO315+BQ315))</f>
        <v>-834.80740624030159</v>
      </c>
      <c r="BR314" s="161">
        <f t="shared" si="184"/>
        <v>0</v>
      </c>
      <c r="BT314" s="147">
        <f t="shared" si="185"/>
        <v>4.6604820000020489E-2</v>
      </c>
      <c r="BU314" s="164">
        <f>IF(AND($C313=12,$D313=Input!$C$6),0,IF($E314="","",BK314+(BL314+BU315)/(1+$AK314)*MIN((1-T314-U314),1)))</f>
        <v>29267.434017489097</v>
      </c>
      <c r="BV314" s="164">
        <f t="shared" si="186"/>
        <v>1364.0034942475559</v>
      </c>
      <c r="BW314" s="164">
        <f t="shared" si="187"/>
        <v>-834.80740624030159</v>
      </c>
      <c r="BX314" s="164">
        <f t="shared" si="188"/>
        <v>-38.906048902513234</v>
      </c>
    </row>
    <row r="315" spans="1:76" s="150" customFormat="1" x14ac:dyDescent="0.25">
      <c r="A315" s="150">
        <f t="shared" si="199"/>
        <v>311</v>
      </c>
      <c r="B315" s="150">
        <f t="shared" si="200"/>
        <v>26</v>
      </c>
      <c r="C315" s="150">
        <f t="shared" si="201"/>
        <v>11</v>
      </c>
      <c r="D315" s="150">
        <f>IF(E315="","",Input!$C$4+B315-1)</f>
        <v>70</v>
      </c>
      <c r="E315" s="150">
        <f>IF(OR(AND(C314=12,D314=Input!$C$6),E314=""),"",1)</f>
        <v>1</v>
      </c>
      <c r="F315" s="150">
        <f>IF(E315="","",Input!$C$8+B315-1)</f>
        <v>2043</v>
      </c>
      <c r="G315" s="151">
        <f>IF(E315="","",MAX(0,Input!$C$9-B315))</f>
        <v>0</v>
      </c>
      <c r="H315" s="152">
        <f>IF(E315="","",Input!$C$3)</f>
        <v>100000</v>
      </c>
      <c r="I315" s="153">
        <f>IF(E315="","",HLOOKUP($B315,Input!$C$13:$BT$14,2))</f>
        <v>32.364500000000007</v>
      </c>
      <c r="J315" s="154"/>
      <c r="K315" s="155">
        <f>IF($E315="","",INDEX(Input!$C$16:$CP$16,1,$B315))</f>
        <v>2.6339999999999999E-2</v>
      </c>
      <c r="L315" s="155">
        <f>IF($E315="","",Input!$C$37)</f>
        <v>1.4999999999999999E-2</v>
      </c>
      <c r="M315" s="155">
        <f t="shared" si="205"/>
        <v>4.1340000000000002E-2</v>
      </c>
      <c r="N315" s="155">
        <f t="shared" si="206"/>
        <v>3.3813995212614856E-3</v>
      </c>
      <c r="O315" s="147">
        <f>IF($E315="","",MIN(VLOOKUP(IF($B315&lt;=Input!$C$7,$B315,26),'Mortality Tables'!$A$41:$CW$67,IF($B315&lt;=Input!$C$7+1,Input!$C$4+2,$D315-Input!$C$7+2),0)*IF(B315&gt;20,Input!$C$22,1)/1000,1))</f>
        <v>3.6245200000000005E-2</v>
      </c>
      <c r="P315" s="147">
        <f>IF($E315="","",MIN(VLOOKUP(IF($B315&lt;=Input!$C$7,$B315,26),'Mortality Tables'!$A$12:$CW$37,IF($B315&lt;=Input!$C$7+1,Input!$C$4+2,$D315-Input!$C$7+2),0)*IF(B315&gt;20,Input!$C$22,1)/1000,1))</f>
        <v>4.5306500000000006E-2</v>
      </c>
      <c r="Q315" s="155">
        <f>IF($E315="","",Input!$C$21)</f>
        <v>5.0000000000000001E-3</v>
      </c>
      <c r="R315" s="159">
        <f>IF($E315="","",(1-Q315)^($F315-Input!$C$20))</f>
        <v>0.88222024294880153</v>
      </c>
      <c r="S315" s="147">
        <f t="shared" si="167"/>
        <v>3.1976249149727909E-2</v>
      </c>
      <c r="T315" s="147">
        <f t="shared" si="168"/>
        <v>2.7045574106063786E-3</v>
      </c>
      <c r="U315" s="160">
        <f>IF($E315="","",IF($C315=12,INDEX(Input!$C$15:$CP$15,1,$B315),0))</f>
        <v>0</v>
      </c>
      <c r="V315" s="150">
        <f>IF(E315="","",IF(C315=1,IF($B315=1,Input!$C$33,Input!$C$34),0))</f>
        <v>0</v>
      </c>
      <c r="W315" s="156">
        <f>IF($E315="","",Input!$C$35)</f>
        <v>0.02</v>
      </c>
      <c r="X315" s="156">
        <f t="shared" si="207"/>
        <v>1.6406059944647307</v>
      </c>
      <c r="Y315" s="154"/>
      <c r="Z315" s="147">
        <f>IF($E315="","",VLOOKUP($D315,'Mortality Margins &amp; Grading'!$AB$5:$AF$125,3,0)*IF(Summary!$D$25="Included Margin",IF(AND($B315&gt;Input!$C$9,Summary!$D$31&lt;&gt;"Included Margin"),0,1),0))</f>
        <v>3.1E-2</v>
      </c>
      <c r="AA315" s="147">
        <f>IF($E315="","",VLOOKUP($D315,'Mortality Margins &amp; Grading'!$AB$5:$AF$125,5,0)*IF(Summary!$D$25="Included Margin",IF(AND($B315&gt;Input!$C$9,Summary!$D$31&lt;&gt;"Included Margin"),0,1),0))</f>
        <v>0.161</v>
      </c>
      <c r="AB315" s="147">
        <f>IF($E315="","",IF(AND($B315&gt;Input!$C$9,Summary!$D$31&lt;&gt;"Included Margin"),1,IF(Summary!$D$25="Included Margin",VLOOKUP($B315,'Mortality Margins &amp; Grading'!$AI$5:$AR$125,MATCH('Mortality Margins &amp; Grading'!$AQ$4,'Mortality Margins &amp; Grading'!$AI$4:$AR$4,0),0),1)))</f>
        <v>1</v>
      </c>
      <c r="AC315" s="154"/>
      <c r="AD315" s="158">
        <f>IF(E315="","",Input!$C$48*IF(Summary!$D$30="Included Margin",IF(AND($B315&gt;Input!$C$9,Summary!$D$31&lt;&gt;"Included Margin"),0,1),0))</f>
        <v>-4.4999999999999997E-3</v>
      </c>
      <c r="AE315" s="159">
        <f>IF(E315="","",IF(Summary!$D$26="Included Margin",IF(AND($B315&gt;Input!$C$9,Summary!$D$31&lt;&gt;"Included Margin"),1,1/$R315),1))</f>
        <v>1.1335038024717301</v>
      </c>
      <c r="AF315" s="160">
        <f>IF(E315="","",IF(AND($B315&gt;=Input!$C$9,$C315=12,Summary!$D$31="Included Margin",$U315&gt;0),1/U315-1,IF($B315&gt;=Input!$C$9,0,Input!$C$45*IF(Summary!$D$27="Included Margin",1,0))))</f>
        <v>0</v>
      </c>
      <c r="AG315" s="160">
        <f>IF(E315="","",Input!$C$46*IF(Summary!$D$28="Included Margin",IF(AND($B315&gt;Input!$C$9,Summary!$D$31&lt;&gt;"Included Margin"),0,1),0))</f>
        <v>0.02</v>
      </c>
      <c r="AH315" s="158">
        <f>IF(E315="","",Input!$C$47*IF(Summary!$D$29="Included Margin",IF(AND($B315&gt;Input!$C$9,Summary!$D$31&lt;&gt;"Included Margin"),0,1),0))</f>
        <v>2.5000000000000001E-3</v>
      </c>
      <c r="AI315" s="154"/>
      <c r="AJ315" s="158">
        <f t="shared" si="189"/>
        <v>3.6840000000000005E-2</v>
      </c>
      <c r="AK315" s="155">
        <f t="shared" si="190"/>
        <v>3.0193512630141139E-3</v>
      </c>
      <c r="AL315" s="147">
        <f t="shared" si="191"/>
        <v>3.736880120000001E-2</v>
      </c>
      <c r="AM315" s="147">
        <f t="shared" si="169"/>
        <v>3.168711641606925E-3</v>
      </c>
      <c r="AN315" s="160">
        <f t="shared" si="192"/>
        <v>0</v>
      </c>
      <c r="AO315" s="161">
        <f t="shared" si="193"/>
        <v>0</v>
      </c>
      <c r="AP315" s="156">
        <f t="shared" si="170"/>
        <v>1.7441463240472346</v>
      </c>
      <c r="AQ315" s="152"/>
      <c r="AR315" s="162">
        <f t="shared" si="171"/>
        <v>630.83577254213901</v>
      </c>
      <c r="AS315" s="150">
        <f t="shared" si="194"/>
        <v>0</v>
      </c>
      <c r="AT315" s="163">
        <f t="shared" si="172"/>
        <v>0</v>
      </c>
      <c r="AU315" s="163">
        <f t="shared" si="173"/>
        <v>316.8711641606925</v>
      </c>
      <c r="AV315" s="163">
        <f t="shared" si="195"/>
        <v>1.4263421117189219</v>
      </c>
      <c r="AW315" s="163">
        <f t="shared" si="174"/>
        <v>1.0025620916109081</v>
      </c>
      <c r="AX315" s="163">
        <f t="shared" si="175"/>
        <v>0</v>
      </c>
      <c r="AY315" s="164">
        <f t="shared" si="196"/>
        <v>316.39351258477632</v>
      </c>
      <c r="AZ315" s="164">
        <f>IF($E315="","",IF(OR(AND($D315=Input!$C$6,$C315=12),$AN315=1),0,-AS316+AT316+AU316-AV316-AW316-AX316+AZ316))</f>
        <v>316.39423368372087</v>
      </c>
      <c r="BA315" s="154">
        <f t="shared" si="176"/>
        <v>7.2109894455252288E-4</v>
      </c>
      <c r="BC315" s="147">
        <f t="shared" si="197"/>
        <v>4.6478774588719456E-2</v>
      </c>
      <c r="BD315" s="164">
        <f>IF(AND($C314=12,$D314=Input!$C$6),0,IF($E315="","",AT315+(AU315+BD316)/(1+$AK315)*MIN((1-AM315-AN315),1)))</f>
        <v>301.86446700484856</v>
      </c>
      <c r="BE315" s="164">
        <f t="shared" si="177"/>
        <v>14.030290518262298</v>
      </c>
      <c r="BF315" s="164">
        <f t="shared" si="198"/>
        <v>316.39423368372087</v>
      </c>
      <c r="BG315" s="164">
        <f t="shared" si="178"/>
        <v>14.705616268556291</v>
      </c>
      <c r="BH315" s="152"/>
      <c r="BI315" s="162">
        <f t="shared" si="179"/>
        <v>-834.80817802390129</v>
      </c>
      <c r="BJ315" s="150">
        <f t="shared" si="180"/>
        <v>0</v>
      </c>
      <c r="BK315" s="163">
        <f t="shared" si="202"/>
        <v>0</v>
      </c>
      <c r="BL315" s="163">
        <f t="shared" si="181"/>
        <v>270.45574106063788</v>
      </c>
      <c r="BM315" s="163">
        <f t="shared" si="203"/>
        <v>-3.2800794301876235</v>
      </c>
      <c r="BN315" s="163">
        <f t="shared" si="182"/>
        <v>-3.0062493728526558</v>
      </c>
      <c r="BO315" s="163">
        <f t="shared" si="183"/>
        <v>0</v>
      </c>
      <c r="BP315" s="164">
        <f t="shared" si="204"/>
        <v>-1111.5502478875794</v>
      </c>
      <c r="BQ315" s="164">
        <f>IF($E315="","",IF(AND($D315=Input!$C$6,$C315=12),0,-BJ316+BK316+BL316-BM316-BN316-BO316+BQ316))</f>
        <v>-1111.5494761039797</v>
      </c>
      <c r="BR315" s="161">
        <f t="shared" si="184"/>
        <v>0</v>
      </c>
      <c r="BT315" s="147">
        <f t="shared" si="185"/>
        <v>4.6478774588719456E-2</v>
      </c>
      <c r="BU315" s="164">
        <f>IF(AND($C314=12,$D314=Input!$C$6),0,IF($E315="","",BK315+(BL315+BU316)/(1+$AK315)*MIN((1-T315-U315),1)))</f>
        <v>29164.956703154603</v>
      </c>
      <c r="BV315" s="164">
        <f t="shared" si="186"/>
        <v>1355.5514484956852</v>
      </c>
      <c r="BW315" s="164">
        <f t="shared" si="187"/>
        <v>-1111.5494761039797</v>
      </c>
      <c r="BX315" s="164">
        <f t="shared" si="188"/>
        <v>-51.663457544046075</v>
      </c>
    </row>
    <row r="316" spans="1:76" s="150" customFormat="1" x14ac:dyDescent="0.25">
      <c r="A316" s="150">
        <f t="shared" si="199"/>
        <v>312</v>
      </c>
      <c r="B316" s="150">
        <f t="shared" si="200"/>
        <v>26</v>
      </c>
      <c r="C316" s="150">
        <f t="shared" si="201"/>
        <v>12</v>
      </c>
      <c r="D316" s="150">
        <f>IF(E316="","",Input!$C$4+B316-1)</f>
        <v>70</v>
      </c>
      <c r="E316" s="150">
        <f>IF(OR(AND(C315=12,D315=Input!$C$6),E315=""),"",1)</f>
        <v>1</v>
      </c>
      <c r="F316" s="150">
        <f>IF(E316="","",Input!$C$8+B316-1)</f>
        <v>2043</v>
      </c>
      <c r="G316" s="151">
        <f>IF(E316="","",MAX(0,Input!$C$9-B316))</f>
        <v>0</v>
      </c>
      <c r="H316" s="152">
        <f>IF(E316="","",Input!$C$3)</f>
        <v>100000</v>
      </c>
      <c r="I316" s="153">
        <f>IF(E316="","",HLOOKUP($B316,Input!$C$13:$BT$14,2))</f>
        <v>32.364500000000007</v>
      </c>
      <c r="J316" s="154"/>
      <c r="K316" s="155">
        <f>IF($E316="","",INDEX(Input!$C$16:$CP$16,1,$B316))</f>
        <v>2.6339999999999999E-2</v>
      </c>
      <c r="L316" s="155">
        <f>IF($E316="","",Input!$C$37)</f>
        <v>1.4999999999999999E-2</v>
      </c>
      <c r="M316" s="155">
        <f t="shared" si="205"/>
        <v>4.1340000000000002E-2</v>
      </c>
      <c r="N316" s="155">
        <f t="shared" si="206"/>
        <v>3.3813995212614856E-3</v>
      </c>
      <c r="O316" s="147">
        <f>IF($E316="","",MIN(VLOOKUP(IF($B316&lt;=Input!$C$7,$B316,26),'Mortality Tables'!$A$41:$CW$67,IF($B316&lt;=Input!$C$7+1,Input!$C$4+2,$D316-Input!$C$7+2),0)*IF(B316&gt;20,Input!$C$22,1)/1000,1))</f>
        <v>3.6245200000000005E-2</v>
      </c>
      <c r="P316" s="147">
        <f>IF($E316="","",MIN(VLOOKUP(IF($B316&lt;=Input!$C$7,$B316,26),'Mortality Tables'!$A$12:$CW$37,IF($B316&lt;=Input!$C$7+1,Input!$C$4+2,$D316-Input!$C$7+2),0)*IF(B316&gt;20,Input!$C$22,1)/1000,1))</f>
        <v>4.5306500000000006E-2</v>
      </c>
      <c r="Q316" s="155">
        <f>IF($E316="","",Input!$C$21)</f>
        <v>5.0000000000000001E-3</v>
      </c>
      <c r="R316" s="159">
        <f>IF($E316="","",(1-Q316)^($F316-Input!$C$20))</f>
        <v>0.88222024294880153</v>
      </c>
      <c r="S316" s="147">
        <f t="shared" si="167"/>
        <v>3.1976249149727909E-2</v>
      </c>
      <c r="T316" s="147">
        <f t="shared" si="168"/>
        <v>2.7045574106063786E-3</v>
      </c>
      <c r="U316" s="160">
        <f>IF($E316="","",IF($C316=12,INDEX(Input!$C$15:$CP$15,1,$B316),0))</f>
        <v>0.1</v>
      </c>
      <c r="V316" s="150">
        <f>IF(E316="","",IF(C316=1,IF($B316=1,Input!$C$33,Input!$C$34),0))</f>
        <v>0</v>
      </c>
      <c r="W316" s="156">
        <f>IF($E316="","",Input!$C$35)</f>
        <v>0.02</v>
      </c>
      <c r="X316" s="156">
        <f t="shared" si="207"/>
        <v>1.6406059944647307</v>
      </c>
      <c r="Y316" s="154"/>
      <c r="Z316" s="147">
        <f>IF($E316="","",VLOOKUP($D316,'Mortality Margins &amp; Grading'!$AB$5:$AF$125,3,0)*IF(Summary!$D$25="Included Margin",IF(AND($B316&gt;Input!$C$9,Summary!$D$31&lt;&gt;"Included Margin"),0,1),0))</f>
        <v>3.1E-2</v>
      </c>
      <c r="AA316" s="147">
        <f>IF($E316="","",VLOOKUP($D316,'Mortality Margins &amp; Grading'!$AB$5:$AF$125,5,0)*IF(Summary!$D$25="Included Margin",IF(AND($B316&gt;Input!$C$9,Summary!$D$31&lt;&gt;"Included Margin"),0,1),0))</f>
        <v>0.161</v>
      </c>
      <c r="AB316" s="147">
        <f>IF($E316="","",IF(AND($B316&gt;Input!$C$9,Summary!$D$31&lt;&gt;"Included Margin"),1,IF(Summary!$D$25="Included Margin",VLOOKUP($B316,'Mortality Margins &amp; Grading'!$AI$5:$AR$125,MATCH('Mortality Margins &amp; Grading'!$AQ$4,'Mortality Margins &amp; Grading'!$AI$4:$AR$4,0),0),1)))</f>
        <v>1</v>
      </c>
      <c r="AC316" s="154"/>
      <c r="AD316" s="158">
        <f>IF(E316="","",Input!$C$48*IF(Summary!$D$30="Included Margin",IF(AND($B316&gt;Input!$C$9,Summary!$D$31&lt;&gt;"Included Margin"),0,1),0))</f>
        <v>-4.4999999999999997E-3</v>
      </c>
      <c r="AE316" s="159">
        <f>IF(E316="","",IF(Summary!$D$26="Included Margin",IF(AND($B316&gt;Input!$C$9,Summary!$D$31&lt;&gt;"Included Margin"),1,1/$R316),1))</f>
        <v>1.1335038024717301</v>
      </c>
      <c r="AF316" s="160">
        <f>IF(E316="","",IF(AND($B316&gt;=Input!$C$9,$C316=12,Summary!$D$31="Included Margin",$U316&gt;0),1/U316-1,IF($B316&gt;=Input!$C$9,0,Input!$C$45*IF(Summary!$D$27="Included Margin",1,0))))</f>
        <v>9</v>
      </c>
      <c r="AG316" s="160">
        <f>IF(E316="","",Input!$C$46*IF(Summary!$D$28="Included Margin",IF(AND($B316&gt;Input!$C$9,Summary!$D$31&lt;&gt;"Included Margin"),0,1),0))</f>
        <v>0.02</v>
      </c>
      <c r="AH316" s="158">
        <f>IF(E316="","",Input!$C$47*IF(Summary!$D$29="Included Margin",IF(AND($B316&gt;Input!$C$9,Summary!$D$31&lt;&gt;"Included Margin"),0,1),0))</f>
        <v>2.5000000000000001E-3</v>
      </c>
      <c r="AI316" s="154"/>
      <c r="AJ316" s="158">
        <f t="shared" si="189"/>
        <v>3.6840000000000005E-2</v>
      </c>
      <c r="AK316" s="155">
        <f t="shared" si="190"/>
        <v>3.0193512630141139E-3</v>
      </c>
      <c r="AL316" s="147">
        <f t="shared" si="191"/>
        <v>3.736880120000001E-2</v>
      </c>
      <c r="AM316" s="147">
        <f t="shared" si="169"/>
        <v>3.168711641606925E-3</v>
      </c>
      <c r="AN316" s="160">
        <f t="shared" si="192"/>
        <v>1</v>
      </c>
      <c r="AO316" s="161">
        <f t="shared" si="193"/>
        <v>0</v>
      </c>
      <c r="AP316" s="156">
        <f t="shared" si="170"/>
        <v>1.7441463240472346</v>
      </c>
      <c r="AQ316" s="152"/>
      <c r="AR316" s="162">
        <f t="shared" si="171"/>
        <v>316.39351258477632</v>
      </c>
      <c r="AS316" s="150">
        <f t="shared" si="194"/>
        <v>0</v>
      </c>
      <c r="AT316" s="163">
        <f t="shared" si="172"/>
        <v>0</v>
      </c>
      <c r="AU316" s="163">
        <f t="shared" si="173"/>
        <v>316.8711641606925</v>
      </c>
      <c r="AV316" s="163">
        <f t="shared" si="195"/>
        <v>0.47693047697164653</v>
      </c>
      <c r="AW316" s="163">
        <f t="shared" si="174"/>
        <v>0</v>
      </c>
      <c r="AX316" s="163">
        <f t="shared" si="175"/>
        <v>0</v>
      </c>
      <c r="AY316" s="165">
        <f t="shared" si="196"/>
        <v>-7.2109894453736834E-4</v>
      </c>
      <c r="AZ316" s="164">
        <f>IF($E316="","",IF(OR(AND($D316=Input!$C$6,$C316=12),$AN316=1),0,-AS317+AT317+AU317-AV317-AW317-AX317+AZ317))</f>
        <v>0</v>
      </c>
      <c r="BA316" s="154">
        <f t="shared" si="176"/>
        <v>7.2109894453736834E-4</v>
      </c>
      <c r="BC316" s="147">
        <f t="shared" si="197"/>
        <v>4.1705192615597686E-2</v>
      </c>
      <c r="BD316" s="164">
        <f>IF(AND($C315=12,$D315=Input!$C$6),0,IF($E316="","",AT316+(AU316+BD317)/(1+$AK316)*MIN((1-AM316-AN316),1)))</f>
        <v>-13.132803015169289</v>
      </c>
      <c r="BE316" s="164">
        <f t="shared" si="177"/>
        <v>-0.54770607933033721</v>
      </c>
      <c r="BF316" s="164">
        <f t="shared" si="198"/>
        <v>0</v>
      </c>
      <c r="BG316" s="164">
        <f t="shared" si="178"/>
        <v>0</v>
      </c>
      <c r="BH316" s="152"/>
      <c r="BI316" s="162">
        <f t="shared" si="179"/>
        <v>-1111.5502478875794</v>
      </c>
      <c r="BJ316" s="150">
        <f t="shared" si="180"/>
        <v>0</v>
      </c>
      <c r="BK316" s="163">
        <f t="shared" si="202"/>
        <v>0</v>
      </c>
      <c r="BL316" s="163">
        <f t="shared" si="181"/>
        <v>270.45574106063788</v>
      </c>
      <c r="BM316" s="163">
        <f t="shared" si="203"/>
        <v>-4.2158549327375772</v>
      </c>
      <c r="BN316" s="163">
        <f t="shared" si="182"/>
        <v>-4.1769796292988399</v>
      </c>
      <c r="BO316" s="163">
        <f t="shared" si="183"/>
        <v>-154.02456356637282</v>
      </c>
      <c r="BP316" s="164">
        <f t="shared" si="204"/>
        <v>-1544.4233870766263</v>
      </c>
      <c r="BQ316" s="164">
        <f>IF($E316="","",IF(AND($D316=Input!$C$6,$C316=12),0,-BJ317+BK317+BL317-BM317-BN317-BO317+BQ317))</f>
        <v>-1544.4226152930269</v>
      </c>
      <c r="BR316" s="161">
        <f t="shared" si="184"/>
        <v>0</v>
      </c>
      <c r="BT316" s="147">
        <f t="shared" si="185"/>
        <v>4.1705192615597686E-2</v>
      </c>
      <c r="BU316" s="164">
        <f>IF(AND($C315=12,$D315=Input!$C$6),0,IF($E316="","",BK316+(BL316+BU317)/(1+$AK316)*MIN((1-T316-U316),1)))</f>
        <v>29061.891227315184</v>
      </c>
      <c r="BV316" s="164">
        <f t="shared" si="186"/>
        <v>1212.0317714087284</v>
      </c>
      <c r="BW316" s="164">
        <f t="shared" si="187"/>
        <v>-1544.4226152930269</v>
      </c>
      <c r="BX316" s="164">
        <f t="shared" si="188"/>
        <v>-64.410442650680807</v>
      </c>
    </row>
    <row r="317" spans="1:76" s="150" customFormat="1" x14ac:dyDescent="0.25">
      <c r="A317" s="150">
        <f t="shared" si="199"/>
        <v>313</v>
      </c>
      <c r="B317" s="150">
        <f t="shared" si="200"/>
        <v>27</v>
      </c>
      <c r="C317" s="150">
        <f t="shared" si="201"/>
        <v>1</v>
      </c>
      <c r="D317" s="150">
        <f>IF(E317="","",Input!$C$4+B317-1)</f>
        <v>71</v>
      </c>
      <c r="E317" s="150">
        <f>IF(OR(AND(C316=12,D316=Input!$C$6),E316=""),"",1)</f>
        <v>1</v>
      </c>
      <c r="F317" s="150">
        <f>IF(E317="","",Input!$C$8+B317-1)</f>
        <v>2044</v>
      </c>
      <c r="G317" s="151">
        <f>IF(E317="","",MAX(0,Input!$C$9-B317))</f>
        <v>0</v>
      </c>
      <c r="H317" s="152">
        <f>IF(E317="","",Input!$C$3)</f>
        <v>100000</v>
      </c>
      <c r="I317" s="153">
        <f>IF(E317="","",HLOOKUP($B317,Input!$C$13:$BT$14,2))</f>
        <v>36.260000000000005</v>
      </c>
      <c r="J317" s="154"/>
      <c r="K317" s="155">
        <f>IF($E317="","",INDEX(Input!$C$16:$CP$16,1,$B317))</f>
        <v>2.6849999999999999E-2</v>
      </c>
      <c r="L317" s="155">
        <f>IF($E317="","",Input!$C$37)</f>
        <v>1.4999999999999999E-2</v>
      </c>
      <c r="M317" s="155">
        <f t="shared" si="205"/>
        <v>4.1849999999999998E-2</v>
      </c>
      <c r="N317" s="155">
        <f t="shared" si="206"/>
        <v>3.4223411351659294E-3</v>
      </c>
      <c r="O317" s="147">
        <f>IF($E317="","",MIN(VLOOKUP(IF($B317&lt;=Input!$C$7,$B317,26),'Mortality Tables'!$A$41:$CW$67,IF($B317&lt;=Input!$C$7+1,Input!$C$4+2,$D317-Input!$C$7+2),0)*IF(B317&gt;20,Input!$C$22,1)/1000,1))</f>
        <v>4.0637600000000003E-2</v>
      </c>
      <c r="P317" s="147">
        <f>IF($E317="","",MIN(VLOOKUP(IF($B317&lt;=Input!$C$7,$B317,26),'Mortality Tables'!$A$12:$CW$37,IF($B317&lt;=Input!$C$7+1,Input!$C$4+2,$D317-Input!$C$7+2),0)*IF(B317&gt;20,Input!$C$22,1)/1000,1))</f>
        <v>5.0796999999999995E-2</v>
      </c>
      <c r="Q317" s="155">
        <f>IF($E317="","",Input!$C$21)</f>
        <v>5.0000000000000001E-3</v>
      </c>
      <c r="R317" s="159">
        <f>IF($E317="","",(1-Q317)^($F317-Input!$C$20))</f>
        <v>0.87780914173405755</v>
      </c>
      <c r="S317" s="147">
        <f t="shared" si="167"/>
        <v>3.5672056778131941E-2</v>
      </c>
      <c r="T317" s="147">
        <f t="shared" si="168"/>
        <v>3.0224109717482683E-3</v>
      </c>
      <c r="U317" s="160">
        <f>IF($E317="","",IF($C317=12,INDEX(Input!$C$15:$CP$15,1,$B317),0))</f>
        <v>0</v>
      </c>
      <c r="V317" s="150">
        <f>IF(E317="","",IF(C317=1,IF($B317=1,Input!$C$33,Input!$C$34),0))</f>
        <v>50</v>
      </c>
      <c r="W317" s="156">
        <f>IF($E317="","",Input!$C$35)</f>
        <v>0.02</v>
      </c>
      <c r="X317" s="156">
        <f t="shared" si="207"/>
        <v>1.6734181143540252</v>
      </c>
      <c r="Y317" s="154"/>
      <c r="Z317" s="147">
        <f>IF($E317="","",VLOOKUP($D317,'Mortality Margins &amp; Grading'!$AB$5:$AF$125,3,0)*IF(Summary!$D$25="Included Margin",IF(AND($B317&gt;Input!$C$9,Summary!$D$31&lt;&gt;"Included Margin"),0,1),0))</f>
        <v>3.1E-2</v>
      </c>
      <c r="AA317" s="147">
        <f>IF($E317="","",VLOOKUP($D317,'Mortality Margins &amp; Grading'!$AB$5:$AF$125,5,0)*IF(Summary!$D$25="Included Margin",IF(AND($B317&gt;Input!$C$9,Summary!$D$31&lt;&gt;"Included Margin"),0,1),0))</f>
        <v>0.161</v>
      </c>
      <c r="AB317" s="147">
        <f>IF($E317="","",IF(AND($B317&gt;Input!$C$9,Summary!$D$31&lt;&gt;"Included Margin"),1,IF(Summary!$D$25="Included Margin",VLOOKUP($B317,'Mortality Margins &amp; Grading'!$AI$5:$AR$125,MATCH('Mortality Margins &amp; Grading'!$AQ$4,'Mortality Margins &amp; Grading'!$AI$4:$AR$4,0),0),1)))</f>
        <v>1</v>
      </c>
      <c r="AC317" s="154"/>
      <c r="AD317" s="158">
        <f>IF(E317="","",Input!$C$48*IF(Summary!$D$30="Included Margin",IF(AND($B317&gt;Input!$C$9,Summary!$D$31&lt;&gt;"Included Margin"),0,1),0))</f>
        <v>-4.4999999999999997E-3</v>
      </c>
      <c r="AE317" s="159">
        <f>IF(E317="","",IF(Summary!$D$26="Included Margin",IF(AND($B317&gt;Input!$C$9,Summary!$D$31&lt;&gt;"Included Margin"),1,1/$R317),1))</f>
        <v>1.1391998014791256</v>
      </c>
      <c r="AF317" s="160">
        <f>IF(E317="","",IF(AND($B317&gt;=Input!$C$9,$C317=12,Summary!$D$31="Included Margin",$U317&gt;0),1/U317-1,IF($B317&gt;=Input!$C$9,0,Input!$C$45*IF(Summary!$D$27="Included Margin",1,0))))</f>
        <v>0</v>
      </c>
      <c r="AG317" s="160">
        <f>IF(E317="","",Input!$C$46*IF(Summary!$D$28="Included Margin",IF(AND($B317&gt;Input!$C$9,Summary!$D$31&lt;&gt;"Included Margin"),0,1),0))</f>
        <v>0.02</v>
      </c>
      <c r="AH317" s="158">
        <f>IF(E317="","",Input!$C$47*IF(Summary!$D$29="Included Margin",IF(AND($B317&gt;Input!$C$9,Summary!$D$31&lt;&gt;"Included Margin"),0,1),0))</f>
        <v>2.5000000000000001E-3</v>
      </c>
      <c r="AI317" s="154"/>
      <c r="AJ317" s="158">
        <f t="shared" si="189"/>
        <v>3.7350000000000001E-2</v>
      </c>
      <c r="AK317" s="155">
        <f t="shared" si="190"/>
        <v>3.0604556910085456E-3</v>
      </c>
      <c r="AL317" s="147">
        <f t="shared" si="191"/>
        <v>4.18973656E-2</v>
      </c>
      <c r="AM317" s="147">
        <f t="shared" si="169"/>
        <v>3.5603446158237739E-3</v>
      </c>
      <c r="AN317" s="160">
        <f t="shared" si="192"/>
        <v>0</v>
      </c>
      <c r="AO317" s="161">
        <f t="shared" si="193"/>
        <v>51</v>
      </c>
      <c r="AP317" s="156">
        <f t="shared" si="170"/>
        <v>1.7833896163382974</v>
      </c>
      <c r="AQ317" s="152"/>
      <c r="AR317" s="162">
        <f t="shared" si="171"/>
        <v>579.33899778936961</v>
      </c>
      <c r="AS317" s="150">
        <f t="shared" si="194"/>
        <v>3626.0000000000005</v>
      </c>
      <c r="AT317" s="163">
        <f t="shared" si="172"/>
        <v>90.952870433253167</v>
      </c>
      <c r="AU317" s="163">
        <f t="shared" si="173"/>
        <v>356.03446158237739</v>
      </c>
      <c r="AV317" s="163">
        <f t="shared" si="195"/>
        <v>12.047082591401162</v>
      </c>
      <c r="AW317" s="163">
        <f t="shared" si="174"/>
        <v>13.471886405164305</v>
      </c>
      <c r="AX317" s="163">
        <f t="shared" si="175"/>
        <v>0</v>
      </c>
      <c r="AY317" s="164">
        <f t="shared" si="196"/>
        <v>3783.8706347703051</v>
      </c>
      <c r="AZ317" s="164">
        <f>IF($E317="","",IF(OR(AND($D317=Input!$C$6,$C317=12),$AN317=1),0,-AS318+AT318+AU318-AV318-AW318-AX318+AZ318))</f>
        <v>3783.8714671858388</v>
      </c>
      <c r="BA317" s="154">
        <f t="shared" si="176"/>
        <v>8.3241553375046351E-4</v>
      </c>
      <c r="BC317" s="147">
        <f t="shared" si="197"/>
        <v>4.1579142383857431E-2</v>
      </c>
      <c r="BD317" s="164">
        <f>IF(AND($C316=12,$D316=Input!$C$6),0,IF($E317="","",AT317+(AU317+BD318)/(1+$AK317)*MIN((1-AM317-AN317),1)))</f>
        <v>3840.167105771628</v>
      </c>
      <c r="BE317" s="164">
        <f t="shared" si="177"/>
        <v>159.67085486868422</v>
      </c>
      <c r="BF317" s="164">
        <f t="shared" si="198"/>
        <v>3783.8714671858388</v>
      </c>
      <c r="BG317" s="164">
        <f t="shared" si="178"/>
        <v>157.33013049633553</v>
      </c>
      <c r="BH317" s="152"/>
      <c r="BI317" s="162">
        <f t="shared" si="179"/>
        <v>-1544.4234987748198</v>
      </c>
      <c r="BJ317" s="150">
        <f t="shared" si="180"/>
        <v>3626.0000000000005</v>
      </c>
      <c r="BK317" s="163">
        <f t="shared" si="202"/>
        <v>83.67090571770126</v>
      </c>
      <c r="BL317" s="163">
        <f t="shared" si="181"/>
        <v>302.24109717482685</v>
      </c>
      <c r="BM317" s="163">
        <f t="shared" si="203"/>
        <v>6.3203284338838817</v>
      </c>
      <c r="BN317" s="163">
        <f t="shared" si="182"/>
        <v>5.1596950032018709</v>
      </c>
      <c r="BO317" s="163">
        <f t="shared" si="183"/>
        <v>0</v>
      </c>
      <c r="BP317" s="164">
        <f t="shared" si="204"/>
        <v>1707.144521769738</v>
      </c>
      <c r="BQ317" s="164">
        <f>IF($E317="","",IF(AND($D317=Input!$C$6,$C317=12),0,-BJ318+BK318+BL318-BM318-BN318-BO318+BQ318))</f>
        <v>1707.145405251531</v>
      </c>
      <c r="BR317" s="161">
        <f t="shared" si="184"/>
        <v>0</v>
      </c>
      <c r="BT317" s="147">
        <f t="shared" si="185"/>
        <v>4.1579142383857431E-2</v>
      </c>
      <c r="BU317" s="164">
        <f>IF(AND($C316=12,$D316=Input!$C$6),0,IF($E317="","",BK317+(BL317+BU318)/(1+$AK317)*MIN((1-T317-U317),1)))</f>
        <v>32215.655189335517</v>
      </c>
      <c r="BV317" s="164">
        <f t="shared" si="186"/>
        <v>1339.499314106637</v>
      </c>
      <c r="BW317" s="164">
        <f t="shared" si="187"/>
        <v>1707.145405251531</v>
      </c>
      <c r="BX317" s="164">
        <f t="shared" si="188"/>
        <v>70.981641874901399</v>
      </c>
    </row>
    <row r="318" spans="1:76" s="150" customFormat="1" x14ac:dyDescent="0.25">
      <c r="A318" s="150">
        <f t="shared" si="199"/>
        <v>314</v>
      </c>
      <c r="B318" s="150">
        <f t="shared" si="200"/>
        <v>27</v>
      </c>
      <c r="C318" s="150">
        <f t="shared" si="201"/>
        <v>2</v>
      </c>
      <c r="D318" s="150">
        <f>IF(E318="","",Input!$C$4+B318-1)</f>
        <v>71</v>
      </c>
      <c r="E318" s="150">
        <f>IF(OR(AND(C317=12,D317=Input!$C$6),E317=""),"",1)</f>
        <v>1</v>
      </c>
      <c r="F318" s="150">
        <f>IF(E318="","",Input!$C$8+B318-1)</f>
        <v>2044</v>
      </c>
      <c r="G318" s="151">
        <f>IF(E318="","",MAX(0,Input!$C$9-B318))</f>
        <v>0</v>
      </c>
      <c r="H318" s="152">
        <f>IF(E318="","",Input!$C$3)</f>
        <v>100000</v>
      </c>
      <c r="I318" s="153">
        <f>IF(E318="","",HLOOKUP($B318,Input!$C$13:$BT$14,2))</f>
        <v>36.260000000000005</v>
      </c>
      <c r="J318" s="154"/>
      <c r="K318" s="155">
        <f>IF($E318="","",INDEX(Input!$C$16:$CP$16,1,$B318))</f>
        <v>2.6849999999999999E-2</v>
      </c>
      <c r="L318" s="155">
        <f>IF($E318="","",Input!$C$37)</f>
        <v>1.4999999999999999E-2</v>
      </c>
      <c r="M318" s="155">
        <f t="shared" si="205"/>
        <v>4.1849999999999998E-2</v>
      </c>
      <c r="N318" s="155">
        <f t="shared" si="206"/>
        <v>3.4223411351659294E-3</v>
      </c>
      <c r="O318" s="147">
        <f>IF($E318="","",MIN(VLOOKUP(IF($B318&lt;=Input!$C$7,$B318,26),'Mortality Tables'!$A$41:$CW$67,IF($B318&lt;=Input!$C$7+1,Input!$C$4+2,$D318-Input!$C$7+2),0)*IF(B318&gt;20,Input!$C$22,1)/1000,1))</f>
        <v>4.0637600000000003E-2</v>
      </c>
      <c r="P318" s="147">
        <f>IF($E318="","",MIN(VLOOKUP(IF($B318&lt;=Input!$C$7,$B318,26),'Mortality Tables'!$A$12:$CW$37,IF($B318&lt;=Input!$C$7+1,Input!$C$4+2,$D318-Input!$C$7+2),0)*IF(B318&gt;20,Input!$C$22,1)/1000,1))</f>
        <v>5.0796999999999995E-2</v>
      </c>
      <c r="Q318" s="155">
        <f>IF($E318="","",Input!$C$21)</f>
        <v>5.0000000000000001E-3</v>
      </c>
      <c r="R318" s="159">
        <f>IF($E318="","",(1-Q318)^($F318-Input!$C$20))</f>
        <v>0.87780914173405755</v>
      </c>
      <c r="S318" s="147">
        <f t="shared" si="167"/>
        <v>3.5672056778131941E-2</v>
      </c>
      <c r="T318" s="147">
        <f t="shared" si="168"/>
        <v>3.0224109717482683E-3</v>
      </c>
      <c r="U318" s="160">
        <f>IF($E318="","",IF($C318=12,INDEX(Input!$C$15:$CP$15,1,$B318),0))</f>
        <v>0</v>
      </c>
      <c r="V318" s="150">
        <f>IF(E318="","",IF(C318=1,IF($B318=1,Input!$C$33,Input!$C$34),0))</f>
        <v>0</v>
      </c>
      <c r="W318" s="156">
        <f>IF($E318="","",Input!$C$35)</f>
        <v>0.02</v>
      </c>
      <c r="X318" s="156">
        <f t="shared" si="207"/>
        <v>1.6734181143540252</v>
      </c>
      <c r="Y318" s="154"/>
      <c r="Z318" s="147">
        <f>IF($E318="","",VLOOKUP($D318,'Mortality Margins &amp; Grading'!$AB$5:$AF$125,3,0)*IF(Summary!$D$25="Included Margin",IF(AND($B318&gt;Input!$C$9,Summary!$D$31&lt;&gt;"Included Margin"),0,1),0))</f>
        <v>3.1E-2</v>
      </c>
      <c r="AA318" s="147">
        <f>IF($E318="","",VLOOKUP($D318,'Mortality Margins &amp; Grading'!$AB$5:$AF$125,5,0)*IF(Summary!$D$25="Included Margin",IF(AND($B318&gt;Input!$C$9,Summary!$D$31&lt;&gt;"Included Margin"),0,1),0))</f>
        <v>0.161</v>
      </c>
      <c r="AB318" s="147">
        <f>IF($E318="","",IF(AND($B318&gt;Input!$C$9,Summary!$D$31&lt;&gt;"Included Margin"),1,IF(Summary!$D$25="Included Margin",VLOOKUP($B318,'Mortality Margins &amp; Grading'!$AI$5:$AR$125,MATCH('Mortality Margins &amp; Grading'!$AQ$4,'Mortality Margins &amp; Grading'!$AI$4:$AR$4,0),0),1)))</f>
        <v>1</v>
      </c>
      <c r="AC318" s="154"/>
      <c r="AD318" s="158">
        <f>IF(E318="","",Input!$C$48*IF(Summary!$D$30="Included Margin",IF(AND($B318&gt;Input!$C$9,Summary!$D$31&lt;&gt;"Included Margin"),0,1),0))</f>
        <v>-4.4999999999999997E-3</v>
      </c>
      <c r="AE318" s="159">
        <f>IF(E318="","",IF(Summary!$D$26="Included Margin",IF(AND($B318&gt;Input!$C$9,Summary!$D$31&lt;&gt;"Included Margin"),1,1/$R318),1))</f>
        <v>1.1391998014791256</v>
      </c>
      <c r="AF318" s="160">
        <f>IF(E318="","",IF(AND($B318&gt;=Input!$C$9,$C318=12,Summary!$D$31="Included Margin",$U318&gt;0),1/U318-1,IF($B318&gt;=Input!$C$9,0,Input!$C$45*IF(Summary!$D$27="Included Margin",1,0))))</f>
        <v>0</v>
      </c>
      <c r="AG318" s="160">
        <f>IF(E318="","",Input!$C$46*IF(Summary!$D$28="Included Margin",IF(AND($B318&gt;Input!$C$9,Summary!$D$31&lt;&gt;"Included Margin"),0,1),0))</f>
        <v>0.02</v>
      </c>
      <c r="AH318" s="158">
        <f>IF(E318="","",Input!$C$47*IF(Summary!$D$29="Included Margin",IF(AND($B318&gt;Input!$C$9,Summary!$D$31&lt;&gt;"Included Margin"),0,1),0))</f>
        <v>2.5000000000000001E-3</v>
      </c>
      <c r="AI318" s="154"/>
      <c r="AJ318" s="158">
        <f t="shared" si="189"/>
        <v>3.7350000000000001E-2</v>
      </c>
      <c r="AK318" s="155">
        <f t="shared" si="190"/>
        <v>3.0604556910085456E-3</v>
      </c>
      <c r="AL318" s="147">
        <f t="shared" si="191"/>
        <v>4.18973656E-2</v>
      </c>
      <c r="AM318" s="147">
        <f t="shared" si="169"/>
        <v>3.5603446158237739E-3</v>
      </c>
      <c r="AN318" s="160">
        <f t="shared" si="192"/>
        <v>0</v>
      </c>
      <c r="AO318" s="161">
        <f t="shared" si="193"/>
        <v>0</v>
      </c>
      <c r="AP318" s="156">
        <f t="shared" si="170"/>
        <v>1.7833896163382974</v>
      </c>
      <c r="AQ318" s="152"/>
      <c r="AR318" s="162">
        <f t="shared" si="171"/>
        <v>3783.8706347703046</v>
      </c>
      <c r="AS318" s="150">
        <f t="shared" si="194"/>
        <v>0</v>
      </c>
      <c r="AT318" s="163">
        <f t="shared" si="172"/>
        <v>0</v>
      </c>
      <c r="AU318" s="163">
        <f t="shared" si="173"/>
        <v>356.03446158237739</v>
      </c>
      <c r="AV318" s="163">
        <f t="shared" si="195"/>
        <v>11.035554571150421</v>
      </c>
      <c r="AW318" s="163">
        <f t="shared" si="174"/>
        <v>12.287318492358979</v>
      </c>
      <c r="AX318" s="163">
        <f t="shared" si="175"/>
        <v>0</v>
      </c>
      <c r="AY318" s="165">
        <f t="shared" si="196"/>
        <v>3451.1590462514368</v>
      </c>
      <c r="AZ318" s="164">
        <f>IF($E318="","",IF(OR(AND($D318=Input!$C$6,$C318=12),$AN318=1),0,-AS319+AT319+AU319-AV319-AW319-AX319+AZ319))</f>
        <v>3451.1598786669711</v>
      </c>
      <c r="BA318" s="154">
        <f t="shared" si="176"/>
        <v>8.3241553420521086E-4</v>
      </c>
      <c r="BC318" s="147">
        <f t="shared" si="197"/>
        <v>4.1453473127720575E-2</v>
      </c>
      <c r="BD318" s="164">
        <f>IF(AND($C317=12,$D317=Input!$C$6),0,IF($E318="","",AT318+(AU318+BD319)/(1+$AK318)*MIN((1-AM318-AN318),1)))</f>
        <v>3418.0912660130352</v>
      </c>
      <c r="BE318" s="164">
        <f t="shared" si="177"/>
        <v>141.69175444376776</v>
      </c>
      <c r="BF318" s="164">
        <f t="shared" si="198"/>
        <v>3451.1598786669711</v>
      </c>
      <c r="BG318" s="164">
        <f t="shared" si="178"/>
        <v>143.06256328978867</v>
      </c>
      <c r="BH318" s="152"/>
      <c r="BI318" s="162">
        <f t="shared" si="179"/>
        <v>1707.1445217697385</v>
      </c>
      <c r="BJ318" s="150">
        <f t="shared" si="180"/>
        <v>0</v>
      </c>
      <c r="BK318" s="163">
        <f t="shared" si="202"/>
        <v>0</v>
      </c>
      <c r="BL318" s="163">
        <f t="shared" si="181"/>
        <v>302.24109717482685</v>
      </c>
      <c r="BM318" s="163">
        <f t="shared" si="203"/>
        <v>5.3252448507261985</v>
      </c>
      <c r="BN318" s="163">
        <f t="shared" si="182"/>
        <v>4.2752147293561062</v>
      </c>
      <c r="BO318" s="163">
        <f t="shared" si="183"/>
        <v>0</v>
      </c>
      <c r="BP318" s="164">
        <f t="shared" si="204"/>
        <v>1414.503884174994</v>
      </c>
      <c r="BQ318" s="164">
        <f>IF($E318="","",IF(AND($D318=Input!$C$6,$C318=12),0,-BJ319+BK319+BL319-BM319-BN319-BO319+BQ319))</f>
        <v>1414.5047676567865</v>
      </c>
      <c r="BR318" s="161">
        <f t="shared" si="184"/>
        <v>0</v>
      </c>
      <c r="BT318" s="147">
        <f t="shared" si="185"/>
        <v>4.1453473127720575E-2</v>
      </c>
      <c r="BU318" s="164">
        <f>IF(AND($C317=12,$D317=Input!$C$6),0,IF($E318="","",BK318+(BL318+BU319)/(1+$AK318)*MIN((1-T318-U318),1)))</f>
        <v>32025.790297389136</v>
      </c>
      <c r="BV318" s="164">
        <f t="shared" si="186"/>
        <v>1327.5802374868349</v>
      </c>
      <c r="BW318" s="164">
        <f t="shared" si="187"/>
        <v>1414.5047676567865</v>
      </c>
      <c r="BX318" s="164">
        <f t="shared" si="188"/>
        <v>58.636135375093232</v>
      </c>
    </row>
    <row r="319" spans="1:76" s="150" customFormat="1" x14ac:dyDescent="0.25">
      <c r="A319" s="150">
        <f t="shared" si="199"/>
        <v>315</v>
      </c>
      <c r="B319" s="150">
        <f t="shared" si="200"/>
        <v>27</v>
      </c>
      <c r="C319" s="150">
        <f t="shared" si="201"/>
        <v>3</v>
      </c>
      <c r="D319" s="150">
        <f>IF(E319="","",Input!$C$4+B319-1)</f>
        <v>71</v>
      </c>
      <c r="E319" s="150">
        <f>IF(OR(AND(C318=12,D318=Input!$C$6),E318=""),"",1)</f>
        <v>1</v>
      </c>
      <c r="F319" s="150">
        <f>IF(E319="","",Input!$C$8+B319-1)</f>
        <v>2044</v>
      </c>
      <c r="G319" s="151">
        <f>IF(E319="","",MAX(0,Input!$C$9-B319))</f>
        <v>0</v>
      </c>
      <c r="H319" s="152">
        <f>IF(E319="","",Input!$C$3)</f>
        <v>100000</v>
      </c>
      <c r="I319" s="153">
        <f>IF(E319="","",HLOOKUP($B319,Input!$C$13:$BT$14,2))</f>
        <v>36.260000000000005</v>
      </c>
      <c r="J319" s="154"/>
      <c r="K319" s="155">
        <f>IF($E319="","",INDEX(Input!$C$16:$CP$16,1,$B319))</f>
        <v>2.6849999999999999E-2</v>
      </c>
      <c r="L319" s="155">
        <f>IF($E319="","",Input!$C$37)</f>
        <v>1.4999999999999999E-2</v>
      </c>
      <c r="M319" s="155">
        <f t="shared" si="205"/>
        <v>4.1849999999999998E-2</v>
      </c>
      <c r="N319" s="155">
        <f t="shared" si="206"/>
        <v>3.4223411351659294E-3</v>
      </c>
      <c r="O319" s="147">
        <f>IF($E319="","",MIN(VLOOKUP(IF($B319&lt;=Input!$C$7,$B319,26),'Mortality Tables'!$A$41:$CW$67,IF($B319&lt;=Input!$C$7+1,Input!$C$4+2,$D319-Input!$C$7+2),0)*IF(B319&gt;20,Input!$C$22,1)/1000,1))</f>
        <v>4.0637600000000003E-2</v>
      </c>
      <c r="P319" s="147">
        <f>IF($E319="","",MIN(VLOOKUP(IF($B319&lt;=Input!$C$7,$B319,26),'Mortality Tables'!$A$12:$CW$37,IF($B319&lt;=Input!$C$7+1,Input!$C$4+2,$D319-Input!$C$7+2),0)*IF(B319&gt;20,Input!$C$22,1)/1000,1))</f>
        <v>5.0796999999999995E-2</v>
      </c>
      <c r="Q319" s="155">
        <f>IF($E319="","",Input!$C$21)</f>
        <v>5.0000000000000001E-3</v>
      </c>
      <c r="R319" s="159">
        <f>IF($E319="","",(1-Q319)^($F319-Input!$C$20))</f>
        <v>0.87780914173405755</v>
      </c>
      <c r="S319" s="147">
        <f t="shared" si="167"/>
        <v>3.5672056778131941E-2</v>
      </c>
      <c r="T319" s="147">
        <f t="shared" si="168"/>
        <v>3.0224109717482683E-3</v>
      </c>
      <c r="U319" s="160">
        <f>IF($E319="","",IF($C319=12,INDEX(Input!$C$15:$CP$15,1,$B319),0))</f>
        <v>0</v>
      </c>
      <c r="V319" s="150">
        <f>IF(E319="","",IF(C319=1,IF($B319=1,Input!$C$33,Input!$C$34),0))</f>
        <v>0</v>
      </c>
      <c r="W319" s="156">
        <f>IF($E319="","",Input!$C$35)</f>
        <v>0.02</v>
      </c>
      <c r="X319" s="156">
        <f t="shared" si="207"/>
        <v>1.6734181143540252</v>
      </c>
      <c r="Y319" s="154"/>
      <c r="Z319" s="147">
        <f>IF($E319="","",VLOOKUP($D319,'Mortality Margins &amp; Grading'!$AB$5:$AF$125,3,0)*IF(Summary!$D$25="Included Margin",IF(AND($B319&gt;Input!$C$9,Summary!$D$31&lt;&gt;"Included Margin"),0,1),0))</f>
        <v>3.1E-2</v>
      </c>
      <c r="AA319" s="147">
        <f>IF($E319="","",VLOOKUP($D319,'Mortality Margins &amp; Grading'!$AB$5:$AF$125,5,0)*IF(Summary!$D$25="Included Margin",IF(AND($B319&gt;Input!$C$9,Summary!$D$31&lt;&gt;"Included Margin"),0,1),0))</f>
        <v>0.161</v>
      </c>
      <c r="AB319" s="147">
        <f>IF($E319="","",IF(AND($B319&gt;Input!$C$9,Summary!$D$31&lt;&gt;"Included Margin"),1,IF(Summary!$D$25="Included Margin",VLOOKUP($B319,'Mortality Margins &amp; Grading'!$AI$5:$AR$125,MATCH('Mortality Margins &amp; Grading'!$AQ$4,'Mortality Margins &amp; Grading'!$AI$4:$AR$4,0),0),1)))</f>
        <v>1</v>
      </c>
      <c r="AC319" s="154"/>
      <c r="AD319" s="158">
        <f>IF(E319="","",Input!$C$48*IF(Summary!$D$30="Included Margin",IF(AND($B319&gt;Input!$C$9,Summary!$D$31&lt;&gt;"Included Margin"),0,1),0))</f>
        <v>-4.4999999999999997E-3</v>
      </c>
      <c r="AE319" s="159">
        <f>IF(E319="","",IF(Summary!$D$26="Included Margin",IF(AND($B319&gt;Input!$C$9,Summary!$D$31&lt;&gt;"Included Margin"),1,1/$R319),1))</f>
        <v>1.1391998014791256</v>
      </c>
      <c r="AF319" s="160">
        <f>IF(E319="","",IF(AND($B319&gt;=Input!$C$9,$C319=12,Summary!$D$31="Included Margin",$U319&gt;0),1/U319-1,IF($B319&gt;=Input!$C$9,0,Input!$C$45*IF(Summary!$D$27="Included Margin",1,0))))</f>
        <v>0</v>
      </c>
      <c r="AG319" s="160">
        <f>IF(E319="","",Input!$C$46*IF(Summary!$D$28="Included Margin",IF(AND($B319&gt;Input!$C$9,Summary!$D$31&lt;&gt;"Included Margin"),0,1),0))</f>
        <v>0.02</v>
      </c>
      <c r="AH319" s="158">
        <f>IF(E319="","",Input!$C$47*IF(Summary!$D$29="Included Margin",IF(AND($B319&gt;Input!$C$9,Summary!$D$31&lt;&gt;"Included Margin"),0,1),0))</f>
        <v>2.5000000000000001E-3</v>
      </c>
      <c r="AI319" s="154"/>
      <c r="AJ319" s="158">
        <f t="shared" si="189"/>
        <v>3.7350000000000001E-2</v>
      </c>
      <c r="AK319" s="155">
        <f t="shared" si="190"/>
        <v>3.0604556910085456E-3</v>
      </c>
      <c r="AL319" s="147">
        <f t="shared" si="191"/>
        <v>4.18973656E-2</v>
      </c>
      <c r="AM319" s="147">
        <f t="shared" si="169"/>
        <v>3.5603446158237739E-3</v>
      </c>
      <c r="AN319" s="160">
        <f t="shared" si="192"/>
        <v>0</v>
      </c>
      <c r="AO319" s="161">
        <f t="shared" si="193"/>
        <v>0</v>
      </c>
      <c r="AP319" s="156">
        <f t="shared" si="170"/>
        <v>1.7833896163382974</v>
      </c>
      <c r="AQ319" s="152"/>
      <c r="AR319" s="162">
        <f t="shared" si="171"/>
        <v>3451.1590462514364</v>
      </c>
      <c r="AS319" s="150">
        <f t="shared" si="194"/>
        <v>0</v>
      </c>
      <c r="AT319" s="163">
        <f t="shared" si="172"/>
        <v>0</v>
      </c>
      <c r="AU319" s="163">
        <f t="shared" si="173"/>
        <v>356.03446158237739</v>
      </c>
      <c r="AV319" s="163">
        <f t="shared" si="195"/>
        <v>10.017305496603358</v>
      </c>
      <c r="AW319" s="163">
        <f t="shared" si="174"/>
        <v>11.094879769155664</v>
      </c>
      <c r="AX319" s="163">
        <f t="shared" si="175"/>
        <v>0</v>
      </c>
      <c r="AY319" s="164">
        <f t="shared" si="196"/>
        <v>3116.2367699348183</v>
      </c>
      <c r="AZ319" s="164">
        <f>IF($E319="","",IF(OR(AND($D319=Input!$C$6,$C319=12),$AN319=1),0,-AS320+AT320+AU320-AV320-AW320-AX320+AZ320))</f>
        <v>3116.2376023503525</v>
      </c>
      <c r="BA319" s="154">
        <f t="shared" si="176"/>
        <v>8.3241553420521086E-4</v>
      </c>
      <c r="BC319" s="147">
        <f t="shared" si="197"/>
        <v>4.1328183695722283E-2</v>
      </c>
      <c r="BD319" s="164">
        <f>IF(AND($C318=12,$D318=Input!$C$6),0,IF($E319="","",AT319+(AU319+BD320)/(1+$AK319)*MIN((1-AM319-AN319),1)))</f>
        <v>3084.7681644016484</v>
      </c>
      <c r="BE319" s="164">
        <f t="shared" si="177"/>
        <v>127.48786535710735</v>
      </c>
      <c r="BF319" s="164">
        <f t="shared" si="198"/>
        <v>3116.2376023503525</v>
      </c>
      <c r="BG319" s="164">
        <f t="shared" si="178"/>
        <v>128.78844006945255</v>
      </c>
      <c r="BH319" s="152"/>
      <c r="BI319" s="162">
        <f t="shared" si="179"/>
        <v>1414.503884174994</v>
      </c>
      <c r="BJ319" s="150">
        <f t="shared" si="180"/>
        <v>0</v>
      </c>
      <c r="BK319" s="163">
        <f t="shared" si="202"/>
        <v>0</v>
      </c>
      <c r="BL319" s="163">
        <f t="shared" si="181"/>
        <v>302.24109717482685</v>
      </c>
      <c r="BM319" s="163">
        <f t="shared" si="203"/>
        <v>4.3237287588645188</v>
      </c>
      <c r="BN319" s="163">
        <f t="shared" si="182"/>
        <v>3.3850169186558299</v>
      </c>
      <c r="BO319" s="163">
        <f t="shared" si="183"/>
        <v>0</v>
      </c>
      <c r="BP319" s="164">
        <f t="shared" si="204"/>
        <v>1119.9715326776875</v>
      </c>
      <c r="BQ319" s="164">
        <f>IF($E319="","",IF(AND($D319=Input!$C$6,$C319=12),0,-BJ320+BK320+BL320-BM320-BN320-BO320+BQ320))</f>
        <v>1119.97241615948</v>
      </c>
      <c r="BR319" s="161">
        <f t="shared" si="184"/>
        <v>0</v>
      </c>
      <c r="BT319" s="147">
        <f t="shared" si="185"/>
        <v>4.1328183695722283E-2</v>
      </c>
      <c r="BU319" s="164">
        <f>IF(AND($C318=12,$D318=Input!$C$6),0,IF($E319="","",BK319+(BL319+BU320)/(1+$AK319)*MIN((1-T319-U319),1)))</f>
        <v>31918.94838901484</v>
      </c>
      <c r="BV319" s="164">
        <f t="shared" si="186"/>
        <v>1319.1521623954841</v>
      </c>
      <c r="BW319" s="164">
        <f t="shared" si="187"/>
        <v>1119.97241615948</v>
      </c>
      <c r="BX319" s="164">
        <f t="shared" si="188"/>
        <v>46.286425749180914</v>
      </c>
    </row>
    <row r="320" spans="1:76" s="150" customFormat="1" x14ac:dyDescent="0.25">
      <c r="A320" s="150">
        <f t="shared" si="199"/>
        <v>316</v>
      </c>
      <c r="B320" s="150">
        <f t="shared" si="200"/>
        <v>27</v>
      </c>
      <c r="C320" s="150">
        <f t="shared" si="201"/>
        <v>4</v>
      </c>
      <c r="D320" s="150">
        <f>IF(E320="","",Input!$C$4+B320-1)</f>
        <v>71</v>
      </c>
      <c r="E320" s="150">
        <f>IF(OR(AND(C319=12,D319=Input!$C$6),E319=""),"",1)</f>
        <v>1</v>
      </c>
      <c r="F320" s="150">
        <f>IF(E320="","",Input!$C$8+B320-1)</f>
        <v>2044</v>
      </c>
      <c r="G320" s="151">
        <f>IF(E320="","",MAX(0,Input!$C$9-B320))</f>
        <v>0</v>
      </c>
      <c r="H320" s="152">
        <f>IF(E320="","",Input!$C$3)</f>
        <v>100000</v>
      </c>
      <c r="I320" s="153">
        <f>IF(E320="","",HLOOKUP($B320,Input!$C$13:$BT$14,2))</f>
        <v>36.260000000000005</v>
      </c>
      <c r="J320" s="154"/>
      <c r="K320" s="155">
        <f>IF($E320="","",INDEX(Input!$C$16:$CP$16,1,$B320))</f>
        <v>2.6849999999999999E-2</v>
      </c>
      <c r="L320" s="155">
        <f>IF($E320="","",Input!$C$37)</f>
        <v>1.4999999999999999E-2</v>
      </c>
      <c r="M320" s="155">
        <f t="shared" si="205"/>
        <v>4.1849999999999998E-2</v>
      </c>
      <c r="N320" s="155">
        <f t="shared" si="206"/>
        <v>3.4223411351659294E-3</v>
      </c>
      <c r="O320" s="147">
        <f>IF($E320="","",MIN(VLOOKUP(IF($B320&lt;=Input!$C$7,$B320,26),'Mortality Tables'!$A$41:$CW$67,IF($B320&lt;=Input!$C$7+1,Input!$C$4+2,$D320-Input!$C$7+2),0)*IF(B320&gt;20,Input!$C$22,1)/1000,1))</f>
        <v>4.0637600000000003E-2</v>
      </c>
      <c r="P320" s="147">
        <f>IF($E320="","",MIN(VLOOKUP(IF($B320&lt;=Input!$C$7,$B320,26),'Mortality Tables'!$A$12:$CW$37,IF($B320&lt;=Input!$C$7+1,Input!$C$4+2,$D320-Input!$C$7+2),0)*IF(B320&gt;20,Input!$C$22,1)/1000,1))</f>
        <v>5.0796999999999995E-2</v>
      </c>
      <c r="Q320" s="155">
        <f>IF($E320="","",Input!$C$21)</f>
        <v>5.0000000000000001E-3</v>
      </c>
      <c r="R320" s="159">
        <f>IF($E320="","",(1-Q320)^($F320-Input!$C$20))</f>
        <v>0.87780914173405755</v>
      </c>
      <c r="S320" s="147">
        <f t="shared" si="167"/>
        <v>3.5672056778131941E-2</v>
      </c>
      <c r="T320" s="147">
        <f t="shared" si="168"/>
        <v>3.0224109717482683E-3</v>
      </c>
      <c r="U320" s="160">
        <f>IF($E320="","",IF($C320=12,INDEX(Input!$C$15:$CP$15,1,$B320),0))</f>
        <v>0</v>
      </c>
      <c r="V320" s="150">
        <f>IF(E320="","",IF(C320=1,IF($B320=1,Input!$C$33,Input!$C$34),0))</f>
        <v>0</v>
      </c>
      <c r="W320" s="156">
        <f>IF($E320="","",Input!$C$35)</f>
        <v>0.02</v>
      </c>
      <c r="X320" s="156">
        <f t="shared" si="207"/>
        <v>1.6734181143540252</v>
      </c>
      <c r="Y320" s="154"/>
      <c r="Z320" s="147">
        <f>IF($E320="","",VLOOKUP($D320,'Mortality Margins &amp; Grading'!$AB$5:$AF$125,3,0)*IF(Summary!$D$25="Included Margin",IF(AND($B320&gt;Input!$C$9,Summary!$D$31&lt;&gt;"Included Margin"),0,1),0))</f>
        <v>3.1E-2</v>
      </c>
      <c r="AA320" s="147">
        <f>IF($E320="","",VLOOKUP($D320,'Mortality Margins &amp; Grading'!$AB$5:$AF$125,5,0)*IF(Summary!$D$25="Included Margin",IF(AND($B320&gt;Input!$C$9,Summary!$D$31&lt;&gt;"Included Margin"),0,1),0))</f>
        <v>0.161</v>
      </c>
      <c r="AB320" s="147">
        <f>IF($E320="","",IF(AND($B320&gt;Input!$C$9,Summary!$D$31&lt;&gt;"Included Margin"),1,IF(Summary!$D$25="Included Margin",VLOOKUP($B320,'Mortality Margins &amp; Grading'!$AI$5:$AR$125,MATCH('Mortality Margins &amp; Grading'!$AQ$4,'Mortality Margins &amp; Grading'!$AI$4:$AR$4,0),0),1)))</f>
        <v>1</v>
      </c>
      <c r="AC320" s="154"/>
      <c r="AD320" s="158">
        <f>IF(E320="","",Input!$C$48*IF(Summary!$D$30="Included Margin",IF(AND($B320&gt;Input!$C$9,Summary!$D$31&lt;&gt;"Included Margin"),0,1),0))</f>
        <v>-4.4999999999999997E-3</v>
      </c>
      <c r="AE320" s="159">
        <f>IF(E320="","",IF(Summary!$D$26="Included Margin",IF(AND($B320&gt;Input!$C$9,Summary!$D$31&lt;&gt;"Included Margin"),1,1/$R320),1))</f>
        <v>1.1391998014791256</v>
      </c>
      <c r="AF320" s="160">
        <f>IF(E320="","",IF(AND($B320&gt;=Input!$C$9,$C320=12,Summary!$D$31="Included Margin",$U320&gt;0),1/U320-1,IF($B320&gt;=Input!$C$9,0,Input!$C$45*IF(Summary!$D$27="Included Margin",1,0))))</f>
        <v>0</v>
      </c>
      <c r="AG320" s="160">
        <f>IF(E320="","",Input!$C$46*IF(Summary!$D$28="Included Margin",IF(AND($B320&gt;Input!$C$9,Summary!$D$31&lt;&gt;"Included Margin"),0,1),0))</f>
        <v>0.02</v>
      </c>
      <c r="AH320" s="158">
        <f>IF(E320="","",Input!$C$47*IF(Summary!$D$29="Included Margin",IF(AND($B320&gt;Input!$C$9,Summary!$D$31&lt;&gt;"Included Margin"),0,1),0))</f>
        <v>2.5000000000000001E-3</v>
      </c>
      <c r="AI320" s="154"/>
      <c r="AJ320" s="158">
        <f t="shared" si="189"/>
        <v>3.7350000000000001E-2</v>
      </c>
      <c r="AK320" s="155">
        <f t="shared" si="190"/>
        <v>3.0604556910085456E-3</v>
      </c>
      <c r="AL320" s="147">
        <f t="shared" si="191"/>
        <v>4.18973656E-2</v>
      </c>
      <c r="AM320" s="147">
        <f t="shared" si="169"/>
        <v>3.5603446158237739E-3</v>
      </c>
      <c r="AN320" s="160">
        <f t="shared" si="192"/>
        <v>0</v>
      </c>
      <c r="AO320" s="161">
        <f t="shared" si="193"/>
        <v>0</v>
      </c>
      <c r="AP320" s="156">
        <f t="shared" si="170"/>
        <v>1.7833896163382974</v>
      </c>
      <c r="AQ320" s="152"/>
      <c r="AR320" s="162">
        <f t="shared" si="171"/>
        <v>3116.2367699348188</v>
      </c>
      <c r="AS320" s="150">
        <f t="shared" si="194"/>
        <v>0</v>
      </c>
      <c r="AT320" s="163">
        <f t="shared" si="172"/>
        <v>0</v>
      </c>
      <c r="AU320" s="163">
        <f t="shared" si="173"/>
        <v>356.03446158237739</v>
      </c>
      <c r="AV320" s="163">
        <f t="shared" si="195"/>
        <v>8.9922907100046281</v>
      </c>
      <c r="AW320" s="163">
        <f t="shared" si="174"/>
        <v>9.8945179382941948</v>
      </c>
      <c r="AX320" s="163">
        <f t="shared" si="175"/>
        <v>0</v>
      </c>
      <c r="AY320" s="165">
        <f t="shared" si="196"/>
        <v>2779.0891170007399</v>
      </c>
      <c r="AZ320" s="164">
        <f>IF($E320="","",IF(OR(AND($D320=Input!$C$6,$C320=12),$AN320=1),0,-AS321+AT321+AU321-AV321-AW321-AX321+AZ321))</f>
        <v>2779.0899494162741</v>
      </c>
      <c r="BA320" s="154">
        <f t="shared" si="176"/>
        <v>8.3241553420521086E-4</v>
      </c>
      <c r="BC320" s="147">
        <f t="shared" si="197"/>
        <v>4.1203272939877904E-2</v>
      </c>
      <c r="BD320" s="164">
        <f>IF(AND($C319=12,$D319=Input!$C$6),0,IF($E320="","",AT320+(AU320+BD321)/(1+$AK320)*MIN((1-AM320-AN320),1)))</f>
        <v>2749.2303118201467</v>
      </c>
      <c r="BE320" s="164">
        <f t="shared" si="177"/>
        <v>113.27728691251114</v>
      </c>
      <c r="BF320" s="164">
        <f t="shared" si="198"/>
        <v>2779.0899494162741</v>
      </c>
      <c r="BG320" s="164">
        <f t="shared" si="178"/>
        <v>114.50760171027022</v>
      </c>
      <c r="BH320" s="152"/>
      <c r="BI320" s="162">
        <f t="shared" si="179"/>
        <v>1119.9715326776875</v>
      </c>
      <c r="BJ320" s="150">
        <f t="shared" si="180"/>
        <v>0</v>
      </c>
      <c r="BK320" s="163">
        <f t="shared" si="202"/>
        <v>0</v>
      </c>
      <c r="BL320" s="163">
        <f t="shared" si="181"/>
        <v>302.24109717482685</v>
      </c>
      <c r="BM320" s="163">
        <f t="shared" si="203"/>
        <v>3.3157385766981364</v>
      </c>
      <c r="BN320" s="163">
        <f t="shared" si="182"/>
        <v>2.4890646112855999</v>
      </c>
      <c r="BO320" s="163">
        <f t="shared" si="183"/>
        <v>0</v>
      </c>
      <c r="BP320" s="164">
        <f t="shared" si="204"/>
        <v>823.53523869084438</v>
      </c>
      <c r="BQ320" s="164">
        <f>IF($E320="","",IF(AND($D320=Input!$C$6,$C320=12),0,-BJ321+BK321+BL321-BM321-BN321-BO321+BQ321))</f>
        <v>823.53612217263685</v>
      </c>
      <c r="BR320" s="161">
        <f t="shared" si="184"/>
        <v>0</v>
      </c>
      <c r="BT320" s="147">
        <f t="shared" si="185"/>
        <v>4.1203272939877904E-2</v>
      </c>
      <c r="BU320" s="164">
        <f>IF(AND($C319=12,$D319=Input!$C$6),0,IF($E320="","",BK320+(BL320+BU321)/(1+$AK320)*MIN((1-T320-U320),1)))</f>
        <v>31811.454605322793</v>
      </c>
      <c r="BV320" s="164">
        <f t="shared" si="186"/>
        <v>1310.7360467176509</v>
      </c>
      <c r="BW320" s="164">
        <f t="shared" si="187"/>
        <v>823.53612217263685</v>
      </c>
      <c r="BX320" s="164">
        <f t="shared" si="188"/>
        <v>33.932383617727794</v>
      </c>
    </row>
    <row r="321" spans="1:76" s="150" customFormat="1" x14ac:dyDescent="0.25">
      <c r="A321" s="150">
        <f t="shared" si="199"/>
        <v>317</v>
      </c>
      <c r="B321" s="150">
        <f t="shared" si="200"/>
        <v>27</v>
      </c>
      <c r="C321" s="150">
        <f t="shared" si="201"/>
        <v>5</v>
      </c>
      <c r="D321" s="150">
        <f>IF(E321="","",Input!$C$4+B321-1)</f>
        <v>71</v>
      </c>
      <c r="E321" s="150">
        <f>IF(OR(AND(C320=12,D320=Input!$C$6),E320=""),"",1)</f>
        <v>1</v>
      </c>
      <c r="F321" s="150">
        <f>IF(E321="","",Input!$C$8+B321-1)</f>
        <v>2044</v>
      </c>
      <c r="G321" s="151">
        <f>IF(E321="","",MAX(0,Input!$C$9-B321))</f>
        <v>0</v>
      </c>
      <c r="H321" s="152">
        <f>IF(E321="","",Input!$C$3)</f>
        <v>100000</v>
      </c>
      <c r="I321" s="153">
        <f>IF(E321="","",HLOOKUP($B321,Input!$C$13:$BT$14,2))</f>
        <v>36.260000000000005</v>
      </c>
      <c r="J321" s="154"/>
      <c r="K321" s="155">
        <f>IF($E321="","",INDEX(Input!$C$16:$CP$16,1,$B321))</f>
        <v>2.6849999999999999E-2</v>
      </c>
      <c r="L321" s="155">
        <f>IF($E321="","",Input!$C$37)</f>
        <v>1.4999999999999999E-2</v>
      </c>
      <c r="M321" s="155">
        <f t="shared" si="205"/>
        <v>4.1849999999999998E-2</v>
      </c>
      <c r="N321" s="155">
        <f t="shared" si="206"/>
        <v>3.4223411351659294E-3</v>
      </c>
      <c r="O321" s="147">
        <f>IF($E321="","",MIN(VLOOKUP(IF($B321&lt;=Input!$C$7,$B321,26),'Mortality Tables'!$A$41:$CW$67,IF($B321&lt;=Input!$C$7+1,Input!$C$4+2,$D321-Input!$C$7+2),0)*IF(B321&gt;20,Input!$C$22,1)/1000,1))</f>
        <v>4.0637600000000003E-2</v>
      </c>
      <c r="P321" s="147">
        <f>IF($E321="","",MIN(VLOOKUP(IF($B321&lt;=Input!$C$7,$B321,26),'Mortality Tables'!$A$12:$CW$37,IF($B321&lt;=Input!$C$7+1,Input!$C$4+2,$D321-Input!$C$7+2),0)*IF(B321&gt;20,Input!$C$22,1)/1000,1))</f>
        <v>5.0796999999999995E-2</v>
      </c>
      <c r="Q321" s="155">
        <f>IF($E321="","",Input!$C$21)</f>
        <v>5.0000000000000001E-3</v>
      </c>
      <c r="R321" s="159">
        <f>IF($E321="","",(1-Q321)^($F321-Input!$C$20))</f>
        <v>0.87780914173405755</v>
      </c>
      <c r="S321" s="147">
        <f t="shared" si="167"/>
        <v>3.5672056778131941E-2</v>
      </c>
      <c r="T321" s="147">
        <f t="shared" si="168"/>
        <v>3.0224109717482683E-3</v>
      </c>
      <c r="U321" s="160">
        <f>IF($E321="","",IF($C321=12,INDEX(Input!$C$15:$CP$15,1,$B321),0))</f>
        <v>0</v>
      </c>
      <c r="V321" s="150">
        <f>IF(E321="","",IF(C321=1,IF($B321=1,Input!$C$33,Input!$C$34),0))</f>
        <v>0</v>
      </c>
      <c r="W321" s="156">
        <f>IF($E321="","",Input!$C$35)</f>
        <v>0.02</v>
      </c>
      <c r="X321" s="156">
        <f t="shared" si="207"/>
        <v>1.6734181143540252</v>
      </c>
      <c r="Y321" s="154"/>
      <c r="Z321" s="147">
        <f>IF($E321="","",VLOOKUP($D321,'Mortality Margins &amp; Grading'!$AB$5:$AF$125,3,0)*IF(Summary!$D$25="Included Margin",IF(AND($B321&gt;Input!$C$9,Summary!$D$31&lt;&gt;"Included Margin"),0,1),0))</f>
        <v>3.1E-2</v>
      </c>
      <c r="AA321" s="147">
        <f>IF($E321="","",VLOOKUP($D321,'Mortality Margins &amp; Grading'!$AB$5:$AF$125,5,0)*IF(Summary!$D$25="Included Margin",IF(AND($B321&gt;Input!$C$9,Summary!$D$31&lt;&gt;"Included Margin"),0,1),0))</f>
        <v>0.161</v>
      </c>
      <c r="AB321" s="147">
        <f>IF($E321="","",IF(AND($B321&gt;Input!$C$9,Summary!$D$31&lt;&gt;"Included Margin"),1,IF(Summary!$D$25="Included Margin",VLOOKUP($B321,'Mortality Margins &amp; Grading'!$AI$5:$AR$125,MATCH('Mortality Margins &amp; Grading'!$AQ$4,'Mortality Margins &amp; Grading'!$AI$4:$AR$4,0),0),1)))</f>
        <v>1</v>
      </c>
      <c r="AC321" s="154"/>
      <c r="AD321" s="158">
        <f>IF(E321="","",Input!$C$48*IF(Summary!$D$30="Included Margin",IF(AND($B321&gt;Input!$C$9,Summary!$D$31&lt;&gt;"Included Margin"),0,1),0))</f>
        <v>-4.4999999999999997E-3</v>
      </c>
      <c r="AE321" s="159">
        <f>IF(E321="","",IF(Summary!$D$26="Included Margin",IF(AND($B321&gt;Input!$C$9,Summary!$D$31&lt;&gt;"Included Margin"),1,1/$R321),1))</f>
        <v>1.1391998014791256</v>
      </c>
      <c r="AF321" s="160">
        <f>IF(E321="","",IF(AND($B321&gt;=Input!$C$9,$C321=12,Summary!$D$31="Included Margin",$U321&gt;0),1/U321-1,IF($B321&gt;=Input!$C$9,0,Input!$C$45*IF(Summary!$D$27="Included Margin",1,0))))</f>
        <v>0</v>
      </c>
      <c r="AG321" s="160">
        <f>IF(E321="","",Input!$C$46*IF(Summary!$D$28="Included Margin",IF(AND($B321&gt;Input!$C$9,Summary!$D$31&lt;&gt;"Included Margin"),0,1),0))</f>
        <v>0.02</v>
      </c>
      <c r="AH321" s="158">
        <f>IF(E321="","",Input!$C$47*IF(Summary!$D$29="Included Margin",IF(AND($B321&gt;Input!$C$9,Summary!$D$31&lt;&gt;"Included Margin"),0,1),0))</f>
        <v>2.5000000000000001E-3</v>
      </c>
      <c r="AI321" s="154"/>
      <c r="AJ321" s="158">
        <f t="shared" si="189"/>
        <v>3.7350000000000001E-2</v>
      </c>
      <c r="AK321" s="155">
        <f t="shared" si="190"/>
        <v>3.0604556910085456E-3</v>
      </c>
      <c r="AL321" s="147">
        <f t="shared" si="191"/>
        <v>4.18973656E-2</v>
      </c>
      <c r="AM321" s="147">
        <f t="shared" si="169"/>
        <v>3.5603446158237739E-3</v>
      </c>
      <c r="AN321" s="160">
        <f t="shared" si="192"/>
        <v>0</v>
      </c>
      <c r="AO321" s="161">
        <f t="shared" si="193"/>
        <v>0</v>
      </c>
      <c r="AP321" s="156">
        <f t="shared" si="170"/>
        <v>1.7833896163382974</v>
      </c>
      <c r="AQ321" s="152"/>
      <c r="AR321" s="162">
        <f t="shared" si="171"/>
        <v>2779.0891170007403</v>
      </c>
      <c r="AS321" s="150">
        <f t="shared" si="194"/>
        <v>0</v>
      </c>
      <c r="AT321" s="163">
        <f t="shared" si="172"/>
        <v>0</v>
      </c>
      <c r="AU321" s="163">
        <f t="shared" si="173"/>
        <v>356.03446158237739</v>
      </c>
      <c r="AV321" s="163">
        <f t="shared" si="195"/>
        <v>7.9604652568723555</v>
      </c>
      <c r="AW321" s="163">
        <f t="shared" si="174"/>
        <v>8.686180355027517</v>
      </c>
      <c r="AX321" s="163">
        <f t="shared" si="175"/>
        <v>0</v>
      </c>
      <c r="AY321" s="164">
        <f t="shared" si="196"/>
        <v>2439.7013010302626</v>
      </c>
      <c r="AZ321" s="164">
        <f>IF($E321="","",IF(OR(AND($D321=Input!$C$6,$C321=12),$AN321=1),0,-AS322+AT322+AU322-AV322-AW322-AX322+AZ322))</f>
        <v>2439.7021334457968</v>
      </c>
      <c r="BA321" s="154">
        <f t="shared" si="176"/>
        <v>8.3241553420521086E-4</v>
      </c>
      <c r="BC321" s="147">
        <f t="shared" si="197"/>
        <v>4.1078739715672476E-2</v>
      </c>
      <c r="BD321" s="164">
        <f>IF(AND($C320=12,$D320=Input!$C$6),0,IF($E321="","",AT321+(AU321+BD322)/(1+$AK321)*MIN((1-AM321-AN321),1)))</f>
        <v>2411.4629924512469</v>
      </c>
      <c r="BE321" s="164">
        <f t="shared" si="177"/>
        <v>99.059860600881436</v>
      </c>
      <c r="BF321" s="164">
        <f t="shared" si="198"/>
        <v>2439.7021334457968</v>
      </c>
      <c r="BG321" s="164">
        <f t="shared" si="178"/>
        <v>100.21988892359072</v>
      </c>
      <c r="BH321" s="152"/>
      <c r="BI321" s="162">
        <f t="shared" si="179"/>
        <v>823.53523869084415</v>
      </c>
      <c r="BJ321" s="150">
        <f t="shared" si="180"/>
        <v>0</v>
      </c>
      <c r="BK321" s="163">
        <f t="shared" si="202"/>
        <v>0</v>
      </c>
      <c r="BL321" s="163">
        <f t="shared" si="181"/>
        <v>302.24109717482685</v>
      </c>
      <c r="BM321" s="163">
        <f t="shared" si="203"/>
        <v>2.301232453830822</v>
      </c>
      <c r="BN321" s="163">
        <f t="shared" si="182"/>
        <v>1.5873206085110161</v>
      </c>
      <c r="BO321" s="163">
        <f t="shared" si="183"/>
        <v>0</v>
      </c>
      <c r="BP321" s="164">
        <f t="shared" si="204"/>
        <v>525.18269457835925</v>
      </c>
      <c r="BQ321" s="164">
        <f>IF($E321="","",IF(AND($D321=Input!$C$6,$C321=12),0,-BJ322+BK322+BL322-BM322-BN322-BO322+BQ322))</f>
        <v>525.18357806015183</v>
      </c>
      <c r="BR321" s="161">
        <f t="shared" si="184"/>
        <v>0</v>
      </c>
      <c r="BT321" s="147">
        <f t="shared" si="185"/>
        <v>4.1078739715672476E-2</v>
      </c>
      <c r="BU321" s="164">
        <f>IF(AND($C320=12,$D320=Input!$C$6),0,IF($E321="","",BK321+(BL321+BU322)/(1+$AK321)*MIN((1-T321-U321),1)))</f>
        <v>31703.304969021352</v>
      </c>
      <c r="BV321" s="164">
        <f t="shared" si="186"/>
        <v>1302.331812949014</v>
      </c>
      <c r="BW321" s="164">
        <f t="shared" si="187"/>
        <v>525.18357806015183</v>
      </c>
      <c r="BX321" s="164">
        <f t="shared" si="188"/>
        <v>21.573879506078534</v>
      </c>
    </row>
    <row r="322" spans="1:76" s="150" customFormat="1" x14ac:dyDescent="0.25">
      <c r="A322" s="150">
        <f t="shared" si="199"/>
        <v>318</v>
      </c>
      <c r="B322" s="150">
        <f t="shared" si="200"/>
        <v>27</v>
      </c>
      <c r="C322" s="150">
        <f t="shared" si="201"/>
        <v>6</v>
      </c>
      <c r="D322" s="150">
        <f>IF(E322="","",Input!$C$4+B322-1)</f>
        <v>71</v>
      </c>
      <c r="E322" s="150">
        <f>IF(OR(AND(C321=12,D321=Input!$C$6),E321=""),"",1)</f>
        <v>1</v>
      </c>
      <c r="F322" s="150">
        <f>IF(E322="","",Input!$C$8+B322-1)</f>
        <v>2044</v>
      </c>
      <c r="G322" s="151">
        <f>IF(E322="","",MAX(0,Input!$C$9-B322))</f>
        <v>0</v>
      </c>
      <c r="H322" s="152">
        <f>IF(E322="","",Input!$C$3)</f>
        <v>100000</v>
      </c>
      <c r="I322" s="153">
        <f>IF(E322="","",HLOOKUP($B322,Input!$C$13:$BT$14,2))</f>
        <v>36.260000000000005</v>
      </c>
      <c r="J322" s="154"/>
      <c r="K322" s="155">
        <f>IF($E322="","",INDEX(Input!$C$16:$CP$16,1,$B322))</f>
        <v>2.6849999999999999E-2</v>
      </c>
      <c r="L322" s="155">
        <f>IF($E322="","",Input!$C$37)</f>
        <v>1.4999999999999999E-2</v>
      </c>
      <c r="M322" s="155">
        <f t="shared" si="205"/>
        <v>4.1849999999999998E-2</v>
      </c>
      <c r="N322" s="155">
        <f t="shared" si="206"/>
        <v>3.4223411351659294E-3</v>
      </c>
      <c r="O322" s="147">
        <f>IF($E322="","",MIN(VLOOKUP(IF($B322&lt;=Input!$C$7,$B322,26),'Mortality Tables'!$A$41:$CW$67,IF($B322&lt;=Input!$C$7+1,Input!$C$4+2,$D322-Input!$C$7+2),0)*IF(B322&gt;20,Input!$C$22,1)/1000,1))</f>
        <v>4.0637600000000003E-2</v>
      </c>
      <c r="P322" s="147">
        <f>IF($E322="","",MIN(VLOOKUP(IF($B322&lt;=Input!$C$7,$B322,26),'Mortality Tables'!$A$12:$CW$37,IF($B322&lt;=Input!$C$7+1,Input!$C$4+2,$D322-Input!$C$7+2),0)*IF(B322&gt;20,Input!$C$22,1)/1000,1))</f>
        <v>5.0796999999999995E-2</v>
      </c>
      <c r="Q322" s="155">
        <f>IF($E322="","",Input!$C$21)</f>
        <v>5.0000000000000001E-3</v>
      </c>
      <c r="R322" s="159">
        <f>IF($E322="","",(1-Q322)^($F322-Input!$C$20))</f>
        <v>0.87780914173405755</v>
      </c>
      <c r="S322" s="147">
        <f t="shared" si="167"/>
        <v>3.5672056778131941E-2</v>
      </c>
      <c r="T322" s="147">
        <f t="shared" si="168"/>
        <v>3.0224109717482683E-3</v>
      </c>
      <c r="U322" s="160">
        <f>IF($E322="","",IF($C322=12,INDEX(Input!$C$15:$CP$15,1,$B322),0))</f>
        <v>0</v>
      </c>
      <c r="V322" s="150">
        <f>IF(E322="","",IF(C322=1,IF($B322=1,Input!$C$33,Input!$C$34),0))</f>
        <v>0</v>
      </c>
      <c r="W322" s="156">
        <f>IF($E322="","",Input!$C$35)</f>
        <v>0.02</v>
      </c>
      <c r="X322" s="156">
        <f t="shared" si="207"/>
        <v>1.6734181143540252</v>
      </c>
      <c r="Y322" s="154"/>
      <c r="Z322" s="147">
        <f>IF($E322="","",VLOOKUP($D322,'Mortality Margins &amp; Grading'!$AB$5:$AF$125,3,0)*IF(Summary!$D$25="Included Margin",IF(AND($B322&gt;Input!$C$9,Summary!$D$31&lt;&gt;"Included Margin"),0,1),0))</f>
        <v>3.1E-2</v>
      </c>
      <c r="AA322" s="147">
        <f>IF($E322="","",VLOOKUP($D322,'Mortality Margins &amp; Grading'!$AB$5:$AF$125,5,0)*IF(Summary!$D$25="Included Margin",IF(AND($B322&gt;Input!$C$9,Summary!$D$31&lt;&gt;"Included Margin"),0,1),0))</f>
        <v>0.161</v>
      </c>
      <c r="AB322" s="147">
        <f>IF($E322="","",IF(AND($B322&gt;Input!$C$9,Summary!$D$31&lt;&gt;"Included Margin"),1,IF(Summary!$D$25="Included Margin",VLOOKUP($B322,'Mortality Margins &amp; Grading'!$AI$5:$AR$125,MATCH('Mortality Margins &amp; Grading'!$AQ$4,'Mortality Margins &amp; Grading'!$AI$4:$AR$4,0),0),1)))</f>
        <v>1</v>
      </c>
      <c r="AC322" s="154"/>
      <c r="AD322" s="158">
        <f>IF(E322="","",Input!$C$48*IF(Summary!$D$30="Included Margin",IF(AND($B322&gt;Input!$C$9,Summary!$D$31&lt;&gt;"Included Margin"),0,1),0))</f>
        <v>-4.4999999999999997E-3</v>
      </c>
      <c r="AE322" s="159">
        <f>IF(E322="","",IF(Summary!$D$26="Included Margin",IF(AND($B322&gt;Input!$C$9,Summary!$D$31&lt;&gt;"Included Margin"),1,1/$R322),1))</f>
        <v>1.1391998014791256</v>
      </c>
      <c r="AF322" s="160">
        <f>IF(E322="","",IF(AND($B322&gt;=Input!$C$9,$C322=12,Summary!$D$31="Included Margin",$U322&gt;0),1/U322-1,IF($B322&gt;=Input!$C$9,0,Input!$C$45*IF(Summary!$D$27="Included Margin",1,0))))</f>
        <v>0</v>
      </c>
      <c r="AG322" s="160">
        <f>IF(E322="","",Input!$C$46*IF(Summary!$D$28="Included Margin",IF(AND($B322&gt;Input!$C$9,Summary!$D$31&lt;&gt;"Included Margin"),0,1),0))</f>
        <v>0.02</v>
      </c>
      <c r="AH322" s="158">
        <f>IF(E322="","",Input!$C$47*IF(Summary!$D$29="Included Margin",IF(AND($B322&gt;Input!$C$9,Summary!$D$31&lt;&gt;"Included Margin"),0,1),0))</f>
        <v>2.5000000000000001E-3</v>
      </c>
      <c r="AI322" s="154"/>
      <c r="AJ322" s="158">
        <f t="shared" si="189"/>
        <v>3.7350000000000001E-2</v>
      </c>
      <c r="AK322" s="155">
        <f t="shared" si="190"/>
        <v>3.0604556910085456E-3</v>
      </c>
      <c r="AL322" s="147">
        <f t="shared" si="191"/>
        <v>4.18973656E-2</v>
      </c>
      <c r="AM322" s="147">
        <f t="shared" si="169"/>
        <v>3.5603446158237739E-3</v>
      </c>
      <c r="AN322" s="160">
        <f t="shared" si="192"/>
        <v>0</v>
      </c>
      <c r="AO322" s="161">
        <f t="shared" si="193"/>
        <v>0</v>
      </c>
      <c r="AP322" s="156">
        <f t="shared" si="170"/>
        <v>1.7833896163382974</v>
      </c>
      <c r="AQ322" s="152"/>
      <c r="AR322" s="162">
        <f t="shared" si="171"/>
        <v>2439.7013010302626</v>
      </c>
      <c r="AS322" s="150">
        <f t="shared" si="194"/>
        <v>0</v>
      </c>
      <c r="AT322" s="163">
        <f t="shared" si="172"/>
        <v>0</v>
      </c>
      <c r="AU322" s="163">
        <f t="shared" si="173"/>
        <v>356.03446158237739</v>
      </c>
      <c r="AV322" s="163">
        <f t="shared" si="195"/>
        <v>6.921783884026544</v>
      </c>
      <c r="AW322" s="163">
        <f t="shared" si="174"/>
        <v>7.4698140248128198</v>
      </c>
      <c r="AX322" s="163">
        <f t="shared" si="175"/>
        <v>0</v>
      </c>
      <c r="AY322" s="165">
        <f t="shared" si="196"/>
        <v>2098.0584373567244</v>
      </c>
      <c r="AZ322" s="164">
        <f>IF($E322="","",IF(OR(AND($D322=Input!$C$6,$C322=12),$AN322=1),0,-AS323+AT323+AU323-AV323-AW323-AX323+AZ323))</f>
        <v>2098.0592697722586</v>
      </c>
      <c r="BA322" s="154">
        <f t="shared" si="176"/>
        <v>8.3241553420521086E-4</v>
      </c>
      <c r="BC322" s="147">
        <f t="shared" si="197"/>
        <v>4.0954582882050235E-2</v>
      </c>
      <c r="BD322" s="164">
        <f>IF(AND($C321=12,$D321=Input!$C$6),0,IF($E322="","",AT322+(AU322+BD323)/(1+$AK322)*MIN((1-AM322-AN322),1)))</f>
        <v>2071.451392699053</v>
      </c>
      <c r="BE322" s="164">
        <f t="shared" si="177"/>
        <v>84.835427748431755</v>
      </c>
      <c r="BF322" s="164">
        <f t="shared" si="198"/>
        <v>2098.0592697722586</v>
      </c>
      <c r="BG322" s="164">
        <f t="shared" si="178"/>
        <v>85.925142255341754</v>
      </c>
      <c r="BH322" s="152"/>
      <c r="BI322" s="162">
        <f t="shared" si="179"/>
        <v>525.18269457835936</v>
      </c>
      <c r="BJ322" s="150">
        <f t="shared" si="180"/>
        <v>0</v>
      </c>
      <c r="BK322" s="163">
        <f t="shared" si="202"/>
        <v>0</v>
      </c>
      <c r="BL322" s="163">
        <f t="shared" si="181"/>
        <v>302.24109717482685</v>
      </c>
      <c r="BM322" s="163">
        <f t="shared" si="203"/>
        <v>1.2801682693332577</v>
      </c>
      <c r="BN322" s="163">
        <f t="shared" si="182"/>
        <v>0.67974747113427614</v>
      </c>
      <c r="BO322" s="163">
        <f t="shared" si="183"/>
        <v>0</v>
      </c>
      <c r="BP322" s="164">
        <f t="shared" si="204"/>
        <v>224.90151314400003</v>
      </c>
      <c r="BQ322" s="164">
        <f>IF($E322="","",IF(AND($D322=Input!$C$6,$C322=12),0,-BJ323+BK323+BL323-BM323-BN323-BO323+BQ323))</f>
        <v>224.90239662579256</v>
      </c>
      <c r="BR322" s="161">
        <f t="shared" si="184"/>
        <v>0</v>
      </c>
      <c r="BT322" s="147">
        <f t="shared" si="185"/>
        <v>4.0954582882050235E-2</v>
      </c>
      <c r="BU322" s="164">
        <f>IF(AND($C321=12,$D321=Input!$C$6),0,IF($E322="","",BK322+(BL322+BU323)/(1+$AK322)*MIN((1-T322-U322),1)))</f>
        <v>31594.495478552188</v>
      </c>
      <c r="BV322" s="164">
        <f t="shared" si="186"/>
        <v>1293.9393836929269</v>
      </c>
      <c r="BW322" s="164">
        <f t="shared" si="187"/>
        <v>224.90239662579256</v>
      </c>
      <c r="BX322" s="164">
        <f t="shared" si="188"/>
        <v>9.2107838429827567</v>
      </c>
    </row>
    <row r="323" spans="1:76" s="150" customFormat="1" x14ac:dyDescent="0.25">
      <c r="A323" s="150">
        <f t="shared" si="199"/>
        <v>319</v>
      </c>
      <c r="B323" s="150">
        <f t="shared" si="200"/>
        <v>27</v>
      </c>
      <c r="C323" s="150">
        <f t="shared" si="201"/>
        <v>7</v>
      </c>
      <c r="D323" s="150">
        <f>IF(E323="","",Input!$C$4+B323-1)</f>
        <v>71</v>
      </c>
      <c r="E323" s="150">
        <f>IF(OR(AND(C322=12,D322=Input!$C$6),E322=""),"",1)</f>
        <v>1</v>
      </c>
      <c r="F323" s="150">
        <f>IF(E323="","",Input!$C$8+B323-1)</f>
        <v>2044</v>
      </c>
      <c r="G323" s="151">
        <f>IF(E323="","",MAX(0,Input!$C$9-B323))</f>
        <v>0</v>
      </c>
      <c r="H323" s="152">
        <f>IF(E323="","",Input!$C$3)</f>
        <v>100000</v>
      </c>
      <c r="I323" s="153">
        <f>IF(E323="","",HLOOKUP($B323,Input!$C$13:$BT$14,2))</f>
        <v>36.260000000000005</v>
      </c>
      <c r="J323" s="154"/>
      <c r="K323" s="155">
        <f>IF($E323="","",INDEX(Input!$C$16:$CP$16,1,$B323))</f>
        <v>2.6849999999999999E-2</v>
      </c>
      <c r="L323" s="155">
        <f>IF($E323="","",Input!$C$37)</f>
        <v>1.4999999999999999E-2</v>
      </c>
      <c r="M323" s="155">
        <f t="shared" si="205"/>
        <v>4.1849999999999998E-2</v>
      </c>
      <c r="N323" s="155">
        <f t="shared" si="206"/>
        <v>3.4223411351659294E-3</v>
      </c>
      <c r="O323" s="147">
        <f>IF($E323="","",MIN(VLOOKUP(IF($B323&lt;=Input!$C$7,$B323,26),'Mortality Tables'!$A$41:$CW$67,IF($B323&lt;=Input!$C$7+1,Input!$C$4+2,$D323-Input!$C$7+2),0)*IF(B323&gt;20,Input!$C$22,1)/1000,1))</f>
        <v>4.0637600000000003E-2</v>
      </c>
      <c r="P323" s="147">
        <f>IF($E323="","",MIN(VLOOKUP(IF($B323&lt;=Input!$C$7,$B323,26),'Mortality Tables'!$A$12:$CW$37,IF($B323&lt;=Input!$C$7+1,Input!$C$4+2,$D323-Input!$C$7+2),0)*IF(B323&gt;20,Input!$C$22,1)/1000,1))</f>
        <v>5.0796999999999995E-2</v>
      </c>
      <c r="Q323" s="155">
        <f>IF($E323="","",Input!$C$21)</f>
        <v>5.0000000000000001E-3</v>
      </c>
      <c r="R323" s="159">
        <f>IF($E323="","",(1-Q323)^($F323-Input!$C$20))</f>
        <v>0.87780914173405755</v>
      </c>
      <c r="S323" s="147">
        <f t="shared" si="167"/>
        <v>3.5672056778131941E-2</v>
      </c>
      <c r="T323" s="147">
        <f t="shared" si="168"/>
        <v>3.0224109717482683E-3</v>
      </c>
      <c r="U323" s="160">
        <f>IF($E323="","",IF($C323=12,INDEX(Input!$C$15:$CP$15,1,$B323),0))</f>
        <v>0</v>
      </c>
      <c r="V323" s="150">
        <f>IF(E323="","",IF(C323=1,IF($B323=1,Input!$C$33,Input!$C$34),0))</f>
        <v>0</v>
      </c>
      <c r="W323" s="156">
        <f>IF($E323="","",Input!$C$35)</f>
        <v>0.02</v>
      </c>
      <c r="X323" s="156">
        <f t="shared" si="207"/>
        <v>1.6734181143540252</v>
      </c>
      <c r="Y323" s="154"/>
      <c r="Z323" s="147">
        <f>IF($E323="","",VLOOKUP($D323,'Mortality Margins &amp; Grading'!$AB$5:$AF$125,3,0)*IF(Summary!$D$25="Included Margin",IF(AND($B323&gt;Input!$C$9,Summary!$D$31&lt;&gt;"Included Margin"),0,1),0))</f>
        <v>3.1E-2</v>
      </c>
      <c r="AA323" s="147">
        <f>IF($E323="","",VLOOKUP($D323,'Mortality Margins &amp; Grading'!$AB$5:$AF$125,5,0)*IF(Summary!$D$25="Included Margin",IF(AND($B323&gt;Input!$C$9,Summary!$D$31&lt;&gt;"Included Margin"),0,1),0))</f>
        <v>0.161</v>
      </c>
      <c r="AB323" s="147">
        <f>IF($E323="","",IF(AND($B323&gt;Input!$C$9,Summary!$D$31&lt;&gt;"Included Margin"),1,IF(Summary!$D$25="Included Margin",VLOOKUP($B323,'Mortality Margins &amp; Grading'!$AI$5:$AR$125,MATCH('Mortality Margins &amp; Grading'!$AQ$4,'Mortality Margins &amp; Grading'!$AI$4:$AR$4,0),0),1)))</f>
        <v>1</v>
      </c>
      <c r="AC323" s="154"/>
      <c r="AD323" s="158">
        <f>IF(E323="","",Input!$C$48*IF(Summary!$D$30="Included Margin",IF(AND($B323&gt;Input!$C$9,Summary!$D$31&lt;&gt;"Included Margin"),0,1),0))</f>
        <v>-4.4999999999999997E-3</v>
      </c>
      <c r="AE323" s="159">
        <f>IF(E323="","",IF(Summary!$D$26="Included Margin",IF(AND($B323&gt;Input!$C$9,Summary!$D$31&lt;&gt;"Included Margin"),1,1/$R323),1))</f>
        <v>1.1391998014791256</v>
      </c>
      <c r="AF323" s="160">
        <f>IF(E323="","",IF(AND($B323&gt;=Input!$C$9,$C323=12,Summary!$D$31="Included Margin",$U323&gt;0),1/U323-1,IF($B323&gt;=Input!$C$9,0,Input!$C$45*IF(Summary!$D$27="Included Margin",1,0))))</f>
        <v>0</v>
      </c>
      <c r="AG323" s="160">
        <f>IF(E323="","",Input!$C$46*IF(Summary!$D$28="Included Margin",IF(AND($B323&gt;Input!$C$9,Summary!$D$31&lt;&gt;"Included Margin"),0,1),0))</f>
        <v>0.02</v>
      </c>
      <c r="AH323" s="158">
        <f>IF(E323="","",Input!$C$47*IF(Summary!$D$29="Included Margin",IF(AND($B323&gt;Input!$C$9,Summary!$D$31&lt;&gt;"Included Margin"),0,1),0))</f>
        <v>2.5000000000000001E-3</v>
      </c>
      <c r="AI323" s="154"/>
      <c r="AJ323" s="158">
        <f t="shared" si="189"/>
        <v>3.7350000000000001E-2</v>
      </c>
      <c r="AK323" s="155">
        <f t="shared" si="190"/>
        <v>3.0604556910085456E-3</v>
      </c>
      <c r="AL323" s="147">
        <f t="shared" si="191"/>
        <v>4.18973656E-2</v>
      </c>
      <c r="AM323" s="147">
        <f t="shared" si="169"/>
        <v>3.5603446158237739E-3</v>
      </c>
      <c r="AN323" s="160">
        <f t="shared" si="192"/>
        <v>0</v>
      </c>
      <c r="AO323" s="161">
        <f t="shared" si="193"/>
        <v>0</v>
      </c>
      <c r="AP323" s="156">
        <f t="shared" si="170"/>
        <v>1.7833896163382974</v>
      </c>
      <c r="AQ323" s="152"/>
      <c r="AR323" s="162">
        <f t="shared" si="171"/>
        <v>2098.0584373567249</v>
      </c>
      <c r="AS323" s="150">
        <f t="shared" si="194"/>
        <v>0</v>
      </c>
      <c r="AT323" s="163">
        <f t="shared" si="172"/>
        <v>0</v>
      </c>
      <c r="AU323" s="163">
        <f t="shared" si="173"/>
        <v>356.03446158237739</v>
      </c>
      <c r="AV323" s="163">
        <f t="shared" si="195"/>
        <v>5.8762010376044094</v>
      </c>
      <c r="AW323" s="163">
        <f t="shared" si="174"/>
        <v>6.2453656009873457</v>
      </c>
      <c r="AX323" s="163">
        <f t="shared" si="175"/>
        <v>0</v>
      </c>
      <c r="AY323" s="164">
        <f t="shared" si="196"/>
        <v>1754.1455424129392</v>
      </c>
      <c r="AZ323" s="164">
        <f>IF($E323="","",IF(OR(AND($D323=Input!$C$6,$C323=12),$AN323=1),0,-AS324+AT324+AU324-AV324-AW324-AX324+AZ324))</f>
        <v>1754.1463748284732</v>
      </c>
      <c r="BA323" s="154">
        <f t="shared" si="176"/>
        <v>8.3241553397783719E-4</v>
      </c>
      <c r="BC323" s="147">
        <f t="shared" si="197"/>
        <v>4.0830801301404152E-2</v>
      </c>
      <c r="BD323" s="164">
        <f>IF(AND($C322=12,$D322=Input!$C$6),0,IF($E323="","",AT323+(AU323+BD324)/(1+$AK323)*MIN((1-AM323-AN323),1)))</f>
        <v>1729.1806005393689</v>
      </c>
      <c r="BE323" s="164">
        <f t="shared" si="177"/>
        <v>70.60382951486568</v>
      </c>
      <c r="BF323" s="164">
        <f t="shared" si="198"/>
        <v>1754.1463748284732</v>
      </c>
      <c r="BG323" s="164">
        <f t="shared" si="178"/>
        <v>71.623202084199804</v>
      </c>
      <c r="BH323" s="152"/>
      <c r="BI323" s="162">
        <f t="shared" si="179"/>
        <v>224.90151314400003</v>
      </c>
      <c r="BJ323" s="150">
        <f t="shared" si="180"/>
        <v>0</v>
      </c>
      <c r="BK323" s="163">
        <f t="shared" si="202"/>
        <v>0</v>
      </c>
      <c r="BL323" s="163">
        <f t="shared" si="181"/>
        <v>302.24109717482685</v>
      </c>
      <c r="BM323" s="163">
        <f t="shared" si="203"/>
        <v>0.25250362999422582</v>
      </c>
      <c r="BN323" s="163">
        <f t="shared" si="182"/>
        <v>-0.23369248206024815</v>
      </c>
      <c r="BO323" s="163">
        <f t="shared" si="183"/>
        <v>0</v>
      </c>
      <c r="BP323" s="164">
        <f t="shared" si="204"/>
        <v>-77.32077288289284</v>
      </c>
      <c r="BQ323" s="164">
        <f>IF($E323="","",IF(AND($D323=Input!$C$6,$C323=12),0,-BJ324+BK324+BL324-BM324-BN324-BO324+BQ324))</f>
        <v>-77.319889401100284</v>
      </c>
      <c r="BR323" s="161">
        <f t="shared" si="184"/>
        <v>0</v>
      </c>
      <c r="BT323" s="147">
        <f t="shared" si="185"/>
        <v>4.0830801301404152E-2</v>
      </c>
      <c r="BU323" s="164">
        <f>IF(AND($C322=12,$D322=Input!$C$6),0,IF($E323="","",BK323+(BL323+BU324)/(1+$AK323)*MIN((1-T323-U323),1)))</f>
        <v>31485.022107942234</v>
      </c>
      <c r="BV323" s="164">
        <f t="shared" si="186"/>
        <v>1285.5586816597063</v>
      </c>
      <c r="BW323" s="164">
        <f t="shared" si="187"/>
        <v>-77.319889401100284</v>
      </c>
      <c r="BX323" s="164">
        <f t="shared" si="188"/>
        <v>-3.1570330407828706</v>
      </c>
    </row>
    <row r="324" spans="1:76" s="150" customFormat="1" x14ac:dyDescent="0.25">
      <c r="A324" s="150">
        <f t="shared" si="199"/>
        <v>320</v>
      </c>
      <c r="B324" s="150">
        <f t="shared" si="200"/>
        <v>27</v>
      </c>
      <c r="C324" s="150">
        <f t="shared" si="201"/>
        <v>8</v>
      </c>
      <c r="D324" s="150">
        <f>IF(E324="","",Input!$C$4+B324-1)</f>
        <v>71</v>
      </c>
      <c r="E324" s="150">
        <f>IF(OR(AND(C323=12,D323=Input!$C$6),E323=""),"",1)</f>
        <v>1</v>
      </c>
      <c r="F324" s="150">
        <f>IF(E324="","",Input!$C$8+B324-1)</f>
        <v>2044</v>
      </c>
      <c r="G324" s="151">
        <f>IF(E324="","",MAX(0,Input!$C$9-B324))</f>
        <v>0</v>
      </c>
      <c r="H324" s="152">
        <f>IF(E324="","",Input!$C$3)</f>
        <v>100000</v>
      </c>
      <c r="I324" s="153">
        <f>IF(E324="","",HLOOKUP($B324,Input!$C$13:$BT$14,2))</f>
        <v>36.260000000000005</v>
      </c>
      <c r="J324" s="154"/>
      <c r="K324" s="155">
        <f>IF($E324="","",INDEX(Input!$C$16:$CP$16,1,$B324))</f>
        <v>2.6849999999999999E-2</v>
      </c>
      <c r="L324" s="155">
        <f>IF($E324="","",Input!$C$37)</f>
        <v>1.4999999999999999E-2</v>
      </c>
      <c r="M324" s="155">
        <f t="shared" si="205"/>
        <v>4.1849999999999998E-2</v>
      </c>
      <c r="N324" s="155">
        <f t="shared" si="206"/>
        <v>3.4223411351659294E-3</v>
      </c>
      <c r="O324" s="147">
        <f>IF($E324="","",MIN(VLOOKUP(IF($B324&lt;=Input!$C$7,$B324,26),'Mortality Tables'!$A$41:$CW$67,IF($B324&lt;=Input!$C$7+1,Input!$C$4+2,$D324-Input!$C$7+2),0)*IF(B324&gt;20,Input!$C$22,1)/1000,1))</f>
        <v>4.0637600000000003E-2</v>
      </c>
      <c r="P324" s="147">
        <f>IF($E324="","",MIN(VLOOKUP(IF($B324&lt;=Input!$C$7,$B324,26),'Mortality Tables'!$A$12:$CW$37,IF($B324&lt;=Input!$C$7+1,Input!$C$4+2,$D324-Input!$C$7+2),0)*IF(B324&gt;20,Input!$C$22,1)/1000,1))</f>
        <v>5.0796999999999995E-2</v>
      </c>
      <c r="Q324" s="155">
        <f>IF($E324="","",Input!$C$21)</f>
        <v>5.0000000000000001E-3</v>
      </c>
      <c r="R324" s="159">
        <f>IF($E324="","",(1-Q324)^($F324-Input!$C$20))</f>
        <v>0.87780914173405755</v>
      </c>
      <c r="S324" s="147">
        <f t="shared" si="167"/>
        <v>3.5672056778131941E-2</v>
      </c>
      <c r="T324" s="147">
        <f t="shared" si="168"/>
        <v>3.0224109717482683E-3</v>
      </c>
      <c r="U324" s="160">
        <f>IF($E324="","",IF($C324=12,INDEX(Input!$C$15:$CP$15,1,$B324),0))</f>
        <v>0</v>
      </c>
      <c r="V324" s="150">
        <f>IF(E324="","",IF(C324=1,IF($B324=1,Input!$C$33,Input!$C$34),0))</f>
        <v>0</v>
      </c>
      <c r="W324" s="156">
        <f>IF($E324="","",Input!$C$35)</f>
        <v>0.02</v>
      </c>
      <c r="X324" s="156">
        <f t="shared" si="207"/>
        <v>1.6734181143540252</v>
      </c>
      <c r="Y324" s="154"/>
      <c r="Z324" s="147">
        <f>IF($E324="","",VLOOKUP($D324,'Mortality Margins &amp; Grading'!$AB$5:$AF$125,3,0)*IF(Summary!$D$25="Included Margin",IF(AND($B324&gt;Input!$C$9,Summary!$D$31&lt;&gt;"Included Margin"),0,1),0))</f>
        <v>3.1E-2</v>
      </c>
      <c r="AA324" s="147">
        <f>IF($E324="","",VLOOKUP($D324,'Mortality Margins &amp; Grading'!$AB$5:$AF$125,5,0)*IF(Summary!$D$25="Included Margin",IF(AND($B324&gt;Input!$C$9,Summary!$D$31&lt;&gt;"Included Margin"),0,1),0))</f>
        <v>0.161</v>
      </c>
      <c r="AB324" s="147">
        <f>IF($E324="","",IF(AND($B324&gt;Input!$C$9,Summary!$D$31&lt;&gt;"Included Margin"),1,IF(Summary!$D$25="Included Margin",VLOOKUP($B324,'Mortality Margins &amp; Grading'!$AI$5:$AR$125,MATCH('Mortality Margins &amp; Grading'!$AQ$4,'Mortality Margins &amp; Grading'!$AI$4:$AR$4,0),0),1)))</f>
        <v>1</v>
      </c>
      <c r="AC324" s="154"/>
      <c r="AD324" s="158">
        <f>IF(E324="","",Input!$C$48*IF(Summary!$D$30="Included Margin",IF(AND($B324&gt;Input!$C$9,Summary!$D$31&lt;&gt;"Included Margin"),0,1),0))</f>
        <v>-4.4999999999999997E-3</v>
      </c>
      <c r="AE324" s="159">
        <f>IF(E324="","",IF(Summary!$D$26="Included Margin",IF(AND($B324&gt;Input!$C$9,Summary!$D$31&lt;&gt;"Included Margin"),1,1/$R324),1))</f>
        <v>1.1391998014791256</v>
      </c>
      <c r="AF324" s="160">
        <f>IF(E324="","",IF(AND($B324&gt;=Input!$C$9,$C324=12,Summary!$D$31="Included Margin",$U324&gt;0),1/U324-1,IF($B324&gt;=Input!$C$9,0,Input!$C$45*IF(Summary!$D$27="Included Margin",1,0))))</f>
        <v>0</v>
      </c>
      <c r="AG324" s="160">
        <f>IF(E324="","",Input!$C$46*IF(Summary!$D$28="Included Margin",IF(AND($B324&gt;Input!$C$9,Summary!$D$31&lt;&gt;"Included Margin"),0,1),0))</f>
        <v>0.02</v>
      </c>
      <c r="AH324" s="158">
        <f>IF(E324="","",Input!$C$47*IF(Summary!$D$29="Included Margin",IF(AND($B324&gt;Input!$C$9,Summary!$D$31&lt;&gt;"Included Margin"),0,1),0))</f>
        <v>2.5000000000000001E-3</v>
      </c>
      <c r="AI324" s="154"/>
      <c r="AJ324" s="158">
        <f t="shared" si="189"/>
        <v>3.7350000000000001E-2</v>
      </c>
      <c r="AK324" s="155">
        <f t="shared" si="190"/>
        <v>3.0604556910085456E-3</v>
      </c>
      <c r="AL324" s="147">
        <f t="shared" si="191"/>
        <v>4.18973656E-2</v>
      </c>
      <c r="AM324" s="147">
        <f t="shared" si="169"/>
        <v>3.5603446158237739E-3</v>
      </c>
      <c r="AN324" s="160">
        <f t="shared" si="192"/>
        <v>0</v>
      </c>
      <c r="AO324" s="161">
        <f t="shared" si="193"/>
        <v>0</v>
      </c>
      <c r="AP324" s="156">
        <f t="shared" si="170"/>
        <v>1.7833896163382974</v>
      </c>
      <c r="AQ324" s="152"/>
      <c r="AR324" s="162">
        <f t="shared" si="171"/>
        <v>1754.1455424129392</v>
      </c>
      <c r="AS324" s="150">
        <f t="shared" si="194"/>
        <v>0</v>
      </c>
      <c r="AT324" s="163">
        <f t="shared" si="172"/>
        <v>0</v>
      </c>
      <c r="AU324" s="163">
        <f t="shared" si="173"/>
        <v>356.03446158237739</v>
      </c>
      <c r="AV324" s="163">
        <f t="shared" si="195"/>
        <v>4.8236708610624772</v>
      </c>
      <c r="AW324" s="163">
        <f t="shared" si="174"/>
        <v>5.0127813824287344</v>
      </c>
      <c r="AX324" s="163">
        <f t="shared" si="175"/>
        <v>0</v>
      </c>
      <c r="AY324" s="165">
        <f t="shared" si="196"/>
        <v>1407.9475330740531</v>
      </c>
      <c r="AZ324" s="164">
        <f>IF($E324="","",IF(OR(AND($D324=Input!$C$6,$C324=12),$AN324=1),0,-AS325+AT325+AU325-AV325-AW325-AX325+AZ325))</f>
        <v>1407.9483654895871</v>
      </c>
      <c r="BA324" s="154">
        <f t="shared" si="176"/>
        <v>8.3241553397783719E-4</v>
      </c>
      <c r="BC324" s="147">
        <f t="shared" si="197"/>
        <v>4.0707393839565516E-2</v>
      </c>
      <c r="BD324" s="164">
        <f>IF(AND($C323=12,$D323=Input!$C$6),0,IF($E324="","",AT324+(AU324+BD325)/(1+$AK324)*MIN((1-AM324-AN324),1)))</f>
        <v>1384.6356048656978</v>
      </c>
      <c r="BE324" s="164">
        <f t="shared" si="177"/>
        <v>56.364906891552977</v>
      </c>
      <c r="BF324" s="164">
        <f t="shared" si="198"/>
        <v>1407.9483654895871</v>
      </c>
      <c r="BG324" s="164">
        <f t="shared" si="178"/>
        <v>57.313908619757157</v>
      </c>
      <c r="BH324" s="152"/>
      <c r="BI324" s="162">
        <f t="shared" si="179"/>
        <v>-77.320772882892868</v>
      </c>
      <c r="BJ324" s="150">
        <f t="shared" si="180"/>
        <v>0</v>
      </c>
      <c r="BK324" s="163">
        <f t="shared" si="202"/>
        <v>0</v>
      </c>
      <c r="BL324" s="163">
        <f t="shared" si="181"/>
        <v>302.24109717482685</v>
      </c>
      <c r="BM324" s="163">
        <f t="shared" si="203"/>
        <v>-0.78180413143949301</v>
      </c>
      <c r="BN324" s="163">
        <f t="shared" si="182"/>
        <v>-1.1530371758704849</v>
      </c>
      <c r="BO324" s="163">
        <f t="shared" si="183"/>
        <v>0</v>
      </c>
      <c r="BP324" s="164">
        <f t="shared" si="204"/>
        <v>-381.49671136502974</v>
      </c>
      <c r="BQ324" s="164">
        <f>IF($E324="","",IF(AND($D324=Input!$C$6,$C324=12),0,-BJ325+BK325+BL325-BM325-BN325-BO325+BQ325))</f>
        <v>-381.49582788323715</v>
      </c>
      <c r="BR324" s="161">
        <f t="shared" si="184"/>
        <v>0</v>
      </c>
      <c r="BT324" s="147">
        <f t="shared" si="185"/>
        <v>4.0707393839565516E-2</v>
      </c>
      <c r="BU324" s="164">
        <f>IF(AND($C323=12,$D323=Input!$C$6),0,IF($E324="","",BK324+(BL324+BU325)/(1+$AK324)*MIN((1-T324-U324),1)))</f>
        <v>31374.880806654728</v>
      </c>
      <c r="BV324" s="164">
        <f t="shared" si="186"/>
        <v>1277.189629665919</v>
      </c>
      <c r="BW324" s="164">
        <f t="shared" si="187"/>
        <v>-381.49582788323715</v>
      </c>
      <c r="BX324" s="164">
        <f t="shared" si="188"/>
        <v>-15.529700913794034</v>
      </c>
    </row>
    <row r="325" spans="1:76" s="150" customFormat="1" x14ac:dyDescent="0.25">
      <c r="A325" s="150">
        <f t="shared" si="199"/>
        <v>321</v>
      </c>
      <c r="B325" s="150">
        <f t="shared" si="200"/>
        <v>27</v>
      </c>
      <c r="C325" s="150">
        <f t="shared" si="201"/>
        <v>9</v>
      </c>
      <c r="D325" s="150">
        <f>IF(E325="","",Input!$C$4+B325-1)</f>
        <v>71</v>
      </c>
      <c r="E325" s="150">
        <f>IF(OR(AND(C324=12,D324=Input!$C$6),E324=""),"",1)</f>
        <v>1</v>
      </c>
      <c r="F325" s="150">
        <f>IF(E325="","",Input!$C$8+B325-1)</f>
        <v>2044</v>
      </c>
      <c r="G325" s="151">
        <f>IF(E325="","",MAX(0,Input!$C$9-B325))</f>
        <v>0</v>
      </c>
      <c r="H325" s="152">
        <f>IF(E325="","",Input!$C$3)</f>
        <v>100000</v>
      </c>
      <c r="I325" s="153">
        <f>IF(E325="","",HLOOKUP($B325,Input!$C$13:$BT$14,2))</f>
        <v>36.260000000000005</v>
      </c>
      <c r="J325" s="154"/>
      <c r="K325" s="155">
        <f>IF($E325="","",INDEX(Input!$C$16:$CP$16,1,$B325))</f>
        <v>2.6849999999999999E-2</v>
      </c>
      <c r="L325" s="155">
        <f>IF($E325="","",Input!$C$37)</f>
        <v>1.4999999999999999E-2</v>
      </c>
      <c r="M325" s="155">
        <f t="shared" si="205"/>
        <v>4.1849999999999998E-2</v>
      </c>
      <c r="N325" s="155">
        <f t="shared" si="206"/>
        <v>3.4223411351659294E-3</v>
      </c>
      <c r="O325" s="147">
        <f>IF($E325="","",MIN(VLOOKUP(IF($B325&lt;=Input!$C$7,$B325,26),'Mortality Tables'!$A$41:$CW$67,IF($B325&lt;=Input!$C$7+1,Input!$C$4+2,$D325-Input!$C$7+2),0)*IF(B325&gt;20,Input!$C$22,1)/1000,1))</f>
        <v>4.0637600000000003E-2</v>
      </c>
      <c r="P325" s="147">
        <f>IF($E325="","",MIN(VLOOKUP(IF($B325&lt;=Input!$C$7,$B325,26),'Mortality Tables'!$A$12:$CW$37,IF($B325&lt;=Input!$C$7+1,Input!$C$4+2,$D325-Input!$C$7+2),0)*IF(B325&gt;20,Input!$C$22,1)/1000,1))</f>
        <v>5.0796999999999995E-2</v>
      </c>
      <c r="Q325" s="155">
        <f>IF($E325="","",Input!$C$21)</f>
        <v>5.0000000000000001E-3</v>
      </c>
      <c r="R325" s="159">
        <f>IF($E325="","",(1-Q325)^($F325-Input!$C$20))</f>
        <v>0.87780914173405755</v>
      </c>
      <c r="S325" s="147">
        <f t="shared" ref="S325:S388" si="208">IF($E325="","",MIN(O325*R325,1))</f>
        <v>3.5672056778131941E-2</v>
      </c>
      <c r="T325" s="147">
        <f t="shared" ref="T325:T388" si="209">IF($E325="","",1-(1-S325)^(1/12))</f>
        <v>3.0224109717482683E-3</v>
      </c>
      <c r="U325" s="160">
        <f>IF($E325="","",IF($C325=12,INDEX(Input!$C$15:$CP$15,1,$B325),0))</f>
        <v>0</v>
      </c>
      <c r="V325" s="150">
        <f>IF(E325="","",IF(C325=1,IF($B325=1,Input!$C$33,Input!$C$34),0))</f>
        <v>0</v>
      </c>
      <c r="W325" s="156">
        <f>IF($E325="","",Input!$C$35)</f>
        <v>0.02</v>
      </c>
      <c r="X325" s="156">
        <f t="shared" si="207"/>
        <v>1.6734181143540252</v>
      </c>
      <c r="Y325" s="154"/>
      <c r="Z325" s="147">
        <f>IF($E325="","",VLOOKUP($D325,'Mortality Margins &amp; Grading'!$AB$5:$AF$125,3,0)*IF(Summary!$D$25="Included Margin",IF(AND($B325&gt;Input!$C$9,Summary!$D$31&lt;&gt;"Included Margin"),0,1),0))</f>
        <v>3.1E-2</v>
      </c>
      <c r="AA325" s="147">
        <f>IF($E325="","",VLOOKUP($D325,'Mortality Margins &amp; Grading'!$AB$5:$AF$125,5,0)*IF(Summary!$D$25="Included Margin",IF(AND($B325&gt;Input!$C$9,Summary!$D$31&lt;&gt;"Included Margin"),0,1),0))</f>
        <v>0.161</v>
      </c>
      <c r="AB325" s="147">
        <f>IF($E325="","",IF(AND($B325&gt;Input!$C$9,Summary!$D$31&lt;&gt;"Included Margin"),1,IF(Summary!$D$25="Included Margin",VLOOKUP($B325,'Mortality Margins &amp; Grading'!$AI$5:$AR$125,MATCH('Mortality Margins &amp; Grading'!$AQ$4,'Mortality Margins &amp; Grading'!$AI$4:$AR$4,0),0),1)))</f>
        <v>1</v>
      </c>
      <c r="AC325" s="154"/>
      <c r="AD325" s="158">
        <f>IF(E325="","",Input!$C$48*IF(Summary!$D$30="Included Margin",IF(AND($B325&gt;Input!$C$9,Summary!$D$31&lt;&gt;"Included Margin"),0,1),0))</f>
        <v>-4.4999999999999997E-3</v>
      </c>
      <c r="AE325" s="159">
        <f>IF(E325="","",IF(Summary!$D$26="Included Margin",IF(AND($B325&gt;Input!$C$9,Summary!$D$31&lt;&gt;"Included Margin"),1,1/$R325),1))</f>
        <v>1.1391998014791256</v>
      </c>
      <c r="AF325" s="160">
        <f>IF(E325="","",IF(AND($B325&gt;=Input!$C$9,$C325=12,Summary!$D$31="Included Margin",$U325&gt;0),1/U325-1,IF($B325&gt;=Input!$C$9,0,Input!$C$45*IF(Summary!$D$27="Included Margin",1,0))))</f>
        <v>0</v>
      </c>
      <c r="AG325" s="160">
        <f>IF(E325="","",Input!$C$46*IF(Summary!$D$28="Included Margin",IF(AND($B325&gt;Input!$C$9,Summary!$D$31&lt;&gt;"Included Margin"),0,1),0))</f>
        <v>0.02</v>
      </c>
      <c r="AH325" s="158">
        <f>IF(E325="","",Input!$C$47*IF(Summary!$D$29="Included Margin",IF(AND($B325&gt;Input!$C$9,Summary!$D$31&lt;&gt;"Included Margin"),0,1),0))</f>
        <v>2.5000000000000001E-3</v>
      </c>
      <c r="AI325" s="154"/>
      <c r="AJ325" s="158">
        <f t="shared" si="189"/>
        <v>3.7350000000000001E-2</v>
      </c>
      <c r="AK325" s="155">
        <f t="shared" si="190"/>
        <v>3.0604556910085456E-3</v>
      </c>
      <c r="AL325" s="147">
        <f t="shared" si="191"/>
        <v>4.18973656E-2</v>
      </c>
      <c r="AM325" s="147">
        <f t="shared" ref="AM325:AM388" si="210">IF($E325="","",1-(1-AL325)^(1/12))</f>
        <v>3.5603446158237739E-3</v>
      </c>
      <c r="AN325" s="160">
        <f t="shared" si="192"/>
        <v>0</v>
      </c>
      <c r="AO325" s="161">
        <f t="shared" si="193"/>
        <v>0</v>
      </c>
      <c r="AP325" s="156">
        <f t="shared" ref="AP325:AP388" si="211">IF($E325="","",IF(B325=1,1,IF(C325=1,(1+$W325+$AH325)*AP324,AP324)))</f>
        <v>1.7833896163382974</v>
      </c>
      <c r="AQ325" s="152"/>
      <c r="AR325" s="162">
        <f t="shared" ref="AR325:AR388" si="212">IF($E325="","",(AZ325*(1-$AN325)*(1-$AM325)/(1+$AK325)+AU325/(1+$AK325/2)-AS325+AT325))</f>
        <v>1407.9475330740531</v>
      </c>
      <c r="AS325" s="150">
        <f t="shared" si="194"/>
        <v>0</v>
      </c>
      <c r="AT325" s="163">
        <f t="shared" ref="AT325:AT388" si="213">IF($E325="","",$AO325*$AP325)</f>
        <v>0</v>
      </c>
      <c r="AU325" s="163">
        <f t="shared" ref="AU325:AU388" si="214">IF($E325="","",$AM325*$H325)</f>
        <v>356.03446158237739</v>
      </c>
      <c r="AV325" s="163">
        <f t="shared" si="195"/>
        <v>3.7641471931654533</v>
      </c>
      <c r="AW325" s="163">
        <f t="shared" ref="AW325:AW388" si="215">IF($E325="","",AZ325*$AM325)</f>
        <v>3.7720073111998333</v>
      </c>
      <c r="AX325" s="163">
        <f t="shared" ref="AX325:AX388" si="216">IF($E325="","",$AN325*AZ325*(1-$AM325))</f>
        <v>0</v>
      </c>
      <c r="AY325" s="164">
        <f t="shared" si="196"/>
        <v>1059.4492259960409</v>
      </c>
      <c r="AZ325" s="164">
        <f>IF($E325="","",IF(OR(AND($D325=Input!$C$6,$C325=12),$AN325=1),0,-AS326+AT326+AU326-AV326-AW326-AX326+AZ326))</f>
        <v>1059.4500584115749</v>
      </c>
      <c r="BA325" s="154">
        <f t="shared" ref="BA325:BA388" si="217">IF(E325="","",AZ325-AY325)</f>
        <v>8.3241553397783719E-4</v>
      </c>
      <c r="BC325" s="147">
        <f t="shared" si="197"/>
        <v>4.0584359365793535E-2</v>
      </c>
      <c r="BD325" s="164">
        <f>IF(AND($C324=12,$D324=Input!$C$6),0,IF($E325="","",AT325+(AU325+BD326)/(1+$AK325)*MIN((1-AM325-AN325),1)))</f>
        <v>1037.8012948308933</v>
      </c>
      <c r="BE325" s="164">
        <f t="shared" ref="BE325:BE388" si="218">IF($E325="","",BC325*BD325)</f>
        <v>42.118500699702821</v>
      </c>
      <c r="BF325" s="164">
        <f t="shared" si="198"/>
        <v>1059.4500584115749</v>
      </c>
      <c r="BG325" s="164">
        <f t="shared" ref="BG325:BG388" si="219">IF($E325="","",BC325*BF325)</f>
        <v>42.99710190068631</v>
      </c>
      <c r="BH325" s="152"/>
      <c r="BI325" s="162">
        <f t="shared" ref="BI325:BI388" si="220">IF($E325="","",(BQ325*(1-$U325)*(1-$T325)/(1+$N325)+BL325/(1+$N325/2)-BJ325+BK325))</f>
        <v>-381.49671136502963</v>
      </c>
      <c r="BJ325" s="150">
        <f t="shared" ref="BJ325:BJ388" si="221">IF($E325="","",AS325)</f>
        <v>0</v>
      </c>
      <c r="BK325" s="163">
        <f t="shared" si="202"/>
        <v>0</v>
      </c>
      <c r="BL325" s="163">
        <f t="shared" ref="BL325:BL388" si="222">IF(E325="","",$T325*$H325)</f>
        <v>302.24109717482685</v>
      </c>
      <c r="BM325" s="163">
        <f t="shared" si="203"/>
        <v>-1.822797958034611</v>
      </c>
      <c r="BN325" s="163">
        <f t="shared" ref="BN325:BN388" si="223">IF($E325="","",BQ325*$T325)</f>
        <v>-2.0783247802512479</v>
      </c>
      <c r="BO325" s="163">
        <f t="shared" ref="BO325:BO388" si="224">IF($E325="","",$U325*BQ325*(1-$T325))</f>
        <v>0</v>
      </c>
      <c r="BP325" s="164">
        <f t="shared" si="204"/>
        <v>-687.63893127814231</v>
      </c>
      <c r="BQ325" s="164">
        <f>IF($E325="","",IF(AND($D325=Input!$C$6,$C325=12),0,-BJ326+BK326+BL326-BM326-BN326-BO326+BQ326))</f>
        <v>-687.63804779634984</v>
      </c>
      <c r="BR325" s="161">
        <f t="shared" ref="BR325:BR388" si="225">IF(E325="","",ROUND(BQ325-BP325,1))</f>
        <v>0</v>
      </c>
      <c r="BT325" s="147">
        <f t="shared" ref="BT325:BT388" si="226">IF(E325="","",BC325)</f>
        <v>4.0584359365793535E-2</v>
      </c>
      <c r="BU325" s="164">
        <f>IF(AND($C324=12,$D324=Input!$C$6),0,IF($E325="","",BK325+(BL325+BU326)/(1+$AK325)*MIN((1-T325-U325),1)))</f>
        <v>31264.067499439338</v>
      </c>
      <c r="BV325" s="164">
        <f t="shared" ref="BV325:BV388" si="227">IF(E325="","",BT325*BU325)</f>
        <v>1268.8321506336722</v>
      </c>
      <c r="BW325" s="164">
        <f t="shared" ref="BW325:BW388" si="228">IF(E325="","",BQ325)</f>
        <v>-687.63804779634984</v>
      </c>
      <c r="BX325" s="164">
        <f t="shared" ref="BX325:BX388" si="229">IF(E325="","",BT325*BW325)</f>
        <v>-27.907349645359773</v>
      </c>
    </row>
    <row r="326" spans="1:76" s="150" customFormat="1" x14ac:dyDescent="0.25">
      <c r="A326" s="150">
        <f t="shared" si="199"/>
        <v>322</v>
      </c>
      <c r="B326" s="150">
        <f t="shared" si="200"/>
        <v>27</v>
      </c>
      <c r="C326" s="150">
        <f t="shared" si="201"/>
        <v>10</v>
      </c>
      <c r="D326" s="150">
        <f>IF(E326="","",Input!$C$4+B326-1)</f>
        <v>71</v>
      </c>
      <c r="E326" s="150">
        <f>IF(OR(AND(C325=12,D325=Input!$C$6),E325=""),"",1)</f>
        <v>1</v>
      </c>
      <c r="F326" s="150">
        <f>IF(E326="","",Input!$C$8+B326-1)</f>
        <v>2044</v>
      </c>
      <c r="G326" s="151">
        <f>IF(E326="","",MAX(0,Input!$C$9-B326))</f>
        <v>0</v>
      </c>
      <c r="H326" s="152">
        <f>IF(E326="","",Input!$C$3)</f>
        <v>100000</v>
      </c>
      <c r="I326" s="153">
        <f>IF(E326="","",HLOOKUP($B326,Input!$C$13:$BT$14,2))</f>
        <v>36.260000000000005</v>
      </c>
      <c r="J326" s="154"/>
      <c r="K326" s="155">
        <f>IF($E326="","",INDEX(Input!$C$16:$CP$16,1,$B326))</f>
        <v>2.6849999999999999E-2</v>
      </c>
      <c r="L326" s="155">
        <f>IF($E326="","",Input!$C$37)</f>
        <v>1.4999999999999999E-2</v>
      </c>
      <c r="M326" s="155">
        <f t="shared" si="205"/>
        <v>4.1849999999999998E-2</v>
      </c>
      <c r="N326" s="155">
        <f t="shared" si="206"/>
        <v>3.4223411351659294E-3</v>
      </c>
      <c r="O326" s="147">
        <f>IF($E326="","",MIN(VLOOKUP(IF($B326&lt;=Input!$C$7,$B326,26),'Mortality Tables'!$A$41:$CW$67,IF($B326&lt;=Input!$C$7+1,Input!$C$4+2,$D326-Input!$C$7+2),0)*IF(B326&gt;20,Input!$C$22,1)/1000,1))</f>
        <v>4.0637600000000003E-2</v>
      </c>
      <c r="P326" s="147">
        <f>IF($E326="","",MIN(VLOOKUP(IF($B326&lt;=Input!$C$7,$B326,26),'Mortality Tables'!$A$12:$CW$37,IF($B326&lt;=Input!$C$7+1,Input!$C$4+2,$D326-Input!$C$7+2),0)*IF(B326&gt;20,Input!$C$22,1)/1000,1))</f>
        <v>5.0796999999999995E-2</v>
      </c>
      <c r="Q326" s="155">
        <f>IF($E326="","",Input!$C$21)</f>
        <v>5.0000000000000001E-3</v>
      </c>
      <c r="R326" s="159">
        <f>IF($E326="","",(1-Q326)^($F326-Input!$C$20))</f>
        <v>0.87780914173405755</v>
      </c>
      <c r="S326" s="147">
        <f t="shared" si="208"/>
        <v>3.5672056778131941E-2</v>
      </c>
      <c r="T326" s="147">
        <f t="shared" si="209"/>
        <v>3.0224109717482683E-3</v>
      </c>
      <c r="U326" s="160">
        <f>IF($E326="","",IF($C326=12,INDEX(Input!$C$15:$CP$15,1,$B326),0))</f>
        <v>0</v>
      </c>
      <c r="V326" s="150">
        <f>IF(E326="","",IF(C326=1,IF($B326=1,Input!$C$33,Input!$C$34),0))</f>
        <v>0</v>
      </c>
      <c r="W326" s="156">
        <f>IF($E326="","",Input!$C$35)</f>
        <v>0.02</v>
      </c>
      <c r="X326" s="156">
        <f t="shared" si="207"/>
        <v>1.6734181143540252</v>
      </c>
      <c r="Y326" s="154"/>
      <c r="Z326" s="147">
        <f>IF($E326="","",VLOOKUP($D326,'Mortality Margins &amp; Grading'!$AB$5:$AF$125,3,0)*IF(Summary!$D$25="Included Margin",IF(AND($B326&gt;Input!$C$9,Summary!$D$31&lt;&gt;"Included Margin"),0,1),0))</f>
        <v>3.1E-2</v>
      </c>
      <c r="AA326" s="147">
        <f>IF($E326="","",VLOOKUP($D326,'Mortality Margins &amp; Grading'!$AB$5:$AF$125,5,0)*IF(Summary!$D$25="Included Margin",IF(AND($B326&gt;Input!$C$9,Summary!$D$31&lt;&gt;"Included Margin"),0,1),0))</f>
        <v>0.161</v>
      </c>
      <c r="AB326" s="147">
        <f>IF($E326="","",IF(AND($B326&gt;Input!$C$9,Summary!$D$31&lt;&gt;"Included Margin"),1,IF(Summary!$D$25="Included Margin",VLOOKUP($B326,'Mortality Margins &amp; Grading'!$AI$5:$AR$125,MATCH('Mortality Margins &amp; Grading'!$AQ$4,'Mortality Margins &amp; Grading'!$AI$4:$AR$4,0),0),1)))</f>
        <v>1</v>
      </c>
      <c r="AC326" s="154"/>
      <c r="AD326" s="158">
        <f>IF(E326="","",Input!$C$48*IF(Summary!$D$30="Included Margin",IF(AND($B326&gt;Input!$C$9,Summary!$D$31&lt;&gt;"Included Margin"),0,1),0))</f>
        <v>-4.4999999999999997E-3</v>
      </c>
      <c r="AE326" s="159">
        <f>IF(E326="","",IF(Summary!$D$26="Included Margin",IF(AND($B326&gt;Input!$C$9,Summary!$D$31&lt;&gt;"Included Margin"),1,1/$R326),1))</f>
        <v>1.1391998014791256</v>
      </c>
      <c r="AF326" s="160">
        <f>IF(E326="","",IF(AND($B326&gt;=Input!$C$9,$C326=12,Summary!$D$31="Included Margin",$U326&gt;0),1/U326-1,IF($B326&gt;=Input!$C$9,0,Input!$C$45*IF(Summary!$D$27="Included Margin",1,0))))</f>
        <v>0</v>
      </c>
      <c r="AG326" s="160">
        <f>IF(E326="","",Input!$C$46*IF(Summary!$D$28="Included Margin",IF(AND($B326&gt;Input!$C$9,Summary!$D$31&lt;&gt;"Included Margin"),0,1),0))</f>
        <v>0.02</v>
      </c>
      <c r="AH326" s="158">
        <f>IF(E326="","",Input!$C$47*IF(Summary!$D$29="Included Margin",IF(AND($B326&gt;Input!$C$9,Summary!$D$31&lt;&gt;"Included Margin"),0,1),0))</f>
        <v>2.5000000000000001E-3</v>
      </c>
      <c r="AI326" s="154"/>
      <c r="AJ326" s="158">
        <f t="shared" ref="AJ326:AJ389" si="230">IF(E326="","",M326+AD326)</f>
        <v>3.7350000000000001E-2</v>
      </c>
      <c r="AK326" s="155">
        <f t="shared" ref="AK326:AK389" si="231">IF(E326="","",(1+AJ326)^(1/12)-1)</f>
        <v>3.0604556910085456E-3</v>
      </c>
      <c r="AL326" s="147">
        <f t="shared" ref="AL326:AL389" si="232">IF($E326="","",MIN(($O326*(1+$Z326)*$AB326+$P326*(1+$AA326)*(1-$AB326))*R326*AE326,1))</f>
        <v>4.18973656E-2</v>
      </c>
      <c r="AM326" s="147">
        <f t="shared" si="210"/>
        <v>3.5603446158237739E-3</v>
      </c>
      <c r="AN326" s="160">
        <f t="shared" ref="AN326:AN389" si="233">IF(E326="","",IF(U326=1,1,(1+AF326)*U326))</f>
        <v>0</v>
      </c>
      <c r="AO326" s="161">
        <f t="shared" ref="AO326:AO389" si="234">IF($E326="","",(1+$AG326)*$V326)</f>
        <v>0</v>
      </c>
      <c r="AP326" s="156">
        <f t="shared" si="211"/>
        <v>1.7833896163382974</v>
      </c>
      <c r="AQ326" s="152"/>
      <c r="AR326" s="162">
        <f t="shared" si="212"/>
        <v>1059.4492259960409</v>
      </c>
      <c r="AS326" s="150">
        <f t="shared" ref="AS326:AS389" si="235">IF($E326="","",IF($C326=1,$I326*$H326/1000,0))</f>
        <v>0</v>
      </c>
      <c r="AT326" s="163">
        <f t="shared" si="213"/>
        <v>0</v>
      </c>
      <c r="AU326" s="163">
        <f t="shared" si="214"/>
        <v>356.03446158237739</v>
      </c>
      <c r="AV326" s="163">
        <f t="shared" ref="AV326:AV389" si="236">IF($E326="","",(AR326+AS326-AT326-AU326/2)*$AK326)</f>
        <v>2.6975835659617071</v>
      </c>
      <c r="AW326" s="163">
        <f t="shared" si="215"/>
        <v>2.5229889701778618</v>
      </c>
      <c r="AX326" s="163">
        <f t="shared" si="216"/>
        <v>0</v>
      </c>
      <c r="AY326" s="165">
        <f t="shared" ref="AY326:AY389" si="237">IF($E326="","",AR326+AS326-AT326-AU326+AV326+AW326+AX326)</f>
        <v>708.6353369498031</v>
      </c>
      <c r="AZ326" s="164">
        <f>IF($E326="","",IF(OR(AND($D326=Input!$C$6,$C326=12),$AN326=1),0,-AS327+AT327+AU327-AV327-AW327-AX327+AZ327))</f>
        <v>708.63616936533708</v>
      </c>
      <c r="BA326" s="154">
        <f t="shared" si="217"/>
        <v>8.3241553397783719E-4</v>
      </c>
      <c r="BC326" s="147">
        <f t="shared" ref="BC326:BC389" si="238">IF($E326="","",MIN(1,(1-T326-U326))*BC325)</f>
        <v>4.0461696752764988E-2</v>
      </c>
      <c r="BD326" s="164">
        <f>IF(AND($C325=12,$D325=Input!$C$6),0,IF($E326="","",AT326+(AU326+BD327)/(1+$AK326)*MIN((1-AM326-AN326),1)))</f>
        <v>688.6624591844369</v>
      </c>
      <c r="BE326" s="164">
        <f t="shared" si="218"/>
        <v>27.864451588534081</v>
      </c>
      <c r="BF326" s="164">
        <f t="shared" ref="BF326:BF389" si="239">IF($E326="","",AZ326)</f>
        <v>708.63616936533708</v>
      </c>
      <c r="BG326" s="164">
        <f t="shared" si="219"/>
        <v>28.672621792901278</v>
      </c>
      <c r="BH326" s="152"/>
      <c r="BI326" s="162">
        <f t="shared" si="220"/>
        <v>-687.63893127814254</v>
      </c>
      <c r="BJ326" s="150">
        <f t="shared" si="221"/>
        <v>0</v>
      </c>
      <c r="BK326" s="163">
        <f t="shared" si="202"/>
        <v>0</v>
      </c>
      <c r="BL326" s="163">
        <f t="shared" si="222"/>
        <v>302.24109717482685</v>
      </c>
      <c r="BM326" s="163">
        <f t="shared" si="203"/>
        <v>-2.8705210704542714</v>
      </c>
      <c r="BN326" s="163">
        <f t="shared" si="223"/>
        <v>-3.009593711899003</v>
      </c>
      <c r="BO326" s="163">
        <f t="shared" si="224"/>
        <v>0</v>
      </c>
      <c r="BP326" s="164">
        <f t="shared" si="204"/>
        <v>-995.76014323532263</v>
      </c>
      <c r="BQ326" s="164">
        <f>IF($E326="","",IF(AND($D326=Input!$C$6,$C326=12),0,-BJ327+BK327+BL327-BM327-BN327-BO327+BQ327))</f>
        <v>-995.75925975353005</v>
      </c>
      <c r="BR326" s="161">
        <f t="shared" si="225"/>
        <v>0</v>
      </c>
      <c r="BT326" s="147">
        <f t="shared" si="226"/>
        <v>4.0461696752764988E-2</v>
      </c>
      <c r="BU326" s="164">
        <f>IF(AND($C325=12,$D325=Input!$C$6),0,IF($E326="","",BK326+(BL326+BU327)/(1+$AK326)*MIN((1-T326-U326),1)))</f>
        <v>31152.57808618138</v>
      </c>
      <c r="BV326" s="164">
        <f t="shared" si="227"/>
        <v>1260.4861675899028</v>
      </c>
      <c r="BW326" s="164">
        <f t="shared" si="228"/>
        <v>-995.75925975353005</v>
      </c>
      <c r="BX326" s="164">
        <f t="shared" si="229"/>
        <v>-40.290109206905072</v>
      </c>
    </row>
    <row r="327" spans="1:76" s="150" customFormat="1" x14ac:dyDescent="0.25">
      <c r="A327" s="150">
        <f t="shared" ref="A327:A390" si="240">IF(E327="","",A326+1)</f>
        <v>323</v>
      </c>
      <c r="B327" s="150">
        <f t="shared" ref="B327:B390" si="241">IF(E327="","",IF(C326+1&gt;12,B326+1,B326))</f>
        <v>27</v>
      </c>
      <c r="C327" s="150">
        <f t="shared" ref="C327:C390" si="242">IF(E327="","",IF(C326+1&gt;12,1,C326+1))</f>
        <v>11</v>
      </c>
      <c r="D327" s="150">
        <f>IF(E327="","",Input!$C$4+B327-1)</f>
        <v>71</v>
      </c>
      <c r="E327" s="150">
        <f>IF(OR(AND(C326=12,D326=Input!$C$6),E326=""),"",1)</f>
        <v>1</v>
      </c>
      <c r="F327" s="150">
        <f>IF(E327="","",Input!$C$8+B327-1)</f>
        <v>2044</v>
      </c>
      <c r="G327" s="151">
        <f>IF(E327="","",MAX(0,Input!$C$9-B327))</f>
        <v>0</v>
      </c>
      <c r="H327" s="152">
        <f>IF(E327="","",Input!$C$3)</f>
        <v>100000</v>
      </c>
      <c r="I327" s="153">
        <f>IF(E327="","",HLOOKUP($B327,Input!$C$13:$BT$14,2))</f>
        <v>36.260000000000005</v>
      </c>
      <c r="J327" s="154"/>
      <c r="K327" s="155">
        <f>IF($E327="","",INDEX(Input!$C$16:$CP$16,1,$B327))</f>
        <v>2.6849999999999999E-2</v>
      </c>
      <c r="L327" s="155">
        <f>IF($E327="","",Input!$C$37)</f>
        <v>1.4999999999999999E-2</v>
      </c>
      <c r="M327" s="155">
        <f t="shared" si="205"/>
        <v>4.1849999999999998E-2</v>
      </c>
      <c r="N327" s="155">
        <f t="shared" si="206"/>
        <v>3.4223411351659294E-3</v>
      </c>
      <c r="O327" s="147">
        <f>IF($E327="","",MIN(VLOOKUP(IF($B327&lt;=Input!$C$7,$B327,26),'Mortality Tables'!$A$41:$CW$67,IF($B327&lt;=Input!$C$7+1,Input!$C$4+2,$D327-Input!$C$7+2),0)*IF(B327&gt;20,Input!$C$22,1)/1000,1))</f>
        <v>4.0637600000000003E-2</v>
      </c>
      <c r="P327" s="147">
        <f>IF($E327="","",MIN(VLOOKUP(IF($B327&lt;=Input!$C$7,$B327,26),'Mortality Tables'!$A$12:$CW$37,IF($B327&lt;=Input!$C$7+1,Input!$C$4+2,$D327-Input!$C$7+2),0)*IF(B327&gt;20,Input!$C$22,1)/1000,1))</f>
        <v>5.0796999999999995E-2</v>
      </c>
      <c r="Q327" s="155">
        <f>IF($E327="","",Input!$C$21)</f>
        <v>5.0000000000000001E-3</v>
      </c>
      <c r="R327" s="159">
        <f>IF($E327="","",(1-Q327)^($F327-Input!$C$20))</f>
        <v>0.87780914173405755</v>
      </c>
      <c r="S327" s="147">
        <f t="shared" si="208"/>
        <v>3.5672056778131941E-2</v>
      </c>
      <c r="T327" s="147">
        <f t="shared" si="209"/>
        <v>3.0224109717482683E-3</v>
      </c>
      <c r="U327" s="160">
        <f>IF($E327="","",IF($C327=12,INDEX(Input!$C$15:$CP$15,1,$B327),0))</f>
        <v>0</v>
      </c>
      <c r="V327" s="150">
        <f>IF(E327="","",IF(C327=1,IF($B327=1,Input!$C$33,Input!$C$34),0))</f>
        <v>0</v>
      </c>
      <c r="W327" s="156">
        <f>IF($E327="","",Input!$C$35)</f>
        <v>0.02</v>
      </c>
      <c r="X327" s="156">
        <f t="shared" si="207"/>
        <v>1.6734181143540252</v>
      </c>
      <c r="Y327" s="154"/>
      <c r="Z327" s="147">
        <f>IF($E327="","",VLOOKUP($D327,'Mortality Margins &amp; Grading'!$AB$5:$AF$125,3,0)*IF(Summary!$D$25="Included Margin",IF(AND($B327&gt;Input!$C$9,Summary!$D$31&lt;&gt;"Included Margin"),0,1),0))</f>
        <v>3.1E-2</v>
      </c>
      <c r="AA327" s="147">
        <f>IF($E327="","",VLOOKUP($D327,'Mortality Margins &amp; Grading'!$AB$5:$AF$125,5,0)*IF(Summary!$D$25="Included Margin",IF(AND($B327&gt;Input!$C$9,Summary!$D$31&lt;&gt;"Included Margin"),0,1),0))</f>
        <v>0.161</v>
      </c>
      <c r="AB327" s="147">
        <f>IF($E327="","",IF(AND($B327&gt;Input!$C$9,Summary!$D$31&lt;&gt;"Included Margin"),1,IF(Summary!$D$25="Included Margin",VLOOKUP($B327,'Mortality Margins &amp; Grading'!$AI$5:$AR$125,MATCH('Mortality Margins &amp; Grading'!$AQ$4,'Mortality Margins &amp; Grading'!$AI$4:$AR$4,0),0),1)))</f>
        <v>1</v>
      </c>
      <c r="AC327" s="154"/>
      <c r="AD327" s="158">
        <f>IF(E327="","",Input!$C$48*IF(Summary!$D$30="Included Margin",IF(AND($B327&gt;Input!$C$9,Summary!$D$31&lt;&gt;"Included Margin"),0,1),0))</f>
        <v>-4.4999999999999997E-3</v>
      </c>
      <c r="AE327" s="159">
        <f>IF(E327="","",IF(Summary!$D$26="Included Margin",IF(AND($B327&gt;Input!$C$9,Summary!$D$31&lt;&gt;"Included Margin"),1,1/$R327),1))</f>
        <v>1.1391998014791256</v>
      </c>
      <c r="AF327" s="160">
        <f>IF(E327="","",IF(AND($B327&gt;=Input!$C$9,$C327=12,Summary!$D$31="Included Margin",$U327&gt;0),1/U327-1,IF($B327&gt;=Input!$C$9,0,Input!$C$45*IF(Summary!$D$27="Included Margin",1,0))))</f>
        <v>0</v>
      </c>
      <c r="AG327" s="160">
        <f>IF(E327="","",Input!$C$46*IF(Summary!$D$28="Included Margin",IF(AND($B327&gt;Input!$C$9,Summary!$D$31&lt;&gt;"Included Margin"),0,1),0))</f>
        <v>0.02</v>
      </c>
      <c r="AH327" s="158">
        <f>IF(E327="","",Input!$C$47*IF(Summary!$D$29="Included Margin",IF(AND($B327&gt;Input!$C$9,Summary!$D$31&lt;&gt;"Included Margin"),0,1),0))</f>
        <v>2.5000000000000001E-3</v>
      </c>
      <c r="AI327" s="154"/>
      <c r="AJ327" s="158">
        <f t="shared" si="230"/>
        <v>3.7350000000000001E-2</v>
      </c>
      <c r="AK327" s="155">
        <f t="shared" si="231"/>
        <v>3.0604556910085456E-3</v>
      </c>
      <c r="AL327" s="147">
        <f t="shared" si="232"/>
        <v>4.18973656E-2</v>
      </c>
      <c r="AM327" s="147">
        <f t="shared" si="210"/>
        <v>3.5603446158237739E-3</v>
      </c>
      <c r="AN327" s="160">
        <f t="shared" si="233"/>
        <v>0</v>
      </c>
      <c r="AO327" s="161">
        <f t="shared" si="234"/>
        <v>0</v>
      </c>
      <c r="AP327" s="156">
        <f t="shared" si="211"/>
        <v>1.7833896163382974</v>
      </c>
      <c r="AQ327" s="152"/>
      <c r="AR327" s="162">
        <f t="shared" si="212"/>
        <v>708.6353369498031</v>
      </c>
      <c r="AS327" s="150">
        <f t="shared" si="235"/>
        <v>0</v>
      </c>
      <c r="AT327" s="163">
        <f t="shared" si="213"/>
        <v>0</v>
      </c>
      <c r="AU327" s="163">
        <f t="shared" si="214"/>
        <v>356.03446158237739</v>
      </c>
      <c r="AV327" s="163">
        <f t="shared" si="236"/>
        <v>1.6239332027453082</v>
      </c>
      <c r="AW327" s="163">
        <f t="shared" si="215"/>
        <v>1.265671580667812</v>
      </c>
      <c r="AX327" s="163">
        <f t="shared" si="216"/>
        <v>0</v>
      </c>
      <c r="AY327" s="164">
        <f t="shared" si="237"/>
        <v>355.49048015083883</v>
      </c>
      <c r="AZ327" s="164">
        <f>IF($E327="","",IF(OR(AND($D327=Input!$C$6,$C327=12),$AN327=1),0,-AS328+AT328+AU328-AV328-AW328-AX328+AZ328))</f>
        <v>355.49131256637287</v>
      </c>
      <c r="BA327" s="154">
        <f t="shared" si="217"/>
        <v>8.324155340346806E-4</v>
      </c>
      <c r="BC327" s="147">
        <f t="shared" si="238"/>
        <v>4.0339404876563879E-2</v>
      </c>
      <c r="BD327" s="164">
        <f>IF(AND($C326=12,$D326=Input!$C$6),0,IF($E327="","",AT327+(AU327+BD328)/(1+$AK327)*MIN((1-AM327-AN327),1)))</f>
        <v>337.20378560531231</v>
      </c>
      <c r="BE327" s="164">
        <f t="shared" si="218"/>
        <v>13.602600033442735</v>
      </c>
      <c r="BF327" s="164">
        <f t="shared" si="239"/>
        <v>355.49131256637287</v>
      </c>
      <c r="BG327" s="164">
        <f t="shared" si="219"/>
        <v>14.340307987716036</v>
      </c>
      <c r="BH327" s="152"/>
      <c r="BI327" s="162">
        <f t="shared" si="220"/>
        <v>-995.76014323532263</v>
      </c>
      <c r="BJ327" s="150">
        <f t="shared" si="221"/>
        <v>0</v>
      </c>
      <c r="BK327" s="163">
        <f t="shared" ref="BK327:BK390" si="243">IF($E327="","",$V327*$X327)</f>
        <v>0</v>
      </c>
      <c r="BL327" s="163">
        <f t="shared" si="222"/>
        <v>302.24109717482685</v>
      </c>
      <c r="BM327" s="163">
        <f t="shared" ref="BM327:BM390" si="244">IF($E327="","",(BI327+BJ327-BK327-BL327/2)*$N327)</f>
        <v>-3.9250169687525087</v>
      </c>
      <c r="BN327" s="163">
        <f t="shared" si="223"/>
        <v>-3.9468826358468765</v>
      </c>
      <c r="BO327" s="163">
        <f t="shared" si="224"/>
        <v>0</v>
      </c>
      <c r="BP327" s="164">
        <f t="shared" ref="BP327:BP390" si="245">IF($E327="","",BI327+BJ327-BK327-BL327+BM327+BN327+BO327)</f>
        <v>-1305.8731400147487</v>
      </c>
      <c r="BQ327" s="164">
        <f>IF($E327="","",IF(AND($D327=Input!$C$6,$C327=12),0,-BJ328+BK328+BL328-BM328-BN328-BO328+BQ328))</f>
        <v>-1305.8722565329563</v>
      </c>
      <c r="BR327" s="161">
        <f t="shared" si="225"/>
        <v>0</v>
      </c>
      <c r="BT327" s="147">
        <f t="shared" si="226"/>
        <v>4.0339404876563879E-2</v>
      </c>
      <c r="BU327" s="164">
        <f>IF(AND($C326=12,$D326=Input!$C$6),0,IF($E327="","",BK327+(BL327+BU328)/(1+$AK327)*MIN((1-T327-U327),1)))</f>
        <v>31040.4084417501</v>
      </c>
      <c r="BV327" s="164">
        <f t="shared" si="227"/>
        <v>1252.1516036656685</v>
      </c>
      <c r="BW327" s="164">
        <f t="shared" si="228"/>
        <v>-1305.8722565329563</v>
      </c>
      <c r="BX327" s="164">
        <f t="shared" si="229"/>
        <v>-52.67810967335501</v>
      </c>
    </row>
    <row r="328" spans="1:76" s="150" customFormat="1" x14ac:dyDescent="0.25">
      <c r="A328" s="150">
        <f t="shared" si="240"/>
        <v>324</v>
      </c>
      <c r="B328" s="150">
        <f t="shared" si="241"/>
        <v>27</v>
      </c>
      <c r="C328" s="150">
        <f t="shared" si="242"/>
        <v>12</v>
      </c>
      <c r="D328" s="150">
        <f>IF(E328="","",Input!$C$4+B328-1)</f>
        <v>71</v>
      </c>
      <c r="E328" s="150">
        <f>IF(OR(AND(C327=12,D327=Input!$C$6),E327=""),"",1)</f>
        <v>1</v>
      </c>
      <c r="F328" s="150">
        <f>IF(E328="","",Input!$C$8+B328-1)</f>
        <v>2044</v>
      </c>
      <c r="G328" s="151">
        <f>IF(E328="","",MAX(0,Input!$C$9-B328))</f>
        <v>0</v>
      </c>
      <c r="H328" s="152">
        <f>IF(E328="","",Input!$C$3)</f>
        <v>100000</v>
      </c>
      <c r="I328" s="153">
        <f>IF(E328="","",HLOOKUP($B328,Input!$C$13:$BT$14,2))</f>
        <v>36.260000000000005</v>
      </c>
      <c r="J328" s="154"/>
      <c r="K328" s="155">
        <f>IF($E328="","",INDEX(Input!$C$16:$CP$16,1,$B328))</f>
        <v>2.6849999999999999E-2</v>
      </c>
      <c r="L328" s="155">
        <f>IF($E328="","",Input!$C$37)</f>
        <v>1.4999999999999999E-2</v>
      </c>
      <c r="M328" s="155">
        <f t="shared" si="205"/>
        <v>4.1849999999999998E-2</v>
      </c>
      <c r="N328" s="155">
        <f t="shared" si="206"/>
        <v>3.4223411351659294E-3</v>
      </c>
      <c r="O328" s="147">
        <f>IF($E328="","",MIN(VLOOKUP(IF($B328&lt;=Input!$C$7,$B328,26),'Mortality Tables'!$A$41:$CW$67,IF($B328&lt;=Input!$C$7+1,Input!$C$4+2,$D328-Input!$C$7+2),0)*IF(B328&gt;20,Input!$C$22,1)/1000,1))</f>
        <v>4.0637600000000003E-2</v>
      </c>
      <c r="P328" s="147">
        <f>IF($E328="","",MIN(VLOOKUP(IF($B328&lt;=Input!$C$7,$B328,26),'Mortality Tables'!$A$12:$CW$37,IF($B328&lt;=Input!$C$7+1,Input!$C$4+2,$D328-Input!$C$7+2),0)*IF(B328&gt;20,Input!$C$22,1)/1000,1))</f>
        <v>5.0796999999999995E-2</v>
      </c>
      <c r="Q328" s="155">
        <f>IF($E328="","",Input!$C$21)</f>
        <v>5.0000000000000001E-3</v>
      </c>
      <c r="R328" s="159">
        <f>IF($E328="","",(1-Q328)^($F328-Input!$C$20))</f>
        <v>0.87780914173405755</v>
      </c>
      <c r="S328" s="147">
        <f t="shared" si="208"/>
        <v>3.5672056778131941E-2</v>
      </c>
      <c r="T328" s="147">
        <f t="shared" si="209"/>
        <v>3.0224109717482683E-3</v>
      </c>
      <c r="U328" s="160">
        <f>IF($E328="","",IF($C328=12,INDEX(Input!$C$15:$CP$15,1,$B328),0))</f>
        <v>0.1</v>
      </c>
      <c r="V328" s="150">
        <f>IF(E328="","",IF(C328=1,IF($B328=1,Input!$C$33,Input!$C$34),0))</f>
        <v>0</v>
      </c>
      <c r="W328" s="156">
        <f>IF($E328="","",Input!$C$35)</f>
        <v>0.02</v>
      </c>
      <c r="X328" s="156">
        <f t="shared" si="207"/>
        <v>1.6734181143540252</v>
      </c>
      <c r="Y328" s="154"/>
      <c r="Z328" s="147">
        <f>IF($E328="","",VLOOKUP($D328,'Mortality Margins &amp; Grading'!$AB$5:$AF$125,3,0)*IF(Summary!$D$25="Included Margin",IF(AND($B328&gt;Input!$C$9,Summary!$D$31&lt;&gt;"Included Margin"),0,1),0))</f>
        <v>3.1E-2</v>
      </c>
      <c r="AA328" s="147">
        <f>IF($E328="","",VLOOKUP($D328,'Mortality Margins &amp; Grading'!$AB$5:$AF$125,5,0)*IF(Summary!$D$25="Included Margin",IF(AND($B328&gt;Input!$C$9,Summary!$D$31&lt;&gt;"Included Margin"),0,1),0))</f>
        <v>0.161</v>
      </c>
      <c r="AB328" s="147">
        <f>IF($E328="","",IF(AND($B328&gt;Input!$C$9,Summary!$D$31&lt;&gt;"Included Margin"),1,IF(Summary!$D$25="Included Margin",VLOOKUP($B328,'Mortality Margins &amp; Grading'!$AI$5:$AR$125,MATCH('Mortality Margins &amp; Grading'!$AQ$4,'Mortality Margins &amp; Grading'!$AI$4:$AR$4,0),0),1)))</f>
        <v>1</v>
      </c>
      <c r="AC328" s="154"/>
      <c r="AD328" s="158">
        <f>IF(E328="","",Input!$C$48*IF(Summary!$D$30="Included Margin",IF(AND($B328&gt;Input!$C$9,Summary!$D$31&lt;&gt;"Included Margin"),0,1),0))</f>
        <v>-4.4999999999999997E-3</v>
      </c>
      <c r="AE328" s="159">
        <f>IF(E328="","",IF(Summary!$D$26="Included Margin",IF(AND($B328&gt;Input!$C$9,Summary!$D$31&lt;&gt;"Included Margin"),1,1/$R328),1))</f>
        <v>1.1391998014791256</v>
      </c>
      <c r="AF328" s="160">
        <f>IF(E328="","",IF(AND($B328&gt;=Input!$C$9,$C328=12,Summary!$D$31="Included Margin",$U328&gt;0),1/U328-1,IF($B328&gt;=Input!$C$9,0,Input!$C$45*IF(Summary!$D$27="Included Margin",1,0))))</f>
        <v>9</v>
      </c>
      <c r="AG328" s="160">
        <f>IF(E328="","",Input!$C$46*IF(Summary!$D$28="Included Margin",IF(AND($B328&gt;Input!$C$9,Summary!$D$31&lt;&gt;"Included Margin"),0,1),0))</f>
        <v>0.02</v>
      </c>
      <c r="AH328" s="158">
        <f>IF(E328="","",Input!$C$47*IF(Summary!$D$29="Included Margin",IF(AND($B328&gt;Input!$C$9,Summary!$D$31&lt;&gt;"Included Margin"),0,1),0))</f>
        <v>2.5000000000000001E-3</v>
      </c>
      <c r="AI328" s="154"/>
      <c r="AJ328" s="158">
        <f t="shared" si="230"/>
        <v>3.7350000000000001E-2</v>
      </c>
      <c r="AK328" s="155">
        <f t="shared" si="231"/>
        <v>3.0604556910085456E-3</v>
      </c>
      <c r="AL328" s="147">
        <f t="shared" si="232"/>
        <v>4.18973656E-2</v>
      </c>
      <c r="AM328" s="147">
        <f t="shared" si="210"/>
        <v>3.5603446158237739E-3</v>
      </c>
      <c r="AN328" s="160">
        <f t="shared" si="233"/>
        <v>1</v>
      </c>
      <c r="AO328" s="161">
        <f t="shared" si="234"/>
        <v>0</v>
      </c>
      <c r="AP328" s="156">
        <f t="shared" si="211"/>
        <v>1.7833896163382974</v>
      </c>
      <c r="AQ328" s="152"/>
      <c r="AR328" s="162">
        <f t="shared" si="212"/>
        <v>355.49048015083889</v>
      </c>
      <c r="AS328" s="150">
        <f t="shared" si="235"/>
        <v>0</v>
      </c>
      <c r="AT328" s="163">
        <f t="shared" si="213"/>
        <v>0</v>
      </c>
      <c r="AU328" s="163">
        <f t="shared" si="214"/>
        <v>356.03446158237739</v>
      </c>
      <c r="AV328" s="163">
        <f t="shared" si="236"/>
        <v>0.54314901600452015</v>
      </c>
      <c r="AW328" s="163">
        <f t="shared" si="215"/>
        <v>0</v>
      </c>
      <c r="AX328" s="163">
        <f t="shared" si="216"/>
        <v>0</v>
      </c>
      <c r="AY328" s="165">
        <f t="shared" si="237"/>
        <v>-8.3241553397772616E-4</v>
      </c>
      <c r="AZ328" s="164">
        <f>IF($E328="","",IF(OR(AND($D328=Input!$C$6,$C328=12),$AN328=1),0,-AS329+AT329+AU329-AV329-AW329-AX329+AZ329))</f>
        <v>0</v>
      </c>
      <c r="BA328" s="154">
        <f t="shared" si="217"/>
        <v>8.3241553397772616E-4</v>
      </c>
      <c r="BC328" s="147">
        <f t="shared" si="238"/>
        <v>3.618354212901477E-2</v>
      </c>
      <c r="BD328" s="164">
        <f>IF(AND($C327=12,$D327=Input!$C$6),0,IF($E328="","",AT328+(AU328+BD329)/(1+$AK328)*MIN((1-AM328-AN328),1)))</f>
        <v>-16.590139969553505</v>
      </c>
      <c r="BE328" s="164">
        <f t="shared" si="218"/>
        <v>-0.60029002851459101</v>
      </c>
      <c r="BF328" s="164">
        <f t="shared" si="239"/>
        <v>0</v>
      </c>
      <c r="BG328" s="164">
        <f t="shared" si="219"/>
        <v>0</v>
      </c>
      <c r="BH328" s="152"/>
      <c r="BI328" s="162">
        <f t="shared" si="220"/>
        <v>-1305.8731400147487</v>
      </c>
      <c r="BJ328" s="150">
        <f t="shared" si="221"/>
        <v>0</v>
      </c>
      <c r="BK328" s="163">
        <f t="shared" si="243"/>
        <v>0</v>
      </c>
      <c r="BL328" s="163">
        <f t="shared" si="222"/>
        <v>302.24109717482685</v>
      </c>
      <c r="BM328" s="163">
        <f t="shared" si="244"/>
        <v>-4.9863294341803179</v>
      </c>
      <c r="BN328" s="163">
        <f t="shared" si="223"/>
        <v>-5.4335894078555285</v>
      </c>
      <c r="BO328" s="163">
        <f t="shared" si="224"/>
        <v>-179.23329812688482</v>
      </c>
      <c r="BP328" s="164">
        <f t="shared" si="245"/>
        <v>-1797.7674541584963</v>
      </c>
      <c r="BQ328" s="164">
        <f>IF($E328="","",IF(AND($D328=Input!$C$6,$C328=12),0,-BJ329+BK329+BL329-BM329-BN329-BO329+BQ329))</f>
        <v>-1797.7665706767039</v>
      </c>
      <c r="BR328" s="161">
        <f t="shared" si="225"/>
        <v>0</v>
      </c>
      <c r="BT328" s="147">
        <f t="shared" si="226"/>
        <v>3.618354212901477E-2</v>
      </c>
      <c r="BU328" s="164">
        <f>IF(AND($C327=12,$D327=Input!$C$6),0,IF($E328="","",BK328+(BL328+BU329)/(1+$AK328)*MIN((1-T328-U328),1)))</f>
        <v>30927.554415846065</v>
      </c>
      <c r="BV328" s="164">
        <f t="shared" si="227"/>
        <v>1119.0684681531629</v>
      </c>
      <c r="BW328" s="164">
        <f t="shared" si="228"/>
        <v>-1797.7665706767039</v>
      </c>
      <c r="BX328" s="164">
        <f t="shared" si="229"/>
        <v>-65.049562448214928</v>
      </c>
    </row>
    <row r="329" spans="1:76" s="150" customFormat="1" x14ac:dyDescent="0.25">
      <c r="A329" s="150">
        <f t="shared" si="240"/>
        <v>325</v>
      </c>
      <c r="B329" s="150">
        <f t="shared" si="241"/>
        <v>28</v>
      </c>
      <c r="C329" s="150">
        <f t="shared" si="242"/>
        <v>1</v>
      </c>
      <c r="D329" s="150">
        <f>IF(E329="","",Input!$C$4+B329-1)</f>
        <v>72</v>
      </c>
      <c r="E329" s="150">
        <f>IF(OR(AND(C328=12,D328=Input!$C$6),E328=""),"",1)</f>
        <v>1</v>
      </c>
      <c r="F329" s="150">
        <f>IF(E329="","",Input!$C$8+B329-1)</f>
        <v>2045</v>
      </c>
      <c r="G329" s="151">
        <f>IF(E329="","",MAX(0,Input!$C$9-B329))</f>
        <v>0</v>
      </c>
      <c r="H329" s="152">
        <f>IF(E329="","",Input!$C$3)</f>
        <v>100000</v>
      </c>
      <c r="I329" s="153">
        <f>IF(E329="","",HLOOKUP($B329,Input!$C$13:$BT$14,2))</f>
        <v>40.914999999999999</v>
      </c>
      <c r="J329" s="154"/>
      <c r="K329" s="155">
        <f>IF($E329="","",INDEX(Input!$C$16:$CP$16,1,$B329))</f>
        <v>2.734E-2</v>
      </c>
      <c r="L329" s="155">
        <f>IF($E329="","",Input!$C$37)</f>
        <v>1.4999999999999999E-2</v>
      </c>
      <c r="M329" s="155">
        <f t="shared" si="205"/>
        <v>4.2340000000000003E-2</v>
      </c>
      <c r="N329" s="155">
        <f t="shared" si="206"/>
        <v>3.4616598944321453E-3</v>
      </c>
      <c r="O329" s="147">
        <f>IF($E329="","",MIN(VLOOKUP(IF($B329&lt;=Input!$C$7,$B329,26),'Mortality Tables'!$A$41:$CW$67,IF($B329&lt;=Input!$C$7+1,Input!$C$4+2,$D329-Input!$C$7+2),0)*IF(B329&gt;20,Input!$C$22,1)/1000,1))</f>
        <v>4.5883199999999999E-2</v>
      </c>
      <c r="P329" s="147">
        <f>IF($E329="","",MIN(VLOOKUP(IF($B329&lt;=Input!$C$7,$B329,26),'Mortality Tables'!$A$12:$CW$37,IF($B329&lt;=Input!$C$7+1,Input!$C$4+2,$D329-Input!$C$7+2),0)*IF(B329&gt;20,Input!$C$22,1)/1000,1))</f>
        <v>5.7354000000000002E-2</v>
      </c>
      <c r="Q329" s="155">
        <f>IF($E329="","",Input!$C$21)</f>
        <v>5.0000000000000001E-3</v>
      </c>
      <c r="R329" s="159">
        <f>IF($E329="","",(1-Q329)^($F329-Input!$C$20))</f>
        <v>0.87342009602538717</v>
      </c>
      <c r="S329" s="147">
        <f t="shared" si="208"/>
        <v>4.0075308949952045E-2</v>
      </c>
      <c r="T329" s="147">
        <f t="shared" si="209"/>
        <v>3.4025684676163293E-3</v>
      </c>
      <c r="U329" s="160">
        <f>IF($E329="","",IF($C329=12,INDEX(Input!$C$15:$CP$15,1,$B329),0))</f>
        <v>0</v>
      </c>
      <c r="V329" s="150">
        <f>IF(E329="","",IF(C329=1,IF($B329=1,Input!$C$33,Input!$C$34),0))</f>
        <v>50</v>
      </c>
      <c r="W329" s="156">
        <f>IF($E329="","",Input!$C$35)</f>
        <v>0.02</v>
      </c>
      <c r="X329" s="156">
        <f t="shared" si="207"/>
        <v>1.7068864766411058</v>
      </c>
      <c r="Y329" s="154"/>
      <c r="Z329" s="147">
        <f>IF($E329="","",VLOOKUP($D329,'Mortality Margins &amp; Grading'!$AB$5:$AF$125,3,0)*IF(Summary!$D$25="Included Margin",IF(AND($B329&gt;Input!$C$9,Summary!$D$31&lt;&gt;"Included Margin"),0,1),0))</f>
        <v>0.03</v>
      </c>
      <c r="AA329" s="147">
        <f>IF($E329="","",VLOOKUP($D329,'Mortality Margins &amp; Grading'!$AB$5:$AF$125,5,0)*IF(Summary!$D$25="Included Margin",IF(AND($B329&gt;Input!$C$9,Summary!$D$31&lt;&gt;"Included Margin"),0,1),0))</f>
        <v>0.156</v>
      </c>
      <c r="AB329" s="147">
        <f>IF($E329="","",IF(AND($B329&gt;Input!$C$9,Summary!$D$31&lt;&gt;"Included Margin"),1,IF(Summary!$D$25="Included Margin",VLOOKUP($B329,'Mortality Margins &amp; Grading'!$AI$5:$AR$125,MATCH('Mortality Margins &amp; Grading'!$AQ$4,'Mortality Margins &amp; Grading'!$AI$4:$AR$4,0),0),1)))</f>
        <v>1</v>
      </c>
      <c r="AC329" s="154"/>
      <c r="AD329" s="158">
        <f>IF(E329="","",Input!$C$48*IF(Summary!$D$30="Included Margin",IF(AND($B329&gt;Input!$C$9,Summary!$D$31&lt;&gt;"Included Margin"),0,1),0))</f>
        <v>-4.4999999999999997E-3</v>
      </c>
      <c r="AE329" s="159">
        <f>IF(E329="","",IF(Summary!$D$26="Included Margin",IF(AND($B329&gt;Input!$C$9,Summary!$D$31&lt;&gt;"Included Margin"),1,1/$R329),1))</f>
        <v>1.1449244235971112</v>
      </c>
      <c r="AF329" s="160">
        <f>IF(E329="","",IF(AND($B329&gt;=Input!$C$9,$C329=12,Summary!$D$31="Included Margin",$U329&gt;0),1/U329-1,IF($B329&gt;=Input!$C$9,0,Input!$C$45*IF(Summary!$D$27="Included Margin",1,0))))</f>
        <v>0</v>
      </c>
      <c r="AG329" s="160">
        <f>IF(E329="","",Input!$C$46*IF(Summary!$D$28="Included Margin",IF(AND($B329&gt;Input!$C$9,Summary!$D$31&lt;&gt;"Included Margin"),0,1),0))</f>
        <v>0.02</v>
      </c>
      <c r="AH329" s="158">
        <f>IF(E329="","",Input!$C$47*IF(Summary!$D$29="Included Margin",IF(AND($B329&gt;Input!$C$9,Summary!$D$31&lt;&gt;"Included Margin"),0,1),0))</f>
        <v>2.5000000000000001E-3</v>
      </c>
      <c r="AI329" s="154"/>
      <c r="AJ329" s="158">
        <f t="shared" si="230"/>
        <v>3.7840000000000006E-2</v>
      </c>
      <c r="AK329" s="155">
        <f t="shared" si="231"/>
        <v>3.0999307353614114E-3</v>
      </c>
      <c r="AL329" s="147">
        <f t="shared" si="232"/>
        <v>4.7259695999999997E-2</v>
      </c>
      <c r="AM329" s="147">
        <f t="shared" si="210"/>
        <v>4.026282380599322E-3</v>
      </c>
      <c r="AN329" s="160">
        <f t="shared" si="233"/>
        <v>0</v>
      </c>
      <c r="AO329" s="161">
        <f t="shared" si="234"/>
        <v>51</v>
      </c>
      <c r="AP329" s="156">
        <f t="shared" si="211"/>
        <v>1.823515882705909</v>
      </c>
      <c r="AQ329" s="152"/>
      <c r="AR329" s="162">
        <f t="shared" si="212"/>
        <v>641.47346035805685</v>
      </c>
      <c r="AS329" s="150">
        <f t="shared" si="235"/>
        <v>4091.5</v>
      </c>
      <c r="AT329" s="163">
        <f t="shared" si="213"/>
        <v>92.999310018001367</v>
      </c>
      <c r="AU329" s="163">
        <f t="shared" si="214"/>
        <v>402.62823805993219</v>
      </c>
      <c r="AV329" s="163">
        <f t="shared" si="236"/>
        <v>13.759538654878389</v>
      </c>
      <c r="AW329" s="163">
        <f t="shared" si="215"/>
        <v>17.185347927212785</v>
      </c>
      <c r="AX329" s="163">
        <f t="shared" si="216"/>
        <v>0</v>
      </c>
      <c r="AY329" s="164">
        <f t="shared" si="237"/>
        <v>4268.2907988622137</v>
      </c>
      <c r="AZ329" s="164">
        <f>IF($E329="","",IF(OR(AND($D329=Input!$C$6,$C329=12),$AN329=1),0,-AS330+AT330+AU330-AV330-AW330-AX330+AZ330))</f>
        <v>4268.2917646364149</v>
      </c>
      <c r="BA329" s="154">
        <f t="shared" si="217"/>
        <v>9.6577420117682777E-4</v>
      </c>
      <c r="BC329" s="147">
        <f t="shared" si="238"/>
        <v>3.6060425149519917E-2</v>
      </c>
      <c r="BD329" s="164">
        <f>IF(AND($C328=12,$D328=Input!$C$6),0,IF($E329="","",AT329+(AU329+BD330)/(1+$AK329)*MIN((1-AM329-AN329),1)))</f>
        <v>4317.9269532419758</v>
      </c>
      <c r="BE329" s="164">
        <f t="shared" si="218"/>
        <v>155.70628169847686</v>
      </c>
      <c r="BF329" s="164">
        <f t="shared" si="239"/>
        <v>4268.2917646364149</v>
      </c>
      <c r="BG329" s="164">
        <f t="shared" si="219"/>
        <v>153.91641569498373</v>
      </c>
      <c r="BH329" s="152"/>
      <c r="BI329" s="162">
        <f t="shared" si="220"/>
        <v>-1797.7675882475003</v>
      </c>
      <c r="BJ329" s="150">
        <f t="shared" si="221"/>
        <v>4091.5</v>
      </c>
      <c r="BK329" s="163">
        <f t="shared" si="243"/>
        <v>85.344323832055295</v>
      </c>
      <c r="BL329" s="163">
        <f t="shared" si="222"/>
        <v>340.25684676163291</v>
      </c>
      <c r="BM329" s="163">
        <f t="shared" si="244"/>
        <v>7.0557617351755484</v>
      </c>
      <c r="BN329" s="163">
        <f t="shared" si="223"/>
        <v>6.4022396881704475</v>
      </c>
      <c r="BO329" s="163">
        <f t="shared" si="224"/>
        <v>0</v>
      </c>
      <c r="BP329" s="164">
        <f t="shared" si="245"/>
        <v>1881.5892425821576</v>
      </c>
      <c r="BQ329" s="164">
        <f>IF($E329="","",IF(AND($D329=Input!$C$6,$C329=12),0,-BJ330+BK330+BL330-BM330-BN330-BO330+BQ330))</f>
        <v>1881.5902601529542</v>
      </c>
      <c r="BR329" s="161">
        <f t="shared" si="225"/>
        <v>0</v>
      </c>
      <c r="BT329" s="147">
        <f t="shared" si="226"/>
        <v>3.6060425149519917E-2</v>
      </c>
      <c r="BU329" s="164">
        <f>IF(AND($C328=12,$D328=Input!$C$6),0,IF($E329="","",BK329+(BL329+BU330)/(1+$AK329)*MIN((1-T329-U329),1)))</f>
        <v>34283.02302227234</v>
      </c>
      <c r="BV329" s="164">
        <f t="shared" si="227"/>
        <v>1236.2603855939199</v>
      </c>
      <c r="BW329" s="164">
        <f t="shared" si="228"/>
        <v>1881.5902601529542</v>
      </c>
      <c r="BX329" s="164">
        <f t="shared" si="229"/>
        <v>67.850944738311313</v>
      </c>
    </row>
    <row r="330" spans="1:76" s="150" customFormat="1" x14ac:dyDescent="0.25">
      <c r="A330" s="150">
        <f t="shared" si="240"/>
        <v>326</v>
      </c>
      <c r="B330" s="150">
        <f t="shared" si="241"/>
        <v>28</v>
      </c>
      <c r="C330" s="150">
        <f t="shared" si="242"/>
        <v>2</v>
      </c>
      <c r="D330" s="150">
        <f>IF(E330="","",Input!$C$4+B330-1)</f>
        <v>72</v>
      </c>
      <c r="E330" s="150">
        <f>IF(OR(AND(C329=12,D329=Input!$C$6),E329=""),"",1)</f>
        <v>1</v>
      </c>
      <c r="F330" s="150">
        <f>IF(E330="","",Input!$C$8+B330-1)</f>
        <v>2045</v>
      </c>
      <c r="G330" s="151">
        <f>IF(E330="","",MAX(0,Input!$C$9-B330))</f>
        <v>0</v>
      </c>
      <c r="H330" s="152">
        <f>IF(E330="","",Input!$C$3)</f>
        <v>100000</v>
      </c>
      <c r="I330" s="153">
        <f>IF(E330="","",HLOOKUP($B330,Input!$C$13:$BT$14,2))</f>
        <v>40.914999999999999</v>
      </c>
      <c r="J330" s="154"/>
      <c r="K330" s="155">
        <f>IF($E330="","",INDEX(Input!$C$16:$CP$16,1,$B330))</f>
        <v>2.734E-2</v>
      </c>
      <c r="L330" s="155">
        <f>IF($E330="","",Input!$C$37)</f>
        <v>1.4999999999999999E-2</v>
      </c>
      <c r="M330" s="155">
        <f t="shared" si="205"/>
        <v>4.2340000000000003E-2</v>
      </c>
      <c r="N330" s="155">
        <f t="shared" si="206"/>
        <v>3.4616598944321453E-3</v>
      </c>
      <c r="O330" s="147">
        <f>IF($E330="","",MIN(VLOOKUP(IF($B330&lt;=Input!$C$7,$B330,26),'Mortality Tables'!$A$41:$CW$67,IF($B330&lt;=Input!$C$7+1,Input!$C$4+2,$D330-Input!$C$7+2),0)*IF(B330&gt;20,Input!$C$22,1)/1000,1))</f>
        <v>4.5883199999999999E-2</v>
      </c>
      <c r="P330" s="147">
        <f>IF($E330="","",MIN(VLOOKUP(IF($B330&lt;=Input!$C$7,$B330,26),'Mortality Tables'!$A$12:$CW$37,IF($B330&lt;=Input!$C$7+1,Input!$C$4+2,$D330-Input!$C$7+2),0)*IF(B330&gt;20,Input!$C$22,1)/1000,1))</f>
        <v>5.7354000000000002E-2</v>
      </c>
      <c r="Q330" s="155">
        <f>IF($E330="","",Input!$C$21)</f>
        <v>5.0000000000000001E-3</v>
      </c>
      <c r="R330" s="159">
        <f>IF($E330="","",(1-Q330)^($F330-Input!$C$20))</f>
        <v>0.87342009602538717</v>
      </c>
      <c r="S330" s="147">
        <f t="shared" si="208"/>
        <v>4.0075308949952045E-2</v>
      </c>
      <c r="T330" s="147">
        <f t="shared" si="209"/>
        <v>3.4025684676163293E-3</v>
      </c>
      <c r="U330" s="160">
        <f>IF($E330="","",IF($C330=12,INDEX(Input!$C$15:$CP$15,1,$B330),0))</f>
        <v>0</v>
      </c>
      <c r="V330" s="150">
        <f>IF(E330="","",IF(C330=1,IF($B330=1,Input!$C$33,Input!$C$34),0))</f>
        <v>0</v>
      </c>
      <c r="W330" s="156">
        <f>IF($E330="","",Input!$C$35)</f>
        <v>0.02</v>
      </c>
      <c r="X330" s="156">
        <f t="shared" si="207"/>
        <v>1.7068864766411058</v>
      </c>
      <c r="Y330" s="154"/>
      <c r="Z330" s="147">
        <f>IF($E330="","",VLOOKUP($D330,'Mortality Margins &amp; Grading'!$AB$5:$AF$125,3,0)*IF(Summary!$D$25="Included Margin",IF(AND($B330&gt;Input!$C$9,Summary!$D$31&lt;&gt;"Included Margin"),0,1),0))</f>
        <v>0.03</v>
      </c>
      <c r="AA330" s="147">
        <f>IF($E330="","",VLOOKUP($D330,'Mortality Margins &amp; Grading'!$AB$5:$AF$125,5,0)*IF(Summary!$D$25="Included Margin",IF(AND($B330&gt;Input!$C$9,Summary!$D$31&lt;&gt;"Included Margin"),0,1),0))</f>
        <v>0.156</v>
      </c>
      <c r="AB330" s="147">
        <f>IF($E330="","",IF(AND($B330&gt;Input!$C$9,Summary!$D$31&lt;&gt;"Included Margin"),1,IF(Summary!$D$25="Included Margin",VLOOKUP($B330,'Mortality Margins &amp; Grading'!$AI$5:$AR$125,MATCH('Mortality Margins &amp; Grading'!$AQ$4,'Mortality Margins &amp; Grading'!$AI$4:$AR$4,0),0),1)))</f>
        <v>1</v>
      </c>
      <c r="AC330" s="154"/>
      <c r="AD330" s="158">
        <f>IF(E330="","",Input!$C$48*IF(Summary!$D$30="Included Margin",IF(AND($B330&gt;Input!$C$9,Summary!$D$31&lt;&gt;"Included Margin"),0,1),0))</f>
        <v>-4.4999999999999997E-3</v>
      </c>
      <c r="AE330" s="159">
        <f>IF(E330="","",IF(Summary!$D$26="Included Margin",IF(AND($B330&gt;Input!$C$9,Summary!$D$31&lt;&gt;"Included Margin"),1,1/$R330),1))</f>
        <v>1.1449244235971112</v>
      </c>
      <c r="AF330" s="160">
        <f>IF(E330="","",IF(AND($B330&gt;=Input!$C$9,$C330=12,Summary!$D$31="Included Margin",$U330&gt;0),1/U330-1,IF($B330&gt;=Input!$C$9,0,Input!$C$45*IF(Summary!$D$27="Included Margin",1,0))))</f>
        <v>0</v>
      </c>
      <c r="AG330" s="160">
        <f>IF(E330="","",Input!$C$46*IF(Summary!$D$28="Included Margin",IF(AND($B330&gt;Input!$C$9,Summary!$D$31&lt;&gt;"Included Margin"),0,1),0))</f>
        <v>0.02</v>
      </c>
      <c r="AH330" s="158">
        <f>IF(E330="","",Input!$C$47*IF(Summary!$D$29="Included Margin",IF(AND($B330&gt;Input!$C$9,Summary!$D$31&lt;&gt;"Included Margin"),0,1),0))</f>
        <v>2.5000000000000001E-3</v>
      </c>
      <c r="AI330" s="154"/>
      <c r="AJ330" s="158">
        <f t="shared" si="230"/>
        <v>3.7840000000000006E-2</v>
      </c>
      <c r="AK330" s="155">
        <f t="shared" si="231"/>
        <v>3.0999307353614114E-3</v>
      </c>
      <c r="AL330" s="147">
        <f t="shared" si="232"/>
        <v>4.7259695999999997E-2</v>
      </c>
      <c r="AM330" s="147">
        <f t="shared" si="210"/>
        <v>4.026282380599322E-3</v>
      </c>
      <c r="AN330" s="160">
        <f t="shared" si="233"/>
        <v>0</v>
      </c>
      <c r="AO330" s="161">
        <f t="shared" si="234"/>
        <v>0</v>
      </c>
      <c r="AP330" s="156">
        <f t="shared" si="211"/>
        <v>1.823515882705909</v>
      </c>
      <c r="AQ330" s="152"/>
      <c r="AR330" s="162">
        <f t="shared" si="212"/>
        <v>4268.2907988622155</v>
      </c>
      <c r="AS330" s="150">
        <f t="shared" si="235"/>
        <v>0</v>
      </c>
      <c r="AT330" s="163">
        <f t="shared" si="213"/>
        <v>0</v>
      </c>
      <c r="AU330" s="163">
        <f t="shared" si="214"/>
        <v>402.62823805993219</v>
      </c>
      <c r="AV330" s="163">
        <f t="shared" si="236"/>
        <v>12.607346009810096</v>
      </c>
      <c r="AW330" s="163">
        <f t="shared" si="215"/>
        <v>15.678138293457296</v>
      </c>
      <c r="AX330" s="163">
        <f t="shared" si="216"/>
        <v>0</v>
      </c>
      <c r="AY330" s="165">
        <f t="shared" si="237"/>
        <v>3893.9480451055506</v>
      </c>
      <c r="AZ330" s="164">
        <f>IF($E330="","",IF(OR(AND($D330=Input!$C$6,$C330=12),$AN330=1),0,-AS331+AT331+AU331-AV331-AW331-AX331+AZ331))</f>
        <v>3893.9490108797504</v>
      </c>
      <c r="BA330" s="154">
        <f t="shared" si="217"/>
        <v>9.6577419981258572E-4</v>
      </c>
      <c r="BC330" s="147">
        <f t="shared" si="238"/>
        <v>3.5937727083977321E-2</v>
      </c>
      <c r="BD330" s="164">
        <f>IF(AND($C329=12,$D329=Input!$C$6),0,IF($E330="","",AT330+(AU330+BD331)/(1+$AK330)*MIN((1-AM330-AN330),1)))</f>
        <v>3852.5288522393039</v>
      </c>
      <c r="BE330" s="164">
        <f t="shared" si="218"/>
        <v>138.4511304749245</v>
      </c>
      <c r="BF330" s="164">
        <f t="shared" si="239"/>
        <v>3893.9490108797504</v>
      </c>
      <c r="BG330" s="164">
        <f t="shared" si="219"/>
        <v>139.93967683191991</v>
      </c>
      <c r="BH330" s="152"/>
      <c r="BI330" s="162">
        <f t="shared" si="220"/>
        <v>1881.5892425821578</v>
      </c>
      <c r="BJ330" s="150">
        <f t="shared" si="221"/>
        <v>0</v>
      </c>
      <c r="BK330" s="163">
        <f t="shared" si="243"/>
        <v>0</v>
      </c>
      <c r="BL330" s="163">
        <f t="shared" si="222"/>
        <v>340.25684676163291</v>
      </c>
      <c r="BM330" s="163">
        <f t="shared" si="244"/>
        <v>5.9244952787212677</v>
      </c>
      <c r="BN330" s="163">
        <f t="shared" si="223"/>
        <v>5.2826254661480156</v>
      </c>
      <c r="BO330" s="163">
        <f t="shared" si="224"/>
        <v>0</v>
      </c>
      <c r="BP330" s="164">
        <f t="shared" si="245"/>
        <v>1552.539516565394</v>
      </c>
      <c r="BQ330" s="164">
        <f>IF($E330="","",IF(AND($D330=Input!$C$6,$C330=12),0,-BJ331+BK331+BL331-BM331-BN331-BO331+BQ331))</f>
        <v>1552.5405341361907</v>
      </c>
      <c r="BR330" s="161">
        <f t="shared" si="225"/>
        <v>0</v>
      </c>
      <c r="BT330" s="147">
        <f t="shared" si="226"/>
        <v>3.5937727083977321E-2</v>
      </c>
      <c r="BU330" s="164">
        <f>IF(AND($C329=12,$D329=Input!$C$6),0,IF($E330="","",BK330+(BL330+BU331)/(1+$AK330)*MIN((1-T330-U330),1)))</f>
        <v>34080.551443873541</v>
      </c>
      <c r="BV330" s="164">
        <f t="shared" si="227"/>
        <v>1224.7775566613766</v>
      </c>
      <c r="BW330" s="164">
        <f t="shared" si="228"/>
        <v>1552.5405341361907</v>
      </c>
      <c r="BX330" s="164">
        <f t="shared" si="229"/>
        <v>55.794778002598797</v>
      </c>
    </row>
    <row r="331" spans="1:76" s="150" customFormat="1" x14ac:dyDescent="0.25">
      <c r="A331" s="150">
        <f t="shared" si="240"/>
        <v>327</v>
      </c>
      <c r="B331" s="150">
        <f t="shared" si="241"/>
        <v>28</v>
      </c>
      <c r="C331" s="150">
        <f t="shared" si="242"/>
        <v>3</v>
      </c>
      <c r="D331" s="150">
        <f>IF(E331="","",Input!$C$4+B331-1)</f>
        <v>72</v>
      </c>
      <c r="E331" s="150">
        <f>IF(OR(AND(C330=12,D330=Input!$C$6),E330=""),"",1)</f>
        <v>1</v>
      </c>
      <c r="F331" s="150">
        <f>IF(E331="","",Input!$C$8+B331-1)</f>
        <v>2045</v>
      </c>
      <c r="G331" s="151">
        <f>IF(E331="","",MAX(0,Input!$C$9-B331))</f>
        <v>0</v>
      </c>
      <c r="H331" s="152">
        <f>IF(E331="","",Input!$C$3)</f>
        <v>100000</v>
      </c>
      <c r="I331" s="153">
        <f>IF(E331="","",HLOOKUP($B331,Input!$C$13:$BT$14,2))</f>
        <v>40.914999999999999</v>
      </c>
      <c r="J331" s="154"/>
      <c r="K331" s="155">
        <f>IF($E331="","",INDEX(Input!$C$16:$CP$16,1,$B331))</f>
        <v>2.734E-2</v>
      </c>
      <c r="L331" s="155">
        <f>IF($E331="","",Input!$C$37)</f>
        <v>1.4999999999999999E-2</v>
      </c>
      <c r="M331" s="155">
        <f t="shared" si="205"/>
        <v>4.2340000000000003E-2</v>
      </c>
      <c r="N331" s="155">
        <f t="shared" si="206"/>
        <v>3.4616598944321453E-3</v>
      </c>
      <c r="O331" s="147">
        <f>IF($E331="","",MIN(VLOOKUP(IF($B331&lt;=Input!$C$7,$B331,26),'Mortality Tables'!$A$41:$CW$67,IF($B331&lt;=Input!$C$7+1,Input!$C$4+2,$D331-Input!$C$7+2),0)*IF(B331&gt;20,Input!$C$22,1)/1000,1))</f>
        <v>4.5883199999999999E-2</v>
      </c>
      <c r="P331" s="147">
        <f>IF($E331="","",MIN(VLOOKUP(IF($B331&lt;=Input!$C$7,$B331,26),'Mortality Tables'!$A$12:$CW$37,IF($B331&lt;=Input!$C$7+1,Input!$C$4+2,$D331-Input!$C$7+2),0)*IF(B331&gt;20,Input!$C$22,1)/1000,1))</f>
        <v>5.7354000000000002E-2</v>
      </c>
      <c r="Q331" s="155">
        <f>IF($E331="","",Input!$C$21)</f>
        <v>5.0000000000000001E-3</v>
      </c>
      <c r="R331" s="159">
        <f>IF($E331="","",(1-Q331)^($F331-Input!$C$20))</f>
        <v>0.87342009602538717</v>
      </c>
      <c r="S331" s="147">
        <f t="shared" si="208"/>
        <v>4.0075308949952045E-2</v>
      </c>
      <c r="T331" s="147">
        <f t="shared" si="209"/>
        <v>3.4025684676163293E-3</v>
      </c>
      <c r="U331" s="160">
        <f>IF($E331="","",IF($C331=12,INDEX(Input!$C$15:$CP$15,1,$B331),0))</f>
        <v>0</v>
      </c>
      <c r="V331" s="150">
        <f>IF(E331="","",IF(C331=1,IF($B331=1,Input!$C$33,Input!$C$34),0))</f>
        <v>0</v>
      </c>
      <c r="W331" s="156">
        <f>IF($E331="","",Input!$C$35)</f>
        <v>0.02</v>
      </c>
      <c r="X331" s="156">
        <f t="shared" si="207"/>
        <v>1.7068864766411058</v>
      </c>
      <c r="Y331" s="154"/>
      <c r="Z331" s="147">
        <f>IF($E331="","",VLOOKUP($D331,'Mortality Margins &amp; Grading'!$AB$5:$AF$125,3,0)*IF(Summary!$D$25="Included Margin",IF(AND($B331&gt;Input!$C$9,Summary!$D$31&lt;&gt;"Included Margin"),0,1),0))</f>
        <v>0.03</v>
      </c>
      <c r="AA331" s="147">
        <f>IF($E331="","",VLOOKUP($D331,'Mortality Margins &amp; Grading'!$AB$5:$AF$125,5,0)*IF(Summary!$D$25="Included Margin",IF(AND($B331&gt;Input!$C$9,Summary!$D$31&lt;&gt;"Included Margin"),0,1),0))</f>
        <v>0.156</v>
      </c>
      <c r="AB331" s="147">
        <f>IF($E331="","",IF(AND($B331&gt;Input!$C$9,Summary!$D$31&lt;&gt;"Included Margin"),1,IF(Summary!$D$25="Included Margin",VLOOKUP($B331,'Mortality Margins &amp; Grading'!$AI$5:$AR$125,MATCH('Mortality Margins &amp; Grading'!$AQ$4,'Mortality Margins &amp; Grading'!$AI$4:$AR$4,0),0),1)))</f>
        <v>1</v>
      </c>
      <c r="AC331" s="154"/>
      <c r="AD331" s="158">
        <f>IF(E331="","",Input!$C$48*IF(Summary!$D$30="Included Margin",IF(AND($B331&gt;Input!$C$9,Summary!$D$31&lt;&gt;"Included Margin"),0,1),0))</f>
        <v>-4.4999999999999997E-3</v>
      </c>
      <c r="AE331" s="159">
        <f>IF(E331="","",IF(Summary!$D$26="Included Margin",IF(AND($B331&gt;Input!$C$9,Summary!$D$31&lt;&gt;"Included Margin"),1,1/$R331),1))</f>
        <v>1.1449244235971112</v>
      </c>
      <c r="AF331" s="160">
        <f>IF(E331="","",IF(AND($B331&gt;=Input!$C$9,$C331=12,Summary!$D$31="Included Margin",$U331&gt;0),1/U331-1,IF($B331&gt;=Input!$C$9,0,Input!$C$45*IF(Summary!$D$27="Included Margin",1,0))))</f>
        <v>0</v>
      </c>
      <c r="AG331" s="160">
        <f>IF(E331="","",Input!$C$46*IF(Summary!$D$28="Included Margin",IF(AND($B331&gt;Input!$C$9,Summary!$D$31&lt;&gt;"Included Margin"),0,1),0))</f>
        <v>0.02</v>
      </c>
      <c r="AH331" s="158">
        <f>IF(E331="","",Input!$C$47*IF(Summary!$D$29="Included Margin",IF(AND($B331&gt;Input!$C$9,Summary!$D$31&lt;&gt;"Included Margin"),0,1),0))</f>
        <v>2.5000000000000001E-3</v>
      </c>
      <c r="AI331" s="154"/>
      <c r="AJ331" s="158">
        <f t="shared" si="230"/>
        <v>3.7840000000000006E-2</v>
      </c>
      <c r="AK331" s="155">
        <f t="shared" si="231"/>
        <v>3.0999307353614114E-3</v>
      </c>
      <c r="AL331" s="147">
        <f t="shared" si="232"/>
        <v>4.7259695999999997E-2</v>
      </c>
      <c r="AM331" s="147">
        <f t="shared" si="210"/>
        <v>4.026282380599322E-3</v>
      </c>
      <c r="AN331" s="160">
        <f t="shared" si="233"/>
        <v>0</v>
      </c>
      <c r="AO331" s="161">
        <f t="shared" si="234"/>
        <v>0</v>
      </c>
      <c r="AP331" s="156">
        <f t="shared" si="211"/>
        <v>1.823515882705909</v>
      </c>
      <c r="AQ331" s="152"/>
      <c r="AR331" s="162">
        <f t="shared" si="212"/>
        <v>3893.9480451055515</v>
      </c>
      <c r="AS331" s="150">
        <f t="shared" si="235"/>
        <v>0</v>
      </c>
      <c r="AT331" s="163">
        <f t="shared" si="213"/>
        <v>0</v>
      </c>
      <c r="AU331" s="163">
        <f t="shared" si="214"/>
        <v>402.62823805993219</v>
      </c>
      <c r="AV331" s="163">
        <f t="shared" si="236"/>
        <v>11.446909401879985</v>
      </c>
      <c r="AW331" s="163">
        <f t="shared" si="215"/>
        <v>14.160144542741127</v>
      </c>
      <c r="AX331" s="163">
        <f t="shared" si="216"/>
        <v>0</v>
      </c>
      <c r="AY331" s="164">
        <f t="shared" si="237"/>
        <v>3516.9268609902401</v>
      </c>
      <c r="AZ331" s="164">
        <f>IF($E331="","",IF(OR(AND($D331=Input!$C$6,$C331=12),$AN331=1),0,-AS332+AT332+AU332-AV332-AW332-AX332+AZ332))</f>
        <v>3516.9278267644395</v>
      </c>
      <c r="BA331" s="154">
        <f t="shared" si="217"/>
        <v>9.6577419935783837E-4</v>
      </c>
      <c r="BC331" s="147">
        <f t="shared" si="238"/>
        <v>3.5815446507003579E-2</v>
      </c>
      <c r="BD331" s="164">
        <f>IF(AND($C330=12,$D330=Input!$C$6),0,IF($E331="","",AT331+(AU331+BD332)/(1+$AK331)*MIN((1-AM331-AN331),1)))</f>
        <v>3477.4655399909343</v>
      </c>
      <c r="BE331" s="164">
        <f t="shared" si="218"/>
        <v>124.54698102749362</v>
      </c>
      <c r="BF331" s="164">
        <f t="shared" si="239"/>
        <v>3516.9278267644395</v>
      </c>
      <c r="BG331" s="164">
        <f t="shared" si="219"/>
        <v>125.96034044847413</v>
      </c>
      <c r="BH331" s="152"/>
      <c r="BI331" s="162">
        <f t="shared" si="220"/>
        <v>1552.5395165653943</v>
      </c>
      <c r="BJ331" s="150">
        <f t="shared" si="221"/>
        <v>0</v>
      </c>
      <c r="BK331" s="163">
        <f t="shared" si="243"/>
        <v>0</v>
      </c>
      <c r="BL331" s="163">
        <f t="shared" si="222"/>
        <v>340.25684676163291</v>
      </c>
      <c r="BM331" s="163">
        <f t="shared" si="244"/>
        <v>4.7854370388951519</v>
      </c>
      <c r="BN331" s="163">
        <f t="shared" si="223"/>
        <v>4.1552997174306547</v>
      </c>
      <c r="BO331" s="163">
        <f t="shared" si="224"/>
        <v>0</v>
      </c>
      <c r="BP331" s="164">
        <f t="shared" si="245"/>
        <v>1221.2234065600871</v>
      </c>
      <c r="BQ331" s="164">
        <f>IF($E331="","",IF(AND($D331=Input!$C$6,$C331=12),0,-BJ332+BK332+BL332-BM332-BN332-BO332+BQ332))</f>
        <v>1221.2244241308836</v>
      </c>
      <c r="BR331" s="161">
        <f t="shared" si="225"/>
        <v>0</v>
      </c>
      <c r="BT331" s="147">
        <f t="shared" si="226"/>
        <v>3.5815446507003579E-2</v>
      </c>
      <c r="BU331" s="164">
        <f>IF(AND($C330=12,$D330=Input!$C$6),0,IF($E331="","",BK331+(BL331+BU332)/(1+$AK331)*MIN((1-T331-U331),1)))</f>
        <v>33962.659969115804</v>
      </c>
      <c r="BV331" s="164">
        <f t="shared" si="227"/>
        <v>1216.3878313594189</v>
      </c>
      <c r="BW331" s="164">
        <f t="shared" si="228"/>
        <v>1221.2244241308836</v>
      </c>
      <c r="BX331" s="164">
        <f t="shared" si="229"/>
        <v>43.738698035505912</v>
      </c>
    </row>
    <row r="332" spans="1:76" s="150" customFormat="1" x14ac:dyDescent="0.25">
      <c r="A332" s="150">
        <f t="shared" si="240"/>
        <v>328</v>
      </c>
      <c r="B332" s="150">
        <f t="shared" si="241"/>
        <v>28</v>
      </c>
      <c r="C332" s="150">
        <f t="shared" si="242"/>
        <v>4</v>
      </c>
      <c r="D332" s="150">
        <f>IF(E332="","",Input!$C$4+B332-1)</f>
        <v>72</v>
      </c>
      <c r="E332" s="150">
        <f>IF(OR(AND(C331=12,D331=Input!$C$6),E331=""),"",1)</f>
        <v>1</v>
      </c>
      <c r="F332" s="150">
        <f>IF(E332="","",Input!$C$8+B332-1)</f>
        <v>2045</v>
      </c>
      <c r="G332" s="151">
        <f>IF(E332="","",MAX(0,Input!$C$9-B332))</f>
        <v>0</v>
      </c>
      <c r="H332" s="152">
        <f>IF(E332="","",Input!$C$3)</f>
        <v>100000</v>
      </c>
      <c r="I332" s="153">
        <f>IF(E332="","",HLOOKUP($B332,Input!$C$13:$BT$14,2))</f>
        <v>40.914999999999999</v>
      </c>
      <c r="J332" s="154"/>
      <c r="K332" s="155">
        <f>IF($E332="","",INDEX(Input!$C$16:$CP$16,1,$B332))</f>
        <v>2.734E-2</v>
      </c>
      <c r="L332" s="155">
        <f>IF($E332="","",Input!$C$37)</f>
        <v>1.4999999999999999E-2</v>
      </c>
      <c r="M332" s="155">
        <f t="shared" si="205"/>
        <v>4.2340000000000003E-2</v>
      </c>
      <c r="N332" s="155">
        <f t="shared" si="206"/>
        <v>3.4616598944321453E-3</v>
      </c>
      <c r="O332" s="147">
        <f>IF($E332="","",MIN(VLOOKUP(IF($B332&lt;=Input!$C$7,$B332,26),'Mortality Tables'!$A$41:$CW$67,IF($B332&lt;=Input!$C$7+1,Input!$C$4+2,$D332-Input!$C$7+2),0)*IF(B332&gt;20,Input!$C$22,1)/1000,1))</f>
        <v>4.5883199999999999E-2</v>
      </c>
      <c r="P332" s="147">
        <f>IF($E332="","",MIN(VLOOKUP(IF($B332&lt;=Input!$C$7,$B332,26),'Mortality Tables'!$A$12:$CW$37,IF($B332&lt;=Input!$C$7+1,Input!$C$4+2,$D332-Input!$C$7+2),0)*IF(B332&gt;20,Input!$C$22,1)/1000,1))</f>
        <v>5.7354000000000002E-2</v>
      </c>
      <c r="Q332" s="155">
        <f>IF($E332="","",Input!$C$21)</f>
        <v>5.0000000000000001E-3</v>
      </c>
      <c r="R332" s="159">
        <f>IF($E332="","",(1-Q332)^($F332-Input!$C$20))</f>
        <v>0.87342009602538717</v>
      </c>
      <c r="S332" s="147">
        <f t="shared" si="208"/>
        <v>4.0075308949952045E-2</v>
      </c>
      <c r="T332" s="147">
        <f t="shared" si="209"/>
        <v>3.4025684676163293E-3</v>
      </c>
      <c r="U332" s="160">
        <f>IF($E332="","",IF($C332=12,INDEX(Input!$C$15:$CP$15,1,$B332),0))</f>
        <v>0</v>
      </c>
      <c r="V332" s="150">
        <f>IF(E332="","",IF(C332=1,IF($B332=1,Input!$C$33,Input!$C$34),0))</f>
        <v>0</v>
      </c>
      <c r="W332" s="156">
        <f>IF($E332="","",Input!$C$35)</f>
        <v>0.02</v>
      </c>
      <c r="X332" s="156">
        <f t="shared" si="207"/>
        <v>1.7068864766411058</v>
      </c>
      <c r="Y332" s="154"/>
      <c r="Z332" s="147">
        <f>IF($E332="","",VLOOKUP($D332,'Mortality Margins &amp; Grading'!$AB$5:$AF$125,3,0)*IF(Summary!$D$25="Included Margin",IF(AND($B332&gt;Input!$C$9,Summary!$D$31&lt;&gt;"Included Margin"),0,1),0))</f>
        <v>0.03</v>
      </c>
      <c r="AA332" s="147">
        <f>IF($E332="","",VLOOKUP($D332,'Mortality Margins &amp; Grading'!$AB$5:$AF$125,5,0)*IF(Summary!$D$25="Included Margin",IF(AND($B332&gt;Input!$C$9,Summary!$D$31&lt;&gt;"Included Margin"),0,1),0))</f>
        <v>0.156</v>
      </c>
      <c r="AB332" s="147">
        <f>IF($E332="","",IF(AND($B332&gt;Input!$C$9,Summary!$D$31&lt;&gt;"Included Margin"),1,IF(Summary!$D$25="Included Margin",VLOOKUP($B332,'Mortality Margins &amp; Grading'!$AI$5:$AR$125,MATCH('Mortality Margins &amp; Grading'!$AQ$4,'Mortality Margins &amp; Grading'!$AI$4:$AR$4,0),0),1)))</f>
        <v>1</v>
      </c>
      <c r="AC332" s="154"/>
      <c r="AD332" s="158">
        <f>IF(E332="","",Input!$C$48*IF(Summary!$D$30="Included Margin",IF(AND($B332&gt;Input!$C$9,Summary!$D$31&lt;&gt;"Included Margin"),0,1),0))</f>
        <v>-4.4999999999999997E-3</v>
      </c>
      <c r="AE332" s="159">
        <f>IF(E332="","",IF(Summary!$D$26="Included Margin",IF(AND($B332&gt;Input!$C$9,Summary!$D$31&lt;&gt;"Included Margin"),1,1/$R332),1))</f>
        <v>1.1449244235971112</v>
      </c>
      <c r="AF332" s="160">
        <f>IF(E332="","",IF(AND($B332&gt;=Input!$C$9,$C332=12,Summary!$D$31="Included Margin",$U332&gt;0),1/U332-1,IF($B332&gt;=Input!$C$9,0,Input!$C$45*IF(Summary!$D$27="Included Margin",1,0))))</f>
        <v>0</v>
      </c>
      <c r="AG332" s="160">
        <f>IF(E332="","",Input!$C$46*IF(Summary!$D$28="Included Margin",IF(AND($B332&gt;Input!$C$9,Summary!$D$31&lt;&gt;"Included Margin"),0,1),0))</f>
        <v>0.02</v>
      </c>
      <c r="AH332" s="158">
        <f>IF(E332="","",Input!$C$47*IF(Summary!$D$29="Included Margin",IF(AND($B332&gt;Input!$C$9,Summary!$D$31&lt;&gt;"Included Margin"),0,1),0))</f>
        <v>2.5000000000000001E-3</v>
      </c>
      <c r="AI332" s="154"/>
      <c r="AJ332" s="158">
        <f t="shared" si="230"/>
        <v>3.7840000000000006E-2</v>
      </c>
      <c r="AK332" s="155">
        <f t="shared" si="231"/>
        <v>3.0999307353614114E-3</v>
      </c>
      <c r="AL332" s="147">
        <f t="shared" si="232"/>
        <v>4.7259695999999997E-2</v>
      </c>
      <c r="AM332" s="147">
        <f t="shared" si="210"/>
        <v>4.026282380599322E-3</v>
      </c>
      <c r="AN332" s="160">
        <f t="shared" si="233"/>
        <v>0</v>
      </c>
      <c r="AO332" s="161">
        <f t="shared" si="234"/>
        <v>0</v>
      </c>
      <c r="AP332" s="156">
        <f t="shared" si="211"/>
        <v>1.823515882705909</v>
      </c>
      <c r="AQ332" s="152"/>
      <c r="AR332" s="162">
        <f t="shared" si="212"/>
        <v>3516.9268609902401</v>
      </c>
      <c r="AS332" s="150">
        <f t="shared" si="235"/>
        <v>0</v>
      </c>
      <c r="AT332" s="163">
        <f t="shared" si="213"/>
        <v>0</v>
      </c>
      <c r="AU332" s="163">
        <f t="shared" si="214"/>
        <v>402.62823805993219</v>
      </c>
      <c r="AV332" s="163">
        <f t="shared" si="236"/>
        <v>10.278169845358578</v>
      </c>
      <c r="AW332" s="163">
        <f t="shared" si="215"/>
        <v>12.63128951447824</v>
      </c>
      <c r="AX332" s="163">
        <f t="shared" si="216"/>
        <v>0</v>
      </c>
      <c r="AY332" s="165">
        <f t="shared" si="237"/>
        <v>3137.2080822901448</v>
      </c>
      <c r="AZ332" s="164">
        <f>IF($E332="","",IF(OR(AND($D332=Input!$C$6,$C332=12),$AN332=1),0,-AS333+AT333+AU333-AV333-AW333-AX333+AZ333))</f>
        <v>3137.2090480643442</v>
      </c>
      <c r="BA332" s="154">
        <f t="shared" si="217"/>
        <v>9.6577419935783837E-4</v>
      </c>
      <c r="BC332" s="147">
        <f t="shared" si="238"/>
        <v>3.5693581998065251E-2</v>
      </c>
      <c r="BD332" s="164">
        <f>IF(AND($C331=12,$D331=Input!$C$6),0,IF($E332="","",AT332+(AU332+BD333)/(1+$AK332)*MIN((1-AM332-AN332),1)))</f>
        <v>3099.7186417725966</v>
      </c>
      <c r="BE332" s="164">
        <f t="shared" si="218"/>
        <v>110.64006151104162</v>
      </c>
      <c r="BF332" s="164">
        <f t="shared" si="239"/>
        <v>3137.2090480643442</v>
      </c>
      <c r="BG332" s="164">
        <f t="shared" si="219"/>
        <v>111.9782284021569</v>
      </c>
      <c r="BH332" s="152"/>
      <c r="BI332" s="162">
        <f t="shared" si="220"/>
        <v>1221.2234065600869</v>
      </c>
      <c r="BJ332" s="150">
        <f t="shared" si="221"/>
        <v>0</v>
      </c>
      <c r="BK332" s="163">
        <f t="shared" si="243"/>
        <v>0</v>
      </c>
      <c r="BL332" s="163">
        <f t="shared" si="222"/>
        <v>340.25684676163291</v>
      </c>
      <c r="BM332" s="163">
        <f t="shared" si="244"/>
        <v>3.6385333485105109</v>
      </c>
      <c r="BN332" s="163">
        <f t="shared" si="223"/>
        <v>3.0202093276127093</v>
      </c>
      <c r="BO332" s="163">
        <f t="shared" si="224"/>
        <v>0</v>
      </c>
      <c r="BP332" s="164">
        <f t="shared" si="245"/>
        <v>887.62530247457721</v>
      </c>
      <c r="BQ332" s="164">
        <f>IF($E332="","",IF(AND($D332=Input!$C$6,$C332=12),0,-BJ333+BK333+BL333-BM333-BN333-BO333+BQ333))</f>
        <v>887.62632004537386</v>
      </c>
      <c r="BR332" s="161">
        <f t="shared" si="225"/>
        <v>0</v>
      </c>
      <c r="BT332" s="147">
        <f t="shared" si="226"/>
        <v>3.5693581998065251E-2</v>
      </c>
      <c r="BU332" s="164">
        <f>IF(AND($C331=12,$D331=Input!$C$6),0,IF($E332="","",BK332+(BL332+BU333)/(1+$AK332)*MIN((1-T332-U332),1)))</f>
        <v>33843.999287859639</v>
      </c>
      <c r="BV332" s="164">
        <f t="shared" si="227"/>
        <v>1208.0135637236799</v>
      </c>
      <c r="BW332" s="164">
        <f t="shared" si="228"/>
        <v>887.62632004537386</v>
      </c>
      <c r="BX332" s="164">
        <f t="shared" si="229"/>
        <v>31.682562838180463</v>
      </c>
    </row>
    <row r="333" spans="1:76" s="150" customFormat="1" x14ac:dyDescent="0.25">
      <c r="A333" s="150">
        <f t="shared" si="240"/>
        <v>329</v>
      </c>
      <c r="B333" s="150">
        <f t="shared" si="241"/>
        <v>28</v>
      </c>
      <c r="C333" s="150">
        <f t="shared" si="242"/>
        <v>5</v>
      </c>
      <c r="D333" s="150">
        <f>IF(E333="","",Input!$C$4+B333-1)</f>
        <v>72</v>
      </c>
      <c r="E333" s="150">
        <f>IF(OR(AND(C332=12,D332=Input!$C$6),E332=""),"",1)</f>
        <v>1</v>
      </c>
      <c r="F333" s="150">
        <f>IF(E333="","",Input!$C$8+B333-1)</f>
        <v>2045</v>
      </c>
      <c r="G333" s="151">
        <f>IF(E333="","",MAX(0,Input!$C$9-B333))</f>
        <v>0</v>
      </c>
      <c r="H333" s="152">
        <f>IF(E333="","",Input!$C$3)</f>
        <v>100000</v>
      </c>
      <c r="I333" s="153">
        <f>IF(E333="","",HLOOKUP($B333,Input!$C$13:$BT$14,2))</f>
        <v>40.914999999999999</v>
      </c>
      <c r="J333" s="154"/>
      <c r="K333" s="155">
        <f>IF($E333="","",INDEX(Input!$C$16:$CP$16,1,$B333))</f>
        <v>2.734E-2</v>
      </c>
      <c r="L333" s="155">
        <f>IF($E333="","",Input!$C$37)</f>
        <v>1.4999999999999999E-2</v>
      </c>
      <c r="M333" s="155">
        <f t="shared" si="205"/>
        <v>4.2340000000000003E-2</v>
      </c>
      <c r="N333" s="155">
        <f t="shared" si="206"/>
        <v>3.4616598944321453E-3</v>
      </c>
      <c r="O333" s="147">
        <f>IF($E333="","",MIN(VLOOKUP(IF($B333&lt;=Input!$C$7,$B333,26),'Mortality Tables'!$A$41:$CW$67,IF($B333&lt;=Input!$C$7+1,Input!$C$4+2,$D333-Input!$C$7+2),0)*IF(B333&gt;20,Input!$C$22,1)/1000,1))</f>
        <v>4.5883199999999999E-2</v>
      </c>
      <c r="P333" s="147">
        <f>IF($E333="","",MIN(VLOOKUP(IF($B333&lt;=Input!$C$7,$B333,26),'Mortality Tables'!$A$12:$CW$37,IF($B333&lt;=Input!$C$7+1,Input!$C$4+2,$D333-Input!$C$7+2),0)*IF(B333&gt;20,Input!$C$22,1)/1000,1))</f>
        <v>5.7354000000000002E-2</v>
      </c>
      <c r="Q333" s="155">
        <f>IF($E333="","",Input!$C$21)</f>
        <v>5.0000000000000001E-3</v>
      </c>
      <c r="R333" s="159">
        <f>IF($E333="","",(1-Q333)^($F333-Input!$C$20))</f>
        <v>0.87342009602538717</v>
      </c>
      <c r="S333" s="147">
        <f t="shared" si="208"/>
        <v>4.0075308949952045E-2</v>
      </c>
      <c r="T333" s="147">
        <f t="shared" si="209"/>
        <v>3.4025684676163293E-3</v>
      </c>
      <c r="U333" s="160">
        <f>IF($E333="","",IF($C333=12,INDEX(Input!$C$15:$CP$15,1,$B333),0))</f>
        <v>0</v>
      </c>
      <c r="V333" s="150">
        <f>IF(E333="","",IF(C333=1,IF($B333=1,Input!$C$33,Input!$C$34),0))</f>
        <v>0</v>
      </c>
      <c r="W333" s="156">
        <f>IF($E333="","",Input!$C$35)</f>
        <v>0.02</v>
      </c>
      <c r="X333" s="156">
        <f t="shared" si="207"/>
        <v>1.7068864766411058</v>
      </c>
      <c r="Y333" s="154"/>
      <c r="Z333" s="147">
        <f>IF($E333="","",VLOOKUP($D333,'Mortality Margins &amp; Grading'!$AB$5:$AF$125,3,0)*IF(Summary!$D$25="Included Margin",IF(AND($B333&gt;Input!$C$9,Summary!$D$31&lt;&gt;"Included Margin"),0,1),0))</f>
        <v>0.03</v>
      </c>
      <c r="AA333" s="147">
        <f>IF($E333="","",VLOOKUP($D333,'Mortality Margins &amp; Grading'!$AB$5:$AF$125,5,0)*IF(Summary!$D$25="Included Margin",IF(AND($B333&gt;Input!$C$9,Summary!$D$31&lt;&gt;"Included Margin"),0,1),0))</f>
        <v>0.156</v>
      </c>
      <c r="AB333" s="147">
        <f>IF($E333="","",IF(AND($B333&gt;Input!$C$9,Summary!$D$31&lt;&gt;"Included Margin"),1,IF(Summary!$D$25="Included Margin",VLOOKUP($B333,'Mortality Margins &amp; Grading'!$AI$5:$AR$125,MATCH('Mortality Margins &amp; Grading'!$AQ$4,'Mortality Margins &amp; Grading'!$AI$4:$AR$4,0),0),1)))</f>
        <v>1</v>
      </c>
      <c r="AC333" s="154"/>
      <c r="AD333" s="158">
        <f>IF(E333="","",Input!$C$48*IF(Summary!$D$30="Included Margin",IF(AND($B333&gt;Input!$C$9,Summary!$D$31&lt;&gt;"Included Margin"),0,1),0))</f>
        <v>-4.4999999999999997E-3</v>
      </c>
      <c r="AE333" s="159">
        <f>IF(E333="","",IF(Summary!$D$26="Included Margin",IF(AND($B333&gt;Input!$C$9,Summary!$D$31&lt;&gt;"Included Margin"),1,1/$R333),1))</f>
        <v>1.1449244235971112</v>
      </c>
      <c r="AF333" s="160">
        <f>IF(E333="","",IF(AND($B333&gt;=Input!$C$9,$C333=12,Summary!$D$31="Included Margin",$U333&gt;0),1/U333-1,IF($B333&gt;=Input!$C$9,0,Input!$C$45*IF(Summary!$D$27="Included Margin",1,0))))</f>
        <v>0</v>
      </c>
      <c r="AG333" s="160">
        <f>IF(E333="","",Input!$C$46*IF(Summary!$D$28="Included Margin",IF(AND($B333&gt;Input!$C$9,Summary!$D$31&lt;&gt;"Included Margin"),0,1),0))</f>
        <v>0.02</v>
      </c>
      <c r="AH333" s="158">
        <f>IF(E333="","",Input!$C$47*IF(Summary!$D$29="Included Margin",IF(AND($B333&gt;Input!$C$9,Summary!$D$31&lt;&gt;"Included Margin"),0,1),0))</f>
        <v>2.5000000000000001E-3</v>
      </c>
      <c r="AI333" s="154"/>
      <c r="AJ333" s="158">
        <f t="shared" si="230"/>
        <v>3.7840000000000006E-2</v>
      </c>
      <c r="AK333" s="155">
        <f t="shared" si="231"/>
        <v>3.0999307353614114E-3</v>
      </c>
      <c r="AL333" s="147">
        <f t="shared" si="232"/>
        <v>4.7259695999999997E-2</v>
      </c>
      <c r="AM333" s="147">
        <f t="shared" si="210"/>
        <v>4.026282380599322E-3</v>
      </c>
      <c r="AN333" s="160">
        <f t="shared" si="233"/>
        <v>0</v>
      </c>
      <c r="AO333" s="161">
        <f t="shared" si="234"/>
        <v>0</v>
      </c>
      <c r="AP333" s="156">
        <f t="shared" si="211"/>
        <v>1.823515882705909</v>
      </c>
      <c r="AQ333" s="152"/>
      <c r="AR333" s="162">
        <f t="shared" si="212"/>
        <v>3137.2080822901448</v>
      </c>
      <c r="AS333" s="150">
        <f t="shared" si="235"/>
        <v>0</v>
      </c>
      <c r="AT333" s="163">
        <f t="shared" si="213"/>
        <v>0</v>
      </c>
      <c r="AU333" s="163">
        <f t="shared" si="214"/>
        <v>402.62823805993219</v>
      </c>
      <c r="AV333" s="163">
        <f t="shared" si="236"/>
        <v>9.1010679324722545</v>
      </c>
      <c r="AW333" s="163">
        <f t="shared" si="215"/>
        <v>11.091495495996966</v>
      </c>
      <c r="AX333" s="163">
        <f t="shared" si="216"/>
        <v>0</v>
      </c>
      <c r="AY333" s="164">
        <f t="shared" si="237"/>
        <v>2754.7724076586819</v>
      </c>
      <c r="AZ333" s="164">
        <f>IF($E333="","",IF(OR(AND($D333=Input!$C$6,$C333=12),$AN333=1),0,-AS334+AT334+AU334-AV334-AW334-AX334+AZ334))</f>
        <v>2754.7733734328813</v>
      </c>
      <c r="BA333" s="154">
        <f t="shared" si="217"/>
        <v>9.6577419935783837E-4</v>
      </c>
      <c r="BC333" s="147">
        <f t="shared" si="238"/>
        <v>3.5572132141462355E-2</v>
      </c>
      <c r="BD333" s="164">
        <f>IF(AND($C332=12,$D332=Input!$C$6),0,IF($E333="","",AT333+(AU333+BD334)/(1+$AK333)*MIN((1-AM333-AN333),1)))</f>
        <v>2719.2689564696448</v>
      </c>
      <c r="BE333" s="164">
        <f t="shared" si="218"/>
        <v>96.730194647714654</v>
      </c>
      <c r="BF333" s="164">
        <f t="shared" si="239"/>
        <v>2754.7733734328813</v>
      </c>
      <c r="BG333" s="164">
        <f t="shared" si="219"/>
        <v>97.993162459536478</v>
      </c>
      <c r="BH333" s="152"/>
      <c r="BI333" s="162">
        <f t="shared" si="220"/>
        <v>887.62530247457744</v>
      </c>
      <c r="BJ333" s="150">
        <f t="shared" si="221"/>
        <v>0</v>
      </c>
      <c r="BK333" s="163">
        <f t="shared" si="243"/>
        <v>0</v>
      </c>
      <c r="BL333" s="163">
        <f t="shared" si="222"/>
        <v>340.25684676163291</v>
      </c>
      <c r="BM333" s="163">
        <f t="shared" si="244"/>
        <v>2.4837301707391024</v>
      </c>
      <c r="BN333" s="163">
        <f t="shared" si="223"/>
        <v>1.8773008164543379</v>
      </c>
      <c r="BO333" s="163">
        <f t="shared" si="224"/>
        <v>0</v>
      </c>
      <c r="BP333" s="164">
        <f t="shared" si="245"/>
        <v>551.72948670013795</v>
      </c>
      <c r="BQ333" s="164">
        <f>IF($E333="","",IF(AND($D333=Input!$C$6,$C333=12),0,-BJ334+BK334+BL334-BM334-BN334-BO334+BQ334))</f>
        <v>551.73050427093438</v>
      </c>
      <c r="BR333" s="161">
        <f t="shared" si="225"/>
        <v>0</v>
      </c>
      <c r="BT333" s="147">
        <f t="shared" si="226"/>
        <v>3.5572132141462355E-2</v>
      </c>
      <c r="BU333" s="164">
        <f>IF(AND($C332=12,$D332=Input!$C$6),0,IF($E333="","",BK333+(BL333+BU334)/(1+$AK333)*MIN((1-T333-U333),1)))</f>
        <v>33724.564381263459</v>
      </c>
      <c r="BV333" s="164">
        <f t="shared" si="227"/>
        <v>1199.6546605835583</v>
      </c>
      <c r="BW333" s="164">
        <f t="shared" si="228"/>
        <v>551.73050427093438</v>
      </c>
      <c r="BX333" s="164">
        <f t="shared" si="229"/>
        <v>19.626230404401337</v>
      </c>
    </row>
    <row r="334" spans="1:76" s="150" customFormat="1" x14ac:dyDescent="0.25">
      <c r="A334" s="150">
        <f t="shared" si="240"/>
        <v>330</v>
      </c>
      <c r="B334" s="150">
        <f t="shared" si="241"/>
        <v>28</v>
      </c>
      <c r="C334" s="150">
        <f t="shared" si="242"/>
        <v>6</v>
      </c>
      <c r="D334" s="150">
        <f>IF(E334="","",Input!$C$4+B334-1)</f>
        <v>72</v>
      </c>
      <c r="E334" s="150">
        <f>IF(OR(AND(C333=12,D333=Input!$C$6),E333=""),"",1)</f>
        <v>1</v>
      </c>
      <c r="F334" s="150">
        <f>IF(E334="","",Input!$C$8+B334-1)</f>
        <v>2045</v>
      </c>
      <c r="G334" s="151">
        <f>IF(E334="","",MAX(0,Input!$C$9-B334))</f>
        <v>0</v>
      </c>
      <c r="H334" s="152">
        <f>IF(E334="","",Input!$C$3)</f>
        <v>100000</v>
      </c>
      <c r="I334" s="153">
        <f>IF(E334="","",HLOOKUP($B334,Input!$C$13:$BT$14,2))</f>
        <v>40.914999999999999</v>
      </c>
      <c r="J334" s="154"/>
      <c r="K334" s="155">
        <f>IF($E334="","",INDEX(Input!$C$16:$CP$16,1,$B334))</f>
        <v>2.734E-2</v>
      </c>
      <c r="L334" s="155">
        <f>IF($E334="","",Input!$C$37)</f>
        <v>1.4999999999999999E-2</v>
      </c>
      <c r="M334" s="155">
        <f t="shared" si="205"/>
        <v>4.2340000000000003E-2</v>
      </c>
      <c r="N334" s="155">
        <f t="shared" si="206"/>
        <v>3.4616598944321453E-3</v>
      </c>
      <c r="O334" s="147">
        <f>IF($E334="","",MIN(VLOOKUP(IF($B334&lt;=Input!$C$7,$B334,26),'Mortality Tables'!$A$41:$CW$67,IF($B334&lt;=Input!$C$7+1,Input!$C$4+2,$D334-Input!$C$7+2),0)*IF(B334&gt;20,Input!$C$22,1)/1000,1))</f>
        <v>4.5883199999999999E-2</v>
      </c>
      <c r="P334" s="147">
        <f>IF($E334="","",MIN(VLOOKUP(IF($B334&lt;=Input!$C$7,$B334,26),'Mortality Tables'!$A$12:$CW$37,IF($B334&lt;=Input!$C$7+1,Input!$C$4+2,$D334-Input!$C$7+2),0)*IF(B334&gt;20,Input!$C$22,1)/1000,1))</f>
        <v>5.7354000000000002E-2</v>
      </c>
      <c r="Q334" s="155">
        <f>IF($E334="","",Input!$C$21)</f>
        <v>5.0000000000000001E-3</v>
      </c>
      <c r="R334" s="159">
        <f>IF($E334="","",(1-Q334)^($F334-Input!$C$20))</f>
        <v>0.87342009602538717</v>
      </c>
      <c r="S334" s="147">
        <f t="shared" si="208"/>
        <v>4.0075308949952045E-2</v>
      </c>
      <c r="T334" s="147">
        <f t="shared" si="209"/>
        <v>3.4025684676163293E-3</v>
      </c>
      <c r="U334" s="160">
        <f>IF($E334="","",IF($C334=12,INDEX(Input!$C$15:$CP$15,1,$B334),0))</f>
        <v>0</v>
      </c>
      <c r="V334" s="150">
        <f>IF(E334="","",IF(C334=1,IF($B334=1,Input!$C$33,Input!$C$34),0))</f>
        <v>0</v>
      </c>
      <c r="W334" s="156">
        <f>IF($E334="","",Input!$C$35)</f>
        <v>0.02</v>
      </c>
      <c r="X334" s="156">
        <f t="shared" si="207"/>
        <v>1.7068864766411058</v>
      </c>
      <c r="Y334" s="154"/>
      <c r="Z334" s="147">
        <f>IF($E334="","",VLOOKUP($D334,'Mortality Margins &amp; Grading'!$AB$5:$AF$125,3,0)*IF(Summary!$D$25="Included Margin",IF(AND($B334&gt;Input!$C$9,Summary!$D$31&lt;&gt;"Included Margin"),0,1),0))</f>
        <v>0.03</v>
      </c>
      <c r="AA334" s="147">
        <f>IF($E334="","",VLOOKUP($D334,'Mortality Margins &amp; Grading'!$AB$5:$AF$125,5,0)*IF(Summary!$D$25="Included Margin",IF(AND($B334&gt;Input!$C$9,Summary!$D$31&lt;&gt;"Included Margin"),0,1),0))</f>
        <v>0.156</v>
      </c>
      <c r="AB334" s="147">
        <f>IF($E334="","",IF(AND($B334&gt;Input!$C$9,Summary!$D$31&lt;&gt;"Included Margin"),1,IF(Summary!$D$25="Included Margin",VLOOKUP($B334,'Mortality Margins &amp; Grading'!$AI$5:$AR$125,MATCH('Mortality Margins &amp; Grading'!$AQ$4,'Mortality Margins &amp; Grading'!$AI$4:$AR$4,0),0),1)))</f>
        <v>1</v>
      </c>
      <c r="AC334" s="154"/>
      <c r="AD334" s="158">
        <f>IF(E334="","",Input!$C$48*IF(Summary!$D$30="Included Margin",IF(AND($B334&gt;Input!$C$9,Summary!$D$31&lt;&gt;"Included Margin"),0,1),0))</f>
        <v>-4.4999999999999997E-3</v>
      </c>
      <c r="AE334" s="159">
        <f>IF(E334="","",IF(Summary!$D$26="Included Margin",IF(AND($B334&gt;Input!$C$9,Summary!$D$31&lt;&gt;"Included Margin"),1,1/$R334),1))</f>
        <v>1.1449244235971112</v>
      </c>
      <c r="AF334" s="160">
        <f>IF(E334="","",IF(AND($B334&gt;=Input!$C$9,$C334=12,Summary!$D$31="Included Margin",$U334&gt;0),1/U334-1,IF($B334&gt;=Input!$C$9,0,Input!$C$45*IF(Summary!$D$27="Included Margin",1,0))))</f>
        <v>0</v>
      </c>
      <c r="AG334" s="160">
        <f>IF(E334="","",Input!$C$46*IF(Summary!$D$28="Included Margin",IF(AND($B334&gt;Input!$C$9,Summary!$D$31&lt;&gt;"Included Margin"),0,1),0))</f>
        <v>0.02</v>
      </c>
      <c r="AH334" s="158">
        <f>IF(E334="","",Input!$C$47*IF(Summary!$D$29="Included Margin",IF(AND($B334&gt;Input!$C$9,Summary!$D$31&lt;&gt;"Included Margin"),0,1),0))</f>
        <v>2.5000000000000001E-3</v>
      </c>
      <c r="AI334" s="154"/>
      <c r="AJ334" s="158">
        <f t="shared" si="230"/>
        <v>3.7840000000000006E-2</v>
      </c>
      <c r="AK334" s="155">
        <f t="shared" si="231"/>
        <v>3.0999307353614114E-3</v>
      </c>
      <c r="AL334" s="147">
        <f t="shared" si="232"/>
        <v>4.7259695999999997E-2</v>
      </c>
      <c r="AM334" s="147">
        <f t="shared" si="210"/>
        <v>4.026282380599322E-3</v>
      </c>
      <c r="AN334" s="160">
        <f t="shared" si="233"/>
        <v>0</v>
      </c>
      <c r="AO334" s="161">
        <f t="shared" si="234"/>
        <v>0</v>
      </c>
      <c r="AP334" s="156">
        <f t="shared" si="211"/>
        <v>1.823515882705909</v>
      </c>
      <c r="AQ334" s="152"/>
      <c r="AR334" s="162">
        <f t="shared" si="212"/>
        <v>2754.7724076586819</v>
      </c>
      <c r="AS334" s="150">
        <f t="shared" si="235"/>
        <v>0</v>
      </c>
      <c r="AT334" s="163">
        <f t="shared" si="213"/>
        <v>0</v>
      </c>
      <c r="AU334" s="163">
        <f t="shared" si="214"/>
        <v>402.62823805993219</v>
      </c>
      <c r="AV334" s="163">
        <f t="shared" si="236"/>
        <v>7.9155438303835055</v>
      </c>
      <c r="AW334" s="163">
        <f t="shared" si="215"/>
        <v>9.5406842185898171</v>
      </c>
      <c r="AX334" s="163">
        <f t="shared" si="216"/>
        <v>0</v>
      </c>
      <c r="AY334" s="165">
        <f t="shared" si="237"/>
        <v>2369.6003976477227</v>
      </c>
      <c r="AZ334" s="164">
        <f>IF($E334="","",IF(OR(AND($D334=Input!$C$6,$C334=12),$AN334=1),0,-AS335+AT335+AU335-AV335-AW335-AX335+AZ335))</f>
        <v>2369.6013634219225</v>
      </c>
      <c r="BA334" s="154">
        <f t="shared" si="217"/>
        <v>9.6577419981258572E-4</v>
      </c>
      <c r="BC334" s="147">
        <f t="shared" si="238"/>
        <v>3.5451095526311933E-2</v>
      </c>
      <c r="BD334" s="164">
        <f>IF(AND($C333=12,$D333=Input!$C$6),0,IF($E334="","",AT334+(AU334+BD335)/(1+$AK334)*MIN((1-AM334-AN334),1)))</f>
        <v>2336.0971455830486</v>
      </c>
      <c r="BE334" s="164">
        <f t="shared" si="218"/>
        <v>82.817203066809284</v>
      </c>
      <c r="BF334" s="164">
        <f t="shared" si="239"/>
        <v>2369.6013634219225</v>
      </c>
      <c r="BG334" s="164">
        <f t="shared" si="219"/>
        <v>84.00496429394957</v>
      </c>
      <c r="BH334" s="152"/>
      <c r="BI334" s="162">
        <f t="shared" si="220"/>
        <v>551.72948670013784</v>
      </c>
      <c r="BJ334" s="150">
        <f t="shared" si="221"/>
        <v>0</v>
      </c>
      <c r="BK334" s="163">
        <f t="shared" si="243"/>
        <v>0</v>
      </c>
      <c r="BL334" s="163">
        <f t="shared" si="222"/>
        <v>340.25684676163291</v>
      </c>
      <c r="BM334" s="163">
        <f t="shared" si="244"/>
        <v>1.3209730965651565</v>
      </c>
      <c r="BN334" s="163">
        <f t="shared" si="223"/>
        <v>0.72652033536177052</v>
      </c>
      <c r="BO334" s="163">
        <f t="shared" si="224"/>
        <v>0</v>
      </c>
      <c r="BP334" s="164">
        <f t="shared" si="245"/>
        <v>213.52013337043186</v>
      </c>
      <c r="BQ334" s="164">
        <f>IF($E334="","",IF(AND($D334=Input!$C$6,$C334=12),0,-BJ335+BK335+BL335-BM335-BN335-BO335+BQ335))</f>
        <v>213.52115094122843</v>
      </c>
      <c r="BR334" s="161">
        <f t="shared" si="225"/>
        <v>0</v>
      </c>
      <c r="BT334" s="147">
        <f t="shared" si="226"/>
        <v>3.5451095526311933E-2</v>
      </c>
      <c r="BU334" s="164">
        <f>IF(AND($C333=12,$D333=Input!$C$6),0,IF($E334="","",BK334+(BL334+BU335)/(1+$AK334)*MIN((1-T334-U334),1)))</f>
        <v>33604.350197739215</v>
      </c>
      <c r="BV334" s="164">
        <f t="shared" si="227"/>
        <v>1191.3110289596923</v>
      </c>
      <c r="BW334" s="164">
        <f t="shared" si="228"/>
        <v>213.52115094122843</v>
      </c>
      <c r="BX334" s="164">
        <f t="shared" si="229"/>
        <v>7.569558718905558</v>
      </c>
    </row>
    <row r="335" spans="1:76" s="150" customFormat="1" x14ac:dyDescent="0.25">
      <c r="A335" s="150">
        <f t="shared" si="240"/>
        <v>331</v>
      </c>
      <c r="B335" s="150">
        <f t="shared" si="241"/>
        <v>28</v>
      </c>
      <c r="C335" s="150">
        <f t="shared" si="242"/>
        <v>7</v>
      </c>
      <c r="D335" s="150">
        <f>IF(E335="","",Input!$C$4+B335-1)</f>
        <v>72</v>
      </c>
      <c r="E335" s="150">
        <f>IF(OR(AND(C334=12,D334=Input!$C$6),E334=""),"",1)</f>
        <v>1</v>
      </c>
      <c r="F335" s="150">
        <f>IF(E335="","",Input!$C$8+B335-1)</f>
        <v>2045</v>
      </c>
      <c r="G335" s="151">
        <f>IF(E335="","",MAX(0,Input!$C$9-B335))</f>
        <v>0</v>
      </c>
      <c r="H335" s="152">
        <f>IF(E335="","",Input!$C$3)</f>
        <v>100000</v>
      </c>
      <c r="I335" s="153">
        <f>IF(E335="","",HLOOKUP($B335,Input!$C$13:$BT$14,2))</f>
        <v>40.914999999999999</v>
      </c>
      <c r="J335" s="154"/>
      <c r="K335" s="155">
        <f>IF($E335="","",INDEX(Input!$C$16:$CP$16,1,$B335))</f>
        <v>2.734E-2</v>
      </c>
      <c r="L335" s="155">
        <f>IF($E335="","",Input!$C$37)</f>
        <v>1.4999999999999999E-2</v>
      </c>
      <c r="M335" s="155">
        <f t="shared" si="205"/>
        <v>4.2340000000000003E-2</v>
      </c>
      <c r="N335" s="155">
        <f t="shared" si="206"/>
        <v>3.4616598944321453E-3</v>
      </c>
      <c r="O335" s="147">
        <f>IF($E335="","",MIN(VLOOKUP(IF($B335&lt;=Input!$C$7,$B335,26),'Mortality Tables'!$A$41:$CW$67,IF($B335&lt;=Input!$C$7+1,Input!$C$4+2,$D335-Input!$C$7+2),0)*IF(B335&gt;20,Input!$C$22,1)/1000,1))</f>
        <v>4.5883199999999999E-2</v>
      </c>
      <c r="P335" s="147">
        <f>IF($E335="","",MIN(VLOOKUP(IF($B335&lt;=Input!$C$7,$B335,26),'Mortality Tables'!$A$12:$CW$37,IF($B335&lt;=Input!$C$7+1,Input!$C$4+2,$D335-Input!$C$7+2),0)*IF(B335&gt;20,Input!$C$22,1)/1000,1))</f>
        <v>5.7354000000000002E-2</v>
      </c>
      <c r="Q335" s="155">
        <f>IF($E335="","",Input!$C$21)</f>
        <v>5.0000000000000001E-3</v>
      </c>
      <c r="R335" s="159">
        <f>IF($E335="","",(1-Q335)^($F335-Input!$C$20))</f>
        <v>0.87342009602538717</v>
      </c>
      <c r="S335" s="147">
        <f t="shared" si="208"/>
        <v>4.0075308949952045E-2</v>
      </c>
      <c r="T335" s="147">
        <f t="shared" si="209"/>
        <v>3.4025684676163293E-3</v>
      </c>
      <c r="U335" s="160">
        <f>IF($E335="","",IF($C335=12,INDEX(Input!$C$15:$CP$15,1,$B335),0))</f>
        <v>0</v>
      </c>
      <c r="V335" s="150">
        <f>IF(E335="","",IF(C335=1,IF($B335=1,Input!$C$33,Input!$C$34),0))</f>
        <v>0</v>
      </c>
      <c r="W335" s="156">
        <f>IF($E335="","",Input!$C$35)</f>
        <v>0.02</v>
      </c>
      <c r="X335" s="156">
        <f t="shared" si="207"/>
        <v>1.7068864766411058</v>
      </c>
      <c r="Y335" s="154"/>
      <c r="Z335" s="147">
        <f>IF($E335="","",VLOOKUP($D335,'Mortality Margins &amp; Grading'!$AB$5:$AF$125,3,0)*IF(Summary!$D$25="Included Margin",IF(AND($B335&gt;Input!$C$9,Summary!$D$31&lt;&gt;"Included Margin"),0,1),0))</f>
        <v>0.03</v>
      </c>
      <c r="AA335" s="147">
        <f>IF($E335="","",VLOOKUP($D335,'Mortality Margins &amp; Grading'!$AB$5:$AF$125,5,0)*IF(Summary!$D$25="Included Margin",IF(AND($B335&gt;Input!$C$9,Summary!$D$31&lt;&gt;"Included Margin"),0,1),0))</f>
        <v>0.156</v>
      </c>
      <c r="AB335" s="147">
        <f>IF($E335="","",IF(AND($B335&gt;Input!$C$9,Summary!$D$31&lt;&gt;"Included Margin"),1,IF(Summary!$D$25="Included Margin",VLOOKUP($B335,'Mortality Margins &amp; Grading'!$AI$5:$AR$125,MATCH('Mortality Margins &amp; Grading'!$AQ$4,'Mortality Margins &amp; Grading'!$AI$4:$AR$4,0),0),1)))</f>
        <v>1</v>
      </c>
      <c r="AC335" s="154"/>
      <c r="AD335" s="158">
        <f>IF(E335="","",Input!$C$48*IF(Summary!$D$30="Included Margin",IF(AND($B335&gt;Input!$C$9,Summary!$D$31&lt;&gt;"Included Margin"),0,1),0))</f>
        <v>-4.4999999999999997E-3</v>
      </c>
      <c r="AE335" s="159">
        <f>IF(E335="","",IF(Summary!$D$26="Included Margin",IF(AND($B335&gt;Input!$C$9,Summary!$D$31&lt;&gt;"Included Margin"),1,1/$R335),1))</f>
        <v>1.1449244235971112</v>
      </c>
      <c r="AF335" s="160">
        <f>IF(E335="","",IF(AND($B335&gt;=Input!$C$9,$C335=12,Summary!$D$31="Included Margin",$U335&gt;0),1/U335-1,IF($B335&gt;=Input!$C$9,0,Input!$C$45*IF(Summary!$D$27="Included Margin",1,0))))</f>
        <v>0</v>
      </c>
      <c r="AG335" s="160">
        <f>IF(E335="","",Input!$C$46*IF(Summary!$D$28="Included Margin",IF(AND($B335&gt;Input!$C$9,Summary!$D$31&lt;&gt;"Included Margin"),0,1),0))</f>
        <v>0.02</v>
      </c>
      <c r="AH335" s="158">
        <f>IF(E335="","",Input!$C$47*IF(Summary!$D$29="Included Margin",IF(AND($B335&gt;Input!$C$9,Summary!$D$31&lt;&gt;"Included Margin"),0,1),0))</f>
        <v>2.5000000000000001E-3</v>
      </c>
      <c r="AI335" s="154"/>
      <c r="AJ335" s="158">
        <f t="shared" si="230"/>
        <v>3.7840000000000006E-2</v>
      </c>
      <c r="AK335" s="155">
        <f t="shared" si="231"/>
        <v>3.0999307353614114E-3</v>
      </c>
      <c r="AL335" s="147">
        <f t="shared" si="232"/>
        <v>4.7259695999999997E-2</v>
      </c>
      <c r="AM335" s="147">
        <f t="shared" si="210"/>
        <v>4.026282380599322E-3</v>
      </c>
      <c r="AN335" s="160">
        <f t="shared" si="233"/>
        <v>0</v>
      </c>
      <c r="AO335" s="161">
        <f t="shared" si="234"/>
        <v>0</v>
      </c>
      <c r="AP335" s="156">
        <f t="shared" si="211"/>
        <v>1.823515882705909</v>
      </c>
      <c r="AQ335" s="152"/>
      <c r="AR335" s="162">
        <f t="shared" si="212"/>
        <v>2369.6003976477232</v>
      </c>
      <c r="AS335" s="150">
        <f t="shared" si="235"/>
        <v>0</v>
      </c>
      <c r="AT335" s="163">
        <f t="shared" si="213"/>
        <v>0</v>
      </c>
      <c r="AU335" s="163">
        <f t="shared" si="214"/>
        <v>402.62823805993219</v>
      </c>
      <c r="AV335" s="163">
        <f t="shared" si="236"/>
        <v>6.7215372781496017</v>
      </c>
      <c r="AW335" s="163">
        <f t="shared" si="215"/>
        <v>7.9787768535350398</v>
      </c>
      <c r="AX335" s="163">
        <f t="shared" si="216"/>
        <v>0</v>
      </c>
      <c r="AY335" s="164">
        <f t="shared" si="237"/>
        <v>1981.6724737194754</v>
      </c>
      <c r="AZ335" s="164">
        <f>IF($E335="","",IF(OR(AND($D335=Input!$C$6,$C335=12),$AN335=1),0,-AS336+AT336+AU336-AV336-AW336-AX336+AZ336))</f>
        <v>1981.673439493675</v>
      </c>
      <c r="BA335" s="154">
        <f t="shared" si="217"/>
        <v>9.6577419958521205E-4</v>
      </c>
      <c r="BC335" s="147">
        <f t="shared" si="238"/>
        <v>3.5330470746531652E-2</v>
      </c>
      <c r="BD335" s="164">
        <f>IF(AND($C334=12,$D334=Input!$C$6),0,IF($E335="","",AT335+(AU335+BD336)/(1+$AK335)*MIN((1-AM335-AN335),1)))</f>
        <v>1950.1837322464073</v>
      </c>
      <c r="BE335" s="164">
        <f t="shared" si="218"/>
        <v>68.900909302493602</v>
      </c>
      <c r="BF335" s="164">
        <f t="shared" si="239"/>
        <v>1981.673439493675</v>
      </c>
      <c r="BG335" s="164">
        <f t="shared" si="219"/>
        <v>70.013455483210052</v>
      </c>
      <c r="BH335" s="152"/>
      <c r="BI335" s="162">
        <f t="shared" si="220"/>
        <v>213.52013337043195</v>
      </c>
      <c r="BJ335" s="150">
        <f t="shared" si="221"/>
        <v>0</v>
      </c>
      <c r="BK335" s="163">
        <f t="shared" si="243"/>
        <v>0</v>
      </c>
      <c r="BL335" s="163">
        <f t="shared" si="222"/>
        <v>340.25684676163291</v>
      </c>
      <c r="BM335" s="163">
        <f t="shared" si="244"/>
        <v>0.15020734222188262</v>
      </c>
      <c r="BN335" s="163">
        <f t="shared" si="223"/>
        <v>-0.43218633514978949</v>
      </c>
      <c r="BO335" s="163">
        <f t="shared" si="224"/>
        <v>0</v>
      </c>
      <c r="BP335" s="164">
        <f t="shared" si="245"/>
        <v>-127.01869238412888</v>
      </c>
      <c r="BQ335" s="164">
        <f>IF($E335="","",IF(AND($D335=Input!$C$6,$C335=12),0,-BJ336+BK336+BL336-BM336-BN336-BO336+BQ336))</f>
        <v>-127.01767481333235</v>
      </c>
      <c r="BR335" s="161">
        <f t="shared" si="225"/>
        <v>0</v>
      </c>
      <c r="BT335" s="147">
        <f t="shared" si="226"/>
        <v>3.5330470746531652E-2</v>
      </c>
      <c r="BU335" s="164">
        <f>IF(AND($C334=12,$D334=Input!$C$6),0,IF($E335="","",BK335+(BL335+BU336)/(1+$AK335)*MIN((1-T335-U335),1)))</f>
        <v>33483.351652738806</v>
      </c>
      <c r="BV335" s="164">
        <f t="shared" si="227"/>
        <v>1182.9825760629205</v>
      </c>
      <c r="BW335" s="164">
        <f t="shared" si="228"/>
        <v>-127.01767481333235</v>
      </c>
      <c r="BX335" s="164">
        <f t="shared" si="229"/>
        <v>-4.4875942442849084</v>
      </c>
    </row>
    <row r="336" spans="1:76" s="150" customFormat="1" x14ac:dyDescent="0.25">
      <c r="A336" s="150">
        <f t="shared" si="240"/>
        <v>332</v>
      </c>
      <c r="B336" s="150">
        <f t="shared" si="241"/>
        <v>28</v>
      </c>
      <c r="C336" s="150">
        <f t="shared" si="242"/>
        <v>8</v>
      </c>
      <c r="D336" s="150">
        <f>IF(E336="","",Input!$C$4+B336-1)</f>
        <v>72</v>
      </c>
      <c r="E336" s="150">
        <f>IF(OR(AND(C335=12,D335=Input!$C$6),E335=""),"",1)</f>
        <v>1</v>
      </c>
      <c r="F336" s="150">
        <f>IF(E336="","",Input!$C$8+B336-1)</f>
        <v>2045</v>
      </c>
      <c r="G336" s="151">
        <f>IF(E336="","",MAX(0,Input!$C$9-B336))</f>
        <v>0</v>
      </c>
      <c r="H336" s="152">
        <f>IF(E336="","",Input!$C$3)</f>
        <v>100000</v>
      </c>
      <c r="I336" s="153">
        <f>IF(E336="","",HLOOKUP($B336,Input!$C$13:$BT$14,2))</f>
        <v>40.914999999999999</v>
      </c>
      <c r="J336" s="154"/>
      <c r="K336" s="155">
        <f>IF($E336="","",INDEX(Input!$C$16:$CP$16,1,$B336))</f>
        <v>2.734E-2</v>
      </c>
      <c r="L336" s="155">
        <f>IF($E336="","",Input!$C$37)</f>
        <v>1.4999999999999999E-2</v>
      </c>
      <c r="M336" s="155">
        <f t="shared" si="205"/>
        <v>4.2340000000000003E-2</v>
      </c>
      <c r="N336" s="155">
        <f t="shared" si="206"/>
        <v>3.4616598944321453E-3</v>
      </c>
      <c r="O336" s="147">
        <f>IF($E336="","",MIN(VLOOKUP(IF($B336&lt;=Input!$C$7,$B336,26),'Mortality Tables'!$A$41:$CW$67,IF($B336&lt;=Input!$C$7+1,Input!$C$4+2,$D336-Input!$C$7+2),0)*IF(B336&gt;20,Input!$C$22,1)/1000,1))</f>
        <v>4.5883199999999999E-2</v>
      </c>
      <c r="P336" s="147">
        <f>IF($E336="","",MIN(VLOOKUP(IF($B336&lt;=Input!$C$7,$B336,26),'Mortality Tables'!$A$12:$CW$37,IF($B336&lt;=Input!$C$7+1,Input!$C$4+2,$D336-Input!$C$7+2),0)*IF(B336&gt;20,Input!$C$22,1)/1000,1))</f>
        <v>5.7354000000000002E-2</v>
      </c>
      <c r="Q336" s="155">
        <f>IF($E336="","",Input!$C$21)</f>
        <v>5.0000000000000001E-3</v>
      </c>
      <c r="R336" s="159">
        <f>IF($E336="","",(1-Q336)^($F336-Input!$C$20))</f>
        <v>0.87342009602538717</v>
      </c>
      <c r="S336" s="147">
        <f t="shared" si="208"/>
        <v>4.0075308949952045E-2</v>
      </c>
      <c r="T336" s="147">
        <f t="shared" si="209"/>
        <v>3.4025684676163293E-3</v>
      </c>
      <c r="U336" s="160">
        <f>IF($E336="","",IF($C336=12,INDEX(Input!$C$15:$CP$15,1,$B336),0))</f>
        <v>0</v>
      </c>
      <c r="V336" s="150">
        <f>IF(E336="","",IF(C336=1,IF($B336=1,Input!$C$33,Input!$C$34),0))</f>
        <v>0</v>
      </c>
      <c r="W336" s="156">
        <f>IF($E336="","",Input!$C$35)</f>
        <v>0.02</v>
      </c>
      <c r="X336" s="156">
        <f t="shared" si="207"/>
        <v>1.7068864766411058</v>
      </c>
      <c r="Y336" s="154"/>
      <c r="Z336" s="147">
        <f>IF($E336="","",VLOOKUP($D336,'Mortality Margins &amp; Grading'!$AB$5:$AF$125,3,0)*IF(Summary!$D$25="Included Margin",IF(AND($B336&gt;Input!$C$9,Summary!$D$31&lt;&gt;"Included Margin"),0,1),0))</f>
        <v>0.03</v>
      </c>
      <c r="AA336" s="147">
        <f>IF($E336="","",VLOOKUP($D336,'Mortality Margins &amp; Grading'!$AB$5:$AF$125,5,0)*IF(Summary!$D$25="Included Margin",IF(AND($B336&gt;Input!$C$9,Summary!$D$31&lt;&gt;"Included Margin"),0,1),0))</f>
        <v>0.156</v>
      </c>
      <c r="AB336" s="147">
        <f>IF($E336="","",IF(AND($B336&gt;Input!$C$9,Summary!$D$31&lt;&gt;"Included Margin"),1,IF(Summary!$D$25="Included Margin",VLOOKUP($B336,'Mortality Margins &amp; Grading'!$AI$5:$AR$125,MATCH('Mortality Margins &amp; Grading'!$AQ$4,'Mortality Margins &amp; Grading'!$AI$4:$AR$4,0),0),1)))</f>
        <v>1</v>
      </c>
      <c r="AC336" s="154"/>
      <c r="AD336" s="158">
        <f>IF(E336="","",Input!$C$48*IF(Summary!$D$30="Included Margin",IF(AND($B336&gt;Input!$C$9,Summary!$D$31&lt;&gt;"Included Margin"),0,1),0))</f>
        <v>-4.4999999999999997E-3</v>
      </c>
      <c r="AE336" s="159">
        <f>IF(E336="","",IF(Summary!$D$26="Included Margin",IF(AND($B336&gt;Input!$C$9,Summary!$D$31&lt;&gt;"Included Margin"),1,1/$R336),1))</f>
        <v>1.1449244235971112</v>
      </c>
      <c r="AF336" s="160">
        <f>IF(E336="","",IF(AND($B336&gt;=Input!$C$9,$C336=12,Summary!$D$31="Included Margin",$U336&gt;0),1/U336-1,IF($B336&gt;=Input!$C$9,0,Input!$C$45*IF(Summary!$D$27="Included Margin",1,0))))</f>
        <v>0</v>
      </c>
      <c r="AG336" s="160">
        <f>IF(E336="","",Input!$C$46*IF(Summary!$D$28="Included Margin",IF(AND($B336&gt;Input!$C$9,Summary!$D$31&lt;&gt;"Included Margin"),0,1),0))</f>
        <v>0.02</v>
      </c>
      <c r="AH336" s="158">
        <f>IF(E336="","",Input!$C$47*IF(Summary!$D$29="Included Margin",IF(AND($B336&gt;Input!$C$9,Summary!$D$31&lt;&gt;"Included Margin"),0,1),0))</f>
        <v>2.5000000000000001E-3</v>
      </c>
      <c r="AI336" s="154"/>
      <c r="AJ336" s="158">
        <f t="shared" si="230"/>
        <v>3.7840000000000006E-2</v>
      </c>
      <c r="AK336" s="155">
        <f t="shared" si="231"/>
        <v>3.0999307353614114E-3</v>
      </c>
      <c r="AL336" s="147">
        <f t="shared" si="232"/>
        <v>4.7259695999999997E-2</v>
      </c>
      <c r="AM336" s="147">
        <f t="shared" si="210"/>
        <v>4.026282380599322E-3</v>
      </c>
      <c r="AN336" s="160">
        <f t="shared" si="233"/>
        <v>0</v>
      </c>
      <c r="AO336" s="161">
        <f t="shared" si="234"/>
        <v>0</v>
      </c>
      <c r="AP336" s="156">
        <f t="shared" si="211"/>
        <v>1.823515882705909</v>
      </c>
      <c r="AQ336" s="152"/>
      <c r="AR336" s="162">
        <f t="shared" si="212"/>
        <v>1981.6724737194752</v>
      </c>
      <c r="AS336" s="150">
        <f t="shared" si="235"/>
        <v>0</v>
      </c>
      <c r="AT336" s="163">
        <f t="shared" si="213"/>
        <v>0</v>
      </c>
      <c r="AU336" s="163">
        <f t="shared" si="214"/>
        <v>402.62823805993219</v>
      </c>
      <c r="AV336" s="163">
        <f t="shared" si="236"/>
        <v>5.5189875836594826</v>
      </c>
      <c r="AW336" s="163">
        <f t="shared" si="215"/>
        <v>6.4056940080897027</v>
      </c>
      <c r="AX336" s="163">
        <f t="shared" si="216"/>
        <v>0</v>
      </c>
      <c r="AY336" s="165">
        <f t="shared" si="237"/>
        <v>1590.9689172512924</v>
      </c>
      <c r="AZ336" s="164">
        <f>IF($E336="","",IF(OR(AND($D336=Input!$C$6,$C336=12),$AN336=1),0,-AS337+AT337+AU337-AV337-AW337-AX337+AZ337))</f>
        <v>1590.969883025492</v>
      </c>
      <c r="BA336" s="154">
        <f t="shared" si="217"/>
        <v>9.6577419958521205E-4</v>
      </c>
      <c r="BC336" s="147">
        <f t="shared" si="238"/>
        <v>3.521025640082346E-2</v>
      </c>
      <c r="BD336" s="164">
        <f>IF(AND($C335=12,$D335=Input!$C$6),0,IF($E336="","",AT336+(AU336+BD337)/(1+$AK336)*MIN((1-AM336-AN336),1)))</f>
        <v>1561.5091002359256</v>
      </c>
      <c r="BE336" s="164">
        <f t="shared" si="218"/>
        <v>54.981135791526086</v>
      </c>
      <c r="BF336" s="164">
        <f t="shared" si="239"/>
        <v>1590.969883025492</v>
      </c>
      <c r="BG336" s="164">
        <f t="shared" si="219"/>
        <v>56.018457507315681</v>
      </c>
      <c r="BH336" s="152"/>
      <c r="BI336" s="162">
        <f t="shared" si="220"/>
        <v>-127.01869238412888</v>
      </c>
      <c r="BJ336" s="150">
        <f t="shared" si="221"/>
        <v>0</v>
      </c>
      <c r="BK336" s="163">
        <f t="shared" si="243"/>
        <v>0</v>
      </c>
      <c r="BL336" s="163">
        <f t="shared" si="222"/>
        <v>340.25684676163291</v>
      </c>
      <c r="BM336" s="163">
        <f t="shared" si="244"/>
        <v>-1.0286222533896971</v>
      </c>
      <c r="BN336" s="163">
        <f t="shared" si="223"/>
        <v>-1.5988737880107389</v>
      </c>
      <c r="BO336" s="163">
        <f t="shared" si="224"/>
        <v>0</v>
      </c>
      <c r="BP336" s="164">
        <f t="shared" si="245"/>
        <v>-469.90303518716223</v>
      </c>
      <c r="BQ336" s="164">
        <f>IF($E336="","",IF(AND($D336=Input!$C$6,$C336=12),0,-BJ337+BK337+BL337-BM337-BN337-BO337+BQ337))</f>
        <v>-469.9020176163657</v>
      </c>
      <c r="BR336" s="161">
        <f t="shared" si="225"/>
        <v>0</v>
      </c>
      <c r="BT336" s="147">
        <f t="shared" si="226"/>
        <v>3.521025640082346E-2</v>
      </c>
      <c r="BU336" s="164">
        <f>IF(AND($C335=12,$D335=Input!$C$6),0,IF($E336="","",BK336+(BL336+BU337)/(1+$AK336)*MIN((1-T336-U336),1)))</f>
        <v>33361.563628538934</v>
      </c>
      <c r="BV336" s="164">
        <f t="shared" si="227"/>
        <v>1174.6692092932421</v>
      </c>
      <c r="BW336" s="164">
        <f t="shared" si="228"/>
        <v>-469.9020176163657</v>
      </c>
      <c r="BX336" s="164">
        <f t="shared" si="229"/>
        <v>-16.545370523536498</v>
      </c>
    </row>
    <row r="337" spans="1:76" s="150" customFormat="1" x14ac:dyDescent="0.25">
      <c r="A337" s="150">
        <f t="shared" si="240"/>
        <v>333</v>
      </c>
      <c r="B337" s="150">
        <f t="shared" si="241"/>
        <v>28</v>
      </c>
      <c r="C337" s="150">
        <f t="shared" si="242"/>
        <v>9</v>
      </c>
      <c r="D337" s="150">
        <f>IF(E337="","",Input!$C$4+B337-1)</f>
        <v>72</v>
      </c>
      <c r="E337" s="150">
        <f>IF(OR(AND(C336=12,D336=Input!$C$6),E336=""),"",1)</f>
        <v>1</v>
      </c>
      <c r="F337" s="150">
        <f>IF(E337="","",Input!$C$8+B337-1)</f>
        <v>2045</v>
      </c>
      <c r="G337" s="151">
        <f>IF(E337="","",MAX(0,Input!$C$9-B337))</f>
        <v>0</v>
      </c>
      <c r="H337" s="152">
        <f>IF(E337="","",Input!$C$3)</f>
        <v>100000</v>
      </c>
      <c r="I337" s="153">
        <f>IF(E337="","",HLOOKUP($B337,Input!$C$13:$BT$14,2))</f>
        <v>40.914999999999999</v>
      </c>
      <c r="J337" s="154"/>
      <c r="K337" s="155">
        <f>IF($E337="","",INDEX(Input!$C$16:$CP$16,1,$B337))</f>
        <v>2.734E-2</v>
      </c>
      <c r="L337" s="155">
        <f>IF($E337="","",Input!$C$37)</f>
        <v>1.4999999999999999E-2</v>
      </c>
      <c r="M337" s="155">
        <f t="shared" si="205"/>
        <v>4.2340000000000003E-2</v>
      </c>
      <c r="N337" s="155">
        <f t="shared" si="206"/>
        <v>3.4616598944321453E-3</v>
      </c>
      <c r="O337" s="147">
        <f>IF($E337="","",MIN(VLOOKUP(IF($B337&lt;=Input!$C$7,$B337,26),'Mortality Tables'!$A$41:$CW$67,IF($B337&lt;=Input!$C$7+1,Input!$C$4+2,$D337-Input!$C$7+2),0)*IF(B337&gt;20,Input!$C$22,1)/1000,1))</f>
        <v>4.5883199999999999E-2</v>
      </c>
      <c r="P337" s="147">
        <f>IF($E337="","",MIN(VLOOKUP(IF($B337&lt;=Input!$C$7,$B337,26),'Mortality Tables'!$A$12:$CW$37,IF($B337&lt;=Input!$C$7+1,Input!$C$4+2,$D337-Input!$C$7+2),0)*IF(B337&gt;20,Input!$C$22,1)/1000,1))</f>
        <v>5.7354000000000002E-2</v>
      </c>
      <c r="Q337" s="155">
        <f>IF($E337="","",Input!$C$21)</f>
        <v>5.0000000000000001E-3</v>
      </c>
      <c r="R337" s="159">
        <f>IF($E337="","",(1-Q337)^($F337-Input!$C$20))</f>
        <v>0.87342009602538717</v>
      </c>
      <c r="S337" s="147">
        <f t="shared" si="208"/>
        <v>4.0075308949952045E-2</v>
      </c>
      <c r="T337" s="147">
        <f t="shared" si="209"/>
        <v>3.4025684676163293E-3</v>
      </c>
      <c r="U337" s="160">
        <f>IF($E337="","",IF($C337=12,INDEX(Input!$C$15:$CP$15,1,$B337),0))</f>
        <v>0</v>
      </c>
      <c r="V337" s="150">
        <f>IF(E337="","",IF(C337=1,IF($B337=1,Input!$C$33,Input!$C$34),0))</f>
        <v>0</v>
      </c>
      <c r="W337" s="156">
        <f>IF($E337="","",Input!$C$35)</f>
        <v>0.02</v>
      </c>
      <c r="X337" s="156">
        <f t="shared" si="207"/>
        <v>1.7068864766411058</v>
      </c>
      <c r="Y337" s="154"/>
      <c r="Z337" s="147">
        <f>IF($E337="","",VLOOKUP($D337,'Mortality Margins &amp; Grading'!$AB$5:$AF$125,3,0)*IF(Summary!$D$25="Included Margin",IF(AND($B337&gt;Input!$C$9,Summary!$D$31&lt;&gt;"Included Margin"),0,1),0))</f>
        <v>0.03</v>
      </c>
      <c r="AA337" s="147">
        <f>IF($E337="","",VLOOKUP($D337,'Mortality Margins &amp; Grading'!$AB$5:$AF$125,5,0)*IF(Summary!$D$25="Included Margin",IF(AND($B337&gt;Input!$C$9,Summary!$D$31&lt;&gt;"Included Margin"),0,1),0))</f>
        <v>0.156</v>
      </c>
      <c r="AB337" s="147">
        <f>IF($E337="","",IF(AND($B337&gt;Input!$C$9,Summary!$D$31&lt;&gt;"Included Margin"),1,IF(Summary!$D$25="Included Margin",VLOOKUP($B337,'Mortality Margins &amp; Grading'!$AI$5:$AR$125,MATCH('Mortality Margins &amp; Grading'!$AQ$4,'Mortality Margins &amp; Grading'!$AI$4:$AR$4,0),0),1)))</f>
        <v>1</v>
      </c>
      <c r="AC337" s="154"/>
      <c r="AD337" s="158">
        <f>IF(E337="","",Input!$C$48*IF(Summary!$D$30="Included Margin",IF(AND($B337&gt;Input!$C$9,Summary!$D$31&lt;&gt;"Included Margin"),0,1),0))</f>
        <v>-4.4999999999999997E-3</v>
      </c>
      <c r="AE337" s="159">
        <f>IF(E337="","",IF(Summary!$D$26="Included Margin",IF(AND($B337&gt;Input!$C$9,Summary!$D$31&lt;&gt;"Included Margin"),1,1/$R337),1))</f>
        <v>1.1449244235971112</v>
      </c>
      <c r="AF337" s="160">
        <f>IF(E337="","",IF(AND($B337&gt;=Input!$C$9,$C337=12,Summary!$D$31="Included Margin",$U337&gt;0),1/U337-1,IF($B337&gt;=Input!$C$9,0,Input!$C$45*IF(Summary!$D$27="Included Margin",1,0))))</f>
        <v>0</v>
      </c>
      <c r="AG337" s="160">
        <f>IF(E337="","",Input!$C$46*IF(Summary!$D$28="Included Margin",IF(AND($B337&gt;Input!$C$9,Summary!$D$31&lt;&gt;"Included Margin"),0,1),0))</f>
        <v>0.02</v>
      </c>
      <c r="AH337" s="158">
        <f>IF(E337="","",Input!$C$47*IF(Summary!$D$29="Included Margin",IF(AND($B337&gt;Input!$C$9,Summary!$D$31&lt;&gt;"Included Margin"),0,1),0))</f>
        <v>2.5000000000000001E-3</v>
      </c>
      <c r="AI337" s="154"/>
      <c r="AJ337" s="158">
        <f t="shared" si="230"/>
        <v>3.7840000000000006E-2</v>
      </c>
      <c r="AK337" s="155">
        <f t="shared" si="231"/>
        <v>3.0999307353614114E-3</v>
      </c>
      <c r="AL337" s="147">
        <f t="shared" si="232"/>
        <v>4.7259695999999997E-2</v>
      </c>
      <c r="AM337" s="147">
        <f t="shared" si="210"/>
        <v>4.026282380599322E-3</v>
      </c>
      <c r="AN337" s="160">
        <f t="shared" si="233"/>
        <v>0</v>
      </c>
      <c r="AO337" s="161">
        <f t="shared" si="234"/>
        <v>0</v>
      </c>
      <c r="AP337" s="156">
        <f t="shared" si="211"/>
        <v>1.823515882705909</v>
      </c>
      <c r="AQ337" s="152"/>
      <c r="AR337" s="162">
        <f t="shared" si="212"/>
        <v>1590.9689172512922</v>
      </c>
      <c r="AS337" s="150">
        <f t="shared" si="235"/>
        <v>0</v>
      </c>
      <c r="AT337" s="163">
        <f t="shared" si="213"/>
        <v>0</v>
      </c>
      <c r="AU337" s="163">
        <f t="shared" si="214"/>
        <v>402.62823805993219</v>
      </c>
      <c r="AV337" s="163">
        <f t="shared" si="236"/>
        <v>4.3078336205487489</v>
      </c>
      <c r="AW337" s="163">
        <f t="shared" si="215"/>
        <v>4.8213557214541094</v>
      </c>
      <c r="AX337" s="163">
        <f t="shared" si="216"/>
        <v>0</v>
      </c>
      <c r="AY337" s="164">
        <f t="shared" si="237"/>
        <v>1197.4698685333628</v>
      </c>
      <c r="AZ337" s="164">
        <f>IF($E337="","",IF(OR(AND($D337=Input!$C$6,$C337=12),$AN337=1),0,-AS338+AT338+AU338-AV338-AW338-AX338+AZ338))</f>
        <v>1197.4708343075627</v>
      </c>
      <c r="BA337" s="154">
        <f t="shared" si="217"/>
        <v>9.6577419981258572E-4</v>
      </c>
      <c r="BC337" s="147">
        <f t="shared" si="238"/>
        <v>3.5090451092657335E-2</v>
      </c>
      <c r="BD337" s="164">
        <f>IF(AND($C336=12,$D336=Input!$C$6),0,IF($E337="","",AT337+(AU337+BD338)/(1+$AK337)*MIN((1-AM337-AN337),1)))</f>
        <v>1170.0534929733108</v>
      </c>
      <c r="BE337" s="164">
        <f t="shared" si="218"/>
        <v>41.057704870972842</v>
      </c>
      <c r="BF337" s="164">
        <f t="shared" si="239"/>
        <v>1197.4708343075627</v>
      </c>
      <c r="BG337" s="164">
        <f t="shared" si="219"/>
        <v>42.019791746153103</v>
      </c>
      <c r="BH337" s="152"/>
      <c r="BI337" s="162">
        <f t="shared" si="220"/>
        <v>-469.90303518716217</v>
      </c>
      <c r="BJ337" s="150">
        <f t="shared" si="221"/>
        <v>0</v>
      </c>
      <c r="BK337" s="163">
        <f t="shared" si="243"/>
        <v>0</v>
      </c>
      <c r="BL337" s="163">
        <f t="shared" si="222"/>
        <v>340.25684676163291</v>
      </c>
      <c r="BM337" s="163">
        <f t="shared" si="244"/>
        <v>-2.2155712312996809</v>
      </c>
      <c r="BN337" s="163">
        <f t="shared" si="223"/>
        <v>-2.7735969921692409</v>
      </c>
      <c r="BO337" s="163">
        <f t="shared" si="224"/>
        <v>0</v>
      </c>
      <c r="BP337" s="164">
        <f t="shared" si="245"/>
        <v>-815.14905017226408</v>
      </c>
      <c r="BQ337" s="164">
        <f>IF($E337="","",IF(AND($D337=Input!$C$6,$C337=12),0,-BJ338+BK338+BL338-BM338-BN338-BO338+BQ338))</f>
        <v>-815.14803260146755</v>
      </c>
      <c r="BR337" s="161">
        <f t="shared" si="225"/>
        <v>0</v>
      </c>
      <c r="BT337" s="147">
        <f t="shared" si="226"/>
        <v>3.5090451092657335E-2</v>
      </c>
      <c r="BU337" s="164">
        <f>IF(AND($C336=12,$D336=Input!$C$6),0,IF($E337="","",BK337+(BL337+BU338)/(1+$AK337)*MIN((1-T337-U337),1)))</f>
        <v>33238.980974024722</v>
      </c>
      <c r="BV337" s="164">
        <f t="shared" si="227"/>
        <v>1166.3708362387822</v>
      </c>
      <c r="BW337" s="164">
        <f t="shared" si="228"/>
        <v>-815.14803260146755</v>
      </c>
      <c r="BX337" s="164">
        <f t="shared" si="229"/>
        <v>-28.603912171277642</v>
      </c>
    </row>
    <row r="338" spans="1:76" s="150" customFormat="1" x14ac:dyDescent="0.25">
      <c r="A338" s="150">
        <f t="shared" si="240"/>
        <v>334</v>
      </c>
      <c r="B338" s="150">
        <f t="shared" si="241"/>
        <v>28</v>
      </c>
      <c r="C338" s="150">
        <f t="shared" si="242"/>
        <v>10</v>
      </c>
      <c r="D338" s="150">
        <f>IF(E338="","",Input!$C$4+B338-1)</f>
        <v>72</v>
      </c>
      <c r="E338" s="150">
        <f>IF(OR(AND(C337=12,D337=Input!$C$6),E337=""),"",1)</f>
        <v>1</v>
      </c>
      <c r="F338" s="150">
        <f>IF(E338="","",Input!$C$8+B338-1)</f>
        <v>2045</v>
      </c>
      <c r="G338" s="151">
        <f>IF(E338="","",MAX(0,Input!$C$9-B338))</f>
        <v>0</v>
      </c>
      <c r="H338" s="152">
        <f>IF(E338="","",Input!$C$3)</f>
        <v>100000</v>
      </c>
      <c r="I338" s="153">
        <f>IF(E338="","",HLOOKUP($B338,Input!$C$13:$BT$14,2))</f>
        <v>40.914999999999999</v>
      </c>
      <c r="J338" s="154"/>
      <c r="K338" s="155">
        <f>IF($E338="","",INDEX(Input!$C$16:$CP$16,1,$B338))</f>
        <v>2.734E-2</v>
      </c>
      <c r="L338" s="155">
        <f>IF($E338="","",Input!$C$37)</f>
        <v>1.4999999999999999E-2</v>
      </c>
      <c r="M338" s="155">
        <f t="shared" si="205"/>
        <v>4.2340000000000003E-2</v>
      </c>
      <c r="N338" s="155">
        <f t="shared" si="206"/>
        <v>3.4616598944321453E-3</v>
      </c>
      <c r="O338" s="147">
        <f>IF($E338="","",MIN(VLOOKUP(IF($B338&lt;=Input!$C$7,$B338,26),'Mortality Tables'!$A$41:$CW$67,IF($B338&lt;=Input!$C$7+1,Input!$C$4+2,$D338-Input!$C$7+2),0)*IF(B338&gt;20,Input!$C$22,1)/1000,1))</f>
        <v>4.5883199999999999E-2</v>
      </c>
      <c r="P338" s="147">
        <f>IF($E338="","",MIN(VLOOKUP(IF($B338&lt;=Input!$C$7,$B338,26),'Mortality Tables'!$A$12:$CW$37,IF($B338&lt;=Input!$C$7+1,Input!$C$4+2,$D338-Input!$C$7+2),0)*IF(B338&gt;20,Input!$C$22,1)/1000,1))</f>
        <v>5.7354000000000002E-2</v>
      </c>
      <c r="Q338" s="155">
        <f>IF($E338="","",Input!$C$21)</f>
        <v>5.0000000000000001E-3</v>
      </c>
      <c r="R338" s="159">
        <f>IF($E338="","",(1-Q338)^($F338-Input!$C$20))</f>
        <v>0.87342009602538717</v>
      </c>
      <c r="S338" s="147">
        <f t="shared" si="208"/>
        <v>4.0075308949952045E-2</v>
      </c>
      <c r="T338" s="147">
        <f t="shared" si="209"/>
        <v>3.4025684676163293E-3</v>
      </c>
      <c r="U338" s="160">
        <f>IF($E338="","",IF($C338=12,INDEX(Input!$C$15:$CP$15,1,$B338),0))</f>
        <v>0</v>
      </c>
      <c r="V338" s="150">
        <f>IF(E338="","",IF(C338=1,IF($B338=1,Input!$C$33,Input!$C$34),0))</f>
        <v>0</v>
      </c>
      <c r="W338" s="156">
        <f>IF($E338="","",Input!$C$35)</f>
        <v>0.02</v>
      </c>
      <c r="X338" s="156">
        <f t="shared" si="207"/>
        <v>1.7068864766411058</v>
      </c>
      <c r="Y338" s="154"/>
      <c r="Z338" s="147">
        <f>IF($E338="","",VLOOKUP($D338,'Mortality Margins &amp; Grading'!$AB$5:$AF$125,3,0)*IF(Summary!$D$25="Included Margin",IF(AND($B338&gt;Input!$C$9,Summary!$D$31&lt;&gt;"Included Margin"),0,1),0))</f>
        <v>0.03</v>
      </c>
      <c r="AA338" s="147">
        <f>IF($E338="","",VLOOKUP($D338,'Mortality Margins &amp; Grading'!$AB$5:$AF$125,5,0)*IF(Summary!$D$25="Included Margin",IF(AND($B338&gt;Input!$C$9,Summary!$D$31&lt;&gt;"Included Margin"),0,1),0))</f>
        <v>0.156</v>
      </c>
      <c r="AB338" s="147">
        <f>IF($E338="","",IF(AND($B338&gt;Input!$C$9,Summary!$D$31&lt;&gt;"Included Margin"),1,IF(Summary!$D$25="Included Margin",VLOOKUP($B338,'Mortality Margins &amp; Grading'!$AI$5:$AR$125,MATCH('Mortality Margins &amp; Grading'!$AQ$4,'Mortality Margins &amp; Grading'!$AI$4:$AR$4,0),0),1)))</f>
        <v>1</v>
      </c>
      <c r="AC338" s="154"/>
      <c r="AD338" s="158">
        <f>IF(E338="","",Input!$C$48*IF(Summary!$D$30="Included Margin",IF(AND($B338&gt;Input!$C$9,Summary!$D$31&lt;&gt;"Included Margin"),0,1),0))</f>
        <v>-4.4999999999999997E-3</v>
      </c>
      <c r="AE338" s="159">
        <f>IF(E338="","",IF(Summary!$D$26="Included Margin",IF(AND($B338&gt;Input!$C$9,Summary!$D$31&lt;&gt;"Included Margin"),1,1/$R338),1))</f>
        <v>1.1449244235971112</v>
      </c>
      <c r="AF338" s="160">
        <f>IF(E338="","",IF(AND($B338&gt;=Input!$C$9,$C338=12,Summary!$D$31="Included Margin",$U338&gt;0),1/U338-1,IF($B338&gt;=Input!$C$9,0,Input!$C$45*IF(Summary!$D$27="Included Margin",1,0))))</f>
        <v>0</v>
      </c>
      <c r="AG338" s="160">
        <f>IF(E338="","",Input!$C$46*IF(Summary!$D$28="Included Margin",IF(AND($B338&gt;Input!$C$9,Summary!$D$31&lt;&gt;"Included Margin"),0,1),0))</f>
        <v>0.02</v>
      </c>
      <c r="AH338" s="158">
        <f>IF(E338="","",Input!$C$47*IF(Summary!$D$29="Included Margin",IF(AND($B338&gt;Input!$C$9,Summary!$D$31&lt;&gt;"Included Margin"),0,1),0))</f>
        <v>2.5000000000000001E-3</v>
      </c>
      <c r="AI338" s="154"/>
      <c r="AJ338" s="158">
        <f t="shared" si="230"/>
        <v>3.7840000000000006E-2</v>
      </c>
      <c r="AK338" s="155">
        <f t="shared" si="231"/>
        <v>3.0999307353614114E-3</v>
      </c>
      <c r="AL338" s="147">
        <f t="shared" si="232"/>
        <v>4.7259695999999997E-2</v>
      </c>
      <c r="AM338" s="147">
        <f t="shared" si="210"/>
        <v>4.026282380599322E-3</v>
      </c>
      <c r="AN338" s="160">
        <f t="shared" si="233"/>
        <v>0</v>
      </c>
      <c r="AO338" s="161">
        <f t="shared" si="234"/>
        <v>0</v>
      </c>
      <c r="AP338" s="156">
        <f t="shared" si="211"/>
        <v>1.823515882705909</v>
      </c>
      <c r="AQ338" s="152"/>
      <c r="AR338" s="162">
        <f t="shared" si="212"/>
        <v>1197.4698685333628</v>
      </c>
      <c r="AS338" s="150">
        <f t="shared" si="235"/>
        <v>0</v>
      </c>
      <c r="AT338" s="163">
        <f t="shared" si="213"/>
        <v>0</v>
      </c>
      <c r="AU338" s="163">
        <f t="shared" si="214"/>
        <v>402.62823805993219</v>
      </c>
      <c r="AV338" s="163">
        <f t="shared" si="236"/>
        <v>3.0880138250925624</v>
      </c>
      <c r="AW338" s="163">
        <f t="shared" si="215"/>
        <v>3.2256814607073441</v>
      </c>
      <c r="AX338" s="163">
        <f t="shared" si="216"/>
        <v>0</v>
      </c>
      <c r="AY338" s="165">
        <f t="shared" si="237"/>
        <v>801.15532575923066</v>
      </c>
      <c r="AZ338" s="164">
        <f>IF($E338="","",IF(OR(AND($D338=Input!$C$6,$C338=12),$AN338=1),0,-AS339+AT339+AU339-AV339-AW339-AX339+AZ339))</f>
        <v>801.15629153343025</v>
      </c>
      <c r="BA338" s="154">
        <f t="shared" si="217"/>
        <v>9.6577419958521205E-4</v>
      </c>
      <c r="BC338" s="147">
        <f t="shared" si="238"/>
        <v>3.4971053430255028E-2</v>
      </c>
      <c r="BD338" s="164">
        <f>IF(AND($C337=12,$D337=Input!$C$6),0,IF($E338="","",AT338+(AU338+BD339)/(1+$AK338)*MIN((1-AM338-AN338),1)))</f>
        <v>775.79701252153313</v>
      </c>
      <c r="BE338" s="164">
        <f t="shared" si="218"/>
        <v>27.130438775922766</v>
      </c>
      <c r="BF338" s="164">
        <f t="shared" si="239"/>
        <v>801.15629153343025</v>
      </c>
      <c r="BG338" s="164">
        <f t="shared" si="219"/>
        <v>28.017279477200564</v>
      </c>
      <c r="BH338" s="152"/>
      <c r="BI338" s="162">
        <f t="shared" si="220"/>
        <v>-815.14905017226397</v>
      </c>
      <c r="BJ338" s="150">
        <f t="shared" si="221"/>
        <v>0</v>
      </c>
      <c r="BK338" s="163">
        <f t="shared" si="243"/>
        <v>0</v>
      </c>
      <c r="BL338" s="163">
        <f t="shared" si="222"/>
        <v>340.25684676163291</v>
      </c>
      <c r="BM338" s="163">
        <f t="shared" si="244"/>
        <v>-3.4106955150861271</v>
      </c>
      <c r="BN338" s="163">
        <f t="shared" si="223"/>
        <v>-3.9564112951811112</v>
      </c>
      <c r="BO338" s="163">
        <f t="shared" si="224"/>
        <v>0</v>
      </c>
      <c r="BP338" s="164">
        <f t="shared" si="245"/>
        <v>-1162.7730037441643</v>
      </c>
      <c r="BQ338" s="164">
        <f>IF($E338="","",IF(AND($D338=Input!$C$6,$C338=12),0,-BJ339+BK339+BL339-BM339-BN339-BO339+BQ339))</f>
        <v>-1162.7719861733676</v>
      </c>
      <c r="BR338" s="161">
        <f t="shared" si="225"/>
        <v>0</v>
      </c>
      <c r="BT338" s="147">
        <f t="shared" si="226"/>
        <v>3.4971053430255028E-2</v>
      </c>
      <c r="BU338" s="164">
        <f>IF(AND($C337=12,$D337=Input!$C$6),0,IF($E338="","",BK338+(BL338+BU339)/(1+$AK338)*MIN((1-T338-U338),1)))</f>
        <v>33115.598504471796</v>
      </c>
      <c r="BV338" s="164">
        <f t="shared" si="227"/>
        <v>1158.0873646747566</v>
      </c>
      <c r="BW338" s="164">
        <f t="shared" si="228"/>
        <v>-1162.7719861733676</v>
      </c>
      <c r="BX338" s="164">
        <f t="shared" si="229"/>
        <v>-40.663361255672598</v>
      </c>
    </row>
    <row r="339" spans="1:76" s="150" customFormat="1" x14ac:dyDescent="0.25">
      <c r="A339" s="150">
        <f t="shared" si="240"/>
        <v>335</v>
      </c>
      <c r="B339" s="150">
        <f t="shared" si="241"/>
        <v>28</v>
      </c>
      <c r="C339" s="150">
        <f t="shared" si="242"/>
        <v>11</v>
      </c>
      <c r="D339" s="150">
        <f>IF(E339="","",Input!$C$4+B339-1)</f>
        <v>72</v>
      </c>
      <c r="E339" s="150">
        <f>IF(OR(AND(C338=12,D338=Input!$C$6),E338=""),"",1)</f>
        <v>1</v>
      </c>
      <c r="F339" s="150">
        <f>IF(E339="","",Input!$C$8+B339-1)</f>
        <v>2045</v>
      </c>
      <c r="G339" s="151">
        <f>IF(E339="","",MAX(0,Input!$C$9-B339))</f>
        <v>0</v>
      </c>
      <c r="H339" s="152">
        <f>IF(E339="","",Input!$C$3)</f>
        <v>100000</v>
      </c>
      <c r="I339" s="153">
        <f>IF(E339="","",HLOOKUP($B339,Input!$C$13:$BT$14,2))</f>
        <v>40.914999999999999</v>
      </c>
      <c r="J339" s="154"/>
      <c r="K339" s="155">
        <f>IF($E339="","",INDEX(Input!$C$16:$CP$16,1,$B339))</f>
        <v>2.734E-2</v>
      </c>
      <c r="L339" s="155">
        <f>IF($E339="","",Input!$C$37)</f>
        <v>1.4999999999999999E-2</v>
      </c>
      <c r="M339" s="155">
        <f t="shared" si="205"/>
        <v>4.2340000000000003E-2</v>
      </c>
      <c r="N339" s="155">
        <f t="shared" si="206"/>
        <v>3.4616598944321453E-3</v>
      </c>
      <c r="O339" s="147">
        <f>IF($E339="","",MIN(VLOOKUP(IF($B339&lt;=Input!$C$7,$B339,26),'Mortality Tables'!$A$41:$CW$67,IF($B339&lt;=Input!$C$7+1,Input!$C$4+2,$D339-Input!$C$7+2),0)*IF(B339&gt;20,Input!$C$22,1)/1000,1))</f>
        <v>4.5883199999999999E-2</v>
      </c>
      <c r="P339" s="147">
        <f>IF($E339="","",MIN(VLOOKUP(IF($B339&lt;=Input!$C$7,$B339,26),'Mortality Tables'!$A$12:$CW$37,IF($B339&lt;=Input!$C$7+1,Input!$C$4+2,$D339-Input!$C$7+2),0)*IF(B339&gt;20,Input!$C$22,1)/1000,1))</f>
        <v>5.7354000000000002E-2</v>
      </c>
      <c r="Q339" s="155">
        <f>IF($E339="","",Input!$C$21)</f>
        <v>5.0000000000000001E-3</v>
      </c>
      <c r="R339" s="159">
        <f>IF($E339="","",(1-Q339)^($F339-Input!$C$20))</f>
        <v>0.87342009602538717</v>
      </c>
      <c r="S339" s="147">
        <f t="shared" si="208"/>
        <v>4.0075308949952045E-2</v>
      </c>
      <c r="T339" s="147">
        <f t="shared" si="209"/>
        <v>3.4025684676163293E-3</v>
      </c>
      <c r="U339" s="160">
        <f>IF($E339="","",IF($C339=12,INDEX(Input!$C$15:$CP$15,1,$B339),0))</f>
        <v>0</v>
      </c>
      <c r="V339" s="150">
        <f>IF(E339="","",IF(C339=1,IF($B339=1,Input!$C$33,Input!$C$34),0))</f>
        <v>0</v>
      </c>
      <c r="W339" s="156">
        <f>IF($E339="","",Input!$C$35)</f>
        <v>0.02</v>
      </c>
      <c r="X339" s="156">
        <f t="shared" si="207"/>
        <v>1.7068864766411058</v>
      </c>
      <c r="Y339" s="154"/>
      <c r="Z339" s="147">
        <f>IF($E339="","",VLOOKUP($D339,'Mortality Margins &amp; Grading'!$AB$5:$AF$125,3,0)*IF(Summary!$D$25="Included Margin",IF(AND($B339&gt;Input!$C$9,Summary!$D$31&lt;&gt;"Included Margin"),0,1),0))</f>
        <v>0.03</v>
      </c>
      <c r="AA339" s="147">
        <f>IF($E339="","",VLOOKUP($D339,'Mortality Margins &amp; Grading'!$AB$5:$AF$125,5,0)*IF(Summary!$D$25="Included Margin",IF(AND($B339&gt;Input!$C$9,Summary!$D$31&lt;&gt;"Included Margin"),0,1),0))</f>
        <v>0.156</v>
      </c>
      <c r="AB339" s="147">
        <f>IF($E339="","",IF(AND($B339&gt;Input!$C$9,Summary!$D$31&lt;&gt;"Included Margin"),1,IF(Summary!$D$25="Included Margin",VLOOKUP($B339,'Mortality Margins &amp; Grading'!$AI$5:$AR$125,MATCH('Mortality Margins &amp; Grading'!$AQ$4,'Mortality Margins &amp; Grading'!$AI$4:$AR$4,0),0),1)))</f>
        <v>1</v>
      </c>
      <c r="AC339" s="154"/>
      <c r="AD339" s="158">
        <f>IF(E339="","",Input!$C$48*IF(Summary!$D$30="Included Margin",IF(AND($B339&gt;Input!$C$9,Summary!$D$31&lt;&gt;"Included Margin"),0,1),0))</f>
        <v>-4.4999999999999997E-3</v>
      </c>
      <c r="AE339" s="159">
        <f>IF(E339="","",IF(Summary!$D$26="Included Margin",IF(AND($B339&gt;Input!$C$9,Summary!$D$31&lt;&gt;"Included Margin"),1,1/$R339),1))</f>
        <v>1.1449244235971112</v>
      </c>
      <c r="AF339" s="160">
        <f>IF(E339="","",IF(AND($B339&gt;=Input!$C$9,$C339=12,Summary!$D$31="Included Margin",$U339&gt;0),1/U339-1,IF($B339&gt;=Input!$C$9,0,Input!$C$45*IF(Summary!$D$27="Included Margin",1,0))))</f>
        <v>0</v>
      </c>
      <c r="AG339" s="160">
        <f>IF(E339="","",Input!$C$46*IF(Summary!$D$28="Included Margin",IF(AND($B339&gt;Input!$C$9,Summary!$D$31&lt;&gt;"Included Margin"),0,1),0))</f>
        <v>0.02</v>
      </c>
      <c r="AH339" s="158">
        <f>IF(E339="","",Input!$C$47*IF(Summary!$D$29="Included Margin",IF(AND($B339&gt;Input!$C$9,Summary!$D$31&lt;&gt;"Included Margin"),0,1),0))</f>
        <v>2.5000000000000001E-3</v>
      </c>
      <c r="AI339" s="154"/>
      <c r="AJ339" s="158">
        <f t="shared" si="230"/>
        <v>3.7840000000000006E-2</v>
      </c>
      <c r="AK339" s="155">
        <f t="shared" si="231"/>
        <v>3.0999307353614114E-3</v>
      </c>
      <c r="AL339" s="147">
        <f t="shared" si="232"/>
        <v>4.7259695999999997E-2</v>
      </c>
      <c r="AM339" s="147">
        <f t="shared" si="210"/>
        <v>4.026282380599322E-3</v>
      </c>
      <c r="AN339" s="160">
        <f t="shared" si="233"/>
        <v>0</v>
      </c>
      <c r="AO339" s="161">
        <f t="shared" si="234"/>
        <v>0</v>
      </c>
      <c r="AP339" s="156">
        <f t="shared" si="211"/>
        <v>1.823515882705909</v>
      </c>
      <c r="AQ339" s="152"/>
      <c r="AR339" s="162">
        <f t="shared" si="212"/>
        <v>801.15532575923066</v>
      </c>
      <c r="AS339" s="150">
        <f t="shared" si="235"/>
        <v>0</v>
      </c>
      <c r="AT339" s="163">
        <f t="shared" si="213"/>
        <v>0</v>
      </c>
      <c r="AU339" s="163">
        <f t="shared" si="214"/>
        <v>402.62823805993219</v>
      </c>
      <c r="AV339" s="163">
        <f t="shared" si="236"/>
        <v>1.8594661930763254</v>
      </c>
      <c r="AW339" s="163">
        <f t="shared" si="215"/>
        <v>1.61859011671373</v>
      </c>
      <c r="AX339" s="163">
        <f t="shared" si="216"/>
        <v>0</v>
      </c>
      <c r="AY339" s="164">
        <f t="shared" si="237"/>
        <v>402.00514400908855</v>
      </c>
      <c r="AZ339" s="164">
        <f>IF($E339="","",IF(OR(AND($D339=Input!$C$6,$C339=12),$AN339=1),0,-AS340+AT340+AU340-AV340-AW340-AX340+AZ340))</f>
        <v>402.0061097832882</v>
      </c>
      <c r="BA339" s="154">
        <f t="shared" si="217"/>
        <v>9.6577419964205546E-4</v>
      </c>
      <c r="BC339" s="147">
        <f t="shared" si="238"/>
        <v>3.485206202657392E-2</v>
      </c>
      <c r="BD339" s="164">
        <f>IF(AND($C338=12,$D338=Input!$C$6),0,IF($E339="","",AT339+(AU339+BD340)/(1+$AK339)*MIN((1-AM339-AN339),1)))</f>
        <v>378.71961857339988</v>
      </c>
      <c r="BE339" s="164">
        <f t="shared" si="218"/>
        <v>13.19915963720055</v>
      </c>
      <c r="BF339" s="164">
        <f t="shared" si="239"/>
        <v>402.0061097832882</v>
      </c>
      <c r="BG339" s="164">
        <f t="shared" si="219"/>
        <v>14.010741873228845</v>
      </c>
      <c r="BH339" s="152"/>
      <c r="BI339" s="162">
        <f t="shared" si="220"/>
        <v>-1162.773003744164</v>
      </c>
      <c r="BJ339" s="150">
        <f t="shared" si="221"/>
        <v>0</v>
      </c>
      <c r="BK339" s="163">
        <f t="shared" si="243"/>
        <v>0</v>
      </c>
      <c r="BL339" s="163">
        <f t="shared" si="222"/>
        <v>340.25684676163291</v>
      </c>
      <c r="BM339" s="163">
        <f t="shared" si="244"/>
        <v>-4.614051413509916</v>
      </c>
      <c r="BN339" s="163">
        <f t="shared" si="223"/>
        <v>-5.1473724258175384</v>
      </c>
      <c r="BO339" s="163">
        <f t="shared" si="224"/>
        <v>0</v>
      </c>
      <c r="BP339" s="164">
        <f t="shared" si="245"/>
        <v>-1512.7912743451245</v>
      </c>
      <c r="BQ339" s="164">
        <f>IF($E339="","",IF(AND($D339=Input!$C$6,$C339=12),0,-BJ340+BK340+BL340-BM340-BN340-BO340+BQ340))</f>
        <v>-1512.7902567743279</v>
      </c>
      <c r="BR339" s="161">
        <f t="shared" si="225"/>
        <v>0</v>
      </c>
      <c r="BT339" s="147">
        <f t="shared" si="226"/>
        <v>3.485206202657392E-2</v>
      </c>
      <c r="BU339" s="164">
        <f>IF(AND($C338=12,$D338=Input!$C$6),0,IF($E339="","",BK339+(BL339+BU340)/(1+$AK339)*MIN((1-T339-U339),1)))</f>
        <v>32991.411001327033</v>
      </c>
      <c r="BV339" s="164">
        <f t="shared" si="227"/>
        <v>1149.8187025624429</v>
      </c>
      <c r="BW339" s="164">
        <f t="shared" si="228"/>
        <v>-1512.7902567743279</v>
      </c>
      <c r="BX339" s="164">
        <f t="shared" si="229"/>
        <v>-52.723859862295562</v>
      </c>
    </row>
    <row r="340" spans="1:76" s="150" customFormat="1" x14ac:dyDescent="0.25">
      <c r="A340" s="150">
        <f t="shared" si="240"/>
        <v>336</v>
      </c>
      <c r="B340" s="150">
        <f t="shared" si="241"/>
        <v>28</v>
      </c>
      <c r="C340" s="150">
        <f t="shared" si="242"/>
        <v>12</v>
      </c>
      <c r="D340" s="150">
        <f>IF(E340="","",Input!$C$4+B340-1)</f>
        <v>72</v>
      </c>
      <c r="E340" s="150">
        <f>IF(OR(AND(C339=12,D339=Input!$C$6),E339=""),"",1)</f>
        <v>1</v>
      </c>
      <c r="F340" s="150">
        <f>IF(E340="","",Input!$C$8+B340-1)</f>
        <v>2045</v>
      </c>
      <c r="G340" s="151">
        <f>IF(E340="","",MAX(0,Input!$C$9-B340))</f>
        <v>0</v>
      </c>
      <c r="H340" s="152">
        <f>IF(E340="","",Input!$C$3)</f>
        <v>100000</v>
      </c>
      <c r="I340" s="153">
        <f>IF(E340="","",HLOOKUP($B340,Input!$C$13:$BT$14,2))</f>
        <v>40.914999999999999</v>
      </c>
      <c r="J340" s="154"/>
      <c r="K340" s="155">
        <f>IF($E340="","",INDEX(Input!$C$16:$CP$16,1,$B340))</f>
        <v>2.734E-2</v>
      </c>
      <c r="L340" s="155">
        <f>IF($E340="","",Input!$C$37)</f>
        <v>1.4999999999999999E-2</v>
      </c>
      <c r="M340" s="155">
        <f t="shared" si="205"/>
        <v>4.2340000000000003E-2</v>
      </c>
      <c r="N340" s="155">
        <f t="shared" si="206"/>
        <v>3.4616598944321453E-3</v>
      </c>
      <c r="O340" s="147">
        <f>IF($E340="","",MIN(VLOOKUP(IF($B340&lt;=Input!$C$7,$B340,26),'Mortality Tables'!$A$41:$CW$67,IF($B340&lt;=Input!$C$7+1,Input!$C$4+2,$D340-Input!$C$7+2),0)*IF(B340&gt;20,Input!$C$22,1)/1000,1))</f>
        <v>4.5883199999999999E-2</v>
      </c>
      <c r="P340" s="147">
        <f>IF($E340="","",MIN(VLOOKUP(IF($B340&lt;=Input!$C$7,$B340,26),'Mortality Tables'!$A$12:$CW$37,IF($B340&lt;=Input!$C$7+1,Input!$C$4+2,$D340-Input!$C$7+2),0)*IF(B340&gt;20,Input!$C$22,1)/1000,1))</f>
        <v>5.7354000000000002E-2</v>
      </c>
      <c r="Q340" s="155">
        <f>IF($E340="","",Input!$C$21)</f>
        <v>5.0000000000000001E-3</v>
      </c>
      <c r="R340" s="159">
        <f>IF($E340="","",(1-Q340)^($F340-Input!$C$20))</f>
        <v>0.87342009602538717</v>
      </c>
      <c r="S340" s="147">
        <f t="shared" si="208"/>
        <v>4.0075308949952045E-2</v>
      </c>
      <c r="T340" s="147">
        <f t="shared" si="209"/>
        <v>3.4025684676163293E-3</v>
      </c>
      <c r="U340" s="160">
        <f>IF($E340="","",IF($C340=12,INDEX(Input!$C$15:$CP$15,1,$B340),0))</f>
        <v>0.1</v>
      </c>
      <c r="V340" s="150">
        <f>IF(E340="","",IF(C340=1,IF($B340=1,Input!$C$33,Input!$C$34),0))</f>
        <v>0</v>
      </c>
      <c r="W340" s="156">
        <f>IF($E340="","",Input!$C$35)</f>
        <v>0.02</v>
      </c>
      <c r="X340" s="156">
        <f t="shared" si="207"/>
        <v>1.7068864766411058</v>
      </c>
      <c r="Y340" s="154"/>
      <c r="Z340" s="147">
        <f>IF($E340="","",VLOOKUP($D340,'Mortality Margins &amp; Grading'!$AB$5:$AF$125,3,0)*IF(Summary!$D$25="Included Margin",IF(AND($B340&gt;Input!$C$9,Summary!$D$31&lt;&gt;"Included Margin"),0,1),0))</f>
        <v>0.03</v>
      </c>
      <c r="AA340" s="147">
        <f>IF($E340="","",VLOOKUP($D340,'Mortality Margins &amp; Grading'!$AB$5:$AF$125,5,0)*IF(Summary!$D$25="Included Margin",IF(AND($B340&gt;Input!$C$9,Summary!$D$31&lt;&gt;"Included Margin"),0,1),0))</f>
        <v>0.156</v>
      </c>
      <c r="AB340" s="147">
        <f>IF($E340="","",IF(AND($B340&gt;Input!$C$9,Summary!$D$31&lt;&gt;"Included Margin"),1,IF(Summary!$D$25="Included Margin",VLOOKUP($B340,'Mortality Margins &amp; Grading'!$AI$5:$AR$125,MATCH('Mortality Margins &amp; Grading'!$AQ$4,'Mortality Margins &amp; Grading'!$AI$4:$AR$4,0),0),1)))</f>
        <v>1</v>
      </c>
      <c r="AC340" s="154"/>
      <c r="AD340" s="158">
        <f>IF(E340="","",Input!$C$48*IF(Summary!$D$30="Included Margin",IF(AND($B340&gt;Input!$C$9,Summary!$D$31&lt;&gt;"Included Margin"),0,1),0))</f>
        <v>-4.4999999999999997E-3</v>
      </c>
      <c r="AE340" s="159">
        <f>IF(E340="","",IF(Summary!$D$26="Included Margin",IF(AND($B340&gt;Input!$C$9,Summary!$D$31&lt;&gt;"Included Margin"),1,1/$R340),1))</f>
        <v>1.1449244235971112</v>
      </c>
      <c r="AF340" s="160">
        <f>IF(E340="","",IF(AND($B340&gt;=Input!$C$9,$C340=12,Summary!$D$31="Included Margin",$U340&gt;0),1/U340-1,IF($B340&gt;=Input!$C$9,0,Input!$C$45*IF(Summary!$D$27="Included Margin",1,0))))</f>
        <v>9</v>
      </c>
      <c r="AG340" s="160">
        <f>IF(E340="","",Input!$C$46*IF(Summary!$D$28="Included Margin",IF(AND($B340&gt;Input!$C$9,Summary!$D$31&lt;&gt;"Included Margin"),0,1),0))</f>
        <v>0.02</v>
      </c>
      <c r="AH340" s="158">
        <f>IF(E340="","",Input!$C$47*IF(Summary!$D$29="Included Margin",IF(AND($B340&gt;Input!$C$9,Summary!$D$31&lt;&gt;"Included Margin"),0,1),0))</f>
        <v>2.5000000000000001E-3</v>
      </c>
      <c r="AI340" s="154"/>
      <c r="AJ340" s="158">
        <f t="shared" si="230"/>
        <v>3.7840000000000006E-2</v>
      </c>
      <c r="AK340" s="155">
        <f t="shared" si="231"/>
        <v>3.0999307353614114E-3</v>
      </c>
      <c r="AL340" s="147">
        <f t="shared" si="232"/>
        <v>4.7259695999999997E-2</v>
      </c>
      <c r="AM340" s="147">
        <f t="shared" si="210"/>
        <v>4.026282380599322E-3</v>
      </c>
      <c r="AN340" s="160">
        <f t="shared" si="233"/>
        <v>1</v>
      </c>
      <c r="AO340" s="161">
        <f t="shared" si="234"/>
        <v>0</v>
      </c>
      <c r="AP340" s="156">
        <f t="shared" si="211"/>
        <v>1.823515882705909</v>
      </c>
      <c r="AQ340" s="152"/>
      <c r="AR340" s="162">
        <f t="shared" si="212"/>
        <v>402.00514400908861</v>
      </c>
      <c r="AS340" s="150">
        <f t="shared" si="235"/>
        <v>0</v>
      </c>
      <c r="AT340" s="163">
        <f t="shared" si="213"/>
        <v>0</v>
      </c>
      <c r="AU340" s="163">
        <f t="shared" si="214"/>
        <v>402.62823805993219</v>
      </c>
      <c r="AV340" s="163">
        <f t="shared" si="236"/>
        <v>0.62212827664396664</v>
      </c>
      <c r="AW340" s="163">
        <f t="shared" si="215"/>
        <v>0</v>
      </c>
      <c r="AX340" s="163">
        <f t="shared" si="216"/>
        <v>0</v>
      </c>
      <c r="AY340" s="165">
        <f t="shared" si="237"/>
        <v>-9.65774199609859E-4</v>
      </c>
      <c r="AZ340" s="164">
        <f>IF($E340="","",IF(OR(AND($D340=Input!$C$6,$C340=12),$AN340=1),0,-AS341+AT341+AU341-AV341-AW341-AX341+AZ341))</f>
        <v>0</v>
      </c>
      <c r="BA340" s="154">
        <f t="shared" si="217"/>
        <v>9.65774199609859E-4</v>
      </c>
      <c r="BC340" s="147">
        <f t="shared" si="238"/>
        <v>3.1248269296633501E-2</v>
      </c>
      <c r="BD340" s="164">
        <f>IF(AND($C339=12,$D339=Input!$C$6),0,IF($E340="","",AT340+(AU340+BD341)/(1+$AK340)*MIN((1-AM340-AN340),1)))</f>
        <v>-21.198872567105379</v>
      </c>
      <c r="BE340" s="164">
        <f t="shared" si="218"/>
        <v>-0.66242807876192522</v>
      </c>
      <c r="BF340" s="164">
        <f t="shared" si="239"/>
        <v>0</v>
      </c>
      <c r="BG340" s="164">
        <f t="shared" si="219"/>
        <v>0</v>
      </c>
      <c r="BH340" s="152"/>
      <c r="BI340" s="162">
        <f t="shared" si="220"/>
        <v>-1512.7912743451245</v>
      </c>
      <c r="BJ340" s="150">
        <f t="shared" si="221"/>
        <v>0</v>
      </c>
      <c r="BK340" s="163">
        <f t="shared" si="243"/>
        <v>0</v>
      </c>
      <c r="BL340" s="163">
        <f t="shared" si="222"/>
        <v>340.25684676163291</v>
      </c>
      <c r="BM340" s="163">
        <f t="shared" si="244"/>
        <v>-5.8256956231677588</v>
      </c>
      <c r="BN340" s="163">
        <f t="shared" si="223"/>
        <v>-7.0517072185452987</v>
      </c>
      <c r="BO340" s="163">
        <f t="shared" si="224"/>
        <v>-206.54142212879208</v>
      </c>
      <c r="BP340" s="164">
        <f t="shared" si="245"/>
        <v>-2072.4669460772625</v>
      </c>
      <c r="BQ340" s="164">
        <f>IF($E340="","",IF(AND($D340=Input!$C$6,$C340=12),0,-BJ341+BK341+BL341-BM341-BN341-BO341+BQ341))</f>
        <v>-2072.4659285064658</v>
      </c>
      <c r="BR340" s="161">
        <f t="shared" si="225"/>
        <v>0</v>
      </c>
      <c r="BT340" s="147">
        <f t="shared" si="226"/>
        <v>3.1248269296633501E-2</v>
      </c>
      <c r="BU340" s="164">
        <f>IF(AND($C339=12,$D339=Input!$C$6),0,IF($E340="","",BK340+(BL340+BU341)/(1+$AK340)*MIN((1-T340-U340),1)))</f>
        <v>32866.41321198779</v>
      </c>
      <c r="BV340" s="164">
        <f t="shared" si="227"/>
        <v>1027.0185308626278</v>
      </c>
      <c r="BW340" s="164">
        <f t="shared" si="228"/>
        <v>-2072.4659285064658</v>
      </c>
      <c r="BX340" s="164">
        <f t="shared" si="229"/>
        <v>-64.760973442067638</v>
      </c>
    </row>
    <row r="341" spans="1:76" s="150" customFormat="1" x14ac:dyDescent="0.25">
      <c r="A341" s="150">
        <f t="shared" si="240"/>
        <v>337</v>
      </c>
      <c r="B341" s="150">
        <f t="shared" si="241"/>
        <v>29</v>
      </c>
      <c r="C341" s="150">
        <f t="shared" si="242"/>
        <v>1</v>
      </c>
      <c r="D341" s="150">
        <f>IF(E341="","",Input!$C$4+B341-1)</f>
        <v>73</v>
      </c>
      <c r="E341" s="150">
        <f>IF(OR(AND(C340=12,D340=Input!$C$6),E340=""),"",1)</f>
        <v>1</v>
      </c>
      <c r="F341" s="150">
        <f>IF(E341="","",Input!$C$8+B341-1)</f>
        <v>2046</v>
      </c>
      <c r="G341" s="151">
        <f>IF(E341="","",MAX(0,Input!$C$9-B341))</f>
        <v>0</v>
      </c>
      <c r="H341" s="152">
        <f>IF(E341="","",Input!$C$3)</f>
        <v>100000</v>
      </c>
      <c r="I341" s="153">
        <f>IF(E341="","",HLOOKUP($B341,Input!$C$13:$BT$14,2))</f>
        <v>46.329500000000003</v>
      </c>
      <c r="J341" s="154"/>
      <c r="K341" s="155">
        <f>IF($E341="","",INDEX(Input!$C$16:$CP$16,1,$B341))</f>
        <v>2.7799999999999998E-2</v>
      </c>
      <c r="L341" s="155">
        <f>IF($E341="","",Input!$C$37)</f>
        <v>1.4999999999999999E-2</v>
      </c>
      <c r="M341" s="155">
        <f t="shared" si="205"/>
        <v>4.2799999999999998E-2</v>
      </c>
      <c r="N341" s="155">
        <f t="shared" si="206"/>
        <v>3.4985559667248811E-3</v>
      </c>
      <c r="O341" s="147">
        <f>IF($E341="","",MIN(VLOOKUP(IF($B341&lt;=Input!$C$7,$B341,26),'Mortality Tables'!$A$41:$CW$67,IF($B341&lt;=Input!$C$7+1,Input!$C$4+2,$D341-Input!$C$7+2),0)*IF(B341&gt;20,Input!$C$22,1)/1000,1))</f>
        <v>5.2013600000000007E-2</v>
      </c>
      <c r="P341" s="147">
        <f>IF($E341="","",MIN(VLOOKUP(IF($B341&lt;=Input!$C$7,$B341,26),'Mortality Tables'!$A$12:$CW$37,IF($B341&lt;=Input!$C$7+1,Input!$C$4+2,$D341-Input!$C$7+2),0)*IF(B341&gt;20,Input!$C$22,1)/1000,1))</f>
        <v>6.5017000000000005E-2</v>
      </c>
      <c r="Q341" s="155">
        <f>IF($E341="","",Input!$C$21)</f>
        <v>5.0000000000000001E-3</v>
      </c>
      <c r="R341" s="159">
        <f>IF($E341="","",(1-Q341)^($F341-Input!$C$20))</f>
        <v>0.86905299554526039</v>
      </c>
      <c r="S341" s="147">
        <f t="shared" si="208"/>
        <v>4.5202574889092961E-2</v>
      </c>
      <c r="T341" s="147">
        <f t="shared" si="209"/>
        <v>3.8472537249858441E-3</v>
      </c>
      <c r="U341" s="160">
        <f>IF($E341="","",IF($C341=12,INDEX(Input!$C$15:$CP$15,1,$B341),0))</f>
        <v>0</v>
      </c>
      <c r="V341" s="150">
        <f>IF(E341="","",IF(C341=1,IF($B341=1,Input!$C$33,Input!$C$34),0))</f>
        <v>50</v>
      </c>
      <c r="W341" s="156">
        <f>IF($E341="","",Input!$C$35)</f>
        <v>0.02</v>
      </c>
      <c r="X341" s="156">
        <f t="shared" si="207"/>
        <v>1.7410242061739281</v>
      </c>
      <c r="Y341" s="154"/>
      <c r="Z341" s="147">
        <f>IF($E341="","",VLOOKUP($D341,'Mortality Margins &amp; Grading'!$AB$5:$AF$125,3,0)*IF(Summary!$D$25="Included Margin",IF(AND($B341&gt;Input!$C$9,Summary!$D$31&lt;&gt;"Included Margin"),0,1),0))</f>
        <v>0.03</v>
      </c>
      <c r="AA341" s="147">
        <f>IF($E341="","",VLOOKUP($D341,'Mortality Margins &amp; Grading'!$AB$5:$AF$125,5,0)*IF(Summary!$D$25="Included Margin",IF(AND($B341&gt;Input!$C$9,Summary!$D$31&lt;&gt;"Included Margin"),0,1),0))</f>
        <v>0.156</v>
      </c>
      <c r="AB341" s="147">
        <f>IF($E341="","",IF(AND($B341&gt;Input!$C$9,Summary!$D$31&lt;&gt;"Included Margin"),1,IF(Summary!$D$25="Included Margin",VLOOKUP($B341,'Mortality Margins &amp; Grading'!$AI$5:$AR$125,MATCH('Mortality Margins &amp; Grading'!$AQ$4,'Mortality Margins &amp; Grading'!$AI$4:$AR$4,0),0),1)))</f>
        <v>1</v>
      </c>
      <c r="AC341" s="154"/>
      <c r="AD341" s="158">
        <f>IF(E341="","",Input!$C$48*IF(Summary!$D$30="Included Margin",IF(AND($B341&gt;Input!$C$9,Summary!$D$31&lt;&gt;"Included Margin"),0,1),0))</f>
        <v>-4.4999999999999997E-3</v>
      </c>
      <c r="AE341" s="159">
        <f>IF(E341="","",IF(Summary!$D$26="Included Margin",IF(AND($B341&gt;Input!$C$9,Summary!$D$31&lt;&gt;"Included Margin"),1,1/$R341),1))</f>
        <v>1.1506778126604131</v>
      </c>
      <c r="AF341" s="160">
        <f>IF(E341="","",IF(AND($B341&gt;=Input!$C$9,$C341=12,Summary!$D$31="Included Margin",$U341&gt;0),1/U341-1,IF($B341&gt;=Input!$C$9,0,Input!$C$45*IF(Summary!$D$27="Included Margin",1,0))))</f>
        <v>0</v>
      </c>
      <c r="AG341" s="160">
        <f>IF(E341="","",Input!$C$46*IF(Summary!$D$28="Included Margin",IF(AND($B341&gt;Input!$C$9,Summary!$D$31&lt;&gt;"Included Margin"),0,1),0))</f>
        <v>0.02</v>
      </c>
      <c r="AH341" s="158">
        <f>IF(E341="","",Input!$C$47*IF(Summary!$D$29="Included Margin",IF(AND($B341&gt;Input!$C$9,Summary!$D$31&lt;&gt;"Included Margin"),0,1),0))</f>
        <v>2.5000000000000001E-3</v>
      </c>
      <c r="AI341" s="154"/>
      <c r="AJ341" s="158">
        <f t="shared" si="230"/>
        <v>3.8300000000000001E-2</v>
      </c>
      <c r="AK341" s="155">
        <f t="shared" si="231"/>
        <v>3.1369733958956925E-3</v>
      </c>
      <c r="AL341" s="147">
        <f t="shared" si="232"/>
        <v>5.3574008000000006E-2</v>
      </c>
      <c r="AM341" s="147">
        <f t="shared" si="210"/>
        <v>4.5780306100307033E-3</v>
      </c>
      <c r="AN341" s="160">
        <f t="shared" si="233"/>
        <v>0</v>
      </c>
      <c r="AO341" s="161">
        <f t="shared" si="234"/>
        <v>51</v>
      </c>
      <c r="AP341" s="156">
        <f t="shared" si="211"/>
        <v>1.8645449900667919</v>
      </c>
      <c r="AQ341" s="152"/>
      <c r="AR341" s="162">
        <f t="shared" si="212"/>
        <v>721.01750909917439</v>
      </c>
      <c r="AS341" s="150">
        <f t="shared" si="235"/>
        <v>4632.95</v>
      </c>
      <c r="AT341" s="163">
        <f t="shared" si="213"/>
        <v>95.091794493406383</v>
      </c>
      <c r="AU341" s="163">
        <f t="shared" si="214"/>
        <v>457.80306100307035</v>
      </c>
      <c r="AV341" s="163">
        <f t="shared" si="236"/>
        <v>15.778895197577119</v>
      </c>
      <c r="AW341" s="163">
        <f t="shared" si="215"/>
        <v>22.153116628412423</v>
      </c>
      <c r="AX341" s="163">
        <f t="shared" si="216"/>
        <v>0</v>
      </c>
      <c r="AY341" s="164">
        <f t="shared" si="237"/>
        <v>4839.0046654286871</v>
      </c>
      <c r="AZ341" s="164">
        <f>IF($E341="","",IF(OR(AND($D341=Input!$C$6,$C341=12),$AN341=1),0,-AS342+AT342+AU342-AV342-AW342-AX342+AZ342))</f>
        <v>4839.0057899293624</v>
      </c>
      <c r="BA341" s="154">
        <f t="shared" si="217"/>
        <v>1.1245006753597409E-3</v>
      </c>
      <c r="BC341" s="147">
        <f t="shared" si="238"/>
        <v>3.1128049276182668E-2</v>
      </c>
      <c r="BD341" s="164">
        <f>IF(AND($C340=12,$D340=Input!$C$6),0,IF($E341="","",AT341+(AU341+BD342)/(1+$AK341)*MIN((1-AM341-AN341),1)))</f>
        <v>4878.8164281648633</v>
      </c>
      <c r="BE341" s="164">
        <f t="shared" si="218"/>
        <v>151.86803818536538</v>
      </c>
      <c r="BF341" s="164">
        <f t="shared" si="239"/>
        <v>4839.0057899293624</v>
      </c>
      <c r="BG341" s="164">
        <f t="shared" si="219"/>
        <v>150.62881067665444</v>
      </c>
      <c r="BH341" s="152"/>
      <c r="BI341" s="162">
        <f t="shared" si="220"/>
        <v>-2072.4671037001567</v>
      </c>
      <c r="BJ341" s="150">
        <f t="shared" si="221"/>
        <v>4632.95</v>
      </c>
      <c r="BK341" s="163">
        <f t="shared" si="243"/>
        <v>87.051210308696398</v>
      </c>
      <c r="BL341" s="163">
        <f t="shared" si="222"/>
        <v>384.72537249858442</v>
      </c>
      <c r="BM341" s="163">
        <f t="shared" si="244"/>
        <v>7.9804475595580229</v>
      </c>
      <c r="BN341" s="163">
        <f t="shared" si="223"/>
        <v>8.0976441645301751</v>
      </c>
      <c r="BO341" s="163">
        <f t="shared" si="224"/>
        <v>0</v>
      </c>
      <c r="BP341" s="164">
        <f t="shared" si="245"/>
        <v>2104.7844052166506</v>
      </c>
      <c r="BQ341" s="164">
        <f>IF($E341="","",IF(AND($D341=Input!$C$6,$C341=12),0,-BJ342+BK342+BL342-BM342-BN342-BO342+BQ342))</f>
        <v>2104.7855804103406</v>
      </c>
      <c r="BR341" s="161">
        <f t="shared" si="225"/>
        <v>0</v>
      </c>
      <c r="BT341" s="147">
        <f t="shared" si="226"/>
        <v>3.1128049276182668E-2</v>
      </c>
      <c r="BU341" s="164">
        <f>IF(AND($C340=12,$D340=Input!$C$6),0,IF($E341="","",BK341+(BL341+BU342)/(1+$AK341)*MIN((1-T341-U341),1)))</f>
        <v>36430.199611181008</v>
      </c>
      <c r="BV341" s="164">
        <f t="shared" si="227"/>
        <v>1134.0010486380131</v>
      </c>
      <c r="BW341" s="164">
        <f t="shared" si="228"/>
        <v>2104.7855804103406</v>
      </c>
      <c r="BX341" s="164">
        <f t="shared" si="229"/>
        <v>65.517869262811814</v>
      </c>
    </row>
    <row r="342" spans="1:76" s="150" customFormat="1" x14ac:dyDescent="0.25">
      <c r="A342" s="150">
        <f t="shared" si="240"/>
        <v>338</v>
      </c>
      <c r="B342" s="150">
        <f t="shared" si="241"/>
        <v>29</v>
      </c>
      <c r="C342" s="150">
        <f t="shared" si="242"/>
        <v>2</v>
      </c>
      <c r="D342" s="150">
        <f>IF(E342="","",Input!$C$4+B342-1)</f>
        <v>73</v>
      </c>
      <c r="E342" s="150">
        <f>IF(OR(AND(C341=12,D341=Input!$C$6),E341=""),"",1)</f>
        <v>1</v>
      </c>
      <c r="F342" s="150">
        <f>IF(E342="","",Input!$C$8+B342-1)</f>
        <v>2046</v>
      </c>
      <c r="G342" s="151">
        <f>IF(E342="","",MAX(0,Input!$C$9-B342))</f>
        <v>0</v>
      </c>
      <c r="H342" s="152">
        <f>IF(E342="","",Input!$C$3)</f>
        <v>100000</v>
      </c>
      <c r="I342" s="153">
        <f>IF(E342="","",HLOOKUP($B342,Input!$C$13:$BT$14,2))</f>
        <v>46.329500000000003</v>
      </c>
      <c r="J342" s="154"/>
      <c r="K342" s="155">
        <f>IF($E342="","",INDEX(Input!$C$16:$CP$16,1,$B342))</f>
        <v>2.7799999999999998E-2</v>
      </c>
      <c r="L342" s="155">
        <f>IF($E342="","",Input!$C$37)</f>
        <v>1.4999999999999999E-2</v>
      </c>
      <c r="M342" s="155">
        <f t="shared" si="205"/>
        <v>4.2799999999999998E-2</v>
      </c>
      <c r="N342" s="155">
        <f t="shared" si="206"/>
        <v>3.4985559667248811E-3</v>
      </c>
      <c r="O342" s="147">
        <f>IF($E342="","",MIN(VLOOKUP(IF($B342&lt;=Input!$C$7,$B342,26),'Mortality Tables'!$A$41:$CW$67,IF($B342&lt;=Input!$C$7+1,Input!$C$4+2,$D342-Input!$C$7+2),0)*IF(B342&gt;20,Input!$C$22,1)/1000,1))</f>
        <v>5.2013600000000007E-2</v>
      </c>
      <c r="P342" s="147">
        <f>IF($E342="","",MIN(VLOOKUP(IF($B342&lt;=Input!$C$7,$B342,26),'Mortality Tables'!$A$12:$CW$37,IF($B342&lt;=Input!$C$7+1,Input!$C$4+2,$D342-Input!$C$7+2),0)*IF(B342&gt;20,Input!$C$22,1)/1000,1))</f>
        <v>6.5017000000000005E-2</v>
      </c>
      <c r="Q342" s="155">
        <f>IF($E342="","",Input!$C$21)</f>
        <v>5.0000000000000001E-3</v>
      </c>
      <c r="R342" s="159">
        <f>IF($E342="","",(1-Q342)^($F342-Input!$C$20))</f>
        <v>0.86905299554526039</v>
      </c>
      <c r="S342" s="147">
        <f t="shared" si="208"/>
        <v>4.5202574889092961E-2</v>
      </c>
      <c r="T342" s="147">
        <f t="shared" si="209"/>
        <v>3.8472537249858441E-3</v>
      </c>
      <c r="U342" s="160">
        <f>IF($E342="","",IF($C342=12,INDEX(Input!$C$15:$CP$15,1,$B342),0))</f>
        <v>0</v>
      </c>
      <c r="V342" s="150">
        <f>IF(E342="","",IF(C342=1,IF($B342=1,Input!$C$33,Input!$C$34),0))</f>
        <v>0</v>
      </c>
      <c r="W342" s="156">
        <f>IF($E342="","",Input!$C$35)</f>
        <v>0.02</v>
      </c>
      <c r="X342" s="156">
        <f t="shared" si="207"/>
        <v>1.7410242061739281</v>
      </c>
      <c r="Y342" s="154"/>
      <c r="Z342" s="147">
        <f>IF($E342="","",VLOOKUP($D342,'Mortality Margins &amp; Grading'!$AB$5:$AF$125,3,0)*IF(Summary!$D$25="Included Margin",IF(AND($B342&gt;Input!$C$9,Summary!$D$31&lt;&gt;"Included Margin"),0,1),0))</f>
        <v>0.03</v>
      </c>
      <c r="AA342" s="147">
        <f>IF($E342="","",VLOOKUP($D342,'Mortality Margins &amp; Grading'!$AB$5:$AF$125,5,0)*IF(Summary!$D$25="Included Margin",IF(AND($B342&gt;Input!$C$9,Summary!$D$31&lt;&gt;"Included Margin"),0,1),0))</f>
        <v>0.156</v>
      </c>
      <c r="AB342" s="147">
        <f>IF($E342="","",IF(AND($B342&gt;Input!$C$9,Summary!$D$31&lt;&gt;"Included Margin"),1,IF(Summary!$D$25="Included Margin",VLOOKUP($B342,'Mortality Margins &amp; Grading'!$AI$5:$AR$125,MATCH('Mortality Margins &amp; Grading'!$AQ$4,'Mortality Margins &amp; Grading'!$AI$4:$AR$4,0),0),1)))</f>
        <v>1</v>
      </c>
      <c r="AC342" s="154"/>
      <c r="AD342" s="158">
        <f>IF(E342="","",Input!$C$48*IF(Summary!$D$30="Included Margin",IF(AND($B342&gt;Input!$C$9,Summary!$D$31&lt;&gt;"Included Margin"),0,1),0))</f>
        <v>-4.4999999999999997E-3</v>
      </c>
      <c r="AE342" s="159">
        <f>IF(E342="","",IF(Summary!$D$26="Included Margin",IF(AND($B342&gt;Input!$C$9,Summary!$D$31&lt;&gt;"Included Margin"),1,1/$R342),1))</f>
        <v>1.1506778126604131</v>
      </c>
      <c r="AF342" s="160">
        <f>IF(E342="","",IF(AND($B342&gt;=Input!$C$9,$C342=12,Summary!$D$31="Included Margin",$U342&gt;0),1/U342-1,IF($B342&gt;=Input!$C$9,0,Input!$C$45*IF(Summary!$D$27="Included Margin",1,0))))</f>
        <v>0</v>
      </c>
      <c r="AG342" s="160">
        <f>IF(E342="","",Input!$C$46*IF(Summary!$D$28="Included Margin",IF(AND($B342&gt;Input!$C$9,Summary!$D$31&lt;&gt;"Included Margin"),0,1),0))</f>
        <v>0.02</v>
      </c>
      <c r="AH342" s="158">
        <f>IF(E342="","",Input!$C$47*IF(Summary!$D$29="Included Margin",IF(AND($B342&gt;Input!$C$9,Summary!$D$31&lt;&gt;"Included Margin"),0,1),0))</f>
        <v>2.5000000000000001E-3</v>
      </c>
      <c r="AI342" s="154"/>
      <c r="AJ342" s="158">
        <f t="shared" si="230"/>
        <v>3.8300000000000001E-2</v>
      </c>
      <c r="AK342" s="155">
        <f t="shared" si="231"/>
        <v>3.1369733958956925E-3</v>
      </c>
      <c r="AL342" s="147">
        <f t="shared" si="232"/>
        <v>5.3574008000000006E-2</v>
      </c>
      <c r="AM342" s="147">
        <f t="shared" si="210"/>
        <v>4.5780306100307033E-3</v>
      </c>
      <c r="AN342" s="160">
        <f t="shared" si="233"/>
        <v>0</v>
      </c>
      <c r="AO342" s="161">
        <f t="shared" si="234"/>
        <v>0</v>
      </c>
      <c r="AP342" s="156">
        <f t="shared" si="211"/>
        <v>1.8645449900667919</v>
      </c>
      <c r="AQ342" s="152"/>
      <c r="AR342" s="162">
        <f t="shared" si="212"/>
        <v>4839.0046654286871</v>
      </c>
      <c r="AS342" s="150">
        <f t="shared" si="235"/>
        <v>0</v>
      </c>
      <c r="AT342" s="163">
        <f t="shared" si="213"/>
        <v>0</v>
      </c>
      <c r="AU342" s="163">
        <f t="shared" si="214"/>
        <v>457.80306100307035</v>
      </c>
      <c r="AV342" s="163">
        <f t="shared" si="236"/>
        <v>14.461770886601805</v>
      </c>
      <c r="AW342" s="163">
        <f t="shared" si="215"/>
        <v>20.216036264400646</v>
      </c>
      <c r="AX342" s="163">
        <f t="shared" si="216"/>
        <v>0</v>
      </c>
      <c r="AY342" s="165">
        <f t="shared" si="237"/>
        <v>4415.8794115766195</v>
      </c>
      <c r="AZ342" s="164">
        <f>IF($E342="","",IF(OR(AND($D342=Input!$C$6,$C342=12),$AN342=1),0,-AS343+AT343+AU343-AV343-AW343-AX343+AZ343))</f>
        <v>4415.8805360772949</v>
      </c>
      <c r="BA342" s="154">
        <f t="shared" si="217"/>
        <v>1.1245006753597409E-3</v>
      </c>
      <c r="BC342" s="147">
        <f t="shared" si="238"/>
        <v>3.1008291772653331E-2</v>
      </c>
      <c r="BD342" s="164">
        <f>IF(AND($C341=12,$D341=Input!$C$6),0,IF($E342="","",AT342+(AU342+BD343)/(1+$AK342)*MIN((1-AM342-AN342),1)))</f>
        <v>4362.9977633160988</v>
      </c>
      <c r="BE342" s="164">
        <f t="shared" si="218"/>
        <v>135.28910764833947</v>
      </c>
      <c r="BF342" s="164">
        <f t="shared" si="239"/>
        <v>4415.8805360772949</v>
      </c>
      <c r="BG342" s="164">
        <f t="shared" si="219"/>
        <v>136.92891209586557</v>
      </c>
      <c r="BH342" s="152"/>
      <c r="BI342" s="162">
        <f t="shared" si="220"/>
        <v>2104.7844052166506</v>
      </c>
      <c r="BJ342" s="150">
        <f t="shared" si="221"/>
        <v>0</v>
      </c>
      <c r="BK342" s="163">
        <f t="shared" si="243"/>
        <v>0</v>
      </c>
      <c r="BL342" s="163">
        <f t="shared" si="222"/>
        <v>384.72537249858442</v>
      </c>
      <c r="BM342" s="163">
        <f t="shared" si="244"/>
        <v>6.6907144157875056</v>
      </c>
      <c r="BN342" s="163">
        <f t="shared" si="223"/>
        <v>6.6689058910784151</v>
      </c>
      <c r="BO342" s="163">
        <f t="shared" si="224"/>
        <v>0</v>
      </c>
      <c r="BP342" s="164">
        <f t="shared" si="245"/>
        <v>1733.4186530249319</v>
      </c>
      <c r="BQ342" s="164">
        <f>IF($E342="","",IF(AND($D342=Input!$C$6,$C342=12),0,-BJ343+BK343+BL343-BM343-BN343-BO343+BQ343))</f>
        <v>1733.4198282186219</v>
      </c>
      <c r="BR342" s="161">
        <f t="shared" si="225"/>
        <v>0</v>
      </c>
      <c r="BT342" s="147">
        <f t="shared" si="226"/>
        <v>3.1008291772653331E-2</v>
      </c>
      <c r="BU342" s="164">
        <f>IF(AND($C341=12,$D341=Input!$C$6),0,IF($E342="","",BK342+(BL342+BU343)/(1+$AK342)*MIN((1-T342-U342),1)))</f>
        <v>36213.232146421891</v>
      </c>
      <c r="BV342" s="164">
        <f t="shared" si="227"/>
        <v>1122.910468427079</v>
      </c>
      <c r="BW342" s="164">
        <f t="shared" si="228"/>
        <v>1733.4198282186219</v>
      </c>
      <c r="BX342" s="164">
        <f t="shared" si="229"/>
        <v>53.750387797905645</v>
      </c>
    </row>
    <row r="343" spans="1:76" s="150" customFormat="1" x14ac:dyDescent="0.25">
      <c r="A343" s="150">
        <f t="shared" si="240"/>
        <v>339</v>
      </c>
      <c r="B343" s="150">
        <f t="shared" si="241"/>
        <v>29</v>
      </c>
      <c r="C343" s="150">
        <f t="shared" si="242"/>
        <v>3</v>
      </c>
      <c r="D343" s="150">
        <f>IF(E343="","",Input!$C$4+B343-1)</f>
        <v>73</v>
      </c>
      <c r="E343" s="150">
        <f>IF(OR(AND(C342=12,D342=Input!$C$6),E342=""),"",1)</f>
        <v>1</v>
      </c>
      <c r="F343" s="150">
        <f>IF(E343="","",Input!$C$8+B343-1)</f>
        <v>2046</v>
      </c>
      <c r="G343" s="151">
        <f>IF(E343="","",MAX(0,Input!$C$9-B343))</f>
        <v>0</v>
      </c>
      <c r="H343" s="152">
        <f>IF(E343="","",Input!$C$3)</f>
        <v>100000</v>
      </c>
      <c r="I343" s="153">
        <f>IF(E343="","",HLOOKUP($B343,Input!$C$13:$BT$14,2))</f>
        <v>46.329500000000003</v>
      </c>
      <c r="J343" s="154"/>
      <c r="K343" s="155">
        <f>IF($E343="","",INDEX(Input!$C$16:$CP$16,1,$B343))</f>
        <v>2.7799999999999998E-2</v>
      </c>
      <c r="L343" s="155">
        <f>IF($E343="","",Input!$C$37)</f>
        <v>1.4999999999999999E-2</v>
      </c>
      <c r="M343" s="155">
        <f t="shared" si="205"/>
        <v>4.2799999999999998E-2</v>
      </c>
      <c r="N343" s="155">
        <f t="shared" si="206"/>
        <v>3.4985559667248811E-3</v>
      </c>
      <c r="O343" s="147">
        <f>IF($E343="","",MIN(VLOOKUP(IF($B343&lt;=Input!$C$7,$B343,26),'Mortality Tables'!$A$41:$CW$67,IF($B343&lt;=Input!$C$7+1,Input!$C$4+2,$D343-Input!$C$7+2),0)*IF(B343&gt;20,Input!$C$22,1)/1000,1))</f>
        <v>5.2013600000000007E-2</v>
      </c>
      <c r="P343" s="147">
        <f>IF($E343="","",MIN(VLOOKUP(IF($B343&lt;=Input!$C$7,$B343,26),'Mortality Tables'!$A$12:$CW$37,IF($B343&lt;=Input!$C$7+1,Input!$C$4+2,$D343-Input!$C$7+2),0)*IF(B343&gt;20,Input!$C$22,1)/1000,1))</f>
        <v>6.5017000000000005E-2</v>
      </c>
      <c r="Q343" s="155">
        <f>IF($E343="","",Input!$C$21)</f>
        <v>5.0000000000000001E-3</v>
      </c>
      <c r="R343" s="159">
        <f>IF($E343="","",(1-Q343)^($F343-Input!$C$20))</f>
        <v>0.86905299554526039</v>
      </c>
      <c r="S343" s="147">
        <f t="shared" si="208"/>
        <v>4.5202574889092961E-2</v>
      </c>
      <c r="T343" s="147">
        <f t="shared" si="209"/>
        <v>3.8472537249858441E-3</v>
      </c>
      <c r="U343" s="160">
        <f>IF($E343="","",IF($C343=12,INDEX(Input!$C$15:$CP$15,1,$B343),0))</f>
        <v>0</v>
      </c>
      <c r="V343" s="150">
        <f>IF(E343="","",IF(C343=1,IF($B343=1,Input!$C$33,Input!$C$34),0))</f>
        <v>0</v>
      </c>
      <c r="W343" s="156">
        <f>IF($E343="","",Input!$C$35)</f>
        <v>0.02</v>
      </c>
      <c r="X343" s="156">
        <f t="shared" si="207"/>
        <v>1.7410242061739281</v>
      </c>
      <c r="Y343" s="154"/>
      <c r="Z343" s="147">
        <f>IF($E343="","",VLOOKUP($D343,'Mortality Margins &amp; Grading'!$AB$5:$AF$125,3,0)*IF(Summary!$D$25="Included Margin",IF(AND($B343&gt;Input!$C$9,Summary!$D$31&lt;&gt;"Included Margin"),0,1),0))</f>
        <v>0.03</v>
      </c>
      <c r="AA343" s="147">
        <f>IF($E343="","",VLOOKUP($D343,'Mortality Margins &amp; Grading'!$AB$5:$AF$125,5,0)*IF(Summary!$D$25="Included Margin",IF(AND($B343&gt;Input!$C$9,Summary!$D$31&lt;&gt;"Included Margin"),0,1),0))</f>
        <v>0.156</v>
      </c>
      <c r="AB343" s="147">
        <f>IF($E343="","",IF(AND($B343&gt;Input!$C$9,Summary!$D$31&lt;&gt;"Included Margin"),1,IF(Summary!$D$25="Included Margin",VLOOKUP($B343,'Mortality Margins &amp; Grading'!$AI$5:$AR$125,MATCH('Mortality Margins &amp; Grading'!$AQ$4,'Mortality Margins &amp; Grading'!$AI$4:$AR$4,0),0),1)))</f>
        <v>1</v>
      </c>
      <c r="AC343" s="154"/>
      <c r="AD343" s="158">
        <f>IF(E343="","",Input!$C$48*IF(Summary!$D$30="Included Margin",IF(AND($B343&gt;Input!$C$9,Summary!$D$31&lt;&gt;"Included Margin"),0,1),0))</f>
        <v>-4.4999999999999997E-3</v>
      </c>
      <c r="AE343" s="159">
        <f>IF(E343="","",IF(Summary!$D$26="Included Margin",IF(AND($B343&gt;Input!$C$9,Summary!$D$31&lt;&gt;"Included Margin"),1,1/$R343),1))</f>
        <v>1.1506778126604131</v>
      </c>
      <c r="AF343" s="160">
        <f>IF(E343="","",IF(AND($B343&gt;=Input!$C$9,$C343=12,Summary!$D$31="Included Margin",$U343&gt;0),1/U343-1,IF($B343&gt;=Input!$C$9,0,Input!$C$45*IF(Summary!$D$27="Included Margin",1,0))))</f>
        <v>0</v>
      </c>
      <c r="AG343" s="160">
        <f>IF(E343="","",Input!$C$46*IF(Summary!$D$28="Included Margin",IF(AND($B343&gt;Input!$C$9,Summary!$D$31&lt;&gt;"Included Margin"),0,1),0))</f>
        <v>0.02</v>
      </c>
      <c r="AH343" s="158">
        <f>IF(E343="","",Input!$C$47*IF(Summary!$D$29="Included Margin",IF(AND($B343&gt;Input!$C$9,Summary!$D$31&lt;&gt;"Included Margin"),0,1),0))</f>
        <v>2.5000000000000001E-3</v>
      </c>
      <c r="AI343" s="154"/>
      <c r="AJ343" s="158">
        <f t="shared" si="230"/>
        <v>3.8300000000000001E-2</v>
      </c>
      <c r="AK343" s="155">
        <f t="shared" si="231"/>
        <v>3.1369733958956925E-3</v>
      </c>
      <c r="AL343" s="147">
        <f t="shared" si="232"/>
        <v>5.3574008000000006E-2</v>
      </c>
      <c r="AM343" s="147">
        <f t="shared" si="210"/>
        <v>4.5780306100307033E-3</v>
      </c>
      <c r="AN343" s="160">
        <f t="shared" si="233"/>
        <v>0</v>
      </c>
      <c r="AO343" s="161">
        <f t="shared" si="234"/>
        <v>0</v>
      </c>
      <c r="AP343" s="156">
        <f t="shared" si="211"/>
        <v>1.8645449900667919</v>
      </c>
      <c r="AQ343" s="152"/>
      <c r="AR343" s="162">
        <f t="shared" si="212"/>
        <v>4415.8794115766195</v>
      </c>
      <c r="AS343" s="150">
        <f t="shared" si="235"/>
        <v>0</v>
      </c>
      <c r="AT343" s="163">
        <f t="shared" si="213"/>
        <v>0</v>
      </c>
      <c r="AU343" s="163">
        <f t="shared" si="214"/>
        <v>457.80306100307035</v>
      </c>
      <c r="AV343" s="163">
        <f t="shared" si="236"/>
        <v>13.134438222136257</v>
      </c>
      <c r="AW343" s="163">
        <f t="shared" si="215"/>
        <v>18.263942586208842</v>
      </c>
      <c r="AX343" s="163">
        <f t="shared" si="216"/>
        <v>0</v>
      </c>
      <c r="AY343" s="164">
        <f t="shared" si="237"/>
        <v>3989.4747313818943</v>
      </c>
      <c r="AZ343" s="164">
        <f>IF($E343="","",IF(OR(AND($D343=Input!$C$6,$C343=12),$AN343=1),0,-AS344+AT344+AU344-AV344-AW344-AX344+AZ344))</f>
        <v>3989.4758558825692</v>
      </c>
      <c r="BA343" s="154">
        <f t="shared" si="217"/>
        <v>1.1245006749049935E-3</v>
      </c>
      <c r="BC343" s="147">
        <f t="shared" si="238"/>
        <v>3.0888995006625543E-2</v>
      </c>
      <c r="BD343" s="164">
        <f>IF(AND($C342=12,$D342=Input!$C$6),0,IF($E343="","",AT343+(AU343+BD344)/(1+$AK343)*MIN((1-AM343-AN343),1)))</f>
        <v>3939.0100552557201</v>
      </c>
      <c r="BE343" s="164">
        <f t="shared" si="218"/>
        <v>121.67206192784174</v>
      </c>
      <c r="BF343" s="164">
        <f t="shared" si="239"/>
        <v>3989.4758558825692</v>
      </c>
      <c r="BG343" s="164">
        <f t="shared" si="219"/>
        <v>123.23089979140984</v>
      </c>
      <c r="BH343" s="152"/>
      <c r="BI343" s="162">
        <f t="shared" si="220"/>
        <v>1733.4186530249322</v>
      </c>
      <c r="BJ343" s="150">
        <f t="shared" si="221"/>
        <v>0</v>
      </c>
      <c r="BK343" s="163">
        <f t="shared" si="243"/>
        <v>0</v>
      </c>
      <c r="BL343" s="163">
        <f t="shared" si="222"/>
        <v>384.72537249858442</v>
      </c>
      <c r="BM343" s="163">
        <f t="shared" si="244"/>
        <v>5.3914705476198952</v>
      </c>
      <c r="BN343" s="163">
        <f t="shared" si="223"/>
        <v>5.2296318443777388</v>
      </c>
      <c r="BO343" s="163">
        <f t="shared" si="224"/>
        <v>0</v>
      </c>
      <c r="BP343" s="164">
        <f t="shared" si="245"/>
        <v>1359.3143829183455</v>
      </c>
      <c r="BQ343" s="164">
        <f>IF($E343="","",IF(AND($D343=Input!$C$6,$C343=12),0,-BJ344+BK344+BL344-BM344-BN344-BO344+BQ344))</f>
        <v>1359.3155581120352</v>
      </c>
      <c r="BR343" s="161">
        <f t="shared" si="225"/>
        <v>0</v>
      </c>
      <c r="BT343" s="147">
        <f t="shared" si="226"/>
        <v>3.0888995006625543E-2</v>
      </c>
      <c r="BU343" s="164">
        <f>IF(AND($C342=12,$D342=Input!$C$6),0,IF($E343="","",BK343+(BL343+BU344)/(1+$AK343)*MIN((1-T343-U343),1)))</f>
        <v>36082.40502299965</v>
      </c>
      <c r="BV343" s="164">
        <f t="shared" si="227"/>
        <v>1114.5492285824766</v>
      </c>
      <c r="BW343" s="164">
        <f t="shared" si="228"/>
        <v>1359.3155581120352</v>
      </c>
      <c r="BX343" s="164">
        <f t="shared" si="229"/>
        <v>41.987891486951071</v>
      </c>
    </row>
    <row r="344" spans="1:76" s="150" customFormat="1" x14ac:dyDescent="0.25">
      <c r="A344" s="150">
        <f t="shared" si="240"/>
        <v>340</v>
      </c>
      <c r="B344" s="150">
        <f t="shared" si="241"/>
        <v>29</v>
      </c>
      <c r="C344" s="150">
        <f t="shared" si="242"/>
        <v>4</v>
      </c>
      <c r="D344" s="150">
        <f>IF(E344="","",Input!$C$4+B344-1)</f>
        <v>73</v>
      </c>
      <c r="E344" s="150">
        <f>IF(OR(AND(C343=12,D343=Input!$C$6),E343=""),"",1)</f>
        <v>1</v>
      </c>
      <c r="F344" s="150">
        <f>IF(E344="","",Input!$C$8+B344-1)</f>
        <v>2046</v>
      </c>
      <c r="G344" s="151">
        <f>IF(E344="","",MAX(0,Input!$C$9-B344))</f>
        <v>0</v>
      </c>
      <c r="H344" s="152">
        <f>IF(E344="","",Input!$C$3)</f>
        <v>100000</v>
      </c>
      <c r="I344" s="153">
        <f>IF(E344="","",HLOOKUP($B344,Input!$C$13:$BT$14,2))</f>
        <v>46.329500000000003</v>
      </c>
      <c r="J344" s="154"/>
      <c r="K344" s="155">
        <f>IF($E344="","",INDEX(Input!$C$16:$CP$16,1,$B344))</f>
        <v>2.7799999999999998E-2</v>
      </c>
      <c r="L344" s="155">
        <f>IF($E344="","",Input!$C$37)</f>
        <v>1.4999999999999999E-2</v>
      </c>
      <c r="M344" s="155">
        <f t="shared" si="205"/>
        <v>4.2799999999999998E-2</v>
      </c>
      <c r="N344" s="155">
        <f t="shared" si="206"/>
        <v>3.4985559667248811E-3</v>
      </c>
      <c r="O344" s="147">
        <f>IF($E344="","",MIN(VLOOKUP(IF($B344&lt;=Input!$C$7,$B344,26),'Mortality Tables'!$A$41:$CW$67,IF($B344&lt;=Input!$C$7+1,Input!$C$4+2,$D344-Input!$C$7+2),0)*IF(B344&gt;20,Input!$C$22,1)/1000,1))</f>
        <v>5.2013600000000007E-2</v>
      </c>
      <c r="P344" s="147">
        <f>IF($E344="","",MIN(VLOOKUP(IF($B344&lt;=Input!$C$7,$B344,26),'Mortality Tables'!$A$12:$CW$37,IF($B344&lt;=Input!$C$7+1,Input!$C$4+2,$D344-Input!$C$7+2),0)*IF(B344&gt;20,Input!$C$22,1)/1000,1))</f>
        <v>6.5017000000000005E-2</v>
      </c>
      <c r="Q344" s="155">
        <f>IF($E344="","",Input!$C$21)</f>
        <v>5.0000000000000001E-3</v>
      </c>
      <c r="R344" s="159">
        <f>IF($E344="","",(1-Q344)^($F344-Input!$C$20))</f>
        <v>0.86905299554526039</v>
      </c>
      <c r="S344" s="147">
        <f t="shared" si="208"/>
        <v>4.5202574889092961E-2</v>
      </c>
      <c r="T344" s="147">
        <f t="shared" si="209"/>
        <v>3.8472537249858441E-3</v>
      </c>
      <c r="U344" s="160">
        <f>IF($E344="","",IF($C344=12,INDEX(Input!$C$15:$CP$15,1,$B344),0))</f>
        <v>0</v>
      </c>
      <c r="V344" s="150">
        <f>IF(E344="","",IF(C344=1,IF($B344=1,Input!$C$33,Input!$C$34),0))</f>
        <v>0</v>
      </c>
      <c r="W344" s="156">
        <f>IF($E344="","",Input!$C$35)</f>
        <v>0.02</v>
      </c>
      <c r="X344" s="156">
        <f t="shared" si="207"/>
        <v>1.7410242061739281</v>
      </c>
      <c r="Y344" s="154"/>
      <c r="Z344" s="147">
        <f>IF($E344="","",VLOOKUP($D344,'Mortality Margins &amp; Grading'!$AB$5:$AF$125,3,0)*IF(Summary!$D$25="Included Margin",IF(AND($B344&gt;Input!$C$9,Summary!$D$31&lt;&gt;"Included Margin"),0,1),0))</f>
        <v>0.03</v>
      </c>
      <c r="AA344" s="147">
        <f>IF($E344="","",VLOOKUP($D344,'Mortality Margins &amp; Grading'!$AB$5:$AF$125,5,0)*IF(Summary!$D$25="Included Margin",IF(AND($B344&gt;Input!$C$9,Summary!$D$31&lt;&gt;"Included Margin"),0,1),0))</f>
        <v>0.156</v>
      </c>
      <c r="AB344" s="147">
        <f>IF($E344="","",IF(AND($B344&gt;Input!$C$9,Summary!$D$31&lt;&gt;"Included Margin"),1,IF(Summary!$D$25="Included Margin",VLOOKUP($B344,'Mortality Margins &amp; Grading'!$AI$5:$AR$125,MATCH('Mortality Margins &amp; Grading'!$AQ$4,'Mortality Margins &amp; Grading'!$AI$4:$AR$4,0),0),1)))</f>
        <v>1</v>
      </c>
      <c r="AC344" s="154"/>
      <c r="AD344" s="158">
        <f>IF(E344="","",Input!$C$48*IF(Summary!$D$30="Included Margin",IF(AND($B344&gt;Input!$C$9,Summary!$D$31&lt;&gt;"Included Margin"),0,1),0))</f>
        <v>-4.4999999999999997E-3</v>
      </c>
      <c r="AE344" s="159">
        <f>IF(E344="","",IF(Summary!$D$26="Included Margin",IF(AND($B344&gt;Input!$C$9,Summary!$D$31&lt;&gt;"Included Margin"),1,1/$R344),1))</f>
        <v>1.1506778126604131</v>
      </c>
      <c r="AF344" s="160">
        <f>IF(E344="","",IF(AND($B344&gt;=Input!$C$9,$C344=12,Summary!$D$31="Included Margin",$U344&gt;0),1/U344-1,IF($B344&gt;=Input!$C$9,0,Input!$C$45*IF(Summary!$D$27="Included Margin",1,0))))</f>
        <v>0</v>
      </c>
      <c r="AG344" s="160">
        <f>IF(E344="","",Input!$C$46*IF(Summary!$D$28="Included Margin",IF(AND($B344&gt;Input!$C$9,Summary!$D$31&lt;&gt;"Included Margin"),0,1),0))</f>
        <v>0.02</v>
      </c>
      <c r="AH344" s="158">
        <f>IF(E344="","",Input!$C$47*IF(Summary!$D$29="Included Margin",IF(AND($B344&gt;Input!$C$9,Summary!$D$31&lt;&gt;"Included Margin"),0,1),0))</f>
        <v>2.5000000000000001E-3</v>
      </c>
      <c r="AI344" s="154"/>
      <c r="AJ344" s="158">
        <f t="shared" si="230"/>
        <v>3.8300000000000001E-2</v>
      </c>
      <c r="AK344" s="155">
        <f t="shared" si="231"/>
        <v>3.1369733958956925E-3</v>
      </c>
      <c r="AL344" s="147">
        <f t="shared" si="232"/>
        <v>5.3574008000000006E-2</v>
      </c>
      <c r="AM344" s="147">
        <f t="shared" si="210"/>
        <v>4.5780306100307033E-3</v>
      </c>
      <c r="AN344" s="160">
        <f t="shared" si="233"/>
        <v>0</v>
      </c>
      <c r="AO344" s="161">
        <f t="shared" si="234"/>
        <v>0</v>
      </c>
      <c r="AP344" s="156">
        <f t="shared" si="211"/>
        <v>1.8645449900667919</v>
      </c>
      <c r="AQ344" s="152"/>
      <c r="AR344" s="162">
        <f t="shared" si="212"/>
        <v>3989.4747313818943</v>
      </c>
      <c r="AS344" s="150">
        <f t="shared" si="235"/>
        <v>0</v>
      </c>
      <c r="AT344" s="163">
        <f t="shared" si="213"/>
        <v>0</v>
      </c>
      <c r="AU344" s="163">
        <f t="shared" si="214"/>
        <v>457.80306100307035</v>
      </c>
      <c r="AV344" s="163">
        <f t="shared" si="236"/>
        <v>11.796818084479995</v>
      </c>
      <c r="AW344" s="163">
        <f t="shared" si="215"/>
        <v>16.296719233356125</v>
      </c>
      <c r="AX344" s="163">
        <f t="shared" si="216"/>
        <v>0</v>
      </c>
      <c r="AY344" s="165">
        <f t="shared" si="237"/>
        <v>3559.7652076966601</v>
      </c>
      <c r="AZ344" s="164">
        <f>IF($E344="","",IF(OR(AND($D344=Input!$C$6,$C344=12),$AN344=1),0,-AS345+AT345+AU345-AV345-AW345-AX345+AZ345))</f>
        <v>3559.766332197335</v>
      </c>
      <c r="BA344" s="154">
        <f t="shared" si="217"/>
        <v>1.1245006749049935E-3</v>
      </c>
      <c r="BC344" s="147">
        <f t="shared" si="238"/>
        <v>3.0770157205525235E-2</v>
      </c>
      <c r="BD344" s="164">
        <f>IF(AND($C343=12,$D343=Input!$C$6),0,IF($E344="","",AT344+(AU344+BD345)/(1+$AK344)*MIN((1-AM344-AN344),1)))</f>
        <v>3511.7362364134447</v>
      </c>
      <c r="BE344" s="164">
        <f t="shared" si="218"/>
        <v>108.05667605878122</v>
      </c>
      <c r="BF344" s="164">
        <f t="shared" si="239"/>
        <v>3559.766332197335</v>
      </c>
      <c r="BG344" s="164">
        <f t="shared" si="219"/>
        <v>109.53456965664796</v>
      </c>
      <c r="BH344" s="152"/>
      <c r="BI344" s="162">
        <f t="shared" si="220"/>
        <v>1359.3143829183455</v>
      </c>
      <c r="BJ344" s="150">
        <f t="shared" si="221"/>
        <v>0</v>
      </c>
      <c r="BK344" s="163">
        <f t="shared" si="243"/>
        <v>0</v>
      </c>
      <c r="BL344" s="163">
        <f t="shared" si="222"/>
        <v>384.72537249858442</v>
      </c>
      <c r="BM344" s="163">
        <f t="shared" si="244"/>
        <v>4.0826458212612398</v>
      </c>
      <c r="BN344" s="163">
        <f t="shared" si="223"/>
        <v>3.7797443317394177</v>
      </c>
      <c r="BO344" s="163">
        <f t="shared" si="224"/>
        <v>0</v>
      </c>
      <c r="BP344" s="164">
        <f t="shared" si="245"/>
        <v>982.45140057276171</v>
      </c>
      <c r="BQ344" s="164">
        <f>IF($E344="","",IF(AND($D344=Input!$C$6,$C344=12),0,-BJ345+BK345+BL345-BM345-BN345-BO345+BQ345))</f>
        <v>982.45257576645145</v>
      </c>
      <c r="BR344" s="161">
        <f t="shared" si="225"/>
        <v>0</v>
      </c>
      <c r="BT344" s="147">
        <f t="shared" si="226"/>
        <v>3.0770157205525235E-2</v>
      </c>
      <c r="BU344" s="164">
        <f>IF(AND($C343=12,$D343=Input!$C$6),0,IF($E344="","",BK344+(BL344+BU345)/(1+$AK344)*MIN((1-T344-U344),1)))</f>
        <v>35950.660644320153</v>
      </c>
      <c r="BV344" s="164">
        <f t="shared" si="227"/>
        <v>1106.2074796682202</v>
      </c>
      <c r="BW344" s="164">
        <f t="shared" si="228"/>
        <v>982.45257576645145</v>
      </c>
      <c r="BX344" s="164">
        <f t="shared" si="229"/>
        <v>30.230220203306903</v>
      </c>
    </row>
    <row r="345" spans="1:76" s="150" customFormat="1" x14ac:dyDescent="0.25">
      <c r="A345" s="150">
        <f t="shared" si="240"/>
        <v>341</v>
      </c>
      <c r="B345" s="150">
        <f t="shared" si="241"/>
        <v>29</v>
      </c>
      <c r="C345" s="150">
        <f t="shared" si="242"/>
        <v>5</v>
      </c>
      <c r="D345" s="150">
        <f>IF(E345="","",Input!$C$4+B345-1)</f>
        <v>73</v>
      </c>
      <c r="E345" s="150">
        <f>IF(OR(AND(C344=12,D344=Input!$C$6),E344=""),"",1)</f>
        <v>1</v>
      </c>
      <c r="F345" s="150">
        <f>IF(E345="","",Input!$C$8+B345-1)</f>
        <v>2046</v>
      </c>
      <c r="G345" s="151">
        <f>IF(E345="","",MAX(0,Input!$C$9-B345))</f>
        <v>0</v>
      </c>
      <c r="H345" s="152">
        <f>IF(E345="","",Input!$C$3)</f>
        <v>100000</v>
      </c>
      <c r="I345" s="153">
        <f>IF(E345="","",HLOOKUP($B345,Input!$C$13:$BT$14,2))</f>
        <v>46.329500000000003</v>
      </c>
      <c r="J345" s="154"/>
      <c r="K345" s="155">
        <f>IF($E345="","",INDEX(Input!$C$16:$CP$16,1,$B345))</f>
        <v>2.7799999999999998E-2</v>
      </c>
      <c r="L345" s="155">
        <f>IF($E345="","",Input!$C$37)</f>
        <v>1.4999999999999999E-2</v>
      </c>
      <c r="M345" s="155">
        <f t="shared" si="205"/>
        <v>4.2799999999999998E-2</v>
      </c>
      <c r="N345" s="155">
        <f t="shared" si="206"/>
        <v>3.4985559667248811E-3</v>
      </c>
      <c r="O345" s="147">
        <f>IF($E345="","",MIN(VLOOKUP(IF($B345&lt;=Input!$C$7,$B345,26),'Mortality Tables'!$A$41:$CW$67,IF($B345&lt;=Input!$C$7+1,Input!$C$4+2,$D345-Input!$C$7+2),0)*IF(B345&gt;20,Input!$C$22,1)/1000,1))</f>
        <v>5.2013600000000007E-2</v>
      </c>
      <c r="P345" s="147">
        <f>IF($E345="","",MIN(VLOOKUP(IF($B345&lt;=Input!$C$7,$B345,26),'Mortality Tables'!$A$12:$CW$37,IF($B345&lt;=Input!$C$7+1,Input!$C$4+2,$D345-Input!$C$7+2),0)*IF(B345&gt;20,Input!$C$22,1)/1000,1))</f>
        <v>6.5017000000000005E-2</v>
      </c>
      <c r="Q345" s="155">
        <f>IF($E345="","",Input!$C$21)</f>
        <v>5.0000000000000001E-3</v>
      </c>
      <c r="R345" s="159">
        <f>IF($E345="","",(1-Q345)^($F345-Input!$C$20))</f>
        <v>0.86905299554526039</v>
      </c>
      <c r="S345" s="147">
        <f t="shared" si="208"/>
        <v>4.5202574889092961E-2</v>
      </c>
      <c r="T345" s="147">
        <f t="shared" si="209"/>
        <v>3.8472537249858441E-3</v>
      </c>
      <c r="U345" s="160">
        <f>IF($E345="","",IF($C345=12,INDEX(Input!$C$15:$CP$15,1,$B345),0))</f>
        <v>0</v>
      </c>
      <c r="V345" s="150">
        <f>IF(E345="","",IF(C345=1,IF($B345=1,Input!$C$33,Input!$C$34),0))</f>
        <v>0</v>
      </c>
      <c r="W345" s="156">
        <f>IF($E345="","",Input!$C$35)</f>
        <v>0.02</v>
      </c>
      <c r="X345" s="156">
        <f t="shared" si="207"/>
        <v>1.7410242061739281</v>
      </c>
      <c r="Y345" s="154"/>
      <c r="Z345" s="147">
        <f>IF($E345="","",VLOOKUP($D345,'Mortality Margins &amp; Grading'!$AB$5:$AF$125,3,0)*IF(Summary!$D$25="Included Margin",IF(AND($B345&gt;Input!$C$9,Summary!$D$31&lt;&gt;"Included Margin"),0,1),0))</f>
        <v>0.03</v>
      </c>
      <c r="AA345" s="147">
        <f>IF($E345="","",VLOOKUP($D345,'Mortality Margins &amp; Grading'!$AB$5:$AF$125,5,0)*IF(Summary!$D$25="Included Margin",IF(AND($B345&gt;Input!$C$9,Summary!$D$31&lt;&gt;"Included Margin"),0,1),0))</f>
        <v>0.156</v>
      </c>
      <c r="AB345" s="147">
        <f>IF($E345="","",IF(AND($B345&gt;Input!$C$9,Summary!$D$31&lt;&gt;"Included Margin"),1,IF(Summary!$D$25="Included Margin",VLOOKUP($B345,'Mortality Margins &amp; Grading'!$AI$5:$AR$125,MATCH('Mortality Margins &amp; Grading'!$AQ$4,'Mortality Margins &amp; Grading'!$AI$4:$AR$4,0),0),1)))</f>
        <v>1</v>
      </c>
      <c r="AC345" s="154"/>
      <c r="AD345" s="158">
        <f>IF(E345="","",Input!$C$48*IF(Summary!$D$30="Included Margin",IF(AND($B345&gt;Input!$C$9,Summary!$D$31&lt;&gt;"Included Margin"),0,1),0))</f>
        <v>-4.4999999999999997E-3</v>
      </c>
      <c r="AE345" s="159">
        <f>IF(E345="","",IF(Summary!$D$26="Included Margin",IF(AND($B345&gt;Input!$C$9,Summary!$D$31&lt;&gt;"Included Margin"),1,1/$R345),1))</f>
        <v>1.1506778126604131</v>
      </c>
      <c r="AF345" s="160">
        <f>IF(E345="","",IF(AND($B345&gt;=Input!$C$9,$C345=12,Summary!$D$31="Included Margin",$U345&gt;0),1/U345-1,IF($B345&gt;=Input!$C$9,0,Input!$C$45*IF(Summary!$D$27="Included Margin",1,0))))</f>
        <v>0</v>
      </c>
      <c r="AG345" s="160">
        <f>IF(E345="","",Input!$C$46*IF(Summary!$D$28="Included Margin",IF(AND($B345&gt;Input!$C$9,Summary!$D$31&lt;&gt;"Included Margin"),0,1),0))</f>
        <v>0.02</v>
      </c>
      <c r="AH345" s="158">
        <f>IF(E345="","",Input!$C$47*IF(Summary!$D$29="Included Margin",IF(AND($B345&gt;Input!$C$9,Summary!$D$31&lt;&gt;"Included Margin"),0,1),0))</f>
        <v>2.5000000000000001E-3</v>
      </c>
      <c r="AI345" s="154"/>
      <c r="AJ345" s="158">
        <f t="shared" si="230"/>
        <v>3.8300000000000001E-2</v>
      </c>
      <c r="AK345" s="155">
        <f t="shared" si="231"/>
        <v>3.1369733958956925E-3</v>
      </c>
      <c r="AL345" s="147">
        <f t="shared" si="232"/>
        <v>5.3574008000000006E-2</v>
      </c>
      <c r="AM345" s="147">
        <f t="shared" si="210"/>
        <v>4.5780306100307033E-3</v>
      </c>
      <c r="AN345" s="160">
        <f t="shared" si="233"/>
        <v>0</v>
      </c>
      <c r="AO345" s="161">
        <f t="shared" si="234"/>
        <v>0</v>
      </c>
      <c r="AP345" s="156">
        <f t="shared" si="211"/>
        <v>1.8645449900667919</v>
      </c>
      <c r="AQ345" s="152"/>
      <c r="AR345" s="162">
        <f t="shared" si="212"/>
        <v>3559.7652076966597</v>
      </c>
      <c r="AS345" s="150">
        <f t="shared" si="235"/>
        <v>0</v>
      </c>
      <c r="AT345" s="163">
        <f t="shared" si="213"/>
        <v>0</v>
      </c>
      <c r="AU345" s="163">
        <f t="shared" si="214"/>
        <v>457.80306100307035</v>
      </c>
      <c r="AV345" s="163">
        <f t="shared" si="236"/>
        <v>10.448830740716403</v>
      </c>
      <c r="AW345" s="163">
        <f t="shared" si="215"/>
        <v>14.314248943511339</v>
      </c>
      <c r="AX345" s="163">
        <f t="shared" si="216"/>
        <v>0</v>
      </c>
      <c r="AY345" s="164">
        <f t="shared" si="237"/>
        <v>3126.7252263778169</v>
      </c>
      <c r="AZ345" s="164">
        <f>IF($E345="","",IF(OR(AND($D345=Input!$C$6,$C345=12),$AN345=1),0,-AS346+AT346+AU346-AV346-AW346-AX346+AZ346))</f>
        <v>3126.7263508784922</v>
      </c>
      <c r="BA345" s="154">
        <f t="shared" si="217"/>
        <v>1.1245006753597409E-3</v>
      </c>
      <c r="BC345" s="147">
        <f t="shared" si="238"/>
        <v>3.0651776603597879E-2</v>
      </c>
      <c r="BD345" s="164">
        <f>IF(AND($C344=12,$D344=Input!$C$6),0,IF($E345="","",AT345+(AU345+BD346)/(1+$AK345)*MIN((1-AM345-AN345),1)))</f>
        <v>3081.1508378337685</v>
      </c>
      <c r="BE345" s="164">
        <f t="shared" si="218"/>
        <v>94.442747163269104</v>
      </c>
      <c r="BF345" s="164">
        <f t="shared" si="239"/>
        <v>3126.7263508784922</v>
      </c>
      <c r="BG345" s="164">
        <f t="shared" si="219"/>
        <v>95.839717607710341</v>
      </c>
      <c r="BH345" s="152"/>
      <c r="BI345" s="162">
        <f t="shared" si="220"/>
        <v>982.45140057276137</v>
      </c>
      <c r="BJ345" s="150">
        <f t="shared" si="221"/>
        <v>0</v>
      </c>
      <c r="BK345" s="163">
        <f t="shared" si="243"/>
        <v>0</v>
      </c>
      <c r="BL345" s="163">
        <f t="shared" si="222"/>
        <v>384.72537249858442</v>
      </c>
      <c r="BM345" s="163">
        <f t="shared" si="244"/>
        <v>2.764169585738363</v>
      </c>
      <c r="BN345" s="163">
        <f t="shared" si="223"/>
        <v>2.3191650875548491</v>
      </c>
      <c r="BO345" s="163">
        <f t="shared" si="224"/>
        <v>0</v>
      </c>
      <c r="BP345" s="164">
        <f t="shared" si="245"/>
        <v>602.80936274747023</v>
      </c>
      <c r="BQ345" s="164">
        <f>IF($E345="","",IF(AND($D345=Input!$C$6,$C345=12),0,-BJ346+BK346+BL346-BM346-BN346-BO346+BQ346))</f>
        <v>602.81053794116019</v>
      </c>
      <c r="BR345" s="161">
        <f t="shared" si="225"/>
        <v>0</v>
      </c>
      <c r="BT345" s="147">
        <f t="shared" si="226"/>
        <v>3.0651776603597879E-2</v>
      </c>
      <c r="BU345" s="164">
        <f>IF(AND($C344=12,$D344=Input!$C$6),0,IF($E345="","",BK345+(BL345+BU346)/(1+$AK345)*MIN((1-T345-U345),1)))</f>
        <v>35817.992579322432</v>
      </c>
      <c r="BV345" s="164">
        <f t="shared" si="227"/>
        <v>1097.8851069307177</v>
      </c>
      <c r="BW345" s="164">
        <f t="shared" si="228"/>
        <v>602.81053794116019</v>
      </c>
      <c r="BX345" s="164">
        <f t="shared" si="229"/>
        <v>18.477213943267106</v>
      </c>
    </row>
    <row r="346" spans="1:76" s="150" customFormat="1" x14ac:dyDescent="0.25">
      <c r="A346" s="150">
        <f t="shared" si="240"/>
        <v>342</v>
      </c>
      <c r="B346" s="150">
        <f t="shared" si="241"/>
        <v>29</v>
      </c>
      <c r="C346" s="150">
        <f t="shared" si="242"/>
        <v>6</v>
      </c>
      <c r="D346" s="150">
        <f>IF(E346="","",Input!$C$4+B346-1)</f>
        <v>73</v>
      </c>
      <c r="E346" s="150">
        <f>IF(OR(AND(C345=12,D345=Input!$C$6),E345=""),"",1)</f>
        <v>1</v>
      </c>
      <c r="F346" s="150">
        <f>IF(E346="","",Input!$C$8+B346-1)</f>
        <v>2046</v>
      </c>
      <c r="G346" s="151">
        <f>IF(E346="","",MAX(0,Input!$C$9-B346))</f>
        <v>0</v>
      </c>
      <c r="H346" s="152">
        <f>IF(E346="","",Input!$C$3)</f>
        <v>100000</v>
      </c>
      <c r="I346" s="153">
        <f>IF(E346="","",HLOOKUP($B346,Input!$C$13:$BT$14,2))</f>
        <v>46.329500000000003</v>
      </c>
      <c r="J346" s="154"/>
      <c r="K346" s="155">
        <f>IF($E346="","",INDEX(Input!$C$16:$CP$16,1,$B346))</f>
        <v>2.7799999999999998E-2</v>
      </c>
      <c r="L346" s="155">
        <f>IF($E346="","",Input!$C$37)</f>
        <v>1.4999999999999999E-2</v>
      </c>
      <c r="M346" s="155">
        <f t="shared" si="205"/>
        <v>4.2799999999999998E-2</v>
      </c>
      <c r="N346" s="155">
        <f t="shared" si="206"/>
        <v>3.4985559667248811E-3</v>
      </c>
      <c r="O346" s="147">
        <f>IF($E346="","",MIN(VLOOKUP(IF($B346&lt;=Input!$C$7,$B346,26),'Mortality Tables'!$A$41:$CW$67,IF($B346&lt;=Input!$C$7+1,Input!$C$4+2,$D346-Input!$C$7+2),0)*IF(B346&gt;20,Input!$C$22,1)/1000,1))</f>
        <v>5.2013600000000007E-2</v>
      </c>
      <c r="P346" s="147">
        <f>IF($E346="","",MIN(VLOOKUP(IF($B346&lt;=Input!$C$7,$B346,26),'Mortality Tables'!$A$12:$CW$37,IF($B346&lt;=Input!$C$7+1,Input!$C$4+2,$D346-Input!$C$7+2),0)*IF(B346&gt;20,Input!$C$22,1)/1000,1))</f>
        <v>6.5017000000000005E-2</v>
      </c>
      <c r="Q346" s="155">
        <f>IF($E346="","",Input!$C$21)</f>
        <v>5.0000000000000001E-3</v>
      </c>
      <c r="R346" s="159">
        <f>IF($E346="","",(1-Q346)^($F346-Input!$C$20))</f>
        <v>0.86905299554526039</v>
      </c>
      <c r="S346" s="147">
        <f t="shared" si="208"/>
        <v>4.5202574889092961E-2</v>
      </c>
      <c r="T346" s="147">
        <f t="shared" si="209"/>
        <v>3.8472537249858441E-3</v>
      </c>
      <c r="U346" s="160">
        <f>IF($E346="","",IF($C346=12,INDEX(Input!$C$15:$CP$15,1,$B346),0))</f>
        <v>0</v>
      </c>
      <c r="V346" s="150">
        <f>IF(E346="","",IF(C346=1,IF($B346=1,Input!$C$33,Input!$C$34),0))</f>
        <v>0</v>
      </c>
      <c r="W346" s="156">
        <f>IF($E346="","",Input!$C$35)</f>
        <v>0.02</v>
      </c>
      <c r="X346" s="156">
        <f t="shared" si="207"/>
        <v>1.7410242061739281</v>
      </c>
      <c r="Y346" s="154"/>
      <c r="Z346" s="147">
        <f>IF($E346="","",VLOOKUP($D346,'Mortality Margins &amp; Grading'!$AB$5:$AF$125,3,0)*IF(Summary!$D$25="Included Margin",IF(AND($B346&gt;Input!$C$9,Summary!$D$31&lt;&gt;"Included Margin"),0,1),0))</f>
        <v>0.03</v>
      </c>
      <c r="AA346" s="147">
        <f>IF($E346="","",VLOOKUP($D346,'Mortality Margins &amp; Grading'!$AB$5:$AF$125,5,0)*IF(Summary!$D$25="Included Margin",IF(AND($B346&gt;Input!$C$9,Summary!$D$31&lt;&gt;"Included Margin"),0,1),0))</f>
        <v>0.156</v>
      </c>
      <c r="AB346" s="147">
        <f>IF($E346="","",IF(AND($B346&gt;Input!$C$9,Summary!$D$31&lt;&gt;"Included Margin"),1,IF(Summary!$D$25="Included Margin",VLOOKUP($B346,'Mortality Margins &amp; Grading'!$AI$5:$AR$125,MATCH('Mortality Margins &amp; Grading'!$AQ$4,'Mortality Margins &amp; Grading'!$AI$4:$AR$4,0),0),1)))</f>
        <v>1</v>
      </c>
      <c r="AC346" s="154"/>
      <c r="AD346" s="158">
        <f>IF(E346="","",Input!$C$48*IF(Summary!$D$30="Included Margin",IF(AND($B346&gt;Input!$C$9,Summary!$D$31&lt;&gt;"Included Margin"),0,1),0))</f>
        <v>-4.4999999999999997E-3</v>
      </c>
      <c r="AE346" s="159">
        <f>IF(E346="","",IF(Summary!$D$26="Included Margin",IF(AND($B346&gt;Input!$C$9,Summary!$D$31&lt;&gt;"Included Margin"),1,1/$R346),1))</f>
        <v>1.1506778126604131</v>
      </c>
      <c r="AF346" s="160">
        <f>IF(E346="","",IF(AND($B346&gt;=Input!$C$9,$C346=12,Summary!$D$31="Included Margin",$U346&gt;0),1/U346-1,IF($B346&gt;=Input!$C$9,0,Input!$C$45*IF(Summary!$D$27="Included Margin",1,0))))</f>
        <v>0</v>
      </c>
      <c r="AG346" s="160">
        <f>IF(E346="","",Input!$C$46*IF(Summary!$D$28="Included Margin",IF(AND($B346&gt;Input!$C$9,Summary!$D$31&lt;&gt;"Included Margin"),0,1),0))</f>
        <v>0.02</v>
      </c>
      <c r="AH346" s="158">
        <f>IF(E346="","",Input!$C$47*IF(Summary!$D$29="Included Margin",IF(AND($B346&gt;Input!$C$9,Summary!$D$31&lt;&gt;"Included Margin"),0,1),0))</f>
        <v>2.5000000000000001E-3</v>
      </c>
      <c r="AI346" s="154"/>
      <c r="AJ346" s="158">
        <f t="shared" si="230"/>
        <v>3.8300000000000001E-2</v>
      </c>
      <c r="AK346" s="155">
        <f t="shared" si="231"/>
        <v>3.1369733958956925E-3</v>
      </c>
      <c r="AL346" s="147">
        <f t="shared" si="232"/>
        <v>5.3574008000000006E-2</v>
      </c>
      <c r="AM346" s="147">
        <f t="shared" si="210"/>
        <v>4.5780306100307033E-3</v>
      </c>
      <c r="AN346" s="160">
        <f t="shared" si="233"/>
        <v>0</v>
      </c>
      <c r="AO346" s="161">
        <f t="shared" si="234"/>
        <v>0</v>
      </c>
      <c r="AP346" s="156">
        <f t="shared" si="211"/>
        <v>1.8645449900667919</v>
      </c>
      <c r="AQ346" s="152"/>
      <c r="AR346" s="162">
        <f t="shared" si="212"/>
        <v>3126.7252263778173</v>
      </c>
      <c r="AS346" s="150">
        <f t="shared" si="235"/>
        <v>0</v>
      </c>
      <c r="AT346" s="163">
        <f t="shared" si="213"/>
        <v>0</v>
      </c>
      <c r="AU346" s="163">
        <f t="shared" si="214"/>
        <v>457.80306100307035</v>
      </c>
      <c r="AV346" s="163">
        <f t="shared" si="236"/>
        <v>9.0903958399600278</v>
      </c>
      <c r="AW346" s="163">
        <f t="shared" si="215"/>
        <v>12.316413545503273</v>
      </c>
      <c r="AX346" s="163">
        <f t="shared" si="216"/>
        <v>0</v>
      </c>
      <c r="AY346" s="165">
        <f t="shared" si="237"/>
        <v>2690.3289747602098</v>
      </c>
      <c r="AZ346" s="164">
        <f>IF($E346="","",IF(OR(AND($D346=Input!$C$6,$C346=12),$AN346=1),0,-AS347+AT347+AU347-AV347-AW347-AX347+AZ347))</f>
        <v>2690.3300992608852</v>
      </c>
      <c r="BA346" s="154">
        <f t="shared" si="217"/>
        <v>1.1245006753597409E-3</v>
      </c>
      <c r="BC346" s="147">
        <f t="shared" si="238"/>
        <v>3.0533851441882254E-2</v>
      </c>
      <c r="BD346" s="164">
        <f>IF(AND($C345=12,$D345=Input!$C$6),0,IF($E346="","",AT346+(AU346+BD347)/(1+$AK346)*MIN((1-AM346-AN346),1)))</f>
        <v>2647.2281931644047</v>
      </c>
      <c r="BE346" s="164">
        <f t="shared" si="218"/>
        <v>80.830072382844307</v>
      </c>
      <c r="BF346" s="164">
        <f t="shared" si="239"/>
        <v>2690.3300992608852</v>
      </c>
      <c r="BG346" s="164">
        <f t="shared" si="219"/>
        <v>82.146139580456207</v>
      </c>
      <c r="BH346" s="152"/>
      <c r="BI346" s="162">
        <f t="shared" si="220"/>
        <v>602.80936274747023</v>
      </c>
      <c r="BJ346" s="150">
        <f t="shared" si="221"/>
        <v>0</v>
      </c>
      <c r="BK346" s="163">
        <f t="shared" si="243"/>
        <v>0</v>
      </c>
      <c r="BL346" s="163">
        <f t="shared" si="222"/>
        <v>384.72537249858442</v>
      </c>
      <c r="BM346" s="163">
        <f t="shared" si="244"/>
        <v>1.4359706690850977</v>
      </c>
      <c r="BN346" s="163">
        <f t="shared" si="223"/>
        <v>0.84781526907074412</v>
      </c>
      <c r="BO346" s="163">
        <f t="shared" si="224"/>
        <v>0</v>
      </c>
      <c r="BP346" s="164">
        <f t="shared" si="245"/>
        <v>220.36777618704164</v>
      </c>
      <c r="BQ346" s="164">
        <f>IF($E346="","",IF(AND($D346=Input!$C$6,$C346=12),0,-BJ347+BK347+BL347-BM347-BN347-BO347+BQ347))</f>
        <v>220.36895138073163</v>
      </c>
      <c r="BR346" s="161">
        <f t="shared" si="225"/>
        <v>0</v>
      </c>
      <c r="BT346" s="147">
        <f t="shared" si="226"/>
        <v>3.0533851441882254E-2</v>
      </c>
      <c r="BU346" s="164">
        <f>IF(AND($C345=12,$D345=Input!$C$6),0,IF($E346="","",BK346+(BL346+BU347)/(1+$AK346)*MIN((1-T346-U346),1)))</f>
        <v>35684.394351856055</v>
      </c>
      <c r="BV346" s="164">
        <f t="shared" si="227"/>
        <v>1089.581995933115</v>
      </c>
      <c r="BW346" s="164">
        <f t="shared" si="228"/>
        <v>220.36895138073163</v>
      </c>
      <c r="BX346" s="164">
        <f t="shared" si="229"/>
        <v>6.728712823862633</v>
      </c>
    </row>
    <row r="347" spans="1:76" s="150" customFormat="1" x14ac:dyDescent="0.25">
      <c r="A347" s="150">
        <f t="shared" si="240"/>
        <v>343</v>
      </c>
      <c r="B347" s="150">
        <f t="shared" si="241"/>
        <v>29</v>
      </c>
      <c r="C347" s="150">
        <f t="shared" si="242"/>
        <v>7</v>
      </c>
      <c r="D347" s="150">
        <f>IF(E347="","",Input!$C$4+B347-1)</f>
        <v>73</v>
      </c>
      <c r="E347" s="150">
        <f>IF(OR(AND(C346=12,D346=Input!$C$6),E346=""),"",1)</f>
        <v>1</v>
      </c>
      <c r="F347" s="150">
        <f>IF(E347="","",Input!$C$8+B347-1)</f>
        <v>2046</v>
      </c>
      <c r="G347" s="151">
        <f>IF(E347="","",MAX(0,Input!$C$9-B347))</f>
        <v>0</v>
      </c>
      <c r="H347" s="152">
        <f>IF(E347="","",Input!$C$3)</f>
        <v>100000</v>
      </c>
      <c r="I347" s="153">
        <f>IF(E347="","",HLOOKUP($B347,Input!$C$13:$BT$14,2))</f>
        <v>46.329500000000003</v>
      </c>
      <c r="J347" s="154"/>
      <c r="K347" s="155">
        <f>IF($E347="","",INDEX(Input!$C$16:$CP$16,1,$B347))</f>
        <v>2.7799999999999998E-2</v>
      </c>
      <c r="L347" s="155">
        <f>IF($E347="","",Input!$C$37)</f>
        <v>1.4999999999999999E-2</v>
      </c>
      <c r="M347" s="155">
        <f t="shared" si="205"/>
        <v>4.2799999999999998E-2</v>
      </c>
      <c r="N347" s="155">
        <f t="shared" si="206"/>
        <v>3.4985559667248811E-3</v>
      </c>
      <c r="O347" s="147">
        <f>IF($E347="","",MIN(VLOOKUP(IF($B347&lt;=Input!$C$7,$B347,26),'Mortality Tables'!$A$41:$CW$67,IF($B347&lt;=Input!$C$7+1,Input!$C$4+2,$D347-Input!$C$7+2),0)*IF(B347&gt;20,Input!$C$22,1)/1000,1))</f>
        <v>5.2013600000000007E-2</v>
      </c>
      <c r="P347" s="147">
        <f>IF($E347="","",MIN(VLOOKUP(IF($B347&lt;=Input!$C$7,$B347,26),'Mortality Tables'!$A$12:$CW$37,IF($B347&lt;=Input!$C$7+1,Input!$C$4+2,$D347-Input!$C$7+2),0)*IF(B347&gt;20,Input!$C$22,1)/1000,1))</f>
        <v>6.5017000000000005E-2</v>
      </c>
      <c r="Q347" s="155">
        <f>IF($E347="","",Input!$C$21)</f>
        <v>5.0000000000000001E-3</v>
      </c>
      <c r="R347" s="159">
        <f>IF($E347="","",(1-Q347)^($F347-Input!$C$20))</f>
        <v>0.86905299554526039</v>
      </c>
      <c r="S347" s="147">
        <f t="shared" si="208"/>
        <v>4.5202574889092961E-2</v>
      </c>
      <c r="T347" s="147">
        <f t="shared" si="209"/>
        <v>3.8472537249858441E-3</v>
      </c>
      <c r="U347" s="160">
        <f>IF($E347="","",IF($C347=12,INDEX(Input!$C$15:$CP$15,1,$B347),0))</f>
        <v>0</v>
      </c>
      <c r="V347" s="150">
        <f>IF(E347="","",IF(C347=1,IF($B347=1,Input!$C$33,Input!$C$34),0))</f>
        <v>0</v>
      </c>
      <c r="W347" s="156">
        <f>IF($E347="","",Input!$C$35)</f>
        <v>0.02</v>
      </c>
      <c r="X347" s="156">
        <f t="shared" si="207"/>
        <v>1.7410242061739281</v>
      </c>
      <c r="Y347" s="154"/>
      <c r="Z347" s="147">
        <f>IF($E347="","",VLOOKUP($D347,'Mortality Margins &amp; Grading'!$AB$5:$AF$125,3,0)*IF(Summary!$D$25="Included Margin",IF(AND($B347&gt;Input!$C$9,Summary!$D$31&lt;&gt;"Included Margin"),0,1),0))</f>
        <v>0.03</v>
      </c>
      <c r="AA347" s="147">
        <f>IF($E347="","",VLOOKUP($D347,'Mortality Margins &amp; Grading'!$AB$5:$AF$125,5,0)*IF(Summary!$D$25="Included Margin",IF(AND($B347&gt;Input!$C$9,Summary!$D$31&lt;&gt;"Included Margin"),0,1),0))</f>
        <v>0.156</v>
      </c>
      <c r="AB347" s="147">
        <f>IF($E347="","",IF(AND($B347&gt;Input!$C$9,Summary!$D$31&lt;&gt;"Included Margin"),1,IF(Summary!$D$25="Included Margin",VLOOKUP($B347,'Mortality Margins &amp; Grading'!$AI$5:$AR$125,MATCH('Mortality Margins &amp; Grading'!$AQ$4,'Mortality Margins &amp; Grading'!$AI$4:$AR$4,0),0),1)))</f>
        <v>1</v>
      </c>
      <c r="AC347" s="154"/>
      <c r="AD347" s="158">
        <f>IF(E347="","",Input!$C$48*IF(Summary!$D$30="Included Margin",IF(AND($B347&gt;Input!$C$9,Summary!$D$31&lt;&gt;"Included Margin"),0,1),0))</f>
        <v>-4.4999999999999997E-3</v>
      </c>
      <c r="AE347" s="159">
        <f>IF(E347="","",IF(Summary!$D$26="Included Margin",IF(AND($B347&gt;Input!$C$9,Summary!$D$31&lt;&gt;"Included Margin"),1,1/$R347),1))</f>
        <v>1.1506778126604131</v>
      </c>
      <c r="AF347" s="160">
        <f>IF(E347="","",IF(AND($B347&gt;=Input!$C$9,$C347=12,Summary!$D$31="Included Margin",$U347&gt;0),1/U347-1,IF($B347&gt;=Input!$C$9,0,Input!$C$45*IF(Summary!$D$27="Included Margin",1,0))))</f>
        <v>0</v>
      </c>
      <c r="AG347" s="160">
        <f>IF(E347="","",Input!$C$46*IF(Summary!$D$28="Included Margin",IF(AND($B347&gt;Input!$C$9,Summary!$D$31&lt;&gt;"Included Margin"),0,1),0))</f>
        <v>0.02</v>
      </c>
      <c r="AH347" s="158">
        <f>IF(E347="","",Input!$C$47*IF(Summary!$D$29="Included Margin",IF(AND($B347&gt;Input!$C$9,Summary!$D$31&lt;&gt;"Included Margin"),0,1),0))</f>
        <v>2.5000000000000001E-3</v>
      </c>
      <c r="AI347" s="154"/>
      <c r="AJ347" s="158">
        <f t="shared" si="230"/>
        <v>3.8300000000000001E-2</v>
      </c>
      <c r="AK347" s="155">
        <f t="shared" si="231"/>
        <v>3.1369733958956925E-3</v>
      </c>
      <c r="AL347" s="147">
        <f t="shared" si="232"/>
        <v>5.3574008000000006E-2</v>
      </c>
      <c r="AM347" s="147">
        <f t="shared" si="210"/>
        <v>4.5780306100307033E-3</v>
      </c>
      <c r="AN347" s="160">
        <f t="shared" si="233"/>
        <v>0</v>
      </c>
      <c r="AO347" s="161">
        <f t="shared" si="234"/>
        <v>0</v>
      </c>
      <c r="AP347" s="156">
        <f t="shared" si="211"/>
        <v>1.8645449900667919</v>
      </c>
      <c r="AQ347" s="152"/>
      <c r="AR347" s="162">
        <f t="shared" si="212"/>
        <v>2690.3289747602103</v>
      </c>
      <c r="AS347" s="150">
        <f t="shared" si="235"/>
        <v>0</v>
      </c>
      <c r="AT347" s="163">
        <f t="shared" si="213"/>
        <v>0</v>
      </c>
      <c r="AU347" s="163">
        <f t="shared" si="214"/>
        <v>457.80306100307035</v>
      </c>
      <c r="AV347" s="163">
        <f t="shared" si="236"/>
        <v>7.7214324085669919</v>
      </c>
      <c r="AW347" s="163">
        <f t="shared" si="215"/>
        <v>10.303093952276711</v>
      </c>
      <c r="AX347" s="163">
        <f t="shared" si="216"/>
        <v>0</v>
      </c>
      <c r="AY347" s="164">
        <f t="shared" si="237"/>
        <v>2250.5504401179837</v>
      </c>
      <c r="AZ347" s="164">
        <f>IF($E347="","",IF(OR(AND($D347=Input!$C$6,$C347=12),$AN347=1),0,-AS348+AT348+AU348-AV348-AW348-AX348+AZ348))</f>
        <v>2250.5515646186586</v>
      </c>
      <c r="BA347" s="154">
        <f t="shared" si="217"/>
        <v>1.1245006749049935E-3</v>
      </c>
      <c r="BC347" s="147">
        <f t="shared" si="238"/>
        <v>3.0416379968184307E-2</v>
      </c>
      <c r="BD347" s="164">
        <f>IF(AND($C346=12,$D346=Input!$C$6),0,IF($E347="","",AT347+(AU347+BD348)/(1+$AK347)*MIN((1-AM347-AN347),1)))</f>
        <v>2209.942437126364</v>
      </c>
      <c r="BE347" s="164">
        <f t="shared" si="218"/>
        <v>67.218448875450747</v>
      </c>
      <c r="BF347" s="164">
        <f t="shared" si="239"/>
        <v>2250.5515646186586</v>
      </c>
      <c r="BG347" s="164">
        <f t="shared" si="219"/>
        <v>68.453631527432819</v>
      </c>
      <c r="BH347" s="152"/>
      <c r="BI347" s="162">
        <f t="shared" si="220"/>
        <v>220.36777618704173</v>
      </c>
      <c r="BJ347" s="150">
        <f t="shared" si="221"/>
        <v>0</v>
      </c>
      <c r="BK347" s="163">
        <f t="shared" si="243"/>
        <v>0</v>
      </c>
      <c r="BL347" s="163">
        <f t="shared" si="222"/>
        <v>384.72537249858442</v>
      </c>
      <c r="BM347" s="163">
        <f t="shared" si="244"/>
        <v>9.7977374500380507E-2</v>
      </c>
      <c r="BN347" s="163">
        <f t="shared" si="223"/>
        <v>-0.63438454786684439</v>
      </c>
      <c r="BO347" s="163">
        <f t="shared" si="224"/>
        <v>0</v>
      </c>
      <c r="BP347" s="164">
        <f t="shared" si="245"/>
        <v>-164.89400348490918</v>
      </c>
      <c r="BQ347" s="164">
        <f>IF($E347="","",IF(AND($D347=Input!$C$6,$C347=12),0,-BJ348+BK348+BL348-BM348-BN348-BO348+BQ348))</f>
        <v>-164.89282829121925</v>
      </c>
      <c r="BR347" s="161">
        <f t="shared" si="225"/>
        <v>0</v>
      </c>
      <c r="BT347" s="147">
        <f t="shared" si="226"/>
        <v>3.0416379968184307E-2</v>
      </c>
      <c r="BU347" s="164">
        <f>IF(AND($C346=12,$D346=Input!$C$6),0,IF($E347="","",BK347+(BL347+BU348)/(1+$AK347)*MIN((1-T347-U347),1)))</f>
        <v>35549.859440365006</v>
      </c>
      <c r="BV347" s="164">
        <f t="shared" si="227"/>
        <v>1081.298032553686</v>
      </c>
      <c r="BW347" s="164">
        <f t="shared" si="228"/>
        <v>-164.89282829121925</v>
      </c>
      <c r="BX347" s="164">
        <f t="shared" si="229"/>
        <v>-5.015442919334296</v>
      </c>
    </row>
    <row r="348" spans="1:76" s="150" customFormat="1" x14ac:dyDescent="0.25">
      <c r="A348" s="150">
        <f t="shared" si="240"/>
        <v>344</v>
      </c>
      <c r="B348" s="150">
        <f t="shared" si="241"/>
        <v>29</v>
      </c>
      <c r="C348" s="150">
        <f t="shared" si="242"/>
        <v>8</v>
      </c>
      <c r="D348" s="150">
        <f>IF(E348="","",Input!$C$4+B348-1)</f>
        <v>73</v>
      </c>
      <c r="E348" s="150">
        <f>IF(OR(AND(C347=12,D347=Input!$C$6),E347=""),"",1)</f>
        <v>1</v>
      </c>
      <c r="F348" s="150">
        <f>IF(E348="","",Input!$C$8+B348-1)</f>
        <v>2046</v>
      </c>
      <c r="G348" s="151">
        <f>IF(E348="","",MAX(0,Input!$C$9-B348))</f>
        <v>0</v>
      </c>
      <c r="H348" s="152">
        <f>IF(E348="","",Input!$C$3)</f>
        <v>100000</v>
      </c>
      <c r="I348" s="153">
        <f>IF(E348="","",HLOOKUP($B348,Input!$C$13:$BT$14,2))</f>
        <v>46.329500000000003</v>
      </c>
      <c r="J348" s="154"/>
      <c r="K348" s="155">
        <f>IF($E348="","",INDEX(Input!$C$16:$CP$16,1,$B348))</f>
        <v>2.7799999999999998E-2</v>
      </c>
      <c r="L348" s="155">
        <f>IF($E348="","",Input!$C$37)</f>
        <v>1.4999999999999999E-2</v>
      </c>
      <c r="M348" s="155">
        <f t="shared" si="205"/>
        <v>4.2799999999999998E-2</v>
      </c>
      <c r="N348" s="155">
        <f t="shared" si="206"/>
        <v>3.4985559667248811E-3</v>
      </c>
      <c r="O348" s="147">
        <f>IF($E348="","",MIN(VLOOKUP(IF($B348&lt;=Input!$C$7,$B348,26),'Mortality Tables'!$A$41:$CW$67,IF($B348&lt;=Input!$C$7+1,Input!$C$4+2,$D348-Input!$C$7+2),0)*IF(B348&gt;20,Input!$C$22,1)/1000,1))</f>
        <v>5.2013600000000007E-2</v>
      </c>
      <c r="P348" s="147">
        <f>IF($E348="","",MIN(VLOOKUP(IF($B348&lt;=Input!$C$7,$B348,26),'Mortality Tables'!$A$12:$CW$37,IF($B348&lt;=Input!$C$7+1,Input!$C$4+2,$D348-Input!$C$7+2),0)*IF(B348&gt;20,Input!$C$22,1)/1000,1))</f>
        <v>6.5017000000000005E-2</v>
      </c>
      <c r="Q348" s="155">
        <f>IF($E348="","",Input!$C$21)</f>
        <v>5.0000000000000001E-3</v>
      </c>
      <c r="R348" s="159">
        <f>IF($E348="","",(1-Q348)^($F348-Input!$C$20))</f>
        <v>0.86905299554526039</v>
      </c>
      <c r="S348" s="147">
        <f t="shared" si="208"/>
        <v>4.5202574889092961E-2</v>
      </c>
      <c r="T348" s="147">
        <f t="shared" si="209"/>
        <v>3.8472537249858441E-3</v>
      </c>
      <c r="U348" s="160">
        <f>IF($E348="","",IF($C348=12,INDEX(Input!$C$15:$CP$15,1,$B348),0))</f>
        <v>0</v>
      </c>
      <c r="V348" s="150">
        <f>IF(E348="","",IF(C348=1,IF($B348=1,Input!$C$33,Input!$C$34),0))</f>
        <v>0</v>
      </c>
      <c r="W348" s="156">
        <f>IF($E348="","",Input!$C$35)</f>
        <v>0.02</v>
      </c>
      <c r="X348" s="156">
        <f t="shared" si="207"/>
        <v>1.7410242061739281</v>
      </c>
      <c r="Y348" s="154"/>
      <c r="Z348" s="147">
        <f>IF($E348="","",VLOOKUP($D348,'Mortality Margins &amp; Grading'!$AB$5:$AF$125,3,0)*IF(Summary!$D$25="Included Margin",IF(AND($B348&gt;Input!$C$9,Summary!$D$31&lt;&gt;"Included Margin"),0,1),0))</f>
        <v>0.03</v>
      </c>
      <c r="AA348" s="147">
        <f>IF($E348="","",VLOOKUP($D348,'Mortality Margins &amp; Grading'!$AB$5:$AF$125,5,0)*IF(Summary!$D$25="Included Margin",IF(AND($B348&gt;Input!$C$9,Summary!$D$31&lt;&gt;"Included Margin"),0,1),0))</f>
        <v>0.156</v>
      </c>
      <c r="AB348" s="147">
        <f>IF($E348="","",IF(AND($B348&gt;Input!$C$9,Summary!$D$31&lt;&gt;"Included Margin"),1,IF(Summary!$D$25="Included Margin",VLOOKUP($B348,'Mortality Margins &amp; Grading'!$AI$5:$AR$125,MATCH('Mortality Margins &amp; Grading'!$AQ$4,'Mortality Margins &amp; Grading'!$AI$4:$AR$4,0),0),1)))</f>
        <v>1</v>
      </c>
      <c r="AC348" s="154"/>
      <c r="AD348" s="158">
        <f>IF(E348="","",Input!$C$48*IF(Summary!$D$30="Included Margin",IF(AND($B348&gt;Input!$C$9,Summary!$D$31&lt;&gt;"Included Margin"),0,1),0))</f>
        <v>-4.4999999999999997E-3</v>
      </c>
      <c r="AE348" s="159">
        <f>IF(E348="","",IF(Summary!$D$26="Included Margin",IF(AND($B348&gt;Input!$C$9,Summary!$D$31&lt;&gt;"Included Margin"),1,1/$R348),1))</f>
        <v>1.1506778126604131</v>
      </c>
      <c r="AF348" s="160">
        <f>IF(E348="","",IF(AND($B348&gt;=Input!$C$9,$C348=12,Summary!$D$31="Included Margin",$U348&gt;0),1/U348-1,IF($B348&gt;=Input!$C$9,0,Input!$C$45*IF(Summary!$D$27="Included Margin",1,0))))</f>
        <v>0</v>
      </c>
      <c r="AG348" s="160">
        <f>IF(E348="","",Input!$C$46*IF(Summary!$D$28="Included Margin",IF(AND($B348&gt;Input!$C$9,Summary!$D$31&lt;&gt;"Included Margin"),0,1),0))</f>
        <v>0.02</v>
      </c>
      <c r="AH348" s="158">
        <f>IF(E348="","",Input!$C$47*IF(Summary!$D$29="Included Margin",IF(AND($B348&gt;Input!$C$9,Summary!$D$31&lt;&gt;"Included Margin"),0,1),0))</f>
        <v>2.5000000000000001E-3</v>
      </c>
      <c r="AI348" s="154"/>
      <c r="AJ348" s="158">
        <f t="shared" si="230"/>
        <v>3.8300000000000001E-2</v>
      </c>
      <c r="AK348" s="155">
        <f t="shared" si="231"/>
        <v>3.1369733958956925E-3</v>
      </c>
      <c r="AL348" s="147">
        <f t="shared" si="232"/>
        <v>5.3574008000000006E-2</v>
      </c>
      <c r="AM348" s="147">
        <f t="shared" si="210"/>
        <v>4.5780306100307033E-3</v>
      </c>
      <c r="AN348" s="160">
        <f t="shared" si="233"/>
        <v>0</v>
      </c>
      <c r="AO348" s="161">
        <f t="shared" si="234"/>
        <v>0</v>
      </c>
      <c r="AP348" s="156">
        <f t="shared" si="211"/>
        <v>1.8645449900667919</v>
      </c>
      <c r="AQ348" s="152"/>
      <c r="AR348" s="162">
        <f t="shared" si="212"/>
        <v>2250.5504401179837</v>
      </c>
      <c r="AS348" s="150">
        <f t="shared" si="235"/>
        <v>0</v>
      </c>
      <c r="AT348" s="163">
        <f t="shared" si="213"/>
        <v>0</v>
      </c>
      <c r="AU348" s="163">
        <f t="shared" si="214"/>
        <v>457.80306100307035</v>
      </c>
      <c r="AV348" s="163">
        <f t="shared" si="236"/>
        <v>6.3418588453083338</v>
      </c>
      <c r="AW348" s="163">
        <f t="shared" si="215"/>
        <v>8.2741701537938894</v>
      </c>
      <c r="AX348" s="163">
        <f t="shared" si="216"/>
        <v>0</v>
      </c>
      <c r="AY348" s="165">
        <f t="shared" si="237"/>
        <v>1807.3634081140156</v>
      </c>
      <c r="AZ348" s="164">
        <f>IF($E348="","",IF(OR(AND($D348=Input!$C$6,$C348=12),$AN348=1),0,-AS349+AT349+AU349-AV349-AW349-AX349+AZ349))</f>
        <v>1807.3645326146907</v>
      </c>
      <c r="BA348" s="154">
        <f t="shared" si="217"/>
        <v>1.1245006751323672E-3</v>
      </c>
      <c r="BC348" s="147">
        <f t="shared" si="238"/>
        <v>3.0299360437051125E-2</v>
      </c>
      <c r="BD348" s="164">
        <f>IF(AND($C347=12,$D347=Input!$C$6),0,IF($E348="","",AT348+(AU348+BD349)/(1+$AK348)*MIN((1-AM348-AN348),1)))</f>
        <v>1769.2675039721751</v>
      </c>
      <c r="BE348" s="164">
        <f t="shared" si="218"/>
        <v>53.607673812414717</v>
      </c>
      <c r="BF348" s="164">
        <f t="shared" si="239"/>
        <v>1807.3645326146907</v>
      </c>
      <c r="BG348" s="164">
        <f t="shared" si="219"/>
        <v>54.761989414834957</v>
      </c>
      <c r="BH348" s="152"/>
      <c r="BI348" s="162">
        <f t="shared" si="220"/>
        <v>-164.89400348490915</v>
      </c>
      <c r="BJ348" s="150">
        <f t="shared" si="221"/>
        <v>0</v>
      </c>
      <c r="BK348" s="163">
        <f t="shared" si="243"/>
        <v>0</v>
      </c>
      <c r="BL348" s="163">
        <f t="shared" si="222"/>
        <v>384.72537249858442</v>
      </c>
      <c r="BM348" s="163">
        <f t="shared" si="244"/>
        <v>-1.2498825235219697</v>
      </c>
      <c r="BN348" s="163">
        <f t="shared" si="223"/>
        <v>-2.1275143730998738</v>
      </c>
      <c r="BO348" s="163">
        <f t="shared" si="224"/>
        <v>0</v>
      </c>
      <c r="BP348" s="164">
        <f t="shared" si="245"/>
        <v>-552.99677288011537</v>
      </c>
      <c r="BQ348" s="164">
        <f>IF($E348="","",IF(AND($D348=Input!$C$6,$C348=12),0,-BJ349+BK349+BL349-BM349-BN349-BO349+BQ349))</f>
        <v>-552.99559768642553</v>
      </c>
      <c r="BR348" s="161">
        <f t="shared" si="225"/>
        <v>0</v>
      </c>
      <c r="BT348" s="147">
        <f t="shared" si="226"/>
        <v>3.0299360437051125E-2</v>
      </c>
      <c r="BU348" s="164">
        <f>IF(AND($C347=12,$D347=Input!$C$6),0,IF($E348="","",BK348+(BL348+BU349)/(1+$AK348)*MIN((1-T348-U348),1)))</f>
        <v>35414.381277569315</v>
      </c>
      <c r="BV348" s="164">
        <f t="shared" si="227"/>
        <v>1073.0331029842278</v>
      </c>
      <c r="BW348" s="164">
        <f t="shared" si="228"/>
        <v>-552.99559768642553</v>
      </c>
      <c r="BX348" s="164">
        <f t="shared" si="229"/>
        <v>-16.755412934403523</v>
      </c>
    </row>
    <row r="349" spans="1:76" s="150" customFormat="1" x14ac:dyDescent="0.25">
      <c r="A349" s="150">
        <f t="shared" si="240"/>
        <v>345</v>
      </c>
      <c r="B349" s="150">
        <f t="shared" si="241"/>
        <v>29</v>
      </c>
      <c r="C349" s="150">
        <f t="shared" si="242"/>
        <v>9</v>
      </c>
      <c r="D349" s="150">
        <f>IF(E349="","",Input!$C$4+B349-1)</f>
        <v>73</v>
      </c>
      <c r="E349" s="150">
        <f>IF(OR(AND(C348=12,D348=Input!$C$6),E348=""),"",1)</f>
        <v>1</v>
      </c>
      <c r="F349" s="150">
        <f>IF(E349="","",Input!$C$8+B349-1)</f>
        <v>2046</v>
      </c>
      <c r="G349" s="151">
        <f>IF(E349="","",MAX(0,Input!$C$9-B349))</f>
        <v>0</v>
      </c>
      <c r="H349" s="152">
        <f>IF(E349="","",Input!$C$3)</f>
        <v>100000</v>
      </c>
      <c r="I349" s="153">
        <f>IF(E349="","",HLOOKUP($B349,Input!$C$13:$BT$14,2))</f>
        <v>46.329500000000003</v>
      </c>
      <c r="J349" s="154"/>
      <c r="K349" s="155">
        <f>IF($E349="","",INDEX(Input!$C$16:$CP$16,1,$B349))</f>
        <v>2.7799999999999998E-2</v>
      </c>
      <c r="L349" s="155">
        <f>IF($E349="","",Input!$C$37)</f>
        <v>1.4999999999999999E-2</v>
      </c>
      <c r="M349" s="155">
        <f t="shared" si="205"/>
        <v>4.2799999999999998E-2</v>
      </c>
      <c r="N349" s="155">
        <f t="shared" si="206"/>
        <v>3.4985559667248811E-3</v>
      </c>
      <c r="O349" s="147">
        <f>IF($E349="","",MIN(VLOOKUP(IF($B349&lt;=Input!$C$7,$B349,26),'Mortality Tables'!$A$41:$CW$67,IF($B349&lt;=Input!$C$7+1,Input!$C$4+2,$D349-Input!$C$7+2),0)*IF(B349&gt;20,Input!$C$22,1)/1000,1))</f>
        <v>5.2013600000000007E-2</v>
      </c>
      <c r="P349" s="147">
        <f>IF($E349="","",MIN(VLOOKUP(IF($B349&lt;=Input!$C$7,$B349,26),'Mortality Tables'!$A$12:$CW$37,IF($B349&lt;=Input!$C$7+1,Input!$C$4+2,$D349-Input!$C$7+2),0)*IF(B349&gt;20,Input!$C$22,1)/1000,1))</f>
        <v>6.5017000000000005E-2</v>
      </c>
      <c r="Q349" s="155">
        <f>IF($E349="","",Input!$C$21)</f>
        <v>5.0000000000000001E-3</v>
      </c>
      <c r="R349" s="159">
        <f>IF($E349="","",(1-Q349)^($F349-Input!$C$20))</f>
        <v>0.86905299554526039</v>
      </c>
      <c r="S349" s="147">
        <f t="shared" si="208"/>
        <v>4.5202574889092961E-2</v>
      </c>
      <c r="T349" s="147">
        <f t="shared" si="209"/>
        <v>3.8472537249858441E-3</v>
      </c>
      <c r="U349" s="160">
        <f>IF($E349="","",IF($C349=12,INDEX(Input!$C$15:$CP$15,1,$B349),0))</f>
        <v>0</v>
      </c>
      <c r="V349" s="150">
        <f>IF(E349="","",IF(C349=1,IF($B349=1,Input!$C$33,Input!$C$34),0))</f>
        <v>0</v>
      </c>
      <c r="W349" s="156">
        <f>IF($E349="","",Input!$C$35)</f>
        <v>0.02</v>
      </c>
      <c r="X349" s="156">
        <f t="shared" si="207"/>
        <v>1.7410242061739281</v>
      </c>
      <c r="Y349" s="154"/>
      <c r="Z349" s="147">
        <f>IF($E349="","",VLOOKUP($D349,'Mortality Margins &amp; Grading'!$AB$5:$AF$125,3,0)*IF(Summary!$D$25="Included Margin",IF(AND($B349&gt;Input!$C$9,Summary!$D$31&lt;&gt;"Included Margin"),0,1),0))</f>
        <v>0.03</v>
      </c>
      <c r="AA349" s="147">
        <f>IF($E349="","",VLOOKUP($D349,'Mortality Margins &amp; Grading'!$AB$5:$AF$125,5,0)*IF(Summary!$D$25="Included Margin",IF(AND($B349&gt;Input!$C$9,Summary!$D$31&lt;&gt;"Included Margin"),0,1),0))</f>
        <v>0.156</v>
      </c>
      <c r="AB349" s="147">
        <f>IF($E349="","",IF(AND($B349&gt;Input!$C$9,Summary!$D$31&lt;&gt;"Included Margin"),1,IF(Summary!$D$25="Included Margin",VLOOKUP($B349,'Mortality Margins &amp; Grading'!$AI$5:$AR$125,MATCH('Mortality Margins &amp; Grading'!$AQ$4,'Mortality Margins &amp; Grading'!$AI$4:$AR$4,0),0),1)))</f>
        <v>1</v>
      </c>
      <c r="AC349" s="154"/>
      <c r="AD349" s="158">
        <f>IF(E349="","",Input!$C$48*IF(Summary!$D$30="Included Margin",IF(AND($B349&gt;Input!$C$9,Summary!$D$31&lt;&gt;"Included Margin"),0,1),0))</f>
        <v>-4.4999999999999997E-3</v>
      </c>
      <c r="AE349" s="159">
        <f>IF(E349="","",IF(Summary!$D$26="Included Margin",IF(AND($B349&gt;Input!$C$9,Summary!$D$31&lt;&gt;"Included Margin"),1,1/$R349),1))</f>
        <v>1.1506778126604131</v>
      </c>
      <c r="AF349" s="160">
        <f>IF(E349="","",IF(AND($B349&gt;=Input!$C$9,$C349=12,Summary!$D$31="Included Margin",$U349&gt;0),1/U349-1,IF($B349&gt;=Input!$C$9,0,Input!$C$45*IF(Summary!$D$27="Included Margin",1,0))))</f>
        <v>0</v>
      </c>
      <c r="AG349" s="160">
        <f>IF(E349="","",Input!$C$46*IF(Summary!$D$28="Included Margin",IF(AND($B349&gt;Input!$C$9,Summary!$D$31&lt;&gt;"Included Margin"),0,1),0))</f>
        <v>0.02</v>
      </c>
      <c r="AH349" s="158">
        <f>IF(E349="","",Input!$C$47*IF(Summary!$D$29="Included Margin",IF(AND($B349&gt;Input!$C$9,Summary!$D$31&lt;&gt;"Included Margin"),0,1),0))</f>
        <v>2.5000000000000001E-3</v>
      </c>
      <c r="AI349" s="154"/>
      <c r="AJ349" s="158">
        <f t="shared" si="230"/>
        <v>3.8300000000000001E-2</v>
      </c>
      <c r="AK349" s="155">
        <f t="shared" si="231"/>
        <v>3.1369733958956925E-3</v>
      </c>
      <c r="AL349" s="147">
        <f t="shared" si="232"/>
        <v>5.3574008000000006E-2</v>
      </c>
      <c r="AM349" s="147">
        <f t="shared" si="210"/>
        <v>4.5780306100307033E-3</v>
      </c>
      <c r="AN349" s="160">
        <f t="shared" si="233"/>
        <v>0</v>
      </c>
      <c r="AO349" s="161">
        <f t="shared" si="234"/>
        <v>0</v>
      </c>
      <c r="AP349" s="156">
        <f t="shared" si="211"/>
        <v>1.8645449900667919</v>
      </c>
      <c r="AQ349" s="152"/>
      <c r="AR349" s="162">
        <f t="shared" si="212"/>
        <v>1807.3634081140158</v>
      </c>
      <c r="AS349" s="150">
        <f t="shared" si="235"/>
        <v>0</v>
      </c>
      <c r="AT349" s="163">
        <f t="shared" si="213"/>
        <v>0</v>
      </c>
      <c r="AU349" s="163">
        <f t="shared" si="214"/>
        <v>457.80306100307035</v>
      </c>
      <c r="AV349" s="163">
        <f t="shared" si="236"/>
        <v>4.9515929165059136</v>
      </c>
      <c r="AW349" s="163">
        <f t="shared" si="215"/>
        <v>6.2295212098809252</v>
      </c>
      <c r="AX349" s="163">
        <f t="shared" si="216"/>
        <v>0</v>
      </c>
      <c r="AY349" s="164">
        <f t="shared" si="237"/>
        <v>1360.7414612373323</v>
      </c>
      <c r="AZ349" s="164">
        <f>IF($E349="","",IF(OR(AND($D349=Input!$C$6,$C349=12),$AN349=1),0,-AS350+AT350+AU350-AV350-AW350-AX350+AZ350))</f>
        <v>1360.7425857380072</v>
      </c>
      <c r="BA349" s="154">
        <f t="shared" si="217"/>
        <v>1.1245006749049935E-3</v>
      </c>
      <c r="BC349" s="147">
        <f t="shared" si="238"/>
        <v>3.0182791109744991E-2</v>
      </c>
      <c r="BD349" s="164">
        <f>IF(AND($C348=12,$D348=Input!$C$6),0,IF($E349="","",AT349+(AU349+BD350)/(1+$AK349)*MIN((1-AM349-AN349),1)))</f>
        <v>1325.1771259321558</v>
      </c>
      <c r="BE349" s="164">
        <f t="shared" si="218"/>
        <v>39.997544375422493</v>
      </c>
      <c r="BF349" s="164">
        <f t="shared" si="239"/>
        <v>1360.7425857380072</v>
      </c>
      <c r="BG349" s="164">
        <f t="shared" si="219"/>
        <v>41.071009219464536</v>
      </c>
      <c r="BH349" s="152"/>
      <c r="BI349" s="162">
        <f t="shared" si="220"/>
        <v>-552.99677288011549</v>
      </c>
      <c r="BJ349" s="150">
        <f t="shared" si="221"/>
        <v>0</v>
      </c>
      <c r="BK349" s="163">
        <f t="shared" si="243"/>
        <v>0</v>
      </c>
      <c r="BL349" s="163">
        <f t="shared" si="222"/>
        <v>384.72537249858442</v>
      </c>
      <c r="BM349" s="163">
        <f t="shared" si="244"/>
        <v>-2.6076817830920196</v>
      </c>
      <c r="BN349" s="163">
        <f t="shared" si="223"/>
        <v>-3.6316548064772802</v>
      </c>
      <c r="BO349" s="163">
        <f t="shared" si="224"/>
        <v>0</v>
      </c>
      <c r="BP349" s="164">
        <f t="shared" si="245"/>
        <v>-943.96148196826925</v>
      </c>
      <c r="BQ349" s="164">
        <f>IF($E349="","",IF(AND($D349=Input!$C$6,$C349=12),0,-BJ350+BK350+BL350-BM350-BN350-BO350+BQ350))</f>
        <v>-943.96030677457929</v>
      </c>
      <c r="BR349" s="161">
        <f t="shared" si="225"/>
        <v>0</v>
      </c>
      <c r="BT349" s="147">
        <f t="shared" si="226"/>
        <v>3.0182791109744991E-2</v>
      </c>
      <c r="BU349" s="164">
        <f>IF(AND($C348=12,$D348=Input!$C$6),0,IF($E349="","",BK349+(BL349+BU350)/(1+$AK349)*MIN((1-T349-U349),1)))</f>
        <v>35277.953250144506</v>
      </c>
      <c r="BV349" s="164">
        <f t="shared" si="227"/>
        <v>1064.7870937284611</v>
      </c>
      <c r="BW349" s="164">
        <f t="shared" si="228"/>
        <v>-943.96030677457929</v>
      </c>
      <c r="BX349" s="164">
        <f t="shared" si="229"/>
        <v>-28.491356755267926</v>
      </c>
    </row>
    <row r="350" spans="1:76" s="150" customFormat="1" x14ac:dyDescent="0.25">
      <c r="A350" s="150">
        <f t="shared" si="240"/>
        <v>346</v>
      </c>
      <c r="B350" s="150">
        <f t="shared" si="241"/>
        <v>29</v>
      </c>
      <c r="C350" s="150">
        <f t="shared" si="242"/>
        <v>10</v>
      </c>
      <c r="D350" s="150">
        <f>IF(E350="","",Input!$C$4+B350-1)</f>
        <v>73</v>
      </c>
      <c r="E350" s="150">
        <f>IF(OR(AND(C349=12,D349=Input!$C$6),E349=""),"",1)</f>
        <v>1</v>
      </c>
      <c r="F350" s="150">
        <f>IF(E350="","",Input!$C$8+B350-1)</f>
        <v>2046</v>
      </c>
      <c r="G350" s="151">
        <f>IF(E350="","",MAX(0,Input!$C$9-B350))</f>
        <v>0</v>
      </c>
      <c r="H350" s="152">
        <f>IF(E350="","",Input!$C$3)</f>
        <v>100000</v>
      </c>
      <c r="I350" s="153">
        <f>IF(E350="","",HLOOKUP($B350,Input!$C$13:$BT$14,2))</f>
        <v>46.329500000000003</v>
      </c>
      <c r="J350" s="154"/>
      <c r="K350" s="155">
        <f>IF($E350="","",INDEX(Input!$C$16:$CP$16,1,$B350))</f>
        <v>2.7799999999999998E-2</v>
      </c>
      <c r="L350" s="155">
        <f>IF($E350="","",Input!$C$37)</f>
        <v>1.4999999999999999E-2</v>
      </c>
      <c r="M350" s="155">
        <f t="shared" si="205"/>
        <v>4.2799999999999998E-2</v>
      </c>
      <c r="N350" s="155">
        <f t="shared" si="206"/>
        <v>3.4985559667248811E-3</v>
      </c>
      <c r="O350" s="147">
        <f>IF($E350="","",MIN(VLOOKUP(IF($B350&lt;=Input!$C$7,$B350,26),'Mortality Tables'!$A$41:$CW$67,IF($B350&lt;=Input!$C$7+1,Input!$C$4+2,$D350-Input!$C$7+2),0)*IF(B350&gt;20,Input!$C$22,1)/1000,1))</f>
        <v>5.2013600000000007E-2</v>
      </c>
      <c r="P350" s="147">
        <f>IF($E350="","",MIN(VLOOKUP(IF($B350&lt;=Input!$C$7,$B350,26),'Mortality Tables'!$A$12:$CW$37,IF($B350&lt;=Input!$C$7+1,Input!$C$4+2,$D350-Input!$C$7+2),0)*IF(B350&gt;20,Input!$C$22,1)/1000,1))</f>
        <v>6.5017000000000005E-2</v>
      </c>
      <c r="Q350" s="155">
        <f>IF($E350="","",Input!$C$21)</f>
        <v>5.0000000000000001E-3</v>
      </c>
      <c r="R350" s="159">
        <f>IF($E350="","",(1-Q350)^($F350-Input!$C$20))</f>
        <v>0.86905299554526039</v>
      </c>
      <c r="S350" s="147">
        <f t="shared" si="208"/>
        <v>4.5202574889092961E-2</v>
      </c>
      <c r="T350" s="147">
        <f t="shared" si="209"/>
        <v>3.8472537249858441E-3</v>
      </c>
      <c r="U350" s="160">
        <f>IF($E350="","",IF($C350=12,INDEX(Input!$C$15:$CP$15,1,$B350),0))</f>
        <v>0</v>
      </c>
      <c r="V350" s="150">
        <f>IF(E350="","",IF(C350=1,IF($B350=1,Input!$C$33,Input!$C$34),0))</f>
        <v>0</v>
      </c>
      <c r="W350" s="156">
        <f>IF($E350="","",Input!$C$35)</f>
        <v>0.02</v>
      </c>
      <c r="X350" s="156">
        <f t="shared" si="207"/>
        <v>1.7410242061739281</v>
      </c>
      <c r="Y350" s="154"/>
      <c r="Z350" s="147">
        <f>IF($E350="","",VLOOKUP($D350,'Mortality Margins &amp; Grading'!$AB$5:$AF$125,3,0)*IF(Summary!$D$25="Included Margin",IF(AND($B350&gt;Input!$C$9,Summary!$D$31&lt;&gt;"Included Margin"),0,1),0))</f>
        <v>0.03</v>
      </c>
      <c r="AA350" s="147">
        <f>IF($E350="","",VLOOKUP($D350,'Mortality Margins &amp; Grading'!$AB$5:$AF$125,5,0)*IF(Summary!$D$25="Included Margin",IF(AND($B350&gt;Input!$C$9,Summary!$D$31&lt;&gt;"Included Margin"),0,1),0))</f>
        <v>0.156</v>
      </c>
      <c r="AB350" s="147">
        <f>IF($E350="","",IF(AND($B350&gt;Input!$C$9,Summary!$D$31&lt;&gt;"Included Margin"),1,IF(Summary!$D$25="Included Margin",VLOOKUP($B350,'Mortality Margins &amp; Grading'!$AI$5:$AR$125,MATCH('Mortality Margins &amp; Grading'!$AQ$4,'Mortality Margins &amp; Grading'!$AI$4:$AR$4,0),0),1)))</f>
        <v>1</v>
      </c>
      <c r="AC350" s="154"/>
      <c r="AD350" s="158">
        <f>IF(E350="","",Input!$C$48*IF(Summary!$D$30="Included Margin",IF(AND($B350&gt;Input!$C$9,Summary!$D$31&lt;&gt;"Included Margin"),0,1),0))</f>
        <v>-4.4999999999999997E-3</v>
      </c>
      <c r="AE350" s="159">
        <f>IF(E350="","",IF(Summary!$D$26="Included Margin",IF(AND($B350&gt;Input!$C$9,Summary!$D$31&lt;&gt;"Included Margin"),1,1/$R350),1))</f>
        <v>1.1506778126604131</v>
      </c>
      <c r="AF350" s="160">
        <f>IF(E350="","",IF(AND($B350&gt;=Input!$C$9,$C350=12,Summary!$D$31="Included Margin",$U350&gt;0),1/U350-1,IF($B350&gt;=Input!$C$9,0,Input!$C$45*IF(Summary!$D$27="Included Margin",1,0))))</f>
        <v>0</v>
      </c>
      <c r="AG350" s="160">
        <f>IF(E350="","",Input!$C$46*IF(Summary!$D$28="Included Margin",IF(AND($B350&gt;Input!$C$9,Summary!$D$31&lt;&gt;"Included Margin"),0,1),0))</f>
        <v>0.02</v>
      </c>
      <c r="AH350" s="158">
        <f>IF(E350="","",Input!$C$47*IF(Summary!$D$29="Included Margin",IF(AND($B350&gt;Input!$C$9,Summary!$D$31&lt;&gt;"Included Margin"),0,1),0))</f>
        <v>2.5000000000000001E-3</v>
      </c>
      <c r="AI350" s="154"/>
      <c r="AJ350" s="158">
        <f t="shared" si="230"/>
        <v>3.8300000000000001E-2</v>
      </c>
      <c r="AK350" s="155">
        <f t="shared" si="231"/>
        <v>3.1369733958956925E-3</v>
      </c>
      <c r="AL350" s="147">
        <f t="shared" si="232"/>
        <v>5.3574008000000006E-2</v>
      </c>
      <c r="AM350" s="147">
        <f t="shared" si="210"/>
        <v>4.5780306100307033E-3</v>
      </c>
      <c r="AN350" s="160">
        <f t="shared" si="233"/>
        <v>0</v>
      </c>
      <c r="AO350" s="161">
        <f t="shared" si="234"/>
        <v>0</v>
      </c>
      <c r="AP350" s="156">
        <f t="shared" si="211"/>
        <v>1.8645449900667919</v>
      </c>
      <c r="AQ350" s="152"/>
      <c r="AR350" s="162">
        <f t="shared" si="212"/>
        <v>1360.7414612373323</v>
      </c>
      <c r="AS350" s="150">
        <f t="shared" si="235"/>
        <v>0</v>
      </c>
      <c r="AT350" s="163">
        <f t="shared" si="213"/>
        <v>0</v>
      </c>
      <c r="AU350" s="163">
        <f t="shared" si="214"/>
        <v>457.80306100307035</v>
      </c>
      <c r="AV350" s="163">
        <f t="shared" si="236"/>
        <v>3.5505517511306186</v>
      </c>
      <c r="AW350" s="163">
        <f t="shared" si="215"/>
        <v>4.1690252430188215</v>
      </c>
      <c r="AX350" s="163">
        <f t="shared" si="216"/>
        <v>0</v>
      </c>
      <c r="AY350" s="165">
        <f t="shared" si="237"/>
        <v>910.65797722841137</v>
      </c>
      <c r="AZ350" s="164">
        <f>IF($E350="","",IF(OR(AND($D350=Input!$C$6,$C350=12),$AN350=1),0,-AS351+AT351+AU351-AV351-AW351-AX351+AZ351))</f>
        <v>910.65910172908639</v>
      </c>
      <c r="BA350" s="154">
        <f t="shared" si="217"/>
        <v>1.1245006750186803E-3</v>
      </c>
      <c r="BC350" s="147">
        <f t="shared" si="238"/>
        <v>3.0066670254217557E-2</v>
      </c>
      <c r="BD350" s="164">
        <f>IF(AND($C349=12,$D349=Input!$C$6),0,IF($E350="","",AT350+(AU350+BD351)/(1+$AK350)*MIN((1-AM350-AN350),1)))</f>
        <v>877.64483164864464</v>
      </c>
      <c r="BE350" s="164">
        <f t="shared" si="218"/>
        <v>26.387857753498078</v>
      </c>
      <c r="BF350" s="164">
        <f t="shared" si="239"/>
        <v>910.65910172908639</v>
      </c>
      <c r="BG350" s="164">
        <f t="shared" si="219"/>
        <v>27.380486925690402</v>
      </c>
      <c r="BH350" s="152"/>
      <c r="BI350" s="162">
        <f t="shared" si="220"/>
        <v>-943.96148196826914</v>
      </c>
      <c r="BJ350" s="150">
        <f t="shared" si="221"/>
        <v>0</v>
      </c>
      <c r="BK350" s="163">
        <f t="shared" si="243"/>
        <v>0</v>
      </c>
      <c r="BL350" s="163">
        <f t="shared" si="222"/>
        <v>384.72537249858442</v>
      </c>
      <c r="BM350" s="163">
        <f t="shared" si="244"/>
        <v>-3.9754936988512366</v>
      </c>
      <c r="BN350" s="163">
        <f t="shared" si="223"/>
        <v>-5.1468870422057966</v>
      </c>
      <c r="BO350" s="163">
        <f t="shared" si="224"/>
        <v>0</v>
      </c>
      <c r="BP350" s="164">
        <f t="shared" si="245"/>
        <v>-1337.8092352079109</v>
      </c>
      <c r="BQ350" s="164">
        <f>IF($E350="","",IF(AND($D350=Input!$C$6,$C350=12),0,-BJ351+BK351+BL351-BM351-BN351-BO351+BQ351))</f>
        <v>-1337.8080600142207</v>
      </c>
      <c r="BR350" s="161">
        <f t="shared" si="225"/>
        <v>0</v>
      </c>
      <c r="BT350" s="147">
        <f t="shared" si="226"/>
        <v>3.0066670254217557E-2</v>
      </c>
      <c r="BU350" s="164">
        <f>IF(AND($C349=12,$D349=Input!$C$6),0,IF($E350="","",BK350+(BL350+BU351)/(1+$AK350)*MIN((1-T350-U350),1)))</f>
        <v>35140.568698398754</v>
      </c>
      <c r="BV350" s="164">
        <f t="shared" si="227"/>
        <v>1056.5598916004344</v>
      </c>
      <c r="BW350" s="164">
        <f t="shared" si="228"/>
        <v>-1337.8080600142207</v>
      </c>
      <c r="BX350" s="164">
        <f t="shared" si="229"/>
        <v>-40.223433803882067</v>
      </c>
    </row>
    <row r="351" spans="1:76" s="150" customFormat="1" x14ac:dyDescent="0.25">
      <c r="A351" s="150">
        <f t="shared" si="240"/>
        <v>347</v>
      </c>
      <c r="B351" s="150">
        <f t="shared" si="241"/>
        <v>29</v>
      </c>
      <c r="C351" s="150">
        <f t="shared" si="242"/>
        <v>11</v>
      </c>
      <c r="D351" s="150">
        <f>IF(E351="","",Input!$C$4+B351-1)</f>
        <v>73</v>
      </c>
      <c r="E351" s="150">
        <f>IF(OR(AND(C350=12,D350=Input!$C$6),E350=""),"",1)</f>
        <v>1</v>
      </c>
      <c r="F351" s="150">
        <f>IF(E351="","",Input!$C$8+B351-1)</f>
        <v>2046</v>
      </c>
      <c r="G351" s="151">
        <f>IF(E351="","",MAX(0,Input!$C$9-B351))</f>
        <v>0</v>
      </c>
      <c r="H351" s="152">
        <f>IF(E351="","",Input!$C$3)</f>
        <v>100000</v>
      </c>
      <c r="I351" s="153">
        <f>IF(E351="","",HLOOKUP($B351,Input!$C$13:$BT$14,2))</f>
        <v>46.329500000000003</v>
      </c>
      <c r="J351" s="154"/>
      <c r="K351" s="155">
        <f>IF($E351="","",INDEX(Input!$C$16:$CP$16,1,$B351))</f>
        <v>2.7799999999999998E-2</v>
      </c>
      <c r="L351" s="155">
        <f>IF($E351="","",Input!$C$37)</f>
        <v>1.4999999999999999E-2</v>
      </c>
      <c r="M351" s="155">
        <f t="shared" si="205"/>
        <v>4.2799999999999998E-2</v>
      </c>
      <c r="N351" s="155">
        <f t="shared" si="206"/>
        <v>3.4985559667248811E-3</v>
      </c>
      <c r="O351" s="147">
        <f>IF($E351="","",MIN(VLOOKUP(IF($B351&lt;=Input!$C$7,$B351,26),'Mortality Tables'!$A$41:$CW$67,IF($B351&lt;=Input!$C$7+1,Input!$C$4+2,$D351-Input!$C$7+2),0)*IF(B351&gt;20,Input!$C$22,1)/1000,1))</f>
        <v>5.2013600000000007E-2</v>
      </c>
      <c r="P351" s="147">
        <f>IF($E351="","",MIN(VLOOKUP(IF($B351&lt;=Input!$C$7,$B351,26),'Mortality Tables'!$A$12:$CW$37,IF($B351&lt;=Input!$C$7+1,Input!$C$4+2,$D351-Input!$C$7+2),0)*IF(B351&gt;20,Input!$C$22,1)/1000,1))</f>
        <v>6.5017000000000005E-2</v>
      </c>
      <c r="Q351" s="155">
        <f>IF($E351="","",Input!$C$21)</f>
        <v>5.0000000000000001E-3</v>
      </c>
      <c r="R351" s="159">
        <f>IF($E351="","",(1-Q351)^($F351-Input!$C$20))</f>
        <v>0.86905299554526039</v>
      </c>
      <c r="S351" s="147">
        <f t="shared" si="208"/>
        <v>4.5202574889092961E-2</v>
      </c>
      <c r="T351" s="147">
        <f t="shared" si="209"/>
        <v>3.8472537249858441E-3</v>
      </c>
      <c r="U351" s="160">
        <f>IF($E351="","",IF($C351=12,INDEX(Input!$C$15:$CP$15,1,$B351),0))</f>
        <v>0</v>
      </c>
      <c r="V351" s="150">
        <f>IF(E351="","",IF(C351=1,IF($B351=1,Input!$C$33,Input!$C$34),0))</f>
        <v>0</v>
      </c>
      <c r="W351" s="156">
        <f>IF($E351="","",Input!$C$35)</f>
        <v>0.02</v>
      </c>
      <c r="X351" s="156">
        <f t="shared" si="207"/>
        <v>1.7410242061739281</v>
      </c>
      <c r="Y351" s="154"/>
      <c r="Z351" s="147">
        <f>IF($E351="","",VLOOKUP($D351,'Mortality Margins &amp; Grading'!$AB$5:$AF$125,3,0)*IF(Summary!$D$25="Included Margin",IF(AND($B351&gt;Input!$C$9,Summary!$D$31&lt;&gt;"Included Margin"),0,1),0))</f>
        <v>0.03</v>
      </c>
      <c r="AA351" s="147">
        <f>IF($E351="","",VLOOKUP($D351,'Mortality Margins &amp; Grading'!$AB$5:$AF$125,5,0)*IF(Summary!$D$25="Included Margin",IF(AND($B351&gt;Input!$C$9,Summary!$D$31&lt;&gt;"Included Margin"),0,1),0))</f>
        <v>0.156</v>
      </c>
      <c r="AB351" s="147">
        <f>IF($E351="","",IF(AND($B351&gt;Input!$C$9,Summary!$D$31&lt;&gt;"Included Margin"),1,IF(Summary!$D$25="Included Margin",VLOOKUP($B351,'Mortality Margins &amp; Grading'!$AI$5:$AR$125,MATCH('Mortality Margins &amp; Grading'!$AQ$4,'Mortality Margins &amp; Grading'!$AI$4:$AR$4,0),0),1)))</f>
        <v>1</v>
      </c>
      <c r="AC351" s="154"/>
      <c r="AD351" s="158">
        <f>IF(E351="","",Input!$C$48*IF(Summary!$D$30="Included Margin",IF(AND($B351&gt;Input!$C$9,Summary!$D$31&lt;&gt;"Included Margin"),0,1),0))</f>
        <v>-4.4999999999999997E-3</v>
      </c>
      <c r="AE351" s="159">
        <f>IF(E351="","",IF(Summary!$D$26="Included Margin",IF(AND($B351&gt;Input!$C$9,Summary!$D$31&lt;&gt;"Included Margin"),1,1/$R351),1))</f>
        <v>1.1506778126604131</v>
      </c>
      <c r="AF351" s="160">
        <f>IF(E351="","",IF(AND($B351&gt;=Input!$C$9,$C351=12,Summary!$D$31="Included Margin",$U351&gt;0),1/U351-1,IF($B351&gt;=Input!$C$9,0,Input!$C$45*IF(Summary!$D$27="Included Margin",1,0))))</f>
        <v>0</v>
      </c>
      <c r="AG351" s="160">
        <f>IF(E351="","",Input!$C$46*IF(Summary!$D$28="Included Margin",IF(AND($B351&gt;Input!$C$9,Summary!$D$31&lt;&gt;"Included Margin"),0,1),0))</f>
        <v>0.02</v>
      </c>
      <c r="AH351" s="158">
        <f>IF(E351="","",Input!$C$47*IF(Summary!$D$29="Included Margin",IF(AND($B351&gt;Input!$C$9,Summary!$D$31&lt;&gt;"Included Margin"),0,1),0))</f>
        <v>2.5000000000000001E-3</v>
      </c>
      <c r="AI351" s="154"/>
      <c r="AJ351" s="158">
        <f t="shared" si="230"/>
        <v>3.8300000000000001E-2</v>
      </c>
      <c r="AK351" s="155">
        <f t="shared" si="231"/>
        <v>3.1369733958956925E-3</v>
      </c>
      <c r="AL351" s="147">
        <f t="shared" si="232"/>
        <v>5.3574008000000006E-2</v>
      </c>
      <c r="AM351" s="147">
        <f t="shared" si="210"/>
        <v>4.5780306100307033E-3</v>
      </c>
      <c r="AN351" s="160">
        <f t="shared" si="233"/>
        <v>0</v>
      </c>
      <c r="AO351" s="161">
        <f t="shared" si="234"/>
        <v>0</v>
      </c>
      <c r="AP351" s="156">
        <f t="shared" si="211"/>
        <v>1.8645449900667919</v>
      </c>
      <c r="AQ351" s="152"/>
      <c r="AR351" s="162">
        <f t="shared" si="212"/>
        <v>910.65797722841126</v>
      </c>
      <c r="AS351" s="150">
        <f t="shared" si="235"/>
        <v>0</v>
      </c>
      <c r="AT351" s="163">
        <f t="shared" si="213"/>
        <v>0</v>
      </c>
      <c r="AU351" s="163">
        <f t="shared" si="214"/>
        <v>457.80306100307035</v>
      </c>
      <c r="AV351" s="163">
        <f t="shared" si="236"/>
        <v>2.1386518358625892</v>
      </c>
      <c r="AW351" s="163">
        <f t="shared" si="215"/>
        <v>2.0925594310785756</v>
      </c>
      <c r="AX351" s="163">
        <f t="shared" si="216"/>
        <v>0</v>
      </c>
      <c r="AY351" s="164">
        <f t="shared" si="237"/>
        <v>457.08612749228212</v>
      </c>
      <c r="AZ351" s="164">
        <f>IF($E351="","",IF(OR(AND($D351=Input!$C$6,$C351=12),$AN351=1),0,-AS352+AT352+AU352-AV352-AW352-AX352+AZ352))</f>
        <v>457.08725199295719</v>
      </c>
      <c r="BA351" s="154">
        <f t="shared" si="217"/>
        <v>1.1245006750755238E-3</v>
      </c>
      <c r="BC351" s="147">
        <f t="shared" si="238"/>
        <v>2.9950996145084098E-2</v>
      </c>
      <c r="BD351" s="164">
        <f>IF(AND($C350=12,$D350=Input!$C$6),0,IF($E351="","",AT351+(AU351+BD352)/(1+$AK351)*MIN((1-AM351-AN351),1)))</f>
        <v>426.64394459809358</v>
      </c>
      <c r="BE351" s="164">
        <f t="shared" si="218"/>
        <v>12.778411139980975</v>
      </c>
      <c r="BF351" s="164">
        <f t="shared" si="239"/>
        <v>457.08725199295719</v>
      </c>
      <c r="BG351" s="164">
        <f t="shared" si="219"/>
        <v>13.690218522408145</v>
      </c>
      <c r="BH351" s="152"/>
      <c r="BI351" s="162">
        <f t="shared" si="220"/>
        <v>-1337.8092352079107</v>
      </c>
      <c r="BJ351" s="150">
        <f t="shared" si="221"/>
        <v>0</v>
      </c>
      <c r="BK351" s="163">
        <f t="shared" si="243"/>
        <v>0</v>
      </c>
      <c r="BL351" s="163">
        <f t="shared" si="222"/>
        <v>384.72537249858442</v>
      </c>
      <c r="BM351" s="163">
        <f t="shared" si="244"/>
        <v>-5.3533921059289735</v>
      </c>
      <c r="BN351" s="163">
        <f t="shared" si="223"/>
        <v>-6.6732928732328531</v>
      </c>
      <c r="BO351" s="163">
        <f t="shared" si="224"/>
        <v>0</v>
      </c>
      <c r="BP351" s="164">
        <f t="shared" si="245"/>
        <v>-1734.561292685657</v>
      </c>
      <c r="BQ351" s="164">
        <f>IF($E351="","",IF(AND($D351=Input!$C$6,$C351=12),0,-BJ352+BK352+BL352-BM352-BN352-BO352+BQ352))</f>
        <v>-1734.560117491967</v>
      </c>
      <c r="BR351" s="161">
        <f t="shared" si="225"/>
        <v>0</v>
      </c>
      <c r="BT351" s="147">
        <f t="shared" si="226"/>
        <v>2.9950996145084098E-2</v>
      </c>
      <c r="BU351" s="164">
        <f>IF(AND($C350=12,$D350=Input!$C$6),0,IF($E351="","",BK351+(BL351+BU352)/(1+$AK351)*MIN((1-T351-U351),1)))</f>
        <v>35002.220915947786</v>
      </c>
      <c r="BV351" s="164">
        <f t="shared" si="227"/>
        <v>1048.3513837229341</v>
      </c>
      <c r="BW351" s="164">
        <f t="shared" si="228"/>
        <v>-1734.560117491967</v>
      </c>
      <c r="BX351" s="164">
        <f t="shared" si="229"/>
        <v>-51.951803392418526</v>
      </c>
    </row>
    <row r="352" spans="1:76" s="150" customFormat="1" x14ac:dyDescent="0.25">
      <c r="A352" s="150">
        <f t="shared" si="240"/>
        <v>348</v>
      </c>
      <c r="B352" s="150">
        <f t="shared" si="241"/>
        <v>29</v>
      </c>
      <c r="C352" s="150">
        <f t="shared" si="242"/>
        <v>12</v>
      </c>
      <c r="D352" s="150">
        <f>IF(E352="","",Input!$C$4+B352-1)</f>
        <v>73</v>
      </c>
      <c r="E352" s="150">
        <f>IF(OR(AND(C351=12,D351=Input!$C$6),E351=""),"",1)</f>
        <v>1</v>
      </c>
      <c r="F352" s="150">
        <f>IF(E352="","",Input!$C$8+B352-1)</f>
        <v>2046</v>
      </c>
      <c r="G352" s="151">
        <f>IF(E352="","",MAX(0,Input!$C$9-B352))</f>
        <v>0</v>
      </c>
      <c r="H352" s="152">
        <f>IF(E352="","",Input!$C$3)</f>
        <v>100000</v>
      </c>
      <c r="I352" s="153">
        <f>IF(E352="","",HLOOKUP($B352,Input!$C$13:$BT$14,2))</f>
        <v>46.329500000000003</v>
      </c>
      <c r="J352" s="154"/>
      <c r="K352" s="155">
        <f>IF($E352="","",INDEX(Input!$C$16:$CP$16,1,$B352))</f>
        <v>2.7799999999999998E-2</v>
      </c>
      <c r="L352" s="155">
        <f>IF($E352="","",Input!$C$37)</f>
        <v>1.4999999999999999E-2</v>
      </c>
      <c r="M352" s="155">
        <f t="shared" si="205"/>
        <v>4.2799999999999998E-2</v>
      </c>
      <c r="N352" s="155">
        <f t="shared" si="206"/>
        <v>3.4985559667248811E-3</v>
      </c>
      <c r="O352" s="147">
        <f>IF($E352="","",MIN(VLOOKUP(IF($B352&lt;=Input!$C$7,$B352,26),'Mortality Tables'!$A$41:$CW$67,IF($B352&lt;=Input!$C$7+1,Input!$C$4+2,$D352-Input!$C$7+2),0)*IF(B352&gt;20,Input!$C$22,1)/1000,1))</f>
        <v>5.2013600000000007E-2</v>
      </c>
      <c r="P352" s="147">
        <f>IF($E352="","",MIN(VLOOKUP(IF($B352&lt;=Input!$C$7,$B352,26),'Mortality Tables'!$A$12:$CW$37,IF($B352&lt;=Input!$C$7+1,Input!$C$4+2,$D352-Input!$C$7+2),0)*IF(B352&gt;20,Input!$C$22,1)/1000,1))</f>
        <v>6.5017000000000005E-2</v>
      </c>
      <c r="Q352" s="155">
        <f>IF($E352="","",Input!$C$21)</f>
        <v>5.0000000000000001E-3</v>
      </c>
      <c r="R352" s="159">
        <f>IF($E352="","",(1-Q352)^($F352-Input!$C$20))</f>
        <v>0.86905299554526039</v>
      </c>
      <c r="S352" s="147">
        <f t="shared" si="208"/>
        <v>4.5202574889092961E-2</v>
      </c>
      <c r="T352" s="147">
        <f t="shared" si="209"/>
        <v>3.8472537249858441E-3</v>
      </c>
      <c r="U352" s="160">
        <f>IF($E352="","",IF($C352=12,INDEX(Input!$C$15:$CP$15,1,$B352),0))</f>
        <v>0.1</v>
      </c>
      <c r="V352" s="150">
        <f>IF(E352="","",IF(C352=1,IF($B352=1,Input!$C$33,Input!$C$34),0))</f>
        <v>0</v>
      </c>
      <c r="W352" s="156">
        <f>IF($E352="","",Input!$C$35)</f>
        <v>0.02</v>
      </c>
      <c r="X352" s="156">
        <f t="shared" si="207"/>
        <v>1.7410242061739281</v>
      </c>
      <c r="Y352" s="154"/>
      <c r="Z352" s="147">
        <f>IF($E352="","",VLOOKUP($D352,'Mortality Margins &amp; Grading'!$AB$5:$AF$125,3,0)*IF(Summary!$D$25="Included Margin",IF(AND($B352&gt;Input!$C$9,Summary!$D$31&lt;&gt;"Included Margin"),0,1),0))</f>
        <v>0.03</v>
      </c>
      <c r="AA352" s="147">
        <f>IF($E352="","",VLOOKUP($D352,'Mortality Margins &amp; Grading'!$AB$5:$AF$125,5,0)*IF(Summary!$D$25="Included Margin",IF(AND($B352&gt;Input!$C$9,Summary!$D$31&lt;&gt;"Included Margin"),0,1),0))</f>
        <v>0.156</v>
      </c>
      <c r="AB352" s="147">
        <f>IF($E352="","",IF(AND($B352&gt;Input!$C$9,Summary!$D$31&lt;&gt;"Included Margin"),1,IF(Summary!$D$25="Included Margin",VLOOKUP($B352,'Mortality Margins &amp; Grading'!$AI$5:$AR$125,MATCH('Mortality Margins &amp; Grading'!$AQ$4,'Mortality Margins &amp; Grading'!$AI$4:$AR$4,0),0),1)))</f>
        <v>1</v>
      </c>
      <c r="AC352" s="154"/>
      <c r="AD352" s="158">
        <f>IF(E352="","",Input!$C$48*IF(Summary!$D$30="Included Margin",IF(AND($B352&gt;Input!$C$9,Summary!$D$31&lt;&gt;"Included Margin"),0,1),0))</f>
        <v>-4.4999999999999997E-3</v>
      </c>
      <c r="AE352" s="159">
        <f>IF(E352="","",IF(Summary!$D$26="Included Margin",IF(AND($B352&gt;Input!$C$9,Summary!$D$31&lt;&gt;"Included Margin"),1,1/$R352),1))</f>
        <v>1.1506778126604131</v>
      </c>
      <c r="AF352" s="160">
        <f>IF(E352="","",IF(AND($B352&gt;=Input!$C$9,$C352=12,Summary!$D$31="Included Margin",$U352&gt;0),1/U352-1,IF($B352&gt;=Input!$C$9,0,Input!$C$45*IF(Summary!$D$27="Included Margin",1,0))))</f>
        <v>9</v>
      </c>
      <c r="AG352" s="160">
        <f>IF(E352="","",Input!$C$46*IF(Summary!$D$28="Included Margin",IF(AND($B352&gt;Input!$C$9,Summary!$D$31&lt;&gt;"Included Margin"),0,1),0))</f>
        <v>0.02</v>
      </c>
      <c r="AH352" s="158">
        <f>IF(E352="","",Input!$C$47*IF(Summary!$D$29="Included Margin",IF(AND($B352&gt;Input!$C$9,Summary!$D$31&lt;&gt;"Included Margin"),0,1),0))</f>
        <v>2.5000000000000001E-3</v>
      </c>
      <c r="AI352" s="154"/>
      <c r="AJ352" s="158">
        <f t="shared" si="230"/>
        <v>3.8300000000000001E-2</v>
      </c>
      <c r="AK352" s="155">
        <f t="shared" si="231"/>
        <v>3.1369733958956925E-3</v>
      </c>
      <c r="AL352" s="147">
        <f t="shared" si="232"/>
        <v>5.3574008000000006E-2</v>
      </c>
      <c r="AM352" s="147">
        <f t="shared" si="210"/>
        <v>4.5780306100307033E-3</v>
      </c>
      <c r="AN352" s="160">
        <f t="shared" si="233"/>
        <v>1</v>
      </c>
      <c r="AO352" s="161">
        <f t="shared" si="234"/>
        <v>0</v>
      </c>
      <c r="AP352" s="156">
        <f t="shared" si="211"/>
        <v>1.8645449900667919</v>
      </c>
      <c r="AQ352" s="152"/>
      <c r="AR352" s="162">
        <f t="shared" si="212"/>
        <v>457.08612749228217</v>
      </c>
      <c r="AS352" s="150">
        <f t="shared" si="235"/>
        <v>0</v>
      </c>
      <c r="AT352" s="163">
        <f t="shared" si="213"/>
        <v>0</v>
      </c>
      <c r="AU352" s="163">
        <f t="shared" si="214"/>
        <v>457.80306100307035</v>
      </c>
      <c r="AV352" s="163">
        <f t="shared" si="236"/>
        <v>0.71580901011315357</v>
      </c>
      <c r="AW352" s="163">
        <f t="shared" si="215"/>
        <v>0</v>
      </c>
      <c r="AX352" s="163">
        <f t="shared" si="216"/>
        <v>0</v>
      </c>
      <c r="AY352" s="165">
        <f t="shared" si="237"/>
        <v>-1.124500675027118E-3</v>
      </c>
      <c r="AZ352" s="164">
        <f>IF($E352="","",IF(OR(AND($D352=Input!$C$6,$C352=12),$AN352=1),0,-AS353+AT353+AU353-AV353-AW353-AX353+AZ353))</f>
        <v>0</v>
      </c>
      <c r="BA352" s="154">
        <f t="shared" si="217"/>
        <v>1.124500675027118E-3</v>
      </c>
      <c r="BC352" s="147">
        <f t="shared" si="238"/>
        <v>2.6840667449089476E-2</v>
      </c>
      <c r="BD352" s="164">
        <f>IF(AND($C351=12,$D351=Input!$C$6),0,IF($E352="","",AT352+(AU352+BD353)/(1+$AK352)*MIN((1-AM352-AN352),1)))</f>
        <v>-27.852418499066836</v>
      </c>
      <c r="BE352" s="164">
        <f t="shared" si="218"/>
        <v>-0.74757750258632083</v>
      </c>
      <c r="BF352" s="164">
        <f t="shared" si="239"/>
        <v>0</v>
      </c>
      <c r="BG352" s="164">
        <f t="shared" si="219"/>
        <v>0</v>
      </c>
      <c r="BH352" s="152"/>
      <c r="BI352" s="162">
        <f t="shared" si="220"/>
        <v>-1734.561292685657</v>
      </c>
      <c r="BJ352" s="150">
        <f t="shared" si="221"/>
        <v>0</v>
      </c>
      <c r="BK352" s="163">
        <f t="shared" si="243"/>
        <v>0</v>
      </c>
      <c r="BL352" s="163">
        <f t="shared" si="222"/>
        <v>384.72537249858442</v>
      </c>
      <c r="BM352" s="163">
        <f t="shared" si="244"/>
        <v>-6.7414513839281156</v>
      </c>
      <c r="BN352" s="163">
        <f t="shared" si="223"/>
        <v>-9.12328299517978</v>
      </c>
      <c r="BO352" s="163">
        <f t="shared" si="224"/>
        <v>-236.22521570827553</v>
      </c>
      <c r="BP352" s="164">
        <f t="shared" si="245"/>
        <v>-2371.3766152716244</v>
      </c>
      <c r="BQ352" s="164">
        <f>IF($E352="","",IF(AND($D352=Input!$C$6,$C352=12),0,-BJ353+BK353+BL353-BM353-BN353-BO353+BQ353))</f>
        <v>-2371.3754400779349</v>
      </c>
      <c r="BR352" s="161">
        <f t="shared" si="225"/>
        <v>0</v>
      </c>
      <c r="BT352" s="147">
        <f t="shared" si="226"/>
        <v>2.6840667449089476E-2</v>
      </c>
      <c r="BU352" s="164">
        <f>IF(AND($C351=12,$D351=Input!$C$6),0,IF($E352="","",BK352+(BL352+BU353)/(1+$AK352)*MIN((1-T352-U352),1)))</f>
        <v>34862.903149387537</v>
      </c>
      <c r="BV352" s="164">
        <f t="shared" si="227"/>
        <v>935.74358974252505</v>
      </c>
      <c r="BW352" s="164">
        <f t="shared" si="228"/>
        <v>-2371.3754400779349</v>
      </c>
      <c r="BX352" s="164">
        <f t="shared" si="229"/>
        <v>-63.649299584070057</v>
      </c>
    </row>
    <row r="353" spans="1:76" s="150" customFormat="1" x14ac:dyDescent="0.25">
      <c r="A353" s="150">
        <f t="shared" si="240"/>
        <v>349</v>
      </c>
      <c r="B353" s="150">
        <f t="shared" si="241"/>
        <v>30</v>
      </c>
      <c r="C353" s="150">
        <f t="shared" si="242"/>
        <v>1</v>
      </c>
      <c r="D353" s="150">
        <f>IF(E353="","",Input!$C$4+B353-1)</f>
        <v>74</v>
      </c>
      <c r="E353" s="150">
        <f>IF(OR(AND(C352=12,D352=Input!$C$6),E352=""),"",1)</f>
        <v>1</v>
      </c>
      <c r="F353" s="150">
        <f>IF(E353="","",Input!$C$8+B353-1)</f>
        <v>2047</v>
      </c>
      <c r="G353" s="151">
        <f>IF(E353="","",MAX(0,Input!$C$9-B353))</f>
        <v>0</v>
      </c>
      <c r="H353" s="152">
        <f>IF(E353="","",Input!$C$3)</f>
        <v>100000</v>
      </c>
      <c r="I353" s="153">
        <f>IF(E353="","",HLOOKUP($B353,Input!$C$13:$BT$14,2))</f>
        <v>52.503500000000003</v>
      </c>
      <c r="J353" s="154"/>
      <c r="K353" s="155">
        <f>IF($E353="","",INDEX(Input!$C$16:$CP$16,1,$B353))</f>
        <v>2.8230000000000002E-2</v>
      </c>
      <c r="L353" s="155">
        <f>IF($E353="","",Input!$C$37)</f>
        <v>1.4999999999999999E-2</v>
      </c>
      <c r="M353" s="155">
        <f t="shared" si="205"/>
        <v>4.3230000000000005E-2</v>
      </c>
      <c r="N353" s="155">
        <f t="shared" si="206"/>
        <v>3.5330322843829531E-3</v>
      </c>
      <c r="O353" s="147">
        <f>IF($E353="","",MIN(VLOOKUP(IF($B353&lt;=Input!$C$7,$B353,26),'Mortality Tables'!$A$41:$CW$67,IF($B353&lt;=Input!$C$7+1,Input!$C$4+2,$D353-Input!$C$7+2),0)*IF(B353&gt;20,Input!$C$22,1)/1000,1))</f>
        <v>5.8997200000000007E-2</v>
      </c>
      <c r="P353" s="147">
        <f>IF($E353="","",MIN(VLOOKUP(IF($B353&lt;=Input!$C$7,$B353,26),'Mortality Tables'!$A$12:$CW$37,IF($B353&lt;=Input!$C$7+1,Input!$C$4+2,$D353-Input!$C$7+2),0)*IF(B353&gt;20,Input!$C$22,1)/1000,1))</f>
        <v>7.3746500000000006E-2</v>
      </c>
      <c r="Q353" s="155">
        <f>IF($E353="","",Input!$C$21)</f>
        <v>5.0000000000000001E-3</v>
      </c>
      <c r="R353" s="159">
        <f>IF($E353="","",(1-Q353)^($F353-Input!$C$20))</f>
        <v>0.86470773056753414</v>
      </c>
      <c r="S353" s="147">
        <f t="shared" si="208"/>
        <v>5.1015334921838934E-2</v>
      </c>
      <c r="T353" s="147">
        <f t="shared" si="209"/>
        <v>4.3540468282786682E-3</v>
      </c>
      <c r="U353" s="160">
        <f>IF($E353="","",IF($C353=12,INDEX(Input!$C$15:$CP$15,1,$B353),0))</f>
        <v>0</v>
      </c>
      <c r="V353" s="150">
        <f>IF(E353="","",IF(C353=1,IF($B353=1,Input!$C$33,Input!$C$34),0))</f>
        <v>50</v>
      </c>
      <c r="W353" s="156">
        <f>IF($E353="","",Input!$C$35)</f>
        <v>0.02</v>
      </c>
      <c r="X353" s="156">
        <f t="shared" si="207"/>
        <v>1.7758446902974065</v>
      </c>
      <c r="Y353" s="154"/>
      <c r="Z353" s="147">
        <f>IF($E353="","",VLOOKUP($D353,'Mortality Margins &amp; Grading'!$AB$5:$AF$125,3,0)*IF(Summary!$D$25="Included Margin",IF(AND($B353&gt;Input!$C$9,Summary!$D$31&lt;&gt;"Included Margin"),0,1),0))</f>
        <v>2.9000000000000001E-2</v>
      </c>
      <c r="AA353" s="147">
        <f>IF($E353="","",VLOOKUP($D353,'Mortality Margins &amp; Grading'!$AB$5:$AF$125,5,0)*IF(Summary!$D$25="Included Margin",IF(AND($B353&gt;Input!$C$9,Summary!$D$31&lt;&gt;"Included Margin"),0,1),0))</f>
        <v>0.151</v>
      </c>
      <c r="AB353" s="147">
        <f>IF($E353="","",IF(AND($B353&gt;Input!$C$9,Summary!$D$31&lt;&gt;"Included Margin"),1,IF(Summary!$D$25="Included Margin",VLOOKUP($B353,'Mortality Margins &amp; Grading'!$AI$5:$AR$125,MATCH('Mortality Margins &amp; Grading'!$AQ$4,'Mortality Margins &amp; Grading'!$AI$4:$AR$4,0),0),1)))</f>
        <v>0.9375</v>
      </c>
      <c r="AC353" s="154"/>
      <c r="AD353" s="158">
        <f>IF(E353="","",Input!$C$48*IF(Summary!$D$30="Included Margin",IF(AND($B353&gt;Input!$C$9,Summary!$D$31&lt;&gt;"Included Margin"),0,1),0))</f>
        <v>-4.4999999999999997E-3</v>
      </c>
      <c r="AE353" s="159">
        <f>IF(E353="","",IF(Summary!$D$26="Included Margin",IF(AND($B353&gt;Input!$C$9,Summary!$D$31&lt;&gt;"Included Margin"),1,1/$R353),1))</f>
        <v>1.1564601132265457</v>
      </c>
      <c r="AF353" s="160">
        <f>IF(E353="","",IF(AND($B353&gt;=Input!$C$9,$C353=12,Summary!$D$31="Included Margin",$U353&gt;0),1/U353-1,IF($B353&gt;=Input!$C$9,0,Input!$C$45*IF(Summary!$D$27="Included Margin",1,0))))</f>
        <v>0</v>
      </c>
      <c r="AG353" s="160">
        <f>IF(E353="","",Input!$C$46*IF(Summary!$D$28="Included Margin",IF(AND($B353&gt;Input!$C$9,Summary!$D$31&lt;&gt;"Included Margin"),0,1),0))</f>
        <v>0.02</v>
      </c>
      <c r="AH353" s="158">
        <f>IF(E353="","",Input!$C$47*IF(Summary!$D$29="Included Margin",IF(AND($B353&gt;Input!$C$9,Summary!$D$31&lt;&gt;"Included Margin"),0,1),0))</f>
        <v>2.5000000000000001E-3</v>
      </c>
      <c r="AI353" s="154"/>
      <c r="AJ353" s="158">
        <f t="shared" si="230"/>
        <v>3.8730000000000007E-2</v>
      </c>
      <c r="AK353" s="155">
        <f t="shared" si="231"/>
        <v>3.171586629417078E-3</v>
      </c>
      <c r="AL353" s="147">
        <f t="shared" si="232"/>
        <v>6.2219000218749994E-2</v>
      </c>
      <c r="AM353" s="147">
        <f t="shared" si="210"/>
        <v>5.3389330446760308E-3</v>
      </c>
      <c r="AN353" s="160">
        <f t="shared" si="233"/>
        <v>0</v>
      </c>
      <c r="AO353" s="161">
        <f t="shared" si="234"/>
        <v>51</v>
      </c>
      <c r="AP353" s="156">
        <f t="shared" si="211"/>
        <v>1.9064972523432946</v>
      </c>
      <c r="AQ353" s="152"/>
      <c r="AR353" s="162">
        <f t="shared" si="212"/>
        <v>953.28918053817574</v>
      </c>
      <c r="AS353" s="150">
        <f t="shared" si="235"/>
        <v>5250.35</v>
      </c>
      <c r="AT353" s="163">
        <f t="shared" si="213"/>
        <v>97.231359869508026</v>
      </c>
      <c r="AU353" s="163">
        <f t="shared" si="214"/>
        <v>533.89330446760312</v>
      </c>
      <c r="AV353" s="163">
        <f t="shared" si="236"/>
        <v>18.520356964808251</v>
      </c>
      <c r="AW353" s="163">
        <f t="shared" si="215"/>
        <v>30.010391465680009</v>
      </c>
      <c r="AX353" s="163">
        <f t="shared" si="216"/>
        <v>0</v>
      </c>
      <c r="AY353" s="164">
        <f t="shared" si="237"/>
        <v>5621.0452646315534</v>
      </c>
      <c r="AZ353" s="164">
        <f>IF($E353="","",IF(OR(AND($D353=Input!$C$6,$C353=12),$AN353=1),0,-AS354+AT354+AU354-AV354-AW354-AX354+AZ354))</f>
        <v>5621.0466051089152</v>
      </c>
      <c r="BA353" s="154">
        <f t="shared" si="217"/>
        <v>1.3404773617367027E-3</v>
      </c>
      <c r="BC353" s="147">
        <f t="shared" si="238"/>
        <v>2.6723801926113885E-2</v>
      </c>
      <c r="BD353" s="164">
        <f>IF(AND($C352=12,$D352=Input!$C$6),0,IF($E353="","",AT353+(AU353+BD354)/(1+$AK353)*MIN((1-AM353-AN353),1)))</f>
        <v>5645.2122254592405</v>
      </c>
      <c r="BE353" s="164">
        <f t="shared" si="218"/>
        <v>150.86153334404929</v>
      </c>
      <c r="BF353" s="164">
        <f t="shared" si="239"/>
        <v>5621.0466051089152</v>
      </c>
      <c r="BG353" s="164">
        <f t="shared" si="219"/>
        <v>150.21573609238555</v>
      </c>
      <c r="BH353" s="152"/>
      <c r="BI353" s="162">
        <f t="shared" si="220"/>
        <v>-2371.3767963968075</v>
      </c>
      <c r="BJ353" s="150">
        <f t="shared" si="221"/>
        <v>5250.35</v>
      </c>
      <c r="BK353" s="163">
        <f t="shared" si="243"/>
        <v>88.79223451487033</v>
      </c>
      <c r="BL353" s="163">
        <f t="shared" si="222"/>
        <v>435.40468282786679</v>
      </c>
      <c r="BM353" s="163">
        <f t="shared" si="244"/>
        <v>9.0886500424587702</v>
      </c>
      <c r="BN353" s="163">
        <f t="shared" si="223"/>
        <v>10.33739403156053</v>
      </c>
      <c r="BO353" s="163">
        <f t="shared" si="224"/>
        <v>0</v>
      </c>
      <c r="BP353" s="164">
        <f t="shared" si="245"/>
        <v>2374.2023303344749</v>
      </c>
      <c r="BQ353" s="164">
        <f>IF($E353="","",IF(AND($D353=Input!$C$6,$C353=12),0,-BJ354+BK354+BL354-BM354-BN354-BO354+BQ354))</f>
        <v>2374.2036866533476</v>
      </c>
      <c r="BR353" s="161">
        <f t="shared" si="225"/>
        <v>0</v>
      </c>
      <c r="BT353" s="147">
        <f t="shared" si="226"/>
        <v>2.6723801926113885E-2</v>
      </c>
      <c r="BU353" s="164">
        <f>IF(AND($C352=12,$D352=Input!$C$6),0,IF($E353="","",BK353+(BL353+BU354)/(1+$AK353)*MIN((1-T353-U353),1)))</f>
        <v>38640.169986510278</v>
      </c>
      <c r="BV353" s="164">
        <f t="shared" si="227"/>
        <v>1032.6122491108713</v>
      </c>
      <c r="BW353" s="164">
        <f t="shared" si="228"/>
        <v>2374.2036866533476</v>
      </c>
      <c r="BX353" s="164">
        <f t="shared" si="229"/>
        <v>63.447749054373418</v>
      </c>
    </row>
    <row r="354" spans="1:76" s="150" customFormat="1" x14ac:dyDescent="0.25">
      <c r="A354" s="150">
        <f t="shared" si="240"/>
        <v>350</v>
      </c>
      <c r="B354" s="150">
        <f t="shared" si="241"/>
        <v>30</v>
      </c>
      <c r="C354" s="150">
        <f t="shared" si="242"/>
        <v>2</v>
      </c>
      <c r="D354" s="150">
        <f>IF(E354="","",Input!$C$4+B354-1)</f>
        <v>74</v>
      </c>
      <c r="E354" s="150">
        <f>IF(OR(AND(C353=12,D353=Input!$C$6),E353=""),"",1)</f>
        <v>1</v>
      </c>
      <c r="F354" s="150">
        <f>IF(E354="","",Input!$C$8+B354-1)</f>
        <v>2047</v>
      </c>
      <c r="G354" s="151">
        <f>IF(E354="","",MAX(0,Input!$C$9-B354))</f>
        <v>0</v>
      </c>
      <c r="H354" s="152">
        <f>IF(E354="","",Input!$C$3)</f>
        <v>100000</v>
      </c>
      <c r="I354" s="153">
        <f>IF(E354="","",HLOOKUP($B354,Input!$C$13:$BT$14,2))</f>
        <v>52.503500000000003</v>
      </c>
      <c r="J354" s="154"/>
      <c r="K354" s="155">
        <f>IF($E354="","",INDEX(Input!$C$16:$CP$16,1,$B354))</f>
        <v>2.8230000000000002E-2</v>
      </c>
      <c r="L354" s="155">
        <f>IF($E354="","",Input!$C$37)</f>
        <v>1.4999999999999999E-2</v>
      </c>
      <c r="M354" s="155">
        <f t="shared" si="205"/>
        <v>4.3230000000000005E-2</v>
      </c>
      <c r="N354" s="155">
        <f t="shared" si="206"/>
        <v>3.5330322843829531E-3</v>
      </c>
      <c r="O354" s="147">
        <f>IF($E354="","",MIN(VLOOKUP(IF($B354&lt;=Input!$C$7,$B354,26),'Mortality Tables'!$A$41:$CW$67,IF($B354&lt;=Input!$C$7+1,Input!$C$4+2,$D354-Input!$C$7+2),0)*IF(B354&gt;20,Input!$C$22,1)/1000,1))</f>
        <v>5.8997200000000007E-2</v>
      </c>
      <c r="P354" s="147">
        <f>IF($E354="","",MIN(VLOOKUP(IF($B354&lt;=Input!$C$7,$B354,26),'Mortality Tables'!$A$12:$CW$37,IF($B354&lt;=Input!$C$7+1,Input!$C$4+2,$D354-Input!$C$7+2),0)*IF(B354&gt;20,Input!$C$22,1)/1000,1))</f>
        <v>7.3746500000000006E-2</v>
      </c>
      <c r="Q354" s="155">
        <f>IF($E354="","",Input!$C$21)</f>
        <v>5.0000000000000001E-3</v>
      </c>
      <c r="R354" s="159">
        <f>IF($E354="","",(1-Q354)^($F354-Input!$C$20))</f>
        <v>0.86470773056753414</v>
      </c>
      <c r="S354" s="147">
        <f t="shared" si="208"/>
        <v>5.1015334921838934E-2</v>
      </c>
      <c r="T354" s="147">
        <f t="shared" si="209"/>
        <v>4.3540468282786682E-3</v>
      </c>
      <c r="U354" s="160">
        <f>IF($E354="","",IF($C354=12,INDEX(Input!$C$15:$CP$15,1,$B354),0))</f>
        <v>0</v>
      </c>
      <c r="V354" s="150">
        <f>IF(E354="","",IF(C354=1,IF($B354=1,Input!$C$33,Input!$C$34),0))</f>
        <v>0</v>
      </c>
      <c r="W354" s="156">
        <f>IF($E354="","",Input!$C$35)</f>
        <v>0.02</v>
      </c>
      <c r="X354" s="156">
        <f t="shared" si="207"/>
        <v>1.7758446902974065</v>
      </c>
      <c r="Y354" s="154"/>
      <c r="Z354" s="147">
        <f>IF($E354="","",VLOOKUP($D354,'Mortality Margins &amp; Grading'!$AB$5:$AF$125,3,0)*IF(Summary!$D$25="Included Margin",IF(AND($B354&gt;Input!$C$9,Summary!$D$31&lt;&gt;"Included Margin"),0,1),0))</f>
        <v>2.9000000000000001E-2</v>
      </c>
      <c r="AA354" s="147">
        <f>IF($E354="","",VLOOKUP($D354,'Mortality Margins &amp; Grading'!$AB$5:$AF$125,5,0)*IF(Summary!$D$25="Included Margin",IF(AND($B354&gt;Input!$C$9,Summary!$D$31&lt;&gt;"Included Margin"),0,1),0))</f>
        <v>0.151</v>
      </c>
      <c r="AB354" s="147">
        <f>IF($E354="","",IF(AND($B354&gt;Input!$C$9,Summary!$D$31&lt;&gt;"Included Margin"),1,IF(Summary!$D$25="Included Margin",VLOOKUP($B354,'Mortality Margins &amp; Grading'!$AI$5:$AR$125,MATCH('Mortality Margins &amp; Grading'!$AQ$4,'Mortality Margins &amp; Grading'!$AI$4:$AR$4,0),0),1)))</f>
        <v>0.9375</v>
      </c>
      <c r="AC354" s="154"/>
      <c r="AD354" s="158">
        <f>IF(E354="","",Input!$C$48*IF(Summary!$D$30="Included Margin",IF(AND($B354&gt;Input!$C$9,Summary!$D$31&lt;&gt;"Included Margin"),0,1),0))</f>
        <v>-4.4999999999999997E-3</v>
      </c>
      <c r="AE354" s="159">
        <f>IF(E354="","",IF(Summary!$D$26="Included Margin",IF(AND($B354&gt;Input!$C$9,Summary!$D$31&lt;&gt;"Included Margin"),1,1/$R354),1))</f>
        <v>1.1564601132265457</v>
      </c>
      <c r="AF354" s="160">
        <f>IF(E354="","",IF(AND($B354&gt;=Input!$C$9,$C354=12,Summary!$D$31="Included Margin",$U354&gt;0),1/U354-1,IF($B354&gt;=Input!$C$9,0,Input!$C$45*IF(Summary!$D$27="Included Margin",1,0))))</f>
        <v>0</v>
      </c>
      <c r="AG354" s="160">
        <f>IF(E354="","",Input!$C$46*IF(Summary!$D$28="Included Margin",IF(AND($B354&gt;Input!$C$9,Summary!$D$31&lt;&gt;"Included Margin"),0,1),0))</f>
        <v>0.02</v>
      </c>
      <c r="AH354" s="158">
        <f>IF(E354="","",Input!$C$47*IF(Summary!$D$29="Included Margin",IF(AND($B354&gt;Input!$C$9,Summary!$D$31&lt;&gt;"Included Margin"),0,1),0))</f>
        <v>2.5000000000000001E-3</v>
      </c>
      <c r="AI354" s="154"/>
      <c r="AJ354" s="158">
        <f t="shared" si="230"/>
        <v>3.8730000000000007E-2</v>
      </c>
      <c r="AK354" s="155">
        <f t="shared" si="231"/>
        <v>3.171586629417078E-3</v>
      </c>
      <c r="AL354" s="147">
        <f t="shared" si="232"/>
        <v>6.2219000218749994E-2</v>
      </c>
      <c r="AM354" s="147">
        <f t="shared" si="210"/>
        <v>5.3389330446760308E-3</v>
      </c>
      <c r="AN354" s="160">
        <f t="shared" si="233"/>
        <v>0</v>
      </c>
      <c r="AO354" s="161">
        <f t="shared" si="234"/>
        <v>0</v>
      </c>
      <c r="AP354" s="156">
        <f t="shared" si="211"/>
        <v>1.9064972523432946</v>
      </c>
      <c r="AQ354" s="152"/>
      <c r="AR354" s="162">
        <f t="shared" si="212"/>
        <v>5621.0452646315534</v>
      </c>
      <c r="AS354" s="150">
        <f t="shared" si="235"/>
        <v>0</v>
      </c>
      <c r="AT354" s="163">
        <f t="shared" si="213"/>
        <v>0</v>
      </c>
      <c r="AU354" s="163">
        <f t="shared" si="214"/>
        <v>533.89330446760312</v>
      </c>
      <c r="AV354" s="163">
        <f t="shared" si="236"/>
        <v>16.980987571661242</v>
      </c>
      <c r="AW354" s="163">
        <f t="shared" si="215"/>
        <v>27.396901438214428</v>
      </c>
      <c r="AX354" s="163">
        <f t="shared" si="216"/>
        <v>0</v>
      </c>
      <c r="AY354" s="165">
        <f t="shared" si="237"/>
        <v>5131.5298491738258</v>
      </c>
      <c r="AZ354" s="164">
        <f>IF($E354="","",IF(OR(AND($D354=Input!$C$6,$C354=12),$AN354=1),0,-AS355+AT355+AU355-AV355-AW355-AX355+AZ355))</f>
        <v>5131.5311896511876</v>
      </c>
      <c r="BA354" s="154">
        <f t="shared" si="217"/>
        <v>1.3404773617367027E-3</v>
      </c>
      <c r="BC354" s="147">
        <f t="shared" si="238"/>
        <v>2.6607445241097941E-2</v>
      </c>
      <c r="BD354" s="164">
        <f>IF(AND($C353=12,$D353=Input!$C$6),0,IF($E354="","",AT354+(AU354+BD355)/(1+$AK354)*MIN((1-AM354-AN354),1)))</f>
        <v>5061.5571986466211</v>
      </c>
      <c r="BE354" s="164">
        <f t="shared" si="218"/>
        <v>134.67510599767508</v>
      </c>
      <c r="BF354" s="164">
        <f t="shared" si="239"/>
        <v>5131.5311896511876</v>
      </c>
      <c r="BG354" s="164">
        <f t="shared" si="219"/>
        <v>136.53693513163014</v>
      </c>
      <c r="BH354" s="152"/>
      <c r="BI354" s="162">
        <f t="shared" si="220"/>
        <v>2374.2023303344749</v>
      </c>
      <c r="BJ354" s="150">
        <f t="shared" si="221"/>
        <v>0</v>
      </c>
      <c r="BK354" s="163">
        <f t="shared" si="243"/>
        <v>0</v>
      </c>
      <c r="BL354" s="163">
        <f t="shared" si="222"/>
        <v>435.40468282786679</v>
      </c>
      <c r="BM354" s="163">
        <f t="shared" si="244"/>
        <v>7.6189840821277537</v>
      </c>
      <c r="BN354" s="163">
        <f t="shared" si="223"/>
        <v>8.511856086750953</v>
      </c>
      <c r="BO354" s="163">
        <f t="shared" si="224"/>
        <v>0</v>
      </c>
      <c r="BP354" s="164">
        <f t="shared" si="245"/>
        <v>1954.9284876754868</v>
      </c>
      <c r="BQ354" s="164">
        <f>IF($E354="","",IF(AND($D354=Input!$C$6,$C354=12),0,-BJ355+BK355+BL355-BM355-BN355-BO355+BQ355))</f>
        <v>1954.9298439943595</v>
      </c>
      <c r="BR354" s="161">
        <f t="shared" si="225"/>
        <v>0</v>
      </c>
      <c r="BT354" s="147">
        <f t="shared" si="226"/>
        <v>2.6607445241097941E-2</v>
      </c>
      <c r="BU354" s="164">
        <f>IF(AND($C353=12,$D353=Input!$C$6),0,IF($E354="","",BK354+(BL354+BU355)/(1+$AK354)*MIN((1-T354-U354),1)))</f>
        <v>38407.365343024001</v>
      </c>
      <c r="BV354" s="164">
        <f t="shared" si="227"/>
        <v>1021.9218702193539</v>
      </c>
      <c r="BW354" s="164">
        <f t="shared" si="228"/>
        <v>1954.9298439943595</v>
      </c>
      <c r="BX354" s="164">
        <f t="shared" si="229"/>
        <v>52.015688774268064</v>
      </c>
    </row>
    <row r="355" spans="1:76" s="150" customFormat="1" x14ac:dyDescent="0.25">
      <c r="A355" s="150">
        <f t="shared" si="240"/>
        <v>351</v>
      </c>
      <c r="B355" s="150">
        <f t="shared" si="241"/>
        <v>30</v>
      </c>
      <c r="C355" s="150">
        <f t="shared" si="242"/>
        <v>3</v>
      </c>
      <c r="D355" s="150">
        <f>IF(E355="","",Input!$C$4+B355-1)</f>
        <v>74</v>
      </c>
      <c r="E355" s="150">
        <f>IF(OR(AND(C354=12,D354=Input!$C$6),E354=""),"",1)</f>
        <v>1</v>
      </c>
      <c r="F355" s="150">
        <f>IF(E355="","",Input!$C$8+B355-1)</f>
        <v>2047</v>
      </c>
      <c r="G355" s="151">
        <f>IF(E355="","",MAX(0,Input!$C$9-B355))</f>
        <v>0</v>
      </c>
      <c r="H355" s="152">
        <f>IF(E355="","",Input!$C$3)</f>
        <v>100000</v>
      </c>
      <c r="I355" s="153">
        <f>IF(E355="","",HLOOKUP($B355,Input!$C$13:$BT$14,2))</f>
        <v>52.503500000000003</v>
      </c>
      <c r="J355" s="154"/>
      <c r="K355" s="155">
        <f>IF($E355="","",INDEX(Input!$C$16:$CP$16,1,$B355))</f>
        <v>2.8230000000000002E-2</v>
      </c>
      <c r="L355" s="155">
        <f>IF($E355="","",Input!$C$37)</f>
        <v>1.4999999999999999E-2</v>
      </c>
      <c r="M355" s="155">
        <f t="shared" si="205"/>
        <v>4.3230000000000005E-2</v>
      </c>
      <c r="N355" s="155">
        <f t="shared" si="206"/>
        <v>3.5330322843829531E-3</v>
      </c>
      <c r="O355" s="147">
        <f>IF($E355="","",MIN(VLOOKUP(IF($B355&lt;=Input!$C$7,$B355,26),'Mortality Tables'!$A$41:$CW$67,IF($B355&lt;=Input!$C$7+1,Input!$C$4+2,$D355-Input!$C$7+2),0)*IF(B355&gt;20,Input!$C$22,1)/1000,1))</f>
        <v>5.8997200000000007E-2</v>
      </c>
      <c r="P355" s="147">
        <f>IF($E355="","",MIN(VLOOKUP(IF($B355&lt;=Input!$C$7,$B355,26),'Mortality Tables'!$A$12:$CW$37,IF($B355&lt;=Input!$C$7+1,Input!$C$4+2,$D355-Input!$C$7+2),0)*IF(B355&gt;20,Input!$C$22,1)/1000,1))</f>
        <v>7.3746500000000006E-2</v>
      </c>
      <c r="Q355" s="155">
        <f>IF($E355="","",Input!$C$21)</f>
        <v>5.0000000000000001E-3</v>
      </c>
      <c r="R355" s="159">
        <f>IF($E355="","",(1-Q355)^($F355-Input!$C$20))</f>
        <v>0.86470773056753414</v>
      </c>
      <c r="S355" s="147">
        <f t="shared" si="208"/>
        <v>5.1015334921838934E-2</v>
      </c>
      <c r="T355" s="147">
        <f t="shared" si="209"/>
        <v>4.3540468282786682E-3</v>
      </c>
      <c r="U355" s="160">
        <f>IF($E355="","",IF($C355=12,INDEX(Input!$C$15:$CP$15,1,$B355),0))</f>
        <v>0</v>
      </c>
      <c r="V355" s="150">
        <f>IF(E355="","",IF(C355=1,IF($B355=1,Input!$C$33,Input!$C$34),0))</f>
        <v>0</v>
      </c>
      <c r="W355" s="156">
        <f>IF($E355="","",Input!$C$35)</f>
        <v>0.02</v>
      </c>
      <c r="X355" s="156">
        <f t="shared" si="207"/>
        <v>1.7758446902974065</v>
      </c>
      <c r="Y355" s="154"/>
      <c r="Z355" s="147">
        <f>IF($E355="","",VLOOKUP($D355,'Mortality Margins &amp; Grading'!$AB$5:$AF$125,3,0)*IF(Summary!$D$25="Included Margin",IF(AND($B355&gt;Input!$C$9,Summary!$D$31&lt;&gt;"Included Margin"),0,1),0))</f>
        <v>2.9000000000000001E-2</v>
      </c>
      <c r="AA355" s="147">
        <f>IF($E355="","",VLOOKUP($D355,'Mortality Margins &amp; Grading'!$AB$5:$AF$125,5,0)*IF(Summary!$D$25="Included Margin",IF(AND($B355&gt;Input!$C$9,Summary!$D$31&lt;&gt;"Included Margin"),0,1),0))</f>
        <v>0.151</v>
      </c>
      <c r="AB355" s="147">
        <f>IF($E355="","",IF(AND($B355&gt;Input!$C$9,Summary!$D$31&lt;&gt;"Included Margin"),1,IF(Summary!$D$25="Included Margin",VLOOKUP($B355,'Mortality Margins &amp; Grading'!$AI$5:$AR$125,MATCH('Mortality Margins &amp; Grading'!$AQ$4,'Mortality Margins &amp; Grading'!$AI$4:$AR$4,0),0),1)))</f>
        <v>0.9375</v>
      </c>
      <c r="AC355" s="154"/>
      <c r="AD355" s="158">
        <f>IF(E355="","",Input!$C$48*IF(Summary!$D$30="Included Margin",IF(AND($B355&gt;Input!$C$9,Summary!$D$31&lt;&gt;"Included Margin"),0,1),0))</f>
        <v>-4.4999999999999997E-3</v>
      </c>
      <c r="AE355" s="159">
        <f>IF(E355="","",IF(Summary!$D$26="Included Margin",IF(AND($B355&gt;Input!$C$9,Summary!$D$31&lt;&gt;"Included Margin"),1,1/$R355),1))</f>
        <v>1.1564601132265457</v>
      </c>
      <c r="AF355" s="160">
        <f>IF(E355="","",IF(AND($B355&gt;=Input!$C$9,$C355=12,Summary!$D$31="Included Margin",$U355&gt;0),1/U355-1,IF($B355&gt;=Input!$C$9,0,Input!$C$45*IF(Summary!$D$27="Included Margin",1,0))))</f>
        <v>0</v>
      </c>
      <c r="AG355" s="160">
        <f>IF(E355="","",Input!$C$46*IF(Summary!$D$28="Included Margin",IF(AND($B355&gt;Input!$C$9,Summary!$D$31&lt;&gt;"Included Margin"),0,1),0))</f>
        <v>0.02</v>
      </c>
      <c r="AH355" s="158">
        <f>IF(E355="","",Input!$C$47*IF(Summary!$D$29="Included Margin",IF(AND($B355&gt;Input!$C$9,Summary!$D$31&lt;&gt;"Included Margin"),0,1),0))</f>
        <v>2.5000000000000001E-3</v>
      </c>
      <c r="AI355" s="154"/>
      <c r="AJ355" s="158">
        <f t="shared" si="230"/>
        <v>3.8730000000000007E-2</v>
      </c>
      <c r="AK355" s="155">
        <f t="shared" si="231"/>
        <v>3.171586629417078E-3</v>
      </c>
      <c r="AL355" s="147">
        <f t="shared" si="232"/>
        <v>6.2219000218749994E-2</v>
      </c>
      <c r="AM355" s="147">
        <f t="shared" si="210"/>
        <v>5.3389330446760308E-3</v>
      </c>
      <c r="AN355" s="160">
        <f t="shared" si="233"/>
        <v>0</v>
      </c>
      <c r="AO355" s="161">
        <f t="shared" si="234"/>
        <v>0</v>
      </c>
      <c r="AP355" s="156">
        <f t="shared" si="211"/>
        <v>1.9064972523432946</v>
      </c>
      <c r="AQ355" s="152"/>
      <c r="AR355" s="162">
        <f t="shared" si="212"/>
        <v>5131.5298491738249</v>
      </c>
      <c r="AS355" s="150">
        <f t="shared" si="235"/>
        <v>0</v>
      </c>
      <c r="AT355" s="163">
        <f t="shared" si="213"/>
        <v>0</v>
      </c>
      <c r="AU355" s="163">
        <f t="shared" si="214"/>
        <v>533.89330446760312</v>
      </c>
      <c r="AV355" s="163">
        <f t="shared" si="236"/>
        <v>15.428447025101962</v>
      </c>
      <c r="AW355" s="163">
        <f t="shared" si="215"/>
        <v>24.761049865660056</v>
      </c>
      <c r="AX355" s="163">
        <f t="shared" si="216"/>
        <v>0</v>
      </c>
      <c r="AY355" s="164">
        <f t="shared" si="237"/>
        <v>4637.8260415969844</v>
      </c>
      <c r="AZ355" s="164">
        <f>IF($E355="","",IF(OR(AND($D355=Input!$C$6,$C355=12),$AN355=1),0,-AS356+AT356+AU356-AV356-AW356-AX356+AZ356))</f>
        <v>4637.8273820743461</v>
      </c>
      <c r="BA355" s="154">
        <f t="shared" si="217"/>
        <v>1.3404773617367027E-3</v>
      </c>
      <c r="BC355" s="147">
        <f t="shared" si="238"/>
        <v>2.6491595178537341E-2</v>
      </c>
      <c r="BD355" s="164">
        <f>IF(AND($C354=12,$D354=Input!$C$6),0,IF($E355="","",AT355+(AU355+BD356)/(1+$AK355)*MIN((1-AM355-AN355),1)))</f>
        <v>4570.9715932050667</v>
      </c>
      <c r="BE355" s="164">
        <f t="shared" si="218"/>
        <v>121.0923290197825</v>
      </c>
      <c r="BF355" s="164">
        <f t="shared" si="239"/>
        <v>4637.8273820743461</v>
      </c>
      <c r="BG355" s="164">
        <f t="shared" si="219"/>
        <v>122.8634455138492</v>
      </c>
      <c r="BH355" s="152"/>
      <c r="BI355" s="162">
        <f t="shared" si="220"/>
        <v>1954.9284876754868</v>
      </c>
      <c r="BJ355" s="150">
        <f t="shared" si="221"/>
        <v>0</v>
      </c>
      <c r="BK355" s="163">
        <f t="shared" si="243"/>
        <v>0</v>
      </c>
      <c r="BL355" s="163">
        <f t="shared" si="222"/>
        <v>435.40468282786679</v>
      </c>
      <c r="BM355" s="163">
        <f t="shared" si="244"/>
        <v>6.1376760600162505</v>
      </c>
      <c r="BN355" s="163">
        <f t="shared" si="223"/>
        <v>6.6718570153250205</v>
      </c>
      <c r="BO355" s="163">
        <f t="shared" si="224"/>
        <v>0</v>
      </c>
      <c r="BP355" s="164">
        <f t="shared" si="245"/>
        <v>1532.3333379229614</v>
      </c>
      <c r="BQ355" s="164">
        <f>IF($E355="","",IF(AND($D355=Input!$C$6,$C355=12),0,-BJ356+BK356+BL356-BM356-BN356-BO356+BQ356))</f>
        <v>1532.3346942418341</v>
      </c>
      <c r="BR355" s="161">
        <f t="shared" si="225"/>
        <v>0</v>
      </c>
      <c r="BT355" s="147">
        <f t="shared" si="226"/>
        <v>2.6491595178537341E-2</v>
      </c>
      <c r="BU355" s="164">
        <f>IF(AND($C354=12,$D354=Input!$C$6),0,IF($E355="","",BK355+(BL355+BU356)/(1+$AK355)*MIN((1-T355-U355),1)))</f>
        <v>38262.264409964453</v>
      </c>
      <c r="BV355" s="164">
        <f t="shared" si="227"/>
        <v>1013.6284193629352</v>
      </c>
      <c r="BW355" s="164">
        <f t="shared" si="228"/>
        <v>1532.3346942418341</v>
      </c>
      <c r="BX355" s="164">
        <f t="shared" si="229"/>
        <v>40.593990397882465</v>
      </c>
    </row>
    <row r="356" spans="1:76" s="150" customFormat="1" x14ac:dyDescent="0.25">
      <c r="A356" s="150">
        <f t="shared" si="240"/>
        <v>352</v>
      </c>
      <c r="B356" s="150">
        <f t="shared" si="241"/>
        <v>30</v>
      </c>
      <c r="C356" s="150">
        <f t="shared" si="242"/>
        <v>4</v>
      </c>
      <c r="D356" s="150">
        <f>IF(E356="","",Input!$C$4+B356-1)</f>
        <v>74</v>
      </c>
      <c r="E356" s="150">
        <f>IF(OR(AND(C355=12,D355=Input!$C$6),E355=""),"",1)</f>
        <v>1</v>
      </c>
      <c r="F356" s="150">
        <f>IF(E356="","",Input!$C$8+B356-1)</f>
        <v>2047</v>
      </c>
      <c r="G356" s="151">
        <f>IF(E356="","",MAX(0,Input!$C$9-B356))</f>
        <v>0</v>
      </c>
      <c r="H356" s="152">
        <f>IF(E356="","",Input!$C$3)</f>
        <v>100000</v>
      </c>
      <c r="I356" s="153">
        <f>IF(E356="","",HLOOKUP($B356,Input!$C$13:$BT$14,2))</f>
        <v>52.503500000000003</v>
      </c>
      <c r="J356" s="154"/>
      <c r="K356" s="155">
        <f>IF($E356="","",INDEX(Input!$C$16:$CP$16,1,$B356))</f>
        <v>2.8230000000000002E-2</v>
      </c>
      <c r="L356" s="155">
        <f>IF($E356="","",Input!$C$37)</f>
        <v>1.4999999999999999E-2</v>
      </c>
      <c r="M356" s="155">
        <f t="shared" si="205"/>
        <v>4.3230000000000005E-2</v>
      </c>
      <c r="N356" s="155">
        <f t="shared" si="206"/>
        <v>3.5330322843829531E-3</v>
      </c>
      <c r="O356" s="147">
        <f>IF($E356="","",MIN(VLOOKUP(IF($B356&lt;=Input!$C$7,$B356,26),'Mortality Tables'!$A$41:$CW$67,IF($B356&lt;=Input!$C$7+1,Input!$C$4+2,$D356-Input!$C$7+2),0)*IF(B356&gt;20,Input!$C$22,1)/1000,1))</f>
        <v>5.8997200000000007E-2</v>
      </c>
      <c r="P356" s="147">
        <f>IF($E356="","",MIN(VLOOKUP(IF($B356&lt;=Input!$C$7,$B356,26),'Mortality Tables'!$A$12:$CW$37,IF($B356&lt;=Input!$C$7+1,Input!$C$4+2,$D356-Input!$C$7+2),0)*IF(B356&gt;20,Input!$C$22,1)/1000,1))</f>
        <v>7.3746500000000006E-2</v>
      </c>
      <c r="Q356" s="155">
        <f>IF($E356="","",Input!$C$21)</f>
        <v>5.0000000000000001E-3</v>
      </c>
      <c r="R356" s="159">
        <f>IF($E356="","",(1-Q356)^($F356-Input!$C$20))</f>
        <v>0.86470773056753414</v>
      </c>
      <c r="S356" s="147">
        <f t="shared" si="208"/>
        <v>5.1015334921838934E-2</v>
      </c>
      <c r="T356" s="147">
        <f t="shared" si="209"/>
        <v>4.3540468282786682E-3</v>
      </c>
      <c r="U356" s="160">
        <f>IF($E356="","",IF($C356=12,INDEX(Input!$C$15:$CP$15,1,$B356),0))</f>
        <v>0</v>
      </c>
      <c r="V356" s="150">
        <f>IF(E356="","",IF(C356=1,IF($B356=1,Input!$C$33,Input!$C$34),0))</f>
        <v>0</v>
      </c>
      <c r="W356" s="156">
        <f>IF($E356="","",Input!$C$35)</f>
        <v>0.02</v>
      </c>
      <c r="X356" s="156">
        <f t="shared" si="207"/>
        <v>1.7758446902974065</v>
      </c>
      <c r="Y356" s="154"/>
      <c r="Z356" s="147">
        <f>IF($E356="","",VLOOKUP($D356,'Mortality Margins &amp; Grading'!$AB$5:$AF$125,3,0)*IF(Summary!$D$25="Included Margin",IF(AND($B356&gt;Input!$C$9,Summary!$D$31&lt;&gt;"Included Margin"),0,1),0))</f>
        <v>2.9000000000000001E-2</v>
      </c>
      <c r="AA356" s="147">
        <f>IF($E356="","",VLOOKUP($D356,'Mortality Margins &amp; Grading'!$AB$5:$AF$125,5,0)*IF(Summary!$D$25="Included Margin",IF(AND($B356&gt;Input!$C$9,Summary!$D$31&lt;&gt;"Included Margin"),0,1),0))</f>
        <v>0.151</v>
      </c>
      <c r="AB356" s="147">
        <f>IF($E356="","",IF(AND($B356&gt;Input!$C$9,Summary!$D$31&lt;&gt;"Included Margin"),1,IF(Summary!$D$25="Included Margin",VLOOKUP($B356,'Mortality Margins &amp; Grading'!$AI$5:$AR$125,MATCH('Mortality Margins &amp; Grading'!$AQ$4,'Mortality Margins &amp; Grading'!$AI$4:$AR$4,0),0),1)))</f>
        <v>0.9375</v>
      </c>
      <c r="AC356" s="154"/>
      <c r="AD356" s="158">
        <f>IF(E356="","",Input!$C$48*IF(Summary!$D$30="Included Margin",IF(AND($B356&gt;Input!$C$9,Summary!$D$31&lt;&gt;"Included Margin"),0,1),0))</f>
        <v>-4.4999999999999997E-3</v>
      </c>
      <c r="AE356" s="159">
        <f>IF(E356="","",IF(Summary!$D$26="Included Margin",IF(AND($B356&gt;Input!$C$9,Summary!$D$31&lt;&gt;"Included Margin"),1,1/$R356),1))</f>
        <v>1.1564601132265457</v>
      </c>
      <c r="AF356" s="160">
        <f>IF(E356="","",IF(AND($B356&gt;=Input!$C$9,$C356=12,Summary!$D$31="Included Margin",$U356&gt;0),1/U356-1,IF($B356&gt;=Input!$C$9,0,Input!$C$45*IF(Summary!$D$27="Included Margin",1,0))))</f>
        <v>0</v>
      </c>
      <c r="AG356" s="160">
        <f>IF(E356="","",Input!$C$46*IF(Summary!$D$28="Included Margin",IF(AND($B356&gt;Input!$C$9,Summary!$D$31&lt;&gt;"Included Margin"),0,1),0))</f>
        <v>0.02</v>
      </c>
      <c r="AH356" s="158">
        <f>IF(E356="","",Input!$C$47*IF(Summary!$D$29="Included Margin",IF(AND($B356&gt;Input!$C$9,Summary!$D$31&lt;&gt;"Included Margin"),0,1),0))</f>
        <v>2.5000000000000001E-3</v>
      </c>
      <c r="AI356" s="154"/>
      <c r="AJ356" s="158">
        <f t="shared" si="230"/>
        <v>3.8730000000000007E-2</v>
      </c>
      <c r="AK356" s="155">
        <f t="shared" si="231"/>
        <v>3.171586629417078E-3</v>
      </c>
      <c r="AL356" s="147">
        <f t="shared" si="232"/>
        <v>6.2219000218749994E-2</v>
      </c>
      <c r="AM356" s="147">
        <f t="shared" si="210"/>
        <v>5.3389330446760308E-3</v>
      </c>
      <c r="AN356" s="160">
        <f t="shared" si="233"/>
        <v>0</v>
      </c>
      <c r="AO356" s="161">
        <f t="shared" si="234"/>
        <v>0</v>
      </c>
      <c r="AP356" s="156">
        <f t="shared" si="211"/>
        <v>1.9064972523432946</v>
      </c>
      <c r="AQ356" s="152"/>
      <c r="AR356" s="162">
        <f t="shared" si="212"/>
        <v>4637.8260415969844</v>
      </c>
      <c r="AS356" s="150">
        <f t="shared" si="235"/>
        <v>0</v>
      </c>
      <c r="AT356" s="163">
        <f t="shared" si="213"/>
        <v>0</v>
      </c>
      <c r="AU356" s="163">
        <f t="shared" si="214"/>
        <v>533.89330446760312</v>
      </c>
      <c r="AV356" s="163">
        <f t="shared" si="236"/>
        <v>13.862622630098953</v>
      </c>
      <c r="AW356" s="163">
        <f t="shared" si="215"/>
        <v>22.102645418150118</v>
      </c>
      <c r="AX356" s="163">
        <f t="shared" si="216"/>
        <v>0</v>
      </c>
      <c r="AY356" s="165">
        <f t="shared" si="237"/>
        <v>4139.8980051776307</v>
      </c>
      <c r="AZ356" s="164">
        <f>IF($E356="","",IF(OR(AND($D356=Input!$C$6,$C356=12),$AN356=1),0,-AS357+AT357+AU357-AV357-AW357-AX357+AZ357))</f>
        <v>4139.8993456549924</v>
      </c>
      <c r="BA356" s="154">
        <f t="shared" si="217"/>
        <v>1.3404773617367027E-3</v>
      </c>
      <c r="BC356" s="147">
        <f t="shared" si="238"/>
        <v>2.6376249532574187E-2</v>
      </c>
      <c r="BD356" s="164">
        <f>IF(AND($C355=12,$D355=Input!$C$6),0,IF($E356="","",AT356+(AU356+BD357)/(1+$AK356)*MIN((1-AM356-AN356),1)))</f>
        <v>4076.1884388841563</v>
      </c>
      <c r="BE356" s="164">
        <f t="shared" si="218"/>
        <v>107.51456340580253</v>
      </c>
      <c r="BF356" s="164">
        <f t="shared" si="239"/>
        <v>4139.8993456549924</v>
      </c>
      <c r="BG356" s="164">
        <f t="shared" si="219"/>
        <v>109.19501818073668</v>
      </c>
      <c r="BH356" s="152"/>
      <c r="BI356" s="162">
        <f t="shared" si="220"/>
        <v>1532.3333379229612</v>
      </c>
      <c r="BJ356" s="150">
        <f t="shared" si="221"/>
        <v>0</v>
      </c>
      <c r="BK356" s="163">
        <f t="shared" si="243"/>
        <v>0</v>
      </c>
      <c r="BL356" s="163">
        <f t="shared" si="222"/>
        <v>435.40468282786679</v>
      </c>
      <c r="BM356" s="163">
        <f t="shared" si="244"/>
        <v>4.6446337527169286</v>
      </c>
      <c r="BN356" s="163">
        <f t="shared" si="223"/>
        <v>4.8172822624559704</v>
      </c>
      <c r="BO356" s="163">
        <f t="shared" si="224"/>
        <v>0</v>
      </c>
      <c r="BP356" s="164">
        <f t="shared" si="245"/>
        <v>1106.3905711102675</v>
      </c>
      <c r="BQ356" s="164">
        <f>IF($E356="","",IF(AND($D356=Input!$C$6,$C356=12),0,-BJ357+BK357+BL357-BM357-BN357-BO357+BQ357))</f>
        <v>1106.3919274291402</v>
      </c>
      <c r="BR356" s="161">
        <f t="shared" si="225"/>
        <v>0</v>
      </c>
      <c r="BT356" s="147">
        <f t="shared" si="226"/>
        <v>2.6376249532574187E-2</v>
      </c>
      <c r="BU356" s="164">
        <f>IF(AND($C355=12,$D355=Input!$C$6),0,IF($E356="","",BK356+(BL356+BU357)/(1+$AK356)*MIN((1-T356-U356),1)))</f>
        <v>38116.066725159872</v>
      </c>
      <c r="BV356" s="164">
        <f t="shared" si="227"/>
        <v>1005.3588871430646</v>
      </c>
      <c r="BW356" s="164">
        <f t="shared" si="228"/>
        <v>1106.3919274291402</v>
      </c>
      <c r="BX356" s="164">
        <f t="shared" si="229"/>
        <v>29.182469558696713</v>
      </c>
    </row>
    <row r="357" spans="1:76" s="150" customFormat="1" x14ac:dyDescent="0.25">
      <c r="A357" s="150">
        <f t="shared" si="240"/>
        <v>353</v>
      </c>
      <c r="B357" s="150">
        <f t="shared" si="241"/>
        <v>30</v>
      </c>
      <c r="C357" s="150">
        <f t="shared" si="242"/>
        <v>5</v>
      </c>
      <c r="D357" s="150">
        <f>IF(E357="","",Input!$C$4+B357-1)</f>
        <v>74</v>
      </c>
      <c r="E357" s="150">
        <f>IF(OR(AND(C356=12,D356=Input!$C$6),E356=""),"",1)</f>
        <v>1</v>
      </c>
      <c r="F357" s="150">
        <f>IF(E357="","",Input!$C$8+B357-1)</f>
        <v>2047</v>
      </c>
      <c r="G357" s="151">
        <f>IF(E357="","",MAX(0,Input!$C$9-B357))</f>
        <v>0</v>
      </c>
      <c r="H357" s="152">
        <f>IF(E357="","",Input!$C$3)</f>
        <v>100000</v>
      </c>
      <c r="I357" s="153">
        <f>IF(E357="","",HLOOKUP($B357,Input!$C$13:$BT$14,2))</f>
        <v>52.503500000000003</v>
      </c>
      <c r="J357" s="154"/>
      <c r="K357" s="155">
        <f>IF($E357="","",INDEX(Input!$C$16:$CP$16,1,$B357))</f>
        <v>2.8230000000000002E-2</v>
      </c>
      <c r="L357" s="155">
        <f>IF($E357="","",Input!$C$37)</f>
        <v>1.4999999999999999E-2</v>
      </c>
      <c r="M357" s="155">
        <f t="shared" si="205"/>
        <v>4.3230000000000005E-2</v>
      </c>
      <c r="N357" s="155">
        <f t="shared" si="206"/>
        <v>3.5330322843829531E-3</v>
      </c>
      <c r="O357" s="147">
        <f>IF($E357="","",MIN(VLOOKUP(IF($B357&lt;=Input!$C$7,$B357,26),'Mortality Tables'!$A$41:$CW$67,IF($B357&lt;=Input!$C$7+1,Input!$C$4+2,$D357-Input!$C$7+2),0)*IF(B357&gt;20,Input!$C$22,1)/1000,1))</f>
        <v>5.8997200000000007E-2</v>
      </c>
      <c r="P357" s="147">
        <f>IF($E357="","",MIN(VLOOKUP(IF($B357&lt;=Input!$C$7,$B357,26),'Mortality Tables'!$A$12:$CW$37,IF($B357&lt;=Input!$C$7+1,Input!$C$4+2,$D357-Input!$C$7+2),0)*IF(B357&gt;20,Input!$C$22,1)/1000,1))</f>
        <v>7.3746500000000006E-2</v>
      </c>
      <c r="Q357" s="155">
        <f>IF($E357="","",Input!$C$21)</f>
        <v>5.0000000000000001E-3</v>
      </c>
      <c r="R357" s="159">
        <f>IF($E357="","",(1-Q357)^($F357-Input!$C$20))</f>
        <v>0.86470773056753414</v>
      </c>
      <c r="S357" s="147">
        <f t="shared" si="208"/>
        <v>5.1015334921838934E-2</v>
      </c>
      <c r="T357" s="147">
        <f t="shared" si="209"/>
        <v>4.3540468282786682E-3</v>
      </c>
      <c r="U357" s="160">
        <f>IF($E357="","",IF($C357=12,INDEX(Input!$C$15:$CP$15,1,$B357),0))</f>
        <v>0</v>
      </c>
      <c r="V357" s="150">
        <f>IF(E357="","",IF(C357=1,IF($B357=1,Input!$C$33,Input!$C$34),0))</f>
        <v>0</v>
      </c>
      <c r="W357" s="156">
        <f>IF($E357="","",Input!$C$35)</f>
        <v>0.02</v>
      </c>
      <c r="X357" s="156">
        <f t="shared" si="207"/>
        <v>1.7758446902974065</v>
      </c>
      <c r="Y357" s="154"/>
      <c r="Z357" s="147">
        <f>IF($E357="","",VLOOKUP($D357,'Mortality Margins &amp; Grading'!$AB$5:$AF$125,3,0)*IF(Summary!$D$25="Included Margin",IF(AND($B357&gt;Input!$C$9,Summary!$D$31&lt;&gt;"Included Margin"),0,1),0))</f>
        <v>2.9000000000000001E-2</v>
      </c>
      <c r="AA357" s="147">
        <f>IF($E357="","",VLOOKUP($D357,'Mortality Margins &amp; Grading'!$AB$5:$AF$125,5,0)*IF(Summary!$D$25="Included Margin",IF(AND($B357&gt;Input!$C$9,Summary!$D$31&lt;&gt;"Included Margin"),0,1),0))</f>
        <v>0.151</v>
      </c>
      <c r="AB357" s="147">
        <f>IF($E357="","",IF(AND($B357&gt;Input!$C$9,Summary!$D$31&lt;&gt;"Included Margin"),1,IF(Summary!$D$25="Included Margin",VLOOKUP($B357,'Mortality Margins &amp; Grading'!$AI$5:$AR$125,MATCH('Mortality Margins &amp; Grading'!$AQ$4,'Mortality Margins &amp; Grading'!$AI$4:$AR$4,0),0),1)))</f>
        <v>0.9375</v>
      </c>
      <c r="AC357" s="154"/>
      <c r="AD357" s="158">
        <f>IF(E357="","",Input!$C$48*IF(Summary!$D$30="Included Margin",IF(AND($B357&gt;Input!$C$9,Summary!$D$31&lt;&gt;"Included Margin"),0,1),0))</f>
        <v>-4.4999999999999997E-3</v>
      </c>
      <c r="AE357" s="159">
        <f>IF(E357="","",IF(Summary!$D$26="Included Margin",IF(AND($B357&gt;Input!$C$9,Summary!$D$31&lt;&gt;"Included Margin"),1,1/$R357),1))</f>
        <v>1.1564601132265457</v>
      </c>
      <c r="AF357" s="160">
        <f>IF(E357="","",IF(AND($B357&gt;=Input!$C$9,$C357=12,Summary!$D$31="Included Margin",$U357&gt;0),1/U357-1,IF($B357&gt;=Input!$C$9,0,Input!$C$45*IF(Summary!$D$27="Included Margin",1,0))))</f>
        <v>0</v>
      </c>
      <c r="AG357" s="160">
        <f>IF(E357="","",Input!$C$46*IF(Summary!$D$28="Included Margin",IF(AND($B357&gt;Input!$C$9,Summary!$D$31&lt;&gt;"Included Margin"),0,1),0))</f>
        <v>0.02</v>
      </c>
      <c r="AH357" s="158">
        <f>IF(E357="","",Input!$C$47*IF(Summary!$D$29="Included Margin",IF(AND($B357&gt;Input!$C$9,Summary!$D$31&lt;&gt;"Included Margin"),0,1),0))</f>
        <v>2.5000000000000001E-3</v>
      </c>
      <c r="AI357" s="154"/>
      <c r="AJ357" s="158">
        <f t="shared" si="230"/>
        <v>3.8730000000000007E-2</v>
      </c>
      <c r="AK357" s="155">
        <f t="shared" si="231"/>
        <v>3.171586629417078E-3</v>
      </c>
      <c r="AL357" s="147">
        <f t="shared" si="232"/>
        <v>6.2219000218749994E-2</v>
      </c>
      <c r="AM357" s="147">
        <f t="shared" si="210"/>
        <v>5.3389330446760308E-3</v>
      </c>
      <c r="AN357" s="160">
        <f t="shared" si="233"/>
        <v>0</v>
      </c>
      <c r="AO357" s="161">
        <f t="shared" si="234"/>
        <v>0</v>
      </c>
      <c r="AP357" s="156">
        <f t="shared" si="211"/>
        <v>1.9064972523432946</v>
      </c>
      <c r="AQ357" s="152"/>
      <c r="AR357" s="162">
        <f t="shared" si="212"/>
        <v>4139.8980051776307</v>
      </c>
      <c r="AS357" s="150">
        <f t="shared" si="235"/>
        <v>0</v>
      </c>
      <c r="AT357" s="163">
        <f t="shared" si="213"/>
        <v>0</v>
      </c>
      <c r="AU357" s="163">
        <f t="shared" si="214"/>
        <v>533.89330446760312</v>
      </c>
      <c r="AV357" s="163">
        <f t="shared" si="236"/>
        <v>12.283400727379432</v>
      </c>
      <c r="AW357" s="163">
        <f t="shared" si="215"/>
        <v>19.421495128761112</v>
      </c>
      <c r="AX357" s="163">
        <f t="shared" si="216"/>
        <v>0</v>
      </c>
      <c r="AY357" s="164">
        <f t="shared" si="237"/>
        <v>3637.7095965661683</v>
      </c>
      <c r="AZ357" s="164">
        <f>IF($E357="","",IF(OR(AND($D357=Input!$C$6,$C357=12),$AN357=1),0,-AS358+AT358+AU358-AV358-AW358-AX358+AZ358))</f>
        <v>3637.7109370435301</v>
      </c>
      <c r="BA357" s="154">
        <f t="shared" si="217"/>
        <v>1.3404773617367027E-3</v>
      </c>
      <c r="BC357" s="147">
        <f t="shared" si="238"/>
        <v>2.6261406106954994E-2</v>
      </c>
      <c r="BD357" s="164">
        <f>IF(AND($C356=12,$D356=Input!$C$6),0,IF($E357="","",AT357+(AU357+BD358)/(1+$AK357)*MIN((1-AM357-AN357),1)))</f>
        <v>3577.1718206134133</v>
      </c>
      <c r="BE357" s="164">
        <f t="shared" si="218"/>
        <v>93.941561895484412</v>
      </c>
      <c r="BF357" s="164">
        <f t="shared" si="239"/>
        <v>3637.7109370435301</v>
      </c>
      <c r="BG357" s="164">
        <f t="shared" si="219"/>
        <v>95.531404217411932</v>
      </c>
      <c r="BH357" s="152"/>
      <c r="BI357" s="162">
        <f t="shared" si="220"/>
        <v>1106.3905711102675</v>
      </c>
      <c r="BJ357" s="150">
        <f t="shared" si="221"/>
        <v>0</v>
      </c>
      <c r="BK357" s="163">
        <f t="shared" si="243"/>
        <v>0</v>
      </c>
      <c r="BL357" s="163">
        <f t="shared" si="222"/>
        <v>435.40468282786679</v>
      </c>
      <c r="BM357" s="163">
        <f t="shared" si="244"/>
        <v>3.139764206268282</v>
      </c>
      <c r="BN357" s="163">
        <f t="shared" si="223"/>
        <v>2.9480163658629617</v>
      </c>
      <c r="BO357" s="163">
        <f t="shared" si="224"/>
        <v>0</v>
      </c>
      <c r="BP357" s="164">
        <f t="shared" si="245"/>
        <v>677.073668854532</v>
      </c>
      <c r="BQ357" s="164">
        <f>IF($E357="","",IF(AND($D357=Input!$C$6,$C357=12),0,-BJ358+BK358+BL358-BM358-BN358-BO358+BQ358))</f>
        <v>677.07502517340458</v>
      </c>
      <c r="BR357" s="161">
        <f t="shared" si="225"/>
        <v>0</v>
      </c>
      <c r="BT357" s="147">
        <f t="shared" si="226"/>
        <v>2.6261406106954994E-2</v>
      </c>
      <c r="BU357" s="164">
        <f>IF(AND($C356=12,$D356=Input!$C$6),0,IF($E357="","",BK357+(BL357+BU358)/(1+$AK357)*MIN((1-T357-U357),1)))</f>
        <v>37968.763998764254</v>
      </c>
      <c r="BV357" s="164">
        <f t="shared" si="227"/>
        <v>997.11313075068051</v>
      </c>
      <c r="BW357" s="164">
        <f t="shared" si="228"/>
        <v>677.07502517340458</v>
      </c>
      <c r="BX357" s="164">
        <f t="shared" si="229"/>
        <v>17.780942200955554</v>
      </c>
    </row>
    <row r="358" spans="1:76" s="150" customFormat="1" x14ac:dyDescent="0.25">
      <c r="A358" s="150">
        <f t="shared" si="240"/>
        <v>354</v>
      </c>
      <c r="B358" s="150">
        <f t="shared" si="241"/>
        <v>30</v>
      </c>
      <c r="C358" s="150">
        <f t="shared" si="242"/>
        <v>6</v>
      </c>
      <c r="D358" s="150">
        <f>IF(E358="","",Input!$C$4+B358-1)</f>
        <v>74</v>
      </c>
      <c r="E358" s="150">
        <f>IF(OR(AND(C357=12,D357=Input!$C$6),E357=""),"",1)</f>
        <v>1</v>
      </c>
      <c r="F358" s="150">
        <f>IF(E358="","",Input!$C$8+B358-1)</f>
        <v>2047</v>
      </c>
      <c r="G358" s="151">
        <f>IF(E358="","",MAX(0,Input!$C$9-B358))</f>
        <v>0</v>
      </c>
      <c r="H358" s="152">
        <f>IF(E358="","",Input!$C$3)</f>
        <v>100000</v>
      </c>
      <c r="I358" s="153">
        <f>IF(E358="","",HLOOKUP($B358,Input!$C$13:$BT$14,2))</f>
        <v>52.503500000000003</v>
      </c>
      <c r="J358" s="154"/>
      <c r="K358" s="155">
        <f>IF($E358="","",INDEX(Input!$C$16:$CP$16,1,$B358))</f>
        <v>2.8230000000000002E-2</v>
      </c>
      <c r="L358" s="155">
        <f>IF($E358="","",Input!$C$37)</f>
        <v>1.4999999999999999E-2</v>
      </c>
      <c r="M358" s="155">
        <f t="shared" si="205"/>
        <v>4.3230000000000005E-2</v>
      </c>
      <c r="N358" s="155">
        <f t="shared" si="206"/>
        <v>3.5330322843829531E-3</v>
      </c>
      <c r="O358" s="147">
        <f>IF($E358="","",MIN(VLOOKUP(IF($B358&lt;=Input!$C$7,$B358,26),'Mortality Tables'!$A$41:$CW$67,IF($B358&lt;=Input!$C$7+1,Input!$C$4+2,$D358-Input!$C$7+2),0)*IF(B358&gt;20,Input!$C$22,1)/1000,1))</f>
        <v>5.8997200000000007E-2</v>
      </c>
      <c r="P358" s="147">
        <f>IF($E358="","",MIN(VLOOKUP(IF($B358&lt;=Input!$C$7,$B358,26),'Mortality Tables'!$A$12:$CW$37,IF($B358&lt;=Input!$C$7+1,Input!$C$4+2,$D358-Input!$C$7+2),0)*IF(B358&gt;20,Input!$C$22,1)/1000,1))</f>
        <v>7.3746500000000006E-2</v>
      </c>
      <c r="Q358" s="155">
        <f>IF($E358="","",Input!$C$21)</f>
        <v>5.0000000000000001E-3</v>
      </c>
      <c r="R358" s="159">
        <f>IF($E358="","",(1-Q358)^($F358-Input!$C$20))</f>
        <v>0.86470773056753414</v>
      </c>
      <c r="S358" s="147">
        <f t="shared" si="208"/>
        <v>5.1015334921838934E-2</v>
      </c>
      <c r="T358" s="147">
        <f t="shared" si="209"/>
        <v>4.3540468282786682E-3</v>
      </c>
      <c r="U358" s="160">
        <f>IF($E358="","",IF($C358=12,INDEX(Input!$C$15:$CP$15,1,$B358),0))</f>
        <v>0</v>
      </c>
      <c r="V358" s="150">
        <f>IF(E358="","",IF(C358=1,IF($B358=1,Input!$C$33,Input!$C$34),0))</f>
        <v>0</v>
      </c>
      <c r="W358" s="156">
        <f>IF($E358="","",Input!$C$35)</f>
        <v>0.02</v>
      </c>
      <c r="X358" s="156">
        <f t="shared" si="207"/>
        <v>1.7758446902974065</v>
      </c>
      <c r="Y358" s="154"/>
      <c r="Z358" s="147">
        <f>IF($E358="","",VLOOKUP($D358,'Mortality Margins &amp; Grading'!$AB$5:$AF$125,3,0)*IF(Summary!$D$25="Included Margin",IF(AND($B358&gt;Input!$C$9,Summary!$D$31&lt;&gt;"Included Margin"),0,1),0))</f>
        <v>2.9000000000000001E-2</v>
      </c>
      <c r="AA358" s="147">
        <f>IF($E358="","",VLOOKUP($D358,'Mortality Margins &amp; Grading'!$AB$5:$AF$125,5,0)*IF(Summary!$D$25="Included Margin",IF(AND($B358&gt;Input!$C$9,Summary!$D$31&lt;&gt;"Included Margin"),0,1),0))</f>
        <v>0.151</v>
      </c>
      <c r="AB358" s="147">
        <f>IF($E358="","",IF(AND($B358&gt;Input!$C$9,Summary!$D$31&lt;&gt;"Included Margin"),1,IF(Summary!$D$25="Included Margin",VLOOKUP($B358,'Mortality Margins &amp; Grading'!$AI$5:$AR$125,MATCH('Mortality Margins &amp; Grading'!$AQ$4,'Mortality Margins &amp; Grading'!$AI$4:$AR$4,0),0),1)))</f>
        <v>0.9375</v>
      </c>
      <c r="AC358" s="154"/>
      <c r="AD358" s="158">
        <f>IF(E358="","",Input!$C$48*IF(Summary!$D$30="Included Margin",IF(AND($B358&gt;Input!$C$9,Summary!$D$31&lt;&gt;"Included Margin"),0,1),0))</f>
        <v>-4.4999999999999997E-3</v>
      </c>
      <c r="AE358" s="159">
        <f>IF(E358="","",IF(Summary!$D$26="Included Margin",IF(AND($B358&gt;Input!$C$9,Summary!$D$31&lt;&gt;"Included Margin"),1,1/$R358),1))</f>
        <v>1.1564601132265457</v>
      </c>
      <c r="AF358" s="160">
        <f>IF(E358="","",IF(AND($B358&gt;=Input!$C$9,$C358=12,Summary!$D$31="Included Margin",$U358&gt;0),1/U358-1,IF($B358&gt;=Input!$C$9,0,Input!$C$45*IF(Summary!$D$27="Included Margin",1,0))))</f>
        <v>0</v>
      </c>
      <c r="AG358" s="160">
        <f>IF(E358="","",Input!$C$46*IF(Summary!$D$28="Included Margin",IF(AND($B358&gt;Input!$C$9,Summary!$D$31&lt;&gt;"Included Margin"),0,1),0))</f>
        <v>0.02</v>
      </c>
      <c r="AH358" s="158">
        <f>IF(E358="","",Input!$C$47*IF(Summary!$D$29="Included Margin",IF(AND($B358&gt;Input!$C$9,Summary!$D$31&lt;&gt;"Included Margin"),0,1),0))</f>
        <v>2.5000000000000001E-3</v>
      </c>
      <c r="AI358" s="154"/>
      <c r="AJ358" s="158">
        <f t="shared" si="230"/>
        <v>3.8730000000000007E-2</v>
      </c>
      <c r="AK358" s="155">
        <f t="shared" si="231"/>
        <v>3.171586629417078E-3</v>
      </c>
      <c r="AL358" s="147">
        <f t="shared" si="232"/>
        <v>6.2219000218749994E-2</v>
      </c>
      <c r="AM358" s="147">
        <f t="shared" si="210"/>
        <v>5.3389330446760308E-3</v>
      </c>
      <c r="AN358" s="160">
        <f t="shared" si="233"/>
        <v>0</v>
      </c>
      <c r="AO358" s="161">
        <f t="shared" si="234"/>
        <v>0</v>
      </c>
      <c r="AP358" s="156">
        <f t="shared" si="211"/>
        <v>1.9064972523432946</v>
      </c>
      <c r="AQ358" s="152"/>
      <c r="AR358" s="162">
        <f t="shared" si="212"/>
        <v>3637.7095965661683</v>
      </c>
      <c r="AS358" s="150">
        <f t="shared" si="235"/>
        <v>0</v>
      </c>
      <c r="AT358" s="163">
        <f t="shared" si="213"/>
        <v>0</v>
      </c>
      <c r="AU358" s="163">
        <f t="shared" si="214"/>
        <v>533.89330446760312</v>
      </c>
      <c r="AV358" s="163">
        <f t="shared" si="236"/>
        <v>10.690666685179076</v>
      </c>
      <c r="AW358" s="163">
        <f t="shared" si="215"/>
        <v>16.717404379505819</v>
      </c>
      <c r="AX358" s="163">
        <f t="shared" si="216"/>
        <v>0</v>
      </c>
      <c r="AY358" s="165">
        <f t="shared" si="237"/>
        <v>3131.22436316325</v>
      </c>
      <c r="AZ358" s="164">
        <f>IF($E358="","",IF(OR(AND($D358=Input!$C$6,$C358=12),$AN358=1),0,-AS359+AT359+AU359-AV359-AW359-AX359+AZ359))</f>
        <v>3131.2257036406118</v>
      </c>
      <c r="BA358" s="154">
        <f t="shared" si="217"/>
        <v>1.3404773617367027E-3</v>
      </c>
      <c r="BC358" s="147">
        <f t="shared" si="238"/>
        <v>2.6147062714988869E-2</v>
      </c>
      <c r="BD358" s="164">
        <f>IF(AND($C357=12,$D357=Input!$C$6),0,IF($E358="","",AT358+(AU358+BD359)/(1+$AK358)*MIN((1-AM358-AN358),1)))</f>
        <v>3073.8855160258099</v>
      </c>
      <c r="BE358" s="164">
        <f t="shared" si="218"/>
        <v>80.373077366222773</v>
      </c>
      <c r="BF358" s="164">
        <f t="shared" si="239"/>
        <v>3131.2257036406118</v>
      </c>
      <c r="BG358" s="164">
        <f t="shared" si="219"/>
        <v>81.872354847876224</v>
      </c>
      <c r="BH358" s="152"/>
      <c r="BI358" s="162">
        <f t="shared" si="220"/>
        <v>677.07366885453189</v>
      </c>
      <c r="BJ358" s="150">
        <f t="shared" si="221"/>
        <v>0</v>
      </c>
      <c r="BK358" s="163">
        <f t="shared" si="243"/>
        <v>0</v>
      </c>
      <c r="BL358" s="163">
        <f t="shared" si="222"/>
        <v>435.40468282786679</v>
      </c>
      <c r="BM358" s="163">
        <f t="shared" si="244"/>
        <v>1.6229737303674874</v>
      </c>
      <c r="BN358" s="163">
        <f t="shared" si="223"/>
        <v>1.0639429486226148</v>
      </c>
      <c r="BO358" s="163">
        <f t="shared" si="224"/>
        <v>0</v>
      </c>
      <c r="BP358" s="164">
        <f t="shared" si="245"/>
        <v>244.35590270565518</v>
      </c>
      <c r="BQ358" s="164">
        <f>IF($E358="","",IF(AND($D358=Input!$C$6,$C358=12),0,-BJ359+BK359+BL359-BM359-BN359-BO359+BQ359))</f>
        <v>244.35725902452793</v>
      </c>
      <c r="BR358" s="161">
        <f t="shared" si="225"/>
        <v>0</v>
      </c>
      <c r="BT358" s="147">
        <f t="shared" si="226"/>
        <v>2.6147062714988869E-2</v>
      </c>
      <c r="BU358" s="164">
        <f>IF(AND($C357=12,$D357=Input!$C$6),0,IF($E358="","",BK358+(BL358+BU359)/(1+$AK358)*MIN((1-T358-U358),1)))</f>
        <v>37820.347878272434</v>
      </c>
      <c r="BV358" s="164">
        <f t="shared" si="227"/>
        <v>988.89100787588552</v>
      </c>
      <c r="BW358" s="164">
        <f t="shared" si="228"/>
        <v>244.35725902452793</v>
      </c>
      <c r="BX358" s="164">
        <f t="shared" si="229"/>
        <v>6.3892245765771118</v>
      </c>
    </row>
    <row r="359" spans="1:76" s="150" customFormat="1" x14ac:dyDescent="0.25">
      <c r="A359" s="150">
        <f t="shared" si="240"/>
        <v>355</v>
      </c>
      <c r="B359" s="150">
        <f t="shared" si="241"/>
        <v>30</v>
      </c>
      <c r="C359" s="150">
        <f t="shared" si="242"/>
        <v>7</v>
      </c>
      <c r="D359" s="150">
        <f>IF(E359="","",Input!$C$4+B359-1)</f>
        <v>74</v>
      </c>
      <c r="E359" s="150">
        <f>IF(OR(AND(C358=12,D358=Input!$C$6),E358=""),"",1)</f>
        <v>1</v>
      </c>
      <c r="F359" s="150">
        <f>IF(E359="","",Input!$C$8+B359-1)</f>
        <v>2047</v>
      </c>
      <c r="G359" s="151">
        <f>IF(E359="","",MAX(0,Input!$C$9-B359))</f>
        <v>0</v>
      </c>
      <c r="H359" s="152">
        <f>IF(E359="","",Input!$C$3)</f>
        <v>100000</v>
      </c>
      <c r="I359" s="153">
        <f>IF(E359="","",HLOOKUP($B359,Input!$C$13:$BT$14,2))</f>
        <v>52.503500000000003</v>
      </c>
      <c r="J359" s="154"/>
      <c r="K359" s="155">
        <f>IF($E359="","",INDEX(Input!$C$16:$CP$16,1,$B359))</f>
        <v>2.8230000000000002E-2</v>
      </c>
      <c r="L359" s="155">
        <f>IF($E359="","",Input!$C$37)</f>
        <v>1.4999999999999999E-2</v>
      </c>
      <c r="M359" s="155">
        <f t="shared" si="205"/>
        <v>4.3230000000000005E-2</v>
      </c>
      <c r="N359" s="155">
        <f t="shared" si="206"/>
        <v>3.5330322843829531E-3</v>
      </c>
      <c r="O359" s="147">
        <f>IF($E359="","",MIN(VLOOKUP(IF($B359&lt;=Input!$C$7,$B359,26),'Mortality Tables'!$A$41:$CW$67,IF($B359&lt;=Input!$C$7+1,Input!$C$4+2,$D359-Input!$C$7+2),0)*IF(B359&gt;20,Input!$C$22,1)/1000,1))</f>
        <v>5.8997200000000007E-2</v>
      </c>
      <c r="P359" s="147">
        <f>IF($E359="","",MIN(VLOOKUP(IF($B359&lt;=Input!$C$7,$B359,26),'Mortality Tables'!$A$12:$CW$37,IF($B359&lt;=Input!$C$7+1,Input!$C$4+2,$D359-Input!$C$7+2),0)*IF(B359&gt;20,Input!$C$22,1)/1000,1))</f>
        <v>7.3746500000000006E-2</v>
      </c>
      <c r="Q359" s="155">
        <f>IF($E359="","",Input!$C$21)</f>
        <v>5.0000000000000001E-3</v>
      </c>
      <c r="R359" s="159">
        <f>IF($E359="","",(1-Q359)^($F359-Input!$C$20))</f>
        <v>0.86470773056753414</v>
      </c>
      <c r="S359" s="147">
        <f t="shared" si="208"/>
        <v>5.1015334921838934E-2</v>
      </c>
      <c r="T359" s="147">
        <f t="shared" si="209"/>
        <v>4.3540468282786682E-3</v>
      </c>
      <c r="U359" s="160">
        <f>IF($E359="","",IF($C359=12,INDEX(Input!$C$15:$CP$15,1,$B359),0))</f>
        <v>0</v>
      </c>
      <c r="V359" s="150">
        <f>IF(E359="","",IF(C359=1,IF($B359=1,Input!$C$33,Input!$C$34),0))</f>
        <v>0</v>
      </c>
      <c r="W359" s="156">
        <f>IF($E359="","",Input!$C$35)</f>
        <v>0.02</v>
      </c>
      <c r="X359" s="156">
        <f t="shared" si="207"/>
        <v>1.7758446902974065</v>
      </c>
      <c r="Y359" s="154"/>
      <c r="Z359" s="147">
        <f>IF($E359="","",VLOOKUP($D359,'Mortality Margins &amp; Grading'!$AB$5:$AF$125,3,0)*IF(Summary!$D$25="Included Margin",IF(AND($B359&gt;Input!$C$9,Summary!$D$31&lt;&gt;"Included Margin"),0,1),0))</f>
        <v>2.9000000000000001E-2</v>
      </c>
      <c r="AA359" s="147">
        <f>IF($E359="","",VLOOKUP($D359,'Mortality Margins &amp; Grading'!$AB$5:$AF$125,5,0)*IF(Summary!$D$25="Included Margin",IF(AND($B359&gt;Input!$C$9,Summary!$D$31&lt;&gt;"Included Margin"),0,1),0))</f>
        <v>0.151</v>
      </c>
      <c r="AB359" s="147">
        <f>IF($E359="","",IF(AND($B359&gt;Input!$C$9,Summary!$D$31&lt;&gt;"Included Margin"),1,IF(Summary!$D$25="Included Margin",VLOOKUP($B359,'Mortality Margins &amp; Grading'!$AI$5:$AR$125,MATCH('Mortality Margins &amp; Grading'!$AQ$4,'Mortality Margins &amp; Grading'!$AI$4:$AR$4,0),0),1)))</f>
        <v>0.9375</v>
      </c>
      <c r="AC359" s="154"/>
      <c r="AD359" s="158">
        <f>IF(E359="","",Input!$C$48*IF(Summary!$D$30="Included Margin",IF(AND($B359&gt;Input!$C$9,Summary!$D$31&lt;&gt;"Included Margin"),0,1),0))</f>
        <v>-4.4999999999999997E-3</v>
      </c>
      <c r="AE359" s="159">
        <f>IF(E359="","",IF(Summary!$D$26="Included Margin",IF(AND($B359&gt;Input!$C$9,Summary!$D$31&lt;&gt;"Included Margin"),1,1/$R359),1))</f>
        <v>1.1564601132265457</v>
      </c>
      <c r="AF359" s="160">
        <f>IF(E359="","",IF(AND($B359&gt;=Input!$C$9,$C359=12,Summary!$D$31="Included Margin",$U359&gt;0),1/U359-1,IF($B359&gt;=Input!$C$9,0,Input!$C$45*IF(Summary!$D$27="Included Margin",1,0))))</f>
        <v>0</v>
      </c>
      <c r="AG359" s="160">
        <f>IF(E359="","",Input!$C$46*IF(Summary!$D$28="Included Margin",IF(AND($B359&gt;Input!$C$9,Summary!$D$31&lt;&gt;"Included Margin"),0,1),0))</f>
        <v>0.02</v>
      </c>
      <c r="AH359" s="158">
        <f>IF(E359="","",Input!$C$47*IF(Summary!$D$29="Included Margin",IF(AND($B359&gt;Input!$C$9,Summary!$D$31&lt;&gt;"Included Margin"),0,1),0))</f>
        <v>2.5000000000000001E-3</v>
      </c>
      <c r="AI359" s="154"/>
      <c r="AJ359" s="158">
        <f t="shared" si="230"/>
        <v>3.8730000000000007E-2</v>
      </c>
      <c r="AK359" s="155">
        <f t="shared" si="231"/>
        <v>3.171586629417078E-3</v>
      </c>
      <c r="AL359" s="147">
        <f t="shared" si="232"/>
        <v>6.2219000218749994E-2</v>
      </c>
      <c r="AM359" s="147">
        <f t="shared" si="210"/>
        <v>5.3389330446760308E-3</v>
      </c>
      <c r="AN359" s="160">
        <f t="shared" si="233"/>
        <v>0</v>
      </c>
      <c r="AO359" s="161">
        <f t="shared" si="234"/>
        <v>0</v>
      </c>
      <c r="AP359" s="156">
        <f t="shared" si="211"/>
        <v>1.9064972523432946</v>
      </c>
      <c r="AQ359" s="152"/>
      <c r="AR359" s="162">
        <f t="shared" si="212"/>
        <v>3131.22436316325</v>
      </c>
      <c r="AS359" s="150">
        <f t="shared" si="235"/>
        <v>0</v>
      </c>
      <c r="AT359" s="163">
        <f t="shared" si="213"/>
        <v>0</v>
      </c>
      <c r="AU359" s="163">
        <f t="shared" si="214"/>
        <v>533.89330446760312</v>
      </c>
      <c r="AV359" s="163">
        <f t="shared" si="236"/>
        <v>9.0843048909211923</v>
      </c>
      <c r="AW359" s="163">
        <f t="shared" si="215"/>
        <v>13.990176887206472</v>
      </c>
      <c r="AX359" s="163">
        <f t="shared" si="216"/>
        <v>0</v>
      </c>
      <c r="AY359" s="164">
        <f t="shared" si="237"/>
        <v>2620.4055404737742</v>
      </c>
      <c r="AZ359" s="164">
        <f>IF($E359="","",IF(OR(AND($D359=Input!$C$6,$C359=12),$AN359=1),0,-AS360+AT360+AU360-AV360-AW360-AX360+AZ360))</f>
        <v>2620.4068809511364</v>
      </c>
      <c r="BA359" s="154">
        <f t="shared" si="217"/>
        <v>1.3404773621914501E-3</v>
      </c>
      <c r="BC359" s="147">
        <f t="shared" si="238"/>
        <v>2.6033217179505869E-2</v>
      </c>
      <c r="BD359" s="164">
        <f>IF(AND($C358=12,$D358=Input!$C$6),0,IF($E359="","",AT359+(AU359+BD360)/(1+$AK359)*MIN((1-AM359-AN359),1)))</f>
        <v>2566.2929928284789</v>
      </c>
      <c r="BE359" s="164">
        <f t="shared" si="218"/>
        <v>66.808862828547888</v>
      </c>
      <c r="BF359" s="164">
        <f t="shared" si="239"/>
        <v>2620.4068809511364</v>
      </c>
      <c r="BG359" s="164">
        <f t="shared" si="219"/>
        <v>68.217621430472519</v>
      </c>
      <c r="BH359" s="152"/>
      <c r="BI359" s="162">
        <f t="shared" si="220"/>
        <v>244.35590270565518</v>
      </c>
      <c r="BJ359" s="150">
        <f t="shared" si="221"/>
        <v>0</v>
      </c>
      <c r="BK359" s="163">
        <f t="shared" si="243"/>
        <v>0</v>
      </c>
      <c r="BL359" s="163">
        <f t="shared" si="222"/>
        <v>435.40468282786679</v>
      </c>
      <c r="BM359" s="163">
        <f t="shared" si="244"/>
        <v>9.4167892537432879E-2</v>
      </c>
      <c r="BN359" s="163">
        <f t="shared" si="223"/>
        <v>-0.83505528807639606</v>
      </c>
      <c r="BO359" s="163">
        <f t="shared" si="224"/>
        <v>0</v>
      </c>
      <c r="BP359" s="164">
        <f t="shared" si="245"/>
        <v>-191.78966751775059</v>
      </c>
      <c r="BQ359" s="164">
        <f>IF($E359="","",IF(AND($D359=Input!$C$6,$C359=12),0,-BJ360+BK360+BL360-BM360-BN360-BO360+BQ360))</f>
        <v>-191.78831119887781</v>
      </c>
      <c r="BR359" s="161">
        <f t="shared" si="225"/>
        <v>0</v>
      </c>
      <c r="BT359" s="147">
        <f t="shared" si="226"/>
        <v>2.6033217179505869E-2</v>
      </c>
      <c r="BU359" s="164">
        <f>IF(AND($C358=12,$D358=Input!$C$6),0,IF($E359="","",BK359+(BL359+BU360)/(1+$AK359)*MIN((1-T359-U359),1)))</f>
        <v>37670.809948046466</v>
      </c>
      <c r="BV359" s="164">
        <f t="shared" si="227"/>
        <v>980.69237670538382</v>
      </c>
      <c r="BW359" s="164">
        <f t="shared" si="228"/>
        <v>-191.78831119887781</v>
      </c>
      <c r="BX359" s="164">
        <f t="shared" si="229"/>
        <v>-4.9928667579310435</v>
      </c>
    </row>
    <row r="360" spans="1:76" s="150" customFormat="1" x14ac:dyDescent="0.25">
      <c r="A360" s="150">
        <f t="shared" si="240"/>
        <v>356</v>
      </c>
      <c r="B360" s="150">
        <f t="shared" si="241"/>
        <v>30</v>
      </c>
      <c r="C360" s="150">
        <f t="shared" si="242"/>
        <v>8</v>
      </c>
      <c r="D360" s="150">
        <f>IF(E360="","",Input!$C$4+B360-1)</f>
        <v>74</v>
      </c>
      <c r="E360" s="150">
        <f>IF(OR(AND(C359=12,D359=Input!$C$6),E359=""),"",1)</f>
        <v>1</v>
      </c>
      <c r="F360" s="150">
        <f>IF(E360="","",Input!$C$8+B360-1)</f>
        <v>2047</v>
      </c>
      <c r="G360" s="151">
        <f>IF(E360="","",MAX(0,Input!$C$9-B360))</f>
        <v>0</v>
      </c>
      <c r="H360" s="152">
        <f>IF(E360="","",Input!$C$3)</f>
        <v>100000</v>
      </c>
      <c r="I360" s="153">
        <f>IF(E360="","",HLOOKUP($B360,Input!$C$13:$BT$14,2))</f>
        <v>52.503500000000003</v>
      </c>
      <c r="J360" s="154"/>
      <c r="K360" s="155">
        <f>IF($E360="","",INDEX(Input!$C$16:$CP$16,1,$B360))</f>
        <v>2.8230000000000002E-2</v>
      </c>
      <c r="L360" s="155">
        <f>IF($E360="","",Input!$C$37)</f>
        <v>1.4999999999999999E-2</v>
      </c>
      <c r="M360" s="155">
        <f t="shared" si="205"/>
        <v>4.3230000000000005E-2</v>
      </c>
      <c r="N360" s="155">
        <f t="shared" si="206"/>
        <v>3.5330322843829531E-3</v>
      </c>
      <c r="O360" s="147">
        <f>IF($E360="","",MIN(VLOOKUP(IF($B360&lt;=Input!$C$7,$B360,26),'Mortality Tables'!$A$41:$CW$67,IF($B360&lt;=Input!$C$7+1,Input!$C$4+2,$D360-Input!$C$7+2),0)*IF(B360&gt;20,Input!$C$22,1)/1000,1))</f>
        <v>5.8997200000000007E-2</v>
      </c>
      <c r="P360" s="147">
        <f>IF($E360="","",MIN(VLOOKUP(IF($B360&lt;=Input!$C$7,$B360,26),'Mortality Tables'!$A$12:$CW$37,IF($B360&lt;=Input!$C$7+1,Input!$C$4+2,$D360-Input!$C$7+2),0)*IF(B360&gt;20,Input!$C$22,1)/1000,1))</f>
        <v>7.3746500000000006E-2</v>
      </c>
      <c r="Q360" s="155">
        <f>IF($E360="","",Input!$C$21)</f>
        <v>5.0000000000000001E-3</v>
      </c>
      <c r="R360" s="159">
        <f>IF($E360="","",(1-Q360)^($F360-Input!$C$20))</f>
        <v>0.86470773056753414</v>
      </c>
      <c r="S360" s="147">
        <f t="shared" si="208"/>
        <v>5.1015334921838934E-2</v>
      </c>
      <c r="T360" s="147">
        <f t="shared" si="209"/>
        <v>4.3540468282786682E-3</v>
      </c>
      <c r="U360" s="160">
        <f>IF($E360="","",IF($C360=12,INDEX(Input!$C$15:$CP$15,1,$B360),0))</f>
        <v>0</v>
      </c>
      <c r="V360" s="150">
        <f>IF(E360="","",IF(C360=1,IF($B360=1,Input!$C$33,Input!$C$34),0))</f>
        <v>0</v>
      </c>
      <c r="W360" s="156">
        <f>IF($E360="","",Input!$C$35)</f>
        <v>0.02</v>
      </c>
      <c r="X360" s="156">
        <f t="shared" si="207"/>
        <v>1.7758446902974065</v>
      </c>
      <c r="Y360" s="154"/>
      <c r="Z360" s="147">
        <f>IF($E360="","",VLOOKUP($D360,'Mortality Margins &amp; Grading'!$AB$5:$AF$125,3,0)*IF(Summary!$D$25="Included Margin",IF(AND($B360&gt;Input!$C$9,Summary!$D$31&lt;&gt;"Included Margin"),0,1),0))</f>
        <v>2.9000000000000001E-2</v>
      </c>
      <c r="AA360" s="147">
        <f>IF($E360="","",VLOOKUP($D360,'Mortality Margins &amp; Grading'!$AB$5:$AF$125,5,0)*IF(Summary!$D$25="Included Margin",IF(AND($B360&gt;Input!$C$9,Summary!$D$31&lt;&gt;"Included Margin"),0,1),0))</f>
        <v>0.151</v>
      </c>
      <c r="AB360" s="147">
        <f>IF($E360="","",IF(AND($B360&gt;Input!$C$9,Summary!$D$31&lt;&gt;"Included Margin"),1,IF(Summary!$D$25="Included Margin",VLOOKUP($B360,'Mortality Margins &amp; Grading'!$AI$5:$AR$125,MATCH('Mortality Margins &amp; Grading'!$AQ$4,'Mortality Margins &amp; Grading'!$AI$4:$AR$4,0),0),1)))</f>
        <v>0.9375</v>
      </c>
      <c r="AC360" s="154"/>
      <c r="AD360" s="158">
        <f>IF(E360="","",Input!$C$48*IF(Summary!$D$30="Included Margin",IF(AND($B360&gt;Input!$C$9,Summary!$D$31&lt;&gt;"Included Margin"),0,1),0))</f>
        <v>-4.4999999999999997E-3</v>
      </c>
      <c r="AE360" s="159">
        <f>IF(E360="","",IF(Summary!$D$26="Included Margin",IF(AND($B360&gt;Input!$C$9,Summary!$D$31&lt;&gt;"Included Margin"),1,1/$R360),1))</f>
        <v>1.1564601132265457</v>
      </c>
      <c r="AF360" s="160">
        <f>IF(E360="","",IF(AND($B360&gt;=Input!$C$9,$C360=12,Summary!$D$31="Included Margin",$U360&gt;0),1/U360-1,IF($B360&gt;=Input!$C$9,0,Input!$C$45*IF(Summary!$D$27="Included Margin",1,0))))</f>
        <v>0</v>
      </c>
      <c r="AG360" s="160">
        <f>IF(E360="","",Input!$C$46*IF(Summary!$D$28="Included Margin",IF(AND($B360&gt;Input!$C$9,Summary!$D$31&lt;&gt;"Included Margin"),0,1),0))</f>
        <v>0.02</v>
      </c>
      <c r="AH360" s="158">
        <f>IF(E360="","",Input!$C$47*IF(Summary!$D$29="Included Margin",IF(AND($B360&gt;Input!$C$9,Summary!$D$31&lt;&gt;"Included Margin"),0,1),0))</f>
        <v>2.5000000000000001E-3</v>
      </c>
      <c r="AI360" s="154"/>
      <c r="AJ360" s="158">
        <f t="shared" si="230"/>
        <v>3.8730000000000007E-2</v>
      </c>
      <c r="AK360" s="155">
        <f t="shared" si="231"/>
        <v>3.171586629417078E-3</v>
      </c>
      <c r="AL360" s="147">
        <f t="shared" si="232"/>
        <v>6.2219000218749994E-2</v>
      </c>
      <c r="AM360" s="147">
        <f t="shared" si="210"/>
        <v>5.3389330446760308E-3</v>
      </c>
      <c r="AN360" s="160">
        <f t="shared" si="233"/>
        <v>0</v>
      </c>
      <c r="AO360" s="161">
        <f t="shared" si="234"/>
        <v>0</v>
      </c>
      <c r="AP360" s="156">
        <f t="shared" si="211"/>
        <v>1.9064972523432946</v>
      </c>
      <c r="AQ360" s="152"/>
      <c r="AR360" s="162">
        <f t="shared" si="212"/>
        <v>2620.4055404737746</v>
      </c>
      <c r="AS360" s="150">
        <f t="shared" si="235"/>
        <v>0</v>
      </c>
      <c r="AT360" s="163">
        <f t="shared" si="213"/>
        <v>0</v>
      </c>
      <c r="AU360" s="163">
        <f t="shared" si="214"/>
        <v>533.89330446760312</v>
      </c>
      <c r="AV360" s="163">
        <f t="shared" si="236"/>
        <v>7.4641987428246797</v>
      </c>
      <c r="AW360" s="163">
        <f t="shared" si="215"/>
        <v>11.239614689247048</v>
      </c>
      <c r="AX360" s="163">
        <f t="shared" si="216"/>
        <v>0</v>
      </c>
      <c r="AY360" s="165">
        <f t="shared" si="237"/>
        <v>2105.2160494382429</v>
      </c>
      <c r="AZ360" s="164">
        <f>IF($E360="","",IF(OR(AND($D360=Input!$C$6,$C360=12),$AN360=1),0,-AS361+AT361+AU361-AV361-AW361-AX361+AZ361))</f>
        <v>2105.2173899156051</v>
      </c>
      <c r="BA360" s="154">
        <f t="shared" si="217"/>
        <v>1.3404773621914501E-3</v>
      </c>
      <c r="BC360" s="147">
        <f t="shared" si="238"/>
        <v>2.5919867332815552E-2</v>
      </c>
      <c r="BD360" s="164">
        <f>IF(AND($C359=12,$D359=Input!$C$6),0,IF($E360="","",AT360+(AU360+BD361)/(1+$AK360)*MIN((1-AM360-AN360),1)))</f>
        <v>2054.3574061509248</v>
      </c>
      <c r="BE360" s="164">
        <f t="shared" si="218"/>
        <v>53.248671421619051</v>
      </c>
      <c r="BF360" s="164">
        <f t="shared" si="239"/>
        <v>2105.2173899156051</v>
      </c>
      <c r="BG360" s="164">
        <f t="shared" si="219"/>
        <v>54.566955453348712</v>
      </c>
      <c r="BH360" s="152"/>
      <c r="BI360" s="162">
        <f t="shared" si="220"/>
        <v>-191.78966751775067</v>
      </c>
      <c r="BJ360" s="150">
        <f t="shared" si="221"/>
        <v>0</v>
      </c>
      <c r="BK360" s="163">
        <f t="shared" si="243"/>
        <v>0</v>
      </c>
      <c r="BL360" s="163">
        <f t="shared" si="222"/>
        <v>435.40468282786679</v>
      </c>
      <c r="BM360" s="163">
        <f t="shared" si="244"/>
        <v>-1.4467484877524723</v>
      </c>
      <c r="BN360" s="163">
        <f t="shared" si="223"/>
        <v>-2.7490965722361413</v>
      </c>
      <c r="BO360" s="163">
        <f t="shared" si="224"/>
        <v>0</v>
      </c>
      <c r="BP360" s="164">
        <f t="shared" si="245"/>
        <v>-631.39019540560605</v>
      </c>
      <c r="BQ360" s="164">
        <f>IF($E360="","",IF(AND($D360=Input!$C$6,$C360=12),0,-BJ361+BK361+BL361-BM361-BN361-BO361+BQ361))</f>
        <v>-631.38883908673324</v>
      </c>
      <c r="BR360" s="161">
        <f t="shared" si="225"/>
        <v>0</v>
      </c>
      <c r="BT360" s="147">
        <f t="shared" si="226"/>
        <v>2.5919867332815552E-2</v>
      </c>
      <c r="BU360" s="164">
        <f>IF(AND($C359=12,$D359=Input!$C$6),0,IF($E360="","",BK360+(BL360+BU361)/(1+$AK360)*MIN((1-T360-U360),1)))</f>
        <v>37520.141728838433</v>
      </c>
      <c r="BV360" s="164">
        <f t="shared" si="227"/>
        <v>972.51709591992892</v>
      </c>
      <c r="BW360" s="164">
        <f t="shared" si="228"/>
        <v>-631.38883908673324</v>
      </c>
      <c r="BX360" s="164">
        <f t="shared" si="229"/>
        <v>-16.365514944548551</v>
      </c>
    </row>
    <row r="361" spans="1:76" s="150" customFormat="1" x14ac:dyDescent="0.25">
      <c r="A361" s="150">
        <f t="shared" si="240"/>
        <v>357</v>
      </c>
      <c r="B361" s="150">
        <f t="shared" si="241"/>
        <v>30</v>
      </c>
      <c r="C361" s="150">
        <f t="shared" si="242"/>
        <v>9</v>
      </c>
      <c r="D361" s="150">
        <f>IF(E361="","",Input!$C$4+B361-1)</f>
        <v>74</v>
      </c>
      <c r="E361" s="150">
        <f>IF(OR(AND(C360=12,D360=Input!$C$6),E360=""),"",1)</f>
        <v>1</v>
      </c>
      <c r="F361" s="150">
        <f>IF(E361="","",Input!$C$8+B361-1)</f>
        <v>2047</v>
      </c>
      <c r="G361" s="151">
        <f>IF(E361="","",MAX(0,Input!$C$9-B361))</f>
        <v>0</v>
      </c>
      <c r="H361" s="152">
        <f>IF(E361="","",Input!$C$3)</f>
        <v>100000</v>
      </c>
      <c r="I361" s="153">
        <f>IF(E361="","",HLOOKUP($B361,Input!$C$13:$BT$14,2))</f>
        <v>52.503500000000003</v>
      </c>
      <c r="J361" s="154"/>
      <c r="K361" s="155">
        <f>IF($E361="","",INDEX(Input!$C$16:$CP$16,1,$B361))</f>
        <v>2.8230000000000002E-2</v>
      </c>
      <c r="L361" s="155">
        <f>IF($E361="","",Input!$C$37)</f>
        <v>1.4999999999999999E-2</v>
      </c>
      <c r="M361" s="155">
        <f t="shared" si="205"/>
        <v>4.3230000000000005E-2</v>
      </c>
      <c r="N361" s="155">
        <f t="shared" si="206"/>
        <v>3.5330322843829531E-3</v>
      </c>
      <c r="O361" s="147">
        <f>IF($E361="","",MIN(VLOOKUP(IF($B361&lt;=Input!$C$7,$B361,26),'Mortality Tables'!$A$41:$CW$67,IF($B361&lt;=Input!$C$7+1,Input!$C$4+2,$D361-Input!$C$7+2),0)*IF(B361&gt;20,Input!$C$22,1)/1000,1))</f>
        <v>5.8997200000000007E-2</v>
      </c>
      <c r="P361" s="147">
        <f>IF($E361="","",MIN(VLOOKUP(IF($B361&lt;=Input!$C$7,$B361,26),'Mortality Tables'!$A$12:$CW$37,IF($B361&lt;=Input!$C$7+1,Input!$C$4+2,$D361-Input!$C$7+2),0)*IF(B361&gt;20,Input!$C$22,1)/1000,1))</f>
        <v>7.3746500000000006E-2</v>
      </c>
      <c r="Q361" s="155">
        <f>IF($E361="","",Input!$C$21)</f>
        <v>5.0000000000000001E-3</v>
      </c>
      <c r="R361" s="159">
        <f>IF($E361="","",(1-Q361)^($F361-Input!$C$20))</f>
        <v>0.86470773056753414</v>
      </c>
      <c r="S361" s="147">
        <f t="shared" si="208"/>
        <v>5.1015334921838934E-2</v>
      </c>
      <c r="T361" s="147">
        <f t="shared" si="209"/>
        <v>4.3540468282786682E-3</v>
      </c>
      <c r="U361" s="160">
        <f>IF($E361="","",IF($C361=12,INDEX(Input!$C$15:$CP$15,1,$B361),0))</f>
        <v>0</v>
      </c>
      <c r="V361" s="150">
        <f>IF(E361="","",IF(C361=1,IF($B361=1,Input!$C$33,Input!$C$34),0))</f>
        <v>0</v>
      </c>
      <c r="W361" s="156">
        <f>IF($E361="","",Input!$C$35)</f>
        <v>0.02</v>
      </c>
      <c r="X361" s="156">
        <f t="shared" si="207"/>
        <v>1.7758446902974065</v>
      </c>
      <c r="Y361" s="154"/>
      <c r="Z361" s="147">
        <f>IF($E361="","",VLOOKUP($D361,'Mortality Margins &amp; Grading'!$AB$5:$AF$125,3,0)*IF(Summary!$D$25="Included Margin",IF(AND($B361&gt;Input!$C$9,Summary!$D$31&lt;&gt;"Included Margin"),0,1),0))</f>
        <v>2.9000000000000001E-2</v>
      </c>
      <c r="AA361" s="147">
        <f>IF($E361="","",VLOOKUP($D361,'Mortality Margins &amp; Grading'!$AB$5:$AF$125,5,0)*IF(Summary!$D$25="Included Margin",IF(AND($B361&gt;Input!$C$9,Summary!$D$31&lt;&gt;"Included Margin"),0,1),0))</f>
        <v>0.151</v>
      </c>
      <c r="AB361" s="147">
        <f>IF($E361="","",IF(AND($B361&gt;Input!$C$9,Summary!$D$31&lt;&gt;"Included Margin"),1,IF(Summary!$D$25="Included Margin",VLOOKUP($B361,'Mortality Margins &amp; Grading'!$AI$5:$AR$125,MATCH('Mortality Margins &amp; Grading'!$AQ$4,'Mortality Margins &amp; Grading'!$AI$4:$AR$4,0),0),1)))</f>
        <v>0.9375</v>
      </c>
      <c r="AC361" s="154"/>
      <c r="AD361" s="158">
        <f>IF(E361="","",Input!$C$48*IF(Summary!$D$30="Included Margin",IF(AND($B361&gt;Input!$C$9,Summary!$D$31&lt;&gt;"Included Margin"),0,1),0))</f>
        <v>-4.4999999999999997E-3</v>
      </c>
      <c r="AE361" s="159">
        <f>IF(E361="","",IF(Summary!$D$26="Included Margin",IF(AND($B361&gt;Input!$C$9,Summary!$D$31&lt;&gt;"Included Margin"),1,1/$R361),1))</f>
        <v>1.1564601132265457</v>
      </c>
      <c r="AF361" s="160">
        <f>IF(E361="","",IF(AND($B361&gt;=Input!$C$9,$C361=12,Summary!$D$31="Included Margin",$U361&gt;0),1/U361-1,IF($B361&gt;=Input!$C$9,0,Input!$C$45*IF(Summary!$D$27="Included Margin",1,0))))</f>
        <v>0</v>
      </c>
      <c r="AG361" s="160">
        <f>IF(E361="","",Input!$C$46*IF(Summary!$D$28="Included Margin",IF(AND($B361&gt;Input!$C$9,Summary!$D$31&lt;&gt;"Included Margin"),0,1),0))</f>
        <v>0.02</v>
      </c>
      <c r="AH361" s="158">
        <f>IF(E361="","",Input!$C$47*IF(Summary!$D$29="Included Margin",IF(AND($B361&gt;Input!$C$9,Summary!$D$31&lt;&gt;"Included Margin"),0,1),0))</f>
        <v>2.5000000000000001E-3</v>
      </c>
      <c r="AI361" s="154"/>
      <c r="AJ361" s="158">
        <f t="shared" si="230"/>
        <v>3.8730000000000007E-2</v>
      </c>
      <c r="AK361" s="155">
        <f t="shared" si="231"/>
        <v>3.171586629417078E-3</v>
      </c>
      <c r="AL361" s="147">
        <f t="shared" si="232"/>
        <v>6.2219000218749994E-2</v>
      </c>
      <c r="AM361" s="147">
        <f t="shared" si="210"/>
        <v>5.3389330446760308E-3</v>
      </c>
      <c r="AN361" s="160">
        <f t="shared" si="233"/>
        <v>0</v>
      </c>
      <c r="AO361" s="161">
        <f t="shared" si="234"/>
        <v>0</v>
      </c>
      <c r="AP361" s="156">
        <f t="shared" si="211"/>
        <v>1.9064972523432946</v>
      </c>
      <c r="AQ361" s="152"/>
      <c r="AR361" s="162">
        <f t="shared" si="212"/>
        <v>2105.2160494382433</v>
      </c>
      <c r="AS361" s="150">
        <f t="shared" si="235"/>
        <v>0</v>
      </c>
      <c r="AT361" s="163">
        <f t="shared" si="213"/>
        <v>0</v>
      </c>
      <c r="AU361" s="163">
        <f t="shared" si="214"/>
        <v>533.89330446760312</v>
      </c>
      <c r="AV361" s="163">
        <f t="shared" si="236"/>
        <v>5.830230641440199</v>
      </c>
      <c r="AW361" s="163">
        <f t="shared" si="215"/>
        <v>8.465518129203657</v>
      </c>
      <c r="AX361" s="163">
        <f t="shared" si="216"/>
        <v>0</v>
      </c>
      <c r="AY361" s="164">
        <f t="shared" si="237"/>
        <v>1585.6184937412841</v>
      </c>
      <c r="AZ361" s="164">
        <f>IF($E361="","",IF(OR(AND($D361=Input!$C$6,$C361=12),$AN361=1),0,-AS362+AT362+AU362-AV362-AW362-AX362+AZ362))</f>
        <v>1585.6198342186456</v>
      </c>
      <c r="BA361" s="154">
        <f t="shared" si="217"/>
        <v>1.3404773615093291E-3</v>
      </c>
      <c r="BC361" s="147">
        <f t="shared" si="238"/>
        <v>2.5807011016665701E-2</v>
      </c>
      <c r="BD361" s="164">
        <f>IF(AND($C360=12,$D360=Input!$C$6),0,IF($E361="","",AT361+(AU361+BD362)/(1+$AK361)*MIN((1-AM361-AN361),1)))</f>
        <v>1538.0415958705471</v>
      </c>
      <c r="BE361" s="164">
        <f t="shared" si="218"/>
        <v>39.692256408721306</v>
      </c>
      <c r="BF361" s="164">
        <f t="shared" si="239"/>
        <v>1585.6198342186456</v>
      </c>
      <c r="BG361" s="164">
        <f t="shared" si="219"/>
        <v>40.920108529924228</v>
      </c>
      <c r="BH361" s="152"/>
      <c r="BI361" s="162">
        <f t="shared" si="220"/>
        <v>-631.39019540560582</v>
      </c>
      <c r="BJ361" s="150">
        <f t="shared" si="221"/>
        <v>0</v>
      </c>
      <c r="BK361" s="163">
        <f t="shared" si="243"/>
        <v>0</v>
      </c>
      <c r="BL361" s="163">
        <f t="shared" si="222"/>
        <v>435.40468282786679</v>
      </c>
      <c r="BM361" s="163">
        <f t="shared" si="244"/>
        <v>-2.9998713450120533</v>
      </c>
      <c r="BN361" s="163">
        <f t="shared" si="223"/>
        <v>-4.6783000684100848</v>
      </c>
      <c r="BO361" s="163">
        <f t="shared" si="224"/>
        <v>0</v>
      </c>
      <c r="BP361" s="164">
        <f t="shared" si="245"/>
        <v>-1074.4730496468949</v>
      </c>
      <c r="BQ361" s="164">
        <f>IF($E361="","",IF(AND($D361=Input!$C$6,$C361=12),0,-BJ362+BK362+BL362-BM362-BN362-BO362+BQ362))</f>
        <v>-1074.4716933280222</v>
      </c>
      <c r="BR361" s="161">
        <f t="shared" si="225"/>
        <v>0</v>
      </c>
      <c r="BT361" s="147">
        <f t="shared" si="226"/>
        <v>2.5807011016665701E-2</v>
      </c>
      <c r="BU361" s="164">
        <f>IF(AND($C360=12,$D360=Input!$C$6),0,IF($E361="","",BK361+(BL361+BU362)/(1+$AK361)*MIN((1-T361-U361),1)))</f>
        <v>37368.334677309664</v>
      </c>
      <c r="BV361" s="164">
        <f t="shared" si="227"/>
        <v>964.3650246917814</v>
      </c>
      <c r="BW361" s="164">
        <f t="shared" si="228"/>
        <v>-1074.4716933280222</v>
      </c>
      <c r="BX361" s="164">
        <f t="shared" si="229"/>
        <v>-27.728902826811719</v>
      </c>
    </row>
    <row r="362" spans="1:76" s="150" customFormat="1" x14ac:dyDescent="0.25">
      <c r="A362" s="150">
        <f t="shared" si="240"/>
        <v>358</v>
      </c>
      <c r="B362" s="150">
        <f t="shared" si="241"/>
        <v>30</v>
      </c>
      <c r="C362" s="150">
        <f t="shared" si="242"/>
        <v>10</v>
      </c>
      <c r="D362" s="150">
        <f>IF(E362="","",Input!$C$4+B362-1)</f>
        <v>74</v>
      </c>
      <c r="E362" s="150">
        <f>IF(OR(AND(C361=12,D361=Input!$C$6),E361=""),"",1)</f>
        <v>1</v>
      </c>
      <c r="F362" s="150">
        <f>IF(E362="","",Input!$C$8+B362-1)</f>
        <v>2047</v>
      </c>
      <c r="G362" s="151">
        <f>IF(E362="","",MAX(0,Input!$C$9-B362))</f>
        <v>0</v>
      </c>
      <c r="H362" s="152">
        <f>IF(E362="","",Input!$C$3)</f>
        <v>100000</v>
      </c>
      <c r="I362" s="153">
        <f>IF(E362="","",HLOOKUP($B362,Input!$C$13:$BT$14,2))</f>
        <v>52.503500000000003</v>
      </c>
      <c r="J362" s="154"/>
      <c r="K362" s="155">
        <f>IF($E362="","",INDEX(Input!$C$16:$CP$16,1,$B362))</f>
        <v>2.8230000000000002E-2</v>
      </c>
      <c r="L362" s="155">
        <f>IF($E362="","",Input!$C$37)</f>
        <v>1.4999999999999999E-2</v>
      </c>
      <c r="M362" s="155">
        <f t="shared" si="205"/>
        <v>4.3230000000000005E-2</v>
      </c>
      <c r="N362" s="155">
        <f t="shared" si="206"/>
        <v>3.5330322843829531E-3</v>
      </c>
      <c r="O362" s="147">
        <f>IF($E362="","",MIN(VLOOKUP(IF($B362&lt;=Input!$C$7,$B362,26),'Mortality Tables'!$A$41:$CW$67,IF($B362&lt;=Input!$C$7+1,Input!$C$4+2,$D362-Input!$C$7+2),0)*IF(B362&gt;20,Input!$C$22,1)/1000,1))</f>
        <v>5.8997200000000007E-2</v>
      </c>
      <c r="P362" s="147">
        <f>IF($E362="","",MIN(VLOOKUP(IF($B362&lt;=Input!$C$7,$B362,26),'Mortality Tables'!$A$12:$CW$37,IF($B362&lt;=Input!$C$7+1,Input!$C$4+2,$D362-Input!$C$7+2),0)*IF(B362&gt;20,Input!$C$22,1)/1000,1))</f>
        <v>7.3746500000000006E-2</v>
      </c>
      <c r="Q362" s="155">
        <f>IF($E362="","",Input!$C$21)</f>
        <v>5.0000000000000001E-3</v>
      </c>
      <c r="R362" s="159">
        <f>IF($E362="","",(1-Q362)^($F362-Input!$C$20))</f>
        <v>0.86470773056753414</v>
      </c>
      <c r="S362" s="147">
        <f t="shared" si="208"/>
        <v>5.1015334921838934E-2</v>
      </c>
      <c r="T362" s="147">
        <f t="shared" si="209"/>
        <v>4.3540468282786682E-3</v>
      </c>
      <c r="U362" s="160">
        <f>IF($E362="","",IF($C362=12,INDEX(Input!$C$15:$CP$15,1,$B362),0))</f>
        <v>0</v>
      </c>
      <c r="V362" s="150">
        <f>IF(E362="","",IF(C362=1,IF($B362=1,Input!$C$33,Input!$C$34),0))</f>
        <v>0</v>
      </c>
      <c r="W362" s="156">
        <f>IF($E362="","",Input!$C$35)</f>
        <v>0.02</v>
      </c>
      <c r="X362" s="156">
        <f t="shared" si="207"/>
        <v>1.7758446902974065</v>
      </c>
      <c r="Y362" s="154"/>
      <c r="Z362" s="147">
        <f>IF($E362="","",VLOOKUP($D362,'Mortality Margins &amp; Grading'!$AB$5:$AF$125,3,0)*IF(Summary!$D$25="Included Margin",IF(AND($B362&gt;Input!$C$9,Summary!$D$31&lt;&gt;"Included Margin"),0,1),0))</f>
        <v>2.9000000000000001E-2</v>
      </c>
      <c r="AA362" s="147">
        <f>IF($E362="","",VLOOKUP($D362,'Mortality Margins &amp; Grading'!$AB$5:$AF$125,5,0)*IF(Summary!$D$25="Included Margin",IF(AND($B362&gt;Input!$C$9,Summary!$D$31&lt;&gt;"Included Margin"),0,1),0))</f>
        <v>0.151</v>
      </c>
      <c r="AB362" s="147">
        <f>IF($E362="","",IF(AND($B362&gt;Input!$C$9,Summary!$D$31&lt;&gt;"Included Margin"),1,IF(Summary!$D$25="Included Margin",VLOOKUP($B362,'Mortality Margins &amp; Grading'!$AI$5:$AR$125,MATCH('Mortality Margins &amp; Grading'!$AQ$4,'Mortality Margins &amp; Grading'!$AI$4:$AR$4,0),0),1)))</f>
        <v>0.9375</v>
      </c>
      <c r="AC362" s="154"/>
      <c r="AD362" s="158">
        <f>IF(E362="","",Input!$C$48*IF(Summary!$D$30="Included Margin",IF(AND($B362&gt;Input!$C$9,Summary!$D$31&lt;&gt;"Included Margin"),0,1),0))</f>
        <v>-4.4999999999999997E-3</v>
      </c>
      <c r="AE362" s="159">
        <f>IF(E362="","",IF(Summary!$D$26="Included Margin",IF(AND($B362&gt;Input!$C$9,Summary!$D$31&lt;&gt;"Included Margin"),1,1/$R362),1))</f>
        <v>1.1564601132265457</v>
      </c>
      <c r="AF362" s="160">
        <f>IF(E362="","",IF(AND($B362&gt;=Input!$C$9,$C362=12,Summary!$D$31="Included Margin",$U362&gt;0),1/U362-1,IF($B362&gt;=Input!$C$9,0,Input!$C$45*IF(Summary!$D$27="Included Margin",1,0))))</f>
        <v>0</v>
      </c>
      <c r="AG362" s="160">
        <f>IF(E362="","",Input!$C$46*IF(Summary!$D$28="Included Margin",IF(AND($B362&gt;Input!$C$9,Summary!$D$31&lt;&gt;"Included Margin"),0,1),0))</f>
        <v>0.02</v>
      </c>
      <c r="AH362" s="158">
        <f>IF(E362="","",Input!$C$47*IF(Summary!$D$29="Included Margin",IF(AND($B362&gt;Input!$C$9,Summary!$D$31&lt;&gt;"Included Margin"),0,1),0))</f>
        <v>2.5000000000000001E-3</v>
      </c>
      <c r="AI362" s="154"/>
      <c r="AJ362" s="158">
        <f t="shared" si="230"/>
        <v>3.8730000000000007E-2</v>
      </c>
      <c r="AK362" s="155">
        <f t="shared" si="231"/>
        <v>3.171586629417078E-3</v>
      </c>
      <c r="AL362" s="147">
        <f t="shared" si="232"/>
        <v>6.2219000218749994E-2</v>
      </c>
      <c r="AM362" s="147">
        <f t="shared" si="210"/>
        <v>5.3389330446760308E-3</v>
      </c>
      <c r="AN362" s="160">
        <f t="shared" si="233"/>
        <v>0</v>
      </c>
      <c r="AO362" s="161">
        <f t="shared" si="234"/>
        <v>0</v>
      </c>
      <c r="AP362" s="156">
        <f t="shared" si="211"/>
        <v>1.9064972523432946</v>
      </c>
      <c r="AQ362" s="152"/>
      <c r="AR362" s="162">
        <f t="shared" si="212"/>
        <v>1585.6184937412838</v>
      </c>
      <c r="AS362" s="150">
        <f t="shared" si="235"/>
        <v>0</v>
      </c>
      <c r="AT362" s="163">
        <f t="shared" si="213"/>
        <v>0</v>
      </c>
      <c r="AU362" s="163">
        <f t="shared" si="214"/>
        <v>533.89330446760312</v>
      </c>
      <c r="AV362" s="163">
        <f t="shared" si="236"/>
        <v>4.1822819811139267</v>
      </c>
      <c r="AW362" s="163">
        <f t="shared" si="215"/>
        <v>5.667685842351986</v>
      </c>
      <c r="AX362" s="163">
        <f t="shared" si="216"/>
        <v>0</v>
      </c>
      <c r="AY362" s="165">
        <f t="shared" si="237"/>
        <v>1061.5751570971468</v>
      </c>
      <c r="AZ362" s="164">
        <f>IF($E362="","",IF(OR(AND($D362=Input!$C$6,$C362=12),$AN362=1),0,-AS363+AT363+AU363-AV363-AW363-AX363+AZ363))</f>
        <v>1061.5764975745083</v>
      </c>
      <c r="BA362" s="154">
        <f t="shared" si="217"/>
        <v>1.3404773615093291E-3</v>
      </c>
      <c r="BC362" s="147">
        <f t="shared" si="238"/>
        <v>2.5694646082201237E-2</v>
      </c>
      <c r="BD362" s="164">
        <f>IF(AND($C361=12,$D361=Input!$C$6),0,IF($E362="","",AT362+(AU362+BD363)/(1+$AK362)*MIN((1-AM362-AN362),1)))</f>
        <v>1017.3080839152791</v>
      </c>
      <c r="BE362" s="164">
        <f t="shared" si="218"/>
        <v>26.139371172765372</v>
      </c>
      <c r="BF362" s="164">
        <f t="shared" si="239"/>
        <v>1061.5764975745083</v>
      </c>
      <c r="BG362" s="164">
        <f t="shared" si="219"/>
        <v>27.276832394359751</v>
      </c>
      <c r="BH362" s="152"/>
      <c r="BI362" s="162">
        <f t="shared" si="220"/>
        <v>-1074.4730496468951</v>
      </c>
      <c r="BJ362" s="150">
        <f t="shared" si="221"/>
        <v>0</v>
      </c>
      <c r="BK362" s="163">
        <f t="shared" si="243"/>
        <v>0</v>
      </c>
      <c r="BL362" s="163">
        <f t="shared" si="222"/>
        <v>435.40468282786679</v>
      </c>
      <c r="BM362" s="163">
        <f t="shared" si="244"/>
        <v>-4.5652973737030749</v>
      </c>
      <c r="BN362" s="163">
        <f t="shared" si="223"/>
        <v>-6.6227858851220427</v>
      </c>
      <c r="BO362" s="163">
        <f t="shared" si="224"/>
        <v>0</v>
      </c>
      <c r="BP362" s="164">
        <f t="shared" si="245"/>
        <v>-1521.065815733587</v>
      </c>
      <c r="BQ362" s="164">
        <f>IF($E362="","",IF(AND($D362=Input!$C$6,$C362=12),0,-BJ363+BK363+BL363-BM363-BN363-BO363+BQ363))</f>
        <v>-1521.0644594147141</v>
      </c>
      <c r="BR362" s="161">
        <f t="shared" si="225"/>
        <v>0</v>
      </c>
      <c r="BT362" s="147">
        <f t="shared" si="226"/>
        <v>2.5694646082201237E-2</v>
      </c>
      <c r="BU362" s="164">
        <f>IF(AND($C361=12,$D361=Input!$C$6),0,IF($E362="","",BK362+(BL362+BU363)/(1+$AK362)*MIN((1-T362-U362),1)))</f>
        <v>37215.380185546288</v>
      </c>
      <c r="BV362" s="164">
        <f t="shared" si="227"/>
        <v>956.23602268217644</v>
      </c>
      <c r="BW362" s="164">
        <f t="shared" si="228"/>
        <v>-1521.0644594147141</v>
      </c>
      <c r="BX362" s="164">
        <f t="shared" si="229"/>
        <v>-39.083212952875826</v>
      </c>
    </row>
    <row r="363" spans="1:76" s="150" customFormat="1" x14ac:dyDescent="0.25">
      <c r="A363" s="150">
        <f t="shared" si="240"/>
        <v>359</v>
      </c>
      <c r="B363" s="150">
        <f t="shared" si="241"/>
        <v>30</v>
      </c>
      <c r="C363" s="150">
        <f t="shared" si="242"/>
        <v>11</v>
      </c>
      <c r="D363" s="150">
        <f>IF(E363="","",Input!$C$4+B363-1)</f>
        <v>74</v>
      </c>
      <c r="E363" s="150">
        <f>IF(OR(AND(C362=12,D362=Input!$C$6),E362=""),"",1)</f>
        <v>1</v>
      </c>
      <c r="F363" s="150">
        <f>IF(E363="","",Input!$C$8+B363-1)</f>
        <v>2047</v>
      </c>
      <c r="G363" s="151">
        <f>IF(E363="","",MAX(0,Input!$C$9-B363))</f>
        <v>0</v>
      </c>
      <c r="H363" s="152">
        <f>IF(E363="","",Input!$C$3)</f>
        <v>100000</v>
      </c>
      <c r="I363" s="153">
        <f>IF(E363="","",HLOOKUP($B363,Input!$C$13:$BT$14,2))</f>
        <v>52.503500000000003</v>
      </c>
      <c r="J363" s="154"/>
      <c r="K363" s="155">
        <f>IF($E363="","",INDEX(Input!$C$16:$CP$16,1,$B363))</f>
        <v>2.8230000000000002E-2</v>
      </c>
      <c r="L363" s="155">
        <f>IF($E363="","",Input!$C$37)</f>
        <v>1.4999999999999999E-2</v>
      </c>
      <c r="M363" s="155">
        <f t="shared" si="205"/>
        <v>4.3230000000000005E-2</v>
      </c>
      <c r="N363" s="155">
        <f t="shared" si="206"/>
        <v>3.5330322843829531E-3</v>
      </c>
      <c r="O363" s="147">
        <f>IF($E363="","",MIN(VLOOKUP(IF($B363&lt;=Input!$C$7,$B363,26),'Mortality Tables'!$A$41:$CW$67,IF($B363&lt;=Input!$C$7+1,Input!$C$4+2,$D363-Input!$C$7+2),0)*IF(B363&gt;20,Input!$C$22,1)/1000,1))</f>
        <v>5.8997200000000007E-2</v>
      </c>
      <c r="P363" s="147">
        <f>IF($E363="","",MIN(VLOOKUP(IF($B363&lt;=Input!$C$7,$B363,26),'Mortality Tables'!$A$12:$CW$37,IF($B363&lt;=Input!$C$7+1,Input!$C$4+2,$D363-Input!$C$7+2),0)*IF(B363&gt;20,Input!$C$22,1)/1000,1))</f>
        <v>7.3746500000000006E-2</v>
      </c>
      <c r="Q363" s="155">
        <f>IF($E363="","",Input!$C$21)</f>
        <v>5.0000000000000001E-3</v>
      </c>
      <c r="R363" s="159">
        <f>IF($E363="","",(1-Q363)^($F363-Input!$C$20))</f>
        <v>0.86470773056753414</v>
      </c>
      <c r="S363" s="147">
        <f t="shared" si="208"/>
        <v>5.1015334921838934E-2</v>
      </c>
      <c r="T363" s="147">
        <f t="shared" si="209"/>
        <v>4.3540468282786682E-3</v>
      </c>
      <c r="U363" s="160">
        <f>IF($E363="","",IF($C363=12,INDEX(Input!$C$15:$CP$15,1,$B363),0))</f>
        <v>0</v>
      </c>
      <c r="V363" s="150">
        <f>IF(E363="","",IF(C363=1,IF($B363=1,Input!$C$33,Input!$C$34),0))</f>
        <v>0</v>
      </c>
      <c r="W363" s="156">
        <f>IF($E363="","",Input!$C$35)</f>
        <v>0.02</v>
      </c>
      <c r="X363" s="156">
        <f t="shared" si="207"/>
        <v>1.7758446902974065</v>
      </c>
      <c r="Y363" s="154"/>
      <c r="Z363" s="147">
        <f>IF($E363="","",VLOOKUP($D363,'Mortality Margins &amp; Grading'!$AB$5:$AF$125,3,0)*IF(Summary!$D$25="Included Margin",IF(AND($B363&gt;Input!$C$9,Summary!$D$31&lt;&gt;"Included Margin"),0,1),0))</f>
        <v>2.9000000000000001E-2</v>
      </c>
      <c r="AA363" s="147">
        <f>IF($E363="","",VLOOKUP($D363,'Mortality Margins &amp; Grading'!$AB$5:$AF$125,5,0)*IF(Summary!$D$25="Included Margin",IF(AND($B363&gt;Input!$C$9,Summary!$D$31&lt;&gt;"Included Margin"),0,1),0))</f>
        <v>0.151</v>
      </c>
      <c r="AB363" s="147">
        <f>IF($E363="","",IF(AND($B363&gt;Input!$C$9,Summary!$D$31&lt;&gt;"Included Margin"),1,IF(Summary!$D$25="Included Margin",VLOOKUP($B363,'Mortality Margins &amp; Grading'!$AI$5:$AR$125,MATCH('Mortality Margins &amp; Grading'!$AQ$4,'Mortality Margins &amp; Grading'!$AI$4:$AR$4,0),0),1)))</f>
        <v>0.9375</v>
      </c>
      <c r="AC363" s="154"/>
      <c r="AD363" s="158">
        <f>IF(E363="","",Input!$C$48*IF(Summary!$D$30="Included Margin",IF(AND($B363&gt;Input!$C$9,Summary!$D$31&lt;&gt;"Included Margin"),0,1),0))</f>
        <v>-4.4999999999999997E-3</v>
      </c>
      <c r="AE363" s="159">
        <f>IF(E363="","",IF(Summary!$D$26="Included Margin",IF(AND($B363&gt;Input!$C$9,Summary!$D$31&lt;&gt;"Included Margin"),1,1/$R363),1))</f>
        <v>1.1564601132265457</v>
      </c>
      <c r="AF363" s="160">
        <f>IF(E363="","",IF(AND($B363&gt;=Input!$C$9,$C363=12,Summary!$D$31="Included Margin",$U363&gt;0),1/U363-1,IF($B363&gt;=Input!$C$9,0,Input!$C$45*IF(Summary!$D$27="Included Margin",1,0))))</f>
        <v>0</v>
      </c>
      <c r="AG363" s="160">
        <f>IF(E363="","",Input!$C$46*IF(Summary!$D$28="Included Margin",IF(AND($B363&gt;Input!$C$9,Summary!$D$31&lt;&gt;"Included Margin"),0,1),0))</f>
        <v>0.02</v>
      </c>
      <c r="AH363" s="158">
        <f>IF(E363="","",Input!$C$47*IF(Summary!$D$29="Included Margin",IF(AND($B363&gt;Input!$C$9,Summary!$D$31&lt;&gt;"Included Margin"),0,1),0))</f>
        <v>2.5000000000000001E-3</v>
      </c>
      <c r="AI363" s="154"/>
      <c r="AJ363" s="158">
        <f t="shared" si="230"/>
        <v>3.8730000000000007E-2</v>
      </c>
      <c r="AK363" s="155">
        <f t="shared" si="231"/>
        <v>3.171586629417078E-3</v>
      </c>
      <c r="AL363" s="147">
        <f t="shared" si="232"/>
        <v>6.2219000218749994E-2</v>
      </c>
      <c r="AM363" s="147">
        <f t="shared" si="210"/>
        <v>5.3389330446760308E-3</v>
      </c>
      <c r="AN363" s="160">
        <f t="shared" si="233"/>
        <v>0</v>
      </c>
      <c r="AO363" s="161">
        <f t="shared" si="234"/>
        <v>0</v>
      </c>
      <c r="AP363" s="156">
        <f t="shared" si="211"/>
        <v>1.9064972523432946</v>
      </c>
      <c r="AQ363" s="152"/>
      <c r="AR363" s="162">
        <f t="shared" si="212"/>
        <v>1061.5751570971465</v>
      </c>
      <c r="AS363" s="150">
        <f t="shared" si="235"/>
        <v>0</v>
      </c>
      <c r="AT363" s="163">
        <f t="shared" si="213"/>
        <v>0</v>
      </c>
      <c r="AU363" s="163">
        <f t="shared" si="214"/>
        <v>533.89330446760312</v>
      </c>
      <c r="AV363" s="163">
        <f t="shared" si="236"/>
        <v>2.5202331413782684</v>
      </c>
      <c r="AW363" s="163">
        <f t="shared" si="215"/>
        <v>2.8459147410507377</v>
      </c>
      <c r="AX363" s="163">
        <f t="shared" si="216"/>
        <v>0</v>
      </c>
      <c r="AY363" s="164">
        <f t="shared" si="237"/>
        <v>533.04800051197242</v>
      </c>
      <c r="AZ363" s="164">
        <f>IF($E363="","",IF(OR(AND($D363=Input!$C$6,$C363=12),$AN363=1),0,-AS364+AT364+AU364-AV364-AW364-AX364+AZ364))</f>
        <v>533.04934098933415</v>
      </c>
      <c r="BA363" s="154">
        <f t="shared" si="217"/>
        <v>1.3404773617367027E-3</v>
      </c>
      <c r="BC363" s="147">
        <f t="shared" si="238"/>
        <v>2.5582770389923286E-2</v>
      </c>
      <c r="BD363" s="164">
        <f>IF(AND($C362=12,$D362=Input!$C$6),0,IF($E363="","",AT363+(AU363+BD364)/(1+$AK363)*MIN((1-AM363-AN363),1)))</f>
        <v>492.11907154315008</v>
      </c>
      <c r="BE363" s="164">
        <f t="shared" si="218"/>
        <v>12.589769211790639</v>
      </c>
      <c r="BF363" s="164">
        <f t="shared" si="239"/>
        <v>533.04934098933415</v>
      </c>
      <c r="BG363" s="164">
        <f t="shared" si="219"/>
        <v>13.636878897030059</v>
      </c>
      <c r="BH363" s="152"/>
      <c r="BI363" s="162">
        <f t="shared" si="220"/>
        <v>-1521.065815733587</v>
      </c>
      <c r="BJ363" s="150">
        <f t="shared" si="221"/>
        <v>0</v>
      </c>
      <c r="BK363" s="163">
        <f t="shared" si="243"/>
        <v>0</v>
      </c>
      <c r="BL363" s="163">
        <f t="shared" si="222"/>
        <v>435.40468282786679</v>
      </c>
      <c r="BM363" s="163">
        <f t="shared" si="244"/>
        <v>-6.1431240342592419</v>
      </c>
      <c r="BN363" s="163">
        <f t="shared" si="223"/>
        <v>-8.5826750823439095</v>
      </c>
      <c r="BO363" s="163">
        <f t="shared" si="224"/>
        <v>0</v>
      </c>
      <c r="BP363" s="164">
        <f t="shared" si="245"/>
        <v>-1971.1962976780569</v>
      </c>
      <c r="BQ363" s="164">
        <f>IF($E363="","",IF(AND($D363=Input!$C$6,$C363=12),0,-BJ364+BK364+BL364-BM364-BN364-BO364+BQ364))</f>
        <v>-1971.194941359184</v>
      </c>
      <c r="BR363" s="161">
        <f t="shared" si="225"/>
        <v>0</v>
      </c>
      <c r="BT363" s="147">
        <f t="shared" si="226"/>
        <v>2.5582770389923286E-2</v>
      </c>
      <c r="BU363" s="164">
        <f>IF(AND($C362=12,$D362=Input!$C$6),0,IF($E363="","",BK363+(BL363+BU364)/(1+$AK363)*MIN((1-T363-U363),1)))</f>
        <v>37061.269580571126</v>
      </c>
      <c r="BV363" s="164">
        <f t="shared" si="227"/>
        <v>948.12995003879962</v>
      </c>
      <c r="BW363" s="164">
        <f t="shared" si="228"/>
        <v>-1971.194941359184</v>
      </c>
      <c r="BX363" s="164">
        <f t="shared" si="229"/>
        <v>-50.4286275785703</v>
      </c>
    </row>
    <row r="364" spans="1:76" s="150" customFormat="1" x14ac:dyDescent="0.25">
      <c r="A364" s="150">
        <f t="shared" si="240"/>
        <v>360</v>
      </c>
      <c r="B364" s="150">
        <f t="shared" si="241"/>
        <v>30</v>
      </c>
      <c r="C364" s="150">
        <f t="shared" si="242"/>
        <v>12</v>
      </c>
      <c r="D364" s="150">
        <f>IF(E364="","",Input!$C$4+B364-1)</f>
        <v>74</v>
      </c>
      <c r="E364" s="150">
        <f>IF(OR(AND(C363=12,D363=Input!$C$6),E363=""),"",1)</f>
        <v>1</v>
      </c>
      <c r="F364" s="150">
        <f>IF(E364="","",Input!$C$8+B364-1)</f>
        <v>2047</v>
      </c>
      <c r="G364" s="151">
        <f>IF(E364="","",MAX(0,Input!$C$9-B364))</f>
        <v>0</v>
      </c>
      <c r="H364" s="152">
        <f>IF(E364="","",Input!$C$3)</f>
        <v>100000</v>
      </c>
      <c r="I364" s="153">
        <f>IF(E364="","",HLOOKUP($B364,Input!$C$13:$BT$14,2))</f>
        <v>52.503500000000003</v>
      </c>
      <c r="J364" s="154"/>
      <c r="K364" s="155">
        <f>IF($E364="","",INDEX(Input!$C$16:$CP$16,1,$B364))</f>
        <v>2.8230000000000002E-2</v>
      </c>
      <c r="L364" s="155">
        <f>IF($E364="","",Input!$C$37)</f>
        <v>1.4999999999999999E-2</v>
      </c>
      <c r="M364" s="155">
        <f t="shared" si="205"/>
        <v>4.3230000000000005E-2</v>
      </c>
      <c r="N364" s="155">
        <f t="shared" si="206"/>
        <v>3.5330322843829531E-3</v>
      </c>
      <c r="O364" s="147">
        <f>IF($E364="","",MIN(VLOOKUP(IF($B364&lt;=Input!$C$7,$B364,26),'Mortality Tables'!$A$41:$CW$67,IF($B364&lt;=Input!$C$7+1,Input!$C$4+2,$D364-Input!$C$7+2),0)*IF(B364&gt;20,Input!$C$22,1)/1000,1))</f>
        <v>5.8997200000000007E-2</v>
      </c>
      <c r="P364" s="147">
        <f>IF($E364="","",MIN(VLOOKUP(IF($B364&lt;=Input!$C$7,$B364,26),'Mortality Tables'!$A$12:$CW$37,IF($B364&lt;=Input!$C$7+1,Input!$C$4+2,$D364-Input!$C$7+2),0)*IF(B364&gt;20,Input!$C$22,1)/1000,1))</f>
        <v>7.3746500000000006E-2</v>
      </c>
      <c r="Q364" s="155">
        <f>IF($E364="","",Input!$C$21)</f>
        <v>5.0000000000000001E-3</v>
      </c>
      <c r="R364" s="159">
        <f>IF($E364="","",(1-Q364)^($F364-Input!$C$20))</f>
        <v>0.86470773056753414</v>
      </c>
      <c r="S364" s="147">
        <f t="shared" si="208"/>
        <v>5.1015334921838934E-2</v>
      </c>
      <c r="T364" s="147">
        <f t="shared" si="209"/>
        <v>4.3540468282786682E-3</v>
      </c>
      <c r="U364" s="160">
        <f>IF($E364="","",IF($C364=12,INDEX(Input!$C$15:$CP$15,1,$B364),0))</f>
        <v>0.1</v>
      </c>
      <c r="V364" s="150">
        <f>IF(E364="","",IF(C364=1,IF($B364=1,Input!$C$33,Input!$C$34),0))</f>
        <v>0</v>
      </c>
      <c r="W364" s="156">
        <f>IF($E364="","",Input!$C$35)</f>
        <v>0.02</v>
      </c>
      <c r="X364" s="156">
        <f t="shared" si="207"/>
        <v>1.7758446902974065</v>
      </c>
      <c r="Y364" s="154"/>
      <c r="Z364" s="147">
        <f>IF($E364="","",VLOOKUP($D364,'Mortality Margins &amp; Grading'!$AB$5:$AF$125,3,0)*IF(Summary!$D$25="Included Margin",IF(AND($B364&gt;Input!$C$9,Summary!$D$31&lt;&gt;"Included Margin"),0,1),0))</f>
        <v>2.9000000000000001E-2</v>
      </c>
      <c r="AA364" s="147">
        <f>IF($E364="","",VLOOKUP($D364,'Mortality Margins &amp; Grading'!$AB$5:$AF$125,5,0)*IF(Summary!$D$25="Included Margin",IF(AND($B364&gt;Input!$C$9,Summary!$D$31&lt;&gt;"Included Margin"),0,1),0))</f>
        <v>0.151</v>
      </c>
      <c r="AB364" s="147">
        <f>IF($E364="","",IF(AND($B364&gt;Input!$C$9,Summary!$D$31&lt;&gt;"Included Margin"),1,IF(Summary!$D$25="Included Margin",VLOOKUP($B364,'Mortality Margins &amp; Grading'!$AI$5:$AR$125,MATCH('Mortality Margins &amp; Grading'!$AQ$4,'Mortality Margins &amp; Grading'!$AI$4:$AR$4,0),0),1)))</f>
        <v>0.9375</v>
      </c>
      <c r="AC364" s="154"/>
      <c r="AD364" s="158">
        <f>IF(E364="","",Input!$C$48*IF(Summary!$D$30="Included Margin",IF(AND($B364&gt;Input!$C$9,Summary!$D$31&lt;&gt;"Included Margin"),0,1),0))</f>
        <v>-4.4999999999999997E-3</v>
      </c>
      <c r="AE364" s="159">
        <f>IF(E364="","",IF(Summary!$D$26="Included Margin",IF(AND($B364&gt;Input!$C$9,Summary!$D$31&lt;&gt;"Included Margin"),1,1/$R364),1))</f>
        <v>1.1564601132265457</v>
      </c>
      <c r="AF364" s="160">
        <f>IF(E364="","",IF(AND($B364&gt;=Input!$C$9,$C364=12,Summary!$D$31="Included Margin",$U364&gt;0),1/U364-1,IF($B364&gt;=Input!$C$9,0,Input!$C$45*IF(Summary!$D$27="Included Margin",1,0))))</f>
        <v>9</v>
      </c>
      <c r="AG364" s="160">
        <f>IF(E364="","",Input!$C$46*IF(Summary!$D$28="Included Margin",IF(AND($B364&gt;Input!$C$9,Summary!$D$31&lt;&gt;"Included Margin"),0,1),0))</f>
        <v>0.02</v>
      </c>
      <c r="AH364" s="158">
        <f>IF(E364="","",Input!$C$47*IF(Summary!$D$29="Included Margin",IF(AND($B364&gt;Input!$C$9,Summary!$D$31&lt;&gt;"Included Margin"),0,1),0))</f>
        <v>2.5000000000000001E-3</v>
      </c>
      <c r="AI364" s="154"/>
      <c r="AJ364" s="158">
        <f t="shared" si="230"/>
        <v>3.8730000000000007E-2</v>
      </c>
      <c r="AK364" s="155">
        <f t="shared" si="231"/>
        <v>3.171586629417078E-3</v>
      </c>
      <c r="AL364" s="147">
        <f t="shared" si="232"/>
        <v>6.2219000218749994E-2</v>
      </c>
      <c r="AM364" s="147">
        <f t="shared" si="210"/>
        <v>5.3389330446760308E-3</v>
      </c>
      <c r="AN364" s="160">
        <f t="shared" si="233"/>
        <v>1</v>
      </c>
      <c r="AO364" s="161">
        <f t="shared" si="234"/>
        <v>0</v>
      </c>
      <c r="AP364" s="156">
        <f t="shared" si="211"/>
        <v>1.9064972523432946</v>
      </c>
      <c r="AQ364" s="152"/>
      <c r="AR364" s="162">
        <f t="shared" si="212"/>
        <v>533.04800051197253</v>
      </c>
      <c r="AS364" s="150">
        <f t="shared" si="235"/>
        <v>0</v>
      </c>
      <c r="AT364" s="163">
        <f t="shared" si="213"/>
        <v>0</v>
      </c>
      <c r="AU364" s="163">
        <f t="shared" si="214"/>
        <v>533.89330446760312</v>
      </c>
      <c r="AV364" s="163">
        <f t="shared" si="236"/>
        <v>0.84396347826890428</v>
      </c>
      <c r="AW364" s="163">
        <f t="shared" si="215"/>
        <v>0</v>
      </c>
      <c r="AX364" s="163">
        <f t="shared" si="216"/>
        <v>0</v>
      </c>
      <c r="AY364" s="165">
        <f t="shared" si="237"/>
        <v>-1.3404773616796373E-3</v>
      </c>
      <c r="AZ364" s="164">
        <f>IF($E364="","",IF(OR(AND($D364=Input!$C$6,$C364=12),$AN364=1),0,-AS365+AT365+AU365-AV365-AW365-AX365+AZ365))</f>
        <v>0</v>
      </c>
      <c r="BA364" s="154">
        <f t="shared" si="217"/>
        <v>1.3404773616796373E-3</v>
      </c>
      <c r="BC364" s="147">
        <f t="shared" si="238"/>
        <v>2.2913104770656129E-2</v>
      </c>
      <c r="BD364" s="164">
        <f>IF(AND($C363=12,$D363=Input!$C$6),0,IF($E364="","",AT364+(AU364+BD365)/(1+$AK364)*MIN((1-AM364-AN364),1)))</f>
        <v>-37.563563401431942</v>
      </c>
      <c r="BE364" s="164">
        <f t="shared" si="218"/>
        <v>-0.86069786377619417</v>
      </c>
      <c r="BF364" s="164">
        <f t="shared" si="239"/>
        <v>0</v>
      </c>
      <c r="BG364" s="164">
        <f t="shared" si="219"/>
        <v>0</v>
      </c>
      <c r="BH364" s="152"/>
      <c r="BI364" s="162">
        <f t="shared" si="220"/>
        <v>-1971.1962976780569</v>
      </c>
      <c r="BJ364" s="150">
        <f t="shared" si="221"/>
        <v>0</v>
      </c>
      <c r="BK364" s="163">
        <f t="shared" si="243"/>
        <v>0</v>
      </c>
      <c r="BL364" s="163">
        <f t="shared" si="222"/>
        <v>435.40468282786679</v>
      </c>
      <c r="BM364" s="163">
        <f t="shared" si="244"/>
        <v>-7.7334495591539119</v>
      </c>
      <c r="BN364" s="163">
        <f t="shared" si="223"/>
        <v>-11.731210754480694</v>
      </c>
      <c r="BO364" s="163">
        <f t="shared" si="224"/>
        <v>-268.25923041624498</v>
      </c>
      <c r="BP364" s="164">
        <f t="shared" si="245"/>
        <v>-2694.3248712358036</v>
      </c>
      <c r="BQ364" s="164">
        <f>IF($E364="","",IF(AND($D364=Input!$C$6,$C364=12),0,-BJ365+BK365+BL365-BM365-BN365-BO365+BQ365))</f>
        <v>-2694.3235149169304</v>
      </c>
      <c r="BR364" s="161">
        <f t="shared" si="225"/>
        <v>0</v>
      </c>
      <c r="BT364" s="147">
        <f t="shared" si="226"/>
        <v>2.2913104770656129E-2</v>
      </c>
      <c r="BU364" s="164">
        <f>IF(AND($C363=12,$D363=Input!$C$6),0,IF($E364="","",BK364+(BL364+BU365)/(1+$AK364)*MIN((1-T364-U364),1)))</f>
        <v>36905.994123851931</v>
      </c>
      <c r="BV364" s="164">
        <f t="shared" si="227"/>
        <v>845.63091002503882</v>
      </c>
      <c r="BW364" s="164">
        <f t="shared" si="228"/>
        <v>-2694.3235149169304</v>
      </c>
      <c r="BX364" s="164">
        <f t="shared" si="229"/>
        <v>-61.735316983334108</v>
      </c>
    </row>
    <row r="365" spans="1:76" s="150" customFormat="1" x14ac:dyDescent="0.25">
      <c r="A365" s="150">
        <f t="shared" si="240"/>
        <v>361</v>
      </c>
      <c r="B365" s="150">
        <f t="shared" si="241"/>
        <v>31</v>
      </c>
      <c r="C365" s="150">
        <f t="shared" si="242"/>
        <v>1</v>
      </c>
      <c r="D365" s="150">
        <f>IF(E365="","",Input!$C$4+B365-1)</f>
        <v>75</v>
      </c>
      <c r="E365" s="150">
        <f>IF(OR(AND(C364=12,D364=Input!$C$6),E364=""),"",1)</f>
        <v>1</v>
      </c>
      <c r="F365" s="150">
        <f>IF(E365="","",Input!$C$8+B365-1)</f>
        <v>2048</v>
      </c>
      <c r="G365" s="151">
        <f>IF(E365="","",MAX(0,Input!$C$9-B365))</f>
        <v>0</v>
      </c>
      <c r="H365" s="152">
        <f>IF(E365="","",Input!$C$3)</f>
        <v>100000</v>
      </c>
      <c r="I365" s="153">
        <f>IF(E365="","",HLOOKUP($B365,Input!$C$13:$BT$14,2))</f>
        <v>59.387999999999998</v>
      </c>
      <c r="J365" s="154"/>
      <c r="K365" s="155">
        <f>IF($E365="","",INDEX(Input!$C$16:$CP$16,1,$B365))</f>
        <v>2.8629999999999999E-2</v>
      </c>
      <c r="L365" s="155">
        <f>IF($E365="","",Input!$C$37)</f>
        <v>1.4999999999999999E-2</v>
      </c>
      <c r="M365" s="155">
        <f t="shared" si="205"/>
        <v>4.3630000000000002E-2</v>
      </c>
      <c r="N365" s="155">
        <f t="shared" si="206"/>
        <v>3.5650915847715847E-3</v>
      </c>
      <c r="O365" s="147">
        <f>IF($E365="","",MIN(VLOOKUP(IF($B365&lt;=Input!$C$7,$B365,26),'Mortality Tables'!$A$41:$CW$67,IF($B365&lt;=Input!$C$7+1,Input!$C$4+2,$D365-Input!$C$7+2),0)*IF(B365&gt;20,Input!$C$22,1)/1000,1))</f>
        <v>6.6802400000000026E-2</v>
      </c>
      <c r="P365" s="147">
        <f>IF($E365="","",MIN(VLOOKUP(IF($B365&lt;=Input!$C$7,$B365,26),'Mortality Tables'!$A$12:$CW$37,IF($B365&lt;=Input!$C$7+1,Input!$C$4+2,$D365-Input!$C$7+2),0)*IF(B365&gt;20,Input!$C$22,1)/1000,1))</f>
        <v>8.3502999999999994E-2</v>
      </c>
      <c r="Q365" s="155">
        <f>IF($E365="","",Input!$C$21)</f>
        <v>5.0000000000000001E-3</v>
      </c>
      <c r="R365" s="159">
        <f>IF($E365="","",(1-Q365)^($F365-Input!$C$20))</f>
        <v>0.86038419191469639</v>
      </c>
      <c r="S365" s="147">
        <f t="shared" si="208"/>
        <v>5.7475728941962338E-2</v>
      </c>
      <c r="T365" s="147">
        <f t="shared" si="209"/>
        <v>4.9206544024610332E-3</v>
      </c>
      <c r="U365" s="160">
        <f>IF($E365="","",IF($C365=12,INDEX(Input!$C$15:$CP$15,1,$B365),0))</f>
        <v>0</v>
      </c>
      <c r="V365" s="150">
        <f>IF(E365="","",IF(C365=1,IF($B365=1,Input!$C$33,Input!$C$34),0))</f>
        <v>50</v>
      </c>
      <c r="W365" s="156">
        <f>IF($E365="","",Input!$C$35)</f>
        <v>0.02</v>
      </c>
      <c r="X365" s="156">
        <f t="shared" si="207"/>
        <v>1.8113615841033548</v>
      </c>
      <c r="Y365" s="154"/>
      <c r="Z365" s="147">
        <f>IF($E365="","",VLOOKUP($D365,'Mortality Margins &amp; Grading'!$AB$5:$AF$125,3,0)*IF(Summary!$D$25="Included Margin",IF(AND($B365&gt;Input!$C$9,Summary!$D$31&lt;&gt;"Included Margin"),0,1),0))</f>
        <v>2.9000000000000001E-2</v>
      </c>
      <c r="AA365" s="147">
        <f>IF($E365="","",VLOOKUP($D365,'Mortality Margins &amp; Grading'!$AB$5:$AF$125,5,0)*IF(Summary!$D$25="Included Margin",IF(AND($B365&gt;Input!$C$9,Summary!$D$31&lt;&gt;"Included Margin"),0,1),0))</f>
        <v>0.151</v>
      </c>
      <c r="AB365" s="147">
        <f>IF($E365="","",IF(AND($B365&gt;Input!$C$9,Summary!$D$31&lt;&gt;"Included Margin"),1,IF(Summary!$D$25="Included Margin",VLOOKUP($B365,'Mortality Margins &amp; Grading'!$AI$5:$AR$125,MATCH('Mortality Margins &amp; Grading'!$AQ$4,'Mortality Margins &amp; Grading'!$AI$4:$AR$4,0),0),1)))</f>
        <v>0.875</v>
      </c>
      <c r="AC365" s="154"/>
      <c r="AD365" s="158">
        <f>IF(E365="","",Input!$C$48*IF(Summary!$D$30="Included Margin",IF(AND($B365&gt;Input!$C$9,Summary!$D$31&lt;&gt;"Included Margin"),0,1),0))</f>
        <v>-4.4999999999999997E-3</v>
      </c>
      <c r="AE365" s="159">
        <f>IF(E365="","",IF(Summary!$D$26="Included Margin",IF(AND($B365&gt;Input!$C$9,Summary!$D$31&lt;&gt;"Included Margin"),1,1/$R365),1))</f>
        <v>1.162271470579443</v>
      </c>
      <c r="AF365" s="160">
        <f>IF(E365="","",IF(AND($B365&gt;=Input!$C$9,$C365=12,Summary!$D$31="Included Margin",$U365&gt;0),1/U365-1,IF($B365&gt;=Input!$C$9,0,Input!$C$45*IF(Summary!$D$27="Included Margin",1,0))))</f>
        <v>0</v>
      </c>
      <c r="AG365" s="160">
        <f>IF(E365="","",Input!$C$46*IF(Summary!$D$28="Included Margin",IF(AND($B365&gt;Input!$C$9,Summary!$D$31&lt;&gt;"Included Margin"),0,1),0))</f>
        <v>0.02</v>
      </c>
      <c r="AH365" s="158">
        <f>IF(E365="","",Input!$C$47*IF(Summary!$D$29="Included Margin",IF(AND($B365&gt;Input!$C$9,Summary!$D$31&lt;&gt;"Included Margin"),0,1),0))</f>
        <v>2.5000000000000001E-3</v>
      </c>
      <c r="AI365" s="154"/>
      <c r="AJ365" s="158">
        <f t="shared" si="230"/>
        <v>3.9130000000000005E-2</v>
      </c>
      <c r="AK365" s="155">
        <f t="shared" si="231"/>
        <v>3.2037731961160887E-3</v>
      </c>
      <c r="AL365" s="147">
        <f t="shared" si="232"/>
        <v>7.2161205025000008E-2</v>
      </c>
      <c r="AM365" s="147">
        <f t="shared" si="210"/>
        <v>6.2220021431009798E-3</v>
      </c>
      <c r="AN365" s="160">
        <f t="shared" si="233"/>
        <v>0</v>
      </c>
      <c r="AO365" s="161">
        <f t="shared" si="234"/>
        <v>51</v>
      </c>
      <c r="AP365" s="156">
        <f t="shared" si="211"/>
        <v>1.9493934405210187</v>
      </c>
      <c r="AQ365" s="152"/>
      <c r="AR365" s="162">
        <f t="shared" si="212"/>
        <v>1241.6920946166395</v>
      </c>
      <c r="AS365" s="150">
        <f t="shared" si="235"/>
        <v>5938.8</v>
      </c>
      <c r="AT365" s="163">
        <f t="shared" si="213"/>
        <v>99.419065466571951</v>
      </c>
      <c r="AU365" s="163">
        <f t="shared" si="214"/>
        <v>622.20021431009798</v>
      </c>
      <c r="AV365" s="163">
        <f t="shared" si="236"/>
        <v>21.689457785919355</v>
      </c>
      <c r="AW365" s="163">
        <f t="shared" si="215"/>
        <v>40.574537123822694</v>
      </c>
      <c r="AX365" s="163">
        <f t="shared" si="216"/>
        <v>0</v>
      </c>
      <c r="AY365" s="164">
        <f t="shared" si="237"/>
        <v>6521.1368097497116</v>
      </c>
      <c r="AZ365" s="164">
        <f>IF($E365="","",IF(OR(AND($D365=Input!$C$6,$C365=12),$AN365=1),0,-AS366+AT366+AU366-AV366-AW366-AX366+AZ366))</f>
        <v>6521.1384037873013</v>
      </c>
      <c r="BA365" s="154">
        <f t="shared" si="217"/>
        <v>1.594037589711661E-3</v>
      </c>
      <c r="BC365" s="147">
        <f t="shared" si="238"/>
        <v>2.280035730079235E-2</v>
      </c>
      <c r="BD365" s="164">
        <f>IF(AND($C364=12,$D364=Input!$C$6),0,IF($E365="","",AT365+(AU365+BD366)/(1+$AK365)*MIN((1-AM365-AN365),1)))</f>
        <v>6524.202232888174</v>
      </c>
      <c r="BE365" s="164">
        <f t="shared" si="218"/>
        <v>148.75414201247762</v>
      </c>
      <c r="BF365" s="164">
        <f t="shared" si="239"/>
        <v>6521.1384037873013</v>
      </c>
      <c r="BG365" s="164">
        <f t="shared" si="219"/>
        <v>148.68428561426916</v>
      </c>
      <c r="BH365" s="152"/>
      <c r="BI365" s="162">
        <f t="shared" si="220"/>
        <v>-2694.3250756577677</v>
      </c>
      <c r="BJ365" s="150">
        <f t="shared" si="221"/>
        <v>5938.8</v>
      </c>
      <c r="BK365" s="163">
        <f t="shared" si="243"/>
        <v>90.568079205167734</v>
      </c>
      <c r="BL365" s="163">
        <f t="shared" si="222"/>
        <v>492.06544024610332</v>
      </c>
      <c r="BM365" s="163">
        <f t="shared" si="244"/>
        <v>10.366837572662494</v>
      </c>
      <c r="BN365" s="163">
        <f t="shared" si="223"/>
        <v>13.214042669674404</v>
      </c>
      <c r="BO365" s="163">
        <f t="shared" si="224"/>
        <v>0</v>
      </c>
      <c r="BP365" s="164">
        <f t="shared" si="245"/>
        <v>2685.4222851332984</v>
      </c>
      <c r="BQ365" s="164">
        <f>IF($E365="","",IF(AND($D365=Input!$C$6,$C365=12),0,-BJ366+BK366+BL366-BM366-BN366-BO366+BQ366))</f>
        <v>2685.4238458741356</v>
      </c>
      <c r="BR365" s="161">
        <f t="shared" si="225"/>
        <v>0</v>
      </c>
      <c r="BT365" s="147">
        <f t="shared" si="226"/>
        <v>2.280035730079235E-2</v>
      </c>
      <c r="BU365" s="164">
        <f>IF(AND($C364=12,$D364=Input!$C$6),0,IF($E365="","",BK365+(BL365+BU366)/(1+$AK365)*MIN((1-T365-U365),1)))</f>
        <v>40901.291530951705</v>
      </c>
      <c r="BV365" s="164">
        <f t="shared" si="227"/>
        <v>932.56406096957096</v>
      </c>
      <c r="BW365" s="164">
        <f t="shared" si="228"/>
        <v>2685.4238458741356</v>
      </c>
      <c r="BX365" s="164">
        <f t="shared" si="229"/>
        <v>61.228623189998217</v>
      </c>
    </row>
    <row r="366" spans="1:76" s="150" customFormat="1" x14ac:dyDescent="0.25">
      <c r="A366" s="150">
        <f t="shared" si="240"/>
        <v>362</v>
      </c>
      <c r="B366" s="150">
        <f t="shared" si="241"/>
        <v>31</v>
      </c>
      <c r="C366" s="150">
        <f t="shared" si="242"/>
        <v>2</v>
      </c>
      <c r="D366" s="150">
        <f>IF(E366="","",Input!$C$4+B366-1)</f>
        <v>75</v>
      </c>
      <c r="E366" s="150">
        <f>IF(OR(AND(C365=12,D365=Input!$C$6),E365=""),"",1)</f>
        <v>1</v>
      </c>
      <c r="F366" s="150">
        <f>IF(E366="","",Input!$C$8+B366-1)</f>
        <v>2048</v>
      </c>
      <c r="G366" s="151">
        <f>IF(E366="","",MAX(0,Input!$C$9-B366))</f>
        <v>0</v>
      </c>
      <c r="H366" s="152">
        <f>IF(E366="","",Input!$C$3)</f>
        <v>100000</v>
      </c>
      <c r="I366" s="153">
        <f>IF(E366="","",HLOOKUP($B366,Input!$C$13:$BT$14,2))</f>
        <v>59.387999999999998</v>
      </c>
      <c r="J366" s="154"/>
      <c r="K366" s="155">
        <f>IF($E366="","",INDEX(Input!$C$16:$CP$16,1,$B366))</f>
        <v>2.8629999999999999E-2</v>
      </c>
      <c r="L366" s="155">
        <f>IF($E366="","",Input!$C$37)</f>
        <v>1.4999999999999999E-2</v>
      </c>
      <c r="M366" s="155">
        <f t="shared" si="205"/>
        <v>4.3630000000000002E-2</v>
      </c>
      <c r="N366" s="155">
        <f t="shared" si="206"/>
        <v>3.5650915847715847E-3</v>
      </c>
      <c r="O366" s="147">
        <f>IF($E366="","",MIN(VLOOKUP(IF($B366&lt;=Input!$C$7,$B366,26),'Mortality Tables'!$A$41:$CW$67,IF($B366&lt;=Input!$C$7+1,Input!$C$4+2,$D366-Input!$C$7+2),0)*IF(B366&gt;20,Input!$C$22,1)/1000,1))</f>
        <v>6.6802400000000026E-2</v>
      </c>
      <c r="P366" s="147">
        <f>IF($E366="","",MIN(VLOOKUP(IF($B366&lt;=Input!$C$7,$B366,26),'Mortality Tables'!$A$12:$CW$37,IF($B366&lt;=Input!$C$7+1,Input!$C$4+2,$D366-Input!$C$7+2),0)*IF(B366&gt;20,Input!$C$22,1)/1000,1))</f>
        <v>8.3502999999999994E-2</v>
      </c>
      <c r="Q366" s="155">
        <f>IF($E366="","",Input!$C$21)</f>
        <v>5.0000000000000001E-3</v>
      </c>
      <c r="R366" s="159">
        <f>IF($E366="","",(1-Q366)^($F366-Input!$C$20))</f>
        <v>0.86038419191469639</v>
      </c>
      <c r="S366" s="147">
        <f t="shared" si="208"/>
        <v>5.7475728941962338E-2</v>
      </c>
      <c r="T366" s="147">
        <f t="shared" si="209"/>
        <v>4.9206544024610332E-3</v>
      </c>
      <c r="U366" s="160">
        <f>IF($E366="","",IF($C366=12,INDEX(Input!$C$15:$CP$15,1,$B366),0))</f>
        <v>0</v>
      </c>
      <c r="V366" s="150">
        <f>IF(E366="","",IF(C366=1,IF($B366=1,Input!$C$33,Input!$C$34),0))</f>
        <v>0</v>
      </c>
      <c r="W366" s="156">
        <f>IF($E366="","",Input!$C$35)</f>
        <v>0.02</v>
      </c>
      <c r="X366" s="156">
        <f t="shared" si="207"/>
        <v>1.8113615841033548</v>
      </c>
      <c r="Y366" s="154"/>
      <c r="Z366" s="147">
        <f>IF($E366="","",VLOOKUP($D366,'Mortality Margins &amp; Grading'!$AB$5:$AF$125,3,0)*IF(Summary!$D$25="Included Margin",IF(AND($B366&gt;Input!$C$9,Summary!$D$31&lt;&gt;"Included Margin"),0,1),0))</f>
        <v>2.9000000000000001E-2</v>
      </c>
      <c r="AA366" s="147">
        <f>IF($E366="","",VLOOKUP($D366,'Mortality Margins &amp; Grading'!$AB$5:$AF$125,5,0)*IF(Summary!$D$25="Included Margin",IF(AND($B366&gt;Input!$C$9,Summary!$D$31&lt;&gt;"Included Margin"),0,1),0))</f>
        <v>0.151</v>
      </c>
      <c r="AB366" s="147">
        <f>IF($E366="","",IF(AND($B366&gt;Input!$C$9,Summary!$D$31&lt;&gt;"Included Margin"),1,IF(Summary!$D$25="Included Margin",VLOOKUP($B366,'Mortality Margins &amp; Grading'!$AI$5:$AR$125,MATCH('Mortality Margins &amp; Grading'!$AQ$4,'Mortality Margins &amp; Grading'!$AI$4:$AR$4,0),0),1)))</f>
        <v>0.875</v>
      </c>
      <c r="AC366" s="154"/>
      <c r="AD366" s="158">
        <f>IF(E366="","",Input!$C$48*IF(Summary!$D$30="Included Margin",IF(AND($B366&gt;Input!$C$9,Summary!$D$31&lt;&gt;"Included Margin"),0,1),0))</f>
        <v>-4.4999999999999997E-3</v>
      </c>
      <c r="AE366" s="159">
        <f>IF(E366="","",IF(Summary!$D$26="Included Margin",IF(AND($B366&gt;Input!$C$9,Summary!$D$31&lt;&gt;"Included Margin"),1,1/$R366),1))</f>
        <v>1.162271470579443</v>
      </c>
      <c r="AF366" s="160">
        <f>IF(E366="","",IF(AND($B366&gt;=Input!$C$9,$C366=12,Summary!$D$31="Included Margin",$U366&gt;0),1/U366-1,IF($B366&gt;=Input!$C$9,0,Input!$C$45*IF(Summary!$D$27="Included Margin",1,0))))</f>
        <v>0</v>
      </c>
      <c r="AG366" s="160">
        <f>IF(E366="","",Input!$C$46*IF(Summary!$D$28="Included Margin",IF(AND($B366&gt;Input!$C$9,Summary!$D$31&lt;&gt;"Included Margin"),0,1),0))</f>
        <v>0.02</v>
      </c>
      <c r="AH366" s="158">
        <f>IF(E366="","",Input!$C$47*IF(Summary!$D$29="Included Margin",IF(AND($B366&gt;Input!$C$9,Summary!$D$31&lt;&gt;"Included Margin"),0,1),0))</f>
        <v>2.5000000000000001E-3</v>
      </c>
      <c r="AI366" s="154"/>
      <c r="AJ366" s="158">
        <f t="shared" si="230"/>
        <v>3.9130000000000005E-2</v>
      </c>
      <c r="AK366" s="155">
        <f t="shared" si="231"/>
        <v>3.2037731961160887E-3</v>
      </c>
      <c r="AL366" s="147">
        <f t="shared" si="232"/>
        <v>7.2161205025000008E-2</v>
      </c>
      <c r="AM366" s="147">
        <f t="shared" si="210"/>
        <v>6.2220021431009798E-3</v>
      </c>
      <c r="AN366" s="160">
        <f t="shared" si="233"/>
        <v>0</v>
      </c>
      <c r="AO366" s="161">
        <f t="shared" si="234"/>
        <v>0</v>
      </c>
      <c r="AP366" s="156">
        <f t="shared" si="211"/>
        <v>1.9493934405210187</v>
      </c>
      <c r="AQ366" s="152"/>
      <c r="AR366" s="162">
        <f t="shared" si="212"/>
        <v>6521.1368097497125</v>
      </c>
      <c r="AS366" s="150">
        <f t="shared" si="235"/>
        <v>0</v>
      </c>
      <c r="AT366" s="163">
        <f t="shared" si="213"/>
        <v>0</v>
      </c>
      <c r="AU366" s="163">
        <f t="shared" si="214"/>
        <v>622.20021431009798</v>
      </c>
      <c r="AV366" s="163">
        <f t="shared" si="236"/>
        <v>19.89554913466992</v>
      </c>
      <c r="AW366" s="163">
        <f t="shared" si="215"/>
        <v>37.057568476782109</v>
      </c>
      <c r="AX366" s="163">
        <f t="shared" si="216"/>
        <v>0</v>
      </c>
      <c r="AY366" s="165">
        <f t="shared" si="237"/>
        <v>5955.8897130510659</v>
      </c>
      <c r="AZ366" s="164">
        <f>IF($E366="","",IF(OR(AND($D366=Input!$C$6,$C366=12),$AN366=1),0,-AS367+AT367+AU367-AV367-AW367-AX367+AZ367))</f>
        <v>5955.8913070886556</v>
      </c>
      <c r="BA366" s="154">
        <f t="shared" si="217"/>
        <v>1.594037589711661E-3</v>
      </c>
      <c r="BC366" s="147">
        <f t="shared" si="238"/>
        <v>2.268816462226252E-2</v>
      </c>
      <c r="BD366" s="164">
        <f>IF(AND($C365=12,$D365=Input!$C$6),0,IF($E366="","",AT366+(AU366+BD367)/(1+$AK366)*MIN((1-AM366-AN366),1)))</f>
        <v>5863.5206704587335</v>
      </c>
      <c r="BE366" s="164">
        <f t="shared" si="218"/>
        <v>133.03252223740685</v>
      </c>
      <c r="BF366" s="164">
        <f t="shared" si="239"/>
        <v>5955.8913070886556</v>
      </c>
      <c r="BG366" s="164">
        <f t="shared" si="219"/>
        <v>135.12824244752971</v>
      </c>
      <c r="BH366" s="152"/>
      <c r="BI366" s="162">
        <f t="shared" si="220"/>
        <v>2685.4222851332979</v>
      </c>
      <c r="BJ366" s="150">
        <f t="shared" si="221"/>
        <v>0</v>
      </c>
      <c r="BK366" s="163">
        <f t="shared" si="243"/>
        <v>0</v>
      </c>
      <c r="BL366" s="163">
        <f t="shared" si="222"/>
        <v>492.06544024610332</v>
      </c>
      <c r="BM366" s="163">
        <f t="shared" si="244"/>
        <v>8.6966472101976464</v>
      </c>
      <c r="BN366" s="163">
        <f t="shared" si="223"/>
        <v>10.889133553167378</v>
      </c>
      <c r="BO366" s="163">
        <f t="shared" si="224"/>
        <v>0</v>
      </c>
      <c r="BP366" s="164">
        <f t="shared" si="245"/>
        <v>2212.9426256505599</v>
      </c>
      <c r="BQ366" s="164">
        <f>IF($E366="","",IF(AND($D366=Input!$C$6,$C366=12),0,-BJ367+BK367+BL367-BM367-BN367-BO367+BQ367))</f>
        <v>2212.9441863913971</v>
      </c>
      <c r="BR366" s="161">
        <f t="shared" si="225"/>
        <v>0</v>
      </c>
      <c r="BT366" s="147">
        <f t="shared" si="226"/>
        <v>2.268816462226252E-2</v>
      </c>
      <c r="BU366" s="164">
        <f>IF(AND($C365=12,$D365=Input!$C$6),0,IF($E366="","",BK366+(BL366+BU367)/(1+$AK366)*MIN((1-T366-U366),1)))</f>
        <v>40651.8613579433</v>
      </c>
      <c r="BV366" s="164">
        <f t="shared" si="227"/>
        <v>922.31612269041</v>
      </c>
      <c r="BW366" s="164">
        <f t="shared" si="228"/>
        <v>2212.9441863913971</v>
      </c>
      <c r="BX366" s="164">
        <f t="shared" si="229"/>
        <v>50.207642000726814</v>
      </c>
    </row>
    <row r="367" spans="1:76" s="150" customFormat="1" x14ac:dyDescent="0.25">
      <c r="A367" s="150">
        <f t="shared" si="240"/>
        <v>363</v>
      </c>
      <c r="B367" s="150">
        <f t="shared" si="241"/>
        <v>31</v>
      </c>
      <c r="C367" s="150">
        <f t="shared" si="242"/>
        <v>3</v>
      </c>
      <c r="D367" s="150">
        <f>IF(E367="","",Input!$C$4+B367-1)</f>
        <v>75</v>
      </c>
      <c r="E367" s="150">
        <f>IF(OR(AND(C366=12,D366=Input!$C$6),E366=""),"",1)</f>
        <v>1</v>
      </c>
      <c r="F367" s="150">
        <f>IF(E367="","",Input!$C$8+B367-1)</f>
        <v>2048</v>
      </c>
      <c r="G367" s="151">
        <f>IF(E367="","",MAX(0,Input!$C$9-B367))</f>
        <v>0</v>
      </c>
      <c r="H367" s="152">
        <f>IF(E367="","",Input!$C$3)</f>
        <v>100000</v>
      </c>
      <c r="I367" s="153">
        <f>IF(E367="","",HLOOKUP($B367,Input!$C$13:$BT$14,2))</f>
        <v>59.387999999999998</v>
      </c>
      <c r="J367" s="154"/>
      <c r="K367" s="155">
        <f>IF($E367="","",INDEX(Input!$C$16:$CP$16,1,$B367))</f>
        <v>2.8629999999999999E-2</v>
      </c>
      <c r="L367" s="155">
        <f>IF($E367="","",Input!$C$37)</f>
        <v>1.4999999999999999E-2</v>
      </c>
      <c r="M367" s="155">
        <f t="shared" si="205"/>
        <v>4.3630000000000002E-2</v>
      </c>
      <c r="N367" s="155">
        <f t="shared" si="206"/>
        <v>3.5650915847715847E-3</v>
      </c>
      <c r="O367" s="147">
        <f>IF($E367="","",MIN(VLOOKUP(IF($B367&lt;=Input!$C$7,$B367,26),'Mortality Tables'!$A$41:$CW$67,IF($B367&lt;=Input!$C$7+1,Input!$C$4+2,$D367-Input!$C$7+2),0)*IF(B367&gt;20,Input!$C$22,1)/1000,1))</f>
        <v>6.6802400000000026E-2</v>
      </c>
      <c r="P367" s="147">
        <f>IF($E367="","",MIN(VLOOKUP(IF($B367&lt;=Input!$C$7,$B367,26),'Mortality Tables'!$A$12:$CW$37,IF($B367&lt;=Input!$C$7+1,Input!$C$4+2,$D367-Input!$C$7+2),0)*IF(B367&gt;20,Input!$C$22,1)/1000,1))</f>
        <v>8.3502999999999994E-2</v>
      </c>
      <c r="Q367" s="155">
        <f>IF($E367="","",Input!$C$21)</f>
        <v>5.0000000000000001E-3</v>
      </c>
      <c r="R367" s="159">
        <f>IF($E367="","",(1-Q367)^($F367-Input!$C$20))</f>
        <v>0.86038419191469639</v>
      </c>
      <c r="S367" s="147">
        <f t="shared" si="208"/>
        <v>5.7475728941962338E-2</v>
      </c>
      <c r="T367" s="147">
        <f t="shared" si="209"/>
        <v>4.9206544024610332E-3</v>
      </c>
      <c r="U367" s="160">
        <f>IF($E367="","",IF($C367=12,INDEX(Input!$C$15:$CP$15,1,$B367),0))</f>
        <v>0</v>
      </c>
      <c r="V367" s="150">
        <f>IF(E367="","",IF(C367=1,IF($B367=1,Input!$C$33,Input!$C$34),0))</f>
        <v>0</v>
      </c>
      <c r="W367" s="156">
        <f>IF($E367="","",Input!$C$35)</f>
        <v>0.02</v>
      </c>
      <c r="X367" s="156">
        <f t="shared" si="207"/>
        <v>1.8113615841033548</v>
      </c>
      <c r="Y367" s="154"/>
      <c r="Z367" s="147">
        <f>IF($E367="","",VLOOKUP($D367,'Mortality Margins &amp; Grading'!$AB$5:$AF$125,3,0)*IF(Summary!$D$25="Included Margin",IF(AND($B367&gt;Input!$C$9,Summary!$D$31&lt;&gt;"Included Margin"),0,1),0))</f>
        <v>2.9000000000000001E-2</v>
      </c>
      <c r="AA367" s="147">
        <f>IF($E367="","",VLOOKUP($D367,'Mortality Margins &amp; Grading'!$AB$5:$AF$125,5,0)*IF(Summary!$D$25="Included Margin",IF(AND($B367&gt;Input!$C$9,Summary!$D$31&lt;&gt;"Included Margin"),0,1),0))</f>
        <v>0.151</v>
      </c>
      <c r="AB367" s="147">
        <f>IF($E367="","",IF(AND($B367&gt;Input!$C$9,Summary!$D$31&lt;&gt;"Included Margin"),1,IF(Summary!$D$25="Included Margin",VLOOKUP($B367,'Mortality Margins &amp; Grading'!$AI$5:$AR$125,MATCH('Mortality Margins &amp; Grading'!$AQ$4,'Mortality Margins &amp; Grading'!$AI$4:$AR$4,0),0),1)))</f>
        <v>0.875</v>
      </c>
      <c r="AC367" s="154"/>
      <c r="AD367" s="158">
        <f>IF(E367="","",Input!$C$48*IF(Summary!$D$30="Included Margin",IF(AND($B367&gt;Input!$C$9,Summary!$D$31&lt;&gt;"Included Margin"),0,1),0))</f>
        <v>-4.4999999999999997E-3</v>
      </c>
      <c r="AE367" s="159">
        <f>IF(E367="","",IF(Summary!$D$26="Included Margin",IF(AND($B367&gt;Input!$C$9,Summary!$D$31&lt;&gt;"Included Margin"),1,1/$R367),1))</f>
        <v>1.162271470579443</v>
      </c>
      <c r="AF367" s="160">
        <f>IF(E367="","",IF(AND($B367&gt;=Input!$C$9,$C367=12,Summary!$D$31="Included Margin",$U367&gt;0),1/U367-1,IF($B367&gt;=Input!$C$9,0,Input!$C$45*IF(Summary!$D$27="Included Margin",1,0))))</f>
        <v>0</v>
      </c>
      <c r="AG367" s="160">
        <f>IF(E367="","",Input!$C$46*IF(Summary!$D$28="Included Margin",IF(AND($B367&gt;Input!$C$9,Summary!$D$31&lt;&gt;"Included Margin"),0,1),0))</f>
        <v>0.02</v>
      </c>
      <c r="AH367" s="158">
        <f>IF(E367="","",Input!$C$47*IF(Summary!$D$29="Included Margin",IF(AND($B367&gt;Input!$C$9,Summary!$D$31&lt;&gt;"Included Margin"),0,1),0))</f>
        <v>2.5000000000000001E-3</v>
      </c>
      <c r="AI367" s="154"/>
      <c r="AJ367" s="158">
        <f t="shared" si="230"/>
        <v>3.9130000000000005E-2</v>
      </c>
      <c r="AK367" s="155">
        <f t="shared" si="231"/>
        <v>3.2037731961160887E-3</v>
      </c>
      <c r="AL367" s="147">
        <f t="shared" si="232"/>
        <v>7.2161205025000008E-2</v>
      </c>
      <c r="AM367" s="147">
        <f t="shared" si="210"/>
        <v>6.2220021431009798E-3</v>
      </c>
      <c r="AN367" s="160">
        <f t="shared" si="233"/>
        <v>0</v>
      </c>
      <c r="AO367" s="161">
        <f t="shared" si="234"/>
        <v>0</v>
      </c>
      <c r="AP367" s="156">
        <f t="shared" si="211"/>
        <v>1.9493934405210187</v>
      </c>
      <c r="AQ367" s="152"/>
      <c r="AR367" s="162">
        <f t="shared" si="212"/>
        <v>5955.8897130510668</v>
      </c>
      <c r="AS367" s="150">
        <f t="shared" si="235"/>
        <v>0</v>
      </c>
      <c r="AT367" s="163">
        <f t="shared" si="213"/>
        <v>0</v>
      </c>
      <c r="AU367" s="163">
        <f t="shared" si="214"/>
        <v>622.20021431009798</v>
      </c>
      <c r="AV367" s="163">
        <f t="shared" si="236"/>
        <v>18.084625637084361</v>
      </c>
      <c r="AW367" s="163">
        <f t="shared" si="215"/>
        <v>33.507242121668334</v>
      </c>
      <c r="AX367" s="163">
        <f t="shared" si="216"/>
        <v>0</v>
      </c>
      <c r="AY367" s="164">
        <f t="shared" si="237"/>
        <v>5385.2813664997211</v>
      </c>
      <c r="AZ367" s="164">
        <f>IF($E367="","",IF(OR(AND($D367=Input!$C$6,$C367=12),$AN367=1),0,-AS368+AT368+AU368-AV368-AW368-AX368+AZ368))</f>
        <v>5385.2829605373099</v>
      </c>
      <c r="BA367" s="154">
        <f t="shared" si="217"/>
        <v>1.5940375888021663E-3</v>
      </c>
      <c r="BC367" s="147">
        <f t="shared" si="238"/>
        <v>2.2576524005130223E-2</v>
      </c>
      <c r="BD367" s="164">
        <f>IF(AND($C366=12,$D366=Input!$C$6),0,IF($E367="","",AT367+(AU367+BD368)/(1+$AK367)*MIN((1-AM367-AN367),1)))</f>
        <v>5296.9347167337828</v>
      </c>
      <c r="BE367" s="164">
        <f t="shared" si="218"/>
        <v>119.58637378594791</v>
      </c>
      <c r="BF367" s="164">
        <f t="shared" si="239"/>
        <v>5385.2829605373099</v>
      </c>
      <c r="BG367" s="164">
        <f t="shared" si="219"/>
        <v>121.58097003298933</v>
      </c>
      <c r="BH367" s="152"/>
      <c r="BI367" s="162">
        <f t="shared" si="220"/>
        <v>2212.9426256505594</v>
      </c>
      <c r="BJ367" s="150">
        <f t="shared" si="221"/>
        <v>0</v>
      </c>
      <c r="BK367" s="163">
        <f t="shared" si="243"/>
        <v>0</v>
      </c>
      <c r="BL367" s="163">
        <f t="shared" si="222"/>
        <v>492.06544024610332</v>
      </c>
      <c r="BM367" s="163">
        <f t="shared" si="244"/>
        <v>7.0122139521999909</v>
      </c>
      <c r="BN367" s="163">
        <f t="shared" si="223"/>
        <v>8.5443982908425689</v>
      </c>
      <c r="BO367" s="163">
        <f t="shared" si="224"/>
        <v>0</v>
      </c>
      <c r="BP367" s="164">
        <f t="shared" si="245"/>
        <v>1736.4337976474987</v>
      </c>
      <c r="BQ367" s="164">
        <f>IF($E367="","",IF(AND($D367=Input!$C$6,$C367=12),0,-BJ368+BK368+BL368-BM368-BN368-BO368+BQ368))</f>
        <v>1736.4353583883362</v>
      </c>
      <c r="BR367" s="161">
        <f t="shared" si="225"/>
        <v>0</v>
      </c>
      <c r="BT367" s="147">
        <f t="shared" si="226"/>
        <v>2.2576524005130223E-2</v>
      </c>
      <c r="BU367" s="164">
        <f>IF(AND($C366=12,$D366=Input!$C$6),0,IF($E367="","",BK367+(BL367+BU368)/(1+$AK367)*MIN((1-T367-U367),1)))</f>
        <v>40491.70221824621</v>
      </c>
      <c r="BV367" s="164">
        <f t="shared" si="227"/>
        <v>914.16188713882025</v>
      </c>
      <c r="BW367" s="164">
        <f t="shared" si="228"/>
        <v>1736.4353583883362</v>
      </c>
      <c r="BX367" s="164">
        <f t="shared" si="229"/>
        <v>39.202674552011175</v>
      </c>
    </row>
    <row r="368" spans="1:76" s="150" customFormat="1" x14ac:dyDescent="0.25">
      <c r="A368" s="150">
        <f t="shared" si="240"/>
        <v>364</v>
      </c>
      <c r="B368" s="150">
        <f t="shared" si="241"/>
        <v>31</v>
      </c>
      <c r="C368" s="150">
        <f t="shared" si="242"/>
        <v>4</v>
      </c>
      <c r="D368" s="150">
        <f>IF(E368="","",Input!$C$4+B368-1)</f>
        <v>75</v>
      </c>
      <c r="E368" s="150">
        <f>IF(OR(AND(C367=12,D367=Input!$C$6),E367=""),"",1)</f>
        <v>1</v>
      </c>
      <c r="F368" s="150">
        <f>IF(E368="","",Input!$C$8+B368-1)</f>
        <v>2048</v>
      </c>
      <c r="G368" s="151">
        <f>IF(E368="","",MAX(0,Input!$C$9-B368))</f>
        <v>0</v>
      </c>
      <c r="H368" s="152">
        <f>IF(E368="","",Input!$C$3)</f>
        <v>100000</v>
      </c>
      <c r="I368" s="153">
        <f>IF(E368="","",HLOOKUP($B368,Input!$C$13:$BT$14,2))</f>
        <v>59.387999999999998</v>
      </c>
      <c r="J368" s="154"/>
      <c r="K368" s="155">
        <f>IF($E368="","",INDEX(Input!$C$16:$CP$16,1,$B368))</f>
        <v>2.8629999999999999E-2</v>
      </c>
      <c r="L368" s="155">
        <f>IF($E368="","",Input!$C$37)</f>
        <v>1.4999999999999999E-2</v>
      </c>
      <c r="M368" s="155">
        <f t="shared" si="205"/>
        <v>4.3630000000000002E-2</v>
      </c>
      <c r="N368" s="155">
        <f t="shared" si="206"/>
        <v>3.5650915847715847E-3</v>
      </c>
      <c r="O368" s="147">
        <f>IF($E368="","",MIN(VLOOKUP(IF($B368&lt;=Input!$C$7,$B368,26),'Mortality Tables'!$A$41:$CW$67,IF($B368&lt;=Input!$C$7+1,Input!$C$4+2,$D368-Input!$C$7+2),0)*IF(B368&gt;20,Input!$C$22,1)/1000,1))</f>
        <v>6.6802400000000026E-2</v>
      </c>
      <c r="P368" s="147">
        <f>IF($E368="","",MIN(VLOOKUP(IF($B368&lt;=Input!$C$7,$B368,26),'Mortality Tables'!$A$12:$CW$37,IF($B368&lt;=Input!$C$7+1,Input!$C$4+2,$D368-Input!$C$7+2),0)*IF(B368&gt;20,Input!$C$22,1)/1000,1))</f>
        <v>8.3502999999999994E-2</v>
      </c>
      <c r="Q368" s="155">
        <f>IF($E368="","",Input!$C$21)</f>
        <v>5.0000000000000001E-3</v>
      </c>
      <c r="R368" s="159">
        <f>IF($E368="","",(1-Q368)^($F368-Input!$C$20))</f>
        <v>0.86038419191469639</v>
      </c>
      <c r="S368" s="147">
        <f t="shared" si="208"/>
        <v>5.7475728941962338E-2</v>
      </c>
      <c r="T368" s="147">
        <f t="shared" si="209"/>
        <v>4.9206544024610332E-3</v>
      </c>
      <c r="U368" s="160">
        <f>IF($E368="","",IF($C368=12,INDEX(Input!$C$15:$CP$15,1,$B368),0))</f>
        <v>0</v>
      </c>
      <c r="V368" s="150">
        <f>IF(E368="","",IF(C368=1,IF($B368=1,Input!$C$33,Input!$C$34),0))</f>
        <v>0</v>
      </c>
      <c r="W368" s="156">
        <f>IF($E368="","",Input!$C$35)</f>
        <v>0.02</v>
      </c>
      <c r="X368" s="156">
        <f t="shared" si="207"/>
        <v>1.8113615841033548</v>
      </c>
      <c r="Y368" s="154"/>
      <c r="Z368" s="147">
        <f>IF($E368="","",VLOOKUP($D368,'Mortality Margins &amp; Grading'!$AB$5:$AF$125,3,0)*IF(Summary!$D$25="Included Margin",IF(AND($B368&gt;Input!$C$9,Summary!$D$31&lt;&gt;"Included Margin"),0,1),0))</f>
        <v>2.9000000000000001E-2</v>
      </c>
      <c r="AA368" s="147">
        <f>IF($E368="","",VLOOKUP($D368,'Mortality Margins &amp; Grading'!$AB$5:$AF$125,5,0)*IF(Summary!$D$25="Included Margin",IF(AND($B368&gt;Input!$C$9,Summary!$D$31&lt;&gt;"Included Margin"),0,1),0))</f>
        <v>0.151</v>
      </c>
      <c r="AB368" s="147">
        <f>IF($E368="","",IF(AND($B368&gt;Input!$C$9,Summary!$D$31&lt;&gt;"Included Margin"),1,IF(Summary!$D$25="Included Margin",VLOOKUP($B368,'Mortality Margins &amp; Grading'!$AI$5:$AR$125,MATCH('Mortality Margins &amp; Grading'!$AQ$4,'Mortality Margins &amp; Grading'!$AI$4:$AR$4,0),0),1)))</f>
        <v>0.875</v>
      </c>
      <c r="AC368" s="154"/>
      <c r="AD368" s="158">
        <f>IF(E368="","",Input!$C$48*IF(Summary!$D$30="Included Margin",IF(AND($B368&gt;Input!$C$9,Summary!$D$31&lt;&gt;"Included Margin"),0,1),0))</f>
        <v>-4.4999999999999997E-3</v>
      </c>
      <c r="AE368" s="159">
        <f>IF(E368="","",IF(Summary!$D$26="Included Margin",IF(AND($B368&gt;Input!$C$9,Summary!$D$31&lt;&gt;"Included Margin"),1,1/$R368),1))</f>
        <v>1.162271470579443</v>
      </c>
      <c r="AF368" s="160">
        <f>IF(E368="","",IF(AND($B368&gt;=Input!$C$9,$C368=12,Summary!$D$31="Included Margin",$U368&gt;0),1/U368-1,IF($B368&gt;=Input!$C$9,0,Input!$C$45*IF(Summary!$D$27="Included Margin",1,0))))</f>
        <v>0</v>
      </c>
      <c r="AG368" s="160">
        <f>IF(E368="","",Input!$C$46*IF(Summary!$D$28="Included Margin",IF(AND($B368&gt;Input!$C$9,Summary!$D$31&lt;&gt;"Included Margin"),0,1),0))</f>
        <v>0.02</v>
      </c>
      <c r="AH368" s="158">
        <f>IF(E368="","",Input!$C$47*IF(Summary!$D$29="Included Margin",IF(AND($B368&gt;Input!$C$9,Summary!$D$31&lt;&gt;"Included Margin"),0,1),0))</f>
        <v>2.5000000000000001E-3</v>
      </c>
      <c r="AI368" s="154"/>
      <c r="AJ368" s="158">
        <f t="shared" si="230"/>
        <v>3.9130000000000005E-2</v>
      </c>
      <c r="AK368" s="155">
        <f t="shared" si="231"/>
        <v>3.2037731961160887E-3</v>
      </c>
      <c r="AL368" s="147">
        <f t="shared" si="232"/>
        <v>7.2161205025000008E-2</v>
      </c>
      <c r="AM368" s="147">
        <f t="shared" si="210"/>
        <v>6.2220021431009798E-3</v>
      </c>
      <c r="AN368" s="160">
        <f t="shared" si="233"/>
        <v>0</v>
      </c>
      <c r="AO368" s="161">
        <f t="shared" si="234"/>
        <v>0</v>
      </c>
      <c r="AP368" s="156">
        <f t="shared" si="211"/>
        <v>1.9493934405210187</v>
      </c>
      <c r="AQ368" s="152"/>
      <c r="AR368" s="162">
        <f t="shared" si="212"/>
        <v>5385.2813664997193</v>
      </c>
      <c r="AS368" s="150">
        <f t="shared" si="235"/>
        <v>0</v>
      </c>
      <c r="AT368" s="163">
        <f t="shared" si="213"/>
        <v>0</v>
      </c>
      <c r="AU368" s="163">
        <f t="shared" si="214"/>
        <v>622.20021431009798</v>
      </c>
      <c r="AV368" s="163">
        <f t="shared" si="236"/>
        <v>16.256525910923035</v>
      </c>
      <c r="AW368" s="163">
        <f t="shared" si="215"/>
        <v>29.923241667634702</v>
      </c>
      <c r="AX368" s="163">
        <f t="shared" si="216"/>
        <v>0</v>
      </c>
      <c r="AY368" s="165">
        <f t="shared" si="237"/>
        <v>4809.2609197681795</v>
      </c>
      <c r="AZ368" s="164">
        <f>IF($E368="","",IF(OR(AND($D368=Input!$C$6,$C368=12),$AN368=1),0,-AS369+AT369+AU369-AV369-AW369-AX369+AZ369))</f>
        <v>4809.2625138057692</v>
      </c>
      <c r="BA368" s="154">
        <f t="shared" si="217"/>
        <v>1.594037589711661E-3</v>
      </c>
      <c r="BC368" s="147">
        <f t="shared" si="238"/>
        <v>2.2465432732892112E-2</v>
      </c>
      <c r="BD368" s="164">
        <f>IF(AND($C367=12,$D367=Input!$C$6),0,IF($E368="","",AT368+(AU368+BD369)/(1+$AK368)*MIN((1-AM368-AN368),1)))</f>
        <v>4724.974814378771</v>
      </c>
      <c r="BE368" s="164">
        <f t="shared" si="218"/>
        <v>106.14860385703568</v>
      </c>
      <c r="BF368" s="164">
        <f t="shared" si="239"/>
        <v>4809.2625138057692</v>
      </c>
      <c r="BG368" s="164">
        <f t="shared" si="219"/>
        <v>108.04216349872313</v>
      </c>
      <c r="BH368" s="152"/>
      <c r="BI368" s="162">
        <f t="shared" si="220"/>
        <v>1736.4337976474987</v>
      </c>
      <c r="BJ368" s="150">
        <f t="shared" si="221"/>
        <v>0</v>
      </c>
      <c r="BK368" s="163">
        <f t="shared" si="243"/>
        <v>0</v>
      </c>
      <c r="BL368" s="163">
        <f t="shared" si="222"/>
        <v>492.06544024610332</v>
      </c>
      <c r="BM368" s="163">
        <f t="shared" si="244"/>
        <v>5.3134163394169089</v>
      </c>
      <c r="BN368" s="163">
        <f t="shared" si="223"/>
        <v>6.1796678111198471</v>
      </c>
      <c r="BO368" s="163">
        <f t="shared" si="224"/>
        <v>0</v>
      </c>
      <c r="BP368" s="164">
        <f t="shared" si="245"/>
        <v>1255.8614415519321</v>
      </c>
      <c r="BQ368" s="164">
        <f>IF($E368="","",IF(AND($D368=Input!$C$6,$C368=12),0,-BJ369+BK369+BL369-BM369-BN369-BO369+BQ369))</f>
        <v>1255.8630022927696</v>
      </c>
      <c r="BR368" s="161">
        <f t="shared" si="225"/>
        <v>0</v>
      </c>
      <c r="BT368" s="147">
        <f t="shared" si="226"/>
        <v>2.2465432732892112E-2</v>
      </c>
      <c r="BU368" s="164">
        <f>IF(AND($C367=12,$D367=Input!$C$6),0,IF($E368="","",BK368+(BL368+BU369)/(1+$AK368)*MIN((1-T368-U368),1)))</f>
        <v>40330.235442790741</v>
      </c>
      <c r="BV368" s="164">
        <f t="shared" si="227"/>
        <v>906.03619144171671</v>
      </c>
      <c r="BW368" s="164">
        <f t="shared" si="228"/>
        <v>1255.8630022927696</v>
      </c>
      <c r="BX368" s="164">
        <f t="shared" si="229"/>
        <v>28.213505799736147</v>
      </c>
    </row>
    <row r="369" spans="1:76" s="150" customFormat="1" x14ac:dyDescent="0.25">
      <c r="A369" s="150">
        <f t="shared" si="240"/>
        <v>365</v>
      </c>
      <c r="B369" s="150">
        <f t="shared" si="241"/>
        <v>31</v>
      </c>
      <c r="C369" s="150">
        <f t="shared" si="242"/>
        <v>5</v>
      </c>
      <c r="D369" s="150">
        <f>IF(E369="","",Input!$C$4+B369-1)</f>
        <v>75</v>
      </c>
      <c r="E369" s="150">
        <f>IF(OR(AND(C368=12,D368=Input!$C$6),E368=""),"",1)</f>
        <v>1</v>
      </c>
      <c r="F369" s="150">
        <f>IF(E369="","",Input!$C$8+B369-1)</f>
        <v>2048</v>
      </c>
      <c r="G369" s="151">
        <f>IF(E369="","",MAX(0,Input!$C$9-B369))</f>
        <v>0</v>
      </c>
      <c r="H369" s="152">
        <f>IF(E369="","",Input!$C$3)</f>
        <v>100000</v>
      </c>
      <c r="I369" s="153">
        <f>IF(E369="","",HLOOKUP($B369,Input!$C$13:$BT$14,2))</f>
        <v>59.387999999999998</v>
      </c>
      <c r="J369" s="154"/>
      <c r="K369" s="155">
        <f>IF($E369="","",INDEX(Input!$C$16:$CP$16,1,$B369))</f>
        <v>2.8629999999999999E-2</v>
      </c>
      <c r="L369" s="155">
        <f>IF($E369="","",Input!$C$37)</f>
        <v>1.4999999999999999E-2</v>
      </c>
      <c r="M369" s="155">
        <f t="shared" si="205"/>
        <v>4.3630000000000002E-2</v>
      </c>
      <c r="N369" s="155">
        <f t="shared" si="206"/>
        <v>3.5650915847715847E-3</v>
      </c>
      <c r="O369" s="147">
        <f>IF($E369="","",MIN(VLOOKUP(IF($B369&lt;=Input!$C$7,$B369,26),'Mortality Tables'!$A$41:$CW$67,IF($B369&lt;=Input!$C$7+1,Input!$C$4+2,$D369-Input!$C$7+2),0)*IF(B369&gt;20,Input!$C$22,1)/1000,1))</f>
        <v>6.6802400000000026E-2</v>
      </c>
      <c r="P369" s="147">
        <f>IF($E369="","",MIN(VLOOKUP(IF($B369&lt;=Input!$C$7,$B369,26),'Mortality Tables'!$A$12:$CW$37,IF($B369&lt;=Input!$C$7+1,Input!$C$4+2,$D369-Input!$C$7+2),0)*IF(B369&gt;20,Input!$C$22,1)/1000,1))</f>
        <v>8.3502999999999994E-2</v>
      </c>
      <c r="Q369" s="155">
        <f>IF($E369="","",Input!$C$21)</f>
        <v>5.0000000000000001E-3</v>
      </c>
      <c r="R369" s="159">
        <f>IF($E369="","",(1-Q369)^($F369-Input!$C$20))</f>
        <v>0.86038419191469639</v>
      </c>
      <c r="S369" s="147">
        <f t="shared" si="208"/>
        <v>5.7475728941962338E-2</v>
      </c>
      <c r="T369" s="147">
        <f t="shared" si="209"/>
        <v>4.9206544024610332E-3</v>
      </c>
      <c r="U369" s="160">
        <f>IF($E369="","",IF($C369=12,INDEX(Input!$C$15:$CP$15,1,$B369),0))</f>
        <v>0</v>
      </c>
      <c r="V369" s="150">
        <f>IF(E369="","",IF(C369=1,IF($B369=1,Input!$C$33,Input!$C$34),0))</f>
        <v>0</v>
      </c>
      <c r="W369" s="156">
        <f>IF($E369="","",Input!$C$35)</f>
        <v>0.02</v>
      </c>
      <c r="X369" s="156">
        <f t="shared" si="207"/>
        <v>1.8113615841033548</v>
      </c>
      <c r="Y369" s="154"/>
      <c r="Z369" s="147">
        <f>IF($E369="","",VLOOKUP($D369,'Mortality Margins &amp; Grading'!$AB$5:$AF$125,3,0)*IF(Summary!$D$25="Included Margin",IF(AND($B369&gt;Input!$C$9,Summary!$D$31&lt;&gt;"Included Margin"),0,1),0))</f>
        <v>2.9000000000000001E-2</v>
      </c>
      <c r="AA369" s="147">
        <f>IF($E369="","",VLOOKUP($D369,'Mortality Margins &amp; Grading'!$AB$5:$AF$125,5,0)*IF(Summary!$D$25="Included Margin",IF(AND($B369&gt;Input!$C$9,Summary!$D$31&lt;&gt;"Included Margin"),0,1),0))</f>
        <v>0.151</v>
      </c>
      <c r="AB369" s="147">
        <f>IF($E369="","",IF(AND($B369&gt;Input!$C$9,Summary!$D$31&lt;&gt;"Included Margin"),1,IF(Summary!$D$25="Included Margin",VLOOKUP($B369,'Mortality Margins &amp; Grading'!$AI$5:$AR$125,MATCH('Mortality Margins &amp; Grading'!$AQ$4,'Mortality Margins &amp; Grading'!$AI$4:$AR$4,0),0),1)))</f>
        <v>0.875</v>
      </c>
      <c r="AC369" s="154"/>
      <c r="AD369" s="158">
        <f>IF(E369="","",Input!$C$48*IF(Summary!$D$30="Included Margin",IF(AND($B369&gt;Input!$C$9,Summary!$D$31&lt;&gt;"Included Margin"),0,1),0))</f>
        <v>-4.4999999999999997E-3</v>
      </c>
      <c r="AE369" s="159">
        <f>IF(E369="","",IF(Summary!$D$26="Included Margin",IF(AND($B369&gt;Input!$C$9,Summary!$D$31&lt;&gt;"Included Margin"),1,1/$R369),1))</f>
        <v>1.162271470579443</v>
      </c>
      <c r="AF369" s="160">
        <f>IF(E369="","",IF(AND($B369&gt;=Input!$C$9,$C369=12,Summary!$D$31="Included Margin",$U369&gt;0),1/U369-1,IF($B369&gt;=Input!$C$9,0,Input!$C$45*IF(Summary!$D$27="Included Margin",1,0))))</f>
        <v>0</v>
      </c>
      <c r="AG369" s="160">
        <f>IF(E369="","",Input!$C$46*IF(Summary!$D$28="Included Margin",IF(AND($B369&gt;Input!$C$9,Summary!$D$31&lt;&gt;"Included Margin"),0,1),0))</f>
        <v>0.02</v>
      </c>
      <c r="AH369" s="158">
        <f>IF(E369="","",Input!$C$47*IF(Summary!$D$29="Included Margin",IF(AND($B369&gt;Input!$C$9,Summary!$D$31&lt;&gt;"Included Margin"),0,1),0))</f>
        <v>2.5000000000000001E-3</v>
      </c>
      <c r="AI369" s="154"/>
      <c r="AJ369" s="158">
        <f t="shared" si="230"/>
        <v>3.9130000000000005E-2</v>
      </c>
      <c r="AK369" s="155">
        <f t="shared" si="231"/>
        <v>3.2037731961160887E-3</v>
      </c>
      <c r="AL369" s="147">
        <f t="shared" si="232"/>
        <v>7.2161205025000008E-2</v>
      </c>
      <c r="AM369" s="147">
        <f t="shared" si="210"/>
        <v>6.2220021431009798E-3</v>
      </c>
      <c r="AN369" s="160">
        <f t="shared" si="233"/>
        <v>0</v>
      </c>
      <c r="AO369" s="161">
        <f t="shared" si="234"/>
        <v>0</v>
      </c>
      <c r="AP369" s="156">
        <f t="shared" si="211"/>
        <v>1.9493934405210187</v>
      </c>
      <c r="AQ369" s="152"/>
      <c r="AR369" s="162">
        <f t="shared" si="212"/>
        <v>4809.2609197681795</v>
      </c>
      <c r="AS369" s="150">
        <f t="shared" si="235"/>
        <v>0</v>
      </c>
      <c r="AT369" s="163">
        <f t="shared" si="213"/>
        <v>0</v>
      </c>
      <c r="AU369" s="163">
        <f t="shared" si="214"/>
        <v>622.20021431009798</v>
      </c>
      <c r="AV369" s="163">
        <f t="shared" si="236"/>
        <v>14.411087043269712</v>
      </c>
      <c r="AW369" s="163">
        <f t="shared" si="215"/>
        <v>26.305247722933917</v>
      </c>
      <c r="AX369" s="163">
        <f t="shared" si="216"/>
        <v>0</v>
      </c>
      <c r="AY369" s="164">
        <f t="shared" si="237"/>
        <v>4227.777040224285</v>
      </c>
      <c r="AZ369" s="164">
        <f>IF($E369="","",IF(OR(AND($D369=Input!$C$6,$C369=12),$AN369=1),0,-AS370+AT370+AU370-AV370-AW370-AX370+AZ370))</f>
        <v>4227.7786342618747</v>
      </c>
      <c r="BA369" s="154">
        <f t="shared" si="217"/>
        <v>1.594037589711661E-3</v>
      </c>
      <c r="BC369" s="147">
        <f t="shared" si="238"/>
        <v>2.2354888102411815E-2</v>
      </c>
      <c r="BD369" s="164">
        <f>IF(AND($C368=12,$D368=Input!$C$6),0,IF($E369="","",AT369+(AU369+BD370)/(1+$AK369)*MIN((1-AM369-AN369),1)))</f>
        <v>4147.5899926209704</v>
      </c>
      <c r="BE369" s="164">
        <f t="shared" si="218"/>
        <v>92.718910179724844</v>
      </c>
      <c r="BF369" s="164">
        <f t="shared" si="239"/>
        <v>4227.7786342618747</v>
      </c>
      <c r="BG369" s="164">
        <f t="shared" si="219"/>
        <v>94.511518290691654</v>
      </c>
      <c r="BH369" s="152"/>
      <c r="BI369" s="162">
        <f t="shared" si="220"/>
        <v>1255.8614415519319</v>
      </c>
      <c r="BJ369" s="150">
        <f t="shared" si="221"/>
        <v>0</v>
      </c>
      <c r="BK369" s="163">
        <f t="shared" si="243"/>
        <v>0</v>
      </c>
      <c r="BL369" s="163">
        <f t="shared" si="222"/>
        <v>492.06544024610332</v>
      </c>
      <c r="BM369" s="163">
        <f t="shared" si="244"/>
        <v>3.6001318768267501</v>
      </c>
      <c r="BN369" s="163">
        <f t="shared" si="223"/>
        <v>3.7947716006260341</v>
      </c>
      <c r="BO369" s="163">
        <f t="shared" si="224"/>
        <v>0</v>
      </c>
      <c r="BP369" s="164">
        <f t="shared" si="245"/>
        <v>771.19090478328133</v>
      </c>
      <c r="BQ369" s="164">
        <f>IF($E369="","",IF(AND($D369=Input!$C$6,$C369=12),0,-BJ370+BK370+BL370-BM370-BN370-BO370+BQ370))</f>
        <v>771.19246552411892</v>
      </c>
      <c r="BR369" s="161">
        <f t="shared" si="225"/>
        <v>0</v>
      </c>
      <c r="BT369" s="147">
        <f t="shared" si="226"/>
        <v>2.2354888102411815E-2</v>
      </c>
      <c r="BU369" s="164">
        <f>IF(AND($C368=12,$D368=Input!$C$6),0,IF($E369="","",BK369+(BL369+BU370)/(1+$AK369)*MIN((1-T369-U369),1)))</f>
        <v>40167.450355250345</v>
      </c>
      <c r="BV369" s="164">
        <f t="shared" si="227"/>
        <v>897.93885805080322</v>
      </c>
      <c r="BW369" s="164">
        <f t="shared" si="228"/>
        <v>771.19246552411892</v>
      </c>
      <c r="BX369" s="164">
        <f t="shared" si="229"/>
        <v>17.239921272214758</v>
      </c>
    </row>
    <row r="370" spans="1:76" s="150" customFormat="1" x14ac:dyDescent="0.25">
      <c r="A370" s="150">
        <f t="shared" si="240"/>
        <v>366</v>
      </c>
      <c r="B370" s="150">
        <f t="shared" si="241"/>
        <v>31</v>
      </c>
      <c r="C370" s="150">
        <f t="shared" si="242"/>
        <v>6</v>
      </c>
      <c r="D370" s="150">
        <f>IF(E370="","",Input!$C$4+B370-1)</f>
        <v>75</v>
      </c>
      <c r="E370" s="150">
        <f>IF(OR(AND(C369=12,D369=Input!$C$6),E369=""),"",1)</f>
        <v>1</v>
      </c>
      <c r="F370" s="150">
        <f>IF(E370="","",Input!$C$8+B370-1)</f>
        <v>2048</v>
      </c>
      <c r="G370" s="151">
        <f>IF(E370="","",MAX(0,Input!$C$9-B370))</f>
        <v>0</v>
      </c>
      <c r="H370" s="152">
        <f>IF(E370="","",Input!$C$3)</f>
        <v>100000</v>
      </c>
      <c r="I370" s="153">
        <f>IF(E370="","",HLOOKUP($B370,Input!$C$13:$BT$14,2))</f>
        <v>59.387999999999998</v>
      </c>
      <c r="J370" s="154"/>
      <c r="K370" s="155">
        <f>IF($E370="","",INDEX(Input!$C$16:$CP$16,1,$B370))</f>
        <v>2.8629999999999999E-2</v>
      </c>
      <c r="L370" s="155">
        <f>IF($E370="","",Input!$C$37)</f>
        <v>1.4999999999999999E-2</v>
      </c>
      <c r="M370" s="155">
        <f t="shared" si="205"/>
        <v>4.3630000000000002E-2</v>
      </c>
      <c r="N370" s="155">
        <f t="shared" si="206"/>
        <v>3.5650915847715847E-3</v>
      </c>
      <c r="O370" s="147">
        <f>IF($E370="","",MIN(VLOOKUP(IF($B370&lt;=Input!$C$7,$B370,26),'Mortality Tables'!$A$41:$CW$67,IF($B370&lt;=Input!$C$7+1,Input!$C$4+2,$D370-Input!$C$7+2),0)*IF(B370&gt;20,Input!$C$22,1)/1000,1))</f>
        <v>6.6802400000000026E-2</v>
      </c>
      <c r="P370" s="147">
        <f>IF($E370="","",MIN(VLOOKUP(IF($B370&lt;=Input!$C$7,$B370,26),'Mortality Tables'!$A$12:$CW$37,IF($B370&lt;=Input!$C$7+1,Input!$C$4+2,$D370-Input!$C$7+2),0)*IF(B370&gt;20,Input!$C$22,1)/1000,1))</f>
        <v>8.3502999999999994E-2</v>
      </c>
      <c r="Q370" s="155">
        <f>IF($E370="","",Input!$C$21)</f>
        <v>5.0000000000000001E-3</v>
      </c>
      <c r="R370" s="159">
        <f>IF($E370="","",(1-Q370)^($F370-Input!$C$20))</f>
        <v>0.86038419191469639</v>
      </c>
      <c r="S370" s="147">
        <f t="shared" si="208"/>
        <v>5.7475728941962338E-2</v>
      </c>
      <c r="T370" s="147">
        <f t="shared" si="209"/>
        <v>4.9206544024610332E-3</v>
      </c>
      <c r="U370" s="160">
        <f>IF($E370="","",IF($C370=12,INDEX(Input!$C$15:$CP$15,1,$B370),0))</f>
        <v>0</v>
      </c>
      <c r="V370" s="150">
        <f>IF(E370="","",IF(C370=1,IF($B370=1,Input!$C$33,Input!$C$34),0))</f>
        <v>0</v>
      </c>
      <c r="W370" s="156">
        <f>IF($E370="","",Input!$C$35)</f>
        <v>0.02</v>
      </c>
      <c r="X370" s="156">
        <f t="shared" si="207"/>
        <v>1.8113615841033548</v>
      </c>
      <c r="Y370" s="154"/>
      <c r="Z370" s="147">
        <f>IF($E370="","",VLOOKUP($D370,'Mortality Margins &amp; Grading'!$AB$5:$AF$125,3,0)*IF(Summary!$D$25="Included Margin",IF(AND($B370&gt;Input!$C$9,Summary!$D$31&lt;&gt;"Included Margin"),0,1),0))</f>
        <v>2.9000000000000001E-2</v>
      </c>
      <c r="AA370" s="147">
        <f>IF($E370="","",VLOOKUP($D370,'Mortality Margins &amp; Grading'!$AB$5:$AF$125,5,0)*IF(Summary!$D$25="Included Margin",IF(AND($B370&gt;Input!$C$9,Summary!$D$31&lt;&gt;"Included Margin"),0,1),0))</f>
        <v>0.151</v>
      </c>
      <c r="AB370" s="147">
        <f>IF($E370="","",IF(AND($B370&gt;Input!$C$9,Summary!$D$31&lt;&gt;"Included Margin"),1,IF(Summary!$D$25="Included Margin",VLOOKUP($B370,'Mortality Margins &amp; Grading'!$AI$5:$AR$125,MATCH('Mortality Margins &amp; Grading'!$AQ$4,'Mortality Margins &amp; Grading'!$AI$4:$AR$4,0),0),1)))</f>
        <v>0.875</v>
      </c>
      <c r="AC370" s="154"/>
      <c r="AD370" s="158">
        <f>IF(E370="","",Input!$C$48*IF(Summary!$D$30="Included Margin",IF(AND($B370&gt;Input!$C$9,Summary!$D$31&lt;&gt;"Included Margin"),0,1),0))</f>
        <v>-4.4999999999999997E-3</v>
      </c>
      <c r="AE370" s="159">
        <f>IF(E370="","",IF(Summary!$D$26="Included Margin",IF(AND($B370&gt;Input!$C$9,Summary!$D$31&lt;&gt;"Included Margin"),1,1/$R370),1))</f>
        <v>1.162271470579443</v>
      </c>
      <c r="AF370" s="160">
        <f>IF(E370="","",IF(AND($B370&gt;=Input!$C$9,$C370=12,Summary!$D$31="Included Margin",$U370&gt;0),1/U370-1,IF($B370&gt;=Input!$C$9,0,Input!$C$45*IF(Summary!$D$27="Included Margin",1,0))))</f>
        <v>0</v>
      </c>
      <c r="AG370" s="160">
        <f>IF(E370="","",Input!$C$46*IF(Summary!$D$28="Included Margin",IF(AND($B370&gt;Input!$C$9,Summary!$D$31&lt;&gt;"Included Margin"),0,1),0))</f>
        <v>0.02</v>
      </c>
      <c r="AH370" s="158">
        <f>IF(E370="","",Input!$C$47*IF(Summary!$D$29="Included Margin",IF(AND($B370&gt;Input!$C$9,Summary!$D$31&lt;&gt;"Included Margin"),0,1),0))</f>
        <v>2.5000000000000001E-3</v>
      </c>
      <c r="AI370" s="154"/>
      <c r="AJ370" s="158">
        <f t="shared" si="230"/>
        <v>3.9130000000000005E-2</v>
      </c>
      <c r="AK370" s="155">
        <f t="shared" si="231"/>
        <v>3.2037731961160887E-3</v>
      </c>
      <c r="AL370" s="147">
        <f t="shared" si="232"/>
        <v>7.2161205025000008E-2</v>
      </c>
      <c r="AM370" s="147">
        <f t="shared" si="210"/>
        <v>6.2220021431009798E-3</v>
      </c>
      <c r="AN370" s="160">
        <f t="shared" si="233"/>
        <v>0</v>
      </c>
      <c r="AO370" s="161">
        <f t="shared" si="234"/>
        <v>0</v>
      </c>
      <c r="AP370" s="156">
        <f t="shared" si="211"/>
        <v>1.9493934405210187</v>
      </c>
      <c r="AQ370" s="152"/>
      <c r="AR370" s="162">
        <f t="shared" si="212"/>
        <v>4227.7770402242859</v>
      </c>
      <c r="AS370" s="150">
        <f t="shared" si="235"/>
        <v>0</v>
      </c>
      <c r="AT370" s="163">
        <f t="shared" si="213"/>
        <v>0</v>
      </c>
      <c r="AU370" s="163">
        <f t="shared" si="214"/>
        <v>622.20021431009798</v>
      </c>
      <c r="AV370" s="163">
        <f t="shared" si="236"/>
        <v>12.548144576013389</v>
      </c>
      <c r="AW370" s="163">
        <f t="shared" si="215"/>
        <v>22.652937866455112</v>
      </c>
      <c r="AX370" s="163">
        <f t="shared" si="216"/>
        <v>0</v>
      </c>
      <c r="AY370" s="165">
        <f t="shared" si="237"/>
        <v>3640.7779083566561</v>
      </c>
      <c r="AZ370" s="164">
        <f>IF($E370="","",IF(OR(AND($D370=Input!$C$6,$C370=12),$AN370=1),0,-AS371+AT371+AU371-AV371-AW371-AX371+AZ371))</f>
        <v>3640.7795023942449</v>
      </c>
      <c r="BA370" s="154">
        <f t="shared" si="217"/>
        <v>1.5940375888021663E-3</v>
      </c>
      <c r="BC370" s="147">
        <f t="shared" si="238"/>
        <v>2.2244887423854158E-2</v>
      </c>
      <c r="BD370" s="164">
        <f>IF(AND($C369=12,$D369=Input!$C$6),0,IF($E370="","",AT370+(AU370+BD371)/(1+$AK370)*MIN((1-AM370-AN370),1)))</f>
        <v>3564.7287972405902</v>
      </c>
      <c r="BE370" s="164">
        <f t="shared" si="218"/>
        <v>79.296990791187966</v>
      </c>
      <c r="BF370" s="164">
        <f t="shared" si="239"/>
        <v>3640.7795023942449</v>
      </c>
      <c r="BG370" s="164">
        <f t="shared" si="219"/>
        <v>80.988730165835733</v>
      </c>
      <c r="BH370" s="152"/>
      <c r="BI370" s="162">
        <f t="shared" si="220"/>
        <v>771.19090478328144</v>
      </c>
      <c r="BJ370" s="150">
        <f t="shared" si="221"/>
        <v>0</v>
      </c>
      <c r="BK370" s="163">
        <f t="shared" si="243"/>
        <v>0</v>
      </c>
      <c r="BL370" s="163">
        <f t="shared" si="222"/>
        <v>492.06544024610332</v>
      </c>
      <c r="BM370" s="163">
        <f t="shared" si="244"/>
        <v>1.8722370248061073</v>
      </c>
      <c r="BN370" s="163">
        <f t="shared" si="223"/>
        <v>1.3895376918997138</v>
      </c>
      <c r="BO370" s="163">
        <f t="shared" si="224"/>
        <v>0</v>
      </c>
      <c r="BP370" s="164">
        <f t="shared" si="245"/>
        <v>282.38723925388393</v>
      </c>
      <c r="BQ370" s="164">
        <f>IF($E370="","",IF(AND($D370=Input!$C$6,$C370=12),0,-BJ371+BK371+BL371-BM371-BN371-BO371+BQ371))</f>
        <v>282.38879999472135</v>
      </c>
      <c r="BR370" s="161">
        <f t="shared" si="225"/>
        <v>0</v>
      </c>
      <c r="BT370" s="147">
        <f t="shared" si="226"/>
        <v>2.2244887423854158E-2</v>
      </c>
      <c r="BU370" s="164">
        <f>IF(AND($C369=12,$D369=Input!$C$6),0,IF($E370="","",BK370+(BL370+BU371)/(1+$AK370)*MIN((1-T370-U370),1)))</f>
        <v>40003.336192130497</v>
      </c>
      <c r="BV370" s="164">
        <f t="shared" si="227"/>
        <v>889.86971017253359</v>
      </c>
      <c r="BW370" s="164">
        <f t="shared" si="228"/>
        <v>282.38879999472135</v>
      </c>
      <c r="BX370" s="164">
        <f t="shared" si="229"/>
        <v>6.2817070656398437</v>
      </c>
    </row>
    <row r="371" spans="1:76" s="150" customFormat="1" x14ac:dyDescent="0.25">
      <c r="A371" s="150">
        <f t="shared" si="240"/>
        <v>367</v>
      </c>
      <c r="B371" s="150">
        <f t="shared" si="241"/>
        <v>31</v>
      </c>
      <c r="C371" s="150">
        <f t="shared" si="242"/>
        <v>7</v>
      </c>
      <c r="D371" s="150">
        <f>IF(E371="","",Input!$C$4+B371-1)</f>
        <v>75</v>
      </c>
      <c r="E371" s="150">
        <f>IF(OR(AND(C370=12,D370=Input!$C$6),E370=""),"",1)</f>
        <v>1</v>
      </c>
      <c r="F371" s="150">
        <f>IF(E371="","",Input!$C$8+B371-1)</f>
        <v>2048</v>
      </c>
      <c r="G371" s="151">
        <f>IF(E371="","",MAX(0,Input!$C$9-B371))</f>
        <v>0</v>
      </c>
      <c r="H371" s="152">
        <f>IF(E371="","",Input!$C$3)</f>
        <v>100000</v>
      </c>
      <c r="I371" s="153">
        <f>IF(E371="","",HLOOKUP($B371,Input!$C$13:$BT$14,2))</f>
        <v>59.387999999999998</v>
      </c>
      <c r="J371" s="154"/>
      <c r="K371" s="155">
        <f>IF($E371="","",INDEX(Input!$C$16:$CP$16,1,$B371))</f>
        <v>2.8629999999999999E-2</v>
      </c>
      <c r="L371" s="155">
        <f>IF($E371="","",Input!$C$37)</f>
        <v>1.4999999999999999E-2</v>
      </c>
      <c r="M371" s="155">
        <f t="shared" si="205"/>
        <v>4.3630000000000002E-2</v>
      </c>
      <c r="N371" s="155">
        <f t="shared" si="206"/>
        <v>3.5650915847715847E-3</v>
      </c>
      <c r="O371" s="147">
        <f>IF($E371="","",MIN(VLOOKUP(IF($B371&lt;=Input!$C$7,$B371,26),'Mortality Tables'!$A$41:$CW$67,IF($B371&lt;=Input!$C$7+1,Input!$C$4+2,$D371-Input!$C$7+2),0)*IF(B371&gt;20,Input!$C$22,1)/1000,1))</f>
        <v>6.6802400000000026E-2</v>
      </c>
      <c r="P371" s="147">
        <f>IF($E371="","",MIN(VLOOKUP(IF($B371&lt;=Input!$C$7,$B371,26),'Mortality Tables'!$A$12:$CW$37,IF($B371&lt;=Input!$C$7+1,Input!$C$4+2,$D371-Input!$C$7+2),0)*IF(B371&gt;20,Input!$C$22,1)/1000,1))</f>
        <v>8.3502999999999994E-2</v>
      </c>
      <c r="Q371" s="155">
        <f>IF($E371="","",Input!$C$21)</f>
        <v>5.0000000000000001E-3</v>
      </c>
      <c r="R371" s="159">
        <f>IF($E371="","",(1-Q371)^($F371-Input!$C$20))</f>
        <v>0.86038419191469639</v>
      </c>
      <c r="S371" s="147">
        <f t="shared" si="208"/>
        <v>5.7475728941962338E-2</v>
      </c>
      <c r="T371" s="147">
        <f t="shared" si="209"/>
        <v>4.9206544024610332E-3</v>
      </c>
      <c r="U371" s="160">
        <f>IF($E371="","",IF($C371=12,INDEX(Input!$C$15:$CP$15,1,$B371),0))</f>
        <v>0</v>
      </c>
      <c r="V371" s="150">
        <f>IF(E371="","",IF(C371=1,IF($B371=1,Input!$C$33,Input!$C$34),0))</f>
        <v>0</v>
      </c>
      <c r="W371" s="156">
        <f>IF($E371="","",Input!$C$35)</f>
        <v>0.02</v>
      </c>
      <c r="X371" s="156">
        <f t="shared" si="207"/>
        <v>1.8113615841033548</v>
      </c>
      <c r="Y371" s="154"/>
      <c r="Z371" s="147">
        <f>IF($E371="","",VLOOKUP($D371,'Mortality Margins &amp; Grading'!$AB$5:$AF$125,3,0)*IF(Summary!$D$25="Included Margin",IF(AND($B371&gt;Input!$C$9,Summary!$D$31&lt;&gt;"Included Margin"),0,1),0))</f>
        <v>2.9000000000000001E-2</v>
      </c>
      <c r="AA371" s="147">
        <f>IF($E371="","",VLOOKUP($D371,'Mortality Margins &amp; Grading'!$AB$5:$AF$125,5,0)*IF(Summary!$D$25="Included Margin",IF(AND($B371&gt;Input!$C$9,Summary!$D$31&lt;&gt;"Included Margin"),0,1),0))</f>
        <v>0.151</v>
      </c>
      <c r="AB371" s="147">
        <f>IF($E371="","",IF(AND($B371&gt;Input!$C$9,Summary!$D$31&lt;&gt;"Included Margin"),1,IF(Summary!$D$25="Included Margin",VLOOKUP($B371,'Mortality Margins &amp; Grading'!$AI$5:$AR$125,MATCH('Mortality Margins &amp; Grading'!$AQ$4,'Mortality Margins &amp; Grading'!$AI$4:$AR$4,0),0),1)))</f>
        <v>0.875</v>
      </c>
      <c r="AC371" s="154"/>
      <c r="AD371" s="158">
        <f>IF(E371="","",Input!$C$48*IF(Summary!$D$30="Included Margin",IF(AND($B371&gt;Input!$C$9,Summary!$D$31&lt;&gt;"Included Margin"),0,1),0))</f>
        <v>-4.4999999999999997E-3</v>
      </c>
      <c r="AE371" s="159">
        <f>IF(E371="","",IF(Summary!$D$26="Included Margin",IF(AND($B371&gt;Input!$C$9,Summary!$D$31&lt;&gt;"Included Margin"),1,1/$R371),1))</f>
        <v>1.162271470579443</v>
      </c>
      <c r="AF371" s="160">
        <f>IF(E371="","",IF(AND($B371&gt;=Input!$C$9,$C371=12,Summary!$D$31="Included Margin",$U371&gt;0),1/U371-1,IF($B371&gt;=Input!$C$9,0,Input!$C$45*IF(Summary!$D$27="Included Margin",1,0))))</f>
        <v>0</v>
      </c>
      <c r="AG371" s="160">
        <f>IF(E371="","",Input!$C$46*IF(Summary!$D$28="Included Margin",IF(AND($B371&gt;Input!$C$9,Summary!$D$31&lt;&gt;"Included Margin"),0,1),0))</f>
        <v>0.02</v>
      </c>
      <c r="AH371" s="158">
        <f>IF(E371="","",Input!$C$47*IF(Summary!$D$29="Included Margin",IF(AND($B371&gt;Input!$C$9,Summary!$D$31&lt;&gt;"Included Margin"),0,1),0))</f>
        <v>2.5000000000000001E-3</v>
      </c>
      <c r="AI371" s="154"/>
      <c r="AJ371" s="158">
        <f t="shared" si="230"/>
        <v>3.9130000000000005E-2</v>
      </c>
      <c r="AK371" s="155">
        <f t="shared" si="231"/>
        <v>3.2037731961160887E-3</v>
      </c>
      <c r="AL371" s="147">
        <f t="shared" si="232"/>
        <v>7.2161205025000008E-2</v>
      </c>
      <c r="AM371" s="147">
        <f t="shared" si="210"/>
        <v>6.2220021431009798E-3</v>
      </c>
      <c r="AN371" s="160">
        <f t="shared" si="233"/>
        <v>0</v>
      </c>
      <c r="AO371" s="161">
        <f t="shared" si="234"/>
        <v>0</v>
      </c>
      <c r="AP371" s="156">
        <f t="shared" si="211"/>
        <v>1.9493934405210187</v>
      </c>
      <c r="AQ371" s="152"/>
      <c r="AR371" s="162">
        <f t="shared" si="212"/>
        <v>3640.7779083566556</v>
      </c>
      <c r="AS371" s="150">
        <f t="shared" si="235"/>
        <v>0</v>
      </c>
      <c r="AT371" s="163">
        <f t="shared" si="213"/>
        <v>0</v>
      </c>
      <c r="AU371" s="163">
        <f t="shared" si="214"/>
        <v>622.20021431009798</v>
      </c>
      <c r="AV371" s="163">
        <f t="shared" si="236"/>
        <v>10.667532491192462</v>
      </c>
      <c r="AW371" s="163">
        <f t="shared" si="215"/>
        <v>18.965986618990975</v>
      </c>
      <c r="AX371" s="163">
        <f t="shared" si="216"/>
        <v>0</v>
      </c>
      <c r="AY371" s="164">
        <f t="shared" si="237"/>
        <v>3048.211213156741</v>
      </c>
      <c r="AZ371" s="164">
        <f>IF($E371="","",IF(OR(AND($D371=Input!$C$6,$C371=12),$AN371=1),0,-AS372+AT372+AU372-AV372-AW372-AX372+AZ372))</f>
        <v>3048.2128071943303</v>
      </c>
      <c r="BA371" s="154">
        <f t="shared" si="217"/>
        <v>1.5940375892569136E-3</v>
      </c>
      <c r="BC371" s="147">
        <f t="shared" si="238"/>
        <v>2.213542802061972E-2</v>
      </c>
      <c r="BD371" s="164">
        <f>IF(AND($C370=12,$D370=Input!$C$6),0,IF($E371="","",AT371+(AU371+BD372)/(1+$AK371)*MIN((1-AM371-AN371),1)))</f>
        <v>2976.3392859853866</v>
      </c>
      <c r="BE371" s="164">
        <f t="shared" si="218"/>
        <v>65.882544029872221</v>
      </c>
      <c r="BF371" s="164">
        <f t="shared" si="239"/>
        <v>3048.2128071943303</v>
      </c>
      <c r="BG371" s="164">
        <f t="shared" si="219"/>
        <v>67.473495185181278</v>
      </c>
      <c r="BH371" s="152"/>
      <c r="BI371" s="162">
        <f t="shared" si="220"/>
        <v>282.38723925388399</v>
      </c>
      <c r="BJ371" s="150">
        <f t="shared" si="221"/>
        <v>0</v>
      </c>
      <c r="BK371" s="163">
        <f t="shared" si="243"/>
        <v>0</v>
      </c>
      <c r="BL371" s="163">
        <f t="shared" si="222"/>
        <v>492.06544024610332</v>
      </c>
      <c r="BM371" s="163">
        <f t="shared" si="244"/>
        <v>0.12960719022174794</v>
      </c>
      <c r="BN371" s="163">
        <f t="shared" si="223"/>
        <v>-1.0362073490088084</v>
      </c>
      <c r="BO371" s="163">
        <f t="shared" si="224"/>
        <v>0</v>
      </c>
      <c r="BP371" s="164">
        <f t="shared" si="245"/>
        <v>-210.58480115100639</v>
      </c>
      <c r="BQ371" s="164">
        <f>IF($E371="","",IF(AND($D371=Input!$C$6,$C371=12),0,-BJ372+BK372+BL372-BM372-BN372-BO372+BQ372))</f>
        <v>-210.58324041016903</v>
      </c>
      <c r="BR371" s="161">
        <f t="shared" si="225"/>
        <v>0</v>
      </c>
      <c r="BT371" s="147">
        <f t="shared" si="226"/>
        <v>2.213542802061972E-2</v>
      </c>
      <c r="BU371" s="164">
        <f>IF(AND($C370=12,$D370=Input!$C$6),0,IF($E371="","",BK371+(BL371+BU372)/(1+$AK371)*MIN((1-T371-U371),1)))</f>
        <v>39837.882102057025</v>
      </c>
      <c r="BV371" s="164">
        <f t="shared" si="227"/>
        <v>881.82857176401785</v>
      </c>
      <c r="BW371" s="164">
        <f t="shared" si="228"/>
        <v>-210.58324041016903</v>
      </c>
      <c r="BX371" s="164">
        <f t="shared" si="229"/>
        <v>-4.661350160448154</v>
      </c>
    </row>
    <row r="372" spans="1:76" s="150" customFormat="1" x14ac:dyDescent="0.25">
      <c r="A372" s="150">
        <f t="shared" si="240"/>
        <v>368</v>
      </c>
      <c r="B372" s="150">
        <f t="shared" si="241"/>
        <v>31</v>
      </c>
      <c r="C372" s="150">
        <f t="shared" si="242"/>
        <v>8</v>
      </c>
      <c r="D372" s="150">
        <f>IF(E372="","",Input!$C$4+B372-1)</f>
        <v>75</v>
      </c>
      <c r="E372" s="150">
        <f>IF(OR(AND(C371=12,D371=Input!$C$6),E371=""),"",1)</f>
        <v>1</v>
      </c>
      <c r="F372" s="150">
        <f>IF(E372="","",Input!$C$8+B372-1)</f>
        <v>2048</v>
      </c>
      <c r="G372" s="151">
        <f>IF(E372="","",MAX(0,Input!$C$9-B372))</f>
        <v>0</v>
      </c>
      <c r="H372" s="152">
        <f>IF(E372="","",Input!$C$3)</f>
        <v>100000</v>
      </c>
      <c r="I372" s="153">
        <f>IF(E372="","",HLOOKUP($B372,Input!$C$13:$BT$14,2))</f>
        <v>59.387999999999998</v>
      </c>
      <c r="J372" s="154"/>
      <c r="K372" s="155">
        <f>IF($E372="","",INDEX(Input!$C$16:$CP$16,1,$B372))</f>
        <v>2.8629999999999999E-2</v>
      </c>
      <c r="L372" s="155">
        <f>IF($E372="","",Input!$C$37)</f>
        <v>1.4999999999999999E-2</v>
      </c>
      <c r="M372" s="155">
        <f t="shared" si="205"/>
        <v>4.3630000000000002E-2</v>
      </c>
      <c r="N372" s="155">
        <f t="shared" si="206"/>
        <v>3.5650915847715847E-3</v>
      </c>
      <c r="O372" s="147">
        <f>IF($E372="","",MIN(VLOOKUP(IF($B372&lt;=Input!$C$7,$B372,26),'Mortality Tables'!$A$41:$CW$67,IF($B372&lt;=Input!$C$7+1,Input!$C$4+2,$D372-Input!$C$7+2),0)*IF(B372&gt;20,Input!$C$22,1)/1000,1))</f>
        <v>6.6802400000000026E-2</v>
      </c>
      <c r="P372" s="147">
        <f>IF($E372="","",MIN(VLOOKUP(IF($B372&lt;=Input!$C$7,$B372,26),'Mortality Tables'!$A$12:$CW$37,IF($B372&lt;=Input!$C$7+1,Input!$C$4+2,$D372-Input!$C$7+2),0)*IF(B372&gt;20,Input!$C$22,1)/1000,1))</f>
        <v>8.3502999999999994E-2</v>
      </c>
      <c r="Q372" s="155">
        <f>IF($E372="","",Input!$C$21)</f>
        <v>5.0000000000000001E-3</v>
      </c>
      <c r="R372" s="159">
        <f>IF($E372="","",(1-Q372)^($F372-Input!$C$20))</f>
        <v>0.86038419191469639</v>
      </c>
      <c r="S372" s="147">
        <f t="shared" si="208"/>
        <v>5.7475728941962338E-2</v>
      </c>
      <c r="T372" s="147">
        <f t="shared" si="209"/>
        <v>4.9206544024610332E-3</v>
      </c>
      <c r="U372" s="160">
        <f>IF($E372="","",IF($C372=12,INDEX(Input!$C$15:$CP$15,1,$B372),0))</f>
        <v>0</v>
      </c>
      <c r="V372" s="150">
        <f>IF(E372="","",IF(C372=1,IF($B372=1,Input!$C$33,Input!$C$34),0))</f>
        <v>0</v>
      </c>
      <c r="W372" s="156">
        <f>IF($E372="","",Input!$C$35)</f>
        <v>0.02</v>
      </c>
      <c r="X372" s="156">
        <f t="shared" si="207"/>
        <v>1.8113615841033548</v>
      </c>
      <c r="Y372" s="154"/>
      <c r="Z372" s="147">
        <f>IF($E372="","",VLOOKUP($D372,'Mortality Margins &amp; Grading'!$AB$5:$AF$125,3,0)*IF(Summary!$D$25="Included Margin",IF(AND($B372&gt;Input!$C$9,Summary!$D$31&lt;&gt;"Included Margin"),0,1),0))</f>
        <v>2.9000000000000001E-2</v>
      </c>
      <c r="AA372" s="147">
        <f>IF($E372="","",VLOOKUP($D372,'Mortality Margins &amp; Grading'!$AB$5:$AF$125,5,0)*IF(Summary!$D$25="Included Margin",IF(AND($B372&gt;Input!$C$9,Summary!$D$31&lt;&gt;"Included Margin"),0,1),0))</f>
        <v>0.151</v>
      </c>
      <c r="AB372" s="147">
        <f>IF($E372="","",IF(AND($B372&gt;Input!$C$9,Summary!$D$31&lt;&gt;"Included Margin"),1,IF(Summary!$D$25="Included Margin",VLOOKUP($B372,'Mortality Margins &amp; Grading'!$AI$5:$AR$125,MATCH('Mortality Margins &amp; Grading'!$AQ$4,'Mortality Margins &amp; Grading'!$AI$4:$AR$4,0),0),1)))</f>
        <v>0.875</v>
      </c>
      <c r="AC372" s="154"/>
      <c r="AD372" s="158">
        <f>IF(E372="","",Input!$C$48*IF(Summary!$D$30="Included Margin",IF(AND($B372&gt;Input!$C$9,Summary!$D$31&lt;&gt;"Included Margin"),0,1),0))</f>
        <v>-4.4999999999999997E-3</v>
      </c>
      <c r="AE372" s="159">
        <f>IF(E372="","",IF(Summary!$D$26="Included Margin",IF(AND($B372&gt;Input!$C$9,Summary!$D$31&lt;&gt;"Included Margin"),1,1/$R372),1))</f>
        <v>1.162271470579443</v>
      </c>
      <c r="AF372" s="160">
        <f>IF(E372="","",IF(AND($B372&gt;=Input!$C$9,$C372=12,Summary!$D$31="Included Margin",$U372&gt;0),1/U372-1,IF($B372&gt;=Input!$C$9,0,Input!$C$45*IF(Summary!$D$27="Included Margin",1,0))))</f>
        <v>0</v>
      </c>
      <c r="AG372" s="160">
        <f>IF(E372="","",Input!$C$46*IF(Summary!$D$28="Included Margin",IF(AND($B372&gt;Input!$C$9,Summary!$D$31&lt;&gt;"Included Margin"),0,1),0))</f>
        <v>0.02</v>
      </c>
      <c r="AH372" s="158">
        <f>IF(E372="","",Input!$C$47*IF(Summary!$D$29="Included Margin",IF(AND($B372&gt;Input!$C$9,Summary!$D$31&lt;&gt;"Included Margin"),0,1),0))</f>
        <v>2.5000000000000001E-3</v>
      </c>
      <c r="AI372" s="154"/>
      <c r="AJ372" s="158">
        <f t="shared" si="230"/>
        <v>3.9130000000000005E-2</v>
      </c>
      <c r="AK372" s="155">
        <f t="shared" si="231"/>
        <v>3.2037731961160887E-3</v>
      </c>
      <c r="AL372" s="147">
        <f t="shared" si="232"/>
        <v>7.2161205025000008E-2</v>
      </c>
      <c r="AM372" s="147">
        <f t="shared" si="210"/>
        <v>6.2220021431009798E-3</v>
      </c>
      <c r="AN372" s="160">
        <f t="shared" si="233"/>
        <v>0</v>
      </c>
      <c r="AO372" s="161">
        <f t="shared" si="234"/>
        <v>0</v>
      </c>
      <c r="AP372" s="156">
        <f t="shared" si="211"/>
        <v>1.9493934405210187</v>
      </c>
      <c r="AQ372" s="152"/>
      <c r="AR372" s="162">
        <f t="shared" si="212"/>
        <v>3048.211213156741</v>
      </c>
      <c r="AS372" s="150">
        <f t="shared" si="235"/>
        <v>0</v>
      </c>
      <c r="AT372" s="163">
        <f t="shared" si="213"/>
        <v>0</v>
      </c>
      <c r="AU372" s="163">
        <f t="shared" si="214"/>
        <v>622.20021431009798</v>
      </c>
      <c r="AV372" s="163">
        <f t="shared" si="236"/>
        <v>8.7690831961998832</v>
      </c>
      <c r="AW372" s="163">
        <f t="shared" si="215"/>
        <v>15.24406541423237</v>
      </c>
      <c r="AX372" s="163">
        <f t="shared" si="216"/>
        <v>0</v>
      </c>
      <c r="AY372" s="165">
        <f t="shared" si="237"/>
        <v>2450.0241474570753</v>
      </c>
      <c r="AZ372" s="164">
        <f>IF($E372="","",IF(OR(AND($D372=Input!$C$6,$C372=12),$AN372=1),0,-AS373+AT373+AU373-AV373-AW373-AX373+AZ373))</f>
        <v>2450.0257414946645</v>
      </c>
      <c r="BA372" s="154">
        <f t="shared" si="217"/>
        <v>1.5940375892569136E-3</v>
      </c>
      <c r="BC372" s="147">
        <f t="shared" si="238"/>
        <v>2.2026507229279697E-2</v>
      </c>
      <c r="BD372" s="164">
        <f>IF(AND($C371=12,$D371=Input!$C$6),0,IF($E372="","",AT372+(AU372+BD373)/(1+$AK372)*MIN((1-AM372-AN372),1)))</f>
        <v>2382.3690239417742</v>
      </c>
      <c r="BE372" s="164">
        <f t="shared" si="218"/>
        <v>52.475268528665502</v>
      </c>
      <c r="BF372" s="164">
        <f t="shared" si="239"/>
        <v>2450.0257414946645</v>
      </c>
      <c r="BG372" s="164">
        <f t="shared" si="219"/>
        <v>53.965509706953576</v>
      </c>
      <c r="BH372" s="152"/>
      <c r="BI372" s="162">
        <f t="shared" si="220"/>
        <v>-210.58480115100633</v>
      </c>
      <c r="BJ372" s="150">
        <f t="shared" si="221"/>
        <v>0</v>
      </c>
      <c r="BK372" s="163">
        <f t="shared" si="243"/>
        <v>0</v>
      </c>
      <c r="BL372" s="163">
        <f t="shared" si="222"/>
        <v>492.06544024610332</v>
      </c>
      <c r="BM372" s="163">
        <f t="shared" si="244"/>
        <v>-1.6278832825534042</v>
      </c>
      <c r="BN372" s="163">
        <f t="shared" si="223"/>
        <v>-3.4826384350432877</v>
      </c>
      <c r="BO372" s="163">
        <f t="shared" si="224"/>
        <v>0</v>
      </c>
      <c r="BP372" s="164">
        <f t="shared" si="245"/>
        <v>-707.76076311470638</v>
      </c>
      <c r="BQ372" s="164">
        <f>IF($E372="","",IF(AND($D372=Input!$C$6,$C372=12),0,-BJ373+BK373+BL373-BM373-BN373-BO373+BQ373))</f>
        <v>-707.75920237386902</v>
      </c>
      <c r="BR372" s="161">
        <f t="shared" si="225"/>
        <v>0</v>
      </c>
      <c r="BT372" s="147">
        <f t="shared" si="226"/>
        <v>2.2026507229279697E-2</v>
      </c>
      <c r="BU372" s="164">
        <f>IF(AND($C371=12,$D371=Input!$C$6),0,IF($E372="","",BK372+(BL372+BU373)/(1+$AK372)*MIN((1-T372-U372),1)))</f>
        <v>39671.077145058582</v>
      </c>
      <c r="BV372" s="164">
        <f t="shared" si="227"/>
        <v>873.81526752894536</v>
      </c>
      <c r="BW372" s="164">
        <f t="shared" si="228"/>
        <v>-707.75920237386902</v>
      </c>
      <c r="BX372" s="164">
        <f t="shared" si="229"/>
        <v>-15.589463187677257</v>
      </c>
    </row>
    <row r="373" spans="1:76" s="150" customFormat="1" x14ac:dyDescent="0.25">
      <c r="A373" s="150">
        <f t="shared" si="240"/>
        <v>369</v>
      </c>
      <c r="B373" s="150">
        <f t="shared" si="241"/>
        <v>31</v>
      </c>
      <c r="C373" s="150">
        <f t="shared" si="242"/>
        <v>9</v>
      </c>
      <c r="D373" s="150">
        <f>IF(E373="","",Input!$C$4+B373-1)</f>
        <v>75</v>
      </c>
      <c r="E373" s="150">
        <f>IF(OR(AND(C372=12,D372=Input!$C$6),E372=""),"",1)</f>
        <v>1</v>
      </c>
      <c r="F373" s="150">
        <f>IF(E373="","",Input!$C$8+B373-1)</f>
        <v>2048</v>
      </c>
      <c r="G373" s="151">
        <f>IF(E373="","",MAX(0,Input!$C$9-B373))</f>
        <v>0</v>
      </c>
      <c r="H373" s="152">
        <f>IF(E373="","",Input!$C$3)</f>
        <v>100000</v>
      </c>
      <c r="I373" s="153">
        <f>IF(E373="","",HLOOKUP($B373,Input!$C$13:$BT$14,2))</f>
        <v>59.387999999999998</v>
      </c>
      <c r="J373" s="154"/>
      <c r="K373" s="155">
        <f>IF($E373="","",INDEX(Input!$C$16:$CP$16,1,$B373))</f>
        <v>2.8629999999999999E-2</v>
      </c>
      <c r="L373" s="155">
        <f>IF($E373="","",Input!$C$37)</f>
        <v>1.4999999999999999E-2</v>
      </c>
      <c r="M373" s="155">
        <f t="shared" ref="M373:M436" si="246">IF($E373="","",K373+L373)</f>
        <v>4.3630000000000002E-2</v>
      </c>
      <c r="N373" s="155">
        <f t="shared" ref="N373:N436" si="247">IF($E373="","",(1+M373)^(1/12)-1)</f>
        <v>3.5650915847715847E-3</v>
      </c>
      <c r="O373" s="147">
        <f>IF($E373="","",MIN(VLOOKUP(IF($B373&lt;=Input!$C$7,$B373,26),'Mortality Tables'!$A$41:$CW$67,IF($B373&lt;=Input!$C$7+1,Input!$C$4+2,$D373-Input!$C$7+2),0)*IF(B373&gt;20,Input!$C$22,1)/1000,1))</f>
        <v>6.6802400000000026E-2</v>
      </c>
      <c r="P373" s="147">
        <f>IF($E373="","",MIN(VLOOKUP(IF($B373&lt;=Input!$C$7,$B373,26),'Mortality Tables'!$A$12:$CW$37,IF($B373&lt;=Input!$C$7+1,Input!$C$4+2,$D373-Input!$C$7+2),0)*IF(B373&gt;20,Input!$C$22,1)/1000,1))</f>
        <v>8.3502999999999994E-2</v>
      </c>
      <c r="Q373" s="155">
        <f>IF($E373="","",Input!$C$21)</f>
        <v>5.0000000000000001E-3</v>
      </c>
      <c r="R373" s="159">
        <f>IF($E373="","",(1-Q373)^($F373-Input!$C$20))</f>
        <v>0.86038419191469639</v>
      </c>
      <c r="S373" s="147">
        <f t="shared" si="208"/>
        <v>5.7475728941962338E-2</v>
      </c>
      <c r="T373" s="147">
        <f t="shared" si="209"/>
        <v>4.9206544024610332E-3</v>
      </c>
      <c r="U373" s="160">
        <f>IF($E373="","",IF($C373=12,INDEX(Input!$C$15:$CP$15,1,$B373),0))</f>
        <v>0</v>
      </c>
      <c r="V373" s="150">
        <f>IF(E373="","",IF(C373=1,IF($B373=1,Input!$C$33,Input!$C$34),0))</f>
        <v>0</v>
      </c>
      <c r="W373" s="156">
        <f>IF($E373="","",Input!$C$35)</f>
        <v>0.02</v>
      </c>
      <c r="X373" s="156">
        <f t="shared" ref="X373:X436" si="248">IF($E373="","",IF(B373=1,1,IF(C373=1,(1+W373)*X372,X372)))</f>
        <v>1.8113615841033548</v>
      </c>
      <c r="Y373" s="154"/>
      <c r="Z373" s="147">
        <f>IF($E373="","",VLOOKUP($D373,'Mortality Margins &amp; Grading'!$AB$5:$AF$125,3,0)*IF(Summary!$D$25="Included Margin",IF(AND($B373&gt;Input!$C$9,Summary!$D$31&lt;&gt;"Included Margin"),0,1),0))</f>
        <v>2.9000000000000001E-2</v>
      </c>
      <c r="AA373" s="147">
        <f>IF($E373="","",VLOOKUP($D373,'Mortality Margins &amp; Grading'!$AB$5:$AF$125,5,0)*IF(Summary!$D$25="Included Margin",IF(AND($B373&gt;Input!$C$9,Summary!$D$31&lt;&gt;"Included Margin"),0,1),0))</f>
        <v>0.151</v>
      </c>
      <c r="AB373" s="147">
        <f>IF($E373="","",IF(AND($B373&gt;Input!$C$9,Summary!$D$31&lt;&gt;"Included Margin"),1,IF(Summary!$D$25="Included Margin",VLOOKUP($B373,'Mortality Margins &amp; Grading'!$AI$5:$AR$125,MATCH('Mortality Margins &amp; Grading'!$AQ$4,'Mortality Margins &amp; Grading'!$AI$4:$AR$4,0),0),1)))</f>
        <v>0.875</v>
      </c>
      <c r="AC373" s="154"/>
      <c r="AD373" s="158">
        <f>IF(E373="","",Input!$C$48*IF(Summary!$D$30="Included Margin",IF(AND($B373&gt;Input!$C$9,Summary!$D$31&lt;&gt;"Included Margin"),0,1),0))</f>
        <v>-4.4999999999999997E-3</v>
      </c>
      <c r="AE373" s="159">
        <f>IF(E373="","",IF(Summary!$D$26="Included Margin",IF(AND($B373&gt;Input!$C$9,Summary!$D$31&lt;&gt;"Included Margin"),1,1/$R373),1))</f>
        <v>1.162271470579443</v>
      </c>
      <c r="AF373" s="160">
        <f>IF(E373="","",IF(AND($B373&gt;=Input!$C$9,$C373=12,Summary!$D$31="Included Margin",$U373&gt;0),1/U373-1,IF($B373&gt;=Input!$C$9,0,Input!$C$45*IF(Summary!$D$27="Included Margin",1,0))))</f>
        <v>0</v>
      </c>
      <c r="AG373" s="160">
        <f>IF(E373="","",Input!$C$46*IF(Summary!$D$28="Included Margin",IF(AND($B373&gt;Input!$C$9,Summary!$D$31&lt;&gt;"Included Margin"),0,1),0))</f>
        <v>0.02</v>
      </c>
      <c r="AH373" s="158">
        <f>IF(E373="","",Input!$C$47*IF(Summary!$D$29="Included Margin",IF(AND($B373&gt;Input!$C$9,Summary!$D$31&lt;&gt;"Included Margin"),0,1),0))</f>
        <v>2.5000000000000001E-3</v>
      </c>
      <c r="AI373" s="154"/>
      <c r="AJ373" s="158">
        <f t="shared" si="230"/>
        <v>3.9130000000000005E-2</v>
      </c>
      <c r="AK373" s="155">
        <f t="shared" si="231"/>
        <v>3.2037731961160887E-3</v>
      </c>
      <c r="AL373" s="147">
        <f t="shared" si="232"/>
        <v>7.2161205025000008E-2</v>
      </c>
      <c r="AM373" s="147">
        <f t="shared" si="210"/>
        <v>6.2220021431009798E-3</v>
      </c>
      <c r="AN373" s="160">
        <f t="shared" si="233"/>
        <v>0</v>
      </c>
      <c r="AO373" s="161">
        <f t="shared" si="234"/>
        <v>0</v>
      </c>
      <c r="AP373" s="156">
        <f t="shared" si="211"/>
        <v>1.9493934405210187</v>
      </c>
      <c r="AQ373" s="152"/>
      <c r="AR373" s="162">
        <f t="shared" si="212"/>
        <v>2450.0241474570748</v>
      </c>
      <c r="AS373" s="150">
        <f t="shared" si="235"/>
        <v>0</v>
      </c>
      <c r="AT373" s="163">
        <f t="shared" si="213"/>
        <v>0</v>
      </c>
      <c r="AU373" s="163">
        <f t="shared" si="214"/>
        <v>622.20021431009798</v>
      </c>
      <c r="AV373" s="163">
        <f t="shared" si="236"/>
        <v>6.8526275088479585</v>
      </c>
      <c r="AW373" s="163">
        <f t="shared" si="215"/>
        <v>11.486842569487793</v>
      </c>
      <c r="AX373" s="163">
        <f t="shared" si="216"/>
        <v>0</v>
      </c>
      <c r="AY373" s="164">
        <f t="shared" si="237"/>
        <v>1846.1634032253125</v>
      </c>
      <c r="AZ373" s="164">
        <f>IF($E373="","",IF(OR(AND($D373=Input!$C$6,$C373=12),$AN373=1),0,-AS374+AT374+AU374-AV374-AW374-AX374+AZ374))</f>
        <v>1846.1649972629023</v>
      </c>
      <c r="BA373" s="154">
        <f t="shared" si="217"/>
        <v>1.594037589711661E-3</v>
      </c>
      <c r="BC373" s="147">
        <f t="shared" si="238"/>
        <v>2.1918122399511103E-2</v>
      </c>
      <c r="BD373" s="164">
        <f>IF(AND($C372=12,$D372=Input!$C$6),0,IF($E373="","",AT373+(AU373+BD374)/(1+$AK373)*MIN((1-AM373-AN373),1)))</f>
        <v>1782.7650788620388</v>
      </c>
      <c r="BE373" s="164">
        <f t="shared" si="218"/>
        <v>39.07486320807223</v>
      </c>
      <c r="BF373" s="164">
        <f t="shared" si="239"/>
        <v>1846.1649972629023</v>
      </c>
      <c r="BG373" s="164">
        <f t="shared" si="219"/>
        <v>40.464470379701375</v>
      </c>
      <c r="BH373" s="152"/>
      <c r="BI373" s="162">
        <f t="shared" si="220"/>
        <v>-707.76076311470638</v>
      </c>
      <c r="BJ373" s="150">
        <f t="shared" si="221"/>
        <v>0</v>
      </c>
      <c r="BK373" s="163">
        <f t="shared" si="243"/>
        <v>0</v>
      </c>
      <c r="BL373" s="163">
        <f t="shared" si="222"/>
        <v>492.06544024610332</v>
      </c>
      <c r="BM373" s="163">
        <f t="shared" si="244"/>
        <v>-3.4003611207009086</v>
      </c>
      <c r="BN373" s="163">
        <f t="shared" si="223"/>
        <v>-5.9499319707539708</v>
      </c>
      <c r="BO373" s="163">
        <f t="shared" si="224"/>
        <v>0</v>
      </c>
      <c r="BP373" s="164">
        <f t="shared" si="245"/>
        <v>-1209.1764964522647</v>
      </c>
      <c r="BQ373" s="164">
        <f>IF($E373="","",IF(AND($D373=Input!$C$6,$C373=12),0,-BJ374+BK374+BL374-BM374-BN374-BO374+BQ374))</f>
        <v>-1209.1749357114272</v>
      </c>
      <c r="BR373" s="161">
        <f t="shared" si="225"/>
        <v>0</v>
      </c>
      <c r="BT373" s="147">
        <f t="shared" si="226"/>
        <v>2.1918122399511103E-2</v>
      </c>
      <c r="BU373" s="164">
        <f>IF(AND($C372=12,$D372=Input!$C$6),0,IF($E373="","",BK373+(BL373+BU374)/(1+$AK373)*MIN((1-T373-U373),1)))</f>
        <v>39502.910291843298</v>
      </c>
      <c r="BV373" s="164">
        <f t="shared" si="227"/>
        <v>865.82962291352828</v>
      </c>
      <c r="BW373" s="164">
        <f t="shared" si="228"/>
        <v>-1209.1749357114272</v>
      </c>
      <c r="BX373" s="164">
        <f t="shared" si="229"/>
        <v>-26.502844243344033</v>
      </c>
    </row>
    <row r="374" spans="1:76" s="150" customFormat="1" x14ac:dyDescent="0.25">
      <c r="A374" s="150">
        <f t="shared" si="240"/>
        <v>370</v>
      </c>
      <c r="B374" s="150">
        <f t="shared" si="241"/>
        <v>31</v>
      </c>
      <c r="C374" s="150">
        <f t="shared" si="242"/>
        <v>10</v>
      </c>
      <c r="D374" s="150">
        <f>IF(E374="","",Input!$C$4+B374-1)</f>
        <v>75</v>
      </c>
      <c r="E374" s="150">
        <f>IF(OR(AND(C373=12,D373=Input!$C$6),E373=""),"",1)</f>
        <v>1</v>
      </c>
      <c r="F374" s="150">
        <f>IF(E374="","",Input!$C$8+B374-1)</f>
        <v>2048</v>
      </c>
      <c r="G374" s="151">
        <f>IF(E374="","",MAX(0,Input!$C$9-B374))</f>
        <v>0</v>
      </c>
      <c r="H374" s="152">
        <f>IF(E374="","",Input!$C$3)</f>
        <v>100000</v>
      </c>
      <c r="I374" s="153">
        <f>IF(E374="","",HLOOKUP($B374,Input!$C$13:$BT$14,2))</f>
        <v>59.387999999999998</v>
      </c>
      <c r="J374" s="154"/>
      <c r="K374" s="155">
        <f>IF($E374="","",INDEX(Input!$C$16:$CP$16,1,$B374))</f>
        <v>2.8629999999999999E-2</v>
      </c>
      <c r="L374" s="155">
        <f>IF($E374="","",Input!$C$37)</f>
        <v>1.4999999999999999E-2</v>
      </c>
      <c r="M374" s="155">
        <f t="shared" si="246"/>
        <v>4.3630000000000002E-2</v>
      </c>
      <c r="N374" s="155">
        <f t="shared" si="247"/>
        <v>3.5650915847715847E-3</v>
      </c>
      <c r="O374" s="147">
        <f>IF($E374="","",MIN(VLOOKUP(IF($B374&lt;=Input!$C$7,$B374,26),'Mortality Tables'!$A$41:$CW$67,IF($B374&lt;=Input!$C$7+1,Input!$C$4+2,$D374-Input!$C$7+2),0)*IF(B374&gt;20,Input!$C$22,1)/1000,1))</f>
        <v>6.6802400000000026E-2</v>
      </c>
      <c r="P374" s="147">
        <f>IF($E374="","",MIN(VLOOKUP(IF($B374&lt;=Input!$C$7,$B374,26),'Mortality Tables'!$A$12:$CW$37,IF($B374&lt;=Input!$C$7+1,Input!$C$4+2,$D374-Input!$C$7+2),0)*IF(B374&gt;20,Input!$C$22,1)/1000,1))</f>
        <v>8.3502999999999994E-2</v>
      </c>
      <c r="Q374" s="155">
        <f>IF($E374="","",Input!$C$21)</f>
        <v>5.0000000000000001E-3</v>
      </c>
      <c r="R374" s="159">
        <f>IF($E374="","",(1-Q374)^($F374-Input!$C$20))</f>
        <v>0.86038419191469639</v>
      </c>
      <c r="S374" s="147">
        <f t="shared" si="208"/>
        <v>5.7475728941962338E-2</v>
      </c>
      <c r="T374" s="147">
        <f t="shared" si="209"/>
        <v>4.9206544024610332E-3</v>
      </c>
      <c r="U374" s="160">
        <f>IF($E374="","",IF($C374=12,INDEX(Input!$C$15:$CP$15,1,$B374),0))</f>
        <v>0</v>
      </c>
      <c r="V374" s="150">
        <f>IF(E374="","",IF(C374=1,IF($B374=1,Input!$C$33,Input!$C$34),0))</f>
        <v>0</v>
      </c>
      <c r="W374" s="156">
        <f>IF($E374="","",Input!$C$35)</f>
        <v>0.02</v>
      </c>
      <c r="X374" s="156">
        <f t="shared" si="248"/>
        <v>1.8113615841033548</v>
      </c>
      <c r="Y374" s="154"/>
      <c r="Z374" s="147">
        <f>IF($E374="","",VLOOKUP($D374,'Mortality Margins &amp; Grading'!$AB$5:$AF$125,3,0)*IF(Summary!$D$25="Included Margin",IF(AND($B374&gt;Input!$C$9,Summary!$D$31&lt;&gt;"Included Margin"),0,1),0))</f>
        <v>2.9000000000000001E-2</v>
      </c>
      <c r="AA374" s="147">
        <f>IF($E374="","",VLOOKUP($D374,'Mortality Margins &amp; Grading'!$AB$5:$AF$125,5,0)*IF(Summary!$D$25="Included Margin",IF(AND($B374&gt;Input!$C$9,Summary!$D$31&lt;&gt;"Included Margin"),0,1),0))</f>
        <v>0.151</v>
      </c>
      <c r="AB374" s="147">
        <f>IF($E374="","",IF(AND($B374&gt;Input!$C$9,Summary!$D$31&lt;&gt;"Included Margin"),1,IF(Summary!$D$25="Included Margin",VLOOKUP($B374,'Mortality Margins &amp; Grading'!$AI$5:$AR$125,MATCH('Mortality Margins &amp; Grading'!$AQ$4,'Mortality Margins &amp; Grading'!$AI$4:$AR$4,0),0),1)))</f>
        <v>0.875</v>
      </c>
      <c r="AC374" s="154"/>
      <c r="AD374" s="158">
        <f>IF(E374="","",Input!$C$48*IF(Summary!$D$30="Included Margin",IF(AND($B374&gt;Input!$C$9,Summary!$D$31&lt;&gt;"Included Margin"),0,1),0))</f>
        <v>-4.4999999999999997E-3</v>
      </c>
      <c r="AE374" s="159">
        <f>IF(E374="","",IF(Summary!$D$26="Included Margin",IF(AND($B374&gt;Input!$C$9,Summary!$D$31&lt;&gt;"Included Margin"),1,1/$R374),1))</f>
        <v>1.162271470579443</v>
      </c>
      <c r="AF374" s="160">
        <f>IF(E374="","",IF(AND($B374&gt;=Input!$C$9,$C374=12,Summary!$D$31="Included Margin",$U374&gt;0),1/U374-1,IF($B374&gt;=Input!$C$9,0,Input!$C$45*IF(Summary!$D$27="Included Margin",1,0))))</f>
        <v>0</v>
      </c>
      <c r="AG374" s="160">
        <f>IF(E374="","",Input!$C$46*IF(Summary!$D$28="Included Margin",IF(AND($B374&gt;Input!$C$9,Summary!$D$31&lt;&gt;"Included Margin"),0,1),0))</f>
        <v>0.02</v>
      </c>
      <c r="AH374" s="158">
        <f>IF(E374="","",Input!$C$47*IF(Summary!$D$29="Included Margin",IF(AND($B374&gt;Input!$C$9,Summary!$D$31&lt;&gt;"Included Margin"),0,1),0))</f>
        <v>2.5000000000000001E-3</v>
      </c>
      <c r="AI374" s="154"/>
      <c r="AJ374" s="158">
        <f t="shared" si="230"/>
        <v>3.9130000000000005E-2</v>
      </c>
      <c r="AK374" s="155">
        <f t="shared" si="231"/>
        <v>3.2037731961160887E-3</v>
      </c>
      <c r="AL374" s="147">
        <f t="shared" si="232"/>
        <v>7.2161205025000008E-2</v>
      </c>
      <c r="AM374" s="147">
        <f t="shared" si="210"/>
        <v>6.2220021431009798E-3</v>
      </c>
      <c r="AN374" s="160">
        <f t="shared" si="233"/>
        <v>0</v>
      </c>
      <c r="AO374" s="161">
        <f t="shared" si="234"/>
        <v>0</v>
      </c>
      <c r="AP374" s="156">
        <f t="shared" si="211"/>
        <v>1.9493934405210187</v>
      </c>
      <c r="AQ374" s="152"/>
      <c r="AR374" s="162">
        <f t="shared" si="212"/>
        <v>1846.163403225313</v>
      </c>
      <c r="AS374" s="150">
        <f t="shared" si="235"/>
        <v>0</v>
      </c>
      <c r="AT374" s="163">
        <f t="shared" si="213"/>
        <v>0</v>
      </c>
      <c r="AU374" s="163">
        <f t="shared" si="214"/>
        <v>622.20021431009798</v>
      </c>
      <c r="AV374" s="163">
        <f t="shared" si="236"/>
        <v>4.9179946422915277</v>
      </c>
      <c r="AW374" s="163">
        <f t="shared" si="215"/>
        <v>7.6939832561251649</v>
      </c>
      <c r="AX374" s="163">
        <f t="shared" si="216"/>
        <v>0</v>
      </c>
      <c r="AY374" s="165">
        <f t="shared" si="237"/>
        <v>1236.5751668136318</v>
      </c>
      <c r="AZ374" s="164">
        <f>IF($E374="","",IF(OR(AND($D374=Input!$C$6,$C374=12),$AN374=1),0,-AS375+AT375+AU375-AV375-AW375-AX375+AZ375))</f>
        <v>1236.576760851221</v>
      </c>
      <c r="BA374" s="154">
        <f t="shared" si="217"/>
        <v>1.5940375892569136E-3</v>
      </c>
      <c r="BC374" s="147">
        <f t="shared" si="238"/>
        <v>2.1810270894032268E-2</v>
      </c>
      <c r="BD374" s="164">
        <f>IF(AND($C373=12,$D373=Input!$C$6),0,IF($E374="","",AT374+(AU374+BD375)/(1+$AK374)*MIN((1-AM374-AN374),1)))</f>
        <v>1177.4740164472264</v>
      </c>
      <c r="BE374" s="164">
        <f t="shared" si="218"/>
        <v>25.681027269398214</v>
      </c>
      <c r="BF374" s="164">
        <f t="shared" si="239"/>
        <v>1236.576760851221</v>
      </c>
      <c r="BG374" s="164">
        <f t="shared" si="219"/>
        <v>26.970074135430085</v>
      </c>
      <c r="BH374" s="152"/>
      <c r="BI374" s="162">
        <f t="shared" si="220"/>
        <v>-1209.1764964522645</v>
      </c>
      <c r="BJ374" s="150">
        <f t="shared" si="221"/>
        <v>0</v>
      </c>
      <c r="BK374" s="163">
        <f t="shared" si="243"/>
        <v>0</v>
      </c>
      <c r="BL374" s="163">
        <f t="shared" si="222"/>
        <v>492.06544024610332</v>
      </c>
      <c r="BM374" s="163">
        <f t="shared" si="244"/>
        <v>-5.1879541320947098</v>
      </c>
      <c r="BN374" s="163">
        <f t="shared" si="223"/>
        <v>-8.4382658650175788</v>
      </c>
      <c r="BO374" s="163">
        <f t="shared" si="224"/>
        <v>0</v>
      </c>
      <c r="BP374" s="164">
        <f t="shared" si="245"/>
        <v>-1714.8681566954801</v>
      </c>
      <c r="BQ374" s="164">
        <f>IF($E374="","",IF(AND($D374=Input!$C$6,$C374=12),0,-BJ375+BK375+BL375-BM375-BN375-BO375+BQ375))</f>
        <v>-1714.8665959546429</v>
      </c>
      <c r="BR374" s="161">
        <f t="shared" si="225"/>
        <v>0</v>
      </c>
      <c r="BT374" s="147">
        <f t="shared" si="226"/>
        <v>2.1810270894032268E-2</v>
      </c>
      <c r="BU374" s="164">
        <f>IF(AND($C373=12,$D373=Input!$C$6),0,IF($E374="","",BK374+(BL374+BU375)/(1+$AK374)*MIN((1-T374-U374),1)))</f>
        <v>39333.370423069537</v>
      </c>
      <c r="BV374" s="164">
        <f t="shared" si="227"/>
        <v>857.87146410246316</v>
      </c>
      <c r="BW374" s="164">
        <f t="shared" si="228"/>
        <v>-1714.8665959546429</v>
      </c>
      <c r="BX374" s="164">
        <f t="shared" si="229"/>
        <v>-37.401705004897742</v>
      </c>
    </row>
    <row r="375" spans="1:76" s="150" customFormat="1" x14ac:dyDescent="0.25">
      <c r="A375" s="150">
        <f t="shared" si="240"/>
        <v>371</v>
      </c>
      <c r="B375" s="150">
        <f t="shared" si="241"/>
        <v>31</v>
      </c>
      <c r="C375" s="150">
        <f t="shared" si="242"/>
        <v>11</v>
      </c>
      <c r="D375" s="150">
        <f>IF(E375="","",Input!$C$4+B375-1)</f>
        <v>75</v>
      </c>
      <c r="E375" s="150">
        <f>IF(OR(AND(C374=12,D374=Input!$C$6),E374=""),"",1)</f>
        <v>1</v>
      </c>
      <c r="F375" s="150">
        <f>IF(E375="","",Input!$C$8+B375-1)</f>
        <v>2048</v>
      </c>
      <c r="G375" s="151">
        <f>IF(E375="","",MAX(0,Input!$C$9-B375))</f>
        <v>0</v>
      </c>
      <c r="H375" s="152">
        <f>IF(E375="","",Input!$C$3)</f>
        <v>100000</v>
      </c>
      <c r="I375" s="153">
        <f>IF(E375="","",HLOOKUP($B375,Input!$C$13:$BT$14,2))</f>
        <v>59.387999999999998</v>
      </c>
      <c r="J375" s="154"/>
      <c r="K375" s="155">
        <f>IF($E375="","",INDEX(Input!$C$16:$CP$16,1,$B375))</f>
        <v>2.8629999999999999E-2</v>
      </c>
      <c r="L375" s="155">
        <f>IF($E375="","",Input!$C$37)</f>
        <v>1.4999999999999999E-2</v>
      </c>
      <c r="M375" s="155">
        <f t="shared" si="246"/>
        <v>4.3630000000000002E-2</v>
      </c>
      <c r="N375" s="155">
        <f t="shared" si="247"/>
        <v>3.5650915847715847E-3</v>
      </c>
      <c r="O375" s="147">
        <f>IF($E375="","",MIN(VLOOKUP(IF($B375&lt;=Input!$C$7,$B375,26),'Mortality Tables'!$A$41:$CW$67,IF($B375&lt;=Input!$C$7+1,Input!$C$4+2,$D375-Input!$C$7+2),0)*IF(B375&gt;20,Input!$C$22,1)/1000,1))</f>
        <v>6.6802400000000026E-2</v>
      </c>
      <c r="P375" s="147">
        <f>IF($E375="","",MIN(VLOOKUP(IF($B375&lt;=Input!$C$7,$B375,26),'Mortality Tables'!$A$12:$CW$37,IF($B375&lt;=Input!$C$7+1,Input!$C$4+2,$D375-Input!$C$7+2),0)*IF(B375&gt;20,Input!$C$22,1)/1000,1))</f>
        <v>8.3502999999999994E-2</v>
      </c>
      <c r="Q375" s="155">
        <f>IF($E375="","",Input!$C$21)</f>
        <v>5.0000000000000001E-3</v>
      </c>
      <c r="R375" s="159">
        <f>IF($E375="","",(1-Q375)^($F375-Input!$C$20))</f>
        <v>0.86038419191469639</v>
      </c>
      <c r="S375" s="147">
        <f t="shared" si="208"/>
        <v>5.7475728941962338E-2</v>
      </c>
      <c r="T375" s="147">
        <f t="shared" si="209"/>
        <v>4.9206544024610332E-3</v>
      </c>
      <c r="U375" s="160">
        <f>IF($E375="","",IF($C375=12,INDEX(Input!$C$15:$CP$15,1,$B375),0))</f>
        <v>0</v>
      </c>
      <c r="V375" s="150">
        <f>IF(E375="","",IF(C375=1,IF($B375=1,Input!$C$33,Input!$C$34),0))</f>
        <v>0</v>
      </c>
      <c r="W375" s="156">
        <f>IF($E375="","",Input!$C$35)</f>
        <v>0.02</v>
      </c>
      <c r="X375" s="156">
        <f t="shared" si="248"/>
        <v>1.8113615841033548</v>
      </c>
      <c r="Y375" s="154"/>
      <c r="Z375" s="147">
        <f>IF($E375="","",VLOOKUP($D375,'Mortality Margins &amp; Grading'!$AB$5:$AF$125,3,0)*IF(Summary!$D$25="Included Margin",IF(AND($B375&gt;Input!$C$9,Summary!$D$31&lt;&gt;"Included Margin"),0,1),0))</f>
        <v>2.9000000000000001E-2</v>
      </c>
      <c r="AA375" s="147">
        <f>IF($E375="","",VLOOKUP($D375,'Mortality Margins &amp; Grading'!$AB$5:$AF$125,5,0)*IF(Summary!$D$25="Included Margin",IF(AND($B375&gt;Input!$C$9,Summary!$D$31&lt;&gt;"Included Margin"),0,1),0))</f>
        <v>0.151</v>
      </c>
      <c r="AB375" s="147">
        <f>IF($E375="","",IF(AND($B375&gt;Input!$C$9,Summary!$D$31&lt;&gt;"Included Margin"),1,IF(Summary!$D$25="Included Margin",VLOOKUP($B375,'Mortality Margins &amp; Grading'!$AI$5:$AR$125,MATCH('Mortality Margins &amp; Grading'!$AQ$4,'Mortality Margins &amp; Grading'!$AI$4:$AR$4,0),0),1)))</f>
        <v>0.875</v>
      </c>
      <c r="AC375" s="154"/>
      <c r="AD375" s="158">
        <f>IF(E375="","",Input!$C$48*IF(Summary!$D$30="Included Margin",IF(AND($B375&gt;Input!$C$9,Summary!$D$31&lt;&gt;"Included Margin"),0,1),0))</f>
        <v>-4.4999999999999997E-3</v>
      </c>
      <c r="AE375" s="159">
        <f>IF(E375="","",IF(Summary!$D$26="Included Margin",IF(AND($B375&gt;Input!$C$9,Summary!$D$31&lt;&gt;"Included Margin"),1,1/$R375),1))</f>
        <v>1.162271470579443</v>
      </c>
      <c r="AF375" s="160">
        <f>IF(E375="","",IF(AND($B375&gt;=Input!$C$9,$C375=12,Summary!$D$31="Included Margin",$U375&gt;0),1/U375-1,IF($B375&gt;=Input!$C$9,0,Input!$C$45*IF(Summary!$D$27="Included Margin",1,0))))</f>
        <v>0</v>
      </c>
      <c r="AG375" s="160">
        <f>IF(E375="","",Input!$C$46*IF(Summary!$D$28="Included Margin",IF(AND($B375&gt;Input!$C$9,Summary!$D$31&lt;&gt;"Included Margin"),0,1),0))</f>
        <v>0.02</v>
      </c>
      <c r="AH375" s="158">
        <f>IF(E375="","",Input!$C$47*IF(Summary!$D$29="Included Margin",IF(AND($B375&gt;Input!$C$9,Summary!$D$31&lt;&gt;"Included Margin"),0,1),0))</f>
        <v>2.5000000000000001E-3</v>
      </c>
      <c r="AI375" s="154"/>
      <c r="AJ375" s="158">
        <f t="shared" si="230"/>
        <v>3.9130000000000005E-2</v>
      </c>
      <c r="AK375" s="155">
        <f t="shared" si="231"/>
        <v>3.2037731961160887E-3</v>
      </c>
      <c r="AL375" s="147">
        <f t="shared" si="232"/>
        <v>7.2161205025000008E-2</v>
      </c>
      <c r="AM375" s="147">
        <f t="shared" si="210"/>
        <v>6.2220021431009798E-3</v>
      </c>
      <c r="AN375" s="160">
        <f t="shared" si="233"/>
        <v>0</v>
      </c>
      <c r="AO375" s="161">
        <f t="shared" si="234"/>
        <v>0</v>
      </c>
      <c r="AP375" s="156">
        <f t="shared" si="211"/>
        <v>1.9493934405210187</v>
      </c>
      <c r="AQ375" s="152"/>
      <c r="AR375" s="162">
        <f t="shared" si="212"/>
        <v>1236.5751668136318</v>
      </c>
      <c r="AS375" s="150">
        <f t="shared" si="235"/>
        <v>0</v>
      </c>
      <c r="AT375" s="163">
        <f t="shared" si="213"/>
        <v>0</v>
      </c>
      <c r="AU375" s="163">
        <f t="shared" si="214"/>
        <v>622.20021431009798</v>
      </c>
      <c r="AV375" s="163">
        <f t="shared" si="236"/>
        <v>2.9650121898081054</v>
      </c>
      <c r="AW375" s="163">
        <f t="shared" si="215"/>
        <v>3.8651494697332378</v>
      </c>
      <c r="AX375" s="163">
        <f t="shared" si="216"/>
        <v>0</v>
      </c>
      <c r="AY375" s="164">
        <f t="shared" si="237"/>
        <v>621.20511416307511</v>
      </c>
      <c r="AZ375" s="164">
        <f>IF($E375="","",IF(OR(AND($D375=Input!$C$6,$C375=12),$AN375=1),0,-AS376+AT376+AU376-AV376-AW376-AX376+AZ376))</f>
        <v>621.20670820066425</v>
      </c>
      <c r="BA375" s="154">
        <f t="shared" si="217"/>
        <v>1.5940375891432268E-3</v>
      </c>
      <c r="BC375" s="147">
        <f t="shared" si="238"/>
        <v>2.1702950088538682E-2</v>
      </c>
      <c r="BD375" s="164">
        <f>IF(AND($C374=12,$D374=Input!$C$6),0,IF($E375="","",AT375+(AU375+BD376)/(1+$AK375)*MIN((1-AM375-AN375),1)))</f>
        <v>566.44189558529445</v>
      </c>
      <c r="BE375" s="164">
        <f t="shared" si="218"/>
        <v>12.293460187944884</v>
      </c>
      <c r="BF375" s="164">
        <f t="shared" si="239"/>
        <v>621.20670820066425</v>
      </c>
      <c r="BG375" s="164">
        <f t="shared" si="219"/>
        <v>13.482018182744429</v>
      </c>
      <c r="BH375" s="152"/>
      <c r="BI375" s="162">
        <f t="shared" si="220"/>
        <v>-1714.8681566954801</v>
      </c>
      <c r="BJ375" s="150">
        <f t="shared" si="221"/>
        <v>0</v>
      </c>
      <c r="BK375" s="163">
        <f t="shared" si="243"/>
        <v>0</v>
      </c>
      <c r="BL375" s="163">
        <f t="shared" si="222"/>
        <v>492.06544024610332</v>
      </c>
      <c r="BM375" s="163">
        <f t="shared" si="244"/>
        <v>-6.9907912145169693</v>
      </c>
      <c r="BN375" s="163">
        <f t="shared" si="223"/>
        <v>-10.947819543865764</v>
      </c>
      <c r="BO375" s="163">
        <f t="shared" si="224"/>
        <v>0</v>
      </c>
      <c r="BP375" s="164">
        <f t="shared" si="245"/>
        <v>-2224.8722076999661</v>
      </c>
      <c r="BQ375" s="164">
        <f>IF($E375="","",IF(AND($D375=Input!$C$6,$C375=12),0,-BJ376+BK376+BL376-BM376-BN376-BO376+BQ376))</f>
        <v>-2224.8706469591289</v>
      </c>
      <c r="BR375" s="161">
        <f t="shared" si="225"/>
        <v>0</v>
      </c>
      <c r="BT375" s="147">
        <f t="shared" si="226"/>
        <v>2.1702950088538682E-2</v>
      </c>
      <c r="BU375" s="164">
        <f>IF(AND($C374=12,$D374=Input!$C$6),0,IF($E375="","",BK375+(BL375+BU376)/(1+$AK375)*MIN((1-T375-U375),1)))</f>
        <v>39162.44632861064</v>
      </c>
      <c r="BV375" s="164">
        <f t="shared" si="227"/>
        <v>849.94061801491171</v>
      </c>
      <c r="BW375" s="164">
        <f t="shared" si="228"/>
        <v>-2224.8706469591289</v>
      </c>
      <c r="BX375" s="164">
        <f t="shared" si="229"/>
        <v>-48.286256604408742</v>
      </c>
    </row>
    <row r="376" spans="1:76" s="150" customFormat="1" x14ac:dyDescent="0.25">
      <c r="A376" s="150">
        <f t="shared" si="240"/>
        <v>372</v>
      </c>
      <c r="B376" s="150">
        <f t="shared" si="241"/>
        <v>31</v>
      </c>
      <c r="C376" s="150">
        <f t="shared" si="242"/>
        <v>12</v>
      </c>
      <c r="D376" s="150">
        <f>IF(E376="","",Input!$C$4+B376-1)</f>
        <v>75</v>
      </c>
      <c r="E376" s="150">
        <f>IF(OR(AND(C375=12,D375=Input!$C$6),E375=""),"",1)</f>
        <v>1</v>
      </c>
      <c r="F376" s="150">
        <f>IF(E376="","",Input!$C$8+B376-1)</f>
        <v>2048</v>
      </c>
      <c r="G376" s="151">
        <f>IF(E376="","",MAX(0,Input!$C$9-B376))</f>
        <v>0</v>
      </c>
      <c r="H376" s="152">
        <f>IF(E376="","",Input!$C$3)</f>
        <v>100000</v>
      </c>
      <c r="I376" s="153">
        <f>IF(E376="","",HLOOKUP($B376,Input!$C$13:$BT$14,2))</f>
        <v>59.387999999999998</v>
      </c>
      <c r="J376" s="154"/>
      <c r="K376" s="155">
        <f>IF($E376="","",INDEX(Input!$C$16:$CP$16,1,$B376))</f>
        <v>2.8629999999999999E-2</v>
      </c>
      <c r="L376" s="155">
        <f>IF($E376="","",Input!$C$37)</f>
        <v>1.4999999999999999E-2</v>
      </c>
      <c r="M376" s="155">
        <f t="shared" si="246"/>
        <v>4.3630000000000002E-2</v>
      </c>
      <c r="N376" s="155">
        <f t="shared" si="247"/>
        <v>3.5650915847715847E-3</v>
      </c>
      <c r="O376" s="147">
        <f>IF($E376="","",MIN(VLOOKUP(IF($B376&lt;=Input!$C$7,$B376,26),'Mortality Tables'!$A$41:$CW$67,IF($B376&lt;=Input!$C$7+1,Input!$C$4+2,$D376-Input!$C$7+2),0)*IF(B376&gt;20,Input!$C$22,1)/1000,1))</f>
        <v>6.6802400000000026E-2</v>
      </c>
      <c r="P376" s="147">
        <f>IF($E376="","",MIN(VLOOKUP(IF($B376&lt;=Input!$C$7,$B376,26),'Mortality Tables'!$A$12:$CW$37,IF($B376&lt;=Input!$C$7+1,Input!$C$4+2,$D376-Input!$C$7+2),0)*IF(B376&gt;20,Input!$C$22,1)/1000,1))</f>
        <v>8.3502999999999994E-2</v>
      </c>
      <c r="Q376" s="155">
        <f>IF($E376="","",Input!$C$21)</f>
        <v>5.0000000000000001E-3</v>
      </c>
      <c r="R376" s="159">
        <f>IF($E376="","",(1-Q376)^($F376-Input!$C$20))</f>
        <v>0.86038419191469639</v>
      </c>
      <c r="S376" s="147">
        <f t="shared" si="208"/>
        <v>5.7475728941962338E-2</v>
      </c>
      <c r="T376" s="147">
        <f t="shared" si="209"/>
        <v>4.9206544024610332E-3</v>
      </c>
      <c r="U376" s="160">
        <f>IF($E376="","",IF($C376=12,INDEX(Input!$C$15:$CP$15,1,$B376),0))</f>
        <v>0.1</v>
      </c>
      <c r="V376" s="150">
        <f>IF(E376="","",IF(C376=1,IF($B376=1,Input!$C$33,Input!$C$34),0))</f>
        <v>0</v>
      </c>
      <c r="W376" s="156">
        <f>IF($E376="","",Input!$C$35)</f>
        <v>0.02</v>
      </c>
      <c r="X376" s="156">
        <f t="shared" si="248"/>
        <v>1.8113615841033548</v>
      </c>
      <c r="Y376" s="154"/>
      <c r="Z376" s="147">
        <f>IF($E376="","",VLOOKUP($D376,'Mortality Margins &amp; Grading'!$AB$5:$AF$125,3,0)*IF(Summary!$D$25="Included Margin",IF(AND($B376&gt;Input!$C$9,Summary!$D$31&lt;&gt;"Included Margin"),0,1),0))</f>
        <v>2.9000000000000001E-2</v>
      </c>
      <c r="AA376" s="147">
        <f>IF($E376="","",VLOOKUP($D376,'Mortality Margins &amp; Grading'!$AB$5:$AF$125,5,0)*IF(Summary!$D$25="Included Margin",IF(AND($B376&gt;Input!$C$9,Summary!$D$31&lt;&gt;"Included Margin"),0,1),0))</f>
        <v>0.151</v>
      </c>
      <c r="AB376" s="147">
        <f>IF($E376="","",IF(AND($B376&gt;Input!$C$9,Summary!$D$31&lt;&gt;"Included Margin"),1,IF(Summary!$D$25="Included Margin",VLOOKUP($B376,'Mortality Margins &amp; Grading'!$AI$5:$AR$125,MATCH('Mortality Margins &amp; Grading'!$AQ$4,'Mortality Margins &amp; Grading'!$AI$4:$AR$4,0),0),1)))</f>
        <v>0.875</v>
      </c>
      <c r="AC376" s="154"/>
      <c r="AD376" s="158">
        <f>IF(E376="","",Input!$C$48*IF(Summary!$D$30="Included Margin",IF(AND($B376&gt;Input!$C$9,Summary!$D$31&lt;&gt;"Included Margin"),0,1),0))</f>
        <v>-4.4999999999999997E-3</v>
      </c>
      <c r="AE376" s="159">
        <f>IF(E376="","",IF(Summary!$D$26="Included Margin",IF(AND($B376&gt;Input!$C$9,Summary!$D$31&lt;&gt;"Included Margin"),1,1/$R376),1))</f>
        <v>1.162271470579443</v>
      </c>
      <c r="AF376" s="160">
        <f>IF(E376="","",IF(AND($B376&gt;=Input!$C$9,$C376=12,Summary!$D$31="Included Margin",$U376&gt;0),1/U376-1,IF($B376&gt;=Input!$C$9,0,Input!$C$45*IF(Summary!$D$27="Included Margin",1,0))))</f>
        <v>9</v>
      </c>
      <c r="AG376" s="160">
        <f>IF(E376="","",Input!$C$46*IF(Summary!$D$28="Included Margin",IF(AND($B376&gt;Input!$C$9,Summary!$D$31&lt;&gt;"Included Margin"),0,1),0))</f>
        <v>0.02</v>
      </c>
      <c r="AH376" s="158">
        <f>IF(E376="","",Input!$C$47*IF(Summary!$D$29="Included Margin",IF(AND($B376&gt;Input!$C$9,Summary!$D$31&lt;&gt;"Included Margin"),0,1),0))</f>
        <v>2.5000000000000001E-3</v>
      </c>
      <c r="AI376" s="154"/>
      <c r="AJ376" s="158">
        <f t="shared" si="230"/>
        <v>3.9130000000000005E-2</v>
      </c>
      <c r="AK376" s="155">
        <f t="shared" si="231"/>
        <v>3.2037731961160887E-3</v>
      </c>
      <c r="AL376" s="147">
        <f t="shared" si="232"/>
        <v>7.2161205025000008E-2</v>
      </c>
      <c r="AM376" s="147">
        <f t="shared" si="210"/>
        <v>6.2220021431009798E-3</v>
      </c>
      <c r="AN376" s="160">
        <f t="shared" si="233"/>
        <v>1</v>
      </c>
      <c r="AO376" s="161">
        <f t="shared" si="234"/>
        <v>0</v>
      </c>
      <c r="AP376" s="156">
        <f t="shared" si="211"/>
        <v>1.9493934405210187</v>
      </c>
      <c r="AQ376" s="152"/>
      <c r="AR376" s="162">
        <f t="shared" si="212"/>
        <v>621.205114163075</v>
      </c>
      <c r="AS376" s="150">
        <f t="shared" si="235"/>
        <v>0</v>
      </c>
      <c r="AT376" s="163">
        <f t="shared" si="213"/>
        <v>0</v>
      </c>
      <c r="AU376" s="163">
        <f t="shared" si="214"/>
        <v>622.20021431009798</v>
      </c>
      <c r="AV376" s="163">
        <f t="shared" si="236"/>
        <v>0.99350610943370554</v>
      </c>
      <c r="AW376" s="163">
        <f t="shared" si="215"/>
        <v>0</v>
      </c>
      <c r="AX376" s="163">
        <f t="shared" si="216"/>
        <v>0</v>
      </c>
      <c r="AY376" s="165">
        <f t="shared" si="237"/>
        <v>-1.5940375892756764E-3</v>
      </c>
      <c r="AZ376" s="164">
        <f>IF($E376="","",IF(OR(AND($D376=Input!$C$6,$C376=12),$AN376=1),0,-AS377+AT377+AU377-AV377-AW377-AX377+AZ377))</f>
        <v>0</v>
      </c>
      <c r="BA376" s="154">
        <f t="shared" si="217"/>
        <v>1.5940375892756764E-3</v>
      </c>
      <c r="BC376" s="147">
        <f t="shared" si="238"/>
        <v>1.9425862362785255E-2</v>
      </c>
      <c r="BD376" s="164">
        <f>IF(AND($C375=12,$D375=Input!$C$6),0,IF($E376="","",AT376+(AU376+BD377)/(1+$AK376)*MIN((1-AM376-AN376),1)))</f>
        <v>-50.385736455905246</v>
      </c>
      <c r="BE376" s="164">
        <f t="shared" si="218"/>
        <v>-0.97878638143998664</v>
      </c>
      <c r="BF376" s="164">
        <f t="shared" si="239"/>
        <v>0</v>
      </c>
      <c r="BG376" s="164">
        <f t="shared" si="219"/>
        <v>0</v>
      </c>
      <c r="BH376" s="152"/>
      <c r="BI376" s="162">
        <f t="shared" si="220"/>
        <v>-2224.8722076999661</v>
      </c>
      <c r="BJ376" s="150">
        <f t="shared" si="221"/>
        <v>0</v>
      </c>
      <c r="BK376" s="163">
        <f t="shared" si="243"/>
        <v>0</v>
      </c>
      <c r="BL376" s="163">
        <f t="shared" si="222"/>
        <v>492.06544024610332</v>
      </c>
      <c r="BM376" s="163">
        <f t="shared" si="244"/>
        <v>-8.8090023649524802</v>
      </c>
      <c r="BN376" s="163">
        <f t="shared" si="223"/>
        <v>-14.976415514914407</v>
      </c>
      <c r="BO376" s="163">
        <f t="shared" si="224"/>
        <v>-302.8605655077983</v>
      </c>
      <c r="BP376" s="164">
        <f t="shared" si="245"/>
        <v>-3043.5836313337345</v>
      </c>
      <c r="BQ376" s="164">
        <f>IF($E376="","",IF(AND($D376=Input!$C$6,$C376=12),0,-BJ377+BK377+BL377-BM377-BN377-BO377+BQ377))</f>
        <v>-3043.5820705928973</v>
      </c>
      <c r="BR376" s="161">
        <f t="shared" si="225"/>
        <v>0</v>
      </c>
      <c r="BT376" s="147">
        <f t="shared" si="226"/>
        <v>1.9425862362785255E-2</v>
      </c>
      <c r="BU376" s="164">
        <f>IF(AND($C375=12,$D375=Input!$C$6),0,IF($E376="","",BK376+(BL376+BU377)/(1+$AK376)*MIN((1-T376-U376),1)))</f>
        <v>38990.126706813717</v>
      </c>
      <c r="BV376" s="164">
        <f t="shared" si="227"/>
        <v>757.41683491412084</v>
      </c>
      <c r="BW376" s="164">
        <f t="shared" si="228"/>
        <v>-3043.5820705928973</v>
      </c>
      <c r="BX376" s="164">
        <f t="shared" si="229"/>
        <v>-59.124206393178582</v>
      </c>
    </row>
    <row r="377" spans="1:76" s="150" customFormat="1" x14ac:dyDescent="0.25">
      <c r="A377" s="150">
        <f t="shared" si="240"/>
        <v>373</v>
      </c>
      <c r="B377" s="150">
        <f t="shared" si="241"/>
        <v>32</v>
      </c>
      <c r="C377" s="150">
        <f t="shared" si="242"/>
        <v>1</v>
      </c>
      <c r="D377" s="150">
        <f>IF(E377="","",Input!$C$4+B377-1)</f>
        <v>76</v>
      </c>
      <c r="E377" s="150">
        <f>IF(OR(AND(C376=12,D376=Input!$C$6),E376=""),"",1)</f>
        <v>1</v>
      </c>
      <c r="F377" s="150">
        <f>IF(E377="","",Input!$C$8+B377-1)</f>
        <v>2049</v>
      </c>
      <c r="G377" s="151">
        <f>IF(E377="","",MAX(0,Input!$C$9-B377))</f>
        <v>0</v>
      </c>
      <c r="H377" s="152">
        <f>IF(E377="","",Input!$C$3)</f>
        <v>100000</v>
      </c>
      <c r="I377" s="153">
        <f>IF(E377="","",HLOOKUP($B377,Input!$C$13:$BT$14,2))</f>
        <v>66.934000000000012</v>
      </c>
      <c r="J377" s="154"/>
      <c r="K377" s="155">
        <f>IF($E377="","",INDEX(Input!$C$16:$CP$16,1,$B377))</f>
        <v>2.9000000000000001E-2</v>
      </c>
      <c r="L377" s="155">
        <f>IF($E377="","",Input!$C$37)</f>
        <v>1.4999999999999999E-2</v>
      </c>
      <c r="M377" s="155">
        <f t="shared" si="246"/>
        <v>4.3999999999999997E-2</v>
      </c>
      <c r="N377" s="155">
        <f t="shared" si="247"/>
        <v>3.5947364110451296E-3</v>
      </c>
      <c r="O377" s="147">
        <f>IF($E377="","",MIN(VLOOKUP(IF($B377&lt;=Input!$C$7,$B377,26),'Mortality Tables'!$A$41:$CW$67,IF($B377&lt;=Input!$C$7+1,Input!$C$4+2,$D377-Input!$C$7+2),0)*IF(B377&gt;20,Input!$C$22,1)/1000,1))</f>
        <v>7.5366000000000016E-2</v>
      </c>
      <c r="P377" s="147">
        <f>IF($E377="","",MIN(VLOOKUP(IF($B377&lt;=Input!$C$7,$B377,26),'Mortality Tables'!$A$12:$CW$37,IF($B377&lt;=Input!$C$7+1,Input!$C$4+2,$D377-Input!$C$7+2),0)*IF(B377&gt;20,Input!$C$22,1)/1000,1))</f>
        <v>9.4207500000000013E-2</v>
      </c>
      <c r="Q377" s="155">
        <f>IF($E377="","",Input!$C$21)</f>
        <v>5.0000000000000001E-3</v>
      </c>
      <c r="R377" s="159">
        <f>IF($E377="","",(1-Q377)^($F377-Input!$C$20))</f>
        <v>0.8560822709551229</v>
      </c>
      <c r="S377" s="147">
        <f t="shared" si="208"/>
        <v>6.4519496432803802E-2</v>
      </c>
      <c r="T377" s="147">
        <f t="shared" si="209"/>
        <v>5.5424978794900159E-3</v>
      </c>
      <c r="U377" s="160">
        <f>IF($E377="","",IF($C377=12,INDEX(Input!$C$15:$CP$15,1,$B377),0))</f>
        <v>0</v>
      </c>
      <c r="V377" s="150">
        <f>IF(E377="","",IF(C377=1,IF($B377=1,Input!$C$33,Input!$C$34),0))</f>
        <v>50</v>
      </c>
      <c r="W377" s="156">
        <f>IF($E377="","",Input!$C$35)</f>
        <v>0.02</v>
      </c>
      <c r="X377" s="156">
        <f t="shared" si="248"/>
        <v>1.8475888157854219</v>
      </c>
      <c r="Y377" s="154"/>
      <c r="Z377" s="147">
        <f>IF($E377="","",VLOOKUP($D377,'Mortality Margins &amp; Grading'!$AB$5:$AF$125,3,0)*IF(Summary!$D$25="Included Margin",IF(AND($B377&gt;Input!$C$9,Summary!$D$31&lt;&gt;"Included Margin"),0,1),0))</f>
        <v>2.9000000000000001E-2</v>
      </c>
      <c r="AA377" s="147">
        <f>IF($E377="","",VLOOKUP($D377,'Mortality Margins &amp; Grading'!$AB$5:$AF$125,5,0)*IF(Summary!$D$25="Included Margin",IF(AND($B377&gt;Input!$C$9,Summary!$D$31&lt;&gt;"Included Margin"),0,1),0))</f>
        <v>0.14599999999999999</v>
      </c>
      <c r="AB377" s="147">
        <f>IF($E377="","",IF(AND($B377&gt;Input!$C$9,Summary!$D$31&lt;&gt;"Included Margin"),1,IF(Summary!$D$25="Included Margin",VLOOKUP($B377,'Mortality Margins &amp; Grading'!$AI$5:$AR$125,MATCH('Mortality Margins &amp; Grading'!$AQ$4,'Mortality Margins &amp; Grading'!$AI$4:$AR$4,0),0),1)))</f>
        <v>0.8125</v>
      </c>
      <c r="AC377" s="154"/>
      <c r="AD377" s="158">
        <f>IF(E377="","",Input!$C$48*IF(Summary!$D$30="Included Margin",IF(AND($B377&gt;Input!$C$9,Summary!$D$31&lt;&gt;"Included Margin"),0,1),0))</f>
        <v>-4.4999999999999997E-3</v>
      </c>
      <c r="AE377" s="159">
        <f>IF(E377="","",IF(Summary!$D$26="Included Margin",IF(AND($B377&gt;Input!$C$9,Summary!$D$31&lt;&gt;"Included Margin"),1,1/$R377),1))</f>
        <v>1.1681120307331088</v>
      </c>
      <c r="AF377" s="160">
        <f>IF(E377="","",IF(AND($B377&gt;=Input!$C$9,$C377=12,Summary!$D$31="Included Margin",$U377&gt;0),1/U377-1,IF($B377&gt;=Input!$C$9,0,Input!$C$45*IF(Summary!$D$27="Included Margin",1,0))))</f>
        <v>0</v>
      </c>
      <c r="AG377" s="160">
        <f>IF(E377="","",Input!$C$46*IF(Summary!$D$28="Included Margin",IF(AND($B377&gt;Input!$C$9,Summary!$D$31&lt;&gt;"Included Margin"),0,1),0))</f>
        <v>0.02</v>
      </c>
      <c r="AH377" s="158">
        <f>IF(E377="","",Input!$C$47*IF(Summary!$D$29="Included Margin",IF(AND($B377&gt;Input!$C$9,Summary!$D$31&lt;&gt;"Included Margin"),0,1),0))</f>
        <v>2.5000000000000001E-3</v>
      </c>
      <c r="AI377" s="154"/>
      <c r="AJ377" s="158">
        <f t="shared" si="230"/>
        <v>3.95E-2</v>
      </c>
      <c r="AK377" s="155">
        <f t="shared" si="231"/>
        <v>3.2335356603379051E-3</v>
      </c>
      <c r="AL377" s="147">
        <f t="shared" si="232"/>
        <v>8.3253522937500019E-2</v>
      </c>
      <c r="AM377" s="147">
        <f t="shared" si="210"/>
        <v>7.217520597157745E-3</v>
      </c>
      <c r="AN377" s="160">
        <f t="shared" si="233"/>
        <v>0</v>
      </c>
      <c r="AO377" s="161">
        <f t="shared" si="234"/>
        <v>51</v>
      </c>
      <c r="AP377" s="156">
        <f t="shared" si="211"/>
        <v>1.9932547929327415</v>
      </c>
      <c r="AQ377" s="152"/>
      <c r="AR377" s="162">
        <f t="shared" si="212"/>
        <v>1576.6900538996601</v>
      </c>
      <c r="AS377" s="150">
        <f t="shared" si="235"/>
        <v>6693.4000000000005</v>
      </c>
      <c r="AT377" s="163">
        <f t="shared" si="213"/>
        <v>101.65599443956982</v>
      </c>
      <c r="AU377" s="163">
        <f t="shared" si="214"/>
        <v>721.75205971577452</v>
      </c>
      <c r="AV377" s="163">
        <f t="shared" si="236"/>
        <v>25.246017308876276</v>
      </c>
      <c r="AW377" s="163">
        <f t="shared" si="215"/>
        <v>54.320869956029867</v>
      </c>
      <c r="AX377" s="163">
        <f t="shared" si="216"/>
        <v>0</v>
      </c>
      <c r="AY377" s="164">
        <f t="shared" si="237"/>
        <v>7526.2488870092238</v>
      </c>
      <c r="AZ377" s="164">
        <f>IF($E377="","",IF(OR(AND($D377=Input!$C$6,$C377=12),$AN377=1),0,-AS378+AT378+AU378-AV378-AW378-AX378+AZ378))</f>
        <v>7526.2507705792195</v>
      </c>
      <c r="BA377" s="154">
        <f t="shared" si="217"/>
        <v>1.8835699956980534E-3</v>
      </c>
      <c r="BC377" s="147">
        <f t="shared" si="238"/>
        <v>1.9318194561832255E-2</v>
      </c>
      <c r="BD377" s="164">
        <f>IF(AND($C376=12,$D376=Input!$C$6),0,IF($E377="","",AT377+(AU377+BD378)/(1+$AK377)*MIN((1-AM377-AN377),1)))</f>
        <v>7501.7379916380396</v>
      </c>
      <c r="BE377" s="164">
        <f t="shared" si="218"/>
        <v>144.9200340743524</v>
      </c>
      <c r="BF377" s="164">
        <f t="shared" si="239"/>
        <v>7526.2507705792195</v>
      </c>
      <c r="BG377" s="164">
        <f t="shared" si="219"/>
        <v>145.39357670718928</v>
      </c>
      <c r="BH377" s="152"/>
      <c r="BI377" s="162">
        <f t="shared" si="220"/>
        <v>-3043.5838579023784</v>
      </c>
      <c r="BJ377" s="150">
        <f t="shared" si="221"/>
        <v>6693.4000000000005</v>
      </c>
      <c r="BK377" s="163">
        <f t="shared" si="243"/>
        <v>92.379440789271101</v>
      </c>
      <c r="BL377" s="163">
        <f t="shared" si="222"/>
        <v>554.24978794900164</v>
      </c>
      <c r="BM377" s="163">
        <f t="shared" si="244"/>
        <v>11.791856293404248</v>
      </c>
      <c r="BN377" s="163">
        <f t="shared" si="223"/>
        <v>16.803657580172597</v>
      </c>
      <c r="BO377" s="163">
        <f t="shared" si="224"/>
        <v>0</v>
      </c>
      <c r="BP377" s="164">
        <f t="shared" si="245"/>
        <v>3031.7824272329262</v>
      </c>
      <c r="BQ377" s="164">
        <f>IF($E377="","",IF(AND($D377=Input!$C$6,$C377=12),0,-BJ378+BK378+BL378-BM378-BN378-BO378+BQ378))</f>
        <v>3031.7842145424074</v>
      </c>
      <c r="BR377" s="161">
        <f t="shared" si="225"/>
        <v>0</v>
      </c>
      <c r="BT377" s="147">
        <f t="shared" si="226"/>
        <v>1.9318194561832255E-2</v>
      </c>
      <c r="BU377" s="164">
        <f>IF(AND($C376=12,$D376=Input!$C$6),0,IF($E377="","",BK377+(BL377+BU378)/(1+$AK377)*MIN((1-T377-U377),1)))</f>
        <v>43208.018157993647</v>
      </c>
      <c r="BV377" s="164">
        <f t="shared" si="227"/>
        <v>834.70090140730224</v>
      </c>
      <c r="BW377" s="164">
        <f t="shared" si="228"/>
        <v>3031.7842145424074</v>
      </c>
      <c r="BX377" s="164">
        <f t="shared" si="229"/>
        <v>58.568597326022008</v>
      </c>
    </row>
    <row r="378" spans="1:76" s="150" customFormat="1" x14ac:dyDescent="0.25">
      <c r="A378" s="150">
        <f t="shared" si="240"/>
        <v>374</v>
      </c>
      <c r="B378" s="150">
        <f t="shared" si="241"/>
        <v>32</v>
      </c>
      <c r="C378" s="150">
        <f t="shared" si="242"/>
        <v>2</v>
      </c>
      <c r="D378" s="150">
        <f>IF(E378="","",Input!$C$4+B378-1)</f>
        <v>76</v>
      </c>
      <c r="E378" s="150">
        <f>IF(OR(AND(C377=12,D377=Input!$C$6),E377=""),"",1)</f>
        <v>1</v>
      </c>
      <c r="F378" s="150">
        <f>IF(E378="","",Input!$C$8+B378-1)</f>
        <v>2049</v>
      </c>
      <c r="G378" s="151">
        <f>IF(E378="","",MAX(0,Input!$C$9-B378))</f>
        <v>0</v>
      </c>
      <c r="H378" s="152">
        <f>IF(E378="","",Input!$C$3)</f>
        <v>100000</v>
      </c>
      <c r="I378" s="153">
        <f>IF(E378="","",HLOOKUP($B378,Input!$C$13:$BT$14,2))</f>
        <v>66.934000000000012</v>
      </c>
      <c r="J378" s="154"/>
      <c r="K378" s="155">
        <f>IF($E378="","",INDEX(Input!$C$16:$CP$16,1,$B378))</f>
        <v>2.9000000000000001E-2</v>
      </c>
      <c r="L378" s="155">
        <f>IF($E378="","",Input!$C$37)</f>
        <v>1.4999999999999999E-2</v>
      </c>
      <c r="M378" s="155">
        <f t="shared" si="246"/>
        <v>4.3999999999999997E-2</v>
      </c>
      <c r="N378" s="155">
        <f t="shared" si="247"/>
        <v>3.5947364110451296E-3</v>
      </c>
      <c r="O378" s="147">
        <f>IF($E378="","",MIN(VLOOKUP(IF($B378&lt;=Input!$C$7,$B378,26),'Mortality Tables'!$A$41:$CW$67,IF($B378&lt;=Input!$C$7+1,Input!$C$4+2,$D378-Input!$C$7+2),0)*IF(B378&gt;20,Input!$C$22,1)/1000,1))</f>
        <v>7.5366000000000016E-2</v>
      </c>
      <c r="P378" s="147">
        <f>IF($E378="","",MIN(VLOOKUP(IF($B378&lt;=Input!$C$7,$B378,26),'Mortality Tables'!$A$12:$CW$37,IF($B378&lt;=Input!$C$7+1,Input!$C$4+2,$D378-Input!$C$7+2),0)*IF(B378&gt;20,Input!$C$22,1)/1000,1))</f>
        <v>9.4207500000000013E-2</v>
      </c>
      <c r="Q378" s="155">
        <f>IF($E378="","",Input!$C$21)</f>
        <v>5.0000000000000001E-3</v>
      </c>
      <c r="R378" s="159">
        <f>IF($E378="","",(1-Q378)^($F378-Input!$C$20))</f>
        <v>0.8560822709551229</v>
      </c>
      <c r="S378" s="147">
        <f t="shared" si="208"/>
        <v>6.4519496432803802E-2</v>
      </c>
      <c r="T378" s="147">
        <f t="shared" si="209"/>
        <v>5.5424978794900159E-3</v>
      </c>
      <c r="U378" s="160">
        <f>IF($E378="","",IF($C378=12,INDEX(Input!$C$15:$CP$15,1,$B378),0))</f>
        <v>0</v>
      </c>
      <c r="V378" s="150">
        <f>IF(E378="","",IF(C378=1,IF($B378=1,Input!$C$33,Input!$C$34),0))</f>
        <v>0</v>
      </c>
      <c r="W378" s="156">
        <f>IF($E378="","",Input!$C$35)</f>
        <v>0.02</v>
      </c>
      <c r="X378" s="156">
        <f t="shared" si="248"/>
        <v>1.8475888157854219</v>
      </c>
      <c r="Y378" s="154"/>
      <c r="Z378" s="147">
        <f>IF($E378="","",VLOOKUP($D378,'Mortality Margins &amp; Grading'!$AB$5:$AF$125,3,0)*IF(Summary!$D$25="Included Margin",IF(AND($B378&gt;Input!$C$9,Summary!$D$31&lt;&gt;"Included Margin"),0,1),0))</f>
        <v>2.9000000000000001E-2</v>
      </c>
      <c r="AA378" s="147">
        <f>IF($E378="","",VLOOKUP($D378,'Mortality Margins &amp; Grading'!$AB$5:$AF$125,5,0)*IF(Summary!$D$25="Included Margin",IF(AND($B378&gt;Input!$C$9,Summary!$D$31&lt;&gt;"Included Margin"),0,1),0))</f>
        <v>0.14599999999999999</v>
      </c>
      <c r="AB378" s="147">
        <f>IF($E378="","",IF(AND($B378&gt;Input!$C$9,Summary!$D$31&lt;&gt;"Included Margin"),1,IF(Summary!$D$25="Included Margin",VLOOKUP($B378,'Mortality Margins &amp; Grading'!$AI$5:$AR$125,MATCH('Mortality Margins &amp; Grading'!$AQ$4,'Mortality Margins &amp; Grading'!$AI$4:$AR$4,0),0),1)))</f>
        <v>0.8125</v>
      </c>
      <c r="AC378" s="154"/>
      <c r="AD378" s="158">
        <f>IF(E378="","",Input!$C$48*IF(Summary!$D$30="Included Margin",IF(AND($B378&gt;Input!$C$9,Summary!$D$31&lt;&gt;"Included Margin"),0,1),0))</f>
        <v>-4.4999999999999997E-3</v>
      </c>
      <c r="AE378" s="159">
        <f>IF(E378="","",IF(Summary!$D$26="Included Margin",IF(AND($B378&gt;Input!$C$9,Summary!$D$31&lt;&gt;"Included Margin"),1,1/$R378),1))</f>
        <v>1.1681120307331088</v>
      </c>
      <c r="AF378" s="160">
        <f>IF(E378="","",IF(AND($B378&gt;=Input!$C$9,$C378=12,Summary!$D$31="Included Margin",$U378&gt;0),1/U378-1,IF($B378&gt;=Input!$C$9,0,Input!$C$45*IF(Summary!$D$27="Included Margin",1,0))))</f>
        <v>0</v>
      </c>
      <c r="AG378" s="160">
        <f>IF(E378="","",Input!$C$46*IF(Summary!$D$28="Included Margin",IF(AND($B378&gt;Input!$C$9,Summary!$D$31&lt;&gt;"Included Margin"),0,1),0))</f>
        <v>0.02</v>
      </c>
      <c r="AH378" s="158">
        <f>IF(E378="","",Input!$C$47*IF(Summary!$D$29="Included Margin",IF(AND($B378&gt;Input!$C$9,Summary!$D$31&lt;&gt;"Included Margin"),0,1),0))</f>
        <v>2.5000000000000001E-3</v>
      </c>
      <c r="AI378" s="154"/>
      <c r="AJ378" s="158">
        <f t="shared" si="230"/>
        <v>3.95E-2</v>
      </c>
      <c r="AK378" s="155">
        <f t="shared" si="231"/>
        <v>3.2335356603379051E-3</v>
      </c>
      <c r="AL378" s="147">
        <f t="shared" si="232"/>
        <v>8.3253522937500019E-2</v>
      </c>
      <c r="AM378" s="147">
        <f t="shared" si="210"/>
        <v>7.217520597157745E-3</v>
      </c>
      <c r="AN378" s="160">
        <f t="shared" si="233"/>
        <v>0</v>
      </c>
      <c r="AO378" s="161">
        <f t="shared" si="234"/>
        <v>0</v>
      </c>
      <c r="AP378" s="156">
        <f t="shared" si="211"/>
        <v>1.9932547929327415</v>
      </c>
      <c r="AQ378" s="152"/>
      <c r="AR378" s="162">
        <f t="shared" si="212"/>
        <v>7526.2488870092238</v>
      </c>
      <c r="AS378" s="150">
        <f t="shared" si="235"/>
        <v>0</v>
      </c>
      <c r="AT378" s="163">
        <f t="shared" si="213"/>
        <v>0</v>
      </c>
      <c r="AU378" s="163">
        <f t="shared" si="214"/>
        <v>721.75205971577452</v>
      </c>
      <c r="AV378" s="163">
        <f t="shared" si="236"/>
        <v>23.169488653216149</v>
      </c>
      <c r="AW378" s="163">
        <f t="shared" si="215"/>
        <v>49.637092598785202</v>
      </c>
      <c r="AX378" s="163">
        <f t="shared" si="216"/>
        <v>0</v>
      </c>
      <c r="AY378" s="165">
        <f t="shared" si="237"/>
        <v>6877.3034085454501</v>
      </c>
      <c r="AZ378" s="164">
        <f>IF($E378="","",IF(OR(AND($D378=Input!$C$6,$C378=12),$AN378=1),0,-AS379+AT379+AU379-AV379-AW379-AX379+AZ379))</f>
        <v>6877.3052921154467</v>
      </c>
      <c r="BA378" s="154">
        <f t="shared" si="217"/>
        <v>1.8835699966075481E-3</v>
      </c>
      <c r="BC378" s="147">
        <f t="shared" si="238"/>
        <v>1.9211123509437725E-2</v>
      </c>
      <c r="BD378" s="164">
        <f>IF(AND($C377=12,$D377=Input!$C$6),0,IF($E378="","",AT378+(AU378+BD379)/(1+$AK378)*MIN((1-AM378-AN378),1)))</f>
        <v>6756.2308622747214</v>
      </c>
      <c r="BE378" s="164">
        <f t="shared" si="218"/>
        <v>129.79478555343462</v>
      </c>
      <c r="BF378" s="164">
        <f t="shared" si="239"/>
        <v>6877.3052921154467</v>
      </c>
      <c r="BG378" s="164">
        <f t="shared" si="219"/>
        <v>132.12076137893953</v>
      </c>
      <c r="BH378" s="152"/>
      <c r="BI378" s="162">
        <f t="shared" si="220"/>
        <v>3031.7824272329267</v>
      </c>
      <c r="BJ378" s="150">
        <f t="shared" si="221"/>
        <v>0</v>
      </c>
      <c r="BK378" s="163">
        <f t="shared" si="243"/>
        <v>0</v>
      </c>
      <c r="BL378" s="163">
        <f t="shared" si="222"/>
        <v>554.24978794900164</v>
      </c>
      <c r="BM378" s="163">
        <f t="shared" si="244"/>
        <v>9.9022677347638233</v>
      </c>
      <c r="BN378" s="163">
        <f t="shared" si="223"/>
        <v>13.863450750064182</v>
      </c>
      <c r="BO378" s="163">
        <f t="shared" si="224"/>
        <v>0</v>
      </c>
      <c r="BP378" s="164">
        <f t="shared" si="245"/>
        <v>2501.2983577687532</v>
      </c>
      <c r="BQ378" s="164">
        <f>IF($E378="","",IF(AND($D378=Input!$C$6,$C378=12),0,-BJ379+BK379+BL379-BM379-BN379-BO379+BQ379))</f>
        <v>2501.300145078234</v>
      </c>
      <c r="BR378" s="161">
        <f t="shared" si="225"/>
        <v>0</v>
      </c>
      <c r="BT378" s="147">
        <f t="shared" si="226"/>
        <v>1.9211123509437725E-2</v>
      </c>
      <c r="BU378" s="164">
        <f>IF(AND($C377=12,$D377=Input!$C$6),0,IF($E378="","",BK378+(BL378+BU379)/(1+$AK378)*MIN((1-T378-U378),1)))</f>
        <v>42941.88210333918</v>
      </c>
      <c r="BV378" s="164">
        <f t="shared" si="227"/>
        <v>824.96180081496243</v>
      </c>
      <c r="BW378" s="164">
        <f t="shared" si="228"/>
        <v>2501.300145078234</v>
      </c>
      <c r="BX378" s="164">
        <f t="shared" si="229"/>
        <v>48.052786021272453</v>
      </c>
    </row>
    <row r="379" spans="1:76" s="150" customFormat="1" x14ac:dyDescent="0.25">
      <c r="A379" s="150">
        <f t="shared" si="240"/>
        <v>375</v>
      </c>
      <c r="B379" s="150">
        <f t="shared" si="241"/>
        <v>32</v>
      </c>
      <c r="C379" s="150">
        <f t="shared" si="242"/>
        <v>3</v>
      </c>
      <c r="D379" s="150">
        <f>IF(E379="","",Input!$C$4+B379-1)</f>
        <v>76</v>
      </c>
      <c r="E379" s="150">
        <f>IF(OR(AND(C378=12,D378=Input!$C$6),E378=""),"",1)</f>
        <v>1</v>
      </c>
      <c r="F379" s="150">
        <f>IF(E379="","",Input!$C$8+B379-1)</f>
        <v>2049</v>
      </c>
      <c r="G379" s="151">
        <f>IF(E379="","",MAX(0,Input!$C$9-B379))</f>
        <v>0</v>
      </c>
      <c r="H379" s="152">
        <f>IF(E379="","",Input!$C$3)</f>
        <v>100000</v>
      </c>
      <c r="I379" s="153">
        <f>IF(E379="","",HLOOKUP($B379,Input!$C$13:$BT$14,2))</f>
        <v>66.934000000000012</v>
      </c>
      <c r="J379" s="154"/>
      <c r="K379" s="155">
        <f>IF($E379="","",INDEX(Input!$C$16:$CP$16,1,$B379))</f>
        <v>2.9000000000000001E-2</v>
      </c>
      <c r="L379" s="155">
        <f>IF($E379="","",Input!$C$37)</f>
        <v>1.4999999999999999E-2</v>
      </c>
      <c r="M379" s="155">
        <f t="shared" si="246"/>
        <v>4.3999999999999997E-2</v>
      </c>
      <c r="N379" s="155">
        <f t="shared" si="247"/>
        <v>3.5947364110451296E-3</v>
      </c>
      <c r="O379" s="147">
        <f>IF($E379="","",MIN(VLOOKUP(IF($B379&lt;=Input!$C$7,$B379,26),'Mortality Tables'!$A$41:$CW$67,IF($B379&lt;=Input!$C$7+1,Input!$C$4+2,$D379-Input!$C$7+2),0)*IF(B379&gt;20,Input!$C$22,1)/1000,1))</f>
        <v>7.5366000000000016E-2</v>
      </c>
      <c r="P379" s="147">
        <f>IF($E379="","",MIN(VLOOKUP(IF($B379&lt;=Input!$C$7,$B379,26),'Mortality Tables'!$A$12:$CW$37,IF($B379&lt;=Input!$C$7+1,Input!$C$4+2,$D379-Input!$C$7+2),0)*IF(B379&gt;20,Input!$C$22,1)/1000,1))</f>
        <v>9.4207500000000013E-2</v>
      </c>
      <c r="Q379" s="155">
        <f>IF($E379="","",Input!$C$21)</f>
        <v>5.0000000000000001E-3</v>
      </c>
      <c r="R379" s="159">
        <f>IF($E379="","",(1-Q379)^($F379-Input!$C$20))</f>
        <v>0.8560822709551229</v>
      </c>
      <c r="S379" s="147">
        <f t="shared" si="208"/>
        <v>6.4519496432803802E-2</v>
      </c>
      <c r="T379" s="147">
        <f t="shared" si="209"/>
        <v>5.5424978794900159E-3</v>
      </c>
      <c r="U379" s="160">
        <f>IF($E379="","",IF($C379=12,INDEX(Input!$C$15:$CP$15,1,$B379),0))</f>
        <v>0</v>
      </c>
      <c r="V379" s="150">
        <f>IF(E379="","",IF(C379=1,IF($B379=1,Input!$C$33,Input!$C$34),0))</f>
        <v>0</v>
      </c>
      <c r="W379" s="156">
        <f>IF($E379="","",Input!$C$35)</f>
        <v>0.02</v>
      </c>
      <c r="X379" s="156">
        <f t="shared" si="248"/>
        <v>1.8475888157854219</v>
      </c>
      <c r="Y379" s="154"/>
      <c r="Z379" s="147">
        <f>IF($E379="","",VLOOKUP($D379,'Mortality Margins &amp; Grading'!$AB$5:$AF$125,3,0)*IF(Summary!$D$25="Included Margin",IF(AND($B379&gt;Input!$C$9,Summary!$D$31&lt;&gt;"Included Margin"),0,1),0))</f>
        <v>2.9000000000000001E-2</v>
      </c>
      <c r="AA379" s="147">
        <f>IF($E379="","",VLOOKUP($D379,'Mortality Margins &amp; Grading'!$AB$5:$AF$125,5,0)*IF(Summary!$D$25="Included Margin",IF(AND($B379&gt;Input!$C$9,Summary!$D$31&lt;&gt;"Included Margin"),0,1),0))</f>
        <v>0.14599999999999999</v>
      </c>
      <c r="AB379" s="147">
        <f>IF($E379="","",IF(AND($B379&gt;Input!$C$9,Summary!$D$31&lt;&gt;"Included Margin"),1,IF(Summary!$D$25="Included Margin",VLOOKUP($B379,'Mortality Margins &amp; Grading'!$AI$5:$AR$125,MATCH('Mortality Margins &amp; Grading'!$AQ$4,'Mortality Margins &amp; Grading'!$AI$4:$AR$4,0),0),1)))</f>
        <v>0.8125</v>
      </c>
      <c r="AC379" s="154"/>
      <c r="AD379" s="158">
        <f>IF(E379="","",Input!$C$48*IF(Summary!$D$30="Included Margin",IF(AND($B379&gt;Input!$C$9,Summary!$D$31&lt;&gt;"Included Margin"),0,1),0))</f>
        <v>-4.4999999999999997E-3</v>
      </c>
      <c r="AE379" s="159">
        <f>IF(E379="","",IF(Summary!$D$26="Included Margin",IF(AND($B379&gt;Input!$C$9,Summary!$D$31&lt;&gt;"Included Margin"),1,1/$R379),1))</f>
        <v>1.1681120307331088</v>
      </c>
      <c r="AF379" s="160">
        <f>IF(E379="","",IF(AND($B379&gt;=Input!$C$9,$C379=12,Summary!$D$31="Included Margin",$U379&gt;0),1/U379-1,IF($B379&gt;=Input!$C$9,0,Input!$C$45*IF(Summary!$D$27="Included Margin",1,0))))</f>
        <v>0</v>
      </c>
      <c r="AG379" s="160">
        <f>IF(E379="","",Input!$C$46*IF(Summary!$D$28="Included Margin",IF(AND($B379&gt;Input!$C$9,Summary!$D$31&lt;&gt;"Included Margin"),0,1),0))</f>
        <v>0.02</v>
      </c>
      <c r="AH379" s="158">
        <f>IF(E379="","",Input!$C$47*IF(Summary!$D$29="Included Margin",IF(AND($B379&gt;Input!$C$9,Summary!$D$31&lt;&gt;"Included Margin"),0,1),0))</f>
        <v>2.5000000000000001E-3</v>
      </c>
      <c r="AI379" s="154"/>
      <c r="AJ379" s="158">
        <f t="shared" si="230"/>
        <v>3.95E-2</v>
      </c>
      <c r="AK379" s="155">
        <f t="shared" si="231"/>
        <v>3.2335356603379051E-3</v>
      </c>
      <c r="AL379" s="147">
        <f t="shared" si="232"/>
        <v>8.3253522937500019E-2</v>
      </c>
      <c r="AM379" s="147">
        <f t="shared" si="210"/>
        <v>7.217520597157745E-3</v>
      </c>
      <c r="AN379" s="160">
        <f t="shared" si="233"/>
        <v>0</v>
      </c>
      <c r="AO379" s="161">
        <f t="shared" si="234"/>
        <v>0</v>
      </c>
      <c r="AP379" s="156">
        <f t="shared" si="211"/>
        <v>1.9932547929327415</v>
      </c>
      <c r="AQ379" s="152"/>
      <c r="AR379" s="162">
        <f t="shared" si="212"/>
        <v>6877.3034085454492</v>
      </c>
      <c r="AS379" s="150">
        <f t="shared" si="235"/>
        <v>0</v>
      </c>
      <c r="AT379" s="163">
        <f t="shared" si="213"/>
        <v>0</v>
      </c>
      <c r="AU379" s="163">
        <f t="shared" si="214"/>
        <v>721.75205971577452</v>
      </c>
      <c r="AV379" s="163">
        <f t="shared" si="236"/>
        <v>21.071100306988491</v>
      </c>
      <c r="AW379" s="163">
        <f t="shared" si="215"/>
        <v>44.90400895172003</v>
      </c>
      <c r="AX379" s="163">
        <f t="shared" si="216"/>
        <v>0</v>
      </c>
      <c r="AY379" s="164">
        <f t="shared" si="237"/>
        <v>6221.5264580883832</v>
      </c>
      <c r="AZ379" s="164">
        <f>IF($E379="","",IF(OR(AND($D379=Input!$C$6,$C379=12),$AN379=1),0,-AS380+AT380+AU380-AV380-AW380-AX380+AZ380))</f>
        <v>6221.5283416583807</v>
      </c>
      <c r="BA379" s="154">
        <f t="shared" si="217"/>
        <v>1.8835699975170428E-3</v>
      </c>
      <c r="BC379" s="147">
        <f t="shared" si="238"/>
        <v>1.9104645898124044E-2</v>
      </c>
      <c r="BD379" s="164">
        <f>IF(AND($C378=12,$D378=Input!$C$6),0,IF($E379="","",AT379+(AU379+BD380)/(1+$AK379)*MIN((1-AM379-AN379),1)))</f>
        <v>6105.6018836922203</v>
      </c>
      <c r="BE379" s="164">
        <f t="shared" si="218"/>
        <v>116.64536198285901</v>
      </c>
      <c r="BF379" s="164">
        <f t="shared" si="239"/>
        <v>6221.5283416583807</v>
      </c>
      <c r="BG379" s="164">
        <f t="shared" si="219"/>
        <v>118.86009591252626</v>
      </c>
      <c r="BH379" s="152"/>
      <c r="BI379" s="162">
        <f t="shared" si="220"/>
        <v>2501.2983577687528</v>
      </c>
      <c r="BJ379" s="150">
        <f t="shared" si="221"/>
        <v>0</v>
      </c>
      <c r="BK379" s="163">
        <f t="shared" si="243"/>
        <v>0</v>
      </c>
      <c r="BL379" s="163">
        <f t="shared" si="222"/>
        <v>554.24978794900164</v>
      </c>
      <c r="BM379" s="163">
        <f t="shared" si="244"/>
        <v>7.9953173347815634</v>
      </c>
      <c r="BN379" s="163">
        <f t="shared" si="223"/>
        <v>10.896228830208797</v>
      </c>
      <c r="BO379" s="163">
        <f t="shared" si="224"/>
        <v>0</v>
      </c>
      <c r="BP379" s="164">
        <f t="shared" si="245"/>
        <v>1965.9401159847416</v>
      </c>
      <c r="BQ379" s="164">
        <f>IF($E379="","",IF(AND($D379=Input!$C$6,$C379=12),0,-BJ380+BK380+BL380-BM380-BN380-BO380+BQ380))</f>
        <v>1965.9419032942228</v>
      </c>
      <c r="BR379" s="161">
        <f t="shared" si="225"/>
        <v>0</v>
      </c>
      <c r="BT379" s="147">
        <f t="shared" si="226"/>
        <v>1.9104645898124044E-2</v>
      </c>
      <c r="BU379" s="164">
        <f>IF(AND($C378=12,$D378=Input!$C$6),0,IF($E379="","",BK379+(BL379+BU380)/(1+$AK379)*MIN((1-T379-U379),1)))</f>
        <v>42766.592096777167</v>
      </c>
      <c r="BV379" s="164">
        <f t="shared" si="227"/>
        <v>817.0405982784381</v>
      </c>
      <c r="BW379" s="164">
        <f t="shared" si="228"/>
        <v>1965.9419032942228</v>
      </c>
      <c r="BX379" s="164">
        <f t="shared" si="229"/>
        <v>37.558623918720151</v>
      </c>
    </row>
    <row r="380" spans="1:76" s="150" customFormat="1" x14ac:dyDescent="0.25">
      <c r="A380" s="150">
        <f t="shared" si="240"/>
        <v>376</v>
      </c>
      <c r="B380" s="150">
        <f t="shared" si="241"/>
        <v>32</v>
      </c>
      <c r="C380" s="150">
        <f t="shared" si="242"/>
        <v>4</v>
      </c>
      <c r="D380" s="150">
        <f>IF(E380="","",Input!$C$4+B380-1)</f>
        <v>76</v>
      </c>
      <c r="E380" s="150">
        <f>IF(OR(AND(C379=12,D379=Input!$C$6),E379=""),"",1)</f>
        <v>1</v>
      </c>
      <c r="F380" s="150">
        <f>IF(E380="","",Input!$C$8+B380-1)</f>
        <v>2049</v>
      </c>
      <c r="G380" s="151">
        <f>IF(E380="","",MAX(0,Input!$C$9-B380))</f>
        <v>0</v>
      </c>
      <c r="H380" s="152">
        <f>IF(E380="","",Input!$C$3)</f>
        <v>100000</v>
      </c>
      <c r="I380" s="153">
        <f>IF(E380="","",HLOOKUP($B380,Input!$C$13:$BT$14,2))</f>
        <v>66.934000000000012</v>
      </c>
      <c r="J380" s="154"/>
      <c r="K380" s="155">
        <f>IF($E380="","",INDEX(Input!$C$16:$CP$16,1,$B380))</f>
        <v>2.9000000000000001E-2</v>
      </c>
      <c r="L380" s="155">
        <f>IF($E380="","",Input!$C$37)</f>
        <v>1.4999999999999999E-2</v>
      </c>
      <c r="M380" s="155">
        <f t="shared" si="246"/>
        <v>4.3999999999999997E-2</v>
      </c>
      <c r="N380" s="155">
        <f t="shared" si="247"/>
        <v>3.5947364110451296E-3</v>
      </c>
      <c r="O380" s="147">
        <f>IF($E380="","",MIN(VLOOKUP(IF($B380&lt;=Input!$C$7,$B380,26),'Mortality Tables'!$A$41:$CW$67,IF($B380&lt;=Input!$C$7+1,Input!$C$4+2,$D380-Input!$C$7+2),0)*IF(B380&gt;20,Input!$C$22,1)/1000,1))</f>
        <v>7.5366000000000016E-2</v>
      </c>
      <c r="P380" s="147">
        <f>IF($E380="","",MIN(VLOOKUP(IF($B380&lt;=Input!$C$7,$B380,26),'Mortality Tables'!$A$12:$CW$37,IF($B380&lt;=Input!$C$7+1,Input!$C$4+2,$D380-Input!$C$7+2),0)*IF(B380&gt;20,Input!$C$22,1)/1000,1))</f>
        <v>9.4207500000000013E-2</v>
      </c>
      <c r="Q380" s="155">
        <f>IF($E380="","",Input!$C$21)</f>
        <v>5.0000000000000001E-3</v>
      </c>
      <c r="R380" s="159">
        <f>IF($E380="","",(1-Q380)^($F380-Input!$C$20))</f>
        <v>0.8560822709551229</v>
      </c>
      <c r="S380" s="147">
        <f t="shared" si="208"/>
        <v>6.4519496432803802E-2</v>
      </c>
      <c r="T380" s="147">
        <f t="shared" si="209"/>
        <v>5.5424978794900159E-3</v>
      </c>
      <c r="U380" s="160">
        <f>IF($E380="","",IF($C380=12,INDEX(Input!$C$15:$CP$15,1,$B380),0))</f>
        <v>0</v>
      </c>
      <c r="V380" s="150">
        <f>IF(E380="","",IF(C380=1,IF($B380=1,Input!$C$33,Input!$C$34),0))</f>
        <v>0</v>
      </c>
      <c r="W380" s="156">
        <f>IF($E380="","",Input!$C$35)</f>
        <v>0.02</v>
      </c>
      <c r="X380" s="156">
        <f t="shared" si="248"/>
        <v>1.8475888157854219</v>
      </c>
      <c r="Y380" s="154"/>
      <c r="Z380" s="147">
        <f>IF($E380="","",VLOOKUP($D380,'Mortality Margins &amp; Grading'!$AB$5:$AF$125,3,0)*IF(Summary!$D$25="Included Margin",IF(AND($B380&gt;Input!$C$9,Summary!$D$31&lt;&gt;"Included Margin"),0,1),0))</f>
        <v>2.9000000000000001E-2</v>
      </c>
      <c r="AA380" s="147">
        <f>IF($E380="","",VLOOKUP($D380,'Mortality Margins &amp; Grading'!$AB$5:$AF$125,5,0)*IF(Summary!$D$25="Included Margin",IF(AND($B380&gt;Input!$C$9,Summary!$D$31&lt;&gt;"Included Margin"),0,1),0))</f>
        <v>0.14599999999999999</v>
      </c>
      <c r="AB380" s="147">
        <f>IF($E380="","",IF(AND($B380&gt;Input!$C$9,Summary!$D$31&lt;&gt;"Included Margin"),1,IF(Summary!$D$25="Included Margin",VLOOKUP($B380,'Mortality Margins &amp; Grading'!$AI$5:$AR$125,MATCH('Mortality Margins &amp; Grading'!$AQ$4,'Mortality Margins &amp; Grading'!$AI$4:$AR$4,0),0),1)))</f>
        <v>0.8125</v>
      </c>
      <c r="AC380" s="154"/>
      <c r="AD380" s="158">
        <f>IF(E380="","",Input!$C$48*IF(Summary!$D$30="Included Margin",IF(AND($B380&gt;Input!$C$9,Summary!$D$31&lt;&gt;"Included Margin"),0,1),0))</f>
        <v>-4.4999999999999997E-3</v>
      </c>
      <c r="AE380" s="159">
        <f>IF(E380="","",IF(Summary!$D$26="Included Margin",IF(AND($B380&gt;Input!$C$9,Summary!$D$31&lt;&gt;"Included Margin"),1,1/$R380),1))</f>
        <v>1.1681120307331088</v>
      </c>
      <c r="AF380" s="160">
        <f>IF(E380="","",IF(AND($B380&gt;=Input!$C$9,$C380=12,Summary!$D$31="Included Margin",$U380&gt;0),1/U380-1,IF($B380&gt;=Input!$C$9,0,Input!$C$45*IF(Summary!$D$27="Included Margin",1,0))))</f>
        <v>0</v>
      </c>
      <c r="AG380" s="160">
        <f>IF(E380="","",Input!$C$46*IF(Summary!$D$28="Included Margin",IF(AND($B380&gt;Input!$C$9,Summary!$D$31&lt;&gt;"Included Margin"),0,1),0))</f>
        <v>0.02</v>
      </c>
      <c r="AH380" s="158">
        <f>IF(E380="","",Input!$C$47*IF(Summary!$D$29="Included Margin",IF(AND($B380&gt;Input!$C$9,Summary!$D$31&lt;&gt;"Included Margin"),0,1),0))</f>
        <v>2.5000000000000001E-3</v>
      </c>
      <c r="AI380" s="154"/>
      <c r="AJ380" s="158">
        <f t="shared" si="230"/>
        <v>3.95E-2</v>
      </c>
      <c r="AK380" s="155">
        <f t="shared" si="231"/>
        <v>3.2335356603379051E-3</v>
      </c>
      <c r="AL380" s="147">
        <f t="shared" si="232"/>
        <v>8.3253522937500019E-2</v>
      </c>
      <c r="AM380" s="147">
        <f t="shared" si="210"/>
        <v>7.217520597157745E-3</v>
      </c>
      <c r="AN380" s="160">
        <f t="shared" si="233"/>
        <v>0</v>
      </c>
      <c r="AO380" s="161">
        <f t="shared" si="234"/>
        <v>0</v>
      </c>
      <c r="AP380" s="156">
        <f t="shared" si="211"/>
        <v>1.9932547929327415</v>
      </c>
      <c r="AQ380" s="152"/>
      <c r="AR380" s="162">
        <f t="shared" si="212"/>
        <v>6221.5264580883832</v>
      </c>
      <c r="AS380" s="150">
        <f t="shared" si="235"/>
        <v>0</v>
      </c>
      <c r="AT380" s="163">
        <f t="shared" si="213"/>
        <v>0</v>
      </c>
      <c r="AU380" s="163">
        <f t="shared" si="214"/>
        <v>721.75205971577452</v>
      </c>
      <c r="AV380" s="163">
        <f t="shared" si="236"/>
        <v>18.950622152457921</v>
      </c>
      <c r="AW380" s="163">
        <f t="shared" si="215"/>
        <v>40.121099965778349</v>
      </c>
      <c r="AX380" s="163">
        <f t="shared" si="216"/>
        <v>0</v>
      </c>
      <c r="AY380" s="165">
        <f t="shared" si="237"/>
        <v>5558.8461204908454</v>
      </c>
      <c r="AZ380" s="164">
        <f>IF($E380="","",IF(OR(AND($D380=Input!$C$6,$C380=12),$AN380=1),0,-AS381+AT381+AU381-AV381-AW381-AX381+AZ381))</f>
        <v>5558.848004060842</v>
      </c>
      <c r="BA380" s="154">
        <f t="shared" si="217"/>
        <v>1.8835699966075481E-3</v>
      </c>
      <c r="BC380" s="147">
        <f t="shared" si="238"/>
        <v>1.8998758438745284E-2</v>
      </c>
      <c r="BD380" s="164">
        <f>IF(AND($C379=12,$D379=Input!$C$6),0,IF($E380="","",AT380+(AU380+BD381)/(1+$AK380)*MIN((1-AM380-AN380),1)))</f>
        <v>5448.1237108511623</v>
      </c>
      <c r="BE380" s="164">
        <f t="shared" si="218"/>
        <v>103.5075863268618</v>
      </c>
      <c r="BF380" s="164">
        <f t="shared" si="239"/>
        <v>5558.848004060842</v>
      </c>
      <c r="BG380" s="164">
        <f t="shared" si="219"/>
        <v>105.6112104268533</v>
      </c>
      <c r="BH380" s="152"/>
      <c r="BI380" s="162">
        <f t="shared" si="220"/>
        <v>1965.9401159847416</v>
      </c>
      <c r="BJ380" s="150">
        <f t="shared" si="221"/>
        <v>0</v>
      </c>
      <c r="BK380" s="163">
        <f t="shared" si="243"/>
        <v>0</v>
      </c>
      <c r="BL380" s="163">
        <f t="shared" si="222"/>
        <v>554.24978794900164</v>
      </c>
      <c r="BM380" s="163">
        <f t="shared" si="244"/>
        <v>6.070845570087477</v>
      </c>
      <c r="BN380" s="163">
        <f t="shared" si="223"/>
        <v>7.901743601648997</v>
      </c>
      <c r="BO380" s="163">
        <f t="shared" si="224"/>
        <v>0</v>
      </c>
      <c r="BP380" s="164">
        <f t="shared" si="245"/>
        <v>1425.6629172074765</v>
      </c>
      <c r="BQ380" s="164">
        <f>IF($E380="","",IF(AND($D380=Input!$C$6,$C380=12),0,-BJ381+BK381+BL381-BM381-BN381-BO381+BQ381))</f>
        <v>1425.6647045169575</v>
      </c>
      <c r="BR380" s="161">
        <f t="shared" si="225"/>
        <v>0</v>
      </c>
      <c r="BT380" s="147">
        <f t="shared" si="226"/>
        <v>1.8998758438745284E-2</v>
      </c>
      <c r="BU380" s="164">
        <f>IF(AND($C379=12,$D379=Input!$C$6),0,IF($E380="","",BK380+(BL380+BU381)/(1+$AK380)*MIN((1-T380-U380),1)))</f>
        <v>42589.755165410927</v>
      </c>
      <c r="BV380" s="164">
        <f t="shared" si="227"/>
        <v>809.15247035294635</v>
      </c>
      <c r="BW380" s="164">
        <f t="shared" si="228"/>
        <v>1425.6647045169575</v>
      </c>
      <c r="BX380" s="164">
        <f t="shared" si="229"/>
        <v>27.085859335762848</v>
      </c>
    </row>
    <row r="381" spans="1:76" s="150" customFormat="1" x14ac:dyDescent="0.25">
      <c r="A381" s="150">
        <f t="shared" si="240"/>
        <v>377</v>
      </c>
      <c r="B381" s="150">
        <f t="shared" si="241"/>
        <v>32</v>
      </c>
      <c r="C381" s="150">
        <f t="shared" si="242"/>
        <v>5</v>
      </c>
      <c r="D381" s="150">
        <f>IF(E381="","",Input!$C$4+B381-1)</f>
        <v>76</v>
      </c>
      <c r="E381" s="150">
        <f>IF(OR(AND(C380=12,D380=Input!$C$6),E380=""),"",1)</f>
        <v>1</v>
      </c>
      <c r="F381" s="150">
        <f>IF(E381="","",Input!$C$8+B381-1)</f>
        <v>2049</v>
      </c>
      <c r="G381" s="151">
        <f>IF(E381="","",MAX(0,Input!$C$9-B381))</f>
        <v>0</v>
      </c>
      <c r="H381" s="152">
        <f>IF(E381="","",Input!$C$3)</f>
        <v>100000</v>
      </c>
      <c r="I381" s="153">
        <f>IF(E381="","",HLOOKUP($B381,Input!$C$13:$BT$14,2))</f>
        <v>66.934000000000012</v>
      </c>
      <c r="J381" s="154"/>
      <c r="K381" s="155">
        <f>IF($E381="","",INDEX(Input!$C$16:$CP$16,1,$B381))</f>
        <v>2.9000000000000001E-2</v>
      </c>
      <c r="L381" s="155">
        <f>IF($E381="","",Input!$C$37)</f>
        <v>1.4999999999999999E-2</v>
      </c>
      <c r="M381" s="155">
        <f t="shared" si="246"/>
        <v>4.3999999999999997E-2</v>
      </c>
      <c r="N381" s="155">
        <f t="shared" si="247"/>
        <v>3.5947364110451296E-3</v>
      </c>
      <c r="O381" s="147">
        <f>IF($E381="","",MIN(VLOOKUP(IF($B381&lt;=Input!$C$7,$B381,26),'Mortality Tables'!$A$41:$CW$67,IF($B381&lt;=Input!$C$7+1,Input!$C$4+2,$D381-Input!$C$7+2),0)*IF(B381&gt;20,Input!$C$22,1)/1000,1))</f>
        <v>7.5366000000000016E-2</v>
      </c>
      <c r="P381" s="147">
        <f>IF($E381="","",MIN(VLOOKUP(IF($B381&lt;=Input!$C$7,$B381,26),'Mortality Tables'!$A$12:$CW$37,IF($B381&lt;=Input!$C$7+1,Input!$C$4+2,$D381-Input!$C$7+2),0)*IF(B381&gt;20,Input!$C$22,1)/1000,1))</f>
        <v>9.4207500000000013E-2</v>
      </c>
      <c r="Q381" s="155">
        <f>IF($E381="","",Input!$C$21)</f>
        <v>5.0000000000000001E-3</v>
      </c>
      <c r="R381" s="159">
        <f>IF($E381="","",(1-Q381)^($F381-Input!$C$20))</f>
        <v>0.8560822709551229</v>
      </c>
      <c r="S381" s="147">
        <f t="shared" si="208"/>
        <v>6.4519496432803802E-2</v>
      </c>
      <c r="T381" s="147">
        <f t="shared" si="209"/>
        <v>5.5424978794900159E-3</v>
      </c>
      <c r="U381" s="160">
        <f>IF($E381="","",IF($C381=12,INDEX(Input!$C$15:$CP$15,1,$B381),0))</f>
        <v>0</v>
      </c>
      <c r="V381" s="150">
        <f>IF(E381="","",IF(C381=1,IF($B381=1,Input!$C$33,Input!$C$34),0))</f>
        <v>0</v>
      </c>
      <c r="W381" s="156">
        <f>IF($E381="","",Input!$C$35)</f>
        <v>0.02</v>
      </c>
      <c r="X381" s="156">
        <f t="shared" si="248"/>
        <v>1.8475888157854219</v>
      </c>
      <c r="Y381" s="154"/>
      <c r="Z381" s="147">
        <f>IF($E381="","",VLOOKUP($D381,'Mortality Margins &amp; Grading'!$AB$5:$AF$125,3,0)*IF(Summary!$D$25="Included Margin",IF(AND($B381&gt;Input!$C$9,Summary!$D$31&lt;&gt;"Included Margin"),0,1),0))</f>
        <v>2.9000000000000001E-2</v>
      </c>
      <c r="AA381" s="147">
        <f>IF($E381="","",VLOOKUP($D381,'Mortality Margins &amp; Grading'!$AB$5:$AF$125,5,0)*IF(Summary!$D$25="Included Margin",IF(AND($B381&gt;Input!$C$9,Summary!$D$31&lt;&gt;"Included Margin"),0,1),0))</f>
        <v>0.14599999999999999</v>
      </c>
      <c r="AB381" s="147">
        <f>IF($E381="","",IF(AND($B381&gt;Input!$C$9,Summary!$D$31&lt;&gt;"Included Margin"),1,IF(Summary!$D$25="Included Margin",VLOOKUP($B381,'Mortality Margins &amp; Grading'!$AI$5:$AR$125,MATCH('Mortality Margins &amp; Grading'!$AQ$4,'Mortality Margins &amp; Grading'!$AI$4:$AR$4,0),0),1)))</f>
        <v>0.8125</v>
      </c>
      <c r="AC381" s="154"/>
      <c r="AD381" s="158">
        <f>IF(E381="","",Input!$C$48*IF(Summary!$D$30="Included Margin",IF(AND($B381&gt;Input!$C$9,Summary!$D$31&lt;&gt;"Included Margin"),0,1),0))</f>
        <v>-4.4999999999999997E-3</v>
      </c>
      <c r="AE381" s="159">
        <f>IF(E381="","",IF(Summary!$D$26="Included Margin",IF(AND($B381&gt;Input!$C$9,Summary!$D$31&lt;&gt;"Included Margin"),1,1/$R381),1))</f>
        <v>1.1681120307331088</v>
      </c>
      <c r="AF381" s="160">
        <f>IF(E381="","",IF(AND($B381&gt;=Input!$C$9,$C381=12,Summary!$D$31="Included Margin",$U381&gt;0),1/U381-1,IF($B381&gt;=Input!$C$9,0,Input!$C$45*IF(Summary!$D$27="Included Margin",1,0))))</f>
        <v>0</v>
      </c>
      <c r="AG381" s="160">
        <f>IF(E381="","",Input!$C$46*IF(Summary!$D$28="Included Margin",IF(AND($B381&gt;Input!$C$9,Summary!$D$31&lt;&gt;"Included Margin"),0,1),0))</f>
        <v>0.02</v>
      </c>
      <c r="AH381" s="158">
        <f>IF(E381="","",Input!$C$47*IF(Summary!$D$29="Included Margin",IF(AND($B381&gt;Input!$C$9,Summary!$D$31&lt;&gt;"Included Margin"),0,1),0))</f>
        <v>2.5000000000000001E-3</v>
      </c>
      <c r="AI381" s="154"/>
      <c r="AJ381" s="158">
        <f t="shared" si="230"/>
        <v>3.95E-2</v>
      </c>
      <c r="AK381" s="155">
        <f t="shared" si="231"/>
        <v>3.2335356603379051E-3</v>
      </c>
      <c r="AL381" s="147">
        <f t="shared" si="232"/>
        <v>8.3253522937500019E-2</v>
      </c>
      <c r="AM381" s="147">
        <f t="shared" si="210"/>
        <v>7.217520597157745E-3</v>
      </c>
      <c r="AN381" s="160">
        <f t="shared" si="233"/>
        <v>0</v>
      </c>
      <c r="AO381" s="161">
        <f t="shared" si="234"/>
        <v>0</v>
      </c>
      <c r="AP381" s="156">
        <f t="shared" si="211"/>
        <v>1.9932547929327415</v>
      </c>
      <c r="AQ381" s="152"/>
      <c r="AR381" s="162">
        <f t="shared" si="212"/>
        <v>5558.8461204908454</v>
      </c>
      <c r="AS381" s="150">
        <f t="shared" si="235"/>
        <v>0</v>
      </c>
      <c r="AT381" s="163">
        <f t="shared" si="213"/>
        <v>0</v>
      </c>
      <c r="AU381" s="163">
        <f t="shared" si="214"/>
        <v>721.75205971577452</v>
      </c>
      <c r="AV381" s="163">
        <f t="shared" si="236"/>
        <v>16.807821649431521</v>
      </c>
      <c r="AW381" s="163">
        <f t="shared" si="215"/>
        <v>35.287841127856375</v>
      </c>
      <c r="AX381" s="163">
        <f t="shared" si="216"/>
        <v>0</v>
      </c>
      <c r="AY381" s="164">
        <f t="shared" si="237"/>
        <v>4889.1897235523584</v>
      </c>
      <c r="AZ381" s="164">
        <f>IF($E381="","",IF(OR(AND($D381=Input!$C$6,$C381=12),$AN381=1),0,-AS382+AT382+AU382-AV382-AW382-AX382+AZ382))</f>
        <v>4889.191607122355</v>
      </c>
      <c r="BA381" s="154">
        <f t="shared" si="217"/>
        <v>1.8835699966075481E-3</v>
      </c>
      <c r="BC381" s="147">
        <f t="shared" si="238"/>
        <v>1.8893457860385595E-2</v>
      </c>
      <c r="BD381" s="164">
        <f>IF(AND($C380=12,$D380=Input!$C$6),0,IF($E381="","",AT381+(AU381+BD382)/(1+$AK381)*MIN((1-AM381-AN381),1)))</f>
        <v>4783.7242420414541</v>
      </c>
      <c r="BE381" s="164">
        <f t="shared" si="218"/>
        <v>90.381092382715238</v>
      </c>
      <c r="BF381" s="164">
        <f t="shared" si="239"/>
        <v>4889.191607122355</v>
      </c>
      <c r="BG381" s="164">
        <f t="shared" si="219"/>
        <v>92.373735600517136</v>
      </c>
      <c r="BH381" s="152"/>
      <c r="BI381" s="162">
        <f t="shared" si="220"/>
        <v>1425.6629172074763</v>
      </c>
      <c r="BJ381" s="150">
        <f t="shared" si="221"/>
        <v>0</v>
      </c>
      <c r="BK381" s="163">
        <f t="shared" si="243"/>
        <v>0</v>
      </c>
      <c r="BL381" s="163">
        <f t="shared" si="222"/>
        <v>554.24978794900164</v>
      </c>
      <c r="BM381" s="163">
        <f t="shared" si="244"/>
        <v>4.1286914515853743</v>
      </c>
      <c r="BN381" s="163">
        <f t="shared" si="223"/>
        <v>4.8797445647519355</v>
      </c>
      <c r="BO381" s="163">
        <f t="shared" si="224"/>
        <v>0</v>
      </c>
      <c r="BP381" s="164">
        <f t="shared" si="245"/>
        <v>880.421565274812</v>
      </c>
      <c r="BQ381" s="164">
        <f>IF($E381="","",IF(AND($D381=Input!$C$6,$C381=12),0,-BJ382+BK382+BL382-BM382-BN382-BO382+BQ382))</f>
        <v>880.42335258429318</v>
      </c>
      <c r="BR381" s="161">
        <f t="shared" si="225"/>
        <v>0</v>
      </c>
      <c r="BT381" s="147">
        <f t="shared" si="226"/>
        <v>1.8893457860385595E-2</v>
      </c>
      <c r="BU381" s="164">
        <f>IF(AND($C380=12,$D380=Input!$C$6),0,IF($E381="","",BK381+(BL381+BU382)/(1+$AK381)*MIN((1-T381-U381),1)))</f>
        <v>42411.357657712921</v>
      </c>
      <c r="BV381" s="164">
        <f t="shared" si="227"/>
        <v>801.29719870774102</v>
      </c>
      <c r="BW381" s="164">
        <f t="shared" si="228"/>
        <v>880.42335258429318</v>
      </c>
      <c r="BX381" s="164">
        <f t="shared" si="229"/>
        <v>16.634241511350751</v>
      </c>
    </row>
    <row r="382" spans="1:76" s="150" customFormat="1" x14ac:dyDescent="0.25">
      <c r="A382" s="150">
        <f t="shared" si="240"/>
        <v>378</v>
      </c>
      <c r="B382" s="150">
        <f t="shared" si="241"/>
        <v>32</v>
      </c>
      <c r="C382" s="150">
        <f t="shared" si="242"/>
        <v>6</v>
      </c>
      <c r="D382" s="150">
        <f>IF(E382="","",Input!$C$4+B382-1)</f>
        <v>76</v>
      </c>
      <c r="E382" s="150">
        <f>IF(OR(AND(C381=12,D381=Input!$C$6),E381=""),"",1)</f>
        <v>1</v>
      </c>
      <c r="F382" s="150">
        <f>IF(E382="","",Input!$C$8+B382-1)</f>
        <v>2049</v>
      </c>
      <c r="G382" s="151">
        <f>IF(E382="","",MAX(0,Input!$C$9-B382))</f>
        <v>0</v>
      </c>
      <c r="H382" s="152">
        <f>IF(E382="","",Input!$C$3)</f>
        <v>100000</v>
      </c>
      <c r="I382" s="153">
        <f>IF(E382="","",HLOOKUP($B382,Input!$C$13:$BT$14,2))</f>
        <v>66.934000000000012</v>
      </c>
      <c r="J382" s="154"/>
      <c r="K382" s="155">
        <f>IF($E382="","",INDEX(Input!$C$16:$CP$16,1,$B382))</f>
        <v>2.9000000000000001E-2</v>
      </c>
      <c r="L382" s="155">
        <f>IF($E382="","",Input!$C$37)</f>
        <v>1.4999999999999999E-2</v>
      </c>
      <c r="M382" s="155">
        <f t="shared" si="246"/>
        <v>4.3999999999999997E-2</v>
      </c>
      <c r="N382" s="155">
        <f t="shared" si="247"/>
        <v>3.5947364110451296E-3</v>
      </c>
      <c r="O382" s="147">
        <f>IF($E382="","",MIN(VLOOKUP(IF($B382&lt;=Input!$C$7,$B382,26),'Mortality Tables'!$A$41:$CW$67,IF($B382&lt;=Input!$C$7+1,Input!$C$4+2,$D382-Input!$C$7+2),0)*IF(B382&gt;20,Input!$C$22,1)/1000,1))</f>
        <v>7.5366000000000016E-2</v>
      </c>
      <c r="P382" s="147">
        <f>IF($E382="","",MIN(VLOOKUP(IF($B382&lt;=Input!$C$7,$B382,26),'Mortality Tables'!$A$12:$CW$37,IF($B382&lt;=Input!$C$7+1,Input!$C$4+2,$D382-Input!$C$7+2),0)*IF(B382&gt;20,Input!$C$22,1)/1000,1))</f>
        <v>9.4207500000000013E-2</v>
      </c>
      <c r="Q382" s="155">
        <f>IF($E382="","",Input!$C$21)</f>
        <v>5.0000000000000001E-3</v>
      </c>
      <c r="R382" s="159">
        <f>IF($E382="","",(1-Q382)^($F382-Input!$C$20))</f>
        <v>0.8560822709551229</v>
      </c>
      <c r="S382" s="147">
        <f t="shared" si="208"/>
        <v>6.4519496432803802E-2</v>
      </c>
      <c r="T382" s="147">
        <f t="shared" si="209"/>
        <v>5.5424978794900159E-3</v>
      </c>
      <c r="U382" s="160">
        <f>IF($E382="","",IF($C382=12,INDEX(Input!$C$15:$CP$15,1,$B382),0))</f>
        <v>0</v>
      </c>
      <c r="V382" s="150">
        <f>IF(E382="","",IF(C382=1,IF($B382=1,Input!$C$33,Input!$C$34),0))</f>
        <v>0</v>
      </c>
      <c r="W382" s="156">
        <f>IF($E382="","",Input!$C$35)</f>
        <v>0.02</v>
      </c>
      <c r="X382" s="156">
        <f t="shared" si="248"/>
        <v>1.8475888157854219</v>
      </c>
      <c r="Y382" s="154"/>
      <c r="Z382" s="147">
        <f>IF($E382="","",VLOOKUP($D382,'Mortality Margins &amp; Grading'!$AB$5:$AF$125,3,0)*IF(Summary!$D$25="Included Margin",IF(AND($B382&gt;Input!$C$9,Summary!$D$31&lt;&gt;"Included Margin"),0,1),0))</f>
        <v>2.9000000000000001E-2</v>
      </c>
      <c r="AA382" s="147">
        <f>IF($E382="","",VLOOKUP($D382,'Mortality Margins &amp; Grading'!$AB$5:$AF$125,5,0)*IF(Summary!$D$25="Included Margin",IF(AND($B382&gt;Input!$C$9,Summary!$D$31&lt;&gt;"Included Margin"),0,1),0))</f>
        <v>0.14599999999999999</v>
      </c>
      <c r="AB382" s="147">
        <f>IF($E382="","",IF(AND($B382&gt;Input!$C$9,Summary!$D$31&lt;&gt;"Included Margin"),1,IF(Summary!$D$25="Included Margin",VLOOKUP($B382,'Mortality Margins &amp; Grading'!$AI$5:$AR$125,MATCH('Mortality Margins &amp; Grading'!$AQ$4,'Mortality Margins &amp; Grading'!$AI$4:$AR$4,0),0),1)))</f>
        <v>0.8125</v>
      </c>
      <c r="AC382" s="154"/>
      <c r="AD382" s="158">
        <f>IF(E382="","",Input!$C$48*IF(Summary!$D$30="Included Margin",IF(AND($B382&gt;Input!$C$9,Summary!$D$31&lt;&gt;"Included Margin"),0,1),0))</f>
        <v>-4.4999999999999997E-3</v>
      </c>
      <c r="AE382" s="159">
        <f>IF(E382="","",IF(Summary!$D$26="Included Margin",IF(AND($B382&gt;Input!$C$9,Summary!$D$31&lt;&gt;"Included Margin"),1,1/$R382),1))</f>
        <v>1.1681120307331088</v>
      </c>
      <c r="AF382" s="160">
        <f>IF(E382="","",IF(AND($B382&gt;=Input!$C$9,$C382=12,Summary!$D$31="Included Margin",$U382&gt;0),1/U382-1,IF($B382&gt;=Input!$C$9,0,Input!$C$45*IF(Summary!$D$27="Included Margin",1,0))))</f>
        <v>0</v>
      </c>
      <c r="AG382" s="160">
        <f>IF(E382="","",Input!$C$46*IF(Summary!$D$28="Included Margin",IF(AND($B382&gt;Input!$C$9,Summary!$D$31&lt;&gt;"Included Margin"),0,1),0))</f>
        <v>0.02</v>
      </c>
      <c r="AH382" s="158">
        <f>IF(E382="","",Input!$C$47*IF(Summary!$D$29="Included Margin",IF(AND($B382&gt;Input!$C$9,Summary!$D$31&lt;&gt;"Included Margin"),0,1),0))</f>
        <v>2.5000000000000001E-3</v>
      </c>
      <c r="AI382" s="154"/>
      <c r="AJ382" s="158">
        <f t="shared" si="230"/>
        <v>3.95E-2</v>
      </c>
      <c r="AK382" s="155">
        <f t="shared" si="231"/>
        <v>3.2335356603379051E-3</v>
      </c>
      <c r="AL382" s="147">
        <f t="shared" si="232"/>
        <v>8.3253522937500019E-2</v>
      </c>
      <c r="AM382" s="147">
        <f t="shared" si="210"/>
        <v>7.217520597157745E-3</v>
      </c>
      <c r="AN382" s="160">
        <f t="shared" si="233"/>
        <v>0</v>
      </c>
      <c r="AO382" s="161">
        <f t="shared" si="234"/>
        <v>0</v>
      </c>
      <c r="AP382" s="156">
        <f t="shared" si="211"/>
        <v>1.9932547929327415</v>
      </c>
      <c r="AQ382" s="152"/>
      <c r="AR382" s="162">
        <f t="shared" si="212"/>
        <v>4889.1897235523584</v>
      </c>
      <c r="AS382" s="150">
        <f t="shared" si="235"/>
        <v>0</v>
      </c>
      <c r="AT382" s="163">
        <f t="shared" si="213"/>
        <v>0</v>
      </c>
      <c r="AU382" s="163">
        <f t="shared" si="214"/>
        <v>721.75205971577452</v>
      </c>
      <c r="AV382" s="163">
        <f t="shared" si="236"/>
        <v>14.64246380975753</v>
      </c>
      <c r="AW382" s="163">
        <f t="shared" si="215"/>
        <v>30.403702403282352</v>
      </c>
      <c r="AX382" s="163">
        <f t="shared" si="216"/>
        <v>0</v>
      </c>
      <c r="AY382" s="165">
        <f t="shared" si="237"/>
        <v>4212.483830049624</v>
      </c>
      <c r="AZ382" s="164">
        <f>IF($E382="","",IF(OR(AND($D382=Input!$C$6,$C382=12),$AN382=1),0,-AS383+AT383+AU383-AV383-AW383-AX383+AZ383))</f>
        <v>4212.4857136196206</v>
      </c>
      <c r="BA382" s="154">
        <f t="shared" si="217"/>
        <v>1.8835699966075481E-3</v>
      </c>
      <c r="BC382" s="147">
        <f t="shared" si="238"/>
        <v>1.8788740910258173E-2</v>
      </c>
      <c r="BD382" s="164">
        <f>IF(AND($C381=12,$D381=Input!$C$6),0,IF($E382="","",AT382+(AU382+BD383)/(1+$AK382)*MIN((1-AM382-AN382),1)))</f>
        <v>4112.3306165357526</v>
      </c>
      <c r="BE382" s="164">
        <f t="shared" si="218"/>
        <v>77.265514491412503</v>
      </c>
      <c r="BF382" s="164">
        <f t="shared" si="239"/>
        <v>4212.4857136196206</v>
      </c>
      <c r="BG382" s="164">
        <f t="shared" si="219"/>
        <v>79.147302661363057</v>
      </c>
      <c r="BH382" s="152"/>
      <c r="BI382" s="162">
        <f t="shared" si="220"/>
        <v>880.42156527481211</v>
      </c>
      <c r="BJ382" s="150">
        <f t="shared" si="221"/>
        <v>0</v>
      </c>
      <c r="BK382" s="163">
        <f t="shared" si="243"/>
        <v>0</v>
      </c>
      <c r="BL382" s="163">
        <f t="shared" si="222"/>
        <v>554.24978794900164</v>
      </c>
      <c r="BM382" s="163">
        <f t="shared" si="244"/>
        <v>2.1686925109855544</v>
      </c>
      <c r="BN382" s="163">
        <f t="shared" si="223"/>
        <v>1.8299789182541415</v>
      </c>
      <c r="BO382" s="163">
        <f t="shared" si="224"/>
        <v>0</v>
      </c>
      <c r="BP382" s="164">
        <f t="shared" si="245"/>
        <v>330.17044875505019</v>
      </c>
      <c r="BQ382" s="164">
        <f>IF($E382="","",IF(AND($D382=Input!$C$6,$C382=12),0,-BJ383+BK383+BL383-BM383-BN383-BO383+BQ383))</f>
        <v>330.17223606453126</v>
      </c>
      <c r="BR382" s="161">
        <f t="shared" si="225"/>
        <v>0</v>
      </c>
      <c r="BT382" s="147">
        <f t="shared" si="226"/>
        <v>1.8788740910258173E-2</v>
      </c>
      <c r="BU382" s="164">
        <f>IF(AND($C381=12,$D381=Input!$C$6),0,IF($E382="","",BK382+(BL382+BU383)/(1+$AK382)*MIN((1-T382-U382),1)))</f>
        <v>42231.385801681638</v>
      </c>
      <c r="BV382" s="164">
        <f t="shared" si="227"/>
        <v>793.47456610895188</v>
      </c>
      <c r="BW382" s="164">
        <f t="shared" si="228"/>
        <v>330.17223606453126</v>
      </c>
      <c r="BX382" s="164">
        <f t="shared" si="229"/>
        <v>6.203520599177077</v>
      </c>
    </row>
    <row r="383" spans="1:76" s="150" customFormat="1" x14ac:dyDescent="0.25">
      <c r="A383" s="150">
        <f t="shared" si="240"/>
        <v>379</v>
      </c>
      <c r="B383" s="150">
        <f t="shared" si="241"/>
        <v>32</v>
      </c>
      <c r="C383" s="150">
        <f t="shared" si="242"/>
        <v>7</v>
      </c>
      <c r="D383" s="150">
        <f>IF(E383="","",Input!$C$4+B383-1)</f>
        <v>76</v>
      </c>
      <c r="E383" s="150">
        <f>IF(OR(AND(C382=12,D382=Input!$C$6),E382=""),"",1)</f>
        <v>1</v>
      </c>
      <c r="F383" s="150">
        <f>IF(E383="","",Input!$C$8+B383-1)</f>
        <v>2049</v>
      </c>
      <c r="G383" s="151">
        <f>IF(E383="","",MAX(0,Input!$C$9-B383))</f>
        <v>0</v>
      </c>
      <c r="H383" s="152">
        <f>IF(E383="","",Input!$C$3)</f>
        <v>100000</v>
      </c>
      <c r="I383" s="153">
        <f>IF(E383="","",HLOOKUP($B383,Input!$C$13:$BT$14,2))</f>
        <v>66.934000000000012</v>
      </c>
      <c r="J383" s="154"/>
      <c r="K383" s="155">
        <f>IF($E383="","",INDEX(Input!$C$16:$CP$16,1,$B383))</f>
        <v>2.9000000000000001E-2</v>
      </c>
      <c r="L383" s="155">
        <f>IF($E383="","",Input!$C$37)</f>
        <v>1.4999999999999999E-2</v>
      </c>
      <c r="M383" s="155">
        <f t="shared" si="246"/>
        <v>4.3999999999999997E-2</v>
      </c>
      <c r="N383" s="155">
        <f t="shared" si="247"/>
        <v>3.5947364110451296E-3</v>
      </c>
      <c r="O383" s="147">
        <f>IF($E383="","",MIN(VLOOKUP(IF($B383&lt;=Input!$C$7,$B383,26),'Mortality Tables'!$A$41:$CW$67,IF($B383&lt;=Input!$C$7+1,Input!$C$4+2,$D383-Input!$C$7+2),0)*IF(B383&gt;20,Input!$C$22,1)/1000,1))</f>
        <v>7.5366000000000016E-2</v>
      </c>
      <c r="P383" s="147">
        <f>IF($E383="","",MIN(VLOOKUP(IF($B383&lt;=Input!$C$7,$B383,26),'Mortality Tables'!$A$12:$CW$37,IF($B383&lt;=Input!$C$7+1,Input!$C$4+2,$D383-Input!$C$7+2),0)*IF(B383&gt;20,Input!$C$22,1)/1000,1))</f>
        <v>9.4207500000000013E-2</v>
      </c>
      <c r="Q383" s="155">
        <f>IF($E383="","",Input!$C$21)</f>
        <v>5.0000000000000001E-3</v>
      </c>
      <c r="R383" s="159">
        <f>IF($E383="","",(1-Q383)^($F383-Input!$C$20))</f>
        <v>0.8560822709551229</v>
      </c>
      <c r="S383" s="147">
        <f t="shared" si="208"/>
        <v>6.4519496432803802E-2</v>
      </c>
      <c r="T383" s="147">
        <f t="shared" si="209"/>
        <v>5.5424978794900159E-3</v>
      </c>
      <c r="U383" s="160">
        <f>IF($E383="","",IF($C383=12,INDEX(Input!$C$15:$CP$15,1,$B383),0))</f>
        <v>0</v>
      </c>
      <c r="V383" s="150">
        <f>IF(E383="","",IF(C383=1,IF($B383=1,Input!$C$33,Input!$C$34),0))</f>
        <v>0</v>
      </c>
      <c r="W383" s="156">
        <f>IF($E383="","",Input!$C$35)</f>
        <v>0.02</v>
      </c>
      <c r="X383" s="156">
        <f t="shared" si="248"/>
        <v>1.8475888157854219</v>
      </c>
      <c r="Y383" s="154"/>
      <c r="Z383" s="147">
        <f>IF($E383="","",VLOOKUP($D383,'Mortality Margins &amp; Grading'!$AB$5:$AF$125,3,0)*IF(Summary!$D$25="Included Margin",IF(AND($B383&gt;Input!$C$9,Summary!$D$31&lt;&gt;"Included Margin"),0,1),0))</f>
        <v>2.9000000000000001E-2</v>
      </c>
      <c r="AA383" s="147">
        <f>IF($E383="","",VLOOKUP($D383,'Mortality Margins &amp; Grading'!$AB$5:$AF$125,5,0)*IF(Summary!$D$25="Included Margin",IF(AND($B383&gt;Input!$C$9,Summary!$D$31&lt;&gt;"Included Margin"),0,1),0))</f>
        <v>0.14599999999999999</v>
      </c>
      <c r="AB383" s="147">
        <f>IF($E383="","",IF(AND($B383&gt;Input!$C$9,Summary!$D$31&lt;&gt;"Included Margin"),1,IF(Summary!$D$25="Included Margin",VLOOKUP($B383,'Mortality Margins &amp; Grading'!$AI$5:$AR$125,MATCH('Mortality Margins &amp; Grading'!$AQ$4,'Mortality Margins &amp; Grading'!$AI$4:$AR$4,0),0),1)))</f>
        <v>0.8125</v>
      </c>
      <c r="AC383" s="154"/>
      <c r="AD383" s="158">
        <f>IF(E383="","",Input!$C$48*IF(Summary!$D$30="Included Margin",IF(AND($B383&gt;Input!$C$9,Summary!$D$31&lt;&gt;"Included Margin"),0,1),0))</f>
        <v>-4.4999999999999997E-3</v>
      </c>
      <c r="AE383" s="159">
        <f>IF(E383="","",IF(Summary!$D$26="Included Margin",IF(AND($B383&gt;Input!$C$9,Summary!$D$31&lt;&gt;"Included Margin"),1,1/$R383),1))</f>
        <v>1.1681120307331088</v>
      </c>
      <c r="AF383" s="160">
        <f>IF(E383="","",IF(AND($B383&gt;=Input!$C$9,$C383=12,Summary!$D$31="Included Margin",$U383&gt;0),1/U383-1,IF($B383&gt;=Input!$C$9,0,Input!$C$45*IF(Summary!$D$27="Included Margin",1,0))))</f>
        <v>0</v>
      </c>
      <c r="AG383" s="160">
        <f>IF(E383="","",Input!$C$46*IF(Summary!$D$28="Included Margin",IF(AND($B383&gt;Input!$C$9,Summary!$D$31&lt;&gt;"Included Margin"),0,1),0))</f>
        <v>0.02</v>
      </c>
      <c r="AH383" s="158">
        <f>IF(E383="","",Input!$C$47*IF(Summary!$D$29="Included Margin",IF(AND($B383&gt;Input!$C$9,Summary!$D$31&lt;&gt;"Included Margin"),0,1),0))</f>
        <v>2.5000000000000001E-3</v>
      </c>
      <c r="AI383" s="154"/>
      <c r="AJ383" s="158">
        <f t="shared" si="230"/>
        <v>3.95E-2</v>
      </c>
      <c r="AK383" s="155">
        <f t="shared" si="231"/>
        <v>3.2335356603379051E-3</v>
      </c>
      <c r="AL383" s="147">
        <f t="shared" si="232"/>
        <v>8.3253522937500019E-2</v>
      </c>
      <c r="AM383" s="147">
        <f t="shared" si="210"/>
        <v>7.217520597157745E-3</v>
      </c>
      <c r="AN383" s="160">
        <f t="shared" si="233"/>
        <v>0</v>
      </c>
      <c r="AO383" s="161">
        <f t="shared" si="234"/>
        <v>0</v>
      </c>
      <c r="AP383" s="156">
        <f t="shared" si="211"/>
        <v>1.9932547929327415</v>
      </c>
      <c r="AQ383" s="152"/>
      <c r="AR383" s="162">
        <f t="shared" si="212"/>
        <v>4212.483830049624</v>
      </c>
      <c r="AS383" s="150">
        <f t="shared" si="235"/>
        <v>0</v>
      </c>
      <c r="AT383" s="163">
        <f t="shared" si="213"/>
        <v>0</v>
      </c>
      <c r="AU383" s="163">
        <f t="shared" si="214"/>
        <v>721.75205971577452</v>
      </c>
      <c r="AV383" s="163">
        <f t="shared" si="236"/>
        <v>12.454311171555613</v>
      </c>
      <c r="AW383" s="163">
        <f t="shared" si="215"/>
        <v>25.468148177690782</v>
      </c>
      <c r="AX383" s="163">
        <f t="shared" si="216"/>
        <v>0</v>
      </c>
      <c r="AY383" s="164">
        <f t="shared" si="237"/>
        <v>3528.6542296830958</v>
      </c>
      <c r="AZ383" s="164">
        <f>IF($E383="","",IF(OR(AND($D383=Input!$C$6,$C383=12),$AN383=1),0,-AS384+AT384+AU384-AV384-AW384-AX384+AZ384))</f>
        <v>3528.6561132530919</v>
      </c>
      <c r="BA383" s="154">
        <f t="shared" si="217"/>
        <v>1.8835699961528007E-3</v>
      </c>
      <c r="BC383" s="147">
        <f t="shared" si="238"/>
        <v>1.8684604353604778E-2</v>
      </c>
      <c r="BD383" s="164">
        <f>IF(AND($C382=12,$D382=Input!$C$6),0,IF($E383="","",AT383+(AU383+BD384)/(1+$AK383)*MIN((1-AM383-AN383),1)))</f>
        <v>3433.8692065992609</v>
      </c>
      <c r="BE383" s="164">
        <f t="shared" si="218"/>
        <v>64.160487527333942</v>
      </c>
      <c r="BF383" s="164">
        <f t="shared" si="239"/>
        <v>3528.6561132530919</v>
      </c>
      <c r="BG383" s="164">
        <f t="shared" si="219"/>
        <v>65.931543376062834</v>
      </c>
      <c r="BH383" s="152"/>
      <c r="BI383" s="162">
        <f t="shared" si="220"/>
        <v>330.17044875505019</v>
      </c>
      <c r="BJ383" s="150">
        <f t="shared" si="221"/>
        <v>0</v>
      </c>
      <c r="BK383" s="163">
        <f t="shared" si="243"/>
        <v>0</v>
      </c>
      <c r="BL383" s="163">
        <f t="shared" si="222"/>
        <v>554.24978794900164</v>
      </c>
      <c r="BM383" s="163">
        <f t="shared" si="244"/>
        <v>0.19068478721372986</v>
      </c>
      <c r="BN383" s="163">
        <f t="shared" si="223"/>
        <v>-1.2478084618862217</v>
      </c>
      <c r="BO383" s="163">
        <f t="shared" si="224"/>
        <v>0</v>
      </c>
      <c r="BP383" s="164">
        <f t="shared" si="245"/>
        <v>-225.13646286862394</v>
      </c>
      <c r="BQ383" s="164">
        <f>IF($E383="","",IF(AND($D383=Input!$C$6,$C383=12),0,-BJ384+BK384+BL384-BM384-BN384-BO384+BQ384))</f>
        <v>-225.13467555914281</v>
      </c>
      <c r="BR383" s="161">
        <f t="shared" si="225"/>
        <v>0</v>
      </c>
      <c r="BT383" s="147">
        <f t="shared" si="226"/>
        <v>1.8684604353604778E-2</v>
      </c>
      <c r="BU383" s="164">
        <f>IF(AND($C382=12,$D382=Input!$C$6),0,IF($E383="","",BK383+(BL383+BU384)/(1+$AK383)*MIN((1-T383-U383),1)))</f>
        <v>42049.825703778391</v>
      </c>
      <c r="BV383" s="164">
        <f t="shared" si="227"/>
        <v>785.68435641313988</v>
      </c>
      <c r="BW383" s="164">
        <f t="shared" si="228"/>
        <v>-225.13467555914281</v>
      </c>
      <c r="BX383" s="164">
        <f t="shared" si="229"/>
        <v>-4.2065523390997592</v>
      </c>
    </row>
    <row r="384" spans="1:76" s="150" customFormat="1" x14ac:dyDescent="0.25">
      <c r="A384" s="150">
        <f t="shared" si="240"/>
        <v>380</v>
      </c>
      <c r="B384" s="150">
        <f t="shared" si="241"/>
        <v>32</v>
      </c>
      <c r="C384" s="150">
        <f t="shared" si="242"/>
        <v>8</v>
      </c>
      <c r="D384" s="150">
        <f>IF(E384="","",Input!$C$4+B384-1)</f>
        <v>76</v>
      </c>
      <c r="E384" s="150">
        <f>IF(OR(AND(C383=12,D383=Input!$C$6),E383=""),"",1)</f>
        <v>1</v>
      </c>
      <c r="F384" s="150">
        <f>IF(E384="","",Input!$C$8+B384-1)</f>
        <v>2049</v>
      </c>
      <c r="G384" s="151">
        <f>IF(E384="","",MAX(0,Input!$C$9-B384))</f>
        <v>0</v>
      </c>
      <c r="H384" s="152">
        <f>IF(E384="","",Input!$C$3)</f>
        <v>100000</v>
      </c>
      <c r="I384" s="153">
        <f>IF(E384="","",HLOOKUP($B384,Input!$C$13:$BT$14,2))</f>
        <v>66.934000000000012</v>
      </c>
      <c r="J384" s="154"/>
      <c r="K384" s="155">
        <f>IF($E384="","",INDEX(Input!$C$16:$CP$16,1,$B384))</f>
        <v>2.9000000000000001E-2</v>
      </c>
      <c r="L384" s="155">
        <f>IF($E384="","",Input!$C$37)</f>
        <v>1.4999999999999999E-2</v>
      </c>
      <c r="M384" s="155">
        <f t="shared" si="246"/>
        <v>4.3999999999999997E-2</v>
      </c>
      <c r="N384" s="155">
        <f t="shared" si="247"/>
        <v>3.5947364110451296E-3</v>
      </c>
      <c r="O384" s="147">
        <f>IF($E384="","",MIN(VLOOKUP(IF($B384&lt;=Input!$C$7,$B384,26),'Mortality Tables'!$A$41:$CW$67,IF($B384&lt;=Input!$C$7+1,Input!$C$4+2,$D384-Input!$C$7+2),0)*IF(B384&gt;20,Input!$C$22,1)/1000,1))</f>
        <v>7.5366000000000016E-2</v>
      </c>
      <c r="P384" s="147">
        <f>IF($E384="","",MIN(VLOOKUP(IF($B384&lt;=Input!$C$7,$B384,26),'Mortality Tables'!$A$12:$CW$37,IF($B384&lt;=Input!$C$7+1,Input!$C$4+2,$D384-Input!$C$7+2),0)*IF(B384&gt;20,Input!$C$22,1)/1000,1))</f>
        <v>9.4207500000000013E-2</v>
      </c>
      <c r="Q384" s="155">
        <f>IF($E384="","",Input!$C$21)</f>
        <v>5.0000000000000001E-3</v>
      </c>
      <c r="R384" s="159">
        <f>IF($E384="","",(1-Q384)^($F384-Input!$C$20))</f>
        <v>0.8560822709551229</v>
      </c>
      <c r="S384" s="147">
        <f t="shared" si="208"/>
        <v>6.4519496432803802E-2</v>
      </c>
      <c r="T384" s="147">
        <f t="shared" si="209"/>
        <v>5.5424978794900159E-3</v>
      </c>
      <c r="U384" s="160">
        <f>IF($E384="","",IF($C384=12,INDEX(Input!$C$15:$CP$15,1,$B384),0))</f>
        <v>0</v>
      </c>
      <c r="V384" s="150">
        <f>IF(E384="","",IF(C384=1,IF($B384=1,Input!$C$33,Input!$C$34),0))</f>
        <v>0</v>
      </c>
      <c r="W384" s="156">
        <f>IF($E384="","",Input!$C$35)</f>
        <v>0.02</v>
      </c>
      <c r="X384" s="156">
        <f t="shared" si="248"/>
        <v>1.8475888157854219</v>
      </c>
      <c r="Y384" s="154"/>
      <c r="Z384" s="147">
        <f>IF($E384="","",VLOOKUP($D384,'Mortality Margins &amp; Grading'!$AB$5:$AF$125,3,0)*IF(Summary!$D$25="Included Margin",IF(AND($B384&gt;Input!$C$9,Summary!$D$31&lt;&gt;"Included Margin"),0,1),0))</f>
        <v>2.9000000000000001E-2</v>
      </c>
      <c r="AA384" s="147">
        <f>IF($E384="","",VLOOKUP($D384,'Mortality Margins &amp; Grading'!$AB$5:$AF$125,5,0)*IF(Summary!$D$25="Included Margin",IF(AND($B384&gt;Input!$C$9,Summary!$D$31&lt;&gt;"Included Margin"),0,1),0))</f>
        <v>0.14599999999999999</v>
      </c>
      <c r="AB384" s="147">
        <f>IF($E384="","",IF(AND($B384&gt;Input!$C$9,Summary!$D$31&lt;&gt;"Included Margin"),1,IF(Summary!$D$25="Included Margin",VLOOKUP($B384,'Mortality Margins &amp; Grading'!$AI$5:$AR$125,MATCH('Mortality Margins &amp; Grading'!$AQ$4,'Mortality Margins &amp; Grading'!$AI$4:$AR$4,0),0),1)))</f>
        <v>0.8125</v>
      </c>
      <c r="AC384" s="154"/>
      <c r="AD384" s="158">
        <f>IF(E384="","",Input!$C$48*IF(Summary!$D$30="Included Margin",IF(AND($B384&gt;Input!$C$9,Summary!$D$31&lt;&gt;"Included Margin"),0,1),0))</f>
        <v>-4.4999999999999997E-3</v>
      </c>
      <c r="AE384" s="159">
        <f>IF(E384="","",IF(Summary!$D$26="Included Margin",IF(AND($B384&gt;Input!$C$9,Summary!$D$31&lt;&gt;"Included Margin"),1,1/$R384),1))</f>
        <v>1.1681120307331088</v>
      </c>
      <c r="AF384" s="160">
        <f>IF(E384="","",IF(AND($B384&gt;=Input!$C$9,$C384=12,Summary!$D$31="Included Margin",$U384&gt;0),1/U384-1,IF($B384&gt;=Input!$C$9,0,Input!$C$45*IF(Summary!$D$27="Included Margin",1,0))))</f>
        <v>0</v>
      </c>
      <c r="AG384" s="160">
        <f>IF(E384="","",Input!$C$46*IF(Summary!$D$28="Included Margin",IF(AND($B384&gt;Input!$C$9,Summary!$D$31&lt;&gt;"Included Margin"),0,1),0))</f>
        <v>0.02</v>
      </c>
      <c r="AH384" s="158">
        <f>IF(E384="","",Input!$C$47*IF(Summary!$D$29="Included Margin",IF(AND($B384&gt;Input!$C$9,Summary!$D$31&lt;&gt;"Included Margin"),0,1),0))</f>
        <v>2.5000000000000001E-3</v>
      </c>
      <c r="AI384" s="154"/>
      <c r="AJ384" s="158">
        <f t="shared" si="230"/>
        <v>3.95E-2</v>
      </c>
      <c r="AK384" s="155">
        <f t="shared" si="231"/>
        <v>3.2335356603379051E-3</v>
      </c>
      <c r="AL384" s="147">
        <f t="shared" si="232"/>
        <v>8.3253522937500019E-2</v>
      </c>
      <c r="AM384" s="147">
        <f t="shared" si="210"/>
        <v>7.217520597157745E-3</v>
      </c>
      <c r="AN384" s="160">
        <f t="shared" si="233"/>
        <v>0</v>
      </c>
      <c r="AO384" s="161">
        <f t="shared" si="234"/>
        <v>0</v>
      </c>
      <c r="AP384" s="156">
        <f t="shared" si="211"/>
        <v>1.9932547929327415</v>
      </c>
      <c r="AQ384" s="152"/>
      <c r="AR384" s="162">
        <f t="shared" si="212"/>
        <v>3528.6542296830949</v>
      </c>
      <c r="AS384" s="150">
        <f t="shared" si="235"/>
        <v>0</v>
      </c>
      <c r="AT384" s="163">
        <f t="shared" si="213"/>
        <v>0</v>
      </c>
      <c r="AU384" s="163">
        <f t="shared" si="214"/>
        <v>721.75205971577452</v>
      </c>
      <c r="AV384" s="163">
        <f t="shared" si="236"/>
        <v>10.243123773175823</v>
      </c>
      <c r="AW384" s="163">
        <f t="shared" si="215"/>
        <v>20.480637198284821</v>
      </c>
      <c r="AX384" s="163">
        <f t="shared" si="216"/>
        <v>0</v>
      </c>
      <c r="AY384" s="165">
        <f t="shared" si="237"/>
        <v>2837.625930938781</v>
      </c>
      <c r="AZ384" s="164">
        <f>IF($E384="","",IF(OR(AND($D384=Input!$C$6,$C384=12),$AN384=1),0,-AS385+AT385+AU385-AV385-AW385-AX385+AZ385))</f>
        <v>2837.6278145087781</v>
      </c>
      <c r="BA384" s="154">
        <f t="shared" si="217"/>
        <v>1.8835699970622954E-3</v>
      </c>
      <c r="BC384" s="147">
        <f t="shared" si="238"/>
        <v>1.8581044973595813E-2</v>
      </c>
      <c r="BD384" s="164">
        <f>IF(AND($C383=12,$D383=Input!$C$6),0,IF($E384="","",AT384+(AU384+BD385)/(1+$AK384)*MIN((1-AM384-AN384),1)))</f>
        <v>2748.2656094154167</v>
      </c>
      <c r="BE384" s="164">
        <f t="shared" si="218"/>
        <v>51.065646887934562</v>
      </c>
      <c r="BF384" s="164">
        <f t="shared" si="239"/>
        <v>2837.6278145087781</v>
      </c>
      <c r="BG384" s="164">
        <f t="shared" si="219"/>
        <v>52.726090039714002</v>
      </c>
      <c r="BH384" s="152"/>
      <c r="BI384" s="162">
        <f t="shared" si="220"/>
        <v>-225.13646286862399</v>
      </c>
      <c r="BJ384" s="150">
        <f t="shared" si="221"/>
        <v>0</v>
      </c>
      <c r="BK384" s="163">
        <f t="shared" si="243"/>
        <v>0</v>
      </c>
      <c r="BL384" s="163">
        <f t="shared" si="222"/>
        <v>554.24978794900164</v>
      </c>
      <c r="BM384" s="163">
        <f t="shared" si="244"/>
        <v>-1.8054971873049117</v>
      </c>
      <c r="BN384" s="163">
        <f t="shared" si="223"/>
        <v>-4.3538750438314171</v>
      </c>
      <c r="BO384" s="163">
        <f t="shared" si="224"/>
        <v>0</v>
      </c>
      <c r="BP384" s="164">
        <f t="shared" si="245"/>
        <v>-785.54562304876197</v>
      </c>
      <c r="BQ384" s="164">
        <f>IF($E384="","",IF(AND($D384=Input!$C$6,$C384=12),0,-BJ385+BK385+BL385-BM385-BN385-BO385+BQ385))</f>
        <v>-785.54383573928078</v>
      </c>
      <c r="BR384" s="161">
        <f t="shared" si="225"/>
        <v>0</v>
      </c>
      <c r="BT384" s="147">
        <f t="shared" si="226"/>
        <v>1.8581044973595813E-2</v>
      </c>
      <c r="BU384" s="164">
        <f>IF(AND($C383=12,$D383=Input!$C$6),0,IF($E384="","",BK384+(BL384+BU385)/(1+$AK384)*MIN((1-T384-U384),1)))</f>
        <v>41866.663347854774</v>
      </c>
      <c r="BV384" s="164">
        <f t="shared" si="227"/>
        <v>777.92635456088499</v>
      </c>
      <c r="BW384" s="164">
        <f t="shared" si="228"/>
        <v>-785.54383573928078</v>
      </c>
      <c r="BX384" s="164">
        <f t="shared" si="229"/>
        <v>-14.596225340602539</v>
      </c>
    </row>
    <row r="385" spans="1:76" s="150" customFormat="1" x14ac:dyDescent="0.25">
      <c r="A385" s="150">
        <f t="shared" si="240"/>
        <v>381</v>
      </c>
      <c r="B385" s="150">
        <f t="shared" si="241"/>
        <v>32</v>
      </c>
      <c r="C385" s="150">
        <f t="shared" si="242"/>
        <v>9</v>
      </c>
      <c r="D385" s="150">
        <f>IF(E385="","",Input!$C$4+B385-1)</f>
        <v>76</v>
      </c>
      <c r="E385" s="150">
        <f>IF(OR(AND(C384=12,D384=Input!$C$6),E384=""),"",1)</f>
        <v>1</v>
      </c>
      <c r="F385" s="150">
        <f>IF(E385="","",Input!$C$8+B385-1)</f>
        <v>2049</v>
      </c>
      <c r="G385" s="151">
        <f>IF(E385="","",MAX(0,Input!$C$9-B385))</f>
        <v>0</v>
      </c>
      <c r="H385" s="152">
        <f>IF(E385="","",Input!$C$3)</f>
        <v>100000</v>
      </c>
      <c r="I385" s="153">
        <f>IF(E385="","",HLOOKUP($B385,Input!$C$13:$BT$14,2))</f>
        <v>66.934000000000012</v>
      </c>
      <c r="J385" s="154"/>
      <c r="K385" s="155">
        <f>IF($E385="","",INDEX(Input!$C$16:$CP$16,1,$B385))</f>
        <v>2.9000000000000001E-2</v>
      </c>
      <c r="L385" s="155">
        <f>IF($E385="","",Input!$C$37)</f>
        <v>1.4999999999999999E-2</v>
      </c>
      <c r="M385" s="155">
        <f t="shared" si="246"/>
        <v>4.3999999999999997E-2</v>
      </c>
      <c r="N385" s="155">
        <f t="shared" si="247"/>
        <v>3.5947364110451296E-3</v>
      </c>
      <c r="O385" s="147">
        <f>IF($E385="","",MIN(VLOOKUP(IF($B385&lt;=Input!$C$7,$B385,26),'Mortality Tables'!$A$41:$CW$67,IF($B385&lt;=Input!$C$7+1,Input!$C$4+2,$D385-Input!$C$7+2),0)*IF(B385&gt;20,Input!$C$22,1)/1000,1))</f>
        <v>7.5366000000000016E-2</v>
      </c>
      <c r="P385" s="147">
        <f>IF($E385="","",MIN(VLOOKUP(IF($B385&lt;=Input!$C$7,$B385,26),'Mortality Tables'!$A$12:$CW$37,IF($B385&lt;=Input!$C$7+1,Input!$C$4+2,$D385-Input!$C$7+2),0)*IF(B385&gt;20,Input!$C$22,1)/1000,1))</f>
        <v>9.4207500000000013E-2</v>
      </c>
      <c r="Q385" s="155">
        <f>IF($E385="","",Input!$C$21)</f>
        <v>5.0000000000000001E-3</v>
      </c>
      <c r="R385" s="159">
        <f>IF($E385="","",(1-Q385)^($F385-Input!$C$20))</f>
        <v>0.8560822709551229</v>
      </c>
      <c r="S385" s="147">
        <f t="shared" si="208"/>
        <v>6.4519496432803802E-2</v>
      </c>
      <c r="T385" s="147">
        <f t="shared" si="209"/>
        <v>5.5424978794900159E-3</v>
      </c>
      <c r="U385" s="160">
        <f>IF($E385="","",IF($C385=12,INDEX(Input!$C$15:$CP$15,1,$B385),0))</f>
        <v>0</v>
      </c>
      <c r="V385" s="150">
        <f>IF(E385="","",IF(C385=1,IF($B385=1,Input!$C$33,Input!$C$34),0))</f>
        <v>0</v>
      </c>
      <c r="W385" s="156">
        <f>IF($E385="","",Input!$C$35)</f>
        <v>0.02</v>
      </c>
      <c r="X385" s="156">
        <f t="shared" si="248"/>
        <v>1.8475888157854219</v>
      </c>
      <c r="Y385" s="154"/>
      <c r="Z385" s="147">
        <f>IF($E385="","",VLOOKUP($D385,'Mortality Margins &amp; Grading'!$AB$5:$AF$125,3,0)*IF(Summary!$D$25="Included Margin",IF(AND($B385&gt;Input!$C$9,Summary!$D$31&lt;&gt;"Included Margin"),0,1),0))</f>
        <v>2.9000000000000001E-2</v>
      </c>
      <c r="AA385" s="147">
        <f>IF($E385="","",VLOOKUP($D385,'Mortality Margins &amp; Grading'!$AB$5:$AF$125,5,0)*IF(Summary!$D$25="Included Margin",IF(AND($B385&gt;Input!$C$9,Summary!$D$31&lt;&gt;"Included Margin"),0,1),0))</f>
        <v>0.14599999999999999</v>
      </c>
      <c r="AB385" s="147">
        <f>IF($E385="","",IF(AND($B385&gt;Input!$C$9,Summary!$D$31&lt;&gt;"Included Margin"),1,IF(Summary!$D$25="Included Margin",VLOOKUP($B385,'Mortality Margins &amp; Grading'!$AI$5:$AR$125,MATCH('Mortality Margins &amp; Grading'!$AQ$4,'Mortality Margins &amp; Grading'!$AI$4:$AR$4,0),0),1)))</f>
        <v>0.8125</v>
      </c>
      <c r="AC385" s="154"/>
      <c r="AD385" s="158">
        <f>IF(E385="","",Input!$C$48*IF(Summary!$D$30="Included Margin",IF(AND($B385&gt;Input!$C$9,Summary!$D$31&lt;&gt;"Included Margin"),0,1),0))</f>
        <v>-4.4999999999999997E-3</v>
      </c>
      <c r="AE385" s="159">
        <f>IF(E385="","",IF(Summary!$D$26="Included Margin",IF(AND($B385&gt;Input!$C$9,Summary!$D$31&lt;&gt;"Included Margin"),1,1/$R385),1))</f>
        <v>1.1681120307331088</v>
      </c>
      <c r="AF385" s="160">
        <f>IF(E385="","",IF(AND($B385&gt;=Input!$C$9,$C385=12,Summary!$D$31="Included Margin",$U385&gt;0),1/U385-1,IF($B385&gt;=Input!$C$9,0,Input!$C$45*IF(Summary!$D$27="Included Margin",1,0))))</f>
        <v>0</v>
      </c>
      <c r="AG385" s="160">
        <f>IF(E385="","",Input!$C$46*IF(Summary!$D$28="Included Margin",IF(AND($B385&gt;Input!$C$9,Summary!$D$31&lt;&gt;"Included Margin"),0,1),0))</f>
        <v>0.02</v>
      </c>
      <c r="AH385" s="158">
        <f>IF(E385="","",Input!$C$47*IF(Summary!$D$29="Included Margin",IF(AND($B385&gt;Input!$C$9,Summary!$D$31&lt;&gt;"Included Margin"),0,1),0))</f>
        <v>2.5000000000000001E-3</v>
      </c>
      <c r="AI385" s="154"/>
      <c r="AJ385" s="158">
        <f t="shared" si="230"/>
        <v>3.95E-2</v>
      </c>
      <c r="AK385" s="155">
        <f t="shared" si="231"/>
        <v>3.2335356603379051E-3</v>
      </c>
      <c r="AL385" s="147">
        <f t="shared" si="232"/>
        <v>8.3253522937500019E-2</v>
      </c>
      <c r="AM385" s="147">
        <f t="shared" si="210"/>
        <v>7.217520597157745E-3</v>
      </c>
      <c r="AN385" s="160">
        <f t="shared" si="233"/>
        <v>0</v>
      </c>
      <c r="AO385" s="161">
        <f t="shared" si="234"/>
        <v>0</v>
      </c>
      <c r="AP385" s="156">
        <f t="shared" si="211"/>
        <v>1.9932547929327415</v>
      </c>
      <c r="AQ385" s="152"/>
      <c r="AR385" s="162">
        <f t="shared" si="212"/>
        <v>2837.6259309387815</v>
      </c>
      <c r="AS385" s="150">
        <f t="shared" si="235"/>
        <v>0</v>
      </c>
      <c r="AT385" s="163">
        <f t="shared" si="213"/>
        <v>0</v>
      </c>
      <c r="AU385" s="163">
        <f t="shared" si="214"/>
        <v>721.75205971577452</v>
      </c>
      <c r="AV385" s="163">
        <f t="shared" si="236"/>
        <v>8.0086591268834511</v>
      </c>
      <c r="AW385" s="163">
        <f t="shared" si="215"/>
        <v>15.440622514480287</v>
      </c>
      <c r="AX385" s="163">
        <f t="shared" si="216"/>
        <v>0</v>
      </c>
      <c r="AY385" s="164">
        <f t="shared" si="237"/>
        <v>2139.3231528643705</v>
      </c>
      <c r="AZ385" s="164">
        <f>IF($E385="","",IF(OR(AND($D385=Input!$C$6,$C385=12),$AN385=1),0,-AS386+AT386+AU386-AV386-AW386-AX386+AZ386))</f>
        <v>2139.3250364343671</v>
      </c>
      <c r="BA385" s="154">
        <f t="shared" si="217"/>
        <v>1.8835699966075481E-3</v>
      </c>
      <c r="BC385" s="147">
        <f t="shared" si="238"/>
        <v>1.8478059571230949E-2</v>
      </c>
      <c r="BD385" s="164">
        <f>IF(AND($C384=12,$D384=Input!$C$6),0,IF($E385="","",AT385+(AU385+BD386)/(1+$AK385)*MIN((1-AM385-AN385),1)))</f>
        <v>2055.4446389265768</v>
      </c>
      <c r="BE385" s="164">
        <f t="shared" si="218"/>
        <v>37.980628483452577</v>
      </c>
      <c r="BF385" s="164">
        <f t="shared" si="239"/>
        <v>2139.3250364343671</v>
      </c>
      <c r="BG385" s="164">
        <f t="shared" si="219"/>
        <v>39.530575465460061</v>
      </c>
      <c r="BH385" s="152"/>
      <c r="BI385" s="162">
        <f t="shared" si="220"/>
        <v>-785.54562304876197</v>
      </c>
      <c r="BJ385" s="150">
        <f t="shared" si="221"/>
        <v>0</v>
      </c>
      <c r="BK385" s="163">
        <f t="shared" si="243"/>
        <v>0</v>
      </c>
      <c r="BL385" s="163">
        <f t="shared" si="222"/>
        <v>554.24978794900164</v>
      </c>
      <c r="BM385" s="163">
        <f t="shared" si="244"/>
        <v>-3.8200204004876763</v>
      </c>
      <c r="BN385" s="163">
        <f t="shared" si="223"/>
        <v>-7.488480661402285</v>
      </c>
      <c r="BO385" s="163">
        <f t="shared" si="224"/>
        <v>0</v>
      </c>
      <c r="BP385" s="164">
        <f t="shared" si="245"/>
        <v>-1351.1039120596536</v>
      </c>
      <c r="BQ385" s="164">
        <f>IF($E385="","",IF(AND($D385=Input!$C$6,$C385=12),0,-BJ386+BK386+BL386-BM386-BN386-BO386+BQ386))</f>
        <v>-1351.1021247501724</v>
      </c>
      <c r="BR385" s="161">
        <f t="shared" si="225"/>
        <v>0</v>
      </c>
      <c r="BT385" s="147">
        <f t="shared" si="226"/>
        <v>1.8478059571230949E-2</v>
      </c>
      <c r="BU385" s="164">
        <f>IF(AND($C384=12,$D384=Input!$C$6),0,IF($E385="","",BK385+(BL385+BU386)/(1+$AK385)*MIN((1-T385-U385),1)))</f>
        <v>41681.884594070616</v>
      </c>
      <c r="BV385" s="164">
        <f t="shared" si="227"/>
        <v>770.20034657041037</v>
      </c>
      <c r="BW385" s="164">
        <f t="shared" si="228"/>
        <v>-1351.1021247501724</v>
      </c>
      <c r="BX385" s="164">
        <f t="shared" si="229"/>
        <v>-24.965745547950394</v>
      </c>
    </row>
    <row r="386" spans="1:76" s="150" customFormat="1" x14ac:dyDescent="0.25">
      <c r="A386" s="150">
        <f t="shared" si="240"/>
        <v>382</v>
      </c>
      <c r="B386" s="150">
        <f t="shared" si="241"/>
        <v>32</v>
      </c>
      <c r="C386" s="150">
        <f t="shared" si="242"/>
        <v>10</v>
      </c>
      <c r="D386" s="150">
        <f>IF(E386="","",Input!$C$4+B386-1)</f>
        <v>76</v>
      </c>
      <c r="E386" s="150">
        <f>IF(OR(AND(C385=12,D385=Input!$C$6),E385=""),"",1)</f>
        <v>1</v>
      </c>
      <c r="F386" s="150">
        <f>IF(E386="","",Input!$C$8+B386-1)</f>
        <v>2049</v>
      </c>
      <c r="G386" s="151">
        <f>IF(E386="","",MAX(0,Input!$C$9-B386))</f>
        <v>0</v>
      </c>
      <c r="H386" s="152">
        <f>IF(E386="","",Input!$C$3)</f>
        <v>100000</v>
      </c>
      <c r="I386" s="153">
        <f>IF(E386="","",HLOOKUP($B386,Input!$C$13:$BT$14,2))</f>
        <v>66.934000000000012</v>
      </c>
      <c r="J386" s="154"/>
      <c r="K386" s="155">
        <f>IF($E386="","",INDEX(Input!$C$16:$CP$16,1,$B386))</f>
        <v>2.9000000000000001E-2</v>
      </c>
      <c r="L386" s="155">
        <f>IF($E386="","",Input!$C$37)</f>
        <v>1.4999999999999999E-2</v>
      </c>
      <c r="M386" s="155">
        <f t="shared" si="246"/>
        <v>4.3999999999999997E-2</v>
      </c>
      <c r="N386" s="155">
        <f t="shared" si="247"/>
        <v>3.5947364110451296E-3</v>
      </c>
      <c r="O386" s="147">
        <f>IF($E386="","",MIN(VLOOKUP(IF($B386&lt;=Input!$C$7,$B386,26),'Mortality Tables'!$A$41:$CW$67,IF($B386&lt;=Input!$C$7+1,Input!$C$4+2,$D386-Input!$C$7+2),0)*IF(B386&gt;20,Input!$C$22,1)/1000,1))</f>
        <v>7.5366000000000016E-2</v>
      </c>
      <c r="P386" s="147">
        <f>IF($E386="","",MIN(VLOOKUP(IF($B386&lt;=Input!$C$7,$B386,26),'Mortality Tables'!$A$12:$CW$37,IF($B386&lt;=Input!$C$7+1,Input!$C$4+2,$D386-Input!$C$7+2),0)*IF(B386&gt;20,Input!$C$22,1)/1000,1))</f>
        <v>9.4207500000000013E-2</v>
      </c>
      <c r="Q386" s="155">
        <f>IF($E386="","",Input!$C$21)</f>
        <v>5.0000000000000001E-3</v>
      </c>
      <c r="R386" s="159">
        <f>IF($E386="","",(1-Q386)^($F386-Input!$C$20))</f>
        <v>0.8560822709551229</v>
      </c>
      <c r="S386" s="147">
        <f t="shared" si="208"/>
        <v>6.4519496432803802E-2</v>
      </c>
      <c r="T386" s="147">
        <f t="shared" si="209"/>
        <v>5.5424978794900159E-3</v>
      </c>
      <c r="U386" s="160">
        <f>IF($E386="","",IF($C386=12,INDEX(Input!$C$15:$CP$15,1,$B386),0))</f>
        <v>0</v>
      </c>
      <c r="V386" s="150">
        <f>IF(E386="","",IF(C386=1,IF($B386=1,Input!$C$33,Input!$C$34),0))</f>
        <v>0</v>
      </c>
      <c r="W386" s="156">
        <f>IF($E386="","",Input!$C$35)</f>
        <v>0.02</v>
      </c>
      <c r="X386" s="156">
        <f t="shared" si="248"/>
        <v>1.8475888157854219</v>
      </c>
      <c r="Y386" s="154"/>
      <c r="Z386" s="147">
        <f>IF($E386="","",VLOOKUP($D386,'Mortality Margins &amp; Grading'!$AB$5:$AF$125,3,0)*IF(Summary!$D$25="Included Margin",IF(AND($B386&gt;Input!$C$9,Summary!$D$31&lt;&gt;"Included Margin"),0,1),0))</f>
        <v>2.9000000000000001E-2</v>
      </c>
      <c r="AA386" s="147">
        <f>IF($E386="","",VLOOKUP($D386,'Mortality Margins &amp; Grading'!$AB$5:$AF$125,5,0)*IF(Summary!$D$25="Included Margin",IF(AND($B386&gt;Input!$C$9,Summary!$D$31&lt;&gt;"Included Margin"),0,1),0))</f>
        <v>0.14599999999999999</v>
      </c>
      <c r="AB386" s="147">
        <f>IF($E386="","",IF(AND($B386&gt;Input!$C$9,Summary!$D$31&lt;&gt;"Included Margin"),1,IF(Summary!$D$25="Included Margin",VLOOKUP($B386,'Mortality Margins &amp; Grading'!$AI$5:$AR$125,MATCH('Mortality Margins &amp; Grading'!$AQ$4,'Mortality Margins &amp; Grading'!$AI$4:$AR$4,0),0),1)))</f>
        <v>0.8125</v>
      </c>
      <c r="AC386" s="154"/>
      <c r="AD386" s="158">
        <f>IF(E386="","",Input!$C$48*IF(Summary!$D$30="Included Margin",IF(AND($B386&gt;Input!$C$9,Summary!$D$31&lt;&gt;"Included Margin"),0,1),0))</f>
        <v>-4.4999999999999997E-3</v>
      </c>
      <c r="AE386" s="159">
        <f>IF(E386="","",IF(Summary!$D$26="Included Margin",IF(AND($B386&gt;Input!$C$9,Summary!$D$31&lt;&gt;"Included Margin"),1,1/$R386),1))</f>
        <v>1.1681120307331088</v>
      </c>
      <c r="AF386" s="160">
        <f>IF(E386="","",IF(AND($B386&gt;=Input!$C$9,$C386=12,Summary!$D$31="Included Margin",$U386&gt;0),1/U386-1,IF($B386&gt;=Input!$C$9,0,Input!$C$45*IF(Summary!$D$27="Included Margin",1,0))))</f>
        <v>0</v>
      </c>
      <c r="AG386" s="160">
        <f>IF(E386="","",Input!$C$46*IF(Summary!$D$28="Included Margin",IF(AND($B386&gt;Input!$C$9,Summary!$D$31&lt;&gt;"Included Margin"),0,1),0))</f>
        <v>0.02</v>
      </c>
      <c r="AH386" s="158">
        <f>IF(E386="","",Input!$C$47*IF(Summary!$D$29="Included Margin",IF(AND($B386&gt;Input!$C$9,Summary!$D$31&lt;&gt;"Included Margin"),0,1),0))</f>
        <v>2.5000000000000001E-3</v>
      </c>
      <c r="AI386" s="154"/>
      <c r="AJ386" s="158">
        <f t="shared" si="230"/>
        <v>3.95E-2</v>
      </c>
      <c r="AK386" s="155">
        <f t="shared" si="231"/>
        <v>3.2335356603379051E-3</v>
      </c>
      <c r="AL386" s="147">
        <f t="shared" si="232"/>
        <v>8.3253522937500019E-2</v>
      </c>
      <c r="AM386" s="147">
        <f t="shared" si="210"/>
        <v>7.217520597157745E-3</v>
      </c>
      <c r="AN386" s="160">
        <f t="shared" si="233"/>
        <v>0</v>
      </c>
      <c r="AO386" s="161">
        <f t="shared" si="234"/>
        <v>0</v>
      </c>
      <c r="AP386" s="156">
        <f t="shared" si="211"/>
        <v>1.9932547929327415</v>
      </c>
      <c r="AQ386" s="152"/>
      <c r="AR386" s="162">
        <f t="shared" si="212"/>
        <v>2139.3231528643705</v>
      </c>
      <c r="AS386" s="150">
        <f t="shared" si="235"/>
        <v>0</v>
      </c>
      <c r="AT386" s="163">
        <f t="shared" si="213"/>
        <v>0</v>
      </c>
      <c r="AU386" s="163">
        <f t="shared" si="214"/>
        <v>721.75205971577452</v>
      </c>
      <c r="AV386" s="163">
        <f t="shared" si="236"/>
        <v>5.7506721922668165</v>
      </c>
      <c r="AW386" s="163">
        <f t="shared" si="215"/>
        <v>10.347551417924869</v>
      </c>
      <c r="AX386" s="163">
        <f t="shared" si="216"/>
        <v>0</v>
      </c>
      <c r="AY386" s="165">
        <f t="shared" si="237"/>
        <v>1433.6693167587878</v>
      </c>
      <c r="AZ386" s="164">
        <f>IF($E386="","",IF(OR(AND($D386=Input!$C$6,$C386=12),$AN386=1),0,-AS387+AT387+AU387-AV387-AW387-AX387+AZ387))</f>
        <v>1433.6712003287844</v>
      </c>
      <c r="BA386" s="154">
        <f t="shared" si="217"/>
        <v>1.8835699966075481E-3</v>
      </c>
      <c r="BC386" s="147">
        <f t="shared" si="238"/>
        <v>1.8375644965240311E-2</v>
      </c>
      <c r="BD386" s="164">
        <f>IF(AND($C385=12,$D385=Input!$C$6),0,IF($E386="","",AT386+(AU386+BD387)/(1+$AK386)*MIN((1-AM386-AN386),1)))</f>
        <v>1355.3303175888109</v>
      </c>
      <c r="BE386" s="164">
        <f t="shared" si="218"/>
        <v>24.905068726638383</v>
      </c>
      <c r="BF386" s="164">
        <f t="shared" si="239"/>
        <v>1433.6712003287844</v>
      </c>
      <c r="BG386" s="164">
        <f t="shared" si="219"/>
        <v>26.34463297413166</v>
      </c>
      <c r="BH386" s="152"/>
      <c r="BI386" s="162">
        <f t="shared" si="220"/>
        <v>-1351.1039120596533</v>
      </c>
      <c r="BJ386" s="150">
        <f t="shared" si="221"/>
        <v>0</v>
      </c>
      <c r="BK386" s="163">
        <f t="shared" si="243"/>
        <v>0</v>
      </c>
      <c r="BL386" s="163">
        <f t="shared" si="222"/>
        <v>554.24978794900164</v>
      </c>
      <c r="BM386" s="163">
        <f t="shared" si="244"/>
        <v>-5.8530533745635118</v>
      </c>
      <c r="BN386" s="163">
        <f t="shared" si="223"/>
        <v>-10.651887535814295</v>
      </c>
      <c r="BO386" s="163">
        <f t="shared" si="224"/>
        <v>0</v>
      </c>
      <c r="BP386" s="164">
        <f t="shared" si="245"/>
        <v>-1921.8586409190327</v>
      </c>
      <c r="BQ386" s="164">
        <f>IF($E386="","",IF(AND($D386=Input!$C$6,$C386=12),0,-BJ387+BK387+BL387-BM387-BN387-BO387+BQ387))</f>
        <v>-1921.8568536095518</v>
      </c>
      <c r="BR386" s="161">
        <f t="shared" si="225"/>
        <v>0</v>
      </c>
      <c r="BT386" s="147">
        <f t="shared" si="226"/>
        <v>1.8375644965240311E-2</v>
      </c>
      <c r="BU386" s="164">
        <f>IF(AND($C385=12,$D385=Input!$C$6),0,IF($E386="","",BK386+(BL386+BU387)/(1+$AK386)*MIN((1-T386-U386),1)))</f>
        <v>41495.475177802444</v>
      </c>
      <c r="BV386" s="164">
        <f t="shared" si="227"/>
        <v>762.50611953123973</v>
      </c>
      <c r="BW386" s="164">
        <f t="shared" si="228"/>
        <v>-1921.8568536095518</v>
      </c>
      <c r="BX386" s="164">
        <f t="shared" si="229"/>
        <v>-35.315359215942948</v>
      </c>
    </row>
    <row r="387" spans="1:76" s="150" customFormat="1" x14ac:dyDescent="0.25">
      <c r="A387" s="150">
        <f t="shared" si="240"/>
        <v>383</v>
      </c>
      <c r="B387" s="150">
        <f t="shared" si="241"/>
        <v>32</v>
      </c>
      <c r="C387" s="150">
        <f t="shared" si="242"/>
        <v>11</v>
      </c>
      <c r="D387" s="150">
        <f>IF(E387="","",Input!$C$4+B387-1)</f>
        <v>76</v>
      </c>
      <c r="E387" s="150">
        <f>IF(OR(AND(C386=12,D386=Input!$C$6),E386=""),"",1)</f>
        <v>1</v>
      </c>
      <c r="F387" s="150">
        <f>IF(E387="","",Input!$C$8+B387-1)</f>
        <v>2049</v>
      </c>
      <c r="G387" s="151">
        <f>IF(E387="","",MAX(0,Input!$C$9-B387))</f>
        <v>0</v>
      </c>
      <c r="H387" s="152">
        <f>IF(E387="","",Input!$C$3)</f>
        <v>100000</v>
      </c>
      <c r="I387" s="153">
        <f>IF(E387="","",HLOOKUP($B387,Input!$C$13:$BT$14,2))</f>
        <v>66.934000000000012</v>
      </c>
      <c r="J387" s="154"/>
      <c r="K387" s="155">
        <f>IF($E387="","",INDEX(Input!$C$16:$CP$16,1,$B387))</f>
        <v>2.9000000000000001E-2</v>
      </c>
      <c r="L387" s="155">
        <f>IF($E387="","",Input!$C$37)</f>
        <v>1.4999999999999999E-2</v>
      </c>
      <c r="M387" s="155">
        <f t="shared" si="246"/>
        <v>4.3999999999999997E-2</v>
      </c>
      <c r="N387" s="155">
        <f t="shared" si="247"/>
        <v>3.5947364110451296E-3</v>
      </c>
      <c r="O387" s="147">
        <f>IF($E387="","",MIN(VLOOKUP(IF($B387&lt;=Input!$C$7,$B387,26),'Mortality Tables'!$A$41:$CW$67,IF($B387&lt;=Input!$C$7+1,Input!$C$4+2,$D387-Input!$C$7+2),0)*IF(B387&gt;20,Input!$C$22,1)/1000,1))</f>
        <v>7.5366000000000016E-2</v>
      </c>
      <c r="P387" s="147">
        <f>IF($E387="","",MIN(VLOOKUP(IF($B387&lt;=Input!$C$7,$B387,26),'Mortality Tables'!$A$12:$CW$37,IF($B387&lt;=Input!$C$7+1,Input!$C$4+2,$D387-Input!$C$7+2),0)*IF(B387&gt;20,Input!$C$22,1)/1000,1))</f>
        <v>9.4207500000000013E-2</v>
      </c>
      <c r="Q387" s="155">
        <f>IF($E387="","",Input!$C$21)</f>
        <v>5.0000000000000001E-3</v>
      </c>
      <c r="R387" s="159">
        <f>IF($E387="","",(1-Q387)^($F387-Input!$C$20))</f>
        <v>0.8560822709551229</v>
      </c>
      <c r="S387" s="147">
        <f t="shared" si="208"/>
        <v>6.4519496432803802E-2</v>
      </c>
      <c r="T387" s="147">
        <f t="shared" si="209"/>
        <v>5.5424978794900159E-3</v>
      </c>
      <c r="U387" s="160">
        <f>IF($E387="","",IF($C387=12,INDEX(Input!$C$15:$CP$15,1,$B387),0))</f>
        <v>0</v>
      </c>
      <c r="V387" s="150">
        <f>IF(E387="","",IF(C387=1,IF($B387=1,Input!$C$33,Input!$C$34),0))</f>
        <v>0</v>
      </c>
      <c r="W387" s="156">
        <f>IF($E387="","",Input!$C$35)</f>
        <v>0.02</v>
      </c>
      <c r="X387" s="156">
        <f t="shared" si="248"/>
        <v>1.8475888157854219</v>
      </c>
      <c r="Y387" s="154"/>
      <c r="Z387" s="147">
        <f>IF($E387="","",VLOOKUP($D387,'Mortality Margins &amp; Grading'!$AB$5:$AF$125,3,0)*IF(Summary!$D$25="Included Margin",IF(AND($B387&gt;Input!$C$9,Summary!$D$31&lt;&gt;"Included Margin"),0,1),0))</f>
        <v>2.9000000000000001E-2</v>
      </c>
      <c r="AA387" s="147">
        <f>IF($E387="","",VLOOKUP($D387,'Mortality Margins &amp; Grading'!$AB$5:$AF$125,5,0)*IF(Summary!$D$25="Included Margin",IF(AND($B387&gt;Input!$C$9,Summary!$D$31&lt;&gt;"Included Margin"),0,1),0))</f>
        <v>0.14599999999999999</v>
      </c>
      <c r="AB387" s="147">
        <f>IF($E387="","",IF(AND($B387&gt;Input!$C$9,Summary!$D$31&lt;&gt;"Included Margin"),1,IF(Summary!$D$25="Included Margin",VLOOKUP($B387,'Mortality Margins &amp; Grading'!$AI$5:$AR$125,MATCH('Mortality Margins &amp; Grading'!$AQ$4,'Mortality Margins &amp; Grading'!$AI$4:$AR$4,0),0),1)))</f>
        <v>0.8125</v>
      </c>
      <c r="AC387" s="154"/>
      <c r="AD387" s="158">
        <f>IF(E387="","",Input!$C$48*IF(Summary!$D$30="Included Margin",IF(AND($B387&gt;Input!$C$9,Summary!$D$31&lt;&gt;"Included Margin"),0,1),0))</f>
        <v>-4.4999999999999997E-3</v>
      </c>
      <c r="AE387" s="159">
        <f>IF(E387="","",IF(Summary!$D$26="Included Margin",IF(AND($B387&gt;Input!$C$9,Summary!$D$31&lt;&gt;"Included Margin"),1,1/$R387),1))</f>
        <v>1.1681120307331088</v>
      </c>
      <c r="AF387" s="160">
        <f>IF(E387="","",IF(AND($B387&gt;=Input!$C$9,$C387=12,Summary!$D$31="Included Margin",$U387&gt;0),1/U387-1,IF($B387&gt;=Input!$C$9,0,Input!$C$45*IF(Summary!$D$27="Included Margin",1,0))))</f>
        <v>0</v>
      </c>
      <c r="AG387" s="160">
        <f>IF(E387="","",Input!$C$46*IF(Summary!$D$28="Included Margin",IF(AND($B387&gt;Input!$C$9,Summary!$D$31&lt;&gt;"Included Margin"),0,1),0))</f>
        <v>0.02</v>
      </c>
      <c r="AH387" s="158">
        <f>IF(E387="","",Input!$C$47*IF(Summary!$D$29="Included Margin",IF(AND($B387&gt;Input!$C$9,Summary!$D$31&lt;&gt;"Included Margin"),0,1),0))</f>
        <v>2.5000000000000001E-3</v>
      </c>
      <c r="AI387" s="154"/>
      <c r="AJ387" s="158">
        <f t="shared" si="230"/>
        <v>3.95E-2</v>
      </c>
      <c r="AK387" s="155">
        <f t="shared" si="231"/>
        <v>3.2335356603379051E-3</v>
      </c>
      <c r="AL387" s="147">
        <f t="shared" si="232"/>
        <v>8.3253522937500019E-2</v>
      </c>
      <c r="AM387" s="147">
        <f t="shared" si="210"/>
        <v>7.217520597157745E-3</v>
      </c>
      <c r="AN387" s="160">
        <f t="shared" si="233"/>
        <v>0</v>
      </c>
      <c r="AO387" s="161">
        <f t="shared" si="234"/>
        <v>0</v>
      </c>
      <c r="AP387" s="156">
        <f t="shared" si="211"/>
        <v>1.9932547929327415</v>
      </c>
      <c r="AQ387" s="152"/>
      <c r="AR387" s="162">
        <f t="shared" si="212"/>
        <v>1433.6693167587878</v>
      </c>
      <c r="AS387" s="150">
        <f t="shared" si="235"/>
        <v>0</v>
      </c>
      <c r="AT387" s="163">
        <f t="shared" si="213"/>
        <v>0</v>
      </c>
      <c r="AU387" s="163">
        <f t="shared" si="214"/>
        <v>721.75205971577452</v>
      </c>
      <c r="AV387" s="163">
        <f t="shared" si="236"/>
        <v>3.468915349365175</v>
      </c>
      <c r="AW387" s="163">
        <f t="shared" si="215"/>
        <v>5.200865381885885</v>
      </c>
      <c r="AX387" s="163">
        <f t="shared" si="216"/>
        <v>0</v>
      </c>
      <c r="AY387" s="164">
        <f t="shared" si="237"/>
        <v>720.58703777426433</v>
      </c>
      <c r="AZ387" s="164">
        <f>IF($E387="","",IF(OR(AND($D387=Input!$C$6,$C387=12),$AN387=1),0,-AS388+AT388+AU388-AV388-AW388-AX388+AZ388))</f>
        <v>720.58892134426083</v>
      </c>
      <c r="BA387" s="154">
        <f t="shared" si="217"/>
        <v>1.8835699964938613E-3</v>
      </c>
      <c r="BC387" s="147">
        <f t="shared" si="238"/>
        <v>1.8273797991986206E-2</v>
      </c>
      <c r="BD387" s="164">
        <f>IF(AND($C386=12,$D386=Input!$C$6),0,IF($E387="","",AT387+(AU387+BD388)/(1+$AK387)*MIN((1-AM387-AN387),1)))</f>
        <v>647.84586803989816</v>
      </c>
      <c r="BE387" s="164">
        <f t="shared" si="218"/>
        <v>11.838604522504053</v>
      </c>
      <c r="BF387" s="164">
        <f t="shared" si="239"/>
        <v>720.58892134426083</v>
      </c>
      <c r="BG387" s="164">
        <f t="shared" si="219"/>
        <v>13.167896383908261</v>
      </c>
      <c r="BH387" s="152"/>
      <c r="BI387" s="162">
        <f t="shared" si="220"/>
        <v>-1921.8586409190334</v>
      </c>
      <c r="BJ387" s="150">
        <f t="shared" si="221"/>
        <v>0</v>
      </c>
      <c r="BK387" s="163">
        <f t="shared" si="243"/>
        <v>0</v>
      </c>
      <c r="BL387" s="163">
        <f t="shared" si="222"/>
        <v>554.24978794900164</v>
      </c>
      <c r="BM387" s="163">
        <f t="shared" si="244"/>
        <v>-7.9047661801705162</v>
      </c>
      <c r="BN387" s="163">
        <f t="shared" si="223"/>
        <v>-13.844360297613305</v>
      </c>
      <c r="BO387" s="163">
        <f t="shared" si="224"/>
        <v>0</v>
      </c>
      <c r="BP387" s="164">
        <f t="shared" si="245"/>
        <v>-2497.8575553458186</v>
      </c>
      <c r="BQ387" s="164">
        <f>IF($E387="","",IF(AND($D387=Input!$C$6,$C387=12),0,-BJ388+BK388+BL388-BM388-BN388-BO388+BQ388))</f>
        <v>-2497.8557680363374</v>
      </c>
      <c r="BR387" s="161">
        <f t="shared" si="225"/>
        <v>0</v>
      </c>
      <c r="BT387" s="147">
        <f t="shared" si="226"/>
        <v>1.8273797991986206E-2</v>
      </c>
      <c r="BU387" s="164">
        <f>IF(AND($C386=12,$D386=Input!$C$6),0,IF($E387="","",BK387+(BL387+BU388)/(1+$AK387)*MIN((1-T387-U387),1)))</f>
        <v>41307.420708542239</v>
      </c>
      <c r="BV387" s="164">
        <f t="shared" si="227"/>
        <v>754.84346159788856</v>
      </c>
      <c r="BW387" s="164">
        <f t="shared" si="228"/>
        <v>-2497.8557680363374</v>
      </c>
      <c r="BX387" s="164">
        <f t="shared" si="229"/>
        <v>-45.645311718213584</v>
      </c>
    </row>
    <row r="388" spans="1:76" s="150" customFormat="1" x14ac:dyDescent="0.25">
      <c r="A388" s="150">
        <f t="shared" si="240"/>
        <v>384</v>
      </c>
      <c r="B388" s="150">
        <f t="shared" si="241"/>
        <v>32</v>
      </c>
      <c r="C388" s="150">
        <f t="shared" si="242"/>
        <v>12</v>
      </c>
      <c r="D388" s="150">
        <f>IF(E388="","",Input!$C$4+B388-1)</f>
        <v>76</v>
      </c>
      <c r="E388" s="150">
        <f>IF(OR(AND(C387=12,D387=Input!$C$6),E387=""),"",1)</f>
        <v>1</v>
      </c>
      <c r="F388" s="150">
        <f>IF(E388="","",Input!$C$8+B388-1)</f>
        <v>2049</v>
      </c>
      <c r="G388" s="151">
        <f>IF(E388="","",MAX(0,Input!$C$9-B388))</f>
        <v>0</v>
      </c>
      <c r="H388" s="152">
        <f>IF(E388="","",Input!$C$3)</f>
        <v>100000</v>
      </c>
      <c r="I388" s="153">
        <f>IF(E388="","",HLOOKUP($B388,Input!$C$13:$BT$14,2))</f>
        <v>66.934000000000012</v>
      </c>
      <c r="J388" s="154"/>
      <c r="K388" s="155">
        <f>IF($E388="","",INDEX(Input!$C$16:$CP$16,1,$B388))</f>
        <v>2.9000000000000001E-2</v>
      </c>
      <c r="L388" s="155">
        <f>IF($E388="","",Input!$C$37)</f>
        <v>1.4999999999999999E-2</v>
      </c>
      <c r="M388" s="155">
        <f t="shared" si="246"/>
        <v>4.3999999999999997E-2</v>
      </c>
      <c r="N388" s="155">
        <f t="shared" si="247"/>
        <v>3.5947364110451296E-3</v>
      </c>
      <c r="O388" s="147">
        <f>IF($E388="","",MIN(VLOOKUP(IF($B388&lt;=Input!$C$7,$B388,26),'Mortality Tables'!$A$41:$CW$67,IF($B388&lt;=Input!$C$7+1,Input!$C$4+2,$D388-Input!$C$7+2),0)*IF(B388&gt;20,Input!$C$22,1)/1000,1))</f>
        <v>7.5366000000000016E-2</v>
      </c>
      <c r="P388" s="147">
        <f>IF($E388="","",MIN(VLOOKUP(IF($B388&lt;=Input!$C$7,$B388,26),'Mortality Tables'!$A$12:$CW$37,IF($B388&lt;=Input!$C$7+1,Input!$C$4+2,$D388-Input!$C$7+2),0)*IF(B388&gt;20,Input!$C$22,1)/1000,1))</f>
        <v>9.4207500000000013E-2</v>
      </c>
      <c r="Q388" s="155">
        <f>IF($E388="","",Input!$C$21)</f>
        <v>5.0000000000000001E-3</v>
      </c>
      <c r="R388" s="159">
        <f>IF($E388="","",(1-Q388)^($F388-Input!$C$20))</f>
        <v>0.8560822709551229</v>
      </c>
      <c r="S388" s="147">
        <f t="shared" si="208"/>
        <v>6.4519496432803802E-2</v>
      </c>
      <c r="T388" s="147">
        <f t="shared" si="209"/>
        <v>5.5424978794900159E-3</v>
      </c>
      <c r="U388" s="160">
        <f>IF($E388="","",IF($C388=12,INDEX(Input!$C$15:$CP$15,1,$B388),0))</f>
        <v>0.1</v>
      </c>
      <c r="V388" s="150">
        <f>IF(E388="","",IF(C388=1,IF($B388=1,Input!$C$33,Input!$C$34),0))</f>
        <v>0</v>
      </c>
      <c r="W388" s="156">
        <f>IF($E388="","",Input!$C$35)</f>
        <v>0.02</v>
      </c>
      <c r="X388" s="156">
        <f t="shared" si="248"/>
        <v>1.8475888157854219</v>
      </c>
      <c r="Y388" s="154"/>
      <c r="Z388" s="147">
        <f>IF($E388="","",VLOOKUP($D388,'Mortality Margins &amp; Grading'!$AB$5:$AF$125,3,0)*IF(Summary!$D$25="Included Margin",IF(AND($B388&gt;Input!$C$9,Summary!$D$31&lt;&gt;"Included Margin"),0,1),0))</f>
        <v>2.9000000000000001E-2</v>
      </c>
      <c r="AA388" s="147">
        <f>IF($E388="","",VLOOKUP($D388,'Mortality Margins &amp; Grading'!$AB$5:$AF$125,5,0)*IF(Summary!$D$25="Included Margin",IF(AND($B388&gt;Input!$C$9,Summary!$D$31&lt;&gt;"Included Margin"),0,1),0))</f>
        <v>0.14599999999999999</v>
      </c>
      <c r="AB388" s="147">
        <f>IF($E388="","",IF(AND($B388&gt;Input!$C$9,Summary!$D$31&lt;&gt;"Included Margin"),1,IF(Summary!$D$25="Included Margin",VLOOKUP($B388,'Mortality Margins &amp; Grading'!$AI$5:$AR$125,MATCH('Mortality Margins &amp; Grading'!$AQ$4,'Mortality Margins &amp; Grading'!$AI$4:$AR$4,0),0),1)))</f>
        <v>0.8125</v>
      </c>
      <c r="AC388" s="154"/>
      <c r="AD388" s="158">
        <f>IF(E388="","",Input!$C$48*IF(Summary!$D$30="Included Margin",IF(AND($B388&gt;Input!$C$9,Summary!$D$31&lt;&gt;"Included Margin"),0,1),0))</f>
        <v>-4.4999999999999997E-3</v>
      </c>
      <c r="AE388" s="159">
        <f>IF(E388="","",IF(Summary!$D$26="Included Margin",IF(AND($B388&gt;Input!$C$9,Summary!$D$31&lt;&gt;"Included Margin"),1,1/$R388),1))</f>
        <v>1.1681120307331088</v>
      </c>
      <c r="AF388" s="160">
        <f>IF(E388="","",IF(AND($B388&gt;=Input!$C$9,$C388=12,Summary!$D$31="Included Margin",$U388&gt;0),1/U388-1,IF($B388&gt;=Input!$C$9,0,Input!$C$45*IF(Summary!$D$27="Included Margin",1,0))))</f>
        <v>9</v>
      </c>
      <c r="AG388" s="160">
        <f>IF(E388="","",Input!$C$46*IF(Summary!$D$28="Included Margin",IF(AND($B388&gt;Input!$C$9,Summary!$D$31&lt;&gt;"Included Margin"),0,1),0))</f>
        <v>0.02</v>
      </c>
      <c r="AH388" s="158">
        <f>IF(E388="","",Input!$C$47*IF(Summary!$D$29="Included Margin",IF(AND($B388&gt;Input!$C$9,Summary!$D$31&lt;&gt;"Included Margin"),0,1),0))</f>
        <v>2.5000000000000001E-3</v>
      </c>
      <c r="AI388" s="154"/>
      <c r="AJ388" s="158">
        <f t="shared" si="230"/>
        <v>3.95E-2</v>
      </c>
      <c r="AK388" s="155">
        <f t="shared" si="231"/>
        <v>3.2335356603379051E-3</v>
      </c>
      <c r="AL388" s="147">
        <f t="shared" si="232"/>
        <v>8.3253522937500019E-2</v>
      </c>
      <c r="AM388" s="147">
        <f t="shared" si="210"/>
        <v>7.217520597157745E-3</v>
      </c>
      <c r="AN388" s="160">
        <f t="shared" si="233"/>
        <v>1</v>
      </c>
      <c r="AO388" s="161">
        <f t="shared" si="234"/>
        <v>0</v>
      </c>
      <c r="AP388" s="156">
        <f t="shared" si="211"/>
        <v>1.9932547929327415</v>
      </c>
      <c r="AQ388" s="152"/>
      <c r="AR388" s="162">
        <f t="shared" si="212"/>
        <v>720.58703777426422</v>
      </c>
      <c r="AS388" s="150">
        <f t="shared" si="235"/>
        <v>0</v>
      </c>
      <c r="AT388" s="163">
        <f t="shared" si="213"/>
        <v>0</v>
      </c>
      <c r="AU388" s="163">
        <f t="shared" si="214"/>
        <v>721.75205971577452</v>
      </c>
      <c r="AV388" s="163">
        <f t="shared" si="236"/>
        <v>1.1631383715136954</v>
      </c>
      <c r="AW388" s="163">
        <f t="shared" si="215"/>
        <v>0</v>
      </c>
      <c r="AX388" s="163">
        <f t="shared" si="216"/>
        <v>0</v>
      </c>
      <c r="AY388" s="165">
        <f t="shared" si="237"/>
        <v>-1.8835699966084363E-3</v>
      </c>
      <c r="AZ388" s="164">
        <f>IF($E388="","",IF(OR(AND($D388=Input!$C$6,$C388=12),$AN388=1),0,-AS389+AT389+AU389-AV389-AW389-AX389+AZ389))</f>
        <v>0</v>
      </c>
      <c r="BA388" s="154">
        <f t="shared" si="217"/>
        <v>1.8835699966084363E-3</v>
      </c>
      <c r="BC388" s="147">
        <f t="shared" si="238"/>
        <v>1.6345135706166775E-2</v>
      </c>
      <c r="BD388" s="164">
        <f>IF(AND($C387=12,$D387=Input!$C$6),0,IF($E388="","",AT388+(AU388+BD389)/(1+$AK388)*MIN((1-AM388-AN388),1)))</f>
        <v>-67.086295320388984</v>
      </c>
      <c r="BE388" s="164">
        <f t="shared" si="218"/>
        <v>-1.0965346010357391</v>
      </c>
      <c r="BF388" s="164">
        <f t="shared" si="239"/>
        <v>0</v>
      </c>
      <c r="BG388" s="164">
        <f t="shared" si="219"/>
        <v>0</v>
      </c>
      <c r="BH388" s="152"/>
      <c r="BI388" s="162">
        <f t="shared" si="220"/>
        <v>-2497.8575553458186</v>
      </c>
      <c r="BJ388" s="150">
        <f t="shared" si="221"/>
        <v>0</v>
      </c>
      <c r="BK388" s="163">
        <f t="shared" si="243"/>
        <v>0</v>
      </c>
      <c r="BL388" s="163">
        <f t="shared" si="222"/>
        <v>554.24978794900164</v>
      </c>
      <c r="BM388" s="163">
        <f t="shared" si="244"/>
        <v>-9.9753304505829483</v>
      </c>
      <c r="BN388" s="163">
        <f t="shared" si="223"/>
        <v>-18.962406676458752</v>
      </c>
      <c r="BO388" s="163">
        <f t="shared" si="224"/>
        <v>-340.23120960399137</v>
      </c>
      <c r="BP388" s="164">
        <f t="shared" si="245"/>
        <v>-3421.2762900258531</v>
      </c>
      <c r="BQ388" s="164">
        <f>IF($E388="","",IF(AND($D388=Input!$C$6,$C388=12),0,-BJ389+BK389+BL389-BM389-BN389-BO389+BQ389))</f>
        <v>-3421.2745027163724</v>
      </c>
      <c r="BR388" s="161">
        <f t="shared" si="225"/>
        <v>0</v>
      </c>
      <c r="BT388" s="147">
        <f t="shared" si="226"/>
        <v>1.6345135706166775E-2</v>
      </c>
      <c r="BU388" s="164">
        <f>IF(AND($C387=12,$D387=Input!$C$6),0,IF($E388="","",BK388+(BL388+BU389)/(1+$AK388)*MIN((1-T388-U388),1)))</f>
        <v>41117.706668786544</v>
      </c>
      <c r="BV388" s="164">
        <f t="shared" si="227"/>
        <v>672.07449542767461</v>
      </c>
      <c r="BW388" s="164">
        <f t="shared" si="228"/>
        <v>-3421.2745027163724</v>
      </c>
      <c r="BX388" s="164">
        <f t="shared" si="229"/>
        <v>-55.92119603494735</v>
      </c>
    </row>
    <row r="389" spans="1:76" s="150" customFormat="1" x14ac:dyDescent="0.25">
      <c r="A389" s="150">
        <f t="shared" si="240"/>
        <v>385</v>
      </c>
      <c r="B389" s="150">
        <f t="shared" si="241"/>
        <v>33</v>
      </c>
      <c r="C389" s="150">
        <f t="shared" si="242"/>
        <v>1</v>
      </c>
      <c r="D389" s="150">
        <f>IF(E389="","",Input!$C$4+B389-1)</f>
        <v>77</v>
      </c>
      <c r="E389" s="150">
        <f>IF(OR(AND(C388=12,D388=Input!$C$6),E388=""),"",1)</f>
        <v>1</v>
      </c>
      <c r="F389" s="150">
        <f>IF(E389="","",Input!$C$8+B389-1)</f>
        <v>2050</v>
      </c>
      <c r="G389" s="151">
        <f>IF(E389="","",MAX(0,Input!$C$9-B389))</f>
        <v>0</v>
      </c>
      <c r="H389" s="152">
        <f>IF(E389="","",Input!$C$3)</f>
        <v>100000</v>
      </c>
      <c r="I389" s="153">
        <f>IF(E389="","",HLOOKUP($B389,Input!$C$13:$BT$14,2))</f>
        <v>75.239500000000007</v>
      </c>
      <c r="J389" s="154"/>
      <c r="K389" s="155">
        <f>IF($E389="","",INDEX(Input!$C$16:$CP$16,1,$B389))</f>
        <v>2.9350000000000001E-2</v>
      </c>
      <c r="L389" s="155">
        <f>IF($E389="","",Input!$C$37)</f>
        <v>1.4999999999999999E-2</v>
      </c>
      <c r="M389" s="155">
        <f t="shared" si="246"/>
        <v>4.4350000000000001E-2</v>
      </c>
      <c r="N389" s="155">
        <f t="shared" si="247"/>
        <v>3.6227699516298006E-3</v>
      </c>
      <c r="O389" s="147">
        <f>IF($E389="","",MIN(VLOOKUP(IF($B389&lt;=Input!$C$7,$B389,26),'Mortality Tables'!$A$41:$CW$67,IF($B389&lt;=Input!$C$7+1,Input!$C$4+2,$D389-Input!$C$7+2),0)*IF(B389&gt;20,Input!$C$22,1)/1000,1))</f>
        <v>8.4782799999999992E-2</v>
      </c>
      <c r="P389" s="147">
        <f>IF($E389="","",MIN(VLOOKUP(IF($B389&lt;=Input!$C$7,$B389,26),'Mortality Tables'!$A$12:$CW$37,IF($B389&lt;=Input!$C$7+1,Input!$C$4+2,$D389-Input!$C$7+2),0)*IF(B389&gt;20,Input!$C$22,1)/1000,1))</f>
        <v>0.1059785</v>
      </c>
      <c r="Q389" s="155">
        <f>IF($E389="","",Input!$C$21)</f>
        <v>5.0000000000000001E-3</v>
      </c>
      <c r="R389" s="159">
        <f>IF($E389="","",(1-Q389)^($F389-Input!$C$20))</f>
        <v>0.85180185960034727</v>
      </c>
      <c r="S389" s="147">
        <f t="shared" ref="S389:S452" si="249">IF($E389="","",MIN(O389*R389,1))</f>
        <v>7.2218146702124314E-2</v>
      </c>
      <c r="T389" s="147">
        <f t="shared" ref="T389:T452" si="250">IF($E389="","",1-(1-S389)^(1/12))</f>
        <v>6.2270846511425226E-3</v>
      </c>
      <c r="U389" s="160">
        <f>IF($E389="","",IF($C389=12,INDEX(Input!$C$15:$CP$15,1,$B389),0))</f>
        <v>0</v>
      </c>
      <c r="V389" s="150">
        <f>IF(E389="","",IF(C389=1,IF($B389=1,Input!$C$33,Input!$C$34),0))</f>
        <v>50</v>
      </c>
      <c r="W389" s="156">
        <f>IF($E389="","",Input!$C$35)</f>
        <v>0.02</v>
      </c>
      <c r="X389" s="156">
        <f t="shared" si="248"/>
        <v>1.8845405921011305</v>
      </c>
      <c r="Y389" s="154"/>
      <c r="Z389" s="147">
        <f>IF($E389="","",VLOOKUP($D389,'Mortality Margins &amp; Grading'!$AB$5:$AF$125,3,0)*IF(Summary!$D$25="Included Margin",IF(AND($B389&gt;Input!$C$9,Summary!$D$31&lt;&gt;"Included Margin"),0,1),0))</f>
        <v>2.9000000000000001E-2</v>
      </c>
      <c r="AA389" s="147">
        <f>IF($E389="","",VLOOKUP($D389,'Mortality Margins &amp; Grading'!$AB$5:$AF$125,5,0)*IF(Summary!$D$25="Included Margin",IF(AND($B389&gt;Input!$C$9,Summary!$D$31&lt;&gt;"Included Margin"),0,1),0))</f>
        <v>0.14599999999999999</v>
      </c>
      <c r="AB389" s="147">
        <f>IF($E389="","",IF(AND($B389&gt;Input!$C$9,Summary!$D$31&lt;&gt;"Included Margin"),1,IF(Summary!$D$25="Included Margin",VLOOKUP($B389,'Mortality Margins &amp; Grading'!$AI$5:$AR$125,MATCH('Mortality Margins &amp; Grading'!$AQ$4,'Mortality Margins &amp; Grading'!$AI$4:$AR$4,0),0),1)))</f>
        <v>0.75</v>
      </c>
      <c r="AC389" s="154"/>
      <c r="AD389" s="158">
        <f>IF(E389="","",Input!$C$48*IF(Summary!$D$30="Included Margin",IF(AND($B389&gt;Input!$C$9,Summary!$D$31&lt;&gt;"Included Margin"),0,1),0))</f>
        <v>-4.4999999999999997E-3</v>
      </c>
      <c r="AE389" s="159">
        <f>IF(E389="","",IF(Summary!$D$26="Included Margin",IF(AND($B389&gt;Input!$C$9,Summary!$D$31&lt;&gt;"Included Margin"),1,1/$R389),1))</f>
        <v>1.1739819404352851</v>
      </c>
      <c r="AF389" s="160">
        <f>IF(E389="","",IF(AND($B389&gt;=Input!$C$9,$C389=12,Summary!$D$31="Included Margin",$U389&gt;0),1/U389-1,IF($B389&gt;=Input!$C$9,0,Input!$C$45*IF(Summary!$D$27="Included Margin",1,0))))</f>
        <v>0</v>
      </c>
      <c r="AG389" s="160">
        <f>IF(E389="","",Input!$C$46*IF(Summary!$D$28="Included Margin",IF(AND($B389&gt;Input!$C$9,Summary!$D$31&lt;&gt;"Included Margin"),0,1),0))</f>
        <v>0.02</v>
      </c>
      <c r="AH389" s="158">
        <f>IF(E389="","",Input!$C$47*IF(Summary!$D$29="Included Margin",IF(AND($B389&gt;Input!$C$9,Summary!$D$31&lt;&gt;"Included Margin"),0,1),0))</f>
        <v>2.5000000000000001E-3</v>
      </c>
      <c r="AI389" s="154"/>
      <c r="AJ389" s="158">
        <f t="shared" si="230"/>
        <v>3.9850000000000003E-2</v>
      </c>
      <c r="AK389" s="155">
        <f t="shared" si="231"/>
        <v>3.2616804063805294E-3</v>
      </c>
      <c r="AL389" s="147">
        <f t="shared" si="232"/>
        <v>9.5793966149999993E-2</v>
      </c>
      <c r="AM389" s="147">
        <f t="shared" ref="AM389:AM452" si="251">IF($E389="","",1-(1-AL389)^(1/12))</f>
        <v>8.3563922043959904E-3</v>
      </c>
      <c r="AN389" s="160">
        <f t="shared" si="233"/>
        <v>0</v>
      </c>
      <c r="AO389" s="161">
        <f t="shared" si="234"/>
        <v>51</v>
      </c>
      <c r="AP389" s="156">
        <f t="shared" ref="AP389:AP452" si="252">IF($E389="","",IF(B389=1,1,IF(C389=1,(1+$W389+$AH389)*AP388,AP388)))</f>
        <v>2.038103025773728</v>
      </c>
      <c r="AQ389" s="152"/>
      <c r="AR389" s="162">
        <f t="shared" ref="AR389:AR452" si="253">IF($E389="","",(AZ389*(1-$AN389)*(1-$AM389)/(1+$AK389)+AU389/(1+$AK389/2)-AS389+AT389))</f>
        <v>1977.7046072302244</v>
      </c>
      <c r="AS389" s="150">
        <f t="shared" si="235"/>
        <v>7523.9500000000007</v>
      </c>
      <c r="AT389" s="163">
        <f t="shared" ref="AT389:AT452" si="254">IF($E389="","",$AO389*$AP389)</f>
        <v>103.94325431446013</v>
      </c>
      <c r="AU389" s="163">
        <f t="shared" ref="AU389:AU452" si="255">IF($E389="","",$AM389*$H389)</f>
        <v>835.63922043959906</v>
      </c>
      <c r="AV389" s="163">
        <f t="shared" si="236"/>
        <v>29.289536948569737</v>
      </c>
      <c r="AW389" s="163">
        <f t="shared" ref="AW389:AW452" si="256">IF($E389="","",AZ389*$AM389)</f>
        <v>72.397790553965109</v>
      </c>
      <c r="AX389" s="163">
        <f t="shared" ref="AX389:AX452" si="257">IF($E389="","",$AN389*AZ389*(1-$AM389))</f>
        <v>0</v>
      </c>
      <c r="AY389" s="164">
        <f t="shared" si="237"/>
        <v>8663.7594599787008</v>
      </c>
      <c r="AZ389" s="164">
        <f>IF($E389="","",IF(OR(AND($D389=Input!$C$6,$C389=12),$AN389=1),0,-AS390+AT390+AU390-AV390-AW390-AX390+AZ390))</f>
        <v>8663.7616788593641</v>
      </c>
      <c r="BA389" s="154">
        <f t="shared" ref="BA389:BA452" si="258">IF(E389="","",AZ389-AY389)</f>
        <v>2.2188806633494096E-3</v>
      </c>
      <c r="BC389" s="147">
        <f t="shared" si="238"/>
        <v>1.6243353162490062E-2</v>
      </c>
      <c r="BD389" s="164">
        <f>IF(AND($C388=12,$D388=Input!$C$6),0,IF($E389="","",AT389+(AU389+BD390)/(1+$AK389)*MIN((1-AM389-AN389),1)))</f>
        <v>8603.2260047917771</v>
      </c>
      <c r="BE389" s="164">
        <f t="shared" ref="BE389:BE452" si="259">IF($E389="","",BC389*BD389)</f>
        <v>139.74523833255125</v>
      </c>
      <c r="BF389" s="164">
        <f t="shared" si="239"/>
        <v>8663.7616788593641</v>
      </c>
      <c r="BG389" s="164">
        <f t="shared" ref="BG389:BG452" si="260">IF($E389="","",BC389*BF389)</f>
        <v>140.72854066536047</v>
      </c>
      <c r="BH389" s="152"/>
      <c r="BI389" s="162">
        <f t="shared" ref="BI389:BI452" si="261">IF($E389="","",(BQ389*(1-$U389)*(1-$T389)/(1+$N389)+BL389/(1+$N389/2)-BJ389+BK389))</f>
        <v>-3421.2765422004968</v>
      </c>
      <c r="BJ389" s="150">
        <f t="shared" ref="BJ389:BJ452" si="262">IF($E389="","",AS389)</f>
        <v>7523.9500000000007</v>
      </c>
      <c r="BK389" s="163">
        <f t="shared" si="243"/>
        <v>94.227029605056529</v>
      </c>
      <c r="BL389" s="163">
        <f t="shared" ref="BL389:BL452" si="263">IF(E389="","",$T389*$H389)</f>
        <v>622.70846511425225</v>
      </c>
      <c r="BM389" s="163">
        <f t="shared" si="244"/>
        <v>13.393714514759932</v>
      </c>
      <c r="BN389" s="163">
        <f t="shared" ref="BN389:BN452" si="264">IF($E389="","",BQ389*$T389)</f>
        <v>21.299326103462718</v>
      </c>
      <c r="BO389" s="163">
        <f t="shared" ref="BO389:BO452" si="265">IF($E389="","",$U389*BQ389*(1-$T389))</f>
        <v>0</v>
      </c>
      <c r="BP389" s="164">
        <f t="shared" si="245"/>
        <v>3420.4310036984175</v>
      </c>
      <c r="BQ389" s="164">
        <f>IF($E389="","",IF(AND($D389=Input!$C$6,$C389=12),0,-BJ390+BK390+BL390-BM390-BN390-BO390+BQ390))</f>
        <v>3420.4330431825424</v>
      </c>
      <c r="BR389" s="161">
        <f t="shared" ref="BR389:BR452" si="266">IF(E389="","",ROUND(BQ389-BP389,1))</f>
        <v>0</v>
      </c>
      <c r="BT389" s="147">
        <f t="shared" ref="BT389:BT452" si="267">IF(E389="","",BC389)</f>
        <v>1.6243353162490062E-2</v>
      </c>
      <c r="BU389" s="164">
        <f>IF(AND($C388=12,$D388=Input!$C$6),0,IF($E389="","",BK389+(BL389+BU390)/(1+$AK389)*MIN((1-T389-U389),1)))</f>
        <v>45563.829765051029</v>
      </c>
      <c r="BV389" s="164">
        <f t="shared" ref="BV389:BV452" si="268">IF(E389="","",BT389*BU389)</f>
        <v>740.10937830930038</v>
      </c>
      <c r="BW389" s="164">
        <f t="shared" ref="BW389:BW452" si="269">IF(E389="","",BQ389)</f>
        <v>3420.4330431825424</v>
      </c>
      <c r="BX389" s="164">
        <f t="shared" ref="BX389:BX452" si="270">IF(E389="","",BT389*BW389)</f>
        <v>55.559301889064656</v>
      </c>
    </row>
    <row r="390" spans="1:76" s="150" customFormat="1" x14ac:dyDescent="0.25">
      <c r="A390" s="150">
        <f t="shared" si="240"/>
        <v>386</v>
      </c>
      <c r="B390" s="150">
        <f t="shared" si="241"/>
        <v>33</v>
      </c>
      <c r="C390" s="150">
        <f t="shared" si="242"/>
        <v>2</v>
      </c>
      <c r="D390" s="150">
        <f>IF(E390="","",Input!$C$4+B390-1)</f>
        <v>77</v>
      </c>
      <c r="E390" s="150">
        <f>IF(OR(AND(C389=12,D389=Input!$C$6),E389=""),"",1)</f>
        <v>1</v>
      </c>
      <c r="F390" s="150">
        <f>IF(E390="","",Input!$C$8+B390-1)</f>
        <v>2050</v>
      </c>
      <c r="G390" s="151">
        <f>IF(E390="","",MAX(0,Input!$C$9-B390))</f>
        <v>0</v>
      </c>
      <c r="H390" s="152">
        <f>IF(E390="","",Input!$C$3)</f>
        <v>100000</v>
      </c>
      <c r="I390" s="153">
        <f>IF(E390="","",HLOOKUP($B390,Input!$C$13:$BT$14,2))</f>
        <v>75.239500000000007</v>
      </c>
      <c r="J390" s="154"/>
      <c r="K390" s="155">
        <f>IF($E390="","",INDEX(Input!$C$16:$CP$16,1,$B390))</f>
        <v>2.9350000000000001E-2</v>
      </c>
      <c r="L390" s="155">
        <f>IF($E390="","",Input!$C$37)</f>
        <v>1.4999999999999999E-2</v>
      </c>
      <c r="M390" s="155">
        <f t="shared" si="246"/>
        <v>4.4350000000000001E-2</v>
      </c>
      <c r="N390" s="155">
        <f t="shared" si="247"/>
        <v>3.6227699516298006E-3</v>
      </c>
      <c r="O390" s="147">
        <f>IF($E390="","",MIN(VLOOKUP(IF($B390&lt;=Input!$C$7,$B390,26),'Mortality Tables'!$A$41:$CW$67,IF($B390&lt;=Input!$C$7+1,Input!$C$4+2,$D390-Input!$C$7+2),0)*IF(B390&gt;20,Input!$C$22,1)/1000,1))</f>
        <v>8.4782799999999992E-2</v>
      </c>
      <c r="P390" s="147">
        <f>IF($E390="","",MIN(VLOOKUP(IF($B390&lt;=Input!$C$7,$B390,26),'Mortality Tables'!$A$12:$CW$37,IF($B390&lt;=Input!$C$7+1,Input!$C$4+2,$D390-Input!$C$7+2),0)*IF(B390&gt;20,Input!$C$22,1)/1000,1))</f>
        <v>0.1059785</v>
      </c>
      <c r="Q390" s="155">
        <f>IF($E390="","",Input!$C$21)</f>
        <v>5.0000000000000001E-3</v>
      </c>
      <c r="R390" s="159">
        <f>IF($E390="","",(1-Q390)^($F390-Input!$C$20))</f>
        <v>0.85180185960034727</v>
      </c>
      <c r="S390" s="147">
        <f t="shared" si="249"/>
        <v>7.2218146702124314E-2</v>
      </c>
      <c r="T390" s="147">
        <f t="shared" si="250"/>
        <v>6.2270846511425226E-3</v>
      </c>
      <c r="U390" s="160">
        <f>IF($E390="","",IF($C390=12,INDEX(Input!$C$15:$CP$15,1,$B390),0))</f>
        <v>0</v>
      </c>
      <c r="V390" s="150">
        <f>IF(E390="","",IF(C390=1,IF($B390=1,Input!$C$33,Input!$C$34),0))</f>
        <v>0</v>
      </c>
      <c r="W390" s="156">
        <f>IF($E390="","",Input!$C$35)</f>
        <v>0.02</v>
      </c>
      <c r="X390" s="156">
        <f t="shared" si="248"/>
        <v>1.8845405921011305</v>
      </c>
      <c r="Y390" s="154"/>
      <c r="Z390" s="147">
        <f>IF($E390="","",VLOOKUP($D390,'Mortality Margins &amp; Grading'!$AB$5:$AF$125,3,0)*IF(Summary!$D$25="Included Margin",IF(AND($B390&gt;Input!$C$9,Summary!$D$31&lt;&gt;"Included Margin"),0,1),0))</f>
        <v>2.9000000000000001E-2</v>
      </c>
      <c r="AA390" s="147">
        <f>IF($E390="","",VLOOKUP($D390,'Mortality Margins &amp; Grading'!$AB$5:$AF$125,5,0)*IF(Summary!$D$25="Included Margin",IF(AND($B390&gt;Input!$C$9,Summary!$D$31&lt;&gt;"Included Margin"),0,1),0))</f>
        <v>0.14599999999999999</v>
      </c>
      <c r="AB390" s="147">
        <f>IF($E390="","",IF(AND($B390&gt;Input!$C$9,Summary!$D$31&lt;&gt;"Included Margin"),1,IF(Summary!$D$25="Included Margin",VLOOKUP($B390,'Mortality Margins &amp; Grading'!$AI$5:$AR$125,MATCH('Mortality Margins &amp; Grading'!$AQ$4,'Mortality Margins &amp; Grading'!$AI$4:$AR$4,0),0),1)))</f>
        <v>0.75</v>
      </c>
      <c r="AC390" s="154"/>
      <c r="AD390" s="158">
        <f>IF(E390="","",Input!$C$48*IF(Summary!$D$30="Included Margin",IF(AND($B390&gt;Input!$C$9,Summary!$D$31&lt;&gt;"Included Margin"),0,1),0))</f>
        <v>-4.4999999999999997E-3</v>
      </c>
      <c r="AE390" s="159">
        <f>IF(E390="","",IF(Summary!$D$26="Included Margin",IF(AND($B390&gt;Input!$C$9,Summary!$D$31&lt;&gt;"Included Margin"),1,1/$R390),1))</f>
        <v>1.1739819404352851</v>
      </c>
      <c r="AF390" s="160">
        <f>IF(E390="","",IF(AND($B390&gt;=Input!$C$9,$C390=12,Summary!$D$31="Included Margin",$U390&gt;0),1/U390-1,IF($B390&gt;=Input!$C$9,0,Input!$C$45*IF(Summary!$D$27="Included Margin",1,0))))</f>
        <v>0</v>
      </c>
      <c r="AG390" s="160">
        <f>IF(E390="","",Input!$C$46*IF(Summary!$D$28="Included Margin",IF(AND($B390&gt;Input!$C$9,Summary!$D$31&lt;&gt;"Included Margin"),0,1),0))</f>
        <v>0.02</v>
      </c>
      <c r="AH390" s="158">
        <f>IF(E390="","",Input!$C$47*IF(Summary!$D$29="Included Margin",IF(AND($B390&gt;Input!$C$9,Summary!$D$31&lt;&gt;"Included Margin"),0,1),0))</f>
        <v>2.5000000000000001E-3</v>
      </c>
      <c r="AI390" s="154"/>
      <c r="AJ390" s="158">
        <f t="shared" ref="AJ390:AJ453" si="271">IF(E390="","",M390+AD390)</f>
        <v>3.9850000000000003E-2</v>
      </c>
      <c r="AK390" s="155">
        <f t="shared" ref="AK390:AK453" si="272">IF(E390="","",(1+AJ390)^(1/12)-1)</f>
        <v>3.2616804063805294E-3</v>
      </c>
      <c r="AL390" s="147">
        <f t="shared" ref="AL390:AL453" si="273">IF($E390="","",MIN(($O390*(1+$Z390)*$AB390+$P390*(1+$AA390)*(1-$AB390))*R390*AE390,1))</f>
        <v>9.5793966149999993E-2</v>
      </c>
      <c r="AM390" s="147">
        <f t="shared" si="251"/>
        <v>8.3563922043959904E-3</v>
      </c>
      <c r="AN390" s="160">
        <f t="shared" ref="AN390:AN453" si="274">IF(E390="","",IF(U390=1,1,(1+AF390)*U390))</f>
        <v>0</v>
      </c>
      <c r="AO390" s="161">
        <f t="shared" ref="AO390:AO453" si="275">IF($E390="","",(1+$AG390)*$V390)</f>
        <v>0</v>
      </c>
      <c r="AP390" s="156">
        <f t="shared" si="252"/>
        <v>2.038103025773728</v>
      </c>
      <c r="AQ390" s="152"/>
      <c r="AR390" s="162">
        <f t="shared" si="253"/>
        <v>8663.7594599787008</v>
      </c>
      <c r="AS390" s="150">
        <f t="shared" ref="AS390:AS453" si="276">IF($E390="","",IF($C390=1,$I390*$H390/1000,0))</f>
        <v>0</v>
      </c>
      <c r="AT390" s="163">
        <f t="shared" si="254"/>
        <v>0</v>
      </c>
      <c r="AU390" s="163">
        <f t="shared" si="255"/>
        <v>835.63922043959906</v>
      </c>
      <c r="AV390" s="163">
        <f t="shared" ref="AV390:AV453" si="277">IF($E390="","",(AR390+AS390-AT390-AU390/2)*$AK390)</f>
        <v>26.895620440151013</v>
      </c>
      <c r="AW390" s="163">
        <f t="shared" si="256"/>
        <v>66.192744372637662</v>
      </c>
      <c r="AX390" s="163">
        <f t="shared" si="257"/>
        <v>0</v>
      </c>
      <c r="AY390" s="165">
        <f t="shared" ref="AY390:AY453" si="278">IF($E390="","",AR390+AS390-AT390-AU390+AV390+AW390+AX390)</f>
        <v>7921.2086043518902</v>
      </c>
      <c r="AZ390" s="164">
        <f>IF($E390="","",IF(OR(AND($D390=Input!$C$6,$C390=12),$AN390=1),0,-AS391+AT391+AU391-AV391-AW391-AX391+AZ391))</f>
        <v>7921.2108232325536</v>
      </c>
      <c r="BA390" s="154">
        <f t="shared" si="258"/>
        <v>2.2188806633494096E-3</v>
      </c>
      <c r="BC390" s="147">
        <f t="shared" ref="BC390:BC453" si="279">IF($E390="","",MIN(1,(1-T390-U390))*BC389)</f>
        <v>1.6142204427328832E-2</v>
      </c>
      <c r="BD390" s="164">
        <f>IF(AND($C389=12,$D389=Input!$C$6),0,IF($E390="","",AT390+(AU390+BD391)/(1+$AK390)*MIN((1-AM390-AN390),1)))</f>
        <v>7763.2209219134893</v>
      </c>
      <c r="BE390" s="164">
        <f t="shared" si="259"/>
        <v>125.31549913604374</v>
      </c>
      <c r="BF390" s="164">
        <f t="shared" ref="BF390:BF453" si="280">IF($E390="","",AZ390)</f>
        <v>7921.2108232325536</v>
      </c>
      <c r="BG390" s="164">
        <f t="shared" si="260"/>
        <v>127.8658044205896</v>
      </c>
      <c r="BH390" s="152"/>
      <c r="BI390" s="162">
        <f t="shared" si="261"/>
        <v>3420.4310036984175</v>
      </c>
      <c r="BJ390" s="150">
        <f t="shared" si="262"/>
        <v>0</v>
      </c>
      <c r="BK390" s="163">
        <f t="shared" si="243"/>
        <v>0</v>
      </c>
      <c r="BL390" s="163">
        <f t="shared" si="263"/>
        <v>622.70846511425225</v>
      </c>
      <c r="BM390" s="163">
        <f t="shared" si="244"/>
        <v>11.263469903800873</v>
      </c>
      <c r="BN390" s="163">
        <f t="shared" si="264"/>
        <v>17.601411840278843</v>
      </c>
      <c r="BO390" s="163">
        <f t="shared" si="265"/>
        <v>0</v>
      </c>
      <c r="BP390" s="164">
        <f t="shared" si="245"/>
        <v>2826.5874203282447</v>
      </c>
      <c r="BQ390" s="164">
        <f>IF($E390="","",IF(AND($D390=Input!$C$6,$C390=12),0,-BJ391+BK391+BL391-BM391-BN391-BO391+BQ391))</f>
        <v>2826.58945981237</v>
      </c>
      <c r="BR390" s="161">
        <f t="shared" si="266"/>
        <v>0</v>
      </c>
      <c r="BT390" s="147">
        <f t="shared" si="267"/>
        <v>1.6142204427328832E-2</v>
      </c>
      <c r="BU390" s="164">
        <f>IF(AND($C389=12,$D389=Input!$C$6),0,IF($E390="","",BK390+(BL390+BU391)/(1+$AK390)*MIN((1-T390-U390),1)))</f>
        <v>45281.048160975937</v>
      </c>
      <c r="BV390" s="164">
        <f t="shared" si="268"/>
        <v>730.93593609819584</v>
      </c>
      <c r="BW390" s="164">
        <f t="shared" si="269"/>
        <v>2826.58945981237</v>
      </c>
      <c r="BX390" s="164">
        <f t="shared" si="270"/>
        <v>45.627384892424253</v>
      </c>
    </row>
    <row r="391" spans="1:76" s="150" customFormat="1" x14ac:dyDescent="0.25">
      <c r="A391" s="150">
        <f t="shared" ref="A391:A454" si="281">IF(E391="","",A390+1)</f>
        <v>387</v>
      </c>
      <c r="B391" s="150">
        <f t="shared" ref="B391:B454" si="282">IF(E391="","",IF(C390+1&gt;12,B390+1,B390))</f>
        <v>33</v>
      </c>
      <c r="C391" s="150">
        <f t="shared" ref="C391:C454" si="283">IF(E391="","",IF(C390+1&gt;12,1,C390+1))</f>
        <v>3</v>
      </c>
      <c r="D391" s="150">
        <f>IF(E391="","",Input!$C$4+B391-1)</f>
        <v>77</v>
      </c>
      <c r="E391" s="150">
        <f>IF(OR(AND(C390=12,D390=Input!$C$6),E390=""),"",1)</f>
        <v>1</v>
      </c>
      <c r="F391" s="150">
        <f>IF(E391="","",Input!$C$8+B391-1)</f>
        <v>2050</v>
      </c>
      <c r="G391" s="151">
        <f>IF(E391="","",MAX(0,Input!$C$9-B391))</f>
        <v>0</v>
      </c>
      <c r="H391" s="152">
        <f>IF(E391="","",Input!$C$3)</f>
        <v>100000</v>
      </c>
      <c r="I391" s="153">
        <f>IF(E391="","",HLOOKUP($B391,Input!$C$13:$BT$14,2))</f>
        <v>75.239500000000007</v>
      </c>
      <c r="J391" s="154"/>
      <c r="K391" s="155">
        <f>IF($E391="","",INDEX(Input!$C$16:$CP$16,1,$B391))</f>
        <v>2.9350000000000001E-2</v>
      </c>
      <c r="L391" s="155">
        <f>IF($E391="","",Input!$C$37)</f>
        <v>1.4999999999999999E-2</v>
      </c>
      <c r="M391" s="155">
        <f t="shared" si="246"/>
        <v>4.4350000000000001E-2</v>
      </c>
      <c r="N391" s="155">
        <f t="shared" si="247"/>
        <v>3.6227699516298006E-3</v>
      </c>
      <c r="O391" s="147">
        <f>IF($E391="","",MIN(VLOOKUP(IF($B391&lt;=Input!$C$7,$B391,26),'Mortality Tables'!$A$41:$CW$67,IF($B391&lt;=Input!$C$7+1,Input!$C$4+2,$D391-Input!$C$7+2),0)*IF(B391&gt;20,Input!$C$22,1)/1000,1))</f>
        <v>8.4782799999999992E-2</v>
      </c>
      <c r="P391" s="147">
        <f>IF($E391="","",MIN(VLOOKUP(IF($B391&lt;=Input!$C$7,$B391,26),'Mortality Tables'!$A$12:$CW$37,IF($B391&lt;=Input!$C$7+1,Input!$C$4+2,$D391-Input!$C$7+2),0)*IF(B391&gt;20,Input!$C$22,1)/1000,1))</f>
        <v>0.1059785</v>
      </c>
      <c r="Q391" s="155">
        <f>IF($E391="","",Input!$C$21)</f>
        <v>5.0000000000000001E-3</v>
      </c>
      <c r="R391" s="159">
        <f>IF($E391="","",(1-Q391)^($F391-Input!$C$20))</f>
        <v>0.85180185960034727</v>
      </c>
      <c r="S391" s="147">
        <f t="shared" si="249"/>
        <v>7.2218146702124314E-2</v>
      </c>
      <c r="T391" s="147">
        <f t="shared" si="250"/>
        <v>6.2270846511425226E-3</v>
      </c>
      <c r="U391" s="160">
        <f>IF($E391="","",IF($C391=12,INDEX(Input!$C$15:$CP$15,1,$B391),0))</f>
        <v>0</v>
      </c>
      <c r="V391" s="150">
        <f>IF(E391="","",IF(C391=1,IF($B391=1,Input!$C$33,Input!$C$34),0))</f>
        <v>0</v>
      </c>
      <c r="W391" s="156">
        <f>IF($E391="","",Input!$C$35)</f>
        <v>0.02</v>
      </c>
      <c r="X391" s="156">
        <f t="shared" si="248"/>
        <v>1.8845405921011305</v>
      </c>
      <c r="Y391" s="154"/>
      <c r="Z391" s="147">
        <f>IF($E391="","",VLOOKUP($D391,'Mortality Margins &amp; Grading'!$AB$5:$AF$125,3,0)*IF(Summary!$D$25="Included Margin",IF(AND($B391&gt;Input!$C$9,Summary!$D$31&lt;&gt;"Included Margin"),0,1),0))</f>
        <v>2.9000000000000001E-2</v>
      </c>
      <c r="AA391" s="147">
        <f>IF($E391="","",VLOOKUP($D391,'Mortality Margins &amp; Grading'!$AB$5:$AF$125,5,0)*IF(Summary!$D$25="Included Margin",IF(AND($B391&gt;Input!$C$9,Summary!$D$31&lt;&gt;"Included Margin"),0,1),0))</f>
        <v>0.14599999999999999</v>
      </c>
      <c r="AB391" s="147">
        <f>IF($E391="","",IF(AND($B391&gt;Input!$C$9,Summary!$D$31&lt;&gt;"Included Margin"),1,IF(Summary!$D$25="Included Margin",VLOOKUP($B391,'Mortality Margins &amp; Grading'!$AI$5:$AR$125,MATCH('Mortality Margins &amp; Grading'!$AQ$4,'Mortality Margins &amp; Grading'!$AI$4:$AR$4,0),0),1)))</f>
        <v>0.75</v>
      </c>
      <c r="AC391" s="154"/>
      <c r="AD391" s="158">
        <f>IF(E391="","",Input!$C$48*IF(Summary!$D$30="Included Margin",IF(AND($B391&gt;Input!$C$9,Summary!$D$31&lt;&gt;"Included Margin"),0,1),0))</f>
        <v>-4.4999999999999997E-3</v>
      </c>
      <c r="AE391" s="159">
        <f>IF(E391="","",IF(Summary!$D$26="Included Margin",IF(AND($B391&gt;Input!$C$9,Summary!$D$31&lt;&gt;"Included Margin"),1,1/$R391),1))</f>
        <v>1.1739819404352851</v>
      </c>
      <c r="AF391" s="160">
        <f>IF(E391="","",IF(AND($B391&gt;=Input!$C$9,$C391=12,Summary!$D$31="Included Margin",$U391&gt;0),1/U391-1,IF($B391&gt;=Input!$C$9,0,Input!$C$45*IF(Summary!$D$27="Included Margin",1,0))))</f>
        <v>0</v>
      </c>
      <c r="AG391" s="160">
        <f>IF(E391="","",Input!$C$46*IF(Summary!$D$28="Included Margin",IF(AND($B391&gt;Input!$C$9,Summary!$D$31&lt;&gt;"Included Margin"),0,1),0))</f>
        <v>0.02</v>
      </c>
      <c r="AH391" s="158">
        <f>IF(E391="","",Input!$C$47*IF(Summary!$D$29="Included Margin",IF(AND($B391&gt;Input!$C$9,Summary!$D$31&lt;&gt;"Included Margin"),0,1),0))</f>
        <v>2.5000000000000001E-3</v>
      </c>
      <c r="AI391" s="154"/>
      <c r="AJ391" s="158">
        <f t="shared" si="271"/>
        <v>3.9850000000000003E-2</v>
      </c>
      <c r="AK391" s="155">
        <f t="shared" si="272"/>
        <v>3.2616804063805294E-3</v>
      </c>
      <c r="AL391" s="147">
        <f t="shared" si="273"/>
        <v>9.5793966149999993E-2</v>
      </c>
      <c r="AM391" s="147">
        <f t="shared" si="251"/>
        <v>8.3563922043959904E-3</v>
      </c>
      <c r="AN391" s="160">
        <f t="shared" si="274"/>
        <v>0</v>
      </c>
      <c r="AO391" s="161">
        <f t="shared" si="275"/>
        <v>0</v>
      </c>
      <c r="AP391" s="156">
        <f t="shared" si="252"/>
        <v>2.038103025773728</v>
      </c>
      <c r="AQ391" s="152"/>
      <c r="AR391" s="162">
        <f t="shared" si="253"/>
        <v>7921.2086043518912</v>
      </c>
      <c r="AS391" s="150">
        <f t="shared" si="276"/>
        <v>0</v>
      </c>
      <c r="AT391" s="163">
        <f t="shared" si="254"/>
        <v>0</v>
      </c>
      <c r="AU391" s="163">
        <f t="shared" si="255"/>
        <v>835.63922043959906</v>
      </c>
      <c r="AV391" s="163">
        <f t="shared" si="277"/>
        <v>24.47365686361195</v>
      </c>
      <c r="AW391" s="163">
        <f t="shared" si="256"/>
        <v>59.915000019788543</v>
      </c>
      <c r="AX391" s="163">
        <f t="shared" si="257"/>
        <v>0</v>
      </c>
      <c r="AY391" s="164">
        <f t="shared" si="278"/>
        <v>7169.9580407956928</v>
      </c>
      <c r="AZ391" s="164">
        <f>IF($E391="","",IF(OR(AND($D391=Input!$C$6,$C391=12),$AN391=1),0,-AS392+AT392+AU392-AV392-AW392-AX392+AZ392))</f>
        <v>7169.9602596763552</v>
      </c>
      <c r="BA391" s="154">
        <f t="shared" si="258"/>
        <v>2.2188806624399149E-3</v>
      </c>
      <c r="BC391" s="147">
        <f t="shared" si="279"/>
        <v>1.6041685553903808E-2</v>
      </c>
      <c r="BD391" s="164">
        <f>IF(AND($C390=12,$D390=Input!$C$6),0,IF($E391="","",AT391+(AU391+BD392)/(1+$AK391)*MIN((1-AM391-AN391),1)))</f>
        <v>7018.5354107049598</v>
      </c>
      <c r="BE391" s="164">
        <f t="shared" si="259"/>
        <v>112.58913810746809</v>
      </c>
      <c r="BF391" s="164">
        <f t="shared" si="280"/>
        <v>7169.9602596763552</v>
      </c>
      <c r="BG391" s="164">
        <f t="shared" si="260"/>
        <v>115.01824791971458</v>
      </c>
      <c r="BH391" s="152"/>
      <c r="BI391" s="162">
        <f t="shared" si="261"/>
        <v>2826.5874203282451</v>
      </c>
      <c r="BJ391" s="150">
        <f t="shared" si="262"/>
        <v>0</v>
      </c>
      <c r="BK391" s="163">
        <f t="shared" ref="BK391:BK454" si="284">IF($E391="","",$V391*$X391)</f>
        <v>0</v>
      </c>
      <c r="BL391" s="163">
        <f t="shared" si="263"/>
        <v>622.70846511425225</v>
      </c>
      <c r="BM391" s="163">
        <f t="shared" ref="BM391:BM454" si="285">IF($E391="","",(BI391+BJ391-BK391-BL391/2)*$N391)</f>
        <v>9.1121112139992455</v>
      </c>
      <c r="BN391" s="163">
        <f t="shared" si="264"/>
        <v>13.866845423204163</v>
      </c>
      <c r="BO391" s="163">
        <f t="shared" si="265"/>
        <v>0</v>
      </c>
      <c r="BP391" s="164">
        <f t="shared" ref="BP391:BP454" si="286">IF($E391="","",BI391+BJ391-BK391-BL391+BM391+BN391+BO391)</f>
        <v>2226.8579118511966</v>
      </c>
      <c r="BQ391" s="164">
        <f>IF($E391="","",IF(AND($D391=Input!$C$6,$C391=12),0,-BJ392+BK392+BL392-BM392-BN392-BO392+BQ392))</f>
        <v>2226.8599513353211</v>
      </c>
      <c r="BR391" s="161">
        <f t="shared" si="266"/>
        <v>0</v>
      </c>
      <c r="BT391" s="147">
        <f t="shared" si="267"/>
        <v>1.6041685553903808E-2</v>
      </c>
      <c r="BU391" s="164">
        <f>IF(AND($C390=12,$D390=Input!$C$6),0,IF($E391="","",BK391+(BL391+BU392)/(1+$AK391)*MIN((1-T391-U391),1)))</f>
        <v>45090.693225447525</v>
      </c>
      <c r="BV391" s="164">
        <f t="shared" si="268"/>
        <v>723.33072213016987</v>
      </c>
      <c r="BW391" s="164">
        <f t="shared" si="269"/>
        <v>2226.8599513353211</v>
      </c>
      <c r="BX391" s="164">
        <f t="shared" si="270"/>
        <v>35.722587111902754</v>
      </c>
    </row>
    <row r="392" spans="1:76" s="150" customFormat="1" x14ac:dyDescent="0.25">
      <c r="A392" s="150">
        <f t="shared" si="281"/>
        <v>388</v>
      </c>
      <c r="B392" s="150">
        <f t="shared" si="282"/>
        <v>33</v>
      </c>
      <c r="C392" s="150">
        <f t="shared" si="283"/>
        <v>4</v>
      </c>
      <c r="D392" s="150">
        <f>IF(E392="","",Input!$C$4+B392-1)</f>
        <v>77</v>
      </c>
      <c r="E392" s="150">
        <f>IF(OR(AND(C391=12,D391=Input!$C$6),E391=""),"",1)</f>
        <v>1</v>
      </c>
      <c r="F392" s="150">
        <f>IF(E392="","",Input!$C$8+B392-1)</f>
        <v>2050</v>
      </c>
      <c r="G392" s="151">
        <f>IF(E392="","",MAX(0,Input!$C$9-B392))</f>
        <v>0</v>
      </c>
      <c r="H392" s="152">
        <f>IF(E392="","",Input!$C$3)</f>
        <v>100000</v>
      </c>
      <c r="I392" s="153">
        <f>IF(E392="","",HLOOKUP($B392,Input!$C$13:$BT$14,2))</f>
        <v>75.239500000000007</v>
      </c>
      <c r="J392" s="154"/>
      <c r="K392" s="155">
        <f>IF($E392="","",INDEX(Input!$C$16:$CP$16,1,$B392))</f>
        <v>2.9350000000000001E-2</v>
      </c>
      <c r="L392" s="155">
        <f>IF($E392="","",Input!$C$37)</f>
        <v>1.4999999999999999E-2</v>
      </c>
      <c r="M392" s="155">
        <f t="shared" si="246"/>
        <v>4.4350000000000001E-2</v>
      </c>
      <c r="N392" s="155">
        <f t="shared" si="247"/>
        <v>3.6227699516298006E-3</v>
      </c>
      <c r="O392" s="147">
        <f>IF($E392="","",MIN(VLOOKUP(IF($B392&lt;=Input!$C$7,$B392,26),'Mortality Tables'!$A$41:$CW$67,IF($B392&lt;=Input!$C$7+1,Input!$C$4+2,$D392-Input!$C$7+2),0)*IF(B392&gt;20,Input!$C$22,1)/1000,1))</f>
        <v>8.4782799999999992E-2</v>
      </c>
      <c r="P392" s="147">
        <f>IF($E392="","",MIN(VLOOKUP(IF($B392&lt;=Input!$C$7,$B392,26),'Mortality Tables'!$A$12:$CW$37,IF($B392&lt;=Input!$C$7+1,Input!$C$4+2,$D392-Input!$C$7+2),0)*IF(B392&gt;20,Input!$C$22,1)/1000,1))</f>
        <v>0.1059785</v>
      </c>
      <c r="Q392" s="155">
        <f>IF($E392="","",Input!$C$21)</f>
        <v>5.0000000000000001E-3</v>
      </c>
      <c r="R392" s="159">
        <f>IF($E392="","",(1-Q392)^($F392-Input!$C$20))</f>
        <v>0.85180185960034727</v>
      </c>
      <c r="S392" s="147">
        <f t="shared" si="249"/>
        <v>7.2218146702124314E-2</v>
      </c>
      <c r="T392" s="147">
        <f t="shared" si="250"/>
        <v>6.2270846511425226E-3</v>
      </c>
      <c r="U392" s="160">
        <f>IF($E392="","",IF($C392=12,INDEX(Input!$C$15:$CP$15,1,$B392),0))</f>
        <v>0</v>
      </c>
      <c r="V392" s="150">
        <f>IF(E392="","",IF(C392=1,IF($B392=1,Input!$C$33,Input!$C$34),0))</f>
        <v>0</v>
      </c>
      <c r="W392" s="156">
        <f>IF($E392="","",Input!$C$35)</f>
        <v>0.02</v>
      </c>
      <c r="X392" s="156">
        <f t="shared" si="248"/>
        <v>1.8845405921011305</v>
      </c>
      <c r="Y392" s="154"/>
      <c r="Z392" s="147">
        <f>IF($E392="","",VLOOKUP($D392,'Mortality Margins &amp; Grading'!$AB$5:$AF$125,3,0)*IF(Summary!$D$25="Included Margin",IF(AND($B392&gt;Input!$C$9,Summary!$D$31&lt;&gt;"Included Margin"),0,1),0))</f>
        <v>2.9000000000000001E-2</v>
      </c>
      <c r="AA392" s="147">
        <f>IF($E392="","",VLOOKUP($D392,'Mortality Margins &amp; Grading'!$AB$5:$AF$125,5,0)*IF(Summary!$D$25="Included Margin",IF(AND($B392&gt;Input!$C$9,Summary!$D$31&lt;&gt;"Included Margin"),0,1),0))</f>
        <v>0.14599999999999999</v>
      </c>
      <c r="AB392" s="147">
        <f>IF($E392="","",IF(AND($B392&gt;Input!$C$9,Summary!$D$31&lt;&gt;"Included Margin"),1,IF(Summary!$D$25="Included Margin",VLOOKUP($B392,'Mortality Margins &amp; Grading'!$AI$5:$AR$125,MATCH('Mortality Margins &amp; Grading'!$AQ$4,'Mortality Margins &amp; Grading'!$AI$4:$AR$4,0),0),1)))</f>
        <v>0.75</v>
      </c>
      <c r="AC392" s="154"/>
      <c r="AD392" s="158">
        <f>IF(E392="","",Input!$C$48*IF(Summary!$D$30="Included Margin",IF(AND($B392&gt;Input!$C$9,Summary!$D$31&lt;&gt;"Included Margin"),0,1),0))</f>
        <v>-4.4999999999999997E-3</v>
      </c>
      <c r="AE392" s="159">
        <f>IF(E392="","",IF(Summary!$D$26="Included Margin",IF(AND($B392&gt;Input!$C$9,Summary!$D$31&lt;&gt;"Included Margin"),1,1/$R392),1))</f>
        <v>1.1739819404352851</v>
      </c>
      <c r="AF392" s="160">
        <f>IF(E392="","",IF(AND($B392&gt;=Input!$C$9,$C392=12,Summary!$D$31="Included Margin",$U392&gt;0),1/U392-1,IF($B392&gt;=Input!$C$9,0,Input!$C$45*IF(Summary!$D$27="Included Margin",1,0))))</f>
        <v>0</v>
      </c>
      <c r="AG392" s="160">
        <f>IF(E392="","",Input!$C$46*IF(Summary!$D$28="Included Margin",IF(AND($B392&gt;Input!$C$9,Summary!$D$31&lt;&gt;"Included Margin"),0,1),0))</f>
        <v>0.02</v>
      </c>
      <c r="AH392" s="158">
        <f>IF(E392="","",Input!$C$47*IF(Summary!$D$29="Included Margin",IF(AND($B392&gt;Input!$C$9,Summary!$D$31&lt;&gt;"Included Margin"),0,1),0))</f>
        <v>2.5000000000000001E-3</v>
      </c>
      <c r="AI392" s="154"/>
      <c r="AJ392" s="158">
        <f t="shared" si="271"/>
        <v>3.9850000000000003E-2</v>
      </c>
      <c r="AK392" s="155">
        <f t="shared" si="272"/>
        <v>3.2616804063805294E-3</v>
      </c>
      <c r="AL392" s="147">
        <f t="shared" si="273"/>
        <v>9.5793966149999993E-2</v>
      </c>
      <c r="AM392" s="147">
        <f t="shared" si="251"/>
        <v>8.3563922043959904E-3</v>
      </c>
      <c r="AN392" s="160">
        <f t="shared" si="274"/>
        <v>0</v>
      </c>
      <c r="AO392" s="161">
        <f t="shared" si="275"/>
        <v>0</v>
      </c>
      <c r="AP392" s="156">
        <f t="shared" si="252"/>
        <v>2.038103025773728</v>
      </c>
      <c r="AQ392" s="152"/>
      <c r="AR392" s="162">
        <f t="shared" si="253"/>
        <v>7169.9580407956928</v>
      </c>
      <c r="AS392" s="150">
        <f t="shared" si="276"/>
        <v>0</v>
      </c>
      <c r="AT392" s="163">
        <f t="shared" si="254"/>
        <v>0</v>
      </c>
      <c r="AU392" s="163">
        <f t="shared" si="255"/>
        <v>835.63922043959906</v>
      </c>
      <c r="AV392" s="163">
        <f t="shared" si="277"/>
        <v>22.023317620178368</v>
      </c>
      <c r="AW392" s="163">
        <f t="shared" si="256"/>
        <v>53.563705765392214</v>
      </c>
      <c r="AX392" s="163">
        <f t="shared" si="257"/>
        <v>0</v>
      </c>
      <c r="AY392" s="165">
        <f t="shared" si="278"/>
        <v>6409.9058437416643</v>
      </c>
      <c r="AZ392" s="164">
        <f>IF($E392="","",IF(OR(AND($D392=Input!$C$6,$C392=12),$AN392=1),0,-AS393+AT393+AU393-AV393-AW393-AX393+AZ393))</f>
        <v>6409.9080626223267</v>
      </c>
      <c r="BA392" s="154">
        <f t="shared" si="258"/>
        <v>2.2188806624399149E-3</v>
      </c>
      <c r="BC392" s="147">
        <f t="shared" si="279"/>
        <v>1.5941792620012638E-2</v>
      </c>
      <c r="BD392" s="164">
        <f>IF(AND($C391=12,$D391=Input!$C$6),0,IF($E392="","",AT392+(AU392+BD393)/(1+$AK392)*MIN((1-AM392-AN392),1)))</f>
        <v>6265.1251819936915</v>
      </c>
      <c r="BE392" s="164">
        <f t="shared" si="259"/>
        <v>99.877326389762374</v>
      </c>
      <c r="BF392" s="164">
        <f t="shared" si="280"/>
        <v>6409.9080626223267</v>
      </c>
      <c r="BG392" s="164">
        <f t="shared" si="260"/>
        <v>102.18542504767211</v>
      </c>
      <c r="BH392" s="152"/>
      <c r="BI392" s="162">
        <f t="shared" si="261"/>
        <v>2226.8579118511961</v>
      </c>
      <c r="BJ392" s="150">
        <f t="shared" si="262"/>
        <v>0</v>
      </c>
      <c r="BK392" s="163">
        <f t="shared" si="284"/>
        <v>0</v>
      </c>
      <c r="BL392" s="163">
        <f t="shared" si="263"/>
        <v>622.70846511425225</v>
      </c>
      <c r="BM392" s="163">
        <f t="shared" si="285"/>
        <v>6.9394291715828835</v>
      </c>
      <c r="BN392" s="163">
        <f t="shared" si="264"/>
        <v>10.095263571673142</v>
      </c>
      <c r="BO392" s="163">
        <f t="shared" si="265"/>
        <v>0</v>
      </c>
      <c r="BP392" s="164">
        <f t="shared" si="286"/>
        <v>1621.1841394801997</v>
      </c>
      <c r="BQ392" s="164">
        <f>IF($E392="","",IF(AND($D392=Input!$C$6,$C392=12),0,-BJ393+BK393+BL393-BM393-BN393-BO393+BQ393))</f>
        <v>1621.1861789643249</v>
      </c>
      <c r="BR392" s="161">
        <f t="shared" si="266"/>
        <v>0</v>
      </c>
      <c r="BT392" s="147">
        <f t="shared" si="267"/>
        <v>1.5941792620012638E-2</v>
      </c>
      <c r="BU392" s="164">
        <f>IF(AND($C391=12,$D391=Input!$C$6),0,IF($E392="","",BK392+(BL392+BU393)/(1+$AK392)*MIN((1-T392-U392),1)))</f>
        <v>44898.520738612504</v>
      </c>
      <c r="BV392" s="164">
        <f t="shared" si="268"/>
        <v>715.76290656029721</v>
      </c>
      <c r="BW392" s="164">
        <f t="shared" si="269"/>
        <v>1621.1861789643249</v>
      </c>
      <c r="BX392" s="164">
        <f t="shared" si="270"/>
        <v>25.844613863479964</v>
      </c>
    </row>
    <row r="393" spans="1:76" s="150" customFormat="1" x14ac:dyDescent="0.25">
      <c r="A393" s="150">
        <f t="shared" si="281"/>
        <v>389</v>
      </c>
      <c r="B393" s="150">
        <f t="shared" si="282"/>
        <v>33</v>
      </c>
      <c r="C393" s="150">
        <f t="shared" si="283"/>
        <v>5</v>
      </c>
      <c r="D393" s="150">
        <f>IF(E393="","",Input!$C$4+B393-1)</f>
        <v>77</v>
      </c>
      <c r="E393" s="150">
        <f>IF(OR(AND(C392=12,D392=Input!$C$6),E392=""),"",1)</f>
        <v>1</v>
      </c>
      <c r="F393" s="150">
        <f>IF(E393="","",Input!$C$8+B393-1)</f>
        <v>2050</v>
      </c>
      <c r="G393" s="151">
        <f>IF(E393="","",MAX(0,Input!$C$9-B393))</f>
        <v>0</v>
      </c>
      <c r="H393" s="152">
        <f>IF(E393="","",Input!$C$3)</f>
        <v>100000</v>
      </c>
      <c r="I393" s="153">
        <f>IF(E393="","",HLOOKUP($B393,Input!$C$13:$BT$14,2))</f>
        <v>75.239500000000007</v>
      </c>
      <c r="J393" s="154"/>
      <c r="K393" s="155">
        <f>IF($E393="","",INDEX(Input!$C$16:$CP$16,1,$B393))</f>
        <v>2.9350000000000001E-2</v>
      </c>
      <c r="L393" s="155">
        <f>IF($E393="","",Input!$C$37)</f>
        <v>1.4999999999999999E-2</v>
      </c>
      <c r="M393" s="155">
        <f t="shared" si="246"/>
        <v>4.4350000000000001E-2</v>
      </c>
      <c r="N393" s="155">
        <f t="shared" si="247"/>
        <v>3.6227699516298006E-3</v>
      </c>
      <c r="O393" s="147">
        <f>IF($E393="","",MIN(VLOOKUP(IF($B393&lt;=Input!$C$7,$B393,26),'Mortality Tables'!$A$41:$CW$67,IF($B393&lt;=Input!$C$7+1,Input!$C$4+2,$D393-Input!$C$7+2),0)*IF(B393&gt;20,Input!$C$22,1)/1000,1))</f>
        <v>8.4782799999999992E-2</v>
      </c>
      <c r="P393" s="147">
        <f>IF($E393="","",MIN(VLOOKUP(IF($B393&lt;=Input!$C$7,$B393,26),'Mortality Tables'!$A$12:$CW$37,IF($B393&lt;=Input!$C$7+1,Input!$C$4+2,$D393-Input!$C$7+2),0)*IF(B393&gt;20,Input!$C$22,1)/1000,1))</f>
        <v>0.1059785</v>
      </c>
      <c r="Q393" s="155">
        <f>IF($E393="","",Input!$C$21)</f>
        <v>5.0000000000000001E-3</v>
      </c>
      <c r="R393" s="159">
        <f>IF($E393="","",(1-Q393)^($F393-Input!$C$20))</f>
        <v>0.85180185960034727</v>
      </c>
      <c r="S393" s="147">
        <f t="shared" si="249"/>
        <v>7.2218146702124314E-2</v>
      </c>
      <c r="T393" s="147">
        <f t="shared" si="250"/>
        <v>6.2270846511425226E-3</v>
      </c>
      <c r="U393" s="160">
        <f>IF($E393="","",IF($C393=12,INDEX(Input!$C$15:$CP$15,1,$B393),0))</f>
        <v>0</v>
      </c>
      <c r="V393" s="150">
        <f>IF(E393="","",IF(C393=1,IF($B393=1,Input!$C$33,Input!$C$34),0))</f>
        <v>0</v>
      </c>
      <c r="W393" s="156">
        <f>IF($E393="","",Input!$C$35)</f>
        <v>0.02</v>
      </c>
      <c r="X393" s="156">
        <f t="shared" si="248"/>
        <v>1.8845405921011305</v>
      </c>
      <c r="Y393" s="154"/>
      <c r="Z393" s="147">
        <f>IF($E393="","",VLOOKUP($D393,'Mortality Margins &amp; Grading'!$AB$5:$AF$125,3,0)*IF(Summary!$D$25="Included Margin",IF(AND($B393&gt;Input!$C$9,Summary!$D$31&lt;&gt;"Included Margin"),0,1),0))</f>
        <v>2.9000000000000001E-2</v>
      </c>
      <c r="AA393" s="147">
        <f>IF($E393="","",VLOOKUP($D393,'Mortality Margins &amp; Grading'!$AB$5:$AF$125,5,0)*IF(Summary!$D$25="Included Margin",IF(AND($B393&gt;Input!$C$9,Summary!$D$31&lt;&gt;"Included Margin"),0,1),0))</f>
        <v>0.14599999999999999</v>
      </c>
      <c r="AB393" s="147">
        <f>IF($E393="","",IF(AND($B393&gt;Input!$C$9,Summary!$D$31&lt;&gt;"Included Margin"),1,IF(Summary!$D$25="Included Margin",VLOOKUP($B393,'Mortality Margins &amp; Grading'!$AI$5:$AR$125,MATCH('Mortality Margins &amp; Grading'!$AQ$4,'Mortality Margins &amp; Grading'!$AI$4:$AR$4,0),0),1)))</f>
        <v>0.75</v>
      </c>
      <c r="AC393" s="154"/>
      <c r="AD393" s="158">
        <f>IF(E393="","",Input!$C$48*IF(Summary!$D$30="Included Margin",IF(AND($B393&gt;Input!$C$9,Summary!$D$31&lt;&gt;"Included Margin"),0,1),0))</f>
        <v>-4.4999999999999997E-3</v>
      </c>
      <c r="AE393" s="159">
        <f>IF(E393="","",IF(Summary!$D$26="Included Margin",IF(AND($B393&gt;Input!$C$9,Summary!$D$31&lt;&gt;"Included Margin"),1,1/$R393),1))</f>
        <v>1.1739819404352851</v>
      </c>
      <c r="AF393" s="160">
        <f>IF(E393="","",IF(AND($B393&gt;=Input!$C$9,$C393=12,Summary!$D$31="Included Margin",$U393&gt;0),1/U393-1,IF($B393&gt;=Input!$C$9,0,Input!$C$45*IF(Summary!$D$27="Included Margin",1,0))))</f>
        <v>0</v>
      </c>
      <c r="AG393" s="160">
        <f>IF(E393="","",Input!$C$46*IF(Summary!$D$28="Included Margin",IF(AND($B393&gt;Input!$C$9,Summary!$D$31&lt;&gt;"Included Margin"),0,1),0))</f>
        <v>0.02</v>
      </c>
      <c r="AH393" s="158">
        <f>IF(E393="","",Input!$C$47*IF(Summary!$D$29="Included Margin",IF(AND($B393&gt;Input!$C$9,Summary!$D$31&lt;&gt;"Included Margin"),0,1),0))</f>
        <v>2.5000000000000001E-3</v>
      </c>
      <c r="AI393" s="154"/>
      <c r="AJ393" s="158">
        <f t="shared" si="271"/>
        <v>3.9850000000000003E-2</v>
      </c>
      <c r="AK393" s="155">
        <f t="shared" si="272"/>
        <v>3.2616804063805294E-3</v>
      </c>
      <c r="AL393" s="147">
        <f t="shared" si="273"/>
        <v>9.5793966149999993E-2</v>
      </c>
      <c r="AM393" s="147">
        <f t="shared" si="251"/>
        <v>8.3563922043959904E-3</v>
      </c>
      <c r="AN393" s="160">
        <f t="shared" si="274"/>
        <v>0</v>
      </c>
      <c r="AO393" s="161">
        <f t="shared" si="275"/>
        <v>0</v>
      </c>
      <c r="AP393" s="156">
        <f t="shared" si="252"/>
        <v>2.038103025773728</v>
      </c>
      <c r="AQ393" s="152"/>
      <c r="AR393" s="162">
        <f t="shared" si="253"/>
        <v>6409.9058437416634</v>
      </c>
      <c r="AS393" s="150">
        <f t="shared" si="276"/>
        <v>0</v>
      </c>
      <c r="AT393" s="163">
        <f t="shared" si="254"/>
        <v>0</v>
      </c>
      <c r="AU393" s="163">
        <f t="shared" si="255"/>
        <v>835.63922043959906</v>
      </c>
      <c r="AV393" s="163">
        <f t="shared" si="277"/>
        <v>19.544270261220767</v>
      </c>
      <c r="AW393" s="163">
        <f t="shared" si="256"/>
        <v>47.137999900574663</v>
      </c>
      <c r="AX393" s="163">
        <f t="shared" si="257"/>
        <v>0</v>
      </c>
      <c r="AY393" s="164">
        <f t="shared" si="278"/>
        <v>5640.9488934638603</v>
      </c>
      <c r="AZ393" s="164">
        <f>IF($E393="","",IF(OR(AND($D393=Input!$C$6,$C393=12),$AN393=1),0,-AS394+AT394+AU394-AV394-AW394-AX394+AZ394))</f>
        <v>5640.9511123445227</v>
      </c>
      <c r="BA393" s="154">
        <f t="shared" si="258"/>
        <v>2.2188806624399149E-3</v>
      </c>
      <c r="BC393" s="147">
        <f t="shared" si="279"/>
        <v>1.5842521727876861E-2</v>
      </c>
      <c r="BD393" s="164">
        <f>IF(AND($C392=12,$D392=Input!$C$6),0,IF($E393="","",AT393+(AU393+BD394)/(1+$AK393)*MIN((1-AM393-AN393),1)))</f>
        <v>5502.8880171996834</v>
      </c>
      <c r="BE393" s="164">
        <f t="shared" si="259"/>
        <v>87.179622978559209</v>
      </c>
      <c r="BF393" s="164">
        <f t="shared" si="280"/>
        <v>5640.9511123445227</v>
      </c>
      <c r="BG393" s="164">
        <f t="shared" si="260"/>
        <v>89.366890563209253</v>
      </c>
      <c r="BH393" s="152"/>
      <c r="BI393" s="162">
        <f t="shared" si="261"/>
        <v>1621.1841394802</v>
      </c>
      <c r="BJ393" s="150">
        <f t="shared" si="262"/>
        <v>0</v>
      </c>
      <c r="BK393" s="163">
        <f t="shared" si="284"/>
        <v>0</v>
      </c>
      <c r="BL393" s="163">
        <f t="shared" si="263"/>
        <v>622.70846511425225</v>
      </c>
      <c r="BM393" s="163">
        <f t="shared" si="285"/>
        <v>4.7452124285469708</v>
      </c>
      <c r="BN393" s="163">
        <f t="shared" si="264"/>
        <v>6.2862994044377398</v>
      </c>
      <c r="BO393" s="163">
        <f t="shared" si="265"/>
        <v>0</v>
      </c>
      <c r="BP393" s="164">
        <f t="shared" si="286"/>
        <v>1009.5071861989325</v>
      </c>
      <c r="BQ393" s="164">
        <f>IF($E393="","",IF(AND($D393=Input!$C$6,$C393=12),0,-BJ394+BK394+BL394-BM394-BN394-BO394+BQ394))</f>
        <v>1009.5092256830575</v>
      </c>
      <c r="BR393" s="161">
        <f t="shared" si="266"/>
        <v>0</v>
      </c>
      <c r="BT393" s="147">
        <f t="shared" si="267"/>
        <v>1.5842521727876861E-2</v>
      </c>
      <c r="BU393" s="164">
        <f>IF(AND($C392=12,$D392=Input!$C$6),0,IF($E393="","",BK393+(BL393+BU394)/(1+$AK393)*MIN((1-T393-U393),1)))</f>
        <v>44704.513346086314</v>
      </c>
      <c r="BV393" s="164">
        <f t="shared" si="268"/>
        <v>708.23222401953353</v>
      </c>
      <c r="BW393" s="164">
        <f t="shared" si="269"/>
        <v>1009.5092256830575</v>
      </c>
      <c r="BX393" s="164">
        <f t="shared" si="270"/>
        <v>15.993171842375984</v>
      </c>
    </row>
    <row r="394" spans="1:76" s="150" customFormat="1" x14ac:dyDescent="0.25">
      <c r="A394" s="150">
        <f t="shared" si="281"/>
        <v>390</v>
      </c>
      <c r="B394" s="150">
        <f t="shared" si="282"/>
        <v>33</v>
      </c>
      <c r="C394" s="150">
        <f t="shared" si="283"/>
        <v>6</v>
      </c>
      <c r="D394" s="150">
        <f>IF(E394="","",Input!$C$4+B394-1)</f>
        <v>77</v>
      </c>
      <c r="E394" s="150">
        <f>IF(OR(AND(C393=12,D393=Input!$C$6),E393=""),"",1)</f>
        <v>1</v>
      </c>
      <c r="F394" s="150">
        <f>IF(E394="","",Input!$C$8+B394-1)</f>
        <v>2050</v>
      </c>
      <c r="G394" s="151">
        <f>IF(E394="","",MAX(0,Input!$C$9-B394))</f>
        <v>0</v>
      </c>
      <c r="H394" s="152">
        <f>IF(E394="","",Input!$C$3)</f>
        <v>100000</v>
      </c>
      <c r="I394" s="153">
        <f>IF(E394="","",HLOOKUP($B394,Input!$C$13:$BT$14,2))</f>
        <v>75.239500000000007</v>
      </c>
      <c r="J394" s="154"/>
      <c r="K394" s="155">
        <f>IF($E394="","",INDEX(Input!$C$16:$CP$16,1,$B394))</f>
        <v>2.9350000000000001E-2</v>
      </c>
      <c r="L394" s="155">
        <f>IF($E394="","",Input!$C$37)</f>
        <v>1.4999999999999999E-2</v>
      </c>
      <c r="M394" s="155">
        <f t="shared" si="246"/>
        <v>4.4350000000000001E-2</v>
      </c>
      <c r="N394" s="155">
        <f t="shared" si="247"/>
        <v>3.6227699516298006E-3</v>
      </c>
      <c r="O394" s="147">
        <f>IF($E394="","",MIN(VLOOKUP(IF($B394&lt;=Input!$C$7,$B394,26),'Mortality Tables'!$A$41:$CW$67,IF($B394&lt;=Input!$C$7+1,Input!$C$4+2,$D394-Input!$C$7+2),0)*IF(B394&gt;20,Input!$C$22,1)/1000,1))</f>
        <v>8.4782799999999992E-2</v>
      </c>
      <c r="P394" s="147">
        <f>IF($E394="","",MIN(VLOOKUP(IF($B394&lt;=Input!$C$7,$B394,26),'Mortality Tables'!$A$12:$CW$37,IF($B394&lt;=Input!$C$7+1,Input!$C$4+2,$D394-Input!$C$7+2),0)*IF(B394&gt;20,Input!$C$22,1)/1000,1))</f>
        <v>0.1059785</v>
      </c>
      <c r="Q394" s="155">
        <f>IF($E394="","",Input!$C$21)</f>
        <v>5.0000000000000001E-3</v>
      </c>
      <c r="R394" s="159">
        <f>IF($E394="","",(1-Q394)^($F394-Input!$C$20))</f>
        <v>0.85180185960034727</v>
      </c>
      <c r="S394" s="147">
        <f t="shared" si="249"/>
        <v>7.2218146702124314E-2</v>
      </c>
      <c r="T394" s="147">
        <f t="shared" si="250"/>
        <v>6.2270846511425226E-3</v>
      </c>
      <c r="U394" s="160">
        <f>IF($E394="","",IF($C394=12,INDEX(Input!$C$15:$CP$15,1,$B394),0))</f>
        <v>0</v>
      </c>
      <c r="V394" s="150">
        <f>IF(E394="","",IF(C394=1,IF($B394=1,Input!$C$33,Input!$C$34),0))</f>
        <v>0</v>
      </c>
      <c r="W394" s="156">
        <f>IF($E394="","",Input!$C$35)</f>
        <v>0.02</v>
      </c>
      <c r="X394" s="156">
        <f t="shared" si="248"/>
        <v>1.8845405921011305</v>
      </c>
      <c r="Y394" s="154"/>
      <c r="Z394" s="147">
        <f>IF($E394="","",VLOOKUP($D394,'Mortality Margins &amp; Grading'!$AB$5:$AF$125,3,0)*IF(Summary!$D$25="Included Margin",IF(AND($B394&gt;Input!$C$9,Summary!$D$31&lt;&gt;"Included Margin"),0,1),0))</f>
        <v>2.9000000000000001E-2</v>
      </c>
      <c r="AA394" s="147">
        <f>IF($E394="","",VLOOKUP($D394,'Mortality Margins &amp; Grading'!$AB$5:$AF$125,5,0)*IF(Summary!$D$25="Included Margin",IF(AND($B394&gt;Input!$C$9,Summary!$D$31&lt;&gt;"Included Margin"),0,1),0))</f>
        <v>0.14599999999999999</v>
      </c>
      <c r="AB394" s="147">
        <f>IF($E394="","",IF(AND($B394&gt;Input!$C$9,Summary!$D$31&lt;&gt;"Included Margin"),1,IF(Summary!$D$25="Included Margin",VLOOKUP($B394,'Mortality Margins &amp; Grading'!$AI$5:$AR$125,MATCH('Mortality Margins &amp; Grading'!$AQ$4,'Mortality Margins &amp; Grading'!$AI$4:$AR$4,0),0),1)))</f>
        <v>0.75</v>
      </c>
      <c r="AC394" s="154"/>
      <c r="AD394" s="158">
        <f>IF(E394="","",Input!$C$48*IF(Summary!$D$30="Included Margin",IF(AND($B394&gt;Input!$C$9,Summary!$D$31&lt;&gt;"Included Margin"),0,1),0))</f>
        <v>-4.4999999999999997E-3</v>
      </c>
      <c r="AE394" s="159">
        <f>IF(E394="","",IF(Summary!$D$26="Included Margin",IF(AND($B394&gt;Input!$C$9,Summary!$D$31&lt;&gt;"Included Margin"),1,1/$R394),1))</f>
        <v>1.1739819404352851</v>
      </c>
      <c r="AF394" s="160">
        <f>IF(E394="","",IF(AND($B394&gt;=Input!$C$9,$C394=12,Summary!$D$31="Included Margin",$U394&gt;0),1/U394-1,IF($B394&gt;=Input!$C$9,0,Input!$C$45*IF(Summary!$D$27="Included Margin",1,0))))</f>
        <v>0</v>
      </c>
      <c r="AG394" s="160">
        <f>IF(E394="","",Input!$C$46*IF(Summary!$D$28="Included Margin",IF(AND($B394&gt;Input!$C$9,Summary!$D$31&lt;&gt;"Included Margin"),0,1),0))</f>
        <v>0.02</v>
      </c>
      <c r="AH394" s="158">
        <f>IF(E394="","",Input!$C$47*IF(Summary!$D$29="Included Margin",IF(AND($B394&gt;Input!$C$9,Summary!$D$31&lt;&gt;"Included Margin"),0,1),0))</f>
        <v>2.5000000000000001E-3</v>
      </c>
      <c r="AI394" s="154"/>
      <c r="AJ394" s="158">
        <f t="shared" si="271"/>
        <v>3.9850000000000003E-2</v>
      </c>
      <c r="AK394" s="155">
        <f t="shared" si="272"/>
        <v>3.2616804063805294E-3</v>
      </c>
      <c r="AL394" s="147">
        <f t="shared" si="273"/>
        <v>9.5793966149999993E-2</v>
      </c>
      <c r="AM394" s="147">
        <f t="shared" si="251"/>
        <v>8.3563922043959904E-3</v>
      </c>
      <c r="AN394" s="160">
        <f t="shared" si="274"/>
        <v>0</v>
      </c>
      <c r="AO394" s="161">
        <f t="shared" si="275"/>
        <v>0</v>
      </c>
      <c r="AP394" s="156">
        <f t="shared" si="252"/>
        <v>2.038103025773728</v>
      </c>
      <c r="AQ394" s="152"/>
      <c r="AR394" s="162">
        <f t="shared" si="253"/>
        <v>5640.9488934638603</v>
      </c>
      <c r="AS394" s="150">
        <f t="shared" si="276"/>
        <v>0</v>
      </c>
      <c r="AT394" s="163">
        <f t="shared" si="254"/>
        <v>0</v>
      </c>
      <c r="AU394" s="163">
        <f t="shared" si="255"/>
        <v>835.63922043959906</v>
      </c>
      <c r="AV394" s="163">
        <f t="shared" si="277"/>
        <v>17.036178443149531</v>
      </c>
      <c r="AW394" s="163">
        <f t="shared" si="256"/>
        <v>40.637010620701474</v>
      </c>
      <c r="AX394" s="163">
        <f t="shared" si="257"/>
        <v>0</v>
      </c>
      <c r="AY394" s="165">
        <f t="shared" si="278"/>
        <v>4862.9828620881126</v>
      </c>
      <c r="AZ394" s="164">
        <f>IF($E394="","",IF(OR(AND($D394=Input!$C$6,$C394=12),$AN394=1),0,-AS395+AT395+AU395-AV395-AW395-AX395+AZ395))</f>
        <v>4862.985080968775</v>
      </c>
      <c r="BA394" s="154">
        <f t="shared" si="258"/>
        <v>2.2188806624399149E-3</v>
      </c>
      <c r="BC394" s="147">
        <f t="shared" si="279"/>
        <v>1.5743869003989806E-2</v>
      </c>
      <c r="BD394" s="164">
        <f>IF(AND($C393=12,$D393=Input!$C$6),0,IF($E394="","",AT394+(AU394+BD395)/(1+$AK394)*MIN((1-AM394-AN394),1)))</f>
        <v>4731.7205001525153</v>
      </c>
      <c r="BE394" s="164">
        <f t="shared" si="259"/>
        <v>74.495587717894324</v>
      </c>
      <c r="BF394" s="164">
        <f t="shared" si="280"/>
        <v>4862.985080968775</v>
      </c>
      <c r="BG394" s="164">
        <f t="shared" si="260"/>
        <v>76.562200083129156</v>
      </c>
      <c r="BH394" s="152"/>
      <c r="BI394" s="162">
        <f t="shared" si="261"/>
        <v>1009.5071861989325</v>
      </c>
      <c r="BJ394" s="150">
        <f t="shared" si="262"/>
        <v>0</v>
      </c>
      <c r="BK394" s="163">
        <f t="shared" si="284"/>
        <v>0</v>
      </c>
      <c r="BL394" s="163">
        <f t="shared" si="263"/>
        <v>622.70846511425225</v>
      </c>
      <c r="BM394" s="163">
        <f t="shared" si="285"/>
        <v>2.529247542095129</v>
      </c>
      <c r="BN394" s="163">
        <f t="shared" si="264"/>
        <v>2.4395824038789735</v>
      </c>
      <c r="BO394" s="163">
        <f t="shared" si="265"/>
        <v>0</v>
      </c>
      <c r="BP394" s="164">
        <f t="shared" si="286"/>
        <v>391.76755103065432</v>
      </c>
      <c r="BQ394" s="164">
        <f>IF($E394="","",IF(AND($D394=Input!$C$6,$C394=12),0,-BJ395+BK395+BL395-BM395-BN395-BO395+BQ395))</f>
        <v>391.76959051477934</v>
      </c>
      <c r="BR394" s="161">
        <f t="shared" si="266"/>
        <v>0</v>
      </c>
      <c r="BT394" s="147">
        <f t="shared" si="267"/>
        <v>1.5743869003989806E-2</v>
      </c>
      <c r="BU394" s="164">
        <f>IF(AND($C393=12,$D393=Input!$C$6),0,IF($E394="","",BK394+(BL394+BU395)/(1+$AK394)*MIN((1-T394-U394),1)))</f>
        <v>44508.653527780887</v>
      </c>
      <c r="BV394" s="164">
        <f t="shared" si="268"/>
        <v>700.73841068535103</v>
      </c>
      <c r="BW394" s="164">
        <f t="shared" si="269"/>
        <v>391.76959051477934</v>
      </c>
      <c r="BX394" s="164">
        <f t="shared" si="270"/>
        <v>6.1679691128114129</v>
      </c>
    </row>
    <row r="395" spans="1:76" s="150" customFormat="1" x14ac:dyDescent="0.25">
      <c r="A395" s="150">
        <f t="shared" si="281"/>
        <v>391</v>
      </c>
      <c r="B395" s="150">
        <f t="shared" si="282"/>
        <v>33</v>
      </c>
      <c r="C395" s="150">
        <f t="shared" si="283"/>
        <v>7</v>
      </c>
      <c r="D395" s="150">
        <f>IF(E395="","",Input!$C$4+B395-1)</f>
        <v>77</v>
      </c>
      <c r="E395" s="150">
        <f>IF(OR(AND(C394=12,D394=Input!$C$6),E394=""),"",1)</f>
        <v>1</v>
      </c>
      <c r="F395" s="150">
        <f>IF(E395="","",Input!$C$8+B395-1)</f>
        <v>2050</v>
      </c>
      <c r="G395" s="151">
        <f>IF(E395="","",MAX(0,Input!$C$9-B395))</f>
        <v>0</v>
      </c>
      <c r="H395" s="152">
        <f>IF(E395="","",Input!$C$3)</f>
        <v>100000</v>
      </c>
      <c r="I395" s="153">
        <f>IF(E395="","",HLOOKUP($B395,Input!$C$13:$BT$14,2))</f>
        <v>75.239500000000007</v>
      </c>
      <c r="J395" s="154"/>
      <c r="K395" s="155">
        <f>IF($E395="","",INDEX(Input!$C$16:$CP$16,1,$B395))</f>
        <v>2.9350000000000001E-2</v>
      </c>
      <c r="L395" s="155">
        <f>IF($E395="","",Input!$C$37)</f>
        <v>1.4999999999999999E-2</v>
      </c>
      <c r="M395" s="155">
        <f t="shared" si="246"/>
        <v>4.4350000000000001E-2</v>
      </c>
      <c r="N395" s="155">
        <f t="shared" si="247"/>
        <v>3.6227699516298006E-3</v>
      </c>
      <c r="O395" s="147">
        <f>IF($E395="","",MIN(VLOOKUP(IF($B395&lt;=Input!$C$7,$B395,26),'Mortality Tables'!$A$41:$CW$67,IF($B395&lt;=Input!$C$7+1,Input!$C$4+2,$D395-Input!$C$7+2),0)*IF(B395&gt;20,Input!$C$22,1)/1000,1))</f>
        <v>8.4782799999999992E-2</v>
      </c>
      <c r="P395" s="147">
        <f>IF($E395="","",MIN(VLOOKUP(IF($B395&lt;=Input!$C$7,$B395,26),'Mortality Tables'!$A$12:$CW$37,IF($B395&lt;=Input!$C$7+1,Input!$C$4+2,$D395-Input!$C$7+2),0)*IF(B395&gt;20,Input!$C$22,1)/1000,1))</f>
        <v>0.1059785</v>
      </c>
      <c r="Q395" s="155">
        <f>IF($E395="","",Input!$C$21)</f>
        <v>5.0000000000000001E-3</v>
      </c>
      <c r="R395" s="159">
        <f>IF($E395="","",(1-Q395)^($F395-Input!$C$20))</f>
        <v>0.85180185960034727</v>
      </c>
      <c r="S395" s="147">
        <f t="shared" si="249"/>
        <v>7.2218146702124314E-2</v>
      </c>
      <c r="T395" s="147">
        <f t="shared" si="250"/>
        <v>6.2270846511425226E-3</v>
      </c>
      <c r="U395" s="160">
        <f>IF($E395="","",IF($C395=12,INDEX(Input!$C$15:$CP$15,1,$B395),0))</f>
        <v>0</v>
      </c>
      <c r="V395" s="150">
        <f>IF(E395="","",IF(C395=1,IF($B395=1,Input!$C$33,Input!$C$34),0))</f>
        <v>0</v>
      </c>
      <c r="W395" s="156">
        <f>IF($E395="","",Input!$C$35)</f>
        <v>0.02</v>
      </c>
      <c r="X395" s="156">
        <f t="shared" si="248"/>
        <v>1.8845405921011305</v>
      </c>
      <c r="Y395" s="154"/>
      <c r="Z395" s="147">
        <f>IF($E395="","",VLOOKUP($D395,'Mortality Margins &amp; Grading'!$AB$5:$AF$125,3,0)*IF(Summary!$D$25="Included Margin",IF(AND($B395&gt;Input!$C$9,Summary!$D$31&lt;&gt;"Included Margin"),0,1),0))</f>
        <v>2.9000000000000001E-2</v>
      </c>
      <c r="AA395" s="147">
        <f>IF($E395="","",VLOOKUP($D395,'Mortality Margins &amp; Grading'!$AB$5:$AF$125,5,0)*IF(Summary!$D$25="Included Margin",IF(AND($B395&gt;Input!$C$9,Summary!$D$31&lt;&gt;"Included Margin"),0,1),0))</f>
        <v>0.14599999999999999</v>
      </c>
      <c r="AB395" s="147">
        <f>IF($E395="","",IF(AND($B395&gt;Input!$C$9,Summary!$D$31&lt;&gt;"Included Margin"),1,IF(Summary!$D$25="Included Margin",VLOOKUP($B395,'Mortality Margins &amp; Grading'!$AI$5:$AR$125,MATCH('Mortality Margins &amp; Grading'!$AQ$4,'Mortality Margins &amp; Grading'!$AI$4:$AR$4,0),0),1)))</f>
        <v>0.75</v>
      </c>
      <c r="AC395" s="154"/>
      <c r="AD395" s="158">
        <f>IF(E395="","",Input!$C$48*IF(Summary!$D$30="Included Margin",IF(AND($B395&gt;Input!$C$9,Summary!$D$31&lt;&gt;"Included Margin"),0,1),0))</f>
        <v>-4.4999999999999997E-3</v>
      </c>
      <c r="AE395" s="159">
        <f>IF(E395="","",IF(Summary!$D$26="Included Margin",IF(AND($B395&gt;Input!$C$9,Summary!$D$31&lt;&gt;"Included Margin"),1,1/$R395),1))</f>
        <v>1.1739819404352851</v>
      </c>
      <c r="AF395" s="160">
        <f>IF(E395="","",IF(AND($B395&gt;=Input!$C$9,$C395=12,Summary!$D$31="Included Margin",$U395&gt;0),1/U395-1,IF($B395&gt;=Input!$C$9,0,Input!$C$45*IF(Summary!$D$27="Included Margin",1,0))))</f>
        <v>0</v>
      </c>
      <c r="AG395" s="160">
        <f>IF(E395="","",Input!$C$46*IF(Summary!$D$28="Included Margin",IF(AND($B395&gt;Input!$C$9,Summary!$D$31&lt;&gt;"Included Margin"),0,1),0))</f>
        <v>0.02</v>
      </c>
      <c r="AH395" s="158">
        <f>IF(E395="","",Input!$C$47*IF(Summary!$D$29="Included Margin",IF(AND($B395&gt;Input!$C$9,Summary!$D$31&lt;&gt;"Included Margin"),0,1),0))</f>
        <v>2.5000000000000001E-3</v>
      </c>
      <c r="AI395" s="154"/>
      <c r="AJ395" s="158">
        <f t="shared" si="271"/>
        <v>3.9850000000000003E-2</v>
      </c>
      <c r="AK395" s="155">
        <f t="shared" si="272"/>
        <v>3.2616804063805294E-3</v>
      </c>
      <c r="AL395" s="147">
        <f t="shared" si="273"/>
        <v>9.5793966149999993E-2</v>
      </c>
      <c r="AM395" s="147">
        <f t="shared" si="251"/>
        <v>8.3563922043959904E-3</v>
      </c>
      <c r="AN395" s="160">
        <f t="shared" si="274"/>
        <v>0</v>
      </c>
      <c r="AO395" s="161">
        <f t="shared" si="275"/>
        <v>0</v>
      </c>
      <c r="AP395" s="156">
        <f t="shared" si="252"/>
        <v>2.038103025773728</v>
      </c>
      <c r="AQ395" s="152"/>
      <c r="AR395" s="162">
        <f t="shared" si="253"/>
        <v>4862.9828620881117</v>
      </c>
      <c r="AS395" s="150">
        <f t="shared" si="276"/>
        <v>0</v>
      </c>
      <c r="AT395" s="163">
        <f t="shared" si="254"/>
        <v>0</v>
      </c>
      <c r="AU395" s="163">
        <f t="shared" si="255"/>
        <v>835.63922043959906</v>
      </c>
      <c r="AV395" s="163">
        <f t="shared" si="277"/>
        <v>14.498701881781631</v>
      </c>
      <c r="AW395" s="163">
        <f t="shared" si="256"/>
        <v>34.059855907096157</v>
      </c>
      <c r="AX395" s="163">
        <f t="shared" si="257"/>
        <v>0</v>
      </c>
      <c r="AY395" s="164">
        <f t="shared" si="278"/>
        <v>4075.9021994373907</v>
      </c>
      <c r="AZ395" s="164">
        <f>IF($E395="","",IF(OR(AND($D395=Input!$C$6,$C395=12),$AN395=1),0,-AS396+AT396+AU396-AV396-AW396-AX396+AZ396))</f>
        <v>4075.9044183180536</v>
      </c>
      <c r="BA395" s="154">
        <f t="shared" si="258"/>
        <v>2.2188806628946622E-3</v>
      </c>
      <c r="BC395" s="147">
        <f t="shared" si="279"/>
        <v>1.5645830598965463E-2</v>
      </c>
      <c r="BD395" s="164">
        <f>IF(AND($C394=12,$D394=Input!$C$6),0,IF($E395="","",AT395+(AU395+BD396)/(1+$AK395)*MIN((1-AM395-AN395),1)))</f>
        <v>3951.5180030604056</v>
      </c>
      <c r="BE395" s="164">
        <f t="shared" si="259"/>
        <v>61.824781284645397</v>
      </c>
      <c r="BF395" s="164">
        <f t="shared" si="280"/>
        <v>4075.9044183180536</v>
      </c>
      <c r="BG395" s="164">
        <f t="shared" si="260"/>
        <v>63.770910066579134</v>
      </c>
      <c r="BH395" s="152"/>
      <c r="BI395" s="162">
        <f t="shared" si="261"/>
        <v>391.76755103065437</v>
      </c>
      <c r="BJ395" s="150">
        <f t="shared" si="262"/>
        <v>0</v>
      </c>
      <c r="BK395" s="163">
        <f t="shared" si="284"/>
        <v>0</v>
      </c>
      <c r="BL395" s="163">
        <f t="shared" si="263"/>
        <v>622.70846511425225</v>
      </c>
      <c r="BM395" s="163">
        <f t="shared" si="285"/>
        <v>0.29131895387673568</v>
      </c>
      <c r="BN395" s="163">
        <f t="shared" si="264"/>
        <v>-1.4452616200352397</v>
      </c>
      <c r="BO395" s="163">
        <f t="shared" si="265"/>
        <v>0</v>
      </c>
      <c r="BP395" s="164">
        <f t="shared" si="286"/>
        <v>-232.09485674975639</v>
      </c>
      <c r="BQ395" s="164">
        <f>IF($E395="","",IF(AND($D395=Input!$C$6,$C395=12),0,-BJ396+BK396+BL396-BM396-BN396-BO396+BQ396))</f>
        <v>-232.09281726563142</v>
      </c>
      <c r="BR395" s="161">
        <f t="shared" si="266"/>
        <v>0</v>
      </c>
      <c r="BT395" s="147">
        <f t="shared" si="267"/>
        <v>1.5645830598965463E-2</v>
      </c>
      <c r="BU395" s="164">
        <f>IF(AND($C394=12,$D394=Input!$C$6),0,IF($E395="","",BK395+(BL395+BU396)/(1+$AK395)*MIN((1-T395-U395),1)))</f>
        <v>44310.923596322442</v>
      </c>
      <c r="BV395" s="164">
        <f t="shared" si="268"/>
        <v>693.28120427176248</v>
      </c>
      <c r="BW395" s="164">
        <f t="shared" si="269"/>
        <v>-232.09281726563142</v>
      </c>
      <c r="BX395" s="164">
        <f t="shared" si="270"/>
        <v>-3.6312849021747158</v>
      </c>
    </row>
    <row r="396" spans="1:76" s="150" customFormat="1" x14ac:dyDescent="0.25">
      <c r="A396" s="150">
        <f t="shared" si="281"/>
        <v>392</v>
      </c>
      <c r="B396" s="150">
        <f t="shared" si="282"/>
        <v>33</v>
      </c>
      <c r="C396" s="150">
        <f t="shared" si="283"/>
        <v>8</v>
      </c>
      <c r="D396" s="150">
        <f>IF(E396="","",Input!$C$4+B396-1)</f>
        <v>77</v>
      </c>
      <c r="E396" s="150">
        <f>IF(OR(AND(C395=12,D395=Input!$C$6),E395=""),"",1)</f>
        <v>1</v>
      </c>
      <c r="F396" s="150">
        <f>IF(E396="","",Input!$C$8+B396-1)</f>
        <v>2050</v>
      </c>
      <c r="G396" s="151">
        <f>IF(E396="","",MAX(0,Input!$C$9-B396))</f>
        <v>0</v>
      </c>
      <c r="H396" s="152">
        <f>IF(E396="","",Input!$C$3)</f>
        <v>100000</v>
      </c>
      <c r="I396" s="153">
        <f>IF(E396="","",HLOOKUP($B396,Input!$C$13:$BT$14,2))</f>
        <v>75.239500000000007</v>
      </c>
      <c r="J396" s="154"/>
      <c r="K396" s="155">
        <f>IF($E396="","",INDEX(Input!$C$16:$CP$16,1,$B396))</f>
        <v>2.9350000000000001E-2</v>
      </c>
      <c r="L396" s="155">
        <f>IF($E396="","",Input!$C$37)</f>
        <v>1.4999999999999999E-2</v>
      </c>
      <c r="M396" s="155">
        <f t="shared" si="246"/>
        <v>4.4350000000000001E-2</v>
      </c>
      <c r="N396" s="155">
        <f t="shared" si="247"/>
        <v>3.6227699516298006E-3</v>
      </c>
      <c r="O396" s="147">
        <f>IF($E396="","",MIN(VLOOKUP(IF($B396&lt;=Input!$C$7,$B396,26),'Mortality Tables'!$A$41:$CW$67,IF($B396&lt;=Input!$C$7+1,Input!$C$4+2,$D396-Input!$C$7+2),0)*IF(B396&gt;20,Input!$C$22,1)/1000,1))</f>
        <v>8.4782799999999992E-2</v>
      </c>
      <c r="P396" s="147">
        <f>IF($E396="","",MIN(VLOOKUP(IF($B396&lt;=Input!$C$7,$B396,26),'Mortality Tables'!$A$12:$CW$37,IF($B396&lt;=Input!$C$7+1,Input!$C$4+2,$D396-Input!$C$7+2),0)*IF(B396&gt;20,Input!$C$22,1)/1000,1))</f>
        <v>0.1059785</v>
      </c>
      <c r="Q396" s="155">
        <f>IF($E396="","",Input!$C$21)</f>
        <v>5.0000000000000001E-3</v>
      </c>
      <c r="R396" s="159">
        <f>IF($E396="","",(1-Q396)^($F396-Input!$C$20))</f>
        <v>0.85180185960034727</v>
      </c>
      <c r="S396" s="147">
        <f t="shared" si="249"/>
        <v>7.2218146702124314E-2</v>
      </c>
      <c r="T396" s="147">
        <f t="shared" si="250"/>
        <v>6.2270846511425226E-3</v>
      </c>
      <c r="U396" s="160">
        <f>IF($E396="","",IF($C396=12,INDEX(Input!$C$15:$CP$15,1,$B396),0))</f>
        <v>0</v>
      </c>
      <c r="V396" s="150">
        <f>IF(E396="","",IF(C396=1,IF($B396=1,Input!$C$33,Input!$C$34),0))</f>
        <v>0</v>
      </c>
      <c r="W396" s="156">
        <f>IF($E396="","",Input!$C$35)</f>
        <v>0.02</v>
      </c>
      <c r="X396" s="156">
        <f t="shared" si="248"/>
        <v>1.8845405921011305</v>
      </c>
      <c r="Y396" s="154"/>
      <c r="Z396" s="147">
        <f>IF($E396="","",VLOOKUP($D396,'Mortality Margins &amp; Grading'!$AB$5:$AF$125,3,0)*IF(Summary!$D$25="Included Margin",IF(AND($B396&gt;Input!$C$9,Summary!$D$31&lt;&gt;"Included Margin"),0,1),0))</f>
        <v>2.9000000000000001E-2</v>
      </c>
      <c r="AA396" s="147">
        <f>IF($E396="","",VLOOKUP($D396,'Mortality Margins &amp; Grading'!$AB$5:$AF$125,5,0)*IF(Summary!$D$25="Included Margin",IF(AND($B396&gt;Input!$C$9,Summary!$D$31&lt;&gt;"Included Margin"),0,1),0))</f>
        <v>0.14599999999999999</v>
      </c>
      <c r="AB396" s="147">
        <f>IF($E396="","",IF(AND($B396&gt;Input!$C$9,Summary!$D$31&lt;&gt;"Included Margin"),1,IF(Summary!$D$25="Included Margin",VLOOKUP($B396,'Mortality Margins &amp; Grading'!$AI$5:$AR$125,MATCH('Mortality Margins &amp; Grading'!$AQ$4,'Mortality Margins &amp; Grading'!$AI$4:$AR$4,0),0),1)))</f>
        <v>0.75</v>
      </c>
      <c r="AC396" s="154"/>
      <c r="AD396" s="158">
        <f>IF(E396="","",Input!$C$48*IF(Summary!$D$30="Included Margin",IF(AND($B396&gt;Input!$C$9,Summary!$D$31&lt;&gt;"Included Margin"),0,1),0))</f>
        <v>-4.4999999999999997E-3</v>
      </c>
      <c r="AE396" s="159">
        <f>IF(E396="","",IF(Summary!$D$26="Included Margin",IF(AND($B396&gt;Input!$C$9,Summary!$D$31&lt;&gt;"Included Margin"),1,1/$R396),1))</f>
        <v>1.1739819404352851</v>
      </c>
      <c r="AF396" s="160">
        <f>IF(E396="","",IF(AND($B396&gt;=Input!$C$9,$C396=12,Summary!$D$31="Included Margin",$U396&gt;0),1/U396-1,IF($B396&gt;=Input!$C$9,0,Input!$C$45*IF(Summary!$D$27="Included Margin",1,0))))</f>
        <v>0</v>
      </c>
      <c r="AG396" s="160">
        <f>IF(E396="","",Input!$C$46*IF(Summary!$D$28="Included Margin",IF(AND($B396&gt;Input!$C$9,Summary!$D$31&lt;&gt;"Included Margin"),0,1),0))</f>
        <v>0.02</v>
      </c>
      <c r="AH396" s="158">
        <f>IF(E396="","",Input!$C$47*IF(Summary!$D$29="Included Margin",IF(AND($B396&gt;Input!$C$9,Summary!$D$31&lt;&gt;"Included Margin"),0,1),0))</f>
        <v>2.5000000000000001E-3</v>
      </c>
      <c r="AI396" s="154"/>
      <c r="AJ396" s="158">
        <f t="shared" si="271"/>
        <v>3.9850000000000003E-2</v>
      </c>
      <c r="AK396" s="155">
        <f t="shared" si="272"/>
        <v>3.2616804063805294E-3</v>
      </c>
      <c r="AL396" s="147">
        <f t="shared" si="273"/>
        <v>9.5793966149999993E-2</v>
      </c>
      <c r="AM396" s="147">
        <f t="shared" si="251"/>
        <v>8.3563922043959904E-3</v>
      </c>
      <c r="AN396" s="160">
        <f t="shared" si="274"/>
        <v>0</v>
      </c>
      <c r="AO396" s="161">
        <f t="shared" si="275"/>
        <v>0</v>
      </c>
      <c r="AP396" s="156">
        <f t="shared" si="252"/>
        <v>2.038103025773728</v>
      </c>
      <c r="AQ396" s="152"/>
      <c r="AR396" s="162">
        <f t="shared" si="253"/>
        <v>4075.9021994373907</v>
      </c>
      <c r="AS396" s="150">
        <f t="shared" si="276"/>
        <v>0</v>
      </c>
      <c r="AT396" s="163">
        <f t="shared" si="254"/>
        <v>0</v>
      </c>
      <c r="AU396" s="163">
        <f t="shared" si="255"/>
        <v>835.63922043959906</v>
      </c>
      <c r="AV396" s="163">
        <f t="shared" si="277"/>
        <v>11.931496306172772</v>
      </c>
      <c r="AW396" s="163">
        <f t="shared" si="256"/>
        <v>27.405643407372654</v>
      </c>
      <c r="AX396" s="163">
        <f t="shared" si="257"/>
        <v>0</v>
      </c>
      <c r="AY396" s="165">
        <f t="shared" si="278"/>
        <v>3279.6001187113375</v>
      </c>
      <c r="AZ396" s="164">
        <f>IF($E396="","",IF(OR(AND($D396=Input!$C$6,$C396=12),$AN396=1),0,-AS397+AT397+AU397-AV397-AW397-AX397+AZ397))</f>
        <v>3279.6023375919999</v>
      </c>
      <c r="BA396" s="154">
        <f t="shared" si="258"/>
        <v>2.2188806624399149E-3</v>
      </c>
      <c r="BC396" s="147">
        <f t="shared" si="279"/>
        <v>1.5548402687388269E-2</v>
      </c>
      <c r="BD396" s="164">
        <f>IF(AND($C395=12,$D395=Input!$C$6),0,IF($E396="","",AT396+(AU396+BD397)/(1+$AK396)*MIN((1-AM396-AN396),1)))</f>
        <v>3162.1746723148876</v>
      </c>
      <c r="BE396" s="164">
        <f t="shared" si="259"/>
        <v>49.166765173011918</v>
      </c>
      <c r="BF396" s="164">
        <f t="shared" si="280"/>
        <v>3279.6023375919999</v>
      </c>
      <c r="BG396" s="164">
        <f t="shared" si="260"/>
        <v>50.9925777993803</v>
      </c>
      <c r="BH396" s="152"/>
      <c r="BI396" s="162">
        <f t="shared" si="261"/>
        <v>-232.09485674975645</v>
      </c>
      <c r="BJ396" s="150">
        <f t="shared" si="262"/>
        <v>0</v>
      </c>
      <c r="BK396" s="163">
        <f t="shared" si="284"/>
        <v>0</v>
      </c>
      <c r="BL396" s="163">
        <f t="shared" si="263"/>
        <v>622.70846511425225</v>
      </c>
      <c r="BM396" s="163">
        <f t="shared" si="285"/>
        <v>-1.9687910309815542</v>
      </c>
      <c r="BN396" s="163">
        <f t="shared" si="264"/>
        <v>-5.3686105661494832</v>
      </c>
      <c r="BO396" s="163">
        <f t="shared" si="265"/>
        <v>0</v>
      </c>
      <c r="BP396" s="164">
        <f t="shared" si="286"/>
        <v>-862.14072346113983</v>
      </c>
      <c r="BQ396" s="164">
        <f>IF($E396="","",IF(AND($D396=Input!$C$6,$C396=12),0,-BJ397+BK397+BL397-BM397-BN397-BO397+BQ397))</f>
        <v>-862.13868397701481</v>
      </c>
      <c r="BR396" s="161">
        <f t="shared" si="266"/>
        <v>0</v>
      </c>
      <c r="BT396" s="147">
        <f t="shared" si="267"/>
        <v>1.5548402687388269E-2</v>
      </c>
      <c r="BU396" s="164">
        <f>IF(AND($C395=12,$D395=Input!$C$6),0,IF($E396="","",BK396+(BL396+BU397)/(1+$AK396)*MIN((1-T396-U396),1)))</f>
        <v>44111.305695454204</v>
      </c>
      <c r="BV396" s="164">
        <f t="shared" si="268"/>
        <v>685.8603440194056</v>
      </c>
      <c r="BW396" s="164">
        <f t="shared" si="269"/>
        <v>-862.13868397701481</v>
      </c>
      <c r="BX396" s="164">
        <f t="shared" si="270"/>
        <v>-13.404879430849602</v>
      </c>
    </row>
    <row r="397" spans="1:76" s="150" customFormat="1" x14ac:dyDescent="0.25">
      <c r="A397" s="150">
        <f t="shared" si="281"/>
        <v>393</v>
      </c>
      <c r="B397" s="150">
        <f t="shared" si="282"/>
        <v>33</v>
      </c>
      <c r="C397" s="150">
        <f t="shared" si="283"/>
        <v>9</v>
      </c>
      <c r="D397" s="150">
        <f>IF(E397="","",Input!$C$4+B397-1)</f>
        <v>77</v>
      </c>
      <c r="E397" s="150">
        <f>IF(OR(AND(C396=12,D396=Input!$C$6),E396=""),"",1)</f>
        <v>1</v>
      </c>
      <c r="F397" s="150">
        <f>IF(E397="","",Input!$C$8+B397-1)</f>
        <v>2050</v>
      </c>
      <c r="G397" s="151">
        <f>IF(E397="","",MAX(0,Input!$C$9-B397))</f>
        <v>0</v>
      </c>
      <c r="H397" s="152">
        <f>IF(E397="","",Input!$C$3)</f>
        <v>100000</v>
      </c>
      <c r="I397" s="153">
        <f>IF(E397="","",HLOOKUP($B397,Input!$C$13:$BT$14,2))</f>
        <v>75.239500000000007</v>
      </c>
      <c r="J397" s="154"/>
      <c r="K397" s="155">
        <f>IF($E397="","",INDEX(Input!$C$16:$CP$16,1,$B397))</f>
        <v>2.9350000000000001E-2</v>
      </c>
      <c r="L397" s="155">
        <f>IF($E397="","",Input!$C$37)</f>
        <v>1.4999999999999999E-2</v>
      </c>
      <c r="M397" s="155">
        <f t="shared" si="246"/>
        <v>4.4350000000000001E-2</v>
      </c>
      <c r="N397" s="155">
        <f t="shared" si="247"/>
        <v>3.6227699516298006E-3</v>
      </c>
      <c r="O397" s="147">
        <f>IF($E397="","",MIN(VLOOKUP(IF($B397&lt;=Input!$C$7,$B397,26),'Mortality Tables'!$A$41:$CW$67,IF($B397&lt;=Input!$C$7+1,Input!$C$4+2,$D397-Input!$C$7+2),0)*IF(B397&gt;20,Input!$C$22,1)/1000,1))</f>
        <v>8.4782799999999992E-2</v>
      </c>
      <c r="P397" s="147">
        <f>IF($E397="","",MIN(VLOOKUP(IF($B397&lt;=Input!$C$7,$B397,26),'Mortality Tables'!$A$12:$CW$37,IF($B397&lt;=Input!$C$7+1,Input!$C$4+2,$D397-Input!$C$7+2),0)*IF(B397&gt;20,Input!$C$22,1)/1000,1))</f>
        <v>0.1059785</v>
      </c>
      <c r="Q397" s="155">
        <f>IF($E397="","",Input!$C$21)</f>
        <v>5.0000000000000001E-3</v>
      </c>
      <c r="R397" s="159">
        <f>IF($E397="","",(1-Q397)^($F397-Input!$C$20))</f>
        <v>0.85180185960034727</v>
      </c>
      <c r="S397" s="147">
        <f t="shared" si="249"/>
        <v>7.2218146702124314E-2</v>
      </c>
      <c r="T397" s="147">
        <f t="shared" si="250"/>
        <v>6.2270846511425226E-3</v>
      </c>
      <c r="U397" s="160">
        <f>IF($E397="","",IF($C397=12,INDEX(Input!$C$15:$CP$15,1,$B397),0))</f>
        <v>0</v>
      </c>
      <c r="V397" s="150">
        <f>IF(E397="","",IF(C397=1,IF($B397=1,Input!$C$33,Input!$C$34),0))</f>
        <v>0</v>
      </c>
      <c r="W397" s="156">
        <f>IF($E397="","",Input!$C$35)</f>
        <v>0.02</v>
      </c>
      <c r="X397" s="156">
        <f t="shared" si="248"/>
        <v>1.8845405921011305</v>
      </c>
      <c r="Y397" s="154"/>
      <c r="Z397" s="147">
        <f>IF($E397="","",VLOOKUP($D397,'Mortality Margins &amp; Grading'!$AB$5:$AF$125,3,0)*IF(Summary!$D$25="Included Margin",IF(AND($B397&gt;Input!$C$9,Summary!$D$31&lt;&gt;"Included Margin"),0,1),0))</f>
        <v>2.9000000000000001E-2</v>
      </c>
      <c r="AA397" s="147">
        <f>IF($E397="","",VLOOKUP($D397,'Mortality Margins &amp; Grading'!$AB$5:$AF$125,5,0)*IF(Summary!$D$25="Included Margin",IF(AND($B397&gt;Input!$C$9,Summary!$D$31&lt;&gt;"Included Margin"),0,1),0))</f>
        <v>0.14599999999999999</v>
      </c>
      <c r="AB397" s="147">
        <f>IF($E397="","",IF(AND($B397&gt;Input!$C$9,Summary!$D$31&lt;&gt;"Included Margin"),1,IF(Summary!$D$25="Included Margin",VLOOKUP($B397,'Mortality Margins &amp; Grading'!$AI$5:$AR$125,MATCH('Mortality Margins &amp; Grading'!$AQ$4,'Mortality Margins &amp; Grading'!$AI$4:$AR$4,0),0),1)))</f>
        <v>0.75</v>
      </c>
      <c r="AC397" s="154"/>
      <c r="AD397" s="158">
        <f>IF(E397="","",Input!$C$48*IF(Summary!$D$30="Included Margin",IF(AND($B397&gt;Input!$C$9,Summary!$D$31&lt;&gt;"Included Margin"),0,1),0))</f>
        <v>-4.4999999999999997E-3</v>
      </c>
      <c r="AE397" s="159">
        <f>IF(E397="","",IF(Summary!$D$26="Included Margin",IF(AND($B397&gt;Input!$C$9,Summary!$D$31&lt;&gt;"Included Margin"),1,1/$R397),1))</f>
        <v>1.1739819404352851</v>
      </c>
      <c r="AF397" s="160">
        <f>IF(E397="","",IF(AND($B397&gt;=Input!$C$9,$C397=12,Summary!$D$31="Included Margin",$U397&gt;0),1/U397-1,IF($B397&gt;=Input!$C$9,0,Input!$C$45*IF(Summary!$D$27="Included Margin",1,0))))</f>
        <v>0</v>
      </c>
      <c r="AG397" s="160">
        <f>IF(E397="","",Input!$C$46*IF(Summary!$D$28="Included Margin",IF(AND($B397&gt;Input!$C$9,Summary!$D$31&lt;&gt;"Included Margin"),0,1),0))</f>
        <v>0.02</v>
      </c>
      <c r="AH397" s="158">
        <f>IF(E397="","",Input!$C$47*IF(Summary!$D$29="Included Margin",IF(AND($B397&gt;Input!$C$9,Summary!$D$31&lt;&gt;"Included Margin"),0,1),0))</f>
        <v>2.5000000000000001E-3</v>
      </c>
      <c r="AI397" s="154"/>
      <c r="AJ397" s="158">
        <f t="shared" si="271"/>
        <v>3.9850000000000003E-2</v>
      </c>
      <c r="AK397" s="155">
        <f t="shared" si="272"/>
        <v>3.2616804063805294E-3</v>
      </c>
      <c r="AL397" s="147">
        <f t="shared" si="273"/>
        <v>9.5793966149999993E-2</v>
      </c>
      <c r="AM397" s="147">
        <f t="shared" si="251"/>
        <v>8.3563922043959904E-3</v>
      </c>
      <c r="AN397" s="160">
        <f t="shared" si="274"/>
        <v>0</v>
      </c>
      <c r="AO397" s="161">
        <f t="shared" si="275"/>
        <v>0</v>
      </c>
      <c r="AP397" s="156">
        <f t="shared" si="252"/>
        <v>2.038103025773728</v>
      </c>
      <c r="AQ397" s="152"/>
      <c r="AR397" s="162">
        <f t="shared" si="253"/>
        <v>3279.600118711337</v>
      </c>
      <c r="AS397" s="150">
        <f t="shared" si="276"/>
        <v>0</v>
      </c>
      <c r="AT397" s="163">
        <f t="shared" si="254"/>
        <v>0</v>
      </c>
      <c r="AU397" s="163">
        <f t="shared" si="255"/>
        <v>835.63922043959906</v>
      </c>
      <c r="AV397" s="163">
        <f t="shared" si="277"/>
        <v>9.3342134119085571</v>
      </c>
      <c r="AW397" s="163">
        <f t="shared" si="256"/>
        <v>20.673470314365865</v>
      </c>
      <c r="AX397" s="163">
        <f t="shared" si="257"/>
        <v>0</v>
      </c>
      <c r="AY397" s="164">
        <f t="shared" si="278"/>
        <v>2473.9685819980123</v>
      </c>
      <c r="AZ397" s="164">
        <f>IF($E397="","",IF(OR(AND($D397=Input!$C$6,$C397=12),$AN397=1),0,-AS398+AT398+AU398-AV398-AW398-AX398+AZ398))</f>
        <v>2473.9708008786752</v>
      </c>
      <c r="BA397" s="154">
        <f t="shared" si="258"/>
        <v>2.2188806628946622E-3</v>
      </c>
      <c r="BC397" s="147">
        <f t="shared" si="279"/>
        <v>1.5451581467663851E-2</v>
      </c>
      <c r="BD397" s="164">
        <f>IF(AND($C396=12,$D396=Input!$C$6),0,IF($E397="","",AT397+(AU397+BD398)/(1+$AK397)*MIN((1-AM397-AN397),1)))</f>
        <v>2363.5834141291689</v>
      </c>
      <c r="BE397" s="164">
        <f t="shared" si="259"/>
        <v>36.521101679035922</v>
      </c>
      <c r="BF397" s="164">
        <f t="shared" si="280"/>
        <v>2473.9708008786752</v>
      </c>
      <c r="BG397" s="164">
        <f t="shared" si="260"/>
        <v>38.226761378398436</v>
      </c>
      <c r="BH397" s="152"/>
      <c r="BI397" s="162">
        <f t="shared" si="261"/>
        <v>-862.14072346113983</v>
      </c>
      <c r="BJ397" s="150">
        <f t="shared" si="262"/>
        <v>0</v>
      </c>
      <c r="BK397" s="163">
        <f t="shared" si="284"/>
        <v>0</v>
      </c>
      <c r="BL397" s="163">
        <f t="shared" si="263"/>
        <v>622.70846511425225</v>
      </c>
      <c r="BM397" s="163">
        <f t="shared" si="285"/>
        <v>-4.2513022650521082</v>
      </c>
      <c r="BN397" s="163">
        <f t="shared" si="264"/>
        <v>-9.3308460788810095</v>
      </c>
      <c r="BO397" s="163">
        <f t="shared" si="265"/>
        <v>0</v>
      </c>
      <c r="BP397" s="164">
        <f t="shared" si="286"/>
        <v>-1498.4313369193251</v>
      </c>
      <c r="BQ397" s="164">
        <f>IF($E397="","",IF(AND($D397=Input!$C$6,$C397=12),0,-BJ398+BK398+BL398-BM398-BN398-BO398+BQ398))</f>
        <v>-1498.4292974352002</v>
      </c>
      <c r="BR397" s="161">
        <f t="shared" si="266"/>
        <v>0</v>
      </c>
      <c r="BT397" s="147">
        <f t="shared" si="267"/>
        <v>1.5451581467663851E-2</v>
      </c>
      <c r="BU397" s="164">
        <f>IF(AND($C396=12,$D396=Input!$C$6),0,IF($E397="","",BK397+(BL397+BU398)/(1+$AK397)*MIN((1-T397-U397),1)))</f>
        <v>43909.781798423908</v>
      </c>
      <c r="BV397" s="164">
        <f t="shared" si="268"/>
        <v>678.4755706856904</v>
      </c>
      <c r="BW397" s="164">
        <f t="shared" si="269"/>
        <v>-1498.4292974352002</v>
      </c>
      <c r="BX397" s="164">
        <f t="shared" si="270"/>
        <v>-23.153102362854302</v>
      </c>
    </row>
    <row r="398" spans="1:76" s="150" customFormat="1" x14ac:dyDescent="0.25">
      <c r="A398" s="150">
        <f t="shared" si="281"/>
        <v>394</v>
      </c>
      <c r="B398" s="150">
        <f t="shared" si="282"/>
        <v>33</v>
      </c>
      <c r="C398" s="150">
        <f t="shared" si="283"/>
        <v>10</v>
      </c>
      <c r="D398" s="150">
        <f>IF(E398="","",Input!$C$4+B398-1)</f>
        <v>77</v>
      </c>
      <c r="E398" s="150">
        <f>IF(OR(AND(C397=12,D397=Input!$C$6),E397=""),"",1)</f>
        <v>1</v>
      </c>
      <c r="F398" s="150">
        <f>IF(E398="","",Input!$C$8+B398-1)</f>
        <v>2050</v>
      </c>
      <c r="G398" s="151">
        <f>IF(E398="","",MAX(0,Input!$C$9-B398))</f>
        <v>0</v>
      </c>
      <c r="H398" s="152">
        <f>IF(E398="","",Input!$C$3)</f>
        <v>100000</v>
      </c>
      <c r="I398" s="153">
        <f>IF(E398="","",HLOOKUP($B398,Input!$C$13:$BT$14,2))</f>
        <v>75.239500000000007</v>
      </c>
      <c r="J398" s="154"/>
      <c r="K398" s="155">
        <f>IF($E398="","",INDEX(Input!$C$16:$CP$16,1,$B398))</f>
        <v>2.9350000000000001E-2</v>
      </c>
      <c r="L398" s="155">
        <f>IF($E398="","",Input!$C$37)</f>
        <v>1.4999999999999999E-2</v>
      </c>
      <c r="M398" s="155">
        <f t="shared" si="246"/>
        <v>4.4350000000000001E-2</v>
      </c>
      <c r="N398" s="155">
        <f t="shared" si="247"/>
        <v>3.6227699516298006E-3</v>
      </c>
      <c r="O398" s="147">
        <f>IF($E398="","",MIN(VLOOKUP(IF($B398&lt;=Input!$C$7,$B398,26),'Mortality Tables'!$A$41:$CW$67,IF($B398&lt;=Input!$C$7+1,Input!$C$4+2,$D398-Input!$C$7+2),0)*IF(B398&gt;20,Input!$C$22,1)/1000,1))</f>
        <v>8.4782799999999992E-2</v>
      </c>
      <c r="P398" s="147">
        <f>IF($E398="","",MIN(VLOOKUP(IF($B398&lt;=Input!$C$7,$B398,26),'Mortality Tables'!$A$12:$CW$37,IF($B398&lt;=Input!$C$7+1,Input!$C$4+2,$D398-Input!$C$7+2),0)*IF(B398&gt;20,Input!$C$22,1)/1000,1))</f>
        <v>0.1059785</v>
      </c>
      <c r="Q398" s="155">
        <f>IF($E398="","",Input!$C$21)</f>
        <v>5.0000000000000001E-3</v>
      </c>
      <c r="R398" s="159">
        <f>IF($E398="","",(1-Q398)^($F398-Input!$C$20))</f>
        <v>0.85180185960034727</v>
      </c>
      <c r="S398" s="147">
        <f t="shared" si="249"/>
        <v>7.2218146702124314E-2</v>
      </c>
      <c r="T398" s="147">
        <f t="shared" si="250"/>
        <v>6.2270846511425226E-3</v>
      </c>
      <c r="U398" s="160">
        <f>IF($E398="","",IF($C398=12,INDEX(Input!$C$15:$CP$15,1,$B398),0))</f>
        <v>0</v>
      </c>
      <c r="V398" s="150">
        <f>IF(E398="","",IF(C398=1,IF($B398=1,Input!$C$33,Input!$C$34),0))</f>
        <v>0</v>
      </c>
      <c r="W398" s="156">
        <f>IF($E398="","",Input!$C$35)</f>
        <v>0.02</v>
      </c>
      <c r="X398" s="156">
        <f t="shared" si="248"/>
        <v>1.8845405921011305</v>
      </c>
      <c r="Y398" s="154"/>
      <c r="Z398" s="147">
        <f>IF($E398="","",VLOOKUP($D398,'Mortality Margins &amp; Grading'!$AB$5:$AF$125,3,0)*IF(Summary!$D$25="Included Margin",IF(AND($B398&gt;Input!$C$9,Summary!$D$31&lt;&gt;"Included Margin"),0,1),0))</f>
        <v>2.9000000000000001E-2</v>
      </c>
      <c r="AA398" s="147">
        <f>IF($E398="","",VLOOKUP($D398,'Mortality Margins &amp; Grading'!$AB$5:$AF$125,5,0)*IF(Summary!$D$25="Included Margin",IF(AND($B398&gt;Input!$C$9,Summary!$D$31&lt;&gt;"Included Margin"),0,1),0))</f>
        <v>0.14599999999999999</v>
      </c>
      <c r="AB398" s="147">
        <f>IF($E398="","",IF(AND($B398&gt;Input!$C$9,Summary!$D$31&lt;&gt;"Included Margin"),1,IF(Summary!$D$25="Included Margin",VLOOKUP($B398,'Mortality Margins &amp; Grading'!$AI$5:$AR$125,MATCH('Mortality Margins &amp; Grading'!$AQ$4,'Mortality Margins &amp; Grading'!$AI$4:$AR$4,0),0),1)))</f>
        <v>0.75</v>
      </c>
      <c r="AC398" s="154"/>
      <c r="AD398" s="158">
        <f>IF(E398="","",Input!$C$48*IF(Summary!$D$30="Included Margin",IF(AND($B398&gt;Input!$C$9,Summary!$D$31&lt;&gt;"Included Margin"),0,1),0))</f>
        <v>-4.4999999999999997E-3</v>
      </c>
      <c r="AE398" s="159">
        <f>IF(E398="","",IF(Summary!$D$26="Included Margin",IF(AND($B398&gt;Input!$C$9,Summary!$D$31&lt;&gt;"Included Margin"),1,1/$R398),1))</f>
        <v>1.1739819404352851</v>
      </c>
      <c r="AF398" s="160">
        <f>IF(E398="","",IF(AND($B398&gt;=Input!$C$9,$C398=12,Summary!$D$31="Included Margin",$U398&gt;0),1/U398-1,IF($B398&gt;=Input!$C$9,0,Input!$C$45*IF(Summary!$D$27="Included Margin",1,0))))</f>
        <v>0</v>
      </c>
      <c r="AG398" s="160">
        <f>IF(E398="","",Input!$C$46*IF(Summary!$D$28="Included Margin",IF(AND($B398&gt;Input!$C$9,Summary!$D$31&lt;&gt;"Included Margin"),0,1),0))</f>
        <v>0.02</v>
      </c>
      <c r="AH398" s="158">
        <f>IF(E398="","",Input!$C$47*IF(Summary!$D$29="Included Margin",IF(AND($B398&gt;Input!$C$9,Summary!$D$31&lt;&gt;"Included Margin"),0,1),0))</f>
        <v>2.5000000000000001E-3</v>
      </c>
      <c r="AI398" s="154"/>
      <c r="AJ398" s="158">
        <f t="shared" si="271"/>
        <v>3.9850000000000003E-2</v>
      </c>
      <c r="AK398" s="155">
        <f t="shared" si="272"/>
        <v>3.2616804063805294E-3</v>
      </c>
      <c r="AL398" s="147">
        <f t="shared" si="273"/>
        <v>9.5793966149999993E-2</v>
      </c>
      <c r="AM398" s="147">
        <f t="shared" si="251"/>
        <v>8.3563922043959904E-3</v>
      </c>
      <c r="AN398" s="160">
        <f t="shared" si="274"/>
        <v>0</v>
      </c>
      <c r="AO398" s="161">
        <f t="shared" si="275"/>
        <v>0</v>
      </c>
      <c r="AP398" s="156">
        <f t="shared" si="252"/>
        <v>2.038103025773728</v>
      </c>
      <c r="AQ398" s="152"/>
      <c r="AR398" s="162">
        <f t="shared" si="253"/>
        <v>2473.9685819980123</v>
      </c>
      <c r="AS398" s="150">
        <f t="shared" si="276"/>
        <v>0</v>
      </c>
      <c r="AT398" s="163">
        <f t="shared" si="254"/>
        <v>0</v>
      </c>
      <c r="AU398" s="163">
        <f t="shared" si="255"/>
        <v>835.63922043959906</v>
      </c>
      <c r="AV398" s="163">
        <f t="shared" si="277"/>
        <v>6.7065008138484687</v>
      </c>
      <c r="AW398" s="163">
        <f t="shared" si="256"/>
        <v>13.862423243643697</v>
      </c>
      <c r="AX398" s="163">
        <f t="shared" si="257"/>
        <v>0</v>
      </c>
      <c r="AY398" s="165">
        <f t="shared" si="278"/>
        <v>1658.8982856159053</v>
      </c>
      <c r="AZ398" s="164">
        <f>IF($E398="","",IF(OR(AND($D398=Input!$C$6,$C398=12),$AN398=1),0,-AS399+AT399+AU399-AV399-AW399-AX399+AZ399))</f>
        <v>1658.9005044965681</v>
      </c>
      <c r="BA398" s="154">
        <f t="shared" si="258"/>
        <v>2.2188806628946622E-3</v>
      </c>
      <c r="BC398" s="147">
        <f t="shared" si="279"/>
        <v>1.5355363161870684E-2</v>
      </c>
      <c r="BD398" s="164">
        <f>IF(AND($C397=12,$D397=Input!$C$6),0,IF($E398="","",AT398+(AU398+BD399)/(1+$AK398)*MIN((1-AM398-AN398),1)))</f>
        <v>1555.6358800082298</v>
      </c>
      <c r="BE398" s="164">
        <f t="shared" si="259"/>
        <v>23.887353885162657</v>
      </c>
      <c r="BF398" s="164">
        <f t="shared" si="280"/>
        <v>1658.9005044965681</v>
      </c>
      <c r="BG398" s="164">
        <f t="shared" si="260"/>
        <v>25.473019695955294</v>
      </c>
      <c r="BH398" s="152"/>
      <c r="BI398" s="162">
        <f t="shared" si="261"/>
        <v>-1498.4313369193251</v>
      </c>
      <c r="BJ398" s="150">
        <f t="shared" si="262"/>
        <v>0</v>
      </c>
      <c r="BK398" s="163">
        <f t="shared" si="284"/>
        <v>0</v>
      </c>
      <c r="BL398" s="163">
        <f t="shared" si="263"/>
        <v>622.70846511425225</v>
      </c>
      <c r="BM398" s="163">
        <f t="shared" si="285"/>
        <v>-6.5564367799925147</v>
      </c>
      <c r="BN398" s="163">
        <f t="shared" si="264"/>
        <v>-13.332353585344267</v>
      </c>
      <c r="BO398" s="163">
        <f t="shared" si="265"/>
        <v>0</v>
      </c>
      <c r="BP398" s="164">
        <f t="shared" si="286"/>
        <v>-2141.028592398914</v>
      </c>
      <c r="BQ398" s="164">
        <f>IF($E398="","",IF(AND($D398=Input!$C$6,$C398=12),0,-BJ399+BK399+BL399-BM399-BN399-BO399+BQ399))</f>
        <v>-2141.0265529147891</v>
      </c>
      <c r="BR398" s="161">
        <f t="shared" si="266"/>
        <v>0</v>
      </c>
      <c r="BT398" s="147">
        <f t="shared" si="267"/>
        <v>1.5355363161870684E-2</v>
      </c>
      <c r="BU398" s="164">
        <f>IF(AND($C397=12,$D397=Input!$C$6),0,IF($E398="","",BK398+(BL398+BU399)/(1+$AK398)*MIN((1-T398-U398),1)))</f>
        <v>43706.333706355836</v>
      </c>
      <c r="BV398" s="164">
        <f t="shared" si="268"/>
        <v>671.12662653500342</v>
      </c>
      <c r="BW398" s="164">
        <f t="shared" si="269"/>
        <v>-2141.0265529147891</v>
      </c>
      <c r="BX398" s="164">
        <f t="shared" si="270"/>
        <v>-32.876240259214725</v>
      </c>
    </row>
    <row r="399" spans="1:76" s="150" customFormat="1" x14ac:dyDescent="0.25">
      <c r="A399" s="150">
        <f t="shared" si="281"/>
        <v>395</v>
      </c>
      <c r="B399" s="150">
        <f t="shared" si="282"/>
        <v>33</v>
      </c>
      <c r="C399" s="150">
        <f t="shared" si="283"/>
        <v>11</v>
      </c>
      <c r="D399" s="150">
        <f>IF(E399="","",Input!$C$4+B399-1)</f>
        <v>77</v>
      </c>
      <c r="E399" s="150">
        <f>IF(OR(AND(C398=12,D398=Input!$C$6),E398=""),"",1)</f>
        <v>1</v>
      </c>
      <c r="F399" s="150">
        <f>IF(E399="","",Input!$C$8+B399-1)</f>
        <v>2050</v>
      </c>
      <c r="G399" s="151">
        <f>IF(E399="","",MAX(0,Input!$C$9-B399))</f>
        <v>0</v>
      </c>
      <c r="H399" s="152">
        <f>IF(E399="","",Input!$C$3)</f>
        <v>100000</v>
      </c>
      <c r="I399" s="153">
        <f>IF(E399="","",HLOOKUP($B399,Input!$C$13:$BT$14,2))</f>
        <v>75.239500000000007</v>
      </c>
      <c r="J399" s="154"/>
      <c r="K399" s="155">
        <f>IF($E399="","",INDEX(Input!$C$16:$CP$16,1,$B399))</f>
        <v>2.9350000000000001E-2</v>
      </c>
      <c r="L399" s="155">
        <f>IF($E399="","",Input!$C$37)</f>
        <v>1.4999999999999999E-2</v>
      </c>
      <c r="M399" s="155">
        <f t="shared" si="246"/>
        <v>4.4350000000000001E-2</v>
      </c>
      <c r="N399" s="155">
        <f t="shared" si="247"/>
        <v>3.6227699516298006E-3</v>
      </c>
      <c r="O399" s="147">
        <f>IF($E399="","",MIN(VLOOKUP(IF($B399&lt;=Input!$C$7,$B399,26),'Mortality Tables'!$A$41:$CW$67,IF($B399&lt;=Input!$C$7+1,Input!$C$4+2,$D399-Input!$C$7+2),0)*IF(B399&gt;20,Input!$C$22,1)/1000,1))</f>
        <v>8.4782799999999992E-2</v>
      </c>
      <c r="P399" s="147">
        <f>IF($E399="","",MIN(VLOOKUP(IF($B399&lt;=Input!$C$7,$B399,26),'Mortality Tables'!$A$12:$CW$37,IF($B399&lt;=Input!$C$7+1,Input!$C$4+2,$D399-Input!$C$7+2),0)*IF(B399&gt;20,Input!$C$22,1)/1000,1))</f>
        <v>0.1059785</v>
      </c>
      <c r="Q399" s="155">
        <f>IF($E399="","",Input!$C$21)</f>
        <v>5.0000000000000001E-3</v>
      </c>
      <c r="R399" s="159">
        <f>IF($E399="","",(1-Q399)^($F399-Input!$C$20))</f>
        <v>0.85180185960034727</v>
      </c>
      <c r="S399" s="147">
        <f t="shared" si="249"/>
        <v>7.2218146702124314E-2</v>
      </c>
      <c r="T399" s="147">
        <f t="shared" si="250"/>
        <v>6.2270846511425226E-3</v>
      </c>
      <c r="U399" s="160">
        <f>IF($E399="","",IF($C399=12,INDEX(Input!$C$15:$CP$15,1,$B399),0))</f>
        <v>0</v>
      </c>
      <c r="V399" s="150">
        <f>IF(E399="","",IF(C399=1,IF($B399=1,Input!$C$33,Input!$C$34),0))</f>
        <v>0</v>
      </c>
      <c r="W399" s="156">
        <f>IF($E399="","",Input!$C$35)</f>
        <v>0.02</v>
      </c>
      <c r="X399" s="156">
        <f t="shared" si="248"/>
        <v>1.8845405921011305</v>
      </c>
      <c r="Y399" s="154"/>
      <c r="Z399" s="147">
        <f>IF($E399="","",VLOOKUP($D399,'Mortality Margins &amp; Grading'!$AB$5:$AF$125,3,0)*IF(Summary!$D$25="Included Margin",IF(AND($B399&gt;Input!$C$9,Summary!$D$31&lt;&gt;"Included Margin"),0,1),0))</f>
        <v>2.9000000000000001E-2</v>
      </c>
      <c r="AA399" s="147">
        <f>IF($E399="","",VLOOKUP($D399,'Mortality Margins &amp; Grading'!$AB$5:$AF$125,5,0)*IF(Summary!$D$25="Included Margin",IF(AND($B399&gt;Input!$C$9,Summary!$D$31&lt;&gt;"Included Margin"),0,1),0))</f>
        <v>0.14599999999999999</v>
      </c>
      <c r="AB399" s="147">
        <f>IF($E399="","",IF(AND($B399&gt;Input!$C$9,Summary!$D$31&lt;&gt;"Included Margin"),1,IF(Summary!$D$25="Included Margin",VLOOKUP($B399,'Mortality Margins &amp; Grading'!$AI$5:$AR$125,MATCH('Mortality Margins &amp; Grading'!$AQ$4,'Mortality Margins &amp; Grading'!$AI$4:$AR$4,0),0),1)))</f>
        <v>0.75</v>
      </c>
      <c r="AC399" s="154"/>
      <c r="AD399" s="158">
        <f>IF(E399="","",Input!$C$48*IF(Summary!$D$30="Included Margin",IF(AND($B399&gt;Input!$C$9,Summary!$D$31&lt;&gt;"Included Margin"),0,1),0))</f>
        <v>-4.4999999999999997E-3</v>
      </c>
      <c r="AE399" s="159">
        <f>IF(E399="","",IF(Summary!$D$26="Included Margin",IF(AND($B399&gt;Input!$C$9,Summary!$D$31&lt;&gt;"Included Margin"),1,1/$R399),1))</f>
        <v>1.1739819404352851</v>
      </c>
      <c r="AF399" s="160">
        <f>IF(E399="","",IF(AND($B399&gt;=Input!$C$9,$C399=12,Summary!$D$31="Included Margin",$U399&gt;0),1/U399-1,IF($B399&gt;=Input!$C$9,0,Input!$C$45*IF(Summary!$D$27="Included Margin",1,0))))</f>
        <v>0</v>
      </c>
      <c r="AG399" s="160">
        <f>IF(E399="","",Input!$C$46*IF(Summary!$D$28="Included Margin",IF(AND($B399&gt;Input!$C$9,Summary!$D$31&lt;&gt;"Included Margin"),0,1),0))</f>
        <v>0.02</v>
      </c>
      <c r="AH399" s="158">
        <f>IF(E399="","",Input!$C$47*IF(Summary!$D$29="Included Margin",IF(AND($B399&gt;Input!$C$9,Summary!$D$31&lt;&gt;"Included Margin"),0,1),0))</f>
        <v>2.5000000000000001E-3</v>
      </c>
      <c r="AI399" s="154"/>
      <c r="AJ399" s="158">
        <f t="shared" si="271"/>
        <v>3.9850000000000003E-2</v>
      </c>
      <c r="AK399" s="155">
        <f t="shared" si="272"/>
        <v>3.2616804063805294E-3</v>
      </c>
      <c r="AL399" s="147">
        <f t="shared" si="273"/>
        <v>9.5793966149999993E-2</v>
      </c>
      <c r="AM399" s="147">
        <f t="shared" si="251"/>
        <v>8.3563922043959904E-3</v>
      </c>
      <c r="AN399" s="160">
        <f t="shared" si="274"/>
        <v>0</v>
      </c>
      <c r="AO399" s="161">
        <f t="shared" si="275"/>
        <v>0</v>
      </c>
      <c r="AP399" s="156">
        <f t="shared" si="252"/>
        <v>2.038103025773728</v>
      </c>
      <c r="AQ399" s="152"/>
      <c r="AR399" s="162">
        <f t="shared" si="253"/>
        <v>1658.8982856159055</v>
      </c>
      <c r="AS399" s="150">
        <f t="shared" si="276"/>
        <v>0</v>
      </c>
      <c r="AT399" s="163">
        <f t="shared" si="254"/>
        <v>0</v>
      </c>
      <c r="AU399" s="163">
        <f t="shared" si="255"/>
        <v>835.63922043959906</v>
      </c>
      <c r="AV399" s="163">
        <f t="shared" si="277"/>
        <v>4.0480019983161801</v>
      </c>
      <c r="AW399" s="163">
        <f t="shared" si="256"/>
        <v>6.9715781095840637</v>
      </c>
      <c r="AX399" s="163">
        <f t="shared" si="257"/>
        <v>0</v>
      </c>
      <c r="AY399" s="164">
        <f t="shared" si="278"/>
        <v>834.27864528420662</v>
      </c>
      <c r="AZ399" s="164">
        <f>IF($E399="","",IF(OR(AND($D399=Input!$C$6,$C399=12),$AN399=1),0,-AS400+AT400+AU400-AV400-AW400-AX400+AZ400))</f>
        <v>834.28086416486929</v>
      </c>
      <c r="BA399" s="154">
        <f t="shared" si="258"/>
        <v>2.2188806626672886E-3</v>
      </c>
      <c r="BC399" s="147">
        <f t="shared" si="279"/>
        <v>1.525974401561268E-2</v>
      </c>
      <c r="BD399" s="164">
        <f>IF(AND($C398=12,$D398=Input!$C$6),0,IF($E399="","",AT399+(AU399+BD400)/(1+$AK399)*MIN((1-AM399-AN399),1)))</f>
        <v>738.22245204869512</v>
      </c>
      <c r="BE399" s="164">
        <f t="shared" si="259"/>
        <v>11.265085644840994</v>
      </c>
      <c r="BF399" s="164">
        <f t="shared" si="280"/>
        <v>834.28086416486929</v>
      </c>
      <c r="BG399" s="164">
        <f t="shared" si="260"/>
        <v>12.730912424280039</v>
      </c>
      <c r="BH399" s="152"/>
      <c r="BI399" s="162">
        <f t="shared" si="261"/>
        <v>-2141.0285923989136</v>
      </c>
      <c r="BJ399" s="150">
        <f t="shared" si="262"/>
        <v>0</v>
      </c>
      <c r="BK399" s="163">
        <f t="shared" si="284"/>
        <v>0</v>
      </c>
      <c r="BL399" s="163">
        <f t="shared" si="263"/>
        <v>622.70846511425225</v>
      </c>
      <c r="BM399" s="163">
        <f t="shared" si="285"/>
        <v>-8.8844188081437458</v>
      </c>
      <c r="BN399" s="163">
        <f t="shared" si="264"/>
        <v>-17.37352233284339</v>
      </c>
      <c r="BO399" s="163">
        <f t="shared" si="265"/>
        <v>0</v>
      </c>
      <c r="BP399" s="164">
        <f t="shared" si="286"/>
        <v>-2789.9949986541533</v>
      </c>
      <c r="BQ399" s="164">
        <f>IF($E399="","",IF(AND($D399=Input!$C$6,$C399=12),0,-BJ400+BK400+BL400-BM400-BN400-BO400+BQ400))</f>
        <v>-2789.9929591700284</v>
      </c>
      <c r="BR399" s="161">
        <f t="shared" si="266"/>
        <v>0</v>
      </c>
      <c r="BT399" s="147">
        <f t="shared" si="267"/>
        <v>1.525974401561268E-2</v>
      </c>
      <c r="BU399" s="164">
        <f>IF(AND($C398=12,$D398=Input!$C$6),0,IF($E399="","",BK399+(BL399+BU400)/(1+$AK399)*MIN((1-T399-U399),1)))</f>
        <v>43500.943046607332</v>
      </c>
      <c r="BV399" s="164">
        <f t="shared" si="268"/>
        <v>663.81325532897426</v>
      </c>
      <c r="BW399" s="164">
        <f t="shared" si="269"/>
        <v>-2789.9929591700284</v>
      </c>
      <c r="BX399" s="164">
        <f t="shared" si="270"/>
        <v>-42.57457836229635</v>
      </c>
    </row>
    <row r="400" spans="1:76" s="150" customFormat="1" x14ac:dyDescent="0.25">
      <c r="A400" s="150">
        <f t="shared" si="281"/>
        <v>396</v>
      </c>
      <c r="B400" s="150">
        <f t="shared" si="282"/>
        <v>33</v>
      </c>
      <c r="C400" s="150">
        <f t="shared" si="283"/>
        <v>12</v>
      </c>
      <c r="D400" s="150">
        <f>IF(E400="","",Input!$C$4+B400-1)</f>
        <v>77</v>
      </c>
      <c r="E400" s="150">
        <f>IF(OR(AND(C399=12,D399=Input!$C$6),E399=""),"",1)</f>
        <v>1</v>
      </c>
      <c r="F400" s="150">
        <f>IF(E400="","",Input!$C$8+B400-1)</f>
        <v>2050</v>
      </c>
      <c r="G400" s="151">
        <f>IF(E400="","",MAX(0,Input!$C$9-B400))</f>
        <v>0</v>
      </c>
      <c r="H400" s="152">
        <f>IF(E400="","",Input!$C$3)</f>
        <v>100000</v>
      </c>
      <c r="I400" s="153">
        <f>IF(E400="","",HLOOKUP($B400,Input!$C$13:$BT$14,2))</f>
        <v>75.239500000000007</v>
      </c>
      <c r="J400" s="154"/>
      <c r="K400" s="155">
        <f>IF($E400="","",INDEX(Input!$C$16:$CP$16,1,$B400))</f>
        <v>2.9350000000000001E-2</v>
      </c>
      <c r="L400" s="155">
        <f>IF($E400="","",Input!$C$37)</f>
        <v>1.4999999999999999E-2</v>
      </c>
      <c r="M400" s="155">
        <f t="shared" si="246"/>
        <v>4.4350000000000001E-2</v>
      </c>
      <c r="N400" s="155">
        <f t="shared" si="247"/>
        <v>3.6227699516298006E-3</v>
      </c>
      <c r="O400" s="147">
        <f>IF($E400="","",MIN(VLOOKUP(IF($B400&lt;=Input!$C$7,$B400,26),'Mortality Tables'!$A$41:$CW$67,IF($B400&lt;=Input!$C$7+1,Input!$C$4+2,$D400-Input!$C$7+2),0)*IF(B400&gt;20,Input!$C$22,1)/1000,1))</f>
        <v>8.4782799999999992E-2</v>
      </c>
      <c r="P400" s="147">
        <f>IF($E400="","",MIN(VLOOKUP(IF($B400&lt;=Input!$C$7,$B400,26),'Mortality Tables'!$A$12:$CW$37,IF($B400&lt;=Input!$C$7+1,Input!$C$4+2,$D400-Input!$C$7+2),0)*IF(B400&gt;20,Input!$C$22,1)/1000,1))</f>
        <v>0.1059785</v>
      </c>
      <c r="Q400" s="155">
        <f>IF($E400="","",Input!$C$21)</f>
        <v>5.0000000000000001E-3</v>
      </c>
      <c r="R400" s="159">
        <f>IF($E400="","",(1-Q400)^($F400-Input!$C$20))</f>
        <v>0.85180185960034727</v>
      </c>
      <c r="S400" s="147">
        <f t="shared" si="249"/>
        <v>7.2218146702124314E-2</v>
      </c>
      <c r="T400" s="147">
        <f t="shared" si="250"/>
        <v>6.2270846511425226E-3</v>
      </c>
      <c r="U400" s="160">
        <f>IF($E400="","",IF($C400=12,INDEX(Input!$C$15:$CP$15,1,$B400),0))</f>
        <v>0.1</v>
      </c>
      <c r="V400" s="150">
        <f>IF(E400="","",IF(C400=1,IF($B400=1,Input!$C$33,Input!$C$34),0))</f>
        <v>0</v>
      </c>
      <c r="W400" s="156">
        <f>IF($E400="","",Input!$C$35)</f>
        <v>0.02</v>
      </c>
      <c r="X400" s="156">
        <f t="shared" si="248"/>
        <v>1.8845405921011305</v>
      </c>
      <c r="Y400" s="154"/>
      <c r="Z400" s="147">
        <f>IF($E400="","",VLOOKUP($D400,'Mortality Margins &amp; Grading'!$AB$5:$AF$125,3,0)*IF(Summary!$D$25="Included Margin",IF(AND($B400&gt;Input!$C$9,Summary!$D$31&lt;&gt;"Included Margin"),0,1),0))</f>
        <v>2.9000000000000001E-2</v>
      </c>
      <c r="AA400" s="147">
        <f>IF($E400="","",VLOOKUP($D400,'Mortality Margins &amp; Grading'!$AB$5:$AF$125,5,0)*IF(Summary!$D$25="Included Margin",IF(AND($B400&gt;Input!$C$9,Summary!$D$31&lt;&gt;"Included Margin"),0,1),0))</f>
        <v>0.14599999999999999</v>
      </c>
      <c r="AB400" s="147">
        <f>IF($E400="","",IF(AND($B400&gt;Input!$C$9,Summary!$D$31&lt;&gt;"Included Margin"),1,IF(Summary!$D$25="Included Margin",VLOOKUP($B400,'Mortality Margins &amp; Grading'!$AI$5:$AR$125,MATCH('Mortality Margins &amp; Grading'!$AQ$4,'Mortality Margins &amp; Grading'!$AI$4:$AR$4,0),0),1)))</f>
        <v>0.75</v>
      </c>
      <c r="AC400" s="154"/>
      <c r="AD400" s="158">
        <f>IF(E400="","",Input!$C$48*IF(Summary!$D$30="Included Margin",IF(AND($B400&gt;Input!$C$9,Summary!$D$31&lt;&gt;"Included Margin"),0,1),0))</f>
        <v>-4.4999999999999997E-3</v>
      </c>
      <c r="AE400" s="159">
        <f>IF(E400="","",IF(Summary!$D$26="Included Margin",IF(AND($B400&gt;Input!$C$9,Summary!$D$31&lt;&gt;"Included Margin"),1,1/$R400),1))</f>
        <v>1.1739819404352851</v>
      </c>
      <c r="AF400" s="160">
        <f>IF(E400="","",IF(AND($B400&gt;=Input!$C$9,$C400=12,Summary!$D$31="Included Margin",$U400&gt;0),1/U400-1,IF($B400&gt;=Input!$C$9,0,Input!$C$45*IF(Summary!$D$27="Included Margin",1,0))))</f>
        <v>9</v>
      </c>
      <c r="AG400" s="160">
        <f>IF(E400="","",Input!$C$46*IF(Summary!$D$28="Included Margin",IF(AND($B400&gt;Input!$C$9,Summary!$D$31&lt;&gt;"Included Margin"),0,1),0))</f>
        <v>0.02</v>
      </c>
      <c r="AH400" s="158">
        <f>IF(E400="","",Input!$C$47*IF(Summary!$D$29="Included Margin",IF(AND($B400&gt;Input!$C$9,Summary!$D$31&lt;&gt;"Included Margin"),0,1),0))</f>
        <v>2.5000000000000001E-3</v>
      </c>
      <c r="AI400" s="154"/>
      <c r="AJ400" s="158">
        <f t="shared" si="271"/>
        <v>3.9850000000000003E-2</v>
      </c>
      <c r="AK400" s="155">
        <f t="shared" si="272"/>
        <v>3.2616804063805294E-3</v>
      </c>
      <c r="AL400" s="147">
        <f t="shared" si="273"/>
        <v>9.5793966149999993E-2</v>
      </c>
      <c r="AM400" s="147">
        <f t="shared" si="251"/>
        <v>8.3563922043959904E-3</v>
      </c>
      <c r="AN400" s="160">
        <f t="shared" si="274"/>
        <v>1</v>
      </c>
      <c r="AO400" s="161">
        <f t="shared" si="275"/>
        <v>0</v>
      </c>
      <c r="AP400" s="156">
        <f t="shared" si="252"/>
        <v>2.038103025773728</v>
      </c>
      <c r="AQ400" s="152"/>
      <c r="AR400" s="162">
        <f t="shared" si="253"/>
        <v>834.2786452842065</v>
      </c>
      <c r="AS400" s="150">
        <f t="shared" si="276"/>
        <v>0</v>
      </c>
      <c r="AT400" s="163">
        <f t="shared" si="254"/>
        <v>0</v>
      </c>
      <c r="AU400" s="163">
        <f t="shared" si="255"/>
        <v>835.63922043959906</v>
      </c>
      <c r="AV400" s="163">
        <f t="shared" si="277"/>
        <v>1.358356274729718</v>
      </c>
      <c r="AW400" s="163">
        <f t="shared" si="256"/>
        <v>0</v>
      </c>
      <c r="AX400" s="163">
        <f t="shared" si="257"/>
        <v>0</v>
      </c>
      <c r="AY400" s="165">
        <f t="shared" si="278"/>
        <v>-2.2188806628349322E-3</v>
      </c>
      <c r="AZ400" s="164">
        <f>IF($E400="","",IF(OR(AND($D400=Input!$C$6,$C400=12),$AN400=1),0,-AS401+AT401+AU401-AV401-AW401-AX401+AZ401))</f>
        <v>0</v>
      </c>
      <c r="BA400" s="154">
        <f t="shared" si="258"/>
        <v>2.2188806628349322E-3</v>
      </c>
      <c r="BC400" s="147">
        <f t="shared" si="279"/>
        <v>1.3638745896311427E-2</v>
      </c>
      <c r="BD400" s="164">
        <f>IF(AND($C399=12,$D399=Input!$C$6),0,IF($E400="","",AT400+(AU400+BD401)/(1+$AK400)*MIN((1-AM400-AN400),1)))</f>
        <v>-88.767771933524401</v>
      </c>
      <c r="BE400" s="164">
        <f t="shared" si="259"/>
        <v>-1.2106810851830645</v>
      </c>
      <c r="BF400" s="164">
        <f t="shared" si="280"/>
        <v>0</v>
      </c>
      <c r="BG400" s="164">
        <f t="shared" si="260"/>
        <v>0</v>
      </c>
      <c r="BH400" s="152"/>
      <c r="BI400" s="162">
        <f t="shared" si="261"/>
        <v>-2789.9949986541533</v>
      </c>
      <c r="BJ400" s="150">
        <f t="shared" si="262"/>
        <v>0</v>
      </c>
      <c r="BK400" s="163">
        <f t="shared" si="284"/>
        <v>0</v>
      </c>
      <c r="BL400" s="163">
        <f t="shared" si="263"/>
        <v>622.70846511425225</v>
      </c>
      <c r="BM400" s="163">
        <f t="shared" si="285"/>
        <v>-11.235474804342406</v>
      </c>
      <c r="BN400" s="163">
        <f t="shared" si="264"/>
        <v>-23.838606029706987</v>
      </c>
      <c r="BO400" s="163">
        <f t="shared" si="265"/>
        <v>-380.43743323206928</v>
      </c>
      <c r="BP400" s="164">
        <f t="shared" si="286"/>
        <v>-3828.2149778345247</v>
      </c>
      <c r="BQ400" s="164">
        <f>IF($E400="","",IF(AND($D400=Input!$C$6,$C400=12),0,-BJ401+BK401+BL401-BM401-BN401-BO401+BQ401))</f>
        <v>-3828.2129383503993</v>
      </c>
      <c r="BR400" s="161">
        <f t="shared" si="266"/>
        <v>0</v>
      </c>
      <c r="BT400" s="147">
        <f t="shared" si="267"/>
        <v>1.3638745896311427E-2</v>
      </c>
      <c r="BU400" s="164">
        <f>IF(AND($C399=12,$D399=Input!$C$6),0,IF($E400="","",BK400+(BL400+BU401)/(1+$AK400)*MIN((1-T400-U400),1)))</f>
        <v>43293.59127110969</v>
      </c>
      <c r="BV400" s="164">
        <f t="shared" si="268"/>
        <v>590.47029028543147</v>
      </c>
      <c r="BW400" s="164">
        <f t="shared" si="269"/>
        <v>-3828.2129383503993</v>
      </c>
      <c r="BX400" s="164">
        <f t="shared" si="270"/>
        <v>-52.212023503132819</v>
      </c>
    </row>
    <row r="401" spans="1:76" s="150" customFormat="1" x14ac:dyDescent="0.25">
      <c r="A401" s="150">
        <f t="shared" si="281"/>
        <v>397</v>
      </c>
      <c r="B401" s="150">
        <f t="shared" si="282"/>
        <v>34</v>
      </c>
      <c r="C401" s="150">
        <f t="shared" si="283"/>
        <v>1</v>
      </c>
      <c r="D401" s="150">
        <f>IF(E401="","",Input!$C$4+B401-1)</f>
        <v>78</v>
      </c>
      <c r="E401" s="150">
        <f>IF(OR(AND(C400=12,D400=Input!$C$6),E400=""),"",1)</f>
        <v>1</v>
      </c>
      <c r="F401" s="150">
        <f>IF(E401="","",Input!$C$8+B401-1)</f>
        <v>2051</v>
      </c>
      <c r="G401" s="151">
        <f>IF(E401="","",MAX(0,Input!$C$9-B401))</f>
        <v>0</v>
      </c>
      <c r="H401" s="152">
        <f>IF(E401="","",Input!$C$3)</f>
        <v>100000</v>
      </c>
      <c r="I401" s="153">
        <f>IF(E401="","",HLOOKUP($B401,Input!$C$13:$BT$14,2))</f>
        <v>84.427000000000007</v>
      </c>
      <c r="J401" s="154"/>
      <c r="K401" s="155">
        <f>IF($E401="","",INDEX(Input!$C$16:$CP$16,1,$B401))</f>
        <v>2.9669999999999998E-2</v>
      </c>
      <c r="L401" s="155">
        <f>IF($E401="","",Input!$C$37)</f>
        <v>1.4999999999999999E-2</v>
      </c>
      <c r="M401" s="155">
        <f t="shared" si="246"/>
        <v>4.4670000000000001E-2</v>
      </c>
      <c r="N401" s="155">
        <f t="shared" si="247"/>
        <v>3.6483930818200783E-3</v>
      </c>
      <c r="O401" s="147">
        <f>IF($E401="","",MIN(VLOOKUP(IF($B401&lt;=Input!$C$7,$B401,26),'Mortality Tables'!$A$41:$CW$67,IF($B401&lt;=Input!$C$7+1,Input!$C$4+2,$D401-Input!$C$7+2),0)*IF(B401&gt;20,Input!$C$22,1)/1000,1))</f>
        <v>9.5210800000000012E-2</v>
      </c>
      <c r="P401" s="147">
        <f>IF($E401="","",MIN(VLOOKUP(IF($B401&lt;=Input!$C$7,$B401,26),'Mortality Tables'!$A$12:$CW$37,IF($B401&lt;=Input!$C$7+1,Input!$C$4+2,$D401-Input!$C$7+2),0)*IF(B401&gt;20,Input!$C$22,1)/1000,1))</f>
        <v>0.11901350000000001</v>
      </c>
      <c r="Q401" s="155">
        <f>IF($E401="","",Input!$C$21)</f>
        <v>5.0000000000000001E-3</v>
      </c>
      <c r="R401" s="159">
        <f>IF($E401="","",(1-Q401)^($F401-Input!$C$20))</f>
        <v>0.84754285030234555</v>
      </c>
      <c r="S401" s="147">
        <f t="shared" si="249"/>
        <v>8.069523281156657E-2</v>
      </c>
      <c r="T401" s="147">
        <f t="shared" si="250"/>
        <v>6.9869422297846873E-3</v>
      </c>
      <c r="U401" s="160">
        <f>IF($E401="","",IF($C401=12,INDEX(Input!$C$15:$CP$15,1,$B401),0))</f>
        <v>0</v>
      </c>
      <c r="V401" s="150">
        <f>IF(E401="","",IF(C401=1,IF($B401=1,Input!$C$33,Input!$C$34),0))</f>
        <v>50</v>
      </c>
      <c r="W401" s="156">
        <f>IF($E401="","",Input!$C$35)</f>
        <v>0.02</v>
      </c>
      <c r="X401" s="156">
        <f t="shared" si="248"/>
        <v>1.9222314039431532</v>
      </c>
      <c r="Y401" s="154"/>
      <c r="Z401" s="147">
        <f>IF($E401="","",VLOOKUP($D401,'Mortality Margins &amp; Grading'!$AB$5:$AF$125,3,0)*IF(Summary!$D$25="Included Margin",IF(AND($B401&gt;Input!$C$9,Summary!$D$31&lt;&gt;"Included Margin"),0,1),0))</f>
        <v>2.8000000000000001E-2</v>
      </c>
      <c r="AA401" s="147">
        <f>IF($E401="","",VLOOKUP($D401,'Mortality Margins &amp; Grading'!$AB$5:$AF$125,5,0)*IF(Summary!$D$25="Included Margin",IF(AND($B401&gt;Input!$C$9,Summary!$D$31&lt;&gt;"Included Margin"),0,1),0))</f>
        <v>0.14099999999999999</v>
      </c>
      <c r="AB401" s="147">
        <f>IF($E401="","",IF(AND($B401&gt;Input!$C$9,Summary!$D$31&lt;&gt;"Included Margin"),1,IF(Summary!$D$25="Included Margin",VLOOKUP($B401,'Mortality Margins &amp; Grading'!$AI$5:$AR$125,MATCH('Mortality Margins &amp; Grading'!$AQ$4,'Mortality Margins &amp; Grading'!$AI$4:$AR$4,0),0),1)))</f>
        <v>0.6875</v>
      </c>
      <c r="AC401" s="154"/>
      <c r="AD401" s="158">
        <f>IF(E401="","",Input!$C$48*IF(Summary!$D$30="Included Margin",IF(AND($B401&gt;Input!$C$9,Summary!$D$31&lt;&gt;"Included Margin"),0,1),0))</f>
        <v>-4.4999999999999997E-3</v>
      </c>
      <c r="AE401" s="159">
        <f>IF(E401="","",IF(Summary!$D$26="Included Margin",IF(AND($B401&gt;Input!$C$9,Summary!$D$31&lt;&gt;"Included Margin"),1,1/$R401),1))</f>
        <v>1.1798813471711409</v>
      </c>
      <c r="AF401" s="160">
        <f>IF(E401="","",IF(AND($B401&gt;=Input!$C$9,$C401=12,Summary!$D$31="Included Margin",$U401&gt;0),1/U401-1,IF($B401&gt;=Input!$C$9,0,Input!$C$45*IF(Summary!$D$27="Included Margin",1,0))))</f>
        <v>0</v>
      </c>
      <c r="AG401" s="160">
        <f>IF(E401="","",Input!$C$46*IF(Summary!$D$28="Included Margin",IF(AND($B401&gt;Input!$C$9,Summary!$D$31&lt;&gt;"Included Margin"),0,1),0))</f>
        <v>0.02</v>
      </c>
      <c r="AH401" s="158">
        <f>IF(E401="","",Input!$C$47*IF(Summary!$D$29="Included Margin",IF(AND($B401&gt;Input!$C$9,Summary!$D$31&lt;&gt;"Included Margin"),0,1),0))</f>
        <v>2.5000000000000001E-3</v>
      </c>
      <c r="AI401" s="154"/>
      <c r="AJ401" s="158">
        <f t="shared" si="271"/>
        <v>4.0170000000000004E-2</v>
      </c>
      <c r="AK401" s="155">
        <f t="shared" si="272"/>
        <v>3.2874051475051402E-3</v>
      </c>
      <c r="AL401" s="147">
        <f t="shared" si="273"/>
        <v>0.10972598399375003</v>
      </c>
      <c r="AM401" s="147">
        <f t="shared" si="251"/>
        <v>9.6387449997139552E-3</v>
      </c>
      <c r="AN401" s="160">
        <f t="shared" si="274"/>
        <v>0</v>
      </c>
      <c r="AO401" s="161">
        <f t="shared" si="275"/>
        <v>51</v>
      </c>
      <c r="AP401" s="156">
        <f t="shared" si="252"/>
        <v>2.0839603438536369</v>
      </c>
      <c r="AQ401" s="152"/>
      <c r="AR401" s="162">
        <f t="shared" si="253"/>
        <v>2426.9981272589907</v>
      </c>
      <c r="AS401" s="150">
        <f t="shared" si="276"/>
        <v>8442.7000000000007</v>
      </c>
      <c r="AT401" s="163">
        <f t="shared" si="254"/>
        <v>106.28197753653548</v>
      </c>
      <c r="AU401" s="163">
        <f t="shared" si="255"/>
        <v>963.87449997139549</v>
      </c>
      <c r="AV401" s="163">
        <f t="shared" si="277"/>
        <v>33.799386658960103</v>
      </c>
      <c r="AW401" s="163">
        <f t="shared" si="256"/>
        <v>95.703553956939444</v>
      </c>
      <c r="AX401" s="163">
        <f t="shared" si="257"/>
        <v>0</v>
      </c>
      <c r="AY401" s="164">
        <f t="shared" si="278"/>
        <v>9929.0445903669588</v>
      </c>
      <c r="AZ401" s="164">
        <f>IF($E401="","",IF(OR(AND($D401=Input!$C$6,$C401=12),$AN401=1),0,-AS402+AT402+AU402-AV402-AW402-AX402+AZ402))</f>
        <v>9929.0471902493118</v>
      </c>
      <c r="BA401" s="154">
        <f t="shared" si="258"/>
        <v>2.5998823530244408E-3</v>
      </c>
      <c r="BC401" s="147">
        <f t="shared" si="279"/>
        <v>1.3543452766647186E-2</v>
      </c>
      <c r="BD401" s="164">
        <f>IF(AND($C400=12,$D400=Input!$C$6),0,IF($E401="","",AT401+(AU401+BD402)/(1+$AK401)*MIN((1-AM401-AN401),1)))</f>
        <v>9821.7475868847687</v>
      </c>
      <c r="BE401" s="164">
        <f t="shared" si="259"/>
        <v>133.02037452890485</v>
      </c>
      <c r="BF401" s="164">
        <f t="shared" si="280"/>
        <v>9929.0471902493118</v>
      </c>
      <c r="BG401" s="164">
        <f t="shared" si="260"/>
        <v>134.47358163895251</v>
      </c>
      <c r="BH401" s="152"/>
      <c r="BI401" s="162">
        <f t="shared" si="261"/>
        <v>-3828.2152591566819</v>
      </c>
      <c r="BJ401" s="150">
        <f t="shared" si="262"/>
        <v>8442.7000000000007</v>
      </c>
      <c r="BK401" s="163">
        <f t="shared" si="284"/>
        <v>96.111570197157661</v>
      </c>
      <c r="BL401" s="163">
        <f t="shared" si="263"/>
        <v>698.6942229784687</v>
      </c>
      <c r="BM401" s="163">
        <f t="shared" si="285"/>
        <v>15.210245832155756</v>
      </c>
      <c r="BN401" s="163">
        <f t="shared" si="264"/>
        <v>26.982691978002833</v>
      </c>
      <c r="BO401" s="163">
        <f t="shared" si="265"/>
        <v>0</v>
      </c>
      <c r="BP401" s="164">
        <f t="shared" si="286"/>
        <v>3861.8718854778513</v>
      </c>
      <c r="BQ401" s="164">
        <f>IF($E401="","",IF(AND($D401=Input!$C$6,$C401=12),0,-BJ402+BK402+BL402-BM402-BN402-BO402+BQ402))</f>
        <v>3861.8742062841334</v>
      </c>
      <c r="BR401" s="161">
        <f t="shared" si="266"/>
        <v>0</v>
      </c>
      <c r="BT401" s="147">
        <f t="shared" si="267"/>
        <v>1.3543452766647186E-2</v>
      </c>
      <c r="BU401" s="164">
        <f>IF(AND($C400=12,$D400=Input!$C$6),0,IF($E401="","",BK401+(BL401+BU402)/(1+$AK401)*MIN((1-T401-U401),1)))</f>
        <v>47974.424412342705</v>
      </c>
      <c r="BV401" s="164">
        <f t="shared" si="268"/>
        <v>649.73935103564907</v>
      </c>
      <c r="BW401" s="164">
        <f t="shared" si="269"/>
        <v>3861.8742062841334</v>
      </c>
      <c r="BX401" s="164">
        <f t="shared" si="270"/>
        <v>52.303110903542255</v>
      </c>
    </row>
    <row r="402" spans="1:76" s="150" customFormat="1" x14ac:dyDescent="0.25">
      <c r="A402" s="150">
        <f t="shared" si="281"/>
        <v>398</v>
      </c>
      <c r="B402" s="150">
        <f t="shared" si="282"/>
        <v>34</v>
      </c>
      <c r="C402" s="150">
        <f t="shared" si="283"/>
        <v>2</v>
      </c>
      <c r="D402" s="150">
        <f>IF(E402="","",Input!$C$4+B402-1)</f>
        <v>78</v>
      </c>
      <c r="E402" s="150">
        <f>IF(OR(AND(C401=12,D401=Input!$C$6),E401=""),"",1)</f>
        <v>1</v>
      </c>
      <c r="F402" s="150">
        <f>IF(E402="","",Input!$C$8+B402-1)</f>
        <v>2051</v>
      </c>
      <c r="G402" s="151">
        <f>IF(E402="","",MAX(0,Input!$C$9-B402))</f>
        <v>0</v>
      </c>
      <c r="H402" s="152">
        <f>IF(E402="","",Input!$C$3)</f>
        <v>100000</v>
      </c>
      <c r="I402" s="153">
        <f>IF(E402="","",HLOOKUP($B402,Input!$C$13:$BT$14,2))</f>
        <v>84.427000000000007</v>
      </c>
      <c r="J402" s="154"/>
      <c r="K402" s="155">
        <f>IF($E402="","",INDEX(Input!$C$16:$CP$16,1,$B402))</f>
        <v>2.9669999999999998E-2</v>
      </c>
      <c r="L402" s="155">
        <f>IF($E402="","",Input!$C$37)</f>
        <v>1.4999999999999999E-2</v>
      </c>
      <c r="M402" s="155">
        <f t="shared" si="246"/>
        <v>4.4670000000000001E-2</v>
      </c>
      <c r="N402" s="155">
        <f t="shared" si="247"/>
        <v>3.6483930818200783E-3</v>
      </c>
      <c r="O402" s="147">
        <f>IF($E402="","",MIN(VLOOKUP(IF($B402&lt;=Input!$C$7,$B402,26),'Mortality Tables'!$A$41:$CW$67,IF($B402&lt;=Input!$C$7+1,Input!$C$4+2,$D402-Input!$C$7+2),0)*IF(B402&gt;20,Input!$C$22,1)/1000,1))</f>
        <v>9.5210800000000012E-2</v>
      </c>
      <c r="P402" s="147">
        <f>IF($E402="","",MIN(VLOOKUP(IF($B402&lt;=Input!$C$7,$B402,26),'Mortality Tables'!$A$12:$CW$37,IF($B402&lt;=Input!$C$7+1,Input!$C$4+2,$D402-Input!$C$7+2),0)*IF(B402&gt;20,Input!$C$22,1)/1000,1))</f>
        <v>0.11901350000000001</v>
      </c>
      <c r="Q402" s="155">
        <f>IF($E402="","",Input!$C$21)</f>
        <v>5.0000000000000001E-3</v>
      </c>
      <c r="R402" s="159">
        <f>IF($E402="","",(1-Q402)^($F402-Input!$C$20))</f>
        <v>0.84754285030234555</v>
      </c>
      <c r="S402" s="147">
        <f t="shared" si="249"/>
        <v>8.069523281156657E-2</v>
      </c>
      <c r="T402" s="147">
        <f t="shared" si="250"/>
        <v>6.9869422297846873E-3</v>
      </c>
      <c r="U402" s="160">
        <f>IF($E402="","",IF($C402=12,INDEX(Input!$C$15:$CP$15,1,$B402),0))</f>
        <v>0</v>
      </c>
      <c r="V402" s="150">
        <f>IF(E402="","",IF(C402=1,IF($B402=1,Input!$C$33,Input!$C$34),0))</f>
        <v>0</v>
      </c>
      <c r="W402" s="156">
        <f>IF($E402="","",Input!$C$35)</f>
        <v>0.02</v>
      </c>
      <c r="X402" s="156">
        <f t="shared" si="248"/>
        <v>1.9222314039431532</v>
      </c>
      <c r="Y402" s="154"/>
      <c r="Z402" s="147">
        <f>IF($E402="","",VLOOKUP($D402,'Mortality Margins &amp; Grading'!$AB$5:$AF$125,3,0)*IF(Summary!$D$25="Included Margin",IF(AND($B402&gt;Input!$C$9,Summary!$D$31&lt;&gt;"Included Margin"),0,1),0))</f>
        <v>2.8000000000000001E-2</v>
      </c>
      <c r="AA402" s="147">
        <f>IF($E402="","",VLOOKUP($D402,'Mortality Margins &amp; Grading'!$AB$5:$AF$125,5,0)*IF(Summary!$D$25="Included Margin",IF(AND($B402&gt;Input!$C$9,Summary!$D$31&lt;&gt;"Included Margin"),0,1),0))</f>
        <v>0.14099999999999999</v>
      </c>
      <c r="AB402" s="147">
        <f>IF($E402="","",IF(AND($B402&gt;Input!$C$9,Summary!$D$31&lt;&gt;"Included Margin"),1,IF(Summary!$D$25="Included Margin",VLOOKUP($B402,'Mortality Margins &amp; Grading'!$AI$5:$AR$125,MATCH('Mortality Margins &amp; Grading'!$AQ$4,'Mortality Margins &amp; Grading'!$AI$4:$AR$4,0),0),1)))</f>
        <v>0.6875</v>
      </c>
      <c r="AC402" s="154"/>
      <c r="AD402" s="158">
        <f>IF(E402="","",Input!$C$48*IF(Summary!$D$30="Included Margin",IF(AND($B402&gt;Input!$C$9,Summary!$D$31&lt;&gt;"Included Margin"),0,1),0))</f>
        <v>-4.4999999999999997E-3</v>
      </c>
      <c r="AE402" s="159">
        <f>IF(E402="","",IF(Summary!$D$26="Included Margin",IF(AND($B402&gt;Input!$C$9,Summary!$D$31&lt;&gt;"Included Margin"),1,1/$R402),1))</f>
        <v>1.1798813471711409</v>
      </c>
      <c r="AF402" s="160">
        <f>IF(E402="","",IF(AND($B402&gt;=Input!$C$9,$C402=12,Summary!$D$31="Included Margin",$U402&gt;0),1/U402-1,IF($B402&gt;=Input!$C$9,0,Input!$C$45*IF(Summary!$D$27="Included Margin",1,0))))</f>
        <v>0</v>
      </c>
      <c r="AG402" s="160">
        <f>IF(E402="","",Input!$C$46*IF(Summary!$D$28="Included Margin",IF(AND($B402&gt;Input!$C$9,Summary!$D$31&lt;&gt;"Included Margin"),0,1),0))</f>
        <v>0.02</v>
      </c>
      <c r="AH402" s="158">
        <f>IF(E402="","",Input!$C$47*IF(Summary!$D$29="Included Margin",IF(AND($B402&gt;Input!$C$9,Summary!$D$31&lt;&gt;"Included Margin"),0,1),0))</f>
        <v>2.5000000000000001E-3</v>
      </c>
      <c r="AI402" s="154"/>
      <c r="AJ402" s="158">
        <f t="shared" si="271"/>
        <v>4.0170000000000004E-2</v>
      </c>
      <c r="AK402" s="155">
        <f t="shared" si="272"/>
        <v>3.2874051475051402E-3</v>
      </c>
      <c r="AL402" s="147">
        <f t="shared" si="273"/>
        <v>0.10972598399375003</v>
      </c>
      <c r="AM402" s="147">
        <f t="shared" si="251"/>
        <v>9.6387449997139552E-3</v>
      </c>
      <c r="AN402" s="160">
        <f t="shared" si="274"/>
        <v>0</v>
      </c>
      <c r="AO402" s="161">
        <f t="shared" si="275"/>
        <v>0</v>
      </c>
      <c r="AP402" s="156">
        <f t="shared" si="252"/>
        <v>2.0839603438536369</v>
      </c>
      <c r="AQ402" s="152"/>
      <c r="AR402" s="162">
        <f t="shared" si="253"/>
        <v>9929.0445903669606</v>
      </c>
      <c r="AS402" s="150">
        <f t="shared" si="276"/>
        <v>0</v>
      </c>
      <c r="AT402" s="163">
        <f t="shared" si="254"/>
        <v>0</v>
      </c>
      <c r="AU402" s="163">
        <f t="shared" si="255"/>
        <v>963.87449997139549</v>
      </c>
      <c r="AV402" s="163">
        <f t="shared" si="277"/>
        <v>31.056469299802956</v>
      </c>
      <c r="AW402" s="163">
        <f t="shared" si="256"/>
        <v>87.556291595974827</v>
      </c>
      <c r="AX402" s="163">
        <f t="shared" si="257"/>
        <v>0</v>
      </c>
      <c r="AY402" s="165">
        <f t="shared" si="278"/>
        <v>9083.782851291342</v>
      </c>
      <c r="AZ402" s="164">
        <f>IF($E402="","",IF(OR(AND($D402=Input!$C$6,$C402=12),$AN402=1),0,-AS403+AT403+AU403-AV403-AW403-AX403+AZ403))</f>
        <v>9083.785451173695</v>
      </c>
      <c r="BA402" s="154">
        <f t="shared" si="258"/>
        <v>2.5998823530244408E-3</v>
      </c>
      <c r="BC402" s="147">
        <f t="shared" si="279"/>
        <v>1.3448825444574805E-2</v>
      </c>
      <c r="BD402" s="164">
        <f>IF(AND($C401=12,$D401=Input!$C$6),0,IF($E402="","",AT402+(AU402+BD403)/(1+$AK402)*MIN((1-AM402-AN402),1)))</f>
        <v>8878.3969255196971</v>
      </c>
      <c r="BE402" s="164">
        <f t="shared" si="259"/>
        <v>119.40401047896403</v>
      </c>
      <c r="BF402" s="164">
        <f t="shared" si="280"/>
        <v>9083.785451173695</v>
      </c>
      <c r="BG402" s="164">
        <f t="shared" si="260"/>
        <v>122.16624490880322</v>
      </c>
      <c r="BH402" s="152"/>
      <c r="BI402" s="162">
        <f t="shared" si="261"/>
        <v>3861.8718854778508</v>
      </c>
      <c r="BJ402" s="150">
        <f t="shared" si="262"/>
        <v>0</v>
      </c>
      <c r="BK402" s="163">
        <f t="shared" si="284"/>
        <v>0</v>
      </c>
      <c r="BL402" s="163">
        <f t="shared" si="263"/>
        <v>698.6942229784687</v>
      </c>
      <c r="BM402" s="163">
        <f t="shared" si="285"/>
        <v>12.815071085141701</v>
      </c>
      <c r="BN402" s="163">
        <f t="shared" si="264"/>
        <v>22.346628569959201</v>
      </c>
      <c r="BO402" s="163">
        <f t="shared" si="265"/>
        <v>0</v>
      </c>
      <c r="BP402" s="164">
        <f t="shared" si="286"/>
        <v>3198.3393621544833</v>
      </c>
      <c r="BQ402" s="164">
        <f>IF($E402="","",IF(AND($D402=Input!$C$6,$C402=12),0,-BJ403+BK403+BL403-BM403-BN403-BO403+BQ403))</f>
        <v>3198.3416829607654</v>
      </c>
      <c r="BR402" s="161">
        <f t="shared" si="266"/>
        <v>0</v>
      </c>
      <c r="BT402" s="147">
        <f t="shared" si="267"/>
        <v>1.3448825444574805E-2</v>
      </c>
      <c r="BU402" s="164">
        <f>IF(AND($C401=12,$D401=Input!$C$6),0,IF($E402="","",BK402+(BL402+BU403)/(1+$AK402)*MIN((1-T402-U402),1)))</f>
        <v>47674.998225839474</v>
      </c>
      <c r="BV402" s="164">
        <f t="shared" si="268"/>
        <v>641.17272920972857</v>
      </c>
      <c r="BW402" s="164">
        <f t="shared" si="269"/>
        <v>3198.3416829607654</v>
      </c>
      <c r="BX402" s="164">
        <f t="shared" si="270"/>
        <v>43.013939006246943</v>
      </c>
    </row>
    <row r="403" spans="1:76" s="150" customFormat="1" x14ac:dyDescent="0.25">
      <c r="A403" s="150">
        <f t="shared" si="281"/>
        <v>399</v>
      </c>
      <c r="B403" s="150">
        <f t="shared" si="282"/>
        <v>34</v>
      </c>
      <c r="C403" s="150">
        <f t="shared" si="283"/>
        <v>3</v>
      </c>
      <c r="D403" s="150">
        <f>IF(E403="","",Input!$C$4+B403-1)</f>
        <v>78</v>
      </c>
      <c r="E403" s="150">
        <f>IF(OR(AND(C402=12,D402=Input!$C$6),E402=""),"",1)</f>
        <v>1</v>
      </c>
      <c r="F403" s="150">
        <f>IF(E403="","",Input!$C$8+B403-1)</f>
        <v>2051</v>
      </c>
      <c r="G403" s="151">
        <f>IF(E403="","",MAX(0,Input!$C$9-B403))</f>
        <v>0</v>
      </c>
      <c r="H403" s="152">
        <f>IF(E403="","",Input!$C$3)</f>
        <v>100000</v>
      </c>
      <c r="I403" s="153">
        <f>IF(E403="","",HLOOKUP($B403,Input!$C$13:$BT$14,2))</f>
        <v>84.427000000000007</v>
      </c>
      <c r="J403" s="154"/>
      <c r="K403" s="155">
        <f>IF($E403="","",INDEX(Input!$C$16:$CP$16,1,$B403))</f>
        <v>2.9669999999999998E-2</v>
      </c>
      <c r="L403" s="155">
        <f>IF($E403="","",Input!$C$37)</f>
        <v>1.4999999999999999E-2</v>
      </c>
      <c r="M403" s="155">
        <f t="shared" si="246"/>
        <v>4.4670000000000001E-2</v>
      </c>
      <c r="N403" s="155">
        <f t="shared" si="247"/>
        <v>3.6483930818200783E-3</v>
      </c>
      <c r="O403" s="147">
        <f>IF($E403="","",MIN(VLOOKUP(IF($B403&lt;=Input!$C$7,$B403,26),'Mortality Tables'!$A$41:$CW$67,IF($B403&lt;=Input!$C$7+1,Input!$C$4+2,$D403-Input!$C$7+2),0)*IF(B403&gt;20,Input!$C$22,1)/1000,1))</f>
        <v>9.5210800000000012E-2</v>
      </c>
      <c r="P403" s="147">
        <f>IF($E403="","",MIN(VLOOKUP(IF($B403&lt;=Input!$C$7,$B403,26),'Mortality Tables'!$A$12:$CW$37,IF($B403&lt;=Input!$C$7+1,Input!$C$4+2,$D403-Input!$C$7+2),0)*IF(B403&gt;20,Input!$C$22,1)/1000,1))</f>
        <v>0.11901350000000001</v>
      </c>
      <c r="Q403" s="155">
        <f>IF($E403="","",Input!$C$21)</f>
        <v>5.0000000000000001E-3</v>
      </c>
      <c r="R403" s="159">
        <f>IF($E403="","",(1-Q403)^($F403-Input!$C$20))</f>
        <v>0.84754285030234555</v>
      </c>
      <c r="S403" s="147">
        <f t="shared" si="249"/>
        <v>8.069523281156657E-2</v>
      </c>
      <c r="T403" s="147">
        <f t="shared" si="250"/>
        <v>6.9869422297846873E-3</v>
      </c>
      <c r="U403" s="160">
        <f>IF($E403="","",IF($C403=12,INDEX(Input!$C$15:$CP$15,1,$B403),0))</f>
        <v>0</v>
      </c>
      <c r="V403" s="150">
        <f>IF(E403="","",IF(C403=1,IF($B403=1,Input!$C$33,Input!$C$34),0))</f>
        <v>0</v>
      </c>
      <c r="W403" s="156">
        <f>IF($E403="","",Input!$C$35)</f>
        <v>0.02</v>
      </c>
      <c r="X403" s="156">
        <f t="shared" si="248"/>
        <v>1.9222314039431532</v>
      </c>
      <c r="Y403" s="154"/>
      <c r="Z403" s="147">
        <f>IF($E403="","",VLOOKUP($D403,'Mortality Margins &amp; Grading'!$AB$5:$AF$125,3,0)*IF(Summary!$D$25="Included Margin",IF(AND($B403&gt;Input!$C$9,Summary!$D$31&lt;&gt;"Included Margin"),0,1),0))</f>
        <v>2.8000000000000001E-2</v>
      </c>
      <c r="AA403" s="147">
        <f>IF($E403="","",VLOOKUP($D403,'Mortality Margins &amp; Grading'!$AB$5:$AF$125,5,0)*IF(Summary!$D$25="Included Margin",IF(AND($B403&gt;Input!$C$9,Summary!$D$31&lt;&gt;"Included Margin"),0,1),0))</f>
        <v>0.14099999999999999</v>
      </c>
      <c r="AB403" s="147">
        <f>IF($E403="","",IF(AND($B403&gt;Input!$C$9,Summary!$D$31&lt;&gt;"Included Margin"),1,IF(Summary!$D$25="Included Margin",VLOOKUP($B403,'Mortality Margins &amp; Grading'!$AI$5:$AR$125,MATCH('Mortality Margins &amp; Grading'!$AQ$4,'Mortality Margins &amp; Grading'!$AI$4:$AR$4,0),0),1)))</f>
        <v>0.6875</v>
      </c>
      <c r="AC403" s="154"/>
      <c r="AD403" s="158">
        <f>IF(E403="","",Input!$C$48*IF(Summary!$D$30="Included Margin",IF(AND($B403&gt;Input!$C$9,Summary!$D$31&lt;&gt;"Included Margin"),0,1),0))</f>
        <v>-4.4999999999999997E-3</v>
      </c>
      <c r="AE403" s="159">
        <f>IF(E403="","",IF(Summary!$D$26="Included Margin",IF(AND($B403&gt;Input!$C$9,Summary!$D$31&lt;&gt;"Included Margin"),1,1/$R403),1))</f>
        <v>1.1798813471711409</v>
      </c>
      <c r="AF403" s="160">
        <f>IF(E403="","",IF(AND($B403&gt;=Input!$C$9,$C403=12,Summary!$D$31="Included Margin",$U403&gt;0),1/U403-1,IF($B403&gt;=Input!$C$9,0,Input!$C$45*IF(Summary!$D$27="Included Margin",1,0))))</f>
        <v>0</v>
      </c>
      <c r="AG403" s="160">
        <f>IF(E403="","",Input!$C$46*IF(Summary!$D$28="Included Margin",IF(AND($B403&gt;Input!$C$9,Summary!$D$31&lt;&gt;"Included Margin"),0,1),0))</f>
        <v>0.02</v>
      </c>
      <c r="AH403" s="158">
        <f>IF(E403="","",Input!$C$47*IF(Summary!$D$29="Included Margin",IF(AND($B403&gt;Input!$C$9,Summary!$D$31&lt;&gt;"Included Margin"),0,1),0))</f>
        <v>2.5000000000000001E-3</v>
      </c>
      <c r="AI403" s="154"/>
      <c r="AJ403" s="158">
        <f t="shared" si="271"/>
        <v>4.0170000000000004E-2</v>
      </c>
      <c r="AK403" s="155">
        <f t="shared" si="272"/>
        <v>3.2874051475051402E-3</v>
      </c>
      <c r="AL403" s="147">
        <f t="shared" si="273"/>
        <v>0.10972598399375003</v>
      </c>
      <c r="AM403" s="147">
        <f t="shared" si="251"/>
        <v>9.6387449997139552E-3</v>
      </c>
      <c r="AN403" s="160">
        <f t="shared" si="274"/>
        <v>0</v>
      </c>
      <c r="AO403" s="161">
        <f t="shared" si="275"/>
        <v>0</v>
      </c>
      <c r="AP403" s="156">
        <f t="shared" si="252"/>
        <v>2.0839603438536369</v>
      </c>
      <c r="AQ403" s="152"/>
      <c r="AR403" s="162">
        <f t="shared" si="253"/>
        <v>9083.7828512913402</v>
      </c>
      <c r="AS403" s="150">
        <f t="shared" si="276"/>
        <v>0</v>
      </c>
      <c r="AT403" s="163">
        <f t="shared" si="254"/>
        <v>0</v>
      </c>
      <c r="AU403" s="163">
        <f t="shared" si="255"/>
        <v>963.87449997139549</v>
      </c>
      <c r="AV403" s="163">
        <f t="shared" si="277"/>
        <v>28.277751507776618</v>
      </c>
      <c r="AW403" s="163">
        <f t="shared" si="256"/>
        <v>79.302691536483621</v>
      </c>
      <c r="AX403" s="163">
        <f t="shared" si="257"/>
        <v>0</v>
      </c>
      <c r="AY403" s="164">
        <f t="shared" si="278"/>
        <v>8227.4887943642061</v>
      </c>
      <c r="AZ403" s="164">
        <f>IF($E403="","",IF(OR(AND($D403=Input!$C$6,$C403=12),$AN403=1),0,-AS404+AT404+AU404-AV404-AW404-AX404+AZ404))</f>
        <v>8227.4913942465591</v>
      </c>
      <c r="BA403" s="154">
        <f t="shared" si="258"/>
        <v>2.5998823530244408E-3</v>
      </c>
      <c r="BC403" s="147">
        <f t="shared" si="279"/>
        <v>1.3354859278135102E-2</v>
      </c>
      <c r="BD403" s="164">
        <f>IF(AND($C402=12,$D402=Input!$C$6),0,IF($E403="","",AT403+(AU403+BD404)/(1+$AK403)*MIN((1-AM403-AN403),1)))</f>
        <v>8030.4028592248396</v>
      </c>
      <c r="BE403" s="164">
        <f t="shared" si="259"/>
        <v>107.2449001316815</v>
      </c>
      <c r="BF403" s="164">
        <f t="shared" si="280"/>
        <v>8227.4913942465591</v>
      </c>
      <c r="BG403" s="164">
        <f t="shared" si="260"/>
        <v>109.87698978223037</v>
      </c>
      <c r="BH403" s="152"/>
      <c r="BI403" s="162">
        <f t="shared" si="261"/>
        <v>3198.3393621544838</v>
      </c>
      <c r="BJ403" s="150">
        <f t="shared" si="262"/>
        <v>0</v>
      </c>
      <c r="BK403" s="163">
        <f t="shared" si="284"/>
        <v>0</v>
      </c>
      <c r="BL403" s="163">
        <f t="shared" si="263"/>
        <v>698.6942229784687</v>
      </c>
      <c r="BM403" s="163">
        <f t="shared" si="285"/>
        <v>10.39424361748611</v>
      </c>
      <c r="BN403" s="163">
        <f t="shared" si="264"/>
        <v>17.660912150321622</v>
      </c>
      <c r="BO403" s="163">
        <f t="shared" si="265"/>
        <v>0</v>
      </c>
      <c r="BP403" s="164">
        <f t="shared" si="286"/>
        <v>2527.7002949438229</v>
      </c>
      <c r="BQ403" s="164">
        <f>IF($E403="","",IF(AND($D403=Input!$C$6,$C403=12),0,-BJ404+BK404+BL404-BM404-BN404-BO404+BQ404))</f>
        <v>2527.7026157501045</v>
      </c>
      <c r="BR403" s="161">
        <f t="shared" si="266"/>
        <v>0</v>
      </c>
      <c r="BT403" s="147">
        <f t="shared" si="267"/>
        <v>1.3354859278135102E-2</v>
      </c>
      <c r="BU403" s="164">
        <f>IF(AND($C402=12,$D402=Input!$C$6),0,IF($E403="","",BK403+(BL403+BU404)/(1+$AK403)*MIN((1-T403-U403),1)))</f>
        <v>47469.579986647012</v>
      </c>
      <c r="BV403" s="164">
        <f t="shared" si="268"/>
        <v>633.94956071384922</v>
      </c>
      <c r="BW403" s="164">
        <f t="shared" si="269"/>
        <v>2527.7026157501045</v>
      </c>
      <c r="BX403" s="164">
        <f t="shared" si="270"/>
        <v>33.757112730316649</v>
      </c>
    </row>
    <row r="404" spans="1:76" s="150" customFormat="1" x14ac:dyDescent="0.25">
      <c r="A404" s="150">
        <f t="shared" si="281"/>
        <v>400</v>
      </c>
      <c r="B404" s="150">
        <f t="shared" si="282"/>
        <v>34</v>
      </c>
      <c r="C404" s="150">
        <f t="shared" si="283"/>
        <v>4</v>
      </c>
      <c r="D404" s="150">
        <f>IF(E404="","",Input!$C$4+B404-1)</f>
        <v>78</v>
      </c>
      <c r="E404" s="150">
        <f>IF(OR(AND(C403=12,D403=Input!$C$6),E403=""),"",1)</f>
        <v>1</v>
      </c>
      <c r="F404" s="150">
        <f>IF(E404="","",Input!$C$8+B404-1)</f>
        <v>2051</v>
      </c>
      <c r="G404" s="151">
        <f>IF(E404="","",MAX(0,Input!$C$9-B404))</f>
        <v>0</v>
      </c>
      <c r="H404" s="152">
        <f>IF(E404="","",Input!$C$3)</f>
        <v>100000</v>
      </c>
      <c r="I404" s="153">
        <f>IF(E404="","",HLOOKUP($B404,Input!$C$13:$BT$14,2))</f>
        <v>84.427000000000007</v>
      </c>
      <c r="J404" s="154"/>
      <c r="K404" s="155">
        <f>IF($E404="","",INDEX(Input!$C$16:$CP$16,1,$B404))</f>
        <v>2.9669999999999998E-2</v>
      </c>
      <c r="L404" s="155">
        <f>IF($E404="","",Input!$C$37)</f>
        <v>1.4999999999999999E-2</v>
      </c>
      <c r="M404" s="155">
        <f t="shared" si="246"/>
        <v>4.4670000000000001E-2</v>
      </c>
      <c r="N404" s="155">
        <f t="shared" si="247"/>
        <v>3.6483930818200783E-3</v>
      </c>
      <c r="O404" s="147">
        <f>IF($E404="","",MIN(VLOOKUP(IF($B404&lt;=Input!$C$7,$B404,26),'Mortality Tables'!$A$41:$CW$67,IF($B404&lt;=Input!$C$7+1,Input!$C$4+2,$D404-Input!$C$7+2),0)*IF(B404&gt;20,Input!$C$22,1)/1000,1))</f>
        <v>9.5210800000000012E-2</v>
      </c>
      <c r="P404" s="147">
        <f>IF($E404="","",MIN(VLOOKUP(IF($B404&lt;=Input!$C$7,$B404,26),'Mortality Tables'!$A$12:$CW$37,IF($B404&lt;=Input!$C$7+1,Input!$C$4+2,$D404-Input!$C$7+2),0)*IF(B404&gt;20,Input!$C$22,1)/1000,1))</f>
        <v>0.11901350000000001</v>
      </c>
      <c r="Q404" s="155">
        <f>IF($E404="","",Input!$C$21)</f>
        <v>5.0000000000000001E-3</v>
      </c>
      <c r="R404" s="159">
        <f>IF($E404="","",(1-Q404)^($F404-Input!$C$20))</f>
        <v>0.84754285030234555</v>
      </c>
      <c r="S404" s="147">
        <f t="shared" si="249"/>
        <v>8.069523281156657E-2</v>
      </c>
      <c r="T404" s="147">
        <f t="shared" si="250"/>
        <v>6.9869422297846873E-3</v>
      </c>
      <c r="U404" s="160">
        <f>IF($E404="","",IF($C404=12,INDEX(Input!$C$15:$CP$15,1,$B404),0))</f>
        <v>0</v>
      </c>
      <c r="V404" s="150">
        <f>IF(E404="","",IF(C404=1,IF($B404=1,Input!$C$33,Input!$C$34),0))</f>
        <v>0</v>
      </c>
      <c r="W404" s="156">
        <f>IF($E404="","",Input!$C$35)</f>
        <v>0.02</v>
      </c>
      <c r="X404" s="156">
        <f t="shared" si="248"/>
        <v>1.9222314039431532</v>
      </c>
      <c r="Y404" s="154"/>
      <c r="Z404" s="147">
        <f>IF($E404="","",VLOOKUP($D404,'Mortality Margins &amp; Grading'!$AB$5:$AF$125,3,0)*IF(Summary!$D$25="Included Margin",IF(AND($B404&gt;Input!$C$9,Summary!$D$31&lt;&gt;"Included Margin"),0,1),0))</f>
        <v>2.8000000000000001E-2</v>
      </c>
      <c r="AA404" s="147">
        <f>IF($E404="","",VLOOKUP($D404,'Mortality Margins &amp; Grading'!$AB$5:$AF$125,5,0)*IF(Summary!$D$25="Included Margin",IF(AND($B404&gt;Input!$C$9,Summary!$D$31&lt;&gt;"Included Margin"),0,1),0))</f>
        <v>0.14099999999999999</v>
      </c>
      <c r="AB404" s="147">
        <f>IF($E404="","",IF(AND($B404&gt;Input!$C$9,Summary!$D$31&lt;&gt;"Included Margin"),1,IF(Summary!$D$25="Included Margin",VLOOKUP($B404,'Mortality Margins &amp; Grading'!$AI$5:$AR$125,MATCH('Mortality Margins &amp; Grading'!$AQ$4,'Mortality Margins &amp; Grading'!$AI$4:$AR$4,0),0),1)))</f>
        <v>0.6875</v>
      </c>
      <c r="AC404" s="154"/>
      <c r="AD404" s="158">
        <f>IF(E404="","",Input!$C$48*IF(Summary!$D$30="Included Margin",IF(AND($B404&gt;Input!$C$9,Summary!$D$31&lt;&gt;"Included Margin"),0,1),0))</f>
        <v>-4.4999999999999997E-3</v>
      </c>
      <c r="AE404" s="159">
        <f>IF(E404="","",IF(Summary!$D$26="Included Margin",IF(AND($B404&gt;Input!$C$9,Summary!$D$31&lt;&gt;"Included Margin"),1,1/$R404),1))</f>
        <v>1.1798813471711409</v>
      </c>
      <c r="AF404" s="160">
        <f>IF(E404="","",IF(AND($B404&gt;=Input!$C$9,$C404=12,Summary!$D$31="Included Margin",$U404&gt;0),1/U404-1,IF($B404&gt;=Input!$C$9,0,Input!$C$45*IF(Summary!$D$27="Included Margin",1,0))))</f>
        <v>0</v>
      </c>
      <c r="AG404" s="160">
        <f>IF(E404="","",Input!$C$46*IF(Summary!$D$28="Included Margin",IF(AND($B404&gt;Input!$C$9,Summary!$D$31&lt;&gt;"Included Margin"),0,1),0))</f>
        <v>0.02</v>
      </c>
      <c r="AH404" s="158">
        <f>IF(E404="","",Input!$C$47*IF(Summary!$D$29="Included Margin",IF(AND($B404&gt;Input!$C$9,Summary!$D$31&lt;&gt;"Included Margin"),0,1),0))</f>
        <v>2.5000000000000001E-3</v>
      </c>
      <c r="AI404" s="154"/>
      <c r="AJ404" s="158">
        <f t="shared" si="271"/>
        <v>4.0170000000000004E-2</v>
      </c>
      <c r="AK404" s="155">
        <f t="shared" si="272"/>
        <v>3.2874051475051402E-3</v>
      </c>
      <c r="AL404" s="147">
        <f t="shared" si="273"/>
        <v>0.10972598399375003</v>
      </c>
      <c r="AM404" s="147">
        <f t="shared" si="251"/>
        <v>9.6387449997139552E-3</v>
      </c>
      <c r="AN404" s="160">
        <f t="shared" si="274"/>
        <v>0</v>
      </c>
      <c r="AO404" s="161">
        <f t="shared" si="275"/>
        <v>0</v>
      </c>
      <c r="AP404" s="156">
        <f t="shared" si="252"/>
        <v>2.0839603438536369</v>
      </c>
      <c r="AQ404" s="152"/>
      <c r="AR404" s="162">
        <f t="shared" si="253"/>
        <v>8227.4887943642043</v>
      </c>
      <c r="AS404" s="150">
        <f t="shared" si="276"/>
        <v>0</v>
      </c>
      <c r="AT404" s="163">
        <f t="shared" si="254"/>
        <v>0</v>
      </c>
      <c r="AU404" s="163">
        <f t="shared" si="255"/>
        <v>963.87449997139549</v>
      </c>
      <c r="AV404" s="163">
        <f t="shared" si="277"/>
        <v>25.462766017256289</v>
      </c>
      <c r="AW404" s="163">
        <f t="shared" si="256"/>
        <v>70.941365863651399</v>
      </c>
      <c r="AX404" s="163">
        <f t="shared" si="257"/>
        <v>0</v>
      </c>
      <c r="AY404" s="165">
        <f t="shared" si="278"/>
        <v>7360.0184262737166</v>
      </c>
      <c r="AZ404" s="164">
        <f>IF($E404="","",IF(OR(AND($D404=Input!$C$6,$C404=12),$AN404=1),0,-AS405+AT405+AU405-AV405-AW405-AX405+AZ405))</f>
        <v>7360.0210261560705</v>
      </c>
      <c r="BA404" s="154">
        <f t="shared" si="258"/>
        <v>2.5998823539339355E-3</v>
      </c>
      <c r="BC404" s="147">
        <f t="shared" si="279"/>
        <v>1.3261549647871868E-2</v>
      </c>
      <c r="BD404" s="164">
        <f>IF(AND($C403=12,$D403=Input!$C$6),0,IF($E404="","",AT404+(AU404+BD405)/(1+$AK404)*MIN((1-AM404-AN404),1)))</f>
        <v>7171.3408128676238</v>
      </c>
      <c r="BE404" s="164">
        <f t="shared" si="259"/>
        <v>95.10309223165379</v>
      </c>
      <c r="BF404" s="164">
        <f t="shared" si="280"/>
        <v>7360.0210261560705</v>
      </c>
      <c r="BG404" s="164">
        <f t="shared" si="260"/>
        <v>97.60528424774958</v>
      </c>
      <c r="BH404" s="152"/>
      <c r="BI404" s="162">
        <f t="shared" si="261"/>
        <v>2527.7002949438224</v>
      </c>
      <c r="BJ404" s="150">
        <f t="shared" si="262"/>
        <v>0</v>
      </c>
      <c r="BK404" s="163">
        <f t="shared" si="284"/>
        <v>0</v>
      </c>
      <c r="BL404" s="163">
        <f t="shared" si="263"/>
        <v>698.6942229784687</v>
      </c>
      <c r="BM404" s="163">
        <f t="shared" si="285"/>
        <v>7.947488684276462</v>
      </c>
      <c r="BN404" s="163">
        <f t="shared" si="264"/>
        <v>12.925010927062388</v>
      </c>
      <c r="BO404" s="163">
        <f t="shared" si="265"/>
        <v>0</v>
      </c>
      <c r="BP404" s="164">
        <f t="shared" si="286"/>
        <v>1849.8785715766928</v>
      </c>
      <c r="BQ404" s="164">
        <f>IF($E404="","",IF(AND($D404=Input!$C$6,$C404=12),0,-BJ405+BK405+BL405-BM405-BN405-BO405+BQ405))</f>
        <v>1849.8808923829747</v>
      </c>
      <c r="BR404" s="161">
        <f t="shared" si="266"/>
        <v>0</v>
      </c>
      <c r="BT404" s="147">
        <f t="shared" si="267"/>
        <v>1.3261549647871868E-2</v>
      </c>
      <c r="BU404" s="164">
        <f>IF(AND($C403=12,$D403=Input!$C$6),0,IF($E404="","",BK404+(BL404+BU405)/(1+$AK404)*MIN((1-T404-U404),1)))</f>
        <v>47262.036359142097</v>
      </c>
      <c r="BV404" s="164">
        <f t="shared" si="268"/>
        <v>626.76784163628827</v>
      </c>
      <c r="BW404" s="164">
        <f t="shared" si="269"/>
        <v>1849.8808923829747</v>
      </c>
      <c r="BX404" s="164">
        <f t="shared" si="270"/>
        <v>24.532287296986336</v>
      </c>
    </row>
    <row r="405" spans="1:76" s="150" customFormat="1" x14ac:dyDescent="0.25">
      <c r="A405" s="150">
        <f t="shared" si="281"/>
        <v>401</v>
      </c>
      <c r="B405" s="150">
        <f t="shared" si="282"/>
        <v>34</v>
      </c>
      <c r="C405" s="150">
        <f t="shared" si="283"/>
        <v>5</v>
      </c>
      <c r="D405" s="150">
        <f>IF(E405="","",Input!$C$4+B405-1)</f>
        <v>78</v>
      </c>
      <c r="E405" s="150">
        <f>IF(OR(AND(C404=12,D404=Input!$C$6),E404=""),"",1)</f>
        <v>1</v>
      </c>
      <c r="F405" s="150">
        <f>IF(E405="","",Input!$C$8+B405-1)</f>
        <v>2051</v>
      </c>
      <c r="G405" s="151">
        <f>IF(E405="","",MAX(0,Input!$C$9-B405))</f>
        <v>0</v>
      </c>
      <c r="H405" s="152">
        <f>IF(E405="","",Input!$C$3)</f>
        <v>100000</v>
      </c>
      <c r="I405" s="153">
        <f>IF(E405="","",HLOOKUP($B405,Input!$C$13:$BT$14,2))</f>
        <v>84.427000000000007</v>
      </c>
      <c r="J405" s="154"/>
      <c r="K405" s="155">
        <f>IF($E405="","",INDEX(Input!$C$16:$CP$16,1,$B405))</f>
        <v>2.9669999999999998E-2</v>
      </c>
      <c r="L405" s="155">
        <f>IF($E405="","",Input!$C$37)</f>
        <v>1.4999999999999999E-2</v>
      </c>
      <c r="M405" s="155">
        <f t="shared" si="246"/>
        <v>4.4670000000000001E-2</v>
      </c>
      <c r="N405" s="155">
        <f t="shared" si="247"/>
        <v>3.6483930818200783E-3</v>
      </c>
      <c r="O405" s="147">
        <f>IF($E405="","",MIN(VLOOKUP(IF($B405&lt;=Input!$C$7,$B405,26),'Mortality Tables'!$A$41:$CW$67,IF($B405&lt;=Input!$C$7+1,Input!$C$4+2,$D405-Input!$C$7+2),0)*IF(B405&gt;20,Input!$C$22,1)/1000,1))</f>
        <v>9.5210800000000012E-2</v>
      </c>
      <c r="P405" s="147">
        <f>IF($E405="","",MIN(VLOOKUP(IF($B405&lt;=Input!$C$7,$B405,26),'Mortality Tables'!$A$12:$CW$37,IF($B405&lt;=Input!$C$7+1,Input!$C$4+2,$D405-Input!$C$7+2),0)*IF(B405&gt;20,Input!$C$22,1)/1000,1))</f>
        <v>0.11901350000000001</v>
      </c>
      <c r="Q405" s="155">
        <f>IF($E405="","",Input!$C$21)</f>
        <v>5.0000000000000001E-3</v>
      </c>
      <c r="R405" s="159">
        <f>IF($E405="","",(1-Q405)^($F405-Input!$C$20))</f>
        <v>0.84754285030234555</v>
      </c>
      <c r="S405" s="147">
        <f t="shared" si="249"/>
        <v>8.069523281156657E-2</v>
      </c>
      <c r="T405" s="147">
        <f t="shared" si="250"/>
        <v>6.9869422297846873E-3</v>
      </c>
      <c r="U405" s="160">
        <f>IF($E405="","",IF($C405=12,INDEX(Input!$C$15:$CP$15,1,$B405),0))</f>
        <v>0</v>
      </c>
      <c r="V405" s="150">
        <f>IF(E405="","",IF(C405=1,IF($B405=1,Input!$C$33,Input!$C$34),0))</f>
        <v>0</v>
      </c>
      <c r="W405" s="156">
        <f>IF($E405="","",Input!$C$35)</f>
        <v>0.02</v>
      </c>
      <c r="X405" s="156">
        <f t="shared" si="248"/>
        <v>1.9222314039431532</v>
      </c>
      <c r="Y405" s="154"/>
      <c r="Z405" s="147">
        <f>IF($E405="","",VLOOKUP($D405,'Mortality Margins &amp; Grading'!$AB$5:$AF$125,3,0)*IF(Summary!$D$25="Included Margin",IF(AND($B405&gt;Input!$C$9,Summary!$D$31&lt;&gt;"Included Margin"),0,1),0))</f>
        <v>2.8000000000000001E-2</v>
      </c>
      <c r="AA405" s="147">
        <f>IF($E405="","",VLOOKUP($D405,'Mortality Margins &amp; Grading'!$AB$5:$AF$125,5,0)*IF(Summary!$D$25="Included Margin",IF(AND($B405&gt;Input!$C$9,Summary!$D$31&lt;&gt;"Included Margin"),0,1),0))</f>
        <v>0.14099999999999999</v>
      </c>
      <c r="AB405" s="147">
        <f>IF($E405="","",IF(AND($B405&gt;Input!$C$9,Summary!$D$31&lt;&gt;"Included Margin"),1,IF(Summary!$D$25="Included Margin",VLOOKUP($B405,'Mortality Margins &amp; Grading'!$AI$5:$AR$125,MATCH('Mortality Margins &amp; Grading'!$AQ$4,'Mortality Margins &amp; Grading'!$AI$4:$AR$4,0),0),1)))</f>
        <v>0.6875</v>
      </c>
      <c r="AC405" s="154"/>
      <c r="AD405" s="158">
        <f>IF(E405="","",Input!$C$48*IF(Summary!$D$30="Included Margin",IF(AND($B405&gt;Input!$C$9,Summary!$D$31&lt;&gt;"Included Margin"),0,1),0))</f>
        <v>-4.4999999999999997E-3</v>
      </c>
      <c r="AE405" s="159">
        <f>IF(E405="","",IF(Summary!$D$26="Included Margin",IF(AND($B405&gt;Input!$C$9,Summary!$D$31&lt;&gt;"Included Margin"),1,1/$R405),1))</f>
        <v>1.1798813471711409</v>
      </c>
      <c r="AF405" s="160">
        <f>IF(E405="","",IF(AND($B405&gt;=Input!$C$9,$C405=12,Summary!$D$31="Included Margin",$U405&gt;0),1/U405-1,IF($B405&gt;=Input!$C$9,0,Input!$C$45*IF(Summary!$D$27="Included Margin",1,0))))</f>
        <v>0</v>
      </c>
      <c r="AG405" s="160">
        <f>IF(E405="","",Input!$C$46*IF(Summary!$D$28="Included Margin",IF(AND($B405&gt;Input!$C$9,Summary!$D$31&lt;&gt;"Included Margin"),0,1),0))</f>
        <v>0.02</v>
      </c>
      <c r="AH405" s="158">
        <f>IF(E405="","",Input!$C$47*IF(Summary!$D$29="Included Margin",IF(AND($B405&gt;Input!$C$9,Summary!$D$31&lt;&gt;"Included Margin"),0,1),0))</f>
        <v>2.5000000000000001E-3</v>
      </c>
      <c r="AI405" s="154"/>
      <c r="AJ405" s="158">
        <f t="shared" si="271"/>
        <v>4.0170000000000004E-2</v>
      </c>
      <c r="AK405" s="155">
        <f t="shared" si="272"/>
        <v>3.2874051475051402E-3</v>
      </c>
      <c r="AL405" s="147">
        <f t="shared" si="273"/>
        <v>0.10972598399375003</v>
      </c>
      <c r="AM405" s="147">
        <f t="shared" si="251"/>
        <v>9.6387449997139552E-3</v>
      </c>
      <c r="AN405" s="160">
        <f t="shared" si="274"/>
        <v>0</v>
      </c>
      <c r="AO405" s="161">
        <f t="shared" si="275"/>
        <v>0</v>
      </c>
      <c r="AP405" s="156">
        <f t="shared" si="252"/>
        <v>2.0839603438536369</v>
      </c>
      <c r="AQ405" s="152"/>
      <c r="AR405" s="162">
        <f t="shared" si="253"/>
        <v>7360.0184262737175</v>
      </c>
      <c r="AS405" s="150">
        <f t="shared" si="276"/>
        <v>0</v>
      </c>
      <c r="AT405" s="163">
        <f t="shared" si="254"/>
        <v>0</v>
      </c>
      <c r="AU405" s="163">
        <f t="shared" si="255"/>
        <v>963.87449997139549</v>
      </c>
      <c r="AV405" s="163">
        <f t="shared" si="277"/>
        <v>22.611039463887444</v>
      </c>
      <c r="AW405" s="163">
        <f t="shared" si="256"/>
        <v>62.470908547662567</v>
      </c>
      <c r="AX405" s="163">
        <f t="shared" si="257"/>
        <v>0</v>
      </c>
      <c r="AY405" s="164">
        <f t="shared" si="278"/>
        <v>6481.2258743138718</v>
      </c>
      <c r="AZ405" s="164">
        <f>IF($E405="","",IF(OR(AND($D405=Input!$C$6,$C405=12),$AN405=1),0,-AS406+AT406+AU406-AV406-AW406-AX406+AZ406))</f>
        <v>6481.2284741962249</v>
      </c>
      <c r="BA405" s="154">
        <f t="shared" si="258"/>
        <v>2.5998823530244408E-3</v>
      </c>
      <c r="BC405" s="147">
        <f t="shared" si="279"/>
        <v>1.3168891966604765E-2</v>
      </c>
      <c r="BD405" s="164">
        <f>IF(AND($C404=12,$D404=Input!$C$6),0,IF($E405="","",AT405+(AU405+BD406)/(1+$AK405)*MIN((1-AM405-AN405),1)))</f>
        <v>6301.0663276746536</v>
      </c>
      <c r="BE405" s="164">
        <f t="shared" si="259"/>
        <v>82.978061743558541</v>
      </c>
      <c r="BF405" s="164">
        <f t="shared" si="280"/>
        <v>6481.2284741962249</v>
      </c>
      <c r="BG405" s="164">
        <f t="shared" si="260"/>
        <v>85.350597587572722</v>
      </c>
      <c r="BH405" s="152"/>
      <c r="BI405" s="162">
        <f t="shared" si="261"/>
        <v>1849.8785715766926</v>
      </c>
      <c r="BJ405" s="150">
        <f t="shared" si="262"/>
        <v>0</v>
      </c>
      <c r="BK405" s="163">
        <f t="shared" si="284"/>
        <v>0</v>
      </c>
      <c r="BL405" s="163">
        <f t="shared" si="263"/>
        <v>698.6942229784687</v>
      </c>
      <c r="BM405" s="163">
        <f t="shared" si="285"/>
        <v>5.4745285980364642</v>
      </c>
      <c r="BN405" s="163">
        <f t="shared" si="264"/>
        <v>8.1383874125725626</v>
      </c>
      <c r="BO405" s="163">
        <f t="shared" si="265"/>
        <v>0</v>
      </c>
      <c r="BP405" s="164">
        <f t="shared" si="286"/>
        <v>1164.7972646088328</v>
      </c>
      <c r="BQ405" s="164">
        <f>IF($E405="","",IF(AND($D405=Input!$C$6,$C405=12),0,-BJ406+BK406+BL406-BM406-BN406-BO406+BQ406))</f>
        <v>1164.799585415115</v>
      </c>
      <c r="BR405" s="161">
        <f t="shared" si="266"/>
        <v>0</v>
      </c>
      <c r="BT405" s="147">
        <f t="shared" si="267"/>
        <v>1.3168891966604765E-2</v>
      </c>
      <c r="BU405" s="164">
        <f>IF(AND($C404=12,$D404=Input!$C$6),0,IF($E405="","",BK405+(BL405+BU406)/(1+$AK405)*MIN((1-T405-U405),1)))</f>
        <v>47052.345352699675</v>
      </c>
      <c r="BV405" s="164">
        <f t="shared" si="268"/>
        <v>619.62725272507976</v>
      </c>
      <c r="BW405" s="164">
        <f t="shared" si="269"/>
        <v>1164.799585415115</v>
      </c>
      <c r="BX405" s="164">
        <f t="shared" si="270"/>
        <v>15.339119903077668</v>
      </c>
    </row>
    <row r="406" spans="1:76" s="150" customFormat="1" x14ac:dyDescent="0.25">
      <c r="A406" s="150">
        <f t="shared" si="281"/>
        <v>402</v>
      </c>
      <c r="B406" s="150">
        <f t="shared" si="282"/>
        <v>34</v>
      </c>
      <c r="C406" s="150">
        <f t="shared" si="283"/>
        <v>6</v>
      </c>
      <c r="D406" s="150">
        <f>IF(E406="","",Input!$C$4+B406-1)</f>
        <v>78</v>
      </c>
      <c r="E406" s="150">
        <f>IF(OR(AND(C405=12,D405=Input!$C$6),E405=""),"",1)</f>
        <v>1</v>
      </c>
      <c r="F406" s="150">
        <f>IF(E406="","",Input!$C$8+B406-1)</f>
        <v>2051</v>
      </c>
      <c r="G406" s="151">
        <f>IF(E406="","",MAX(0,Input!$C$9-B406))</f>
        <v>0</v>
      </c>
      <c r="H406" s="152">
        <f>IF(E406="","",Input!$C$3)</f>
        <v>100000</v>
      </c>
      <c r="I406" s="153">
        <f>IF(E406="","",HLOOKUP($B406,Input!$C$13:$BT$14,2))</f>
        <v>84.427000000000007</v>
      </c>
      <c r="J406" s="154"/>
      <c r="K406" s="155">
        <f>IF($E406="","",INDEX(Input!$C$16:$CP$16,1,$B406))</f>
        <v>2.9669999999999998E-2</v>
      </c>
      <c r="L406" s="155">
        <f>IF($E406="","",Input!$C$37)</f>
        <v>1.4999999999999999E-2</v>
      </c>
      <c r="M406" s="155">
        <f t="shared" si="246"/>
        <v>4.4670000000000001E-2</v>
      </c>
      <c r="N406" s="155">
        <f t="shared" si="247"/>
        <v>3.6483930818200783E-3</v>
      </c>
      <c r="O406" s="147">
        <f>IF($E406="","",MIN(VLOOKUP(IF($B406&lt;=Input!$C$7,$B406,26),'Mortality Tables'!$A$41:$CW$67,IF($B406&lt;=Input!$C$7+1,Input!$C$4+2,$D406-Input!$C$7+2),0)*IF(B406&gt;20,Input!$C$22,1)/1000,1))</f>
        <v>9.5210800000000012E-2</v>
      </c>
      <c r="P406" s="147">
        <f>IF($E406="","",MIN(VLOOKUP(IF($B406&lt;=Input!$C$7,$B406,26),'Mortality Tables'!$A$12:$CW$37,IF($B406&lt;=Input!$C$7+1,Input!$C$4+2,$D406-Input!$C$7+2),0)*IF(B406&gt;20,Input!$C$22,1)/1000,1))</f>
        <v>0.11901350000000001</v>
      </c>
      <c r="Q406" s="155">
        <f>IF($E406="","",Input!$C$21)</f>
        <v>5.0000000000000001E-3</v>
      </c>
      <c r="R406" s="159">
        <f>IF($E406="","",(1-Q406)^($F406-Input!$C$20))</f>
        <v>0.84754285030234555</v>
      </c>
      <c r="S406" s="147">
        <f t="shared" si="249"/>
        <v>8.069523281156657E-2</v>
      </c>
      <c r="T406" s="147">
        <f t="shared" si="250"/>
        <v>6.9869422297846873E-3</v>
      </c>
      <c r="U406" s="160">
        <f>IF($E406="","",IF($C406=12,INDEX(Input!$C$15:$CP$15,1,$B406),0))</f>
        <v>0</v>
      </c>
      <c r="V406" s="150">
        <f>IF(E406="","",IF(C406=1,IF($B406=1,Input!$C$33,Input!$C$34),0))</f>
        <v>0</v>
      </c>
      <c r="W406" s="156">
        <f>IF($E406="","",Input!$C$35)</f>
        <v>0.02</v>
      </c>
      <c r="X406" s="156">
        <f t="shared" si="248"/>
        <v>1.9222314039431532</v>
      </c>
      <c r="Y406" s="154"/>
      <c r="Z406" s="147">
        <f>IF($E406="","",VLOOKUP($D406,'Mortality Margins &amp; Grading'!$AB$5:$AF$125,3,0)*IF(Summary!$D$25="Included Margin",IF(AND($B406&gt;Input!$C$9,Summary!$D$31&lt;&gt;"Included Margin"),0,1),0))</f>
        <v>2.8000000000000001E-2</v>
      </c>
      <c r="AA406" s="147">
        <f>IF($E406="","",VLOOKUP($D406,'Mortality Margins &amp; Grading'!$AB$5:$AF$125,5,0)*IF(Summary!$D$25="Included Margin",IF(AND($B406&gt;Input!$C$9,Summary!$D$31&lt;&gt;"Included Margin"),0,1),0))</f>
        <v>0.14099999999999999</v>
      </c>
      <c r="AB406" s="147">
        <f>IF($E406="","",IF(AND($B406&gt;Input!$C$9,Summary!$D$31&lt;&gt;"Included Margin"),1,IF(Summary!$D$25="Included Margin",VLOOKUP($B406,'Mortality Margins &amp; Grading'!$AI$5:$AR$125,MATCH('Mortality Margins &amp; Grading'!$AQ$4,'Mortality Margins &amp; Grading'!$AI$4:$AR$4,0),0),1)))</f>
        <v>0.6875</v>
      </c>
      <c r="AC406" s="154"/>
      <c r="AD406" s="158">
        <f>IF(E406="","",Input!$C$48*IF(Summary!$D$30="Included Margin",IF(AND($B406&gt;Input!$C$9,Summary!$D$31&lt;&gt;"Included Margin"),0,1),0))</f>
        <v>-4.4999999999999997E-3</v>
      </c>
      <c r="AE406" s="159">
        <f>IF(E406="","",IF(Summary!$D$26="Included Margin",IF(AND($B406&gt;Input!$C$9,Summary!$D$31&lt;&gt;"Included Margin"),1,1/$R406),1))</f>
        <v>1.1798813471711409</v>
      </c>
      <c r="AF406" s="160">
        <f>IF(E406="","",IF(AND($B406&gt;=Input!$C$9,$C406=12,Summary!$D$31="Included Margin",$U406&gt;0),1/U406-1,IF($B406&gt;=Input!$C$9,0,Input!$C$45*IF(Summary!$D$27="Included Margin",1,0))))</f>
        <v>0</v>
      </c>
      <c r="AG406" s="160">
        <f>IF(E406="","",Input!$C$46*IF(Summary!$D$28="Included Margin",IF(AND($B406&gt;Input!$C$9,Summary!$D$31&lt;&gt;"Included Margin"),0,1),0))</f>
        <v>0.02</v>
      </c>
      <c r="AH406" s="158">
        <f>IF(E406="","",Input!$C$47*IF(Summary!$D$29="Included Margin",IF(AND($B406&gt;Input!$C$9,Summary!$D$31&lt;&gt;"Included Margin"),0,1),0))</f>
        <v>2.5000000000000001E-3</v>
      </c>
      <c r="AI406" s="154"/>
      <c r="AJ406" s="158">
        <f t="shared" si="271"/>
        <v>4.0170000000000004E-2</v>
      </c>
      <c r="AK406" s="155">
        <f t="shared" si="272"/>
        <v>3.2874051475051402E-3</v>
      </c>
      <c r="AL406" s="147">
        <f t="shared" si="273"/>
        <v>0.10972598399375003</v>
      </c>
      <c r="AM406" s="147">
        <f t="shared" si="251"/>
        <v>9.6387449997139552E-3</v>
      </c>
      <c r="AN406" s="160">
        <f t="shared" si="274"/>
        <v>0</v>
      </c>
      <c r="AO406" s="161">
        <f t="shared" si="275"/>
        <v>0</v>
      </c>
      <c r="AP406" s="156">
        <f t="shared" si="252"/>
        <v>2.0839603438536369</v>
      </c>
      <c r="AQ406" s="152"/>
      <c r="AR406" s="162">
        <f t="shared" si="253"/>
        <v>6481.2258743138718</v>
      </c>
      <c r="AS406" s="150">
        <f t="shared" si="276"/>
        <v>0</v>
      </c>
      <c r="AT406" s="163">
        <f t="shared" si="254"/>
        <v>0</v>
      </c>
      <c r="AU406" s="163">
        <f t="shared" si="255"/>
        <v>963.87449997139549</v>
      </c>
      <c r="AV406" s="163">
        <f t="shared" si="277"/>
        <v>19.72209230498547</v>
      </c>
      <c r="AW406" s="163">
        <f t="shared" si="256"/>
        <v>53.889895207264196</v>
      </c>
      <c r="AX406" s="163">
        <f t="shared" si="257"/>
        <v>0</v>
      </c>
      <c r="AY406" s="165">
        <f t="shared" si="278"/>
        <v>5590.9633618547259</v>
      </c>
      <c r="AZ406" s="164">
        <f>IF($E406="","",IF(OR(AND($D406=Input!$C$6,$C406=12),$AN406=1),0,-AS407+AT407+AU407-AV407-AW407-AX407+AZ407))</f>
        <v>5590.9659617370789</v>
      </c>
      <c r="BA406" s="154">
        <f t="shared" si="258"/>
        <v>2.5998823530244408E-3</v>
      </c>
      <c r="BC406" s="147">
        <f t="shared" si="279"/>
        <v>1.3076881679203822E-2</v>
      </c>
      <c r="BD406" s="164">
        <f>IF(AND($C405=12,$D405=Input!$C$6),0,IF($E406="","",AT406+(AU406+BD407)/(1+$AK406)*MIN((1-AM406-AN406),1)))</f>
        <v>5419.4330594031844</v>
      </c>
      <c r="BE406" s="164">
        <f t="shared" si="259"/>
        <v>70.869284886181021</v>
      </c>
      <c r="BF406" s="164">
        <f t="shared" si="280"/>
        <v>5590.9659617370789</v>
      </c>
      <c r="BG406" s="164">
        <f t="shared" si="260"/>
        <v>73.11240035409179</v>
      </c>
      <c r="BH406" s="152"/>
      <c r="BI406" s="162">
        <f t="shared" si="261"/>
        <v>1164.7972646088331</v>
      </c>
      <c r="BJ406" s="150">
        <f t="shared" si="262"/>
        <v>0</v>
      </c>
      <c r="BK406" s="163">
        <f t="shared" si="284"/>
        <v>0</v>
      </c>
      <c r="BL406" s="163">
        <f t="shared" si="263"/>
        <v>698.6942229784687</v>
      </c>
      <c r="BM406" s="163">
        <f t="shared" si="285"/>
        <v>2.9750826972106679</v>
      </c>
      <c r="BN406" s="163">
        <f t="shared" si="264"/>
        <v>3.3004983626613593</v>
      </c>
      <c r="BO406" s="163">
        <f t="shared" si="265"/>
        <v>0</v>
      </c>
      <c r="BP406" s="164">
        <f t="shared" si="286"/>
        <v>472.3786226902364</v>
      </c>
      <c r="BQ406" s="164">
        <f>IF($E406="","",IF(AND($D406=Input!$C$6,$C406=12),0,-BJ407+BK407+BL407-BM407-BN407-BO407+BQ407))</f>
        <v>472.38094349651851</v>
      </c>
      <c r="BR406" s="161">
        <f t="shared" si="266"/>
        <v>0</v>
      </c>
      <c r="BT406" s="147">
        <f t="shared" si="267"/>
        <v>1.3076881679203822E-2</v>
      </c>
      <c r="BU406" s="164">
        <f>IF(AND($C405=12,$D405=Input!$C$6),0,IF($E406="","",BK406+(BL406+BU407)/(1+$AK406)*MIN((1-T406-U406),1)))</f>
        <v>46840.484749165626</v>
      </c>
      <c r="BV406" s="164">
        <f t="shared" si="268"/>
        <v>612.52747686139003</v>
      </c>
      <c r="BW406" s="164">
        <f t="shared" si="269"/>
        <v>472.38094349651851</v>
      </c>
      <c r="BX406" s="164">
        <f t="shared" si="270"/>
        <v>6.1772697056146386</v>
      </c>
    </row>
    <row r="407" spans="1:76" s="150" customFormat="1" x14ac:dyDescent="0.25">
      <c r="A407" s="150">
        <f t="shared" si="281"/>
        <v>403</v>
      </c>
      <c r="B407" s="150">
        <f t="shared" si="282"/>
        <v>34</v>
      </c>
      <c r="C407" s="150">
        <f t="shared" si="283"/>
        <v>7</v>
      </c>
      <c r="D407" s="150">
        <f>IF(E407="","",Input!$C$4+B407-1)</f>
        <v>78</v>
      </c>
      <c r="E407" s="150">
        <f>IF(OR(AND(C406=12,D406=Input!$C$6),E406=""),"",1)</f>
        <v>1</v>
      </c>
      <c r="F407" s="150">
        <f>IF(E407="","",Input!$C$8+B407-1)</f>
        <v>2051</v>
      </c>
      <c r="G407" s="151">
        <f>IF(E407="","",MAX(0,Input!$C$9-B407))</f>
        <v>0</v>
      </c>
      <c r="H407" s="152">
        <f>IF(E407="","",Input!$C$3)</f>
        <v>100000</v>
      </c>
      <c r="I407" s="153">
        <f>IF(E407="","",HLOOKUP($B407,Input!$C$13:$BT$14,2))</f>
        <v>84.427000000000007</v>
      </c>
      <c r="J407" s="154"/>
      <c r="K407" s="155">
        <f>IF($E407="","",INDEX(Input!$C$16:$CP$16,1,$B407))</f>
        <v>2.9669999999999998E-2</v>
      </c>
      <c r="L407" s="155">
        <f>IF($E407="","",Input!$C$37)</f>
        <v>1.4999999999999999E-2</v>
      </c>
      <c r="M407" s="155">
        <f t="shared" si="246"/>
        <v>4.4670000000000001E-2</v>
      </c>
      <c r="N407" s="155">
        <f t="shared" si="247"/>
        <v>3.6483930818200783E-3</v>
      </c>
      <c r="O407" s="147">
        <f>IF($E407="","",MIN(VLOOKUP(IF($B407&lt;=Input!$C$7,$B407,26),'Mortality Tables'!$A$41:$CW$67,IF($B407&lt;=Input!$C$7+1,Input!$C$4+2,$D407-Input!$C$7+2),0)*IF(B407&gt;20,Input!$C$22,1)/1000,1))</f>
        <v>9.5210800000000012E-2</v>
      </c>
      <c r="P407" s="147">
        <f>IF($E407="","",MIN(VLOOKUP(IF($B407&lt;=Input!$C$7,$B407,26),'Mortality Tables'!$A$12:$CW$37,IF($B407&lt;=Input!$C$7+1,Input!$C$4+2,$D407-Input!$C$7+2),0)*IF(B407&gt;20,Input!$C$22,1)/1000,1))</f>
        <v>0.11901350000000001</v>
      </c>
      <c r="Q407" s="155">
        <f>IF($E407="","",Input!$C$21)</f>
        <v>5.0000000000000001E-3</v>
      </c>
      <c r="R407" s="159">
        <f>IF($E407="","",(1-Q407)^($F407-Input!$C$20))</f>
        <v>0.84754285030234555</v>
      </c>
      <c r="S407" s="147">
        <f t="shared" si="249"/>
        <v>8.069523281156657E-2</v>
      </c>
      <c r="T407" s="147">
        <f t="shared" si="250"/>
        <v>6.9869422297846873E-3</v>
      </c>
      <c r="U407" s="160">
        <f>IF($E407="","",IF($C407=12,INDEX(Input!$C$15:$CP$15,1,$B407),0))</f>
        <v>0</v>
      </c>
      <c r="V407" s="150">
        <f>IF(E407="","",IF(C407=1,IF($B407=1,Input!$C$33,Input!$C$34),0))</f>
        <v>0</v>
      </c>
      <c r="W407" s="156">
        <f>IF($E407="","",Input!$C$35)</f>
        <v>0.02</v>
      </c>
      <c r="X407" s="156">
        <f t="shared" si="248"/>
        <v>1.9222314039431532</v>
      </c>
      <c r="Y407" s="154"/>
      <c r="Z407" s="147">
        <f>IF($E407="","",VLOOKUP($D407,'Mortality Margins &amp; Grading'!$AB$5:$AF$125,3,0)*IF(Summary!$D$25="Included Margin",IF(AND($B407&gt;Input!$C$9,Summary!$D$31&lt;&gt;"Included Margin"),0,1),0))</f>
        <v>2.8000000000000001E-2</v>
      </c>
      <c r="AA407" s="147">
        <f>IF($E407="","",VLOOKUP($D407,'Mortality Margins &amp; Grading'!$AB$5:$AF$125,5,0)*IF(Summary!$D$25="Included Margin",IF(AND($B407&gt;Input!$C$9,Summary!$D$31&lt;&gt;"Included Margin"),0,1),0))</f>
        <v>0.14099999999999999</v>
      </c>
      <c r="AB407" s="147">
        <f>IF($E407="","",IF(AND($B407&gt;Input!$C$9,Summary!$D$31&lt;&gt;"Included Margin"),1,IF(Summary!$D$25="Included Margin",VLOOKUP($B407,'Mortality Margins &amp; Grading'!$AI$5:$AR$125,MATCH('Mortality Margins &amp; Grading'!$AQ$4,'Mortality Margins &amp; Grading'!$AI$4:$AR$4,0),0),1)))</f>
        <v>0.6875</v>
      </c>
      <c r="AC407" s="154"/>
      <c r="AD407" s="158">
        <f>IF(E407="","",Input!$C$48*IF(Summary!$D$30="Included Margin",IF(AND($B407&gt;Input!$C$9,Summary!$D$31&lt;&gt;"Included Margin"),0,1),0))</f>
        <v>-4.4999999999999997E-3</v>
      </c>
      <c r="AE407" s="159">
        <f>IF(E407="","",IF(Summary!$D$26="Included Margin",IF(AND($B407&gt;Input!$C$9,Summary!$D$31&lt;&gt;"Included Margin"),1,1/$R407),1))</f>
        <v>1.1798813471711409</v>
      </c>
      <c r="AF407" s="160">
        <f>IF(E407="","",IF(AND($B407&gt;=Input!$C$9,$C407=12,Summary!$D$31="Included Margin",$U407&gt;0),1/U407-1,IF($B407&gt;=Input!$C$9,0,Input!$C$45*IF(Summary!$D$27="Included Margin",1,0))))</f>
        <v>0</v>
      </c>
      <c r="AG407" s="160">
        <f>IF(E407="","",Input!$C$46*IF(Summary!$D$28="Included Margin",IF(AND($B407&gt;Input!$C$9,Summary!$D$31&lt;&gt;"Included Margin"),0,1),0))</f>
        <v>0.02</v>
      </c>
      <c r="AH407" s="158">
        <f>IF(E407="","",Input!$C$47*IF(Summary!$D$29="Included Margin",IF(AND($B407&gt;Input!$C$9,Summary!$D$31&lt;&gt;"Included Margin"),0,1),0))</f>
        <v>2.5000000000000001E-3</v>
      </c>
      <c r="AI407" s="154"/>
      <c r="AJ407" s="158">
        <f t="shared" si="271"/>
        <v>4.0170000000000004E-2</v>
      </c>
      <c r="AK407" s="155">
        <f t="shared" si="272"/>
        <v>3.2874051475051402E-3</v>
      </c>
      <c r="AL407" s="147">
        <f t="shared" si="273"/>
        <v>0.10972598399375003</v>
      </c>
      <c r="AM407" s="147">
        <f t="shared" si="251"/>
        <v>9.6387449997139552E-3</v>
      </c>
      <c r="AN407" s="160">
        <f t="shared" si="274"/>
        <v>0</v>
      </c>
      <c r="AO407" s="161">
        <f t="shared" si="275"/>
        <v>0</v>
      </c>
      <c r="AP407" s="156">
        <f t="shared" si="252"/>
        <v>2.0839603438536369</v>
      </c>
      <c r="AQ407" s="152"/>
      <c r="AR407" s="162">
        <f t="shared" si="253"/>
        <v>5590.9633618547259</v>
      </c>
      <c r="AS407" s="150">
        <f t="shared" si="276"/>
        <v>0</v>
      </c>
      <c r="AT407" s="163">
        <f t="shared" si="254"/>
        <v>0</v>
      </c>
      <c r="AU407" s="163">
        <f t="shared" si="255"/>
        <v>963.87449997139549</v>
      </c>
      <c r="AV407" s="163">
        <f t="shared" si="277"/>
        <v>16.795438738896415</v>
      </c>
      <c r="AW407" s="163">
        <f t="shared" si="256"/>
        <v>45.196882870243876</v>
      </c>
      <c r="AX407" s="163">
        <f t="shared" si="257"/>
        <v>0</v>
      </c>
      <c r="AY407" s="164">
        <f t="shared" si="278"/>
        <v>4689.0811834924707</v>
      </c>
      <c r="AZ407" s="164">
        <f>IF($E407="","",IF(OR(AND($D407=Input!$C$6,$C407=12),$AN407=1),0,-AS408+AT408+AU408-AV408-AW408-AX408+AZ408))</f>
        <v>4689.0837833748237</v>
      </c>
      <c r="BA407" s="154">
        <f t="shared" si="258"/>
        <v>2.5998823530244408E-3</v>
      </c>
      <c r="BC407" s="147">
        <f t="shared" si="279"/>
        <v>1.2985514262365496E-2</v>
      </c>
      <c r="BD407" s="164">
        <f>IF(AND($C406=12,$D406=Input!$C$6),0,IF($E407="","",AT407+(AU407+BD408)/(1+$AK407)*MIN((1-AM407-AN407),1)))</f>
        <v>4526.2927537320584</v>
      </c>
      <c r="BE407" s="164">
        <f t="shared" si="259"/>
        <v>58.776239109229238</v>
      </c>
      <c r="BF407" s="164">
        <f t="shared" si="280"/>
        <v>4689.0837833748237</v>
      </c>
      <c r="BG407" s="164">
        <f t="shared" si="260"/>
        <v>60.890164346440535</v>
      </c>
      <c r="BH407" s="152"/>
      <c r="BI407" s="162">
        <f t="shared" si="261"/>
        <v>472.37862269023651</v>
      </c>
      <c r="BJ407" s="150">
        <f t="shared" si="262"/>
        <v>0</v>
      </c>
      <c r="BK407" s="163">
        <f t="shared" si="284"/>
        <v>0</v>
      </c>
      <c r="BL407" s="163">
        <f t="shared" si="263"/>
        <v>698.6942229784687</v>
      </c>
      <c r="BM407" s="163">
        <f t="shared" si="285"/>
        <v>0.44886731431160576</v>
      </c>
      <c r="BN407" s="163">
        <f t="shared" si="264"/>
        <v>-1.5892052850978149</v>
      </c>
      <c r="BO407" s="163">
        <f t="shared" si="265"/>
        <v>0</v>
      </c>
      <c r="BP407" s="164">
        <f t="shared" si="286"/>
        <v>-227.45593825901841</v>
      </c>
      <c r="BQ407" s="164">
        <f>IF($E407="","",IF(AND($D407=Input!$C$6,$C407=12),0,-BJ408+BK408+BL408-BM408-BN408-BO408+BQ408))</f>
        <v>-227.45361745273635</v>
      </c>
      <c r="BR407" s="161">
        <f t="shared" si="266"/>
        <v>0</v>
      </c>
      <c r="BT407" s="147">
        <f t="shared" si="267"/>
        <v>1.2985514262365496E-2</v>
      </c>
      <c r="BU407" s="164">
        <f>IF(AND($C406=12,$D406=Input!$C$6),0,IF($E407="","",BK407+(BL407+BU408)/(1+$AK407)*MIN((1-T407-U407),1)))</f>
        <v>46626.432100502621</v>
      </c>
      <c r="BV407" s="164">
        <f t="shared" si="268"/>
        <v>605.46819904429321</v>
      </c>
      <c r="BW407" s="164">
        <f t="shared" si="269"/>
        <v>-227.45361745273635</v>
      </c>
      <c r="BX407" s="164">
        <f t="shared" si="270"/>
        <v>-2.9536021934591332</v>
      </c>
    </row>
    <row r="408" spans="1:76" s="150" customFormat="1" x14ac:dyDescent="0.25">
      <c r="A408" s="150">
        <f t="shared" si="281"/>
        <v>404</v>
      </c>
      <c r="B408" s="150">
        <f t="shared" si="282"/>
        <v>34</v>
      </c>
      <c r="C408" s="150">
        <f t="shared" si="283"/>
        <v>8</v>
      </c>
      <c r="D408" s="150">
        <f>IF(E408="","",Input!$C$4+B408-1)</f>
        <v>78</v>
      </c>
      <c r="E408" s="150">
        <f>IF(OR(AND(C407=12,D407=Input!$C$6),E407=""),"",1)</f>
        <v>1</v>
      </c>
      <c r="F408" s="150">
        <f>IF(E408="","",Input!$C$8+B408-1)</f>
        <v>2051</v>
      </c>
      <c r="G408" s="151">
        <f>IF(E408="","",MAX(0,Input!$C$9-B408))</f>
        <v>0</v>
      </c>
      <c r="H408" s="152">
        <f>IF(E408="","",Input!$C$3)</f>
        <v>100000</v>
      </c>
      <c r="I408" s="153">
        <f>IF(E408="","",HLOOKUP($B408,Input!$C$13:$BT$14,2))</f>
        <v>84.427000000000007</v>
      </c>
      <c r="J408" s="154"/>
      <c r="K408" s="155">
        <f>IF($E408="","",INDEX(Input!$C$16:$CP$16,1,$B408))</f>
        <v>2.9669999999999998E-2</v>
      </c>
      <c r="L408" s="155">
        <f>IF($E408="","",Input!$C$37)</f>
        <v>1.4999999999999999E-2</v>
      </c>
      <c r="M408" s="155">
        <f t="shared" si="246"/>
        <v>4.4670000000000001E-2</v>
      </c>
      <c r="N408" s="155">
        <f t="shared" si="247"/>
        <v>3.6483930818200783E-3</v>
      </c>
      <c r="O408" s="147">
        <f>IF($E408="","",MIN(VLOOKUP(IF($B408&lt;=Input!$C$7,$B408,26),'Mortality Tables'!$A$41:$CW$67,IF($B408&lt;=Input!$C$7+1,Input!$C$4+2,$D408-Input!$C$7+2),0)*IF(B408&gt;20,Input!$C$22,1)/1000,1))</f>
        <v>9.5210800000000012E-2</v>
      </c>
      <c r="P408" s="147">
        <f>IF($E408="","",MIN(VLOOKUP(IF($B408&lt;=Input!$C$7,$B408,26),'Mortality Tables'!$A$12:$CW$37,IF($B408&lt;=Input!$C$7+1,Input!$C$4+2,$D408-Input!$C$7+2),0)*IF(B408&gt;20,Input!$C$22,1)/1000,1))</f>
        <v>0.11901350000000001</v>
      </c>
      <c r="Q408" s="155">
        <f>IF($E408="","",Input!$C$21)</f>
        <v>5.0000000000000001E-3</v>
      </c>
      <c r="R408" s="159">
        <f>IF($E408="","",(1-Q408)^($F408-Input!$C$20))</f>
        <v>0.84754285030234555</v>
      </c>
      <c r="S408" s="147">
        <f t="shared" si="249"/>
        <v>8.069523281156657E-2</v>
      </c>
      <c r="T408" s="147">
        <f t="shared" si="250"/>
        <v>6.9869422297846873E-3</v>
      </c>
      <c r="U408" s="160">
        <f>IF($E408="","",IF($C408=12,INDEX(Input!$C$15:$CP$15,1,$B408),0))</f>
        <v>0</v>
      </c>
      <c r="V408" s="150">
        <f>IF(E408="","",IF(C408=1,IF($B408=1,Input!$C$33,Input!$C$34),0))</f>
        <v>0</v>
      </c>
      <c r="W408" s="156">
        <f>IF($E408="","",Input!$C$35)</f>
        <v>0.02</v>
      </c>
      <c r="X408" s="156">
        <f t="shared" si="248"/>
        <v>1.9222314039431532</v>
      </c>
      <c r="Y408" s="154"/>
      <c r="Z408" s="147">
        <f>IF($E408="","",VLOOKUP($D408,'Mortality Margins &amp; Grading'!$AB$5:$AF$125,3,0)*IF(Summary!$D$25="Included Margin",IF(AND($B408&gt;Input!$C$9,Summary!$D$31&lt;&gt;"Included Margin"),0,1),0))</f>
        <v>2.8000000000000001E-2</v>
      </c>
      <c r="AA408" s="147">
        <f>IF($E408="","",VLOOKUP($D408,'Mortality Margins &amp; Grading'!$AB$5:$AF$125,5,0)*IF(Summary!$D$25="Included Margin",IF(AND($B408&gt;Input!$C$9,Summary!$D$31&lt;&gt;"Included Margin"),0,1),0))</f>
        <v>0.14099999999999999</v>
      </c>
      <c r="AB408" s="147">
        <f>IF($E408="","",IF(AND($B408&gt;Input!$C$9,Summary!$D$31&lt;&gt;"Included Margin"),1,IF(Summary!$D$25="Included Margin",VLOOKUP($B408,'Mortality Margins &amp; Grading'!$AI$5:$AR$125,MATCH('Mortality Margins &amp; Grading'!$AQ$4,'Mortality Margins &amp; Grading'!$AI$4:$AR$4,0),0),1)))</f>
        <v>0.6875</v>
      </c>
      <c r="AC408" s="154"/>
      <c r="AD408" s="158">
        <f>IF(E408="","",Input!$C$48*IF(Summary!$D$30="Included Margin",IF(AND($B408&gt;Input!$C$9,Summary!$D$31&lt;&gt;"Included Margin"),0,1),0))</f>
        <v>-4.4999999999999997E-3</v>
      </c>
      <c r="AE408" s="159">
        <f>IF(E408="","",IF(Summary!$D$26="Included Margin",IF(AND($B408&gt;Input!$C$9,Summary!$D$31&lt;&gt;"Included Margin"),1,1/$R408),1))</f>
        <v>1.1798813471711409</v>
      </c>
      <c r="AF408" s="160">
        <f>IF(E408="","",IF(AND($B408&gt;=Input!$C$9,$C408=12,Summary!$D$31="Included Margin",$U408&gt;0),1/U408-1,IF($B408&gt;=Input!$C$9,0,Input!$C$45*IF(Summary!$D$27="Included Margin",1,0))))</f>
        <v>0</v>
      </c>
      <c r="AG408" s="160">
        <f>IF(E408="","",Input!$C$46*IF(Summary!$D$28="Included Margin",IF(AND($B408&gt;Input!$C$9,Summary!$D$31&lt;&gt;"Included Margin"),0,1),0))</f>
        <v>0.02</v>
      </c>
      <c r="AH408" s="158">
        <f>IF(E408="","",Input!$C$47*IF(Summary!$D$29="Included Margin",IF(AND($B408&gt;Input!$C$9,Summary!$D$31&lt;&gt;"Included Margin"),0,1),0))</f>
        <v>2.5000000000000001E-3</v>
      </c>
      <c r="AI408" s="154"/>
      <c r="AJ408" s="158">
        <f t="shared" si="271"/>
        <v>4.0170000000000004E-2</v>
      </c>
      <c r="AK408" s="155">
        <f t="shared" si="272"/>
        <v>3.2874051475051402E-3</v>
      </c>
      <c r="AL408" s="147">
        <f t="shared" si="273"/>
        <v>0.10972598399375003</v>
      </c>
      <c r="AM408" s="147">
        <f t="shared" si="251"/>
        <v>9.6387449997139552E-3</v>
      </c>
      <c r="AN408" s="160">
        <f t="shared" si="274"/>
        <v>0</v>
      </c>
      <c r="AO408" s="161">
        <f t="shared" si="275"/>
        <v>0</v>
      </c>
      <c r="AP408" s="156">
        <f t="shared" si="252"/>
        <v>2.0839603438536369</v>
      </c>
      <c r="AQ408" s="152"/>
      <c r="AR408" s="162">
        <f t="shared" si="253"/>
        <v>4689.0811834924698</v>
      </c>
      <c r="AS408" s="150">
        <f t="shared" si="276"/>
        <v>0</v>
      </c>
      <c r="AT408" s="163">
        <f t="shared" si="254"/>
        <v>0</v>
      </c>
      <c r="AU408" s="163">
        <f t="shared" si="255"/>
        <v>963.87449997139549</v>
      </c>
      <c r="AV408" s="163">
        <f t="shared" si="277"/>
        <v>13.830586623305184</v>
      </c>
      <c r="AW408" s="163">
        <f t="shared" si="256"/>
        <v>36.3904097307814</v>
      </c>
      <c r="AX408" s="163">
        <f t="shared" si="257"/>
        <v>0</v>
      </c>
      <c r="AY408" s="165">
        <f t="shared" si="278"/>
        <v>3775.4276798751612</v>
      </c>
      <c r="AZ408" s="164">
        <f>IF($E408="","",IF(OR(AND($D408=Input!$C$6,$C408=12),$AN408=1),0,-AS409+AT409+AU409-AV409-AW409-AX409+AZ409))</f>
        <v>3775.4302797575147</v>
      </c>
      <c r="BA408" s="154">
        <f t="shared" si="258"/>
        <v>2.5998823534791882E-3</v>
      </c>
      <c r="BC408" s="147">
        <f t="shared" si="279"/>
        <v>1.2894785224390302E-2</v>
      </c>
      <c r="BD408" s="164">
        <f>IF(AND($C407=12,$D407=Input!$C$6),0,IF($E408="","",AT408+(AU408+BD409)/(1+$AK408)*MIN((1-AM408-AN408),1)))</f>
        <v>3621.4952213314446</v>
      </c>
      <c r="BE408" s="164">
        <f t="shared" si="259"/>
        <v>46.698403070224799</v>
      </c>
      <c r="BF408" s="164">
        <f t="shared" si="280"/>
        <v>3775.4302797575147</v>
      </c>
      <c r="BG408" s="164">
        <f t="shared" si="260"/>
        <v>48.683362587132947</v>
      </c>
      <c r="BH408" s="152"/>
      <c r="BI408" s="162">
        <f t="shared" si="261"/>
        <v>-227.45593825901847</v>
      </c>
      <c r="BJ408" s="150">
        <f t="shared" si="262"/>
        <v>0</v>
      </c>
      <c r="BK408" s="163">
        <f t="shared" si="284"/>
        <v>0</v>
      </c>
      <c r="BL408" s="163">
        <f t="shared" si="263"/>
        <v>698.6942229784687</v>
      </c>
      <c r="BM408" s="163">
        <f t="shared" si="285"/>
        <v>-2.1044042562742478</v>
      </c>
      <c r="BN408" s="163">
        <f t="shared" si="264"/>
        <v>-6.5312784736816276</v>
      </c>
      <c r="BO408" s="163">
        <f t="shared" si="265"/>
        <v>0</v>
      </c>
      <c r="BP408" s="164">
        <f t="shared" si="286"/>
        <v>-934.78584396744304</v>
      </c>
      <c r="BQ408" s="164">
        <f>IF($E408="","",IF(AND($D408=Input!$C$6,$C408=12),0,-BJ409+BK409+BL409-BM409-BN409-BO409+BQ409))</f>
        <v>-934.78352316116093</v>
      </c>
      <c r="BR408" s="161">
        <f t="shared" si="266"/>
        <v>0</v>
      </c>
      <c r="BT408" s="147">
        <f t="shared" si="267"/>
        <v>1.2894785224390302E-2</v>
      </c>
      <c r="BU408" s="164">
        <f>IF(AND($C407=12,$D407=Input!$C$6),0,IF($E408="","",BK408+(BL408+BU409)/(1+$AK408)*MIN((1-T408-U408),1)))</f>
        <v>46410.164726411611</v>
      </c>
      <c r="BV408" s="164">
        <f t="shared" si="268"/>
        <v>598.44910637565238</v>
      </c>
      <c r="BW408" s="164">
        <f t="shared" si="269"/>
        <v>-934.78352316116093</v>
      </c>
      <c r="BX408" s="164">
        <f t="shared" si="270"/>
        <v>-12.053832762462047</v>
      </c>
    </row>
    <row r="409" spans="1:76" s="150" customFormat="1" x14ac:dyDescent="0.25">
      <c r="A409" s="150">
        <f t="shared" si="281"/>
        <v>405</v>
      </c>
      <c r="B409" s="150">
        <f t="shared" si="282"/>
        <v>34</v>
      </c>
      <c r="C409" s="150">
        <f t="shared" si="283"/>
        <v>9</v>
      </c>
      <c r="D409" s="150">
        <f>IF(E409="","",Input!$C$4+B409-1)</f>
        <v>78</v>
      </c>
      <c r="E409" s="150">
        <f>IF(OR(AND(C408=12,D408=Input!$C$6),E408=""),"",1)</f>
        <v>1</v>
      </c>
      <c r="F409" s="150">
        <f>IF(E409="","",Input!$C$8+B409-1)</f>
        <v>2051</v>
      </c>
      <c r="G409" s="151">
        <f>IF(E409="","",MAX(0,Input!$C$9-B409))</f>
        <v>0</v>
      </c>
      <c r="H409" s="152">
        <f>IF(E409="","",Input!$C$3)</f>
        <v>100000</v>
      </c>
      <c r="I409" s="153">
        <f>IF(E409="","",HLOOKUP($B409,Input!$C$13:$BT$14,2))</f>
        <v>84.427000000000007</v>
      </c>
      <c r="J409" s="154"/>
      <c r="K409" s="155">
        <f>IF($E409="","",INDEX(Input!$C$16:$CP$16,1,$B409))</f>
        <v>2.9669999999999998E-2</v>
      </c>
      <c r="L409" s="155">
        <f>IF($E409="","",Input!$C$37)</f>
        <v>1.4999999999999999E-2</v>
      </c>
      <c r="M409" s="155">
        <f t="shared" si="246"/>
        <v>4.4670000000000001E-2</v>
      </c>
      <c r="N409" s="155">
        <f t="shared" si="247"/>
        <v>3.6483930818200783E-3</v>
      </c>
      <c r="O409" s="147">
        <f>IF($E409="","",MIN(VLOOKUP(IF($B409&lt;=Input!$C$7,$B409,26),'Mortality Tables'!$A$41:$CW$67,IF($B409&lt;=Input!$C$7+1,Input!$C$4+2,$D409-Input!$C$7+2),0)*IF(B409&gt;20,Input!$C$22,1)/1000,1))</f>
        <v>9.5210800000000012E-2</v>
      </c>
      <c r="P409" s="147">
        <f>IF($E409="","",MIN(VLOOKUP(IF($B409&lt;=Input!$C$7,$B409,26),'Mortality Tables'!$A$12:$CW$37,IF($B409&lt;=Input!$C$7+1,Input!$C$4+2,$D409-Input!$C$7+2),0)*IF(B409&gt;20,Input!$C$22,1)/1000,1))</f>
        <v>0.11901350000000001</v>
      </c>
      <c r="Q409" s="155">
        <f>IF($E409="","",Input!$C$21)</f>
        <v>5.0000000000000001E-3</v>
      </c>
      <c r="R409" s="159">
        <f>IF($E409="","",(1-Q409)^($F409-Input!$C$20))</f>
        <v>0.84754285030234555</v>
      </c>
      <c r="S409" s="147">
        <f t="shared" si="249"/>
        <v>8.069523281156657E-2</v>
      </c>
      <c r="T409" s="147">
        <f t="shared" si="250"/>
        <v>6.9869422297846873E-3</v>
      </c>
      <c r="U409" s="160">
        <f>IF($E409="","",IF($C409=12,INDEX(Input!$C$15:$CP$15,1,$B409),0))</f>
        <v>0</v>
      </c>
      <c r="V409" s="150">
        <f>IF(E409="","",IF(C409=1,IF($B409=1,Input!$C$33,Input!$C$34),0))</f>
        <v>0</v>
      </c>
      <c r="W409" s="156">
        <f>IF($E409="","",Input!$C$35)</f>
        <v>0.02</v>
      </c>
      <c r="X409" s="156">
        <f t="shared" si="248"/>
        <v>1.9222314039431532</v>
      </c>
      <c r="Y409" s="154"/>
      <c r="Z409" s="147">
        <f>IF($E409="","",VLOOKUP($D409,'Mortality Margins &amp; Grading'!$AB$5:$AF$125,3,0)*IF(Summary!$D$25="Included Margin",IF(AND($B409&gt;Input!$C$9,Summary!$D$31&lt;&gt;"Included Margin"),0,1),0))</f>
        <v>2.8000000000000001E-2</v>
      </c>
      <c r="AA409" s="147">
        <f>IF($E409="","",VLOOKUP($D409,'Mortality Margins &amp; Grading'!$AB$5:$AF$125,5,0)*IF(Summary!$D$25="Included Margin",IF(AND($B409&gt;Input!$C$9,Summary!$D$31&lt;&gt;"Included Margin"),0,1),0))</f>
        <v>0.14099999999999999</v>
      </c>
      <c r="AB409" s="147">
        <f>IF($E409="","",IF(AND($B409&gt;Input!$C$9,Summary!$D$31&lt;&gt;"Included Margin"),1,IF(Summary!$D$25="Included Margin",VLOOKUP($B409,'Mortality Margins &amp; Grading'!$AI$5:$AR$125,MATCH('Mortality Margins &amp; Grading'!$AQ$4,'Mortality Margins &amp; Grading'!$AI$4:$AR$4,0),0),1)))</f>
        <v>0.6875</v>
      </c>
      <c r="AC409" s="154"/>
      <c r="AD409" s="158">
        <f>IF(E409="","",Input!$C$48*IF(Summary!$D$30="Included Margin",IF(AND($B409&gt;Input!$C$9,Summary!$D$31&lt;&gt;"Included Margin"),0,1),0))</f>
        <v>-4.4999999999999997E-3</v>
      </c>
      <c r="AE409" s="159">
        <f>IF(E409="","",IF(Summary!$D$26="Included Margin",IF(AND($B409&gt;Input!$C$9,Summary!$D$31&lt;&gt;"Included Margin"),1,1/$R409),1))</f>
        <v>1.1798813471711409</v>
      </c>
      <c r="AF409" s="160">
        <f>IF(E409="","",IF(AND($B409&gt;=Input!$C$9,$C409=12,Summary!$D$31="Included Margin",$U409&gt;0),1/U409-1,IF($B409&gt;=Input!$C$9,0,Input!$C$45*IF(Summary!$D$27="Included Margin",1,0))))</f>
        <v>0</v>
      </c>
      <c r="AG409" s="160">
        <f>IF(E409="","",Input!$C$46*IF(Summary!$D$28="Included Margin",IF(AND($B409&gt;Input!$C$9,Summary!$D$31&lt;&gt;"Included Margin"),0,1),0))</f>
        <v>0.02</v>
      </c>
      <c r="AH409" s="158">
        <f>IF(E409="","",Input!$C$47*IF(Summary!$D$29="Included Margin",IF(AND($B409&gt;Input!$C$9,Summary!$D$31&lt;&gt;"Included Margin"),0,1),0))</f>
        <v>2.5000000000000001E-3</v>
      </c>
      <c r="AI409" s="154"/>
      <c r="AJ409" s="158">
        <f t="shared" si="271"/>
        <v>4.0170000000000004E-2</v>
      </c>
      <c r="AK409" s="155">
        <f t="shared" si="272"/>
        <v>3.2874051475051402E-3</v>
      </c>
      <c r="AL409" s="147">
        <f t="shared" si="273"/>
        <v>0.10972598399375003</v>
      </c>
      <c r="AM409" s="147">
        <f t="shared" si="251"/>
        <v>9.6387449997139552E-3</v>
      </c>
      <c r="AN409" s="160">
        <f t="shared" si="274"/>
        <v>0</v>
      </c>
      <c r="AO409" s="161">
        <f t="shared" si="275"/>
        <v>0</v>
      </c>
      <c r="AP409" s="156">
        <f t="shared" si="252"/>
        <v>2.0839603438536369</v>
      </c>
      <c r="AQ409" s="152"/>
      <c r="AR409" s="162">
        <f t="shared" si="253"/>
        <v>3775.4276798751616</v>
      </c>
      <c r="AS409" s="150">
        <f t="shared" si="276"/>
        <v>0</v>
      </c>
      <c r="AT409" s="163">
        <f t="shared" si="254"/>
        <v>0</v>
      </c>
      <c r="AU409" s="163">
        <f t="shared" si="255"/>
        <v>963.87449997139549</v>
      </c>
      <c r="AV409" s="163">
        <f t="shared" si="277"/>
        <v>10.827037392477541</v>
      </c>
      <c r="AW409" s="163">
        <f t="shared" si="256"/>
        <v>27.468994903633348</v>
      </c>
      <c r="AX409" s="163">
        <f t="shared" si="257"/>
        <v>0</v>
      </c>
      <c r="AY409" s="164">
        <f t="shared" si="278"/>
        <v>2849.849212199877</v>
      </c>
      <c r="AZ409" s="164">
        <f>IF($E409="","",IF(OR(AND($D409=Input!$C$6,$C409=12),$AN409=1),0,-AS410+AT410+AU410-AV410-AW410-AX410+AZ410))</f>
        <v>2849.85181208223</v>
      </c>
      <c r="BA409" s="154">
        <f t="shared" si="258"/>
        <v>2.5998823530244408E-3</v>
      </c>
      <c r="BC409" s="147">
        <f t="shared" si="279"/>
        <v>1.2804690104962007E-2</v>
      </c>
      <c r="BD409" s="164">
        <f>IF(AND($C408=12,$D408=Input!$C$6),0,IF($E409="","",AT409+(AU409+BD410)/(1+$AK409)*MIN((1-AM409-AN409),1)))</f>
        <v>2704.8883126071978</v>
      </c>
      <c r="BE409" s="164">
        <f t="shared" si="259"/>
        <v>34.635256611468762</v>
      </c>
      <c r="BF409" s="164">
        <f t="shared" si="280"/>
        <v>2849.85181208223</v>
      </c>
      <c r="BG409" s="164">
        <f t="shared" si="260"/>
        <v>36.491469298777375</v>
      </c>
      <c r="BH409" s="152"/>
      <c r="BI409" s="162">
        <f t="shared" si="261"/>
        <v>-934.78584396744304</v>
      </c>
      <c r="BJ409" s="150">
        <f t="shared" si="262"/>
        <v>0</v>
      </c>
      <c r="BK409" s="163">
        <f t="shared" si="284"/>
        <v>0</v>
      </c>
      <c r="BL409" s="163">
        <f t="shared" si="263"/>
        <v>698.6942229784687</v>
      </c>
      <c r="BM409" s="163">
        <f t="shared" si="285"/>
        <v>-4.6850217908253127</v>
      </c>
      <c r="BN409" s="163">
        <f t="shared" si="264"/>
        <v>-11.526282089598494</v>
      </c>
      <c r="BO409" s="163">
        <f t="shared" si="265"/>
        <v>0</v>
      </c>
      <c r="BP409" s="164">
        <f t="shared" si="286"/>
        <v>-1649.6913708263355</v>
      </c>
      <c r="BQ409" s="164">
        <f>IF($E409="","",IF(AND($D409=Input!$C$6,$C409=12),0,-BJ410+BK410+BL410-BM410-BN410-BO410+BQ410))</f>
        <v>-1649.6890500200534</v>
      </c>
      <c r="BR409" s="161">
        <f t="shared" si="266"/>
        <v>0</v>
      </c>
      <c r="BT409" s="147">
        <f t="shared" si="267"/>
        <v>1.2804690104962007E-2</v>
      </c>
      <c r="BU409" s="164">
        <f>IF(AND($C408=12,$D408=Input!$C$6),0,IF($E409="","",BK409+(BL409+BU410)/(1+$AK409)*MIN((1-T409-U409),1)))</f>
        <v>46191.65971192866</v>
      </c>
      <c r="BV409" s="164">
        <f t="shared" si="268"/>
        <v>591.46988804510511</v>
      </c>
      <c r="BW409" s="164">
        <f t="shared" si="269"/>
        <v>-1649.6890500200534</v>
      </c>
      <c r="BX409" s="164">
        <f t="shared" si="270"/>
        <v>-21.12375705505595</v>
      </c>
    </row>
    <row r="410" spans="1:76" s="150" customFormat="1" x14ac:dyDescent="0.25">
      <c r="A410" s="150">
        <f t="shared" si="281"/>
        <v>406</v>
      </c>
      <c r="B410" s="150">
        <f t="shared" si="282"/>
        <v>34</v>
      </c>
      <c r="C410" s="150">
        <f t="shared" si="283"/>
        <v>10</v>
      </c>
      <c r="D410" s="150">
        <f>IF(E410="","",Input!$C$4+B410-1)</f>
        <v>78</v>
      </c>
      <c r="E410" s="150">
        <f>IF(OR(AND(C409=12,D409=Input!$C$6),E409=""),"",1)</f>
        <v>1</v>
      </c>
      <c r="F410" s="150">
        <f>IF(E410="","",Input!$C$8+B410-1)</f>
        <v>2051</v>
      </c>
      <c r="G410" s="151">
        <f>IF(E410="","",MAX(0,Input!$C$9-B410))</f>
        <v>0</v>
      </c>
      <c r="H410" s="152">
        <f>IF(E410="","",Input!$C$3)</f>
        <v>100000</v>
      </c>
      <c r="I410" s="153">
        <f>IF(E410="","",HLOOKUP($B410,Input!$C$13:$BT$14,2))</f>
        <v>84.427000000000007</v>
      </c>
      <c r="J410" s="154"/>
      <c r="K410" s="155">
        <f>IF($E410="","",INDEX(Input!$C$16:$CP$16,1,$B410))</f>
        <v>2.9669999999999998E-2</v>
      </c>
      <c r="L410" s="155">
        <f>IF($E410="","",Input!$C$37)</f>
        <v>1.4999999999999999E-2</v>
      </c>
      <c r="M410" s="155">
        <f t="shared" si="246"/>
        <v>4.4670000000000001E-2</v>
      </c>
      <c r="N410" s="155">
        <f t="shared" si="247"/>
        <v>3.6483930818200783E-3</v>
      </c>
      <c r="O410" s="147">
        <f>IF($E410="","",MIN(VLOOKUP(IF($B410&lt;=Input!$C$7,$B410,26),'Mortality Tables'!$A$41:$CW$67,IF($B410&lt;=Input!$C$7+1,Input!$C$4+2,$D410-Input!$C$7+2),0)*IF(B410&gt;20,Input!$C$22,1)/1000,1))</f>
        <v>9.5210800000000012E-2</v>
      </c>
      <c r="P410" s="147">
        <f>IF($E410="","",MIN(VLOOKUP(IF($B410&lt;=Input!$C$7,$B410,26),'Mortality Tables'!$A$12:$CW$37,IF($B410&lt;=Input!$C$7+1,Input!$C$4+2,$D410-Input!$C$7+2),0)*IF(B410&gt;20,Input!$C$22,1)/1000,1))</f>
        <v>0.11901350000000001</v>
      </c>
      <c r="Q410" s="155">
        <f>IF($E410="","",Input!$C$21)</f>
        <v>5.0000000000000001E-3</v>
      </c>
      <c r="R410" s="159">
        <f>IF($E410="","",(1-Q410)^($F410-Input!$C$20))</f>
        <v>0.84754285030234555</v>
      </c>
      <c r="S410" s="147">
        <f t="shared" si="249"/>
        <v>8.069523281156657E-2</v>
      </c>
      <c r="T410" s="147">
        <f t="shared" si="250"/>
        <v>6.9869422297846873E-3</v>
      </c>
      <c r="U410" s="160">
        <f>IF($E410="","",IF($C410=12,INDEX(Input!$C$15:$CP$15,1,$B410),0))</f>
        <v>0</v>
      </c>
      <c r="V410" s="150">
        <f>IF(E410="","",IF(C410=1,IF($B410=1,Input!$C$33,Input!$C$34),0))</f>
        <v>0</v>
      </c>
      <c r="W410" s="156">
        <f>IF($E410="","",Input!$C$35)</f>
        <v>0.02</v>
      </c>
      <c r="X410" s="156">
        <f t="shared" si="248"/>
        <v>1.9222314039431532</v>
      </c>
      <c r="Y410" s="154"/>
      <c r="Z410" s="147">
        <f>IF($E410="","",VLOOKUP($D410,'Mortality Margins &amp; Grading'!$AB$5:$AF$125,3,0)*IF(Summary!$D$25="Included Margin",IF(AND($B410&gt;Input!$C$9,Summary!$D$31&lt;&gt;"Included Margin"),0,1),0))</f>
        <v>2.8000000000000001E-2</v>
      </c>
      <c r="AA410" s="147">
        <f>IF($E410="","",VLOOKUP($D410,'Mortality Margins &amp; Grading'!$AB$5:$AF$125,5,0)*IF(Summary!$D$25="Included Margin",IF(AND($B410&gt;Input!$C$9,Summary!$D$31&lt;&gt;"Included Margin"),0,1),0))</f>
        <v>0.14099999999999999</v>
      </c>
      <c r="AB410" s="147">
        <f>IF($E410="","",IF(AND($B410&gt;Input!$C$9,Summary!$D$31&lt;&gt;"Included Margin"),1,IF(Summary!$D$25="Included Margin",VLOOKUP($B410,'Mortality Margins &amp; Grading'!$AI$5:$AR$125,MATCH('Mortality Margins &amp; Grading'!$AQ$4,'Mortality Margins &amp; Grading'!$AI$4:$AR$4,0),0),1)))</f>
        <v>0.6875</v>
      </c>
      <c r="AC410" s="154"/>
      <c r="AD410" s="158">
        <f>IF(E410="","",Input!$C$48*IF(Summary!$D$30="Included Margin",IF(AND($B410&gt;Input!$C$9,Summary!$D$31&lt;&gt;"Included Margin"),0,1),0))</f>
        <v>-4.4999999999999997E-3</v>
      </c>
      <c r="AE410" s="159">
        <f>IF(E410="","",IF(Summary!$D$26="Included Margin",IF(AND($B410&gt;Input!$C$9,Summary!$D$31&lt;&gt;"Included Margin"),1,1/$R410),1))</f>
        <v>1.1798813471711409</v>
      </c>
      <c r="AF410" s="160">
        <f>IF(E410="","",IF(AND($B410&gt;=Input!$C$9,$C410=12,Summary!$D$31="Included Margin",$U410&gt;0),1/U410-1,IF($B410&gt;=Input!$C$9,0,Input!$C$45*IF(Summary!$D$27="Included Margin",1,0))))</f>
        <v>0</v>
      </c>
      <c r="AG410" s="160">
        <f>IF(E410="","",Input!$C$46*IF(Summary!$D$28="Included Margin",IF(AND($B410&gt;Input!$C$9,Summary!$D$31&lt;&gt;"Included Margin"),0,1),0))</f>
        <v>0.02</v>
      </c>
      <c r="AH410" s="158">
        <f>IF(E410="","",Input!$C$47*IF(Summary!$D$29="Included Margin",IF(AND($B410&gt;Input!$C$9,Summary!$D$31&lt;&gt;"Included Margin"),0,1),0))</f>
        <v>2.5000000000000001E-3</v>
      </c>
      <c r="AI410" s="154"/>
      <c r="AJ410" s="158">
        <f t="shared" si="271"/>
        <v>4.0170000000000004E-2</v>
      </c>
      <c r="AK410" s="155">
        <f t="shared" si="272"/>
        <v>3.2874051475051402E-3</v>
      </c>
      <c r="AL410" s="147">
        <f t="shared" si="273"/>
        <v>0.10972598399375003</v>
      </c>
      <c r="AM410" s="147">
        <f t="shared" si="251"/>
        <v>9.6387449997139552E-3</v>
      </c>
      <c r="AN410" s="160">
        <f t="shared" si="274"/>
        <v>0</v>
      </c>
      <c r="AO410" s="161">
        <f t="shared" si="275"/>
        <v>0</v>
      </c>
      <c r="AP410" s="156">
        <f t="shared" si="252"/>
        <v>2.0839603438536369</v>
      </c>
      <c r="AQ410" s="152"/>
      <c r="AR410" s="162">
        <f t="shared" si="253"/>
        <v>2849.849212199877</v>
      </c>
      <c r="AS410" s="150">
        <f t="shared" si="276"/>
        <v>0</v>
      </c>
      <c r="AT410" s="163">
        <f t="shared" si="254"/>
        <v>0</v>
      </c>
      <c r="AU410" s="163">
        <f t="shared" si="255"/>
        <v>963.87449997139549</v>
      </c>
      <c r="AV410" s="163">
        <f t="shared" si="277"/>
        <v>7.7842859734218903</v>
      </c>
      <c r="AW410" s="163">
        <f t="shared" si="256"/>
        <v>18.431138175109307</v>
      </c>
      <c r="AX410" s="163">
        <f t="shared" si="257"/>
        <v>0</v>
      </c>
      <c r="AY410" s="165">
        <f t="shared" si="278"/>
        <v>1912.1901363770128</v>
      </c>
      <c r="AZ410" s="164">
        <f>IF($E410="","",IF(OR(AND($D410=Input!$C$6,$C410=12),$AN410=1),0,-AS411+AT411+AU411-AV411-AW411-AX411+AZ411))</f>
        <v>1912.1927362593658</v>
      </c>
      <c r="BA410" s="154">
        <f t="shared" si="258"/>
        <v>2.5998823530244408E-3</v>
      </c>
      <c r="BC410" s="147">
        <f t="shared" si="279"/>
        <v>1.2715224474928342E-2</v>
      </c>
      <c r="BD410" s="164">
        <f>IF(AND($C409=12,$D409=Input!$C$6),0,IF($E410="","",AT410+(AU410+BD411)/(1+$AK410)*MIN((1-AM410-AN410),1)))</f>
        <v>1776.3178921155761</v>
      </c>
      <c r="BE410" s="164">
        <f t="shared" si="259"/>
        <v>22.586280737081097</v>
      </c>
      <c r="BF410" s="164">
        <f t="shared" si="280"/>
        <v>1912.1927362593658</v>
      </c>
      <c r="BG410" s="164">
        <f t="shared" si="260"/>
        <v>24.313959880865283</v>
      </c>
      <c r="BH410" s="152"/>
      <c r="BI410" s="162">
        <f t="shared" si="261"/>
        <v>-1649.6913708263353</v>
      </c>
      <c r="BJ410" s="150">
        <f t="shared" si="262"/>
        <v>0</v>
      </c>
      <c r="BK410" s="163">
        <f t="shared" si="284"/>
        <v>0</v>
      </c>
      <c r="BL410" s="163">
        <f t="shared" si="263"/>
        <v>698.6942229784687</v>
      </c>
      <c r="BM410" s="163">
        <f t="shared" si="285"/>
        <v>-7.2932781691722326</v>
      </c>
      <c r="BN410" s="163">
        <f t="shared" si="264"/>
        <v>-16.574783026544797</v>
      </c>
      <c r="BO410" s="163">
        <f t="shared" si="265"/>
        <v>0</v>
      </c>
      <c r="BP410" s="164">
        <f t="shared" si="286"/>
        <v>-2372.2536550005211</v>
      </c>
      <c r="BQ410" s="164">
        <f>IF($E410="","",IF(AND($D410=Input!$C$6,$C410=12),0,-BJ411+BK411+BL411-BM411-BN411-BO411+BQ411))</f>
        <v>-2372.251334194239</v>
      </c>
      <c r="BR410" s="161">
        <f t="shared" si="266"/>
        <v>0</v>
      </c>
      <c r="BT410" s="147">
        <f t="shared" si="267"/>
        <v>1.2715224474928342E-2</v>
      </c>
      <c r="BU410" s="164">
        <f>IF(AND($C409=12,$D409=Input!$C$6),0,IF($E410="","",BK410+(BL410+BU411)/(1+$AK410)*MIN((1-T410-U410),1)))</f>
        <v>45970.893904996999</v>
      </c>
      <c r="BV410" s="164">
        <f t="shared" si="268"/>
        <v>584.53023531515203</v>
      </c>
      <c r="BW410" s="164">
        <f t="shared" si="269"/>
        <v>-2372.251334194239</v>
      </c>
      <c r="BX410" s="164">
        <f t="shared" si="270"/>
        <v>-30.163708225228003</v>
      </c>
    </row>
    <row r="411" spans="1:76" s="150" customFormat="1" x14ac:dyDescent="0.25">
      <c r="A411" s="150">
        <f t="shared" si="281"/>
        <v>407</v>
      </c>
      <c r="B411" s="150">
        <f t="shared" si="282"/>
        <v>34</v>
      </c>
      <c r="C411" s="150">
        <f t="shared" si="283"/>
        <v>11</v>
      </c>
      <c r="D411" s="150">
        <f>IF(E411="","",Input!$C$4+B411-1)</f>
        <v>78</v>
      </c>
      <c r="E411" s="150">
        <f>IF(OR(AND(C410=12,D410=Input!$C$6),E410=""),"",1)</f>
        <v>1</v>
      </c>
      <c r="F411" s="150">
        <f>IF(E411="","",Input!$C$8+B411-1)</f>
        <v>2051</v>
      </c>
      <c r="G411" s="151">
        <f>IF(E411="","",MAX(0,Input!$C$9-B411))</f>
        <v>0</v>
      </c>
      <c r="H411" s="152">
        <f>IF(E411="","",Input!$C$3)</f>
        <v>100000</v>
      </c>
      <c r="I411" s="153">
        <f>IF(E411="","",HLOOKUP($B411,Input!$C$13:$BT$14,2))</f>
        <v>84.427000000000007</v>
      </c>
      <c r="J411" s="154"/>
      <c r="K411" s="155">
        <f>IF($E411="","",INDEX(Input!$C$16:$CP$16,1,$B411))</f>
        <v>2.9669999999999998E-2</v>
      </c>
      <c r="L411" s="155">
        <f>IF($E411="","",Input!$C$37)</f>
        <v>1.4999999999999999E-2</v>
      </c>
      <c r="M411" s="155">
        <f t="shared" si="246"/>
        <v>4.4670000000000001E-2</v>
      </c>
      <c r="N411" s="155">
        <f t="shared" si="247"/>
        <v>3.6483930818200783E-3</v>
      </c>
      <c r="O411" s="147">
        <f>IF($E411="","",MIN(VLOOKUP(IF($B411&lt;=Input!$C$7,$B411,26),'Mortality Tables'!$A$41:$CW$67,IF($B411&lt;=Input!$C$7+1,Input!$C$4+2,$D411-Input!$C$7+2),0)*IF(B411&gt;20,Input!$C$22,1)/1000,1))</f>
        <v>9.5210800000000012E-2</v>
      </c>
      <c r="P411" s="147">
        <f>IF($E411="","",MIN(VLOOKUP(IF($B411&lt;=Input!$C$7,$B411,26),'Mortality Tables'!$A$12:$CW$37,IF($B411&lt;=Input!$C$7+1,Input!$C$4+2,$D411-Input!$C$7+2),0)*IF(B411&gt;20,Input!$C$22,1)/1000,1))</f>
        <v>0.11901350000000001</v>
      </c>
      <c r="Q411" s="155">
        <f>IF($E411="","",Input!$C$21)</f>
        <v>5.0000000000000001E-3</v>
      </c>
      <c r="R411" s="159">
        <f>IF($E411="","",(1-Q411)^($F411-Input!$C$20))</f>
        <v>0.84754285030234555</v>
      </c>
      <c r="S411" s="147">
        <f t="shared" si="249"/>
        <v>8.069523281156657E-2</v>
      </c>
      <c r="T411" s="147">
        <f t="shared" si="250"/>
        <v>6.9869422297846873E-3</v>
      </c>
      <c r="U411" s="160">
        <f>IF($E411="","",IF($C411=12,INDEX(Input!$C$15:$CP$15,1,$B411),0))</f>
        <v>0</v>
      </c>
      <c r="V411" s="150">
        <f>IF(E411="","",IF(C411=1,IF($B411=1,Input!$C$33,Input!$C$34),0))</f>
        <v>0</v>
      </c>
      <c r="W411" s="156">
        <f>IF($E411="","",Input!$C$35)</f>
        <v>0.02</v>
      </c>
      <c r="X411" s="156">
        <f t="shared" si="248"/>
        <v>1.9222314039431532</v>
      </c>
      <c r="Y411" s="154"/>
      <c r="Z411" s="147">
        <f>IF($E411="","",VLOOKUP($D411,'Mortality Margins &amp; Grading'!$AB$5:$AF$125,3,0)*IF(Summary!$D$25="Included Margin",IF(AND($B411&gt;Input!$C$9,Summary!$D$31&lt;&gt;"Included Margin"),0,1),0))</f>
        <v>2.8000000000000001E-2</v>
      </c>
      <c r="AA411" s="147">
        <f>IF($E411="","",VLOOKUP($D411,'Mortality Margins &amp; Grading'!$AB$5:$AF$125,5,0)*IF(Summary!$D$25="Included Margin",IF(AND($B411&gt;Input!$C$9,Summary!$D$31&lt;&gt;"Included Margin"),0,1),0))</f>
        <v>0.14099999999999999</v>
      </c>
      <c r="AB411" s="147">
        <f>IF($E411="","",IF(AND($B411&gt;Input!$C$9,Summary!$D$31&lt;&gt;"Included Margin"),1,IF(Summary!$D$25="Included Margin",VLOOKUP($B411,'Mortality Margins &amp; Grading'!$AI$5:$AR$125,MATCH('Mortality Margins &amp; Grading'!$AQ$4,'Mortality Margins &amp; Grading'!$AI$4:$AR$4,0),0),1)))</f>
        <v>0.6875</v>
      </c>
      <c r="AC411" s="154"/>
      <c r="AD411" s="158">
        <f>IF(E411="","",Input!$C$48*IF(Summary!$D$30="Included Margin",IF(AND($B411&gt;Input!$C$9,Summary!$D$31&lt;&gt;"Included Margin"),0,1),0))</f>
        <v>-4.4999999999999997E-3</v>
      </c>
      <c r="AE411" s="159">
        <f>IF(E411="","",IF(Summary!$D$26="Included Margin",IF(AND($B411&gt;Input!$C$9,Summary!$D$31&lt;&gt;"Included Margin"),1,1/$R411),1))</f>
        <v>1.1798813471711409</v>
      </c>
      <c r="AF411" s="160">
        <f>IF(E411="","",IF(AND($B411&gt;=Input!$C$9,$C411=12,Summary!$D$31="Included Margin",$U411&gt;0),1/U411-1,IF($B411&gt;=Input!$C$9,0,Input!$C$45*IF(Summary!$D$27="Included Margin",1,0))))</f>
        <v>0</v>
      </c>
      <c r="AG411" s="160">
        <f>IF(E411="","",Input!$C$46*IF(Summary!$D$28="Included Margin",IF(AND($B411&gt;Input!$C$9,Summary!$D$31&lt;&gt;"Included Margin"),0,1),0))</f>
        <v>0.02</v>
      </c>
      <c r="AH411" s="158">
        <f>IF(E411="","",Input!$C$47*IF(Summary!$D$29="Included Margin",IF(AND($B411&gt;Input!$C$9,Summary!$D$31&lt;&gt;"Included Margin"),0,1),0))</f>
        <v>2.5000000000000001E-3</v>
      </c>
      <c r="AI411" s="154"/>
      <c r="AJ411" s="158">
        <f t="shared" si="271"/>
        <v>4.0170000000000004E-2</v>
      </c>
      <c r="AK411" s="155">
        <f t="shared" si="272"/>
        <v>3.2874051475051402E-3</v>
      </c>
      <c r="AL411" s="147">
        <f t="shared" si="273"/>
        <v>0.10972598399375003</v>
      </c>
      <c r="AM411" s="147">
        <f t="shared" si="251"/>
        <v>9.6387449997139552E-3</v>
      </c>
      <c r="AN411" s="160">
        <f t="shared" si="274"/>
        <v>0</v>
      </c>
      <c r="AO411" s="161">
        <f t="shared" si="275"/>
        <v>0</v>
      </c>
      <c r="AP411" s="156">
        <f t="shared" si="252"/>
        <v>2.0839603438536369</v>
      </c>
      <c r="AQ411" s="152"/>
      <c r="AR411" s="162">
        <f t="shared" si="253"/>
        <v>1912.1901363770123</v>
      </c>
      <c r="AS411" s="150">
        <f t="shared" si="276"/>
        <v>0</v>
      </c>
      <c r="AT411" s="163">
        <f t="shared" si="254"/>
        <v>0</v>
      </c>
      <c r="AU411" s="163">
        <f t="shared" si="255"/>
        <v>963.87449997139549</v>
      </c>
      <c r="AV411" s="163">
        <f t="shared" si="277"/>
        <v>4.7018207009568922</v>
      </c>
      <c r="AW411" s="163">
        <f t="shared" si="256"/>
        <v>9.2753197507978822</v>
      </c>
      <c r="AX411" s="163">
        <f t="shared" si="257"/>
        <v>0</v>
      </c>
      <c r="AY411" s="164">
        <f t="shared" si="278"/>
        <v>962.29277685737156</v>
      </c>
      <c r="AZ411" s="164">
        <f>IF($E411="","",IF(OR(AND($D411=Input!$C$6,$C411=12),$AN411=1),0,-AS412+AT412+AU412-AV412-AW412-AX412+AZ412))</f>
        <v>962.29537673972504</v>
      </c>
      <c r="BA411" s="154">
        <f t="shared" si="258"/>
        <v>2.5998823534791882E-3</v>
      </c>
      <c r="BC411" s="147">
        <f t="shared" si="279"/>
        <v>1.2626383936083273E-2</v>
      </c>
      <c r="BD411" s="164">
        <f>IF(AND($C410=12,$D410=Input!$C$6),0,IF($E411="","",AT411+(AU411+BD412)/(1+$AK411)*MIN((1-AM411-AN411),1)))</f>
        <v>835.62781264402258</v>
      </c>
      <c r="BE411" s="164">
        <f t="shared" si="259"/>
        <v>10.55095759011289</v>
      </c>
      <c r="BF411" s="164">
        <f t="shared" si="280"/>
        <v>962.29537673972504</v>
      </c>
      <c r="BG411" s="164">
        <f t="shared" si="260"/>
        <v>12.150310886633665</v>
      </c>
      <c r="BH411" s="152"/>
      <c r="BI411" s="162">
        <f t="shared" si="261"/>
        <v>-2372.2536550005207</v>
      </c>
      <c r="BJ411" s="150">
        <f t="shared" si="262"/>
        <v>0</v>
      </c>
      <c r="BK411" s="163">
        <f t="shared" si="284"/>
        <v>0</v>
      </c>
      <c r="BL411" s="163">
        <f t="shared" si="263"/>
        <v>698.6942229784687</v>
      </c>
      <c r="BM411" s="163">
        <f t="shared" si="285"/>
        <v>-9.9294694079374448</v>
      </c>
      <c r="BN411" s="163">
        <f t="shared" si="264"/>
        <v>-21.677354249742859</v>
      </c>
      <c r="BO411" s="163">
        <f t="shared" si="265"/>
        <v>0</v>
      </c>
      <c r="BP411" s="164">
        <f t="shared" si="286"/>
        <v>-3102.55470163667</v>
      </c>
      <c r="BQ411" s="164">
        <f>IF($E411="","",IF(AND($D411=Input!$C$6,$C411=12),0,-BJ412+BK412+BL412-BM412-BN412-BO412+BQ412))</f>
        <v>-3102.5523808303878</v>
      </c>
      <c r="BR411" s="161">
        <f t="shared" si="266"/>
        <v>0</v>
      </c>
      <c r="BT411" s="147">
        <f t="shared" si="267"/>
        <v>1.2626383936083273E-2</v>
      </c>
      <c r="BU411" s="164">
        <f>IF(AND($C410=12,$D410=Input!$C$6),0,IF($E411="","",BK411+(BL411+BU412)/(1+$AK411)*MIN((1-T411-U411),1)))</f>
        <v>45747.843914013887</v>
      </c>
      <c r="BV411" s="164">
        <f t="shared" si="268"/>
        <v>577.62984150634986</v>
      </c>
      <c r="BW411" s="164">
        <f t="shared" si="269"/>
        <v>-3102.5523808303878</v>
      </c>
      <c r="BX411" s="164">
        <f t="shared" si="270"/>
        <v>-39.174017542173722</v>
      </c>
    </row>
    <row r="412" spans="1:76" s="150" customFormat="1" x14ac:dyDescent="0.25">
      <c r="A412" s="150">
        <f t="shared" si="281"/>
        <v>408</v>
      </c>
      <c r="B412" s="150">
        <f t="shared" si="282"/>
        <v>34</v>
      </c>
      <c r="C412" s="150">
        <f t="shared" si="283"/>
        <v>12</v>
      </c>
      <c r="D412" s="150">
        <f>IF(E412="","",Input!$C$4+B412-1)</f>
        <v>78</v>
      </c>
      <c r="E412" s="150">
        <f>IF(OR(AND(C411=12,D411=Input!$C$6),E411=""),"",1)</f>
        <v>1</v>
      </c>
      <c r="F412" s="150">
        <f>IF(E412="","",Input!$C$8+B412-1)</f>
        <v>2051</v>
      </c>
      <c r="G412" s="151">
        <f>IF(E412="","",MAX(0,Input!$C$9-B412))</f>
        <v>0</v>
      </c>
      <c r="H412" s="152">
        <f>IF(E412="","",Input!$C$3)</f>
        <v>100000</v>
      </c>
      <c r="I412" s="153">
        <f>IF(E412="","",HLOOKUP($B412,Input!$C$13:$BT$14,2))</f>
        <v>84.427000000000007</v>
      </c>
      <c r="J412" s="154"/>
      <c r="K412" s="155">
        <f>IF($E412="","",INDEX(Input!$C$16:$CP$16,1,$B412))</f>
        <v>2.9669999999999998E-2</v>
      </c>
      <c r="L412" s="155">
        <f>IF($E412="","",Input!$C$37)</f>
        <v>1.4999999999999999E-2</v>
      </c>
      <c r="M412" s="155">
        <f t="shared" si="246"/>
        <v>4.4670000000000001E-2</v>
      </c>
      <c r="N412" s="155">
        <f t="shared" si="247"/>
        <v>3.6483930818200783E-3</v>
      </c>
      <c r="O412" s="147">
        <f>IF($E412="","",MIN(VLOOKUP(IF($B412&lt;=Input!$C$7,$B412,26),'Mortality Tables'!$A$41:$CW$67,IF($B412&lt;=Input!$C$7+1,Input!$C$4+2,$D412-Input!$C$7+2),0)*IF(B412&gt;20,Input!$C$22,1)/1000,1))</f>
        <v>9.5210800000000012E-2</v>
      </c>
      <c r="P412" s="147">
        <f>IF($E412="","",MIN(VLOOKUP(IF($B412&lt;=Input!$C$7,$B412,26),'Mortality Tables'!$A$12:$CW$37,IF($B412&lt;=Input!$C$7+1,Input!$C$4+2,$D412-Input!$C$7+2),0)*IF(B412&gt;20,Input!$C$22,1)/1000,1))</f>
        <v>0.11901350000000001</v>
      </c>
      <c r="Q412" s="155">
        <f>IF($E412="","",Input!$C$21)</f>
        <v>5.0000000000000001E-3</v>
      </c>
      <c r="R412" s="159">
        <f>IF($E412="","",(1-Q412)^($F412-Input!$C$20))</f>
        <v>0.84754285030234555</v>
      </c>
      <c r="S412" s="147">
        <f t="shared" si="249"/>
        <v>8.069523281156657E-2</v>
      </c>
      <c r="T412" s="147">
        <f t="shared" si="250"/>
        <v>6.9869422297846873E-3</v>
      </c>
      <c r="U412" s="160">
        <f>IF($E412="","",IF($C412=12,INDEX(Input!$C$15:$CP$15,1,$B412),0))</f>
        <v>0.1</v>
      </c>
      <c r="V412" s="150">
        <f>IF(E412="","",IF(C412=1,IF($B412=1,Input!$C$33,Input!$C$34),0))</f>
        <v>0</v>
      </c>
      <c r="W412" s="156">
        <f>IF($E412="","",Input!$C$35)</f>
        <v>0.02</v>
      </c>
      <c r="X412" s="156">
        <f t="shared" si="248"/>
        <v>1.9222314039431532</v>
      </c>
      <c r="Y412" s="154"/>
      <c r="Z412" s="147">
        <f>IF($E412="","",VLOOKUP($D412,'Mortality Margins &amp; Grading'!$AB$5:$AF$125,3,0)*IF(Summary!$D$25="Included Margin",IF(AND($B412&gt;Input!$C$9,Summary!$D$31&lt;&gt;"Included Margin"),0,1),0))</f>
        <v>2.8000000000000001E-2</v>
      </c>
      <c r="AA412" s="147">
        <f>IF($E412="","",VLOOKUP($D412,'Mortality Margins &amp; Grading'!$AB$5:$AF$125,5,0)*IF(Summary!$D$25="Included Margin",IF(AND($B412&gt;Input!$C$9,Summary!$D$31&lt;&gt;"Included Margin"),0,1),0))</f>
        <v>0.14099999999999999</v>
      </c>
      <c r="AB412" s="147">
        <f>IF($E412="","",IF(AND($B412&gt;Input!$C$9,Summary!$D$31&lt;&gt;"Included Margin"),1,IF(Summary!$D$25="Included Margin",VLOOKUP($B412,'Mortality Margins &amp; Grading'!$AI$5:$AR$125,MATCH('Mortality Margins &amp; Grading'!$AQ$4,'Mortality Margins &amp; Grading'!$AI$4:$AR$4,0),0),1)))</f>
        <v>0.6875</v>
      </c>
      <c r="AC412" s="154"/>
      <c r="AD412" s="158">
        <f>IF(E412="","",Input!$C$48*IF(Summary!$D$30="Included Margin",IF(AND($B412&gt;Input!$C$9,Summary!$D$31&lt;&gt;"Included Margin"),0,1),0))</f>
        <v>-4.4999999999999997E-3</v>
      </c>
      <c r="AE412" s="159">
        <f>IF(E412="","",IF(Summary!$D$26="Included Margin",IF(AND($B412&gt;Input!$C$9,Summary!$D$31&lt;&gt;"Included Margin"),1,1/$R412),1))</f>
        <v>1.1798813471711409</v>
      </c>
      <c r="AF412" s="160">
        <f>IF(E412="","",IF(AND($B412&gt;=Input!$C$9,$C412=12,Summary!$D$31="Included Margin",$U412&gt;0),1/U412-1,IF($B412&gt;=Input!$C$9,0,Input!$C$45*IF(Summary!$D$27="Included Margin",1,0))))</f>
        <v>9</v>
      </c>
      <c r="AG412" s="160">
        <f>IF(E412="","",Input!$C$46*IF(Summary!$D$28="Included Margin",IF(AND($B412&gt;Input!$C$9,Summary!$D$31&lt;&gt;"Included Margin"),0,1),0))</f>
        <v>0.02</v>
      </c>
      <c r="AH412" s="158">
        <f>IF(E412="","",Input!$C$47*IF(Summary!$D$29="Included Margin",IF(AND($B412&gt;Input!$C$9,Summary!$D$31&lt;&gt;"Included Margin"),0,1),0))</f>
        <v>2.5000000000000001E-3</v>
      </c>
      <c r="AI412" s="154"/>
      <c r="AJ412" s="158">
        <f t="shared" si="271"/>
        <v>4.0170000000000004E-2</v>
      </c>
      <c r="AK412" s="155">
        <f t="shared" si="272"/>
        <v>3.2874051475051402E-3</v>
      </c>
      <c r="AL412" s="147">
        <f t="shared" si="273"/>
        <v>0.10972598399375003</v>
      </c>
      <c r="AM412" s="147">
        <f t="shared" si="251"/>
        <v>9.6387449997139552E-3</v>
      </c>
      <c r="AN412" s="160">
        <f t="shared" si="274"/>
        <v>1</v>
      </c>
      <c r="AO412" s="161">
        <f t="shared" si="275"/>
        <v>0</v>
      </c>
      <c r="AP412" s="156">
        <f t="shared" si="252"/>
        <v>2.0839603438536369</v>
      </c>
      <c r="AQ412" s="152"/>
      <c r="AR412" s="162">
        <f t="shared" si="253"/>
        <v>962.29277685737156</v>
      </c>
      <c r="AS412" s="150">
        <f t="shared" si="276"/>
        <v>0</v>
      </c>
      <c r="AT412" s="163">
        <f t="shared" si="254"/>
        <v>0</v>
      </c>
      <c r="AU412" s="163">
        <f t="shared" si="255"/>
        <v>963.87449997139549</v>
      </c>
      <c r="AV412" s="163">
        <f t="shared" si="277"/>
        <v>1.5791232316704842</v>
      </c>
      <c r="AW412" s="163">
        <f t="shared" si="256"/>
        <v>0</v>
      </c>
      <c r="AX412" s="163">
        <f t="shared" si="257"/>
        <v>0</v>
      </c>
      <c r="AY412" s="165">
        <f t="shared" si="278"/>
        <v>-2.5998823534458815E-3</v>
      </c>
      <c r="AZ412" s="164">
        <f>IF($E412="","",IF(OR(AND($D412=Input!$C$6,$C412=12),$AN412=1),0,-AS413+AT413+AU413-AV413-AW413-AX413+AZ413))</f>
        <v>0</v>
      </c>
      <c r="BA412" s="154">
        <f t="shared" si="258"/>
        <v>2.5998823534458815E-3</v>
      </c>
      <c r="BC412" s="147">
        <f t="shared" si="279"/>
        <v>1.1275525727342452E-2</v>
      </c>
      <c r="BD412" s="164">
        <f>IF(AND($C411=12,$D411=Input!$C$6),0,IF($E412="","",AT412+(AU412+BD413)/(1+$AK412)*MIN((1-AM412-AN412),1)))</f>
        <v>-117.34011104635125</v>
      </c>
      <c r="BE412" s="164">
        <f t="shared" si="259"/>
        <v>-1.3230714409523538</v>
      </c>
      <c r="BF412" s="164">
        <f t="shared" si="280"/>
        <v>0</v>
      </c>
      <c r="BG412" s="164">
        <f t="shared" si="260"/>
        <v>0</v>
      </c>
      <c r="BH412" s="152"/>
      <c r="BI412" s="162">
        <f t="shared" si="261"/>
        <v>-3102.55470163667</v>
      </c>
      <c r="BJ412" s="150">
        <f t="shared" si="262"/>
        <v>0</v>
      </c>
      <c r="BK412" s="163">
        <f t="shared" si="284"/>
        <v>0</v>
      </c>
      <c r="BL412" s="163">
        <f t="shared" si="263"/>
        <v>698.6942229784687</v>
      </c>
      <c r="BM412" s="163">
        <f t="shared" si="285"/>
        <v>-12.593894694130734</v>
      </c>
      <c r="BN412" s="163">
        <f t="shared" si="264"/>
        <v>-29.816194289964468</v>
      </c>
      <c r="BO412" s="163">
        <f t="shared" si="265"/>
        <v>-423.76005538922078</v>
      </c>
      <c r="BP412" s="164">
        <f t="shared" si="286"/>
        <v>-4267.4190689884545</v>
      </c>
      <c r="BQ412" s="164">
        <f>IF($E412="","",IF(AND($D412=Input!$C$6,$C412=12),0,-BJ413+BK413+BL413-BM413-BN413-BO413+BQ413))</f>
        <v>-4267.4167481821723</v>
      </c>
      <c r="BR412" s="161">
        <f t="shared" si="266"/>
        <v>0</v>
      </c>
      <c r="BT412" s="147">
        <f t="shared" si="267"/>
        <v>1.1275525727342452E-2</v>
      </c>
      <c r="BU412" s="164">
        <f>IF(AND($C411=12,$D411=Input!$C$6),0,IF($E412="","",BK412+(BL412+BU413)/(1+$AK412)*MIN((1-T412-U412),1)))</f>
        <v>45522.486105352116</v>
      </c>
      <c r="BV412" s="164">
        <f t="shared" si="268"/>
        <v>513.28996325348703</v>
      </c>
      <c r="BW412" s="164">
        <f t="shared" si="269"/>
        <v>-4267.4167481821723</v>
      </c>
      <c r="BX412" s="164">
        <f t="shared" si="270"/>
        <v>-48.117367333420148</v>
      </c>
    </row>
    <row r="413" spans="1:76" s="150" customFormat="1" x14ac:dyDescent="0.25">
      <c r="A413" s="150">
        <f t="shared" si="281"/>
        <v>409</v>
      </c>
      <c r="B413" s="150">
        <f t="shared" si="282"/>
        <v>35</v>
      </c>
      <c r="C413" s="150">
        <f t="shared" si="283"/>
        <v>1</v>
      </c>
      <c r="D413" s="150">
        <f>IF(E413="","",Input!$C$4+B413-1)</f>
        <v>79</v>
      </c>
      <c r="E413" s="150">
        <f>IF(OR(AND(C412=12,D412=Input!$C$6),E412=""),"",1)</f>
        <v>1</v>
      </c>
      <c r="F413" s="150">
        <f>IF(E413="","",Input!$C$8+B413-1)</f>
        <v>2052</v>
      </c>
      <c r="G413" s="151">
        <f>IF(E413="","",MAX(0,Input!$C$9-B413))</f>
        <v>0</v>
      </c>
      <c r="H413" s="152">
        <f>IF(E413="","",Input!$C$3)</f>
        <v>100000</v>
      </c>
      <c r="I413" s="153">
        <f>IF(E413="","",HLOOKUP($B413,Input!$C$13:$BT$14,2))</f>
        <v>94.913000000000011</v>
      </c>
      <c r="J413" s="154"/>
      <c r="K413" s="155">
        <f>IF($E413="","",INDEX(Input!$C$16:$CP$16,1,$B413))</f>
        <v>2.997E-2</v>
      </c>
      <c r="L413" s="155">
        <f>IF($E413="","",Input!$C$37)</f>
        <v>1.4999999999999999E-2</v>
      </c>
      <c r="M413" s="155">
        <f t="shared" si="246"/>
        <v>4.4969999999999996E-2</v>
      </c>
      <c r="N413" s="155">
        <f t="shared" si="247"/>
        <v>3.6724082329346874E-3</v>
      </c>
      <c r="O413" s="147">
        <f>IF($E413="","",MIN(VLOOKUP(IF($B413&lt;=Input!$C$7,$B413,26),'Mortality Tables'!$A$41:$CW$67,IF($B413&lt;=Input!$C$7+1,Input!$C$4+2,$D413-Input!$C$7+2),0)*IF(B413&gt;20,Input!$C$22,1)/1000,1))</f>
        <v>0.10712400000000001</v>
      </c>
      <c r="P413" s="147">
        <f>IF($E413="","",MIN(VLOOKUP(IF($B413&lt;=Input!$C$7,$B413,26),'Mortality Tables'!$A$12:$CW$37,IF($B413&lt;=Input!$C$7+1,Input!$C$4+2,$D413-Input!$C$7+2),0)*IF(B413&gt;20,Input!$C$22,1)/1000,1))</f>
        <v>0.133905</v>
      </c>
      <c r="Q413" s="155">
        <f>IF($E413="","",Input!$C$21)</f>
        <v>5.0000000000000001E-3</v>
      </c>
      <c r="R413" s="159">
        <f>IF($E413="","",(1-Q413)^($F413-Input!$C$20))</f>
        <v>0.84330513605083379</v>
      </c>
      <c r="S413" s="147">
        <f t="shared" si="249"/>
        <v>9.0338219394309527E-2</v>
      </c>
      <c r="T413" s="147">
        <f t="shared" si="250"/>
        <v>7.8591555850164863E-3</v>
      </c>
      <c r="U413" s="160">
        <f>IF($E413="","",IF($C413=12,INDEX(Input!$C$15:$CP$15,1,$B413),0))</f>
        <v>0</v>
      </c>
      <c r="V413" s="150">
        <f>IF(E413="","",IF(C413=1,IF($B413=1,Input!$C$33,Input!$C$34),0))</f>
        <v>50</v>
      </c>
      <c r="W413" s="156">
        <f>IF($E413="","",Input!$C$35)</f>
        <v>0.02</v>
      </c>
      <c r="X413" s="156">
        <f t="shared" si="248"/>
        <v>1.9606760320220162</v>
      </c>
      <c r="Y413" s="154"/>
      <c r="Z413" s="147">
        <f>IF($E413="","",VLOOKUP($D413,'Mortality Margins &amp; Grading'!$AB$5:$AF$125,3,0)*IF(Summary!$D$25="Included Margin",IF(AND($B413&gt;Input!$C$9,Summary!$D$31&lt;&gt;"Included Margin"),0,1),0))</f>
        <v>2.8000000000000001E-2</v>
      </c>
      <c r="AA413" s="147">
        <f>IF($E413="","",VLOOKUP($D413,'Mortality Margins &amp; Grading'!$AB$5:$AF$125,5,0)*IF(Summary!$D$25="Included Margin",IF(AND($B413&gt;Input!$C$9,Summary!$D$31&lt;&gt;"Included Margin"),0,1),0))</f>
        <v>0.14099999999999999</v>
      </c>
      <c r="AB413" s="147">
        <f>IF($E413="","",IF(AND($B413&gt;Input!$C$9,Summary!$D$31&lt;&gt;"Included Margin"),1,IF(Summary!$D$25="Included Margin",VLOOKUP($B413,'Mortality Margins &amp; Grading'!$AI$5:$AR$125,MATCH('Mortality Margins &amp; Grading'!$AQ$4,'Mortality Margins &amp; Grading'!$AI$4:$AR$4,0),0),1)))</f>
        <v>0.625</v>
      </c>
      <c r="AC413" s="154"/>
      <c r="AD413" s="158">
        <f>IF(E413="","",Input!$C$48*IF(Summary!$D$30="Included Margin",IF(AND($B413&gt;Input!$C$9,Summary!$D$31&lt;&gt;"Included Margin"),0,1),0))</f>
        <v>-4.4999999999999997E-3</v>
      </c>
      <c r="AE413" s="159">
        <f>IF(E413="","",IF(Summary!$D$26="Included Margin",IF(AND($B413&gt;Input!$C$9,Summary!$D$31&lt;&gt;"Included Margin"),1,1/$R413),1))</f>
        <v>1.1858103991669757</v>
      </c>
      <c r="AF413" s="160">
        <f>IF(E413="","",IF(AND($B413&gt;=Input!$C$9,$C413=12,Summary!$D$31="Included Margin",$U413&gt;0),1/U413-1,IF($B413&gt;=Input!$C$9,0,Input!$C$45*IF(Summary!$D$27="Included Margin",1,0))))</f>
        <v>0</v>
      </c>
      <c r="AG413" s="160">
        <f>IF(E413="","",Input!$C$46*IF(Summary!$D$28="Included Margin",IF(AND($B413&gt;Input!$C$9,Summary!$D$31&lt;&gt;"Included Margin"),0,1),0))</f>
        <v>0.02</v>
      </c>
      <c r="AH413" s="158">
        <f>IF(E413="","",Input!$C$47*IF(Summary!$D$29="Included Margin",IF(AND($B413&gt;Input!$C$9,Summary!$D$31&lt;&gt;"Included Margin"),0,1),0))</f>
        <v>2.5000000000000001E-3</v>
      </c>
      <c r="AI413" s="154"/>
      <c r="AJ413" s="158">
        <f t="shared" si="271"/>
        <v>4.0469999999999999E-2</v>
      </c>
      <c r="AK413" s="155">
        <f t="shared" si="272"/>
        <v>3.3115155045884137E-3</v>
      </c>
      <c r="AL413" s="147">
        <f t="shared" si="273"/>
        <v>0.12612177187500001</v>
      </c>
      <c r="AM413" s="147">
        <f t="shared" si="251"/>
        <v>1.1171648454382899E-2</v>
      </c>
      <c r="AN413" s="160">
        <f t="shared" si="274"/>
        <v>0</v>
      </c>
      <c r="AO413" s="161">
        <f t="shared" si="275"/>
        <v>51</v>
      </c>
      <c r="AP413" s="156">
        <f t="shared" si="252"/>
        <v>2.1308494515903438</v>
      </c>
      <c r="AQ413" s="152"/>
      <c r="AR413" s="162">
        <f t="shared" si="253"/>
        <v>2988.1277816608367</v>
      </c>
      <c r="AS413" s="150">
        <f t="shared" si="276"/>
        <v>9491.3000000000011</v>
      </c>
      <c r="AT413" s="163">
        <f t="shared" si="254"/>
        <v>108.67332203110753</v>
      </c>
      <c r="AU413" s="163">
        <f t="shared" si="255"/>
        <v>1117.1648454382898</v>
      </c>
      <c r="AV413" s="163">
        <f t="shared" si="277"/>
        <v>39.116190843095112</v>
      </c>
      <c r="AW413" s="163">
        <f t="shared" si="256"/>
        <v>127.58349142676957</v>
      </c>
      <c r="AX413" s="163">
        <f t="shared" si="257"/>
        <v>0</v>
      </c>
      <c r="AY413" s="164">
        <f t="shared" si="278"/>
        <v>11420.289296461304</v>
      </c>
      <c r="AZ413" s="164">
        <f>IF($E413="","",IF(OR(AND($D413=Input!$C$6,$C413=12),$AN413=1),0,-AS414+AT414+AU414-AV414-AW414-AX414+AZ414))</f>
        <v>11420.292354143634</v>
      </c>
      <c r="BA413" s="154">
        <f t="shared" si="258"/>
        <v>3.0576823301089462E-3</v>
      </c>
      <c r="BC413" s="147">
        <f t="shared" si="279"/>
        <v>1.1186909616348412E-2</v>
      </c>
      <c r="BD413" s="164">
        <f>IF(AND($C412=12,$D412=Input!$C$6),0,IF($E413="","",AT413+(AU413+BD414)/(1+$AK413)*MIN((1-AM413-AN413),1)))</f>
        <v>11249.941254559672</v>
      </c>
      <c r="BE413" s="164">
        <f t="shared" si="259"/>
        <v>125.8520760039883</v>
      </c>
      <c r="BF413" s="164">
        <f t="shared" si="280"/>
        <v>11420.292354143634</v>
      </c>
      <c r="BG413" s="164">
        <f t="shared" si="260"/>
        <v>127.75777835807966</v>
      </c>
      <c r="BH413" s="152"/>
      <c r="BI413" s="162">
        <f t="shared" si="261"/>
        <v>-4267.4193931541658</v>
      </c>
      <c r="BJ413" s="150">
        <f t="shared" si="262"/>
        <v>9491.3000000000011</v>
      </c>
      <c r="BK413" s="163">
        <f t="shared" si="284"/>
        <v>98.033801601100805</v>
      </c>
      <c r="BL413" s="163">
        <f t="shared" si="263"/>
        <v>785.91555850164866</v>
      </c>
      <c r="BM413" s="163">
        <f t="shared" si="285"/>
        <v>17.381100624626267</v>
      </c>
      <c r="BN413" s="163">
        <f t="shared" si="264"/>
        <v>34.516083729941727</v>
      </c>
      <c r="BO413" s="163">
        <f t="shared" si="265"/>
        <v>0</v>
      </c>
      <c r="BP413" s="164">
        <f t="shared" si="286"/>
        <v>4391.8284310976533</v>
      </c>
      <c r="BQ413" s="164">
        <f>IF($E413="","",IF(AND($D413=Input!$C$6,$C413=12),0,-BJ414+BK414+BL414-BM414-BN414-BO414+BQ414))</f>
        <v>4391.8310760696468</v>
      </c>
      <c r="BR413" s="161">
        <f t="shared" si="266"/>
        <v>0</v>
      </c>
      <c r="BT413" s="147">
        <f t="shared" si="267"/>
        <v>1.1186909616348412E-2</v>
      </c>
      <c r="BU413" s="164">
        <f>IF(AND($C412=12,$D412=Input!$C$6),0,IF($E413="","",BK413+(BL413+BU414)/(1+$AK413)*MIN((1-T413-U413),1)))</f>
        <v>50445.168191017896</v>
      </c>
      <c r="BV413" s="164">
        <f t="shared" si="268"/>
        <v>564.32553713441109</v>
      </c>
      <c r="BW413" s="164">
        <f t="shared" si="269"/>
        <v>4391.8310760696468</v>
      </c>
      <c r="BX413" s="164">
        <f t="shared" si="270"/>
        <v>49.131017298261327</v>
      </c>
    </row>
    <row r="414" spans="1:76" s="150" customFormat="1" x14ac:dyDescent="0.25">
      <c r="A414" s="150">
        <f t="shared" si="281"/>
        <v>410</v>
      </c>
      <c r="B414" s="150">
        <f t="shared" si="282"/>
        <v>35</v>
      </c>
      <c r="C414" s="150">
        <f t="shared" si="283"/>
        <v>2</v>
      </c>
      <c r="D414" s="150">
        <f>IF(E414="","",Input!$C$4+B414-1)</f>
        <v>79</v>
      </c>
      <c r="E414" s="150">
        <f>IF(OR(AND(C413=12,D413=Input!$C$6),E413=""),"",1)</f>
        <v>1</v>
      </c>
      <c r="F414" s="150">
        <f>IF(E414="","",Input!$C$8+B414-1)</f>
        <v>2052</v>
      </c>
      <c r="G414" s="151">
        <f>IF(E414="","",MAX(0,Input!$C$9-B414))</f>
        <v>0</v>
      </c>
      <c r="H414" s="152">
        <f>IF(E414="","",Input!$C$3)</f>
        <v>100000</v>
      </c>
      <c r="I414" s="153">
        <f>IF(E414="","",HLOOKUP($B414,Input!$C$13:$BT$14,2))</f>
        <v>94.913000000000011</v>
      </c>
      <c r="J414" s="154"/>
      <c r="K414" s="155">
        <f>IF($E414="","",INDEX(Input!$C$16:$CP$16,1,$B414))</f>
        <v>2.997E-2</v>
      </c>
      <c r="L414" s="155">
        <f>IF($E414="","",Input!$C$37)</f>
        <v>1.4999999999999999E-2</v>
      </c>
      <c r="M414" s="155">
        <f t="shared" si="246"/>
        <v>4.4969999999999996E-2</v>
      </c>
      <c r="N414" s="155">
        <f t="shared" si="247"/>
        <v>3.6724082329346874E-3</v>
      </c>
      <c r="O414" s="147">
        <f>IF($E414="","",MIN(VLOOKUP(IF($B414&lt;=Input!$C$7,$B414,26),'Mortality Tables'!$A$41:$CW$67,IF($B414&lt;=Input!$C$7+1,Input!$C$4+2,$D414-Input!$C$7+2),0)*IF(B414&gt;20,Input!$C$22,1)/1000,1))</f>
        <v>0.10712400000000001</v>
      </c>
      <c r="P414" s="147">
        <f>IF($E414="","",MIN(VLOOKUP(IF($B414&lt;=Input!$C$7,$B414,26),'Mortality Tables'!$A$12:$CW$37,IF($B414&lt;=Input!$C$7+1,Input!$C$4+2,$D414-Input!$C$7+2),0)*IF(B414&gt;20,Input!$C$22,1)/1000,1))</f>
        <v>0.133905</v>
      </c>
      <c r="Q414" s="155">
        <f>IF($E414="","",Input!$C$21)</f>
        <v>5.0000000000000001E-3</v>
      </c>
      <c r="R414" s="159">
        <f>IF($E414="","",(1-Q414)^($F414-Input!$C$20))</f>
        <v>0.84330513605083379</v>
      </c>
      <c r="S414" s="147">
        <f t="shared" si="249"/>
        <v>9.0338219394309527E-2</v>
      </c>
      <c r="T414" s="147">
        <f t="shared" si="250"/>
        <v>7.8591555850164863E-3</v>
      </c>
      <c r="U414" s="160">
        <f>IF($E414="","",IF($C414=12,INDEX(Input!$C$15:$CP$15,1,$B414),0))</f>
        <v>0</v>
      </c>
      <c r="V414" s="150">
        <f>IF(E414="","",IF(C414=1,IF($B414=1,Input!$C$33,Input!$C$34),0))</f>
        <v>0</v>
      </c>
      <c r="W414" s="156">
        <f>IF($E414="","",Input!$C$35)</f>
        <v>0.02</v>
      </c>
      <c r="X414" s="156">
        <f t="shared" si="248"/>
        <v>1.9606760320220162</v>
      </c>
      <c r="Y414" s="154"/>
      <c r="Z414" s="147">
        <f>IF($E414="","",VLOOKUP($D414,'Mortality Margins &amp; Grading'!$AB$5:$AF$125,3,0)*IF(Summary!$D$25="Included Margin",IF(AND($B414&gt;Input!$C$9,Summary!$D$31&lt;&gt;"Included Margin"),0,1),0))</f>
        <v>2.8000000000000001E-2</v>
      </c>
      <c r="AA414" s="147">
        <f>IF($E414="","",VLOOKUP($D414,'Mortality Margins &amp; Grading'!$AB$5:$AF$125,5,0)*IF(Summary!$D$25="Included Margin",IF(AND($B414&gt;Input!$C$9,Summary!$D$31&lt;&gt;"Included Margin"),0,1),0))</f>
        <v>0.14099999999999999</v>
      </c>
      <c r="AB414" s="147">
        <f>IF($E414="","",IF(AND($B414&gt;Input!$C$9,Summary!$D$31&lt;&gt;"Included Margin"),1,IF(Summary!$D$25="Included Margin",VLOOKUP($B414,'Mortality Margins &amp; Grading'!$AI$5:$AR$125,MATCH('Mortality Margins &amp; Grading'!$AQ$4,'Mortality Margins &amp; Grading'!$AI$4:$AR$4,0),0),1)))</f>
        <v>0.625</v>
      </c>
      <c r="AC414" s="154"/>
      <c r="AD414" s="158">
        <f>IF(E414="","",Input!$C$48*IF(Summary!$D$30="Included Margin",IF(AND($B414&gt;Input!$C$9,Summary!$D$31&lt;&gt;"Included Margin"),0,1),0))</f>
        <v>-4.4999999999999997E-3</v>
      </c>
      <c r="AE414" s="159">
        <f>IF(E414="","",IF(Summary!$D$26="Included Margin",IF(AND($B414&gt;Input!$C$9,Summary!$D$31&lt;&gt;"Included Margin"),1,1/$R414),1))</f>
        <v>1.1858103991669757</v>
      </c>
      <c r="AF414" s="160">
        <f>IF(E414="","",IF(AND($B414&gt;=Input!$C$9,$C414=12,Summary!$D$31="Included Margin",$U414&gt;0),1/U414-1,IF($B414&gt;=Input!$C$9,0,Input!$C$45*IF(Summary!$D$27="Included Margin",1,0))))</f>
        <v>0</v>
      </c>
      <c r="AG414" s="160">
        <f>IF(E414="","",Input!$C$46*IF(Summary!$D$28="Included Margin",IF(AND($B414&gt;Input!$C$9,Summary!$D$31&lt;&gt;"Included Margin"),0,1),0))</f>
        <v>0.02</v>
      </c>
      <c r="AH414" s="158">
        <f>IF(E414="","",Input!$C$47*IF(Summary!$D$29="Included Margin",IF(AND($B414&gt;Input!$C$9,Summary!$D$31&lt;&gt;"Included Margin"),0,1),0))</f>
        <v>2.5000000000000001E-3</v>
      </c>
      <c r="AI414" s="154"/>
      <c r="AJ414" s="158">
        <f t="shared" si="271"/>
        <v>4.0469999999999999E-2</v>
      </c>
      <c r="AK414" s="155">
        <f t="shared" si="272"/>
        <v>3.3115155045884137E-3</v>
      </c>
      <c r="AL414" s="147">
        <f t="shared" si="273"/>
        <v>0.12612177187500001</v>
      </c>
      <c r="AM414" s="147">
        <f t="shared" si="251"/>
        <v>1.1171648454382899E-2</v>
      </c>
      <c r="AN414" s="160">
        <f t="shared" si="274"/>
        <v>0</v>
      </c>
      <c r="AO414" s="161">
        <f t="shared" si="275"/>
        <v>0</v>
      </c>
      <c r="AP414" s="156">
        <f t="shared" si="252"/>
        <v>2.1308494515903438</v>
      </c>
      <c r="AQ414" s="152"/>
      <c r="AR414" s="162">
        <f t="shared" si="253"/>
        <v>11420.289296461304</v>
      </c>
      <c r="AS414" s="150">
        <f t="shared" si="276"/>
        <v>0</v>
      </c>
      <c r="AT414" s="163">
        <f t="shared" si="254"/>
        <v>0</v>
      </c>
      <c r="AU414" s="163">
        <f t="shared" si="255"/>
        <v>1117.1648454382898</v>
      </c>
      <c r="AV414" s="163">
        <f t="shared" si="277"/>
        <v>35.96871071869171</v>
      </c>
      <c r="AW414" s="163">
        <f t="shared" si="256"/>
        <v>116.80970526269955</v>
      </c>
      <c r="AX414" s="163">
        <f t="shared" si="257"/>
        <v>0</v>
      </c>
      <c r="AY414" s="165">
        <f t="shared" si="278"/>
        <v>10455.902867004404</v>
      </c>
      <c r="AZ414" s="164">
        <f>IF($E414="","",IF(OR(AND($D414=Input!$C$6,$C414=12),$AN414=1),0,-AS415+AT415+AU415-AV415-AW415-AX415+AZ415))</f>
        <v>10455.905924686735</v>
      </c>
      <c r="BA414" s="154">
        <f t="shared" si="258"/>
        <v>3.0576823301089462E-3</v>
      </c>
      <c r="BC414" s="147">
        <f t="shared" si="279"/>
        <v>1.1098989953158013E-2</v>
      </c>
      <c r="BD414" s="164">
        <f>IF(AND($C413=12,$D413=Input!$C$6),0,IF($E414="","",AT414+(AU414+BD415)/(1+$AK414)*MIN((1-AM414-AN414),1)))</f>
        <v>10187.286929792013</v>
      </c>
      <c r="BE414" s="164">
        <f t="shared" si="259"/>
        <v>113.06859528369949</v>
      </c>
      <c r="BF414" s="164">
        <f t="shared" si="280"/>
        <v>10455.905924686735</v>
      </c>
      <c r="BG414" s="164">
        <f t="shared" si="260"/>
        <v>116.04999480926341</v>
      </c>
      <c r="BH414" s="152"/>
      <c r="BI414" s="162">
        <f t="shared" si="261"/>
        <v>4391.8284310976542</v>
      </c>
      <c r="BJ414" s="150">
        <f t="shared" si="262"/>
        <v>0</v>
      </c>
      <c r="BK414" s="163">
        <f t="shared" si="284"/>
        <v>0</v>
      </c>
      <c r="BL414" s="163">
        <f t="shared" si="263"/>
        <v>785.91555850164866</v>
      </c>
      <c r="BM414" s="163">
        <f t="shared" si="285"/>
        <v>14.685485504283198</v>
      </c>
      <c r="BN414" s="163">
        <f t="shared" si="264"/>
        <v>28.680269293005715</v>
      </c>
      <c r="BO414" s="163">
        <f t="shared" si="265"/>
        <v>0</v>
      </c>
      <c r="BP414" s="164">
        <f t="shared" si="286"/>
        <v>3649.2786273932943</v>
      </c>
      <c r="BQ414" s="164">
        <f>IF($E414="","",IF(AND($D414=Input!$C$6,$C414=12),0,-BJ415+BK415+BL415-BM415-BN415-BO415+BQ415))</f>
        <v>3649.2812723652869</v>
      </c>
      <c r="BR414" s="161">
        <f t="shared" si="266"/>
        <v>0</v>
      </c>
      <c r="BT414" s="147">
        <f t="shared" si="267"/>
        <v>1.1098989953158013E-2</v>
      </c>
      <c r="BU414" s="164">
        <f>IF(AND($C413=12,$D413=Input!$C$6),0,IF($E414="","",BK414+(BL414+BU415)/(1+$AK414)*MIN((1-T414-U414),1)))</f>
        <v>50128.085200477763</v>
      </c>
      <c r="BV414" s="164">
        <f t="shared" si="268"/>
        <v>556.37111401115158</v>
      </c>
      <c r="BW414" s="164">
        <f t="shared" si="269"/>
        <v>3649.2812723652869</v>
      </c>
      <c r="BX414" s="164">
        <f t="shared" si="270"/>
        <v>40.503336178230008</v>
      </c>
    </row>
    <row r="415" spans="1:76" s="150" customFormat="1" x14ac:dyDescent="0.25">
      <c r="A415" s="150">
        <f t="shared" si="281"/>
        <v>411</v>
      </c>
      <c r="B415" s="150">
        <f t="shared" si="282"/>
        <v>35</v>
      </c>
      <c r="C415" s="150">
        <f t="shared" si="283"/>
        <v>3</v>
      </c>
      <c r="D415" s="150">
        <f>IF(E415="","",Input!$C$4+B415-1)</f>
        <v>79</v>
      </c>
      <c r="E415" s="150">
        <f>IF(OR(AND(C414=12,D414=Input!$C$6),E414=""),"",1)</f>
        <v>1</v>
      </c>
      <c r="F415" s="150">
        <f>IF(E415="","",Input!$C$8+B415-1)</f>
        <v>2052</v>
      </c>
      <c r="G415" s="151">
        <f>IF(E415="","",MAX(0,Input!$C$9-B415))</f>
        <v>0</v>
      </c>
      <c r="H415" s="152">
        <f>IF(E415="","",Input!$C$3)</f>
        <v>100000</v>
      </c>
      <c r="I415" s="153">
        <f>IF(E415="","",HLOOKUP($B415,Input!$C$13:$BT$14,2))</f>
        <v>94.913000000000011</v>
      </c>
      <c r="J415" s="154"/>
      <c r="K415" s="155">
        <f>IF($E415="","",INDEX(Input!$C$16:$CP$16,1,$B415))</f>
        <v>2.997E-2</v>
      </c>
      <c r="L415" s="155">
        <f>IF($E415="","",Input!$C$37)</f>
        <v>1.4999999999999999E-2</v>
      </c>
      <c r="M415" s="155">
        <f t="shared" si="246"/>
        <v>4.4969999999999996E-2</v>
      </c>
      <c r="N415" s="155">
        <f t="shared" si="247"/>
        <v>3.6724082329346874E-3</v>
      </c>
      <c r="O415" s="147">
        <f>IF($E415="","",MIN(VLOOKUP(IF($B415&lt;=Input!$C$7,$B415,26),'Mortality Tables'!$A$41:$CW$67,IF($B415&lt;=Input!$C$7+1,Input!$C$4+2,$D415-Input!$C$7+2),0)*IF(B415&gt;20,Input!$C$22,1)/1000,1))</f>
        <v>0.10712400000000001</v>
      </c>
      <c r="P415" s="147">
        <f>IF($E415="","",MIN(VLOOKUP(IF($B415&lt;=Input!$C$7,$B415,26),'Mortality Tables'!$A$12:$CW$37,IF($B415&lt;=Input!$C$7+1,Input!$C$4+2,$D415-Input!$C$7+2),0)*IF(B415&gt;20,Input!$C$22,1)/1000,1))</f>
        <v>0.133905</v>
      </c>
      <c r="Q415" s="155">
        <f>IF($E415="","",Input!$C$21)</f>
        <v>5.0000000000000001E-3</v>
      </c>
      <c r="R415" s="159">
        <f>IF($E415="","",(1-Q415)^($F415-Input!$C$20))</f>
        <v>0.84330513605083379</v>
      </c>
      <c r="S415" s="147">
        <f t="shared" si="249"/>
        <v>9.0338219394309527E-2</v>
      </c>
      <c r="T415" s="147">
        <f t="shared" si="250"/>
        <v>7.8591555850164863E-3</v>
      </c>
      <c r="U415" s="160">
        <f>IF($E415="","",IF($C415=12,INDEX(Input!$C$15:$CP$15,1,$B415),0))</f>
        <v>0</v>
      </c>
      <c r="V415" s="150">
        <f>IF(E415="","",IF(C415=1,IF($B415=1,Input!$C$33,Input!$C$34),0))</f>
        <v>0</v>
      </c>
      <c r="W415" s="156">
        <f>IF($E415="","",Input!$C$35)</f>
        <v>0.02</v>
      </c>
      <c r="X415" s="156">
        <f t="shared" si="248"/>
        <v>1.9606760320220162</v>
      </c>
      <c r="Y415" s="154"/>
      <c r="Z415" s="147">
        <f>IF($E415="","",VLOOKUP($D415,'Mortality Margins &amp; Grading'!$AB$5:$AF$125,3,0)*IF(Summary!$D$25="Included Margin",IF(AND($B415&gt;Input!$C$9,Summary!$D$31&lt;&gt;"Included Margin"),0,1),0))</f>
        <v>2.8000000000000001E-2</v>
      </c>
      <c r="AA415" s="147">
        <f>IF($E415="","",VLOOKUP($D415,'Mortality Margins &amp; Grading'!$AB$5:$AF$125,5,0)*IF(Summary!$D$25="Included Margin",IF(AND($B415&gt;Input!$C$9,Summary!$D$31&lt;&gt;"Included Margin"),0,1),0))</f>
        <v>0.14099999999999999</v>
      </c>
      <c r="AB415" s="147">
        <f>IF($E415="","",IF(AND($B415&gt;Input!$C$9,Summary!$D$31&lt;&gt;"Included Margin"),1,IF(Summary!$D$25="Included Margin",VLOOKUP($B415,'Mortality Margins &amp; Grading'!$AI$5:$AR$125,MATCH('Mortality Margins &amp; Grading'!$AQ$4,'Mortality Margins &amp; Grading'!$AI$4:$AR$4,0),0),1)))</f>
        <v>0.625</v>
      </c>
      <c r="AC415" s="154"/>
      <c r="AD415" s="158">
        <f>IF(E415="","",Input!$C$48*IF(Summary!$D$30="Included Margin",IF(AND($B415&gt;Input!$C$9,Summary!$D$31&lt;&gt;"Included Margin"),0,1),0))</f>
        <v>-4.4999999999999997E-3</v>
      </c>
      <c r="AE415" s="159">
        <f>IF(E415="","",IF(Summary!$D$26="Included Margin",IF(AND($B415&gt;Input!$C$9,Summary!$D$31&lt;&gt;"Included Margin"),1,1/$R415),1))</f>
        <v>1.1858103991669757</v>
      </c>
      <c r="AF415" s="160">
        <f>IF(E415="","",IF(AND($B415&gt;=Input!$C$9,$C415=12,Summary!$D$31="Included Margin",$U415&gt;0),1/U415-1,IF($B415&gt;=Input!$C$9,0,Input!$C$45*IF(Summary!$D$27="Included Margin",1,0))))</f>
        <v>0</v>
      </c>
      <c r="AG415" s="160">
        <f>IF(E415="","",Input!$C$46*IF(Summary!$D$28="Included Margin",IF(AND($B415&gt;Input!$C$9,Summary!$D$31&lt;&gt;"Included Margin"),0,1),0))</f>
        <v>0.02</v>
      </c>
      <c r="AH415" s="158">
        <f>IF(E415="","",Input!$C$47*IF(Summary!$D$29="Included Margin",IF(AND($B415&gt;Input!$C$9,Summary!$D$31&lt;&gt;"Included Margin"),0,1),0))</f>
        <v>2.5000000000000001E-3</v>
      </c>
      <c r="AI415" s="154"/>
      <c r="AJ415" s="158">
        <f t="shared" si="271"/>
        <v>4.0469999999999999E-2</v>
      </c>
      <c r="AK415" s="155">
        <f t="shared" si="272"/>
        <v>3.3115155045884137E-3</v>
      </c>
      <c r="AL415" s="147">
        <f t="shared" si="273"/>
        <v>0.12612177187500001</v>
      </c>
      <c r="AM415" s="147">
        <f t="shared" si="251"/>
        <v>1.1171648454382899E-2</v>
      </c>
      <c r="AN415" s="160">
        <f t="shared" si="274"/>
        <v>0</v>
      </c>
      <c r="AO415" s="161">
        <f t="shared" si="275"/>
        <v>0</v>
      </c>
      <c r="AP415" s="156">
        <f t="shared" si="252"/>
        <v>2.1308494515903438</v>
      </c>
      <c r="AQ415" s="152"/>
      <c r="AR415" s="162">
        <f t="shared" si="253"/>
        <v>10455.902867004404</v>
      </c>
      <c r="AS415" s="150">
        <f t="shared" si="276"/>
        <v>0</v>
      </c>
      <c r="AT415" s="163">
        <f t="shared" si="254"/>
        <v>0</v>
      </c>
      <c r="AU415" s="163">
        <f t="shared" si="255"/>
        <v>1117.1648454382898</v>
      </c>
      <c r="AV415" s="163">
        <f t="shared" si="277"/>
        <v>32.775130105130529</v>
      </c>
      <c r="AW415" s="163">
        <f t="shared" si="256"/>
        <v>105.87811768524044</v>
      </c>
      <c r="AX415" s="163">
        <f t="shared" si="257"/>
        <v>0</v>
      </c>
      <c r="AY415" s="164">
        <f t="shared" si="278"/>
        <v>9477.3912693564853</v>
      </c>
      <c r="AZ415" s="164">
        <f>IF($E415="","",IF(OR(AND($D415=Input!$C$6,$C415=12),$AN415=1),0,-AS416+AT416+AU416-AV416-AW416-AX416+AZ416))</f>
        <v>9477.3943270388154</v>
      </c>
      <c r="BA415" s="154">
        <f t="shared" si="258"/>
        <v>3.0576823301089462E-3</v>
      </c>
      <c r="BC415" s="147">
        <f t="shared" si="279"/>
        <v>1.1011761264279609E-2</v>
      </c>
      <c r="BD415" s="164">
        <f>IF(AND($C414=12,$D414=Input!$C$6),0,IF($E415="","",AT415+(AU415+BD416)/(1+$AK415)*MIN((1-AM415-AN415),1)))</f>
        <v>9219.3331649933898</v>
      </c>
      <c r="BE415" s="164">
        <f t="shared" si="259"/>
        <v>101.52109582876254</v>
      </c>
      <c r="BF415" s="164">
        <f t="shared" si="280"/>
        <v>9477.3943270388154</v>
      </c>
      <c r="BG415" s="164">
        <f t="shared" si="260"/>
        <v>104.36280373678933</v>
      </c>
      <c r="BH415" s="152"/>
      <c r="BI415" s="162">
        <f t="shared" si="261"/>
        <v>3649.2786273932943</v>
      </c>
      <c r="BJ415" s="150">
        <f t="shared" si="262"/>
        <v>0</v>
      </c>
      <c r="BK415" s="163">
        <f t="shared" si="284"/>
        <v>0</v>
      </c>
      <c r="BL415" s="163">
        <f t="shared" si="263"/>
        <v>785.91555850164866</v>
      </c>
      <c r="BM415" s="163">
        <f t="shared" si="285"/>
        <v>11.958539491795271</v>
      </c>
      <c r="BN415" s="163">
        <f t="shared" si="264"/>
        <v>22.776625709645504</v>
      </c>
      <c r="BO415" s="163">
        <f t="shared" si="265"/>
        <v>0</v>
      </c>
      <c r="BP415" s="164">
        <f t="shared" si="286"/>
        <v>2898.0982340930864</v>
      </c>
      <c r="BQ415" s="164">
        <f>IF($E415="","",IF(AND($D415=Input!$C$6,$C415=12),0,-BJ416+BK416+BL416-BM416-BN416-BO416+BQ416))</f>
        <v>2898.100879065079</v>
      </c>
      <c r="BR415" s="161">
        <f t="shared" si="266"/>
        <v>0</v>
      </c>
      <c r="BT415" s="147">
        <f t="shared" si="267"/>
        <v>1.1011761264279609E-2</v>
      </c>
      <c r="BU415" s="164">
        <f>IF(AND($C414=12,$D414=Input!$C$6),0,IF($E415="","",BK415+(BL415+BU416)/(1+$AK415)*MIN((1-T415-U415),1)))</f>
        <v>49906.569701986155</v>
      </c>
      <c r="BV415" s="164">
        <f t="shared" si="268"/>
        <v>549.55923107740148</v>
      </c>
      <c r="BW415" s="164">
        <f t="shared" si="269"/>
        <v>2898.100879065079</v>
      </c>
      <c r="BX415" s="164">
        <f t="shared" si="270"/>
        <v>31.913195000063521</v>
      </c>
    </row>
    <row r="416" spans="1:76" s="150" customFormat="1" x14ac:dyDescent="0.25">
      <c r="A416" s="150">
        <f t="shared" si="281"/>
        <v>412</v>
      </c>
      <c r="B416" s="150">
        <f t="shared" si="282"/>
        <v>35</v>
      </c>
      <c r="C416" s="150">
        <f t="shared" si="283"/>
        <v>4</v>
      </c>
      <c r="D416" s="150">
        <f>IF(E416="","",Input!$C$4+B416-1)</f>
        <v>79</v>
      </c>
      <c r="E416" s="150">
        <f>IF(OR(AND(C415=12,D415=Input!$C$6),E415=""),"",1)</f>
        <v>1</v>
      </c>
      <c r="F416" s="150">
        <f>IF(E416="","",Input!$C$8+B416-1)</f>
        <v>2052</v>
      </c>
      <c r="G416" s="151">
        <f>IF(E416="","",MAX(0,Input!$C$9-B416))</f>
        <v>0</v>
      </c>
      <c r="H416" s="152">
        <f>IF(E416="","",Input!$C$3)</f>
        <v>100000</v>
      </c>
      <c r="I416" s="153">
        <f>IF(E416="","",HLOOKUP($B416,Input!$C$13:$BT$14,2))</f>
        <v>94.913000000000011</v>
      </c>
      <c r="J416" s="154"/>
      <c r="K416" s="155">
        <f>IF($E416="","",INDEX(Input!$C$16:$CP$16,1,$B416))</f>
        <v>2.997E-2</v>
      </c>
      <c r="L416" s="155">
        <f>IF($E416="","",Input!$C$37)</f>
        <v>1.4999999999999999E-2</v>
      </c>
      <c r="M416" s="155">
        <f t="shared" si="246"/>
        <v>4.4969999999999996E-2</v>
      </c>
      <c r="N416" s="155">
        <f t="shared" si="247"/>
        <v>3.6724082329346874E-3</v>
      </c>
      <c r="O416" s="147">
        <f>IF($E416="","",MIN(VLOOKUP(IF($B416&lt;=Input!$C$7,$B416,26),'Mortality Tables'!$A$41:$CW$67,IF($B416&lt;=Input!$C$7+1,Input!$C$4+2,$D416-Input!$C$7+2),0)*IF(B416&gt;20,Input!$C$22,1)/1000,1))</f>
        <v>0.10712400000000001</v>
      </c>
      <c r="P416" s="147">
        <f>IF($E416="","",MIN(VLOOKUP(IF($B416&lt;=Input!$C$7,$B416,26),'Mortality Tables'!$A$12:$CW$37,IF($B416&lt;=Input!$C$7+1,Input!$C$4+2,$D416-Input!$C$7+2),0)*IF(B416&gt;20,Input!$C$22,1)/1000,1))</f>
        <v>0.133905</v>
      </c>
      <c r="Q416" s="155">
        <f>IF($E416="","",Input!$C$21)</f>
        <v>5.0000000000000001E-3</v>
      </c>
      <c r="R416" s="159">
        <f>IF($E416="","",(1-Q416)^($F416-Input!$C$20))</f>
        <v>0.84330513605083379</v>
      </c>
      <c r="S416" s="147">
        <f t="shared" si="249"/>
        <v>9.0338219394309527E-2</v>
      </c>
      <c r="T416" s="147">
        <f t="shared" si="250"/>
        <v>7.8591555850164863E-3</v>
      </c>
      <c r="U416" s="160">
        <f>IF($E416="","",IF($C416=12,INDEX(Input!$C$15:$CP$15,1,$B416),0))</f>
        <v>0</v>
      </c>
      <c r="V416" s="150">
        <f>IF(E416="","",IF(C416=1,IF($B416=1,Input!$C$33,Input!$C$34),0))</f>
        <v>0</v>
      </c>
      <c r="W416" s="156">
        <f>IF($E416="","",Input!$C$35)</f>
        <v>0.02</v>
      </c>
      <c r="X416" s="156">
        <f t="shared" si="248"/>
        <v>1.9606760320220162</v>
      </c>
      <c r="Y416" s="154"/>
      <c r="Z416" s="147">
        <f>IF($E416="","",VLOOKUP($D416,'Mortality Margins &amp; Grading'!$AB$5:$AF$125,3,0)*IF(Summary!$D$25="Included Margin",IF(AND($B416&gt;Input!$C$9,Summary!$D$31&lt;&gt;"Included Margin"),0,1),0))</f>
        <v>2.8000000000000001E-2</v>
      </c>
      <c r="AA416" s="147">
        <f>IF($E416="","",VLOOKUP($D416,'Mortality Margins &amp; Grading'!$AB$5:$AF$125,5,0)*IF(Summary!$D$25="Included Margin",IF(AND($B416&gt;Input!$C$9,Summary!$D$31&lt;&gt;"Included Margin"),0,1),0))</f>
        <v>0.14099999999999999</v>
      </c>
      <c r="AB416" s="147">
        <f>IF($E416="","",IF(AND($B416&gt;Input!$C$9,Summary!$D$31&lt;&gt;"Included Margin"),1,IF(Summary!$D$25="Included Margin",VLOOKUP($B416,'Mortality Margins &amp; Grading'!$AI$5:$AR$125,MATCH('Mortality Margins &amp; Grading'!$AQ$4,'Mortality Margins &amp; Grading'!$AI$4:$AR$4,0),0),1)))</f>
        <v>0.625</v>
      </c>
      <c r="AC416" s="154"/>
      <c r="AD416" s="158">
        <f>IF(E416="","",Input!$C$48*IF(Summary!$D$30="Included Margin",IF(AND($B416&gt;Input!$C$9,Summary!$D$31&lt;&gt;"Included Margin"),0,1),0))</f>
        <v>-4.4999999999999997E-3</v>
      </c>
      <c r="AE416" s="159">
        <f>IF(E416="","",IF(Summary!$D$26="Included Margin",IF(AND($B416&gt;Input!$C$9,Summary!$D$31&lt;&gt;"Included Margin"),1,1/$R416),1))</f>
        <v>1.1858103991669757</v>
      </c>
      <c r="AF416" s="160">
        <f>IF(E416="","",IF(AND($B416&gt;=Input!$C$9,$C416=12,Summary!$D$31="Included Margin",$U416&gt;0),1/U416-1,IF($B416&gt;=Input!$C$9,0,Input!$C$45*IF(Summary!$D$27="Included Margin",1,0))))</f>
        <v>0</v>
      </c>
      <c r="AG416" s="160">
        <f>IF(E416="","",Input!$C$46*IF(Summary!$D$28="Included Margin",IF(AND($B416&gt;Input!$C$9,Summary!$D$31&lt;&gt;"Included Margin"),0,1),0))</f>
        <v>0.02</v>
      </c>
      <c r="AH416" s="158">
        <f>IF(E416="","",Input!$C$47*IF(Summary!$D$29="Included Margin",IF(AND($B416&gt;Input!$C$9,Summary!$D$31&lt;&gt;"Included Margin"),0,1),0))</f>
        <v>2.5000000000000001E-3</v>
      </c>
      <c r="AI416" s="154"/>
      <c r="AJ416" s="158">
        <f t="shared" si="271"/>
        <v>4.0469999999999999E-2</v>
      </c>
      <c r="AK416" s="155">
        <f t="shared" si="272"/>
        <v>3.3115155045884137E-3</v>
      </c>
      <c r="AL416" s="147">
        <f t="shared" si="273"/>
        <v>0.12612177187500001</v>
      </c>
      <c r="AM416" s="147">
        <f t="shared" si="251"/>
        <v>1.1171648454382899E-2</v>
      </c>
      <c r="AN416" s="160">
        <f t="shared" si="274"/>
        <v>0</v>
      </c>
      <c r="AO416" s="161">
        <f t="shared" si="275"/>
        <v>0</v>
      </c>
      <c r="AP416" s="156">
        <f t="shared" si="252"/>
        <v>2.1308494515903438</v>
      </c>
      <c r="AQ416" s="152"/>
      <c r="AR416" s="162">
        <f t="shared" si="253"/>
        <v>9477.3912693564853</v>
      </c>
      <c r="AS416" s="150">
        <f t="shared" si="276"/>
        <v>0</v>
      </c>
      <c r="AT416" s="163">
        <f t="shared" si="254"/>
        <v>0</v>
      </c>
      <c r="AU416" s="163">
        <f t="shared" si="255"/>
        <v>1117.1648454382898</v>
      </c>
      <c r="AV416" s="163">
        <f t="shared" si="277"/>
        <v>29.534773778099861</v>
      </c>
      <c r="AW416" s="163">
        <f t="shared" si="256"/>
        <v>94.786417409790076</v>
      </c>
      <c r="AX416" s="163">
        <f t="shared" si="257"/>
        <v>0</v>
      </c>
      <c r="AY416" s="165">
        <f t="shared" si="278"/>
        <v>8484.5476151060848</v>
      </c>
      <c r="AZ416" s="164">
        <f>IF($E416="","",IF(OR(AND($D416=Input!$C$6,$C416=12),$AN416=1),0,-AS417+AT417+AU417-AV417-AW417-AX417+AZ417))</f>
        <v>8484.5506727884149</v>
      </c>
      <c r="BA416" s="154">
        <f t="shared" si="258"/>
        <v>3.0576823301089462E-3</v>
      </c>
      <c r="BC416" s="147">
        <f t="shared" si="279"/>
        <v>1.0925218119238578E-2</v>
      </c>
      <c r="BD416" s="164">
        <f>IF(AND($C415=12,$D415=Input!$C$6),0,IF($E416="","",AT416+(AU416+BD417)/(1+$AK416)*MIN((1-AM416-AN416),1)))</f>
        <v>8237.2019819822235</v>
      </c>
      <c r="BE416" s="164">
        <f t="shared" si="259"/>
        <v>89.993228345380118</v>
      </c>
      <c r="BF416" s="164">
        <f t="shared" si="280"/>
        <v>8484.5506727884149</v>
      </c>
      <c r="BG416" s="164">
        <f t="shared" si="260"/>
        <v>92.695566743945861</v>
      </c>
      <c r="BH416" s="152"/>
      <c r="BI416" s="162">
        <f t="shared" si="261"/>
        <v>2898.0982340930859</v>
      </c>
      <c r="BJ416" s="150">
        <f t="shared" si="262"/>
        <v>0</v>
      </c>
      <c r="BK416" s="163">
        <f t="shared" si="284"/>
        <v>0</v>
      </c>
      <c r="BL416" s="163">
        <f t="shared" si="263"/>
        <v>785.91555850164866</v>
      </c>
      <c r="BM416" s="163">
        <f t="shared" si="285"/>
        <v>9.1998984310204683</v>
      </c>
      <c r="BN416" s="163">
        <f t="shared" si="264"/>
        <v>16.804364607791637</v>
      </c>
      <c r="BO416" s="163">
        <f t="shared" si="265"/>
        <v>0</v>
      </c>
      <c r="BP416" s="164">
        <f t="shared" si="286"/>
        <v>2138.1869386302492</v>
      </c>
      <c r="BQ416" s="164">
        <f>IF($E416="","",IF(AND($D416=Input!$C$6,$C416=12),0,-BJ417+BK417+BL417-BM417-BN417-BO417+BQ417))</f>
        <v>2138.1895836022422</v>
      </c>
      <c r="BR416" s="161">
        <f t="shared" si="266"/>
        <v>0</v>
      </c>
      <c r="BT416" s="147">
        <f t="shared" si="267"/>
        <v>1.0925218119238578E-2</v>
      </c>
      <c r="BU416" s="164">
        <f>IF(AND($C415=12,$D415=Input!$C$6),0,IF($E416="","",BK416+(BL416+BU417)/(1+$AK416)*MIN((1-T416-U416),1)))</f>
        <v>49682.560125371638</v>
      </c>
      <c r="BV416" s="164">
        <f t="shared" si="268"/>
        <v>542.79280609187026</v>
      </c>
      <c r="BW416" s="164">
        <f t="shared" si="269"/>
        <v>2138.1895836022422</v>
      </c>
      <c r="BX416" s="164">
        <f t="shared" si="270"/>
        <v>23.360187581138408</v>
      </c>
    </row>
    <row r="417" spans="1:76" s="150" customFormat="1" x14ac:dyDescent="0.25">
      <c r="A417" s="150">
        <f t="shared" si="281"/>
        <v>413</v>
      </c>
      <c r="B417" s="150">
        <f t="shared" si="282"/>
        <v>35</v>
      </c>
      <c r="C417" s="150">
        <f t="shared" si="283"/>
        <v>5</v>
      </c>
      <c r="D417" s="150">
        <f>IF(E417="","",Input!$C$4+B417-1)</f>
        <v>79</v>
      </c>
      <c r="E417" s="150">
        <f>IF(OR(AND(C416=12,D416=Input!$C$6),E416=""),"",1)</f>
        <v>1</v>
      </c>
      <c r="F417" s="150">
        <f>IF(E417="","",Input!$C$8+B417-1)</f>
        <v>2052</v>
      </c>
      <c r="G417" s="151">
        <f>IF(E417="","",MAX(0,Input!$C$9-B417))</f>
        <v>0</v>
      </c>
      <c r="H417" s="152">
        <f>IF(E417="","",Input!$C$3)</f>
        <v>100000</v>
      </c>
      <c r="I417" s="153">
        <f>IF(E417="","",HLOOKUP($B417,Input!$C$13:$BT$14,2))</f>
        <v>94.913000000000011</v>
      </c>
      <c r="J417" s="154"/>
      <c r="K417" s="155">
        <f>IF($E417="","",INDEX(Input!$C$16:$CP$16,1,$B417))</f>
        <v>2.997E-2</v>
      </c>
      <c r="L417" s="155">
        <f>IF($E417="","",Input!$C$37)</f>
        <v>1.4999999999999999E-2</v>
      </c>
      <c r="M417" s="155">
        <f t="shared" si="246"/>
        <v>4.4969999999999996E-2</v>
      </c>
      <c r="N417" s="155">
        <f t="shared" si="247"/>
        <v>3.6724082329346874E-3</v>
      </c>
      <c r="O417" s="147">
        <f>IF($E417="","",MIN(VLOOKUP(IF($B417&lt;=Input!$C$7,$B417,26),'Mortality Tables'!$A$41:$CW$67,IF($B417&lt;=Input!$C$7+1,Input!$C$4+2,$D417-Input!$C$7+2),0)*IF(B417&gt;20,Input!$C$22,1)/1000,1))</f>
        <v>0.10712400000000001</v>
      </c>
      <c r="P417" s="147">
        <f>IF($E417="","",MIN(VLOOKUP(IF($B417&lt;=Input!$C$7,$B417,26),'Mortality Tables'!$A$12:$CW$37,IF($B417&lt;=Input!$C$7+1,Input!$C$4+2,$D417-Input!$C$7+2),0)*IF(B417&gt;20,Input!$C$22,1)/1000,1))</f>
        <v>0.133905</v>
      </c>
      <c r="Q417" s="155">
        <f>IF($E417="","",Input!$C$21)</f>
        <v>5.0000000000000001E-3</v>
      </c>
      <c r="R417" s="159">
        <f>IF($E417="","",(1-Q417)^($F417-Input!$C$20))</f>
        <v>0.84330513605083379</v>
      </c>
      <c r="S417" s="147">
        <f t="shared" si="249"/>
        <v>9.0338219394309527E-2</v>
      </c>
      <c r="T417" s="147">
        <f t="shared" si="250"/>
        <v>7.8591555850164863E-3</v>
      </c>
      <c r="U417" s="160">
        <f>IF($E417="","",IF($C417=12,INDEX(Input!$C$15:$CP$15,1,$B417),0))</f>
        <v>0</v>
      </c>
      <c r="V417" s="150">
        <f>IF(E417="","",IF(C417=1,IF($B417=1,Input!$C$33,Input!$C$34),0))</f>
        <v>0</v>
      </c>
      <c r="W417" s="156">
        <f>IF($E417="","",Input!$C$35)</f>
        <v>0.02</v>
      </c>
      <c r="X417" s="156">
        <f t="shared" si="248"/>
        <v>1.9606760320220162</v>
      </c>
      <c r="Y417" s="154"/>
      <c r="Z417" s="147">
        <f>IF($E417="","",VLOOKUP($D417,'Mortality Margins &amp; Grading'!$AB$5:$AF$125,3,0)*IF(Summary!$D$25="Included Margin",IF(AND($B417&gt;Input!$C$9,Summary!$D$31&lt;&gt;"Included Margin"),0,1),0))</f>
        <v>2.8000000000000001E-2</v>
      </c>
      <c r="AA417" s="147">
        <f>IF($E417="","",VLOOKUP($D417,'Mortality Margins &amp; Grading'!$AB$5:$AF$125,5,0)*IF(Summary!$D$25="Included Margin",IF(AND($B417&gt;Input!$C$9,Summary!$D$31&lt;&gt;"Included Margin"),0,1),0))</f>
        <v>0.14099999999999999</v>
      </c>
      <c r="AB417" s="147">
        <f>IF($E417="","",IF(AND($B417&gt;Input!$C$9,Summary!$D$31&lt;&gt;"Included Margin"),1,IF(Summary!$D$25="Included Margin",VLOOKUP($B417,'Mortality Margins &amp; Grading'!$AI$5:$AR$125,MATCH('Mortality Margins &amp; Grading'!$AQ$4,'Mortality Margins &amp; Grading'!$AI$4:$AR$4,0),0),1)))</f>
        <v>0.625</v>
      </c>
      <c r="AC417" s="154"/>
      <c r="AD417" s="158">
        <f>IF(E417="","",Input!$C$48*IF(Summary!$D$30="Included Margin",IF(AND($B417&gt;Input!$C$9,Summary!$D$31&lt;&gt;"Included Margin"),0,1),0))</f>
        <v>-4.4999999999999997E-3</v>
      </c>
      <c r="AE417" s="159">
        <f>IF(E417="","",IF(Summary!$D$26="Included Margin",IF(AND($B417&gt;Input!$C$9,Summary!$D$31&lt;&gt;"Included Margin"),1,1/$R417),1))</f>
        <v>1.1858103991669757</v>
      </c>
      <c r="AF417" s="160">
        <f>IF(E417="","",IF(AND($B417&gt;=Input!$C$9,$C417=12,Summary!$D$31="Included Margin",$U417&gt;0),1/U417-1,IF($B417&gt;=Input!$C$9,0,Input!$C$45*IF(Summary!$D$27="Included Margin",1,0))))</f>
        <v>0</v>
      </c>
      <c r="AG417" s="160">
        <f>IF(E417="","",Input!$C$46*IF(Summary!$D$28="Included Margin",IF(AND($B417&gt;Input!$C$9,Summary!$D$31&lt;&gt;"Included Margin"),0,1),0))</f>
        <v>0.02</v>
      </c>
      <c r="AH417" s="158">
        <f>IF(E417="","",Input!$C$47*IF(Summary!$D$29="Included Margin",IF(AND($B417&gt;Input!$C$9,Summary!$D$31&lt;&gt;"Included Margin"),0,1),0))</f>
        <v>2.5000000000000001E-3</v>
      </c>
      <c r="AI417" s="154"/>
      <c r="AJ417" s="158">
        <f t="shared" si="271"/>
        <v>4.0469999999999999E-2</v>
      </c>
      <c r="AK417" s="155">
        <f t="shared" si="272"/>
        <v>3.3115155045884137E-3</v>
      </c>
      <c r="AL417" s="147">
        <f t="shared" si="273"/>
        <v>0.12612177187500001</v>
      </c>
      <c r="AM417" s="147">
        <f t="shared" si="251"/>
        <v>1.1171648454382899E-2</v>
      </c>
      <c r="AN417" s="160">
        <f t="shared" si="274"/>
        <v>0</v>
      </c>
      <c r="AO417" s="161">
        <f t="shared" si="275"/>
        <v>0</v>
      </c>
      <c r="AP417" s="156">
        <f t="shared" si="252"/>
        <v>2.1308494515903438</v>
      </c>
      <c r="AQ417" s="152"/>
      <c r="AR417" s="162">
        <f t="shared" si="253"/>
        <v>8484.5476151060866</v>
      </c>
      <c r="AS417" s="150">
        <f t="shared" si="276"/>
        <v>0</v>
      </c>
      <c r="AT417" s="163">
        <f t="shared" si="254"/>
        <v>0</v>
      </c>
      <c r="AU417" s="163">
        <f t="shared" si="255"/>
        <v>1117.1648454382898</v>
      </c>
      <c r="AV417" s="163">
        <f t="shared" si="277"/>
        <v>26.246956623417447</v>
      </c>
      <c r="AW417" s="163">
        <f t="shared" si="256"/>
        <v>83.532259298839747</v>
      </c>
      <c r="AX417" s="163">
        <f t="shared" si="257"/>
        <v>0</v>
      </c>
      <c r="AY417" s="164">
        <f t="shared" si="278"/>
        <v>7477.1619855900535</v>
      </c>
      <c r="AZ417" s="164">
        <f>IF($E417="","",IF(OR(AND($D417=Input!$C$6,$C417=12),$AN417=1),0,-AS418+AT418+AU418-AV418-AW418-AX418+AZ418))</f>
        <v>7477.1650432723827</v>
      </c>
      <c r="BA417" s="154">
        <f t="shared" si="258"/>
        <v>3.0576823291994515E-3</v>
      </c>
      <c r="BC417" s="147">
        <f t="shared" si="279"/>
        <v>1.0839355130239241E-2</v>
      </c>
      <c r="BD417" s="164">
        <f>IF(AND($C416=12,$D416=Input!$C$6),0,IF($E417="","",AT417+(AU417+BD418)/(1+$AK417)*MIN((1-AM417-AN417),1)))</f>
        <v>7240.6857270518158</v>
      </c>
      <c r="BE417" s="164">
        <f t="shared" si="259"/>
        <v>78.484363981969153</v>
      </c>
      <c r="BF417" s="164">
        <f t="shared" si="280"/>
        <v>7477.1650432723827</v>
      </c>
      <c r="BG417" s="164">
        <f t="shared" si="260"/>
        <v>81.047647271440027</v>
      </c>
      <c r="BH417" s="152"/>
      <c r="BI417" s="162">
        <f t="shared" si="261"/>
        <v>2138.1869386302496</v>
      </c>
      <c r="BJ417" s="150">
        <f t="shared" si="262"/>
        <v>0</v>
      </c>
      <c r="BK417" s="163">
        <f t="shared" si="284"/>
        <v>0</v>
      </c>
      <c r="BL417" s="163">
        <f t="shared" si="263"/>
        <v>785.91555850164866</v>
      </c>
      <c r="BM417" s="163">
        <f t="shared" si="285"/>
        <v>6.4091939332626851</v>
      </c>
      <c r="BN417" s="163">
        <f t="shared" si="264"/>
        <v>10.762688452196986</v>
      </c>
      <c r="BO417" s="163">
        <f t="shared" si="265"/>
        <v>0</v>
      </c>
      <c r="BP417" s="164">
        <f t="shared" si="286"/>
        <v>1369.4432625140605</v>
      </c>
      <c r="BQ417" s="164">
        <f>IF($E417="","",IF(AND($D417=Input!$C$6,$C417=12),0,-BJ418+BK418+BL418-BM418-BN418-BO418+BQ418))</f>
        <v>1369.4459074860533</v>
      </c>
      <c r="BR417" s="161">
        <f t="shared" si="266"/>
        <v>0</v>
      </c>
      <c r="BT417" s="147">
        <f t="shared" si="267"/>
        <v>1.0839355130239241E-2</v>
      </c>
      <c r="BU417" s="164">
        <f>IF(AND($C416=12,$D416=Input!$C$6),0,IF($E417="","",BK417+(BL417+BU418)/(1+$AK417)*MIN((1-T417-U417),1)))</f>
        <v>49456.028389413143</v>
      </c>
      <c r="BV417" s="164">
        <f t="shared" si="268"/>
        <v>536.07145504404286</v>
      </c>
      <c r="BW417" s="164">
        <f t="shared" si="269"/>
        <v>1369.4459074860533</v>
      </c>
      <c r="BX417" s="164">
        <f t="shared" si="270"/>
        <v>14.843910522894086</v>
      </c>
    </row>
    <row r="418" spans="1:76" s="150" customFormat="1" x14ac:dyDescent="0.25">
      <c r="A418" s="150">
        <f t="shared" si="281"/>
        <v>414</v>
      </c>
      <c r="B418" s="150">
        <f t="shared" si="282"/>
        <v>35</v>
      </c>
      <c r="C418" s="150">
        <f t="shared" si="283"/>
        <v>6</v>
      </c>
      <c r="D418" s="150">
        <f>IF(E418="","",Input!$C$4+B418-1)</f>
        <v>79</v>
      </c>
      <c r="E418" s="150">
        <f>IF(OR(AND(C417=12,D417=Input!$C$6),E417=""),"",1)</f>
        <v>1</v>
      </c>
      <c r="F418" s="150">
        <f>IF(E418="","",Input!$C$8+B418-1)</f>
        <v>2052</v>
      </c>
      <c r="G418" s="151">
        <f>IF(E418="","",MAX(0,Input!$C$9-B418))</f>
        <v>0</v>
      </c>
      <c r="H418" s="152">
        <f>IF(E418="","",Input!$C$3)</f>
        <v>100000</v>
      </c>
      <c r="I418" s="153">
        <f>IF(E418="","",HLOOKUP($B418,Input!$C$13:$BT$14,2))</f>
        <v>94.913000000000011</v>
      </c>
      <c r="J418" s="154"/>
      <c r="K418" s="155">
        <f>IF($E418="","",INDEX(Input!$C$16:$CP$16,1,$B418))</f>
        <v>2.997E-2</v>
      </c>
      <c r="L418" s="155">
        <f>IF($E418="","",Input!$C$37)</f>
        <v>1.4999999999999999E-2</v>
      </c>
      <c r="M418" s="155">
        <f t="shared" si="246"/>
        <v>4.4969999999999996E-2</v>
      </c>
      <c r="N418" s="155">
        <f t="shared" si="247"/>
        <v>3.6724082329346874E-3</v>
      </c>
      <c r="O418" s="147">
        <f>IF($E418="","",MIN(VLOOKUP(IF($B418&lt;=Input!$C$7,$B418,26),'Mortality Tables'!$A$41:$CW$67,IF($B418&lt;=Input!$C$7+1,Input!$C$4+2,$D418-Input!$C$7+2),0)*IF(B418&gt;20,Input!$C$22,1)/1000,1))</f>
        <v>0.10712400000000001</v>
      </c>
      <c r="P418" s="147">
        <f>IF($E418="","",MIN(VLOOKUP(IF($B418&lt;=Input!$C$7,$B418,26),'Mortality Tables'!$A$12:$CW$37,IF($B418&lt;=Input!$C$7+1,Input!$C$4+2,$D418-Input!$C$7+2),0)*IF(B418&gt;20,Input!$C$22,1)/1000,1))</f>
        <v>0.133905</v>
      </c>
      <c r="Q418" s="155">
        <f>IF($E418="","",Input!$C$21)</f>
        <v>5.0000000000000001E-3</v>
      </c>
      <c r="R418" s="159">
        <f>IF($E418="","",(1-Q418)^($F418-Input!$C$20))</f>
        <v>0.84330513605083379</v>
      </c>
      <c r="S418" s="147">
        <f t="shared" si="249"/>
        <v>9.0338219394309527E-2</v>
      </c>
      <c r="T418" s="147">
        <f t="shared" si="250"/>
        <v>7.8591555850164863E-3</v>
      </c>
      <c r="U418" s="160">
        <f>IF($E418="","",IF($C418=12,INDEX(Input!$C$15:$CP$15,1,$B418),0))</f>
        <v>0</v>
      </c>
      <c r="V418" s="150">
        <f>IF(E418="","",IF(C418=1,IF($B418=1,Input!$C$33,Input!$C$34),0))</f>
        <v>0</v>
      </c>
      <c r="W418" s="156">
        <f>IF($E418="","",Input!$C$35)</f>
        <v>0.02</v>
      </c>
      <c r="X418" s="156">
        <f t="shared" si="248"/>
        <v>1.9606760320220162</v>
      </c>
      <c r="Y418" s="154"/>
      <c r="Z418" s="147">
        <f>IF($E418="","",VLOOKUP($D418,'Mortality Margins &amp; Grading'!$AB$5:$AF$125,3,0)*IF(Summary!$D$25="Included Margin",IF(AND($B418&gt;Input!$C$9,Summary!$D$31&lt;&gt;"Included Margin"),0,1),0))</f>
        <v>2.8000000000000001E-2</v>
      </c>
      <c r="AA418" s="147">
        <f>IF($E418="","",VLOOKUP($D418,'Mortality Margins &amp; Grading'!$AB$5:$AF$125,5,0)*IF(Summary!$D$25="Included Margin",IF(AND($B418&gt;Input!$C$9,Summary!$D$31&lt;&gt;"Included Margin"),0,1),0))</f>
        <v>0.14099999999999999</v>
      </c>
      <c r="AB418" s="147">
        <f>IF($E418="","",IF(AND($B418&gt;Input!$C$9,Summary!$D$31&lt;&gt;"Included Margin"),1,IF(Summary!$D$25="Included Margin",VLOOKUP($B418,'Mortality Margins &amp; Grading'!$AI$5:$AR$125,MATCH('Mortality Margins &amp; Grading'!$AQ$4,'Mortality Margins &amp; Grading'!$AI$4:$AR$4,0),0),1)))</f>
        <v>0.625</v>
      </c>
      <c r="AC418" s="154"/>
      <c r="AD418" s="158">
        <f>IF(E418="","",Input!$C$48*IF(Summary!$D$30="Included Margin",IF(AND($B418&gt;Input!$C$9,Summary!$D$31&lt;&gt;"Included Margin"),0,1),0))</f>
        <v>-4.4999999999999997E-3</v>
      </c>
      <c r="AE418" s="159">
        <f>IF(E418="","",IF(Summary!$D$26="Included Margin",IF(AND($B418&gt;Input!$C$9,Summary!$D$31&lt;&gt;"Included Margin"),1,1/$R418),1))</f>
        <v>1.1858103991669757</v>
      </c>
      <c r="AF418" s="160">
        <f>IF(E418="","",IF(AND($B418&gt;=Input!$C$9,$C418=12,Summary!$D$31="Included Margin",$U418&gt;0),1/U418-1,IF($B418&gt;=Input!$C$9,0,Input!$C$45*IF(Summary!$D$27="Included Margin",1,0))))</f>
        <v>0</v>
      </c>
      <c r="AG418" s="160">
        <f>IF(E418="","",Input!$C$46*IF(Summary!$D$28="Included Margin",IF(AND($B418&gt;Input!$C$9,Summary!$D$31&lt;&gt;"Included Margin"),0,1),0))</f>
        <v>0.02</v>
      </c>
      <c r="AH418" s="158">
        <f>IF(E418="","",Input!$C$47*IF(Summary!$D$29="Included Margin",IF(AND($B418&gt;Input!$C$9,Summary!$D$31&lt;&gt;"Included Margin"),0,1),0))</f>
        <v>2.5000000000000001E-3</v>
      </c>
      <c r="AI418" s="154"/>
      <c r="AJ418" s="158">
        <f t="shared" si="271"/>
        <v>4.0469999999999999E-2</v>
      </c>
      <c r="AK418" s="155">
        <f t="shared" si="272"/>
        <v>3.3115155045884137E-3</v>
      </c>
      <c r="AL418" s="147">
        <f t="shared" si="273"/>
        <v>0.12612177187500001</v>
      </c>
      <c r="AM418" s="147">
        <f t="shared" si="251"/>
        <v>1.1171648454382899E-2</v>
      </c>
      <c r="AN418" s="160">
        <f t="shared" si="274"/>
        <v>0</v>
      </c>
      <c r="AO418" s="161">
        <f t="shared" si="275"/>
        <v>0</v>
      </c>
      <c r="AP418" s="156">
        <f t="shared" si="252"/>
        <v>2.1308494515903438</v>
      </c>
      <c r="AQ418" s="152"/>
      <c r="AR418" s="162">
        <f t="shared" si="253"/>
        <v>7477.1619855900535</v>
      </c>
      <c r="AS418" s="150">
        <f t="shared" si="276"/>
        <v>0</v>
      </c>
      <c r="AT418" s="163">
        <f t="shared" si="254"/>
        <v>0</v>
      </c>
      <c r="AU418" s="163">
        <f t="shared" si="255"/>
        <v>1117.1648454382898</v>
      </c>
      <c r="AV418" s="163">
        <f t="shared" si="277"/>
        <v>22.910983492175543</v>
      </c>
      <c r="AW418" s="163">
        <f t="shared" si="256"/>
        <v>72.113263866137572</v>
      </c>
      <c r="AX418" s="163">
        <f t="shared" si="257"/>
        <v>0</v>
      </c>
      <c r="AY418" s="165">
        <f t="shared" si="278"/>
        <v>6455.0213875100762</v>
      </c>
      <c r="AZ418" s="164">
        <f>IF($E418="","",IF(OR(AND($D418=Input!$C$6,$C418=12),$AN418=1),0,-AS419+AT419+AU419-AV419-AW419-AX419+AZ419))</f>
        <v>6455.0244451924063</v>
      </c>
      <c r="BA418" s="154">
        <f t="shared" si="258"/>
        <v>3.0576823301089462E-3</v>
      </c>
      <c r="BC418" s="147">
        <f t="shared" si="279"/>
        <v>1.0754166951829444E-2</v>
      </c>
      <c r="BD418" s="164">
        <f>IF(AND($C417=12,$D417=Input!$C$6),0,IF($E418="","",AT418+(AU418+BD419)/(1+$AK418)*MIN((1-AM418-AN418),1)))</f>
        <v>6229.573705034657</v>
      </c>
      <c r="BE418" s="164">
        <f t="shared" si="259"/>
        <v>66.99387566266941</v>
      </c>
      <c r="BF418" s="164">
        <f t="shared" si="280"/>
        <v>6455.0244451924063</v>
      </c>
      <c r="BG418" s="164">
        <f t="shared" si="260"/>
        <v>69.418410561739364</v>
      </c>
      <c r="BH418" s="152"/>
      <c r="BI418" s="162">
        <f t="shared" si="261"/>
        <v>1369.4432625140607</v>
      </c>
      <c r="BJ418" s="150">
        <f t="shared" si="262"/>
        <v>0</v>
      </c>
      <c r="BK418" s="163">
        <f t="shared" si="284"/>
        <v>0</v>
      </c>
      <c r="BL418" s="163">
        <f t="shared" si="263"/>
        <v>785.91555850164866</v>
      </c>
      <c r="BM418" s="163">
        <f t="shared" si="285"/>
        <v>3.5860533280771163</v>
      </c>
      <c r="BN418" s="163">
        <f t="shared" si="264"/>
        <v>4.6507904379339582</v>
      </c>
      <c r="BO418" s="163">
        <f t="shared" si="265"/>
        <v>0</v>
      </c>
      <c r="BP418" s="164">
        <f t="shared" si="286"/>
        <v>591.76454777842321</v>
      </c>
      <c r="BQ418" s="164">
        <f>IF($E418="","",IF(AND($D418=Input!$C$6,$C418=12),0,-BJ419+BK419+BL419-BM419-BN419-BO419+BQ419))</f>
        <v>591.7671927504158</v>
      </c>
      <c r="BR418" s="161">
        <f t="shared" si="266"/>
        <v>0</v>
      </c>
      <c r="BT418" s="147">
        <f t="shared" si="267"/>
        <v>1.0754166951829444E-2</v>
      </c>
      <c r="BU418" s="164">
        <f>IF(AND($C417=12,$D417=Input!$C$6),0,IF($E418="","",BK418+(BL418+BU419)/(1+$AK418)*MIN((1-T418-U418),1)))</f>
        <v>49226.946096718682</v>
      </c>
      <c r="BV418" s="164">
        <f t="shared" si="268"/>
        <v>529.39479685282151</v>
      </c>
      <c r="BW418" s="164">
        <f t="shared" si="269"/>
        <v>591.7671927504158</v>
      </c>
      <c r="BX418" s="164">
        <f t="shared" si="270"/>
        <v>6.3639631874534066</v>
      </c>
    </row>
    <row r="419" spans="1:76" s="150" customFormat="1" x14ac:dyDescent="0.25">
      <c r="A419" s="150">
        <f t="shared" si="281"/>
        <v>415</v>
      </c>
      <c r="B419" s="150">
        <f t="shared" si="282"/>
        <v>35</v>
      </c>
      <c r="C419" s="150">
        <f t="shared" si="283"/>
        <v>7</v>
      </c>
      <c r="D419" s="150">
        <f>IF(E419="","",Input!$C$4+B419-1)</f>
        <v>79</v>
      </c>
      <c r="E419" s="150">
        <f>IF(OR(AND(C418=12,D418=Input!$C$6),E418=""),"",1)</f>
        <v>1</v>
      </c>
      <c r="F419" s="150">
        <f>IF(E419="","",Input!$C$8+B419-1)</f>
        <v>2052</v>
      </c>
      <c r="G419" s="151">
        <f>IF(E419="","",MAX(0,Input!$C$9-B419))</f>
        <v>0</v>
      </c>
      <c r="H419" s="152">
        <f>IF(E419="","",Input!$C$3)</f>
        <v>100000</v>
      </c>
      <c r="I419" s="153">
        <f>IF(E419="","",HLOOKUP($B419,Input!$C$13:$BT$14,2))</f>
        <v>94.913000000000011</v>
      </c>
      <c r="J419" s="154"/>
      <c r="K419" s="155">
        <f>IF($E419="","",INDEX(Input!$C$16:$CP$16,1,$B419))</f>
        <v>2.997E-2</v>
      </c>
      <c r="L419" s="155">
        <f>IF($E419="","",Input!$C$37)</f>
        <v>1.4999999999999999E-2</v>
      </c>
      <c r="M419" s="155">
        <f t="shared" si="246"/>
        <v>4.4969999999999996E-2</v>
      </c>
      <c r="N419" s="155">
        <f t="shared" si="247"/>
        <v>3.6724082329346874E-3</v>
      </c>
      <c r="O419" s="147">
        <f>IF($E419="","",MIN(VLOOKUP(IF($B419&lt;=Input!$C$7,$B419,26),'Mortality Tables'!$A$41:$CW$67,IF($B419&lt;=Input!$C$7+1,Input!$C$4+2,$D419-Input!$C$7+2),0)*IF(B419&gt;20,Input!$C$22,1)/1000,1))</f>
        <v>0.10712400000000001</v>
      </c>
      <c r="P419" s="147">
        <f>IF($E419="","",MIN(VLOOKUP(IF($B419&lt;=Input!$C$7,$B419,26),'Mortality Tables'!$A$12:$CW$37,IF($B419&lt;=Input!$C$7+1,Input!$C$4+2,$D419-Input!$C$7+2),0)*IF(B419&gt;20,Input!$C$22,1)/1000,1))</f>
        <v>0.133905</v>
      </c>
      <c r="Q419" s="155">
        <f>IF($E419="","",Input!$C$21)</f>
        <v>5.0000000000000001E-3</v>
      </c>
      <c r="R419" s="159">
        <f>IF($E419="","",(1-Q419)^($F419-Input!$C$20))</f>
        <v>0.84330513605083379</v>
      </c>
      <c r="S419" s="147">
        <f t="shared" si="249"/>
        <v>9.0338219394309527E-2</v>
      </c>
      <c r="T419" s="147">
        <f t="shared" si="250"/>
        <v>7.8591555850164863E-3</v>
      </c>
      <c r="U419" s="160">
        <f>IF($E419="","",IF($C419=12,INDEX(Input!$C$15:$CP$15,1,$B419),0))</f>
        <v>0</v>
      </c>
      <c r="V419" s="150">
        <f>IF(E419="","",IF(C419=1,IF($B419=1,Input!$C$33,Input!$C$34),0))</f>
        <v>0</v>
      </c>
      <c r="W419" s="156">
        <f>IF($E419="","",Input!$C$35)</f>
        <v>0.02</v>
      </c>
      <c r="X419" s="156">
        <f t="shared" si="248"/>
        <v>1.9606760320220162</v>
      </c>
      <c r="Y419" s="154"/>
      <c r="Z419" s="147">
        <f>IF($E419="","",VLOOKUP($D419,'Mortality Margins &amp; Grading'!$AB$5:$AF$125,3,0)*IF(Summary!$D$25="Included Margin",IF(AND($B419&gt;Input!$C$9,Summary!$D$31&lt;&gt;"Included Margin"),0,1),0))</f>
        <v>2.8000000000000001E-2</v>
      </c>
      <c r="AA419" s="147">
        <f>IF($E419="","",VLOOKUP($D419,'Mortality Margins &amp; Grading'!$AB$5:$AF$125,5,0)*IF(Summary!$D$25="Included Margin",IF(AND($B419&gt;Input!$C$9,Summary!$D$31&lt;&gt;"Included Margin"),0,1),0))</f>
        <v>0.14099999999999999</v>
      </c>
      <c r="AB419" s="147">
        <f>IF($E419="","",IF(AND($B419&gt;Input!$C$9,Summary!$D$31&lt;&gt;"Included Margin"),1,IF(Summary!$D$25="Included Margin",VLOOKUP($B419,'Mortality Margins &amp; Grading'!$AI$5:$AR$125,MATCH('Mortality Margins &amp; Grading'!$AQ$4,'Mortality Margins &amp; Grading'!$AI$4:$AR$4,0),0),1)))</f>
        <v>0.625</v>
      </c>
      <c r="AC419" s="154"/>
      <c r="AD419" s="158">
        <f>IF(E419="","",Input!$C$48*IF(Summary!$D$30="Included Margin",IF(AND($B419&gt;Input!$C$9,Summary!$D$31&lt;&gt;"Included Margin"),0,1),0))</f>
        <v>-4.4999999999999997E-3</v>
      </c>
      <c r="AE419" s="159">
        <f>IF(E419="","",IF(Summary!$D$26="Included Margin",IF(AND($B419&gt;Input!$C$9,Summary!$D$31&lt;&gt;"Included Margin"),1,1/$R419),1))</f>
        <v>1.1858103991669757</v>
      </c>
      <c r="AF419" s="160">
        <f>IF(E419="","",IF(AND($B419&gt;=Input!$C$9,$C419=12,Summary!$D$31="Included Margin",$U419&gt;0),1/U419-1,IF($B419&gt;=Input!$C$9,0,Input!$C$45*IF(Summary!$D$27="Included Margin",1,0))))</f>
        <v>0</v>
      </c>
      <c r="AG419" s="160">
        <f>IF(E419="","",Input!$C$46*IF(Summary!$D$28="Included Margin",IF(AND($B419&gt;Input!$C$9,Summary!$D$31&lt;&gt;"Included Margin"),0,1),0))</f>
        <v>0.02</v>
      </c>
      <c r="AH419" s="158">
        <f>IF(E419="","",Input!$C$47*IF(Summary!$D$29="Included Margin",IF(AND($B419&gt;Input!$C$9,Summary!$D$31&lt;&gt;"Included Margin"),0,1),0))</f>
        <v>2.5000000000000001E-3</v>
      </c>
      <c r="AI419" s="154"/>
      <c r="AJ419" s="158">
        <f t="shared" si="271"/>
        <v>4.0469999999999999E-2</v>
      </c>
      <c r="AK419" s="155">
        <f t="shared" si="272"/>
        <v>3.3115155045884137E-3</v>
      </c>
      <c r="AL419" s="147">
        <f t="shared" si="273"/>
        <v>0.12612177187500001</v>
      </c>
      <c r="AM419" s="147">
        <f t="shared" si="251"/>
        <v>1.1171648454382899E-2</v>
      </c>
      <c r="AN419" s="160">
        <f t="shared" si="274"/>
        <v>0</v>
      </c>
      <c r="AO419" s="161">
        <f t="shared" si="275"/>
        <v>0</v>
      </c>
      <c r="AP419" s="156">
        <f t="shared" si="252"/>
        <v>2.1308494515903438</v>
      </c>
      <c r="AQ419" s="152"/>
      <c r="AR419" s="162">
        <f t="shared" si="253"/>
        <v>6455.0213875100762</v>
      </c>
      <c r="AS419" s="150">
        <f t="shared" si="276"/>
        <v>0</v>
      </c>
      <c r="AT419" s="163">
        <f t="shared" si="254"/>
        <v>0</v>
      </c>
      <c r="AU419" s="163">
        <f t="shared" si="255"/>
        <v>1117.1648454382898</v>
      </c>
      <c r="AV419" s="163">
        <f t="shared" si="277"/>
        <v>19.526149053764424</v>
      </c>
      <c r="AW419" s="163">
        <f t="shared" si="256"/>
        <v>60.527016773589608</v>
      </c>
      <c r="AX419" s="163">
        <f t="shared" si="257"/>
        <v>0</v>
      </c>
      <c r="AY419" s="164">
        <f t="shared" si="278"/>
        <v>5417.9097078991399</v>
      </c>
      <c r="AZ419" s="164">
        <f>IF($E419="","",IF(OR(AND($D419=Input!$C$6,$C419=12),$AN419=1),0,-AS420+AT420+AU420-AV420-AW420-AX420+AZ420))</f>
        <v>5417.91276558147</v>
      </c>
      <c r="BA419" s="154">
        <f t="shared" si="258"/>
        <v>3.0576823301089462E-3</v>
      </c>
      <c r="BC419" s="147">
        <f t="shared" si="279"/>
        <v>1.0669648280567774E-2</v>
      </c>
      <c r="BD419" s="164">
        <f>IF(AND($C418=12,$D418=Input!$C$6),0,IF($E419="","",AT419+(AU419+BD420)/(1+$AK419)*MIN((1-AM419-AN419),1)))</f>
        <v>5203.6521347547778</v>
      </c>
      <c r="BE419" s="164">
        <f t="shared" si="259"/>
        <v>55.52113805225914</v>
      </c>
      <c r="BF419" s="164">
        <f t="shared" si="280"/>
        <v>5417.91276558147</v>
      </c>
      <c r="BG419" s="164">
        <f t="shared" si="260"/>
        <v>57.807223623552524</v>
      </c>
      <c r="BH419" s="152"/>
      <c r="BI419" s="162">
        <f t="shared" si="261"/>
        <v>591.76454777842309</v>
      </c>
      <c r="BJ419" s="150">
        <f t="shared" si="262"/>
        <v>0</v>
      </c>
      <c r="BK419" s="163">
        <f t="shared" si="284"/>
        <v>0</v>
      </c>
      <c r="BL419" s="163">
        <f t="shared" si="263"/>
        <v>785.91555850164866</v>
      </c>
      <c r="BM419" s="163">
        <f t="shared" si="285"/>
        <v>0.73009961350389441</v>
      </c>
      <c r="BN419" s="163">
        <f t="shared" si="264"/>
        <v>-1.5321456173461625</v>
      </c>
      <c r="BO419" s="163">
        <f t="shared" si="265"/>
        <v>0</v>
      </c>
      <c r="BP419" s="164">
        <f t="shared" si="286"/>
        <v>-194.95305672706786</v>
      </c>
      <c r="BQ419" s="164">
        <f>IF($E419="","",IF(AND($D419=Input!$C$6,$C419=12),0,-BJ420+BK420+BL420-BM420-BN420-BO420+BQ420))</f>
        <v>-194.95041175507515</v>
      </c>
      <c r="BR419" s="161">
        <f t="shared" si="266"/>
        <v>0</v>
      </c>
      <c r="BT419" s="147">
        <f t="shared" si="267"/>
        <v>1.0669648280567774E-2</v>
      </c>
      <c r="BU419" s="164">
        <f>IF(AND($C418=12,$D418=Input!$C$6),0,IF($E419="","",BK419+(BL419+BU420)/(1+$AK419)*MIN((1-T419-U419),1)))</f>
        <v>48995.284530165525</v>
      </c>
      <c r="BV419" s="164">
        <f t="shared" si="268"/>
        <v>522.76245334320947</v>
      </c>
      <c r="BW419" s="164">
        <f t="shared" si="269"/>
        <v>-194.95041175507515</v>
      </c>
      <c r="BX419" s="164">
        <f t="shared" si="270"/>
        <v>-2.0800523255785173</v>
      </c>
    </row>
    <row r="420" spans="1:76" s="150" customFormat="1" x14ac:dyDescent="0.25">
      <c r="A420" s="150">
        <f t="shared" si="281"/>
        <v>416</v>
      </c>
      <c r="B420" s="150">
        <f t="shared" si="282"/>
        <v>35</v>
      </c>
      <c r="C420" s="150">
        <f t="shared" si="283"/>
        <v>8</v>
      </c>
      <c r="D420" s="150">
        <f>IF(E420="","",Input!$C$4+B420-1)</f>
        <v>79</v>
      </c>
      <c r="E420" s="150">
        <f>IF(OR(AND(C419=12,D419=Input!$C$6),E419=""),"",1)</f>
        <v>1</v>
      </c>
      <c r="F420" s="150">
        <f>IF(E420="","",Input!$C$8+B420-1)</f>
        <v>2052</v>
      </c>
      <c r="G420" s="151">
        <f>IF(E420="","",MAX(0,Input!$C$9-B420))</f>
        <v>0</v>
      </c>
      <c r="H420" s="152">
        <f>IF(E420="","",Input!$C$3)</f>
        <v>100000</v>
      </c>
      <c r="I420" s="153">
        <f>IF(E420="","",HLOOKUP($B420,Input!$C$13:$BT$14,2))</f>
        <v>94.913000000000011</v>
      </c>
      <c r="J420" s="154"/>
      <c r="K420" s="155">
        <f>IF($E420="","",INDEX(Input!$C$16:$CP$16,1,$B420))</f>
        <v>2.997E-2</v>
      </c>
      <c r="L420" s="155">
        <f>IF($E420="","",Input!$C$37)</f>
        <v>1.4999999999999999E-2</v>
      </c>
      <c r="M420" s="155">
        <f t="shared" si="246"/>
        <v>4.4969999999999996E-2</v>
      </c>
      <c r="N420" s="155">
        <f t="shared" si="247"/>
        <v>3.6724082329346874E-3</v>
      </c>
      <c r="O420" s="147">
        <f>IF($E420="","",MIN(VLOOKUP(IF($B420&lt;=Input!$C$7,$B420,26),'Mortality Tables'!$A$41:$CW$67,IF($B420&lt;=Input!$C$7+1,Input!$C$4+2,$D420-Input!$C$7+2),0)*IF(B420&gt;20,Input!$C$22,1)/1000,1))</f>
        <v>0.10712400000000001</v>
      </c>
      <c r="P420" s="147">
        <f>IF($E420="","",MIN(VLOOKUP(IF($B420&lt;=Input!$C$7,$B420,26),'Mortality Tables'!$A$12:$CW$37,IF($B420&lt;=Input!$C$7+1,Input!$C$4+2,$D420-Input!$C$7+2),0)*IF(B420&gt;20,Input!$C$22,1)/1000,1))</f>
        <v>0.133905</v>
      </c>
      <c r="Q420" s="155">
        <f>IF($E420="","",Input!$C$21)</f>
        <v>5.0000000000000001E-3</v>
      </c>
      <c r="R420" s="159">
        <f>IF($E420="","",(1-Q420)^($F420-Input!$C$20))</f>
        <v>0.84330513605083379</v>
      </c>
      <c r="S420" s="147">
        <f t="shared" si="249"/>
        <v>9.0338219394309527E-2</v>
      </c>
      <c r="T420" s="147">
        <f t="shared" si="250"/>
        <v>7.8591555850164863E-3</v>
      </c>
      <c r="U420" s="160">
        <f>IF($E420="","",IF($C420=12,INDEX(Input!$C$15:$CP$15,1,$B420),0))</f>
        <v>0</v>
      </c>
      <c r="V420" s="150">
        <f>IF(E420="","",IF(C420=1,IF($B420=1,Input!$C$33,Input!$C$34),0))</f>
        <v>0</v>
      </c>
      <c r="W420" s="156">
        <f>IF($E420="","",Input!$C$35)</f>
        <v>0.02</v>
      </c>
      <c r="X420" s="156">
        <f t="shared" si="248"/>
        <v>1.9606760320220162</v>
      </c>
      <c r="Y420" s="154"/>
      <c r="Z420" s="147">
        <f>IF($E420="","",VLOOKUP($D420,'Mortality Margins &amp; Grading'!$AB$5:$AF$125,3,0)*IF(Summary!$D$25="Included Margin",IF(AND($B420&gt;Input!$C$9,Summary!$D$31&lt;&gt;"Included Margin"),0,1),0))</f>
        <v>2.8000000000000001E-2</v>
      </c>
      <c r="AA420" s="147">
        <f>IF($E420="","",VLOOKUP($D420,'Mortality Margins &amp; Grading'!$AB$5:$AF$125,5,0)*IF(Summary!$D$25="Included Margin",IF(AND($B420&gt;Input!$C$9,Summary!$D$31&lt;&gt;"Included Margin"),0,1),0))</f>
        <v>0.14099999999999999</v>
      </c>
      <c r="AB420" s="147">
        <f>IF($E420="","",IF(AND($B420&gt;Input!$C$9,Summary!$D$31&lt;&gt;"Included Margin"),1,IF(Summary!$D$25="Included Margin",VLOOKUP($B420,'Mortality Margins &amp; Grading'!$AI$5:$AR$125,MATCH('Mortality Margins &amp; Grading'!$AQ$4,'Mortality Margins &amp; Grading'!$AI$4:$AR$4,0),0),1)))</f>
        <v>0.625</v>
      </c>
      <c r="AC420" s="154"/>
      <c r="AD420" s="158">
        <f>IF(E420="","",Input!$C$48*IF(Summary!$D$30="Included Margin",IF(AND($B420&gt;Input!$C$9,Summary!$D$31&lt;&gt;"Included Margin"),0,1),0))</f>
        <v>-4.4999999999999997E-3</v>
      </c>
      <c r="AE420" s="159">
        <f>IF(E420="","",IF(Summary!$D$26="Included Margin",IF(AND($B420&gt;Input!$C$9,Summary!$D$31&lt;&gt;"Included Margin"),1,1/$R420),1))</f>
        <v>1.1858103991669757</v>
      </c>
      <c r="AF420" s="160">
        <f>IF(E420="","",IF(AND($B420&gt;=Input!$C$9,$C420=12,Summary!$D$31="Included Margin",$U420&gt;0),1/U420-1,IF($B420&gt;=Input!$C$9,0,Input!$C$45*IF(Summary!$D$27="Included Margin",1,0))))</f>
        <v>0</v>
      </c>
      <c r="AG420" s="160">
        <f>IF(E420="","",Input!$C$46*IF(Summary!$D$28="Included Margin",IF(AND($B420&gt;Input!$C$9,Summary!$D$31&lt;&gt;"Included Margin"),0,1),0))</f>
        <v>0.02</v>
      </c>
      <c r="AH420" s="158">
        <f>IF(E420="","",Input!$C$47*IF(Summary!$D$29="Included Margin",IF(AND($B420&gt;Input!$C$9,Summary!$D$31&lt;&gt;"Included Margin"),0,1),0))</f>
        <v>2.5000000000000001E-3</v>
      </c>
      <c r="AI420" s="154"/>
      <c r="AJ420" s="158">
        <f t="shared" si="271"/>
        <v>4.0469999999999999E-2</v>
      </c>
      <c r="AK420" s="155">
        <f t="shared" si="272"/>
        <v>3.3115155045884137E-3</v>
      </c>
      <c r="AL420" s="147">
        <f t="shared" si="273"/>
        <v>0.12612177187500001</v>
      </c>
      <c r="AM420" s="147">
        <f t="shared" si="251"/>
        <v>1.1171648454382899E-2</v>
      </c>
      <c r="AN420" s="160">
        <f t="shared" si="274"/>
        <v>0</v>
      </c>
      <c r="AO420" s="161">
        <f t="shared" si="275"/>
        <v>0</v>
      </c>
      <c r="AP420" s="156">
        <f t="shared" si="252"/>
        <v>2.1308494515903438</v>
      </c>
      <c r="AQ420" s="152"/>
      <c r="AR420" s="162">
        <f t="shared" si="253"/>
        <v>5417.9097078991399</v>
      </c>
      <c r="AS420" s="150">
        <f t="shared" si="276"/>
        <v>0</v>
      </c>
      <c r="AT420" s="163">
        <f t="shared" si="254"/>
        <v>0</v>
      </c>
      <c r="AU420" s="163">
        <f t="shared" si="255"/>
        <v>1117.1648454382898</v>
      </c>
      <c r="AV420" s="163">
        <f t="shared" si="277"/>
        <v>16.091737646743077</v>
      </c>
      <c r="AW420" s="163">
        <f t="shared" si="256"/>
        <v>48.771068320792175</v>
      </c>
      <c r="AX420" s="163">
        <f t="shared" si="257"/>
        <v>0</v>
      </c>
      <c r="AY420" s="165">
        <f t="shared" si="278"/>
        <v>4365.6076684283853</v>
      </c>
      <c r="AZ420" s="164">
        <f>IF($E420="","",IF(OR(AND($D420=Input!$C$6,$C420=12),$AN420=1),0,-AS421+AT421+AU421-AV421-AW421-AX421+AZ421))</f>
        <v>4365.6107261107154</v>
      </c>
      <c r="BA420" s="154">
        <f t="shared" si="258"/>
        <v>3.0576823301089462E-3</v>
      </c>
      <c r="BC420" s="147">
        <f t="shared" si="279"/>
        <v>1.0585793854693389E-2</v>
      </c>
      <c r="BD420" s="164">
        <f>IF(AND($C419=12,$D419=Input!$C$6),0,IF($E420="","",AT420+(AU420+BD421)/(1+$AK420)*MIN((1-AM420-AN420),1)))</f>
        <v>4162.7041038276238</v>
      </c>
      <c r="BE420" s="164">
        <f t="shared" si="259"/>
        <v>44.065527521205411</v>
      </c>
      <c r="BF420" s="164">
        <f t="shared" si="280"/>
        <v>4365.6107261107154</v>
      </c>
      <c r="BG420" s="164">
        <f t="shared" si="260"/>
        <v>46.213455196446354</v>
      </c>
      <c r="BH420" s="152"/>
      <c r="BI420" s="162">
        <f t="shared" si="261"/>
        <v>-194.95305672706786</v>
      </c>
      <c r="BJ420" s="150">
        <f t="shared" si="262"/>
        <v>0</v>
      </c>
      <c r="BK420" s="163">
        <f t="shared" si="284"/>
        <v>0</v>
      </c>
      <c r="BL420" s="163">
        <f t="shared" si="263"/>
        <v>785.91555850164866</v>
      </c>
      <c r="BM420" s="163">
        <f t="shared" si="285"/>
        <v>-2.1590485942767264</v>
      </c>
      <c r="BN420" s="163">
        <f t="shared" si="264"/>
        <v>-7.7869453824061328</v>
      </c>
      <c r="BO420" s="163">
        <f t="shared" si="265"/>
        <v>0</v>
      </c>
      <c r="BP420" s="164">
        <f t="shared" si="286"/>
        <v>-990.81460920539939</v>
      </c>
      <c r="BQ420" s="164">
        <f>IF($E420="","",IF(AND($D420=Input!$C$6,$C420=12),0,-BJ421+BK421+BL421-BM421-BN421-BO421+BQ421))</f>
        <v>-990.81196423340668</v>
      </c>
      <c r="BR420" s="161">
        <f t="shared" si="266"/>
        <v>0</v>
      </c>
      <c r="BT420" s="147">
        <f t="shared" si="267"/>
        <v>1.0585793854693389E-2</v>
      </c>
      <c r="BU420" s="164">
        <f>IF(AND($C419=12,$D419=Input!$C$6),0,IF($E420="","",BK420+(BL420+BU421)/(1+$AK420)*MIN((1-T420-U420),1)))</f>
        <v>48761.014649300305</v>
      </c>
      <c r="BV420" s="164">
        <f t="shared" si="268"/>
        <v>516.17404922317746</v>
      </c>
      <c r="BW420" s="164">
        <f t="shared" si="269"/>
        <v>-990.81196423340668</v>
      </c>
      <c r="BX420" s="164">
        <f t="shared" si="270"/>
        <v>-10.488531202138683</v>
      </c>
    </row>
    <row r="421" spans="1:76" s="150" customFormat="1" x14ac:dyDescent="0.25">
      <c r="A421" s="150">
        <f t="shared" si="281"/>
        <v>417</v>
      </c>
      <c r="B421" s="150">
        <f t="shared" si="282"/>
        <v>35</v>
      </c>
      <c r="C421" s="150">
        <f t="shared" si="283"/>
        <v>9</v>
      </c>
      <c r="D421" s="150">
        <f>IF(E421="","",Input!$C$4+B421-1)</f>
        <v>79</v>
      </c>
      <c r="E421" s="150">
        <f>IF(OR(AND(C420=12,D420=Input!$C$6),E420=""),"",1)</f>
        <v>1</v>
      </c>
      <c r="F421" s="150">
        <f>IF(E421="","",Input!$C$8+B421-1)</f>
        <v>2052</v>
      </c>
      <c r="G421" s="151">
        <f>IF(E421="","",MAX(0,Input!$C$9-B421))</f>
        <v>0</v>
      </c>
      <c r="H421" s="152">
        <f>IF(E421="","",Input!$C$3)</f>
        <v>100000</v>
      </c>
      <c r="I421" s="153">
        <f>IF(E421="","",HLOOKUP($B421,Input!$C$13:$BT$14,2))</f>
        <v>94.913000000000011</v>
      </c>
      <c r="J421" s="154"/>
      <c r="K421" s="155">
        <f>IF($E421="","",INDEX(Input!$C$16:$CP$16,1,$B421))</f>
        <v>2.997E-2</v>
      </c>
      <c r="L421" s="155">
        <f>IF($E421="","",Input!$C$37)</f>
        <v>1.4999999999999999E-2</v>
      </c>
      <c r="M421" s="155">
        <f t="shared" si="246"/>
        <v>4.4969999999999996E-2</v>
      </c>
      <c r="N421" s="155">
        <f t="shared" si="247"/>
        <v>3.6724082329346874E-3</v>
      </c>
      <c r="O421" s="147">
        <f>IF($E421="","",MIN(VLOOKUP(IF($B421&lt;=Input!$C$7,$B421,26),'Mortality Tables'!$A$41:$CW$67,IF($B421&lt;=Input!$C$7+1,Input!$C$4+2,$D421-Input!$C$7+2),0)*IF(B421&gt;20,Input!$C$22,1)/1000,1))</f>
        <v>0.10712400000000001</v>
      </c>
      <c r="P421" s="147">
        <f>IF($E421="","",MIN(VLOOKUP(IF($B421&lt;=Input!$C$7,$B421,26),'Mortality Tables'!$A$12:$CW$37,IF($B421&lt;=Input!$C$7+1,Input!$C$4+2,$D421-Input!$C$7+2),0)*IF(B421&gt;20,Input!$C$22,1)/1000,1))</f>
        <v>0.133905</v>
      </c>
      <c r="Q421" s="155">
        <f>IF($E421="","",Input!$C$21)</f>
        <v>5.0000000000000001E-3</v>
      </c>
      <c r="R421" s="159">
        <f>IF($E421="","",(1-Q421)^($F421-Input!$C$20))</f>
        <v>0.84330513605083379</v>
      </c>
      <c r="S421" s="147">
        <f t="shared" si="249"/>
        <v>9.0338219394309527E-2</v>
      </c>
      <c r="T421" s="147">
        <f t="shared" si="250"/>
        <v>7.8591555850164863E-3</v>
      </c>
      <c r="U421" s="160">
        <f>IF($E421="","",IF($C421=12,INDEX(Input!$C$15:$CP$15,1,$B421),0))</f>
        <v>0</v>
      </c>
      <c r="V421" s="150">
        <f>IF(E421="","",IF(C421=1,IF($B421=1,Input!$C$33,Input!$C$34),0))</f>
        <v>0</v>
      </c>
      <c r="W421" s="156">
        <f>IF($E421="","",Input!$C$35)</f>
        <v>0.02</v>
      </c>
      <c r="X421" s="156">
        <f t="shared" si="248"/>
        <v>1.9606760320220162</v>
      </c>
      <c r="Y421" s="154"/>
      <c r="Z421" s="147">
        <f>IF($E421="","",VLOOKUP($D421,'Mortality Margins &amp; Grading'!$AB$5:$AF$125,3,0)*IF(Summary!$D$25="Included Margin",IF(AND($B421&gt;Input!$C$9,Summary!$D$31&lt;&gt;"Included Margin"),0,1),0))</f>
        <v>2.8000000000000001E-2</v>
      </c>
      <c r="AA421" s="147">
        <f>IF($E421="","",VLOOKUP($D421,'Mortality Margins &amp; Grading'!$AB$5:$AF$125,5,0)*IF(Summary!$D$25="Included Margin",IF(AND($B421&gt;Input!$C$9,Summary!$D$31&lt;&gt;"Included Margin"),0,1),0))</f>
        <v>0.14099999999999999</v>
      </c>
      <c r="AB421" s="147">
        <f>IF($E421="","",IF(AND($B421&gt;Input!$C$9,Summary!$D$31&lt;&gt;"Included Margin"),1,IF(Summary!$D$25="Included Margin",VLOOKUP($B421,'Mortality Margins &amp; Grading'!$AI$5:$AR$125,MATCH('Mortality Margins &amp; Grading'!$AQ$4,'Mortality Margins &amp; Grading'!$AI$4:$AR$4,0),0),1)))</f>
        <v>0.625</v>
      </c>
      <c r="AC421" s="154"/>
      <c r="AD421" s="158">
        <f>IF(E421="","",Input!$C$48*IF(Summary!$D$30="Included Margin",IF(AND($B421&gt;Input!$C$9,Summary!$D$31&lt;&gt;"Included Margin"),0,1),0))</f>
        <v>-4.4999999999999997E-3</v>
      </c>
      <c r="AE421" s="159">
        <f>IF(E421="","",IF(Summary!$D$26="Included Margin",IF(AND($B421&gt;Input!$C$9,Summary!$D$31&lt;&gt;"Included Margin"),1,1/$R421),1))</f>
        <v>1.1858103991669757</v>
      </c>
      <c r="AF421" s="160">
        <f>IF(E421="","",IF(AND($B421&gt;=Input!$C$9,$C421=12,Summary!$D$31="Included Margin",$U421&gt;0),1/U421-1,IF($B421&gt;=Input!$C$9,0,Input!$C$45*IF(Summary!$D$27="Included Margin",1,0))))</f>
        <v>0</v>
      </c>
      <c r="AG421" s="160">
        <f>IF(E421="","",Input!$C$46*IF(Summary!$D$28="Included Margin",IF(AND($B421&gt;Input!$C$9,Summary!$D$31&lt;&gt;"Included Margin"),0,1),0))</f>
        <v>0.02</v>
      </c>
      <c r="AH421" s="158">
        <f>IF(E421="","",Input!$C$47*IF(Summary!$D$29="Included Margin",IF(AND($B421&gt;Input!$C$9,Summary!$D$31&lt;&gt;"Included Margin"),0,1),0))</f>
        <v>2.5000000000000001E-3</v>
      </c>
      <c r="AI421" s="154"/>
      <c r="AJ421" s="158">
        <f t="shared" si="271"/>
        <v>4.0469999999999999E-2</v>
      </c>
      <c r="AK421" s="155">
        <f t="shared" si="272"/>
        <v>3.3115155045884137E-3</v>
      </c>
      <c r="AL421" s="147">
        <f t="shared" si="273"/>
        <v>0.12612177187500001</v>
      </c>
      <c r="AM421" s="147">
        <f t="shared" si="251"/>
        <v>1.1171648454382899E-2</v>
      </c>
      <c r="AN421" s="160">
        <f t="shared" si="274"/>
        <v>0</v>
      </c>
      <c r="AO421" s="161">
        <f t="shared" si="275"/>
        <v>0</v>
      </c>
      <c r="AP421" s="156">
        <f t="shared" si="252"/>
        <v>2.1308494515903438</v>
      </c>
      <c r="AQ421" s="152"/>
      <c r="AR421" s="162">
        <f t="shared" si="253"/>
        <v>4365.6076684283862</v>
      </c>
      <c r="AS421" s="150">
        <f t="shared" si="276"/>
        <v>0</v>
      </c>
      <c r="AT421" s="163">
        <f t="shared" si="254"/>
        <v>0</v>
      </c>
      <c r="AU421" s="163">
        <f t="shared" si="255"/>
        <v>1117.1648454382898</v>
      </c>
      <c r="AV421" s="163">
        <f t="shared" si="277"/>
        <v>12.607023127525666</v>
      </c>
      <c r="AW421" s="163">
        <f t="shared" si="256"/>
        <v>36.842932927087418</v>
      </c>
      <c r="AX421" s="163">
        <f t="shared" si="257"/>
        <v>0</v>
      </c>
      <c r="AY421" s="164">
        <f t="shared" si="278"/>
        <v>3297.8927790447096</v>
      </c>
      <c r="AZ421" s="164">
        <f>IF($E421="","",IF(OR(AND($D421=Input!$C$6,$C421=12),$AN421=1),0,-AS422+AT422+AU422-AV422-AW422-AX422+AZ422))</f>
        <v>3297.8958367270388</v>
      </c>
      <c r="BA421" s="154">
        <f t="shared" si="258"/>
        <v>3.0576823291994515E-3</v>
      </c>
      <c r="BC421" s="147">
        <f t="shared" si="279"/>
        <v>1.0502598453798442E-2</v>
      </c>
      <c r="BD421" s="164">
        <f>IF(AND($C420=12,$D420=Input!$C$6),0,IF($E421="","",AT421+(AU421+BD422)/(1+$AK421)*MIN((1-AM421-AN421),1)))</f>
        <v>3106.509522797895</v>
      </c>
      <c r="BE421" s="164">
        <f t="shared" si="259"/>
        <v>32.626422110847308</v>
      </c>
      <c r="BF421" s="164">
        <f t="shared" si="280"/>
        <v>3297.8958367270388</v>
      </c>
      <c r="BG421" s="164">
        <f t="shared" si="260"/>
        <v>34.636475715597719</v>
      </c>
      <c r="BH421" s="152"/>
      <c r="BI421" s="162">
        <f t="shared" si="261"/>
        <v>-990.81460920539928</v>
      </c>
      <c r="BJ421" s="150">
        <f t="shared" si="262"/>
        <v>0</v>
      </c>
      <c r="BK421" s="163">
        <f t="shared" si="284"/>
        <v>0</v>
      </c>
      <c r="BL421" s="163">
        <f t="shared" si="263"/>
        <v>785.91555850164866</v>
      </c>
      <c r="BM421" s="163">
        <f t="shared" si="285"/>
        <v>-5.0817771118743318</v>
      </c>
      <c r="BN421" s="163">
        <f t="shared" si="264"/>
        <v>-14.114444122682496</v>
      </c>
      <c r="BO421" s="163">
        <f t="shared" si="265"/>
        <v>0</v>
      </c>
      <c r="BP421" s="164">
        <f t="shared" si="286"/>
        <v>-1795.9263889416047</v>
      </c>
      <c r="BQ421" s="164">
        <f>IF($E421="","",IF(AND($D421=Input!$C$6,$C421=12),0,-BJ422+BK422+BL422-BM422-BN422-BO422+BQ422))</f>
        <v>-1795.9237439696121</v>
      </c>
      <c r="BR421" s="161">
        <f t="shared" si="266"/>
        <v>0</v>
      </c>
      <c r="BT421" s="147">
        <f t="shared" si="267"/>
        <v>1.0502598453798442E-2</v>
      </c>
      <c r="BU421" s="164">
        <f>IF(AND($C420=12,$D420=Input!$C$6),0,IF($E421="","",BK421+(BL421+BU422)/(1+$AK421)*MIN((1-T421-U421),1)))</f>
        <v>48524.10708669859</v>
      </c>
      <c r="BV421" s="164">
        <f t="shared" si="268"/>
        <v>509.62921206071064</v>
      </c>
      <c r="BW421" s="164">
        <f t="shared" si="269"/>
        <v>-1795.9237439696121</v>
      </c>
      <c r="BX421" s="164">
        <f t="shared" si="270"/>
        <v>-18.861865936555155</v>
      </c>
    </row>
    <row r="422" spans="1:76" s="150" customFormat="1" x14ac:dyDescent="0.25">
      <c r="A422" s="150">
        <f t="shared" si="281"/>
        <v>418</v>
      </c>
      <c r="B422" s="150">
        <f t="shared" si="282"/>
        <v>35</v>
      </c>
      <c r="C422" s="150">
        <f t="shared" si="283"/>
        <v>10</v>
      </c>
      <c r="D422" s="150">
        <f>IF(E422="","",Input!$C$4+B422-1)</f>
        <v>79</v>
      </c>
      <c r="E422" s="150">
        <f>IF(OR(AND(C421=12,D421=Input!$C$6),E421=""),"",1)</f>
        <v>1</v>
      </c>
      <c r="F422" s="150">
        <f>IF(E422="","",Input!$C$8+B422-1)</f>
        <v>2052</v>
      </c>
      <c r="G422" s="151">
        <f>IF(E422="","",MAX(0,Input!$C$9-B422))</f>
        <v>0</v>
      </c>
      <c r="H422" s="152">
        <f>IF(E422="","",Input!$C$3)</f>
        <v>100000</v>
      </c>
      <c r="I422" s="153">
        <f>IF(E422="","",HLOOKUP($B422,Input!$C$13:$BT$14,2))</f>
        <v>94.913000000000011</v>
      </c>
      <c r="J422" s="154"/>
      <c r="K422" s="155">
        <f>IF($E422="","",INDEX(Input!$C$16:$CP$16,1,$B422))</f>
        <v>2.997E-2</v>
      </c>
      <c r="L422" s="155">
        <f>IF($E422="","",Input!$C$37)</f>
        <v>1.4999999999999999E-2</v>
      </c>
      <c r="M422" s="155">
        <f t="shared" si="246"/>
        <v>4.4969999999999996E-2</v>
      </c>
      <c r="N422" s="155">
        <f t="shared" si="247"/>
        <v>3.6724082329346874E-3</v>
      </c>
      <c r="O422" s="147">
        <f>IF($E422="","",MIN(VLOOKUP(IF($B422&lt;=Input!$C$7,$B422,26),'Mortality Tables'!$A$41:$CW$67,IF($B422&lt;=Input!$C$7+1,Input!$C$4+2,$D422-Input!$C$7+2),0)*IF(B422&gt;20,Input!$C$22,1)/1000,1))</f>
        <v>0.10712400000000001</v>
      </c>
      <c r="P422" s="147">
        <f>IF($E422="","",MIN(VLOOKUP(IF($B422&lt;=Input!$C$7,$B422,26),'Mortality Tables'!$A$12:$CW$37,IF($B422&lt;=Input!$C$7+1,Input!$C$4+2,$D422-Input!$C$7+2),0)*IF(B422&gt;20,Input!$C$22,1)/1000,1))</f>
        <v>0.133905</v>
      </c>
      <c r="Q422" s="155">
        <f>IF($E422="","",Input!$C$21)</f>
        <v>5.0000000000000001E-3</v>
      </c>
      <c r="R422" s="159">
        <f>IF($E422="","",(1-Q422)^($F422-Input!$C$20))</f>
        <v>0.84330513605083379</v>
      </c>
      <c r="S422" s="147">
        <f t="shared" si="249"/>
        <v>9.0338219394309527E-2</v>
      </c>
      <c r="T422" s="147">
        <f t="shared" si="250"/>
        <v>7.8591555850164863E-3</v>
      </c>
      <c r="U422" s="160">
        <f>IF($E422="","",IF($C422=12,INDEX(Input!$C$15:$CP$15,1,$B422),0))</f>
        <v>0</v>
      </c>
      <c r="V422" s="150">
        <f>IF(E422="","",IF(C422=1,IF($B422=1,Input!$C$33,Input!$C$34),0))</f>
        <v>0</v>
      </c>
      <c r="W422" s="156">
        <f>IF($E422="","",Input!$C$35)</f>
        <v>0.02</v>
      </c>
      <c r="X422" s="156">
        <f t="shared" si="248"/>
        <v>1.9606760320220162</v>
      </c>
      <c r="Y422" s="154"/>
      <c r="Z422" s="147">
        <f>IF($E422="","",VLOOKUP($D422,'Mortality Margins &amp; Grading'!$AB$5:$AF$125,3,0)*IF(Summary!$D$25="Included Margin",IF(AND($B422&gt;Input!$C$9,Summary!$D$31&lt;&gt;"Included Margin"),0,1),0))</f>
        <v>2.8000000000000001E-2</v>
      </c>
      <c r="AA422" s="147">
        <f>IF($E422="","",VLOOKUP($D422,'Mortality Margins &amp; Grading'!$AB$5:$AF$125,5,0)*IF(Summary!$D$25="Included Margin",IF(AND($B422&gt;Input!$C$9,Summary!$D$31&lt;&gt;"Included Margin"),0,1),0))</f>
        <v>0.14099999999999999</v>
      </c>
      <c r="AB422" s="147">
        <f>IF($E422="","",IF(AND($B422&gt;Input!$C$9,Summary!$D$31&lt;&gt;"Included Margin"),1,IF(Summary!$D$25="Included Margin",VLOOKUP($B422,'Mortality Margins &amp; Grading'!$AI$5:$AR$125,MATCH('Mortality Margins &amp; Grading'!$AQ$4,'Mortality Margins &amp; Grading'!$AI$4:$AR$4,0),0),1)))</f>
        <v>0.625</v>
      </c>
      <c r="AC422" s="154"/>
      <c r="AD422" s="158">
        <f>IF(E422="","",Input!$C$48*IF(Summary!$D$30="Included Margin",IF(AND($B422&gt;Input!$C$9,Summary!$D$31&lt;&gt;"Included Margin"),0,1),0))</f>
        <v>-4.4999999999999997E-3</v>
      </c>
      <c r="AE422" s="159">
        <f>IF(E422="","",IF(Summary!$D$26="Included Margin",IF(AND($B422&gt;Input!$C$9,Summary!$D$31&lt;&gt;"Included Margin"),1,1/$R422),1))</f>
        <v>1.1858103991669757</v>
      </c>
      <c r="AF422" s="160">
        <f>IF(E422="","",IF(AND($B422&gt;=Input!$C$9,$C422=12,Summary!$D$31="Included Margin",$U422&gt;0),1/U422-1,IF($B422&gt;=Input!$C$9,0,Input!$C$45*IF(Summary!$D$27="Included Margin",1,0))))</f>
        <v>0</v>
      </c>
      <c r="AG422" s="160">
        <f>IF(E422="","",Input!$C$46*IF(Summary!$D$28="Included Margin",IF(AND($B422&gt;Input!$C$9,Summary!$D$31&lt;&gt;"Included Margin"),0,1),0))</f>
        <v>0.02</v>
      </c>
      <c r="AH422" s="158">
        <f>IF(E422="","",Input!$C$47*IF(Summary!$D$29="Included Margin",IF(AND($B422&gt;Input!$C$9,Summary!$D$31&lt;&gt;"Included Margin"),0,1),0))</f>
        <v>2.5000000000000001E-3</v>
      </c>
      <c r="AI422" s="154"/>
      <c r="AJ422" s="158">
        <f t="shared" si="271"/>
        <v>4.0469999999999999E-2</v>
      </c>
      <c r="AK422" s="155">
        <f t="shared" si="272"/>
        <v>3.3115155045884137E-3</v>
      </c>
      <c r="AL422" s="147">
        <f t="shared" si="273"/>
        <v>0.12612177187500001</v>
      </c>
      <c r="AM422" s="147">
        <f t="shared" si="251"/>
        <v>1.1171648454382899E-2</v>
      </c>
      <c r="AN422" s="160">
        <f t="shared" si="274"/>
        <v>0</v>
      </c>
      <c r="AO422" s="161">
        <f t="shared" si="275"/>
        <v>0</v>
      </c>
      <c r="AP422" s="156">
        <f t="shared" si="252"/>
        <v>2.1308494515903438</v>
      </c>
      <c r="AQ422" s="152"/>
      <c r="AR422" s="162">
        <f t="shared" si="253"/>
        <v>3297.8927790447092</v>
      </c>
      <c r="AS422" s="150">
        <f t="shared" si="276"/>
        <v>0</v>
      </c>
      <c r="AT422" s="163">
        <f t="shared" si="254"/>
        <v>0</v>
      </c>
      <c r="AU422" s="163">
        <f t="shared" si="255"/>
        <v>1117.1648454382898</v>
      </c>
      <c r="AV422" s="163">
        <f t="shared" si="277"/>
        <v>9.0712687168517192</v>
      </c>
      <c r="AW422" s="163">
        <f t="shared" si="256"/>
        <v>24.740088606032629</v>
      </c>
      <c r="AX422" s="163">
        <f t="shared" si="257"/>
        <v>0</v>
      </c>
      <c r="AY422" s="165">
        <f t="shared" si="278"/>
        <v>2214.5392909293037</v>
      </c>
      <c r="AZ422" s="164">
        <f>IF($E422="","",IF(OR(AND($D422=Input!$C$6,$C422=12),$AN422=1),0,-AS423+AT423+AU423-AV423-AW423-AX423+AZ423))</f>
        <v>2214.5423486116333</v>
      </c>
      <c r="BA422" s="154">
        <f t="shared" si="258"/>
        <v>3.0576823296541988E-3</v>
      </c>
      <c r="BC422" s="147">
        <f t="shared" si="279"/>
        <v>1.0420056898503087E-2</v>
      </c>
      <c r="BD422" s="164">
        <f>IF(AND($C421=12,$D421=Input!$C$6),0,IF($E422="","",AT422+(AU422+BD423)/(1+$AK422)*MIN((1-AM422-AN422),1)))</f>
        <v>2034.8450786056471</v>
      </c>
      <c r="BE422" s="164">
        <f t="shared" si="259"/>
        <v>21.203201498709831</v>
      </c>
      <c r="BF422" s="164">
        <f t="shared" si="280"/>
        <v>2214.5423486116333</v>
      </c>
      <c r="BG422" s="164">
        <f t="shared" si="260"/>
        <v>23.075657276677877</v>
      </c>
      <c r="BH422" s="152"/>
      <c r="BI422" s="162">
        <f t="shared" si="261"/>
        <v>-1795.9263889416047</v>
      </c>
      <c r="BJ422" s="150">
        <f t="shared" si="262"/>
        <v>0</v>
      </c>
      <c r="BK422" s="163">
        <f t="shared" si="284"/>
        <v>0</v>
      </c>
      <c r="BL422" s="163">
        <f t="shared" si="263"/>
        <v>785.91555850164866</v>
      </c>
      <c r="BM422" s="163">
        <f t="shared" si="285"/>
        <v>-8.0384762402102723</v>
      </c>
      <c r="BN422" s="163">
        <f t="shared" si="264"/>
        <v>-20.51548681182685</v>
      </c>
      <c r="BO422" s="163">
        <f t="shared" si="265"/>
        <v>0</v>
      </c>
      <c r="BP422" s="164">
        <f t="shared" si="286"/>
        <v>-2610.395910495291</v>
      </c>
      <c r="BQ422" s="164">
        <f>IF($E422="","",IF(AND($D422=Input!$C$6,$C422=12),0,-BJ423+BK423+BL423-BM423-BN423-BO423+BQ423))</f>
        <v>-2610.3932655232979</v>
      </c>
      <c r="BR422" s="161">
        <f t="shared" si="266"/>
        <v>0</v>
      </c>
      <c r="BT422" s="147">
        <f t="shared" si="267"/>
        <v>1.0420056898503087E-2</v>
      </c>
      <c r="BU422" s="164">
        <f>IF(AND($C421=12,$D421=Input!$C$6),0,IF($E422="","",BK422+(BL422+BU423)/(1+$AK422)*MIN((1-T422-U422),1)))</f>
        <v>48284.532144283454</v>
      </c>
      <c r="BV422" s="164">
        <f t="shared" si="268"/>
        <v>503.12757226103486</v>
      </c>
      <c r="BW422" s="164">
        <f t="shared" si="269"/>
        <v>-2610.3932655232979</v>
      </c>
      <c r="BX422" s="164">
        <f t="shared" si="270"/>
        <v>-27.200446354222041</v>
      </c>
    </row>
    <row r="423" spans="1:76" s="150" customFormat="1" x14ac:dyDescent="0.25">
      <c r="A423" s="150">
        <f t="shared" si="281"/>
        <v>419</v>
      </c>
      <c r="B423" s="150">
        <f t="shared" si="282"/>
        <v>35</v>
      </c>
      <c r="C423" s="150">
        <f t="shared" si="283"/>
        <v>11</v>
      </c>
      <c r="D423" s="150">
        <f>IF(E423="","",Input!$C$4+B423-1)</f>
        <v>79</v>
      </c>
      <c r="E423" s="150">
        <f>IF(OR(AND(C422=12,D422=Input!$C$6),E422=""),"",1)</f>
        <v>1</v>
      </c>
      <c r="F423" s="150">
        <f>IF(E423="","",Input!$C$8+B423-1)</f>
        <v>2052</v>
      </c>
      <c r="G423" s="151">
        <f>IF(E423="","",MAX(0,Input!$C$9-B423))</f>
        <v>0</v>
      </c>
      <c r="H423" s="152">
        <f>IF(E423="","",Input!$C$3)</f>
        <v>100000</v>
      </c>
      <c r="I423" s="153">
        <f>IF(E423="","",HLOOKUP($B423,Input!$C$13:$BT$14,2))</f>
        <v>94.913000000000011</v>
      </c>
      <c r="J423" s="154"/>
      <c r="K423" s="155">
        <f>IF($E423="","",INDEX(Input!$C$16:$CP$16,1,$B423))</f>
        <v>2.997E-2</v>
      </c>
      <c r="L423" s="155">
        <f>IF($E423="","",Input!$C$37)</f>
        <v>1.4999999999999999E-2</v>
      </c>
      <c r="M423" s="155">
        <f t="shared" si="246"/>
        <v>4.4969999999999996E-2</v>
      </c>
      <c r="N423" s="155">
        <f t="shared" si="247"/>
        <v>3.6724082329346874E-3</v>
      </c>
      <c r="O423" s="147">
        <f>IF($E423="","",MIN(VLOOKUP(IF($B423&lt;=Input!$C$7,$B423,26),'Mortality Tables'!$A$41:$CW$67,IF($B423&lt;=Input!$C$7+1,Input!$C$4+2,$D423-Input!$C$7+2),0)*IF(B423&gt;20,Input!$C$22,1)/1000,1))</f>
        <v>0.10712400000000001</v>
      </c>
      <c r="P423" s="147">
        <f>IF($E423="","",MIN(VLOOKUP(IF($B423&lt;=Input!$C$7,$B423,26),'Mortality Tables'!$A$12:$CW$37,IF($B423&lt;=Input!$C$7+1,Input!$C$4+2,$D423-Input!$C$7+2),0)*IF(B423&gt;20,Input!$C$22,1)/1000,1))</f>
        <v>0.133905</v>
      </c>
      <c r="Q423" s="155">
        <f>IF($E423="","",Input!$C$21)</f>
        <v>5.0000000000000001E-3</v>
      </c>
      <c r="R423" s="159">
        <f>IF($E423="","",(1-Q423)^($F423-Input!$C$20))</f>
        <v>0.84330513605083379</v>
      </c>
      <c r="S423" s="147">
        <f t="shared" si="249"/>
        <v>9.0338219394309527E-2</v>
      </c>
      <c r="T423" s="147">
        <f t="shared" si="250"/>
        <v>7.8591555850164863E-3</v>
      </c>
      <c r="U423" s="160">
        <f>IF($E423="","",IF($C423=12,INDEX(Input!$C$15:$CP$15,1,$B423),0))</f>
        <v>0</v>
      </c>
      <c r="V423" s="150">
        <f>IF(E423="","",IF(C423=1,IF($B423=1,Input!$C$33,Input!$C$34),0))</f>
        <v>0</v>
      </c>
      <c r="W423" s="156">
        <f>IF($E423="","",Input!$C$35)</f>
        <v>0.02</v>
      </c>
      <c r="X423" s="156">
        <f t="shared" si="248"/>
        <v>1.9606760320220162</v>
      </c>
      <c r="Y423" s="154"/>
      <c r="Z423" s="147">
        <f>IF($E423="","",VLOOKUP($D423,'Mortality Margins &amp; Grading'!$AB$5:$AF$125,3,0)*IF(Summary!$D$25="Included Margin",IF(AND($B423&gt;Input!$C$9,Summary!$D$31&lt;&gt;"Included Margin"),0,1),0))</f>
        <v>2.8000000000000001E-2</v>
      </c>
      <c r="AA423" s="147">
        <f>IF($E423="","",VLOOKUP($D423,'Mortality Margins &amp; Grading'!$AB$5:$AF$125,5,0)*IF(Summary!$D$25="Included Margin",IF(AND($B423&gt;Input!$C$9,Summary!$D$31&lt;&gt;"Included Margin"),0,1),0))</f>
        <v>0.14099999999999999</v>
      </c>
      <c r="AB423" s="147">
        <f>IF($E423="","",IF(AND($B423&gt;Input!$C$9,Summary!$D$31&lt;&gt;"Included Margin"),1,IF(Summary!$D$25="Included Margin",VLOOKUP($B423,'Mortality Margins &amp; Grading'!$AI$5:$AR$125,MATCH('Mortality Margins &amp; Grading'!$AQ$4,'Mortality Margins &amp; Grading'!$AI$4:$AR$4,0),0),1)))</f>
        <v>0.625</v>
      </c>
      <c r="AC423" s="154"/>
      <c r="AD423" s="158">
        <f>IF(E423="","",Input!$C$48*IF(Summary!$D$30="Included Margin",IF(AND($B423&gt;Input!$C$9,Summary!$D$31&lt;&gt;"Included Margin"),0,1),0))</f>
        <v>-4.4999999999999997E-3</v>
      </c>
      <c r="AE423" s="159">
        <f>IF(E423="","",IF(Summary!$D$26="Included Margin",IF(AND($B423&gt;Input!$C$9,Summary!$D$31&lt;&gt;"Included Margin"),1,1/$R423),1))</f>
        <v>1.1858103991669757</v>
      </c>
      <c r="AF423" s="160">
        <f>IF(E423="","",IF(AND($B423&gt;=Input!$C$9,$C423=12,Summary!$D$31="Included Margin",$U423&gt;0),1/U423-1,IF($B423&gt;=Input!$C$9,0,Input!$C$45*IF(Summary!$D$27="Included Margin",1,0))))</f>
        <v>0</v>
      </c>
      <c r="AG423" s="160">
        <f>IF(E423="","",Input!$C$46*IF(Summary!$D$28="Included Margin",IF(AND($B423&gt;Input!$C$9,Summary!$D$31&lt;&gt;"Included Margin"),0,1),0))</f>
        <v>0.02</v>
      </c>
      <c r="AH423" s="158">
        <f>IF(E423="","",Input!$C$47*IF(Summary!$D$29="Included Margin",IF(AND($B423&gt;Input!$C$9,Summary!$D$31&lt;&gt;"Included Margin"),0,1),0))</f>
        <v>2.5000000000000001E-3</v>
      </c>
      <c r="AI423" s="154"/>
      <c r="AJ423" s="158">
        <f t="shared" si="271"/>
        <v>4.0469999999999999E-2</v>
      </c>
      <c r="AK423" s="155">
        <f t="shared" si="272"/>
        <v>3.3115155045884137E-3</v>
      </c>
      <c r="AL423" s="147">
        <f t="shared" si="273"/>
        <v>0.12612177187500001</v>
      </c>
      <c r="AM423" s="147">
        <f t="shared" si="251"/>
        <v>1.1171648454382899E-2</v>
      </c>
      <c r="AN423" s="160">
        <f t="shared" si="274"/>
        <v>0</v>
      </c>
      <c r="AO423" s="161">
        <f t="shared" si="275"/>
        <v>0</v>
      </c>
      <c r="AP423" s="156">
        <f t="shared" si="252"/>
        <v>2.1308494515903438</v>
      </c>
      <c r="AQ423" s="152"/>
      <c r="AR423" s="162">
        <f t="shared" si="253"/>
        <v>2214.5392909293041</v>
      </c>
      <c r="AS423" s="150">
        <f t="shared" si="276"/>
        <v>0</v>
      </c>
      <c r="AT423" s="163">
        <f t="shared" si="254"/>
        <v>0</v>
      </c>
      <c r="AU423" s="163">
        <f t="shared" si="255"/>
        <v>1117.1648454382898</v>
      </c>
      <c r="AV423" s="163">
        <f t="shared" si="277"/>
        <v>5.4837268440076148</v>
      </c>
      <c r="AW423" s="163">
        <f t="shared" si="256"/>
        <v>12.459976432172288</v>
      </c>
      <c r="AX423" s="163">
        <f t="shared" si="257"/>
        <v>0</v>
      </c>
      <c r="AY423" s="164">
        <f t="shared" si="278"/>
        <v>1115.3181487671941</v>
      </c>
      <c r="AZ423" s="164">
        <f>IF($E423="","",IF(OR(AND($D423=Input!$C$6,$C423=12),$AN423=1),0,-AS424+AT424+AU424-AV424-AW424-AX424+AZ424))</f>
        <v>1115.3212064495235</v>
      </c>
      <c r="BA423" s="154">
        <f t="shared" si="258"/>
        <v>3.0576823294268252E-3</v>
      </c>
      <c r="BC423" s="147">
        <f t="shared" si="279"/>
        <v>1.0338164050133027E-2</v>
      </c>
      <c r="BD423" s="164">
        <f>IF(AND($C422=12,$D422=Input!$C$6),0,IF($E423="","",AT423+(AU423+BD424)/(1+$AK423)*MIN((1-AM423-AN423),1)))</f>
        <v>947.48418737082</v>
      </c>
      <c r="BE423" s="164">
        <f t="shared" si="259"/>
        <v>9.7952469639465161</v>
      </c>
      <c r="BF423" s="164">
        <f t="shared" si="280"/>
        <v>1115.3212064495235</v>
      </c>
      <c r="BG423" s="164">
        <f t="shared" si="260"/>
        <v>11.53037360086746</v>
      </c>
      <c r="BH423" s="152"/>
      <c r="BI423" s="162">
        <f t="shared" si="261"/>
        <v>-2610.3959104952901</v>
      </c>
      <c r="BJ423" s="150">
        <f t="shared" si="262"/>
        <v>0</v>
      </c>
      <c r="BK423" s="163">
        <f t="shared" si="284"/>
        <v>0</v>
      </c>
      <c r="BL423" s="163">
        <f t="shared" si="263"/>
        <v>785.91555850164866</v>
      </c>
      <c r="BM423" s="163">
        <f t="shared" si="285"/>
        <v>-11.029540816638402</v>
      </c>
      <c r="BN423" s="163">
        <f t="shared" si="264"/>
        <v>-26.990928244543568</v>
      </c>
      <c r="BO423" s="163">
        <f t="shared" si="265"/>
        <v>0</v>
      </c>
      <c r="BP423" s="164">
        <f t="shared" si="286"/>
        <v>-3434.3319380581211</v>
      </c>
      <c r="BQ423" s="164">
        <f>IF($E423="","",IF(AND($D423=Input!$C$6,$C423=12),0,-BJ424+BK424+BL424-BM424-BN424-BO424+BQ424))</f>
        <v>-3434.3292930861285</v>
      </c>
      <c r="BR423" s="161">
        <f t="shared" si="266"/>
        <v>0</v>
      </c>
      <c r="BT423" s="147">
        <f t="shared" si="267"/>
        <v>1.0338164050133027E-2</v>
      </c>
      <c r="BU423" s="164">
        <f>IF(AND($C422=12,$D422=Input!$C$6),0,IF($E423="","",BK423+(BL423+BU424)/(1+$AK423)*MIN((1-T423-U423),1)))</f>
        <v>48042.259789602613</v>
      </c>
      <c r="BV423" s="164">
        <f t="shared" si="268"/>
        <v>496.6687630440212</v>
      </c>
      <c r="BW423" s="164">
        <f t="shared" si="269"/>
        <v>-3434.3292930861285</v>
      </c>
      <c r="BX423" s="164">
        <f t="shared" si="270"/>
        <v>-35.504659634101785</v>
      </c>
    </row>
    <row r="424" spans="1:76" s="150" customFormat="1" x14ac:dyDescent="0.25">
      <c r="A424" s="150">
        <f t="shared" si="281"/>
        <v>420</v>
      </c>
      <c r="B424" s="150">
        <f t="shared" si="282"/>
        <v>35</v>
      </c>
      <c r="C424" s="150">
        <f t="shared" si="283"/>
        <v>12</v>
      </c>
      <c r="D424" s="150">
        <f>IF(E424="","",Input!$C$4+B424-1)</f>
        <v>79</v>
      </c>
      <c r="E424" s="150">
        <f>IF(OR(AND(C423=12,D423=Input!$C$6),E423=""),"",1)</f>
        <v>1</v>
      </c>
      <c r="F424" s="150">
        <f>IF(E424="","",Input!$C$8+B424-1)</f>
        <v>2052</v>
      </c>
      <c r="G424" s="151">
        <f>IF(E424="","",MAX(0,Input!$C$9-B424))</f>
        <v>0</v>
      </c>
      <c r="H424" s="152">
        <f>IF(E424="","",Input!$C$3)</f>
        <v>100000</v>
      </c>
      <c r="I424" s="153">
        <f>IF(E424="","",HLOOKUP($B424,Input!$C$13:$BT$14,2))</f>
        <v>94.913000000000011</v>
      </c>
      <c r="J424" s="154"/>
      <c r="K424" s="155">
        <f>IF($E424="","",INDEX(Input!$C$16:$CP$16,1,$B424))</f>
        <v>2.997E-2</v>
      </c>
      <c r="L424" s="155">
        <f>IF($E424="","",Input!$C$37)</f>
        <v>1.4999999999999999E-2</v>
      </c>
      <c r="M424" s="155">
        <f t="shared" si="246"/>
        <v>4.4969999999999996E-2</v>
      </c>
      <c r="N424" s="155">
        <f t="shared" si="247"/>
        <v>3.6724082329346874E-3</v>
      </c>
      <c r="O424" s="147">
        <f>IF($E424="","",MIN(VLOOKUP(IF($B424&lt;=Input!$C$7,$B424,26),'Mortality Tables'!$A$41:$CW$67,IF($B424&lt;=Input!$C$7+1,Input!$C$4+2,$D424-Input!$C$7+2),0)*IF(B424&gt;20,Input!$C$22,1)/1000,1))</f>
        <v>0.10712400000000001</v>
      </c>
      <c r="P424" s="147">
        <f>IF($E424="","",MIN(VLOOKUP(IF($B424&lt;=Input!$C$7,$B424,26),'Mortality Tables'!$A$12:$CW$37,IF($B424&lt;=Input!$C$7+1,Input!$C$4+2,$D424-Input!$C$7+2),0)*IF(B424&gt;20,Input!$C$22,1)/1000,1))</f>
        <v>0.133905</v>
      </c>
      <c r="Q424" s="155">
        <f>IF($E424="","",Input!$C$21)</f>
        <v>5.0000000000000001E-3</v>
      </c>
      <c r="R424" s="159">
        <f>IF($E424="","",(1-Q424)^($F424-Input!$C$20))</f>
        <v>0.84330513605083379</v>
      </c>
      <c r="S424" s="147">
        <f t="shared" si="249"/>
        <v>9.0338219394309527E-2</v>
      </c>
      <c r="T424" s="147">
        <f t="shared" si="250"/>
        <v>7.8591555850164863E-3</v>
      </c>
      <c r="U424" s="160">
        <f>IF($E424="","",IF($C424=12,INDEX(Input!$C$15:$CP$15,1,$B424),0))</f>
        <v>0.1</v>
      </c>
      <c r="V424" s="150">
        <f>IF(E424="","",IF(C424=1,IF($B424=1,Input!$C$33,Input!$C$34),0))</f>
        <v>0</v>
      </c>
      <c r="W424" s="156">
        <f>IF($E424="","",Input!$C$35)</f>
        <v>0.02</v>
      </c>
      <c r="X424" s="156">
        <f t="shared" si="248"/>
        <v>1.9606760320220162</v>
      </c>
      <c r="Y424" s="154"/>
      <c r="Z424" s="147">
        <f>IF($E424="","",VLOOKUP($D424,'Mortality Margins &amp; Grading'!$AB$5:$AF$125,3,0)*IF(Summary!$D$25="Included Margin",IF(AND($B424&gt;Input!$C$9,Summary!$D$31&lt;&gt;"Included Margin"),0,1),0))</f>
        <v>2.8000000000000001E-2</v>
      </c>
      <c r="AA424" s="147">
        <f>IF($E424="","",VLOOKUP($D424,'Mortality Margins &amp; Grading'!$AB$5:$AF$125,5,0)*IF(Summary!$D$25="Included Margin",IF(AND($B424&gt;Input!$C$9,Summary!$D$31&lt;&gt;"Included Margin"),0,1),0))</f>
        <v>0.14099999999999999</v>
      </c>
      <c r="AB424" s="147">
        <f>IF($E424="","",IF(AND($B424&gt;Input!$C$9,Summary!$D$31&lt;&gt;"Included Margin"),1,IF(Summary!$D$25="Included Margin",VLOOKUP($B424,'Mortality Margins &amp; Grading'!$AI$5:$AR$125,MATCH('Mortality Margins &amp; Grading'!$AQ$4,'Mortality Margins &amp; Grading'!$AI$4:$AR$4,0),0),1)))</f>
        <v>0.625</v>
      </c>
      <c r="AC424" s="154"/>
      <c r="AD424" s="158">
        <f>IF(E424="","",Input!$C$48*IF(Summary!$D$30="Included Margin",IF(AND($B424&gt;Input!$C$9,Summary!$D$31&lt;&gt;"Included Margin"),0,1),0))</f>
        <v>-4.4999999999999997E-3</v>
      </c>
      <c r="AE424" s="159">
        <f>IF(E424="","",IF(Summary!$D$26="Included Margin",IF(AND($B424&gt;Input!$C$9,Summary!$D$31&lt;&gt;"Included Margin"),1,1/$R424),1))</f>
        <v>1.1858103991669757</v>
      </c>
      <c r="AF424" s="160">
        <f>IF(E424="","",IF(AND($B424&gt;=Input!$C$9,$C424=12,Summary!$D$31="Included Margin",$U424&gt;0),1/U424-1,IF($B424&gt;=Input!$C$9,0,Input!$C$45*IF(Summary!$D$27="Included Margin",1,0))))</f>
        <v>9</v>
      </c>
      <c r="AG424" s="160">
        <f>IF(E424="","",Input!$C$46*IF(Summary!$D$28="Included Margin",IF(AND($B424&gt;Input!$C$9,Summary!$D$31&lt;&gt;"Included Margin"),0,1),0))</f>
        <v>0.02</v>
      </c>
      <c r="AH424" s="158">
        <f>IF(E424="","",Input!$C$47*IF(Summary!$D$29="Included Margin",IF(AND($B424&gt;Input!$C$9,Summary!$D$31&lt;&gt;"Included Margin"),0,1),0))</f>
        <v>2.5000000000000001E-3</v>
      </c>
      <c r="AI424" s="154"/>
      <c r="AJ424" s="158">
        <f t="shared" si="271"/>
        <v>4.0469999999999999E-2</v>
      </c>
      <c r="AK424" s="155">
        <f t="shared" si="272"/>
        <v>3.3115155045884137E-3</v>
      </c>
      <c r="AL424" s="147">
        <f t="shared" si="273"/>
        <v>0.12612177187500001</v>
      </c>
      <c r="AM424" s="147">
        <f t="shared" si="251"/>
        <v>1.1171648454382899E-2</v>
      </c>
      <c r="AN424" s="160">
        <f t="shared" si="274"/>
        <v>1</v>
      </c>
      <c r="AO424" s="161">
        <f t="shared" si="275"/>
        <v>0</v>
      </c>
      <c r="AP424" s="156">
        <f t="shared" si="252"/>
        <v>2.1308494515903438</v>
      </c>
      <c r="AQ424" s="152"/>
      <c r="AR424" s="162">
        <f t="shared" si="253"/>
        <v>1115.3181487671941</v>
      </c>
      <c r="AS424" s="150">
        <f t="shared" si="276"/>
        <v>0</v>
      </c>
      <c r="AT424" s="163">
        <f t="shared" si="254"/>
        <v>0</v>
      </c>
      <c r="AU424" s="163">
        <f t="shared" si="255"/>
        <v>1117.1648454382898</v>
      </c>
      <c r="AV424" s="163">
        <f t="shared" si="277"/>
        <v>1.8436389887664024</v>
      </c>
      <c r="AW424" s="163">
        <f t="shared" si="256"/>
        <v>0</v>
      </c>
      <c r="AX424" s="163">
        <f t="shared" si="257"/>
        <v>0</v>
      </c>
      <c r="AY424" s="165">
        <f t="shared" si="278"/>
        <v>-3.0576823293397837E-3</v>
      </c>
      <c r="AZ424" s="164">
        <f>IF($E424="","",IF(OR(AND($D424=Input!$C$6,$C424=12),$AN424=1),0,-AS425+AT425+AU425-AV425-AW425-AX425+AZ425))</f>
        <v>0</v>
      </c>
      <c r="BA424" s="154">
        <f t="shared" si="258"/>
        <v>3.0576823293397837E-3</v>
      </c>
      <c r="BC424" s="147">
        <f t="shared" si="279"/>
        <v>9.2230984053863051E-3</v>
      </c>
      <c r="BD424" s="164">
        <f>IF(AND($C423=12,$D423=Input!$C$6),0,IF($E424="","",AT424+(AU424+BD425)/(1+$AK424)*MIN((1-AM424-AN424),1)))</f>
        <v>-155.80305351378277</v>
      </c>
      <c r="BE424" s="164">
        <f t="shared" si="259"/>
        <v>-1.436986894417287</v>
      </c>
      <c r="BF424" s="164">
        <f t="shared" si="280"/>
        <v>0</v>
      </c>
      <c r="BG424" s="164">
        <f t="shared" si="260"/>
        <v>0</v>
      </c>
      <c r="BH424" s="152"/>
      <c r="BI424" s="162">
        <f t="shared" si="261"/>
        <v>-3434.331938058122</v>
      </c>
      <c r="BJ424" s="150">
        <f t="shared" si="262"/>
        <v>0</v>
      </c>
      <c r="BK424" s="163">
        <f t="shared" si="284"/>
        <v>0</v>
      </c>
      <c r="BL424" s="163">
        <f t="shared" si="263"/>
        <v>785.91555850164866</v>
      </c>
      <c r="BM424" s="163">
        <f t="shared" si="285"/>
        <v>-14.055370267671647</v>
      </c>
      <c r="BN424" s="163">
        <f t="shared" si="264"/>
        <v>-37.268481278598891</v>
      </c>
      <c r="BO424" s="163">
        <f t="shared" si="265"/>
        <v>-470.4778024283832</v>
      </c>
      <c r="BP424" s="164">
        <f t="shared" si="286"/>
        <v>-4742.0491505344244</v>
      </c>
      <c r="BQ424" s="164">
        <f>IF($E424="","",IF(AND($D424=Input!$C$6,$C424=12),0,-BJ425+BK425+BL425-BM425-BN425-BO425+BQ425))</f>
        <v>-4742.0465055624309</v>
      </c>
      <c r="BR424" s="161">
        <f t="shared" si="266"/>
        <v>0</v>
      </c>
      <c r="BT424" s="147">
        <f t="shared" si="267"/>
        <v>9.2230984053863051E-3</v>
      </c>
      <c r="BU424" s="164">
        <f>IF(AND($C423=12,$D423=Input!$C$6),0,IF($E424="","",BK424+(BL424+BU425)/(1+$AK424)*MIN((1-T424-U424),1)))</f>
        <v>47797.259652063643</v>
      </c>
      <c r="BV424" s="164">
        <f t="shared" si="268"/>
        <v>440.83882927878335</v>
      </c>
      <c r="BW424" s="164">
        <f t="shared" si="269"/>
        <v>-4742.0465055624309</v>
      </c>
      <c r="BX424" s="164">
        <f t="shared" si="270"/>
        <v>-43.736361563720557</v>
      </c>
    </row>
    <row r="425" spans="1:76" s="150" customFormat="1" x14ac:dyDescent="0.25">
      <c r="A425" s="150">
        <f t="shared" si="281"/>
        <v>421</v>
      </c>
      <c r="B425" s="150">
        <f t="shared" si="282"/>
        <v>36</v>
      </c>
      <c r="C425" s="150">
        <f t="shared" si="283"/>
        <v>1</v>
      </c>
      <c r="D425" s="150">
        <f>IF(E425="","",Input!$C$4+B425-1)</f>
        <v>80</v>
      </c>
      <c r="E425" s="150">
        <f>IF(OR(AND(C424=12,D424=Input!$C$6),E424=""),"",1)</f>
        <v>1</v>
      </c>
      <c r="F425" s="150">
        <f>IF(E425="","",Input!$C$8+B425-1)</f>
        <v>2053</v>
      </c>
      <c r="G425" s="151">
        <f>IF(E425="","",MAX(0,Input!$C$9-B425))</f>
        <v>0</v>
      </c>
      <c r="H425" s="152">
        <f>IF(E425="","",Input!$C$3)</f>
        <v>100000</v>
      </c>
      <c r="I425" s="153">
        <f>IF(E425="","",HLOOKUP($B425,Input!$C$13:$BT$14,2))</f>
        <v>107.01600000000001</v>
      </c>
      <c r="J425" s="154"/>
      <c r="K425" s="155">
        <f>IF($E425="","",INDEX(Input!$C$16:$CP$16,1,$B425))</f>
        <v>3.0249999999999999E-2</v>
      </c>
      <c r="L425" s="155">
        <f>IF($E425="","",Input!$C$37)</f>
        <v>1.4999999999999999E-2</v>
      </c>
      <c r="M425" s="155">
        <f t="shared" si="246"/>
        <v>4.5249999999999999E-2</v>
      </c>
      <c r="N425" s="155">
        <f t="shared" si="247"/>
        <v>3.6948166726487042E-3</v>
      </c>
      <c r="O425" s="147">
        <f>IF($E425="","",MIN(VLOOKUP(IF($B425&lt;=Input!$C$7,$B425,26),'Mortality Tables'!$A$41:$CW$67,IF($B425&lt;=Input!$C$7+1,Input!$C$4+2,$D425-Input!$C$7+2),0)*IF(B425&gt;20,Input!$C$22,1)/1000,1))</f>
        <v>0.1209016</v>
      </c>
      <c r="P425" s="147">
        <f>IF($E425="","",MIN(VLOOKUP(IF($B425&lt;=Input!$C$7,$B425,26),'Mortality Tables'!$A$12:$CW$37,IF($B425&lt;=Input!$C$7+1,Input!$C$4+2,$D425-Input!$C$7+2),0)*IF(B425&gt;20,Input!$C$22,1)/1000,1))</f>
        <v>0.15112700000000001</v>
      </c>
      <c r="Q425" s="155">
        <f>IF($E425="","",Input!$C$21)</f>
        <v>5.0000000000000001E-3</v>
      </c>
      <c r="R425" s="159">
        <f>IF($E425="","",(1-Q425)^($F425-Input!$C$20))</f>
        <v>0.83908861037057969</v>
      </c>
      <c r="S425" s="147">
        <f t="shared" si="249"/>
        <v>0.10144715553557968</v>
      </c>
      <c r="T425" s="147">
        <f t="shared" si="250"/>
        <v>8.8745334871025428E-3</v>
      </c>
      <c r="U425" s="160">
        <f>IF($E425="","",IF($C425=12,INDEX(Input!$C$15:$CP$15,1,$B425),0))</f>
        <v>0</v>
      </c>
      <c r="V425" s="150">
        <f>IF(E425="","",IF(C425=1,IF($B425=1,Input!$C$33,Input!$C$34),0))</f>
        <v>50</v>
      </c>
      <c r="W425" s="156">
        <f>IF($E425="","",Input!$C$35)</f>
        <v>0.02</v>
      </c>
      <c r="X425" s="156">
        <f t="shared" si="248"/>
        <v>1.9998895526624565</v>
      </c>
      <c r="Y425" s="154"/>
      <c r="Z425" s="147">
        <f>IF($E425="","",VLOOKUP($D425,'Mortality Margins &amp; Grading'!$AB$5:$AF$125,3,0)*IF(Summary!$D$25="Included Margin",IF(AND($B425&gt;Input!$C$9,Summary!$D$31&lt;&gt;"Included Margin"),0,1),0))</f>
        <v>2.5999999999999999E-2</v>
      </c>
      <c r="AA425" s="147">
        <f>IF($E425="","",VLOOKUP($D425,'Mortality Margins &amp; Grading'!$AB$5:$AF$125,5,0)*IF(Summary!$D$25="Included Margin",IF(AND($B425&gt;Input!$C$9,Summary!$D$31&lt;&gt;"Included Margin"),0,1),0))</f>
        <v>0.13600000000000001</v>
      </c>
      <c r="AB425" s="147">
        <f>IF($E425="","",IF(AND($B425&gt;Input!$C$9,Summary!$D$31&lt;&gt;"Included Margin"),1,IF(Summary!$D$25="Included Margin",VLOOKUP($B425,'Mortality Margins &amp; Grading'!$AI$5:$AR$125,MATCH('Mortality Margins &amp; Grading'!$AQ$4,'Mortality Margins &amp; Grading'!$AI$4:$AR$4,0),0),1)))</f>
        <v>0.5625</v>
      </c>
      <c r="AC425" s="154"/>
      <c r="AD425" s="158">
        <f>IF(E425="","",Input!$C$48*IF(Summary!$D$30="Included Margin",IF(AND($B425&gt;Input!$C$9,Summary!$D$31&lt;&gt;"Included Margin"),0,1),0))</f>
        <v>-4.4999999999999997E-3</v>
      </c>
      <c r="AE425" s="159">
        <f>IF(E425="","",IF(Summary!$D$26="Included Margin",IF(AND($B425&gt;Input!$C$9,Summary!$D$31&lt;&gt;"Included Margin"),1,1/$R425),1))</f>
        <v>1.1917692453939455</v>
      </c>
      <c r="AF425" s="160">
        <f>IF(E425="","",IF(AND($B425&gt;=Input!$C$9,$C425=12,Summary!$D$31="Included Margin",$U425&gt;0),1/U425-1,IF($B425&gt;=Input!$C$9,0,Input!$C$45*IF(Summary!$D$27="Included Margin",1,0))))</f>
        <v>0</v>
      </c>
      <c r="AG425" s="160">
        <f>IF(E425="","",Input!$C$46*IF(Summary!$D$28="Included Margin",IF(AND($B425&gt;Input!$C$9,Summary!$D$31&lt;&gt;"Included Margin"),0,1),0))</f>
        <v>0.02</v>
      </c>
      <c r="AH425" s="158">
        <f>IF(E425="","",Input!$C$47*IF(Summary!$D$29="Included Margin",IF(AND($B425&gt;Input!$C$9,Summary!$D$31&lt;&gt;"Included Margin"),0,1),0))</f>
        <v>2.5000000000000001E-3</v>
      </c>
      <c r="AI425" s="154"/>
      <c r="AJ425" s="158">
        <f t="shared" si="271"/>
        <v>4.0750000000000001E-2</v>
      </c>
      <c r="AK425" s="155">
        <f t="shared" si="272"/>
        <v>3.3340127558512123E-3</v>
      </c>
      <c r="AL425" s="147">
        <f t="shared" si="273"/>
        <v>0.14488545490000002</v>
      </c>
      <c r="AM425" s="147">
        <f t="shared" si="251"/>
        <v>1.2958625207927565E-2</v>
      </c>
      <c r="AN425" s="160">
        <f t="shared" si="274"/>
        <v>0</v>
      </c>
      <c r="AO425" s="161">
        <f t="shared" si="275"/>
        <v>51</v>
      </c>
      <c r="AP425" s="156">
        <f t="shared" si="252"/>
        <v>2.1787935642511265</v>
      </c>
      <c r="AQ425" s="152"/>
      <c r="AR425" s="162">
        <f t="shared" si="253"/>
        <v>3619.8854031347428</v>
      </c>
      <c r="AS425" s="150">
        <f t="shared" si="276"/>
        <v>10701.6</v>
      </c>
      <c r="AT425" s="163">
        <f t="shared" si="254"/>
        <v>111.11847177680745</v>
      </c>
      <c r="AU425" s="163">
        <f t="shared" si="255"/>
        <v>1295.8625207927566</v>
      </c>
      <c r="AV425" s="163">
        <f t="shared" si="277"/>
        <v>45.217333527397322</v>
      </c>
      <c r="AW425" s="163">
        <f t="shared" si="256"/>
        <v>170.14506965684262</v>
      </c>
      <c r="AX425" s="163">
        <f t="shared" si="257"/>
        <v>0</v>
      </c>
      <c r="AY425" s="164">
        <f t="shared" si="278"/>
        <v>13129.866813749417</v>
      </c>
      <c r="AZ425" s="164">
        <f>IF($E425="","",IF(OR(AND($D425=Input!$C$6,$C425=12),$AN425=1),0,-AS426+AT426+AU426-AV426-AW426-AX426+AZ426))</f>
        <v>13129.870408842036</v>
      </c>
      <c r="BA425" s="154">
        <f t="shared" si="258"/>
        <v>3.5950926194345811E-3</v>
      </c>
      <c r="BC425" s="147">
        <f t="shared" si="279"/>
        <v>9.1412477097328627E-3</v>
      </c>
      <c r="BD425" s="164">
        <f>IF(AND($C424=12,$D424=Input!$C$6),0,IF($E425="","",AT425+(AU425+BD426)/(1+$AK425)*MIN((1-AM425-AN425),1)))</f>
        <v>12875.308904469968</v>
      </c>
      <c r="BE425" s="164">
        <f t="shared" si="259"/>
        <v>117.69638803508923</v>
      </c>
      <c r="BF425" s="164">
        <f t="shared" si="280"/>
        <v>13129.870408842036</v>
      </c>
      <c r="BG425" s="164">
        <f t="shared" si="260"/>
        <v>120.02339780391655</v>
      </c>
      <c r="BH425" s="152"/>
      <c r="BI425" s="162">
        <f t="shared" si="261"/>
        <v>-4742.049528782426</v>
      </c>
      <c r="BJ425" s="150">
        <f t="shared" si="262"/>
        <v>10701.6</v>
      </c>
      <c r="BK425" s="163">
        <f t="shared" si="284"/>
        <v>99.994477633122827</v>
      </c>
      <c r="BL425" s="163">
        <f t="shared" si="263"/>
        <v>887.45334871025432</v>
      </c>
      <c r="BM425" s="163">
        <f t="shared" si="285"/>
        <v>20.010496464908186</v>
      </c>
      <c r="BN425" s="163">
        <f t="shared" si="264"/>
        <v>44.699388292137229</v>
      </c>
      <c r="BO425" s="163">
        <f t="shared" si="265"/>
        <v>0</v>
      </c>
      <c r="BP425" s="164">
        <f t="shared" si="286"/>
        <v>5036.8125296312419</v>
      </c>
      <c r="BQ425" s="164">
        <f>IF($E425="","",IF(AND($D425=Input!$C$6,$C425=12),0,-BJ426+BK426+BL426-BM426-BN426-BO426+BQ426))</f>
        <v>5036.8155528512389</v>
      </c>
      <c r="BR425" s="161">
        <f t="shared" si="266"/>
        <v>0</v>
      </c>
      <c r="BT425" s="147">
        <f t="shared" si="267"/>
        <v>9.1412477097328627E-3</v>
      </c>
      <c r="BU425" s="164">
        <f>IF(AND($C424=12,$D424=Input!$C$6),0,IF($E425="","",BK425+(BL425+BU426)/(1+$AK425)*MIN((1-T425-U425),1)))</f>
        <v>52967.414219740793</v>
      </c>
      <c r="BV425" s="164">
        <f t="shared" si="268"/>
        <v>484.18825392667736</v>
      </c>
      <c r="BW425" s="164">
        <f t="shared" si="269"/>
        <v>5036.8155528512389</v>
      </c>
      <c r="BX425" s="164">
        <f t="shared" si="270"/>
        <v>46.042778636848247</v>
      </c>
    </row>
    <row r="426" spans="1:76" s="150" customFormat="1" x14ac:dyDescent="0.25">
      <c r="A426" s="150">
        <f t="shared" si="281"/>
        <v>422</v>
      </c>
      <c r="B426" s="150">
        <f t="shared" si="282"/>
        <v>36</v>
      </c>
      <c r="C426" s="150">
        <f t="shared" si="283"/>
        <v>2</v>
      </c>
      <c r="D426" s="150">
        <f>IF(E426="","",Input!$C$4+B426-1)</f>
        <v>80</v>
      </c>
      <c r="E426" s="150">
        <f>IF(OR(AND(C425=12,D425=Input!$C$6),E425=""),"",1)</f>
        <v>1</v>
      </c>
      <c r="F426" s="150">
        <f>IF(E426="","",Input!$C$8+B426-1)</f>
        <v>2053</v>
      </c>
      <c r="G426" s="151">
        <f>IF(E426="","",MAX(0,Input!$C$9-B426))</f>
        <v>0</v>
      </c>
      <c r="H426" s="152">
        <f>IF(E426="","",Input!$C$3)</f>
        <v>100000</v>
      </c>
      <c r="I426" s="153">
        <f>IF(E426="","",HLOOKUP($B426,Input!$C$13:$BT$14,2))</f>
        <v>107.01600000000001</v>
      </c>
      <c r="J426" s="154"/>
      <c r="K426" s="155">
        <f>IF($E426="","",INDEX(Input!$C$16:$CP$16,1,$B426))</f>
        <v>3.0249999999999999E-2</v>
      </c>
      <c r="L426" s="155">
        <f>IF($E426="","",Input!$C$37)</f>
        <v>1.4999999999999999E-2</v>
      </c>
      <c r="M426" s="155">
        <f t="shared" si="246"/>
        <v>4.5249999999999999E-2</v>
      </c>
      <c r="N426" s="155">
        <f t="shared" si="247"/>
        <v>3.6948166726487042E-3</v>
      </c>
      <c r="O426" s="147">
        <f>IF($E426="","",MIN(VLOOKUP(IF($B426&lt;=Input!$C$7,$B426,26),'Mortality Tables'!$A$41:$CW$67,IF($B426&lt;=Input!$C$7+1,Input!$C$4+2,$D426-Input!$C$7+2),0)*IF(B426&gt;20,Input!$C$22,1)/1000,1))</f>
        <v>0.1209016</v>
      </c>
      <c r="P426" s="147">
        <f>IF($E426="","",MIN(VLOOKUP(IF($B426&lt;=Input!$C$7,$B426,26),'Mortality Tables'!$A$12:$CW$37,IF($B426&lt;=Input!$C$7+1,Input!$C$4+2,$D426-Input!$C$7+2),0)*IF(B426&gt;20,Input!$C$22,1)/1000,1))</f>
        <v>0.15112700000000001</v>
      </c>
      <c r="Q426" s="155">
        <f>IF($E426="","",Input!$C$21)</f>
        <v>5.0000000000000001E-3</v>
      </c>
      <c r="R426" s="159">
        <f>IF($E426="","",(1-Q426)^($F426-Input!$C$20))</f>
        <v>0.83908861037057969</v>
      </c>
      <c r="S426" s="147">
        <f t="shared" si="249"/>
        <v>0.10144715553557968</v>
      </c>
      <c r="T426" s="147">
        <f t="shared" si="250"/>
        <v>8.8745334871025428E-3</v>
      </c>
      <c r="U426" s="160">
        <f>IF($E426="","",IF($C426=12,INDEX(Input!$C$15:$CP$15,1,$B426),0))</f>
        <v>0</v>
      </c>
      <c r="V426" s="150">
        <f>IF(E426="","",IF(C426=1,IF($B426=1,Input!$C$33,Input!$C$34),0))</f>
        <v>0</v>
      </c>
      <c r="W426" s="156">
        <f>IF($E426="","",Input!$C$35)</f>
        <v>0.02</v>
      </c>
      <c r="X426" s="156">
        <f t="shared" si="248"/>
        <v>1.9998895526624565</v>
      </c>
      <c r="Y426" s="154"/>
      <c r="Z426" s="147">
        <f>IF($E426="","",VLOOKUP($D426,'Mortality Margins &amp; Grading'!$AB$5:$AF$125,3,0)*IF(Summary!$D$25="Included Margin",IF(AND($B426&gt;Input!$C$9,Summary!$D$31&lt;&gt;"Included Margin"),0,1),0))</f>
        <v>2.5999999999999999E-2</v>
      </c>
      <c r="AA426" s="147">
        <f>IF($E426="","",VLOOKUP($D426,'Mortality Margins &amp; Grading'!$AB$5:$AF$125,5,0)*IF(Summary!$D$25="Included Margin",IF(AND($B426&gt;Input!$C$9,Summary!$D$31&lt;&gt;"Included Margin"),0,1),0))</f>
        <v>0.13600000000000001</v>
      </c>
      <c r="AB426" s="147">
        <f>IF($E426="","",IF(AND($B426&gt;Input!$C$9,Summary!$D$31&lt;&gt;"Included Margin"),1,IF(Summary!$D$25="Included Margin",VLOOKUP($B426,'Mortality Margins &amp; Grading'!$AI$5:$AR$125,MATCH('Mortality Margins &amp; Grading'!$AQ$4,'Mortality Margins &amp; Grading'!$AI$4:$AR$4,0),0),1)))</f>
        <v>0.5625</v>
      </c>
      <c r="AC426" s="154"/>
      <c r="AD426" s="158">
        <f>IF(E426="","",Input!$C$48*IF(Summary!$D$30="Included Margin",IF(AND($B426&gt;Input!$C$9,Summary!$D$31&lt;&gt;"Included Margin"),0,1),0))</f>
        <v>-4.4999999999999997E-3</v>
      </c>
      <c r="AE426" s="159">
        <f>IF(E426="","",IF(Summary!$D$26="Included Margin",IF(AND($B426&gt;Input!$C$9,Summary!$D$31&lt;&gt;"Included Margin"),1,1/$R426),1))</f>
        <v>1.1917692453939455</v>
      </c>
      <c r="AF426" s="160">
        <f>IF(E426="","",IF(AND($B426&gt;=Input!$C$9,$C426=12,Summary!$D$31="Included Margin",$U426&gt;0),1/U426-1,IF($B426&gt;=Input!$C$9,0,Input!$C$45*IF(Summary!$D$27="Included Margin",1,0))))</f>
        <v>0</v>
      </c>
      <c r="AG426" s="160">
        <f>IF(E426="","",Input!$C$46*IF(Summary!$D$28="Included Margin",IF(AND($B426&gt;Input!$C$9,Summary!$D$31&lt;&gt;"Included Margin"),0,1),0))</f>
        <v>0.02</v>
      </c>
      <c r="AH426" s="158">
        <f>IF(E426="","",Input!$C$47*IF(Summary!$D$29="Included Margin",IF(AND($B426&gt;Input!$C$9,Summary!$D$31&lt;&gt;"Included Margin"),0,1),0))</f>
        <v>2.5000000000000001E-3</v>
      </c>
      <c r="AI426" s="154"/>
      <c r="AJ426" s="158">
        <f t="shared" si="271"/>
        <v>4.0750000000000001E-2</v>
      </c>
      <c r="AK426" s="155">
        <f t="shared" si="272"/>
        <v>3.3340127558512123E-3</v>
      </c>
      <c r="AL426" s="147">
        <f t="shared" si="273"/>
        <v>0.14488545490000002</v>
      </c>
      <c r="AM426" s="147">
        <f t="shared" si="251"/>
        <v>1.2958625207927565E-2</v>
      </c>
      <c r="AN426" s="160">
        <f t="shared" si="274"/>
        <v>0</v>
      </c>
      <c r="AO426" s="161">
        <f t="shared" si="275"/>
        <v>0</v>
      </c>
      <c r="AP426" s="156">
        <f t="shared" si="252"/>
        <v>2.1787935642511265</v>
      </c>
      <c r="AQ426" s="152"/>
      <c r="AR426" s="162">
        <f t="shared" si="253"/>
        <v>13129.866813749419</v>
      </c>
      <c r="AS426" s="150">
        <f t="shared" si="276"/>
        <v>0</v>
      </c>
      <c r="AT426" s="163">
        <f t="shared" si="254"/>
        <v>0</v>
      </c>
      <c r="AU426" s="163">
        <f t="shared" si="255"/>
        <v>1295.8625207927566</v>
      </c>
      <c r="AV426" s="163">
        <f t="shared" si="277"/>
        <v>41.614932352591794</v>
      </c>
      <c r="AW426" s="163">
        <f t="shared" si="256"/>
        <v>155.91215238846291</v>
      </c>
      <c r="AX426" s="163">
        <f t="shared" si="257"/>
        <v>0</v>
      </c>
      <c r="AY426" s="165">
        <f t="shared" si="278"/>
        <v>12031.531377697716</v>
      </c>
      <c r="AZ426" s="164">
        <f>IF($E426="","",IF(OR(AND($D426=Input!$C$6,$C426=12),$AN426=1),0,-AS427+AT427+AU427-AV427-AW427-AX427+AZ427))</f>
        <v>12031.534972790334</v>
      </c>
      <c r="BA426" s="154">
        <f t="shared" si="258"/>
        <v>3.5950926176155917E-3</v>
      </c>
      <c r="BC426" s="147">
        <f t="shared" si="279"/>
        <v>9.0601234008189386E-3</v>
      </c>
      <c r="BD426" s="164">
        <f>IF(AND($C425=12,$D425=Input!$C$6),0,IF($E426="","",AT426+(AU426+BD427)/(1+$AK426)*MIN((1-AM426-AN426),1)))</f>
        <v>11679.020532221824</v>
      </c>
      <c r="BE426" s="164">
        <f t="shared" si="259"/>
        <v>105.8133672226278</v>
      </c>
      <c r="BF426" s="164">
        <f t="shared" si="280"/>
        <v>12031.534972790334</v>
      </c>
      <c r="BG426" s="164">
        <f t="shared" si="260"/>
        <v>109.00719155474916</v>
      </c>
      <c r="BH426" s="152"/>
      <c r="BI426" s="162">
        <f t="shared" si="261"/>
        <v>5036.8125296312419</v>
      </c>
      <c r="BJ426" s="150">
        <f t="shared" si="262"/>
        <v>0</v>
      </c>
      <c r="BK426" s="163">
        <f t="shared" si="284"/>
        <v>0</v>
      </c>
      <c r="BL426" s="163">
        <f t="shared" si="263"/>
        <v>887.45334871025432</v>
      </c>
      <c r="BM426" s="163">
        <f t="shared" si="285"/>
        <v>16.97061019698112</v>
      </c>
      <c r="BN426" s="163">
        <f t="shared" si="264"/>
        <v>37.305327457021122</v>
      </c>
      <c r="BO426" s="163">
        <f t="shared" si="265"/>
        <v>0</v>
      </c>
      <c r="BP426" s="164">
        <f t="shared" si="286"/>
        <v>4203.63511857499</v>
      </c>
      <c r="BQ426" s="164">
        <f>IF($E426="","",IF(AND($D426=Input!$C$6,$C426=12),0,-BJ427+BK427+BL427-BM427-BN427-BO427+BQ427))</f>
        <v>4203.638141794987</v>
      </c>
      <c r="BR426" s="161">
        <f t="shared" si="266"/>
        <v>0</v>
      </c>
      <c r="BT426" s="147">
        <f t="shared" si="267"/>
        <v>9.0601234008189386E-3</v>
      </c>
      <c r="BU426" s="164">
        <f>IF(AND($C425=12,$D425=Input!$C$6),0,IF($E426="","",BK426+(BL426+BU427)/(1+$AK426)*MIN((1-T426-U426),1)))</f>
        <v>52631.179948567187</v>
      </c>
      <c r="BV426" s="164">
        <f t="shared" si="268"/>
        <v>476.84498506472607</v>
      </c>
      <c r="BW426" s="164">
        <f t="shared" si="269"/>
        <v>4203.638141794987</v>
      </c>
      <c r="BX426" s="164">
        <f t="shared" si="270"/>
        <v>38.085480297051802</v>
      </c>
    </row>
    <row r="427" spans="1:76" s="150" customFormat="1" x14ac:dyDescent="0.25">
      <c r="A427" s="150">
        <f t="shared" si="281"/>
        <v>423</v>
      </c>
      <c r="B427" s="150">
        <f t="shared" si="282"/>
        <v>36</v>
      </c>
      <c r="C427" s="150">
        <f t="shared" si="283"/>
        <v>3</v>
      </c>
      <c r="D427" s="150">
        <f>IF(E427="","",Input!$C$4+B427-1)</f>
        <v>80</v>
      </c>
      <c r="E427" s="150">
        <f>IF(OR(AND(C426=12,D426=Input!$C$6),E426=""),"",1)</f>
        <v>1</v>
      </c>
      <c r="F427" s="150">
        <f>IF(E427="","",Input!$C$8+B427-1)</f>
        <v>2053</v>
      </c>
      <c r="G427" s="151">
        <f>IF(E427="","",MAX(0,Input!$C$9-B427))</f>
        <v>0</v>
      </c>
      <c r="H427" s="152">
        <f>IF(E427="","",Input!$C$3)</f>
        <v>100000</v>
      </c>
      <c r="I427" s="153">
        <f>IF(E427="","",HLOOKUP($B427,Input!$C$13:$BT$14,2))</f>
        <v>107.01600000000001</v>
      </c>
      <c r="J427" s="154"/>
      <c r="K427" s="155">
        <f>IF($E427="","",INDEX(Input!$C$16:$CP$16,1,$B427))</f>
        <v>3.0249999999999999E-2</v>
      </c>
      <c r="L427" s="155">
        <f>IF($E427="","",Input!$C$37)</f>
        <v>1.4999999999999999E-2</v>
      </c>
      <c r="M427" s="155">
        <f t="shared" si="246"/>
        <v>4.5249999999999999E-2</v>
      </c>
      <c r="N427" s="155">
        <f t="shared" si="247"/>
        <v>3.6948166726487042E-3</v>
      </c>
      <c r="O427" s="147">
        <f>IF($E427="","",MIN(VLOOKUP(IF($B427&lt;=Input!$C$7,$B427,26),'Mortality Tables'!$A$41:$CW$67,IF($B427&lt;=Input!$C$7+1,Input!$C$4+2,$D427-Input!$C$7+2),0)*IF(B427&gt;20,Input!$C$22,1)/1000,1))</f>
        <v>0.1209016</v>
      </c>
      <c r="P427" s="147">
        <f>IF($E427="","",MIN(VLOOKUP(IF($B427&lt;=Input!$C$7,$B427,26),'Mortality Tables'!$A$12:$CW$37,IF($B427&lt;=Input!$C$7+1,Input!$C$4+2,$D427-Input!$C$7+2),0)*IF(B427&gt;20,Input!$C$22,1)/1000,1))</f>
        <v>0.15112700000000001</v>
      </c>
      <c r="Q427" s="155">
        <f>IF($E427="","",Input!$C$21)</f>
        <v>5.0000000000000001E-3</v>
      </c>
      <c r="R427" s="159">
        <f>IF($E427="","",(1-Q427)^($F427-Input!$C$20))</f>
        <v>0.83908861037057969</v>
      </c>
      <c r="S427" s="147">
        <f t="shared" si="249"/>
        <v>0.10144715553557968</v>
      </c>
      <c r="T427" s="147">
        <f t="shared" si="250"/>
        <v>8.8745334871025428E-3</v>
      </c>
      <c r="U427" s="160">
        <f>IF($E427="","",IF($C427=12,INDEX(Input!$C$15:$CP$15,1,$B427),0))</f>
        <v>0</v>
      </c>
      <c r="V427" s="150">
        <f>IF(E427="","",IF(C427=1,IF($B427=1,Input!$C$33,Input!$C$34),0))</f>
        <v>0</v>
      </c>
      <c r="W427" s="156">
        <f>IF($E427="","",Input!$C$35)</f>
        <v>0.02</v>
      </c>
      <c r="X427" s="156">
        <f t="shared" si="248"/>
        <v>1.9998895526624565</v>
      </c>
      <c r="Y427" s="154"/>
      <c r="Z427" s="147">
        <f>IF($E427="","",VLOOKUP($D427,'Mortality Margins &amp; Grading'!$AB$5:$AF$125,3,0)*IF(Summary!$D$25="Included Margin",IF(AND($B427&gt;Input!$C$9,Summary!$D$31&lt;&gt;"Included Margin"),0,1),0))</f>
        <v>2.5999999999999999E-2</v>
      </c>
      <c r="AA427" s="147">
        <f>IF($E427="","",VLOOKUP($D427,'Mortality Margins &amp; Grading'!$AB$5:$AF$125,5,0)*IF(Summary!$D$25="Included Margin",IF(AND($B427&gt;Input!$C$9,Summary!$D$31&lt;&gt;"Included Margin"),0,1),0))</f>
        <v>0.13600000000000001</v>
      </c>
      <c r="AB427" s="147">
        <f>IF($E427="","",IF(AND($B427&gt;Input!$C$9,Summary!$D$31&lt;&gt;"Included Margin"),1,IF(Summary!$D$25="Included Margin",VLOOKUP($B427,'Mortality Margins &amp; Grading'!$AI$5:$AR$125,MATCH('Mortality Margins &amp; Grading'!$AQ$4,'Mortality Margins &amp; Grading'!$AI$4:$AR$4,0),0),1)))</f>
        <v>0.5625</v>
      </c>
      <c r="AC427" s="154"/>
      <c r="AD427" s="158">
        <f>IF(E427="","",Input!$C$48*IF(Summary!$D$30="Included Margin",IF(AND($B427&gt;Input!$C$9,Summary!$D$31&lt;&gt;"Included Margin"),0,1),0))</f>
        <v>-4.4999999999999997E-3</v>
      </c>
      <c r="AE427" s="159">
        <f>IF(E427="","",IF(Summary!$D$26="Included Margin",IF(AND($B427&gt;Input!$C$9,Summary!$D$31&lt;&gt;"Included Margin"),1,1/$R427),1))</f>
        <v>1.1917692453939455</v>
      </c>
      <c r="AF427" s="160">
        <f>IF(E427="","",IF(AND($B427&gt;=Input!$C$9,$C427=12,Summary!$D$31="Included Margin",$U427&gt;0),1/U427-1,IF($B427&gt;=Input!$C$9,0,Input!$C$45*IF(Summary!$D$27="Included Margin",1,0))))</f>
        <v>0</v>
      </c>
      <c r="AG427" s="160">
        <f>IF(E427="","",Input!$C$46*IF(Summary!$D$28="Included Margin",IF(AND($B427&gt;Input!$C$9,Summary!$D$31&lt;&gt;"Included Margin"),0,1),0))</f>
        <v>0.02</v>
      </c>
      <c r="AH427" s="158">
        <f>IF(E427="","",Input!$C$47*IF(Summary!$D$29="Included Margin",IF(AND($B427&gt;Input!$C$9,Summary!$D$31&lt;&gt;"Included Margin"),0,1),0))</f>
        <v>2.5000000000000001E-3</v>
      </c>
      <c r="AI427" s="154"/>
      <c r="AJ427" s="158">
        <f t="shared" si="271"/>
        <v>4.0750000000000001E-2</v>
      </c>
      <c r="AK427" s="155">
        <f t="shared" si="272"/>
        <v>3.3340127558512123E-3</v>
      </c>
      <c r="AL427" s="147">
        <f t="shared" si="273"/>
        <v>0.14488545490000002</v>
      </c>
      <c r="AM427" s="147">
        <f t="shared" si="251"/>
        <v>1.2958625207927565E-2</v>
      </c>
      <c r="AN427" s="160">
        <f t="shared" si="274"/>
        <v>0</v>
      </c>
      <c r="AO427" s="161">
        <f t="shared" si="275"/>
        <v>0</v>
      </c>
      <c r="AP427" s="156">
        <f t="shared" si="252"/>
        <v>2.1787935642511265</v>
      </c>
      <c r="AQ427" s="152"/>
      <c r="AR427" s="162">
        <f t="shared" si="253"/>
        <v>12031.531377697716</v>
      </c>
      <c r="AS427" s="150">
        <f t="shared" si="276"/>
        <v>0</v>
      </c>
      <c r="AT427" s="163">
        <f t="shared" si="254"/>
        <v>0</v>
      </c>
      <c r="AU427" s="163">
        <f t="shared" si="255"/>
        <v>1295.8625207927566</v>
      </c>
      <c r="AV427" s="163">
        <f t="shared" si="277"/>
        <v>37.953067998592012</v>
      </c>
      <c r="AW427" s="163">
        <f t="shared" si="256"/>
        <v>141.44429890145614</v>
      </c>
      <c r="AX427" s="163">
        <f t="shared" si="257"/>
        <v>0</v>
      </c>
      <c r="AY427" s="164">
        <f t="shared" si="278"/>
        <v>10915.06622380501</v>
      </c>
      <c r="AZ427" s="164">
        <f>IF($E427="","",IF(OR(AND($D427=Input!$C$6,$C427=12),$AN427=1),0,-AS428+AT428+AU428-AV428-AW428-AX428+AZ428))</f>
        <v>10915.069818897626</v>
      </c>
      <c r="BA427" s="154">
        <f t="shared" si="258"/>
        <v>3.5950926157966023E-3</v>
      </c>
      <c r="BC427" s="147">
        <f t="shared" si="279"/>
        <v>8.9797190323010895E-3</v>
      </c>
      <c r="BD427" s="164">
        <f>IF(AND($C426=12,$D426=Input!$C$6),0,IF($E427="","",AT427+(AU427+BD428)/(1+$AK427)*MIN((1-AM427-AN427),1)))</f>
        <v>10575.938231349548</v>
      </c>
      <c r="BE427" s="164">
        <f t="shared" si="259"/>
        <v>94.968953820490256</v>
      </c>
      <c r="BF427" s="164">
        <f t="shared" si="280"/>
        <v>10915.069818897626</v>
      </c>
      <c r="BG427" s="164">
        <f t="shared" si="260"/>
        <v>98.014260191650209</v>
      </c>
      <c r="BH427" s="152"/>
      <c r="BI427" s="162">
        <f t="shared" si="261"/>
        <v>4203.6351185749909</v>
      </c>
      <c r="BJ427" s="150">
        <f t="shared" si="262"/>
        <v>0</v>
      </c>
      <c r="BK427" s="163">
        <f t="shared" si="284"/>
        <v>0</v>
      </c>
      <c r="BL427" s="163">
        <f t="shared" si="263"/>
        <v>887.45334871025432</v>
      </c>
      <c r="BM427" s="163">
        <f t="shared" si="285"/>
        <v>13.892172407336203</v>
      </c>
      <c r="BN427" s="163">
        <f t="shared" si="264"/>
        <v>29.817495910850571</v>
      </c>
      <c r="BO427" s="163">
        <f t="shared" si="265"/>
        <v>0</v>
      </c>
      <c r="BP427" s="164">
        <f t="shared" si="286"/>
        <v>3359.8914381829231</v>
      </c>
      <c r="BQ427" s="164">
        <f>IF($E427="","",IF(AND($D427=Input!$C$6,$C427=12),0,-BJ428+BK428+BL428-BM428-BN428-BO428+BQ428))</f>
        <v>3359.8944614029197</v>
      </c>
      <c r="BR427" s="161">
        <f t="shared" si="266"/>
        <v>0</v>
      </c>
      <c r="BT427" s="147">
        <f t="shared" si="267"/>
        <v>8.9797190323010895E-3</v>
      </c>
      <c r="BU427" s="164">
        <f>IF(AND($C426=12,$D426=Input!$C$6),0,IF($E427="","",BK427+(BL427+BU428)/(1+$AK427)*MIN((1-T427-U427),1)))</f>
        <v>52392.030185964963</v>
      </c>
      <c r="BV427" s="164">
        <f t="shared" si="268"/>
        <v>470.46571060180275</v>
      </c>
      <c r="BW427" s="164">
        <f t="shared" si="269"/>
        <v>3359.8944614029197</v>
      </c>
      <c r="BX427" s="164">
        <f t="shared" si="270"/>
        <v>30.170908241582815</v>
      </c>
    </row>
    <row r="428" spans="1:76" s="150" customFormat="1" x14ac:dyDescent="0.25">
      <c r="A428" s="150">
        <f t="shared" si="281"/>
        <v>424</v>
      </c>
      <c r="B428" s="150">
        <f t="shared" si="282"/>
        <v>36</v>
      </c>
      <c r="C428" s="150">
        <f t="shared" si="283"/>
        <v>4</v>
      </c>
      <c r="D428" s="150">
        <f>IF(E428="","",Input!$C$4+B428-1)</f>
        <v>80</v>
      </c>
      <c r="E428" s="150">
        <f>IF(OR(AND(C427=12,D427=Input!$C$6),E427=""),"",1)</f>
        <v>1</v>
      </c>
      <c r="F428" s="150">
        <f>IF(E428="","",Input!$C$8+B428-1)</f>
        <v>2053</v>
      </c>
      <c r="G428" s="151">
        <f>IF(E428="","",MAX(0,Input!$C$9-B428))</f>
        <v>0</v>
      </c>
      <c r="H428" s="152">
        <f>IF(E428="","",Input!$C$3)</f>
        <v>100000</v>
      </c>
      <c r="I428" s="153">
        <f>IF(E428="","",HLOOKUP($B428,Input!$C$13:$BT$14,2))</f>
        <v>107.01600000000001</v>
      </c>
      <c r="J428" s="154"/>
      <c r="K428" s="155">
        <f>IF($E428="","",INDEX(Input!$C$16:$CP$16,1,$B428))</f>
        <v>3.0249999999999999E-2</v>
      </c>
      <c r="L428" s="155">
        <f>IF($E428="","",Input!$C$37)</f>
        <v>1.4999999999999999E-2</v>
      </c>
      <c r="M428" s="155">
        <f t="shared" si="246"/>
        <v>4.5249999999999999E-2</v>
      </c>
      <c r="N428" s="155">
        <f t="shared" si="247"/>
        <v>3.6948166726487042E-3</v>
      </c>
      <c r="O428" s="147">
        <f>IF($E428="","",MIN(VLOOKUP(IF($B428&lt;=Input!$C$7,$B428,26),'Mortality Tables'!$A$41:$CW$67,IF($B428&lt;=Input!$C$7+1,Input!$C$4+2,$D428-Input!$C$7+2),0)*IF(B428&gt;20,Input!$C$22,1)/1000,1))</f>
        <v>0.1209016</v>
      </c>
      <c r="P428" s="147">
        <f>IF($E428="","",MIN(VLOOKUP(IF($B428&lt;=Input!$C$7,$B428,26),'Mortality Tables'!$A$12:$CW$37,IF($B428&lt;=Input!$C$7+1,Input!$C$4+2,$D428-Input!$C$7+2),0)*IF(B428&gt;20,Input!$C$22,1)/1000,1))</f>
        <v>0.15112700000000001</v>
      </c>
      <c r="Q428" s="155">
        <f>IF($E428="","",Input!$C$21)</f>
        <v>5.0000000000000001E-3</v>
      </c>
      <c r="R428" s="159">
        <f>IF($E428="","",(1-Q428)^($F428-Input!$C$20))</f>
        <v>0.83908861037057969</v>
      </c>
      <c r="S428" s="147">
        <f t="shared" si="249"/>
        <v>0.10144715553557968</v>
      </c>
      <c r="T428" s="147">
        <f t="shared" si="250"/>
        <v>8.8745334871025428E-3</v>
      </c>
      <c r="U428" s="160">
        <f>IF($E428="","",IF($C428=12,INDEX(Input!$C$15:$CP$15,1,$B428),0))</f>
        <v>0</v>
      </c>
      <c r="V428" s="150">
        <f>IF(E428="","",IF(C428=1,IF($B428=1,Input!$C$33,Input!$C$34),0))</f>
        <v>0</v>
      </c>
      <c r="W428" s="156">
        <f>IF($E428="","",Input!$C$35)</f>
        <v>0.02</v>
      </c>
      <c r="X428" s="156">
        <f t="shared" si="248"/>
        <v>1.9998895526624565</v>
      </c>
      <c r="Y428" s="154"/>
      <c r="Z428" s="147">
        <f>IF($E428="","",VLOOKUP($D428,'Mortality Margins &amp; Grading'!$AB$5:$AF$125,3,0)*IF(Summary!$D$25="Included Margin",IF(AND($B428&gt;Input!$C$9,Summary!$D$31&lt;&gt;"Included Margin"),0,1),0))</f>
        <v>2.5999999999999999E-2</v>
      </c>
      <c r="AA428" s="147">
        <f>IF($E428="","",VLOOKUP($D428,'Mortality Margins &amp; Grading'!$AB$5:$AF$125,5,0)*IF(Summary!$D$25="Included Margin",IF(AND($B428&gt;Input!$C$9,Summary!$D$31&lt;&gt;"Included Margin"),0,1),0))</f>
        <v>0.13600000000000001</v>
      </c>
      <c r="AB428" s="147">
        <f>IF($E428="","",IF(AND($B428&gt;Input!$C$9,Summary!$D$31&lt;&gt;"Included Margin"),1,IF(Summary!$D$25="Included Margin",VLOOKUP($B428,'Mortality Margins &amp; Grading'!$AI$5:$AR$125,MATCH('Mortality Margins &amp; Grading'!$AQ$4,'Mortality Margins &amp; Grading'!$AI$4:$AR$4,0),0),1)))</f>
        <v>0.5625</v>
      </c>
      <c r="AC428" s="154"/>
      <c r="AD428" s="158">
        <f>IF(E428="","",Input!$C$48*IF(Summary!$D$30="Included Margin",IF(AND($B428&gt;Input!$C$9,Summary!$D$31&lt;&gt;"Included Margin"),0,1),0))</f>
        <v>-4.4999999999999997E-3</v>
      </c>
      <c r="AE428" s="159">
        <f>IF(E428="","",IF(Summary!$D$26="Included Margin",IF(AND($B428&gt;Input!$C$9,Summary!$D$31&lt;&gt;"Included Margin"),1,1/$R428),1))</f>
        <v>1.1917692453939455</v>
      </c>
      <c r="AF428" s="160">
        <f>IF(E428="","",IF(AND($B428&gt;=Input!$C$9,$C428=12,Summary!$D$31="Included Margin",$U428&gt;0),1/U428-1,IF($B428&gt;=Input!$C$9,0,Input!$C$45*IF(Summary!$D$27="Included Margin",1,0))))</f>
        <v>0</v>
      </c>
      <c r="AG428" s="160">
        <f>IF(E428="","",Input!$C$46*IF(Summary!$D$28="Included Margin",IF(AND($B428&gt;Input!$C$9,Summary!$D$31&lt;&gt;"Included Margin"),0,1),0))</f>
        <v>0.02</v>
      </c>
      <c r="AH428" s="158">
        <f>IF(E428="","",Input!$C$47*IF(Summary!$D$29="Included Margin",IF(AND($B428&gt;Input!$C$9,Summary!$D$31&lt;&gt;"Included Margin"),0,1),0))</f>
        <v>2.5000000000000001E-3</v>
      </c>
      <c r="AI428" s="154"/>
      <c r="AJ428" s="158">
        <f t="shared" si="271"/>
        <v>4.0750000000000001E-2</v>
      </c>
      <c r="AK428" s="155">
        <f t="shared" si="272"/>
        <v>3.3340127558512123E-3</v>
      </c>
      <c r="AL428" s="147">
        <f t="shared" si="273"/>
        <v>0.14488545490000002</v>
      </c>
      <c r="AM428" s="147">
        <f t="shared" si="251"/>
        <v>1.2958625207927565E-2</v>
      </c>
      <c r="AN428" s="160">
        <f t="shared" si="274"/>
        <v>0</v>
      </c>
      <c r="AO428" s="161">
        <f t="shared" si="275"/>
        <v>0</v>
      </c>
      <c r="AP428" s="156">
        <f t="shared" si="252"/>
        <v>2.1787935642511265</v>
      </c>
      <c r="AQ428" s="152"/>
      <c r="AR428" s="162">
        <f t="shared" si="253"/>
        <v>10915.06622380501</v>
      </c>
      <c r="AS428" s="150">
        <f t="shared" si="276"/>
        <v>0</v>
      </c>
      <c r="AT428" s="163">
        <f t="shared" si="254"/>
        <v>0</v>
      </c>
      <c r="AU428" s="163">
        <f t="shared" si="255"/>
        <v>1295.8625207927566</v>
      </c>
      <c r="AV428" s="163">
        <f t="shared" si="277"/>
        <v>34.230758934050343</v>
      </c>
      <c r="AW428" s="163">
        <f t="shared" si="256"/>
        <v>126.73763121172514</v>
      </c>
      <c r="AX428" s="163">
        <f t="shared" si="257"/>
        <v>0</v>
      </c>
      <c r="AY428" s="165">
        <f t="shared" si="278"/>
        <v>9780.1720931580294</v>
      </c>
      <c r="AZ428" s="164">
        <f>IF($E428="","",IF(OR(AND($D428=Input!$C$6,$C428=12),$AN428=1),0,-AS429+AT429+AU429-AV429-AW429-AX429+AZ429))</f>
        <v>9780.1756882506452</v>
      </c>
      <c r="BA428" s="154">
        <f t="shared" si="258"/>
        <v>3.5950926157966023E-3</v>
      </c>
      <c r="BC428" s="147">
        <f t="shared" si="279"/>
        <v>8.9000282150441621E-3</v>
      </c>
      <c r="BD428" s="164">
        <f>IF(AND($C427=12,$D427=Input!$C$6),0,IF($E428="","",AT428+(AU428+BD429)/(1+$AK428)*MIN((1-AM428-AN428),1)))</f>
        <v>9454.6478583220905</v>
      </c>
      <c r="BE428" s="164">
        <f t="shared" si="259"/>
        <v>84.146632702373466</v>
      </c>
      <c r="BF428" s="164">
        <f t="shared" si="280"/>
        <v>9780.1756882506452</v>
      </c>
      <c r="BG428" s="164">
        <f t="shared" si="260"/>
        <v>87.043839573519705</v>
      </c>
      <c r="BH428" s="152"/>
      <c r="BI428" s="162">
        <f t="shared" si="261"/>
        <v>3359.8914381829227</v>
      </c>
      <c r="BJ428" s="150">
        <f t="shared" si="262"/>
        <v>0</v>
      </c>
      <c r="BK428" s="163">
        <f t="shared" si="284"/>
        <v>0</v>
      </c>
      <c r="BL428" s="163">
        <f t="shared" si="263"/>
        <v>887.45334871025432</v>
      </c>
      <c r="BM428" s="163">
        <f t="shared" si="285"/>
        <v>10.774694189581609</v>
      </c>
      <c r="BN428" s="163">
        <f t="shared" si="264"/>
        <v>22.234704463213475</v>
      </c>
      <c r="BO428" s="163">
        <f t="shared" si="265"/>
        <v>0</v>
      </c>
      <c r="BP428" s="164">
        <f t="shared" si="286"/>
        <v>2505.4474881254632</v>
      </c>
      <c r="BQ428" s="164">
        <f>IF($E428="","",IF(AND($D428=Input!$C$6,$C428=12),0,-BJ429+BK429+BL429-BM429-BN429-BO429+BQ429))</f>
        <v>2505.4505113454602</v>
      </c>
      <c r="BR428" s="161">
        <f t="shared" si="266"/>
        <v>0</v>
      </c>
      <c r="BT428" s="147">
        <f t="shared" si="267"/>
        <v>8.9000282150441621E-3</v>
      </c>
      <c r="BU428" s="164">
        <f>IF(AND($C427=12,$D427=Input!$C$6),0,IF($E428="","",BK428+(BL428+BU429)/(1+$AK428)*MIN((1-T428-U428),1)))</f>
        <v>52149.934609705066</v>
      </c>
      <c r="BV428" s="164">
        <f t="shared" si="268"/>
        <v>464.13588943908314</v>
      </c>
      <c r="BW428" s="164">
        <f t="shared" si="269"/>
        <v>2505.4505113454602</v>
      </c>
      <c r="BX428" s="164">
        <f t="shared" si="270"/>
        <v>22.298580242371418</v>
      </c>
    </row>
    <row r="429" spans="1:76" s="150" customFormat="1" x14ac:dyDescent="0.25">
      <c r="A429" s="150">
        <f t="shared" si="281"/>
        <v>425</v>
      </c>
      <c r="B429" s="150">
        <f t="shared" si="282"/>
        <v>36</v>
      </c>
      <c r="C429" s="150">
        <f t="shared" si="283"/>
        <v>5</v>
      </c>
      <c r="D429" s="150">
        <f>IF(E429="","",Input!$C$4+B429-1)</f>
        <v>80</v>
      </c>
      <c r="E429" s="150">
        <f>IF(OR(AND(C428=12,D428=Input!$C$6),E428=""),"",1)</f>
        <v>1</v>
      </c>
      <c r="F429" s="150">
        <f>IF(E429="","",Input!$C$8+B429-1)</f>
        <v>2053</v>
      </c>
      <c r="G429" s="151">
        <f>IF(E429="","",MAX(0,Input!$C$9-B429))</f>
        <v>0</v>
      </c>
      <c r="H429" s="152">
        <f>IF(E429="","",Input!$C$3)</f>
        <v>100000</v>
      </c>
      <c r="I429" s="153">
        <f>IF(E429="","",HLOOKUP($B429,Input!$C$13:$BT$14,2))</f>
        <v>107.01600000000001</v>
      </c>
      <c r="J429" s="154"/>
      <c r="K429" s="155">
        <f>IF($E429="","",INDEX(Input!$C$16:$CP$16,1,$B429))</f>
        <v>3.0249999999999999E-2</v>
      </c>
      <c r="L429" s="155">
        <f>IF($E429="","",Input!$C$37)</f>
        <v>1.4999999999999999E-2</v>
      </c>
      <c r="M429" s="155">
        <f t="shared" si="246"/>
        <v>4.5249999999999999E-2</v>
      </c>
      <c r="N429" s="155">
        <f t="shared" si="247"/>
        <v>3.6948166726487042E-3</v>
      </c>
      <c r="O429" s="147">
        <f>IF($E429="","",MIN(VLOOKUP(IF($B429&lt;=Input!$C$7,$B429,26),'Mortality Tables'!$A$41:$CW$67,IF($B429&lt;=Input!$C$7+1,Input!$C$4+2,$D429-Input!$C$7+2),0)*IF(B429&gt;20,Input!$C$22,1)/1000,1))</f>
        <v>0.1209016</v>
      </c>
      <c r="P429" s="147">
        <f>IF($E429="","",MIN(VLOOKUP(IF($B429&lt;=Input!$C$7,$B429,26),'Mortality Tables'!$A$12:$CW$37,IF($B429&lt;=Input!$C$7+1,Input!$C$4+2,$D429-Input!$C$7+2),0)*IF(B429&gt;20,Input!$C$22,1)/1000,1))</f>
        <v>0.15112700000000001</v>
      </c>
      <c r="Q429" s="155">
        <f>IF($E429="","",Input!$C$21)</f>
        <v>5.0000000000000001E-3</v>
      </c>
      <c r="R429" s="159">
        <f>IF($E429="","",(1-Q429)^($F429-Input!$C$20))</f>
        <v>0.83908861037057969</v>
      </c>
      <c r="S429" s="147">
        <f t="shared" si="249"/>
        <v>0.10144715553557968</v>
      </c>
      <c r="T429" s="147">
        <f t="shared" si="250"/>
        <v>8.8745334871025428E-3</v>
      </c>
      <c r="U429" s="160">
        <f>IF($E429="","",IF($C429=12,INDEX(Input!$C$15:$CP$15,1,$B429),0))</f>
        <v>0</v>
      </c>
      <c r="V429" s="150">
        <f>IF(E429="","",IF(C429=1,IF($B429=1,Input!$C$33,Input!$C$34),0))</f>
        <v>0</v>
      </c>
      <c r="W429" s="156">
        <f>IF($E429="","",Input!$C$35)</f>
        <v>0.02</v>
      </c>
      <c r="X429" s="156">
        <f t="shared" si="248"/>
        <v>1.9998895526624565</v>
      </c>
      <c r="Y429" s="154"/>
      <c r="Z429" s="147">
        <f>IF($E429="","",VLOOKUP($D429,'Mortality Margins &amp; Grading'!$AB$5:$AF$125,3,0)*IF(Summary!$D$25="Included Margin",IF(AND($B429&gt;Input!$C$9,Summary!$D$31&lt;&gt;"Included Margin"),0,1),0))</f>
        <v>2.5999999999999999E-2</v>
      </c>
      <c r="AA429" s="147">
        <f>IF($E429="","",VLOOKUP($D429,'Mortality Margins &amp; Grading'!$AB$5:$AF$125,5,0)*IF(Summary!$D$25="Included Margin",IF(AND($B429&gt;Input!$C$9,Summary!$D$31&lt;&gt;"Included Margin"),0,1),0))</f>
        <v>0.13600000000000001</v>
      </c>
      <c r="AB429" s="147">
        <f>IF($E429="","",IF(AND($B429&gt;Input!$C$9,Summary!$D$31&lt;&gt;"Included Margin"),1,IF(Summary!$D$25="Included Margin",VLOOKUP($B429,'Mortality Margins &amp; Grading'!$AI$5:$AR$125,MATCH('Mortality Margins &amp; Grading'!$AQ$4,'Mortality Margins &amp; Grading'!$AI$4:$AR$4,0),0),1)))</f>
        <v>0.5625</v>
      </c>
      <c r="AC429" s="154"/>
      <c r="AD429" s="158">
        <f>IF(E429="","",Input!$C$48*IF(Summary!$D$30="Included Margin",IF(AND($B429&gt;Input!$C$9,Summary!$D$31&lt;&gt;"Included Margin"),0,1),0))</f>
        <v>-4.4999999999999997E-3</v>
      </c>
      <c r="AE429" s="159">
        <f>IF(E429="","",IF(Summary!$D$26="Included Margin",IF(AND($B429&gt;Input!$C$9,Summary!$D$31&lt;&gt;"Included Margin"),1,1/$R429),1))</f>
        <v>1.1917692453939455</v>
      </c>
      <c r="AF429" s="160">
        <f>IF(E429="","",IF(AND($B429&gt;=Input!$C$9,$C429=12,Summary!$D$31="Included Margin",$U429&gt;0),1/U429-1,IF($B429&gt;=Input!$C$9,0,Input!$C$45*IF(Summary!$D$27="Included Margin",1,0))))</f>
        <v>0</v>
      </c>
      <c r="AG429" s="160">
        <f>IF(E429="","",Input!$C$46*IF(Summary!$D$28="Included Margin",IF(AND($B429&gt;Input!$C$9,Summary!$D$31&lt;&gt;"Included Margin"),0,1),0))</f>
        <v>0.02</v>
      </c>
      <c r="AH429" s="158">
        <f>IF(E429="","",Input!$C$47*IF(Summary!$D$29="Included Margin",IF(AND($B429&gt;Input!$C$9,Summary!$D$31&lt;&gt;"Included Margin"),0,1),0))</f>
        <v>2.5000000000000001E-3</v>
      </c>
      <c r="AI429" s="154"/>
      <c r="AJ429" s="158">
        <f t="shared" si="271"/>
        <v>4.0750000000000001E-2</v>
      </c>
      <c r="AK429" s="155">
        <f t="shared" si="272"/>
        <v>3.3340127558512123E-3</v>
      </c>
      <c r="AL429" s="147">
        <f t="shared" si="273"/>
        <v>0.14488545490000002</v>
      </c>
      <c r="AM429" s="147">
        <f t="shared" si="251"/>
        <v>1.2958625207927565E-2</v>
      </c>
      <c r="AN429" s="160">
        <f t="shared" si="274"/>
        <v>0</v>
      </c>
      <c r="AO429" s="161">
        <f t="shared" si="275"/>
        <v>0</v>
      </c>
      <c r="AP429" s="156">
        <f t="shared" si="252"/>
        <v>2.1787935642511265</v>
      </c>
      <c r="AQ429" s="152"/>
      <c r="AR429" s="162">
        <f t="shared" si="253"/>
        <v>9780.1720931580294</v>
      </c>
      <c r="AS429" s="150">
        <f t="shared" si="276"/>
        <v>0</v>
      </c>
      <c r="AT429" s="163">
        <f t="shared" si="254"/>
        <v>0</v>
      </c>
      <c r="AU429" s="163">
        <f t="shared" si="255"/>
        <v>1295.8625207927566</v>
      </c>
      <c r="AV429" s="163">
        <f t="shared" si="277"/>
        <v>30.44700742593264</v>
      </c>
      <c r="AW429" s="163">
        <f t="shared" si="256"/>
        <v>111.78820732307302</v>
      </c>
      <c r="AX429" s="163">
        <f t="shared" si="257"/>
        <v>0</v>
      </c>
      <c r="AY429" s="164">
        <f t="shared" si="278"/>
        <v>8626.5447871142787</v>
      </c>
      <c r="AZ429" s="164">
        <f>IF($E429="","",IF(OR(AND($D429=Input!$C$6,$C429=12),$AN429=1),0,-AS430+AT430+AU430-AV430-AW430-AX430+AZ430))</f>
        <v>8626.5483822068945</v>
      </c>
      <c r="BA429" s="154">
        <f t="shared" si="258"/>
        <v>3.5950926157966023E-3</v>
      </c>
      <c r="BC429" s="147">
        <f t="shared" si="279"/>
        <v>8.8210446166135954E-3</v>
      </c>
      <c r="BD429" s="164">
        <f>IF(AND($C428=12,$D428=Input!$C$6),0,IF($E429="","",AT429+(AU429+BD430)/(1+$AK429)*MIN((1-AM429-AN429),1)))</f>
        <v>8314.8488608675616</v>
      </c>
      <c r="BE429" s="164">
        <f t="shared" si="259"/>
        <v>73.345652782111486</v>
      </c>
      <c r="BF429" s="164">
        <f t="shared" si="280"/>
        <v>8626.5483822068945</v>
      </c>
      <c r="BG429" s="164">
        <f t="shared" si="260"/>
        <v>76.095168166822845</v>
      </c>
      <c r="BH429" s="152"/>
      <c r="BI429" s="162">
        <f t="shared" si="261"/>
        <v>2505.4474881254632</v>
      </c>
      <c r="BJ429" s="150">
        <f t="shared" si="262"/>
        <v>0</v>
      </c>
      <c r="BK429" s="163">
        <f t="shared" si="284"/>
        <v>0</v>
      </c>
      <c r="BL429" s="163">
        <f t="shared" si="263"/>
        <v>887.45334871025432</v>
      </c>
      <c r="BM429" s="163">
        <f t="shared" si="285"/>
        <v>7.6176804370654914</v>
      </c>
      <c r="BN429" s="163">
        <f t="shared" si="264"/>
        <v>14.555748842508512</v>
      </c>
      <c r="BO429" s="163">
        <f t="shared" si="265"/>
        <v>0</v>
      </c>
      <c r="BP429" s="164">
        <f t="shared" si="286"/>
        <v>1640.1675686947829</v>
      </c>
      <c r="BQ429" s="164">
        <f>IF($E429="","",IF(AND($D429=Input!$C$6,$C429=12),0,-BJ430+BK430+BL430-BM430-BN430-BO430+BQ430))</f>
        <v>1640.1705919147798</v>
      </c>
      <c r="BR429" s="161">
        <f t="shared" si="266"/>
        <v>0</v>
      </c>
      <c r="BT429" s="147">
        <f t="shared" si="267"/>
        <v>8.8210446166135954E-3</v>
      </c>
      <c r="BU429" s="164">
        <f>IF(AND($C428=12,$D428=Input!$C$6),0,IF($E429="","",BK429+(BL429+BU430)/(1+$AK429)*MIN((1-T429-U429),1)))</f>
        <v>51904.856933662806</v>
      </c>
      <c r="BV429" s="164">
        <f t="shared" si="268"/>
        <v>457.85505883078514</v>
      </c>
      <c r="BW429" s="164">
        <f t="shared" si="269"/>
        <v>1640.1705919147798</v>
      </c>
      <c r="BX429" s="164">
        <f t="shared" si="270"/>
        <v>14.468017970137803</v>
      </c>
    </row>
    <row r="430" spans="1:76" s="150" customFormat="1" x14ac:dyDescent="0.25">
      <c r="A430" s="150">
        <f t="shared" si="281"/>
        <v>426</v>
      </c>
      <c r="B430" s="150">
        <f t="shared" si="282"/>
        <v>36</v>
      </c>
      <c r="C430" s="150">
        <f t="shared" si="283"/>
        <v>6</v>
      </c>
      <c r="D430" s="150">
        <f>IF(E430="","",Input!$C$4+B430-1)</f>
        <v>80</v>
      </c>
      <c r="E430" s="150">
        <f>IF(OR(AND(C429=12,D429=Input!$C$6),E429=""),"",1)</f>
        <v>1</v>
      </c>
      <c r="F430" s="150">
        <f>IF(E430="","",Input!$C$8+B430-1)</f>
        <v>2053</v>
      </c>
      <c r="G430" s="151">
        <f>IF(E430="","",MAX(0,Input!$C$9-B430))</f>
        <v>0</v>
      </c>
      <c r="H430" s="152">
        <f>IF(E430="","",Input!$C$3)</f>
        <v>100000</v>
      </c>
      <c r="I430" s="153">
        <f>IF(E430="","",HLOOKUP($B430,Input!$C$13:$BT$14,2))</f>
        <v>107.01600000000001</v>
      </c>
      <c r="J430" s="154"/>
      <c r="K430" s="155">
        <f>IF($E430="","",INDEX(Input!$C$16:$CP$16,1,$B430))</f>
        <v>3.0249999999999999E-2</v>
      </c>
      <c r="L430" s="155">
        <f>IF($E430="","",Input!$C$37)</f>
        <v>1.4999999999999999E-2</v>
      </c>
      <c r="M430" s="155">
        <f t="shared" si="246"/>
        <v>4.5249999999999999E-2</v>
      </c>
      <c r="N430" s="155">
        <f t="shared" si="247"/>
        <v>3.6948166726487042E-3</v>
      </c>
      <c r="O430" s="147">
        <f>IF($E430="","",MIN(VLOOKUP(IF($B430&lt;=Input!$C$7,$B430,26),'Mortality Tables'!$A$41:$CW$67,IF($B430&lt;=Input!$C$7+1,Input!$C$4+2,$D430-Input!$C$7+2),0)*IF(B430&gt;20,Input!$C$22,1)/1000,1))</f>
        <v>0.1209016</v>
      </c>
      <c r="P430" s="147">
        <f>IF($E430="","",MIN(VLOOKUP(IF($B430&lt;=Input!$C$7,$B430,26),'Mortality Tables'!$A$12:$CW$37,IF($B430&lt;=Input!$C$7+1,Input!$C$4+2,$D430-Input!$C$7+2),0)*IF(B430&gt;20,Input!$C$22,1)/1000,1))</f>
        <v>0.15112700000000001</v>
      </c>
      <c r="Q430" s="155">
        <f>IF($E430="","",Input!$C$21)</f>
        <v>5.0000000000000001E-3</v>
      </c>
      <c r="R430" s="159">
        <f>IF($E430="","",(1-Q430)^($F430-Input!$C$20))</f>
        <v>0.83908861037057969</v>
      </c>
      <c r="S430" s="147">
        <f t="shared" si="249"/>
        <v>0.10144715553557968</v>
      </c>
      <c r="T430" s="147">
        <f t="shared" si="250"/>
        <v>8.8745334871025428E-3</v>
      </c>
      <c r="U430" s="160">
        <f>IF($E430="","",IF($C430=12,INDEX(Input!$C$15:$CP$15,1,$B430),0))</f>
        <v>0</v>
      </c>
      <c r="V430" s="150">
        <f>IF(E430="","",IF(C430=1,IF($B430=1,Input!$C$33,Input!$C$34),0))</f>
        <v>0</v>
      </c>
      <c r="W430" s="156">
        <f>IF($E430="","",Input!$C$35)</f>
        <v>0.02</v>
      </c>
      <c r="X430" s="156">
        <f t="shared" si="248"/>
        <v>1.9998895526624565</v>
      </c>
      <c r="Y430" s="154"/>
      <c r="Z430" s="147">
        <f>IF($E430="","",VLOOKUP($D430,'Mortality Margins &amp; Grading'!$AB$5:$AF$125,3,0)*IF(Summary!$D$25="Included Margin",IF(AND($B430&gt;Input!$C$9,Summary!$D$31&lt;&gt;"Included Margin"),0,1),0))</f>
        <v>2.5999999999999999E-2</v>
      </c>
      <c r="AA430" s="147">
        <f>IF($E430="","",VLOOKUP($D430,'Mortality Margins &amp; Grading'!$AB$5:$AF$125,5,0)*IF(Summary!$D$25="Included Margin",IF(AND($B430&gt;Input!$C$9,Summary!$D$31&lt;&gt;"Included Margin"),0,1),0))</f>
        <v>0.13600000000000001</v>
      </c>
      <c r="AB430" s="147">
        <f>IF($E430="","",IF(AND($B430&gt;Input!$C$9,Summary!$D$31&lt;&gt;"Included Margin"),1,IF(Summary!$D$25="Included Margin",VLOOKUP($B430,'Mortality Margins &amp; Grading'!$AI$5:$AR$125,MATCH('Mortality Margins &amp; Grading'!$AQ$4,'Mortality Margins &amp; Grading'!$AI$4:$AR$4,0),0),1)))</f>
        <v>0.5625</v>
      </c>
      <c r="AC430" s="154"/>
      <c r="AD430" s="158">
        <f>IF(E430="","",Input!$C$48*IF(Summary!$D$30="Included Margin",IF(AND($B430&gt;Input!$C$9,Summary!$D$31&lt;&gt;"Included Margin"),0,1),0))</f>
        <v>-4.4999999999999997E-3</v>
      </c>
      <c r="AE430" s="159">
        <f>IF(E430="","",IF(Summary!$D$26="Included Margin",IF(AND($B430&gt;Input!$C$9,Summary!$D$31&lt;&gt;"Included Margin"),1,1/$R430),1))</f>
        <v>1.1917692453939455</v>
      </c>
      <c r="AF430" s="160">
        <f>IF(E430="","",IF(AND($B430&gt;=Input!$C$9,$C430=12,Summary!$D$31="Included Margin",$U430&gt;0),1/U430-1,IF($B430&gt;=Input!$C$9,0,Input!$C$45*IF(Summary!$D$27="Included Margin",1,0))))</f>
        <v>0</v>
      </c>
      <c r="AG430" s="160">
        <f>IF(E430="","",Input!$C$46*IF(Summary!$D$28="Included Margin",IF(AND($B430&gt;Input!$C$9,Summary!$D$31&lt;&gt;"Included Margin"),0,1),0))</f>
        <v>0.02</v>
      </c>
      <c r="AH430" s="158">
        <f>IF(E430="","",Input!$C$47*IF(Summary!$D$29="Included Margin",IF(AND($B430&gt;Input!$C$9,Summary!$D$31&lt;&gt;"Included Margin"),0,1),0))</f>
        <v>2.5000000000000001E-3</v>
      </c>
      <c r="AI430" s="154"/>
      <c r="AJ430" s="158">
        <f t="shared" si="271"/>
        <v>4.0750000000000001E-2</v>
      </c>
      <c r="AK430" s="155">
        <f t="shared" si="272"/>
        <v>3.3340127558512123E-3</v>
      </c>
      <c r="AL430" s="147">
        <f t="shared" si="273"/>
        <v>0.14488545490000002</v>
      </c>
      <c r="AM430" s="147">
        <f t="shared" si="251"/>
        <v>1.2958625207927565E-2</v>
      </c>
      <c r="AN430" s="160">
        <f t="shared" si="274"/>
        <v>0</v>
      </c>
      <c r="AO430" s="161">
        <f t="shared" si="275"/>
        <v>0</v>
      </c>
      <c r="AP430" s="156">
        <f t="shared" si="252"/>
        <v>2.1787935642511265</v>
      </c>
      <c r="AQ430" s="152"/>
      <c r="AR430" s="162">
        <f t="shared" si="253"/>
        <v>8626.5447871142769</v>
      </c>
      <c r="AS430" s="150">
        <f t="shared" si="276"/>
        <v>0</v>
      </c>
      <c r="AT430" s="163">
        <f t="shared" si="254"/>
        <v>0</v>
      </c>
      <c r="AU430" s="163">
        <f t="shared" si="255"/>
        <v>1295.8625207927566</v>
      </c>
      <c r="AV430" s="163">
        <f t="shared" si="277"/>
        <v>26.600799272084501</v>
      </c>
      <c r="AW430" s="163">
        <f t="shared" si="256"/>
        <v>96.592020170584888</v>
      </c>
      <c r="AX430" s="163">
        <f t="shared" si="257"/>
        <v>0</v>
      </c>
      <c r="AY430" s="165">
        <f t="shared" si="278"/>
        <v>7453.8750857641899</v>
      </c>
      <c r="AZ430" s="164">
        <f>IF($E430="","",IF(OR(AND($D430=Input!$C$6,$C430=12),$AN430=1),0,-AS431+AT431+AU431-AV431-AW431-AX431+AZ431))</f>
        <v>7453.8786808568075</v>
      </c>
      <c r="BA430" s="154">
        <f t="shared" si="258"/>
        <v>3.5950926176155917E-3</v>
      </c>
      <c r="BC430" s="147">
        <f t="shared" si="279"/>
        <v>8.7427619607722325E-3</v>
      </c>
      <c r="BD430" s="164">
        <f>IF(AND($C429=12,$D429=Input!$C$6),0,IF($E430="","",AT430+(AU430+BD431)/(1+$AK430)*MIN((1-AM430-AN430),1)))</f>
        <v>7156.2357256359628</v>
      </c>
      <c r="BE430" s="164">
        <f t="shared" si="259"/>
        <v>62.565265484409373</v>
      </c>
      <c r="BF430" s="164">
        <f t="shared" si="280"/>
        <v>7453.8786808568075</v>
      </c>
      <c r="BG430" s="164">
        <f t="shared" si="260"/>
        <v>65.167486991206005</v>
      </c>
      <c r="BH430" s="152"/>
      <c r="BI430" s="162">
        <f t="shared" si="261"/>
        <v>1640.1675686947831</v>
      </c>
      <c r="BJ430" s="150">
        <f t="shared" si="262"/>
        <v>0</v>
      </c>
      <c r="BK430" s="163">
        <f t="shared" si="284"/>
        <v>0</v>
      </c>
      <c r="BL430" s="163">
        <f t="shared" si="263"/>
        <v>887.45334871025432</v>
      </c>
      <c r="BM430" s="163">
        <f t="shared" si="285"/>
        <v>4.4206297642448869</v>
      </c>
      <c r="BN430" s="163">
        <f t="shared" si="264"/>
        <v>6.779409504687071</v>
      </c>
      <c r="BO430" s="163">
        <f t="shared" si="265"/>
        <v>0</v>
      </c>
      <c r="BP430" s="164">
        <f t="shared" si="286"/>
        <v>763.91425925346073</v>
      </c>
      <c r="BQ430" s="164">
        <f>IF($E430="","",IF(AND($D430=Input!$C$6,$C430=12),0,-BJ431+BK431+BL431-BM431-BN431-BO431+BQ431))</f>
        <v>763.91728247345748</v>
      </c>
      <c r="BR430" s="161">
        <f t="shared" si="266"/>
        <v>0</v>
      </c>
      <c r="BT430" s="147">
        <f t="shared" si="267"/>
        <v>8.7427619607722325E-3</v>
      </c>
      <c r="BU430" s="164">
        <f>IF(AND($C429=12,$D429=Input!$C$6),0,IF($E430="","",BK430+(BL430+BU431)/(1+$AK430)*MIN((1-T430-U430),1)))</f>
        <v>51656.760424746026</v>
      </c>
      <c r="BV430" s="164">
        <f t="shared" si="268"/>
        <v>451.62276005819405</v>
      </c>
      <c r="BW430" s="164">
        <f t="shared" si="269"/>
        <v>763.91728247345748</v>
      </c>
      <c r="BX430" s="164">
        <f t="shared" si="270"/>
        <v>6.6787469583854406</v>
      </c>
    </row>
    <row r="431" spans="1:76" s="150" customFormat="1" x14ac:dyDescent="0.25">
      <c r="A431" s="150">
        <f t="shared" si="281"/>
        <v>427</v>
      </c>
      <c r="B431" s="150">
        <f t="shared" si="282"/>
        <v>36</v>
      </c>
      <c r="C431" s="150">
        <f t="shared" si="283"/>
        <v>7</v>
      </c>
      <c r="D431" s="150">
        <f>IF(E431="","",Input!$C$4+B431-1)</f>
        <v>80</v>
      </c>
      <c r="E431" s="150">
        <f>IF(OR(AND(C430=12,D430=Input!$C$6),E430=""),"",1)</f>
        <v>1</v>
      </c>
      <c r="F431" s="150">
        <f>IF(E431="","",Input!$C$8+B431-1)</f>
        <v>2053</v>
      </c>
      <c r="G431" s="151">
        <f>IF(E431="","",MAX(0,Input!$C$9-B431))</f>
        <v>0</v>
      </c>
      <c r="H431" s="152">
        <f>IF(E431="","",Input!$C$3)</f>
        <v>100000</v>
      </c>
      <c r="I431" s="153">
        <f>IF(E431="","",HLOOKUP($B431,Input!$C$13:$BT$14,2))</f>
        <v>107.01600000000001</v>
      </c>
      <c r="J431" s="154"/>
      <c r="K431" s="155">
        <f>IF($E431="","",INDEX(Input!$C$16:$CP$16,1,$B431))</f>
        <v>3.0249999999999999E-2</v>
      </c>
      <c r="L431" s="155">
        <f>IF($E431="","",Input!$C$37)</f>
        <v>1.4999999999999999E-2</v>
      </c>
      <c r="M431" s="155">
        <f t="shared" si="246"/>
        <v>4.5249999999999999E-2</v>
      </c>
      <c r="N431" s="155">
        <f t="shared" si="247"/>
        <v>3.6948166726487042E-3</v>
      </c>
      <c r="O431" s="147">
        <f>IF($E431="","",MIN(VLOOKUP(IF($B431&lt;=Input!$C$7,$B431,26),'Mortality Tables'!$A$41:$CW$67,IF($B431&lt;=Input!$C$7+1,Input!$C$4+2,$D431-Input!$C$7+2),0)*IF(B431&gt;20,Input!$C$22,1)/1000,1))</f>
        <v>0.1209016</v>
      </c>
      <c r="P431" s="147">
        <f>IF($E431="","",MIN(VLOOKUP(IF($B431&lt;=Input!$C$7,$B431,26),'Mortality Tables'!$A$12:$CW$37,IF($B431&lt;=Input!$C$7+1,Input!$C$4+2,$D431-Input!$C$7+2),0)*IF(B431&gt;20,Input!$C$22,1)/1000,1))</f>
        <v>0.15112700000000001</v>
      </c>
      <c r="Q431" s="155">
        <f>IF($E431="","",Input!$C$21)</f>
        <v>5.0000000000000001E-3</v>
      </c>
      <c r="R431" s="159">
        <f>IF($E431="","",(1-Q431)^($F431-Input!$C$20))</f>
        <v>0.83908861037057969</v>
      </c>
      <c r="S431" s="147">
        <f t="shared" si="249"/>
        <v>0.10144715553557968</v>
      </c>
      <c r="T431" s="147">
        <f t="shared" si="250"/>
        <v>8.8745334871025428E-3</v>
      </c>
      <c r="U431" s="160">
        <f>IF($E431="","",IF($C431=12,INDEX(Input!$C$15:$CP$15,1,$B431),0))</f>
        <v>0</v>
      </c>
      <c r="V431" s="150">
        <f>IF(E431="","",IF(C431=1,IF($B431=1,Input!$C$33,Input!$C$34),0))</f>
        <v>0</v>
      </c>
      <c r="W431" s="156">
        <f>IF($E431="","",Input!$C$35)</f>
        <v>0.02</v>
      </c>
      <c r="X431" s="156">
        <f t="shared" si="248"/>
        <v>1.9998895526624565</v>
      </c>
      <c r="Y431" s="154"/>
      <c r="Z431" s="147">
        <f>IF($E431="","",VLOOKUP($D431,'Mortality Margins &amp; Grading'!$AB$5:$AF$125,3,0)*IF(Summary!$D$25="Included Margin",IF(AND($B431&gt;Input!$C$9,Summary!$D$31&lt;&gt;"Included Margin"),0,1),0))</f>
        <v>2.5999999999999999E-2</v>
      </c>
      <c r="AA431" s="147">
        <f>IF($E431="","",VLOOKUP($D431,'Mortality Margins &amp; Grading'!$AB$5:$AF$125,5,0)*IF(Summary!$D$25="Included Margin",IF(AND($B431&gt;Input!$C$9,Summary!$D$31&lt;&gt;"Included Margin"),0,1),0))</f>
        <v>0.13600000000000001</v>
      </c>
      <c r="AB431" s="147">
        <f>IF($E431="","",IF(AND($B431&gt;Input!$C$9,Summary!$D$31&lt;&gt;"Included Margin"),1,IF(Summary!$D$25="Included Margin",VLOOKUP($B431,'Mortality Margins &amp; Grading'!$AI$5:$AR$125,MATCH('Mortality Margins &amp; Grading'!$AQ$4,'Mortality Margins &amp; Grading'!$AI$4:$AR$4,0),0),1)))</f>
        <v>0.5625</v>
      </c>
      <c r="AC431" s="154"/>
      <c r="AD431" s="158">
        <f>IF(E431="","",Input!$C$48*IF(Summary!$D$30="Included Margin",IF(AND($B431&gt;Input!$C$9,Summary!$D$31&lt;&gt;"Included Margin"),0,1),0))</f>
        <v>-4.4999999999999997E-3</v>
      </c>
      <c r="AE431" s="159">
        <f>IF(E431="","",IF(Summary!$D$26="Included Margin",IF(AND($B431&gt;Input!$C$9,Summary!$D$31&lt;&gt;"Included Margin"),1,1/$R431),1))</f>
        <v>1.1917692453939455</v>
      </c>
      <c r="AF431" s="160">
        <f>IF(E431="","",IF(AND($B431&gt;=Input!$C$9,$C431=12,Summary!$D$31="Included Margin",$U431&gt;0),1/U431-1,IF($B431&gt;=Input!$C$9,0,Input!$C$45*IF(Summary!$D$27="Included Margin",1,0))))</f>
        <v>0</v>
      </c>
      <c r="AG431" s="160">
        <f>IF(E431="","",Input!$C$46*IF(Summary!$D$28="Included Margin",IF(AND($B431&gt;Input!$C$9,Summary!$D$31&lt;&gt;"Included Margin"),0,1),0))</f>
        <v>0.02</v>
      </c>
      <c r="AH431" s="158">
        <f>IF(E431="","",Input!$C$47*IF(Summary!$D$29="Included Margin",IF(AND($B431&gt;Input!$C$9,Summary!$D$31&lt;&gt;"Included Margin"),0,1),0))</f>
        <v>2.5000000000000001E-3</v>
      </c>
      <c r="AI431" s="154"/>
      <c r="AJ431" s="158">
        <f t="shared" si="271"/>
        <v>4.0750000000000001E-2</v>
      </c>
      <c r="AK431" s="155">
        <f t="shared" si="272"/>
        <v>3.3340127558512123E-3</v>
      </c>
      <c r="AL431" s="147">
        <f t="shared" si="273"/>
        <v>0.14488545490000002</v>
      </c>
      <c r="AM431" s="147">
        <f t="shared" si="251"/>
        <v>1.2958625207927565E-2</v>
      </c>
      <c r="AN431" s="160">
        <f t="shared" si="274"/>
        <v>0</v>
      </c>
      <c r="AO431" s="161">
        <f t="shared" si="275"/>
        <v>0</v>
      </c>
      <c r="AP431" s="156">
        <f t="shared" si="252"/>
        <v>2.1787935642511265</v>
      </c>
      <c r="AQ431" s="152"/>
      <c r="AR431" s="162">
        <f t="shared" si="253"/>
        <v>7453.8750857641899</v>
      </c>
      <c r="AS431" s="150">
        <f t="shared" si="276"/>
        <v>0</v>
      </c>
      <c r="AT431" s="163">
        <f t="shared" si="254"/>
        <v>0</v>
      </c>
      <c r="AU431" s="163">
        <f t="shared" si="255"/>
        <v>1295.8625207927566</v>
      </c>
      <c r="AV431" s="163">
        <f t="shared" si="277"/>
        <v>22.691103529383081</v>
      </c>
      <c r="AW431" s="163">
        <f t="shared" si="256"/>
        <v>81.144996546568422</v>
      </c>
      <c r="AX431" s="163">
        <f t="shared" si="257"/>
        <v>0</v>
      </c>
      <c r="AY431" s="164">
        <f t="shared" si="278"/>
        <v>6261.8486650473851</v>
      </c>
      <c r="AZ431" s="164">
        <f>IF($E431="","",IF(OR(AND($D431=Input!$C$6,$C431=12),$AN431=1),0,-AS432+AT432+AU432-AV432-AW432-AX432+AZ432))</f>
        <v>6261.8522601400018</v>
      </c>
      <c r="BA431" s="154">
        <f t="shared" si="258"/>
        <v>3.595092616706097E-3</v>
      </c>
      <c r="BC431" s="147">
        <f t="shared" si="279"/>
        <v>8.6651740269815935E-3</v>
      </c>
      <c r="BD431" s="164">
        <f>IF(AND($C430=12,$D430=Input!$C$6),0,IF($E431="","",AT431+(AU431+BD432)/(1+$AK431)*MIN((1-AM431-AN431),1)))</f>
        <v>5978.4978963089598</v>
      </c>
      <c r="BE431" s="164">
        <f t="shared" si="259"/>
        <v>51.804724691460493</v>
      </c>
      <c r="BF431" s="164">
        <f t="shared" si="280"/>
        <v>6261.8522601400018</v>
      </c>
      <c r="BG431" s="164">
        <f t="shared" si="260"/>
        <v>54.260039565361133</v>
      </c>
      <c r="BH431" s="152"/>
      <c r="BI431" s="162">
        <f t="shared" si="261"/>
        <v>763.91425925346073</v>
      </c>
      <c r="BJ431" s="150">
        <f t="shared" si="262"/>
        <v>0</v>
      </c>
      <c r="BK431" s="163">
        <f t="shared" si="284"/>
        <v>0</v>
      </c>
      <c r="BL431" s="163">
        <f t="shared" si="263"/>
        <v>887.45334871025432</v>
      </c>
      <c r="BM431" s="163">
        <f t="shared" si="285"/>
        <v>1.1830344270574853</v>
      </c>
      <c r="BN431" s="163">
        <f t="shared" si="264"/>
        <v>-1.0955485604303403</v>
      </c>
      <c r="BO431" s="163">
        <f t="shared" si="265"/>
        <v>0</v>
      </c>
      <c r="BP431" s="164">
        <f t="shared" si="286"/>
        <v>-123.45160359016646</v>
      </c>
      <c r="BQ431" s="164">
        <f>IF($E431="","",IF(AND($D431=Input!$C$6,$C431=12),0,-BJ432+BK432+BL432-BM432-BN432-BO432+BQ432))</f>
        <v>-123.44858037016968</v>
      </c>
      <c r="BR431" s="161">
        <f t="shared" si="266"/>
        <v>0</v>
      </c>
      <c r="BT431" s="147">
        <f t="shared" si="267"/>
        <v>8.6651740269815935E-3</v>
      </c>
      <c r="BU431" s="164">
        <f>IF(AND($C430=12,$D430=Input!$C$6),0,IF($E431="","",BK431+(BL431+BU432)/(1+$AK431)*MIN((1-T431-U431),1)))</f>
        <v>51405.60789738944</v>
      </c>
      <c r="BV431" s="164">
        <f t="shared" si="268"/>
        <v>445.43853839365886</v>
      </c>
      <c r="BW431" s="164">
        <f t="shared" si="269"/>
        <v>-123.44858037016968</v>
      </c>
      <c r="BX431" s="164">
        <f t="shared" si="270"/>
        <v>-1.0697034322913441</v>
      </c>
    </row>
    <row r="432" spans="1:76" s="150" customFormat="1" x14ac:dyDescent="0.25">
      <c r="A432" s="150">
        <f t="shared" si="281"/>
        <v>428</v>
      </c>
      <c r="B432" s="150">
        <f t="shared" si="282"/>
        <v>36</v>
      </c>
      <c r="C432" s="150">
        <f t="shared" si="283"/>
        <v>8</v>
      </c>
      <c r="D432" s="150">
        <f>IF(E432="","",Input!$C$4+B432-1)</f>
        <v>80</v>
      </c>
      <c r="E432" s="150">
        <f>IF(OR(AND(C431=12,D431=Input!$C$6),E431=""),"",1)</f>
        <v>1</v>
      </c>
      <c r="F432" s="150">
        <f>IF(E432="","",Input!$C$8+B432-1)</f>
        <v>2053</v>
      </c>
      <c r="G432" s="151">
        <f>IF(E432="","",MAX(0,Input!$C$9-B432))</f>
        <v>0</v>
      </c>
      <c r="H432" s="152">
        <f>IF(E432="","",Input!$C$3)</f>
        <v>100000</v>
      </c>
      <c r="I432" s="153">
        <f>IF(E432="","",HLOOKUP($B432,Input!$C$13:$BT$14,2))</f>
        <v>107.01600000000001</v>
      </c>
      <c r="J432" s="154"/>
      <c r="K432" s="155">
        <f>IF($E432="","",INDEX(Input!$C$16:$CP$16,1,$B432))</f>
        <v>3.0249999999999999E-2</v>
      </c>
      <c r="L432" s="155">
        <f>IF($E432="","",Input!$C$37)</f>
        <v>1.4999999999999999E-2</v>
      </c>
      <c r="M432" s="155">
        <f t="shared" si="246"/>
        <v>4.5249999999999999E-2</v>
      </c>
      <c r="N432" s="155">
        <f t="shared" si="247"/>
        <v>3.6948166726487042E-3</v>
      </c>
      <c r="O432" s="147">
        <f>IF($E432="","",MIN(VLOOKUP(IF($B432&lt;=Input!$C$7,$B432,26),'Mortality Tables'!$A$41:$CW$67,IF($B432&lt;=Input!$C$7+1,Input!$C$4+2,$D432-Input!$C$7+2),0)*IF(B432&gt;20,Input!$C$22,1)/1000,1))</f>
        <v>0.1209016</v>
      </c>
      <c r="P432" s="147">
        <f>IF($E432="","",MIN(VLOOKUP(IF($B432&lt;=Input!$C$7,$B432,26),'Mortality Tables'!$A$12:$CW$37,IF($B432&lt;=Input!$C$7+1,Input!$C$4+2,$D432-Input!$C$7+2),0)*IF(B432&gt;20,Input!$C$22,1)/1000,1))</f>
        <v>0.15112700000000001</v>
      </c>
      <c r="Q432" s="155">
        <f>IF($E432="","",Input!$C$21)</f>
        <v>5.0000000000000001E-3</v>
      </c>
      <c r="R432" s="159">
        <f>IF($E432="","",(1-Q432)^($F432-Input!$C$20))</f>
        <v>0.83908861037057969</v>
      </c>
      <c r="S432" s="147">
        <f t="shared" si="249"/>
        <v>0.10144715553557968</v>
      </c>
      <c r="T432" s="147">
        <f t="shared" si="250"/>
        <v>8.8745334871025428E-3</v>
      </c>
      <c r="U432" s="160">
        <f>IF($E432="","",IF($C432=12,INDEX(Input!$C$15:$CP$15,1,$B432),0))</f>
        <v>0</v>
      </c>
      <c r="V432" s="150">
        <f>IF(E432="","",IF(C432=1,IF($B432=1,Input!$C$33,Input!$C$34),0))</f>
        <v>0</v>
      </c>
      <c r="W432" s="156">
        <f>IF($E432="","",Input!$C$35)</f>
        <v>0.02</v>
      </c>
      <c r="X432" s="156">
        <f t="shared" si="248"/>
        <v>1.9998895526624565</v>
      </c>
      <c r="Y432" s="154"/>
      <c r="Z432" s="147">
        <f>IF($E432="","",VLOOKUP($D432,'Mortality Margins &amp; Grading'!$AB$5:$AF$125,3,0)*IF(Summary!$D$25="Included Margin",IF(AND($B432&gt;Input!$C$9,Summary!$D$31&lt;&gt;"Included Margin"),0,1),0))</f>
        <v>2.5999999999999999E-2</v>
      </c>
      <c r="AA432" s="147">
        <f>IF($E432="","",VLOOKUP($D432,'Mortality Margins &amp; Grading'!$AB$5:$AF$125,5,0)*IF(Summary!$D$25="Included Margin",IF(AND($B432&gt;Input!$C$9,Summary!$D$31&lt;&gt;"Included Margin"),0,1),0))</f>
        <v>0.13600000000000001</v>
      </c>
      <c r="AB432" s="147">
        <f>IF($E432="","",IF(AND($B432&gt;Input!$C$9,Summary!$D$31&lt;&gt;"Included Margin"),1,IF(Summary!$D$25="Included Margin",VLOOKUP($B432,'Mortality Margins &amp; Grading'!$AI$5:$AR$125,MATCH('Mortality Margins &amp; Grading'!$AQ$4,'Mortality Margins &amp; Grading'!$AI$4:$AR$4,0),0),1)))</f>
        <v>0.5625</v>
      </c>
      <c r="AC432" s="154"/>
      <c r="AD432" s="158">
        <f>IF(E432="","",Input!$C$48*IF(Summary!$D$30="Included Margin",IF(AND($B432&gt;Input!$C$9,Summary!$D$31&lt;&gt;"Included Margin"),0,1),0))</f>
        <v>-4.4999999999999997E-3</v>
      </c>
      <c r="AE432" s="159">
        <f>IF(E432="","",IF(Summary!$D$26="Included Margin",IF(AND($B432&gt;Input!$C$9,Summary!$D$31&lt;&gt;"Included Margin"),1,1/$R432),1))</f>
        <v>1.1917692453939455</v>
      </c>
      <c r="AF432" s="160">
        <f>IF(E432="","",IF(AND($B432&gt;=Input!$C$9,$C432=12,Summary!$D$31="Included Margin",$U432&gt;0),1/U432-1,IF($B432&gt;=Input!$C$9,0,Input!$C$45*IF(Summary!$D$27="Included Margin",1,0))))</f>
        <v>0</v>
      </c>
      <c r="AG432" s="160">
        <f>IF(E432="","",Input!$C$46*IF(Summary!$D$28="Included Margin",IF(AND($B432&gt;Input!$C$9,Summary!$D$31&lt;&gt;"Included Margin"),0,1),0))</f>
        <v>0.02</v>
      </c>
      <c r="AH432" s="158">
        <f>IF(E432="","",Input!$C$47*IF(Summary!$D$29="Included Margin",IF(AND($B432&gt;Input!$C$9,Summary!$D$31&lt;&gt;"Included Margin"),0,1),0))</f>
        <v>2.5000000000000001E-3</v>
      </c>
      <c r="AI432" s="154"/>
      <c r="AJ432" s="158">
        <f t="shared" si="271"/>
        <v>4.0750000000000001E-2</v>
      </c>
      <c r="AK432" s="155">
        <f t="shared" si="272"/>
        <v>3.3340127558512123E-3</v>
      </c>
      <c r="AL432" s="147">
        <f t="shared" si="273"/>
        <v>0.14488545490000002</v>
      </c>
      <c r="AM432" s="147">
        <f t="shared" si="251"/>
        <v>1.2958625207927565E-2</v>
      </c>
      <c r="AN432" s="160">
        <f t="shared" si="274"/>
        <v>0</v>
      </c>
      <c r="AO432" s="161">
        <f t="shared" si="275"/>
        <v>0</v>
      </c>
      <c r="AP432" s="156">
        <f t="shared" si="252"/>
        <v>2.1787935642511265</v>
      </c>
      <c r="AQ432" s="152"/>
      <c r="AR432" s="162">
        <f t="shared" si="253"/>
        <v>6261.8486650473833</v>
      </c>
      <c r="AS432" s="150">
        <f t="shared" si="276"/>
        <v>0</v>
      </c>
      <c r="AT432" s="163">
        <f t="shared" si="254"/>
        <v>0</v>
      </c>
      <c r="AU432" s="163">
        <f t="shared" si="255"/>
        <v>1295.8625207927566</v>
      </c>
      <c r="AV432" s="163">
        <f t="shared" si="277"/>
        <v>18.716872237401581</v>
      </c>
      <c r="AW432" s="163">
        <f t="shared" si="256"/>
        <v>65.442996008765491</v>
      </c>
      <c r="AX432" s="163">
        <f t="shared" si="257"/>
        <v>0</v>
      </c>
      <c r="AY432" s="165">
        <f t="shared" si="278"/>
        <v>5050.1460125007934</v>
      </c>
      <c r="AZ432" s="164">
        <f>IF($E432="","",IF(OR(AND($D432=Input!$C$6,$C432=12),$AN432=1),0,-AS433+AT433+AU433-AV433-AW433-AX433+AZ433))</f>
        <v>5050.1496075934119</v>
      </c>
      <c r="BA432" s="154">
        <f t="shared" si="258"/>
        <v>3.5950926185250864E-3</v>
      </c>
      <c r="BC432" s="147">
        <f t="shared" si="279"/>
        <v>8.5882746499075738E-3</v>
      </c>
      <c r="BD432" s="164">
        <f>IF(AND($C431=12,$D431=Input!$C$6),0,IF($E432="","",AT432+(AU432+BD433)/(1+$AK432)*MIN((1-AM432-AN432),1)))</f>
        <v>4781.3196903579137</v>
      </c>
      <c r="BE432" s="164">
        <f t="shared" si="259"/>
        <v>41.063286689804798</v>
      </c>
      <c r="BF432" s="164">
        <f t="shared" si="280"/>
        <v>5050.1496075934119</v>
      </c>
      <c r="BG432" s="164">
        <f t="shared" si="260"/>
        <v>43.372071853135182</v>
      </c>
      <c r="BH432" s="152"/>
      <c r="BI432" s="162">
        <f t="shared" si="261"/>
        <v>-123.45160359016643</v>
      </c>
      <c r="BJ432" s="150">
        <f t="shared" si="262"/>
        <v>0</v>
      </c>
      <c r="BK432" s="163">
        <f t="shared" si="284"/>
        <v>0</v>
      </c>
      <c r="BL432" s="163">
        <f t="shared" si="263"/>
        <v>887.45334871025432</v>
      </c>
      <c r="BM432" s="163">
        <f t="shared" si="285"/>
        <v>-2.0956197577164515</v>
      </c>
      <c r="BN432" s="163">
        <f t="shared" si="264"/>
        <v>-9.0703760252939549</v>
      </c>
      <c r="BO432" s="163">
        <f t="shared" si="265"/>
        <v>0</v>
      </c>
      <c r="BP432" s="164">
        <f t="shared" si="286"/>
        <v>-1022.0709480834312</v>
      </c>
      <c r="BQ432" s="164">
        <f>IF($E432="","",IF(AND($D432=Input!$C$6,$C432=12),0,-BJ433+BK433+BL433-BM433-BN433-BO433+BQ433))</f>
        <v>-1022.0679248634344</v>
      </c>
      <c r="BR432" s="161">
        <f t="shared" si="266"/>
        <v>0</v>
      </c>
      <c r="BT432" s="147">
        <f t="shared" si="267"/>
        <v>8.5882746499075738E-3</v>
      </c>
      <c r="BU432" s="164">
        <f>IF(AND($C431=12,$D431=Input!$C$6),0,IF($E432="","",BK432+(BL432+BU433)/(1+$AK432)*MIN((1-T432-U432),1)))</f>
        <v>51151.361707981116</v>
      </c>
      <c r="BV432" s="164">
        <f t="shared" si="268"/>
        <v>439.30194306490722</v>
      </c>
      <c r="BW432" s="164">
        <f t="shared" si="269"/>
        <v>-1022.0679248634344</v>
      </c>
      <c r="BX432" s="164">
        <f t="shared" si="270"/>
        <v>-8.7778000495882722</v>
      </c>
    </row>
    <row r="433" spans="1:76" s="150" customFormat="1" x14ac:dyDescent="0.25">
      <c r="A433" s="150">
        <f t="shared" si="281"/>
        <v>429</v>
      </c>
      <c r="B433" s="150">
        <f t="shared" si="282"/>
        <v>36</v>
      </c>
      <c r="C433" s="150">
        <f t="shared" si="283"/>
        <v>9</v>
      </c>
      <c r="D433" s="150">
        <f>IF(E433="","",Input!$C$4+B433-1)</f>
        <v>80</v>
      </c>
      <c r="E433" s="150">
        <f>IF(OR(AND(C432=12,D432=Input!$C$6),E432=""),"",1)</f>
        <v>1</v>
      </c>
      <c r="F433" s="150">
        <f>IF(E433="","",Input!$C$8+B433-1)</f>
        <v>2053</v>
      </c>
      <c r="G433" s="151">
        <f>IF(E433="","",MAX(0,Input!$C$9-B433))</f>
        <v>0</v>
      </c>
      <c r="H433" s="152">
        <f>IF(E433="","",Input!$C$3)</f>
        <v>100000</v>
      </c>
      <c r="I433" s="153">
        <f>IF(E433="","",HLOOKUP($B433,Input!$C$13:$BT$14,2))</f>
        <v>107.01600000000001</v>
      </c>
      <c r="J433" s="154"/>
      <c r="K433" s="155">
        <f>IF($E433="","",INDEX(Input!$C$16:$CP$16,1,$B433))</f>
        <v>3.0249999999999999E-2</v>
      </c>
      <c r="L433" s="155">
        <f>IF($E433="","",Input!$C$37)</f>
        <v>1.4999999999999999E-2</v>
      </c>
      <c r="M433" s="155">
        <f t="shared" si="246"/>
        <v>4.5249999999999999E-2</v>
      </c>
      <c r="N433" s="155">
        <f t="shared" si="247"/>
        <v>3.6948166726487042E-3</v>
      </c>
      <c r="O433" s="147">
        <f>IF($E433="","",MIN(VLOOKUP(IF($B433&lt;=Input!$C$7,$B433,26),'Mortality Tables'!$A$41:$CW$67,IF($B433&lt;=Input!$C$7+1,Input!$C$4+2,$D433-Input!$C$7+2),0)*IF(B433&gt;20,Input!$C$22,1)/1000,1))</f>
        <v>0.1209016</v>
      </c>
      <c r="P433" s="147">
        <f>IF($E433="","",MIN(VLOOKUP(IF($B433&lt;=Input!$C$7,$B433,26),'Mortality Tables'!$A$12:$CW$37,IF($B433&lt;=Input!$C$7+1,Input!$C$4+2,$D433-Input!$C$7+2),0)*IF(B433&gt;20,Input!$C$22,1)/1000,1))</f>
        <v>0.15112700000000001</v>
      </c>
      <c r="Q433" s="155">
        <f>IF($E433="","",Input!$C$21)</f>
        <v>5.0000000000000001E-3</v>
      </c>
      <c r="R433" s="159">
        <f>IF($E433="","",(1-Q433)^($F433-Input!$C$20))</f>
        <v>0.83908861037057969</v>
      </c>
      <c r="S433" s="147">
        <f t="shared" si="249"/>
        <v>0.10144715553557968</v>
      </c>
      <c r="T433" s="147">
        <f t="shared" si="250"/>
        <v>8.8745334871025428E-3</v>
      </c>
      <c r="U433" s="160">
        <f>IF($E433="","",IF($C433=12,INDEX(Input!$C$15:$CP$15,1,$B433),0))</f>
        <v>0</v>
      </c>
      <c r="V433" s="150">
        <f>IF(E433="","",IF(C433=1,IF($B433=1,Input!$C$33,Input!$C$34),0))</f>
        <v>0</v>
      </c>
      <c r="W433" s="156">
        <f>IF($E433="","",Input!$C$35)</f>
        <v>0.02</v>
      </c>
      <c r="X433" s="156">
        <f t="shared" si="248"/>
        <v>1.9998895526624565</v>
      </c>
      <c r="Y433" s="154"/>
      <c r="Z433" s="147">
        <f>IF($E433="","",VLOOKUP($D433,'Mortality Margins &amp; Grading'!$AB$5:$AF$125,3,0)*IF(Summary!$D$25="Included Margin",IF(AND($B433&gt;Input!$C$9,Summary!$D$31&lt;&gt;"Included Margin"),0,1),0))</f>
        <v>2.5999999999999999E-2</v>
      </c>
      <c r="AA433" s="147">
        <f>IF($E433="","",VLOOKUP($D433,'Mortality Margins &amp; Grading'!$AB$5:$AF$125,5,0)*IF(Summary!$D$25="Included Margin",IF(AND($B433&gt;Input!$C$9,Summary!$D$31&lt;&gt;"Included Margin"),0,1),0))</f>
        <v>0.13600000000000001</v>
      </c>
      <c r="AB433" s="147">
        <f>IF($E433="","",IF(AND($B433&gt;Input!$C$9,Summary!$D$31&lt;&gt;"Included Margin"),1,IF(Summary!$D$25="Included Margin",VLOOKUP($B433,'Mortality Margins &amp; Grading'!$AI$5:$AR$125,MATCH('Mortality Margins &amp; Grading'!$AQ$4,'Mortality Margins &amp; Grading'!$AI$4:$AR$4,0),0),1)))</f>
        <v>0.5625</v>
      </c>
      <c r="AC433" s="154"/>
      <c r="AD433" s="158">
        <f>IF(E433="","",Input!$C$48*IF(Summary!$D$30="Included Margin",IF(AND($B433&gt;Input!$C$9,Summary!$D$31&lt;&gt;"Included Margin"),0,1),0))</f>
        <v>-4.4999999999999997E-3</v>
      </c>
      <c r="AE433" s="159">
        <f>IF(E433="","",IF(Summary!$D$26="Included Margin",IF(AND($B433&gt;Input!$C$9,Summary!$D$31&lt;&gt;"Included Margin"),1,1/$R433),1))</f>
        <v>1.1917692453939455</v>
      </c>
      <c r="AF433" s="160">
        <f>IF(E433="","",IF(AND($B433&gt;=Input!$C$9,$C433=12,Summary!$D$31="Included Margin",$U433&gt;0),1/U433-1,IF($B433&gt;=Input!$C$9,0,Input!$C$45*IF(Summary!$D$27="Included Margin",1,0))))</f>
        <v>0</v>
      </c>
      <c r="AG433" s="160">
        <f>IF(E433="","",Input!$C$46*IF(Summary!$D$28="Included Margin",IF(AND($B433&gt;Input!$C$9,Summary!$D$31&lt;&gt;"Included Margin"),0,1),0))</f>
        <v>0.02</v>
      </c>
      <c r="AH433" s="158">
        <f>IF(E433="","",Input!$C$47*IF(Summary!$D$29="Included Margin",IF(AND($B433&gt;Input!$C$9,Summary!$D$31&lt;&gt;"Included Margin"),0,1),0))</f>
        <v>2.5000000000000001E-3</v>
      </c>
      <c r="AI433" s="154"/>
      <c r="AJ433" s="158">
        <f t="shared" si="271"/>
        <v>4.0750000000000001E-2</v>
      </c>
      <c r="AK433" s="155">
        <f t="shared" si="272"/>
        <v>3.3340127558512123E-3</v>
      </c>
      <c r="AL433" s="147">
        <f t="shared" si="273"/>
        <v>0.14488545490000002</v>
      </c>
      <c r="AM433" s="147">
        <f t="shared" si="251"/>
        <v>1.2958625207927565E-2</v>
      </c>
      <c r="AN433" s="160">
        <f t="shared" si="274"/>
        <v>0</v>
      </c>
      <c r="AO433" s="161">
        <f t="shared" si="275"/>
        <v>0</v>
      </c>
      <c r="AP433" s="156">
        <f t="shared" si="252"/>
        <v>2.1787935642511265</v>
      </c>
      <c r="AQ433" s="152"/>
      <c r="AR433" s="162">
        <f t="shared" si="253"/>
        <v>5050.1460125007934</v>
      </c>
      <c r="AS433" s="150">
        <f t="shared" si="276"/>
        <v>0</v>
      </c>
      <c r="AT433" s="163">
        <f t="shared" si="254"/>
        <v>0</v>
      </c>
      <c r="AU433" s="163">
        <f t="shared" si="255"/>
        <v>1295.8625207927566</v>
      </c>
      <c r="AV433" s="163">
        <f t="shared" si="277"/>
        <v>14.677040137512503</v>
      </c>
      <c r="AW433" s="163">
        <f t="shared" si="256"/>
        <v>49.481809770542064</v>
      </c>
      <c r="AX433" s="163">
        <f t="shared" si="257"/>
        <v>0</v>
      </c>
      <c r="AY433" s="164">
        <f t="shared" si="278"/>
        <v>3818.4423416160912</v>
      </c>
      <c r="AZ433" s="164">
        <f>IF($E433="","",IF(OR(AND($D433=Input!$C$6,$C433=12),$AN433=1),0,-AS434+AT434+AU434-AV434-AW434-AX434+AZ434))</f>
        <v>3818.4459367087093</v>
      </c>
      <c r="BA433" s="154">
        <f t="shared" si="258"/>
        <v>3.5950926180703391E-3</v>
      </c>
      <c r="BC433" s="147">
        <f t="shared" si="279"/>
        <v>8.5120577189305349E-3</v>
      </c>
      <c r="BD433" s="164">
        <f>IF(AND($C432=12,$D432=Input!$C$6),0,IF($E433="","",AT433+(AU433+BD434)/(1+$AK433)*MIN((1-AM433-AN433),1)))</f>
        <v>3564.3802144278898</v>
      </c>
      <c r="BE433" s="164">
        <f t="shared" si="259"/>
        <v>30.340210117424196</v>
      </c>
      <c r="BF433" s="164">
        <f t="shared" si="280"/>
        <v>3818.4459367087093</v>
      </c>
      <c r="BG433" s="164">
        <f t="shared" si="260"/>
        <v>32.502832209880303</v>
      </c>
      <c r="BH433" s="152"/>
      <c r="BI433" s="162">
        <f t="shared" si="261"/>
        <v>-1022.0709480834309</v>
      </c>
      <c r="BJ433" s="150">
        <f t="shared" si="262"/>
        <v>0</v>
      </c>
      <c r="BK433" s="163">
        <f t="shared" si="284"/>
        <v>0</v>
      </c>
      <c r="BL433" s="163">
        <f t="shared" si="263"/>
        <v>887.45334871025432</v>
      </c>
      <c r="BM433" s="163">
        <f t="shared" si="285"/>
        <v>-5.4158534941148151</v>
      </c>
      <c r="BN433" s="163">
        <f t="shared" si="264"/>
        <v>-17.146339423252037</v>
      </c>
      <c r="BO433" s="163">
        <f t="shared" si="265"/>
        <v>0</v>
      </c>
      <c r="BP433" s="164">
        <f t="shared" si="286"/>
        <v>-1932.0864897110521</v>
      </c>
      <c r="BQ433" s="164">
        <f>IF($E433="","",IF(AND($D433=Input!$C$6,$C433=12),0,-BJ434+BK434+BL434-BM434-BN434-BO434+BQ434))</f>
        <v>-1932.0834664910556</v>
      </c>
      <c r="BR433" s="161">
        <f t="shared" si="266"/>
        <v>0</v>
      </c>
      <c r="BT433" s="147">
        <f t="shared" si="267"/>
        <v>8.5120577189305349E-3</v>
      </c>
      <c r="BU433" s="164">
        <f>IF(AND($C432=12,$D432=Input!$C$6),0,IF($E433="","",BK433+(BL433+BU434)/(1+$AK433)*MIN((1-T433-U433),1)))</f>
        <v>50893.983749220315</v>
      </c>
      <c r="BV433" s="164">
        <f t="shared" si="268"/>
        <v>433.21252721967596</v>
      </c>
      <c r="BW433" s="164">
        <f t="shared" si="269"/>
        <v>-1932.0834664910556</v>
      </c>
      <c r="BX433" s="164">
        <f t="shared" si="270"/>
        <v>-16.446005984563254</v>
      </c>
    </row>
    <row r="434" spans="1:76" s="150" customFormat="1" x14ac:dyDescent="0.25">
      <c r="A434" s="150">
        <f t="shared" si="281"/>
        <v>430</v>
      </c>
      <c r="B434" s="150">
        <f t="shared" si="282"/>
        <v>36</v>
      </c>
      <c r="C434" s="150">
        <f t="shared" si="283"/>
        <v>10</v>
      </c>
      <c r="D434" s="150">
        <f>IF(E434="","",Input!$C$4+B434-1)</f>
        <v>80</v>
      </c>
      <c r="E434" s="150">
        <f>IF(OR(AND(C433=12,D433=Input!$C$6),E433=""),"",1)</f>
        <v>1</v>
      </c>
      <c r="F434" s="150">
        <f>IF(E434="","",Input!$C$8+B434-1)</f>
        <v>2053</v>
      </c>
      <c r="G434" s="151">
        <f>IF(E434="","",MAX(0,Input!$C$9-B434))</f>
        <v>0</v>
      </c>
      <c r="H434" s="152">
        <f>IF(E434="","",Input!$C$3)</f>
        <v>100000</v>
      </c>
      <c r="I434" s="153">
        <f>IF(E434="","",HLOOKUP($B434,Input!$C$13:$BT$14,2))</f>
        <v>107.01600000000001</v>
      </c>
      <c r="J434" s="154"/>
      <c r="K434" s="155">
        <f>IF($E434="","",INDEX(Input!$C$16:$CP$16,1,$B434))</f>
        <v>3.0249999999999999E-2</v>
      </c>
      <c r="L434" s="155">
        <f>IF($E434="","",Input!$C$37)</f>
        <v>1.4999999999999999E-2</v>
      </c>
      <c r="M434" s="155">
        <f t="shared" si="246"/>
        <v>4.5249999999999999E-2</v>
      </c>
      <c r="N434" s="155">
        <f t="shared" si="247"/>
        <v>3.6948166726487042E-3</v>
      </c>
      <c r="O434" s="147">
        <f>IF($E434="","",MIN(VLOOKUP(IF($B434&lt;=Input!$C$7,$B434,26),'Mortality Tables'!$A$41:$CW$67,IF($B434&lt;=Input!$C$7+1,Input!$C$4+2,$D434-Input!$C$7+2),0)*IF(B434&gt;20,Input!$C$22,1)/1000,1))</f>
        <v>0.1209016</v>
      </c>
      <c r="P434" s="147">
        <f>IF($E434="","",MIN(VLOOKUP(IF($B434&lt;=Input!$C$7,$B434,26),'Mortality Tables'!$A$12:$CW$37,IF($B434&lt;=Input!$C$7+1,Input!$C$4+2,$D434-Input!$C$7+2),0)*IF(B434&gt;20,Input!$C$22,1)/1000,1))</f>
        <v>0.15112700000000001</v>
      </c>
      <c r="Q434" s="155">
        <f>IF($E434="","",Input!$C$21)</f>
        <v>5.0000000000000001E-3</v>
      </c>
      <c r="R434" s="159">
        <f>IF($E434="","",(1-Q434)^($F434-Input!$C$20))</f>
        <v>0.83908861037057969</v>
      </c>
      <c r="S434" s="147">
        <f t="shared" si="249"/>
        <v>0.10144715553557968</v>
      </c>
      <c r="T434" s="147">
        <f t="shared" si="250"/>
        <v>8.8745334871025428E-3</v>
      </c>
      <c r="U434" s="160">
        <f>IF($E434="","",IF($C434=12,INDEX(Input!$C$15:$CP$15,1,$B434),0))</f>
        <v>0</v>
      </c>
      <c r="V434" s="150">
        <f>IF(E434="","",IF(C434=1,IF($B434=1,Input!$C$33,Input!$C$34),0))</f>
        <v>0</v>
      </c>
      <c r="W434" s="156">
        <f>IF($E434="","",Input!$C$35)</f>
        <v>0.02</v>
      </c>
      <c r="X434" s="156">
        <f t="shared" si="248"/>
        <v>1.9998895526624565</v>
      </c>
      <c r="Y434" s="154"/>
      <c r="Z434" s="147">
        <f>IF($E434="","",VLOOKUP($D434,'Mortality Margins &amp; Grading'!$AB$5:$AF$125,3,0)*IF(Summary!$D$25="Included Margin",IF(AND($B434&gt;Input!$C$9,Summary!$D$31&lt;&gt;"Included Margin"),0,1),0))</f>
        <v>2.5999999999999999E-2</v>
      </c>
      <c r="AA434" s="147">
        <f>IF($E434="","",VLOOKUP($D434,'Mortality Margins &amp; Grading'!$AB$5:$AF$125,5,0)*IF(Summary!$D$25="Included Margin",IF(AND($B434&gt;Input!$C$9,Summary!$D$31&lt;&gt;"Included Margin"),0,1),0))</f>
        <v>0.13600000000000001</v>
      </c>
      <c r="AB434" s="147">
        <f>IF($E434="","",IF(AND($B434&gt;Input!$C$9,Summary!$D$31&lt;&gt;"Included Margin"),1,IF(Summary!$D$25="Included Margin",VLOOKUP($B434,'Mortality Margins &amp; Grading'!$AI$5:$AR$125,MATCH('Mortality Margins &amp; Grading'!$AQ$4,'Mortality Margins &amp; Grading'!$AI$4:$AR$4,0),0),1)))</f>
        <v>0.5625</v>
      </c>
      <c r="AC434" s="154"/>
      <c r="AD434" s="158">
        <f>IF(E434="","",Input!$C$48*IF(Summary!$D$30="Included Margin",IF(AND($B434&gt;Input!$C$9,Summary!$D$31&lt;&gt;"Included Margin"),0,1),0))</f>
        <v>-4.4999999999999997E-3</v>
      </c>
      <c r="AE434" s="159">
        <f>IF(E434="","",IF(Summary!$D$26="Included Margin",IF(AND($B434&gt;Input!$C$9,Summary!$D$31&lt;&gt;"Included Margin"),1,1/$R434),1))</f>
        <v>1.1917692453939455</v>
      </c>
      <c r="AF434" s="160">
        <f>IF(E434="","",IF(AND($B434&gt;=Input!$C$9,$C434=12,Summary!$D$31="Included Margin",$U434&gt;0),1/U434-1,IF($B434&gt;=Input!$C$9,0,Input!$C$45*IF(Summary!$D$27="Included Margin",1,0))))</f>
        <v>0</v>
      </c>
      <c r="AG434" s="160">
        <f>IF(E434="","",Input!$C$46*IF(Summary!$D$28="Included Margin",IF(AND($B434&gt;Input!$C$9,Summary!$D$31&lt;&gt;"Included Margin"),0,1),0))</f>
        <v>0.02</v>
      </c>
      <c r="AH434" s="158">
        <f>IF(E434="","",Input!$C$47*IF(Summary!$D$29="Included Margin",IF(AND($B434&gt;Input!$C$9,Summary!$D$31&lt;&gt;"Included Margin"),0,1),0))</f>
        <v>2.5000000000000001E-3</v>
      </c>
      <c r="AI434" s="154"/>
      <c r="AJ434" s="158">
        <f t="shared" si="271"/>
        <v>4.0750000000000001E-2</v>
      </c>
      <c r="AK434" s="155">
        <f t="shared" si="272"/>
        <v>3.3340127558512123E-3</v>
      </c>
      <c r="AL434" s="147">
        <f t="shared" si="273"/>
        <v>0.14488545490000002</v>
      </c>
      <c r="AM434" s="147">
        <f t="shared" si="251"/>
        <v>1.2958625207927565E-2</v>
      </c>
      <c r="AN434" s="160">
        <f t="shared" si="274"/>
        <v>0</v>
      </c>
      <c r="AO434" s="161">
        <f t="shared" si="275"/>
        <v>0</v>
      </c>
      <c r="AP434" s="156">
        <f t="shared" si="252"/>
        <v>2.1787935642511265</v>
      </c>
      <c r="AQ434" s="152"/>
      <c r="AR434" s="162">
        <f t="shared" si="253"/>
        <v>3818.4423416160917</v>
      </c>
      <c r="AS434" s="150">
        <f t="shared" si="276"/>
        <v>0</v>
      </c>
      <c r="AT434" s="163">
        <f t="shared" si="254"/>
        <v>0</v>
      </c>
      <c r="AU434" s="163">
        <f t="shared" si="255"/>
        <v>1295.8625207927566</v>
      </c>
      <c r="AV434" s="163">
        <f t="shared" si="277"/>
        <v>10.570524387354144</v>
      </c>
      <c r="AW434" s="163">
        <f t="shared" si="256"/>
        <v>33.2571595727591</v>
      </c>
      <c r="AX434" s="163">
        <f t="shared" si="257"/>
        <v>0</v>
      </c>
      <c r="AY434" s="165">
        <f t="shared" si="278"/>
        <v>2566.4075047834481</v>
      </c>
      <c r="AZ434" s="164">
        <f>IF($E434="","",IF(OR(AND($D434=Input!$C$6,$C434=12),$AN434=1),0,-AS435+AT435+AU435-AV435-AW435-AX435+AZ435))</f>
        <v>2566.4110998760661</v>
      </c>
      <c r="BA434" s="154">
        <f t="shared" si="258"/>
        <v>3.5950926180703391E-3</v>
      </c>
      <c r="BC434" s="147">
        <f t="shared" si="279"/>
        <v>8.4365171776597369E-3</v>
      </c>
      <c r="BD434" s="164">
        <f>IF(AND($C433=12,$D433=Input!$C$6),0,IF($E434="","",AT434+(AU434+BD435)/(1+$AK434)*MIN((1-AM434-AN434),1)))</f>
        <v>2327.3532783249475</v>
      </c>
      <c r="BE434" s="164">
        <f t="shared" si="259"/>
        <v>19.634755911071121</v>
      </c>
      <c r="BF434" s="164">
        <f t="shared" si="280"/>
        <v>2566.4110998760661</v>
      </c>
      <c r="BG434" s="164">
        <f t="shared" si="260"/>
        <v>21.651571329041051</v>
      </c>
      <c r="BH434" s="152"/>
      <c r="BI434" s="162">
        <f t="shared" si="261"/>
        <v>-1932.0864897110525</v>
      </c>
      <c r="BJ434" s="150">
        <f t="shared" si="262"/>
        <v>0</v>
      </c>
      <c r="BK434" s="163">
        <f t="shared" si="284"/>
        <v>0</v>
      </c>
      <c r="BL434" s="163">
        <f t="shared" si="263"/>
        <v>887.45334871025432</v>
      </c>
      <c r="BM434" s="163">
        <f t="shared" si="285"/>
        <v>-8.7781940896899915</v>
      </c>
      <c r="BN434" s="163">
        <f t="shared" si="264"/>
        <v>-25.324721349697146</v>
      </c>
      <c r="BO434" s="163">
        <f t="shared" si="265"/>
        <v>0</v>
      </c>
      <c r="BP434" s="164">
        <f t="shared" si="286"/>
        <v>-2853.6427538606936</v>
      </c>
      <c r="BQ434" s="164">
        <f>IF($E434="","",IF(AND($D434=Input!$C$6,$C434=12),0,-BJ435+BK435+BL435-BM435-BN435-BO435+BQ435))</f>
        <v>-2853.6397306406971</v>
      </c>
      <c r="BR434" s="161">
        <f t="shared" si="266"/>
        <v>0</v>
      </c>
      <c r="BT434" s="147">
        <f t="shared" si="267"/>
        <v>8.4365171776597369E-3</v>
      </c>
      <c r="BU434" s="164">
        <f>IF(AND($C433=12,$D433=Input!$C$6),0,IF($E434="","",BK434+(BL434+BU435)/(1+$AK434)*MIN((1-T434-U434),1)))</f>
        <v>50633.435444405841</v>
      </c>
      <c r="BV434" s="164">
        <f t="shared" si="268"/>
        <v>427.16984789065526</v>
      </c>
      <c r="BW434" s="164">
        <f t="shared" si="269"/>
        <v>-2853.6397306406971</v>
      </c>
      <c r="BX434" s="164">
        <f t="shared" si="270"/>
        <v>-24.074780606402545</v>
      </c>
    </row>
    <row r="435" spans="1:76" s="150" customFormat="1" x14ac:dyDescent="0.25">
      <c r="A435" s="150">
        <f t="shared" si="281"/>
        <v>431</v>
      </c>
      <c r="B435" s="150">
        <f t="shared" si="282"/>
        <v>36</v>
      </c>
      <c r="C435" s="150">
        <f t="shared" si="283"/>
        <v>11</v>
      </c>
      <c r="D435" s="150">
        <f>IF(E435="","",Input!$C$4+B435-1)</f>
        <v>80</v>
      </c>
      <c r="E435" s="150">
        <f>IF(OR(AND(C434=12,D434=Input!$C$6),E434=""),"",1)</f>
        <v>1</v>
      </c>
      <c r="F435" s="150">
        <f>IF(E435="","",Input!$C$8+B435-1)</f>
        <v>2053</v>
      </c>
      <c r="G435" s="151">
        <f>IF(E435="","",MAX(0,Input!$C$9-B435))</f>
        <v>0</v>
      </c>
      <c r="H435" s="152">
        <f>IF(E435="","",Input!$C$3)</f>
        <v>100000</v>
      </c>
      <c r="I435" s="153">
        <f>IF(E435="","",HLOOKUP($B435,Input!$C$13:$BT$14,2))</f>
        <v>107.01600000000001</v>
      </c>
      <c r="J435" s="154"/>
      <c r="K435" s="155">
        <f>IF($E435="","",INDEX(Input!$C$16:$CP$16,1,$B435))</f>
        <v>3.0249999999999999E-2</v>
      </c>
      <c r="L435" s="155">
        <f>IF($E435="","",Input!$C$37)</f>
        <v>1.4999999999999999E-2</v>
      </c>
      <c r="M435" s="155">
        <f t="shared" si="246"/>
        <v>4.5249999999999999E-2</v>
      </c>
      <c r="N435" s="155">
        <f t="shared" si="247"/>
        <v>3.6948166726487042E-3</v>
      </c>
      <c r="O435" s="147">
        <f>IF($E435="","",MIN(VLOOKUP(IF($B435&lt;=Input!$C$7,$B435,26),'Mortality Tables'!$A$41:$CW$67,IF($B435&lt;=Input!$C$7+1,Input!$C$4+2,$D435-Input!$C$7+2),0)*IF(B435&gt;20,Input!$C$22,1)/1000,1))</f>
        <v>0.1209016</v>
      </c>
      <c r="P435" s="147">
        <f>IF($E435="","",MIN(VLOOKUP(IF($B435&lt;=Input!$C$7,$B435,26),'Mortality Tables'!$A$12:$CW$37,IF($B435&lt;=Input!$C$7+1,Input!$C$4+2,$D435-Input!$C$7+2),0)*IF(B435&gt;20,Input!$C$22,1)/1000,1))</f>
        <v>0.15112700000000001</v>
      </c>
      <c r="Q435" s="155">
        <f>IF($E435="","",Input!$C$21)</f>
        <v>5.0000000000000001E-3</v>
      </c>
      <c r="R435" s="159">
        <f>IF($E435="","",(1-Q435)^($F435-Input!$C$20))</f>
        <v>0.83908861037057969</v>
      </c>
      <c r="S435" s="147">
        <f t="shared" si="249"/>
        <v>0.10144715553557968</v>
      </c>
      <c r="T435" s="147">
        <f t="shared" si="250"/>
        <v>8.8745334871025428E-3</v>
      </c>
      <c r="U435" s="160">
        <f>IF($E435="","",IF($C435=12,INDEX(Input!$C$15:$CP$15,1,$B435),0))</f>
        <v>0</v>
      </c>
      <c r="V435" s="150">
        <f>IF(E435="","",IF(C435=1,IF($B435=1,Input!$C$33,Input!$C$34),0))</f>
        <v>0</v>
      </c>
      <c r="W435" s="156">
        <f>IF($E435="","",Input!$C$35)</f>
        <v>0.02</v>
      </c>
      <c r="X435" s="156">
        <f t="shared" si="248"/>
        <v>1.9998895526624565</v>
      </c>
      <c r="Y435" s="154"/>
      <c r="Z435" s="147">
        <f>IF($E435="","",VLOOKUP($D435,'Mortality Margins &amp; Grading'!$AB$5:$AF$125,3,0)*IF(Summary!$D$25="Included Margin",IF(AND($B435&gt;Input!$C$9,Summary!$D$31&lt;&gt;"Included Margin"),0,1),0))</f>
        <v>2.5999999999999999E-2</v>
      </c>
      <c r="AA435" s="147">
        <f>IF($E435="","",VLOOKUP($D435,'Mortality Margins &amp; Grading'!$AB$5:$AF$125,5,0)*IF(Summary!$D$25="Included Margin",IF(AND($B435&gt;Input!$C$9,Summary!$D$31&lt;&gt;"Included Margin"),0,1),0))</f>
        <v>0.13600000000000001</v>
      </c>
      <c r="AB435" s="147">
        <f>IF($E435="","",IF(AND($B435&gt;Input!$C$9,Summary!$D$31&lt;&gt;"Included Margin"),1,IF(Summary!$D$25="Included Margin",VLOOKUP($B435,'Mortality Margins &amp; Grading'!$AI$5:$AR$125,MATCH('Mortality Margins &amp; Grading'!$AQ$4,'Mortality Margins &amp; Grading'!$AI$4:$AR$4,0),0),1)))</f>
        <v>0.5625</v>
      </c>
      <c r="AC435" s="154"/>
      <c r="AD435" s="158">
        <f>IF(E435="","",Input!$C$48*IF(Summary!$D$30="Included Margin",IF(AND($B435&gt;Input!$C$9,Summary!$D$31&lt;&gt;"Included Margin"),0,1),0))</f>
        <v>-4.4999999999999997E-3</v>
      </c>
      <c r="AE435" s="159">
        <f>IF(E435="","",IF(Summary!$D$26="Included Margin",IF(AND($B435&gt;Input!$C$9,Summary!$D$31&lt;&gt;"Included Margin"),1,1/$R435),1))</f>
        <v>1.1917692453939455</v>
      </c>
      <c r="AF435" s="160">
        <f>IF(E435="","",IF(AND($B435&gt;=Input!$C$9,$C435=12,Summary!$D$31="Included Margin",$U435&gt;0),1/U435-1,IF($B435&gt;=Input!$C$9,0,Input!$C$45*IF(Summary!$D$27="Included Margin",1,0))))</f>
        <v>0</v>
      </c>
      <c r="AG435" s="160">
        <f>IF(E435="","",Input!$C$46*IF(Summary!$D$28="Included Margin",IF(AND($B435&gt;Input!$C$9,Summary!$D$31&lt;&gt;"Included Margin"),0,1),0))</f>
        <v>0.02</v>
      </c>
      <c r="AH435" s="158">
        <f>IF(E435="","",Input!$C$47*IF(Summary!$D$29="Included Margin",IF(AND($B435&gt;Input!$C$9,Summary!$D$31&lt;&gt;"Included Margin"),0,1),0))</f>
        <v>2.5000000000000001E-3</v>
      </c>
      <c r="AI435" s="154"/>
      <c r="AJ435" s="158">
        <f t="shared" si="271"/>
        <v>4.0750000000000001E-2</v>
      </c>
      <c r="AK435" s="155">
        <f t="shared" si="272"/>
        <v>3.3340127558512123E-3</v>
      </c>
      <c r="AL435" s="147">
        <f t="shared" si="273"/>
        <v>0.14488545490000002</v>
      </c>
      <c r="AM435" s="147">
        <f t="shared" si="251"/>
        <v>1.2958625207927565E-2</v>
      </c>
      <c r="AN435" s="160">
        <f t="shared" si="274"/>
        <v>0</v>
      </c>
      <c r="AO435" s="161">
        <f t="shared" si="275"/>
        <v>0</v>
      </c>
      <c r="AP435" s="156">
        <f t="shared" si="252"/>
        <v>2.1787935642511265</v>
      </c>
      <c r="AQ435" s="152"/>
      <c r="AR435" s="162">
        <f t="shared" si="253"/>
        <v>2566.4075047834485</v>
      </c>
      <c r="AS435" s="150">
        <f t="shared" si="276"/>
        <v>0</v>
      </c>
      <c r="AT435" s="163">
        <f t="shared" si="254"/>
        <v>0</v>
      </c>
      <c r="AU435" s="163">
        <f t="shared" si="255"/>
        <v>1295.8625207927566</v>
      </c>
      <c r="AV435" s="163">
        <f t="shared" si="277"/>
        <v>6.3962242705840193</v>
      </c>
      <c r="AW435" s="163">
        <f t="shared" si="256"/>
        <v>16.764696537021781</v>
      </c>
      <c r="AX435" s="163">
        <f t="shared" si="257"/>
        <v>0</v>
      </c>
      <c r="AY435" s="164">
        <f t="shared" si="278"/>
        <v>1293.7059047982978</v>
      </c>
      <c r="AZ435" s="164">
        <f>IF($E435="","",IF(OR(AND($D435=Input!$C$6,$C435=12),$AN435=1),0,-AS436+AT436+AU436-AV436-AW436-AX436+AZ436))</f>
        <v>1293.7094998909154</v>
      </c>
      <c r="BA435" s="154">
        <f t="shared" si="258"/>
        <v>3.5950926176155917E-3</v>
      </c>
      <c r="BC435" s="147">
        <f t="shared" si="279"/>
        <v>8.3616470234520804E-3</v>
      </c>
      <c r="BD435" s="164">
        <f>IF(AND($C434=12,$D434=Input!$C$6),0,IF($E435="","",AT435+(AU435+BD436)/(1+$AK435)*MIN((1-AM435-AN435),1)))</f>
        <v>1069.907307583652</v>
      </c>
      <c r="BE435" s="164">
        <f t="shared" si="259"/>
        <v>8.9461872538264728</v>
      </c>
      <c r="BF435" s="164">
        <f t="shared" si="280"/>
        <v>1293.7094998909154</v>
      </c>
      <c r="BG435" s="164">
        <f t="shared" si="260"/>
        <v>10.817542188974551</v>
      </c>
      <c r="BH435" s="152"/>
      <c r="BI435" s="162">
        <f t="shared" si="261"/>
        <v>-2853.642753860694</v>
      </c>
      <c r="BJ435" s="150">
        <f t="shared" si="262"/>
        <v>0</v>
      </c>
      <c r="BK435" s="163">
        <f t="shared" si="284"/>
        <v>0</v>
      </c>
      <c r="BL435" s="163">
        <f t="shared" si="263"/>
        <v>887.45334871025432</v>
      </c>
      <c r="BM435" s="163">
        <f t="shared" si="285"/>
        <v>-12.183175539253941</v>
      </c>
      <c r="BN435" s="163">
        <f t="shared" si="264"/>
        <v>-33.606820665763316</v>
      </c>
      <c r="BO435" s="163">
        <f t="shared" si="265"/>
        <v>0</v>
      </c>
      <c r="BP435" s="164">
        <f t="shared" si="286"/>
        <v>-3786.8860987759658</v>
      </c>
      <c r="BQ435" s="164">
        <f>IF($E435="","",IF(AND($D435=Input!$C$6,$C435=12),0,-BJ436+BK436+BL436-BM436-BN436-BO436+BQ436))</f>
        <v>-3786.8830755559688</v>
      </c>
      <c r="BR435" s="161">
        <f t="shared" si="266"/>
        <v>0</v>
      </c>
      <c r="BT435" s="147">
        <f t="shared" si="267"/>
        <v>8.3616470234520804E-3</v>
      </c>
      <c r="BU435" s="164">
        <f>IF(AND($C434=12,$D434=Input!$C$6),0,IF($E435="","",BK435+(BL435+BU436)/(1+$AK435)*MIN((1-T435-U435),1)))</f>
        <v>50369.67774165405</v>
      </c>
      <c r="BV435" s="164">
        <f t="shared" si="268"/>
        <v>421.17346596074208</v>
      </c>
      <c r="BW435" s="164">
        <f t="shared" si="269"/>
        <v>-3786.8830755559688</v>
      </c>
      <c r="BX435" s="164">
        <f t="shared" si="270"/>
        <v>-31.664579596883627</v>
      </c>
    </row>
    <row r="436" spans="1:76" s="150" customFormat="1" x14ac:dyDescent="0.25">
      <c r="A436" s="150">
        <f t="shared" si="281"/>
        <v>432</v>
      </c>
      <c r="B436" s="150">
        <f t="shared" si="282"/>
        <v>36</v>
      </c>
      <c r="C436" s="150">
        <f t="shared" si="283"/>
        <v>12</v>
      </c>
      <c r="D436" s="150">
        <f>IF(E436="","",Input!$C$4+B436-1)</f>
        <v>80</v>
      </c>
      <c r="E436" s="150">
        <f>IF(OR(AND(C435=12,D435=Input!$C$6),E435=""),"",1)</f>
        <v>1</v>
      </c>
      <c r="F436" s="150">
        <f>IF(E436="","",Input!$C$8+B436-1)</f>
        <v>2053</v>
      </c>
      <c r="G436" s="151">
        <f>IF(E436="","",MAX(0,Input!$C$9-B436))</f>
        <v>0</v>
      </c>
      <c r="H436" s="152">
        <f>IF(E436="","",Input!$C$3)</f>
        <v>100000</v>
      </c>
      <c r="I436" s="153">
        <f>IF(E436="","",HLOOKUP($B436,Input!$C$13:$BT$14,2))</f>
        <v>107.01600000000001</v>
      </c>
      <c r="J436" s="154"/>
      <c r="K436" s="155">
        <f>IF($E436="","",INDEX(Input!$C$16:$CP$16,1,$B436))</f>
        <v>3.0249999999999999E-2</v>
      </c>
      <c r="L436" s="155">
        <f>IF($E436="","",Input!$C$37)</f>
        <v>1.4999999999999999E-2</v>
      </c>
      <c r="M436" s="155">
        <f t="shared" si="246"/>
        <v>4.5249999999999999E-2</v>
      </c>
      <c r="N436" s="155">
        <f t="shared" si="247"/>
        <v>3.6948166726487042E-3</v>
      </c>
      <c r="O436" s="147">
        <f>IF($E436="","",MIN(VLOOKUP(IF($B436&lt;=Input!$C$7,$B436,26),'Mortality Tables'!$A$41:$CW$67,IF($B436&lt;=Input!$C$7+1,Input!$C$4+2,$D436-Input!$C$7+2),0)*IF(B436&gt;20,Input!$C$22,1)/1000,1))</f>
        <v>0.1209016</v>
      </c>
      <c r="P436" s="147">
        <f>IF($E436="","",MIN(VLOOKUP(IF($B436&lt;=Input!$C$7,$B436,26),'Mortality Tables'!$A$12:$CW$37,IF($B436&lt;=Input!$C$7+1,Input!$C$4+2,$D436-Input!$C$7+2),0)*IF(B436&gt;20,Input!$C$22,1)/1000,1))</f>
        <v>0.15112700000000001</v>
      </c>
      <c r="Q436" s="155">
        <f>IF($E436="","",Input!$C$21)</f>
        <v>5.0000000000000001E-3</v>
      </c>
      <c r="R436" s="159">
        <f>IF($E436="","",(1-Q436)^($F436-Input!$C$20))</f>
        <v>0.83908861037057969</v>
      </c>
      <c r="S436" s="147">
        <f t="shared" si="249"/>
        <v>0.10144715553557968</v>
      </c>
      <c r="T436" s="147">
        <f t="shared" si="250"/>
        <v>8.8745334871025428E-3</v>
      </c>
      <c r="U436" s="160">
        <f>IF($E436="","",IF($C436=12,INDEX(Input!$C$15:$CP$15,1,$B436),0))</f>
        <v>0.1</v>
      </c>
      <c r="V436" s="150">
        <f>IF(E436="","",IF(C436=1,IF($B436=1,Input!$C$33,Input!$C$34),0))</f>
        <v>0</v>
      </c>
      <c r="W436" s="156">
        <f>IF($E436="","",Input!$C$35)</f>
        <v>0.02</v>
      </c>
      <c r="X436" s="156">
        <f t="shared" si="248"/>
        <v>1.9998895526624565</v>
      </c>
      <c r="Y436" s="154"/>
      <c r="Z436" s="147">
        <f>IF($E436="","",VLOOKUP($D436,'Mortality Margins &amp; Grading'!$AB$5:$AF$125,3,0)*IF(Summary!$D$25="Included Margin",IF(AND($B436&gt;Input!$C$9,Summary!$D$31&lt;&gt;"Included Margin"),0,1),0))</f>
        <v>2.5999999999999999E-2</v>
      </c>
      <c r="AA436" s="147">
        <f>IF($E436="","",VLOOKUP($D436,'Mortality Margins &amp; Grading'!$AB$5:$AF$125,5,0)*IF(Summary!$D$25="Included Margin",IF(AND($B436&gt;Input!$C$9,Summary!$D$31&lt;&gt;"Included Margin"),0,1),0))</f>
        <v>0.13600000000000001</v>
      </c>
      <c r="AB436" s="147">
        <f>IF($E436="","",IF(AND($B436&gt;Input!$C$9,Summary!$D$31&lt;&gt;"Included Margin"),1,IF(Summary!$D$25="Included Margin",VLOOKUP($B436,'Mortality Margins &amp; Grading'!$AI$5:$AR$125,MATCH('Mortality Margins &amp; Grading'!$AQ$4,'Mortality Margins &amp; Grading'!$AI$4:$AR$4,0),0),1)))</f>
        <v>0.5625</v>
      </c>
      <c r="AC436" s="154"/>
      <c r="AD436" s="158">
        <f>IF(E436="","",Input!$C$48*IF(Summary!$D$30="Included Margin",IF(AND($B436&gt;Input!$C$9,Summary!$D$31&lt;&gt;"Included Margin"),0,1),0))</f>
        <v>-4.4999999999999997E-3</v>
      </c>
      <c r="AE436" s="159">
        <f>IF(E436="","",IF(Summary!$D$26="Included Margin",IF(AND($B436&gt;Input!$C$9,Summary!$D$31&lt;&gt;"Included Margin"),1,1/$R436),1))</f>
        <v>1.1917692453939455</v>
      </c>
      <c r="AF436" s="160">
        <f>IF(E436="","",IF(AND($B436&gt;=Input!$C$9,$C436=12,Summary!$D$31="Included Margin",$U436&gt;0),1/U436-1,IF($B436&gt;=Input!$C$9,0,Input!$C$45*IF(Summary!$D$27="Included Margin",1,0))))</f>
        <v>9</v>
      </c>
      <c r="AG436" s="160">
        <f>IF(E436="","",Input!$C$46*IF(Summary!$D$28="Included Margin",IF(AND($B436&gt;Input!$C$9,Summary!$D$31&lt;&gt;"Included Margin"),0,1),0))</f>
        <v>0.02</v>
      </c>
      <c r="AH436" s="158">
        <f>IF(E436="","",Input!$C$47*IF(Summary!$D$29="Included Margin",IF(AND($B436&gt;Input!$C$9,Summary!$D$31&lt;&gt;"Included Margin"),0,1),0))</f>
        <v>2.5000000000000001E-3</v>
      </c>
      <c r="AI436" s="154"/>
      <c r="AJ436" s="158">
        <f t="shared" si="271"/>
        <v>4.0750000000000001E-2</v>
      </c>
      <c r="AK436" s="155">
        <f t="shared" si="272"/>
        <v>3.3340127558512123E-3</v>
      </c>
      <c r="AL436" s="147">
        <f t="shared" si="273"/>
        <v>0.14488545490000002</v>
      </c>
      <c r="AM436" s="147">
        <f t="shared" si="251"/>
        <v>1.2958625207927565E-2</v>
      </c>
      <c r="AN436" s="160">
        <f t="shared" si="274"/>
        <v>1</v>
      </c>
      <c r="AO436" s="161">
        <f t="shared" si="275"/>
        <v>0</v>
      </c>
      <c r="AP436" s="156">
        <f t="shared" si="252"/>
        <v>2.1787935642511265</v>
      </c>
      <c r="AQ436" s="152"/>
      <c r="AR436" s="162">
        <f t="shared" si="253"/>
        <v>1293.7059047982978</v>
      </c>
      <c r="AS436" s="150">
        <f t="shared" si="276"/>
        <v>0</v>
      </c>
      <c r="AT436" s="163">
        <f t="shared" si="254"/>
        <v>0</v>
      </c>
      <c r="AU436" s="163">
        <f t="shared" si="255"/>
        <v>1295.8625207927566</v>
      </c>
      <c r="AV436" s="163">
        <f t="shared" si="277"/>
        <v>2.15302090184128</v>
      </c>
      <c r="AW436" s="163">
        <f t="shared" si="256"/>
        <v>0</v>
      </c>
      <c r="AX436" s="163">
        <f t="shared" si="257"/>
        <v>0</v>
      </c>
      <c r="AY436" s="165">
        <f t="shared" si="278"/>
        <v>-3.5950926176089304E-3</v>
      </c>
      <c r="AZ436" s="164">
        <f>IF($E436="","",IF(OR(AND($D436=Input!$C$6,$C436=12),$AN436=1),0,-AS437+AT437+AU437-AV437-AW437-AX437+AZ437))</f>
        <v>0</v>
      </c>
      <c r="BA436" s="154">
        <f t="shared" si="258"/>
        <v>3.5950926176089304E-3</v>
      </c>
      <c r="BC436" s="147">
        <f t="shared" si="279"/>
        <v>7.4512766045899161E-3</v>
      </c>
      <c r="BD436" s="164">
        <f>IF(AND($C435=12,$D435=Input!$C$6),0,IF($E436="","",AT436+(AU436+BD437)/(1+$AK436)*MIN((1-AM436-AN436),1)))</f>
        <v>-208.29474540861978</v>
      </c>
      <c r="BE436" s="164">
        <f t="shared" si="259"/>
        <v>-1.5520617633222613</v>
      </c>
      <c r="BF436" s="164">
        <f t="shared" si="280"/>
        <v>0</v>
      </c>
      <c r="BG436" s="164">
        <f t="shared" si="260"/>
        <v>0</v>
      </c>
      <c r="BH436" s="152"/>
      <c r="BI436" s="162">
        <f t="shared" si="261"/>
        <v>-3786.8860987759663</v>
      </c>
      <c r="BJ436" s="150">
        <f t="shared" si="262"/>
        <v>0</v>
      </c>
      <c r="BK436" s="163">
        <f t="shared" si="284"/>
        <v>0</v>
      </c>
      <c r="BL436" s="163">
        <f t="shared" si="263"/>
        <v>887.45334871025432</v>
      </c>
      <c r="BM436" s="163">
        <f t="shared" si="285"/>
        <v>-15.631338609685335</v>
      </c>
      <c r="BN436" s="163">
        <f t="shared" si="264"/>
        <v>-46.659947449562758</v>
      </c>
      <c r="BO436" s="163">
        <f t="shared" si="265"/>
        <v>-521.10752920843436</v>
      </c>
      <c r="BP436" s="164">
        <f t="shared" si="286"/>
        <v>-5257.7382627539027</v>
      </c>
      <c r="BQ436" s="164">
        <f>IF($E436="","",IF(AND($D436=Input!$C$6,$C436=12),0,-BJ437+BK437+BL437-BM437-BN437-BO437+BQ437))</f>
        <v>-5257.7352395339058</v>
      </c>
      <c r="BR436" s="161">
        <f t="shared" si="266"/>
        <v>0</v>
      </c>
      <c r="BT436" s="147">
        <f t="shared" si="267"/>
        <v>7.4512766045899161E-3</v>
      </c>
      <c r="BU436" s="164">
        <f>IF(AND($C435=12,$D435=Input!$C$6),0,IF($E436="","",BK436+(BL436+BU437)/(1+$AK436)*MIN((1-T436-U436),1)))</f>
        <v>50102.671108045593</v>
      </c>
      <c r="BV436" s="164">
        <f t="shared" si="268"/>
        <v>373.32886105484323</v>
      </c>
      <c r="BW436" s="164">
        <f t="shared" si="269"/>
        <v>-5257.7352395339058</v>
      </c>
      <c r="BX436" s="164">
        <f t="shared" si="270"/>
        <v>-39.176839583466951</v>
      </c>
    </row>
    <row r="437" spans="1:76" s="150" customFormat="1" x14ac:dyDescent="0.25">
      <c r="A437" s="150">
        <f t="shared" si="281"/>
        <v>433</v>
      </c>
      <c r="B437" s="150">
        <f t="shared" si="282"/>
        <v>37</v>
      </c>
      <c r="C437" s="150">
        <f t="shared" si="283"/>
        <v>1</v>
      </c>
      <c r="D437" s="150">
        <f>IF(E437="","",Input!$C$4+B437-1)</f>
        <v>81</v>
      </c>
      <c r="E437" s="150">
        <f>IF(OR(AND(C436=12,D436=Input!$C$6),E436=""),"",1)</f>
        <v>1</v>
      </c>
      <c r="F437" s="150">
        <f>IF(E437="","",Input!$C$8+B437-1)</f>
        <v>2054</v>
      </c>
      <c r="G437" s="151">
        <f>IF(E437="","",MAX(0,Input!$C$9-B437))</f>
        <v>0</v>
      </c>
      <c r="H437" s="152">
        <f>IF(E437="","",Input!$C$3)</f>
        <v>100000</v>
      </c>
      <c r="I437" s="153">
        <f>IF(E437="","",HLOOKUP($B437,Input!$C$13:$BT$14,2))</f>
        <v>121.17700000000001</v>
      </c>
      <c r="J437" s="154"/>
      <c r="K437" s="155">
        <f>IF($E437="","",INDEX(Input!$C$16:$CP$16,1,$B437))</f>
        <v>3.0499999999999999E-2</v>
      </c>
      <c r="L437" s="155">
        <f>IF($E437="","",Input!$C$37)</f>
        <v>1.4999999999999999E-2</v>
      </c>
      <c r="M437" s="155">
        <f t="shared" ref="M437:M500" si="287">IF($E437="","",K437+L437)</f>
        <v>4.5499999999999999E-2</v>
      </c>
      <c r="N437" s="155">
        <f t="shared" ref="N437:N500" si="288">IF($E437="","",(1+M437)^(1/12)-1)</f>
        <v>3.7148195588312394E-3</v>
      </c>
      <c r="O437" s="147">
        <f>IF($E437="","",MIN(VLOOKUP(IF($B437&lt;=Input!$C$7,$B437,26),'Mortality Tables'!$A$41:$CW$67,IF($B437&lt;=Input!$C$7+1,Input!$C$4+2,$D437-Input!$C$7+2),0)*IF(B437&gt;20,Input!$C$22,1)/1000,1))</f>
        <v>0.13701760000000002</v>
      </c>
      <c r="P437" s="147">
        <f>IF($E437="","",MIN(VLOOKUP(IF($B437&lt;=Input!$C$7,$B437,26),'Mortality Tables'!$A$12:$CW$37,IF($B437&lt;=Input!$C$7+1,Input!$C$4+2,$D437-Input!$C$7+2),0)*IF(B437&gt;20,Input!$C$22,1)/1000,1))</f>
        <v>0.17127199999999998</v>
      </c>
      <c r="Q437" s="155">
        <f>IF($E437="","",Input!$C$21)</f>
        <v>5.0000000000000001E-3</v>
      </c>
      <c r="R437" s="159">
        <f>IF($E437="","",(1-Q437)^($F437-Input!$C$20))</f>
        <v>0.83489316731872676</v>
      </c>
      <c r="S437" s="147">
        <f t="shared" si="249"/>
        <v>0.11439505804241039</v>
      </c>
      <c r="T437" s="147">
        <f t="shared" si="250"/>
        <v>1.0072621014792116E-2</v>
      </c>
      <c r="U437" s="160">
        <f>IF($E437="","",IF($C437=12,INDEX(Input!$C$15:$CP$15,1,$B437),0))</f>
        <v>0</v>
      </c>
      <c r="V437" s="150">
        <f>IF(E437="","",IF(C437=1,IF($B437=1,Input!$C$33,Input!$C$34),0))</f>
        <v>50</v>
      </c>
      <c r="W437" s="156">
        <f>IF($E437="","",Input!$C$35)</f>
        <v>0.02</v>
      </c>
      <c r="X437" s="156">
        <f t="shared" ref="X437:X500" si="289">IF($E437="","",IF(B437=1,1,IF(C437=1,(1+W437)*X436,X436)))</f>
        <v>2.0398873437157055</v>
      </c>
      <c r="Y437" s="154"/>
      <c r="Z437" s="147">
        <f>IF($E437="","",VLOOKUP($D437,'Mortality Margins &amp; Grading'!$AB$5:$AF$125,3,0)*IF(Summary!$D$25="Included Margin",IF(AND($B437&gt;Input!$C$9,Summary!$D$31&lt;&gt;"Included Margin"),0,1),0))</f>
        <v>2.5999999999999999E-2</v>
      </c>
      <c r="AA437" s="147">
        <f>IF($E437="","",VLOOKUP($D437,'Mortality Margins &amp; Grading'!$AB$5:$AF$125,5,0)*IF(Summary!$D$25="Included Margin",IF(AND($B437&gt;Input!$C$9,Summary!$D$31&lt;&gt;"Included Margin"),0,1),0))</f>
        <v>0.13600000000000001</v>
      </c>
      <c r="AB437" s="147">
        <f>IF($E437="","",IF(AND($B437&gt;Input!$C$9,Summary!$D$31&lt;&gt;"Included Margin"),1,IF(Summary!$D$25="Included Margin",VLOOKUP($B437,'Mortality Margins &amp; Grading'!$AI$5:$AR$125,MATCH('Mortality Margins &amp; Grading'!$AQ$4,'Mortality Margins &amp; Grading'!$AI$4:$AR$4,0),0),1)))</f>
        <v>0.5</v>
      </c>
      <c r="AC437" s="154"/>
      <c r="AD437" s="158">
        <f>IF(E437="","",Input!$C$48*IF(Summary!$D$30="Included Margin",IF(AND($B437&gt;Input!$C$9,Summary!$D$31&lt;&gt;"Included Margin"),0,1),0))</f>
        <v>-4.4999999999999997E-3</v>
      </c>
      <c r="AE437" s="159">
        <f>IF(E437="","",IF(Summary!$D$26="Included Margin",IF(AND($B437&gt;Input!$C$9,Summary!$D$31&lt;&gt;"Included Margin"),1,1/$R437),1))</f>
        <v>1.1977580355718045</v>
      </c>
      <c r="AF437" s="160">
        <f>IF(E437="","",IF(AND($B437&gt;=Input!$C$9,$C437=12,Summary!$D$31="Included Margin",$U437&gt;0),1/U437-1,IF($B437&gt;=Input!$C$9,0,Input!$C$45*IF(Summary!$D$27="Included Margin",1,0))))</f>
        <v>0</v>
      </c>
      <c r="AG437" s="160">
        <f>IF(E437="","",Input!$C$46*IF(Summary!$D$28="Included Margin",IF(AND($B437&gt;Input!$C$9,Summary!$D$31&lt;&gt;"Included Margin"),0,1),0))</f>
        <v>0.02</v>
      </c>
      <c r="AH437" s="158">
        <f>IF(E437="","",Input!$C$47*IF(Summary!$D$29="Included Margin",IF(AND($B437&gt;Input!$C$9,Summary!$D$31&lt;&gt;"Included Margin"),0,1),0))</f>
        <v>2.5000000000000001E-3</v>
      </c>
      <c r="AI437" s="154"/>
      <c r="AJ437" s="158">
        <f t="shared" si="271"/>
        <v>4.1000000000000002E-2</v>
      </c>
      <c r="AK437" s="155">
        <f t="shared" si="272"/>
        <v>3.3540948994528197E-3</v>
      </c>
      <c r="AL437" s="147">
        <f t="shared" si="273"/>
        <v>0.16757252480000001</v>
      </c>
      <c r="AM437" s="147">
        <f t="shared" si="251"/>
        <v>1.5167889125170753E-2</v>
      </c>
      <c r="AN437" s="160">
        <f t="shared" si="274"/>
        <v>0</v>
      </c>
      <c r="AO437" s="161">
        <f t="shared" si="275"/>
        <v>51</v>
      </c>
      <c r="AP437" s="156">
        <f t="shared" si="252"/>
        <v>2.2278164194467767</v>
      </c>
      <c r="AQ437" s="152"/>
      <c r="AR437" s="162">
        <f t="shared" si="253"/>
        <v>4430.9910877941156</v>
      </c>
      <c r="AS437" s="150">
        <f t="shared" si="276"/>
        <v>12117.7</v>
      </c>
      <c r="AT437" s="163">
        <f t="shared" si="254"/>
        <v>113.61863739178561</v>
      </c>
      <c r="AU437" s="163">
        <f t="shared" si="255"/>
        <v>1516.7889125170752</v>
      </c>
      <c r="AV437" s="163">
        <f t="shared" si="277"/>
        <v>52.581065700521954</v>
      </c>
      <c r="AW437" s="163">
        <f t="shared" si="256"/>
        <v>230.57379679725983</v>
      </c>
      <c r="AX437" s="163">
        <f t="shared" si="257"/>
        <v>0</v>
      </c>
      <c r="AY437" s="164">
        <f t="shared" si="278"/>
        <v>15201.438400383038</v>
      </c>
      <c r="AZ437" s="164">
        <f>IF($E437="","",IF(OR(AND($D437=Input!$C$6,$C437=12),$AN437=1),0,-AS438+AT438+AU438-AV438-AW438-AX438+AZ438))</f>
        <v>15201.442659191653</v>
      </c>
      <c r="BA437" s="154">
        <f t="shared" si="258"/>
        <v>4.2588086143950932E-3</v>
      </c>
      <c r="BC437" s="147">
        <f t="shared" si="279"/>
        <v>7.3762227192754951E-3</v>
      </c>
      <c r="BD437" s="164">
        <f>IF(AND($C436=12,$D436=Input!$C$6),0,IF($E437="","",AT437+(AU437+BD438)/(1+$AK437)*MIN((1-AM437-AN437),1)))</f>
        <v>14831.558358617949</v>
      </c>
      <c r="BE437" s="164">
        <f t="shared" si="259"/>
        <v>109.40087772709809</v>
      </c>
      <c r="BF437" s="164">
        <f t="shared" si="280"/>
        <v>15201.442659191653</v>
      </c>
      <c r="BG437" s="164">
        <f t="shared" si="260"/>
        <v>112.12922670849316</v>
      </c>
      <c r="BH437" s="152"/>
      <c r="BI437" s="162">
        <f t="shared" si="261"/>
        <v>-5257.7387081164552</v>
      </c>
      <c r="BJ437" s="150">
        <f t="shared" si="262"/>
        <v>12117.7</v>
      </c>
      <c r="BK437" s="163">
        <f t="shared" si="284"/>
        <v>101.99436718578528</v>
      </c>
      <c r="BL437" s="163">
        <f t="shared" si="263"/>
        <v>1007.2621014792115</v>
      </c>
      <c r="BM437" s="163">
        <f t="shared" si="285"/>
        <v>23.233729232079625</v>
      </c>
      <c r="BN437" s="163">
        <f t="shared" si="264"/>
        <v>58.750501273002051</v>
      </c>
      <c r="BO437" s="163">
        <f t="shared" si="265"/>
        <v>0</v>
      </c>
      <c r="BP437" s="164">
        <f t="shared" si="286"/>
        <v>5832.6890537236304</v>
      </c>
      <c r="BQ437" s="164">
        <f>IF($E437="","",IF(AND($D437=Input!$C$6,$C437=12),0,-BJ438+BK438+BL438-BM438-BN438-BO438+BQ438))</f>
        <v>5832.6925223061789</v>
      </c>
      <c r="BR437" s="161">
        <f t="shared" si="266"/>
        <v>0</v>
      </c>
      <c r="BT437" s="147">
        <f t="shared" si="267"/>
        <v>7.3762227192754951E-3</v>
      </c>
      <c r="BU437" s="164">
        <f>IF(AND($C436=12,$D436=Input!$C$6),0,IF($E437="","",BK437+(BL437+BU438)/(1+$AK437)*MIN((1-T437-U437),1)))</f>
        <v>55524.035203327971</v>
      </c>
      <c r="BV437" s="164">
        <f t="shared" si="268"/>
        <v>409.55764993264017</v>
      </c>
      <c r="BW437" s="164">
        <f t="shared" si="269"/>
        <v>5832.6925223061789</v>
      </c>
      <c r="BX437" s="164">
        <f t="shared" si="270"/>
        <v>43.023239097583129</v>
      </c>
    </row>
    <row r="438" spans="1:76" s="150" customFormat="1" x14ac:dyDescent="0.25">
      <c r="A438" s="150">
        <f t="shared" si="281"/>
        <v>434</v>
      </c>
      <c r="B438" s="150">
        <f t="shared" si="282"/>
        <v>37</v>
      </c>
      <c r="C438" s="150">
        <f t="shared" si="283"/>
        <v>2</v>
      </c>
      <c r="D438" s="150">
        <f>IF(E438="","",Input!$C$4+B438-1)</f>
        <v>81</v>
      </c>
      <c r="E438" s="150">
        <f>IF(OR(AND(C437=12,D437=Input!$C$6),E437=""),"",1)</f>
        <v>1</v>
      </c>
      <c r="F438" s="150">
        <f>IF(E438="","",Input!$C$8+B438-1)</f>
        <v>2054</v>
      </c>
      <c r="G438" s="151">
        <f>IF(E438="","",MAX(0,Input!$C$9-B438))</f>
        <v>0</v>
      </c>
      <c r="H438" s="152">
        <f>IF(E438="","",Input!$C$3)</f>
        <v>100000</v>
      </c>
      <c r="I438" s="153">
        <f>IF(E438="","",HLOOKUP($B438,Input!$C$13:$BT$14,2))</f>
        <v>121.17700000000001</v>
      </c>
      <c r="J438" s="154"/>
      <c r="K438" s="155">
        <f>IF($E438="","",INDEX(Input!$C$16:$CP$16,1,$B438))</f>
        <v>3.0499999999999999E-2</v>
      </c>
      <c r="L438" s="155">
        <f>IF($E438="","",Input!$C$37)</f>
        <v>1.4999999999999999E-2</v>
      </c>
      <c r="M438" s="155">
        <f t="shared" si="287"/>
        <v>4.5499999999999999E-2</v>
      </c>
      <c r="N438" s="155">
        <f t="shared" si="288"/>
        <v>3.7148195588312394E-3</v>
      </c>
      <c r="O438" s="147">
        <f>IF($E438="","",MIN(VLOOKUP(IF($B438&lt;=Input!$C$7,$B438,26),'Mortality Tables'!$A$41:$CW$67,IF($B438&lt;=Input!$C$7+1,Input!$C$4+2,$D438-Input!$C$7+2),0)*IF(B438&gt;20,Input!$C$22,1)/1000,1))</f>
        <v>0.13701760000000002</v>
      </c>
      <c r="P438" s="147">
        <f>IF($E438="","",MIN(VLOOKUP(IF($B438&lt;=Input!$C$7,$B438,26),'Mortality Tables'!$A$12:$CW$37,IF($B438&lt;=Input!$C$7+1,Input!$C$4+2,$D438-Input!$C$7+2),0)*IF(B438&gt;20,Input!$C$22,1)/1000,1))</f>
        <v>0.17127199999999998</v>
      </c>
      <c r="Q438" s="155">
        <f>IF($E438="","",Input!$C$21)</f>
        <v>5.0000000000000001E-3</v>
      </c>
      <c r="R438" s="159">
        <f>IF($E438="","",(1-Q438)^($F438-Input!$C$20))</f>
        <v>0.83489316731872676</v>
      </c>
      <c r="S438" s="147">
        <f t="shared" si="249"/>
        <v>0.11439505804241039</v>
      </c>
      <c r="T438" s="147">
        <f t="shared" si="250"/>
        <v>1.0072621014792116E-2</v>
      </c>
      <c r="U438" s="160">
        <f>IF($E438="","",IF($C438=12,INDEX(Input!$C$15:$CP$15,1,$B438),0))</f>
        <v>0</v>
      </c>
      <c r="V438" s="150">
        <f>IF(E438="","",IF(C438=1,IF($B438=1,Input!$C$33,Input!$C$34),0))</f>
        <v>0</v>
      </c>
      <c r="W438" s="156">
        <f>IF($E438="","",Input!$C$35)</f>
        <v>0.02</v>
      </c>
      <c r="X438" s="156">
        <f t="shared" si="289"/>
        <v>2.0398873437157055</v>
      </c>
      <c r="Y438" s="154"/>
      <c r="Z438" s="147">
        <f>IF($E438="","",VLOOKUP($D438,'Mortality Margins &amp; Grading'!$AB$5:$AF$125,3,0)*IF(Summary!$D$25="Included Margin",IF(AND($B438&gt;Input!$C$9,Summary!$D$31&lt;&gt;"Included Margin"),0,1),0))</f>
        <v>2.5999999999999999E-2</v>
      </c>
      <c r="AA438" s="147">
        <f>IF($E438="","",VLOOKUP($D438,'Mortality Margins &amp; Grading'!$AB$5:$AF$125,5,0)*IF(Summary!$D$25="Included Margin",IF(AND($B438&gt;Input!$C$9,Summary!$D$31&lt;&gt;"Included Margin"),0,1),0))</f>
        <v>0.13600000000000001</v>
      </c>
      <c r="AB438" s="147">
        <f>IF($E438="","",IF(AND($B438&gt;Input!$C$9,Summary!$D$31&lt;&gt;"Included Margin"),1,IF(Summary!$D$25="Included Margin",VLOOKUP($B438,'Mortality Margins &amp; Grading'!$AI$5:$AR$125,MATCH('Mortality Margins &amp; Grading'!$AQ$4,'Mortality Margins &amp; Grading'!$AI$4:$AR$4,0),0),1)))</f>
        <v>0.5</v>
      </c>
      <c r="AC438" s="154"/>
      <c r="AD438" s="158">
        <f>IF(E438="","",Input!$C$48*IF(Summary!$D$30="Included Margin",IF(AND($B438&gt;Input!$C$9,Summary!$D$31&lt;&gt;"Included Margin"),0,1),0))</f>
        <v>-4.4999999999999997E-3</v>
      </c>
      <c r="AE438" s="159">
        <f>IF(E438="","",IF(Summary!$D$26="Included Margin",IF(AND($B438&gt;Input!$C$9,Summary!$D$31&lt;&gt;"Included Margin"),1,1/$R438),1))</f>
        <v>1.1977580355718045</v>
      </c>
      <c r="AF438" s="160">
        <f>IF(E438="","",IF(AND($B438&gt;=Input!$C$9,$C438=12,Summary!$D$31="Included Margin",$U438&gt;0),1/U438-1,IF($B438&gt;=Input!$C$9,0,Input!$C$45*IF(Summary!$D$27="Included Margin",1,0))))</f>
        <v>0</v>
      </c>
      <c r="AG438" s="160">
        <f>IF(E438="","",Input!$C$46*IF(Summary!$D$28="Included Margin",IF(AND($B438&gt;Input!$C$9,Summary!$D$31&lt;&gt;"Included Margin"),0,1),0))</f>
        <v>0.02</v>
      </c>
      <c r="AH438" s="158">
        <f>IF(E438="","",Input!$C$47*IF(Summary!$D$29="Included Margin",IF(AND($B438&gt;Input!$C$9,Summary!$D$31&lt;&gt;"Included Margin"),0,1),0))</f>
        <v>2.5000000000000001E-3</v>
      </c>
      <c r="AI438" s="154"/>
      <c r="AJ438" s="158">
        <f t="shared" si="271"/>
        <v>4.1000000000000002E-2</v>
      </c>
      <c r="AK438" s="155">
        <f t="shared" si="272"/>
        <v>3.3540948994528197E-3</v>
      </c>
      <c r="AL438" s="147">
        <f t="shared" si="273"/>
        <v>0.16757252480000001</v>
      </c>
      <c r="AM438" s="147">
        <f t="shared" si="251"/>
        <v>1.5167889125170753E-2</v>
      </c>
      <c r="AN438" s="160">
        <f t="shared" si="274"/>
        <v>0</v>
      </c>
      <c r="AO438" s="161">
        <f t="shared" si="275"/>
        <v>0</v>
      </c>
      <c r="AP438" s="156">
        <f t="shared" si="252"/>
        <v>2.2278164194467767</v>
      </c>
      <c r="AQ438" s="152"/>
      <c r="AR438" s="162">
        <f t="shared" si="253"/>
        <v>15201.438400383035</v>
      </c>
      <c r="AS438" s="150">
        <f t="shared" si="276"/>
        <v>0</v>
      </c>
      <c r="AT438" s="163">
        <f t="shared" si="254"/>
        <v>0</v>
      </c>
      <c r="AU438" s="163">
        <f t="shared" si="255"/>
        <v>1516.7889125170752</v>
      </c>
      <c r="AV438" s="163">
        <f t="shared" si="277"/>
        <v>48.443340025560907</v>
      </c>
      <c r="AW438" s="163">
        <f t="shared" si="256"/>
        <v>211.51025809996978</v>
      </c>
      <c r="AX438" s="163">
        <f t="shared" si="257"/>
        <v>0</v>
      </c>
      <c r="AY438" s="165">
        <f t="shared" si="278"/>
        <v>13944.60308599149</v>
      </c>
      <c r="AZ438" s="164">
        <f>IF($E438="","",IF(OR(AND($D438=Input!$C$6,$C438=12),$AN438=1),0,-AS439+AT439+AU439-AV439-AW439-AX439+AZ439))</f>
        <v>13944.607344800108</v>
      </c>
      <c r="BA438" s="154">
        <f t="shared" si="258"/>
        <v>4.258808618033072E-3</v>
      </c>
      <c r="BC438" s="147">
        <f t="shared" si="279"/>
        <v>7.3019248233035334E-3</v>
      </c>
      <c r="BD438" s="164">
        <f>IF(AND($C437=12,$D437=Input!$C$6),0,IF($E438="","",AT438+(AU438+BD439)/(1+$AK438)*MIN((1-AM438-AN438),1)))</f>
        <v>13477.95478512469</v>
      </c>
      <c r="BE438" s="164">
        <f t="shared" si="259"/>
        <v>98.415012612864615</v>
      </c>
      <c r="BF438" s="164">
        <f t="shared" si="280"/>
        <v>13944.607344800108</v>
      </c>
      <c r="BG438" s="164">
        <f t="shared" si="260"/>
        <v>101.82247452221668</v>
      </c>
      <c r="BH438" s="152"/>
      <c r="BI438" s="162">
        <f t="shared" si="261"/>
        <v>5832.6890537236286</v>
      </c>
      <c r="BJ438" s="150">
        <f t="shared" si="262"/>
        <v>0</v>
      </c>
      <c r="BK438" s="163">
        <f t="shared" si="284"/>
        <v>0</v>
      </c>
      <c r="BL438" s="163">
        <f t="shared" si="263"/>
        <v>1007.2621014792115</v>
      </c>
      <c r="BM438" s="163">
        <f t="shared" si="285"/>
        <v>19.796488899631193</v>
      </c>
      <c r="BN438" s="163">
        <f t="shared" si="264"/>
        <v>49.300721879597248</v>
      </c>
      <c r="BO438" s="163">
        <f t="shared" si="265"/>
        <v>0</v>
      </c>
      <c r="BP438" s="164">
        <f t="shared" si="286"/>
        <v>4894.524163023646</v>
      </c>
      <c r="BQ438" s="164">
        <f>IF($E438="","",IF(AND($D438=Input!$C$6,$C438=12),0,-BJ439+BK439+BL439-BM439-BN439-BO439+BQ439))</f>
        <v>4894.5276316061954</v>
      </c>
      <c r="BR438" s="161">
        <f t="shared" si="266"/>
        <v>0</v>
      </c>
      <c r="BT438" s="147">
        <f t="shared" si="267"/>
        <v>7.3019248233035334E-3</v>
      </c>
      <c r="BU438" s="164">
        <f>IF(AND($C437=12,$D437=Input!$C$6),0,IF($E438="","",BK438+(BL438+BU439)/(1+$AK438)*MIN((1-T438-U438),1)))</f>
        <v>55166.486398772031</v>
      </c>
      <c r="BV438" s="164">
        <f t="shared" si="268"/>
        <v>402.82153644963023</v>
      </c>
      <c r="BW438" s="164">
        <f t="shared" si="269"/>
        <v>4894.5276316061954</v>
      </c>
      <c r="BX438" s="164">
        <f t="shared" si="270"/>
        <v>35.73947281157033</v>
      </c>
    </row>
    <row r="439" spans="1:76" s="150" customFormat="1" x14ac:dyDescent="0.25">
      <c r="A439" s="150">
        <f t="shared" si="281"/>
        <v>435</v>
      </c>
      <c r="B439" s="150">
        <f t="shared" si="282"/>
        <v>37</v>
      </c>
      <c r="C439" s="150">
        <f t="shared" si="283"/>
        <v>3</v>
      </c>
      <c r="D439" s="150">
        <f>IF(E439="","",Input!$C$4+B439-1)</f>
        <v>81</v>
      </c>
      <c r="E439" s="150">
        <f>IF(OR(AND(C438=12,D438=Input!$C$6),E438=""),"",1)</f>
        <v>1</v>
      </c>
      <c r="F439" s="150">
        <f>IF(E439="","",Input!$C$8+B439-1)</f>
        <v>2054</v>
      </c>
      <c r="G439" s="151">
        <f>IF(E439="","",MAX(0,Input!$C$9-B439))</f>
        <v>0</v>
      </c>
      <c r="H439" s="152">
        <f>IF(E439="","",Input!$C$3)</f>
        <v>100000</v>
      </c>
      <c r="I439" s="153">
        <f>IF(E439="","",HLOOKUP($B439,Input!$C$13:$BT$14,2))</f>
        <v>121.17700000000001</v>
      </c>
      <c r="J439" s="154"/>
      <c r="K439" s="155">
        <f>IF($E439="","",INDEX(Input!$C$16:$CP$16,1,$B439))</f>
        <v>3.0499999999999999E-2</v>
      </c>
      <c r="L439" s="155">
        <f>IF($E439="","",Input!$C$37)</f>
        <v>1.4999999999999999E-2</v>
      </c>
      <c r="M439" s="155">
        <f t="shared" si="287"/>
        <v>4.5499999999999999E-2</v>
      </c>
      <c r="N439" s="155">
        <f t="shared" si="288"/>
        <v>3.7148195588312394E-3</v>
      </c>
      <c r="O439" s="147">
        <f>IF($E439="","",MIN(VLOOKUP(IF($B439&lt;=Input!$C$7,$B439,26),'Mortality Tables'!$A$41:$CW$67,IF($B439&lt;=Input!$C$7+1,Input!$C$4+2,$D439-Input!$C$7+2),0)*IF(B439&gt;20,Input!$C$22,1)/1000,1))</f>
        <v>0.13701760000000002</v>
      </c>
      <c r="P439" s="147">
        <f>IF($E439="","",MIN(VLOOKUP(IF($B439&lt;=Input!$C$7,$B439,26),'Mortality Tables'!$A$12:$CW$37,IF($B439&lt;=Input!$C$7+1,Input!$C$4+2,$D439-Input!$C$7+2),0)*IF(B439&gt;20,Input!$C$22,1)/1000,1))</f>
        <v>0.17127199999999998</v>
      </c>
      <c r="Q439" s="155">
        <f>IF($E439="","",Input!$C$21)</f>
        <v>5.0000000000000001E-3</v>
      </c>
      <c r="R439" s="159">
        <f>IF($E439="","",(1-Q439)^($F439-Input!$C$20))</f>
        <v>0.83489316731872676</v>
      </c>
      <c r="S439" s="147">
        <f t="shared" si="249"/>
        <v>0.11439505804241039</v>
      </c>
      <c r="T439" s="147">
        <f t="shared" si="250"/>
        <v>1.0072621014792116E-2</v>
      </c>
      <c r="U439" s="160">
        <f>IF($E439="","",IF($C439=12,INDEX(Input!$C$15:$CP$15,1,$B439),0))</f>
        <v>0</v>
      </c>
      <c r="V439" s="150">
        <f>IF(E439="","",IF(C439=1,IF($B439=1,Input!$C$33,Input!$C$34),0))</f>
        <v>0</v>
      </c>
      <c r="W439" s="156">
        <f>IF($E439="","",Input!$C$35)</f>
        <v>0.02</v>
      </c>
      <c r="X439" s="156">
        <f t="shared" si="289"/>
        <v>2.0398873437157055</v>
      </c>
      <c r="Y439" s="154"/>
      <c r="Z439" s="147">
        <f>IF($E439="","",VLOOKUP($D439,'Mortality Margins &amp; Grading'!$AB$5:$AF$125,3,0)*IF(Summary!$D$25="Included Margin",IF(AND($B439&gt;Input!$C$9,Summary!$D$31&lt;&gt;"Included Margin"),0,1),0))</f>
        <v>2.5999999999999999E-2</v>
      </c>
      <c r="AA439" s="147">
        <f>IF($E439="","",VLOOKUP($D439,'Mortality Margins &amp; Grading'!$AB$5:$AF$125,5,0)*IF(Summary!$D$25="Included Margin",IF(AND($B439&gt;Input!$C$9,Summary!$D$31&lt;&gt;"Included Margin"),0,1),0))</f>
        <v>0.13600000000000001</v>
      </c>
      <c r="AB439" s="147">
        <f>IF($E439="","",IF(AND($B439&gt;Input!$C$9,Summary!$D$31&lt;&gt;"Included Margin"),1,IF(Summary!$D$25="Included Margin",VLOOKUP($B439,'Mortality Margins &amp; Grading'!$AI$5:$AR$125,MATCH('Mortality Margins &amp; Grading'!$AQ$4,'Mortality Margins &amp; Grading'!$AI$4:$AR$4,0),0),1)))</f>
        <v>0.5</v>
      </c>
      <c r="AC439" s="154"/>
      <c r="AD439" s="158">
        <f>IF(E439="","",Input!$C$48*IF(Summary!$D$30="Included Margin",IF(AND($B439&gt;Input!$C$9,Summary!$D$31&lt;&gt;"Included Margin"),0,1),0))</f>
        <v>-4.4999999999999997E-3</v>
      </c>
      <c r="AE439" s="159">
        <f>IF(E439="","",IF(Summary!$D$26="Included Margin",IF(AND($B439&gt;Input!$C$9,Summary!$D$31&lt;&gt;"Included Margin"),1,1/$R439),1))</f>
        <v>1.1977580355718045</v>
      </c>
      <c r="AF439" s="160">
        <f>IF(E439="","",IF(AND($B439&gt;=Input!$C$9,$C439=12,Summary!$D$31="Included Margin",$U439&gt;0),1/U439-1,IF($B439&gt;=Input!$C$9,0,Input!$C$45*IF(Summary!$D$27="Included Margin",1,0))))</f>
        <v>0</v>
      </c>
      <c r="AG439" s="160">
        <f>IF(E439="","",Input!$C$46*IF(Summary!$D$28="Included Margin",IF(AND($B439&gt;Input!$C$9,Summary!$D$31&lt;&gt;"Included Margin"),0,1),0))</f>
        <v>0.02</v>
      </c>
      <c r="AH439" s="158">
        <f>IF(E439="","",Input!$C$47*IF(Summary!$D$29="Included Margin",IF(AND($B439&gt;Input!$C$9,Summary!$D$31&lt;&gt;"Included Margin"),0,1),0))</f>
        <v>2.5000000000000001E-3</v>
      </c>
      <c r="AI439" s="154"/>
      <c r="AJ439" s="158">
        <f t="shared" si="271"/>
        <v>4.1000000000000002E-2</v>
      </c>
      <c r="AK439" s="155">
        <f t="shared" si="272"/>
        <v>3.3540948994528197E-3</v>
      </c>
      <c r="AL439" s="147">
        <f t="shared" si="273"/>
        <v>0.16757252480000001</v>
      </c>
      <c r="AM439" s="147">
        <f t="shared" si="251"/>
        <v>1.5167889125170753E-2</v>
      </c>
      <c r="AN439" s="160">
        <f t="shared" si="274"/>
        <v>0</v>
      </c>
      <c r="AO439" s="161">
        <f t="shared" si="275"/>
        <v>0</v>
      </c>
      <c r="AP439" s="156">
        <f t="shared" si="252"/>
        <v>2.2278164194467767</v>
      </c>
      <c r="AQ439" s="152"/>
      <c r="AR439" s="162">
        <f t="shared" si="253"/>
        <v>13944.60308599149</v>
      </c>
      <c r="AS439" s="150">
        <f t="shared" si="276"/>
        <v>0</v>
      </c>
      <c r="AT439" s="163">
        <f t="shared" si="254"/>
        <v>0</v>
      </c>
      <c r="AU439" s="163">
        <f t="shared" si="255"/>
        <v>1516.7889125170752</v>
      </c>
      <c r="AV439" s="163">
        <f t="shared" si="277"/>
        <v>44.227795108108047</v>
      </c>
      <c r="AW439" s="163">
        <f t="shared" si="256"/>
        <v>192.08818665856521</v>
      </c>
      <c r="AX439" s="163">
        <f t="shared" si="257"/>
        <v>0</v>
      </c>
      <c r="AY439" s="164">
        <f t="shared" si="278"/>
        <v>12664.13015524109</v>
      </c>
      <c r="AZ439" s="164">
        <f>IF($E439="","",IF(OR(AND($D439=Input!$C$6,$C439=12),$AN439=1),0,-AS440+AT440+AU440-AV440-AW440-AX440+AZ440))</f>
        <v>12664.134414049706</v>
      </c>
      <c r="BA439" s="154">
        <f t="shared" si="258"/>
        <v>4.2588086162140826E-3</v>
      </c>
      <c r="BC439" s="147">
        <f t="shared" si="279"/>
        <v>7.2283753018798939E-3</v>
      </c>
      <c r="BD439" s="164">
        <f>IF(AND($C438=12,$D438=Input!$C$6),0,IF($E439="","",AT439+(AU439+BD440)/(1+$AK439)*MIN((1-AM439-AN439),1)))</f>
        <v>12214.649141946715</v>
      </c>
      <c r="BE439" s="164">
        <f t="shared" si="259"/>
        <v>88.292068178776077</v>
      </c>
      <c r="BF439" s="164">
        <f t="shared" si="280"/>
        <v>12664.134414049706</v>
      </c>
      <c r="BG439" s="164">
        <f t="shared" si="260"/>
        <v>91.541116418204098</v>
      </c>
      <c r="BH439" s="152"/>
      <c r="BI439" s="162">
        <f t="shared" si="261"/>
        <v>4894.524163023646</v>
      </c>
      <c r="BJ439" s="150">
        <f t="shared" si="262"/>
        <v>0</v>
      </c>
      <c r="BK439" s="163">
        <f t="shared" si="284"/>
        <v>0</v>
      </c>
      <c r="BL439" s="163">
        <f t="shared" si="263"/>
        <v>1007.2621014792115</v>
      </c>
      <c r="BM439" s="163">
        <f t="shared" si="285"/>
        <v>16.311375614250128</v>
      </c>
      <c r="BN439" s="163">
        <f t="shared" si="264"/>
        <v>39.719328516737455</v>
      </c>
      <c r="BO439" s="163">
        <f t="shared" si="265"/>
        <v>0</v>
      </c>
      <c r="BP439" s="164">
        <f t="shared" si="286"/>
        <v>3943.2927656754218</v>
      </c>
      <c r="BQ439" s="164">
        <f>IF($E439="","",IF(AND($D439=Input!$C$6,$C439=12),0,-BJ440+BK440+BL440-BM440-BN440-BO440+BQ440))</f>
        <v>3943.2962342579713</v>
      </c>
      <c r="BR439" s="161">
        <f t="shared" si="266"/>
        <v>0</v>
      </c>
      <c r="BT439" s="147">
        <f t="shared" si="267"/>
        <v>7.2283753018798939E-3</v>
      </c>
      <c r="BU439" s="164">
        <f>IF(AND($C438=12,$D438=Input!$C$6),0,IF($E439="","",BK439+(BL439+BU440)/(1+$AK439)*MIN((1-T439-U439),1)))</f>
        <v>54907.465791151364</v>
      </c>
      <c r="BV439" s="164">
        <f t="shared" si="268"/>
        <v>396.89176961357367</v>
      </c>
      <c r="BW439" s="164">
        <f t="shared" si="269"/>
        <v>3943.2962342579713</v>
      </c>
      <c r="BX439" s="164">
        <f t="shared" si="270"/>
        <v>28.503625107706313</v>
      </c>
    </row>
    <row r="440" spans="1:76" s="150" customFormat="1" x14ac:dyDescent="0.25">
      <c r="A440" s="150">
        <f t="shared" si="281"/>
        <v>436</v>
      </c>
      <c r="B440" s="150">
        <f t="shared" si="282"/>
        <v>37</v>
      </c>
      <c r="C440" s="150">
        <f t="shared" si="283"/>
        <v>4</v>
      </c>
      <c r="D440" s="150">
        <f>IF(E440="","",Input!$C$4+B440-1)</f>
        <v>81</v>
      </c>
      <c r="E440" s="150">
        <f>IF(OR(AND(C439=12,D439=Input!$C$6),E439=""),"",1)</f>
        <v>1</v>
      </c>
      <c r="F440" s="150">
        <f>IF(E440="","",Input!$C$8+B440-1)</f>
        <v>2054</v>
      </c>
      <c r="G440" s="151">
        <f>IF(E440="","",MAX(0,Input!$C$9-B440))</f>
        <v>0</v>
      </c>
      <c r="H440" s="152">
        <f>IF(E440="","",Input!$C$3)</f>
        <v>100000</v>
      </c>
      <c r="I440" s="153">
        <f>IF(E440="","",HLOOKUP($B440,Input!$C$13:$BT$14,2))</f>
        <v>121.17700000000001</v>
      </c>
      <c r="J440" s="154"/>
      <c r="K440" s="155">
        <f>IF($E440="","",INDEX(Input!$C$16:$CP$16,1,$B440))</f>
        <v>3.0499999999999999E-2</v>
      </c>
      <c r="L440" s="155">
        <f>IF($E440="","",Input!$C$37)</f>
        <v>1.4999999999999999E-2</v>
      </c>
      <c r="M440" s="155">
        <f t="shared" si="287"/>
        <v>4.5499999999999999E-2</v>
      </c>
      <c r="N440" s="155">
        <f t="shared" si="288"/>
        <v>3.7148195588312394E-3</v>
      </c>
      <c r="O440" s="147">
        <f>IF($E440="","",MIN(VLOOKUP(IF($B440&lt;=Input!$C$7,$B440,26),'Mortality Tables'!$A$41:$CW$67,IF($B440&lt;=Input!$C$7+1,Input!$C$4+2,$D440-Input!$C$7+2),0)*IF(B440&gt;20,Input!$C$22,1)/1000,1))</f>
        <v>0.13701760000000002</v>
      </c>
      <c r="P440" s="147">
        <f>IF($E440="","",MIN(VLOOKUP(IF($B440&lt;=Input!$C$7,$B440,26),'Mortality Tables'!$A$12:$CW$37,IF($B440&lt;=Input!$C$7+1,Input!$C$4+2,$D440-Input!$C$7+2),0)*IF(B440&gt;20,Input!$C$22,1)/1000,1))</f>
        <v>0.17127199999999998</v>
      </c>
      <c r="Q440" s="155">
        <f>IF($E440="","",Input!$C$21)</f>
        <v>5.0000000000000001E-3</v>
      </c>
      <c r="R440" s="159">
        <f>IF($E440="","",(1-Q440)^($F440-Input!$C$20))</f>
        <v>0.83489316731872676</v>
      </c>
      <c r="S440" s="147">
        <f t="shared" si="249"/>
        <v>0.11439505804241039</v>
      </c>
      <c r="T440" s="147">
        <f t="shared" si="250"/>
        <v>1.0072621014792116E-2</v>
      </c>
      <c r="U440" s="160">
        <f>IF($E440="","",IF($C440=12,INDEX(Input!$C$15:$CP$15,1,$B440),0))</f>
        <v>0</v>
      </c>
      <c r="V440" s="150">
        <f>IF(E440="","",IF(C440=1,IF($B440=1,Input!$C$33,Input!$C$34),0))</f>
        <v>0</v>
      </c>
      <c r="W440" s="156">
        <f>IF($E440="","",Input!$C$35)</f>
        <v>0.02</v>
      </c>
      <c r="X440" s="156">
        <f t="shared" si="289"/>
        <v>2.0398873437157055</v>
      </c>
      <c r="Y440" s="154"/>
      <c r="Z440" s="147">
        <f>IF($E440="","",VLOOKUP($D440,'Mortality Margins &amp; Grading'!$AB$5:$AF$125,3,0)*IF(Summary!$D$25="Included Margin",IF(AND($B440&gt;Input!$C$9,Summary!$D$31&lt;&gt;"Included Margin"),0,1),0))</f>
        <v>2.5999999999999999E-2</v>
      </c>
      <c r="AA440" s="147">
        <f>IF($E440="","",VLOOKUP($D440,'Mortality Margins &amp; Grading'!$AB$5:$AF$125,5,0)*IF(Summary!$D$25="Included Margin",IF(AND($B440&gt;Input!$C$9,Summary!$D$31&lt;&gt;"Included Margin"),0,1),0))</f>
        <v>0.13600000000000001</v>
      </c>
      <c r="AB440" s="147">
        <f>IF($E440="","",IF(AND($B440&gt;Input!$C$9,Summary!$D$31&lt;&gt;"Included Margin"),1,IF(Summary!$D$25="Included Margin",VLOOKUP($B440,'Mortality Margins &amp; Grading'!$AI$5:$AR$125,MATCH('Mortality Margins &amp; Grading'!$AQ$4,'Mortality Margins &amp; Grading'!$AI$4:$AR$4,0),0),1)))</f>
        <v>0.5</v>
      </c>
      <c r="AC440" s="154"/>
      <c r="AD440" s="158">
        <f>IF(E440="","",Input!$C$48*IF(Summary!$D$30="Included Margin",IF(AND($B440&gt;Input!$C$9,Summary!$D$31&lt;&gt;"Included Margin"),0,1),0))</f>
        <v>-4.4999999999999997E-3</v>
      </c>
      <c r="AE440" s="159">
        <f>IF(E440="","",IF(Summary!$D$26="Included Margin",IF(AND($B440&gt;Input!$C$9,Summary!$D$31&lt;&gt;"Included Margin"),1,1/$R440),1))</f>
        <v>1.1977580355718045</v>
      </c>
      <c r="AF440" s="160">
        <f>IF(E440="","",IF(AND($B440&gt;=Input!$C$9,$C440=12,Summary!$D$31="Included Margin",$U440&gt;0),1/U440-1,IF($B440&gt;=Input!$C$9,0,Input!$C$45*IF(Summary!$D$27="Included Margin",1,0))))</f>
        <v>0</v>
      </c>
      <c r="AG440" s="160">
        <f>IF(E440="","",Input!$C$46*IF(Summary!$D$28="Included Margin",IF(AND($B440&gt;Input!$C$9,Summary!$D$31&lt;&gt;"Included Margin"),0,1),0))</f>
        <v>0.02</v>
      </c>
      <c r="AH440" s="158">
        <f>IF(E440="","",Input!$C$47*IF(Summary!$D$29="Included Margin",IF(AND($B440&gt;Input!$C$9,Summary!$D$31&lt;&gt;"Included Margin"),0,1),0))</f>
        <v>2.5000000000000001E-3</v>
      </c>
      <c r="AI440" s="154"/>
      <c r="AJ440" s="158">
        <f t="shared" si="271"/>
        <v>4.1000000000000002E-2</v>
      </c>
      <c r="AK440" s="155">
        <f t="shared" si="272"/>
        <v>3.3540948994528197E-3</v>
      </c>
      <c r="AL440" s="147">
        <f t="shared" si="273"/>
        <v>0.16757252480000001</v>
      </c>
      <c r="AM440" s="147">
        <f t="shared" si="251"/>
        <v>1.5167889125170753E-2</v>
      </c>
      <c r="AN440" s="160">
        <f t="shared" si="274"/>
        <v>0</v>
      </c>
      <c r="AO440" s="161">
        <f t="shared" si="275"/>
        <v>0</v>
      </c>
      <c r="AP440" s="156">
        <f t="shared" si="252"/>
        <v>2.2278164194467767</v>
      </c>
      <c r="AQ440" s="152"/>
      <c r="AR440" s="162">
        <f t="shared" si="253"/>
        <v>12664.13015524109</v>
      </c>
      <c r="AS440" s="150">
        <f t="shared" si="276"/>
        <v>0</v>
      </c>
      <c r="AT440" s="163">
        <f t="shared" si="254"/>
        <v>0</v>
      </c>
      <c r="AU440" s="163">
        <f t="shared" si="255"/>
        <v>1516.7889125170752</v>
      </c>
      <c r="AV440" s="163">
        <f t="shared" si="277"/>
        <v>39.932967382190725</v>
      </c>
      <c r="AW440" s="163">
        <f t="shared" si="256"/>
        <v>172.30083945798256</v>
      </c>
      <c r="AX440" s="163">
        <f t="shared" si="257"/>
        <v>0</v>
      </c>
      <c r="AY440" s="165">
        <f t="shared" si="278"/>
        <v>11359.575049564188</v>
      </c>
      <c r="AZ440" s="164">
        <f>IF($E440="","",IF(OR(AND($D440=Input!$C$6,$C440=12),$AN440=1),0,-AS441+AT441+AU441-AV441-AW441-AX441+AZ441))</f>
        <v>11359.579308372804</v>
      </c>
      <c r="BA440" s="154">
        <f t="shared" si="258"/>
        <v>4.2588086162140826E-3</v>
      </c>
      <c r="BC440" s="147">
        <f t="shared" si="279"/>
        <v>7.1555666169113739E-3</v>
      </c>
      <c r="BD440" s="164">
        <f>IF(AND($C439=12,$D439=Input!$C$6),0,IF($E440="","",AT440+(AU440+BD441)/(1+$AK440)*MIN((1-AM440-AN440),1)))</f>
        <v>10927.584193316794</v>
      </c>
      <c r="BE440" s="164">
        <f t="shared" si="259"/>
        <v>78.193056657186062</v>
      </c>
      <c r="BF440" s="164">
        <f t="shared" si="280"/>
        <v>11359.579308372804</v>
      </c>
      <c r="BG440" s="164">
        <f t="shared" si="260"/>
        <v>81.284226481149631</v>
      </c>
      <c r="BH440" s="152"/>
      <c r="BI440" s="162">
        <f t="shared" si="261"/>
        <v>3943.2927656754218</v>
      </c>
      <c r="BJ440" s="150">
        <f t="shared" si="262"/>
        <v>0</v>
      </c>
      <c r="BK440" s="163">
        <f t="shared" si="284"/>
        <v>0</v>
      </c>
      <c r="BL440" s="163">
        <f t="shared" si="263"/>
        <v>1007.2621014792115</v>
      </c>
      <c r="BM440" s="163">
        <f t="shared" si="285"/>
        <v>12.777722614406573</v>
      </c>
      <c r="BN440" s="163">
        <f t="shared" si="264"/>
        <v>30.004488100682352</v>
      </c>
      <c r="BO440" s="163">
        <f t="shared" si="265"/>
        <v>0</v>
      </c>
      <c r="BP440" s="164">
        <f t="shared" si="286"/>
        <v>2978.8128749112993</v>
      </c>
      <c r="BQ440" s="164">
        <f>IF($E440="","",IF(AND($D440=Input!$C$6,$C440=12),0,-BJ441+BK441+BL441-BM441-BN441-BO441+BQ441))</f>
        <v>2978.8163434938488</v>
      </c>
      <c r="BR440" s="161">
        <f t="shared" si="266"/>
        <v>0</v>
      </c>
      <c r="BT440" s="147">
        <f t="shared" si="267"/>
        <v>7.1555666169113739E-3</v>
      </c>
      <c r="BU440" s="164">
        <f>IF(AND($C439=12,$D439=Input!$C$6),0,IF($E440="","",BK440+(BL440+BU441)/(1+$AK440)*MIN((1-T440-U440),1)))</f>
        <v>54644.932000454566</v>
      </c>
      <c r="BV440" s="164">
        <f t="shared" si="268"/>
        <v>391.01545120584478</v>
      </c>
      <c r="BW440" s="164">
        <f t="shared" si="269"/>
        <v>2978.8163434938488</v>
      </c>
      <c r="BX440" s="164">
        <f t="shared" si="270"/>
        <v>21.31511878541459</v>
      </c>
    </row>
    <row r="441" spans="1:76" s="150" customFormat="1" x14ac:dyDescent="0.25">
      <c r="A441" s="150">
        <f t="shared" si="281"/>
        <v>437</v>
      </c>
      <c r="B441" s="150">
        <f t="shared" si="282"/>
        <v>37</v>
      </c>
      <c r="C441" s="150">
        <f t="shared" si="283"/>
        <v>5</v>
      </c>
      <c r="D441" s="150">
        <f>IF(E441="","",Input!$C$4+B441-1)</f>
        <v>81</v>
      </c>
      <c r="E441" s="150">
        <f>IF(OR(AND(C440=12,D440=Input!$C$6),E440=""),"",1)</f>
        <v>1</v>
      </c>
      <c r="F441" s="150">
        <f>IF(E441="","",Input!$C$8+B441-1)</f>
        <v>2054</v>
      </c>
      <c r="G441" s="151">
        <f>IF(E441="","",MAX(0,Input!$C$9-B441))</f>
        <v>0</v>
      </c>
      <c r="H441" s="152">
        <f>IF(E441="","",Input!$C$3)</f>
        <v>100000</v>
      </c>
      <c r="I441" s="153">
        <f>IF(E441="","",HLOOKUP($B441,Input!$C$13:$BT$14,2))</f>
        <v>121.17700000000001</v>
      </c>
      <c r="J441" s="154"/>
      <c r="K441" s="155">
        <f>IF($E441="","",INDEX(Input!$C$16:$CP$16,1,$B441))</f>
        <v>3.0499999999999999E-2</v>
      </c>
      <c r="L441" s="155">
        <f>IF($E441="","",Input!$C$37)</f>
        <v>1.4999999999999999E-2</v>
      </c>
      <c r="M441" s="155">
        <f t="shared" si="287"/>
        <v>4.5499999999999999E-2</v>
      </c>
      <c r="N441" s="155">
        <f t="shared" si="288"/>
        <v>3.7148195588312394E-3</v>
      </c>
      <c r="O441" s="147">
        <f>IF($E441="","",MIN(VLOOKUP(IF($B441&lt;=Input!$C$7,$B441,26),'Mortality Tables'!$A$41:$CW$67,IF($B441&lt;=Input!$C$7+1,Input!$C$4+2,$D441-Input!$C$7+2),0)*IF(B441&gt;20,Input!$C$22,1)/1000,1))</f>
        <v>0.13701760000000002</v>
      </c>
      <c r="P441" s="147">
        <f>IF($E441="","",MIN(VLOOKUP(IF($B441&lt;=Input!$C$7,$B441,26),'Mortality Tables'!$A$12:$CW$37,IF($B441&lt;=Input!$C$7+1,Input!$C$4+2,$D441-Input!$C$7+2),0)*IF(B441&gt;20,Input!$C$22,1)/1000,1))</f>
        <v>0.17127199999999998</v>
      </c>
      <c r="Q441" s="155">
        <f>IF($E441="","",Input!$C$21)</f>
        <v>5.0000000000000001E-3</v>
      </c>
      <c r="R441" s="159">
        <f>IF($E441="","",(1-Q441)^($F441-Input!$C$20))</f>
        <v>0.83489316731872676</v>
      </c>
      <c r="S441" s="147">
        <f t="shared" si="249"/>
        <v>0.11439505804241039</v>
      </c>
      <c r="T441" s="147">
        <f t="shared" si="250"/>
        <v>1.0072621014792116E-2</v>
      </c>
      <c r="U441" s="160">
        <f>IF($E441="","",IF($C441=12,INDEX(Input!$C$15:$CP$15,1,$B441),0))</f>
        <v>0</v>
      </c>
      <c r="V441" s="150">
        <f>IF(E441="","",IF(C441=1,IF($B441=1,Input!$C$33,Input!$C$34),0))</f>
        <v>0</v>
      </c>
      <c r="W441" s="156">
        <f>IF($E441="","",Input!$C$35)</f>
        <v>0.02</v>
      </c>
      <c r="X441" s="156">
        <f t="shared" si="289"/>
        <v>2.0398873437157055</v>
      </c>
      <c r="Y441" s="154"/>
      <c r="Z441" s="147">
        <f>IF($E441="","",VLOOKUP($D441,'Mortality Margins &amp; Grading'!$AB$5:$AF$125,3,0)*IF(Summary!$D$25="Included Margin",IF(AND($B441&gt;Input!$C$9,Summary!$D$31&lt;&gt;"Included Margin"),0,1),0))</f>
        <v>2.5999999999999999E-2</v>
      </c>
      <c r="AA441" s="147">
        <f>IF($E441="","",VLOOKUP($D441,'Mortality Margins &amp; Grading'!$AB$5:$AF$125,5,0)*IF(Summary!$D$25="Included Margin",IF(AND($B441&gt;Input!$C$9,Summary!$D$31&lt;&gt;"Included Margin"),0,1),0))</f>
        <v>0.13600000000000001</v>
      </c>
      <c r="AB441" s="147">
        <f>IF($E441="","",IF(AND($B441&gt;Input!$C$9,Summary!$D$31&lt;&gt;"Included Margin"),1,IF(Summary!$D$25="Included Margin",VLOOKUP($B441,'Mortality Margins &amp; Grading'!$AI$5:$AR$125,MATCH('Mortality Margins &amp; Grading'!$AQ$4,'Mortality Margins &amp; Grading'!$AI$4:$AR$4,0),0),1)))</f>
        <v>0.5</v>
      </c>
      <c r="AC441" s="154"/>
      <c r="AD441" s="158">
        <f>IF(E441="","",Input!$C$48*IF(Summary!$D$30="Included Margin",IF(AND($B441&gt;Input!$C$9,Summary!$D$31&lt;&gt;"Included Margin"),0,1),0))</f>
        <v>-4.4999999999999997E-3</v>
      </c>
      <c r="AE441" s="159">
        <f>IF(E441="","",IF(Summary!$D$26="Included Margin",IF(AND($B441&gt;Input!$C$9,Summary!$D$31&lt;&gt;"Included Margin"),1,1/$R441),1))</f>
        <v>1.1977580355718045</v>
      </c>
      <c r="AF441" s="160">
        <f>IF(E441="","",IF(AND($B441&gt;=Input!$C$9,$C441=12,Summary!$D$31="Included Margin",$U441&gt;0),1/U441-1,IF($B441&gt;=Input!$C$9,0,Input!$C$45*IF(Summary!$D$27="Included Margin",1,0))))</f>
        <v>0</v>
      </c>
      <c r="AG441" s="160">
        <f>IF(E441="","",Input!$C$46*IF(Summary!$D$28="Included Margin",IF(AND($B441&gt;Input!$C$9,Summary!$D$31&lt;&gt;"Included Margin"),0,1),0))</f>
        <v>0.02</v>
      </c>
      <c r="AH441" s="158">
        <f>IF(E441="","",Input!$C$47*IF(Summary!$D$29="Included Margin",IF(AND($B441&gt;Input!$C$9,Summary!$D$31&lt;&gt;"Included Margin"),0,1),0))</f>
        <v>2.5000000000000001E-3</v>
      </c>
      <c r="AI441" s="154"/>
      <c r="AJ441" s="158">
        <f t="shared" si="271"/>
        <v>4.1000000000000002E-2</v>
      </c>
      <c r="AK441" s="155">
        <f t="shared" si="272"/>
        <v>3.3540948994528197E-3</v>
      </c>
      <c r="AL441" s="147">
        <f t="shared" si="273"/>
        <v>0.16757252480000001</v>
      </c>
      <c r="AM441" s="147">
        <f t="shared" si="251"/>
        <v>1.5167889125170753E-2</v>
      </c>
      <c r="AN441" s="160">
        <f t="shared" si="274"/>
        <v>0</v>
      </c>
      <c r="AO441" s="161">
        <f t="shared" si="275"/>
        <v>0</v>
      </c>
      <c r="AP441" s="156">
        <f t="shared" si="252"/>
        <v>2.2278164194467767</v>
      </c>
      <c r="AQ441" s="152"/>
      <c r="AR441" s="162">
        <f t="shared" si="253"/>
        <v>11359.575049564186</v>
      </c>
      <c r="AS441" s="150">
        <f t="shared" si="276"/>
        <v>0</v>
      </c>
      <c r="AT441" s="163">
        <f t="shared" si="254"/>
        <v>0</v>
      </c>
      <c r="AU441" s="163">
        <f t="shared" si="255"/>
        <v>1516.7889125170752</v>
      </c>
      <c r="AV441" s="163">
        <f t="shared" si="277"/>
        <v>35.557365756184687</v>
      </c>
      <c r="AW441" s="163">
        <f t="shared" si="256"/>
        <v>152.14134666558596</v>
      </c>
      <c r="AX441" s="163">
        <f t="shared" si="257"/>
        <v>0</v>
      </c>
      <c r="AY441" s="164">
        <f t="shared" si="278"/>
        <v>10030.484849468883</v>
      </c>
      <c r="AZ441" s="164">
        <f>IF($E441="","",IF(OR(AND($D441=Input!$C$6,$C441=12),$AN441=1),0,-AS442+AT442+AU442-AV442-AW442-AX442+AZ442))</f>
        <v>10030.489108277499</v>
      </c>
      <c r="BA441" s="154">
        <f t="shared" si="258"/>
        <v>4.2588086162140826E-3</v>
      </c>
      <c r="BC441" s="147">
        <f t="shared" si="279"/>
        <v>7.0834913062331273E-3</v>
      </c>
      <c r="BD441" s="164">
        <f>IF(AND($C440=12,$D440=Input!$C$6),0,IF($E441="","",AT441+(AU441+BD442)/(1+$AK441)*MIN((1-AM441-AN441),1)))</f>
        <v>9616.3130920300518</v>
      </c>
      <c r="BE441" s="164">
        <f t="shared" si="259"/>
        <v>68.117070185410682</v>
      </c>
      <c r="BF441" s="164">
        <f t="shared" si="280"/>
        <v>10030.489108277499</v>
      </c>
      <c r="BG441" s="164">
        <f t="shared" si="260"/>
        <v>71.050882395749738</v>
      </c>
      <c r="BH441" s="152"/>
      <c r="BI441" s="162">
        <f t="shared" si="261"/>
        <v>2978.8128749112993</v>
      </c>
      <c r="BJ441" s="150">
        <f t="shared" si="262"/>
        <v>0</v>
      </c>
      <c r="BK441" s="163">
        <f t="shared" si="284"/>
        <v>0</v>
      </c>
      <c r="BL441" s="163">
        <f t="shared" si="263"/>
        <v>1007.2621014792115</v>
      </c>
      <c r="BM441" s="163">
        <f t="shared" si="285"/>
        <v>9.1948538520965943</v>
      </c>
      <c r="BN441" s="163">
        <f t="shared" si="264"/>
        <v>20.154342016997465</v>
      </c>
      <c r="BO441" s="163">
        <f t="shared" si="265"/>
        <v>0</v>
      </c>
      <c r="BP441" s="164">
        <f t="shared" si="286"/>
        <v>2000.8999693011817</v>
      </c>
      <c r="BQ441" s="164">
        <f>IF($E441="","",IF(AND($D441=Input!$C$6,$C441=12),0,-BJ442+BK442+BL442-BM442-BN442-BO442+BQ442))</f>
        <v>2000.9034378837314</v>
      </c>
      <c r="BR441" s="161">
        <f t="shared" si="266"/>
        <v>0</v>
      </c>
      <c r="BT441" s="147">
        <f t="shared" si="267"/>
        <v>7.0834913062331273E-3</v>
      </c>
      <c r="BU441" s="164">
        <f>IF(AND($C440=12,$D440=Input!$C$6),0,IF($E441="","",BK441+(BL441+BU442)/(1+$AK441)*MIN((1-T441-U441),1)))</f>
        <v>54378.837376205316</v>
      </c>
      <c r="BV441" s="164">
        <f t="shared" si="268"/>
        <v>385.19202179741541</v>
      </c>
      <c r="BW441" s="164">
        <f t="shared" si="269"/>
        <v>2000.9034378837314</v>
      </c>
      <c r="BX441" s="164">
        <f t="shared" si="270"/>
        <v>14.173382106861387</v>
      </c>
    </row>
    <row r="442" spans="1:76" s="150" customFormat="1" x14ac:dyDescent="0.25">
      <c r="A442" s="150">
        <f t="shared" si="281"/>
        <v>438</v>
      </c>
      <c r="B442" s="150">
        <f t="shared" si="282"/>
        <v>37</v>
      </c>
      <c r="C442" s="150">
        <f t="shared" si="283"/>
        <v>6</v>
      </c>
      <c r="D442" s="150">
        <f>IF(E442="","",Input!$C$4+B442-1)</f>
        <v>81</v>
      </c>
      <c r="E442" s="150">
        <f>IF(OR(AND(C441=12,D441=Input!$C$6),E441=""),"",1)</f>
        <v>1</v>
      </c>
      <c r="F442" s="150">
        <f>IF(E442="","",Input!$C$8+B442-1)</f>
        <v>2054</v>
      </c>
      <c r="G442" s="151">
        <f>IF(E442="","",MAX(0,Input!$C$9-B442))</f>
        <v>0</v>
      </c>
      <c r="H442" s="152">
        <f>IF(E442="","",Input!$C$3)</f>
        <v>100000</v>
      </c>
      <c r="I442" s="153">
        <f>IF(E442="","",HLOOKUP($B442,Input!$C$13:$BT$14,2))</f>
        <v>121.17700000000001</v>
      </c>
      <c r="J442" s="154"/>
      <c r="K442" s="155">
        <f>IF($E442="","",INDEX(Input!$C$16:$CP$16,1,$B442))</f>
        <v>3.0499999999999999E-2</v>
      </c>
      <c r="L442" s="155">
        <f>IF($E442="","",Input!$C$37)</f>
        <v>1.4999999999999999E-2</v>
      </c>
      <c r="M442" s="155">
        <f t="shared" si="287"/>
        <v>4.5499999999999999E-2</v>
      </c>
      <c r="N442" s="155">
        <f t="shared" si="288"/>
        <v>3.7148195588312394E-3</v>
      </c>
      <c r="O442" s="147">
        <f>IF($E442="","",MIN(VLOOKUP(IF($B442&lt;=Input!$C$7,$B442,26),'Mortality Tables'!$A$41:$CW$67,IF($B442&lt;=Input!$C$7+1,Input!$C$4+2,$D442-Input!$C$7+2),0)*IF(B442&gt;20,Input!$C$22,1)/1000,1))</f>
        <v>0.13701760000000002</v>
      </c>
      <c r="P442" s="147">
        <f>IF($E442="","",MIN(VLOOKUP(IF($B442&lt;=Input!$C$7,$B442,26),'Mortality Tables'!$A$12:$CW$37,IF($B442&lt;=Input!$C$7+1,Input!$C$4+2,$D442-Input!$C$7+2),0)*IF(B442&gt;20,Input!$C$22,1)/1000,1))</f>
        <v>0.17127199999999998</v>
      </c>
      <c r="Q442" s="155">
        <f>IF($E442="","",Input!$C$21)</f>
        <v>5.0000000000000001E-3</v>
      </c>
      <c r="R442" s="159">
        <f>IF($E442="","",(1-Q442)^($F442-Input!$C$20))</f>
        <v>0.83489316731872676</v>
      </c>
      <c r="S442" s="147">
        <f t="shared" si="249"/>
        <v>0.11439505804241039</v>
      </c>
      <c r="T442" s="147">
        <f t="shared" si="250"/>
        <v>1.0072621014792116E-2</v>
      </c>
      <c r="U442" s="160">
        <f>IF($E442="","",IF($C442=12,INDEX(Input!$C$15:$CP$15,1,$B442),0))</f>
        <v>0</v>
      </c>
      <c r="V442" s="150">
        <f>IF(E442="","",IF(C442=1,IF($B442=1,Input!$C$33,Input!$C$34),0))</f>
        <v>0</v>
      </c>
      <c r="W442" s="156">
        <f>IF($E442="","",Input!$C$35)</f>
        <v>0.02</v>
      </c>
      <c r="X442" s="156">
        <f t="shared" si="289"/>
        <v>2.0398873437157055</v>
      </c>
      <c r="Y442" s="154"/>
      <c r="Z442" s="147">
        <f>IF($E442="","",VLOOKUP($D442,'Mortality Margins &amp; Grading'!$AB$5:$AF$125,3,0)*IF(Summary!$D$25="Included Margin",IF(AND($B442&gt;Input!$C$9,Summary!$D$31&lt;&gt;"Included Margin"),0,1),0))</f>
        <v>2.5999999999999999E-2</v>
      </c>
      <c r="AA442" s="147">
        <f>IF($E442="","",VLOOKUP($D442,'Mortality Margins &amp; Grading'!$AB$5:$AF$125,5,0)*IF(Summary!$D$25="Included Margin",IF(AND($B442&gt;Input!$C$9,Summary!$D$31&lt;&gt;"Included Margin"),0,1),0))</f>
        <v>0.13600000000000001</v>
      </c>
      <c r="AB442" s="147">
        <f>IF($E442="","",IF(AND($B442&gt;Input!$C$9,Summary!$D$31&lt;&gt;"Included Margin"),1,IF(Summary!$D$25="Included Margin",VLOOKUP($B442,'Mortality Margins &amp; Grading'!$AI$5:$AR$125,MATCH('Mortality Margins &amp; Grading'!$AQ$4,'Mortality Margins &amp; Grading'!$AI$4:$AR$4,0),0),1)))</f>
        <v>0.5</v>
      </c>
      <c r="AC442" s="154"/>
      <c r="AD442" s="158">
        <f>IF(E442="","",Input!$C$48*IF(Summary!$D$30="Included Margin",IF(AND($B442&gt;Input!$C$9,Summary!$D$31&lt;&gt;"Included Margin"),0,1),0))</f>
        <v>-4.4999999999999997E-3</v>
      </c>
      <c r="AE442" s="159">
        <f>IF(E442="","",IF(Summary!$D$26="Included Margin",IF(AND($B442&gt;Input!$C$9,Summary!$D$31&lt;&gt;"Included Margin"),1,1/$R442),1))</f>
        <v>1.1977580355718045</v>
      </c>
      <c r="AF442" s="160">
        <f>IF(E442="","",IF(AND($B442&gt;=Input!$C$9,$C442=12,Summary!$D$31="Included Margin",$U442&gt;0),1/U442-1,IF($B442&gt;=Input!$C$9,0,Input!$C$45*IF(Summary!$D$27="Included Margin",1,0))))</f>
        <v>0</v>
      </c>
      <c r="AG442" s="160">
        <f>IF(E442="","",Input!$C$46*IF(Summary!$D$28="Included Margin",IF(AND($B442&gt;Input!$C$9,Summary!$D$31&lt;&gt;"Included Margin"),0,1),0))</f>
        <v>0.02</v>
      </c>
      <c r="AH442" s="158">
        <f>IF(E442="","",Input!$C$47*IF(Summary!$D$29="Included Margin",IF(AND($B442&gt;Input!$C$9,Summary!$D$31&lt;&gt;"Included Margin"),0,1),0))</f>
        <v>2.5000000000000001E-3</v>
      </c>
      <c r="AI442" s="154"/>
      <c r="AJ442" s="158">
        <f t="shared" si="271"/>
        <v>4.1000000000000002E-2</v>
      </c>
      <c r="AK442" s="155">
        <f t="shared" si="272"/>
        <v>3.3540948994528197E-3</v>
      </c>
      <c r="AL442" s="147">
        <f t="shared" si="273"/>
        <v>0.16757252480000001</v>
      </c>
      <c r="AM442" s="147">
        <f t="shared" si="251"/>
        <v>1.5167889125170753E-2</v>
      </c>
      <c r="AN442" s="160">
        <f t="shared" si="274"/>
        <v>0</v>
      </c>
      <c r="AO442" s="161">
        <f t="shared" si="275"/>
        <v>0</v>
      </c>
      <c r="AP442" s="156">
        <f t="shared" si="252"/>
        <v>2.2278164194467767</v>
      </c>
      <c r="AQ442" s="152"/>
      <c r="AR442" s="162">
        <f t="shared" si="253"/>
        <v>10030.484849468883</v>
      </c>
      <c r="AS442" s="150">
        <f t="shared" si="276"/>
        <v>0</v>
      </c>
      <c r="AT442" s="163">
        <f t="shared" si="254"/>
        <v>0</v>
      </c>
      <c r="AU442" s="163">
        <f t="shared" si="255"/>
        <v>1516.7889125170752</v>
      </c>
      <c r="AV442" s="163">
        <f t="shared" si="277"/>
        <v>31.099471095132305</v>
      </c>
      <c r="AW442" s="163">
        <f t="shared" si="256"/>
        <v>131.60270924607767</v>
      </c>
      <c r="AX442" s="163">
        <f t="shared" si="257"/>
        <v>0</v>
      </c>
      <c r="AY442" s="165">
        <f t="shared" si="278"/>
        <v>8676.398117293018</v>
      </c>
      <c r="AZ442" s="164">
        <f>IF($E442="","",IF(OR(AND($D442=Input!$C$6,$C442=12),$AN442=1),0,-AS443+AT443+AU443-AV443-AW443-AX443+AZ443))</f>
        <v>8676.4023761016342</v>
      </c>
      <c r="BA442" s="154">
        <f t="shared" si="258"/>
        <v>4.2588086162140826E-3</v>
      </c>
      <c r="BC442" s="147">
        <f t="shared" si="279"/>
        <v>7.0121419828438666E-3</v>
      </c>
      <c r="BD442" s="164">
        <f>IF(AND($C441=12,$D441=Input!$C$6),0,IF($E442="","",AT442+(AU442+BD443)/(1+$AK442)*MIN((1-AM442-AN442),1)))</f>
        <v>8280.380586914378</v>
      </c>
      <c r="BE442" s="164">
        <f t="shared" si="259"/>
        <v>58.063204347427643</v>
      </c>
      <c r="BF442" s="164">
        <f t="shared" si="280"/>
        <v>8676.4023761016342</v>
      </c>
      <c r="BG442" s="164">
        <f t="shared" si="260"/>
        <v>60.840165361508546</v>
      </c>
      <c r="BH442" s="152"/>
      <c r="BI442" s="162">
        <f t="shared" si="261"/>
        <v>2000.899969301182</v>
      </c>
      <c r="BJ442" s="150">
        <f t="shared" si="262"/>
        <v>0</v>
      </c>
      <c r="BK442" s="163">
        <f t="shared" si="284"/>
        <v>0</v>
      </c>
      <c r="BL442" s="163">
        <f t="shared" si="263"/>
        <v>1007.2621014792115</v>
      </c>
      <c r="BM442" s="163">
        <f t="shared" si="285"/>
        <v>5.5620838635026413</v>
      </c>
      <c r="BN442" s="163">
        <f t="shared" si="264"/>
        <v>10.167005764969586</v>
      </c>
      <c r="BO442" s="163">
        <f t="shared" si="265"/>
        <v>0</v>
      </c>
      <c r="BP442" s="164">
        <f t="shared" si="286"/>
        <v>1009.3669574504426</v>
      </c>
      <c r="BQ442" s="164">
        <f>IF($E442="","",IF(AND($D442=Input!$C$6,$C442=12),0,-BJ443+BK443+BL443-BM443-BN443-BO443+BQ443))</f>
        <v>1009.370426032992</v>
      </c>
      <c r="BR442" s="161">
        <f t="shared" si="266"/>
        <v>0</v>
      </c>
      <c r="BT442" s="147">
        <f t="shared" si="267"/>
        <v>7.0121419828438666E-3</v>
      </c>
      <c r="BU442" s="164">
        <f>IF(AND($C441=12,$D441=Input!$C$6),0,IF($E442="","",BK442+(BL442+BU443)/(1+$AK442)*MIN((1-T442-U442),1)))</f>
        <v>54109.133621627974</v>
      </c>
      <c r="BV442" s="164">
        <f t="shared" si="268"/>
        <v>379.42092752352613</v>
      </c>
      <c r="BW442" s="164">
        <f t="shared" si="269"/>
        <v>1009.370426032992</v>
      </c>
      <c r="BX442" s="164">
        <f t="shared" si="270"/>
        <v>7.0778487406269424</v>
      </c>
    </row>
    <row r="443" spans="1:76" s="150" customFormat="1" x14ac:dyDescent="0.25">
      <c r="A443" s="150">
        <f t="shared" si="281"/>
        <v>439</v>
      </c>
      <c r="B443" s="150">
        <f t="shared" si="282"/>
        <v>37</v>
      </c>
      <c r="C443" s="150">
        <f t="shared" si="283"/>
        <v>7</v>
      </c>
      <c r="D443" s="150">
        <f>IF(E443="","",Input!$C$4+B443-1)</f>
        <v>81</v>
      </c>
      <c r="E443" s="150">
        <f>IF(OR(AND(C442=12,D442=Input!$C$6),E442=""),"",1)</f>
        <v>1</v>
      </c>
      <c r="F443" s="150">
        <f>IF(E443="","",Input!$C$8+B443-1)</f>
        <v>2054</v>
      </c>
      <c r="G443" s="151">
        <f>IF(E443="","",MAX(0,Input!$C$9-B443))</f>
        <v>0</v>
      </c>
      <c r="H443" s="152">
        <f>IF(E443="","",Input!$C$3)</f>
        <v>100000</v>
      </c>
      <c r="I443" s="153">
        <f>IF(E443="","",HLOOKUP($B443,Input!$C$13:$BT$14,2))</f>
        <v>121.17700000000001</v>
      </c>
      <c r="J443" s="154"/>
      <c r="K443" s="155">
        <f>IF($E443="","",INDEX(Input!$C$16:$CP$16,1,$B443))</f>
        <v>3.0499999999999999E-2</v>
      </c>
      <c r="L443" s="155">
        <f>IF($E443="","",Input!$C$37)</f>
        <v>1.4999999999999999E-2</v>
      </c>
      <c r="M443" s="155">
        <f t="shared" si="287"/>
        <v>4.5499999999999999E-2</v>
      </c>
      <c r="N443" s="155">
        <f t="shared" si="288"/>
        <v>3.7148195588312394E-3</v>
      </c>
      <c r="O443" s="147">
        <f>IF($E443="","",MIN(VLOOKUP(IF($B443&lt;=Input!$C$7,$B443,26),'Mortality Tables'!$A$41:$CW$67,IF($B443&lt;=Input!$C$7+1,Input!$C$4+2,$D443-Input!$C$7+2),0)*IF(B443&gt;20,Input!$C$22,1)/1000,1))</f>
        <v>0.13701760000000002</v>
      </c>
      <c r="P443" s="147">
        <f>IF($E443="","",MIN(VLOOKUP(IF($B443&lt;=Input!$C$7,$B443,26),'Mortality Tables'!$A$12:$CW$37,IF($B443&lt;=Input!$C$7+1,Input!$C$4+2,$D443-Input!$C$7+2),0)*IF(B443&gt;20,Input!$C$22,1)/1000,1))</f>
        <v>0.17127199999999998</v>
      </c>
      <c r="Q443" s="155">
        <f>IF($E443="","",Input!$C$21)</f>
        <v>5.0000000000000001E-3</v>
      </c>
      <c r="R443" s="159">
        <f>IF($E443="","",(1-Q443)^($F443-Input!$C$20))</f>
        <v>0.83489316731872676</v>
      </c>
      <c r="S443" s="147">
        <f t="shared" si="249"/>
        <v>0.11439505804241039</v>
      </c>
      <c r="T443" s="147">
        <f t="shared" si="250"/>
        <v>1.0072621014792116E-2</v>
      </c>
      <c r="U443" s="160">
        <f>IF($E443="","",IF($C443=12,INDEX(Input!$C$15:$CP$15,1,$B443),0))</f>
        <v>0</v>
      </c>
      <c r="V443" s="150">
        <f>IF(E443="","",IF(C443=1,IF($B443=1,Input!$C$33,Input!$C$34),0))</f>
        <v>0</v>
      </c>
      <c r="W443" s="156">
        <f>IF($E443="","",Input!$C$35)</f>
        <v>0.02</v>
      </c>
      <c r="X443" s="156">
        <f t="shared" si="289"/>
        <v>2.0398873437157055</v>
      </c>
      <c r="Y443" s="154"/>
      <c r="Z443" s="147">
        <f>IF($E443="","",VLOOKUP($D443,'Mortality Margins &amp; Grading'!$AB$5:$AF$125,3,0)*IF(Summary!$D$25="Included Margin",IF(AND($B443&gt;Input!$C$9,Summary!$D$31&lt;&gt;"Included Margin"),0,1),0))</f>
        <v>2.5999999999999999E-2</v>
      </c>
      <c r="AA443" s="147">
        <f>IF($E443="","",VLOOKUP($D443,'Mortality Margins &amp; Grading'!$AB$5:$AF$125,5,0)*IF(Summary!$D$25="Included Margin",IF(AND($B443&gt;Input!$C$9,Summary!$D$31&lt;&gt;"Included Margin"),0,1),0))</f>
        <v>0.13600000000000001</v>
      </c>
      <c r="AB443" s="147">
        <f>IF($E443="","",IF(AND($B443&gt;Input!$C$9,Summary!$D$31&lt;&gt;"Included Margin"),1,IF(Summary!$D$25="Included Margin",VLOOKUP($B443,'Mortality Margins &amp; Grading'!$AI$5:$AR$125,MATCH('Mortality Margins &amp; Grading'!$AQ$4,'Mortality Margins &amp; Grading'!$AI$4:$AR$4,0),0),1)))</f>
        <v>0.5</v>
      </c>
      <c r="AC443" s="154"/>
      <c r="AD443" s="158">
        <f>IF(E443="","",Input!$C$48*IF(Summary!$D$30="Included Margin",IF(AND($B443&gt;Input!$C$9,Summary!$D$31&lt;&gt;"Included Margin"),0,1),0))</f>
        <v>-4.4999999999999997E-3</v>
      </c>
      <c r="AE443" s="159">
        <f>IF(E443="","",IF(Summary!$D$26="Included Margin",IF(AND($B443&gt;Input!$C$9,Summary!$D$31&lt;&gt;"Included Margin"),1,1/$R443),1))</f>
        <v>1.1977580355718045</v>
      </c>
      <c r="AF443" s="160">
        <f>IF(E443="","",IF(AND($B443&gt;=Input!$C$9,$C443=12,Summary!$D$31="Included Margin",$U443&gt;0),1/U443-1,IF($B443&gt;=Input!$C$9,0,Input!$C$45*IF(Summary!$D$27="Included Margin",1,0))))</f>
        <v>0</v>
      </c>
      <c r="AG443" s="160">
        <f>IF(E443="","",Input!$C$46*IF(Summary!$D$28="Included Margin",IF(AND($B443&gt;Input!$C$9,Summary!$D$31&lt;&gt;"Included Margin"),0,1),0))</f>
        <v>0.02</v>
      </c>
      <c r="AH443" s="158">
        <f>IF(E443="","",Input!$C$47*IF(Summary!$D$29="Included Margin",IF(AND($B443&gt;Input!$C$9,Summary!$D$31&lt;&gt;"Included Margin"),0,1),0))</f>
        <v>2.5000000000000001E-3</v>
      </c>
      <c r="AI443" s="154"/>
      <c r="AJ443" s="158">
        <f t="shared" si="271"/>
        <v>4.1000000000000002E-2</v>
      </c>
      <c r="AK443" s="155">
        <f t="shared" si="272"/>
        <v>3.3540948994528197E-3</v>
      </c>
      <c r="AL443" s="147">
        <f t="shared" si="273"/>
        <v>0.16757252480000001</v>
      </c>
      <c r="AM443" s="147">
        <f t="shared" si="251"/>
        <v>1.5167889125170753E-2</v>
      </c>
      <c r="AN443" s="160">
        <f t="shared" si="274"/>
        <v>0</v>
      </c>
      <c r="AO443" s="161">
        <f t="shared" si="275"/>
        <v>0</v>
      </c>
      <c r="AP443" s="156">
        <f t="shared" si="252"/>
        <v>2.2278164194467767</v>
      </c>
      <c r="AQ443" s="152"/>
      <c r="AR443" s="162">
        <f t="shared" si="253"/>
        <v>8676.398117293018</v>
      </c>
      <c r="AS443" s="150">
        <f t="shared" si="276"/>
        <v>0</v>
      </c>
      <c r="AT443" s="163">
        <f t="shared" si="254"/>
        <v>0</v>
      </c>
      <c r="AU443" s="163">
        <f t="shared" si="255"/>
        <v>1516.7889125170752</v>
      </c>
      <c r="AV443" s="163">
        <f t="shared" si="277"/>
        <v>26.557735693324503</v>
      </c>
      <c r="AW443" s="163">
        <f t="shared" si="256"/>
        <v>110.67779653155104</v>
      </c>
      <c r="AX443" s="163">
        <f t="shared" si="257"/>
        <v>0</v>
      </c>
      <c r="AY443" s="164">
        <f t="shared" si="278"/>
        <v>7296.8447370008189</v>
      </c>
      <c r="AZ443" s="164">
        <f>IF($E443="","",IF(OR(AND($D443=Input!$C$6,$C443=12),$AN443=1),0,-AS444+AT444+AU444-AV444-AW444-AX444+AZ444))</f>
        <v>7296.8489958094342</v>
      </c>
      <c r="BA443" s="154">
        <f t="shared" si="258"/>
        <v>4.2588086153045879E-3</v>
      </c>
      <c r="BC443" s="147">
        <f t="shared" si="279"/>
        <v>6.9415113341487677E-3</v>
      </c>
      <c r="BD443" s="164">
        <f>IF(AND($C442=12,$D442=Input!$C$6),0,IF($E443="","",AT443+(AU443+BD444)/(1+$AK443)*MIN((1-AM443-AN443),1)))</f>
        <v>6919.3228647749129</v>
      </c>
      <c r="BE443" s="164">
        <f t="shared" si="259"/>
        <v>48.030558090469782</v>
      </c>
      <c r="BF443" s="164">
        <f t="shared" si="280"/>
        <v>7296.8489958094342</v>
      </c>
      <c r="BG443" s="164">
        <f t="shared" si="260"/>
        <v>50.651160007983243</v>
      </c>
      <c r="BH443" s="152"/>
      <c r="BI443" s="162">
        <f t="shared" si="261"/>
        <v>1009.3669574504423</v>
      </c>
      <c r="BJ443" s="150">
        <f t="shared" si="262"/>
        <v>0</v>
      </c>
      <c r="BK443" s="163">
        <f t="shared" si="284"/>
        <v>0</v>
      </c>
      <c r="BL443" s="163">
        <f t="shared" si="263"/>
        <v>1007.2621014792115</v>
      </c>
      <c r="BM443" s="163">
        <f t="shared" si="285"/>
        <v>1.8787176378526667</v>
      </c>
      <c r="BN443" s="163">
        <f t="shared" si="264"/>
        <v>4.0568597069690862E-2</v>
      </c>
      <c r="BO443" s="163">
        <f t="shared" si="265"/>
        <v>0</v>
      </c>
      <c r="BP443" s="164">
        <f t="shared" si="286"/>
        <v>4.0241422061531482</v>
      </c>
      <c r="BQ443" s="164">
        <f>IF($E443="","",IF(AND($D443=Input!$C$6,$C443=12),0,-BJ444+BK444+BL444-BM444-BN444-BO444+BQ444))</f>
        <v>4.0276107887027592</v>
      </c>
      <c r="BR443" s="161">
        <f t="shared" si="266"/>
        <v>0</v>
      </c>
      <c r="BT443" s="147">
        <f t="shared" si="267"/>
        <v>6.9415113341487677E-3</v>
      </c>
      <c r="BU443" s="164">
        <f>IF(AND($C442=12,$D442=Input!$C$6),0,IF($E443="","",BK443+(BL443+BU444)/(1+$AK443)*MIN((1-T443-U443),1)))</f>
        <v>53835.771784881588</v>
      </c>
      <c r="BV443" s="164">
        <f t="shared" si="268"/>
        <v>373.70162002740199</v>
      </c>
      <c r="BW443" s="164">
        <f t="shared" si="269"/>
        <v>4.0276107887027592</v>
      </c>
      <c r="BX443" s="164">
        <f t="shared" si="270"/>
        <v>2.7957705939320062E-2</v>
      </c>
    </row>
    <row r="444" spans="1:76" s="150" customFormat="1" x14ac:dyDescent="0.25">
      <c r="A444" s="150">
        <f t="shared" si="281"/>
        <v>440</v>
      </c>
      <c r="B444" s="150">
        <f t="shared" si="282"/>
        <v>37</v>
      </c>
      <c r="C444" s="150">
        <f t="shared" si="283"/>
        <v>8</v>
      </c>
      <c r="D444" s="150">
        <f>IF(E444="","",Input!$C$4+B444-1)</f>
        <v>81</v>
      </c>
      <c r="E444" s="150">
        <f>IF(OR(AND(C443=12,D443=Input!$C$6),E443=""),"",1)</f>
        <v>1</v>
      </c>
      <c r="F444" s="150">
        <f>IF(E444="","",Input!$C$8+B444-1)</f>
        <v>2054</v>
      </c>
      <c r="G444" s="151">
        <f>IF(E444="","",MAX(0,Input!$C$9-B444))</f>
        <v>0</v>
      </c>
      <c r="H444" s="152">
        <f>IF(E444="","",Input!$C$3)</f>
        <v>100000</v>
      </c>
      <c r="I444" s="153">
        <f>IF(E444="","",HLOOKUP($B444,Input!$C$13:$BT$14,2))</f>
        <v>121.17700000000001</v>
      </c>
      <c r="J444" s="154"/>
      <c r="K444" s="155">
        <f>IF($E444="","",INDEX(Input!$C$16:$CP$16,1,$B444))</f>
        <v>3.0499999999999999E-2</v>
      </c>
      <c r="L444" s="155">
        <f>IF($E444="","",Input!$C$37)</f>
        <v>1.4999999999999999E-2</v>
      </c>
      <c r="M444" s="155">
        <f t="shared" si="287"/>
        <v>4.5499999999999999E-2</v>
      </c>
      <c r="N444" s="155">
        <f t="shared" si="288"/>
        <v>3.7148195588312394E-3</v>
      </c>
      <c r="O444" s="147">
        <f>IF($E444="","",MIN(VLOOKUP(IF($B444&lt;=Input!$C$7,$B444,26),'Mortality Tables'!$A$41:$CW$67,IF($B444&lt;=Input!$C$7+1,Input!$C$4+2,$D444-Input!$C$7+2),0)*IF(B444&gt;20,Input!$C$22,1)/1000,1))</f>
        <v>0.13701760000000002</v>
      </c>
      <c r="P444" s="147">
        <f>IF($E444="","",MIN(VLOOKUP(IF($B444&lt;=Input!$C$7,$B444,26),'Mortality Tables'!$A$12:$CW$37,IF($B444&lt;=Input!$C$7+1,Input!$C$4+2,$D444-Input!$C$7+2),0)*IF(B444&gt;20,Input!$C$22,1)/1000,1))</f>
        <v>0.17127199999999998</v>
      </c>
      <c r="Q444" s="155">
        <f>IF($E444="","",Input!$C$21)</f>
        <v>5.0000000000000001E-3</v>
      </c>
      <c r="R444" s="159">
        <f>IF($E444="","",(1-Q444)^($F444-Input!$C$20))</f>
        <v>0.83489316731872676</v>
      </c>
      <c r="S444" s="147">
        <f t="shared" si="249"/>
        <v>0.11439505804241039</v>
      </c>
      <c r="T444" s="147">
        <f t="shared" si="250"/>
        <v>1.0072621014792116E-2</v>
      </c>
      <c r="U444" s="160">
        <f>IF($E444="","",IF($C444=12,INDEX(Input!$C$15:$CP$15,1,$B444),0))</f>
        <v>0</v>
      </c>
      <c r="V444" s="150">
        <f>IF(E444="","",IF(C444=1,IF($B444=1,Input!$C$33,Input!$C$34),0))</f>
        <v>0</v>
      </c>
      <c r="W444" s="156">
        <f>IF($E444="","",Input!$C$35)</f>
        <v>0.02</v>
      </c>
      <c r="X444" s="156">
        <f t="shared" si="289"/>
        <v>2.0398873437157055</v>
      </c>
      <c r="Y444" s="154"/>
      <c r="Z444" s="147">
        <f>IF($E444="","",VLOOKUP($D444,'Mortality Margins &amp; Grading'!$AB$5:$AF$125,3,0)*IF(Summary!$D$25="Included Margin",IF(AND($B444&gt;Input!$C$9,Summary!$D$31&lt;&gt;"Included Margin"),0,1),0))</f>
        <v>2.5999999999999999E-2</v>
      </c>
      <c r="AA444" s="147">
        <f>IF($E444="","",VLOOKUP($D444,'Mortality Margins &amp; Grading'!$AB$5:$AF$125,5,0)*IF(Summary!$D$25="Included Margin",IF(AND($B444&gt;Input!$C$9,Summary!$D$31&lt;&gt;"Included Margin"),0,1),0))</f>
        <v>0.13600000000000001</v>
      </c>
      <c r="AB444" s="147">
        <f>IF($E444="","",IF(AND($B444&gt;Input!$C$9,Summary!$D$31&lt;&gt;"Included Margin"),1,IF(Summary!$D$25="Included Margin",VLOOKUP($B444,'Mortality Margins &amp; Grading'!$AI$5:$AR$125,MATCH('Mortality Margins &amp; Grading'!$AQ$4,'Mortality Margins &amp; Grading'!$AI$4:$AR$4,0),0),1)))</f>
        <v>0.5</v>
      </c>
      <c r="AC444" s="154"/>
      <c r="AD444" s="158">
        <f>IF(E444="","",Input!$C$48*IF(Summary!$D$30="Included Margin",IF(AND($B444&gt;Input!$C$9,Summary!$D$31&lt;&gt;"Included Margin"),0,1),0))</f>
        <v>-4.4999999999999997E-3</v>
      </c>
      <c r="AE444" s="159">
        <f>IF(E444="","",IF(Summary!$D$26="Included Margin",IF(AND($B444&gt;Input!$C$9,Summary!$D$31&lt;&gt;"Included Margin"),1,1/$R444),1))</f>
        <v>1.1977580355718045</v>
      </c>
      <c r="AF444" s="160">
        <f>IF(E444="","",IF(AND($B444&gt;=Input!$C$9,$C444=12,Summary!$D$31="Included Margin",$U444&gt;0),1/U444-1,IF($B444&gt;=Input!$C$9,0,Input!$C$45*IF(Summary!$D$27="Included Margin",1,0))))</f>
        <v>0</v>
      </c>
      <c r="AG444" s="160">
        <f>IF(E444="","",Input!$C$46*IF(Summary!$D$28="Included Margin",IF(AND($B444&gt;Input!$C$9,Summary!$D$31&lt;&gt;"Included Margin"),0,1),0))</f>
        <v>0.02</v>
      </c>
      <c r="AH444" s="158">
        <f>IF(E444="","",Input!$C$47*IF(Summary!$D$29="Included Margin",IF(AND($B444&gt;Input!$C$9,Summary!$D$31&lt;&gt;"Included Margin"),0,1),0))</f>
        <v>2.5000000000000001E-3</v>
      </c>
      <c r="AI444" s="154"/>
      <c r="AJ444" s="158">
        <f t="shared" si="271"/>
        <v>4.1000000000000002E-2</v>
      </c>
      <c r="AK444" s="155">
        <f t="shared" si="272"/>
        <v>3.3540948994528197E-3</v>
      </c>
      <c r="AL444" s="147">
        <f t="shared" si="273"/>
        <v>0.16757252480000001</v>
      </c>
      <c r="AM444" s="147">
        <f t="shared" si="251"/>
        <v>1.5167889125170753E-2</v>
      </c>
      <c r="AN444" s="160">
        <f t="shared" si="274"/>
        <v>0</v>
      </c>
      <c r="AO444" s="161">
        <f t="shared" si="275"/>
        <v>0</v>
      </c>
      <c r="AP444" s="156">
        <f t="shared" si="252"/>
        <v>2.2278164194467767</v>
      </c>
      <c r="AQ444" s="152"/>
      <c r="AR444" s="162">
        <f t="shared" si="253"/>
        <v>7296.8447370008189</v>
      </c>
      <c r="AS444" s="150">
        <f t="shared" si="276"/>
        <v>0</v>
      </c>
      <c r="AT444" s="163">
        <f t="shared" si="254"/>
        <v>0</v>
      </c>
      <c r="AU444" s="163">
        <f t="shared" si="255"/>
        <v>1516.7889125170752</v>
      </c>
      <c r="AV444" s="163">
        <f t="shared" si="277"/>
        <v>21.930582736963544</v>
      </c>
      <c r="AW444" s="163">
        <f t="shared" si="256"/>
        <v>89.359343745843347</v>
      </c>
      <c r="AX444" s="163">
        <f t="shared" si="257"/>
        <v>0</v>
      </c>
      <c r="AY444" s="165">
        <f t="shared" si="278"/>
        <v>5891.3457509665504</v>
      </c>
      <c r="AZ444" s="164">
        <f>IF($E444="","",IF(OR(AND($D444=Input!$C$6,$C444=12),$AN444=1),0,-AS445+AT445+AU445-AV445-AW445-AX445+AZ445))</f>
        <v>5891.3500097751657</v>
      </c>
      <c r="BA444" s="154">
        <f t="shared" si="258"/>
        <v>4.2588086153045879E-3</v>
      </c>
      <c r="BC444" s="147">
        <f t="shared" si="279"/>
        <v>6.8715921212100031E-3</v>
      </c>
      <c r="BD444" s="164">
        <f>IF(AND($C443=12,$D443=Input!$C$6),0,IF($E444="","",AT444+(AU444+BD445)/(1+$AK444)*MIN((1-AM444-AN444),1)))</f>
        <v>5532.6673893659445</v>
      </c>
      <c r="BE444" s="164">
        <f t="shared" si="259"/>
        <v>38.018233642042539</v>
      </c>
      <c r="BF444" s="164">
        <f t="shared" si="280"/>
        <v>5891.3500097751657</v>
      </c>
      <c r="BG444" s="164">
        <f t="shared" si="260"/>
        <v>40.482954310461501</v>
      </c>
      <c r="BH444" s="152"/>
      <c r="BI444" s="162">
        <f t="shared" si="261"/>
        <v>4.0241422061532148</v>
      </c>
      <c r="BJ444" s="150">
        <f t="shared" si="262"/>
        <v>0</v>
      </c>
      <c r="BK444" s="163">
        <f t="shared" si="284"/>
        <v>0</v>
      </c>
      <c r="BL444" s="163">
        <f t="shared" si="263"/>
        <v>1007.2621014792115</v>
      </c>
      <c r="BM444" s="163">
        <f t="shared" si="285"/>
        <v>-1.8559495155472796</v>
      </c>
      <c r="BN444" s="163">
        <f t="shared" si="264"/>
        <v>-10.226906846605621</v>
      </c>
      <c r="BO444" s="163">
        <f t="shared" si="265"/>
        <v>0</v>
      </c>
      <c r="BP444" s="164">
        <f t="shared" si="286"/>
        <v>-1015.3208156352113</v>
      </c>
      <c r="BQ444" s="164">
        <f>IF($E444="","",IF(AND($D444=Input!$C$6,$C444=12),0,-BJ445+BK445+BL445-BM445-BN445-BO445+BQ445))</f>
        <v>-1015.3173470526617</v>
      </c>
      <c r="BR444" s="161">
        <f t="shared" si="266"/>
        <v>0</v>
      </c>
      <c r="BT444" s="147">
        <f t="shared" si="267"/>
        <v>6.8715921212100031E-3</v>
      </c>
      <c r="BU444" s="164">
        <f>IF(AND($C443=12,$D443=Input!$C$6),0,IF($E444="","",BK444+(BL444+BU445)/(1+$AK444)*MIN((1-T444-U444),1)))</f>
        <v>53558.702250175025</v>
      </c>
      <c r="BV444" s="164">
        <f t="shared" si="268"/>
        <v>368.03355640453515</v>
      </c>
      <c r="BW444" s="164">
        <f t="shared" si="269"/>
        <v>-1015.3173470526617</v>
      </c>
      <c r="BX444" s="164">
        <f t="shared" si="270"/>
        <v>-6.9768466825349122</v>
      </c>
    </row>
    <row r="445" spans="1:76" s="150" customFormat="1" x14ac:dyDescent="0.25">
      <c r="A445" s="150">
        <f t="shared" si="281"/>
        <v>441</v>
      </c>
      <c r="B445" s="150">
        <f t="shared" si="282"/>
        <v>37</v>
      </c>
      <c r="C445" s="150">
        <f t="shared" si="283"/>
        <v>9</v>
      </c>
      <c r="D445" s="150">
        <f>IF(E445="","",Input!$C$4+B445-1)</f>
        <v>81</v>
      </c>
      <c r="E445" s="150">
        <f>IF(OR(AND(C444=12,D444=Input!$C$6),E444=""),"",1)</f>
        <v>1</v>
      </c>
      <c r="F445" s="150">
        <f>IF(E445="","",Input!$C$8+B445-1)</f>
        <v>2054</v>
      </c>
      <c r="G445" s="151">
        <f>IF(E445="","",MAX(0,Input!$C$9-B445))</f>
        <v>0</v>
      </c>
      <c r="H445" s="152">
        <f>IF(E445="","",Input!$C$3)</f>
        <v>100000</v>
      </c>
      <c r="I445" s="153">
        <f>IF(E445="","",HLOOKUP($B445,Input!$C$13:$BT$14,2))</f>
        <v>121.17700000000001</v>
      </c>
      <c r="J445" s="154"/>
      <c r="K445" s="155">
        <f>IF($E445="","",INDEX(Input!$C$16:$CP$16,1,$B445))</f>
        <v>3.0499999999999999E-2</v>
      </c>
      <c r="L445" s="155">
        <f>IF($E445="","",Input!$C$37)</f>
        <v>1.4999999999999999E-2</v>
      </c>
      <c r="M445" s="155">
        <f t="shared" si="287"/>
        <v>4.5499999999999999E-2</v>
      </c>
      <c r="N445" s="155">
        <f t="shared" si="288"/>
        <v>3.7148195588312394E-3</v>
      </c>
      <c r="O445" s="147">
        <f>IF($E445="","",MIN(VLOOKUP(IF($B445&lt;=Input!$C$7,$B445,26),'Mortality Tables'!$A$41:$CW$67,IF($B445&lt;=Input!$C$7+1,Input!$C$4+2,$D445-Input!$C$7+2),0)*IF(B445&gt;20,Input!$C$22,1)/1000,1))</f>
        <v>0.13701760000000002</v>
      </c>
      <c r="P445" s="147">
        <f>IF($E445="","",MIN(VLOOKUP(IF($B445&lt;=Input!$C$7,$B445,26),'Mortality Tables'!$A$12:$CW$37,IF($B445&lt;=Input!$C$7+1,Input!$C$4+2,$D445-Input!$C$7+2),0)*IF(B445&gt;20,Input!$C$22,1)/1000,1))</f>
        <v>0.17127199999999998</v>
      </c>
      <c r="Q445" s="155">
        <f>IF($E445="","",Input!$C$21)</f>
        <v>5.0000000000000001E-3</v>
      </c>
      <c r="R445" s="159">
        <f>IF($E445="","",(1-Q445)^($F445-Input!$C$20))</f>
        <v>0.83489316731872676</v>
      </c>
      <c r="S445" s="147">
        <f t="shared" si="249"/>
        <v>0.11439505804241039</v>
      </c>
      <c r="T445" s="147">
        <f t="shared" si="250"/>
        <v>1.0072621014792116E-2</v>
      </c>
      <c r="U445" s="160">
        <f>IF($E445="","",IF($C445=12,INDEX(Input!$C$15:$CP$15,1,$B445),0))</f>
        <v>0</v>
      </c>
      <c r="V445" s="150">
        <f>IF(E445="","",IF(C445=1,IF($B445=1,Input!$C$33,Input!$C$34),0))</f>
        <v>0</v>
      </c>
      <c r="W445" s="156">
        <f>IF($E445="","",Input!$C$35)</f>
        <v>0.02</v>
      </c>
      <c r="X445" s="156">
        <f t="shared" si="289"/>
        <v>2.0398873437157055</v>
      </c>
      <c r="Y445" s="154"/>
      <c r="Z445" s="147">
        <f>IF($E445="","",VLOOKUP($D445,'Mortality Margins &amp; Grading'!$AB$5:$AF$125,3,0)*IF(Summary!$D$25="Included Margin",IF(AND($B445&gt;Input!$C$9,Summary!$D$31&lt;&gt;"Included Margin"),0,1),0))</f>
        <v>2.5999999999999999E-2</v>
      </c>
      <c r="AA445" s="147">
        <f>IF($E445="","",VLOOKUP($D445,'Mortality Margins &amp; Grading'!$AB$5:$AF$125,5,0)*IF(Summary!$D$25="Included Margin",IF(AND($B445&gt;Input!$C$9,Summary!$D$31&lt;&gt;"Included Margin"),0,1),0))</f>
        <v>0.13600000000000001</v>
      </c>
      <c r="AB445" s="147">
        <f>IF($E445="","",IF(AND($B445&gt;Input!$C$9,Summary!$D$31&lt;&gt;"Included Margin"),1,IF(Summary!$D$25="Included Margin",VLOOKUP($B445,'Mortality Margins &amp; Grading'!$AI$5:$AR$125,MATCH('Mortality Margins &amp; Grading'!$AQ$4,'Mortality Margins &amp; Grading'!$AI$4:$AR$4,0),0),1)))</f>
        <v>0.5</v>
      </c>
      <c r="AC445" s="154"/>
      <c r="AD445" s="158">
        <f>IF(E445="","",Input!$C$48*IF(Summary!$D$30="Included Margin",IF(AND($B445&gt;Input!$C$9,Summary!$D$31&lt;&gt;"Included Margin"),0,1),0))</f>
        <v>-4.4999999999999997E-3</v>
      </c>
      <c r="AE445" s="159">
        <f>IF(E445="","",IF(Summary!$D$26="Included Margin",IF(AND($B445&gt;Input!$C$9,Summary!$D$31&lt;&gt;"Included Margin"),1,1/$R445),1))</f>
        <v>1.1977580355718045</v>
      </c>
      <c r="AF445" s="160">
        <f>IF(E445="","",IF(AND($B445&gt;=Input!$C$9,$C445=12,Summary!$D$31="Included Margin",$U445&gt;0),1/U445-1,IF($B445&gt;=Input!$C$9,0,Input!$C$45*IF(Summary!$D$27="Included Margin",1,0))))</f>
        <v>0</v>
      </c>
      <c r="AG445" s="160">
        <f>IF(E445="","",Input!$C$46*IF(Summary!$D$28="Included Margin",IF(AND($B445&gt;Input!$C$9,Summary!$D$31&lt;&gt;"Included Margin"),0,1),0))</f>
        <v>0.02</v>
      </c>
      <c r="AH445" s="158">
        <f>IF(E445="","",Input!$C$47*IF(Summary!$D$29="Included Margin",IF(AND($B445&gt;Input!$C$9,Summary!$D$31&lt;&gt;"Included Margin"),0,1),0))</f>
        <v>2.5000000000000001E-3</v>
      </c>
      <c r="AI445" s="154"/>
      <c r="AJ445" s="158">
        <f t="shared" si="271"/>
        <v>4.1000000000000002E-2</v>
      </c>
      <c r="AK445" s="155">
        <f t="shared" si="272"/>
        <v>3.3540948994528197E-3</v>
      </c>
      <c r="AL445" s="147">
        <f t="shared" si="273"/>
        <v>0.16757252480000001</v>
      </c>
      <c r="AM445" s="147">
        <f t="shared" si="251"/>
        <v>1.5167889125170753E-2</v>
      </c>
      <c r="AN445" s="160">
        <f t="shared" si="274"/>
        <v>0</v>
      </c>
      <c r="AO445" s="161">
        <f t="shared" si="275"/>
        <v>0</v>
      </c>
      <c r="AP445" s="156">
        <f t="shared" si="252"/>
        <v>2.2278164194467767</v>
      </c>
      <c r="AQ445" s="152"/>
      <c r="AR445" s="162">
        <f t="shared" si="253"/>
        <v>5891.3457509665495</v>
      </c>
      <c r="AS445" s="150">
        <f t="shared" si="276"/>
        <v>0</v>
      </c>
      <c r="AT445" s="163">
        <f t="shared" si="254"/>
        <v>0</v>
      </c>
      <c r="AU445" s="163">
        <f t="shared" si="255"/>
        <v>1516.7889125170752</v>
      </c>
      <c r="AV445" s="163">
        <f t="shared" si="277"/>
        <v>17.21640575671989</v>
      </c>
      <c r="AW445" s="163">
        <f t="shared" si="256"/>
        <v>67.639949482328007</v>
      </c>
      <c r="AX445" s="163">
        <f t="shared" si="257"/>
        <v>0</v>
      </c>
      <c r="AY445" s="164">
        <f t="shared" si="278"/>
        <v>4459.4131936885224</v>
      </c>
      <c r="AZ445" s="164">
        <f>IF($E445="","",IF(OR(AND($D445=Input!$C$6,$C445=12),$AN445=1),0,-AS446+AT446+AU446-AV446-AW446-AX446+AZ446))</f>
        <v>4459.4174524971386</v>
      </c>
      <c r="BA445" s="154">
        <f t="shared" si="258"/>
        <v>4.2588086162140826E-3</v>
      </c>
      <c r="BC445" s="147">
        <f t="shared" si="279"/>
        <v>6.8023771780048236E-3</v>
      </c>
      <c r="BD445" s="164">
        <f>IF(AND($C444=12,$D444=Input!$C$6),0,IF($E445="","",AT445+(AU445+BD446)/(1+$AK445)*MIN((1-AM445-AN445),1)))</f>
        <v>4119.9327373343058</v>
      </c>
      <c r="BE445" s="164">
        <f t="shared" si="259"/>
        <v>28.025336427357825</v>
      </c>
      <c r="BF445" s="164">
        <f t="shared" si="280"/>
        <v>4459.4174524971386</v>
      </c>
      <c r="BG445" s="164">
        <f t="shared" si="260"/>
        <v>30.334639506062945</v>
      </c>
      <c r="BH445" s="152"/>
      <c r="BI445" s="162">
        <f t="shared" si="261"/>
        <v>-1015.3208156352111</v>
      </c>
      <c r="BJ445" s="150">
        <f t="shared" si="262"/>
        <v>0</v>
      </c>
      <c r="BK445" s="163">
        <f t="shared" si="284"/>
        <v>0</v>
      </c>
      <c r="BL445" s="163">
        <f t="shared" si="263"/>
        <v>1007.2621014792115</v>
      </c>
      <c r="BM445" s="163">
        <f t="shared" si="285"/>
        <v>-5.6426321021323851</v>
      </c>
      <c r="BN445" s="163">
        <f t="shared" si="264"/>
        <v>-20.63738490898406</v>
      </c>
      <c r="BO445" s="163">
        <f t="shared" si="265"/>
        <v>0</v>
      </c>
      <c r="BP445" s="164">
        <f t="shared" si="286"/>
        <v>-2048.8629341255391</v>
      </c>
      <c r="BQ445" s="164">
        <f>IF($E445="","",IF(AND($D445=Input!$C$6,$C445=12),0,-BJ446+BK446+BL446-BM446-BN446-BO446+BQ446))</f>
        <v>-2048.8594655429897</v>
      </c>
      <c r="BR445" s="161">
        <f t="shared" si="266"/>
        <v>0</v>
      </c>
      <c r="BT445" s="147">
        <f t="shared" si="267"/>
        <v>6.8023771780048236E-3</v>
      </c>
      <c r="BU445" s="164">
        <f>IF(AND($C444=12,$D444=Input!$C$6),0,IF($E445="","",BK445+(BL445+BU446)/(1+$AK445)*MIN((1-T445-U445),1)))</f>
        <v>53277.874728761592</v>
      </c>
      <c r="BV445" s="164">
        <f t="shared" si="268"/>
        <v>362.41619914752778</v>
      </c>
      <c r="BW445" s="164">
        <f t="shared" si="269"/>
        <v>-2048.8594655429897</v>
      </c>
      <c r="BX445" s="164">
        <f t="shared" si="270"/>
        <v>-13.937114869348793</v>
      </c>
    </row>
    <row r="446" spans="1:76" s="150" customFormat="1" x14ac:dyDescent="0.25">
      <c r="A446" s="150">
        <f t="shared" si="281"/>
        <v>442</v>
      </c>
      <c r="B446" s="150">
        <f t="shared" si="282"/>
        <v>37</v>
      </c>
      <c r="C446" s="150">
        <f t="shared" si="283"/>
        <v>10</v>
      </c>
      <c r="D446" s="150">
        <f>IF(E446="","",Input!$C$4+B446-1)</f>
        <v>81</v>
      </c>
      <c r="E446" s="150">
        <f>IF(OR(AND(C445=12,D445=Input!$C$6),E445=""),"",1)</f>
        <v>1</v>
      </c>
      <c r="F446" s="150">
        <f>IF(E446="","",Input!$C$8+B446-1)</f>
        <v>2054</v>
      </c>
      <c r="G446" s="151">
        <f>IF(E446="","",MAX(0,Input!$C$9-B446))</f>
        <v>0</v>
      </c>
      <c r="H446" s="152">
        <f>IF(E446="","",Input!$C$3)</f>
        <v>100000</v>
      </c>
      <c r="I446" s="153">
        <f>IF(E446="","",HLOOKUP($B446,Input!$C$13:$BT$14,2))</f>
        <v>121.17700000000001</v>
      </c>
      <c r="J446" s="154"/>
      <c r="K446" s="155">
        <f>IF($E446="","",INDEX(Input!$C$16:$CP$16,1,$B446))</f>
        <v>3.0499999999999999E-2</v>
      </c>
      <c r="L446" s="155">
        <f>IF($E446="","",Input!$C$37)</f>
        <v>1.4999999999999999E-2</v>
      </c>
      <c r="M446" s="155">
        <f t="shared" si="287"/>
        <v>4.5499999999999999E-2</v>
      </c>
      <c r="N446" s="155">
        <f t="shared" si="288"/>
        <v>3.7148195588312394E-3</v>
      </c>
      <c r="O446" s="147">
        <f>IF($E446="","",MIN(VLOOKUP(IF($B446&lt;=Input!$C$7,$B446,26),'Mortality Tables'!$A$41:$CW$67,IF($B446&lt;=Input!$C$7+1,Input!$C$4+2,$D446-Input!$C$7+2),0)*IF(B446&gt;20,Input!$C$22,1)/1000,1))</f>
        <v>0.13701760000000002</v>
      </c>
      <c r="P446" s="147">
        <f>IF($E446="","",MIN(VLOOKUP(IF($B446&lt;=Input!$C$7,$B446,26),'Mortality Tables'!$A$12:$CW$37,IF($B446&lt;=Input!$C$7+1,Input!$C$4+2,$D446-Input!$C$7+2),0)*IF(B446&gt;20,Input!$C$22,1)/1000,1))</f>
        <v>0.17127199999999998</v>
      </c>
      <c r="Q446" s="155">
        <f>IF($E446="","",Input!$C$21)</f>
        <v>5.0000000000000001E-3</v>
      </c>
      <c r="R446" s="159">
        <f>IF($E446="","",(1-Q446)^($F446-Input!$C$20))</f>
        <v>0.83489316731872676</v>
      </c>
      <c r="S446" s="147">
        <f t="shared" si="249"/>
        <v>0.11439505804241039</v>
      </c>
      <c r="T446" s="147">
        <f t="shared" si="250"/>
        <v>1.0072621014792116E-2</v>
      </c>
      <c r="U446" s="160">
        <f>IF($E446="","",IF($C446=12,INDEX(Input!$C$15:$CP$15,1,$B446),0))</f>
        <v>0</v>
      </c>
      <c r="V446" s="150">
        <f>IF(E446="","",IF(C446=1,IF($B446=1,Input!$C$33,Input!$C$34),0))</f>
        <v>0</v>
      </c>
      <c r="W446" s="156">
        <f>IF($E446="","",Input!$C$35)</f>
        <v>0.02</v>
      </c>
      <c r="X446" s="156">
        <f t="shared" si="289"/>
        <v>2.0398873437157055</v>
      </c>
      <c r="Y446" s="154"/>
      <c r="Z446" s="147">
        <f>IF($E446="","",VLOOKUP($D446,'Mortality Margins &amp; Grading'!$AB$5:$AF$125,3,0)*IF(Summary!$D$25="Included Margin",IF(AND($B446&gt;Input!$C$9,Summary!$D$31&lt;&gt;"Included Margin"),0,1),0))</f>
        <v>2.5999999999999999E-2</v>
      </c>
      <c r="AA446" s="147">
        <f>IF($E446="","",VLOOKUP($D446,'Mortality Margins &amp; Grading'!$AB$5:$AF$125,5,0)*IF(Summary!$D$25="Included Margin",IF(AND($B446&gt;Input!$C$9,Summary!$D$31&lt;&gt;"Included Margin"),0,1),0))</f>
        <v>0.13600000000000001</v>
      </c>
      <c r="AB446" s="147">
        <f>IF($E446="","",IF(AND($B446&gt;Input!$C$9,Summary!$D$31&lt;&gt;"Included Margin"),1,IF(Summary!$D$25="Included Margin",VLOOKUP($B446,'Mortality Margins &amp; Grading'!$AI$5:$AR$125,MATCH('Mortality Margins &amp; Grading'!$AQ$4,'Mortality Margins &amp; Grading'!$AI$4:$AR$4,0),0),1)))</f>
        <v>0.5</v>
      </c>
      <c r="AC446" s="154"/>
      <c r="AD446" s="158">
        <f>IF(E446="","",Input!$C$48*IF(Summary!$D$30="Included Margin",IF(AND($B446&gt;Input!$C$9,Summary!$D$31&lt;&gt;"Included Margin"),0,1),0))</f>
        <v>-4.4999999999999997E-3</v>
      </c>
      <c r="AE446" s="159">
        <f>IF(E446="","",IF(Summary!$D$26="Included Margin",IF(AND($B446&gt;Input!$C$9,Summary!$D$31&lt;&gt;"Included Margin"),1,1/$R446),1))</f>
        <v>1.1977580355718045</v>
      </c>
      <c r="AF446" s="160">
        <f>IF(E446="","",IF(AND($B446&gt;=Input!$C$9,$C446=12,Summary!$D$31="Included Margin",$U446&gt;0),1/U446-1,IF($B446&gt;=Input!$C$9,0,Input!$C$45*IF(Summary!$D$27="Included Margin",1,0))))</f>
        <v>0</v>
      </c>
      <c r="AG446" s="160">
        <f>IF(E446="","",Input!$C$46*IF(Summary!$D$28="Included Margin",IF(AND($B446&gt;Input!$C$9,Summary!$D$31&lt;&gt;"Included Margin"),0,1),0))</f>
        <v>0.02</v>
      </c>
      <c r="AH446" s="158">
        <f>IF(E446="","",Input!$C$47*IF(Summary!$D$29="Included Margin",IF(AND($B446&gt;Input!$C$9,Summary!$D$31&lt;&gt;"Included Margin"),0,1),0))</f>
        <v>2.5000000000000001E-3</v>
      </c>
      <c r="AI446" s="154"/>
      <c r="AJ446" s="158">
        <f t="shared" si="271"/>
        <v>4.1000000000000002E-2</v>
      </c>
      <c r="AK446" s="155">
        <f t="shared" si="272"/>
        <v>3.3540948994528197E-3</v>
      </c>
      <c r="AL446" s="147">
        <f t="shared" si="273"/>
        <v>0.16757252480000001</v>
      </c>
      <c r="AM446" s="147">
        <f t="shared" si="251"/>
        <v>1.5167889125170753E-2</v>
      </c>
      <c r="AN446" s="160">
        <f t="shared" si="274"/>
        <v>0</v>
      </c>
      <c r="AO446" s="161">
        <f t="shared" si="275"/>
        <v>0</v>
      </c>
      <c r="AP446" s="156">
        <f t="shared" si="252"/>
        <v>2.2278164194467767</v>
      </c>
      <c r="AQ446" s="152"/>
      <c r="AR446" s="162">
        <f t="shared" si="253"/>
        <v>4459.4131936885224</v>
      </c>
      <c r="AS446" s="150">
        <f t="shared" si="276"/>
        <v>0</v>
      </c>
      <c r="AT446" s="163">
        <f t="shared" si="254"/>
        <v>0</v>
      </c>
      <c r="AU446" s="163">
        <f t="shared" si="255"/>
        <v>1516.7889125170752</v>
      </c>
      <c r="AV446" s="163">
        <f t="shared" si="277"/>
        <v>12.413568069993227</v>
      </c>
      <c r="AW446" s="163">
        <f t="shared" si="256"/>
        <v>45.512073134271397</v>
      </c>
      <c r="AX446" s="163">
        <f t="shared" si="257"/>
        <v>0</v>
      </c>
      <c r="AY446" s="165">
        <f t="shared" si="278"/>
        <v>3000.549922375712</v>
      </c>
      <c r="AZ446" s="164">
        <f>IF($E446="","",IF(OR(AND($D446=Input!$C$6,$C446=12),$AN446=1),0,-AS447+AT447+AU447-AV447-AW447-AX447+AZ447))</f>
        <v>3000.5541811843277</v>
      </c>
      <c r="BA446" s="154">
        <f t="shared" si="258"/>
        <v>4.2588086157593352E-3</v>
      </c>
      <c r="BC446" s="147">
        <f t="shared" si="279"/>
        <v>6.7338594106911096E-3</v>
      </c>
      <c r="BD446" s="164">
        <f>IF(AND($C445=12,$D445=Input!$C$6),0,IF($E446="","",AT446+(AU446+BD447)/(1+$AK446)*MIN((1-AM446-AN446),1)))</f>
        <v>2680.6284310773208</v>
      </c>
      <c r="BE446" s="164">
        <f t="shared" si="259"/>
        <v>18.050974987176161</v>
      </c>
      <c r="BF446" s="164">
        <f t="shared" si="280"/>
        <v>3000.5541811843277</v>
      </c>
      <c r="BG446" s="164">
        <f t="shared" si="260"/>
        <v>20.205310010256643</v>
      </c>
      <c r="BH446" s="152"/>
      <c r="BI446" s="162">
        <f t="shared" si="261"/>
        <v>-2048.8629341255391</v>
      </c>
      <c r="BJ446" s="150">
        <f t="shared" si="262"/>
        <v>0</v>
      </c>
      <c r="BK446" s="163">
        <f t="shared" si="284"/>
        <v>0</v>
      </c>
      <c r="BL446" s="163">
        <f t="shared" si="263"/>
        <v>1007.2621014792115</v>
      </c>
      <c r="BM446" s="163">
        <f t="shared" si="285"/>
        <v>-9.482054578776129</v>
      </c>
      <c r="BN446" s="163">
        <f t="shared" si="264"/>
        <v>-31.192857291829917</v>
      </c>
      <c r="BO446" s="163">
        <f t="shared" si="265"/>
        <v>0</v>
      </c>
      <c r="BP446" s="164">
        <f t="shared" si="286"/>
        <v>-3096.7999474753569</v>
      </c>
      <c r="BQ446" s="164">
        <f>IF($E446="","",IF(AND($D446=Input!$C$6,$C446=12),0,-BJ447+BK447+BL447-BM447-BN447-BO447+BQ447))</f>
        <v>-3096.796478892807</v>
      </c>
      <c r="BR446" s="161">
        <f t="shared" si="266"/>
        <v>0</v>
      </c>
      <c r="BT446" s="147">
        <f t="shared" si="267"/>
        <v>6.7338594106911096E-3</v>
      </c>
      <c r="BU446" s="164">
        <f>IF(AND($C445=12,$D445=Input!$C$6),0,IF($E446="","",BK446+(BL446+BU447)/(1+$AK446)*MIN((1-T446-U446),1)))</f>
        <v>52993.238249811504</v>
      </c>
      <c r="BV446" s="164">
        <f t="shared" si="268"/>
        <v>356.84901609148926</v>
      </c>
      <c r="BW446" s="164">
        <f t="shared" si="269"/>
        <v>-3096.796478892807</v>
      </c>
      <c r="BX446" s="164">
        <f t="shared" si="270"/>
        <v>-20.853392112387422</v>
      </c>
    </row>
    <row r="447" spans="1:76" s="150" customFormat="1" x14ac:dyDescent="0.25">
      <c r="A447" s="150">
        <f t="shared" si="281"/>
        <v>443</v>
      </c>
      <c r="B447" s="150">
        <f t="shared" si="282"/>
        <v>37</v>
      </c>
      <c r="C447" s="150">
        <f t="shared" si="283"/>
        <v>11</v>
      </c>
      <c r="D447" s="150">
        <f>IF(E447="","",Input!$C$4+B447-1)</f>
        <v>81</v>
      </c>
      <c r="E447" s="150">
        <f>IF(OR(AND(C446=12,D446=Input!$C$6),E446=""),"",1)</f>
        <v>1</v>
      </c>
      <c r="F447" s="150">
        <f>IF(E447="","",Input!$C$8+B447-1)</f>
        <v>2054</v>
      </c>
      <c r="G447" s="151">
        <f>IF(E447="","",MAX(0,Input!$C$9-B447))</f>
        <v>0</v>
      </c>
      <c r="H447" s="152">
        <f>IF(E447="","",Input!$C$3)</f>
        <v>100000</v>
      </c>
      <c r="I447" s="153">
        <f>IF(E447="","",HLOOKUP($B447,Input!$C$13:$BT$14,2))</f>
        <v>121.17700000000001</v>
      </c>
      <c r="J447" s="154"/>
      <c r="K447" s="155">
        <f>IF($E447="","",INDEX(Input!$C$16:$CP$16,1,$B447))</f>
        <v>3.0499999999999999E-2</v>
      </c>
      <c r="L447" s="155">
        <f>IF($E447="","",Input!$C$37)</f>
        <v>1.4999999999999999E-2</v>
      </c>
      <c r="M447" s="155">
        <f t="shared" si="287"/>
        <v>4.5499999999999999E-2</v>
      </c>
      <c r="N447" s="155">
        <f t="shared" si="288"/>
        <v>3.7148195588312394E-3</v>
      </c>
      <c r="O447" s="147">
        <f>IF($E447="","",MIN(VLOOKUP(IF($B447&lt;=Input!$C$7,$B447,26),'Mortality Tables'!$A$41:$CW$67,IF($B447&lt;=Input!$C$7+1,Input!$C$4+2,$D447-Input!$C$7+2),0)*IF(B447&gt;20,Input!$C$22,1)/1000,1))</f>
        <v>0.13701760000000002</v>
      </c>
      <c r="P447" s="147">
        <f>IF($E447="","",MIN(VLOOKUP(IF($B447&lt;=Input!$C$7,$B447,26),'Mortality Tables'!$A$12:$CW$37,IF($B447&lt;=Input!$C$7+1,Input!$C$4+2,$D447-Input!$C$7+2),0)*IF(B447&gt;20,Input!$C$22,1)/1000,1))</f>
        <v>0.17127199999999998</v>
      </c>
      <c r="Q447" s="155">
        <f>IF($E447="","",Input!$C$21)</f>
        <v>5.0000000000000001E-3</v>
      </c>
      <c r="R447" s="159">
        <f>IF($E447="","",(1-Q447)^($F447-Input!$C$20))</f>
        <v>0.83489316731872676</v>
      </c>
      <c r="S447" s="147">
        <f t="shared" si="249"/>
        <v>0.11439505804241039</v>
      </c>
      <c r="T447" s="147">
        <f t="shared" si="250"/>
        <v>1.0072621014792116E-2</v>
      </c>
      <c r="U447" s="160">
        <f>IF($E447="","",IF($C447=12,INDEX(Input!$C$15:$CP$15,1,$B447),0))</f>
        <v>0</v>
      </c>
      <c r="V447" s="150">
        <f>IF(E447="","",IF(C447=1,IF($B447=1,Input!$C$33,Input!$C$34),0))</f>
        <v>0</v>
      </c>
      <c r="W447" s="156">
        <f>IF($E447="","",Input!$C$35)</f>
        <v>0.02</v>
      </c>
      <c r="X447" s="156">
        <f t="shared" si="289"/>
        <v>2.0398873437157055</v>
      </c>
      <c r="Y447" s="154"/>
      <c r="Z447" s="147">
        <f>IF($E447="","",VLOOKUP($D447,'Mortality Margins &amp; Grading'!$AB$5:$AF$125,3,0)*IF(Summary!$D$25="Included Margin",IF(AND($B447&gt;Input!$C$9,Summary!$D$31&lt;&gt;"Included Margin"),0,1),0))</f>
        <v>2.5999999999999999E-2</v>
      </c>
      <c r="AA447" s="147">
        <f>IF($E447="","",VLOOKUP($D447,'Mortality Margins &amp; Grading'!$AB$5:$AF$125,5,0)*IF(Summary!$D$25="Included Margin",IF(AND($B447&gt;Input!$C$9,Summary!$D$31&lt;&gt;"Included Margin"),0,1),0))</f>
        <v>0.13600000000000001</v>
      </c>
      <c r="AB447" s="147">
        <f>IF($E447="","",IF(AND($B447&gt;Input!$C$9,Summary!$D$31&lt;&gt;"Included Margin"),1,IF(Summary!$D$25="Included Margin",VLOOKUP($B447,'Mortality Margins &amp; Grading'!$AI$5:$AR$125,MATCH('Mortality Margins &amp; Grading'!$AQ$4,'Mortality Margins &amp; Grading'!$AI$4:$AR$4,0),0),1)))</f>
        <v>0.5</v>
      </c>
      <c r="AC447" s="154"/>
      <c r="AD447" s="158">
        <f>IF(E447="","",Input!$C$48*IF(Summary!$D$30="Included Margin",IF(AND($B447&gt;Input!$C$9,Summary!$D$31&lt;&gt;"Included Margin"),0,1),0))</f>
        <v>-4.4999999999999997E-3</v>
      </c>
      <c r="AE447" s="159">
        <f>IF(E447="","",IF(Summary!$D$26="Included Margin",IF(AND($B447&gt;Input!$C$9,Summary!$D$31&lt;&gt;"Included Margin"),1,1/$R447),1))</f>
        <v>1.1977580355718045</v>
      </c>
      <c r="AF447" s="160">
        <f>IF(E447="","",IF(AND($B447&gt;=Input!$C$9,$C447=12,Summary!$D$31="Included Margin",$U447&gt;0),1/U447-1,IF($B447&gt;=Input!$C$9,0,Input!$C$45*IF(Summary!$D$27="Included Margin",1,0))))</f>
        <v>0</v>
      </c>
      <c r="AG447" s="160">
        <f>IF(E447="","",Input!$C$46*IF(Summary!$D$28="Included Margin",IF(AND($B447&gt;Input!$C$9,Summary!$D$31&lt;&gt;"Included Margin"),0,1),0))</f>
        <v>0.02</v>
      </c>
      <c r="AH447" s="158">
        <f>IF(E447="","",Input!$C$47*IF(Summary!$D$29="Included Margin",IF(AND($B447&gt;Input!$C$9,Summary!$D$31&lt;&gt;"Included Margin"),0,1),0))</f>
        <v>2.5000000000000001E-3</v>
      </c>
      <c r="AI447" s="154"/>
      <c r="AJ447" s="158">
        <f t="shared" si="271"/>
        <v>4.1000000000000002E-2</v>
      </c>
      <c r="AK447" s="155">
        <f t="shared" si="272"/>
        <v>3.3540948994528197E-3</v>
      </c>
      <c r="AL447" s="147">
        <f t="shared" si="273"/>
        <v>0.16757252480000001</v>
      </c>
      <c r="AM447" s="147">
        <f t="shared" si="251"/>
        <v>1.5167889125170753E-2</v>
      </c>
      <c r="AN447" s="160">
        <f t="shared" si="274"/>
        <v>0</v>
      </c>
      <c r="AO447" s="161">
        <f t="shared" si="275"/>
        <v>0</v>
      </c>
      <c r="AP447" s="156">
        <f t="shared" si="252"/>
        <v>2.2278164194467767</v>
      </c>
      <c r="AQ447" s="152"/>
      <c r="AR447" s="162">
        <f t="shared" si="253"/>
        <v>3000.5499223757115</v>
      </c>
      <c r="AS447" s="150">
        <f t="shared" si="276"/>
        <v>0</v>
      </c>
      <c r="AT447" s="163">
        <f t="shared" si="254"/>
        <v>0</v>
      </c>
      <c r="AU447" s="163">
        <f t="shared" si="255"/>
        <v>1516.7889125170752</v>
      </c>
      <c r="AV447" s="163">
        <f t="shared" si="277"/>
        <v>7.520402212683873</v>
      </c>
      <c r="AW447" s="163">
        <f t="shared" si="256"/>
        <v>22.968032276861535</v>
      </c>
      <c r="AX447" s="163">
        <f t="shared" si="257"/>
        <v>0</v>
      </c>
      <c r="AY447" s="164">
        <f t="shared" si="278"/>
        <v>1514.2494443481817</v>
      </c>
      <c r="AZ447" s="164">
        <f>IF($E447="","",IF(OR(AND($D447=Input!$C$6,$C447=12),$AN447=1),0,-AS448+AT448+AU448-AV448-AW448-AX448+AZ448))</f>
        <v>1514.2537031567979</v>
      </c>
      <c r="BA447" s="154">
        <f t="shared" si="258"/>
        <v>4.2588086162140826E-3</v>
      </c>
      <c r="BC447" s="147">
        <f t="shared" si="279"/>
        <v>6.6660317968803267E-3</v>
      </c>
      <c r="BD447" s="164">
        <f>IF(AND($C446=12,$D446=Input!$C$6),0,IF($E447="","",AT447+(AU447+BD448)/(1+$AK447)*MIN((1-AM447-AN447),1)))</f>
        <v>1214.2547684572671</v>
      </c>
      <c r="BE447" s="164">
        <f t="shared" si="259"/>
        <v>8.0942608960497022</v>
      </c>
      <c r="BF447" s="164">
        <f t="shared" si="280"/>
        <v>1514.2537031567979</v>
      </c>
      <c r="BG447" s="164">
        <f t="shared" si="260"/>
        <v>10.094063333786998</v>
      </c>
      <c r="BH447" s="152"/>
      <c r="BI447" s="162">
        <f t="shared" si="261"/>
        <v>-3096.799947475356</v>
      </c>
      <c r="BJ447" s="150">
        <f t="shared" si="262"/>
        <v>0</v>
      </c>
      <c r="BK447" s="163">
        <f t="shared" si="284"/>
        <v>0</v>
      </c>
      <c r="BL447" s="163">
        <f t="shared" si="263"/>
        <v>1007.2621014792115</v>
      </c>
      <c r="BM447" s="163">
        <f t="shared" si="285"/>
        <v>-13.374951492391222</v>
      </c>
      <c r="BN447" s="163">
        <f t="shared" si="264"/>
        <v>-41.895343436790526</v>
      </c>
      <c r="BO447" s="163">
        <f t="shared" si="265"/>
        <v>0</v>
      </c>
      <c r="BP447" s="164">
        <f t="shared" si="286"/>
        <v>-4159.3323438837488</v>
      </c>
      <c r="BQ447" s="164">
        <f>IF($E447="","",IF(AND($D447=Input!$C$6,$C447=12),0,-BJ448+BK448+BL448-BM448-BN448-BO448+BQ448))</f>
        <v>-4159.3288753012002</v>
      </c>
      <c r="BR447" s="161">
        <f t="shared" si="266"/>
        <v>0</v>
      </c>
      <c r="BT447" s="147">
        <f t="shared" si="267"/>
        <v>6.6660317968803267E-3</v>
      </c>
      <c r="BU447" s="164">
        <f>IF(AND($C446=12,$D446=Input!$C$6),0,IF($E447="","",BK447+(BL447+BU448)/(1+$AK447)*MIN((1-T447-U447),1)))</f>
        <v>52704.741151160597</v>
      </c>
      <c r="BV447" s="164">
        <f t="shared" si="268"/>
        <v>351.33148035998357</v>
      </c>
      <c r="BW447" s="164">
        <f t="shared" si="269"/>
        <v>-4159.3288753012002</v>
      </c>
      <c r="BX447" s="164">
        <f t="shared" si="270"/>
        <v>-27.726218536440289</v>
      </c>
    </row>
    <row r="448" spans="1:76" s="150" customFormat="1" x14ac:dyDescent="0.25">
      <c r="A448" s="150">
        <f t="shared" si="281"/>
        <v>444</v>
      </c>
      <c r="B448" s="150">
        <f t="shared" si="282"/>
        <v>37</v>
      </c>
      <c r="C448" s="150">
        <f t="shared" si="283"/>
        <v>12</v>
      </c>
      <c r="D448" s="150">
        <f>IF(E448="","",Input!$C$4+B448-1)</f>
        <v>81</v>
      </c>
      <c r="E448" s="150">
        <f>IF(OR(AND(C447=12,D447=Input!$C$6),E447=""),"",1)</f>
        <v>1</v>
      </c>
      <c r="F448" s="150">
        <f>IF(E448="","",Input!$C$8+B448-1)</f>
        <v>2054</v>
      </c>
      <c r="G448" s="151">
        <f>IF(E448="","",MAX(0,Input!$C$9-B448))</f>
        <v>0</v>
      </c>
      <c r="H448" s="152">
        <f>IF(E448="","",Input!$C$3)</f>
        <v>100000</v>
      </c>
      <c r="I448" s="153">
        <f>IF(E448="","",HLOOKUP($B448,Input!$C$13:$BT$14,2))</f>
        <v>121.17700000000001</v>
      </c>
      <c r="J448" s="154"/>
      <c r="K448" s="155">
        <f>IF($E448="","",INDEX(Input!$C$16:$CP$16,1,$B448))</f>
        <v>3.0499999999999999E-2</v>
      </c>
      <c r="L448" s="155">
        <f>IF($E448="","",Input!$C$37)</f>
        <v>1.4999999999999999E-2</v>
      </c>
      <c r="M448" s="155">
        <f t="shared" si="287"/>
        <v>4.5499999999999999E-2</v>
      </c>
      <c r="N448" s="155">
        <f t="shared" si="288"/>
        <v>3.7148195588312394E-3</v>
      </c>
      <c r="O448" s="147">
        <f>IF($E448="","",MIN(VLOOKUP(IF($B448&lt;=Input!$C$7,$B448,26),'Mortality Tables'!$A$41:$CW$67,IF($B448&lt;=Input!$C$7+1,Input!$C$4+2,$D448-Input!$C$7+2),0)*IF(B448&gt;20,Input!$C$22,1)/1000,1))</f>
        <v>0.13701760000000002</v>
      </c>
      <c r="P448" s="147">
        <f>IF($E448="","",MIN(VLOOKUP(IF($B448&lt;=Input!$C$7,$B448,26),'Mortality Tables'!$A$12:$CW$37,IF($B448&lt;=Input!$C$7+1,Input!$C$4+2,$D448-Input!$C$7+2),0)*IF(B448&gt;20,Input!$C$22,1)/1000,1))</f>
        <v>0.17127199999999998</v>
      </c>
      <c r="Q448" s="155">
        <f>IF($E448="","",Input!$C$21)</f>
        <v>5.0000000000000001E-3</v>
      </c>
      <c r="R448" s="159">
        <f>IF($E448="","",(1-Q448)^($F448-Input!$C$20))</f>
        <v>0.83489316731872676</v>
      </c>
      <c r="S448" s="147">
        <f t="shared" si="249"/>
        <v>0.11439505804241039</v>
      </c>
      <c r="T448" s="147">
        <f t="shared" si="250"/>
        <v>1.0072621014792116E-2</v>
      </c>
      <c r="U448" s="160">
        <f>IF($E448="","",IF($C448=12,INDEX(Input!$C$15:$CP$15,1,$B448),0))</f>
        <v>0.1</v>
      </c>
      <c r="V448" s="150">
        <f>IF(E448="","",IF(C448=1,IF($B448=1,Input!$C$33,Input!$C$34),0))</f>
        <v>0</v>
      </c>
      <c r="W448" s="156">
        <f>IF($E448="","",Input!$C$35)</f>
        <v>0.02</v>
      </c>
      <c r="X448" s="156">
        <f t="shared" si="289"/>
        <v>2.0398873437157055</v>
      </c>
      <c r="Y448" s="154"/>
      <c r="Z448" s="147">
        <f>IF($E448="","",VLOOKUP($D448,'Mortality Margins &amp; Grading'!$AB$5:$AF$125,3,0)*IF(Summary!$D$25="Included Margin",IF(AND($B448&gt;Input!$C$9,Summary!$D$31&lt;&gt;"Included Margin"),0,1),0))</f>
        <v>2.5999999999999999E-2</v>
      </c>
      <c r="AA448" s="147">
        <f>IF($E448="","",VLOOKUP($D448,'Mortality Margins &amp; Grading'!$AB$5:$AF$125,5,0)*IF(Summary!$D$25="Included Margin",IF(AND($B448&gt;Input!$C$9,Summary!$D$31&lt;&gt;"Included Margin"),0,1),0))</f>
        <v>0.13600000000000001</v>
      </c>
      <c r="AB448" s="147">
        <f>IF($E448="","",IF(AND($B448&gt;Input!$C$9,Summary!$D$31&lt;&gt;"Included Margin"),1,IF(Summary!$D$25="Included Margin",VLOOKUP($B448,'Mortality Margins &amp; Grading'!$AI$5:$AR$125,MATCH('Mortality Margins &amp; Grading'!$AQ$4,'Mortality Margins &amp; Grading'!$AI$4:$AR$4,0),0),1)))</f>
        <v>0.5</v>
      </c>
      <c r="AC448" s="154"/>
      <c r="AD448" s="158">
        <f>IF(E448="","",Input!$C$48*IF(Summary!$D$30="Included Margin",IF(AND($B448&gt;Input!$C$9,Summary!$D$31&lt;&gt;"Included Margin"),0,1),0))</f>
        <v>-4.4999999999999997E-3</v>
      </c>
      <c r="AE448" s="159">
        <f>IF(E448="","",IF(Summary!$D$26="Included Margin",IF(AND($B448&gt;Input!$C$9,Summary!$D$31&lt;&gt;"Included Margin"),1,1/$R448),1))</f>
        <v>1.1977580355718045</v>
      </c>
      <c r="AF448" s="160">
        <f>IF(E448="","",IF(AND($B448&gt;=Input!$C$9,$C448=12,Summary!$D$31="Included Margin",$U448&gt;0),1/U448-1,IF($B448&gt;=Input!$C$9,0,Input!$C$45*IF(Summary!$D$27="Included Margin",1,0))))</f>
        <v>9</v>
      </c>
      <c r="AG448" s="160">
        <f>IF(E448="","",Input!$C$46*IF(Summary!$D$28="Included Margin",IF(AND($B448&gt;Input!$C$9,Summary!$D$31&lt;&gt;"Included Margin"),0,1),0))</f>
        <v>0.02</v>
      </c>
      <c r="AH448" s="158">
        <f>IF(E448="","",Input!$C$47*IF(Summary!$D$29="Included Margin",IF(AND($B448&gt;Input!$C$9,Summary!$D$31&lt;&gt;"Included Margin"),0,1),0))</f>
        <v>2.5000000000000001E-3</v>
      </c>
      <c r="AI448" s="154"/>
      <c r="AJ448" s="158">
        <f t="shared" si="271"/>
        <v>4.1000000000000002E-2</v>
      </c>
      <c r="AK448" s="155">
        <f t="shared" si="272"/>
        <v>3.3540948994528197E-3</v>
      </c>
      <c r="AL448" s="147">
        <f t="shared" si="273"/>
        <v>0.16757252480000001</v>
      </c>
      <c r="AM448" s="147">
        <f t="shared" si="251"/>
        <v>1.5167889125170753E-2</v>
      </c>
      <c r="AN448" s="160">
        <f t="shared" si="274"/>
        <v>1</v>
      </c>
      <c r="AO448" s="161">
        <f t="shared" si="275"/>
        <v>0</v>
      </c>
      <c r="AP448" s="156">
        <f t="shared" si="252"/>
        <v>2.2278164194467767</v>
      </c>
      <c r="AQ448" s="152"/>
      <c r="AR448" s="162">
        <f t="shared" si="253"/>
        <v>1514.2494443481817</v>
      </c>
      <c r="AS448" s="150">
        <f t="shared" si="276"/>
        <v>0</v>
      </c>
      <c r="AT448" s="163">
        <f t="shared" si="254"/>
        <v>0</v>
      </c>
      <c r="AU448" s="163">
        <f t="shared" si="255"/>
        <v>1516.7889125170752</v>
      </c>
      <c r="AV448" s="163">
        <f t="shared" si="277"/>
        <v>2.535209360277447</v>
      </c>
      <c r="AW448" s="163">
        <f t="shared" si="256"/>
        <v>0</v>
      </c>
      <c r="AX448" s="163">
        <f t="shared" si="257"/>
        <v>0</v>
      </c>
      <c r="AY448" s="165">
        <f t="shared" si="278"/>
        <v>-4.258808616116383E-3</v>
      </c>
      <c r="AZ448" s="164">
        <f>IF($E448="","",IF(OR(AND($D448=Input!$C$6,$C448=12),$AN448=1),0,-AS449+AT449+AU449-AV449-AW449-AX449+AZ449))</f>
        <v>0</v>
      </c>
      <c r="BA448" s="154">
        <f t="shared" si="258"/>
        <v>4.258808616116383E-3</v>
      </c>
      <c r="BC448" s="147">
        <f t="shared" si="279"/>
        <v>5.9322842052297649E-3</v>
      </c>
      <c r="BD448" s="164">
        <f>IF(AND($C447=12,$D447=Input!$C$6),0,IF($E448="","",AT448+(AU448+BD449)/(1+$AK448)*MIN((1-AM448-AN448),1)))</f>
        <v>-279.69735068676266</v>
      </c>
      <c r="BE448" s="164">
        <f t="shared" si="259"/>
        <v>-1.6592441757236926</v>
      </c>
      <c r="BF448" s="164">
        <f t="shared" si="280"/>
        <v>0</v>
      </c>
      <c r="BG448" s="164">
        <f t="shared" si="260"/>
        <v>0</v>
      </c>
      <c r="BH448" s="152"/>
      <c r="BI448" s="162">
        <f t="shared" si="261"/>
        <v>-4159.3323438837506</v>
      </c>
      <c r="BJ448" s="150">
        <f t="shared" si="262"/>
        <v>0</v>
      </c>
      <c r="BK448" s="163">
        <f t="shared" si="284"/>
        <v>0</v>
      </c>
      <c r="BL448" s="163">
        <f t="shared" si="263"/>
        <v>1007.2621014792115</v>
      </c>
      <c r="BM448" s="163">
        <f t="shared" si="285"/>
        <v>-17.322067620460956</v>
      </c>
      <c r="BN448" s="163">
        <f t="shared" si="264"/>
        <v>-58.607656568610942</v>
      </c>
      <c r="BO448" s="163">
        <f t="shared" si="265"/>
        <v>-575.99033826676373</v>
      </c>
      <c r="BP448" s="164">
        <f t="shared" si="286"/>
        <v>-5818.514507818797</v>
      </c>
      <c r="BQ448" s="164">
        <f>IF($E448="","",IF(AND($D448=Input!$C$6,$C448=12),0,-BJ449+BK449+BL449-BM449-BN449-BO449+BQ449))</f>
        <v>-5818.5110392362476</v>
      </c>
      <c r="BR448" s="161">
        <f t="shared" si="266"/>
        <v>0</v>
      </c>
      <c r="BT448" s="147">
        <f t="shared" si="267"/>
        <v>5.9322842052297649E-3</v>
      </c>
      <c r="BU448" s="164">
        <f>IF(AND($C447=12,$D447=Input!$C$6),0,IF($E448="","",BK448+(BL448+BU449)/(1+$AK448)*MIN((1-T448-U448),1)))</f>
        <v>52412.331069933498</v>
      </c>
      <c r="BV448" s="164">
        <f t="shared" si="268"/>
        <v>310.92484376543973</v>
      </c>
      <c r="BW448" s="164">
        <f t="shared" si="269"/>
        <v>-5818.5110392362476</v>
      </c>
      <c r="BX448" s="164">
        <f t="shared" si="270"/>
        <v>-34.517061136016217</v>
      </c>
    </row>
    <row r="449" spans="1:76" s="150" customFormat="1" x14ac:dyDescent="0.25">
      <c r="A449" s="150">
        <f t="shared" si="281"/>
        <v>445</v>
      </c>
      <c r="B449" s="150">
        <f t="shared" si="282"/>
        <v>38</v>
      </c>
      <c r="C449" s="150">
        <f t="shared" si="283"/>
        <v>1</v>
      </c>
      <c r="D449" s="150">
        <f>IF(E449="","",Input!$C$4+B449-1)</f>
        <v>82</v>
      </c>
      <c r="E449" s="150">
        <f>IF(OR(AND(C448=12,D448=Input!$C$6),E448=""),"",1)</f>
        <v>1</v>
      </c>
      <c r="F449" s="150">
        <f>IF(E449="","",Input!$C$8+B449-1)</f>
        <v>2055</v>
      </c>
      <c r="G449" s="151">
        <f>IF(E449="","",MAX(0,Input!$C$9-B449))</f>
        <v>0</v>
      </c>
      <c r="H449" s="152">
        <f>IF(E449="","",Input!$C$3)</f>
        <v>100000</v>
      </c>
      <c r="I449" s="153">
        <f>IF(E449="","",HLOOKUP($B449,Input!$C$13:$BT$14,2))</f>
        <v>137.02850000000001</v>
      </c>
      <c r="J449" s="154"/>
      <c r="K449" s="155">
        <f>IF($E449="","",INDEX(Input!$C$16:$CP$16,1,$B449))</f>
        <v>3.074E-2</v>
      </c>
      <c r="L449" s="155">
        <f>IF($E449="","",Input!$C$37)</f>
        <v>1.4999999999999999E-2</v>
      </c>
      <c r="M449" s="155">
        <f t="shared" si="287"/>
        <v>4.5740000000000003E-2</v>
      </c>
      <c r="N449" s="155">
        <f t="shared" si="288"/>
        <v>3.7340182050558113E-3</v>
      </c>
      <c r="O449" s="147">
        <f>IF($E449="","",MIN(VLOOKUP(IF($B449&lt;=Input!$C$7,$B449,26),'Mortality Tables'!$A$41:$CW$67,IF($B449&lt;=Input!$C$7+1,Input!$C$4+2,$D449-Input!$C$7+2),0)*IF(B449&gt;20,Input!$C$22,1)/1000,1))</f>
        <v>0.15506120000000001</v>
      </c>
      <c r="P449" s="147">
        <f>IF($E449="","",MIN(VLOOKUP(IF($B449&lt;=Input!$C$7,$B449,26),'Mortality Tables'!$A$12:$CW$37,IF($B449&lt;=Input!$C$7+1,Input!$C$4+2,$D449-Input!$C$7+2),0)*IF(B449&gt;20,Input!$C$22,1)/1000,1))</f>
        <v>0.19382650000000001</v>
      </c>
      <c r="Q449" s="155">
        <f>IF($E449="","",Input!$C$21)</f>
        <v>5.0000000000000001E-3</v>
      </c>
      <c r="R449" s="159">
        <f>IF($E449="","",(1-Q449)^($F449-Input!$C$20))</f>
        <v>0.83071870148213323</v>
      </c>
      <c r="S449" s="147">
        <f t="shared" si="249"/>
        <v>0.12881223871426137</v>
      </c>
      <c r="T449" s="147">
        <f t="shared" si="250"/>
        <v>1.1425704770274714E-2</v>
      </c>
      <c r="U449" s="160">
        <f>IF($E449="","",IF($C449=12,INDEX(Input!$C$15:$CP$15,1,$B449),0))</f>
        <v>0</v>
      </c>
      <c r="V449" s="150">
        <f>IF(E449="","",IF(C449=1,IF($B449=1,Input!$C$33,Input!$C$34),0))</f>
        <v>50</v>
      </c>
      <c r="W449" s="156">
        <f>IF($E449="","",Input!$C$35)</f>
        <v>0.02</v>
      </c>
      <c r="X449" s="156">
        <f t="shared" si="289"/>
        <v>2.0806850905900198</v>
      </c>
      <c r="Y449" s="154"/>
      <c r="Z449" s="147">
        <f>IF($E449="","",VLOOKUP($D449,'Mortality Margins &amp; Grading'!$AB$5:$AF$125,3,0)*IF(Summary!$D$25="Included Margin",IF(AND($B449&gt;Input!$C$9,Summary!$D$31&lt;&gt;"Included Margin"),0,1),0))</f>
        <v>2.5000000000000001E-2</v>
      </c>
      <c r="AA449" s="147">
        <f>IF($E449="","",VLOOKUP($D449,'Mortality Margins &amp; Grading'!$AB$5:$AF$125,5,0)*IF(Summary!$D$25="Included Margin",IF(AND($B449&gt;Input!$C$9,Summary!$D$31&lt;&gt;"Included Margin"),0,1),0))</f>
        <v>0.13</v>
      </c>
      <c r="AB449" s="147">
        <f>IF($E449="","",IF(AND($B449&gt;Input!$C$9,Summary!$D$31&lt;&gt;"Included Margin"),1,IF(Summary!$D$25="Included Margin",VLOOKUP($B449,'Mortality Margins &amp; Grading'!$AI$5:$AR$125,MATCH('Mortality Margins &amp; Grading'!$AQ$4,'Mortality Margins &amp; Grading'!$AI$4:$AR$4,0),0),1)))</f>
        <v>0.4375</v>
      </c>
      <c r="AC449" s="154"/>
      <c r="AD449" s="158">
        <f>IF(E449="","",Input!$C$48*IF(Summary!$D$30="Included Margin",IF(AND($B449&gt;Input!$C$9,Summary!$D$31&lt;&gt;"Included Margin"),0,1),0))</f>
        <v>-4.4999999999999997E-3</v>
      </c>
      <c r="AE449" s="159">
        <f>IF(E449="","",IF(Summary!$D$26="Included Margin",IF(AND($B449&gt;Input!$C$9,Summary!$D$31&lt;&gt;"Included Margin"),1,1/$R449),1))</f>
        <v>1.2037769201726676</v>
      </c>
      <c r="AF449" s="160">
        <f>IF(E449="","",IF(AND($B449&gt;=Input!$C$9,$C449=12,Summary!$D$31="Included Margin",$U449&gt;0),1/U449-1,IF($B449&gt;=Input!$C$9,0,Input!$C$45*IF(Summary!$D$27="Included Margin",1,0))))</f>
        <v>0</v>
      </c>
      <c r="AG449" s="160">
        <f>IF(E449="","",Input!$C$46*IF(Summary!$D$28="Included Margin",IF(AND($B449&gt;Input!$C$9,Summary!$D$31&lt;&gt;"Included Margin"),0,1),0))</f>
        <v>0.02</v>
      </c>
      <c r="AH449" s="158">
        <f>IF(E449="","",Input!$C$47*IF(Summary!$D$29="Included Margin",IF(AND($B449&gt;Input!$C$9,Summary!$D$31&lt;&gt;"Included Margin"),0,1),0))</f>
        <v>2.5000000000000001E-3</v>
      </c>
      <c r="AI449" s="154"/>
      <c r="AJ449" s="158">
        <f t="shared" si="271"/>
        <v>4.1240000000000006E-2</v>
      </c>
      <c r="AK449" s="155">
        <f t="shared" si="272"/>
        <v>3.3733695985587175E-3</v>
      </c>
      <c r="AL449" s="147">
        <f t="shared" si="273"/>
        <v>0.19273622593750001</v>
      </c>
      <c r="AM449" s="147">
        <f t="shared" si="251"/>
        <v>1.7683839962054249E-2</v>
      </c>
      <c r="AN449" s="160">
        <f t="shared" si="274"/>
        <v>0</v>
      </c>
      <c r="AO449" s="161">
        <f t="shared" si="275"/>
        <v>51</v>
      </c>
      <c r="AP449" s="156">
        <f t="shared" si="252"/>
        <v>2.2779422888843293</v>
      </c>
      <c r="AQ449" s="152"/>
      <c r="AR449" s="162">
        <f t="shared" si="253"/>
        <v>5316.22494364664</v>
      </c>
      <c r="AS449" s="150">
        <f t="shared" si="276"/>
        <v>13702.85</v>
      </c>
      <c r="AT449" s="163">
        <f t="shared" si="254"/>
        <v>116.17505673310079</v>
      </c>
      <c r="AU449" s="163">
        <f t="shared" si="255"/>
        <v>1768.3839962054249</v>
      </c>
      <c r="AV449" s="163">
        <f t="shared" si="277"/>
        <v>60.783761397424577</v>
      </c>
      <c r="AW449" s="163">
        <f t="shared" si="256"/>
        <v>309.55310350511428</v>
      </c>
      <c r="AX449" s="163">
        <f t="shared" si="257"/>
        <v>0</v>
      </c>
      <c r="AY449" s="164">
        <f t="shared" si="278"/>
        <v>17504.852755610653</v>
      </c>
      <c r="AZ449" s="164">
        <f>IF($E449="","",IF(OR(AND($D449=Input!$C$6,$C449=12),$AN449=1),0,-AS450+AT450+AU450-AV450-AW450-AX450+AZ450))</f>
        <v>17504.85777802498</v>
      </c>
      <c r="BA449" s="154">
        <f t="shared" si="258"/>
        <v>5.0224143269588239E-3</v>
      </c>
      <c r="BC449" s="147">
        <f t="shared" si="279"/>
        <v>5.8645036772874458E-3</v>
      </c>
      <c r="BD449" s="164">
        <f>IF(AND($C448=12,$D448=Input!$C$6),0,IF($E449="","",AT449+(AU449+BD450)/(1+$AK449)*MIN((1-AM449-AN449),1)))</f>
        <v>16985.158182967927</v>
      </c>
      <c r="BE449" s="164">
        <f t="shared" si="259"/>
        <v>99.609522623324366</v>
      </c>
      <c r="BF449" s="164">
        <f t="shared" si="280"/>
        <v>17504.85777802498</v>
      </c>
      <c r="BG449" s="164">
        <f t="shared" si="260"/>
        <v>102.65730280962124</v>
      </c>
      <c r="BH449" s="152"/>
      <c r="BI449" s="162">
        <f t="shared" si="261"/>
        <v>-5818.5150144985755</v>
      </c>
      <c r="BJ449" s="150">
        <f t="shared" si="262"/>
        <v>13702.85</v>
      </c>
      <c r="BK449" s="163">
        <f t="shared" si="284"/>
        <v>104.034254529501</v>
      </c>
      <c r="BL449" s="163">
        <f t="shared" si="263"/>
        <v>1142.5704770274715</v>
      </c>
      <c r="BM449" s="163">
        <f t="shared" si="285"/>
        <v>26.91859508936826</v>
      </c>
      <c r="BN449" s="163">
        <f t="shared" si="264"/>
        <v>77.028460009765837</v>
      </c>
      <c r="BO449" s="163">
        <f t="shared" si="265"/>
        <v>0</v>
      </c>
      <c r="BP449" s="164">
        <f t="shared" si="286"/>
        <v>6741.6773090435863</v>
      </c>
      <c r="BQ449" s="164">
        <f>IF($E449="","",IF(AND($D449=Input!$C$6,$C449=12),0,-BJ450+BK450+BL450-BM450-BN450-BO450+BQ450))</f>
        <v>6741.6812843059142</v>
      </c>
      <c r="BR449" s="161">
        <f t="shared" si="266"/>
        <v>0</v>
      </c>
      <c r="BT449" s="147">
        <f t="shared" si="267"/>
        <v>5.8645036772874458E-3</v>
      </c>
      <c r="BU449" s="164">
        <f>IF(AND($C448=12,$D448=Input!$C$6),0,IF($E449="","",BK449+(BL449+BU450)/(1+$AK449)*MIN((1-T449-U449),1)))</f>
        <v>58085.342805463086</v>
      </c>
      <c r="BV449" s="164">
        <f t="shared" si="268"/>
        <v>340.64170647914017</v>
      </c>
      <c r="BW449" s="164">
        <f t="shared" si="269"/>
        <v>6741.6812843059142</v>
      </c>
      <c r="BX449" s="164">
        <f t="shared" si="270"/>
        <v>39.536614682911981</v>
      </c>
    </row>
    <row r="450" spans="1:76" s="150" customFormat="1" x14ac:dyDescent="0.25">
      <c r="A450" s="150">
        <f t="shared" si="281"/>
        <v>446</v>
      </c>
      <c r="B450" s="150">
        <f t="shared" si="282"/>
        <v>38</v>
      </c>
      <c r="C450" s="150">
        <f t="shared" si="283"/>
        <v>2</v>
      </c>
      <c r="D450" s="150">
        <f>IF(E450="","",Input!$C$4+B450-1)</f>
        <v>82</v>
      </c>
      <c r="E450" s="150">
        <f>IF(OR(AND(C449=12,D449=Input!$C$6),E449=""),"",1)</f>
        <v>1</v>
      </c>
      <c r="F450" s="150">
        <f>IF(E450="","",Input!$C$8+B450-1)</f>
        <v>2055</v>
      </c>
      <c r="G450" s="151">
        <f>IF(E450="","",MAX(0,Input!$C$9-B450))</f>
        <v>0</v>
      </c>
      <c r="H450" s="152">
        <f>IF(E450="","",Input!$C$3)</f>
        <v>100000</v>
      </c>
      <c r="I450" s="153">
        <f>IF(E450="","",HLOOKUP($B450,Input!$C$13:$BT$14,2))</f>
        <v>137.02850000000001</v>
      </c>
      <c r="J450" s="154"/>
      <c r="K450" s="155">
        <f>IF($E450="","",INDEX(Input!$C$16:$CP$16,1,$B450))</f>
        <v>3.074E-2</v>
      </c>
      <c r="L450" s="155">
        <f>IF($E450="","",Input!$C$37)</f>
        <v>1.4999999999999999E-2</v>
      </c>
      <c r="M450" s="155">
        <f t="shared" si="287"/>
        <v>4.5740000000000003E-2</v>
      </c>
      <c r="N450" s="155">
        <f t="shared" si="288"/>
        <v>3.7340182050558113E-3</v>
      </c>
      <c r="O450" s="147">
        <f>IF($E450="","",MIN(VLOOKUP(IF($B450&lt;=Input!$C$7,$B450,26),'Mortality Tables'!$A$41:$CW$67,IF($B450&lt;=Input!$C$7+1,Input!$C$4+2,$D450-Input!$C$7+2),0)*IF(B450&gt;20,Input!$C$22,1)/1000,1))</f>
        <v>0.15506120000000001</v>
      </c>
      <c r="P450" s="147">
        <f>IF($E450="","",MIN(VLOOKUP(IF($B450&lt;=Input!$C$7,$B450,26),'Mortality Tables'!$A$12:$CW$37,IF($B450&lt;=Input!$C$7+1,Input!$C$4+2,$D450-Input!$C$7+2),0)*IF(B450&gt;20,Input!$C$22,1)/1000,1))</f>
        <v>0.19382650000000001</v>
      </c>
      <c r="Q450" s="155">
        <f>IF($E450="","",Input!$C$21)</f>
        <v>5.0000000000000001E-3</v>
      </c>
      <c r="R450" s="159">
        <f>IF($E450="","",(1-Q450)^($F450-Input!$C$20))</f>
        <v>0.83071870148213323</v>
      </c>
      <c r="S450" s="147">
        <f t="shared" si="249"/>
        <v>0.12881223871426137</v>
      </c>
      <c r="T450" s="147">
        <f t="shared" si="250"/>
        <v>1.1425704770274714E-2</v>
      </c>
      <c r="U450" s="160">
        <f>IF($E450="","",IF($C450=12,INDEX(Input!$C$15:$CP$15,1,$B450),0))</f>
        <v>0</v>
      </c>
      <c r="V450" s="150">
        <f>IF(E450="","",IF(C450=1,IF($B450=1,Input!$C$33,Input!$C$34),0))</f>
        <v>0</v>
      </c>
      <c r="W450" s="156">
        <f>IF($E450="","",Input!$C$35)</f>
        <v>0.02</v>
      </c>
      <c r="X450" s="156">
        <f t="shared" si="289"/>
        <v>2.0806850905900198</v>
      </c>
      <c r="Y450" s="154"/>
      <c r="Z450" s="147">
        <f>IF($E450="","",VLOOKUP($D450,'Mortality Margins &amp; Grading'!$AB$5:$AF$125,3,0)*IF(Summary!$D$25="Included Margin",IF(AND($B450&gt;Input!$C$9,Summary!$D$31&lt;&gt;"Included Margin"),0,1),0))</f>
        <v>2.5000000000000001E-2</v>
      </c>
      <c r="AA450" s="147">
        <f>IF($E450="","",VLOOKUP($D450,'Mortality Margins &amp; Grading'!$AB$5:$AF$125,5,0)*IF(Summary!$D$25="Included Margin",IF(AND($B450&gt;Input!$C$9,Summary!$D$31&lt;&gt;"Included Margin"),0,1),0))</f>
        <v>0.13</v>
      </c>
      <c r="AB450" s="147">
        <f>IF($E450="","",IF(AND($B450&gt;Input!$C$9,Summary!$D$31&lt;&gt;"Included Margin"),1,IF(Summary!$D$25="Included Margin",VLOOKUP($B450,'Mortality Margins &amp; Grading'!$AI$5:$AR$125,MATCH('Mortality Margins &amp; Grading'!$AQ$4,'Mortality Margins &amp; Grading'!$AI$4:$AR$4,0),0),1)))</f>
        <v>0.4375</v>
      </c>
      <c r="AC450" s="154"/>
      <c r="AD450" s="158">
        <f>IF(E450="","",Input!$C$48*IF(Summary!$D$30="Included Margin",IF(AND($B450&gt;Input!$C$9,Summary!$D$31&lt;&gt;"Included Margin"),0,1),0))</f>
        <v>-4.4999999999999997E-3</v>
      </c>
      <c r="AE450" s="159">
        <f>IF(E450="","",IF(Summary!$D$26="Included Margin",IF(AND($B450&gt;Input!$C$9,Summary!$D$31&lt;&gt;"Included Margin"),1,1/$R450),1))</f>
        <v>1.2037769201726676</v>
      </c>
      <c r="AF450" s="160">
        <f>IF(E450="","",IF(AND($B450&gt;=Input!$C$9,$C450=12,Summary!$D$31="Included Margin",$U450&gt;0),1/U450-1,IF($B450&gt;=Input!$C$9,0,Input!$C$45*IF(Summary!$D$27="Included Margin",1,0))))</f>
        <v>0</v>
      </c>
      <c r="AG450" s="160">
        <f>IF(E450="","",Input!$C$46*IF(Summary!$D$28="Included Margin",IF(AND($B450&gt;Input!$C$9,Summary!$D$31&lt;&gt;"Included Margin"),0,1),0))</f>
        <v>0.02</v>
      </c>
      <c r="AH450" s="158">
        <f>IF(E450="","",Input!$C$47*IF(Summary!$D$29="Included Margin",IF(AND($B450&gt;Input!$C$9,Summary!$D$31&lt;&gt;"Included Margin"),0,1),0))</f>
        <v>2.5000000000000001E-3</v>
      </c>
      <c r="AI450" s="154"/>
      <c r="AJ450" s="158">
        <f t="shared" si="271"/>
        <v>4.1240000000000006E-2</v>
      </c>
      <c r="AK450" s="155">
        <f t="shared" si="272"/>
        <v>3.3733695985587175E-3</v>
      </c>
      <c r="AL450" s="147">
        <f t="shared" si="273"/>
        <v>0.19273622593750001</v>
      </c>
      <c r="AM450" s="147">
        <f t="shared" si="251"/>
        <v>1.7683839962054249E-2</v>
      </c>
      <c r="AN450" s="160">
        <f t="shared" si="274"/>
        <v>0</v>
      </c>
      <c r="AO450" s="161">
        <f t="shared" si="275"/>
        <v>0</v>
      </c>
      <c r="AP450" s="156">
        <f t="shared" si="252"/>
        <v>2.2779422888843293</v>
      </c>
      <c r="AQ450" s="152"/>
      <c r="AR450" s="162">
        <f t="shared" si="253"/>
        <v>17504.852755610656</v>
      </c>
      <c r="AS450" s="150">
        <f t="shared" si="276"/>
        <v>0</v>
      </c>
      <c r="AT450" s="163">
        <f t="shared" si="254"/>
        <v>0</v>
      </c>
      <c r="AU450" s="163">
        <f t="shared" si="255"/>
        <v>1768.3839962054249</v>
      </c>
      <c r="AV450" s="163">
        <f t="shared" si="277"/>
        <v>56.067631707335202</v>
      </c>
      <c r="AW450" s="163">
        <f t="shared" si="256"/>
        <v>284.30029588450986</v>
      </c>
      <c r="AX450" s="163">
        <f t="shared" si="257"/>
        <v>0</v>
      </c>
      <c r="AY450" s="165">
        <f t="shared" si="278"/>
        <v>16076.836686997078</v>
      </c>
      <c r="AZ450" s="164">
        <f>IF($E450="","",IF(OR(AND($D450=Input!$C$6,$C450=12),$AN450=1),0,-AS451+AT451+AU451-AV451-AW451-AX451+AZ451))</f>
        <v>16076.841709411401</v>
      </c>
      <c r="BA450" s="154">
        <f t="shared" si="258"/>
        <v>5.0224143233208451E-3</v>
      </c>
      <c r="BC450" s="147">
        <f t="shared" si="279"/>
        <v>5.797497589646569E-3</v>
      </c>
      <c r="BD450" s="164">
        <f>IF(AND($C449=12,$D449=Input!$C$6),0,IF($E450="","",AT450+(AU450+BD451)/(1+$AK450)*MIN((1-AM450-AN450),1)))</f>
        <v>15462.207466748458</v>
      </c>
      <c r="BE450" s="164">
        <f t="shared" si="259"/>
        <v>89.642110519089357</v>
      </c>
      <c r="BF450" s="164">
        <f t="shared" si="280"/>
        <v>16076.841709411401</v>
      </c>
      <c r="BG450" s="164">
        <f t="shared" si="260"/>
        <v>93.205451059442026</v>
      </c>
      <c r="BH450" s="152"/>
      <c r="BI450" s="162">
        <f t="shared" si="261"/>
        <v>6741.6773090435863</v>
      </c>
      <c r="BJ450" s="150">
        <f t="shared" si="262"/>
        <v>0</v>
      </c>
      <c r="BK450" s="163">
        <f t="shared" si="284"/>
        <v>0</v>
      </c>
      <c r="BL450" s="163">
        <f t="shared" si="263"/>
        <v>1142.5704770274715</v>
      </c>
      <c r="BM450" s="163">
        <f t="shared" si="285"/>
        <v>23.040356323690485</v>
      </c>
      <c r="BN450" s="163">
        <f t="shared" si="264"/>
        <v>64.979475674356877</v>
      </c>
      <c r="BO450" s="163">
        <f t="shared" si="265"/>
        <v>0</v>
      </c>
      <c r="BP450" s="164">
        <f t="shared" si="286"/>
        <v>5687.1266640141621</v>
      </c>
      <c r="BQ450" s="164">
        <f>IF($E450="","",IF(AND($D450=Input!$C$6,$C450=12),0,-BJ451+BK451+BL451-BM451-BN451-BO451+BQ451))</f>
        <v>5687.13063927649</v>
      </c>
      <c r="BR450" s="161">
        <f t="shared" si="266"/>
        <v>0</v>
      </c>
      <c r="BT450" s="147">
        <f t="shared" si="267"/>
        <v>5.797497589646569E-3</v>
      </c>
      <c r="BU450" s="164">
        <f>IF(AND($C449=12,$D449=Input!$C$6),0,IF($E450="","",BK450+(BL450+BU451)/(1+$AK450)*MIN((1-T450-U450),1)))</f>
        <v>57706.725135058805</v>
      </c>
      <c r="BV450" s="164">
        <f t="shared" si="268"/>
        <v>334.55459987690051</v>
      </c>
      <c r="BW450" s="164">
        <f t="shared" si="269"/>
        <v>5687.13063927649</v>
      </c>
      <c r="BX450" s="164">
        <f t="shared" si="270"/>
        <v>32.9711261732106</v>
      </c>
    </row>
    <row r="451" spans="1:76" s="150" customFormat="1" x14ac:dyDescent="0.25">
      <c r="A451" s="150">
        <f t="shared" si="281"/>
        <v>447</v>
      </c>
      <c r="B451" s="150">
        <f t="shared" si="282"/>
        <v>38</v>
      </c>
      <c r="C451" s="150">
        <f t="shared" si="283"/>
        <v>3</v>
      </c>
      <c r="D451" s="150">
        <f>IF(E451="","",Input!$C$4+B451-1)</f>
        <v>82</v>
      </c>
      <c r="E451" s="150">
        <f>IF(OR(AND(C450=12,D450=Input!$C$6),E450=""),"",1)</f>
        <v>1</v>
      </c>
      <c r="F451" s="150">
        <f>IF(E451="","",Input!$C$8+B451-1)</f>
        <v>2055</v>
      </c>
      <c r="G451" s="151">
        <f>IF(E451="","",MAX(0,Input!$C$9-B451))</f>
        <v>0</v>
      </c>
      <c r="H451" s="152">
        <f>IF(E451="","",Input!$C$3)</f>
        <v>100000</v>
      </c>
      <c r="I451" s="153">
        <f>IF(E451="","",HLOOKUP($B451,Input!$C$13:$BT$14,2))</f>
        <v>137.02850000000001</v>
      </c>
      <c r="J451" s="154"/>
      <c r="K451" s="155">
        <f>IF($E451="","",INDEX(Input!$C$16:$CP$16,1,$B451))</f>
        <v>3.074E-2</v>
      </c>
      <c r="L451" s="155">
        <f>IF($E451="","",Input!$C$37)</f>
        <v>1.4999999999999999E-2</v>
      </c>
      <c r="M451" s="155">
        <f t="shared" si="287"/>
        <v>4.5740000000000003E-2</v>
      </c>
      <c r="N451" s="155">
        <f t="shared" si="288"/>
        <v>3.7340182050558113E-3</v>
      </c>
      <c r="O451" s="147">
        <f>IF($E451="","",MIN(VLOOKUP(IF($B451&lt;=Input!$C$7,$B451,26),'Mortality Tables'!$A$41:$CW$67,IF($B451&lt;=Input!$C$7+1,Input!$C$4+2,$D451-Input!$C$7+2),0)*IF(B451&gt;20,Input!$C$22,1)/1000,1))</f>
        <v>0.15506120000000001</v>
      </c>
      <c r="P451" s="147">
        <f>IF($E451="","",MIN(VLOOKUP(IF($B451&lt;=Input!$C$7,$B451,26),'Mortality Tables'!$A$12:$CW$37,IF($B451&lt;=Input!$C$7+1,Input!$C$4+2,$D451-Input!$C$7+2),0)*IF(B451&gt;20,Input!$C$22,1)/1000,1))</f>
        <v>0.19382650000000001</v>
      </c>
      <c r="Q451" s="155">
        <f>IF($E451="","",Input!$C$21)</f>
        <v>5.0000000000000001E-3</v>
      </c>
      <c r="R451" s="159">
        <f>IF($E451="","",(1-Q451)^($F451-Input!$C$20))</f>
        <v>0.83071870148213323</v>
      </c>
      <c r="S451" s="147">
        <f t="shared" si="249"/>
        <v>0.12881223871426137</v>
      </c>
      <c r="T451" s="147">
        <f t="shared" si="250"/>
        <v>1.1425704770274714E-2</v>
      </c>
      <c r="U451" s="160">
        <f>IF($E451="","",IF($C451=12,INDEX(Input!$C$15:$CP$15,1,$B451),0))</f>
        <v>0</v>
      </c>
      <c r="V451" s="150">
        <f>IF(E451="","",IF(C451=1,IF($B451=1,Input!$C$33,Input!$C$34),0))</f>
        <v>0</v>
      </c>
      <c r="W451" s="156">
        <f>IF($E451="","",Input!$C$35)</f>
        <v>0.02</v>
      </c>
      <c r="X451" s="156">
        <f t="shared" si="289"/>
        <v>2.0806850905900198</v>
      </c>
      <c r="Y451" s="154"/>
      <c r="Z451" s="147">
        <f>IF($E451="","",VLOOKUP($D451,'Mortality Margins &amp; Grading'!$AB$5:$AF$125,3,0)*IF(Summary!$D$25="Included Margin",IF(AND($B451&gt;Input!$C$9,Summary!$D$31&lt;&gt;"Included Margin"),0,1),0))</f>
        <v>2.5000000000000001E-2</v>
      </c>
      <c r="AA451" s="147">
        <f>IF($E451="","",VLOOKUP($D451,'Mortality Margins &amp; Grading'!$AB$5:$AF$125,5,0)*IF(Summary!$D$25="Included Margin",IF(AND($B451&gt;Input!$C$9,Summary!$D$31&lt;&gt;"Included Margin"),0,1),0))</f>
        <v>0.13</v>
      </c>
      <c r="AB451" s="147">
        <f>IF($E451="","",IF(AND($B451&gt;Input!$C$9,Summary!$D$31&lt;&gt;"Included Margin"),1,IF(Summary!$D$25="Included Margin",VLOOKUP($B451,'Mortality Margins &amp; Grading'!$AI$5:$AR$125,MATCH('Mortality Margins &amp; Grading'!$AQ$4,'Mortality Margins &amp; Grading'!$AI$4:$AR$4,0),0),1)))</f>
        <v>0.4375</v>
      </c>
      <c r="AC451" s="154"/>
      <c r="AD451" s="158">
        <f>IF(E451="","",Input!$C$48*IF(Summary!$D$30="Included Margin",IF(AND($B451&gt;Input!$C$9,Summary!$D$31&lt;&gt;"Included Margin"),0,1),0))</f>
        <v>-4.4999999999999997E-3</v>
      </c>
      <c r="AE451" s="159">
        <f>IF(E451="","",IF(Summary!$D$26="Included Margin",IF(AND($B451&gt;Input!$C$9,Summary!$D$31&lt;&gt;"Included Margin"),1,1/$R451),1))</f>
        <v>1.2037769201726676</v>
      </c>
      <c r="AF451" s="160">
        <f>IF(E451="","",IF(AND($B451&gt;=Input!$C$9,$C451=12,Summary!$D$31="Included Margin",$U451&gt;0),1/U451-1,IF($B451&gt;=Input!$C$9,0,Input!$C$45*IF(Summary!$D$27="Included Margin",1,0))))</f>
        <v>0</v>
      </c>
      <c r="AG451" s="160">
        <f>IF(E451="","",Input!$C$46*IF(Summary!$D$28="Included Margin",IF(AND($B451&gt;Input!$C$9,Summary!$D$31&lt;&gt;"Included Margin"),0,1),0))</f>
        <v>0.02</v>
      </c>
      <c r="AH451" s="158">
        <f>IF(E451="","",Input!$C$47*IF(Summary!$D$29="Included Margin",IF(AND($B451&gt;Input!$C$9,Summary!$D$31&lt;&gt;"Included Margin"),0,1),0))</f>
        <v>2.5000000000000001E-3</v>
      </c>
      <c r="AI451" s="154"/>
      <c r="AJ451" s="158">
        <f t="shared" si="271"/>
        <v>4.1240000000000006E-2</v>
      </c>
      <c r="AK451" s="155">
        <f t="shared" si="272"/>
        <v>3.3733695985587175E-3</v>
      </c>
      <c r="AL451" s="147">
        <f t="shared" si="273"/>
        <v>0.19273622593750001</v>
      </c>
      <c r="AM451" s="147">
        <f t="shared" si="251"/>
        <v>1.7683839962054249E-2</v>
      </c>
      <c r="AN451" s="160">
        <f t="shared" si="274"/>
        <v>0</v>
      </c>
      <c r="AO451" s="161">
        <f t="shared" si="275"/>
        <v>0</v>
      </c>
      <c r="AP451" s="156">
        <f t="shared" si="252"/>
        <v>2.2779422888843293</v>
      </c>
      <c r="AQ451" s="152"/>
      <c r="AR451" s="162">
        <f t="shared" si="253"/>
        <v>16076.836686997076</v>
      </c>
      <c r="AS451" s="150">
        <f t="shared" si="276"/>
        <v>0</v>
      </c>
      <c r="AT451" s="163">
        <f t="shared" si="254"/>
        <v>0</v>
      </c>
      <c r="AU451" s="163">
        <f t="shared" si="255"/>
        <v>1768.3839962054249</v>
      </c>
      <c r="AV451" s="163">
        <f t="shared" si="277"/>
        <v>51.250405715220808</v>
      </c>
      <c r="AW451" s="163">
        <f t="shared" si="256"/>
        <v>258.50616187257293</v>
      </c>
      <c r="AX451" s="163">
        <f t="shared" si="257"/>
        <v>0</v>
      </c>
      <c r="AY451" s="164">
        <f t="shared" si="278"/>
        <v>14618.209258379444</v>
      </c>
      <c r="AZ451" s="164">
        <f>IF($E451="","",IF(OR(AND($D451=Input!$C$6,$C451=12),$AN451=1),0,-AS452+AT452+AU452-AV452-AW452-AX452+AZ452))</f>
        <v>14618.214280793769</v>
      </c>
      <c r="BA451" s="154">
        <f t="shared" si="258"/>
        <v>5.0224143251398345E-3</v>
      </c>
      <c r="BC451" s="147">
        <f t="shared" si="279"/>
        <v>5.7312570937808876E-3</v>
      </c>
      <c r="BD451" s="164">
        <f>IF(AND($C450=12,$D450=Input!$C$6),0,IF($E451="","",AT451+(AU451+BD452)/(1+$AK451)*MIN((1-AM451-AN451),1)))</f>
        <v>14025.275762730122</v>
      </c>
      <c r="BE451" s="164">
        <f t="shared" si="259"/>
        <v>80.38246120738016</v>
      </c>
      <c r="BF451" s="164">
        <f t="shared" si="280"/>
        <v>14618.214280793769</v>
      </c>
      <c r="BG451" s="164">
        <f t="shared" si="260"/>
        <v>83.780744295208365</v>
      </c>
      <c r="BH451" s="152"/>
      <c r="BI451" s="162">
        <f t="shared" si="261"/>
        <v>5687.126664014163</v>
      </c>
      <c r="BJ451" s="150">
        <f t="shared" si="262"/>
        <v>0</v>
      </c>
      <c r="BK451" s="163">
        <f t="shared" si="284"/>
        <v>0</v>
      </c>
      <c r="BL451" s="163">
        <f t="shared" si="263"/>
        <v>1142.5704770274715</v>
      </c>
      <c r="BM451" s="163">
        <f t="shared" si="285"/>
        <v>19.102645016997268</v>
      </c>
      <c r="BN451" s="163">
        <f t="shared" si="264"/>
        <v>52.745720942286475</v>
      </c>
      <c r="BO451" s="163">
        <f t="shared" si="265"/>
        <v>0</v>
      </c>
      <c r="BP451" s="164">
        <f t="shared" si="286"/>
        <v>4616.4045529459754</v>
      </c>
      <c r="BQ451" s="164">
        <f>IF($E451="","",IF(AND($D451=Input!$C$6,$C451=12),0,-BJ452+BK452+BL452-BM452-BN452-BO452+BQ452))</f>
        <v>4616.4085282083024</v>
      </c>
      <c r="BR451" s="161">
        <f t="shared" si="266"/>
        <v>0</v>
      </c>
      <c r="BT451" s="147">
        <f t="shared" si="267"/>
        <v>5.7312570937808876E-3</v>
      </c>
      <c r="BU451" s="164">
        <f>IF(AND($C450=12,$D450=Input!$C$6),0,IF($E451="","",BK451+(BL451+BU452)/(1+$AK451)*MIN((1-T451-U451),1)))</f>
        <v>57428.031172903815</v>
      </c>
      <c r="BV451" s="164">
        <f t="shared" si="268"/>
        <v>329.13481104157495</v>
      </c>
      <c r="BW451" s="164">
        <f t="shared" si="269"/>
        <v>4616.4085282083024</v>
      </c>
      <c r="BX451" s="164">
        <f t="shared" si="270"/>
        <v>26.457824125084421</v>
      </c>
    </row>
    <row r="452" spans="1:76" s="150" customFormat="1" x14ac:dyDescent="0.25">
      <c r="A452" s="150">
        <f t="shared" si="281"/>
        <v>448</v>
      </c>
      <c r="B452" s="150">
        <f t="shared" si="282"/>
        <v>38</v>
      </c>
      <c r="C452" s="150">
        <f t="shared" si="283"/>
        <v>4</v>
      </c>
      <c r="D452" s="150">
        <f>IF(E452="","",Input!$C$4+B452-1)</f>
        <v>82</v>
      </c>
      <c r="E452" s="150">
        <f>IF(OR(AND(C451=12,D451=Input!$C$6),E451=""),"",1)</f>
        <v>1</v>
      </c>
      <c r="F452" s="150">
        <f>IF(E452="","",Input!$C$8+B452-1)</f>
        <v>2055</v>
      </c>
      <c r="G452" s="151">
        <f>IF(E452="","",MAX(0,Input!$C$9-B452))</f>
        <v>0</v>
      </c>
      <c r="H452" s="152">
        <f>IF(E452="","",Input!$C$3)</f>
        <v>100000</v>
      </c>
      <c r="I452" s="153">
        <f>IF(E452="","",HLOOKUP($B452,Input!$C$13:$BT$14,2))</f>
        <v>137.02850000000001</v>
      </c>
      <c r="J452" s="154"/>
      <c r="K452" s="155">
        <f>IF($E452="","",INDEX(Input!$C$16:$CP$16,1,$B452))</f>
        <v>3.074E-2</v>
      </c>
      <c r="L452" s="155">
        <f>IF($E452="","",Input!$C$37)</f>
        <v>1.4999999999999999E-2</v>
      </c>
      <c r="M452" s="155">
        <f t="shared" si="287"/>
        <v>4.5740000000000003E-2</v>
      </c>
      <c r="N452" s="155">
        <f t="shared" si="288"/>
        <v>3.7340182050558113E-3</v>
      </c>
      <c r="O452" s="147">
        <f>IF($E452="","",MIN(VLOOKUP(IF($B452&lt;=Input!$C$7,$B452,26),'Mortality Tables'!$A$41:$CW$67,IF($B452&lt;=Input!$C$7+1,Input!$C$4+2,$D452-Input!$C$7+2),0)*IF(B452&gt;20,Input!$C$22,1)/1000,1))</f>
        <v>0.15506120000000001</v>
      </c>
      <c r="P452" s="147">
        <f>IF($E452="","",MIN(VLOOKUP(IF($B452&lt;=Input!$C$7,$B452,26),'Mortality Tables'!$A$12:$CW$37,IF($B452&lt;=Input!$C$7+1,Input!$C$4+2,$D452-Input!$C$7+2),0)*IF(B452&gt;20,Input!$C$22,1)/1000,1))</f>
        <v>0.19382650000000001</v>
      </c>
      <c r="Q452" s="155">
        <f>IF($E452="","",Input!$C$21)</f>
        <v>5.0000000000000001E-3</v>
      </c>
      <c r="R452" s="159">
        <f>IF($E452="","",(1-Q452)^($F452-Input!$C$20))</f>
        <v>0.83071870148213323</v>
      </c>
      <c r="S452" s="147">
        <f t="shared" si="249"/>
        <v>0.12881223871426137</v>
      </c>
      <c r="T452" s="147">
        <f t="shared" si="250"/>
        <v>1.1425704770274714E-2</v>
      </c>
      <c r="U452" s="160">
        <f>IF($E452="","",IF($C452=12,INDEX(Input!$C$15:$CP$15,1,$B452),0))</f>
        <v>0</v>
      </c>
      <c r="V452" s="150">
        <f>IF(E452="","",IF(C452=1,IF($B452=1,Input!$C$33,Input!$C$34),0))</f>
        <v>0</v>
      </c>
      <c r="W452" s="156">
        <f>IF($E452="","",Input!$C$35)</f>
        <v>0.02</v>
      </c>
      <c r="X452" s="156">
        <f t="shared" si="289"/>
        <v>2.0806850905900198</v>
      </c>
      <c r="Y452" s="154"/>
      <c r="Z452" s="147">
        <f>IF($E452="","",VLOOKUP($D452,'Mortality Margins &amp; Grading'!$AB$5:$AF$125,3,0)*IF(Summary!$D$25="Included Margin",IF(AND($B452&gt;Input!$C$9,Summary!$D$31&lt;&gt;"Included Margin"),0,1),0))</f>
        <v>2.5000000000000001E-2</v>
      </c>
      <c r="AA452" s="147">
        <f>IF($E452="","",VLOOKUP($D452,'Mortality Margins &amp; Grading'!$AB$5:$AF$125,5,0)*IF(Summary!$D$25="Included Margin",IF(AND($B452&gt;Input!$C$9,Summary!$D$31&lt;&gt;"Included Margin"),0,1),0))</f>
        <v>0.13</v>
      </c>
      <c r="AB452" s="147">
        <f>IF($E452="","",IF(AND($B452&gt;Input!$C$9,Summary!$D$31&lt;&gt;"Included Margin"),1,IF(Summary!$D$25="Included Margin",VLOOKUP($B452,'Mortality Margins &amp; Grading'!$AI$5:$AR$125,MATCH('Mortality Margins &amp; Grading'!$AQ$4,'Mortality Margins &amp; Grading'!$AI$4:$AR$4,0),0),1)))</f>
        <v>0.4375</v>
      </c>
      <c r="AC452" s="154"/>
      <c r="AD452" s="158">
        <f>IF(E452="","",Input!$C$48*IF(Summary!$D$30="Included Margin",IF(AND($B452&gt;Input!$C$9,Summary!$D$31&lt;&gt;"Included Margin"),0,1),0))</f>
        <v>-4.4999999999999997E-3</v>
      </c>
      <c r="AE452" s="159">
        <f>IF(E452="","",IF(Summary!$D$26="Included Margin",IF(AND($B452&gt;Input!$C$9,Summary!$D$31&lt;&gt;"Included Margin"),1,1/$R452),1))</f>
        <v>1.2037769201726676</v>
      </c>
      <c r="AF452" s="160">
        <f>IF(E452="","",IF(AND($B452&gt;=Input!$C$9,$C452=12,Summary!$D$31="Included Margin",$U452&gt;0),1/U452-1,IF($B452&gt;=Input!$C$9,0,Input!$C$45*IF(Summary!$D$27="Included Margin",1,0))))</f>
        <v>0</v>
      </c>
      <c r="AG452" s="160">
        <f>IF(E452="","",Input!$C$46*IF(Summary!$D$28="Included Margin",IF(AND($B452&gt;Input!$C$9,Summary!$D$31&lt;&gt;"Included Margin"),0,1),0))</f>
        <v>0.02</v>
      </c>
      <c r="AH452" s="158">
        <f>IF(E452="","",Input!$C$47*IF(Summary!$D$29="Included Margin",IF(AND($B452&gt;Input!$C$9,Summary!$D$31&lt;&gt;"Included Margin"),0,1),0))</f>
        <v>2.5000000000000001E-3</v>
      </c>
      <c r="AI452" s="154"/>
      <c r="AJ452" s="158">
        <f t="shared" si="271"/>
        <v>4.1240000000000006E-2</v>
      </c>
      <c r="AK452" s="155">
        <f t="shared" si="272"/>
        <v>3.3733695985587175E-3</v>
      </c>
      <c r="AL452" s="147">
        <f t="shared" si="273"/>
        <v>0.19273622593750001</v>
      </c>
      <c r="AM452" s="147">
        <f t="shared" si="251"/>
        <v>1.7683839962054249E-2</v>
      </c>
      <c r="AN452" s="160">
        <f t="shared" si="274"/>
        <v>0</v>
      </c>
      <c r="AO452" s="161">
        <f t="shared" si="275"/>
        <v>0</v>
      </c>
      <c r="AP452" s="156">
        <f t="shared" si="252"/>
        <v>2.2779422888843293</v>
      </c>
      <c r="AQ452" s="152"/>
      <c r="AR452" s="162">
        <f t="shared" si="253"/>
        <v>14618.209258379444</v>
      </c>
      <c r="AS452" s="150">
        <f t="shared" si="276"/>
        <v>0</v>
      </c>
      <c r="AT452" s="163">
        <f t="shared" si="254"/>
        <v>0</v>
      </c>
      <c r="AU452" s="163">
        <f t="shared" si="255"/>
        <v>1768.3839962054249</v>
      </c>
      <c r="AV452" s="163">
        <f t="shared" si="277"/>
        <v>46.329916291898215</v>
      </c>
      <c r="AW452" s="163">
        <f t="shared" si="256"/>
        <v>232.15909744228387</v>
      </c>
      <c r="AX452" s="163">
        <f t="shared" si="257"/>
        <v>0</v>
      </c>
      <c r="AY452" s="165">
        <f t="shared" si="278"/>
        <v>13128.3142759082</v>
      </c>
      <c r="AZ452" s="164">
        <f>IF($E452="","",IF(OR(AND($D452=Input!$C$6,$C452=12),$AN452=1),0,-AS453+AT453+AU453-AV453-AW453-AX453+AZ453))</f>
        <v>13128.319298322525</v>
      </c>
      <c r="BA452" s="154">
        <f t="shared" si="258"/>
        <v>5.0224143251398345E-3</v>
      </c>
      <c r="BC452" s="147">
        <f t="shared" si="279"/>
        <v>5.6657734422648045E-3</v>
      </c>
      <c r="BD452" s="164">
        <f>IF(AND($C451=12,$D451=Input!$C$6),0,IF($E452="","",AT452+(AU452+BD453)/(1+$AK452)*MIN((1-AM452-AN452),1)))</f>
        <v>12557.541580602669</v>
      </c>
      <c r="BE452" s="164">
        <f t="shared" si="259"/>
        <v>71.14818558751459</v>
      </c>
      <c r="BF452" s="164">
        <f t="shared" si="280"/>
        <v>13128.319298322525</v>
      </c>
      <c r="BG452" s="164">
        <f t="shared" si="260"/>
        <v>74.382082822008272</v>
      </c>
      <c r="BH452" s="152"/>
      <c r="BI452" s="162">
        <f t="shared" si="261"/>
        <v>4616.4045529459754</v>
      </c>
      <c r="BJ452" s="150">
        <f t="shared" si="262"/>
        <v>0</v>
      </c>
      <c r="BK452" s="163">
        <f t="shared" si="284"/>
        <v>0</v>
      </c>
      <c r="BL452" s="163">
        <f t="shared" si="263"/>
        <v>1142.5704770274715</v>
      </c>
      <c r="BM452" s="163">
        <f t="shared" si="285"/>
        <v>15.104549161712866</v>
      </c>
      <c r="BN452" s="163">
        <f t="shared" si="264"/>
        <v>40.324362371454278</v>
      </c>
      <c r="BO452" s="163">
        <f t="shared" si="265"/>
        <v>0</v>
      </c>
      <c r="BP452" s="164">
        <f t="shared" si="286"/>
        <v>3529.2629874516711</v>
      </c>
      <c r="BQ452" s="164">
        <f>IF($E452="","",IF(AND($D452=Input!$C$6,$C452=12),0,-BJ453+BK453+BL453-BM453-BN453-BO453+BQ453))</f>
        <v>3529.2669627139981</v>
      </c>
      <c r="BR452" s="161">
        <f t="shared" si="266"/>
        <v>0</v>
      </c>
      <c r="BT452" s="147">
        <f t="shared" si="267"/>
        <v>5.6657734422648045E-3</v>
      </c>
      <c r="BU452" s="164">
        <f>IF(AND($C451=12,$D451=Input!$C$6),0,IF($E452="","",BK452+(BL452+BU453)/(1+$AK452)*MIN((1-T452-U452),1)))</f>
        <v>57145.165129103589</v>
      </c>
      <c r="BV452" s="164">
        <f t="shared" si="268"/>
        <v>323.77155894231191</v>
      </c>
      <c r="BW452" s="164">
        <f t="shared" si="269"/>
        <v>3529.2669627139981</v>
      </c>
      <c r="BX452" s="164">
        <f t="shared" si="270"/>
        <v>19.996027028007539</v>
      </c>
    </row>
    <row r="453" spans="1:76" s="150" customFormat="1" x14ac:dyDescent="0.25">
      <c r="A453" s="150">
        <f t="shared" si="281"/>
        <v>449</v>
      </c>
      <c r="B453" s="150">
        <f t="shared" si="282"/>
        <v>38</v>
      </c>
      <c r="C453" s="150">
        <f t="shared" si="283"/>
        <v>5</v>
      </c>
      <c r="D453" s="150">
        <f>IF(E453="","",Input!$C$4+B453-1)</f>
        <v>82</v>
      </c>
      <c r="E453" s="150">
        <f>IF(OR(AND(C452=12,D452=Input!$C$6),E452=""),"",1)</f>
        <v>1</v>
      </c>
      <c r="F453" s="150">
        <f>IF(E453="","",Input!$C$8+B453-1)</f>
        <v>2055</v>
      </c>
      <c r="G453" s="151">
        <f>IF(E453="","",MAX(0,Input!$C$9-B453))</f>
        <v>0</v>
      </c>
      <c r="H453" s="152">
        <f>IF(E453="","",Input!$C$3)</f>
        <v>100000</v>
      </c>
      <c r="I453" s="153">
        <f>IF(E453="","",HLOOKUP($B453,Input!$C$13:$BT$14,2))</f>
        <v>137.02850000000001</v>
      </c>
      <c r="J453" s="154"/>
      <c r="K453" s="155">
        <f>IF($E453="","",INDEX(Input!$C$16:$CP$16,1,$B453))</f>
        <v>3.074E-2</v>
      </c>
      <c r="L453" s="155">
        <f>IF($E453="","",Input!$C$37)</f>
        <v>1.4999999999999999E-2</v>
      </c>
      <c r="M453" s="155">
        <f t="shared" si="287"/>
        <v>4.5740000000000003E-2</v>
      </c>
      <c r="N453" s="155">
        <f t="shared" si="288"/>
        <v>3.7340182050558113E-3</v>
      </c>
      <c r="O453" s="147">
        <f>IF($E453="","",MIN(VLOOKUP(IF($B453&lt;=Input!$C$7,$B453,26),'Mortality Tables'!$A$41:$CW$67,IF($B453&lt;=Input!$C$7+1,Input!$C$4+2,$D453-Input!$C$7+2),0)*IF(B453&gt;20,Input!$C$22,1)/1000,1))</f>
        <v>0.15506120000000001</v>
      </c>
      <c r="P453" s="147">
        <f>IF($E453="","",MIN(VLOOKUP(IF($B453&lt;=Input!$C$7,$B453,26),'Mortality Tables'!$A$12:$CW$37,IF($B453&lt;=Input!$C$7+1,Input!$C$4+2,$D453-Input!$C$7+2),0)*IF(B453&gt;20,Input!$C$22,1)/1000,1))</f>
        <v>0.19382650000000001</v>
      </c>
      <c r="Q453" s="155">
        <f>IF($E453="","",Input!$C$21)</f>
        <v>5.0000000000000001E-3</v>
      </c>
      <c r="R453" s="159">
        <f>IF($E453="","",(1-Q453)^($F453-Input!$C$20))</f>
        <v>0.83071870148213323</v>
      </c>
      <c r="S453" s="147">
        <f t="shared" ref="S453:S516" si="290">IF($E453="","",MIN(O453*R453,1))</f>
        <v>0.12881223871426137</v>
      </c>
      <c r="T453" s="147">
        <f t="shared" ref="T453:T516" si="291">IF($E453="","",1-(1-S453)^(1/12))</f>
        <v>1.1425704770274714E-2</v>
      </c>
      <c r="U453" s="160">
        <f>IF($E453="","",IF($C453=12,INDEX(Input!$C$15:$CP$15,1,$B453),0))</f>
        <v>0</v>
      </c>
      <c r="V453" s="150">
        <f>IF(E453="","",IF(C453=1,IF($B453=1,Input!$C$33,Input!$C$34),0))</f>
        <v>0</v>
      </c>
      <c r="W453" s="156">
        <f>IF($E453="","",Input!$C$35)</f>
        <v>0.02</v>
      </c>
      <c r="X453" s="156">
        <f t="shared" si="289"/>
        <v>2.0806850905900198</v>
      </c>
      <c r="Y453" s="154"/>
      <c r="Z453" s="147">
        <f>IF($E453="","",VLOOKUP($D453,'Mortality Margins &amp; Grading'!$AB$5:$AF$125,3,0)*IF(Summary!$D$25="Included Margin",IF(AND($B453&gt;Input!$C$9,Summary!$D$31&lt;&gt;"Included Margin"),0,1),0))</f>
        <v>2.5000000000000001E-2</v>
      </c>
      <c r="AA453" s="147">
        <f>IF($E453="","",VLOOKUP($D453,'Mortality Margins &amp; Grading'!$AB$5:$AF$125,5,0)*IF(Summary!$D$25="Included Margin",IF(AND($B453&gt;Input!$C$9,Summary!$D$31&lt;&gt;"Included Margin"),0,1),0))</f>
        <v>0.13</v>
      </c>
      <c r="AB453" s="147">
        <f>IF($E453="","",IF(AND($B453&gt;Input!$C$9,Summary!$D$31&lt;&gt;"Included Margin"),1,IF(Summary!$D$25="Included Margin",VLOOKUP($B453,'Mortality Margins &amp; Grading'!$AI$5:$AR$125,MATCH('Mortality Margins &amp; Grading'!$AQ$4,'Mortality Margins &amp; Grading'!$AI$4:$AR$4,0),0),1)))</f>
        <v>0.4375</v>
      </c>
      <c r="AC453" s="154"/>
      <c r="AD453" s="158">
        <f>IF(E453="","",Input!$C$48*IF(Summary!$D$30="Included Margin",IF(AND($B453&gt;Input!$C$9,Summary!$D$31&lt;&gt;"Included Margin"),0,1),0))</f>
        <v>-4.4999999999999997E-3</v>
      </c>
      <c r="AE453" s="159">
        <f>IF(E453="","",IF(Summary!$D$26="Included Margin",IF(AND($B453&gt;Input!$C$9,Summary!$D$31&lt;&gt;"Included Margin"),1,1/$R453),1))</f>
        <v>1.2037769201726676</v>
      </c>
      <c r="AF453" s="160">
        <f>IF(E453="","",IF(AND($B453&gt;=Input!$C$9,$C453=12,Summary!$D$31="Included Margin",$U453&gt;0),1/U453-1,IF($B453&gt;=Input!$C$9,0,Input!$C$45*IF(Summary!$D$27="Included Margin",1,0))))</f>
        <v>0</v>
      </c>
      <c r="AG453" s="160">
        <f>IF(E453="","",Input!$C$46*IF(Summary!$D$28="Included Margin",IF(AND($B453&gt;Input!$C$9,Summary!$D$31&lt;&gt;"Included Margin"),0,1),0))</f>
        <v>0.02</v>
      </c>
      <c r="AH453" s="158">
        <f>IF(E453="","",Input!$C$47*IF(Summary!$D$29="Included Margin",IF(AND($B453&gt;Input!$C$9,Summary!$D$31&lt;&gt;"Included Margin"),0,1),0))</f>
        <v>2.5000000000000001E-3</v>
      </c>
      <c r="AI453" s="154"/>
      <c r="AJ453" s="158">
        <f t="shared" si="271"/>
        <v>4.1240000000000006E-2</v>
      </c>
      <c r="AK453" s="155">
        <f t="shared" si="272"/>
        <v>3.3733695985587175E-3</v>
      </c>
      <c r="AL453" s="147">
        <f t="shared" si="273"/>
        <v>0.19273622593750001</v>
      </c>
      <c r="AM453" s="147">
        <f t="shared" ref="AM453:AM516" si="292">IF($E453="","",1-(1-AL453)^(1/12))</f>
        <v>1.7683839962054249E-2</v>
      </c>
      <c r="AN453" s="160">
        <f t="shared" si="274"/>
        <v>0</v>
      </c>
      <c r="AO453" s="161">
        <f t="shared" si="275"/>
        <v>0</v>
      </c>
      <c r="AP453" s="156">
        <f t="shared" ref="AP453:AP516" si="293">IF($E453="","",IF(B453=1,1,IF(C453=1,(1+$W453+$AH453)*AP452,AP452)))</f>
        <v>2.2779422888843293</v>
      </c>
      <c r="AQ453" s="152"/>
      <c r="AR453" s="162">
        <f t="shared" ref="AR453:AR516" si="294">IF($E453="","",(AZ453*(1-$AN453)*(1-$AM453)/(1+$AK453)+AU453/(1+$AK453/2)-AS453+AT453))</f>
        <v>13128.3142759082</v>
      </c>
      <c r="AS453" s="150">
        <f t="shared" si="276"/>
        <v>0</v>
      </c>
      <c r="AT453" s="163">
        <f t="shared" ref="AT453:AT516" si="295">IF($E453="","",$AO453*$AP453)</f>
        <v>0</v>
      </c>
      <c r="AU453" s="163">
        <f t="shared" ref="AU453:AU516" si="296">IF($E453="","",$AM453*$H453)</f>
        <v>1768.3839962054249</v>
      </c>
      <c r="AV453" s="163">
        <f t="shared" si="277"/>
        <v>41.303949852984545</v>
      </c>
      <c r="AW453" s="163">
        <f t="shared" ref="AW453:AW516" si="297">IF($E453="","",AZ453*$AM453)</f>
        <v>205.24724981938792</v>
      </c>
      <c r="AX453" s="163">
        <f t="shared" ref="AX453:AX516" si="298">IF($E453="","",$AN453*AZ453*(1-$AM453))</f>
        <v>0</v>
      </c>
      <c r="AY453" s="164">
        <f t="shared" si="278"/>
        <v>11606.481479375148</v>
      </c>
      <c r="AZ453" s="164">
        <f>IF($E453="","",IF(OR(AND($D453=Input!$C$6,$C453=12),$AN453=1),0,-AS454+AT454+AU454-AV454-AW454-AX454+AZ454))</f>
        <v>11606.486501789474</v>
      </c>
      <c r="BA453" s="154">
        <f t="shared" ref="BA453:BA516" si="299">IF(E453="","",AZ453-AY453)</f>
        <v>5.0224143251398345E-3</v>
      </c>
      <c r="BC453" s="147">
        <f t="shared" si="279"/>
        <v>5.6010379876182239E-3</v>
      </c>
      <c r="BD453" s="164">
        <f>IF(AND($C452=12,$D452=Input!$C$6),0,IF($E453="","",AT453+(AU453+BD454)/(1+$AK453)*MIN((1-AM453-AN453),1)))</f>
        <v>11058.34462965429</v>
      </c>
      <c r="BE453" s="164">
        <f t="shared" ref="BE453:BE516" si="300">IF($E453="","",BC453*BD453)</f>
        <v>61.938208350867654</v>
      </c>
      <c r="BF453" s="164">
        <f t="shared" si="280"/>
        <v>11606.486501789474</v>
      </c>
      <c r="BG453" s="164">
        <f t="shared" ref="BG453:BG516" si="301">IF($E453="","",BC453*BF453)</f>
        <v>65.008371799300988</v>
      </c>
      <c r="BH453" s="152"/>
      <c r="BI453" s="162">
        <f t="shared" ref="BI453:BI516" si="302">IF($E453="","",(BQ453*(1-$U453)*(1-$T453)/(1+$N453)+BL453/(1+$N453/2)-BJ453+BK453))</f>
        <v>3529.2629874516706</v>
      </c>
      <c r="BJ453" s="150">
        <f t="shared" ref="BJ453:BJ516" si="303">IF($E453="","",AS453)</f>
        <v>0</v>
      </c>
      <c r="BK453" s="163">
        <f t="shared" si="284"/>
        <v>0</v>
      </c>
      <c r="BL453" s="163">
        <f t="shared" ref="BL453:BL516" si="304">IF(E453="","",$T453*$H453)</f>
        <v>1142.5704770274715</v>
      </c>
      <c r="BM453" s="163">
        <f t="shared" si="285"/>
        <v>11.045142764684257</v>
      </c>
      <c r="BN453" s="163">
        <f t="shared" ref="BN453:BN516" si="305">IF($E453="","",BQ453*$T453)</f>
        <v>27.712523069108318</v>
      </c>
      <c r="BO453" s="163">
        <f t="shared" ref="BO453:BO516" si="306">IF($E453="","",$U453*BQ453*(1-$T453))</f>
        <v>0</v>
      </c>
      <c r="BP453" s="164">
        <f t="shared" si="286"/>
        <v>2425.4501762579916</v>
      </c>
      <c r="BQ453" s="164">
        <f>IF($E453="","",IF(AND($D453=Input!$C$6,$C453=12),0,-BJ454+BK454+BL454-BM454-BN454-BO454+BQ454))</f>
        <v>2425.4541515203191</v>
      </c>
      <c r="BR453" s="161">
        <f t="shared" ref="BR453:BR516" si="307">IF(E453="","",ROUND(BQ453-BP453,1))</f>
        <v>0</v>
      </c>
      <c r="BT453" s="147">
        <f t="shared" ref="BT453:BT516" si="308">IF(E453="","",BC453)</f>
        <v>5.6010379876182239E-3</v>
      </c>
      <c r="BU453" s="164">
        <f>IF(AND($C452=12,$D452=Input!$C$6),0,IF($E453="","",BK453+(BL453+BU454)/(1+$AK453)*MIN((1-T453-U453),1)))</f>
        <v>56858.0645471014</v>
      </c>
      <c r="BV453" s="164">
        <f t="shared" ref="BV453:BV516" si="309">IF(E453="","",BT453*BU453)</f>
        <v>318.46417943076392</v>
      </c>
      <c r="BW453" s="164">
        <f t="shared" ref="BW453:BW516" si="310">IF(E453="","",BQ453)</f>
        <v>2425.4541515203191</v>
      </c>
      <c r="BX453" s="164">
        <f t="shared" ref="BX453:BX516" si="311">IF(E453="","",BT453*BW453)</f>
        <v>13.585060839891634</v>
      </c>
    </row>
    <row r="454" spans="1:76" s="150" customFormat="1" x14ac:dyDescent="0.25">
      <c r="A454" s="150">
        <f t="shared" si="281"/>
        <v>450</v>
      </c>
      <c r="B454" s="150">
        <f t="shared" si="282"/>
        <v>38</v>
      </c>
      <c r="C454" s="150">
        <f t="shared" si="283"/>
        <v>6</v>
      </c>
      <c r="D454" s="150">
        <f>IF(E454="","",Input!$C$4+B454-1)</f>
        <v>82</v>
      </c>
      <c r="E454" s="150">
        <f>IF(OR(AND(C453=12,D453=Input!$C$6),E453=""),"",1)</f>
        <v>1</v>
      </c>
      <c r="F454" s="150">
        <f>IF(E454="","",Input!$C$8+B454-1)</f>
        <v>2055</v>
      </c>
      <c r="G454" s="151">
        <f>IF(E454="","",MAX(0,Input!$C$9-B454))</f>
        <v>0</v>
      </c>
      <c r="H454" s="152">
        <f>IF(E454="","",Input!$C$3)</f>
        <v>100000</v>
      </c>
      <c r="I454" s="153">
        <f>IF(E454="","",HLOOKUP($B454,Input!$C$13:$BT$14,2))</f>
        <v>137.02850000000001</v>
      </c>
      <c r="J454" s="154"/>
      <c r="K454" s="155">
        <f>IF($E454="","",INDEX(Input!$C$16:$CP$16,1,$B454))</f>
        <v>3.074E-2</v>
      </c>
      <c r="L454" s="155">
        <f>IF($E454="","",Input!$C$37)</f>
        <v>1.4999999999999999E-2</v>
      </c>
      <c r="M454" s="155">
        <f t="shared" si="287"/>
        <v>4.5740000000000003E-2</v>
      </c>
      <c r="N454" s="155">
        <f t="shared" si="288"/>
        <v>3.7340182050558113E-3</v>
      </c>
      <c r="O454" s="147">
        <f>IF($E454="","",MIN(VLOOKUP(IF($B454&lt;=Input!$C$7,$B454,26),'Mortality Tables'!$A$41:$CW$67,IF($B454&lt;=Input!$C$7+1,Input!$C$4+2,$D454-Input!$C$7+2),0)*IF(B454&gt;20,Input!$C$22,1)/1000,1))</f>
        <v>0.15506120000000001</v>
      </c>
      <c r="P454" s="147">
        <f>IF($E454="","",MIN(VLOOKUP(IF($B454&lt;=Input!$C$7,$B454,26),'Mortality Tables'!$A$12:$CW$37,IF($B454&lt;=Input!$C$7+1,Input!$C$4+2,$D454-Input!$C$7+2),0)*IF(B454&gt;20,Input!$C$22,1)/1000,1))</f>
        <v>0.19382650000000001</v>
      </c>
      <c r="Q454" s="155">
        <f>IF($E454="","",Input!$C$21)</f>
        <v>5.0000000000000001E-3</v>
      </c>
      <c r="R454" s="159">
        <f>IF($E454="","",(1-Q454)^($F454-Input!$C$20))</f>
        <v>0.83071870148213323</v>
      </c>
      <c r="S454" s="147">
        <f t="shared" si="290"/>
        <v>0.12881223871426137</v>
      </c>
      <c r="T454" s="147">
        <f t="shared" si="291"/>
        <v>1.1425704770274714E-2</v>
      </c>
      <c r="U454" s="160">
        <f>IF($E454="","",IF($C454=12,INDEX(Input!$C$15:$CP$15,1,$B454),0))</f>
        <v>0</v>
      </c>
      <c r="V454" s="150">
        <f>IF(E454="","",IF(C454=1,IF($B454=1,Input!$C$33,Input!$C$34),0))</f>
        <v>0</v>
      </c>
      <c r="W454" s="156">
        <f>IF($E454="","",Input!$C$35)</f>
        <v>0.02</v>
      </c>
      <c r="X454" s="156">
        <f t="shared" si="289"/>
        <v>2.0806850905900198</v>
      </c>
      <c r="Y454" s="154"/>
      <c r="Z454" s="147">
        <f>IF($E454="","",VLOOKUP($D454,'Mortality Margins &amp; Grading'!$AB$5:$AF$125,3,0)*IF(Summary!$D$25="Included Margin",IF(AND($B454&gt;Input!$C$9,Summary!$D$31&lt;&gt;"Included Margin"),0,1),0))</f>
        <v>2.5000000000000001E-2</v>
      </c>
      <c r="AA454" s="147">
        <f>IF($E454="","",VLOOKUP($D454,'Mortality Margins &amp; Grading'!$AB$5:$AF$125,5,0)*IF(Summary!$D$25="Included Margin",IF(AND($B454&gt;Input!$C$9,Summary!$D$31&lt;&gt;"Included Margin"),0,1),0))</f>
        <v>0.13</v>
      </c>
      <c r="AB454" s="147">
        <f>IF($E454="","",IF(AND($B454&gt;Input!$C$9,Summary!$D$31&lt;&gt;"Included Margin"),1,IF(Summary!$D$25="Included Margin",VLOOKUP($B454,'Mortality Margins &amp; Grading'!$AI$5:$AR$125,MATCH('Mortality Margins &amp; Grading'!$AQ$4,'Mortality Margins &amp; Grading'!$AI$4:$AR$4,0),0),1)))</f>
        <v>0.4375</v>
      </c>
      <c r="AC454" s="154"/>
      <c r="AD454" s="158">
        <f>IF(E454="","",Input!$C$48*IF(Summary!$D$30="Included Margin",IF(AND($B454&gt;Input!$C$9,Summary!$D$31&lt;&gt;"Included Margin"),0,1),0))</f>
        <v>-4.4999999999999997E-3</v>
      </c>
      <c r="AE454" s="159">
        <f>IF(E454="","",IF(Summary!$D$26="Included Margin",IF(AND($B454&gt;Input!$C$9,Summary!$D$31&lt;&gt;"Included Margin"),1,1/$R454),1))</f>
        <v>1.2037769201726676</v>
      </c>
      <c r="AF454" s="160">
        <f>IF(E454="","",IF(AND($B454&gt;=Input!$C$9,$C454=12,Summary!$D$31="Included Margin",$U454&gt;0),1/U454-1,IF($B454&gt;=Input!$C$9,0,Input!$C$45*IF(Summary!$D$27="Included Margin",1,0))))</f>
        <v>0</v>
      </c>
      <c r="AG454" s="160">
        <f>IF(E454="","",Input!$C$46*IF(Summary!$D$28="Included Margin",IF(AND($B454&gt;Input!$C$9,Summary!$D$31&lt;&gt;"Included Margin"),0,1),0))</f>
        <v>0.02</v>
      </c>
      <c r="AH454" s="158">
        <f>IF(E454="","",Input!$C$47*IF(Summary!$D$29="Included Margin",IF(AND($B454&gt;Input!$C$9,Summary!$D$31&lt;&gt;"Included Margin"),0,1),0))</f>
        <v>2.5000000000000001E-3</v>
      </c>
      <c r="AI454" s="154"/>
      <c r="AJ454" s="158">
        <f t="shared" ref="AJ454:AJ517" si="312">IF(E454="","",M454+AD454)</f>
        <v>4.1240000000000006E-2</v>
      </c>
      <c r="AK454" s="155">
        <f t="shared" ref="AK454:AK517" si="313">IF(E454="","",(1+AJ454)^(1/12)-1)</f>
        <v>3.3733695985587175E-3</v>
      </c>
      <c r="AL454" s="147">
        <f t="shared" ref="AL454:AL517" si="314">IF($E454="","",MIN(($O454*(1+$Z454)*$AB454+$P454*(1+$AA454)*(1-$AB454))*R454*AE454,1))</f>
        <v>0.19273622593750001</v>
      </c>
      <c r="AM454" s="147">
        <f t="shared" si="292"/>
        <v>1.7683839962054249E-2</v>
      </c>
      <c r="AN454" s="160">
        <f t="shared" ref="AN454:AN517" si="315">IF(E454="","",IF(U454=1,1,(1+AF454)*U454))</f>
        <v>0</v>
      </c>
      <c r="AO454" s="161">
        <f t="shared" ref="AO454:AO517" si="316">IF($E454="","",(1+$AG454)*$V454)</f>
        <v>0</v>
      </c>
      <c r="AP454" s="156">
        <f t="shared" si="293"/>
        <v>2.2779422888843293</v>
      </c>
      <c r="AQ454" s="152"/>
      <c r="AR454" s="162">
        <f t="shared" si="294"/>
        <v>11606.481479375148</v>
      </c>
      <c r="AS454" s="150">
        <f t="shared" ref="AS454:AS517" si="317">IF($E454="","",IF($C454=1,$I454*$H454/1000,0))</f>
        <v>0</v>
      </c>
      <c r="AT454" s="163">
        <f t="shared" si="295"/>
        <v>0</v>
      </c>
      <c r="AU454" s="163">
        <f t="shared" si="296"/>
        <v>1768.3839962054249</v>
      </c>
      <c r="AV454" s="163">
        <f t="shared" ref="AV454:AV517" si="318">IF($E454="","",(AR454+AS454-AT454-AU454/2)*$AK454)</f>
        <v>36.170245363070357</v>
      </c>
      <c r="AW454" s="163">
        <f t="shared" si="297"/>
        <v>177.75851215017863</v>
      </c>
      <c r="AX454" s="163">
        <f t="shared" si="298"/>
        <v>0</v>
      </c>
      <c r="AY454" s="165">
        <f t="shared" ref="AY454:AY517" si="319">IF($E454="","",AR454+AS454-AT454-AU454+AV454+AW454+AX454)</f>
        <v>10052.026240682972</v>
      </c>
      <c r="AZ454" s="164">
        <f>IF($E454="","",IF(OR(AND($D454=Input!$C$6,$C454=12),$AN454=1),0,-AS455+AT455+AU455-AV455-AW455-AX455+AZ455))</f>
        <v>10052.031263097297</v>
      </c>
      <c r="BA454" s="154">
        <f t="shared" si="299"/>
        <v>5.0224143251398345E-3</v>
      </c>
      <c r="BC454" s="147">
        <f t="shared" ref="BC454:BC517" si="320">IF($E454="","",MIN(1,(1-T454-U454))*BC453)</f>
        <v>5.5370421811646049E-3</v>
      </c>
      <c r="BD454" s="164">
        <f>IF(AND($C453=12,$D453=Input!$C$6),0,IF($E454="","",AT454+(AU454+BD455)/(1+$AK454)*MIN((1-AM454-AN454),1)))</f>
        <v>9527.0104649930345</v>
      </c>
      <c r="BE454" s="164">
        <f t="shared" si="300"/>
        <v>52.751458805063045</v>
      </c>
      <c r="BF454" s="164">
        <f t="shared" ref="BF454:BF517" si="321">IF($E454="","",AZ454)</f>
        <v>10052.031263097297</v>
      </c>
      <c r="BG454" s="164">
        <f t="shared" si="301"/>
        <v>55.658521110155057</v>
      </c>
      <c r="BH454" s="152"/>
      <c r="BI454" s="162">
        <f t="shared" si="302"/>
        <v>2425.4501762579921</v>
      </c>
      <c r="BJ454" s="150">
        <f t="shared" si="303"/>
        <v>0</v>
      </c>
      <c r="BK454" s="163">
        <f t="shared" si="284"/>
        <v>0</v>
      </c>
      <c r="BL454" s="163">
        <f t="shared" si="304"/>
        <v>1142.5704770274715</v>
      </c>
      <c r="BM454" s="163">
        <f t="shared" si="285"/>
        <v>6.9234856327132279</v>
      </c>
      <c r="BN454" s="163">
        <f t="shared" si="305"/>
        <v>14.907282025532057</v>
      </c>
      <c r="BO454" s="163">
        <f t="shared" si="306"/>
        <v>0</v>
      </c>
      <c r="BP454" s="164">
        <f t="shared" si="286"/>
        <v>1304.7104668887659</v>
      </c>
      <c r="BQ454" s="164">
        <f>IF($E454="","",IF(AND($D454=Input!$C$6,$C454=12),0,-BJ455+BK455+BL455-BM455-BN455-BO455+BQ455))</f>
        <v>1304.7144421510932</v>
      </c>
      <c r="BR454" s="161">
        <f t="shared" si="307"/>
        <v>0</v>
      </c>
      <c r="BT454" s="147">
        <f t="shared" si="308"/>
        <v>5.5370421811646049E-3</v>
      </c>
      <c r="BU454" s="164">
        <f>IF(AND($C453=12,$D453=Input!$C$6),0,IF($E454="","",BK454+(BL454+BU455)/(1+$AK454)*MIN((1-T454-U454),1)))</f>
        <v>56566.666035358488</v>
      </c>
      <c r="BV454" s="164">
        <f t="shared" si="309"/>
        <v>313.21201588563116</v>
      </c>
      <c r="BW454" s="164">
        <f t="shared" si="310"/>
        <v>1304.7144421510932</v>
      </c>
      <c r="BX454" s="164">
        <f t="shared" si="311"/>
        <v>7.2242589005652498</v>
      </c>
    </row>
    <row r="455" spans="1:76" s="150" customFormat="1" x14ac:dyDescent="0.25">
      <c r="A455" s="150">
        <f t="shared" ref="A455:A518" si="322">IF(E455="","",A454+1)</f>
        <v>451</v>
      </c>
      <c r="B455" s="150">
        <f t="shared" ref="B455:B518" si="323">IF(E455="","",IF(C454+1&gt;12,B454+1,B454))</f>
        <v>38</v>
      </c>
      <c r="C455" s="150">
        <f t="shared" ref="C455:C518" si="324">IF(E455="","",IF(C454+1&gt;12,1,C454+1))</f>
        <v>7</v>
      </c>
      <c r="D455" s="150">
        <f>IF(E455="","",Input!$C$4+B455-1)</f>
        <v>82</v>
      </c>
      <c r="E455" s="150">
        <f>IF(OR(AND(C454=12,D454=Input!$C$6),E454=""),"",1)</f>
        <v>1</v>
      </c>
      <c r="F455" s="150">
        <f>IF(E455="","",Input!$C$8+B455-1)</f>
        <v>2055</v>
      </c>
      <c r="G455" s="151">
        <f>IF(E455="","",MAX(0,Input!$C$9-B455))</f>
        <v>0</v>
      </c>
      <c r="H455" s="152">
        <f>IF(E455="","",Input!$C$3)</f>
        <v>100000</v>
      </c>
      <c r="I455" s="153">
        <f>IF(E455="","",HLOOKUP($B455,Input!$C$13:$BT$14,2))</f>
        <v>137.02850000000001</v>
      </c>
      <c r="J455" s="154"/>
      <c r="K455" s="155">
        <f>IF($E455="","",INDEX(Input!$C$16:$CP$16,1,$B455))</f>
        <v>3.074E-2</v>
      </c>
      <c r="L455" s="155">
        <f>IF($E455="","",Input!$C$37)</f>
        <v>1.4999999999999999E-2</v>
      </c>
      <c r="M455" s="155">
        <f t="shared" si="287"/>
        <v>4.5740000000000003E-2</v>
      </c>
      <c r="N455" s="155">
        <f t="shared" si="288"/>
        <v>3.7340182050558113E-3</v>
      </c>
      <c r="O455" s="147">
        <f>IF($E455="","",MIN(VLOOKUP(IF($B455&lt;=Input!$C$7,$B455,26),'Mortality Tables'!$A$41:$CW$67,IF($B455&lt;=Input!$C$7+1,Input!$C$4+2,$D455-Input!$C$7+2),0)*IF(B455&gt;20,Input!$C$22,1)/1000,1))</f>
        <v>0.15506120000000001</v>
      </c>
      <c r="P455" s="147">
        <f>IF($E455="","",MIN(VLOOKUP(IF($B455&lt;=Input!$C$7,$B455,26),'Mortality Tables'!$A$12:$CW$37,IF($B455&lt;=Input!$C$7+1,Input!$C$4+2,$D455-Input!$C$7+2),0)*IF(B455&gt;20,Input!$C$22,1)/1000,1))</f>
        <v>0.19382650000000001</v>
      </c>
      <c r="Q455" s="155">
        <f>IF($E455="","",Input!$C$21)</f>
        <v>5.0000000000000001E-3</v>
      </c>
      <c r="R455" s="159">
        <f>IF($E455="","",(1-Q455)^($F455-Input!$C$20))</f>
        <v>0.83071870148213323</v>
      </c>
      <c r="S455" s="147">
        <f t="shared" si="290"/>
        <v>0.12881223871426137</v>
      </c>
      <c r="T455" s="147">
        <f t="shared" si="291"/>
        <v>1.1425704770274714E-2</v>
      </c>
      <c r="U455" s="160">
        <f>IF($E455="","",IF($C455=12,INDEX(Input!$C$15:$CP$15,1,$B455),0))</f>
        <v>0</v>
      </c>
      <c r="V455" s="150">
        <f>IF(E455="","",IF(C455=1,IF($B455=1,Input!$C$33,Input!$C$34),0))</f>
        <v>0</v>
      </c>
      <c r="W455" s="156">
        <f>IF($E455="","",Input!$C$35)</f>
        <v>0.02</v>
      </c>
      <c r="X455" s="156">
        <f t="shared" si="289"/>
        <v>2.0806850905900198</v>
      </c>
      <c r="Y455" s="154"/>
      <c r="Z455" s="147">
        <f>IF($E455="","",VLOOKUP($D455,'Mortality Margins &amp; Grading'!$AB$5:$AF$125,3,0)*IF(Summary!$D$25="Included Margin",IF(AND($B455&gt;Input!$C$9,Summary!$D$31&lt;&gt;"Included Margin"),0,1),0))</f>
        <v>2.5000000000000001E-2</v>
      </c>
      <c r="AA455" s="147">
        <f>IF($E455="","",VLOOKUP($D455,'Mortality Margins &amp; Grading'!$AB$5:$AF$125,5,0)*IF(Summary!$D$25="Included Margin",IF(AND($B455&gt;Input!$C$9,Summary!$D$31&lt;&gt;"Included Margin"),0,1),0))</f>
        <v>0.13</v>
      </c>
      <c r="AB455" s="147">
        <f>IF($E455="","",IF(AND($B455&gt;Input!$C$9,Summary!$D$31&lt;&gt;"Included Margin"),1,IF(Summary!$D$25="Included Margin",VLOOKUP($B455,'Mortality Margins &amp; Grading'!$AI$5:$AR$125,MATCH('Mortality Margins &amp; Grading'!$AQ$4,'Mortality Margins &amp; Grading'!$AI$4:$AR$4,0),0),1)))</f>
        <v>0.4375</v>
      </c>
      <c r="AC455" s="154"/>
      <c r="AD455" s="158">
        <f>IF(E455="","",Input!$C$48*IF(Summary!$D$30="Included Margin",IF(AND($B455&gt;Input!$C$9,Summary!$D$31&lt;&gt;"Included Margin"),0,1),0))</f>
        <v>-4.4999999999999997E-3</v>
      </c>
      <c r="AE455" s="159">
        <f>IF(E455="","",IF(Summary!$D$26="Included Margin",IF(AND($B455&gt;Input!$C$9,Summary!$D$31&lt;&gt;"Included Margin"),1,1/$R455),1))</f>
        <v>1.2037769201726676</v>
      </c>
      <c r="AF455" s="160">
        <f>IF(E455="","",IF(AND($B455&gt;=Input!$C$9,$C455=12,Summary!$D$31="Included Margin",$U455&gt;0),1/U455-1,IF($B455&gt;=Input!$C$9,0,Input!$C$45*IF(Summary!$D$27="Included Margin",1,0))))</f>
        <v>0</v>
      </c>
      <c r="AG455" s="160">
        <f>IF(E455="","",Input!$C$46*IF(Summary!$D$28="Included Margin",IF(AND($B455&gt;Input!$C$9,Summary!$D$31&lt;&gt;"Included Margin"),0,1),0))</f>
        <v>0.02</v>
      </c>
      <c r="AH455" s="158">
        <f>IF(E455="","",Input!$C$47*IF(Summary!$D$29="Included Margin",IF(AND($B455&gt;Input!$C$9,Summary!$D$31&lt;&gt;"Included Margin"),0,1),0))</f>
        <v>2.5000000000000001E-3</v>
      </c>
      <c r="AI455" s="154"/>
      <c r="AJ455" s="158">
        <f t="shared" si="312"/>
        <v>4.1240000000000006E-2</v>
      </c>
      <c r="AK455" s="155">
        <f t="shared" si="313"/>
        <v>3.3733695985587175E-3</v>
      </c>
      <c r="AL455" s="147">
        <f t="shared" si="314"/>
        <v>0.19273622593750001</v>
      </c>
      <c r="AM455" s="147">
        <f t="shared" si="292"/>
        <v>1.7683839962054249E-2</v>
      </c>
      <c r="AN455" s="160">
        <f t="shared" si="315"/>
        <v>0</v>
      </c>
      <c r="AO455" s="161">
        <f t="shared" si="316"/>
        <v>0</v>
      </c>
      <c r="AP455" s="156">
        <f t="shared" si="293"/>
        <v>2.2779422888843293</v>
      </c>
      <c r="AQ455" s="152"/>
      <c r="AR455" s="162">
        <f t="shared" si="294"/>
        <v>10052.026240682972</v>
      </c>
      <c r="AS455" s="150">
        <f t="shared" si="317"/>
        <v>0</v>
      </c>
      <c r="AT455" s="163">
        <f t="shared" si="295"/>
        <v>0</v>
      </c>
      <c r="AU455" s="163">
        <f t="shared" si="296"/>
        <v>1768.3839962054249</v>
      </c>
      <c r="AV455" s="163">
        <f t="shared" si="318"/>
        <v>30.92649331854583</v>
      </c>
      <c r="AW455" s="163">
        <f t="shared" si="297"/>
        <v>149.68051805497825</v>
      </c>
      <c r="AX455" s="163">
        <f t="shared" si="298"/>
        <v>0</v>
      </c>
      <c r="AY455" s="164">
        <f t="shared" si="319"/>
        <v>8464.2492558510712</v>
      </c>
      <c r="AZ455" s="164">
        <f>IF($E455="","",IF(OR(AND($D455=Input!$C$6,$C455=12),$AN455=1),0,-AS456+AT456+AU456-AV456-AW456-AX456+AZ456))</f>
        <v>8464.2542782653964</v>
      </c>
      <c r="BA455" s="154">
        <f t="shared" si="299"/>
        <v>5.0224143251398345E-3</v>
      </c>
      <c r="BC455" s="147">
        <f t="shared" si="320"/>
        <v>5.4737775719020604E-3</v>
      </c>
      <c r="BD455" s="164">
        <f>IF(AND($C454=12,$D454=Input!$C$6),0,IF($E455="","",AT455+(AU455+BD456)/(1+$AK455)*MIN((1-AM455-AN455),1)))</f>
        <v>7962.8501841337575</v>
      </c>
      <c r="BE455" s="164">
        <f t="shared" si="300"/>
        <v>43.586870746327556</v>
      </c>
      <c r="BF455" s="164">
        <f t="shared" si="321"/>
        <v>8464.2542782653964</v>
      </c>
      <c r="BG455" s="164">
        <f t="shared" si="301"/>
        <v>46.331445231245191</v>
      </c>
      <c r="BH455" s="152"/>
      <c r="BI455" s="162">
        <f t="shared" si="302"/>
        <v>1304.7104668887657</v>
      </c>
      <c r="BJ455" s="150">
        <f t="shared" si="303"/>
        <v>0</v>
      </c>
      <c r="BK455" s="163">
        <f t="shared" ref="BK455:BK518" si="325">IF($E455="","",$V455*$X455)</f>
        <v>0</v>
      </c>
      <c r="BL455" s="163">
        <f t="shared" si="304"/>
        <v>1142.5704770274715</v>
      </c>
      <c r="BM455" s="163">
        <f t="shared" ref="BM455:BM518" si="326">IF($E455="","",(BI455+BJ455-BK455-BL455/2)*$N455)</f>
        <v>2.7386231547995781</v>
      </c>
      <c r="BN455" s="163">
        <f t="shared" si="305"/>
        <v>1.905673437513584</v>
      </c>
      <c r="BO455" s="163">
        <f t="shared" si="306"/>
        <v>0</v>
      </c>
      <c r="BP455" s="164">
        <f t="shared" ref="BP455:BP518" si="327">IF($E455="","",BI455+BJ455-BK455-BL455+BM455+BN455+BO455)</f>
        <v>166.78428645360736</v>
      </c>
      <c r="BQ455" s="164">
        <f>IF($E455="","",IF(AND($D455=Input!$C$6,$C455=12),0,-BJ456+BK456+BL456-BM456-BN456-BO456+BQ456))</f>
        <v>166.78826171593482</v>
      </c>
      <c r="BR455" s="161">
        <f t="shared" si="307"/>
        <v>0</v>
      </c>
      <c r="BT455" s="147">
        <f t="shared" si="308"/>
        <v>5.4737775719020604E-3</v>
      </c>
      <c r="BU455" s="164">
        <f>IF(AND($C454=12,$D454=Input!$C$6),0,IF($E455="","",BK455+(BL455+BU456)/(1+$AK455)*MIN((1-T455-U455),1)))</f>
        <v>56270.905253357232</v>
      </c>
      <c r="BV455" s="164">
        <f t="shared" si="309"/>
        <v>308.01441912645265</v>
      </c>
      <c r="BW455" s="164">
        <f t="shared" si="310"/>
        <v>166.78826171593482</v>
      </c>
      <c r="BX455" s="164">
        <f t="shared" si="311"/>
        <v>0.9129618462372151</v>
      </c>
    </row>
    <row r="456" spans="1:76" s="150" customFormat="1" x14ac:dyDescent="0.25">
      <c r="A456" s="150">
        <f t="shared" si="322"/>
        <v>452</v>
      </c>
      <c r="B456" s="150">
        <f t="shared" si="323"/>
        <v>38</v>
      </c>
      <c r="C456" s="150">
        <f t="shared" si="324"/>
        <v>8</v>
      </c>
      <c r="D456" s="150">
        <f>IF(E456="","",Input!$C$4+B456-1)</f>
        <v>82</v>
      </c>
      <c r="E456" s="150">
        <f>IF(OR(AND(C455=12,D455=Input!$C$6),E455=""),"",1)</f>
        <v>1</v>
      </c>
      <c r="F456" s="150">
        <f>IF(E456="","",Input!$C$8+B456-1)</f>
        <v>2055</v>
      </c>
      <c r="G456" s="151">
        <f>IF(E456="","",MAX(0,Input!$C$9-B456))</f>
        <v>0</v>
      </c>
      <c r="H456" s="152">
        <f>IF(E456="","",Input!$C$3)</f>
        <v>100000</v>
      </c>
      <c r="I456" s="153">
        <f>IF(E456="","",HLOOKUP($B456,Input!$C$13:$BT$14,2))</f>
        <v>137.02850000000001</v>
      </c>
      <c r="J456" s="154"/>
      <c r="K456" s="155">
        <f>IF($E456="","",INDEX(Input!$C$16:$CP$16,1,$B456))</f>
        <v>3.074E-2</v>
      </c>
      <c r="L456" s="155">
        <f>IF($E456="","",Input!$C$37)</f>
        <v>1.4999999999999999E-2</v>
      </c>
      <c r="M456" s="155">
        <f t="shared" si="287"/>
        <v>4.5740000000000003E-2</v>
      </c>
      <c r="N456" s="155">
        <f t="shared" si="288"/>
        <v>3.7340182050558113E-3</v>
      </c>
      <c r="O456" s="147">
        <f>IF($E456="","",MIN(VLOOKUP(IF($B456&lt;=Input!$C$7,$B456,26),'Mortality Tables'!$A$41:$CW$67,IF($B456&lt;=Input!$C$7+1,Input!$C$4+2,$D456-Input!$C$7+2),0)*IF(B456&gt;20,Input!$C$22,1)/1000,1))</f>
        <v>0.15506120000000001</v>
      </c>
      <c r="P456" s="147">
        <f>IF($E456="","",MIN(VLOOKUP(IF($B456&lt;=Input!$C$7,$B456,26),'Mortality Tables'!$A$12:$CW$37,IF($B456&lt;=Input!$C$7+1,Input!$C$4+2,$D456-Input!$C$7+2),0)*IF(B456&gt;20,Input!$C$22,1)/1000,1))</f>
        <v>0.19382650000000001</v>
      </c>
      <c r="Q456" s="155">
        <f>IF($E456="","",Input!$C$21)</f>
        <v>5.0000000000000001E-3</v>
      </c>
      <c r="R456" s="159">
        <f>IF($E456="","",(1-Q456)^($F456-Input!$C$20))</f>
        <v>0.83071870148213323</v>
      </c>
      <c r="S456" s="147">
        <f t="shared" si="290"/>
        <v>0.12881223871426137</v>
      </c>
      <c r="T456" s="147">
        <f t="shared" si="291"/>
        <v>1.1425704770274714E-2</v>
      </c>
      <c r="U456" s="160">
        <f>IF($E456="","",IF($C456=12,INDEX(Input!$C$15:$CP$15,1,$B456),0))</f>
        <v>0</v>
      </c>
      <c r="V456" s="150">
        <f>IF(E456="","",IF(C456=1,IF($B456=1,Input!$C$33,Input!$C$34),0))</f>
        <v>0</v>
      </c>
      <c r="W456" s="156">
        <f>IF($E456="","",Input!$C$35)</f>
        <v>0.02</v>
      </c>
      <c r="X456" s="156">
        <f t="shared" si="289"/>
        <v>2.0806850905900198</v>
      </c>
      <c r="Y456" s="154"/>
      <c r="Z456" s="147">
        <f>IF($E456="","",VLOOKUP($D456,'Mortality Margins &amp; Grading'!$AB$5:$AF$125,3,0)*IF(Summary!$D$25="Included Margin",IF(AND($B456&gt;Input!$C$9,Summary!$D$31&lt;&gt;"Included Margin"),0,1),0))</f>
        <v>2.5000000000000001E-2</v>
      </c>
      <c r="AA456" s="147">
        <f>IF($E456="","",VLOOKUP($D456,'Mortality Margins &amp; Grading'!$AB$5:$AF$125,5,0)*IF(Summary!$D$25="Included Margin",IF(AND($B456&gt;Input!$C$9,Summary!$D$31&lt;&gt;"Included Margin"),0,1),0))</f>
        <v>0.13</v>
      </c>
      <c r="AB456" s="147">
        <f>IF($E456="","",IF(AND($B456&gt;Input!$C$9,Summary!$D$31&lt;&gt;"Included Margin"),1,IF(Summary!$D$25="Included Margin",VLOOKUP($B456,'Mortality Margins &amp; Grading'!$AI$5:$AR$125,MATCH('Mortality Margins &amp; Grading'!$AQ$4,'Mortality Margins &amp; Grading'!$AI$4:$AR$4,0),0),1)))</f>
        <v>0.4375</v>
      </c>
      <c r="AC456" s="154"/>
      <c r="AD456" s="158">
        <f>IF(E456="","",Input!$C$48*IF(Summary!$D$30="Included Margin",IF(AND($B456&gt;Input!$C$9,Summary!$D$31&lt;&gt;"Included Margin"),0,1),0))</f>
        <v>-4.4999999999999997E-3</v>
      </c>
      <c r="AE456" s="159">
        <f>IF(E456="","",IF(Summary!$D$26="Included Margin",IF(AND($B456&gt;Input!$C$9,Summary!$D$31&lt;&gt;"Included Margin"),1,1/$R456),1))</f>
        <v>1.2037769201726676</v>
      </c>
      <c r="AF456" s="160">
        <f>IF(E456="","",IF(AND($B456&gt;=Input!$C$9,$C456=12,Summary!$D$31="Included Margin",$U456&gt;0),1/U456-1,IF($B456&gt;=Input!$C$9,0,Input!$C$45*IF(Summary!$D$27="Included Margin",1,0))))</f>
        <v>0</v>
      </c>
      <c r="AG456" s="160">
        <f>IF(E456="","",Input!$C$46*IF(Summary!$D$28="Included Margin",IF(AND($B456&gt;Input!$C$9,Summary!$D$31&lt;&gt;"Included Margin"),0,1),0))</f>
        <v>0.02</v>
      </c>
      <c r="AH456" s="158">
        <f>IF(E456="","",Input!$C$47*IF(Summary!$D$29="Included Margin",IF(AND($B456&gt;Input!$C$9,Summary!$D$31&lt;&gt;"Included Margin"),0,1),0))</f>
        <v>2.5000000000000001E-3</v>
      </c>
      <c r="AI456" s="154"/>
      <c r="AJ456" s="158">
        <f t="shared" si="312"/>
        <v>4.1240000000000006E-2</v>
      </c>
      <c r="AK456" s="155">
        <f t="shared" si="313"/>
        <v>3.3733695985587175E-3</v>
      </c>
      <c r="AL456" s="147">
        <f t="shared" si="314"/>
        <v>0.19273622593750001</v>
      </c>
      <c r="AM456" s="147">
        <f t="shared" si="292"/>
        <v>1.7683839962054249E-2</v>
      </c>
      <c r="AN456" s="160">
        <f t="shared" si="315"/>
        <v>0</v>
      </c>
      <c r="AO456" s="161">
        <f t="shared" si="316"/>
        <v>0</v>
      </c>
      <c r="AP456" s="156">
        <f t="shared" si="293"/>
        <v>2.2779422888843293</v>
      </c>
      <c r="AQ456" s="152"/>
      <c r="AR456" s="162">
        <f t="shared" si="294"/>
        <v>8464.2492558510712</v>
      </c>
      <c r="AS456" s="150">
        <f t="shared" si="317"/>
        <v>0</v>
      </c>
      <c r="AT456" s="163">
        <f t="shared" si="295"/>
        <v>0</v>
      </c>
      <c r="AU456" s="163">
        <f t="shared" si="296"/>
        <v>1768.3839962054249</v>
      </c>
      <c r="AV456" s="163">
        <f t="shared" si="318"/>
        <v>25.570334708622674</v>
      </c>
      <c r="AW456" s="163">
        <f t="shared" si="297"/>
        <v>121.00063606486488</v>
      </c>
      <c r="AX456" s="163">
        <f t="shared" si="298"/>
        <v>0</v>
      </c>
      <c r="AY456" s="165">
        <f t="shared" si="319"/>
        <v>6842.4362304191345</v>
      </c>
      <c r="AZ456" s="164">
        <f>IF($E456="","",IF(OR(AND($D456=Input!$C$6,$C456=12),$AN456=1),0,-AS457+AT457+AU457-AV457-AW457-AX457+AZ457))</f>
        <v>6842.4412528334597</v>
      </c>
      <c r="BA456" s="154">
        <f t="shared" si="299"/>
        <v>5.0224143251398345E-3</v>
      </c>
      <c r="BC456" s="147">
        <f t="shared" si="320"/>
        <v>5.4112358053873561E-3</v>
      </c>
      <c r="BD456" s="164">
        <f>IF(AND($C455=12,$D455=Input!$C$6),0,IF($E456="","",AT456+(AU456+BD457)/(1+$AK456)*MIN((1-AM456-AN456),1)))</f>
        <v>6365.1601170810336</v>
      </c>
      <c r="BE456" s="164">
        <f t="shared" si="300"/>
        <v>34.443382332572462</v>
      </c>
      <c r="BF456" s="164">
        <f t="shared" si="321"/>
        <v>6842.4412528334597</v>
      </c>
      <c r="BG456" s="164">
        <f t="shared" si="301"/>
        <v>37.026063103591937</v>
      </c>
      <c r="BH456" s="152"/>
      <c r="BI456" s="162">
        <f t="shared" si="302"/>
        <v>166.78428645360736</v>
      </c>
      <c r="BJ456" s="150">
        <f t="shared" si="303"/>
        <v>0</v>
      </c>
      <c r="BK456" s="163">
        <f t="shared" si="325"/>
        <v>0</v>
      </c>
      <c r="BL456" s="163">
        <f t="shared" si="304"/>
        <v>1142.5704770274715</v>
      </c>
      <c r="BM456" s="163">
        <f t="shared" si="326"/>
        <v>-1.5104139189549273</v>
      </c>
      <c r="BN456" s="163">
        <f t="shared" si="305"/>
        <v>-11.295313978559728</v>
      </c>
      <c r="BO456" s="163">
        <f t="shared" si="306"/>
        <v>0</v>
      </c>
      <c r="BP456" s="164">
        <f t="shared" si="327"/>
        <v>-988.59191847137879</v>
      </c>
      <c r="BQ456" s="164">
        <f>IF($E456="","",IF(AND($D456=Input!$C$6,$C456=12),0,-BJ457+BK457+BL457-BM457-BN457-BO457+BQ457))</f>
        <v>-988.58794320905145</v>
      </c>
      <c r="BR456" s="161">
        <f t="shared" si="307"/>
        <v>0</v>
      </c>
      <c r="BT456" s="147">
        <f t="shared" si="308"/>
        <v>5.4112358053873561E-3</v>
      </c>
      <c r="BU456" s="164">
        <f>IF(AND($C455=12,$D455=Input!$C$6),0,IF($E456="","",BK456+(BL456+BU457)/(1+$AK456)*MIN((1-T456-U456),1)))</f>
        <v>55970.716897394821</v>
      </c>
      <c r="BV456" s="164">
        <f t="shared" si="309"/>
        <v>302.87074732838198</v>
      </c>
      <c r="BW456" s="164">
        <f t="shared" si="310"/>
        <v>-988.58794320905145</v>
      </c>
      <c r="BX456" s="164">
        <f t="shared" si="311"/>
        <v>-5.3494824750670613</v>
      </c>
    </row>
    <row r="457" spans="1:76" s="150" customFormat="1" x14ac:dyDescent="0.25">
      <c r="A457" s="150">
        <f t="shared" si="322"/>
        <v>453</v>
      </c>
      <c r="B457" s="150">
        <f t="shared" si="323"/>
        <v>38</v>
      </c>
      <c r="C457" s="150">
        <f t="shared" si="324"/>
        <v>9</v>
      </c>
      <c r="D457" s="150">
        <f>IF(E457="","",Input!$C$4+B457-1)</f>
        <v>82</v>
      </c>
      <c r="E457" s="150">
        <f>IF(OR(AND(C456=12,D456=Input!$C$6),E456=""),"",1)</f>
        <v>1</v>
      </c>
      <c r="F457" s="150">
        <f>IF(E457="","",Input!$C$8+B457-1)</f>
        <v>2055</v>
      </c>
      <c r="G457" s="151">
        <f>IF(E457="","",MAX(0,Input!$C$9-B457))</f>
        <v>0</v>
      </c>
      <c r="H457" s="152">
        <f>IF(E457="","",Input!$C$3)</f>
        <v>100000</v>
      </c>
      <c r="I457" s="153">
        <f>IF(E457="","",HLOOKUP($B457,Input!$C$13:$BT$14,2))</f>
        <v>137.02850000000001</v>
      </c>
      <c r="J457" s="154"/>
      <c r="K457" s="155">
        <f>IF($E457="","",INDEX(Input!$C$16:$CP$16,1,$B457))</f>
        <v>3.074E-2</v>
      </c>
      <c r="L457" s="155">
        <f>IF($E457="","",Input!$C$37)</f>
        <v>1.4999999999999999E-2</v>
      </c>
      <c r="M457" s="155">
        <f t="shared" si="287"/>
        <v>4.5740000000000003E-2</v>
      </c>
      <c r="N457" s="155">
        <f t="shared" si="288"/>
        <v>3.7340182050558113E-3</v>
      </c>
      <c r="O457" s="147">
        <f>IF($E457="","",MIN(VLOOKUP(IF($B457&lt;=Input!$C$7,$B457,26),'Mortality Tables'!$A$41:$CW$67,IF($B457&lt;=Input!$C$7+1,Input!$C$4+2,$D457-Input!$C$7+2),0)*IF(B457&gt;20,Input!$C$22,1)/1000,1))</f>
        <v>0.15506120000000001</v>
      </c>
      <c r="P457" s="147">
        <f>IF($E457="","",MIN(VLOOKUP(IF($B457&lt;=Input!$C$7,$B457,26),'Mortality Tables'!$A$12:$CW$37,IF($B457&lt;=Input!$C$7+1,Input!$C$4+2,$D457-Input!$C$7+2),0)*IF(B457&gt;20,Input!$C$22,1)/1000,1))</f>
        <v>0.19382650000000001</v>
      </c>
      <c r="Q457" s="155">
        <f>IF($E457="","",Input!$C$21)</f>
        <v>5.0000000000000001E-3</v>
      </c>
      <c r="R457" s="159">
        <f>IF($E457="","",(1-Q457)^($F457-Input!$C$20))</f>
        <v>0.83071870148213323</v>
      </c>
      <c r="S457" s="147">
        <f t="shared" si="290"/>
        <v>0.12881223871426137</v>
      </c>
      <c r="T457" s="147">
        <f t="shared" si="291"/>
        <v>1.1425704770274714E-2</v>
      </c>
      <c r="U457" s="160">
        <f>IF($E457="","",IF($C457=12,INDEX(Input!$C$15:$CP$15,1,$B457),0))</f>
        <v>0</v>
      </c>
      <c r="V457" s="150">
        <f>IF(E457="","",IF(C457=1,IF($B457=1,Input!$C$33,Input!$C$34),0))</f>
        <v>0</v>
      </c>
      <c r="W457" s="156">
        <f>IF($E457="","",Input!$C$35)</f>
        <v>0.02</v>
      </c>
      <c r="X457" s="156">
        <f t="shared" si="289"/>
        <v>2.0806850905900198</v>
      </c>
      <c r="Y457" s="154"/>
      <c r="Z457" s="147">
        <f>IF($E457="","",VLOOKUP($D457,'Mortality Margins &amp; Grading'!$AB$5:$AF$125,3,0)*IF(Summary!$D$25="Included Margin",IF(AND($B457&gt;Input!$C$9,Summary!$D$31&lt;&gt;"Included Margin"),0,1),0))</f>
        <v>2.5000000000000001E-2</v>
      </c>
      <c r="AA457" s="147">
        <f>IF($E457="","",VLOOKUP($D457,'Mortality Margins &amp; Grading'!$AB$5:$AF$125,5,0)*IF(Summary!$D$25="Included Margin",IF(AND($B457&gt;Input!$C$9,Summary!$D$31&lt;&gt;"Included Margin"),0,1),0))</f>
        <v>0.13</v>
      </c>
      <c r="AB457" s="147">
        <f>IF($E457="","",IF(AND($B457&gt;Input!$C$9,Summary!$D$31&lt;&gt;"Included Margin"),1,IF(Summary!$D$25="Included Margin",VLOOKUP($B457,'Mortality Margins &amp; Grading'!$AI$5:$AR$125,MATCH('Mortality Margins &amp; Grading'!$AQ$4,'Mortality Margins &amp; Grading'!$AI$4:$AR$4,0),0),1)))</f>
        <v>0.4375</v>
      </c>
      <c r="AC457" s="154"/>
      <c r="AD457" s="158">
        <f>IF(E457="","",Input!$C$48*IF(Summary!$D$30="Included Margin",IF(AND($B457&gt;Input!$C$9,Summary!$D$31&lt;&gt;"Included Margin"),0,1),0))</f>
        <v>-4.4999999999999997E-3</v>
      </c>
      <c r="AE457" s="159">
        <f>IF(E457="","",IF(Summary!$D$26="Included Margin",IF(AND($B457&gt;Input!$C$9,Summary!$D$31&lt;&gt;"Included Margin"),1,1/$R457),1))</f>
        <v>1.2037769201726676</v>
      </c>
      <c r="AF457" s="160">
        <f>IF(E457="","",IF(AND($B457&gt;=Input!$C$9,$C457=12,Summary!$D$31="Included Margin",$U457&gt;0),1/U457-1,IF($B457&gt;=Input!$C$9,0,Input!$C$45*IF(Summary!$D$27="Included Margin",1,0))))</f>
        <v>0</v>
      </c>
      <c r="AG457" s="160">
        <f>IF(E457="","",Input!$C$46*IF(Summary!$D$28="Included Margin",IF(AND($B457&gt;Input!$C$9,Summary!$D$31&lt;&gt;"Included Margin"),0,1),0))</f>
        <v>0.02</v>
      </c>
      <c r="AH457" s="158">
        <f>IF(E457="","",Input!$C$47*IF(Summary!$D$29="Included Margin",IF(AND($B457&gt;Input!$C$9,Summary!$D$31&lt;&gt;"Included Margin"),0,1),0))</f>
        <v>2.5000000000000001E-3</v>
      </c>
      <c r="AI457" s="154"/>
      <c r="AJ457" s="158">
        <f t="shared" si="312"/>
        <v>4.1240000000000006E-2</v>
      </c>
      <c r="AK457" s="155">
        <f t="shared" si="313"/>
        <v>3.3733695985587175E-3</v>
      </c>
      <c r="AL457" s="147">
        <f t="shared" si="314"/>
        <v>0.19273622593750001</v>
      </c>
      <c r="AM457" s="147">
        <f t="shared" si="292"/>
        <v>1.7683839962054249E-2</v>
      </c>
      <c r="AN457" s="160">
        <f t="shared" si="315"/>
        <v>0</v>
      </c>
      <c r="AO457" s="161">
        <f t="shared" si="316"/>
        <v>0</v>
      </c>
      <c r="AP457" s="156">
        <f t="shared" si="293"/>
        <v>2.2779422888843293</v>
      </c>
      <c r="AQ457" s="152"/>
      <c r="AR457" s="162">
        <f t="shared" si="294"/>
        <v>6842.4362304191345</v>
      </c>
      <c r="AS457" s="150">
        <f t="shared" si="317"/>
        <v>0</v>
      </c>
      <c r="AT457" s="163">
        <f t="shared" si="295"/>
        <v>0</v>
      </c>
      <c r="AU457" s="163">
        <f t="shared" si="296"/>
        <v>1768.3839962054249</v>
      </c>
      <c r="AV457" s="163">
        <f t="shared" si="318"/>
        <v>20.099359954084044</v>
      </c>
      <c r="AW457" s="163">
        <f t="shared" si="297"/>
        <v>91.705963939143672</v>
      </c>
      <c r="AX457" s="163">
        <f t="shared" si="298"/>
        <v>0</v>
      </c>
      <c r="AY457" s="164">
        <f t="shared" si="319"/>
        <v>5185.8575581069381</v>
      </c>
      <c r="AZ457" s="164">
        <f>IF($E457="","",IF(OR(AND($D457=Input!$C$6,$C457=12),$AN457=1),0,-AS458+AT458+AU458-AV458-AW458-AX458+AZ458))</f>
        <v>5185.8625805212623</v>
      </c>
      <c r="BA457" s="154">
        <f t="shared" si="299"/>
        <v>5.0224143242303398E-3</v>
      </c>
      <c r="BC457" s="147">
        <f t="shared" si="320"/>
        <v>5.3494086226326606E-3</v>
      </c>
      <c r="BD457" s="164">
        <f>IF(AND($C456=12,$D456=Input!$C$6),0,IF($E457="","",AT457+(AU457+BD458)/(1+$AK457)*MIN((1-AM457-AN457),1)))</f>
        <v>4733.221509768583</v>
      </c>
      <c r="BE457" s="164">
        <f t="shared" si="300"/>
        <v>25.319935957186438</v>
      </c>
      <c r="BF457" s="164">
        <f t="shared" si="321"/>
        <v>5185.8625805212623</v>
      </c>
      <c r="BG457" s="164">
        <f t="shared" si="301"/>
        <v>27.741298004028501</v>
      </c>
      <c r="BH457" s="152"/>
      <c r="BI457" s="162">
        <f t="shared" si="302"/>
        <v>-988.59191847137913</v>
      </c>
      <c r="BJ457" s="150">
        <f t="shared" si="303"/>
        <v>0</v>
      </c>
      <c r="BK457" s="163">
        <f t="shared" si="325"/>
        <v>0</v>
      </c>
      <c r="BL457" s="163">
        <f t="shared" si="304"/>
        <v>1142.5704770274715</v>
      </c>
      <c r="BM457" s="163">
        <f t="shared" si="326"/>
        <v>-5.8246097018331202</v>
      </c>
      <c r="BN457" s="163">
        <f t="shared" si="305"/>
        <v>-24.698737684140234</v>
      </c>
      <c r="BO457" s="163">
        <f t="shared" si="306"/>
        <v>0</v>
      </c>
      <c r="BP457" s="164">
        <f t="shared" si="327"/>
        <v>-2161.6857428848243</v>
      </c>
      <c r="BQ457" s="164">
        <f>IF($E457="","",IF(AND($D457=Input!$C$6,$C457=12),0,-BJ458+BK458+BL458-BM458-BN458-BO458+BQ458))</f>
        <v>-2161.6817676224964</v>
      </c>
      <c r="BR457" s="161">
        <f t="shared" si="307"/>
        <v>0</v>
      </c>
      <c r="BT457" s="147">
        <f t="shared" si="308"/>
        <v>5.3494086226326606E-3</v>
      </c>
      <c r="BU457" s="164">
        <f>IF(AND($C456=12,$D456=Input!$C$6),0,IF($E457="","",BK457+(BL457+BU458)/(1+$AK457)*MIN((1-T457-U457),1)))</f>
        <v>55666.03468616429</v>
      </c>
      <c r="BV457" s="164">
        <f t="shared" si="309"/>
        <v>297.78036593793604</v>
      </c>
      <c r="BW457" s="164">
        <f t="shared" si="310"/>
        <v>-2161.6817676224964</v>
      </c>
      <c r="BX457" s="164">
        <f t="shared" si="311"/>
        <v>-11.563719087107593</v>
      </c>
    </row>
    <row r="458" spans="1:76" s="150" customFormat="1" x14ac:dyDescent="0.25">
      <c r="A458" s="150">
        <f t="shared" si="322"/>
        <v>454</v>
      </c>
      <c r="B458" s="150">
        <f t="shared" si="323"/>
        <v>38</v>
      </c>
      <c r="C458" s="150">
        <f t="shared" si="324"/>
        <v>10</v>
      </c>
      <c r="D458" s="150">
        <f>IF(E458="","",Input!$C$4+B458-1)</f>
        <v>82</v>
      </c>
      <c r="E458" s="150">
        <f>IF(OR(AND(C457=12,D457=Input!$C$6),E457=""),"",1)</f>
        <v>1</v>
      </c>
      <c r="F458" s="150">
        <f>IF(E458="","",Input!$C$8+B458-1)</f>
        <v>2055</v>
      </c>
      <c r="G458" s="151">
        <f>IF(E458="","",MAX(0,Input!$C$9-B458))</f>
        <v>0</v>
      </c>
      <c r="H458" s="152">
        <f>IF(E458="","",Input!$C$3)</f>
        <v>100000</v>
      </c>
      <c r="I458" s="153">
        <f>IF(E458="","",HLOOKUP($B458,Input!$C$13:$BT$14,2))</f>
        <v>137.02850000000001</v>
      </c>
      <c r="J458" s="154"/>
      <c r="K458" s="155">
        <f>IF($E458="","",INDEX(Input!$C$16:$CP$16,1,$B458))</f>
        <v>3.074E-2</v>
      </c>
      <c r="L458" s="155">
        <f>IF($E458="","",Input!$C$37)</f>
        <v>1.4999999999999999E-2</v>
      </c>
      <c r="M458" s="155">
        <f t="shared" si="287"/>
        <v>4.5740000000000003E-2</v>
      </c>
      <c r="N458" s="155">
        <f t="shared" si="288"/>
        <v>3.7340182050558113E-3</v>
      </c>
      <c r="O458" s="147">
        <f>IF($E458="","",MIN(VLOOKUP(IF($B458&lt;=Input!$C$7,$B458,26),'Mortality Tables'!$A$41:$CW$67,IF($B458&lt;=Input!$C$7+1,Input!$C$4+2,$D458-Input!$C$7+2),0)*IF(B458&gt;20,Input!$C$22,1)/1000,1))</f>
        <v>0.15506120000000001</v>
      </c>
      <c r="P458" s="147">
        <f>IF($E458="","",MIN(VLOOKUP(IF($B458&lt;=Input!$C$7,$B458,26),'Mortality Tables'!$A$12:$CW$37,IF($B458&lt;=Input!$C$7+1,Input!$C$4+2,$D458-Input!$C$7+2),0)*IF(B458&gt;20,Input!$C$22,1)/1000,1))</f>
        <v>0.19382650000000001</v>
      </c>
      <c r="Q458" s="155">
        <f>IF($E458="","",Input!$C$21)</f>
        <v>5.0000000000000001E-3</v>
      </c>
      <c r="R458" s="159">
        <f>IF($E458="","",(1-Q458)^($F458-Input!$C$20))</f>
        <v>0.83071870148213323</v>
      </c>
      <c r="S458" s="147">
        <f t="shared" si="290"/>
        <v>0.12881223871426137</v>
      </c>
      <c r="T458" s="147">
        <f t="shared" si="291"/>
        <v>1.1425704770274714E-2</v>
      </c>
      <c r="U458" s="160">
        <f>IF($E458="","",IF($C458=12,INDEX(Input!$C$15:$CP$15,1,$B458),0))</f>
        <v>0</v>
      </c>
      <c r="V458" s="150">
        <f>IF(E458="","",IF(C458=1,IF($B458=1,Input!$C$33,Input!$C$34),0))</f>
        <v>0</v>
      </c>
      <c r="W458" s="156">
        <f>IF($E458="","",Input!$C$35)</f>
        <v>0.02</v>
      </c>
      <c r="X458" s="156">
        <f t="shared" si="289"/>
        <v>2.0806850905900198</v>
      </c>
      <c r="Y458" s="154"/>
      <c r="Z458" s="147">
        <f>IF($E458="","",VLOOKUP($D458,'Mortality Margins &amp; Grading'!$AB$5:$AF$125,3,0)*IF(Summary!$D$25="Included Margin",IF(AND($B458&gt;Input!$C$9,Summary!$D$31&lt;&gt;"Included Margin"),0,1),0))</f>
        <v>2.5000000000000001E-2</v>
      </c>
      <c r="AA458" s="147">
        <f>IF($E458="","",VLOOKUP($D458,'Mortality Margins &amp; Grading'!$AB$5:$AF$125,5,0)*IF(Summary!$D$25="Included Margin",IF(AND($B458&gt;Input!$C$9,Summary!$D$31&lt;&gt;"Included Margin"),0,1),0))</f>
        <v>0.13</v>
      </c>
      <c r="AB458" s="147">
        <f>IF($E458="","",IF(AND($B458&gt;Input!$C$9,Summary!$D$31&lt;&gt;"Included Margin"),1,IF(Summary!$D$25="Included Margin",VLOOKUP($B458,'Mortality Margins &amp; Grading'!$AI$5:$AR$125,MATCH('Mortality Margins &amp; Grading'!$AQ$4,'Mortality Margins &amp; Grading'!$AI$4:$AR$4,0),0),1)))</f>
        <v>0.4375</v>
      </c>
      <c r="AC458" s="154"/>
      <c r="AD458" s="158">
        <f>IF(E458="","",Input!$C$48*IF(Summary!$D$30="Included Margin",IF(AND($B458&gt;Input!$C$9,Summary!$D$31&lt;&gt;"Included Margin"),0,1),0))</f>
        <v>-4.4999999999999997E-3</v>
      </c>
      <c r="AE458" s="159">
        <f>IF(E458="","",IF(Summary!$D$26="Included Margin",IF(AND($B458&gt;Input!$C$9,Summary!$D$31&lt;&gt;"Included Margin"),1,1/$R458),1))</f>
        <v>1.2037769201726676</v>
      </c>
      <c r="AF458" s="160">
        <f>IF(E458="","",IF(AND($B458&gt;=Input!$C$9,$C458=12,Summary!$D$31="Included Margin",$U458&gt;0),1/U458-1,IF($B458&gt;=Input!$C$9,0,Input!$C$45*IF(Summary!$D$27="Included Margin",1,0))))</f>
        <v>0</v>
      </c>
      <c r="AG458" s="160">
        <f>IF(E458="","",Input!$C$46*IF(Summary!$D$28="Included Margin",IF(AND($B458&gt;Input!$C$9,Summary!$D$31&lt;&gt;"Included Margin"),0,1),0))</f>
        <v>0.02</v>
      </c>
      <c r="AH458" s="158">
        <f>IF(E458="","",Input!$C$47*IF(Summary!$D$29="Included Margin",IF(AND($B458&gt;Input!$C$9,Summary!$D$31&lt;&gt;"Included Margin"),0,1),0))</f>
        <v>2.5000000000000001E-3</v>
      </c>
      <c r="AI458" s="154"/>
      <c r="AJ458" s="158">
        <f t="shared" si="312"/>
        <v>4.1240000000000006E-2</v>
      </c>
      <c r="AK458" s="155">
        <f t="shared" si="313"/>
        <v>3.3733695985587175E-3</v>
      </c>
      <c r="AL458" s="147">
        <f t="shared" si="314"/>
        <v>0.19273622593750001</v>
      </c>
      <c r="AM458" s="147">
        <f t="shared" si="292"/>
        <v>1.7683839962054249E-2</v>
      </c>
      <c r="AN458" s="160">
        <f t="shared" si="315"/>
        <v>0</v>
      </c>
      <c r="AO458" s="161">
        <f t="shared" si="316"/>
        <v>0</v>
      </c>
      <c r="AP458" s="156">
        <f t="shared" si="293"/>
        <v>2.2779422888843293</v>
      </c>
      <c r="AQ458" s="152"/>
      <c r="AR458" s="162">
        <f t="shared" si="294"/>
        <v>5185.8575581069363</v>
      </c>
      <c r="AS458" s="150">
        <f t="shared" si="317"/>
        <v>0</v>
      </c>
      <c r="AT458" s="163">
        <f t="shared" si="295"/>
        <v>0</v>
      </c>
      <c r="AU458" s="163">
        <f t="shared" si="296"/>
        <v>1768.3839962054249</v>
      </c>
      <c r="AV458" s="163">
        <f t="shared" si="318"/>
        <v>14.511107823285311</v>
      </c>
      <c r="AW458" s="163">
        <f t="shared" si="297"/>
        <v>61.783322861006035</v>
      </c>
      <c r="AX458" s="163">
        <f t="shared" si="298"/>
        <v>0</v>
      </c>
      <c r="AY458" s="165">
        <f t="shared" si="319"/>
        <v>3493.7679925858029</v>
      </c>
      <c r="AZ458" s="164">
        <f>IF($E458="","",IF(OR(AND($D458=Input!$C$6,$C458=12),$AN458=1),0,-AS459+AT459+AU459-AV459-AW459-AX459+AZ459))</f>
        <v>3493.7730150001289</v>
      </c>
      <c r="BA458" s="154">
        <f t="shared" si="299"/>
        <v>5.0224143260493292E-3</v>
      </c>
      <c r="BC458" s="147">
        <f t="shared" si="320"/>
        <v>5.2882878590148983E-3</v>
      </c>
      <c r="BD458" s="164">
        <f>IF(AND($C457=12,$D457=Input!$C$6),0,IF($E458="","",AT458+(AU458+BD459)/(1+$AK458)*MIN((1-AM458-AN458),1)))</f>
        <v>3066.3002007128312</v>
      </c>
      <c r="BE458" s="164">
        <f t="shared" si="300"/>
        <v>16.215478123524612</v>
      </c>
      <c r="BF458" s="164">
        <f t="shared" si="321"/>
        <v>3493.7730150001289</v>
      </c>
      <c r="BG458" s="164">
        <f t="shared" si="301"/>
        <v>18.476077417379059</v>
      </c>
      <c r="BH458" s="152"/>
      <c r="BI458" s="162">
        <f t="shared" si="302"/>
        <v>-2161.6857428848243</v>
      </c>
      <c r="BJ458" s="150">
        <f t="shared" si="303"/>
        <v>0</v>
      </c>
      <c r="BK458" s="163">
        <f t="shared" si="325"/>
        <v>0</v>
      </c>
      <c r="BL458" s="163">
        <f t="shared" si="304"/>
        <v>1142.5704770274715</v>
      </c>
      <c r="BM458" s="163">
        <f t="shared" si="326"/>
        <v>-10.20496339843147</v>
      </c>
      <c r="BN458" s="163">
        <f t="shared" si="305"/>
        <v>-38.307702026654212</v>
      </c>
      <c r="BO458" s="163">
        <f t="shared" si="306"/>
        <v>0</v>
      </c>
      <c r="BP458" s="164">
        <f t="shared" si="327"/>
        <v>-3352.7688853373816</v>
      </c>
      <c r="BQ458" s="164">
        <f>IF($E458="","",IF(AND($D458=Input!$C$6,$C458=12),0,-BJ459+BK459+BL459-BM459-BN459-BO459+BQ459))</f>
        <v>-3352.7649100750536</v>
      </c>
      <c r="BR458" s="161">
        <f t="shared" si="307"/>
        <v>0</v>
      </c>
      <c r="BT458" s="147">
        <f t="shared" si="308"/>
        <v>5.2882878590148983E-3</v>
      </c>
      <c r="BU458" s="164">
        <f>IF(AND($C457=12,$D457=Input!$C$6),0,IF($E458="","",BK458+(BL458+BU459)/(1+$AK458)*MIN((1-T458-U458),1)))</f>
        <v>55356.791346119644</v>
      </c>
      <c r="BV458" s="164">
        <f t="shared" si="309"/>
        <v>292.74264758970548</v>
      </c>
      <c r="BW458" s="164">
        <f t="shared" si="310"/>
        <v>-3352.7649100750536</v>
      </c>
      <c r="BX458" s="164">
        <f t="shared" si="311"/>
        <v>-17.730385968081084</v>
      </c>
    </row>
    <row r="459" spans="1:76" s="150" customFormat="1" x14ac:dyDescent="0.25">
      <c r="A459" s="150">
        <f t="shared" si="322"/>
        <v>455</v>
      </c>
      <c r="B459" s="150">
        <f t="shared" si="323"/>
        <v>38</v>
      </c>
      <c r="C459" s="150">
        <f t="shared" si="324"/>
        <v>11</v>
      </c>
      <c r="D459" s="150">
        <f>IF(E459="","",Input!$C$4+B459-1)</f>
        <v>82</v>
      </c>
      <c r="E459" s="150">
        <f>IF(OR(AND(C458=12,D458=Input!$C$6),E458=""),"",1)</f>
        <v>1</v>
      </c>
      <c r="F459" s="150">
        <f>IF(E459="","",Input!$C$8+B459-1)</f>
        <v>2055</v>
      </c>
      <c r="G459" s="151">
        <f>IF(E459="","",MAX(0,Input!$C$9-B459))</f>
        <v>0</v>
      </c>
      <c r="H459" s="152">
        <f>IF(E459="","",Input!$C$3)</f>
        <v>100000</v>
      </c>
      <c r="I459" s="153">
        <f>IF(E459="","",HLOOKUP($B459,Input!$C$13:$BT$14,2))</f>
        <v>137.02850000000001</v>
      </c>
      <c r="J459" s="154"/>
      <c r="K459" s="155">
        <f>IF($E459="","",INDEX(Input!$C$16:$CP$16,1,$B459))</f>
        <v>3.074E-2</v>
      </c>
      <c r="L459" s="155">
        <f>IF($E459="","",Input!$C$37)</f>
        <v>1.4999999999999999E-2</v>
      </c>
      <c r="M459" s="155">
        <f t="shared" si="287"/>
        <v>4.5740000000000003E-2</v>
      </c>
      <c r="N459" s="155">
        <f t="shared" si="288"/>
        <v>3.7340182050558113E-3</v>
      </c>
      <c r="O459" s="147">
        <f>IF($E459="","",MIN(VLOOKUP(IF($B459&lt;=Input!$C$7,$B459,26),'Mortality Tables'!$A$41:$CW$67,IF($B459&lt;=Input!$C$7+1,Input!$C$4+2,$D459-Input!$C$7+2),0)*IF(B459&gt;20,Input!$C$22,1)/1000,1))</f>
        <v>0.15506120000000001</v>
      </c>
      <c r="P459" s="147">
        <f>IF($E459="","",MIN(VLOOKUP(IF($B459&lt;=Input!$C$7,$B459,26),'Mortality Tables'!$A$12:$CW$37,IF($B459&lt;=Input!$C$7+1,Input!$C$4+2,$D459-Input!$C$7+2),0)*IF(B459&gt;20,Input!$C$22,1)/1000,1))</f>
        <v>0.19382650000000001</v>
      </c>
      <c r="Q459" s="155">
        <f>IF($E459="","",Input!$C$21)</f>
        <v>5.0000000000000001E-3</v>
      </c>
      <c r="R459" s="159">
        <f>IF($E459="","",(1-Q459)^($F459-Input!$C$20))</f>
        <v>0.83071870148213323</v>
      </c>
      <c r="S459" s="147">
        <f t="shared" si="290"/>
        <v>0.12881223871426137</v>
      </c>
      <c r="T459" s="147">
        <f t="shared" si="291"/>
        <v>1.1425704770274714E-2</v>
      </c>
      <c r="U459" s="160">
        <f>IF($E459="","",IF($C459=12,INDEX(Input!$C$15:$CP$15,1,$B459),0))</f>
        <v>0</v>
      </c>
      <c r="V459" s="150">
        <f>IF(E459="","",IF(C459=1,IF($B459=1,Input!$C$33,Input!$C$34),0))</f>
        <v>0</v>
      </c>
      <c r="W459" s="156">
        <f>IF($E459="","",Input!$C$35)</f>
        <v>0.02</v>
      </c>
      <c r="X459" s="156">
        <f t="shared" si="289"/>
        <v>2.0806850905900198</v>
      </c>
      <c r="Y459" s="154"/>
      <c r="Z459" s="147">
        <f>IF($E459="","",VLOOKUP($D459,'Mortality Margins &amp; Grading'!$AB$5:$AF$125,3,0)*IF(Summary!$D$25="Included Margin",IF(AND($B459&gt;Input!$C$9,Summary!$D$31&lt;&gt;"Included Margin"),0,1),0))</f>
        <v>2.5000000000000001E-2</v>
      </c>
      <c r="AA459" s="147">
        <f>IF($E459="","",VLOOKUP($D459,'Mortality Margins &amp; Grading'!$AB$5:$AF$125,5,0)*IF(Summary!$D$25="Included Margin",IF(AND($B459&gt;Input!$C$9,Summary!$D$31&lt;&gt;"Included Margin"),0,1),0))</f>
        <v>0.13</v>
      </c>
      <c r="AB459" s="147">
        <f>IF($E459="","",IF(AND($B459&gt;Input!$C$9,Summary!$D$31&lt;&gt;"Included Margin"),1,IF(Summary!$D$25="Included Margin",VLOOKUP($B459,'Mortality Margins &amp; Grading'!$AI$5:$AR$125,MATCH('Mortality Margins &amp; Grading'!$AQ$4,'Mortality Margins &amp; Grading'!$AI$4:$AR$4,0),0),1)))</f>
        <v>0.4375</v>
      </c>
      <c r="AC459" s="154"/>
      <c r="AD459" s="158">
        <f>IF(E459="","",Input!$C$48*IF(Summary!$D$30="Included Margin",IF(AND($B459&gt;Input!$C$9,Summary!$D$31&lt;&gt;"Included Margin"),0,1),0))</f>
        <v>-4.4999999999999997E-3</v>
      </c>
      <c r="AE459" s="159">
        <f>IF(E459="","",IF(Summary!$D$26="Included Margin",IF(AND($B459&gt;Input!$C$9,Summary!$D$31&lt;&gt;"Included Margin"),1,1/$R459),1))</f>
        <v>1.2037769201726676</v>
      </c>
      <c r="AF459" s="160">
        <f>IF(E459="","",IF(AND($B459&gt;=Input!$C$9,$C459=12,Summary!$D$31="Included Margin",$U459&gt;0),1/U459-1,IF($B459&gt;=Input!$C$9,0,Input!$C$45*IF(Summary!$D$27="Included Margin",1,0))))</f>
        <v>0</v>
      </c>
      <c r="AG459" s="160">
        <f>IF(E459="","",Input!$C$46*IF(Summary!$D$28="Included Margin",IF(AND($B459&gt;Input!$C$9,Summary!$D$31&lt;&gt;"Included Margin"),0,1),0))</f>
        <v>0.02</v>
      </c>
      <c r="AH459" s="158">
        <f>IF(E459="","",Input!$C$47*IF(Summary!$D$29="Included Margin",IF(AND($B459&gt;Input!$C$9,Summary!$D$31&lt;&gt;"Included Margin"),0,1),0))</f>
        <v>2.5000000000000001E-3</v>
      </c>
      <c r="AI459" s="154"/>
      <c r="AJ459" s="158">
        <f t="shared" si="312"/>
        <v>4.1240000000000006E-2</v>
      </c>
      <c r="AK459" s="155">
        <f t="shared" si="313"/>
        <v>3.3733695985587175E-3</v>
      </c>
      <c r="AL459" s="147">
        <f t="shared" si="314"/>
        <v>0.19273622593750001</v>
      </c>
      <c r="AM459" s="147">
        <f t="shared" si="292"/>
        <v>1.7683839962054249E-2</v>
      </c>
      <c r="AN459" s="160">
        <f t="shared" si="315"/>
        <v>0</v>
      </c>
      <c r="AO459" s="161">
        <f t="shared" si="316"/>
        <v>0</v>
      </c>
      <c r="AP459" s="156">
        <f t="shared" si="293"/>
        <v>2.2779422888843293</v>
      </c>
      <c r="AQ459" s="152"/>
      <c r="AR459" s="162">
        <f t="shared" si="294"/>
        <v>3493.7679925858038</v>
      </c>
      <c r="AS459" s="150">
        <f t="shared" si="317"/>
        <v>0</v>
      </c>
      <c r="AT459" s="163">
        <f t="shared" si="295"/>
        <v>0</v>
      </c>
      <c r="AU459" s="163">
        <f t="shared" si="296"/>
        <v>1768.3839962054249</v>
      </c>
      <c r="AV459" s="163">
        <f t="shared" si="318"/>
        <v>8.8030643249178926</v>
      </c>
      <c r="AW459" s="163">
        <f t="shared" si="297"/>
        <v>31.219251508764991</v>
      </c>
      <c r="AX459" s="163">
        <f t="shared" si="298"/>
        <v>0</v>
      </c>
      <c r="AY459" s="164">
        <f t="shared" si="319"/>
        <v>1765.4063122140617</v>
      </c>
      <c r="AZ459" s="164">
        <f>IF($E459="","",IF(OR(AND($D459=Input!$C$6,$C459=12),$AN459=1),0,-AS460+AT460+AU460-AV460-AW460-AX460+AZ460))</f>
        <v>1765.4113346283868</v>
      </c>
      <c r="BA459" s="154">
        <f t="shared" si="299"/>
        <v>5.0224143251398345E-3</v>
      </c>
      <c r="BC459" s="147">
        <f t="shared" si="320"/>
        <v>5.2278654431975663E-3</v>
      </c>
      <c r="BD459" s="164">
        <f>IF(AND($C458=12,$D458=Input!$C$6),0,IF($E459="","",AT459+(AU459+BD460)/(1+$AK459)*MIN((1-AM459-AN459),1)))</f>
        <v>1363.6462907351081</v>
      </c>
      <c r="BE459" s="164">
        <f t="shared" si="300"/>
        <v>7.1289593200786134</v>
      </c>
      <c r="BF459" s="164">
        <f t="shared" si="321"/>
        <v>1765.4113346283868</v>
      </c>
      <c r="BG459" s="164">
        <f t="shared" si="301"/>
        <v>9.2293329093330385</v>
      </c>
      <c r="BH459" s="152"/>
      <c r="BI459" s="162">
        <f t="shared" si="302"/>
        <v>-3352.768885337382</v>
      </c>
      <c r="BJ459" s="150">
        <f t="shared" si="303"/>
        <v>0</v>
      </c>
      <c r="BK459" s="163">
        <f t="shared" si="325"/>
        <v>0</v>
      </c>
      <c r="BL459" s="163">
        <f t="shared" si="304"/>
        <v>1142.5704770274715</v>
      </c>
      <c r="BM459" s="163">
        <f t="shared" si="326"/>
        <v>-14.652489536084405</v>
      </c>
      <c r="BN459" s="163">
        <f t="shared" si="305"/>
        <v>-52.125358958495248</v>
      </c>
      <c r="BO459" s="163">
        <f t="shared" si="306"/>
        <v>0</v>
      </c>
      <c r="BP459" s="164">
        <f t="shared" si="327"/>
        <v>-4562.1172108594328</v>
      </c>
      <c r="BQ459" s="164">
        <f>IF($E459="","",IF(AND($D459=Input!$C$6,$C459=12),0,-BJ460+BK460+BL460-BM460-BN460-BO460+BQ460))</f>
        <v>-4562.1132355971049</v>
      </c>
      <c r="BR459" s="161">
        <f t="shared" si="307"/>
        <v>0</v>
      </c>
      <c r="BT459" s="147">
        <f t="shared" si="308"/>
        <v>5.2278654431975663E-3</v>
      </c>
      <c r="BU459" s="164">
        <f>IF(AND($C458=12,$D458=Input!$C$6),0,IF($E459="","",BK459+(BL459+BU460)/(1+$AK459)*MIN((1-T459-U459),1)))</f>
        <v>55042.918596621945</v>
      </c>
      <c r="BV459" s="164">
        <f t="shared" si="309"/>
        <v>287.75697202401653</v>
      </c>
      <c r="BW459" s="164">
        <f t="shared" si="310"/>
        <v>-4562.1132355971049</v>
      </c>
      <c r="BX459" s="164">
        <f t="shared" si="311"/>
        <v>-23.85011413233234</v>
      </c>
    </row>
    <row r="460" spans="1:76" s="150" customFormat="1" x14ac:dyDescent="0.25">
      <c r="A460" s="150">
        <f t="shared" si="322"/>
        <v>456</v>
      </c>
      <c r="B460" s="150">
        <f t="shared" si="323"/>
        <v>38</v>
      </c>
      <c r="C460" s="150">
        <f t="shared" si="324"/>
        <v>12</v>
      </c>
      <c r="D460" s="150">
        <f>IF(E460="","",Input!$C$4+B460-1)</f>
        <v>82</v>
      </c>
      <c r="E460" s="150">
        <f>IF(OR(AND(C459=12,D459=Input!$C$6),E459=""),"",1)</f>
        <v>1</v>
      </c>
      <c r="F460" s="150">
        <f>IF(E460="","",Input!$C$8+B460-1)</f>
        <v>2055</v>
      </c>
      <c r="G460" s="151">
        <f>IF(E460="","",MAX(0,Input!$C$9-B460))</f>
        <v>0</v>
      </c>
      <c r="H460" s="152">
        <f>IF(E460="","",Input!$C$3)</f>
        <v>100000</v>
      </c>
      <c r="I460" s="153">
        <f>IF(E460="","",HLOOKUP($B460,Input!$C$13:$BT$14,2))</f>
        <v>137.02850000000001</v>
      </c>
      <c r="J460" s="154"/>
      <c r="K460" s="155">
        <f>IF($E460="","",INDEX(Input!$C$16:$CP$16,1,$B460))</f>
        <v>3.074E-2</v>
      </c>
      <c r="L460" s="155">
        <f>IF($E460="","",Input!$C$37)</f>
        <v>1.4999999999999999E-2</v>
      </c>
      <c r="M460" s="155">
        <f t="shared" si="287"/>
        <v>4.5740000000000003E-2</v>
      </c>
      <c r="N460" s="155">
        <f t="shared" si="288"/>
        <v>3.7340182050558113E-3</v>
      </c>
      <c r="O460" s="147">
        <f>IF($E460="","",MIN(VLOOKUP(IF($B460&lt;=Input!$C$7,$B460,26),'Mortality Tables'!$A$41:$CW$67,IF($B460&lt;=Input!$C$7+1,Input!$C$4+2,$D460-Input!$C$7+2),0)*IF(B460&gt;20,Input!$C$22,1)/1000,1))</f>
        <v>0.15506120000000001</v>
      </c>
      <c r="P460" s="147">
        <f>IF($E460="","",MIN(VLOOKUP(IF($B460&lt;=Input!$C$7,$B460,26),'Mortality Tables'!$A$12:$CW$37,IF($B460&lt;=Input!$C$7+1,Input!$C$4+2,$D460-Input!$C$7+2),0)*IF(B460&gt;20,Input!$C$22,1)/1000,1))</f>
        <v>0.19382650000000001</v>
      </c>
      <c r="Q460" s="155">
        <f>IF($E460="","",Input!$C$21)</f>
        <v>5.0000000000000001E-3</v>
      </c>
      <c r="R460" s="159">
        <f>IF($E460="","",(1-Q460)^($F460-Input!$C$20))</f>
        <v>0.83071870148213323</v>
      </c>
      <c r="S460" s="147">
        <f t="shared" si="290"/>
        <v>0.12881223871426137</v>
      </c>
      <c r="T460" s="147">
        <f t="shared" si="291"/>
        <v>1.1425704770274714E-2</v>
      </c>
      <c r="U460" s="160">
        <f>IF($E460="","",IF($C460=12,INDEX(Input!$C$15:$CP$15,1,$B460),0))</f>
        <v>0.1</v>
      </c>
      <c r="V460" s="150">
        <f>IF(E460="","",IF(C460=1,IF($B460=1,Input!$C$33,Input!$C$34),0))</f>
        <v>0</v>
      </c>
      <c r="W460" s="156">
        <f>IF($E460="","",Input!$C$35)</f>
        <v>0.02</v>
      </c>
      <c r="X460" s="156">
        <f t="shared" si="289"/>
        <v>2.0806850905900198</v>
      </c>
      <c r="Y460" s="154"/>
      <c r="Z460" s="147">
        <f>IF($E460="","",VLOOKUP($D460,'Mortality Margins &amp; Grading'!$AB$5:$AF$125,3,0)*IF(Summary!$D$25="Included Margin",IF(AND($B460&gt;Input!$C$9,Summary!$D$31&lt;&gt;"Included Margin"),0,1),0))</f>
        <v>2.5000000000000001E-2</v>
      </c>
      <c r="AA460" s="147">
        <f>IF($E460="","",VLOOKUP($D460,'Mortality Margins &amp; Grading'!$AB$5:$AF$125,5,0)*IF(Summary!$D$25="Included Margin",IF(AND($B460&gt;Input!$C$9,Summary!$D$31&lt;&gt;"Included Margin"),0,1),0))</f>
        <v>0.13</v>
      </c>
      <c r="AB460" s="147">
        <f>IF($E460="","",IF(AND($B460&gt;Input!$C$9,Summary!$D$31&lt;&gt;"Included Margin"),1,IF(Summary!$D$25="Included Margin",VLOOKUP($B460,'Mortality Margins &amp; Grading'!$AI$5:$AR$125,MATCH('Mortality Margins &amp; Grading'!$AQ$4,'Mortality Margins &amp; Grading'!$AI$4:$AR$4,0),0),1)))</f>
        <v>0.4375</v>
      </c>
      <c r="AC460" s="154"/>
      <c r="AD460" s="158">
        <f>IF(E460="","",Input!$C$48*IF(Summary!$D$30="Included Margin",IF(AND($B460&gt;Input!$C$9,Summary!$D$31&lt;&gt;"Included Margin"),0,1),0))</f>
        <v>-4.4999999999999997E-3</v>
      </c>
      <c r="AE460" s="159">
        <f>IF(E460="","",IF(Summary!$D$26="Included Margin",IF(AND($B460&gt;Input!$C$9,Summary!$D$31&lt;&gt;"Included Margin"),1,1/$R460),1))</f>
        <v>1.2037769201726676</v>
      </c>
      <c r="AF460" s="160">
        <f>IF(E460="","",IF(AND($B460&gt;=Input!$C$9,$C460=12,Summary!$D$31="Included Margin",$U460&gt;0),1/U460-1,IF($B460&gt;=Input!$C$9,0,Input!$C$45*IF(Summary!$D$27="Included Margin",1,0))))</f>
        <v>9</v>
      </c>
      <c r="AG460" s="160">
        <f>IF(E460="","",Input!$C$46*IF(Summary!$D$28="Included Margin",IF(AND($B460&gt;Input!$C$9,Summary!$D$31&lt;&gt;"Included Margin"),0,1),0))</f>
        <v>0.02</v>
      </c>
      <c r="AH460" s="158">
        <f>IF(E460="","",Input!$C$47*IF(Summary!$D$29="Included Margin",IF(AND($B460&gt;Input!$C$9,Summary!$D$31&lt;&gt;"Included Margin"),0,1),0))</f>
        <v>2.5000000000000001E-3</v>
      </c>
      <c r="AI460" s="154"/>
      <c r="AJ460" s="158">
        <f t="shared" si="312"/>
        <v>4.1240000000000006E-2</v>
      </c>
      <c r="AK460" s="155">
        <f t="shared" si="313"/>
        <v>3.3733695985587175E-3</v>
      </c>
      <c r="AL460" s="147">
        <f t="shared" si="314"/>
        <v>0.19273622593750001</v>
      </c>
      <c r="AM460" s="147">
        <f t="shared" si="292"/>
        <v>1.7683839962054249E-2</v>
      </c>
      <c r="AN460" s="160">
        <f t="shared" si="315"/>
        <v>1</v>
      </c>
      <c r="AO460" s="161">
        <f t="shared" si="316"/>
        <v>0</v>
      </c>
      <c r="AP460" s="156">
        <f t="shared" si="293"/>
        <v>2.2779422888843293</v>
      </c>
      <c r="AQ460" s="152"/>
      <c r="AR460" s="162">
        <f t="shared" si="294"/>
        <v>1765.4063122140615</v>
      </c>
      <c r="AS460" s="150">
        <f t="shared" si="317"/>
        <v>0</v>
      </c>
      <c r="AT460" s="163">
        <f t="shared" si="295"/>
        <v>0</v>
      </c>
      <c r="AU460" s="163">
        <f t="shared" si="296"/>
        <v>1768.3839962054249</v>
      </c>
      <c r="AV460" s="163">
        <f t="shared" si="318"/>
        <v>2.9726615770379969</v>
      </c>
      <c r="AW460" s="163">
        <f t="shared" si="297"/>
        <v>0</v>
      </c>
      <c r="AX460" s="163">
        <f t="shared" si="298"/>
        <v>0</v>
      </c>
      <c r="AY460" s="165">
        <f t="shared" si="319"/>
        <v>-5.0224143253951858E-3</v>
      </c>
      <c r="AZ460" s="164">
        <f>IF($E460="","",IF(OR(AND($D460=Input!$C$6,$C460=12),$AN460=1),0,-AS461+AT461+AU461-AV461-AW461-AX461+AZ461))</f>
        <v>0</v>
      </c>
      <c r="BA460" s="154">
        <f t="shared" si="299"/>
        <v>5.0224143253951858E-3</v>
      </c>
      <c r="BC460" s="147">
        <f t="shared" si="320"/>
        <v>4.6453468517451127E-3</v>
      </c>
      <c r="BD460" s="164">
        <f>IF(AND($C459=12,$D459=Input!$C$6),0,IF($E460="","",AT460+(AU460+BD461)/(1+$AK460)*MIN((1-AM460-AN460),1)))</f>
        <v>-375.50619439606902</v>
      </c>
      <c r="BE460" s="164">
        <f t="shared" si="300"/>
        <v>-1.7443565179485674</v>
      </c>
      <c r="BF460" s="164">
        <f t="shared" si="321"/>
        <v>0</v>
      </c>
      <c r="BG460" s="164">
        <f t="shared" si="301"/>
        <v>0</v>
      </c>
      <c r="BH460" s="152"/>
      <c r="BI460" s="162">
        <f t="shared" si="302"/>
        <v>-4562.1172108594328</v>
      </c>
      <c r="BJ460" s="150">
        <f t="shared" si="303"/>
        <v>0</v>
      </c>
      <c r="BK460" s="163">
        <f t="shared" si="325"/>
        <v>0</v>
      </c>
      <c r="BL460" s="163">
        <f t="shared" si="304"/>
        <v>1142.5704770274715</v>
      </c>
      <c r="BM460" s="163">
        <f t="shared" si="326"/>
        <v>-19.168218199837504</v>
      </c>
      <c r="BN460" s="163">
        <f t="shared" si="305"/>
        <v>-73.505454185603696</v>
      </c>
      <c r="BO460" s="163">
        <f t="shared" si="306"/>
        <v>-635.98354786937932</v>
      </c>
      <c r="BP460" s="164">
        <f t="shared" si="327"/>
        <v>-6433.3449081417248</v>
      </c>
      <c r="BQ460" s="164">
        <f>IF($E460="","",IF(AND($D460=Input!$C$6,$C460=12),0,-BJ461+BK461+BL461-BM461-BN461-BO461+BQ461))</f>
        <v>-6433.3409328793969</v>
      </c>
      <c r="BR460" s="161">
        <f t="shared" si="307"/>
        <v>0</v>
      </c>
      <c r="BT460" s="147">
        <f t="shared" si="308"/>
        <v>4.6453468517451127E-3</v>
      </c>
      <c r="BU460" s="164">
        <f>IF(AND($C459=12,$D459=Input!$C$6),0,IF($E460="","",BK460+(BL460+BU461)/(1+$AK460)*MIN((1-T460-U460),1)))</f>
        <v>54724.347134862983</v>
      </c>
      <c r="BV460" s="164">
        <f t="shared" si="309"/>
        <v>254.21357367674244</v>
      </c>
      <c r="BW460" s="164">
        <f t="shared" si="310"/>
        <v>-6433.3409328793969</v>
      </c>
      <c r="BX460" s="164">
        <f t="shared" si="311"/>
        <v>-29.885100048754271</v>
      </c>
    </row>
    <row r="461" spans="1:76" s="150" customFormat="1" x14ac:dyDescent="0.25">
      <c r="A461" s="150">
        <f t="shared" si="322"/>
        <v>457</v>
      </c>
      <c r="B461" s="150">
        <f t="shared" si="323"/>
        <v>39</v>
      </c>
      <c r="C461" s="150">
        <f t="shared" si="324"/>
        <v>1</v>
      </c>
      <c r="D461" s="150">
        <f>IF(E461="","",Input!$C$4+B461-1)</f>
        <v>83</v>
      </c>
      <c r="E461" s="150">
        <f>IF(OR(AND(C460=12,D460=Input!$C$6),E460=""),"",1)</f>
        <v>1</v>
      </c>
      <c r="F461" s="150">
        <f>IF(E461="","",Input!$C$8+B461-1)</f>
        <v>2056</v>
      </c>
      <c r="G461" s="151">
        <f>IF(E461="","",MAX(0,Input!$C$9-B461))</f>
        <v>0</v>
      </c>
      <c r="H461" s="152">
        <f>IF(E461="","",Input!$C$3)</f>
        <v>100000</v>
      </c>
      <c r="I461" s="153">
        <f>IF(E461="","",HLOOKUP($B461,Input!$C$13:$BT$14,2))</f>
        <v>155.477</v>
      </c>
      <c r="J461" s="154"/>
      <c r="K461" s="155">
        <f>IF($E461="","",INDEX(Input!$C$16:$CP$16,1,$B461))</f>
        <v>3.0949999999999998E-2</v>
      </c>
      <c r="L461" s="155">
        <f>IF($E461="","",Input!$C$37)</f>
        <v>1.4999999999999999E-2</v>
      </c>
      <c r="M461" s="155">
        <f t="shared" si="287"/>
        <v>4.5949999999999998E-2</v>
      </c>
      <c r="N461" s="155">
        <f t="shared" si="288"/>
        <v>3.7508137075803472E-3</v>
      </c>
      <c r="O461" s="147">
        <f>IF($E461="","",MIN(VLOOKUP(IF($B461&lt;=Input!$C$7,$B461,26),'Mortality Tables'!$A$41:$CW$67,IF($B461&lt;=Input!$C$7+1,Input!$C$4+2,$D461-Input!$C$7+2),0)*IF(B461&gt;20,Input!$C$22,1)/1000,1))</f>
        <v>0.17579080000000002</v>
      </c>
      <c r="P461" s="147">
        <f>IF($E461="","",MIN(VLOOKUP(IF($B461&lt;=Input!$C$7,$B461,26),'Mortality Tables'!$A$12:$CW$37,IF($B461&lt;=Input!$C$7+1,Input!$C$4+2,$D461-Input!$C$7+2),0)*IF(B461&gt;20,Input!$C$22,1)/1000,1))</f>
        <v>0.2197385</v>
      </c>
      <c r="Q461" s="155">
        <f>IF($E461="","",Input!$C$21)</f>
        <v>5.0000000000000001E-3</v>
      </c>
      <c r="R461" s="159">
        <f>IF($E461="","",(1-Q461)^($F461-Input!$C$20))</f>
        <v>0.82656510797472249</v>
      </c>
      <c r="S461" s="147">
        <f t="shared" si="290"/>
        <v>0.14530254158296288</v>
      </c>
      <c r="T461" s="147">
        <f t="shared" si="291"/>
        <v>1.2998753737817004E-2</v>
      </c>
      <c r="U461" s="160">
        <f>IF($E461="","",IF($C461=12,INDEX(Input!$C$15:$CP$15,1,$B461),0))</f>
        <v>0</v>
      </c>
      <c r="V461" s="150">
        <f>IF(E461="","",IF(C461=1,IF($B461=1,Input!$C$33,Input!$C$34),0))</f>
        <v>50</v>
      </c>
      <c r="W461" s="156">
        <f>IF($E461="","",Input!$C$35)</f>
        <v>0.02</v>
      </c>
      <c r="X461" s="156">
        <f t="shared" si="289"/>
        <v>2.1222987924018204</v>
      </c>
      <c r="Y461" s="154"/>
      <c r="Z461" s="147">
        <f>IF($E461="","",VLOOKUP($D461,'Mortality Margins &amp; Grading'!$AB$5:$AF$125,3,0)*IF(Summary!$D$25="Included Margin",IF(AND($B461&gt;Input!$C$9,Summary!$D$31&lt;&gt;"Included Margin"),0,1),0))</f>
        <v>2.5000000000000001E-2</v>
      </c>
      <c r="AA461" s="147">
        <f>IF($E461="","",VLOOKUP($D461,'Mortality Margins &amp; Grading'!$AB$5:$AF$125,5,0)*IF(Summary!$D$25="Included Margin",IF(AND($B461&gt;Input!$C$9,Summary!$D$31&lt;&gt;"Included Margin"),0,1),0))</f>
        <v>0.13</v>
      </c>
      <c r="AB461" s="147">
        <f>IF($E461="","",IF(AND($B461&gt;Input!$C$9,Summary!$D$31&lt;&gt;"Included Margin"),1,IF(Summary!$D$25="Included Margin",VLOOKUP($B461,'Mortality Margins &amp; Grading'!$AI$5:$AR$125,MATCH('Mortality Margins &amp; Grading'!$AQ$4,'Mortality Margins &amp; Grading'!$AI$4:$AR$4,0),0),1)))</f>
        <v>0.375</v>
      </c>
      <c r="AC461" s="154"/>
      <c r="AD461" s="158">
        <f>IF(E461="","",Input!$C$48*IF(Summary!$D$30="Included Margin",IF(AND($B461&gt;Input!$C$9,Summary!$D$31&lt;&gt;"Included Margin"),0,1),0))</f>
        <v>-4.4999999999999997E-3</v>
      </c>
      <c r="AE461" s="159">
        <f>IF(E461="","",IF(Summary!$D$26="Included Margin",IF(AND($B461&gt;Input!$C$9,Summary!$D$31&lt;&gt;"Included Margin"),1,1/$R461),1))</f>
        <v>1.2098260504247917</v>
      </c>
      <c r="AF461" s="160">
        <f>IF(E461="","",IF(AND($B461&gt;=Input!$C$9,$C461=12,Summary!$D$31="Included Margin",$U461&gt;0),1/U461-1,IF($B461&gt;=Input!$C$9,0,Input!$C$45*IF(Summary!$D$27="Included Margin",1,0))))</f>
        <v>0</v>
      </c>
      <c r="AG461" s="160">
        <f>IF(E461="","",Input!$C$46*IF(Summary!$D$28="Included Margin",IF(AND($B461&gt;Input!$C$9,Summary!$D$31&lt;&gt;"Included Margin"),0,1),0))</f>
        <v>0.02</v>
      </c>
      <c r="AH461" s="158">
        <f>IF(E461="","",Input!$C$47*IF(Summary!$D$29="Included Margin",IF(AND($B461&gt;Input!$C$9,Summary!$D$31&lt;&gt;"Included Margin"),0,1),0))</f>
        <v>2.5000000000000001E-3</v>
      </c>
      <c r="AI461" s="154"/>
      <c r="AJ461" s="158">
        <f t="shared" si="312"/>
        <v>4.1450000000000001E-2</v>
      </c>
      <c r="AK461" s="155">
        <f t="shared" si="313"/>
        <v>3.3902316198579641E-3</v>
      </c>
      <c r="AL461" s="147">
        <f t="shared" si="314"/>
        <v>0.22275990437499998</v>
      </c>
      <c r="AM461" s="147">
        <f t="shared" si="292"/>
        <v>2.0781522834033006E-2</v>
      </c>
      <c r="AN461" s="160">
        <f t="shared" si="315"/>
        <v>0</v>
      </c>
      <c r="AO461" s="161">
        <f t="shared" si="316"/>
        <v>51</v>
      </c>
      <c r="AP461" s="156">
        <f t="shared" si="293"/>
        <v>2.3291959903842265</v>
      </c>
      <c r="AQ461" s="152"/>
      <c r="AR461" s="162">
        <f t="shared" si="294"/>
        <v>6419.2710677114364</v>
      </c>
      <c r="AS461" s="150">
        <f t="shared" si="317"/>
        <v>15547.7</v>
      </c>
      <c r="AT461" s="163">
        <f t="shared" si="295"/>
        <v>118.78899550959555</v>
      </c>
      <c r="AU461" s="163">
        <f t="shared" si="296"/>
        <v>2078.1522834033008</v>
      </c>
      <c r="AV461" s="163">
        <f t="shared" si="318"/>
        <v>70.547688906555635</v>
      </c>
      <c r="AW461" s="163">
        <f t="shared" si="297"/>
        <v>421.06797144128979</v>
      </c>
      <c r="AX461" s="163">
        <f t="shared" si="298"/>
        <v>0</v>
      </c>
      <c r="AY461" s="164">
        <f t="shared" si="319"/>
        <v>20261.645449146385</v>
      </c>
      <c r="AZ461" s="164">
        <f>IF($E461="","",IF(OR(AND($D461=Input!$C$6,$C461=12),$AN461=1),0,-AS462+AT462+AU462-AV462-AW462-AX462+AZ462))</f>
        <v>20261.651410440667</v>
      </c>
      <c r="BA461" s="154">
        <f t="shared" si="299"/>
        <v>5.9612942823150661E-3</v>
      </c>
      <c r="BC461" s="147">
        <f t="shared" si="320"/>
        <v>4.5849631319925341E-3</v>
      </c>
      <c r="BD461" s="164">
        <f>IF(AND($C460=12,$D460=Input!$C$6),0,IF($E461="","",AT461+(AU461+BD462)/(1+$AK461)*MIN((1-AM461-AN461),1)))</f>
        <v>19537.673759620771</v>
      </c>
      <c r="BE461" s="164">
        <f t="shared" si="300"/>
        <v>89.579513872759208</v>
      </c>
      <c r="BF461" s="164">
        <f t="shared" si="321"/>
        <v>20261.651410440667</v>
      </c>
      <c r="BG461" s="164">
        <f t="shared" si="301"/>
        <v>92.898924710154986</v>
      </c>
      <c r="BH461" s="152"/>
      <c r="BI461" s="162">
        <f t="shared" si="302"/>
        <v>-6433.3454961791522</v>
      </c>
      <c r="BJ461" s="150">
        <f t="shared" si="303"/>
        <v>15547.7</v>
      </c>
      <c r="BK461" s="163">
        <f t="shared" si="325"/>
        <v>106.11493962009102</v>
      </c>
      <c r="BL461" s="163">
        <f t="shared" si="304"/>
        <v>1299.8753737817003</v>
      </c>
      <c r="BM461" s="163">
        <f t="shared" si="326"/>
        <v>31.350433253508552</v>
      </c>
      <c r="BN461" s="163">
        <f t="shared" si="305"/>
        <v>101.93168862989022</v>
      </c>
      <c r="BO461" s="163">
        <f t="shared" si="306"/>
        <v>0</v>
      </c>
      <c r="BP461" s="164">
        <f t="shared" si="327"/>
        <v>7841.646312302456</v>
      </c>
      <c r="BQ461" s="164">
        <f>IF($E461="","",IF(AND($D461=Input!$C$6,$C461=12),0,-BJ462+BK462+BL462-BM462-BN462-BO462+BQ462))</f>
        <v>7841.6508756022104</v>
      </c>
      <c r="BR461" s="161">
        <f t="shared" si="307"/>
        <v>0</v>
      </c>
      <c r="BT461" s="147">
        <f t="shared" si="308"/>
        <v>4.5849631319925341E-3</v>
      </c>
      <c r="BU461" s="164">
        <f>IF(AND($C460=12,$D460=Input!$C$6),0,IF($E461="","",BK461+(BL461+BU462)/(1+$AK461)*MIN((1-T461-U461),1)))</f>
        <v>60651.871336746764</v>
      </c>
      <c r="BV461" s="164">
        <f t="shared" si="309"/>
        <v>278.08659396533864</v>
      </c>
      <c r="BW461" s="164">
        <f t="shared" si="310"/>
        <v>7841.6508756022104</v>
      </c>
      <c r="BX461" s="164">
        <f t="shared" si="311"/>
        <v>35.953680158593109</v>
      </c>
    </row>
    <row r="462" spans="1:76" s="150" customFormat="1" x14ac:dyDescent="0.25">
      <c r="A462" s="150">
        <f t="shared" si="322"/>
        <v>458</v>
      </c>
      <c r="B462" s="150">
        <f t="shared" si="323"/>
        <v>39</v>
      </c>
      <c r="C462" s="150">
        <f t="shared" si="324"/>
        <v>2</v>
      </c>
      <c r="D462" s="150">
        <f>IF(E462="","",Input!$C$4+B462-1)</f>
        <v>83</v>
      </c>
      <c r="E462" s="150">
        <f>IF(OR(AND(C461=12,D461=Input!$C$6),E461=""),"",1)</f>
        <v>1</v>
      </c>
      <c r="F462" s="150">
        <f>IF(E462="","",Input!$C$8+B462-1)</f>
        <v>2056</v>
      </c>
      <c r="G462" s="151">
        <f>IF(E462="","",MAX(0,Input!$C$9-B462))</f>
        <v>0</v>
      </c>
      <c r="H462" s="152">
        <f>IF(E462="","",Input!$C$3)</f>
        <v>100000</v>
      </c>
      <c r="I462" s="153">
        <f>IF(E462="","",HLOOKUP($B462,Input!$C$13:$BT$14,2))</f>
        <v>155.477</v>
      </c>
      <c r="J462" s="154"/>
      <c r="K462" s="155">
        <f>IF($E462="","",INDEX(Input!$C$16:$CP$16,1,$B462))</f>
        <v>3.0949999999999998E-2</v>
      </c>
      <c r="L462" s="155">
        <f>IF($E462="","",Input!$C$37)</f>
        <v>1.4999999999999999E-2</v>
      </c>
      <c r="M462" s="155">
        <f t="shared" si="287"/>
        <v>4.5949999999999998E-2</v>
      </c>
      <c r="N462" s="155">
        <f t="shared" si="288"/>
        <v>3.7508137075803472E-3</v>
      </c>
      <c r="O462" s="147">
        <f>IF($E462="","",MIN(VLOOKUP(IF($B462&lt;=Input!$C$7,$B462,26),'Mortality Tables'!$A$41:$CW$67,IF($B462&lt;=Input!$C$7+1,Input!$C$4+2,$D462-Input!$C$7+2),0)*IF(B462&gt;20,Input!$C$22,1)/1000,1))</f>
        <v>0.17579080000000002</v>
      </c>
      <c r="P462" s="147">
        <f>IF($E462="","",MIN(VLOOKUP(IF($B462&lt;=Input!$C$7,$B462,26),'Mortality Tables'!$A$12:$CW$37,IF($B462&lt;=Input!$C$7+1,Input!$C$4+2,$D462-Input!$C$7+2),0)*IF(B462&gt;20,Input!$C$22,1)/1000,1))</f>
        <v>0.2197385</v>
      </c>
      <c r="Q462" s="155">
        <f>IF($E462="","",Input!$C$21)</f>
        <v>5.0000000000000001E-3</v>
      </c>
      <c r="R462" s="159">
        <f>IF($E462="","",(1-Q462)^($F462-Input!$C$20))</f>
        <v>0.82656510797472249</v>
      </c>
      <c r="S462" s="147">
        <f t="shared" si="290"/>
        <v>0.14530254158296288</v>
      </c>
      <c r="T462" s="147">
        <f t="shared" si="291"/>
        <v>1.2998753737817004E-2</v>
      </c>
      <c r="U462" s="160">
        <f>IF($E462="","",IF($C462=12,INDEX(Input!$C$15:$CP$15,1,$B462),0))</f>
        <v>0</v>
      </c>
      <c r="V462" s="150">
        <f>IF(E462="","",IF(C462=1,IF($B462=1,Input!$C$33,Input!$C$34),0))</f>
        <v>0</v>
      </c>
      <c r="W462" s="156">
        <f>IF($E462="","",Input!$C$35)</f>
        <v>0.02</v>
      </c>
      <c r="X462" s="156">
        <f t="shared" si="289"/>
        <v>2.1222987924018204</v>
      </c>
      <c r="Y462" s="154"/>
      <c r="Z462" s="147">
        <f>IF($E462="","",VLOOKUP($D462,'Mortality Margins &amp; Grading'!$AB$5:$AF$125,3,0)*IF(Summary!$D$25="Included Margin",IF(AND($B462&gt;Input!$C$9,Summary!$D$31&lt;&gt;"Included Margin"),0,1),0))</f>
        <v>2.5000000000000001E-2</v>
      </c>
      <c r="AA462" s="147">
        <f>IF($E462="","",VLOOKUP($D462,'Mortality Margins &amp; Grading'!$AB$5:$AF$125,5,0)*IF(Summary!$D$25="Included Margin",IF(AND($B462&gt;Input!$C$9,Summary!$D$31&lt;&gt;"Included Margin"),0,1),0))</f>
        <v>0.13</v>
      </c>
      <c r="AB462" s="147">
        <f>IF($E462="","",IF(AND($B462&gt;Input!$C$9,Summary!$D$31&lt;&gt;"Included Margin"),1,IF(Summary!$D$25="Included Margin",VLOOKUP($B462,'Mortality Margins &amp; Grading'!$AI$5:$AR$125,MATCH('Mortality Margins &amp; Grading'!$AQ$4,'Mortality Margins &amp; Grading'!$AI$4:$AR$4,0),0),1)))</f>
        <v>0.375</v>
      </c>
      <c r="AC462" s="154"/>
      <c r="AD462" s="158">
        <f>IF(E462="","",Input!$C$48*IF(Summary!$D$30="Included Margin",IF(AND($B462&gt;Input!$C$9,Summary!$D$31&lt;&gt;"Included Margin"),0,1),0))</f>
        <v>-4.4999999999999997E-3</v>
      </c>
      <c r="AE462" s="159">
        <f>IF(E462="","",IF(Summary!$D$26="Included Margin",IF(AND($B462&gt;Input!$C$9,Summary!$D$31&lt;&gt;"Included Margin"),1,1/$R462),1))</f>
        <v>1.2098260504247917</v>
      </c>
      <c r="AF462" s="160">
        <f>IF(E462="","",IF(AND($B462&gt;=Input!$C$9,$C462=12,Summary!$D$31="Included Margin",$U462&gt;0),1/U462-1,IF($B462&gt;=Input!$C$9,0,Input!$C$45*IF(Summary!$D$27="Included Margin",1,0))))</f>
        <v>0</v>
      </c>
      <c r="AG462" s="160">
        <f>IF(E462="","",Input!$C$46*IF(Summary!$D$28="Included Margin",IF(AND($B462&gt;Input!$C$9,Summary!$D$31&lt;&gt;"Included Margin"),0,1),0))</f>
        <v>0.02</v>
      </c>
      <c r="AH462" s="158">
        <f>IF(E462="","",Input!$C$47*IF(Summary!$D$29="Included Margin",IF(AND($B462&gt;Input!$C$9,Summary!$D$31&lt;&gt;"Included Margin"),0,1),0))</f>
        <v>2.5000000000000001E-3</v>
      </c>
      <c r="AI462" s="154"/>
      <c r="AJ462" s="158">
        <f t="shared" si="312"/>
        <v>4.1450000000000001E-2</v>
      </c>
      <c r="AK462" s="155">
        <f t="shared" si="313"/>
        <v>3.3902316198579641E-3</v>
      </c>
      <c r="AL462" s="147">
        <f t="shared" si="314"/>
        <v>0.22275990437499998</v>
      </c>
      <c r="AM462" s="147">
        <f t="shared" si="292"/>
        <v>2.0781522834033006E-2</v>
      </c>
      <c r="AN462" s="160">
        <f t="shared" si="315"/>
        <v>0</v>
      </c>
      <c r="AO462" s="161">
        <f t="shared" si="316"/>
        <v>0</v>
      </c>
      <c r="AP462" s="156">
        <f t="shared" si="293"/>
        <v>2.3291959903842265</v>
      </c>
      <c r="AQ462" s="152"/>
      <c r="AR462" s="162">
        <f t="shared" si="294"/>
        <v>20261.645449146385</v>
      </c>
      <c r="AS462" s="150">
        <f t="shared" si="317"/>
        <v>0</v>
      </c>
      <c r="AT462" s="163">
        <f t="shared" si="295"/>
        <v>0</v>
      </c>
      <c r="AU462" s="163">
        <f t="shared" si="296"/>
        <v>2078.1522834033008</v>
      </c>
      <c r="AV462" s="163">
        <f t="shared" si="318"/>
        <v>65.168962281010337</v>
      </c>
      <c r="AW462" s="163">
        <f t="shared" si="297"/>
        <v>387.28345250023608</v>
      </c>
      <c r="AX462" s="163">
        <f t="shared" si="298"/>
        <v>0</v>
      </c>
      <c r="AY462" s="165">
        <f t="shared" si="319"/>
        <v>18635.945580524331</v>
      </c>
      <c r="AZ462" s="164">
        <f>IF($E462="","",IF(OR(AND($D462=Input!$C$6,$C462=12),$AN462=1),0,-AS463+AT463+AU463-AV463-AW463-AX463+AZ463))</f>
        <v>18635.951541818613</v>
      </c>
      <c r="BA462" s="154">
        <f t="shared" si="299"/>
        <v>5.9612942823150661E-3</v>
      </c>
      <c r="BC462" s="147">
        <f t="shared" si="320"/>
        <v>4.5253643253427931E-3</v>
      </c>
      <c r="BD462" s="164">
        <f>IF(AND($C461=12,$D461=Input!$C$6),0,IF($E462="","",AT462+(AU462+BD463)/(1+$AK462)*MIN((1-AM462-AN462),1)))</f>
        <v>17820.082620877809</v>
      </c>
      <c r="BE462" s="164">
        <f t="shared" si="300"/>
        <v>80.642366167181535</v>
      </c>
      <c r="BF462" s="164">
        <f t="shared" si="321"/>
        <v>18635.951541818613</v>
      </c>
      <c r="BG462" s="164">
        <f t="shared" si="301"/>
        <v>84.334470276162975</v>
      </c>
      <c r="BH462" s="152"/>
      <c r="BI462" s="162">
        <f t="shared" si="302"/>
        <v>7841.646312302455</v>
      </c>
      <c r="BJ462" s="150">
        <f t="shared" si="303"/>
        <v>0</v>
      </c>
      <c r="BK462" s="163">
        <f t="shared" si="325"/>
        <v>0</v>
      </c>
      <c r="BL462" s="163">
        <f t="shared" si="304"/>
        <v>1299.8753737817003</v>
      </c>
      <c r="BM462" s="163">
        <f t="shared" si="326"/>
        <v>26.974759293117664</v>
      </c>
      <c r="BN462" s="163">
        <f t="shared" si="305"/>
        <v>86.510090369993023</v>
      </c>
      <c r="BO462" s="163">
        <f t="shared" si="306"/>
        <v>0</v>
      </c>
      <c r="BP462" s="164">
        <f t="shared" si="327"/>
        <v>6655.2557881838657</v>
      </c>
      <c r="BQ462" s="164">
        <f>IF($E462="","",IF(AND($D462=Input!$C$6,$C462=12),0,-BJ463+BK463+BL463-BM463-BN463-BO463+BQ463))</f>
        <v>6655.260351483621</v>
      </c>
      <c r="BR462" s="161">
        <f t="shared" si="307"/>
        <v>0</v>
      </c>
      <c r="BT462" s="147">
        <f t="shared" si="308"/>
        <v>4.5253643253427931E-3</v>
      </c>
      <c r="BU462" s="164">
        <f>IF(AND($C461=12,$D461=Input!$C$6),0,IF($E462="","",BK462+(BL462+BU463)/(1+$AK462)*MIN((1-T462-U462),1)))</f>
        <v>60251.232859342832</v>
      </c>
      <c r="BV462" s="164">
        <f t="shared" si="309"/>
        <v>272.65877973959152</v>
      </c>
      <c r="BW462" s="164">
        <f t="shared" si="310"/>
        <v>6655.260351483621</v>
      </c>
      <c r="BX462" s="164">
        <f t="shared" si="311"/>
        <v>30.117477770472316</v>
      </c>
    </row>
    <row r="463" spans="1:76" s="150" customFormat="1" x14ac:dyDescent="0.25">
      <c r="A463" s="150">
        <f t="shared" si="322"/>
        <v>459</v>
      </c>
      <c r="B463" s="150">
        <f t="shared" si="323"/>
        <v>39</v>
      </c>
      <c r="C463" s="150">
        <f t="shared" si="324"/>
        <v>3</v>
      </c>
      <c r="D463" s="150">
        <f>IF(E463="","",Input!$C$4+B463-1)</f>
        <v>83</v>
      </c>
      <c r="E463" s="150">
        <f>IF(OR(AND(C462=12,D462=Input!$C$6),E462=""),"",1)</f>
        <v>1</v>
      </c>
      <c r="F463" s="150">
        <f>IF(E463="","",Input!$C$8+B463-1)</f>
        <v>2056</v>
      </c>
      <c r="G463" s="151">
        <f>IF(E463="","",MAX(0,Input!$C$9-B463))</f>
        <v>0</v>
      </c>
      <c r="H463" s="152">
        <f>IF(E463="","",Input!$C$3)</f>
        <v>100000</v>
      </c>
      <c r="I463" s="153">
        <f>IF(E463="","",HLOOKUP($B463,Input!$C$13:$BT$14,2))</f>
        <v>155.477</v>
      </c>
      <c r="J463" s="154"/>
      <c r="K463" s="155">
        <f>IF($E463="","",INDEX(Input!$C$16:$CP$16,1,$B463))</f>
        <v>3.0949999999999998E-2</v>
      </c>
      <c r="L463" s="155">
        <f>IF($E463="","",Input!$C$37)</f>
        <v>1.4999999999999999E-2</v>
      </c>
      <c r="M463" s="155">
        <f t="shared" si="287"/>
        <v>4.5949999999999998E-2</v>
      </c>
      <c r="N463" s="155">
        <f t="shared" si="288"/>
        <v>3.7508137075803472E-3</v>
      </c>
      <c r="O463" s="147">
        <f>IF($E463="","",MIN(VLOOKUP(IF($B463&lt;=Input!$C$7,$B463,26),'Mortality Tables'!$A$41:$CW$67,IF($B463&lt;=Input!$C$7+1,Input!$C$4+2,$D463-Input!$C$7+2),0)*IF(B463&gt;20,Input!$C$22,1)/1000,1))</f>
        <v>0.17579080000000002</v>
      </c>
      <c r="P463" s="147">
        <f>IF($E463="","",MIN(VLOOKUP(IF($B463&lt;=Input!$C$7,$B463,26),'Mortality Tables'!$A$12:$CW$37,IF($B463&lt;=Input!$C$7+1,Input!$C$4+2,$D463-Input!$C$7+2),0)*IF(B463&gt;20,Input!$C$22,1)/1000,1))</f>
        <v>0.2197385</v>
      </c>
      <c r="Q463" s="155">
        <f>IF($E463="","",Input!$C$21)</f>
        <v>5.0000000000000001E-3</v>
      </c>
      <c r="R463" s="159">
        <f>IF($E463="","",(1-Q463)^($F463-Input!$C$20))</f>
        <v>0.82656510797472249</v>
      </c>
      <c r="S463" s="147">
        <f t="shared" si="290"/>
        <v>0.14530254158296288</v>
      </c>
      <c r="T463" s="147">
        <f t="shared" si="291"/>
        <v>1.2998753737817004E-2</v>
      </c>
      <c r="U463" s="160">
        <f>IF($E463="","",IF($C463=12,INDEX(Input!$C$15:$CP$15,1,$B463),0))</f>
        <v>0</v>
      </c>
      <c r="V463" s="150">
        <f>IF(E463="","",IF(C463=1,IF($B463=1,Input!$C$33,Input!$C$34),0))</f>
        <v>0</v>
      </c>
      <c r="W463" s="156">
        <f>IF($E463="","",Input!$C$35)</f>
        <v>0.02</v>
      </c>
      <c r="X463" s="156">
        <f t="shared" si="289"/>
        <v>2.1222987924018204</v>
      </c>
      <c r="Y463" s="154"/>
      <c r="Z463" s="147">
        <f>IF($E463="","",VLOOKUP($D463,'Mortality Margins &amp; Grading'!$AB$5:$AF$125,3,0)*IF(Summary!$D$25="Included Margin",IF(AND($B463&gt;Input!$C$9,Summary!$D$31&lt;&gt;"Included Margin"),0,1),0))</f>
        <v>2.5000000000000001E-2</v>
      </c>
      <c r="AA463" s="147">
        <f>IF($E463="","",VLOOKUP($D463,'Mortality Margins &amp; Grading'!$AB$5:$AF$125,5,0)*IF(Summary!$D$25="Included Margin",IF(AND($B463&gt;Input!$C$9,Summary!$D$31&lt;&gt;"Included Margin"),0,1),0))</f>
        <v>0.13</v>
      </c>
      <c r="AB463" s="147">
        <f>IF($E463="","",IF(AND($B463&gt;Input!$C$9,Summary!$D$31&lt;&gt;"Included Margin"),1,IF(Summary!$D$25="Included Margin",VLOOKUP($B463,'Mortality Margins &amp; Grading'!$AI$5:$AR$125,MATCH('Mortality Margins &amp; Grading'!$AQ$4,'Mortality Margins &amp; Grading'!$AI$4:$AR$4,0),0),1)))</f>
        <v>0.375</v>
      </c>
      <c r="AC463" s="154"/>
      <c r="AD463" s="158">
        <f>IF(E463="","",Input!$C$48*IF(Summary!$D$30="Included Margin",IF(AND($B463&gt;Input!$C$9,Summary!$D$31&lt;&gt;"Included Margin"),0,1),0))</f>
        <v>-4.4999999999999997E-3</v>
      </c>
      <c r="AE463" s="159">
        <f>IF(E463="","",IF(Summary!$D$26="Included Margin",IF(AND($B463&gt;Input!$C$9,Summary!$D$31&lt;&gt;"Included Margin"),1,1/$R463),1))</f>
        <v>1.2098260504247917</v>
      </c>
      <c r="AF463" s="160">
        <f>IF(E463="","",IF(AND($B463&gt;=Input!$C$9,$C463=12,Summary!$D$31="Included Margin",$U463&gt;0),1/U463-1,IF($B463&gt;=Input!$C$9,0,Input!$C$45*IF(Summary!$D$27="Included Margin",1,0))))</f>
        <v>0</v>
      </c>
      <c r="AG463" s="160">
        <f>IF(E463="","",Input!$C$46*IF(Summary!$D$28="Included Margin",IF(AND($B463&gt;Input!$C$9,Summary!$D$31&lt;&gt;"Included Margin"),0,1),0))</f>
        <v>0.02</v>
      </c>
      <c r="AH463" s="158">
        <f>IF(E463="","",Input!$C$47*IF(Summary!$D$29="Included Margin",IF(AND($B463&gt;Input!$C$9,Summary!$D$31&lt;&gt;"Included Margin"),0,1),0))</f>
        <v>2.5000000000000001E-3</v>
      </c>
      <c r="AI463" s="154"/>
      <c r="AJ463" s="158">
        <f t="shared" si="312"/>
        <v>4.1450000000000001E-2</v>
      </c>
      <c r="AK463" s="155">
        <f t="shared" si="313"/>
        <v>3.3902316198579641E-3</v>
      </c>
      <c r="AL463" s="147">
        <f t="shared" si="314"/>
        <v>0.22275990437499998</v>
      </c>
      <c r="AM463" s="147">
        <f t="shared" si="292"/>
        <v>2.0781522834033006E-2</v>
      </c>
      <c r="AN463" s="160">
        <f t="shared" si="315"/>
        <v>0</v>
      </c>
      <c r="AO463" s="161">
        <f t="shared" si="316"/>
        <v>0</v>
      </c>
      <c r="AP463" s="156">
        <f t="shared" si="293"/>
        <v>2.3291959903842265</v>
      </c>
      <c r="AQ463" s="152"/>
      <c r="AR463" s="162">
        <f t="shared" si="294"/>
        <v>18635.945580524334</v>
      </c>
      <c r="AS463" s="150">
        <f t="shared" si="317"/>
        <v>0</v>
      </c>
      <c r="AT463" s="163">
        <f t="shared" si="295"/>
        <v>0</v>
      </c>
      <c r="AU463" s="163">
        <f t="shared" si="296"/>
        <v>2078.1522834033008</v>
      </c>
      <c r="AV463" s="163">
        <f t="shared" si="318"/>
        <v>59.657463182008925</v>
      </c>
      <c r="AW463" s="163">
        <f t="shared" si="297"/>
        <v>352.66497146060215</v>
      </c>
      <c r="AX463" s="163">
        <f t="shared" si="298"/>
        <v>0</v>
      </c>
      <c r="AY463" s="164">
        <f t="shared" si="319"/>
        <v>16970.115731763643</v>
      </c>
      <c r="AZ463" s="164">
        <f>IF($E463="","",IF(OR(AND($D463=Input!$C$6,$C463=12),$AN463=1),0,-AS464+AT464+AU464-AV464-AW464-AX464+AZ464))</f>
        <v>16970.121693057925</v>
      </c>
      <c r="BA463" s="154">
        <f t="shared" si="299"/>
        <v>5.9612942823150661E-3</v>
      </c>
      <c r="BC463" s="147">
        <f t="shared" si="320"/>
        <v>4.4665402289037594E-3</v>
      </c>
      <c r="BD463" s="164">
        <f>IF(AND($C462=12,$D462=Input!$C$6),0,IF($E463="","",AT463+(AU463+BD464)/(1+$AK463)*MIN((1-AM463-AN463),1)))</f>
        <v>16181.814460889493</v>
      </c>
      <c r="BE463" s="164">
        <f t="shared" si="300"/>
        <v>72.276725266219515</v>
      </c>
      <c r="BF463" s="164">
        <f t="shared" si="321"/>
        <v>16970.121693057925</v>
      </c>
      <c r="BG463" s="164">
        <f t="shared" si="301"/>
        <v>75.797731231435591</v>
      </c>
      <c r="BH463" s="152"/>
      <c r="BI463" s="162">
        <f t="shared" si="302"/>
        <v>6655.2557881838666</v>
      </c>
      <c r="BJ463" s="150">
        <f t="shared" si="303"/>
        <v>0</v>
      </c>
      <c r="BK463" s="163">
        <f t="shared" si="325"/>
        <v>0</v>
      </c>
      <c r="BL463" s="163">
        <f t="shared" si="304"/>
        <v>1299.8753737817003</v>
      </c>
      <c r="BM463" s="163">
        <f t="shared" si="326"/>
        <v>22.524829452710229</v>
      </c>
      <c r="BN463" s="163">
        <f t="shared" si="305"/>
        <v>70.826785145542161</v>
      </c>
      <c r="BO463" s="163">
        <f t="shared" si="306"/>
        <v>0</v>
      </c>
      <c r="BP463" s="164">
        <f t="shared" si="327"/>
        <v>5448.7320290004182</v>
      </c>
      <c r="BQ463" s="164">
        <f>IF($E463="","",IF(AND($D463=Input!$C$6,$C463=12),0,-BJ464+BK464+BL464-BM464-BN464-BO464+BQ464))</f>
        <v>5448.7365923001735</v>
      </c>
      <c r="BR463" s="161">
        <f t="shared" si="307"/>
        <v>0</v>
      </c>
      <c r="BT463" s="147">
        <f t="shared" si="308"/>
        <v>4.4665402289037594E-3</v>
      </c>
      <c r="BU463" s="164">
        <f>IF(AND($C462=12,$D462=Input!$C$6),0,IF($E463="","",BK463+(BL463+BU464)/(1+$AK463)*MIN((1-T463-U463),1)))</f>
        <v>59951.81880904291</v>
      </c>
      <c r="BV463" s="164">
        <f t="shared" si="309"/>
        <v>267.77721050653923</v>
      </c>
      <c r="BW463" s="164">
        <f t="shared" si="310"/>
        <v>5448.7365923001735</v>
      </c>
      <c r="BX463" s="164">
        <f t="shared" si="311"/>
        <v>24.337001186208706</v>
      </c>
    </row>
    <row r="464" spans="1:76" s="150" customFormat="1" x14ac:dyDescent="0.25">
      <c r="A464" s="150">
        <f t="shared" si="322"/>
        <v>460</v>
      </c>
      <c r="B464" s="150">
        <f t="shared" si="323"/>
        <v>39</v>
      </c>
      <c r="C464" s="150">
        <f t="shared" si="324"/>
        <v>4</v>
      </c>
      <c r="D464" s="150">
        <f>IF(E464="","",Input!$C$4+B464-1)</f>
        <v>83</v>
      </c>
      <c r="E464" s="150">
        <f>IF(OR(AND(C463=12,D463=Input!$C$6),E463=""),"",1)</f>
        <v>1</v>
      </c>
      <c r="F464" s="150">
        <f>IF(E464="","",Input!$C$8+B464-1)</f>
        <v>2056</v>
      </c>
      <c r="G464" s="151">
        <f>IF(E464="","",MAX(0,Input!$C$9-B464))</f>
        <v>0</v>
      </c>
      <c r="H464" s="152">
        <f>IF(E464="","",Input!$C$3)</f>
        <v>100000</v>
      </c>
      <c r="I464" s="153">
        <f>IF(E464="","",HLOOKUP($B464,Input!$C$13:$BT$14,2))</f>
        <v>155.477</v>
      </c>
      <c r="J464" s="154"/>
      <c r="K464" s="155">
        <f>IF($E464="","",INDEX(Input!$C$16:$CP$16,1,$B464))</f>
        <v>3.0949999999999998E-2</v>
      </c>
      <c r="L464" s="155">
        <f>IF($E464="","",Input!$C$37)</f>
        <v>1.4999999999999999E-2</v>
      </c>
      <c r="M464" s="155">
        <f t="shared" si="287"/>
        <v>4.5949999999999998E-2</v>
      </c>
      <c r="N464" s="155">
        <f t="shared" si="288"/>
        <v>3.7508137075803472E-3</v>
      </c>
      <c r="O464" s="147">
        <f>IF($E464="","",MIN(VLOOKUP(IF($B464&lt;=Input!$C$7,$B464,26),'Mortality Tables'!$A$41:$CW$67,IF($B464&lt;=Input!$C$7+1,Input!$C$4+2,$D464-Input!$C$7+2),0)*IF(B464&gt;20,Input!$C$22,1)/1000,1))</f>
        <v>0.17579080000000002</v>
      </c>
      <c r="P464" s="147">
        <f>IF($E464="","",MIN(VLOOKUP(IF($B464&lt;=Input!$C$7,$B464,26),'Mortality Tables'!$A$12:$CW$37,IF($B464&lt;=Input!$C$7+1,Input!$C$4+2,$D464-Input!$C$7+2),0)*IF(B464&gt;20,Input!$C$22,1)/1000,1))</f>
        <v>0.2197385</v>
      </c>
      <c r="Q464" s="155">
        <f>IF($E464="","",Input!$C$21)</f>
        <v>5.0000000000000001E-3</v>
      </c>
      <c r="R464" s="159">
        <f>IF($E464="","",(1-Q464)^($F464-Input!$C$20))</f>
        <v>0.82656510797472249</v>
      </c>
      <c r="S464" s="147">
        <f t="shared" si="290"/>
        <v>0.14530254158296288</v>
      </c>
      <c r="T464" s="147">
        <f t="shared" si="291"/>
        <v>1.2998753737817004E-2</v>
      </c>
      <c r="U464" s="160">
        <f>IF($E464="","",IF($C464=12,INDEX(Input!$C$15:$CP$15,1,$B464),0))</f>
        <v>0</v>
      </c>
      <c r="V464" s="150">
        <f>IF(E464="","",IF(C464=1,IF($B464=1,Input!$C$33,Input!$C$34),0))</f>
        <v>0</v>
      </c>
      <c r="W464" s="156">
        <f>IF($E464="","",Input!$C$35)</f>
        <v>0.02</v>
      </c>
      <c r="X464" s="156">
        <f t="shared" si="289"/>
        <v>2.1222987924018204</v>
      </c>
      <c r="Y464" s="154"/>
      <c r="Z464" s="147">
        <f>IF($E464="","",VLOOKUP($D464,'Mortality Margins &amp; Grading'!$AB$5:$AF$125,3,0)*IF(Summary!$D$25="Included Margin",IF(AND($B464&gt;Input!$C$9,Summary!$D$31&lt;&gt;"Included Margin"),0,1),0))</f>
        <v>2.5000000000000001E-2</v>
      </c>
      <c r="AA464" s="147">
        <f>IF($E464="","",VLOOKUP($D464,'Mortality Margins &amp; Grading'!$AB$5:$AF$125,5,0)*IF(Summary!$D$25="Included Margin",IF(AND($B464&gt;Input!$C$9,Summary!$D$31&lt;&gt;"Included Margin"),0,1),0))</f>
        <v>0.13</v>
      </c>
      <c r="AB464" s="147">
        <f>IF($E464="","",IF(AND($B464&gt;Input!$C$9,Summary!$D$31&lt;&gt;"Included Margin"),1,IF(Summary!$D$25="Included Margin",VLOOKUP($B464,'Mortality Margins &amp; Grading'!$AI$5:$AR$125,MATCH('Mortality Margins &amp; Grading'!$AQ$4,'Mortality Margins &amp; Grading'!$AI$4:$AR$4,0),0),1)))</f>
        <v>0.375</v>
      </c>
      <c r="AC464" s="154"/>
      <c r="AD464" s="158">
        <f>IF(E464="","",Input!$C$48*IF(Summary!$D$30="Included Margin",IF(AND($B464&gt;Input!$C$9,Summary!$D$31&lt;&gt;"Included Margin"),0,1),0))</f>
        <v>-4.4999999999999997E-3</v>
      </c>
      <c r="AE464" s="159">
        <f>IF(E464="","",IF(Summary!$D$26="Included Margin",IF(AND($B464&gt;Input!$C$9,Summary!$D$31&lt;&gt;"Included Margin"),1,1/$R464),1))</f>
        <v>1.2098260504247917</v>
      </c>
      <c r="AF464" s="160">
        <f>IF(E464="","",IF(AND($B464&gt;=Input!$C$9,$C464=12,Summary!$D$31="Included Margin",$U464&gt;0),1/U464-1,IF($B464&gt;=Input!$C$9,0,Input!$C$45*IF(Summary!$D$27="Included Margin",1,0))))</f>
        <v>0</v>
      </c>
      <c r="AG464" s="160">
        <f>IF(E464="","",Input!$C$46*IF(Summary!$D$28="Included Margin",IF(AND($B464&gt;Input!$C$9,Summary!$D$31&lt;&gt;"Included Margin"),0,1),0))</f>
        <v>0.02</v>
      </c>
      <c r="AH464" s="158">
        <f>IF(E464="","",Input!$C$47*IF(Summary!$D$29="Included Margin",IF(AND($B464&gt;Input!$C$9,Summary!$D$31&lt;&gt;"Included Margin"),0,1),0))</f>
        <v>2.5000000000000001E-3</v>
      </c>
      <c r="AI464" s="154"/>
      <c r="AJ464" s="158">
        <f t="shared" si="312"/>
        <v>4.1450000000000001E-2</v>
      </c>
      <c r="AK464" s="155">
        <f t="shared" si="313"/>
        <v>3.3902316198579641E-3</v>
      </c>
      <c r="AL464" s="147">
        <f t="shared" si="314"/>
        <v>0.22275990437499998</v>
      </c>
      <c r="AM464" s="147">
        <f t="shared" si="292"/>
        <v>2.0781522834033006E-2</v>
      </c>
      <c r="AN464" s="160">
        <f t="shared" si="315"/>
        <v>0</v>
      </c>
      <c r="AO464" s="161">
        <f t="shared" si="316"/>
        <v>0</v>
      </c>
      <c r="AP464" s="156">
        <f t="shared" si="293"/>
        <v>2.3291959903842265</v>
      </c>
      <c r="AQ464" s="152"/>
      <c r="AR464" s="162">
        <f t="shared" si="294"/>
        <v>16970.115731763646</v>
      </c>
      <c r="AS464" s="150">
        <f t="shared" si="317"/>
        <v>0</v>
      </c>
      <c r="AT464" s="163">
        <f t="shared" si="295"/>
        <v>0</v>
      </c>
      <c r="AU464" s="163">
        <f t="shared" si="296"/>
        <v>2078.1522834033008</v>
      </c>
      <c r="AV464" s="163">
        <f t="shared" si="318"/>
        <v>54.009914155437237</v>
      </c>
      <c r="AW464" s="163">
        <f t="shared" si="297"/>
        <v>317.19194218401231</v>
      </c>
      <c r="AX464" s="163">
        <f t="shared" si="298"/>
        <v>0</v>
      </c>
      <c r="AY464" s="165">
        <f t="shared" si="319"/>
        <v>15263.165304699794</v>
      </c>
      <c r="AZ464" s="164">
        <f>IF($E464="","",IF(OR(AND($D464=Input!$C$6,$C464=12),$AN464=1),0,-AS465+AT465+AU465-AV465-AW465-AX465+AZ465))</f>
        <v>15263.171265994075</v>
      </c>
      <c r="BA464" s="154">
        <f t="shared" si="299"/>
        <v>5.9612942804960767E-3</v>
      </c>
      <c r="BC464" s="147">
        <f t="shared" si="320"/>
        <v>4.4084807724081862E-3</v>
      </c>
      <c r="BD464" s="164">
        <f>IF(AND($C463=12,$D463=Input!$C$6),0,IF($E464="","",AT464+(AU464+BD465)/(1+$AK464)*MIN((1-AM464-AN464),1)))</f>
        <v>14503.106075745833</v>
      </c>
      <c r="BE464" s="164">
        <f t="shared" si="300"/>
        <v>63.936664275121849</v>
      </c>
      <c r="BF464" s="164">
        <f t="shared" si="321"/>
        <v>15263.171265994075</v>
      </c>
      <c r="BG464" s="164">
        <f t="shared" si="301"/>
        <v>67.287397052107991</v>
      </c>
      <c r="BH464" s="152"/>
      <c r="BI464" s="162">
        <f t="shared" si="302"/>
        <v>5448.7320290004191</v>
      </c>
      <c r="BJ464" s="150">
        <f t="shared" si="303"/>
        <v>0</v>
      </c>
      <c r="BK464" s="163">
        <f t="shared" si="325"/>
        <v>0</v>
      </c>
      <c r="BL464" s="163">
        <f t="shared" si="304"/>
        <v>1299.8753737817003</v>
      </c>
      <c r="BM464" s="163">
        <f t="shared" si="326"/>
        <v>17.999383598243586</v>
      </c>
      <c r="BN464" s="163">
        <f t="shared" si="305"/>
        <v>54.877331747906609</v>
      </c>
      <c r="BO464" s="163">
        <f t="shared" si="306"/>
        <v>0</v>
      </c>
      <c r="BP464" s="164">
        <f t="shared" si="327"/>
        <v>4221.733370564868</v>
      </c>
      <c r="BQ464" s="164">
        <f>IF($E464="","",IF(AND($D464=Input!$C$6,$C464=12),0,-BJ465+BK465+BL465-BM465-BN465-BO465+BQ465))</f>
        <v>4221.7379338646233</v>
      </c>
      <c r="BR464" s="161">
        <f t="shared" si="307"/>
        <v>0</v>
      </c>
      <c r="BT464" s="147">
        <f t="shared" si="308"/>
        <v>4.4084807724081862E-3</v>
      </c>
      <c r="BU464" s="164">
        <f>IF(AND($C463=12,$D463=Input!$C$6),0,IF($E464="","",BK464+(BL464+BU465)/(1+$AK464)*MIN((1-T464-U464),1)))</f>
        <v>59647.433040110591</v>
      </c>
      <c r="BV464" s="164">
        <f t="shared" si="309"/>
        <v>262.95456168083228</v>
      </c>
      <c r="BW464" s="164">
        <f t="shared" si="310"/>
        <v>4221.7379338646233</v>
      </c>
      <c r="BX464" s="164">
        <f t="shared" si="311"/>
        <v>18.611450507588454</v>
      </c>
    </row>
    <row r="465" spans="1:76" s="150" customFormat="1" x14ac:dyDescent="0.25">
      <c r="A465" s="150">
        <f t="shared" si="322"/>
        <v>461</v>
      </c>
      <c r="B465" s="150">
        <f t="shared" si="323"/>
        <v>39</v>
      </c>
      <c r="C465" s="150">
        <f t="shared" si="324"/>
        <v>5</v>
      </c>
      <c r="D465" s="150">
        <f>IF(E465="","",Input!$C$4+B465-1)</f>
        <v>83</v>
      </c>
      <c r="E465" s="150">
        <f>IF(OR(AND(C464=12,D464=Input!$C$6),E464=""),"",1)</f>
        <v>1</v>
      </c>
      <c r="F465" s="150">
        <f>IF(E465="","",Input!$C$8+B465-1)</f>
        <v>2056</v>
      </c>
      <c r="G465" s="151">
        <f>IF(E465="","",MAX(0,Input!$C$9-B465))</f>
        <v>0</v>
      </c>
      <c r="H465" s="152">
        <f>IF(E465="","",Input!$C$3)</f>
        <v>100000</v>
      </c>
      <c r="I465" s="153">
        <f>IF(E465="","",HLOOKUP($B465,Input!$C$13:$BT$14,2))</f>
        <v>155.477</v>
      </c>
      <c r="J465" s="154"/>
      <c r="K465" s="155">
        <f>IF($E465="","",INDEX(Input!$C$16:$CP$16,1,$B465))</f>
        <v>3.0949999999999998E-2</v>
      </c>
      <c r="L465" s="155">
        <f>IF($E465="","",Input!$C$37)</f>
        <v>1.4999999999999999E-2</v>
      </c>
      <c r="M465" s="155">
        <f t="shared" si="287"/>
        <v>4.5949999999999998E-2</v>
      </c>
      <c r="N465" s="155">
        <f t="shared" si="288"/>
        <v>3.7508137075803472E-3</v>
      </c>
      <c r="O465" s="147">
        <f>IF($E465="","",MIN(VLOOKUP(IF($B465&lt;=Input!$C$7,$B465,26),'Mortality Tables'!$A$41:$CW$67,IF($B465&lt;=Input!$C$7+1,Input!$C$4+2,$D465-Input!$C$7+2),0)*IF(B465&gt;20,Input!$C$22,1)/1000,1))</f>
        <v>0.17579080000000002</v>
      </c>
      <c r="P465" s="147">
        <f>IF($E465="","",MIN(VLOOKUP(IF($B465&lt;=Input!$C$7,$B465,26),'Mortality Tables'!$A$12:$CW$37,IF($B465&lt;=Input!$C$7+1,Input!$C$4+2,$D465-Input!$C$7+2),0)*IF(B465&gt;20,Input!$C$22,1)/1000,1))</f>
        <v>0.2197385</v>
      </c>
      <c r="Q465" s="155">
        <f>IF($E465="","",Input!$C$21)</f>
        <v>5.0000000000000001E-3</v>
      </c>
      <c r="R465" s="159">
        <f>IF($E465="","",(1-Q465)^($F465-Input!$C$20))</f>
        <v>0.82656510797472249</v>
      </c>
      <c r="S465" s="147">
        <f t="shared" si="290"/>
        <v>0.14530254158296288</v>
      </c>
      <c r="T465" s="147">
        <f t="shared" si="291"/>
        <v>1.2998753737817004E-2</v>
      </c>
      <c r="U465" s="160">
        <f>IF($E465="","",IF($C465=12,INDEX(Input!$C$15:$CP$15,1,$B465),0))</f>
        <v>0</v>
      </c>
      <c r="V465" s="150">
        <f>IF(E465="","",IF(C465=1,IF($B465=1,Input!$C$33,Input!$C$34),0))</f>
        <v>0</v>
      </c>
      <c r="W465" s="156">
        <f>IF($E465="","",Input!$C$35)</f>
        <v>0.02</v>
      </c>
      <c r="X465" s="156">
        <f t="shared" si="289"/>
        <v>2.1222987924018204</v>
      </c>
      <c r="Y465" s="154"/>
      <c r="Z465" s="147">
        <f>IF($E465="","",VLOOKUP($D465,'Mortality Margins &amp; Grading'!$AB$5:$AF$125,3,0)*IF(Summary!$D$25="Included Margin",IF(AND($B465&gt;Input!$C$9,Summary!$D$31&lt;&gt;"Included Margin"),0,1),0))</f>
        <v>2.5000000000000001E-2</v>
      </c>
      <c r="AA465" s="147">
        <f>IF($E465="","",VLOOKUP($D465,'Mortality Margins &amp; Grading'!$AB$5:$AF$125,5,0)*IF(Summary!$D$25="Included Margin",IF(AND($B465&gt;Input!$C$9,Summary!$D$31&lt;&gt;"Included Margin"),0,1),0))</f>
        <v>0.13</v>
      </c>
      <c r="AB465" s="147">
        <f>IF($E465="","",IF(AND($B465&gt;Input!$C$9,Summary!$D$31&lt;&gt;"Included Margin"),1,IF(Summary!$D$25="Included Margin",VLOOKUP($B465,'Mortality Margins &amp; Grading'!$AI$5:$AR$125,MATCH('Mortality Margins &amp; Grading'!$AQ$4,'Mortality Margins &amp; Grading'!$AI$4:$AR$4,0),0),1)))</f>
        <v>0.375</v>
      </c>
      <c r="AC465" s="154"/>
      <c r="AD465" s="158">
        <f>IF(E465="","",Input!$C$48*IF(Summary!$D$30="Included Margin",IF(AND($B465&gt;Input!$C$9,Summary!$D$31&lt;&gt;"Included Margin"),0,1),0))</f>
        <v>-4.4999999999999997E-3</v>
      </c>
      <c r="AE465" s="159">
        <f>IF(E465="","",IF(Summary!$D$26="Included Margin",IF(AND($B465&gt;Input!$C$9,Summary!$D$31&lt;&gt;"Included Margin"),1,1/$R465),1))</f>
        <v>1.2098260504247917</v>
      </c>
      <c r="AF465" s="160">
        <f>IF(E465="","",IF(AND($B465&gt;=Input!$C$9,$C465=12,Summary!$D$31="Included Margin",$U465&gt;0),1/U465-1,IF($B465&gt;=Input!$C$9,0,Input!$C$45*IF(Summary!$D$27="Included Margin",1,0))))</f>
        <v>0</v>
      </c>
      <c r="AG465" s="160">
        <f>IF(E465="","",Input!$C$46*IF(Summary!$D$28="Included Margin",IF(AND($B465&gt;Input!$C$9,Summary!$D$31&lt;&gt;"Included Margin"),0,1),0))</f>
        <v>0.02</v>
      </c>
      <c r="AH465" s="158">
        <f>IF(E465="","",Input!$C$47*IF(Summary!$D$29="Included Margin",IF(AND($B465&gt;Input!$C$9,Summary!$D$31&lt;&gt;"Included Margin"),0,1),0))</f>
        <v>2.5000000000000001E-3</v>
      </c>
      <c r="AI465" s="154"/>
      <c r="AJ465" s="158">
        <f t="shared" si="312"/>
        <v>4.1450000000000001E-2</v>
      </c>
      <c r="AK465" s="155">
        <f t="shared" si="313"/>
        <v>3.3902316198579641E-3</v>
      </c>
      <c r="AL465" s="147">
        <f t="shared" si="314"/>
        <v>0.22275990437499998</v>
      </c>
      <c r="AM465" s="147">
        <f t="shared" si="292"/>
        <v>2.0781522834033006E-2</v>
      </c>
      <c r="AN465" s="160">
        <f t="shared" si="315"/>
        <v>0</v>
      </c>
      <c r="AO465" s="161">
        <f t="shared" si="316"/>
        <v>0</v>
      </c>
      <c r="AP465" s="156">
        <f t="shared" si="293"/>
        <v>2.3291959903842265</v>
      </c>
      <c r="AQ465" s="152"/>
      <c r="AR465" s="162">
        <f t="shared" si="294"/>
        <v>15263.165304699796</v>
      </c>
      <c r="AS465" s="150">
        <f t="shared" si="317"/>
        <v>0</v>
      </c>
      <c r="AT465" s="163">
        <f t="shared" si="295"/>
        <v>0</v>
      </c>
      <c r="AU465" s="163">
        <f t="shared" si="296"/>
        <v>2078.1522834033008</v>
      </c>
      <c r="AV465" s="163">
        <f t="shared" si="318"/>
        <v>48.222956844075313</v>
      </c>
      <c r="AW465" s="163">
        <f t="shared" si="297"/>
        <v>280.8432703685981</v>
      </c>
      <c r="AX465" s="163">
        <f t="shared" si="298"/>
        <v>0</v>
      </c>
      <c r="AY465" s="164">
        <f t="shared" si="319"/>
        <v>13514.07924850917</v>
      </c>
      <c r="AZ465" s="164">
        <f>IF($E465="","",IF(OR(AND($D465=Input!$C$6,$C465=12),$AN465=1),0,-AS466+AT466+AU466-AV466-AW466-AX466+AZ466))</f>
        <v>13514.085209803448</v>
      </c>
      <c r="BA465" s="154">
        <f t="shared" si="299"/>
        <v>5.9612942786770873E-3</v>
      </c>
      <c r="BC465" s="147">
        <f t="shared" si="320"/>
        <v>4.3511760164897505E-3</v>
      </c>
      <c r="BD465" s="164">
        <f>IF(AND($C464=12,$D464=Input!$C$6),0,IF($E465="","",AT465+(AU465+BD466)/(1+$AK465)*MIN((1-AM465-AN465),1)))</f>
        <v>12782.95920896443</v>
      </c>
      <c r="BE465" s="164">
        <f t="shared" si="300"/>
        <v>55.620905529812823</v>
      </c>
      <c r="BF465" s="164">
        <f t="shared" si="321"/>
        <v>13514.085209803448</v>
      </c>
      <c r="BG465" s="164">
        <f t="shared" si="301"/>
        <v>58.802163449695627</v>
      </c>
      <c r="BH465" s="152"/>
      <c r="BI465" s="162">
        <f t="shared" si="302"/>
        <v>4221.733370564868</v>
      </c>
      <c r="BJ465" s="150">
        <f t="shared" si="303"/>
        <v>0</v>
      </c>
      <c r="BK465" s="163">
        <f t="shared" si="325"/>
        <v>0</v>
      </c>
      <c r="BL465" s="163">
        <f t="shared" si="304"/>
        <v>1299.8753737817003</v>
      </c>
      <c r="BM465" s="163">
        <f t="shared" si="326"/>
        <v>13.397140211000822</v>
      </c>
      <c r="BN465" s="163">
        <f t="shared" si="305"/>
        <v>38.657213600441587</v>
      </c>
      <c r="BO465" s="163">
        <f t="shared" si="306"/>
        <v>0</v>
      </c>
      <c r="BP465" s="164">
        <f t="shared" si="327"/>
        <v>2973.91235059461</v>
      </c>
      <c r="BQ465" s="164">
        <f>IF($E465="","",IF(AND($D465=Input!$C$6,$C465=12),0,-BJ466+BK466+BL466-BM466-BN466-BO466+BQ466))</f>
        <v>2973.9169138943653</v>
      </c>
      <c r="BR465" s="161">
        <f t="shared" si="307"/>
        <v>0</v>
      </c>
      <c r="BT465" s="147">
        <f t="shared" si="308"/>
        <v>4.3511760164897505E-3</v>
      </c>
      <c r="BU465" s="164">
        <f>IF(AND($C464=12,$D464=Input!$C$6),0,IF($E465="","",BK465+(BL465+BU466)/(1+$AK465)*MIN((1-T465-U465),1)))</f>
        <v>59337.992998015987</v>
      </c>
      <c r="BV465" s="164">
        <f t="shared" si="309"/>
        <v>258.1900519996039</v>
      </c>
      <c r="BW465" s="164">
        <f t="shared" si="310"/>
        <v>2973.9169138943653</v>
      </c>
      <c r="BX465" s="164">
        <f t="shared" si="311"/>
        <v>12.940035950770376</v>
      </c>
    </row>
    <row r="466" spans="1:76" s="150" customFormat="1" x14ac:dyDescent="0.25">
      <c r="A466" s="150">
        <f t="shared" si="322"/>
        <v>462</v>
      </c>
      <c r="B466" s="150">
        <f t="shared" si="323"/>
        <v>39</v>
      </c>
      <c r="C466" s="150">
        <f t="shared" si="324"/>
        <v>6</v>
      </c>
      <c r="D466" s="150">
        <f>IF(E466="","",Input!$C$4+B466-1)</f>
        <v>83</v>
      </c>
      <c r="E466" s="150">
        <f>IF(OR(AND(C465=12,D465=Input!$C$6),E465=""),"",1)</f>
        <v>1</v>
      </c>
      <c r="F466" s="150">
        <f>IF(E466="","",Input!$C$8+B466-1)</f>
        <v>2056</v>
      </c>
      <c r="G466" s="151">
        <f>IF(E466="","",MAX(0,Input!$C$9-B466))</f>
        <v>0</v>
      </c>
      <c r="H466" s="152">
        <f>IF(E466="","",Input!$C$3)</f>
        <v>100000</v>
      </c>
      <c r="I466" s="153">
        <f>IF(E466="","",HLOOKUP($B466,Input!$C$13:$BT$14,2))</f>
        <v>155.477</v>
      </c>
      <c r="J466" s="154"/>
      <c r="K466" s="155">
        <f>IF($E466="","",INDEX(Input!$C$16:$CP$16,1,$B466))</f>
        <v>3.0949999999999998E-2</v>
      </c>
      <c r="L466" s="155">
        <f>IF($E466="","",Input!$C$37)</f>
        <v>1.4999999999999999E-2</v>
      </c>
      <c r="M466" s="155">
        <f t="shared" si="287"/>
        <v>4.5949999999999998E-2</v>
      </c>
      <c r="N466" s="155">
        <f t="shared" si="288"/>
        <v>3.7508137075803472E-3</v>
      </c>
      <c r="O466" s="147">
        <f>IF($E466="","",MIN(VLOOKUP(IF($B466&lt;=Input!$C$7,$B466,26),'Mortality Tables'!$A$41:$CW$67,IF($B466&lt;=Input!$C$7+1,Input!$C$4+2,$D466-Input!$C$7+2),0)*IF(B466&gt;20,Input!$C$22,1)/1000,1))</f>
        <v>0.17579080000000002</v>
      </c>
      <c r="P466" s="147">
        <f>IF($E466="","",MIN(VLOOKUP(IF($B466&lt;=Input!$C$7,$B466,26),'Mortality Tables'!$A$12:$CW$37,IF($B466&lt;=Input!$C$7+1,Input!$C$4+2,$D466-Input!$C$7+2),0)*IF(B466&gt;20,Input!$C$22,1)/1000,1))</f>
        <v>0.2197385</v>
      </c>
      <c r="Q466" s="155">
        <f>IF($E466="","",Input!$C$21)</f>
        <v>5.0000000000000001E-3</v>
      </c>
      <c r="R466" s="159">
        <f>IF($E466="","",(1-Q466)^($F466-Input!$C$20))</f>
        <v>0.82656510797472249</v>
      </c>
      <c r="S466" s="147">
        <f t="shared" si="290"/>
        <v>0.14530254158296288</v>
      </c>
      <c r="T466" s="147">
        <f t="shared" si="291"/>
        <v>1.2998753737817004E-2</v>
      </c>
      <c r="U466" s="160">
        <f>IF($E466="","",IF($C466=12,INDEX(Input!$C$15:$CP$15,1,$B466),0))</f>
        <v>0</v>
      </c>
      <c r="V466" s="150">
        <f>IF(E466="","",IF(C466=1,IF($B466=1,Input!$C$33,Input!$C$34),0))</f>
        <v>0</v>
      </c>
      <c r="W466" s="156">
        <f>IF($E466="","",Input!$C$35)</f>
        <v>0.02</v>
      </c>
      <c r="X466" s="156">
        <f t="shared" si="289"/>
        <v>2.1222987924018204</v>
      </c>
      <c r="Y466" s="154"/>
      <c r="Z466" s="147">
        <f>IF($E466="","",VLOOKUP($D466,'Mortality Margins &amp; Grading'!$AB$5:$AF$125,3,0)*IF(Summary!$D$25="Included Margin",IF(AND($B466&gt;Input!$C$9,Summary!$D$31&lt;&gt;"Included Margin"),0,1),0))</f>
        <v>2.5000000000000001E-2</v>
      </c>
      <c r="AA466" s="147">
        <f>IF($E466="","",VLOOKUP($D466,'Mortality Margins &amp; Grading'!$AB$5:$AF$125,5,0)*IF(Summary!$D$25="Included Margin",IF(AND($B466&gt;Input!$C$9,Summary!$D$31&lt;&gt;"Included Margin"),0,1),0))</f>
        <v>0.13</v>
      </c>
      <c r="AB466" s="147">
        <f>IF($E466="","",IF(AND($B466&gt;Input!$C$9,Summary!$D$31&lt;&gt;"Included Margin"),1,IF(Summary!$D$25="Included Margin",VLOOKUP($B466,'Mortality Margins &amp; Grading'!$AI$5:$AR$125,MATCH('Mortality Margins &amp; Grading'!$AQ$4,'Mortality Margins &amp; Grading'!$AI$4:$AR$4,0),0),1)))</f>
        <v>0.375</v>
      </c>
      <c r="AC466" s="154"/>
      <c r="AD466" s="158">
        <f>IF(E466="","",Input!$C$48*IF(Summary!$D$30="Included Margin",IF(AND($B466&gt;Input!$C$9,Summary!$D$31&lt;&gt;"Included Margin"),0,1),0))</f>
        <v>-4.4999999999999997E-3</v>
      </c>
      <c r="AE466" s="159">
        <f>IF(E466="","",IF(Summary!$D$26="Included Margin",IF(AND($B466&gt;Input!$C$9,Summary!$D$31&lt;&gt;"Included Margin"),1,1/$R466),1))</f>
        <v>1.2098260504247917</v>
      </c>
      <c r="AF466" s="160">
        <f>IF(E466="","",IF(AND($B466&gt;=Input!$C$9,$C466=12,Summary!$D$31="Included Margin",$U466&gt;0),1/U466-1,IF($B466&gt;=Input!$C$9,0,Input!$C$45*IF(Summary!$D$27="Included Margin",1,0))))</f>
        <v>0</v>
      </c>
      <c r="AG466" s="160">
        <f>IF(E466="","",Input!$C$46*IF(Summary!$D$28="Included Margin",IF(AND($B466&gt;Input!$C$9,Summary!$D$31&lt;&gt;"Included Margin"),0,1),0))</f>
        <v>0.02</v>
      </c>
      <c r="AH466" s="158">
        <f>IF(E466="","",Input!$C$47*IF(Summary!$D$29="Included Margin",IF(AND($B466&gt;Input!$C$9,Summary!$D$31&lt;&gt;"Included Margin"),0,1),0))</f>
        <v>2.5000000000000001E-3</v>
      </c>
      <c r="AI466" s="154"/>
      <c r="AJ466" s="158">
        <f t="shared" si="312"/>
        <v>4.1450000000000001E-2</v>
      </c>
      <c r="AK466" s="155">
        <f t="shared" si="313"/>
        <v>3.3902316198579641E-3</v>
      </c>
      <c r="AL466" s="147">
        <f t="shared" si="314"/>
        <v>0.22275990437499998</v>
      </c>
      <c r="AM466" s="147">
        <f t="shared" si="292"/>
        <v>2.0781522834033006E-2</v>
      </c>
      <c r="AN466" s="160">
        <f t="shared" si="315"/>
        <v>0</v>
      </c>
      <c r="AO466" s="161">
        <f t="shared" si="316"/>
        <v>0</v>
      </c>
      <c r="AP466" s="156">
        <f t="shared" si="293"/>
        <v>2.3291959903842265</v>
      </c>
      <c r="AQ466" s="152"/>
      <c r="AR466" s="162">
        <f t="shared" si="294"/>
        <v>13514.079248509168</v>
      </c>
      <c r="AS466" s="150">
        <f t="shared" si="317"/>
        <v>0</v>
      </c>
      <c r="AT466" s="163">
        <f t="shared" si="295"/>
        <v>0</v>
      </c>
      <c r="AU466" s="163">
        <f t="shared" si="296"/>
        <v>2078.1522834033008</v>
      </c>
      <c r="AV466" s="163">
        <f t="shared" si="318"/>
        <v>42.29314999052518</v>
      </c>
      <c r="AW466" s="163">
        <f t="shared" si="297"/>
        <v>243.59734100511332</v>
      </c>
      <c r="AX466" s="163">
        <f t="shared" si="298"/>
        <v>0</v>
      </c>
      <c r="AY466" s="165">
        <f t="shared" si="319"/>
        <v>11721.817456101506</v>
      </c>
      <c r="AZ466" s="164">
        <f>IF($E466="","",IF(OR(AND($D466=Input!$C$6,$C466=12),$AN466=1),0,-AS467+AT467+AU467-AV467-AW467-AX467+AZ467))</f>
        <v>11721.823417395786</v>
      </c>
      <c r="BA466" s="154">
        <f t="shared" si="299"/>
        <v>5.9612942804960767E-3</v>
      </c>
      <c r="BC466" s="147">
        <f t="shared" si="320"/>
        <v>4.2946161509815044E-3</v>
      </c>
      <c r="BD466" s="164">
        <f>IF(AND($C465=12,$D465=Input!$C$6),0,IF($E466="","",AT466+(AU466+BD467)/(1+$AK466)*MIN((1-AM466-AN466),1)))</f>
        <v>11020.350962360206</v>
      </c>
      <c r="BE466" s="164">
        <f t="shared" si="300"/>
        <v>47.328177232436708</v>
      </c>
      <c r="BF466" s="164">
        <f t="shared" si="321"/>
        <v>11721.823417395786</v>
      </c>
      <c r="BG466" s="164">
        <f t="shared" si="301"/>
        <v>50.340732167301155</v>
      </c>
      <c r="BH466" s="152"/>
      <c r="BI466" s="162">
        <f t="shared" si="302"/>
        <v>2973.91235059461</v>
      </c>
      <c r="BJ466" s="150">
        <f t="shared" si="303"/>
        <v>0</v>
      </c>
      <c r="BK466" s="163">
        <f t="shared" si="325"/>
        <v>0</v>
      </c>
      <c r="BL466" s="163">
        <f t="shared" si="304"/>
        <v>1299.8753737817003</v>
      </c>
      <c r="BM466" s="163">
        <f t="shared" si="326"/>
        <v>8.71679602468949</v>
      </c>
      <c r="BN466" s="163">
        <f t="shared" si="305"/>
        <v>22.161837479481456</v>
      </c>
      <c r="BO466" s="163">
        <f t="shared" si="306"/>
        <v>0</v>
      </c>
      <c r="BP466" s="164">
        <f t="shared" si="327"/>
        <v>1704.9156103170806</v>
      </c>
      <c r="BQ466" s="164">
        <f>IF($E466="","",IF(AND($D466=Input!$C$6,$C466=12),0,-BJ467+BK467+BL467-BM467-BN467-BO467+BQ467))</f>
        <v>1704.9201736168357</v>
      </c>
      <c r="BR466" s="161">
        <f t="shared" si="307"/>
        <v>0</v>
      </c>
      <c r="BT466" s="147">
        <f t="shared" si="308"/>
        <v>4.2946161509815044E-3</v>
      </c>
      <c r="BU466" s="164">
        <f>IF(AND($C465=12,$D465=Input!$C$6),0,IF($E466="","",BK466+(BL466+BU467)/(1+$AK466)*MIN((1-T466-U466),1)))</f>
        <v>59023.414757425518</v>
      </c>
      <c r="BV466" s="164">
        <f t="shared" si="309"/>
        <v>253.4829103033197</v>
      </c>
      <c r="BW466" s="164">
        <f t="shared" si="310"/>
        <v>1704.9201736168357</v>
      </c>
      <c r="BX466" s="164">
        <f t="shared" si="311"/>
        <v>7.3219777137490532</v>
      </c>
    </row>
    <row r="467" spans="1:76" s="150" customFormat="1" x14ac:dyDescent="0.25">
      <c r="A467" s="150">
        <f t="shared" si="322"/>
        <v>463</v>
      </c>
      <c r="B467" s="150">
        <f t="shared" si="323"/>
        <v>39</v>
      </c>
      <c r="C467" s="150">
        <f t="shared" si="324"/>
        <v>7</v>
      </c>
      <c r="D467" s="150">
        <f>IF(E467="","",Input!$C$4+B467-1)</f>
        <v>83</v>
      </c>
      <c r="E467" s="150">
        <f>IF(OR(AND(C466=12,D466=Input!$C$6),E466=""),"",1)</f>
        <v>1</v>
      </c>
      <c r="F467" s="150">
        <f>IF(E467="","",Input!$C$8+B467-1)</f>
        <v>2056</v>
      </c>
      <c r="G467" s="151">
        <f>IF(E467="","",MAX(0,Input!$C$9-B467))</f>
        <v>0</v>
      </c>
      <c r="H467" s="152">
        <f>IF(E467="","",Input!$C$3)</f>
        <v>100000</v>
      </c>
      <c r="I467" s="153">
        <f>IF(E467="","",HLOOKUP($B467,Input!$C$13:$BT$14,2))</f>
        <v>155.477</v>
      </c>
      <c r="J467" s="154"/>
      <c r="K467" s="155">
        <f>IF($E467="","",INDEX(Input!$C$16:$CP$16,1,$B467))</f>
        <v>3.0949999999999998E-2</v>
      </c>
      <c r="L467" s="155">
        <f>IF($E467="","",Input!$C$37)</f>
        <v>1.4999999999999999E-2</v>
      </c>
      <c r="M467" s="155">
        <f t="shared" si="287"/>
        <v>4.5949999999999998E-2</v>
      </c>
      <c r="N467" s="155">
        <f t="shared" si="288"/>
        <v>3.7508137075803472E-3</v>
      </c>
      <c r="O467" s="147">
        <f>IF($E467="","",MIN(VLOOKUP(IF($B467&lt;=Input!$C$7,$B467,26),'Mortality Tables'!$A$41:$CW$67,IF($B467&lt;=Input!$C$7+1,Input!$C$4+2,$D467-Input!$C$7+2),0)*IF(B467&gt;20,Input!$C$22,1)/1000,1))</f>
        <v>0.17579080000000002</v>
      </c>
      <c r="P467" s="147">
        <f>IF($E467="","",MIN(VLOOKUP(IF($B467&lt;=Input!$C$7,$B467,26),'Mortality Tables'!$A$12:$CW$37,IF($B467&lt;=Input!$C$7+1,Input!$C$4+2,$D467-Input!$C$7+2),0)*IF(B467&gt;20,Input!$C$22,1)/1000,1))</f>
        <v>0.2197385</v>
      </c>
      <c r="Q467" s="155">
        <f>IF($E467="","",Input!$C$21)</f>
        <v>5.0000000000000001E-3</v>
      </c>
      <c r="R467" s="159">
        <f>IF($E467="","",(1-Q467)^($F467-Input!$C$20))</f>
        <v>0.82656510797472249</v>
      </c>
      <c r="S467" s="147">
        <f t="shared" si="290"/>
        <v>0.14530254158296288</v>
      </c>
      <c r="T467" s="147">
        <f t="shared" si="291"/>
        <v>1.2998753737817004E-2</v>
      </c>
      <c r="U467" s="160">
        <f>IF($E467="","",IF($C467=12,INDEX(Input!$C$15:$CP$15,1,$B467),0))</f>
        <v>0</v>
      </c>
      <c r="V467" s="150">
        <f>IF(E467="","",IF(C467=1,IF($B467=1,Input!$C$33,Input!$C$34),0))</f>
        <v>0</v>
      </c>
      <c r="W467" s="156">
        <f>IF($E467="","",Input!$C$35)</f>
        <v>0.02</v>
      </c>
      <c r="X467" s="156">
        <f t="shared" si="289"/>
        <v>2.1222987924018204</v>
      </c>
      <c r="Y467" s="154"/>
      <c r="Z467" s="147">
        <f>IF($E467="","",VLOOKUP($D467,'Mortality Margins &amp; Grading'!$AB$5:$AF$125,3,0)*IF(Summary!$D$25="Included Margin",IF(AND($B467&gt;Input!$C$9,Summary!$D$31&lt;&gt;"Included Margin"),0,1),0))</f>
        <v>2.5000000000000001E-2</v>
      </c>
      <c r="AA467" s="147">
        <f>IF($E467="","",VLOOKUP($D467,'Mortality Margins &amp; Grading'!$AB$5:$AF$125,5,0)*IF(Summary!$D$25="Included Margin",IF(AND($B467&gt;Input!$C$9,Summary!$D$31&lt;&gt;"Included Margin"),0,1),0))</f>
        <v>0.13</v>
      </c>
      <c r="AB467" s="147">
        <f>IF($E467="","",IF(AND($B467&gt;Input!$C$9,Summary!$D$31&lt;&gt;"Included Margin"),1,IF(Summary!$D$25="Included Margin",VLOOKUP($B467,'Mortality Margins &amp; Grading'!$AI$5:$AR$125,MATCH('Mortality Margins &amp; Grading'!$AQ$4,'Mortality Margins &amp; Grading'!$AI$4:$AR$4,0),0),1)))</f>
        <v>0.375</v>
      </c>
      <c r="AC467" s="154"/>
      <c r="AD467" s="158">
        <f>IF(E467="","",Input!$C$48*IF(Summary!$D$30="Included Margin",IF(AND($B467&gt;Input!$C$9,Summary!$D$31&lt;&gt;"Included Margin"),0,1),0))</f>
        <v>-4.4999999999999997E-3</v>
      </c>
      <c r="AE467" s="159">
        <f>IF(E467="","",IF(Summary!$D$26="Included Margin",IF(AND($B467&gt;Input!$C$9,Summary!$D$31&lt;&gt;"Included Margin"),1,1/$R467),1))</f>
        <v>1.2098260504247917</v>
      </c>
      <c r="AF467" s="160">
        <f>IF(E467="","",IF(AND($B467&gt;=Input!$C$9,$C467=12,Summary!$D$31="Included Margin",$U467&gt;0),1/U467-1,IF($B467&gt;=Input!$C$9,0,Input!$C$45*IF(Summary!$D$27="Included Margin",1,0))))</f>
        <v>0</v>
      </c>
      <c r="AG467" s="160">
        <f>IF(E467="","",Input!$C$46*IF(Summary!$D$28="Included Margin",IF(AND($B467&gt;Input!$C$9,Summary!$D$31&lt;&gt;"Included Margin"),0,1),0))</f>
        <v>0.02</v>
      </c>
      <c r="AH467" s="158">
        <f>IF(E467="","",Input!$C$47*IF(Summary!$D$29="Included Margin",IF(AND($B467&gt;Input!$C$9,Summary!$D$31&lt;&gt;"Included Margin"),0,1),0))</f>
        <v>2.5000000000000001E-3</v>
      </c>
      <c r="AI467" s="154"/>
      <c r="AJ467" s="158">
        <f t="shared" si="312"/>
        <v>4.1450000000000001E-2</v>
      </c>
      <c r="AK467" s="155">
        <f t="shared" si="313"/>
        <v>3.3902316198579641E-3</v>
      </c>
      <c r="AL467" s="147">
        <f t="shared" si="314"/>
        <v>0.22275990437499998</v>
      </c>
      <c r="AM467" s="147">
        <f t="shared" si="292"/>
        <v>2.0781522834033006E-2</v>
      </c>
      <c r="AN467" s="160">
        <f t="shared" si="315"/>
        <v>0</v>
      </c>
      <c r="AO467" s="161">
        <f t="shared" si="316"/>
        <v>0</v>
      </c>
      <c r="AP467" s="156">
        <f t="shared" si="293"/>
        <v>2.3291959903842265</v>
      </c>
      <c r="AQ467" s="152"/>
      <c r="AR467" s="162">
        <f t="shared" si="294"/>
        <v>11721.817456101506</v>
      </c>
      <c r="AS467" s="150">
        <f t="shared" si="317"/>
        <v>0</v>
      </c>
      <c r="AT467" s="163">
        <f t="shared" si="295"/>
        <v>0</v>
      </c>
      <c r="AU467" s="163">
        <f t="shared" si="296"/>
        <v>2078.1522834033008</v>
      </c>
      <c r="AV467" s="163">
        <f t="shared" si="318"/>
        <v>36.216967390841418</v>
      </c>
      <c r="AW467" s="163">
        <f t="shared" si="297"/>
        <v>205.43200552340789</v>
      </c>
      <c r="AX467" s="163">
        <f t="shared" si="298"/>
        <v>0</v>
      </c>
      <c r="AY467" s="164">
        <f t="shared" si="319"/>
        <v>9885.314145612454</v>
      </c>
      <c r="AZ467" s="164">
        <f>IF($E467="","",IF(OR(AND($D467=Input!$C$6,$C467=12),$AN467=1),0,-AS468+AT468+AU468-AV468-AW468-AX468+AZ468))</f>
        <v>9885.3201069067345</v>
      </c>
      <c r="BA467" s="154">
        <f t="shared" si="299"/>
        <v>5.9612942804960767E-3</v>
      </c>
      <c r="BC467" s="147">
        <f t="shared" si="320"/>
        <v>4.2387914932364443E-3</v>
      </c>
      <c r="BD467" s="164">
        <f>IF(AND($C466=12,$D466=Input!$C$6),0,IF($E467="","",AT467+(AU467+BD468)/(1+$AK467)*MIN((1-AM467-AN467),1)))</f>
        <v>9214.2331877713495</v>
      </c>
      <c r="BE467" s="164">
        <f t="shared" si="300"/>
        <v>39.05721325302212</v>
      </c>
      <c r="BF467" s="164">
        <f t="shared" si="321"/>
        <v>9885.3201069067345</v>
      </c>
      <c r="BG467" s="164">
        <f t="shared" si="301"/>
        <v>41.901810777075447</v>
      </c>
      <c r="BH467" s="152"/>
      <c r="BI467" s="162">
        <f t="shared" si="302"/>
        <v>1704.9156103170808</v>
      </c>
      <c r="BJ467" s="150">
        <f t="shared" si="303"/>
        <v>0</v>
      </c>
      <c r="BK467" s="163">
        <f t="shared" si="325"/>
        <v>0</v>
      </c>
      <c r="BL467" s="163">
        <f t="shared" si="304"/>
        <v>1299.8753737817003</v>
      </c>
      <c r="BM467" s="163">
        <f t="shared" si="326"/>
        <v>3.9570256563817554</v>
      </c>
      <c r="BN467" s="163">
        <f t="shared" si="305"/>
        <v>5.386532213627599</v>
      </c>
      <c r="BO467" s="163">
        <f t="shared" si="306"/>
        <v>0</v>
      </c>
      <c r="BP467" s="164">
        <f t="shared" si="327"/>
        <v>414.38379440538984</v>
      </c>
      <c r="BQ467" s="164">
        <f>IF($E467="","",IF(AND($D467=Input!$C$6,$C467=12),0,-BJ468+BK468+BL468-BM468-BN468-BO468+BQ468))</f>
        <v>414.3883577051447</v>
      </c>
      <c r="BR467" s="161">
        <f t="shared" si="307"/>
        <v>0</v>
      </c>
      <c r="BT467" s="147">
        <f t="shared" si="308"/>
        <v>4.2387914932364443E-3</v>
      </c>
      <c r="BU467" s="164">
        <f>IF(AND($C466=12,$D466=Input!$C$6),0,IF($E467="","",BK467+(BL467+BU468)/(1+$AK467)*MIN((1-T467-U467),1)))</f>
        <v>58703.612999439902</v>
      </c>
      <c r="BV467" s="164">
        <f t="shared" si="309"/>
        <v>248.83237540427021</v>
      </c>
      <c r="BW467" s="164">
        <f t="shared" si="310"/>
        <v>414.3883577051447</v>
      </c>
      <c r="BX467" s="164">
        <f t="shared" si="311"/>
        <v>1.7565058455367881</v>
      </c>
    </row>
    <row r="468" spans="1:76" s="150" customFormat="1" x14ac:dyDescent="0.25">
      <c r="A468" s="150">
        <f t="shared" si="322"/>
        <v>464</v>
      </c>
      <c r="B468" s="150">
        <f t="shared" si="323"/>
        <v>39</v>
      </c>
      <c r="C468" s="150">
        <f t="shared" si="324"/>
        <v>8</v>
      </c>
      <c r="D468" s="150">
        <f>IF(E468="","",Input!$C$4+B468-1)</f>
        <v>83</v>
      </c>
      <c r="E468" s="150">
        <f>IF(OR(AND(C467=12,D467=Input!$C$6),E467=""),"",1)</f>
        <v>1</v>
      </c>
      <c r="F468" s="150">
        <f>IF(E468="","",Input!$C$8+B468-1)</f>
        <v>2056</v>
      </c>
      <c r="G468" s="151">
        <f>IF(E468="","",MAX(0,Input!$C$9-B468))</f>
        <v>0</v>
      </c>
      <c r="H468" s="152">
        <f>IF(E468="","",Input!$C$3)</f>
        <v>100000</v>
      </c>
      <c r="I468" s="153">
        <f>IF(E468="","",HLOOKUP($B468,Input!$C$13:$BT$14,2))</f>
        <v>155.477</v>
      </c>
      <c r="J468" s="154"/>
      <c r="K468" s="155">
        <f>IF($E468="","",INDEX(Input!$C$16:$CP$16,1,$B468))</f>
        <v>3.0949999999999998E-2</v>
      </c>
      <c r="L468" s="155">
        <f>IF($E468="","",Input!$C$37)</f>
        <v>1.4999999999999999E-2</v>
      </c>
      <c r="M468" s="155">
        <f t="shared" si="287"/>
        <v>4.5949999999999998E-2</v>
      </c>
      <c r="N468" s="155">
        <f t="shared" si="288"/>
        <v>3.7508137075803472E-3</v>
      </c>
      <c r="O468" s="147">
        <f>IF($E468="","",MIN(VLOOKUP(IF($B468&lt;=Input!$C$7,$B468,26),'Mortality Tables'!$A$41:$CW$67,IF($B468&lt;=Input!$C$7+1,Input!$C$4+2,$D468-Input!$C$7+2),0)*IF(B468&gt;20,Input!$C$22,1)/1000,1))</f>
        <v>0.17579080000000002</v>
      </c>
      <c r="P468" s="147">
        <f>IF($E468="","",MIN(VLOOKUP(IF($B468&lt;=Input!$C$7,$B468,26),'Mortality Tables'!$A$12:$CW$37,IF($B468&lt;=Input!$C$7+1,Input!$C$4+2,$D468-Input!$C$7+2),0)*IF(B468&gt;20,Input!$C$22,1)/1000,1))</f>
        <v>0.2197385</v>
      </c>
      <c r="Q468" s="155">
        <f>IF($E468="","",Input!$C$21)</f>
        <v>5.0000000000000001E-3</v>
      </c>
      <c r="R468" s="159">
        <f>IF($E468="","",(1-Q468)^($F468-Input!$C$20))</f>
        <v>0.82656510797472249</v>
      </c>
      <c r="S468" s="147">
        <f t="shared" si="290"/>
        <v>0.14530254158296288</v>
      </c>
      <c r="T468" s="147">
        <f t="shared" si="291"/>
        <v>1.2998753737817004E-2</v>
      </c>
      <c r="U468" s="160">
        <f>IF($E468="","",IF($C468=12,INDEX(Input!$C$15:$CP$15,1,$B468),0))</f>
        <v>0</v>
      </c>
      <c r="V468" s="150">
        <f>IF(E468="","",IF(C468=1,IF($B468=1,Input!$C$33,Input!$C$34),0))</f>
        <v>0</v>
      </c>
      <c r="W468" s="156">
        <f>IF($E468="","",Input!$C$35)</f>
        <v>0.02</v>
      </c>
      <c r="X468" s="156">
        <f t="shared" si="289"/>
        <v>2.1222987924018204</v>
      </c>
      <c r="Y468" s="154"/>
      <c r="Z468" s="147">
        <f>IF($E468="","",VLOOKUP($D468,'Mortality Margins &amp; Grading'!$AB$5:$AF$125,3,0)*IF(Summary!$D$25="Included Margin",IF(AND($B468&gt;Input!$C$9,Summary!$D$31&lt;&gt;"Included Margin"),0,1),0))</f>
        <v>2.5000000000000001E-2</v>
      </c>
      <c r="AA468" s="147">
        <f>IF($E468="","",VLOOKUP($D468,'Mortality Margins &amp; Grading'!$AB$5:$AF$125,5,0)*IF(Summary!$D$25="Included Margin",IF(AND($B468&gt;Input!$C$9,Summary!$D$31&lt;&gt;"Included Margin"),0,1),0))</f>
        <v>0.13</v>
      </c>
      <c r="AB468" s="147">
        <f>IF($E468="","",IF(AND($B468&gt;Input!$C$9,Summary!$D$31&lt;&gt;"Included Margin"),1,IF(Summary!$D$25="Included Margin",VLOOKUP($B468,'Mortality Margins &amp; Grading'!$AI$5:$AR$125,MATCH('Mortality Margins &amp; Grading'!$AQ$4,'Mortality Margins &amp; Grading'!$AI$4:$AR$4,0),0),1)))</f>
        <v>0.375</v>
      </c>
      <c r="AC468" s="154"/>
      <c r="AD468" s="158">
        <f>IF(E468="","",Input!$C$48*IF(Summary!$D$30="Included Margin",IF(AND($B468&gt;Input!$C$9,Summary!$D$31&lt;&gt;"Included Margin"),0,1),0))</f>
        <v>-4.4999999999999997E-3</v>
      </c>
      <c r="AE468" s="159">
        <f>IF(E468="","",IF(Summary!$D$26="Included Margin",IF(AND($B468&gt;Input!$C$9,Summary!$D$31&lt;&gt;"Included Margin"),1,1/$R468),1))</f>
        <v>1.2098260504247917</v>
      </c>
      <c r="AF468" s="160">
        <f>IF(E468="","",IF(AND($B468&gt;=Input!$C$9,$C468=12,Summary!$D$31="Included Margin",$U468&gt;0),1/U468-1,IF($B468&gt;=Input!$C$9,0,Input!$C$45*IF(Summary!$D$27="Included Margin",1,0))))</f>
        <v>0</v>
      </c>
      <c r="AG468" s="160">
        <f>IF(E468="","",Input!$C$46*IF(Summary!$D$28="Included Margin",IF(AND($B468&gt;Input!$C$9,Summary!$D$31&lt;&gt;"Included Margin"),0,1),0))</f>
        <v>0.02</v>
      </c>
      <c r="AH468" s="158">
        <f>IF(E468="","",Input!$C$47*IF(Summary!$D$29="Included Margin",IF(AND($B468&gt;Input!$C$9,Summary!$D$31&lt;&gt;"Included Margin"),0,1),0))</f>
        <v>2.5000000000000001E-3</v>
      </c>
      <c r="AI468" s="154"/>
      <c r="AJ468" s="158">
        <f t="shared" si="312"/>
        <v>4.1450000000000001E-2</v>
      </c>
      <c r="AK468" s="155">
        <f t="shared" si="313"/>
        <v>3.3902316198579641E-3</v>
      </c>
      <c r="AL468" s="147">
        <f t="shared" si="314"/>
        <v>0.22275990437499998</v>
      </c>
      <c r="AM468" s="147">
        <f t="shared" si="292"/>
        <v>2.0781522834033006E-2</v>
      </c>
      <c r="AN468" s="160">
        <f t="shared" si="315"/>
        <v>0</v>
      </c>
      <c r="AO468" s="161">
        <f t="shared" si="316"/>
        <v>0</v>
      </c>
      <c r="AP468" s="156">
        <f t="shared" si="293"/>
        <v>2.3291959903842265</v>
      </c>
      <c r="AQ468" s="152"/>
      <c r="AR468" s="162">
        <f t="shared" si="294"/>
        <v>9885.3141456124522</v>
      </c>
      <c r="AS468" s="150">
        <f t="shared" si="317"/>
        <v>0</v>
      </c>
      <c r="AT468" s="163">
        <f t="shared" si="295"/>
        <v>0</v>
      </c>
      <c r="AU468" s="163">
        <f t="shared" si="296"/>
        <v>2078.1522834033008</v>
      </c>
      <c r="AV468" s="163">
        <f t="shared" si="318"/>
        <v>29.990795797647596</v>
      </c>
      <c r="AW468" s="163">
        <f t="shared" si="297"/>
        <v>166.32456862161479</v>
      </c>
      <c r="AX468" s="163">
        <f t="shared" si="298"/>
        <v>0</v>
      </c>
      <c r="AY468" s="165">
        <f t="shared" si="319"/>
        <v>8003.4772266284144</v>
      </c>
      <c r="AZ468" s="164">
        <f>IF($E468="","",IF(OR(AND($D468=Input!$C$6,$C468=12),$AN468=1),0,-AS469+AT469+AU469-AV469-AW469-AX469+AZ469))</f>
        <v>8003.4831879226958</v>
      </c>
      <c r="BA468" s="154">
        <f t="shared" si="299"/>
        <v>5.9612942814055714E-3</v>
      </c>
      <c r="BC468" s="147">
        <f t="shared" si="320"/>
        <v>4.1836924864699105E-3</v>
      </c>
      <c r="BD468" s="164">
        <f>IF(AND($C467=12,$D467=Input!$C$6),0,IF($E468="","",AT468+(AU468+BD469)/(1+$AK468)*MIN((1-AM468-AN468),1)))</f>
        <v>7363.5318637701885</v>
      </c>
      <c r="BE468" s="164">
        <f t="shared" si="300"/>
        <v>30.806752932337115</v>
      </c>
      <c r="BF468" s="164">
        <f t="shared" si="321"/>
        <v>8003.4831879226958</v>
      </c>
      <c r="BG468" s="164">
        <f t="shared" si="301"/>
        <v>33.484112478900428</v>
      </c>
      <c r="BH468" s="152"/>
      <c r="BI468" s="162">
        <f t="shared" si="302"/>
        <v>414.38379440538984</v>
      </c>
      <c r="BJ468" s="150">
        <f t="shared" si="303"/>
        <v>0</v>
      </c>
      <c r="BK468" s="163">
        <f t="shared" si="325"/>
        <v>0</v>
      </c>
      <c r="BL468" s="163">
        <f t="shared" si="304"/>
        <v>1299.8753737817003</v>
      </c>
      <c r="BM468" s="163">
        <f t="shared" si="326"/>
        <v>-0.88351876880837188</v>
      </c>
      <c r="BN468" s="163">
        <f t="shared" si="305"/>
        <v>-11.673452639036944</v>
      </c>
      <c r="BO468" s="163">
        <f t="shared" si="306"/>
        <v>0</v>
      </c>
      <c r="BP468" s="164">
        <f t="shared" si="327"/>
        <v>-898.04855078415574</v>
      </c>
      <c r="BQ468" s="164">
        <f>IF($E468="","",IF(AND($D468=Input!$C$6,$C468=12),0,-BJ469+BK469+BL469-BM469-BN469-BO469+BQ469))</f>
        <v>-898.04398748440099</v>
      </c>
      <c r="BR468" s="161">
        <f t="shared" si="307"/>
        <v>0</v>
      </c>
      <c r="BT468" s="147">
        <f t="shared" si="308"/>
        <v>4.1836924864699105E-3</v>
      </c>
      <c r="BU468" s="164">
        <f>IF(AND($C467=12,$D467=Input!$C$6),0,IF($E468="","",BK468+(BL468+BU469)/(1+$AK468)*MIN((1-T468-U468),1)))</f>
        <v>58378.500988454267</v>
      </c>
      <c r="BV468" s="164">
        <f t="shared" si="309"/>
        <v>244.23769595677237</v>
      </c>
      <c r="BW468" s="164">
        <f t="shared" si="310"/>
        <v>-898.04398748440099</v>
      </c>
      <c r="BX468" s="164">
        <f t="shared" si="311"/>
        <v>-3.7571398829579667</v>
      </c>
    </row>
    <row r="469" spans="1:76" s="150" customFormat="1" x14ac:dyDescent="0.25">
      <c r="A469" s="150">
        <f t="shared" si="322"/>
        <v>465</v>
      </c>
      <c r="B469" s="150">
        <f t="shared" si="323"/>
        <v>39</v>
      </c>
      <c r="C469" s="150">
        <f t="shared" si="324"/>
        <v>9</v>
      </c>
      <c r="D469" s="150">
        <f>IF(E469="","",Input!$C$4+B469-1)</f>
        <v>83</v>
      </c>
      <c r="E469" s="150">
        <f>IF(OR(AND(C468=12,D468=Input!$C$6),E468=""),"",1)</f>
        <v>1</v>
      </c>
      <c r="F469" s="150">
        <f>IF(E469="","",Input!$C$8+B469-1)</f>
        <v>2056</v>
      </c>
      <c r="G469" s="151">
        <f>IF(E469="","",MAX(0,Input!$C$9-B469))</f>
        <v>0</v>
      </c>
      <c r="H469" s="152">
        <f>IF(E469="","",Input!$C$3)</f>
        <v>100000</v>
      </c>
      <c r="I469" s="153">
        <f>IF(E469="","",HLOOKUP($B469,Input!$C$13:$BT$14,2))</f>
        <v>155.477</v>
      </c>
      <c r="J469" s="154"/>
      <c r="K469" s="155">
        <f>IF($E469="","",INDEX(Input!$C$16:$CP$16,1,$B469))</f>
        <v>3.0949999999999998E-2</v>
      </c>
      <c r="L469" s="155">
        <f>IF($E469="","",Input!$C$37)</f>
        <v>1.4999999999999999E-2</v>
      </c>
      <c r="M469" s="155">
        <f t="shared" si="287"/>
        <v>4.5949999999999998E-2</v>
      </c>
      <c r="N469" s="155">
        <f t="shared" si="288"/>
        <v>3.7508137075803472E-3</v>
      </c>
      <c r="O469" s="147">
        <f>IF($E469="","",MIN(VLOOKUP(IF($B469&lt;=Input!$C$7,$B469,26),'Mortality Tables'!$A$41:$CW$67,IF($B469&lt;=Input!$C$7+1,Input!$C$4+2,$D469-Input!$C$7+2),0)*IF(B469&gt;20,Input!$C$22,1)/1000,1))</f>
        <v>0.17579080000000002</v>
      </c>
      <c r="P469" s="147">
        <f>IF($E469="","",MIN(VLOOKUP(IF($B469&lt;=Input!$C$7,$B469,26),'Mortality Tables'!$A$12:$CW$37,IF($B469&lt;=Input!$C$7+1,Input!$C$4+2,$D469-Input!$C$7+2),0)*IF(B469&gt;20,Input!$C$22,1)/1000,1))</f>
        <v>0.2197385</v>
      </c>
      <c r="Q469" s="155">
        <f>IF($E469="","",Input!$C$21)</f>
        <v>5.0000000000000001E-3</v>
      </c>
      <c r="R469" s="159">
        <f>IF($E469="","",(1-Q469)^($F469-Input!$C$20))</f>
        <v>0.82656510797472249</v>
      </c>
      <c r="S469" s="147">
        <f t="shared" si="290"/>
        <v>0.14530254158296288</v>
      </c>
      <c r="T469" s="147">
        <f t="shared" si="291"/>
        <v>1.2998753737817004E-2</v>
      </c>
      <c r="U469" s="160">
        <f>IF($E469="","",IF($C469=12,INDEX(Input!$C$15:$CP$15,1,$B469),0))</f>
        <v>0</v>
      </c>
      <c r="V469" s="150">
        <f>IF(E469="","",IF(C469=1,IF($B469=1,Input!$C$33,Input!$C$34),0))</f>
        <v>0</v>
      </c>
      <c r="W469" s="156">
        <f>IF($E469="","",Input!$C$35)</f>
        <v>0.02</v>
      </c>
      <c r="X469" s="156">
        <f t="shared" si="289"/>
        <v>2.1222987924018204</v>
      </c>
      <c r="Y469" s="154"/>
      <c r="Z469" s="147">
        <f>IF($E469="","",VLOOKUP($D469,'Mortality Margins &amp; Grading'!$AB$5:$AF$125,3,0)*IF(Summary!$D$25="Included Margin",IF(AND($B469&gt;Input!$C$9,Summary!$D$31&lt;&gt;"Included Margin"),0,1),0))</f>
        <v>2.5000000000000001E-2</v>
      </c>
      <c r="AA469" s="147">
        <f>IF($E469="","",VLOOKUP($D469,'Mortality Margins &amp; Grading'!$AB$5:$AF$125,5,0)*IF(Summary!$D$25="Included Margin",IF(AND($B469&gt;Input!$C$9,Summary!$D$31&lt;&gt;"Included Margin"),0,1),0))</f>
        <v>0.13</v>
      </c>
      <c r="AB469" s="147">
        <f>IF($E469="","",IF(AND($B469&gt;Input!$C$9,Summary!$D$31&lt;&gt;"Included Margin"),1,IF(Summary!$D$25="Included Margin",VLOOKUP($B469,'Mortality Margins &amp; Grading'!$AI$5:$AR$125,MATCH('Mortality Margins &amp; Grading'!$AQ$4,'Mortality Margins &amp; Grading'!$AI$4:$AR$4,0),0),1)))</f>
        <v>0.375</v>
      </c>
      <c r="AC469" s="154"/>
      <c r="AD469" s="158">
        <f>IF(E469="","",Input!$C$48*IF(Summary!$D$30="Included Margin",IF(AND($B469&gt;Input!$C$9,Summary!$D$31&lt;&gt;"Included Margin"),0,1),0))</f>
        <v>-4.4999999999999997E-3</v>
      </c>
      <c r="AE469" s="159">
        <f>IF(E469="","",IF(Summary!$D$26="Included Margin",IF(AND($B469&gt;Input!$C$9,Summary!$D$31&lt;&gt;"Included Margin"),1,1/$R469),1))</f>
        <v>1.2098260504247917</v>
      </c>
      <c r="AF469" s="160">
        <f>IF(E469="","",IF(AND($B469&gt;=Input!$C$9,$C469=12,Summary!$D$31="Included Margin",$U469&gt;0),1/U469-1,IF($B469&gt;=Input!$C$9,0,Input!$C$45*IF(Summary!$D$27="Included Margin",1,0))))</f>
        <v>0</v>
      </c>
      <c r="AG469" s="160">
        <f>IF(E469="","",Input!$C$46*IF(Summary!$D$28="Included Margin",IF(AND($B469&gt;Input!$C$9,Summary!$D$31&lt;&gt;"Included Margin"),0,1),0))</f>
        <v>0.02</v>
      </c>
      <c r="AH469" s="158">
        <f>IF(E469="","",Input!$C$47*IF(Summary!$D$29="Included Margin",IF(AND($B469&gt;Input!$C$9,Summary!$D$31&lt;&gt;"Included Margin"),0,1),0))</f>
        <v>2.5000000000000001E-3</v>
      </c>
      <c r="AI469" s="154"/>
      <c r="AJ469" s="158">
        <f t="shared" si="312"/>
        <v>4.1450000000000001E-2</v>
      </c>
      <c r="AK469" s="155">
        <f t="shared" si="313"/>
        <v>3.3902316198579641E-3</v>
      </c>
      <c r="AL469" s="147">
        <f t="shared" si="314"/>
        <v>0.22275990437499998</v>
      </c>
      <c r="AM469" s="147">
        <f t="shared" si="292"/>
        <v>2.0781522834033006E-2</v>
      </c>
      <c r="AN469" s="160">
        <f t="shared" si="315"/>
        <v>0</v>
      </c>
      <c r="AO469" s="161">
        <f t="shared" si="316"/>
        <v>0</v>
      </c>
      <c r="AP469" s="156">
        <f t="shared" si="293"/>
        <v>2.3291959903842265</v>
      </c>
      <c r="AQ469" s="152"/>
      <c r="AR469" s="162">
        <f t="shared" si="294"/>
        <v>8003.4772266284144</v>
      </c>
      <c r="AS469" s="150">
        <f t="shared" si="317"/>
        <v>0</v>
      </c>
      <c r="AT469" s="163">
        <f t="shared" si="295"/>
        <v>0</v>
      </c>
      <c r="AU469" s="163">
        <f t="shared" si="296"/>
        <v>2078.1522834033008</v>
      </c>
      <c r="AV469" s="163">
        <f t="shared" si="318"/>
        <v>23.610932771491825</v>
      </c>
      <c r="AW469" s="163">
        <f t="shared" si="297"/>
        <v>126.25177477021934</v>
      </c>
      <c r="AX469" s="163">
        <f t="shared" si="298"/>
        <v>0</v>
      </c>
      <c r="AY469" s="164">
        <f t="shared" si="319"/>
        <v>6075.1876507668258</v>
      </c>
      <c r="AZ469" s="164">
        <f>IF($E469="","",IF(OR(AND($D469=Input!$C$6,$C469=12),$AN469=1),0,-AS470+AT470+AU470-AV470-AW470-AX470+AZ470))</f>
        <v>6075.1936120611063</v>
      </c>
      <c r="BA469" s="154">
        <f t="shared" si="299"/>
        <v>5.9612942804960767E-3</v>
      </c>
      <c r="BC469" s="147">
        <f t="shared" si="320"/>
        <v>4.1293096981235332E-3</v>
      </c>
      <c r="BD469" s="164">
        <f>IF(AND($C468=12,$D468=Input!$C$6),0,IF($E469="","",AT469+(AU469+BD470)/(1+$AK469)*MIN((1-AM469-AN469),1)))</f>
        <v>5467.1464569883219</v>
      </c>
      <c r="BE469" s="164">
        <f t="shared" si="300"/>
        <v>22.575540885903592</v>
      </c>
      <c r="BF469" s="164">
        <f t="shared" si="321"/>
        <v>6075.1936120611063</v>
      </c>
      <c r="BG469" s="164">
        <f t="shared" si="301"/>
        <v>25.086355900262063</v>
      </c>
      <c r="BH469" s="152"/>
      <c r="BI469" s="162">
        <f t="shared" si="302"/>
        <v>-898.04855078415608</v>
      </c>
      <c r="BJ469" s="150">
        <f t="shared" si="303"/>
        <v>0</v>
      </c>
      <c r="BK469" s="163">
        <f t="shared" si="325"/>
        <v>0</v>
      </c>
      <c r="BL469" s="163">
        <f t="shared" si="304"/>
        <v>1299.8753737817003</v>
      </c>
      <c r="BM469" s="163">
        <f t="shared" si="326"/>
        <v>-5.8062079994171425</v>
      </c>
      <c r="BN469" s="163">
        <f t="shared" si="305"/>
        <v>-29.022948136180712</v>
      </c>
      <c r="BO469" s="163">
        <f t="shared" si="306"/>
        <v>0</v>
      </c>
      <c r="BP469" s="164">
        <f t="shared" si="327"/>
        <v>-2232.7530807014541</v>
      </c>
      <c r="BQ469" s="164">
        <f>IF($E469="","",IF(AND($D469=Input!$C$6,$C469=12),0,-BJ470+BK470+BL470-BM470-BN470-BO470+BQ470))</f>
        <v>-2232.7485174016992</v>
      </c>
      <c r="BR469" s="161">
        <f t="shared" si="307"/>
        <v>0</v>
      </c>
      <c r="BT469" s="147">
        <f t="shared" si="308"/>
        <v>4.1293096981235332E-3</v>
      </c>
      <c r="BU469" s="164">
        <f>IF(AND($C468=12,$D468=Input!$C$6),0,IF($E469="","",BK469+(BL469+BU470)/(1+$AK469)*MIN((1-T469-U469),1)))</f>
        <v>58047.990548633992</v>
      </c>
      <c r="BV469" s="164">
        <f t="shared" si="309"/>
        <v>239.69813032905753</v>
      </c>
      <c r="BW469" s="164">
        <f t="shared" si="310"/>
        <v>-2232.7485174016992</v>
      </c>
      <c r="BX469" s="164">
        <f t="shared" si="311"/>
        <v>-9.2197101063777769</v>
      </c>
    </row>
    <row r="470" spans="1:76" s="150" customFormat="1" x14ac:dyDescent="0.25">
      <c r="A470" s="150">
        <f t="shared" si="322"/>
        <v>466</v>
      </c>
      <c r="B470" s="150">
        <f t="shared" si="323"/>
        <v>39</v>
      </c>
      <c r="C470" s="150">
        <f t="shared" si="324"/>
        <v>10</v>
      </c>
      <c r="D470" s="150">
        <f>IF(E470="","",Input!$C$4+B470-1)</f>
        <v>83</v>
      </c>
      <c r="E470" s="150">
        <f>IF(OR(AND(C469=12,D469=Input!$C$6),E469=""),"",1)</f>
        <v>1</v>
      </c>
      <c r="F470" s="150">
        <f>IF(E470="","",Input!$C$8+B470-1)</f>
        <v>2056</v>
      </c>
      <c r="G470" s="151">
        <f>IF(E470="","",MAX(0,Input!$C$9-B470))</f>
        <v>0</v>
      </c>
      <c r="H470" s="152">
        <f>IF(E470="","",Input!$C$3)</f>
        <v>100000</v>
      </c>
      <c r="I470" s="153">
        <f>IF(E470="","",HLOOKUP($B470,Input!$C$13:$BT$14,2))</f>
        <v>155.477</v>
      </c>
      <c r="J470" s="154"/>
      <c r="K470" s="155">
        <f>IF($E470="","",INDEX(Input!$C$16:$CP$16,1,$B470))</f>
        <v>3.0949999999999998E-2</v>
      </c>
      <c r="L470" s="155">
        <f>IF($E470="","",Input!$C$37)</f>
        <v>1.4999999999999999E-2</v>
      </c>
      <c r="M470" s="155">
        <f t="shared" si="287"/>
        <v>4.5949999999999998E-2</v>
      </c>
      <c r="N470" s="155">
        <f t="shared" si="288"/>
        <v>3.7508137075803472E-3</v>
      </c>
      <c r="O470" s="147">
        <f>IF($E470="","",MIN(VLOOKUP(IF($B470&lt;=Input!$C$7,$B470,26),'Mortality Tables'!$A$41:$CW$67,IF($B470&lt;=Input!$C$7+1,Input!$C$4+2,$D470-Input!$C$7+2),0)*IF(B470&gt;20,Input!$C$22,1)/1000,1))</f>
        <v>0.17579080000000002</v>
      </c>
      <c r="P470" s="147">
        <f>IF($E470="","",MIN(VLOOKUP(IF($B470&lt;=Input!$C$7,$B470,26),'Mortality Tables'!$A$12:$CW$37,IF($B470&lt;=Input!$C$7+1,Input!$C$4+2,$D470-Input!$C$7+2),0)*IF(B470&gt;20,Input!$C$22,1)/1000,1))</f>
        <v>0.2197385</v>
      </c>
      <c r="Q470" s="155">
        <f>IF($E470="","",Input!$C$21)</f>
        <v>5.0000000000000001E-3</v>
      </c>
      <c r="R470" s="159">
        <f>IF($E470="","",(1-Q470)^($F470-Input!$C$20))</f>
        <v>0.82656510797472249</v>
      </c>
      <c r="S470" s="147">
        <f t="shared" si="290"/>
        <v>0.14530254158296288</v>
      </c>
      <c r="T470" s="147">
        <f t="shared" si="291"/>
        <v>1.2998753737817004E-2</v>
      </c>
      <c r="U470" s="160">
        <f>IF($E470="","",IF($C470=12,INDEX(Input!$C$15:$CP$15,1,$B470),0))</f>
        <v>0</v>
      </c>
      <c r="V470" s="150">
        <f>IF(E470="","",IF(C470=1,IF($B470=1,Input!$C$33,Input!$C$34),0))</f>
        <v>0</v>
      </c>
      <c r="W470" s="156">
        <f>IF($E470="","",Input!$C$35)</f>
        <v>0.02</v>
      </c>
      <c r="X470" s="156">
        <f t="shared" si="289"/>
        <v>2.1222987924018204</v>
      </c>
      <c r="Y470" s="154"/>
      <c r="Z470" s="147">
        <f>IF($E470="","",VLOOKUP($D470,'Mortality Margins &amp; Grading'!$AB$5:$AF$125,3,0)*IF(Summary!$D$25="Included Margin",IF(AND($B470&gt;Input!$C$9,Summary!$D$31&lt;&gt;"Included Margin"),0,1),0))</f>
        <v>2.5000000000000001E-2</v>
      </c>
      <c r="AA470" s="147">
        <f>IF($E470="","",VLOOKUP($D470,'Mortality Margins &amp; Grading'!$AB$5:$AF$125,5,0)*IF(Summary!$D$25="Included Margin",IF(AND($B470&gt;Input!$C$9,Summary!$D$31&lt;&gt;"Included Margin"),0,1),0))</f>
        <v>0.13</v>
      </c>
      <c r="AB470" s="147">
        <f>IF($E470="","",IF(AND($B470&gt;Input!$C$9,Summary!$D$31&lt;&gt;"Included Margin"),1,IF(Summary!$D$25="Included Margin",VLOOKUP($B470,'Mortality Margins &amp; Grading'!$AI$5:$AR$125,MATCH('Mortality Margins &amp; Grading'!$AQ$4,'Mortality Margins &amp; Grading'!$AI$4:$AR$4,0),0),1)))</f>
        <v>0.375</v>
      </c>
      <c r="AC470" s="154"/>
      <c r="AD470" s="158">
        <f>IF(E470="","",Input!$C$48*IF(Summary!$D$30="Included Margin",IF(AND($B470&gt;Input!$C$9,Summary!$D$31&lt;&gt;"Included Margin"),0,1),0))</f>
        <v>-4.4999999999999997E-3</v>
      </c>
      <c r="AE470" s="159">
        <f>IF(E470="","",IF(Summary!$D$26="Included Margin",IF(AND($B470&gt;Input!$C$9,Summary!$D$31&lt;&gt;"Included Margin"),1,1/$R470),1))</f>
        <v>1.2098260504247917</v>
      </c>
      <c r="AF470" s="160">
        <f>IF(E470="","",IF(AND($B470&gt;=Input!$C$9,$C470=12,Summary!$D$31="Included Margin",$U470&gt;0),1/U470-1,IF($B470&gt;=Input!$C$9,0,Input!$C$45*IF(Summary!$D$27="Included Margin",1,0))))</f>
        <v>0</v>
      </c>
      <c r="AG470" s="160">
        <f>IF(E470="","",Input!$C$46*IF(Summary!$D$28="Included Margin",IF(AND($B470&gt;Input!$C$9,Summary!$D$31&lt;&gt;"Included Margin"),0,1),0))</f>
        <v>0.02</v>
      </c>
      <c r="AH470" s="158">
        <f>IF(E470="","",Input!$C$47*IF(Summary!$D$29="Included Margin",IF(AND($B470&gt;Input!$C$9,Summary!$D$31&lt;&gt;"Included Margin"),0,1),0))</f>
        <v>2.5000000000000001E-3</v>
      </c>
      <c r="AI470" s="154"/>
      <c r="AJ470" s="158">
        <f t="shared" si="312"/>
        <v>4.1450000000000001E-2</v>
      </c>
      <c r="AK470" s="155">
        <f t="shared" si="313"/>
        <v>3.3902316198579641E-3</v>
      </c>
      <c r="AL470" s="147">
        <f t="shared" si="314"/>
        <v>0.22275990437499998</v>
      </c>
      <c r="AM470" s="147">
        <f t="shared" si="292"/>
        <v>2.0781522834033006E-2</v>
      </c>
      <c r="AN470" s="160">
        <f t="shared" si="315"/>
        <v>0</v>
      </c>
      <c r="AO470" s="161">
        <f t="shared" si="316"/>
        <v>0</v>
      </c>
      <c r="AP470" s="156">
        <f t="shared" si="293"/>
        <v>2.3291959903842265</v>
      </c>
      <c r="AQ470" s="152"/>
      <c r="AR470" s="162">
        <f t="shared" si="294"/>
        <v>6075.1876507668248</v>
      </c>
      <c r="AS470" s="150">
        <f t="shared" si="317"/>
        <v>0</v>
      </c>
      <c r="AT470" s="163">
        <f t="shared" si="295"/>
        <v>0</v>
      </c>
      <c r="AU470" s="163">
        <f t="shared" si="296"/>
        <v>2078.1522834033008</v>
      </c>
      <c r="AV470" s="163">
        <f t="shared" si="318"/>
        <v>17.073584479163362</v>
      </c>
      <c r="AW470" s="163">
        <f t="shared" si="297"/>
        <v>85.189794382984914</v>
      </c>
      <c r="AX470" s="163">
        <f t="shared" si="298"/>
        <v>0</v>
      </c>
      <c r="AY470" s="165">
        <f t="shared" si="319"/>
        <v>4099.2987462256724</v>
      </c>
      <c r="AZ470" s="164">
        <f>IF($E470="","",IF(OR(AND($D470=Input!$C$6,$C470=12),$AN470=1),0,-AS471+AT471+AU471-AV471-AW471-AX471+AZ471))</f>
        <v>4099.3047075199538</v>
      </c>
      <c r="BA470" s="154">
        <f t="shared" si="299"/>
        <v>5.9612942814055714E-3</v>
      </c>
      <c r="BC470" s="147">
        <f t="shared" si="320"/>
        <v>4.0756338182504461E-3</v>
      </c>
      <c r="BD470" s="164">
        <f>IF(AND($C469=12,$D469=Input!$C$6),0,IF($E470="","",AT470+(AU470+BD471)/(1+$AK470)*MIN((1-AM470-AN470),1)))</f>
        <v>3523.9492676762279</v>
      </c>
      <c r="BE470" s="164">
        <f t="shared" si="300"/>
        <v>14.362326809140129</v>
      </c>
      <c r="BF470" s="164">
        <f t="shared" si="321"/>
        <v>4099.3047075199538</v>
      </c>
      <c r="BG470" s="164">
        <f t="shared" si="301"/>
        <v>16.707264897281579</v>
      </c>
      <c r="BH470" s="152"/>
      <c r="BI470" s="162">
        <f t="shared" si="302"/>
        <v>-2232.7530807014546</v>
      </c>
      <c r="BJ470" s="150">
        <f t="shared" si="303"/>
        <v>0</v>
      </c>
      <c r="BK470" s="163">
        <f t="shared" si="325"/>
        <v>0</v>
      </c>
      <c r="BL470" s="163">
        <f t="shared" si="304"/>
        <v>1299.8753737817003</v>
      </c>
      <c r="BM470" s="163">
        <f t="shared" si="326"/>
        <v>-10.81243604580053</v>
      </c>
      <c r="BN470" s="163">
        <f t="shared" si="305"/>
        <v>-46.666867319285899</v>
      </c>
      <c r="BO470" s="163">
        <f t="shared" si="306"/>
        <v>0</v>
      </c>
      <c r="BP470" s="164">
        <f t="shared" si="327"/>
        <v>-3590.1077578482414</v>
      </c>
      <c r="BQ470" s="164">
        <f>IF($E470="","",IF(AND($D470=Input!$C$6,$C470=12),0,-BJ471+BK471+BL471-BM471-BN471-BO471+BQ471))</f>
        <v>-3590.103194548486</v>
      </c>
      <c r="BR470" s="161">
        <f t="shared" si="307"/>
        <v>0</v>
      </c>
      <c r="BT470" s="147">
        <f t="shared" si="308"/>
        <v>4.0756338182504461E-3</v>
      </c>
      <c r="BU470" s="164">
        <f>IF(AND($C469=12,$D469=Input!$C$6),0,IF($E470="","",BK470+(BL470+BU471)/(1+$AK470)*MIN((1-T470-U470),1)))</f>
        <v>57711.992039999939</v>
      </c>
      <c r="BV470" s="164">
        <f t="shared" si="309"/>
        <v>235.2129464768243</v>
      </c>
      <c r="BW470" s="164">
        <f t="shared" si="310"/>
        <v>-3590.103194548486</v>
      </c>
      <c r="BX470" s="164">
        <f t="shared" si="311"/>
        <v>-14.63194599071077</v>
      </c>
    </row>
    <row r="471" spans="1:76" s="150" customFormat="1" x14ac:dyDescent="0.25">
      <c r="A471" s="150">
        <f t="shared" si="322"/>
        <v>467</v>
      </c>
      <c r="B471" s="150">
        <f t="shared" si="323"/>
        <v>39</v>
      </c>
      <c r="C471" s="150">
        <f t="shared" si="324"/>
        <v>11</v>
      </c>
      <c r="D471" s="150">
        <f>IF(E471="","",Input!$C$4+B471-1)</f>
        <v>83</v>
      </c>
      <c r="E471" s="150">
        <f>IF(OR(AND(C470=12,D470=Input!$C$6),E470=""),"",1)</f>
        <v>1</v>
      </c>
      <c r="F471" s="150">
        <f>IF(E471="","",Input!$C$8+B471-1)</f>
        <v>2056</v>
      </c>
      <c r="G471" s="151">
        <f>IF(E471="","",MAX(0,Input!$C$9-B471))</f>
        <v>0</v>
      </c>
      <c r="H471" s="152">
        <f>IF(E471="","",Input!$C$3)</f>
        <v>100000</v>
      </c>
      <c r="I471" s="153">
        <f>IF(E471="","",HLOOKUP($B471,Input!$C$13:$BT$14,2))</f>
        <v>155.477</v>
      </c>
      <c r="J471" s="154"/>
      <c r="K471" s="155">
        <f>IF($E471="","",INDEX(Input!$C$16:$CP$16,1,$B471))</f>
        <v>3.0949999999999998E-2</v>
      </c>
      <c r="L471" s="155">
        <f>IF($E471="","",Input!$C$37)</f>
        <v>1.4999999999999999E-2</v>
      </c>
      <c r="M471" s="155">
        <f t="shared" si="287"/>
        <v>4.5949999999999998E-2</v>
      </c>
      <c r="N471" s="155">
        <f t="shared" si="288"/>
        <v>3.7508137075803472E-3</v>
      </c>
      <c r="O471" s="147">
        <f>IF($E471="","",MIN(VLOOKUP(IF($B471&lt;=Input!$C$7,$B471,26),'Mortality Tables'!$A$41:$CW$67,IF($B471&lt;=Input!$C$7+1,Input!$C$4+2,$D471-Input!$C$7+2),0)*IF(B471&gt;20,Input!$C$22,1)/1000,1))</f>
        <v>0.17579080000000002</v>
      </c>
      <c r="P471" s="147">
        <f>IF($E471="","",MIN(VLOOKUP(IF($B471&lt;=Input!$C$7,$B471,26),'Mortality Tables'!$A$12:$CW$37,IF($B471&lt;=Input!$C$7+1,Input!$C$4+2,$D471-Input!$C$7+2),0)*IF(B471&gt;20,Input!$C$22,1)/1000,1))</f>
        <v>0.2197385</v>
      </c>
      <c r="Q471" s="155">
        <f>IF($E471="","",Input!$C$21)</f>
        <v>5.0000000000000001E-3</v>
      </c>
      <c r="R471" s="159">
        <f>IF($E471="","",(1-Q471)^($F471-Input!$C$20))</f>
        <v>0.82656510797472249</v>
      </c>
      <c r="S471" s="147">
        <f t="shared" si="290"/>
        <v>0.14530254158296288</v>
      </c>
      <c r="T471" s="147">
        <f t="shared" si="291"/>
        <v>1.2998753737817004E-2</v>
      </c>
      <c r="U471" s="160">
        <f>IF($E471="","",IF($C471=12,INDEX(Input!$C$15:$CP$15,1,$B471),0))</f>
        <v>0</v>
      </c>
      <c r="V471" s="150">
        <f>IF(E471="","",IF(C471=1,IF($B471=1,Input!$C$33,Input!$C$34),0))</f>
        <v>0</v>
      </c>
      <c r="W471" s="156">
        <f>IF($E471="","",Input!$C$35)</f>
        <v>0.02</v>
      </c>
      <c r="X471" s="156">
        <f t="shared" si="289"/>
        <v>2.1222987924018204</v>
      </c>
      <c r="Y471" s="154"/>
      <c r="Z471" s="147">
        <f>IF($E471="","",VLOOKUP($D471,'Mortality Margins &amp; Grading'!$AB$5:$AF$125,3,0)*IF(Summary!$D$25="Included Margin",IF(AND($B471&gt;Input!$C$9,Summary!$D$31&lt;&gt;"Included Margin"),0,1),0))</f>
        <v>2.5000000000000001E-2</v>
      </c>
      <c r="AA471" s="147">
        <f>IF($E471="","",VLOOKUP($D471,'Mortality Margins &amp; Grading'!$AB$5:$AF$125,5,0)*IF(Summary!$D$25="Included Margin",IF(AND($B471&gt;Input!$C$9,Summary!$D$31&lt;&gt;"Included Margin"),0,1),0))</f>
        <v>0.13</v>
      </c>
      <c r="AB471" s="147">
        <f>IF($E471="","",IF(AND($B471&gt;Input!$C$9,Summary!$D$31&lt;&gt;"Included Margin"),1,IF(Summary!$D$25="Included Margin",VLOOKUP($B471,'Mortality Margins &amp; Grading'!$AI$5:$AR$125,MATCH('Mortality Margins &amp; Grading'!$AQ$4,'Mortality Margins &amp; Grading'!$AI$4:$AR$4,0),0),1)))</f>
        <v>0.375</v>
      </c>
      <c r="AC471" s="154"/>
      <c r="AD471" s="158">
        <f>IF(E471="","",Input!$C$48*IF(Summary!$D$30="Included Margin",IF(AND($B471&gt;Input!$C$9,Summary!$D$31&lt;&gt;"Included Margin"),0,1),0))</f>
        <v>-4.4999999999999997E-3</v>
      </c>
      <c r="AE471" s="159">
        <f>IF(E471="","",IF(Summary!$D$26="Included Margin",IF(AND($B471&gt;Input!$C$9,Summary!$D$31&lt;&gt;"Included Margin"),1,1/$R471),1))</f>
        <v>1.2098260504247917</v>
      </c>
      <c r="AF471" s="160">
        <f>IF(E471="","",IF(AND($B471&gt;=Input!$C$9,$C471=12,Summary!$D$31="Included Margin",$U471&gt;0),1/U471-1,IF($B471&gt;=Input!$C$9,0,Input!$C$45*IF(Summary!$D$27="Included Margin",1,0))))</f>
        <v>0</v>
      </c>
      <c r="AG471" s="160">
        <f>IF(E471="","",Input!$C$46*IF(Summary!$D$28="Included Margin",IF(AND($B471&gt;Input!$C$9,Summary!$D$31&lt;&gt;"Included Margin"),0,1),0))</f>
        <v>0.02</v>
      </c>
      <c r="AH471" s="158">
        <f>IF(E471="","",Input!$C$47*IF(Summary!$D$29="Included Margin",IF(AND($B471&gt;Input!$C$9,Summary!$D$31&lt;&gt;"Included Margin"),0,1),0))</f>
        <v>2.5000000000000001E-3</v>
      </c>
      <c r="AI471" s="154"/>
      <c r="AJ471" s="158">
        <f t="shared" si="312"/>
        <v>4.1450000000000001E-2</v>
      </c>
      <c r="AK471" s="155">
        <f t="shared" si="313"/>
        <v>3.3902316198579641E-3</v>
      </c>
      <c r="AL471" s="147">
        <f t="shared" si="314"/>
        <v>0.22275990437499998</v>
      </c>
      <c r="AM471" s="147">
        <f t="shared" si="292"/>
        <v>2.0781522834033006E-2</v>
      </c>
      <c r="AN471" s="160">
        <f t="shared" si="315"/>
        <v>0</v>
      </c>
      <c r="AO471" s="161">
        <f t="shared" si="316"/>
        <v>0</v>
      </c>
      <c r="AP471" s="156">
        <f t="shared" si="293"/>
        <v>2.3291959903842265</v>
      </c>
      <c r="AQ471" s="152"/>
      <c r="AR471" s="162">
        <f t="shared" si="294"/>
        <v>4099.2987462256733</v>
      </c>
      <c r="AS471" s="150">
        <f t="shared" si="317"/>
        <v>0</v>
      </c>
      <c r="AT471" s="163">
        <f t="shared" si="295"/>
        <v>0</v>
      </c>
      <c r="AU471" s="163">
        <f t="shared" si="296"/>
        <v>2078.1522834033008</v>
      </c>
      <c r="AV471" s="163">
        <f t="shared" si="318"/>
        <v>10.374863437661437</v>
      </c>
      <c r="AW471" s="163">
        <f t="shared" si="297"/>
        <v>43.114209646511398</v>
      </c>
      <c r="AX471" s="163">
        <f t="shared" si="298"/>
        <v>0</v>
      </c>
      <c r="AY471" s="164">
        <f t="shared" si="319"/>
        <v>2074.6355359065451</v>
      </c>
      <c r="AZ471" s="164">
        <f>IF($E471="","",IF(OR(AND($D471=Input!$C$6,$C471=12),$AN471=1),0,-AS472+AT472+AU472-AV472-AW472-AX472+AZ472))</f>
        <v>2074.6414972008265</v>
      </c>
      <c r="BA471" s="154">
        <f t="shared" si="299"/>
        <v>5.9612942814055714E-3</v>
      </c>
      <c r="BC471" s="147">
        <f t="shared" si="320"/>
        <v>4.0226556579214898E-3</v>
      </c>
      <c r="BD471" s="164">
        <f>IF(AND($C470=12,$D470=Input!$C$6),0,IF($E471="","",AT471+(AU471+BD472)/(1+$AK471)*MIN((1-AM471-AN471),1)))</f>
        <v>1532.7847591081866</v>
      </c>
      <c r="BE471" s="164">
        <f t="shared" si="300"/>
        <v>6.1658652836023746</v>
      </c>
      <c r="BF471" s="164">
        <f t="shared" si="321"/>
        <v>2074.6414972008265</v>
      </c>
      <c r="BG471" s="164">
        <f t="shared" si="301"/>
        <v>8.3455683568736152</v>
      </c>
      <c r="BH471" s="152"/>
      <c r="BI471" s="162">
        <f t="shared" si="302"/>
        <v>-3590.1077578482409</v>
      </c>
      <c r="BJ471" s="150">
        <f t="shared" si="303"/>
        <v>0</v>
      </c>
      <c r="BK471" s="163">
        <f t="shared" si="325"/>
        <v>0</v>
      </c>
      <c r="BL471" s="163">
        <f t="shared" si="304"/>
        <v>1299.8753737817003</v>
      </c>
      <c r="BM471" s="163">
        <f t="shared" si="326"/>
        <v>-15.903620574890992</v>
      </c>
      <c r="BN471" s="163">
        <f t="shared" si="305"/>
        <v>-64.61020660492666</v>
      </c>
      <c r="BO471" s="163">
        <f t="shared" si="306"/>
        <v>0</v>
      </c>
      <c r="BP471" s="164">
        <f t="shared" si="327"/>
        <v>-4970.4969588097592</v>
      </c>
      <c r="BQ471" s="164">
        <f>IF($E471="","",IF(AND($D471=Input!$C$6,$C471=12),0,-BJ472+BK472+BL472-BM472-BN472-BO472+BQ472))</f>
        <v>-4970.4923955100039</v>
      </c>
      <c r="BR471" s="161">
        <f t="shared" si="307"/>
        <v>0</v>
      </c>
      <c r="BT471" s="147">
        <f t="shared" si="308"/>
        <v>4.0226556579214898E-3</v>
      </c>
      <c r="BU471" s="164">
        <f>IF(AND($C470=12,$D470=Input!$C$6),0,IF($E471="","",BK471+(BL471+BU472)/(1+$AK471)*MIN((1-T471-U471),1)))</f>
        <v>57370.414334116584</v>
      </c>
      <c r="BV471" s="164">
        <f t="shared" si="309"/>
        <v>230.78142181843421</v>
      </c>
      <c r="BW471" s="164">
        <f t="shared" si="310"/>
        <v>-4970.4923955100039</v>
      </c>
      <c r="BX471" s="164">
        <f t="shared" si="311"/>
        <v>-19.994579357454057</v>
      </c>
    </row>
    <row r="472" spans="1:76" s="150" customFormat="1" x14ac:dyDescent="0.25">
      <c r="A472" s="150">
        <f t="shared" si="322"/>
        <v>468</v>
      </c>
      <c r="B472" s="150">
        <f t="shared" si="323"/>
        <v>39</v>
      </c>
      <c r="C472" s="150">
        <f t="shared" si="324"/>
        <v>12</v>
      </c>
      <c r="D472" s="150">
        <f>IF(E472="","",Input!$C$4+B472-1)</f>
        <v>83</v>
      </c>
      <c r="E472" s="150">
        <f>IF(OR(AND(C471=12,D471=Input!$C$6),E471=""),"",1)</f>
        <v>1</v>
      </c>
      <c r="F472" s="150">
        <f>IF(E472="","",Input!$C$8+B472-1)</f>
        <v>2056</v>
      </c>
      <c r="G472" s="151">
        <f>IF(E472="","",MAX(0,Input!$C$9-B472))</f>
        <v>0</v>
      </c>
      <c r="H472" s="152">
        <f>IF(E472="","",Input!$C$3)</f>
        <v>100000</v>
      </c>
      <c r="I472" s="153">
        <f>IF(E472="","",HLOOKUP($B472,Input!$C$13:$BT$14,2))</f>
        <v>155.477</v>
      </c>
      <c r="J472" s="154"/>
      <c r="K472" s="155">
        <f>IF($E472="","",INDEX(Input!$C$16:$CP$16,1,$B472))</f>
        <v>3.0949999999999998E-2</v>
      </c>
      <c r="L472" s="155">
        <f>IF($E472="","",Input!$C$37)</f>
        <v>1.4999999999999999E-2</v>
      </c>
      <c r="M472" s="155">
        <f t="shared" si="287"/>
        <v>4.5949999999999998E-2</v>
      </c>
      <c r="N472" s="155">
        <f t="shared" si="288"/>
        <v>3.7508137075803472E-3</v>
      </c>
      <c r="O472" s="147">
        <f>IF($E472="","",MIN(VLOOKUP(IF($B472&lt;=Input!$C$7,$B472,26),'Mortality Tables'!$A$41:$CW$67,IF($B472&lt;=Input!$C$7+1,Input!$C$4+2,$D472-Input!$C$7+2),0)*IF(B472&gt;20,Input!$C$22,1)/1000,1))</f>
        <v>0.17579080000000002</v>
      </c>
      <c r="P472" s="147">
        <f>IF($E472="","",MIN(VLOOKUP(IF($B472&lt;=Input!$C$7,$B472,26),'Mortality Tables'!$A$12:$CW$37,IF($B472&lt;=Input!$C$7+1,Input!$C$4+2,$D472-Input!$C$7+2),0)*IF(B472&gt;20,Input!$C$22,1)/1000,1))</f>
        <v>0.2197385</v>
      </c>
      <c r="Q472" s="155">
        <f>IF($E472="","",Input!$C$21)</f>
        <v>5.0000000000000001E-3</v>
      </c>
      <c r="R472" s="159">
        <f>IF($E472="","",(1-Q472)^($F472-Input!$C$20))</f>
        <v>0.82656510797472249</v>
      </c>
      <c r="S472" s="147">
        <f t="shared" si="290"/>
        <v>0.14530254158296288</v>
      </c>
      <c r="T472" s="147">
        <f t="shared" si="291"/>
        <v>1.2998753737817004E-2</v>
      </c>
      <c r="U472" s="160">
        <f>IF($E472="","",IF($C472=12,INDEX(Input!$C$15:$CP$15,1,$B472),0))</f>
        <v>0.1</v>
      </c>
      <c r="V472" s="150">
        <f>IF(E472="","",IF(C472=1,IF($B472=1,Input!$C$33,Input!$C$34),0))</f>
        <v>0</v>
      </c>
      <c r="W472" s="156">
        <f>IF($E472="","",Input!$C$35)</f>
        <v>0.02</v>
      </c>
      <c r="X472" s="156">
        <f t="shared" si="289"/>
        <v>2.1222987924018204</v>
      </c>
      <c r="Y472" s="154"/>
      <c r="Z472" s="147">
        <f>IF($E472="","",VLOOKUP($D472,'Mortality Margins &amp; Grading'!$AB$5:$AF$125,3,0)*IF(Summary!$D$25="Included Margin",IF(AND($B472&gt;Input!$C$9,Summary!$D$31&lt;&gt;"Included Margin"),0,1),0))</f>
        <v>2.5000000000000001E-2</v>
      </c>
      <c r="AA472" s="147">
        <f>IF($E472="","",VLOOKUP($D472,'Mortality Margins &amp; Grading'!$AB$5:$AF$125,5,0)*IF(Summary!$D$25="Included Margin",IF(AND($B472&gt;Input!$C$9,Summary!$D$31&lt;&gt;"Included Margin"),0,1),0))</f>
        <v>0.13</v>
      </c>
      <c r="AB472" s="147">
        <f>IF($E472="","",IF(AND($B472&gt;Input!$C$9,Summary!$D$31&lt;&gt;"Included Margin"),1,IF(Summary!$D$25="Included Margin",VLOOKUP($B472,'Mortality Margins &amp; Grading'!$AI$5:$AR$125,MATCH('Mortality Margins &amp; Grading'!$AQ$4,'Mortality Margins &amp; Grading'!$AI$4:$AR$4,0),0),1)))</f>
        <v>0.375</v>
      </c>
      <c r="AC472" s="154"/>
      <c r="AD472" s="158">
        <f>IF(E472="","",Input!$C$48*IF(Summary!$D$30="Included Margin",IF(AND($B472&gt;Input!$C$9,Summary!$D$31&lt;&gt;"Included Margin"),0,1),0))</f>
        <v>-4.4999999999999997E-3</v>
      </c>
      <c r="AE472" s="159">
        <f>IF(E472="","",IF(Summary!$D$26="Included Margin",IF(AND($B472&gt;Input!$C$9,Summary!$D$31&lt;&gt;"Included Margin"),1,1/$R472),1))</f>
        <v>1.2098260504247917</v>
      </c>
      <c r="AF472" s="160">
        <f>IF(E472="","",IF(AND($B472&gt;=Input!$C$9,$C472=12,Summary!$D$31="Included Margin",$U472&gt;0),1/U472-1,IF($B472&gt;=Input!$C$9,0,Input!$C$45*IF(Summary!$D$27="Included Margin",1,0))))</f>
        <v>9</v>
      </c>
      <c r="AG472" s="160">
        <f>IF(E472="","",Input!$C$46*IF(Summary!$D$28="Included Margin",IF(AND($B472&gt;Input!$C$9,Summary!$D$31&lt;&gt;"Included Margin"),0,1),0))</f>
        <v>0.02</v>
      </c>
      <c r="AH472" s="158">
        <f>IF(E472="","",Input!$C$47*IF(Summary!$D$29="Included Margin",IF(AND($B472&gt;Input!$C$9,Summary!$D$31&lt;&gt;"Included Margin"),0,1),0))</f>
        <v>2.5000000000000001E-3</v>
      </c>
      <c r="AI472" s="154"/>
      <c r="AJ472" s="158">
        <f t="shared" si="312"/>
        <v>4.1450000000000001E-2</v>
      </c>
      <c r="AK472" s="155">
        <f t="shared" si="313"/>
        <v>3.3902316198579641E-3</v>
      </c>
      <c r="AL472" s="147">
        <f t="shared" si="314"/>
        <v>0.22275990437499998</v>
      </c>
      <c r="AM472" s="147">
        <f t="shared" si="292"/>
        <v>2.0781522834033006E-2</v>
      </c>
      <c r="AN472" s="160">
        <f t="shared" si="315"/>
        <v>1</v>
      </c>
      <c r="AO472" s="161">
        <f t="shared" si="316"/>
        <v>0</v>
      </c>
      <c r="AP472" s="156">
        <f t="shared" si="293"/>
        <v>2.3291959903842265</v>
      </c>
      <c r="AQ472" s="152"/>
      <c r="AR472" s="162">
        <f t="shared" si="294"/>
        <v>2074.6355359065451</v>
      </c>
      <c r="AS472" s="150">
        <f t="shared" si="317"/>
        <v>0</v>
      </c>
      <c r="AT472" s="163">
        <f t="shared" si="295"/>
        <v>0</v>
      </c>
      <c r="AU472" s="163">
        <f t="shared" si="296"/>
        <v>2078.1522834033008</v>
      </c>
      <c r="AV472" s="163">
        <f t="shared" si="318"/>
        <v>3.5107862024743923</v>
      </c>
      <c r="AW472" s="163">
        <f t="shared" si="297"/>
        <v>0</v>
      </c>
      <c r="AX472" s="163">
        <f t="shared" si="298"/>
        <v>0</v>
      </c>
      <c r="AY472" s="165">
        <f t="shared" si="319"/>
        <v>-5.9612942812776737E-3</v>
      </c>
      <c r="AZ472" s="164">
        <f>IF($E472="","",IF(OR(AND($D472=Input!$C$6,$C472=12),$AN472=1),0,-AS473+AT473+AU473-AV473-AW473-AX473+AZ473))</f>
        <v>0</v>
      </c>
      <c r="BA472" s="154">
        <f t="shared" si="299"/>
        <v>5.9612942812776737E-3</v>
      </c>
      <c r="BC472" s="147">
        <f t="shared" si="320"/>
        <v>3.5681005818599832E-3</v>
      </c>
      <c r="BD472" s="164">
        <f>IF(AND($C471=12,$D471=Input!$C$6),0,IF($E472="","",AT472+(AU472+BD473)/(1+$AK472)*MIN((1-AM472-AN472),1)))</f>
        <v>-507.53112956626973</v>
      </c>
      <c r="BE472" s="164">
        <f t="shared" si="300"/>
        <v>-1.8109221187174616</v>
      </c>
      <c r="BF472" s="164">
        <f t="shared" si="321"/>
        <v>0</v>
      </c>
      <c r="BG472" s="164">
        <f t="shared" si="301"/>
        <v>0</v>
      </c>
      <c r="BH472" s="152"/>
      <c r="BI472" s="162">
        <f t="shared" si="302"/>
        <v>-4970.4969588097601</v>
      </c>
      <c r="BJ472" s="150">
        <f t="shared" si="303"/>
        <v>0</v>
      </c>
      <c r="BK472" s="163">
        <f t="shared" si="325"/>
        <v>0</v>
      </c>
      <c r="BL472" s="163">
        <f t="shared" si="304"/>
        <v>1299.8753737817003</v>
      </c>
      <c r="BM472" s="163">
        <f t="shared" si="326"/>
        <v>-21.08120331165334</v>
      </c>
      <c r="BN472" s="163">
        <f t="shared" si="305"/>
        <v>-92.064496888508458</v>
      </c>
      <c r="BO472" s="163">
        <f t="shared" si="306"/>
        <v>-699.0498858448176</v>
      </c>
      <c r="BP472" s="164">
        <f t="shared" si="327"/>
        <v>-7082.5679186364396</v>
      </c>
      <c r="BQ472" s="164">
        <f>IF($E472="","",IF(AND($D472=Input!$C$6,$C472=12),0,-BJ473+BK473+BL473-BM473-BN473-BO473+BQ473))</f>
        <v>-7082.5633553366843</v>
      </c>
      <c r="BR472" s="161">
        <f t="shared" si="307"/>
        <v>0</v>
      </c>
      <c r="BT472" s="147">
        <f t="shared" si="308"/>
        <v>3.5681005818599832E-3</v>
      </c>
      <c r="BU472" s="164">
        <f>IF(AND($C471=12,$D471=Input!$C$6),0,IF($E472="","",BK472+(BL472+BU473)/(1+$AK472)*MIN((1-T472-U472),1)))</f>
        <v>57023.164789376453</v>
      </c>
      <c r="BV472" s="164">
        <f t="shared" si="309"/>
        <v>203.46438746447183</v>
      </c>
      <c r="BW472" s="164">
        <f t="shared" si="310"/>
        <v>-7082.5633553366843</v>
      </c>
      <c r="BX472" s="164">
        <f t="shared" si="311"/>
        <v>-25.271298429237017</v>
      </c>
    </row>
    <row r="473" spans="1:76" s="150" customFormat="1" x14ac:dyDescent="0.25">
      <c r="A473" s="150">
        <f t="shared" si="322"/>
        <v>469</v>
      </c>
      <c r="B473" s="150">
        <f t="shared" si="323"/>
        <v>40</v>
      </c>
      <c r="C473" s="150">
        <f t="shared" si="324"/>
        <v>1</v>
      </c>
      <c r="D473" s="150">
        <f>IF(E473="","",Input!$C$4+B473-1)</f>
        <v>84</v>
      </c>
      <c r="E473" s="150">
        <f>IF(OR(AND(C472=12,D472=Input!$C$6),E472=""),"",1)</f>
        <v>1</v>
      </c>
      <c r="F473" s="150">
        <f>IF(E473="","",Input!$C$8+B473-1)</f>
        <v>2057</v>
      </c>
      <c r="G473" s="151">
        <f>IF(E473="","",MAX(0,Input!$C$9-B473))</f>
        <v>0</v>
      </c>
      <c r="H473" s="152">
        <f>IF(E473="","",Input!$C$3)</f>
        <v>100000</v>
      </c>
      <c r="I473" s="153">
        <f>IF(E473="","",HLOOKUP($B473,Input!$C$13:$BT$14,2))</f>
        <v>176.8655</v>
      </c>
      <c r="J473" s="154"/>
      <c r="K473" s="155">
        <f>IF($E473="","",INDEX(Input!$C$16:$CP$16,1,$B473))</f>
        <v>3.1150000000000001E-2</v>
      </c>
      <c r="L473" s="155">
        <f>IF($E473="","",Input!$C$37)</f>
        <v>1.4999999999999999E-2</v>
      </c>
      <c r="M473" s="155">
        <f t="shared" si="287"/>
        <v>4.6149999999999997E-2</v>
      </c>
      <c r="N473" s="155">
        <f t="shared" si="288"/>
        <v>3.766806550707047E-3</v>
      </c>
      <c r="O473" s="147">
        <f>IF($E473="","",MIN(VLOOKUP(IF($B473&lt;=Input!$C$7,$B473,26),'Mortality Tables'!$A$41:$CW$67,IF($B473&lt;=Input!$C$7+1,Input!$C$4+2,$D473-Input!$C$7+2),0)*IF(B473&gt;20,Input!$C$22,1)/1000,1))</f>
        <v>0.19977520000000001</v>
      </c>
      <c r="P473" s="147">
        <f>IF($E473="","",MIN(VLOOKUP(IF($B473&lt;=Input!$C$7,$B473,26),'Mortality Tables'!$A$12:$CW$37,IF($B473&lt;=Input!$C$7+1,Input!$C$4+2,$D473-Input!$C$7+2),0)*IF(B473&gt;20,Input!$C$22,1)/1000,1))</f>
        <v>0.249719</v>
      </c>
      <c r="Q473" s="155">
        <f>IF($E473="","",Input!$C$21)</f>
        <v>5.0000000000000001E-3</v>
      </c>
      <c r="R473" s="159">
        <f>IF($E473="","",(1-Q473)^($F473-Input!$C$20))</f>
        <v>0.82243228243484889</v>
      </c>
      <c r="S473" s="147">
        <f t="shared" si="290"/>
        <v>0.16430157370987844</v>
      </c>
      <c r="T473" s="147">
        <f t="shared" si="291"/>
        <v>1.4845984142645707E-2</v>
      </c>
      <c r="U473" s="160">
        <f>IF($E473="","",IF($C473=12,INDEX(Input!$C$15:$CP$15,1,$B473),0))</f>
        <v>0</v>
      </c>
      <c r="V473" s="150">
        <f>IF(E473="","",IF(C473=1,IF($B473=1,Input!$C$33,Input!$C$34),0))</f>
        <v>50</v>
      </c>
      <c r="W473" s="156">
        <f>IF($E473="","",Input!$C$35)</f>
        <v>0.02</v>
      </c>
      <c r="X473" s="156">
        <f t="shared" si="289"/>
        <v>2.1647447682498568</v>
      </c>
      <c r="Y473" s="154"/>
      <c r="Z473" s="147">
        <f>IF($E473="","",VLOOKUP($D473,'Mortality Margins &amp; Grading'!$AB$5:$AF$125,3,0)*IF(Summary!$D$25="Included Margin",IF(AND($B473&gt;Input!$C$9,Summary!$D$31&lt;&gt;"Included Margin"),0,1),0))</f>
        <v>2.4E-2</v>
      </c>
      <c r="AA473" s="147">
        <f>IF($E473="","",VLOOKUP($D473,'Mortality Margins &amp; Grading'!$AB$5:$AF$125,5,0)*IF(Summary!$D$25="Included Margin",IF(AND($B473&gt;Input!$C$9,Summary!$D$31&lt;&gt;"Included Margin"),0,1),0))</f>
        <v>0.125</v>
      </c>
      <c r="AB473" s="147">
        <f>IF($E473="","",IF(AND($B473&gt;Input!$C$9,Summary!$D$31&lt;&gt;"Included Margin"),1,IF(Summary!$D$25="Included Margin",VLOOKUP($B473,'Mortality Margins &amp; Grading'!$AI$5:$AR$125,MATCH('Mortality Margins &amp; Grading'!$AQ$4,'Mortality Margins &amp; Grading'!$AI$4:$AR$4,0),0),1)))</f>
        <v>0.3125</v>
      </c>
      <c r="AC473" s="154"/>
      <c r="AD473" s="158">
        <f>IF(E473="","",Input!$C$48*IF(Summary!$D$30="Included Margin",IF(AND($B473&gt;Input!$C$9,Summary!$D$31&lt;&gt;"Included Margin"),0,1),0))</f>
        <v>-4.4999999999999997E-3</v>
      </c>
      <c r="AE473" s="159">
        <f>IF(E473="","",IF(Summary!$D$26="Included Margin",IF(AND($B473&gt;Input!$C$9,Summary!$D$31&lt;&gt;"Included Margin"),1,1/$R473),1))</f>
        <v>1.2159055783163735</v>
      </c>
      <c r="AF473" s="160">
        <f>IF(E473="","",IF(AND($B473&gt;=Input!$C$9,$C473=12,Summary!$D$31="Included Margin",$U473&gt;0),1/U473-1,IF($B473&gt;=Input!$C$9,0,Input!$C$45*IF(Summary!$D$27="Included Margin",1,0))))</f>
        <v>0</v>
      </c>
      <c r="AG473" s="160">
        <f>IF(E473="","",Input!$C$46*IF(Summary!$D$28="Included Margin",IF(AND($B473&gt;Input!$C$9,Summary!$D$31&lt;&gt;"Included Margin"),0,1),0))</f>
        <v>0.02</v>
      </c>
      <c r="AH473" s="158">
        <f>IF(E473="","",Input!$C$47*IF(Summary!$D$29="Included Margin",IF(AND($B473&gt;Input!$C$9,Summary!$D$31&lt;&gt;"Included Margin"),0,1),0))</f>
        <v>2.5000000000000001E-3</v>
      </c>
      <c r="AI473" s="154"/>
      <c r="AJ473" s="158">
        <f t="shared" si="312"/>
        <v>4.165E-2</v>
      </c>
      <c r="AK473" s="155">
        <f t="shared" si="313"/>
        <v>3.4062877903533462E-3</v>
      </c>
      <c r="AL473" s="147">
        <f t="shared" si="314"/>
        <v>0.2570701030625</v>
      </c>
      <c r="AM473" s="147">
        <f t="shared" si="292"/>
        <v>2.445871621445217E-2</v>
      </c>
      <c r="AN473" s="160">
        <f t="shared" si="315"/>
        <v>0</v>
      </c>
      <c r="AO473" s="161">
        <f t="shared" si="316"/>
        <v>51</v>
      </c>
      <c r="AP473" s="156">
        <f t="shared" si="293"/>
        <v>2.3816029001678714</v>
      </c>
      <c r="AQ473" s="152"/>
      <c r="AR473" s="162">
        <f t="shared" si="294"/>
        <v>7649.7449531170723</v>
      </c>
      <c r="AS473" s="150">
        <f t="shared" si="317"/>
        <v>17686.55</v>
      </c>
      <c r="AT473" s="163">
        <f t="shared" si="295"/>
        <v>121.46174790856143</v>
      </c>
      <c r="AU473" s="163">
        <f t="shared" si="296"/>
        <v>2445.871621445217</v>
      </c>
      <c r="AV473" s="163">
        <f t="shared" si="318"/>
        <v>81.723307162247593</v>
      </c>
      <c r="AW473" s="163">
        <f t="shared" si="297"/>
        <v>572.91126431612338</v>
      </c>
      <c r="AX473" s="163">
        <f t="shared" si="298"/>
        <v>0</v>
      </c>
      <c r="AY473" s="164">
        <f t="shared" si="319"/>
        <v>23423.596155241663</v>
      </c>
      <c r="AZ473" s="164">
        <f>IF($E473="","",IF(OR(AND($D473=Input!$C$6,$C473=12),$AN473=1),0,-AS474+AT474+AU474-AV474-AW474-AX474+AZ474))</f>
        <v>23423.60323791653</v>
      </c>
      <c r="BA473" s="154">
        <f t="shared" si="299"/>
        <v>7.0826748669787776E-3</v>
      </c>
      <c r="BC473" s="147">
        <f t="shared" si="320"/>
        <v>3.515128617202325E-3</v>
      </c>
      <c r="BD473" s="164">
        <f>IF(AND($C472=12,$D472=Input!$C$6),0,IF($E473="","",AT473+(AU473+BD474)/(1+$AK473)*MIN((1-AM473-AN473),1)))</f>
        <v>22426.874692570171</v>
      </c>
      <c r="BE473" s="164">
        <f t="shared" si="300"/>
        <v>78.833349026264003</v>
      </c>
      <c r="BF473" s="164">
        <f t="shared" si="321"/>
        <v>23423.60323791653</v>
      </c>
      <c r="BG473" s="164">
        <f t="shared" si="301"/>
        <v>82.336978059593434</v>
      </c>
      <c r="BH473" s="152"/>
      <c r="BI473" s="162">
        <f t="shared" si="302"/>
        <v>-7082.5686116162078</v>
      </c>
      <c r="BJ473" s="150">
        <f t="shared" si="303"/>
        <v>17686.55</v>
      </c>
      <c r="BK473" s="163">
        <f t="shared" si="325"/>
        <v>108.23723841249284</v>
      </c>
      <c r="BL473" s="163">
        <f t="shared" si="304"/>
        <v>1484.5984142645707</v>
      </c>
      <c r="BM473" s="163">
        <f t="shared" si="326"/>
        <v>36.739340302646511</v>
      </c>
      <c r="BN473" s="163">
        <f t="shared" si="305"/>
        <v>136.34907256674879</v>
      </c>
      <c r="BO473" s="163">
        <f t="shared" si="306"/>
        <v>0</v>
      </c>
      <c r="BP473" s="164">
        <f t="shared" si="327"/>
        <v>9184.2341485761244</v>
      </c>
      <c r="BQ473" s="164">
        <f>IF($E473="","",IF(AND($D473=Input!$C$6,$C473=12),0,-BJ474+BK474+BL474-BM474-BN474-BO474+BQ474))</f>
        <v>9184.2394048556471</v>
      </c>
      <c r="BR473" s="161">
        <f t="shared" si="307"/>
        <v>0</v>
      </c>
      <c r="BT473" s="147">
        <f t="shared" si="308"/>
        <v>3.515128617202325E-3</v>
      </c>
      <c r="BU473" s="164">
        <f>IF(AND($C472=12,$D472=Input!$C$6),0,IF($E473="","",BK473+(BL473+BU474)/(1+$AK473)*MIN((1-T473-U473),1)))</f>
        <v>63205.655781692585</v>
      </c>
      <c r="BV473" s="164">
        <f t="shared" si="309"/>
        <v>222.1760094072672</v>
      </c>
      <c r="BW473" s="164">
        <f t="shared" si="310"/>
        <v>9184.2394048556471</v>
      </c>
      <c r="BX473" s="164">
        <f t="shared" si="311"/>
        <v>32.283782759245334</v>
      </c>
    </row>
    <row r="474" spans="1:76" s="150" customFormat="1" x14ac:dyDescent="0.25">
      <c r="A474" s="150">
        <f t="shared" si="322"/>
        <v>470</v>
      </c>
      <c r="B474" s="150">
        <f t="shared" si="323"/>
        <v>40</v>
      </c>
      <c r="C474" s="150">
        <f t="shared" si="324"/>
        <v>2</v>
      </c>
      <c r="D474" s="150">
        <f>IF(E474="","",Input!$C$4+B474-1)</f>
        <v>84</v>
      </c>
      <c r="E474" s="150">
        <f>IF(OR(AND(C473=12,D473=Input!$C$6),E473=""),"",1)</f>
        <v>1</v>
      </c>
      <c r="F474" s="150">
        <f>IF(E474="","",Input!$C$8+B474-1)</f>
        <v>2057</v>
      </c>
      <c r="G474" s="151">
        <f>IF(E474="","",MAX(0,Input!$C$9-B474))</f>
        <v>0</v>
      </c>
      <c r="H474" s="152">
        <f>IF(E474="","",Input!$C$3)</f>
        <v>100000</v>
      </c>
      <c r="I474" s="153">
        <f>IF(E474="","",HLOOKUP($B474,Input!$C$13:$BT$14,2))</f>
        <v>176.8655</v>
      </c>
      <c r="J474" s="154"/>
      <c r="K474" s="155">
        <f>IF($E474="","",INDEX(Input!$C$16:$CP$16,1,$B474))</f>
        <v>3.1150000000000001E-2</v>
      </c>
      <c r="L474" s="155">
        <f>IF($E474="","",Input!$C$37)</f>
        <v>1.4999999999999999E-2</v>
      </c>
      <c r="M474" s="155">
        <f t="shared" si="287"/>
        <v>4.6149999999999997E-2</v>
      </c>
      <c r="N474" s="155">
        <f t="shared" si="288"/>
        <v>3.766806550707047E-3</v>
      </c>
      <c r="O474" s="147">
        <f>IF($E474="","",MIN(VLOOKUP(IF($B474&lt;=Input!$C$7,$B474,26),'Mortality Tables'!$A$41:$CW$67,IF($B474&lt;=Input!$C$7+1,Input!$C$4+2,$D474-Input!$C$7+2),0)*IF(B474&gt;20,Input!$C$22,1)/1000,1))</f>
        <v>0.19977520000000001</v>
      </c>
      <c r="P474" s="147">
        <f>IF($E474="","",MIN(VLOOKUP(IF($B474&lt;=Input!$C$7,$B474,26),'Mortality Tables'!$A$12:$CW$37,IF($B474&lt;=Input!$C$7+1,Input!$C$4+2,$D474-Input!$C$7+2),0)*IF(B474&gt;20,Input!$C$22,1)/1000,1))</f>
        <v>0.249719</v>
      </c>
      <c r="Q474" s="155">
        <f>IF($E474="","",Input!$C$21)</f>
        <v>5.0000000000000001E-3</v>
      </c>
      <c r="R474" s="159">
        <f>IF($E474="","",(1-Q474)^($F474-Input!$C$20))</f>
        <v>0.82243228243484889</v>
      </c>
      <c r="S474" s="147">
        <f t="shared" si="290"/>
        <v>0.16430157370987844</v>
      </c>
      <c r="T474" s="147">
        <f t="shared" si="291"/>
        <v>1.4845984142645707E-2</v>
      </c>
      <c r="U474" s="160">
        <f>IF($E474="","",IF($C474=12,INDEX(Input!$C$15:$CP$15,1,$B474),0))</f>
        <v>0</v>
      </c>
      <c r="V474" s="150">
        <f>IF(E474="","",IF(C474=1,IF($B474=1,Input!$C$33,Input!$C$34),0))</f>
        <v>0</v>
      </c>
      <c r="W474" s="156">
        <f>IF($E474="","",Input!$C$35)</f>
        <v>0.02</v>
      </c>
      <c r="X474" s="156">
        <f t="shared" si="289"/>
        <v>2.1647447682498568</v>
      </c>
      <c r="Y474" s="154"/>
      <c r="Z474" s="147">
        <f>IF($E474="","",VLOOKUP($D474,'Mortality Margins &amp; Grading'!$AB$5:$AF$125,3,0)*IF(Summary!$D$25="Included Margin",IF(AND($B474&gt;Input!$C$9,Summary!$D$31&lt;&gt;"Included Margin"),0,1),0))</f>
        <v>2.4E-2</v>
      </c>
      <c r="AA474" s="147">
        <f>IF($E474="","",VLOOKUP($D474,'Mortality Margins &amp; Grading'!$AB$5:$AF$125,5,0)*IF(Summary!$D$25="Included Margin",IF(AND($B474&gt;Input!$C$9,Summary!$D$31&lt;&gt;"Included Margin"),0,1),0))</f>
        <v>0.125</v>
      </c>
      <c r="AB474" s="147">
        <f>IF($E474="","",IF(AND($B474&gt;Input!$C$9,Summary!$D$31&lt;&gt;"Included Margin"),1,IF(Summary!$D$25="Included Margin",VLOOKUP($B474,'Mortality Margins &amp; Grading'!$AI$5:$AR$125,MATCH('Mortality Margins &amp; Grading'!$AQ$4,'Mortality Margins &amp; Grading'!$AI$4:$AR$4,0),0),1)))</f>
        <v>0.3125</v>
      </c>
      <c r="AC474" s="154"/>
      <c r="AD474" s="158">
        <f>IF(E474="","",Input!$C$48*IF(Summary!$D$30="Included Margin",IF(AND($B474&gt;Input!$C$9,Summary!$D$31&lt;&gt;"Included Margin"),0,1),0))</f>
        <v>-4.4999999999999997E-3</v>
      </c>
      <c r="AE474" s="159">
        <f>IF(E474="","",IF(Summary!$D$26="Included Margin",IF(AND($B474&gt;Input!$C$9,Summary!$D$31&lt;&gt;"Included Margin"),1,1/$R474),1))</f>
        <v>1.2159055783163735</v>
      </c>
      <c r="AF474" s="160">
        <f>IF(E474="","",IF(AND($B474&gt;=Input!$C$9,$C474=12,Summary!$D$31="Included Margin",$U474&gt;0),1/U474-1,IF($B474&gt;=Input!$C$9,0,Input!$C$45*IF(Summary!$D$27="Included Margin",1,0))))</f>
        <v>0</v>
      </c>
      <c r="AG474" s="160">
        <f>IF(E474="","",Input!$C$46*IF(Summary!$D$28="Included Margin",IF(AND($B474&gt;Input!$C$9,Summary!$D$31&lt;&gt;"Included Margin"),0,1),0))</f>
        <v>0.02</v>
      </c>
      <c r="AH474" s="158">
        <f>IF(E474="","",Input!$C$47*IF(Summary!$D$29="Included Margin",IF(AND($B474&gt;Input!$C$9,Summary!$D$31&lt;&gt;"Included Margin"),0,1),0))</f>
        <v>2.5000000000000001E-3</v>
      </c>
      <c r="AI474" s="154"/>
      <c r="AJ474" s="158">
        <f t="shared" si="312"/>
        <v>4.165E-2</v>
      </c>
      <c r="AK474" s="155">
        <f t="shared" si="313"/>
        <v>3.4062877903533462E-3</v>
      </c>
      <c r="AL474" s="147">
        <f t="shared" si="314"/>
        <v>0.2570701030625</v>
      </c>
      <c r="AM474" s="147">
        <f t="shared" si="292"/>
        <v>2.445871621445217E-2</v>
      </c>
      <c r="AN474" s="160">
        <f t="shared" si="315"/>
        <v>0</v>
      </c>
      <c r="AO474" s="161">
        <f t="shared" si="316"/>
        <v>0</v>
      </c>
      <c r="AP474" s="156">
        <f t="shared" si="293"/>
        <v>2.3816029001678714</v>
      </c>
      <c r="AQ474" s="152"/>
      <c r="AR474" s="162">
        <f t="shared" si="294"/>
        <v>23423.596155241663</v>
      </c>
      <c r="AS474" s="150">
        <f t="shared" si="317"/>
        <v>0</v>
      </c>
      <c r="AT474" s="163">
        <f t="shared" si="295"/>
        <v>0</v>
      </c>
      <c r="AU474" s="163">
        <f t="shared" si="296"/>
        <v>2445.871621445217</v>
      </c>
      <c r="AV474" s="163">
        <f t="shared" si="318"/>
        <v>75.621838269316967</v>
      </c>
      <c r="AW474" s="163">
        <f t="shared" si="297"/>
        <v>527.84849403180715</v>
      </c>
      <c r="AX474" s="163">
        <f t="shared" si="298"/>
        <v>0</v>
      </c>
      <c r="AY474" s="165">
        <f t="shared" si="319"/>
        <v>21581.194866097572</v>
      </c>
      <c r="AZ474" s="164">
        <f>IF($E474="","",IF(OR(AND($D474=Input!$C$6,$C474=12),$AN474=1),0,-AS475+AT475+AU475-AV475-AW475-AX475+AZ475))</f>
        <v>21581.201948772436</v>
      </c>
      <c r="BA474" s="154">
        <f t="shared" si="299"/>
        <v>7.0826748633407988E-3</v>
      </c>
      <c r="BC474" s="147">
        <f t="shared" si="320"/>
        <v>3.462943073491979E-3</v>
      </c>
      <c r="BD474" s="164">
        <f>IF(AND($C473=12,$D473=Input!$C$6),0,IF($E474="","",AT474+(AU474+BD475)/(1+$AK474)*MIN((1-AM474-AN474),1)))</f>
        <v>20496.664970736438</v>
      </c>
      <c r="BE474" s="164">
        <f t="shared" si="300"/>
        <v>70.978783990097426</v>
      </c>
      <c r="BF474" s="164">
        <f t="shared" si="321"/>
        <v>21581.201948772436</v>
      </c>
      <c r="BG474" s="164">
        <f t="shared" si="301"/>
        <v>74.73447380613311</v>
      </c>
      <c r="BH474" s="152"/>
      <c r="BI474" s="162">
        <f t="shared" si="302"/>
        <v>9184.2341485761226</v>
      </c>
      <c r="BJ474" s="150">
        <f t="shared" si="303"/>
        <v>0</v>
      </c>
      <c r="BK474" s="163">
        <f t="shared" si="325"/>
        <v>0</v>
      </c>
      <c r="BL474" s="163">
        <f t="shared" si="304"/>
        <v>1484.5984142645707</v>
      </c>
      <c r="BM474" s="163">
        <f t="shared" si="326"/>
        <v>31.799135838073354</v>
      </c>
      <c r="BN474" s="163">
        <f t="shared" si="305"/>
        <v>116.51055131404105</v>
      </c>
      <c r="BO474" s="163">
        <f t="shared" si="306"/>
        <v>0</v>
      </c>
      <c r="BP474" s="164">
        <f t="shared" si="327"/>
        <v>7847.9454214636662</v>
      </c>
      <c r="BQ474" s="164">
        <f>IF($E474="","",IF(AND($D474=Input!$C$6,$C474=12),0,-BJ475+BK475+BL475-BM475-BN475-BO475+BQ475))</f>
        <v>7847.9506777431916</v>
      </c>
      <c r="BR474" s="161">
        <f t="shared" si="307"/>
        <v>0</v>
      </c>
      <c r="BT474" s="147">
        <f t="shared" si="308"/>
        <v>3.462943073491979E-3</v>
      </c>
      <c r="BU474" s="164">
        <f>IF(AND($C473=12,$D473=Input!$C$6),0,IF($E474="","",BK474+(BL474+BU475)/(1+$AK474)*MIN((1-T474-U474),1)))</f>
        <v>62781.846720781417</v>
      </c>
      <c r="BV474" s="164">
        <f t="shared" si="309"/>
        <v>217.40996124276512</v>
      </c>
      <c r="BW474" s="164">
        <f t="shared" si="310"/>
        <v>7847.9506777431916</v>
      </c>
      <c r="BX474" s="164">
        <f t="shared" si="311"/>
        <v>27.177006440597467</v>
      </c>
    </row>
    <row r="475" spans="1:76" s="150" customFormat="1" x14ac:dyDescent="0.25">
      <c r="A475" s="150">
        <f t="shared" si="322"/>
        <v>471</v>
      </c>
      <c r="B475" s="150">
        <f t="shared" si="323"/>
        <v>40</v>
      </c>
      <c r="C475" s="150">
        <f t="shared" si="324"/>
        <v>3</v>
      </c>
      <c r="D475" s="150">
        <f>IF(E475="","",Input!$C$4+B475-1)</f>
        <v>84</v>
      </c>
      <c r="E475" s="150">
        <f>IF(OR(AND(C474=12,D474=Input!$C$6),E474=""),"",1)</f>
        <v>1</v>
      </c>
      <c r="F475" s="150">
        <f>IF(E475="","",Input!$C$8+B475-1)</f>
        <v>2057</v>
      </c>
      <c r="G475" s="151">
        <f>IF(E475="","",MAX(0,Input!$C$9-B475))</f>
        <v>0</v>
      </c>
      <c r="H475" s="152">
        <f>IF(E475="","",Input!$C$3)</f>
        <v>100000</v>
      </c>
      <c r="I475" s="153">
        <f>IF(E475="","",HLOOKUP($B475,Input!$C$13:$BT$14,2))</f>
        <v>176.8655</v>
      </c>
      <c r="J475" s="154"/>
      <c r="K475" s="155">
        <f>IF($E475="","",INDEX(Input!$C$16:$CP$16,1,$B475))</f>
        <v>3.1150000000000001E-2</v>
      </c>
      <c r="L475" s="155">
        <f>IF($E475="","",Input!$C$37)</f>
        <v>1.4999999999999999E-2</v>
      </c>
      <c r="M475" s="155">
        <f t="shared" si="287"/>
        <v>4.6149999999999997E-2</v>
      </c>
      <c r="N475" s="155">
        <f t="shared" si="288"/>
        <v>3.766806550707047E-3</v>
      </c>
      <c r="O475" s="147">
        <f>IF($E475="","",MIN(VLOOKUP(IF($B475&lt;=Input!$C$7,$B475,26),'Mortality Tables'!$A$41:$CW$67,IF($B475&lt;=Input!$C$7+1,Input!$C$4+2,$D475-Input!$C$7+2),0)*IF(B475&gt;20,Input!$C$22,1)/1000,1))</f>
        <v>0.19977520000000001</v>
      </c>
      <c r="P475" s="147">
        <f>IF($E475="","",MIN(VLOOKUP(IF($B475&lt;=Input!$C$7,$B475,26),'Mortality Tables'!$A$12:$CW$37,IF($B475&lt;=Input!$C$7+1,Input!$C$4+2,$D475-Input!$C$7+2),0)*IF(B475&gt;20,Input!$C$22,1)/1000,1))</f>
        <v>0.249719</v>
      </c>
      <c r="Q475" s="155">
        <f>IF($E475="","",Input!$C$21)</f>
        <v>5.0000000000000001E-3</v>
      </c>
      <c r="R475" s="159">
        <f>IF($E475="","",(1-Q475)^($F475-Input!$C$20))</f>
        <v>0.82243228243484889</v>
      </c>
      <c r="S475" s="147">
        <f t="shared" si="290"/>
        <v>0.16430157370987844</v>
      </c>
      <c r="T475" s="147">
        <f t="shared" si="291"/>
        <v>1.4845984142645707E-2</v>
      </c>
      <c r="U475" s="160">
        <f>IF($E475="","",IF($C475=12,INDEX(Input!$C$15:$CP$15,1,$B475),0))</f>
        <v>0</v>
      </c>
      <c r="V475" s="150">
        <f>IF(E475="","",IF(C475=1,IF($B475=1,Input!$C$33,Input!$C$34),0))</f>
        <v>0</v>
      </c>
      <c r="W475" s="156">
        <f>IF($E475="","",Input!$C$35)</f>
        <v>0.02</v>
      </c>
      <c r="X475" s="156">
        <f t="shared" si="289"/>
        <v>2.1647447682498568</v>
      </c>
      <c r="Y475" s="154"/>
      <c r="Z475" s="147">
        <f>IF($E475="","",VLOOKUP($D475,'Mortality Margins &amp; Grading'!$AB$5:$AF$125,3,0)*IF(Summary!$D$25="Included Margin",IF(AND($B475&gt;Input!$C$9,Summary!$D$31&lt;&gt;"Included Margin"),0,1),0))</f>
        <v>2.4E-2</v>
      </c>
      <c r="AA475" s="147">
        <f>IF($E475="","",VLOOKUP($D475,'Mortality Margins &amp; Grading'!$AB$5:$AF$125,5,0)*IF(Summary!$D$25="Included Margin",IF(AND($B475&gt;Input!$C$9,Summary!$D$31&lt;&gt;"Included Margin"),0,1),0))</f>
        <v>0.125</v>
      </c>
      <c r="AB475" s="147">
        <f>IF($E475="","",IF(AND($B475&gt;Input!$C$9,Summary!$D$31&lt;&gt;"Included Margin"),1,IF(Summary!$D$25="Included Margin",VLOOKUP($B475,'Mortality Margins &amp; Grading'!$AI$5:$AR$125,MATCH('Mortality Margins &amp; Grading'!$AQ$4,'Mortality Margins &amp; Grading'!$AI$4:$AR$4,0),0),1)))</f>
        <v>0.3125</v>
      </c>
      <c r="AC475" s="154"/>
      <c r="AD475" s="158">
        <f>IF(E475="","",Input!$C$48*IF(Summary!$D$30="Included Margin",IF(AND($B475&gt;Input!$C$9,Summary!$D$31&lt;&gt;"Included Margin"),0,1),0))</f>
        <v>-4.4999999999999997E-3</v>
      </c>
      <c r="AE475" s="159">
        <f>IF(E475="","",IF(Summary!$D$26="Included Margin",IF(AND($B475&gt;Input!$C$9,Summary!$D$31&lt;&gt;"Included Margin"),1,1/$R475),1))</f>
        <v>1.2159055783163735</v>
      </c>
      <c r="AF475" s="160">
        <f>IF(E475="","",IF(AND($B475&gt;=Input!$C$9,$C475=12,Summary!$D$31="Included Margin",$U475&gt;0),1/U475-1,IF($B475&gt;=Input!$C$9,0,Input!$C$45*IF(Summary!$D$27="Included Margin",1,0))))</f>
        <v>0</v>
      </c>
      <c r="AG475" s="160">
        <f>IF(E475="","",Input!$C$46*IF(Summary!$D$28="Included Margin",IF(AND($B475&gt;Input!$C$9,Summary!$D$31&lt;&gt;"Included Margin"),0,1),0))</f>
        <v>0.02</v>
      </c>
      <c r="AH475" s="158">
        <f>IF(E475="","",Input!$C$47*IF(Summary!$D$29="Included Margin",IF(AND($B475&gt;Input!$C$9,Summary!$D$31&lt;&gt;"Included Margin"),0,1),0))</f>
        <v>2.5000000000000001E-3</v>
      </c>
      <c r="AI475" s="154"/>
      <c r="AJ475" s="158">
        <f t="shared" si="312"/>
        <v>4.165E-2</v>
      </c>
      <c r="AK475" s="155">
        <f t="shared" si="313"/>
        <v>3.4062877903533462E-3</v>
      </c>
      <c r="AL475" s="147">
        <f t="shared" si="314"/>
        <v>0.2570701030625</v>
      </c>
      <c r="AM475" s="147">
        <f t="shared" si="292"/>
        <v>2.445871621445217E-2</v>
      </c>
      <c r="AN475" s="160">
        <f t="shared" si="315"/>
        <v>0</v>
      </c>
      <c r="AO475" s="161">
        <f t="shared" si="316"/>
        <v>0</v>
      </c>
      <c r="AP475" s="156">
        <f t="shared" si="293"/>
        <v>2.3816029001678714</v>
      </c>
      <c r="AQ475" s="152"/>
      <c r="AR475" s="162">
        <f t="shared" si="294"/>
        <v>21581.194866097572</v>
      </c>
      <c r="AS475" s="150">
        <f t="shared" si="317"/>
        <v>0</v>
      </c>
      <c r="AT475" s="163">
        <f t="shared" si="295"/>
        <v>0</v>
      </c>
      <c r="AU475" s="163">
        <f t="shared" si="296"/>
        <v>2445.871621445217</v>
      </c>
      <c r="AV475" s="163">
        <f t="shared" si="318"/>
        <v>69.346089253174185</v>
      </c>
      <c r="AW475" s="163">
        <f t="shared" si="297"/>
        <v>481.49856727824601</v>
      </c>
      <c r="AX475" s="163">
        <f t="shared" si="298"/>
        <v>0</v>
      </c>
      <c r="AY475" s="164">
        <f t="shared" si="319"/>
        <v>19686.167901183773</v>
      </c>
      <c r="AZ475" s="164">
        <f>IF($E475="","",IF(OR(AND($D475=Input!$C$6,$C475=12),$AN475=1),0,-AS476+AT476+AU476-AV476-AW476-AX476+AZ476))</f>
        <v>19686.17498385864</v>
      </c>
      <c r="BA475" s="154">
        <f t="shared" si="299"/>
        <v>7.0826748669787776E-3</v>
      </c>
      <c r="BC475" s="147">
        <f t="shared" si="320"/>
        <v>3.4115322755360325E-3</v>
      </c>
      <c r="BD475" s="164">
        <f>IF(AND($C474=12,$D474=Input!$C$6),0,IF($E475="","",AT475+(AU475+BD476)/(1+$AK475)*MIN((1-AM475-AN475),1)))</f>
        <v>18636.252582014251</v>
      </c>
      <c r="BE475" s="164">
        <f t="shared" si="300"/>
        <v>63.578177178583339</v>
      </c>
      <c r="BF475" s="164">
        <f t="shared" si="321"/>
        <v>19686.17498385864</v>
      </c>
      <c r="BG475" s="164">
        <f t="shared" si="301"/>
        <v>67.160021339283787</v>
      </c>
      <c r="BH475" s="152"/>
      <c r="BI475" s="162">
        <f t="shared" si="302"/>
        <v>7847.9454214636662</v>
      </c>
      <c r="BJ475" s="150">
        <f t="shared" si="303"/>
        <v>0</v>
      </c>
      <c r="BK475" s="163">
        <f t="shared" si="325"/>
        <v>0</v>
      </c>
      <c r="BL475" s="163">
        <f t="shared" si="304"/>
        <v>1484.5984142645707</v>
      </c>
      <c r="BM475" s="163">
        <f t="shared" si="326"/>
        <v>26.765594707150175</v>
      </c>
      <c r="BN475" s="163">
        <f t="shared" si="305"/>
        <v>96.29721532394332</v>
      </c>
      <c r="BO475" s="163">
        <f t="shared" si="306"/>
        <v>0</v>
      </c>
      <c r="BP475" s="164">
        <f t="shared" si="327"/>
        <v>6486.4098172301892</v>
      </c>
      <c r="BQ475" s="164">
        <f>IF($E475="","",IF(AND($D475=Input!$C$6,$C475=12),0,-BJ476+BK476+BL476-BM476-BN476-BO476+BQ476))</f>
        <v>6486.4150735097146</v>
      </c>
      <c r="BR475" s="161">
        <f t="shared" si="307"/>
        <v>0</v>
      </c>
      <c r="BT475" s="147">
        <f t="shared" si="308"/>
        <v>3.4115322755360325E-3</v>
      </c>
      <c r="BU475" s="164">
        <f>IF(AND($C474=12,$D474=Input!$C$6),0,IF($E475="","",BK475+(BL475+BU476)/(1+$AK475)*MIN((1-T475-U475),1)))</f>
        <v>62460.428195507418</v>
      </c>
      <c r="BV475" s="164">
        <f t="shared" si="309"/>
        <v>213.08576673277437</v>
      </c>
      <c r="BW475" s="164">
        <f t="shared" si="310"/>
        <v>6486.4150735097146</v>
      </c>
      <c r="BX475" s="164">
        <f t="shared" si="311"/>
        <v>22.128614375801817</v>
      </c>
    </row>
    <row r="476" spans="1:76" s="150" customFormat="1" x14ac:dyDescent="0.25">
      <c r="A476" s="150">
        <f t="shared" si="322"/>
        <v>472</v>
      </c>
      <c r="B476" s="150">
        <f t="shared" si="323"/>
        <v>40</v>
      </c>
      <c r="C476" s="150">
        <f t="shared" si="324"/>
        <v>4</v>
      </c>
      <c r="D476" s="150">
        <f>IF(E476="","",Input!$C$4+B476-1)</f>
        <v>84</v>
      </c>
      <c r="E476" s="150">
        <f>IF(OR(AND(C475=12,D475=Input!$C$6),E475=""),"",1)</f>
        <v>1</v>
      </c>
      <c r="F476" s="150">
        <f>IF(E476="","",Input!$C$8+B476-1)</f>
        <v>2057</v>
      </c>
      <c r="G476" s="151">
        <f>IF(E476="","",MAX(0,Input!$C$9-B476))</f>
        <v>0</v>
      </c>
      <c r="H476" s="152">
        <f>IF(E476="","",Input!$C$3)</f>
        <v>100000</v>
      </c>
      <c r="I476" s="153">
        <f>IF(E476="","",HLOOKUP($B476,Input!$C$13:$BT$14,2))</f>
        <v>176.8655</v>
      </c>
      <c r="J476" s="154"/>
      <c r="K476" s="155">
        <f>IF($E476="","",INDEX(Input!$C$16:$CP$16,1,$B476))</f>
        <v>3.1150000000000001E-2</v>
      </c>
      <c r="L476" s="155">
        <f>IF($E476="","",Input!$C$37)</f>
        <v>1.4999999999999999E-2</v>
      </c>
      <c r="M476" s="155">
        <f t="shared" si="287"/>
        <v>4.6149999999999997E-2</v>
      </c>
      <c r="N476" s="155">
        <f t="shared" si="288"/>
        <v>3.766806550707047E-3</v>
      </c>
      <c r="O476" s="147">
        <f>IF($E476="","",MIN(VLOOKUP(IF($B476&lt;=Input!$C$7,$B476,26),'Mortality Tables'!$A$41:$CW$67,IF($B476&lt;=Input!$C$7+1,Input!$C$4+2,$D476-Input!$C$7+2),0)*IF(B476&gt;20,Input!$C$22,1)/1000,1))</f>
        <v>0.19977520000000001</v>
      </c>
      <c r="P476" s="147">
        <f>IF($E476="","",MIN(VLOOKUP(IF($B476&lt;=Input!$C$7,$B476,26),'Mortality Tables'!$A$12:$CW$37,IF($B476&lt;=Input!$C$7+1,Input!$C$4+2,$D476-Input!$C$7+2),0)*IF(B476&gt;20,Input!$C$22,1)/1000,1))</f>
        <v>0.249719</v>
      </c>
      <c r="Q476" s="155">
        <f>IF($E476="","",Input!$C$21)</f>
        <v>5.0000000000000001E-3</v>
      </c>
      <c r="R476" s="159">
        <f>IF($E476="","",(1-Q476)^($F476-Input!$C$20))</f>
        <v>0.82243228243484889</v>
      </c>
      <c r="S476" s="147">
        <f t="shared" si="290"/>
        <v>0.16430157370987844</v>
      </c>
      <c r="T476" s="147">
        <f t="shared" si="291"/>
        <v>1.4845984142645707E-2</v>
      </c>
      <c r="U476" s="160">
        <f>IF($E476="","",IF($C476=12,INDEX(Input!$C$15:$CP$15,1,$B476),0))</f>
        <v>0</v>
      </c>
      <c r="V476" s="150">
        <f>IF(E476="","",IF(C476=1,IF($B476=1,Input!$C$33,Input!$C$34),0))</f>
        <v>0</v>
      </c>
      <c r="W476" s="156">
        <f>IF($E476="","",Input!$C$35)</f>
        <v>0.02</v>
      </c>
      <c r="X476" s="156">
        <f t="shared" si="289"/>
        <v>2.1647447682498568</v>
      </c>
      <c r="Y476" s="154"/>
      <c r="Z476" s="147">
        <f>IF($E476="","",VLOOKUP($D476,'Mortality Margins &amp; Grading'!$AB$5:$AF$125,3,0)*IF(Summary!$D$25="Included Margin",IF(AND($B476&gt;Input!$C$9,Summary!$D$31&lt;&gt;"Included Margin"),0,1),0))</f>
        <v>2.4E-2</v>
      </c>
      <c r="AA476" s="147">
        <f>IF($E476="","",VLOOKUP($D476,'Mortality Margins &amp; Grading'!$AB$5:$AF$125,5,0)*IF(Summary!$D$25="Included Margin",IF(AND($B476&gt;Input!$C$9,Summary!$D$31&lt;&gt;"Included Margin"),0,1),0))</f>
        <v>0.125</v>
      </c>
      <c r="AB476" s="147">
        <f>IF($E476="","",IF(AND($B476&gt;Input!$C$9,Summary!$D$31&lt;&gt;"Included Margin"),1,IF(Summary!$D$25="Included Margin",VLOOKUP($B476,'Mortality Margins &amp; Grading'!$AI$5:$AR$125,MATCH('Mortality Margins &amp; Grading'!$AQ$4,'Mortality Margins &amp; Grading'!$AI$4:$AR$4,0),0),1)))</f>
        <v>0.3125</v>
      </c>
      <c r="AC476" s="154"/>
      <c r="AD476" s="158">
        <f>IF(E476="","",Input!$C$48*IF(Summary!$D$30="Included Margin",IF(AND($B476&gt;Input!$C$9,Summary!$D$31&lt;&gt;"Included Margin"),0,1),0))</f>
        <v>-4.4999999999999997E-3</v>
      </c>
      <c r="AE476" s="159">
        <f>IF(E476="","",IF(Summary!$D$26="Included Margin",IF(AND($B476&gt;Input!$C$9,Summary!$D$31&lt;&gt;"Included Margin"),1,1/$R476),1))</f>
        <v>1.2159055783163735</v>
      </c>
      <c r="AF476" s="160">
        <f>IF(E476="","",IF(AND($B476&gt;=Input!$C$9,$C476=12,Summary!$D$31="Included Margin",$U476&gt;0),1/U476-1,IF($B476&gt;=Input!$C$9,0,Input!$C$45*IF(Summary!$D$27="Included Margin",1,0))))</f>
        <v>0</v>
      </c>
      <c r="AG476" s="160">
        <f>IF(E476="","",Input!$C$46*IF(Summary!$D$28="Included Margin",IF(AND($B476&gt;Input!$C$9,Summary!$D$31&lt;&gt;"Included Margin"),0,1),0))</f>
        <v>0.02</v>
      </c>
      <c r="AH476" s="158">
        <f>IF(E476="","",Input!$C$47*IF(Summary!$D$29="Included Margin",IF(AND($B476&gt;Input!$C$9,Summary!$D$31&lt;&gt;"Included Margin"),0,1),0))</f>
        <v>2.5000000000000001E-3</v>
      </c>
      <c r="AI476" s="154"/>
      <c r="AJ476" s="158">
        <f t="shared" si="312"/>
        <v>4.165E-2</v>
      </c>
      <c r="AK476" s="155">
        <f t="shared" si="313"/>
        <v>3.4062877903533462E-3</v>
      </c>
      <c r="AL476" s="147">
        <f t="shared" si="314"/>
        <v>0.2570701030625</v>
      </c>
      <c r="AM476" s="147">
        <f t="shared" si="292"/>
        <v>2.445871621445217E-2</v>
      </c>
      <c r="AN476" s="160">
        <f t="shared" si="315"/>
        <v>0</v>
      </c>
      <c r="AO476" s="161">
        <f t="shared" si="316"/>
        <v>0</v>
      </c>
      <c r="AP476" s="156">
        <f t="shared" si="293"/>
        <v>2.3816029001678714</v>
      </c>
      <c r="AQ476" s="152"/>
      <c r="AR476" s="162">
        <f t="shared" si="294"/>
        <v>19686.167901183777</v>
      </c>
      <c r="AS476" s="150">
        <f t="shared" si="317"/>
        <v>0</v>
      </c>
      <c r="AT476" s="163">
        <f t="shared" si="295"/>
        <v>0</v>
      </c>
      <c r="AU476" s="163">
        <f t="shared" si="296"/>
        <v>2445.871621445217</v>
      </c>
      <c r="AV476" s="163">
        <f t="shared" si="318"/>
        <v>62.891082040197972</v>
      </c>
      <c r="AW476" s="163">
        <f t="shared" si="297"/>
        <v>433.82471818938535</v>
      </c>
      <c r="AX476" s="163">
        <f t="shared" si="298"/>
        <v>0</v>
      </c>
      <c r="AY476" s="165">
        <f t="shared" si="319"/>
        <v>17737.012079968143</v>
      </c>
      <c r="AZ476" s="164">
        <f>IF($E476="","",IF(OR(AND($D476=Input!$C$6,$C476=12),$AN476=1),0,-AS477+AT477+AU477-AV477-AW477-AX477+AZ477))</f>
        <v>17737.019162643006</v>
      </c>
      <c r="BA476" s="154">
        <f t="shared" si="299"/>
        <v>7.0826748633407988E-3</v>
      </c>
      <c r="BC476" s="147">
        <f t="shared" si="320"/>
        <v>3.3608847214713004E-3</v>
      </c>
      <c r="BD476" s="164">
        <f>IF(AND($C475=12,$D475=Input!$C$6),0,IF($E476="","",AT476+(AU476+BD477)/(1+$AK476)*MIN((1-AM476-AN476),1)))</f>
        <v>16722.700055069345</v>
      </c>
      <c r="BE476" s="164">
        <f t="shared" si="300"/>
        <v>56.203067116829835</v>
      </c>
      <c r="BF476" s="164">
        <f t="shared" si="321"/>
        <v>17737.019162643006</v>
      </c>
      <c r="BG476" s="164">
        <f t="shared" si="301"/>
        <v>59.612076708170555</v>
      </c>
      <c r="BH476" s="152"/>
      <c r="BI476" s="162">
        <f t="shared" si="302"/>
        <v>6486.4098172301892</v>
      </c>
      <c r="BJ476" s="150">
        <f t="shared" si="303"/>
        <v>0</v>
      </c>
      <c r="BK476" s="163">
        <f t="shared" si="325"/>
        <v>0</v>
      </c>
      <c r="BL476" s="163">
        <f t="shared" si="304"/>
        <v>1484.5984142645707</v>
      </c>
      <c r="BM476" s="163">
        <f t="shared" si="326"/>
        <v>21.636953474102636</v>
      </c>
      <c r="BN476" s="163">
        <f t="shared" si="305"/>
        <v>75.70198311666303</v>
      </c>
      <c r="BO476" s="163">
        <f t="shared" si="306"/>
        <v>0</v>
      </c>
      <c r="BP476" s="164">
        <f t="shared" si="327"/>
        <v>5099.1503395563841</v>
      </c>
      <c r="BQ476" s="164">
        <f>IF($E476="","",IF(AND($D476=Input!$C$6,$C476=12),0,-BJ477+BK477+BL477-BM477-BN477-BO477+BQ477))</f>
        <v>5099.1555958359095</v>
      </c>
      <c r="BR476" s="161">
        <f t="shared" si="307"/>
        <v>0</v>
      </c>
      <c r="BT476" s="147">
        <f t="shared" si="308"/>
        <v>3.3608847214713004E-3</v>
      </c>
      <c r="BU476" s="164">
        <f>IF(AND($C475=12,$D475=Input!$C$6),0,IF($E476="","",BK476+(BL476+BU477)/(1+$AK476)*MIN((1-T476-U476),1)))</f>
        <v>62133.054643675969</v>
      </c>
      <c r="BV476" s="164">
        <f t="shared" si="309"/>
        <v>208.82203405027201</v>
      </c>
      <c r="BW476" s="164">
        <f t="shared" si="310"/>
        <v>5099.1555958359095</v>
      </c>
      <c r="BX476" s="164">
        <f t="shared" si="311"/>
        <v>17.137674134449792</v>
      </c>
    </row>
    <row r="477" spans="1:76" s="150" customFormat="1" x14ac:dyDescent="0.25">
      <c r="A477" s="150">
        <f t="shared" si="322"/>
        <v>473</v>
      </c>
      <c r="B477" s="150">
        <f t="shared" si="323"/>
        <v>40</v>
      </c>
      <c r="C477" s="150">
        <f t="shared" si="324"/>
        <v>5</v>
      </c>
      <c r="D477" s="150">
        <f>IF(E477="","",Input!$C$4+B477-1)</f>
        <v>84</v>
      </c>
      <c r="E477" s="150">
        <f>IF(OR(AND(C476=12,D476=Input!$C$6),E476=""),"",1)</f>
        <v>1</v>
      </c>
      <c r="F477" s="150">
        <f>IF(E477="","",Input!$C$8+B477-1)</f>
        <v>2057</v>
      </c>
      <c r="G477" s="151">
        <f>IF(E477="","",MAX(0,Input!$C$9-B477))</f>
        <v>0</v>
      </c>
      <c r="H477" s="152">
        <f>IF(E477="","",Input!$C$3)</f>
        <v>100000</v>
      </c>
      <c r="I477" s="153">
        <f>IF(E477="","",HLOOKUP($B477,Input!$C$13:$BT$14,2))</f>
        <v>176.8655</v>
      </c>
      <c r="J477" s="154"/>
      <c r="K477" s="155">
        <f>IF($E477="","",INDEX(Input!$C$16:$CP$16,1,$B477))</f>
        <v>3.1150000000000001E-2</v>
      </c>
      <c r="L477" s="155">
        <f>IF($E477="","",Input!$C$37)</f>
        <v>1.4999999999999999E-2</v>
      </c>
      <c r="M477" s="155">
        <f t="shared" si="287"/>
        <v>4.6149999999999997E-2</v>
      </c>
      <c r="N477" s="155">
        <f t="shared" si="288"/>
        <v>3.766806550707047E-3</v>
      </c>
      <c r="O477" s="147">
        <f>IF($E477="","",MIN(VLOOKUP(IF($B477&lt;=Input!$C$7,$B477,26),'Mortality Tables'!$A$41:$CW$67,IF($B477&lt;=Input!$C$7+1,Input!$C$4+2,$D477-Input!$C$7+2),0)*IF(B477&gt;20,Input!$C$22,1)/1000,1))</f>
        <v>0.19977520000000001</v>
      </c>
      <c r="P477" s="147">
        <f>IF($E477="","",MIN(VLOOKUP(IF($B477&lt;=Input!$C$7,$B477,26),'Mortality Tables'!$A$12:$CW$37,IF($B477&lt;=Input!$C$7+1,Input!$C$4+2,$D477-Input!$C$7+2),0)*IF(B477&gt;20,Input!$C$22,1)/1000,1))</f>
        <v>0.249719</v>
      </c>
      <c r="Q477" s="155">
        <f>IF($E477="","",Input!$C$21)</f>
        <v>5.0000000000000001E-3</v>
      </c>
      <c r="R477" s="159">
        <f>IF($E477="","",(1-Q477)^($F477-Input!$C$20))</f>
        <v>0.82243228243484889</v>
      </c>
      <c r="S477" s="147">
        <f t="shared" si="290"/>
        <v>0.16430157370987844</v>
      </c>
      <c r="T477" s="147">
        <f t="shared" si="291"/>
        <v>1.4845984142645707E-2</v>
      </c>
      <c r="U477" s="160">
        <f>IF($E477="","",IF($C477=12,INDEX(Input!$C$15:$CP$15,1,$B477),0))</f>
        <v>0</v>
      </c>
      <c r="V477" s="150">
        <f>IF(E477="","",IF(C477=1,IF($B477=1,Input!$C$33,Input!$C$34),0))</f>
        <v>0</v>
      </c>
      <c r="W477" s="156">
        <f>IF($E477="","",Input!$C$35)</f>
        <v>0.02</v>
      </c>
      <c r="X477" s="156">
        <f t="shared" si="289"/>
        <v>2.1647447682498568</v>
      </c>
      <c r="Y477" s="154"/>
      <c r="Z477" s="147">
        <f>IF($E477="","",VLOOKUP($D477,'Mortality Margins &amp; Grading'!$AB$5:$AF$125,3,0)*IF(Summary!$D$25="Included Margin",IF(AND($B477&gt;Input!$C$9,Summary!$D$31&lt;&gt;"Included Margin"),0,1),0))</f>
        <v>2.4E-2</v>
      </c>
      <c r="AA477" s="147">
        <f>IF($E477="","",VLOOKUP($D477,'Mortality Margins &amp; Grading'!$AB$5:$AF$125,5,0)*IF(Summary!$D$25="Included Margin",IF(AND($B477&gt;Input!$C$9,Summary!$D$31&lt;&gt;"Included Margin"),0,1),0))</f>
        <v>0.125</v>
      </c>
      <c r="AB477" s="147">
        <f>IF($E477="","",IF(AND($B477&gt;Input!$C$9,Summary!$D$31&lt;&gt;"Included Margin"),1,IF(Summary!$D$25="Included Margin",VLOOKUP($B477,'Mortality Margins &amp; Grading'!$AI$5:$AR$125,MATCH('Mortality Margins &amp; Grading'!$AQ$4,'Mortality Margins &amp; Grading'!$AI$4:$AR$4,0),0),1)))</f>
        <v>0.3125</v>
      </c>
      <c r="AC477" s="154"/>
      <c r="AD477" s="158">
        <f>IF(E477="","",Input!$C$48*IF(Summary!$D$30="Included Margin",IF(AND($B477&gt;Input!$C$9,Summary!$D$31&lt;&gt;"Included Margin"),0,1),0))</f>
        <v>-4.4999999999999997E-3</v>
      </c>
      <c r="AE477" s="159">
        <f>IF(E477="","",IF(Summary!$D$26="Included Margin",IF(AND($B477&gt;Input!$C$9,Summary!$D$31&lt;&gt;"Included Margin"),1,1/$R477),1))</f>
        <v>1.2159055783163735</v>
      </c>
      <c r="AF477" s="160">
        <f>IF(E477="","",IF(AND($B477&gt;=Input!$C$9,$C477=12,Summary!$D$31="Included Margin",$U477&gt;0),1/U477-1,IF($B477&gt;=Input!$C$9,0,Input!$C$45*IF(Summary!$D$27="Included Margin",1,0))))</f>
        <v>0</v>
      </c>
      <c r="AG477" s="160">
        <f>IF(E477="","",Input!$C$46*IF(Summary!$D$28="Included Margin",IF(AND($B477&gt;Input!$C$9,Summary!$D$31&lt;&gt;"Included Margin"),0,1),0))</f>
        <v>0.02</v>
      </c>
      <c r="AH477" s="158">
        <f>IF(E477="","",Input!$C$47*IF(Summary!$D$29="Included Margin",IF(AND($B477&gt;Input!$C$9,Summary!$D$31&lt;&gt;"Included Margin"),0,1),0))</f>
        <v>2.5000000000000001E-3</v>
      </c>
      <c r="AI477" s="154"/>
      <c r="AJ477" s="158">
        <f t="shared" si="312"/>
        <v>4.165E-2</v>
      </c>
      <c r="AK477" s="155">
        <f t="shared" si="313"/>
        <v>3.4062877903533462E-3</v>
      </c>
      <c r="AL477" s="147">
        <f t="shared" si="314"/>
        <v>0.2570701030625</v>
      </c>
      <c r="AM477" s="147">
        <f t="shared" si="292"/>
        <v>2.445871621445217E-2</v>
      </c>
      <c r="AN477" s="160">
        <f t="shared" si="315"/>
        <v>0</v>
      </c>
      <c r="AO477" s="161">
        <f t="shared" si="316"/>
        <v>0</v>
      </c>
      <c r="AP477" s="156">
        <f t="shared" si="293"/>
        <v>2.3816029001678714</v>
      </c>
      <c r="AQ477" s="152"/>
      <c r="AR477" s="162">
        <f t="shared" si="294"/>
        <v>17737.012079968143</v>
      </c>
      <c r="AS477" s="150">
        <f t="shared" si="317"/>
        <v>0</v>
      </c>
      <c r="AT477" s="163">
        <f t="shared" si="295"/>
        <v>0</v>
      </c>
      <c r="AU477" s="163">
        <f t="shared" si="296"/>
        <v>2445.871621445217</v>
      </c>
      <c r="AV477" s="163">
        <f t="shared" si="318"/>
        <v>56.251696364895004</v>
      </c>
      <c r="AW477" s="163">
        <f t="shared" si="297"/>
        <v>384.78913073243564</v>
      </c>
      <c r="AX477" s="163">
        <f t="shared" si="298"/>
        <v>0</v>
      </c>
      <c r="AY477" s="164">
        <f t="shared" si="319"/>
        <v>15732.181285620256</v>
      </c>
      <c r="AZ477" s="164">
        <f>IF($E477="","",IF(OR(AND($D477=Input!$C$6,$C477=12),$AN477=1),0,-AS478+AT478+AU478-AV478-AW478-AX478+AZ478))</f>
        <v>15732.188368295119</v>
      </c>
      <c r="BA477" s="154">
        <f t="shared" si="299"/>
        <v>7.0826748633407988E-3</v>
      </c>
      <c r="BC477" s="147">
        <f t="shared" si="320"/>
        <v>3.3109890801910772E-3</v>
      </c>
      <c r="BD477" s="164">
        <f>IF(AND($C476=12,$D476=Input!$C$6),0,IF($E477="","",AT477+(AU477+BD478)/(1+$AK477)*MIN((1-AM477-AN477),1)))</f>
        <v>14754.489514452465</v>
      </c>
      <c r="BE477" s="164">
        <f t="shared" si="300"/>
        <v>48.85195366614586</v>
      </c>
      <c r="BF477" s="164">
        <f t="shared" si="321"/>
        <v>15732.188368295119</v>
      </c>
      <c r="BG477" s="164">
        <f t="shared" si="301"/>
        <v>52.089103894934219</v>
      </c>
      <c r="BH477" s="152"/>
      <c r="BI477" s="162">
        <f t="shared" si="302"/>
        <v>5099.1503395563841</v>
      </c>
      <c r="BJ477" s="150">
        <f t="shared" si="303"/>
        <v>0</v>
      </c>
      <c r="BK477" s="163">
        <f t="shared" si="325"/>
        <v>0</v>
      </c>
      <c r="BL477" s="163">
        <f t="shared" si="304"/>
        <v>1484.5984142645707</v>
      </c>
      <c r="BM477" s="163">
        <f t="shared" si="326"/>
        <v>16.411415386070512</v>
      </c>
      <c r="BN477" s="163">
        <f t="shared" si="305"/>
        <v>54.717639420026956</v>
      </c>
      <c r="BO477" s="163">
        <f t="shared" si="306"/>
        <v>0</v>
      </c>
      <c r="BP477" s="164">
        <f t="shared" si="327"/>
        <v>3685.6809800979108</v>
      </c>
      <c r="BQ477" s="164">
        <f>IF($E477="","",IF(AND($D477=Input!$C$6,$C477=12),0,-BJ478+BK478+BL478-BM478-BN478-BO478+BQ478))</f>
        <v>3685.6862363774362</v>
      </c>
      <c r="BR477" s="161">
        <f t="shared" si="307"/>
        <v>0</v>
      </c>
      <c r="BT477" s="147">
        <f t="shared" si="308"/>
        <v>3.3109890801910772E-3</v>
      </c>
      <c r="BU477" s="164">
        <f>IF(AND($C476=12,$D476=Input!$C$6),0,IF($E477="","",BK477+(BL477+BU478)/(1+$AK477)*MIN((1-T477-U477),1)))</f>
        <v>61799.615734554674</v>
      </c>
      <c r="BV477" s="164">
        <f t="shared" si="309"/>
        <v>204.6178528571152</v>
      </c>
      <c r="BW477" s="164">
        <f t="shared" si="310"/>
        <v>3685.6862363774362</v>
      </c>
      <c r="BX477" s="164">
        <f t="shared" si="311"/>
        <v>12.203266881656241</v>
      </c>
    </row>
    <row r="478" spans="1:76" s="150" customFormat="1" x14ac:dyDescent="0.25">
      <c r="A478" s="150">
        <f t="shared" si="322"/>
        <v>474</v>
      </c>
      <c r="B478" s="150">
        <f t="shared" si="323"/>
        <v>40</v>
      </c>
      <c r="C478" s="150">
        <f t="shared" si="324"/>
        <v>6</v>
      </c>
      <c r="D478" s="150">
        <f>IF(E478="","",Input!$C$4+B478-1)</f>
        <v>84</v>
      </c>
      <c r="E478" s="150">
        <f>IF(OR(AND(C477=12,D477=Input!$C$6),E477=""),"",1)</f>
        <v>1</v>
      </c>
      <c r="F478" s="150">
        <f>IF(E478="","",Input!$C$8+B478-1)</f>
        <v>2057</v>
      </c>
      <c r="G478" s="151">
        <f>IF(E478="","",MAX(0,Input!$C$9-B478))</f>
        <v>0</v>
      </c>
      <c r="H478" s="152">
        <f>IF(E478="","",Input!$C$3)</f>
        <v>100000</v>
      </c>
      <c r="I478" s="153">
        <f>IF(E478="","",HLOOKUP($B478,Input!$C$13:$BT$14,2))</f>
        <v>176.8655</v>
      </c>
      <c r="J478" s="154"/>
      <c r="K478" s="155">
        <f>IF($E478="","",INDEX(Input!$C$16:$CP$16,1,$B478))</f>
        <v>3.1150000000000001E-2</v>
      </c>
      <c r="L478" s="155">
        <f>IF($E478="","",Input!$C$37)</f>
        <v>1.4999999999999999E-2</v>
      </c>
      <c r="M478" s="155">
        <f t="shared" si="287"/>
        <v>4.6149999999999997E-2</v>
      </c>
      <c r="N478" s="155">
        <f t="shared" si="288"/>
        <v>3.766806550707047E-3</v>
      </c>
      <c r="O478" s="147">
        <f>IF($E478="","",MIN(VLOOKUP(IF($B478&lt;=Input!$C$7,$B478,26),'Mortality Tables'!$A$41:$CW$67,IF($B478&lt;=Input!$C$7+1,Input!$C$4+2,$D478-Input!$C$7+2),0)*IF(B478&gt;20,Input!$C$22,1)/1000,1))</f>
        <v>0.19977520000000001</v>
      </c>
      <c r="P478" s="147">
        <f>IF($E478="","",MIN(VLOOKUP(IF($B478&lt;=Input!$C$7,$B478,26),'Mortality Tables'!$A$12:$CW$37,IF($B478&lt;=Input!$C$7+1,Input!$C$4+2,$D478-Input!$C$7+2),0)*IF(B478&gt;20,Input!$C$22,1)/1000,1))</f>
        <v>0.249719</v>
      </c>
      <c r="Q478" s="155">
        <f>IF($E478="","",Input!$C$21)</f>
        <v>5.0000000000000001E-3</v>
      </c>
      <c r="R478" s="159">
        <f>IF($E478="","",(1-Q478)^($F478-Input!$C$20))</f>
        <v>0.82243228243484889</v>
      </c>
      <c r="S478" s="147">
        <f t="shared" si="290"/>
        <v>0.16430157370987844</v>
      </c>
      <c r="T478" s="147">
        <f t="shared" si="291"/>
        <v>1.4845984142645707E-2</v>
      </c>
      <c r="U478" s="160">
        <f>IF($E478="","",IF($C478=12,INDEX(Input!$C$15:$CP$15,1,$B478),0))</f>
        <v>0</v>
      </c>
      <c r="V478" s="150">
        <f>IF(E478="","",IF(C478=1,IF($B478=1,Input!$C$33,Input!$C$34),0))</f>
        <v>0</v>
      </c>
      <c r="W478" s="156">
        <f>IF($E478="","",Input!$C$35)</f>
        <v>0.02</v>
      </c>
      <c r="X478" s="156">
        <f t="shared" si="289"/>
        <v>2.1647447682498568</v>
      </c>
      <c r="Y478" s="154"/>
      <c r="Z478" s="147">
        <f>IF($E478="","",VLOOKUP($D478,'Mortality Margins &amp; Grading'!$AB$5:$AF$125,3,0)*IF(Summary!$D$25="Included Margin",IF(AND($B478&gt;Input!$C$9,Summary!$D$31&lt;&gt;"Included Margin"),0,1),0))</f>
        <v>2.4E-2</v>
      </c>
      <c r="AA478" s="147">
        <f>IF($E478="","",VLOOKUP($D478,'Mortality Margins &amp; Grading'!$AB$5:$AF$125,5,0)*IF(Summary!$D$25="Included Margin",IF(AND($B478&gt;Input!$C$9,Summary!$D$31&lt;&gt;"Included Margin"),0,1),0))</f>
        <v>0.125</v>
      </c>
      <c r="AB478" s="147">
        <f>IF($E478="","",IF(AND($B478&gt;Input!$C$9,Summary!$D$31&lt;&gt;"Included Margin"),1,IF(Summary!$D$25="Included Margin",VLOOKUP($B478,'Mortality Margins &amp; Grading'!$AI$5:$AR$125,MATCH('Mortality Margins &amp; Grading'!$AQ$4,'Mortality Margins &amp; Grading'!$AI$4:$AR$4,0),0),1)))</f>
        <v>0.3125</v>
      </c>
      <c r="AC478" s="154"/>
      <c r="AD478" s="158">
        <f>IF(E478="","",Input!$C$48*IF(Summary!$D$30="Included Margin",IF(AND($B478&gt;Input!$C$9,Summary!$D$31&lt;&gt;"Included Margin"),0,1),0))</f>
        <v>-4.4999999999999997E-3</v>
      </c>
      <c r="AE478" s="159">
        <f>IF(E478="","",IF(Summary!$D$26="Included Margin",IF(AND($B478&gt;Input!$C$9,Summary!$D$31&lt;&gt;"Included Margin"),1,1/$R478),1))</f>
        <v>1.2159055783163735</v>
      </c>
      <c r="AF478" s="160">
        <f>IF(E478="","",IF(AND($B478&gt;=Input!$C$9,$C478=12,Summary!$D$31="Included Margin",$U478&gt;0),1/U478-1,IF($B478&gt;=Input!$C$9,0,Input!$C$45*IF(Summary!$D$27="Included Margin",1,0))))</f>
        <v>0</v>
      </c>
      <c r="AG478" s="160">
        <f>IF(E478="","",Input!$C$46*IF(Summary!$D$28="Included Margin",IF(AND($B478&gt;Input!$C$9,Summary!$D$31&lt;&gt;"Included Margin"),0,1),0))</f>
        <v>0.02</v>
      </c>
      <c r="AH478" s="158">
        <f>IF(E478="","",Input!$C$47*IF(Summary!$D$29="Included Margin",IF(AND($B478&gt;Input!$C$9,Summary!$D$31&lt;&gt;"Included Margin"),0,1),0))</f>
        <v>2.5000000000000001E-3</v>
      </c>
      <c r="AI478" s="154"/>
      <c r="AJ478" s="158">
        <f t="shared" si="312"/>
        <v>4.165E-2</v>
      </c>
      <c r="AK478" s="155">
        <f t="shared" si="313"/>
        <v>3.4062877903533462E-3</v>
      </c>
      <c r="AL478" s="147">
        <f t="shared" si="314"/>
        <v>0.2570701030625</v>
      </c>
      <c r="AM478" s="147">
        <f t="shared" si="292"/>
        <v>2.445871621445217E-2</v>
      </c>
      <c r="AN478" s="160">
        <f t="shared" si="315"/>
        <v>0</v>
      </c>
      <c r="AO478" s="161">
        <f t="shared" si="316"/>
        <v>0</v>
      </c>
      <c r="AP478" s="156">
        <f t="shared" si="293"/>
        <v>2.3816029001678714</v>
      </c>
      <c r="AQ478" s="152"/>
      <c r="AR478" s="162">
        <f t="shared" si="294"/>
        <v>15732.181285620254</v>
      </c>
      <c r="AS478" s="150">
        <f t="shared" si="317"/>
        <v>0</v>
      </c>
      <c r="AT478" s="163">
        <f t="shared" si="295"/>
        <v>0</v>
      </c>
      <c r="AU478" s="163">
        <f t="shared" si="296"/>
        <v>2445.871621445217</v>
      </c>
      <c r="AV478" s="163">
        <f t="shared" si="318"/>
        <v>49.422665708383384</v>
      </c>
      <c r="AW478" s="163">
        <f t="shared" si="297"/>
        <v>334.35290871129439</v>
      </c>
      <c r="AX478" s="163">
        <f t="shared" si="298"/>
        <v>0</v>
      </c>
      <c r="AY478" s="165">
        <f t="shared" si="319"/>
        <v>13670.085238594716</v>
      </c>
      <c r="AZ478" s="164">
        <f>IF($E478="","",IF(OR(AND($D478=Input!$C$6,$C478=12),$AN478=1),0,-AS479+AT479+AU479-AV479-AW479-AX479+AZ479))</f>
        <v>13670.09232126958</v>
      </c>
      <c r="BA478" s="154">
        <f t="shared" si="299"/>
        <v>7.0826748633407988E-3</v>
      </c>
      <c r="BC478" s="147">
        <f t="shared" si="320"/>
        <v>3.2618341888100873E-3</v>
      </c>
      <c r="BD478" s="164">
        <f>IF(AND($C477=12,$D477=Input!$C$6),0,IF($E478="","",AT478+(AU478+BD479)/(1+$AK478)*MIN((1-AM478-AN478),1)))</f>
        <v>12730.059728675842</v>
      </c>
      <c r="BE478" s="164">
        <f t="shared" si="300"/>
        <v>41.523344048589323</v>
      </c>
      <c r="BF478" s="164">
        <f t="shared" si="321"/>
        <v>13670.09232126958</v>
      </c>
      <c r="BG478" s="164">
        <f t="shared" si="301"/>
        <v>44.58957449770736</v>
      </c>
      <c r="BH478" s="152"/>
      <c r="BI478" s="162">
        <f t="shared" si="302"/>
        <v>3685.6809800979108</v>
      </c>
      <c r="BJ478" s="150">
        <f t="shared" si="303"/>
        <v>0</v>
      </c>
      <c r="BK478" s="163">
        <f t="shared" si="325"/>
        <v>0</v>
      </c>
      <c r="BL478" s="163">
        <f t="shared" si="304"/>
        <v>1484.5984142645707</v>
      </c>
      <c r="BM478" s="163">
        <f t="shared" si="326"/>
        <v>11.087149743638641</v>
      </c>
      <c r="BN478" s="163">
        <f t="shared" si="305"/>
        <v>33.336832641704149</v>
      </c>
      <c r="BO478" s="163">
        <f t="shared" si="306"/>
        <v>0</v>
      </c>
      <c r="BP478" s="164">
        <f t="shared" si="327"/>
        <v>2245.5065482186828</v>
      </c>
      <c r="BQ478" s="164">
        <f>IF($E478="","",IF(AND($D478=Input!$C$6,$C478=12),0,-BJ479+BK479+BL479-BM479-BN479-BO479+BQ479))</f>
        <v>2245.5118044982082</v>
      </c>
      <c r="BR478" s="161">
        <f t="shared" si="307"/>
        <v>0</v>
      </c>
      <c r="BT478" s="147">
        <f t="shared" si="308"/>
        <v>3.2618341888100873E-3</v>
      </c>
      <c r="BU478" s="164">
        <f>IF(AND($C477=12,$D477=Input!$C$6),0,IF($E478="","",BK478+(BL478+BU479)/(1+$AK478)*MIN((1-T478-U478),1)))</f>
        <v>61459.999093277431</v>
      </c>
      <c r="BV478" s="164">
        <f t="shared" si="309"/>
        <v>200.47232628668928</v>
      </c>
      <c r="BW478" s="164">
        <f t="shared" si="310"/>
        <v>2245.5118044982082</v>
      </c>
      <c r="BX478" s="164">
        <f t="shared" si="311"/>
        <v>7.3244871752888887</v>
      </c>
    </row>
    <row r="479" spans="1:76" s="150" customFormat="1" x14ac:dyDescent="0.25">
      <c r="A479" s="150">
        <f t="shared" si="322"/>
        <v>475</v>
      </c>
      <c r="B479" s="150">
        <f t="shared" si="323"/>
        <v>40</v>
      </c>
      <c r="C479" s="150">
        <f t="shared" si="324"/>
        <v>7</v>
      </c>
      <c r="D479" s="150">
        <f>IF(E479="","",Input!$C$4+B479-1)</f>
        <v>84</v>
      </c>
      <c r="E479" s="150">
        <f>IF(OR(AND(C478=12,D478=Input!$C$6),E478=""),"",1)</f>
        <v>1</v>
      </c>
      <c r="F479" s="150">
        <f>IF(E479="","",Input!$C$8+B479-1)</f>
        <v>2057</v>
      </c>
      <c r="G479" s="151">
        <f>IF(E479="","",MAX(0,Input!$C$9-B479))</f>
        <v>0</v>
      </c>
      <c r="H479" s="152">
        <f>IF(E479="","",Input!$C$3)</f>
        <v>100000</v>
      </c>
      <c r="I479" s="153">
        <f>IF(E479="","",HLOOKUP($B479,Input!$C$13:$BT$14,2))</f>
        <v>176.8655</v>
      </c>
      <c r="J479" s="154"/>
      <c r="K479" s="155">
        <f>IF($E479="","",INDEX(Input!$C$16:$CP$16,1,$B479))</f>
        <v>3.1150000000000001E-2</v>
      </c>
      <c r="L479" s="155">
        <f>IF($E479="","",Input!$C$37)</f>
        <v>1.4999999999999999E-2</v>
      </c>
      <c r="M479" s="155">
        <f t="shared" si="287"/>
        <v>4.6149999999999997E-2</v>
      </c>
      <c r="N479" s="155">
        <f t="shared" si="288"/>
        <v>3.766806550707047E-3</v>
      </c>
      <c r="O479" s="147">
        <f>IF($E479="","",MIN(VLOOKUP(IF($B479&lt;=Input!$C$7,$B479,26),'Mortality Tables'!$A$41:$CW$67,IF($B479&lt;=Input!$C$7+1,Input!$C$4+2,$D479-Input!$C$7+2),0)*IF(B479&gt;20,Input!$C$22,1)/1000,1))</f>
        <v>0.19977520000000001</v>
      </c>
      <c r="P479" s="147">
        <f>IF($E479="","",MIN(VLOOKUP(IF($B479&lt;=Input!$C$7,$B479,26),'Mortality Tables'!$A$12:$CW$37,IF($B479&lt;=Input!$C$7+1,Input!$C$4+2,$D479-Input!$C$7+2),0)*IF(B479&gt;20,Input!$C$22,1)/1000,1))</f>
        <v>0.249719</v>
      </c>
      <c r="Q479" s="155">
        <f>IF($E479="","",Input!$C$21)</f>
        <v>5.0000000000000001E-3</v>
      </c>
      <c r="R479" s="159">
        <f>IF($E479="","",(1-Q479)^($F479-Input!$C$20))</f>
        <v>0.82243228243484889</v>
      </c>
      <c r="S479" s="147">
        <f t="shared" si="290"/>
        <v>0.16430157370987844</v>
      </c>
      <c r="T479" s="147">
        <f t="shared" si="291"/>
        <v>1.4845984142645707E-2</v>
      </c>
      <c r="U479" s="160">
        <f>IF($E479="","",IF($C479=12,INDEX(Input!$C$15:$CP$15,1,$B479),0))</f>
        <v>0</v>
      </c>
      <c r="V479" s="150">
        <f>IF(E479="","",IF(C479=1,IF($B479=1,Input!$C$33,Input!$C$34),0))</f>
        <v>0</v>
      </c>
      <c r="W479" s="156">
        <f>IF($E479="","",Input!$C$35)</f>
        <v>0.02</v>
      </c>
      <c r="X479" s="156">
        <f t="shared" si="289"/>
        <v>2.1647447682498568</v>
      </c>
      <c r="Y479" s="154"/>
      <c r="Z479" s="147">
        <f>IF($E479="","",VLOOKUP($D479,'Mortality Margins &amp; Grading'!$AB$5:$AF$125,3,0)*IF(Summary!$D$25="Included Margin",IF(AND($B479&gt;Input!$C$9,Summary!$D$31&lt;&gt;"Included Margin"),0,1),0))</f>
        <v>2.4E-2</v>
      </c>
      <c r="AA479" s="147">
        <f>IF($E479="","",VLOOKUP($D479,'Mortality Margins &amp; Grading'!$AB$5:$AF$125,5,0)*IF(Summary!$D$25="Included Margin",IF(AND($B479&gt;Input!$C$9,Summary!$D$31&lt;&gt;"Included Margin"),0,1),0))</f>
        <v>0.125</v>
      </c>
      <c r="AB479" s="147">
        <f>IF($E479="","",IF(AND($B479&gt;Input!$C$9,Summary!$D$31&lt;&gt;"Included Margin"),1,IF(Summary!$D$25="Included Margin",VLOOKUP($B479,'Mortality Margins &amp; Grading'!$AI$5:$AR$125,MATCH('Mortality Margins &amp; Grading'!$AQ$4,'Mortality Margins &amp; Grading'!$AI$4:$AR$4,0),0),1)))</f>
        <v>0.3125</v>
      </c>
      <c r="AC479" s="154"/>
      <c r="AD479" s="158">
        <f>IF(E479="","",Input!$C$48*IF(Summary!$D$30="Included Margin",IF(AND($B479&gt;Input!$C$9,Summary!$D$31&lt;&gt;"Included Margin"),0,1),0))</f>
        <v>-4.4999999999999997E-3</v>
      </c>
      <c r="AE479" s="159">
        <f>IF(E479="","",IF(Summary!$D$26="Included Margin",IF(AND($B479&gt;Input!$C$9,Summary!$D$31&lt;&gt;"Included Margin"),1,1/$R479),1))</f>
        <v>1.2159055783163735</v>
      </c>
      <c r="AF479" s="160">
        <f>IF(E479="","",IF(AND($B479&gt;=Input!$C$9,$C479=12,Summary!$D$31="Included Margin",$U479&gt;0),1/U479-1,IF($B479&gt;=Input!$C$9,0,Input!$C$45*IF(Summary!$D$27="Included Margin",1,0))))</f>
        <v>0</v>
      </c>
      <c r="AG479" s="160">
        <f>IF(E479="","",Input!$C$46*IF(Summary!$D$28="Included Margin",IF(AND($B479&gt;Input!$C$9,Summary!$D$31&lt;&gt;"Included Margin"),0,1),0))</f>
        <v>0.02</v>
      </c>
      <c r="AH479" s="158">
        <f>IF(E479="","",Input!$C$47*IF(Summary!$D$29="Included Margin",IF(AND($B479&gt;Input!$C$9,Summary!$D$31&lt;&gt;"Included Margin"),0,1),0))</f>
        <v>2.5000000000000001E-3</v>
      </c>
      <c r="AI479" s="154"/>
      <c r="AJ479" s="158">
        <f t="shared" si="312"/>
        <v>4.165E-2</v>
      </c>
      <c r="AK479" s="155">
        <f t="shared" si="313"/>
        <v>3.4062877903533462E-3</v>
      </c>
      <c r="AL479" s="147">
        <f t="shared" si="314"/>
        <v>0.2570701030625</v>
      </c>
      <c r="AM479" s="147">
        <f t="shared" si="292"/>
        <v>2.445871621445217E-2</v>
      </c>
      <c r="AN479" s="160">
        <f t="shared" si="315"/>
        <v>0</v>
      </c>
      <c r="AO479" s="161">
        <f t="shared" si="316"/>
        <v>0</v>
      </c>
      <c r="AP479" s="156">
        <f t="shared" si="293"/>
        <v>2.3816029001678714</v>
      </c>
      <c r="AQ479" s="152"/>
      <c r="AR479" s="162">
        <f t="shared" si="294"/>
        <v>13670.085238594715</v>
      </c>
      <c r="AS479" s="150">
        <f t="shared" si="317"/>
        <v>0</v>
      </c>
      <c r="AT479" s="163">
        <f t="shared" si="295"/>
        <v>0</v>
      </c>
      <c r="AU479" s="163">
        <f t="shared" si="296"/>
        <v>2445.871621445217</v>
      </c>
      <c r="AV479" s="163">
        <f t="shared" si="318"/>
        <v>42.398573120864391</v>
      </c>
      <c r="AW479" s="163">
        <f t="shared" si="297"/>
        <v>282.4760449131565</v>
      </c>
      <c r="AX479" s="163">
        <f t="shared" si="298"/>
        <v>0</v>
      </c>
      <c r="AY479" s="164">
        <f t="shared" si="319"/>
        <v>11549.088235183519</v>
      </c>
      <c r="AZ479" s="164">
        <f>IF($E479="","",IF(OR(AND($D479=Input!$C$6,$C479=12),$AN479=1),0,-AS480+AT480+AU480-AV480-AW480-AX480+AZ480))</f>
        <v>11549.095317858384</v>
      </c>
      <c r="BA479" s="154">
        <f t="shared" si="299"/>
        <v>7.0826748651597882E-3</v>
      </c>
      <c r="BC479" s="147">
        <f t="shared" si="320"/>
        <v>3.2134090501670732E-3</v>
      </c>
      <c r="BD479" s="164">
        <f>IF(AND($C478=12,$D478=Input!$C$6),0,IF($E479="","",AT479+(AU479+BD480)/(1+$AK479)*MIN((1-AM479-AN479),1)))</f>
        <v>10647.804871807184</v>
      </c>
      <c r="BE479" s="164">
        <f t="shared" si="300"/>
        <v>34.21575253947826</v>
      </c>
      <c r="BF479" s="164">
        <f t="shared" si="321"/>
        <v>11549.095317858384</v>
      </c>
      <c r="BG479" s="164">
        <f t="shared" si="301"/>
        <v>37.111967415648301</v>
      </c>
      <c r="BH479" s="152"/>
      <c r="BI479" s="162">
        <f t="shared" si="302"/>
        <v>2245.5065482186828</v>
      </c>
      <c r="BJ479" s="150">
        <f t="shared" si="303"/>
        <v>0</v>
      </c>
      <c r="BK479" s="163">
        <f t="shared" si="325"/>
        <v>0</v>
      </c>
      <c r="BL479" s="163">
        <f t="shared" si="304"/>
        <v>1484.5984142645707</v>
      </c>
      <c r="BM479" s="163">
        <f t="shared" si="326"/>
        <v>5.6622912594751647</v>
      </c>
      <c r="BN479" s="163">
        <f t="shared" si="305"/>
        <v>11.552072293671117</v>
      </c>
      <c r="BO479" s="163">
        <f t="shared" si="306"/>
        <v>0</v>
      </c>
      <c r="BP479" s="164">
        <f t="shared" si="327"/>
        <v>778.12249750725846</v>
      </c>
      <c r="BQ479" s="164">
        <f>IF($E479="","",IF(AND($D479=Input!$C$6,$C479=12),0,-BJ480+BK480+BL480-BM480-BN480-BO480+BQ480))</f>
        <v>778.12775378678384</v>
      </c>
      <c r="BR479" s="161">
        <f t="shared" si="307"/>
        <v>0</v>
      </c>
      <c r="BT479" s="147">
        <f t="shared" si="308"/>
        <v>3.2134090501670732E-3</v>
      </c>
      <c r="BU479" s="164">
        <f>IF(AND($C478=12,$D478=Input!$C$6),0,IF($E479="","",BK479+(BL479+BU480)/(1+$AK479)*MIN((1-T479-U479),1)))</f>
        <v>61114.090262972095</v>
      </c>
      <c r="BV479" s="164">
        <f t="shared" si="309"/>
        <v>196.38457074376194</v>
      </c>
      <c r="BW479" s="164">
        <f t="shared" si="310"/>
        <v>778.12775378678384</v>
      </c>
      <c r="BX479" s="164">
        <f t="shared" si="311"/>
        <v>2.5004427662046274</v>
      </c>
    </row>
    <row r="480" spans="1:76" s="150" customFormat="1" x14ac:dyDescent="0.25">
      <c r="A480" s="150">
        <f t="shared" si="322"/>
        <v>476</v>
      </c>
      <c r="B480" s="150">
        <f t="shared" si="323"/>
        <v>40</v>
      </c>
      <c r="C480" s="150">
        <f t="shared" si="324"/>
        <v>8</v>
      </c>
      <c r="D480" s="150">
        <f>IF(E480="","",Input!$C$4+B480-1)</f>
        <v>84</v>
      </c>
      <c r="E480" s="150">
        <f>IF(OR(AND(C479=12,D479=Input!$C$6),E479=""),"",1)</f>
        <v>1</v>
      </c>
      <c r="F480" s="150">
        <f>IF(E480="","",Input!$C$8+B480-1)</f>
        <v>2057</v>
      </c>
      <c r="G480" s="151">
        <f>IF(E480="","",MAX(0,Input!$C$9-B480))</f>
        <v>0</v>
      </c>
      <c r="H480" s="152">
        <f>IF(E480="","",Input!$C$3)</f>
        <v>100000</v>
      </c>
      <c r="I480" s="153">
        <f>IF(E480="","",HLOOKUP($B480,Input!$C$13:$BT$14,2))</f>
        <v>176.8655</v>
      </c>
      <c r="J480" s="154"/>
      <c r="K480" s="155">
        <f>IF($E480="","",INDEX(Input!$C$16:$CP$16,1,$B480))</f>
        <v>3.1150000000000001E-2</v>
      </c>
      <c r="L480" s="155">
        <f>IF($E480="","",Input!$C$37)</f>
        <v>1.4999999999999999E-2</v>
      </c>
      <c r="M480" s="155">
        <f t="shared" si="287"/>
        <v>4.6149999999999997E-2</v>
      </c>
      <c r="N480" s="155">
        <f t="shared" si="288"/>
        <v>3.766806550707047E-3</v>
      </c>
      <c r="O480" s="147">
        <f>IF($E480="","",MIN(VLOOKUP(IF($B480&lt;=Input!$C$7,$B480,26),'Mortality Tables'!$A$41:$CW$67,IF($B480&lt;=Input!$C$7+1,Input!$C$4+2,$D480-Input!$C$7+2),0)*IF(B480&gt;20,Input!$C$22,1)/1000,1))</f>
        <v>0.19977520000000001</v>
      </c>
      <c r="P480" s="147">
        <f>IF($E480="","",MIN(VLOOKUP(IF($B480&lt;=Input!$C$7,$B480,26),'Mortality Tables'!$A$12:$CW$37,IF($B480&lt;=Input!$C$7+1,Input!$C$4+2,$D480-Input!$C$7+2),0)*IF(B480&gt;20,Input!$C$22,1)/1000,1))</f>
        <v>0.249719</v>
      </c>
      <c r="Q480" s="155">
        <f>IF($E480="","",Input!$C$21)</f>
        <v>5.0000000000000001E-3</v>
      </c>
      <c r="R480" s="159">
        <f>IF($E480="","",(1-Q480)^($F480-Input!$C$20))</f>
        <v>0.82243228243484889</v>
      </c>
      <c r="S480" s="147">
        <f t="shared" si="290"/>
        <v>0.16430157370987844</v>
      </c>
      <c r="T480" s="147">
        <f t="shared" si="291"/>
        <v>1.4845984142645707E-2</v>
      </c>
      <c r="U480" s="160">
        <f>IF($E480="","",IF($C480=12,INDEX(Input!$C$15:$CP$15,1,$B480),0))</f>
        <v>0</v>
      </c>
      <c r="V480" s="150">
        <f>IF(E480="","",IF(C480=1,IF($B480=1,Input!$C$33,Input!$C$34),0))</f>
        <v>0</v>
      </c>
      <c r="W480" s="156">
        <f>IF($E480="","",Input!$C$35)</f>
        <v>0.02</v>
      </c>
      <c r="X480" s="156">
        <f t="shared" si="289"/>
        <v>2.1647447682498568</v>
      </c>
      <c r="Y480" s="154"/>
      <c r="Z480" s="147">
        <f>IF($E480="","",VLOOKUP($D480,'Mortality Margins &amp; Grading'!$AB$5:$AF$125,3,0)*IF(Summary!$D$25="Included Margin",IF(AND($B480&gt;Input!$C$9,Summary!$D$31&lt;&gt;"Included Margin"),0,1),0))</f>
        <v>2.4E-2</v>
      </c>
      <c r="AA480" s="147">
        <f>IF($E480="","",VLOOKUP($D480,'Mortality Margins &amp; Grading'!$AB$5:$AF$125,5,0)*IF(Summary!$D$25="Included Margin",IF(AND($B480&gt;Input!$C$9,Summary!$D$31&lt;&gt;"Included Margin"),0,1),0))</f>
        <v>0.125</v>
      </c>
      <c r="AB480" s="147">
        <f>IF($E480="","",IF(AND($B480&gt;Input!$C$9,Summary!$D$31&lt;&gt;"Included Margin"),1,IF(Summary!$D$25="Included Margin",VLOOKUP($B480,'Mortality Margins &amp; Grading'!$AI$5:$AR$125,MATCH('Mortality Margins &amp; Grading'!$AQ$4,'Mortality Margins &amp; Grading'!$AI$4:$AR$4,0),0),1)))</f>
        <v>0.3125</v>
      </c>
      <c r="AC480" s="154"/>
      <c r="AD480" s="158">
        <f>IF(E480="","",Input!$C$48*IF(Summary!$D$30="Included Margin",IF(AND($B480&gt;Input!$C$9,Summary!$D$31&lt;&gt;"Included Margin"),0,1),0))</f>
        <v>-4.4999999999999997E-3</v>
      </c>
      <c r="AE480" s="159">
        <f>IF(E480="","",IF(Summary!$D$26="Included Margin",IF(AND($B480&gt;Input!$C$9,Summary!$D$31&lt;&gt;"Included Margin"),1,1/$R480),1))</f>
        <v>1.2159055783163735</v>
      </c>
      <c r="AF480" s="160">
        <f>IF(E480="","",IF(AND($B480&gt;=Input!$C$9,$C480=12,Summary!$D$31="Included Margin",$U480&gt;0),1/U480-1,IF($B480&gt;=Input!$C$9,0,Input!$C$45*IF(Summary!$D$27="Included Margin",1,0))))</f>
        <v>0</v>
      </c>
      <c r="AG480" s="160">
        <f>IF(E480="","",Input!$C$46*IF(Summary!$D$28="Included Margin",IF(AND($B480&gt;Input!$C$9,Summary!$D$31&lt;&gt;"Included Margin"),0,1),0))</f>
        <v>0.02</v>
      </c>
      <c r="AH480" s="158">
        <f>IF(E480="","",Input!$C$47*IF(Summary!$D$29="Included Margin",IF(AND($B480&gt;Input!$C$9,Summary!$D$31&lt;&gt;"Included Margin"),0,1),0))</f>
        <v>2.5000000000000001E-3</v>
      </c>
      <c r="AI480" s="154"/>
      <c r="AJ480" s="158">
        <f t="shared" si="312"/>
        <v>4.165E-2</v>
      </c>
      <c r="AK480" s="155">
        <f t="shared" si="313"/>
        <v>3.4062877903533462E-3</v>
      </c>
      <c r="AL480" s="147">
        <f t="shared" si="314"/>
        <v>0.2570701030625</v>
      </c>
      <c r="AM480" s="147">
        <f t="shared" si="292"/>
        <v>2.445871621445217E-2</v>
      </c>
      <c r="AN480" s="160">
        <f t="shared" si="315"/>
        <v>0</v>
      </c>
      <c r="AO480" s="161">
        <f t="shared" si="316"/>
        <v>0</v>
      </c>
      <c r="AP480" s="156">
        <f t="shared" si="293"/>
        <v>2.3816029001678714</v>
      </c>
      <c r="AQ480" s="152"/>
      <c r="AR480" s="162">
        <f t="shared" si="294"/>
        <v>11549.088235183521</v>
      </c>
      <c r="AS480" s="150">
        <f t="shared" si="317"/>
        <v>0</v>
      </c>
      <c r="AT480" s="163">
        <f t="shared" si="295"/>
        <v>0</v>
      </c>
      <c r="AU480" s="163">
        <f t="shared" si="296"/>
        <v>2445.871621445217</v>
      </c>
      <c r="AV480" s="163">
        <f t="shared" si="318"/>
        <v>35.17384692476881</v>
      </c>
      <c r="AW480" s="163">
        <f t="shared" si="297"/>
        <v>229.11738937384035</v>
      </c>
      <c r="AX480" s="163">
        <f t="shared" si="298"/>
        <v>0</v>
      </c>
      <c r="AY480" s="165">
        <f t="shared" si="319"/>
        <v>9367.5078500369109</v>
      </c>
      <c r="AZ480" s="164">
        <f>IF($E480="","",IF(OR(AND($D480=Input!$C$6,$C480=12),$AN480=1),0,-AS481+AT481+AU481-AV481-AW481-AX481+AZ481))</f>
        <v>9367.5149327117761</v>
      </c>
      <c r="BA480" s="154">
        <f t="shared" si="299"/>
        <v>7.0826748651597882E-3</v>
      </c>
      <c r="BC480" s="147">
        <f t="shared" si="320"/>
        <v>3.1657028303644585E-3</v>
      </c>
      <c r="BD480" s="164">
        <f>IF(AND($C479=12,$D479=Input!$C$6),0,IF($E480="","",AT480+(AU480+BD481)/(1+$AK480)*MIN((1-AM480-AN480),1)))</f>
        <v>8506.0732496902965</v>
      </c>
      <c r="BE480" s="164">
        <f t="shared" si="300"/>
        <v>26.927700161831979</v>
      </c>
      <c r="BF480" s="164">
        <f t="shared" si="321"/>
        <v>9367.5149327117761</v>
      </c>
      <c r="BG480" s="164">
        <f t="shared" si="301"/>
        <v>29.654768535966998</v>
      </c>
      <c r="BH480" s="152"/>
      <c r="BI480" s="162">
        <f t="shared" si="302"/>
        <v>778.12249750725823</v>
      </c>
      <c r="BJ480" s="150">
        <f t="shared" si="303"/>
        <v>0</v>
      </c>
      <c r="BK480" s="163">
        <f t="shared" si="325"/>
        <v>0</v>
      </c>
      <c r="BL480" s="163">
        <f t="shared" si="304"/>
        <v>1484.5984142645707</v>
      </c>
      <c r="BM480" s="163">
        <f t="shared" si="326"/>
        <v>0.13493940485232855</v>
      </c>
      <c r="BN480" s="163">
        <f t="shared" si="305"/>
        <v>-10.644273631983415</v>
      </c>
      <c r="BO480" s="163">
        <f t="shared" si="306"/>
        <v>0</v>
      </c>
      <c r="BP480" s="164">
        <f t="shared" si="327"/>
        <v>-716.98525098444361</v>
      </c>
      <c r="BQ480" s="164">
        <f>IF($E480="","",IF(AND($D480=Input!$C$6,$C480=12),0,-BJ481+BK481+BL481-BM481-BN481-BO481+BQ481))</f>
        <v>-716.979994704918</v>
      </c>
      <c r="BR480" s="161">
        <f t="shared" si="307"/>
        <v>0</v>
      </c>
      <c r="BT480" s="147">
        <f t="shared" si="308"/>
        <v>3.1657028303644585E-3</v>
      </c>
      <c r="BU480" s="164">
        <f>IF(AND($C479=12,$D479=Input!$C$6),0,IF($E480="","",BK480+(BL480+BU481)/(1+$AK480)*MIN((1-T480-U480),1)))</f>
        <v>60761.772666186458</v>
      </c>
      <c r="BV480" s="164">
        <f t="shared" si="309"/>
        <v>192.35371570730825</v>
      </c>
      <c r="BW480" s="164">
        <f t="shared" si="310"/>
        <v>-716.979994704918</v>
      </c>
      <c r="BX480" s="164">
        <f t="shared" si="311"/>
        <v>-2.2697455985520532</v>
      </c>
    </row>
    <row r="481" spans="1:76" s="150" customFormat="1" x14ac:dyDescent="0.25">
      <c r="A481" s="150">
        <f t="shared" si="322"/>
        <v>477</v>
      </c>
      <c r="B481" s="150">
        <f t="shared" si="323"/>
        <v>40</v>
      </c>
      <c r="C481" s="150">
        <f t="shared" si="324"/>
        <v>9</v>
      </c>
      <c r="D481" s="150">
        <f>IF(E481="","",Input!$C$4+B481-1)</f>
        <v>84</v>
      </c>
      <c r="E481" s="150">
        <f>IF(OR(AND(C480=12,D480=Input!$C$6),E480=""),"",1)</f>
        <v>1</v>
      </c>
      <c r="F481" s="150">
        <f>IF(E481="","",Input!$C$8+B481-1)</f>
        <v>2057</v>
      </c>
      <c r="G481" s="151">
        <f>IF(E481="","",MAX(0,Input!$C$9-B481))</f>
        <v>0</v>
      </c>
      <c r="H481" s="152">
        <f>IF(E481="","",Input!$C$3)</f>
        <v>100000</v>
      </c>
      <c r="I481" s="153">
        <f>IF(E481="","",HLOOKUP($B481,Input!$C$13:$BT$14,2))</f>
        <v>176.8655</v>
      </c>
      <c r="J481" s="154"/>
      <c r="K481" s="155">
        <f>IF($E481="","",INDEX(Input!$C$16:$CP$16,1,$B481))</f>
        <v>3.1150000000000001E-2</v>
      </c>
      <c r="L481" s="155">
        <f>IF($E481="","",Input!$C$37)</f>
        <v>1.4999999999999999E-2</v>
      </c>
      <c r="M481" s="155">
        <f t="shared" si="287"/>
        <v>4.6149999999999997E-2</v>
      </c>
      <c r="N481" s="155">
        <f t="shared" si="288"/>
        <v>3.766806550707047E-3</v>
      </c>
      <c r="O481" s="147">
        <f>IF($E481="","",MIN(VLOOKUP(IF($B481&lt;=Input!$C$7,$B481,26),'Mortality Tables'!$A$41:$CW$67,IF($B481&lt;=Input!$C$7+1,Input!$C$4+2,$D481-Input!$C$7+2),0)*IF(B481&gt;20,Input!$C$22,1)/1000,1))</f>
        <v>0.19977520000000001</v>
      </c>
      <c r="P481" s="147">
        <f>IF($E481="","",MIN(VLOOKUP(IF($B481&lt;=Input!$C$7,$B481,26),'Mortality Tables'!$A$12:$CW$37,IF($B481&lt;=Input!$C$7+1,Input!$C$4+2,$D481-Input!$C$7+2),0)*IF(B481&gt;20,Input!$C$22,1)/1000,1))</f>
        <v>0.249719</v>
      </c>
      <c r="Q481" s="155">
        <f>IF($E481="","",Input!$C$21)</f>
        <v>5.0000000000000001E-3</v>
      </c>
      <c r="R481" s="159">
        <f>IF($E481="","",(1-Q481)^($F481-Input!$C$20))</f>
        <v>0.82243228243484889</v>
      </c>
      <c r="S481" s="147">
        <f t="shared" si="290"/>
        <v>0.16430157370987844</v>
      </c>
      <c r="T481" s="147">
        <f t="shared" si="291"/>
        <v>1.4845984142645707E-2</v>
      </c>
      <c r="U481" s="160">
        <f>IF($E481="","",IF($C481=12,INDEX(Input!$C$15:$CP$15,1,$B481),0))</f>
        <v>0</v>
      </c>
      <c r="V481" s="150">
        <f>IF(E481="","",IF(C481=1,IF($B481=1,Input!$C$33,Input!$C$34),0))</f>
        <v>0</v>
      </c>
      <c r="W481" s="156">
        <f>IF($E481="","",Input!$C$35)</f>
        <v>0.02</v>
      </c>
      <c r="X481" s="156">
        <f t="shared" si="289"/>
        <v>2.1647447682498568</v>
      </c>
      <c r="Y481" s="154"/>
      <c r="Z481" s="147">
        <f>IF($E481="","",VLOOKUP($D481,'Mortality Margins &amp; Grading'!$AB$5:$AF$125,3,0)*IF(Summary!$D$25="Included Margin",IF(AND($B481&gt;Input!$C$9,Summary!$D$31&lt;&gt;"Included Margin"),0,1),0))</f>
        <v>2.4E-2</v>
      </c>
      <c r="AA481" s="147">
        <f>IF($E481="","",VLOOKUP($D481,'Mortality Margins &amp; Grading'!$AB$5:$AF$125,5,0)*IF(Summary!$D$25="Included Margin",IF(AND($B481&gt;Input!$C$9,Summary!$D$31&lt;&gt;"Included Margin"),0,1),0))</f>
        <v>0.125</v>
      </c>
      <c r="AB481" s="147">
        <f>IF($E481="","",IF(AND($B481&gt;Input!$C$9,Summary!$D$31&lt;&gt;"Included Margin"),1,IF(Summary!$D$25="Included Margin",VLOOKUP($B481,'Mortality Margins &amp; Grading'!$AI$5:$AR$125,MATCH('Mortality Margins &amp; Grading'!$AQ$4,'Mortality Margins &amp; Grading'!$AI$4:$AR$4,0),0),1)))</f>
        <v>0.3125</v>
      </c>
      <c r="AC481" s="154"/>
      <c r="AD481" s="158">
        <f>IF(E481="","",Input!$C$48*IF(Summary!$D$30="Included Margin",IF(AND($B481&gt;Input!$C$9,Summary!$D$31&lt;&gt;"Included Margin"),0,1),0))</f>
        <v>-4.4999999999999997E-3</v>
      </c>
      <c r="AE481" s="159">
        <f>IF(E481="","",IF(Summary!$D$26="Included Margin",IF(AND($B481&gt;Input!$C$9,Summary!$D$31&lt;&gt;"Included Margin"),1,1/$R481),1))</f>
        <v>1.2159055783163735</v>
      </c>
      <c r="AF481" s="160">
        <f>IF(E481="","",IF(AND($B481&gt;=Input!$C$9,$C481=12,Summary!$D$31="Included Margin",$U481&gt;0),1/U481-1,IF($B481&gt;=Input!$C$9,0,Input!$C$45*IF(Summary!$D$27="Included Margin",1,0))))</f>
        <v>0</v>
      </c>
      <c r="AG481" s="160">
        <f>IF(E481="","",Input!$C$46*IF(Summary!$D$28="Included Margin",IF(AND($B481&gt;Input!$C$9,Summary!$D$31&lt;&gt;"Included Margin"),0,1),0))</f>
        <v>0.02</v>
      </c>
      <c r="AH481" s="158">
        <f>IF(E481="","",Input!$C$47*IF(Summary!$D$29="Included Margin",IF(AND($B481&gt;Input!$C$9,Summary!$D$31&lt;&gt;"Included Margin"),0,1),0))</f>
        <v>2.5000000000000001E-3</v>
      </c>
      <c r="AI481" s="154"/>
      <c r="AJ481" s="158">
        <f t="shared" si="312"/>
        <v>4.165E-2</v>
      </c>
      <c r="AK481" s="155">
        <f t="shared" si="313"/>
        <v>3.4062877903533462E-3</v>
      </c>
      <c r="AL481" s="147">
        <f t="shared" si="314"/>
        <v>0.2570701030625</v>
      </c>
      <c r="AM481" s="147">
        <f t="shared" si="292"/>
        <v>2.445871621445217E-2</v>
      </c>
      <c r="AN481" s="160">
        <f t="shared" si="315"/>
        <v>0</v>
      </c>
      <c r="AO481" s="161">
        <f t="shared" si="316"/>
        <v>0</v>
      </c>
      <c r="AP481" s="156">
        <f t="shared" si="293"/>
        <v>2.3816029001678714</v>
      </c>
      <c r="AQ481" s="152"/>
      <c r="AR481" s="162">
        <f t="shared" si="294"/>
        <v>9367.5078500369127</v>
      </c>
      <c r="AS481" s="150">
        <f t="shared" si="317"/>
        <v>0</v>
      </c>
      <c r="AT481" s="163">
        <f t="shared" si="295"/>
        <v>0</v>
      </c>
      <c r="AU481" s="163">
        <f t="shared" si="296"/>
        <v>2445.871621445217</v>
      </c>
      <c r="AV481" s="163">
        <f t="shared" si="318"/>
        <v>27.742756295169567</v>
      </c>
      <c r="AW481" s="163">
        <f t="shared" si="297"/>
        <v>174.23461673665577</v>
      </c>
      <c r="AX481" s="163">
        <f t="shared" si="298"/>
        <v>0</v>
      </c>
      <c r="AY481" s="164">
        <f t="shared" si="319"/>
        <v>7123.6136016235214</v>
      </c>
      <c r="AZ481" s="164">
        <f>IF($E481="","",IF(OR(AND($D481=Input!$C$6,$C481=12),$AN481=1),0,-AS482+AT482+AU482-AV482-AW482-AX482+AZ482))</f>
        <v>7123.6206842983847</v>
      </c>
      <c r="BA481" s="154">
        <f t="shared" si="299"/>
        <v>7.0826748633407988E-3</v>
      </c>
      <c r="BC481" s="147">
        <f t="shared" si="320"/>
        <v>3.118704856344539E-3</v>
      </c>
      <c r="BD481" s="164">
        <f>IF(AND($C480=12,$D480=Input!$C$6),0,IF($E481="","",AT481+(AU481+BD482)/(1+$AK481)*MIN((1-AM481-AN481),1)))</f>
        <v>6303.1659897819227</v>
      </c>
      <c r="BE481" s="164">
        <f t="shared" si="300"/>
        <v>19.657714382678616</v>
      </c>
      <c r="BF481" s="164">
        <f t="shared" si="321"/>
        <v>7123.6206842983847</v>
      </c>
      <c r="BG481" s="164">
        <f t="shared" si="301"/>
        <v>22.21647042287778</v>
      </c>
      <c r="BH481" s="152"/>
      <c r="BI481" s="162">
        <f t="shared" si="302"/>
        <v>-716.98525098444361</v>
      </c>
      <c r="BJ481" s="150">
        <f t="shared" si="303"/>
        <v>0</v>
      </c>
      <c r="BK481" s="163">
        <f t="shared" si="325"/>
        <v>0</v>
      </c>
      <c r="BL481" s="163">
        <f t="shared" si="304"/>
        <v>1484.5984142645707</v>
      </c>
      <c r="BM481" s="163">
        <f t="shared" si="326"/>
        <v>-5.496842256179078</v>
      </c>
      <c r="BN481" s="163">
        <f t="shared" si="305"/>
        <v>-33.25998133683337</v>
      </c>
      <c r="BO481" s="163">
        <f t="shared" si="306"/>
        <v>0</v>
      </c>
      <c r="BP481" s="164">
        <f t="shared" si="327"/>
        <v>-2240.3404888420268</v>
      </c>
      <c r="BQ481" s="164">
        <f>IF($E481="","",IF(AND($D481=Input!$C$6,$C481=12),0,-BJ482+BK482+BL482-BM482-BN482-BO482+BQ482))</f>
        <v>-2240.335232562501</v>
      </c>
      <c r="BR481" s="161">
        <f t="shared" si="307"/>
        <v>0</v>
      </c>
      <c r="BT481" s="147">
        <f t="shared" si="308"/>
        <v>3.118704856344539E-3</v>
      </c>
      <c r="BU481" s="164">
        <f>IF(AND($C480=12,$D480=Input!$C$6),0,IF($E481="","",BK481+(BL481+BU482)/(1+$AK481)*MIN((1-T481-U481),1)))</f>
        <v>60402.927565599588</v>
      </c>
      <c r="BV481" s="164">
        <f t="shared" si="309"/>
        <v>188.37890353626287</v>
      </c>
      <c r="BW481" s="164">
        <f t="shared" si="310"/>
        <v>-2240.335232562501</v>
      </c>
      <c r="BX481" s="164">
        <f t="shared" si="311"/>
        <v>-6.986944369632444</v>
      </c>
    </row>
    <row r="482" spans="1:76" s="150" customFormat="1" x14ac:dyDescent="0.25">
      <c r="A482" s="150">
        <f t="shared" si="322"/>
        <v>478</v>
      </c>
      <c r="B482" s="150">
        <f t="shared" si="323"/>
        <v>40</v>
      </c>
      <c r="C482" s="150">
        <f t="shared" si="324"/>
        <v>10</v>
      </c>
      <c r="D482" s="150">
        <f>IF(E482="","",Input!$C$4+B482-1)</f>
        <v>84</v>
      </c>
      <c r="E482" s="150">
        <f>IF(OR(AND(C481=12,D481=Input!$C$6),E481=""),"",1)</f>
        <v>1</v>
      </c>
      <c r="F482" s="150">
        <f>IF(E482="","",Input!$C$8+B482-1)</f>
        <v>2057</v>
      </c>
      <c r="G482" s="151">
        <f>IF(E482="","",MAX(0,Input!$C$9-B482))</f>
        <v>0</v>
      </c>
      <c r="H482" s="152">
        <f>IF(E482="","",Input!$C$3)</f>
        <v>100000</v>
      </c>
      <c r="I482" s="153">
        <f>IF(E482="","",HLOOKUP($B482,Input!$C$13:$BT$14,2))</f>
        <v>176.8655</v>
      </c>
      <c r="J482" s="154"/>
      <c r="K482" s="155">
        <f>IF($E482="","",INDEX(Input!$C$16:$CP$16,1,$B482))</f>
        <v>3.1150000000000001E-2</v>
      </c>
      <c r="L482" s="155">
        <f>IF($E482="","",Input!$C$37)</f>
        <v>1.4999999999999999E-2</v>
      </c>
      <c r="M482" s="155">
        <f t="shared" si="287"/>
        <v>4.6149999999999997E-2</v>
      </c>
      <c r="N482" s="155">
        <f t="shared" si="288"/>
        <v>3.766806550707047E-3</v>
      </c>
      <c r="O482" s="147">
        <f>IF($E482="","",MIN(VLOOKUP(IF($B482&lt;=Input!$C$7,$B482,26),'Mortality Tables'!$A$41:$CW$67,IF($B482&lt;=Input!$C$7+1,Input!$C$4+2,$D482-Input!$C$7+2),0)*IF(B482&gt;20,Input!$C$22,1)/1000,1))</f>
        <v>0.19977520000000001</v>
      </c>
      <c r="P482" s="147">
        <f>IF($E482="","",MIN(VLOOKUP(IF($B482&lt;=Input!$C$7,$B482,26),'Mortality Tables'!$A$12:$CW$37,IF($B482&lt;=Input!$C$7+1,Input!$C$4+2,$D482-Input!$C$7+2),0)*IF(B482&gt;20,Input!$C$22,1)/1000,1))</f>
        <v>0.249719</v>
      </c>
      <c r="Q482" s="155">
        <f>IF($E482="","",Input!$C$21)</f>
        <v>5.0000000000000001E-3</v>
      </c>
      <c r="R482" s="159">
        <f>IF($E482="","",(1-Q482)^($F482-Input!$C$20))</f>
        <v>0.82243228243484889</v>
      </c>
      <c r="S482" s="147">
        <f t="shared" si="290"/>
        <v>0.16430157370987844</v>
      </c>
      <c r="T482" s="147">
        <f t="shared" si="291"/>
        <v>1.4845984142645707E-2</v>
      </c>
      <c r="U482" s="160">
        <f>IF($E482="","",IF($C482=12,INDEX(Input!$C$15:$CP$15,1,$B482),0))</f>
        <v>0</v>
      </c>
      <c r="V482" s="150">
        <f>IF(E482="","",IF(C482=1,IF($B482=1,Input!$C$33,Input!$C$34),0))</f>
        <v>0</v>
      </c>
      <c r="W482" s="156">
        <f>IF($E482="","",Input!$C$35)</f>
        <v>0.02</v>
      </c>
      <c r="X482" s="156">
        <f t="shared" si="289"/>
        <v>2.1647447682498568</v>
      </c>
      <c r="Y482" s="154"/>
      <c r="Z482" s="147">
        <f>IF($E482="","",VLOOKUP($D482,'Mortality Margins &amp; Grading'!$AB$5:$AF$125,3,0)*IF(Summary!$D$25="Included Margin",IF(AND($B482&gt;Input!$C$9,Summary!$D$31&lt;&gt;"Included Margin"),0,1),0))</f>
        <v>2.4E-2</v>
      </c>
      <c r="AA482" s="147">
        <f>IF($E482="","",VLOOKUP($D482,'Mortality Margins &amp; Grading'!$AB$5:$AF$125,5,0)*IF(Summary!$D$25="Included Margin",IF(AND($B482&gt;Input!$C$9,Summary!$D$31&lt;&gt;"Included Margin"),0,1),0))</f>
        <v>0.125</v>
      </c>
      <c r="AB482" s="147">
        <f>IF($E482="","",IF(AND($B482&gt;Input!$C$9,Summary!$D$31&lt;&gt;"Included Margin"),1,IF(Summary!$D$25="Included Margin",VLOOKUP($B482,'Mortality Margins &amp; Grading'!$AI$5:$AR$125,MATCH('Mortality Margins &amp; Grading'!$AQ$4,'Mortality Margins &amp; Grading'!$AI$4:$AR$4,0),0),1)))</f>
        <v>0.3125</v>
      </c>
      <c r="AC482" s="154"/>
      <c r="AD482" s="158">
        <f>IF(E482="","",Input!$C$48*IF(Summary!$D$30="Included Margin",IF(AND($B482&gt;Input!$C$9,Summary!$D$31&lt;&gt;"Included Margin"),0,1),0))</f>
        <v>-4.4999999999999997E-3</v>
      </c>
      <c r="AE482" s="159">
        <f>IF(E482="","",IF(Summary!$D$26="Included Margin",IF(AND($B482&gt;Input!$C$9,Summary!$D$31&lt;&gt;"Included Margin"),1,1/$R482),1))</f>
        <v>1.2159055783163735</v>
      </c>
      <c r="AF482" s="160">
        <f>IF(E482="","",IF(AND($B482&gt;=Input!$C$9,$C482=12,Summary!$D$31="Included Margin",$U482&gt;0),1/U482-1,IF($B482&gt;=Input!$C$9,0,Input!$C$45*IF(Summary!$D$27="Included Margin",1,0))))</f>
        <v>0</v>
      </c>
      <c r="AG482" s="160">
        <f>IF(E482="","",Input!$C$46*IF(Summary!$D$28="Included Margin",IF(AND($B482&gt;Input!$C$9,Summary!$D$31&lt;&gt;"Included Margin"),0,1),0))</f>
        <v>0.02</v>
      </c>
      <c r="AH482" s="158">
        <f>IF(E482="","",Input!$C$47*IF(Summary!$D$29="Included Margin",IF(AND($B482&gt;Input!$C$9,Summary!$D$31&lt;&gt;"Included Margin"),0,1),0))</f>
        <v>2.5000000000000001E-3</v>
      </c>
      <c r="AI482" s="154"/>
      <c r="AJ482" s="158">
        <f t="shared" si="312"/>
        <v>4.165E-2</v>
      </c>
      <c r="AK482" s="155">
        <f t="shared" si="313"/>
        <v>3.4062877903533462E-3</v>
      </c>
      <c r="AL482" s="147">
        <f t="shared" si="314"/>
        <v>0.2570701030625</v>
      </c>
      <c r="AM482" s="147">
        <f t="shared" si="292"/>
        <v>2.445871621445217E-2</v>
      </c>
      <c r="AN482" s="160">
        <f t="shared" si="315"/>
        <v>0</v>
      </c>
      <c r="AO482" s="161">
        <f t="shared" si="316"/>
        <v>0</v>
      </c>
      <c r="AP482" s="156">
        <f t="shared" si="293"/>
        <v>2.3816029001678714</v>
      </c>
      <c r="AQ482" s="152"/>
      <c r="AR482" s="162">
        <f t="shared" si="294"/>
        <v>7123.6136016235214</v>
      </c>
      <c r="AS482" s="150">
        <f t="shared" si="317"/>
        <v>0</v>
      </c>
      <c r="AT482" s="163">
        <f t="shared" si="295"/>
        <v>0</v>
      </c>
      <c r="AU482" s="163">
        <f t="shared" si="296"/>
        <v>2445.871621445217</v>
      </c>
      <c r="AV482" s="163">
        <f t="shared" si="318"/>
        <v>20.099406713954934</v>
      </c>
      <c r="AW482" s="163">
        <f t="shared" si="297"/>
        <v>117.78419267892282</v>
      </c>
      <c r="AX482" s="163">
        <f t="shared" si="298"/>
        <v>0</v>
      </c>
      <c r="AY482" s="165">
        <f t="shared" si="319"/>
        <v>4815.6255795711813</v>
      </c>
      <c r="AZ482" s="164">
        <f>IF($E482="","",IF(OR(AND($D482=Input!$C$6,$C482=12),$AN482=1),0,-AS483+AT483+AU483-AV483-AW483-AX483+AZ483))</f>
        <v>4815.6326622460456</v>
      </c>
      <c r="BA482" s="154">
        <f t="shared" si="299"/>
        <v>7.0826748642502935E-3</v>
      </c>
      <c r="BC482" s="147">
        <f t="shared" si="320"/>
        <v>3.0724046135016557E-3</v>
      </c>
      <c r="BD482" s="164">
        <f>IF(AND($C481=12,$D481=Input!$C$6),0,IF($E482="","",AT482+(AU482+BD483)/(1+$AK482)*MIN((1-AM482-AN482),1)))</f>
        <v>4037.3356935655806</v>
      </c>
      <c r="BE482" s="164">
        <f t="shared" si="300"/>
        <v>12.404328811165797</v>
      </c>
      <c r="BF482" s="164">
        <f t="shared" si="321"/>
        <v>4815.6326622460456</v>
      </c>
      <c r="BG482" s="164">
        <f t="shared" si="301"/>
        <v>14.795572008414011</v>
      </c>
      <c r="BH482" s="152"/>
      <c r="BI482" s="162">
        <f t="shared" si="302"/>
        <v>-2240.3404888420268</v>
      </c>
      <c r="BJ482" s="150">
        <f t="shared" si="303"/>
        <v>0</v>
      </c>
      <c r="BK482" s="163">
        <f t="shared" si="325"/>
        <v>0</v>
      </c>
      <c r="BL482" s="163">
        <f t="shared" si="304"/>
        <v>1484.5984142645707</v>
      </c>
      <c r="BM482" s="163">
        <f t="shared" si="326"/>
        <v>-11.235026745194915</v>
      </c>
      <c r="BN482" s="163">
        <f t="shared" si="305"/>
        <v>-56.302973940406588</v>
      </c>
      <c r="BO482" s="163">
        <f t="shared" si="306"/>
        <v>0</v>
      </c>
      <c r="BP482" s="164">
        <f t="shared" si="327"/>
        <v>-3792.4769037921988</v>
      </c>
      <c r="BQ482" s="164">
        <f>IF($E482="","",IF(AND($D482=Input!$C$6,$C482=12),0,-BJ483+BK483+BL483-BM483-BN483-BO483+BQ483))</f>
        <v>-3792.4716475126734</v>
      </c>
      <c r="BR482" s="161">
        <f t="shared" si="307"/>
        <v>0</v>
      </c>
      <c r="BT482" s="147">
        <f t="shared" si="308"/>
        <v>3.0724046135016557E-3</v>
      </c>
      <c r="BU482" s="164">
        <f>IF(AND($C481=12,$D481=Input!$C$6),0,IF($E482="","",BK482+(BL482+BU483)/(1+$AK482)*MIN((1-T482-U482),1)))</f>
        <v>60037.434024005204</v>
      </c>
      <c r="BV482" s="164">
        <f t="shared" si="309"/>
        <v>184.45928927815487</v>
      </c>
      <c r="BW482" s="164">
        <f t="shared" si="310"/>
        <v>-3792.4716475126734</v>
      </c>
      <c r="BX482" s="164">
        <f t="shared" si="311"/>
        <v>-11.652007386392162</v>
      </c>
    </row>
    <row r="483" spans="1:76" s="150" customFormat="1" x14ac:dyDescent="0.25">
      <c r="A483" s="150">
        <f t="shared" si="322"/>
        <v>479</v>
      </c>
      <c r="B483" s="150">
        <f t="shared" si="323"/>
        <v>40</v>
      </c>
      <c r="C483" s="150">
        <f t="shared" si="324"/>
        <v>11</v>
      </c>
      <c r="D483" s="150">
        <f>IF(E483="","",Input!$C$4+B483-1)</f>
        <v>84</v>
      </c>
      <c r="E483" s="150">
        <f>IF(OR(AND(C482=12,D482=Input!$C$6),E482=""),"",1)</f>
        <v>1</v>
      </c>
      <c r="F483" s="150">
        <f>IF(E483="","",Input!$C$8+B483-1)</f>
        <v>2057</v>
      </c>
      <c r="G483" s="151">
        <f>IF(E483="","",MAX(0,Input!$C$9-B483))</f>
        <v>0</v>
      </c>
      <c r="H483" s="152">
        <f>IF(E483="","",Input!$C$3)</f>
        <v>100000</v>
      </c>
      <c r="I483" s="153">
        <f>IF(E483="","",HLOOKUP($B483,Input!$C$13:$BT$14,2))</f>
        <v>176.8655</v>
      </c>
      <c r="J483" s="154"/>
      <c r="K483" s="155">
        <f>IF($E483="","",INDEX(Input!$C$16:$CP$16,1,$B483))</f>
        <v>3.1150000000000001E-2</v>
      </c>
      <c r="L483" s="155">
        <f>IF($E483="","",Input!$C$37)</f>
        <v>1.4999999999999999E-2</v>
      </c>
      <c r="M483" s="155">
        <f t="shared" si="287"/>
        <v>4.6149999999999997E-2</v>
      </c>
      <c r="N483" s="155">
        <f t="shared" si="288"/>
        <v>3.766806550707047E-3</v>
      </c>
      <c r="O483" s="147">
        <f>IF($E483="","",MIN(VLOOKUP(IF($B483&lt;=Input!$C$7,$B483,26),'Mortality Tables'!$A$41:$CW$67,IF($B483&lt;=Input!$C$7+1,Input!$C$4+2,$D483-Input!$C$7+2),0)*IF(B483&gt;20,Input!$C$22,1)/1000,1))</f>
        <v>0.19977520000000001</v>
      </c>
      <c r="P483" s="147">
        <f>IF($E483="","",MIN(VLOOKUP(IF($B483&lt;=Input!$C$7,$B483,26),'Mortality Tables'!$A$12:$CW$37,IF($B483&lt;=Input!$C$7+1,Input!$C$4+2,$D483-Input!$C$7+2),0)*IF(B483&gt;20,Input!$C$22,1)/1000,1))</f>
        <v>0.249719</v>
      </c>
      <c r="Q483" s="155">
        <f>IF($E483="","",Input!$C$21)</f>
        <v>5.0000000000000001E-3</v>
      </c>
      <c r="R483" s="159">
        <f>IF($E483="","",(1-Q483)^($F483-Input!$C$20))</f>
        <v>0.82243228243484889</v>
      </c>
      <c r="S483" s="147">
        <f t="shared" si="290"/>
        <v>0.16430157370987844</v>
      </c>
      <c r="T483" s="147">
        <f t="shared" si="291"/>
        <v>1.4845984142645707E-2</v>
      </c>
      <c r="U483" s="160">
        <f>IF($E483="","",IF($C483=12,INDEX(Input!$C$15:$CP$15,1,$B483),0))</f>
        <v>0</v>
      </c>
      <c r="V483" s="150">
        <f>IF(E483="","",IF(C483=1,IF($B483=1,Input!$C$33,Input!$C$34),0))</f>
        <v>0</v>
      </c>
      <c r="W483" s="156">
        <f>IF($E483="","",Input!$C$35)</f>
        <v>0.02</v>
      </c>
      <c r="X483" s="156">
        <f t="shared" si="289"/>
        <v>2.1647447682498568</v>
      </c>
      <c r="Y483" s="154"/>
      <c r="Z483" s="147">
        <f>IF($E483="","",VLOOKUP($D483,'Mortality Margins &amp; Grading'!$AB$5:$AF$125,3,0)*IF(Summary!$D$25="Included Margin",IF(AND($B483&gt;Input!$C$9,Summary!$D$31&lt;&gt;"Included Margin"),0,1),0))</f>
        <v>2.4E-2</v>
      </c>
      <c r="AA483" s="147">
        <f>IF($E483="","",VLOOKUP($D483,'Mortality Margins &amp; Grading'!$AB$5:$AF$125,5,0)*IF(Summary!$D$25="Included Margin",IF(AND($B483&gt;Input!$C$9,Summary!$D$31&lt;&gt;"Included Margin"),0,1),0))</f>
        <v>0.125</v>
      </c>
      <c r="AB483" s="147">
        <f>IF($E483="","",IF(AND($B483&gt;Input!$C$9,Summary!$D$31&lt;&gt;"Included Margin"),1,IF(Summary!$D$25="Included Margin",VLOOKUP($B483,'Mortality Margins &amp; Grading'!$AI$5:$AR$125,MATCH('Mortality Margins &amp; Grading'!$AQ$4,'Mortality Margins &amp; Grading'!$AI$4:$AR$4,0),0),1)))</f>
        <v>0.3125</v>
      </c>
      <c r="AC483" s="154"/>
      <c r="AD483" s="158">
        <f>IF(E483="","",Input!$C$48*IF(Summary!$D$30="Included Margin",IF(AND($B483&gt;Input!$C$9,Summary!$D$31&lt;&gt;"Included Margin"),0,1),0))</f>
        <v>-4.4999999999999997E-3</v>
      </c>
      <c r="AE483" s="159">
        <f>IF(E483="","",IF(Summary!$D$26="Included Margin",IF(AND($B483&gt;Input!$C$9,Summary!$D$31&lt;&gt;"Included Margin"),1,1/$R483),1))</f>
        <v>1.2159055783163735</v>
      </c>
      <c r="AF483" s="160">
        <f>IF(E483="","",IF(AND($B483&gt;=Input!$C$9,$C483=12,Summary!$D$31="Included Margin",$U483&gt;0),1/U483-1,IF($B483&gt;=Input!$C$9,0,Input!$C$45*IF(Summary!$D$27="Included Margin",1,0))))</f>
        <v>0</v>
      </c>
      <c r="AG483" s="160">
        <f>IF(E483="","",Input!$C$46*IF(Summary!$D$28="Included Margin",IF(AND($B483&gt;Input!$C$9,Summary!$D$31&lt;&gt;"Included Margin"),0,1),0))</f>
        <v>0.02</v>
      </c>
      <c r="AH483" s="158">
        <f>IF(E483="","",Input!$C$47*IF(Summary!$D$29="Included Margin",IF(AND($B483&gt;Input!$C$9,Summary!$D$31&lt;&gt;"Included Margin"),0,1),0))</f>
        <v>2.5000000000000001E-3</v>
      </c>
      <c r="AI483" s="154"/>
      <c r="AJ483" s="158">
        <f t="shared" si="312"/>
        <v>4.165E-2</v>
      </c>
      <c r="AK483" s="155">
        <f t="shared" si="313"/>
        <v>3.4062877903533462E-3</v>
      </c>
      <c r="AL483" s="147">
        <f t="shared" si="314"/>
        <v>0.2570701030625</v>
      </c>
      <c r="AM483" s="147">
        <f t="shared" si="292"/>
        <v>2.445871621445217E-2</v>
      </c>
      <c r="AN483" s="160">
        <f t="shared" si="315"/>
        <v>0</v>
      </c>
      <c r="AO483" s="161">
        <f t="shared" si="316"/>
        <v>0</v>
      </c>
      <c r="AP483" s="156">
        <f t="shared" si="293"/>
        <v>2.3816029001678714</v>
      </c>
      <c r="AQ483" s="152"/>
      <c r="AR483" s="162">
        <f t="shared" si="294"/>
        <v>4815.6255795711822</v>
      </c>
      <c r="AS483" s="150">
        <f t="shared" si="317"/>
        <v>0</v>
      </c>
      <c r="AT483" s="163">
        <f t="shared" si="295"/>
        <v>0</v>
      </c>
      <c r="AU483" s="163">
        <f t="shared" si="296"/>
        <v>2445.871621445217</v>
      </c>
      <c r="AV483" s="163">
        <f t="shared" si="318"/>
        <v>12.237735294156282</v>
      </c>
      <c r="AW483" s="163">
        <f t="shared" si="297"/>
        <v>59.721339379510063</v>
      </c>
      <c r="AX483" s="163">
        <f t="shared" si="298"/>
        <v>0</v>
      </c>
      <c r="AY483" s="164">
        <f t="shared" si="319"/>
        <v>2441.7130327996315</v>
      </c>
      <c r="AZ483" s="164">
        <f>IF($E483="","",IF(OR(AND($D483=Input!$C$6,$C483=12),$AN483=1),0,-AS484+AT484+AU484-AV484-AW484-AX484+AZ484))</f>
        <v>2441.7201154744953</v>
      </c>
      <c r="BA483" s="154">
        <f t="shared" si="299"/>
        <v>7.0826748637955461E-3</v>
      </c>
      <c r="BC483" s="147">
        <f t="shared" si="320"/>
        <v>3.0267917433298187E-3</v>
      </c>
      <c r="BD483" s="164">
        <f>IF(AND($C482=12,$D482=Input!$C$6),0,IF($E483="","",AT483+(AU483+BD484)/(1+$AK483)*MIN((1-AM483-AN483),1)))</f>
        <v>1706.7850504734236</v>
      </c>
      <c r="BE483" s="164">
        <f t="shared" si="300"/>
        <v>5.1660828984117266</v>
      </c>
      <c r="BF483" s="164">
        <f t="shared" si="321"/>
        <v>2441.7201154744953</v>
      </c>
      <c r="BG483" s="164">
        <f t="shared" si="301"/>
        <v>7.3905782850405339</v>
      </c>
      <c r="BH483" s="152"/>
      <c r="BI483" s="162">
        <f t="shared" si="302"/>
        <v>-3792.4769037921988</v>
      </c>
      <c r="BJ483" s="150">
        <f t="shared" si="303"/>
        <v>0</v>
      </c>
      <c r="BK483" s="163">
        <f t="shared" si="325"/>
        <v>0</v>
      </c>
      <c r="BL483" s="163">
        <f t="shared" si="304"/>
        <v>1484.5984142645707</v>
      </c>
      <c r="BM483" s="163">
        <f t="shared" si="326"/>
        <v>-17.081624360620172</v>
      </c>
      <c r="BN483" s="163">
        <f t="shared" si="305"/>
        <v>-79.781324255946828</v>
      </c>
      <c r="BO483" s="163">
        <f t="shared" si="306"/>
        <v>0</v>
      </c>
      <c r="BP483" s="164">
        <f t="shared" si="327"/>
        <v>-5373.9382666733372</v>
      </c>
      <c r="BQ483" s="164">
        <f>IF($E483="","",IF(AND($D483=Input!$C$6,$C483=12),0,-BJ484+BK484+BL484-BM484-BN484-BO484+BQ484))</f>
        <v>-5373.9330103938109</v>
      </c>
      <c r="BR483" s="161">
        <f t="shared" si="307"/>
        <v>0</v>
      </c>
      <c r="BT483" s="147">
        <f t="shared" si="308"/>
        <v>3.0267917433298187E-3</v>
      </c>
      <c r="BU483" s="164">
        <f>IF(AND($C482=12,$D482=Input!$C$6),0,IF($E483="","",BK483+(BL483+BU484)/(1+$AK483)*MIN((1-T483-U483),1)))</f>
        <v>59665.168863553714</v>
      </c>
      <c r="BV483" s="164">
        <f t="shared" si="309"/>
        <v>180.59404048058377</v>
      </c>
      <c r="BW483" s="164">
        <f t="shared" si="310"/>
        <v>-5373.9330103938109</v>
      </c>
      <c r="BX483" s="164">
        <f t="shared" si="311"/>
        <v>-16.265776065067545</v>
      </c>
    </row>
    <row r="484" spans="1:76" s="150" customFormat="1" x14ac:dyDescent="0.25">
      <c r="A484" s="150">
        <f t="shared" si="322"/>
        <v>480</v>
      </c>
      <c r="B484" s="150">
        <f t="shared" si="323"/>
        <v>40</v>
      </c>
      <c r="C484" s="150">
        <f t="shared" si="324"/>
        <v>12</v>
      </c>
      <c r="D484" s="150">
        <f>IF(E484="","",Input!$C$4+B484-1)</f>
        <v>84</v>
      </c>
      <c r="E484" s="150">
        <f>IF(OR(AND(C483=12,D483=Input!$C$6),E483=""),"",1)</f>
        <v>1</v>
      </c>
      <c r="F484" s="150">
        <f>IF(E484="","",Input!$C$8+B484-1)</f>
        <v>2057</v>
      </c>
      <c r="G484" s="151">
        <f>IF(E484="","",MAX(0,Input!$C$9-B484))</f>
        <v>0</v>
      </c>
      <c r="H484" s="152">
        <f>IF(E484="","",Input!$C$3)</f>
        <v>100000</v>
      </c>
      <c r="I484" s="153">
        <f>IF(E484="","",HLOOKUP($B484,Input!$C$13:$BT$14,2))</f>
        <v>176.8655</v>
      </c>
      <c r="J484" s="154"/>
      <c r="K484" s="155">
        <f>IF($E484="","",INDEX(Input!$C$16:$CP$16,1,$B484))</f>
        <v>3.1150000000000001E-2</v>
      </c>
      <c r="L484" s="155">
        <f>IF($E484="","",Input!$C$37)</f>
        <v>1.4999999999999999E-2</v>
      </c>
      <c r="M484" s="155">
        <f t="shared" si="287"/>
        <v>4.6149999999999997E-2</v>
      </c>
      <c r="N484" s="155">
        <f t="shared" si="288"/>
        <v>3.766806550707047E-3</v>
      </c>
      <c r="O484" s="147">
        <f>IF($E484="","",MIN(VLOOKUP(IF($B484&lt;=Input!$C$7,$B484,26),'Mortality Tables'!$A$41:$CW$67,IF($B484&lt;=Input!$C$7+1,Input!$C$4+2,$D484-Input!$C$7+2),0)*IF(B484&gt;20,Input!$C$22,1)/1000,1))</f>
        <v>0.19977520000000001</v>
      </c>
      <c r="P484" s="147">
        <f>IF($E484="","",MIN(VLOOKUP(IF($B484&lt;=Input!$C$7,$B484,26),'Mortality Tables'!$A$12:$CW$37,IF($B484&lt;=Input!$C$7+1,Input!$C$4+2,$D484-Input!$C$7+2),0)*IF(B484&gt;20,Input!$C$22,1)/1000,1))</f>
        <v>0.249719</v>
      </c>
      <c r="Q484" s="155">
        <f>IF($E484="","",Input!$C$21)</f>
        <v>5.0000000000000001E-3</v>
      </c>
      <c r="R484" s="159">
        <f>IF($E484="","",(1-Q484)^($F484-Input!$C$20))</f>
        <v>0.82243228243484889</v>
      </c>
      <c r="S484" s="147">
        <f t="shared" si="290"/>
        <v>0.16430157370987844</v>
      </c>
      <c r="T484" s="147">
        <f t="shared" si="291"/>
        <v>1.4845984142645707E-2</v>
      </c>
      <c r="U484" s="160">
        <f>IF($E484="","",IF($C484=12,INDEX(Input!$C$15:$CP$15,1,$B484),0))</f>
        <v>0.1</v>
      </c>
      <c r="V484" s="150">
        <f>IF(E484="","",IF(C484=1,IF($B484=1,Input!$C$33,Input!$C$34),0))</f>
        <v>0</v>
      </c>
      <c r="W484" s="156">
        <f>IF($E484="","",Input!$C$35)</f>
        <v>0.02</v>
      </c>
      <c r="X484" s="156">
        <f t="shared" si="289"/>
        <v>2.1647447682498568</v>
      </c>
      <c r="Y484" s="154"/>
      <c r="Z484" s="147">
        <f>IF($E484="","",VLOOKUP($D484,'Mortality Margins &amp; Grading'!$AB$5:$AF$125,3,0)*IF(Summary!$D$25="Included Margin",IF(AND($B484&gt;Input!$C$9,Summary!$D$31&lt;&gt;"Included Margin"),0,1),0))</f>
        <v>2.4E-2</v>
      </c>
      <c r="AA484" s="147">
        <f>IF($E484="","",VLOOKUP($D484,'Mortality Margins &amp; Grading'!$AB$5:$AF$125,5,0)*IF(Summary!$D$25="Included Margin",IF(AND($B484&gt;Input!$C$9,Summary!$D$31&lt;&gt;"Included Margin"),0,1),0))</f>
        <v>0.125</v>
      </c>
      <c r="AB484" s="147">
        <f>IF($E484="","",IF(AND($B484&gt;Input!$C$9,Summary!$D$31&lt;&gt;"Included Margin"),1,IF(Summary!$D$25="Included Margin",VLOOKUP($B484,'Mortality Margins &amp; Grading'!$AI$5:$AR$125,MATCH('Mortality Margins &amp; Grading'!$AQ$4,'Mortality Margins &amp; Grading'!$AI$4:$AR$4,0),0),1)))</f>
        <v>0.3125</v>
      </c>
      <c r="AC484" s="154"/>
      <c r="AD484" s="158">
        <f>IF(E484="","",Input!$C$48*IF(Summary!$D$30="Included Margin",IF(AND($B484&gt;Input!$C$9,Summary!$D$31&lt;&gt;"Included Margin"),0,1),0))</f>
        <v>-4.4999999999999997E-3</v>
      </c>
      <c r="AE484" s="159">
        <f>IF(E484="","",IF(Summary!$D$26="Included Margin",IF(AND($B484&gt;Input!$C$9,Summary!$D$31&lt;&gt;"Included Margin"),1,1/$R484),1))</f>
        <v>1.2159055783163735</v>
      </c>
      <c r="AF484" s="160">
        <f>IF(E484="","",IF(AND($B484&gt;=Input!$C$9,$C484=12,Summary!$D$31="Included Margin",$U484&gt;0),1/U484-1,IF($B484&gt;=Input!$C$9,0,Input!$C$45*IF(Summary!$D$27="Included Margin",1,0))))</f>
        <v>9</v>
      </c>
      <c r="AG484" s="160">
        <f>IF(E484="","",Input!$C$46*IF(Summary!$D$28="Included Margin",IF(AND($B484&gt;Input!$C$9,Summary!$D$31&lt;&gt;"Included Margin"),0,1),0))</f>
        <v>0.02</v>
      </c>
      <c r="AH484" s="158">
        <f>IF(E484="","",Input!$C$47*IF(Summary!$D$29="Included Margin",IF(AND($B484&gt;Input!$C$9,Summary!$D$31&lt;&gt;"Included Margin"),0,1),0))</f>
        <v>2.5000000000000001E-3</v>
      </c>
      <c r="AI484" s="154"/>
      <c r="AJ484" s="158">
        <f t="shared" si="312"/>
        <v>4.165E-2</v>
      </c>
      <c r="AK484" s="155">
        <f t="shared" si="313"/>
        <v>3.4062877903533462E-3</v>
      </c>
      <c r="AL484" s="147">
        <f t="shared" si="314"/>
        <v>0.2570701030625</v>
      </c>
      <c r="AM484" s="147">
        <f t="shared" si="292"/>
        <v>2.445871621445217E-2</v>
      </c>
      <c r="AN484" s="160">
        <f t="shared" si="315"/>
        <v>1</v>
      </c>
      <c r="AO484" s="161">
        <f t="shared" si="316"/>
        <v>0</v>
      </c>
      <c r="AP484" s="156">
        <f t="shared" si="293"/>
        <v>2.3816029001678714</v>
      </c>
      <c r="AQ484" s="152"/>
      <c r="AR484" s="162">
        <f t="shared" si="294"/>
        <v>2441.713032799631</v>
      </c>
      <c r="AS484" s="150">
        <f t="shared" si="317"/>
        <v>0</v>
      </c>
      <c r="AT484" s="163">
        <f t="shared" si="295"/>
        <v>0</v>
      </c>
      <c r="AU484" s="163">
        <f t="shared" si="296"/>
        <v>2445.871621445217</v>
      </c>
      <c r="AV484" s="163">
        <f t="shared" si="318"/>
        <v>4.1515059707217308</v>
      </c>
      <c r="AW484" s="163">
        <f t="shared" si="297"/>
        <v>0</v>
      </c>
      <c r="AX484" s="163">
        <f t="shared" si="298"/>
        <v>0</v>
      </c>
      <c r="AY484" s="165">
        <f t="shared" si="319"/>
        <v>-7.0826748642200954E-3</v>
      </c>
      <c r="AZ484" s="164">
        <f>IF($E484="","",IF(OR(AND($D484=Input!$C$6,$C484=12),$AN484=1),0,-AS485+AT485+AU485-AV485-AW485-AX485+AZ485))</f>
        <v>0</v>
      </c>
      <c r="BA484" s="154">
        <f t="shared" si="299"/>
        <v>7.0826748642200954E-3</v>
      </c>
      <c r="BC484" s="147">
        <f t="shared" si="320"/>
        <v>2.6791768667722713E-3</v>
      </c>
      <c r="BD484" s="164">
        <f>IF(AND($C483=12,$D483=Input!$C$6),0,IF($E484="","",AT484+(AU484+BD485)/(1+$AK484)*MIN((1-AM484-AN484),1)))</f>
        <v>-690.33458778331044</v>
      </c>
      <c r="BE484" s="164">
        <f t="shared" si="300"/>
        <v>-1.8495284579218172</v>
      </c>
      <c r="BF484" s="164">
        <f t="shared" si="321"/>
        <v>0</v>
      </c>
      <c r="BG484" s="164">
        <f t="shared" si="301"/>
        <v>0</v>
      </c>
      <c r="BH484" s="152"/>
      <c r="BI484" s="162">
        <f t="shared" si="302"/>
        <v>-5373.9382666733363</v>
      </c>
      <c r="BJ484" s="150">
        <f t="shared" si="303"/>
        <v>0</v>
      </c>
      <c r="BK484" s="163">
        <f t="shared" si="325"/>
        <v>0</v>
      </c>
      <c r="BL484" s="163">
        <f t="shared" si="304"/>
        <v>1484.5984142645707</v>
      </c>
      <c r="BM484" s="163">
        <f t="shared" si="326"/>
        <v>-23.038683382010934</v>
      </c>
      <c r="BN484" s="163">
        <f t="shared" si="305"/>
        <v>-115.22584179846567</v>
      </c>
      <c r="BO484" s="163">
        <f t="shared" si="306"/>
        <v>-764.61890089337692</v>
      </c>
      <c r="BP484" s="164">
        <f t="shared" si="327"/>
        <v>-7761.4201070117606</v>
      </c>
      <c r="BQ484" s="164">
        <f>IF($E484="","",IF(AND($D484=Input!$C$6,$C484=12),0,-BJ485+BK485+BL485-BM485-BN485-BO485+BQ485))</f>
        <v>-7761.4148507322352</v>
      </c>
      <c r="BR484" s="161">
        <f t="shared" si="307"/>
        <v>0</v>
      </c>
      <c r="BT484" s="147">
        <f t="shared" si="308"/>
        <v>2.6791768667722713E-3</v>
      </c>
      <c r="BU484" s="164">
        <f>IF(AND($C483=12,$D483=Input!$C$6),0,IF($E484="","",BK484+(BL484+BU485)/(1+$AK484)*MIN((1-T484-U484),1)))</f>
        <v>59286.006624239046</v>
      </c>
      <c r="BV484" s="164">
        <f t="shared" si="309"/>
        <v>158.83769747096889</v>
      </c>
      <c r="BW484" s="164">
        <f t="shared" si="310"/>
        <v>-7761.4148507322352</v>
      </c>
      <c r="BX484" s="164">
        <f t="shared" si="311"/>
        <v>-20.794203121504566</v>
      </c>
    </row>
    <row r="485" spans="1:76" s="150" customFormat="1" x14ac:dyDescent="0.25">
      <c r="A485" s="150">
        <f t="shared" si="322"/>
        <v>481</v>
      </c>
      <c r="B485" s="150">
        <f t="shared" si="323"/>
        <v>41</v>
      </c>
      <c r="C485" s="150">
        <f t="shared" si="324"/>
        <v>1</v>
      </c>
      <c r="D485" s="150">
        <f>IF(E485="","",Input!$C$4+B485-1)</f>
        <v>85</v>
      </c>
      <c r="E485" s="150">
        <f>IF(OR(AND(C484=12,D484=Input!$C$6),E484=""),"",1)</f>
        <v>1</v>
      </c>
      <c r="F485" s="150">
        <f>IF(E485="","",Input!$C$8+B485-1)</f>
        <v>2058</v>
      </c>
      <c r="G485" s="151">
        <f>IF(E485="","",MAX(0,Input!$C$9-B485))</f>
        <v>0</v>
      </c>
      <c r="H485" s="152">
        <f>IF(E485="","",Input!$C$3)</f>
        <v>100000</v>
      </c>
      <c r="I485" s="153">
        <f>IF(E485="","",HLOOKUP($B485,Input!$C$13:$BT$14,2))</f>
        <v>201.73300000000003</v>
      </c>
      <c r="J485" s="154"/>
      <c r="K485" s="155">
        <f>IF($E485="","",INDEX(Input!$C$16:$CP$16,1,$B485))</f>
        <v>3.1329999999999997E-2</v>
      </c>
      <c r="L485" s="155">
        <f>IF($E485="","",Input!$C$37)</f>
        <v>1.4999999999999999E-2</v>
      </c>
      <c r="M485" s="155">
        <f t="shared" si="287"/>
        <v>4.6329999999999996E-2</v>
      </c>
      <c r="N485" s="155">
        <f t="shared" si="288"/>
        <v>3.7811977134125652E-3</v>
      </c>
      <c r="O485" s="147">
        <f>IF($E485="","",MIN(VLOOKUP(IF($B485&lt;=Input!$C$7,$B485,26),'Mortality Tables'!$A$41:$CW$67,IF($B485&lt;=Input!$C$7+1,Input!$C$4+2,$D485-Input!$C$7+2),0)*IF(B485&gt;20,Input!$C$22,1)/1000,1))</f>
        <v>0.22764640000000003</v>
      </c>
      <c r="P485" s="147">
        <f>IF($E485="","",MIN(VLOOKUP(IF($B485&lt;=Input!$C$7,$B485,26),'Mortality Tables'!$A$12:$CW$37,IF($B485&lt;=Input!$C$7+1,Input!$C$4+2,$D485-Input!$C$7+2),0)*IF(B485&gt;20,Input!$C$22,1)/1000,1))</f>
        <v>0.28455800000000003</v>
      </c>
      <c r="Q485" s="155">
        <f>IF($E485="","",Input!$C$21)</f>
        <v>5.0000000000000001E-3</v>
      </c>
      <c r="R485" s="159">
        <f>IF($E485="","",(1-Q485)^($F485-Input!$C$20))</f>
        <v>0.8183201210226746</v>
      </c>
      <c r="S485" s="147">
        <f t="shared" si="290"/>
        <v>0.18628762959837622</v>
      </c>
      <c r="T485" s="147">
        <f t="shared" si="291"/>
        <v>1.7032309263407708E-2</v>
      </c>
      <c r="U485" s="160">
        <f>IF($E485="","",IF($C485=12,INDEX(Input!$C$15:$CP$15,1,$B485),0))</f>
        <v>0</v>
      </c>
      <c r="V485" s="150">
        <f>IF(E485="","",IF(C485=1,IF($B485=1,Input!$C$33,Input!$C$34),0))</f>
        <v>50</v>
      </c>
      <c r="W485" s="156">
        <f>IF($E485="","",Input!$C$35)</f>
        <v>0.02</v>
      </c>
      <c r="X485" s="156">
        <f t="shared" si="289"/>
        <v>2.208039663614854</v>
      </c>
      <c r="Y485" s="154"/>
      <c r="Z485" s="147">
        <f>IF($E485="","",VLOOKUP($D485,'Mortality Margins &amp; Grading'!$AB$5:$AF$125,3,0)*IF(Summary!$D$25="Included Margin",IF(AND($B485&gt;Input!$C$9,Summary!$D$31&lt;&gt;"Included Margin"),0,1),0))</f>
        <v>2.4E-2</v>
      </c>
      <c r="AA485" s="147">
        <f>IF($E485="","",VLOOKUP($D485,'Mortality Margins &amp; Grading'!$AB$5:$AF$125,5,0)*IF(Summary!$D$25="Included Margin",IF(AND($B485&gt;Input!$C$9,Summary!$D$31&lt;&gt;"Included Margin"),0,1),0))</f>
        <v>0.125</v>
      </c>
      <c r="AB485" s="147">
        <f>IF($E485="","",IF(AND($B485&gt;Input!$C$9,Summary!$D$31&lt;&gt;"Included Margin"),1,IF(Summary!$D$25="Included Margin",VLOOKUP($B485,'Mortality Margins &amp; Grading'!$AI$5:$AR$125,MATCH('Mortality Margins &amp; Grading'!$AQ$4,'Mortality Margins &amp; Grading'!$AI$4:$AR$4,0),0),1)))</f>
        <v>0.25</v>
      </c>
      <c r="AC485" s="154"/>
      <c r="AD485" s="158">
        <f>IF(E485="","",Input!$C$48*IF(Summary!$D$30="Included Margin",IF(AND($B485&gt;Input!$C$9,Summary!$D$31&lt;&gt;"Included Margin"),0,1),0))</f>
        <v>-4.4999999999999997E-3</v>
      </c>
      <c r="AE485" s="159">
        <f>IF(E485="","",IF(Summary!$D$26="Included Margin",IF(AND($B485&gt;Input!$C$9,Summary!$D$31&lt;&gt;"Included Margin"),1,1/$R485),1))</f>
        <v>1.2220156565993705</v>
      </c>
      <c r="AF485" s="160">
        <f>IF(E485="","",IF(AND($B485&gt;=Input!$C$9,$C485=12,Summary!$D$31="Included Margin",$U485&gt;0),1/U485-1,IF($B485&gt;=Input!$C$9,0,Input!$C$45*IF(Summary!$D$27="Included Margin",1,0))))</f>
        <v>0</v>
      </c>
      <c r="AG485" s="160">
        <f>IF(E485="","",Input!$C$46*IF(Summary!$D$28="Included Margin",IF(AND($B485&gt;Input!$C$9,Summary!$D$31&lt;&gt;"Included Margin"),0,1),0))</f>
        <v>0.02</v>
      </c>
      <c r="AH485" s="158">
        <f>IF(E485="","",Input!$C$47*IF(Summary!$D$29="Included Margin",IF(AND($B485&gt;Input!$C$9,Summary!$D$31&lt;&gt;"Included Margin"),0,1),0))</f>
        <v>2.5000000000000001E-3</v>
      </c>
      <c r="AI485" s="154"/>
      <c r="AJ485" s="158">
        <f t="shared" si="312"/>
        <v>4.1829999999999999E-2</v>
      </c>
      <c r="AK485" s="155">
        <f t="shared" si="313"/>
        <v>3.4207359278108918E-3</v>
      </c>
      <c r="AL485" s="147">
        <f t="shared" si="314"/>
        <v>0.29837329090000003</v>
      </c>
      <c r="AM485" s="147">
        <f t="shared" si="292"/>
        <v>2.9097745772577621E-2</v>
      </c>
      <c r="AN485" s="160">
        <f t="shared" si="315"/>
        <v>0</v>
      </c>
      <c r="AO485" s="161">
        <f t="shared" si="316"/>
        <v>51</v>
      </c>
      <c r="AP485" s="156">
        <f t="shared" si="293"/>
        <v>2.4351889654216485</v>
      </c>
      <c r="AQ485" s="152"/>
      <c r="AR485" s="162">
        <f t="shared" si="294"/>
        <v>9220.2247986703569</v>
      </c>
      <c r="AS485" s="150">
        <f t="shared" si="317"/>
        <v>20173.300000000003</v>
      </c>
      <c r="AT485" s="163">
        <f t="shared" si="295"/>
        <v>124.19463723650408</v>
      </c>
      <c r="AU485" s="163">
        <f t="shared" si="296"/>
        <v>2909.7745772577623</v>
      </c>
      <c r="AV485" s="163">
        <f t="shared" si="318"/>
        <v>95.145864047047567</v>
      </c>
      <c r="AW485" s="163">
        <f t="shared" si="297"/>
        <v>792.84234961775235</v>
      </c>
      <c r="AX485" s="163">
        <f t="shared" si="298"/>
        <v>0</v>
      </c>
      <c r="AY485" s="164">
        <f t="shared" si="319"/>
        <v>27247.543797840895</v>
      </c>
      <c r="AZ485" s="164">
        <f>IF($E485="","",IF(OR(AND($D485=Input!$C$6,$C485=12),$AN485=1),0,-AS486+AT486+AU486-AV486-AW486-AX486+AZ486))</f>
        <v>27247.552295440873</v>
      </c>
      <c r="BA485" s="154">
        <f t="shared" si="299"/>
        <v>8.4975999779999256E-3</v>
      </c>
      <c r="BC485" s="147">
        <f t="shared" si="320"/>
        <v>2.6335442978060383E-3</v>
      </c>
      <c r="BD485" s="164">
        <f>IF(AND($C484=12,$D484=Input!$C$6),0,IF($E485="","",AT485+(AU485+BD486)/(1+$AK485)*MIN((1-AM485-AN485),1)))</f>
        <v>25874.75076885182</v>
      </c>
      <c r="BE485" s="164">
        <f t="shared" si="300"/>
        <v>68.142302344462109</v>
      </c>
      <c r="BF485" s="164">
        <f t="shared" si="321"/>
        <v>27247.552295440873</v>
      </c>
      <c r="BG485" s="164">
        <f t="shared" si="301"/>
        <v>71.757635976830144</v>
      </c>
      <c r="BH485" s="152"/>
      <c r="BI485" s="162">
        <f t="shared" si="302"/>
        <v>-7761.4209272114158</v>
      </c>
      <c r="BJ485" s="150">
        <f t="shared" si="303"/>
        <v>20173.300000000003</v>
      </c>
      <c r="BK485" s="163">
        <f t="shared" si="325"/>
        <v>110.4019831807427</v>
      </c>
      <c r="BL485" s="163">
        <f t="shared" si="304"/>
        <v>1703.2309263407708</v>
      </c>
      <c r="BM485" s="163">
        <f t="shared" si="326"/>
        <v>43.294190600775593</v>
      </c>
      <c r="BN485" s="163">
        <f t="shared" si="305"/>
        <v>184.3907094309094</v>
      </c>
      <c r="BO485" s="163">
        <f t="shared" si="306"/>
        <v>0</v>
      </c>
      <c r="BP485" s="164">
        <f t="shared" si="327"/>
        <v>10825.931063298758</v>
      </c>
      <c r="BQ485" s="164">
        <f>IF($E485="","",IF(AND($D485=Input!$C$6,$C485=12),0,-BJ486+BK486+BL486-BM486-BN486-BO486+BQ486))</f>
        <v>10825.937139777943</v>
      </c>
      <c r="BR485" s="161">
        <f t="shared" si="307"/>
        <v>0</v>
      </c>
      <c r="BT485" s="147">
        <f t="shared" si="308"/>
        <v>2.6335442978060383E-3</v>
      </c>
      <c r="BU485" s="164">
        <f>IF(AND($C484=12,$D484=Input!$C$6),0,IF($E485="","",BK485+(BL485+BU486)/(1+$AK485)*MIN((1-T485-U485),1)))</f>
        <v>65721.730381659552</v>
      </c>
      <c r="BV485" s="164">
        <f t="shared" si="309"/>
        <v>173.08108828856538</v>
      </c>
      <c r="BW485" s="164">
        <f t="shared" si="310"/>
        <v>10825.937139777943</v>
      </c>
      <c r="BX485" s="164">
        <f t="shared" si="311"/>
        <v>28.510585022868813</v>
      </c>
    </row>
    <row r="486" spans="1:76" s="150" customFormat="1" x14ac:dyDescent="0.25">
      <c r="A486" s="150">
        <f t="shared" si="322"/>
        <v>482</v>
      </c>
      <c r="B486" s="150">
        <f t="shared" si="323"/>
        <v>41</v>
      </c>
      <c r="C486" s="150">
        <f t="shared" si="324"/>
        <v>2</v>
      </c>
      <c r="D486" s="150">
        <f>IF(E486="","",Input!$C$4+B486-1)</f>
        <v>85</v>
      </c>
      <c r="E486" s="150">
        <f>IF(OR(AND(C485=12,D485=Input!$C$6),E485=""),"",1)</f>
        <v>1</v>
      </c>
      <c r="F486" s="150">
        <f>IF(E486="","",Input!$C$8+B486-1)</f>
        <v>2058</v>
      </c>
      <c r="G486" s="151">
        <f>IF(E486="","",MAX(0,Input!$C$9-B486))</f>
        <v>0</v>
      </c>
      <c r="H486" s="152">
        <f>IF(E486="","",Input!$C$3)</f>
        <v>100000</v>
      </c>
      <c r="I486" s="153">
        <f>IF(E486="","",HLOOKUP($B486,Input!$C$13:$BT$14,2))</f>
        <v>201.73300000000003</v>
      </c>
      <c r="J486" s="154"/>
      <c r="K486" s="155">
        <f>IF($E486="","",INDEX(Input!$C$16:$CP$16,1,$B486))</f>
        <v>3.1329999999999997E-2</v>
      </c>
      <c r="L486" s="155">
        <f>IF($E486="","",Input!$C$37)</f>
        <v>1.4999999999999999E-2</v>
      </c>
      <c r="M486" s="155">
        <f t="shared" si="287"/>
        <v>4.6329999999999996E-2</v>
      </c>
      <c r="N486" s="155">
        <f t="shared" si="288"/>
        <v>3.7811977134125652E-3</v>
      </c>
      <c r="O486" s="147">
        <f>IF($E486="","",MIN(VLOOKUP(IF($B486&lt;=Input!$C$7,$B486,26),'Mortality Tables'!$A$41:$CW$67,IF($B486&lt;=Input!$C$7+1,Input!$C$4+2,$D486-Input!$C$7+2),0)*IF(B486&gt;20,Input!$C$22,1)/1000,1))</f>
        <v>0.22764640000000003</v>
      </c>
      <c r="P486" s="147">
        <f>IF($E486="","",MIN(VLOOKUP(IF($B486&lt;=Input!$C$7,$B486,26),'Mortality Tables'!$A$12:$CW$37,IF($B486&lt;=Input!$C$7+1,Input!$C$4+2,$D486-Input!$C$7+2),0)*IF(B486&gt;20,Input!$C$22,1)/1000,1))</f>
        <v>0.28455800000000003</v>
      </c>
      <c r="Q486" s="155">
        <f>IF($E486="","",Input!$C$21)</f>
        <v>5.0000000000000001E-3</v>
      </c>
      <c r="R486" s="159">
        <f>IF($E486="","",(1-Q486)^($F486-Input!$C$20))</f>
        <v>0.8183201210226746</v>
      </c>
      <c r="S486" s="147">
        <f t="shared" si="290"/>
        <v>0.18628762959837622</v>
      </c>
      <c r="T486" s="147">
        <f t="shared" si="291"/>
        <v>1.7032309263407708E-2</v>
      </c>
      <c r="U486" s="160">
        <f>IF($E486="","",IF($C486=12,INDEX(Input!$C$15:$CP$15,1,$B486),0))</f>
        <v>0</v>
      </c>
      <c r="V486" s="150">
        <f>IF(E486="","",IF(C486=1,IF($B486=1,Input!$C$33,Input!$C$34),0))</f>
        <v>0</v>
      </c>
      <c r="W486" s="156">
        <f>IF($E486="","",Input!$C$35)</f>
        <v>0.02</v>
      </c>
      <c r="X486" s="156">
        <f t="shared" si="289"/>
        <v>2.208039663614854</v>
      </c>
      <c r="Y486" s="154"/>
      <c r="Z486" s="147">
        <f>IF($E486="","",VLOOKUP($D486,'Mortality Margins &amp; Grading'!$AB$5:$AF$125,3,0)*IF(Summary!$D$25="Included Margin",IF(AND($B486&gt;Input!$C$9,Summary!$D$31&lt;&gt;"Included Margin"),0,1),0))</f>
        <v>2.4E-2</v>
      </c>
      <c r="AA486" s="147">
        <f>IF($E486="","",VLOOKUP($D486,'Mortality Margins &amp; Grading'!$AB$5:$AF$125,5,0)*IF(Summary!$D$25="Included Margin",IF(AND($B486&gt;Input!$C$9,Summary!$D$31&lt;&gt;"Included Margin"),0,1),0))</f>
        <v>0.125</v>
      </c>
      <c r="AB486" s="147">
        <f>IF($E486="","",IF(AND($B486&gt;Input!$C$9,Summary!$D$31&lt;&gt;"Included Margin"),1,IF(Summary!$D$25="Included Margin",VLOOKUP($B486,'Mortality Margins &amp; Grading'!$AI$5:$AR$125,MATCH('Mortality Margins &amp; Grading'!$AQ$4,'Mortality Margins &amp; Grading'!$AI$4:$AR$4,0),0),1)))</f>
        <v>0.25</v>
      </c>
      <c r="AC486" s="154"/>
      <c r="AD486" s="158">
        <f>IF(E486="","",Input!$C$48*IF(Summary!$D$30="Included Margin",IF(AND($B486&gt;Input!$C$9,Summary!$D$31&lt;&gt;"Included Margin"),0,1),0))</f>
        <v>-4.4999999999999997E-3</v>
      </c>
      <c r="AE486" s="159">
        <f>IF(E486="","",IF(Summary!$D$26="Included Margin",IF(AND($B486&gt;Input!$C$9,Summary!$D$31&lt;&gt;"Included Margin"),1,1/$R486),1))</f>
        <v>1.2220156565993705</v>
      </c>
      <c r="AF486" s="160">
        <f>IF(E486="","",IF(AND($B486&gt;=Input!$C$9,$C486=12,Summary!$D$31="Included Margin",$U486&gt;0),1/U486-1,IF($B486&gt;=Input!$C$9,0,Input!$C$45*IF(Summary!$D$27="Included Margin",1,0))))</f>
        <v>0</v>
      </c>
      <c r="AG486" s="160">
        <f>IF(E486="","",Input!$C$46*IF(Summary!$D$28="Included Margin",IF(AND($B486&gt;Input!$C$9,Summary!$D$31&lt;&gt;"Included Margin"),0,1),0))</f>
        <v>0.02</v>
      </c>
      <c r="AH486" s="158">
        <f>IF(E486="","",Input!$C$47*IF(Summary!$D$29="Included Margin",IF(AND($B486&gt;Input!$C$9,Summary!$D$31&lt;&gt;"Included Margin"),0,1),0))</f>
        <v>2.5000000000000001E-3</v>
      </c>
      <c r="AI486" s="154"/>
      <c r="AJ486" s="158">
        <f t="shared" si="312"/>
        <v>4.1829999999999999E-2</v>
      </c>
      <c r="AK486" s="155">
        <f t="shared" si="313"/>
        <v>3.4207359278108918E-3</v>
      </c>
      <c r="AL486" s="147">
        <f t="shared" si="314"/>
        <v>0.29837329090000003</v>
      </c>
      <c r="AM486" s="147">
        <f t="shared" si="292"/>
        <v>2.9097745772577621E-2</v>
      </c>
      <c r="AN486" s="160">
        <f t="shared" si="315"/>
        <v>0</v>
      </c>
      <c r="AO486" s="161">
        <f t="shared" si="316"/>
        <v>0</v>
      </c>
      <c r="AP486" s="156">
        <f t="shared" si="293"/>
        <v>2.4351889654216485</v>
      </c>
      <c r="AQ486" s="152"/>
      <c r="AR486" s="162">
        <f t="shared" si="294"/>
        <v>27247.543797840895</v>
      </c>
      <c r="AS486" s="150">
        <f t="shared" si="317"/>
        <v>0</v>
      </c>
      <c r="AT486" s="163">
        <f t="shared" si="295"/>
        <v>0</v>
      </c>
      <c r="AU486" s="163">
        <f t="shared" si="296"/>
        <v>2909.7745772577623</v>
      </c>
      <c r="AV486" s="163">
        <f t="shared" si="318"/>
        <v>88.229866794746997</v>
      </c>
      <c r="AW486" s="163">
        <f t="shared" si="297"/>
        <v>732.04254687028003</v>
      </c>
      <c r="AX486" s="163">
        <f t="shared" si="298"/>
        <v>0</v>
      </c>
      <c r="AY486" s="165">
        <f t="shared" si="319"/>
        <v>25158.041634248162</v>
      </c>
      <c r="AZ486" s="164">
        <f>IF($E486="","",IF(OR(AND($D486=Input!$C$6,$C486=12),$AN486=1),0,-AS487+AT487+AU487-AV487-AW487-AX487+AZ487))</f>
        <v>25158.05013184814</v>
      </c>
      <c r="BA486" s="154">
        <f t="shared" si="299"/>
        <v>8.4975999779999256E-3</v>
      </c>
      <c r="BC486" s="147">
        <f t="shared" si="320"/>
        <v>2.5886889568669221E-3</v>
      </c>
      <c r="BD486" s="164">
        <f>IF(AND($C485=12,$D485=Input!$C$6),0,IF($E486="","",AT486+(AU486+BD487)/(1+$AK486)*MIN((1-AM486-AN486),1)))</f>
        <v>23703.246323282288</v>
      </c>
      <c r="BE486" s="164">
        <f t="shared" si="300"/>
        <v>61.36033199897733</v>
      </c>
      <c r="BF486" s="164">
        <f t="shared" si="321"/>
        <v>25158.05013184814</v>
      </c>
      <c r="BG486" s="164">
        <f t="shared" si="301"/>
        <v>65.1263665526197</v>
      </c>
      <c r="BH486" s="152"/>
      <c r="BI486" s="162">
        <f t="shared" si="302"/>
        <v>10825.931063298758</v>
      </c>
      <c r="BJ486" s="150">
        <f t="shared" si="303"/>
        <v>0</v>
      </c>
      <c r="BK486" s="163">
        <f t="shared" si="325"/>
        <v>0</v>
      </c>
      <c r="BL486" s="163">
        <f t="shared" si="304"/>
        <v>1703.2309263407708</v>
      </c>
      <c r="BM486" s="163">
        <f t="shared" si="326"/>
        <v>37.714859340060684</v>
      </c>
      <c r="BN486" s="163">
        <f t="shared" si="305"/>
        <v>158.72660532480174</v>
      </c>
      <c r="BO486" s="163">
        <f t="shared" si="306"/>
        <v>0</v>
      </c>
      <c r="BP486" s="164">
        <f t="shared" si="327"/>
        <v>9319.1416016228504</v>
      </c>
      <c r="BQ486" s="164">
        <f>IF($E486="","",IF(AND($D486=Input!$C$6,$C486=12),0,-BJ487+BK487+BL487-BM487-BN487-BO487+BQ487))</f>
        <v>9319.1476781020356</v>
      </c>
      <c r="BR486" s="161">
        <f t="shared" si="307"/>
        <v>0</v>
      </c>
      <c r="BT486" s="147">
        <f t="shared" si="308"/>
        <v>2.5886889568669221E-3</v>
      </c>
      <c r="BU486" s="164">
        <f>IF(AND($C485=12,$D485=Input!$C$6),0,IF($E486="","",BK486+(BL486+BU487)/(1+$AK486)*MIN((1-T486-U486),1)))</f>
        <v>65273.301514383187</v>
      </c>
      <c r="BV486" s="164">
        <f t="shared" si="309"/>
        <v>168.97227480852871</v>
      </c>
      <c r="BW486" s="164">
        <f t="shared" si="310"/>
        <v>9319.1476781020356</v>
      </c>
      <c r="BX486" s="164">
        <f t="shared" si="311"/>
        <v>24.124374681714759</v>
      </c>
    </row>
    <row r="487" spans="1:76" s="150" customFormat="1" x14ac:dyDescent="0.25">
      <c r="A487" s="150">
        <f t="shared" si="322"/>
        <v>483</v>
      </c>
      <c r="B487" s="150">
        <f t="shared" si="323"/>
        <v>41</v>
      </c>
      <c r="C487" s="150">
        <f t="shared" si="324"/>
        <v>3</v>
      </c>
      <c r="D487" s="150">
        <f>IF(E487="","",Input!$C$4+B487-1)</f>
        <v>85</v>
      </c>
      <c r="E487" s="150">
        <f>IF(OR(AND(C486=12,D486=Input!$C$6),E486=""),"",1)</f>
        <v>1</v>
      </c>
      <c r="F487" s="150">
        <f>IF(E487="","",Input!$C$8+B487-1)</f>
        <v>2058</v>
      </c>
      <c r="G487" s="151">
        <f>IF(E487="","",MAX(0,Input!$C$9-B487))</f>
        <v>0</v>
      </c>
      <c r="H487" s="152">
        <f>IF(E487="","",Input!$C$3)</f>
        <v>100000</v>
      </c>
      <c r="I487" s="153">
        <f>IF(E487="","",HLOOKUP($B487,Input!$C$13:$BT$14,2))</f>
        <v>201.73300000000003</v>
      </c>
      <c r="J487" s="154"/>
      <c r="K487" s="155">
        <f>IF($E487="","",INDEX(Input!$C$16:$CP$16,1,$B487))</f>
        <v>3.1329999999999997E-2</v>
      </c>
      <c r="L487" s="155">
        <f>IF($E487="","",Input!$C$37)</f>
        <v>1.4999999999999999E-2</v>
      </c>
      <c r="M487" s="155">
        <f t="shared" si="287"/>
        <v>4.6329999999999996E-2</v>
      </c>
      <c r="N487" s="155">
        <f t="shared" si="288"/>
        <v>3.7811977134125652E-3</v>
      </c>
      <c r="O487" s="147">
        <f>IF($E487="","",MIN(VLOOKUP(IF($B487&lt;=Input!$C$7,$B487,26),'Mortality Tables'!$A$41:$CW$67,IF($B487&lt;=Input!$C$7+1,Input!$C$4+2,$D487-Input!$C$7+2),0)*IF(B487&gt;20,Input!$C$22,1)/1000,1))</f>
        <v>0.22764640000000003</v>
      </c>
      <c r="P487" s="147">
        <f>IF($E487="","",MIN(VLOOKUP(IF($B487&lt;=Input!$C$7,$B487,26),'Mortality Tables'!$A$12:$CW$37,IF($B487&lt;=Input!$C$7+1,Input!$C$4+2,$D487-Input!$C$7+2),0)*IF(B487&gt;20,Input!$C$22,1)/1000,1))</f>
        <v>0.28455800000000003</v>
      </c>
      <c r="Q487" s="155">
        <f>IF($E487="","",Input!$C$21)</f>
        <v>5.0000000000000001E-3</v>
      </c>
      <c r="R487" s="159">
        <f>IF($E487="","",(1-Q487)^($F487-Input!$C$20))</f>
        <v>0.8183201210226746</v>
      </c>
      <c r="S487" s="147">
        <f t="shared" si="290"/>
        <v>0.18628762959837622</v>
      </c>
      <c r="T487" s="147">
        <f t="shared" si="291"/>
        <v>1.7032309263407708E-2</v>
      </c>
      <c r="U487" s="160">
        <f>IF($E487="","",IF($C487=12,INDEX(Input!$C$15:$CP$15,1,$B487),0))</f>
        <v>0</v>
      </c>
      <c r="V487" s="150">
        <f>IF(E487="","",IF(C487=1,IF($B487=1,Input!$C$33,Input!$C$34),0))</f>
        <v>0</v>
      </c>
      <c r="W487" s="156">
        <f>IF($E487="","",Input!$C$35)</f>
        <v>0.02</v>
      </c>
      <c r="X487" s="156">
        <f t="shared" si="289"/>
        <v>2.208039663614854</v>
      </c>
      <c r="Y487" s="154"/>
      <c r="Z487" s="147">
        <f>IF($E487="","",VLOOKUP($D487,'Mortality Margins &amp; Grading'!$AB$5:$AF$125,3,0)*IF(Summary!$D$25="Included Margin",IF(AND($B487&gt;Input!$C$9,Summary!$D$31&lt;&gt;"Included Margin"),0,1),0))</f>
        <v>2.4E-2</v>
      </c>
      <c r="AA487" s="147">
        <f>IF($E487="","",VLOOKUP($D487,'Mortality Margins &amp; Grading'!$AB$5:$AF$125,5,0)*IF(Summary!$D$25="Included Margin",IF(AND($B487&gt;Input!$C$9,Summary!$D$31&lt;&gt;"Included Margin"),0,1),0))</f>
        <v>0.125</v>
      </c>
      <c r="AB487" s="147">
        <f>IF($E487="","",IF(AND($B487&gt;Input!$C$9,Summary!$D$31&lt;&gt;"Included Margin"),1,IF(Summary!$D$25="Included Margin",VLOOKUP($B487,'Mortality Margins &amp; Grading'!$AI$5:$AR$125,MATCH('Mortality Margins &amp; Grading'!$AQ$4,'Mortality Margins &amp; Grading'!$AI$4:$AR$4,0),0),1)))</f>
        <v>0.25</v>
      </c>
      <c r="AC487" s="154"/>
      <c r="AD487" s="158">
        <f>IF(E487="","",Input!$C$48*IF(Summary!$D$30="Included Margin",IF(AND($B487&gt;Input!$C$9,Summary!$D$31&lt;&gt;"Included Margin"),0,1),0))</f>
        <v>-4.4999999999999997E-3</v>
      </c>
      <c r="AE487" s="159">
        <f>IF(E487="","",IF(Summary!$D$26="Included Margin",IF(AND($B487&gt;Input!$C$9,Summary!$D$31&lt;&gt;"Included Margin"),1,1/$R487),1))</f>
        <v>1.2220156565993705</v>
      </c>
      <c r="AF487" s="160">
        <f>IF(E487="","",IF(AND($B487&gt;=Input!$C$9,$C487=12,Summary!$D$31="Included Margin",$U487&gt;0),1/U487-1,IF($B487&gt;=Input!$C$9,0,Input!$C$45*IF(Summary!$D$27="Included Margin",1,0))))</f>
        <v>0</v>
      </c>
      <c r="AG487" s="160">
        <f>IF(E487="","",Input!$C$46*IF(Summary!$D$28="Included Margin",IF(AND($B487&gt;Input!$C$9,Summary!$D$31&lt;&gt;"Included Margin"),0,1),0))</f>
        <v>0.02</v>
      </c>
      <c r="AH487" s="158">
        <f>IF(E487="","",Input!$C$47*IF(Summary!$D$29="Included Margin",IF(AND($B487&gt;Input!$C$9,Summary!$D$31&lt;&gt;"Included Margin"),0,1),0))</f>
        <v>2.5000000000000001E-3</v>
      </c>
      <c r="AI487" s="154"/>
      <c r="AJ487" s="158">
        <f t="shared" si="312"/>
        <v>4.1829999999999999E-2</v>
      </c>
      <c r="AK487" s="155">
        <f t="shared" si="313"/>
        <v>3.4207359278108918E-3</v>
      </c>
      <c r="AL487" s="147">
        <f t="shared" si="314"/>
        <v>0.29837329090000003</v>
      </c>
      <c r="AM487" s="147">
        <f t="shared" si="292"/>
        <v>2.9097745772577621E-2</v>
      </c>
      <c r="AN487" s="160">
        <f t="shared" si="315"/>
        <v>0</v>
      </c>
      <c r="AO487" s="161">
        <f t="shared" si="316"/>
        <v>0</v>
      </c>
      <c r="AP487" s="156">
        <f t="shared" si="293"/>
        <v>2.4351889654216485</v>
      </c>
      <c r="AQ487" s="152"/>
      <c r="AR487" s="162">
        <f t="shared" si="294"/>
        <v>25158.041634248162</v>
      </c>
      <c r="AS487" s="150">
        <f t="shared" si="317"/>
        <v>0</v>
      </c>
      <c r="AT487" s="163">
        <f t="shared" si="295"/>
        <v>0</v>
      </c>
      <c r="AU487" s="163">
        <f t="shared" si="296"/>
        <v>2909.7745772577623</v>
      </c>
      <c r="AV487" s="163">
        <f t="shared" si="318"/>
        <v>81.082231672506737</v>
      </c>
      <c r="AW487" s="163">
        <f t="shared" si="297"/>
        <v>669.20637304176194</v>
      </c>
      <c r="AX487" s="163">
        <f t="shared" si="298"/>
        <v>0</v>
      </c>
      <c r="AY487" s="164">
        <f t="shared" si="319"/>
        <v>22998.555661704668</v>
      </c>
      <c r="AZ487" s="164">
        <f>IF($E487="","",IF(OR(AND($D487=Input!$C$6,$C487=12),$AN487=1),0,-AS488+AT488+AU488-AV488-AW488-AX488+AZ488))</f>
        <v>22998.564159304646</v>
      </c>
      <c r="BA487" s="154">
        <f t="shared" si="299"/>
        <v>8.4975999779999256E-3</v>
      </c>
      <c r="BC487" s="147">
        <f t="shared" si="320"/>
        <v>2.5445976059667963E-3</v>
      </c>
      <c r="BD487" s="164">
        <f>IF(AND($C486=12,$D486=Input!$C$6),0,IF($E487="","",AT487+(AU487+BD488)/(1+$AK487)*MIN((1-AM487-AN487),1)))</f>
        <v>21587.365856834684</v>
      </c>
      <c r="BE487" s="164">
        <f t="shared" si="300"/>
        <v>54.931159478430892</v>
      </c>
      <c r="BF487" s="164">
        <f t="shared" si="321"/>
        <v>22998.564159304646</v>
      </c>
      <c r="BG487" s="164">
        <f t="shared" si="301"/>
        <v>58.522091300440366</v>
      </c>
      <c r="BH487" s="152"/>
      <c r="BI487" s="162">
        <f t="shared" si="302"/>
        <v>9319.1416016228504</v>
      </c>
      <c r="BJ487" s="150">
        <f t="shared" si="303"/>
        <v>0</v>
      </c>
      <c r="BK487" s="163">
        <f t="shared" si="325"/>
        <v>0</v>
      </c>
      <c r="BL487" s="163">
        <f t="shared" si="304"/>
        <v>1703.2309263407708</v>
      </c>
      <c r="BM487" s="163">
        <f t="shared" si="326"/>
        <v>32.017390472977588</v>
      </c>
      <c r="BN487" s="163">
        <f t="shared" si="305"/>
        <v>132.51908558570815</v>
      </c>
      <c r="BO487" s="163">
        <f t="shared" si="306"/>
        <v>0</v>
      </c>
      <c r="BP487" s="164">
        <f t="shared" si="327"/>
        <v>7780.4471513407652</v>
      </c>
      <c r="BQ487" s="164">
        <f>IF($E487="","",IF(AND($D487=Input!$C$6,$C487=12),0,-BJ488+BK488+BL488-BM488-BN488-BO488+BQ488))</f>
        <v>7780.4532278199504</v>
      </c>
      <c r="BR487" s="161">
        <f t="shared" si="307"/>
        <v>0</v>
      </c>
      <c r="BT487" s="147">
        <f t="shared" si="308"/>
        <v>2.5445976059667963E-3</v>
      </c>
      <c r="BU487" s="164">
        <f>IF(AND($C486=12,$D486=Input!$C$6),0,IF($E487="","",BK487+(BL487+BU488)/(1+$AK487)*MIN((1-T487-U487),1)))</f>
        <v>64928.241154821975</v>
      </c>
      <c r="BV487" s="164">
        <f t="shared" si="309"/>
        <v>165.21624700219482</v>
      </c>
      <c r="BW487" s="164">
        <f t="shared" si="310"/>
        <v>7780.4532278199504</v>
      </c>
      <c r="BX487" s="164">
        <f t="shared" si="311"/>
        <v>19.79812265684728</v>
      </c>
    </row>
    <row r="488" spans="1:76" s="150" customFormat="1" x14ac:dyDescent="0.25">
      <c r="A488" s="150">
        <f t="shared" si="322"/>
        <v>484</v>
      </c>
      <c r="B488" s="150">
        <f t="shared" si="323"/>
        <v>41</v>
      </c>
      <c r="C488" s="150">
        <f t="shared" si="324"/>
        <v>4</v>
      </c>
      <c r="D488" s="150">
        <f>IF(E488="","",Input!$C$4+B488-1)</f>
        <v>85</v>
      </c>
      <c r="E488" s="150">
        <f>IF(OR(AND(C487=12,D487=Input!$C$6),E487=""),"",1)</f>
        <v>1</v>
      </c>
      <c r="F488" s="150">
        <f>IF(E488="","",Input!$C$8+B488-1)</f>
        <v>2058</v>
      </c>
      <c r="G488" s="151">
        <f>IF(E488="","",MAX(0,Input!$C$9-B488))</f>
        <v>0</v>
      </c>
      <c r="H488" s="152">
        <f>IF(E488="","",Input!$C$3)</f>
        <v>100000</v>
      </c>
      <c r="I488" s="153">
        <f>IF(E488="","",HLOOKUP($B488,Input!$C$13:$BT$14,2))</f>
        <v>201.73300000000003</v>
      </c>
      <c r="J488" s="154"/>
      <c r="K488" s="155">
        <f>IF($E488="","",INDEX(Input!$C$16:$CP$16,1,$B488))</f>
        <v>3.1329999999999997E-2</v>
      </c>
      <c r="L488" s="155">
        <f>IF($E488="","",Input!$C$37)</f>
        <v>1.4999999999999999E-2</v>
      </c>
      <c r="M488" s="155">
        <f t="shared" si="287"/>
        <v>4.6329999999999996E-2</v>
      </c>
      <c r="N488" s="155">
        <f t="shared" si="288"/>
        <v>3.7811977134125652E-3</v>
      </c>
      <c r="O488" s="147">
        <f>IF($E488="","",MIN(VLOOKUP(IF($B488&lt;=Input!$C$7,$B488,26),'Mortality Tables'!$A$41:$CW$67,IF($B488&lt;=Input!$C$7+1,Input!$C$4+2,$D488-Input!$C$7+2),0)*IF(B488&gt;20,Input!$C$22,1)/1000,1))</f>
        <v>0.22764640000000003</v>
      </c>
      <c r="P488" s="147">
        <f>IF($E488="","",MIN(VLOOKUP(IF($B488&lt;=Input!$C$7,$B488,26),'Mortality Tables'!$A$12:$CW$37,IF($B488&lt;=Input!$C$7+1,Input!$C$4+2,$D488-Input!$C$7+2),0)*IF(B488&gt;20,Input!$C$22,1)/1000,1))</f>
        <v>0.28455800000000003</v>
      </c>
      <c r="Q488" s="155">
        <f>IF($E488="","",Input!$C$21)</f>
        <v>5.0000000000000001E-3</v>
      </c>
      <c r="R488" s="159">
        <f>IF($E488="","",(1-Q488)^($F488-Input!$C$20))</f>
        <v>0.8183201210226746</v>
      </c>
      <c r="S488" s="147">
        <f t="shared" si="290"/>
        <v>0.18628762959837622</v>
      </c>
      <c r="T488" s="147">
        <f t="shared" si="291"/>
        <v>1.7032309263407708E-2</v>
      </c>
      <c r="U488" s="160">
        <f>IF($E488="","",IF($C488=12,INDEX(Input!$C$15:$CP$15,1,$B488),0))</f>
        <v>0</v>
      </c>
      <c r="V488" s="150">
        <f>IF(E488="","",IF(C488=1,IF($B488=1,Input!$C$33,Input!$C$34),0))</f>
        <v>0</v>
      </c>
      <c r="W488" s="156">
        <f>IF($E488="","",Input!$C$35)</f>
        <v>0.02</v>
      </c>
      <c r="X488" s="156">
        <f t="shared" si="289"/>
        <v>2.208039663614854</v>
      </c>
      <c r="Y488" s="154"/>
      <c r="Z488" s="147">
        <f>IF($E488="","",VLOOKUP($D488,'Mortality Margins &amp; Grading'!$AB$5:$AF$125,3,0)*IF(Summary!$D$25="Included Margin",IF(AND($B488&gt;Input!$C$9,Summary!$D$31&lt;&gt;"Included Margin"),0,1),0))</f>
        <v>2.4E-2</v>
      </c>
      <c r="AA488" s="147">
        <f>IF($E488="","",VLOOKUP($D488,'Mortality Margins &amp; Grading'!$AB$5:$AF$125,5,0)*IF(Summary!$D$25="Included Margin",IF(AND($B488&gt;Input!$C$9,Summary!$D$31&lt;&gt;"Included Margin"),0,1),0))</f>
        <v>0.125</v>
      </c>
      <c r="AB488" s="147">
        <f>IF($E488="","",IF(AND($B488&gt;Input!$C$9,Summary!$D$31&lt;&gt;"Included Margin"),1,IF(Summary!$D$25="Included Margin",VLOOKUP($B488,'Mortality Margins &amp; Grading'!$AI$5:$AR$125,MATCH('Mortality Margins &amp; Grading'!$AQ$4,'Mortality Margins &amp; Grading'!$AI$4:$AR$4,0),0),1)))</f>
        <v>0.25</v>
      </c>
      <c r="AC488" s="154"/>
      <c r="AD488" s="158">
        <f>IF(E488="","",Input!$C$48*IF(Summary!$D$30="Included Margin",IF(AND($B488&gt;Input!$C$9,Summary!$D$31&lt;&gt;"Included Margin"),0,1),0))</f>
        <v>-4.4999999999999997E-3</v>
      </c>
      <c r="AE488" s="159">
        <f>IF(E488="","",IF(Summary!$D$26="Included Margin",IF(AND($B488&gt;Input!$C$9,Summary!$D$31&lt;&gt;"Included Margin"),1,1/$R488),1))</f>
        <v>1.2220156565993705</v>
      </c>
      <c r="AF488" s="160">
        <f>IF(E488="","",IF(AND($B488&gt;=Input!$C$9,$C488=12,Summary!$D$31="Included Margin",$U488&gt;0),1/U488-1,IF($B488&gt;=Input!$C$9,0,Input!$C$45*IF(Summary!$D$27="Included Margin",1,0))))</f>
        <v>0</v>
      </c>
      <c r="AG488" s="160">
        <f>IF(E488="","",Input!$C$46*IF(Summary!$D$28="Included Margin",IF(AND($B488&gt;Input!$C$9,Summary!$D$31&lt;&gt;"Included Margin"),0,1),0))</f>
        <v>0.02</v>
      </c>
      <c r="AH488" s="158">
        <f>IF(E488="","",Input!$C$47*IF(Summary!$D$29="Included Margin",IF(AND($B488&gt;Input!$C$9,Summary!$D$31&lt;&gt;"Included Margin"),0,1),0))</f>
        <v>2.5000000000000001E-3</v>
      </c>
      <c r="AI488" s="154"/>
      <c r="AJ488" s="158">
        <f t="shared" si="312"/>
        <v>4.1829999999999999E-2</v>
      </c>
      <c r="AK488" s="155">
        <f t="shared" si="313"/>
        <v>3.4207359278108918E-3</v>
      </c>
      <c r="AL488" s="147">
        <f t="shared" si="314"/>
        <v>0.29837329090000003</v>
      </c>
      <c r="AM488" s="147">
        <f t="shared" si="292"/>
        <v>2.9097745772577621E-2</v>
      </c>
      <c r="AN488" s="160">
        <f t="shared" si="315"/>
        <v>0</v>
      </c>
      <c r="AO488" s="161">
        <f t="shared" si="316"/>
        <v>0</v>
      </c>
      <c r="AP488" s="156">
        <f t="shared" si="293"/>
        <v>2.4351889654216485</v>
      </c>
      <c r="AQ488" s="152"/>
      <c r="AR488" s="162">
        <f t="shared" si="294"/>
        <v>22998.555661704668</v>
      </c>
      <c r="AS488" s="150">
        <f t="shared" si="317"/>
        <v>0</v>
      </c>
      <c r="AT488" s="163">
        <f t="shared" si="295"/>
        <v>0</v>
      </c>
      <c r="AU488" s="163">
        <f t="shared" si="296"/>
        <v>2909.7745772577623</v>
      </c>
      <c r="AV488" s="163">
        <f t="shared" si="318"/>
        <v>73.695200420623564</v>
      </c>
      <c r="AW488" s="163">
        <f t="shared" si="297"/>
        <v>604.26562384546799</v>
      </c>
      <c r="AX488" s="163">
        <f t="shared" si="298"/>
        <v>0</v>
      </c>
      <c r="AY488" s="165">
        <f t="shared" si="319"/>
        <v>20766.741908713</v>
      </c>
      <c r="AZ488" s="164">
        <f>IF($E488="","",IF(OR(AND($D488=Input!$C$6,$C488=12),$AN488=1),0,-AS489+AT489+AU489-AV489-AW489-AX489+AZ489))</f>
        <v>20766.750406312975</v>
      </c>
      <c r="BA488" s="154">
        <f t="shared" si="299"/>
        <v>8.4975999743619468E-3</v>
      </c>
      <c r="BC488" s="147">
        <f t="shared" si="320"/>
        <v>2.501257232591043E-3</v>
      </c>
      <c r="BD488" s="164">
        <f>IF(AND($C487=12,$D487=Input!$C$6),0,IF($E488="","",AT488+(AU488+BD489)/(1+$AK488)*MIN((1-AM488-AN488),1)))</f>
        <v>19400.61809151245</v>
      </c>
      <c r="BE488" s="164">
        <f t="shared" si="300"/>
        <v>48.525936318132153</v>
      </c>
      <c r="BF488" s="164">
        <f t="shared" si="321"/>
        <v>20766.750406312975</v>
      </c>
      <c r="BG488" s="164">
        <f t="shared" si="301"/>
        <v>51.942984651203311</v>
      </c>
      <c r="BH488" s="152"/>
      <c r="BI488" s="162">
        <f t="shared" si="302"/>
        <v>7780.4471513407643</v>
      </c>
      <c r="BJ488" s="150">
        <f t="shared" si="303"/>
        <v>0</v>
      </c>
      <c r="BK488" s="163">
        <f t="shared" si="325"/>
        <v>0</v>
      </c>
      <c r="BL488" s="163">
        <f t="shared" si="304"/>
        <v>1703.2309263407708</v>
      </c>
      <c r="BM488" s="163">
        <f t="shared" si="326"/>
        <v>26.199282535930358</v>
      </c>
      <c r="BN488" s="163">
        <f t="shared" si="305"/>
        <v>105.75664384859239</v>
      </c>
      <c r="BO488" s="163">
        <f t="shared" si="306"/>
        <v>0</v>
      </c>
      <c r="BP488" s="164">
        <f t="shared" si="327"/>
        <v>6209.1721513845168</v>
      </c>
      <c r="BQ488" s="164">
        <f>IF($E488="","",IF(AND($D488=Input!$C$6,$C488=12),0,-BJ489+BK489+BL489-BM489-BN489-BO489+BQ489))</f>
        <v>6209.178227863702</v>
      </c>
      <c r="BR488" s="161">
        <f t="shared" si="307"/>
        <v>0</v>
      </c>
      <c r="BT488" s="147">
        <f t="shared" si="308"/>
        <v>2.501257232591043E-3</v>
      </c>
      <c r="BU488" s="164">
        <f>IF(AND($C487=12,$D487=Input!$C$6),0,IF($E488="","",BK488+(BL488+BU489)/(1+$AK488)*MIN((1-T488-U488),1)))</f>
        <v>64576.000971148227</v>
      </c>
      <c r="BV488" s="164">
        <f t="shared" si="309"/>
        <v>161.52118948089071</v>
      </c>
      <c r="BW488" s="164">
        <f t="shared" si="310"/>
        <v>6209.178227863702</v>
      </c>
      <c r="BX488" s="164">
        <f t="shared" si="311"/>
        <v>15.53075195089092</v>
      </c>
    </row>
    <row r="489" spans="1:76" s="150" customFormat="1" x14ac:dyDescent="0.25">
      <c r="A489" s="150">
        <f t="shared" si="322"/>
        <v>485</v>
      </c>
      <c r="B489" s="150">
        <f t="shared" si="323"/>
        <v>41</v>
      </c>
      <c r="C489" s="150">
        <f t="shared" si="324"/>
        <v>5</v>
      </c>
      <c r="D489" s="150">
        <f>IF(E489="","",Input!$C$4+B489-1)</f>
        <v>85</v>
      </c>
      <c r="E489" s="150">
        <f>IF(OR(AND(C488=12,D488=Input!$C$6),E488=""),"",1)</f>
        <v>1</v>
      </c>
      <c r="F489" s="150">
        <f>IF(E489="","",Input!$C$8+B489-1)</f>
        <v>2058</v>
      </c>
      <c r="G489" s="151">
        <f>IF(E489="","",MAX(0,Input!$C$9-B489))</f>
        <v>0</v>
      </c>
      <c r="H489" s="152">
        <f>IF(E489="","",Input!$C$3)</f>
        <v>100000</v>
      </c>
      <c r="I489" s="153">
        <f>IF(E489="","",HLOOKUP($B489,Input!$C$13:$BT$14,2))</f>
        <v>201.73300000000003</v>
      </c>
      <c r="J489" s="154"/>
      <c r="K489" s="155">
        <f>IF($E489="","",INDEX(Input!$C$16:$CP$16,1,$B489))</f>
        <v>3.1329999999999997E-2</v>
      </c>
      <c r="L489" s="155">
        <f>IF($E489="","",Input!$C$37)</f>
        <v>1.4999999999999999E-2</v>
      </c>
      <c r="M489" s="155">
        <f t="shared" si="287"/>
        <v>4.6329999999999996E-2</v>
      </c>
      <c r="N489" s="155">
        <f t="shared" si="288"/>
        <v>3.7811977134125652E-3</v>
      </c>
      <c r="O489" s="147">
        <f>IF($E489="","",MIN(VLOOKUP(IF($B489&lt;=Input!$C$7,$B489,26),'Mortality Tables'!$A$41:$CW$67,IF($B489&lt;=Input!$C$7+1,Input!$C$4+2,$D489-Input!$C$7+2),0)*IF(B489&gt;20,Input!$C$22,1)/1000,1))</f>
        <v>0.22764640000000003</v>
      </c>
      <c r="P489" s="147">
        <f>IF($E489="","",MIN(VLOOKUP(IF($B489&lt;=Input!$C$7,$B489,26),'Mortality Tables'!$A$12:$CW$37,IF($B489&lt;=Input!$C$7+1,Input!$C$4+2,$D489-Input!$C$7+2),0)*IF(B489&gt;20,Input!$C$22,1)/1000,1))</f>
        <v>0.28455800000000003</v>
      </c>
      <c r="Q489" s="155">
        <f>IF($E489="","",Input!$C$21)</f>
        <v>5.0000000000000001E-3</v>
      </c>
      <c r="R489" s="159">
        <f>IF($E489="","",(1-Q489)^($F489-Input!$C$20))</f>
        <v>0.8183201210226746</v>
      </c>
      <c r="S489" s="147">
        <f t="shared" si="290"/>
        <v>0.18628762959837622</v>
      </c>
      <c r="T489" s="147">
        <f t="shared" si="291"/>
        <v>1.7032309263407708E-2</v>
      </c>
      <c r="U489" s="160">
        <f>IF($E489="","",IF($C489=12,INDEX(Input!$C$15:$CP$15,1,$B489),0))</f>
        <v>0</v>
      </c>
      <c r="V489" s="150">
        <f>IF(E489="","",IF(C489=1,IF($B489=1,Input!$C$33,Input!$C$34),0))</f>
        <v>0</v>
      </c>
      <c r="W489" s="156">
        <f>IF($E489="","",Input!$C$35)</f>
        <v>0.02</v>
      </c>
      <c r="X489" s="156">
        <f t="shared" si="289"/>
        <v>2.208039663614854</v>
      </c>
      <c r="Y489" s="154"/>
      <c r="Z489" s="147">
        <f>IF($E489="","",VLOOKUP($D489,'Mortality Margins &amp; Grading'!$AB$5:$AF$125,3,0)*IF(Summary!$D$25="Included Margin",IF(AND($B489&gt;Input!$C$9,Summary!$D$31&lt;&gt;"Included Margin"),0,1),0))</f>
        <v>2.4E-2</v>
      </c>
      <c r="AA489" s="147">
        <f>IF($E489="","",VLOOKUP($D489,'Mortality Margins &amp; Grading'!$AB$5:$AF$125,5,0)*IF(Summary!$D$25="Included Margin",IF(AND($B489&gt;Input!$C$9,Summary!$D$31&lt;&gt;"Included Margin"),0,1),0))</f>
        <v>0.125</v>
      </c>
      <c r="AB489" s="147">
        <f>IF($E489="","",IF(AND($B489&gt;Input!$C$9,Summary!$D$31&lt;&gt;"Included Margin"),1,IF(Summary!$D$25="Included Margin",VLOOKUP($B489,'Mortality Margins &amp; Grading'!$AI$5:$AR$125,MATCH('Mortality Margins &amp; Grading'!$AQ$4,'Mortality Margins &amp; Grading'!$AI$4:$AR$4,0),0),1)))</f>
        <v>0.25</v>
      </c>
      <c r="AC489" s="154"/>
      <c r="AD489" s="158">
        <f>IF(E489="","",Input!$C$48*IF(Summary!$D$30="Included Margin",IF(AND($B489&gt;Input!$C$9,Summary!$D$31&lt;&gt;"Included Margin"),0,1),0))</f>
        <v>-4.4999999999999997E-3</v>
      </c>
      <c r="AE489" s="159">
        <f>IF(E489="","",IF(Summary!$D$26="Included Margin",IF(AND($B489&gt;Input!$C$9,Summary!$D$31&lt;&gt;"Included Margin"),1,1/$R489),1))</f>
        <v>1.2220156565993705</v>
      </c>
      <c r="AF489" s="160">
        <f>IF(E489="","",IF(AND($B489&gt;=Input!$C$9,$C489=12,Summary!$D$31="Included Margin",$U489&gt;0),1/U489-1,IF($B489&gt;=Input!$C$9,0,Input!$C$45*IF(Summary!$D$27="Included Margin",1,0))))</f>
        <v>0</v>
      </c>
      <c r="AG489" s="160">
        <f>IF(E489="","",Input!$C$46*IF(Summary!$D$28="Included Margin",IF(AND($B489&gt;Input!$C$9,Summary!$D$31&lt;&gt;"Included Margin"),0,1),0))</f>
        <v>0.02</v>
      </c>
      <c r="AH489" s="158">
        <f>IF(E489="","",Input!$C$47*IF(Summary!$D$29="Included Margin",IF(AND($B489&gt;Input!$C$9,Summary!$D$31&lt;&gt;"Included Margin"),0,1),0))</f>
        <v>2.5000000000000001E-3</v>
      </c>
      <c r="AI489" s="154"/>
      <c r="AJ489" s="158">
        <f t="shared" si="312"/>
        <v>4.1829999999999999E-2</v>
      </c>
      <c r="AK489" s="155">
        <f t="shared" si="313"/>
        <v>3.4207359278108918E-3</v>
      </c>
      <c r="AL489" s="147">
        <f t="shared" si="314"/>
        <v>0.29837329090000003</v>
      </c>
      <c r="AM489" s="147">
        <f t="shared" si="292"/>
        <v>2.9097745772577621E-2</v>
      </c>
      <c r="AN489" s="160">
        <f t="shared" si="315"/>
        <v>0</v>
      </c>
      <c r="AO489" s="161">
        <f t="shared" si="316"/>
        <v>0</v>
      </c>
      <c r="AP489" s="156">
        <f t="shared" si="293"/>
        <v>2.4351889654216485</v>
      </c>
      <c r="AQ489" s="152"/>
      <c r="AR489" s="162">
        <f t="shared" si="294"/>
        <v>20766.741908712997</v>
      </c>
      <c r="AS489" s="150">
        <f t="shared" si="317"/>
        <v>0</v>
      </c>
      <c r="AT489" s="163">
        <f t="shared" si="295"/>
        <v>0</v>
      </c>
      <c r="AU489" s="163">
        <f t="shared" si="296"/>
        <v>2909.7745772577623</v>
      </c>
      <c r="AV489" s="163">
        <f t="shared" si="318"/>
        <v>66.060754931582494</v>
      </c>
      <c r="AW489" s="163">
        <f t="shared" si="297"/>
        <v>537.14981062480456</v>
      </c>
      <c r="AX489" s="163">
        <f t="shared" si="298"/>
        <v>0</v>
      </c>
      <c r="AY489" s="164">
        <f t="shared" si="319"/>
        <v>18460.177897011621</v>
      </c>
      <c r="AZ489" s="164">
        <f>IF($E489="","",IF(OR(AND($D489=Input!$C$6,$C489=12),$AN489=1),0,-AS490+AT490+AU490-AV490-AW490-AX490+AZ490))</f>
        <v>18460.186394611599</v>
      </c>
      <c r="BA489" s="154">
        <f t="shared" si="299"/>
        <v>8.4975999779999256E-3</v>
      </c>
      <c r="BC489" s="147">
        <f t="shared" si="320"/>
        <v>2.4586550458582171E-3</v>
      </c>
      <c r="BD489" s="164">
        <f>IF(AND($C488=12,$D488=Input!$C$6),0,IF($E489="","",AT489+(AU489+BD490)/(1+$AK489)*MIN((1-AM489-AN489),1)))</f>
        <v>17140.629465042373</v>
      </c>
      <c r="BE489" s="164">
        <f t="shared" si="300"/>
        <v>42.142895123412465</v>
      </c>
      <c r="BF489" s="164">
        <f t="shared" si="321"/>
        <v>18460.186394611599</v>
      </c>
      <c r="BG489" s="164">
        <f t="shared" si="301"/>
        <v>45.387230426595018</v>
      </c>
      <c r="BH489" s="152"/>
      <c r="BI489" s="162">
        <f t="shared" si="302"/>
        <v>6209.1721513845159</v>
      </c>
      <c r="BJ489" s="150">
        <f t="shared" si="303"/>
        <v>0</v>
      </c>
      <c r="BK489" s="163">
        <f t="shared" si="325"/>
        <v>0</v>
      </c>
      <c r="BL489" s="163">
        <f t="shared" si="304"/>
        <v>1703.2309263407708</v>
      </c>
      <c r="BM489" s="163">
        <f t="shared" si="326"/>
        <v>20.257981098953465</v>
      </c>
      <c r="BN489" s="163">
        <f t="shared" si="305"/>
        <v>78.427530110899696</v>
      </c>
      <c r="BO489" s="163">
        <f t="shared" si="306"/>
        <v>0</v>
      </c>
      <c r="BP489" s="164">
        <f t="shared" si="327"/>
        <v>4604.6267362535991</v>
      </c>
      <c r="BQ489" s="164">
        <f>IF($E489="","",IF(AND($D489=Input!$C$6,$C489=12),0,-BJ490+BK490+BL490-BM490-BN490-BO490+BQ490))</f>
        <v>4604.6328127327843</v>
      </c>
      <c r="BR489" s="161">
        <f t="shared" si="307"/>
        <v>0</v>
      </c>
      <c r="BT489" s="147">
        <f t="shared" si="308"/>
        <v>2.4586550458582171E-3</v>
      </c>
      <c r="BU489" s="164">
        <f>IF(AND($C488=12,$D488=Input!$C$6),0,IF($E489="","",BK489+(BL489+BU490)/(1+$AK489)*MIN((1-T489-U489),1)))</f>
        <v>64216.43156957368</v>
      </c>
      <c r="BV489" s="164">
        <f t="shared" si="309"/>
        <v>157.88605350554124</v>
      </c>
      <c r="BW489" s="164">
        <f t="shared" si="310"/>
        <v>4604.6328127327843</v>
      </c>
      <c r="BX489" s="164">
        <f t="shared" si="311"/>
        <v>11.321203699349775</v>
      </c>
    </row>
    <row r="490" spans="1:76" s="150" customFormat="1" x14ac:dyDescent="0.25">
      <c r="A490" s="150">
        <f t="shared" si="322"/>
        <v>486</v>
      </c>
      <c r="B490" s="150">
        <f t="shared" si="323"/>
        <v>41</v>
      </c>
      <c r="C490" s="150">
        <f t="shared" si="324"/>
        <v>6</v>
      </c>
      <c r="D490" s="150">
        <f>IF(E490="","",Input!$C$4+B490-1)</f>
        <v>85</v>
      </c>
      <c r="E490" s="150">
        <f>IF(OR(AND(C489=12,D489=Input!$C$6),E489=""),"",1)</f>
        <v>1</v>
      </c>
      <c r="F490" s="150">
        <f>IF(E490="","",Input!$C$8+B490-1)</f>
        <v>2058</v>
      </c>
      <c r="G490" s="151">
        <f>IF(E490="","",MAX(0,Input!$C$9-B490))</f>
        <v>0</v>
      </c>
      <c r="H490" s="152">
        <f>IF(E490="","",Input!$C$3)</f>
        <v>100000</v>
      </c>
      <c r="I490" s="153">
        <f>IF(E490="","",HLOOKUP($B490,Input!$C$13:$BT$14,2))</f>
        <v>201.73300000000003</v>
      </c>
      <c r="J490" s="154"/>
      <c r="K490" s="155">
        <f>IF($E490="","",INDEX(Input!$C$16:$CP$16,1,$B490))</f>
        <v>3.1329999999999997E-2</v>
      </c>
      <c r="L490" s="155">
        <f>IF($E490="","",Input!$C$37)</f>
        <v>1.4999999999999999E-2</v>
      </c>
      <c r="M490" s="155">
        <f t="shared" si="287"/>
        <v>4.6329999999999996E-2</v>
      </c>
      <c r="N490" s="155">
        <f t="shared" si="288"/>
        <v>3.7811977134125652E-3</v>
      </c>
      <c r="O490" s="147">
        <f>IF($E490="","",MIN(VLOOKUP(IF($B490&lt;=Input!$C$7,$B490,26),'Mortality Tables'!$A$41:$CW$67,IF($B490&lt;=Input!$C$7+1,Input!$C$4+2,$D490-Input!$C$7+2),0)*IF(B490&gt;20,Input!$C$22,1)/1000,1))</f>
        <v>0.22764640000000003</v>
      </c>
      <c r="P490" s="147">
        <f>IF($E490="","",MIN(VLOOKUP(IF($B490&lt;=Input!$C$7,$B490,26),'Mortality Tables'!$A$12:$CW$37,IF($B490&lt;=Input!$C$7+1,Input!$C$4+2,$D490-Input!$C$7+2),0)*IF(B490&gt;20,Input!$C$22,1)/1000,1))</f>
        <v>0.28455800000000003</v>
      </c>
      <c r="Q490" s="155">
        <f>IF($E490="","",Input!$C$21)</f>
        <v>5.0000000000000001E-3</v>
      </c>
      <c r="R490" s="159">
        <f>IF($E490="","",(1-Q490)^($F490-Input!$C$20))</f>
        <v>0.8183201210226746</v>
      </c>
      <c r="S490" s="147">
        <f t="shared" si="290"/>
        <v>0.18628762959837622</v>
      </c>
      <c r="T490" s="147">
        <f t="shared" si="291"/>
        <v>1.7032309263407708E-2</v>
      </c>
      <c r="U490" s="160">
        <f>IF($E490="","",IF($C490=12,INDEX(Input!$C$15:$CP$15,1,$B490),0))</f>
        <v>0</v>
      </c>
      <c r="V490" s="150">
        <f>IF(E490="","",IF(C490=1,IF($B490=1,Input!$C$33,Input!$C$34),0))</f>
        <v>0</v>
      </c>
      <c r="W490" s="156">
        <f>IF($E490="","",Input!$C$35)</f>
        <v>0.02</v>
      </c>
      <c r="X490" s="156">
        <f t="shared" si="289"/>
        <v>2.208039663614854</v>
      </c>
      <c r="Y490" s="154"/>
      <c r="Z490" s="147">
        <f>IF($E490="","",VLOOKUP($D490,'Mortality Margins &amp; Grading'!$AB$5:$AF$125,3,0)*IF(Summary!$D$25="Included Margin",IF(AND($B490&gt;Input!$C$9,Summary!$D$31&lt;&gt;"Included Margin"),0,1),0))</f>
        <v>2.4E-2</v>
      </c>
      <c r="AA490" s="147">
        <f>IF($E490="","",VLOOKUP($D490,'Mortality Margins &amp; Grading'!$AB$5:$AF$125,5,0)*IF(Summary!$D$25="Included Margin",IF(AND($B490&gt;Input!$C$9,Summary!$D$31&lt;&gt;"Included Margin"),0,1),0))</f>
        <v>0.125</v>
      </c>
      <c r="AB490" s="147">
        <f>IF($E490="","",IF(AND($B490&gt;Input!$C$9,Summary!$D$31&lt;&gt;"Included Margin"),1,IF(Summary!$D$25="Included Margin",VLOOKUP($B490,'Mortality Margins &amp; Grading'!$AI$5:$AR$125,MATCH('Mortality Margins &amp; Grading'!$AQ$4,'Mortality Margins &amp; Grading'!$AI$4:$AR$4,0),0),1)))</f>
        <v>0.25</v>
      </c>
      <c r="AC490" s="154"/>
      <c r="AD490" s="158">
        <f>IF(E490="","",Input!$C$48*IF(Summary!$D$30="Included Margin",IF(AND($B490&gt;Input!$C$9,Summary!$D$31&lt;&gt;"Included Margin"),0,1),0))</f>
        <v>-4.4999999999999997E-3</v>
      </c>
      <c r="AE490" s="159">
        <f>IF(E490="","",IF(Summary!$D$26="Included Margin",IF(AND($B490&gt;Input!$C$9,Summary!$D$31&lt;&gt;"Included Margin"),1,1/$R490),1))</f>
        <v>1.2220156565993705</v>
      </c>
      <c r="AF490" s="160">
        <f>IF(E490="","",IF(AND($B490&gt;=Input!$C$9,$C490=12,Summary!$D$31="Included Margin",$U490&gt;0),1/U490-1,IF($B490&gt;=Input!$C$9,0,Input!$C$45*IF(Summary!$D$27="Included Margin",1,0))))</f>
        <v>0</v>
      </c>
      <c r="AG490" s="160">
        <f>IF(E490="","",Input!$C$46*IF(Summary!$D$28="Included Margin",IF(AND($B490&gt;Input!$C$9,Summary!$D$31&lt;&gt;"Included Margin"),0,1),0))</f>
        <v>0.02</v>
      </c>
      <c r="AH490" s="158">
        <f>IF(E490="","",Input!$C$47*IF(Summary!$D$29="Included Margin",IF(AND($B490&gt;Input!$C$9,Summary!$D$31&lt;&gt;"Included Margin"),0,1),0))</f>
        <v>2.5000000000000001E-3</v>
      </c>
      <c r="AI490" s="154"/>
      <c r="AJ490" s="158">
        <f t="shared" si="312"/>
        <v>4.1829999999999999E-2</v>
      </c>
      <c r="AK490" s="155">
        <f t="shared" si="313"/>
        <v>3.4207359278108918E-3</v>
      </c>
      <c r="AL490" s="147">
        <f t="shared" si="314"/>
        <v>0.29837329090000003</v>
      </c>
      <c r="AM490" s="147">
        <f t="shared" si="292"/>
        <v>2.9097745772577621E-2</v>
      </c>
      <c r="AN490" s="160">
        <f t="shared" si="315"/>
        <v>0</v>
      </c>
      <c r="AO490" s="161">
        <f t="shared" si="316"/>
        <v>0</v>
      </c>
      <c r="AP490" s="156">
        <f t="shared" si="293"/>
        <v>2.4351889654216485</v>
      </c>
      <c r="AQ490" s="152"/>
      <c r="AR490" s="162">
        <f t="shared" si="294"/>
        <v>18460.177897011621</v>
      </c>
      <c r="AS490" s="150">
        <f t="shared" si="317"/>
        <v>0</v>
      </c>
      <c r="AT490" s="163">
        <f t="shared" si="295"/>
        <v>0</v>
      </c>
      <c r="AU490" s="163">
        <f t="shared" si="296"/>
        <v>2909.7745772577623</v>
      </c>
      <c r="AV490" s="163">
        <f t="shared" si="318"/>
        <v>58.170608546959976</v>
      </c>
      <c r="AW490" s="163">
        <f t="shared" si="297"/>
        <v>467.78608384279147</v>
      </c>
      <c r="AX490" s="163">
        <f t="shared" si="298"/>
        <v>0</v>
      </c>
      <c r="AY490" s="165">
        <f t="shared" si="319"/>
        <v>16076.36001214361</v>
      </c>
      <c r="AZ490" s="164">
        <f>IF($E490="","",IF(OR(AND($D490=Input!$C$6,$C490=12),$AN490=1),0,-AS491+AT491+AU491-AV491-AW491-AX491+AZ491))</f>
        <v>16076.368509743588</v>
      </c>
      <c r="BA490" s="154">
        <f t="shared" si="299"/>
        <v>8.4975999779999256E-3</v>
      </c>
      <c r="BC490" s="147">
        <f t="shared" si="320"/>
        <v>2.4167784727451222E-3</v>
      </c>
      <c r="BD490" s="164">
        <f>IF(AND($C489=12,$D489=Input!$C$6),0,IF($E490="","",AT490+(AU490+BD491)/(1+$AK490)*MIN((1-AM490-AN490),1)))</f>
        <v>14804.946917301682</v>
      </c>
      <c r="BE490" s="164">
        <f t="shared" si="300"/>
        <v>35.780276999868967</v>
      </c>
      <c r="BF490" s="164">
        <f t="shared" si="321"/>
        <v>16076.368509743588</v>
      </c>
      <c r="BG490" s="164">
        <f t="shared" si="301"/>
        <v>38.853021334265883</v>
      </c>
      <c r="BH490" s="152"/>
      <c r="BI490" s="162">
        <f t="shared" si="302"/>
        <v>4604.6267362535991</v>
      </c>
      <c r="BJ490" s="150">
        <f t="shared" si="303"/>
        <v>0</v>
      </c>
      <c r="BK490" s="163">
        <f t="shared" si="325"/>
        <v>0</v>
      </c>
      <c r="BL490" s="163">
        <f t="shared" si="304"/>
        <v>1703.2309263407708</v>
      </c>
      <c r="BM490" s="163">
        <f t="shared" si="326"/>
        <v>14.190877644193828</v>
      </c>
      <c r="BN490" s="163">
        <f t="shared" si="305"/>
        <v>50.519745573738973</v>
      </c>
      <c r="BO490" s="163">
        <f t="shared" si="306"/>
        <v>0</v>
      </c>
      <c r="BP490" s="164">
        <f t="shared" si="327"/>
        <v>2966.1064331307612</v>
      </c>
      <c r="BQ490" s="164">
        <f>IF($E490="","",IF(AND($D490=Input!$C$6,$C490=12),0,-BJ491+BK491+BL491-BM491-BN491-BO491+BQ491))</f>
        <v>2966.1125096099463</v>
      </c>
      <c r="BR490" s="161">
        <f t="shared" si="307"/>
        <v>0</v>
      </c>
      <c r="BT490" s="147">
        <f t="shared" si="308"/>
        <v>2.4167784727451222E-3</v>
      </c>
      <c r="BU490" s="164">
        <f>IF(AND($C489=12,$D489=Input!$C$6),0,IF($E490="","",BK490+(BL490+BU491)/(1+$AK490)*MIN((1-T490-U490),1)))</f>
        <v>63849.380447807227</v>
      </c>
      <c r="BV490" s="164">
        <f t="shared" si="309"/>
        <v>154.30980816437381</v>
      </c>
      <c r="BW490" s="164">
        <f t="shared" si="310"/>
        <v>2966.1125096099463</v>
      </c>
      <c r="BX490" s="164">
        <f t="shared" si="311"/>
        <v>7.1684368609653273</v>
      </c>
    </row>
    <row r="491" spans="1:76" s="150" customFormat="1" x14ac:dyDescent="0.25">
      <c r="A491" s="150">
        <f t="shared" si="322"/>
        <v>487</v>
      </c>
      <c r="B491" s="150">
        <f t="shared" si="323"/>
        <v>41</v>
      </c>
      <c r="C491" s="150">
        <f t="shared" si="324"/>
        <v>7</v>
      </c>
      <c r="D491" s="150">
        <f>IF(E491="","",Input!$C$4+B491-1)</f>
        <v>85</v>
      </c>
      <c r="E491" s="150">
        <f>IF(OR(AND(C490=12,D490=Input!$C$6),E490=""),"",1)</f>
        <v>1</v>
      </c>
      <c r="F491" s="150">
        <f>IF(E491="","",Input!$C$8+B491-1)</f>
        <v>2058</v>
      </c>
      <c r="G491" s="151">
        <f>IF(E491="","",MAX(0,Input!$C$9-B491))</f>
        <v>0</v>
      </c>
      <c r="H491" s="152">
        <f>IF(E491="","",Input!$C$3)</f>
        <v>100000</v>
      </c>
      <c r="I491" s="153">
        <f>IF(E491="","",HLOOKUP($B491,Input!$C$13:$BT$14,2))</f>
        <v>201.73300000000003</v>
      </c>
      <c r="J491" s="154"/>
      <c r="K491" s="155">
        <f>IF($E491="","",INDEX(Input!$C$16:$CP$16,1,$B491))</f>
        <v>3.1329999999999997E-2</v>
      </c>
      <c r="L491" s="155">
        <f>IF($E491="","",Input!$C$37)</f>
        <v>1.4999999999999999E-2</v>
      </c>
      <c r="M491" s="155">
        <f t="shared" si="287"/>
        <v>4.6329999999999996E-2</v>
      </c>
      <c r="N491" s="155">
        <f t="shared" si="288"/>
        <v>3.7811977134125652E-3</v>
      </c>
      <c r="O491" s="147">
        <f>IF($E491="","",MIN(VLOOKUP(IF($B491&lt;=Input!$C$7,$B491,26),'Mortality Tables'!$A$41:$CW$67,IF($B491&lt;=Input!$C$7+1,Input!$C$4+2,$D491-Input!$C$7+2),0)*IF(B491&gt;20,Input!$C$22,1)/1000,1))</f>
        <v>0.22764640000000003</v>
      </c>
      <c r="P491" s="147">
        <f>IF($E491="","",MIN(VLOOKUP(IF($B491&lt;=Input!$C$7,$B491,26),'Mortality Tables'!$A$12:$CW$37,IF($B491&lt;=Input!$C$7+1,Input!$C$4+2,$D491-Input!$C$7+2),0)*IF(B491&gt;20,Input!$C$22,1)/1000,1))</f>
        <v>0.28455800000000003</v>
      </c>
      <c r="Q491" s="155">
        <f>IF($E491="","",Input!$C$21)</f>
        <v>5.0000000000000001E-3</v>
      </c>
      <c r="R491" s="159">
        <f>IF($E491="","",(1-Q491)^($F491-Input!$C$20))</f>
        <v>0.8183201210226746</v>
      </c>
      <c r="S491" s="147">
        <f t="shared" si="290"/>
        <v>0.18628762959837622</v>
      </c>
      <c r="T491" s="147">
        <f t="shared" si="291"/>
        <v>1.7032309263407708E-2</v>
      </c>
      <c r="U491" s="160">
        <f>IF($E491="","",IF($C491=12,INDEX(Input!$C$15:$CP$15,1,$B491),0))</f>
        <v>0</v>
      </c>
      <c r="V491" s="150">
        <f>IF(E491="","",IF(C491=1,IF($B491=1,Input!$C$33,Input!$C$34),0))</f>
        <v>0</v>
      </c>
      <c r="W491" s="156">
        <f>IF($E491="","",Input!$C$35)</f>
        <v>0.02</v>
      </c>
      <c r="X491" s="156">
        <f t="shared" si="289"/>
        <v>2.208039663614854</v>
      </c>
      <c r="Y491" s="154"/>
      <c r="Z491" s="147">
        <f>IF($E491="","",VLOOKUP($D491,'Mortality Margins &amp; Grading'!$AB$5:$AF$125,3,0)*IF(Summary!$D$25="Included Margin",IF(AND($B491&gt;Input!$C$9,Summary!$D$31&lt;&gt;"Included Margin"),0,1),0))</f>
        <v>2.4E-2</v>
      </c>
      <c r="AA491" s="147">
        <f>IF($E491="","",VLOOKUP($D491,'Mortality Margins &amp; Grading'!$AB$5:$AF$125,5,0)*IF(Summary!$D$25="Included Margin",IF(AND($B491&gt;Input!$C$9,Summary!$D$31&lt;&gt;"Included Margin"),0,1),0))</f>
        <v>0.125</v>
      </c>
      <c r="AB491" s="147">
        <f>IF($E491="","",IF(AND($B491&gt;Input!$C$9,Summary!$D$31&lt;&gt;"Included Margin"),1,IF(Summary!$D$25="Included Margin",VLOOKUP($B491,'Mortality Margins &amp; Grading'!$AI$5:$AR$125,MATCH('Mortality Margins &amp; Grading'!$AQ$4,'Mortality Margins &amp; Grading'!$AI$4:$AR$4,0),0),1)))</f>
        <v>0.25</v>
      </c>
      <c r="AC491" s="154"/>
      <c r="AD491" s="158">
        <f>IF(E491="","",Input!$C$48*IF(Summary!$D$30="Included Margin",IF(AND($B491&gt;Input!$C$9,Summary!$D$31&lt;&gt;"Included Margin"),0,1),0))</f>
        <v>-4.4999999999999997E-3</v>
      </c>
      <c r="AE491" s="159">
        <f>IF(E491="","",IF(Summary!$D$26="Included Margin",IF(AND($B491&gt;Input!$C$9,Summary!$D$31&lt;&gt;"Included Margin"),1,1/$R491),1))</f>
        <v>1.2220156565993705</v>
      </c>
      <c r="AF491" s="160">
        <f>IF(E491="","",IF(AND($B491&gt;=Input!$C$9,$C491=12,Summary!$D$31="Included Margin",$U491&gt;0),1/U491-1,IF($B491&gt;=Input!$C$9,0,Input!$C$45*IF(Summary!$D$27="Included Margin",1,0))))</f>
        <v>0</v>
      </c>
      <c r="AG491" s="160">
        <f>IF(E491="","",Input!$C$46*IF(Summary!$D$28="Included Margin",IF(AND($B491&gt;Input!$C$9,Summary!$D$31&lt;&gt;"Included Margin"),0,1),0))</f>
        <v>0.02</v>
      </c>
      <c r="AH491" s="158">
        <f>IF(E491="","",Input!$C$47*IF(Summary!$D$29="Included Margin",IF(AND($B491&gt;Input!$C$9,Summary!$D$31&lt;&gt;"Included Margin"),0,1),0))</f>
        <v>2.5000000000000001E-3</v>
      </c>
      <c r="AI491" s="154"/>
      <c r="AJ491" s="158">
        <f t="shared" si="312"/>
        <v>4.1829999999999999E-2</v>
      </c>
      <c r="AK491" s="155">
        <f t="shared" si="313"/>
        <v>3.4207359278108918E-3</v>
      </c>
      <c r="AL491" s="147">
        <f t="shared" si="314"/>
        <v>0.29837329090000003</v>
      </c>
      <c r="AM491" s="147">
        <f t="shared" si="292"/>
        <v>2.9097745772577621E-2</v>
      </c>
      <c r="AN491" s="160">
        <f t="shared" si="315"/>
        <v>0</v>
      </c>
      <c r="AO491" s="161">
        <f t="shared" si="316"/>
        <v>0</v>
      </c>
      <c r="AP491" s="156">
        <f t="shared" si="293"/>
        <v>2.4351889654216485</v>
      </c>
      <c r="AQ491" s="152"/>
      <c r="AR491" s="162">
        <f t="shared" si="294"/>
        <v>16076.360012143607</v>
      </c>
      <c r="AS491" s="150">
        <f t="shared" si="317"/>
        <v>0</v>
      </c>
      <c r="AT491" s="163">
        <f t="shared" si="295"/>
        <v>0</v>
      </c>
      <c r="AU491" s="163">
        <f t="shared" si="296"/>
        <v>2909.7745772577623</v>
      </c>
      <c r="AV491" s="163">
        <f t="shared" si="318"/>
        <v>50.01619706283379</v>
      </c>
      <c r="AW491" s="163">
        <f t="shared" si="297"/>
        <v>396.09915400896705</v>
      </c>
      <c r="AX491" s="163">
        <f t="shared" si="298"/>
        <v>0</v>
      </c>
      <c r="AY491" s="164">
        <f t="shared" si="319"/>
        <v>13612.700785957646</v>
      </c>
      <c r="AZ491" s="164">
        <f>IF($E491="","",IF(OR(AND($D491=Input!$C$6,$C491=12),$AN491=1),0,-AS492+AT492+AU492-AV492-AW492-AX492+AZ492))</f>
        <v>13612.709283557626</v>
      </c>
      <c r="BA491" s="154">
        <f t="shared" si="299"/>
        <v>8.497599979818915E-3</v>
      </c>
      <c r="BC491" s="147">
        <f t="shared" si="320"/>
        <v>2.3756151543761813E-3</v>
      </c>
      <c r="BD491" s="164">
        <f>IF(AND($C490=12,$D490=Input!$C$6),0,IF($E491="","",AT491+(AU491+BD492)/(1+$AK491)*MIN((1-AM491-AN491),1)))</f>
        <v>12391.035227692266</v>
      </c>
      <c r="BE491" s="164">
        <f t="shared" si="300"/>
        <v>29.436331065314864</v>
      </c>
      <c r="BF491" s="164">
        <f t="shared" si="321"/>
        <v>13612.709283557626</v>
      </c>
      <c r="BG491" s="164">
        <f t="shared" si="301"/>
        <v>32.338558466136824</v>
      </c>
      <c r="BH491" s="152"/>
      <c r="BI491" s="162">
        <f t="shared" si="302"/>
        <v>2966.1064331307607</v>
      </c>
      <c r="BJ491" s="150">
        <f t="shared" si="303"/>
        <v>0</v>
      </c>
      <c r="BK491" s="163">
        <f t="shared" si="325"/>
        <v>0</v>
      </c>
      <c r="BL491" s="163">
        <f t="shared" si="304"/>
        <v>1703.2309263407708</v>
      </c>
      <c r="BM491" s="163">
        <f t="shared" si="326"/>
        <v>7.9953084206456886</v>
      </c>
      <c r="BN491" s="163">
        <f t="shared" si="305"/>
        <v>22.02103737383149</v>
      </c>
      <c r="BO491" s="163">
        <f t="shared" si="306"/>
        <v>0</v>
      </c>
      <c r="BP491" s="164">
        <f t="shared" si="327"/>
        <v>1292.891852584467</v>
      </c>
      <c r="BQ491" s="164">
        <f>IF($E491="","",IF(AND($D491=Input!$C$6,$C491=12),0,-BJ492+BK492+BL492-BM492-BN492-BO492+BQ492))</f>
        <v>1292.8979290636526</v>
      </c>
      <c r="BR491" s="161">
        <f t="shared" si="307"/>
        <v>0</v>
      </c>
      <c r="BT491" s="147">
        <f t="shared" si="308"/>
        <v>2.3756151543761813E-3</v>
      </c>
      <c r="BU491" s="164">
        <f>IF(AND($C490=12,$D490=Input!$C$6),0,IF($E491="","",BK491+(BL491+BU492)/(1+$AK491)*MIN((1-T491-U491),1)))</f>
        <v>63474.691930374844</v>
      </c>
      <c r="BV491" s="164">
        <f t="shared" si="309"/>
        <v>150.79144006915797</v>
      </c>
      <c r="BW491" s="164">
        <f t="shared" si="310"/>
        <v>1292.8979290636526</v>
      </c>
      <c r="BX491" s="164">
        <f t="shared" si="311"/>
        <v>3.071427913345194</v>
      </c>
    </row>
    <row r="492" spans="1:76" s="150" customFormat="1" x14ac:dyDescent="0.25">
      <c r="A492" s="150">
        <f t="shared" si="322"/>
        <v>488</v>
      </c>
      <c r="B492" s="150">
        <f t="shared" si="323"/>
        <v>41</v>
      </c>
      <c r="C492" s="150">
        <f t="shared" si="324"/>
        <v>8</v>
      </c>
      <c r="D492" s="150">
        <f>IF(E492="","",Input!$C$4+B492-1)</f>
        <v>85</v>
      </c>
      <c r="E492" s="150">
        <f>IF(OR(AND(C491=12,D491=Input!$C$6),E491=""),"",1)</f>
        <v>1</v>
      </c>
      <c r="F492" s="150">
        <f>IF(E492="","",Input!$C$8+B492-1)</f>
        <v>2058</v>
      </c>
      <c r="G492" s="151">
        <f>IF(E492="","",MAX(0,Input!$C$9-B492))</f>
        <v>0</v>
      </c>
      <c r="H492" s="152">
        <f>IF(E492="","",Input!$C$3)</f>
        <v>100000</v>
      </c>
      <c r="I492" s="153">
        <f>IF(E492="","",HLOOKUP($B492,Input!$C$13:$BT$14,2))</f>
        <v>201.73300000000003</v>
      </c>
      <c r="J492" s="154"/>
      <c r="K492" s="155">
        <f>IF($E492="","",INDEX(Input!$C$16:$CP$16,1,$B492))</f>
        <v>3.1329999999999997E-2</v>
      </c>
      <c r="L492" s="155">
        <f>IF($E492="","",Input!$C$37)</f>
        <v>1.4999999999999999E-2</v>
      </c>
      <c r="M492" s="155">
        <f t="shared" si="287"/>
        <v>4.6329999999999996E-2</v>
      </c>
      <c r="N492" s="155">
        <f t="shared" si="288"/>
        <v>3.7811977134125652E-3</v>
      </c>
      <c r="O492" s="147">
        <f>IF($E492="","",MIN(VLOOKUP(IF($B492&lt;=Input!$C$7,$B492,26),'Mortality Tables'!$A$41:$CW$67,IF($B492&lt;=Input!$C$7+1,Input!$C$4+2,$D492-Input!$C$7+2),0)*IF(B492&gt;20,Input!$C$22,1)/1000,1))</f>
        <v>0.22764640000000003</v>
      </c>
      <c r="P492" s="147">
        <f>IF($E492="","",MIN(VLOOKUP(IF($B492&lt;=Input!$C$7,$B492,26),'Mortality Tables'!$A$12:$CW$37,IF($B492&lt;=Input!$C$7+1,Input!$C$4+2,$D492-Input!$C$7+2),0)*IF(B492&gt;20,Input!$C$22,1)/1000,1))</f>
        <v>0.28455800000000003</v>
      </c>
      <c r="Q492" s="155">
        <f>IF($E492="","",Input!$C$21)</f>
        <v>5.0000000000000001E-3</v>
      </c>
      <c r="R492" s="159">
        <f>IF($E492="","",(1-Q492)^($F492-Input!$C$20))</f>
        <v>0.8183201210226746</v>
      </c>
      <c r="S492" s="147">
        <f t="shared" si="290"/>
        <v>0.18628762959837622</v>
      </c>
      <c r="T492" s="147">
        <f t="shared" si="291"/>
        <v>1.7032309263407708E-2</v>
      </c>
      <c r="U492" s="160">
        <f>IF($E492="","",IF($C492=12,INDEX(Input!$C$15:$CP$15,1,$B492),0))</f>
        <v>0</v>
      </c>
      <c r="V492" s="150">
        <f>IF(E492="","",IF(C492=1,IF($B492=1,Input!$C$33,Input!$C$34),0))</f>
        <v>0</v>
      </c>
      <c r="W492" s="156">
        <f>IF($E492="","",Input!$C$35)</f>
        <v>0.02</v>
      </c>
      <c r="X492" s="156">
        <f t="shared" si="289"/>
        <v>2.208039663614854</v>
      </c>
      <c r="Y492" s="154"/>
      <c r="Z492" s="147">
        <f>IF($E492="","",VLOOKUP($D492,'Mortality Margins &amp; Grading'!$AB$5:$AF$125,3,0)*IF(Summary!$D$25="Included Margin",IF(AND($B492&gt;Input!$C$9,Summary!$D$31&lt;&gt;"Included Margin"),0,1),0))</f>
        <v>2.4E-2</v>
      </c>
      <c r="AA492" s="147">
        <f>IF($E492="","",VLOOKUP($D492,'Mortality Margins &amp; Grading'!$AB$5:$AF$125,5,0)*IF(Summary!$D$25="Included Margin",IF(AND($B492&gt;Input!$C$9,Summary!$D$31&lt;&gt;"Included Margin"),0,1),0))</f>
        <v>0.125</v>
      </c>
      <c r="AB492" s="147">
        <f>IF($E492="","",IF(AND($B492&gt;Input!$C$9,Summary!$D$31&lt;&gt;"Included Margin"),1,IF(Summary!$D$25="Included Margin",VLOOKUP($B492,'Mortality Margins &amp; Grading'!$AI$5:$AR$125,MATCH('Mortality Margins &amp; Grading'!$AQ$4,'Mortality Margins &amp; Grading'!$AI$4:$AR$4,0),0),1)))</f>
        <v>0.25</v>
      </c>
      <c r="AC492" s="154"/>
      <c r="AD492" s="158">
        <f>IF(E492="","",Input!$C$48*IF(Summary!$D$30="Included Margin",IF(AND($B492&gt;Input!$C$9,Summary!$D$31&lt;&gt;"Included Margin"),0,1),0))</f>
        <v>-4.4999999999999997E-3</v>
      </c>
      <c r="AE492" s="159">
        <f>IF(E492="","",IF(Summary!$D$26="Included Margin",IF(AND($B492&gt;Input!$C$9,Summary!$D$31&lt;&gt;"Included Margin"),1,1/$R492),1))</f>
        <v>1.2220156565993705</v>
      </c>
      <c r="AF492" s="160">
        <f>IF(E492="","",IF(AND($B492&gt;=Input!$C$9,$C492=12,Summary!$D$31="Included Margin",$U492&gt;0),1/U492-1,IF($B492&gt;=Input!$C$9,0,Input!$C$45*IF(Summary!$D$27="Included Margin",1,0))))</f>
        <v>0</v>
      </c>
      <c r="AG492" s="160">
        <f>IF(E492="","",Input!$C$46*IF(Summary!$D$28="Included Margin",IF(AND($B492&gt;Input!$C$9,Summary!$D$31&lt;&gt;"Included Margin"),0,1),0))</f>
        <v>0.02</v>
      </c>
      <c r="AH492" s="158">
        <f>IF(E492="","",Input!$C$47*IF(Summary!$D$29="Included Margin",IF(AND($B492&gt;Input!$C$9,Summary!$D$31&lt;&gt;"Included Margin"),0,1),0))</f>
        <v>2.5000000000000001E-3</v>
      </c>
      <c r="AI492" s="154"/>
      <c r="AJ492" s="158">
        <f t="shared" si="312"/>
        <v>4.1829999999999999E-2</v>
      </c>
      <c r="AK492" s="155">
        <f t="shared" si="313"/>
        <v>3.4207359278108918E-3</v>
      </c>
      <c r="AL492" s="147">
        <f t="shared" si="314"/>
        <v>0.29837329090000003</v>
      </c>
      <c r="AM492" s="147">
        <f t="shared" si="292"/>
        <v>2.9097745772577621E-2</v>
      </c>
      <c r="AN492" s="160">
        <f t="shared" si="315"/>
        <v>0</v>
      </c>
      <c r="AO492" s="161">
        <f t="shared" si="316"/>
        <v>0</v>
      </c>
      <c r="AP492" s="156">
        <f t="shared" si="293"/>
        <v>2.4351889654216485</v>
      </c>
      <c r="AQ492" s="152"/>
      <c r="AR492" s="162">
        <f t="shared" si="294"/>
        <v>13612.700785957646</v>
      </c>
      <c r="AS492" s="150">
        <f t="shared" si="317"/>
        <v>0</v>
      </c>
      <c r="AT492" s="163">
        <f t="shared" si="295"/>
        <v>0</v>
      </c>
      <c r="AU492" s="163">
        <f t="shared" si="296"/>
        <v>2909.7745772577623</v>
      </c>
      <c r="AV492" s="163">
        <f t="shared" si="318"/>
        <v>41.588669433936694</v>
      </c>
      <c r="AW492" s="163">
        <f t="shared" si="297"/>
        <v>322.01120995789455</v>
      </c>
      <c r="AX492" s="163">
        <f t="shared" si="298"/>
        <v>0</v>
      </c>
      <c r="AY492" s="165">
        <f t="shared" si="319"/>
        <v>11066.526088091716</v>
      </c>
      <c r="AZ492" s="164">
        <f>IF($E492="","",IF(OR(AND($D492=Input!$C$6,$C492=12),$AN492=1),0,-AS493+AT493+AU493-AV493-AW493-AX493+AZ493))</f>
        <v>11066.534585691696</v>
      </c>
      <c r="BA492" s="154">
        <f t="shared" si="299"/>
        <v>8.497599979818915E-3</v>
      </c>
      <c r="BC492" s="147">
        <f t="shared" si="320"/>
        <v>2.335152942376008E-3</v>
      </c>
      <c r="BD492" s="164">
        <f>IF(AND($C491=12,$D491=Input!$C$6),0,IF($E492="","",AT492+(AU492+BD493)/(1+$AK492)*MIN((1-AM492-AN492),1)))</f>
        <v>9896.2742633354337</v>
      </c>
      <c r="BE492" s="164">
        <f t="shared" si="300"/>
        <v>23.109313964587699</v>
      </c>
      <c r="BF492" s="164">
        <f t="shared" si="321"/>
        <v>11066.534585691696</v>
      </c>
      <c r="BG492" s="164">
        <f t="shared" si="301"/>
        <v>25.842050799683818</v>
      </c>
      <c r="BH492" s="152"/>
      <c r="BI492" s="162">
        <f t="shared" si="302"/>
        <v>1292.8918525844672</v>
      </c>
      <c r="BJ492" s="150">
        <f t="shared" si="303"/>
        <v>0</v>
      </c>
      <c r="BK492" s="163">
        <f t="shared" si="325"/>
        <v>0</v>
      </c>
      <c r="BL492" s="163">
        <f t="shared" si="304"/>
        <v>1703.2309263407708</v>
      </c>
      <c r="BM492" s="163">
        <f t="shared" si="326"/>
        <v>1.6685532746354788</v>
      </c>
      <c r="BN492" s="163">
        <f t="shared" si="305"/>
        <v>-7.0811067960870178</v>
      </c>
      <c r="BO492" s="163">
        <f t="shared" si="306"/>
        <v>0</v>
      </c>
      <c r="BP492" s="164">
        <f t="shared" si="327"/>
        <v>-415.75162727775512</v>
      </c>
      <c r="BQ492" s="164">
        <f>IF($E492="","",IF(AND($D492=Input!$C$6,$C492=12),0,-BJ493+BK493+BL493-BM493-BN493-BO493+BQ493))</f>
        <v>-415.74555079856964</v>
      </c>
      <c r="BR492" s="161">
        <f t="shared" si="307"/>
        <v>0</v>
      </c>
      <c r="BT492" s="147">
        <f t="shared" si="308"/>
        <v>2.335152942376008E-3</v>
      </c>
      <c r="BU492" s="164">
        <f>IF(AND($C491=12,$D491=Input!$C$6),0,IF($E492="","",BK492+(BL492+BU493)/(1+$AK492)*MIN((1-T492-U492),1)))</f>
        <v>63092.20710259382</v>
      </c>
      <c r="BV492" s="164">
        <f t="shared" si="309"/>
        <v>147.32995305661842</v>
      </c>
      <c r="BW492" s="164">
        <f t="shared" si="310"/>
        <v>-415.74555079856964</v>
      </c>
      <c r="BX492" s="164">
        <f t="shared" si="311"/>
        <v>-0.97082944622701395</v>
      </c>
    </row>
    <row r="493" spans="1:76" s="150" customFormat="1" x14ac:dyDescent="0.25">
      <c r="A493" s="150">
        <f t="shared" si="322"/>
        <v>489</v>
      </c>
      <c r="B493" s="150">
        <f t="shared" si="323"/>
        <v>41</v>
      </c>
      <c r="C493" s="150">
        <f t="shared" si="324"/>
        <v>9</v>
      </c>
      <c r="D493" s="150">
        <f>IF(E493="","",Input!$C$4+B493-1)</f>
        <v>85</v>
      </c>
      <c r="E493" s="150">
        <f>IF(OR(AND(C492=12,D492=Input!$C$6),E492=""),"",1)</f>
        <v>1</v>
      </c>
      <c r="F493" s="150">
        <f>IF(E493="","",Input!$C$8+B493-1)</f>
        <v>2058</v>
      </c>
      <c r="G493" s="151">
        <f>IF(E493="","",MAX(0,Input!$C$9-B493))</f>
        <v>0</v>
      </c>
      <c r="H493" s="152">
        <f>IF(E493="","",Input!$C$3)</f>
        <v>100000</v>
      </c>
      <c r="I493" s="153">
        <f>IF(E493="","",HLOOKUP($B493,Input!$C$13:$BT$14,2))</f>
        <v>201.73300000000003</v>
      </c>
      <c r="J493" s="154"/>
      <c r="K493" s="155">
        <f>IF($E493="","",INDEX(Input!$C$16:$CP$16,1,$B493))</f>
        <v>3.1329999999999997E-2</v>
      </c>
      <c r="L493" s="155">
        <f>IF($E493="","",Input!$C$37)</f>
        <v>1.4999999999999999E-2</v>
      </c>
      <c r="M493" s="155">
        <f t="shared" si="287"/>
        <v>4.6329999999999996E-2</v>
      </c>
      <c r="N493" s="155">
        <f t="shared" si="288"/>
        <v>3.7811977134125652E-3</v>
      </c>
      <c r="O493" s="147">
        <f>IF($E493="","",MIN(VLOOKUP(IF($B493&lt;=Input!$C$7,$B493,26),'Mortality Tables'!$A$41:$CW$67,IF($B493&lt;=Input!$C$7+1,Input!$C$4+2,$D493-Input!$C$7+2),0)*IF(B493&gt;20,Input!$C$22,1)/1000,1))</f>
        <v>0.22764640000000003</v>
      </c>
      <c r="P493" s="147">
        <f>IF($E493="","",MIN(VLOOKUP(IF($B493&lt;=Input!$C$7,$B493,26),'Mortality Tables'!$A$12:$CW$37,IF($B493&lt;=Input!$C$7+1,Input!$C$4+2,$D493-Input!$C$7+2),0)*IF(B493&gt;20,Input!$C$22,1)/1000,1))</f>
        <v>0.28455800000000003</v>
      </c>
      <c r="Q493" s="155">
        <f>IF($E493="","",Input!$C$21)</f>
        <v>5.0000000000000001E-3</v>
      </c>
      <c r="R493" s="159">
        <f>IF($E493="","",(1-Q493)^($F493-Input!$C$20))</f>
        <v>0.8183201210226746</v>
      </c>
      <c r="S493" s="147">
        <f t="shared" si="290"/>
        <v>0.18628762959837622</v>
      </c>
      <c r="T493" s="147">
        <f t="shared" si="291"/>
        <v>1.7032309263407708E-2</v>
      </c>
      <c r="U493" s="160">
        <f>IF($E493="","",IF($C493=12,INDEX(Input!$C$15:$CP$15,1,$B493),0))</f>
        <v>0</v>
      </c>
      <c r="V493" s="150">
        <f>IF(E493="","",IF(C493=1,IF($B493=1,Input!$C$33,Input!$C$34),0))</f>
        <v>0</v>
      </c>
      <c r="W493" s="156">
        <f>IF($E493="","",Input!$C$35)</f>
        <v>0.02</v>
      </c>
      <c r="X493" s="156">
        <f t="shared" si="289"/>
        <v>2.208039663614854</v>
      </c>
      <c r="Y493" s="154"/>
      <c r="Z493" s="147">
        <f>IF($E493="","",VLOOKUP($D493,'Mortality Margins &amp; Grading'!$AB$5:$AF$125,3,0)*IF(Summary!$D$25="Included Margin",IF(AND($B493&gt;Input!$C$9,Summary!$D$31&lt;&gt;"Included Margin"),0,1),0))</f>
        <v>2.4E-2</v>
      </c>
      <c r="AA493" s="147">
        <f>IF($E493="","",VLOOKUP($D493,'Mortality Margins &amp; Grading'!$AB$5:$AF$125,5,0)*IF(Summary!$D$25="Included Margin",IF(AND($B493&gt;Input!$C$9,Summary!$D$31&lt;&gt;"Included Margin"),0,1),0))</f>
        <v>0.125</v>
      </c>
      <c r="AB493" s="147">
        <f>IF($E493="","",IF(AND($B493&gt;Input!$C$9,Summary!$D$31&lt;&gt;"Included Margin"),1,IF(Summary!$D$25="Included Margin",VLOOKUP($B493,'Mortality Margins &amp; Grading'!$AI$5:$AR$125,MATCH('Mortality Margins &amp; Grading'!$AQ$4,'Mortality Margins &amp; Grading'!$AI$4:$AR$4,0),0),1)))</f>
        <v>0.25</v>
      </c>
      <c r="AC493" s="154"/>
      <c r="AD493" s="158">
        <f>IF(E493="","",Input!$C$48*IF(Summary!$D$30="Included Margin",IF(AND($B493&gt;Input!$C$9,Summary!$D$31&lt;&gt;"Included Margin"),0,1),0))</f>
        <v>-4.4999999999999997E-3</v>
      </c>
      <c r="AE493" s="159">
        <f>IF(E493="","",IF(Summary!$D$26="Included Margin",IF(AND($B493&gt;Input!$C$9,Summary!$D$31&lt;&gt;"Included Margin"),1,1/$R493),1))</f>
        <v>1.2220156565993705</v>
      </c>
      <c r="AF493" s="160">
        <f>IF(E493="","",IF(AND($B493&gt;=Input!$C$9,$C493=12,Summary!$D$31="Included Margin",$U493&gt;0),1/U493-1,IF($B493&gt;=Input!$C$9,0,Input!$C$45*IF(Summary!$D$27="Included Margin",1,0))))</f>
        <v>0</v>
      </c>
      <c r="AG493" s="160">
        <f>IF(E493="","",Input!$C$46*IF(Summary!$D$28="Included Margin",IF(AND($B493&gt;Input!$C$9,Summary!$D$31&lt;&gt;"Included Margin"),0,1),0))</f>
        <v>0.02</v>
      </c>
      <c r="AH493" s="158">
        <f>IF(E493="","",Input!$C$47*IF(Summary!$D$29="Included Margin",IF(AND($B493&gt;Input!$C$9,Summary!$D$31&lt;&gt;"Included Margin"),0,1),0))</f>
        <v>2.5000000000000001E-3</v>
      </c>
      <c r="AI493" s="154"/>
      <c r="AJ493" s="158">
        <f t="shared" si="312"/>
        <v>4.1829999999999999E-2</v>
      </c>
      <c r="AK493" s="155">
        <f t="shared" si="313"/>
        <v>3.4207359278108918E-3</v>
      </c>
      <c r="AL493" s="147">
        <f t="shared" si="314"/>
        <v>0.29837329090000003</v>
      </c>
      <c r="AM493" s="147">
        <f t="shared" si="292"/>
        <v>2.9097745772577621E-2</v>
      </c>
      <c r="AN493" s="160">
        <f t="shared" si="315"/>
        <v>0</v>
      </c>
      <c r="AO493" s="161">
        <f t="shared" si="316"/>
        <v>0</v>
      </c>
      <c r="AP493" s="156">
        <f t="shared" si="293"/>
        <v>2.4351889654216485</v>
      </c>
      <c r="AQ493" s="152"/>
      <c r="AR493" s="162">
        <f t="shared" si="294"/>
        <v>11066.526088091718</v>
      </c>
      <c r="AS493" s="150">
        <f t="shared" si="317"/>
        <v>0</v>
      </c>
      <c r="AT493" s="163">
        <f t="shared" si="295"/>
        <v>0</v>
      </c>
      <c r="AU493" s="163">
        <f t="shared" si="296"/>
        <v>2909.7745772577623</v>
      </c>
      <c r="AV493" s="163">
        <f t="shared" si="318"/>
        <v>32.878878166463672</v>
      </c>
      <c r="AW493" s="163">
        <f t="shared" si="297"/>
        <v>245.44183439056579</v>
      </c>
      <c r="AX493" s="163">
        <f t="shared" si="298"/>
        <v>0</v>
      </c>
      <c r="AY493" s="164">
        <f t="shared" si="319"/>
        <v>8435.0722233909855</v>
      </c>
      <c r="AZ493" s="164">
        <f>IF($E493="","",IF(OR(AND($D493=Input!$C$6,$C493=12),$AN493=1),0,-AS494+AT494+AU494-AV494-AW494-AX494+AZ494))</f>
        <v>8435.0807209909635</v>
      </c>
      <c r="BA493" s="154">
        <f t="shared" si="299"/>
        <v>8.4975999779999256E-3</v>
      </c>
      <c r="BC493" s="147">
        <f t="shared" si="320"/>
        <v>2.2953798952841035E-3</v>
      </c>
      <c r="BD493" s="164">
        <f>IF(AND($C492=12,$D492=Input!$C$6),0,IF($E493="","",AT493+(AU493+BD494)/(1+$AK493)*MIN((1-AM493-AN493),1)))</f>
        <v>7317.9561351003131</v>
      </c>
      <c r="BE493" s="164">
        <f t="shared" si="300"/>
        <v>16.797489387080219</v>
      </c>
      <c r="BF493" s="164">
        <f t="shared" si="321"/>
        <v>8435.0807209909635</v>
      </c>
      <c r="BG493" s="164">
        <f t="shared" si="301"/>
        <v>19.361714702061199</v>
      </c>
      <c r="BH493" s="152"/>
      <c r="BI493" s="162">
        <f t="shared" si="302"/>
        <v>-415.75162727775501</v>
      </c>
      <c r="BJ493" s="150">
        <f t="shared" si="303"/>
        <v>0</v>
      </c>
      <c r="BK493" s="163">
        <f t="shared" si="325"/>
        <v>0</v>
      </c>
      <c r="BL493" s="163">
        <f t="shared" si="304"/>
        <v>1703.2309263407708</v>
      </c>
      <c r="BM493" s="163">
        <f t="shared" si="326"/>
        <v>-4.7921655444568447</v>
      </c>
      <c r="BN493" s="163">
        <f t="shared" si="305"/>
        <v>-36.799464180772667</v>
      </c>
      <c r="BO493" s="163">
        <f t="shared" si="306"/>
        <v>0</v>
      </c>
      <c r="BP493" s="164">
        <f t="shared" si="327"/>
        <v>-2160.5741833437555</v>
      </c>
      <c r="BQ493" s="164">
        <f>IF($E493="","",IF(AND($D493=Input!$C$6,$C493=12),0,-BJ494+BK494+BL494-BM494-BN494-BO494+BQ494))</f>
        <v>-2160.5681068645699</v>
      </c>
      <c r="BR493" s="161">
        <f t="shared" si="307"/>
        <v>0</v>
      </c>
      <c r="BT493" s="147">
        <f t="shared" si="308"/>
        <v>2.2953798952841035E-3</v>
      </c>
      <c r="BU493" s="164">
        <f>IF(AND($C492=12,$D492=Input!$C$6),0,IF($E493="","",BK493+(BL493+BU494)/(1+$AK493)*MIN((1-T493-U493),1)))</f>
        <v>62701.763743173062</v>
      </c>
      <c r="BV493" s="164">
        <f t="shared" si="309"/>
        <v>143.92436789493317</v>
      </c>
      <c r="BW493" s="164">
        <f t="shared" si="310"/>
        <v>-2160.5681068645699</v>
      </c>
      <c r="BX493" s="164">
        <f t="shared" si="311"/>
        <v>-4.9593245948889706</v>
      </c>
    </row>
    <row r="494" spans="1:76" s="150" customFormat="1" x14ac:dyDescent="0.25">
      <c r="A494" s="150">
        <f t="shared" si="322"/>
        <v>490</v>
      </c>
      <c r="B494" s="150">
        <f t="shared" si="323"/>
        <v>41</v>
      </c>
      <c r="C494" s="150">
        <f t="shared" si="324"/>
        <v>10</v>
      </c>
      <c r="D494" s="150">
        <f>IF(E494="","",Input!$C$4+B494-1)</f>
        <v>85</v>
      </c>
      <c r="E494" s="150">
        <f>IF(OR(AND(C493=12,D493=Input!$C$6),E493=""),"",1)</f>
        <v>1</v>
      </c>
      <c r="F494" s="150">
        <f>IF(E494="","",Input!$C$8+B494-1)</f>
        <v>2058</v>
      </c>
      <c r="G494" s="151">
        <f>IF(E494="","",MAX(0,Input!$C$9-B494))</f>
        <v>0</v>
      </c>
      <c r="H494" s="152">
        <f>IF(E494="","",Input!$C$3)</f>
        <v>100000</v>
      </c>
      <c r="I494" s="153">
        <f>IF(E494="","",HLOOKUP($B494,Input!$C$13:$BT$14,2))</f>
        <v>201.73300000000003</v>
      </c>
      <c r="J494" s="154"/>
      <c r="K494" s="155">
        <f>IF($E494="","",INDEX(Input!$C$16:$CP$16,1,$B494))</f>
        <v>3.1329999999999997E-2</v>
      </c>
      <c r="L494" s="155">
        <f>IF($E494="","",Input!$C$37)</f>
        <v>1.4999999999999999E-2</v>
      </c>
      <c r="M494" s="155">
        <f t="shared" si="287"/>
        <v>4.6329999999999996E-2</v>
      </c>
      <c r="N494" s="155">
        <f t="shared" si="288"/>
        <v>3.7811977134125652E-3</v>
      </c>
      <c r="O494" s="147">
        <f>IF($E494="","",MIN(VLOOKUP(IF($B494&lt;=Input!$C$7,$B494,26),'Mortality Tables'!$A$41:$CW$67,IF($B494&lt;=Input!$C$7+1,Input!$C$4+2,$D494-Input!$C$7+2),0)*IF(B494&gt;20,Input!$C$22,1)/1000,1))</f>
        <v>0.22764640000000003</v>
      </c>
      <c r="P494" s="147">
        <f>IF($E494="","",MIN(VLOOKUP(IF($B494&lt;=Input!$C$7,$B494,26),'Mortality Tables'!$A$12:$CW$37,IF($B494&lt;=Input!$C$7+1,Input!$C$4+2,$D494-Input!$C$7+2),0)*IF(B494&gt;20,Input!$C$22,1)/1000,1))</f>
        <v>0.28455800000000003</v>
      </c>
      <c r="Q494" s="155">
        <f>IF($E494="","",Input!$C$21)</f>
        <v>5.0000000000000001E-3</v>
      </c>
      <c r="R494" s="159">
        <f>IF($E494="","",(1-Q494)^($F494-Input!$C$20))</f>
        <v>0.8183201210226746</v>
      </c>
      <c r="S494" s="147">
        <f t="shared" si="290"/>
        <v>0.18628762959837622</v>
      </c>
      <c r="T494" s="147">
        <f t="shared" si="291"/>
        <v>1.7032309263407708E-2</v>
      </c>
      <c r="U494" s="160">
        <f>IF($E494="","",IF($C494=12,INDEX(Input!$C$15:$CP$15,1,$B494),0))</f>
        <v>0</v>
      </c>
      <c r="V494" s="150">
        <f>IF(E494="","",IF(C494=1,IF($B494=1,Input!$C$33,Input!$C$34),0))</f>
        <v>0</v>
      </c>
      <c r="W494" s="156">
        <f>IF($E494="","",Input!$C$35)</f>
        <v>0.02</v>
      </c>
      <c r="X494" s="156">
        <f t="shared" si="289"/>
        <v>2.208039663614854</v>
      </c>
      <c r="Y494" s="154"/>
      <c r="Z494" s="147">
        <f>IF($E494="","",VLOOKUP($D494,'Mortality Margins &amp; Grading'!$AB$5:$AF$125,3,0)*IF(Summary!$D$25="Included Margin",IF(AND($B494&gt;Input!$C$9,Summary!$D$31&lt;&gt;"Included Margin"),0,1),0))</f>
        <v>2.4E-2</v>
      </c>
      <c r="AA494" s="147">
        <f>IF($E494="","",VLOOKUP($D494,'Mortality Margins &amp; Grading'!$AB$5:$AF$125,5,0)*IF(Summary!$D$25="Included Margin",IF(AND($B494&gt;Input!$C$9,Summary!$D$31&lt;&gt;"Included Margin"),0,1),0))</f>
        <v>0.125</v>
      </c>
      <c r="AB494" s="147">
        <f>IF($E494="","",IF(AND($B494&gt;Input!$C$9,Summary!$D$31&lt;&gt;"Included Margin"),1,IF(Summary!$D$25="Included Margin",VLOOKUP($B494,'Mortality Margins &amp; Grading'!$AI$5:$AR$125,MATCH('Mortality Margins &amp; Grading'!$AQ$4,'Mortality Margins &amp; Grading'!$AI$4:$AR$4,0),0),1)))</f>
        <v>0.25</v>
      </c>
      <c r="AC494" s="154"/>
      <c r="AD494" s="158">
        <f>IF(E494="","",Input!$C$48*IF(Summary!$D$30="Included Margin",IF(AND($B494&gt;Input!$C$9,Summary!$D$31&lt;&gt;"Included Margin"),0,1),0))</f>
        <v>-4.4999999999999997E-3</v>
      </c>
      <c r="AE494" s="159">
        <f>IF(E494="","",IF(Summary!$D$26="Included Margin",IF(AND($B494&gt;Input!$C$9,Summary!$D$31&lt;&gt;"Included Margin"),1,1/$R494),1))</f>
        <v>1.2220156565993705</v>
      </c>
      <c r="AF494" s="160">
        <f>IF(E494="","",IF(AND($B494&gt;=Input!$C$9,$C494=12,Summary!$D$31="Included Margin",$U494&gt;0),1/U494-1,IF($B494&gt;=Input!$C$9,0,Input!$C$45*IF(Summary!$D$27="Included Margin",1,0))))</f>
        <v>0</v>
      </c>
      <c r="AG494" s="160">
        <f>IF(E494="","",Input!$C$46*IF(Summary!$D$28="Included Margin",IF(AND($B494&gt;Input!$C$9,Summary!$D$31&lt;&gt;"Included Margin"),0,1),0))</f>
        <v>0.02</v>
      </c>
      <c r="AH494" s="158">
        <f>IF(E494="","",Input!$C$47*IF(Summary!$D$29="Included Margin",IF(AND($B494&gt;Input!$C$9,Summary!$D$31&lt;&gt;"Included Margin"),0,1),0))</f>
        <v>2.5000000000000001E-3</v>
      </c>
      <c r="AI494" s="154"/>
      <c r="AJ494" s="158">
        <f t="shared" si="312"/>
        <v>4.1829999999999999E-2</v>
      </c>
      <c r="AK494" s="155">
        <f t="shared" si="313"/>
        <v>3.4207359278108918E-3</v>
      </c>
      <c r="AL494" s="147">
        <f t="shared" si="314"/>
        <v>0.29837329090000003</v>
      </c>
      <c r="AM494" s="147">
        <f t="shared" si="292"/>
        <v>2.9097745772577621E-2</v>
      </c>
      <c r="AN494" s="160">
        <f t="shared" si="315"/>
        <v>0</v>
      </c>
      <c r="AO494" s="161">
        <f t="shared" si="316"/>
        <v>0</v>
      </c>
      <c r="AP494" s="156">
        <f t="shared" si="293"/>
        <v>2.4351889654216485</v>
      </c>
      <c r="AQ494" s="152"/>
      <c r="AR494" s="162">
        <f t="shared" si="294"/>
        <v>8435.0722233909837</v>
      </c>
      <c r="AS494" s="150">
        <f t="shared" si="317"/>
        <v>0</v>
      </c>
      <c r="AT494" s="163">
        <f t="shared" si="295"/>
        <v>0</v>
      </c>
      <c r="AU494" s="163">
        <f t="shared" si="296"/>
        <v>2909.7745772577623</v>
      </c>
      <c r="AV494" s="163">
        <f t="shared" si="318"/>
        <v>23.877369389105052</v>
      </c>
      <c r="AW494" s="163">
        <f t="shared" si="297"/>
        <v>166.30791658702842</v>
      </c>
      <c r="AX494" s="163">
        <f t="shared" si="298"/>
        <v>0</v>
      </c>
      <c r="AY494" s="165">
        <f t="shared" si="319"/>
        <v>5715.4829321093557</v>
      </c>
      <c r="AZ494" s="164">
        <f>IF($E494="","",IF(OR(AND($D494=Input!$C$6,$C494=12),$AN494=1),0,-AS495+AT495+AU495-AV495-AW495-AX495+AZ495))</f>
        <v>5715.4914297093346</v>
      </c>
      <c r="BA494" s="154">
        <f t="shared" si="299"/>
        <v>8.4975999789094203E-3</v>
      </c>
      <c r="BC494" s="147">
        <f t="shared" si="320"/>
        <v>2.2562842750306162E-3</v>
      </c>
      <c r="BD494" s="164">
        <f>IF(AND($C493=12,$D493=Input!$C$6),0,IF($E494="","",AT494+(AU494+BD495)/(1+$AK494)*MIN((1-AM494-AN494),1)))</f>
        <v>4653.2822583789457</v>
      </c>
      <c r="BE494" s="164">
        <f t="shared" si="300"/>
        <v>10.499127586859368</v>
      </c>
      <c r="BF494" s="164">
        <f t="shared" si="321"/>
        <v>5715.4914297093346</v>
      </c>
      <c r="BG494" s="164">
        <f t="shared" si="301"/>
        <v>12.895773436925426</v>
      </c>
      <c r="BH494" s="152"/>
      <c r="BI494" s="162">
        <f t="shared" si="302"/>
        <v>-2160.5741833437551</v>
      </c>
      <c r="BJ494" s="150">
        <f t="shared" si="303"/>
        <v>0</v>
      </c>
      <c r="BK494" s="163">
        <f t="shared" si="325"/>
        <v>0</v>
      </c>
      <c r="BL494" s="163">
        <f t="shared" si="304"/>
        <v>1703.2309263407708</v>
      </c>
      <c r="BM494" s="163">
        <f t="shared" si="326"/>
        <v>-11.38968460376427</v>
      </c>
      <c r="BN494" s="163">
        <f t="shared" si="305"/>
        <v>-67.147082572300036</v>
      </c>
      <c r="BO494" s="163">
        <f t="shared" si="306"/>
        <v>0</v>
      </c>
      <c r="BP494" s="164">
        <f t="shared" si="327"/>
        <v>-3942.3418768605898</v>
      </c>
      <c r="BQ494" s="164">
        <f>IF($E494="","",IF(AND($D494=Input!$C$6,$C494=12),0,-BJ495+BK495+BL495-BM495-BN495-BO495+BQ495))</f>
        <v>-3942.3358003814046</v>
      </c>
      <c r="BR494" s="161">
        <f t="shared" si="307"/>
        <v>0</v>
      </c>
      <c r="BT494" s="147">
        <f t="shared" si="308"/>
        <v>2.2562842750306162E-3</v>
      </c>
      <c r="BU494" s="164">
        <f>IF(AND($C493=12,$D493=Input!$C$6),0,IF($E494="","",BK494+(BL494+BU495)/(1+$AK494)*MIN((1-T494-U494),1)))</f>
        <v>62303.196255411051</v>
      </c>
      <c r="BV494" s="164">
        <f t="shared" si="309"/>
        <v>140.57372199523033</v>
      </c>
      <c r="BW494" s="164">
        <f t="shared" si="310"/>
        <v>-3942.3358003814046</v>
      </c>
      <c r="BX494" s="164">
        <f t="shared" si="311"/>
        <v>-8.8950302732908018</v>
      </c>
    </row>
    <row r="495" spans="1:76" s="150" customFormat="1" x14ac:dyDescent="0.25">
      <c r="A495" s="150">
        <f t="shared" si="322"/>
        <v>491</v>
      </c>
      <c r="B495" s="150">
        <f t="shared" si="323"/>
        <v>41</v>
      </c>
      <c r="C495" s="150">
        <f t="shared" si="324"/>
        <v>11</v>
      </c>
      <c r="D495" s="150">
        <f>IF(E495="","",Input!$C$4+B495-1)</f>
        <v>85</v>
      </c>
      <c r="E495" s="150">
        <f>IF(OR(AND(C494=12,D494=Input!$C$6),E494=""),"",1)</f>
        <v>1</v>
      </c>
      <c r="F495" s="150">
        <f>IF(E495="","",Input!$C$8+B495-1)</f>
        <v>2058</v>
      </c>
      <c r="G495" s="151">
        <f>IF(E495="","",MAX(0,Input!$C$9-B495))</f>
        <v>0</v>
      </c>
      <c r="H495" s="152">
        <f>IF(E495="","",Input!$C$3)</f>
        <v>100000</v>
      </c>
      <c r="I495" s="153">
        <f>IF(E495="","",HLOOKUP($B495,Input!$C$13:$BT$14,2))</f>
        <v>201.73300000000003</v>
      </c>
      <c r="J495" s="154"/>
      <c r="K495" s="155">
        <f>IF($E495="","",INDEX(Input!$C$16:$CP$16,1,$B495))</f>
        <v>3.1329999999999997E-2</v>
      </c>
      <c r="L495" s="155">
        <f>IF($E495="","",Input!$C$37)</f>
        <v>1.4999999999999999E-2</v>
      </c>
      <c r="M495" s="155">
        <f t="shared" si="287"/>
        <v>4.6329999999999996E-2</v>
      </c>
      <c r="N495" s="155">
        <f t="shared" si="288"/>
        <v>3.7811977134125652E-3</v>
      </c>
      <c r="O495" s="147">
        <f>IF($E495="","",MIN(VLOOKUP(IF($B495&lt;=Input!$C$7,$B495,26),'Mortality Tables'!$A$41:$CW$67,IF($B495&lt;=Input!$C$7+1,Input!$C$4+2,$D495-Input!$C$7+2),0)*IF(B495&gt;20,Input!$C$22,1)/1000,1))</f>
        <v>0.22764640000000003</v>
      </c>
      <c r="P495" s="147">
        <f>IF($E495="","",MIN(VLOOKUP(IF($B495&lt;=Input!$C$7,$B495,26),'Mortality Tables'!$A$12:$CW$37,IF($B495&lt;=Input!$C$7+1,Input!$C$4+2,$D495-Input!$C$7+2),0)*IF(B495&gt;20,Input!$C$22,1)/1000,1))</f>
        <v>0.28455800000000003</v>
      </c>
      <c r="Q495" s="155">
        <f>IF($E495="","",Input!$C$21)</f>
        <v>5.0000000000000001E-3</v>
      </c>
      <c r="R495" s="159">
        <f>IF($E495="","",(1-Q495)^($F495-Input!$C$20))</f>
        <v>0.8183201210226746</v>
      </c>
      <c r="S495" s="147">
        <f t="shared" si="290"/>
        <v>0.18628762959837622</v>
      </c>
      <c r="T495" s="147">
        <f t="shared" si="291"/>
        <v>1.7032309263407708E-2</v>
      </c>
      <c r="U495" s="160">
        <f>IF($E495="","",IF($C495=12,INDEX(Input!$C$15:$CP$15,1,$B495),0))</f>
        <v>0</v>
      </c>
      <c r="V495" s="150">
        <f>IF(E495="","",IF(C495=1,IF($B495=1,Input!$C$33,Input!$C$34),0))</f>
        <v>0</v>
      </c>
      <c r="W495" s="156">
        <f>IF($E495="","",Input!$C$35)</f>
        <v>0.02</v>
      </c>
      <c r="X495" s="156">
        <f t="shared" si="289"/>
        <v>2.208039663614854</v>
      </c>
      <c r="Y495" s="154"/>
      <c r="Z495" s="147">
        <f>IF($E495="","",VLOOKUP($D495,'Mortality Margins &amp; Grading'!$AB$5:$AF$125,3,0)*IF(Summary!$D$25="Included Margin",IF(AND($B495&gt;Input!$C$9,Summary!$D$31&lt;&gt;"Included Margin"),0,1),0))</f>
        <v>2.4E-2</v>
      </c>
      <c r="AA495" s="147">
        <f>IF($E495="","",VLOOKUP($D495,'Mortality Margins &amp; Grading'!$AB$5:$AF$125,5,0)*IF(Summary!$D$25="Included Margin",IF(AND($B495&gt;Input!$C$9,Summary!$D$31&lt;&gt;"Included Margin"),0,1),0))</f>
        <v>0.125</v>
      </c>
      <c r="AB495" s="147">
        <f>IF($E495="","",IF(AND($B495&gt;Input!$C$9,Summary!$D$31&lt;&gt;"Included Margin"),1,IF(Summary!$D$25="Included Margin",VLOOKUP($B495,'Mortality Margins &amp; Grading'!$AI$5:$AR$125,MATCH('Mortality Margins &amp; Grading'!$AQ$4,'Mortality Margins &amp; Grading'!$AI$4:$AR$4,0),0),1)))</f>
        <v>0.25</v>
      </c>
      <c r="AC495" s="154"/>
      <c r="AD495" s="158">
        <f>IF(E495="","",Input!$C$48*IF(Summary!$D$30="Included Margin",IF(AND($B495&gt;Input!$C$9,Summary!$D$31&lt;&gt;"Included Margin"),0,1),0))</f>
        <v>-4.4999999999999997E-3</v>
      </c>
      <c r="AE495" s="159">
        <f>IF(E495="","",IF(Summary!$D$26="Included Margin",IF(AND($B495&gt;Input!$C$9,Summary!$D$31&lt;&gt;"Included Margin"),1,1/$R495),1))</f>
        <v>1.2220156565993705</v>
      </c>
      <c r="AF495" s="160">
        <f>IF(E495="","",IF(AND($B495&gt;=Input!$C$9,$C495=12,Summary!$D$31="Included Margin",$U495&gt;0),1/U495-1,IF($B495&gt;=Input!$C$9,0,Input!$C$45*IF(Summary!$D$27="Included Margin",1,0))))</f>
        <v>0</v>
      </c>
      <c r="AG495" s="160">
        <f>IF(E495="","",Input!$C$46*IF(Summary!$D$28="Included Margin",IF(AND($B495&gt;Input!$C$9,Summary!$D$31&lt;&gt;"Included Margin"),0,1),0))</f>
        <v>0.02</v>
      </c>
      <c r="AH495" s="158">
        <f>IF(E495="","",Input!$C$47*IF(Summary!$D$29="Included Margin",IF(AND($B495&gt;Input!$C$9,Summary!$D$31&lt;&gt;"Included Margin"),0,1),0))</f>
        <v>2.5000000000000001E-3</v>
      </c>
      <c r="AI495" s="154"/>
      <c r="AJ495" s="158">
        <f t="shared" si="312"/>
        <v>4.1829999999999999E-2</v>
      </c>
      <c r="AK495" s="155">
        <f t="shared" si="313"/>
        <v>3.4207359278108918E-3</v>
      </c>
      <c r="AL495" s="147">
        <f t="shared" si="314"/>
        <v>0.29837329090000003</v>
      </c>
      <c r="AM495" s="147">
        <f t="shared" si="292"/>
        <v>2.9097745772577621E-2</v>
      </c>
      <c r="AN495" s="160">
        <f t="shared" si="315"/>
        <v>0</v>
      </c>
      <c r="AO495" s="161">
        <f t="shared" si="316"/>
        <v>0</v>
      </c>
      <c r="AP495" s="156">
        <f t="shared" si="293"/>
        <v>2.4351889654216485</v>
      </c>
      <c r="AQ495" s="152"/>
      <c r="AR495" s="162">
        <f t="shared" si="294"/>
        <v>5715.4829321093548</v>
      </c>
      <c r="AS495" s="150">
        <f t="shared" si="317"/>
        <v>0</v>
      </c>
      <c r="AT495" s="163">
        <f t="shared" si="295"/>
        <v>0</v>
      </c>
      <c r="AU495" s="163">
        <f t="shared" si="296"/>
        <v>2909.7745772577623</v>
      </c>
      <c r="AV495" s="163">
        <f t="shared" si="318"/>
        <v>14.574372591528222</v>
      </c>
      <c r="AW495" s="163">
        <f t="shared" si="297"/>
        <v>84.523562195492715</v>
      </c>
      <c r="AX495" s="163">
        <f t="shared" si="298"/>
        <v>0</v>
      </c>
      <c r="AY495" s="164">
        <f t="shared" si="319"/>
        <v>2904.8062896386132</v>
      </c>
      <c r="AZ495" s="164">
        <f>IF($E495="","",IF(OR(AND($D495=Input!$C$6,$C495=12),$AN495=1),0,-AS496+AT496+AU496-AV496-AW496-AX496+AZ496))</f>
        <v>2904.8147872385925</v>
      </c>
      <c r="BA495" s="154">
        <f t="shared" si="299"/>
        <v>8.4975999793641677E-3</v>
      </c>
      <c r="BC495" s="147">
        <f t="shared" si="320"/>
        <v>2.217854543472131E-3</v>
      </c>
      <c r="BD495" s="164">
        <f>IF(AND($C494=12,$D494=Input!$C$6),0,IF($E495="","",AT495+(AU495+BD496)/(1+$AK495)*MIN((1-AM495-AN495),1)))</f>
        <v>1899.3603154177706</v>
      </c>
      <c r="BE495" s="164">
        <f t="shared" si="300"/>
        <v>4.2125049052399621</v>
      </c>
      <c r="BF495" s="164">
        <f t="shared" si="321"/>
        <v>2904.8147872385925</v>
      </c>
      <c r="BG495" s="164">
        <f t="shared" si="301"/>
        <v>6.4424566738221438</v>
      </c>
      <c r="BH495" s="152"/>
      <c r="BI495" s="162">
        <f t="shared" si="302"/>
        <v>-3942.3418768605898</v>
      </c>
      <c r="BJ495" s="150">
        <f t="shared" si="303"/>
        <v>0</v>
      </c>
      <c r="BK495" s="163">
        <f t="shared" si="325"/>
        <v>0</v>
      </c>
      <c r="BL495" s="163">
        <f t="shared" si="304"/>
        <v>1703.2309263407708</v>
      </c>
      <c r="BM495" s="163">
        <f t="shared" si="326"/>
        <v>-18.126900532322509</v>
      </c>
      <c r="BN495" s="163">
        <f t="shared" si="305"/>
        <v>-98.137286038672158</v>
      </c>
      <c r="BO495" s="163">
        <f t="shared" si="306"/>
        <v>0</v>
      </c>
      <c r="BP495" s="164">
        <f t="shared" si="327"/>
        <v>-5761.8369897723551</v>
      </c>
      <c r="BQ495" s="164">
        <f>IF($E495="","",IF(AND($D495=Input!$C$6,$C495=12),0,-BJ496+BK496+BL496-BM496-BN496-BO496+BQ496))</f>
        <v>-5761.8309132931699</v>
      </c>
      <c r="BR495" s="161">
        <f t="shared" si="307"/>
        <v>0</v>
      </c>
      <c r="BT495" s="147">
        <f t="shared" si="308"/>
        <v>2.217854543472131E-3</v>
      </c>
      <c r="BU495" s="164">
        <f>IF(AND($C494=12,$D494=Input!$C$6),0,IF($E495="","",BK495+(BL495+BU496)/(1+$AK495)*MIN((1-T495-U495),1)))</f>
        <v>61896.335596962184</v>
      </c>
      <c r="BV495" s="164">
        <f t="shared" si="309"/>
        <v>137.27706912799837</v>
      </c>
      <c r="BW495" s="164">
        <f t="shared" si="310"/>
        <v>-5761.8309132931699</v>
      </c>
      <c r="BX495" s="164">
        <f t="shared" si="311"/>
        <v>-12.778902869765435</v>
      </c>
    </row>
    <row r="496" spans="1:76" s="150" customFormat="1" x14ac:dyDescent="0.25">
      <c r="A496" s="150">
        <f t="shared" si="322"/>
        <v>492</v>
      </c>
      <c r="B496" s="150">
        <f t="shared" si="323"/>
        <v>41</v>
      </c>
      <c r="C496" s="150">
        <f t="shared" si="324"/>
        <v>12</v>
      </c>
      <c r="D496" s="150">
        <f>IF(E496="","",Input!$C$4+B496-1)</f>
        <v>85</v>
      </c>
      <c r="E496" s="150">
        <f>IF(OR(AND(C495=12,D495=Input!$C$6),E495=""),"",1)</f>
        <v>1</v>
      </c>
      <c r="F496" s="150">
        <f>IF(E496="","",Input!$C$8+B496-1)</f>
        <v>2058</v>
      </c>
      <c r="G496" s="151">
        <f>IF(E496="","",MAX(0,Input!$C$9-B496))</f>
        <v>0</v>
      </c>
      <c r="H496" s="152">
        <f>IF(E496="","",Input!$C$3)</f>
        <v>100000</v>
      </c>
      <c r="I496" s="153">
        <f>IF(E496="","",HLOOKUP($B496,Input!$C$13:$BT$14,2))</f>
        <v>201.73300000000003</v>
      </c>
      <c r="J496" s="154"/>
      <c r="K496" s="155">
        <f>IF($E496="","",INDEX(Input!$C$16:$CP$16,1,$B496))</f>
        <v>3.1329999999999997E-2</v>
      </c>
      <c r="L496" s="155">
        <f>IF($E496="","",Input!$C$37)</f>
        <v>1.4999999999999999E-2</v>
      </c>
      <c r="M496" s="155">
        <f t="shared" si="287"/>
        <v>4.6329999999999996E-2</v>
      </c>
      <c r="N496" s="155">
        <f t="shared" si="288"/>
        <v>3.7811977134125652E-3</v>
      </c>
      <c r="O496" s="147">
        <f>IF($E496="","",MIN(VLOOKUP(IF($B496&lt;=Input!$C$7,$B496,26),'Mortality Tables'!$A$41:$CW$67,IF($B496&lt;=Input!$C$7+1,Input!$C$4+2,$D496-Input!$C$7+2),0)*IF(B496&gt;20,Input!$C$22,1)/1000,1))</f>
        <v>0.22764640000000003</v>
      </c>
      <c r="P496" s="147">
        <f>IF($E496="","",MIN(VLOOKUP(IF($B496&lt;=Input!$C$7,$B496,26),'Mortality Tables'!$A$12:$CW$37,IF($B496&lt;=Input!$C$7+1,Input!$C$4+2,$D496-Input!$C$7+2),0)*IF(B496&gt;20,Input!$C$22,1)/1000,1))</f>
        <v>0.28455800000000003</v>
      </c>
      <c r="Q496" s="155">
        <f>IF($E496="","",Input!$C$21)</f>
        <v>5.0000000000000001E-3</v>
      </c>
      <c r="R496" s="159">
        <f>IF($E496="","",(1-Q496)^($F496-Input!$C$20))</f>
        <v>0.8183201210226746</v>
      </c>
      <c r="S496" s="147">
        <f t="shared" si="290"/>
        <v>0.18628762959837622</v>
      </c>
      <c r="T496" s="147">
        <f t="shared" si="291"/>
        <v>1.7032309263407708E-2</v>
      </c>
      <c r="U496" s="160">
        <f>IF($E496="","",IF($C496=12,INDEX(Input!$C$15:$CP$15,1,$B496),0))</f>
        <v>0.1</v>
      </c>
      <c r="V496" s="150">
        <f>IF(E496="","",IF(C496=1,IF($B496=1,Input!$C$33,Input!$C$34),0))</f>
        <v>0</v>
      </c>
      <c r="W496" s="156">
        <f>IF($E496="","",Input!$C$35)</f>
        <v>0.02</v>
      </c>
      <c r="X496" s="156">
        <f t="shared" si="289"/>
        <v>2.208039663614854</v>
      </c>
      <c r="Y496" s="154"/>
      <c r="Z496" s="147">
        <f>IF($E496="","",VLOOKUP($D496,'Mortality Margins &amp; Grading'!$AB$5:$AF$125,3,0)*IF(Summary!$D$25="Included Margin",IF(AND($B496&gt;Input!$C$9,Summary!$D$31&lt;&gt;"Included Margin"),0,1),0))</f>
        <v>2.4E-2</v>
      </c>
      <c r="AA496" s="147">
        <f>IF($E496="","",VLOOKUP($D496,'Mortality Margins &amp; Grading'!$AB$5:$AF$125,5,0)*IF(Summary!$D$25="Included Margin",IF(AND($B496&gt;Input!$C$9,Summary!$D$31&lt;&gt;"Included Margin"),0,1),0))</f>
        <v>0.125</v>
      </c>
      <c r="AB496" s="147">
        <f>IF($E496="","",IF(AND($B496&gt;Input!$C$9,Summary!$D$31&lt;&gt;"Included Margin"),1,IF(Summary!$D$25="Included Margin",VLOOKUP($B496,'Mortality Margins &amp; Grading'!$AI$5:$AR$125,MATCH('Mortality Margins &amp; Grading'!$AQ$4,'Mortality Margins &amp; Grading'!$AI$4:$AR$4,0),0),1)))</f>
        <v>0.25</v>
      </c>
      <c r="AC496" s="154"/>
      <c r="AD496" s="158">
        <f>IF(E496="","",Input!$C$48*IF(Summary!$D$30="Included Margin",IF(AND($B496&gt;Input!$C$9,Summary!$D$31&lt;&gt;"Included Margin"),0,1),0))</f>
        <v>-4.4999999999999997E-3</v>
      </c>
      <c r="AE496" s="159">
        <f>IF(E496="","",IF(Summary!$D$26="Included Margin",IF(AND($B496&gt;Input!$C$9,Summary!$D$31&lt;&gt;"Included Margin"),1,1/$R496),1))</f>
        <v>1.2220156565993705</v>
      </c>
      <c r="AF496" s="160">
        <f>IF(E496="","",IF(AND($B496&gt;=Input!$C$9,$C496=12,Summary!$D$31="Included Margin",$U496&gt;0),1/U496-1,IF($B496&gt;=Input!$C$9,0,Input!$C$45*IF(Summary!$D$27="Included Margin",1,0))))</f>
        <v>9</v>
      </c>
      <c r="AG496" s="160">
        <f>IF(E496="","",Input!$C$46*IF(Summary!$D$28="Included Margin",IF(AND($B496&gt;Input!$C$9,Summary!$D$31&lt;&gt;"Included Margin"),0,1),0))</f>
        <v>0.02</v>
      </c>
      <c r="AH496" s="158">
        <f>IF(E496="","",Input!$C$47*IF(Summary!$D$29="Included Margin",IF(AND($B496&gt;Input!$C$9,Summary!$D$31&lt;&gt;"Included Margin"),0,1),0))</f>
        <v>2.5000000000000001E-3</v>
      </c>
      <c r="AI496" s="154"/>
      <c r="AJ496" s="158">
        <f t="shared" si="312"/>
        <v>4.1829999999999999E-2</v>
      </c>
      <c r="AK496" s="155">
        <f t="shared" si="313"/>
        <v>3.4207359278108918E-3</v>
      </c>
      <c r="AL496" s="147">
        <f t="shared" si="314"/>
        <v>0.29837329090000003</v>
      </c>
      <c r="AM496" s="147">
        <f t="shared" si="292"/>
        <v>2.9097745772577621E-2</v>
      </c>
      <c r="AN496" s="160">
        <f t="shared" si="315"/>
        <v>1</v>
      </c>
      <c r="AO496" s="161">
        <f t="shared" si="316"/>
        <v>0</v>
      </c>
      <c r="AP496" s="156">
        <f t="shared" si="293"/>
        <v>2.4351889654216485</v>
      </c>
      <c r="AQ496" s="152"/>
      <c r="AR496" s="162">
        <f t="shared" si="294"/>
        <v>2904.8062896386132</v>
      </c>
      <c r="AS496" s="150">
        <f t="shared" si="317"/>
        <v>0</v>
      </c>
      <c r="AT496" s="163">
        <f t="shared" si="295"/>
        <v>0</v>
      </c>
      <c r="AU496" s="163">
        <f t="shared" si="296"/>
        <v>2909.7745772577623</v>
      </c>
      <c r="AV496" s="163">
        <f t="shared" si="318"/>
        <v>4.9597900191696667</v>
      </c>
      <c r="AW496" s="163">
        <f t="shared" si="297"/>
        <v>0</v>
      </c>
      <c r="AX496" s="163">
        <f t="shared" si="298"/>
        <v>0</v>
      </c>
      <c r="AY496" s="165">
        <f t="shared" si="319"/>
        <v>-8.4975999794565382E-3</v>
      </c>
      <c r="AZ496" s="164">
        <f>IF($E496="","",IF(OR(AND($D496=Input!$C$6,$C496=12),$AN496=1),0,-AS497+AT497+AU497-AV497-AW497-AX497+AZ497))</f>
        <v>0</v>
      </c>
      <c r="BA496" s="154">
        <f t="shared" si="299"/>
        <v>8.4975999794565382E-3</v>
      </c>
      <c r="BC496" s="147">
        <f t="shared" si="320"/>
        <v>1.9582939046392466E-3</v>
      </c>
      <c r="BD496" s="164">
        <f>IF(AND($C495=12,$D495=Input!$C$6),0,IF($E496="","",AT496+(AU496+BD497)/(1+$AK496)*MIN((1-AM496-AN496),1)))</f>
        <v>-946.79888409168814</v>
      </c>
      <c r="BE496" s="164">
        <f t="shared" si="300"/>
        <v>-1.8541104836359934</v>
      </c>
      <c r="BF496" s="164">
        <f t="shared" si="321"/>
        <v>0</v>
      </c>
      <c r="BG496" s="164">
        <f t="shared" si="301"/>
        <v>0</v>
      </c>
      <c r="BH496" s="152"/>
      <c r="BI496" s="162">
        <f t="shared" si="302"/>
        <v>-5761.8369897723551</v>
      </c>
      <c r="BJ496" s="150">
        <f t="shared" si="303"/>
        <v>0</v>
      </c>
      <c r="BK496" s="163">
        <f t="shared" si="325"/>
        <v>0</v>
      </c>
      <c r="BL496" s="163">
        <f t="shared" si="304"/>
        <v>1703.2309263407708</v>
      </c>
      <c r="BM496" s="163">
        <f t="shared" si="326"/>
        <v>-25.006771292829811</v>
      </c>
      <c r="BN496" s="163">
        <f t="shared" si="305"/>
        <v>-144.20408974858762</v>
      </c>
      <c r="BO496" s="163">
        <f t="shared" si="306"/>
        <v>-832.22984565853005</v>
      </c>
      <c r="BP496" s="164">
        <f t="shared" si="327"/>
        <v>-8466.5086228130731</v>
      </c>
      <c r="BQ496" s="164">
        <f>IF($E496="","",IF(AND($D496=Input!$C$6,$C496=12),0,-BJ497+BK497+BL497-BM497-BN497-BO497+BQ497))</f>
        <v>-8466.5025463338879</v>
      </c>
      <c r="BR496" s="161">
        <f t="shared" si="307"/>
        <v>0</v>
      </c>
      <c r="BT496" s="147">
        <f t="shared" si="308"/>
        <v>1.9582939046392466E-3</v>
      </c>
      <c r="BU496" s="164">
        <f>IF(AND($C495=12,$D495=Input!$C$6),0,IF($E496="","",BK496+(BL496+BU497)/(1+$AK496)*MIN((1-T496-U496),1)))</f>
        <v>61481.009208141702</v>
      </c>
      <c r="BV496" s="164">
        <f t="shared" si="309"/>
        <v>120.3978855833733</v>
      </c>
      <c r="BW496" s="164">
        <f t="shared" si="310"/>
        <v>-8466.5025463338879</v>
      </c>
      <c r="BX496" s="164">
        <f t="shared" si="311"/>
        <v>-16.579900330098312</v>
      </c>
    </row>
    <row r="497" spans="1:76" s="150" customFormat="1" x14ac:dyDescent="0.25">
      <c r="A497" s="150">
        <f t="shared" si="322"/>
        <v>493</v>
      </c>
      <c r="B497" s="150">
        <f t="shared" si="323"/>
        <v>42</v>
      </c>
      <c r="C497" s="150">
        <f t="shared" si="324"/>
        <v>1</v>
      </c>
      <c r="D497" s="150">
        <f>IF(E497="","",Input!$C$4+B497-1)</f>
        <v>86</v>
      </c>
      <c r="E497" s="150">
        <f>IF(OR(AND(C496=12,D496=Input!$C$6),E496=""),"",1)</f>
        <v>1</v>
      </c>
      <c r="F497" s="150">
        <f>IF(E497="","",Input!$C$8+B497-1)</f>
        <v>2059</v>
      </c>
      <c r="G497" s="151">
        <f>IF(E497="","",MAX(0,Input!$C$9-B497))</f>
        <v>0</v>
      </c>
      <c r="H497" s="152">
        <f>IF(E497="","",Input!$C$3)</f>
        <v>100000</v>
      </c>
      <c r="I497" s="153">
        <f>IF(E497="","",HLOOKUP($B497,Input!$C$13:$BT$14,2))</f>
        <v>230.52050000000003</v>
      </c>
      <c r="J497" s="154"/>
      <c r="K497" s="155">
        <f>IF($E497="","",INDEX(Input!$C$16:$CP$16,1,$B497))</f>
        <v>3.15E-2</v>
      </c>
      <c r="L497" s="155">
        <f>IF($E497="","",Input!$C$37)</f>
        <v>1.4999999999999999E-2</v>
      </c>
      <c r="M497" s="155">
        <f t="shared" si="287"/>
        <v>4.65E-2</v>
      </c>
      <c r="N497" s="155">
        <f t="shared" si="288"/>
        <v>3.7947872834442897E-3</v>
      </c>
      <c r="O497" s="147">
        <f>IF($E497="","",MIN(VLOOKUP(IF($B497&lt;=Input!$C$7,$B497,26),'Mortality Tables'!$A$41:$CW$67,IF($B497&lt;=Input!$C$7+1,Input!$C$4+2,$D497-Input!$C$7+2),0)*IF(B497&gt;20,Input!$C$22,1)/1000,1))</f>
        <v>0.25994160000000005</v>
      </c>
      <c r="P497" s="147">
        <f>IF($E497="","",MIN(VLOOKUP(IF($B497&lt;=Input!$C$7,$B497,26),'Mortality Tables'!$A$12:$CW$37,IF($B497&lt;=Input!$C$7+1,Input!$C$4+2,$D497-Input!$C$7+2),0)*IF(B497&gt;20,Input!$C$22,1)/1000,1))</f>
        <v>0.32492700000000002</v>
      </c>
      <c r="Q497" s="155">
        <f>IF($E497="","",Input!$C$21)</f>
        <v>5.0000000000000001E-3</v>
      </c>
      <c r="R497" s="159">
        <f>IF($E497="","",(1-Q497)^($F497-Input!$C$20))</f>
        <v>0.81422852041756122</v>
      </c>
      <c r="S497" s="147">
        <f t="shared" si="290"/>
        <v>0.21165186436297356</v>
      </c>
      <c r="T497" s="147">
        <f t="shared" si="291"/>
        <v>1.9622872649482259E-2</v>
      </c>
      <c r="U497" s="160">
        <f>IF($E497="","",IF($C497=12,INDEX(Input!$C$15:$CP$15,1,$B497),0))</f>
        <v>0</v>
      </c>
      <c r="V497" s="150">
        <f>IF(E497="","",IF(C497=1,IF($B497=1,Input!$C$33,Input!$C$34),0))</f>
        <v>50</v>
      </c>
      <c r="W497" s="156">
        <f>IF($E497="","",Input!$C$35)</f>
        <v>0.02</v>
      </c>
      <c r="X497" s="156">
        <f t="shared" si="289"/>
        <v>2.252200456887151</v>
      </c>
      <c r="Y497" s="154"/>
      <c r="Z497" s="147">
        <f>IF($E497="","",VLOOKUP($D497,'Mortality Margins &amp; Grading'!$AB$5:$AF$125,3,0)*IF(Summary!$D$25="Included Margin",IF(AND($B497&gt;Input!$C$9,Summary!$D$31&lt;&gt;"Included Margin"),0,1),0))</f>
        <v>2.3E-2</v>
      </c>
      <c r="AA497" s="147">
        <f>IF($E497="","",VLOOKUP($D497,'Mortality Margins &amp; Grading'!$AB$5:$AF$125,5,0)*IF(Summary!$D$25="Included Margin",IF(AND($B497&gt;Input!$C$9,Summary!$D$31&lt;&gt;"Included Margin"),0,1),0))</f>
        <v>0.11899999999999999</v>
      </c>
      <c r="AB497" s="147">
        <f>IF($E497="","",IF(AND($B497&gt;Input!$C$9,Summary!$D$31&lt;&gt;"Included Margin"),1,IF(Summary!$D$25="Included Margin",VLOOKUP($B497,'Mortality Margins &amp; Grading'!$AI$5:$AR$125,MATCH('Mortality Margins &amp; Grading'!$AQ$4,'Mortality Margins &amp; Grading'!$AI$4:$AR$4,0),0),1)))</f>
        <v>0.1875</v>
      </c>
      <c r="AC497" s="154"/>
      <c r="AD497" s="158">
        <f>IF(E497="","",Input!$C$48*IF(Summary!$D$30="Included Margin",IF(AND($B497&gt;Input!$C$9,Summary!$D$31&lt;&gt;"Included Margin"),0,1),0))</f>
        <v>-4.4999999999999997E-3</v>
      </c>
      <c r="AE497" s="159">
        <f>IF(E497="","",IF(Summary!$D$26="Included Margin",IF(AND($B497&gt;Input!$C$9,Summary!$D$31&lt;&gt;"Included Margin"),1,1/$R497),1))</f>
        <v>1.2281564387933372</v>
      </c>
      <c r="AF497" s="160">
        <f>IF(E497="","",IF(AND($B497&gt;=Input!$C$9,$C497=12,Summary!$D$31="Included Margin",$U497&gt;0),1/U497-1,IF($B497&gt;=Input!$C$9,0,Input!$C$45*IF(Summary!$D$27="Included Margin",1,0))))</f>
        <v>0</v>
      </c>
      <c r="AG497" s="160">
        <f>IF(E497="","",Input!$C$46*IF(Summary!$D$28="Included Margin",IF(AND($B497&gt;Input!$C$9,Summary!$D$31&lt;&gt;"Included Margin"),0,1),0))</f>
        <v>0.02</v>
      </c>
      <c r="AH497" s="158">
        <f>IF(E497="","",Input!$C$47*IF(Summary!$D$29="Included Margin",IF(AND($B497&gt;Input!$C$9,Summary!$D$31&lt;&gt;"Included Margin"),0,1),0))</f>
        <v>2.5000000000000001E-3</v>
      </c>
      <c r="AI497" s="154"/>
      <c r="AJ497" s="158">
        <f t="shared" si="312"/>
        <v>4.2000000000000003E-2</v>
      </c>
      <c r="AK497" s="155">
        <f t="shared" si="313"/>
        <v>3.4343792900468628E-3</v>
      </c>
      <c r="AL497" s="147">
        <f t="shared" si="314"/>
        <v>0.34527961496250004</v>
      </c>
      <c r="AM497" s="147">
        <f t="shared" si="292"/>
        <v>3.4679960649332542E-2</v>
      </c>
      <c r="AN497" s="160">
        <f t="shared" si="315"/>
        <v>0</v>
      </c>
      <c r="AO497" s="161">
        <f t="shared" si="316"/>
        <v>51</v>
      </c>
      <c r="AP497" s="156">
        <f t="shared" si="293"/>
        <v>2.4899807171436357</v>
      </c>
      <c r="AQ497" s="152"/>
      <c r="AR497" s="162">
        <f t="shared" si="294"/>
        <v>10950.938043836175</v>
      </c>
      <c r="AS497" s="150">
        <f t="shared" si="317"/>
        <v>23052.050000000003</v>
      </c>
      <c r="AT497" s="163">
        <f t="shared" si="295"/>
        <v>126.98901657432542</v>
      </c>
      <c r="AU497" s="163">
        <f t="shared" si="296"/>
        <v>3467.9960649332543</v>
      </c>
      <c r="AV497" s="163">
        <f t="shared" si="318"/>
        <v>110.38782255719038</v>
      </c>
      <c r="AW497" s="163">
        <f t="shared" si="297"/>
        <v>1096.4000563478075</v>
      </c>
      <c r="AX497" s="163">
        <f t="shared" si="298"/>
        <v>0</v>
      </c>
      <c r="AY497" s="164">
        <f t="shared" si="319"/>
        <v>31614.790841233596</v>
      </c>
      <c r="AZ497" s="164">
        <f>IF($E497="","",IF(OR(AND($D497=Input!$C$6,$C497=12),$AN497=1),0,-AS498+AT498+AU498-AV498-AW498-AX498+AZ498))</f>
        <v>31614.801049923022</v>
      </c>
      <c r="BA497" s="154">
        <f t="shared" si="299"/>
        <v>1.0208689425780904E-2</v>
      </c>
      <c r="BC497" s="147">
        <f t="shared" si="320"/>
        <v>1.9198665527382533E-3</v>
      </c>
      <c r="BD497" s="164">
        <f>IF(AND($C496=12,$D496=Input!$C$6),0,IF($E497="","",AT497+(AU497+BD498)/(1+$AK497)*MIN((1-AM497-AN497),1)))</f>
        <v>29740.095982345825</v>
      </c>
      <c r="BE497" s="164">
        <f t="shared" si="300"/>
        <v>57.097015551731054</v>
      </c>
      <c r="BF497" s="164">
        <f t="shared" si="321"/>
        <v>31614.801049923022</v>
      </c>
      <c r="BG497" s="164">
        <f t="shared" si="301"/>
        <v>60.696199107221425</v>
      </c>
      <c r="BH497" s="152"/>
      <c r="BI497" s="162">
        <f t="shared" si="302"/>
        <v>-8466.5095973908046</v>
      </c>
      <c r="BJ497" s="150">
        <f t="shared" si="303"/>
        <v>23052.050000000003</v>
      </c>
      <c r="BK497" s="163">
        <f t="shared" si="325"/>
        <v>112.61002284435754</v>
      </c>
      <c r="BL497" s="163">
        <f t="shared" si="304"/>
        <v>1962.2872649482258</v>
      </c>
      <c r="BM497" s="163">
        <f t="shared" si="326"/>
        <v>51.198460779561046</v>
      </c>
      <c r="BN497" s="163">
        <f t="shared" si="305"/>
        <v>251.4334014595542</v>
      </c>
      <c r="BO497" s="163">
        <f t="shared" si="306"/>
        <v>0</v>
      </c>
      <c r="BP497" s="164">
        <f t="shared" si="327"/>
        <v>12813.274977055729</v>
      </c>
      <c r="BQ497" s="164">
        <f>IF($E497="","",IF(AND($D497=Input!$C$6,$C497=12),0,-BJ498+BK498+BL498-BM498-BN498-BO498+BQ498))</f>
        <v>12813.282028112646</v>
      </c>
      <c r="BR497" s="161">
        <f t="shared" si="307"/>
        <v>0</v>
      </c>
      <c r="BT497" s="147">
        <f t="shared" si="308"/>
        <v>1.9198665527382533E-3</v>
      </c>
      <c r="BU497" s="164">
        <f>IF(AND($C496=12,$D496=Input!$C$6),0,IF($E497="","",BK497+(BL497+BU498)/(1+$AK497)*MIN((1-T497-U497),1)))</f>
        <v>68164.919576146727</v>
      </c>
      <c r="BV497" s="164">
        <f t="shared" si="309"/>
        <v>130.86754916433711</v>
      </c>
      <c r="BW497" s="164">
        <f t="shared" si="310"/>
        <v>12813.282028112646</v>
      </c>
      <c r="BX497" s="164">
        <f t="shared" si="311"/>
        <v>24.599791596575642</v>
      </c>
    </row>
    <row r="498" spans="1:76" s="150" customFormat="1" x14ac:dyDescent="0.25">
      <c r="A498" s="150">
        <f t="shared" si="322"/>
        <v>494</v>
      </c>
      <c r="B498" s="150">
        <f t="shared" si="323"/>
        <v>42</v>
      </c>
      <c r="C498" s="150">
        <f t="shared" si="324"/>
        <v>2</v>
      </c>
      <c r="D498" s="150">
        <f>IF(E498="","",Input!$C$4+B498-1)</f>
        <v>86</v>
      </c>
      <c r="E498" s="150">
        <f>IF(OR(AND(C497=12,D497=Input!$C$6),E497=""),"",1)</f>
        <v>1</v>
      </c>
      <c r="F498" s="150">
        <f>IF(E498="","",Input!$C$8+B498-1)</f>
        <v>2059</v>
      </c>
      <c r="G498" s="151">
        <f>IF(E498="","",MAX(0,Input!$C$9-B498))</f>
        <v>0</v>
      </c>
      <c r="H498" s="152">
        <f>IF(E498="","",Input!$C$3)</f>
        <v>100000</v>
      </c>
      <c r="I498" s="153">
        <f>IF(E498="","",HLOOKUP($B498,Input!$C$13:$BT$14,2))</f>
        <v>230.52050000000003</v>
      </c>
      <c r="J498" s="154"/>
      <c r="K498" s="155">
        <f>IF($E498="","",INDEX(Input!$C$16:$CP$16,1,$B498))</f>
        <v>3.15E-2</v>
      </c>
      <c r="L498" s="155">
        <f>IF($E498="","",Input!$C$37)</f>
        <v>1.4999999999999999E-2</v>
      </c>
      <c r="M498" s="155">
        <f t="shared" si="287"/>
        <v>4.65E-2</v>
      </c>
      <c r="N498" s="155">
        <f t="shared" si="288"/>
        <v>3.7947872834442897E-3</v>
      </c>
      <c r="O498" s="147">
        <f>IF($E498="","",MIN(VLOOKUP(IF($B498&lt;=Input!$C$7,$B498,26),'Mortality Tables'!$A$41:$CW$67,IF($B498&lt;=Input!$C$7+1,Input!$C$4+2,$D498-Input!$C$7+2),0)*IF(B498&gt;20,Input!$C$22,1)/1000,1))</f>
        <v>0.25994160000000005</v>
      </c>
      <c r="P498" s="147">
        <f>IF($E498="","",MIN(VLOOKUP(IF($B498&lt;=Input!$C$7,$B498,26),'Mortality Tables'!$A$12:$CW$37,IF($B498&lt;=Input!$C$7+1,Input!$C$4+2,$D498-Input!$C$7+2),0)*IF(B498&gt;20,Input!$C$22,1)/1000,1))</f>
        <v>0.32492700000000002</v>
      </c>
      <c r="Q498" s="155">
        <f>IF($E498="","",Input!$C$21)</f>
        <v>5.0000000000000001E-3</v>
      </c>
      <c r="R498" s="159">
        <f>IF($E498="","",(1-Q498)^($F498-Input!$C$20))</f>
        <v>0.81422852041756122</v>
      </c>
      <c r="S498" s="147">
        <f t="shared" si="290"/>
        <v>0.21165186436297356</v>
      </c>
      <c r="T498" s="147">
        <f t="shared" si="291"/>
        <v>1.9622872649482259E-2</v>
      </c>
      <c r="U498" s="160">
        <f>IF($E498="","",IF($C498=12,INDEX(Input!$C$15:$CP$15,1,$B498),0))</f>
        <v>0</v>
      </c>
      <c r="V498" s="150">
        <f>IF(E498="","",IF(C498=1,IF($B498=1,Input!$C$33,Input!$C$34),0))</f>
        <v>0</v>
      </c>
      <c r="W498" s="156">
        <f>IF($E498="","",Input!$C$35)</f>
        <v>0.02</v>
      </c>
      <c r="X498" s="156">
        <f t="shared" si="289"/>
        <v>2.252200456887151</v>
      </c>
      <c r="Y498" s="154"/>
      <c r="Z498" s="147">
        <f>IF($E498="","",VLOOKUP($D498,'Mortality Margins &amp; Grading'!$AB$5:$AF$125,3,0)*IF(Summary!$D$25="Included Margin",IF(AND($B498&gt;Input!$C$9,Summary!$D$31&lt;&gt;"Included Margin"),0,1),0))</f>
        <v>2.3E-2</v>
      </c>
      <c r="AA498" s="147">
        <f>IF($E498="","",VLOOKUP($D498,'Mortality Margins &amp; Grading'!$AB$5:$AF$125,5,0)*IF(Summary!$D$25="Included Margin",IF(AND($B498&gt;Input!$C$9,Summary!$D$31&lt;&gt;"Included Margin"),0,1),0))</f>
        <v>0.11899999999999999</v>
      </c>
      <c r="AB498" s="147">
        <f>IF($E498="","",IF(AND($B498&gt;Input!$C$9,Summary!$D$31&lt;&gt;"Included Margin"),1,IF(Summary!$D$25="Included Margin",VLOOKUP($B498,'Mortality Margins &amp; Grading'!$AI$5:$AR$125,MATCH('Mortality Margins &amp; Grading'!$AQ$4,'Mortality Margins &amp; Grading'!$AI$4:$AR$4,0),0),1)))</f>
        <v>0.1875</v>
      </c>
      <c r="AC498" s="154"/>
      <c r="AD498" s="158">
        <f>IF(E498="","",Input!$C$48*IF(Summary!$D$30="Included Margin",IF(AND($B498&gt;Input!$C$9,Summary!$D$31&lt;&gt;"Included Margin"),0,1),0))</f>
        <v>-4.4999999999999997E-3</v>
      </c>
      <c r="AE498" s="159">
        <f>IF(E498="","",IF(Summary!$D$26="Included Margin",IF(AND($B498&gt;Input!$C$9,Summary!$D$31&lt;&gt;"Included Margin"),1,1/$R498),1))</f>
        <v>1.2281564387933372</v>
      </c>
      <c r="AF498" s="160">
        <f>IF(E498="","",IF(AND($B498&gt;=Input!$C$9,$C498=12,Summary!$D$31="Included Margin",$U498&gt;0),1/U498-1,IF($B498&gt;=Input!$C$9,0,Input!$C$45*IF(Summary!$D$27="Included Margin",1,0))))</f>
        <v>0</v>
      </c>
      <c r="AG498" s="160">
        <f>IF(E498="","",Input!$C$46*IF(Summary!$D$28="Included Margin",IF(AND($B498&gt;Input!$C$9,Summary!$D$31&lt;&gt;"Included Margin"),0,1),0))</f>
        <v>0.02</v>
      </c>
      <c r="AH498" s="158">
        <f>IF(E498="","",Input!$C$47*IF(Summary!$D$29="Included Margin",IF(AND($B498&gt;Input!$C$9,Summary!$D$31&lt;&gt;"Included Margin"),0,1),0))</f>
        <v>2.5000000000000001E-3</v>
      </c>
      <c r="AI498" s="154"/>
      <c r="AJ498" s="158">
        <f t="shared" si="312"/>
        <v>4.2000000000000003E-2</v>
      </c>
      <c r="AK498" s="155">
        <f t="shared" si="313"/>
        <v>3.4343792900468628E-3</v>
      </c>
      <c r="AL498" s="147">
        <f t="shared" si="314"/>
        <v>0.34527961496250004</v>
      </c>
      <c r="AM498" s="147">
        <f t="shared" si="292"/>
        <v>3.4679960649332542E-2</v>
      </c>
      <c r="AN498" s="160">
        <f t="shared" si="315"/>
        <v>0</v>
      </c>
      <c r="AO498" s="161">
        <f t="shared" si="316"/>
        <v>0</v>
      </c>
      <c r="AP498" s="156">
        <f t="shared" si="293"/>
        <v>2.4899807171436357</v>
      </c>
      <c r="AQ498" s="152"/>
      <c r="AR498" s="162">
        <f t="shared" si="294"/>
        <v>31614.7908412336</v>
      </c>
      <c r="AS498" s="150">
        <f t="shared" si="317"/>
        <v>0</v>
      </c>
      <c r="AT498" s="163">
        <f t="shared" si="295"/>
        <v>0</v>
      </c>
      <c r="AU498" s="163">
        <f t="shared" si="296"/>
        <v>3467.9960649332543</v>
      </c>
      <c r="AV498" s="163">
        <f t="shared" si="318"/>
        <v>102.62197599261052</v>
      </c>
      <c r="AW498" s="163">
        <f t="shared" si="297"/>
        <v>1014.8851939633001</v>
      </c>
      <c r="AX498" s="163">
        <f t="shared" si="298"/>
        <v>0</v>
      </c>
      <c r="AY498" s="165">
        <f t="shared" si="319"/>
        <v>29264.301946256255</v>
      </c>
      <c r="AZ498" s="164">
        <f>IF($E498="","",IF(OR(AND($D498=Input!$C$6,$C498=12),$AN498=1),0,-AS499+AT499+AU499-AV499-AW499-AX499+AZ499))</f>
        <v>29264.312154945677</v>
      </c>
      <c r="BA498" s="154">
        <f t="shared" si="299"/>
        <v>1.0208689422142925E-2</v>
      </c>
      <c r="BC498" s="147">
        <f t="shared" si="320"/>
        <v>1.8821932558698701E-3</v>
      </c>
      <c r="BD498" s="164">
        <f>IF(AND($C497=12,$D497=Input!$C$6),0,IF($E498="","",AT498+(AU498+BD499)/(1+$AK498)*MIN((1-AM498-AN498),1)))</f>
        <v>27314.343880103697</v>
      </c>
      <c r="BE498" s="164">
        <f t="shared" si="300"/>
        <v>51.410873839641638</v>
      </c>
      <c r="BF498" s="164">
        <f t="shared" si="321"/>
        <v>29264.312154945677</v>
      </c>
      <c r="BG498" s="164">
        <f t="shared" si="301"/>
        <v>55.081090975709422</v>
      </c>
      <c r="BH498" s="152"/>
      <c r="BI498" s="162">
        <f t="shared" si="302"/>
        <v>12813.274977055731</v>
      </c>
      <c r="BJ498" s="150">
        <f t="shared" si="303"/>
        <v>0</v>
      </c>
      <c r="BK498" s="163">
        <f t="shared" si="325"/>
        <v>0</v>
      </c>
      <c r="BL498" s="163">
        <f t="shared" si="304"/>
        <v>1962.2872649482258</v>
      </c>
      <c r="BM498" s="163">
        <f t="shared" si="326"/>
        <v>44.900421562460906</v>
      </c>
      <c r="BN498" s="163">
        <f t="shared" si="305"/>
        <v>218.08828219995667</v>
      </c>
      <c r="BO498" s="163">
        <f t="shared" si="306"/>
        <v>0</v>
      </c>
      <c r="BP498" s="164">
        <f t="shared" si="327"/>
        <v>11113.976415869924</v>
      </c>
      <c r="BQ498" s="164">
        <f>IF($E498="","",IF(AND($D498=Input!$C$6,$C498=12),0,-BJ499+BK499+BL499-BM499-BN499-BO499+BQ499))</f>
        <v>11113.983466926838</v>
      </c>
      <c r="BR498" s="161">
        <f t="shared" si="307"/>
        <v>0</v>
      </c>
      <c r="BT498" s="147">
        <f t="shared" si="308"/>
        <v>1.8821932558698701E-3</v>
      </c>
      <c r="BU498" s="164">
        <f>IF(AND($C497=12,$D497=Input!$C$6),0,IF($E498="","",BK498+(BL498+BU499)/(1+$AK498)*MIN((1-T498-U498),1)))</f>
        <v>67690.528055637624</v>
      </c>
      <c r="BV498" s="164">
        <f t="shared" si="309"/>
        <v>127.40665539259136</v>
      </c>
      <c r="BW498" s="164">
        <f t="shared" si="310"/>
        <v>11113.983466926838</v>
      </c>
      <c r="BX498" s="164">
        <f t="shared" si="311"/>
        <v>20.918664727298932</v>
      </c>
    </row>
    <row r="499" spans="1:76" s="150" customFormat="1" x14ac:dyDescent="0.25">
      <c r="A499" s="150">
        <f t="shared" si="322"/>
        <v>495</v>
      </c>
      <c r="B499" s="150">
        <f t="shared" si="323"/>
        <v>42</v>
      </c>
      <c r="C499" s="150">
        <f t="shared" si="324"/>
        <v>3</v>
      </c>
      <c r="D499" s="150">
        <f>IF(E499="","",Input!$C$4+B499-1)</f>
        <v>86</v>
      </c>
      <c r="E499" s="150">
        <f>IF(OR(AND(C498=12,D498=Input!$C$6),E498=""),"",1)</f>
        <v>1</v>
      </c>
      <c r="F499" s="150">
        <f>IF(E499="","",Input!$C$8+B499-1)</f>
        <v>2059</v>
      </c>
      <c r="G499" s="151">
        <f>IF(E499="","",MAX(0,Input!$C$9-B499))</f>
        <v>0</v>
      </c>
      <c r="H499" s="152">
        <f>IF(E499="","",Input!$C$3)</f>
        <v>100000</v>
      </c>
      <c r="I499" s="153">
        <f>IF(E499="","",HLOOKUP($B499,Input!$C$13:$BT$14,2))</f>
        <v>230.52050000000003</v>
      </c>
      <c r="J499" s="154"/>
      <c r="K499" s="155">
        <f>IF($E499="","",INDEX(Input!$C$16:$CP$16,1,$B499))</f>
        <v>3.15E-2</v>
      </c>
      <c r="L499" s="155">
        <f>IF($E499="","",Input!$C$37)</f>
        <v>1.4999999999999999E-2</v>
      </c>
      <c r="M499" s="155">
        <f t="shared" si="287"/>
        <v>4.65E-2</v>
      </c>
      <c r="N499" s="155">
        <f t="shared" si="288"/>
        <v>3.7947872834442897E-3</v>
      </c>
      <c r="O499" s="147">
        <f>IF($E499="","",MIN(VLOOKUP(IF($B499&lt;=Input!$C$7,$B499,26),'Mortality Tables'!$A$41:$CW$67,IF($B499&lt;=Input!$C$7+1,Input!$C$4+2,$D499-Input!$C$7+2),0)*IF(B499&gt;20,Input!$C$22,1)/1000,1))</f>
        <v>0.25994160000000005</v>
      </c>
      <c r="P499" s="147">
        <f>IF($E499="","",MIN(VLOOKUP(IF($B499&lt;=Input!$C$7,$B499,26),'Mortality Tables'!$A$12:$CW$37,IF($B499&lt;=Input!$C$7+1,Input!$C$4+2,$D499-Input!$C$7+2),0)*IF(B499&gt;20,Input!$C$22,1)/1000,1))</f>
        <v>0.32492700000000002</v>
      </c>
      <c r="Q499" s="155">
        <f>IF($E499="","",Input!$C$21)</f>
        <v>5.0000000000000001E-3</v>
      </c>
      <c r="R499" s="159">
        <f>IF($E499="","",(1-Q499)^($F499-Input!$C$20))</f>
        <v>0.81422852041756122</v>
      </c>
      <c r="S499" s="147">
        <f t="shared" si="290"/>
        <v>0.21165186436297356</v>
      </c>
      <c r="T499" s="147">
        <f t="shared" si="291"/>
        <v>1.9622872649482259E-2</v>
      </c>
      <c r="U499" s="160">
        <f>IF($E499="","",IF($C499=12,INDEX(Input!$C$15:$CP$15,1,$B499),0))</f>
        <v>0</v>
      </c>
      <c r="V499" s="150">
        <f>IF(E499="","",IF(C499=1,IF($B499=1,Input!$C$33,Input!$C$34),0))</f>
        <v>0</v>
      </c>
      <c r="W499" s="156">
        <f>IF($E499="","",Input!$C$35)</f>
        <v>0.02</v>
      </c>
      <c r="X499" s="156">
        <f t="shared" si="289"/>
        <v>2.252200456887151</v>
      </c>
      <c r="Y499" s="154"/>
      <c r="Z499" s="147">
        <f>IF($E499="","",VLOOKUP($D499,'Mortality Margins &amp; Grading'!$AB$5:$AF$125,3,0)*IF(Summary!$D$25="Included Margin",IF(AND($B499&gt;Input!$C$9,Summary!$D$31&lt;&gt;"Included Margin"),0,1),0))</f>
        <v>2.3E-2</v>
      </c>
      <c r="AA499" s="147">
        <f>IF($E499="","",VLOOKUP($D499,'Mortality Margins &amp; Grading'!$AB$5:$AF$125,5,0)*IF(Summary!$D$25="Included Margin",IF(AND($B499&gt;Input!$C$9,Summary!$D$31&lt;&gt;"Included Margin"),0,1),0))</f>
        <v>0.11899999999999999</v>
      </c>
      <c r="AB499" s="147">
        <f>IF($E499="","",IF(AND($B499&gt;Input!$C$9,Summary!$D$31&lt;&gt;"Included Margin"),1,IF(Summary!$D$25="Included Margin",VLOOKUP($B499,'Mortality Margins &amp; Grading'!$AI$5:$AR$125,MATCH('Mortality Margins &amp; Grading'!$AQ$4,'Mortality Margins &amp; Grading'!$AI$4:$AR$4,0),0),1)))</f>
        <v>0.1875</v>
      </c>
      <c r="AC499" s="154"/>
      <c r="AD499" s="158">
        <f>IF(E499="","",Input!$C$48*IF(Summary!$D$30="Included Margin",IF(AND($B499&gt;Input!$C$9,Summary!$D$31&lt;&gt;"Included Margin"),0,1),0))</f>
        <v>-4.4999999999999997E-3</v>
      </c>
      <c r="AE499" s="159">
        <f>IF(E499="","",IF(Summary!$D$26="Included Margin",IF(AND($B499&gt;Input!$C$9,Summary!$D$31&lt;&gt;"Included Margin"),1,1/$R499),1))</f>
        <v>1.2281564387933372</v>
      </c>
      <c r="AF499" s="160">
        <f>IF(E499="","",IF(AND($B499&gt;=Input!$C$9,$C499=12,Summary!$D$31="Included Margin",$U499&gt;0),1/U499-1,IF($B499&gt;=Input!$C$9,0,Input!$C$45*IF(Summary!$D$27="Included Margin",1,0))))</f>
        <v>0</v>
      </c>
      <c r="AG499" s="160">
        <f>IF(E499="","",Input!$C$46*IF(Summary!$D$28="Included Margin",IF(AND($B499&gt;Input!$C$9,Summary!$D$31&lt;&gt;"Included Margin"),0,1),0))</f>
        <v>0.02</v>
      </c>
      <c r="AH499" s="158">
        <f>IF(E499="","",Input!$C$47*IF(Summary!$D$29="Included Margin",IF(AND($B499&gt;Input!$C$9,Summary!$D$31&lt;&gt;"Included Margin"),0,1),0))</f>
        <v>2.5000000000000001E-3</v>
      </c>
      <c r="AI499" s="154"/>
      <c r="AJ499" s="158">
        <f t="shared" si="312"/>
        <v>4.2000000000000003E-2</v>
      </c>
      <c r="AK499" s="155">
        <f t="shared" si="313"/>
        <v>3.4343792900468628E-3</v>
      </c>
      <c r="AL499" s="147">
        <f t="shared" si="314"/>
        <v>0.34527961496250004</v>
      </c>
      <c r="AM499" s="147">
        <f t="shared" si="292"/>
        <v>3.4679960649332542E-2</v>
      </c>
      <c r="AN499" s="160">
        <f t="shared" si="315"/>
        <v>0</v>
      </c>
      <c r="AO499" s="161">
        <f t="shared" si="316"/>
        <v>0</v>
      </c>
      <c r="AP499" s="156">
        <f t="shared" si="293"/>
        <v>2.4899807171436357</v>
      </c>
      <c r="AQ499" s="152"/>
      <c r="AR499" s="162">
        <f t="shared" si="294"/>
        <v>29264.301946256255</v>
      </c>
      <c r="AS499" s="150">
        <f t="shared" si="317"/>
        <v>0</v>
      </c>
      <c r="AT499" s="163">
        <f t="shared" si="295"/>
        <v>0</v>
      </c>
      <c r="AU499" s="163">
        <f t="shared" si="296"/>
        <v>3467.9960649332543</v>
      </c>
      <c r="AV499" s="163">
        <f t="shared" si="318"/>
        <v>94.549505610215192</v>
      </c>
      <c r="AW499" s="163">
        <f t="shared" si="297"/>
        <v>930.15182885598085</v>
      </c>
      <c r="AX499" s="163">
        <f t="shared" si="298"/>
        <v>0</v>
      </c>
      <c r="AY499" s="164">
        <f t="shared" si="319"/>
        <v>26821.007215789199</v>
      </c>
      <c r="AZ499" s="164">
        <f>IF($E499="","",IF(OR(AND($D499=Input!$C$6,$C499=12),$AN499=1),0,-AS500+AT500+AU500-AV500-AW500-AX500+AZ500))</f>
        <v>26821.017424478618</v>
      </c>
      <c r="BA499" s="154">
        <f t="shared" si="299"/>
        <v>1.0208689418504946E-2</v>
      </c>
      <c r="BC499" s="147">
        <f t="shared" si="320"/>
        <v>1.8452592173082212E-3</v>
      </c>
      <c r="BD499" s="164">
        <f>IF(AND($C498=12,$D498=Input!$C$6),0,IF($E499="","",AT499+(AU499+BD500)/(1+$AK499)*MIN((1-AM499-AN499),1)))</f>
        <v>24924.817281698524</v>
      </c>
      <c r="BE499" s="164">
        <f t="shared" si="300"/>
        <v>45.992748828777444</v>
      </c>
      <c r="BF499" s="164">
        <f t="shared" si="321"/>
        <v>26821.017424478618</v>
      </c>
      <c r="BG499" s="164">
        <f t="shared" si="301"/>
        <v>49.491729620103577</v>
      </c>
      <c r="BH499" s="152"/>
      <c r="BI499" s="162">
        <f t="shared" si="302"/>
        <v>11113.976415869922</v>
      </c>
      <c r="BJ499" s="150">
        <f t="shared" si="303"/>
        <v>0</v>
      </c>
      <c r="BK499" s="163">
        <f t="shared" si="325"/>
        <v>0</v>
      </c>
      <c r="BL499" s="163">
        <f t="shared" si="304"/>
        <v>1962.2872649482258</v>
      </c>
      <c r="BM499" s="163">
        <f t="shared" si="326"/>
        <v>38.451944991697822</v>
      </c>
      <c r="BN499" s="163">
        <f t="shared" si="305"/>
        <v>183.9466687735129</v>
      </c>
      <c r="BO499" s="163">
        <f t="shared" si="306"/>
        <v>0</v>
      </c>
      <c r="BP499" s="164">
        <f t="shared" si="327"/>
        <v>9374.0877646869067</v>
      </c>
      <c r="BQ499" s="164">
        <f>IF($E499="","",IF(AND($D499=Input!$C$6,$C499=12),0,-BJ500+BK500+BL500-BM500-BN500-BO500+BQ500))</f>
        <v>9374.0948157438233</v>
      </c>
      <c r="BR499" s="161">
        <f t="shared" si="307"/>
        <v>0</v>
      </c>
      <c r="BT499" s="147">
        <f t="shared" si="308"/>
        <v>1.8452592173082212E-3</v>
      </c>
      <c r="BU499" s="164">
        <f>IF(AND($C498=12,$D498=Input!$C$6),0,IF($E499="","",BK499+(BL499+BU500)/(1+$AK499)*MIN((1-T499-U499),1)))</f>
        <v>67320.237906652896</v>
      </c>
      <c r="BV499" s="164">
        <f t="shared" si="309"/>
        <v>124.22328950863357</v>
      </c>
      <c r="BW499" s="164">
        <f t="shared" si="310"/>
        <v>9374.0948157438233</v>
      </c>
      <c r="BX499" s="164">
        <f t="shared" si="311"/>
        <v>17.297634862672503</v>
      </c>
    </row>
    <row r="500" spans="1:76" s="150" customFormat="1" x14ac:dyDescent="0.25">
      <c r="A500" s="150">
        <f t="shared" si="322"/>
        <v>496</v>
      </c>
      <c r="B500" s="150">
        <f t="shared" si="323"/>
        <v>42</v>
      </c>
      <c r="C500" s="150">
        <f t="shared" si="324"/>
        <v>4</v>
      </c>
      <c r="D500" s="150">
        <f>IF(E500="","",Input!$C$4+B500-1)</f>
        <v>86</v>
      </c>
      <c r="E500" s="150">
        <f>IF(OR(AND(C499=12,D499=Input!$C$6),E499=""),"",1)</f>
        <v>1</v>
      </c>
      <c r="F500" s="150">
        <f>IF(E500="","",Input!$C$8+B500-1)</f>
        <v>2059</v>
      </c>
      <c r="G500" s="151">
        <f>IF(E500="","",MAX(0,Input!$C$9-B500))</f>
        <v>0</v>
      </c>
      <c r="H500" s="152">
        <f>IF(E500="","",Input!$C$3)</f>
        <v>100000</v>
      </c>
      <c r="I500" s="153">
        <f>IF(E500="","",HLOOKUP($B500,Input!$C$13:$BT$14,2))</f>
        <v>230.52050000000003</v>
      </c>
      <c r="J500" s="154"/>
      <c r="K500" s="155">
        <f>IF($E500="","",INDEX(Input!$C$16:$CP$16,1,$B500))</f>
        <v>3.15E-2</v>
      </c>
      <c r="L500" s="155">
        <f>IF($E500="","",Input!$C$37)</f>
        <v>1.4999999999999999E-2</v>
      </c>
      <c r="M500" s="155">
        <f t="shared" si="287"/>
        <v>4.65E-2</v>
      </c>
      <c r="N500" s="155">
        <f t="shared" si="288"/>
        <v>3.7947872834442897E-3</v>
      </c>
      <c r="O500" s="147">
        <f>IF($E500="","",MIN(VLOOKUP(IF($B500&lt;=Input!$C$7,$B500,26),'Mortality Tables'!$A$41:$CW$67,IF($B500&lt;=Input!$C$7+1,Input!$C$4+2,$D500-Input!$C$7+2),0)*IF(B500&gt;20,Input!$C$22,1)/1000,1))</f>
        <v>0.25994160000000005</v>
      </c>
      <c r="P500" s="147">
        <f>IF($E500="","",MIN(VLOOKUP(IF($B500&lt;=Input!$C$7,$B500,26),'Mortality Tables'!$A$12:$CW$37,IF($B500&lt;=Input!$C$7+1,Input!$C$4+2,$D500-Input!$C$7+2),0)*IF(B500&gt;20,Input!$C$22,1)/1000,1))</f>
        <v>0.32492700000000002</v>
      </c>
      <c r="Q500" s="155">
        <f>IF($E500="","",Input!$C$21)</f>
        <v>5.0000000000000001E-3</v>
      </c>
      <c r="R500" s="159">
        <f>IF($E500="","",(1-Q500)^($F500-Input!$C$20))</f>
        <v>0.81422852041756122</v>
      </c>
      <c r="S500" s="147">
        <f t="shared" si="290"/>
        <v>0.21165186436297356</v>
      </c>
      <c r="T500" s="147">
        <f t="shared" si="291"/>
        <v>1.9622872649482259E-2</v>
      </c>
      <c r="U500" s="160">
        <f>IF($E500="","",IF($C500=12,INDEX(Input!$C$15:$CP$15,1,$B500),0))</f>
        <v>0</v>
      </c>
      <c r="V500" s="150">
        <f>IF(E500="","",IF(C500=1,IF($B500=1,Input!$C$33,Input!$C$34),0))</f>
        <v>0</v>
      </c>
      <c r="W500" s="156">
        <f>IF($E500="","",Input!$C$35)</f>
        <v>0.02</v>
      </c>
      <c r="X500" s="156">
        <f t="shared" si="289"/>
        <v>2.252200456887151</v>
      </c>
      <c r="Y500" s="154"/>
      <c r="Z500" s="147">
        <f>IF($E500="","",VLOOKUP($D500,'Mortality Margins &amp; Grading'!$AB$5:$AF$125,3,0)*IF(Summary!$D$25="Included Margin",IF(AND($B500&gt;Input!$C$9,Summary!$D$31&lt;&gt;"Included Margin"),0,1),0))</f>
        <v>2.3E-2</v>
      </c>
      <c r="AA500" s="147">
        <f>IF($E500="","",VLOOKUP($D500,'Mortality Margins &amp; Grading'!$AB$5:$AF$125,5,0)*IF(Summary!$D$25="Included Margin",IF(AND($B500&gt;Input!$C$9,Summary!$D$31&lt;&gt;"Included Margin"),0,1),0))</f>
        <v>0.11899999999999999</v>
      </c>
      <c r="AB500" s="147">
        <f>IF($E500="","",IF(AND($B500&gt;Input!$C$9,Summary!$D$31&lt;&gt;"Included Margin"),1,IF(Summary!$D$25="Included Margin",VLOOKUP($B500,'Mortality Margins &amp; Grading'!$AI$5:$AR$125,MATCH('Mortality Margins &amp; Grading'!$AQ$4,'Mortality Margins &amp; Grading'!$AI$4:$AR$4,0),0),1)))</f>
        <v>0.1875</v>
      </c>
      <c r="AC500" s="154"/>
      <c r="AD500" s="158">
        <f>IF(E500="","",Input!$C$48*IF(Summary!$D$30="Included Margin",IF(AND($B500&gt;Input!$C$9,Summary!$D$31&lt;&gt;"Included Margin"),0,1),0))</f>
        <v>-4.4999999999999997E-3</v>
      </c>
      <c r="AE500" s="159">
        <f>IF(E500="","",IF(Summary!$D$26="Included Margin",IF(AND($B500&gt;Input!$C$9,Summary!$D$31&lt;&gt;"Included Margin"),1,1/$R500),1))</f>
        <v>1.2281564387933372</v>
      </c>
      <c r="AF500" s="160">
        <f>IF(E500="","",IF(AND($B500&gt;=Input!$C$9,$C500=12,Summary!$D$31="Included Margin",$U500&gt;0),1/U500-1,IF($B500&gt;=Input!$C$9,0,Input!$C$45*IF(Summary!$D$27="Included Margin",1,0))))</f>
        <v>0</v>
      </c>
      <c r="AG500" s="160">
        <f>IF(E500="","",Input!$C$46*IF(Summary!$D$28="Included Margin",IF(AND($B500&gt;Input!$C$9,Summary!$D$31&lt;&gt;"Included Margin"),0,1),0))</f>
        <v>0.02</v>
      </c>
      <c r="AH500" s="158">
        <f>IF(E500="","",Input!$C$47*IF(Summary!$D$29="Included Margin",IF(AND($B500&gt;Input!$C$9,Summary!$D$31&lt;&gt;"Included Margin"),0,1),0))</f>
        <v>2.5000000000000001E-3</v>
      </c>
      <c r="AI500" s="154"/>
      <c r="AJ500" s="158">
        <f t="shared" si="312"/>
        <v>4.2000000000000003E-2</v>
      </c>
      <c r="AK500" s="155">
        <f t="shared" si="313"/>
        <v>3.4343792900468628E-3</v>
      </c>
      <c r="AL500" s="147">
        <f t="shared" si="314"/>
        <v>0.34527961496250004</v>
      </c>
      <c r="AM500" s="147">
        <f t="shared" si="292"/>
        <v>3.4679960649332542E-2</v>
      </c>
      <c r="AN500" s="160">
        <f t="shared" si="315"/>
        <v>0</v>
      </c>
      <c r="AO500" s="161">
        <f t="shared" si="316"/>
        <v>0</v>
      </c>
      <c r="AP500" s="156">
        <f t="shared" si="293"/>
        <v>2.4899807171436357</v>
      </c>
      <c r="AQ500" s="152"/>
      <c r="AR500" s="162">
        <f t="shared" si="294"/>
        <v>26821.007215789195</v>
      </c>
      <c r="AS500" s="150">
        <f t="shared" si="317"/>
        <v>0</v>
      </c>
      <c r="AT500" s="163">
        <f t="shared" si="295"/>
        <v>0</v>
      </c>
      <c r="AU500" s="163">
        <f t="shared" si="296"/>
        <v>3467.9960649332543</v>
      </c>
      <c r="AV500" s="163">
        <f t="shared" si="318"/>
        <v>86.158304788418491</v>
      </c>
      <c r="AW500" s="163">
        <f t="shared" si="297"/>
        <v>842.07288285294112</v>
      </c>
      <c r="AX500" s="163">
        <f t="shared" si="298"/>
        <v>0</v>
      </c>
      <c r="AY500" s="165">
        <f t="shared" si="319"/>
        <v>24281.242338497304</v>
      </c>
      <c r="AZ500" s="164">
        <f>IF($E500="","",IF(OR(AND($D500=Input!$C$6,$C500=12),$AN500=1),0,-AS501+AT501+AU501-AV501-AW501-AX501+AZ501))</f>
        <v>24281.252547186723</v>
      </c>
      <c r="BA500" s="154">
        <f t="shared" si="299"/>
        <v>1.0208689418504946E-2</v>
      </c>
      <c r="BC500" s="147">
        <f t="shared" si="320"/>
        <v>1.8090499306816987E-3</v>
      </c>
      <c r="BD500" s="164">
        <f>IF(AND($C499=12,$D499=Input!$C$6),0,IF($E500="","",AT500+(AU500+BD501)/(1+$AK500)*MIN((1-AM500-AN500),1)))</f>
        <v>22440.943497538185</v>
      </c>
      <c r="BE500" s="164">
        <f t="shared" si="300"/>
        <v>40.596787278653366</v>
      </c>
      <c r="BF500" s="164">
        <f t="shared" si="321"/>
        <v>24281.252547186723</v>
      </c>
      <c r="BG500" s="164">
        <f t="shared" si="301"/>
        <v>43.925998237352964</v>
      </c>
      <c r="BH500" s="152"/>
      <c r="BI500" s="162">
        <f t="shared" si="302"/>
        <v>9374.0877646869067</v>
      </c>
      <c r="BJ500" s="150">
        <f t="shared" si="303"/>
        <v>0</v>
      </c>
      <c r="BK500" s="163">
        <f t="shared" si="325"/>
        <v>0</v>
      </c>
      <c r="BL500" s="163">
        <f t="shared" si="304"/>
        <v>1962.2872649482258</v>
      </c>
      <c r="BM500" s="163">
        <f t="shared" si="326"/>
        <v>31.849437663579476</v>
      </c>
      <c r="BN500" s="163">
        <f t="shared" si="305"/>
        <v>148.98953581843367</v>
      </c>
      <c r="BO500" s="163">
        <f t="shared" si="306"/>
        <v>0</v>
      </c>
      <c r="BP500" s="164">
        <f t="shared" si="327"/>
        <v>7592.6394732206945</v>
      </c>
      <c r="BQ500" s="164">
        <f>IF($E500="","",IF(AND($D500=Input!$C$6,$C500=12),0,-BJ501+BK501+BL501-BM501-BN501-BO501+BQ501))</f>
        <v>7592.6465242776112</v>
      </c>
      <c r="BR500" s="161">
        <f t="shared" si="307"/>
        <v>0</v>
      </c>
      <c r="BT500" s="147">
        <f t="shared" si="308"/>
        <v>1.8090499306816987E-3</v>
      </c>
      <c r="BU500" s="164">
        <f>IF(AND($C499=12,$D499=Input!$C$6),0,IF($E500="","",BK500+(BL500+BU501)/(1+$AK500)*MIN((1-T500-U500),1)))</f>
        <v>66941.238993440929</v>
      </c>
      <c r="BV500" s="164">
        <f t="shared" si="309"/>
        <v>121.10004376083134</v>
      </c>
      <c r="BW500" s="164">
        <f t="shared" si="310"/>
        <v>7592.6465242776112</v>
      </c>
      <c r="BX500" s="164">
        <f t="shared" si="311"/>
        <v>13.735476668435053</v>
      </c>
    </row>
    <row r="501" spans="1:76" s="150" customFormat="1" x14ac:dyDescent="0.25">
      <c r="A501" s="150">
        <f t="shared" si="322"/>
        <v>497</v>
      </c>
      <c r="B501" s="150">
        <f t="shared" si="323"/>
        <v>42</v>
      </c>
      <c r="C501" s="150">
        <f t="shared" si="324"/>
        <v>5</v>
      </c>
      <c r="D501" s="150">
        <f>IF(E501="","",Input!$C$4+B501-1)</f>
        <v>86</v>
      </c>
      <c r="E501" s="150">
        <f>IF(OR(AND(C500=12,D500=Input!$C$6),E500=""),"",1)</f>
        <v>1</v>
      </c>
      <c r="F501" s="150">
        <f>IF(E501="","",Input!$C$8+B501-1)</f>
        <v>2059</v>
      </c>
      <c r="G501" s="151">
        <f>IF(E501="","",MAX(0,Input!$C$9-B501))</f>
        <v>0</v>
      </c>
      <c r="H501" s="152">
        <f>IF(E501="","",Input!$C$3)</f>
        <v>100000</v>
      </c>
      <c r="I501" s="153">
        <f>IF(E501="","",HLOOKUP($B501,Input!$C$13:$BT$14,2))</f>
        <v>230.52050000000003</v>
      </c>
      <c r="J501" s="154"/>
      <c r="K501" s="155">
        <f>IF($E501="","",INDEX(Input!$C$16:$CP$16,1,$B501))</f>
        <v>3.15E-2</v>
      </c>
      <c r="L501" s="155">
        <f>IF($E501="","",Input!$C$37)</f>
        <v>1.4999999999999999E-2</v>
      </c>
      <c r="M501" s="155">
        <f t="shared" ref="M501:M564" si="328">IF($E501="","",K501+L501)</f>
        <v>4.65E-2</v>
      </c>
      <c r="N501" s="155">
        <f t="shared" ref="N501:N564" si="329">IF($E501="","",(1+M501)^(1/12)-1)</f>
        <v>3.7947872834442897E-3</v>
      </c>
      <c r="O501" s="147">
        <f>IF($E501="","",MIN(VLOOKUP(IF($B501&lt;=Input!$C$7,$B501,26),'Mortality Tables'!$A$41:$CW$67,IF($B501&lt;=Input!$C$7+1,Input!$C$4+2,$D501-Input!$C$7+2),0)*IF(B501&gt;20,Input!$C$22,1)/1000,1))</f>
        <v>0.25994160000000005</v>
      </c>
      <c r="P501" s="147">
        <f>IF($E501="","",MIN(VLOOKUP(IF($B501&lt;=Input!$C$7,$B501,26),'Mortality Tables'!$A$12:$CW$37,IF($B501&lt;=Input!$C$7+1,Input!$C$4+2,$D501-Input!$C$7+2),0)*IF(B501&gt;20,Input!$C$22,1)/1000,1))</f>
        <v>0.32492700000000002</v>
      </c>
      <c r="Q501" s="155">
        <f>IF($E501="","",Input!$C$21)</f>
        <v>5.0000000000000001E-3</v>
      </c>
      <c r="R501" s="159">
        <f>IF($E501="","",(1-Q501)^($F501-Input!$C$20))</f>
        <v>0.81422852041756122</v>
      </c>
      <c r="S501" s="147">
        <f t="shared" si="290"/>
        <v>0.21165186436297356</v>
      </c>
      <c r="T501" s="147">
        <f t="shared" si="291"/>
        <v>1.9622872649482259E-2</v>
      </c>
      <c r="U501" s="160">
        <f>IF($E501="","",IF($C501=12,INDEX(Input!$C$15:$CP$15,1,$B501),0))</f>
        <v>0</v>
      </c>
      <c r="V501" s="150">
        <f>IF(E501="","",IF(C501=1,IF($B501=1,Input!$C$33,Input!$C$34),0))</f>
        <v>0</v>
      </c>
      <c r="W501" s="156">
        <f>IF($E501="","",Input!$C$35)</f>
        <v>0.02</v>
      </c>
      <c r="X501" s="156">
        <f t="shared" ref="X501:X564" si="330">IF($E501="","",IF(B501=1,1,IF(C501=1,(1+W501)*X500,X500)))</f>
        <v>2.252200456887151</v>
      </c>
      <c r="Y501" s="154"/>
      <c r="Z501" s="147">
        <f>IF($E501="","",VLOOKUP($D501,'Mortality Margins &amp; Grading'!$AB$5:$AF$125,3,0)*IF(Summary!$D$25="Included Margin",IF(AND($B501&gt;Input!$C$9,Summary!$D$31&lt;&gt;"Included Margin"),0,1),0))</f>
        <v>2.3E-2</v>
      </c>
      <c r="AA501" s="147">
        <f>IF($E501="","",VLOOKUP($D501,'Mortality Margins &amp; Grading'!$AB$5:$AF$125,5,0)*IF(Summary!$D$25="Included Margin",IF(AND($B501&gt;Input!$C$9,Summary!$D$31&lt;&gt;"Included Margin"),0,1),0))</f>
        <v>0.11899999999999999</v>
      </c>
      <c r="AB501" s="147">
        <f>IF($E501="","",IF(AND($B501&gt;Input!$C$9,Summary!$D$31&lt;&gt;"Included Margin"),1,IF(Summary!$D$25="Included Margin",VLOOKUP($B501,'Mortality Margins &amp; Grading'!$AI$5:$AR$125,MATCH('Mortality Margins &amp; Grading'!$AQ$4,'Mortality Margins &amp; Grading'!$AI$4:$AR$4,0),0),1)))</f>
        <v>0.1875</v>
      </c>
      <c r="AC501" s="154"/>
      <c r="AD501" s="158">
        <f>IF(E501="","",Input!$C$48*IF(Summary!$D$30="Included Margin",IF(AND($B501&gt;Input!$C$9,Summary!$D$31&lt;&gt;"Included Margin"),0,1),0))</f>
        <v>-4.4999999999999997E-3</v>
      </c>
      <c r="AE501" s="159">
        <f>IF(E501="","",IF(Summary!$D$26="Included Margin",IF(AND($B501&gt;Input!$C$9,Summary!$D$31&lt;&gt;"Included Margin"),1,1/$R501),1))</f>
        <v>1.2281564387933372</v>
      </c>
      <c r="AF501" s="160">
        <f>IF(E501="","",IF(AND($B501&gt;=Input!$C$9,$C501=12,Summary!$D$31="Included Margin",$U501&gt;0),1/U501-1,IF($B501&gt;=Input!$C$9,0,Input!$C$45*IF(Summary!$D$27="Included Margin",1,0))))</f>
        <v>0</v>
      </c>
      <c r="AG501" s="160">
        <f>IF(E501="","",Input!$C$46*IF(Summary!$D$28="Included Margin",IF(AND($B501&gt;Input!$C$9,Summary!$D$31&lt;&gt;"Included Margin"),0,1),0))</f>
        <v>0.02</v>
      </c>
      <c r="AH501" s="158">
        <f>IF(E501="","",Input!$C$47*IF(Summary!$D$29="Included Margin",IF(AND($B501&gt;Input!$C$9,Summary!$D$31&lt;&gt;"Included Margin"),0,1),0))</f>
        <v>2.5000000000000001E-3</v>
      </c>
      <c r="AI501" s="154"/>
      <c r="AJ501" s="158">
        <f t="shared" si="312"/>
        <v>4.2000000000000003E-2</v>
      </c>
      <c r="AK501" s="155">
        <f t="shared" si="313"/>
        <v>3.4343792900468628E-3</v>
      </c>
      <c r="AL501" s="147">
        <f t="shared" si="314"/>
        <v>0.34527961496250004</v>
      </c>
      <c r="AM501" s="147">
        <f t="shared" si="292"/>
        <v>3.4679960649332542E-2</v>
      </c>
      <c r="AN501" s="160">
        <f t="shared" si="315"/>
        <v>0</v>
      </c>
      <c r="AO501" s="161">
        <f t="shared" si="316"/>
        <v>0</v>
      </c>
      <c r="AP501" s="156">
        <f t="shared" si="293"/>
        <v>2.4899807171436357</v>
      </c>
      <c r="AQ501" s="152"/>
      <c r="AR501" s="162">
        <f t="shared" si="294"/>
        <v>24281.242338497301</v>
      </c>
      <c r="AS501" s="150">
        <f t="shared" si="317"/>
        <v>0</v>
      </c>
      <c r="AT501" s="163">
        <f t="shared" si="295"/>
        <v>0</v>
      </c>
      <c r="AU501" s="163">
        <f t="shared" si="296"/>
        <v>3467.9960649332543</v>
      </c>
      <c r="AV501" s="163">
        <f t="shared" si="318"/>
        <v>77.435788892258785</v>
      </c>
      <c r="AW501" s="163">
        <f t="shared" si="297"/>
        <v>750.51626027362272</v>
      </c>
      <c r="AX501" s="163">
        <f t="shared" si="298"/>
        <v>0</v>
      </c>
      <c r="AY501" s="164">
        <f t="shared" si="319"/>
        <v>21641.198322729932</v>
      </c>
      <c r="AZ501" s="164">
        <f>IF($E501="","",IF(OR(AND($D501=Input!$C$6,$C501=12),$AN501=1),0,-AS502+AT502+AU502-AV502-AW502-AX502+AZ502))</f>
        <v>21641.20853141935</v>
      </c>
      <c r="BA501" s="154">
        <f t="shared" si="299"/>
        <v>1.0208689418504946E-2</v>
      </c>
      <c r="BC501" s="147">
        <f t="shared" si="320"/>
        <v>1.7735511742753771E-3</v>
      </c>
      <c r="BD501" s="164">
        <f>IF(AND($C500=12,$D500=Input!$C$6),0,IF($E501="","",AT501+(AU501+BD502)/(1+$AK501)*MIN((1-AM501-AN501),1)))</f>
        <v>19858.997358182893</v>
      </c>
      <c r="BE501" s="164">
        <f t="shared" si="300"/>
        <v>35.220948084536879</v>
      </c>
      <c r="BF501" s="164">
        <f t="shared" si="321"/>
        <v>21641.20853141935</v>
      </c>
      <c r="BG501" s="164">
        <f t="shared" si="301"/>
        <v>38.381790803637095</v>
      </c>
      <c r="BH501" s="152"/>
      <c r="BI501" s="162">
        <f t="shared" si="302"/>
        <v>7592.6394732206945</v>
      </c>
      <c r="BJ501" s="150">
        <f t="shared" si="303"/>
        <v>0</v>
      </c>
      <c r="BK501" s="163">
        <f t="shared" si="325"/>
        <v>0</v>
      </c>
      <c r="BL501" s="163">
        <f t="shared" si="304"/>
        <v>1962.2872649482258</v>
      </c>
      <c r="BM501" s="163">
        <f t="shared" si="326"/>
        <v>25.089220341009941</v>
      </c>
      <c r="BN501" s="163">
        <f t="shared" si="305"/>
        <v>113.19740352592143</v>
      </c>
      <c r="BO501" s="163">
        <f t="shared" si="306"/>
        <v>0</v>
      </c>
      <c r="BP501" s="164">
        <f t="shared" si="327"/>
        <v>5768.6388321394006</v>
      </c>
      <c r="BQ501" s="164">
        <f>IF($E501="","",IF(AND($D501=Input!$C$6,$C501=12),0,-BJ502+BK502+BL502-BM502-BN502-BO502+BQ502))</f>
        <v>5768.6458831963164</v>
      </c>
      <c r="BR501" s="161">
        <f t="shared" si="307"/>
        <v>0</v>
      </c>
      <c r="BT501" s="147">
        <f t="shared" si="308"/>
        <v>1.7735511742753771E-3</v>
      </c>
      <c r="BU501" s="164">
        <f>IF(AND($C500=12,$D500=Input!$C$6),0,IF($E501="","",BK501+(BL501+BU502)/(1+$AK501)*MIN((1-T501-U501),1)))</f>
        <v>66553.326496687529</v>
      </c>
      <c r="BV501" s="164">
        <f t="shared" si="309"/>
        <v>118.03573036013273</v>
      </c>
      <c r="BW501" s="164">
        <f t="shared" si="310"/>
        <v>5768.6458831963164</v>
      </c>
      <c r="BX501" s="164">
        <f t="shared" si="311"/>
        <v>10.230988680121646</v>
      </c>
    </row>
    <row r="502" spans="1:76" s="150" customFormat="1" x14ac:dyDescent="0.25">
      <c r="A502" s="150">
        <f t="shared" si="322"/>
        <v>498</v>
      </c>
      <c r="B502" s="150">
        <f t="shared" si="323"/>
        <v>42</v>
      </c>
      <c r="C502" s="150">
        <f t="shared" si="324"/>
        <v>6</v>
      </c>
      <c r="D502" s="150">
        <f>IF(E502="","",Input!$C$4+B502-1)</f>
        <v>86</v>
      </c>
      <c r="E502" s="150">
        <f>IF(OR(AND(C501=12,D501=Input!$C$6),E501=""),"",1)</f>
        <v>1</v>
      </c>
      <c r="F502" s="150">
        <f>IF(E502="","",Input!$C$8+B502-1)</f>
        <v>2059</v>
      </c>
      <c r="G502" s="151">
        <f>IF(E502="","",MAX(0,Input!$C$9-B502))</f>
        <v>0</v>
      </c>
      <c r="H502" s="152">
        <f>IF(E502="","",Input!$C$3)</f>
        <v>100000</v>
      </c>
      <c r="I502" s="153">
        <f>IF(E502="","",HLOOKUP($B502,Input!$C$13:$BT$14,2))</f>
        <v>230.52050000000003</v>
      </c>
      <c r="J502" s="154"/>
      <c r="K502" s="155">
        <f>IF($E502="","",INDEX(Input!$C$16:$CP$16,1,$B502))</f>
        <v>3.15E-2</v>
      </c>
      <c r="L502" s="155">
        <f>IF($E502="","",Input!$C$37)</f>
        <v>1.4999999999999999E-2</v>
      </c>
      <c r="M502" s="155">
        <f t="shared" si="328"/>
        <v>4.65E-2</v>
      </c>
      <c r="N502" s="155">
        <f t="shared" si="329"/>
        <v>3.7947872834442897E-3</v>
      </c>
      <c r="O502" s="147">
        <f>IF($E502="","",MIN(VLOOKUP(IF($B502&lt;=Input!$C$7,$B502,26),'Mortality Tables'!$A$41:$CW$67,IF($B502&lt;=Input!$C$7+1,Input!$C$4+2,$D502-Input!$C$7+2),0)*IF(B502&gt;20,Input!$C$22,1)/1000,1))</f>
        <v>0.25994160000000005</v>
      </c>
      <c r="P502" s="147">
        <f>IF($E502="","",MIN(VLOOKUP(IF($B502&lt;=Input!$C$7,$B502,26),'Mortality Tables'!$A$12:$CW$37,IF($B502&lt;=Input!$C$7+1,Input!$C$4+2,$D502-Input!$C$7+2),0)*IF(B502&gt;20,Input!$C$22,1)/1000,1))</f>
        <v>0.32492700000000002</v>
      </c>
      <c r="Q502" s="155">
        <f>IF($E502="","",Input!$C$21)</f>
        <v>5.0000000000000001E-3</v>
      </c>
      <c r="R502" s="159">
        <f>IF($E502="","",(1-Q502)^($F502-Input!$C$20))</f>
        <v>0.81422852041756122</v>
      </c>
      <c r="S502" s="147">
        <f t="shared" si="290"/>
        <v>0.21165186436297356</v>
      </c>
      <c r="T502" s="147">
        <f t="shared" si="291"/>
        <v>1.9622872649482259E-2</v>
      </c>
      <c r="U502" s="160">
        <f>IF($E502="","",IF($C502=12,INDEX(Input!$C$15:$CP$15,1,$B502),0))</f>
        <v>0</v>
      </c>
      <c r="V502" s="150">
        <f>IF(E502="","",IF(C502=1,IF($B502=1,Input!$C$33,Input!$C$34),0))</f>
        <v>0</v>
      </c>
      <c r="W502" s="156">
        <f>IF($E502="","",Input!$C$35)</f>
        <v>0.02</v>
      </c>
      <c r="X502" s="156">
        <f t="shared" si="330"/>
        <v>2.252200456887151</v>
      </c>
      <c r="Y502" s="154"/>
      <c r="Z502" s="147">
        <f>IF($E502="","",VLOOKUP($D502,'Mortality Margins &amp; Grading'!$AB$5:$AF$125,3,0)*IF(Summary!$D$25="Included Margin",IF(AND($B502&gt;Input!$C$9,Summary!$D$31&lt;&gt;"Included Margin"),0,1),0))</f>
        <v>2.3E-2</v>
      </c>
      <c r="AA502" s="147">
        <f>IF($E502="","",VLOOKUP($D502,'Mortality Margins &amp; Grading'!$AB$5:$AF$125,5,0)*IF(Summary!$D$25="Included Margin",IF(AND($B502&gt;Input!$C$9,Summary!$D$31&lt;&gt;"Included Margin"),0,1),0))</f>
        <v>0.11899999999999999</v>
      </c>
      <c r="AB502" s="147">
        <f>IF($E502="","",IF(AND($B502&gt;Input!$C$9,Summary!$D$31&lt;&gt;"Included Margin"),1,IF(Summary!$D$25="Included Margin",VLOOKUP($B502,'Mortality Margins &amp; Grading'!$AI$5:$AR$125,MATCH('Mortality Margins &amp; Grading'!$AQ$4,'Mortality Margins &amp; Grading'!$AI$4:$AR$4,0),0),1)))</f>
        <v>0.1875</v>
      </c>
      <c r="AC502" s="154"/>
      <c r="AD502" s="158">
        <f>IF(E502="","",Input!$C$48*IF(Summary!$D$30="Included Margin",IF(AND($B502&gt;Input!$C$9,Summary!$D$31&lt;&gt;"Included Margin"),0,1),0))</f>
        <v>-4.4999999999999997E-3</v>
      </c>
      <c r="AE502" s="159">
        <f>IF(E502="","",IF(Summary!$D$26="Included Margin",IF(AND($B502&gt;Input!$C$9,Summary!$D$31&lt;&gt;"Included Margin"),1,1/$R502),1))</f>
        <v>1.2281564387933372</v>
      </c>
      <c r="AF502" s="160">
        <f>IF(E502="","",IF(AND($B502&gt;=Input!$C$9,$C502=12,Summary!$D$31="Included Margin",$U502&gt;0),1/U502-1,IF($B502&gt;=Input!$C$9,0,Input!$C$45*IF(Summary!$D$27="Included Margin",1,0))))</f>
        <v>0</v>
      </c>
      <c r="AG502" s="160">
        <f>IF(E502="","",Input!$C$46*IF(Summary!$D$28="Included Margin",IF(AND($B502&gt;Input!$C$9,Summary!$D$31&lt;&gt;"Included Margin"),0,1),0))</f>
        <v>0.02</v>
      </c>
      <c r="AH502" s="158">
        <f>IF(E502="","",Input!$C$47*IF(Summary!$D$29="Included Margin",IF(AND($B502&gt;Input!$C$9,Summary!$D$31&lt;&gt;"Included Margin"),0,1),0))</f>
        <v>2.5000000000000001E-3</v>
      </c>
      <c r="AI502" s="154"/>
      <c r="AJ502" s="158">
        <f t="shared" si="312"/>
        <v>4.2000000000000003E-2</v>
      </c>
      <c r="AK502" s="155">
        <f t="shared" si="313"/>
        <v>3.4343792900468628E-3</v>
      </c>
      <c r="AL502" s="147">
        <f t="shared" si="314"/>
        <v>0.34527961496250004</v>
      </c>
      <c r="AM502" s="147">
        <f t="shared" si="292"/>
        <v>3.4679960649332542E-2</v>
      </c>
      <c r="AN502" s="160">
        <f t="shared" si="315"/>
        <v>0</v>
      </c>
      <c r="AO502" s="161">
        <f t="shared" si="316"/>
        <v>0</v>
      </c>
      <c r="AP502" s="156">
        <f t="shared" si="293"/>
        <v>2.4899807171436357</v>
      </c>
      <c r="AQ502" s="152"/>
      <c r="AR502" s="162">
        <f t="shared" si="294"/>
        <v>21641.198322729928</v>
      </c>
      <c r="AS502" s="150">
        <f t="shared" si="317"/>
        <v>0</v>
      </c>
      <c r="AT502" s="163">
        <f t="shared" si="295"/>
        <v>0</v>
      </c>
      <c r="AU502" s="163">
        <f t="shared" si="296"/>
        <v>3467.9960649332543</v>
      </c>
      <c r="AV502" s="163">
        <f t="shared" si="318"/>
        <v>68.368876399695168</v>
      </c>
      <c r="AW502" s="163">
        <f t="shared" si="297"/>
        <v>655.34464982039992</v>
      </c>
      <c r="AX502" s="163">
        <f t="shared" si="298"/>
        <v>0</v>
      </c>
      <c r="AY502" s="165">
        <f t="shared" si="319"/>
        <v>18896.915784016768</v>
      </c>
      <c r="AZ502" s="164">
        <f>IF($E502="","",IF(OR(AND($D502=Input!$C$6,$C502=12),$AN502=1),0,-AS503+AT503+AU503-AV503-AW503-AX503+AZ503))</f>
        <v>18896.92599270619</v>
      </c>
      <c r="BA502" s="154">
        <f t="shared" si="299"/>
        <v>1.0208689422142925E-2</v>
      </c>
      <c r="BC502" s="147">
        <f t="shared" si="320"/>
        <v>1.7387490054452317E-3</v>
      </c>
      <c r="BD502" s="164">
        <f>IF(AND($C501=12,$D501=Input!$C$6),0,IF($E502="","",AT502+(AU502+BD503)/(1+$AK502)*MIN((1-AM502-AN502),1)))</f>
        <v>17175.106610978426</v>
      </c>
      <c r="BE502" s="164">
        <f t="shared" si="300"/>
        <v>29.863199538254563</v>
      </c>
      <c r="BF502" s="164">
        <f t="shared" si="321"/>
        <v>18896.92599270619</v>
      </c>
      <c r="BG502" s="164">
        <f t="shared" si="301"/>
        <v>32.857011275790036</v>
      </c>
      <c r="BH502" s="152"/>
      <c r="BI502" s="162">
        <f t="shared" si="302"/>
        <v>5768.6388321393997</v>
      </c>
      <c r="BJ502" s="150">
        <f t="shared" si="303"/>
        <v>0</v>
      </c>
      <c r="BK502" s="163">
        <f t="shared" si="325"/>
        <v>0</v>
      </c>
      <c r="BL502" s="163">
        <f t="shared" si="304"/>
        <v>1962.2872649482258</v>
      </c>
      <c r="BM502" s="163">
        <f t="shared" si="326"/>
        <v>18.167525903240413</v>
      </c>
      <c r="BN502" s="163">
        <f t="shared" si="305"/>
        <v>76.550326785076805</v>
      </c>
      <c r="BO502" s="163">
        <f t="shared" si="306"/>
        <v>0</v>
      </c>
      <c r="BP502" s="164">
        <f t="shared" si="327"/>
        <v>3901.0694198794909</v>
      </c>
      <c r="BQ502" s="164">
        <f>IF($E502="","",IF(AND($D502=Input!$C$6,$C502=12),0,-BJ503+BK503+BL503-BM503-BN503-BO503+BQ503))</f>
        <v>3901.0764709364075</v>
      </c>
      <c r="BR502" s="161">
        <f t="shared" si="307"/>
        <v>0</v>
      </c>
      <c r="BT502" s="147">
        <f t="shared" si="308"/>
        <v>1.7387490054452317E-3</v>
      </c>
      <c r="BU502" s="164">
        <f>IF(AND($C501=12,$D501=Input!$C$6),0,IF($E502="","",BK502+(BL502+BU503)/(1+$AK502)*MIN((1-T502-U502),1)))</f>
        <v>66156.290779982737</v>
      </c>
      <c r="BV502" s="164">
        <f t="shared" si="309"/>
        <v>115.02918479764054</v>
      </c>
      <c r="BW502" s="164">
        <f t="shared" si="310"/>
        <v>3901.0764709364075</v>
      </c>
      <c r="BX502" s="164">
        <f t="shared" si="311"/>
        <v>6.7829928340064729</v>
      </c>
    </row>
    <row r="503" spans="1:76" s="150" customFormat="1" x14ac:dyDescent="0.25">
      <c r="A503" s="150">
        <f t="shared" si="322"/>
        <v>499</v>
      </c>
      <c r="B503" s="150">
        <f t="shared" si="323"/>
        <v>42</v>
      </c>
      <c r="C503" s="150">
        <f t="shared" si="324"/>
        <v>7</v>
      </c>
      <c r="D503" s="150">
        <f>IF(E503="","",Input!$C$4+B503-1)</f>
        <v>86</v>
      </c>
      <c r="E503" s="150">
        <f>IF(OR(AND(C502=12,D502=Input!$C$6),E502=""),"",1)</f>
        <v>1</v>
      </c>
      <c r="F503" s="150">
        <f>IF(E503="","",Input!$C$8+B503-1)</f>
        <v>2059</v>
      </c>
      <c r="G503" s="151">
        <f>IF(E503="","",MAX(0,Input!$C$9-B503))</f>
        <v>0</v>
      </c>
      <c r="H503" s="152">
        <f>IF(E503="","",Input!$C$3)</f>
        <v>100000</v>
      </c>
      <c r="I503" s="153">
        <f>IF(E503="","",HLOOKUP($B503,Input!$C$13:$BT$14,2))</f>
        <v>230.52050000000003</v>
      </c>
      <c r="J503" s="154"/>
      <c r="K503" s="155">
        <f>IF($E503="","",INDEX(Input!$C$16:$CP$16,1,$B503))</f>
        <v>3.15E-2</v>
      </c>
      <c r="L503" s="155">
        <f>IF($E503="","",Input!$C$37)</f>
        <v>1.4999999999999999E-2</v>
      </c>
      <c r="M503" s="155">
        <f t="shared" si="328"/>
        <v>4.65E-2</v>
      </c>
      <c r="N503" s="155">
        <f t="shared" si="329"/>
        <v>3.7947872834442897E-3</v>
      </c>
      <c r="O503" s="147">
        <f>IF($E503="","",MIN(VLOOKUP(IF($B503&lt;=Input!$C$7,$B503,26),'Mortality Tables'!$A$41:$CW$67,IF($B503&lt;=Input!$C$7+1,Input!$C$4+2,$D503-Input!$C$7+2),0)*IF(B503&gt;20,Input!$C$22,1)/1000,1))</f>
        <v>0.25994160000000005</v>
      </c>
      <c r="P503" s="147">
        <f>IF($E503="","",MIN(VLOOKUP(IF($B503&lt;=Input!$C$7,$B503,26),'Mortality Tables'!$A$12:$CW$37,IF($B503&lt;=Input!$C$7+1,Input!$C$4+2,$D503-Input!$C$7+2),0)*IF(B503&gt;20,Input!$C$22,1)/1000,1))</f>
        <v>0.32492700000000002</v>
      </c>
      <c r="Q503" s="155">
        <f>IF($E503="","",Input!$C$21)</f>
        <v>5.0000000000000001E-3</v>
      </c>
      <c r="R503" s="159">
        <f>IF($E503="","",(1-Q503)^($F503-Input!$C$20))</f>
        <v>0.81422852041756122</v>
      </c>
      <c r="S503" s="147">
        <f t="shared" si="290"/>
        <v>0.21165186436297356</v>
      </c>
      <c r="T503" s="147">
        <f t="shared" si="291"/>
        <v>1.9622872649482259E-2</v>
      </c>
      <c r="U503" s="160">
        <f>IF($E503="","",IF($C503=12,INDEX(Input!$C$15:$CP$15,1,$B503),0))</f>
        <v>0</v>
      </c>
      <c r="V503" s="150">
        <f>IF(E503="","",IF(C503=1,IF($B503=1,Input!$C$33,Input!$C$34),0))</f>
        <v>0</v>
      </c>
      <c r="W503" s="156">
        <f>IF($E503="","",Input!$C$35)</f>
        <v>0.02</v>
      </c>
      <c r="X503" s="156">
        <f t="shared" si="330"/>
        <v>2.252200456887151</v>
      </c>
      <c r="Y503" s="154"/>
      <c r="Z503" s="147">
        <f>IF($E503="","",VLOOKUP($D503,'Mortality Margins &amp; Grading'!$AB$5:$AF$125,3,0)*IF(Summary!$D$25="Included Margin",IF(AND($B503&gt;Input!$C$9,Summary!$D$31&lt;&gt;"Included Margin"),0,1),0))</f>
        <v>2.3E-2</v>
      </c>
      <c r="AA503" s="147">
        <f>IF($E503="","",VLOOKUP($D503,'Mortality Margins &amp; Grading'!$AB$5:$AF$125,5,0)*IF(Summary!$D$25="Included Margin",IF(AND($B503&gt;Input!$C$9,Summary!$D$31&lt;&gt;"Included Margin"),0,1),0))</f>
        <v>0.11899999999999999</v>
      </c>
      <c r="AB503" s="147">
        <f>IF($E503="","",IF(AND($B503&gt;Input!$C$9,Summary!$D$31&lt;&gt;"Included Margin"),1,IF(Summary!$D$25="Included Margin",VLOOKUP($B503,'Mortality Margins &amp; Grading'!$AI$5:$AR$125,MATCH('Mortality Margins &amp; Grading'!$AQ$4,'Mortality Margins &amp; Grading'!$AI$4:$AR$4,0),0),1)))</f>
        <v>0.1875</v>
      </c>
      <c r="AC503" s="154"/>
      <c r="AD503" s="158">
        <f>IF(E503="","",Input!$C$48*IF(Summary!$D$30="Included Margin",IF(AND($B503&gt;Input!$C$9,Summary!$D$31&lt;&gt;"Included Margin"),0,1),0))</f>
        <v>-4.4999999999999997E-3</v>
      </c>
      <c r="AE503" s="159">
        <f>IF(E503="","",IF(Summary!$D$26="Included Margin",IF(AND($B503&gt;Input!$C$9,Summary!$D$31&lt;&gt;"Included Margin"),1,1/$R503),1))</f>
        <v>1.2281564387933372</v>
      </c>
      <c r="AF503" s="160">
        <f>IF(E503="","",IF(AND($B503&gt;=Input!$C$9,$C503=12,Summary!$D$31="Included Margin",$U503&gt;0),1/U503-1,IF($B503&gt;=Input!$C$9,0,Input!$C$45*IF(Summary!$D$27="Included Margin",1,0))))</f>
        <v>0</v>
      </c>
      <c r="AG503" s="160">
        <f>IF(E503="","",Input!$C$46*IF(Summary!$D$28="Included Margin",IF(AND($B503&gt;Input!$C$9,Summary!$D$31&lt;&gt;"Included Margin"),0,1),0))</f>
        <v>0.02</v>
      </c>
      <c r="AH503" s="158">
        <f>IF(E503="","",Input!$C$47*IF(Summary!$D$29="Included Margin",IF(AND($B503&gt;Input!$C$9,Summary!$D$31&lt;&gt;"Included Margin"),0,1),0))</f>
        <v>2.5000000000000001E-3</v>
      </c>
      <c r="AI503" s="154"/>
      <c r="AJ503" s="158">
        <f t="shared" si="312"/>
        <v>4.2000000000000003E-2</v>
      </c>
      <c r="AK503" s="155">
        <f t="shared" si="313"/>
        <v>3.4343792900468628E-3</v>
      </c>
      <c r="AL503" s="147">
        <f t="shared" si="314"/>
        <v>0.34527961496250004</v>
      </c>
      <c r="AM503" s="147">
        <f t="shared" si="292"/>
        <v>3.4679960649332542E-2</v>
      </c>
      <c r="AN503" s="160">
        <f t="shared" si="315"/>
        <v>0</v>
      </c>
      <c r="AO503" s="161">
        <f t="shared" si="316"/>
        <v>0</v>
      </c>
      <c r="AP503" s="156">
        <f t="shared" si="293"/>
        <v>2.4899807171436357</v>
      </c>
      <c r="AQ503" s="152"/>
      <c r="AR503" s="162">
        <f t="shared" si="294"/>
        <v>18896.915784016768</v>
      </c>
      <c r="AS503" s="150">
        <f t="shared" si="317"/>
        <v>0</v>
      </c>
      <c r="AT503" s="163">
        <f t="shared" si="295"/>
        <v>0</v>
      </c>
      <c r="AU503" s="163">
        <f t="shared" si="296"/>
        <v>3467.9960649332543</v>
      </c>
      <c r="AV503" s="163">
        <f t="shared" si="318"/>
        <v>58.943969282701467</v>
      </c>
      <c r="AW503" s="163">
        <f t="shared" si="297"/>
        <v>556.41531864708077</v>
      </c>
      <c r="AX503" s="163">
        <f t="shared" si="298"/>
        <v>0</v>
      </c>
      <c r="AY503" s="164">
        <f t="shared" si="319"/>
        <v>16044.279007013298</v>
      </c>
      <c r="AZ503" s="164">
        <f>IF($E503="","",IF(OR(AND($D503=Input!$C$6,$C503=12),$AN503=1),0,-AS504+AT504+AU504-AV504-AW504-AX504+AZ504))</f>
        <v>16044.289215702718</v>
      </c>
      <c r="BA503" s="154">
        <f t="shared" si="299"/>
        <v>1.0208689420323935E-2</v>
      </c>
      <c r="BC503" s="147">
        <f t="shared" si="320"/>
        <v>1.7046297551419659E-3</v>
      </c>
      <c r="BD503" s="164">
        <f>IF(AND($C502=12,$D502=Input!$C$6),0,IF($E503="","",AT503+(AU503+BD504)/(1+$AK503)*MIN((1-AM503-AN503),1)))</f>
        <v>14385.246112676785</v>
      </c>
      <c r="BE503" s="164">
        <f t="shared" si="300"/>
        <v>24.521518558709143</v>
      </c>
      <c r="BF503" s="164">
        <f t="shared" si="321"/>
        <v>16044.289215702718</v>
      </c>
      <c r="BG503" s="164">
        <f t="shared" si="301"/>
        <v>27.349572797190209</v>
      </c>
      <c r="BH503" s="152"/>
      <c r="BI503" s="162">
        <f t="shared" si="302"/>
        <v>3901.0694198794909</v>
      </c>
      <c r="BJ503" s="150">
        <f t="shared" si="303"/>
        <v>0</v>
      </c>
      <c r="BK503" s="163">
        <f t="shared" si="325"/>
        <v>0</v>
      </c>
      <c r="BL503" s="163">
        <f t="shared" si="304"/>
        <v>1962.2872649482258</v>
      </c>
      <c r="BM503" s="163">
        <f t="shared" si="326"/>
        <v>11.080497246646983</v>
      </c>
      <c r="BN503" s="163">
        <f t="shared" si="305"/>
        <v>39.027884068516052</v>
      </c>
      <c r="BO503" s="163">
        <f t="shared" si="306"/>
        <v>0</v>
      </c>
      <c r="BP503" s="164">
        <f t="shared" si="327"/>
        <v>1988.8905362464279</v>
      </c>
      <c r="BQ503" s="164">
        <f>IF($E503="","",IF(AND($D503=Input!$C$6,$C503=12),0,-BJ504+BK504+BL504-BM504-BN504-BO504+BQ504))</f>
        <v>1988.8975873033444</v>
      </c>
      <c r="BR503" s="161">
        <f t="shared" si="307"/>
        <v>0</v>
      </c>
      <c r="BT503" s="147">
        <f t="shared" si="308"/>
        <v>1.7046297551419659E-3</v>
      </c>
      <c r="BU503" s="164">
        <f>IF(AND($C502=12,$D502=Input!$C$6),0,IF($E503="","",BK503+(BL503+BU504)/(1+$AK503)*MIN((1-T503-U503),1)))</f>
        <v>65749.917276528693</v>
      </c>
      <c r="BV503" s="164">
        <f t="shared" si="309"/>
        <v>112.07926538769362</v>
      </c>
      <c r="BW503" s="164">
        <f t="shared" si="310"/>
        <v>1988.8975873033444</v>
      </c>
      <c r="BX503" s="164">
        <f t="shared" si="311"/>
        <v>3.3903340072473469</v>
      </c>
    </row>
    <row r="504" spans="1:76" s="150" customFormat="1" x14ac:dyDescent="0.25">
      <c r="A504" s="150">
        <f t="shared" si="322"/>
        <v>500</v>
      </c>
      <c r="B504" s="150">
        <f t="shared" si="323"/>
        <v>42</v>
      </c>
      <c r="C504" s="150">
        <f t="shared" si="324"/>
        <v>8</v>
      </c>
      <c r="D504" s="150">
        <f>IF(E504="","",Input!$C$4+B504-1)</f>
        <v>86</v>
      </c>
      <c r="E504" s="150">
        <f>IF(OR(AND(C503=12,D503=Input!$C$6),E503=""),"",1)</f>
        <v>1</v>
      </c>
      <c r="F504" s="150">
        <f>IF(E504="","",Input!$C$8+B504-1)</f>
        <v>2059</v>
      </c>
      <c r="G504" s="151">
        <f>IF(E504="","",MAX(0,Input!$C$9-B504))</f>
        <v>0</v>
      </c>
      <c r="H504" s="152">
        <f>IF(E504="","",Input!$C$3)</f>
        <v>100000</v>
      </c>
      <c r="I504" s="153">
        <f>IF(E504="","",HLOOKUP($B504,Input!$C$13:$BT$14,2))</f>
        <v>230.52050000000003</v>
      </c>
      <c r="J504" s="154"/>
      <c r="K504" s="155">
        <f>IF($E504="","",INDEX(Input!$C$16:$CP$16,1,$B504))</f>
        <v>3.15E-2</v>
      </c>
      <c r="L504" s="155">
        <f>IF($E504="","",Input!$C$37)</f>
        <v>1.4999999999999999E-2</v>
      </c>
      <c r="M504" s="155">
        <f t="shared" si="328"/>
        <v>4.65E-2</v>
      </c>
      <c r="N504" s="155">
        <f t="shared" si="329"/>
        <v>3.7947872834442897E-3</v>
      </c>
      <c r="O504" s="147">
        <f>IF($E504="","",MIN(VLOOKUP(IF($B504&lt;=Input!$C$7,$B504,26),'Mortality Tables'!$A$41:$CW$67,IF($B504&lt;=Input!$C$7+1,Input!$C$4+2,$D504-Input!$C$7+2),0)*IF(B504&gt;20,Input!$C$22,1)/1000,1))</f>
        <v>0.25994160000000005</v>
      </c>
      <c r="P504" s="147">
        <f>IF($E504="","",MIN(VLOOKUP(IF($B504&lt;=Input!$C$7,$B504,26),'Mortality Tables'!$A$12:$CW$37,IF($B504&lt;=Input!$C$7+1,Input!$C$4+2,$D504-Input!$C$7+2),0)*IF(B504&gt;20,Input!$C$22,1)/1000,1))</f>
        <v>0.32492700000000002</v>
      </c>
      <c r="Q504" s="155">
        <f>IF($E504="","",Input!$C$21)</f>
        <v>5.0000000000000001E-3</v>
      </c>
      <c r="R504" s="159">
        <f>IF($E504="","",(1-Q504)^($F504-Input!$C$20))</f>
        <v>0.81422852041756122</v>
      </c>
      <c r="S504" s="147">
        <f t="shared" si="290"/>
        <v>0.21165186436297356</v>
      </c>
      <c r="T504" s="147">
        <f t="shared" si="291"/>
        <v>1.9622872649482259E-2</v>
      </c>
      <c r="U504" s="160">
        <f>IF($E504="","",IF($C504=12,INDEX(Input!$C$15:$CP$15,1,$B504),0))</f>
        <v>0</v>
      </c>
      <c r="V504" s="150">
        <f>IF(E504="","",IF(C504=1,IF($B504=1,Input!$C$33,Input!$C$34),0))</f>
        <v>0</v>
      </c>
      <c r="W504" s="156">
        <f>IF($E504="","",Input!$C$35)</f>
        <v>0.02</v>
      </c>
      <c r="X504" s="156">
        <f t="shared" si="330"/>
        <v>2.252200456887151</v>
      </c>
      <c r="Y504" s="154"/>
      <c r="Z504" s="147">
        <f>IF($E504="","",VLOOKUP($D504,'Mortality Margins &amp; Grading'!$AB$5:$AF$125,3,0)*IF(Summary!$D$25="Included Margin",IF(AND($B504&gt;Input!$C$9,Summary!$D$31&lt;&gt;"Included Margin"),0,1),0))</f>
        <v>2.3E-2</v>
      </c>
      <c r="AA504" s="147">
        <f>IF($E504="","",VLOOKUP($D504,'Mortality Margins &amp; Grading'!$AB$5:$AF$125,5,0)*IF(Summary!$D$25="Included Margin",IF(AND($B504&gt;Input!$C$9,Summary!$D$31&lt;&gt;"Included Margin"),0,1),0))</f>
        <v>0.11899999999999999</v>
      </c>
      <c r="AB504" s="147">
        <f>IF($E504="","",IF(AND($B504&gt;Input!$C$9,Summary!$D$31&lt;&gt;"Included Margin"),1,IF(Summary!$D$25="Included Margin",VLOOKUP($B504,'Mortality Margins &amp; Grading'!$AI$5:$AR$125,MATCH('Mortality Margins &amp; Grading'!$AQ$4,'Mortality Margins &amp; Grading'!$AI$4:$AR$4,0),0),1)))</f>
        <v>0.1875</v>
      </c>
      <c r="AC504" s="154"/>
      <c r="AD504" s="158">
        <f>IF(E504="","",Input!$C$48*IF(Summary!$D$30="Included Margin",IF(AND($B504&gt;Input!$C$9,Summary!$D$31&lt;&gt;"Included Margin"),0,1),0))</f>
        <v>-4.4999999999999997E-3</v>
      </c>
      <c r="AE504" s="159">
        <f>IF(E504="","",IF(Summary!$D$26="Included Margin",IF(AND($B504&gt;Input!$C$9,Summary!$D$31&lt;&gt;"Included Margin"),1,1/$R504),1))</f>
        <v>1.2281564387933372</v>
      </c>
      <c r="AF504" s="160">
        <f>IF(E504="","",IF(AND($B504&gt;=Input!$C$9,$C504=12,Summary!$D$31="Included Margin",$U504&gt;0),1/U504-1,IF($B504&gt;=Input!$C$9,0,Input!$C$45*IF(Summary!$D$27="Included Margin",1,0))))</f>
        <v>0</v>
      </c>
      <c r="AG504" s="160">
        <f>IF(E504="","",Input!$C$46*IF(Summary!$D$28="Included Margin",IF(AND($B504&gt;Input!$C$9,Summary!$D$31&lt;&gt;"Included Margin"),0,1),0))</f>
        <v>0.02</v>
      </c>
      <c r="AH504" s="158">
        <f>IF(E504="","",Input!$C$47*IF(Summary!$D$29="Included Margin",IF(AND($B504&gt;Input!$C$9,Summary!$D$31&lt;&gt;"Included Margin"),0,1),0))</f>
        <v>2.5000000000000001E-3</v>
      </c>
      <c r="AI504" s="154"/>
      <c r="AJ504" s="158">
        <f t="shared" si="312"/>
        <v>4.2000000000000003E-2</v>
      </c>
      <c r="AK504" s="155">
        <f t="shared" si="313"/>
        <v>3.4343792900468628E-3</v>
      </c>
      <c r="AL504" s="147">
        <f t="shared" si="314"/>
        <v>0.34527961496250004</v>
      </c>
      <c r="AM504" s="147">
        <f t="shared" si="292"/>
        <v>3.4679960649332542E-2</v>
      </c>
      <c r="AN504" s="160">
        <f t="shared" si="315"/>
        <v>0</v>
      </c>
      <c r="AO504" s="161">
        <f t="shared" si="316"/>
        <v>0</v>
      </c>
      <c r="AP504" s="156">
        <f t="shared" si="293"/>
        <v>2.4899807171436357</v>
      </c>
      <c r="AQ504" s="152"/>
      <c r="AR504" s="162">
        <f t="shared" si="294"/>
        <v>16044.279007013298</v>
      </c>
      <c r="AS504" s="150">
        <f t="shared" si="317"/>
        <v>0</v>
      </c>
      <c r="AT504" s="163">
        <f t="shared" si="295"/>
        <v>0</v>
      </c>
      <c r="AU504" s="163">
        <f t="shared" si="296"/>
        <v>3467.9960649332543</v>
      </c>
      <c r="AV504" s="163">
        <f t="shared" si="318"/>
        <v>49.146932613734727</v>
      </c>
      <c r="AW504" s="163">
        <f t="shared" si="297"/>
        <v>453.57989829648551</v>
      </c>
      <c r="AX504" s="163">
        <f t="shared" si="298"/>
        <v>0</v>
      </c>
      <c r="AY504" s="165">
        <f t="shared" si="319"/>
        <v>13079.009772990265</v>
      </c>
      <c r="AZ504" s="164">
        <f>IF($E504="","",IF(OR(AND($D504=Input!$C$6,$C504=12),$AN504=1),0,-AS505+AT505+AU505-AV505-AW505-AX505+AZ505))</f>
        <v>13079.019981679685</v>
      </c>
      <c r="BA504" s="154">
        <f t="shared" si="299"/>
        <v>1.0208689420323935E-2</v>
      </c>
      <c r="BC504" s="147">
        <f t="shared" si="320"/>
        <v>1.671180022542297E-3</v>
      </c>
      <c r="BD504" s="164">
        <f>IF(AND($C503=12,$D503=Input!$C$6),0,IF($E504="","",AT504+(AU504+BD505)/(1+$AK504)*MIN((1-AM504-AN504),1)))</f>
        <v>11485.231792760454</v>
      </c>
      <c r="BE504" s="164">
        <f t="shared" si="300"/>
        <v>19.193889926328922</v>
      </c>
      <c r="BF504" s="164">
        <f t="shared" si="321"/>
        <v>13079.019981679685</v>
      </c>
      <c r="BG504" s="164">
        <f t="shared" si="301"/>
        <v>21.857396907814607</v>
      </c>
      <c r="BH504" s="152"/>
      <c r="BI504" s="162">
        <f t="shared" si="302"/>
        <v>1988.8905362464284</v>
      </c>
      <c r="BJ504" s="150">
        <f t="shared" si="303"/>
        <v>0</v>
      </c>
      <c r="BK504" s="163">
        <f t="shared" si="325"/>
        <v>0</v>
      </c>
      <c r="BL504" s="163">
        <f t="shared" si="304"/>
        <v>1962.2872649482258</v>
      </c>
      <c r="BM504" s="163">
        <f t="shared" si="326"/>
        <v>3.8241851353655392</v>
      </c>
      <c r="BN504" s="163">
        <f t="shared" si="305"/>
        <v>0.60916605250620015</v>
      </c>
      <c r="BO504" s="163">
        <f t="shared" si="306"/>
        <v>0</v>
      </c>
      <c r="BP504" s="164">
        <f t="shared" si="327"/>
        <v>31.036622486074311</v>
      </c>
      <c r="BQ504" s="164">
        <f>IF($E504="","",IF(AND($D504=Input!$C$6,$C504=12),0,-BJ505+BK505+BL505-BM505-BN505-BO505+BQ505))</f>
        <v>31.043673542990291</v>
      </c>
      <c r="BR504" s="161">
        <f t="shared" si="307"/>
        <v>0</v>
      </c>
      <c r="BT504" s="147">
        <f t="shared" si="308"/>
        <v>1.671180022542297E-3</v>
      </c>
      <c r="BU504" s="164">
        <f>IF(AND($C503=12,$D503=Input!$C$6),0,IF($E504="","",BK504+(BL504+BU505)/(1+$AK504)*MIN((1-T504-U504),1)))</f>
        <v>65333.986373183026</v>
      </c>
      <c r="BV504" s="164">
        <f t="shared" si="309"/>
        <v>109.18485281991414</v>
      </c>
      <c r="BW504" s="164">
        <f t="shared" si="310"/>
        <v>31.043673542990291</v>
      </c>
      <c r="BX504" s="164">
        <f t="shared" si="311"/>
        <v>5.1879567051370222E-2</v>
      </c>
    </row>
    <row r="505" spans="1:76" s="150" customFormat="1" x14ac:dyDescent="0.25">
      <c r="A505" s="150">
        <f t="shared" si="322"/>
        <v>501</v>
      </c>
      <c r="B505" s="150">
        <f t="shared" si="323"/>
        <v>42</v>
      </c>
      <c r="C505" s="150">
        <f t="shared" si="324"/>
        <v>9</v>
      </c>
      <c r="D505" s="150">
        <f>IF(E505="","",Input!$C$4+B505-1)</f>
        <v>86</v>
      </c>
      <c r="E505" s="150">
        <f>IF(OR(AND(C504=12,D504=Input!$C$6),E504=""),"",1)</f>
        <v>1</v>
      </c>
      <c r="F505" s="150">
        <f>IF(E505="","",Input!$C$8+B505-1)</f>
        <v>2059</v>
      </c>
      <c r="G505" s="151">
        <f>IF(E505="","",MAX(0,Input!$C$9-B505))</f>
        <v>0</v>
      </c>
      <c r="H505" s="152">
        <f>IF(E505="","",Input!$C$3)</f>
        <v>100000</v>
      </c>
      <c r="I505" s="153">
        <f>IF(E505="","",HLOOKUP($B505,Input!$C$13:$BT$14,2))</f>
        <v>230.52050000000003</v>
      </c>
      <c r="J505" s="154"/>
      <c r="K505" s="155">
        <f>IF($E505="","",INDEX(Input!$C$16:$CP$16,1,$B505))</f>
        <v>3.15E-2</v>
      </c>
      <c r="L505" s="155">
        <f>IF($E505="","",Input!$C$37)</f>
        <v>1.4999999999999999E-2</v>
      </c>
      <c r="M505" s="155">
        <f t="shared" si="328"/>
        <v>4.65E-2</v>
      </c>
      <c r="N505" s="155">
        <f t="shared" si="329"/>
        <v>3.7947872834442897E-3</v>
      </c>
      <c r="O505" s="147">
        <f>IF($E505="","",MIN(VLOOKUP(IF($B505&lt;=Input!$C$7,$B505,26),'Mortality Tables'!$A$41:$CW$67,IF($B505&lt;=Input!$C$7+1,Input!$C$4+2,$D505-Input!$C$7+2),0)*IF(B505&gt;20,Input!$C$22,1)/1000,1))</f>
        <v>0.25994160000000005</v>
      </c>
      <c r="P505" s="147">
        <f>IF($E505="","",MIN(VLOOKUP(IF($B505&lt;=Input!$C$7,$B505,26),'Mortality Tables'!$A$12:$CW$37,IF($B505&lt;=Input!$C$7+1,Input!$C$4+2,$D505-Input!$C$7+2),0)*IF(B505&gt;20,Input!$C$22,1)/1000,1))</f>
        <v>0.32492700000000002</v>
      </c>
      <c r="Q505" s="155">
        <f>IF($E505="","",Input!$C$21)</f>
        <v>5.0000000000000001E-3</v>
      </c>
      <c r="R505" s="159">
        <f>IF($E505="","",(1-Q505)^($F505-Input!$C$20))</f>
        <v>0.81422852041756122</v>
      </c>
      <c r="S505" s="147">
        <f t="shared" si="290"/>
        <v>0.21165186436297356</v>
      </c>
      <c r="T505" s="147">
        <f t="shared" si="291"/>
        <v>1.9622872649482259E-2</v>
      </c>
      <c r="U505" s="160">
        <f>IF($E505="","",IF($C505=12,INDEX(Input!$C$15:$CP$15,1,$B505),0))</f>
        <v>0</v>
      </c>
      <c r="V505" s="150">
        <f>IF(E505="","",IF(C505=1,IF($B505=1,Input!$C$33,Input!$C$34),0))</f>
        <v>0</v>
      </c>
      <c r="W505" s="156">
        <f>IF($E505="","",Input!$C$35)</f>
        <v>0.02</v>
      </c>
      <c r="X505" s="156">
        <f t="shared" si="330"/>
        <v>2.252200456887151</v>
      </c>
      <c r="Y505" s="154"/>
      <c r="Z505" s="147">
        <f>IF($E505="","",VLOOKUP($D505,'Mortality Margins &amp; Grading'!$AB$5:$AF$125,3,0)*IF(Summary!$D$25="Included Margin",IF(AND($B505&gt;Input!$C$9,Summary!$D$31&lt;&gt;"Included Margin"),0,1),0))</f>
        <v>2.3E-2</v>
      </c>
      <c r="AA505" s="147">
        <f>IF($E505="","",VLOOKUP($D505,'Mortality Margins &amp; Grading'!$AB$5:$AF$125,5,0)*IF(Summary!$D$25="Included Margin",IF(AND($B505&gt;Input!$C$9,Summary!$D$31&lt;&gt;"Included Margin"),0,1),0))</f>
        <v>0.11899999999999999</v>
      </c>
      <c r="AB505" s="147">
        <f>IF($E505="","",IF(AND($B505&gt;Input!$C$9,Summary!$D$31&lt;&gt;"Included Margin"),1,IF(Summary!$D$25="Included Margin",VLOOKUP($B505,'Mortality Margins &amp; Grading'!$AI$5:$AR$125,MATCH('Mortality Margins &amp; Grading'!$AQ$4,'Mortality Margins &amp; Grading'!$AI$4:$AR$4,0),0),1)))</f>
        <v>0.1875</v>
      </c>
      <c r="AC505" s="154"/>
      <c r="AD505" s="158">
        <f>IF(E505="","",Input!$C$48*IF(Summary!$D$30="Included Margin",IF(AND($B505&gt;Input!$C$9,Summary!$D$31&lt;&gt;"Included Margin"),0,1),0))</f>
        <v>-4.4999999999999997E-3</v>
      </c>
      <c r="AE505" s="159">
        <f>IF(E505="","",IF(Summary!$D$26="Included Margin",IF(AND($B505&gt;Input!$C$9,Summary!$D$31&lt;&gt;"Included Margin"),1,1/$R505),1))</f>
        <v>1.2281564387933372</v>
      </c>
      <c r="AF505" s="160">
        <f>IF(E505="","",IF(AND($B505&gt;=Input!$C$9,$C505=12,Summary!$D$31="Included Margin",$U505&gt;0),1/U505-1,IF($B505&gt;=Input!$C$9,0,Input!$C$45*IF(Summary!$D$27="Included Margin",1,0))))</f>
        <v>0</v>
      </c>
      <c r="AG505" s="160">
        <f>IF(E505="","",Input!$C$46*IF(Summary!$D$28="Included Margin",IF(AND($B505&gt;Input!$C$9,Summary!$D$31&lt;&gt;"Included Margin"),0,1),0))</f>
        <v>0.02</v>
      </c>
      <c r="AH505" s="158">
        <f>IF(E505="","",Input!$C$47*IF(Summary!$D$29="Included Margin",IF(AND($B505&gt;Input!$C$9,Summary!$D$31&lt;&gt;"Included Margin"),0,1),0))</f>
        <v>2.5000000000000001E-3</v>
      </c>
      <c r="AI505" s="154"/>
      <c r="AJ505" s="158">
        <f t="shared" si="312"/>
        <v>4.2000000000000003E-2</v>
      </c>
      <c r="AK505" s="155">
        <f t="shared" si="313"/>
        <v>3.4343792900468628E-3</v>
      </c>
      <c r="AL505" s="147">
        <f t="shared" si="314"/>
        <v>0.34527961496250004</v>
      </c>
      <c r="AM505" s="147">
        <f t="shared" si="292"/>
        <v>3.4679960649332542E-2</v>
      </c>
      <c r="AN505" s="160">
        <f t="shared" si="315"/>
        <v>0</v>
      </c>
      <c r="AO505" s="161">
        <f t="shared" si="316"/>
        <v>0</v>
      </c>
      <c r="AP505" s="156">
        <f t="shared" si="293"/>
        <v>2.4899807171436357</v>
      </c>
      <c r="AQ505" s="152"/>
      <c r="AR505" s="162">
        <f t="shared" si="294"/>
        <v>13079.009772990263</v>
      </c>
      <c r="AS505" s="150">
        <f t="shared" si="317"/>
        <v>0</v>
      </c>
      <c r="AT505" s="163">
        <f t="shared" si="295"/>
        <v>0</v>
      </c>
      <c r="AU505" s="163">
        <f t="shared" si="296"/>
        <v>3467.9960649332543</v>
      </c>
      <c r="AV505" s="163">
        <f t="shared" si="318"/>
        <v>38.963073366992887</v>
      </c>
      <c r="AW505" s="163">
        <f t="shared" si="297"/>
        <v>346.68416218606399</v>
      </c>
      <c r="AX505" s="163">
        <f t="shared" si="298"/>
        <v>0</v>
      </c>
      <c r="AY505" s="164">
        <f t="shared" si="319"/>
        <v>9996.6609436100662</v>
      </c>
      <c r="AZ505" s="164">
        <f>IF($E505="","",IF(OR(AND($D505=Input!$C$6,$C505=12),$AN505=1),0,-AS506+AT506+AU506-AV506-AW506-AX506+AZ506))</f>
        <v>9996.6711522994865</v>
      </c>
      <c r="BA505" s="154">
        <f t="shared" si="299"/>
        <v>1.0208689420323935E-2</v>
      </c>
      <c r="BC505" s="147">
        <f t="shared" si="320"/>
        <v>1.6383866697855906E-3</v>
      </c>
      <c r="BD505" s="164">
        <f>IF(AND($C504=12,$D504=Input!$C$6),0,IF($E505="","",AT505+(AU505+BD506)/(1+$AK505)*MIN((1-AM505-AN505),1)))</f>
        <v>8470.7143784168002</v>
      </c>
      <c r="BE505" s="164">
        <f t="shared" si="300"/>
        <v>13.87830552115922</v>
      </c>
      <c r="BF505" s="164">
        <f t="shared" si="321"/>
        <v>9996.6711522994865</v>
      </c>
      <c r="BG505" s="164">
        <f t="shared" si="301"/>
        <v>16.378412758157637</v>
      </c>
      <c r="BH505" s="152"/>
      <c r="BI505" s="162">
        <f t="shared" si="302"/>
        <v>31.036622486074293</v>
      </c>
      <c r="BJ505" s="150">
        <f t="shared" si="303"/>
        <v>0</v>
      </c>
      <c r="BK505" s="163">
        <f t="shared" si="325"/>
        <v>0</v>
      </c>
      <c r="BL505" s="163">
        <f t="shared" si="304"/>
        <v>1962.2872649482258</v>
      </c>
      <c r="BM505" s="163">
        <f t="shared" si="326"/>
        <v>-3.6054539994138857</v>
      </c>
      <c r="BN505" s="163">
        <f t="shared" si="305"/>
        <v>-38.727236034723575</v>
      </c>
      <c r="BO505" s="163">
        <f t="shared" si="306"/>
        <v>0</v>
      </c>
      <c r="BP505" s="164">
        <f t="shared" si="327"/>
        <v>-1973.5833324962889</v>
      </c>
      <c r="BQ505" s="164">
        <f>IF($E505="","",IF(AND($D505=Input!$C$6,$C505=12),0,-BJ506+BK506+BL506-BM506-BN506-BO506+BQ506))</f>
        <v>-1973.5762814393729</v>
      </c>
      <c r="BR505" s="161">
        <f t="shared" si="307"/>
        <v>0</v>
      </c>
      <c r="BT505" s="147">
        <f t="shared" si="308"/>
        <v>1.6383866697855906E-3</v>
      </c>
      <c r="BU505" s="164">
        <f>IF(AND($C504=12,$D504=Input!$C$6),0,IF($E505="","",BK505+(BL505+BU506)/(1+$AK505)*MIN((1-T505-U505),1)))</f>
        <v>64908.273291775142</v>
      </c>
      <c r="BV505" s="164">
        <f t="shared" si="309"/>
        <v>106.34484972004446</v>
      </c>
      <c r="BW505" s="164">
        <f t="shared" si="310"/>
        <v>-1973.5762814393729</v>
      </c>
      <c r="BX505" s="164">
        <f t="shared" si="311"/>
        <v>-3.2334810713152837</v>
      </c>
    </row>
    <row r="506" spans="1:76" s="150" customFormat="1" x14ac:dyDescent="0.25">
      <c r="A506" s="150">
        <f t="shared" si="322"/>
        <v>502</v>
      </c>
      <c r="B506" s="150">
        <f t="shared" si="323"/>
        <v>42</v>
      </c>
      <c r="C506" s="150">
        <f t="shared" si="324"/>
        <v>10</v>
      </c>
      <c r="D506" s="150">
        <f>IF(E506="","",Input!$C$4+B506-1)</f>
        <v>86</v>
      </c>
      <c r="E506" s="150">
        <f>IF(OR(AND(C505=12,D505=Input!$C$6),E505=""),"",1)</f>
        <v>1</v>
      </c>
      <c r="F506" s="150">
        <f>IF(E506="","",Input!$C$8+B506-1)</f>
        <v>2059</v>
      </c>
      <c r="G506" s="151">
        <f>IF(E506="","",MAX(0,Input!$C$9-B506))</f>
        <v>0</v>
      </c>
      <c r="H506" s="152">
        <f>IF(E506="","",Input!$C$3)</f>
        <v>100000</v>
      </c>
      <c r="I506" s="153">
        <f>IF(E506="","",HLOOKUP($B506,Input!$C$13:$BT$14,2))</f>
        <v>230.52050000000003</v>
      </c>
      <c r="J506" s="154"/>
      <c r="K506" s="155">
        <f>IF($E506="","",INDEX(Input!$C$16:$CP$16,1,$B506))</f>
        <v>3.15E-2</v>
      </c>
      <c r="L506" s="155">
        <f>IF($E506="","",Input!$C$37)</f>
        <v>1.4999999999999999E-2</v>
      </c>
      <c r="M506" s="155">
        <f t="shared" si="328"/>
        <v>4.65E-2</v>
      </c>
      <c r="N506" s="155">
        <f t="shared" si="329"/>
        <v>3.7947872834442897E-3</v>
      </c>
      <c r="O506" s="147">
        <f>IF($E506="","",MIN(VLOOKUP(IF($B506&lt;=Input!$C$7,$B506,26),'Mortality Tables'!$A$41:$CW$67,IF($B506&lt;=Input!$C$7+1,Input!$C$4+2,$D506-Input!$C$7+2),0)*IF(B506&gt;20,Input!$C$22,1)/1000,1))</f>
        <v>0.25994160000000005</v>
      </c>
      <c r="P506" s="147">
        <f>IF($E506="","",MIN(VLOOKUP(IF($B506&lt;=Input!$C$7,$B506,26),'Mortality Tables'!$A$12:$CW$37,IF($B506&lt;=Input!$C$7+1,Input!$C$4+2,$D506-Input!$C$7+2),0)*IF(B506&gt;20,Input!$C$22,1)/1000,1))</f>
        <v>0.32492700000000002</v>
      </c>
      <c r="Q506" s="155">
        <f>IF($E506="","",Input!$C$21)</f>
        <v>5.0000000000000001E-3</v>
      </c>
      <c r="R506" s="159">
        <f>IF($E506="","",(1-Q506)^($F506-Input!$C$20))</f>
        <v>0.81422852041756122</v>
      </c>
      <c r="S506" s="147">
        <f t="shared" si="290"/>
        <v>0.21165186436297356</v>
      </c>
      <c r="T506" s="147">
        <f t="shared" si="291"/>
        <v>1.9622872649482259E-2</v>
      </c>
      <c r="U506" s="160">
        <f>IF($E506="","",IF($C506=12,INDEX(Input!$C$15:$CP$15,1,$B506),0))</f>
        <v>0</v>
      </c>
      <c r="V506" s="150">
        <f>IF(E506="","",IF(C506=1,IF($B506=1,Input!$C$33,Input!$C$34),0))</f>
        <v>0</v>
      </c>
      <c r="W506" s="156">
        <f>IF($E506="","",Input!$C$35)</f>
        <v>0.02</v>
      </c>
      <c r="X506" s="156">
        <f t="shared" si="330"/>
        <v>2.252200456887151</v>
      </c>
      <c r="Y506" s="154"/>
      <c r="Z506" s="147">
        <f>IF($E506="","",VLOOKUP($D506,'Mortality Margins &amp; Grading'!$AB$5:$AF$125,3,0)*IF(Summary!$D$25="Included Margin",IF(AND($B506&gt;Input!$C$9,Summary!$D$31&lt;&gt;"Included Margin"),0,1),0))</f>
        <v>2.3E-2</v>
      </c>
      <c r="AA506" s="147">
        <f>IF($E506="","",VLOOKUP($D506,'Mortality Margins &amp; Grading'!$AB$5:$AF$125,5,0)*IF(Summary!$D$25="Included Margin",IF(AND($B506&gt;Input!$C$9,Summary!$D$31&lt;&gt;"Included Margin"),0,1),0))</f>
        <v>0.11899999999999999</v>
      </c>
      <c r="AB506" s="147">
        <f>IF($E506="","",IF(AND($B506&gt;Input!$C$9,Summary!$D$31&lt;&gt;"Included Margin"),1,IF(Summary!$D$25="Included Margin",VLOOKUP($B506,'Mortality Margins &amp; Grading'!$AI$5:$AR$125,MATCH('Mortality Margins &amp; Grading'!$AQ$4,'Mortality Margins &amp; Grading'!$AI$4:$AR$4,0),0),1)))</f>
        <v>0.1875</v>
      </c>
      <c r="AC506" s="154"/>
      <c r="AD506" s="158">
        <f>IF(E506="","",Input!$C$48*IF(Summary!$D$30="Included Margin",IF(AND($B506&gt;Input!$C$9,Summary!$D$31&lt;&gt;"Included Margin"),0,1),0))</f>
        <v>-4.4999999999999997E-3</v>
      </c>
      <c r="AE506" s="159">
        <f>IF(E506="","",IF(Summary!$D$26="Included Margin",IF(AND($B506&gt;Input!$C$9,Summary!$D$31&lt;&gt;"Included Margin"),1,1/$R506),1))</f>
        <v>1.2281564387933372</v>
      </c>
      <c r="AF506" s="160">
        <f>IF(E506="","",IF(AND($B506&gt;=Input!$C$9,$C506=12,Summary!$D$31="Included Margin",$U506&gt;0),1/U506-1,IF($B506&gt;=Input!$C$9,0,Input!$C$45*IF(Summary!$D$27="Included Margin",1,0))))</f>
        <v>0</v>
      </c>
      <c r="AG506" s="160">
        <f>IF(E506="","",Input!$C$46*IF(Summary!$D$28="Included Margin",IF(AND($B506&gt;Input!$C$9,Summary!$D$31&lt;&gt;"Included Margin"),0,1),0))</f>
        <v>0.02</v>
      </c>
      <c r="AH506" s="158">
        <f>IF(E506="","",Input!$C$47*IF(Summary!$D$29="Included Margin",IF(AND($B506&gt;Input!$C$9,Summary!$D$31&lt;&gt;"Included Margin"),0,1),0))</f>
        <v>2.5000000000000001E-3</v>
      </c>
      <c r="AI506" s="154"/>
      <c r="AJ506" s="158">
        <f t="shared" si="312"/>
        <v>4.2000000000000003E-2</v>
      </c>
      <c r="AK506" s="155">
        <f t="shared" si="313"/>
        <v>3.4343792900468628E-3</v>
      </c>
      <c r="AL506" s="147">
        <f t="shared" si="314"/>
        <v>0.34527961496250004</v>
      </c>
      <c r="AM506" s="147">
        <f t="shared" si="292"/>
        <v>3.4679960649332542E-2</v>
      </c>
      <c r="AN506" s="160">
        <f t="shared" si="315"/>
        <v>0</v>
      </c>
      <c r="AO506" s="161">
        <f t="shared" si="316"/>
        <v>0</v>
      </c>
      <c r="AP506" s="156">
        <f t="shared" si="293"/>
        <v>2.4899807171436357</v>
      </c>
      <c r="AQ506" s="152"/>
      <c r="AR506" s="162">
        <f t="shared" si="294"/>
        <v>9996.6609436100644</v>
      </c>
      <c r="AS506" s="150">
        <f t="shared" si="317"/>
        <v>0</v>
      </c>
      <c r="AT506" s="163">
        <f t="shared" si="295"/>
        <v>0</v>
      </c>
      <c r="AU506" s="163">
        <f t="shared" si="296"/>
        <v>3467.9960649332543</v>
      </c>
      <c r="AV506" s="163">
        <f t="shared" si="318"/>
        <v>28.377118382669344</v>
      </c>
      <c r="AW506" s="163">
        <f t="shared" si="297"/>
        <v>235.56779430783692</v>
      </c>
      <c r="AX506" s="163">
        <f t="shared" si="298"/>
        <v>0</v>
      </c>
      <c r="AY506" s="165">
        <f t="shared" si="319"/>
        <v>6792.6097913673166</v>
      </c>
      <c r="AZ506" s="164">
        <f>IF($E506="","",IF(OR(AND($D506=Input!$C$6,$C506=12),$AN506=1),0,-AS507+AT507+AU507-AV507-AW507-AX507+AZ507))</f>
        <v>6792.6200000567387</v>
      </c>
      <c r="BA506" s="154">
        <f t="shared" si="299"/>
        <v>1.0208689422142925E-2</v>
      </c>
      <c r="BC506" s="147">
        <f t="shared" si="320"/>
        <v>1.6062368168137785E-3</v>
      </c>
      <c r="BD506" s="164">
        <f>IF(AND($C505=12,$D505=Input!$C$6),0,IF($E506="","",AT506+(AU506+BD507)/(1+$AK506)*MIN((1-AM506-AN506),1)))</f>
        <v>5337.1728717516407</v>
      </c>
      <c r="BE506" s="164">
        <f t="shared" si="300"/>
        <v>8.5727635643072091</v>
      </c>
      <c r="BF506" s="164">
        <f t="shared" si="321"/>
        <v>6792.6200000567387</v>
      </c>
      <c r="BG506" s="164">
        <f t="shared" si="301"/>
        <v>10.910556326716744</v>
      </c>
      <c r="BH506" s="152"/>
      <c r="BI506" s="162">
        <f t="shared" si="302"/>
        <v>-1973.5833324962894</v>
      </c>
      <c r="BJ506" s="150">
        <f t="shared" si="303"/>
        <v>0</v>
      </c>
      <c r="BK506" s="163">
        <f t="shared" si="325"/>
        <v>0</v>
      </c>
      <c r="BL506" s="163">
        <f t="shared" si="304"/>
        <v>1962.2872649482258</v>
      </c>
      <c r="BM506" s="163">
        <f t="shared" si="326"/>
        <v>-11.212560312719623</v>
      </c>
      <c r="BN506" s="163">
        <f t="shared" si="305"/>
        <v>-79.003242342987221</v>
      </c>
      <c r="BO506" s="163">
        <f t="shared" si="306"/>
        <v>0</v>
      </c>
      <c r="BP506" s="164">
        <f t="shared" si="327"/>
        <v>-4026.0864001002219</v>
      </c>
      <c r="BQ506" s="164">
        <f>IF($E506="","",IF(AND($D506=Input!$C$6,$C506=12),0,-BJ507+BK507+BL507-BM507-BN507-BO507+BQ507))</f>
        <v>-4026.0793490433057</v>
      </c>
      <c r="BR506" s="161">
        <f t="shared" si="307"/>
        <v>0</v>
      </c>
      <c r="BT506" s="147">
        <f t="shared" si="308"/>
        <v>1.6062368168137785E-3</v>
      </c>
      <c r="BU506" s="164">
        <f>IF(AND($C505=12,$D505=Input!$C$6),0,IF($E506="","",BK506+(BL506+BU507)/(1+$AK506)*MIN((1-T506-U506),1)))</f>
        <v>64472.54796763113</v>
      </c>
      <c r="BV506" s="164">
        <f t="shared" si="309"/>
        <v>103.55818021940148</v>
      </c>
      <c r="BW506" s="164">
        <f t="shared" si="310"/>
        <v>-4026.0793490433057</v>
      </c>
      <c r="BX506" s="164">
        <f t="shared" si="311"/>
        <v>-6.4668368778470091</v>
      </c>
    </row>
    <row r="507" spans="1:76" s="150" customFormat="1" x14ac:dyDescent="0.25">
      <c r="A507" s="150">
        <f t="shared" si="322"/>
        <v>503</v>
      </c>
      <c r="B507" s="150">
        <f t="shared" si="323"/>
        <v>42</v>
      </c>
      <c r="C507" s="150">
        <f t="shared" si="324"/>
        <v>11</v>
      </c>
      <c r="D507" s="150">
        <f>IF(E507="","",Input!$C$4+B507-1)</f>
        <v>86</v>
      </c>
      <c r="E507" s="150">
        <f>IF(OR(AND(C506=12,D506=Input!$C$6),E506=""),"",1)</f>
        <v>1</v>
      </c>
      <c r="F507" s="150">
        <f>IF(E507="","",Input!$C$8+B507-1)</f>
        <v>2059</v>
      </c>
      <c r="G507" s="151">
        <f>IF(E507="","",MAX(0,Input!$C$9-B507))</f>
        <v>0</v>
      </c>
      <c r="H507" s="152">
        <f>IF(E507="","",Input!$C$3)</f>
        <v>100000</v>
      </c>
      <c r="I507" s="153">
        <f>IF(E507="","",HLOOKUP($B507,Input!$C$13:$BT$14,2))</f>
        <v>230.52050000000003</v>
      </c>
      <c r="J507" s="154"/>
      <c r="K507" s="155">
        <f>IF($E507="","",INDEX(Input!$C$16:$CP$16,1,$B507))</f>
        <v>3.15E-2</v>
      </c>
      <c r="L507" s="155">
        <f>IF($E507="","",Input!$C$37)</f>
        <v>1.4999999999999999E-2</v>
      </c>
      <c r="M507" s="155">
        <f t="shared" si="328"/>
        <v>4.65E-2</v>
      </c>
      <c r="N507" s="155">
        <f t="shared" si="329"/>
        <v>3.7947872834442897E-3</v>
      </c>
      <c r="O507" s="147">
        <f>IF($E507="","",MIN(VLOOKUP(IF($B507&lt;=Input!$C$7,$B507,26),'Mortality Tables'!$A$41:$CW$67,IF($B507&lt;=Input!$C$7+1,Input!$C$4+2,$D507-Input!$C$7+2),0)*IF(B507&gt;20,Input!$C$22,1)/1000,1))</f>
        <v>0.25994160000000005</v>
      </c>
      <c r="P507" s="147">
        <f>IF($E507="","",MIN(VLOOKUP(IF($B507&lt;=Input!$C$7,$B507,26),'Mortality Tables'!$A$12:$CW$37,IF($B507&lt;=Input!$C$7+1,Input!$C$4+2,$D507-Input!$C$7+2),0)*IF(B507&gt;20,Input!$C$22,1)/1000,1))</f>
        <v>0.32492700000000002</v>
      </c>
      <c r="Q507" s="155">
        <f>IF($E507="","",Input!$C$21)</f>
        <v>5.0000000000000001E-3</v>
      </c>
      <c r="R507" s="159">
        <f>IF($E507="","",(1-Q507)^($F507-Input!$C$20))</f>
        <v>0.81422852041756122</v>
      </c>
      <c r="S507" s="147">
        <f t="shared" si="290"/>
        <v>0.21165186436297356</v>
      </c>
      <c r="T507" s="147">
        <f t="shared" si="291"/>
        <v>1.9622872649482259E-2</v>
      </c>
      <c r="U507" s="160">
        <f>IF($E507="","",IF($C507=12,INDEX(Input!$C$15:$CP$15,1,$B507),0))</f>
        <v>0</v>
      </c>
      <c r="V507" s="150">
        <f>IF(E507="","",IF(C507=1,IF($B507=1,Input!$C$33,Input!$C$34),0))</f>
        <v>0</v>
      </c>
      <c r="W507" s="156">
        <f>IF($E507="","",Input!$C$35)</f>
        <v>0.02</v>
      </c>
      <c r="X507" s="156">
        <f t="shared" si="330"/>
        <v>2.252200456887151</v>
      </c>
      <c r="Y507" s="154"/>
      <c r="Z507" s="147">
        <f>IF($E507="","",VLOOKUP($D507,'Mortality Margins &amp; Grading'!$AB$5:$AF$125,3,0)*IF(Summary!$D$25="Included Margin",IF(AND($B507&gt;Input!$C$9,Summary!$D$31&lt;&gt;"Included Margin"),0,1),0))</f>
        <v>2.3E-2</v>
      </c>
      <c r="AA507" s="147">
        <f>IF($E507="","",VLOOKUP($D507,'Mortality Margins &amp; Grading'!$AB$5:$AF$125,5,0)*IF(Summary!$D$25="Included Margin",IF(AND($B507&gt;Input!$C$9,Summary!$D$31&lt;&gt;"Included Margin"),0,1),0))</f>
        <v>0.11899999999999999</v>
      </c>
      <c r="AB507" s="147">
        <f>IF($E507="","",IF(AND($B507&gt;Input!$C$9,Summary!$D$31&lt;&gt;"Included Margin"),1,IF(Summary!$D$25="Included Margin",VLOOKUP($B507,'Mortality Margins &amp; Grading'!$AI$5:$AR$125,MATCH('Mortality Margins &amp; Grading'!$AQ$4,'Mortality Margins &amp; Grading'!$AI$4:$AR$4,0),0),1)))</f>
        <v>0.1875</v>
      </c>
      <c r="AC507" s="154"/>
      <c r="AD507" s="158">
        <f>IF(E507="","",Input!$C$48*IF(Summary!$D$30="Included Margin",IF(AND($B507&gt;Input!$C$9,Summary!$D$31&lt;&gt;"Included Margin"),0,1),0))</f>
        <v>-4.4999999999999997E-3</v>
      </c>
      <c r="AE507" s="159">
        <f>IF(E507="","",IF(Summary!$D$26="Included Margin",IF(AND($B507&gt;Input!$C$9,Summary!$D$31&lt;&gt;"Included Margin"),1,1/$R507),1))</f>
        <v>1.2281564387933372</v>
      </c>
      <c r="AF507" s="160">
        <f>IF(E507="","",IF(AND($B507&gt;=Input!$C$9,$C507=12,Summary!$D$31="Included Margin",$U507&gt;0),1/U507-1,IF($B507&gt;=Input!$C$9,0,Input!$C$45*IF(Summary!$D$27="Included Margin",1,0))))</f>
        <v>0</v>
      </c>
      <c r="AG507" s="160">
        <f>IF(E507="","",Input!$C$46*IF(Summary!$D$28="Included Margin",IF(AND($B507&gt;Input!$C$9,Summary!$D$31&lt;&gt;"Included Margin"),0,1),0))</f>
        <v>0.02</v>
      </c>
      <c r="AH507" s="158">
        <f>IF(E507="","",Input!$C$47*IF(Summary!$D$29="Included Margin",IF(AND($B507&gt;Input!$C$9,Summary!$D$31&lt;&gt;"Included Margin"),0,1),0))</f>
        <v>2.5000000000000001E-3</v>
      </c>
      <c r="AI507" s="154"/>
      <c r="AJ507" s="158">
        <f t="shared" si="312"/>
        <v>4.2000000000000003E-2</v>
      </c>
      <c r="AK507" s="155">
        <f t="shared" si="313"/>
        <v>3.4343792900468628E-3</v>
      </c>
      <c r="AL507" s="147">
        <f t="shared" si="314"/>
        <v>0.34527961496250004</v>
      </c>
      <c r="AM507" s="147">
        <f t="shared" si="292"/>
        <v>3.4679960649332542E-2</v>
      </c>
      <c r="AN507" s="160">
        <f t="shared" si="315"/>
        <v>0</v>
      </c>
      <c r="AO507" s="161">
        <f t="shared" si="316"/>
        <v>0</v>
      </c>
      <c r="AP507" s="156">
        <f t="shared" si="293"/>
        <v>2.4899807171436357</v>
      </c>
      <c r="AQ507" s="152"/>
      <c r="AR507" s="162">
        <f t="shared" si="294"/>
        <v>6792.6097913673184</v>
      </c>
      <c r="AS507" s="150">
        <f t="shared" si="317"/>
        <v>0</v>
      </c>
      <c r="AT507" s="163">
        <f t="shared" si="295"/>
        <v>0</v>
      </c>
      <c r="AU507" s="163">
        <f t="shared" si="296"/>
        <v>3467.9960649332543</v>
      </c>
      <c r="AV507" s="163">
        <f t="shared" si="318"/>
        <v>17.373191461156068</v>
      </c>
      <c r="AW507" s="163">
        <f t="shared" si="297"/>
        <v>120.06414879577071</v>
      </c>
      <c r="AX507" s="163">
        <f t="shared" si="298"/>
        <v>0</v>
      </c>
      <c r="AY507" s="164">
        <f t="shared" si="319"/>
        <v>3462.0510666909909</v>
      </c>
      <c r="AZ507" s="164">
        <f>IF($E507="","",IF(OR(AND($D507=Input!$C$6,$C507=12),$AN507=1),0,-AS508+AT508+AU508-AV508-AW508-AX508+AZ508))</f>
        <v>3462.0612753804116</v>
      </c>
      <c r="BA507" s="154">
        <f t="shared" si="299"/>
        <v>1.0208689420778683E-2</v>
      </c>
      <c r="BC507" s="147">
        <f t="shared" si="320"/>
        <v>1.574717836312532E-3</v>
      </c>
      <c r="BD507" s="164">
        <f>IF(AND($C506=12,$D506=Input!$C$6),0,IF($E507="","",AT507+(AU507+BD508)/(1+$AK507)*MIN((1-AM507-AN507),1)))</f>
        <v>2079.9077694595539</v>
      </c>
      <c r="BE507" s="164">
        <f t="shared" si="300"/>
        <v>3.2752678624529734</v>
      </c>
      <c r="BF507" s="164">
        <f t="shared" si="321"/>
        <v>3462.0612753804116</v>
      </c>
      <c r="BG507" s="164">
        <f t="shared" si="301"/>
        <v>5.4517696407484468</v>
      </c>
      <c r="BH507" s="152"/>
      <c r="BI507" s="162">
        <f t="shared" si="302"/>
        <v>-4026.0864001002219</v>
      </c>
      <c r="BJ507" s="150">
        <f t="shared" si="303"/>
        <v>0</v>
      </c>
      <c r="BK507" s="163">
        <f t="shared" si="325"/>
        <v>0</v>
      </c>
      <c r="BL507" s="163">
        <f t="shared" si="304"/>
        <v>1962.2872649482258</v>
      </c>
      <c r="BM507" s="163">
        <f t="shared" si="326"/>
        <v>-19.001372852893422</v>
      </c>
      <c r="BN507" s="163">
        <f t="shared" si="305"/>
        <v>-120.24129661511172</v>
      </c>
      <c r="BO507" s="163">
        <f t="shared" si="306"/>
        <v>0</v>
      </c>
      <c r="BP507" s="164">
        <f t="shared" si="327"/>
        <v>-6127.6163345164532</v>
      </c>
      <c r="BQ507" s="164">
        <f>IF($E507="","",IF(AND($D507=Input!$C$6,$C507=12),0,-BJ508+BK508+BL508-BM508-BN508-BO508+BQ508))</f>
        <v>-6127.6092834595365</v>
      </c>
      <c r="BR507" s="161">
        <f t="shared" si="307"/>
        <v>0</v>
      </c>
      <c r="BT507" s="147">
        <f t="shared" si="308"/>
        <v>1.574717836312532E-3</v>
      </c>
      <c r="BU507" s="164">
        <f>IF(AND($C506=12,$D506=Input!$C$6),0,IF($E507="","",BK507+(BL507+BU508)/(1+$AK507)*MIN((1-T507-U507),1)))</f>
        <v>64026.574925241817</v>
      </c>
      <c r="BV507" s="164">
        <f t="shared" si="309"/>
        <v>100.82378953277902</v>
      </c>
      <c r="BW507" s="164">
        <f t="shared" si="310"/>
        <v>-6127.6092834595365</v>
      </c>
      <c r="BX507" s="164">
        <f t="shared" si="311"/>
        <v>-9.6492556326179866</v>
      </c>
    </row>
    <row r="508" spans="1:76" s="150" customFormat="1" x14ac:dyDescent="0.25">
      <c r="A508" s="150">
        <f t="shared" si="322"/>
        <v>504</v>
      </c>
      <c r="B508" s="150">
        <f t="shared" si="323"/>
        <v>42</v>
      </c>
      <c r="C508" s="150">
        <f t="shared" si="324"/>
        <v>12</v>
      </c>
      <c r="D508" s="150">
        <f>IF(E508="","",Input!$C$4+B508-1)</f>
        <v>86</v>
      </c>
      <c r="E508" s="150">
        <f>IF(OR(AND(C507=12,D507=Input!$C$6),E507=""),"",1)</f>
        <v>1</v>
      </c>
      <c r="F508" s="150">
        <f>IF(E508="","",Input!$C$8+B508-1)</f>
        <v>2059</v>
      </c>
      <c r="G508" s="151">
        <f>IF(E508="","",MAX(0,Input!$C$9-B508))</f>
        <v>0</v>
      </c>
      <c r="H508" s="152">
        <f>IF(E508="","",Input!$C$3)</f>
        <v>100000</v>
      </c>
      <c r="I508" s="153">
        <f>IF(E508="","",HLOOKUP($B508,Input!$C$13:$BT$14,2))</f>
        <v>230.52050000000003</v>
      </c>
      <c r="J508" s="154"/>
      <c r="K508" s="155">
        <f>IF($E508="","",INDEX(Input!$C$16:$CP$16,1,$B508))</f>
        <v>3.15E-2</v>
      </c>
      <c r="L508" s="155">
        <f>IF($E508="","",Input!$C$37)</f>
        <v>1.4999999999999999E-2</v>
      </c>
      <c r="M508" s="155">
        <f t="shared" si="328"/>
        <v>4.65E-2</v>
      </c>
      <c r="N508" s="155">
        <f t="shared" si="329"/>
        <v>3.7947872834442897E-3</v>
      </c>
      <c r="O508" s="147">
        <f>IF($E508="","",MIN(VLOOKUP(IF($B508&lt;=Input!$C$7,$B508,26),'Mortality Tables'!$A$41:$CW$67,IF($B508&lt;=Input!$C$7+1,Input!$C$4+2,$D508-Input!$C$7+2),0)*IF(B508&gt;20,Input!$C$22,1)/1000,1))</f>
        <v>0.25994160000000005</v>
      </c>
      <c r="P508" s="147">
        <f>IF($E508="","",MIN(VLOOKUP(IF($B508&lt;=Input!$C$7,$B508,26),'Mortality Tables'!$A$12:$CW$37,IF($B508&lt;=Input!$C$7+1,Input!$C$4+2,$D508-Input!$C$7+2),0)*IF(B508&gt;20,Input!$C$22,1)/1000,1))</f>
        <v>0.32492700000000002</v>
      </c>
      <c r="Q508" s="155">
        <f>IF($E508="","",Input!$C$21)</f>
        <v>5.0000000000000001E-3</v>
      </c>
      <c r="R508" s="159">
        <f>IF($E508="","",(1-Q508)^($F508-Input!$C$20))</f>
        <v>0.81422852041756122</v>
      </c>
      <c r="S508" s="147">
        <f t="shared" si="290"/>
        <v>0.21165186436297356</v>
      </c>
      <c r="T508" s="147">
        <f t="shared" si="291"/>
        <v>1.9622872649482259E-2</v>
      </c>
      <c r="U508" s="160">
        <f>IF($E508="","",IF($C508=12,INDEX(Input!$C$15:$CP$15,1,$B508),0))</f>
        <v>0.1</v>
      </c>
      <c r="V508" s="150">
        <f>IF(E508="","",IF(C508=1,IF($B508=1,Input!$C$33,Input!$C$34),0))</f>
        <v>0</v>
      </c>
      <c r="W508" s="156">
        <f>IF($E508="","",Input!$C$35)</f>
        <v>0.02</v>
      </c>
      <c r="X508" s="156">
        <f t="shared" si="330"/>
        <v>2.252200456887151</v>
      </c>
      <c r="Y508" s="154"/>
      <c r="Z508" s="147">
        <f>IF($E508="","",VLOOKUP($D508,'Mortality Margins &amp; Grading'!$AB$5:$AF$125,3,0)*IF(Summary!$D$25="Included Margin",IF(AND($B508&gt;Input!$C$9,Summary!$D$31&lt;&gt;"Included Margin"),0,1),0))</f>
        <v>2.3E-2</v>
      </c>
      <c r="AA508" s="147">
        <f>IF($E508="","",VLOOKUP($D508,'Mortality Margins &amp; Grading'!$AB$5:$AF$125,5,0)*IF(Summary!$D$25="Included Margin",IF(AND($B508&gt;Input!$C$9,Summary!$D$31&lt;&gt;"Included Margin"),0,1),0))</f>
        <v>0.11899999999999999</v>
      </c>
      <c r="AB508" s="147">
        <f>IF($E508="","",IF(AND($B508&gt;Input!$C$9,Summary!$D$31&lt;&gt;"Included Margin"),1,IF(Summary!$D$25="Included Margin",VLOOKUP($B508,'Mortality Margins &amp; Grading'!$AI$5:$AR$125,MATCH('Mortality Margins &amp; Grading'!$AQ$4,'Mortality Margins &amp; Grading'!$AI$4:$AR$4,0),0),1)))</f>
        <v>0.1875</v>
      </c>
      <c r="AC508" s="154"/>
      <c r="AD508" s="158">
        <f>IF(E508="","",Input!$C$48*IF(Summary!$D$30="Included Margin",IF(AND($B508&gt;Input!$C$9,Summary!$D$31&lt;&gt;"Included Margin"),0,1),0))</f>
        <v>-4.4999999999999997E-3</v>
      </c>
      <c r="AE508" s="159">
        <f>IF(E508="","",IF(Summary!$D$26="Included Margin",IF(AND($B508&gt;Input!$C$9,Summary!$D$31&lt;&gt;"Included Margin"),1,1/$R508),1))</f>
        <v>1.2281564387933372</v>
      </c>
      <c r="AF508" s="160">
        <f>IF(E508="","",IF(AND($B508&gt;=Input!$C$9,$C508=12,Summary!$D$31="Included Margin",$U508&gt;0),1/U508-1,IF($B508&gt;=Input!$C$9,0,Input!$C$45*IF(Summary!$D$27="Included Margin",1,0))))</f>
        <v>9</v>
      </c>
      <c r="AG508" s="160">
        <f>IF(E508="","",Input!$C$46*IF(Summary!$D$28="Included Margin",IF(AND($B508&gt;Input!$C$9,Summary!$D$31&lt;&gt;"Included Margin"),0,1),0))</f>
        <v>0.02</v>
      </c>
      <c r="AH508" s="158">
        <f>IF(E508="","",Input!$C$47*IF(Summary!$D$29="Included Margin",IF(AND($B508&gt;Input!$C$9,Summary!$D$31&lt;&gt;"Included Margin"),0,1),0))</f>
        <v>2.5000000000000001E-3</v>
      </c>
      <c r="AI508" s="154"/>
      <c r="AJ508" s="158">
        <f t="shared" si="312"/>
        <v>4.2000000000000003E-2</v>
      </c>
      <c r="AK508" s="155">
        <f t="shared" si="313"/>
        <v>3.4343792900468628E-3</v>
      </c>
      <c r="AL508" s="147">
        <f t="shared" si="314"/>
        <v>0.34527961496250004</v>
      </c>
      <c r="AM508" s="147">
        <f t="shared" si="292"/>
        <v>3.4679960649332542E-2</v>
      </c>
      <c r="AN508" s="160">
        <f t="shared" si="315"/>
        <v>1</v>
      </c>
      <c r="AO508" s="161">
        <f t="shared" si="316"/>
        <v>0</v>
      </c>
      <c r="AP508" s="156">
        <f t="shared" si="293"/>
        <v>2.4899807171436357</v>
      </c>
      <c r="AQ508" s="152"/>
      <c r="AR508" s="162">
        <f t="shared" si="294"/>
        <v>3462.05106669099</v>
      </c>
      <c r="AS508" s="150">
        <f t="shared" si="317"/>
        <v>0</v>
      </c>
      <c r="AT508" s="163">
        <f t="shared" si="295"/>
        <v>0</v>
      </c>
      <c r="AU508" s="163">
        <f t="shared" si="296"/>
        <v>3467.9960649332543</v>
      </c>
      <c r="AV508" s="163">
        <f t="shared" si="318"/>
        <v>5.9347895528427941</v>
      </c>
      <c r="AW508" s="163">
        <f t="shared" si="297"/>
        <v>0</v>
      </c>
      <c r="AX508" s="163">
        <f t="shared" si="298"/>
        <v>0</v>
      </c>
      <c r="AY508" s="165">
        <f t="shared" si="319"/>
        <v>-1.0208689421524753E-2</v>
      </c>
      <c r="AZ508" s="164">
        <f>IF($E508="","",IF(OR(AND($D508=Input!$C$6,$C508=12),$AN508=1),0,-AS509+AT509+AU509-AV509-AW509-AX509+AZ509))</f>
        <v>0</v>
      </c>
      <c r="BA508" s="154">
        <f t="shared" si="299"/>
        <v>1.0208689421524753E-2</v>
      </c>
      <c r="BC508" s="147">
        <f t="shared" si="320"/>
        <v>1.3863455651204498E-3</v>
      </c>
      <c r="BD508" s="164">
        <f>IF(AND($C507=12,$D507=Input!$C$6),0,IF($E508="","",AT508+(AU508+BD509)/(1+$AK508)*MIN((1-AM508-AN508),1)))</f>
        <v>-1305.9659852178572</v>
      </c>
      <c r="BE508" s="164">
        <f t="shared" si="300"/>
        <v>-1.8105201518049352</v>
      </c>
      <c r="BF508" s="164">
        <f t="shared" si="321"/>
        <v>0</v>
      </c>
      <c r="BG508" s="164">
        <f t="shared" si="301"/>
        <v>0</v>
      </c>
      <c r="BH508" s="152"/>
      <c r="BI508" s="162">
        <f t="shared" si="302"/>
        <v>-6127.6163345164532</v>
      </c>
      <c r="BJ508" s="150">
        <f t="shared" si="303"/>
        <v>0</v>
      </c>
      <c r="BK508" s="163">
        <f t="shared" si="325"/>
        <v>0</v>
      </c>
      <c r="BL508" s="163">
        <f t="shared" si="304"/>
        <v>1962.2872649482258</v>
      </c>
      <c r="BM508" s="163">
        <f t="shared" si="326"/>
        <v>-26.976231923793648</v>
      </c>
      <c r="BN508" s="163">
        <f t="shared" si="305"/>
        <v>-180.51597632630936</v>
      </c>
      <c r="BO508" s="163">
        <f t="shared" si="306"/>
        <v>-901.87475337017304</v>
      </c>
      <c r="BP508" s="164">
        <f t="shared" si="327"/>
        <v>-9199.2705610849553</v>
      </c>
      <c r="BQ508" s="164">
        <f>IF($E508="","",IF(AND($D508=Input!$C$6,$C508=12),0,-BJ509+BK509+BL509-BM509-BN509-BO509+BQ509))</f>
        <v>-9199.2635100280386</v>
      </c>
      <c r="BR508" s="161">
        <f t="shared" si="307"/>
        <v>0</v>
      </c>
      <c r="BT508" s="147">
        <f t="shared" si="308"/>
        <v>1.3863455651204498E-3</v>
      </c>
      <c r="BU508" s="164">
        <f>IF(AND($C507=12,$D507=Input!$C$6),0,IF($E508="","",BK508+(BL508+BU509)/(1+$AK508)*MIN((1-T508-U508),1)))</f>
        <v>63570.113151006641</v>
      </c>
      <c r="BV508" s="164">
        <f t="shared" si="309"/>
        <v>88.130144441103241</v>
      </c>
      <c r="BW508" s="164">
        <f t="shared" si="310"/>
        <v>-9199.2635100280386</v>
      </c>
      <c r="BX508" s="164">
        <f t="shared" si="311"/>
        <v>-12.753358169501753</v>
      </c>
    </row>
    <row r="509" spans="1:76" s="150" customFormat="1" x14ac:dyDescent="0.25">
      <c r="A509" s="150">
        <f t="shared" si="322"/>
        <v>505</v>
      </c>
      <c r="B509" s="150">
        <f t="shared" si="323"/>
        <v>43</v>
      </c>
      <c r="C509" s="150">
        <f t="shared" si="324"/>
        <v>1</v>
      </c>
      <c r="D509" s="150">
        <f>IF(E509="","",Input!$C$4+B509-1)</f>
        <v>87</v>
      </c>
      <c r="E509" s="150">
        <f>IF(OR(AND(C508=12,D508=Input!$C$6),E508=""),"",1)</f>
        <v>1</v>
      </c>
      <c r="F509" s="150">
        <f>IF(E509="","",Input!$C$8+B509-1)</f>
        <v>2060</v>
      </c>
      <c r="G509" s="151">
        <f>IF(E509="","",MAX(0,Input!$C$9-B509))</f>
        <v>0</v>
      </c>
      <c r="H509" s="152">
        <f>IF(E509="","",Input!$C$3)</f>
        <v>100000</v>
      </c>
      <c r="I509" s="153">
        <f>IF(E509="","",HLOOKUP($B509,Input!$C$13:$BT$14,2))</f>
        <v>263.64449999999999</v>
      </c>
      <c r="J509" s="154"/>
      <c r="K509" s="155">
        <f>IF($E509="","",INDEX(Input!$C$16:$CP$16,1,$B509))</f>
        <v>3.1649999999999998E-2</v>
      </c>
      <c r="L509" s="155">
        <f>IF($E509="","",Input!$C$37)</f>
        <v>1.4999999999999999E-2</v>
      </c>
      <c r="M509" s="155">
        <f t="shared" si="328"/>
        <v>4.6649999999999997E-2</v>
      </c>
      <c r="N509" s="155">
        <f t="shared" si="329"/>
        <v>3.8067764001290527E-3</v>
      </c>
      <c r="O509" s="147">
        <f>IF($E509="","",MIN(VLOOKUP(IF($B509&lt;=Input!$C$7,$B509,26),'Mortality Tables'!$A$41:$CW$67,IF($B509&lt;=Input!$C$7+1,Input!$C$4+2,$D509-Input!$C$7+2),0)*IF(B509&gt;20,Input!$C$22,1)/1000,1))</f>
        <v>0.29700840000000001</v>
      </c>
      <c r="P509" s="147">
        <f>IF($E509="","",MIN(VLOOKUP(IF($B509&lt;=Input!$C$7,$B509,26),'Mortality Tables'!$A$12:$CW$37,IF($B509&lt;=Input!$C$7+1,Input!$C$4+2,$D509-Input!$C$7+2),0)*IF(B509&gt;20,Input!$C$22,1)/1000,1))</f>
        <v>0.37126049999999999</v>
      </c>
      <c r="Q509" s="155">
        <f>IF($E509="","",Input!$C$21)</f>
        <v>5.0000000000000001E-3</v>
      </c>
      <c r="R509" s="159">
        <f>IF($E509="","",(1-Q509)^($F509-Input!$C$20))</f>
        <v>0.81015737781547348</v>
      </c>
      <c r="S509" s="147">
        <f t="shared" si="290"/>
        <v>0.24062354653316928</v>
      </c>
      <c r="T509" s="147">
        <f t="shared" si="291"/>
        <v>2.267705751356841E-2</v>
      </c>
      <c r="U509" s="160">
        <f>IF($E509="","",IF($C509=12,INDEX(Input!$C$15:$CP$15,1,$B509),0))</f>
        <v>0</v>
      </c>
      <c r="V509" s="150">
        <f>IF(E509="","",IF(C509=1,IF($B509=1,Input!$C$33,Input!$C$34),0))</f>
        <v>50</v>
      </c>
      <c r="W509" s="156">
        <f>IF($E509="","",Input!$C$35)</f>
        <v>0.02</v>
      </c>
      <c r="X509" s="156">
        <f t="shared" si="330"/>
        <v>2.2972444660248938</v>
      </c>
      <c r="Y509" s="154"/>
      <c r="Z509" s="147">
        <f>IF($E509="","",VLOOKUP($D509,'Mortality Margins &amp; Grading'!$AB$5:$AF$125,3,0)*IF(Summary!$D$25="Included Margin",IF(AND($B509&gt;Input!$C$9,Summary!$D$31&lt;&gt;"Included Margin"),0,1),0))</f>
        <v>2.3E-2</v>
      </c>
      <c r="AA509" s="147">
        <f>IF($E509="","",VLOOKUP($D509,'Mortality Margins &amp; Grading'!$AB$5:$AF$125,5,0)*IF(Summary!$D$25="Included Margin",IF(AND($B509&gt;Input!$C$9,Summary!$D$31&lt;&gt;"Included Margin"),0,1),0))</f>
        <v>0.11899999999999999</v>
      </c>
      <c r="AB509" s="147">
        <f>IF($E509="","",IF(AND($B509&gt;Input!$C$9,Summary!$D$31&lt;&gt;"Included Margin"),1,IF(Summary!$D$25="Included Margin",VLOOKUP($B509,'Mortality Margins &amp; Grading'!$AI$5:$AR$125,MATCH('Mortality Margins &amp; Grading'!$AQ$4,'Mortality Margins &amp; Grading'!$AI$4:$AR$4,0),0),1)))</f>
        <v>0.125</v>
      </c>
      <c r="AC509" s="154"/>
      <c r="AD509" s="158">
        <f>IF(E509="","",Input!$C$48*IF(Summary!$D$30="Included Margin",IF(AND($B509&gt;Input!$C$9,Summary!$D$31&lt;&gt;"Included Margin"),0,1),0))</f>
        <v>-4.4999999999999997E-3</v>
      </c>
      <c r="AE509" s="159">
        <f>IF(E509="","",IF(Summary!$D$26="Included Margin",IF(AND($B509&gt;Input!$C$9,Summary!$D$31&lt;&gt;"Included Margin"),1,1/$R509),1))</f>
        <v>1.2343280791892834</v>
      </c>
      <c r="AF509" s="160">
        <f>IF(E509="","",IF(AND($B509&gt;=Input!$C$9,$C509=12,Summary!$D$31="Included Margin",$U509&gt;0),1/U509-1,IF($B509&gt;=Input!$C$9,0,Input!$C$45*IF(Summary!$D$27="Included Margin",1,0))))</f>
        <v>0</v>
      </c>
      <c r="AG509" s="160">
        <f>IF(E509="","",Input!$C$46*IF(Summary!$D$28="Included Margin",IF(AND($B509&gt;Input!$C$9,Summary!$D$31&lt;&gt;"Included Margin"),0,1),0))</f>
        <v>0.02</v>
      </c>
      <c r="AH509" s="158">
        <f>IF(E509="","",Input!$C$47*IF(Summary!$D$29="Included Margin",IF(AND($B509&gt;Input!$C$9,Summary!$D$31&lt;&gt;"Included Margin"),0,1),0))</f>
        <v>2.5000000000000001E-3</v>
      </c>
      <c r="AI509" s="154"/>
      <c r="AJ509" s="158">
        <f t="shared" si="312"/>
        <v>4.215E-2</v>
      </c>
      <c r="AK509" s="155">
        <f t="shared" si="313"/>
        <v>3.4464158565041814E-3</v>
      </c>
      <c r="AL509" s="147">
        <f t="shared" si="314"/>
        <v>0.40149038621249994</v>
      </c>
      <c r="AM509" s="147">
        <f t="shared" si="292"/>
        <v>4.1874068917897911E-2</v>
      </c>
      <c r="AN509" s="160">
        <f t="shared" si="315"/>
        <v>0</v>
      </c>
      <c r="AO509" s="161">
        <f t="shared" si="316"/>
        <v>51</v>
      </c>
      <c r="AP509" s="156">
        <f t="shared" si="293"/>
        <v>2.5460052832793676</v>
      </c>
      <c r="AQ509" s="152"/>
      <c r="AR509" s="162">
        <f t="shared" si="294"/>
        <v>13165.653924553397</v>
      </c>
      <c r="AS509" s="150">
        <f t="shared" si="317"/>
        <v>26364.45</v>
      </c>
      <c r="AT509" s="163">
        <f t="shared" si="295"/>
        <v>129.84626944724775</v>
      </c>
      <c r="AU509" s="163">
        <f t="shared" si="296"/>
        <v>4187.4068917897912</v>
      </c>
      <c r="AV509" s="163">
        <f t="shared" si="318"/>
        <v>128.57389997815847</v>
      </c>
      <c r="AW509" s="163">
        <f t="shared" si="297"/>
        <v>1544.5670801480039</v>
      </c>
      <c r="AX509" s="163">
        <f t="shared" si="298"/>
        <v>0</v>
      </c>
      <c r="AY509" s="164">
        <f t="shared" si="319"/>
        <v>36885.991743442522</v>
      </c>
      <c r="AZ509" s="164">
        <f>IF($E509="","",IF(OR(AND($D509=Input!$C$6,$C509=12),$AN509=1),0,-AS510+AT510+AU510-AV510-AW510-AX510+AZ510))</f>
        <v>36886.004156329349</v>
      </c>
      <c r="BA509" s="154">
        <f t="shared" si="299"/>
        <v>1.2412886826496106E-2</v>
      </c>
      <c r="BC509" s="147">
        <f t="shared" si="320"/>
        <v>1.3549073270065328E-3</v>
      </c>
      <c r="BD509" s="164">
        <f>IF(AND($C508=12,$D508=Input!$C$6),0,IF($E509="","",AT509+(AU509+BD510)/(1+$AK509)*MIN((1-AM509-AN509),1)))</f>
        <v>34318.989364538858</v>
      </c>
      <c r="BE509" s="164">
        <f t="shared" si="300"/>
        <v>46.499050145472971</v>
      </c>
      <c r="BF509" s="164">
        <f t="shared" si="321"/>
        <v>36886.004156329349</v>
      </c>
      <c r="BG509" s="164">
        <f t="shared" si="301"/>
        <v>49.977117295404057</v>
      </c>
      <c r="BH509" s="152"/>
      <c r="BI509" s="162">
        <f t="shared" si="302"/>
        <v>-9199.2717100610553</v>
      </c>
      <c r="BJ509" s="150">
        <f t="shared" si="303"/>
        <v>26364.45</v>
      </c>
      <c r="BK509" s="163">
        <f t="shared" si="325"/>
        <v>114.8622233012447</v>
      </c>
      <c r="BL509" s="163">
        <f t="shared" si="304"/>
        <v>2267.7057513568411</v>
      </c>
      <c r="BM509" s="163">
        <f t="shared" si="326"/>
        <v>60.590416448866549</v>
      </c>
      <c r="BN509" s="163">
        <f t="shared" si="305"/>
        <v>344.41051979721561</v>
      </c>
      <c r="BO509" s="163">
        <f t="shared" si="306"/>
        <v>0</v>
      </c>
      <c r="BP509" s="164">
        <f t="shared" si="327"/>
        <v>15187.61125152694</v>
      </c>
      <c r="BQ509" s="164">
        <f>IF($E509="","",IF(AND($D509=Input!$C$6,$C509=12),0,-BJ510+BK510+BL510-BM510-BN510-BO510+BQ510))</f>
        <v>15187.619451559964</v>
      </c>
      <c r="BR509" s="161">
        <f t="shared" si="307"/>
        <v>0</v>
      </c>
      <c r="BT509" s="147">
        <f t="shared" si="308"/>
        <v>1.3549073270065328E-3</v>
      </c>
      <c r="BU509" s="164">
        <f>IF(AND($C508=12,$D508=Input!$C$6),0,IF($E509="","",BK509+(BL509+BU510)/(1+$AK509)*MIN((1-T509-U509),1)))</f>
        <v>70493.521784803859</v>
      </c>
      <c r="BV509" s="164">
        <f t="shared" si="309"/>
        <v>95.512189172725385</v>
      </c>
      <c r="BW509" s="164">
        <f t="shared" si="310"/>
        <v>15187.619451559964</v>
      </c>
      <c r="BX509" s="164">
        <f t="shared" si="311"/>
        <v>20.577816874705533</v>
      </c>
    </row>
    <row r="510" spans="1:76" s="150" customFormat="1" x14ac:dyDescent="0.25">
      <c r="A510" s="150">
        <f t="shared" si="322"/>
        <v>506</v>
      </c>
      <c r="B510" s="150">
        <f t="shared" si="323"/>
        <v>43</v>
      </c>
      <c r="C510" s="150">
        <f t="shared" si="324"/>
        <v>2</v>
      </c>
      <c r="D510" s="150">
        <f>IF(E510="","",Input!$C$4+B510-1)</f>
        <v>87</v>
      </c>
      <c r="E510" s="150">
        <f>IF(OR(AND(C509=12,D509=Input!$C$6),E509=""),"",1)</f>
        <v>1</v>
      </c>
      <c r="F510" s="150">
        <f>IF(E510="","",Input!$C$8+B510-1)</f>
        <v>2060</v>
      </c>
      <c r="G510" s="151">
        <f>IF(E510="","",MAX(0,Input!$C$9-B510))</f>
        <v>0</v>
      </c>
      <c r="H510" s="152">
        <f>IF(E510="","",Input!$C$3)</f>
        <v>100000</v>
      </c>
      <c r="I510" s="153">
        <f>IF(E510="","",HLOOKUP($B510,Input!$C$13:$BT$14,2))</f>
        <v>263.64449999999999</v>
      </c>
      <c r="J510" s="154"/>
      <c r="K510" s="155">
        <f>IF($E510="","",INDEX(Input!$C$16:$CP$16,1,$B510))</f>
        <v>3.1649999999999998E-2</v>
      </c>
      <c r="L510" s="155">
        <f>IF($E510="","",Input!$C$37)</f>
        <v>1.4999999999999999E-2</v>
      </c>
      <c r="M510" s="155">
        <f t="shared" si="328"/>
        <v>4.6649999999999997E-2</v>
      </c>
      <c r="N510" s="155">
        <f t="shared" si="329"/>
        <v>3.8067764001290527E-3</v>
      </c>
      <c r="O510" s="147">
        <f>IF($E510="","",MIN(VLOOKUP(IF($B510&lt;=Input!$C$7,$B510,26),'Mortality Tables'!$A$41:$CW$67,IF($B510&lt;=Input!$C$7+1,Input!$C$4+2,$D510-Input!$C$7+2),0)*IF(B510&gt;20,Input!$C$22,1)/1000,1))</f>
        <v>0.29700840000000001</v>
      </c>
      <c r="P510" s="147">
        <f>IF($E510="","",MIN(VLOOKUP(IF($B510&lt;=Input!$C$7,$B510,26),'Mortality Tables'!$A$12:$CW$37,IF($B510&lt;=Input!$C$7+1,Input!$C$4+2,$D510-Input!$C$7+2),0)*IF(B510&gt;20,Input!$C$22,1)/1000,1))</f>
        <v>0.37126049999999999</v>
      </c>
      <c r="Q510" s="155">
        <f>IF($E510="","",Input!$C$21)</f>
        <v>5.0000000000000001E-3</v>
      </c>
      <c r="R510" s="159">
        <f>IF($E510="","",(1-Q510)^($F510-Input!$C$20))</f>
        <v>0.81015737781547348</v>
      </c>
      <c r="S510" s="147">
        <f t="shared" si="290"/>
        <v>0.24062354653316928</v>
      </c>
      <c r="T510" s="147">
        <f t="shared" si="291"/>
        <v>2.267705751356841E-2</v>
      </c>
      <c r="U510" s="160">
        <f>IF($E510="","",IF($C510=12,INDEX(Input!$C$15:$CP$15,1,$B510),0))</f>
        <v>0</v>
      </c>
      <c r="V510" s="150">
        <f>IF(E510="","",IF(C510=1,IF($B510=1,Input!$C$33,Input!$C$34),0))</f>
        <v>0</v>
      </c>
      <c r="W510" s="156">
        <f>IF($E510="","",Input!$C$35)</f>
        <v>0.02</v>
      </c>
      <c r="X510" s="156">
        <f t="shared" si="330"/>
        <v>2.2972444660248938</v>
      </c>
      <c r="Y510" s="154"/>
      <c r="Z510" s="147">
        <f>IF($E510="","",VLOOKUP($D510,'Mortality Margins &amp; Grading'!$AB$5:$AF$125,3,0)*IF(Summary!$D$25="Included Margin",IF(AND($B510&gt;Input!$C$9,Summary!$D$31&lt;&gt;"Included Margin"),0,1),0))</f>
        <v>2.3E-2</v>
      </c>
      <c r="AA510" s="147">
        <f>IF($E510="","",VLOOKUP($D510,'Mortality Margins &amp; Grading'!$AB$5:$AF$125,5,0)*IF(Summary!$D$25="Included Margin",IF(AND($B510&gt;Input!$C$9,Summary!$D$31&lt;&gt;"Included Margin"),0,1),0))</f>
        <v>0.11899999999999999</v>
      </c>
      <c r="AB510" s="147">
        <f>IF($E510="","",IF(AND($B510&gt;Input!$C$9,Summary!$D$31&lt;&gt;"Included Margin"),1,IF(Summary!$D$25="Included Margin",VLOOKUP($B510,'Mortality Margins &amp; Grading'!$AI$5:$AR$125,MATCH('Mortality Margins &amp; Grading'!$AQ$4,'Mortality Margins &amp; Grading'!$AI$4:$AR$4,0),0),1)))</f>
        <v>0.125</v>
      </c>
      <c r="AC510" s="154"/>
      <c r="AD510" s="158">
        <f>IF(E510="","",Input!$C$48*IF(Summary!$D$30="Included Margin",IF(AND($B510&gt;Input!$C$9,Summary!$D$31&lt;&gt;"Included Margin"),0,1),0))</f>
        <v>-4.4999999999999997E-3</v>
      </c>
      <c r="AE510" s="159">
        <f>IF(E510="","",IF(Summary!$D$26="Included Margin",IF(AND($B510&gt;Input!$C$9,Summary!$D$31&lt;&gt;"Included Margin"),1,1/$R510),1))</f>
        <v>1.2343280791892834</v>
      </c>
      <c r="AF510" s="160">
        <f>IF(E510="","",IF(AND($B510&gt;=Input!$C$9,$C510=12,Summary!$D$31="Included Margin",$U510&gt;0),1/U510-1,IF($B510&gt;=Input!$C$9,0,Input!$C$45*IF(Summary!$D$27="Included Margin",1,0))))</f>
        <v>0</v>
      </c>
      <c r="AG510" s="160">
        <f>IF(E510="","",Input!$C$46*IF(Summary!$D$28="Included Margin",IF(AND($B510&gt;Input!$C$9,Summary!$D$31&lt;&gt;"Included Margin"),0,1),0))</f>
        <v>0.02</v>
      </c>
      <c r="AH510" s="158">
        <f>IF(E510="","",Input!$C$47*IF(Summary!$D$29="Included Margin",IF(AND($B510&gt;Input!$C$9,Summary!$D$31&lt;&gt;"Included Margin"),0,1),0))</f>
        <v>2.5000000000000001E-3</v>
      </c>
      <c r="AI510" s="154"/>
      <c r="AJ510" s="158">
        <f t="shared" si="312"/>
        <v>4.215E-2</v>
      </c>
      <c r="AK510" s="155">
        <f t="shared" si="313"/>
        <v>3.4464158565041814E-3</v>
      </c>
      <c r="AL510" s="147">
        <f t="shared" si="314"/>
        <v>0.40149038621249994</v>
      </c>
      <c r="AM510" s="147">
        <f t="shared" si="292"/>
        <v>4.1874068917897911E-2</v>
      </c>
      <c r="AN510" s="160">
        <f t="shared" si="315"/>
        <v>0</v>
      </c>
      <c r="AO510" s="161">
        <f t="shared" si="316"/>
        <v>0</v>
      </c>
      <c r="AP510" s="156">
        <f t="shared" si="293"/>
        <v>2.5460052832793676</v>
      </c>
      <c r="AQ510" s="152"/>
      <c r="AR510" s="162">
        <f t="shared" si="294"/>
        <v>36885.991743442515</v>
      </c>
      <c r="AS510" s="150">
        <f t="shared" si="317"/>
        <v>0</v>
      </c>
      <c r="AT510" s="163">
        <f t="shared" si="295"/>
        <v>0</v>
      </c>
      <c r="AU510" s="163">
        <f t="shared" si="296"/>
        <v>4187.4068917897912</v>
      </c>
      <c r="AV510" s="163">
        <f t="shared" si="318"/>
        <v>119.90869407273297</v>
      </c>
      <c r="AW510" s="163">
        <f t="shared" si="297"/>
        <v>1434.3045477762098</v>
      </c>
      <c r="AX510" s="163">
        <f t="shared" si="298"/>
        <v>0</v>
      </c>
      <c r="AY510" s="165">
        <f t="shared" si="319"/>
        <v>34252.798093501668</v>
      </c>
      <c r="AZ510" s="164">
        <f>IF($E510="","",IF(OR(AND($D510=Input!$C$6,$C510=12),$AN510=1),0,-AS511+AT511+AU511-AV511-AW511-AX511+AZ511))</f>
        <v>34252.810506388501</v>
      </c>
      <c r="BA510" s="154">
        <f t="shared" si="299"/>
        <v>1.2412886833772063E-2</v>
      </c>
      <c r="BC510" s="147">
        <f t="shared" si="320"/>
        <v>1.3241820156264504E-3</v>
      </c>
      <c r="BD510" s="164">
        <f>IF(AND($C509=12,$D509=Input!$C$6),0,IF($E510="","",AT510+(AU510+BD511)/(1+$AK510)*MIN((1-AM510-AN510),1)))</f>
        <v>31618.922930876339</v>
      </c>
      <c r="BE510" s="164">
        <f t="shared" si="300"/>
        <v>41.86920909854522</v>
      </c>
      <c r="BF510" s="164">
        <f t="shared" si="321"/>
        <v>34252.810506388501</v>
      </c>
      <c r="BG510" s="164">
        <f t="shared" si="301"/>
        <v>45.356955657220382</v>
      </c>
      <c r="BH510" s="152"/>
      <c r="BI510" s="162">
        <f t="shared" si="302"/>
        <v>15187.611251526941</v>
      </c>
      <c r="BJ510" s="150">
        <f t="shared" si="303"/>
        <v>0</v>
      </c>
      <c r="BK510" s="163">
        <f t="shared" si="325"/>
        <v>0</v>
      </c>
      <c r="BL510" s="163">
        <f t="shared" si="304"/>
        <v>2267.7057513568411</v>
      </c>
      <c r="BM510" s="163">
        <f t="shared" si="326"/>
        <v>53.499515718296159</v>
      </c>
      <c r="BN510" s="163">
        <f t="shared" si="305"/>
        <v>301.02520349748465</v>
      </c>
      <c r="BO510" s="163">
        <f t="shared" si="306"/>
        <v>0</v>
      </c>
      <c r="BP510" s="164">
        <f t="shared" si="327"/>
        <v>13274.430219385882</v>
      </c>
      <c r="BQ510" s="164">
        <f>IF($E510="","",IF(AND($D510=Input!$C$6,$C510=12),0,-BJ511+BK511+BL511-BM511-BN511-BO511+BQ511))</f>
        <v>13274.438419418904</v>
      </c>
      <c r="BR510" s="161">
        <f t="shared" si="307"/>
        <v>0</v>
      </c>
      <c r="BT510" s="147">
        <f t="shared" si="308"/>
        <v>1.3241820156264504E-3</v>
      </c>
      <c r="BU510" s="164">
        <f>IF(AND($C509=12,$D509=Input!$C$6),0,IF($E510="","",BK510+(BL510+BU511)/(1+$AK510)*MIN((1-T510-U510),1)))</f>
        <v>69992.14881637253</v>
      </c>
      <c r="BV510" s="164">
        <f t="shared" si="309"/>
        <v>92.682344697690652</v>
      </c>
      <c r="BW510" s="164">
        <f t="shared" si="310"/>
        <v>13274.438419418904</v>
      </c>
      <c r="BX510" s="164">
        <f t="shared" si="311"/>
        <v>17.577772622535317</v>
      </c>
    </row>
    <row r="511" spans="1:76" s="150" customFormat="1" x14ac:dyDescent="0.25">
      <c r="A511" s="150">
        <f t="shared" si="322"/>
        <v>507</v>
      </c>
      <c r="B511" s="150">
        <f t="shared" si="323"/>
        <v>43</v>
      </c>
      <c r="C511" s="150">
        <f t="shared" si="324"/>
        <v>3</v>
      </c>
      <c r="D511" s="150">
        <f>IF(E511="","",Input!$C$4+B511-1)</f>
        <v>87</v>
      </c>
      <c r="E511" s="150">
        <f>IF(OR(AND(C510=12,D510=Input!$C$6),E510=""),"",1)</f>
        <v>1</v>
      </c>
      <c r="F511" s="150">
        <f>IF(E511="","",Input!$C$8+B511-1)</f>
        <v>2060</v>
      </c>
      <c r="G511" s="151">
        <f>IF(E511="","",MAX(0,Input!$C$9-B511))</f>
        <v>0</v>
      </c>
      <c r="H511" s="152">
        <f>IF(E511="","",Input!$C$3)</f>
        <v>100000</v>
      </c>
      <c r="I511" s="153">
        <f>IF(E511="","",HLOOKUP($B511,Input!$C$13:$BT$14,2))</f>
        <v>263.64449999999999</v>
      </c>
      <c r="J511" s="154"/>
      <c r="K511" s="155">
        <f>IF($E511="","",INDEX(Input!$C$16:$CP$16,1,$B511))</f>
        <v>3.1649999999999998E-2</v>
      </c>
      <c r="L511" s="155">
        <f>IF($E511="","",Input!$C$37)</f>
        <v>1.4999999999999999E-2</v>
      </c>
      <c r="M511" s="155">
        <f t="shared" si="328"/>
        <v>4.6649999999999997E-2</v>
      </c>
      <c r="N511" s="155">
        <f t="shared" si="329"/>
        <v>3.8067764001290527E-3</v>
      </c>
      <c r="O511" s="147">
        <f>IF($E511="","",MIN(VLOOKUP(IF($B511&lt;=Input!$C$7,$B511,26),'Mortality Tables'!$A$41:$CW$67,IF($B511&lt;=Input!$C$7+1,Input!$C$4+2,$D511-Input!$C$7+2),0)*IF(B511&gt;20,Input!$C$22,1)/1000,1))</f>
        <v>0.29700840000000001</v>
      </c>
      <c r="P511" s="147">
        <f>IF($E511="","",MIN(VLOOKUP(IF($B511&lt;=Input!$C$7,$B511,26),'Mortality Tables'!$A$12:$CW$37,IF($B511&lt;=Input!$C$7+1,Input!$C$4+2,$D511-Input!$C$7+2),0)*IF(B511&gt;20,Input!$C$22,1)/1000,1))</f>
        <v>0.37126049999999999</v>
      </c>
      <c r="Q511" s="155">
        <f>IF($E511="","",Input!$C$21)</f>
        <v>5.0000000000000001E-3</v>
      </c>
      <c r="R511" s="159">
        <f>IF($E511="","",(1-Q511)^($F511-Input!$C$20))</f>
        <v>0.81015737781547348</v>
      </c>
      <c r="S511" s="147">
        <f t="shared" si="290"/>
        <v>0.24062354653316928</v>
      </c>
      <c r="T511" s="147">
        <f t="shared" si="291"/>
        <v>2.267705751356841E-2</v>
      </c>
      <c r="U511" s="160">
        <f>IF($E511="","",IF($C511=12,INDEX(Input!$C$15:$CP$15,1,$B511),0))</f>
        <v>0</v>
      </c>
      <c r="V511" s="150">
        <f>IF(E511="","",IF(C511=1,IF($B511=1,Input!$C$33,Input!$C$34),0))</f>
        <v>0</v>
      </c>
      <c r="W511" s="156">
        <f>IF($E511="","",Input!$C$35)</f>
        <v>0.02</v>
      </c>
      <c r="X511" s="156">
        <f t="shared" si="330"/>
        <v>2.2972444660248938</v>
      </c>
      <c r="Y511" s="154"/>
      <c r="Z511" s="147">
        <f>IF($E511="","",VLOOKUP($D511,'Mortality Margins &amp; Grading'!$AB$5:$AF$125,3,0)*IF(Summary!$D$25="Included Margin",IF(AND($B511&gt;Input!$C$9,Summary!$D$31&lt;&gt;"Included Margin"),0,1),0))</f>
        <v>2.3E-2</v>
      </c>
      <c r="AA511" s="147">
        <f>IF($E511="","",VLOOKUP($D511,'Mortality Margins &amp; Grading'!$AB$5:$AF$125,5,0)*IF(Summary!$D$25="Included Margin",IF(AND($B511&gt;Input!$C$9,Summary!$D$31&lt;&gt;"Included Margin"),0,1),0))</f>
        <v>0.11899999999999999</v>
      </c>
      <c r="AB511" s="147">
        <f>IF($E511="","",IF(AND($B511&gt;Input!$C$9,Summary!$D$31&lt;&gt;"Included Margin"),1,IF(Summary!$D$25="Included Margin",VLOOKUP($B511,'Mortality Margins &amp; Grading'!$AI$5:$AR$125,MATCH('Mortality Margins &amp; Grading'!$AQ$4,'Mortality Margins &amp; Grading'!$AI$4:$AR$4,0),0),1)))</f>
        <v>0.125</v>
      </c>
      <c r="AC511" s="154"/>
      <c r="AD511" s="158">
        <f>IF(E511="","",Input!$C$48*IF(Summary!$D$30="Included Margin",IF(AND($B511&gt;Input!$C$9,Summary!$D$31&lt;&gt;"Included Margin"),0,1),0))</f>
        <v>-4.4999999999999997E-3</v>
      </c>
      <c r="AE511" s="159">
        <f>IF(E511="","",IF(Summary!$D$26="Included Margin",IF(AND($B511&gt;Input!$C$9,Summary!$D$31&lt;&gt;"Included Margin"),1,1/$R511),1))</f>
        <v>1.2343280791892834</v>
      </c>
      <c r="AF511" s="160">
        <f>IF(E511="","",IF(AND($B511&gt;=Input!$C$9,$C511=12,Summary!$D$31="Included Margin",$U511&gt;0),1/U511-1,IF($B511&gt;=Input!$C$9,0,Input!$C$45*IF(Summary!$D$27="Included Margin",1,0))))</f>
        <v>0</v>
      </c>
      <c r="AG511" s="160">
        <f>IF(E511="","",Input!$C$46*IF(Summary!$D$28="Included Margin",IF(AND($B511&gt;Input!$C$9,Summary!$D$31&lt;&gt;"Included Margin"),0,1),0))</f>
        <v>0.02</v>
      </c>
      <c r="AH511" s="158">
        <f>IF(E511="","",Input!$C$47*IF(Summary!$D$29="Included Margin",IF(AND($B511&gt;Input!$C$9,Summary!$D$31&lt;&gt;"Included Margin"),0,1),0))</f>
        <v>2.5000000000000001E-3</v>
      </c>
      <c r="AI511" s="154"/>
      <c r="AJ511" s="158">
        <f t="shared" si="312"/>
        <v>4.215E-2</v>
      </c>
      <c r="AK511" s="155">
        <f t="shared" si="313"/>
        <v>3.4464158565041814E-3</v>
      </c>
      <c r="AL511" s="147">
        <f t="shared" si="314"/>
        <v>0.40149038621249994</v>
      </c>
      <c r="AM511" s="147">
        <f t="shared" si="292"/>
        <v>4.1874068917897911E-2</v>
      </c>
      <c r="AN511" s="160">
        <f t="shared" si="315"/>
        <v>0</v>
      </c>
      <c r="AO511" s="161">
        <f t="shared" si="316"/>
        <v>0</v>
      </c>
      <c r="AP511" s="156">
        <f t="shared" si="293"/>
        <v>2.5460052832793676</v>
      </c>
      <c r="AQ511" s="152"/>
      <c r="AR511" s="162">
        <f t="shared" si="294"/>
        <v>34252.798093501668</v>
      </c>
      <c r="AS511" s="150">
        <f t="shared" si="317"/>
        <v>0</v>
      </c>
      <c r="AT511" s="163">
        <f t="shared" si="295"/>
        <v>0</v>
      </c>
      <c r="AU511" s="163">
        <f t="shared" si="296"/>
        <v>4187.4068917897912</v>
      </c>
      <c r="AV511" s="163">
        <f t="shared" si="318"/>
        <v>110.83361372433073</v>
      </c>
      <c r="AW511" s="163">
        <f t="shared" si="297"/>
        <v>1318.826467784387</v>
      </c>
      <c r="AX511" s="163">
        <f t="shared" si="298"/>
        <v>0</v>
      </c>
      <c r="AY511" s="164">
        <f t="shared" si="319"/>
        <v>31495.051283220597</v>
      </c>
      <c r="AZ511" s="164">
        <f>IF($E511="","",IF(OR(AND($D511=Input!$C$6,$C511=12),$AN511=1),0,-AS512+AT512+AU512-AV512-AW512-AX512+AZ512))</f>
        <v>31495.063696107427</v>
      </c>
      <c r="BA511" s="154">
        <f t="shared" si="299"/>
        <v>1.2412886830134084E-2</v>
      </c>
      <c r="BC511" s="147">
        <f t="shared" si="320"/>
        <v>1.2941534638996565E-3</v>
      </c>
      <c r="BD511" s="164">
        <f>IF(AND($C510=12,$D510=Input!$C$6),0,IF($E511="","",AT511+(AU511+BD512)/(1+$AK511)*MIN((1-AM511-AN511),1)))</f>
        <v>28927.12832634963</v>
      </c>
      <c r="BE511" s="164">
        <f t="shared" si="300"/>
        <v>37.436143324215244</v>
      </c>
      <c r="BF511" s="164">
        <f t="shared" si="321"/>
        <v>31495.063696107427</v>
      </c>
      <c r="BG511" s="164">
        <f t="shared" si="301"/>
        <v>40.759445778057746</v>
      </c>
      <c r="BH511" s="152"/>
      <c r="BI511" s="162">
        <f t="shared" si="302"/>
        <v>13274.430219385882</v>
      </c>
      <c r="BJ511" s="150">
        <f t="shared" si="303"/>
        <v>0</v>
      </c>
      <c r="BK511" s="163">
        <f t="shared" si="325"/>
        <v>0</v>
      </c>
      <c r="BL511" s="163">
        <f t="shared" si="304"/>
        <v>2267.7057513568411</v>
      </c>
      <c r="BM511" s="163">
        <f t="shared" si="326"/>
        <v>46.216463315967033</v>
      </c>
      <c r="BN511" s="163">
        <f t="shared" si="305"/>
        <v>256.46421694463129</v>
      </c>
      <c r="BO511" s="163">
        <f t="shared" si="306"/>
        <v>0</v>
      </c>
      <c r="BP511" s="164">
        <f t="shared" si="327"/>
        <v>11309.405148289638</v>
      </c>
      <c r="BQ511" s="164">
        <f>IF($E511="","",IF(AND($D511=Input!$C$6,$C511=12),0,-BJ512+BK512+BL512-BM512-BN512-BO512+BQ512))</f>
        <v>11309.413348322661</v>
      </c>
      <c r="BR511" s="161">
        <f t="shared" si="307"/>
        <v>0</v>
      </c>
      <c r="BT511" s="147">
        <f t="shared" si="308"/>
        <v>1.2941534638996565E-3</v>
      </c>
      <c r="BU511" s="164">
        <f>IF(AND($C510=12,$D510=Input!$C$6),0,IF($E511="","",BK511+(BL511+BU512)/(1+$AK511)*MIN((1-T511-U511),1)))</f>
        <v>69595.306784910455</v>
      </c>
      <c r="BV511" s="164">
        <f t="shared" si="309"/>
        <v>90.067007346851128</v>
      </c>
      <c r="BW511" s="164">
        <f t="shared" si="310"/>
        <v>11309.413348322661</v>
      </c>
      <c r="BX511" s="164">
        <f t="shared" si="311"/>
        <v>14.636116459404784</v>
      </c>
    </row>
    <row r="512" spans="1:76" s="150" customFormat="1" x14ac:dyDescent="0.25">
      <c r="A512" s="150">
        <f t="shared" si="322"/>
        <v>508</v>
      </c>
      <c r="B512" s="150">
        <f t="shared" si="323"/>
        <v>43</v>
      </c>
      <c r="C512" s="150">
        <f t="shared" si="324"/>
        <v>4</v>
      </c>
      <c r="D512" s="150">
        <f>IF(E512="","",Input!$C$4+B512-1)</f>
        <v>87</v>
      </c>
      <c r="E512" s="150">
        <f>IF(OR(AND(C511=12,D511=Input!$C$6),E511=""),"",1)</f>
        <v>1</v>
      </c>
      <c r="F512" s="150">
        <f>IF(E512="","",Input!$C$8+B512-1)</f>
        <v>2060</v>
      </c>
      <c r="G512" s="151">
        <f>IF(E512="","",MAX(0,Input!$C$9-B512))</f>
        <v>0</v>
      </c>
      <c r="H512" s="152">
        <f>IF(E512="","",Input!$C$3)</f>
        <v>100000</v>
      </c>
      <c r="I512" s="153">
        <f>IF(E512="","",HLOOKUP($B512,Input!$C$13:$BT$14,2))</f>
        <v>263.64449999999999</v>
      </c>
      <c r="J512" s="154"/>
      <c r="K512" s="155">
        <f>IF($E512="","",INDEX(Input!$C$16:$CP$16,1,$B512))</f>
        <v>3.1649999999999998E-2</v>
      </c>
      <c r="L512" s="155">
        <f>IF($E512="","",Input!$C$37)</f>
        <v>1.4999999999999999E-2</v>
      </c>
      <c r="M512" s="155">
        <f t="shared" si="328"/>
        <v>4.6649999999999997E-2</v>
      </c>
      <c r="N512" s="155">
        <f t="shared" si="329"/>
        <v>3.8067764001290527E-3</v>
      </c>
      <c r="O512" s="147">
        <f>IF($E512="","",MIN(VLOOKUP(IF($B512&lt;=Input!$C$7,$B512,26),'Mortality Tables'!$A$41:$CW$67,IF($B512&lt;=Input!$C$7+1,Input!$C$4+2,$D512-Input!$C$7+2),0)*IF(B512&gt;20,Input!$C$22,1)/1000,1))</f>
        <v>0.29700840000000001</v>
      </c>
      <c r="P512" s="147">
        <f>IF($E512="","",MIN(VLOOKUP(IF($B512&lt;=Input!$C$7,$B512,26),'Mortality Tables'!$A$12:$CW$37,IF($B512&lt;=Input!$C$7+1,Input!$C$4+2,$D512-Input!$C$7+2),0)*IF(B512&gt;20,Input!$C$22,1)/1000,1))</f>
        <v>0.37126049999999999</v>
      </c>
      <c r="Q512" s="155">
        <f>IF($E512="","",Input!$C$21)</f>
        <v>5.0000000000000001E-3</v>
      </c>
      <c r="R512" s="159">
        <f>IF($E512="","",(1-Q512)^($F512-Input!$C$20))</f>
        <v>0.81015737781547348</v>
      </c>
      <c r="S512" s="147">
        <f t="shared" si="290"/>
        <v>0.24062354653316928</v>
      </c>
      <c r="T512" s="147">
        <f t="shared" si="291"/>
        <v>2.267705751356841E-2</v>
      </c>
      <c r="U512" s="160">
        <f>IF($E512="","",IF($C512=12,INDEX(Input!$C$15:$CP$15,1,$B512),0))</f>
        <v>0</v>
      </c>
      <c r="V512" s="150">
        <f>IF(E512="","",IF(C512=1,IF($B512=1,Input!$C$33,Input!$C$34),0))</f>
        <v>0</v>
      </c>
      <c r="W512" s="156">
        <f>IF($E512="","",Input!$C$35)</f>
        <v>0.02</v>
      </c>
      <c r="X512" s="156">
        <f t="shared" si="330"/>
        <v>2.2972444660248938</v>
      </c>
      <c r="Y512" s="154"/>
      <c r="Z512" s="147">
        <f>IF($E512="","",VLOOKUP($D512,'Mortality Margins &amp; Grading'!$AB$5:$AF$125,3,0)*IF(Summary!$D$25="Included Margin",IF(AND($B512&gt;Input!$C$9,Summary!$D$31&lt;&gt;"Included Margin"),0,1),0))</f>
        <v>2.3E-2</v>
      </c>
      <c r="AA512" s="147">
        <f>IF($E512="","",VLOOKUP($D512,'Mortality Margins &amp; Grading'!$AB$5:$AF$125,5,0)*IF(Summary!$D$25="Included Margin",IF(AND($B512&gt;Input!$C$9,Summary!$D$31&lt;&gt;"Included Margin"),0,1),0))</f>
        <v>0.11899999999999999</v>
      </c>
      <c r="AB512" s="147">
        <f>IF($E512="","",IF(AND($B512&gt;Input!$C$9,Summary!$D$31&lt;&gt;"Included Margin"),1,IF(Summary!$D$25="Included Margin",VLOOKUP($B512,'Mortality Margins &amp; Grading'!$AI$5:$AR$125,MATCH('Mortality Margins &amp; Grading'!$AQ$4,'Mortality Margins &amp; Grading'!$AI$4:$AR$4,0),0),1)))</f>
        <v>0.125</v>
      </c>
      <c r="AC512" s="154"/>
      <c r="AD512" s="158">
        <f>IF(E512="","",Input!$C$48*IF(Summary!$D$30="Included Margin",IF(AND($B512&gt;Input!$C$9,Summary!$D$31&lt;&gt;"Included Margin"),0,1),0))</f>
        <v>-4.4999999999999997E-3</v>
      </c>
      <c r="AE512" s="159">
        <f>IF(E512="","",IF(Summary!$D$26="Included Margin",IF(AND($B512&gt;Input!$C$9,Summary!$D$31&lt;&gt;"Included Margin"),1,1/$R512),1))</f>
        <v>1.2343280791892834</v>
      </c>
      <c r="AF512" s="160">
        <f>IF(E512="","",IF(AND($B512&gt;=Input!$C$9,$C512=12,Summary!$D$31="Included Margin",$U512&gt;0),1/U512-1,IF($B512&gt;=Input!$C$9,0,Input!$C$45*IF(Summary!$D$27="Included Margin",1,0))))</f>
        <v>0</v>
      </c>
      <c r="AG512" s="160">
        <f>IF(E512="","",Input!$C$46*IF(Summary!$D$28="Included Margin",IF(AND($B512&gt;Input!$C$9,Summary!$D$31&lt;&gt;"Included Margin"),0,1),0))</f>
        <v>0.02</v>
      </c>
      <c r="AH512" s="158">
        <f>IF(E512="","",Input!$C$47*IF(Summary!$D$29="Included Margin",IF(AND($B512&gt;Input!$C$9,Summary!$D$31&lt;&gt;"Included Margin"),0,1),0))</f>
        <v>2.5000000000000001E-3</v>
      </c>
      <c r="AI512" s="154"/>
      <c r="AJ512" s="158">
        <f t="shared" si="312"/>
        <v>4.215E-2</v>
      </c>
      <c r="AK512" s="155">
        <f t="shared" si="313"/>
        <v>3.4464158565041814E-3</v>
      </c>
      <c r="AL512" s="147">
        <f t="shared" si="314"/>
        <v>0.40149038621249994</v>
      </c>
      <c r="AM512" s="147">
        <f t="shared" si="292"/>
        <v>4.1874068917897911E-2</v>
      </c>
      <c r="AN512" s="160">
        <f t="shared" si="315"/>
        <v>0</v>
      </c>
      <c r="AO512" s="161">
        <f t="shared" si="316"/>
        <v>0</v>
      </c>
      <c r="AP512" s="156">
        <f t="shared" si="293"/>
        <v>2.5460052832793676</v>
      </c>
      <c r="AQ512" s="152"/>
      <c r="AR512" s="162">
        <f t="shared" si="294"/>
        <v>31495.051283220586</v>
      </c>
      <c r="AS512" s="150">
        <f t="shared" si="317"/>
        <v>0</v>
      </c>
      <c r="AT512" s="163">
        <f t="shared" si="295"/>
        <v>0</v>
      </c>
      <c r="AU512" s="163">
        <f t="shared" si="296"/>
        <v>4187.4068917897912</v>
      </c>
      <c r="AV512" s="163">
        <f t="shared" si="318"/>
        <v>101.32927138915419</v>
      </c>
      <c r="AW512" s="163">
        <f t="shared" si="297"/>
        <v>1197.886138628578</v>
      </c>
      <c r="AX512" s="163">
        <f t="shared" si="298"/>
        <v>0</v>
      </c>
      <c r="AY512" s="165">
        <f t="shared" si="319"/>
        <v>28606.859801448529</v>
      </c>
      <c r="AZ512" s="164">
        <f>IF($E512="","",IF(OR(AND($D512=Input!$C$6,$C512=12),$AN512=1),0,-AS513+AT513+AU513-AV513-AW513-AX513+AZ513))</f>
        <v>28606.872214335366</v>
      </c>
      <c r="BA512" s="154">
        <f t="shared" si="299"/>
        <v>1.2412886837410042E-2</v>
      </c>
      <c r="BC512" s="147">
        <f t="shared" si="320"/>
        <v>1.2648058713674202E-3</v>
      </c>
      <c r="BD512" s="164">
        <f>IF(AND($C511=12,$D511=Input!$C$6),0,IF($E512="","",AT512+(AU512+BD513)/(1+$AK512)*MIN((1-AM512-AN512),1)))</f>
        <v>26108.008667325656</v>
      </c>
      <c r="BE512" s="164">
        <f t="shared" si="300"/>
        <v>33.021562652144986</v>
      </c>
      <c r="BF512" s="164">
        <f t="shared" si="321"/>
        <v>28606.872214335366</v>
      </c>
      <c r="BG512" s="164">
        <f t="shared" si="301"/>
        <v>36.182139938148886</v>
      </c>
      <c r="BH512" s="152"/>
      <c r="BI512" s="162">
        <f t="shared" si="302"/>
        <v>11309.405148289636</v>
      </c>
      <c r="BJ512" s="150">
        <f t="shared" si="303"/>
        <v>0</v>
      </c>
      <c r="BK512" s="163">
        <f t="shared" si="325"/>
        <v>0</v>
      </c>
      <c r="BL512" s="163">
        <f t="shared" si="304"/>
        <v>2267.7057513568411</v>
      </c>
      <c r="BM512" s="163">
        <f t="shared" si="326"/>
        <v>38.736052249655927</v>
      </c>
      <c r="BN512" s="163">
        <f t="shared" si="305"/>
        <v>210.69570142096117</v>
      </c>
      <c r="BO512" s="163">
        <f t="shared" si="306"/>
        <v>0</v>
      </c>
      <c r="BP512" s="164">
        <f t="shared" si="327"/>
        <v>9291.1311506034126</v>
      </c>
      <c r="BQ512" s="164">
        <f>IF($E512="","",IF(AND($D512=Input!$C$6,$C512=12),0,-BJ513+BK513+BL513-BM513-BN513-BO513+BQ513))</f>
        <v>9291.1393506364384</v>
      </c>
      <c r="BR512" s="161">
        <f t="shared" si="307"/>
        <v>0</v>
      </c>
      <c r="BT512" s="147">
        <f t="shared" si="308"/>
        <v>1.2648058713674202E-3</v>
      </c>
      <c r="BU512" s="164">
        <f>IF(AND($C511=12,$D511=Input!$C$6),0,IF($E512="","",BK512+(BL512+BU513)/(1+$AK512)*MIN((1-T512-U512),1)))</f>
        <v>69187.857315732195</v>
      </c>
      <c r="BV512" s="164">
        <f t="shared" si="309"/>
        <v>87.509208160269395</v>
      </c>
      <c r="BW512" s="164">
        <f t="shared" si="310"/>
        <v>9291.1393506364384</v>
      </c>
      <c r="BX512" s="164">
        <f t="shared" si="311"/>
        <v>11.751487602377846</v>
      </c>
    </row>
    <row r="513" spans="1:76" s="150" customFormat="1" x14ac:dyDescent="0.25">
      <c r="A513" s="150">
        <f t="shared" si="322"/>
        <v>509</v>
      </c>
      <c r="B513" s="150">
        <f t="shared" si="323"/>
        <v>43</v>
      </c>
      <c r="C513" s="150">
        <f t="shared" si="324"/>
        <v>5</v>
      </c>
      <c r="D513" s="150">
        <f>IF(E513="","",Input!$C$4+B513-1)</f>
        <v>87</v>
      </c>
      <c r="E513" s="150">
        <f>IF(OR(AND(C512=12,D512=Input!$C$6),E512=""),"",1)</f>
        <v>1</v>
      </c>
      <c r="F513" s="150">
        <f>IF(E513="","",Input!$C$8+B513-1)</f>
        <v>2060</v>
      </c>
      <c r="G513" s="151">
        <f>IF(E513="","",MAX(0,Input!$C$9-B513))</f>
        <v>0</v>
      </c>
      <c r="H513" s="152">
        <f>IF(E513="","",Input!$C$3)</f>
        <v>100000</v>
      </c>
      <c r="I513" s="153">
        <f>IF(E513="","",HLOOKUP($B513,Input!$C$13:$BT$14,2))</f>
        <v>263.64449999999999</v>
      </c>
      <c r="J513" s="154"/>
      <c r="K513" s="155">
        <f>IF($E513="","",INDEX(Input!$C$16:$CP$16,1,$B513))</f>
        <v>3.1649999999999998E-2</v>
      </c>
      <c r="L513" s="155">
        <f>IF($E513="","",Input!$C$37)</f>
        <v>1.4999999999999999E-2</v>
      </c>
      <c r="M513" s="155">
        <f t="shared" si="328"/>
        <v>4.6649999999999997E-2</v>
      </c>
      <c r="N513" s="155">
        <f t="shared" si="329"/>
        <v>3.8067764001290527E-3</v>
      </c>
      <c r="O513" s="147">
        <f>IF($E513="","",MIN(VLOOKUP(IF($B513&lt;=Input!$C$7,$B513,26),'Mortality Tables'!$A$41:$CW$67,IF($B513&lt;=Input!$C$7+1,Input!$C$4+2,$D513-Input!$C$7+2),0)*IF(B513&gt;20,Input!$C$22,1)/1000,1))</f>
        <v>0.29700840000000001</v>
      </c>
      <c r="P513" s="147">
        <f>IF($E513="","",MIN(VLOOKUP(IF($B513&lt;=Input!$C$7,$B513,26),'Mortality Tables'!$A$12:$CW$37,IF($B513&lt;=Input!$C$7+1,Input!$C$4+2,$D513-Input!$C$7+2),0)*IF(B513&gt;20,Input!$C$22,1)/1000,1))</f>
        <v>0.37126049999999999</v>
      </c>
      <c r="Q513" s="155">
        <f>IF($E513="","",Input!$C$21)</f>
        <v>5.0000000000000001E-3</v>
      </c>
      <c r="R513" s="159">
        <f>IF($E513="","",(1-Q513)^($F513-Input!$C$20))</f>
        <v>0.81015737781547348</v>
      </c>
      <c r="S513" s="147">
        <f t="shared" si="290"/>
        <v>0.24062354653316928</v>
      </c>
      <c r="T513" s="147">
        <f t="shared" si="291"/>
        <v>2.267705751356841E-2</v>
      </c>
      <c r="U513" s="160">
        <f>IF($E513="","",IF($C513=12,INDEX(Input!$C$15:$CP$15,1,$B513),0))</f>
        <v>0</v>
      </c>
      <c r="V513" s="150">
        <f>IF(E513="","",IF(C513=1,IF($B513=1,Input!$C$33,Input!$C$34),0))</f>
        <v>0</v>
      </c>
      <c r="W513" s="156">
        <f>IF($E513="","",Input!$C$35)</f>
        <v>0.02</v>
      </c>
      <c r="X513" s="156">
        <f t="shared" si="330"/>
        <v>2.2972444660248938</v>
      </c>
      <c r="Y513" s="154"/>
      <c r="Z513" s="147">
        <f>IF($E513="","",VLOOKUP($D513,'Mortality Margins &amp; Grading'!$AB$5:$AF$125,3,0)*IF(Summary!$D$25="Included Margin",IF(AND($B513&gt;Input!$C$9,Summary!$D$31&lt;&gt;"Included Margin"),0,1),0))</f>
        <v>2.3E-2</v>
      </c>
      <c r="AA513" s="147">
        <f>IF($E513="","",VLOOKUP($D513,'Mortality Margins &amp; Grading'!$AB$5:$AF$125,5,0)*IF(Summary!$D$25="Included Margin",IF(AND($B513&gt;Input!$C$9,Summary!$D$31&lt;&gt;"Included Margin"),0,1),0))</f>
        <v>0.11899999999999999</v>
      </c>
      <c r="AB513" s="147">
        <f>IF($E513="","",IF(AND($B513&gt;Input!$C$9,Summary!$D$31&lt;&gt;"Included Margin"),1,IF(Summary!$D$25="Included Margin",VLOOKUP($B513,'Mortality Margins &amp; Grading'!$AI$5:$AR$125,MATCH('Mortality Margins &amp; Grading'!$AQ$4,'Mortality Margins &amp; Grading'!$AI$4:$AR$4,0),0),1)))</f>
        <v>0.125</v>
      </c>
      <c r="AC513" s="154"/>
      <c r="AD513" s="158">
        <f>IF(E513="","",Input!$C$48*IF(Summary!$D$30="Included Margin",IF(AND($B513&gt;Input!$C$9,Summary!$D$31&lt;&gt;"Included Margin"),0,1),0))</f>
        <v>-4.4999999999999997E-3</v>
      </c>
      <c r="AE513" s="159">
        <f>IF(E513="","",IF(Summary!$D$26="Included Margin",IF(AND($B513&gt;Input!$C$9,Summary!$D$31&lt;&gt;"Included Margin"),1,1/$R513),1))</f>
        <v>1.2343280791892834</v>
      </c>
      <c r="AF513" s="160">
        <f>IF(E513="","",IF(AND($B513&gt;=Input!$C$9,$C513=12,Summary!$D$31="Included Margin",$U513&gt;0),1/U513-1,IF($B513&gt;=Input!$C$9,0,Input!$C$45*IF(Summary!$D$27="Included Margin",1,0))))</f>
        <v>0</v>
      </c>
      <c r="AG513" s="160">
        <f>IF(E513="","",Input!$C$46*IF(Summary!$D$28="Included Margin",IF(AND($B513&gt;Input!$C$9,Summary!$D$31&lt;&gt;"Included Margin"),0,1),0))</f>
        <v>0.02</v>
      </c>
      <c r="AH513" s="158">
        <f>IF(E513="","",Input!$C$47*IF(Summary!$D$29="Included Margin",IF(AND($B513&gt;Input!$C$9,Summary!$D$31&lt;&gt;"Included Margin"),0,1),0))</f>
        <v>2.5000000000000001E-3</v>
      </c>
      <c r="AI513" s="154"/>
      <c r="AJ513" s="158">
        <f t="shared" si="312"/>
        <v>4.215E-2</v>
      </c>
      <c r="AK513" s="155">
        <f t="shared" si="313"/>
        <v>3.4464158565041814E-3</v>
      </c>
      <c r="AL513" s="147">
        <f t="shared" si="314"/>
        <v>0.40149038621249994</v>
      </c>
      <c r="AM513" s="147">
        <f t="shared" si="292"/>
        <v>4.1874068917897911E-2</v>
      </c>
      <c r="AN513" s="160">
        <f t="shared" si="315"/>
        <v>0</v>
      </c>
      <c r="AO513" s="161">
        <f t="shared" si="316"/>
        <v>0</v>
      </c>
      <c r="AP513" s="156">
        <f t="shared" si="293"/>
        <v>2.5460052832793676</v>
      </c>
      <c r="AQ513" s="152"/>
      <c r="AR513" s="162">
        <f t="shared" si="294"/>
        <v>28606.859801448532</v>
      </c>
      <c r="AS513" s="150">
        <f t="shared" si="317"/>
        <v>0</v>
      </c>
      <c r="AT513" s="163">
        <f t="shared" si="295"/>
        <v>0</v>
      </c>
      <c r="AU513" s="163">
        <f t="shared" si="296"/>
        <v>4187.4068917897912</v>
      </c>
      <c r="AV513" s="163">
        <f t="shared" si="318"/>
        <v>91.375362469754677</v>
      </c>
      <c r="AW513" s="163">
        <f t="shared" si="297"/>
        <v>1071.2251894912947</v>
      </c>
      <c r="AX513" s="163">
        <f t="shared" si="298"/>
        <v>0</v>
      </c>
      <c r="AY513" s="164">
        <f t="shared" si="319"/>
        <v>25582.053461619791</v>
      </c>
      <c r="AZ513" s="164">
        <f>IF($E513="","",IF(OR(AND($D513=Input!$C$6,$C513=12),$AN513=1),0,-AS514+AT514+AU514-AV514-AW514-AX514+AZ514))</f>
        <v>25582.065874506625</v>
      </c>
      <c r="BA513" s="154">
        <f t="shared" si="299"/>
        <v>1.2412886833772063E-2</v>
      </c>
      <c r="BC513" s="147">
        <f t="shared" si="320"/>
        <v>1.2361237958789222E-3</v>
      </c>
      <c r="BD513" s="164">
        <f>IF(AND($C512=12,$D512=Input!$C$6),0,IF($E513="","",AT513+(AU513+BD514)/(1+$AK513)*MIN((1-AM513-AN513),1)))</f>
        <v>23155.541328796011</v>
      </c>
      <c r="BE513" s="164">
        <f t="shared" si="300"/>
        <v>28.623115642982587</v>
      </c>
      <c r="BF513" s="164">
        <f t="shared" si="321"/>
        <v>25582.065874506625</v>
      </c>
      <c r="BG513" s="164">
        <f t="shared" si="301"/>
        <v>31.622600375219768</v>
      </c>
      <c r="BH513" s="152"/>
      <c r="BI513" s="162">
        <f t="shared" si="302"/>
        <v>9291.1311506034144</v>
      </c>
      <c r="BJ513" s="150">
        <f t="shared" si="303"/>
        <v>0</v>
      </c>
      <c r="BK513" s="163">
        <f t="shared" si="325"/>
        <v>0</v>
      </c>
      <c r="BL513" s="163">
        <f t="shared" si="304"/>
        <v>2267.7057513568411</v>
      </c>
      <c r="BM513" s="163">
        <f t="shared" si="326"/>
        <v>31.052934426269896</v>
      </c>
      <c r="BN513" s="163">
        <f t="shared" si="305"/>
        <v>163.68693489026816</v>
      </c>
      <c r="BO513" s="163">
        <f t="shared" si="306"/>
        <v>0</v>
      </c>
      <c r="BP513" s="164">
        <f t="shared" si="327"/>
        <v>7218.1652685631107</v>
      </c>
      <c r="BQ513" s="164">
        <f>IF($E513="","",IF(AND($D513=Input!$C$6,$C513=12),0,-BJ514+BK514+BL514-BM514-BN514-BO514+BQ514))</f>
        <v>7218.1734685961355</v>
      </c>
      <c r="BR513" s="161">
        <f t="shared" si="307"/>
        <v>0</v>
      </c>
      <c r="BT513" s="147">
        <f t="shared" si="308"/>
        <v>1.2361237958789222E-3</v>
      </c>
      <c r="BU513" s="164">
        <f>IF(AND($C512=12,$D512=Input!$C$6),0,IF($E513="","",BK513+(BL513+BU514)/(1+$AK513)*MIN((1-T513-U513),1)))</f>
        <v>68769.516876031281</v>
      </c>
      <c r="BV513" s="164">
        <f t="shared" si="309"/>
        <v>85.007636241559382</v>
      </c>
      <c r="BW513" s="164">
        <f t="shared" si="310"/>
        <v>7218.1734685961355</v>
      </c>
      <c r="BX513" s="164">
        <f t="shared" si="311"/>
        <v>8.9225559873135811</v>
      </c>
    </row>
    <row r="514" spans="1:76" s="150" customFormat="1" x14ac:dyDescent="0.25">
      <c r="A514" s="150">
        <f t="shared" si="322"/>
        <v>510</v>
      </c>
      <c r="B514" s="150">
        <f t="shared" si="323"/>
        <v>43</v>
      </c>
      <c r="C514" s="150">
        <f t="shared" si="324"/>
        <v>6</v>
      </c>
      <c r="D514" s="150">
        <f>IF(E514="","",Input!$C$4+B514-1)</f>
        <v>87</v>
      </c>
      <c r="E514" s="150">
        <f>IF(OR(AND(C513=12,D513=Input!$C$6),E513=""),"",1)</f>
        <v>1</v>
      </c>
      <c r="F514" s="150">
        <f>IF(E514="","",Input!$C$8+B514-1)</f>
        <v>2060</v>
      </c>
      <c r="G514" s="151">
        <f>IF(E514="","",MAX(0,Input!$C$9-B514))</f>
        <v>0</v>
      </c>
      <c r="H514" s="152">
        <f>IF(E514="","",Input!$C$3)</f>
        <v>100000</v>
      </c>
      <c r="I514" s="153">
        <f>IF(E514="","",HLOOKUP($B514,Input!$C$13:$BT$14,2))</f>
        <v>263.64449999999999</v>
      </c>
      <c r="J514" s="154"/>
      <c r="K514" s="155">
        <f>IF($E514="","",INDEX(Input!$C$16:$CP$16,1,$B514))</f>
        <v>3.1649999999999998E-2</v>
      </c>
      <c r="L514" s="155">
        <f>IF($E514="","",Input!$C$37)</f>
        <v>1.4999999999999999E-2</v>
      </c>
      <c r="M514" s="155">
        <f t="shared" si="328"/>
        <v>4.6649999999999997E-2</v>
      </c>
      <c r="N514" s="155">
        <f t="shared" si="329"/>
        <v>3.8067764001290527E-3</v>
      </c>
      <c r="O514" s="147">
        <f>IF($E514="","",MIN(VLOOKUP(IF($B514&lt;=Input!$C$7,$B514,26),'Mortality Tables'!$A$41:$CW$67,IF($B514&lt;=Input!$C$7+1,Input!$C$4+2,$D514-Input!$C$7+2),0)*IF(B514&gt;20,Input!$C$22,1)/1000,1))</f>
        <v>0.29700840000000001</v>
      </c>
      <c r="P514" s="147">
        <f>IF($E514="","",MIN(VLOOKUP(IF($B514&lt;=Input!$C$7,$B514,26),'Mortality Tables'!$A$12:$CW$37,IF($B514&lt;=Input!$C$7+1,Input!$C$4+2,$D514-Input!$C$7+2),0)*IF(B514&gt;20,Input!$C$22,1)/1000,1))</f>
        <v>0.37126049999999999</v>
      </c>
      <c r="Q514" s="155">
        <f>IF($E514="","",Input!$C$21)</f>
        <v>5.0000000000000001E-3</v>
      </c>
      <c r="R514" s="159">
        <f>IF($E514="","",(1-Q514)^($F514-Input!$C$20))</f>
        <v>0.81015737781547348</v>
      </c>
      <c r="S514" s="147">
        <f t="shared" si="290"/>
        <v>0.24062354653316928</v>
      </c>
      <c r="T514" s="147">
        <f t="shared" si="291"/>
        <v>2.267705751356841E-2</v>
      </c>
      <c r="U514" s="160">
        <f>IF($E514="","",IF($C514=12,INDEX(Input!$C$15:$CP$15,1,$B514),0))</f>
        <v>0</v>
      </c>
      <c r="V514" s="150">
        <f>IF(E514="","",IF(C514=1,IF($B514=1,Input!$C$33,Input!$C$34),0))</f>
        <v>0</v>
      </c>
      <c r="W514" s="156">
        <f>IF($E514="","",Input!$C$35)</f>
        <v>0.02</v>
      </c>
      <c r="X514" s="156">
        <f t="shared" si="330"/>
        <v>2.2972444660248938</v>
      </c>
      <c r="Y514" s="154"/>
      <c r="Z514" s="147">
        <f>IF($E514="","",VLOOKUP($D514,'Mortality Margins &amp; Grading'!$AB$5:$AF$125,3,0)*IF(Summary!$D$25="Included Margin",IF(AND($B514&gt;Input!$C$9,Summary!$D$31&lt;&gt;"Included Margin"),0,1),0))</f>
        <v>2.3E-2</v>
      </c>
      <c r="AA514" s="147">
        <f>IF($E514="","",VLOOKUP($D514,'Mortality Margins &amp; Grading'!$AB$5:$AF$125,5,0)*IF(Summary!$D$25="Included Margin",IF(AND($B514&gt;Input!$C$9,Summary!$D$31&lt;&gt;"Included Margin"),0,1),0))</f>
        <v>0.11899999999999999</v>
      </c>
      <c r="AB514" s="147">
        <f>IF($E514="","",IF(AND($B514&gt;Input!$C$9,Summary!$D$31&lt;&gt;"Included Margin"),1,IF(Summary!$D$25="Included Margin",VLOOKUP($B514,'Mortality Margins &amp; Grading'!$AI$5:$AR$125,MATCH('Mortality Margins &amp; Grading'!$AQ$4,'Mortality Margins &amp; Grading'!$AI$4:$AR$4,0),0),1)))</f>
        <v>0.125</v>
      </c>
      <c r="AC514" s="154"/>
      <c r="AD514" s="158">
        <f>IF(E514="","",Input!$C$48*IF(Summary!$D$30="Included Margin",IF(AND($B514&gt;Input!$C$9,Summary!$D$31&lt;&gt;"Included Margin"),0,1),0))</f>
        <v>-4.4999999999999997E-3</v>
      </c>
      <c r="AE514" s="159">
        <f>IF(E514="","",IF(Summary!$D$26="Included Margin",IF(AND($B514&gt;Input!$C$9,Summary!$D$31&lt;&gt;"Included Margin"),1,1/$R514),1))</f>
        <v>1.2343280791892834</v>
      </c>
      <c r="AF514" s="160">
        <f>IF(E514="","",IF(AND($B514&gt;=Input!$C$9,$C514=12,Summary!$D$31="Included Margin",$U514&gt;0),1/U514-1,IF($B514&gt;=Input!$C$9,0,Input!$C$45*IF(Summary!$D$27="Included Margin",1,0))))</f>
        <v>0</v>
      </c>
      <c r="AG514" s="160">
        <f>IF(E514="","",Input!$C$46*IF(Summary!$D$28="Included Margin",IF(AND($B514&gt;Input!$C$9,Summary!$D$31&lt;&gt;"Included Margin"),0,1),0))</f>
        <v>0.02</v>
      </c>
      <c r="AH514" s="158">
        <f>IF(E514="","",Input!$C$47*IF(Summary!$D$29="Included Margin",IF(AND($B514&gt;Input!$C$9,Summary!$D$31&lt;&gt;"Included Margin"),0,1),0))</f>
        <v>2.5000000000000001E-3</v>
      </c>
      <c r="AI514" s="154"/>
      <c r="AJ514" s="158">
        <f t="shared" si="312"/>
        <v>4.215E-2</v>
      </c>
      <c r="AK514" s="155">
        <f t="shared" si="313"/>
        <v>3.4464158565041814E-3</v>
      </c>
      <c r="AL514" s="147">
        <f t="shared" si="314"/>
        <v>0.40149038621249994</v>
      </c>
      <c r="AM514" s="147">
        <f t="shared" si="292"/>
        <v>4.1874068917897911E-2</v>
      </c>
      <c r="AN514" s="160">
        <f t="shared" si="315"/>
        <v>0</v>
      </c>
      <c r="AO514" s="161">
        <f t="shared" si="316"/>
        <v>0</v>
      </c>
      <c r="AP514" s="156">
        <f t="shared" si="293"/>
        <v>2.5460052832793676</v>
      </c>
      <c r="AQ514" s="152"/>
      <c r="AR514" s="162">
        <f t="shared" si="294"/>
        <v>25582.053461619791</v>
      </c>
      <c r="AS514" s="150">
        <f t="shared" si="317"/>
        <v>0</v>
      </c>
      <c r="AT514" s="163">
        <f t="shared" si="295"/>
        <v>0</v>
      </c>
      <c r="AU514" s="163">
        <f t="shared" si="296"/>
        <v>4187.4068917897912</v>
      </c>
      <c r="AV514" s="163">
        <f t="shared" si="318"/>
        <v>80.950621937314523</v>
      </c>
      <c r="AW514" s="163">
        <f t="shared" si="297"/>
        <v>938.57302831113884</v>
      </c>
      <c r="AX514" s="163">
        <f t="shared" si="298"/>
        <v>0</v>
      </c>
      <c r="AY514" s="165">
        <f t="shared" si="319"/>
        <v>22414.170220078457</v>
      </c>
      <c r="AZ514" s="164">
        <f>IF($E514="","",IF(OR(AND($D514=Input!$C$6,$C514=12),$AN514=1),0,-AS515+AT515+AU515-AV515-AW515-AX515+AZ515))</f>
        <v>22414.182632965287</v>
      </c>
      <c r="BA514" s="154">
        <f t="shared" si="299"/>
        <v>1.2412886830134084E-2</v>
      </c>
      <c r="BC514" s="147">
        <f t="shared" si="320"/>
        <v>1.2080921454658855E-3</v>
      </c>
      <c r="BD514" s="164">
        <f>IF(AND($C513=12,$D513=Input!$C$6),0,IF($E514="","",AT514+(AU514+BD515)/(1+$AK514)*MIN((1-AM514-AN514),1)))</f>
        <v>20063.418808497481</v>
      </c>
      <c r="BE514" s="164">
        <f t="shared" si="300"/>
        <v>24.238458673738322</v>
      </c>
      <c r="BF514" s="164">
        <f t="shared" si="321"/>
        <v>22414.182632965287</v>
      </c>
      <c r="BG514" s="164">
        <f t="shared" si="301"/>
        <v>27.078397985923221</v>
      </c>
      <c r="BH514" s="152"/>
      <c r="BI514" s="162">
        <f t="shared" si="302"/>
        <v>7218.1652685631116</v>
      </c>
      <c r="BJ514" s="150">
        <f t="shared" si="303"/>
        <v>0</v>
      </c>
      <c r="BK514" s="163">
        <f t="shared" si="325"/>
        <v>0</v>
      </c>
      <c r="BL514" s="163">
        <f t="shared" si="304"/>
        <v>2267.7057513568411</v>
      </c>
      <c r="BM514" s="163">
        <f t="shared" si="326"/>
        <v>23.161616828246167</v>
      </c>
      <c r="BN514" s="163">
        <f t="shared" si="305"/>
        <v>115.40430860333193</v>
      </c>
      <c r="BO514" s="163">
        <f t="shared" si="306"/>
        <v>0</v>
      </c>
      <c r="BP514" s="164">
        <f t="shared" si="327"/>
        <v>5089.0254426378488</v>
      </c>
      <c r="BQ514" s="164">
        <f>IF($E514="","",IF(AND($D514=Input!$C$6,$C514=12),0,-BJ515+BK515+BL515-BM515-BN515-BO515+BQ515))</f>
        <v>5089.0336426708727</v>
      </c>
      <c r="BR514" s="161">
        <f t="shared" si="307"/>
        <v>0</v>
      </c>
      <c r="BT514" s="147">
        <f t="shared" si="308"/>
        <v>1.2080921454658855E-3</v>
      </c>
      <c r="BU514" s="164">
        <f>IF(AND($C513=12,$D513=Input!$C$6),0,IF($E514="","",BK514+(BL514+BU515)/(1+$AK514)*MIN((1-T514-U514),1)))</f>
        <v>68339.994354276365</v>
      </c>
      <c r="BV514" s="164">
        <f t="shared" si="309"/>
        <v>82.561010400584237</v>
      </c>
      <c r="BW514" s="164">
        <f t="shared" si="310"/>
        <v>5089.0336426708727</v>
      </c>
      <c r="BX514" s="164">
        <f t="shared" si="311"/>
        <v>6.1480215717223246</v>
      </c>
    </row>
    <row r="515" spans="1:76" s="150" customFormat="1" x14ac:dyDescent="0.25">
      <c r="A515" s="150">
        <f t="shared" si="322"/>
        <v>511</v>
      </c>
      <c r="B515" s="150">
        <f t="shared" si="323"/>
        <v>43</v>
      </c>
      <c r="C515" s="150">
        <f t="shared" si="324"/>
        <v>7</v>
      </c>
      <c r="D515" s="150">
        <f>IF(E515="","",Input!$C$4+B515-1)</f>
        <v>87</v>
      </c>
      <c r="E515" s="150">
        <f>IF(OR(AND(C514=12,D514=Input!$C$6),E514=""),"",1)</f>
        <v>1</v>
      </c>
      <c r="F515" s="150">
        <f>IF(E515="","",Input!$C$8+B515-1)</f>
        <v>2060</v>
      </c>
      <c r="G515" s="151">
        <f>IF(E515="","",MAX(0,Input!$C$9-B515))</f>
        <v>0</v>
      </c>
      <c r="H515" s="152">
        <f>IF(E515="","",Input!$C$3)</f>
        <v>100000</v>
      </c>
      <c r="I515" s="153">
        <f>IF(E515="","",HLOOKUP($B515,Input!$C$13:$BT$14,2))</f>
        <v>263.64449999999999</v>
      </c>
      <c r="J515" s="154"/>
      <c r="K515" s="155">
        <f>IF($E515="","",INDEX(Input!$C$16:$CP$16,1,$B515))</f>
        <v>3.1649999999999998E-2</v>
      </c>
      <c r="L515" s="155">
        <f>IF($E515="","",Input!$C$37)</f>
        <v>1.4999999999999999E-2</v>
      </c>
      <c r="M515" s="155">
        <f t="shared" si="328"/>
        <v>4.6649999999999997E-2</v>
      </c>
      <c r="N515" s="155">
        <f t="shared" si="329"/>
        <v>3.8067764001290527E-3</v>
      </c>
      <c r="O515" s="147">
        <f>IF($E515="","",MIN(VLOOKUP(IF($B515&lt;=Input!$C$7,$B515,26),'Mortality Tables'!$A$41:$CW$67,IF($B515&lt;=Input!$C$7+1,Input!$C$4+2,$D515-Input!$C$7+2),0)*IF(B515&gt;20,Input!$C$22,1)/1000,1))</f>
        <v>0.29700840000000001</v>
      </c>
      <c r="P515" s="147">
        <f>IF($E515="","",MIN(VLOOKUP(IF($B515&lt;=Input!$C$7,$B515,26),'Mortality Tables'!$A$12:$CW$37,IF($B515&lt;=Input!$C$7+1,Input!$C$4+2,$D515-Input!$C$7+2),0)*IF(B515&gt;20,Input!$C$22,1)/1000,1))</f>
        <v>0.37126049999999999</v>
      </c>
      <c r="Q515" s="155">
        <f>IF($E515="","",Input!$C$21)</f>
        <v>5.0000000000000001E-3</v>
      </c>
      <c r="R515" s="159">
        <f>IF($E515="","",(1-Q515)^($F515-Input!$C$20))</f>
        <v>0.81015737781547348</v>
      </c>
      <c r="S515" s="147">
        <f t="shared" si="290"/>
        <v>0.24062354653316928</v>
      </c>
      <c r="T515" s="147">
        <f t="shared" si="291"/>
        <v>2.267705751356841E-2</v>
      </c>
      <c r="U515" s="160">
        <f>IF($E515="","",IF($C515=12,INDEX(Input!$C$15:$CP$15,1,$B515),0))</f>
        <v>0</v>
      </c>
      <c r="V515" s="150">
        <f>IF(E515="","",IF(C515=1,IF($B515=1,Input!$C$33,Input!$C$34),0))</f>
        <v>0</v>
      </c>
      <c r="W515" s="156">
        <f>IF($E515="","",Input!$C$35)</f>
        <v>0.02</v>
      </c>
      <c r="X515" s="156">
        <f t="shared" si="330"/>
        <v>2.2972444660248938</v>
      </c>
      <c r="Y515" s="154"/>
      <c r="Z515" s="147">
        <f>IF($E515="","",VLOOKUP($D515,'Mortality Margins &amp; Grading'!$AB$5:$AF$125,3,0)*IF(Summary!$D$25="Included Margin",IF(AND($B515&gt;Input!$C$9,Summary!$D$31&lt;&gt;"Included Margin"),0,1),0))</f>
        <v>2.3E-2</v>
      </c>
      <c r="AA515" s="147">
        <f>IF($E515="","",VLOOKUP($D515,'Mortality Margins &amp; Grading'!$AB$5:$AF$125,5,0)*IF(Summary!$D$25="Included Margin",IF(AND($B515&gt;Input!$C$9,Summary!$D$31&lt;&gt;"Included Margin"),0,1),0))</f>
        <v>0.11899999999999999</v>
      </c>
      <c r="AB515" s="147">
        <f>IF($E515="","",IF(AND($B515&gt;Input!$C$9,Summary!$D$31&lt;&gt;"Included Margin"),1,IF(Summary!$D$25="Included Margin",VLOOKUP($B515,'Mortality Margins &amp; Grading'!$AI$5:$AR$125,MATCH('Mortality Margins &amp; Grading'!$AQ$4,'Mortality Margins &amp; Grading'!$AI$4:$AR$4,0),0),1)))</f>
        <v>0.125</v>
      </c>
      <c r="AC515" s="154"/>
      <c r="AD515" s="158">
        <f>IF(E515="","",Input!$C$48*IF(Summary!$D$30="Included Margin",IF(AND($B515&gt;Input!$C$9,Summary!$D$31&lt;&gt;"Included Margin"),0,1),0))</f>
        <v>-4.4999999999999997E-3</v>
      </c>
      <c r="AE515" s="159">
        <f>IF(E515="","",IF(Summary!$D$26="Included Margin",IF(AND($B515&gt;Input!$C$9,Summary!$D$31&lt;&gt;"Included Margin"),1,1/$R515),1))</f>
        <v>1.2343280791892834</v>
      </c>
      <c r="AF515" s="160">
        <f>IF(E515="","",IF(AND($B515&gt;=Input!$C$9,$C515=12,Summary!$D$31="Included Margin",$U515&gt;0),1/U515-1,IF($B515&gt;=Input!$C$9,0,Input!$C$45*IF(Summary!$D$27="Included Margin",1,0))))</f>
        <v>0</v>
      </c>
      <c r="AG515" s="160">
        <f>IF(E515="","",Input!$C$46*IF(Summary!$D$28="Included Margin",IF(AND($B515&gt;Input!$C$9,Summary!$D$31&lt;&gt;"Included Margin"),0,1),0))</f>
        <v>0.02</v>
      </c>
      <c r="AH515" s="158">
        <f>IF(E515="","",Input!$C$47*IF(Summary!$D$29="Included Margin",IF(AND($B515&gt;Input!$C$9,Summary!$D$31&lt;&gt;"Included Margin"),0,1),0))</f>
        <v>2.5000000000000001E-3</v>
      </c>
      <c r="AI515" s="154"/>
      <c r="AJ515" s="158">
        <f t="shared" si="312"/>
        <v>4.215E-2</v>
      </c>
      <c r="AK515" s="155">
        <f t="shared" si="313"/>
        <v>3.4464158565041814E-3</v>
      </c>
      <c r="AL515" s="147">
        <f t="shared" si="314"/>
        <v>0.40149038621249994</v>
      </c>
      <c r="AM515" s="147">
        <f t="shared" si="292"/>
        <v>4.1874068917897911E-2</v>
      </c>
      <c r="AN515" s="160">
        <f t="shared" si="315"/>
        <v>0</v>
      </c>
      <c r="AO515" s="161">
        <f t="shared" si="316"/>
        <v>0</v>
      </c>
      <c r="AP515" s="156">
        <f t="shared" si="293"/>
        <v>2.5460052832793676</v>
      </c>
      <c r="AQ515" s="152"/>
      <c r="AR515" s="162">
        <f t="shared" si="294"/>
        <v>22414.170220078457</v>
      </c>
      <c r="AS515" s="150">
        <f t="shared" si="317"/>
        <v>0</v>
      </c>
      <c r="AT515" s="163">
        <f t="shared" si="295"/>
        <v>0</v>
      </c>
      <c r="AU515" s="163">
        <f t="shared" si="296"/>
        <v>4187.4068917897912</v>
      </c>
      <c r="AV515" s="163">
        <f t="shared" si="318"/>
        <v>70.032778902112597</v>
      </c>
      <c r="AW515" s="163">
        <f t="shared" si="297"/>
        <v>799.6462637035745</v>
      </c>
      <c r="AX515" s="163">
        <f t="shared" si="298"/>
        <v>0</v>
      </c>
      <c r="AY515" s="164">
        <f t="shared" si="319"/>
        <v>19096.442370894354</v>
      </c>
      <c r="AZ515" s="164">
        <f>IF($E515="","",IF(OR(AND($D515=Input!$C$6,$C515=12),$AN515=1),0,-AS516+AT516+AU516-AV516-AW516-AX516+AZ516))</f>
        <v>19096.454783781184</v>
      </c>
      <c r="BA515" s="154">
        <f t="shared" si="299"/>
        <v>1.2412886830134084E-2</v>
      </c>
      <c r="BC515" s="147">
        <f t="shared" si="320"/>
        <v>1.1806961704014652E-3</v>
      </c>
      <c r="BD515" s="164">
        <f>IF(AND($C514=12,$D514=Input!$C$6),0,IF($E515="","",AT515+(AU515+BD516)/(1+$AK515)*MIN((1-AM515-AN515),1)))</f>
        <v>16825.035251882458</v>
      </c>
      <c r="BE515" s="164">
        <f t="shared" si="300"/>
        <v>19.865254688767269</v>
      </c>
      <c r="BF515" s="164">
        <f t="shared" si="321"/>
        <v>19096.454783781184</v>
      </c>
      <c r="BG515" s="164">
        <f t="shared" si="301"/>
        <v>22.547111031455184</v>
      </c>
      <c r="BH515" s="152"/>
      <c r="BI515" s="162">
        <f t="shared" si="302"/>
        <v>5089.0254426378488</v>
      </c>
      <c r="BJ515" s="150">
        <f t="shared" si="303"/>
        <v>0</v>
      </c>
      <c r="BK515" s="163">
        <f t="shared" si="325"/>
        <v>0</v>
      </c>
      <c r="BL515" s="163">
        <f t="shared" si="304"/>
        <v>2267.7057513568411</v>
      </c>
      <c r="BM515" s="163">
        <f t="shared" si="326"/>
        <v>15.056457586338995</v>
      </c>
      <c r="BN515" s="163">
        <f t="shared" si="305"/>
        <v>65.813303069463103</v>
      </c>
      <c r="BO515" s="163">
        <f t="shared" si="306"/>
        <v>0</v>
      </c>
      <c r="BP515" s="164">
        <f t="shared" si="327"/>
        <v>2902.1894519368097</v>
      </c>
      <c r="BQ515" s="164">
        <f>IF($E515="","",IF(AND($D515=Input!$C$6,$C515=12),0,-BJ516+BK516+BL516-BM516-BN516-BO516+BQ516))</f>
        <v>2902.1976519698333</v>
      </c>
      <c r="BR515" s="161">
        <f t="shared" si="307"/>
        <v>0</v>
      </c>
      <c r="BT515" s="147">
        <f t="shared" si="308"/>
        <v>1.1806961704014652E-3</v>
      </c>
      <c r="BU515" s="164">
        <f>IF(AND($C514=12,$D514=Input!$C$6),0,IF($E515="","",BK515+(BL515+BU516)/(1+$AK515)*MIN((1-T515-U515),1)))</f>
        <v>67898.990857634708</v>
      </c>
      <c r="BV515" s="164">
        <f t="shared" si="309"/>
        <v>80.168078479733396</v>
      </c>
      <c r="BW515" s="164">
        <f t="shared" si="310"/>
        <v>2902.1976519698333</v>
      </c>
      <c r="BX515" s="164">
        <f t="shared" si="311"/>
        <v>3.4266136534289067</v>
      </c>
    </row>
    <row r="516" spans="1:76" s="150" customFormat="1" x14ac:dyDescent="0.25">
      <c r="A516" s="150">
        <f t="shared" si="322"/>
        <v>512</v>
      </c>
      <c r="B516" s="150">
        <f t="shared" si="323"/>
        <v>43</v>
      </c>
      <c r="C516" s="150">
        <f t="shared" si="324"/>
        <v>8</v>
      </c>
      <c r="D516" s="150">
        <f>IF(E516="","",Input!$C$4+B516-1)</f>
        <v>87</v>
      </c>
      <c r="E516" s="150">
        <f>IF(OR(AND(C515=12,D515=Input!$C$6),E515=""),"",1)</f>
        <v>1</v>
      </c>
      <c r="F516" s="150">
        <f>IF(E516="","",Input!$C$8+B516-1)</f>
        <v>2060</v>
      </c>
      <c r="G516" s="151">
        <f>IF(E516="","",MAX(0,Input!$C$9-B516))</f>
        <v>0</v>
      </c>
      <c r="H516" s="152">
        <f>IF(E516="","",Input!$C$3)</f>
        <v>100000</v>
      </c>
      <c r="I516" s="153">
        <f>IF(E516="","",HLOOKUP($B516,Input!$C$13:$BT$14,2))</f>
        <v>263.64449999999999</v>
      </c>
      <c r="J516" s="154"/>
      <c r="K516" s="155">
        <f>IF($E516="","",INDEX(Input!$C$16:$CP$16,1,$B516))</f>
        <v>3.1649999999999998E-2</v>
      </c>
      <c r="L516" s="155">
        <f>IF($E516="","",Input!$C$37)</f>
        <v>1.4999999999999999E-2</v>
      </c>
      <c r="M516" s="155">
        <f t="shared" si="328"/>
        <v>4.6649999999999997E-2</v>
      </c>
      <c r="N516" s="155">
        <f t="shared" si="329"/>
        <v>3.8067764001290527E-3</v>
      </c>
      <c r="O516" s="147">
        <f>IF($E516="","",MIN(VLOOKUP(IF($B516&lt;=Input!$C$7,$B516,26),'Mortality Tables'!$A$41:$CW$67,IF($B516&lt;=Input!$C$7+1,Input!$C$4+2,$D516-Input!$C$7+2),0)*IF(B516&gt;20,Input!$C$22,1)/1000,1))</f>
        <v>0.29700840000000001</v>
      </c>
      <c r="P516" s="147">
        <f>IF($E516="","",MIN(VLOOKUP(IF($B516&lt;=Input!$C$7,$B516,26),'Mortality Tables'!$A$12:$CW$37,IF($B516&lt;=Input!$C$7+1,Input!$C$4+2,$D516-Input!$C$7+2),0)*IF(B516&gt;20,Input!$C$22,1)/1000,1))</f>
        <v>0.37126049999999999</v>
      </c>
      <c r="Q516" s="155">
        <f>IF($E516="","",Input!$C$21)</f>
        <v>5.0000000000000001E-3</v>
      </c>
      <c r="R516" s="159">
        <f>IF($E516="","",(1-Q516)^($F516-Input!$C$20))</f>
        <v>0.81015737781547348</v>
      </c>
      <c r="S516" s="147">
        <f t="shared" si="290"/>
        <v>0.24062354653316928</v>
      </c>
      <c r="T516" s="147">
        <f t="shared" si="291"/>
        <v>2.267705751356841E-2</v>
      </c>
      <c r="U516" s="160">
        <f>IF($E516="","",IF($C516=12,INDEX(Input!$C$15:$CP$15,1,$B516),0))</f>
        <v>0</v>
      </c>
      <c r="V516" s="150">
        <f>IF(E516="","",IF(C516=1,IF($B516=1,Input!$C$33,Input!$C$34),0))</f>
        <v>0</v>
      </c>
      <c r="W516" s="156">
        <f>IF($E516="","",Input!$C$35)</f>
        <v>0.02</v>
      </c>
      <c r="X516" s="156">
        <f t="shared" si="330"/>
        <v>2.2972444660248938</v>
      </c>
      <c r="Y516" s="154"/>
      <c r="Z516" s="147">
        <f>IF($E516="","",VLOOKUP($D516,'Mortality Margins &amp; Grading'!$AB$5:$AF$125,3,0)*IF(Summary!$D$25="Included Margin",IF(AND($B516&gt;Input!$C$9,Summary!$D$31&lt;&gt;"Included Margin"),0,1),0))</f>
        <v>2.3E-2</v>
      </c>
      <c r="AA516" s="147">
        <f>IF($E516="","",VLOOKUP($D516,'Mortality Margins &amp; Grading'!$AB$5:$AF$125,5,0)*IF(Summary!$D$25="Included Margin",IF(AND($B516&gt;Input!$C$9,Summary!$D$31&lt;&gt;"Included Margin"),0,1),0))</f>
        <v>0.11899999999999999</v>
      </c>
      <c r="AB516" s="147">
        <f>IF($E516="","",IF(AND($B516&gt;Input!$C$9,Summary!$D$31&lt;&gt;"Included Margin"),1,IF(Summary!$D$25="Included Margin",VLOOKUP($B516,'Mortality Margins &amp; Grading'!$AI$5:$AR$125,MATCH('Mortality Margins &amp; Grading'!$AQ$4,'Mortality Margins &amp; Grading'!$AI$4:$AR$4,0),0),1)))</f>
        <v>0.125</v>
      </c>
      <c r="AC516" s="154"/>
      <c r="AD516" s="158">
        <f>IF(E516="","",Input!$C$48*IF(Summary!$D$30="Included Margin",IF(AND($B516&gt;Input!$C$9,Summary!$D$31&lt;&gt;"Included Margin"),0,1),0))</f>
        <v>-4.4999999999999997E-3</v>
      </c>
      <c r="AE516" s="159">
        <f>IF(E516="","",IF(Summary!$D$26="Included Margin",IF(AND($B516&gt;Input!$C$9,Summary!$D$31&lt;&gt;"Included Margin"),1,1/$R516),1))</f>
        <v>1.2343280791892834</v>
      </c>
      <c r="AF516" s="160">
        <f>IF(E516="","",IF(AND($B516&gt;=Input!$C$9,$C516=12,Summary!$D$31="Included Margin",$U516&gt;0),1/U516-1,IF($B516&gt;=Input!$C$9,0,Input!$C$45*IF(Summary!$D$27="Included Margin",1,0))))</f>
        <v>0</v>
      </c>
      <c r="AG516" s="160">
        <f>IF(E516="","",Input!$C$46*IF(Summary!$D$28="Included Margin",IF(AND($B516&gt;Input!$C$9,Summary!$D$31&lt;&gt;"Included Margin"),0,1),0))</f>
        <v>0.02</v>
      </c>
      <c r="AH516" s="158">
        <f>IF(E516="","",Input!$C$47*IF(Summary!$D$29="Included Margin",IF(AND($B516&gt;Input!$C$9,Summary!$D$31&lt;&gt;"Included Margin"),0,1),0))</f>
        <v>2.5000000000000001E-3</v>
      </c>
      <c r="AI516" s="154"/>
      <c r="AJ516" s="158">
        <f t="shared" si="312"/>
        <v>4.215E-2</v>
      </c>
      <c r="AK516" s="155">
        <f t="shared" si="313"/>
        <v>3.4464158565041814E-3</v>
      </c>
      <c r="AL516" s="147">
        <f t="shared" si="314"/>
        <v>0.40149038621249994</v>
      </c>
      <c r="AM516" s="147">
        <f t="shared" si="292"/>
        <v>4.1874068917897911E-2</v>
      </c>
      <c r="AN516" s="160">
        <f t="shared" si="315"/>
        <v>0</v>
      </c>
      <c r="AO516" s="161">
        <f t="shared" si="316"/>
        <v>0</v>
      </c>
      <c r="AP516" s="156">
        <f t="shared" si="293"/>
        <v>2.5460052832793676</v>
      </c>
      <c r="AQ516" s="152"/>
      <c r="AR516" s="162">
        <f t="shared" si="294"/>
        <v>19096.44237089435</v>
      </c>
      <c r="AS516" s="150">
        <f t="shared" si="317"/>
        <v>0</v>
      </c>
      <c r="AT516" s="163">
        <f t="shared" si="295"/>
        <v>0</v>
      </c>
      <c r="AU516" s="163">
        <f t="shared" si="296"/>
        <v>4187.4068917897912</v>
      </c>
      <c r="AV516" s="163">
        <f t="shared" si="318"/>
        <v>58.598509035118987</v>
      </c>
      <c r="AW516" s="163">
        <f t="shared" si="297"/>
        <v>654.14809953787153</v>
      </c>
      <c r="AX516" s="163">
        <f t="shared" si="298"/>
        <v>0</v>
      </c>
      <c r="AY516" s="165">
        <f t="shared" si="319"/>
        <v>15621.782087677549</v>
      </c>
      <c r="AZ516" s="164">
        <f>IF($E516="","",IF(OR(AND($D516=Input!$C$6,$C516=12),$AN516=1),0,-AS517+AT517+AU517-AV517-AW517-AX517+AZ517))</f>
        <v>15621.794500564383</v>
      </c>
      <c r="BA516" s="154">
        <f t="shared" si="299"/>
        <v>1.2412886833772063E-2</v>
      </c>
      <c r="BC516" s="147">
        <f t="shared" si="320"/>
        <v>1.1539214554392213E-3</v>
      </c>
      <c r="BD516" s="164">
        <f>IF(AND($C515=12,$D515=Input!$C$6),0,IF($E516="","",AT516+(AU516+BD517)/(1+$AK516)*MIN((1-AM516-AN516),1)))</f>
        <v>13433.472339704547</v>
      </c>
      <c r="BE516" s="164">
        <f t="shared" si="300"/>
        <v>15.501171953834392</v>
      </c>
      <c r="BF516" s="164">
        <f t="shared" si="321"/>
        <v>15621.794500564383</v>
      </c>
      <c r="BG516" s="164">
        <f t="shared" si="301"/>
        <v>18.026323846663676</v>
      </c>
      <c r="BH516" s="152"/>
      <c r="BI516" s="162">
        <f t="shared" si="302"/>
        <v>2902.1894519368088</v>
      </c>
      <c r="BJ516" s="150">
        <f t="shared" si="303"/>
        <v>0</v>
      </c>
      <c r="BK516" s="163">
        <f t="shared" si="325"/>
        <v>0</v>
      </c>
      <c r="BL516" s="163">
        <f t="shared" si="304"/>
        <v>2267.7057513568411</v>
      </c>
      <c r="BM516" s="163">
        <f t="shared" si="326"/>
        <v>6.7316619459854419</v>
      </c>
      <c r="BN516" s="163">
        <f t="shared" si="305"/>
        <v>14.878463376917027</v>
      </c>
      <c r="BO516" s="163">
        <f t="shared" si="306"/>
        <v>0</v>
      </c>
      <c r="BP516" s="164">
        <f t="shared" si="327"/>
        <v>656.09382590287021</v>
      </c>
      <c r="BQ516" s="164">
        <f>IF($E516="","",IF(AND($D516=Input!$C$6,$C516=12),0,-BJ517+BK517+BL517-BM517-BN517-BO517+BQ517))</f>
        <v>656.10202593589429</v>
      </c>
      <c r="BR516" s="161">
        <f t="shared" si="307"/>
        <v>0</v>
      </c>
      <c r="BT516" s="147">
        <f t="shared" si="308"/>
        <v>1.1539214554392213E-3</v>
      </c>
      <c r="BU516" s="164">
        <f>IF(AND($C515=12,$D515=Input!$C$6),0,IF($E516="","",BK516+(BL516+BU517)/(1+$AK516)*MIN((1-T516-U516),1)))</f>
        <v>67446.199503981014</v>
      </c>
      <c r="BV516" s="164">
        <f t="shared" si="309"/>
        <v>77.827616695477857</v>
      </c>
      <c r="BW516" s="164">
        <f t="shared" si="310"/>
        <v>656.10202593589429</v>
      </c>
      <c r="BX516" s="164">
        <f t="shared" si="311"/>
        <v>0.75709020468456889</v>
      </c>
    </row>
    <row r="517" spans="1:76" s="150" customFormat="1" x14ac:dyDescent="0.25">
      <c r="A517" s="150">
        <f t="shared" si="322"/>
        <v>513</v>
      </c>
      <c r="B517" s="150">
        <f t="shared" si="323"/>
        <v>43</v>
      </c>
      <c r="C517" s="150">
        <f t="shared" si="324"/>
        <v>9</v>
      </c>
      <c r="D517" s="150">
        <f>IF(E517="","",Input!$C$4+B517-1)</f>
        <v>87</v>
      </c>
      <c r="E517" s="150">
        <f>IF(OR(AND(C516=12,D516=Input!$C$6),E516=""),"",1)</f>
        <v>1</v>
      </c>
      <c r="F517" s="150">
        <f>IF(E517="","",Input!$C$8+B517-1)</f>
        <v>2060</v>
      </c>
      <c r="G517" s="151">
        <f>IF(E517="","",MAX(0,Input!$C$9-B517))</f>
        <v>0</v>
      </c>
      <c r="H517" s="152">
        <f>IF(E517="","",Input!$C$3)</f>
        <v>100000</v>
      </c>
      <c r="I517" s="153">
        <f>IF(E517="","",HLOOKUP($B517,Input!$C$13:$BT$14,2))</f>
        <v>263.64449999999999</v>
      </c>
      <c r="J517" s="154"/>
      <c r="K517" s="155">
        <f>IF($E517="","",INDEX(Input!$C$16:$CP$16,1,$B517))</f>
        <v>3.1649999999999998E-2</v>
      </c>
      <c r="L517" s="155">
        <f>IF($E517="","",Input!$C$37)</f>
        <v>1.4999999999999999E-2</v>
      </c>
      <c r="M517" s="155">
        <f t="shared" si="328"/>
        <v>4.6649999999999997E-2</v>
      </c>
      <c r="N517" s="155">
        <f t="shared" si="329"/>
        <v>3.8067764001290527E-3</v>
      </c>
      <c r="O517" s="147">
        <f>IF($E517="","",MIN(VLOOKUP(IF($B517&lt;=Input!$C$7,$B517,26),'Mortality Tables'!$A$41:$CW$67,IF($B517&lt;=Input!$C$7+1,Input!$C$4+2,$D517-Input!$C$7+2),0)*IF(B517&gt;20,Input!$C$22,1)/1000,1))</f>
        <v>0.29700840000000001</v>
      </c>
      <c r="P517" s="147">
        <f>IF($E517="","",MIN(VLOOKUP(IF($B517&lt;=Input!$C$7,$B517,26),'Mortality Tables'!$A$12:$CW$37,IF($B517&lt;=Input!$C$7+1,Input!$C$4+2,$D517-Input!$C$7+2),0)*IF(B517&gt;20,Input!$C$22,1)/1000,1))</f>
        <v>0.37126049999999999</v>
      </c>
      <c r="Q517" s="155">
        <f>IF($E517="","",Input!$C$21)</f>
        <v>5.0000000000000001E-3</v>
      </c>
      <c r="R517" s="159">
        <f>IF($E517="","",(1-Q517)^($F517-Input!$C$20))</f>
        <v>0.81015737781547348</v>
      </c>
      <c r="S517" s="147">
        <f t="shared" ref="S517:S580" si="331">IF($E517="","",MIN(O517*R517,1))</f>
        <v>0.24062354653316928</v>
      </c>
      <c r="T517" s="147">
        <f t="shared" ref="T517:T580" si="332">IF($E517="","",1-(1-S517)^(1/12))</f>
        <v>2.267705751356841E-2</v>
      </c>
      <c r="U517" s="160">
        <f>IF($E517="","",IF($C517=12,INDEX(Input!$C$15:$CP$15,1,$B517),0))</f>
        <v>0</v>
      </c>
      <c r="V517" s="150">
        <f>IF(E517="","",IF(C517=1,IF($B517=1,Input!$C$33,Input!$C$34),0))</f>
        <v>0</v>
      </c>
      <c r="W517" s="156">
        <f>IF($E517="","",Input!$C$35)</f>
        <v>0.02</v>
      </c>
      <c r="X517" s="156">
        <f t="shared" si="330"/>
        <v>2.2972444660248938</v>
      </c>
      <c r="Y517" s="154"/>
      <c r="Z517" s="147">
        <f>IF($E517="","",VLOOKUP($D517,'Mortality Margins &amp; Grading'!$AB$5:$AF$125,3,0)*IF(Summary!$D$25="Included Margin",IF(AND($B517&gt;Input!$C$9,Summary!$D$31&lt;&gt;"Included Margin"),0,1),0))</f>
        <v>2.3E-2</v>
      </c>
      <c r="AA517" s="147">
        <f>IF($E517="","",VLOOKUP($D517,'Mortality Margins &amp; Grading'!$AB$5:$AF$125,5,0)*IF(Summary!$D$25="Included Margin",IF(AND($B517&gt;Input!$C$9,Summary!$D$31&lt;&gt;"Included Margin"),0,1),0))</f>
        <v>0.11899999999999999</v>
      </c>
      <c r="AB517" s="147">
        <f>IF($E517="","",IF(AND($B517&gt;Input!$C$9,Summary!$D$31&lt;&gt;"Included Margin"),1,IF(Summary!$D$25="Included Margin",VLOOKUP($B517,'Mortality Margins &amp; Grading'!$AI$5:$AR$125,MATCH('Mortality Margins &amp; Grading'!$AQ$4,'Mortality Margins &amp; Grading'!$AI$4:$AR$4,0),0),1)))</f>
        <v>0.125</v>
      </c>
      <c r="AC517" s="154"/>
      <c r="AD517" s="158">
        <f>IF(E517="","",Input!$C$48*IF(Summary!$D$30="Included Margin",IF(AND($B517&gt;Input!$C$9,Summary!$D$31&lt;&gt;"Included Margin"),0,1),0))</f>
        <v>-4.4999999999999997E-3</v>
      </c>
      <c r="AE517" s="159">
        <f>IF(E517="","",IF(Summary!$D$26="Included Margin",IF(AND($B517&gt;Input!$C$9,Summary!$D$31&lt;&gt;"Included Margin"),1,1/$R517),1))</f>
        <v>1.2343280791892834</v>
      </c>
      <c r="AF517" s="160">
        <f>IF(E517="","",IF(AND($B517&gt;=Input!$C$9,$C517=12,Summary!$D$31="Included Margin",$U517&gt;0),1/U517-1,IF($B517&gt;=Input!$C$9,0,Input!$C$45*IF(Summary!$D$27="Included Margin",1,0))))</f>
        <v>0</v>
      </c>
      <c r="AG517" s="160">
        <f>IF(E517="","",Input!$C$46*IF(Summary!$D$28="Included Margin",IF(AND($B517&gt;Input!$C$9,Summary!$D$31&lt;&gt;"Included Margin"),0,1),0))</f>
        <v>0.02</v>
      </c>
      <c r="AH517" s="158">
        <f>IF(E517="","",Input!$C$47*IF(Summary!$D$29="Included Margin",IF(AND($B517&gt;Input!$C$9,Summary!$D$31&lt;&gt;"Included Margin"),0,1),0))</f>
        <v>2.5000000000000001E-3</v>
      </c>
      <c r="AI517" s="154"/>
      <c r="AJ517" s="158">
        <f t="shared" si="312"/>
        <v>4.215E-2</v>
      </c>
      <c r="AK517" s="155">
        <f t="shared" si="313"/>
        <v>3.4464158565041814E-3</v>
      </c>
      <c r="AL517" s="147">
        <f t="shared" si="314"/>
        <v>0.40149038621249994</v>
      </c>
      <c r="AM517" s="147">
        <f t="shared" ref="AM517:AM580" si="333">IF($E517="","",1-(1-AL517)^(1/12))</f>
        <v>4.1874068917897911E-2</v>
      </c>
      <c r="AN517" s="160">
        <f t="shared" si="315"/>
        <v>0</v>
      </c>
      <c r="AO517" s="161">
        <f t="shared" si="316"/>
        <v>0</v>
      </c>
      <c r="AP517" s="156">
        <f t="shared" ref="AP517:AP580" si="334">IF($E517="","",IF(B517=1,1,IF(C517=1,(1+$W517+$AH517)*AP516,AP516)))</f>
        <v>2.5460052832793676</v>
      </c>
      <c r="AQ517" s="152"/>
      <c r="AR517" s="162">
        <f t="shared" ref="AR517:AR580" si="335">IF($E517="","",(AZ517*(1-$AN517)*(1-$AM517)/(1+$AK517)+AU517/(1+$AK517/2)-AS517+AT517))</f>
        <v>15621.782087677549</v>
      </c>
      <c r="AS517" s="150">
        <f t="shared" si="317"/>
        <v>0</v>
      </c>
      <c r="AT517" s="163">
        <f t="shared" ref="AT517:AT580" si="336">IF($E517="","",$AO517*$AP517)</f>
        <v>0</v>
      </c>
      <c r="AU517" s="163">
        <f t="shared" ref="AU517:AU580" si="337">IF($E517="","",$AM517*$H517)</f>
        <v>4187.4068917897912</v>
      </c>
      <c r="AV517" s="163">
        <f t="shared" si="318"/>
        <v>46.623384739075284</v>
      </c>
      <c r="AW517" s="163">
        <f t="shared" ref="AW517:AW580" si="338">IF($E517="","",AZ517*$AM517)</f>
        <v>501.76770087682627</v>
      </c>
      <c r="AX517" s="163">
        <f t="shared" ref="AX517:AX580" si="339">IF($E517="","",$AN517*AZ517*(1-$AM517))</f>
        <v>0</v>
      </c>
      <c r="AY517" s="164">
        <f t="shared" si="319"/>
        <v>11982.76628150366</v>
      </c>
      <c r="AZ517" s="164">
        <f>IF($E517="","",IF(OR(AND($D517=Input!$C$6,$C517=12),$AN517=1),0,-AS518+AT518+AU518-AV518-AW518-AX518+AZ518))</f>
        <v>11982.778694390494</v>
      </c>
      <c r="BA517" s="154">
        <f t="shared" ref="BA517:BA580" si="340">IF(E517="","",AZ517-AY517)</f>
        <v>1.2412886833772063E-2</v>
      </c>
      <c r="BC517" s="147">
        <f t="shared" si="320"/>
        <v>1.1277539122280856E-3</v>
      </c>
      <c r="BD517" s="164">
        <f>IF(AND($C516=12,$D516=Input!$C$6),0,IF($E517="","",AT517+(AU517+BD518)/(1+$AK517)*MIN((1-AM517-AN517),1)))</f>
        <v>9881.4845080703908</v>
      </c>
      <c r="BE517" s="164">
        <f t="shared" ref="BE517:BE580" si="341">IF($E517="","",BC517*BD517)</f>
        <v>11.143882812597603</v>
      </c>
      <c r="BF517" s="164">
        <f t="shared" si="321"/>
        <v>11982.778694390494</v>
      </c>
      <c r="BG517" s="164">
        <f t="shared" ref="BG517:BG580" si="342">IF($E517="","",BC517*BF517)</f>
        <v>13.513625551962232</v>
      </c>
      <c r="BH517" s="152"/>
      <c r="BI517" s="162">
        <f t="shared" ref="BI517:BI580" si="343">IF($E517="","",(BQ517*(1-$U517)*(1-$T517)/(1+$N517)+BL517/(1+$N517/2)-BJ517+BK517))</f>
        <v>656.09382590286987</v>
      </c>
      <c r="BJ517" s="150">
        <f t="shared" ref="BJ517:BJ580" si="344">IF($E517="","",AS517)</f>
        <v>0</v>
      </c>
      <c r="BK517" s="163">
        <f t="shared" si="325"/>
        <v>0</v>
      </c>
      <c r="BL517" s="163">
        <f t="shared" ref="BL517:BL580" si="345">IF(E517="","",$T517*$H517)</f>
        <v>2267.7057513568411</v>
      </c>
      <c r="BM517" s="163">
        <f t="shared" si="326"/>
        <v>-1.8187218756336478</v>
      </c>
      <c r="BN517" s="163">
        <f t="shared" ref="BN517:BN580" si="346">IF($E517="","",BQ517*$T517)</f>
        <v>-37.436626155468375</v>
      </c>
      <c r="BO517" s="163">
        <f t="shared" ref="BO517:BO580" si="347">IF($E517="","",$U517*BQ517*(1-$T517))</f>
        <v>0</v>
      </c>
      <c r="BP517" s="164">
        <f t="shared" si="327"/>
        <v>-1650.8672734850732</v>
      </c>
      <c r="BQ517" s="164">
        <f>IF($E517="","",IF(AND($D517=Input!$C$6,$C517=12),0,-BJ518+BK518+BL518-BM518-BN518-BO518+BQ518))</f>
        <v>-1650.859073452049</v>
      </c>
      <c r="BR517" s="161">
        <f t="shared" ref="BR517:BR580" si="348">IF(E517="","",ROUND(BQ517-BP517,1))</f>
        <v>0</v>
      </c>
      <c r="BT517" s="147">
        <f t="shared" ref="BT517:BT580" si="349">IF(E517="","",BC517)</f>
        <v>1.1277539122280856E-3</v>
      </c>
      <c r="BU517" s="164">
        <f>IF(AND($C516=12,$D516=Input!$C$6),0,IF($E517="","",BK517+(BL517+BU518)/(1+$AK517)*MIN((1-T517-U517),1)))</f>
        <v>66981.305208346559</v>
      </c>
      <c r="BV517" s="164">
        <f t="shared" ref="BV517:BV580" si="350">IF(E517="","",BT517*BU517)</f>
        <v>75.538428994856275</v>
      </c>
      <c r="BW517" s="164">
        <f t="shared" ref="BW517:BW580" si="351">IF(E517="","",BQ517)</f>
        <v>-1650.859073452049</v>
      </c>
      <c r="BX517" s="164">
        <f t="shared" ref="BX517:BX580" si="352">IF(E517="","",BT517*BW517)</f>
        <v>-1.8617627786227808</v>
      </c>
    </row>
    <row r="518" spans="1:76" s="150" customFormat="1" x14ac:dyDescent="0.25">
      <c r="A518" s="150">
        <f t="shared" si="322"/>
        <v>514</v>
      </c>
      <c r="B518" s="150">
        <f t="shared" si="323"/>
        <v>43</v>
      </c>
      <c r="C518" s="150">
        <f t="shared" si="324"/>
        <v>10</v>
      </c>
      <c r="D518" s="150">
        <f>IF(E518="","",Input!$C$4+B518-1)</f>
        <v>87</v>
      </c>
      <c r="E518" s="150">
        <f>IF(OR(AND(C517=12,D517=Input!$C$6),E517=""),"",1)</f>
        <v>1</v>
      </c>
      <c r="F518" s="150">
        <f>IF(E518="","",Input!$C$8+B518-1)</f>
        <v>2060</v>
      </c>
      <c r="G518" s="151">
        <f>IF(E518="","",MAX(0,Input!$C$9-B518))</f>
        <v>0</v>
      </c>
      <c r="H518" s="152">
        <f>IF(E518="","",Input!$C$3)</f>
        <v>100000</v>
      </c>
      <c r="I518" s="153">
        <f>IF(E518="","",HLOOKUP($B518,Input!$C$13:$BT$14,2))</f>
        <v>263.64449999999999</v>
      </c>
      <c r="J518" s="154"/>
      <c r="K518" s="155">
        <f>IF($E518="","",INDEX(Input!$C$16:$CP$16,1,$B518))</f>
        <v>3.1649999999999998E-2</v>
      </c>
      <c r="L518" s="155">
        <f>IF($E518="","",Input!$C$37)</f>
        <v>1.4999999999999999E-2</v>
      </c>
      <c r="M518" s="155">
        <f t="shared" si="328"/>
        <v>4.6649999999999997E-2</v>
      </c>
      <c r="N518" s="155">
        <f t="shared" si="329"/>
        <v>3.8067764001290527E-3</v>
      </c>
      <c r="O518" s="147">
        <f>IF($E518="","",MIN(VLOOKUP(IF($B518&lt;=Input!$C$7,$B518,26),'Mortality Tables'!$A$41:$CW$67,IF($B518&lt;=Input!$C$7+1,Input!$C$4+2,$D518-Input!$C$7+2),0)*IF(B518&gt;20,Input!$C$22,1)/1000,1))</f>
        <v>0.29700840000000001</v>
      </c>
      <c r="P518" s="147">
        <f>IF($E518="","",MIN(VLOOKUP(IF($B518&lt;=Input!$C$7,$B518,26),'Mortality Tables'!$A$12:$CW$37,IF($B518&lt;=Input!$C$7+1,Input!$C$4+2,$D518-Input!$C$7+2),0)*IF(B518&gt;20,Input!$C$22,1)/1000,1))</f>
        <v>0.37126049999999999</v>
      </c>
      <c r="Q518" s="155">
        <f>IF($E518="","",Input!$C$21)</f>
        <v>5.0000000000000001E-3</v>
      </c>
      <c r="R518" s="159">
        <f>IF($E518="","",(1-Q518)^($F518-Input!$C$20))</f>
        <v>0.81015737781547348</v>
      </c>
      <c r="S518" s="147">
        <f t="shared" si="331"/>
        <v>0.24062354653316928</v>
      </c>
      <c r="T518" s="147">
        <f t="shared" si="332"/>
        <v>2.267705751356841E-2</v>
      </c>
      <c r="U518" s="160">
        <f>IF($E518="","",IF($C518=12,INDEX(Input!$C$15:$CP$15,1,$B518),0))</f>
        <v>0</v>
      </c>
      <c r="V518" s="150">
        <f>IF(E518="","",IF(C518=1,IF($B518=1,Input!$C$33,Input!$C$34),0))</f>
        <v>0</v>
      </c>
      <c r="W518" s="156">
        <f>IF($E518="","",Input!$C$35)</f>
        <v>0.02</v>
      </c>
      <c r="X518" s="156">
        <f t="shared" si="330"/>
        <v>2.2972444660248938</v>
      </c>
      <c r="Y518" s="154"/>
      <c r="Z518" s="147">
        <f>IF($E518="","",VLOOKUP($D518,'Mortality Margins &amp; Grading'!$AB$5:$AF$125,3,0)*IF(Summary!$D$25="Included Margin",IF(AND($B518&gt;Input!$C$9,Summary!$D$31&lt;&gt;"Included Margin"),0,1),0))</f>
        <v>2.3E-2</v>
      </c>
      <c r="AA518" s="147">
        <f>IF($E518="","",VLOOKUP($D518,'Mortality Margins &amp; Grading'!$AB$5:$AF$125,5,0)*IF(Summary!$D$25="Included Margin",IF(AND($B518&gt;Input!$C$9,Summary!$D$31&lt;&gt;"Included Margin"),0,1),0))</f>
        <v>0.11899999999999999</v>
      </c>
      <c r="AB518" s="147">
        <f>IF($E518="","",IF(AND($B518&gt;Input!$C$9,Summary!$D$31&lt;&gt;"Included Margin"),1,IF(Summary!$D$25="Included Margin",VLOOKUP($B518,'Mortality Margins &amp; Grading'!$AI$5:$AR$125,MATCH('Mortality Margins &amp; Grading'!$AQ$4,'Mortality Margins &amp; Grading'!$AI$4:$AR$4,0),0),1)))</f>
        <v>0.125</v>
      </c>
      <c r="AC518" s="154"/>
      <c r="AD518" s="158">
        <f>IF(E518="","",Input!$C$48*IF(Summary!$D$30="Included Margin",IF(AND($B518&gt;Input!$C$9,Summary!$D$31&lt;&gt;"Included Margin"),0,1),0))</f>
        <v>-4.4999999999999997E-3</v>
      </c>
      <c r="AE518" s="159">
        <f>IF(E518="","",IF(Summary!$D$26="Included Margin",IF(AND($B518&gt;Input!$C$9,Summary!$D$31&lt;&gt;"Included Margin"),1,1/$R518),1))</f>
        <v>1.2343280791892834</v>
      </c>
      <c r="AF518" s="160">
        <f>IF(E518="","",IF(AND($B518&gt;=Input!$C$9,$C518=12,Summary!$D$31="Included Margin",$U518&gt;0),1/U518-1,IF($B518&gt;=Input!$C$9,0,Input!$C$45*IF(Summary!$D$27="Included Margin",1,0))))</f>
        <v>0</v>
      </c>
      <c r="AG518" s="160">
        <f>IF(E518="","",Input!$C$46*IF(Summary!$D$28="Included Margin",IF(AND($B518&gt;Input!$C$9,Summary!$D$31&lt;&gt;"Included Margin"),0,1),0))</f>
        <v>0.02</v>
      </c>
      <c r="AH518" s="158">
        <f>IF(E518="","",Input!$C$47*IF(Summary!$D$29="Included Margin",IF(AND($B518&gt;Input!$C$9,Summary!$D$31&lt;&gt;"Included Margin"),0,1),0))</f>
        <v>2.5000000000000001E-3</v>
      </c>
      <c r="AI518" s="154"/>
      <c r="AJ518" s="158">
        <f t="shared" ref="AJ518:AJ581" si="353">IF(E518="","",M518+AD518)</f>
        <v>4.215E-2</v>
      </c>
      <c r="AK518" s="155">
        <f t="shared" ref="AK518:AK581" si="354">IF(E518="","",(1+AJ518)^(1/12)-1)</f>
        <v>3.4464158565041814E-3</v>
      </c>
      <c r="AL518" s="147">
        <f t="shared" ref="AL518:AL581" si="355">IF($E518="","",MIN(($O518*(1+$Z518)*$AB518+$P518*(1+$AA518)*(1-$AB518))*R518*AE518,1))</f>
        <v>0.40149038621249994</v>
      </c>
      <c r="AM518" s="147">
        <f t="shared" si="333"/>
        <v>4.1874068917897911E-2</v>
      </c>
      <c r="AN518" s="160">
        <f t="shared" ref="AN518:AN581" si="356">IF(E518="","",IF(U518=1,1,(1+AF518)*U518))</f>
        <v>0</v>
      </c>
      <c r="AO518" s="161">
        <f t="shared" ref="AO518:AO581" si="357">IF($E518="","",(1+$AG518)*$V518)</f>
        <v>0</v>
      </c>
      <c r="AP518" s="156">
        <f t="shared" si="334"/>
        <v>2.5460052832793676</v>
      </c>
      <c r="AQ518" s="152"/>
      <c r="AR518" s="162">
        <f t="shared" si="335"/>
        <v>11982.76628150366</v>
      </c>
      <c r="AS518" s="150">
        <f t="shared" ref="AS518:AS581" si="358">IF($E518="","",IF($C518=1,$I518*$H518/1000,0))</f>
        <v>0</v>
      </c>
      <c r="AT518" s="163">
        <f t="shared" si="336"/>
        <v>0</v>
      </c>
      <c r="AU518" s="163">
        <f t="shared" si="337"/>
        <v>4187.4068917897912</v>
      </c>
      <c r="AV518" s="163">
        <f t="shared" ref="AV518:AV581" si="359">IF($E518="","",(AR518+AS518-AT518-AU518/2)*$AK518)</f>
        <v>34.08182296260825</v>
      </c>
      <c r="AW518" s="163">
        <f t="shared" si="338"/>
        <v>342.17952992468395</v>
      </c>
      <c r="AX518" s="163">
        <f t="shared" si="339"/>
        <v>0</v>
      </c>
      <c r="AY518" s="165">
        <f t="shared" ref="AY518:AY581" si="360">IF($E518="","",AR518+AS518-AT518-AU518+AV518+AW518+AX518)</f>
        <v>8171.6207426011615</v>
      </c>
      <c r="AZ518" s="164">
        <f>IF($E518="","",IF(OR(AND($D518=Input!$C$6,$C518=12),$AN518=1),0,-AS519+AT519+AU519-AV519-AW519-AX519+AZ519))</f>
        <v>8171.6331554879962</v>
      </c>
      <c r="BA518" s="154">
        <f t="shared" si="340"/>
        <v>1.2412886834681558E-2</v>
      </c>
      <c r="BC518" s="147">
        <f t="shared" ref="BC518:BC581" si="361">IF($E518="","",MIN(1,(1-T518-U518))*BC517)</f>
        <v>1.1021797718993374E-3</v>
      </c>
      <c r="BD518" s="164">
        <f>IF(AND($C517=12,$D517=Input!$C$6),0,IF($E518="","",AT518+(AU518+BD519)/(1+$AK518)*MIN((1-AM518-AN518),1)))</f>
        <v>6161.4834693825132</v>
      </c>
      <c r="BE518" s="164">
        <f t="shared" si="341"/>
        <v>6.791062444845557</v>
      </c>
      <c r="BF518" s="164">
        <f t="shared" ref="BF518:BF581" si="362">IF($E518="","",AZ518)</f>
        <v>8171.6331554879962</v>
      </c>
      <c r="BG518" s="164">
        <f t="shared" si="342"/>
        <v>9.0066087673608219</v>
      </c>
      <c r="BH518" s="152"/>
      <c r="BI518" s="162">
        <f t="shared" si="343"/>
        <v>-1650.8672734850729</v>
      </c>
      <c r="BJ518" s="150">
        <f t="shared" si="344"/>
        <v>0</v>
      </c>
      <c r="BK518" s="163">
        <f t="shared" si="325"/>
        <v>0</v>
      </c>
      <c r="BL518" s="163">
        <f t="shared" si="345"/>
        <v>2267.7057513568411</v>
      </c>
      <c r="BM518" s="163">
        <f t="shared" si="326"/>
        <v>-10.600806944799441</v>
      </c>
      <c r="BN518" s="163">
        <f t="shared" si="346"/>
        <v>-91.169368013533344</v>
      </c>
      <c r="BO518" s="163">
        <f t="shared" si="347"/>
        <v>0</v>
      </c>
      <c r="BP518" s="164">
        <f t="shared" si="327"/>
        <v>-4020.3431998002466</v>
      </c>
      <c r="BQ518" s="164">
        <f>IF($E518="","",IF(AND($D518=Input!$C$6,$C518=12),0,-BJ519+BK519+BL519-BM519-BN519-BO519+BQ519))</f>
        <v>-4020.3349997672226</v>
      </c>
      <c r="BR518" s="161">
        <f t="shared" si="348"/>
        <v>0</v>
      </c>
      <c r="BT518" s="147">
        <f t="shared" si="349"/>
        <v>1.1021797718993374E-3</v>
      </c>
      <c r="BU518" s="164">
        <f>IF(AND($C517=12,$D517=Input!$C$6),0,IF($E518="","",BK518+(BL518+BU519)/(1+$AK518)*MIN((1-T518-U518),1)))</f>
        <v>66503.984463660352</v>
      </c>
      <c r="BV518" s="164">
        <f t="shared" si="350"/>
        <v>73.299346426554251</v>
      </c>
      <c r="BW518" s="164">
        <f t="shared" si="351"/>
        <v>-4020.3349997672226</v>
      </c>
      <c r="BX518" s="164">
        <f t="shared" si="352"/>
        <v>-4.4311319130023605</v>
      </c>
    </row>
    <row r="519" spans="1:76" s="150" customFormat="1" x14ac:dyDescent="0.25">
      <c r="A519" s="150">
        <f t="shared" ref="A519:A582" si="363">IF(E519="","",A518+1)</f>
        <v>515</v>
      </c>
      <c r="B519" s="150">
        <f t="shared" ref="B519:B582" si="364">IF(E519="","",IF(C518+1&gt;12,B518+1,B518))</f>
        <v>43</v>
      </c>
      <c r="C519" s="150">
        <f t="shared" ref="C519:C582" si="365">IF(E519="","",IF(C518+1&gt;12,1,C518+1))</f>
        <v>11</v>
      </c>
      <c r="D519" s="150">
        <f>IF(E519="","",Input!$C$4+B519-1)</f>
        <v>87</v>
      </c>
      <c r="E519" s="150">
        <f>IF(OR(AND(C518=12,D518=Input!$C$6),E518=""),"",1)</f>
        <v>1</v>
      </c>
      <c r="F519" s="150">
        <f>IF(E519="","",Input!$C$8+B519-1)</f>
        <v>2060</v>
      </c>
      <c r="G519" s="151">
        <f>IF(E519="","",MAX(0,Input!$C$9-B519))</f>
        <v>0</v>
      </c>
      <c r="H519" s="152">
        <f>IF(E519="","",Input!$C$3)</f>
        <v>100000</v>
      </c>
      <c r="I519" s="153">
        <f>IF(E519="","",HLOOKUP($B519,Input!$C$13:$BT$14,2))</f>
        <v>263.64449999999999</v>
      </c>
      <c r="J519" s="154"/>
      <c r="K519" s="155">
        <f>IF($E519="","",INDEX(Input!$C$16:$CP$16,1,$B519))</f>
        <v>3.1649999999999998E-2</v>
      </c>
      <c r="L519" s="155">
        <f>IF($E519="","",Input!$C$37)</f>
        <v>1.4999999999999999E-2</v>
      </c>
      <c r="M519" s="155">
        <f t="shared" si="328"/>
        <v>4.6649999999999997E-2</v>
      </c>
      <c r="N519" s="155">
        <f t="shared" si="329"/>
        <v>3.8067764001290527E-3</v>
      </c>
      <c r="O519" s="147">
        <f>IF($E519="","",MIN(VLOOKUP(IF($B519&lt;=Input!$C$7,$B519,26),'Mortality Tables'!$A$41:$CW$67,IF($B519&lt;=Input!$C$7+1,Input!$C$4+2,$D519-Input!$C$7+2),0)*IF(B519&gt;20,Input!$C$22,1)/1000,1))</f>
        <v>0.29700840000000001</v>
      </c>
      <c r="P519" s="147">
        <f>IF($E519="","",MIN(VLOOKUP(IF($B519&lt;=Input!$C$7,$B519,26),'Mortality Tables'!$A$12:$CW$37,IF($B519&lt;=Input!$C$7+1,Input!$C$4+2,$D519-Input!$C$7+2),0)*IF(B519&gt;20,Input!$C$22,1)/1000,1))</f>
        <v>0.37126049999999999</v>
      </c>
      <c r="Q519" s="155">
        <f>IF($E519="","",Input!$C$21)</f>
        <v>5.0000000000000001E-3</v>
      </c>
      <c r="R519" s="159">
        <f>IF($E519="","",(1-Q519)^($F519-Input!$C$20))</f>
        <v>0.81015737781547348</v>
      </c>
      <c r="S519" s="147">
        <f t="shared" si="331"/>
        <v>0.24062354653316928</v>
      </c>
      <c r="T519" s="147">
        <f t="shared" si="332"/>
        <v>2.267705751356841E-2</v>
      </c>
      <c r="U519" s="160">
        <f>IF($E519="","",IF($C519=12,INDEX(Input!$C$15:$CP$15,1,$B519),0))</f>
        <v>0</v>
      </c>
      <c r="V519" s="150">
        <f>IF(E519="","",IF(C519=1,IF($B519=1,Input!$C$33,Input!$C$34),0))</f>
        <v>0</v>
      </c>
      <c r="W519" s="156">
        <f>IF($E519="","",Input!$C$35)</f>
        <v>0.02</v>
      </c>
      <c r="X519" s="156">
        <f t="shared" si="330"/>
        <v>2.2972444660248938</v>
      </c>
      <c r="Y519" s="154"/>
      <c r="Z519" s="147">
        <f>IF($E519="","",VLOOKUP($D519,'Mortality Margins &amp; Grading'!$AB$5:$AF$125,3,0)*IF(Summary!$D$25="Included Margin",IF(AND($B519&gt;Input!$C$9,Summary!$D$31&lt;&gt;"Included Margin"),0,1),0))</f>
        <v>2.3E-2</v>
      </c>
      <c r="AA519" s="147">
        <f>IF($E519="","",VLOOKUP($D519,'Mortality Margins &amp; Grading'!$AB$5:$AF$125,5,0)*IF(Summary!$D$25="Included Margin",IF(AND($B519&gt;Input!$C$9,Summary!$D$31&lt;&gt;"Included Margin"),0,1),0))</f>
        <v>0.11899999999999999</v>
      </c>
      <c r="AB519" s="147">
        <f>IF($E519="","",IF(AND($B519&gt;Input!$C$9,Summary!$D$31&lt;&gt;"Included Margin"),1,IF(Summary!$D$25="Included Margin",VLOOKUP($B519,'Mortality Margins &amp; Grading'!$AI$5:$AR$125,MATCH('Mortality Margins &amp; Grading'!$AQ$4,'Mortality Margins &amp; Grading'!$AI$4:$AR$4,0),0),1)))</f>
        <v>0.125</v>
      </c>
      <c r="AC519" s="154"/>
      <c r="AD519" s="158">
        <f>IF(E519="","",Input!$C$48*IF(Summary!$D$30="Included Margin",IF(AND($B519&gt;Input!$C$9,Summary!$D$31&lt;&gt;"Included Margin"),0,1),0))</f>
        <v>-4.4999999999999997E-3</v>
      </c>
      <c r="AE519" s="159">
        <f>IF(E519="","",IF(Summary!$D$26="Included Margin",IF(AND($B519&gt;Input!$C$9,Summary!$D$31&lt;&gt;"Included Margin"),1,1/$R519),1))</f>
        <v>1.2343280791892834</v>
      </c>
      <c r="AF519" s="160">
        <f>IF(E519="","",IF(AND($B519&gt;=Input!$C$9,$C519=12,Summary!$D$31="Included Margin",$U519&gt;0),1/U519-1,IF($B519&gt;=Input!$C$9,0,Input!$C$45*IF(Summary!$D$27="Included Margin",1,0))))</f>
        <v>0</v>
      </c>
      <c r="AG519" s="160">
        <f>IF(E519="","",Input!$C$46*IF(Summary!$D$28="Included Margin",IF(AND($B519&gt;Input!$C$9,Summary!$D$31&lt;&gt;"Included Margin"),0,1),0))</f>
        <v>0.02</v>
      </c>
      <c r="AH519" s="158">
        <f>IF(E519="","",Input!$C$47*IF(Summary!$D$29="Included Margin",IF(AND($B519&gt;Input!$C$9,Summary!$D$31&lt;&gt;"Included Margin"),0,1),0))</f>
        <v>2.5000000000000001E-3</v>
      </c>
      <c r="AI519" s="154"/>
      <c r="AJ519" s="158">
        <f t="shared" si="353"/>
        <v>4.215E-2</v>
      </c>
      <c r="AK519" s="155">
        <f t="shared" si="354"/>
        <v>3.4464158565041814E-3</v>
      </c>
      <c r="AL519" s="147">
        <f t="shared" si="355"/>
        <v>0.40149038621249994</v>
      </c>
      <c r="AM519" s="147">
        <f t="shared" si="333"/>
        <v>4.1874068917897911E-2</v>
      </c>
      <c r="AN519" s="160">
        <f t="shared" si="356"/>
        <v>0</v>
      </c>
      <c r="AO519" s="161">
        <f t="shared" si="357"/>
        <v>0</v>
      </c>
      <c r="AP519" s="156">
        <f t="shared" si="334"/>
        <v>2.5460052832793676</v>
      </c>
      <c r="AQ519" s="152"/>
      <c r="AR519" s="162">
        <f t="shared" si="335"/>
        <v>8171.6207426011624</v>
      </c>
      <c r="AS519" s="150">
        <f t="shared" si="358"/>
        <v>0</v>
      </c>
      <c r="AT519" s="163">
        <f t="shared" si="336"/>
        <v>0</v>
      </c>
      <c r="AU519" s="163">
        <f t="shared" si="337"/>
        <v>4187.4068917897912</v>
      </c>
      <c r="AV519" s="163">
        <f t="shared" si="359"/>
        <v>20.947030545889508</v>
      </c>
      <c r="AW519" s="163">
        <f t="shared" si="338"/>
        <v>175.04265056461568</v>
      </c>
      <c r="AX519" s="163">
        <f t="shared" si="339"/>
        <v>0</v>
      </c>
      <c r="AY519" s="164">
        <f t="shared" si="360"/>
        <v>4180.2035319218767</v>
      </c>
      <c r="AZ519" s="164">
        <f>IF($E519="","",IF(OR(AND($D519=Input!$C$6,$C519=12),$AN519=1),0,-AS520+AT520+AU520-AV520-AW520-AX520+AZ520))</f>
        <v>4180.2159448087104</v>
      </c>
      <c r="BA519" s="154">
        <f t="shared" si="340"/>
        <v>1.2412886833772063E-2</v>
      </c>
      <c r="BC519" s="147">
        <f t="shared" si="361"/>
        <v>1.0771855778216844E-3</v>
      </c>
      <c r="BD519" s="164">
        <f>IF(AND($C518=12,$D518=Input!$C$6),0,IF($E519="","",AT519+(AU519+BD520)/(1+$AK519)*MIN((1-AM519-AN519),1)))</f>
        <v>2265.5220011045421</v>
      </c>
      <c r="BE519" s="164">
        <f t="shared" si="341"/>
        <v>2.440387625827535</v>
      </c>
      <c r="BF519" s="164">
        <f t="shared" si="362"/>
        <v>4180.2159448087104</v>
      </c>
      <c r="BG519" s="164">
        <f t="shared" si="342"/>
        <v>4.5028683279281889</v>
      </c>
      <c r="BH519" s="152"/>
      <c r="BI519" s="162">
        <f t="shared" si="343"/>
        <v>-4020.3431998002461</v>
      </c>
      <c r="BJ519" s="150">
        <f t="shared" si="344"/>
        <v>0</v>
      </c>
      <c r="BK519" s="163">
        <f t="shared" ref="BK519:BK582" si="366">IF($E519="","",$V519*$X519)</f>
        <v>0</v>
      </c>
      <c r="BL519" s="163">
        <f t="shared" si="345"/>
        <v>2267.7057513568411</v>
      </c>
      <c r="BM519" s="163">
        <f t="shared" ref="BM519:BM582" si="367">IF($E519="","",(BI519+BJ519-BK519-BL519/2)*$N519)</f>
        <v>-19.620871981769969</v>
      </c>
      <c r="BN519" s="163">
        <f t="shared" si="346"/>
        <v>-146.35817822856964</v>
      </c>
      <c r="BO519" s="163">
        <f t="shared" si="347"/>
        <v>0</v>
      </c>
      <c r="BP519" s="164">
        <f t="shared" ref="BP519:BP582" si="368">IF($E519="","",BI519+BJ519-BK519-BL519+BM519+BN519+BO519)</f>
        <v>-6454.0280013674264</v>
      </c>
      <c r="BQ519" s="164">
        <f>IF($E519="","",IF(AND($D519=Input!$C$6,$C519=12),0,-BJ520+BK520+BL520-BM520-BN520-BO520+BQ520))</f>
        <v>-6454.0198013344034</v>
      </c>
      <c r="BR519" s="161">
        <f t="shared" si="348"/>
        <v>0</v>
      </c>
      <c r="BT519" s="147">
        <f t="shared" si="349"/>
        <v>1.0771855778216844E-3</v>
      </c>
      <c r="BU519" s="164">
        <f>IF(AND($C518=12,$D518=Input!$C$6),0,IF($E519="","",BK519+(BL519+BU520)/(1+$AK519)*MIN((1-T519-U519),1)))</f>
        <v>66013.905115629517</v>
      </c>
      <c r="BV519" s="164">
        <f t="shared" si="350"/>
        <v>71.109226526245237</v>
      </c>
      <c r="BW519" s="164">
        <f t="shared" si="351"/>
        <v>-6454.0198013344034</v>
      </c>
      <c r="BX519" s="164">
        <f t="shared" si="352"/>
        <v>-6.9521770489729926</v>
      </c>
    </row>
    <row r="520" spans="1:76" s="150" customFormat="1" x14ac:dyDescent="0.25">
      <c r="A520" s="150">
        <f t="shared" si="363"/>
        <v>516</v>
      </c>
      <c r="B520" s="150">
        <f t="shared" si="364"/>
        <v>43</v>
      </c>
      <c r="C520" s="150">
        <f t="shared" si="365"/>
        <v>12</v>
      </c>
      <c r="D520" s="150">
        <f>IF(E520="","",Input!$C$4+B520-1)</f>
        <v>87</v>
      </c>
      <c r="E520" s="150">
        <f>IF(OR(AND(C519=12,D519=Input!$C$6),E519=""),"",1)</f>
        <v>1</v>
      </c>
      <c r="F520" s="150">
        <f>IF(E520="","",Input!$C$8+B520-1)</f>
        <v>2060</v>
      </c>
      <c r="G520" s="151">
        <f>IF(E520="","",MAX(0,Input!$C$9-B520))</f>
        <v>0</v>
      </c>
      <c r="H520" s="152">
        <f>IF(E520="","",Input!$C$3)</f>
        <v>100000</v>
      </c>
      <c r="I520" s="153">
        <f>IF(E520="","",HLOOKUP($B520,Input!$C$13:$BT$14,2))</f>
        <v>263.64449999999999</v>
      </c>
      <c r="J520" s="154"/>
      <c r="K520" s="155">
        <f>IF($E520="","",INDEX(Input!$C$16:$CP$16,1,$B520))</f>
        <v>3.1649999999999998E-2</v>
      </c>
      <c r="L520" s="155">
        <f>IF($E520="","",Input!$C$37)</f>
        <v>1.4999999999999999E-2</v>
      </c>
      <c r="M520" s="155">
        <f t="shared" si="328"/>
        <v>4.6649999999999997E-2</v>
      </c>
      <c r="N520" s="155">
        <f t="shared" si="329"/>
        <v>3.8067764001290527E-3</v>
      </c>
      <c r="O520" s="147">
        <f>IF($E520="","",MIN(VLOOKUP(IF($B520&lt;=Input!$C$7,$B520,26),'Mortality Tables'!$A$41:$CW$67,IF($B520&lt;=Input!$C$7+1,Input!$C$4+2,$D520-Input!$C$7+2),0)*IF(B520&gt;20,Input!$C$22,1)/1000,1))</f>
        <v>0.29700840000000001</v>
      </c>
      <c r="P520" s="147">
        <f>IF($E520="","",MIN(VLOOKUP(IF($B520&lt;=Input!$C$7,$B520,26),'Mortality Tables'!$A$12:$CW$37,IF($B520&lt;=Input!$C$7+1,Input!$C$4+2,$D520-Input!$C$7+2),0)*IF(B520&gt;20,Input!$C$22,1)/1000,1))</f>
        <v>0.37126049999999999</v>
      </c>
      <c r="Q520" s="155">
        <f>IF($E520="","",Input!$C$21)</f>
        <v>5.0000000000000001E-3</v>
      </c>
      <c r="R520" s="159">
        <f>IF($E520="","",(1-Q520)^($F520-Input!$C$20))</f>
        <v>0.81015737781547348</v>
      </c>
      <c r="S520" s="147">
        <f t="shared" si="331"/>
        <v>0.24062354653316928</v>
      </c>
      <c r="T520" s="147">
        <f t="shared" si="332"/>
        <v>2.267705751356841E-2</v>
      </c>
      <c r="U520" s="160">
        <f>IF($E520="","",IF($C520=12,INDEX(Input!$C$15:$CP$15,1,$B520),0))</f>
        <v>0.1</v>
      </c>
      <c r="V520" s="150">
        <f>IF(E520="","",IF(C520=1,IF($B520=1,Input!$C$33,Input!$C$34),0))</f>
        <v>0</v>
      </c>
      <c r="W520" s="156">
        <f>IF($E520="","",Input!$C$35)</f>
        <v>0.02</v>
      </c>
      <c r="X520" s="156">
        <f t="shared" si="330"/>
        <v>2.2972444660248938</v>
      </c>
      <c r="Y520" s="154"/>
      <c r="Z520" s="147">
        <f>IF($E520="","",VLOOKUP($D520,'Mortality Margins &amp; Grading'!$AB$5:$AF$125,3,0)*IF(Summary!$D$25="Included Margin",IF(AND($B520&gt;Input!$C$9,Summary!$D$31&lt;&gt;"Included Margin"),0,1),0))</f>
        <v>2.3E-2</v>
      </c>
      <c r="AA520" s="147">
        <f>IF($E520="","",VLOOKUP($D520,'Mortality Margins &amp; Grading'!$AB$5:$AF$125,5,0)*IF(Summary!$D$25="Included Margin",IF(AND($B520&gt;Input!$C$9,Summary!$D$31&lt;&gt;"Included Margin"),0,1),0))</f>
        <v>0.11899999999999999</v>
      </c>
      <c r="AB520" s="147">
        <f>IF($E520="","",IF(AND($B520&gt;Input!$C$9,Summary!$D$31&lt;&gt;"Included Margin"),1,IF(Summary!$D$25="Included Margin",VLOOKUP($B520,'Mortality Margins &amp; Grading'!$AI$5:$AR$125,MATCH('Mortality Margins &amp; Grading'!$AQ$4,'Mortality Margins &amp; Grading'!$AI$4:$AR$4,0),0),1)))</f>
        <v>0.125</v>
      </c>
      <c r="AC520" s="154"/>
      <c r="AD520" s="158">
        <f>IF(E520="","",Input!$C$48*IF(Summary!$D$30="Included Margin",IF(AND($B520&gt;Input!$C$9,Summary!$D$31&lt;&gt;"Included Margin"),0,1),0))</f>
        <v>-4.4999999999999997E-3</v>
      </c>
      <c r="AE520" s="159">
        <f>IF(E520="","",IF(Summary!$D$26="Included Margin",IF(AND($B520&gt;Input!$C$9,Summary!$D$31&lt;&gt;"Included Margin"),1,1/$R520),1))</f>
        <v>1.2343280791892834</v>
      </c>
      <c r="AF520" s="160">
        <f>IF(E520="","",IF(AND($B520&gt;=Input!$C$9,$C520=12,Summary!$D$31="Included Margin",$U520&gt;0),1/U520-1,IF($B520&gt;=Input!$C$9,0,Input!$C$45*IF(Summary!$D$27="Included Margin",1,0))))</f>
        <v>9</v>
      </c>
      <c r="AG520" s="160">
        <f>IF(E520="","",Input!$C$46*IF(Summary!$D$28="Included Margin",IF(AND($B520&gt;Input!$C$9,Summary!$D$31&lt;&gt;"Included Margin"),0,1),0))</f>
        <v>0.02</v>
      </c>
      <c r="AH520" s="158">
        <f>IF(E520="","",Input!$C$47*IF(Summary!$D$29="Included Margin",IF(AND($B520&gt;Input!$C$9,Summary!$D$31&lt;&gt;"Included Margin"),0,1),0))</f>
        <v>2.5000000000000001E-3</v>
      </c>
      <c r="AI520" s="154"/>
      <c r="AJ520" s="158">
        <f t="shared" si="353"/>
        <v>4.215E-2</v>
      </c>
      <c r="AK520" s="155">
        <f t="shared" si="354"/>
        <v>3.4464158565041814E-3</v>
      </c>
      <c r="AL520" s="147">
        <f t="shared" si="355"/>
        <v>0.40149038621249994</v>
      </c>
      <c r="AM520" s="147">
        <f t="shared" si="333"/>
        <v>4.1874068917897911E-2</v>
      </c>
      <c r="AN520" s="160">
        <f t="shared" si="356"/>
        <v>1</v>
      </c>
      <c r="AO520" s="161">
        <f t="shared" si="357"/>
        <v>0</v>
      </c>
      <c r="AP520" s="156">
        <f t="shared" si="334"/>
        <v>2.5460052832793676</v>
      </c>
      <c r="AQ520" s="152"/>
      <c r="AR520" s="162">
        <f t="shared" si="335"/>
        <v>4180.2035319218758</v>
      </c>
      <c r="AS520" s="150">
        <f t="shared" si="358"/>
        <v>0</v>
      </c>
      <c r="AT520" s="163">
        <f t="shared" si="336"/>
        <v>0</v>
      </c>
      <c r="AU520" s="163">
        <f t="shared" si="337"/>
        <v>4187.4068917897912</v>
      </c>
      <c r="AV520" s="163">
        <f t="shared" si="359"/>
        <v>7.1909469810807227</v>
      </c>
      <c r="AW520" s="163">
        <f t="shared" si="338"/>
        <v>0</v>
      </c>
      <c r="AX520" s="163">
        <f t="shared" si="339"/>
        <v>0</v>
      </c>
      <c r="AY520" s="165">
        <f t="shared" si="360"/>
        <v>-1.2412886834701098E-2</v>
      </c>
      <c r="AZ520" s="164">
        <f>IF($E520="","",IF(OR(AND($D520=Input!$C$6,$C520=12),$AN520=1),0,-AS521+AT521+AU521-AV521-AW521-AX521+AZ521))</f>
        <v>0</v>
      </c>
      <c r="BA520" s="154">
        <f t="shared" si="340"/>
        <v>1.2412886834701098E-2</v>
      </c>
      <c r="BC520" s="147">
        <f t="shared" si="361"/>
        <v>9.4503962073846719E-4</v>
      </c>
      <c r="BD520" s="164">
        <f>IF(AND($C519=12,$D519=Input!$C$6),0,IF($E520="","",AT520+(AU520+BD521)/(1+$AK520)*MIN((1-AM520-AN520),1)))</f>
        <v>-1814.7230322840562</v>
      </c>
      <c r="BE520" s="164">
        <f t="shared" si="341"/>
        <v>-1.7149851661750857</v>
      </c>
      <c r="BF520" s="164">
        <f t="shared" si="362"/>
        <v>0</v>
      </c>
      <c r="BG520" s="164">
        <f t="shared" si="342"/>
        <v>0</v>
      </c>
      <c r="BH520" s="152"/>
      <c r="BI520" s="162">
        <f t="shared" si="343"/>
        <v>-6454.0280013674301</v>
      </c>
      <c r="BJ520" s="150">
        <f t="shared" si="344"/>
        <v>0</v>
      </c>
      <c r="BK520" s="163">
        <f t="shared" si="366"/>
        <v>0</v>
      </c>
      <c r="BL520" s="163">
        <f t="shared" si="345"/>
        <v>2267.7057513568411</v>
      </c>
      <c r="BM520" s="163">
        <f t="shared" si="367"/>
        <v>-28.885365849728682</v>
      </c>
      <c r="BN520" s="163">
        <f t="shared" si="346"/>
        <v>-225.60279315858259</v>
      </c>
      <c r="BO520" s="163">
        <f t="shared" si="347"/>
        <v>-972.29010206010821</v>
      </c>
      <c r="BP520" s="164">
        <f t="shared" si="368"/>
        <v>-9948.5120137926897</v>
      </c>
      <c r="BQ520" s="164">
        <f>IF($E520="","",IF(AND($D520=Input!$C$6,$C520=12),0,-BJ521+BK521+BL521-BM521-BN521-BO521+BQ521))</f>
        <v>-9948.5038137596639</v>
      </c>
      <c r="BR520" s="161">
        <f t="shared" si="348"/>
        <v>0</v>
      </c>
      <c r="BT520" s="147">
        <f t="shared" si="349"/>
        <v>9.4503962073846719E-4</v>
      </c>
      <c r="BU520" s="164">
        <f>IF(AND($C519=12,$D519=Input!$C$6),0,IF($E520="","",BK520+(BL520+BU521)/(1+$AK520)*MIN((1-T520-U520),1)))</f>
        <v>65510.726131602285</v>
      </c>
      <c r="BV520" s="164">
        <f t="shared" si="350"/>
        <v>61.910231777711019</v>
      </c>
      <c r="BW520" s="164">
        <f t="shared" si="351"/>
        <v>-9948.5038137596639</v>
      </c>
      <c r="BX520" s="164">
        <f t="shared" si="352"/>
        <v>-9.4017302710706279</v>
      </c>
    </row>
    <row r="521" spans="1:76" s="150" customFormat="1" x14ac:dyDescent="0.25">
      <c r="A521" s="150">
        <f t="shared" si="363"/>
        <v>517</v>
      </c>
      <c r="B521" s="150">
        <f t="shared" si="364"/>
        <v>44</v>
      </c>
      <c r="C521" s="150">
        <f t="shared" si="365"/>
        <v>1</v>
      </c>
      <c r="D521" s="150">
        <f>IF(E521="","",Input!$C$4+B521-1)</f>
        <v>88</v>
      </c>
      <c r="E521" s="150">
        <f>IF(OR(AND(C520=12,D520=Input!$C$6),E520=""),"",1)</f>
        <v>1</v>
      </c>
      <c r="F521" s="150">
        <f>IF(E521="","",Input!$C$8+B521-1)</f>
        <v>2061</v>
      </c>
      <c r="G521" s="151">
        <f>IF(E521="","",MAX(0,Input!$C$9-B521))</f>
        <v>0</v>
      </c>
      <c r="H521" s="152">
        <f>IF(E521="","",Input!$C$3)</f>
        <v>100000</v>
      </c>
      <c r="I521" s="153">
        <f>IF(E521="","",HLOOKUP($B521,Input!$C$13:$BT$14,2))</f>
        <v>301.10500000000002</v>
      </c>
      <c r="J521" s="154"/>
      <c r="K521" s="155">
        <f>IF($E521="","",INDEX(Input!$C$16:$CP$16,1,$B521))</f>
        <v>3.1789999999999999E-2</v>
      </c>
      <c r="L521" s="155">
        <f>IF($E521="","",Input!$C$37)</f>
        <v>1.4999999999999999E-2</v>
      </c>
      <c r="M521" s="155">
        <f t="shared" si="328"/>
        <v>4.6789999999999998E-2</v>
      </c>
      <c r="N521" s="155">
        <f t="shared" si="329"/>
        <v>3.8179648214271555E-3</v>
      </c>
      <c r="O521" s="147">
        <f>IF($E521="","",MIN(VLOOKUP(IF($B521&lt;=Input!$C$7,$B521,26),'Mortality Tables'!$A$41:$CW$67,IF($B521&lt;=Input!$C$7+1,Input!$C$4+2,$D521-Input!$C$7+2),0)*IF(B521&gt;20,Input!$C$22,1)/1000,1))</f>
        <v>0.3389100000000001</v>
      </c>
      <c r="P521" s="147">
        <f>IF($E521="","",MIN(VLOOKUP(IF($B521&lt;=Input!$C$7,$B521,26),'Mortality Tables'!$A$12:$CW$37,IF($B521&lt;=Input!$C$7+1,Input!$C$4+2,$D521-Input!$C$7+2),0)*IF(B521&gt;20,Input!$C$22,1)/1000,1))</f>
        <v>0.42363750000000006</v>
      </c>
      <c r="Q521" s="155">
        <f>IF($E521="","",Input!$C$21)</f>
        <v>5.0000000000000001E-3</v>
      </c>
      <c r="R521" s="159">
        <f>IF($E521="","",(1-Q521)^($F521-Input!$C$20))</f>
        <v>0.80610659092639603</v>
      </c>
      <c r="S521" s="147">
        <f t="shared" si="331"/>
        <v>0.27319758473086497</v>
      </c>
      <c r="T521" s="147">
        <f t="shared" si="332"/>
        <v>2.6241271732014737E-2</v>
      </c>
      <c r="U521" s="160">
        <f>IF($E521="","",IF($C521=12,INDEX(Input!$C$15:$CP$15,1,$B521),0))</f>
        <v>0</v>
      </c>
      <c r="V521" s="150">
        <f>IF(E521="","",IF(C521=1,IF($B521=1,Input!$C$33,Input!$C$34),0))</f>
        <v>50</v>
      </c>
      <c r="W521" s="156">
        <f>IF($E521="","",Input!$C$35)</f>
        <v>0.02</v>
      </c>
      <c r="X521" s="156">
        <f t="shared" si="330"/>
        <v>2.343189355345392</v>
      </c>
      <c r="Y521" s="154"/>
      <c r="Z521" s="147">
        <f>IF($E521="","",VLOOKUP($D521,'Mortality Margins &amp; Grading'!$AB$5:$AF$125,3,0)*IF(Summary!$D$25="Included Margin",IF(AND($B521&gt;Input!$C$9,Summary!$D$31&lt;&gt;"Included Margin"),0,1),0))</f>
        <v>2.1999999999999999E-2</v>
      </c>
      <c r="AA521" s="147">
        <f>IF($E521="","",VLOOKUP($D521,'Mortality Margins &amp; Grading'!$AB$5:$AF$125,5,0)*IF(Summary!$D$25="Included Margin",IF(AND($B521&gt;Input!$C$9,Summary!$D$31&lt;&gt;"Included Margin"),0,1),0))</f>
        <v>0.113</v>
      </c>
      <c r="AB521" s="147">
        <f>IF($E521="","",IF(AND($B521&gt;Input!$C$9,Summary!$D$31&lt;&gt;"Included Margin"),1,IF(Summary!$D$25="Included Margin",VLOOKUP($B521,'Mortality Margins &amp; Grading'!$AI$5:$AR$125,MATCH('Mortality Margins &amp; Grading'!$AQ$4,'Mortality Margins &amp; Grading'!$AI$4:$AR$4,0),0),1)))</f>
        <v>6.25E-2</v>
      </c>
      <c r="AC521" s="154"/>
      <c r="AD521" s="158">
        <f>IF(E521="","",Input!$C$48*IF(Summary!$D$30="Included Margin",IF(AND($B521&gt;Input!$C$9,Summary!$D$31&lt;&gt;"Included Margin"),0,1),0))</f>
        <v>-4.4999999999999997E-3</v>
      </c>
      <c r="AE521" s="159">
        <f>IF(E521="","",IF(Summary!$D$26="Included Margin",IF(AND($B521&gt;Input!$C$9,Summary!$D$31&lt;&gt;"Included Margin"),1,1/$R521),1))</f>
        <v>1.2405307328535513</v>
      </c>
      <c r="AF521" s="160">
        <f>IF(E521="","",IF(AND($B521&gt;=Input!$C$9,$C521=12,Summary!$D$31="Included Margin",$U521&gt;0),1/U521-1,IF($B521&gt;=Input!$C$9,0,Input!$C$45*IF(Summary!$D$27="Included Margin",1,0))))</f>
        <v>0</v>
      </c>
      <c r="AG521" s="160">
        <f>IF(E521="","",Input!$C$46*IF(Summary!$D$28="Included Margin",IF(AND($B521&gt;Input!$C$9,Summary!$D$31&lt;&gt;"Included Margin"),0,1),0))</f>
        <v>0.02</v>
      </c>
      <c r="AH521" s="158">
        <f>IF(E521="","",Input!$C$47*IF(Summary!$D$29="Included Margin",IF(AND($B521&gt;Input!$C$9,Summary!$D$31&lt;&gt;"Included Margin"),0,1),0))</f>
        <v>2.5000000000000001E-3</v>
      </c>
      <c r="AI521" s="154"/>
      <c r="AJ521" s="158">
        <f t="shared" si="353"/>
        <v>4.2290000000000001E-2</v>
      </c>
      <c r="AK521" s="155">
        <f t="shared" si="354"/>
        <v>3.4576485524737688E-3</v>
      </c>
      <c r="AL521" s="147">
        <f t="shared" si="355"/>
        <v>0.46368713015625007</v>
      </c>
      <c r="AM521" s="147">
        <f t="shared" si="333"/>
        <v>5.0594992015012608E-2</v>
      </c>
      <c r="AN521" s="160">
        <f t="shared" si="356"/>
        <v>0</v>
      </c>
      <c r="AO521" s="161">
        <f t="shared" si="357"/>
        <v>51</v>
      </c>
      <c r="AP521" s="156">
        <f t="shared" si="334"/>
        <v>2.6032904021531533</v>
      </c>
      <c r="AQ521" s="152"/>
      <c r="AR521" s="162">
        <f t="shared" si="335"/>
        <v>15540.246090111135</v>
      </c>
      <c r="AS521" s="150">
        <f t="shared" si="358"/>
        <v>30110.5</v>
      </c>
      <c r="AT521" s="163">
        <f t="shared" si="336"/>
        <v>132.76781050981083</v>
      </c>
      <c r="AU521" s="163">
        <f t="shared" si="337"/>
        <v>5059.4992015012604</v>
      </c>
      <c r="AV521" s="163">
        <f t="shared" si="359"/>
        <v>148.63818666483948</v>
      </c>
      <c r="AW521" s="163">
        <f t="shared" si="338"/>
        <v>2164.0053720603355</v>
      </c>
      <c r="AX521" s="163">
        <f t="shared" si="339"/>
        <v>0</v>
      </c>
      <c r="AY521" s="164">
        <f t="shared" si="360"/>
        <v>42771.122636825239</v>
      </c>
      <c r="AZ521" s="164">
        <f>IF($E521="","",IF(OR(AND($D521=Input!$C$6,$C521=12),$AN521=1),0,-AS522+AT522+AU522-AV522-AW522-AX522+AZ522))</f>
        <v>42771.137732727169</v>
      </c>
      <c r="BA521" s="154">
        <f t="shared" si="340"/>
        <v>1.5095901930180844E-2</v>
      </c>
      <c r="BC521" s="147">
        <f t="shared" si="361"/>
        <v>9.2024057925314893E-4</v>
      </c>
      <c r="BD521" s="164">
        <f>IF(AND($C520=12,$D520=Input!$C$6),0,IF($E521="","",AT521+(AU521+BD522)/(1+$AK521)*MIN((1-AM521-AN521),1)))</f>
        <v>39299.58564500085</v>
      </c>
      <c r="BE521" s="164">
        <f t="shared" si="341"/>
        <v>36.165073458364319</v>
      </c>
      <c r="BF521" s="164">
        <f t="shared" si="362"/>
        <v>42771.137732727169</v>
      </c>
      <c r="BG521" s="164">
        <f t="shared" si="342"/>
        <v>39.359736562481068</v>
      </c>
      <c r="BH521" s="152"/>
      <c r="BI521" s="162">
        <f t="shared" si="343"/>
        <v>-9948.5133584196483</v>
      </c>
      <c r="BJ521" s="150">
        <f t="shared" si="344"/>
        <v>30110.5</v>
      </c>
      <c r="BK521" s="163">
        <f t="shared" si="366"/>
        <v>117.1594677672696</v>
      </c>
      <c r="BL521" s="163">
        <f t="shared" si="345"/>
        <v>2624.1271732014739</v>
      </c>
      <c r="BM521" s="163">
        <f t="shared" si="367"/>
        <v>71.521032384088315</v>
      </c>
      <c r="BN521" s="163">
        <f t="shared" si="346"/>
        <v>471.38820167884012</v>
      </c>
      <c r="BO521" s="163">
        <f t="shared" si="347"/>
        <v>0</v>
      </c>
      <c r="BP521" s="164">
        <f t="shared" si="368"/>
        <v>17963.609234674535</v>
      </c>
      <c r="BQ521" s="164">
        <f>IF($E521="","",IF(AND($D521=Input!$C$6,$C521=12),0,-BJ522+BK522+BL522-BM522-BN522-BO522+BQ522))</f>
        <v>17963.618779334523</v>
      </c>
      <c r="BR521" s="161">
        <f t="shared" si="348"/>
        <v>0</v>
      </c>
      <c r="BT521" s="147">
        <f t="shared" si="349"/>
        <v>9.2024057925314893E-4</v>
      </c>
      <c r="BU521" s="164">
        <f>IF(AND($C520=12,$D520=Input!$C$6),0,IF($E521="","",BK521+(BL521+BU522)/(1+$AK521)*MIN((1-T521-U521),1)))</f>
        <v>72660.80706127829</v>
      </c>
      <c r="BV521" s="164">
        <f t="shared" si="350"/>
        <v>66.865423179072025</v>
      </c>
      <c r="BW521" s="164">
        <f t="shared" si="351"/>
        <v>17963.618779334523</v>
      </c>
      <c r="BX521" s="164">
        <f t="shared" si="352"/>
        <v>16.530850950977545</v>
      </c>
    </row>
    <row r="522" spans="1:76" s="150" customFormat="1" x14ac:dyDescent="0.25">
      <c r="A522" s="150">
        <f t="shared" si="363"/>
        <v>518</v>
      </c>
      <c r="B522" s="150">
        <f t="shared" si="364"/>
        <v>44</v>
      </c>
      <c r="C522" s="150">
        <f t="shared" si="365"/>
        <v>2</v>
      </c>
      <c r="D522" s="150">
        <f>IF(E522="","",Input!$C$4+B522-1)</f>
        <v>88</v>
      </c>
      <c r="E522" s="150">
        <f>IF(OR(AND(C521=12,D521=Input!$C$6),E521=""),"",1)</f>
        <v>1</v>
      </c>
      <c r="F522" s="150">
        <f>IF(E522="","",Input!$C$8+B522-1)</f>
        <v>2061</v>
      </c>
      <c r="G522" s="151">
        <f>IF(E522="","",MAX(0,Input!$C$9-B522))</f>
        <v>0</v>
      </c>
      <c r="H522" s="152">
        <f>IF(E522="","",Input!$C$3)</f>
        <v>100000</v>
      </c>
      <c r="I522" s="153">
        <f>IF(E522="","",HLOOKUP($B522,Input!$C$13:$BT$14,2))</f>
        <v>301.10500000000002</v>
      </c>
      <c r="J522" s="154"/>
      <c r="K522" s="155">
        <f>IF($E522="","",INDEX(Input!$C$16:$CP$16,1,$B522))</f>
        <v>3.1789999999999999E-2</v>
      </c>
      <c r="L522" s="155">
        <f>IF($E522="","",Input!$C$37)</f>
        <v>1.4999999999999999E-2</v>
      </c>
      <c r="M522" s="155">
        <f t="shared" si="328"/>
        <v>4.6789999999999998E-2</v>
      </c>
      <c r="N522" s="155">
        <f t="shared" si="329"/>
        <v>3.8179648214271555E-3</v>
      </c>
      <c r="O522" s="147">
        <f>IF($E522="","",MIN(VLOOKUP(IF($B522&lt;=Input!$C$7,$B522,26),'Mortality Tables'!$A$41:$CW$67,IF($B522&lt;=Input!$C$7+1,Input!$C$4+2,$D522-Input!$C$7+2),0)*IF(B522&gt;20,Input!$C$22,1)/1000,1))</f>
        <v>0.3389100000000001</v>
      </c>
      <c r="P522" s="147">
        <f>IF($E522="","",MIN(VLOOKUP(IF($B522&lt;=Input!$C$7,$B522,26),'Mortality Tables'!$A$12:$CW$37,IF($B522&lt;=Input!$C$7+1,Input!$C$4+2,$D522-Input!$C$7+2),0)*IF(B522&gt;20,Input!$C$22,1)/1000,1))</f>
        <v>0.42363750000000006</v>
      </c>
      <c r="Q522" s="155">
        <f>IF($E522="","",Input!$C$21)</f>
        <v>5.0000000000000001E-3</v>
      </c>
      <c r="R522" s="159">
        <f>IF($E522="","",(1-Q522)^($F522-Input!$C$20))</f>
        <v>0.80610659092639603</v>
      </c>
      <c r="S522" s="147">
        <f t="shared" si="331"/>
        <v>0.27319758473086497</v>
      </c>
      <c r="T522" s="147">
        <f t="shared" si="332"/>
        <v>2.6241271732014737E-2</v>
      </c>
      <c r="U522" s="160">
        <f>IF($E522="","",IF($C522=12,INDEX(Input!$C$15:$CP$15,1,$B522),0))</f>
        <v>0</v>
      </c>
      <c r="V522" s="150">
        <f>IF(E522="","",IF(C522=1,IF($B522=1,Input!$C$33,Input!$C$34),0))</f>
        <v>0</v>
      </c>
      <c r="W522" s="156">
        <f>IF($E522="","",Input!$C$35)</f>
        <v>0.02</v>
      </c>
      <c r="X522" s="156">
        <f t="shared" si="330"/>
        <v>2.343189355345392</v>
      </c>
      <c r="Y522" s="154"/>
      <c r="Z522" s="147">
        <f>IF($E522="","",VLOOKUP($D522,'Mortality Margins &amp; Grading'!$AB$5:$AF$125,3,0)*IF(Summary!$D$25="Included Margin",IF(AND($B522&gt;Input!$C$9,Summary!$D$31&lt;&gt;"Included Margin"),0,1),0))</f>
        <v>2.1999999999999999E-2</v>
      </c>
      <c r="AA522" s="147">
        <f>IF($E522="","",VLOOKUP($D522,'Mortality Margins &amp; Grading'!$AB$5:$AF$125,5,0)*IF(Summary!$D$25="Included Margin",IF(AND($B522&gt;Input!$C$9,Summary!$D$31&lt;&gt;"Included Margin"),0,1),0))</f>
        <v>0.113</v>
      </c>
      <c r="AB522" s="147">
        <f>IF($E522="","",IF(AND($B522&gt;Input!$C$9,Summary!$D$31&lt;&gt;"Included Margin"),1,IF(Summary!$D$25="Included Margin",VLOOKUP($B522,'Mortality Margins &amp; Grading'!$AI$5:$AR$125,MATCH('Mortality Margins &amp; Grading'!$AQ$4,'Mortality Margins &amp; Grading'!$AI$4:$AR$4,0),0),1)))</f>
        <v>6.25E-2</v>
      </c>
      <c r="AC522" s="154"/>
      <c r="AD522" s="158">
        <f>IF(E522="","",Input!$C$48*IF(Summary!$D$30="Included Margin",IF(AND($B522&gt;Input!$C$9,Summary!$D$31&lt;&gt;"Included Margin"),0,1),0))</f>
        <v>-4.4999999999999997E-3</v>
      </c>
      <c r="AE522" s="159">
        <f>IF(E522="","",IF(Summary!$D$26="Included Margin",IF(AND($B522&gt;Input!$C$9,Summary!$D$31&lt;&gt;"Included Margin"),1,1/$R522),1))</f>
        <v>1.2405307328535513</v>
      </c>
      <c r="AF522" s="160">
        <f>IF(E522="","",IF(AND($B522&gt;=Input!$C$9,$C522=12,Summary!$D$31="Included Margin",$U522&gt;0),1/U522-1,IF($B522&gt;=Input!$C$9,0,Input!$C$45*IF(Summary!$D$27="Included Margin",1,0))))</f>
        <v>0</v>
      </c>
      <c r="AG522" s="160">
        <f>IF(E522="","",Input!$C$46*IF(Summary!$D$28="Included Margin",IF(AND($B522&gt;Input!$C$9,Summary!$D$31&lt;&gt;"Included Margin"),0,1),0))</f>
        <v>0.02</v>
      </c>
      <c r="AH522" s="158">
        <f>IF(E522="","",Input!$C$47*IF(Summary!$D$29="Included Margin",IF(AND($B522&gt;Input!$C$9,Summary!$D$31&lt;&gt;"Included Margin"),0,1),0))</f>
        <v>2.5000000000000001E-3</v>
      </c>
      <c r="AI522" s="154"/>
      <c r="AJ522" s="158">
        <f t="shared" si="353"/>
        <v>4.2290000000000001E-2</v>
      </c>
      <c r="AK522" s="155">
        <f t="shared" si="354"/>
        <v>3.4576485524737688E-3</v>
      </c>
      <c r="AL522" s="147">
        <f t="shared" si="355"/>
        <v>0.46368713015625007</v>
      </c>
      <c r="AM522" s="147">
        <f t="shared" si="333"/>
        <v>5.0594992015012608E-2</v>
      </c>
      <c r="AN522" s="160">
        <f t="shared" si="356"/>
        <v>0</v>
      </c>
      <c r="AO522" s="161">
        <f t="shared" si="357"/>
        <v>0</v>
      </c>
      <c r="AP522" s="156">
        <f t="shared" si="334"/>
        <v>2.6032904021531533</v>
      </c>
      <c r="AQ522" s="152"/>
      <c r="AR522" s="162">
        <f t="shared" si="335"/>
        <v>42771.122636825239</v>
      </c>
      <c r="AS522" s="150">
        <f t="shared" si="358"/>
        <v>0</v>
      </c>
      <c r="AT522" s="163">
        <f t="shared" si="336"/>
        <v>0</v>
      </c>
      <c r="AU522" s="163">
        <f t="shared" si="337"/>
        <v>5059.4992015012604</v>
      </c>
      <c r="AV522" s="163">
        <f t="shared" si="359"/>
        <v>139.14052522774034</v>
      </c>
      <c r="AW522" s="163">
        <f t="shared" si="338"/>
        <v>2017.1158230856529</v>
      </c>
      <c r="AX522" s="163">
        <f t="shared" si="339"/>
        <v>0</v>
      </c>
      <c r="AY522" s="165">
        <f t="shared" si="360"/>
        <v>39867.879783637371</v>
      </c>
      <c r="AZ522" s="164">
        <f>IF($E522="","",IF(OR(AND($D522=Input!$C$6,$C522=12),$AN522=1),0,-AS523+AT523+AU523-AV523-AW523-AX523+AZ523))</f>
        <v>39867.894879539301</v>
      </c>
      <c r="BA522" s="154">
        <f t="shared" si="340"/>
        <v>1.5095901930180844E-2</v>
      </c>
      <c r="BC522" s="147">
        <f t="shared" si="361"/>
        <v>8.9609229615414041E-4</v>
      </c>
      <c r="BD522" s="164">
        <f>IF(AND($C521=12,$D521=Input!$C$6),0,IF($E522="","",AT522+(AU522+BD523)/(1+$AK522)*MIN((1-AM522-AN522),1)))</f>
        <v>36337.209889907856</v>
      </c>
      <c r="BE522" s="164">
        <f t="shared" si="341"/>
        <v>32.56149384608247</v>
      </c>
      <c r="BF522" s="164">
        <f t="shared" si="362"/>
        <v>39867.894879539301</v>
      </c>
      <c r="BG522" s="164">
        <f t="shared" si="342"/>
        <v>35.725313465438269</v>
      </c>
      <c r="BH522" s="152"/>
      <c r="BI522" s="162">
        <f t="shared" si="343"/>
        <v>17963.609234674535</v>
      </c>
      <c r="BJ522" s="150">
        <f t="shared" si="344"/>
        <v>0</v>
      </c>
      <c r="BK522" s="163">
        <f t="shared" si="366"/>
        <v>0</v>
      </c>
      <c r="BL522" s="163">
        <f t="shared" si="345"/>
        <v>2624.1271732014739</v>
      </c>
      <c r="BM522" s="163">
        <f t="shared" si="367"/>
        <v>63.575015506734211</v>
      </c>
      <c r="BN522" s="163">
        <f t="shared" si="346"/>
        <v>415.08850703060216</v>
      </c>
      <c r="BO522" s="163">
        <f t="shared" si="347"/>
        <v>0</v>
      </c>
      <c r="BP522" s="164">
        <f t="shared" si="368"/>
        <v>15818.145584010399</v>
      </c>
      <c r="BQ522" s="164">
        <f>IF($E522="","",IF(AND($D522=Input!$C$6,$C522=12),0,-BJ523+BK523+BL523-BM523-BN523-BO523+BQ523))</f>
        <v>15818.155128670387</v>
      </c>
      <c r="BR522" s="161">
        <f t="shared" si="348"/>
        <v>0</v>
      </c>
      <c r="BT522" s="147">
        <f t="shared" si="349"/>
        <v>8.9609229615414041E-4</v>
      </c>
      <c r="BU522" s="164">
        <f>IF(AND($C521=12,$D521=Input!$C$6),0,IF($E522="","",BK522+(BL522+BU523)/(1+$AK522)*MIN((1-T522-U522),1)))</f>
        <v>72132.047963819059</v>
      </c>
      <c r="BV522" s="164">
        <f t="shared" si="350"/>
        <v>64.636972486199213</v>
      </c>
      <c r="BW522" s="164">
        <f t="shared" si="351"/>
        <v>15818.155128670387</v>
      </c>
      <c r="BX522" s="164">
        <f t="shared" si="352"/>
        <v>14.174526950172639</v>
      </c>
    </row>
    <row r="523" spans="1:76" s="150" customFormat="1" x14ac:dyDescent="0.25">
      <c r="A523" s="150">
        <f t="shared" si="363"/>
        <v>519</v>
      </c>
      <c r="B523" s="150">
        <f t="shared" si="364"/>
        <v>44</v>
      </c>
      <c r="C523" s="150">
        <f t="shared" si="365"/>
        <v>3</v>
      </c>
      <c r="D523" s="150">
        <f>IF(E523="","",Input!$C$4+B523-1)</f>
        <v>88</v>
      </c>
      <c r="E523" s="150">
        <f>IF(OR(AND(C522=12,D522=Input!$C$6),E522=""),"",1)</f>
        <v>1</v>
      </c>
      <c r="F523" s="150">
        <f>IF(E523="","",Input!$C$8+B523-1)</f>
        <v>2061</v>
      </c>
      <c r="G523" s="151">
        <f>IF(E523="","",MAX(0,Input!$C$9-B523))</f>
        <v>0</v>
      </c>
      <c r="H523" s="152">
        <f>IF(E523="","",Input!$C$3)</f>
        <v>100000</v>
      </c>
      <c r="I523" s="153">
        <f>IF(E523="","",HLOOKUP($B523,Input!$C$13:$BT$14,2))</f>
        <v>301.10500000000002</v>
      </c>
      <c r="J523" s="154"/>
      <c r="K523" s="155">
        <f>IF($E523="","",INDEX(Input!$C$16:$CP$16,1,$B523))</f>
        <v>3.1789999999999999E-2</v>
      </c>
      <c r="L523" s="155">
        <f>IF($E523="","",Input!$C$37)</f>
        <v>1.4999999999999999E-2</v>
      </c>
      <c r="M523" s="155">
        <f t="shared" si="328"/>
        <v>4.6789999999999998E-2</v>
      </c>
      <c r="N523" s="155">
        <f t="shared" si="329"/>
        <v>3.8179648214271555E-3</v>
      </c>
      <c r="O523" s="147">
        <f>IF($E523="","",MIN(VLOOKUP(IF($B523&lt;=Input!$C$7,$B523,26),'Mortality Tables'!$A$41:$CW$67,IF($B523&lt;=Input!$C$7+1,Input!$C$4+2,$D523-Input!$C$7+2),0)*IF(B523&gt;20,Input!$C$22,1)/1000,1))</f>
        <v>0.3389100000000001</v>
      </c>
      <c r="P523" s="147">
        <f>IF($E523="","",MIN(VLOOKUP(IF($B523&lt;=Input!$C$7,$B523,26),'Mortality Tables'!$A$12:$CW$37,IF($B523&lt;=Input!$C$7+1,Input!$C$4+2,$D523-Input!$C$7+2),0)*IF(B523&gt;20,Input!$C$22,1)/1000,1))</f>
        <v>0.42363750000000006</v>
      </c>
      <c r="Q523" s="155">
        <f>IF($E523="","",Input!$C$21)</f>
        <v>5.0000000000000001E-3</v>
      </c>
      <c r="R523" s="159">
        <f>IF($E523="","",(1-Q523)^($F523-Input!$C$20))</f>
        <v>0.80610659092639603</v>
      </c>
      <c r="S523" s="147">
        <f t="shared" si="331"/>
        <v>0.27319758473086497</v>
      </c>
      <c r="T523" s="147">
        <f t="shared" si="332"/>
        <v>2.6241271732014737E-2</v>
      </c>
      <c r="U523" s="160">
        <f>IF($E523="","",IF($C523=12,INDEX(Input!$C$15:$CP$15,1,$B523),0))</f>
        <v>0</v>
      </c>
      <c r="V523" s="150">
        <f>IF(E523="","",IF(C523=1,IF($B523=1,Input!$C$33,Input!$C$34),0))</f>
        <v>0</v>
      </c>
      <c r="W523" s="156">
        <f>IF($E523="","",Input!$C$35)</f>
        <v>0.02</v>
      </c>
      <c r="X523" s="156">
        <f t="shared" si="330"/>
        <v>2.343189355345392</v>
      </c>
      <c r="Y523" s="154"/>
      <c r="Z523" s="147">
        <f>IF($E523="","",VLOOKUP($D523,'Mortality Margins &amp; Grading'!$AB$5:$AF$125,3,0)*IF(Summary!$D$25="Included Margin",IF(AND($B523&gt;Input!$C$9,Summary!$D$31&lt;&gt;"Included Margin"),0,1),0))</f>
        <v>2.1999999999999999E-2</v>
      </c>
      <c r="AA523" s="147">
        <f>IF($E523="","",VLOOKUP($D523,'Mortality Margins &amp; Grading'!$AB$5:$AF$125,5,0)*IF(Summary!$D$25="Included Margin",IF(AND($B523&gt;Input!$C$9,Summary!$D$31&lt;&gt;"Included Margin"),0,1),0))</f>
        <v>0.113</v>
      </c>
      <c r="AB523" s="147">
        <f>IF($E523="","",IF(AND($B523&gt;Input!$C$9,Summary!$D$31&lt;&gt;"Included Margin"),1,IF(Summary!$D$25="Included Margin",VLOOKUP($B523,'Mortality Margins &amp; Grading'!$AI$5:$AR$125,MATCH('Mortality Margins &amp; Grading'!$AQ$4,'Mortality Margins &amp; Grading'!$AI$4:$AR$4,0),0),1)))</f>
        <v>6.25E-2</v>
      </c>
      <c r="AC523" s="154"/>
      <c r="AD523" s="158">
        <f>IF(E523="","",Input!$C$48*IF(Summary!$D$30="Included Margin",IF(AND($B523&gt;Input!$C$9,Summary!$D$31&lt;&gt;"Included Margin"),0,1),0))</f>
        <v>-4.4999999999999997E-3</v>
      </c>
      <c r="AE523" s="159">
        <f>IF(E523="","",IF(Summary!$D$26="Included Margin",IF(AND($B523&gt;Input!$C$9,Summary!$D$31&lt;&gt;"Included Margin"),1,1/$R523),1))</f>
        <v>1.2405307328535513</v>
      </c>
      <c r="AF523" s="160">
        <f>IF(E523="","",IF(AND($B523&gt;=Input!$C$9,$C523=12,Summary!$D$31="Included Margin",$U523&gt;0),1/U523-1,IF($B523&gt;=Input!$C$9,0,Input!$C$45*IF(Summary!$D$27="Included Margin",1,0))))</f>
        <v>0</v>
      </c>
      <c r="AG523" s="160">
        <f>IF(E523="","",Input!$C$46*IF(Summary!$D$28="Included Margin",IF(AND($B523&gt;Input!$C$9,Summary!$D$31&lt;&gt;"Included Margin"),0,1),0))</f>
        <v>0.02</v>
      </c>
      <c r="AH523" s="158">
        <f>IF(E523="","",Input!$C$47*IF(Summary!$D$29="Included Margin",IF(AND($B523&gt;Input!$C$9,Summary!$D$31&lt;&gt;"Included Margin"),0,1),0))</f>
        <v>2.5000000000000001E-3</v>
      </c>
      <c r="AI523" s="154"/>
      <c r="AJ523" s="158">
        <f t="shared" si="353"/>
        <v>4.2290000000000001E-2</v>
      </c>
      <c r="AK523" s="155">
        <f t="shared" si="354"/>
        <v>3.4576485524737688E-3</v>
      </c>
      <c r="AL523" s="147">
        <f t="shared" si="355"/>
        <v>0.46368713015625007</v>
      </c>
      <c r="AM523" s="147">
        <f t="shared" si="333"/>
        <v>5.0594992015012608E-2</v>
      </c>
      <c r="AN523" s="160">
        <f t="shared" si="356"/>
        <v>0</v>
      </c>
      <c r="AO523" s="161">
        <f t="shared" si="357"/>
        <v>0</v>
      </c>
      <c r="AP523" s="156">
        <f t="shared" si="334"/>
        <v>2.6032904021531533</v>
      </c>
      <c r="AQ523" s="152"/>
      <c r="AR523" s="162">
        <f t="shared" si="335"/>
        <v>39867.879783637371</v>
      </c>
      <c r="AS523" s="150">
        <f t="shared" si="358"/>
        <v>0</v>
      </c>
      <c r="AT523" s="163">
        <f t="shared" si="336"/>
        <v>0</v>
      </c>
      <c r="AU523" s="163">
        <f t="shared" si="337"/>
        <v>5059.4992015012604</v>
      </c>
      <c r="AV523" s="163">
        <f t="shared" si="359"/>
        <v>129.10213177893547</v>
      </c>
      <c r="AW523" s="163">
        <f t="shared" si="338"/>
        <v>1861.8633858524599</v>
      </c>
      <c r="AX523" s="163">
        <f t="shared" si="339"/>
        <v>0</v>
      </c>
      <c r="AY523" s="164">
        <f t="shared" si="360"/>
        <v>36799.346099767507</v>
      </c>
      <c r="AZ523" s="164">
        <f>IF($E523="","",IF(OR(AND($D523=Input!$C$6,$C523=12),$AN523=1),0,-AS524+AT524+AU524-AV524-AW524-AX524+AZ524))</f>
        <v>36799.361195669437</v>
      </c>
      <c r="BA523" s="154">
        <f t="shared" si="340"/>
        <v>1.5095901930180844E-2</v>
      </c>
      <c r="BC523" s="147">
        <f t="shared" si="361"/>
        <v>8.7257769471379455E-4</v>
      </c>
      <c r="BD523" s="164">
        <f>IF(AND($C522=12,$D522=Input!$C$6),0,IF($E523="","",AT523+(AU523+BD524)/(1+$AK523)*MIN((1-AM523-AN523),1)))</f>
        <v>33346.503383710726</v>
      </c>
      <c r="BE523" s="164">
        <f t="shared" si="341"/>
        <v>29.097415049324056</v>
      </c>
      <c r="BF523" s="164">
        <f t="shared" si="362"/>
        <v>36799.361195669437</v>
      </c>
      <c r="BG523" s="164">
        <f t="shared" si="342"/>
        <v>32.110301759057506</v>
      </c>
      <c r="BH523" s="152"/>
      <c r="BI523" s="162">
        <f t="shared" si="343"/>
        <v>15818.145584010401</v>
      </c>
      <c r="BJ523" s="150">
        <f t="shared" si="344"/>
        <v>0</v>
      </c>
      <c r="BK523" s="163">
        <f t="shared" si="366"/>
        <v>0</v>
      </c>
      <c r="BL523" s="163">
        <f t="shared" si="345"/>
        <v>2624.1271732014739</v>
      </c>
      <c r="BM523" s="163">
        <f t="shared" si="367"/>
        <v>55.383710762847862</v>
      </c>
      <c r="BN523" s="163">
        <f t="shared" si="346"/>
        <v>357.05088101375088</v>
      </c>
      <c r="BO523" s="163">
        <f t="shared" si="347"/>
        <v>0</v>
      </c>
      <c r="BP523" s="164">
        <f t="shared" si="368"/>
        <v>13606.453002585526</v>
      </c>
      <c r="BQ523" s="164">
        <f>IF($E523="","",IF(AND($D523=Input!$C$6,$C523=12),0,-BJ524+BK524+BL524-BM524-BN524-BO524+BQ524))</f>
        <v>13606.462547245512</v>
      </c>
      <c r="BR523" s="161">
        <f t="shared" si="348"/>
        <v>0</v>
      </c>
      <c r="BT523" s="147">
        <f t="shared" si="349"/>
        <v>8.7257769471379455E-4</v>
      </c>
      <c r="BU523" s="164">
        <f>IF(AND($C522=12,$D522=Input!$C$6),0,IF($E523="","",BK523+(BL523+BU524)/(1+$AK523)*MIN((1-T523-U523),1)))</f>
        <v>71707.89485015157</v>
      </c>
      <c r="BV523" s="164">
        <f t="shared" si="350"/>
        <v>62.57070958112444</v>
      </c>
      <c r="BW523" s="164">
        <f t="shared" si="351"/>
        <v>13606.462547245512</v>
      </c>
      <c r="BX523" s="164">
        <f t="shared" si="352"/>
        <v>11.872695722685073</v>
      </c>
    </row>
    <row r="524" spans="1:76" s="150" customFormat="1" x14ac:dyDescent="0.25">
      <c r="A524" s="150">
        <f t="shared" si="363"/>
        <v>520</v>
      </c>
      <c r="B524" s="150">
        <f t="shared" si="364"/>
        <v>44</v>
      </c>
      <c r="C524" s="150">
        <f t="shared" si="365"/>
        <v>4</v>
      </c>
      <c r="D524" s="150">
        <f>IF(E524="","",Input!$C$4+B524-1)</f>
        <v>88</v>
      </c>
      <c r="E524" s="150">
        <f>IF(OR(AND(C523=12,D523=Input!$C$6),E523=""),"",1)</f>
        <v>1</v>
      </c>
      <c r="F524" s="150">
        <f>IF(E524="","",Input!$C$8+B524-1)</f>
        <v>2061</v>
      </c>
      <c r="G524" s="151">
        <f>IF(E524="","",MAX(0,Input!$C$9-B524))</f>
        <v>0</v>
      </c>
      <c r="H524" s="152">
        <f>IF(E524="","",Input!$C$3)</f>
        <v>100000</v>
      </c>
      <c r="I524" s="153">
        <f>IF(E524="","",HLOOKUP($B524,Input!$C$13:$BT$14,2))</f>
        <v>301.10500000000002</v>
      </c>
      <c r="J524" s="154"/>
      <c r="K524" s="155">
        <f>IF($E524="","",INDEX(Input!$C$16:$CP$16,1,$B524))</f>
        <v>3.1789999999999999E-2</v>
      </c>
      <c r="L524" s="155">
        <f>IF($E524="","",Input!$C$37)</f>
        <v>1.4999999999999999E-2</v>
      </c>
      <c r="M524" s="155">
        <f t="shared" si="328"/>
        <v>4.6789999999999998E-2</v>
      </c>
      <c r="N524" s="155">
        <f t="shared" si="329"/>
        <v>3.8179648214271555E-3</v>
      </c>
      <c r="O524" s="147">
        <f>IF($E524="","",MIN(VLOOKUP(IF($B524&lt;=Input!$C$7,$B524,26),'Mortality Tables'!$A$41:$CW$67,IF($B524&lt;=Input!$C$7+1,Input!$C$4+2,$D524-Input!$C$7+2),0)*IF(B524&gt;20,Input!$C$22,1)/1000,1))</f>
        <v>0.3389100000000001</v>
      </c>
      <c r="P524" s="147">
        <f>IF($E524="","",MIN(VLOOKUP(IF($B524&lt;=Input!$C$7,$B524,26),'Mortality Tables'!$A$12:$CW$37,IF($B524&lt;=Input!$C$7+1,Input!$C$4+2,$D524-Input!$C$7+2),0)*IF(B524&gt;20,Input!$C$22,1)/1000,1))</f>
        <v>0.42363750000000006</v>
      </c>
      <c r="Q524" s="155">
        <f>IF($E524="","",Input!$C$21)</f>
        <v>5.0000000000000001E-3</v>
      </c>
      <c r="R524" s="159">
        <f>IF($E524="","",(1-Q524)^($F524-Input!$C$20))</f>
        <v>0.80610659092639603</v>
      </c>
      <c r="S524" s="147">
        <f t="shared" si="331"/>
        <v>0.27319758473086497</v>
      </c>
      <c r="T524" s="147">
        <f t="shared" si="332"/>
        <v>2.6241271732014737E-2</v>
      </c>
      <c r="U524" s="160">
        <f>IF($E524="","",IF($C524=12,INDEX(Input!$C$15:$CP$15,1,$B524),0))</f>
        <v>0</v>
      </c>
      <c r="V524" s="150">
        <f>IF(E524="","",IF(C524=1,IF($B524=1,Input!$C$33,Input!$C$34),0))</f>
        <v>0</v>
      </c>
      <c r="W524" s="156">
        <f>IF($E524="","",Input!$C$35)</f>
        <v>0.02</v>
      </c>
      <c r="X524" s="156">
        <f t="shared" si="330"/>
        <v>2.343189355345392</v>
      </c>
      <c r="Y524" s="154"/>
      <c r="Z524" s="147">
        <f>IF($E524="","",VLOOKUP($D524,'Mortality Margins &amp; Grading'!$AB$5:$AF$125,3,0)*IF(Summary!$D$25="Included Margin",IF(AND($B524&gt;Input!$C$9,Summary!$D$31&lt;&gt;"Included Margin"),0,1),0))</f>
        <v>2.1999999999999999E-2</v>
      </c>
      <c r="AA524" s="147">
        <f>IF($E524="","",VLOOKUP($D524,'Mortality Margins &amp; Grading'!$AB$5:$AF$125,5,0)*IF(Summary!$D$25="Included Margin",IF(AND($B524&gt;Input!$C$9,Summary!$D$31&lt;&gt;"Included Margin"),0,1),0))</f>
        <v>0.113</v>
      </c>
      <c r="AB524" s="147">
        <f>IF($E524="","",IF(AND($B524&gt;Input!$C$9,Summary!$D$31&lt;&gt;"Included Margin"),1,IF(Summary!$D$25="Included Margin",VLOOKUP($B524,'Mortality Margins &amp; Grading'!$AI$5:$AR$125,MATCH('Mortality Margins &amp; Grading'!$AQ$4,'Mortality Margins &amp; Grading'!$AI$4:$AR$4,0),0),1)))</f>
        <v>6.25E-2</v>
      </c>
      <c r="AC524" s="154"/>
      <c r="AD524" s="158">
        <f>IF(E524="","",Input!$C$48*IF(Summary!$D$30="Included Margin",IF(AND($B524&gt;Input!$C$9,Summary!$D$31&lt;&gt;"Included Margin"),0,1),0))</f>
        <v>-4.4999999999999997E-3</v>
      </c>
      <c r="AE524" s="159">
        <f>IF(E524="","",IF(Summary!$D$26="Included Margin",IF(AND($B524&gt;Input!$C$9,Summary!$D$31&lt;&gt;"Included Margin"),1,1/$R524),1))</f>
        <v>1.2405307328535513</v>
      </c>
      <c r="AF524" s="160">
        <f>IF(E524="","",IF(AND($B524&gt;=Input!$C$9,$C524=12,Summary!$D$31="Included Margin",$U524&gt;0),1/U524-1,IF($B524&gt;=Input!$C$9,0,Input!$C$45*IF(Summary!$D$27="Included Margin",1,0))))</f>
        <v>0</v>
      </c>
      <c r="AG524" s="160">
        <f>IF(E524="","",Input!$C$46*IF(Summary!$D$28="Included Margin",IF(AND($B524&gt;Input!$C$9,Summary!$D$31&lt;&gt;"Included Margin"),0,1),0))</f>
        <v>0.02</v>
      </c>
      <c r="AH524" s="158">
        <f>IF(E524="","",Input!$C$47*IF(Summary!$D$29="Included Margin",IF(AND($B524&gt;Input!$C$9,Summary!$D$31&lt;&gt;"Included Margin"),0,1),0))</f>
        <v>2.5000000000000001E-3</v>
      </c>
      <c r="AI524" s="154"/>
      <c r="AJ524" s="158">
        <f t="shared" si="353"/>
        <v>4.2290000000000001E-2</v>
      </c>
      <c r="AK524" s="155">
        <f t="shared" si="354"/>
        <v>3.4576485524737688E-3</v>
      </c>
      <c r="AL524" s="147">
        <f t="shared" si="355"/>
        <v>0.46368713015625007</v>
      </c>
      <c r="AM524" s="147">
        <f t="shared" si="333"/>
        <v>5.0594992015012608E-2</v>
      </c>
      <c r="AN524" s="160">
        <f t="shared" si="356"/>
        <v>0</v>
      </c>
      <c r="AO524" s="161">
        <f t="shared" si="357"/>
        <v>0</v>
      </c>
      <c r="AP524" s="156">
        <f t="shared" si="334"/>
        <v>2.6032904021531533</v>
      </c>
      <c r="AQ524" s="152"/>
      <c r="AR524" s="162">
        <f t="shared" si="335"/>
        <v>36799.346099767514</v>
      </c>
      <c r="AS524" s="150">
        <f t="shared" si="358"/>
        <v>0</v>
      </c>
      <c r="AT524" s="163">
        <f t="shared" si="336"/>
        <v>0</v>
      </c>
      <c r="AU524" s="163">
        <f t="shared" si="337"/>
        <v>5059.4992015012604</v>
      </c>
      <c r="AV524" s="163">
        <f t="shared" si="359"/>
        <v>118.49222072868588</v>
      </c>
      <c r="AW524" s="163">
        <f t="shared" si="338"/>
        <v>1697.7719345879393</v>
      </c>
      <c r="AX524" s="163">
        <f t="shared" si="339"/>
        <v>0</v>
      </c>
      <c r="AY524" s="165">
        <f t="shared" si="360"/>
        <v>33556.111053582878</v>
      </c>
      <c r="AZ524" s="164">
        <f>IF($E524="","",IF(OR(AND($D524=Input!$C$6,$C524=12),$AN524=1),0,-AS525+AT525+AU525-AV525-AW525-AX525+AZ525))</f>
        <v>33556.1261494848</v>
      </c>
      <c r="BA524" s="154">
        <f t="shared" si="340"/>
        <v>1.5095901922904886E-2</v>
      </c>
      <c r="BC524" s="147">
        <f t="shared" si="361"/>
        <v>8.4968014631951489E-4</v>
      </c>
      <c r="BD524" s="164">
        <f>IF(AND($C523=12,$D523=Input!$C$6),0,IF($E524="","",AT524+(AU524+BD525)/(1+$AK524)*MIN((1-AM524-AN524),1)))</f>
        <v>30185.52646345141</v>
      </c>
      <c r="BE524" s="164">
        <f t="shared" si="341"/>
        <v>25.648042542196983</v>
      </c>
      <c r="BF524" s="164">
        <f t="shared" si="362"/>
        <v>33556.1261494848</v>
      </c>
      <c r="BG524" s="164">
        <f t="shared" si="342"/>
        <v>28.511974176610345</v>
      </c>
      <c r="BH524" s="152"/>
      <c r="BI524" s="162">
        <f t="shared" si="343"/>
        <v>13606.453002585527</v>
      </c>
      <c r="BJ524" s="150">
        <f t="shared" si="344"/>
        <v>0</v>
      </c>
      <c r="BK524" s="163">
        <f t="shared" si="366"/>
        <v>0</v>
      </c>
      <c r="BL524" s="163">
        <f t="shared" si="345"/>
        <v>2624.1271732014739</v>
      </c>
      <c r="BM524" s="163">
        <f t="shared" si="367"/>
        <v>46.939546291156283</v>
      </c>
      <c r="BN524" s="163">
        <f t="shared" si="346"/>
        <v>297.22167492804238</v>
      </c>
      <c r="BO524" s="163">
        <f t="shared" si="347"/>
        <v>0</v>
      </c>
      <c r="BP524" s="164">
        <f t="shared" si="368"/>
        <v>11326.487050603253</v>
      </c>
      <c r="BQ524" s="164">
        <f>IF($E524="","",IF(AND($D524=Input!$C$6,$C524=12),0,-BJ525+BK525+BL525-BM525-BN525-BO525+BQ525))</f>
        <v>11326.496595263237</v>
      </c>
      <c r="BR524" s="161">
        <f t="shared" si="348"/>
        <v>0</v>
      </c>
      <c r="BT524" s="147">
        <f t="shared" si="349"/>
        <v>8.4968014631951489E-4</v>
      </c>
      <c r="BU524" s="164">
        <f>IF(AND($C523=12,$D523=Input!$C$6),0,IF($E524="","",BK524+(BL524+BU525)/(1+$AK524)*MIN((1-T524-U524),1)))</f>
        <v>71270.805380541336</v>
      </c>
      <c r="BV524" s="164">
        <f t="shared" si="350"/>
        <v>60.557388344048029</v>
      </c>
      <c r="BW524" s="164">
        <f t="shared" si="351"/>
        <v>11326.496595263237</v>
      </c>
      <c r="BX524" s="164">
        <f t="shared" si="352"/>
        <v>9.6238992843507543</v>
      </c>
    </row>
    <row r="525" spans="1:76" s="150" customFormat="1" x14ac:dyDescent="0.25">
      <c r="A525" s="150">
        <f t="shared" si="363"/>
        <v>521</v>
      </c>
      <c r="B525" s="150">
        <f t="shared" si="364"/>
        <v>44</v>
      </c>
      <c r="C525" s="150">
        <f t="shared" si="365"/>
        <v>5</v>
      </c>
      <c r="D525" s="150">
        <f>IF(E525="","",Input!$C$4+B525-1)</f>
        <v>88</v>
      </c>
      <c r="E525" s="150">
        <f>IF(OR(AND(C524=12,D524=Input!$C$6),E524=""),"",1)</f>
        <v>1</v>
      </c>
      <c r="F525" s="150">
        <f>IF(E525="","",Input!$C$8+B525-1)</f>
        <v>2061</v>
      </c>
      <c r="G525" s="151">
        <f>IF(E525="","",MAX(0,Input!$C$9-B525))</f>
        <v>0</v>
      </c>
      <c r="H525" s="152">
        <f>IF(E525="","",Input!$C$3)</f>
        <v>100000</v>
      </c>
      <c r="I525" s="153">
        <f>IF(E525="","",HLOOKUP($B525,Input!$C$13:$BT$14,2))</f>
        <v>301.10500000000002</v>
      </c>
      <c r="J525" s="154"/>
      <c r="K525" s="155">
        <f>IF($E525="","",INDEX(Input!$C$16:$CP$16,1,$B525))</f>
        <v>3.1789999999999999E-2</v>
      </c>
      <c r="L525" s="155">
        <f>IF($E525="","",Input!$C$37)</f>
        <v>1.4999999999999999E-2</v>
      </c>
      <c r="M525" s="155">
        <f t="shared" si="328"/>
        <v>4.6789999999999998E-2</v>
      </c>
      <c r="N525" s="155">
        <f t="shared" si="329"/>
        <v>3.8179648214271555E-3</v>
      </c>
      <c r="O525" s="147">
        <f>IF($E525="","",MIN(VLOOKUP(IF($B525&lt;=Input!$C$7,$B525,26),'Mortality Tables'!$A$41:$CW$67,IF($B525&lt;=Input!$C$7+1,Input!$C$4+2,$D525-Input!$C$7+2),0)*IF(B525&gt;20,Input!$C$22,1)/1000,1))</f>
        <v>0.3389100000000001</v>
      </c>
      <c r="P525" s="147">
        <f>IF($E525="","",MIN(VLOOKUP(IF($B525&lt;=Input!$C$7,$B525,26),'Mortality Tables'!$A$12:$CW$37,IF($B525&lt;=Input!$C$7+1,Input!$C$4+2,$D525-Input!$C$7+2),0)*IF(B525&gt;20,Input!$C$22,1)/1000,1))</f>
        <v>0.42363750000000006</v>
      </c>
      <c r="Q525" s="155">
        <f>IF($E525="","",Input!$C$21)</f>
        <v>5.0000000000000001E-3</v>
      </c>
      <c r="R525" s="159">
        <f>IF($E525="","",(1-Q525)^($F525-Input!$C$20))</f>
        <v>0.80610659092639603</v>
      </c>
      <c r="S525" s="147">
        <f t="shared" si="331"/>
        <v>0.27319758473086497</v>
      </c>
      <c r="T525" s="147">
        <f t="shared" si="332"/>
        <v>2.6241271732014737E-2</v>
      </c>
      <c r="U525" s="160">
        <f>IF($E525="","",IF($C525=12,INDEX(Input!$C$15:$CP$15,1,$B525),0))</f>
        <v>0</v>
      </c>
      <c r="V525" s="150">
        <f>IF(E525="","",IF(C525=1,IF($B525=1,Input!$C$33,Input!$C$34),0))</f>
        <v>0</v>
      </c>
      <c r="W525" s="156">
        <f>IF($E525="","",Input!$C$35)</f>
        <v>0.02</v>
      </c>
      <c r="X525" s="156">
        <f t="shared" si="330"/>
        <v>2.343189355345392</v>
      </c>
      <c r="Y525" s="154"/>
      <c r="Z525" s="147">
        <f>IF($E525="","",VLOOKUP($D525,'Mortality Margins &amp; Grading'!$AB$5:$AF$125,3,0)*IF(Summary!$D$25="Included Margin",IF(AND($B525&gt;Input!$C$9,Summary!$D$31&lt;&gt;"Included Margin"),0,1),0))</f>
        <v>2.1999999999999999E-2</v>
      </c>
      <c r="AA525" s="147">
        <f>IF($E525="","",VLOOKUP($D525,'Mortality Margins &amp; Grading'!$AB$5:$AF$125,5,0)*IF(Summary!$D$25="Included Margin",IF(AND($B525&gt;Input!$C$9,Summary!$D$31&lt;&gt;"Included Margin"),0,1),0))</f>
        <v>0.113</v>
      </c>
      <c r="AB525" s="147">
        <f>IF($E525="","",IF(AND($B525&gt;Input!$C$9,Summary!$D$31&lt;&gt;"Included Margin"),1,IF(Summary!$D$25="Included Margin",VLOOKUP($B525,'Mortality Margins &amp; Grading'!$AI$5:$AR$125,MATCH('Mortality Margins &amp; Grading'!$AQ$4,'Mortality Margins &amp; Grading'!$AI$4:$AR$4,0),0),1)))</f>
        <v>6.25E-2</v>
      </c>
      <c r="AC525" s="154"/>
      <c r="AD525" s="158">
        <f>IF(E525="","",Input!$C$48*IF(Summary!$D$30="Included Margin",IF(AND($B525&gt;Input!$C$9,Summary!$D$31&lt;&gt;"Included Margin"),0,1),0))</f>
        <v>-4.4999999999999997E-3</v>
      </c>
      <c r="AE525" s="159">
        <f>IF(E525="","",IF(Summary!$D$26="Included Margin",IF(AND($B525&gt;Input!$C$9,Summary!$D$31&lt;&gt;"Included Margin"),1,1/$R525),1))</f>
        <v>1.2405307328535513</v>
      </c>
      <c r="AF525" s="160">
        <f>IF(E525="","",IF(AND($B525&gt;=Input!$C$9,$C525=12,Summary!$D$31="Included Margin",$U525&gt;0),1/U525-1,IF($B525&gt;=Input!$C$9,0,Input!$C$45*IF(Summary!$D$27="Included Margin",1,0))))</f>
        <v>0</v>
      </c>
      <c r="AG525" s="160">
        <f>IF(E525="","",Input!$C$46*IF(Summary!$D$28="Included Margin",IF(AND($B525&gt;Input!$C$9,Summary!$D$31&lt;&gt;"Included Margin"),0,1),0))</f>
        <v>0.02</v>
      </c>
      <c r="AH525" s="158">
        <f>IF(E525="","",Input!$C$47*IF(Summary!$D$29="Included Margin",IF(AND($B525&gt;Input!$C$9,Summary!$D$31&lt;&gt;"Included Margin"),0,1),0))</f>
        <v>2.5000000000000001E-3</v>
      </c>
      <c r="AI525" s="154"/>
      <c r="AJ525" s="158">
        <f t="shared" si="353"/>
        <v>4.2290000000000001E-2</v>
      </c>
      <c r="AK525" s="155">
        <f t="shared" si="354"/>
        <v>3.4576485524737688E-3</v>
      </c>
      <c r="AL525" s="147">
        <f t="shared" si="355"/>
        <v>0.46368713015625007</v>
      </c>
      <c r="AM525" s="147">
        <f t="shared" si="333"/>
        <v>5.0594992015012608E-2</v>
      </c>
      <c r="AN525" s="160">
        <f t="shared" si="356"/>
        <v>0</v>
      </c>
      <c r="AO525" s="161">
        <f t="shared" si="357"/>
        <v>0</v>
      </c>
      <c r="AP525" s="156">
        <f t="shared" si="334"/>
        <v>2.6032904021531533</v>
      </c>
      <c r="AQ525" s="152"/>
      <c r="AR525" s="162">
        <f t="shared" si="335"/>
        <v>33556.111053582878</v>
      </c>
      <c r="AS525" s="150">
        <f t="shared" si="358"/>
        <v>0</v>
      </c>
      <c r="AT525" s="163">
        <f t="shared" si="336"/>
        <v>0</v>
      </c>
      <c r="AU525" s="163">
        <f t="shared" si="337"/>
        <v>5059.4992015012604</v>
      </c>
      <c r="AV525" s="163">
        <f t="shared" si="359"/>
        <v>107.27825376591336</v>
      </c>
      <c r="AW525" s="163">
        <f t="shared" si="338"/>
        <v>1524.3382361677784</v>
      </c>
      <c r="AX525" s="163">
        <f t="shared" si="339"/>
        <v>0</v>
      </c>
      <c r="AY525" s="164">
        <f t="shared" si="360"/>
        <v>30128.228342015311</v>
      </c>
      <c r="AZ525" s="164">
        <f>IF($E525="","",IF(OR(AND($D525=Input!$C$6,$C525=12),$AN525=1),0,-AS526+AT526+AU526-AV526-AW526-AX526+AZ526))</f>
        <v>30128.243437917234</v>
      </c>
      <c r="BA525" s="154">
        <f t="shared" si="340"/>
        <v>1.5095901922904886E-2</v>
      </c>
      <c r="BC525" s="147">
        <f t="shared" si="361"/>
        <v>8.2738345871464646E-4</v>
      </c>
      <c r="BD525" s="164">
        <f>IF(AND($C524=12,$D524=Input!$C$6),0,IF($E525="","",AT525+(AU525+BD526)/(1+$AK525)*MIN((1-AM525-AN525),1)))</f>
        <v>26844.585094009835</v>
      </c>
      <c r="BE525" s="164">
        <f t="shared" si="341"/>
        <v>22.210765662841499</v>
      </c>
      <c r="BF525" s="164">
        <f t="shared" si="362"/>
        <v>30128.243437917234</v>
      </c>
      <c r="BG525" s="164">
        <f t="shared" si="342"/>
        <v>24.92761026066081</v>
      </c>
      <c r="BH525" s="152"/>
      <c r="BI525" s="162">
        <f t="shared" si="343"/>
        <v>11326.487050603251</v>
      </c>
      <c r="BJ525" s="150">
        <f t="shared" si="344"/>
        <v>0</v>
      </c>
      <c r="BK525" s="163">
        <f t="shared" si="366"/>
        <v>0</v>
      </c>
      <c r="BL525" s="163">
        <f t="shared" si="345"/>
        <v>2624.1271732014739</v>
      </c>
      <c r="BM525" s="163">
        <f t="shared" si="367"/>
        <v>38.23471649243627</v>
      </c>
      <c r="BN525" s="163">
        <f t="shared" si="346"/>
        <v>235.54558397616807</v>
      </c>
      <c r="BO525" s="163">
        <f t="shared" si="347"/>
        <v>0</v>
      </c>
      <c r="BP525" s="164">
        <f t="shared" si="368"/>
        <v>8976.1401778703821</v>
      </c>
      <c r="BQ525" s="164">
        <f>IF($E525="","",IF(AND($D525=Input!$C$6,$C525=12),0,-BJ526+BK526+BL526-BM526-BN526-BO526+BQ526))</f>
        <v>8976.1497225303683</v>
      </c>
      <c r="BR525" s="161">
        <f t="shared" si="348"/>
        <v>0</v>
      </c>
      <c r="BT525" s="147">
        <f t="shared" si="349"/>
        <v>8.2738345871464646E-4</v>
      </c>
      <c r="BU525" s="164">
        <f>IF(AND($C524=12,$D524=Input!$C$6),0,IF($E525="","",BK525+(BL525+BU526)/(1+$AK525)*MIN((1-T525-U525),1)))</f>
        <v>70820.385005709613</v>
      </c>
      <c r="BV525" s="164">
        <f t="shared" si="350"/>
        <v>58.595615093526909</v>
      </c>
      <c r="BW525" s="164">
        <f t="shared" si="351"/>
        <v>8976.1497225303683</v>
      </c>
      <c r="BX525" s="164">
        <f t="shared" si="352"/>
        <v>7.4267178033676906</v>
      </c>
    </row>
    <row r="526" spans="1:76" s="150" customFormat="1" x14ac:dyDescent="0.25">
      <c r="A526" s="150">
        <f t="shared" si="363"/>
        <v>522</v>
      </c>
      <c r="B526" s="150">
        <f t="shared" si="364"/>
        <v>44</v>
      </c>
      <c r="C526" s="150">
        <f t="shared" si="365"/>
        <v>6</v>
      </c>
      <c r="D526" s="150">
        <f>IF(E526="","",Input!$C$4+B526-1)</f>
        <v>88</v>
      </c>
      <c r="E526" s="150">
        <f>IF(OR(AND(C525=12,D525=Input!$C$6),E525=""),"",1)</f>
        <v>1</v>
      </c>
      <c r="F526" s="150">
        <f>IF(E526="","",Input!$C$8+B526-1)</f>
        <v>2061</v>
      </c>
      <c r="G526" s="151">
        <f>IF(E526="","",MAX(0,Input!$C$9-B526))</f>
        <v>0</v>
      </c>
      <c r="H526" s="152">
        <f>IF(E526="","",Input!$C$3)</f>
        <v>100000</v>
      </c>
      <c r="I526" s="153">
        <f>IF(E526="","",HLOOKUP($B526,Input!$C$13:$BT$14,2))</f>
        <v>301.10500000000002</v>
      </c>
      <c r="J526" s="154"/>
      <c r="K526" s="155">
        <f>IF($E526="","",INDEX(Input!$C$16:$CP$16,1,$B526))</f>
        <v>3.1789999999999999E-2</v>
      </c>
      <c r="L526" s="155">
        <f>IF($E526="","",Input!$C$37)</f>
        <v>1.4999999999999999E-2</v>
      </c>
      <c r="M526" s="155">
        <f t="shared" si="328"/>
        <v>4.6789999999999998E-2</v>
      </c>
      <c r="N526" s="155">
        <f t="shared" si="329"/>
        <v>3.8179648214271555E-3</v>
      </c>
      <c r="O526" s="147">
        <f>IF($E526="","",MIN(VLOOKUP(IF($B526&lt;=Input!$C$7,$B526,26),'Mortality Tables'!$A$41:$CW$67,IF($B526&lt;=Input!$C$7+1,Input!$C$4+2,$D526-Input!$C$7+2),0)*IF(B526&gt;20,Input!$C$22,1)/1000,1))</f>
        <v>0.3389100000000001</v>
      </c>
      <c r="P526" s="147">
        <f>IF($E526="","",MIN(VLOOKUP(IF($B526&lt;=Input!$C$7,$B526,26),'Mortality Tables'!$A$12:$CW$37,IF($B526&lt;=Input!$C$7+1,Input!$C$4+2,$D526-Input!$C$7+2),0)*IF(B526&gt;20,Input!$C$22,1)/1000,1))</f>
        <v>0.42363750000000006</v>
      </c>
      <c r="Q526" s="155">
        <f>IF($E526="","",Input!$C$21)</f>
        <v>5.0000000000000001E-3</v>
      </c>
      <c r="R526" s="159">
        <f>IF($E526="","",(1-Q526)^($F526-Input!$C$20))</f>
        <v>0.80610659092639603</v>
      </c>
      <c r="S526" s="147">
        <f t="shared" si="331"/>
        <v>0.27319758473086497</v>
      </c>
      <c r="T526" s="147">
        <f t="shared" si="332"/>
        <v>2.6241271732014737E-2</v>
      </c>
      <c r="U526" s="160">
        <f>IF($E526="","",IF($C526=12,INDEX(Input!$C$15:$CP$15,1,$B526),0))</f>
        <v>0</v>
      </c>
      <c r="V526" s="150">
        <f>IF(E526="","",IF(C526=1,IF($B526=1,Input!$C$33,Input!$C$34),0))</f>
        <v>0</v>
      </c>
      <c r="W526" s="156">
        <f>IF($E526="","",Input!$C$35)</f>
        <v>0.02</v>
      </c>
      <c r="X526" s="156">
        <f t="shared" si="330"/>
        <v>2.343189355345392</v>
      </c>
      <c r="Y526" s="154"/>
      <c r="Z526" s="147">
        <f>IF($E526="","",VLOOKUP($D526,'Mortality Margins &amp; Grading'!$AB$5:$AF$125,3,0)*IF(Summary!$D$25="Included Margin",IF(AND($B526&gt;Input!$C$9,Summary!$D$31&lt;&gt;"Included Margin"),0,1),0))</f>
        <v>2.1999999999999999E-2</v>
      </c>
      <c r="AA526" s="147">
        <f>IF($E526="","",VLOOKUP($D526,'Mortality Margins &amp; Grading'!$AB$5:$AF$125,5,0)*IF(Summary!$D$25="Included Margin",IF(AND($B526&gt;Input!$C$9,Summary!$D$31&lt;&gt;"Included Margin"),0,1),0))</f>
        <v>0.113</v>
      </c>
      <c r="AB526" s="147">
        <f>IF($E526="","",IF(AND($B526&gt;Input!$C$9,Summary!$D$31&lt;&gt;"Included Margin"),1,IF(Summary!$D$25="Included Margin",VLOOKUP($B526,'Mortality Margins &amp; Grading'!$AI$5:$AR$125,MATCH('Mortality Margins &amp; Grading'!$AQ$4,'Mortality Margins &amp; Grading'!$AI$4:$AR$4,0),0),1)))</f>
        <v>6.25E-2</v>
      </c>
      <c r="AC526" s="154"/>
      <c r="AD526" s="158">
        <f>IF(E526="","",Input!$C$48*IF(Summary!$D$30="Included Margin",IF(AND($B526&gt;Input!$C$9,Summary!$D$31&lt;&gt;"Included Margin"),0,1),0))</f>
        <v>-4.4999999999999997E-3</v>
      </c>
      <c r="AE526" s="159">
        <f>IF(E526="","",IF(Summary!$D$26="Included Margin",IF(AND($B526&gt;Input!$C$9,Summary!$D$31&lt;&gt;"Included Margin"),1,1/$R526),1))</f>
        <v>1.2405307328535513</v>
      </c>
      <c r="AF526" s="160">
        <f>IF(E526="","",IF(AND($B526&gt;=Input!$C$9,$C526=12,Summary!$D$31="Included Margin",$U526&gt;0),1/U526-1,IF($B526&gt;=Input!$C$9,0,Input!$C$45*IF(Summary!$D$27="Included Margin",1,0))))</f>
        <v>0</v>
      </c>
      <c r="AG526" s="160">
        <f>IF(E526="","",Input!$C$46*IF(Summary!$D$28="Included Margin",IF(AND($B526&gt;Input!$C$9,Summary!$D$31&lt;&gt;"Included Margin"),0,1),0))</f>
        <v>0.02</v>
      </c>
      <c r="AH526" s="158">
        <f>IF(E526="","",Input!$C$47*IF(Summary!$D$29="Included Margin",IF(AND($B526&gt;Input!$C$9,Summary!$D$31&lt;&gt;"Included Margin"),0,1),0))</f>
        <v>2.5000000000000001E-3</v>
      </c>
      <c r="AI526" s="154"/>
      <c r="AJ526" s="158">
        <f t="shared" si="353"/>
        <v>4.2290000000000001E-2</v>
      </c>
      <c r="AK526" s="155">
        <f t="shared" si="354"/>
        <v>3.4576485524737688E-3</v>
      </c>
      <c r="AL526" s="147">
        <f t="shared" si="355"/>
        <v>0.46368713015625007</v>
      </c>
      <c r="AM526" s="147">
        <f t="shared" si="333"/>
        <v>5.0594992015012608E-2</v>
      </c>
      <c r="AN526" s="160">
        <f t="shared" si="356"/>
        <v>0</v>
      </c>
      <c r="AO526" s="161">
        <f t="shared" si="357"/>
        <v>0</v>
      </c>
      <c r="AP526" s="156">
        <f t="shared" si="334"/>
        <v>2.6032904021531533</v>
      </c>
      <c r="AQ526" s="152"/>
      <c r="AR526" s="162">
        <f t="shared" si="335"/>
        <v>30128.228342015303</v>
      </c>
      <c r="AS526" s="150">
        <f t="shared" si="358"/>
        <v>0</v>
      </c>
      <c r="AT526" s="163">
        <f t="shared" si="336"/>
        <v>0</v>
      </c>
      <c r="AU526" s="163">
        <f t="shared" si="337"/>
        <v>5059.4992015012604</v>
      </c>
      <c r="AV526" s="163">
        <f t="shared" si="359"/>
        <v>95.425840070211876</v>
      </c>
      <c r="AW526" s="163">
        <f t="shared" si="338"/>
        <v>1341.0304068086084</v>
      </c>
      <c r="AX526" s="163">
        <f t="shared" si="339"/>
        <v>0</v>
      </c>
      <c r="AY526" s="165">
        <f t="shared" si="360"/>
        <v>26505.185387392863</v>
      </c>
      <c r="AZ526" s="164">
        <f>IF($E526="","",IF(OR(AND($D526=Input!$C$6,$C526=12),$AN526=1),0,-AS527+AT527+AU527-AV527-AW527-AX527+AZ527))</f>
        <v>26505.200483294793</v>
      </c>
      <c r="BA526" s="154">
        <f t="shared" si="340"/>
        <v>1.5095901930180844E-2</v>
      </c>
      <c r="BC526" s="147">
        <f t="shared" si="361"/>
        <v>8.0567186454794126E-4</v>
      </c>
      <c r="BD526" s="164">
        <f>IF(AND($C525=12,$D525=Input!$C$6),0,IF($E526="","",AT526+(AU526+BD527)/(1+$AK526)*MIN((1-AM526-AN526),1)))</f>
        <v>23313.433328077146</v>
      </c>
      <c r="BE526" s="164">
        <f t="shared" si="341"/>
        <v>18.782977298446031</v>
      </c>
      <c r="BF526" s="164">
        <f t="shared" si="362"/>
        <v>26505.200483294793</v>
      </c>
      <c r="BG526" s="164">
        <f t="shared" si="342"/>
        <v>21.35449429359311</v>
      </c>
      <c r="BH526" s="152"/>
      <c r="BI526" s="162">
        <f t="shared" si="343"/>
        <v>8976.1401778703803</v>
      </c>
      <c r="BJ526" s="150">
        <f t="shared" si="344"/>
        <v>0</v>
      </c>
      <c r="BK526" s="163">
        <f t="shared" si="366"/>
        <v>0</v>
      </c>
      <c r="BL526" s="163">
        <f t="shared" si="345"/>
        <v>2624.1271732014739</v>
      </c>
      <c r="BM526" s="163">
        <f t="shared" si="367"/>
        <v>29.261174814190849</v>
      </c>
      <c r="BN526" s="163">
        <f t="shared" si="346"/>
        <v>171.96559614122134</v>
      </c>
      <c r="BO526" s="163">
        <f t="shared" si="347"/>
        <v>0</v>
      </c>
      <c r="BP526" s="164">
        <f t="shared" si="368"/>
        <v>6553.239775624319</v>
      </c>
      <c r="BQ526" s="164">
        <f>IF($E526="","",IF(AND($D526=Input!$C$6,$C526=12),0,-BJ527+BK527+BL527-BM527-BN527-BO527+BQ527))</f>
        <v>6553.2493202843061</v>
      </c>
      <c r="BR526" s="161">
        <f t="shared" si="348"/>
        <v>0</v>
      </c>
      <c r="BT526" s="147">
        <f t="shared" si="349"/>
        <v>8.0567186454794126E-4</v>
      </c>
      <c r="BU526" s="164">
        <f>IF(AND($C525=12,$D525=Input!$C$6),0,IF($E526="","",BK526+(BL526+BU527)/(1+$AK526)*MIN((1-T526-U526),1)))</f>
        <v>70356.22714291673</v>
      </c>
      <c r="BV526" s="164">
        <f t="shared" si="350"/>
        <v>56.684032704792195</v>
      </c>
      <c r="BW526" s="164">
        <f t="shared" si="351"/>
        <v>6553.2493202843061</v>
      </c>
      <c r="BX526" s="164">
        <f t="shared" si="352"/>
        <v>5.2797685987209855</v>
      </c>
    </row>
    <row r="527" spans="1:76" s="150" customFormat="1" x14ac:dyDescent="0.25">
      <c r="A527" s="150">
        <f t="shared" si="363"/>
        <v>523</v>
      </c>
      <c r="B527" s="150">
        <f t="shared" si="364"/>
        <v>44</v>
      </c>
      <c r="C527" s="150">
        <f t="shared" si="365"/>
        <v>7</v>
      </c>
      <c r="D527" s="150">
        <f>IF(E527="","",Input!$C$4+B527-1)</f>
        <v>88</v>
      </c>
      <c r="E527" s="150">
        <f>IF(OR(AND(C526=12,D526=Input!$C$6),E526=""),"",1)</f>
        <v>1</v>
      </c>
      <c r="F527" s="150">
        <f>IF(E527="","",Input!$C$8+B527-1)</f>
        <v>2061</v>
      </c>
      <c r="G527" s="151">
        <f>IF(E527="","",MAX(0,Input!$C$9-B527))</f>
        <v>0</v>
      </c>
      <c r="H527" s="152">
        <f>IF(E527="","",Input!$C$3)</f>
        <v>100000</v>
      </c>
      <c r="I527" s="153">
        <f>IF(E527="","",HLOOKUP($B527,Input!$C$13:$BT$14,2))</f>
        <v>301.10500000000002</v>
      </c>
      <c r="J527" s="154"/>
      <c r="K527" s="155">
        <f>IF($E527="","",INDEX(Input!$C$16:$CP$16,1,$B527))</f>
        <v>3.1789999999999999E-2</v>
      </c>
      <c r="L527" s="155">
        <f>IF($E527="","",Input!$C$37)</f>
        <v>1.4999999999999999E-2</v>
      </c>
      <c r="M527" s="155">
        <f t="shared" si="328"/>
        <v>4.6789999999999998E-2</v>
      </c>
      <c r="N527" s="155">
        <f t="shared" si="329"/>
        <v>3.8179648214271555E-3</v>
      </c>
      <c r="O527" s="147">
        <f>IF($E527="","",MIN(VLOOKUP(IF($B527&lt;=Input!$C$7,$B527,26),'Mortality Tables'!$A$41:$CW$67,IF($B527&lt;=Input!$C$7+1,Input!$C$4+2,$D527-Input!$C$7+2),0)*IF(B527&gt;20,Input!$C$22,1)/1000,1))</f>
        <v>0.3389100000000001</v>
      </c>
      <c r="P527" s="147">
        <f>IF($E527="","",MIN(VLOOKUP(IF($B527&lt;=Input!$C$7,$B527,26),'Mortality Tables'!$A$12:$CW$37,IF($B527&lt;=Input!$C$7+1,Input!$C$4+2,$D527-Input!$C$7+2),0)*IF(B527&gt;20,Input!$C$22,1)/1000,1))</f>
        <v>0.42363750000000006</v>
      </c>
      <c r="Q527" s="155">
        <f>IF($E527="","",Input!$C$21)</f>
        <v>5.0000000000000001E-3</v>
      </c>
      <c r="R527" s="159">
        <f>IF($E527="","",(1-Q527)^($F527-Input!$C$20))</f>
        <v>0.80610659092639603</v>
      </c>
      <c r="S527" s="147">
        <f t="shared" si="331"/>
        <v>0.27319758473086497</v>
      </c>
      <c r="T527" s="147">
        <f t="shared" si="332"/>
        <v>2.6241271732014737E-2</v>
      </c>
      <c r="U527" s="160">
        <f>IF($E527="","",IF($C527=12,INDEX(Input!$C$15:$CP$15,1,$B527),0))</f>
        <v>0</v>
      </c>
      <c r="V527" s="150">
        <f>IF(E527="","",IF(C527=1,IF($B527=1,Input!$C$33,Input!$C$34),0))</f>
        <v>0</v>
      </c>
      <c r="W527" s="156">
        <f>IF($E527="","",Input!$C$35)</f>
        <v>0.02</v>
      </c>
      <c r="X527" s="156">
        <f t="shared" si="330"/>
        <v>2.343189355345392</v>
      </c>
      <c r="Y527" s="154"/>
      <c r="Z527" s="147">
        <f>IF($E527="","",VLOOKUP($D527,'Mortality Margins &amp; Grading'!$AB$5:$AF$125,3,0)*IF(Summary!$D$25="Included Margin",IF(AND($B527&gt;Input!$C$9,Summary!$D$31&lt;&gt;"Included Margin"),0,1),0))</f>
        <v>2.1999999999999999E-2</v>
      </c>
      <c r="AA527" s="147">
        <f>IF($E527="","",VLOOKUP($D527,'Mortality Margins &amp; Grading'!$AB$5:$AF$125,5,0)*IF(Summary!$D$25="Included Margin",IF(AND($B527&gt;Input!$C$9,Summary!$D$31&lt;&gt;"Included Margin"),0,1),0))</f>
        <v>0.113</v>
      </c>
      <c r="AB527" s="147">
        <f>IF($E527="","",IF(AND($B527&gt;Input!$C$9,Summary!$D$31&lt;&gt;"Included Margin"),1,IF(Summary!$D$25="Included Margin",VLOOKUP($B527,'Mortality Margins &amp; Grading'!$AI$5:$AR$125,MATCH('Mortality Margins &amp; Grading'!$AQ$4,'Mortality Margins &amp; Grading'!$AI$4:$AR$4,0),0),1)))</f>
        <v>6.25E-2</v>
      </c>
      <c r="AC527" s="154"/>
      <c r="AD527" s="158">
        <f>IF(E527="","",Input!$C$48*IF(Summary!$D$30="Included Margin",IF(AND($B527&gt;Input!$C$9,Summary!$D$31&lt;&gt;"Included Margin"),0,1),0))</f>
        <v>-4.4999999999999997E-3</v>
      </c>
      <c r="AE527" s="159">
        <f>IF(E527="","",IF(Summary!$D$26="Included Margin",IF(AND($B527&gt;Input!$C$9,Summary!$D$31&lt;&gt;"Included Margin"),1,1/$R527),1))</f>
        <v>1.2405307328535513</v>
      </c>
      <c r="AF527" s="160">
        <f>IF(E527="","",IF(AND($B527&gt;=Input!$C$9,$C527=12,Summary!$D$31="Included Margin",$U527&gt;0),1/U527-1,IF($B527&gt;=Input!$C$9,0,Input!$C$45*IF(Summary!$D$27="Included Margin",1,0))))</f>
        <v>0</v>
      </c>
      <c r="AG527" s="160">
        <f>IF(E527="","",Input!$C$46*IF(Summary!$D$28="Included Margin",IF(AND($B527&gt;Input!$C$9,Summary!$D$31&lt;&gt;"Included Margin"),0,1),0))</f>
        <v>0.02</v>
      </c>
      <c r="AH527" s="158">
        <f>IF(E527="","",Input!$C$47*IF(Summary!$D$29="Included Margin",IF(AND($B527&gt;Input!$C$9,Summary!$D$31&lt;&gt;"Included Margin"),0,1),0))</f>
        <v>2.5000000000000001E-3</v>
      </c>
      <c r="AI527" s="154"/>
      <c r="AJ527" s="158">
        <f t="shared" si="353"/>
        <v>4.2290000000000001E-2</v>
      </c>
      <c r="AK527" s="155">
        <f t="shared" si="354"/>
        <v>3.4576485524737688E-3</v>
      </c>
      <c r="AL527" s="147">
        <f t="shared" si="355"/>
        <v>0.46368713015625007</v>
      </c>
      <c r="AM527" s="147">
        <f t="shared" si="333"/>
        <v>5.0594992015012608E-2</v>
      </c>
      <c r="AN527" s="160">
        <f t="shared" si="356"/>
        <v>0</v>
      </c>
      <c r="AO527" s="161">
        <f t="shared" si="357"/>
        <v>0</v>
      </c>
      <c r="AP527" s="156">
        <f t="shared" si="334"/>
        <v>2.6032904021531533</v>
      </c>
      <c r="AQ527" s="152"/>
      <c r="AR527" s="162">
        <f t="shared" si="335"/>
        <v>26505.185387392867</v>
      </c>
      <c r="AS527" s="150">
        <f t="shared" si="358"/>
        <v>0</v>
      </c>
      <c r="AT527" s="163">
        <f t="shared" si="336"/>
        <v>0</v>
      </c>
      <c r="AU527" s="163">
        <f t="shared" si="337"/>
        <v>5059.4992015012604</v>
      </c>
      <c r="AV527" s="163">
        <f t="shared" si="359"/>
        <v>82.898630842611325</v>
      </c>
      <c r="AW527" s="163">
        <f t="shared" si="338"/>
        <v>1147.2862808950451</v>
      </c>
      <c r="AX527" s="163">
        <f t="shared" si="339"/>
        <v>0</v>
      </c>
      <c r="AY527" s="164">
        <f t="shared" si="360"/>
        <v>22675.87109762926</v>
      </c>
      <c r="AZ527" s="164">
        <f>IF($E527="","",IF(OR(AND($D527=Input!$C$6,$C527=12),$AN527=1),0,-AS528+AT528+AU528-AV528-AW528-AX528+AZ528))</f>
        <v>22675.886193531191</v>
      </c>
      <c r="BA527" s="154">
        <f t="shared" si="340"/>
        <v>1.5095901930180844E-2</v>
      </c>
      <c r="BC527" s="147">
        <f t="shared" si="361"/>
        <v>7.8453001022349975E-4</v>
      </c>
      <c r="BD527" s="164">
        <f>IF(AND($C526=12,$D526=Input!$C$6),0,IF($E527="","",AT527+(AU527+BD528)/(1+$AK527)*MIN((1-AM527-AN527),1)))</f>
        <v>19581.241884043011</v>
      </c>
      <c r="BE527" s="164">
        <f t="shared" si="341"/>
        <v>15.362071895477085</v>
      </c>
      <c r="BF527" s="164">
        <f t="shared" si="362"/>
        <v>22675.886193531191</v>
      </c>
      <c r="BG527" s="164">
        <f t="shared" si="342"/>
        <v>17.789913227237943</v>
      </c>
      <c r="BH527" s="152"/>
      <c r="BI527" s="162">
        <f t="shared" si="343"/>
        <v>6553.2397756243208</v>
      </c>
      <c r="BJ527" s="150">
        <f t="shared" si="344"/>
        <v>0</v>
      </c>
      <c r="BK527" s="163">
        <f t="shared" si="366"/>
        <v>0</v>
      </c>
      <c r="BL527" s="163">
        <f t="shared" si="345"/>
        <v>2624.1271732014739</v>
      </c>
      <c r="BM527" s="163">
        <f t="shared" si="367"/>
        <v>20.010626312593686</v>
      </c>
      <c r="BN527" s="163">
        <f t="shared" si="346"/>
        <v>106.42293948604748</v>
      </c>
      <c r="BO527" s="163">
        <f t="shared" si="347"/>
        <v>0</v>
      </c>
      <c r="BP527" s="164">
        <f t="shared" si="368"/>
        <v>4055.5461682214882</v>
      </c>
      <c r="BQ527" s="164">
        <f>IF($E527="","",IF(AND($D527=Input!$C$6,$C527=12),0,-BJ528+BK528+BL528-BM528-BN528-BO528+BQ528))</f>
        <v>4055.5557128814735</v>
      </c>
      <c r="BR527" s="161">
        <f t="shared" si="348"/>
        <v>0</v>
      </c>
      <c r="BT527" s="147">
        <f t="shared" si="349"/>
        <v>7.8453001022349975E-4</v>
      </c>
      <c r="BU527" s="164">
        <f>IF(AND($C526=12,$D526=Input!$C$6),0,IF($E527="","",BK527+(BL527+BU528)/(1+$AK527)*MIN((1-T527-U527),1)))</f>
        <v>69877.912808950525</v>
      </c>
      <c r="BV527" s="164">
        <f t="shared" si="350"/>
        <v>54.821319650402778</v>
      </c>
      <c r="BW527" s="164">
        <f t="shared" si="351"/>
        <v>4055.5557128814735</v>
      </c>
      <c r="BX527" s="164">
        <f t="shared" si="352"/>
        <v>3.181705164888875</v>
      </c>
    </row>
    <row r="528" spans="1:76" s="150" customFormat="1" x14ac:dyDescent="0.25">
      <c r="A528" s="150">
        <f t="shared" si="363"/>
        <v>524</v>
      </c>
      <c r="B528" s="150">
        <f t="shared" si="364"/>
        <v>44</v>
      </c>
      <c r="C528" s="150">
        <f t="shared" si="365"/>
        <v>8</v>
      </c>
      <c r="D528" s="150">
        <f>IF(E528="","",Input!$C$4+B528-1)</f>
        <v>88</v>
      </c>
      <c r="E528" s="150">
        <f>IF(OR(AND(C527=12,D527=Input!$C$6),E527=""),"",1)</f>
        <v>1</v>
      </c>
      <c r="F528" s="150">
        <f>IF(E528="","",Input!$C$8+B528-1)</f>
        <v>2061</v>
      </c>
      <c r="G528" s="151">
        <f>IF(E528="","",MAX(0,Input!$C$9-B528))</f>
        <v>0</v>
      </c>
      <c r="H528" s="152">
        <f>IF(E528="","",Input!$C$3)</f>
        <v>100000</v>
      </c>
      <c r="I528" s="153">
        <f>IF(E528="","",HLOOKUP($B528,Input!$C$13:$BT$14,2))</f>
        <v>301.10500000000002</v>
      </c>
      <c r="J528" s="154"/>
      <c r="K528" s="155">
        <f>IF($E528="","",INDEX(Input!$C$16:$CP$16,1,$B528))</f>
        <v>3.1789999999999999E-2</v>
      </c>
      <c r="L528" s="155">
        <f>IF($E528="","",Input!$C$37)</f>
        <v>1.4999999999999999E-2</v>
      </c>
      <c r="M528" s="155">
        <f t="shared" si="328"/>
        <v>4.6789999999999998E-2</v>
      </c>
      <c r="N528" s="155">
        <f t="shared" si="329"/>
        <v>3.8179648214271555E-3</v>
      </c>
      <c r="O528" s="147">
        <f>IF($E528="","",MIN(VLOOKUP(IF($B528&lt;=Input!$C$7,$B528,26),'Mortality Tables'!$A$41:$CW$67,IF($B528&lt;=Input!$C$7+1,Input!$C$4+2,$D528-Input!$C$7+2),0)*IF(B528&gt;20,Input!$C$22,1)/1000,1))</f>
        <v>0.3389100000000001</v>
      </c>
      <c r="P528" s="147">
        <f>IF($E528="","",MIN(VLOOKUP(IF($B528&lt;=Input!$C$7,$B528,26),'Mortality Tables'!$A$12:$CW$37,IF($B528&lt;=Input!$C$7+1,Input!$C$4+2,$D528-Input!$C$7+2),0)*IF(B528&gt;20,Input!$C$22,1)/1000,1))</f>
        <v>0.42363750000000006</v>
      </c>
      <c r="Q528" s="155">
        <f>IF($E528="","",Input!$C$21)</f>
        <v>5.0000000000000001E-3</v>
      </c>
      <c r="R528" s="159">
        <f>IF($E528="","",(1-Q528)^($F528-Input!$C$20))</f>
        <v>0.80610659092639603</v>
      </c>
      <c r="S528" s="147">
        <f t="shared" si="331"/>
        <v>0.27319758473086497</v>
      </c>
      <c r="T528" s="147">
        <f t="shared" si="332"/>
        <v>2.6241271732014737E-2</v>
      </c>
      <c r="U528" s="160">
        <f>IF($E528="","",IF($C528=12,INDEX(Input!$C$15:$CP$15,1,$B528),0))</f>
        <v>0</v>
      </c>
      <c r="V528" s="150">
        <f>IF(E528="","",IF(C528=1,IF($B528=1,Input!$C$33,Input!$C$34),0))</f>
        <v>0</v>
      </c>
      <c r="W528" s="156">
        <f>IF($E528="","",Input!$C$35)</f>
        <v>0.02</v>
      </c>
      <c r="X528" s="156">
        <f t="shared" si="330"/>
        <v>2.343189355345392</v>
      </c>
      <c r="Y528" s="154"/>
      <c r="Z528" s="147">
        <f>IF($E528="","",VLOOKUP($D528,'Mortality Margins &amp; Grading'!$AB$5:$AF$125,3,0)*IF(Summary!$D$25="Included Margin",IF(AND($B528&gt;Input!$C$9,Summary!$D$31&lt;&gt;"Included Margin"),0,1),0))</f>
        <v>2.1999999999999999E-2</v>
      </c>
      <c r="AA528" s="147">
        <f>IF($E528="","",VLOOKUP($D528,'Mortality Margins &amp; Grading'!$AB$5:$AF$125,5,0)*IF(Summary!$D$25="Included Margin",IF(AND($B528&gt;Input!$C$9,Summary!$D$31&lt;&gt;"Included Margin"),0,1),0))</f>
        <v>0.113</v>
      </c>
      <c r="AB528" s="147">
        <f>IF($E528="","",IF(AND($B528&gt;Input!$C$9,Summary!$D$31&lt;&gt;"Included Margin"),1,IF(Summary!$D$25="Included Margin",VLOOKUP($B528,'Mortality Margins &amp; Grading'!$AI$5:$AR$125,MATCH('Mortality Margins &amp; Grading'!$AQ$4,'Mortality Margins &amp; Grading'!$AI$4:$AR$4,0),0),1)))</f>
        <v>6.25E-2</v>
      </c>
      <c r="AC528" s="154"/>
      <c r="AD528" s="158">
        <f>IF(E528="","",Input!$C$48*IF(Summary!$D$30="Included Margin",IF(AND($B528&gt;Input!$C$9,Summary!$D$31&lt;&gt;"Included Margin"),0,1),0))</f>
        <v>-4.4999999999999997E-3</v>
      </c>
      <c r="AE528" s="159">
        <f>IF(E528="","",IF(Summary!$D$26="Included Margin",IF(AND($B528&gt;Input!$C$9,Summary!$D$31&lt;&gt;"Included Margin"),1,1/$R528),1))</f>
        <v>1.2405307328535513</v>
      </c>
      <c r="AF528" s="160">
        <f>IF(E528="","",IF(AND($B528&gt;=Input!$C$9,$C528=12,Summary!$D$31="Included Margin",$U528&gt;0),1/U528-1,IF($B528&gt;=Input!$C$9,0,Input!$C$45*IF(Summary!$D$27="Included Margin",1,0))))</f>
        <v>0</v>
      </c>
      <c r="AG528" s="160">
        <f>IF(E528="","",Input!$C$46*IF(Summary!$D$28="Included Margin",IF(AND($B528&gt;Input!$C$9,Summary!$D$31&lt;&gt;"Included Margin"),0,1),0))</f>
        <v>0.02</v>
      </c>
      <c r="AH528" s="158">
        <f>IF(E528="","",Input!$C$47*IF(Summary!$D$29="Included Margin",IF(AND($B528&gt;Input!$C$9,Summary!$D$31&lt;&gt;"Included Margin"),0,1),0))</f>
        <v>2.5000000000000001E-3</v>
      </c>
      <c r="AI528" s="154"/>
      <c r="AJ528" s="158">
        <f t="shared" si="353"/>
        <v>4.2290000000000001E-2</v>
      </c>
      <c r="AK528" s="155">
        <f t="shared" si="354"/>
        <v>3.4576485524737688E-3</v>
      </c>
      <c r="AL528" s="147">
        <f t="shared" si="355"/>
        <v>0.46368713015625007</v>
      </c>
      <c r="AM528" s="147">
        <f t="shared" si="333"/>
        <v>5.0594992015012608E-2</v>
      </c>
      <c r="AN528" s="160">
        <f t="shared" si="356"/>
        <v>0</v>
      </c>
      <c r="AO528" s="161">
        <f t="shared" si="357"/>
        <v>0</v>
      </c>
      <c r="AP528" s="156">
        <f t="shared" si="334"/>
        <v>2.6032904021531533</v>
      </c>
      <c r="AQ528" s="152"/>
      <c r="AR528" s="162">
        <f t="shared" si="335"/>
        <v>22675.871097629264</v>
      </c>
      <c r="AS528" s="150">
        <f t="shared" si="358"/>
        <v>0</v>
      </c>
      <c r="AT528" s="163">
        <f t="shared" si="336"/>
        <v>0</v>
      </c>
      <c r="AU528" s="163">
        <f t="shared" si="337"/>
        <v>5059.4992015012604</v>
      </c>
      <c r="AV528" s="163">
        <f t="shared" si="359"/>
        <v>69.658207831643082</v>
      </c>
      <c r="AW528" s="163">
        <f t="shared" si="338"/>
        <v>942.51168693887701</v>
      </c>
      <c r="AX528" s="163">
        <f t="shared" si="339"/>
        <v>0</v>
      </c>
      <c r="AY528" s="165">
        <f t="shared" si="360"/>
        <v>18628.541790898522</v>
      </c>
      <c r="AZ528" s="164">
        <f>IF($E528="","",IF(OR(AND($D528=Input!$C$6,$C528=12),$AN528=1),0,-AS529+AT529+AU529-AV529-AW529-AX529+AZ529))</f>
        <v>18628.556886800452</v>
      </c>
      <c r="BA528" s="154">
        <f t="shared" si="340"/>
        <v>1.5095901930180844E-2</v>
      </c>
      <c r="BC528" s="147">
        <f t="shared" si="361"/>
        <v>7.6394294504330456E-4</v>
      </c>
      <c r="BD528" s="164">
        <f>IF(AND($C527=12,$D527=Input!$C$6),0,IF($E528="","",AT528+(AU528+BD529)/(1+$AK528)*MIN((1-AM528-AN528),1)))</f>
        <v>15636.564934922289</v>
      </c>
      <c r="BE528" s="164">
        <f t="shared" si="341"/>
        <v>11.945443466745402</v>
      </c>
      <c r="BF528" s="164">
        <f t="shared" si="362"/>
        <v>18628.556886800452</v>
      </c>
      <c r="BG528" s="164">
        <f t="shared" si="342"/>
        <v>14.231154610009071</v>
      </c>
      <c r="BH528" s="152"/>
      <c r="BI528" s="162">
        <f t="shared" si="343"/>
        <v>4055.5461682214877</v>
      </c>
      <c r="BJ528" s="150">
        <f t="shared" si="344"/>
        <v>0</v>
      </c>
      <c r="BK528" s="163">
        <f t="shared" si="366"/>
        <v>0</v>
      </c>
      <c r="BL528" s="163">
        <f t="shared" si="345"/>
        <v>2624.1271732014739</v>
      </c>
      <c r="BM528" s="163">
        <f t="shared" si="367"/>
        <v>10.474519984826182</v>
      </c>
      <c r="BN528" s="163">
        <f t="shared" si="346"/>
        <v>38.857027825762444</v>
      </c>
      <c r="BO528" s="163">
        <f t="shared" si="347"/>
        <v>0</v>
      </c>
      <c r="BP528" s="164">
        <f t="shared" si="368"/>
        <v>1480.7505428306026</v>
      </c>
      <c r="BQ528" s="164">
        <f>IF($E528="","",IF(AND($D528=Input!$C$6,$C528=12),0,-BJ529+BK529+BL529-BM529-BN529-BO529+BQ529))</f>
        <v>1480.7600874905884</v>
      </c>
      <c r="BR528" s="161">
        <f t="shared" si="348"/>
        <v>0</v>
      </c>
      <c r="BT528" s="147">
        <f t="shared" si="349"/>
        <v>7.6394294504330456E-4</v>
      </c>
      <c r="BU528" s="164">
        <f>IF(AND($C527=12,$D527=Input!$C$6),0,IF($E528="","",BK528+(BL528+BU529)/(1+$AK528)*MIN((1-T528-U528),1)))</f>
        <v>69385.010241921031</v>
      </c>
      <c r="BV528" s="164">
        <f t="shared" si="350"/>
        <v>53.006189066072999</v>
      </c>
      <c r="BW528" s="164">
        <f t="shared" si="351"/>
        <v>1480.7600874905884</v>
      </c>
      <c r="BX528" s="164">
        <f t="shared" si="352"/>
        <v>1.1312162221401414</v>
      </c>
    </row>
    <row r="529" spans="1:76" s="150" customFormat="1" x14ac:dyDescent="0.25">
      <c r="A529" s="150">
        <f t="shared" si="363"/>
        <v>525</v>
      </c>
      <c r="B529" s="150">
        <f t="shared" si="364"/>
        <v>44</v>
      </c>
      <c r="C529" s="150">
        <f t="shared" si="365"/>
        <v>9</v>
      </c>
      <c r="D529" s="150">
        <f>IF(E529="","",Input!$C$4+B529-1)</f>
        <v>88</v>
      </c>
      <c r="E529" s="150">
        <f>IF(OR(AND(C528=12,D528=Input!$C$6),E528=""),"",1)</f>
        <v>1</v>
      </c>
      <c r="F529" s="150">
        <f>IF(E529="","",Input!$C$8+B529-1)</f>
        <v>2061</v>
      </c>
      <c r="G529" s="151">
        <f>IF(E529="","",MAX(0,Input!$C$9-B529))</f>
        <v>0</v>
      </c>
      <c r="H529" s="152">
        <f>IF(E529="","",Input!$C$3)</f>
        <v>100000</v>
      </c>
      <c r="I529" s="153">
        <f>IF(E529="","",HLOOKUP($B529,Input!$C$13:$BT$14,2))</f>
        <v>301.10500000000002</v>
      </c>
      <c r="J529" s="154"/>
      <c r="K529" s="155">
        <f>IF($E529="","",INDEX(Input!$C$16:$CP$16,1,$B529))</f>
        <v>3.1789999999999999E-2</v>
      </c>
      <c r="L529" s="155">
        <f>IF($E529="","",Input!$C$37)</f>
        <v>1.4999999999999999E-2</v>
      </c>
      <c r="M529" s="155">
        <f t="shared" si="328"/>
        <v>4.6789999999999998E-2</v>
      </c>
      <c r="N529" s="155">
        <f t="shared" si="329"/>
        <v>3.8179648214271555E-3</v>
      </c>
      <c r="O529" s="147">
        <f>IF($E529="","",MIN(VLOOKUP(IF($B529&lt;=Input!$C$7,$B529,26),'Mortality Tables'!$A$41:$CW$67,IF($B529&lt;=Input!$C$7+1,Input!$C$4+2,$D529-Input!$C$7+2),0)*IF(B529&gt;20,Input!$C$22,1)/1000,1))</f>
        <v>0.3389100000000001</v>
      </c>
      <c r="P529" s="147">
        <f>IF($E529="","",MIN(VLOOKUP(IF($B529&lt;=Input!$C$7,$B529,26),'Mortality Tables'!$A$12:$CW$37,IF($B529&lt;=Input!$C$7+1,Input!$C$4+2,$D529-Input!$C$7+2),0)*IF(B529&gt;20,Input!$C$22,1)/1000,1))</f>
        <v>0.42363750000000006</v>
      </c>
      <c r="Q529" s="155">
        <f>IF($E529="","",Input!$C$21)</f>
        <v>5.0000000000000001E-3</v>
      </c>
      <c r="R529" s="159">
        <f>IF($E529="","",(1-Q529)^($F529-Input!$C$20))</f>
        <v>0.80610659092639603</v>
      </c>
      <c r="S529" s="147">
        <f t="shared" si="331"/>
        <v>0.27319758473086497</v>
      </c>
      <c r="T529" s="147">
        <f t="shared" si="332"/>
        <v>2.6241271732014737E-2</v>
      </c>
      <c r="U529" s="160">
        <f>IF($E529="","",IF($C529=12,INDEX(Input!$C$15:$CP$15,1,$B529),0))</f>
        <v>0</v>
      </c>
      <c r="V529" s="150">
        <f>IF(E529="","",IF(C529=1,IF($B529=1,Input!$C$33,Input!$C$34),0))</f>
        <v>0</v>
      </c>
      <c r="W529" s="156">
        <f>IF($E529="","",Input!$C$35)</f>
        <v>0.02</v>
      </c>
      <c r="X529" s="156">
        <f t="shared" si="330"/>
        <v>2.343189355345392</v>
      </c>
      <c r="Y529" s="154"/>
      <c r="Z529" s="147">
        <f>IF($E529="","",VLOOKUP($D529,'Mortality Margins &amp; Grading'!$AB$5:$AF$125,3,0)*IF(Summary!$D$25="Included Margin",IF(AND($B529&gt;Input!$C$9,Summary!$D$31&lt;&gt;"Included Margin"),0,1),0))</f>
        <v>2.1999999999999999E-2</v>
      </c>
      <c r="AA529" s="147">
        <f>IF($E529="","",VLOOKUP($D529,'Mortality Margins &amp; Grading'!$AB$5:$AF$125,5,0)*IF(Summary!$D$25="Included Margin",IF(AND($B529&gt;Input!$C$9,Summary!$D$31&lt;&gt;"Included Margin"),0,1),0))</f>
        <v>0.113</v>
      </c>
      <c r="AB529" s="147">
        <f>IF($E529="","",IF(AND($B529&gt;Input!$C$9,Summary!$D$31&lt;&gt;"Included Margin"),1,IF(Summary!$D$25="Included Margin",VLOOKUP($B529,'Mortality Margins &amp; Grading'!$AI$5:$AR$125,MATCH('Mortality Margins &amp; Grading'!$AQ$4,'Mortality Margins &amp; Grading'!$AI$4:$AR$4,0),0),1)))</f>
        <v>6.25E-2</v>
      </c>
      <c r="AC529" s="154"/>
      <c r="AD529" s="158">
        <f>IF(E529="","",Input!$C$48*IF(Summary!$D$30="Included Margin",IF(AND($B529&gt;Input!$C$9,Summary!$D$31&lt;&gt;"Included Margin"),0,1),0))</f>
        <v>-4.4999999999999997E-3</v>
      </c>
      <c r="AE529" s="159">
        <f>IF(E529="","",IF(Summary!$D$26="Included Margin",IF(AND($B529&gt;Input!$C$9,Summary!$D$31&lt;&gt;"Included Margin"),1,1/$R529),1))</f>
        <v>1.2405307328535513</v>
      </c>
      <c r="AF529" s="160">
        <f>IF(E529="","",IF(AND($B529&gt;=Input!$C$9,$C529=12,Summary!$D$31="Included Margin",$U529&gt;0),1/U529-1,IF($B529&gt;=Input!$C$9,0,Input!$C$45*IF(Summary!$D$27="Included Margin",1,0))))</f>
        <v>0</v>
      </c>
      <c r="AG529" s="160">
        <f>IF(E529="","",Input!$C$46*IF(Summary!$D$28="Included Margin",IF(AND($B529&gt;Input!$C$9,Summary!$D$31&lt;&gt;"Included Margin"),0,1),0))</f>
        <v>0.02</v>
      </c>
      <c r="AH529" s="158">
        <f>IF(E529="","",Input!$C$47*IF(Summary!$D$29="Included Margin",IF(AND($B529&gt;Input!$C$9,Summary!$D$31&lt;&gt;"Included Margin"),0,1),0))</f>
        <v>2.5000000000000001E-3</v>
      </c>
      <c r="AI529" s="154"/>
      <c r="AJ529" s="158">
        <f t="shared" si="353"/>
        <v>4.2290000000000001E-2</v>
      </c>
      <c r="AK529" s="155">
        <f t="shared" si="354"/>
        <v>3.4576485524737688E-3</v>
      </c>
      <c r="AL529" s="147">
        <f t="shared" si="355"/>
        <v>0.46368713015625007</v>
      </c>
      <c r="AM529" s="147">
        <f t="shared" si="333"/>
        <v>5.0594992015012608E-2</v>
      </c>
      <c r="AN529" s="160">
        <f t="shared" si="356"/>
        <v>0</v>
      </c>
      <c r="AO529" s="161">
        <f t="shared" si="357"/>
        <v>0</v>
      </c>
      <c r="AP529" s="156">
        <f t="shared" si="334"/>
        <v>2.6032904021531533</v>
      </c>
      <c r="AQ529" s="152"/>
      <c r="AR529" s="162">
        <f t="shared" si="335"/>
        <v>18628.541790898526</v>
      </c>
      <c r="AS529" s="150">
        <f t="shared" si="358"/>
        <v>0</v>
      </c>
      <c r="AT529" s="163">
        <f t="shared" si="336"/>
        <v>0</v>
      </c>
      <c r="AU529" s="163">
        <f t="shared" si="337"/>
        <v>5059.4992015012604</v>
      </c>
      <c r="AV529" s="163">
        <f t="shared" si="359"/>
        <v>55.663965512840882</v>
      </c>
      <c r="AW529" s="163">
        <f t="shared" si="338"/>
        <v>726.07862538313532</v>
      </c>
      <c r="AX529" s="163">
        <f t="shared" si="339"/>
        <v>0</v>
      </c>
      <c r="AY529" s="164">
        <f t="shared" si="360"/>
        <v>14350.78518029324</v>
      </c>
      <c r="AZ529" s="164">
        <f>IF($E529="","",IF(OR(AND($D529=Input!$C$6,$C529=12),$AN529=1),0,-AS530+AT530+AU530-AV530-AW530-AX530+AZ530))</f>
        <v>14350.800276195168</v>
      </c>
      <c r="BA529" s="154">
        <f t="shared" si="340"/>
        <v>1.5095901928361855E-2</v>
      </c>
      <c r="BC529" s="147">
        <f t="shared" si="361"/>
        <v>7.4389611063466763E-4</v>
      </c>
      <c r="BD529" s="164">
        <f>IF(AND($C528=12,$D528=Input!$C$6),0,IF($E529="","",AT529+(AU529+BD530)/(1+$AK529)*MIN((1-AM529-AN529),1)))</f>
        <v>11467.305006469904</v>
      </c>
      <c r="BE529" s="164">
        <f t="shared" si="341"/>
        <v>8.530483593774413</v>
      </c>
      <c r="BF529" s="164">
        <f t="shared" si="362"/>
        <v>14350.800276195168</v>
      </c>
      <c r="BG529" s="164">
        <f t="shared" si="342"/>
        <v>10.6755045099565</v>
      </c>
      <c r="BH529" s="152"/>
      <c r="BI529" s="162">
        <f t="shared" si="343"/>
        <v>1480.7505428306022</v>
      </c>
      <c r="BJ529" s="150">
        <f t="shared" si="344"/>
        <v>0</v>
      </c>
      <c r="BK529" s="163">
        <f t="shared" si="366"/>
        <v>0</v>
      </c>
      <c r="BL529" s="163">
        <f t="shared" si="345"/>
        <v>2624.1271732014739</v>
      </c>
      <c r="BM529" s="163">
        <f t="shared" si="367"/>
        <v>0.64404086471924782</v>
      </c>
      <c r="BN529" s="163">
        <f t="shared" si="346"/>
        <v>-30.794595276778892</v>
      </c>
      <c r="BO529" s="163">
        <f t="shared" si="347"/>
        <v>0</v>
      </c>
      <c r="BP529" s="164">
        <f t="shared" si="368"/>
        <v>-1173.5271847829313</v>
      </c>
      <c r="BQ529" s="164">
        <f>IF($E529="","",IF(AND($D529=Input!$C$6,$C529=12),0,-BJ530+BK530+BL530-BM530-BN530-BO530+BQ530))</f>
        <v>-1173.5176401229455</v>
      </c>
      <c r="BR529" s="161">
        <f t="shared" si="348"/>
        <v>0</v>
      </c>
      <c r="BT529" s="147">
        <f t="shared" si="349"/>
        <v>7.4389611063466763E-4</v>
      </c>
      <c r="BU529" s="164">
        <f>IF(AND($C528=12,$D528=Input!$C$6),0,IF($E529="","",BK529+(BL529+BU530)/(1+$AK529)*MIN((1-T529-U529),1)))</f>
        <v>68877.074511520288</v>
      </c>
      <c r="BV529" s="164">
        <f t="shared" si="350"/>
        <v>51.23738784101414</v>
      </c>
      <c r="BW529" s="164">
        <f t="shared" si="351"/>
        <v>-1173.5176401229455</v>
      </c>
      <c r="BX529" s="164">
        <f t="shared" si="352"/>
        <v>-0.87297520824863273</v>
      </c>
    </row>
    <row r="530" spans="1:76" s="150" customFormat="1" x14ac:dyDescent="0.25">
      <c r="A530" s="150">
        <f t="shared" si="363"/>
        <v>526</v>
      </c>
      <c r="B530" s="150">
        <f t="shared" si="364"/>
        <v>44</v>
      </c>
      <c r="C530" s="150">
        <f t="shared" si="365"/>
        <v>10</v>
      </c>
      <c r="D530" s="150">
        <f>IF(E530="","",Input!$C$4+B530-1)</f>
        <v>88</v>
      </c>
      <c r="E530" s="150">
        <f>IF(OR(AND(C529=12,D529=Input!$C$6),E529=""),"",1)</f>
        <v>1</v>
      </c>
      <c r="F530" s="150">
        <f>IF(E530="","",Input!$C$8+B530-1)</f>
        <v>2061</v>
      </c>
      <c r="G530" s="151">
        <f>IF(E530="","",MAX(0,Input!$C$9-B530))</f>
        <v>0</v>
      </c>
      <c r="H530" s="152">
        <f>IF(E530="","",Input!$C$3)</f>
        <v>100000</v>
      </c>
      <c r="I530" s="153">
        <f>IF(E530="","",HLOOKUP($B530,Input!$C$13:$BT$14,2))</f>
        <v>301.10500000000002</v>
      </c>
      <c r="J530" s="154"/>
      <c r="K530" s="155">
        <f>IF($E530="","",INDEX(Input!$C$16:$CP$16,1,$B530))</f>
        <v>3.1789999999999999E-2</v>
      </c>
      <c r="L530" s="155">
        <f>IF($E530="","",Input!$C$37)</f>
        <v>1.4999999999999999E-2</v>
      </c>
      <c r="M530" s="155">
        <f t="shared" si="328"/>
        <v>4.6789999999999998E-2</v>
      </c>
      <c r="N530" s="155">
        <f t="shared" si="329"/>
        <v>3.8179648214271555E-3</v>
      </c>
      <c r="O530" s="147">
        <f>IF($E530="","",MIN(VLOOKUP(IF($B530&lt;=Input!$C$7,$B530,26),'Mortality Tables'!$A$41:$CW$67,IF($B530&lt;=Input!$C$7+1,Input!$C$4+2,$D530-Input!$C$7+2),0)*IF(B530&gt;20,Input!$C$22,1)/1000,1))</f>
        <v>0.3389100000000001</v>
      </c>
      <c r="P530" s="147">
        <f>IF($E530="","",MIN(VLOOKUP(IF($B530&lt;=Input!$C$7,$B530,26),'Mortality Tables'!$A$12:$CW$37,IF($B530&lt;=Input!$C$7+1,Input!$C$4+2,$D530-Input!$C$7+2),0)*IF(B530&gt;20,Input!$C$22,1)/1000,1))</f>
        <v>0.42363750000000006</v>
      </c>
      <c r="Q530" s="155">
        <f>IF($E530="","",Input!$C$21)</f>
        <v>5.0000000000000001E-3</v>
      </c>
      <c r="R530" s="159">
        <f>IF($E530="","",(1-Q530)^($F530-Input!$C$20))</f>
        <v>0.80610659092639603</v>
      </c>
      <c r="S530" s="147">
        <f t="shared" si="331"/>
        <v>0.27319758473086497</v>
      </c>
      <c r="T530" s="147">
        <f t="shared" si="332"/>
        <v>2.6241271732014737E-2</v>
      </c>
      <c r="U530" s="160">
        <f>IF($E530="","",IF($C530=12,INDEX(Input!$C$15:$CP$15,1,$B530),0))</f>
        <v>0</v>
      </c>
      <c r="V530" s="150">
        <f>IF(E530="","",IF(C530=1,IF($B530=1,Input!$C$33,Input!$C$34),0))</f>
        <v>0</v>
      </c>
      <c r="W530" s="156">
        <f>IF($E530="","",Input!$C$35)</f>
        <v>0.02</v>
      </c>
      <c r="X530" s="156">
        <f t="shared" si="330"/>
        <v>2.343189355345392</v>
      </c>
      <c r="Y530" s="154"/>
      <c r="Z530" s="147">
        <f>IF($E530="","",VLOOKUP($D530,'Mortality Margins &amp; Grading'!$AB$5:$AF$125,3,0)*IF(Summary!$D$25="Included Margin",IF(AND($B530&gt;Input!$C$9,Summary!$D$31&lt;&gt;"Included Margin"),0,1),0))</f>
        <v>2.1999999999999999E-2</v>
      </c>
      <c r="AA530" s="147">
        <f>IF($E530="","",VLOOKUP($D530,'Mortality Margins &amp; Grading'!$AB$5:$AF$125,5,0)*IF(Summary!$D$25="Included Margin",IF(AND($B530&gt;Input!$C$9,Summary!$D$31&lt;&gt;"Included Margin"),0,1),0))</f>
        <v>0.113</v>
      </c>
      <c r="AB530" s="147">
        <f>IF($E530="","",IF(AND($B530&gt;Input!$C$9,Summary!$D$31&lt;&gt;"Included Margin"),1,IF(Summary!$D$25="Included Margin",VLOOKUP($B530,'Mortality Margins &amp; Grading'!$AI$5:$AR$125,MATCH('Mortality Margins &amp; Grading'!$AQ$4,'Mortality Margins &amp; Grading'!$AI$4:$AR$4,0),0),1)))</f>
        <v>6.25E-2</v>
      </c>
      <c r="AC530" s="154"/>
      <c r="AD530" s="158">
        <f>IF(E530="","",Input!$C$48*IF(Summary!$D$30="Included Margin",IF(AND($B530&gt;Input!$C$9,Summary!$D$31&lt;&gt;"Included Margin"),0,1),0))</f>
        <v>-4.4999999999999997E-3</v>
      </c>
      <c r="AE530" s="159">
        <f>IF(E530="","",IF(Summary!$D$26="Included Margin",IF(AND($B530&gt;Input!$C$9,Summary!$D$31&lt;&gt;"Included Margin"),1,1/$R530),1))</f>
        <v>1.2405307328535513</v>
      </c>
      <c r="AF530" s="160">
        <f>IF(E530="","",IF(AND($B530&gt;=Input!$C$9,$C530=12,Summary!$D$31="Included Margin",$U530&gt;0),1/U530-1,IF($B530&gt;=Input!$C$9,0,Input!$C$45*IF(Summary!$D$27="Included Margin",1,0))))</f>
        <v>0</v>
      </c>
      <c r="AG530" s="160">
        <f>IF(E530="","",Input!$C$46*IF(Summary!$D$28="Included Margin",IF(AND($B530&gt;Input!$C$9,Summary!$D$31&lt;&gt;"Included Margin"),0,1),0))</f>
        <v>0.02</v>
      </c>
      <c r="AH530" s="158">
        <f>IF(E530="","",Input!$C$47*IF(Summary!$D$29="Included Margin",IF(AND($B530&gt;Input!$C$9,Summary!$D$31&lt;&gt;"Included Margin"),0,1),0))</f>
        <v>2.5000000000000001E-3</v>
      </c>
      <c r="AI530" s="154"/>
      <c r="AJ530" s="158">
        <f t="shared" si="353"/>
        <v>4.2290000000000001E-2</v>
      </c>
      <c r="AK530" s="155">
        <f t="shared" si="354"/>
        <v>3.4576485524737688E-3</v>
      </c>
      <c r="AL530" s="147">
        <f t="shared" si="355"/>
        <v>0.46368713015625007</v>
      </c>
      <c r="AM530" s="147">
        <f t="shared" si="333"/>
        <v>5.0594992015012608E-2</v>
      </c>
      <c r="AN530" s="160">
        <f t="shared" si="356"/>
        <v>0</v>
      </c>
      <c r="AO530" s="161">
        <f t="shared" si="357"/>
        <v>0</v>
      </c>
      <c r="AP530" s="156">
        <f t="shared" si="334"/>
        <v>2.6032904021531533</v>
      </c>
      <c r="AQ530" s="152"/>
      <c r="AR530" s="162">
        <f t="shared" si="335"/>
        <v>14350.78518029324</v>
      </c>
      <c r="AS530" s="150">
        <f t="shared" si="358"/>
        <v>0</v>
      </c>
      <c r="AT530" s="163">
        <f t="shared" si="336"/>
        <v>0</v>
      </c>
      <c r="AU530" s="163">
        <f t="shared" si="337"/>
        <v>5059.4992015012604</v>
      </c>
      <c r="AV530" s="163">
        <f t="shared" si="359"/>
        <v>40.872986560346419</v>
      </c>
      <c r="AW530" s="163">
        <f t="shared" si="338"/>
        <v>497.32334266276894</v>
      </c>
      <c r="AX530" s="163">
        <f t="shared" si="339"/>
        <v>0</v>
      </c>
      <c r="AY530" s="165">
        <f t="shared" si="360"/>
        <v>9829.4823080150964</v>
      </c>
      <c r="AZ530" s="164">
        <f>IF($E530="","",IF(OR(AND($D530=Input!$C$6,$C530=12),$AN530=1),0,-AS531+AT531+AU531-AV531-AW531-AX531+AZ531))</f>
        <v>9829.4974039170229</v>
      </c>
      <c r="BA530" s="154">
        <f t="shared" si="340"/>
        <v>1.5095901926542865E-2</v>
      </c>
      <c r="BC530" s="147">
        <f t="shared" si="361"/>
        <v>7.2437533065511438E-4</v>
      </c>
      <c r="BD530" s="164">
        <f>IF(AND($C529=12,$D529=Input!$C$6),0,IF($E530="","",AT530+(AU530+BD531)/(1+$AK530)*MIN((1-AM530-AN530),1)))</f>
        <v>7060.675876833965</v>
      </c>
      <c r="BE530" s="164">
        <f t="shared" si="341"/>
        <v>5.1145794229301931</v>
      </c>
      <c r="BF530" s="164">
        <f t="shared" si="362"/>
        <v>9829.4974039170229</v>
      </c>
      <c r="BG530" s="164">
        <f t="shared" si="342"/>
        <v>7.1202454321359818</v>
      </c>
      <c r="BH530" s="152"/>
      <c r="BI530" s="162">
        <f t="shared" si="343"/>
        <v>-1173.5271847829313</v>
      </c>
      <c r="BJ530" s="150">
        <f t="shared" si="344"/>
        <v>0</v>
      </c>
      <c r="BK530" s="163">
        <f t="shared" si="366"/>
        <v>0</v>
      </c>
      <c r="BL530" s="163">
        <f t="shared" si="345"/>
        <v>2624.1271732014739</v>
      </c>
      <c r="BM530" s="163">
        <f t="shared" si="367"/>
        <v>-9.4898981256068318</v>
      </c>
      <c r="BN530" s="163">
        <f t="shared" si="346"/>
        <v>-102.59631424433441</v>
      </c>
      <c r="BO530" s="163">
        <f t="shared" si="347"/>
        <v>0</v>
      </c>
      <c r="BP530" s="164">
        <f t="shared" si="368"/>
        <v>-3909.7405703543463</v>
      </c>
      <c r="BQ530" s="164">
        <f>IF($E530="","",IF(AND($D530=Input!$C$6,$C530=12),0,-BJ531+BK531+BL531-BM531-BN531-BO531+BQ531))</f>
        <v>-3909.7310256943606</v>
      </c>
      <c r="BR530" s="161">
        <f t="shared" si="348"/>
        <v>0</v>
      </c>
      <c r="BT530" s="147">
        <f t="shared" si="349"/>
        <v>7.2437533065511438E-4</v>
      </c>
      <c r="BU530" s="164">
        <f>IF(AND($C529=12,$D529=Input!$C$6),0,IF($E530="","",BK530+(BL530+BU531)/(1+$AK530)*MIN((1-T530-U530),1)))</f>
        <v>68353.647117395361</v>
      </c>
      <c r="BV530" s="164">
        <f t="shared" si="350"/>
        <v>49.513695732146267</v>
      </c>
      <c r="BW530" s="164">
        <f t="shared" si="351"/>
        <v>-3909.7310256943606</v>
      </c>
      <c r="BX530" s="164">
        <f t="shared" si="352"/>
        <v>-2.8321127045099121</v>
      </c>
    </row>
    <row r="531" spans="1:76" s="150" customFormat="1" x14ac:dyDescent="0.25">
      <c r="A531" s="150">
        <f t="shared" si="363"/>
        <v>527</v>
      </c>
      <c r="B531" s="150">
        <f t="shared" si="364"/>
        <v>44</v>
      </c>
      <c r="C531" s="150">
        <f t="shared" si="365"/>
        <v>11</v>
      </c>
      <c r="D531" s="150">
        <f>IF(E531="","",Input!$C$4+B531-1)</f>
        <v>88</v>
      </c>
      <c r="E531" s="150">
        <f>IF(OR(AND(C530=12,D530=Input!$C$6),E530=""),"",1)</f>
        <v>1</v>
      </c>
      <c r="F531" s="150">
        <f>IF(E531="","",Input!$C$8+B531-1)</f>
        <v>2061</v>
      </c>
      <c r="G531" s="151">
        <f>IF(E531="","",MAX(0,Input!$C$9-B531))</f>
        <v>0</v>
      </c>
      <c r="H531" s="152">
        <f>IF(E531="","",Input!$C$3)</f>
        <v>100000</v>
      </c>
      <c r="I531" s="153">
        <f>IF(E531="","",HLOOKUP($B531,Input!$C$13:$BT$14,2))</f>
        <v>301.10500000000002</v>
      </c>
      <c r="J531" s="154"/>
      <c r="K531" s="155">
        <f>IF($E531="","",INDEX(Input!$C$16:$CP$16,1,$B531))</f>
        <v>3.1789999999999999E-2</v>
      </c>
      <c r="L531" s="155">
        <f>IF($E531="","",Input!$C$37)</f>
        <v>1.4999999999999999E-2</v>
      </c>
      <c r="M531" s="155">
        <f t="shared" si="328"/>
        <v>4.6789999999999998E-2</v>
      </c>
      <c r="N531" s="155">
        <f t="shared" si="329"/>
        <v>3.8179648214271555E-3</v>
      </c>
      <c r="O531" s="147">
        <f>IF($E531="","",MIN(VLOOKUP(IF($B531&lt;=Input!$C$7,$B531,26),'Mortality Tables'!$A$41:$CW$67,IF($B531&lt;=Input!$C$7+1,Input!$C$4+2,$D531-Input!$C$7+2),0)*IF(B531&gt;20,Input!$C$22,1)/1000,1))</f>
        <v>0.3389100000000001</v>
      </c>
      <c r="P531" s="147">
        <f>IF($E531="","",MIN(VLOOKUP(IF($B531&lt;=Input!$C$7,$B531,26),'Mortality Tables'!$A$12:$CW$37,IF($B531&lt;=Input!$C$7+1,Input!$C$4+2,$D531-Input!$C$7+2),0)*IF(B531&gt;20,Input!$C$22,1)/1000,1))</f>
        <v>0.42363750000000006</v>
      </c>
      <c r="Q531" s="155">
        <f>IF($E531="","",Input!$C$21)</f>
        <v>5.0000000000000001E-3</v>
      </c>
      <c r="R531" s="159">
        <f>IF($E531="","",(1-Q531)^($F531-Input!$C$20))</f>
        <v>0.80610659092639603</v>
      </c>
      <c r="S531" s="147">
        <f t="shared" si="331"/>
        <v>0.27319758473086497</v>
      </c>
      <c r="T531" s="147">
        <f t="shared" si="332"/>
        <v>2.6241271732014737E-2</v>
      </c>
      <c r="U531" s="160">
        <f>IF($E531="","",IF($C531=12,INDEX(Input!$C$15:$CP$15,1,$B531),0))</f>
        <v>0</v>
      </c>
      <c r="V531" s="150">
        <f>IF(E531="","",IF(C531=1,IF($B531=1,Input!$C$33,Input!$C$34),0))</f>
        <v>0</v>
      </c>
      <c r="W531" s="156">
        <f>IF($E531="","",Input!$C$35)</f>
        <v>0.02</v>
      </c>
      <c r="X531" s="156">
        <f t="shared" si="330"/>
        <v>2.343189355345392</v>
      </c>
      <c r="Y531" s="154"/>
      <c r="Z531" s="147">
        <f>IF($E531="","",VLOOKUP($D531,'Mortality Margins &amp; Grading'!$AB$5:$AF$125,3,0)*IF(Summary!$D$25="Included Margin",IF(AND($B531&gt;Input!$C$9,Summary!$D$31&lt;&gt;"Included Margin"),0,1),0))</f>
        <v>2.1999999999999999E-2</v>
      </c>
      <c r="AA531" s="147">
        <f>IF($E531="","",VLOOKUP($D531,'Mortality Margins &amp; Grading'!$AB$5:$AF$125,5,0)*IF(Summary!$D$25="Included Margin",IF(AND($B531&gt;Input!$C$9,Summary!$D$31&lt;&gt;"Included Margin"),0,1),0))</f>
        <v>0.113</v>
      </c>
      <c r="AB531" s="147">
        <f>IF($E531="","",IF(AND($B531&gt;Input!$C$9,Summary!$D$31&lt;&gt;"Included Margin"),1,IF(Summary!$D$25="Included Margin",VLOOKUP($B531,'Mortality Margins &amp; Grading'!$AI$5:$AR$125,MATCH('Mortality Margins &amp; Grading'!$AQ$4,'Mortality Margins &amp; Grading'!$AI$4:$AR$4,0),0),1)))</f>
        <v>6.25E-2</v>
      </c>
      <c r="AC531" s="154"/>
      <c r="AD531" s="158">
        <f>IF(E531="","",Input!$C$48*IF(Summary!$D$30="Included Margin",IF(AND($B531&gt;Input!$C$9,Summary!$D$31&lt;&gt;"Included Margin"),0,1),0))</f>
        <v>-4.4999999999999997E-3</v>
      </c>
      <c r="AE531" s="159">
        <f>IF(E531="","",IF(Summary!$D$26="Included Margin",IF(AND($B531&gt;Input!$C$9,Summary!$D$31&lt;&gt;"Included Margin"),1,1/$R531),1))</f>
        <v>1.2405307328535513</v>
      </c>
      <c r="AF531" s="160">
        <f>IF(E531="","",IF(AND($B531&gt;=Input!$C$9,$C531=12,Summary!$D$31="Included Margin",$U531&gt;0),1/U531-1,IF($B531&gt;=Input!$C$9,0,Input!$C$45*IF(Summary!$D$27="Included Margin",1,0))))</f>
        <v>0</v>
      </c>
      <c r="AG531" s="160">
        <f>IF(E531="","",Input!$C$46*IF(Summary!$D$28="Included Margin",IF(AND($B531&gt;Input!$C$9,Summary!$D$31&lt;&gt;"Included Margin"),0,1),0))</f>
        <v>0.02</v>
      </c>
      <c r="AH531" s="158">
        <f>IF(E531="","",Input!$C$47*IF(Summary!$D$29="Included Margin",IF(AND($B531&gt;Input!$C$9,Summary!$D$31&lt;&gt;"Included Margin"),0,1),0))</f>
        <v>2.5000000000000001E-3</v>
      </c>
      <c r="AI531" s="154"/>
      <c r="AJ531" s="158">
        <f t="shared" si="353"/>
        <v>4.2290000000000001E-2</v>
      </c>
      <c r="AK531" s="155">
        <f t="shared" si="354"/>
        <v>3.4576485524737688E-3</v>
      </c>
      <c r="AL531" s="147">
        <f t="shared" si="355"/>
        <v>0.46368713015625007</v>
      </c>
      <c r="AM531" s="147">
        <f t="shared" si="333"/>
        <v>5.0594992015012608E-2</v>
      </c>
      <c r="AN531" s="160">
        <f t="shared" si="356"/>
        <v>0</v>
      </c>
      <c r="AO531" s="161">
        <f t="shared" si="357"/>
        <v>0</v>
      </c>
      <c r="AP531" s="156">
        <f t="shared" si="334"/>
        <v>2.6032904021531533</v>
      </c>
      <c r="AQ531" s="152"/>
      <c r="AR531" s="162">
        <f t="shared" si="335"/>
        <v>9829.4823080150945</v>
      </c>
      <c r="AS531" s="150">
        <f t="shared" si="358"/>
        <v>0</v>
      </c>
      <c r="AT531" s="163">
        <f t="shared" si="336"/>
        <v>0</v>
      </c>
      <c r="AU531" s="163">
        <f t="shared" si="337"/>
        <v>5059.4992015012604</v>
      </c>
      <c r="AV531" s="163">
        <f t="shared" si="359"/>
        <v>25.239910228718401</v>
      </c>
      <c r="AW531" s="163">
        <f t="shared" si="338"/>
        <v>255.54429561547883</v>
      </c>
      <c r="AX531" s="163">
        <f t="shared" si="339"/>
        <v>0</v>
      </c>
      <c r="AY531" s="164">
        <f t="shared" si="360"/>
        <v>5050.7673123580307</v>
      </c>
      <c r="AZ531" s="164">
        <f>IF($E531="","",IF(OR(AND($D531=Input!$C$6,$C531=12),$AN531=1),0,-AS532+AT532+AU532-AV532-AW532-AX532+AZ532))</f>
        <v>5050.78240825996</v>
      </c>
      <c r="BA531" s="154">
        <f t="shared" si="340"/>
        <v>1.5095901929271349E-2</v>
      </c>
      <c r="BC531" s="147">
        <f t="shared" si="361"/>
        <v>7.0536680076742548E-4</v>
      </c>
      <c r="BD531" s="164">
        <f>IF(AND($C530=12,$D530=Input!$C$6),0,IF($E531="","",AT531+(AU531+BD532)/(1+$AK531)*MIN((1-AM531-AN531),1)))</f>
        <v>2403.1633639683982</v>
      </c>
      <c r="BE531" s="164">
        <f t="shared" si="341"/>
        <v>1.6951116537638731</v>
      </c>
      <c r="BF531" s="164">
        <f t="shared" si="362"/>
        <v>5050.78240825996</v>
      </c>
      <c r="BG531" s="164">
        <f t="shared" si="342"/>
        <v>3.5626542286867209</v>
      </c>
      <c r="BH531" s="152"/>
      <c r="BI531" s="162">
        <f t="shared" si="343"/>
        <v>-3909.7405703543463</v>
      </c>
      <c r="BJ531" s="150">
        <f t="shared" si="344"/>
        <v>0</v>
      </c>
      <c r="BK531" s="163">
        <f t="shared" si="366"/>
        <v>0</v>
      </c>
      <c r="BL531" s="163">
        <f t="shared" si="345"/>
        <v>2624.1271732014739</v>
      </c>
      <c r="BM531" s="163">
        <f t="shared" si="367"/>
        <v>-19.936664575636591</v>
      </c>
      <c r="BN531" s="163">
        <f t="shared" si="346"/>
        <v>-176.61450100081385</v>
      </c>
      <c r="BO531" s="163">
        <f t="shared" si="347"/>
        <v>0</v>
      </c>
      <c r="BP531" s="164">
        <f t="shared" si="368"/>
        <v>-6730.4189091322705</v>
      </c>
      <c r="BQ531" s="164">
        <f>IF($E531="","",IF(AND($D531=Input!$C$6,$C531=12),0,-BJ532+BK532+BL532-BM532-BN532-BO532+BQ532))</f>
        <v>-6730.4093644722852</v>
      </c>
      <c r="BR531" s="161">
        <f t="shared" si="348"/>
        <v>0</v>
      </c>
      <c r="BT531" s="147">
        <f t="shared" si="349"/>
        <v>7.0536680076742548E-4</v>
      </c>
      <c r="BU531" s="164">
        <f>IF(AND($C530=12,$D530=Input!$C$6),0,IF($E531="","",BK531+(BL531+BU532)/(1+$AK531)*MIN((1-T531-U531),1)))</f>
        <v>67814.255575272007</v>
      </c>
      <c r="BV531" s="164">
        <f t="shared" si="350"/>
        <v>47.833924501554165</v>
      </c>
      <c r="BW531" s="164">
        <f t="shared" si="351"/>
        <v>-6730.4093644722852</v>
      </c>
      <c r="BX531" s="164">
        <f t="shared" si="352"/>
        <v>-4.7474073212729371</v>
      </c>
    </row>
    <row r="532" spans="1:76" s="150" customFormat="1" x14ac:dyDescent="0.25">
      <c r="A532" s="150">
        <f t="shared" si="363"/>
        <v>528</v>
      </c>
      <c r="B532" s="150">
        <f t="shared" si="364"/>
        <v>44</v>
      </c>
      <c r="C532" s="150">
        <f t="shared" si="365"/>
        <v>12</v>
      </c>
      <c r="D532" s="150">
        <f>IF(E532="","",Input!$C$4+B532-1)</f>
        <v>88</v>
      </c>
      <c r="E532" s="150">
        <f>IF(OR(AND(C531=12,D531=Input!$C$6),E531=""),"",1)</f>
        <v>1</v>
      </c>
      <c r="F532" s="150">
        <f>IF(E532="","",Input!$C$8+B532-1)</f>
        <v>2061</v>
      </c>
      <c r="G532" s="151">
        <f>IF(E532="","",MAX(0,Input!$C$9-B532))</f>
        <v>0</v>
      </c>
      <c r="H532" s="152">
        <f>IF(E532="","",Input!$C$3)</f>
        <v>100000</v>
      </c>
      <c r="I532" s="153">
        <f>IF(E532="","",HLOOKUP($B532,Input!$C$13:$BT$14,2))</f>
        <v>301.10500000000002</v>
      </c>
      <c r="J532" s="154"/>
      <c r="K532" s="155">
        <f>IF($E532="","",INDEX(Input!$C$16:$CP$16,1,$B532))</f>
        <v>3.1789999999999999E-2</v>
      </c>
      <c r="L532" s="155">
        <f>IF($E532="","",Input!$C$37)</f>
        <v>1.4999999999999999E-2</v>
      </c>
      <c r="M532" s="155">
        <f t="shared" si="328"/>
        <v>4.6789999999999998E-2</v>
      </c>
      <c r="N532" s="155">
        <f t="shared" si="329"/>
        <v>3.8179648214271555E-3</v>
      </c>
      <c r="O532" s="147">
        <f>IF($E532="","",MIN(VLOOKUP(IF($B532&lt;=Input!$C$7,$B532,26),'Mortality Tables'!$A$41:$CW$67,IF($B532&lt;=Input!$C$7+1,Input!$C$4+2,$D532-Input!$C$7+2),0)*IF(B532&gt;20,Input!$C$22,1)/1000,1))</f>
        <v>0.3389100000000001</v>
      </c>
      <c r="P532" s="147">
        <f>IF($E532="","",MIN(VLOOKUP(IF($B532&lt;=Input!$C$7,$B532,26),'Mortality Tables'!$A$12:$CW$37,IF($B532&lt;=Input!$C$7+1,Input!$C$4+2,$D532-Input!$C$7+2),0)*IF(B532&gt;20,Input!$C$22,1)/1000,1))</f>
        <v>0.42363750000000006</v>
      </c>
      <c r="Q532" s="155">
        <f>IF($E532="","",Input!$C$21)</f>
        <v>5.0000000000000001E-3</v>
      </c>
      <c r="R532" s="159">
        <f>IF($E532="","",(1-Q532)^($F532-Input!$C$20))</f>
        <v>0.80610659092639603</v>
      </c>
      <c r="S532" s="147">
        <f t="shared" si="331"/>
        <v>0.27319758473086497</v>
      </c>
      <c r="T532" s="147">
        <f t="shared" si="332"/>
        <v>2.6241271732014737E-2</v>
      </c>
      <c r="U532" s="160">
        <f>IF($E532="","",IF($C532=12,INDEX(Input!$C$15:$CP$15,1,$B532),0))</f>
        <v>0.1</v>
      </c>
      <c r="V532" s="150">
        <f>IF(E532="","",IF(C532=1,IF($B532=1,Input!$C$33,Input!$C$34),0))</f>
        <v>0</v>
      </c>
      <c r="W532" s="156">
        <f>IF($E532="","",Input!$C$35)</f>
        <v>0.02</v>
      </c>
      <c r="X532" s="156">
        <f t="shared" si="330"/>
        <v>2.343189355345392</v>
      </c>
      <c r="Y532" s="154"/>
      <c r="Z532" s="147">
        <f>IF($E532="","",VLOOKUP($D532,'Mortality Margins &amp; Grading'!$AB$5:$AF$125,3,0)*IF(Summary!$D$25="Included Margin",IF(AND($B532&gt;Input!$C$9,Summary!$D$31&lt;&gt;"Included Margin"),0,1),0))</f>
        <v>2.1999999999999999E-2</v>
      </c>
      <c r="AA532" s="147">
        <f>IF($E532="","",VLOOKUP($D532,'Mortality Margins &amp; Grading'!$AB$5:$AF$125,5,0)*IF(Summary!$D$25="Included Margin",IF(AND($B532&gt;Input!$C$9,Summary!$D$31&lt;&gt;"Included Margin"),0,1),0))</f>
        <v>0.113</v>
      </c>
      <c r="AB532" s="147">
        <f>IF($E532="","",IF(AND($B532&gt;Input!$C$9,Summary!$D$31&lt;&gt;"Included Margin"),1,IF(Summary!$D$25="Included Margin",VLOOKUP($B532,'Mortality Margins &amp; Grading'!$AI$5:$AR$125,MATCH('Mortality Margins &amp; Grading'!$AQ$4,'Mortality Margins &amp; Grading'!$AI$4:$AR$4,0),0),1)))</f>
        <v>6.25E-2</v>
      </c>
      <c r="AC532" s="154"/>
      <c r="AD532" s="158">
        <f>IF(E532="","",Input!$C$48*IF(Summary!$D$30="Included Margin",IF(AND($B532&gt;Input!$C$9,Summary!$D$31&lt;&gt;"Included Margin"),0,1),0))</f>
        <v>-4.4999999999999997E-3</v>
      </c>
      <c r="AE532" s="159">
        <f>IF(E532="","",IF(Summary!$D$26="Included Margin",IF(AND($B532&gt;Input!$C$9,Summary!$D$31&lt;&gt;"Included Margin"),1,1/$R532),1))</f>
        <v>1.2405307328535513</v>
      </c>
      <c r="AF532" s="160">
        <f>IF(E532="","",IF(AND($B532&gt;=Input!$C$9,$C532=12,Summary!$D$31="Included Margin",$U532&gt;0),1/U532-1,IF($B532&gt;=Input!$C$9,0,Input!$C$45*IF(Summary!$D$27="Included Margin",1,0))))</f>
        <v>9</v>
      </c>
      <c r="AG532" s="160">
        <f>IF(E532="","",Input!$C$46*IF(Summary!$D$28="Included Margin",IF(AND($B532&gt;Input!$C$9,Summary!$D$31&lt;&gt;"Included Margin"),0,1),0))</f>
        <v>0.02</v>
      </c>
      <c r="AH532" s="158">
        <f>IF(E532="","",Input!$C$47*IF(Summary!$D$29="Included Margin",IF(AND($B532&gt;Input!$C$9,Summary!$D$31&lt;&gt;"Included Margin"),0,1),0))</f>
        <v>2.5000000000000001E-3</v>
      </c>
      <c r="AI532" s="154"/>
      <c r="AJ532" s="158">
        <f t="shared" si="353"/>
        <v>4.2290000000000001E-2</v>
      </c>
      <c r="AK532" s="155">
        <f t="shared" si="354"/>
        <v>3.4576485524737688E-3</v>
      </c>
      <c r="AL532" s="147">
        <f t="shared" si="355"/>
        <v>0.46368713015625007</v>
      </c>
      <c r="AM532" s="147">
        <f t="shared" si="333"/>
        <v>5.0594992015012608E-2</v>
      </c>
      <c r="AN532" s="160">
        <f t="shared" si="356"/>
        <v>1</v>
      </c>
      <c r="AO532" s="161">
        <f t="shared" si="357"/>
        <v>0</v>
      </c>
      <c r="AP532" s="156">
        <f t="shared" si="334"/>
        <v>2.6032904021531533</v>
      </c>
      <c r="AQ532" s="152"/>
      <c r="AR532" s="162">
        <f t="shared" si="335"/>
        <v>5050.7673123580316</v>
      </c>
      <c r="AS532" s="150">
        <f t="shared" si="358"/>
        <v>0</v>
      </c>
      <c r="AT532" s="163">
        <f t="shared" si="336"/>
        <v>0</v>
      </c>
      <c r="AU532" s="163">
        <f t="shared" si="337"/>
        <v>5059.4992015012604</v>
      </c>
      <c r="AV532" s="163">
        <f t="shared" si="359"/>
        <v>8.7167932413000653</v>
      </c>
      <c r="AW532" s="163">
        <f t="shared" si="338"/>
        <v>0</v>
      </c>
      <c r="AX532" s="163">
        <f t="shared" si="339"/>
        <v>0</v>
      </c>
      <c r="AY532" s="165">
        <f t="shared" si="360"/>
        <v>-1.5095901928662059E-2</v>
      </c>
      <c r="AZ532" s="164">
        <f>IF($E532="","",IF(OR(AND($D532=Input!$C$6,$C532=12),$AN532=1),0,-AS533+AT533+AU533-AV533-AW533-AX533+AZ533))</f>
        <v>0</v>
      </c>
      <c r="BA532" s="154">
        <f t="shared" si="340"/>
        <v>1.5095901928662059E-2</v>
      </c>
      <c r="BC532" s="147">
        <f t="shared" si="361"/>
        <v>6.1632039880100303E-4</v>
      </c>
      <c r="BD532" s="164">
        <f>IF(AND($C531=12,$D531=Input!$C$6),0,IF($E532="","",AT532+(AU532+BD533)/(1+$AK532)*MIN((1-AM532-AN532),1)))</f>
        <v>-2519.5161194515044</v>
      </c>
      <c r="BE532" s="164">
        <f t="shared" si="341"/>
        <v>-1.5528291795259068</v>
      </c>
      <c r="BF532" s="164">
        <f t="shared" si="362"/>
        <v>0</v>
      </c>
      <c r="BG532" s="164">
        <f t="shared" si="342"/>
        <v>0</v>
      </c>
      <c r="BH532" s="152"/>
      <c r="BI532" s="162">
        <f t="shared" si="343"/>
        <v>-6730.4189091322714</v>
      </c>
      <c r="BJ532" s="150">
        <f t="shared" si="344"/>
        <v>0</v>
      </c>
      <c r="BK532" s="163">
        <f t="shared" si="366"/>
        <v>0</v>
      </c>
      <c r="BL532" s="163">
        <f t="shared" si="345"/>
        <v>2624.1271732014739</v>
      </c>
      <c r="BM532" s="163">
        <f t="shared" si="367"/>
        <v>-30.705915245652299</v>
      </c>
      <c r="BN532" s="163">
        <f t="shared" si="346"/>
        <v>-281.01952924891111</v>
      </c>
      <c r="BO532" s="163">
        <f t="shared" si="347"/>
        <v>-1042.8047169910458</v>
      </c>
      <c r="BP532" s="164">
        <f t="shared" si="368"/>
        <v>-10709.076243819356</v>
      </c>
      <c r="BQ532" s="164">
        <f>IF($E532="","",IF(AND($D532=Input!$C$6,$C532=12),0,-BJ533+BK533+BL533-BM533-BN533-BO533+BQ533))</f>
        <v>-10709.066699159368</v>
      </c>
      <c r="BR532" s="161">
        <f t="shared" si="348"/>
        <v>0</v>
      </c>
      <c r="BT532" s="147">
        <f t="shared" si="349"/>
        <v>6.1632039880100303E-4</v>
      </c>
      <c r="BU532" s="164">
        <f>IF(AND($C531=12,$D531=Input!$C$6),0,IF($E532="","",BK532+(BL532+BU533)/(1+$AK532)*MIN((1-T532-U532),1)))</f>
        <v>67258.412990455414</v>
      </c>
      <c r="BV532" s="164">
        <f t="shared" si="350"/>
        <v>41.452731917000044</v>
      </c>
      <c r="BW532" s="164">
        <f t="shared" si="351"/>
        <v>-10709.066699159368</v>
      </c>
      <c r="BX532" s="164">
        <f t="shared" si="352"/>
        <v>-6.6002162588124431</v>
      </c>
    </row>
    <row r="533" spans="1:76" s="150" customFormat="1" x14ac:dyDescent="0.25">
      <c r="A533" s="150">
        <f t="shared" si="363"/>
        <v>529</v>
      </c>
      <c r="B533" s="150">
        <f t="shared" si="364"/>
        <v>45</v>
      </c>
      <c r="C533" s="150">
        <f t="shared" si="365"/>
        <v>1</v>
      </c>
      <c r="D533" s="150">
        <f>IF(E533="","",Input!$C$4+B533-1)</f>
        <v>89</v>
      </c>
      <c r="E533" s="150">
        <f>IF(OR(AND(C532=12,D532=Input!$C$6),E532=""),"",1)</f>
        <v>1</v>
      </c>
      <c r="F533" s="150">
        <f>IF(E533="","",Input!$C$8+B533-1)</f>
        <v>2062</v>
      </c>
      <c r="G533" s="151">
        <f>IF(E533="","",MAX(0,Input!$C$9-B533))</f>
        <v>0</v>
      </c>
      <c r="H533" s="152">
        <f>IF(E533="","",Input!$C$3)</f>
        <v>100000</v>
      </c>
      <c r="I533" s="153">
        <f>IF(E533="","",HLOOKUP($B533,Input!$C$13:$BT$14,2))</f>
        <v>341.75050000000005</v>
      </c>
      <c r="J533" s="154"/>
      <c r="K533" s="155">
        <f>IF($E533="","",INDEX(Input!$C$16:$CP$16,1,$B533))</f>
        <v>3.1919999999999997E-2</v>
      </c>
      <c r="L533" s="155">
        <f>IF($E533="","",Input!$C$37)</f>
        <v>1.4999999999999999E-2</v>
      </c>
      <c r="M533" s="155">
        <f t="shared" si="328"/>
        <v>4.6919999999999996E-2</v>
      </c>
      <c r="N533" s="155">
        <f t="shared" si="329"/>
        <v>3.8283528416411805E-3</v>
      </c>
      <c r="O533" s="147">
        <f>IF($E533="","",MIN(VLOOKUP(IF($B533&lt;=Input!$C$7,$B533,26),'Mortality Tables'!$A$41:$CW$67,IF($B533&lt;=Input!$C$7+1,Input!$C$4+2,$D533-Input!$C$7+2),0)*IF(B533&gt;20,Input!$C$22,1)/1000,1))</f>
        <v>0.38428760000000006</v>
      </c>
      <c r="P533" s="147">
        <f>IF($E533="","",MIN(VLOOKUP(IF($B533&lt;=Input!$C$7,$B533,26),'Mortality Tables'!$A$12:$CW$37,IF($B533&lt;=Input!$C$7+1,Input!$C$4+2,$D533-Input!$C$7+2),0)*IF(B533&gt;20,Input!$C$22,1)/1000,1))</f>
        <v>0.48035950000000005</v>
      </c>
      <c r="Q533" s="155">
        <f>IF($E533="","",Input!$C$21)</f>
        <v>5.0000000000000001E-3</v>
      </c>
      <c r="R533" s="159">
        <f>IF($E533="","",(1-Q533)^($F533-Input!$C$20))</f>
        <v>0.80207605797176418</v>
      </c>
      <c r="S533" s="147">
        <f t="shared" si="331"/>
        <v>0.30822788333543016</v>
      </c>
      <c r="T533" s="147">
        <f t="shared" si="332"/>
        <v>3.0241516010700686E-2</v>
      </c>
      <c r="U533" s="160">
        <f>IF($E533="","",IF($C533=12,INDEX(Input!$C$15:$CP$15,1,$B533),0))</f>
        <v>0</v>
      </c>
      <c r="V533" s="150">
        <f>IF(E533="","",IF(C533=1,IF($B533=1,Input!$C$33,Input!$C$34),0))</f>
        <v>50</v>
      </c>
      <c r="W533" s="156">
        <f>IF($E533="","",Input!$C$35)</f>
        <v>0.02</v>
      </c>
      <c r="X533" s="156">
        <f t="shared" si="330"/>
        <v>2.3900531424522997</v>
      </c>
      <c r="Y533" s="154"/>
      <c r="Z533" s="147">
        <f>IF($E533="","",VLOOKUP($D533,'Mortality Margins &amp; Grading'!$AB$5:$AF$125,3,0)*IF(Summary!$D$25="Included Margin",IF(AND($B533&gt;Input!$C$9,Summary!$D$31&lt;&gt;"Included Margin"),0,1),0))</f>
        <v>2.1999999999999999E-2</v>
      </c>
      <c r="AA533" s="147">
        <f>IF($E533="","",VLOOKUP($D533,'Mortality Margins &amp; Grading'!$AB$5:$AF$125,5,0)*IF(Summary!$D$25="Included Margin",IF(AND($B533&gt;Input!$C$9,Summary!$D$31&lt;&gt;"Included Margin"),0,1),0))</f>
        <v>0.113</v>
      </c>
      <c r="AB533" s="147">
        <f>IF($E533="","",IF(AND($B533&gt;Input!$C$9,Summary!$D$31&lt;&gt;"Included Margin"),1,IF(Summary!$D$25="Included Margin",VLOOKUP($B533,'Mortality Margins &amp; Grading'!$AI$5:$AR$125,MATCH('Mortality Margins &amp; Grading'!$AQ$4,'Mortality Margins &amp; Grading'!$AI$4:$AR$4,0),0),1)))</f>
        <v>0</v>
      </c>
      <c r="AC533" s="154"/>
      <c r="AD533" s="158">
        <f>IF(E533="","",Input!$C$48*IF(Summary!$D$30="Included Margin",IF(AND($B533&gt;Input!$C$9,Summary!$D$31&lt;&gt;"Included Margin"),0,1),0))</f>
        <v>-4.4999999999999997E-3</v>
      </c>
      <c r="AE533" s="159">
        <f>IF(E533="","",IF(Summary!$D$26="Included Margin",IF(AND($B533&gt;Input!$C$9,Summary!$D$31&lt;&gt;"Included Margin"),1,1/$R533),1))</f>
        <v>1.2467645556317097</v>
      </c>
      <c r="AF533" s="160">
        <f>IF(E533="","",IF(AND($B533&gt;=Input!$C$9,$C533=12,Summary!$D$31="Included Margin",$U533&gt;0),1/U533-1,IF($B533&gt;=Input!$C$9,0,Input!$C$45*IF(Summary!$D$27="Included Margin",1,0))))</f>
        <v>0</v>
      </c>
      <c r="AG533" s="160">
        <f>IF(E533="","",Input!$C$46*IF(Summary!$D$28="Included Margin",IF(AND($B533&gt;Input!$C$9,Summary!$D$31&lt;&gt;"Included Margin"),0,1),0))</f>
        <v>0.02</v>
      </c>
      <c r="AH533" s="158">
        <f>IF(E533="","",Input!$C$47*IF(Summary!$D$29="Included Margin",IF(AND($B533&gt;Input!$C$9,Summary!$D$31&lt;&gt;"Included Margin"),0,1),0))</f>
        <v>2.5000000000000001E-3</v>
      </c>
      <c r="AI533" s="154"/>
      <c r="AJ533" s="158">
        <f t="shared" si="353"/>
        <v>4.2419999999999999E-2</v>
      </c>
      <c r="AK533" s="155">
        <f t="shared" si="354"/>
        <v>3.4680776746995878E-3</v>
      </c>
      <c r="AL533" s="147">
        <f t="shared" si="355"/>
        <v>0.53464012350000001</v>
      </c>
      <c r="AM533" s="147">
        <f t="shared" si="333"/>
        <v>6.1756110580418078E-2</v>
      </c>
      <c r="AN533" s="160">
        <f t="shared" si="356"/>
        <v>0</v>
      </c>
      <c r="AO533" s="161">
        <f t="shared" si="357"/>
        <v>51</v>
      </c>
      <c r="AP533" s="156">
        <f t="shared" si="334"/>
        <v>2.6618644362015993</v>
      </c>
      <c r="AQ533" s="152"/>
      <c r="AR533" s="162">
        <f t="shared" si="335"/>
        <v>18465.850428982274</v>
      </c>
      <c r="AS533" s="150">
        <f t="shared" si="358"/>
        <v>34175.05000000001</v>
      </c>
      <c r="AT533" s="163">
        <f t="shared" si="336"/>
        <v>135.75508624628156</v>
      </c>
      <c r="AU533" s="163">
        <f t="shared" si="337"/>
        <v>6175.6110580418081</v>
      </c>
      <c r="AV533" s="163">
        <f t="shared" si="359"/>
        <v>171.38317295098844</v>
      </c>
      <c r="AW533" s="163">
        <f t="shared" si="338"/>
        <v>3060.7361026030985</v>
      </c>
      <c r="AX533" s="163">
        <f t="shared" si="339"/>
        <v>0</v>
      </c>
      <c r="AY533" s="164">
        <f t="shared" si="360"/>
        <v>49561.653560248284</v>
      </c>
      <c r="AZ533" s="164">
        <f>IF($E533="","",IF(OR(AND($D533=Input!$C$6,$C533=12),$AN533=1),0,-AS534+AT534+AU534-AV534-AW534-AX534+AZ534))</f>
        <v>49561.672097491377</v>
      </c>
      <c r="BA533" s="154">
        <f t="shared" si="340"/>
        <v>1.8537243093305733E-2</v>
      </c>
      <c r="BC533" s="147">
        <f t="shared" si="361"/>
        <v>5.9768193559294109E-4</v>
      </c>
      <c r="BD533" s="164">
        <f>IF(AND($C532=12,$D532=Input!$C$6),0,IF($E533="","",AT533+(AU533+BD534)/(1+$AK533)*MIN((1-AM533-AN533),1)))</f>
        <v>44910.421140904982</v>
      </c>
      <c r="BE533" s="164">
        <f t="shared" si="341"/>
        <v>26.842147435790231</v>
      </c>
      <c r="BF533" s="164">
        <f t="shared" si="362"/>
        <v>49561.672097491377</v>
      </c>
      <c r="BG533" s="164">
        <f t="shared" si="342"/>
        <v>29.622116110451305</v>
      </c>
      <c r="BH533" s="152"/>
      <c r="BI533" s="162">
        <f t="shared" si="343"/>
        <v>-10709.077758696756</v>
      </c>
      <c r="BJ533" s="150">
        <f t="shared" si="344"/>
        <v>34175.05000000001</v>
      </c>
      <c r="BK533" s="163">
        <f t="shared" si="366"/>
        <v>119.50265712261499</v>
      </c>
      <c r="BL533" s="163">
        <f t="shared" si="345"/>
        <v>3024.1516010700689</v>
      </c>
      <c r="BM533" s="163">
        <f t="shared" si="367"/>
        <v>83.589763487132174</v>
      </c>
      <c r="BN533" s="163">
        <f t="shared" si="346"/>
        <v>636.35011240139045</v>
      </c>
      <c r="BO533" s="163">
        <f t="shared" si="347"/>
        <v>0</v>
      </c>
      <c r="BP533" s="164">
        <f t="shared" si="368"/>
        <v>21042.257858999092</v>
      </c>
      <c r="BQ533" s="164">
        <f>IF($E533="","",IF(AND($D533=Input!$C$6,$C533=12),0,-BJ534+BK534+BL534-BM534-BN534-BO534+BQ534))</f>
        <v>21042.268918536483</v>
      </c>
      <c r="BR533" s="161">
        <f t="shared" si="348"/>
        <v>0</v>
      </c>
      <c r="BT533" s="147">
        <f t="shared" si="349"/>
        <v>5.9768193559294109E-4</v>
      </c>
      <c r="BU533" s="164">
        <f>IF(AND($C532=12,$D532=Input!$C$6),0,IF($E533="","",BK533+(BL533+BU534)/(1+$AK533)*MIN((1-T533-U533),1)))</f>
        <v>74617.984134296436</v>
      </c>
      <c r="BV533" s="164">
        <f t="shared" si="350"/>
        <v>44.597821187429659</v>
      </c>
      <c r="BW533" s="164">
        <f t="shared" si="351"/>
        <v>21042.268918536483</v>
      </c>
      <c r="BX533" s="164">
        <f t="shared" si="352"/>
        <v>12.576584016498069</v>
      </c>
    </row>
    <row r="534" spans="1:76" s="150" customFormat="1" x14ac:dyDescent="0.25">
      <c r="A534" s="150">
        <f t="shared" si="363"/>
        <v>530</v>
      </c>
      <c r="B534" s="150">
        <f t="shared" si="364"/>
        <v>45</v>
      </c>
      <c r="C534" s="150">
        <f t="shared" si="365"/>
        <v>2</v>
      </c>
      <c r="D534" s="150">
        <f>IF(E534="","",Input!$C$4+B534-1)</f>
        <v>89</v>
      </c>
      <c r="E534" s="150">
        <f>IF(OR(AND(C533=12,D533=Input!$C$6),E533=""),"",1)</f>
        <v>1</v>
      </c>
      <c r="F534" s="150">
        <f>IF(E534="","",Input!$C$8+B534-1)</f>
        <v>2062</v>
      </c>
      <c r="G534" s="151">
        <f>IF(E534="","",MAX(0,Input!$C$9-B534))</f>
        <v>0</v>
      </c>
      <c r="H534" s="152">
        <f>IF(E534="","",Input!$C$3)</f>
        <v>100000</v>
      </c>
      <c r="I534" s="153">
        <f>IF(E534="","",HLOOKUP($B534,Input!$C$13:$BT$14,2))</f>
        <v>341.75050000000005</v>
      </c>
      <c r="J534" s="154"/>
      <c r="K534" s="155">
        <f>IF($E534="","",INDEX(Input!$C$16:$CP$16,1,$B534))</f>
        <v>3.1919999999999997E-2</v>
      </c>
      <c r="L534" s="155">
        <f>IF($E534="","",Input!$C$37)</f>
        <v>1.4999999999999999E-2</v>
      </c>
      <c r="M534" s="155">
        <f t="shared" si="328"/>
        <v>4.6919999999999996E-2</v>
      </c>
      <c r="N534" s="155">
        <f t="shared" si="329"/>
        <v>3.8283528416411805E-3</v>
      </c>
      <c r="O534" s="147">
        <f>IF($E534="","",MIN(VLOOKUP(IF($B534&lt;=Input!$C$7,$B534,26),'Mortality Tables'!$A$41:$CW$67,IF($B534&lt;=Input!$C$7+1,Input!$C$4+2,$D534-Input!$C$7+2),0)*IF(B534&gt;20,Input!$C$22,1)/1000,1))</f>
        <v>0.38428760000000006</v>
      </c>
      <c r="P534" s="147">
        <f>IF($E534="","",MIN(VLOOKUP(IF($B534&lt;=Input!$C$7,$B534,26),'Mortality Tables'!$A$12:$CW$37,IF($B534&lt;=Input!$C$7+1,Input!$C$4+2,$D534-Input!$C$7+2),0)*IF(B534&gt;20,Input!$C$22,1)/1000,1))</f>
        <v>0.48035950000000005</v>
      </c>
      <c r="Q534" s="155">
        <f>IF($E534="","",Input!$C$21)</f>
        <v>5.0000000000000001E-3</v>
      </c>
      <c r="R534" s="159">
        <f>IF($E534="","",(1-Q534)^($F534-Input!$C$20))</f>
        <v>0.80207605797176418</v>
      </c>
      <c r="S534" s="147">
        <f t="shared" si="331"/>
        <v>0.30822788333543016</v>
      </c>
      <c r="T534" s="147">
        <f t="shared" si="332"/>
        <v>3.0241516010700686E-2</v>
      </c>
      <c r="U534" s="160">
        <f>IF($E534="","",IF($C534=12,INDEX(Input!$C$15:$CP$15,1,$B534),0))</f>
        <v>0</v>
      </c>
      <c r="V534" s="150">
        <f>IF(E534="","",IF(C534=1,IF($B534=1,Input!$C$33,Input!$C$34),0))</f>
        <v>0</v>
      </c>
      <c r="W534" s="156">
        <f>IF($E534="","",Input!$C$35)</f>
        <v>0.02</v>
      </c>
      <c r="X534" s="156">
        <f t="shared" si="330"/>
        <v>2.3900531424522997</v>
      </c>
      <c r="Y534" s="154"/>
      <c r="Z534" s="147">
        <f>IF($E534="","",VLOOKUP($D534,'Mortality Margins &amp; Grading'!$AB$5:$AF$125,3,0)*IF(Summary!$D$25="Included Margin",IF(AND($B534&gt;Input!$C$9,Summary!$D$31&lt;&gt;"Included Margin"),0,1),0))</f>
        <v>2.1999999999999999E-2</v>
      </c>
      <c r="AA534" s="147">
        <f>IF($E534="","",VLOOKUP($D534,'Mortality Margins &amp; Grading'!$AB$5:$AF$125,5,0)*IF(Summary!$D$25="Included Margin",IF(AND($B534&gt;Input!$C$9,Summary!$D$31&lt;&gt;"Included Margin"),0,1),0))</f>
        <v>0.113</v>
      </c>
      <c r="AB534" s="147">
        <f>IF($E534="","",IF(AND($B534&gt;Input!$C$9,Summary!$D$31&lt;&gt;"Included Margin"),1,IF(Summary!$D$25="Included Margin",VLOOKUP($B534,'Mortality Margins &amp; Grading'!$AI$5:$AR$125,MATCH('Mortality Margins &amp; Grading'!$AQ$4,'Mortality Margins &amp; Grading'!$AI$4:$AR$4,0),0),1)))</f>
        <v>0</v>
      </c>
      <c r="AC534" s="154"/>
      <c r="AD534" s="158">
        <f>IF(E534="","",Input!$C$48*IF(Summary!$D$30="Included Margin",IF(AND($B534&gt;Input!$C$9,Summary!$D$31&lt;&gt;"Included Margin"),0,1),0))</f>
        <v>-4.4999999999999997E-3</v>
      </c>
      <c r="AE534" s="159">
        <f>IF(E534="","",IF(Summary!$D$26="Included Margin",IF(AND($B534&gt;Input!$C$9,Summary!$D$31&lt;&gt;"Included Margin"),1,1/$R534),1))</f>
        <v>1.2467645556317097</v>
      </c>
      <c r="AF534" s="160">
        <f>IF(E534="","",IF(AND($B534&gt;=Input!$C$9,$C534=12,Summary!$D$31="Included Margin",$U534&gt;0),1/U534-1,IF($B534&gt;=Input!$C$9,0,Input!$C$45*IF(Summary!$D$27="Included Margin",1,0))))</f>
        <v>0</v>
      </c>
      <c r="AG534" s="160">
        <f>IF(E534="","",Input!$C$46*IF(Summary!$D$28="Included Margin",IF(AND($B534&gt;Input!$C$9,Summary!$D$31&lt;&gt;"Included Margin"),0,1),0))</f>
        <v>0.02</v>
      </c>
      <c r="AH534" s="158">
        <f>IF(E534="","",Input!$C$47*IF(Summary!$D$29="Included Margin",IF(AND($B534&gt;Input!$C$9,Summary!$D$31&lt;&gt;"Included Margin"),0,1),0))</f>
        <v>2.5000000000000001E-3</v>
      </c>
      <c r="AI534" s="154"/>
      <c r="AJ534" s="158">
        <f t="shared" si="353"/>
        <v>4.2419999999999999E-2</v>
      </c>
      <c r="AK534" s="155">
        <f t="shared" si="354"/>
        <v>3.4680776746995878E-3</v>
      </c>
      <c r="AL534" s="147">
        <f t="shared" si="355"/>
        <v>0.53464012350000001</v>
      </c>
      <c r="AM534" s="147">
        <f t="shared" si="333"/>
        <v>6.1756110580418078E-2</v>
      </c>
      <c r="AN534" s="160">
        <f t="shared" si="356"/>
        <v>0</v>
      </c>
      <c r="AO534" s="161">
        <f t="shared" si="357"/>
        <v>0</v>
      </c>
      <c r="AP534" s="156">
        <f t="shared" si="334"/>
        <v>2.6618644362015993</v>
      </c>
      <c r="AQ534" s="152"/>
      <c r="AR534" s="162">
        <f t="shared" si="335"/>
        <v>49561.653560248284</v>
      </c>
      <c r="AS534" s="150">
        <f t="shared" si="358"/>
        <v>0</v>
      </c>
      <c r="AT534" s="163">
        <f t="shared" si="336"/>
        <v>0</v>
      </c>
      <c r="AU534" s="163">
        <f t="shared" si="337"/>
        <v>6175.6110580418081</v>
      </c>
      <c r="AV534" s="163">
        <f t="shared" si="359"/>
        <v>161.17491481448107</v>
      </c>
      <c r="AW534" s="163">
        <f t="shared" si="338"/>
        <v>2866.3207396178759</v>
      </c>
      <c r="AX534" s="163">
        <f t="shared" si="339"/>
        <v>0</v>
      </c>
      <c r="AY534" s="165">
        <f t="shared" si="360"/>
        <v>46413.538156638831</v>
      </c>
      <c r="AZ534" s="164">
        <f>IF($E534="","",IF(OR(AND($D534=Input!$C$6,$C534=12),$AN534=1),0,-AS535+AT535+AU535-AV535-AW535-AX535+AZ535))</f>
        <v>46413.556693881925</v>
      </c>
      <c r="BA534" s="154">
        <f t="shared" si="340"/>
        <v>1.8537243093305733E-2</v>
      </c>
      <c r="BC534" s="147">
        <f t="shared" si="361"/>
        <v>5.7960712776840056E-4</v>
      </c>
      <c r="BD534" s="164">
        <f>IF(AND($C533=12,$D533=Input!$C$6),0,IF($E534="","",AT534+(AU534+BD535)/(1+$AK534)*MIN((1-AM534-AN534),1)))</f>
        <v>41711.669190795874</v>
      </c>
      <c r="BE534" s="164">
        <f t="shared" si="341"/>
        <v>24.176380774102881</v>
      </c>
      <c r="BF534" s="164">
        <f t="shared" si="362"/>
        <v>46413.556693881925</v>
      </c>
      <c r="BG534" s="164">
        <f t="shared" si="342"/>
        <v>26.901628284856724</v>
      </c>
      <c r="BH534" s="152"/>
      <c r="BI534" s="162">
        <f t="shared" si="343"/>
        <v>21042.257858999088</v>
      </c>
      <c r="BJ534" s="150">
        <f t="shared" si="344"/>
        <v>0</v>
      </c>
      <c r="BK534" s="163">
        <f t="shared" si="366"/>
        <v>0</v>
      </c>
      <c r="BL534" s="163">
        <f t="shared" si="345"/>
        <v>3024.1516010700689</v>
      </c>
      <c r="BM534" s="163">
        <f t="shared" si="367"/>
        <v>74.768427981290458</v>
      </c>
      <c r="BN534" s="163">
        <f t="shared" si="346"/>
        <v>564.21913598517438</v>
      </c>
      <c r="BO534" s="163">
        <f t="shared" si="347"/>
        <v>0</v>
      </c>
      <c r="BP534" s="164">
        <f t="shared" si="368"/>
        <v>18657.093821895483</v>
      </c>
      <c r="BQ534" s="164">
        <f>IF($E534="","",IF(AND($D534=Input!$C$6,$C534=12),0,-BJ535+BK535+BL535-BM535-BN535-BO535+BQ535))</f>
        <v>18657.104881432879</v>
      </c>
      <c r="BR534" s="161">
        <f t="shared" si="348"/>
        <v>0</v>
      </c>
      <c r="BT534" s="147">
        <f t="shared" si="349"/>
        <v>5.7960712776840056E-4</v>
      </c>
      <c r="BU534" s="164">
        <f>IF(AND($C533=12,$D533=Input!$C$6),0,IF($E534="","",BK534+(BL534+BU535)/(1+$AK534)*MIN((1-T534-U534),1)))</f>
        <v>74063.957687807997</v>
      </c>
      <c r="BV534" s="164">
        <f t="shared" si="350"/>
        <v>42.927997786590744</v>
      </c>
      <c r="BW534" s="164">
        <f t="shared" si="351"/>
        <v>18657.104881432879</v>
      </c>
      <c r="BX534" s="164">
        <f t="shared" si="352"/>
        <v>10.813790972801117</v>
      </c>
    </row>
    <row r="535" spans="1:76" s="150" customFormat="1" x14ac:dyDescent="0.25">
      <c r="A535" s="150">
        <f t="shared" si="363"/>
        <v>531</v>
      </c>
      <c r="B535" s="150">
        <f t="shared" si="364"/>
        <v>45</v>
      </c>
      <c r="C535" s="150">
        <f t="shared" si="365"/>
        <v>3</v>
      </c>
      <c r="D535" s="150">
        <f>IF(E535="","",Input!$C$4+B535-1)</f>
        <v>89</v>
      </c>
      <c r="E535" s="150">
        <f>IF(OR(AND(C534=12,D534=Input!$C$6),E534=""),"",1)</f>
        <v>1</v>
      </c>
      <c r="F535" s="150">
        <f>IF(E535="","",Input!$C$8+B535-1)</f>
        <v>2062</v>
      </c>
      <c r="G535" s="151">
        <f>IF(E535="","",MAX(0,Input!$C$9-B535))</f>
        <v>0</v>
      </c>
      <c r="H535" s="152">
        <f>IF(E535="","",Input!$C$3)</f>
        <v>100000</v>
      </c>
      <c r="I535" s="153">
        <f>IF(E535="","",HLOOKUP($B535,Input!$C$13:$BT$14,2))</f>
        <v>341.75050000000005</v>
      </c>
      <c r="J535" s="154"/>
      <c r="K535" s="155">
        <f>IF($E535="","",INDEX(Input!$C$16:$CP$16,1,$B535))</f>
        <v>3.1919999999999997E-2</v>
      </c>
      <c r="L535" s="155">
        <f>IF($E535="","",Input!$C$37)</f>
        <v>1.4999999999999999E-2</v>
      </c>
      <c r="M535" s="155">
        <f t="shared" si="328"/>
        <v>4.6919999999999996E-2</v>
      </c>
      <c r="N535" s="155">
        <f t="shared" si="329"/>
        <v>3.8283528416411805E-3</v>
      </c>
      <c r="O535" s="147">
        <f>IF($E535="","",MIN(VLOOKUP(IF($B535&lt;=Input!$C$7,$B535,26),'Mortality Tables'!$A$41:$CW$67,IF($B535&lt;=Input!$C$7+1,Input!$C$4+2,$D535-Input!$C$7+2),0)*IF(B535&gt;20,Input!$C$22,1)/1000,1))</f>
        <v>0.38428760000000006</v>
      </c>
      <c r="P535" s="147">
        <f>IF($E535="","",MIN(VLOOKUP(IF($B535&lt;=Input!$C$7,$B535,26),'Mortality Tables'!$A$12:$CW$37,IF($B535&lt;=Input!$C$7+1,Input!$C$4+2,$D535-Input!$C$7+2),0)*IF(B535&gt;20,Input!$C$22,1)/1000,1))</f>
        <v>0.48035950000000005</v>
      </c>
      <c r="Q535" s="155">
        <f>IF($E535="","",Input!$C$21)</f>
        <v>5.0000000000000001E-3</v>
      </c>
      <c r="R535" s="159">
        <f>IF($E535="","",(1-Q535)^($F535-Input!$C$20))</f>
        <v>0.80207605797176418</v>
      </c>
      <c r="S535" s="147">
        <f t="shared" si="331"/>
        <v>0.30822788333543016</v>
      </c>
      <c r="T535" s="147">
        <f t="shared" si="332"/>
        <v>3.0241516010700686E-2</v>
      </c>
      <c r="U535" s="160">
        <f>IF($E535="","",IF($C535=12,INDEX(Input!$C$15:$CP$15,1,$B535),0))</f>
        <v>0</v>
      </c>
      <c r="V535" s="150">
        <f>IF(E535="","",IF(C535=1,IF($B535=1,Input!$C$33,Input!$C$34),0))</f>
        <v>0</v>
      </c>
      <c r="W535" s="156">
        <f>IF($E535="","",Input!$C$35)</f>
        <v>0.02</v>
      </c>
      <c r="X535" s="156">
        <f t="shared" si="330"/>
        <v>2.3900531424522997</v>
      </c>
      <c r="Y535" s="154"/>
      <c r="Z535" s="147">
        <f>IF($E535="","",VLOOKUP($D535,'Mortality Margins &amp; Grading'!$AB$5:$AF$125,3,0)*IF(Summary!$D$25="Included Margin",IF(AND($B535&gt;Input!$C$9,Summary!$D$31&lt;&gt;"Included Margin"),0,1),0))</f>
        <v>2.1999999999999999E-2</v>
      </c>
      <c r="AA535" s="147">
        <f>IF($E535="","",VLOOKUP($D535,'Mortality Margins &amp; Grading'!$AB$5:$AF$125,5,0)*IF(Summary!$D$25="Included Margin",IF(AND($B535&gt;Input!$C$9,Summary!$D$31&lt;&gt;"Included Margin"),0,1),0))</f>
        <v>0.113</v>
      </c>
      <c r="AB535" s="147">
        <f>IF($E535="","",IF(AND($B535&gt;Input!$C$9,Summary!$D$31&lt;&gt;"Included Margin"),1,IF(Summary!$D$25="Included Margin",VLOOKUP($B535,'Mortality Margins &amp; Grading'!$AI$5:$AR$125,MATCH('Mortality Margins &amp; Grading'!$AQ$4,'Mortality Margins &amp; Grading'!$AI$4:$AR$4,0),0),1)))</f>
        <v>0</v>
      </c>
      <c r="AC535" s="154"/>
      <c r="AD535" s="158">
        <f>IF(E535="","",Input!$C$48*IF(Summary!$D$30="Included Margin",IF(AND($B535&gt;Input!$C$9,Summary!$D$31&lt;&gt;"Included Margin"),0,1),0))</f>
        <v>-4.4999999999999997E-3</v>
      </c>
      <c r="AE535" s="159">
        <f>IF(E535="","",IF(Summary!$D$26="Included Margin",IF(AND($B535&gt;Input!$C$9,Summary!$D$31&lt;&gt;"Included Margin"),1,1/$R535),1))</f>
        <v>1.2467645556317097</v>
      </c>
      <c r="AF535" s="160">
        <f>IF(E535="","",IF(AND($B535&gt;=Input!$C$9,$C535=12,Summary!$D$31="Included Margin",$U535&gt;0),1/U535-1,IF($B535&gt;=Input!$C$9,0,Input!$C$45*IF(Summary!$D$27="Included Margin",1,0))))</f>
        <v>0</v>
      </c>
      <c r="AG535" s="160">
        <f>IF(E535="","",Input!$C$46*IF(Summary!$D$28="Included Margin",IF(AND($B535&gt;Input!$C$9,Summary!$D$31&lt;&gt;"Included Margin"),0,1),0))</f>
        <v>0.02</v>
      </c>
      <c r="AH535" s="158">
        <f>IF(E535="","",Input!$C$47*IF(Summary!$D$29="Included Margin",IF(AND($B535&gt;Input!$C$9,Summary!$D$31&lt;&gt;"Included Margin"),0,1),0))</f>
        <v>2.5000000000000001E-3</v>
      </c>
      <c r="AI535" s="154"/>
      <c r="AJ535" s="158">
        <f t="shared" si="353"/>
        <v>4.2419999999999999E-2</v>
      </c>
      <c r="AK535" s="155">
        <f t="shared" si="354"/>
        <v>3.4680776746995878E-3</v>
      </c>
      <c r="AL535" s="147">
        <f t="shared" si="355"/>
        <v>0.53464012350000001</v>
      </c>
      <c r="AM535" s="147">
        <f t="shared" si="333"/>
        <v>6.1756110580418078E-2</v>
      </c>
      <c r="AN535" s="160">
        <f t="shared" si="356"/>
        <v>0</v>
      </c>
      <c r="AO535" s="161">
        <f t="shared" si="357"/>
        <v>0</v>
      </c>
      <c r="AP535" s="156">
        <f t="shared" si="334"/>
        <v>2.6618644362015993</v>
      </c>
      <c r="AQ535" s="152"/>
      <c r="AR535" s="162">
        <f t="shared" si="335"/>
        <v>46413.538156638831</v>
      </c>
      <c r="AS535" s="150">
        <f t="shared" si="358"/>
        <v>0</v>
      </c>
      <c r="AT535" s="163">
        <f t="shared" si="336"/>
        <v>0</v>
      </c>
      <c r="AU535" s="163">
        <f t="shared" si="337"/>
        <v>6175.6110580418081</v>
      </c>
      <c r="AV535" s="163">
        <f t="shared" si="359"/>
        <v>150.25700606584525</v>
      </c>
      <c r="AW535" s="163">
        <f t="shared" si="338"/>
        <v>2658.3901442095785</v>
      </c>
      <c r="AX535" s="163">
        <f t="shared" si="339"/>
        <v>0</v>
      </c>
      <c r="AY535" s="164">
        <f t="shared" si="360"/>
        <v>43046.57424887245</v>
      </c>
      <c r="AZ535" s="164">
        <f>IF($E535="","",IF(OR(AND($D535=Input!$C$6,$C535=12),$AN535=1),0,-AS536+AT536+AU536-AV536-AW536-AX536+AZ536))</f>
        <v>43046.592786115543</v>
      </c>
      <c r="BA535" s="154">
        <f t="shared" si="340"/>
        <v>1.8537243093305733E-2</v>
      </c>
      <c r="BC535" s="147">
        <f t="shared" si="361"/>
        <v>5.6207892953407626E-4</v>
      </c>
      <c r="BD535" s="164">
        <f>IF(AND($C534=12,$D534=Input!$C$6),0,IF($E535="","",AT535+(AU535+BD536)/(1+$AK535)*MIN((1-AM535-AN535),1)))</f>
        <v>38435.741034412706</v>
      </c>
      <c r="BE535" s="164">
        <f t="shared" si="341"/>
        <v>21.603920176471664</v>
      </c>
      <c r="BF535" s="164">
        <f t="shared" si="362"/>
        <v>43046.592786115543</v>
      </c>
      <c r="BG535" s="164">
        <f t="shared" si="342"/>
        <v>24.195582793309114</v>
      </c>
      <c r="BH535" s="152"/>
      <c r="BI535" s="162">
        <f t="shared" si="343"/>
        <v>18657.093821895487</v>
      </c>
      <c r="BJ535" s="150">
        <f t="shared" si="344"/>
        <v>0</v>
      </c>
      <c r="BK535" s="163">
        <f t="shared" si="366"/>
        <v>0</v>
      </c>
      <c r="BL535" s="163">
        <f t="shared" si="345"/>
        <v>3024.1516010700689</v>
      </c>
      <c r="BM535" s="163">
        <f t="shared" si="367"/>
        <v>65.63717846206454</v>
      </c>
      <c r="BN535" s="163">
        <f t="shared" si="346"/>
        <v>489.55403076548293</v>
      </c>
      <c r="BO535" s="163">
        <f t="shared" si="347"/>
        <v>0</v>
      </c>
      <c r="BP535" s="164">
        <f t="shared" si="368"/>
        <v>16188.133430052965</v>
      </c>
      <c r="BQ535" s="164">
        <f>IF($E535="","",IF(AND($D535=Input!$C$6,$C535=12),0,-BJ536+BK536+BL536-BM536-BN536-BO536+BQ536))</f>
        <v>16188.144489590359</v>
      </c>
      <c r="BR535" s="161">
        <f t="shared" si="348"/>
        <v>0</v>
      </c>
      <c r="BT535" s="147">
        <f t="shared" si="349"/>
        <v>5.6207892953407626E-4</v>
      </c>
      <c r="BU535" s="164">
        <f>IF(AND($C534=12,$D534=Input!$C$6),0,IF($E535="","",BK535+(BL535+BU536)/(1+$AK535)*MIN((1-T535-U535),1)))</f>
        <v>73614.329498090956</v>
      </c>
      <c r="BV535" s="164">
        <f t="shared" si="350"/>
        <v>41.377063522655739</v>
      </c>
      <c r="BW535" s="164">
        <f t="shared" si="351"/>
        <v>16188.144489590359</v>
      </c>
      <c r="BX535" s="164">
        <f t="shared" si="352"/>
        <v>9.099014925851904</v>
      </c>
    </row>
    <row r="536" spans="1:76" s="150" customFormat="1" x14ac:dyDescent="0.25">
      <c r="A536" s="150">
        <f t="shared" si="363"/>
        <v>532</v>
      </c>
      <c r="B536" s="150">
        <f t="shared" si="364"/>
        <v>45</v>
      </c>
      <c r="C536" s="150">
        <f t="shared" si="365"/>
        <v>4</v>
      </c>
      <c r="D536" s="150">
        <f>IF(E536="","",Input!$C$4+B536-1)</f>
        <v>89</v>
      </c>
      <c r="E536" s="150">
        <f>IF(OR(AND(C535=12,D535=Input!$C$6),E535=""),"",1)</f>
        <v>1</v>
      </c>
      <c r="F536" s="150">
        <f>IF(E536="","",Input!$C$8+B536-1)</f>
        <v>2062</v>
      </c>
      <c r="G536" s="151">
        <f>IF(E536="","",MAX(0,Input!$C$9-B536))</f>
        <v>0</v>
      </c>
      <c r="H536" s="152">
        <f>IF(E536="","",Input!$C$3)</f>
        <v>100000</v>
      </c>
      <c r="I536" s="153">
        <f>IF(E536="","",HLOOKUP($B536,Input!$C$13:$BT$14,2))</f>
        <v>341.75050000000005</v>
      </c>
      <c r="J536" s="154"/>
      <c r="K536" s="155">
        <f>IF($E536="","",INDEX(Input!$C$16:$CP$16,1,$B536))</f>
        <v>3.1919999999999997E-2</v>
      </c>
      <c r="L536" s="155">
        <f>IF($E536="","",Input!$C$37)</f>
        <v>1.4999999999999999E-2</v>
      </c>
      <c r="M536" s="155">
        <f t="shared" si="328"/>
        <v>4.6919999999999996E-2</v>
      </c>
      <c r="N536" s="155">
        <f t="shared" si="329"/>
        <v>3.8283528416411805E-3</v>
      </c>
      <c r="O536" s="147">
        <f>IF($E536="","",MIN(VLOOKUP(IF($B536&lt;=Input!$C$7,$B536,26),'Mortality Tables'!$A$41:$CW$67,IF($B536&lt;=Input!$C$7+1,Input!$C$4+2,$D536-Input!$C$7+2),0)*IF(B536&gt;20,Input!$C$22,1)/1000,1))</f>
        <v>0.38428760000000006</v>
      </c>
      <c r="P536" s="147">
        <f>IF($E536="","",MIN(VLOOKUP(IF($B536&lt;=Input!$C$7,$B536,26),'Mortality Tables'!$A$12:$CW$37,IF($B536&lt;=Input!$C$7+1,Input!$C$4+2,$D536-Input!$C$7+2),0)*IF(B536&gt;20,Input!$C$22,1)/1000,1))</f>
        <v>0.48035950000000005</v>
      </c>
      <c r="Q536" s="155">
        <f>IF($E536="","",Input!$C$21)</f>
        <v>5.0000000000000001E-3</v>
      </c>
      <c r="R536" s="159">
        <f>IF($E536="","",(1-Q536)^($F536-Input!$C$20))</f>
        <v>0.80207605797176418</v>
      </c>
      <c r="S536" s="147">
        <f t="shared" si="331"/>
        <v>0.30822788333543016</v>
      </c>
      <c r="T536" s="147">
        <f t="shared" si="332"/>
        <v>3.0241516010700686E-2</v>
      </c>
      <c r="U536" s="160">
        <f>IF($E536="","",IF($C536=12,INDEX(Input!$C$15:$CP$15,1,$B536),0))</f>
        <v>0</v>
      </c>
      <c r="V536" s="150">
        <f>IF(E536="","",IF(C536=1,IF($B536=1,Input!$C$33,Input!$C$34),0))</f>
        <v>0</v>
      </c>
      <c r="W536" s="156">
        <f>IF($E536="","",Input!$C$35)</f>
        <v>0.02</v>
      </c>
      <c r="X536" s="156">
        <f t="shared" si="330"/>
        <v>2.3900531424522997</v>
      </c>
      <c r="Y536" s="154"/>
      <c r="Z536" s="147">
        <f>IF($E536="","",VLOOKUP($D536,'Mortality Margins &amp; Grading'!$AB$5:$AF$125,3,0)*IF(Summary!$D$25="Included Margin",IF(AND($B536&gt;Input!$C$9,Summary!$D$31&lt;&gt;"Included Margin"),0,1),0))</f>
        <v>2.1999999999999999E-2</v>
      </c>
      <c r="AA536" s="147">
        <f>IF($E536="","",VLOOKUP($D536,'Mortality Margins &amp; Grading'!$AB$5:$AF$125,5,0)*IF(Summary!$D$25="Included Margin",IF(AND($B536&gt;Input!$C$9,Summary!$D$31&lt;&gt;"Included Margin"),0,1),0))</f>
        <v>0.113</v>
      </c>
      <c r="AB536" s="147">
        <f>IF($E536="","",IF(AND($B536&gt;Input!$C$9,Summary!$D$31&lt;&gt;"Included Margin"),1,IF(Summary!$D$25="Included Margin",VLOOKUP($B536,'Mortality Margins &amp; Grading'!$AI$5:$AR$125,MATCH('Mortality Margins &amp; Grading'!$AQ$4,'Mortality Margins &amp; Grading'!$AI$4:$AR$4,0),0),1)))</f>
        <v>0</v>
      </c>
      <c r="AC536" s="154"/>
      <c r="AD536" s="158">
        <f>IF(E536="","",Input!$C$48*IF(Summary!$D$30="Included Margin",IF(AND($B536&gt;Input!$C$9,Summary!$D$31&lt;&gt;"Included Margin"),0,1),0))</f>
        <v>-4.4999999999999997E-3</v>
      </c>
      <c r="AE536" s="159">
        <f>IF(E536="","",IF(Summary!$D$26="Included Margin",IF(AND($B536&gt;Input!$C$9,Summary!$D$31&lt;&gt;"Included Margin"),1,1/$R536),1))</f>
        <v>1.2467645556317097</v>
      </c>
      <c r="AF536" s="160">
        <f>IF(E536="","",IF(AND($B536&gt;=Input!$C$9,$C536=12,Summary!$D$31="Included Margin",$U536&gt;0),1/U536-1,IF($B536&gt;=Input!$C$9,0,Input!$C$45*IF(Summary!$D$27="Included Margin",1,0))))</f>
        <v>0</v>
      </c>
      <c r="AG536" s="160">
        <f>IF(E536="","",Input!$C$46*IF(Summary!$D$28="Included Margin",IF(AND($B536&gt;Input!$C$9,Summary!$D$31&lt;&gt;"Included Margin"),0,1),0))</f>
        <v>0.02</v>
      </c>
      <c r="AH536" s="158">
        <f>IF(E536="","",Input!$C$47*IF(Summary!$D$29="Included Margin",IF(AND($B536&gt;Input!$C$9,Summary!$D$31&lt;&gt;"Included Margin"),0,1),0))</f>
        <v>2.5000000000000001E-3</v>
      </c>
      <c r="AI536" s="154"/>
      <c r="AJ536" s="158">
        <f t="shared" si="353"/>
        <v>4.2419999999999999E-2</v>
      </c>
      <c r="AK536" s="155">
        <f t="shared" si="354"/>
        <v>3.4680776746995878E-3</v>
      </c>
      <c r="AL536" s="147">
        <f t="shared" si="355"/>
        <v>0.53464012350000001</v>
      </c>
      <c r="AM536" s="147">
        <f t="shared" si="333"/>
        <v>6.1756110580418078E-2</v>
      </c>
      <c r="AN536" s="160">
        <f t="shared" si="356"/>
        <v>0</v>
      </c>
      <c r="AO536" s="161">
        <f t="shared" si="357"/>
        <v>0</v>
      </c>
      <c r="AP536" s="156">
        <f t="shared" si="334"/>
        <v>2.6618644362015993</v>
      </c>
      <c r="AQ536" s="152"/>
      <c r="AR536" s="162">
        <f t="shared" si="335"/>
        <v>43046.57424887245</v>
      </c>
      <c r="AS536" s="150">
        <f t="shared" si="358"/>
        <v>0</v>
      </c>
      <c r="AT536" s="163">
        <f t="shared" si="336"/>
        <v>0</v>
      </c>
      <c r="AU536" s="163">
        <f t="shared" si="337"/>
        <v>6175.6110580418081</v>
      </c>
      <c r="AV536" s="163">
        <f t="shared" si="359"/>
        <v>138.58011370580138</v>
      </c>
      <c r="AW536" s="163">
        <f t="shared" si="338"/>
        <v>2436.0047738202265</v>
      </c>
      <c r="AX536" s="163">
        <f t="shared" si="339"/>
        <v>0</v>
      </c>
      <c r="AY536" s="165">
        <f t="shared" si="360"/>
        <v>39445.548078356667</v>
      </c>
      <c r="AZ536" s="164">
        <f>IF($E536="","",IF(OR(AND($D536=Input!$C$6,$C536=12),$AN536=1),0,-AS537+AT537+AU537-AV537-AW537-AX537+AZ537))</f>
        <v>39445.566615599761</v>
      </c>
      <c r="BA536" s="154">
        <f t="shared" si="340"/>
        <v>1.8537243093305733E-2</v>
      </c>
      <c r="BC536" s="147">
        <f t="shared" si="361"/>
        <v>5.4508081058729399E-4</v>
      </c>
      <c r="BD536" s="164">
        <f>IF(AND($C535=12,$D535=Input!$C$6),0,IF($E536="","",AT536+(AU536+BD537)/(1+$AK536)*MIN((1-AM536-AN536),1)))</f>
        <v>34932.079175533101</v>
      </c>
      <c r="BE536" s="164">
        <f t="shared" si="341"/>
        <v>19.040806032499116</v>
      </c>
      <c r="BF536" s="164">
        <f t="shared" si="362"/>
        <v>39445.566615599761</v>
      </c>
      <c r="BG536" s="164">
        <f t="shared" si="342"/>
        <v>21.50102142490622</v>
      </c>
      <c r="BH536" s="152"/>
      <c r="BI536" s="162">
        <f t="shared" si="343"/>
        <v>16188.133430052963</v>
      </c>
      <c r="BJ536" s="150">
        <f t="shared" si="344"/>
        <v>0</v>
      </c>
      <c r="BK536" s="163">
        <f t="shared" si="366"/>
        <v>0</v>
      </c>
      <c r="BL536" s="163">
        <f t="shared" si="345"/>
        <v>3024.1516010700689</v>
      </c>
      <c r="BM536" s="163">
        <f t="shared" si="367"/>
        <v>56.185126930054693</v>
      </c>
      <c r="BN536" s="163">
        <f t="shared" si="346"/>
        <v>412.26576690920325</v>
      </c>
      <c r="BO536" s="163">
        <f t="shared" si="347"/>
        <v>0</v>
      </c>
      <c r="BP536" s="164">
        <f t="shared" si="368"/>
        <v>13632.432722822154</v>
      </c>
      <c r="BQ536" s="164">
        <f>IF($E536="","",IF(AND($D536=Input!$C$6,$C536=12),0,-BJ537+BK537+BL537-BM537-BN537-BO537+BQ537))</f>
        <v>13632.443782359547</v>
      </c>
      <c r="BR536" s="161">
        <f t="shared" si="348"/>
        <v>0</v>
      </c>
      <c r="BT536" s="147">
        <f t="shared" si="349"/>
        <v>5.4508081058729399E-4</v>
      </c>
      <c r="BU536" s="164">
        <f>IF(AND($C535=12,$D535=Input!$C$6),0,IF($E536="","",BK536+(BL536+BU537)/(1+$AK536)*MIN((1-T536-U536),1)))</f>
        <v>73149.071866780883</v>
      </c>
      <c r="BV536" s="164">
        <f t="shared" si="350"/>
        <v>39.872155386853144</v>
      </c>
      <c r="BW536" s="164">
        <f t="shared" si="351"/>
        <v>13632.443782359547</v>
      </c>
      <c r="BX536" s="164">
        <f t="shared" si="352"/>
        <v>7.4307835071742581</v>
      </c>
    </row>
    <row r="537" spans="1:76" s="150" customFormat="1" x14ac:dyDescent="0.25">
      <c r="A537" s="150">
        <f t="shared" si="363"/>
        <v>533</v>
      </c>
      <c r="B537" s="150">
        <f t="shared" si="364"/>
        <v>45</v>
      </c>
      <c r="C537" s="150">
        <f t="shared" si="365"/>
        <v>5</v>
      </c>
      <c r="D537" s="150">
        <f>IF(E537="","",Input!$C$4+B537-1)</f>
        <v>89</v>
      </c>
      <c r="E537" s="150">
        <f>IF(OR(AND(C536=12,D536=Input!$C$6),E536=""),"",1)</f>
        <v>1</v>
      </c>
      <c r="F537" s="150">
        <f>IF(E537="","",Input!$C$8+B537-1)</f>
        <v>2062</v>
      </c>
      <c r="G537" s="151">
        <f>IF(E537="","",MAX(0,Input!$C$9-B537))</f>
        <v>0</v>
      </c>
      <c r="H537" s="152">
        <f>IF(E537="","",Input!$C$3)</f>
        <v>100000</v>
      </c>
      <c r="I537" s="153">
        <f>IF(E537="","",HLOOKUP($B537,Input!$C$13:$BT$14,2))</f>
        <v>341.75050000000005</v>
      </c>
      <c r="J537" s="154"/>
      <c r="K537" s="155">
        <f>IF($E537="","",INDEX(Input!$C$16:$CP$16,1,$B537))</f>
        <v>3.1919999999999997E-2</v>
      </c>
      <c r="L537" s="155">
        <f>IF($E537="","",Input!$C$37)</f>
        <v>1.4999999999999999E-2</v>
      </c>
      <c r="M537" s="155">
        <f t="shared" si="328"/>
        <v>4.6919999999999996E-2</v>
      </c>
      <c r="N537" s="155">
        <f t="shared" si="329"/>
        <v>3.8283528416411805E-3</v>
      </c>
      <c r="O537" s="147">
        <f>IF($E537="","",MIN(VLOOKUP(IF($B537&lt;=Input!$C$7,$B537,26),'Mortality Tables'!$A$41:$CW$67,IF($B537&lt;=Input!$C$7+1,Input!$C$4+2,$D537-Input!$C$7+2),0)*IF(B537&gt;20,Input!$C$22,1)/1000,1))</f>
        <v>0.38428760000000006</v>
      </c>
      <c r="P537" s="147">
        <f>IF($E537="","",MIN(VLOOKUP(IF($B537&lt;=Input!$C$7,$B537,26),'Mortality Tables'!$A$12:$CW$37,IF($B537&lt;=Input!$C$7+1,Input!$C$4+2,$D537-Input!$C$7+2),0)*IF(B537&gt;20,Input!$C$22,1)/1000,1))</f>
        <v>0.48035950000000005</v>
      </c>
      <c r="Q537" s="155">
        <f>IF($E537="","",Input!$C$21)</f>
        <v>5.0000000000000001E-3</v>
      </c>
      <c r="R537" s="159">
        <f>IF($E537="","",(1-Q537)^($F537-Input!$C$20))</f>
        <v>0.80207605797176418</v>
      </c>
      <c r="S537" s="147">
        <f t="shared" si="331"/>
        <v>0.30822788333543016</v>
      </c>
      <c r="T537" s="147">
        <f t="shared" si="332"/>
        <v>3.0241516010700686E-2</v>
      </c>
      <c r="U537" s="160">
        <f>IF($E537="","",IF($C537=12,INDEX(Input!$C$15:$CP$15,1,$B537),0))</f>
        <v>0</v>
      </c>
      <c r="V537" s="150">
        <f>IF(E537="","",IF(C537=1,IF($B537=1,Input!$C$33,Input!$C$34),0))</f>
        <v>0</v>
      </c>
      <c r="W537" s="156">
        <f>IF($E537="","",Input!$C$35)</f>
        <v>0.02</v>
      </c>
      <c r="X537" s="156">
        <f t="shared" si="330"/>
        <v>2.3900531424522997</v>
      </c>
      <c r="Y537" s="154"/>
      <c r="Z537" s="147">
        <f>IF($E537="","",VLOOKUP($D537,'Mortality Margins &amp; Grading'!$AB$5:$AF$125,3,0)*IF(Summary!$D$25="Included Margin",IF(AND($B537&gt;Input!$C$9,Summary!$D$31&lt;&gt;"Included Margin"),0,1),0))</f>
        <v>2.1999999999999999E-2</v>
      </c>
      <c r="AA537" s="147">
        <f>IF($E537="","",VLOOKUP($D537,'Mortality Margins &amp; Grading'!$AB$5:$AF$125,5,0)*IF(Summary!$D$25="Included Margin",IF(AND($B537&gt;Input!$C$9,Summary!$D$31&lt;&gt;"Included Margin"),0,1),0))</f>
        <v>0.113</v>
      </c>
      <c r="AB537" s="147">
        <f>IF($E537="","",IF(AND($B537&gt;Input!$C$9,Summary!$D$31&lt;&gt;"Included Margin"),1,IF(Summary!$D$25="Included Margin",VLOOKUP($B537,'Mortality Margins &amp; Grading'!$AI$5:$AR$125,MATCH('Mortality Margins &amp; Grading'!$AQ$4,'Mortality Margins &amp; Grading'!$AI$4:$AR$4,0),0),1)))</f>
        <v>0</v>
      </c>
      <c r="AC537" s="154"/>
      <c r="AD537" s="158">
        <f>IF(E537="","",Input!$C$48*IF(Summary!$D$30="Included Margin",IF(AND($B537&gt;Input!$C$9,Summary!$D$31&lt;&gt;"Included Margin"),0,1),0))</f>
        <v>-4.4999999999999997E-3</v>
      </c>
      <c r="AE537" s="159">
        <f>IF(E537="","",IF(Summary!$D$26="Included Margin",IF(AND($B537&gt;Input!$C$9,Summary!$D$31&lt;&gt;"Included Margin"),1,1/$R537),1))</f>
        <v>1.2467645556317097</v>
      </c>
      <c r="AF537" s="160">
        <f>IF(E537="","",IF(AND($B537&gt;=Input!$C$9,$C537=12,Summary!$D$31="Included Margin",$U537&gt;0),1/U537-1,IF($B537&gt;=Input!$C$9,0,Input!$C$45*IF(Summary!$D$27="Included Margin",1,0))))</f>
        <v>0</v>
      </c>
      <c r="AG537" s="160">
        <f>IF(E537="","",Input!$C$46*IF(Summary!$D$28="Included Margin",IF(AND($B537&gt;Input!$C$9,Summary!$D$31&lt;&gt;"Included Margin"),0,1),0))</f>
        <v>0.02</v>
      </c>
      <c r="AH537" s="158">
        <f>IF(E537="","",Input!$C$47*IF(Summary!$D$29="Included Margin",IF(AND($B537&gt;Input!$C$9,Summary!$D$31&lt;&gt;"Included Margin"),0,1),0))</f>
        <v>2.5000000000000001E-3</v>
      </c>
      <c r="AI537" s="154"/>
      <c r="AJ537" s="158">
        <f t="shared" si="353"/>
        <v>4.2419999999999999E-2</v>
      </c>
      <c r="AK537" s="155">
        <f t="shared" si="354"/>
        <v>3.4680776746995878E-3</v>
      </c>
      <c r="AL537" s="147">
        <f t="shared" si="355"/>
        <v>0.53464012350000001</v>
      </c>
      <c r="AM537" s="147">
        <f t="shared" si="333"/>
        <v>6.1756110580418078E-2</v>
      </c>
      <c r="AN537" s="160">
        <f t="shared" si="356"/>
        <v>0</v>
      </c>
      <c r="AO537" s="161">
        <f t="shared" si="357"/>
        <v>0</v>
      </c>
      <c r="AP537" s="156">
        <f t="shared" si="334"/>
        <v>2.6618644362015993</v>
      </c>
      <c r="AQ537" s="152"/>
      <c r="AR537" s="162">
        <f t="shared" si="335"/>
        <v>39445.548078356675</v>
      </c>
      <c r="AS537" s="150">
        <f t="shared" si="358"/>
        <v>0</v>
      </c>
      <c r="AT537" s="163">
        <f t="shared" si="336"/>
        <v>0</v>
      </c>
      <c r="AU537" s="163">
        <f t="shared" si="337"/>
        <v>6175.6110580418081</v>
      </c>
      <c r="AV537" s="163">
        <f t="shared" si="359"/>
        <v>126.09147523782667</v>
      </c>
      <c r="AW537" s="163">
        <f t="shared" si="338"/>
        <v>2198.1597714236441</v>
      </c>
      <c r="AX537" s="163">
        <f t="shared" si="339"/>
        <v>0</v>
      </c>
      <c r="AY537" s="164">
        <f t="shared" si="360"/>
        <v>35594.188266976329</v>
      </c>
      <c r="AZ537" s="164">
        <f>IF($E537="","",IF(OR(AND($D537=Input!$C$6,$C537=12),$AN537=1),0,-AS538+AT538+AU538-AV538-AW538-AX538+AZ538))</f>
        <v>35594.206804219422</v>
      </c>
      <c r="BA537" s="154">
        <f t="shared" si="340"/>
        <v>1.8537243093305733E-2</v>
      </c>
      <c r="BC537" s="147">
        <f t="shared" si="361"/>
        <v>5.2859674052679266E-4</v>
      </c>
      <c r="BD537" s="164">
        <f>IF(AND($C536=12,$D536=Input!$C$6),0,IF($E537="","",AT537+(AU537+BD538)/(1+$AK537)*MIN((1-AM537-AN537),1)))</f>
        <v>31184.852180506212</v>
      </c>
      <c r="BE537" s="164">
        <f t="shared" si="341"/>
        <v>16.484211216425425</v>
      </c>
      <c r="BF537" s="164">
        <f t="shared" si="362"/>
        <v>35594.206804219422</v>
      </c>
      <c r="BG537" s="164">
        <f t="shared" si="342"/>
        <v>18.814981698346973</v>
      </c>
      <c r="BH537" s="152"/>
      <c r="BI537" s="162">
        <f t="shared" si="343"/>
        <v>13632.432722822152</v>
      </c>
      <c r="BJ537" s="150">
        <f t="shared" si="344"/>
        <v>0</v>
      </c>
      <c r="BK537" s="163">
        <f t="shared" si="366"/>
        <v>0</v>
      </c>
      <c r="BL537" s="163">
        <f t="shared" si="345"/>
        <v>3024.1516010700689</v>
      </c>
      <c r="BM537" s="163">
        <f t="shared" si="367"/>
        <v>46.401002865143241</v>
      </c>
      <c r="BN537" s="163">
        <f t="shared" si="346"/>
        <v>332.26218675831757</v>
      </c>
      <c r="BO537" s="163">
        <f t="shared" si="347"/>
        <v>0</v>
      </c>
      <c r="BP537" s="164">
        <f t="shared" si="368"/>
        <v>10986.944311375544</v>
      </c>
      <c r="BQ537" s="164">
        <f>IF($E537="","",IF(AND($D537=Input!$C$6,$C537=12),0,-BJ538+BK538+BL538-BM538-BN538-BO538+BQ538))</f>
        <v>10986.95537091294</v>
      </c>
      <c r="BR537" s="161">
        <f t="shared" si="348"/>
        <v>0</v>
      </c>
      <c r="BT537" s="147">
        <f t="shared" si="349"/>
        <v>5.2859674052679266E-4</v>
      </c>
      <c r="BU537" s="164">
        <f>IF(AND($C536=12,$D536=Input!$C$6),0,IF($E537="","",BK537+(BL537+BU538)/(1+$AK537)*MIN((1-T537-U537),1)))</f>
        <v>72667.641501775332</v>
      </c>
      <c r="BV537" s="164">
        <f t="shared" si="350"/>
        <v>38.411878439607925</v>
      </c>
      <c r="BW537" s="164">
        <f t="shared" si="351"/>
        <v>10986.95537091294</v>
      </c>
      <c r="BX537" s="164">
        <f t="shared" si="352"/>
        <v>5.807668797377918</v>
      </c>
    </row>
    <row r="538" spans="1:76" s="150" customFormat="1" x14ac:dyDescent="0.25">
      <c r="A538" s="150">
        <f t="shared" si="363"/>
        <v>534</v>
      </c>
      <c r="B538" s="150">
        <f t="shared" si="364"/>
        <v>45</v>
      </c>
      <c r="C538" s="150">
        <f t="shared" si="365"/>
        <v>6</v>
      </c>
      <c r="D538" s="150">
        <f>IF(E538="","",Input!$C$4+B538-1)</f>
        <v>89</v>
      </c>
      <c r="E538" s="150">
        <f>IF(OR(AND(C537=12,D537=Input!$C$6),E537=""),"",1)</f>
        <v>1</v>
      </c>
      <c r="F538" s="150">
        <f>IF(E538="","",Input!$C$8+B538-1)</f>
        <v>2062</v>
      </c>
      <c r="G538" s="151">
        <f>IF(E538="","",MAX(0,Input!$C$9-B538))</f>
        <v>0</v>
      </c>
      <c r="H538" s="152">
        <f>IF(E538="","",Input!$C$3)</f>
        <v>100000</v>
      </c>
      <c r="I538" s="153">
        <f>IF(E538="","",HLOOKUP($B538,Input!$C$13:$BT$14,2))</f>
        <v>341.75050000000005</v>
      </c>
      <c r="J538" s="154"/>
      <c r="K538" s="155">
        <f>IF($E538="","",INDEX(Input!$C$16:$CP$16,1,$B538))</f>
        <v>3.1919999999999997E-2</v>
      </c>
      <c r="L538" s="155">
        <f>IF($E538="","",Input!$C$37)</f>
        <v>1.4999999999999999E-2</v>
      </c>
      <c r="M538" s="155">
        <f t="shared" si="328"/>
        <v>4.6919999999999996E-2</v>
      </c>
      <c r="N538" s="155">
        <f t="shared" si="329"/>
        <v>3.8283528416411805E-3</v>
      </c>
      <c r="O538" s="147">
        <f>IF($E538="","",MIN(VLOOKUP(IF($B538&lt;=Input!$C$7,$B538,26),'Mortality Tables'!$A$41:$CW$67,IF($B538&lt;=Input!$C$7+1,Input!$C$4+2,$D538-Input!$C$7+2),0)*IF(B538&gt;20,Input!$C$22,1)/1000,1))</f>
        <v>0.38428760000000006</v>
      </c>
      <c r="P538" s="147">
        <f>IF($E538="","",MIN(VLOOKUP(IF($B538&lt;=Input!$C$7,$B538,26),'Mortality Tables'!$A$12:$CW$37,IF($B538&lt;=Input!$C$7+1,Input!$C$4+2,$D538-Input!$C$7+2),0)*IF(B538&gt;20,Input!$C$22,1)/1000,1))</f>
        <v>0.48035950000000005</v>
      </c>
      <c r="Q538" s="155">
        <f>IF($E538="","",Input!$C$21)</f>
        <v>5.0000000000000001E-3</v>
      </c>
      <c r="R538" s="159">
        <f>IF($E538="","",(1-Q538)^($F538-Input!$C$20))</f>
        <v>0.80207605797176418</v>
      </c>
      <c r="S538" s="147">
        <f t="shared" si="331"/>
        <v>0.30822788333543016</v>
      </c>
      <c r="T538" s="147">
        <f t="shared" si="332"/>
        <v>3.0241516010700686E-2</v>
      </c>
      <c r="U538" s="160">
        <f>IF($E538="","",IF($C538=12,INDEX(Input!$C$15:$CP$15,1,$B538),0))</f>
        <v>0</v>
      </c>
      <c r="V538" s="150">
        <f>IF(E538="","",IF(C538=1,IF($B538=1,Input!$C$33,Input!$C$34),0))</f>
        <v>0</v>
      </c>
      <c r="W538" s="156">
        <f>IF($E538="","",Input!$C$35)</f>
        <v>0.02</v>
      </c>
      <c r="X538" s="156">
        <f t="shared" si="330"/>
        <v>2.3900531424522997</v>
      </c>
      <c r="Y538" s="154"/>
      <c r="Z538" s="147">
        <f>IF($E538="","",VLOOKUP($D538,'Mortality Margins &amp; Grading'!$AB$5:$AF$125,3,0)*IF(Summary!$D$25="Included Margin",IF(AND($B538&gt;Input!$C$9,Summary!$D$31&lt;&gt;"Included Margin"),0,1),0))</f>
        <v>2.1999999999999999E-2</v>
      </c>
      <c r="AA538" s="147">
        <f>IF($E538="","",VLOOKUP($D538,'Mortality Margins &amp; Grading'!$AB$5:$AF$125,5,0)*IF(Summary!$D$25="Included Margin",IF(AND($B538&gt;Input!$C$9,Summary!$D$31&lt;&gt;"Included Margin"),0,1),0))</f>
        <v>0.113</v>
      </c>
      <c r="AB538" s="147">
        <f>IF($E538="","",IF(AND($B538&gt;Input!$C$9,Summary!$D$31&lt;&gt;"Included Margin"),1,IF(Summary!$D$25="Included Margin",VLOOKUP($B538,'Mortality Margins &amp; Grading'!$AI$5:$AR$125,MATCH('Mortality Margins &amp; Grading'!$AQ$4,'Mortality Margins &amp; Grading'!$AI$4:$AR$4,0),0),1)))</f>
        <v>0</v>
      </c>
      <c r="AC538" s="154"/>
      <c r="AD538" s="158">
        <f>IF(E538="","",Input!$C$48*IF(Summary!$D$30="Included Margin",IF(AND($B538&gt;Input!$C$9,Summary!$D$31&lt;&gt;"Included Margin"),0,1),0))</f>
        <v>-4.4999999999999997E-3</v>
      </c>
      <c r="AE538" s="159">
        <f>IF(E538="","",IF(Summary!$D$26="Included Margin",IF(AND($B538&gt;Input!$C$9,Summary!$D$31&lt;&gt;"Included Margin"),1,1/$R538),1))</f>
        <v>1.2467645556317097</v>
      </c>
      <c r="AF538" s="160">
        <f>IF(E538="","",IF(AND($B538&gt;=Input!$C$9,$C538=12,Summary!$D$31="Included Margin",$U538&gt;0),1/U538-1,IF($B538&gt;=Input!$C$9,0,Input!$C$45*IF(Summary!$D$27="Included Margin",1,0))))</f>
        <v>0</v>
      </c>
      <c r="AG538" s="160">
        <f>IF(E538="","",Input!$C$46*IF(Summary!$D$28="Included Margin",IF(AND($B538&gt;Input!$C$9,Summary!$D$31&lt;&gt;"Included Margin"),0,1),0))</f>
        <v>0.02</v>
      </c>
      <c r="AH538" s="158">
        <f>IF(E538="","",Input!$C$47*IF(Summary!$D$29="Included Margin",IF(AND($B538&gt;Input!$C$9,Summary!$D$31&lt;&gt;"Included Margin"),0,1),0))</f>
        <v>2.5000000000000001E-3</v>
      </c>
      <c r="AI538" s="154"/>
      <c r="AJ538" s="158">
        <f t="shared" si="353"/>
        <v>4.2419999999999999E-2</v>
      </c>
      <c r="AK538" s="155">
        <f t="shared" si="354"/>
        <v>3.4680776746995878E-3</v>
      </c>
      <c r="AL538" s="147">
        <f t="shared" si="355"/>
        <v>0.53464012350000001</v>
      </c>
      <c r="AM538" s="147">
        <f t="shared" si="333"/>
        <v>6.1756110580418078E-2</v>
      </c>
      <c r="AN538" s="160">
        <f t="shared" si="356"/>
        <v>0</v>
      </c>
      <c r="AO538" s="161">
        <f t="shared" si="357"/>
        <v>0</v>
      </c>
      <c r="AP538" s="156">
        <f t="shared" si="334"/>
        <v>2.6618644362015993</v>
      </c>
      <c r="AQ538" s="152"/>
      <c r="AR538" s="162">
        <f t="shared" si="335"/>
        <v>35594.188266976329</v>
      </c>
      <c r="AS538" s="150">
        <f t="shared" si="358"/>
        <v>0</v>
      </c>
      <c r="AT538" s="163">
        <f t="shared" si="336"/>
        <v>0</v>
      </c>
      <c r="AU538" s="163">
        <f t="shared" si="337"/>
        <v>6175.6110580418081</v>
      </c>
      <c r="AV538" s="163">
        <f t="shared" si="359"/>
        <v>112.73466025874328</v>
      </c>
      <c r="AW538" s="163">
        <f t="shared" si="338"/>
        <v>1943.7804250395402</v>
      </c>
      <c r="AX538" s="163">
        <f t="shared" si="339"/>
        <v>0</v>
      </c>
      <c r="AY538" s="165">
        <f t="shared" si="360"/>
        <v>31475.092294232803</v>
      </c>
      <c r="AZ538" s="164">
        <f>IF($E538="","",IF(OR(AND($D538=Input!$C$6,$C538=12),$AN538=1),0,-AS539+AT539+AU539-AV539-AW539-AX539+AZ539))</f>
        <v>31475.110831475897</v>
      </c>
      <c r="BA538" s="154">
        <f t="shared" si="340"/>
        <v>1.8537243093305733E-2</v>
      </c>
      <c r="BC538" s="147">
        <f t="shared" si="361"/>
        <v>5.1261117373494749E-4</v>
      </c>
      <c r="BD538" s="164">
        <f>IF(AND($C537=12,$D537=Input!$C$6),0,IF($E538="","",AT538+(AU538+BD539)/(1+$AK538)*MIN((1-AM538-AN538),1)))</f>
        <v>27177.128057051988</v>
      </c>
      <c r="BE538" s="164">
        <f t="shared" si="341"/>
        <v>13.931299512070392</v>
      </c>
      <c r="BF538" s="164">
        <f t="shared" si="362"/>
        <v>31475.110831475897</v>
      </c>
      <c r="BG538" s="164">
        <f t="shared" si="342"/>
        <v>16.134493506760418</v>
      </c>
      <c r="BH538" s="152"/>
      <c r="BI538" s="162">
        <f t="shared" si="343"/>
        <v>10986.944311375544</v>
      </c>
      <c r="BJ538" s="150">
        <f t="shared" si="344"/>
        <v>0</v>
      </c>
      <c r="BK538" s="163">
        <f t="shared" si="366"/>
        <v>0</v>
      </c>
      <c r="BL538" s="163">
        <f t="shared" si="345"/>
        <v>3024.1516010700689</v>
      </c>
      <c r="BM538" s="163">
        <f t="shared" si="367"/>
        <v>36.273139787652809</v>
      </c>
      <c r="BN538" s="163">
        <f t="shared" si="346"/>
        <v>249.44789494214612</v>
      </c>
      <c r="BO538" s="163">
        <f t="shared" si="347"/>
        <v>0</v>
      </c>
      <c r="BP538" s="164">
        <f t="shared" si="368"/>
        <v>8248.513745035274</v>
      </c>
      <c r="BQ538" s="164">
        <f>IF($E538="","",IF(AND($D538=Input!$C$6,$C538=12),0,-BJ539+BK539+BL539-BM539-BN539-BO539+BQ539))</f>
        <v>8248.5248045726694</v>
      </c>
      <c r="BR538" s="161">
        <f t="shared" si="348"/>
        <v>0</v>
      </c>
      <c r="BT538" s="147">
        <f t="shared" si="349"/>
        <v>5.1261117373494749E-4</v>
      </c>
      <c r="BU538" s="164">
        <f>IF(AND($C537=12,$D537=Input!$C$6),0,IF($E538="","",BK538+(BL538+BU539)/(1+$AK538)*MIN((1-T538-U538),1)))</f>
        <v>72169.47622569646</v>
      </c>
      <c r="BV538" s="164">
        <f t="shared" si="350"/>
        <v>36.99487991589065</v>
      </c>
      <c r="BW538" s="164">
        <f t="shared" si="351"/>
        <v>8248.5248045726694</v>
      </c>
      <c r="BX538" s="164">
        <f t="shared" si="352"/>
        <v>4.2282859816538245</v>
      </c>
    </row>
    <row r="539" spans="1:76" s="150" customFormat="1" x14ac:dyDescent="0.25">
      <c r="A539" s="150">
        <f t="shared" si="363"/>
        <v>535</v>
      </c>
      <c r="B539" s="150">
        <f t="shared" si="364"/>
        <v>45</v>
      </c>
      <c r="C539" s="150">
        <f t="shared" si="365"/>
        <v>7</v>
      </c>
      <c r="D539" s="150">
        <f>IF(E539="","",Input!$C$4+B539-1)</f>
        <v>89</v>
      </c>
      <c r="E539" s="150">
        <f>IF(OR(AND(C538=12,D538=Input!$C$6),E538=""),"",1)</f>
        <v>1</v>
      </c>
      <c r="F539" s="150">
        <f>IF(E539="","",Input!$C$8+B539-1)</f>
        <v>2062</v>
      </c>
      <c r="G539" s="151">
        <f>IF(E539="","",MAX(0,Input!$C$9-B539))</f>
        <v>0</v>
      </c>
      <c r="H539" s="152">
        <f>IF(E539="","",Input!$C$3)</f>
        <v>100000</v>
      </c>
      <c r="I539" s="153">
        <f>IF(E539="","",HLOOKUP($B539,Input!$C$13:$BT$14,2))</f>
        <v>341.75050000000005</v>
      </c>
      <c r="J539" s="154"/>
      <c r="K539" s="155">
        <f>IF($E539="","",INDEX(Input!$C$16:$CP$16,1,$B539))</f>
        <v>3.1919999999999997E-2</v>
      </c>
      <c r="L539" s="155">
        <f>IF($E539="","",Input!$C$37)</f>
        <v>1.4999999999999999E-2</v>
      </c>
      <c r="M539" s="155">
        <f t="shared" si="328"/>
        <v>4.6919999999999996E-2</v>
      </c>
      <c r="N539" s="155">
        <f t="shared" si="329"/>
        <v>3.8283528416411805E-3</v>
      </c>
      <c r="O539" s="147">
        <f>IF($E539="","",MIN(VLOOKUP(IF($B539&lt;=Input!$C$7,$B539,26),'Mortality Tables'!$A$41:$CW$67,IF($B539&lt;=Input!$C$7+1,Input!$C$4+2,$D539-Input!$C$7+2),0)*IF(B539&gt;20,Input!$C$22,1)/1000,1))</f>
        <v>0.38428760000000006</v>
      </c>
      <c r="P539" s="147">
        <f>IF($E539="","",MIN(VLOOKUP(IF($B539&lt;=Input!$C$7,$B539,26),'Mortality Tables'!$A$12:$CW$37,IF($B539&lt;=Input!$C$7+1,Input!$C$4+2,$D539-Input!$C$7+2),0)*IF(B539&gt;20,Input!$C$22,1)/1000,1))</f>
        <v>0.48035950000000005</v>
      </c>
      <c r="Q539" s="155">
        <f>IF($E539="","",Input!$C$21)</f>
        <v>5.0000000000000001E-3</v>
      </c>
      <c r="R539" s="159">
        <f>IF($E539="","",(1-Q539)^($F539-Input!$C$20))</f>
        <v>0.80207605797176418</v>
      </c>
      <c r="S539" s="147">
        <f t="shared" si="331"/>
        <v>0.30822788333543016</v>
      </c>
      <c r="T539" s="147">
        <f t="shared" si="332"/>
        <v>3.0241516010700686E-2</v>
      </c>
      <c r="U539" s="160">
        <f>IF($E539="","",IF($C539=12,INDEX(Input!$C$15:$CP$15,1,$B539),0))</f>
        <v>0</v>
      </c>
      <c r="V539" s="150">
        <f>IF(E539="","",IF(C539=1,IF($B539=1,Input!$C$33,Input!$C$34),0))</f>
        <v>0</v>
      </c>
      <c r="W539" s="156">
        <f>IF($E539="","",Input!$C$35)</f>
        <v>0.02</v>
      </c>
      <c r="X539" s="156">
        <f t="shared" si="330"/>
        <v>2.3900531424522997</v>
      </c>
      <c r="Y539" s="154"/>
      <c r="Z539" s="147">
        <f>IF($E539="","",VLOOKUP($D539,'Mortality Margins &amp; Grading'!$AB$5:$AF$125,3,0)*IF(Summary!$D$25="Included Margin",IF(AND($B539&gt;Input!$C$9,Summary!$D$31&lt;&gt;"Included Margin"),0,1),0))</f>
        <v>2.1999999999999999E-2</v>
      </c>
      <c r="AA539" s="147">
        <f>IF($E539="","",VLOOKUP($D539,'Mortality Margins &amp; Grading'!$AB$5:$AF$125,5,0)*IF(Summary!$D$25="Included Margin",IF(AND($B539&gt;Input!$C$9,Summary!$D$31&lt;&gt;"Included Margin"),0,1),0))</f>
        <v>0.113</v>
      </c>
      <c r="AB539" s="147">
        <f>IF($E539="","",IF(AND($B539&gt;Input!$C$9,Summary!$D$31&lt;&gt;"Included Margin"),1,IF(Summary!$D$25="Included Margin",VLOOKUP($B539,'Mortality Margins &amp; Grading'!$AI$5:$AR$125,MATCH('Mortality Margins &amp; Grading'!$AQ$4,'Mortality Margins &amp; Grading'!$AI$4:$AR$4,0),0),1)))</f>
        <v>0</v>
      </c>
      <c r="AC539" s="154"/>
      <c r="AD539" s="158">
        <f>IF(E539="","",Input!$C$48*IF(Summary!$D$30="Included Margin",IF(AND($B539&gt;Input!$C$9,Summary!$D$31&lt;&gt;"Included Margin"),0,1),0))</f>
        <v>-4.4999999999999997E-3</v>
      </c>
      <c r="AE539" s="159">
        <f>IF(E539="","",IF(Summary!$D$26="Included Margin",IF(AND($B539&gt;Input!$C$9,Summary!$D$31&lt;&gt;"Included Margin"),1,1/$R539),1))</f>
        <v>1.2467645556317097</v>
      </c>
      <c r="AF539" s="160">
        <f>IF(E539="","",IF(AND($B539&gt;=Input!$C$9,$C539=12,Summary!$D$31="Included Margin",$U539&gt;0),1/U539-1,IF($B539&gt;=Input!$C$9,0,Input!$C$45*IF(Summary!$D$27="Included Margin",1,0))))</f>
        <v>0</v>
      </c>
      <c r="AG539" s="160">
        <f>IF(E539="","",Input!$C$46*IF(Summary!$D$28="Included Margin",IF(AND($B539&gt;Input!$C$9,Summary!$D$31&lt;&gt;"Included Margin"),0,1),0))</f>
        <v>0.02</v>
      </c>
      <c r="AH539" s="158">
        <f>IF(E539="","",Input!$C$47*IF(Summary!$D$29="Included Margin",IF(AND($B539&gt;Input!$C$9,Summary!$D$31&lt;&gt;"Included Margin"),0,1),0))</f>
        <v>2.5000000000000001E-3</v>
      </c>
      <c r="AI539" s="154"/>
      <c r="AJ539" s="158">
        <f t="shared" si="353"/>
        <v>4.2419999999999999E-2</v>
      </c>
      <c r="AK539" s="155">
        <f t="shared" si="354"/>
        <v>3.4680776746995878E-3</v>
      </c>
      <c r="AL539" s="147">
        <f t="shared" si="355"/>
        <v>0.53464012350000001</v>
      </c>
      <c r="AM539" s="147">
        <f t="shared" si="333"/>
        <v>6.1756110580418078E-2</v>
      </c>
      <c r="AN539" s="160">
        <f t="shared" si="356"/>
        <v>0</v>
      </c>
      <c r="AO539" s="161">
        <f t="shared" si="357"/>
        <v>0</v>
      </c>
      <c r="AP539" s="156">
        <f t="shared" si="334"/>
        <v>2.6618644362015993</v>
      </c>
      <c r="AQ539" s="152"/>
      <c r="AR539" s="162">
        <f t="shared" si="335"/>
        <v>31475.092294232807</v>
      </c>
      <c r="AS539" s="150">
        <f t="shared" si="358"/>
        <v>0</v>
      </c>
      <c r="AT539" s="163">
        <f t="shared" si="336"/>
        <v>0</v>
      </c>
      <c r="AU539" s="163">
        <f t="shared" si="337"/>
        <v>6175.6110580418081</v>
      </c>
      <c r="AV539" s="163">
        <f t="shared" si="359"/>
        <v>98.449315475726479</v>
      </c>
      <c r="AW539" s="163">
        <f t="shared" si="338"/>
        <v>1671.7173116052354</v>
      </c>
      <c r="AX539" s="163">
        <f t="shared" si="339"/>
        <v>0</v>
      </c>
      <c r="AY539" s="164">
        <f t="shared" si="360"/>
        <v>27069.647863271963</v>
      </c>
      <c r="AZ539" s="164">
        <f>IF($E539="","",IF(OR(AND($D539=Input!$C$6,$C539=12),$AN539=1),0,-AS540+AT540+AU540-AV540-AW540-AX540+AZ540))</f>
        <v>27069.666400515052</v>
      </c>
      <c r="BA539" s="154">
        <f t="shared" si="340"/>
        <v>1.8537243089667754E-2</v>
      </c>
      <c r="BC539" s="147">
        <f t="shared" si="361"/>
        <v>4.9710903471717805E-4</v>
      </c>
      <c r="BD539" s="164">
        <f>IF(AND($C538=12,$D538=Input!$C$6),0,IF($E539="","",AT539+(AU539+BD540)/(1+$AK539)*MIN((1-AM539-AN539),1)))</f>
        <v>22890.797746389388</v>
      </c>
      <c r="BE539" s="164">
        <f t="shared" si="341"/>
        <v>11.379222371613784</v>
      </c>
      <c r="BF539" s="164">
        <f t="shared" si="362"/>
        <v>27069.666400515052</v>
      </c>
      <c r="BG539" s="164">
        <f t="shared" si="342"/>
        <v>13.456575734476065</v>
      </c>
      <c r="BH539" s="152"/>
      <c r="BI539" s="162">
        <f t="shared" si="343"/>
        <v>8248.513745035274</v>
      </c>
      <c r="BJ539" s="150">
        <f t="shared" si="344"/>
        <v>0</v>
      </c>
      <c r="BK539" s="163">
        <f t="shared" si="366"/>
        <v>0</v>
      </c>
      <c r="BL539" s="163">
        <f t="shared" si="345"/>
        <v>3024.1516010700689</v>
      </c>
      <c r="BM539" s="163">
        <f t="shared" si="367"/>
        <v>25.789461347366966</v>
      </c>
      <c r="BN539" s="163">
        <f t="shared" si="346"/>
        <v>163.72414462897879</v>
      </c>
      <c r="BO539" s="163">
        <f t="shared" si="347"/>
        <v>0</v>
      </c>
      <c r="BP539" s="164">
        <f t="shared" si="368"/>
        <v>5413.8757499415515</v>
      </c>
      <c r="BQ539" s="164">
        <f>IF($E539="","",IF(AND($D539=Input!$C$6,$C539=12),0,-BJ540+BK540+BL540-BM540-BN540-BO540+BQ540))</f>
        <v>5413.8868094789459</v>
      </c>
      <c r="BR539" s="161">
        <f t="shared" si="348"/>
        <v>0</v>
      </c>
      <c r="BT539" s="147">
        <f t="shared" si="349"/>
        <v>4.9710903471717805E-4</v>
      </c>
      <c r="BU539" s="164">
        <f>IF(AND($C538=12,$D538=Input!$C$6),0,IF($E539="","",BK539+(BL539+BU540)/(1+$AK539)*MIN((1-T539-U539),1)))</f>
        <v>71653.994319423538</v>
      </c>
      <c r="BV539" s="164">
        <f t="shared" si="350"/>
        <v>35.619847949758793</v>
      </c>
      <c r="BW539" s="164">
        <f t="shared" si="351"/>
        <v>5413.8868094789459</v>
      </c>
      <c r="BX539" s="164">
        <f t="shared" si="352"/>
        <v>2.6912920459281415</v>
      </c>
    </row>
    <row r="540" spans="1:76" s="150" customFormat="1" x14ac:dyDescent="0.25">
      <c r="A540" s="150">
        <f t="shared" si="363"/>
        <v>536</v>
      </c>
      <c r="B540" s="150">
        <f t="shared" si="364"/>
        <v>45</v>
      </c>
      <c r="C540" s="150">
        <f t="shared" si="365"/>
        <v>8</v>
      </c>
      <c r="D540" s="150">
        <f>IF(E540="","",Input!$C$4+B540-1)</f>
        <v>89</v>
      </c>
      <c r="E540" s="150">
        <f>IF(OR(AND(C539=12,D539=Input!$C$6),E539=""),"",1)</f>
        <v>1</v>
      </c>
      <c r="F540" s="150">
        <f>IF(E540="","",Input!$C$8+B540-1)</f>
        <v>2062</v>
      </c>
      <c r="G540" s="151">
        <f>IF(E540="","",MAX(0,Input!$C$9-B540))</f>
        <v>0</v>
      </c>
      <c r="H540" s="152">
        <f>IF(E540="","",Input!$C$3)</f>
        <v>100000</v>
      </c>
      <c r="I540" s="153">
        <f>IF(E540="","",HLOOKUP($B540,Input!$C$13:$BT$14,2))</f>
        <v>341.75050000000005</v>
      </c>
      <c r="J540" s="154"/>
      <c r="K540" s="155">
        <f>IF($E540="","",INDEX(Input!$C$16:$CP$16,1,$B540))</f>
        <v>3.1919999999999997E-2</v>
      </c>
      <c r="L540" s="155">
        <f>IF($E540="","",Input!$C$37)</f>
        <v>1.4999999999999999E-2</v>
      </c>
      <c r="M540" s="155">
        <f t="shared" si="328"/>
        <v>4.6919999999999996E-2</v>
      </c>
      <c r="N540" s="155">
        <f t="shared" si="329"/>
        <v>3.8283528416411805E-3</v>
      </c>
      <c r="O540" s="147">
        <f>IF($E540="","",MIN(VLOOKUP(IF($B540&lt;=Input!$C$7,$B540,26),'Mortality Tables'!$A$41:$CW$67,IF($B540&lt;=Input!$C$7+1,Input!$C$4+2,$D540-Input!$C$7+2),0)*IF(B540&gt;20,Input!$C$22,1)/1000,1))</f>
        <v>0.38428760000000006</v>
      </c>
      <c r="P540" s="147">
        <f>IF($E540="","",MIN(VLOOKUP(IF($B540&lt;=Input!$C$7,$B540,26),'Mortality Tables'!$A$12:$CW$37,IF($B540&lt;=Input!$C$7+1,Input!$C$4+2,$D540-Input!$C$7+2),0)*IF(B540&gt;20,Input!$C$22,1)/1000,1))</f>
        <v>0.48035950000000005</v>
      </c>
      <c r="Q540" s="155">
        <f>IF($E540="","",Input!$C$21)</f>
        <v>5.0000000000000001E-3</v>
      </c>
      <c r="R540" s="159">
        <f>IF($E540="","",(1-Q540)^($F540-Input!$C$20))</f>
        <v>0.80207605797176418</v>
      </c>
      <c r="S540" s="147">
        <f t="shared" si="331"/>
        <v>0.30822788333543016</v>
      </c>
      <c r="T540" s="147">
        <f t="shared" si="332"/>
        <v>3.0241516010700686E-2</v>
      </c>
      <c r="U540" s="160">
        <f>IF($E540="","",IF($C540=12,INDEX(Input!$C$15:$CP$15,1,$B540),0))</f>
        <v>0</v>
      </c>
      <c r="V540" s="150">
        <f>IF(E540="","",IF(C540=1,IF($B540=1,Input!$C$33,Input!$C$34),0))</f>
        <v>0</v>
      </c>
      <c r="W540" s="156">
        <f>IF($E540="","",Input!$C$35)</f>
        <v>0.02</v>
      </c>
      <c r="X540" s="156">
        <f t="shared" si="330"/>
        <v>2.3900531424522997</v>
      </c>
      <c r="Y540" s="154"/>
      <c r="Z540" s="147">
        <f>IF($E540="","",VLOOKUP($D540,'Mortality Margins &amp; Grading'!$AB$5:$AF$125,3,0)*IF(Summary!$D$25="Included Margin",IF(AND($B540&gt;Input!$C$9,Summary!$D$31&lt;&gt;"Included Margin"),0,1),0))</f>
        <v>2.1999999999999999E-2</v>
      </c>
      <c r="AA540" s="147">
        <f>IF($E540="","",VLOOKUP($D540,'Mortality Margins &amp; Grading'!$AB$5:$AF$125,5,0)*IF(Summary!$D$25="Included Margin",IF(AND($B540&gt;Input!$C$9,Summary!$D$31&lt;&gt;"Included Margin"),0,1),0))</f>
        <v>0.113</v>
      </c>
      <c r="AB540" s="147">
        <f>IF($E540="","",IF(AND($B540&gt;Input!$C$9,Summary!$D$31&lt;&gt;"Included Margin"),1,IF(Summary!$D$25="Included Margin",VLOOKUP($B540,'Mortality Margins &amp; Grading'!$AI$5:$AR$125,MATCH('Mortality Margins &amp; Grading'!$AQ$4,'Mortality Margins &amp; Grading'!$AI$4:$AR$4,0),0),1)))</f>
        <v>0</v>
      </c>
      <c r="AC540" s="154"/>
      <c r="AD540" s="158">
        <f>IF(E540="","",Input!$C$48*IF(Summary!$D$30="Included Margin",IF(AND($B540&gt;Input!$C$9,Summary!$D$31&lt;&gt;"Included Margin"),0,1),0))</f>
        <v>-4.4999999999999997E-3</v>
      </c>
      <c r="AE540" s="159">
        <f>IF(E540="","",IF(Summary!$D$26="Included Margin",IF(AND($B540&gt;Input!$C$9,Summary!$D$31&lt;&gt;"Included Margin"),1,1/$R540),1))</f>
        <v>1.2467645556317097</v>
      </c>
      <c r="AF540" s="160">
        <f>IF(E540="","",IF(AND($B540&gt;=Input!$C$9,$C540=12,Summary!$D$31="Included Margin",$U540&gt;0),1/U540-1,IF($B540&gt;=Input!$C$9,0,Input!$C$45*IF(Summary!$D$27="Included Margin",1,0))))</f>
        <v>0</v>
      </c>
      <c r="AG540" s="160">
        <f>IF(E540="","",Input!$C$46*IF(Summary!$D$28="Included Margin",IF(AND($B540&gt;Input!$C$9,Summary!$D$31&lt;&gt;"Included Margin"),0,1),0))</f>
        <v>0.02</v>
      </c>
      <c r="AH540" s="158">
        <f>IF(E540="","",Input!$C$47*IF(Summary!$D$29="Included Margin",IF(AND($B540&gt;Input!$C$9,Summary!$D$31&lt;&gt;"Included Margin"),0,1),0))</f>
        <v>2.5000000000000001E-3</v>
      </c>
      <c r="AI540" s="154"/>
      <c r="AJ540" s="158">
        <f t="shared" si="353"/>
        <v>4.2419999999999999E-2</v>
      </c>
      <c r="AK540" s="155">
        <f t="shared" si="354"/>
        <v>3.4680776746995878E-3</v>
      </c>
      <c r="AL540" s="147">
        <f t="shared" si="355"/>
        <v>0.53464012350000001</v>
      </c>
      <c r="AM540" s="147">
        <f t="shared" si="333"/>
        <v>6.1756110580418078E-2</v>
      </c>
      <c r="AN540" s="160">
        <f t="shared" si="356"/>
        <v>0</v>
      </c>
      <c r="AO540" s="161">
        <f t="shared" si="357"/>
        <v>0</v>
      </c>
      <c r="AP540" s="156">
        <f t="shared" si="334"/>
        <v>2.6618644362015993</v>
      </c>
      <c r="AQ540" s="152"/>
      <c r="AR540" s="162">
        <f t="shared" si="335"/>
        <v>27069.647863271963</v>
      </c>
      <c r="AS540" s="150">
        <f t="shared" si="358"/>
        <v>0</v>
      </c>
      <c r="AT540" s="163">
        <f t="shared" si="336"/>
        <v>0</v>
      </c>
      <c r="AU540" s="163">
        <f t="shared" si="337"/>
        <v>6175.6110580418081</v>
      </c>
      <c r="AV540" s="163">
        <f t="shared" si="359"/>
        <v>83.170891997581549</v>
      </c>
      <c r="AW540" s="163">
        <f t="shared" si="338"/>
        <v>1380.7411032624307</v>
      </c>
      <c r="AX540" s="163">
        <f t="shared" si="339"/>
        <v>0</v>
      </c>
      <c r="AY540" s="165">
        <f t="shared" si="360"/>
        <v>22357.948800490169</v>
      </c>
      <c r="AZ540" s="164">
        <f>IF($E540="","",IF(OR(AND($D540=Input!$C$6,$C540=12),$AN540=1),0,-AS541+AT541+AU541-AV541-AW541-AX541+AZ541))</f>
        <v>22357.967337733258</v>
      </c>
      <c r="BA540" s="154">
        <f t="shared" si="340"/>
        <v>1.8537243089667754E-2</v>
      </c>
      <c r="BC540" s="147">
        <f t="shared" si="361"/>
        <v>4.8207570388471456E-4</v>
      </c>
      <c r="BD540" s="164">
        <f>IF(AND($C539=12,$D539=Input!$C$6),0,IF($E540="","",AT540+(AU540+BD541)/(1+$AK540)*MIN((1-AM540-AN540),1)))</f>
        <v>18306.493296743345</v>
      </c>
      <c r="BE540" s="164">
        <f t="shared" si="341"/>
        <v>8.825115641688356</v>
      </c>
      <c r="BF540" s="164">
        <f t="shared" si="362"/>
        <v>22357.967337733258</v>
      </c>
      <c r="BG540" s="164">
        <f t="shared" si="342"/>
        <v>10.778232841769219</v>
      </c>
      <c r="BH540" s="152"/>
      <c r="BI540" s="162">
        <f t="shared" si="343"/>
        <v>5413.8757499415515</v>
      </c>
      <c r="BJ540" s="150">
        <f t="shared" si="344"/>
        <v>0</v>
      </c>
      <c r="BK540" s="163">
        <f t="shared" si="366"/>
        <v>0</v>
      </c>
      <c r="BL540" s="163">
        <f t="shared" si="345"/>
        <v>3024.1516010700689</v>
      </c>
      <c r="BM540" s="163">
        <f t="shared" si="367"/>
        <v>14.937466923825854</v>
      </c>
      <c r="BN540" s="163">
        <f t="shared" si="346"/>
        <v>74.988719781461398</v>
      </c>
      <c r="BO540" s="163">
        <f t="shared" si="347"/>
        <v>0</v>
      </c>
      <c r="BP540" s="164">
        <f t="shared" si="368"/>
        <v>2479.65033557677</v>
      </c>
      <c r="BQ540" s="164">
        <f>IF($E540="","",IF(AND($D540=Input!$C$6,$C540=12),0,-BJ541+BK541+BL541-BM541-BN541-BO541+BQ541))</f>
        <v>2479.6613951141644</v>
      </c>
      <c r="BR540" s="161">
        <f t="shared" si="348"/>
        <v>0</v>
      </c>
      <c r="BT540" s="147">
        <f t="shared" si="349"/>
        <v>4.8207570388471456E-4</v>
      </c>
      <c r="BU540" s="164">
        <f>IF(AND($C539=12,$D539=Input!$C$6),0,IF($E540="","",BK540+(BL540+BU541)/(1+$AK540)*MIN((1-T540-U540),1)))</f>
        <v>71120.593842806018</v>
      </c>
      <c r="BV540" s="164">
        <f t="shared" si="350"/>
        <v>34.28551033746961</v>
      </c>
      <c r="BW540" s="164">
        <f t="shared" si="351"/>
        <v>2479.6613951141644</v>
      </c>
      <c r="BX540" s="164">
        <f t="shared" si="352"/>
        <v>1.1953845124454141</v>
      </c>
    </row>
    <row r="541" spans="1:76" s="150" customFormat="1" x14ac:dyDescent="0.25">
      <c r="A541" s="150">
        <f t="shared" si="363"/>
        <v>537</v>
      </c>
      <c r="B541" s="150">
        <f t="shared" si="364"/>
        <v>45</v>
      </c>
      <c r="C541" s="150">
        <f t="shared" si="365"/>
        <v>9</v>
      </c>
      <c r="D541" s="150">
        <f>IF(E541="","",Input!$C$4+B541-1)</f>
        <v>89</v>
      </c>
      <c r="E541" s="150">
        <f>IF(OR(AND(C540=12,D540=Input!$C$6),E540=""),"",1)</f>
        <v>1</v>
      </c>
      <c r="F541" s="150">
        <f>IF(E541="","",Input!$C$8+B541-1)</f>
        <v>2062</v>
      </c>
      <c r="G541" s="151">
        <f>IF(E541="","",MAX(0,Input!$C$9-B541))</f>
        <v>0</v>
      </c>
      <c r="H541" s="152">
        <f>IF(E541="","",Input!$C$3)</f>
        <v>100000</v>
      </c>
      <c r="I541" s="153">
        <f>IF(E541="","",HLOOKUP($B541,Input!$C$13:$BT$14,2))</f>
        <v>341.75050000000005</v>
      </c>
      <c r="J541" s="154"/>
      <c r="K541" s="155">
        <f>IF($E541="","",INDEX(Input!$C$16:$CP$16,1,$B541))</f>
        <v>3.1919999999999997E-2</v>
      </c>
      <c r="L541" s="155">
        <f>IF($E541="","",Input!$C$37)</f>
        <v>1.4999999999999999E-2</v>
      </c>
      <c r="M541" s="155">
        <f t="shared" si="328"/>
        <v>4.6919999999999996E-2</v>
      </c>
      <c r="N541" s="155">
        <f t="shared" si="329"/>
        <v>3.8283528416411805E-3</v>
      </c>
      <c r="O541" s="147">
        <f>IF($E541="","",MIN(VLOOKUP(IF($B541&lt;=Input!$C$7,$B541,26),'Mortality Tables'!$A$41:$CW$67,IF($B541&lt;=Input!$C$7+1,Input!$C$4+2,$D541-Input!$C$7+2),0)*IF(B541&gt;20,Input!$C$22,1)/1000,1))</f>
        <v>0.38428760000000006</v>
      </c>
      <c r="P541" s="147">
        <f>IF($E541="","",MIN(VLOOKUP(IF($B541&lt;=Input!$C$7,$B541,26),'Mortality Tables'!$A$12:$CW$37,IF($B541&lt;=Input!$C$7+1,Input!$C$4+2,$D541-Input!$C$7+2),0)*IF(B541&gt;20,Input!$C$22,1)/1000,1))</f>
        <v>0.48035950000000005</v>
      </c>
      <c r="Q541" s="155">
        <f>IF($E541="","",Input!$C$21)</f>
        <v>5.0000000000000001E-3</v>
      </c>
      <c r="R541" s="159">
        <f>IF($E541="","",(1-Q541)^($F541-Input!$C$20))</f>
        <v>0.80207605797176418</v>
      </c>
      <c r="S541" s="147">
        <f t="shared" si="331"/>
        <v>0.30822788333543016</v>
      </c>
      <c r="T541" s="147">
        <f t="shared" si="332"/>
        <v>3.0241516010700686E-2</v>
      </c>
      <c r="U541" s="160">
        <f>IF($E541="","",IF($C541=12,INDEX(Input!$C$15:$CP$15,1,$B541),0))</f>
        <v>0</v>
      </c>
      <c r="V541" s="150">
        <f>IF(E541="","",IF(C541=1,IF($B541=1,Input!$C$33,Input!$C$34),0))</f>
        <v>0</v>
      </c>
      <c r="W541" s="156">
        <f>IF($E541="","",Input!$C$35)</f>
        <v>0.02</v>
      </c>
      <c r="X541" s="156">
        <f t="shared" si="330"/>
        <v>2.3900531424522997</v>
      </c>
      <c r="Y541" s="154"/>
      <c r="Z541" s="147">
        <f>IF($E541="","",VLOOKUP($D541,'Mortality Margins &amp; Grading'!$AB$5:$AF$125,3,0)*IF(Summary!$D$25="Included Margin",IF(AND($B541&gt;Input!$C$9,Summary!$D$31&lt;&gt;"Included Margin"),0,1),0))</f>
        <v>2.1999999999999999E-2</v>
      </c>
      <c r="AA541" s="147">
        <f>IF($E541="","",VLOOKUP($D541,'Mortality Margins &amp; Grading'!$AB$5:$AF$125,5,0)*IF(Summary!$D$25="Included Margin",IF(AND($B541&gt;Input!$C$9,Summary!$D$31&lt;&gt;"Included Margin"),0,1),0))</f>
        <v>0.113</v>
      </c>
      <c r="AB541" s="147">
        <f>IF($E541="","",IF(AND($B541&gt;Input!$C$9,Summary!$D$31&lt;&gt;"Included Margin"),1,IF(Summary!$D$25="Included Margin",VLOOKUP($B541,'Mortality Margins &amp; Grading'!$AI$5:$AR$125,MATCH('Mortality Margins &amp; Grading'!$AQ$4,'Mortality Margins &amp; Grading'!$AI$4:$AR$4,0),0),1)))</f>
        <v>0</v>
      </c>
      <c r="AC541" s="154"/>
      <c r="AD541" s="158">
        <f>IF(E541="","",Input!$C$48*IF(Summary!$D$30="Included Margin",IF(AND($B541&gt;Input!$C$9,Summary!$D$31&lt;&gt;"Included Margin"),0,1),0))</f>
        <v>-4.4999999999999997E-3</v>
      </c>
      <c r="AE541" s="159">
        <f>IF(E541="","",IF(Summary!$D$26="Included Margin",IF(AND($B541&gt;Input!$C$9,Summary!$D$31&lt;&gt;"Included Margin"),1,1/$R541),1))</f>
        <v>1.2467645556317097</v>
      </c>
      <c r="AF541" s="160">
        <f>IF(E541="","",IF(AND($B541&gt;=Input!$C$9,$C541=12,Summary!$D$31="Included Margin",$U541&gt;0),1/U541-1,IF($B541&gt;=Input!$C$9,0,Input!$C$45*IF(Summary!$D$27="Included Margin",1,0))))</f>
        <v>0</v>
      </c>
      <c r="AG541" s="160">
        <f>IF(E541="","",Input!$C$46*IF(Summary!$D$28="Included Margin",IF(AND($B541&gt;Input!$C$9,Summary!$D$31&lt;&gt;"Included Margin"),0,1),0))</f>
        <v>0.02</v>
      </c>
      <c r="AH541" s="158">
        <f>IF(E541="","",Input!$C$47*IF(Summary!$D$29="Included Margin",IF(AND($B541&gt;Input!$C$9,Summary!$D$31&lt;&gt;"Included Margin"),0,1),0))</f>
        <v>2.5000000000000001E-3</v>
      </c>
      <c r="AI541" s="154"/>
      <c r="AJ541" s="158">
        <f t="shared" si="353"/>
        <v>4.2419999999999999E-2</v>
      </c>
      <c r="AK541" s="155">
        <f t="shared" si="354"/>
        <v>3.4680776746995878E-3</v>
      </c>
      <c r="AL541" s="147">
        <f t="shared" si="355"/>
        <v>0.53464012350000001</v>
      </c>
      <c r="AM541" s="147">
        <f t="shared" si="333"/>
        <v>6.1756110580418078E-2</v>
      </c>
      <c r="AN541" s="160">
        <f t="shared" si="356"/>
        <v>0</v>
      </c>
      <c r="AO541" s="161">
        <f t="shared" si="357"/>
        <v>0</v>
      </c>
      <c r="AP541" s="156">
        <f t="shared" si="334"/>
        <v>2.6618644362015993</v>
      </c>
      <c r="AQ541" s="152"/>
      <c r="AR541" s="162">
        <f t="shared" si="335"/>
        <v>22357.948800490169</v>
      </c>
      <c r="AS541" s="150">
        <f t="shared" si="358"/>
        <v>0</v>
      </c>
      <c r="AT541" s="163">
        <f t="shared" si="336"/>
        <v>0</v>
      </c>
      <c r="AU541" s="163">
        <f t="shared" si="337"/>
        <v>6175.6110580418081</v>
      </c>
      <c r="AV541" s="163">
        <f t="shared" si="359"/>
        <v>66.830353668045035</v>
      </c>
      <c r="AW541" s="163">
        <f t="shared" si="338"/>
        <v>1069.5370125910215</v>
      </c>
      <c r="AX541" s="163">
        <f t="shared" si="339"/>
        <v>0</v>
      </c>
      <c r="AY541" s="164">
        <f t="shared" si="360"/>
        <v>17318.705108707429</v>
      </c>
      <c r="AZ541" s="164">
        <f>IF($E541="","",IF(OR(AND($D541=Input!$C$6,$C541=12),$AN541=1),0,-AS542+AT542+AU542-AV542-AW542-AX542+AZ542))</f>
        <v>17318.723645950518</v>
      </c>
      <c r="BA541" s="154">
        <f t="shared" si="340"/>
        <v>1.8537243089667754E-2</v>
      </c>
      <c r="BC541" s="147">
        <f t="shared" si="361"/>
        <v>4.6749700376731517E-4</v>
      </c>
      <c r="BD541" s="164">
        <f>IF(AND($C540=12,$D540=Input!$C$6),0,IF($E541="","",AT541+(AU541+BD542)/(1+$AK541)*MIN((1-AM541-AN541),1)))</f>
        <v>13403.500348494383</v>
      </c>
      <c r="BE541" s="164">
        <f t="shared" si="341"/>
        <v>6.2660962529152888</v>
      </c>
      <c r="BF541" s="164">
        <f t="shared" si="362"/>
        <v>17318.723645950518</v>
      </c>
      <c r="BG541" s="164">
        <f t="shared" si="342"/>
        <v>8.0964514135560197</v>
      </c>
      <c r="BH541" s="152"/>
      <c r="BI541" s="162">
        <f t="shared" si="343"/>
        <v>2479.6503355767704</v>
      </c>
      <c r="BJ541" s="150">
        <f t="shared" si="344"/>
        <v>0</v>
      </c>
      <c r="BK541" s="163">
        <f t="shared" si="366"/>
        <v>0</v>
      </c>
      <c r="BL541" s="163">
        <f t="shared" si="345"/>
        <v>3024.1516010700689</v>
      </c>
      <c r="BM541" s="163">
        <f t="shared" si="367"/>
        <v>3.7042167207266741</v>
      </c>
      <c r="BN541" s="163">
        <f t="shared" si="346"/>
        <v>-16.864186724659461</v>
      </c>
      <c r="BO541" s="163">
        <f t="shared" si="347"/>
        <v>0</v>
      </c>
      <c r="BP541" s="164">
        <f t="shared" si="368"/>
        <v>-557.66123549723125</v>
      </c>
      <c r="BQ541" s="164">
        <f>IF($E541="","",IF(AND($D541=Input!$C$6,$C541=12),0,-BJ542+BK542+BL542-BM542-BN542-BO542+BQ542))</f>
        <v>-557.65017595983682</v>
      </c>
      <c r="BR541" s="161">
        <f t="shared" si="348"/>
        <v>0</v>
      </c>
      <c r="BT541" s="147">
        <f t="shared" si="349"/>
        <v>4.6749700376731517E-4</v>
      </c>
      <c r="BU541" s="164">
        <f>IF(AND($C540=12,$D540=Input!$C$6),0,IF($E541="","",BK541+(BL541+BU542)/(1+$AK541)*MIN((1-T541-U541),1)))</f>
        <v>70568.651931764121</v>
      </c>
      <c r="BV541" s="164">
        <f t="shared" si="350"/>
        <v>32.990633337998283</v>
      </c>
      <c r="BW541" s="164">
        <f t="shared" si="351"/>
        <v>-557.65017595983682</v>
      </c>
      <c r="BX541" s="164">
        <f t="shared" si="352"/>
        <v>-0.26069978641153979</v>
      </c>
    </row>
    <row r="542" spans="1:76" s="150" customFormat="1" x14ac:dyDescent="0.25">
      <c r="A542" s="150">
        <f t="shared" si="363"/>
        <v>538</v>
      </c>
      <c r="B542" s="150">
        <f t="shared" si="364"/>
        <v>45</v>
      </c>
      <c r="C542" s="150">
        <f t="shared" si="365"/>
        <v>10</v>
      </c>
      <c r="D542" s="150">
        <f>IF(E542="","",Input!$C$4+B542-1)</f>
        <v>89</v>
      </c>
      <c r="E542" s="150">
        <f>IF(OR(AND(C541=12,D541=Input!$C$6),E541=""),"",1)</f>
        <v>1</v>
      </c>
      <c r="F542" s="150">
        <f>IF(E542="","",Input!$C$8+B542-1)</f>
        <v>2062</v>
      </c>
      <c r="G542" s="151">
        <f>IF(E542="","",MAX(0,Input!$C$9-B542))</f>
        <v>0</v>
      </c>
      <c r="H542" s="152">
        <f>IF(E542="","",Input!$C$3)</f>
        <v>100000</v>
      </c>
      <c r="I542" s="153">
        <f>IF(E542="","",HLOOKUP($B542,Input!$C$13:$BT$14,2))</f>
        <v>341.75050000000005</v>
      </c>
      <c r="J542" s="154"/>
      <c r="K542" s="155">
        <f>IF($E542="","",INDEX(Input!$C$16:$CP$16,1,$B542))</f>
        <v>3.1919999999999997E-2</v>
      </c>
      <c r="L542" s="155">
        <f>IF($E542="","",Input!$C$37)</f>
        <v>1.4999999999999999E-2</v>
      </c>
      <c r="M542" s="155">
        <f t="shared" si="328"/>
        <v>4.6919999999999996E-2</v>
      </c>
      <c r="N542" s="155">
        <f t="shared" si="329"/>
        <v>3.8283528416411805E-3</v>
      </c>
      <c r="O542" s="147">
        <f>IF($E542="","",MIN(VLOOKUP(IF($B542&lt;=Input!$C$7,$B542,26),'Mortality Tables'!$A$41:$CW$67,IF($B542&lt;=Input!$C$7+1,Input!$C$4+2,$D542-Input!$C$7+2),0)*IF(B542&gt;20,Input!$C$22,1)/1000,1))</f>
        <v>0.38428760000000006</v>
      </c>
      <c r="P542" s="147">
        <f>IF($E542="","",MIN(VLOOKUP(IF($B542&lt;=Input!$C$7,$B542,26),'Mortality Tables'!$A$12:$CW$37,IF($B542&lt;=Input!$C$7+1,Input!$C$4+2,$D542-Input!$C$7+2),0)*IF(B542&gt;20,Input!$C$22,1)/1000,1))</f>
        <v>0.48035950000000005</v>
      </c>
      <c r="Q542" s="155">
        <f>IF($E542="","",Input!$C$21)</f>
        <v>5.0000000000000001E-3</v>
      </c>
      <c r="R542" s="159">
        <f>IF($E542="","",(1-Q542)^($F542-Input!$C$20))</f>
        <v>0.80207605797176418</v>
      </c>
      <c r="S542" s="147">
        <f t="shared" si="331"/>
        <v>0.30822788333543016</v>
      </c>
      <c r="T542" s="147">
        <f t="shared" si="332"/>
        <v>3.0241516010700686E-2</v>
      </c>
      <c r="U542" s="160">
        <f>IF($E542="","",IF($C542=12,INDEX(Input!$C$15:$CP$15,1,$B542),0))</f>
        <v>0</v>
      </c>
      <c r="V542" s="150">
        <f>IF(E542="","",IF(C542=1,IF($B542=1,Input!$C$33,Input!$C$34),0))</f>
        <v>0</v>
      </c>
      <c r="W542" s="156">
        <f>IF($E542="","",Input!$C$35)</f>
        <v>0.02</v>
      </c>
      <c r="X542" s="156">
        <f t="shared" si="330"/>
        <v>2.3900531424522997</v>
      </c>
      <c r="Y542" s="154"/>
      <c r="Z542" s="147">
        <f>IF($E542="","",VLOOKUP($D542,'Mortality Margins &amp; Grading'!$AB$5:$AF$125,3,0)*IF(Summary!$D$25="Included Margin",IF(AND($B542&gt;Input!$C$9,Summary!$D$31&lt;&gt;"Included Margin"),0,1),0))</f>
        <v>2.1999999999999999E-2</v>
      </c>
      <c r="AA542" s="147">
        <f>IF($E542="","",VLOOKUP($D542,'Mortality Margins &amp; Grading'!$AB$5:$AF$125,5,0)*IF(Summary!$D$25="Included Margin",IF(AND($B542&gt;Input!$C$9,Summary!$D$31&lt;&gt;"Included Margin"),0,1),0))</f>
        <v>0.113</v>
      </c>
      <c r="AB542" s="147">
        <f>IF($E542="","",IF(AND($B542&gt;Input!$C$9,Summary!$D$31&lt;&gt;"Included Margin"),1,IF(Summary!$D$25="Included Margin",VLOOKUP($B542,'Mortality Margins &amp; Grading'!$AI$5:$AR$125,MATCH('Mortality Margins &amp; Grading'!$AQ$4,'Mortality Margins &amp; Grading'!$AI$4:$AR$4,0),0),1)))</f>
        <v>0</v>
      </c>
      <c r="AC542" s="154"/>
      <c r="AD542" s="158">
        <f>IF(E542="","",Input!$C$48*IF(Summary!$D$30="Included Margin",IF(AND($B542&gt;Input!$C$9,Summary!$D$31&lt;&gt;"Included Margin"),0,1),0))</f>
        <v>-4.4999999999999997E-3</v>
      </c>
      <c r="AE542" s="159">
        <f>IF(E542="","",IF(Summary!$D$26="Included Margin",IF(AND($B542&gt;Input!$C$9,Summary!$D$31&lt;&gt;"Included Margin"),1,1/$R542),1))</f>
        <v>1.2467645556317097</v>
      </c>
      <c r="AF542" s="160">
        <f>IF(E542="","",IF(AND($B542&gt;=Input!$C$9,$C542=12,Summary!$D$31="Included Margin",$U542&gt;0),1/U542-1,IF($B542&gt;=Input!$C$9,0,Input!$C$45*IF(Summary!$D$27="Included Margin",1,0))))</f>
        <v>0</v>
      </c>
      <c r="AG542" s="160">
        <f>IF(E542="","",Input!$C$46*IF(Summary!$D$28="Included Margin",IF(AND($B542&gt;Input!$C$9,Summary!$D$31&lt;&gt;"Included Margin"),0,1),0))</f>
        <v>0.02</v>
      </c>
      <c r="AH542" s="158">
        <f>IF(E542="","",Input!$C$47*IF(Summary!$D$29="Included Margin",IF(AND($B542&gt;Input!$C$9,Summary!$D$31&lt;&gt;"Included Margin"),0,1),0))</f>
        <v>2.5000000000000001E-3</v>
      </c>
      <c r="AI542" s="154"/>
      <c r="AJ542" s="158">
        <f t="shared" si="353"/>
        <v>4.2419999999999999E-2</v>
      </c>
      <c r="AK542" s="155">
        <f t="shared" si="354"/>
        <v>3.4680776746995878E-3</v>
      </c>
      <c r="AL542" s="147">
        <f t="shared" si="355"/>
        <v>0.53464012350000001</v>
      </c>
      <c r="AM542" s="147">
        <f t="shared" si="333"/>
        <v>6.1756110580418078E-2</v>
      </c>
      <c r="AN542" s="160">
        <f t="shared" si="356"/>
        <v>0</v>
      </c>
      <c r="AO542" s="161">
        <f t="shared" si="357"/>
        <v>0</v>
      </c>
      <c r="AP542" s="156">
        <f t="shared" si="334"/>
        <v>2.6618644362015993</v>
      </c>
      <c r="AQ542" s="152"/>
      <c r="AR542" s="162">
        <f t="shared" si="335"/>
        <v>17318.705108707425</v>
      </c>
      <c r="AS542" s="150">
        <f t="shared" si="358"/>
        <v>0</v>
      </c>
      <c r="AT542" s="163">
        <f t="shared" si="336"/>
        <v>0</v>
      </c>
      <c r="AU542" s="163">
        <f t="shared" si="337"/>
        <v>6175.6110580418081</v>
      </c>
      <c r="AV542" s="163">
        <f t="shared" si="359"/>
        <v>49.353865123202567</v>
      </c>
      <c r="AW542" s="163">
        <f t="shared" si="338"/>
        <v>736.69885169052566</v>
      </c>
      <c r="AX542" s="163">
        <f t="shared" si="339"/>
        <v>0</v>
      </c>
      <c r="AY542" s="165">
        <f t="shared" si="360"/>
        <v>11929.146767479346</v>
      </c>
      <c r="AZ542" s="164">
        <f>IF($E542="","",IF(OR(AND($D542=Input!$C$6,$C542=12),$AN542=1),0,-AS543+AT543+AU543-AV543-AW543-AX543+AZ543))</f>
        <v>11929.165304722439</v>
      </c>
      <c r="BA542" s="154">
        <f t="shared" si="340"/>
        <v>1.8537243093305733E-2</v>
      </c>
      <c r="BC542" s="147">
        <f t="shared" si="361"/>
        <v>4.5335918564293133E-4</v>
      </c>
      <c r="BD542" s="164">
        <f>IF(AND($C541=12,$D541=Input!$C$6),0,IF($E542="","",AT542+(AU542+BD543)/(1+$AK542)*MIN((1-AM542-AN542),1)))</f>
        <v>8159.6645355314977</v>
      </c>
      <c r="BE542" s="164">
        <f t="shared" si="341"/>
        <v>3.6992588689480672</v>
      </c>
      <c r="BF542" s="164">
        <f t="shared" si="362"/>
        <v>11929.165304722439</v>
      </c>
      <c r="BG542" s="164">
        <f t="shared" si="342"/>
        <v>5.408196667948876</v>
      </c>
      <c r="BH542" s="152"/>
      <c r="BI542" s="162">
        <f t="shared" si="343"/>
        <v>-557.66123549723125</v>
      </c>
      <c r="BJ542" s="150">
        <f t="shared" si="344"/>
        <v>0</v>
      </c>
      <c r="BK542" s="163">
        <f t="shared" si="366"/>
        <v>0</v>
      </c>
      <c r="BL542" s="163">
        <f t="shared" si="345"/>
        <v>3024.1516010700689</v>
      </c>
      <c r="BM542" s="163">
        <f t="shared" si="367"/>
        <v>-7.9236836633441188</v>
      </c>
      <c r="BN542" s="163">
        <f t="shared" si="346"/>
        <v>-111.94409926376338</v>
      </c>
      <c r="BO542" s="163">
        <f t="shared" si="347"/>
        <v>0</v>
      </c>
      <c r="BP542" s="164">
        <f t="shared" si="368"/>
        <v>-3701.6806194944074</v>
      </c>
      <c r="BQ542" s="164">
        <f>IF($E542="","",IF(AND($D542=Input!$C$6,$C542=12),0,-BJ543+BK543+BL543-BM543-BN543-BO543+BQ543))</f>
        <v>-3701.669559957013</v>
      </c>
      <c r="BR542" s="161">
        <f t="shared" si="348"/>
        <v>0</v>
      </c>
      <c r="BT542" s="147">
        <f t="shared" si="349"/>
        <v>4.5335918564293133E-4</v>
      </c>
      <c r="BU542" s="164">
        <f>IF(AND($C541=12,$D541=Input!$C$6),0,IF($E542="","",BK542+(BL542+BU543)/(1+$AK542)*MIN((1-T542-U542),1)))</f>
        <v>69997.524070956017</v>
      </c>
      <c r="BV542" s="164">
        <f t="shared" si="350"/>
        <v>31.734020509830103</v>
      </c>
      <c r="BW542" s="164">
        <f t="shared" si="351"/>
        <v>-3701.669559957013</v>
      </c>
      <c r="BX542" s="164">
        <f t="shared" si="352"/>
        <v>-1.6781858972213395</v>
      </c>
    </row>
    <row r="543" spans="1:76" s="150" customFormat="1" x14ac:dyDescent="0.25">
      <c r="A543" s="150">
        <f t="shared" si="363"/>
        <v>539</v>
      </c>
      <c r="B543" s="150">
        <f t="shared" si="364"/>
        <v>45</v>
      </c>
      <c r="C543" s="150">
        <f t="shared" si="365"/>
        <v>11</v>
      </c>
      <c r="D543" s="150">
        <f>IF(E543="","",Input!$C$4+B543-1)</f>
        <v>89</v>
      </c>
      <c r="E543" s="150">
        <f>IF(OR(AND(C542=12,D542=Input!$C$6),E542=""),"",1)</f>
        <v>1</v>
      </c>
      <c r="F543" s="150">
        <f>IF(E543="","",Input!$C$8+B543-1)</f>
        <v>2062</v>
      </c>
      <c r="G543" s="151">
        <f>IF(E543="","",MAX(0,Input!$C$9-B543))</f>
        <v>0</v>
      </c>
      <c r="H543" s="152">
        <f>IF(E543="","",Input!$C$3)</f>
        <v>100000</v>
      </c>
      <c r="I543" s="153">
        <f>IF(E543="","",HLOOKUP($B543,Input!$C$13:$BT$14,2))</f>
        <v>341.75050000000005</v>
      </c>
      <c r="J543" s="154"/>
      <c r="K543" s="155">
        <f>IF($E543="","",INDEX(Input!$C$16:$CP$16,1,$B543))</f>
        <v>3.1919999999999997E-2</v>
      </c>
      <c r="L543" s="155">
        <f>IF($E543="","",Input!$C$37)</f>
        <v>1.4999999999999999E-2</v>
      </c>
      <c r="M543" s="155">
        <f t="shared" si="328"/>
        <v>4.6919999999999996E-2</v>
      </c>
      <c r="N543" s="155">
        <f t="shared" si="329"/>
        <v>3.8283528416411805E-3</v>
      </c>
      <c r="O543" s="147">
        <f>IF($E543="","",MIN(VLOOKUP(IF($B543&lt;=Input!$C$7,$B543,26),'Mortality Tables'!$A$41:$CW$67,IF($B543&lt;=Input!$C$7+1,Input!$C$4+2,$D543-Input!$C$7+2),0)*IF(B543&gt;20,Input!$C$22,1)/1000,1))</f>
        <v>0.38428760000000006</v>
      </c>
      <c r="P543" s="147">
        <f>IF($E543="","",MIN(VLOOKUP(IF($B543&lt;=Input!$C$7,$B543,26),'Mortality Tables'!$A$12:$CW$37,IF($B543&lt;=Input!$C$7+1,Input!$C$4+2,$D543-Input!$C$7+2),0)*IF(B543&gt;20,Input!$C$22,1)/1000,1))</f>
        <v>0.48035950000000005</v>
      </c>
      <c r="Q543" s="155">
        <f>IF($E543="","",Input!$C$21)</f>
        <v>5.0000000000000001E-3</v>
      </c>
      <c r="R543" s="159">
        <f>IF($E543="","",(1-Q543)^($F543-Input!$C$20))</f>
        <v>0.80207605797176418</v>
      </c>
      <c r="S543" s="147">
        <f t="shared" si="331"/>
        <v>0.30822788333543016</v>
      </c>
      <c r="T543" s="147">
        <f t="shared" si="332"/>
        <v>3.0241516010700686E-2</v>
      </c>
      <c r="U543" s="160">
        <f>IF($E543="","",IF($C543=12,INDEX(Input!$C$15:$CP$15,1,$B543),0))</f>
        <v>0</v>
      </c>
      <c r="V543" s="150">
        <f>IF(E543="","",IF(C543=1,IF($B543=1,Input!$C$33,Input!$C$34),0))</f>
        <v>0</v>
      </c>
      <c r="W543" s="156">
        <f>IF($E543="","",Input!$C$35)</f>
        <v>0.02</v>
      </c>
      <c r="X543" s="156">
        <f t="shared" si="330"/>
        <v>2.3900531424522997</v>
      </c>
      <c r="Y543" s="154"/>
      <c r="Z543" s="147">
        <f>IF($E543="","",VLOOKUP($D543,'Mortality Margins &amp; Grading'!$AB$5:$AF$125,3,0)*IF(Summary!$D$25="Included Margin",IF(AND($B543&gt;Input!$C$9,Summary!$D$31&lt;&gt;"Included Margin"),0,1),0))</f>
        <v>2.1999999999999999E-2</v>
      </c>
      <c r="AA543" s="147">
        <f>IF($E543="","",VLOOKUP($D543,'Mortality Margins &amp; Grading'!$AB$5:$AF$125,5,0)*IF(Summary!$D$25="Included Margin",IF(AND($B543&gt;Input!$C$9,Summary!$D$31&lt;&gt;"Included Margin"),0,1),0))</f>
        <v>0.113</v>
      </c>
      <c r="AB543" s="147">
        <f>IF($E543="","",IF(AND($B543&gt;Input!$C$9,Summary!$D$31&lt;&gt;"Included Margin"),1,IF(Summary!$D$25="Included Margin",VLOOKUP($B543,'Mortality Margins &amp; Grading'!$AI$5:$AR$125,MATCH('Mortality Margins &amp; Grading'!$AQ$4,'Mortality Margins &amp; Grading'!$AI$4:$AR$4,0),0),1)))</f>
        <v>0</v>
      </c>
      <c r="AC543" s="154"/>
      <c r="AD543" s="158">
        <f>IF(E543="","",Input!$C$48*IF(Summary!$D$30="Included Margin",IF(AND($B543&gt;Input!$C$9,Summary!$D$31&lt;&gt;"Included Margin"),0,1),0))</f>
        <v>-4.4999999999999997E-3</v>
      </c>
      <c r="AE543" s="159">
        <f>IF(E543="","",IF(Summary!$D$26="Included Margin",IF(AND($B543&gt;Input!$C$9,Summary!$D$31&lt;&gt;"Included Margin"),1,1/$R543),1))</f>
        <v>1.2467645556317097</v>
      </c>
      <c r="AF543" s="160">
        <f>IF(E543="","",IF(AND($B543&gt;=Input!$C$9,$C543=12,Summary!$D$31="Included Margin",$U543&gt;0),1/U543-1,IF($B543&gt;=Input!$C$9,0,Input!$C$45*IF(Summary!$D$27="Included Margin",1,0))))</f>
        <v>0</v>
      </c>
      <c r="AG543" s="160">
        <f>IF(E543="","",Input!$C$46*IF(Summary!$D$28="Included Margin",IF(AND($B543&gt;Input!$C$9,Summary!$D$31&lt;&gt;"Included Margin"),0,1),0))</f>
        <v>0.02</v>
      </c>
      <c r="AH543" s="158">
        <f>IF(E543="","",Input!$C$47*IF(Summary!$D$29="Included Margin",IF(AND($B543&gt;Input!$C$9,Summary!$D$31&lt;&gt;"Included Margin"),0,1),0))</f>
        <v>2.5000000000000001E-3</v>
      </c>
      <c r="AI543" s="154"/>
      <c r="AJ543" s="158">
        <f t="shared" si="353"/>
        <v>4.2419999999999999E-2</v>
      </c>
      <c r="AK543" s="155">
        <f t="shared" si="354"/>
        <v>3.4680776746995878E-3</v>
      </c>
      <c r="AL543" s="147">
        <f t="shared" si="355"/>
        <v>0.53464012350000001</v>
      </c>
      <c r="AM543" s="147">
        <f t="shared" si="333"/>
        <v>6.1756110580418078E-2</v>
      </c>
      <c r="AN543" s="160">
        <f t="shared" si="356"/>
        <v>0</v>
      </c>
      <c r="AO543" s="161">
        <f t="shared" si="357"/>
        <v>0</v>
      </c>
      <c r="AP543" s="156">
        <f t="shared" si="334"/>
        <v>2.6618644362015993</v>
      </c>
      <c r="AQ543" s="152"/>
      <c r="AR543" s="162">
        <f t="shared" si="335"/>
        <v>11929.146767479346</v>
      </c>
      <c r="AS543" s="150">
        <f t="shared" si="358"/>
        <v>0</v>
      </c>
      <c r="AT543" s="163">
        <f t="shared" si="336"/>
        <v>0</v>
      </c>
      <c r="AU543" s="163">
        <f t="shared" si="337"/>
        <v>6175.6110580418081</v>
      </c>
      <c r="AV543" s="163">
        <f t="shared" si="359"/>
        <v>30.662458163498524</v>
      </c>
      <c r="AW543" s="163">
        <f t="shared" si="338"/>
        <v>380.72267826485268</v>
      </c>
      <c r="AX543" s="163">
        <f t="shared" si="339"/>
        <v>0</v>
      </c>
      <c r="AY543" s="164">
        <f t="shared" si="360"/>
        <v>6164.9208458658886</v>
      </c>
      <c r="AZ543" s="164">
        <f>IF($E543="","",IF(OR(AND($D543=Input!$C$6,$C543=12),$AN543=1),0,-AS544+AT544+AU544-AV544-AW544-AX544+AZ544))</f>
        <v>6164.9393831089819</v>
      </c>
      <c r="BA543" s="154">
        <f t="shared" si="340"/>
        <v>1.8537243093305733E-2</v>
      </c>
      <c r="BC543" s="147">
        <f t="shared" si="361"/>
        <v>4.3964891657171241E-4</v>
      </c>
      <c r="BD543" s="164">
        <f>IF(AND($C542=12,$D542=Input!$C$6),0,IF($E543="","",AT543+(AU543+BD544)/(1+$AK543)*MIN((1-AM543-AN543),1)))</f>
        <v>2551.2913798791719</v>
      </c>
      <c r="BE543" s="164">
        <f t="shared" si="341"/>
        <v>1.121672491022627</v>
      </c>
      <c r="BF543" s="164">
        <f t="shared" si="362"/>
        <v>6164.9393831089819</v>
      </c>
      <c r="BG543" s="164">
        <f t="shared" si="342"/>
        <v>2.7104089205141451</v>
      </c>
      <c r="BH543" s="152"/>
      <c r="BI543" s="162">
        <f t="shared" si="343"/>
        <v>-3701.6806194944083</v>
      </c>
      <c r="BJ543" s="150">
        <f t="shared" si="344"/>
        <v>0</v>
      </c>
      <c r="BK543" s="163">
        <f t="shared" si="366"/>
        <v>0</v>
      </c>
      <c r="BL543" s="163">
        <f t="shared" si="345"/>
        <v>3024.1516010700689</v>
      </c>
      <c r="BM543" s="163">
        <f t="shared" si="367"/>
        <v>-19.960099206244667</v>
      </c>
      <c r="BN543" s="163">
        <f t="shared" si="346"/>
        <v>-210.36439005599033</v>
      </c>
      <c r="BO543" s="163">
        <f t="shared" si="347"/>
        <v>0</v>
      </c>
      <c r="BP543" s="164">
        <f t="shared" si="368"/>
        <v>-6956.1567098267124</v>
      </c>
      <c r="BQ543" s="164">
        <f>IF($E543="","",IF(AND($D543=Input!$C$6,$C543=12),0,-BJ544+BK544+BL544-BM544-BN544-BO544+BQ544))</f>
        <v>-6956.145650289317</v>
      </c>
      <c r="BR543" s="161">
        <f t="shared" si="348"/>
        <v>0</v>
      </c>
      <c r="BT543" s="147">
        <f t="shared" si="349"/>
        <v>4.3964891657171241E-4</v>
      </c>
      <c r="BU543" s="164">
        <f>IF(AND($C542=12,$D542=Input!$C$6),0,IF($E543="","",BK543+(BL543+BU544)/(1+$AK543)*MIN((1-T543-U543),1)))</f>
        <v>69406.543341162382</v>
      </c>
      <c r="BV543" s="164">
        <f t="shared" si="350"/>
        <v>30.514511582929643</v>
      </c>
      <c r="BW543" s="164">
        <f t="shared" si="351"/>
        <v>-6956.145650289317</v>
      </c>
      <c r="BX543" s="164">
        <f t="shared" si="352"/>
        <v>-3.0582618986647283</v>
      </c>
    </row>
    <row r="544" spans="1:76" s="150" customFormat="1" x14ac:dyDescent="0.25">
      <c r="A544" s="150">
        <f t="shared" si="363"/>
        <v>540</v>
      </c>
      <c r="B544" s="150">
        <f t="shared" si="364"/>
        <v>45</v>
      </c>
      <c r="C544" s="150">
        <f t="shared" si="365"/>
        <v>12</v>
      </c>
      <c r="D544" s="150">
        <f>IF(E544="","",Input!$C$4+B544-1)</f>
        <v>89</v>
      </c>
      <c r="E544" s="150">
        <f>IF(OR(AND(C543=12,D543=Input!$C$6),E543=""),"",1)</f>
        <v>1</v>
      </c>
      <c r="F544" s="150">
        <f>IF(E544="","",Input!$C$8+B544-1)</f>
        <v>2062</v>
      </c>
      <c r="G544" s="151">
        <f>IF(E544="","",MAX(0,Input!$C$9-B544))</f>
        <v>0</v>
      </c>
      <c r="H544" s="152">
        <f>IF(E544="","",Input!$C$3)</f>
        <v>100000</v>
      </c>
      <c r="I544" s="153">
        <f>IF(E544="","",HLOOKUP($B544,Input!$C$13:$BT$14,2))</f>
        <v>341.75050000000005</v>
      </c>
      <c r="J544" s="154"/>
      <c r="K544" s="155">
        <f>IF($E544="","",INDEX(Input!$C$16:$CP$16,1,$B544))</f>
        <v>3.1919999999999997E-2</v>
      </c>
      <c r="L544" s="155">
        <f>IF($E544="","",Input!$C$37)</f>
        <v>1.4999999999999999E-2</v>
      </c>
      <c r="M544" s="155">
        <f t="shared" si="328"/>
        <v>4.6919999999999996E-2</v>
      </c>
      <c r="N544" s="155">
        <f t="shared" si="329"/>
        <v>3.8283528416411805E-3</v>
      </c>
      <c r="O544" s="147">
        <f>IF($E544="","",MIN(VLOOKUP(IF($B544&lt;=Input!$C$7,$B544,26),'Mortality Tables'!$A$41:$CW$67,IF($B544&lt;=Input!$C$7+1,Input!$C$4+2,$D544-Input!$C$7+2),0)*IF(B544&gt;20,Input!$C$22,1)/1000,1))</f>
        <v>0.38428760000000006</v>
      </c>
      <c r="P544" s="147">
        <f>IF($E544="","",MIN(VLOOKUP(IF($B544&lt;=Input!$C$7,$B544,26),'Mortality Tables'!$A$12:$CW$37,IF($B544&lt;=Input!$C$7+1,Input!$C$4+2,$D544-Input!$C$7+2),0)*IF(B544&gt;20,Input!$C$22,1)/1000,1))</f>
        <v>0.48035950000000005</v>
      </c>
      <c r="Q544" s="155">
        <f>IF($E544="","",Input!$C$21)</f>
        <v>5.0000000000000001E-3</v>
      </c>
      <c r="R544" s="159">
        <f>IF($E544="","",(1-Q544)^($F544-Input!$C$20))</f>
        <v>0.80207605797176418</v>
      </c>
      <c r="S544" s="147">
        <f t="shared" si="331"/>
        <v>0.30822788333543016</v>
      </c>
      <c r="T544" s="147">
        <f t="shared" si="332"/>
        <v>3.0241516010700686E-2</v>
      </c>
      <c r="U544" s="160">
        <f>IF($E544="","",IF($C544=12,INDEX(Input!$C$15:$CP$15,1,$B544),0))</f>
        <v>0.1</v>
      </c>
      <c r="V544" s="150">
        <f>IF(E544="","",IF(C544=1,IF($B544=1,Input!$C$33,Input!$C$34),0))</f>
        <v>0</v>
      </c>
      <c r="W544" s="156">
        <f>IF($E544="","",Input!$C$35)</f>
        <v>0.02</v>
      </c>
      <c r="X544" s="156">
        <f t="shared" si="330"/>
        <v>2.3900531424522997</v>
      </c>
      <c r="Y544" s="154"/>
      <c r="Z544" s="147">
        <f>IF($E544="","",VLOOKUP($D544,'Mortality Margins &amp; Grading'!$AB$5:$AF$125,3,0)*IF(Summary!$D$25="Included Margin",IF(AND($B544&gt;Input!$C$9,Summary!$D$31&lt;&gt;"Included Margin"),0,1),0))</f>
        <v>2.1999999999999999E-2</v>
      </c>
      <c r="AA544" s="147">
        <f>IF($E544="","",VLOOKUP($D544,'Mortality Margins &amp; Grading'!$AB$5:$AF$125,5,0)*IF(Summary!$D$25="Included Margin",IF(AND($B544&gt;Input!$C$9,Summary!$D$31&lt;&gt;"Included Margin"),0,1),0))</f>
        <v>0.113</v>
      </c>
      <c r="AB544" s="147">
        <f>IF($E544="","",IF(AND($B544&gt;Input!$C$9,Summary!$D$31&lt;&gt;"Included Margin"),1,IF(Summary!$D$25="Included Margin",VLOOKUP($B544,'Mortality Margins &amp; Grading'!$AI$5:$AR$125,MATCH('Mortality Margins &amp; Grading'!$AQ$4,'Mortality Margins &amp; Grading'!$AI$4:$AR$4,0),0),1)))</f>
        <v>0</v>
      </c>
      <c r="AC544" s="154"/>
      <c r="AD544" s="158">
        <f>IF(E544="","",Input!$C$48*IF(Summary!$D$30="Included Margin",IF(AND($B544&gt;Input!$C$9,Summary!$D$31&lt;&gt;"Included Margin"),0,1),0))</f>
        <v>-4.4999999999999997E-3</v>
      </c>
      <c r="AE544" s="159">
        <f>IF(E544="","",IF(Summary!$D$26="Included Margin",IF(AND($B544&gt;Input!$C$9,Summary!$D$31&lt;&gt;"Included Margin"),1,1/$R544),1))</f>
        <v>1.2467645556317097</v>
      </c>
      <c r="AF544" s="160">
        <f>IF(E544="","",IF(AND($B544&gt;=Input!$C$9,$C544=12,Summary!$D$31="Included Margin",$U544&gt;0),1/U544-1,IF($B544&gt;=Input!$C$9,0,Input!$C$45*IF(Summary!$D$27="Included Margin",1,0))))</f>
        <v>9</v>
      </c>
      <c r="AG544" s="160">
        <f>IF(E544="","",Input!$C$46*IF(Summary!$D$28="Included Margin",IF(AND($B544&gt;Input!$C$9,Summary!$D$31&lt;&gt;"Included Margin"),0,1),0))</f>
        <v>0.02</v>
      </c>
      <c r="AH544" s="158">
        <f>IF(E544="","",Input!$C$47*IF(Summary!$D$29="Included Margin",IF(AND($B544&gt;Input!$C$9,Summary!$D$31&lt;&gt;"Included Margin"),0,1),0))</f>
        <v>2.5000000000000001E-3</v>
      </c>
      <c r="AI544" s="154"/>
      <c r="AJ544" s="158">
        <f t="shared" si="353"/>
        <v>4.2419999999999999E-2</v>
      </c>
      <c r="AK544" s="155">
        <f t="shared" si="354"/>
        <v>3.4680776746995878E-3</v>
      </c>
      <c r="AL544" s="147">
        <f t="shared" si="355"/>
        <v>0.53464012350000001</v>
      </c>
      <c r="AM544" s="147">
        <f t="shared" si="333"/>
        <v>6.1756110580418078E-2</v>
      </c>
      <c r="AN544" s="160">
        <f t="shared" si="356"/>
        <v>1</v>
      </c>
      <c r="AO544" s="161">
        <f t="shared" si="357"/>
        <v>0</v>
      </c>
      <c r="AP544" s="156">
        <f t="shared" si="334"/>
        <v>2.6618644362015993</v>
      </c>
      <c r="AQ544" s="152"/>
      <c r="AR544" s="162">
        <f t="shared" si="335"/>
        <v>6164.9208458658895</v>
      </c>
      <c r="AS544" s="150">
        <f t="shared" si="358"/>
        <v>0</v>
      </c>
      <c r="AT544" s="163">
        <f t="shared" si="336"/>
        <v>0</v>
      </c>
      <c r="AU544" s="163">
        <f t="shared" si="337"/>
        <v>6175.6110580418081</v>
      </c>
      <c r="AV544" s="163">
        <f t="shared" si="359"/>
        <v>10.671674932826242</v>
      </c>
      <c r="AW544" s="163">
        <f t="shared" si="338"/>
        <v>0</v>
      </c>
      <c r="AX544" s="163">
        <f t="shared" si="339"/>
        <v>0</v>
      </c>
      <c r="AY544" s="165">
        <f t="shared" si="360"/>
        <v>-1.8537243092289657E-2</v>
      </c>
      <c r="AZ544" s="164">
        <f>IF($E544="","",IF(OR(AND($D544=Input!$C$6,$C544=12),$AN544=1),0,-AS545+AT545+AU545-AV545-AW545-AX545+AZ545))</f>
        <v>0</v>
      </c>
      <c r="BA544" s="154">
        <f t="shared" si="340"/>
        <v>1.8537243092289657E-2</v>
      </c>
      <c r="BC544" s="147">
        <f t="shared" si="361"/>
        <v>3.8238837516495054E-4</v>
      </c>
      <c r="BD544" s="164">
        <f>IF(AND($C543=12,$D543=Input!$C$6),0,IF($E544="","",AT544+(AU544+BD545)/(1+$AK544)*MIN((1-AM544-AN544),1)))</f>
        <v>-3446.960772731512</v>
      </c>
      <c r="BE544" s="164">
        <f t="shared" si="341"/>
        <v>-1.3180777291421253</v>
      </c>
      <c r="BF544" s="164">
        <f t="shared" si="362"/>
        <v>0</v>
      </c>
      <c r="BG544" s="164">
        <f t="shared" si="342"/>
        <v>0</v>
      </c>
      <c r="BH544" s="152"/>
      <c r="BI544" s="162">
        <f t="shared" si="343"/>
        <v>-6956.1567098267124</v>
      </c>
      <c r="BJ544" s="150">
        <f t="shared" si="344"/>
        <v>0</v>
      </c>
      <c r="BK544" s="163">
        <f t="shared" si="366"/>
        <v>0</v>
      </c>
      <c r="BL544" s="163">
        <f t="shared" si="345"/>
        <v>3024.1516010700689</v>
      </c>
      <c r="BM544" s="163">
        <f t="shared" si="367"/>
        <v>-32.419381994721626</v>
      </c>
      <c r="BN544" s="163">
        <f t="shared" si="346"/>
        <v>-346.93601594555889</v>
      </c>
      <c r="BO544" s="163">
        <f t="shared" si="347"/>
        <v>-1112.5240703726786</v>
      </c>
      <c r="BP544" s="164">
        <f t="shared" si="368"/>
        <v>-11472.18777920974</v>
      </c>
      <c r="BQ544" s="164">
        <f>IF($E544="","",IF(AND($D544=Input!$C$6,$C544=12),0,-BJ545+BK545+BL545-BM545-BN545-BO545+BQ545))</f>
        <v>-11472.176719672345</v>
      </c>
      <c r="BR544" s="161">
        <f t="shared" si="348"/>
        <v>0</v>
      </c>
      <c r="BT544" s="147">
        <f t="shared" si="349"/>
        <v>3.8238837516495054E-4</v>
      </c>
      <c r="BU544" s="164">
        <f>IF(AND($C543=12,$D543=Input!$C$6),0,IF($E544="","",BK544+(BL544+BU545)/(1+$AK544)*MIN((1-T544-U544),1)))</f>
        <v>68795.019640509345</v>
      </c>
      <c r="BV544" s="164">
        <f t="shared" si="350"/>
        <v>26.306415779775229</v>
      </c>
      <c r="BW544" s="164">
        <f t="shared" si="351"/>
        <v>-11472.176719672345</v>
      </c>
      <c r="BX544" s="164">
        <f t="shared" si="352"/>
        <v>-4.3868270154406801</v>
      </c>
    </row>
    <row r="545" spans="1:76" s="150" customFormat="1" x14ac:dyDescent="0.25">
      <c r="A545" s="150">
        <f t="shared" si="363"/>
        <v>541</v>
      </c>
      <c r="B545" s="150">
        <f t="shared" si="364"/>
        <v>46</v>
      </c>
      <c r="C545" s="150">
        <f t="shared" si="365"/>
        <v>1</v>
      </c>
      <c r="D545" s="150">
        <f>IF(E545="","",Input!$C$4+B545-1)</f>
        <v>90</v>
      </c>
      <c r="E545" s="150">
        <f>IF(OR(AND(C544=12,D544=Input!$C$6),E544=""),"",1)</f>
        <v>1</v>
      </c>
      <c r="F545" s="150">
        <f>IF(E545="","",Input!$C$8+B545-1)</f>
        <v>2063</v>
      </c>
      <c r="G545" s="151">
        <f>IF(E545="","",MAX(0,Input!$C$9-B545))</f>
        <v>0</v>
      </c>
      <c r="H545" s="152">
        <f>IF(E545="","",Input!$C$3)</f>
        <v>100000</v>
      </c>
      <c r="I545" s="153">
        <f>IF(E545="","",HLOOKUP($B545,Input!$C$13:$BT$14,2))</f>
        <v>385.09100000000007</v>
      </c>
      <c r="J545" s="154"/>
      <c r="K545" s="155">
        <f>IF($E545="","",INDEX(Input!$C$16:$CP$16,1,$B545))</f>
        <v>3.2039999999999999E-2</v>
      </c>
      <c r="L545" s="155">
        <f>IF($E545="","",Input!$C$37)</f>
        <v>1.4999999999999999E-2</v>
      </c>
      <c r="M545" s="155">
        <f t="shared" si="328"/>
        <v>4.7039999999999998E-2</v>
      </c>
      <c r="N545" s="155">
        <f t="shared" si="329"/>
        <v>3.8379407339397265E-3</v>
      </c>
      <c r="O545" s="147">
        <f>IF($E545="","",MIN(VLOOKUP(IF($B545&lt;=Input!$C$7,$B545,26),'Mortality Tables'!$A$41:$CW$67,IF($B545&lt;=Input!$C$7+1,Input!$C$4+2,$D545-Input!$C$7+2),0)*IF(B545&gt;20,Input!$C$22,1)/1000,1))</f>
        <v>0.43260400000000004</v>
      </c>
      <c r="P545" s="147">
        <f>IF($E545="","",MIN(VLOOKUP(IF($B545&lt;=Input!$C$7,$B545,26),'Mortality Tables'!$A$12:$CW$37,IF($B545&lt;=Input!$C$7+1,Input!$C$4+2,$D545-Input!$C$7+2),0)*IF(B545&gt;20,Input!$C$22,1)/1000,1))</f>
        <v>0.54075499999999999</v>
      </c>
      <c r="Q545" s="155">
        <f>IF($E545="","",Input!$C$21)</f>
        <v>5.0000000000000001E-3</v>
      </c>
      <c r="R545" s="159">
        <f>IF($E545="","",(1-Q545)^($F545-Input!$C$20))</f>
        <v>0.79806567768190539</v>
      </c>
      <c r="S545" s="147">
        <f t="shared" si="331"/>
        <v>0.34524640442790305</v>
      </c>
      <c r="T545" s="147">
        <f t="shared" si="332"/>
        <v>3.4675880275227944E-2</v>
      </c>
      <c r="U545" s="160">
        <f>IF($E545="","",IF($C545=12,INDEX(Input!$C$15:$CP$15,1,$B545),0))</f>
        <v>0</v>
      </c>
      <c r="V545" s="150">
        <f>IF(E545="","",IF(C545=1,IF($B545=1,Input!$C$33,Input!$C$34),0))</f>
        <v>50</v>
      </c>
      <c r="W545" s="156">
        <f>IF($E545="","",Input!$C$35)</f>
        <v>0.02</v>
      </c>
      <c r="X545" s="156">
        <f t="shared" si="330"/>
        <v>2.4378542053013459</v>
      </c>
      <c r="Y545" s="154"/>
      <c r="Z545" s="147">
        <f>IF($E545="","",VLOOKUP($D545,'Mortality Margins &amp; Grading'!$AB$5:$AF$125,3,0)*IF(Summary!$D$25="Included Margin",IF(AND($B545&gt;Input!$C$9,Summary!$D$31&lt;&gt;"Included Margin"),0,1),0))</f>
        <v>2.1000000000000001E-2</v>
      </c>
      <c r="AA545" s="147">
        <f>IF($E545="","",VLOOKUP($D545,'Mortality Margins &amp; Grading'!$AB$5:$AF$125,5,0)*IF(Summary!$D$25="Included Margin",IF(AND($B545&gt;Input!$C$9,Summary!$D$31&lt;&gt;"Included Margin"),0,1),0))</f>
        <v>0.107</v>
      </c>
      <c r="AB545" s="147">
        <f>IF($E545="","",IF(AND($B545&gt;Input!$C$9,Summary!$D$31&lt;&gt;"Included Margin"),1,IF(Summary!$D$25="Included Margin",VLOOKUP($B545,'Mortality Margins &amp; Grading'!$AI$5:$AR$125,MATCH('Mortality Margins &amp; Grading'!$AQ$4,'Mortality Margins &amp; Grading'!$AI$4:$AR$4,0),0),1)))</f>
        <v>0</v>
      </c>
      <c r="AC545" s="154"/>
      <c r="AD545" s="158">
        <f>IF(E545="","",Input!$C$48*IF(Summary!$D$30="Included Margin",IF(AND($B545&gt;Input!$C$9,Summary!$D$31&lt;&gt;"Included Margin"),0,1),0))</f>
        <v>-4.4999999999999997E-3</v>
      </c>
      <c r="AE545" s="159">
        <f>IF(E545="","",IF(Summary!$D$26="Included Margin",IF(AND($B545&gt;Input!$C$9,Summary!$D$31&lt;&gt;"Included Margin"),1,1/$R545),1))</f>
        <v>1.2530297041524721</v>
      </c>
      <c r="AF545" s="160">
        <f>IF(E545="","",IF(AND($B545&gt;=Input!$C$9,$C545=12,Summary!$D$31="Included Margin",$U545&gt;0),1/U545-1,IF($B545&gt;=Input!$C$9,0,Input!$C$45*IF(Summary!$D$27="Included Margin",1,0))))</f>
        <v>0</v>
      </c>
      <c r="AG545" s="160">
        <f>IF(E545="","",Input!$C$46*IF(Summary!$D$28="Included Margin",IF(AND($B545&gt;Input!$C$9,Summary!$D$31&lt;&gt;"Included Margin"),0,1),0))</f>
        <v>0.02</v>
      </c>
      <c r="AH545" s="158">
        <f>IF(E545="","",Input!$C$47*IF(Summary!$D$29="Included Margin",IF(AND($B545&gt;Input!$C$9,Summary!$D$31&lt;&gt;"Included Margin"),0,1),0))</f>
        <v>2.5000000000000001E-3</v>
      </c>
      <c r="AI545" s="154"/>
      <c r="AJ545" s="158">
        <f t="shared" si="353"/>
        <v>4.2540000000000001E-2</v>
      </c>
      <c r="AK545" s="155">
        <f t="shared" si="354"/>
        <v>3.4777034986164246E-3</v>
      </c>
      <c r="AL545" s="147">
        <f t="shared" si="355"/>
        <v>0.59861578500000001</v>
      </c>
      <c r="AM545" s="147">
        <f t="shared" si="333"/>
        <v>7.3248372381571114E-2</v>
      </c>
      <c r="AN545" s="160">
        <f t="shared" si="356"/>
        <v>0</v>
      </c>
      <c r="AO545" s="161">
        <f t="shared" si="357"/>
        <v>51</v>
      </c>
      <c r="AP545" s="156">
        <f t="shared" si="334"/>
        <v>2.7217563860161351</v>
      </c>
      <c r="AQ545" s="152"/>
      <c r="AR545" s="162">
        <f t="shared" si="335"/>
        <v>20443.638091160155</v>
      </c>
      <c r="AS545" s="150">
        <f t="shared" si="358"/>
        <v>38509.100000000006</v>
      </c>
      <c r="AT545" s="163">
        <f t="shared" si="336"/>
        <v>138.80957568682288</v>
      </c>
      <c r="AU545" s="163">
        <f t="shared" si="337"/>
        <v>7324.8372381571116</v>
      </c>
      <c r="AV545" s="163">
        <f t="shared" si="359"/>
        <v>191.80059892067052</v>
      </c>
      <c r="AW545" s="163">
        <f t="shared" si="338"/>
        <v>4084.7436570861241</v>
      </c>
      <c r="AX545" s="163">
        <f t="shared" si="339"/>
        <v>0</v>
      </c>
      <c r="AY545" s="164">
        <f t="shared" si="360"/>
        <v>55765.635533323031</v>
      </c>
      <c r="AZ545" s="164">
        <f>IF($E545="","",IF(OR(AND($D545=Input!$C$6,$C545=12),$AN545=1),0,-AS546+AT546+AU546-AV546-AW546-AX546+AZ546))</f>
        <v>55765.657642296268</v>
      </c>
      <c r="BA545" s="154">
        <f t="shared" si="340"/>
        <v>2.2108973236754537E-2</v>
      </c>
      <c r="BC545" s="147">
        <f t="shared" si="361"/>
        <v>3.6912872164909176E-4</v>
      </c>
      <c r="BD545" s="164">
        <f>IF(AND($C544=12,$D544=Input!$C$6),0,IF($E545="","",AT545+(AU545+BD546)/(1+$AK545)*MIN((1-AM545-AN545),1)))</f>
        <v>49833.665885149567</v>
      </c>
      <c r="BE545" s="164">
        <f t="shared" si="341"/>
        <v>18.395037383273213</v>
      </c>
      <c r="BF545" s="164">
        <f t="shared" si="362"/>
        <v>55765.657642296268</v>
      </c>
      <c r="BG545" s="164">
        <f t="shared" si="342"/>
        <v>20.584705917421726</v>
      </c>
      <c r="BH545" s="152"/>
      <c r="BI545" s="162">
        <f t="shared" si="343"/>
        <v>-11472.18946442561</v>
      </c>
      <c r="BJ545" s="150">
        <f t="shared" si="344"/>
        <v>38509.100000000006</v>
      </c>
      <c r="BK545" s="163">
        <f t="shared" si="366"/>
        <v>121.89271026506729</v>
      </c>
      <c r="BL545" s="163">
        <f t="shared" si="345"/>
        <v>3467.5880275227942</v>
      </c>
      <c r="BM545" s="163">
        <f t="shared" si="367"/>
        <v>96.644044596792781</v>
      </c>
      <c r="BN545" s="163">
        <f t="shared" si="346"/>
        <v>845.73866021074787</v>
      </c>
      <c r="BO545" s="163">
        <f t="shared" si="347"/>
        <v>0</v>
      </c>
      <c r="BP545" s="164">
        <f t="shared" si="368"/>
        <v>24389.812502594075</v>
      </c>
      <c r="BQ545" s="164">
        <f>IF($E545="","",IF(AND($D545=Input!$C$6,$C545=12),0,-BJ546+BK546+BL546-BM546-BN546-BO546+BQ546))</f>
        <v>24389.825247347333</v>
      </c>
      <c r="BR545" s="161">
        <f t="shared" si="348"/>
        <v>0</v>
      </c>
      <c r="BT545" s="147">
        <f t="shared" si="349"/>
        <v>3.6912872164909176E-4</v>
      </c>
      <c r="BU545" s="164">
        <f>IF(AND($C544=12,$D544=Input!$C$6),0,IF($E545="","",BK545+(BL545+BU546)/(1+$AK545)*MIN((1-T545-U545),1)))</f>
        <v>76346.854699001196</v>
      </c>
      <c r="BV545" s="164">
        <f t="shared" si="350"/>
        <v>28.181816876971265</v>
      </c>
      <c r="BW545" s="164">
        <f t="shared" si="351"/>
        <v>24389.825247347333</v>
      </c>
      <c r="BX545" s="164">
        <f t="shared" si="352"/>
        <v>9.0029850147980639</v>
      </c>
    </row>
    <row r="546" spans="1:76" s="150" customFormat="1" x14ac:dyDescent="0.25">
      <c r="A546" s="150">
        <f t="shared" si="363"/>
        <v>542</v>
      </c>
      <c r="B546" s="150">
        <f t="shared" si="364"/>
        <v>46</v>
      </c>
      <c r="C546" s="150">
        <f t="shared" si="365"/>
        <v>2</v>
      </c>
      <c r="D546" s="150">
        <f>IF(E546="","",Input!$C$4+B546-1)</f>
        <v>90</v>
      </c>
      <c r="E546" s="150">
        <f>IF(OR(AND(C545=12,D545=Input!$C$6),E545=""),"",1)</f>
        <v>1</v>
      </c>
      <c r="F546" s="150">
        <f>IF(E546="","",Input!$C$8+B546-1)</f>
        <v>2063</v>
      </c>
      <c r="G546" s="151">
        <f>IF(E546="","",MAX(0,Input!$C$9-B546))</f>
        <v>0</v>
      </c>
      <c r="H546" s="152">
        <f>IF(E546="","",Input!$C$3)</f>
        <v>100000</v>
      </c>
      <c r="I546" s="153">
        <f>IF(E546="","",HLOOKUP($B546,Input!$C$13:$BT$14,2))</f>
        <v>385.09100000000007</v>
      </c>
      <c r="J546" s="154"/>
      <c r="K546" s="155">
        <f>IF($E546="","",INDEX(Input!$C$16:$CP$16,1,$B546))</f>
        <v>3.2039999999999999E-2</v>
      </c>
      <c r="L546" s="155">
        <f>IF($E546="","",Input!$C$37)</f>
        <v>1.4999999999999999E-2</v>
      </c>
      <c r="M546" s="155">
        <f t="shared" si="328"/>
        <v>4.7039999999999998E-2</v>
      </c>
      <c r="N546" s="155">
        <f t="shared" si="329"/>
        <v>3.8379407339397265E-3</v>
      </c>
      <c r="O546" s="147">
        <f>IF($E546="","",MIN(VLOOKUP(IF($B546&lt;=Input!$C$7,$B546,26),'Mortality Tables'!$A$41:$CW$67,IF($B546&lt;=Input!$C$7+1,Input!$C$4+2,$D546-Input!$C$7+2),0)*IF(B546&gt;20,Input!$C$22,1)/1000,1))</f>
        <v>0.43260400000000004</v>
      </c>
      <c r="P546" s="147">
        <f>IF($E546="","",MIN(VLOOKUP(IF($B546&lt;=Input!$C$7,$B546,26),'Mortality Tables'!$A$12:$CW$37,IF($B546&lt;=Input!$C$7+1,Input!$C$4+2,$D546-Input!$C$7+2),0)*IF(B546&gt;20,Input!$C$22,1)/1000,1))</f>
        <v>0.54075499999999999</v>
      </c>
      <c r="Q546" s="155">
        <f>IF($E546="","",Input!$C$21)</f>
        <v>5.0000000000000001E-3</v>
      </c>
      <c r="R546" s="159">
        <f>IF($E546="","",(1-Q546)^($F546-Input!$C$20))</f>
        <v>0.79806567768190539</v>
      </c>
      <c r="S546" s="147">
        <f t="shared" si="331"/>
        <v>0.34524640442790305</v>
      </c>
      <c r="T546" s="147">
        <f t="shared" si="332"/>
        <v>3.4675880275227944E-2</v>
      </c>
      <c r="U546" s="160">
        <f>IF($E546="","",IF($C546=12,INDEX(Input!$C$15:$CP$15,1,$B546),0))</f>
        <v>0</v>
      </c>
      <c r="V546" s="150">
        <f>IF(E546="","",IF(C546=1,IF($B546=1,Input!$C$33,Input!$C$34),0))</f>
        <v>0</v>
      </c>
      <c r="W546" s="156">
        <f>IF($E546="","",Input!$C$35)</f>
        <v>0.02</v>
      </c>
      <c r="X546" s="156">
        <f t="shared" si="330"/>
        <v>2.4378542053013459</v>
      </c>
      <c r="Y546" s="154"/>
      <c r="Z546" s="147">
        <f>IF($E546="","",VLOOKUP($D546,'Mortality Margins &amp; Grading'!$AB$5:$AF$125,3,0)*IF(Summary!$D$25="Included Margin",IF(AND($B546&gt;Input!$C$9,Summary!$D$31&lt;&gt;"Included Margin"),0,1),0))</f>
        <v>2.1000000000000001E-2</v>
      </c>
      <c r="AA546" s="147">
        <f>IF($E546="","",VLOOKUP($D546,'Mortality Margins &amp; Grading'!$AB$5:$AF$125,5,0)*IF(Summary!$D$25="Included Margin",IF(AND($B546&gt;Input!$C$9,Summary!$D$31&lt;&gt;"Included Margin"),0,1),0))</f>
        <v>0.107</v>
      </c>
      <c r="AB546" s="147">
        <f>IF($E546="","",IF(AND($B546&gt;Input!$C$9,Summary!$D$31&lt;&gt;"Included Margin"),1,IF(Summary!$D$25="Included Margin",VLOOKUP($B546,'Mortality Margins &amp; Grading'!$AI$5:$AR$125,MATCH('Mortality Margins &amp; Grading'!$AQ$4,'Mortality Margins &amp; Grading'!$AI$4:$AR$4,0),0),1)))</f>
        <v>0</v>
      </c>
      <c r="AC546" s="154"/>
      <c r="AD546" s="158">
        <f>IF(E546="","",Input!$C$48*IF(Summary!$D$30="Included Margin",IF(AND($B546&gt;Input!$C$9,Summary!$D$31&lt;&gt;"Included Margin"),0,1),0))</f>
        <v>-4.4999999999999997E-3</v>
      </c>
      <c r="AE546" s="159">
        <f>IF(E546="","",IF(Summary!$D$26="Included Margin",IF(AND($B546&gt;Input!$C$9,Summary!$D$31&lt;&gt;"Included Margin"),1,1/$R546),1))</f>
        <v>1.2530297041524721</v>
      </c>
      <c r="AF546" s="160">
        <f>IF(E546="","",IF(AND($B546&gt;=Input!$C$9,$C546=12,Summary!$D$31="Included Margin",$U546&gt;0),1/U546-1,IF($B546&gt;=Input!$C$9,0,Input!$C$45*IF(Summary!$D$27="Included Margin",1,0))))</f>
        <v>0</v>
      </c>
      <c r="AG546" s="160">
        <f>IF(E546="","",Input!$C$46*IF(Summary!$D$28="Included Margin",IF(AND($B546&gt;Input!$C$9,Summary!$D$31&lt;&gt;"Included Margin"),0,1),0))</f>
        <v>0.02</v>
      </c>
      <c r="AH546" s="158">
        <f>IF(E546="","",Input!$C$47*IF(Summary!$D$29="Included Margin",IF(AND($B546&gt;Input!$C$9,Summary!$D$31&lt;&gt;"Included Margin"),0,1),0))</f>
        <v>2.5000000000000001E-3</v>
      </c>
      <c r="AI546" s="154"/>
      <c r="AJ546" s="158">
        <f t="shared" si="353"/>
        <v>4.2540000000000001E-2</v>
      </c>
      <c r="AK546" s="155">
        <f t="shared" si="354"/>
        <v>3.4777034986164246E-3</v>
      </c>
      <c r="AL546" s="147">
        <f t="shared" si="355"/>
        <v>0.59861578500000001</v>
      </c>
      <c r="AM546" s="147">
        <f t="shared" si="333"/>
        <v>7.3248372381571114E-2</v>
      </c>
      <c r="AN546" s="160">
        <f t="shared" si="356"/>
        <v>0</v>
      </c>
      <c r="AO546" s="161">
        <f t="shared" si="357"/>
        <v>0</v>
      </c>
      <c r="AP546" s="156">
        <f t="shared" si="334"/>
        <v>2.7217563860161351</v>
      </c>
      <c r="AQ546" s="152"/>
      <c r="AR546" s="162">
        <f t="shared" si="335"/>
        <v>55765.635533323017</v>
      </c>
      <c r="AS546" s="150">
        <f t="shared" si="358"/>
        <v>0</v>
      </c>
      <c r="AT546" s="163">
        <f t="shared" si="336"/>
        <v>0</v>
      </c>
      <c r="AU546" s="163">
        <f t="shared" si="337"/>
        <v>7324.8372381571116</v>
      </c>
      <c r="AV546" s="163">
        <f t="shared" si="359"/>
        <v>181.19953975183844</v>
      </c>
      <c r="AW546" s="163">
        <f t="shared" si="338"/>
        <v>3842.9755251108913</v>
      </c>
      <c r="AX546" s="163">
        <f t="shared" si="339"/>
        <v>0</v>
      </c>
      <c r="AY546" s="165">
        <f t="shared" si="360"/>
        <v>52464.973360028642</v>
      </c>
      <c r="AZ546" s="164">
        <f>IF($E546="","",IF(OR(AND($D546=Input!$C$6,$C546=12),$AN546=1),0,-AS547+AT547+AU547-AV547-AW547-AX547+AZ547))</f>
        <v>52464.995469001886</v>
      </c>
      <c r="BA546" s="154">
        <f t="shared" si="340"/>
        <v>2.2108973244030494E-2</v>
      </c>
      <c r="BC546" s="147">
        <f t="shared" si="361"/>
        <v>3.5632885829103991E-4</v>
      </c>
      <c r="BD546" s="164">
        <f>IF(AND($C545=12,$D545=Input!$C$6),0,IF($E546="","",AT546+(AU546+BD547)/(1+$AK546)*MIN((1-AM546-AN546),1)))</f>
        <v>46484.272774698904</v>
      </c>
      <c r="BE546" s="164">
        <f t="shared" si="341"/>
        <v>16.563687846297729</v>
      </c>
      <c r="BF546" s="164">
        <f t="shared" si="362"/>
        <v>52464.995469001886</v>
      </c>
      <c r="BG546" s="164">
        <f t="shared" si="342"/>
        <v>18.694791935714022</v>
      </c>
      <c r="BH546" s="152"/>
      <c r="BI546" s="162">
        <f t="shared" si="343"/>
        <v>24389.812502594075</v>
      </c>
      <c r="BJ546" s="150">
        <f t="shared" si="344"/>
        <v>0</v>
      </c>
      <c r="BK546" s="163">
        <f t="shared" si="366"/>
        <v>0</v>
      </c>
      <c r="BL546" s="163">
        <f t="shared" si="345"/>
        <v>3467.5880275227942</v>
      </c>
      <c r="BM546" s="163">
        <f t="shared" si="367"/>
        <v>86.952456227182495</v>
      </c>
      <c r="BN546" s="163">
        <f t="shared" si="346"/>
        <v>754.68138731893896</v>
      </c>
      <c r="BO546" s="163">
        <f t="shared" si="347"/>
        <v>0</v>
      </c>
      <c r="BP546" s="164">
        <f t="shared" si="368"/>
        <v>21763.858318617404</v>
      </c>
      <c r="BQ546" s="164">
        <f>IF($E546="","",IF(AND($D546=Input!$C$6,$C546=12),0,-BJ547+BK547+BL547-BM547-BN547-BO547+BQ547))</f>
        <v>21763.871063370661</v>
      </c>
      <c r="BR546" s="161">
        <f t="shared" si="348"/>
        <v>0</v>
      </c>
      <c r="BT546" s="147">
        <f t="shared" si="349"/>
        <v>3.5632885829103991E-4</v>
      </c>
      <c r="BU546" s="164">
        <f>IF(AND($C545=12,$D545=Input!$C$6),0,IF($E546="","",BK546+(BL546+BU547)/(1+$AK546)*MIN((1-T546-U546),1)))</f>
        <v>75770.098302675484</v>
      </c>
      <c r="BV546" s="164">
        <f t="shared" si="350"/>
        <v>26.999072620792216</v>
      </c>
      <c r="BW546" s="164">
        <f t="shared" si="351"/>
        <v>21763.871063370661</v>
      </c>
      <c r="BX546" s="164">
        <f t="shared" si="352"/>
        <v>7.755095328004268</v>
      </c>
    </row>
    <row r="547" spans="1:76" s="150" customFormat="1" x14ac:dyDescent="0.25">
      <c r="A547" s="150">
        <f t="shared" si="363"/>
        <v>543</v>
      </c>
      <c r="B547" s="150">
        <f t="shared" si="364"/>
        <v>46</v>
      </c>
      <c r="C547" s="150">
        <f t="shared" si="365"/>
        <v>3</v>
      </c>
      <c r="D547" s="150">
        <f>IF(E547="","",Input!$C$4+B547-1)</f>
        <v>90</v>
      </c>
      <c r="E547" s="150">
        <f>IF(OR(AND(C546=12,D546=Input!$C$6),E546=""),"",1)</f>
        <v>1</v>
      </c>
      <c r="F547" s="150">
        <f>IF(E547="","",Input!$C$8+B547-1)</f>
        <v>2063</v>
      </c>
      <c r="G547" s="151">
        <f>IF(E547="","",MAX(0,Input!$C$9-B547))</f>
        <v>0</v>
      </c>
      <c r="H547" s="152">
        <f>IF(E547="","",Input!$C$3)</f>
        <v>100000</v>
      </c>
      <c r="I547" s="153">
        <f>IF(E547="","",HLOOKUP($B547,Input!$C$13:$BT$14,2))</f>
        <v>385.09100000000007</v>
      </c>
      <c r="J547" s="154"/>
      <c r="K547" s="155">
        <f>IF($E547="","",INDEX(Input!$C$16:$CP$16,1,$B547))</f>
        <v>3.2039999999999999E-2</v>
      </c>
      <c r="L547" s="155">
        <f>IF($E547="","",Input!$C$37)</f>
        <v>1.4999999999999999E-2</v>
      </c>
      <c r="M547" s="155">
        <f t="shared" si="328"/>
        <v>4.7039999999999998E-2</v>
      </c>
      <c r="N547" s="155">
        <f t="shared" si="329"/>
        <v>3.8379407339397265E-3</v>
      </c>
      <c r="O547" s="147">
        <f>IF($E547="","",MIN(VLOOKUP(IF($B547&lt;=Input!$C$7,$B547,26),'Mortality Tables'!$A$41:$CW$67,IF($B547&lt;=Input!$C$7+1,Input!$C$4+2,$D547-Input!$C$7+2),0)*IF(B547&gt;20,Input!$C$22,1)/1000,1))</f>
        <v>0.43260400000000004</v>
      </c>
      <c r="P547" s="147">
        <f>IF($E547="","",MIN(VLOOKUP(IF($B547&lt;=Input!$C$7,$B547,26),'Mortality Tables'!$A$12:$CW$37,IF($B547&lt;=Input!$C$7+1,Input!$C$4+2,$D547-Input!$C$7+2),0)*IF(B547&gt;20,Input!$C$22,1)/1000,1))</f>
        <v>0.54075499999999999</v>
      </c>
      <c r="Q547" s="155">
        <f>IF($E547="","",Input!$C$21)</f>
        <v>5.0000000000000001E-3</v>
      </c>
      <c r="R547" s="159">
        <f>IF($E547="","",(1-Q547)^($F547-Input!$C$20))</f>
        <v>0.79806567768190539</v>
      </c>
      <c r="S547" s="147">
        <f t="shared" si="331"/>
        <v>0.34524640442790305</v>
      </c>
      <c r="T547" s="147">
        <f t="shared" si="332"/>
        <v>3.4675880275227944E-2</v>
      </c>
      <c r="U547" s="160">
        <f>IF($E547="","",IF($C547=12,INDEX(Input!$C$15:$CP$15,1,$B547),0))</f>
        <v>0</v>
      </c>
      <c r="V547" s="150">
        <f>IF(E547="","",IF(C547=1,IF($B547=1,Input!$C$33,Input!$C$34),0))</f>
        <v>0</v>
      </c>
      <c r="W547" s="156">
        <f>IF($E547="","",Input!$C$35)</f>
        <v>0.02</v>
      </c>
      <c r="X547" s="156">
        <f t="shared" si="330"/>
        <v>2.4378542053013459</v>
      </c>
      <c r="Y547" s="154"/>
      <c r="Z547" s="147">
        <f>IF($E547="","",VLOOKUP($D547,'Mortality Margins &amp; Grading'!$AB$5:$AF$125,3,0)*IF(Summary!$D$25="Included Margin",IF(AND($B547&gt;Input!$C$9,Summary!$D$31&lt;&gt;"Included Margin"),0,1),0))</f>
        <v>2.1000000000000001E-2</v>
      </c>
      <c r="AA547" s="147">
        <f>IF($E547="","",VLOOKUP($D547,'Mortality Margins &amp; Grading'!$AB$5:$AF$125,5,0)*IF(Summary!$D$25="Included Margin",IF(AND($B547&gt;Input!$C$9,Summary!$D$31&lt;&gt;"Included Margin"),0,1),0))</f>
        <v>0.107</v>
      </c>
      <c r="AB547" s="147">
        <f>IF($E547="","",IF(AND($B547&gt;Input!$C$9,Summary!$D$31&lt;&gt;"Included Margin"),1,IF(Summary!$D$25="Included Margin",VLOOKUP($B547,'Mortality Margins &amp; Grading'!$AI$5:$AR$125,MATCH('Mortality Margins &amp; Grading'!$AQ$4,'Mortality Margins &amp; Grading'!$AI$4:$AR$4,0),0),1)))</f>
        <v>0</v>
      </c>
      <c r="AC547" s="154"/>
      <c r="AD547" s="158">
        <f>IF(E547="","",Input!$C$48*IF(Summary!$D$30="Included Margin",IF(AND($B547&gt;Input!$C$9,Summary!$D$31&lt;&gt;"Included Margin"),0,1),0))</f>
        <v>-4.4999999999999997E-3</v>
      </c>
      <c r="AE547" s="159">
        <f>IF(E547="","",IF(Summary!$D$26="Included Margin",IF(AND($B547&gt;Input!$C$9,Summary!$D$31&lt;&gt;"Included Margin"),1,1/$R547),1))</f>
        <v>1.2530297041524721</v>
      </c>
      <c r="AF547" s="160">
        <f>IF(E547="","",IF(AND($B547&gt;=Input!$C$9,$C547=12,Summary!$D$31="Included Margin",$U547&gt;0),1/U547-1,IF($B547&gt;=Input!$C$9,0,Input!$C$45*IF(Summary!$D$27="Included Margin",1,0))))</f>
        <v>0</v>
      </c>
      <c r="AG547" s="160">
        <f>IF(E547="","",Input!$C$46*IF(Summary!$D$28="Included Margin",IF(AND($B547&gt;Input!$C$9,Summary!$D$31&lt;&gt;"Included Margin"),0,1),0))</f>
        <v>0.02</v>
      </c>
      <c r="AH547" s="158">
        <f>IF(E547="","",Input!$C$47*IF(Summary!$D$29="Included Margin",IF(AND($B547&gt;Input!$C$9,Summary!$D$31&lt;&gt;"Included Margin"),0,1),0))</f>
        <v>2.5000000000000001E-3</v>
      </c>
      <c r="AI547" s="154"/>
      <c r="AJ547" s="158">
        <f t="shared" si="353"/>
        <v>4.2540000000000001E-2</v>
      </c>
      <c r="AK547" s="155">
        <f t="shared" si="354"/>
        <v>3.4777034986164246E-3</v>
      </c>
      <c r="AL547" s="147">
        <f t="shared" si="355"/>
        <v>0.59861578500000001</v>
      </c>
      <c r="AM547" s="147">
        <f t="shared" si="333"/>
        <v>7.3248372381571114E-2</v>
      </c>
      <c r="AN547" s="160">
        <f t="shared" si="356"/>
        <v>0</v>
      </c>
      <c r="AO547" s="161">
        <f t="shared" si="357"/>
        <v>0</v>
      </c>
      <c r="AP547" s="156">
        <f t="shared" si="334"/>
        <v>2.7217563860161351</v>
      </c>
      <c r="AQ547" s="152"/>
      <c r="AR547" s="162">
        <f t="shared" si="335"/>
        <v>52464.973360028642</v>
      </c>
      <c r="AS547" s="150">
        <f t="shared" si="358"/>
        <v>0</v>
      </c>
      <c r="AT547" s="163">
        <f t="shared" si="336"/>
        <v>0</v>
      </c>
      <c r="AU547" s="163">
        <f t="shared" si="337"/>
        <v>7324.8372381571116</v>
      </c>
      <c r="AV547" s="163">
        <f t="shared" si="359"/>
        <v>169.72081536402169</v>
      </c>
      <c r="AW547" s="163">
        <f t="shared" si="338"/>
        <v>3581.1913289750678</v>
      </c>
      <c r="AX547" s="163">
        <f t="shared" si="339"/>
        <v>0</v>
      </c>
      <c r="AY547" s="164">
        <f t="shared" si="360"/>
        <v>48891.048266210622</v>
      </c>
      <c r="AZ547" s="164">
        <f>IF($E547="","",IF(OR(AND($D547=Input!$C$6,$C547=12),$AN547=1),0,-AS548+AT548+AU548-AV548-AW548-AX548+AZ548))</f>
        <v>48891.070375183866</v>
      </c>
      <c r="BA547" s="154">
        <f t="shared" si="340"/>
        <v>2.2108973244030494E-2</v>
      </c>
      <c r="BC547" s="147">
        <f t="shared" si="361"/>
        <v>3.4397284146233113E-4</v>
      </c>
      <c r="BD547" s="164">
        <f>IF(AND($C546=12,$D546=Input!$C$6),0,IF($E547="","",AT547+(AU547+BD548)/(1+$AK547)*MIN((1-AM547-AN547),1)))</f>
        <v>43007.883959893625</v>
      </c>
      <c r="BE547" s="164">
        <f t="shared" si="341"/>
        <v>14.793544050966824</v>
      </c>
      <c r="BF547" s="164">
        <f t="shared" si="362"/>
        <v>48891.070375183866</v>
      </c>
      <c r="BG547" s="164">
        <f t="shared" si="342"/>
        <v>16.817200399086794</v>
      </c>
      <c r="BH547" s="152"/>
      <c r="BI547" s="162">
        <f t="shared" si="343"/>
        <v>21763.858318617404</v>
      </c>
      <c r="BJ547" s="150">
        <f t="shared" si="344"/>
        <v>0</v>
      </c>
      <c r="BK547" s="163">
        <f t="shared" si="366"/>
        <v>0</v>
      </c>
      <c r="BL547" s="163">
        <f t="shared" si="345"/>
        <v>3467.5880275227942</v>
      </c>
      <c r="BM547" s="163">
        <f t="shared" si="367"/>
        <v>76.874199699038968</v>
      </c>
      <c r="BN547" s="163">
        <f t="shared" si="346"/>
        <v>659.9911755643385</v>
      </c>
      <c r="BO547" s="163">
        <f t="shared" si="347"/>
        <v>0</v>
      </c>
      <c r="BP547" s="164">
        <f t="shared" si="368"/>
        <v>19033.135666357986</v>
      </c>
      <c r="BQ547" s="164">
        <f>IF($E547="","",IF(AND($D547=Input!$C$6,$C547=12),0,-BJ548+BK548+BL548-BM548-BN548-BO548+BQ548))</f>
        <v>19033.148411111244</v>
      </c>
      <c r="BR547" s="161">
        <f t="shared" si="348"/>
        <v>0</v>
      </c>
      <c r="BT547" s="147">
        <f t="shared" si="349"/>
        <v>3.4397284146233113E-4</v>
      </c>
      <c r="BU547" s="164">
        <f>IF(AND($C546=12,$D546=Input!$C$6),0,IF($E547="","",BK547+(BL547+BU548)/(1+$AK547)*MIN((1-T547-U547),1)))</f>
        <v>75297.256530915765</v>
      </c>
      <c r="BV547" s="164">
        <f t="shared" si="350"/>
        <v>25.900211283257168</v>
      </c>
      <c r="BW547" s="164">
        <f t="shared" si="351"/>
        <v>19033.148411111244</v>
      </c>
      <c r="BX547" s="164">
        <f t="shared" si="352"/>
        <v>6.5468861409441876</v>
      </c>
    </row>
    <row r="548" spans="1:76" s="150" customFormat="1" x14ac:dyDescent="0.25">
      <c r="A548" s="150">
        <f t="shared" si="363"/>
        <v>544</v>
      </c>
      <c r="B548" s="150">
        <f t="shared" si="364"/>
        <v>46</v>
      </c>
      <c r="C548" s="150">
        <f t="shared" si="365"/>
        <v>4</v>
      </c>
      <c r="D548" s="150">
        <f>IF(E548="","",Input!$C$4+B548-1)</f>
        <v>90</v>
      </c>
      <c r="E548" s="150">
        <f>IF(OR(AND(C547=12,D547=Input!$C$6),E547=""),"",1)</f>
        <v>1</v>
      </c>
      <c r="F548" s="150">
        <f>IF(E548="","",Input!$C$8+B548-1)</f>
        <v>2063</v>
      </c>
      <c r="G548" s="151">
        <f>IF(E548="","",MAX(0,Input!$C$9-B548))</f>
        <v>0</v>
      </c>
      <c r="H548" s="152">
        <f>IF(E548="","",Input!$C$3)</f>
        <v>100000</v>
      </c>
      <c r="I548" s="153">
        <f>IF(E548="","",HLOOKUP($B548,Input!$C$13:$BT$14,2))</f>
        <v>385.09100000000007</v>
      </c>
      <c r="J548" s="154"/>
      <c r="K548" s="155">
        <f>IF($E548="","",INDEX(Input!$C$16:$CP$16,1,$B548))</f>
        <v>3.2039999999999999E-2</v>
      </c>
      <c r="L548" s="155">
        <f>IF($E548="","",Input!$C$37)</f>
        <v>1.4999999999999999E-2</v>
      </c>
      <c r="M548" s="155">
        <f t="shared" si="328"/>
        <v>4.7039999999999998E-2</v>
      </c>
      <c r="N548" s="155">
        <f t="shared" si="329"/>
        <v>3.8379407339397265E-3</v>
      </c>
      <c r="O548" s="147">
        <f>IF($E548="","",MIN(VLOOKUP(IF($B548&lt;=Input!$C$7,$B548,26),'Mortality Tables'!$A$41:$CW$67,IF($B548&lt;=Input!$C$7+1,Input!$C$4+2,$D548-Input!$C$7+2),0)*IF(B548&gt;20,Input!$C$22,1)/1000,1))</f>
        <v>0.43260400000000004</v>
      </c>
      <c r="P548" s="147">
        <f>IF($E548="","",MIN(VLOOKUP(IF($B548&lt;=Input!$C$7,$B548,26),'Mortality Tables'!$A$12:$CW$37,IF($B548&lt;=Input!$C$7+1,Input!$C$4+2,$D548-Input!$C$7+2),0)*IF(B548&gt;20,Input!$C$22,1)/1000,1))</f>
        <v>0.54075499999999999</v>
      </c>
      <c r="Q548" s="155">
        <f>IF($E548="","",Input!$C$21)</f>
        <v>5.0000000000000001E-3</v>
      </c>
      <c r="R548" s="159">
        <f>IF($E548="","",(1-Q548)^($F548-Input!$C$20))</f>
        <v>0.79806567768190539</v>
      </c>
      <c r="S548" s="147">
        <f t="shared" si="331"/>
        <v>0.34524640442790305</v>
      </c>
      <c r="T548" s="147">
        <f t="shared" si="332"/>
        <v>3.4675880275227944E-2</v>
      </c>
      <c r="U548" s="160">
        <f>IF($E548="","",IF($C548=12,INDEX(Input!$C$15:$CP$15,1,$B548),0))</f>
        <v>0</v>
      </c>
      <c r="V548" s="150">
        <f>IF(E548="","",IF(C548=1,IF($B548=1,Input!$C$33,Input!$C$34),0))</f>
        <v>0</v>
      </c>
      <c r="W548" s="156">
        <f>IF($E548="","",Input!$C$35)</f>
        <v>0.02</v>
      </c>
      <c r="X548" s="156">
        <f t="shared" si="330"/>
        <v>2.4378542053013459</v>
      </c>
      <c r="Y548" s="154"/>
      <c r="Z548" s="147">
        <f>IF($E548="","",VLOOKUP($D548,'Mortality Margins &amp; Grading'!$AB$5:$AF$125,3,0)*IF(Summary!$D$25="Included Margin",IF(AND($B548&gt;Input!$C$9,Summary!$D$31&lt;&gt;"Included Margin"),0,1),0))</f>
        <v>2.1000000000000001E-2</v>
      </c>
      <c r="AA548" s="147">
        <f>IF($E548="","",VLOOKUP($D548,'Mortality Margins &amp; Grading'!$AB$5:$AF$125,5,0)*IF(Summary!$D$25="Included Margin",IF(AND($B548&gt;Input!$C$9,Summary!$D$31&lt;&gt;"Included Margin"),0,1),0))</f>
        <v>0.107</v>
      </c>
      <c r="AB548" s="147">
        <f>IF($E548="","",IF(AND($B548&gt;Input!$C$9,Summary!$D$31&lt;&gt;"Included Margin"),1,IF(Summary!$D$25="Included Margin",VLOOKUP($B548,'Mortality Margins &amp; Grading'!$AI$5:$AR$125,MATCH('Mortality Margins &amp; Grading'!$AQ$4,'Mortality Margins &amp; Grading'!$AI$4:$AR$4,0),0),1)))</f>
        <v>0</v>
      </c>
      <c r="AC548" s="154"/>
      <c r="AD548" s="158">
        <f>IF(E548="","",Input!$C$48*IF(Summary!$D$30="Included Margin",IF(AND($B548&gt;Input!$C$9,Summary!$D$31&lt;&gt;"Included Margin"),0,1),0))</f>
        <v>-4.4999999999999997E-3</v>
      </c>
      <c r="AE548" s="159">
        <f>IF(E548="","",IF(Summary!$D$26="Included Margin",IF(AND($B548&gt;Input!$C$9,Summary!$D$31&lt;&gt;"Included Margin"),1,1/$R548),1))</f>
        <v>1.2530297041524721</v>
      </c>
      <c r="AF548" s="160">
        <f>IF(E548="","",IF(AND($B548&gt;=Input!$C$9,$C548=12,Summary!$D$31="Included Margin",$U548&gt;0),1/U548-1,IF($B548&gt;=Input!$C$9,0,Input!$C$45*IF(Summary!$D$27="Included Margin",1,0))))</f>
        <v>0</v>
      </c>
      <c r="AG548" s="160">
        <f>IF(E548="","",Input!$C$46*IF(Summary!$D$28="Included Margin",IF(AND($B548&gt;Input!$C$9,Summary!$D$31&lt;&gt;"Included Margin"),0,1),0))</f>
        <v>0.02</v>
      </c>
      <c r="AH548" s="158">
        <f>IF(E548="","",Input!$C$47*IF(Summary!$D$29="Included Margin",IF(AND($B548&gt;Input!$C$9,Summary!$D$31&lt;&gt;"Included Margin"),0,1),0))</f>
        <v>2.5000000000000001E-3</v>
      </c>
      <c r="AI548" s="154"/>
      <c r="AJ548" s="158">
        <f t="shared" si="353"/>
        <v>4.2540000000000001E-2</v>
      </c>
      <c r="AK548" s="155">
        <f t="shared" si="354"/>
        <v>3.4777034986164246E-3</v>
      </c>
      <c r="AL548" s="147">
        <f t="shared" si="355"/>
        <v>0.59861578500000001</v>
      </c>
      <c r="AM548" s="147">
        <f t="shared" si="333"/>
        <v>7.3248372381571114E-2</v>
      </c>
      <c r="AN548" s="160">
        <f t="shared" si="356"/>
        <v>0</v>
      </c>
      <c r="AO548" s="161">
        <f t="shared" si="357"/>
        <v>0</v>
      </c>
      <c r="AP548" s="156">
        <f t="shared" si="334"/>
        <v>2.7217563860161351</v>
      </c>
      <c r="AQ548" s="152"/>
      <c r="AR548" s="162">
        <f t="shared" si="335"/>
        <v>48891.048266210622</v>
      </c>
      <c r="AS548" s="150">
        <f t="shared" si="358"/>
        <v>0</v>
      </c>
      <c r="AT548" s="163">
        <f t="shared" si="336"/>
        <v>0</v>
      </c>
      <c r="AU548" s="163">
        <f t="shared" si="337"/>
        <v>7324.8372381571116</v>
      </c>
      <c r="AV548" s="163">
        <f t="shared" si="359"/>
        <v>157.29176356145774</v>
      </c>
      <c r="AW548" s="163">
        <f t="shared" si="338"/>
        <v>3297.7339320609858</v>
      </c>
      <c r="AX548" s="163">
        <f t="shared" si="339"/>
        <v>0</v>
      </c>
      <c r="AY548" s="165">
        <f t="shared" si="360"/>
        <v>45021.236723675953</v>
      </c>
      <c r="AZ548" s="164">
        <f>IF($E548="","",IF(OR(AND($D548=Input!$C$6,$C548=12),$AN548=1),0,-AS549+AT549+AU549-AV549-AW549-AX549+AZ549))</f>
        <v>45021.258832649197</v>
      </c>
      <c r="BA548" s="154">
        <f t="shared" si="340"/>
        <v>2.2108973244030494E-2</v>
      </c>
      <c r="BC548" s="147">
        <f t="shared" si="361"/>
        <v>3.3204528039385337E-4</v>
      </c>
      <c r="BD548" s="164">
        <f>IF(AND($C547=12,$D547=Input!$C$6),0,IF($E548="","",AT548+(AU548+BD549)/(1+$AK548)*MIN((1-AM548-AN548),1)))</f>
        <v>39243.683757392995</v>
      </c>
      <c r="BE548" s="164">
        <f t="shared" si="341"/>
        <v>13.030679976911266</v>
      </c>
      <c r="BF548" s="164">
        <f t="shared" si="362"/>
        <v>45021.258832649197</v>
      </c>
      <c r="BG548" s="164">
        <f t="shared" si="342"/>
        <v>14.94909651277125</v>
      </c>
      <c r="BH548" s="152"/>
      <c r="BI548" s="162">
        <f t="shared" si="343"/>
        <v>19033.135666357986</v>
      </c>
      <c r="BJ548" s="150">
        <f t="shared" si="344"/>
        <v>0</v>
      </c>
      <c r="BK548" s="163">
        <f t="shared" si="366"/>
        <v>0</v>
      </c>
      <c r="BL548" s="163">
        <f t="shared" si="345"/>
        <v>3467.5880275227942</v>
      </c>
      <c r="BM548" s="163">
        <f t="shared" si="367"/>
        <v>66.393847998840627</v>
      </c>
      <c r="BN548" s="163">
        <f t="shared" si="346"/>
        <v>561.52308051404589</v>
      </c>
      <c r="BO548" s="163">
        <f t="shared" si="347"/>
        <v>0</v>
      </c>
      <c r="BP548" s="164">
        <f t="shared" si="368"/>
        <v>16193.464567348079</v>
      </c>
      <c r="BQ548" s="164">
        <f>IF($E548="","",IF(AND($D548=Input!$C$6,$C548=12),0,-BJ549+BK549+BL549-BM549-BN549-BO549+BQ549))</f>
        <v>16193.477312101335</v>
      </c>
      <c r="BR548" s="161">
        <f t="shared" si="348"/>
        <v>0</v>
      </c>
      <c r="BT548" s="147">
        <f t="shared" si="349"/>
        <v>3.3204528039385337E-4</v>
      </c>
      <c r="BU548" s="164">
        <f>IF(AND($C547=12,$D547=Input!$C$6),0,IF($E548="","",BK548+(BL548+BU549)/(1+$AK548)*MIN((1-T548-U548),1)))</f>
        <v>74805.726105488357</v>
      </c>
      <c r="BV548" s="164">
        <f t="shared" si="350"/>
        <v>24.838888299762679</v>
      </c>
      <c r="BW548" s="164">
        <f t="shared" si="351"/>
        <v>16193.477312101335</v>
      </c>
      <c r="BX548" s="164">
        <f t="shared" si="352"/>
        <v>5.3769677146481909</v>
      </c>
    </row>
    <row r="549" spans="1:76" s="150" customFormat="1" x14ac:dyDescent="0.25">
      <c r="A549" s="150">
        <f t="shared" si="363"/>
        <v>545</v>
      </c>
      <c r="B549" s="150">
        <f t="shared" si="364"/>
        <v>46</v>
      </c>
      <c r="C549" s="150">
        <f t="shared" si="365"/>
        <v>5</v>
      </c>
      <c r="D549" s="150">
        <f>IF(E549="","",Input!$C$4+B549-1)</f>
        <v>90</v>
      </c>
      <c r="E549" s="150">
        <f>IF(OR(AND(C548=12,D548=Input!$C$6),E548=""),"",1)</f>
        <v>1</v>
      </c>
      <c r="F549" s="150">
        <f>IF(E549="","",Input!$C$8+B549-1)</f>
        <v>2063</v>
      </c>
      <c r="G549" s="151">
        <f>IF(E549="","",MAX(0,Input!$C$9-B549))</f>
        <v>0</v>
      </c>
      <c r="H549" s="152">
        <f>IF(E549="","",Input!$C$3)</f>
        <v>100000</v>
      </c>
      <c r="I549" s="153">
        <f>IF(E549="","",HLOOKUP($B549,Input!$C$13:$BT$14,2))</f>
        <v>385.09100000000007</v>
      </c>
      <c r="J549" s="154"/>
      <c r="K549" s="155">
        <f>IF($E549="","",INDEX(Input!$C$16:$CP$16,1,$B549))</f>
        <v>3.2039999999999999E-2</v>
      </c>
      <c r="L549" s="155">
        <f>IF($E549="","",Input!$C$37)</f>
        <v>1.4999999999999999E-2</v>
      </c>
      <c r="M549" s="155">
        <f t="shared" si="328"/>
        <v>4.7039999999999998E-2</v>
      </c>
      <c r="N549" s="155">
        <f t="shared" si="329"/>
        <v>3.8379407339397265E-3</v>
      </c>
      <c r="O549" s="147">
        <f>IF($E549="","",MIN(VLOOKUP(IF($B549&lt;=Input!$C$7,$B549,26),'Mortality Tables'!$A$41:$CW$67,IF($B549&lt;=Input!$C$7+1,Input!$C$4+2,$D549-Input!$C$7+2),0)*IF(B549&gt;20,Input!$C$22,1)/1000,1))</f>
        <v>0.43260400000000004</v>
      </c>
      <c r="P549" s="147">
        <f>IF($E549="","",MIN(VLOOKUP(IF($B549&lt;=Input!$C$7,$B549,26),'Mortality Tables'!$A$12:$CW$37,IF($B549&lt;=Input!$C$7+1,Input!$C$4+2,$D549-Input!$C$7+2),0)*IF(B549&gt;20,Input!$C$22,1)/1000,1))</f>
        <v>0.54075499999999999</v>
      </c>
      <c r="Q549" s="155">
        <f>IF($E549="","",Input!$C$21)</f>
        <v>5.0000000000000001E-3</v>
      </c>
      <c r="R549" s="159">
        <f>IF($E549="","",(1-Q549)^($F549-Input!$C$20))</f>
        <v>0.79806567768190539</v>
      </c>
      <c r="S549" s="147">
        <f t="shared" si="331"/>
        <v>0.34524640442790305</v>
      </c>
      <c r="T549" s="147">
        <f t="shared" si="332"/>
        <v>3.4675880275227944E-2</v>
      </c>
      <c r="U549" s="160">
        <f>IF($E549="","",IF($C549=12,INDEX(Input!$C$15:$CP$15,1,$B549),0))</f>
        <v>0</v>
      </c>
      <c r="V549" s="150">
        <f>IF(E549="","",IF(C549=1,IF($B549=1,Input!$C$33,Input!$C$34),0))</f>
        <v>0</v>
      </c>
      <c r="W549" s="156">
        <f>IF($E549="","",Input!$C$35)</f>
        <v>0.02</v>
      </c>
      <c r="X549" s="156">
        <f t="shared" si="330"/>
        <v>2.4378542053013459</v>
      </c>
      <c r="Y549" s="154"/>
      <c r="Z549" s="147">
        <f>IF($E549="","",VLOOKUP($D549,'Mortality Margins &amp; Grading'!$AB$5:$AF$125,3,0)*IF(Summary!$D$25="Included Margin",IF(AND($B549&gt;Input!$C$9,Summary!$D$31&lt;&gt;"Included Margin"),0,1),0))</f>
        <v>2.1000000000000001E-2</v>
      </c>
      <c r="AA549" s="147">
        <f>IF($E549="","",VLOOKUP($D549,'Mortality Margins &amp; Grading'!$AB$5:$AF$125,5,0)*IF(Summary!$D$25="Included Margin",IF(AND($B549&gt;Input!$C$9,Summary!$D$31&lt;&gt;"Included Margin"),0,1),0))</f>
        <v>0.107</v>
      </c>
      <c r="AB549" s="147">
        <f>IF($E549="","",IF(AND($B549&gt;Input!$C$9,Summary!$D$31&lt;&gt;"Included Margin"),1,IF(Summary!$D$25="Included Margin",VLOOKUP($B549,'Mortality Margins &amp; Grading'!$AI$5:$AR$125,MATCH('Mortality Margins &amp; Grading'!$AQ$4,'Mortality Margins &amp; Grading'!$AI$4:$AR$4,0),0),1)))</f>
        <v>0</v>
      </c>
      <c r="AC549" s="154"/>
      <c r="AD549" s="158">
        <f>IF(E549="","",Input!$C$48*IF(Summary!$D$30="Included Margin",IF(AND($B549&gt;Input!$C$9,Summary!$D$31&lt;&gt;"Included Margin"),0,1),0))</f>
        <v>-4.4999999999999997E-3</v>
      </c>
      <c r="AE549" s="159">
        <f>IF(E549="","",IF(Summary!$D$26="Included Margin",IF(AND($B549&gt;Input!$C$9,Summary!$D$31&lt;&gt;"Included Margin"),1,1/$R549),1))</f>
        <v>1.2530297041524721</v>
      </c>
      <c r="AF549" s="160">
        <f>IF(E549="","",IF(AND($B549&gt;=Input!$C$9,$C549=12,Summary!$D$31="Included Margin",$U549&gt;0),1/U549-1,IF($B549&gt;=Input!$C$9,0,Input!$C$45*IF(Summary!$D$27="Included Margin",1,0))))</f>
        <v>0</v>
      </c>
      <c r="AG549" s="160">
        <f>IF(E549="","",Input!$C$46*IF(Summary!$D$28="Included Margin",IF(AND($B549&gt;Input!$C$9,Summary!$D$31&lt;&gt;"Included Margin"),0,1),0))</f>
        <v>0.02</v>
      </c>
      <c r="AH549" s="158">
        <f>IF(E549="","",Input!$C$47*IF(Summary!$D$29="Included Margin",IF(AND($B549&gt;Input!$C$9,Summary!$D$31&lt;&gt;"Included Margin"),0,1),0))</f>
        <v>2.5000000000000001E-3</v>
      </c>
      <c r="AI549" s="154"/>
      <c r="AJ549" s="158">
        <f t="shared" si="353"/>
        <v>4.2540000000000001E-2</v>
      </c>
      <c r="AK549" s="155">
        <f t="shared" si="354"/>
        <v>3.4777034986164246E-3</v>
      </c>
      <c r="AL549" s="147">
        <f t="shared" si="355"/>
        <v>0.59861578500000001</v>
      </c>
      <c r="AM549" s="147">
        <f t="shared" si="333"/>
        <v>7.3248372381571114E-2</v>
      </c>
      <c r="AN549" s="160">
        <f t="shared" si="356"/>
        <v>0</v>
      </c>
      <c r="AO549" s="161">
        <f t="shared" si="357"/>
        <v>0</v>
      </c>
      <c r="AP549" s="156">
        <f t="shared" si="334"/>
        <v>2.7217563860161351</v>
      </c>
      <c r="AQ549" s="152"/>
      <c r="AR549" s="162">
        <f t="shared" si="335"/>
        <v>45021.236723675946</v>
      </c>
      <c r="AS549" s="150">
        <f t="shared" si="358"/>
        <v>0</v>
      </c>
      <c r="AT549" s="163">
        <f t="shared" si="336"/>
        <v>0</v>
      </c>
      <c r="AU549" s="163">
        <f t="shared" si="337"/>
        <v>7324.8372381571116</v>
      </c>
      <c r="AV549" s="163">
        <f t="shared" si="359"/>
        <v>143.83370642099868</v>
      </c>
      <c r="AW549" s="163">
        <f t="shared" si="338"/>
        <v>2990.8090028585393</v>
      </c>
      <c r="AX549" s="163">
        <f t="shared" si="339"/>
        <v>0</v>
      </c>
      <c r="AY549" s="164">
        <f t="shared" si="360"/>
        <v>40831.04219479837</v>
      </c>
      <c r="AZ549" s="164">
        <f>IF($E549="","",IF(OR(AND($D549=Input!$C$6,$C549=12),$AN549=1),0,-AS550+AT550+AU550-AV550-AW550-AX550+AZ550))</f>
        <v>40831.064303771622</v>
      </c>
      <c r="BA549" s="154">
        <f t="shared" si="340"/>
        <v>2.2108973251306452E-2</v>
      </c>
      <c r="BC549" s="147">
        <f t="shared" si="361"/>
        <v>3.2053131800496159E-4</v>
      </c>
      <c r="BD549" s="164">
        <f>IF(AND($C548=12,$D548=Input!$C$6),0,IF($E549="","",AT549+(AU549+BD550)/(1+$AK549)*MIN((1-AM549-AN549),1)))</f>
        <v>35167.844166561888</v>
      </c>
      <c r="BE549" s="164">
        <f t="shared" si="341"/>
        <v>11.272395442101182</v>
      </c>
      <c r="BF549" s="164">
        <f t="shared" si="362"/>
        <v>40831.064303771622</v>
      </c>
      <c r="BG549" s="164">
        <f t="shared" si="342"/>
        <v>13.087634856833258</v>
      </c>
      <c r="BH549" s="152"/>
      <c r="BI549" s="162">
        <f t="shared" si="343"/>
        <v>16193.464567348077</v>
      </c>
      <c r="BJ549" s="150">
        <f t="shared" si="344"/>
        <v>0</v>
      </c>
      <c r="BK549" s="163">
        <f t="shared" si="366"/>
        <v>0</v>
      </c>
      <c r="BL549" s="163">
        <f t="shared" si="345"/>
        <v>3467.5880275227942</v>
      </c>
      <c r="BM549" s="163">
        <f t="shared" si="367"/>
        <v>55.495358616959116</v>
      </c>
      <c r="BN549" s="163">
        <f t="shared" si="346"/>
        <v>459.12637484438761</v>
      </c>
      <c r="BO549" s="163">
        <f t="shared" si="347"/>
        <v>0</v>
      </c>
      <c r="BP549" s="164">
        <f t="shared" si="368"/>
        <v>13240.49827328663</v>
      </c>
      <c r="BQ549" s="164">
        <f>IF($E549="","",IF(AND($D549=Input!$C$6,$C549=12),0,-BJ550+BK550+BL550-BM550-BN550-BO550+BQ550))</f>
        <v>13240.511018039888</v>
      </c>
      <c r="BR549" s="161">
        <f t="shared" si="348"/>
        <v>0</v>
      </c>
      <c r="BT549" s="147">
        <f t="shared" si="349"/>
        <v>3.2053131800496159E-4</v>
      </c>
      <c r="BU549" s="164">
        <f>IF(AND($C548=12,$D548=Input!$C$6),0,IF($E549="","",BK549+(BL549+BU550)/(1+$AK549)*MIN((1-T549-U549),1)))</f>
        <v>74294.768373852872</v>
      </c>
      <c r="BV549" s="164">
        <f t="shared" si="350"/>
        <v>23.813800027744399</v>
      </c>
      <c r="BW549" s="164">
        <f t="shared" si="351"/>
        <v>13240.511018039888</v>
      </c>
      <c r="BX549" s="164">
        <f t="shared" si="352"/>
        <v>4.2439984476715411</v>
      </c>
    </row>
    <row r="550" spans="1:76" s="150" customFormat="1" x14ac:dyDescent="0.25">
      <c r="A550" s="150">
        <f t="shared" si="363"/>
        <v>546</v>
      </c>
      <c r="B550" s="150">
        <f t="shared" si="364"/>
        <v>46</v>
      </c>
      <c r="C550" s="150">
        <f t="shared" si="365"/>
        <v>6</v>
      </c>
      <c r="D550" s="150">
        <f>IF(E550="","",Input!$C$4+B550-1)</f>
        <v>90</v>
      </c>
      <c r="E550" s="150">
        <f>IF(OR(AND(C549=12,D549=Input!$C$6),E549=""),"",1)</f>
        <v>1</v>
      </c>
      <c r="F550" s="150">
        <f>IF(E550="","",Input!$C$8+B550-1)</f>
        <v>2063</v>
      </c>
      <c r="G550" s="151">
        <f>IF(E550="","",MAX(0,Input!$C$9-B550))</f>
        <v>0</v>
      </c>
      <c r="H550" s="152">
        <f>IF(E550="","",Input!$C$3)</f>
        <v>100000</v>
      </c>
      <c r="I550" s="153">
        <f>IF(E550="","",HLOOKUP($B550,Input!$C$13:$BT$14,2))</f>
        <v>385.09100000000007</v>
      </c>
      <c r="J550" s="154"/>
      <c r="K550" s="155">
        <f>IF($E550="","",INDEX(Input!$C$16:$CP$16,1,$B550))</f>
        <v>3.2039999999999999E-2</v>
      </c>
      <c r="L550" s="155">
        <f>IF($E550="","",Input!$C$37)</f>
        <v>1.4999999999999999E-2</v>
      </c>
      <c r="M550" s="155">
        <f t="shared" si="328"/>
        <v>4.7039999999999998E-2</v>
      </c>
      <c r="N550" s="155">
        <f t="shared" si="329"/>
        <v>3.8379407339397265E-3</v>
      </c>
      <c r="O550" s="147">
        <f>IF($E550="","",MIN(VLOOKUP(IF($B550&lt;=Input!$C$7,$B550,26),'Mortality Tables'!$A$41:$CW$67,IF($B550&lt;=Input!$C$7+1,Input!$C$4+2,$D550-Input!$C$7+2),0)*IF(B550&gt;20,Input!$C$22,1)/1000,1))</f>
        <v>0.43260400000000004</v>
      </c>
      <c r="P550" s="147">
        <f>IF($E550="","",MIN(VLOOKUP(IF($B550&lt;=Input!$C$7,$B550,26),'Mortality Tables'!$A$12:$CW$37,IF($B550&lt;=Input!$C$7+1,Input!$C$4+2,$D550-Input!$C$7+2),0)*IF(B550&gt;20,Input!$C$22,1)/1000,1))</f>
        <v>0.54075499999999999</v>
      </c>
      <c r="Q550" s="155">
        <f>IF($E550="","",Input!$C$21)</f>
        <v>5.0000000000000001E-3</v>
      </c>
      <c r="R550" s="159">
        <f>IF($E550="","",(1-Q550)^($F550-Input!$C$20))</f>
        <v>0.79806567768190539</v>
      </c>
      <c r="S550" s="147">
        <f t="shared" si="331"/>
        <v>0.34524640442790305</v>
      </c>
      <c r="T550" s="147">
        <f t="shared" si="332"/>
        <v>3.4675880275227944E-2</v>
      </c>
      <c r="U550" s="160">
        <f>IF($E550="","",IF($C550=12,INDEX(Input!$C$15:$CP$15,1,$B550),0))</f>
        <v>0</v>
      </c>
      <c r="V550" s="150">
        <f>IF(E550="","",IF(C550=1,IF($B550=1,Input!$C$33,Input!$C$34),0))</f>
        <v>0</v>
      </c>
      <c r="W550" s="156">
        <f>IF($E550="","",Input!$C$35)</f>
        <v>0.02</v>
      </c>
      <c r="X550" s="156">
        <f t="shared" si="330"/>
        <v>2.4378542053013459</v>
      </c>
      <c r="Y550" s="154"/>
      <c r="Z550" s="147">
        <f>IF($E550="","",VLOOKUP($D550,'Mortality Margins &amp; Grading'!$AB$5:$AF$125,3,0)*IF(Summary!$D$25="Included Margin",IF(AND($B550&gt;Input!$C$9,Summary!$D$31&lt;&gt;"Included Margin"),0,1),0))</f>
        <v>2.1000000000000001E-2</v>
      </c>
      <c r="AA550" s="147">
        <f>IF($E550="","",VLOOKUP($D550,'Mortality Margins &amp; Grading'!$AB$5:$AF$125,5,0)*IF(Summary!$D$25="Included Margin",IF(AND($B550&gt;Input!$C$9,Summary!$D$31&lt;&gt;"Included Margin"),0,1),0))</f>
        <v>0.107</v>
      </c>
      <c r="AB550" s="147">
        <f>IF($E550="","",IF(AND($B550&gt;Input!$C$9,Summary!$D$31&lt;&gt;"Included Margin"),1,IF(Summary!$D$25="Included Margin",VLOOKUP($B550,'Mortality Margins &amp; Grading'!$AI$5:$AR$125,MATCH('Mortality Margins &amp; Grading'!$AQ$4,'Mortality Margins &amp; Grading'!$AI$4:$AR$4,0),0),1)))</f>
        <v>0</v>
      </c>
      <c r="AC550" s="154"/>
      <c r="AD550" s="158">
        <f>IF(E550="","",Input!$C$48*IF(Summary!$D$30="Included Margin",IF(AND($B550&gt;Input!$C$9,Summary!$D$31&lt;&gt;"Included Margin"),0,1),0))</f>
        <v>-4.4999999999999997E-3</v>
      </c>
      <c r="AE550" s="159">
        <f>IF(E550="","",IF(Summary!$D$26="Included Margin",IF(AND($B550&gt;Input!$C$9,Summary!$D$31&lt;&gt;"Included Margin"),1,1/$R550),1))</f>
        <v>1.2530297041524721</v>
      </c>
      <c r="AF550" s="160">
        <f>IF(E550="","",IF(AND($B550&gt;=Input!$C$9,$C550=12,Summary!$D$31="Included Margin",$U550&gt;0),1/U550-1,IF($B550&gt;=Input!$C$9,0,Input!$C$45*IF(Summary!$D$27="Included Margin",1,0))))</f>
        <v>0</v>
      </c>
      <c r="AG550" s="160">
        <f>IF(E550="","",Input!$C$46*IF(Summary!$D$28="Included Margin",IF(AND($B550&gt;Input!$C$9,Summary!$D$31&lt;&gt;"Included Margin"),0,1),0))</f>
        <v>0.02</v>
      </c>
      <c r="AH550" s="158">
        <f>IF(E550="","",Input!$C$47*IF(Summary!$D$29="Included Margin",IF(AND($B550&gt;Input!$C$9,Summary!$D$31&lt;&gt;"Included Margin"),0,1),0))</f>
        <v>2.5000000000000001E-3</v>
      </c>
      <c r="AI550" s="154"/>
      <c r="AJ550" s="158">
        <f t="shared" si="353"/>
        <v>4.2540000000000001E-2</v>
      </c>
      <c r="AK550" s="155">
        <f t="shared" si="354"/>
        <v>3.4777034986164246E-3</v>
      </c>
      <c r="AL550" s="147">
        <f t="shared" si="355"/>
        <v>0.59861578500000001</v>
      </c>
      <c r="AM550" s="147">
        <f t="shared" si="333"/>
        <v>7.3248372381571114E-2</v>
      </c>
      <c r="AN550" s="160">
        <f t="shared" si="356"/>
        <v>0</v>
      </c>
      <c r="AO550" s="161">
        <f t="shared" si="357"/>
        <v>0</v>
      </c>
      <c r="AP550" s="156">
        <f t="shared" si="334"/>
        <v>2.7217563860161351</v>
      </c>
      <c r="AQ550" s="152"/>
      <c r="AR550" s="162">
        <f t="shared" si="335"/>
        <v>40831.042194798378</v>
      </c>
      <c r="AS550" s="150">
        <f t="shared" si="358"/>
        <v>0</v>
      </c>
      <c r="AT550" s="163">
        <f t="shared" si="336"/>
        <v>0</v>
      </c>
      <c r="AU550" s="163">
        <f t="shared" si="337"/>
        <v>7324.8372381571116</v>
      </c>
      <c r="AV550" s="163">
        <f t="shared" si="359"/>
        <v>129.26145224803776</v>
      </c>
      <c r="AW550" s="163">
        <f t="shared" si="338"/>
        <v>2658.4736565543449</v>
      </c>
      <c r="AX550" s="163">
        <f t="shared" si="339"/>
        <v>0</v>
      </c>
      <c r="AY550" s="165">
        <f t="shared" si="360"/>
        <v>36293.940065443647</v>
      </c>
      <c r="AZ550" s="164">
        <f>IF($E550="","",IF(OR(AND($D550=Input!$C$6,$C550=12),$AN550=1),0,-AS551+AT551+AU551-AV551-AW551-AX551+AZ551))</f>
        <v>36293.962174416891</v>
      </c>
      <c r="BA550" s="154">
        <f t="shared" si="340"/>
        <v>2.2108973244030494E-2</v>
      </c>
      <c r="BC550" s="147">
        <f t="shared" si="361"/>
        <v>3.0941661239736054E-4</v>
      </c>
      <c r="BD550" s="164">
        <f>IF(AND($C549=12,$D549=Input!$C$6),0,IF($E550="","",AT550+(AU550+BD551)/(1+$AK550)*MIN((1-AM550-AN550),1)))</f>
        <v>30754.564458657318</v>
      </c>
      <c r="BE550" s="164">
        <f t="shared" si="341"/>
        <v>9.5159731505540126</v>
      </c>
      <c r="BF550" s="164">
        <f t="shared" si="362"/>
        <v>36293.962174416891</v>
      </c>
      <c r="BG550" s="164">
        <f t="shared" si="342"/>
        <v>11.229954826486017</v>
      </c>
      <c r="BH550" s="152"/>
      <c r="BI550" s="162">
        <f t="shared" si="343"/>
        <v>13240.498273286628</v>
      </c>
      <c r="BJ550" s="150">
        <f t="shared" si="344"/>
        <v>0</v>
      </c>
      <c r="BK550" s="163">
        <f t="shared" si="366"/>
        <v>0</v>
      </c>
      <c r="BL550" s="163">
        <f t="shared" si="345"/>
        <v>3467.5880275227942</v>
      </c>
      <c r="BM550" s="163">
        <f t="shared" si="367"/>
        <v>44.162048991029643</v>
      </c>
      <c r="BN550" s="163">
        <f t="shared" si="346"/>
        <v>352.64431761921855</v>
      </c>
      <c r="BO550" s="163">
        <f t="shared" si="347"/>
        <v>0</v>
      </c>
      <c r="BP550" s="164">
        <f t="shared" si="368"/>
        <v>10169.716612374083</v>
      </c>
      <c r="BQ550" s="164">
        <f>IF($E550="","",IF(AND($D550=Input!$C$6,$C550=12),0,-BJ551+BK551+BL551-BM551-BN551-BO551+BQ551))</f>
        <v>10169.729357127342</v>
      </c>
      <c r="BR550" s="161">
        <f t="shared" si="348"/>
        <v>0</v>
      </c>
      <c r="BT550" s="147">
        <f t="shared" si="349"/>
        <v>3.0941661239736054E-4</v>
      </c>
      <c r="BU550" s="164">
        <f>IF(AND($C549=12,$D549=Input!$C$6),0,IF($E550="","",BK550+(BL550+BU551)/(1+$AK550)*MIN((1-T550-U550),1)))</f>
        <v>73763.615488879237</v>
      </c>
      <c r="BV550" s="164">
        <f t="shared" si="350"/>
        <v>22.823688022750488</v>
      </c>
      <c r="BW550" s="164">
        <f t="shared" si="351"/>
        <v>10169.729357127342</v>
      </c>
      <c r="BX550" s="164">
        <f t="shared" si="352"/>
        <v>3.1466832066803296</v>
      </c>
    </row>
    <row r="551" spans="1:76" s="150" customFormat="1" x14ac:dyDescent="0.25">
      <c r="A551" s="150">
        <f t="shared" si="363"/>
        <v>547</v>
      </c>
      <c r="B551" s="150">
        <f t="shared" si="364"/>
        <v>46</v>
      </c>
      <c r="C551" s="150">
        <f t="shared" si="365"/>
        <v>7</v>
      </c>
      <c r="D551" s="150">
        <f>IF(E551="","",Input!$C$4+B551-1)</f>
        <v>90</v>
      </c>
      <c r="E551" s="150">
        <f>IF(OR(AND(C550=12,D550=Input!$C$6),E550=""),"",1)</f>
        <v>1</v>
      </c>
      <c r="F551" s="150">
        <f>IF(E551="","",Input!$C$8+B551-1)</f>
        <v>2063</v>
      </c>
      <c r="G551" s="151">
        <f>IF(E551="","",MAX(0,Input!$C$9-B551))</f>
        <v>0</v>
      </c>
      <c r="H551" s="152">
        <f>IF(E551="","",Input!$C$3)</f>
        <v>100000</v>
      </c>
      <c r="I551" s="153">
        <f>IF(E551="","",HLOOKUP($B551,Input!$C$13:$BT$14,2))</f>
        <v>385.09100000000007</v>
      </c>
      <c r="J551" s="154"/>
      <c r="K551" s="155">
        <f>IF($E551="","",INDEX(Input!$C$16:$CP$16,1,$B551))</f>
        <v>3.2039999999999999E-2</v>
      </c>
      <c r="L551" s="155">
        <f>IF($E551="","",Input!$C$37)</f>
        <v>1.4999999999999999E-2</v>
      </c>
      <c r="M551" s="155">
        <f t="shared" si="328"/>
        <v>4.7039999999999998E-2</v>
      </c>
      <c r="N551" s="155">
        <f t="shared" si="329"/>
        <v>3.8379407339397265E-3</v>
      </c>
      <c r="O551" s="147">
        <f>IF($E551="","",MIN(VLOOKUP(IF($B551&lt;=Input!$C$7,$B551,26),'Mortality Tables'!$A$41:$CW$67,IF($B551&lt;=Input!$C$7+1,Input!$C$4+2,$D551-Input!$C$7+2),0)*IF(B551&gt;20,Input!$C$22,1)/1000,1))</f>
        <v>0.43260400000000004</v>
      </c>
      <c r="P551" s="147">
        <f>IF($E551="","",MIN(VLOOKUP(IF($B551&lt;=Input!$C$7,$B551,26),'Mortality Tables'!$A$12:$CW$37,IF($B551&lt;=Input!$C$7+1,Input!$C$4+2,$D551-Input!$C$7+2),0)*IF(B551&gt;20,Input!$C$22,1)/1000,1))</f>
        <v>0.54075499999999999</v>
      </c>
      <c r="Q551" s="155">
        <f>IF($E551="","",Input!$C$21)</f>
        <v>5.0000000000000001E-3</v>
      </c>
      <c r="R551" s="159">
        <f>IF($E551="","",(1-Q551)^($F551-Input!$C$20))</f>
        <v>0.79806567768190539</v>
      </c>
      <c r="S551" s="147">
        <f t="shared" si="331"/>
        <v>0.34524640442790305</v>
      </c>
      <c r="T551" s="147">
        <f t="shared" si="332"/>
        <v>3.4675880275227944E-2</v>
      </c>
      <c r="U551" s="160">
        <f>IF($E551="","",IF($C551=12,INDEX(Input!$C$15:$CP$15,1,$B551),0))</f>
        <v>0</v>
      </c>
      <c r="V551" s="150">
        <f>IF(E551="","",IF(C551=1,IF($B551=1,Input!$C$33,Input!$C$34),0))</f>
        <v>0</v>
      </c>
      <c r="W551" s="156">
        <f>IF($E551="","",Input!$C$35)</f>
        <v>0.02</v>
      </c>
      <c r="X551" s="156">
        <f t="shared" si="330"/>
        <v>2.4378542053013459</v>
      </c>
      <c r="Y551" s="154"/>
      <c r="Z551" s="147">
        <f>IF($E551="","",VLOOKUP($D551,'Mortality Margins &amp; Grading'!$AB$5:$AF$125,3,0)*IF(Summary!$D$25="Included Margin",IF(AND($B551&gt;Input!$C$9,Summary!$D$31&lt;&gt;"Included Margin"),0,1),0))</f>
        <v>2.1000000000000001E-2</v>
      </c>
      <c r="AA551" s="147">
        <f>IF($E551="","",VLOOKUP($D551,'Mortality Margins &amp; Grading'!$AB$5:$AF$125,5,0)*IF(Summary!$D$25="Included Margin",IF(AND($B551&gt;Input!$C$9,Summary!$D$31&lt;&gt;"Included Margin"),0,1),0))</f>
        <v>0.107</v>
      </c>
      <c r="AB551" s="147">
        <f>IF($E551="","",IF(AND($B551&gt;Input!$C$9,Summary!$D$31&lt;&gt;"Included Margin"),1,IF(Summary!$D$25="Included Margin",VLOOKUP($B551,'Mortality Margins &amp; Grading'!$AI$5:$AR$125,MATCH('Mortality Margins &amp; Grading'!$AQ$4,'Mortality Margins &amp; Grading'!$AI$4:$AR$4,0),0),1)))</f>
        <v>0</v>
      </c>
      <c r="AC551" s="154"/>
      <c r="AD551" s="158">
        <f>IF(E551="","",Input!$C$48*IF(Summary!$D$30="Included Margin",IF(AND($B551&gt;Input!$C$9,Summary!$D$31&lt;&gt;"Included Margin"),0,1),0))</f>
        <v>-4.4999999999999997E-3</v>
      </c>
      <c r="AE551" s="159">
        <f>IF(E551="","",IF(Summary!$D$26="Included Margin",IF(AND($B551&gt;Input!$C$9,Summary!$D$31&lt;&gt;"Included Margin"),1,1/$R551),1))</f>
        <v>1.2530297041524721</v>
      </c>
      <c r="AF551" s="160">
        <f>IF(E551="","",IF(AND($B551&gt;=Input!$C$9,$C551=12,Summary!$D$31="Included Margin",$U551&gt;0),1/U551-1,IF($B551&gt;=Input!$C$9,0,Input!$C$45*IF(Summary!$D$27="Included Margin",1,0))))</f>
        <v>0</v>
      </c>
      <c r="AG551" s="160">
        <f>IF(E551="","",Input!$C$46*IF(Summary!$D$28="Included Margin",IF(AND($B551&gt;Input!$C$9,Summary!$D$31&lt;&gt;"Included Margin"),0,1),0))</f>
        <v>0.02</v>
      </c>
      <c r="AH551" s="158">
        <f>IF(E551="","",Input!$C$47*IF(Summary!$D$29="Included Margin",IF(AND($B551&gt;Input!$C$9,Summary!$D$31&lt;&gt;"Included Margin"),0,1),0))</f>
        <v>2.5000000000000001E-3</v>
      </c>
      <c r="AI551" s="154"/>
      <c r="AJ551" s="158">
        <f t="shared" si="353"/>
        <v>4.2540000000000001E-2</v>
      </c>
      <c r="AK551" s="155">
        <f t="shared" si="354"/>
        <v>3.4777034986164246E-3</v>
      </c>
      <c r="AL551" s="147">
        <f t="shared" si="355"/>
        <v>0.59861578500000001</v>
      </c>
      <c r="AM551" s="147">
        <f t="shared" si="333"/>
        <v>7.3248372381571114E-2</v>
      </c>
      <c r="AN551" s="160">
        <f t="shared" si="356"/>
        <v>0</v>
      </c>
      <c r="AO551" s="161">
        <f t="shared" si="357"/>
        <v>0</v>
      </c>
      <c r="AP551" s="156">
        <f t="shared" si="334"/>
        <v>2.7217563860161351</v>
      </c>
      <c r="AQ551" s="152"/>
      <c r="AR551" s="162">
        <f t="shared" si="335"/>
        <v>36293.940065443647</v>
      </c>
      <c r="AS551" s="150">
        <f t="shared" si="358"/>
        <v>0</v>
      </c>
      <c r="AT551" s="163">
        <f t="shared" si="336"/>
        <v>0</v>
      </c>
      <c r="AU551" s="163">
        <f t="shared" si="337"/>
        <v>7324.8372381571116</v>
      </c>
      <c r="AV551" s="163">
        <f t="shared" si="359"/>
        <v>113.48275629920077</v>
      </c>
      <c r="AW551" s="163">
        <f t="shared" si="338"/>
        <v>2298.6241562542941</v>
      </c>
      <c r="AX551" s="163">
        <f t="shared" si="339"/>
        <v>0</v>
      </c>
      <c r="AY551" s="164">
        <f t="shared" si="360"/>
        <v>31381.209739840029</v>
      </c>
      <c r="AZ551" s="164">
        <f>IF($E551="","",IF(OR(AND($D551=Input!$C$6,$C551=12),$AN551=1),0,-AS552+AT552+AU552-AV552-AW552-AX552+AZ552))</f>
        <v>31381.231848813273</v>
      </c>
      <c r="BA551" s="154">
        <f t="shared" si="340"/>
        <v>2.2108973244030494E-2</v>
      </c>
      <c r="BC551" s="147">
        <f t="shared" si="361"/>
        <v>2.9868731899070306E-4</v>
      </c>
      <c r="BD551" s="164">
        <f>IF(AND($C550=12,$D550=Input!$C$6),0,IF($E551="","",AT551+(AU551+BD552)/(1+$AK551)*MIN((1-AM551-AN551),1)))</f>
        <v>25975.907854011442</v>
      </c>
      <c r="BE551" s="164">
        <f t="shared" si="341"/>
        <v>7.7586742752642248</v>
      </c>
      <c r="BF551" s="164">
        <f t="shared" si="362"/>
        <v>31381.231848813273</v>
      </c>
      <c r="BG551" s="164">
        <f t="shared" si="342"/>
        <v>9.3731760075477002</v>
      </c>
      <c r="BH551" s="152"/>
      <c r="BI551" s="162">
        <f t="shared" si="343"/>
        <v>10169.716612374084</v>
      </c>
      <c r="BJ551" s="150">
        <f t="shared" si="344"/>
        <v>0</v>
      </c>
      <c r="BK551" s="163">
        <f t="shared" si="366"/>
        <v>0</v>
      </c>
      <c r="BL551" s="163">
        <f t="shared" si="345"/>
        <v>3467.5880275227942</v>
      </c>
      <c r="BM551" s="163">
        <f t="shared" si="367"/>
        <v>32.376570969578303</v>
      </c>
      <c r="BN551" s="163">
        <f t="shared" si="346"/>
        <v>241.91391436305281</v>
      </c>
      <c r="BO551" s="163">
        <f t="shared" si="347"/>
        <v>0</v>
      </c>
      <c r="BP551" s="164">
        <f t="shared" si="368"/>
        <v>6976.4190701839216</v>
      </c>
      <c r="BQ551" s="164">
        <f>IF($E551="","",IF(AND($D551=Input!$C$6,$C551=12),0,-BJ552+BK552+BL552-BM552-BN552-BO552+BQ552))</f>
        <v>6976.4318149371793</v>
      </c>
      <c r="BR551" s="161">
        <f t="shared" si="348"/>
        <v>0</v>
      </c>
      <c r="BT551" s="147">
        <f t="shared" si="349"/>
        <v>2.9868731899070306E-4</v>
      </c>
      <c r="BU551" s="164">
        <f>IF(AND($C550=12,$D550=Input!$C$6),0,IF($E551="","",BK551+(BL551+BU552)/(1+$AK551)*MIN((1-T551-U551),1)))</f>
        <v>73211.469254957352</v>
      </c>
      <c r="BV551" s="164">
        <f t="shared" si="350"/>
        <v>21.867337471133496</v>
      </c>
      <c r="BW551" s="164">
        <f t="shared" si="351"/>
        <v>6976.4318149371793</v>
      </c>
      <c r="BX551" s="164">
        <f t="shared" si="352"/>
        <v>2.0837717149250308</v>
      </c>
    </row>
    <row r="552" spans="1:76" s="150" customFormat="1" x14ac:dyDescent="0.25">
      <c r="A552" s="150">
        <f t="shared" si="363"/>
        <v>548</v>
      </c>
      <c r="B552" s="150">
        <f t="shared" si="364"/>
        <v>46</v>
      </c>
      <c r="C552" s="150">
        <f t="shared" si="365"/>
        <v>8</v>
      </c>
      <c r="D552" s="150">
        <f>IF(E552="","",Input!$C$4+B552-1)</f>
        <v>90</v>
      </c>
      <c r="E552" s="150">
        <f>IF(OR(AND(C551=12,D551=Input!$C$6),E551=""),"",1)</f>
        <v>1</v>
      </c>
      <c r="F552" s="150">
        <f>IF(E552="","",Input!$C$8+B552-1)</f>
        <v>2063</v>
      </c>
      <c r="G552" s="151">
        <f>IF(E552="","",MAX(0,Input!$C$9-B552))</f>
        <v>0</v>
      </c>
      <c r="H552" s="152">
        <f>IF(E552="","",Input!$C$3)</f>
        <v>100000</v>
      </c>
      <c r="I552" s="153">
        <f>IF(E552="","",HLOOKUP($B552,Input!$C$13:$BT$14,2))</f>
        <v>385.09100000000007</v>
      </c>
      <c r="J552" s="154"/>
      <c r="K552" s="155">
        <f>IF($E552="","",INDEX(Input!$C$16:$CP$16,1,$B552))</f>
        <v>3.2039999999999999E-2</v>
      </c>
      <c r="L552" s="155">
        <f>IF($E552="","",Input!$C$37)</f>
        <v>1.4999999999999999E-2</v>
      </c>
      <c r="M552" s="155">
        <f t="shared" si="328"/>
        <v>4.7039999999999998E-2</v>
      </c>
      <c r="N552" s="155">
        <f t="shared" si="329"/>
        <v>3.8379407339397265E-3</v>
      </c>
      <c r="O552" s="147">
        <f>IF($E552="","",MIN(VLOOKUP(IF($B552&lt;=Input!$C$7,$B552,26),'Mortality Tables'!$A$41:$CW$67,IF($B552&lt;=Input!$C$7+1,Input!$C$4+2,$D552-Input!$C$7+2),0)*IF(B552&gt;20,Input!$C$22,1)/1000,1))</f>
        <v>0.43260400000000004</v>
      </c>
      <c r="P552" s="147">
        <f>IF($E552="","",MIN(VLOOKUP(IF($B552&lt;=Input!$C$7,$B552,26),'Mortality Tables'!$A$12:$CW$37,IF($B552&lt;=Input!$C$7+1,Input!$C$4+2,$D552-Input!$C$7+2),0)*IF(B552&gt;20,Input!$C$22,1)/1000,1))</f>
        <v>0.54075499999999999</v>
      </c>
      <c r="Q552" s="155">
        <f>IF($E552="","",Input!$C$21)</f>
        <v>5.0000000000000001E-3</v>
      </c>
      <c r="R552" s="159">
        <f>IF($E552="","",(1-Q552)^($F552-Input!$C$20))</f>
        <v>0.79806567768190539</v>
      </c>
      <c r="S552" s="147">
        <f t="shared" si="331"/>
        <v>0.34524640442790305</v>
      </c>
      <c r="T552" s="147">
        <f t="shared" si="332"/>
        <v>3.4675880275227944E-2</v>
      </c>
      <c r="U552" s="160">
        <f>IF($E552="","",IF($C552=12,INDEX(Input!$C$15:$CP$15,1,$B552),0))</f>
        <v>0</v>
      </c>
      <c r="V552" s="150">
        <f>IF(E552="","",IF(C552=1,IF($B552=1,Input!$C$33,Input!$C$34),0))</f>
        <v>0</v>
      </c>
      <c r="W552" s="156">
        <f>IF($E552="","",Input!$C$35)</f>
        <v>0.02</v>
      </c>
      <c r="X552" s="156">
        <f t="shared" si="330"/>
        <v>2.4378542053013459</v>
      </c>
      <c r="Y552" s="154"/>
      <c r="Z552" s="147">
        <f>IF($E552="","",VLOOKUP($D552,'Mortality Margins &amp; Grading'!$AB$5:$AF$125,3,0)*IF(Summary!$D$25="Included Margin",IF(AND($B552&gt;Input!$C$9,Summary!$D$31&lt;&gt;"Included Margin"),0,1),0))</f>
        <v>2.1000000000000001E-2</v>
      </c>
      <c r="AA552" s="147">
        <f>IF($E552="","",VLOOKUP($D552,'Mortality Margins &amp; Grading'!$AB$5:$AF$125,5,0)*IF(Summary!$D$25="Included Margin",IF(AND($B552&gt;Input!$C$9,Summary!$D$31&lt;&gt;"Included Margin"),0,1),0))</f>
        <v>0.107</v>
      </c>
      <c r="AB552" s="147">
        <f>IF($E552="","",IF(AND($B552&gt;Input!$C$9,Summary!$D$31&lt;&gt;"Included Margin"),1,IF(Summary!$D$25="Included Margin",VLOOKUP($B552,'Mortality Margins &amp; Grading'!$AI$5:$AR$125,MATCH('Mortality Margins &amp; Grading'!$AQ$4,'Mortality Margins &amp; Grading'!$AI$4:$AR$4,0),0),1)))</f>
        <v>0</v>
      </c>
      <c r="AC552" s="154"/>
      <c r="AD552" s="158">
        <f>IF(E552="","",Input!$C$48*IF(Summary!$D$30="Included Margin",IF(AND($B552&gt;Input!$C$9,Summary!$D$31&lt;&gt;"Included Margin"),0,1),0))</f>
        <v>-4.4999999999999997E-3</v>
      </c>
      <c r="AE552" s="159">
        <f>IF(E552="","",IF(Summary!$D$26="Included Margin",IF(AND($B552&gt;Input!$C$9,Summary!$D$31&lt;&gt;"Included Margin"),1,1/$R552),1))</f>
        <v>1.2530297041524721</v>
      </c>
      <c r="AF552" s="160">
        <f>IF(E552="","",IF(AND($B552&gt;=Input!$C$9,$C552=12,Summary!$D$31="Included Margin",$U552&gt;0),1/U552-1,IF($B552&gt;=Input!$C$9,0,Input!$C$45*IF(Summary!$D$27="Included Margin",1,0))))</f>
        <v>0</v>
      </c>
      <c r="AG552" s="160">
        <f>IF(E552="","",Input!$C$46*IF(Summary!$D$28="Included Margin",IF(AND($B552&gt;Input!$C$9,Summary!$D$31&lt;&gt;"Included Margin"),0,1),0))</f>
        <v>0.02</v>
      </c>
      <c r="AH552" s="158">
        <f>IF(E552="","",Input!$C$47*IF(Summary!$D$29="Included Margin",IF(AND($B552&gt;Input!$C$9,Summary!$D$31&lt;&gt;"Included Margin"),0,1),0))</f>
        <v>2.5000000000000001E-3</v>
      </c>
      <c r="AI552" s="154"/>
      <c r="AJ552" s="158">
        <f t="shared" si="353"/>
        <v>4.2540000000000001E-2</v>
      </c>
      <c r="AK552" s="155">
        <f t="shared" si="354"/>
        <v>3.4777034986164246E-3</v>
      </c>
      <c r="AL552" s="147">
        <f t="shared" si="355"/>
        <v>0.59861578500000001</v>
      </c>
      <c r="AM552" s="147">
        <f t="shared" si="333"/>
        <v>7.3248372381571114E-2</v>
      </c>
      <c r="AN552" s="160">
        <f t="shared" si="356"/>
        <v>0</v>
      </c>
      <c r="AO552" s="161">
        <f t="shared" si="357"/>
        <v>0</v>
      </c>
      <c r="AP552" s="156">
        <f t="shared" si="334"/>
        <v>2.7217563860161351</v>
      </c>
      <c r="AQ552" s="152"/>
      <c r="AR552" s="162">
        <f t="shared" si="335"/>
        <v>31381.209739840029</v>
      </c>
      <c r="AS552" s="150">
        <f t="shared" si="358"/>
        <v>0</v>
      </c>
      <c r="AT552" s="163">
        <f t="shared" si="336"/>
        <v>0</v>
      </c>
      <c r="AU552" s="163">
        <f t="shared" si="337"/>
        <v>7324.8372381571116</v>
      </c>
      <c r="AV552" s="163">
        <f t="shared" si="359"/>
        <v>96.39773685809007</v>
      </c>
      <c r="AW552" s="163">
        <f t="shared" si="338"/>
        <v>1908.9825959862221</v>
      </c>
      <c r="AX552" s="163">
        <f t="shared" si="339"/>
        <v>0</v>
      </c>
      <c r="AY552" s="165">
        <f t="shared" si="360"/>
        <v>26061.752834527229</v>
      </c>
      <c r="AZ552" s="164">
        <f>IF($E552="","",IF(OR(AND($D552=Input!$C$6,$C552=12),$AN552=1),0,-AS553+AT553+AU553-AV553-AW553-AX553+AZ553))</f>
        <v>26061.774943500473</v>
      </c>
      <c r="BA552" s="154">
        <f t="shared" si="340"/>
        <v>2.2108973244030494E-2</v>
      </c>
      <c r="BC552" s="147">
        <f t="shared" si="361"/>
        <v>2.8833007327765261E-4</v>
      </c>
      <c r="BD552" s="164">
        <f>IF(AND($C551=12,$D551=Input!$C$6),0,IF($E552="","",AT552+(AU552+BD553)/(1+$AK552)*MIN((1-AM552-AN552),1)))</f>
        <v>20801.62467766412</v>
      </c>
      <c r="BE552" s="164">
        <f t="shared" si="341"/>
        <v>5.9977339676051225</v>
      </c>
      <c r="BF552" s="164">
        <f t="shared" si="362"/>
        <v>26061.774943500473</v>
      </c>
      <c r="BG552" s="164">
        <f t="shared" si="342"/>
        <v>7.5143934792051823</v>
      </c>
      <c r="BH552" s="152"/>
      <c r="BI552" s="162">
        <f t="shared" si="343"/>
        <v>6976.4190701839207</v>
      </c>
      <c r="BJ552" s="150">
        <f t="shared" si="344"/>
        <v>0</v>
      </c>
      <c r="BK552" s="163">
        <f t="shared" si="366"/>
        <v>0</v>
      </c>
      <c r="BL552" s="163">
        <f t="shared" si="345"/>
        <v>3467.5880275227942</v>
      </c>
      <c r="BM552" s="163">
        <f t="shared" si="367"/>
        <v>20.12088425681706</v>
      </c>
      <c r="BN552" s="163">
        <f t="shared" si="346"/>
        <v>126.76566756176067</v>
      </c>
      <c r="BO552" s="163">
        <f t="shared" si="347"/>
        <v>0</v>
      </c>
      <c r="BP552" s="164">
        <f t="shared" si="368"/>
        <v>3655.7175944797045</v>
      </c>
      <c r="BQ552" s="164">
        <f>IF($E552="","",IF(AND($D552=Input!$C$6,$C552=12),0,-BJ553+BK553+BL553-BM553-BN553-BO553+BQ553))</f>
        <v>3655.7303392329632</v>
      </c>
      <c r="BR552" s="161">
        <f t="shared" si="348"/>
        <v>0</v>
      </c>
      <c r="BT552" s="147">
        <f t="shared" si="349"/>
        <v>2.8833007327765261E-4</v>
      </c>
      <c r="BU552" s="164">
        <f>IF(AND($C551=12,$D551=Input!$C$6),0,IF($E552="","",BK552+(BL552+BU553)/(1+$AK552)*MIN((1-T552-U552),1)))</f>
        <v>72637.49992850011</v>
      </c>
      <c r="BV552" s="164">
        <f t="shared" si="350"/>
        <v>20.943575677089925</v>
      </c>
      <c r="BW552" s="164">
        <f t="shared" si="351"/>
        <v>3655.7303392329632</v>
      </c>
      <c r="BX552" s="164">
        <f t="shared" si="352"/>
        <v>1.054056996594378</v>
      </c>
    </row>
    <row r="553" spans="1:76" s="150" customFormat="1" x14ac:dyDescent="0.25">
      <c r="A553" s="150">
        <f t="shared" si="363"/>
        <v>549</v>
      </c>
      <c r="B553" s="150">
        <f t="shared" si="364"/>
        <v>46</v>
      </c>
      <c r="C553" s="150">
        <f t="shared" si="365"/>
        <v>9</v>
      </c>
      <c r="D553" s="150">
        <f>IF(E553="","",Input!$C$4+B553-1)</f>
        <v>90</v>
      </c>
      <c r="E553" s="150">
        <f>IF(OR(AND(C552=12,D552=Input!$C$6),E552=""),"",1)</f>
        <v>1</v>
      </c>
      <c r="F553" s="150">
        <f>IF(E553="","",Input!$C$8+B553-1)</f>
        <v>2063</v>
      </c>
      <c r="G553" s="151">
        <f>IF(E553="","",MAX(0,Input!$C$9-B553))</f>
        <v>0</v>
      </c>
      <c r="H553" s="152">
        <f>IF(E553="","",Input!$C$3)</f>
        <v>100000</v>
      </c>
      <c r="I553" s="153">
        <f>IF(E553="","",HLOOKUP($B553,Input!$C$13:$BT$14,2))</f>
        <v>385.09100000000007</v>
      </c>
      <c r="J553" s="154"/>
      <c r="K553" s="155">
        <f>IF($E553="","",INDEX(Input!$C$16:$CP$16,1,$B553))</f>
        <v>3.2039999999999999E-2</v>
      </c>
      <c r="L553" s="155">
        <f>IF($E553="","",Input!$C$37)</f>
        <v>1.4999999999999999E-2</v>
      </c>
      <c r="M553" s="155">
        <f t="shared" si="328"/>
        <v>4.7039999999999998E-2</v>
      </c>
      <c r="N553" s="155">
        <f t="shared" si="329"/>
        <v>3.8379407339397265E-3</v>
      </c>
      <c r="O553" s="147">
        <f>IF($E553="","",MIN(VLOOKUP(IF($B553&lt;=Input!$C$7,$B553,26),'Mortality Tables'!$A$41:$CW$67,IF($B553&lt;=Input!$C$7+1,Input!$C$4+2,$D553-Input!$C$7+2),0)*IF(B553&gt;20,Input!$C$22,1)/1000,1))</f>
        <v>0.43260400000000004</v>
      </c>
      <c r="P553" s="147">
        <f>IF($E553="","",MIN(VLOOKUP(IF($B553&lt;=Input!$C$7,$B553,26),'Mortality Tables'!$A$12:$CW$37,IF($B553&lt;=Input!$C$7+1,Input!$C$4+2,$D553-Input!$C$7+2),0)*IF(B553&gt;20,Input!$C$22,1)/1000,1))</f>
        <v>0.54075499999999999</v>
      </c>
      <c r="Q553" s="155">
        <f>IF($E553="","",Input!$C$21)</f>
        <v>5.0000000000000001E-3</v>
      </c>
      <c r="R553" s="159">
        <f>IF($E553="","",(1-Q553)^($F553-Input!$C$20))</f>
        <v>0.79806567768190539</v>
      </c>
      <c r="S553" s="147">
        <f t="shared" si="331"/>
        <v>0.34524640442790305</v>
      </c>
      <c r="T553" s="147">
        <f t="shared" si="332"/>
        <v>3.4675880275227944E-2</v>
      </c>
      <c r="U553" s="160">
        <f>IF($E553="","",IF($C553=12,INDEX(Input!$C$15:$CP$15,1,$B553),0))</f>
        <v>0</v>
      </c>
      <c r="V553" s="150">
        <f>IF(E553="","",IF(C553=1,IF($B553=1,Input!$C$33,Input!$C$34),0))</f>
        <v>0</v>
      </c>
      <c r="W553" s="156">
        <f>IF($E553="","",Input!$C$35)</f>
        <v>0.02</v>
      </c>
      <c r="X553" s="156">
        <f t="shared" si="330"/>
        <v>2.4378542053013459</v>
      </c>
      <c r="Y553" s="154"/>
      <c r="Z553" s="147">
        <f>IF($E553="","",VLOOKUP($D553,'Mortality Margins &amp; Grading'!$AB$5:$AF$125,3,0)*IF(Summary!$D$25="Included Margin",IF(AND($B553&gt;Input!$C$9,Summary!$D$31&lt;&gt;"Included Margin"),0,1),0))</f>
        <v>2.1000000000000001E-2</v>
      </c>
      <c r="AA553" s="147">
        <f>IF($E553="","",VLOOKUP($D553,'Mortality Margins &amp; Grading'!$AB$5:$AF$125,5,0)*IF(Summary!$D$25="Included Margin",IF(AND($B553&gt;Input!$C$9,Summary!$D$31&lt;&gt;"Included Margin"),0,1),0))</f>
        <v>0.107</v>
      </c>
      <c r="AB553" s="147">
        <f>IF($E553="","",IF(AND($B553&gt;Input!$C$9,Summary!$D$31&lt;&gt;"Included Margin"),1,IF(Summary!$D$25="Included Margin",VLOOKUP($B553,'Mortality Margins &amp; Grading'!$AI$5:$AR$125,MATCH('Mortality Margins &amp; Grading'!$AQ$4,'Mortality Margins &amp; Grading'!$AI$4:$AR$4,0),0),1)))</f>
        <v>0</v>
      </c>
      <c r="AC553" s="154"/>
      <c r="AD553" s="158">
        <f>IF(E553="","",Input!$C$48*IF(Summary!$D$30="Included Margin",IF(AND($B553&gt;Input!$C$9,Summary!$D$31&lt;&gt;"Included Margin"),0,1),0))</f>
        <v>-4.4999999999999997E-3</v>
      </c>
      <c r="AE553" s="159">
        <f>IF(E553="","",IF(Summary!$D$26="Included Margin",IF(AND($B553&gt;Input!$C$9,Summary!$D$31&lt;&gt;"Included Margin"),1,1/$R553),1))</f>
        <v>1.2530297041524721</v>
      </c>
      <c r="AF553" s="160">
        <f>IF(E553="","",IF(AND($B553&gt;=Input!$C$9,$C553=12,Summary!$D$31="Included Margin",$U553&gt;0),1/U553-1,IF($B553&gt;=Input!$C$9,0,Input!$C$45*IF(Summary!$D$27="Included Margin",1,0))))</f>
        <v>0</v>
      </c>
      <c r="AG553" s="160">
        <f>IF(E553="","",Input!$C$46*IF(Summary!$D$28="Included Margin",IF(AND($B553&gt;Input!$C$9,Summary!$D$31&lt;&gt;"Included Margin"),0,1),0))</f>
        <v>0.02</v>
      </c>
      <c r="AH553" s="158">
        <f>IF(E553="","",Input!$C$47*IF(Summary!$D$29="Included Margin",IF(AND($B553&gt;Input!$C$9,Summary!$D$31&lt;&gt;"Included Margin"),0,1),0))</f>
        <v>2.5000000000000001E-3</v>
      </c>
      <c r="AI553" s="154"/>
      <c r="AJ553" s="158">
        <f t="shared" si="353"/>
        <v>4.2540000000000001E-2</v>
      </c>
      <c r="AK553" s="155">
        <f t="shared" si="354"/>
        <v>3.4777034986164246E-3</v>
      </c>
      <c r="AL553" s="147">
        <f t="shared" si="355"/>
        <v>0.59861578500000001</v>
      </c>
      <c r="AM553" s="147">
        <f t="shared" si="333"/>
        <v>7.3248372381571114E-2</v>
      </c>
      <c r="AN553" s="160">
        <f t="shared" si="356"/>
        <v>0</v>
      </c>
      <c r="AO553" s="161">
        <f t="shared" si="357"/>
        <v>0</v>
      </c>
      <c r="AP553" s="156">
        <f t="shared" si="334"/>
        <v>2.7217563860161351</v>
      </c>
      <c r="AQ553" s="152"/>
      <c r="AR553" s="162">
        <f t="shared" si="335"/>
        <v>26061.752834527229</v>
      </c>
      <c r="AS553" s="150">
        <f t="shared" si="358"/>
        <v>0</v>
      </c>
      <c r="AT553" s="163">
        <f t="shared" si="336"/>
        <v>0</v>
      </c>
      <c r="AU553" s="163">
        <f t="shared" si="337"/>
        <v>7324.8372381571116</v>
      </c>
      <c r="AV553" s="163">
        <f t="shared" si="359"/>
        <v>77.898242967744437</v>
      </c>
      <c r="AW553" s="163">
        <f t="shared" si="338"/>
        <v>1487.0824811839341</v>
      </c>
      <c r="AX553" s="163">
        <f t="shared" si="339"/>
        <v>0</v>
      </c>
      <c r="AY553" s="164">
        <f t="shared" si="360"/>
        <v>20301.896320521799</v>
      </c>
      <c r="AZ553" s="164">
        <f>IF($E553="","",IF(OR(AND($D553=Input!$C$6,$C553=12),$AN553=1),0,-AS554+AT554+AU554-AV554-AW554-AX554+AZ554))</f>
        <v>20301.918429495039</v>
      </c>
      <c r="BA553" s="154">
        <f t="shared" si="340"/>
        <v>2.2108973240392515E-2</v>
      </c>
      <c r="BC553" s="147">
        <f t="shared" si="361"/>
        <v>2.78331974176929E-4</v>
      </c>
      <c r="BD553" s="164">
        <f>IF(AND($C552=12,$D552=Input!$C$6),0,IF($E553="","",AT553+(AU553+BD554)/(1+$AK553)*MIN((1-AM553-AN553),1)))</f>
        <v>15198.960873991407</v>
      </c>
      <c r="BE553" s="164">
        <f t="shared" si="341"/>
        <v>4.230356785495931</v>
      </c>
      <c r="BF553" s="164">
        <f t="shared" si="362"/>
        <v>20301.918429495039</v>
      </c>
      <c r="BG553" s="164">
        <f t="shared" si="342"/>
        <v>5.6506730360603319</v>
      </c>
      <c r="BH553" s="152"/>
      <c r="BI553" s="162">
        <f t="shared" si="343"/>
        <v>3655.7175944797041</v>
      </c>
      <c r="BJ553" s="150">
        <f t="shared" si="344"/>
        <v>0</v>
      </c>
      <c r="BK553" s="163">
        <f t="shared" si="366"/>
        <v>0</v>
      </c>
      <c r="BL553" s="163">
        <f t="shared" si="345"/>
        <v>3467.5880275227942</v>
      </c>
      <c r="BM553" s="163">
        <f t="shared" si="367"/>
        <v>7.3762287979580865</v>
      </c>
      <c r="BN553" s="163">
        <f t="shared" si="346"/>
        <v>7.0233172089185167</v>
      </c>
      <c r="BO553" s="163">
        <f t="shared" si="347"/>
        <v>0</v>
      </c>
      <c r="BP553" s="164">
        <f t="shared" si="368"/>
        <v>202.5291129637865</v>
      </c>
      <c r="BQ553" s="164">
        <f>IF($E553="","",IF(AND($D553=Input!$C$6,$C553=12),0,-BJ554+BK554+BL554-BM554-BN554-BO554+BQ554))</f>
        <v>202.54185771704533</v>
      </c>
      <c r="BR553" s="161">
        <f t="shared" si="348"/>
        <v>0</v>
      </c>
      <c r="BT553" s="147">
        <f t="shared" si="349"/>
        <v>2.78331974176929E-4</v>
      </c>
      <c r="BU553" s="164">
        <f>IF(AND($C552=12,$D552=Input!$C$6),0,IF($E553="","",BK553+(BL553+BU554)/(1+$AK553)*MIN((1-T553-U553),1)))</f>
        <v>72040.844971037557</v>
      </c>
      <c r="BV553" s="164">
        <f t="shared" si="350"/>
        <v>20.051270602162973</v>
      </c>
      <c r="BW553" s="164">
        <f t="shared" si="351"/>
        <v>202.54185771704533</v>
      </c>
      <c r="BX553" s="164">
        <f t="shared" si="352"/>
        <v>5.6373875111847889E-2</v>
      </c>
    </row>
    <row r="554" spans="1:76" s="150" customFormat="1" x14ac:dyDescent="0.25">
      <c r="A554" s="150">
        <f t="shared" si="363"/>
        <v>550</v>
      </c>
      <c r="B554" s="150">
        <f t="shared" si="364"/>
        <v>46</v>
      </c>
      <c r="C554" s="150">
        <f t="shared" si="365"/>
        <v>10</v>
      </c>
      <c r="D554" s="150">
        <f>IF(E554="","",Input!$C$4+B554-1)</f>
        <v>90</v>
      </c>
      <c r="E554" s="150">
        <f>IF(OR(AND(C553=12,D553=Input!$C$6),E553=""),"",1)</f>
        <v>1</v>
      </c>
      <c r="F554" s="150">
        <f>IF(E554="","",Input!$C$8+B554-1)</f>
        <v>2063</v>
      </c>
      <c r="G554" s="151">
        <f>IF(E554="","",MAX(0,Input!$C$9-B554))</f>
        <v>0</v>
      </c>
      <c r="H554" s="152">
        <f>IF(E554="","",Input!$C$3)</f>
        <v>100000</v>
      </c>
      <c r="I554" s="153">
        <f>IF(E554="","",HLOOKUP($B554,Input!$C$13:$BT$14,2))</f>
        <v>385.09100000000007</v>
      </c>
      <c r="J554" s="154"/>
      <c r="K554" s="155">
        <f>IF($E554="","",INDEX(Input!$C$16:$CP$16,1,$B554))</f>
        <v>3.2039999999999999E-2</v>
      </c>
      <c r="L554" s="155">
        <f>IF($E554="","",Input!$C$37)</f>
        <v>1.4999999999999999E-2</v>
      </c>
      <c r="M554" s="155">
        <f t="shared" si="328"/>
        <v>4.7039999999999998E-2</v>
      </c>
      <c r="N554" s="155">
        <f t="shared" si="329"/>
        <v>3.8379407339397265E-3</v>
      </c>
      <c r="O554" s="147">
        <f>IF($E554="","",MIN(VLOOKUP(IF($B554&lt;=Input!$C$7,$B554,26),'Mortality Tables'!$A$41:$CW$67,IF($B554&lt;=Input!$C$7+1,Input!$C$4+2,$D554-Input!$C$7+2),0)*IF(B554&gt;20,Input!$C$22,1)/1000,1))</f>
        <v>0.43260400000000004</v>
      </c>
      <c r="P554" s="147">
        <f>IF($E554="","",MIN(VLOOKUP(IF($B554&lt;=Input!$C$7,$B554,26),'Mortality Tables'!$A$12:$CW$37,IF($B554&lt;=Input!$C$7+1,Input!$C$4+2,$D554-Input!$C$7+2),0)*IF(B554&gt;20,Input!$C$22,1)/1000,1))</f>
        <v>0.54075499999999999</v>
      </c>
      <c r="Q554" s="155">
        <f>IF($E554="","",Input!$C$21)</f>
        <v>5.0000000000000001E-3</v>
      </c>
      <c r="R554" s="159">
        <f>IF($E554="","",(1-Q554)^($F554-Input!$C$20))</f>
        <v>0.79806567768190539</v>
      </c>
      <c r="S554" s="147">
        <f t="shared" si="331"/>
        <v>0.34524640442790305</v>
      </c>
      <c r="T554" s="147">
        <f t="shared" si="332"/>
        <v>3.4675880275227944E-2</v>
      </c>
      <c r="U554" s="160">
        <f>IF($E554="","",IF($C554=12,INDEX(Input!$C$15:$CP$15,1,$B554),0))</f>
        <v>0</v>
      </c>
      <c r="V554" s="150">
        <f>IF(E554="","",IF(C554=1,IF($B554=1,Input!$C$33,Input!$C$34),0))</f>
        <v>0</v>
      </c>
      <c r="W554" s="156">
        <f>IF($E554="","",Input!$C$35)</f>
        <v>0.02</v>
      </c>
      <c r="X554" s="156">
        <f t="shared" si="330"/>
        <v>2.4378542053013459</v>
      </c>
      <c r="Y554" s="154"/>
      <c r="Z554" s="147">
        <f>IF($E554="","",VLOOKUP($D554,'Mortality Margins &amp; Grading'!$AB$5:$AF$125,3,0)*IF(Summary!$D$25="Included Margin",IF(AND($B554&gt;Input!$C$9,Summary!$D$31&lt;&gt;"Included Margin"),0,1),0))</f>
        <v>2.1000000000000001E-2</v>
      </c>
      <c r="AA554" s="147">
        <f>IF($E554="","",VLOOKUP($D554,'Mortality Margins &amp; Grading'!$AB$5:$AF$125,5,0)*IF(Summary!$D$25="Included Margin",IF(AND($B554&gt;Input!$C$9,Summary!$D$31&lt;&gt;"Included Margin"),0,1),0))</f>
        <v>0.107</v>
      </c>
      <c r="AB554" s="147">
        <f>IF($E554="","",IF(AND($B554&gt;Input!$C$9,Summary!$D$31&lt;&gt;"Included Margin"),1,IF(Summary!$D$25="Included Margin",VLOOKUP($B554,'Mortality Margins &amp; Grading'!$AI$5:$AR$125,MATCH('Mortality Margins &amp; Grading'!$AQ$4,'Mortality Margins &amp; Grading'!$AI$4:$AR$4,0),0),1)))</f>
        <v>0</v>
      </c>
      <c r="AC554" s="154"/>
      <c r="AD554" s="158">
        <f>IF(E554="","",Input!$C$48*IF(Summary!$D$30="Included Margin",IF(AND($B554&gt;Input!$C$9,Summary!$D$31&lt;&gt;"Included Margin"),0,1),0))</f>
        <v>-4.4999999999999997E-3</v>
      </c>
      <c r="AE554" s="159">
        <f>IF(E554="","",IF(Summary!$D$26="Included Margin",IF(AND($B554&gt;Input!$C$9,Summary!$D$31&lt;&gt;"Included Margin"),1,1/$R554),1))</f>
        <v>1.2530297041524721</v>
      </c>
      <c r="AF554" s="160">
        <f>IF(E554="","",IF(AND($B554&gt;=Input!$C$9,$C554=12,Summary!$D$31="Included Margin",$U554&gt;0),1/U554-1,IF($B554&gt;=Input!$C$9,0,Input!$C$45*IF(Summary!$D$27="Included Margin",1,0))))</f>
        <v>0</v>
      </c>
      <c r="AG554" s="160">
        <f>IF(E554="","",Input!$C$46*IF(Summary!$D$28="Included Margin",IF(AND($B554&gt;Input!$C$9,Summary!$D$31&lt;&gt;"Included Margin"),0,1),0))</f>
        <v>0.02</v>
      </c>
      <c r="AH554" s="158">
        <f>IF(E554="","",Input!$C$47*IF(Summary!$D$29="Included Margin",IF(AND($B554&gt;Input!$C$9,Summary!$D$31&lt;&gt;"Included Margin"),0,1),0))</f>
        <v>2.5000000000000001E-3</v>
      </c>
      <c r="AI554" s="154"/>
      <c r="AJ554" s="158">
        <f t="shared" si="353"/>
        <v>4.2540000000000001E-2</v>
      </c>
      <c r="AK554" s="155">
        <f t="shared" si="354"/>
        <v>3.4777034986164246E-3</v>
      </c>
      <c r="AL554" s="147">
        <f t="shared" si="355"/>
        <v>0.59861578500000001</v>
      </c>
      <c r="AM554" s="147">
        <f t="shared" si="333"/>
        <v>7.3248372381571114E-2</v>
      </c>
      <c r="AN554" s="160">
        <f t="shared" si="356"/>
        <v>0</v>
      </c>
      <c r="AO554" s="161">
        <f t="shared" si="357"/>
        <v>0</v>
      </c>
      <c r="AP554" s="156">
        <f t="shared" si="334"/>
        <v>2.7217563860161351</v>
      </c>
      <c r="AQ554" s="152"/>
      <c r="AR554" s="162">
        <f t="shared" si="335"/>
        <v>20301.896320521795</v>
      </c>
      <c r="AS554" s="150">
        <f t="shared" si="358"/>
        <v>0</v>
      </c>
      <c r="AT554" s="163">
        <f t="shared" si="336"/>
        <v>0</v>
      </c>
      <c r="AU554" s="163">
        <f t="shared" si="337"/>
        <v>7324.8372381571116</v>
      </c>
      <c r="AV554" s="163">
        <f t="shared" si="359"/>
        <v>57.867169817459143</v>
      </c>
      <c r="AW554" s="163">
        <f t="shared" si="338"/>
        <v>1030.2531153746995</v>
      </c>
      <c r="AX554" s="163">
        <f t="shared" si="339"/>
        <v>0</v>
      </c>
      <c r="AY554" s="165">
        <f t="shared" si="360"/>
        <v>14065.179367556841</v>
      </c>
      <c r="AZ554" s="164">
        <f>IF($E554="","",IF(OR(AND($D554=Input!$C$6,$C554=12),$AN554=1),0,-AS555+AT555+AU555-AV555-AW555-AX555+AZ555))</f>
        <v>14065.201476530085</v>
      </c>
      <c r="BA554" s="154">
        <f t="shared" si="340"/>
        <v>2.2108973244030494E-2</v>
      </c>
      <c r="BC554" s="147">
        <f t="shared" si="361"/>
        <v>2.6868056796360197E-4</v>
      </c>
      <c r="BD554" s="164">
        <f>IF(AND($C553=12,$D553=Input!$C$6),0,IF($E554="","",AT554+(AU554+BD555)/(1+$AK554)*MIN((1-AM554-AN554),1)))</f>
        <v>9132.4506681964176</v>
      </c>
      <c r="BE554" s="164">
        <f t="shared" si="341"/>
        <v>2.4537120324305897</v>
      </c>
      <c r="BF554" s="164">
        <f t="shared" si="362"/>
        <v>14065.201476530085</v>
      </c>
      <c r="BG554" s="164">
        <f t="shared" si="342"/>
        <v>3.7790463212365961</v>
      </c>
      <c r="BH554" s="152"/>
      <c r="BI554" s="162">
        <f t="shared" si="343"/>
        <v>202.5291129637867</v>
      </c>
      <c r="BJ554" s="150">
        <f t="shared" si="344"/>
        <v>0</v>
      </c>
      <c r="BK554" s="163">
        <f t="shared" si="366"/>
        <v>0</v>
      </c>
      <c r="BL554" s="163">
        <f t="shared" si="345"/>
        <v>3467.5880275227942</v>
      </c>
      <c r="BM554" s="163">
        <f t="shared" si="367"/>
        <v>-5.8769039372233234</v>
      </c>
      <c r="BN554" s="163">
        <f t="shared" si="346"/>
        <v>-117.49642899933981</v>
      </c>
      <c r="BO554" s="163">
        <f t="shared" si="347"/>
        <v>0</v>
      </c>
      <c r="BP554" s="164">
        <f t="shared" si="368"/>
        <v>-3388.4322474955707</v>
      </c>
      <c r="BQ554" s="164">
        <f>IF($E554="","",IF(AND($D554=Input!$C$6,$C554=12),0,-BJ555+BK555+BL555-BM555-BN555-BO555+BQ555))</f>
        <v>-3388.419502742312</v>
      </c>
      <c r="BR554" s="161">
        <f t="shared" si="348"/>
        <v>0</v>
      </c>
      <c r="BT554" s="147">
        <f t="shared" si="349"/>
        <v>2.6868056796360197E-4</v>
      </c>
      <c r="BU554" s="164">
        <f>IF(AND($C553=12,$D553=Input!$C$6),0,IF($E554="","",BK554+(BL554+BU555)/(1+$AK554)*MIN((1-T554-U554),1)))</f>
        <v>71420.607753028031</v>
      </c>
      <c r="BV554" s="164">
        <f t="shared" si="350"/>
        <v>19.189329455389206</v>
      </c>
      <c r="BW554" s="164">
        <f t="shared" si="351"/>
        <v>-3388.419502742312</v>
      </c>
      <c r="BX554" s="164">
        <f t="shared" si="352"/>
        <v>-0.91040247649575012</v>
      </c>
    </row>
    <row r="555" spans="1:76" s="150" customFormat="1" x14ac:dyDescent="0.25">
      <c r="A555" s="150">
        <f t="shared" si="363"/>
        <v>551</v>
      </c>
      <c r="B555" s="150">
        <f t="shared" si="364"/>
        <v>46</v>
      </c>
      <c r="C555" s="150">
        <f t="shared" si="365"/>
        <v>11</v>
      </c>
      <c r="D555" s="150">
        <f>IF(E555="","",Input!$C$4+B555-1)</f>
        <v>90</v>
      </c>
      <c r="E555" s="150">
        <f>IF(OR(AND(C554=12,D554=Input!$C$6),E554=""),"",1)</f>
        <v>1</v>
      </c>
      <c r="F555" s="150">
        <f>IF(E555="","",Input!$C$8+B555-1)</f>
        <v>2063</v>
      </c>
      <c r="G555" s="151">
        <f>IF(E555="","",MAX(0,Input!$C$9-B555))</f>
        <v>0</v>
      </c>
      <c r="H555" s="152">
        <f>IF(E555="","",Input!$C$3)</f>
        <v>100000</v>
      </c>
      <c r="I555" s="153">
        <f>IF(E555="","",HLOOKUP($B555,Input!$C$13:$BT$14,2))</f>
        <v>385.09100000000007</v>
      </c>
      <c r="J555" s="154"/>
      <c r="K555" s="155">
        <f>IF($E555="","",INDEX(Input!$C$16:$CP$16,1,$B555))</f>
        <v>3.2039999999999999E-2</v>
      </c>
      <c r="L555" s="155">
        <f>IF($E555="","",Input!$C$37)</f>
        <v>1.4999999999999999E-2</v>
      </c>
      <c r="M555" s="155">
        <f t="shared" si="328"/>
        <v>4.7039999999999998E-2</v>
      </c>
      <c r="N555" s="155">
        <f t="shared" si="329"/>
        <v>3.8379407339397265E-3</v>
      </c>
      <c r="O555" s="147">
        <f>IF($E555="","",MIN(VLOOKUP(IF($B555&lt;=Input!$C$7,$B555,26),'Mortality Tables'!$A$41:$CW$67,IF($B555&lt;=Input!$C$7+1,Input!$C$4+2,$D555-Input!$C$7+2),0)*IF(B555&gt;20,Input!$C$22,1)/1000,1))</f>
        <v>0.43260400000000004</v>
      </c>
      <c r="P555" s="147">
        <f>IF($E555="","",MIN(VLOOKUP(IF($B555&lt;=Input!$C$7,$B555,26),'Mortality Tables'!$A$12:$CW$37,IF($B555&lt;=Input!$C$7+1,Input!$C$4+2,$D555-Input!$C$7+2),0)*IF(B555&gt;20,Input!$C$22,1)/1000,1))</f>
        <v>0.54075499999999999</v>
      </c>
      <c r="Q555" s="155">
        <f>IF($E555="","",Input!$C$21)</f>
        <v>5.0000000000000001E-3</v>
      </c>
      <c r="R555" s="159">
        <f>IF($E555="","",(1-Q555)^($F555-Input!$C$20))</f>
        <v>0.79806567768190539</v>
      </c>
      <c r="S555" s="147">
        <f t="shared" si="331"/>
        <v>0.34524640442790305</v>
      </c>
      <c r="T555" s="147">
        <f t="shared" si="332"/>
        <v>3.4675880275227944E-2</v>
      </c>
      <c r="U555" s="160">
        <f>IF($E555="","",IF($C555=12,INDEX(Input!$C$15:$CP$15,1,$B555),0))</f>
        <v>0</v>
      </c>
      <c r="V555" s="150">
        <f>IF(E555="","",IF(C555=1,IF($B555=1,Input!$C$33,Input!$C$34),0))</f>
        <v>0</v>
      </c>
      <c r="W555" s="156">
        <f>IF($E555="","",Input!$C$35)</f>
        <v>0.02</v>
      </c>
      <c r="X555" s="156">
        <f t="shared" si="330"/>
        <v>2.4378542053013459</v>
      </c>
      <c r="Y555" s="154"/>
      <c r="Z555" s="147">
        <f>IF($E555="","",VLOOKUP($D555,'Mortality Margins &amp; Grading'!$AB$5:$AF$125,3,0)*IF(Summary!$D$25="Included Margin",IF(AND($B555&gt;Input!$C$9,Summary!$D$31&lt;&gt;"Included Margin"),0,1),0))</f>
        <v>2.1000000000000001E-2</v>
      </c>
      <c r="AA555" s="147">
        <f>IF($E555="","",VLOOKUP($D555,'Mortality Margins &amp; Grading'!$AB$5:$AF$125,5,0)*IF(Summary!$D$25="Included Margin",IF(AND($B555&gt;Input!$C$9,Summary!$D$31&lt;&gt;"Included Margin"),0,1),0))</f>
        <v>0.107</v>
      </c>
      <c r="AB555" s="147">
        <f>IF($E555="","",IF(AND($B555&gt;Input!$C$9,Summary!$D$31&lt;&gt;"Included Margin"),1,IF(Summary!$D$25="Included Margin",VLOOKUP($B555,'Mortality Margins &amp; Grading'!$AI$5:$AR$125,MATCH('Mortality Margins &amp; Grading'!$AQ$4,'Mortality Margins &amp; Grading'!$AI$4:$AR$4,0),0),1)))</f>
        <v>0</v>
      </c>
      <c r="AC555" s="154"/>
      <c r="AD555" s="158">
        <f>IF(E555="","",Input!$C$48*IF(Summary!$D$30="Included Margin",IF(AND($B555&gt;Input!$C$9,Summary!$D$31&lt;&gt;"Included Margin"),0,1),0))</f>
        <v>-4.4999999999999997E-3</v>
      </c>
      <c r="AE555" s="159">
        <f>IF(E555="","",IF(Summary!$D$26="Included Margin",IF(AND($B555&gt;Input!$C$9,Summary!$D$31&lt;&gt;"Included Margin"),1,1/$R555),1))</f>
        <v>1.2530297041524721</v>
      </c>
      <c r="AF555" s="160">
        <f>IF(E555="","",IF(AND($B555&gt;=Input!$C$9,$C555=12,Summary!$D$31="Included Margin",$U555&gt;0),1/U555-1,IF($B555&gt;=Input!$C$9,0,Input!$C$45*IF(Summary!$D$27="Included Margin",1,0))))</f>
        <v>0</v>
      </c>
      <c r="AG555" s="160">
        <f>IF(E555="","",Input!$C$46*IF(Summary!$D$28="Included Margin",IF(AND($B555&gt;Input!$C$9,Summary!$D$31&lt;&gt;"Included Margin"),0,1),0))</f>
        <v>0.02</v>
      </c>
      <c r="AH555" s="158">
        <f>IF(E555="","",Input!$C$47*IF(Summary!$D$29="Included Margin",IF(AND($B555&gt;Input!$C$9,Summary!$D$31&lt;&gt;"Included Margin"),0,1),0))</f>
        <v>2.5000000000000001E-3</v>
      </c>
      <c r="AI555" s="154"/>
      <c r="AJ555" s="158">
        <f t="shared" si="353"/>
        <v>4.2540000000000001E-2</v>
      </c>
      <c r="AK555" s="155">
        <f t="shared" si="354"/>
        <v>3.4777034986164246E-3</v>
      </c>
      <c r="AL555" s="147">
        <f t="shared" si="355"/>
        <v>0.59861578500000001</v>
      </c>
      <c r="AM555" s="147">
        <f t="shared" si="333"/>
        <v>7.3248372381571114E-2</v>
      </c>
      <c r="AN555" s="160">
        <f t="shared" si="356"/>
        <v>0</v>
      </c>
      <c r="AO555" s="161">
        <f t="shared" si="357"/>
        <v>0</v>
      </c>
      <c r="AP555" s="156">
        <f t="shared" si="334"/>
        <v>2.7217563860161351</v>
      </c>
      <c r="AQ555" s="152"/>
      <c r="AR555" s="162">
        <f t="shared" si="335"/>
        <v>14065.179367556841</v>
      </c>
      <c r="AS555" s="150">
        <f t="shared" si="358"/>
        <v>0</v>
      </c>
      <c r="AT555" s="163">
        <f t="shared" si="336"/>
        <v>0</v>
      </c>
      <c r="AU555" s="163">
        <f t="shared" si="337"/>
        <v>7324.8372381571116</v>
      </c>
      <c r="AV555" s="163">
        <f t="shared" si="359"/>
        <v>36.177717450252551</v>
      </c>
      <c r="AW555" s="163">
        <f t="shared" si="338"/>
        <v>535.60269423540785</v>
      </c>
      <c r="AX555" s="163">
        <f t="shared" si="339"/>
        <v>0</v>
      </c>
      <c r="AY555" s="164">
        <f t="shared" si="360"/>
        <v>7312.1225410853895</v>
      </c>
      <c r="AZ555" s="164">
        <f>IF($E555="","",IF(OR(AND($D555=Input!$C$6,$C555=12),$AN555=1),0,-AS556+AT556+AU556-AV556-AW556-AX556+AZ556))</f>
        <v>7312.1446500586344</v>
      </c>
      <c r="BA555" s="154">
        <f t="shared" si="340"/>
        <v>2.2108973244939989E-2</v>
      </c>
      <c r="BC555" s="147">
        <f t="shared" si="361"/>
        <v>2.5936383275661587E-4</v>
      </c>
      <c r="BD555" s="164">
        <f>IF(AND($C554=12,$D554=Input!$C$6),0,IF($E555="","",AT555+(AU555+BD556)/(1+$AK555)*MIN((1-AM555-AN555),1)))</f>
        <v>2563.6920621759036</v>
      </c>
      <c r="BE555" s="164">
        <f t="shared" si="341"/>
        <v>0.66492899925365467</v>
      </c>
      <c r="BF555" s="164">
        <f t="shared" si="362"/>
        <v>7312.1446500586344</v>
      </c>
      <c r="BG555" s="164">
        <f t="shared" si="342"/>
        <v>1.8965058621099911</v>
      </c>
      <c r="BH555" s="152"/>
      <c r="BI555" s="162">
        <f t="shared" si="343"/>
        <v>-3388.4322474955711</v>
      </c>
      <c r="BJ555" s="150">
        <f t="shared" si="344"/>
        <v>0</v>
      </c>
      <c r="BK555" s="163">
        <f t="shared" si="366"/>
        <v>0</v>
      </c>
      <c r="BL555" s="163">
        <f t="shared" si="345"/>
        <v>3467.5880275227942</v>
      </c>
      <c r="BM555" s="163">
        <f t="shared" si="367"/>
        <v>-19.658800816533912</v>
      </c>
      <c r="BN555" s="163">
        <f t="shared" si="346"/>
        <v>-246.98417623396759</v>
      </c>
      <c r="BO555" s="163">
        <f t="shared" si="347"/>
        <v>0</v>
      </c>
      <c r="BP555" s="164">
        <f t="shared" si="368"/>
        <v>-7122.6632520688663</v>
      </c>
      <c r="BQ555" s="164">
        <f>IF($E555="","",IF(AND($D555=Input!$C$6,$C555=12),0,-BJ556+BK556+BL556-BM556-BN556-BO556+BQ556))</f>
        <v>-7122.6505073156077</v>
      </c>
      <c r="BR555" s="161">
        <f t="shared" si="348"/>
        <v>0</v>
      </c>
      <c r="BT555" s="147">
        <f t="shared" si="349"/>
        <v>2.5936383275661587E-4</v>
      </c>
      <c r="BU555" s="164">
        <f>IF(AND($C554=12,$D554=Input!$C$6),0,IF($E555="","",BK555+(BL555+BU556)/(1+$AK555)*MIN((1-T555-U555),1)))</f>
        <v>70775.856206438664</v>
      </c>
      <c r="BV555" s="164">
        <f t="shared" si="350"/>
        <v>18.356697332333052</v>
      </c>
      <c r="BW555" s="164">
        <f t="shared" si="351"/>
        <v>-7122.6505073156077</v>
      </c>
      <c r="BX555" s="164">
        <f t="shared" si="352"/>
        <v>-1.8473579349632305</v>
      </c>
    </row>
    <row r="556" spans="1:76" s="150" customFormat="1" x14ac:dyDescent="0.25">
      <c r="A556" s="150">
        <f t="shared" si="363"/>
        <v>552</v>
      </c>
      <c r="B556" s="150">
        <f t="shared" si="364"/>
        <v>46</v>
      </c>
      <c r="C556" s="150">
        <f t="shared" si="365"/>
        <v>12</v>
      </c>
      <c r="D556" s="150">
        <f>IF(E556="","",Input!$C$4+B556-1)</f>
        <v>90</v>
      </c>
      <c r="E556" s="150">
        <f>IF(OR(AND(C555=12,D555=Input!$C$6),E555=""),"",1)</f>
        <v>1</v>
      </c>
      <c r="F556" s="150">
        <f>IF(E556="","",Input!$C$8+B556-1)</f>
        <v>2063</v>
      </c>
      <c r="G556" s="151">
        <f>IF(E556="","",MAX(0,Input!$C$9-B556))</f>
        <v>0</v>
      </c>
      <c r="H556" s="152">
        <f>IF(E556="","",Input!$C$3)</f>
        <v>100000</v>
      </c>
      <c r="I556" s="153">
        <f>IF(E556="","",HLOOKUP($B556,Input!$C$13:$BT$14,2))</f>
        <v>385.09100000000007</v>
      </c>
      <c r="J556" s="154"/>
      <c r="K556" s="155">
        <f>IF($E556="","",INDEX(Input!$C$16:$CP$16,1,$B556))</f>
        <v>3.2039999999999999E-2</v>
      </c>
      <c r="L556" s="155">
        <f>IF($E556="","",Input!$C$37)</f>
        <v>1.4999999999999999E-2</v>
      </c>
      <c r="M556" s="155">
        <f t="shared" si="328"/>
        <v>4.7039999999999998E-2</v>
      </c>
      <c r="N556" s="155">
        <f t="shared" si="329"/>
        <v>3.8379407339397265E-3</v>
      </c>
      <c r="O556" s="147">
        <f>IF($E556="","",MIN(VLOOKUP(IF($B556&lt;=Input!$C$7,$B556,26),'Mortality Tables'!$A$41:$CW$67,IF($B556&lt;=Input!$C$7+1,Input!$C$4+2,$D556-Input!$C$7+2),0)*IF(B556&gt;20,Input!$C$22,1)/1000,1))</f>
        <v>0.43260400000000004</v>
      </c>
      <c r="P556" s="147">
        <f>IF($E556="","",MIN(VLOOKUP(IF($B556&lt;=Input!$C$7,$B556,26),'Mortality Tables'!$A$12:$CW$37,IF($B556&lt;=Input!$C$7+1,Input!$C$4+2,$D556-Input!$C$7+2),0)*IF(B556&gt;20,Input!$C$22,1)/1000,1))</f>
        <v>0.54075499999999999</v>
      </c>
      <c r="Q556" s="155">
        <f>IF($E556="","",Input!$C$21)</f>
        <v>5.0000000000000001E-3</v>
      </c>
      <c r="R556" s="159">
        <f>IF($E556="","",(1-Q556)^($F556-Input!$C$20))</f>
        <v>0.79806567768190539</v>
      </c>
      <c r="S556" s="147">
        <f t="shared" si="331"/>
        <v>0.34524640442790305</v>
      </c>
      <c r="T556" s="147">
        <f t="shared" si="332"/>
        <v>3.4675880275227944E-2</v>
      </c>
      <c r="U556" s="160">
        <f>IF($E556="","",IF($C556=12,INDEX(Input!$C$15:$CP$15,1,$B556),0))</f>
        <v>0.1</v>
      </c>
      <c r="V556" s="150">
        <f>IF(E556="","",IF(C556=1,IF($B556=1,Input!$C$33,Input!$C$34),0))</f>
        <v>0</v>
      </c>
      <c r="W556" s="156">
        <f>IF($E556="","",Input!$C$35)</f>
        <v>0.02</v>
      </c>
      <c r="X556" s="156">
        <f t="shared" si="330"/>
        <v>2.4378542053013459</v>
      </c>
      <c r="Y556" s="154"/>
      <c r="Z556" s="147">
        <f>IF($E556="","",VLOOKUP($D556,'Mortality Margins &amp; Grading'!$AB$5:$AF$125,3,0)*IF(Summary!$D$25="Included Margin",IF(AND($B556&gt;Input!$C$9,Summary!$D$31&lt;&gt;"Included Margin"),0,1),0))</f>
        <v>2.1000000000000001E-2</v>
      </c>
      <c r="AA556" s="147">
        <f>IF($E556="","",VLOOKUP($D556,'Mortality Margins &amp; Grading'!$AB$5:$AF$125,5,0)*IF(Summary!$D$25="Included Margin",IF(AND($B556&gt;Input!$C$9,Summary!$D$31&lt;&gt;"Included Margin"),0,1),0))</f>
        <v>0.107</v>
      </c>
      <c r="AB556" s="147">
        <f>IF($E556="","",IF(AND($B556&gt;Input!$C$9,Summary!$D$31&lt;&gt;"Included Margin"),1,IF(Summary!$D$25="Included Margin",VLOOKUP($B556,'Mortality Margins &amp; Grading'!$AI$5:$AR$125,MATCH('Mortality Margins &amp; Grading'!$AQ$4,'Mortality Margins &amp; Grading'!$AI$4:$AR$4,0),0),1)))</f>
        <v>0</v>
      </c>
      <c r="AC556" s="154"/>
      <c r="AD556" s="158">
        <f>IF(E556="","",Input!$C$48*IF(Summary!$D$30="Included Margin",IF(AND($B556&gt;Input!$C$9,Summary!$D$31&lt;&gt;"Included Margin"),0,1),0))</f>
        <v>-4.4999999999999997E-3</v>
      </c>
      <c r="AE556" s="159">
        <f>IF(E556="","",IF(Summary!$D$26="Included Margin",IF(AND($B556&gt;Input!$C$9,Summary!$D$31&lt;&gt;"Included Margin"),1,1/$R556),1))</f>
        <v>1.2530297041524721</v>
      </c>
      <c r="AF556" s="160">
        <f>IF(E556="","",IF(AND($B556&gt;=Input!$C$9,$C556=12,Summary!$D$31="Included Margin",$U556&gt;0),1/U556-1,IF($B556&gt;=Input!$C$9,0,Input!$C$45*IF(Summary!$D$27="Included Margin",1,0))))</f>
        <v>9</v>
      </c>
      <c r="AG556" s="160">
        <f>IF(E556="","",Input!$C$46*IF(Summary!$D$28="Included Margin",IF(AND($B556&gt;Input!$C$9,Summary!$D$31&lt;&gt;"Included Margin"),0,1),0))</f>
        <v>0.02</v>
      </c>
      <c r="AH556" s="158">
        <f>IF(E556="","",Input!$C$47*IF(Summary!$D$29="Included Margin",IF(AND($B556&gt;Input!$C$9,Summary!$D$31&lt;&gt;"Included Margin"),0,1),0))</f>
        <v>2.5000000000000001E-3</v>
      </c>
      <c r="AI556" s="154"/>
      <c r="AJ556" s="158">
        <f t="shared" si="353"/>
        <v>4.2540000000000001E-2</v>
      </c>
      <c r="AK556" s="155">
        <f t="shared" si="354"/>
        <v>3.4777034986164246E-3</v>
      </c>
      <c r="AL556" s="147">
        <f t="shared" si="355"/>
        <v>0.59861578500000001</v>
      </c>
      <c r="AM556" s="147">
        <f t="shared" si="333"/>
        <v>7.3248372381571114E-2</v>
      </c>
      <c r="AN556" s="160">
        <f t="shared" si="356"/>
        <v>1</v>
      </c>
      <c r="AO556" s="161">
        <f t="shared" si="357"/>
        <v>0</v>
      </c>
      <c r="AP556" s="156">
        <f t="shared" si="334"/>
        <v>2.7217563860161351</v>
      </c>
      <c r="AQ556" s="152"/>
      <c r="AR556" s="162">
        <f t="shared" si="335"/>
        <v>7312.1225410853895</v>
      </c>
      <c r="AS556" s="150">
        <f t="shared" si="358"/>
        <v>0</v>
      </c>
      <c r="AT556" s="163">
        <f t="shared" si="336"/>
        <v>0</v>
      </c>
      <c r="AU556" s="163">
        <f t="shared" si="337"/>
        <v>7324.8372381571116</v>
      </c>
      <c r="AV556" s="163">
        <f t="shared" si="359"/>
        <v>12.692588098477252</v>
      </c>
      <c r="AW556" s="163">
        <f t="shared" si="338"/>
        <v>0</v>
      </c>
      <c r="AX556" s="163">
        <f t="shared" si="339"/>
        <v>0</v>
      </c>
      <c r="AY556" s="165">
        <f t="shared" si="360"/>
        <v>-2.2108973244932884E-2</v>
      </c>
      <c r="AZ556" s="164">
        <f>IF($E556="","",IF(OR(AND($D556=Input!$C$6,$C556=12),$AN556=1),0,-AS557+AT557+AU557-AV557-AW557-AX557+AZ557))</f>
        <v>0</v>
      </c>
      <c r="BA556" s="154">
        <f t="shared" si="340"/>
        <v>2.2108973244932884E-2</v>
      </c>
      <c r="BC556" s="147">
        <f t="shared" si="361"/>
        <v>2.2443378026856163E-4</v>
      </c>
      <c r="BD556" s="164">
        <f>IF(AND($C555=12,$D555=Input!$C$6),0,IF($E556="","",AT556+(AU556+BD557)/(1+$AK556)*MIN((1-AM556-AN556),1)))</f>
        <v>-4548.8962563851037</v>
      </c>
      <c r="BE556" s="164">
        <f t="shared" si="341"/>
        <v>-1.020925982870017</v>
      </c>
      <c r="BF556" s="164">
        <f t="shared" si="362"/>
        <v>0</v>
      </c>
      <c r="BG556" s="164">
        <f t="shared" si="342"/>
        <v>0</v>
      </c>
      <c r="BH556" s="152"/>
      <c r="BI556" s="162">
        <f t="shared" si="343"/>
        <v>-7122.6632520688672</v>
      </c>
      <c r="BJ556" s="150">
        <f t="shared" si="344"/>
        <v>0</v>
      </c>
      <c r="BK556" s="163">
        <f t="shared" si="366"/>
        <v>0</v>
      </c>
      <c r="BL556" s="163">
        <f t="shared" si="345"/>
        <v>3467.5880275227942</v>
      </c>
      <c r="BM556" s="163">
        <f t="shared" si="367"/>
        <v>-33.990558098926428</v>
      </c>
      <c r="BN556" s="163">
        <f t="shared" si="346"/>
        <v>-424.0423714406881</v>
      </c>
      <c r="BO556" s="163">
        <f t="shared" si="347"/>
        <v>-1180.4698992152589</v>
      </c>
      <c r="BP556" s="164">
        <f t="shared" si="368"/>
        <v>-12228.754108346535</v>
      </c>
      <c r="BQ556" s="164">
        <f>IF($E556="","",IF(AND($D556=Input!$C$6,$C556=12),0,-BJ557+BK557+BL557-BM557-BN557-BO557+BQ557))</f>
        <v>-12228.741363593275</v>
      </c>
      <c r="BR556" s="161">
        <f t="shared" si="348"/>
        <v>0</v>
      </c>
      <c r="BT556" s="147">
        <f t="shared" si="349"/>
        <v>2.2443378026856163E-4</v>
      </c>
      <c r="BU556" s="164">
        <f>IF(AND($C555=12,$D555=Input!$C$6),0,IF($E556="","",BK556+(BL556+BU557)/(1+$AK556)*MIN((1-T556-U556),1)))</f>
        <v>70105.621424070283</v>
      </c>
      <c r="BV556" s="164">
        <f t="shared" si="350"/>
        <v>15.734069634280758</v>
      </c>
      <c r="BW556" s="164">
        <f t="shared" si="351"/>
        <v>-12228.741363593275</v>
      </c>
      <c r="BX556" s="164">
        <f t="shared" si="352"/>
        <v>-2.7445426521577638</v>
      </c>
    </row>
    <row r="557" spans="1:76" s="150" customFormat="1" x14ac:dyDescent="0.25">
      <c r="A557" s="150">
        <f t="shared" si="363"/>
        <v>553</v>
      </c>
      <c r="B557" s="150">
        <f t="shared" si="364"/>
        <v>47</v>
      </c>
      <c r="C557" s="150">
        <f t="shared" si="365"/>
        <v>1</v>
      </c>
      <c r="D557" s="150">
        <f>IF(E557="","",Input!$C$4+B557-1)</f>
        <v>91</v>
      </c>
      <c r="E557" s="150">
        <f>IF(OR(AND(C556=12,D556=Input!$C$6),E556=""),"",1)</f>
        <v>1</v>
      </c>
      <c r="F557" s="150">
        <f>IF(E557="","",Input!$C$8+B557-1)</f>
        <v>2064</v>
      </c>
      <c r="G557" s="151">
        <f>IF(E557="","",MAX(0,Input!$C$9-B557))</f>
        <v>0</v>
      </c>
      <c r="H557" s="152">
        <f>IF(E557="","",Input!$C$3)</f>
        <v>100000</v>
      </c>
      <c r="I557" s="153">
        <f>IF(E557="","",HLOOKUP($B557,Input!$C$13:$BT$14,2))</f>
        <v>429.60750000000002</v>
      </c>
      <c r="J557" s="154"/>
      <c r="K557" s="155">
        <f>IF($E557="","",INDEX(Input!$C$16:$CP$16,1,$B557))</f>
        <v>3.2149999999999998E-2</v>
      </c>
      <c r="L557" s="155">
        <f>IF($E557="","",Input!$C$37)</f>
        <v>1.4999999999999999E-2</v>
      </c>
      <c r="M557" s="155">
        <f t="shared" si="328"/>
        <v>4.7149999999999997E-2</v>
      </c>
      <c r="N557" s="155">
        <f t="shared" si="329"/>
        <v>3.8467287503822778E-3</v>
      </c>
      <c r="O557" s="147">
        <f>IF($E557="","",MIN(VLOOKUP(IF($B557&lt;=Input!$C$7,$B557,26),'Mortality Tables'!$A$41:$CW$67,IF($B557&lt;=Input!$C$7+1,Input!$C$4+2,$D557-Input!$C$7+2),0)*IF(B557&gt;20,Input!$C$22,1)/1000,1))</f>
        <v>0.48221600000000003</v>
      </c>
      <c r="P557" s="147">
        <f>IF($E557="","",MIN(VLOOKUP(IF($B557&lt;=Input!$C$7,$B557,26),'Mortality Tables'!$A$12:$CW$37,IF($B557&lt;=Input!$C$7+1,Input!$C$4+2,$D557-Input!$C$7+2),0)*IF(B557&gt;20,Input!$C$22,1)/1000,1))</f>
        <v>0.60277000000000003</v>
      </c>
      <c r="Q557" s="155">
        <f>IF($E557="","",Input!$C$21)</f>
        <v>5.0000000000000001E-3</v>
      </c>
      <c r="R557" s="159">
        <f>IF($E557="","",(1-Q557)^($F557-Input!$C$20))</f>
        <v>0.79407534929349588</v>
      </c>
      <c r="S557" s="147">
        <f t="shared" si="331"/>
        <v>0.38291583863491241</v>
      </c>
      <c r="T557" s="147">
        <f t="shared" si="332"/>
        <v>3.9430705344776551E-2</v>
      </c>
      <c r="U557" s="160">
        <f>IF($E557="","",IF($C557=12,INDEX(Input!$C$15:$CP$15,1,$B557),0))</f>
        <v>0</v>
      </c>
      <c r="V557" s="150">
        <f>IF(E557="","",IF(C557=1,IF($B557=1,Input!$C$33,Input!$C$34),0))</f>
        <v>50</v>
      </c>
      <c r="W557" s="156">
        <f>IF($E557="","",Input!$C$35)</f>
        <v>0.02</v>
      </c>
      <c r="X557" s="156">
        <f t="shared" si="330"/>
        <v>2.4866112894073726</v>
      </c>
      <c r="Y557" s="154"/>
      <c r="Z557" s="147">
        <f>IF($E557="","",VLOOKUP($D557,'Mortality Margins &amp; Grading'!$AB$5:$AF$125,3,0)*IF(Summary!$D$25="Included Margin",IF(AND($B557&gt;Input!$C$9,Summary!$D$31&lt;&gt;"Included Margin"),0,1),0))</f>
        <v>2.1000000000000001E-2</v>
      </c>
      <c r="AA557" s="147">
        <f>IF($E557="","",VLOOKUP($D557,'Mortality Margins &amp; Grading'!$AB$5:$AF$125,5,0)*IF(Summary!$D$25="Included Margin",IF(AND($B557&gt;Input!$C$9,Summary!$D$31&lt;&gt;"Included Margin"),0,1),0))</f>
        <v>0.107</v>
      </c>
      <c r="AB557" s="147">
        <f>IF($E557="","",IF(AND($B557&gt;Input!$C$9,Summary!$D$31&lt;&gt;"Included Margin"),1,IF(Summary!$D$25="Included Margin",VLOOKUP($B557,'Mortality Margins &amp; Grading'!$AI$5:$AR$125,MATCH('Mortality Margins &amp; Grading'!$AQ$4,'Mortality Margins &amp; Grading'!$AI$4:$AR$4,0),0),1)))</f>
        <v>0</v>
      </c>
      <c r="AC557" s="154"/>
      <c r="AD557" s="158">
        <f>IF(E557="","",Input!$C$48*IF(Summary!$D$30="Included Margin",IF(AND($B557&gt;Input!$C$9,Summary!$D$31&lt;&gt;"Included Margin"),0,1),0))</f>
        <v>-4.4999999999999997E-3</v>
      </c>
      <c r="AE557" s="159">
        <f>IF(E557="","",IF(Summary!$D$26="Included Margin",IF(AND($B557&gt;Input!$C$9,Summary!$D$31&lt;&gt;"Included Margin"),1,1/$R557),1))</f>
        <v>1.2593263358316302</v>
      </c>
      <c r="AF557" s="160">
        <f>IF(E557="","",IF(AND($B557&gt;=Input!$C$9,$C557=12,Summary!$D$31="Included Margin",$U557&gt;0),1/U557-1,IF($B557&gt;=Input!$C$9,0,Input!$C$45*IF(Summary!$D$27="Included Margin",1,0))))</f>
        <v>0</v>
      </c>
      <c r="AG557" s="160">
        <f>IF(E557="","",Input!$C$46*IF(Summary!$D$28="Included Margin",IF(AND($B557&gt;Input!$C$9,Summary!$D$31&lt;&gt;"Included Margin"),0,1),0))</f>
        <v>0.02</v>
      </c>
      <c r="AH557" s="158">
        <f>IF(E557="","",Input!$C$47*IF(Summary!$D$29="Included Margin",IF(AND($B557&gt;Input!$C$9,Summary!$D$31&lt;&gt;"Included Margin"),0,1),0))</f>
        <v>2.5000000000000001E-3</v>
      </c>
      <c r="AI557" s="154"/>
      <c r="AJ557" s="158">
        <f t="shared" si="353"/>
        <v>4.265E-2</v>
      </c>
      <c r="AK557" s="155">
        <f t="shared" si="354"/>
        <v>3.4865262783743134E-3</v>
      </c>
      <c r="AL557" s="147">
        <f t="shared" si="355"/>
        <v>0.66726638999999999</v>
      </c>
      <c r="AM557" s="147">
        <f t="shared" si="333"/>
        <v>8.7622172286553557E-2</v>
      </c>
      <c r="AN557" s="160">
        <f t="shared" si="356"/>
        <v>0</v>
      </c>
      <c r="AO557" s="161">
        <f t="shared" si="357"/>
        <v>51</v>
      </c>
      <c r="AP557" s="156">
        <f t="shared" si="334"/>
        <v>2.7829959047014983</v>
      </c>
      <c r="AQ557" s="152"/>
      <c r="AR557" s="162">
        <f t="shared" si="335"/>
        <v>22777.444085413365</v>
      </c>
      <c r="AS557" s="150">
        <f t="shared" si="358"/>
        <v>42960.75</v>
      </c>
      <c r="AT557" s="163">
        <f t="shared" si="336"/>
        <v>141.93279113977641</v>
      </c>
      <c r="AU557" s="163">
        <f t="shared" si="337"/>
        <v>8762.2172286553559</v>
      </c>
      <c r="AV557" s="163">
        <f t="shared" si="359"/>
        <v>213.4282384533272</v>
      </c>
      <c r="AW557" s="163">
        <f t="shared" si="338"/>
        <v>5478.6795821389514</v>
      </c>
      <c r="AX557" s="163">
        <f t="shared" si="339"/>
        <v>0</v>
      </c>
      <c r="AY557" s="164">
        <f t="shared" si="360"/>
        <v>62526.151886210515</v>
      </c>
      <c r="AZ557" s="164">
        <f>IF($E557="","",IF(OR(AND($D557=Input!$C$6,$C557=12),$AN557=1),0,-AS558+AT558+AU558-AV558-AW558-AX558+AZ558))</f>
        <v>62526.17846795504</v>
      </c>
      <c r="BA557" s="154">
        <f t="shared" si="340"/>
        <v>2.6581744525174145E-2</v>
      </c>
      <c r="BC557" s="147">
        <f t="shared" si="361"/>
        <v>2.1558419800937764E-4</v>
      </c>
      <c r="BD557" s="164">
        <f>IF(AND($C556=12,$D556=Input!$C$6),0,IF($E557="","",AT557+(AU557+BD558)/(1+$AK557)*MIN((1-AM557-AN557),1)))</f>
        <v>54993.489031700527</v>
      </c>
      <c r="BE557" s="164">
        <f t="shared" si="341"/>
        <v>11.855727228636663</v>
      </c>
      <c r="BF557" s="164">
        <f t="shared" si="362"/>
        <v>62526.17846795504</v>
      </c>
      <c r="BG557" s="164">
        <f t="shared" si="342"/>
        <v>13.479656039605304</v>
      </c>
      <c r="BH557" s="152"/>
      <c r="BI557" s="162">
        <f t="shared" si="343"/>
        <v>-12228.755922312728</v>
      </c>
      <c r="BJ557" s="150">
        <f t="shared" si="344"/>
        <v>42960.75</v>
      </c>
      <c r="BK557" s="163">
        <f t="shared" si="366"/>
        <v>124.33056447036863</v>
      </c>
      <c r="BL557" s="163">
        <f t="shared" si="345"/>
        <v>3943.0705344776552</v>
      </c>
      <c r="BM557" s="163">
        <f t="shared" si="367"/>
        <v>110.15541782343789</v>
      </c>
      <c r="BN557" s="163">
        <f t="shared" si="346"/>
        <v>1099.0855054813171</v>
      </c>
      <c r="BO557" s="163">
        <f t="shared" si="347"/>
        <v>0</v>
      </c>
      <c r="BP557" s="164">
        <f t="shared" si="368"/>
        <v>27873.833902044003</v>
      </c>
      <c r="BQ557" s="164">
        <f>IF($E557="","",IF(AND($D557=Input!$C$6,$C557=12),0,-BJ558+BK558+BL558-BM558-BN558-BO558+BQ558))</f>
        <v>27873.848460763453</v>
      </c>
      <c r="BR557" s="161">
        <f t="shared" si="348"/>
        <v>0</v>
      </c>
      <c r="BT557" s="147">
        <f t="shared" si="349"/>
        <v>2.1558419800937764E-4</v>
      </c>
      <c r="BU557" s="164">
        <f>IF(AND($C556=12,$D556=Input!$C$6),0,IF($E557="","",BK557+(BL557+BU558)/(1+$AK557)*MIN((1-T557-U557),1)))</f>
        <v>77830.767565922375</v>
      </c>
      <c r="BV557" s="164">
        <f t="shared" si="350"/>
        <v>16.779083606153655</v>
      </c>
      <c r="BW557" s="164">
        <f t="shared" si="351"/>
        <v>27873.848460763453</v>
      </c>
      <c r="BX557" s="164">
        <f t="shared" si="352"/>
        <v>6.009161265848614</v>
      </c>
    </row>
    <row r="558" spans="1:76" s="150" customFormat="1" x14ac:dyDescent="0.25">
      <c r="A558" s="150">
        <f t="shared" si="363"/>
        <v>554</v>
      </c>
      <c r="B558" s="150">
        <f t="shared" si="364"/>
        <v>47</v>
      </c>
      <c r="C558" s="150">
        <f t="shared" si="365"/>
        <v>2</v>
      </c>
      <c r="D558" s="150">
        <f>IF(E558="","",Input!$C$4+B558-1)</f>
        <v>91</v>
      </c>
      <c r="E558" s="150">
        <f>IF(OR(AND(C557=12,D557=Input!$C$6),E557=""),"",1)</f>
        <v>1</v>
      </c>
      <c r="F558" s="150">
        <f>IF(E558="","",Input!$C$8+B558-1)</f>
        <v>2064</v>
      </c>
      <c r="G558" s="151">
        <f>IF(E558="","",MAX(0,Input!$C$9-B558))</f>
        <v>0</v>
      </c>
      <c r="H558" s="152">
        <f>IF(E558="","",Input!$C$3)</f>
        <v>100000</v>
      </c>
      <c r="I558" s="153">
        <f>IF(E558="","",HLOOKUP($B558,Input!$C$13:$BT$14,2))</f>
        <v>429.60750000000002</v>
      </c>
      <c r="J558" s="154"/>
      <c r="K558" s="155">
        <f>IF($E558="","",INDEX(Input!$C$16:$CP$16,1,$B558))</f>
        <v>3.2149999999999998E-2</v>
      </c>
      <c r="L558" s="155">
        <f>IF($E558="","",Input!$C$37)</f>
        <v>1.4999999999999999E-2</v>
      </c>
      <c r="M558" s="155">
        <f t="shared" si="328"/>
        <v>4.7149999999999997E-2</v>
      </c>
      <c r="N558" s="155">
        <f t="shared" si="329"/>
        <v>3.8467287503822778E-3</v>
      </c>
      <c r="O558" s="147">
        <f>IF($E558="","",MIN(VLOOKUP(IF($B558&lt;=Input!$C$7,$B558,26),'Mortality Tables'!$A$41:$CW$67,IF($B558&lt;=Input!$C$7+1,Input!$C$4+2,$D558-Input!$C$7+2),0)*IF(B558&gt;20,Input!$C$22,1)/1000,1))</f>
        <v>0.48221600000000003</v>
      </c>
      <c r="P558" s="147">
        <f>IF($E558="","",MIN(VLOOKUP(IF($B558&lt;=Input!$C$7,$B558,26),'Mortality Tables'!$A$12:$CW$37,IF($B558&lt;=Input!$C$7+1,Input!$C$4+2,$D558-Input!$C$7+2),0)*IF(B558&gt;20,Input!$C$22,1)/1000,1))</f>
        <v>0.60277000000000003</v>
      </c>
      <c r="Q558" s="155">
        <f>IF($E558="","",Input!$C$21)</f>
        <v>5.0000000000000001E-3</v>
      </c>
      <c r="R558" s="159">
        <f>IF($E558="","",(1-Q558)^($F558-Input!$C$20))</f>
        <v>0.79407534929349588</v>
      </c>
      <c r="S558" s="147">
        <f t="shared" si="331"/>
        <v>0.38291583863491241</v>
      </c>
      <c r="T558" s="147">
        <f t="shared" si="332"/>
        <v>3.9430705344776551E-2</v>
      </c>
      <c r="U558" s="160">
        <f>IF($E558="","",IF($C558=12,INDEX(Input!$C$15:$CP$15,1,$B558),0))</f>
        <v>0</v>
      </c>
      <c r="V558" s="150">
        <f>IF(E558="","",IF(C558=1,IF($B558=1,Input!$C$33,Input!$C$34),0))</f>
        <v>0</v>
      </c>
      <c r="W558" s="156">
        <f>IF($E558="","",Input!$C$35)</f>
        <v>0.02</v>
      </c>
      <c r="X558" s="156">
        <f t="shared" si="330"/>
        <v>2.4866112894073726</v>
      </c>
      <c r="Y558" s="154"/>
      <c r="Z558" s="147">
        <f>IF($E558="","",VLOOKUP($D558,'Mortality Margins &amp; Grading'!$AB$5:$AF$125,3,0)*IF(Summary!$D$25="Included Margin",IF(AND($B558&gt;Input!$C$9,Summary!$D$31&lt;&gt;"Included Margin"),0,1),0))</f>
        <v>2.1000000000000001E-2</v>
      </c>
      <c r="AA558" s="147">
        <f>IF($E558="","",VLOOKUP($D558,'Mortality Margins &amp; Grading'!$AB$5:$AF$125,5,0)*IF(Summary!$D$25="Included Margin",IF(AND($B558&gt;Input!$C$9,Summary!$D$31&lt;&gt;"Included Margin"),0,1),0))</f>
        <v>0.107</v>
      </c>
      <c r="AB558" s="147">
        <f>IF($E558="","",IF(AND($B558&gt;Input!$C$9,Summary!$D$31&lt;&gt;"Included Margin"),1,IF(Summary!$D$25="Included Margin",VLOOKUP($B558,'Mortality Margins &amp; Grading'!$AI$5:$AR$125,MATCH('Mortality Margins &amp; Grading'!$AQ$4,'Mortality Margins &amp; Grading'!$AI$4:$AR$4,0),0),1)))</f>
        <v>0</v>
      </c>
      <c r="AC558" s="154"/>
      <c r="AD558" s="158">
        <f>IF(E558="","",Input!$C$48*IF(Summary!$D$30="Included Margin",IF(AND($B558&gt;Input!$C$9,Summary!$D$31&lt;&gt;"Included Margin"),0,1),0))</f>
        <v>-4.4999999999999997E-3</v>
      </c>
      <c r="AE558" s="159">
        <f>IF(E558="","",IF(Summary!$D$26="Included Margin",IF(AND($B558&gt;Input!$C$9,Summary!$D$31&lt;&gt;"Included Margin"),1,1/$R558),1))</f>
        <v>1.2593263358316302</v>
      </c>
      <c r="AF558" s="160">
        <f>IF(E558="","",IF(AND($B558&gt;=Input!$C$9,$C558=12,Summary!$D$31="Included Margin",$U558&gt;0),1/U558-1,IF($B558&gt;=Input!$C$9,0,Input!$C$45*IF(Summary!$D$27="Included Margin",1,0))))</f>
        <v>0</v>
      </c>
      <c r="AG558" s="160">
        <f>IF(E558="","",Input!$C$46*IF(Summary!$D$28="Included Margin",IF(AND($B558&gt;Input!$C$9,Summary!$D$31&lt;&gt;"Included Margin"),0,1),0))</f>
        <v>0.02</v>
      </c>
      <c r="AH558" s="158">
        <f>IF(E558="","",Input!$C$47*IF(Summary!$D$29="Included Margin",IF(AND($B558&gt;Input!$C$9,Summary!$D$31&lt;&gt;"Included Margin"),0,1),0))</f>
        <v>2.5000000000000001E-3</v>
      </c>
      <c r="AI558" s="154"/>
      <c r="AJ558" s="158">
        <f t="shared" si="353"/>
        <v>4.265E-2</v>
      </c>
      <c r="AK558" s="155">
        <f t="shared" si="354"/>
        <v>3.4865262783743134E-3</v>
      </c>
      <c r="AL558" s="147">
        <f t="shared" si="355"/>
        <v>0.66726638999999999</v>
      </c>
      <c r="AM558" s="147">
        <f t="shared" si="333"/>
        <v>8.7622172286553557E-2</v>
      </c>
      <c r="AN558" s="160">
        <f t="shared" si="356"/>
        <v>0</v>
      </c>
      <c r="AO558" s="161">
        <f t="shared" si="357"/>
        <v>0</v>
      </c>
      <c r="AP558" s="156">
        <f t="shared" si="334"/>
        <v>2.7829959047014983</v>
      </c>
      <c r="AQ558" s="152"/>
      <c r="AR558" s="162">
        <f t="shared" si="335"/>
        <v>62526.151886210515</v>
      </c>
      <c r="AS558" s="150">
        <f t="shared" si="358"/>
        <v>0</v>
      </c>
      <c r="AT558" s="163">
        <f t="shared" si="336"/>
        <v>0</v>
      </c>
      <c r="AU558" s="163">
        <f t="shared" si="337"/>
        <v>8762.2172286553559</v>
      </c>
      <c r="AV558" s="163">
        <f t="shared" si="359"/>
        <v>202.72422132463109</v>
      </c>
      <c r="AW558" s="163">
        <f t="shared" si="338"/>
        <v>5182.8070208762465</v>
      </c>
      <c r="AX558" s="163">
        <f t="shared" si="339"/>
        <v>0</v>
      </c>
      <c r="AY558" s="165">
        <f t="shared" si="360"/>
        <v>59149.465899756033</v>
      </c>
      <c r="AZ558" s="164">
        <f>IF($E558="","",IF(OR(AND($D558=Input!$C$6,$C558=12),$AN558=1),0,-AS559+AT559+AU559-AV559-AW559-AX559+AZ559))</f>
        <v>59149.492481500565</v>
      </c>
      <c r="BA558" s="154">
        <f t="shared" si="340"/>
        <v>2.6581744532450102E-2</v>
      </c>
      <c r="BC558" s="147">
        <f t="shared" si="361"/>
        <v>2.0708356102067991E-4</v>
      </c>
      <c r="BD558" s="164">
        <f>IF(AND($C557=12,$D557=Input!$C$6),0,IF($E558="","",AT558+(AU558+BD559)/(1+$AK558)*MIN((1-AM558-AN558),1)))</f>
        <v>51566.734178185128</v>
      </c>
      <c r="BE558" s="164">
        <f t="shared" si="341"/>
        <v>10.678622943825381</v>
      </c>
      <c r="BF558" s="164">
        <f t="shared" si="362"/>
        <v>59149.492481500565</v>
      </c>
      <c r="BG558" s="164">
        <f t="shared" si="342"/>
        <v>12.24888753563507</v>
      </c>
      <c r="BH558" s="152"/>
      <c r="BI558" s="162">
        <f t="shared" si="343"/>
        <v>27873.833902044007</v>
      </c>
      <c r="BJ558" s="150">
        <f t="shared" si="344"/>
        <v>0</v>
      </c>
      <c r="BK558" s="163">
        <f t="shared" si="366"/>
        <v>0</v>
      </c>
      <c r="BL558" s="163">
        <f t="shared" si="345"/>
        <v>3943.0705344776552</v>
      </c>
      <c r="BM558" s="163">
        <f t="shared" si="367"/>
        <v>99.639116859492702</v>
      </c>
      <c r="BN558" s="163">
        <f t="shared" si="346"/>
        <v>986.4320034094543</v>
      </c>
      <c r="BO558" s="163">
        <f t="shared" si="347"/>
        <v>0</v>
      </c>
      <c r="BP558" s="164">
        <f t="shared" si="368"/>
        <v>25016.834487835298</v>
      </c>
      <c r="BQ558" s="164">
        <f>IF($E558="","",IF(AND($D558=Input!$C$6,$C558=12),0,-BJ559+BK559+BL559-BM559-BN559-BO559+BQ559))</f>
        <v>25016.849046554744</v>
      </c>
      <c r="BR558" s="161">
        <f t="shared" si="348"/>
        <v>0</v>
      </c>
      <c r="BT558" s="147">
        <f t="shared" si="349"/>
        <v>2.0708356102067991E-4</v>
      </c>
      <c r="BU558" s="164">
        <f>IF(AND($C557=12,$D557=Input!$C$6),0,IF($E558="","",BK558+(BL558+BU559)/(1+$AK558)*MIN((1-T558-U558),1)))</f>
        <v>77235.208815004138</v>
      </c>
      <c r="BV558" s="164">
        <f t="shared" si="350"/>
        <v>15.994142077586865</v>
      </c>
      <c r="BW558" s="164">
        <f t="shared" si="351"/>
        <v>25016.849046554744</v>
      </c>
      <c r="BX558" s="164">
        <f t="shared" si="352"/>
        <v>5.1805781860773576</v>
      </c>
    </row>
    <row r="559" spans="1:76" s="150" customFormat="1" x14ac:dyDescent="0.25">
      <c r="A559" s="150">
        <f t="shared" si="363"/>
        <v>555</v>
      </c>
      <c r="B559" s="150">
        <f t="shared" si="364"/>
        <v>47</v>
      </c>
      <c r="C559" s="150">
        <f t="shared" si="365"/>
        <v>3</v>
      </c>
      <c r="D559" s="150">
        <f>IF(E559="","",Input!$C$4+B559-1)</f>
        <v>91</v>
      </c>
      <c r="E559" s="150">
        <f>IF(OR(AND(C558=12,D558=Input!$C$6),E558=""),"",1)</f>
        <v>1</v>
      </c>
      <c r="F559" s="150">
        <f>IF(E559="","",Input!$C$8+B559-1)</f>
        <v>2064</v>
      </c>
      <c r="G559" s="151">
        <f>IF(E559="","",MAX(0,Input!$C$9-B559))</f>
        <v>0</v>
      </c>
      <c r="H559" s="152">
        <f>IF(E559="","",Input!$C$3)</f>
        <v>100000</v>
      </c>
      <c r="I559" s="153">
        <f>IF(E559="","",HLOOKUP($B559,Input!$C$13:$BT$14,2))</f>
        <v>429.60750000000002</v>
      </c>
      <c r="J559" s="154"/>
      <c r="K559" s="155">
        <f>IF($E559="","",INDEX(Input!$C$16:$CP$16,1,$B559))</f>
        <v>3.2149999999999998E-2</v>
      </c>
      <c r="L559" s="155">
        <f>IF($E559="","",Input!$C$37)</f>
        <v>1.4999999999999999E-2</v>
      </c>
      <c r="M559" s="155">
        <f t="shared" si="328"/>
        <v>4.7149999999999997E-2</v>
      </c>
      <c r="N559" s="155">
        <f t="shared" si="329"/>
        <v>3.8467287503822778E-3</v>
      </c>
      <c r="O559" s="147">
        <f>IF($E559="","",MIN(VLOOKUP(IF($B559&lt;=Input!$C$7,$B559,26),'Mortality Tables'!$A$41:$CW$67,IF($B559&lt;=Input!$C$7+1,Input!$C$4+2,$D559-Input!$C$7+2),0)*IF(B559&gt;20,Input!$C$22,1)/1000,1))</f>
        <v>0.48221600000000003</v>
      </c>
      <c r="P559" s="147">
        <f>IF($E559="","",MIN(VLOOKUP(IF($B559&lt;=Input!$C$7,$B559,26),'Mortality Tables'!$A$12:$CW$37,IF($B559&lt;=Input!$C$7+1,Input!$C$4+2,$D559-Input!$C$7+2),0)*IF(B559&gt;20,Input!$C$22,1)/1000,1))</f>
        <v>0.60277000000000003</v>
      </c>
      <c r="Q559" s="155">
        <f>IF($E559="","",Input!$C$21)</f>
        <v>5.0000000000000001E-3</v>
      </c>
      <c r="R559" s="159">
        <f>IF($E559="","",(1-Q559)^($F559-Input!$C$20))</f>
        <v>0.79407534929349588</v>
      </c>
      <c r="S559" s="147">
        <f t="shared" si="331"/>
        <v>0.38291583863491241</v>
      </c>
      <c r="T559" s="147">
        <f t="shared" si="332"/>
        <v>3.9430705344776551E-2</v>
      </c>
      <c r="U559" s="160">
        <f>IF($E559="","",IF($C559=12,INDEX(Input!$C$15:$CP$15,1,$B559),0))</f>
        <v>0</v>
      </c>
      <c r="V559" s="150">
        <f>IF(E559="","",IF(C559=1,IF($B559=1,Input!$C$33,Input!$C$34),0))</f>
        <v>0</v>
      </c>
      <c r="W559" s="156">
        <f>IF($E559="","",Input!$C$35)</f>
        <v>0.02</v>
      </c>
      <c r="X559" s="156">
        <f t="shared" si="330"/>
        <v>2.4866112894073726</v>
      </c>
      <c r="Y559" s="154"/>
      <c r="Z559" s="147">
        <f>IF($E559="","",VLOOKUP($D559,'Mortality Margins &amp; Grading'!$AB$5:$AF$125,3,0)*IF(Summary!$D$25="Included Margin",IF(AND($B559&gt;Input!$C$9,Summary!$D$31&lt;&gt;"Included Margin"),0,1),0))</f>
        <v>2.1000000000000001E-2</v>
      </c>
      <c r="AA559" s="147">
        <f>IF($E559="","",VLOOKUP($D559,'Mortality Margins &amp; Grading'!$AB$5:$AF$125,5,0)*IF(Summary!$D$25="Included Margin",IF(AND($B559&gt;Input!$C$9,Summary!$D$31&lt;&gt;"Included Margin"),0,1),0))</f>
        <v>0.107</v>
      </c>
      <c r="AB559" s="147">
        <f>IF($E559="","",IF(AND($B559&gt;Input!$C$9,Summary!$D$31&lt;&gt;"Included Margin"),1,IF(Summary!$D$25="Included Margin",VLOOKUP($B559,'Mortality Margins &amp; Grading'!$AI$5:$AR$125,MATCH('Mortality Margins &amp; Grading'!$AQ$4,'Mortality Margins &amp; Grading'!$AI$4:$AR$4,0),0),1)))</f>
        <v>0</v>
      </c>
      <c r="AC559" s="154"/>
      <c r="AD559" s="158">
        <f>IF(E559="","",Input!$C$48*IF(Summary!$D$30="Included Margin",IF(AND($B559&gt;Input!$C$9,Summary!$D$31&lt;&gt;"Included Margin"),0,1),0))</f>
        <v>-4.4999999999999997E-3</v>
      </c>
      <c r="AE559" s="159">
        <f>IF(E559="","",IF(Summary!$D$26="Included Margin",IF(AND($B559&gt;Input!$C$9,Summary!$D$31&lt;&gt;"Included Margin"),1,1/$R559),1))</f>
        <v>1.2593263358316302</v>
      </c>
      <c r="AF559" s="160">
        <f>IF(E559="","",IF(AND($B559&gt;=Input!$C$9,$C559=12,Summary!$D$31="Included Margin",$U559&gt;0),1/U559-1,IF($B559&gt;=Input!$C$9,0,Input!$C$45*IF(Summary!$D$27="Included Margin",1,0))))</f>
        <v>0</v>
      </c>
      <c r="AG559" s="160">
        <f>IF(E559="","",Input!$C$46*IF(Summary!$D$28="Included Margin",IF(AND($B559&gt;Input!$C$9,Summary!$D$31&lt;&gt;"Included Margin"),0,1),0))</f>
        <v>0.02</v>
      </c>
      <c r="AH559" s="158">
        <f>IF(E559="","",Input!$C$47*IF(Summary!$D$29="Included Margin",IF(AND($B559&gt;Input!$C$9,Summary!$D$31&lt;&gt;"Included Margin"),0,1),0))</f>
        <v>2.5000000000000001E-3</v>
      </c>
      <c r="AI559" s="154"/>
      <c r="AJ559" s="158">
        <f t="shared" si="353"/>
        <v>4.265E-2</v>
      </c>
      <c r="AK559" s="155">
        <f t="shared" si="354"/>
        <v>3.4865262783743134E-3</v>
      </c>
      <c r="AL559" s="147">
        <f t="shared" si="355"/>
        <v>0.66726638999999999</v>
      </c>
      <c r="AM559" s="147">
        <f t="shared" si="333"/>
        <v>8.7622172286553557E-2</v>
      </c>
      <c r="AN559" s="160">
        <f t="shared" si="356"/>
        <v>0</v>
      </c>
      <c r="AO559" s="161">
        <f t="shared" si="357"/>
        <v>0</v>
      </c>
      <c r="AP559" s="156">
        <f t="shared" si="334"/>
        <v>2.7829959047014983</v>
      </c>
      <c r="AQ559" s="152"/>
      <c r="AR559" s="162">
        <f t="shared" si="335"/>
        <v>59149.46589975604</v>
      </c>
      <c r="AS559" s="150">
        <f t="shared" si="358"/>
        <v>0</v>
      </c>
      <c r="AT559" s="163">
        <f t="shared" si="336"/>
        <v>0</v>
      </c>
      <c r="AU559" s="163">
        <f t="shared" si="337"/>
        <v>8762.2172286553559</v>
      </c>
      <c r="AV559" s="163">
        <f t="shared" si="359"/>
        <v>190.95131689903926</v>
      </c>
      <c r="AW559" s="163">
        <f t="shared" si="338"/>
        <v>4857.3890638587209</v>
      </c>
      <c r="AX559" s="163">
        <f t="shared" si="339"/>
        <v>0</v>
      </c>
      <c r="AY559" s="164">
        <f t="shared" si="360"/>
        <v>55435.589051858442</v>
      </c>
      <c r="AZ559" s="164">
        <f>IF($E559="","",IF(OR(AND($D559=Input!$C$6,$C559=12),$AN559=1),0,-AS560+AT560+AU560-AV560-AW560-AX560+AZ560))</f>
        <v>55435.615633602967</v>
      </c>
      <c r="BA559" s="154">
        <f t="shared" si="340"/>
        <v>2.6581744525174145E-2</v>
      </c>
      <c r="BC559" s="147">
        <f t="shared" si="361"/>
        <v>1.9891811014432643E-4</v>
      </c>
      <c r="BD559" s="164">
        <f>IF(AND($C558=12,$D558=Input!$C$6),0,IF($E559="","",AT559+(AU559+BD560)/(1+$AK559)*MIN((1-AM559-AN559),1)))</f>
        <v>47953.894649766487</v>
      </c>
      <c r="BE559" s="164">
        <f t="shared" si="341"/>
        <v>9.5388980977916766</v>
      </c>
      <c r="BF559" s="164">
        <f t="shared" si="362"/>
        <v>55435.615633602967</v>
      </c>
      <c r="BG559" s="164">
        <f t="shared" si="342"/>
        <v>11.02714789652358</v>
      </c>
      <c r="BH559" s="152"/>
      <c r="BI559" s="162">
        <f t="shared" si="343"/>
        <v>25016.834487835298</v>
      </c>
      <c r="BJ559" s="150">
        <f t="shared" si="344"/>
        <v>0</v>
      </c>
      <c r="BK559" s="163">
        <f t="shared" si="366"/>
        <v>0</v>
      </c>
      <c r="BL559" s="163">
        <f t="shared" si="345"/>
        <v>3943.0705344776552</v>
      </c>
      <c r="BM559" s="163">
        <f t="shared" si="367"/>
        <v>88.649015073030739</v>
      </c>
      <c r="BN559" s="163">
        <f t="shared" si="346"/>
        <v>868.7030168945314</v>
      </c>
      <c r="BO559" s="163">
        <f t="shared" si="347"/>
        <v>0</v>
      </c>
      <c r="BP559" s="164">
        <f t="shared" si="368"/>
        <v>22031.115985325207</v>
      </c>
      <c r="BQ559" s="164">
        <f>IF($E559="","",IF(AND($D559=Input!$C$6,$C559=12),0,-BJ560+BK560+BL560-BM560-BN560-BO560+BQ560))</f>
        <v>22031.130544044652</v>
      </c>
      <c r="BR559" s="161">
        <f t="shared" si="348"/>
        <v>0</v>
      </c>
      <c r="BT559" s="147">
        <f t="shared" si="349"/>
        <v>1.9891811014432643E-4</v>
      </c>
      <c r="BU559" s="164">
        <f>IF(AND($C558=12,$D558=Input!$C$6),0,IF($E559="","",BK559+(BL559+BU560)/(1+$AK559)*MIN((1-T559-U559),1)))</f>
        <v>76742.9266459465</v>
      </c>
      <c r="BV559" s="164">
        <f t="shared" si="350"/>
        <v>15.26555793535635</v>
      </c>
      <c r="BW559" s="164">
        <f t="shared" si="351"/>
        <v>22031.130544044652</v>
      </c>
      <c r="BX559" s="164">
        <f t="shared" si="352"/>
        <v>4.3823908521643089</v>
      </c>
    </row>
    <row r="560" spans="1:76" s="150" customFormat="1" x14ac:dyDescent="0.25">
      <c r="A560" s="150">
        <f t="shared" si="363"/>
        <v>556</v>
      </c>
      <c r="B560" s="150">
        <f t="shared" si="364"/>
        <v>47</v>
      </c>
      <c r="C560" s="150">
        <f t="shared" si="365"/>
        <v>4</v>
      </c>
      <c r="D560" s="150">
        <f>IF(E560="","",Input!$C$4+B560-1)</f>
        <v>91</v>
      </c>
      <c r="E560" s="150">
        <f>IF(OR(AND(C559=12,D559=Input!$C$6),E559=""),"",1)</f>
        <v>1</v>
      </c>
      <c r="F560" s="150">
        <f>IF(E560="","",Input!$C$8+B560-1)</f>
        <v>2064</v>
      </c>
      <c r="G560" s="151">
        <f>IF(E560="","",MAX(0,Input!$C$9-B560))</f>
        <v>0</v>
      </c>
      <c r="H560" s="152">
        <f>IF(E560="","",Input!$C$3)</f>
        <v>100000</v>
      </c>
      <c r="I560" s="153">
        <f>IF(E560="","",HLOOKUP($B560,Input!$C$13:$BT$14,2))</f>
        <v>429.60750000000002</v>
      </c>
      <c r="J560" s="154"/>
      <c r="K560" s="155">
        <f>IF($E560="","",INDEX(Input!$C$16:$CP$16,1,$B560))</f>
        <v>3.2149999999999998E-2</v>
      </c>
      <c r="L560" s="155">
        <f>IF($E560="","",Input!$C$37)</f>
        <v>1.4999999999999999E-2</v>
      </c>
      <c r="M560" s="155">
        <f t="shared" si="328"/>
        <v>4.7149999999999997E-2</v>
      </c>
      <c r="N560" s="155">
        <f t="shared" si="329"/>
        <v>3.8467287503822778E-3</v>
      </c>
      <c r="O560" s="147">
        <f>IF($E560="","",MIN(VLOOKUP(IF($B560&lt;=Input!$C$7,$B560,26),'Mortality Tables'!$A$41:$CW$67,IF($B560&lt;=Input!$C$7+1,Input!$C$4+2,$D560-Input!$C$7+2),0)*IF(B560&gt;20,Input!$C$22,1)/1000,1))</f>
        <v>0.48221600000000003</v>
      </c>
      <c r="P560" s="147">
        <f>IF($E560="","",MIN(VLOOKUP(IF($B560&lt;=Input!$C$7,$B560,26),'Mortality Tables'!$A$12:$CW$37,IF($B560&lt;=Input!$C$7+1,Input!$C$4+2,$D560-Input!$C$7+2),0)*IF(B560&gt;20,Input!$C$22,1)/1000,1))</f>
        <v>0.60277000000000003</v>
      </c>
      <c r="Q560" s="155">
        <f>IF($E560="","",Input!$C$21)</f>
        <v>5.0000000000000001E-3</v>
      </c>
      <c r="R560" s="159">
        <f>IF($E560="","",(1-Q560)^($F560-Input!$C$20))</f>
        <v>0.79407534929349588</v>
      </c>
      <c r="S560" s="147">
        <f t="shared" si="331"/>
        <v>0.38291583863491241</v>
      </c>
      <c r="T560" s="147">
        <f t="shared" si="332"/>
        <v>3.9430705344776551E-2</v>
      </c>
      <c r="U560" s="160">
        <f>IF($E560="","",IF($C560=12,INDEX(Input!$C$15:$CP$15,1,$B560),0))</f>
        <v>0</v>
      </c>
      <c r="V560" s="150">
        <f>IF(E560="","",IF(C560=1,IF($B560=1,Input!$C$33,Input!$C$34),0))</f>
        <v>0</v>
      </c>
      <c r="W560" s="156">
        <f>IF($E560="","",Input!$C$35)</f>
        <v>0.02</v>
      </c>
      <c r="X560" s="156">
        <f t="shared" si="330"/>
        <v>2.4866112894073726</v>
      </c>
      <c r="Y560" s="154"/>
      <c r="Z560" s="147">
        <f>IF($E560="","",VLOOKUP($D560,'Mortality Margins &amp; Grading'!$AB$5:$AF$125,3,0)*IF(Summary!$D$25="Included Margin",IF(AND($B560&gt;Input!$C$9,Summary!$D$31&lt;&gt;"Included Margin"),0,1),0))</f>
        <v>2.1000000000000001E-2</v>
      </c>
      <c r="AA560" s="147">
        <f>IF($E560="","",VLOOKUP($D560,'Mortality Margins &amp; Grading'!$AB$5:$AF$125,5,0)*IF(Summary!$D$25="Included Margin",IF(AND($B560&gt;Input!$C$9,Summary!$D$31&lt;&gt;"Included Margin"),0,1),0))</f>
        <v>0.107</v>
      </c>
      <c r="AB560" s="147">
        <f>IF($E560="","",IF(AND($B560&gt;Input!$C$9,Summary!$D$31&lt;&gt;"Included Margin"),1,IF(Summary!$D$25="Included Margin",VLOOKUP($B560,'Mortality Margins &amp; Grading'!$AI$5:$AR$125,MATCH('Mortality Margins &amp; Grading'!$AQ$4,'Mortality Margins &amp; Grading'!$AI$4:$AR$4,0),0),1)))</f>
        <v>0</v>
      </c>
      <c r="AC560" s="154"/>
      <c r="AD560" s="158">
        <f>IF(E560="","",Input!$C$48*IF(Summary!$D$30="Included Margin",IF(AND($B560&gt;Input!$C$9,Summary!$D$31&lt;&gt;"Included Margin"),0,1),0))</f>
        <v>-4.4999999999999997E-3</v>
      </c>
      <c r="AE560" s="159">
        <f>IF(E560="","",IF(Summary!$D$26="Included Margin",IF(AND($B560&gt;Input!$C$9,Summary!$D$31&lt;&gt;"Included Margin"),1,1/$R560),1))</f>
        <v>1.2593263358316302</v>
      </c>
      <c r="AF560" s="160">
        <f>IF(E560="","",IF(AND($B560&gt;=Input!$C$9,$C560=12,Summary!$D$31="Included Margin",$U560&gt;0),1/U560-1,IF($B560&gt;=Input!$C$9,0,Input!$C$45*IF(Summary!$D$27="Included Margin",1,0))))</f>
        <v>0</v>
      </c>
      <c r="AG560" s="160">
        <f>IF(E560="","",Input!$C$46*IF(Summary!$D$28="Included Margin",IF(AND($B560&gt;Input!$C$9,Summary!$D$31&lt;&gt;"Included Margin"),0,1),0))</f>
        <v>0.02</v>
      </c>
      <c r="AH560" s="158">
        <f>IF(E560="","",Input!$C$47*IF(Summary!$D$29="Included Margin",IF(AND($B560&gt;Input!$C$9,Summary!$D$31&lt;&gt;"Included Margin"),0,1),0))</f>
        <v>2.5000000000000001E-3</v>
      </c>
      <c r="AI560" s="154"/>
      <c r="AJ560" s="158">
        <f t="shared" si="353"/>
        <v>4.265E-2</v>
      </c>
      <c r="AK560" s="155">
        <f t="shared" si="354"/>
        <v>3.4865262783743134E-3</v>
      </c>
      <c r="AL560" s="147">
        <f t="shared" si="355"/>
        <v>0.66726638999999999</v>
      </c>
      <c r="AM560" s="147">
        <f t="shared" si="333"/>
        <v>8.7622172286553557E-2</v>
      </c>
      <c r="AN560" s="160">
        <f t="shared" si="356"/>
        <v>0</v>
      </c>
      <c r="AO560" s="161">
        <f t="shared" si="357"/>
        <v>0</v>
      </c>
      <c r="AP560" s="156">
        <f t="shared" si="334"/>
        <v>2.7829959047014983</v>
      </c>
      <c r="AQ560" s="152"/>
      <c r="AR560" s="162">
        <f t="shared" si="335"/>
        <v>55435.589051858435</v>
      </c>
      <c r="AS560" s="150">
        <f t="shared" si="358"/>
        <v>0</v>
      </c>
      <c r="AT560" s="163">
        <f t="shared" si="336"/>
        <v>0</v>
      </c>
      <c r="AU560" s="163">
        <f t="shared" si="337"/>
        <v>8762.2172286553559</v>
      </c>
      <c r="AV560" s="163">
        <f t="shared" si="359"/>
        <v>178.00278767419829</v>
      </c>
      <c r="AW560" s="163">
        <f t="shared" si="338"/>
        <v>4499.4753516255869</v>
      </c>
      <c r="AX560" s="163">
        <f t="shared" si="339"/>
        <v>0</v>
      </c>
      <c r="AY560" s="165">
        <f t="shared" si="360"/>
        <v>51350.849962502863</v>
      </c>
      <c r="AZ560" s="164">
        <f>IF($E560="","",IF(OR(AND($D560=Input!$C$6,$C560=12),$AN560=1),0,-AS561+AT561+AU561-AV561-AW561-AX561+AZ561))</f>
        <v>51350.876544247396</v>
      </c>
      <c r="BA560" s="154">
        <f t="shared" si="340"/>
        <v>2.6581744532450102E-2</v>
      </c>
      <c r="BC560" s="147">
        <f t="shared" si="361"/>
        <v>1.910746287554857E-4</v>
      </c>
      <c r="BD560" s="164">
        <f>IF(AND($C559=12,$D559=Input!$C$6),0,IF($E560="","",AT560+(AU560+BD561)/(1+$AK560)*MIN((1-AM560-AN560),1)))</f>
        <v>43980.282316968027</v>
      </c>
      <c r="BE560" s="164">
        <f t="shared" si="341"/>
        <v>8.4035161162761174</v>
      </c>
      <c r="BF560" s="164">
        <f t="shared" si="362"/>
        <v>51350.876544247396</v>
      </c>
      <c r="BG560" s="164">
        <f t="shared" si="342"/>
        <v>9.8118496719608501</v>
      </c>
      <c r="BH560" s="152"/>
      <c r="BI560" s="162">
        <f t="shared" si="343"/>
        <v>22031.115985325203</v>
      </c>
      <c r="BJ560" s="150">
        <f t="shared" si="344"/>
        <v>0</v>
      </c>
      <c r="BK560" s="163">
        <f t="shared" si="366"/>
        <v>0</v>
      </c>
      <c r="BL560" s="163">
        <f t="shared" si="345"/>
        <v>3943.0705344776552</v>
      </c>
      <c r="BM560" s="163">
        <f t="shared" si="367"/>
        <v>77.163765868876837</v>
      </c>
      <c r="BN560" s="163">
        <f t="shared" si="346"/>
        <v>745.6698753505658</v>
      </c>
      <c r="BO560" s="163">
        <f t="shared" si="347"/>
        <v>0</v>
      </c>
      <c r="BP560" s="164">
        <f t="shared" si="368"/>
        <v>18910.879092066993</v>
      </c>
      <c r="BQ560" s="164">
        <f>IF($E560="","",IF(AND($D560=Input!$C$6,$C560=12),0,-BJ561+BK561+BL561-BM561-BN561-BO561+BQ561))</f>
        <v>18910.893650786438</v>
      </c>
      <c r="BR560" s="161">
        <f t="shared" si="348"/>
        <v>0</v>
      </c>
      <c r="BT560" s="147">
        <f t="shared" si="349"/>
        <v>1.910746287554857E-4</v>
      </c>
      <c r="BU560" s="164">
        <f>IF(AND($C559=12,$D559=Input!$C$6),0,IF($E560="","",BK560+(BL560+BU561)/(1+$AK560)*MIN((1-T560-U560),1)))</f>
        <v>76228.649824352149</v>
      </c>
      <c r="BV560" s="164">
        <f t="shared" si="350"/>
        <v>14.565360965720007</v>
      </c>
      <c r="BW560" s="164">
        <f t="shared" si="351"/>
        <v>18910.893650786438</v>
      </c>
      <c r="BX560" s="164">
        <f t="shared" si="352"/>
        <v>3.6133919837584902</v>
      </c>
    </row>
    <row r="561" spans="1:76" s="150" customFormat="1" x14ac:dyDescent="0.25">
      <c r="A561" s="150">
        <f t="shared" si="363"/>
        <v>557</v>
      </c>
      <c r="B561" s="150">
        <f t="shared" si="364"/>
        <v>47</v>
      </c>
      <c r="C561" s="150">
        <f t="shared" si="365"/>
        <v>5</v>
      </c>
      <c r="D561" s="150">
        <f>IF(E561="","",Input!$C$4+B561-1)</f>
        <v>91</v>
      </c>
      <c r="E561" s="150">
        <f>IF(OR(AND(C560=12,D560=Input!$C$6),E560=""),"",1)</f>
        <v>1</v>
      </c>
      <c r="F561" s="150">
        <f>IF(E561="","",Input!$C$8+B561-1)</f>
        <v>2064</v>
      </c>
      <c r="G561" s="151">
        <f>IF(E561="","",MAX(0,Input!$C$9-B561))</f>
        <v>0</v>
      </c>
      <c r="H561" s="152">
        <f>IF(E561="","",Input!$C$3)</f>
        <v>100000</v>
      </c>
      <c r="I561" s="153">
        <f>IF(E561="","",HLOOKUP($B561,Input!$C$13:$BT$14,2))</f>
        <v>429.60750000000002</v>
      </c>
      <c r="J561" s="154"/>
      <c r="K561" s="155">
        <f>IF($E561="","",INDEX(Input!$C$16:$CP$16,1,$B561))</f>
        <v>3.2149999999999998E-2</v>
      </c>
      <c r="L561" s="155">
        <f>IF($E561="","",Input!$C$37)</f>
        <v>1.4999999999999999E-2</v>
      </c>
      <c r="M561" s="155">
        <f t="shared" si="328"/>
        <v>4.7149999999999997E-2</v>
      </c>
      <c r="N561" s="155">
        <f t="shared" si="329"/>
        <v>3.8467287503822778E-3</v>
      </c>
      <c r="O561" s="147">
        <f>IF($E561="","",MIN(VLOOKUP(IF($B561&lt;=Input!$C$7,$B561,26),'Mortality Tables'!$A$41:$CW$67,IF($B561&lt;=Input!$C$7+1,Input!$C$4+2,$D561-Input!$C$7+2),0)*IF(B561&gt;20,Input!$C$22,1)/1000,1))</f>
        <v>0.48221600000000003</v>
      </c>
      <c r="P561" s="147">
        <f>IF($E561="","",MIN(VLOOKUP(IF($B561&lt;=Input!$C$7,$B561,26),'Mortality Tables'!$A$12:$CW$37,IF($B561&lt;=Input!$C$7+1,Input!$C$4+2,$D561-Input!$C$7+2),0)*IF(B561&gt;20,Input!$C$22,1)/1000,1))</f>
        <v>0.60277000000000003</v>
      </c>
      <c r="Q561" s="155">
        <f>IF($E561="","",Input!$C$21)</f>
        <v>5.0000000000000001E-3</v>
      </c>
      <c r="R561" s="159">
        <f>IF($E561="","",(1-Q561)^($F561-Input!$C$20))</f>
        <v>0.79407534929349588</v>
      </c>
      <c r="S561" s="147">
        <f t="shared" si="331"/>
        <v>0.38291583863491241</v>
      </c>
      <c r="T561" s="147">
        <f t="shared" si="332"/>
        <v>3.9430705344776551E-2</v>
      </c>
      <c r="U561" s="160">
        <f>IF($E561="","",IF($C561=12,INDEX(Input!$C$15:$CP$15,1,$B561),0))</f>
        <v>0</v>
      </c>
      <c r="V561" s="150">
        <f>IF(E561="","",IF(C561=1,IF($B561=1,Input!$C$33,Input!$C$34),0))</f>
        <v>0</v>
      </c>
      <c r="W561" s="156">
        <f>IF($E561="","",Input!$C$35)</f>
        <v>0.02</v>
      </c>
      <c r="X561" s="156">
        <f t="shared" si="330"/>
        <v>2.4866112894073726</v>
      </c>
      <c r="Y561" s="154"/>
      <c r="Z561" s="147">
        <f>IF($E561="","",VLOOKUP($D561,'Mortality Margins &amp; Grading'!$AB$5:$AF$125,3,0)*IF(Summary!$D$25="Included Margin",IF(AND($B561&gt;Input!$C$9,Summary!$D$31&lt;&gt;"Included Margin"),0,1),0))</f>
        <v>2.1000000000000001E-2</v>
      </c>
      <c r="AA561" s="147">
        <f>IF($E561="","",VLOOKUP($D561,'Mortality Margins &amp; Grading'!$AB$5:$AF$125,5,0)*IF(Summary!$D$25="Included Margin",IF(AND($B561&gt;Input!$C$9,Summary!$D$31&lt;&gt;"Included Margin"),0,1),0))</f>
        <v>0.107</v>
      </c>
      <c r="AB561" s="147">
        <f>IF($E561="","",IF(AND($B561&gt;Input!$C$9,Summary!$D$31&lt;&gt;"Included Margin"),1,IF(Summary!$D$25="Included Margin",VLOOKUP($B561,'Mortality Margins &amp; Grading'!$AI$5:$AR$125,MATCH('Mortality Margins &amp; Grading'!$AQ$4,'Mortality Margins &amp; Grading'!$AI$4:$AR$4,0),0),1)))</f>
        <v>0</v>
      </c>
      <c r="AC561" s="154"/>
      <c r="AD561" s="158">
        <f>IF(E561="","",Input!$C$48*IF(Summary!$D$30="Included Margin",IF(AND($B561&gt;Input!$C$9,Summary!$D$31&lt;&gt;"Included Margin"),0,1),0))</f>
        <v>-4.4999999999999997E-3</v>
      </c>
      <c r="AE561" s="159">
        <f>IF(E561="","",IF(Summary!$D$26="Included Margin",IF(AND($B561&gt;Input!$C$9,Summary!$D$31&lt;&gt;"Included Margin"),1,1/$R561),1))</f>
        <v>1.2593263358316302</v>
      </c>
      <c r="AF561" s="160">
        <f>IF(E561="","",IF(AND($B561&gt;=Input!$C$9,$C561=12,Summary!$D$31="Included Margin",$U561&gt;0),1/U561-1,IF($B561&gt;=Input!$C$9,0,Input!$C$45*IF(Summary!$D$27="Included Margin",1,0))))</f>
        <v>0</v>
      </c>
      <c r="AG561" s="160">
        <f>IF(E561="","",Input!$C$46*IF(Summary!$D$28="Included Margin",IF(AND($B561&gt;Input!$C$9,Summary!$D$31&lt;&gt;"Included Margin"),0,1),0))</f>
        <v>0.02</v>
      </c>
      <c r="AH561" s="158">
        <f>IF(E561="","",Input!$C$47*IF(Summary!$D$29="Included Margin",IF(AND($B561&gt;Input!$C$9,Summary!$D$31&lt;&gt;"Included Margin"),0,1),0))</f>
        <v>2.5000000000000001E-3</v>
      </c>
      <c r="AI561" s="154"/>
      <c r="AJ561" s="158">
        <f t="shared" si="353"/>
        <v>4.265E-2</v>
      </c>
      <c r="AK561" s="155">
        <f t="shared" si="354"/>
        <v>3.4865262783743134E-3</v>
      </c>
      <c r="AL561" s="147">
        <f t="shared" si="355"/>
        <v>0.66726638999999999</v>
      </c>
      <c r="AM561" s="147">
        <f t="shared" si="333"/>
        <v>8.7622172286553557E-2</v>
      </c>
      <c r="AN561" s="160">
        <f t="shared" si="356"/>
        <v>0</v>
      </c>
      <c r="AO561" s="161">
        <f t="shared" si="357"/>
        <v>0</v>
      </c>
      <c r="AP561" s="156">
        <f t="shared" si="334"/>
        <v>2.7829959047014983</v>
      </c>
      <c r="AQ561" s="152"/>
      <c r="AR561" s="162">
        <f t="shared" si="335"/>
        <v>51350.849962502863</v>
      </c>
      <c r="AS561" s="150">
        <f t="shared" si="358"/>
        <v>0</v>
      </c>
      <c r="AT561" s="163">
        <f t="shared" si="336"/>
        <v>0</v>
      </c>
      <c r="AU561" s="163">
        <f t="shared" si="337"/>
        <v>8762.2172286553559</v>
      </c>
      <c r="AV561" s="163">
        <f t="shared" si="359"/>
        <v>163.76123749885733</v>
      </c>
      <c r="AW561" s="163">
        <f t="shared" si="338"/>
        <v>4105.8209061900407</v>
      </c>
      <c r="AX561" s="163">
        <f t="shared" si="339"/>
        <v>0</v>
      </c>
      <c r="AY561" s="164">
        <f t="shared" si="360"/>
        <v>46858.214877536411</v>
      </c>
      <c r="AZ561" s="164">
        <f>IF($E561="","",IF(OR(AND($D561=Input!$C$6,$C561=12),$AN561=1),0,-AS562+AT562+AU562-AV562-AW562-AX562+AZ562))</f>
        <v>46858.241459280936</v>
      </c>
      <c r="BA561" s="154">
        <f t="shared" si="340"/>
        <v>2.6581744525174145E-2</v>
      </c>
      <c r="BC561" s="147">
        <f t="shared" si="361"/>
        <v>1.8354042137016556E-4</v>
      </c>
      <c r="BD561" s="164">
        <f>IF(AND($C560=12,$D560=Input!$C$6),0,IF($E561="","",AT561+(AU561+BD562)/(1+$AK561)*MIN((1-AM561-AN561),1)))</f>
        <v>39609.870941880123</v>
      </c>
      <c r="BE561" s="164">
        <f t="shared" si="341"/>
        <v>7.2700124030905542</v>
      </c>
      <c r="BF561" s="164">
        <f t="shared" si="362"/>
        <v>46858.241459280936</v>
      </c>
      <c r="BG561" s="164">
        <f t="shared" si="342"/>
        <v>8.6003813821013839</v>
      </c>
      <c r="BH561" s="152"/>
      <c r="BI561" s="162">
        <f t="shared" si="343"/>
        <v>18910.879092066989</v>
      </c>
      <c r="BJ561" s="150">
        <f t="shared" si="344"/>
        <v>0</v>
      </c>
      <c r="BK561" s="163">
        <f t="shared" si="366"/>
        <v>0</v>
      </c>
      <c r="BL561" s="163">
        <f t="shared" si="345"/>
        <v>3943.0705344776552</v>
      </c>
      <c r="BM561" s="163">
        <f t="shared" si="367"/>
        <v>65.161060903576981</v>
      </c>
      <c r="BN561" s="163">
        <f t="shared" si="346"/>
        <v>617.09360568006502</v>
      </c>
      <c r="BO561" s="163">
        <f t="shared" si="347"/>
        <v>0</v>
      </c>
      <c r="BP561" s="164">
        <f t="shared" si="368"/>
        <v>15650.063224172978</v>
      </c>
      <c r="BQ561" s="164">
        <f>IF($E561="","",IF(AND($D561=Input!$C$6,$C561=12),0,-BJ562+BK562+BL562-BM562-BN562-BO562+BQ562))</f>
        <v>15650.077782892424</v>
      </c>
      <c r="BR561" s="161">
        <f t="shared" si="348"/>
        <v>0</v>
      </c>
      <c r="BT561" s="147">
        <f t="shared" si="349"/>
        <v>1.8354042137016556E-4</v>
      </c>
      <c r="BU561" s="164">
        <f>IF(AND($C560=12,$D560=Input!$C$6),0,IF($E561="","",BK561+(BL561+BU562)/(1+$AK561)*MIN((1-T561-U561),1)))</f>
        <v>75691.395652145409</v>
      </c>
      <c r="BV561" s="164">
        <f t="shared" si="350"/>
        <v>13.892430652090686</v>
      </c>
      <c r="BW561" s="164">
        <f t="shared" si="351"/>
        <v>15650.077782892424</v>
      </c>
      <c r="BX561" s="164">
        <f t="shared" si="352"/>
        <v>2.8724218707479419</v>
      </c>
    </row>
    <row r="562" spans="1:76" s="150" customFormat="1" x14ac:dyDescent="0.25">
      <c r="A562" s="150">
        <f t="shared" si="363"/>
        <v>558</v>
      </c>
      <c r="B562" s="150">
        <f t="shared" si="364"/>
        <v>47</v>
      </c>
      <c r="C562" s="150">
        <f t="shared" si="365"/>
        <v>6</v>
      </c>
      <c r="D562" s="150">
        <f>IF(E562="","",Input!$C$4+B562-1)</f>
        <v>91</v>
      </c>
      <c r="E562" s="150">
        <f>IF(OR(AND(C561=12,D561=Input!$C$6),E561=""),"",1)</f>
        <v>1</v>
      </c>
      <c r="F562" s="150">
        <f>IF(E562="","",Input!$C$8+B562-1)</f>
        <v>2064</v>
      </c>
      <c r="G562" s="151">
        <f>IF(E562="","",MAX(0,Input!$C$9-B562))</f>
        <v>0</v>
      </c>
      <c r="H562" s="152">
        <f>IF(E562="","",Input!$C$3)</f>
        <v>100000</v>
      </c>
      <c r="I562" s="153">
        <f>IF(E562="","",HLOOKUP($B562,Input!$C$13:$BT$14,2))</f>
        <v>429.60750000000002</v>
      </c>
      <c r="J562" s="154"/>
      <c r="K562" s="155">
        <f>IF($E562="","",INDEX(Input!$C$16:$CP$16,1,$B562))</f>
        <v>3.2149999999999998E-2</v>
      </c>
      <c r="L562" s="155">
        <f>IF($E562="","",Input!$C$37)</f>
        <v>1.4999999999999999E-2</v>
      </c>
      <c r="M562" s="155">
        <f t="shared" si="328"/>
        <v>4.7149999999999997E-2</v>
      </c>
      <c r="N562" s="155">
        <f t="shared" si="329"/>
        <v>3.8467287503822778E-3</v>
      </c>
      <c r="O562" s="147">
        <f>IF($E562="","",MIN(VLOOKUP(IF($B562&lt;=Input!$C$7,$B562,26),'Mortality Tables'!$A$41:$CW$67,IF($B562&lt;=Input!$C$7+1,Input!$C$4+2,$D562-Input!$C$7+2),0)*IF(B562&gt;20,Input!$C$22,1)/1000,1))</f>
        <v>0.48221600000000003</v>
      </c>
      <c r="P562" s="147">
        <f>IF($E562="","",MIN(VLOOKUP(IF($B562&lt;=Input!$C$7,$B562,26),'Mortality Tables'!$A$12:$CW$37,IF($B562&lt;=Input!$C$7+1,Input!$C$4+2,$D562-Input!$C$7+2),0)*IF(B562&gt;20,Input!$C$22,1)/1000,1))</f>
        <v>0.60277000000000003</v>
      </c>
      <c r="Q562" s="155">
        <f>IF($E562="","",Input!$C$21)</f>
        <v>5.0000000000000001E-3</v>
      </c>
      <c r="R562" s="159">
        <f>IF($E562="","",(1-Q562)^($F562-Input!$C$20))</f>
        <v>0.79407534929349588</v>
      </c>
      <c r="S562" s="147">
        <f t="shared" si="331"/>
        <v>0.38291583863491241</v>
      </c>
      <c r="T562" s="147">
        <f t="shared" si="332"/>
        <v>3.9430705344776551E-2</v>
      </c>
      <c r="U562" s="160">
        <f>IF($E562="","",IF($C562=12,INDEX(Input!$C$15:$CP$15,1,$B562),0))</f>
        <v>0</v>
      </c>
      <c r="V562" s="150">
        <f>IF(E562="","",IF(C562=1,IF($B562=1,Input!$C$33,Input!$C$34),0))</f>
        <v>0</v>
      </c>
      <c r="W562" s="156">
        <f>IF($E562="","",Input!$C$35)</f>
        <v>0.02</v>
      </c>
      <c r="X562" s="156">
        <f t="shared" si="330"/>
        <v>2.4866112894073726</v>
      </c>
      <c r="Y562" s="154"/>
      <c r="Z562" s="147">
        <f>IF($E562="","",VLOOKUP($D562,'Mortality Margins &amp; Grading'!$AB$5:$AF$125,3,0)*IF(Summary!$D$25="Included Margin",IF(AND($B562&gt;Input!$C$9,Summary!$D$31&lt;&gt;"Included Margin"),0,1),0))</f>
        <v>2.1000000000000001E-2</v>
      </c>
      <c r="AA562" s="147">
        <f>IF($E562="","",VLOOKUP($D562,'Mortality Margins &amp; Grading'!$AB$5:$AF$125,5,0)*IF(Summary!$D$25="Included Margin",IF(AND($B562&gt;Input!$C$9,Summary!$D$31&lt;&gt;"Included Margin"),0,1),0))</f>
        <v>0.107</v>
      </c>
      <c r="AB562" s="147">
        <f>IF($E562="","",IF(AND($B562&gt;Input!$C$9,Summary!$D$31&lt;&gt;"Included Margin"),1,IF(Summary!$D$25="Included Margin",VLOOKUP($B562,'Mortality Margins &amp; Grading'!$AI$5:$AR$125,MATCH('Mortality Margins &amp; Grading'!$AQ$4,'Mortality Margins &amp; Grading'!$AI$4:$AR$4,0),0),1)))</f>
        <v>0</v>
      </c>
      <c r="AC562" s="154"/>
      <c r="AD562" s="158">
        <f>IF(E562="","",Input!$C$48*IF(Summary!$D$30="Included Margin",IF(AND($B562&gt;Input!$C$9,Summary!$D$31&lt;&gt;"Included Margin"),0,1),0))</f>
        <v>-4.4999999999999997E-3</v>
      </c>
      <c r="AE562" s="159">
        <f>IF(E562="","",IF(Summary!$D$26="Included Margin",IF(AND($B562&gt;Input!$C$9,Summary!$D$31&lt;&gt;"Included Margin"),1,1/$R562),1))</f>
        <v>1.2593263358316302</v>
      </c>
      <c r="AF562" s="160">
        <f>IF(E562="","",IF(AND($B562&gt;=Input!$C$9,$C562=12,Summary!$D$31="Included Margin",$U562&gt;0),1/U562-1,IF($B562&gt;=Input!$C$9,0,Input!$C$45*IF(Summary!$D$27="Included Margin",1,0))))</f>
        <v>0</v>
      </c>
      <c r="AG562" s="160">
        <f>IF(E562="","",Input!$C$46*IF(Summary!$D$28="Included Margin",IF(AND($B562&gt;Input!$C$9,Summary!$D$31&lt;&gt;"Included Margin"),0,1),0))</f>
        <v>0.02</v>
      </c>
      <c r="AH562" s="158">
        <f>IF(E562="","",Input!$C$47*IF(Summary!$D$29="Included Margin",IF(AND($B562&gt;Input!$C$9,Summary!$D$31&lt;&gt;"Included Margin"),0,1),0))</f>
        <v>2.5000000000000001E-3</v>
      </c>
      <c r="AI562" s="154"/>
      <c r="AJ562" s="158">
        <f t="shared" si="353"/>
        <v>4.265E-2</v>
      </c>
      <c r="AK562" s="155">
        <f t="shared" si="354"/>
        <v>3.4865262783743134E-3</v>
      </c>
      <c r="AL562" s="147">
        <f t="shared" si="355"/>
        <v>0.66726638999999999</v>
      </c>
      <c r="AM562" s="147">
        <f t="shared" si="333"/>
        <v>8.7622172286553557E-2</v>
      </c>
      <c r="AN562" s="160">
        <f t="shared" si="356"/>
        <v>0</v>
      </c>
      <c r="AO562" s="161">
        <f t="shared" si="357"/>
        <v>0</v>
      </c>
      <c r="AP562" s="156">
        <f t="shared" si="334"/>
        <v>2.7829959047014983</v>
      </c>
      <c r="AQ562" s="152"/>
      <c r="AR562" s="162">
        <f t="shared" si="335"/>
        <v>46858.214877536404</v>
      </c>
      <c r="AS562" s="150">
        <f t="shared" si="358"/>
        <v>0</v>
      </c>
      <c r="AT562" s="163">
        <f t="shared" si="336"/>
        <v>0</v>
      </c>
      <c r="AU562" s="163">
        <f t="shared" si="337"/>
        <v>8762.2172286553559</v>
      </c>
      <c r="AV562" s="163">
        <f t="shared" si="359"/>
        <v>148.09754721597537</v>
      </c>
      <c r="AW562" s="163">
        <f t="shared" si="338"/>
        <v>3672.8567108696084</v>
      </c>
      <c r="AX562" s="163">
        <f t="shared" si="339"/>
        <v>0</v>
      </c>
      <c r="AY562" s="165">
        <f t="shared" si="360"/>
        <v>41916.951906966635</v>
      </c>
      <c r="AZ562" s="164">
        <f>IF($E562="","",IF(OR(AND($D562=Input!$C$6,$C562=12),$AN562=1),0,-AS563+AT563+AU563-AV563-AW563-AX563+AZ563))</f>
        <v>41916.97848871116</v>
      </c>
      <c r="BA562" s="154">
        <f t="shared" si="340"/>
        <v>2.6581744525174145E-2</v>
      </c>
      <c r="BC562" s="147">
        <f t="shared" si="361"/>
        <v>1.7630329309626243E-4</v>
      </c>
      <c r="BD562" s="164">
        <f>IF(AND($C561=12,$D561=Input!$C$6),0,IF($E562="","",AT562+(AU562+BD563)/(1+$AK562)*MIN((1-AM562-AN562),1)))</f>
        <v>34803.036759833478</v>
      </c>
      <c r="BE562" s="164">
        <f t="shared" si="341"/>
        <v>6.1358899905089173</v>
      </c>
      <c r="BF562" s="164">
        <f t="shared" si="362"/>
        <v>41916.97848871116</v>
      </c>
      <c r="BG562" s="164">
        <f t="shared" si="342"/>
        <v>7.3901013442049708</v>
      </c>
      <c r="BH562" s="152"/>
      <c r="BI562" s="162">
        <f t="shared" si="343"/>
        <v>15650.063224172978</v>
      </c>
      <c r="BJ562" s="150">
        <f t="shared" si="344"/>
        <v>0</v>
      </c>
      <c r="BK562" s="163">
        <f t="shared" si="366"/>
        <v>0</v>
      </c>
      <c r="BL562" s="163">
        <f t="shared" si="345"/>
        <v>3943.0705344776552</v>
      </c>
      <c r="BM562" s="163">
        <f t="shared" si="367"/>
        <v>52.617586754846357</v>
      </c>
      <c r="BN562" s="163">
        <f t="shared" si="346"/>
        <v>482.72446810526219</v>
      </c>
      <c r="BO562" s="163">
        <f t="shared" si="347"/>
        <v>0</v>
      </c>
      <c r="BP562" s="164">
        <f t="shared" si="368"/>
        <v>12242.33474455543</v>
      </c>
      <c r="BQ562" s="164">
        <f>IF($E562="","",IF(AND($D562=Input!$C$6,$C562=12),0,-BJ563+BK563+BL563-BM563-BN563-BO563+BQ563))</f>
        <v>12242.349303274877</v>
      </c>
      <c r="BR562" s="161">
        <f t="shared" si="348"/>
        <v>0</v>
      </c>
      <c r="BT562" s="147">
        <f t="shared" si="349"/>
        <v>1.7630329309626243E-4</v>
      </c>
      <c r="BU562" s="164">
        <f>IF(AND($C561=12,$D561=Input!$C$6),0,IF($E562="","",BK562+(BL562+BU563)/(1+$AK562)*MIN((1-T562-U562),1)))</f>
        <v>75130.137525328202</v>
      </c>
      <c r="BV562" s="164">
        <f t="shared" si="350"/>
        <v>13.245690656490442</v>
      </c>
      <c r="BW562" s="164">
        <f t="shared" si="351"/>
        <v>12242.349303274877</v>
      </c>
      <c r="BX562" s="164">
        <f t="shared" si="352"/>
        <v>2.1583664974020946</v>
      </c>
    </row>
    <row r="563" spans="1:76" s="150" customFormat="1" x14ac:dyDescent="0.25">
      <c r="A563" s="150">
        <f t="shared" si="363"/>
        <v>559</v>
      </c>
      <c r="B563" s="150">
        <f t="shared" si="364"/>
        <v>47</v>
      </c>
      <c r="C563" s="150">
        <f t="shared" si="365"/>
        <v>7</v>
      </c>
      <c r="D563" s="150">
        <f>IF(E563="","",Input!$C$4+B563-1)</f>
        <v>91</v>
      </c>
      <c r="E563" s="150">
        <f>IF(OR(AND(C562=12,D562=Input!$C$6),E562=""),"",1)</f>
        <v>1</v>
      </c>
      <c r="F563" s="150">
        <f>IF(E563="","",Input!$C$8+B563-1)</f>
        <v>2064</v>
      </c>
      <c r="G563" s="151">
        <f>IF(E563="","",MAX(0,Input!$C$9-B563))</f>
        <v>0</v>
      </c>
      <c r="H563" s="152">
        <f>IF(E563="","",Input!$C$3)</f>
        <v>100000</v>
      </c>
      <c r="I563" s="153">
        <f>IF(E563="","",HLOOKUP($B563,Input!$C$13:$BT$14,2))</f>
        <v>429.60750000000002</v>
      </c>
      <c r="J563" s="154"/>
      <c r="K563" s="155">
        <f>IF($E563="","",INDEX(Input!$C$16:$CP$16,1,$B563))</f>
        <v>3.2149999999999998E-2</v>
      </c>
      <c r="L563" s="155">
        <f>IF($E563="","",Input!$C$37)</f>
        <v>1.4999999999999999E-2</v>
      </c>
      <c r="M563" s="155">
        <f t="shared" si="328"/>
        <v>4.7149999999999997E-2</v>
      </c>
      <c r="N563" s="155">
        <f t="shared" si="329"/>
        <v>3.8467287503822778E-3</v>
      </c>
      <c r="O563" s="147">
        <f>IF($E563="","",MIN(VLOOKUP(IF($B563&lt;=Input!$C$7,$B563,26),'Mortality Tables'!$A$41:$CW$67,IF($B563&lt;=Input!$C$7+1,Input!$C$4+2,$D563-Input!$C$7+2),0)*IF(B563&gt;20,Input!$C$22,1)/1000,1))</f>
        <v>0.48221600000000003</v>
      </c>
      <c r="P563" s="147">
        <f>IF($E563="","",MIN(VLOOKUP(IF($B563&lt;=Input!$C$7,$B563,26),'Mortality Tables'!$A$12:$CW$37,IF($B563&lt;=Input!$C$7+1,Input!$C$4+2,$D563-Input!$C$7+2),0)*IF(B563&gt;20,Input!$C$22,1)/1000,1))</f>
        <v>0.60277000000000003</v>
      </c>
      <c r="Q563" s="155">
        <f>IF($E563="","",Input!$C$21)</f>
        <v>5.0000000000000001E-3</v>
      </c>
      <c r="R563" s="159">
        <f>IF($E563="","",(1-Q563)^($F563-Input!$C$20))</f>
        <v>0.79407534929349588</v>
      </c>
      <c r="S563" s="147">
        <f t="shared" si="331"/>
        <v>0.38291583863491241</v>
      </c>
      <c r="T563" s="147">
        <f t="shared" si="332"/>
        <v>3.9430705344776551E-2</v>
      </c>
      <c r="U563" s="160">
        <f>IF($E563="","",IF($C563=12,INDEX(Input!$C$15:$CP$15,1,$B563),0))</f>
        <v>0</v>
      </c>
      <c r="V563" s="150">
        <f>IF(E563="","",IF(C563=1,IF($B563=1,Input!$C$33,Input!$C$34),0))</f>
        <v>0</v>
      </c>
      <c r="W563" s="156">
        <f>IF($E563="","",Input!$C$35)</f>
        <v>0.02</v>
      </c>
      <c r="X563" s="156">
        <f t="shared" si="330"/>
        <v>2.4866112894073726</v>
      </c>
      <c r="Y563" s="154"/>
      <c r="Z563" s="147">
        <f>IF($E563="","",VLOOKUP($D563,'Mortality Margins &amp; Grading'!$AB$5:$AF$125,3,0)*IF(Summary!$D$25="Included Margin",IF(AND($B563&gt;Input!$C$9,Summary!$D$31&lt;&gt;"Included Margin"),0,1),0))</f>
        <v>2.1000000000000001E-2</v>
      </c>
      <c r="AA563" s="147">
        <f>IF($E563="","",VLOOKUP($D563,'Mortality Margins &amp; Grading'!$AB$5:$AF$125,5,0)*IF(Summary!$D$25="Included Margin",IF(AND($B563&gt;Input!$C$9,Summary!$D$31&lt;&gt;"Included Margin"),0,1),0))</f>
        <v>0.107</v>
      </c>
      <c r="AB563" s="147">
        <f>IF($E563="","",IF(AND($B563&gt;Input!$C$9,Summary!$D$31&lt;&gt;"Included Margin"),1,IF(Summary!$D$25="Included Margin",VLOOKUP($B563,'Mortality Margins &amp; Grading'!$AI$5:$AR$125,MATCH('Mortality Margins &amp; Grading'!$AQ$4,'Mortality Margins &amp; Grading'!$AI$4:$AR$4,0),0),1)))</f>
        <v>0</v>
      </c>
      <c r="AC563" s="154"/>
      <c r="AD563" s="158">
        <f>IF(E563="","",Input!$C$48*IF(Summary!$D$30="Included Margin",IF(AND($B563&gt;Input!$C$9,Summary!$D$31&lt;&gt;"Included Margin"),0,1),0))</f>
        <v>-4.4999999999999997E-3</v>
      </c>
      <c r="AE563" s="159">
        <f>IF(E563="","",IF(Summary!$D$26="Included Margin",IF(AND($B563&gt;Input!$C$9,Summary!$D$31&lt;&gt;"Included Margin"),1,1/$R563),1))</f>
        <v>1.2593263358316302</v>
      </c>
      <c r="AF563" s="160">
        <f>IF(E563="","",IF(AND($B563&gt;=Input!$C$9,$C563=12,Summary!$D$31="Included Margin",$U563&gt;0),1/U563-1,IF($B563&gt;=Input!$C$9,0,Input!$C$45*IF(Summary!$D$27="Included Margin",1,0))))</f>
        <v>0</v>
      </c>
      <c r="AG563" s="160">
        <f>IF(E563="","",Input!$C$46*IF(Summary!$D$28="Included Margin",IF(AND($B563&gt;Input!$C$9,Summary!$D$31&lt;&gt;"Included Margin"),0,1),0))</f>
        <v>0.02</v>
      </c>
      <c r="AH563" s="158">
        <f>IF(E563="","",Input!$C$47*IF(Summary!$D$29="Included Margin",IF(AND($B563&gt;Input!$C$9,Summary!$D$31&lt;&gt;"Included Margin"),0,1),0))</f>
        <v>2.5000000000000001E-3</v>
      </c>
      <c r="AI563" s="154"/>
      <c r="AJ563" s="158">
        <f t="shared" si="353"/>
        <v>4.265E-2</v>
      </c>
      <c r="AK563" s="155">
        <f t="shared" si="354"/>
        <v>3.4865262783743134E-3</v>
      </c>
      <c r="AL563" s="147">
        <f t="shared" si="355"/>
        <v>0.66726638999999999</v>
      </c>
      <c r="AM563" s="147">
        <f t="shared" si="333"/>
        <v>8.7622172286553557E-2</v>
      </c>
      <c r="AN563" s="160">
        <f t="shared" si="356"/>
        <v>0</v>
      </c>
      <c r="AO563" s="161">
        <f t="shared" si="357"/>
        <v>0</v>
      </c>
      <c r="AP563" s="156">
        <f t="shared" si="334"/>
        <v>2.7829959047014983</v>
      </c>
      <c r="AQ563" s="152"/>
      <c r="AR563" s="162">
        <f t="shared" si="335"/>
        <v>41916.951906966635</v>
      </c>
      <c r="AS563" s="150">
        <f t="shared" si="358"/>
        <v>0</v>
      </c>
      <c r="AT563" s="163">
        <f t="shared" si="336"/>
        <v>0</v>
      </c>
      <c r="AU563" s="163">
        <f t="shared" si="337"/>
        <v>8762.2172286553559</v>
      </c>
      <c r="AV563" s="163">
        <f t="shared" si="359"/>
        <v>130.86970402072595</v>
      </c>
      <c r="AW563" s="163">
        <f t="shared" si="338"/>
        <v>3196.6573522619287</v>
      </c>
      <c r="AX563" s="163">
        <f t="shared" si="339"/>
        <v>0</v>
      </c>
      <c r="AY563" s="164">
        <f t="shared" si="360"/>
        <v>36482.261734593936</v>
      </c>
      <c r="AZ563" s="164">
        <f>IF($E563="","",IF(OR(AND($D563=Input!$C$6,$C563=12),$AN563=1),0,-AS564+AT564+AU564-AV564-AW564-AX564+AZ564))</f>
        <v>36482.288316338461</v>
      </c>
      <c r="BA563" s="154">
        <f t="shared" si="340"/>
        <v>2.6581744525174145E-2</v>
      </c>
      <c r="BC563" s="147">
        <f t="shared" si="361"/>
        <v>1.6935152989486991E-4</v>
      </c>
      <c r="BD563" s="164">
        <f>IF(AND($C562=12,$D562=Input!$C$6),0,IF($E563="","",AT563+(AU563+BD564)/(1+$AK563)*MIN((1-AM563-AN563),1)))</f>
        <v>29516.199235705157</v>
      </c>
      <c r="BE563" s="164">
        <f t="shared" si="341"/>
        <v>4.9986134972484582</v>
      </c>
      <c r="BF563" s="164">
        <f t="shared" si="362"/>
        <v>36482.288316338461</v>
      </c>
      <c r="BG563" s="164">
        <f t="shared" si="342"/>
        <v>6.1783313404376559</v>
      </c>
      <c r="BH563" s="152"/>
      <c r="BI563" s="162">
        <f t="shared" si="343"/>
        <v>12242.334744555432</v>
      </c>
      <c r="BJ563" s="150">
        <f t="shared" si="344"/>
        <v>0</v>
      </c>
      <c r="BK563" s="163">
        <f t="shared" si="366"/>
        <v>0</v>
      </c>
      <c r="BL563" s="163">
        <f t="shared" si="345"/>
        <v>3943.0705344776552</v>
      </c>
      <c r="BM563" s="163">
        <f t="shared" si="367"/>
        <v>39.508979638805052</v>
      </c>
      <c r="BN563" s="163">
        <f t="shared" si="346"/>
        <v>342.30147108671764</v>
      </c>
      <c r="BO563" s="163">
        <f t="shared" si="347"/>
        <v>0</v>
      </c>
      <c r="BP563" s="164">
        <f t="shared" si="368"/>
        <v>8681.0746608033005</v>
      </c>
      <c r="BQ563" s="164">
        <f>IF($E563="","",IF(AND($D563=Input!$C$6,$C563=12),0,-BJ564+BK564+BL564-BM564-BN564-BO564+BQ564))</f>
        <v>8681.0892195227461</v>
      </c>
      <c r="BR563" s="161">
        <f t="shared" si="348"/>
        <v>0</v>
      </c>
      <c r="BT563" s="147">
        <f t="shared" si="349"/>
        <v>1.6935152989486991E-4</v>
      </c>
      <c r="BU563" s="164">
        <f>IF(AND($C562=12,$D562=Input!$C$6),0,IF($E563="","",BK563+(BL563+BU564)/(1+$AK563)*MIN((1-T563-U563),1)))</f>
        <v>74543.80297230935</v>
      </c>
      <c r="BV563" s="164">
        <f t="shared" si="350"/>
        <v>12.624107077542339</v>
      </c>
      <c r="BW563" s="164">
        <f t="shared" si="351"/>
        <v>8681.0892195227461</v>
      </c>
      <c r="BX563" s="164">
        <f t="shared" si="352"/>
        <v>1.4701557404800392</v>
      </c>
    </row>
    <row r="564" spans="1:76" s="150" customFormat="1" x14ac:dyDescent="0.25">
      <c r="A564" s="150">
        <f t="shared" si="363"/>
        <v>560</v>
      </c>
      <c r="B564" s="150">
        <f t="shared" si="364"/>
        <v>47</v>
      </c>
      <c r="C564" s="150">
        <f t="shared" si="365"/>
        <v>8</v>
      </c>
      <c r="D564" s="150">
        <f>IF(E564="","",Input!$C$4+B564-1)</f>
        <v>91</v>
      </c>
      <c r="E564" s="150">
        <f>IF(OR(AND(C563=12,D563=Input!$C$6),E563=""),"",1)</f>
        <v>1</v>
      </c>
      <c r="F564" s="150">
        <f>IF(E564="","",Input!$C$8+B564-1)</f>
        <v>2064</v>
      </c>
      <c r="G564" s="151">
        <f>IF(E564="","",MAX(0,Input!$C$9-B564))</f>
        <v>0</v>
      </c>
      <c r="H564" s="152">
        <f>IF(E564="","",Input!$C$3)</f>
        <v>100000</v>
      </c>
      <c r="I564" s="153">
        <f>IF(E564="","",HLOOKUP($B564,Input!$C$13:$BT$14,2))</f>
        <v>429.60750000000002</v>
      </c>
      <c r="J564" s="154"/>
      <c r="K564" s="155">
        <f>IF($E564="","",INDEX(Input!$C$16:$CP$16,1,$B564))</f>
        <v>3.2149999999999998E-2</v>
      </c>
      <c r="L564" s="155">
        <f>IF($E564="","",Input!$C$37)</f>
        <v>1.4999999999999999E-2</v>
      </c>
      <c r="M564" s="155">
        <f t="shared" si="328"/>
        <v>4.7149999999999997E-2</v>
      </c>
      <c r="N564" s="155">
        <f t="shared" si="329"/>
        <v>3.8467287503822778E-3</v>
      </c>
      <c r="O564" s="147">
        <f>IF($E564="","",MIN(VLOOKUP(IF($B564&lt;=Input!$C$7,$B564,26),'Mortality Tables'!$A$41:$CW$67,IF($B564&lt;=Input!$C$7+1,Input!$C$4+2,$D564-Input!$C$7+2),0)*IF(B564&gt;20,Input!$C$22,1)/1000,1))</f>
        <v>0.48221600000000003</v>
      </c>
      <c r="P564" s="147">
        <f>IF($E564="","",MIN(VLOOKUP(IF($B564&lt;=Input!$C$7,$B564,26),'Mortality Tables'!$A$12:$CW$37,IF($B564&lt;=Input!$C$7+1,Input!$C$4+2,$D564-Input!$C$7+2),0)*IF(B564&gt;20,Input!$C$22,1)/1000,1))</f>
        <v>0.60277000000000003</v>
      </c>
      <c r="Q564" s="155">
        <f>IF($E564="","",Input!$C$21)</f>
        <v>5.0000000000000001E-3</v>
      </c>
      <c r="R564" s="159">
        <f>IF($E564="","",(1-Q564)^($F564-Input!$C$20))</f>
        <v>0.79407534929349588</v>
      </c>
      <c r="S564" s="147">
        <f t="shared" si="331"/>
        <v>0.38291583863491241</v>
      </c>
      <c r="T564" s="147">
        <f t="shared" si="332"/>
        <v>3.9430705344776551E-2</v>
      </c>
      <c r="U564" s="160">
        <f>IF($E564="","",IF($C564=12,INDEX(Input!$C$15:$CP$15,1,$B564),0))</f>
        <v>0</v>
      </c>
      <c r="V564" s="150">
        <f>IF(E564="","",IF(C564=1,IF($B564=1,Input!$C$33,Input!$C$34),0))</f>
        <v>0</v>
      </c>
      <c r="W564" s="156">
        <f>IF($E564="","",Input!$C$35)</f>
        <v>0.02</v>
      </c>
      <c r="X564" s="156">
        <f t="shared" si="330"/>
        <v>2.4866112894073726</v>
      </c>
      <c r="Y564" s="154"/>
      <c r="Z564" s="147">
        <f>IF($E564="","",VLOOKUP($D564,'Mortality Margins &amp; Grading'!$AB$5:$AF$125,3,0)*IF(Summary!$D$25="Included Margin",IF(AND($B564&gt;Input!$C$9,Summary!$D$31&lt;&gt;"Included Margin"),0,1),0))</f>
        <v>2.1000000000000001E-2</v>
      </c>
      <c r="AA564" s="147">
        <f>IF($E564="","",VLOOKUP($D564,'Mortality Margins &amp; Grading'!$AB$5:$AF$125,5,0)*IF(Summary!$D$25="Included Margin",IF(AND($B564&gt;Input!$C$9,Summary!$D$31&lt;&gt;"Included Margin"),0,1),0))</f>
        <v>0.107</v>
      </c>
      <c r="AB564" s="147">
        <f>IF($E564="","",IF(AND($B564&gt;Input!$C$9,Summary!$D$31&lt;&gt;"Included Margin"),1,IF(Summary!$D$25="Included Margin",VLOOKUP($B564,'Mortality Margins &amp; Grading'!$AI$5:$AR$125,MATCH('Mortality Margins &amp; Grading'!$AQ$4,'Mortality Margins &amp; Grading'!$AI$4:$AR$4,0),0),1)))</f>
        <v>0</v>
      </c>
      <c r="AC564" s="154"/>
      <c r="AD564" s="158">
        <f>IF(E564="","",Input!$C$48*IF(Summary!$D$30="Included Margin",IF(AND($B564&gt;Input!$C$9,Summary!$D$31&lt;&gt;"Included Margin"),0,1),0))</f>
        <v>-4.4999999999999997E-3</v>
      </c>
      <c r="AE564" s="159">
        <f>IF(E564="","",IF(Summary!$D$26="Included Margin",IF(AND($B564&gt;Input!$C$9,Summary!$D$31&lt;&gt;"Included Margin"),1,1/$R564),1))</f>
        <v>1.2593263358316302</v>
      </c>
      <c r="AF564" s="160">
        <f>IF(E564="","",IF(AND($B564&gt;=Input!$C$9,$C564=12,Summary!$D$31="Included Margin",$U564&gt;0),1/U564-1,IF($B564&gt;=Input!$C$9,0,Input!$C$45*IF(Summary!$D$27="Included Margin",1,0))))</f>
        <v>0</v>
      </c>
      <c r="AG564" s="160">
        <f>IF(E564="","",Input!$C$46*IF(Summary!$D$28="Included Margin",IF(AND($B564&gt;Input!$C$9,Summary!$D$31&lt;&gt;"Included Margin"),0,1),0))</f>
        <v>0.02</v>
      </c>
      <c r="AH564" s="158">
        <f>IF(E564="","",Input!$C$47*IF(Summary!$D$29="Included Margin",IF(AND($B564&gt;Input!$C$9,Summary!$D$31&lt;&gt;"Included Margin"),0,1),0))</f>
        <v>2.5000000000000001E-3</v>
      </c>
      <c r="AI564" s="154"/>
      <c r="AJ564" s="158">
        <f t="shared" si="353"/>
        <v>4.265E-2</v>
      </c>
      <c r="AK564" s="155">
        <f t="shared" si="354"/>
        <v>3.4865262783743134E-3</v>
      </c>
      <c r="AL564" s="147">
        <f t="shared" si="355"/>
        <v>0.66726638999999999</v>
      </c>
      <c r="AM564" s="147">
        <f t="shared" si="333"/>
        <v>8.7622172286553557E-2</v>
      </c>
      <c r="AN564" s="160">
        <f t="shared" si="356"/>
        <v>0</v>
      </c>
      <c r="AO564" s="161">
        <f t="shared" si="357"/>
        <v>0</v>
      </c>
      <c r="AP564" s="156">
        <f t="shared" si="334"/>
        <v>2.7829959047014983</v>
      </c>
      <c r="AQ564" s="152"/>
      <c r="AR564" s="162">
        <f t="shared" si="335"/>
        <v>36482.261734593929</v>
      </c>
      <c r="AS564" s="150">
        <f t="shared" si="358"/>
        <v>0</v>
      </c>
      <c r="AT564" s="163">
        <f t="shared" si="336"/>
        <v>0</v>
      </c>
      <c r="AU564" s="163">
        <f t="shared" si="337"/>
        <v>8762.2172286553559</v>
      </c>
      <c r="AV564" s="163">
        <f t="shared" si="359"/>
        <v>111.92151391992587</v>
      </c>
      <c r="AW564" s="163">
        <f t="shared" si="338"/>
        <v>2672.9054309961543</v>
      </c>
      <c r="AX564" s="163">
        <f t="shared" si="339"/>
        <v>0</v>
      </c>
      <c r="AY564" s="165">
        <f t="shared" si="360"/>
        <v>30504.871450854655</v>
      </c>
      <c r="AZ564" s="164">
        <f>IF($E564="","",IF(OR(AND($D564=Input!$C$6,$C564=12),$AN564=1),0,-AS565+AT565+AU565-AV565-AW565-AX565+AZ565))</f>
        <v>30504.898032599183</v>
      </c>
      <c r="BA564" s="154">
        <f t="shared" si="340"/>
        <v>2.6581744528812123E-2</v>
      </c>
      <c r="BC564" s="147">
        <f t="shared" si="361"/>
        <v>1.6267387961989817E-4</v>
      </c>
      <c r="BD564" s="164">
        <f>IF(AND($C563=12,$D563=Input!$C$6),0,IF($E564="","",AT564+(AU564+BD565)/(1+$AK564)*MIN((1-AM564-AN564),1)))</f>
        <v>23701.425946681375</v>
      </c>
      <c r="BE564" s="164">
        <f t="shared" si="341"/>
        <v>3.8556029112703767</v>
      </c>
      <c r="BF564" s="164">
        <f t="shared" si="362"/>
        <v>30504.898032599183</v>
      </c>
      <c r="BG564" s="164">
        <f t="shared" si="342"/>
        <v>4.9623501103723076</v>
      </c>
      <c r="BH564" s="152"/>
      <c r="BI564" s="162">
        <f t="shared" si="343"/>
        <v>8681.0746608032987</v>
      </c>
      <c r="BJ564" s="150">
        <f t="shared" si="344"/>
        <v>0</v>
      </c>
      <c r="BK564" s="163">
        <f t="shared" si="366"/>
        <v>0</v>
      </c>
      <c r="BL564" s="163">
        <f t="shared" si="345"/>
        <v>3943.0705344776552</v>
      </c>
      <c r="BM564" s="163">
        <f t="shared" si="367"/>
        <v>25.809778087046926</v>
      </c>
      <c r="BN564" s="163">
        <f t="shared" si="346"/>
        <v>195.55186438709217</v>
      </c>
      <c r="BO564" s="163">
        <f t="shared" si="347"/>
        <v>0</v>
      </c>
      <c r="BP564" s="164">
        <f t="shared" si="368"/>
        <v>4959.365768799782</v>
      </c>
      <c r="BQ564" s="164">
        <f>IF($E564="","",IF(AND($D564=Input!$C$6,$C564=12),0,-BJ565+BK565+BL565-BM565-BN565-BO565+BQ565))</f>
        <v>4959.3803275192295</v>
      </c>
      <c r="BR564" s="161">
        <f t="shared" si="348"/>
        <v>0</v>
      </c>
      <c r="BT564" s="147">
        <f t="shared" si="349"/>
        <v>1.6267387961989817E-4</v>
      </c>
      <c r="BU564" s="164">
        <f>IF(AND($C563=12,$D563=Input!$C$6),0,IF($E564="","",BK564+(BL564+BU565)/(1+$AK564)*MIN((1-T564-U564),1)))</f>
        <v>73931.271604588444</v>
      </c>
      <c r="BV564" s="164">
        <f t="shared" si="350"/>
        <v>12.026686777150816</v>
      </c>
      <c r="BW564" s="164">
        <f t="shared" si="351"/>
        <v>4959.3803275192295</v>
      </c>
      <c r="BX564" s="164">
        <f t="shared" si="352"/>
        <v>0.80676163838815429</v>
      </c>
    </row>
    <row r="565" spans="1:76" s="150" customFormat="1" x14ac:dyDescent="0.25">
      <c r="A565" s="150">
        <f t="shared" si="363"/>
        <v>561</v>
      </c>
      <c r="B565" s="150">
        <f t="shared" si="364"/>
        <v>47</v>
      </c>
      <c r="C565" s="150">
        <f t="shared" si="365"/>
        <v>9</v>
      </c>
      <c r="D565" s="150">
        <f>IF(E565="","",Input!$C$4+B565-1)</f>
        <v>91</v>
      </c>
      <c r="E565" s="150">
        <f>IF(OR(AND(C564=12,D564=Input!$C$6),E564=""),"",1)</f>
        <v>1</v>
      </c>
      <c r="F565" s="150">
        <f>IF(E565="","",Input!$C$8+B565-1)</f>
        <v>2064</v>
      </c>
      <c r="G565" s="151">
        <f>IF(E565="","",MAX(0,Input!$C$9-B565))</f>
        <v>0</v>
      </c>
      <c r="H565" s="152">
        <f>IF(E565="","",Input!$C$3)</f>
        <v>100000</v>
      </c>
      <c r="I565" s="153">
        <f>IF(E565="","",HLOOKUP($B565,Input!$C$13:$BT$14,2))</f>
        <v>429.60750000000002</v>
      </c>
      <c r="J565" s="154"/>
      <c r="K565" s="155">
        <f>IF($E565="","",INDEX(Input!$C$16:$CP$16,1,$B565))</f>
        <v>3.2149999999999998E-2</v>
      </c>
      <c r="L565" s="155">
        <f>IF($E565="","",Input!$C$37)</f>
        <v>1.4999999999999999E-2</v>
      </c>
      <c r="M565" s="155">
        <f t="shared" ref="M565:M628" si="369">IF($E565="","",K565+L565)</f>
        <v>4.7149999999999997E-2</v>
      </c>
      <c r="N565" s="155">
        <f t="shared" ref="N565:N628" si="370">IF($E565="","",(1+M565)^(1/12)-1)</f>
        <v>3.8467287503822778E-3</v>
      </c>
      <c r="O565" s="147">
        <f>IF($E565="","",MIN(VLOOKUP(IF($B565&lt;=Input!$C$7,$B565,26),'Mortality Tables'!$A$41:$CW$67,IF($B565&lt;=Input!$C$7+1,Input!$C$4+2,$D565-Input!$C$7+2),0)*IF(B565&gt;20,Input!$C$22,1)/1000,1))</f>
        <v>0.48221600000000003</v>
      </c>
      <c r="P565" s="147">
        <f>IF($E565="","",MIN(VLOOKUP(IF($B565&lt;=Input!$C$7,$B565,26),'Mortality Tables'!$A$12:$CW$37,IF($B565&lt;=Input!$C$7+1,Input!$C$4+2,$D565-Input!$C$7+2),0)*IF(B565&gt;20,Input!$C$22,1)/1000,1))</f>
        <v>0.60277000000000003</v>
      </c>
      <c r="Q565" s="155">
        <f>IF($E565="","",Input!$C$21)</f>
        <v>5.0000000000000001E-3</v>
      </c>
      <c r="R565" s="159">
        <f>IF($E565="","",(1-Q565)^($F565-Input!$C$20))</f>
        <v>0.79407534929349588</v>
      </c>
      <c r="S565" s="147">
        <f t="shared" si="331"/>
        <v>0.38291583863491241</v>
      </c>
      <c r="T565" s="147">
        <f t="shared" si="332"/>
        <v>3.9430705344776551E-2</v>
      </c>
      <c r="U565" s="160">
        <f>IF($E565="","",IF($C565=12,INDEX(Input!$C$15:$CP$15,1,$B565),0))</f>
        <v>0</v>
      </c>
      <c r="V565" s="150">
        <f>IF(E565="","",IF(C565=1,IF($B565=1,Input!$C$33,Input!$C$34),0))</f>
        <v>0</v>
      </c>
      <c r="W565" s="156">
        <f>IF($E565="","",Input!$C$35)</f>
        <v>0.02</v>
      </c>
      <c r="X565" s="156">
        <f t="shared" ref="X565:X628" si="371">IF($E565="","",IF(B565=1,1,IF(C565=1,(1+W565)*X564,X564)))</f>
        <v>2.4866112894073726</v>
      </c>
      <c r="Y565" s="154"/>
      <c r="Z565" s="147">
        <f>IF($E565="","",VLOOKUP($D565,'Mortality Margins &amp; Grading'!$AB$5:$AF$125,3,0)*IF(Summary!$D$25="Included Margin",IF(AND($B565&gt;Input!$C$9,Summary!$D$31&lt;&gt;"Included Margin"),0,1),0))</f>
        <v>2.1000000000000001E-2</v>
      </c>
      <c r="AA565" s="147">
        <f>IF($E565="","",VLOOKUP($D565,'Mortality Margins &amp; Grading'!$AB$5:$AF$125,5,0)*IF(Summary!$D$25="Included Margin",IF(AND($B565&gt;Input!$C$9,Summary!$D$31&lt;&gt;"Included Margin"),0,1),0))</f>
        <v>0.107</v>
      </c>
      <c r="AB565" s="147">
        <f>IF($E565="","",IF(AND($B565&gt;Input!$C$9,Summary!$D$31&lt;&gt;"Included Margin"),1,IF(Summary!$D$25="Included Margin",VLOOKUP($B565,'Mortality Margins &amp; Grading'!$AI$5:$AR$125,MATCH('Mortality Margins &amp; Grading'!$AQ$4,'Mortality Margins &amp; Grading'!$AI$4:$AR$4,0),0),1)))</f>
        <v>0</v>
      </c>
      <c r="AC565" s="154"/>
      <c r="AD565" s="158">
        <f>IF(E565="","",Input!$C$48*IF(Summary!$D$30="Included Margin",IF(AND($B565&gt;Input!$C$9,Summary!$D$31&lt;&gt;"Included Margin"),0,1),0))</f>
        <v>-4.4999999999999997E-3</v>
      </c>
      <c r="AE565" s="159">
        <f>IF(E565="","",IF(Summary!$D$26="Included Margin",IF(AND($B565&gt;Input!$C$9,Summary!$D$31&lt;&gt;"Included Margin"),1,1/$R565),1))</f>
        <v>1.2593263358316302</v>
      </c>
      <c r="AF565" s="160">
        <f>IF(E565="","",IF(AND($B565&gt;=Input!$C$9,$C565=12,Summary!$D$31="Included Margin",$U565&gt;0),1/U565-1,IF($B565&gt;=Input!$C$9,0,Input!$C$45*IF(Summary!$D$27="Included Margin",1,0))))</f>
        <v>0</v>
      </c>
      <c r="AG565" s="160">
        <f>IF(E565="","",Input!$C$46*IF(Summary!$D$28="Included Margin",IF(AND($B565&gt;Input!$C$9,Summary!$D$31&lt;&gt;"Included Margin"),0,1),0))</f>
        <v>0.02</v>
      </c>
      <c r="AH565" s="158">
        <f>IF(E565="","",Input!$C$47*IF(Summary!$D$29="Included Margin",IF(AND($B565&gt;Input!$C$9,Summary!$D$31&lt;&gt;"Included Margin"),0,1),0))</f>
        <v>2.5000000000000001E-3</v>
      </c>
      <c r="AI565" s="154"/>
      <c r="AJ565" s="158">
        <f t="shared" si="353"/>
        <v>4.265E-2</v>
      </c>
      <c r="AK565" s="155">
        <f t="shared" si="354"/>
        <v>3.4865262783743134E-3</v>
      </c>
      <c r="AL565" s="147">
        <f t="shared" si="355"/>
        <v>0.66726638999999999</v>
      </c>
      <c r="AM565" s="147">
        <f t="shared" si="333"/>
        <v>8.7622172286553557E-2</v>
      </c>
      <c r="AN565" s="160">
        <f t="shared" si="356"/>
        <v>0</v>
      </c>
      <c r="AO565" s="161">
        <f t="shared" si="357"/>
        <v>0</v>
      </c>
      <c r="AP565" s="156">
        <f t="shared" si="334"/>
        <v>2.7829959047014983</v>
      </c>
      <c r="AQ565" s="152"/>
      <c r="AR565" s="162">
        <f t="shared" si="335"/>
        <v>30504.871450854655</v>
      </c>
      <c r="AS565" s="150">
        <f t="shared" si="358"/>
        <v>0</v>
      </c>
      <c r="AT565" s="163">
        <f t="shared" si="336"/>
        <v>0</v>
      </c>
      <c r="AU565" s="163">
        <f t="shared" si="337"/>
        <v>8762.2172286553559</v>
      </c>
      <c r="AV565" s="163">
        <f t="shared" si="359"/>
        <v>91.081185619569595</v>
      </c>
      <c r="AW565" s="163">
        <f t="shared" si="338"/>
        <v>2096.8524185947108</v>
      </c>
      <c r="AX565" s="163">
        <f t="shared" si="339"/>
        <v>0</v>
      </c>
      <c r="AY565" s="164">
        <f t="shared" si="360"/>
        <v>23930.587826413579</v>
      </c>
      <c r="AZ565" s="164">
        <f>IF($E565="","",IF(OR(AND($D565=Input!$C$6,$C565=12),$AN565=1),0,-AS566+AT566+AU566-AV566-AW566-AX566+AZ566))</f>
        <v>23930.614408158108</v>
      </c>
      <c r="BA565" s="154">
        <f t="shared" si="340"/>
        <v>2.6581744528812123E-2</v>
      </c>
      <c r="BC565" s="147">
        <f t="shared" si="361"/>
        <v>1.5625953380531431E-4</v>
      </c>
      <c r="BD565" s="164">
        <f>IF(AND($C564=12,$D564=Input!$C$6),0,IF($E565="","",AT565+(AU565+BD566)/(1+$AK565)*MIN((1-AM565-AN565),1)))</f>
        <v>17305.998009198232</v>
      </c>
      <c r="BE565" s="164">
        <f t="shared" si="341"/>
        <v>2.7042271809530134</v>
      </c>
      <c r="BF565" s="164">
        <f t="shared" si="362"/>
        <v>23930.614408158108</v>
      </c>
      <c r="BG565" s="164">
        <f t="shared" si="342"/>
        <v>3.7393866510935236</v>
      </c>
      <c r="BH565" s="152"/>
      <c r="BI565" s="162">
        <f t="shared" si="343"/>
        <v>4959.3657687997829</v>
      </c>
      <c r="BJ565" s="150">
        <f t="shared" si="344"/>
        <v>0</v>
      </c>
      <c r="BK565" s="163">
        <f t="shared" si="366"/>
        <v>0</v>
      </c>
      <c r="BL565" s="163">
        <f t="shared" si="345"/>
        <v>3943.0705344776552</v>
      </c>
      <c r="BM565" s="163">
        <f t="shared" si="367"/>
        <v>11.493373491623627</v>
      </c>
      <c r="BN565" s="163">
        <f t="shared" si="346"/>
        <v>42.190609295444091</v>
      </c>
      <c r="BO565" s="163">
        <f t="shared" si="347"/>
        <v>0</v>
      </c>
      <c r="BP565" s="164">
        <f t="shared" si="368"/>
        <v>1069.9792171091954</v>
      </c>
      <c r="BQ565" s="164">
        <f>IF($E565="","",IF(AND($D565=Input!$C$6,$C565=12),0,-BJ566+BK566+BL566-BM566-BN566-BO566+BQ566))</f>
        <v>1069.9937758286424</v>
      </c>
      <c r="BR565" s="161">
        <f t="shared" si="348"/>
        <v>0</v>
      </c>
      <c r="BT565" s="147">
        <f t="shared" si="349"/>
        <v>1.5625953380531431E-4</v>
      </c>
      <c r="BU565" s="164">
        <f>IF(AND($C564=12,$D564=Input!$C$6),0,IF($E565="","",BK565+(BL565+BU566)/(1+$AK565)*MIN((1-T565-U565),1)))</f>
        <v>73291.372975878461</v>
      </c>
      <c r="BV565" s="164">
        <f t="shared" si="350"/>
        <v>11.452475773162179</v>
      </c>
      <c r="BW565" s="164">
        <f t="shared" si="351"/>
        <v>1069.9937758286424</v>
      </c>
      <c r="BX565" s="164">
        <f t="shared" si="352"/>
        <v>0.16719672858557164</v>
      </c>
    </row>
    <row r="566" spans="1:76" s="150" customFormat="1" x14ac:dyDescent="0.25">
      <c r="A566" s="150">
        <f t="shared" si="363"/>
        <v>562</v>
      </c>
      <c r="B566" s="150">
        <f t="shared" si="364"/>
        <v>47</v>
      </c>
      <c r="C566" s="150">
        <f t="shared" si="365"/>
        <v>10</v>
      </c>
      <c r="D566" s="150">
        <f>IF(E566="","",Input!$C$4+B566-1)</f>
        <v>91</v>
      </c>
      <c r="E566" s="150">
        <f>IF(OR(AND(C565=12,D565=Input!$C$6),E565=""),"",1)</f>
        <v>1</v>
      </c>
      <c r="F566" s="150">
        <f>IF(E566="","",Input!$C$8+B566-1)</f>
        <v>2064</v>
      </c>
      <c r="G566" s="151">
        <f>IF(E566="","",MAX(0,Input!$C$9-B566))</f>
        <v>0</v>
      </c>
      <c r="H566" s="152">
        <f>IF(E566="","",Input!$C$3)</f>
        <v>100000</v>
      </c>
      <c r="I566" s="153">
        <f>IF(E566="","",HLOOKUP($B566,Input!$C$13:$BT$14,2))</f>
        <v>429.60750000000002</v>
      </c>
      <c r="J566" s="154"/>
      <c r="K566" s="155">
        <f>IF($E566="","",INDEX(Input!$C$16:$CP$16,1,$B566))</f>
        <v>3.2149999999999998E-2</v>
      </c>
      <c r="L566" s="155">
        <f>IF($E566="","",Input!$C$37)</f>
        <v>1.4999999999999999E-2</v>
      </c>
      <c r="M566" s="155">
        <f t="shared" si="369"/>
        <v>4.7149999999999997E-2</v>
      </c>
      <c r="N566" s="155">
        <f t="shared" si="370"/>
        <v>3.8467287503822778E-3</v>
      </c>
      <c r="O566" s="147">
        <f>IF($E566="","",MIN(VLOOKUP(IF($B566&lt;=Input!$C$7,$B566,26),'Mortality Tables'!$A$41:$CW$67,IF($B566&lt;=Input!$C$7+1,Input!$C$4+2,$D566-Input!$C$7+2),0)*IF(B566&gt;20,Input!$C$22,1)/1000,1))</f>
        <v>0.48221600000000003</v>
      </c>
      <c r="P566" s="147">
        <f>IF($E566="","",MIN(VLOOKUP(IF($B566&lt;=Input!$C$7,$B566,26),'Mortality Tables'!$A$12:$CW$37,IF($B566&lt;=Input!$C$7+1,Input!$C$4+2,$D566-Input!$C$7+2),0)*IF(B566&gt;20,Input!$C$22,1)/1000,1))</f>
        <v>0.60277000000000003</v>
      </c>
      <c r="Q566" s="155">
        <f>IF($E566="","",Input!$C$21)</f>
        <v>5.0000000000000001E-3</v>
      </c>
      <c r="R566" s="159">
        <f>IF($E566="","",(1-Q566)^($F566-Input!$C$20))</f>
        <v>0.79407534929349588</v>
      </c>
      <c r="S566" s="147">
        <f t="shared" si="331"/>
        <v>0.38291583863491241</v>
      </c>
      <c r="T566" s="147">
        <f t="shared" si="332"/>
        <v>3.9430705344776551E-2</v>
      </c>
      <c r="U566" s="160">
        <f>IF($E566="","",IF($C566=12,INDEX(Input!$C$15:$CP$15,1,$B566),0))</f>
        <v>0</v>
      </c>
      <c r="V566" s="150">
        <f>IF(E566="","",IF(C566=1,IF($B566=1,Input!$C$33,Input!$C$34),0))</f>
        <v>0</v>
      </c>
      <c r="W566" s="156">
        <f>IF($E566="","",Input!$C$35)</f>
        <v>0.02</v>
      </c>
      <c r="X566" s="156">
        <f t="shared" si="371"/>
        <v>2.4866112894073726</v>
      </c>
      <c r="Y566" s="154"/>
      <c r="Z566" s="147">
        <f>IF($E566="","",VLOOKUP($D566,'Mortality Margins &amp; Grading'!$AB$5:$AF$125,3,0)*IF(Summary!$D$25="Included Margin",IF(AND($B566&gt;Input!$C$9,Summary!$D$31&lt;&gt;"Included Margin"),0,1),0))</f>
        <v>2.1000000000000001E-2</v>
      </c>
      <c r="AA566" s="147">
        <f>IF($E566="","",VLOOKUP($D566,'Mortality Margins &amp; Grading'!$AB$5:$AF$125,5,0)*IF(Summary!$D$25="Included Margin",IF(AND($B566&gt;Input!$C$9,Summary!$D$31&lt;&gt;"Included Margin"),0,1),0))</f>
        <v>0.107</v>
      </c>
      <c r="AB566" s="147">
        <f>IF($E566="","",IF(AND($B566&gt;Input!$C$9,Summary!$D$31&lt;&gt;"Included Margin"),1,IF(Summary!$D$25="Included Margin",VLOOKUP($B566,'Mortality Margins &amp; Grading'!$AI$5:$AR$125,MATCH('Mortality Margins &amp; Grading'!$AQ$4,'Mortality Margins &amp; Grading'!$AI$4:$AR$4,0),0),1)))</f>
        <v>0</v>
      </c>
      <c r="AC566" s="154"/>
      <c r="AD566" s="158">
        <f>IF(E566="","",Input!$C$48*IF(Summary!$D$30="Included Margin",IF(AND($B566&gt;Input!$C$9,Summary!$D$31&lt;&gt;"Included Margin"),0,1),0))</f>
        <v>-4.4999999999999997E-3</v>
      </c>
      <c r="AE566" s="159">
        <f>IF(E566="","",IF(Summary!$D$26="Included Margin",IF(AND($B566&gt;Input!$C$9,Summary!$D$31&lt;&gt;"Included Margin"),1,1/$R566),1))</f>
        <v>1.2593263358316302</v>
      </c>
      <c r="AF566" s="160">
        <f>IF(E566="","",IF(AND($B566&gt;=Input!$C$9,$C566=12,Summary!$D$31="Included Margin",$U566&gt;0),1/U566-1,IF($B566&gt;=Input!$C$9,0,Input!$C$45*IF(Summary!$D$27="Included Margin",1,0))))</f>
        <v>0</v>
      </c>
      <c r="AG566" s="160">
        <f>IF(E566="","",Input!$C$46*IF(Summary!$D$28="Included Margin",IF(AND($B566&gt;Input!$C$9,Summary!$D$31&lt;&gt;"Included Margin"),0,1),0))</f>
        <v>0.02</v>
      </c>
      <c r="AH566" s="158">
        <f>IF(E566="","",Input!$C$47*IF(Summary!$D$29="Included Margin",IF(AND($B566&gt;Input!$C$9,Summary!$D$31&lt;&gt;"Included Margin"),0,1),0))</f>
        <v>2.5000000000000001E-3</v>
      </c>
      <c r="AI566" s="154"/>
      <c r="AJ566" s="158">
        <f t="shared" si="353"/>
        <v>4.265E-2</v>
      </c>
      <c r="AK566" s="155">
        <f t="shared" si="354"/>
        <v>3.4865262783743134E-3</v>
      </c>
      <c r="AL566" s="147">
        <f t="shared" si="355"/>
        <v>0.66726638999999999</v>
      </c>
      <c r="AM566" s="147">
        <f t="shared" si="333"/>
        <v>8.7622172286553557E-2</v>
      </c>
      <c r="AN566" s="160">
        <f t="shared" si="356"/>
        <v>0</v>
      </c>
      <c r="AO566" s="161">
        <f t="shared" si="357"/>
        <v>0</v>
      </c>
      <c r="AP566" s="156">
        <f t="shared" si="334"/>
        <v>2.7829959047014983</v>
      </c>
      <c r="AQ566" s="152"/>
      <c r="AR566" s="162">
        <f t="shared" si="335"/>
        <v>23930.587826413575</v>
      </c>
      <c r="AS566" s="150">
        <f t="shared" si="358"/>
        <v>0</v>
      </c>
      <c r="AT566" s="163">
        <f t="shared" si="336"/>
        <v>0</v>
      </c>
      <c r="AU566" s="163">
        <f t="shared" si="337"/>
        <v>8762.2172286553559</v>
      </c>
      <c r="AV566" s="163">
        <f t="shared" si="359"/>
        <v>68.159773001469858</v>
      </c>
      <c r="AW566" s="163">
        <f t="shared" si="338"/>
        <v>1463.2756055592322</v>
      </c>
      <c r="AX566" s="163">
        <f t="shared" si="339"/>
        <v>0</v>
      </c>
      <c r="AY566" s="165">
        <f t="shared" si="360"/>
        <v>16699.805976318919</v>
      </c>
      <c r="AZ566" s="164">
        <f>IF($E566="","",IF(OR(AND($D566=Input!$C$6,$C566=12),$AN566=1),0,-AS567+AT567+AU567-AV567-AW567-AX567+AZ567))</f>
        <v>16699.832558063452</v>
      </c>
      <c r="BA566" s="154">
        <f t="shared" si="340"/>
        <v>2.6581744532450102E-2</v>
      </c>
      <c r="BC566" s="147">
        <f t="shared" si="361"/>
        <v>1.5009811017052481E-4</v>
      </c>
      <c r="BD566" s="164">
        <f>IF(AND($C565=12,$D565=Input!$C$6),0,IF($E566="","",AT566+(AU566+BD567)/(1+$AK566)*MIN((1-AM566-AN566),1)))</f>
        <v>10271.932110060385</v>
      </c>
      <c r="BE566" s="164">
        <f t="shared" si="341"/>
        <v>1.5417975975199951</v>
      </c>
      <c r="BF566" s="164">
        <f t="shared" si="362"/>
        <v>16699.832558063452</v>
      </c>
      <c r="BG566" s="164">
        <f t="shared" si="342"/>
        <v>2.5066133071295251</v>
      </c>
      <c r="BH566" s="152"/>
      <c r="BI566" s="162">
        <f t="shared" si="343"/>
        <v>1069.9792171091954</v>
      </c>
      <c r="BJ566" s="150">
        <f t="shared" si="344"/>
        <v>0</v>
      </c>
      <c r="BK566" s="163">
        <f t="shared" si="366"/>
        <v>0</v>
      </c>
      <c r="BL566" s="163">
        <f t="shared" si="345"/>
        <v>3943.0705344776552</v>
      </c>
      <c r="BM566" s="163">
        <f t="shared" si="367"/>
        <v>-3.4680415781147422</v>
      </c>
      <c r="BN566" s="163">
        <f t="shared" si="346"/>
        <v>-118.08017501695834</v>
      </c>
      <c r="BO566" s="163">
        <f t="shared" si="347"/>
        <v>0</v>
      </c>
      <c r="BP566" s="164">
        <f t="shared" si="368"/>
        <v>-2994.6395339635333</v>
      </c>
      <c r="BQ566" s="164">
        <f>IF($E566="","",IF(AND($D566=Input!$C$6,$C566=12),0,-BJ567+BK567+BL567-BM567-BN567-BO567+BQ567))</f>
        <v>-2994.6249752440863</v>
      </c>
      <c r="BR566" s="161">
        <f t="shared" si="348"/>
        <v>0</v>
      </c>
      <c r="BT566" s="147">
        <f t="shared" si="349"/>
        <v>1.5009811017052481E-4</v>
      </c>
      <c r="BU566" s="164">
        <f>IF(AND($C565=12,$D565=Input!$C$6),0,IF($E566="","",BK566+(BL566+BU567)/(1+$AK566)*MIN((1-T566-U566),1)))</f>
        <v>72622.884345576196</v>
      </c>
      <c r="BV566" s="164">
        <f t="shared" si="350"/>
        <v>10.900557695403577</v>
      </c>
      <c r="BW566" s="164">
        <f t="shared" si="351"/>
        <v>-2994.6249752440863</v>
      </c>
      <c r="BX566" s="164">
        <f t="shared" si="352"/>
        <v>-0.44948754945359198</v>
      </c>
    </row>
    <row r="567" spans="1:76" s="150" customFormat="1" x14ac:dyDescent="0.25">
      <c r="A567" s="150">
        <f t="shared" si="363"/>
        <v>563</v>
      </c>
      <c r="B567" s="150">
        <f t="shared" si="364"/>
        <v>47</v>
      </c>
      <c r="C567" s="150">
        <f t="shared" si="365"/>
        <v>11</v>
      </c>
      <c r="D567" s="150">
        <f>IF(E567="","",Input!$C$4+B567-1)</f>
        <v>91</v>
      </c>
      <c r="E567" s="150">
        <f>IF(OR(AND(C566=12,D566=Input!$C$6),E566=""),"",1)</f>
        <v>1</v>
      </c>
      <c r="F567" s="150">
        <f>IF(E567="","",Input!$C$8+B567-1)</f>
        <v>2064</v>
      </c>
      <c r="G567" s="151">
        <f>IF(E567="","",MAX(0,Input!$C$9-B567))</f>
        <v>0</v>
      </c>
      <c r="H567" s="152">
        <f>IF(E567="","",Input!$C$3)</f>
        <v>100000</v>
      </c>
      <c r="I567" s="153">
        <f>IF(E567="","",HLOOKUP($B567,Input!$C$13:$BT$14,2))</f>
        <v>429.60750000000002</v>
      </c>
      <c r="J567" s="154"/>
      <c r="K567" s="155">
        <f>IF($E567="","",INDEX(Input!$C$16:$CP$16,1,$B567))</f>
        <v>3.2149999999999998E-2</v>
      </c>
      <c r="L567" s="155">
        <f>IF($E567="","",Input!$C$37)</f>
        <v>1.4999999999999999E-2</v>
      </c>
      <c r="M567" s="155">
        <f t="shared" si="369"/>
        <v>4.7149999999999997E-2</v>
      </c>
      <c r="N567" s="155">
        <f t="shared" si="370"/>
        <v>3.8467287503822778E-3</v>
      </c>
      <c r="O567" s="147">
        <f>IF($E567="","",MIN(VLOOKUP(IF($B567&lt;=Input!$C$7,$B567,26),'Mortality Tables'!$A$41:$CW$67,IF($B567&lt;=Input!$C$7+1,Input!$C$4+2,$D567-Input!$C$7+2),0)*IF(B567&gt;20,Input!$C$22,1)/1000,1))</f>
        <v>0.48221600000000003</v>
      </c>
      <c r="P567" s="147">
        <f>IF($E567="","",MIN(VLOOKUP(IF($B567&lt;=Input!$C$7,$B567,26),'Mortality Tables'!$A$12:$CW$37,IF($B567&lt;=Input!$C$7+1,Input!$C$4+2,$D567-Input!$C$7+2),0)*IF(B567&gt;20,Input!$C$22,1)/1000,1))</f>
        <v>0.60277000000000003</v>
      </c>
      <c r="Q567" s="155">
        <f>IF($E567="","",Input!$C$21)</f>
        <v>5.0000000000000001E-3</v>
      </c>
      <c r="R567" s="159">
        <f>IF($E567="","",(1-Q567)^($F567-Input!$C$20))</f>
        <v>0.79407534929349588</v>
      </c>
      <c r="S567" s="147">
        <f t="shared" si="331"/>
        <v>0.38291583863491241</v>
      </c>
      <c r="T567" s="147">
        <f t="shared" si="332"/>
        <v>3.9430705344776551E-2</v>
      </c>
      <c r="U567" s="160">
        <f>IF($E567="","",IF($C567=12,INDEX(Input!$C$15:$CP$15,1,$B567),0))</f>
        <v>0</v>
      </c>
      <c r="V567" s="150">
        <f>IF(E567="","",IF(C567=1,IF($B567=1,Input!$C$33,Input!$C$34),0))</f>
        <v>0</v>
      </c>
      <c r="W567" s="156">
        <f>IF($E567="","",Input!$C$35)</f>
        <v>0.02</v>
      </c>
      <c r="X567" s="156">
        <f t="shared" si="371"/>
        <v>2.4866112894073726</v>
      </c>
      <c r="Y567" s="154"/>
      <c r="Z567" s="147">
        <f>IF($E567="","",VLOOKUP($D567,'Mortality Margins &amp; Grading'!$AB$5:$AF$125,3,0)*IF(Summary!$D$25="Included Margin",IF(AND($B567&gt;Input!$C$9,Summary!$D$31&lt;&gt;"Included Margin"),0,1),0))</f>
        <v>2.1000000000000001E-2</v>
      </c>
      <c r="AA567" s="147">
        <f>IF($E567="","",VLOOKUP($D567,'Mortality Margins &amp; Grading'!$AB$5:$AF$125,5,0)*IF(Summary!$D$25="Included Margin",IF(AND($B567&gt;Input!$C$9,Summary!$D$31&lt;&gt;"Included Margin"),0,1),0))</f>
        <v>0.107</v>
      </c>
      <c r="AB567" s="147">
        <f>IF($E567="","",IF(AND($B567&gt;Input!$C$9,Summary!$D$31&lt;&gt;"Included Margin"),1,IF(Summary!$D$25="Included Margin",VLOOKUP($B567,'Mortality Margins &amp; Grading'!$AI$5:$AR$125,MATCH('Mortality Margins &amp; Grading'!$AQ$4,'Mortality Margins &amp; Grading'!$AI$4:$AR$4,0),0),1)))</f>
        <v>0</v>
      </c>
      <c r="AC567" s="154"/>
      <c r="AD567" s="158">
        <f>IF(E567="","",Input!$C$48*IF(Summary!$D$30="Included Margin",IF(AND($B567&gt;Input!$C$9,Summary!$D$31&lt;&gt;"Included Margin"),0,1),0))</f>
        <v>-4.4999999999999997E-3</v>
      </c>
      <c r="AE567" s="159">
        <f>IF(E567="","",IF(Summary!$D$26="Included Margin",IF(AND($B567&gt;Input!$C$9,Summary!$D$31&lt;&gt;"Included Margin"),1,1/$R567),1))</f>
        <v>1.2593263358316302</v>
      </c>
      <c r="AF567" s="160">
        <f>IF(E567="","",IF(AND($B567&gt;=Input!$C$9,$C567=12,Summary!$D$31="Included Margin",$U567&gt;0),1/U567-1,IF($B567&gt;=Input!$C$9,0,Input!$C$45*IF(Summary!$D$27="Included Margin",1,0))))</f>
        <v>0</v>
      </c>
      <c r="AG567" s="160">
        <f>IF(E567="","",Input!$C$46*IF(Summary!$D$28="Included Margin",IF(AND($B567&gt;Input!$C$9,Summary!$D$31&lt;&gt;"Included Margin"),0,1),0))</f>
        <v>0.02</v>
      </c>
      <c r="AH567" s="158">
        <f>IF(E567="","",Input!$C$47*IF(Summary!$D$29="Included Margin",IF(AND($B567&gt;Input!$C$9,Summary!$D$31&lt;&gt;"Included Margin"),0,1),0))</f>
        <v>2.5000000000000001E-3</v>
      </c>
      <c r="AI567" s="154"/>
      <c r="AJ567" s="158">
        <f t="shared" si="353"/>
        <v>4.265E-2</v>
      </c>
      <c r="AK567" s="155">
        <f t="shared" si="354"/>
        <v>3.4865262783743134E-3</v>
      </c>
      <c r="AL567" s="147">
        <f t="shared" si="355"/>
        <v>0.66726638999999999</v>
      </c>
      <c r="AM567" s="147">
        <f t="shared" si="333"/>
        <v>8.7622172286553557E-2</v>
      </c>
      <c r="AN567" s="160">
        <f t="shared" si="356"/>
        <v>0</v>
      </c>
      <c r="AO567" s="161">
        <f t="shared" si="357"/>
        <v>0</v>
      </c>
      <c r="AP567" s="156">
        <f t="shared" si="334"/>
        <v>2.7829959047014983</v>
      </c>
      <c r="AQ567" s="152"/>
      <c r="AR567" s="162">
        <f t="shared" si="335"/>
        <v>16699.805976318923</v>
      </c>
      <c r="AS567" s="150">
        <f t="shared" si="358"/>
        <v>0</v>
      </c>
      <c r="AT567" s="163">
        <f t="shared" si="336"/>
        <v>0</v>
      </c>
      <c r="AU567" s="163">
        <f t="shared" si="337"/>
        <v>8762.2172286553559</v>
      </c>
      <c r="AV567" s="163">
        <f t="shared" si="359"/>
        <v>42.949462067922809</v>
      </c>
      <c r="AW567" s="163">
        <f t="shared" si="338"/>
        <v>766.43075035613265</v>
      </c>
      <c r="AX567" s="163">
        <f t="shared" si="339"/>
        <v>0</v>
      </c>
      <c r="AY567" s="164">
        <f t="shared" si="360"/>
        <v>8746.9689600876227</v>
      </c>
      <c r="AZ567" s="164">
        <f>IF($E567="","",IF(OR(AND($D567=Input!$C$6,$C567=12),$AN567=1),0,-AS568+AT568+AU568-AV568-AW568-AX568+AZ568))</f>
        <v>8746.9955418321515</v>
      </c>
      <c r="BA567" s="154">
        <f t="shared" si="340"/>
        <v>2.6581744528812123E-2</v>
      </c>
      <c r="BC567" s="147">
        <f t="shared" si="361"/>
        <v>1.4417963581558305E-4</v>
      </c>
      <c r="BD567" s="164">
        <f>IF(AND($C566=12,$D566=Input!$C$6),0,IF($E567="","",AT567+(AU567+BD568)/(1+$AK567)*MIN((1-AM567-AN567),1)))</f>
        <v>2535.4548082950805</v>
      </c>
      <c r="BE567" s="164">
        <f t="shared" si="341"/>
        <v>0.36556095088685364</v>
      </c>
      <c r="BF567" s="164">
        <f t="shared" si="362"/>
        <v>8746.9955418321515</v>
      </c>
      <c r="BG567" s="164">
        <f t="shared" si="342"/>
        <v>1.2611386317018882</v>
      </c>
      <c r="BH567" s="152"/>
      <c r="BI567" s="162">
        <f t="shared" si="343"/>
        <v>-2994.6395339635324</v>
      </c>
      <c r="BJ567" s="150">
        <f t="shared" si="344"/>
        <v>0</v>
      </c>
      <c r="BK567" s="163">
        <f t="shared" si="366"/>
        <v>0</v>
      </c>
      <c r="BL567" s="163">
        <f t="shared" si="345"/>
        <v>3943.0705344776552</v>
      </c>
      <c r="BM567" s="163">
        <f t="shared" si="367"/>
        <v>-19.103527387209112</v>
      </c>
      <c r="BN567" s="163">
        <f t="shared" si="346"/>
        <v>-285.57179008467756</v>
      </c>
      <c r="BO567" s="163">
        <f t="shared" si="347"/>
        <v>0</v>
      </c>
      <c r="BP567" s="164">
        <f t="shared" si="368"/>
        <v>-7242.3853859130741</v>
      </c>
      <c r="BQ567" s="164">
        <f>IF($E567="","",IF(AND($D567=Input!$C$6,$C567=12),0,-BJ568+BK568+BL568-BM568-BN568-BO568+BQ568))</f>
        <v>-7242.3708271936275</v>
      </c>
      <c r="BR567" s="161">
        <f t="shared" si="348"/>
        <v>0</v>
      </c>
      <c r="BT567" s="147">
        <f t="shared" si="349"/>
        <v>1.4417963581558305E-4</v>
      </c>
      <c r="BU567" s="164">
        <f>IF(AND($C566=12,$D566=Input!$C$6),0,IF($E567="","",BK567+(BL567+BU568)/(1+$AK567)*MIN((1-T567-U567),1)))</f>
        <v>71924.52834230692</v>
      </c>
      <c r="BV567" s="164">
        <f t="shared" si="350"/>
        <v>10.370052302601392</v>
      </c>
      <c r="BW567" s="164">
        <f t="shared" si="351"/>
        <v>-7242.3708271936275</v>
      </c>
      <c r="BX567" s="164">
        <f t="shared" si="352"/>
        <v>-1.0442023883061802</v>
      </c>
    </row>
    <row r="568" spans="1:76" s="150" customFormat="1" x14ac:dyDescent="0.25">
      <c r="A568" s="150">
        <f t="shared" si="363"/>
        <v>564</v>
      </c>
      <c r="B568" s="150">
        <f t="shared" si="364"/>
        <v>47</v>
      </c>
      <c r="C568" s="150">
        <f t="shared" si="365"/>
        <v>12</v>
      </c>
      <c r="D568" s="150">
        <f>IF(E568="","",Input!$C$4+B568-1)</f>
        <v>91</v>
      </c>
      <c r="E568" s="150">
        <f>IF(OR(AND(C567=12,D567=Input!$C$6),E567=""),"",1)</f>
        <v>1</v>
      </c>
      <c r="F568" s="150">
        <f>IF(E568="","",Input!$C$8+B568-1)</f>
        <v>2064</v>
      </c>
      <c r="G568" s="151">
        <f>IF(E568="","",MAX(0,Input!$C$9-B568))</f>
        <v>0</v>
      </c>
      <c r="H568" s="152">
        <f>IF(E568="","",Input!$C$3)</f>
        <v>100000</v>
      </c>
      <c r="I568" s="153">
        <f>IF(E568="","",HLOOKUP($B568,Input!$C$13:$BT$14,2))</f>
        <v>429.60750000000002</v>
      </c>
      <c r="J568" s="154"/>
      <c r="K568" s="155">
        <f>IF($E568="","",INDEX(Input!$C$16:$CP$16,1,$B568))</f>
        <v>3.2149999999999998E-2</v>
      </c>
      <c r="L568" s="155">
        <f>IF($E568="","",Input!$C$37)</f>
        <v>1.4999999999999999E-2</v>
      </c>
      <c r="M568" s="155">
        <f t="shared" si="369"/>
        <v>4.7149999999999997E-2</v>
      </c>
      <c r="N568" s="155">
        <f t="shared" si="370"/>
        <v>3.8467287503822778E-3</v>
      </c>
      <c r="O568" s="147">
        <f>IF($E568="","",MIN(VLOOKUP(IF($B568&lt;=Input!$C$7,$B568,26),'Mortality Tables'!$A$41:$CW$67,IF($B568&lt;=Input!$C$7+1,Input!$C$4+2,$D568-Input!$C$7+2),0)*IF(B568&gt;20,Input!$C$22,1)/1000,1))</f>
        <v>0.48221600000000003</v>
      </c>
      <c r="P568" s="147">
        <f>IF($E568="","",MIN(VLOOKUP(IF($B568&lt;=Input!$C$7,$B568,26),'Mortality Tables'!$A$12:$CW$37,IF($B568&lt;=Input!$C$7+1,Input!$C$4+2,$D568-Input!$C$7+2),0)*IF(B568&gt;20,Input!$C$22,1)/1000,1))</f>
        <v>0.60277000000000003</v>
      </c>
      <c r="Q568" s="155">
        <f>IF($E568="","",Input!$C$21)</f>
        <v>5.0000000000000001E-3</v>
      </c>
      <c r="R568" s="159">
        <f>IF($E568="","",(1-Q568)^($F568-Input!$C$20))</f>
        <v>0.79407534929349588</v>
      </c>
      <c r="S568" s="147">
        <f t="shared" si="331"/>
        <v>0.38291583863491241</v>
      </c>
      <c r="T568" s="147">
        <f t="shared" si="332"/>
        <v>3.9430705344776551E-2</v>
      </c>
      <c r="U568" s="160">
        <f>IF($E568="","",IF($C568=12,INDEX(Input!$C$15:$CP$15,1,$B568),0))</f>
        <v>0.1</v>
      </c>
      <c r="V568" s="150">
        <f>IF(E568="","",IF(C568=1,IF($B568=1,Input!$C$33,Input!$C$34),0))</f>
        <v>0</v>
      </c>
      <c r="W568" s="156">
        <f>IF($E568="","",Input!$C$35)</f>
        <v>0.02</v>
      </c>
      <c r="X568" s="156">
        <f t="shared" si="371"/>
        <v>2.4866112894073726</v>
      </c>
      <c r="Y568" s="154"/>
      <c r="Z568" s="147">
        <f>IF($E568="","",VLOOKUP($D568,'Mortality Margins &amp; Grading'!$AB$5:$AF$125,3,0)*IF(Summary!$D$25="Included Margin",IF(AND($B568&gt;Input!$C$9,Summary!$D$31&lt;&gt;"Included Margin"),0,1),0))</f>
        <v>2.1000000000000001E-2</v>
      </c>
      <c r="AA568" s="147">
        <f>IF($E568="","",VLOOKUP($D568,'Mortality Margins &amp; Grading'!$AB$5:$AF$125,5,0)*IF(Summary!$D$25="Included Margin",IF(AND($B568&gt;Input!$C$9,Summary!$D$31&lt;&gt;"Included Margin"),0,1),0))</f>
        <v>0.107</v>
      </c>
      <c r="AB568" s="147">
        <f>IF($E568="","",IF(AND($B568&gt;Input!$C$9,Summary!$D$31&lt;&gt;"Included Margin"),1,IF(Summary!$D$25="Included Margin",VLOOKUP($B568,'Mortality Margins &amp; Grading'!$AI$5:$AR$125,MATCH('Mortality Margins &amp; Grading'!$AQ$4,'Mortality Margins &amp; Grading'!$AI$4:$AR$4,0),0),1)))</f>
        <v>0</v>
      </c>
      <c r="AC568" s="154"/>
      <c r="AD568" s="158">
        <f>IF(E568="","",Input!$C$48*IF(Summary!$D$30="Included Margin",IF(AND($B568&gt;Input!$C$9,Summary!$D$31&lt;&gt;"Included Margin"),0,1),0))</f>
        <v>-4.4999999999999997E-3</v>
      </c>
      <c r="AE568" s="159">
        <f>IF(E568="","",IF(Summary!$D$26="Included Margin",IF(AND($B568&gt;Input!$C$9,Summary!$D$31&lt;&gt;"Included Margin"),1,1/$R568),1))</f>
        <v>1.2593263358316302</v>
      </c>
      <c r="AF568" s="160">
        <f>IF(E568="","",IF(AND($B568&gt;=Input!$C$9,$C568=12,Summary!$D$31="Included Margin",$U568&gt;0),1/U568-1,IF($B568&gt;=Input!$C$9,0,Input!$C$45*IF(Summary!$D$27="Included Margin",1,0))))</f>
        <v>9</v>
      </c>
      <c r="AG568" s="160">
        <f>IF(E568="","",Input!$C$46*IF(Summary!$D$28="Included Margin",IF(AND($B568&gt;Input!$C$9,Summary!$D$31&lt;&gt;"Included Margin"),0,1),0))</f>
        <v>0.02</v>
      </c>
      <c r="AH568" s="158">
        <f>IF(E568="","",Input!$C$47*IF(Summary!$D$29="Included Margin",IF(AND($B568&gt;Input!$C$9,Summary!$D$31&lt;&gt;"Included Margin"),0,1),0))</f>
        <v>2.5000000000000001E-3</v>
      </c>
      <c r="AI568" s="154"/>
      <c r="AJ568" s="158">
        <f t="shared" si="353"/>
        <v>4.265E-2</v>
      </c>
      <c r="AK568" s="155">
        <f t="shared" si="354"/>
        <v>3.4865262783743134E-3</v>
      </c>
      <c r="AL568" s="147">
        <f t="shared" si="355"/>
        <v>0.66726638999999999</v>
      </c>
      <c r="AM568" s="147">
        <f t="shared" si="333"/>
        <v>8.7622172286553557E-2</v>
      </c>
      <c r="AN568" s="160">
        <f t="shared" si="356"/>
        <v>1</v>
      </c>
      <c r="AO568" s="161">
        <f t="shared" si="357"/>
        <v>0</v>
      </c>
      <c r="AP568" s="156">
        <f t="shared" si="334"/>
        <v>2.7829959047014983</v>
      </c>
      <c r="AQ568" s="152"/>
      <c r="AR568" s="162">
        <f t="shared" si="335"/>
        <v>8746.9689600876209</v>
      </c>
      <c r="AS568" s="150">
        <f t="shared" si="358"/>
        <v>0</v>
      </c>
      <c r="AT568" s="163">
        <f t="shared" si="336"/>
        <v>0</v>
      </c>
      <c r="AU568" s="163">
        <f t="shared" si="337"/>
        <v>8762.2172286553559</v>
      </c>
      <c r="AV568" s="163">
        <f t="shared" si="359"/>
        <v>15.221686823204406</v>
      </c>
      <c r="AW568" s="163">
        <f t="shared" si="338"/>
        <v>0</v>
      </c>
      <c r="AX568" s="163">
        <f t="shared" si="339"/>
        <v>0</v>
      </c>
      <c r="AY568" s="165">
        <f t="shared" si="360"/>
        <v>-2.6581744530661311E-2</v>
      </c>
      <c r="AZ568" s="164">
        <f>IF($E568="","",IF(OR(AND($D568=Input!$C$6,$C568=12),$AN568=1),0,-AS569+AT569+AU569-AV569-AW569-AX569+AZ569))</f>
        <v>0</v>
      </c>
      <c r="BA568" s="154">
        <f t="shared" si="340"/>
        <v>2.6581744530661311E-2</v>
      </c>
      <c r="BC568" s="147">
        <f t="shared" si="361"/>
        <v>1.2407656749746331E-4</v>
      </c>
      <c r="BD568" s="164">
        <f>IF(AND($C567=12,$D567=Input!$C$6),0,IF($E568="","",AT568+(AU568+BD569)/(1+$AK568)*MIN((1-AM568-AN568),1)))</f>
        <v>-5973.5756584319652</v>
      </c>
      <c r="BE568" s="164">
        <f t="shared" si="341"/>
        <v>-0.74118076338463756</v>
      </c>
      <c r="BF568" s="164">
        <f t="shared" si="362"/>
        <v>0</v>
      </c>
      <c r="BG568" s="164">
        <f t="shared" si="342"/>
        <v>0</v>
      </c>
      <c r="BH568" s="152"/>
      <c r="BI568" s="162">
        <f t="shared" si="343"/>
        <v>-7242.3853859130741</v>
      </c>
      <c r="BJ568" s="150">
        <f t="shared" si="344"/>
        <v>0</v>
      </c>
      <c r="BK568" s="163">
        <f t="shared" si="366"/>
        <v>0</v>
      </c>
      <c r="BL568" s="163">
        <f t="shared" si="345"/>
        <v>3943.0705344776552</v>
      </c>
      <c r="BM568" s="163">
        <f t="shared" si="367"/>
        <v>-35.443453480220477</v>
      </c>
      <c r="BN568" s="163">
        <f t="shared" si="346"/>
        <v>-511.78840311535578</v>
      </c>
      <c r="BO568" s="163">
        <f t="shared" si="347"/>
        <v>-1246.7649794612782</v>
      </c>
      <c r="BP568" s="164">
        <f t="shared" si="368"/>
        <v>-12979.452756447585</v>
      </c>
      <c r="BQ568" s="164">
        <f>IF($E568="","",IF(AND($D568=Input!$C$6,$C568=12),0,-BJ569+BK569+BL569-BM569-BN569-BO569+BQ569))</f>
        <v>-12979.438197728137</v>
      </c>
      <c r="BR568" s="161">
        <f t="shared" si="348"/>
        <v>0</v>
      </c>
      <c r="BT568" s="147">
        <f t="shared" si="349"/>
        <v>1.2407656749746331E-4</v>
      </c>
      <c r="BU568" s="164">
        <f>IF(AND($C567=12,$D567=Input!$C$6),0,IF($E568="","",BK568+(BL568+BU569)/(1+$AK568)*MIN((1-T568-U568),1)))</f>
        <v>71194.970523078635</v>
      </c>
      <c r="BV568" s="164">
        <f t="shared" si="350"/>
        <v>8.8336275655866778</v>
      </c>
      <c r="BW568" s="164">
        <f t="shared" si="351"/>
        <v>-12979.438197728137</v>
      </c>
      <c r="BX568" s="164">
        <f t="shared" si="352"/>
        <v>-1.6104441396195688</v>
      </c>
    </row>
    <row r="569" spans="1:76" s="150" customFormat="1" x14ac:dyDescent="0.25">
      <c r="A569" s="150">
        <f t="shared" si="363"/>
        <v>565</v>
      </c>
      <c r="B569" s="150">
        <f t="shared" si="364"/>
        <v>48</v>
      </c>
      <c r="C569" s="150">
        <f t="shared" si="365"/>
        <v>1</v>
      </c>
      <c r="D569" s="150">
        <f>IF(E569="","",Input!$C$4+B569-1)</f>
        <v>92</v>
      </c>
      <c r="E569" s="150">
        <f>IF(OR(AND(C568=12,D568=Input!$C$6),E568=""),"",1)</f>
        <v>1</v>
      </c>
      <c r="F569" s="150">
        <f>IF(E569="","",Input!$C$8+B569-1)</f>
        <v>2065</v>
      </c>
      <c r="G569" s="151">
        <f>IF(E569="","",MAX(0,Input!$C$9-B569))</f>
        <v>0</v>
      </c>
      <c r="H569" s="152">
        <f>IF(E569="","",Input!$C$3)</f>
        <v>100000</v>
      </c>
      <c r="I569" s="153">
        <f>IF(E569="","",HLOOKUP($B569,Input!$C$13:$BT$14,2))</f>
        <v>474.12400000000008</v>
      </c>
      <c r="J569" s="154"/>
      <c r="K569" s="155">
        <f>IF($E569="","",INDEX(Input!$C$16:$CP$16,1,$B569))</f>
        <v>3.2250000000000001E-2</v>
      </c>
      <c r="L569" s="155">
        <f>IF($E569="","",Input!$C$37)</f>
        <v>1.4999999999999999E-2</v>
      </c>
      <c r="M569" s="155">
        <f t="shared" si="369"/>
        <v>4.725E-2</v>
      </c>
      <c r="N569" s="155">
        <f t="shared" si="370"/>
        <v>3.8547171219420751E-3</v>
      </c>
      <c r="O569" s="147">
        <f>IF($E569="","",MIN(VLOOKUP(IF($B569&lt;=Input!$C$7,$B569,26),'Mortality Tables'!$A$41:$CW$67,IF($B569&lt;=Input!$C$7+1,Input!$C$4+2,$D569-Input!$C$7+2),0)*IF(B569&gt;20,Input!$C$22,1)/1000,1))</f>
        <v>0.53176480000000004</v>
      </c>
      <c r="P569" s="147">
        <f>IF($E569="","",MIN(VLOOKUP(IF($B569&lt;=Input!$C$7,$B569,26),'Mortality Tables'!$A$12:$CW$37,IF($B569&lt;=Input!$C$7+1,Input!$C$4+2,$D569-Input!$C$7+2),0)*IF(B569&gt;20,Input!$C$22,1)/1000,1))</f>
        <v>0.66470600000000002</v>
      </c>
      <c r="Q569" s="155">
        <f>IF($E569="","",Input!$C$21)</f>
        <v>5.0000000000000001E-3</v>
      </c>
      <c r="R569" s="159">
        <f>IF($E569="","",(1-Q569)^($F569-Input!$C$20))</f>
        <v>0.79010497254702838</v>
      </c>
      <c r="S569" s="147">
        <f t="shared" si="331"/>
        <v>0.42015001270547608</v>
      </c>
      <c r="T569" s="147">
        <f t="shared" si="332"/>
        <v>4.4399640783943428E-2</v>
      </c>
      <c r="U569" s="160">
        <f>IF($E569="","",IF($C569=12,INDEX(Input!$C$15:$CP$15,1,$B569),0))</f>
        <v>0</v>
      </c>
      <c r="V569" s="150">
        <f>IF(E569="","",IF(C569=1,IF($B569=1,Input!$C$33,Input!$C$34),0))</f>
        <v>50</v>
      </c>
      <c r="W569" s="156">
        <f>IF($E569="","",Input!$C$35)</f>
        <v>0.02</v>
      </c>
      <c r="X569" s="156">
        <f t="shared" si="371"/>
        <v>2.53634351519552</v>
      </c>
      <c r="Y569" s="154"/>
      <c r="Z569" s="147">
        <f>IF($E569="","",VLOOKUP($D569,'Mortality Margins &amp; Grading'!$AB$5:$AF$125,3,0)*IF(Summary!$D$25="Included Margin",IF(AND($B569&gt;Input!$C$9,Summary!$D$31&lt;&gt;"Included Margin"),0,1),0))</f>
        <v>0.02</v>
      </c>
      <c r="AA569" s="147">
        <f>IF($E569="","",VLOOKUP($D569,'Mortality Margins &amp; Grading'!$AB$5:$AF$125,5,0)*IF(Summary!$D$25="Included Margin",IF(AND($B569&gt;Input!$C$9,Summary!$D$31&lt;&gt;"Included Margin"),0,1),0))</f>
        <v>0.10100000000000001</v>
      </c>
      <c r="AB569" s="147">
        <f>IF($E569="","",IF(AND($B569&gt;Input!$C$9,Summary!$D$31&lt;&gt;"Included Margin"),1,IF(Summary!$D$25="Included Margin",VLOOKUP($B569,'Mortality Margins &amp; Grading'!$AI$5:$AR$125,MATCH('Mortality Margins &amp; Grading'!$AQ$4,'Mortality Margins &amp; Grading'!$AI$4:$AR$4,0),0),1)))</f>
        <v>0</v>
      </c>
      <c r="AC569" s="154"/>
      <c r="AD569" s="158">
        <f>IF(E569="","",Input!$C$48*IF(Summary!$D$30="Included Margin",IF(AND($B569&gt;Input!$C$9,Summary!$D$31&lt;&gt;"Included Margin"),0,1),0))</f>
        <v>-4.4999999999999997E-3</v>
      </c>
      <c r="AE569" s="159">
        <f>IF(E569="","",IF(Summary!$D$26="Included Margin",IF(AND($B569&gt;Input!$C$9,Summary!$D$31&lt;&gt;"Included Margin"),1,1/$R569),1))</f>
        <v>1.2656546088760101</v>
      </c>
      <c r="AF569" s="160">
        <f>IF(E569="","",IF(AND($B569&gt;=Input!$C$9,$C569=12,Summary!$D$31="Included Margin",$U569&gt;0),1/U569-1,IF($B569&gt;=Input!$C$9,0,Input!$C$45*IF(Summary!$D$27="Included Margin",1,0))))</f>
        <v>0</v>
      </c>
      <c r="AG569" s="160">
        <f>IF(E569="","",Input!$C$46*IF(Summary!$D$28="Included Margin",IF(AND($B569&gt;Input!$C$9,Summary!$D$31&lt;&gt;"Included Margin"),0,1),0))</f>
        <v>0.02</v>
      </c>
      <c r="AH569" s="158">
        <f>IF(E569="","",Input!$C$47*IF(Summary!$D$29="Included Margin",IF(AND($B569&gt;Input!$C$9,Summary!$D$31&lt;&gt;"Included Margin"),0,1),0))</f>
        <v>2.5000000000000001E-3</v>
      </c>
      <c r="AI569" s="154"/>
      <c r="AJ569" s="158">
        <f t="shared" si="353"/>
        <v>4.2750000000000003E-2</v>
      </c>
      <c r="AK569" s="155">
        <f t="shared" si="354"/>
        <v>3.4945462468616295E-3</v>
      </c>
      <c r="AL569" s="147">
        <f t="shared" si="355"/>
        <v>0.73184130599999986</v>
      </c>
      <c r="AM569" s="147">
        <f t="shared" si="333"/>
        <v>0.10388037152276985</v>
      </c>
      <c r="AN569" s="160">
        <f t="shared" si="356"/>
        <v>0</v>
      </c>
      <c r="AO569" s="161">
        <f t="shared" si="357"/>
        <v>51</v>
      </c>
      <c r="AP569" s="156">
        <f t="shared" si="334"/>
        <v>2.845613312557282</v>
      </c>
      <c r="AQ569" s="152"/>
      <c r="AR569" s="162">
        <f t="shared" si="335"/>
        <v>24724.19803222076</v>
      </c>
      <c r="AS569" s="150">
        <f t="shared" si="358"/>
        <v>47412.400000000009</v>
      </c>
      <c r="AT569" s="163">
        <f t="shared" si="336"/>
        <v>145.12627894042137</v>
      </c>
      <c r="AU569" s="163">
        <f t="shared" si="337"/>
        <v>10388.037152276986</v>
      </c>
      <c r="AV569" s="163">
        <f t="shared" si="359"/>
        <v>233.42678930009646</v>
      </c>
      <c r="AW569" s="163">
        <f t="shared" si="338"/>
        <v>7168.2833626677693</v>
      </c>
      <c r="AX569" s="163">
        <f t="shared" si="339"/>
        <v>0</v>
      </c>
      <c r="AY569" s="164">
        <f t="shared" si="360"/>
        <v>69005.144752971217</v>
      </c>
      <c r="AZ569" s="164">
        <f>IF($E569="","",IF(OR(AND($D569=Input!$C$6,$C569=12),$AN569=1),0,-AS570+AT570+AU570-AV570-AW570-AX570+AZ570))</f>
        <v>69005.176411951237</v>
      </c>
      <c r="BA569" s="154">
        <f t="shared" si="340"/>
        <v>3.1658980020438321E-2</v>
      </c>
      <c r="BC569" s="147">
        <f t="shared" si="361"/>
        <v>1.1856761247087123E-4</v>
      </c>
      <c r="BD569" s="164">
        <f>IF(AND($C568=12,$D568=Input!$C$6),0,IF($E569="","",AT569+(AU569+BD570)/(1+$AK569)*MIN((1-AM569-AN569),1)))</f>
        <v>59649.721559363519</v>
      </c>
      <c r="BE569" s="164">
        <f t="shared" si="341"/>
        <v>7.0725250698459865</v>
      </c>
      <c r="BF569" s="164">
        <f t="shared" si="362"/>
        <v>69005.176411951237</v>
      </c>
      <c r="BG569" s="164">
        <f t="shared" si="342"/>
        <v>8.181779015296339</v>
      </c>
      <c r="BH569" s="152"/>
      <c r="BI569" s="162">
        <f t="shared" si="343"/>
        <v>-12979.454659184512</v>
      </c>
      <c r="BJ569" s="150">
        <f t="shared" si="344"/>
        <v>47412.400000000009</v>
      </c>
      <c r="BK569" s="163">
        <f t="shared" si="366"/>
        <v>126.81717575977601</v>
      </c>
      <c r="BL569" s="163">
        <f t="shared" si="345"/>
        <v>4439.9640783943432</v>
      </c>
      <c r="BM569" s="163">
        <f t="shared" si="367"/>
        <v>123.68301684848232</v>
      </c>
      <c r="BN569" s="163">
        <f t="shared" si="346"/>
        <v>1393.4058904460071</v>
      </c>
      <c r="BO569" s="163">
        <f t="shared" si="347"/>
        <v>0</v>
      </c>
      <c r="BP569" s="164">
        <f t="shared" si="368"/>
        <v>31383.252993955866</v>
      </c>
      <c r="BQ569" s="164">
        <f>IF($E569="","",IF(AND($D569=Input!$C$6,$C569=12),0,-BJ570+BK570+BL570-BM570-BN570-BO570+BQ570))</f>
        <v>31383.269455412235</v>
      </c>
      <c r="BR569" s="161">
        <f t="shared" si="348"/>
        <v>0</v>
      </c>
      <c r="BT569" s="147">
        <f t="shared" si="349"/>
        <v>1.1856761247087123E-4</v>
      </c>
      <c r="BU569" s="164">
        <f>IF(AND($C568=12,$D568=Input!$C$6),0,IF($E569="","",BK569+(BL569+BU570)/(1+$AK569)*MIN((1-T569-U569),1)))</f>
        <v>79075.454646946891</v>
      </c>
      <c r="BV569" s="164">
        <f t="shared" si="350"/>
        <v>9.3757878625371518</v>
      </c>
      <c r="BW569" s="164">
        <f t="shared" si="351"/>
        <v>31383.269455412235</v>
      </c>
      <c r="BX569" s="164">
        <f t="shared" si="352"/>
        <v>3.7210393308582477</v>
      </c>
    </row>
    <row r="570" spans="1:76" s="150" customFormat="1" x14ac:dyDescent="0.25">
      <c r="A570" s="150">
        <f t="shared" si="363"/>
        <v>566</v>
      </c>
      <c r="B570" s="150">
        <f t="shared" si="364"/>
        <v>48</v>
      </c>
      <c r="C570" s="150">
        <f t="shared" si="365"/>
        <v>2</v>
      </c>
      <c r="D570" s="150">
        <f>IF(E570="","",Input!$C$4+B570-1)</f>
        <v>92</v>
      </c>
      <c r="E570" s="150">
        <f>IF(OR(AND(C569=12,D569=Input!$C$6),E569=""),"",1)</f>
        <v>1</v>
      </c>
      <c r="F570" s="150">
        <f>IF(E570="","",Input!$C$8+B570-1)</f>
        <v>2065</v>
      </c>
      <c r="G570" s="151">
        <f>IF(E570="","",MAX(0,Input!$C$9-B570))</f>
        <v>0</v>
      </c>
      <c r="H570" s="152">
        <f>IF(E570="","",Input!$C$3)</f>
        <v>100000</v>
      </c>
      <c r="I570" s="153">
        <f>IF(E570="","",HLOOKUP($B570,Input!$C$13:$BT$14,2))</f>
        <v>474.12400000000008</v>
      </c>
      <c r="J570" s="154"/>
      <c r="K570" s="155">
        <f>IF($E570="","",INDEX(Input!$C$16:$CP$16,1,$B570))</f>
        <v>3.2250000000000001E-2</v>
      </c>
      <c r="L570" s="155">
        <f>IF($E570="","",Input!$C$37)</f>
        <v>1.4999999999999999E-2</v>
      </c>
      <c r="M570" s="155">
        <f t="shared" si="369"/>
        <v>4.725E-2</v>
      </c>
      <c r="N570" s="155">
        <f t="shared" si="370"/>
        <v>3.8547171219420751E-3</v>
      </c>
      <c r="O570" s="147">
        <f>IF($E570="","",MIN(VLOOKUP(IF($B570&lt;=Input!$C$7,$B570,26),'Mortality Tables'!$A$41:$CW$67,IF($B570&lt;=Input!$C$7+1,Input!$C$4+2,$D570-Input!$C$7+2),0)*IF(B570&gt;20,Input!$C$22,1)/1000,1))</f>
        <v>0.53176480000000004</v>
      </c>
      <c r="P570" s="147">
        <f>IF($E570="","",MIN(VLOOKUP(IF($B570&lt;=Input!$C$7,$B570,26),'Mortality Tables'!$A$12:$CW$37,IF($B570&lt;=Input!$C$7+1,Input!$C$4+2,$D570-Input!$C$7+2),0)*IF(B570&gt;20,Input!$C$22,1)/1000,1))</f>
        <v>0.66470600000000002</v>
      </c>
      <c r="Q570" s="155">
        <f>IF($E570="","",Input!$C$21)</f>
        <v>5.0000000000000001E-3</v>
      </c>
      <c r="R570" s="159">
        <f>IF($E570="","",(1-Q570)^($F570-Input!$C$20))</f>
        <v>0.79010497254702838</v>
      </c>
      <c r="S570" s="147">
        <f t="shared" si="331"/>
        <v>0.42015001270547608</v>
      </c>
      <c r="T570" s="147">
        <f t="shared" si="332"/>
        <v>4.4399640783943428E-2</v>
      </c>
      <c r="U570" s="160">
        <f>IF($E570="","",IF($C570=12,INDEX(Input!$C$15:$CP$15,1,$B570),0))</f>
        <v>0</v>
      </c>
      <c r="V570" s="150">
        <f>IF(E570="","",IF(C570=1,IF($B570=1,Input!$C$33,Input!$C$34),0))</f>
        <v>0</v>
      </c>
      <c r="W570" s="156">
        <f>IF($E570="","",Input!$C$35)</f>
        <v>0.02</v>
      </c>
      <c r="X570" s="156">
        <f t="shared" si="371"/>
        <v>2.53634351519552</v>
      </c>
      <c r="Y570" s="154"/>
      <c r="Z570" s="147">
        <f>IF($E570="","",VLOOKUP($D570,'Mortality Margins &amp; Grading'!$AB$5:$AF$125,3,0)*IF(Summary!$D$25="Included Margin",IF(AND($B570&gt;Input!$C$9,Summary!$D$31&lt;&gt;"Included Margin"),0,1),0))</f>
        <v>0.02</v>
      </c>
      <c r="AA570" s="147">
        <f>IF($E570="","",VLOOKUP($D570,'Mortality Margins &amp; Grading'!$AB$5:$AF$125,5,0)*IF(Summary!$D$25="Included Margin",IF(AND($B570&gt;Input!$C$9,Summary!$D$31&lt;&gt;"Included Margin"),0,1),0))</f>
        <v>0.10100000000000001</v>
      </c>
      <c r="AB570" s="147">
        <f>IF($E570="","",IF(AND($B570&gt;Input!$C$9,Summary!$D$31&lt;&gt;"Included Margin"),1,IF(Summary!$D$25="Included Margin",VLOOKUP($B570,'Mortality Margins &amp; Grading'!$AI$5:$AR$125,MATCH('Mortality Margins &amp; Grading'!$AQ$4,'Mortality Margins &amp; Grading'!$AI$4:$AR$4,0),0),1)))</f>
        <v>0</v>
      </c>
      <c r="AC570" s="154"/>
      <c r="AD570" s="158">
        <f>IF(E570="","",Input!$C$48*IF(Summary!$D$30="Included Margin",IF(AND($B570&gt;Input!$C$9,Summary!$D$31&lt;&gt;"Included Margin"),0,1),0))</f>
        <v>-4.4999999999999997E-3</v>
      </c>
      <c r="AE570" s="159">
        <f>IF(E570="","",IF(Summary!$D$26="Included Margin",IF(AND($B570&gt;Input!$C$9,Summary!$D$31&lt;&gt;"Included Margin"),1,1/$R570),1))</f>
        <v>1.2656546088760101</v>
      </c>
      <c r="AF570" s="160">
        <f>IF(E570="","",IF(AND($B570&gt;=Input!$C$9,$C570=12,Summary!$D$31="Included Margin",$U570&gt;0),1/U570-1,IF($B570&gt;=Input!$C$9,0,Input!$C$45*IF(Summary!$D$27="Included Margin",1,0))))</f>
        <v>0</v>
      </c>
      <c r="AG570" s="160">
        <f>IF(E570="","",Input!$C$46*IF(Summary!$D$28="Included Margin",IF(AND($B570&gt;Input!$C$9,Summary!$D$31&lt;&gt;"Included Margin"),0,1),0))</f>
        <v>0.02</v>
      </c>
      <c r="AH570" s="158">
        <f>IF(E570="","",Input!$C$47*IF(Summary!$D$29="Included Margin",IF(AND($B570&gt;Input!$C$9,Summary!$D$31&lt;&gt;"Included Margin"),0,1),0))</f>
        <v>2.5000000000000001E-3</v>
      </c>
      <c r="AI570" s="154"/>
      <c r="AJ570" s="158">
        <f t="shared" si="353"/>
        <v>4.2750000000000003E-2</v>
      </c>
      <c r="AK570" s="155">
        <f t="shared" si="354"/>
        <v>3.4945462468616295E-3</v>
      </c>
      <c r="AL570" s="147">
        <f t="shared" si="355"/>
        <v>0.73184130599999986</v>
      </c>
      <c r="AM570" s="147">
        <f t="shared" si="333"/>
        <v>0.10388037152276985</v>
      </c>
      <c r="AN570" s="160">
        <f t="shared" si="356"/>
        <v>0</v>
      </c>
      <c r="AO570" s="161">
        <f t="shared" si="357"/>
        <v>0</v>
      </c>
      <c r="AP570" s="156">
        <f t="shared" si="334"/>
        <v>2.845613312557282</v>
      </c>
      <c r="AQ570" s="152"/>
      <c r="AR570" s="162">
        <f t="shared" si="335"/>
        <v>69005.144752971231</v>
      </c>
      <c r="AS570" s="150">
        <f t="shared" si="358"/>
        <v>0</v>
      </c>
      <c r="AT570" s="163">
        <f t="shared" si="336"/>
        <v>0</v>
      </c>
      <c r="AU570" s="163">
        <f t="shared" si="337"/>
        <v>10388.037152276986</v>
      </c>
      <c r="AV570" s="163">
        <f t="shared" si="359"/>
        <v>222.99093148926474</v>
      </c>
      <c r="AW570" s="163">
        <f t="shared" si="338"/>
        <v>6820.8913078858241</v>
      </c>
      <c r="AX570" s="163">
        <f t="shared" si="339"/>
        <v>0</v>
      </c>
      <c r="AY570" s="165">
        <f t="shared" si="360"/>
        <v>65660.989840069335</v>
      </c>
      <c r="AZ570" s="164">
        <f>IF($E570="","",IF(OR(AND($D570=Input!$C$6,$C570=12),$AN570=1),0,-AS571+AT571+AU571-AV571-AW571-AX571+AZ571))</f>
        <v>65661.02149904934</v>
      </c>
      <c r="BA570" s="154">
        <f t="shared" si="340"/>
        <v>3.1658980005886406E-2</v>
      </c>
      <c r="BC570" s="147">
        <f t="shared" si="361"/>
        <v>1.1330325306855473E-4</v>
      </c>
      <c r="BD570" s="164">
        <f>IF(AND($C569=12,$D569=Input!$C$6),0,IF($E570="","",AT570+(AU570+BD571)/(1+$AK570)*MIN((1-AM570-AN570),1)))</f>
        <v>56246.522501326879</v>
      </c>
      <c r="BE570" s="164">
        <f t="shared" si="341"/>
        <v>6.372913973193997</v>
      </c>
      <c r="BF570" s="164">
        <f t="shared" si="362"/>
        <v>65661.02149904934</v>
      </c>
      <c r="BG570" s="164">
        <f t="shared" si="342"/>
        <v>7.4396073356465999</v>
      </c>
      <c r="BH570" s="152"/>
      <c r="BI570" s="162">
        <f t="shared" si="343"/>
        <v>31383.252993955863</v>
      </c>
      <c r="BJ570" s="150">
        <f t="shared" si="344"/>
        <v>0</v>
      </c>
      <c r="BK570" s="163">
        <f t="shared" si="366"/>
        <v>0</v>
      </c>
      <c r="BL570" s="163">
        <f t="shared" si="345"/>
        <v>4439.9640783943432</v>
      </c>
      <c r="BM570" s="163">
        <f t="shared" si="367"/>
        <v>112.41615988114434</v>
      </c>
      <c r="BN570" s="163">
        <f t="shared" si="346"/>
        <v>1257.0781350210011</v>
      </c>
      <c r="BO570" s="163">
        <f t="shared" si="347"/>
        <v>0</v>
      </c>
      <c r="BP570" s="164">
        <f t="shared" si="368"/>
        <v>28312.783210463665</v>
      </c>
      <c r="BQ570" s="164">
        <f>IF($E570="","",IF(AND($D570=Input!$C$6,$C570=12),0,-BJ571+BK571+BL571-BM571-BN571-BO571+BQ571))</f>
        <v>28312.799671920038</v>
      </c>
      <c r="BR570" s="161">
        <f t="shared" si="348"/>
        <v>0</v>
      </c>
      <c r="BT570" s="147">
        <f t="shared" si="349"/>
        <v>1.1330325306855473E-4</v>
      </c>
      <c r="BU570" s="164">
        <f>IF(AND($C569=12,$D569=Input!$C$6),0,IF($E570="","",BK570+(BL570+BU571)/(1+$AK570)*MIN((1-T570-U570),1)))</f>
        <v>78465.53754882366</v>
      </c>
      <c r="BV570" s="164">
        <f t="shared" si="350"/>
        <v>8.8904006580545509</v>
      </c>
      <c r="BW570" s="164">
        <f t="shared" si="351"/>
        <v>28312.799671920038</v>
      </c>
      <c r="BX570" s="164">
        <f t="shared" si="352"/>
        <v>3.2079323063068492</v>
      </c>
    </row>
    <row r="571" spans="1:76" s="150" customFormat="1" x14ac:dyDescent="0.25">
      <c r="A571" s="150">
        <f t="shared" si="363"/>
        <v>567</v>
      </c>
      <c r="B571" s="150">
        <f t="shared" si="364"/>
        <v>48</v>
      </c>
      <c r="C571" s="150">
        <f t="shared" si="365"/>
        <v>3</v>
      </c>
      <c r="D571" s="150">
        <f>IF(E571="","",Input!$C$4+B571-1)</f>
        <v>92</v>
      </c>
      <c r="E571" s="150">
        <f>IF(OR(AND(C570=12,D570=Input!$C$6),E570=""),"",1)</f>
        <v>1</v>
      </c>
      <c r="F571" s="150">
        <f>IF(E571="","",Input!$C$8+B571-1)</f>
        <v>2065</v>
      </c>
      <c r="G571" s="151">
        <f>IF(E571="","",MAX(0,Input!$C$9-B571))</f>
        <v>0</v>
      </c>
      <c r="H571" s="152">
        <f>IF(E571="","",Input!$C$3)</f>
        <v>100000</v>
      </c>
      <c r="I571" s="153">
        <f>IF(E571="","",HLOOKUP($B571,Input!$C$13:$BT$14,2))</f>
        <v>474.12400000000008</v>
      </c>
      <c r="J571" s="154"/>
      <c r="K571" s="155">
        <f>IF($E571="","",INDEX(Input!$C$16:$CP$16,1,$B571))</f>
        <v>3.2250000000000001E-2</v>
      </c>
      <c r="L571" s="155">
        <f>IF($E571="","",Input!$C$37)</f>
        <v>1.4999999999999999E-2</v>
      </c>
      <c r="M571" s="155">
        <f t="shared" si="369"/>
        <v>4.725E-2</v>
      </c>
      <c r="N571" s="155">
        <f t="shared" si="370"/>
        <v>3.8547171219420751E-3</v>
      </c>
      <c r="O571" s="147">
        <f>IF($E571="","",MIN(VLOOKUP(IF($B571&lt;=Input!$C$7,$B571,26),'Mortality Tables'!$A$41:$CW$67,IF($B571&lt;=Input!$C$7+1,Input!$C$4+2,$D571-Input!$C$7+2),0)*IF(B571&gt;20,Input!$C$22,1)/1000,1))</f>
        <v>0.53176480000000004</v>
      </c>
      <c r="P571" s="147">
        <f>IF($E571="","",MIN(VLOOKUP(IF($B571&lt;=Input!$C$7,$B571,26),'Mortality Tables'!$A$12:$CW$37,IF($B571&lt;=Input!$C$7+1,Input!$C$4+2,$D571-Input!$C$7+2),0)*IF(B571&gt;20,Input!$C$22,1)/1000,1))</f>
        <v>0.66470600000000002</v>
      </c>
      <c r="Q571" s="155">
        <f>IF($E571="","",Input!$C$21)</f>
        <v>5.0000000000000001E-3</v>
      </c>
      <c r="R571" s="159">
        <f>IF($E571="","",(1-Q571)^($F571-Input!$C$20))</f>
        <v>0.79010497254702838</v>
      </c>
      <c r="S571" s="147">
        <f t="shared" si="331"/>
        <v>0.42015001270547608</v>
      </c>
      <c r="T571" s="147">
        <f t="shared" si="332"/>
        <v>4.4399640783943428E-2</v>
      </c>
      <c r="U571" s="160">
        <f>IF($E571="","",IF($C571=12,INDEX(Input!$C$15:$CP$15,1,$B571),0))</f>
        <v>0</v>
      </c>
      <c r="V571" s="150">
        <f>IF(E571="","",IF(C571=1,IF($B571=1,Input!$C$33,Input!$C$34),0))</f>
        <v>0</v>
      </c>
      <c r="W571" s="156">
        <f>IF($E571="","",Input!$C$35)</f>
        <v>0.02</v>
      </c>
      <c r="X571" s="156">
        <f t="shared" si="371"/>
        <v>2.53634351519552</v>
      </c>
      <c r="Y571" s="154"/>
      <c r="Z571" s="147">
        <f>IF($E571="","",VLOOKUP($D571,'Mortality Margins &amp; Grading'!$AB$5:$AF$125,3,0)*IF(Summary!$D$25="Included Margin",IF(AND($B571&gt;Input!$C$9,Summary!$D$31&lt;&gt;"Included Margin"),0,1),0))</f>
        <v>0.02</v>
      </c>
      <c r="AA571" s="147">
        <f>IF($E571="","",VLOOKUP($D571,'Mortality Margins &amp; Grading'!$AB$5:$AF$125,5,0)*IF(Summary!$D$25="Included Margin",IF(AND($B571&gt;Input!$C$9,Summary!$D$31&lt;&gt;"Included Margin"),0,1),0))</f>
        <v>0.10100000000000001</v>
      </c>
      <c r="AB571" s="147">
        <f>IF($E571="","",IF(AND($B571&gt;Input!$C$9,Summary!$D$31&lt;&gt;"Included Margin"),1,IF(Summary!$D$25="Included Margin",VLOOKUP($B571,'Mortality Margins &amp; Grading'!$AI$5:$AR$125,MATCH('Mortality Margins &amp; Grading'!$AQ$4,'Mortality Margins &amp; Grading'!$AI$4:$AR$4,0),0),1)))</f>
        <v>0</v>
      </c>
      <c r="AC571" s="154"/>
      <c r="AD571" s="158">
        <f>IF(E571="","",Input!$C$48*IF(Summary!$D$30="Included Margin",IF(AND($B571&gt;Input!$C$9,Summary!$D$31&lt;&gt;"Included Margin"),0,1),0))</f>
        <v>-4.4999999999999997E-3</v>
      </c>
      <c r="AE571" s="159">
        <f>IF(E571="","",IF(Summary!$D$26="Included Margin",IF(AND($B571&gt;Input!$C$9,Summary!$D$31&lt;&gt;"Included Margin"),1,1/$R571),1))</f>
        <v>1.2656546088760101</v>
      </c>
      <c r="AF571" s="160">
        <f>IF(E571="","",IF(AND($B571&gt;=Input!$C$9,$C571=12,Summary!$D$31="Included Margin",$U571&gt;0),1/U571-1,IF($B571&gt;=Input!$C$9,0,Input!$C$45*IF(Summary!$D$27="Included Margin",1,0))))</f>
        <v>0</v>
      </c>
      <c r="AG571" s="160">
        <f>IF(E571="","",Input!$C$46*IF(Summary!$D$28="Included Margin",IF(AND($B571&gt;Input!$C$9,Summary!$D$31&lt;&gt;"Included Margin"),0,1),0))</f>
        <v>0.02</v>
      </c>
      <c r="AH571" s="158">
        <f>IF(E571="","",Input!$C$47*IF(Summary!$D$29="Included Margin",IF(AND($B571&gt;Input!$C$9,Summary!$D$31&lt;&gt;"Included Margin"),0,1),0))</f>
        <v>2.5000000000000001E-3</v>
      </c>
      <c r="AI571" s="154"/>
      <c r="AJ571" s="158">
        <f t="shared" si="353"/>
        <v>4.2750000000000003E-2</v>
      </c>
      <c r="AK571" s="155">
        <f t="shared" si="354"/>
        <v>3.4945462468616295E-3</v>
      </c>
      <c r="AL571" s="147">
        <f t="shared" si="355"/>
        <v>0.73184130599999986</v>
      </c>
      <c r="AM571" s="147">
        <f t="shared" si="333"/>
        <v>0.10388037152276985</v>
      </c>
      <c r="AN571" s="160">
        <f t="shared" si="356"/>
        <v>0</v>
      </c>
      <c r="AO571" s="161">
        <f t="shared" si="357"/>
        <v>0</v>
      </c>
      <c r="AP571" s="156">
        <f t="shared" si="334"/>
        <v>2.845613312557282</v>
      </c>
      <c r="AQ571" s="152"/>
      <c r="AR571" s="162">
        <f t="shared" si="335"/>
        <v>65660.989840069335</v>
      </c>
      <c r="AS571" s="150">
        <f t="shared" si="358"/>
        <v>0</v>
      </c>
      <c r="AT571" s="163">
        <f t="shared" si="336"/>
        <v>0</v>
      </c>
      <c r="AU571" s="163">
        <f t="shared" si="337"/>
        <v>10388.037152276986</v>
      </c>
      <c r="AV571" s="163">
        <f t="shared" si="359"/>
        <v>211.30462748945953</v>
      </c>
      <c r="AW571" s="163">
        <f t="shared" si="338"/>
        <v>6431.874014541233</v>
      </c>
      <c r="AX571" s="163">
        <f t="shared" si="339"/>
        <v>0</v>
      </c>
      <c r="AY571" s="164">
        <f t="shared" si="360"/>
        <v>61916.131329823038</v>
      </c>
      <c r="AZ571" s="164">
        <f>IF($E571="","",IF(OR(AND($D571=Input!$C$6,$C571=12),$AN571=1),0,-AS572+AT572+AU572-AV572-AW572-AX572+AZ572))</f>
        <v>61916.162988803051</v>
      </c>
      <c r="BA571" s="154">
        <f t="shared" si="340"/>
        <v>3.1658980013162363E-2</v>
      </c>
      <c r="BC571" s="147">
        <f t="shared" si="361"/>
        <v>1.0827262933265867E-4</v>
      </c>
      <c r="BD571" s="164">
        <f>IF(AND($C570=12,$D570=Input!$C$6),0,IF($E571="","",AT571+(AU571+BD572)/(1+$AK571)*MIN((1-AM571-AN571),1)))</f>
        <v>52598.060665205536</v>
      </c>
      <c r="BE571" s="164">
        <f t="shared" si="341"/>
        <v>5.6949303260204927</v>
      </c>
      <c r="BF571" s="164">
        <f t="shared" si="362"/>
        <v>61916.162988803051</v>
      </c>
      <c r="BG571" s="164">
        <f t="shared" si="342"/>
        <v>6.703825764987152</v>
      </c>
      <c r="BH571" s="152"/>
      <c r="BI571" s="162">
        <f t="shared" si="343"/>
        <v>28312.783210463665</v>
      </c>
      <c r="BJ571" s="150">
        <f t="shared" si="344"/>
        <v>0</v>
      </c>
      <c r="BK571" s="163">
        <f t="shared" si="366"/>
        <v>0</v>
      </c>
      <c r="BL571" s="163">
        <f t="shared" si="345"/>
        <v>4439.9640783943432</v>
      </c>
      <c r="BM571" s="163">
        <f t="shared" si="367"/>
        <v>100.58036743431119</v>
      </c>
      <c r="BN571" s="163">
        <f t="shared" si="346"/>
        <v>1113.866321590637</v>
      </c>
      <c r="BO571" s="163">
        <f t="shared" si="347"/>
        <v>0</v>
      </c>
      <c r="BP571" s="164">
        <f t="shared" si="368"/>
        <v>25087.265821094272</v>
      </c>
      <c r="BQ571" s="164">
        <f>IF($E571="","",IF(AND($D571=Input!$C$6,$C571=12),0,-BJ572+BK572+BL572-BM572-BN572-BO572+BQ572))</f>
        <v>25087.282282550645</v>
      </c>
      <c r="BR571" s="161">
        <f t="shared" si="348"/>
        <v>0</v>
      </c>
      <c r="BT571" s="147">
        <f t="shared" si="349"/>
        <v>1.0827262933265867E-4</v>
      </c>
      <c r="BU571" s="164">
        <f>IF(AND($C570=12,$D570=Input!$C$6),0,IF($E571="","",BK571+(BL571+BU572)/(1+$AK571)*MIN((1-T571-U571),1)))</f>
        <v>77958.224912627382</v>
      </c>
      <c r="BV571" s="164">
        <f t="shared" si="350"/>
        <v>8.4407419893969404</v>
      </c>
      <c r="BW571" s="164">
        <f t="shared" si="351"/>
        <v>25087.282282550645</v>
      </c>
      <c r="BX571" s="164">
        <f t="shared" si="352"/>
        <v>2.7162660155423812</v>
      </c>
    </row>
    <row r="572" spans="1:76" s="150" customFormat="1" x14ac:dyDescent="0.25">
      <c r="A572" s="150">
        <f t="shared" si="363"/>
        <v>568</v>
      </c>
      <c r="B572" s="150">
        <f t="shared" si="364"/>
        <v>48</v>
      </c>
      <c r="C572" s="150">
        <f t="shared" si="365"/>
        <v>4</v>
      </c>
      <c r="D572" s="150">
        <f>IF(E572="","",Input!$C$4+B572-1)</f>
        <v>92</v>
      </c>
      <c r="E572" s="150">
        <f>IF(OR(AND(C571=12,D571=Input!$C$6),E571=""),"",1)</f>
        <v>1</v>
      </c>
      <c r="F572" s="150">
        <f>IF(E572="","",Input!$C$8+B572-1)</f>
        <v>2065</v>
      </c>
      <c r="G572" s="151">
        <f>IF(E572="","",MAX(0,Input!$C$9-B572))</f>
        <v>0</v>
      </c>
      <c r="H572" s="152">
        <f>IF(E572="","",Input!$C$3)</f>
        <v>100000</v>
      </c>
      <c r="I572" s="153">
        <f>IF(E572="","",HLOOKUP($B572,Input!$C$13:$BT$14,2))</f>
        <v>474.12400000000008</v>
      </c>
      <c r="J572" s="154"/>
      <c r="K572" s="155">
        <f>IF($E572="","",INDEX(Input!$C$16:$CP$16,1,$B572))</f>
        <v>3.2250000000000001E-2</v>
      </c>
      <c r="L572" s="155">
        <f>IF($E572="","",Input!$C$37)</f>
        <v>1.4999999999999999E-2</v>
      </c>
      <c r="M572" s="155">
        <f t="shared" si="369"/>
        <v>4.725E-2</v>
      </c>
      <c r="N572" s="155">
        <f t="shared" si="370"/>
        <v>3.8547171219420751E-3</v>
      </c>
      <c r="O572" s="147">
        <f>IF($E572="","",MIN(VLOOKUP(IF($B572&lt;=Input!$C$7,$B572,26),'Mortality Tables'!$A$41:$CW$67,IF($B572&lt;=Input!$C$7+1,Input!$C$4+2,$D572-Input!$C$7+2),0)*IF(B572&gt;20,Input!$C$22,1)/1000,1))</f>
        <v>0.53176480000000004</v>
      </c>
      <c r="P572" s="147">
        <f>IF($E572="","",MIN(VLOOKUP(IF($B572&lt;=Input!$C$7,$B572,26),'Mortality Tables'!$A$12:$CW$37,IF($B572&lt;=Input!$C$7+1,Input!$C$4+2,$D572-Input!$C$7+2),0)*IF(B572&gt;20,Input!$C$22,1)/1000,1))</f>
        <v>0.66470600000000002</v>
      </c>
      <c r="Q572" s="155">
        <f>IF($E572="","",Input!$C$21)</f>
        <v>5.0000000000000001E-3</v>
      </c>
      <c r="R572" s="159">
        <f>IF($E572="","",(1-Q572)^($F572-Input!$C$20))</f>
        <v>0.79010497254702838</v>
      </c>
      <c r="S572" s="147">
        <f t="shared" si="331"/>
        <v>0.42015001270547608</v>
      </c>
      <c r="T572" s="147">
        <f t="shared" si="332"/>
        <v>4.4399640783943428E-2</v>
      </c>
      <c r="U572" s="160">
        <f>IF($E572="","",IF($C572=12,INDEX(Input!$C$15:$CP$15,1,$B572),0))</f>
        <v>0</v>
      </c>
      <c r="V572" s="150">
        <f>IF(E572="","",IF(C572=1,IF($B572=1,Input!$C$33,Input!$C$34),0))</f>
        <v>0</v>
      </c>
      <c r="W572" s="156">
        <f>IF($E572="","",Input!$C$35)</f>
        <v>0.02</v>
      </c>
      <c r="X572" s="156">
        <f t="shared" si="371"/>
        <v>2.53634351519552</v>
      </c>
      <c r="Y572" s="154"/>
      <c r="Z572" s="147">
        <f>IF($E572="","",VLOOKUP($D572,'Mortality Margins &amp; Grading'!$AB$5:$AF$125,3,0)*IF(Summary!$D$25="Included Margin",IF(AND($B572&gt;Input!$C$9,Summary!$D$31&lt;&gt;"Included Margin"),0,1),0))</f>
        <v>0.02</v>
      </c>
      <c r="AA572" s="147">
        <f>IF($E572="","",VLOOKUP($D572,'Mortality Margins &amp; Grading'!$AB$5:$AF$125,5,0)*IF(Summary!$D$25="Included Margin",IF(AND($B572&gt;Input!$C$9,Summary!$D$31&lt;&gt;"Included Margin"),0,1),0))</f>
        <v>0.10100000000000001</v>
      </c>
      <c r="AB572" s="147">
        <f>IF($E572="","",IF(AND($B572&gt;Input!$C$9,Summary!$D$31&lt;&gt;"Included Margin"),1,IF(Summary!$D$25="Included Margin",VLOOKUP($B572,'Mortality Margins &amp; Grading'!$AI$5:$AR$125,MATCH('Mortality Margins &amp; Grading'!$AQ$4,'Mortality Margins &amp; Grading'!$AI$4:$AR$4,0),0),1)))</f>
        <v>0</v>
      </c>
      <c r="AC572" s="154"/>
      <c r="AD572" s="158">
        <f>IF(E572="","",Input!$C$48*IF(Summary!$D$30="Included Margin",IF(AND($B572&gt;Input!$C$9,Summary!$D$31&lt;&gt;"Included Margin"),0,1),0))</f>
        <v>-4.4999999999999997E-3</v>
      </c>
      <c r="AE572" s="159">
        <f>IF(E572="","",IF(Summary!$D$26="Included Margin",IF(AND($B572&gt;Input!$C$9,Summary!$D$31&lt;&gt;"Included Margin"),1,1/$R572),1))</f>
        <v>1.2656546088760101</v>
      </c>
      <c r="AF572" s="160">
        <f>IF(E572="","",IF(AND($B572&gt;=Input!$C$9,$C572=12,Summary!$D$31="Included Margin",$U572&gt;0),1/U572-1,IF($B572&gt;=Input!$C$9,0,Input!$C$45*IF(Summary!$D$27="Included Margin",1,0))))</f>
        <v>0</v>
      </c>
      <c r="AG572" s="160">
        <f>IF(E572="","",Input!$C$46*IF(Summary!$D$28="Included Margin",IF(AND($B572&gt;Input!$C$9,Summary!$D$31&lt;&gt;"Included Margin"),0,1),0))</f>
        <v>0.02</v>
      </c>
      <c r="AH572" s="158">
        <f>IF(E572="","",Input!$C$47*IF(Summary!$D$29="Included Margin",IF(AND($B572&gt;Input!$C$9,Summary!$D$31&lt;&gt;"Included Margin"),0,1),0))</f>
        <v>2.5000000000000001E-3</v>
      </c>
      <c r="AI572" s="154"/>
      <c r="AJ572" s="158">
        <f t="shared" si="353"/>
        <v>4.2750000000000003E-2</v>
      </c>
      <c r="AK572" s="155">
        <f t="shared" si="354"/>
        <v>3.4945462468616295E-3</v>
      </c>
      <c r="AL572" s="147">
        <f t="shared" si="355"/>
        <v>0.73184130599999986</v>
      </c>
      <c r="AM572" s="147">
        <f t="shared" si="333"/>
        <v>0.10388037152276985</v>
      </c>
      <c r="AN572" s="160">
        <f t="shared" si="356"/>
        <v>0</v>
      </c>
      <c r="AO572" s="161">
        <f t="shared" si="357"/>
        <v>0</v>
      </c>
      <c r="AP572" s="156">
        <f t="shared" si="334"/>
        <v>2.845613312557282</v>
      </c>
      <c r="AQ572" s="152"/>
      <c r="AR572" s="162">
        <f t="shared" si="335"/>
        <v>61916.131329823053</v>
      </c>
      <c r="AS572" s="150">
        <f t="shared" si="358"/>
        <v>0</v>
      </c>
      <c r="AT572" s="163">
        <f t="shared" si="336"/>
        <v>0</v>
      </c>
      <c r="AU572" s="163">
        <f t="shared" si="337"/>
        <v>10388.037152276986</v>
      </c>
      <c r="AV572" s="163">
        <f t="shared" si="359"/>
        <v>198.21804623745055</v>
      </c>
      <c r="AW572" s="163">
        <f t="shared" si="338"/>
        <v>5996.2438599709367</v>
      </c>
      <c r="AX572" s="163">
        <f t="shared" si="339"/>
        <v>0</v>
      </c>
      <c r="AY572" s="165">
        <f t="shared" si="360"/>
        <v>57722.556083754454</v>
      </c>
      <c r="AZ572" s="164">
        <f>IF($E572="","",IF(OR(AND($D572=Input!$C$6,$C572=12),$AN572=1),0,-AS573+AT573+AU573-AV573-AW573-AX573+AZ573))</f>
        <v>57722.587742734453</v>
      </c>
      <c r="BA572" s="154">
        <f t="shared" si="340"/>
        <v>3.1658979998610448E-2</v>
      </c>
      <c r="BC572" s="147">
        <f t="shared" si="361"/>
        <v>1.0346536348355556E-4</v>
      </c>
      <c r="BD572" s="164">
        <f>IF(AND($C571=12,$D571=Input!$C$6),0,IF($E572="","",AT572+(AU572+BD573)/(1+$AK572)*MIN((1-AM572-AN572),1)))</f>
        <v>48512.432543255949</v>
      </c>
      <c r="BE572" s="164">
        <f t="shared" si="341"/>
        <v>5.0193564665594463</v>
      </c>
      <c r="BF572" s="164">
        <f t="shared" si="362"/>
        <v>57722.587742734453</v>
      </c>
      <c r="BG572" s="164">
        <f t="shared" si="342"/>
        <v>5.9722885220134492</v>
      </c>
      <c r="BH572" s="152"/>
      <c r="BI572" s="162">
        <f t="shared" si="343"/>
        <v>25087.265821094268</v>
      </c>
      <c r="BJ572" s="150">
        <f t="shared" si="344"/>
        <v>0</v>
      </c>
      <c r="BK572" s="163">
        <f t="shared" si="366"/>
        <v>0</v>
      </c>
      <c r="BL572" s="163">
        <f t="shared" si="345"/>
        <v>4439.9640783943432</v>
      </c>
      <c r="BM572" s="163">
        <f t="shared" si="367"/>
        <v>88.146910326387058</v>
      </c>
      <c r="BN572" s="163">
        <f t="shared" si="346"/>
        <v>963.42283015285875</v>
      </c>
      <c r="BO572" s="163">
        <f t="shared" si="347"/>
        <v>0</v>
      </c>
      <c r="BP572" s="164">
        <f t="shared" si="368"/>
        <v>21698.871483179173</v>
      </c>
      <c r="BQ572" s="164">
        <f>IF($E572="","",IF(AND($D572=Input!$C$6,$C572=12),0,-BJ573+BK573+BL573-BM573-BN573-BO573+BQ573))</f>
        <v>21698.887944635546</v>
      </c>
      <c r="BR572" s="161">
        <f t="shared" si="348"/>
        <v>0</v>
      </c>
      <c r="BT572" s="147">
        <f t="shared" si="349"/>
        <v>1.0346536348355556E-4</v>
      </c>
      <c r="BU572" s="164">
        <f>IF(AND($C571=12,$D571=Input!$C$6),0,IF($E572="","",BK572+(BL572+BU573)/(1+$AK572)*MIN((1-T572-U572),1)))</f>
        <v>77425.486034125162</v>
      </c>
      <c r="BV572" s="164">
        <f t="shared" si="350"/>
        <v>8.0108560554117147</v>
      </c>
      <c r="BW572" s="164">
        <f t="shared" si="351"/>
        <v>21698.887944635546</v>
      </c>
      <c r="BX572" s="164">
        <f t="shared" si="352"/>
        <v>2.2450833283806588</v>
      </c>
    </row>
    <row r="573" spans="1:76" s="150" customFormat="1" x14ac:dyDescent="0.25">
      <c r="A573" s="150">
        <f t="shared" si="363"/>
        <v>569</v>
      </c>
      <c r="B573" s="150">
        <f t="shared" si="364"/>
        <v>48</v>
      </c>
      <c r="C573" s="150">
        <f t="shared" si="365"/>
        <v>5</v>
      </c>
      <c r="D573" s="150">
        <f>IF(E573="","",Input!$C$4+B573-1)</f>
        <v>92</v>
      </c>
      <c r="E573" s="150">
        <f>IF(OR(AND(C572=12,D572=Input!$C$6),E572=""),"",1)</f>
        <v>1</v>
      </c>
      <c r="F573" s="150">
        <f>IF(E573="","",Input!$C$8+B573-1)</f>
        <v>2065</v>
      </c>
      <c r="G573" s="151">
        <f>IF(E573="","",MAX(0,Input!$C$9-B573))</f>
        <v>0</v>
      </c>
      <c r="H573" s="152">
        <f>IF(E573="","",Input!$C$3)</f>
        <v>100000</v>
      </c>
      <c r="I573" s="153">
        <f>IF(E573="","",HLOOKUP($B573,Input!$C$13:$BT$14,2))</f>
        <v>474.12400000000008</v>
      </c>
      <c r="J573" s="154"/>
      <c r="K573" s="155">
        <f>IF($E573="","",INDEX(Input!$C$16:$CP$16,1,$B573))</f>
        <v>3.2250000000000001E-2</v>
      </c>
      <c r="L573" s="155">
        <f>IF($E573="","",Input!$C$37)</f>
        <v>1.4999999999999999E-2</v>
      </c>
      <c r="M573" s="155">
        <f t="shared" si="369"/>
        <v>4.725E-2</v>
      </c>
      <c r="N573" s="155">
        <f t="shared" si="370"/>
        <v>3.8547171219420751E-3</v>
      </c>
      <c r="O573" s="147">
        <f>IF($E573="","",MIN(VLOOKUP(IF($B573&lt;=Input!$C$7,$B573,26),'Mortality Tables'!$A$41:$CW$67,IF($B573&lt;=Input!$C$7+1,Input!$C$4+2,$D573-Input!$C$7+2),0)*IF(B573&gt;20,Input!$C$22,1)/1000,1))</f>
        <v>0.53176480000000004</v>
      </c>
      <c r="P573" s="147">
        <f>IF($E573="","",MIN(VLOOKUP(IF($B573&lt;=Input!$C$7,$B573,26),'Mortality Tables'!$A$12:$CW$37,IF($B573&lt;=Input!$C$7+1,Input!$C$4+2,$D573-Input!$C$7+2),0)*IF(B573&gt;20,Input!$C$22,1)/1000,1))</f>
        <v>0.66470600000000002</v>
      </c>
      <c r="Q573" s="155">
        <f>IF($E573="","",Input!$C$21)</f>
        <v>5.0000000000000001E-3</v>
      </c>
      <c r="R573" s="159">
        <f>IF($E573="","",(1-Q573)^($F573-Input!$C$20))</f>
        <v>0.79010497254702838</v>
      </c>
      <c r="S573" s="147">
        <f t="shared" si="331"/>
        <v>0.42015001270547608</v>
      </c>
      <c r="T573" s="147">
        <f t="shared" si="332"/>
        <v>4.4399640783943428E-2</v>
      </c>
      <c r="U573" s="160">
        <f>IF($E573="","",IF($C573=12,INDEX(Input!$C$15:$CP$15,1,$B573),0))</f>
        <v>0</v>
      </c>
      <c r="V573" s="150">
        <f>IF(E573="","",IF(C573=1,IF($B573=1,Input!$C$33,Input!$C$34),0))</f>
        <v>0</v>
      </c>
      <c r="W573" s="156">
        <f>IF($E573="","",Input!$C$35)</f>
        <v>0.02</v>
      </c>
      <c r="X573" s="156">
        <f t="shared" si="371"/>
        <v>2.53634351519552</v>
      </c>
      <c r="Y573" s="154"/>
      <c r="Z573" s="147">
        <f>IF($E573="","",VLOOKUP($D573,'Mortality Margins &amp; Grading'!$AB$5:$AF$125,3,0)*IF(Summary!$D$25="Included Margin",IF(AND($B573&gt;Input!$C$9,Summary!$D$31&lt;&gt;"Included Margin"),0,1),0))</f>
        <v>0.02</v>
      </c>
      <c r="AA573" s="147">
        <f>IF($E573="","",VLOOKUP($D573,'Mortality Margins &amp; Grading'!$AB$5:$AF$125,5,0)*IF(Summary!$D$25="Included Margin",IF(AND($B573&gt;Input!$C$9,Summary!$D$31&lt;&gt;"Included Margin"),0,1),0))</f>
        <v>0.10100000000000001</v>
      </c>
      <c r="AB573" s="147">
        <f>IF($E573="","",IF(AND($B573&gt;Input!$C$9,Summary!$D$31&lt;&gt;"Included Margin"),1,IF(Summary!$D$25="Included Margin",VLOOKUP($B573,'Mortality Margins &amp; Grading'!$AI$5:$AR$125,MATCH('Mortality Margins &amp; Grading'!$AQ$4,'Mortality Margins &amp; Grading'!$AI$4:$AR$4,0),0),1)))</f>
        <v>0</v>
      </c>
      <c r="AC573" s="154"/>
      <c r="AD573" s="158">
        <f>IF(E573="","",Input!$C$48*IF(Summary!$D$30="Included Margin",IF(AND($B573&gt;Input!$C$9,Summary!$D$31&lt;&gt;"Included Margin"),0,1),0))</f>
        <v>-4.4999999999999997E-3</v>
      </c>
      <c r="AE573" s="159">
        <f>IF(E573="","",IF(Summary!$D$26="Included Margin",IF(AND($B573&gt;Input!$C$9,Summary!$D$31&lt;&gt;"Included Margin"),1,1/$R573),1))</f>
        <v>1.2656546088760101</v>
      </c>
      <c r="AF573" s="160">
        <f>IF(E573="","",IF(AND($B573&gt;=Input!$C$9,$C573=12,Summary!$D$31="Included Margin",$U573&gt;0),1/U573-1,IF($B573&gt;=Input!$C$9,0,Input!$C$45*IF(Summary!$D$27="Included Margin",1,0))))</f>
        <v>0</v>
      </c>
      <c r="AG573" s="160">
        <f>IF(E573="","",Input!$C$46*IF(Summary!$D$28="Included Margin",IF(AND($B573&gt;Input!$C$9,Summary!$D$31&lt;&gt;"Included Margin"),0,1),0))</f>
        <v>0.02</v>
      </c>
      <c r="AH573" s="158">
        <f>IF(E573="","",Input!$C$47*IF(Summary!$D$29="Included Margin",IF(AND($B573&gt;Input!$C$9,Summary!$D$31&lt;&gt;"Included Margin"),0,1),0))</f>
        <v>2.5000000000000001E-3</v>
      </c>
      <c r="AI573" s="154"/>
      <c r="AJ573" s="158">
        <f t="shared" si="353"/>
        <v>4.2750000000000003E-2</v>
      </c>
      <c r="AK573" s="155">
        <f t="shared" si="354"/>
        <v>3.4945462468616295E-3</v>
      </c>
      <c r="AL573" s="147">
        <f t="shared" si="355"/>
        <v>0.73184130599999986</v>
      </c>
      <c r="AM573" s="147">
        <f t="shared" si="333"/>
        <v>0.10388037152276985</v>
      </c>
      <c r="AN573" s="160">
        <f t="shared" si="356"/>
        <v>0</v>
      </c>
      <c r="AO573" s="161">
        <f t="shared" si="357"/>
        <v>0</v>
      </c>
      <c r="AP573" s="156">
        <f t="shared" si="334"/>
        <v>2.845613312557282</v>
      </c>
      <c r="AQ573" s="152"/>
      <c r="AR573" s="162">
        <f t="shared" si="335"/>
        <v>57722.556083754447</v>
      </c>
      <c r="AS573" s="150">
        <f t="shared" si="358"/>
        <v>0</v>
      </c>
      <c r="AT573" s="163">
        <f t="shared" si="336"/>
        <v>0</v>
      </c>
      <c r="AU573" s="163">
        <f t="shared" si="337"/>
        <v>10388.037152276986</v>
      </c>
      <c r="AV573" s="163">
        <f t="shared" si="359"/>
        <v>183.56340360036967</v>
      </c>
      <c r="AW573" s="163">
        <f t="shared" si="338"/>
        <v>5508.4155941903728</v>
      </c>
      <c r="AX573" s="163">
        <f t="shared" si="339"/>
        <v>0</v>
      </c>
      <c r="AY573" s="164">
        <f t="shared" si="360"/>
        <v>53026.497929268204</v>
      </c>
      <c r="AZ573" s="164">
        <f>IF($E573="","",IF(OR(AND($D573=Input!$C$6,$C573=12),$AN573=1),0,-AS574+AT574+AU574-AV574-AW574-AX574+AZ574))</f>
        <v>53026.52958824821</v>
      </c>
      <c r="BA573" s="154">
        <f t="shared" si="340"/>
        <v>3.1658980005886406E-2</v>
      </c>
      <c r="BC573" s="147">
        <f t="shared" si="361"/>
        <v>9.8871538511305558E-5</v>
      </c>
      <c r="BD573" s="164">
        <f>IF(AND($C572=12,$D572=Input!$C$6),0,IF($E573="","",AT573+(AU573+BD574)/(1+$AK573)*MIN((1-AM573-AN573),1)))</f>
        <v>43937.25596182546</v>
      </c>
      <c r="BE573" s="164">
        <f t="shared" si="341"/>
        <v>4.3441440949107157</v>
      </c>
      <c r="BF573" s="164">
        <f t="shared" si="362"/>
        <v>53026.52958824821</v>
      </c>
      <c r="BG573" s="164">
        <f t="shared" si="342"/>
        <v>5.2428145623053668</v>
      </c>
      <c r="BH573" s="152"/>
      <c r="BI573" s="162">
        <f t="shared" si="343"/>
        <v>21698.871483179173</v>
      </c>
      <c r="BJ573" s="150">
        <f t="shared" si="344"/>
        <v>0</v>
      </c>
      <c r="BK573" s="163">
        <f t="shared" si="366"/>
        <v>0</v>
      </c>
      <c r="BL573" s="163">
        <f t="shared" si="345"/>
        <v>4439.9640783943432</v>
      </c>
      <c r="BM573" s="163">
        <f t="shared" si="367"/>
        <v>75.085608656134156</v>
      </c>
      <c r="BN573" s="163">
        <f t="shared" si="346"/>
        <v>805.38248715424083</v>
      </c>
      <c r="BO573" s="163">
        <f t="shared" si="347"/>
        <v>0</v>
      </c>
      <c r="BP573" s="164">
        <f t="shared" si="368"/>
        <v>18139.375500595204</v>
      </c>
      <c r="BQ573" s="164">
        <f>IF($E573="","",IF(AND($D573=Input!$C$6,$C573=12),0,-BJ574+BK574+BL574-BM574-BN574-BO574+BQ574))</f>
        <v>18139.391962051577</v>
      </c>
      <c r="BR573" s="161">
        <f t="shared" si="348"/>
        <v>0</v>
      </c>
      <c r="BT573" s="147">
        <f t="shared" si="349"/>
        <v>9.8871538511305558E-5</v>
      </c>
      <c r="BU573" s="164">
        <f>IF(AND($C572=12,$D572=Input!$C$6),0,IF($E573="","",BK573+(BL573+BU574)/(1+$AK573)*MIN((1-T573-U573),1)))</f>
        <v>76866.046563435521</v>
      </c>
      <c r="BV573" s="164">
        <f t="shared" si="350"/>
        <v>7.5998642830085217</v>
      </c>
      <c r="BW573" s="164">
        <f t="shared" si="351"/>
        <v>18139.391962051577</v>
      </c>
      <c r="BX573" s="164">
        <f t="shared" si="352"/>
        <v>1.793469590947649</v>
      </c>
    </row>
    <row r="574" spans="1:76" s="150" customFormat="1" x14ac:dyDescent="0.25">
      <c r="A574" s="150">
        <f t="shared" si="363"/>
        <v>570</v>
      </c>
      <c r="B574" s="150">
        <f t="shared" si="364"/>
        <v>48</v>
      </c>
      <c r="C574" s="150">
        <f t="shared" si="365"/>
        <v>6</v>
      </c>
      <c r="D574" s="150">
        <f>IF(E574="","",Input!$C$4+B574-1)</f>
        <v>92</v>
      </c>
      <c r="E574" s="150">
        <f>IF(OR(AND(C573=12,D573=Input!$C$6),E573=""),"",1)</f>
        <v>1</v>
      </c>
      <c r="F574" s="150">
        <f>IF(E574="","",Input!$C$8+B574-1)</f>
        <v>2065</v>
      </c>
      <c r="G574" s="151">
        <f>IF(E574="","",MAX(0,Input!$C$9-B574))</f>
        <v>0</v>
      </c>
      <c r="H574" s="152">
        <f>IF(E574="","",Input!$C$3)</f>
        <v>100000</v>
      </c>
      <c r="I574" s="153">
        <f>IF(E574="","",HLOOKUP($B574,Input!$C$13:$BT$14,2))</f>
        <v>474.12400000000008</v>
      </c>
      <c r="J574" s="154"/>
      <c r="K574" s="155">
        <f>IF($E574="","",INDEX(Input!$C$16:$CP$16,1,$B574))</f>
        <v>3.2250000000000001E-2</v>
      </c>
      <c r="L574" s="155">
        <f>IF($E574="","",Input!$C$37)</f>
        <v>1.4999999999999999E-2</v>
      </c>
      <c r="M574" s="155">
        <f t="shared" si="369"/>
        <v>4.725E-2</v>
      </c>
      <c r="N574" s="155">
        <f t="shared" si="370"/>
        <v>3.8547171219420751E-3</v>
      </c>
      <c r="O574" s="147">
        <f>IF($E574="","",MIN(VLOOKUP(IF($B574&lt;=Input!$C$7,$B574,26),'Mortality Tables'!$A$41:$CW$67,IF($B574&lt;=Input!$C$7+1,Input!$C$4+2,$D574-Input!$C$7+2),0)*IF(B574&gt;20,Input!$C$22,1)/1000,1))</f>
        <v>0.53176480000000004</v>
      </c>
      <c r="P574" s="147">
        <f>IF($E574="","",MIN(VLOOKUP(IF($B574&lt;=Input!$C$7,$B574,26),'Mortality Tables'!$A$12:$CW$37,IF($B574&lt;=Input!$C$7+1,Input!$C$4+2,$D574-Input!$C$7+2),0)*IF(B574&gt;20,Input!$C$22,1)/1000,1))</f>
        <v>0.66470600000000002</v>
      </c>
      <c r="Q574" s="155">
        <f>IF($E574="","",Input!$C$21)</f>
        <v>5.0000000000000001E-3</v>
      </c>
      <c r="R574" s="159">
        <f>IF($E574="","",(1-Q574)^($F574-Input!$C$20))</f>
        <v>0.79010497254702838</v>
      </c>
      <c r="S574" s="147">
        <f t="shared" si="331"/>
        <v>0.42015001270547608</v>
      </c>
      <c r="T574" s="147">
        <f t="shared" si="332"/>
        <v>4.4399640783943428E-2</v>
      </c>
      <c r="U574" s="160">
        <f>IF($E574="","",IF($C574=12,INDEX(Input!$C$15:$CP$15,1,$B574),0))</f>
        <v>0</v>
      </c>
      <c r="V574" s="150">
        <f>IF(E574="","",IF(C574=1,IF($B574=1,Input!$C$33,Input!$C$34),0))</f>
        <v>0</v>
      </c>
      <c r="W574" s="156">
        <f>IF($E574="","",Input!$C$35)</f>
        <v>0.02</v>
      </c>
      <c r="X574" s="156">
        <f t="shared" si="371"/>
        <v>2.53634351519552</v>
      </c>
      <c r="Y574" s="154"/>
      <c r="Z574" s="147">
        <f>IF($E574="","",VLOOKUP($D574,'Mortality Margins &amp; Grading'!$AB$5:$AF$125,3,0)*IF(Summary!$D$25="Included Margin",IF(AND($B574&gt;Input!$C$9,Summary!$D$31&lt;&gt;"Included Margin"),0,1),0))</f>
        <v>0.02</v>
      </c>
      <c r="AA574" s="147">
        <f>IF($E574="","",VLOOKUP($D574,'Mortality Margins &amp; Grading'!$AB$5:$AF$125,5,0)*IF(Summary!$D$25="Included Margin",IF(AND($B574&gt;Input!$C$9,Summary!$D$31&lt;&gt;"Included Margin"),0,1),0))</f>
        <v>0.10100000000000001</v>
      </c>
      <c r="AB574" s="147">
        <f>IF($E574="","",IF(AND($B574&gt;Input!$C$9,Summary!$D$31&lt;&gt;"Included Margin"),1,IF(Summary!$D$25="Included Margin",VLOOKUP($B574,'Mortality Margins &amp; Grading'!$AI$5:$AR$125,MATCH('Mortality Margins &amp; Grading'!$AQ$4,'Mortality Margins &amp; Grading'!$AI$4:$AR$4,0),0),1)))</f>
        <v>0</v>
      </c>
      <c r="AC574" s="154"/>
      <c r="AD574" s="158">
        <f>IF(E574="","",Input!$C$48*IF(Summary!$D$30="Included Margin",IF(AND($B574&gt;Input!$C$9,Summary!$D$31&lt;&gt;"Included Margin"),0,1),0))</f>
        <v>-4.4999999999999997E-3</v>
      </c>
      <c r="AE574" s="159">
        <f>IF(E574="","",IF(Summary!$D$26="Included Margin",IF(AND($B574&gt;Input!$C$9,Summary!$D$31&lt;&gt;"Included Margin"),1,1/$R574),1))</f>
        <v>1.2656546088760101</v>
      </c>
      <c r="AF574" s="160">
        <f>IF(E574="","",IF(AND($B574&gt;=Input!$C$9,$C574=12,Summary!$D$31="Included Margin",$U574&gt;0),1/U574-1,IF($B574&gt;=Input!$C$9,0,Input!$C$45*IF(Summary!$D$27="Included Margin",1,0))))</f>
        <v>0</v>
      </c>
      <c r="AG574" s="160">
        <f>IF(E574="","",Input!$C$46*IF(Summary!$D$28="Included Margin",IF(AND($B574&gt;Input!$C$9,Summary!$D$31&lt;&gt;"Included Margin"),0,1),0))</f>
        <v>0.02</v>
      </c>
      <c r="AH574" s="158">
        <f>IF(E574="","",Input!$C$47*IF(Summary!$D$29="Included Margin",IF(AND($B574&gt;Input!$C$9,Summary!$D$31&lt;&gt;"Included Margin"),0,1),0))</f>
        <v>2.5000000000000001E-3</v>
      </c>
      <c r="AI574" s="154"/>
      <c r="AJ574" s="158">
        <f t="shared" si="353"/>
        <v>4.2750000000000003E-2</v>
      </c>
      <c r="AK574" s="155">
        <f t="shared" si="354"/>
        <v>3.4945462468616295E-3</v>
      </c>
      <c r="AL574" s="147">
        <f t="shared" si="355"/>
        <v>0.73184130599999986</v>
      </c>
      <c r="AM574" s="147">
        <f t="shared" si="333"/>
        <v>0.10388037152276985</v>
      </c>
      <c r="AN574" s="160">
        <f t="shared" si="356"/>
        <v>0</v>
      </c>
      <c r="AO574" s="161">
        <f t="shared" si="357"/>
        <v>0</v>
      </c>
      <c r="AP574" s="156">
        <f t="shared" si="334"/>
        <v>2.845613312557282</v>
      </c>
      <c r="AQ574" s="152"/>
      <c r="AR574" s="162">
        <f t="shared" si="335"/>
        <v>53026.497929268204</v>
      </c>
      <c r="AS574" s="150">
        <f t="shared" si="358"/>
        <v>0</v>
      </c>
      <c r="AT574" s="163">
        <f t="shared" si="336"/>
        <v>0</v>
      </c>
      <c r="AU574" s="163">
        <f t="shared" si="337"/>
        <v>10388.037152276986</v>
      </c>
      <c r="AV574" s="163">
        <f t="shared" si="359"/>
        <v>167.15281120156581</v>
      </c>
      <c r="AW574" s="163">
        <f t="shared" si="338"/>
        <v>4962.1347309447801</v>
      </c>
      <c r="AX574" s="163">
        <f t="shared" si="339"/>
        <v>0</v>
      </c>
      <c r="AY574" s="165">
        <f t="shared" si="360"/>
        <v>47767.748319137565</v>
      </c>
      <c r="AZ574" s="164">
        <f>IF($E574="","",IF(OR(AND($D574=Input!$C$6,$C574=12),$AN574=1),0,-AS575+AT575+AU575-AV575-AW575-AX575+AZ575))</f>
        <v>47767.779978117571</v>
      </c>
      <c r="BA574" s="154">
        <f t="shared" si="340"/>
        <v>3.1658980005886406E-2</v>
      </c>
      <c r="BC574" s="147">
        <f t="shared" si="361"/>
        <v>9.4481677717647768E-5</v>
      </c>
      <c r="BD574" s="164">
        <f>IF(AND($C573=12,$D573=Input!$C$6),0,IF($E574="","",AT574+(AU574+BD575)/(1+$AK574)*MIN((1-AM574-AN574),1)))</f>
        <v>38813.872206261942</v>
      </c>
      <c r="BE574" s="164">
        <f t="shared" si="341"/>
        <v>3.6671997647660071</v>
      </c>
      <c r="BF574" s="164">
        <f t="shared" si="362"/>
        <v>47767.779978117571</v>
      </c>
      <c r="BG574" s="164">
        <f t="shared" si="342"/>
        <v>4.5131799931800121</v>
      </c>
      <c r="BH574" s="152"/>
      <c r="BI574" s="162">
        <f t="shared" si="343"/>
        <v>18139.375500595204</v>
      </c>
      <c r="BJ574" s="150">
        <f t="shared" si="344"/>
        <v>0</v>
      </c>
      <c r="BK574" s="163">
        <f t="shared" si="366"/>
        <v>0</v>
      </c>
      <c r="BL574" s="163">
        <f t="shared" si="345"/>
        <v>4439.9640783943432</v>
      </c>
      <c r="BM574" s="163">
        <f t="shared" si="367"/>
        <v>61.364758546583715</v>
      </c>
      <c r="BN574" s="163">
        <f t="shared" si="346"/>
        <v>639.36167909920482</v>
      </c>
      <c r="BO574" s="163">
        <f t="shared" si="347"/>
        <v>0</v>
      </c>
      <c r="BP574" s="164">
        <f t="shared" si="368"/>
        <v>14400.137859846651</v>
      </c>
      <c r="BQ574" s="164">
        <f>IF($E574="","",IF(AND($D574=Input!$C$6,$C574=12),0,-BJ575+BK575+BL575-BM575-BN575-BO575+BQ575))</f>
        <v>14400.154321303022</v>
      </c>
      <c r="BR574" s="161">
        <f t="shared" si="348"/>
        <v>0</v>
      </c>
      <c r="BT574" s="147">
        <f t="shared" si="349"/>
        <v>9.4481677717647768E-5</v>
      </c>
      <c r="BU574" s="164">
        <f>IF(AND($C573=12,$D573=Input!$C$6),0,IF($E574="","",BK574+(BL574+BU575)/(1+$AK574)*MIN((1-T574-U574),1)))</f>
        <v>76278.568280931708</v>
      </c>
      <c r="BV574" s="164">
        <f t="shared" si="350"/>
        <v>7.2069271050825794</v>
      </c>
      <c r="BW574" s="164">
        <f t="shared" si="351"/>
        <v>14400.154321303022</v>
      </c>
      <c r="BX574" s="164">
        <f t="shared" si="352"/>
        <v>1.3605507396697449</v>
      </c>
    </row>
    <row r="575" spans="1:76" s="150" customFormat="1" x14ac:dyDescent="0.25">
      <c r="A575" s="150">
        <f t="shared" si="363"/>
        <v>571</v>
      </c>
      <c r="B575" s="150">
        <f t="shared" si="364"/>
        <v>48</v>
      </c>
      <c r="C575" s="150">
        <f t="shared" si="365"/>
        <v>7</v>
      </c>
      <c r="D575" s="150">
        <f>IF(E575="","",Input!$C$4+B575-1)</f>
        <v>92</v>
      </c>
      <c r="E575" s="150">
        <f>IF(OR(AND(C574=12,D574=Input!$C$6),E574=""),"",1)</f>
        <v>1</v>
      </c>
      <c r="F575" s="150">
        <f>IF(E575="","",Input!$C$8+B575-1)</f>
        <v>2065</v>
      </c>
      <c r="G575" s="151">
        <f>IF(E575="","",MAX(0,Input!$C$9-B575))</f>
        <v>0</v>
      </c>
      <c r="H575" s="152">
        <f>IF(E575="","",Input!$C$3)</f>
        <v>100000</v>
      </c>
      <c r="I575" s="153">
        <f>IF(E575="","",HLOOKUP($B575,Input!$C$13:$BT$14,2))</f>
        <v>474.12400000000008</v>
      </c>
      <c r="J575" s="154"/>
      <c r="K575" s="155">
        <f>IF($E575="","",INDEX(Input!$C$16:$CP$16,1,$B575))</f>
        <v>3.2250000000000001E-2</v>
      </c>
      <c r="L575" s="155">
        <f>IF($E575="","",Input!$C$37)</f>
        <v>1.4999999999999999E-2</v>
      </c>
      <c r="M575" s="155">
        <f t="shared" si="369"/>
        <v>4.725E-2</v>
      </c>
      <c r="N575" s="155">
        <f t="shared" si="370"/>
        <v>3.8547171219420751E-3</v>
      </c>
      <c r="O575" s="147">
        <f>IF($E575="","",MIN(VLOOKUP(IF($B575&lt;=Input!$C$7,$B575,26),'Mortality Tables'!$A$41:$CW$67,IF($B575&lt;=Input!$C$7+1,Input!$C$4+2,$D575-Input!$C$7+2),0)*IF(B575&gt;20,Input!$C$22,1)/1000,1))</f>
        <v>0.53176480000000004</v>
      </c>
      <c r="P575" s="147">
        <f>IF($E575="","",MIN(VLOOKUP(IF($B575&lt;=Input!$C$7,$B575,26),'Mortality Tables'!$A$12:$CW$37,IF($B575&lt;=Input!$C$7+1,Input!$C$4+2,$D575-Input!$C$7+2),0)*IF(B575&gt;20,Input!$C$22,1)/1000,1))</f>
        <v>0.66470600000000002</v>
      </c>
      <c r="Q575" s="155">
        <f>IF($E575="","",Input!$C$21)</f>
        <v>5.0000000000000001E-3</v>
      </c>
      <c r="R575" s="159">
        <f>IF($E575="","",(1-Q575)^($F575-Input!$C$20))</f>
        <v>0.79010497254702838</v>
      </c>
      <c r="S575" s="147">
        <f t="shared" si="331"/>
        <v>0.42015001270547608</v>
      </c>
      <c r="T575" s="147">
        <f t="shared" si="332"/>
        <v>4.4399640783943428E-2</v>
      </c>
      <c r="U575" s="160">
        <f>IF($E575="","",IF($C575=12,INDEX(Input!$C$15:$CP$15,1,$B575),0))</f>
        <v>0</v>
      </c>
      <c r="V575" s="150">
        <f>IF(E575="","",IF(C575=1,IF($B575=1,Input!$C$33,Input!$C$34),0))</f>
        <v>0</v>
      </c>
      <c r="W575" s="156">
        <f>IF($E575="","",Input!$C$35)</f>
        <v>0.02</v>
      </c>
      <c r="X575" s="156">
        <f t="shared" si="371"/>
        <v>2.53634351519552</v>
      </c>
      <c r="Y575" s="154"/>
      <c r="Z575" s="147">
        <f>IF($E575="","",VLOOKUP($D575,'Mortality Margins &amp; Grading'!$AB$5:$AF$125,3,0)*IF(Summary!$D$25="Included Margin",IF(AND($B575&gt;Input!$C$9,Summary!$D$31&lt;&gt;"Included Margin"),0,1),0))</f>
        <v>0.02</v>
      </c>
      <c r="AA575" s="147">
        <f>IF($E575="","",VLOOKUP($D575,'Mortality Margins &amp; Grading'!$AB$5:$AF$125,5,0)*IF(Summary!$D$25="Included Margin",IF(AND($B575&gt;Input!$C$9,Summary!$D$31&lt;&gt;"Included Margin"),0,1),0))</f>
        <v>0.10100000000000001</v>
      </c>
      <c r="AB575" s="147">
        <f>IF($E575="","",IF(AND($B575&gt;Input!$C$9,Summary!$D$31&lt;&gt;"Included Margin"),1,IF(Summary!$D$25="Included Margin",VLOOKUP($B575,'Mortality Margins &amp; Grading'!$AI$5:$AR$125,MATCH('Mortality Margins &amp; Grading'!$AQ$4,'Mortality Margins &amp; Grading'!$AI$4:$AR$4,0),0),1)))</f>
        <v>0</v>
      </c>
      <c r="AC575" s="154"/>
      <c r="AD575" s="158">
        <f>IF(E575="","",Input!$C$48*IF(Summary!$D$30="Included Margin",IF(AND($B575&gt;Input!$C$9,Summary!$D$31&lt;&gt;"Included Margin"),0,1),0))</f>
        <v>-4.4999999999999997E-3</v>
      </c>
      <c r="AE575" s="159">
        <f>IF(E575="","",IF(Summary!$D$26="Included Margin",IF(AND($B575&gt;Input!$C$9,Summary!$D$31&lt;&gt;"Included Margin"),1,1/$R575),1))</f>
        <v>1.2656546088760101</v>
      </c>
      <c r="AF575" s="160">
        <f>IF(E575="","",IF(AND($B575&gt;=Input!$C$9,$C575=12,Summary!$D$31="Included Margin",$U575&gt;0),1/U575-1,IF($B575&gt;=Input!$C$9,0,Input!$C$45*IF(Summary!$D$27="Included Margin",1,0))))</f>
        <v>0</v>
      </c>
      <c r="AG575" s="160">
        <f>IF(E575="","",Input!$C$46*IF(Summary!$D$28="Included Margin",IF(AND($B575&gt;Input!$C$9,Summary!$D$31&lt;&gt;"Included Margin"),0,1),0))</f>
        <v>0.02</v>
      </c>
      <c r="AH575" s="158">
        <f>IF(E575="","",Input!$C$47*IF(Summary!$D$29="Included Margin",IF(AND($B575&gt;Input!$C$9,Summary!$D$31&lt;&gt;"Included Margin"),0,1),0))</f>
        <v>2.5000000000000001E-3</v>
      </c>
      <c r="AI575" s="154"/>
      <c r="AJ575" s="158">
        <f t="shared" si="353"/>
        <v>4.2750000000000003E-2</v>
      </c>
      <c r="AK575" s="155">
        <f t="shared" si="354"/>
        <v>3.4945462468616295E-3</v>
      </c>
      <c r="AL575" s="147">
        <f t="shared" si="355"/>
        <v>0.73184130599999986</v>
      </c>
      <c r="AM575" s="147">
        <f t="shared" si="333"/>
        <v>0.10388037152276985</v>
      </c>
      <c r="AN575" s="160">
        <f t="shared" si="356"/>
        <v>0</v>
      </c>
      <c r="AO575" s="161">
        <f t="shared" si="357"/>
        <v>0</v>
      </c>
      <c r="AP575" s="156">
        <f t="shared" si="334"/>
        <v>2.845613312557282</v>
      </c>
      <c r="AQ575" s="152"/>
      <c r="AR575" s="162">
        <f t="shared" si="335"/>
        <v>47767.748319137565</v>
      </c>
      <c r="AS575" s="150">
        <f t="shared" si="358"/>
        <v>0</v>
      </c>
      <c r="AT575" s="163">
        <f t="shared" si="336"/>
        <v>0</v>
      </c>
      <c r="AU575" s="163">
        <f t="shared" si="337"/>
        <v>10388.037152276986</v>
      </c>
      <c r="AV575" s="163">
        <f t="shared" si="359"/>
        <v>148.77586748829873</v>
      </c>
      <c r="AW575" s="163">
        <f t="shared" si="338"/>
        <v>4350.3973584273244</v>
      </c>
      <c r="AX575" s="163">
        <f t="shared" si="339"/>
        <v>0</v>
      </c>
      <c r="AY575" s="164">
        <f t="shared" si="360"/>
        <v>41878.884392776206</v>
      </c>
      <c r="AZ575" s="164">
        <f>IF($E575="","",IF(OR(AND($D575=Input!$C$6,$C575=12),$AN575=1),0,-AS576+AT576+AU576-AV576-AW576-AX576+AZ576))</f>
        <v>41878.916051756205</v>
      </c>
      <c r="BA575" s="154">
        <f t="shared" si="340"/>
        <v>3.1658979998610448E-2</v>
      </c>
      <c r="BC575" s="147">
        <f t="shared" si="361"/>
        <v>9.0286725166319892E-5</v>
      </c>
      <c r="BD575" s="164">
        <f>IF(AND($C574=12,$D574=Input!$C$6),0,IF($E575="","",AT575+(AU575+BD576)/(1+$AK575)*MIN((1-AM575-AN575),1)))</f>
        <v>33076.593952716357</v>
      </c>
      <c r="BE575" s="164">
        <f t="shared" si="341"/>
        <v>2.9863773476468602</v>
      </c>
      <c r="BF575" s="164">
        <f t="shared" si="362"/>
        <v>41878.916051756205</v>
      </c>
      <c r="BG575" s="164">
        <f t="shared" si="342"/>
        <v>3.7811101838282952</v>
      </c>
      <c r="BH575" s="152"/>
      <c r="BI575" s="162">
        <f t="shared" si="343"/>
        <v>14400.137859846651</v>
      </c>
      <c r="BJ575" s="150">
        <f t="shared" si="344"/>
        <v>0</v>
      </c>
      <c r="BK575" s="163">
        <f t="shared" si="366"/>
        <v>0</v>
      </c>
      <c r="BL575" s="163">
        <f t="shared" si="345"/>
        <v>4439.9640783943432</v>
      </c>
      <c r="BM575" s="163">
        <f t="shared" si="367"/>
        <v>46.951055189779971</v>
      </c>
      <c r="BN575" s="163">
        <f t="shared" si="346"/>
        <v>464.95742139971276</v>
      </c>
      <c r="BO575" s="163">
        <f t="shared" si="347"/>
        <v>0</v>
      </c>
      <c r="BP575" s="164">
        <f t="shared" si="368"/>
        <v>10472.082258041801</v>
      </c>
      <c r="BQ575" s="164">
        <f>IF($E575="","",IF(AND($D575=Input!$C$6,$C575=12),0,-BJ576+BK576+BL576-BM576-BN576-BO576+BQ576))</f>
        <v>10472.098719498172</v>
      </c>
      <c r="BR575" s="161">
        <f t="shared" si="348"/>
        <v>0</v>
      </c>
      <c r="BT575" s="147">
        <f t="shared" si="349"/>
        <v>9.0286725166319892E-5</v>
      </c>
      <c r="BU575" s="164">
        <f>IF(AND($C574=12,$D574=Input!$C$6),0,IF($E575="","",BK575+(BL575+BU576)/(1+$AK575)*MIN((1-T575-U575),1)))</f>
        <v>75661.645896123606</v>
      </c>
      <c r="BV575" s="164">
        <f t="shared" si="350"/>
        <v>6.8312422286547276</v>
      </c>
      <c r="BW575" s="164">
        <f t="shared" si="351"/>
        <v>10472.098719498172</v>
      </c>
      <c r="BX575" s="164">
        <f t="shared" si="352"/>
        <v>0.94549149900190188</v>
      </c>
    </row>
    <row r="576" spans="1:76" s="150" customFormat="1" x14ac:dyDescent="0.25">
      <c r="A576" s="150">
        <f t="shared" si="363"/>
        <v>572</v>
      </c>
      <c r="B576" s="150">
        <f t="shared" si="364"/>
        <v>48</v>
      </c>
      <c r="C576" s="150">
        <f t="shared" si="365"/>
        <v>8</v>
      </c>
      <c r="D576" s="150">
        <f>IF(E576="","",Input!$C$4+B576-1)</f>
        <v>92</v>
      </c>
      <c r="E576" s="150">
        <f>IF(OR(AND(C575=12,D575=Input!$C$6),E575=""),"",1)</f>
        <v>1</v>
      </c>
      <c r="F576" s="150">
        <f>IF(E576="","",Input!$C$8+B576-1)</f>
        <v>2065</v>
      </c>
      <c r="G576" s="151">
        <f>IF(E576="","",MAX(0,Input!$C$9-B576))</f>
        <v>0</v>
      </c>
      <c r="H576" s="152">
        <f>IF(E576="","",Input!$C$3)</f>
        <v>100000</v>
      </c>
      <c r="I576" s="153">
        <f>IF(E576="","",HLOOKUP($B576,Input!$C$13:$BT$14,2))</f>
        <v>474.12400000000008</v>
      </c>
      <c r="J576" s="154"/>
      <c r="K576" s="155">
        <f>IF($E576="","",INDEX(Input!$C$16:$CP$16,1,$B576))</f>
        <v>3.2250000000000001E-2</v>
      </c>
      <c r="L576" s="155">
        <f>IF($E576="","",Input!$C$37)</f>
        <v>1.4999999999999999E-2</v>
      </c>
      <c r="M576" s="155">
        <f t="shared" si="369"/>
        <v>4.725E-2</v>
      </c>
      <c r="N576" s="155">
        <f t="shared" si="370"/>
        <v>3.8547171219420751E-3</v>
      </c>
      <c r="O576" s="147">
        <f>IF($E576="","",MIN(VLOOKUP(IF($B576&lt;=Input!$C$7,$B576,26),'Mortality Tables'!$A$41:$CW$67,IF($B576&lt;=Input!$C$7+1,Input!$C$4+2,$D576-Input!$C$7+2),0)*IF(B576&gt;20,Input!$C$22,1)/1000,1))</f>
        <v>0.53176480000000004</v>
      </c>
      <c r="P576" s="147">
        <f>IF($E576="","",MIN(VLOOKUP(IF($B576&lt;=Input!$C$7,$B576,26),'Mortality Tables'!$A$12:$CW$37,IF($B576&lt;=Input!$C$7+1,Input!$C$4+2,$D576-Input!$C$7+2),0)*IF(B576&gt;20,Input!$C$22,1)/1000,1))</f>
        <v>0.66470600000000002</v>
      </c>
      <c r="Q576" s="155">
        <f>IF($E576="","",Input!$C$21)</f>
        <v>5.0000000000000001E-3</v>
      </c>
      <c r="R576" s="159">
        <f>IF($E576="","",(1-Q576)^($F576-Input!$C$20))</f>
        <v>0.79010497254702838</v>
      </c>
      <c r="S576" s="147">
        <f t="shared" si="331"/>
        <v>0.42015001270547608</v>
      </c>
      <c r="T576" s="147">
        <f t="shared" si="332"/>
        <v>4.4399640783943428E-2</v>
      </c>
      <c r="U576" s="160">
        <f>IF($E576="","",IF($C576=12,INDEX(Input!$C$15:$CP$15,1,$B576),0))</f>
        <v>0</v>
      </c>
      <c r="V576" s="150">
        <f>IF(E576="","",IF(C576=1,IF($B576=1,Input!$C$33,Input!$C$34),0))</f>
        <v>0</v>
      </c>
      <c r="W576" s="156">
        <f>IF($E576="","",Input!$C$35)</f>
        <v>0.02</v>
      </c>
      <c r="X576" s="156">
        <f t="shared" si="371"/>
        <v>2.53634351519552</v>
      </c>
      <c r="Y576" s="154"/>
      <c r="Z576" s="147">
        <f>IF($E576="","",VLOOKUP($D576,'Mortality Margins &amp; Grading'!$AB$5:$AF$125,3,0)*IF(Summary!$D$25="Included Margin",IF(AND($B576&gt;Input!$C$9,Summary!$D$31&lt;&gt;"Included Margin"),0,1),0))</f>
        <v>0.02</v>
      </c>
      <c r="AA576" s="147">
        <f>IF($E576="","",VLOOKUP($D576,'Mortality Margins &amp; Grading'!$AB$5:$AF$125,5,0)*IF(Summary!$D$25="Included Margin",IF(AND($B576&gt;Input!$C$9,Summary!$D$31&lt;&gt;"Included Margin"),0,1),0))</f>
        <v>0.10100000000000001</v>
      </c>
      <c r="AB576" s="147">
        <f>IF($E576="","",IF(AND($B576&gt;Input!$C$9,Summary!$D$31&lt;&gt;"Included Margin"),1,IF(Summary!$D$25="Included Margin",VLOOKUP($B576,'Mortality Margins &amp; Grading'!$AI$5:$AR$125,MATCH('Mortality Margins &amp; Grading'!$AQ$4,'Mortality Margins &amp; Grading'!$AI$4:$AR$4,0),0),1)))</f>
        <v>0</v>
      </c>
      <c r="AC576" s="154"/>
      <c r="AD576" s="158">
        <f>IF(E576="","",Input!$C$48*IF(Summary!$D$30="Included Margin",IF(AND($B576&gt;Input!$C$9,Summary!$D$31&lt;&gt;"Included Margin"),0,1),0))</f>
        <v>-4.4999999999999997E-3</v>
      </c>
      <c r="AE576" s="159">
        <f>IF(E576="","",IF(Summary!$D$26="Included Margin",IF(AND($B576&gt;Input!$C$9,Summary!$D$31&lt;&gt;"Included Margin"),1,1/$R576),1))</f>
        <v>1.2656546088760101</v>
      </c>
      <c r="AF576" s="160">
        <f>IF(E576="","",IF(AND($B576&gt;=Input!$C$9,$C576=12,Summary!$D$31="Included Margin",$U576&gt;0),1/U576-1,IF($B576&gt;=Input!$C$9,0,Input!$C$45*IF(Summary!$D$27="Included Margin",1,0))))</f>
        <v>0</v>
      </c>
      <c r="AG576" s="160">
        <f>IF(E576="","",Input!$C$46*IF(Summary!$D$28="Included Margin",IF(AND($B576&gt;Input!$C$9,Summary!$D$31&lt;&gt;"Included Margin"),0,1),0))</f>
        <v>0.02</v>
      </c>
      <c r="AH576" s="158">
        <f>IF(E576="","",Input!$C$47*IF(Summary!$D$29="Included Margin",IF(AND($B576&gt;Input!$C$9,Summary!$D$31&lt;&gt;"Included Margin"),0,1),0))</f>
        <v>2.5000000000000001E-3</v>
      </c>
      <c r="AI576" s="154"/>
      <c r="AJ576" s="158">
        <f t="shared" si="353"/>
        <v>4.2750000000000003E-2</v>
      </c>
      <c r="AK576" s="155">
        <f t="shared" si="354"/>
        <v>3.4945462468616295E-3</v>
      </c>
      <c r="AL576" s="147">
        <f t="shared" si="355"/>
        <v>0.73184130599999986</v>
      </c>
      <c r="AM576" s="147">
        <f t="shared" si="333"/>
        <v>0.10388037152276985</v>
      </c>
      <c r="AN576" s="160">
        <f t="shared" si="356"/>
        <v>0</v>
      </c>
      <c r="AO576" s="161">
        <f t="shared" si="357"/>
        <v>0</v>
      </c>
      <c r="AP576" s="156">
        <f t="shared" si="334"/>
        <v>2.845613312557282</v>
      </c>
      <c r="AQ576" s="152"/>
      <c r="AR576" s="162">
        <f t="shared" si="335"/>
        <v>41878.884392776199</v>
      </c>
      <c r="AS576" s="150">
        <f t="shared" si="358"/>
        <v>0</v>
      </c>
      <c r="AT576" s="163">
        <f t="shared" si="336"/>
        <v>0</v>
      </c>
      <c r="AU576" s="163">
        <f t="shared" si="337"/>
        <v>10388.037152276986</v>
      </c>
      <c r="AV576" s="163">
        <f t="shared" si="359"/>
        <v>128.19696015615378</v>
      </c>
      <c r="AW576" s="163">
        <f t="shared" si="338"/>
        <v>3665.3603415506773</v>
      </c>
      <c r="AX576" s="163">
        <f t="shared" si="339"/>
        <v>0</v>
      </c>
      <c r="AY576" s="165">
        <f t="shared" si="360"/>
        <v>35284.404542206044</v>
      </c>
      <c r="AZ576" s="164">
        <f>IF($E576="","",IF(OR(AND($D576=Input!$C$6,$C576=12),$AN576=1),0,-AS577+AT577+AU577-AV577-AW577-AX577+AZ577))</f>
        <v>35284.43620118605</v>
      </c>
      <c r="BA576" s="154">
        <f t="shared" si="340"/>
        <v>3.1658980005886406E-2</v>
      </c>
      <c r="BC576" s="147">
        <f t="shared" si="361"/>
        <v>8.6278027001376669E-5</v>
      </c>
      <c r="BD576" s="164">
        <f>IF(AND($C575=12,$D575=Input!$C$6),0,IF($E576="","",AT576+(AU576+BD577)/(1+$AK576)*MIN((1-AM576-AN576),1)))</f>
        <v>26651.863085569639</v>
      </c>
      <c r="BE576" s="164">
        <f t="shared" si="341"/>
        <v>2.2994701629337713</v>
      </c>
      <c r="BF576" s="164">
        <f t="shared" si="362"/>
        <v>35284.43620118605</v>
      </c>
      <c r="BG576" s="164">
        <f t="shared" si="342"/>
        <v>3.0442715392942823</v>
      </c>
      <c r="BH576" s="152"/>
      <c r="BI576" s="162">
        <f t="shared" si="343"/>
        <v>10472.082258041799</v>
      </c>
      <c r="BJ576" s="150">
        <f t="shared" si="344"/>
        <v>0</v>
      </c>
      <c r="BK576" s="163">
        <f t="shared" si="366"/>
        <v>0</v>
      </c>
      <c r="BL576" s="163">
        <f t="shared" si="345"/>
        <v>4439.9640783943432</v>
      </c>
      <c r="BM576" s="163">
        <f t="shared" si="367"/>
        <v>31.809512005562329</v>
      </c>
      <c r="BN576" s="163">
        <f t="shared" si="346"/>
        <v>281.74638020523997</v>
      </c>
      <c r="BO576" s="163">
        <f t="shared" si="347"/>
        <v>0</v>
      </c>
      <c r="BP576" s="164">
        <f t="shared" si="368"/>
        <v>6345.6740718582578</v>
      </c>
      <c r="BQ576" s="164">
        <f>IF($E576="","",IF(AND($D576=Input!$C$6,$C576=12),0,-BJ577+BK577+BL577-BM577-BN577-BO577+BQ577))</f>
        <v>6345.6905333146306</v>
      </c>
      <c r="BR576" s="161">
        <f t="shared" si="348"/>
        <v>0</v>
      </c>
      <c r="BT576" s="147">
        <f t="shared" si="349"/>
        <v>8.6278027001376669E-5</v>
      </c>
      <c r="BU576" s="164">
        <f>IF(AND($C575=12,$D575=Input!$C$6),0,IF($E576="","",BK576+(BL576+BU577)/(1+$AK576)*MIN((1-T576-U576),1)))</f>
        <v>75013.803686101397</v>
      </c>
      <c r="BV576" s="164">
        <f t="shared" si="350"/>
        <v>6.4720429799054253</v>
      </c>
      <c r="BW576" s="164">
        <f t="shared" si="351"/>
        <v>6345.6905333146306</v>
      </c>
      <c r="BX576" s="164">
        <f t="shared" si="352"/>
        <v>0.54749365917570003</v>
      </c>
    </row>
    <row r="577" spans="1:76" s="150" customFormat="1" x14ac:dyDescent="0.25">
      <c r="A577" s="150">
        <f t="shared" si="363"/>
        <v>573</v>
      </c>
      <c r="B577" s="150">
        <f t="shared" si="364"/>
        <v>48</v>
      </c>
      <c r="C577" s="150">
        <f t="shared" si="365"/>
        <v>9</v>
      </c>
      <c r="D577" s="150">
        <f>IF(E577="","",Input!$C$4+B577-1)</f>
        <v>92</v>
      </c>
      <c r="E577" s="150">
        <f>IF(OR(AND(C576=12,D576=Input!$C$6),E576=""),"",1)</f>
        <v>1</v>
      </c>
      <c r="F577" s="150">
        <f>IF(E577="","",Input!$C$8+B577-1)</f>
        <v>2065</v>
      </c>
      <c r="G577" s="151">
        <f>IF(E577="","",MAX(0,Input!$C$9-B577))</f>
        <v>0</v>
      </c>
      <c r="H577" s="152">
        <f>IF(E577="","",Input!$C$3)</f>
        <v>100000</v>
      </c>
      <c r="I577" s="153">
        <f>IF(E577="","",HLOOKUP($B577,Input!$C$13:$BT$14,2))</f>
        <v>474.12400000000008</v>
      </c>
      <c r="J577" s="154"/>
      <c r="K577" s="155">
        <f>IF($E577="","",INDEX(Input!$C$16:$CP$16,1,$B577))</f>
        <v>3.2250000000000001E-2</v>
      </c>
      <c r="L577" s="155">
        <f>IF($E577="","",Input!$C$37)</f>
        <v>1.4999999999999999E-2</v>
      </c>
      <c r="M577" s="155">
        <f t="shared" si="369"/>
        <v>4.725E-2</v>
      </c>
      <c r="N577" s="155">
        <f t="shared" si="370"/>
        <v>3.8547171219420751E-3</v>
      </c>
      <c r="O577" s="147">
        <f>IF($E577="","",MIN(VLOOKUP(IF($B577&lt;=Input!$C$7,$B577,26),'Mortality Tables'!$A$41:$CW$67,IF($B577&lt;=Input!$C$7+1,Input!$C$4+2,$D577-Input!$C$7+2),0)*IF(B577&gt;20,Input!$C$22,1)/1000,1))</f>
        <v>0.53176480000000004</v>
      </c>
      <c r="P577" s="147">
        <f>IF($E577="","",MIN(VLOOKUP(IF($B577&lt;=Input!$C$7,$B577,26),'Mortality Tables'!$A$12:$CW$37,IF($B577&lt;=Input!$C$7+1,Input!$C$4+2,$D577-Input!$C$7+2),0)*IF(B577&gt;20,Input!$C$22,1)/1000,1))</f>
        <v>0.66470600000000002</v>
      </c>
      <c r="Q577" s="155">
        <f>IF($E577="","",Input!$C$21)</f>
        <v>5.0000000000000001E-3</v>
      </c>
      <c r="R577" s="159">
        <f>IF($E577="","",(1-Q577)^($F577-Input!$C$20))</f>
        <v>0.79010497254702838</v>
      </c>
      <c r="S577" s="147">
        <f t="shared" si="331"/>
        <v>0.42015001270547608</v>
      </c>
      <c r="T577" s="147">
        <f t="shared" si="332"/>
        <v>4.4399640783943428E-2</v>
      </c>
      <c r="U577" s="160">
        <f>IF($E577="","",IF($C577=12,INDEX(Input!$C$15:$CP$15,1,$B577),0))</f>
        <v>0</v>
      </c>
      <c r="V577" s="150">
        <f>IF(E577="","",IF(C577=1,IF($B577=1,Input!$C$33,Input!$C$34),0))</f>
        <v>0</v>
      </c>
      <c r="W577" s="156">
        <f>IF($E577="","",Input!$C$35)</f>
        <v>0.02</v>
      </c>
      <c r="X577" s="156">
        <f t="shared" si="371"/>
        <v>2.53634351519552</v>
      </c>
      <c r="Y577" s="154"/>
      <c r="Z577" s="147">
        <f>IF($E577="","",VLOOKUP($D577,'Mortality Margins &amp; Grading'!$AB$5:$AF$125,3,0)*IF(Summary!$D$25="Included Margin",IF(AND($B577&gt;Input!$C$9,Summary!$D$31&lt;&gt;"Included Margin"),0,1),0))</f>
        <v>0.02</v>
      </c>
      <c r="AA577" s="147">
        <f>IF($E577="","",VLOOKUP($D577,'Mortality Margins &amp; Grading'!$AB$5:$AF$125,5,0)*IF(Summary!$D$25="Included Margin",IF(AND($B577&gt;Input!$C$9,Summary!$D$31&lt;&gt;"Included Margin"),0,1),0))</f>
        <v>0.10100000000000001</v>
      </c>
      <c r="AB577" s="147">
        <f>IF($E577="","",IF(AND($B577&gt;Input!$C$9,Summary!$D$31&lt;&gt;"Included Margin"),1,IF(Summary!$D$25="Included Margin",VLOOKUP($B577,'Mortality Margins &amp; Grading'!$AI$5:$AR$125,MATCH('Mortality Margins &amp; Grading'!$AQ$4,'Mortality Margins &amp; Grading'!$AI$4:$AR$4,0),0),1)))</f>
        <v>0</v>
      </c>
      <c r="AC577" s="154"/>
      <c r="AD577" s="158">
        <f>IF(E577="","",Input!$C$48*IF(Summary!$D$30="Included Margin",IF(AND($B577&gt;Input!$C$9,Summary!$D$31&lt;&gt;"Included Margin"),0,1),0))</f>
        <v>-4.4999999999999997E-3</v>
      </c>
      <c r="AE577" s="159">
        <f>IF(E577="","",IF(Summary!$D$26="Included Margin",IF(AND($B577&gt;Input!$C$9,Summary!$D$31&lt;&gt;"Included Margin"),1,1/$R577),1))</f>
        <v>1.2656546088760101</v>
      </c>
      <c r="AF577" s="160">
        <f>IF(E577="","",IF(AND($B577&gt;=Input!$C$9,$C577=12,Summary!$D$31="Included Margin",$U577&gt;0),1/U577-1,IF($B577&gt;=Input!$C$9,0,Input!$C$45*IF(Summary!$D$27="Included Margin",1,0))))</f>
        <v>0</v>
      </c>
      <c r="AG577" s="160">
        <f>IF(E577="","",Input!$C$46*IF(Summary!$D$28="Included Margin",IF(AND($B577&gt;Input!$C$9,Summary!$D$31&lt;&gt;"Included Margin"),0,1),0))</f>
        <v>0.02</v>
      </c>
      <c r="AH577" s="158">
        <f>IF(E577="","",Input!$C$47*IF(Summary!$D$29="Included Margin",IF(AND($B577&gt;Input!$C$9,Summary!$D$31&lt;&gt;"Included Margin"),0,1),0))</f>
        <v>2.5000000000000001E-3</v>
      </c>
      <c r="AI577" s="154"/>
      <c r="AJ577" s="158">
        <f t="shared" si="353"/>
        <v>4.2750000000000003E-2</v>
      </c>
      <c r="AK577" s="155">
        <f t="shared" si="354"/>
        <v>3.4945462468616295E-3</v>
      </c>
      <c r="AL577" s="147">
        <f t="shared" si="355"/>
        <v>0.73184130599999986</v>
      </c>
      <c r="AM577" s="147">
        <f t="shared" si="333"/>
        <v>0.10388037152276985</v>
      </c>
      <c r="AN577" s="160">
        <f t="shared" si="356"/>
        <v>0</v>
      </c>
      <c r="AO577" s="161">
        <f t="shared" si="357"/>
        <v>0</v>
      </c>
      <c r="AP577" s="156">
        <f t="shared" si="334"/>
        <v>2.845613312557282</v>
      </c>
      <c r="AQ577" s="152"/>
      <c r="AR577" s="162">
        <f t="shared" si="335"/>
        <v>35284.404542206044</v>
      </c>
      <c r="AS577" s="150">
        <f t="shared" si="358"/>
        <v>0</v>
      </c>
      <c r="AT577" s="163">
        <f t="shared" si="336"/>
        <v>0</v>
      </c>
      <c r="AU577" s="163">
        <f t="shared" si="337"/>
        <v>10388.037152276986</v>
      </c>
      <c r="AV577" s="163">
        <f t="shared" si="359"/>
        <v>105.15224534433921</v>
      </c>
      <c r="AW577" s="163">
        <f t="shared" si="338"/>
        <v>2898.2407644680038</v>
      </c>
      <c r="AX577" s="163">
        <f t="shared" si="339"/>
        <v>0</v>
      </c>
      <c r="AY577" s="164">
        <f t="shared" si="360"/>
        <v>27899.760399741401</v>
      </c>
      <c r="AZ577" s="164">
        <f>IF($E577="","",IF(OR(AND($D577=Input!$C$6,$C577=12),$AN577=1),0,-AS578+AT578+AU578-AV578-AW578-AX578+AZ578))</f>
        <v>27899.792058721407</v>
      </c>
      <c r="BA577" s="154">
        <f t="shared" si="340"/>
        <v>3.1658980005886406E-2</v>
      </c>
      <c r="BC577" s="147">
        <f t="shared" si="361"/>
        <v>8.2447313594968168E-5</v>
      </c>
      <c r="BD577" s="164">
        <f>IF(AND($C576=12,$D576=Input!$C$6),0,IF($E577="","",AT577+(AU577+BD578)/(1+$AK577)*MIN((1-AM577-AN577),1)))</f>
        <v>19457.307602791909</v>
      </c>
      <c r="BE577" s="164">
        <f t="shared" si="341"/>
        <v>1.6042027416411428</v>
      </c>
      <c r="BF577" s="164">
        <f t="shared" si="362"/>
        <v>27899.792058721407</v>
      </c>
      <c r="BG577" s="164">
        <f t="shared" si="342"/>
        <v>2.3002629050998062</v>
      </c>
      <c r="BH577" s="152"/>
      <c r="BI577" s="162">
        <f t="shared" si="343"/>
        <v>6345.6740718582587</v>
      </c>
      <c r="BJ577" s="150">
        <f t="shared" si="344"/>
        <v>0</v>
      </c>
      <c r="BK577" s="163">
        <f t="shared" si="366"/>
        <v>0</v>
      </c>
      <c r="BL577" s="163">
        <f t="shared" si="345"/>
        <v>4439.9640783943432</v>
      </c>
      <c r="BM577" s="163">
        <f t="shared" si="367"/>
        <v>15.903375718158696</v>
      </c>
      <c r="BN577" s="163">
        <f t="shared" si="346"/>
        <v>89.28384483870488</v>
      </c>
      <c r="BO577" s="163">
        <f t="shared" si="347"/>
        <v>0</v>
      </c>
      <c r="BP577" s="164">
        <f t="shared" si="368"/>
        <v>2010.8972140207791</v>
      </c>
      <c r="BQ577" s="164">
        <f>IF($E577="","",IF(AND($D577=Input!$C$6,$C577=12),0,-BJ578+BK578+BL578-BM578-BN578-BO578+BQ578))</f>
        <v>2010.9136754771507</v>
      </c>
      <c r="BR577" s="161">
        <f t="shared" si="348"/>
        <v>0</v>
      </c>
      <c r="BT577" s="147">
        <f t="shared" si="349"/>
        <v>8.2447313594968168E-5</v>
      </c>
      <c r="BU577" s="164">
        <f>IF(AND($C576=12,$D576=Input!$C$6),0,IF($E577="","",BK577+(BL577+BU578)/(1+$AK577)*MIN((1-T577-U577),1)))</f>
        <v>74333.491965499779</v>
      </c>
      <c r="BV577" s="164">
        <f t="shared" si="350"/>
        <v>6.1285967226886067</v>
      </c>
      <c r="BW577" s="164">
        <f t="shared" si="351"/>
        <v>2010.9136754771507</v>
      </c>
      <c r="BX577" s="164">
        <f t="shared" si="352"/>
        <v>0.1657944304144747</v>
      </c>
    </row>
    <row r="578" spans="1:76" s="150" customFormat="1" x14ac:dyDescent="0.25">
      <c r="A578" s="150">
        <f t="shared" si="363"/>
        <v>574</v>
      </c>
      <c r="B578" s="150">
        <f t="shared" si="364"/>
        <v>48</v>
      </c>
      <c r="C578" s="150">
        <f t="shared" si="365"/>
        <v>10</v>
      </c>
      <c r="D578" s="150">
        <f>IF(E578="","",Input!$C$4+B578-1)</f>
        <v>92</v>
      </c>
      <c r="E578" s="150">
        <f>IF(OR(AND(C577=12,D577=Input!$C$6),E577=""),"",1)</f>
        <v>1</v>
      </c>
      <c r="F578" s="150">
        <f>IF(E578="","",Input!$C$8+B578-1)</f>
        <v>2065</v>
      </c>
      <c r="G578" s="151">
        <f>IF(E578="","",MAX(0,Input!$C$9-B578))</f>
        <v>0</v>
      </c>
      <c r="H578" s="152">
        <f>IF(E578="","",Input!$C$3)</f>
        <v>100000</v>
      </c>
      <c r="I578" s="153">
        <f>IF(E578="","",HLOOKUP($B578,Input!$C$13:$BT$14,2))</f>
        <v>474.12400000000008</v>
      </c>
      <c r="J578" s="154"/>
      <c r="K578" s="155">
        <f>IF($E578="","",INDEX(Input!$C$16:$CP$16,1,$B578))</f>
        <v>3.2250000000000001E-2</v>
      </c>
      <c r="L578" s="155">
        <f>IF($E578="","",Input!$C$37)</f>
        <v>1.4999999999999999E-2</v>
      </c>
      <c r="M578" s="155">
        <f t="shared" si="369"/>
        <v>4.725E-2</v>
      </c>
      <c r="N578" s="155">
        <f t="shared" si="370"/>
        <v>3.8547171219420751E-3</v>
      </c>
      <c r="O578" s="147">
        <f>IF($E578="","",MIN(VLOOKUP(IF($B578&lt;=Input!$C$7,$B578,26),'Mortality Tables'!$A$41:$CW$67,IF($B578&lt;=Input!$C$7+1,Input!$C$4+2,$D578-Input!$C$7+2),0)*IF(B578&gt;20,Input!$C$22,1)/1000,1))</f>
        <v>0.53176480000000004</v>
      </c>
      <c r="P578" s="147">
        <f>IF($E578="","",MIN(VLOOKUP(IF($B578&lt;=Input!$C$7,$B578,26),'Mortality Tables'!$A$12:$CW$37,IF($B578&lt;=Input!$C$7+1,Input!$C$4+2,$D578-Input!$C$7+2),0)*IF(B578&gt;20,Input!$C$22,1)/1000,1))</f>
        <v>0.66470600000000002</v>
      </c>
      <c r="Q578" s="155">
        <f>IF($E578="","",Input!$C$21)</f>
        <v>5.0000000000000001E-3</v>
      </c>
      <c r="R578" s="159">
        <f>IF($E578="","",(1-Q578)^($F578-Input!$C$20))</f>
        <v>0.79010497254702838</v>
      </c>
      <c r="S578" s="147">
        <f t="shared" si="331"/>
        <v>0.42015001270547608</v>
      </c>
      <c r="T578" s="147">
        <f t="shared" si="332"/>
        <v>4.4399640783943428E-2</v>
      </c>
      <c r="U578" s="160">
        <f>IF($E578="","",IF($C578=12,INDEX(Input!$C$15:$CP$15,1,$B578),0))</f>
        <v>0</v>
      </c>
      <c r="V578" s="150">
        <f>IF(E578="","",IF(C578=1,IF($B578=1,Input!$C$33,Input!$C$34),0))</f>
        <v>0</v>
      </c>
      <c r="W578" s="156">
        <f>IF($E578="","",Input!$C$35)</f>
        <v>0.02</v>
      </c>
      <c r="X578" s="156">
        <f t="shared" si="371"/>
        <v>2.53634351519552</v>
      </c>
      <c r="Y578" s="154"/>
      <c r="Z578" s="147">
        <f>IF($E578="","",VLOOKUP($D578,'Mortality Margins &amp; Grading'!$AB$5:$AF$125,3,0)*IF(Summary!$D$25="Included Margin",IF(AND($B578&gt;Input!$C$9,Summary!$D$31&lt;&gt;"Included Margin"),0,1),0))</f>
        <v>0.02</v>
      </c>
      <c r="AA578" s="147">
        <f>IF($E578="","",VLOOKUP($D578,'Mortality Margins &amp; Grading'!$AB$5:$AF$125,5,0)*IF(Summary!$D$25="Included Margin",IF(AND($B578&gt;Input!$C$9,Summary!$D$31&lt;&gt;"Included Margin"),0,1),0))</f>
        <v>0.10100000000000001</v>
      </c>
      <c r="AB578" s="147">
        <f>IF($E578="","",IF(AND($B578&gt;Input!$C$9,Summary!$D$31&lt;&gt;"Included Margin"),1,IF(Summary!$D$25="Included Margin",VLOOKUP($B578,'Mortality Margins &amp; Grading'!$AI$5:$AR$125,MATCH('Mortality Margins &amp; Grading'!$AQ$4,'Mortality Margins &amp; Grading'!$AI$4:$AR$4,0),0),1)))</f>
        <v>0</v>
      </c>
      <c r="AC578" s="154"/>
      <c r="AD578" s="158">
        <f>IF(E578="","",Input!$C$48*IF(Summary!$D$30="Included Margin",IF(AND($B578&gt;Input!$C$9,Summary!$D$31&lt;&gt;"Included Margin"),0,1),0))</f>
        <v>-4.4999999999999997E-3</v>
      </c>
      <c r="AE578" s="159">
        <f>IF(E578="","",IF(Summary!$D$26="Included Margin",IF(AND($B578&gt;Input!$C$9,Summary!$D$31&lt;&gt;"Included Margin"),1,1/$R578),1))</f>
        <v>1.2656546088760101</v>
      </c>
      <c r="AF578" s="160">
        <f>IF(E578="","",IF(AND($B578&gt;=Input!$C$9,$C578=12,Summary!$D$31="Included Margin",$U578&gt;0),1/U578-1,IF($B578&gt;=Input!$C$9,0,Input!$C$45*IF(Summary!$D$27="Included Margin",1,0))))</f>
        <v>0</v>
      </c>
      <c r="AG578" s="160">
        <f>IF(E578="","",Input!$C$46*IF(Summary!$D$28="Included Margin",IF(AND($B578&gt;Input!$C$9,Summary!$D$31&lt;&gt;"Included Margin"),0,1),0))</f>
        <v>0.02</v>
      </c>
      <c r="AH578" s="158">
        <f>IF(E578="","",Input!$C$47*IF(Summary!$D$29="Included Margin",IF(AND($B578&gt;Input!$C$9,Summary!$D$31&lt;&gt;"Included Margin"),0,1),0))</f>
        <v>2.5000000000000001E-3</v>
      </c>
      <c r="AI578" s="154"/>
      <c r="AJ578" s="158">
        <f t="shared" si="353"/>
        <v>4.2750000000000003E-2</v>
      </c>
      <c r="AK578" s="155">
        <f t="shared" si="354"/>
        <v>3.4945462468616295E-3</v>
      </c>
      <c r="AL578" s="147">
        <f t="shared" si="355"/>
        <v>0.73184130599999986</v>
      </c>
      <c r="AM578" s="147">
        <f t="shared" si="333"/>
        <v>0.10388037152276985</v>
      </c>
      <c r="AN578" s="160">
        <f t="shared" si="356"/>
        <v>0</v>
      </c>
      <c r="AO578" s="161">
        <f t="shared" si="357"/>
        <v>0</v>
      </c>
      <c r="AP578" s="156">
        <f t="shared" si="334"/>
        <v>2.845613312557282</v>
      </c>
      <c r="AQ578" s="152"/>
      <c r="AR578" s="162">
        <f t="shared" si="335"/>
        <v>27899.760399741404</v>
      </c>
      <c r="AS578" s="150">
        <f t="shared" si="358"/>
        <v>0</v>
      </c>
      <c r="AT578" s="163">
        <f t="shared" si="336"/>
        <v>0</v>
      </c>
      <c r="AU578" s="163">
        <f t="shared" si="337"/>
        <v>10388.037152276986</v>
      </c>
      <c r="AV578" s="163">
        <f t="shared" si="359"/>
        <v>79.346264871880692</v>
      </c>
      <c r="AW578" s="163">
        <f t="shared" si="338"/>
        <v>2039.2033240876631</v>
      </c>
      <c r="AX578" s="163">
        <f t="shared" si="339"/>
        <v>0</v>
      </c>
      <c r="AY578" s="165">
        <f t="shared" si="360"/>
        <v>19630.272836423963</v>
      </c>
      <c r="AZ578" s="164">
        <f>IF($E578="","",IF(OR(AND($D578=Input!$C$6,$C578=12),$AN578=1),0,-AS579+AT579+AU579-AV579-AW579-AX579+AZ579))</f>
        <v>19630.304495403965</v>
      </c>
      <c r="BA578" s="154">
        <f t="shared" si="340"/>
        <v>3.1658980002248427E-2</v>
      </c>
      <c r="BC578" s="147">
        <f t="shared" si="361"/>
        <v>7.8786682487750451E-5</v>
      </c>
      <c r="BD578" s="164">
        <f>IF(AND($C577=12,$D577=Input!$C$6),0,IF($E578="","",AT578+(AU578+BD579)/(1+$AK578)*MIN((1-AM578-AN578),1)))</f>
        <v>11400.685517740283</v>
      </c>
      <c r="BE578" s="164">
        <f t="shared" si="341"/>
        <v>0.89822219002889858</v>
      </c>
      <c r="BF578" s="164">
        <f t="shared" si="362"/>
        <v>19630.304495403965</v>
      </c>
      <c r="BG578" s="164">
        <f t="shared" si="342"/>
        <v>1.5466065674172524</v>
      </c>
      <c r="BH578" s="152"/>
      <c r="BI578" s="162">
        <f t="shared" si="343"/>
        <v>2010.8972140207784</v>
      </c>
      <c r="BJ578" s="150">
        <f t="shared" si="344"/>
        <v>0</v>
      </c>
      <c r="BK578" s="163">
        <f t="shared" si="366"/>
        <v>0</v>
      </c>
      <c r="BL578" s="163">
        <f t="shared" si="345"/>
        <v>4439.9640783943432</v>
      </c>
      <c r="BM578" s="163">
        <f t="shared" si="367"/>
        <v>-0.80596285554570846</v>
      </c>
      <c r="BN578" s="163">
        <f t="shared" si="346"/>
        <v>-112.89735165586687</v>
      </c>
      <c r="BO578" s="163">
        <f t="shared" si="347"/>
        <v>0</v>
      </c>
      <c r="BP578" s="164">
        <f t="shared" si="368"/>
        <v>-2542.7701788849772</v>
      </c>
      <c r="BQ578" s="164">
        <f>IF($E578="","",IF(AND($D578=Input!$C$6,$C578=12),0,-BJ579+BK579+BL579-BM579-BN579-BO579+BQ579))</f>
        <v>-2542.7537174286053</v>
      </c>
      <c r="BR578" s="161">
        <f t="shared" si="348"/>
        <v>0</v>
      </c>
      <c r="BT578" s="147">
        <f t="shared" si="349"/>
        <v>7.8786682487750451E-5</v>
      </c>
      <c r="BU578" s="164">
        <f>IF(AND($C577=12,$D577=Input!$C$6),0,IF($E578="","",BK578+(BL578+BU579)/(1+$AK578)*MIN((1-T578-U578),1)))</f>
        <v>73619.083379538613</v>
      </c>
      <c r="BV578" s="164">
        <f t="shared" si="350"/>
        <v>5.8002033472629355</v>
      </c>
      <c r="BW578" s="164">
        <f t="shared" si="351"/>
        <v>-2542.7537174286053</v>
      </c>
      <c r="BX578" s="164">
        <f t="shared" si="352"/>
        <v>-0.20033512977959467</v>
      </c>
    </row>
    <row r="579" spans="1:76" s="150" customFormat="1" x14ac:dyDescent="0.25">
      <c r="A579" s="150">
        <f t="shared" si="363"/>
        <v>575</v>
      </c>
      <c r="B579" s="150">
        <f t="shared" si="364"/>
        <v>48</v>
      </c>
      <c r="C579" s="150">
        <f t="shared" si="365"/>
        <v>11</v>
      </c>
      <c r="D579" s="150">
        <f>IF(E579="","",Input!$C$4+B579-1)</f>
        <v>92</v>
      </c>
      <c r="E579" s="150">
        <f>IF(OR(AND(C578=12,D578=Input!$C$6),E578=""),"",1)</f>
        <v>1</v>
      </c>
      <c r="F579" s="150">
        <f>IF(E579="","",Input!$C$8+B579-1)</f>
        <v>2065</v>
      </c>
      <c r="G579" s="151">
        <f>IF(E579="","",MAX(0,Input!$C$9-B579))</f>
        <v>0</v>
      </c>
      <c r="H579" s="152">
        <f>IF(E579="","",Input!$C$3)</f>
        <v>100000</v>
      </c>
      <c r="I579" s="153">
        <f>IF(E579="","",HLOOKUP($B579,Input!$C$13:$BT$14,2))</f>
        <v>474.12400000000008</v>
      </c>
      <c r="J579" s="154"/>
      <c r="K579" s="155">
        <f>IF($E579="","",INDEX(Input!$C$16:$CP$16,1,$B579))</f>
        <v>3.2250000000000001E-2</v>
      </c>
      <c r="L579" s="155">
        <f>IF($E579="","",Input!$C$37)</f>
        <v>1.4999999999999999E-2</v>
      </c>
      <c r="M579" s="155">
        <f t="shared" si="369"/>
        <v>4.725E-2</v>
      </c>
      <c r="N579" s="155">
        <f t="shared" si="370"/>
        <v>3.8547171219420751E-3</v>
      </c>
      <c r="O579" s="147">
        <f>IF($E579="","",MIN(VLOOKUP(IF($B579&lt;=Input!$C$7,$B579,26),'Mortality Tables'!$A$41:$CW$67,IF($B579&lt;=Input!$C$7+1,Input!$C$4+2,$D579-Input!$C$7+2),0)*IF(B579&gt;20,Input!$C$22,1)/1000,1))</f>
        <v>0.53176480000000004</v>
      </c>
      <c r="P579" s="147">
        <f>IF($E579="","",MIN(VLOOKUP(IF($B579&lt;=Input!$C$7,$B579,26),'Mortality Tables'!$A$12:$CW$37,IF($B579&lt;=Input!$C$7+1,Input!$C$4+2,$D579-Input!$C$7+2),0)*IF(B579&gt;20,Input!$C$22,1)/1000,1))</f>
        <v>0.66470600000000002</v>
      </c>
      <c r="Q579" s="155">
        <f>IF($E579="","",Input!$C$21)</f>
        <v>5.0000000000000001E-3</v>
      </c>
      <c r="R579" s="159">
        <f>IF($E579="","",(1-Q579)^($F579-Input!$C$20))</f>
        <v>0.79010497254702838</v>
      </c>
      <c r="S579" s="147">
        <f t="shared" si="331"/>
        <v>0.42015001270547608</v>
      </c>
      <c r="T579" s="147">
        <f t="shared" si="332"/>
        <v>4.4399640783943428E-2</v>
      </c>
      <c r="U579" s="160">
        <f>IF($E579="","",IF($C579=12,INDEX(Input!$C$15:$CP$15,1,$B579),0))</f>
        <v>0</v>
      </c>
      <c r="V579" s="150">
        <f>IF(E579="","",IF(C579=1,IF($B579=1,Input!$C$33,Input!$C$34),0))</f>
        <v>0</v>
      </c>
      <c r="W579" s="156">
        <f>IF($E579="","",Input!$C$35)</f>
        <v>0.02</v>
      </c>
      <c r="X579" s="156">
        <f t="shared" si="371"/>
        <v>2.53634351519552</v>
      </c>
      <c r="Y579" s="154"/>
      <c r="Z579" s="147">
        <f>IF($E579="","",VLOOKUP($D579,'Mortality Margins &amp; Grading'!$AB$5:$AF$125,3,0)*IF(Summary!$D$25="Included Margin",IF(AND($B579&gt;Input!$C$9,Summary!$D$31&lt;&gt;"Included Margin"),0,1),0))</f>
        <v>0.02</v>
      </c>
      <c r="AA579" s="147">
        <f>IF($E579="","",VLOOKUP($D579,'Mortality Margins &amp; Grading'!$AB$5:$AF$125,5,0)*IF(Summary!$D$25="Included Margin",IF(AND($B579&gt;Input!$C$9,Summary!$D$31&lt;&gt;"Included Margin"),0,1),0))</f>
        <v>0.10100000000000001</v>
      </c>
      <c r="AB579" s="147">
        <f>IF($E579="","",IF(AND($B579&gt;Input!$C$9,Summary!$D$31&lt;&gt;"Included Margin"),1,IF(Summary!$D$25="Included Margin",VLOOKUP($B579,'Mortality Margins &amp; Grading'!$AI$5:$AR$125,MATCH('Mortality Margins &amp; Grading'!$AQ$4,'Mortality Margins &amp; Grading'!$AI$4:$AR$4,0),0),1)))</f>
        <v>0</v>
      </c>
      <c r="AC579" s="154"/>
      <c r="AD579" s="158">
        <f>IF(E579="","",Input!$C$48*IF(Summary!$D$30="Included Margin",IF(AND($B579&gt;Input!$C$9,Summary!$D$31&lt;&gt;"Included Margin"),0,1),0))</f>
        <v>-4.4999999999999997E-3</v>
      </c>
      <c r="AE579" s="159">
        <f>IF(E579="","",IF(Summary!$D$26="Included Margin",IF(AND($B579&gt;Input!$C$9,Summary!$D$31&lt;&gt;"Included Margin"),1,1/$R579),1))</f>
        <v>1.2656546088760101</v>
      </c>
      <c r="AF579" s="160">
        <f>IF(E579="","",IF(AND($B579&gt;=Input!$C$9,$C579=12,Summary!$D$31="Included Margin",$U579&gt;0),1/U579-1,IF($B579&gt;=Input!$C$9,0,Input!$C$45*IF(Summary!$D$27="Included Margin",1,0))))</f>
        <v>0</v>
      </c>
      <c r="AG579" s="160">
        <f>IF(E579="","",Input!$C$46*IF(Summary!$D$28="Included Margin",IF(AND($B579&gt;Input!$C$9,Summary!$D$31&lt;&gt;"Included Margin"),0,1),0))</f>
        <v>0.02</v>
      </c>
      <c r="AH579" s="158">
        <f>IF(E579="","",Input!$C$47*IF(Summary!$D$29="Included Margin",IF(AND($B579&gt;Input!$C$9,Summary!$D$31&lt;&gt;"Included Margin"),0,1),0))</f>
        <v>2.5000000000000001E-3</v>
      </c>
      <c r="AI579" s="154"/>
      <c r="AJ579" s="158">
        <f t="shared" si="353"/>
        <v>4.2750000000000003E-2</v>
      </c>
      <c r="AK579" s="155">
        <f t="shared" si="354"/>
        <v>3.4945462468616295E-3</v>
      </c>
      <c r="AL579" s="147">
        <f t="shared" si="355"/>
        <v>0.73184130599999986</v>
      </c>
      <c r="AM579" s="147">
        <f t="shared" si="333"/>
        <v>0.10388037152276985</v>
      </c>
      <c r="AN579" s="160">
        <f t="shared" si="356"/>
        <v>0</v>
      </c>
      <c r="AO579" s="161">
        <f t="shared" si="357"/>
        <v>0</v>
      </c>
      <c r="AP579" s="156">
        <f t="shared" si="334"/>
        <v>2.845613312557282</v>
      </c>
      <c r="AQ579" s="152"/>
      <c r="AR579" s="162">
        <f t="shared" si="335"/>
        <v>19630.272836423959</v>
      </c>
      <c r="AS579" s="150">
        <f t="shared" si="358"/>
        <v>0</v>
      </c>
      <c r="AT579" s="163">
        <f t="shared" si="336"/>
        <v>0</v>
      </c>
      <c r="AU579" s="163">
        <f t="shared" si="337"/>
        <v>10388.037152276986</v>
      </c>
      <c r="AV579" s="163">
        <f t="shared" si="359"/>
        <v>50.448158144020788</v>
      </c>
      <c r="AW579" s="163">
        <f t="shared" si="338"/>
        <v>1077.2342308446184</v>
      </c>
      <c r="AX579" s="163">
        <f t="shared" si="339"/>
        <v>0</v>
      </c>
      <c r="AY579" s="164">
        <f t="shared" si="360"/>
        <v>10369.918073135614</v>
      </c>
      <c r="AZ579" s="164">
        <f>IF($E579="","",IF(OR(AND($D579=Input!$C$6,$C579=12),$AN579=1),0,-AS580+AT580+AU580-AV580-AW580-AX580+AZ580))</f>
        <v>10369.949732115621</v>
      </c>
      <c r="BA579" s="154">
        <f t="shared" si="340"/>
        <v>3.1658980007705395E-2</v>
      </c>
      <c r="BC579" s="147">
        <f t="shared" si="361"/>
        <v>7.528858208673572E-5</v>
      </c>
      <c r="BD579" s="164">
        <f>IF(AND($C578=12,$D578=Input!$C$6),0,IF($E579="","",AT579+(AU579+BD580)/(1+$AK579)*MIN((1-AM579-AN579),1)))</f>
        <v>2378.7022170734631</v>
      </c>
      <c r="BE579" s="164">
        <f t="shared" si="341"/>
        <v>0.17908911713003567</v>
      </c>
      <c r="BF579" s="164">
        <f t="shared" si="362"/>
        <v>10369.949732115621</v>
      </c>
      <c r="BG579" s="164">
        <f t="shared" si="342"/>
        <v>0.78073881164171</v>
      </c>
      <c r="BH579" s="152"/>
      <c r="BI579" s="162">
        <f t="shared" si="343"/>
        <v>-2542.7701788849772</v>
      </c>
      <c r="BJ579" s="150">
        <f t="shared" si="344"/>
        <v>0</v>
      </c>
      <c r="BK579" s="163">
        <f t="shared" si="366"/>
        <v>0</v>
      </c>
      <c r="BL579" s="163">
        <f t="shared" si="345"/>
        <v>4439.9640783943432</v>
      </c>
      <c r="BM579" s="163">
        <f t="shared" si="367"/>
        <v>-18.359062522608856</v>
      </c>
      <c r="BN579" s="163">
        <f t="shared" si="346"/>
        <v>-325.28796647411195</v>
      </c>
      <c r="BO579" s="163">
        <f t="shared" si="347"/>
        <v>0</v>
      </c>
      <c r="BP579" s="164">
        <f t="shared" si="368"/>
        <v>-7326.3812862760415</v>
      </c>
      <c r="BQ579" s="164">
        <f>IF($E579="","",IF(AND($D579=Input!$C$6,$C579=12),0,-BJ580+BK580+BL580-BM580-BN580-BO580+BQ580))</f>
        <v>-7326.3648248196696</v>
      </c>
      <c r="BR579" s="161">
        <f t="shared" si="348"/>
        <v>0</v>
      </c>
      <c r="BT579" s="147">
        <f t="shared" si="349"/>
        <v>7.528858208673572E-5</v>
      </c>
      <c r="BU579" s="164">
        <f>IF(AND($C578=12,$D578=Input!$C$6),0,IF($E579="","",BK579+(BL579+BU580)/(1+$AK579)*MIN((1-T579-U579),1)))</f>
        <v>72868.869011272691</v>
      </c>
      <c r="BV579" s="164">
        <f t="shared" si="350"/>
        <v>5.4861938261227969</v>
      </c>
      <c r="BW579" s="164">
        <f t="shared" si="351"/>
        <v>-7326.3648248196696</v>
      </c>
      <c r="BX579" s="164">
        <f t="shared" si="352"/>
        <v>-0.55159161951080882</v>
      </c>
    </row>
    <row r="580" spans="1:76" s="150" customFormat="1" x14ac:dyDescent="0.25">
      <c r="A580" s="150">
        <f t="shared" si="363"/>
        <v>576</v>
      </c>
      <c r="B580" s="150">
        <f t="shared" si="364"/>
        <v>48</v>
      </c>
      <c r="C580" s="150">
        <f t="shared" si="365"/>
        <v>12</v>
      </c>
      <c r="D580" s="150">
        <f>IF(E580="","",Input!$C$4+B580-1)</f>
        <v>92</v>
      </c>
      <c r="E580" s="150">
        <f>IF(OR(AND(C579=12,D579=Input!$C$6),E579=""),"",1)</f>
        <v>1</v>
      </c>
      <c r="F580" s="150">
        <f>IF(E580="","",Input!$C$8+B580-1)</f>
        <v>2065</v>
      </c>
      <c r="G580" s="151">
        <f>IF(E580="","",MAX(0,Input!$C$9-B580))</f>
        <v>0</v>
      </c>
      <c r="H580" s="152">
        <f>IF(E580="","",Input!$C$3)</f>
        <v>100000</v>
      </c>
      <c r="I580" s="153">
        <f>IF(E580="","",HLOOKUP($B580,Input!$C$13:$BT$14,2))</f>
        <v>474.12400000000008</v>
      </c>
      <c r="J580" s="154"/>
      <c r="K580" s="155">
        <f>IF($E580="","",INDEX(Input!$C$16:$CP$16,1,$B580))</f>
        <v>3.2250000000000001E-2</v>
      </c>
      <c r="L580" s="155">
        <f>IF($E580="","",Input!$C$37)</f>
        <v>1.4999999999999999E-2</v>
      </c>
      <c r="M580" s="155">
        <f t="shared" si="369"/>
        <v>4.725E-2</v>
      </c>
      <c r="N580" s="155">
        <f t="shared" si="370"/>
        <v>3.8547171219420751E-3</v>
      </c>
      <c r="O580" s="147">
        <f>IF($E580="","",MIN(VLOOKUP(IF($B580&lt;=Input!$C$7,$B580,26),'Mortality Tables'!$A$41:$CW$67,IF($B580&lt;=Input!$C$7+1,Input!$C$4+2,$D580-Input!$C$7+2),0)*IF(B580&gt;20,Input!$C$22,1)/1000,1))</f>
        <v>0.53176480000000004</v>
      </c>
      <c r="P580" s="147">
        <f>IF($E580="","",MIN(VLOOKUP(IF($B580&lt;=Input!$C$7,$B580,26),'Mortality Tables'!$A$12:$CW$37,IF($B580&lt;=Input!$C$7+1,Input!$C$4+2,$D580-Input!$C$7+2),0)*IF(B580&gt;20,Input!$C$22,1)/1000,1))</f>
        <v>0.66470600000000002</v>
      </c>
      <c r="Q580" s="155">
        <f>IF($E580="","",Input!$C$21)</f>
        <v>5.0000000000000001E-3</v>
      </c>
      <c r="R580" s="159">
        <f>IF($E580="","",(1-Q580)^($F580-Input!$C$20))</f>
        <v>0.79010497254702838</v>
      </c>
      <c r="S580" s="147">
        <f t="shared" si="331"/>
        <v>0.42015001270547608</v>
      </c>
      <c r="T580" s="147">
        <f t="shared" si="332"/>
        <v>4.4399640783943428E-2</v>
      </c>
      <c r="U580" s="160">
        <f>IF($E580="","",IF($C580=12,INDEX(Input!$C$15:$CP$15,1,$B580),0))</f>
        <v>0.1</v>
      </c>
      <c r="V580" s="150">
        <f>IF(E580="","",IF(C580=1,IF($B580=1,Input!$C$33,Input!$C$34),0))</f>
        <v>0</v>
      </c>
      <c r="W580" s="156">
        <f>IF($E580="","",Input!$C$35)</f>
        <v>0.02</v>
      </c>
      <c r="X580" s="156">
        <f t="shared" si="371"/>
        <v>2.53634351519552</v>
      </c>
      <c r="Y580" s="154"/>
      <c r="Z580" s="147">
        <f>IF($E580="","",VLOOKUP($D580,'Mortality Margins &amp; Grading'!$AB$5:$AF$125,3,0)*IF(Summary!$D$25="Included Margin",IF(AND($B580&gt;Input!$C$9,Summary!$D$31&lt;&gt;"Included Margin"),0,1),0))</f>
        <v>0.02</v>
      </c>
      <c r="AA580" s="147">
        <f>IF($E580="","",VLOOKUP($D580,'Mortality Margins &amp; Grading'!$AB$5:$AF$125,5,0)*IF(Summary!$D$25="Included Margin",IF(AND($B580&gt;Input!$C$9,Summary!$D$31&lt;&gt;"Included Margin"),0,1),0))</f>
        <v>0.10100000000000001</v>
      </c>
      <c r="AB580" s="147">
        <f>IF($E580="","",IF(AND($B580&gt;Input!$C$9,Summary!$D$31&lt;&gt;"Included Margin"),1,IF(Summary!$D$25="Included Margin",VLOOKUP($B580,'Mortality Margins &amp; Grading'!$AI$5:$AR$125,MATCH('Mortality Margins &amp; Grading'!$AQ$4,'Mortality Margins &amp; Grading'!$AI$4:$AR$4,0),0),1)))</f>
        <v>0</v>
      </c>
      <c r="AC580" s="154"/>
      <c r="AD580" s="158">
        <f>IF(E580="","",Input!$C$48*IF(Summary!$D$30="Included Margin",IF(AND($B580&gt;Input!$C$9,Summary!$D$31&lt;&gt;"Included Margin"),0,1),0))</f>
        <v>-4.4999999999999997E-3</v>
      </c>
      <c r="AE580" s="159">
        <f>IF(E580="","",IF(Summary!$D$26="Included Margin",IF(AND($B580&gt;Input!$C$9,Summary!$D$31&lt;&gt;"Included Margin"),1,1/$R580),1))</f>
        <v>1.2656546088760101</v>
      </c>
      <c r="AF580" s="160">
        <f>IF(E580="","",IF(AND($B580&gt;=Input!$C$9,$C580=12,Summary!$D$31="Included Margin",$U580&gt;0),1/U580-1,IF($B580&gt;=Input!$C$9,0,Input!$C$45*IF(Summary!$D$27="Included Margin",1,0))))</f>
        <v>9</v>
      </c>
      <c r="AG580" s="160">
        <f>IF(E580="","",Input!$C$46*IF(Summary!$D$28="Included Margin",IF(AND($B580&gt;Input!$C$9,Summary!$D$31&lt;&gt;"Included Margin"),0,1),0))</f>
        <v>0.02</v>
      </c>
      <c r="AH580" s="158">
        <f>IF(E580="","",Input!$C$47*IF(Summary!$D$29="Included Margin",IF(AND($B580&gt;Input!$C$9,Summary!$D$31&lt;&gt;"Included Margin"),0,1),0))</f>
        <v>2.5000000000000001E-3</v>
      </c>
      <c r="AI580" s="154"/>
      <c r="AJ580" s="158">
        <f t="shared" si="353"/>
        <v>4.2750000000000003E-2</v>
      </c>
      <c r="AK580" s="155">
        <f t="shared" si="354"/>
        <v>3.4945462468616295E-3</v>
      </c>
      <c r="AL580" s="147">
        <f t="shared" si="355"/>
        <v>0.73184130599999986</v>
      </c>
      <c r="AM580" s="147">
        <f t="shared" si="333"/>
        <v>0.10388037152276985</v>
      </c>
      <c r="AN580" s="160">
        <f t="shared" si="356"/>
        <v>1</v>
      </c>
      <c r="AO580" s="161">
        <f t="shared" si="357"/>
        <v>0</v>
      </c>
      <c r="AP580" s="156">
        <f t="shared" si="334"/>
        <v>2.845613312557282</v>
      </c>
      <c r="AQ580" s="152"/>
      <c r="AR580" s="162">
        <f t="shared" si="335"/>
        <v>10369.918073135615</v>
      </c>
      <c r="AS580" s="150">
        <f t="shared" si="358"/>
        <v>0</v>
      </c>
      <c r="AT580" s="163">
        <f t="shared" si="336"/>
        <v>0</v>
      </c>
      <c r="AU580" s="163">
        <f t="shared" si="337"/>
        <v>10388.037152276986</v>
      </c>
      <c r="AV580" s="163">
        <f t="shared" si="359"/>
        <v>18.087420161364292</v>
      </c>
      <c r="AW580" s="163">
        <f t="shared" si="338"/>
        <v>0</v>
      </c>
      <c r="AX580" s="163">
        <f t="shared" si="339"/>
        <v>0</v>
      </c>
      <c r="AY580" s="165">
        <f t="shared" si="360"/>
        <v>-3.1658980005801141E-2</v>
      </c>
      <c r="AZ580" s="164">
        <f>IF($E580="","",IF(OR(AND($D580=Input!$C$6,$C580=12),$AN580=1),0,-AS581+AT581+AU581-AV581-AW581-AX581+AZ581))</f>
        <v>0</v>
      </c>
      <c r="BA580" s="154">
        <f t="shared" si="340"/>
        <v>3.1658980005801141E-2</v>
      </c>
      <c r="BC580" s="147">
        <f t="shared" si="361"/>
        <v>6.4416937878278649E-5</v>
      </c>
      <c r="BD580" s="164">
        <f>IF(AND($C579=12,$D579=Input!$C$6),0,IF($E580="","",AT580+(AU580+BD581)/(1+$AK580)*MIN((1-AM580-AN580),1)))</f>
        <v>-7724.3138879682056</v>
      </c>
      <c r="BE580" s="164">
        <f t="shared" si="341"/>
        <v>-0.49757664787357292</v>
      </c>
      <c r="BF580" s="164">
        <f t="shared" si="362"/>
        <v>0</v>
      </c>
      <c r="BG580" s="164">
        <f t="shared" si="342"/>
        <v>0</v>
      </c>
      <c r="BH580" s="152"/>
      <c r="BI580" s="162">
        <f t="shared" si="343"/>
        <v>-7326.3812862760424</v>
      </c>
      <c r="BJ580" s="150">
        <f t="shared" si="344"/>
        <v>0</v>
      </c>
      <c r="BK580" s="163">
        <f t="shared" si="366"/>
        <v>0</v>
      </c>
      <c r="BL580" s="163">
        <f t="shared" si="345"/>
        <v>4439.9640783943432</v>
      </c>
      <c r="BM580" s="163">
        <f t="shared" si="367"/>
        <v>-36.798530162981486</v>
      </c>
      <c r="BN580" s="163">
        <f t="shared" si="346"/>
        <v>-609.3372647477911</v>
      </c>
      <c r="BO580" s="163">
        <f t="shared" si="347"/>
        <v>-1311.4586037085548</v>
      </c>
      <c r="BP580" s="164">
        <f t="shared" si="368"/>
        <v>-13723.939763289714</v>
      </c>
      <c r="BQ580" s="164">
        <f>IF($E580="","",IF(AND($D580=Input!$C$6,$C580=12),0,-BJ581+BK581+BL581-BM581-BN581-BO581+BQ581))</f>
        <v>-13723.92330183334</v>
      </c>
      <c r="BR580" s="161">
        <f t="shared" si="348"/>
        <v>0</v>
      </c>
      <c r="BT580" s="147">
        <f t="shared" si="349"/>
        <v>6.4416937878278649E-5</v>
      </c>
      <c r="BU580" s="164">
        <f>IF(AND($C579=12,$D579=Input!$C$6),0,IF($E580="","",BK580+(BL580+BU581)/(1+$AK580)*MIN((1-T580-U580),1)))</f>
        <v>72081.054293738998</v>
      </c>
      <c r="BV580" s="164">
        <f t="shared" si="350"/>
        <v>4.6432407966406153</v>
      </c>
      <c r="BW580" s="164">
        <f t="shared" si="351"/>
        <v>-13723.92330183334</v>
      </c>
      <c r="BX580" s="164">
        <f t="shared" si="352"/>
        <v>-0.884053114780459</v>
      </c>
    </row>
    <row r="581" spans="1:76" s="150" customFormat="1" x14ac:dyDescent="0.25">
      <c r="A581" s="150">
        <f t="shared" si="363"/>
        <v>577</v>
      </c>
      <c r="B581" s="150">
        <f t="shared" si="364"/>
        <v>49</v>
      </c>
      <c r="C581" s="150">
        <f t="shared" si="365"/>
        <v>1</v>
      </c>
      <c r="D581" s="150">
        <f>IF(E581="","",Input!$C$4+B581-1)</f>
        <v>93</v>
      </c>
      <c r="E581" s="150">
        <f>IF(OR(AND(C580=12,D580=Input!$C$6),E580=""),"",1)</f>
        <v>1</v>
      </c>
      <c r="F581" s="150">
        <f>IF(E581="","",Input!$C$8+B581-1)</f>
        <v>2066</v>
      </c>
      <c r="G581" s="151">
        <f>IF(E581="","",MAX(0,Input!$C$9-B581))</f>
        <v>0</v>
      </c>
      <c r="H581" s="152">
        <f>IF(E581="","",Input!$C$3)</f>
        <v>100000</v>
      </c>
      <c r="I581" s="153">
        <f>IF(E581="","",HLOOKUP($B581,Input!$C$13:$BT$14,2))</f>
        <v>518.15050000000008</v>
      </c>
      <c r="J581" s="154"/>
      <c r="K581" s="155">
        <f>IF($E581="","",INDEX(Input!$C$16:$CP$16,1,$B581))</f>
        <v>3.2340000000000001E-2</v>
      </c>
      <c r="L581" s="155">
        <f>IF($E581="","",Input!$C$37)</f>
        <v>1.4999999999999999E-2</v>
      </c>
      <c r="M581" s="155">
        <f t="shared" si="369"/>
        <v>4.734E-2</v>
      </c>
      <c r="N581" s="155">
        <f t="shared" si="370"/>
        <v>3.8619060585278753E-3</v>
      </c>
      <c r="O581" s="147">
        <f>IF($E581="","",MIN(VLOOKUP(IF($B581&lt;=Input!$C$7,$B581,26),'Mortality Tables'!$A$41:$CW$67,IF($B581&lt;=Input!$C$7+1,Input!$C$4+2,$D581-Input!$C$7+2),0)*IF(B581&gt;20,Input!$C$22,1)/1000,1))</f>
        <v>0.58061840000000009</v>
      </c>
      <c r="P581" s="147">
        <f>IF($E581="","",MIN(VLOOKUP(IF($B581&lt;=Input!$C$7,$B581,26),'Mortality Tables'!$A$12:$CW$37,IF($B581&lt;=Input!$C$7+1,Input!$C$4+2,$D581-Input!$C$7+2),0)*IF(B581&gt;20,Input!$C$22,1)/1000,1))</f>
        <v>0.725773</v>
      </c>
      <c r="Q581" s="155">
        <f>IF($E581="","",Input!$C$21)</f>
        <v>5.0000000000000001E-3</v>
      </c>
      <c r="R581" s="159">
        <f>IF($E581="","",(1-Q581)^($F581-Input!$C$20))</f>
        <v>0.78615444768429321</v>
      </c>
      <c r="S581" s="147">
        <f t="shared" ref="S581:S644" si="372">IF($E581="","",MIN(O581*R581,1))</f>
        <v>0.45645573756733809</v>
      </c>
      <c r="T581" s="147">
        <f t="shared" ref="T581:T644" si="373">IF($E581="","",1-(1-S581)^(1/12))</f>
        <v>4.9534750553619111E-2</v>
      </c>
      <c r="U581" s="160">
        <f>IF($E581="","",IF($C581=12,INDEX(Input!$C$15:$CP$15,1,$B581),0))</f>
        <v>0</v>
      </c>
      <c r="V581" s="150">
        <f>IF(E581="","",IF(C581=1,IF($B581=1,Input!$C$33,Input!$C$34),0))</f>
        <v>50</v>
      </c>
      <c r="W581" s="156">
        <f>IF($E581="","",Input!$C$35)</f>
        <v>0.02</v>
      </c>
      <c r="X581" s="156">
        <f t="shared" si="371"/>
        <v>2.5870703854994304</v>
      </c>
      <c r="Y581" s="154"/>
      <c r="Z581" s="147">
        <f>IF($E581="","",VLOOKUP($D581,'Mortality Margins &amp; Grading'!$AB$5:$AF$125,3,0)*IF(Summary!$D$25="Included Margin",IF(AND($B581&gt;Input!$C$9,Summary!$D$31&lt;&gt;"Included Margin"),0,1),0))</f>
        <v>0.02</v>
      </c>
      <c r="AA581" s="147">
        <f>IF($E581="","",VLOOKUP($D581,'Mortality Margins &amp; Grading'!$AB$5:$AF$125,5,0)*IF(Summary!$D$25="Included Margin",IF(AND($B581&gt;Input!$C$9,Summary!$D$31&lt;&gt;"Included Margin"),0,1),0))</f>
        <v>0.10100000000000001</v>
      </c>
      <c r="AB581" s="147">
        <f>IF($E581="","",IF(AND($B581&gt;Input!$C$9,Summary!$D$31&lt;&gt;"Included Margin"),1,IF(Summary!$D$25="Included Margin",VLOOKUP($B581,'Mortality Margins &amp; Grading'!$AI$5:$AR$125,MATCH('Mortality Margins &amp; Grading'!$AQ$4,'Mortality Margins &amp; Grading'!$AI$4:$AR$4,0),0),1)))</f>
        <v>0</v>
      </c>
      <c r="AC581" s="154"/>
      <c r="AD581" s="158">
        <f>IF(E581="","",Input!$C$48*IF(Summary!$D$30="Included Margin",IF(AND($B581&gt;Input!$C$9,Summary!$D$31&lt;&gt;"Included Margin"),0,1),0))</f>
        <v>-4.4999999999999997E-3</v>
      </c>
      <c r="AE581" s="159">
        <f>IF(E581="","",IF(Summary!$D$26="Included Margin",IF(AND($B581&gt;Input!$C$9,Summary!$D$31&lt;&gt;"Included Margin"),1,1/$R581),1))</f>
        <v>1.2720146822874474</v>
      </c>
      <c r="AF581" s="160">
        <f>IF(E581="","",IF(AND($B581&gt;=Input!$C$9,$C581=12,Summary!$D$31="Included Margin",$U581&gt;0),1/U581-1,IF($B581&gt;=Input!$C$9,0,Input!$C$45*IF(Summary!$D$27="Included Margin",1,0))))</f>
        <v>0</v>
      </c>
      <c r="AG581" s="160">
        <f>IF(E581="","",Input!$C$46*IF(Summary!$D$28="Included Margin",IF(AND($B581&gt;Input!$C$9,Summary!$D$31&lt;&gt;"Included Margin"),0,1),0))</f>
        <v>0.02</v>
      </c>
      <c r="AH581" s="158">
        <f>IF(E581="","",Input!$C$47*IF(Summary!$D$29="Included Margin",IF(AND($B581&gt;Input!$C$9,Summary!$D$31&lt;&gt;"Included Margin"),0,1),0))</f>
        <v>2.5000000000000001E-3</v>
      </c>
      <c r="AI581" s="154"/>
      <c r="AJ581" s="158">
        <f t="shared" si="353"/>
        <v>4.2840000000000003E-2</v>
      </c>
      <c r="AK581" s="155">
        <f t="shared" si="354"/>
        <v>3.5017636157277376E-3</v>
      </c>
      <c r="AL581" s="147">
        <f t="shared" si="355"/>
        <v>0.79907607299999983</v>
      </c>
      <c r="AM581" s="147">
        <f t="shared" ref="AM581:AM644" si="374">IF($E581="","",1-(1-AL581)^(1/12))</f>
        <v>0.12517878825177675</v>
      </c>
      <c r="AN581" s="160">
        <f t="shared" si="356"/>
        <v>0</v>
      </c>
      <c r="AO581" s="161">
        <f t="shared" si="357"/>
        <v>51</v>
      </c>
      <c r="AP581" s="156">
        <f t="shared" ref="AP581:AP644" si="375">IF($E581="","",IF(B581=1,1,IF(C581=1,(1+$W581+$AH581)*AP580,AP580)))</f>
        <v>2.9096396120898209</v>
      </c>
      <c r="AQ581" s="152"/>
      <c r="AR581" s="162">
        <f t="shared" ref="AR581:AR644" si="376">IF($E581="","",(AZ581*(1-$AN581)*(1-$AM581)/(1+$AK581)+AU581/(1+$AK581/2)-AS581+AT581))</f>
        <v>27006.842237756708</v>
      </c>
      <c r="AS581" s="150">
        <f t="shared" si="358"/>
        <v>51815.05000000001</v>
      </c>
      <c r="AT581" s="163">
        <f t="shared" ref="AT581:AT644" si="377">IF($E581="","",$AO581*$AP581)</f>
        <v>148.39162021658086</v>
      </c>
      <c r="AU581" s="163">
        <f t="shared" ref="AU581:AU644" si="378">IF($E581="","",$AM581*$H581)</f>
        <v>12517.878825177675</v>
      </c>
      <c r="AV581" s="163">
        <f t="shared" si="359"/>
        <v>253.57867567638783</v>
      </c>
      <c r="AW581" s="163">
        <f t="shared" ref="AW581:AW644" si="379">IF($E581="","",AZ581*$AM581)</f>
        <v>9502.5451223819637</v>
      </c>
      <c r="AX581" s="163">
        <f t="shared" ref="AX581:AX644" si="380">IF($E581="","",$AN581*AZ581*(1-$AM581))</f>
        <v>0</v>
      </c>
      <c r="AY581" s="164">
        <f t="shared" si="360"/>
        <v>75911.745590420818</v>
      </c>
      <c r="AZ581" s="164">
        <f>IF($E581="","",IF(OR(AND($D581=Input!$C$6,$C581=12),$AN581=1),0,-AS582+AT582+AU582-AV582-AW582-AX582+AZ582))</f>
        <v>75911.783897996691</v>
      </c>
      <c r="BA581" s="154">
        <f t="shared" ref="BA581:BA644" si="381">IF(E581="","",AZ581-AY581)</f>
        <v>3.8307575872750022E-2</v>
      </c>
      <c r="BC581" s="147">
        <f t="shared" si="361"/>
        <v>6.1226060929050135E-5</v>
      </c>
      <c r="BD581" s="164">
        <f>IF(AND($C580=12,$D580=Input!$C$6),0,IF($E581="","",AT581+(AU581+BD582)/(1+$AK581)*MIN((1-AM581-AN581),1)))</f>
        <v>64229.59028252626</v>
      </c>
      <c r="BE581" s="164">
        <f t="shared" ref="BE581:BE644" si="382">IF($E581="","",BC581*BD581)</f>
        <v>3.9325248080858795</v>
      </c>
      <c r="BF581" s="164">
        <f t="shared" si="362"/>
        <v>75911.783897996691</v>
      </c>
      <c r="BG581" s="164">
        <f t="shared" ref="BG581:BG644" si="383">IF($E581="","",BC581*BF581)</f>
        <v>4.6477795061716325</v>
      </c>
      <c r="BH581" s="152"/>
      <c r="BI581" s="162">
        <f t="shared" ref="BI581:BI644" si="384">IF($E581="","",(BQ581*(1-$U581)*(1-$T581)/(1+$N581)+BL581/(1+$N581/2)-BJ581+BK581))</f>
        <v>-13723.941735664526</v>
      </c>
      <c r="BJ581" s="150">
        <f t="shared" ref="BJ581:BJ644" si="385">IF($E581="","",AS581)</f>
        <v>51815.05000000001</v>
      </c>
      <c r="BK581" s="163">
        <f t="shared" si="366"/>
        <v>129.35351927497152</v>
      </c>
      <c r="BL581" s="163">
        <f t="shared" ref="BL581:BL644" si="386">IF(E581="","",$T581*$H581)</f>
        <v>4953.4750553619115</v>
      </c>
      <c r="BM581" s="163">
        <f t="shared" si="367"/>
        <v>137.03980297876407</v>
      </c>
      <c r="BN581" s="163">
        <f t="shared" ref="BN581:BN644" si="387">IF($E581="","",BQ581*$T581)</f>
        <v>1727.4130192148959</v>
      </c>
      <c r="BO581" s="163">
        <f t="shared" ref="BO581:BO644" si="388">IF($E581="","",$U581*BQ581*(1-$T581))</f>
        <v>0</v>
      </c>
      <c r="BP581" s="164">
        <f t="shared" si="368"/>
        <v>34872.73251189226</v>
      </c>
      <c r="BQ581" s="164">
        <f>IF($E581="","",IF(AND($D581=Input!$C$6,$C581=12),0,-BJ582+BK582+BL582-BM582-BN582-BO582+BQ582))</f>
        <v>34872.750945723448</v>
      </c>
      <c r="BR581" s="161">
        <f t="shared" ref="BR581:BR644" si="389">IF(E581="","",ROUND(BQ581-BP581,1))</f>
        <v>0</v>
      </c>
      <c r="BT581" s="147">
        <f t="shared" ref="BT581:BT644" si="390">IF(E581="","",BC581)</f>
        <v>6.1226060929050135E-5</v>
      </c>
      <c r="BU581" s="164">
        <f>IF(AND($C580=12,$D580=Input!$C$6),0,IF($E581="","",BK581+(BL581+BU582)/(1+$AK581)*MIN((1-T581-U581),1)))</f>
        <v>80100.609207205984</v>
      </c>
      <c r="BV581" s="164">
        <f t="shared" ref="BV581:BV644" si="391">IF(E581="","",BT581*BU581)</f>
        <v>4.9042447797744275</v>
      </c>
      <c r="BW581" s="164">
        <f t="shared" ref="BW581:BW644" si="392">IF(E581="","",BQ581)</f>
        <v>34872.750945723448</v>
      </c>
      <c r="BX581" s="164">
        <f t="shared" ref="BX581:BX644" si="393">IF(E581="","",BT581*BW581)</f>
        <v>2.1351211741664544</v>
      </c>
    </row>
    <row r="582" spans="1:76" s="150" customFormat="1" x14ac:dyDescent="0.25">
      <c r="A582" s="150">
        <f t="shared" si="363"/>
        <v>578</v>
      </c>
      <c r="B582" s="150">
        <f t="shared" si="364"/>
        <v>49</v>
      </c>
      <c r="C582" s="150">
        <f t="shared" si="365"/>
        <v>2</v>
      </c>
      <c r="D582" s="150">
        <f>IF(E582="","",Input!$C$4+B582-1)</f>
        <v>93</v>
      </c>
      <c r="E582" s="150">
        <f>IF(OR(AND(C581=12,D581=Input!$C$6),E581=""),"",1)</f>
        <v>1</v>
      </c>
      <c r="F582" s="150">
        <f>IF(E582="","",Input!$C$8+B582-1)</f>
        <v>2066</v>
      </c>
      <c r="G582" s="151">
        <f>IF(E582="","",MAX(0,Input!$C$9-B582))</f>
        <v>0</v>
      </c>
      <c r="H582" s="152">
        <f>IF(E582="","",Input!$C$3)</f>
        <v>100000</v>
      </c>
      <c r="I582" s="153">
        <f>IF(E582="","",HLOOKUP($B582,Input!$C$13:$BT$14,2))</f>
        <v>518.15050000000008</v>
      </c>
      <c r="J582" s="154"/>
      <c r="K582" s="155">
        <f>IF($E582="","",INDEX(Input!$C$16:$CP$16,1,$B582))</f>
        <v>3.2340000000000001E-2</v>
      </c>
      <c r="L582" s="155">
        <f>IF($E582="","",Input!$C$37)</f>
        <v>1.4999999999999999E-2</v>
      </c>
      <c r="M582" s="155">
        <f t="shared" si="369"/>
        <v>4.734E-2</v>
      </c>
      <c r="N582" s="155">
        <f t="shared" si="370"/>
        <v>3.8619060585278753E-3</v>
      </c>
      <c r="O582" s="147">
        <f>IF($E582="","",MIN(VLOOKUP(IF($B582&lt;=Input!$C$7,$B582,26),'Mortality Tables'!$A$41:$CW$67,IF($B582&lt;=Input!$C$7+1,Input!$C$4+2,$D582-Input!$C$7+2),0)*IF(B582&gt;20,Input!$C$22,1)/1000,1))</f>
        <v>0.58061840000000009</v>
      </c>
      <c r="P582" s="147">
        <f>IF($E582="","",MIN(VLOOKUP(IF($B582&lt;=Input!$C$7,$B582,26),'Mortality Tables'!$A$12:$CW$37,IF($B582&lt;=Input!$C$7+1,Input!$C$4+2,$D582-Input!$C$7+2),0)*IF(B582&gt;20,Input!$C$22,1)/1000,1))</f>
        <v>0.725773</v>
      </c>
      <c r="Q582" s="155">
        <f>IF($E582="","",Input!$C$21)</f>
        <v>5.0000000000000001E-3</v>
      </c>
      <c r="R582" s="159">
        <f>IF($E582="","",(1-Q582)^($F582-Input!$C$20))</f>
        <v>0.78615444768429321</v>
      </c>
      <c r="S582" s="147">
        <f t="shared" si="372"/>
        <v>0.45645573756733809</v>
      </c>
      <c r="T582" s="147">
        <f t="shared" si="373"/>
        <v>4.9534750553619111E-2</v>
      </c>
      <c r="U582" s="160">
        <f>IF($E582="","",IF($C582=12,INDEX(Input!$C$15:$CP$15,1,$B582),0))</f>
        <v>0</v>
      </c>
      <c r="V582" s="150">
        <f>IF(E582="","",IF(C582=1,IF($B582=1,Input!$C$33,Input!$C$34),0))</f>
        <v>0</v>
      </c>
      <c r="W582" s="156">
        <f>IF($E582="","",Input!$C$35)</f>
        <v>0.02</v>
      </c>
      <c r="X582" s="156">
        <f t="shared" si="371"/>
        <v>2.5870703854994304</v>
      </c>
      <c r="Y582" s="154"/>
      <c r="Z582" s="147">
        <f>IF($E582="","",VLOOKUP($D582,'Mortality Margins &amp; Grading'!$AB$5:$AF$125,3,0)*IF(Summary!$D$25="Included Margin",IF(AND($B582&gt;Input!$C$9,Summary!$D$31&lt;&gt;"Included Margin"),0,1),0))</f>
        <v>0.02</v>
      </c>
      <c r="AA582" s="147">
        <f>IF($E582="","",VLOOKUP($D582,'Mortality Margins &amp; Grading'!$AB$5:$AF$125,5,0)*IF(Summary!$D$25="Included Margin",IF(AND($B582&gt;Input!$C$9,Summary!$D$31&lt;&gt;"Included Margin"),0,1),0))</f>
        <v>0.10100000000000001</v>
      </c>
      <c r="AB582" s="147">
        <f>IF($E582="","",IF(AND($B582&gt;Input!$C$9,Summary!$D$31&lt;&gt;"Included Margin"),1,IF(Summary!$D$25="Included Margin",VLOOKUP($B582,'Mortality Margins &amp; Grading'!$AI$5:$AR$125,MATCH('Mortality Margins &amp; Grading'!$AQ$4,'Mortality Margins &amp; Grading'!$AI$4:$AR$4,0),0),1)))</f>
        <v>0</v>
      </c>
      <c r="AC582" s="154"/>
      <c r="AD582" s="158">
        <f>IF(E582="","",Input!$C$48*IF(Summary!$D$30="Included Margin",IF(AND($B582&gt;Input!$C$9,Summary!$D$31&lt;&gt;"Included Margin"),0,1),0))</f>
        <v>-4.4999999999999997E-3</v>
      </c>
      <c r="AE582" s="159">
        <f>IF(E582="","",IF(Summary!$D$26="Included Margin",IF(AND($B582&gt;Input!$C$9,Summary!$D$31&lt;&gt;"Included Margin"),1,1/$R582),1))</f>
        <v>1.2720146822874474</v>
      </c>
      <c r="AF582" s="160">
        <f>IF(E582="","",IF(AND($B582&gt;=Input!$C$9,$C582=12,Summary!$D$31="Included Margin",$U582&gt;0),1/U582-1,IF($B582&gt;=Input!$C$9,0,Input!$C$45*IF(Summary!$D$27="Included Margin",1,0))))</f>
        <v>0</v>
      </c>
      <c r="AG582" s="160">
        <f>IF(E582="","",Input!$C$46*IF(Summary!$D$28="Included Margin",IF(AND($B582&gt;Input!$C$9,Summary!$D$31&lt;&gt;"Included Margin"),0,1),0))</f>
        <v>0.02</v>
      </c>
      <c r="AH582" s="158">
        <f>IF(E582="","",Input!$C$47*IF(Summary!$D$29="Included Margin",IF(AND($B582&gt;Input!$C$9,Summary!$D$31&lt;&gt;"Included Margin"),0,1),0))</f>
        <v>2.5000000000000001E-3</v>
      </c>
      <c r="AI582" s="154"/>
      <c r="AJ582" s="158">
        <f t="shared" ref="AJ582:AJ645" si="394">IF(E582="","",M582+AD582)</f>
        <v>4.2840000000000003E-2</v>
      </c>
      <c r="AK582" s="155">
        <f t="shared" ref="AK582:AK645" si="395">IF(E582="","",(1+AJ582)^(1/12)-1)</f>
        <v>3.5017636157277376E-3</v>
      </c>
      <c r="AL582" s="147">
        <f t="shared" ref="AL582:AL645" si="396">IF($E582="","",MIN(($O582*(1+$Z582)*$AB582+$P582*(1+$AA582)*(1-$AB582))*R582*AE582,1))</f>
        <v>0.79907607299999983</v>
      </c>
      <c r="AM582" s="147">
        <f t="shared" si="374"/>
        <v>0.12517878825177675</v>
      </c>
      <c r="AN582" s="160">
        <f t="shared" ref="AN582:AN645" si="397">IF(E582="","",IF(U582=1,1,(1+AF582)*U582))</f>
        <v>0</v>
      </c>
      <c r="AO582" s="161">
        <f t="shared" ref="AO582:AO645" si="398">IF($E582="","",(1+$AG582)*$V582)</f>
        <v>0</v>
      </c>
      <c r="AP582" s="156">
        <f t="shared" si="375"/>
        <v>2.9096396120898209</v>
      </c>
      <c r="AQ582" s="152"/>
      <c r="AR582" s="162">
        <f t="shared" si="376"/>
        <v>75911.745590420818</v>
      </c>
      <c r="AS582" s="150">
        <f t="shared" ref="AS582:AS645" si="399">IF($E582="","",IF($C582=1,$I582*$H582/1000,0))</f>
        <v>0</v>
      </c>
      <c r="AT582" s="163">
        <f t="shared" si="377"/>
        <v>0</v>
      </c>
      <c r="AU582" s="163">
        <f t="shared" si="378"/>
        <v>12517.878825177675</v>
      </c>
      <c r="AV582" s="163">
        <f t="shared" ref="AV582:AV645" si="400">IF($E582="","",(AR582+AS582-AT582-AU582/2)*$AK582)</f>
        <v>243.90766240686821</v>
      </c>
      <c r="AW582" s="163">
        <f t="shared" si="379"/>
        <v>9105.9798027413817</v>
      </c>
      <c r="AX582" s="163">
        <f t="shared" si="380"/>
        <v>0</v>
      </c>
      <c r="AY582" s="165">
        <f t="shared" ref="AY582:AY645" si="401">IF($E582="","",AR582+AS582-AT582-AU582+AV582+AW582+AX582)</f>
        <v>72743.754230391394</v>
      </c>
      <c r="AZ582" s="164">
        <f>IF($E582="","",IF(OR(AND($D582=Input!$C$6,$C582=12),$AN582=1),0,-AS583+AT583+AU583-AV583-AW583-AX583+AZ583))</f>
        <v>72743.792537967267</v>
      </c>
      <c r="BA582" s="154">
        <f t="shared" si="381"/>
        <v>3.8307575872750022E-2</v>
      </c>
      <c r="BC582" s="147">
        <f t="shared" ref="BC582:BC645" si="402">IF($E582="","",MIN(1,(1-T582-U582))*BC581)</f>
        <v>5.8193243273548953E-5</v>
      </c>
      <c r="BD582" s="164">
        <f>IF(AND($C581=12,$D581=Input!$C$6),0,IF($E582="","",AT582+(AU582+BD583)/(1+$AK582)*MIN((1-AM582-AN582),1)))</f>
        <v>60989.250412956273</v>
      </c>
      <c r="BE582" s="164">
        <f t="shared" si="382"/>
        <v>3.5491622863525603</v>
      </c>
      <c r="BF582" s="164">
        <f t="shared" ref="BF582:BF645" si="403">IF($E582="","",AZ582)</f>
        <v>72743.792537967267</v>
      </c>
      <c r="BG582" s="164">
        <f t="shared" si="383"/>
        <v>4.2331972158025044</v>
      </c>
      <c r="BH582" s="152"/>
      <c r="BI582" s="162">
        <f t="shared" si="384"/>
        <v>34872.73251189226</v>
      </c>
      <c r="BJ582" s="150">
        <f t="shared" si="385"/>
        <v>0</v>
      </c>
      <c r="BK582" s="163">
        <f t="shared" si="366"/>
        <v>0</v>
      </c>
      <c r="BL582" s="163">
        <f t="shared" si="386"/>
        <v>4953.4750553619115</v>
      </c>
      <c r="BM582" s="163">
        <f t="shared" si="367"/>
        <v>125.11028930156429</v>
      </c>
      <c r="BN582" s="163">
        <f t="shared" si="387"/>
        <v>1565.8028274185419</v>
      </c>
      <c r="BO582" s="163">
        <f t="shared" si="388"/>
        <v>0</v>
      </c>
      <c r="BP582" s="164">
        <f t="shared" si="368"/>
        <v>31610.170573250452</v>
      </c>
      <c r="BQ582" s="164">
        <f>IF($E582="","",IF(AND($D582=Input!$C$6,$C582=12),0,-BJ583+BK583+BL583-BM583-BN583-BO583+BQ583))</f>
        <v>31610.189007081641</v>
      </c>
      <c r="BR582" s="161">
        <f t="shared" si="389"/>
        <v>0</v>
      </c>
      <c r="BT582" s="147">
        <f t="shared" si="390"/>
        <v>5.8193243273548953E-5</v>
      </c>
      <c r="BU582" s="164">
        <f>IF(AND($C581=12,$D581=Input!$C$6),0,IF($E582="","",BK582+(BL582+BU583)/(1+$AK582)*MIN((1-T582-U582),1)))</f>
        <v>79480.223249912466</v>
      </c>
      <c r="BV582" s="164">
        <f t="shared" si="391"/>
        <v>4.6252119670181377</v>
      </c>
      <c r="BW582" s="164">
        <f t="shared" si="392"/>
        <v>31610.189007081641</v>
      </c>
      <c r="BX582" s="164">
        <f t="shared" si="393"/>
        <v>1.8394994188119647</v>
      </c>
    </row>
    <row r="583" spans="1:76" s="150" customFormat="1" x14ac:dyDescent="0.25">
      <c r="A583" s="150">
        <f t="shared" ref="A583:A646" si="404">IF(E583="","",A582+1)</f>
        <v>579</v>
      </c>
      <c r="B583" s="150">
        <f t="shared" ref="B583:B646" si="405">IF(E583="","",IF(C582+1&gt;12,B582+1,B582))</f>
        <v>49</v>
      </c>
      <c r="C583" s="150">
        <f t="shared" ref="C583:C646" si="406">IF(E583="","",IF(C582+1&gt;12,1,C582+1))</f>
        <v>3</v>
      </c>
      <c r="D583" s="150">
        <f>IF(E583="","",Input!$C$4+B583-1)</f>
        <v>93</v>
      </c>
      <c r="E583" s="150">
        <f>IF(OR(AND(C582=12,D582=Input!$C$6),E582=""),"",1)</f>
        <v>1</v>
      </c>
      <c r="F583" s="150">
        <f>IF(E583="","",Input!$C$8+B583-1)</f>
        <v>2066</v>
      </c>
      <c r="G583" s="151">
        <f>IF(E583="","",MAX(0,Input!$C$9-B583))</f>
        <v>0</v>
      </c>
      <c r="H583" s="152">
        <f>IF(E583="","",Input!$C$3)</f>
        <v>100000</v>
      </c>
      <c r="I583" s="153">
        <f>IF(E583="","",HLOOKUP($B583,Input!$C$13:$BT$14,2))</f>
        <v>518.15050000000008</v>
      </c>
      <c r="J583" s="154"/>
      <c r="K583" s="155">
        <f>IF($E583="","",INDEX(Input!$C$16:$CP$16,1,$B583))</f>
        <v>3.2340000000000001E-2</v>
      </c>
      <c r="L583" s="155">
        <f>IF($E583="","",Input!$C$37)</f>
        <v>1.4999999999999999E-2</v>
      </c>
      <c r="M583" s="155">
        <f t="shared" si="369"/>
        <v>4.734E-2</v>
      </c>
      <c r="N583" s="155">
        <f t="shared" si="370"/>
        <v>3.8619060585278753E-3</v>
      </c>
      <c r="O583" s="147">
        <f>IF($E583="","",MIN(VLOOKUP(IF($B583&lt;=Input!$C$7,$B583,26),'Mortality Tables'!$A$41:$CW$67,IF($B583&lt;=Input!$C$7+1,Input!$C$4+2,$D583-Input!$C$7+2),0)*IF(B583&gt;20,Input!$C$22,1)/1000,1))</f>
        <v>0.58061840000000009</v>
      </c>
      <c r="P583" s="147">
        <f>IF($E583="","",MIN(VLOOKUP(IF($B583&lt;=Input!$C$7,$B583,26),'Mortality Tables'!$A$12:$CW$37,IF($B583&lt;=Input!$C$7+1,Input!$C$4+2,$D583-Input!$C$7+2),0)*IF(B583&gt;20,Input!$C$22,1)/1000,1))</f>
        <v>0.725773</v>
      </c>
      <c r="Q583" s="155">
        <f>IF($E583="","",Input!$C$21)</f>
        <v>5.0000000000000001E-3</v>
      </c>
      <c r="R583" s="159">
        <f>IF($E583="","",(1-Q583)^($F583-Input!$C$20))</f>
        <v>0.78615444768429321</v>
      </c>
      <c r="S583" s="147">
        <f t="shared" si="372"/>
        <v>0.45645573756733809</v>
      </c>
      <c r="T583" s="147">
        <f t="shared" si="373"/>
        <v>4.9534750553619111E-2</v>
      </c>
      <c r="U583" s="160">
        <f>IF($E583="","",IF($C583=12,INDEX(Input!$C$15:$CP$15,1,$B583),0))</f>
        <v>0</v>
      </c>
      <c r="V583" s="150">
        <f>IF(E583="","",IF(C583=1,IF($B583=1,Input!$C$33,Input!$C$34),0))</f>
        <v>0</v>
      </c>
      <c r="W583" s="156">
        <f>IF($E583="","",Input!$C$35)</f>
        <v>0.02</v>
      </c>
      <c r="X583" s="156">
        <f t="shared" si="371"/>
        <v>2.5870703854994304</v>
      </c>
      <c r="Y583" s="154"/>
      <c r="Z583" s="147">
        <f>IF($E583="","",VLOOKUP($D583,'Mortality Margins &amp; Grading'!$AB$5:$AF$125,3,0)*IF(Summary!$D$25="Included Margin",IF(AND($B583&gt;Input!$C$9,Summary!$D$31&lt;&gt;"Included Margin"),0,1),0))</f>
        <v>0.02</v>
      </c>
      <c r="AA583" s="147">
        <f>IF($E583="","",VLOOKUP($D583,'Mortality Margins &amp; Grading'!$AB$5:$AF$125,5,0)*IF(Summary!$D$25="Included Margin",IF(AND($B583&gt;Input!$C$9,Summary!$D$31&lt;&gt;"Included Margin"),0,1),0))</f>
        <v>0.10100000000000001</v>
      </c>
      <c r="AB583" s="147">
        <f>IF($E583="","",IF(AND($B583&gt;Input!$C$9,Summary!$D$31&lt;&gt;"Included Margin"),1,IF(Summary!$D$25="Included Margin",VLOOKUP($B583,'Mortality Margins &amp; Grading'!$AI$5:$AR$125,MATCH('Mortality Margins &amp; Grading'!$AQ$4,'Mortality Margins &amp; Grading'!$AI$4:$AR$4,0),0),1)))</f>
        <v>0</v>
      </c>
      <c r="AC583" s="154"/>
      <c r="AD583" s="158">
        <f>IF(E583="","",Input!$C$48*IF(Summary!$D$30="Included Margin",IF(AND($B583&gt;Input!$C$9,Summary!$D$31&lt;&gt;"Included Margin"),0,1),0))</f>
        <v>-4.4999999999999997E-3</v>
      </c>
      <c r="AE583" s="159">
        <f>IF(E583="","",IF(Summary!$D$26="Included Margin",IF(AND($B583&gt;Input!$C$9,Summary!$D$31&lt;&gt;"Included Margin"),1,1/$R583),1))</f>
        <v>1.2720146822874474</v>
      </c>
      <c r="AF583" s="160">
        <f>IF(E583="","",IF(AND($B583&gt;=Input!$C$9,$C583=12,Summary!$D$31="Included Margin",$U583&gt;0),1/U583-1,IF($B583&gt;=Input!$C$9,0,Input!$C$45*IF(Summary!$D$27="Included Margin",1,0))))</f>
        <v>0</v>
      </c>
      <c r="AG583" s="160">
        <f>IF(E583="","",Input!$C$46*IF(Summary!$D$28="Included Margin",IF(AND($B583&gt;Input!$C$9,Summary!$D$31&lt;&gt;"Included Margin"),0,1),0))</f>
        <v>0.02</v>
      </c>
      <c r="AH583" s="158">
        <f>IF(E583="","",Input!$C$47*IF(Summary!$D$29="Included Margin",IF(AND($B583&gt;Input!$C$9,Summary!$D$31&lt;&gt;"Included Margin"),0,1),0))</f>
        <v>2.5000000000000001E-3</v>
      </c>
      <c r="AI583" s="154"/>
      <c r="AJ583" s="158">
        <f t="shared" si="394"/>
        <v>4.2840000000000003E-2</v>
      </c>
      <c r="AK583" s="155">
        <f t="shared" si="395"/>
        <v>3.5017636157277376E-3</v>
      </c>
      <c r="AL583" s="147">
        <f t="shared" si="396"/>
        <v>0.79907607299999983</v>
      </c>
      <c r="AM583" s="147">
        <f t="shared" si="374"/>
        <v>0.12517878825177675</v>
      </c>
      <c r="AN583" s="160">
        <f t="shared" si="397"/>
        <v>0</v>
      </c>
      <c r="AO583" s="161">
        <f t="shared" si="398"/>
        <v>0</v>
      </c>
      <c r="AP583" s="156">
        <f t="shared" si="375"/>
        <v>2.9096396120898209</v>
      </c>
      <c r="AQ583" s="152"/>
      <c r="AR583" s="162">
        <f t="shared" si="376"/>
        <v>72743.754230391394</v>
      </c>
      <c r="AS583" s="150">
        <f t="shared" si="399"/>
        <v>0</v>
      </c>
      <c r="AT583" s="163">
        <f t="shared" si="377"/>
        <v>0</v>
      </c>
      <c r="AU583" s="163">
        <f t="shared" si="378"/>
        <v>12517.878825177675</v>
      </c>
      <c r="AV583" s="163">
        <f t="shared" si="400"/>
        <v>232.81410552737736</v>
      </c>
      <c r="AW583" s="163">
        <f t="shared" si="379"/>
        <v>8651.0822850498589</v>
      </c>
      <c r="AX583" s="163">
        <f t="shared" si="380"/>
        <v>0</v>
      </c>
      <c r="AY583" s="164">
        <f t="shared" si="401"/>
        <v>69109.771795790963</v>
      </c>
      <c r="AZ583" s="164">
        <f>IF($E583="","",IF(OR(AND($D583=Input!$C$6,$C583=12),$AN583=1),0,-AS584+AT584+AU584-AV584-AW584-AX584+AZ584))</f>
        <v>69109.810103366835</v>
      </c>
      <c r="BA583" s="154">
        <f t="shared" si="381"/>
        <v>3.8307575872750022E-2</v>
      </c>
      <c r="BC583" s="147">
        <f t="shared" si="402"/>
        <v>5.5310655484087633E-5</v>
      </c>
      <c r="BD583" s="164">
        <f>IF(AND($C582=12,$D582=Input!$C$6),0,IF($E583="","",AT583+(AU583+BD584)/(1+$AK583)*MIN((1-AM583-AN583),1)))</f>
        <v>57442.496539631466</v>
      </c>
      <c r="BE583" s="164">
        <f t="shared" si="382"/>
        <v>3.1771821362494519</v>
      </c>
      <c r="BF583" s="164">
        <f t="shared" si="403"/>
        <v>69109.810103366835</v>
      </c>
      <c r="BG583" s="164">
        <f t="shared" si="383"/>
        <v>3.8225088971980417</v>
      </c>
      <c r="BH583" s="152"/>
      <c r="BI583" s="162">
        <f t="shared" si="384"/>
        <v>31610.170573250456</v>
      </c>
      <c r="BJ583" s="150">
        <f t="shared" si="385"/>
        <v>0</v>
      </c>
      <c r="BK583" s="163">
        <f t="shared" ref="BK583:BK646" si="407">IF($E583="","",$V583*$X583)</f>
        <v>0</v>
      </c>
      <c r="BL583" s="163">
        <f t="shared" si="386"/>
        <v>4953.4750553619115</v>
      </c>
      <c r="BM583" s="163">
        <f t="shared" ref="BM583:BM646" si="408">IF($E583="","",(BI583+BJ583-BK583-BL583/2)*$N583)</f>
        <v>112.51058158440107</v>
      </c>
      <c r="BN583" s="163">
        <f t="shared" si="387"/>
        <v>1395.1134568501084</v>
      </c>
      <c r="BO583" s="163">
        <f t="shared" si="388"/>
        <v>0</v>
      </c>
      <c r="BP583" s="164">
        <f t="shared" ref="BP583:BP646" si="409">IF($E583="","",BI583+BJ583-BK583-BL583+BM583+BN583+BO583)</f>
        <v>28164.319556323051</v>
      </c>
      <c r="BQ583" s="164">
        <f>IF($E583="","",IF(AND($D583=Input!$C$6,$C583=12),0,-BJ584+BK584+BL584-BM584-BN584-BO584+BQ584))</f>
        <v>28164.337990154239</v>
      </c>
      <c r="BR583" s="161">
        <f t="shared" si="389"/>
        <v>0</v>
      </c>
      <c r="BT583" s="147">
        <f t="shared" si="390"/>
        <v>5.5310655484087633E-5</v>
      </c>
      <c r="BU583" s="164">
        <f>IF(AND($C582=12,$D582=Input!$C$6),0,IF($E583="","",BK583+(BL583+BU584)/(1+$AK583)*MIN((1-T583-U583),1)))</f>
        <v>78961.790916030543</v>
      </c>
      <c r="BV583" s="164">
        <f t="shared" si="391"/>
        <v>4.3674284137631254</v>
      </c>
      <c r="BW583" s="164">
        <f t="shared" si="392"/>
        <v>28164.337990154239</v>
      </c>
      <c r="BX583" s="164">
        <f t="shared" si="393"/>
        <v>1.5577879955108223</v>
      </c>
    </row>
    <row r="584" spans="1:76" s="150" customFormat="1" x14ac:dyDescent="0.25">
      <c r="A584" s="150">
        <f t="shared" si="404"/>
        <v>580</v>
      </c>
      <c r="B584" s="150">
        <f t="shared" si="405"/>
        <v>49</v>
      </c>
      <c r="C584" s="150">
        <f t="shared" si="406"/>
        <v>4</v>
      </c>
      <c r="D584" s="150">
        <f>IF(E584="","",Input!$C$4+B584-1)</f>
        <v>93</v>
      </c>
      <c r="E584" s="150">
        <f>IF(OR(AND(C583=12,D583=Input!$C$6),E583=""),"",1)</f>
        <v>1</v>
      </c>
      <c r="F584" s="150">
        <f>IF(E584="","",Input!$C$8+B584-1)</f>
        <v>2066</v>
      </c>
      <c r="G584" s="151">
        <f>IF(E584="","",MAX(0,Input!$C$9-B584))</f>
        <v>0</v>
      </c>
      <c r="H584" s="152">
        <f>IF(E584="","",Input!$C$3)</f>
        <v>100000</v>
      </c>
      <c r="I584" s="153">
        <f>IF(E584="","",HLOOKUP($B584,Input!$C$13:$BT$14,2))</f>
        <v>518.15050000000008</v>
      </c>
      <c r="J584" s="154"/>
      <c r="K584" s="155">
        <f>IF($E584="","",INDEX(Input!$C$16:$CP$16,1,$B584))</f>
        <v>3.2340000000000001E-2</v>
      </c>
      <c r="L584" s="155">
        <f>IF($E584="","",Input!$C$37)</f>
        <v>1.4999999999999999E-2</v>
      </c>
      <c r="M584" s="155">
        <f t="shared" si="369"/>
        <v>4.734E-2</v>
      </c>
      <c r="N584" s="155">
        <f t="shared" si="370"/>
        <v>3.8619060585278753E-3</v>
      </c>
      <c r="O584" s="147">
        <f>IF($E584="","",MIN(VLOOKUP(IF($B584&lt;=Input!$C$7,$B584,26),'Mortality Tables'!$A$41:$CW$67,IF($B584&lt;=Input!$C$7+1,Input!$C$4+2,$D584-Input!$C$7+2),0)*IF(B584&gt;20,Input!$C$22,1)/1000,1))</f>
        <v>0.58061840000000009</v>
      </c>
      <c r="P584" s="147">
        <f>IF($E584="","",MIN(VLOOKUP(IF($B584&lt;=Input!$C$7,$B584,26),'Mortality Tables'!$A$12:$CW$37,IF($B584&lt;=Input!$C$7+1,Input!$C$4+2,$D584-Input!$C$7+2),0)*IF(B584&gt;20,Input!$C$22,1)/1000,1))</f>
        <v>0.725773</v>
      </c>
      <c r="Q584" s="155">
        <f>IF($E584="","",Input!$C$21)</f>
        <v>5.0000000000000001E-3</v>
      </c>
      <c r="R584" s="159">
        <f>IF($E584="","",(1-Q584)^($F584-Input!$C$20))</f>
        <v>0.78615444768429321</v>
      </c>
      <c r="S584" s="147">
        <f t="shared" si="372"/>
        <v>0.45645573756733809</v>
      </c>
      <c r="T584" s="147">
        <f t="shared" si="373"/>
        <v>4.9534750553619111E-2</v>
      </c>
      <c r="U584" s="160">
        <f>IF($E584="","",IF($C584=12,INDEX(Input!$C$15:$CP$15,1,$B584),0))</f>
        <v>0</v>
      </c>
      <c r="V584" s="150">
        <f>IF(E584="","",IF(C584=1,IF($B584=1,Input!$C$33,Input!$C$34),0))</f>
        <v>0</v>
      </c>
      <c r="W584" s="156">
        <f>IF($E584="","",Input!$C$35)</f>
        <v>0.02</v>
      </c>
      <c r="X584" s="156">
        <f t="shared" si="371"/>
        <v>2.5870703854994304</v>
      </c>
      <c r="Y584" s="154"/>
      <c r="Z584" s="147">
        <f>IF($E584="","",VLOOKUP($D584,'Mortality Margins &amp; Grading'!$AB$5:$AF$125,3,0)*IF(Summary!$D$25="Included Margin",IF(AND($B584&gt;Input!$C$9,Summary!$D$31&lt;&gt;"Included Margin"),0,1),0))</f>
        <v>0.02</v>
      </c>
      <c r="AA584" s="147">
        <f>IF($E584="","",VLOOKUP($D584,'Mortality Margins &amp; Grading'!$AB$5:$AF$125,5,0)*IF(Summary!$D$25="Included Margin",IF(AND($B584&gt;Input!$C$9,Summary!$D$31&lt;&gt;"Included Margin"),0,1),0))</f>
        <v>0.10100000000000001</v>
      </c>
      <c r="AB584" s="147">
        <f>IF($E584="","",IF(AND($B584&gt;Input!$C$9,Summary!$D$31&lt;&gt;"Included Margin"),1,IF(Summary!$D$25="Included Margin",VLOOKUP($B584,'Mortality Margins &amp; Grading'!$AI$5:$AR$125,MATCH('Mortality Margins &amp; Grading'!$AQ$4,'Mortality Margins &amp; Grading'!$AI$4:$AR$4,0),0),1)))</f>
        <v>0</v>
      </c>
      <c r="AC584" s="154"/>
      <c r="AD584" s="158">
        <f>IF(E584="","",Input!$C$48*IF(Summary!$D$30="Included Margin",IF(AND($B584&gt;Input!$C$9,Summary!$D$31&lt;&gt;"Included Margin"),0,1),0))</f>
        <v>-4.4999999999999997E-3</v>
      </c>
      <c r="AE584" s="159">
        <f>IF(E584="","",IF(Summary!$D$26="Included Margin",IF(AND($B584&gt;Input!$C$9,Summary!$D$31&lt;&gt;"Included Margin"),1,1/$R584),1))</f>
        <v>1.2720146822874474</v>
      </c>
      <c r="AF584" s="160">
        <f>IF(E584="","",IF(AND($B584&gt;=Input!$C$9,$C584=12,Summary!$D$31="Included Margin",$U584&gt;0),1/U584-1,IF($B584&gt;=Input!$C$9,0,Input!$C$45*IF(Summary!$D$27="Included Margin",1,0))))</f>
        <v>0</v>
      </c>
      <c r="AG584" s="160">
        <f>IF(E584="","",Input!$C$46*IF(Summary!$D$28="Included Margin",IF(AND($B584&gt;Input!$C$9,Summary!$D$31&lt;&gt;"Included Margin"),0,1),0))</f>
        <v>0.02</v>
      </c>
      <c r="AH584" s="158">
        <f>IF(E584="","",Input!$C$47*IF(Summary!$D$29="Included Margin",IF(AND($B584&gt;Input!$C$9,Summary!$D$31&lt;&gt;"Included Margin"),0,1),0))</f>
        <v>2.5000000000000001E-3</v>
      </c>
      <c r="AI584" s="154"/>
      <c r="AJ584" s="158">
        <f t="shared" si="394"/>
        <v>4.2840000000000003E-2</v>
      </c>
      <c r="AK584" s="155">
        <f t="shared" si="395"/>
        <v>3.5017636157277376E-3</v>
      </c>
      <c r="AL584" s="147">
        <f t="shared" si="396"/>
        <v>0.79907607299999983</v>
      </c>
      <c r="AM584" s="147">
        <f t="shared" si="374"/>
        <v>0.12517878825177675</v>
      </c>
      <c r="AN584" s="160">
        <f t="shared" si="397"/>
        <v>0</v>
      </c>
      <c r="AO584" s="161">
        <f t="shared" si="398"/>
        <v>0</v>
      </c>
      <c r="AP584" s="156">
        <f t="shared" si="375"/>
        <v>2.9096396120898209</v>
      </c>
      <c r="AQ584" s="152"/>
      <c r="AR584" s="162">
        <f t="shared" si="376"/>
        <v>69109.771795790963</v>
      </c>
      <c r="AS584" s="150">
        <f t="shared" si="399"/>
        <v>0</v>
      </c>
      <c r="AT584" s="163">
        <f t="shared" si="377"/>
        <v>0</v>
      </c>
      <c r="AU584" s="163">
        <f t="shared" si="378"/>
        <v>12517.878825177675</v>
      </c>
      <c r="AV584" s="163">
        <f t="shared" si="400"/>
        <v>220.08875805769986</v>
      </c>
      <c r="AW584" s="163">
        <f t="shared" si="379"/>
        <v>8129.2722796024364</v>
      </c>
      <c r="AX584" s="163">
        <f t="shared" si="380"/>
        <v>0</v>
      </c>
      <c r="AY584" s="165">
        <f t="shared" si="401"/>
        <v>64941.254008273427</v>
      </c>
      <c r="AZ584" s="164">
        <f>IF($E584="","",IF(OR(AND($D584=Input!$C$6,$C584=12),$AN584=1),0,-AS585+AT585+AU585-AV585-AW585-AX585+AZ585))</f>
        <v>64941.292315849299</v>
      </c>
      <c r="BA584" s="154">
        <f t="shared" si="381"/>
        <v>3.8307575872750022E-2</v>
      </c>
      <c r="BC584" s="147">
        <f t="shared" si="402"/>
        <v>5.2570855961726188E-5</v>
      </c>
      <c r="BD584" s="164">
        <f>IF(AND($C583=12,$D583=Input!$C$6),0,IF($E584="","",AT584+(AU584+BD585)/(1+$AK584)*MIN((1-AM584-AN584),1)))</f>
        <v>53374.03807155227</v>
      </c>
      <c r="BE584" s="164">
        <f t="shared" si="382"/>
        <v>2.8059188675552642</v>
      </c>
      <c r="BF584" s="164">
        <f t="shared" si="403"/>
        <v>64941.292315849299</v>
      </c>
      <c r="BG584" s="164">
        <f t="shared" si="383"/>
        <v>3.4140193243048693</v>
      </c>
      <c r="BH584" s="152"/>
      <c r="BI584" s="162">
        <f t="shared" si="384"/>
        <v>28164.319556323055</v>
      </c>
      <c r="BJ584" s="150">
        <f t="shared" si="385"/>
        <v>0</v>
      </c>
      <c r="BK584" s="163">
        <f t="shared" si="407"/>
        <v>0</v>
      </c>
      <c r="BL584" s="163">
        <f t="shared" si="386"/>
        <v>4953.4750553619115</v>
      </c>
      <c r="BM584" s="163">
        <f t="shared" si="408"/>
        <v>99.203028665344689</v>
      </c>
      <c r="BN584" s="163">
        <f t="shared" si="387"/>
        <v>1214.8348438418329</v>
      </c>
      <c r="BO584" s="163">
        <f t="shared" si="388"/>
        <v>0</v>
      </c>
      <c r="BP584" s="164">
        <f t="shared" si="409"/>
        <v>24524.882373468321</v>
      </c>
      <c r="BQ584" s="164">
        <f>IF($E584="","",IF(AND($D584=Input!$C$6,$C584=12),0,-BJ585+BK585+BL585-BM585-BN585-BO585+BQ585))</f>
        <v>24524.900807299506</v>
      </c>
      <c r="BR584" s="161">
        <f t="shared" si="389"/>
        <v>0</v>
      </c>
      <c r="BT584" s="147">
        <f t="shared" si="390"/>
        <v>5.2570855961726188E-5</v>
      </c>
      <c r="BU584" s="164">
        <f>IF(AND($C583=12,$D583=Input!$C$6),0,IF($E584="","",BK584+(BL584+BU585)/(1+$AK584)*MIN((1-T584-U584),1)))</f>
        <v>78414.429756147045</v>
      </c>
      <c r="BV584" s="164">
        <f t="shared" si="391"/>
        <v>4.1223136920313026</v>
      </c>
      <c r="BW584" s="164">
        <f t="shared" si="392"/>
        <v>24524.900807299506</v>
      </c>
      <c r="BX584" s="164">
        <f t="shared" si="393"/>
        <v>1.2892950278161646</v>
      </c>
    </row>
    <row r="585" spans="1:76" s="150" customFormat="1" x14ac:dyDescent="0.25">
      <c r="A585" s="150">
        <f t="shared" si="404"/>
        <v>581</v>
      </c>
      <c r="B585" s="150">
        <f t="shared" si="405"/>
        <v>49</v>
      </c>
      <c r="C585" s="150">
        <f t="shared" si="406"/>
        <v>5</v>
      </c>
      <c r="D585" s="150">
        <f>IF(E585="","",Input!$C$4+B585-1)</f>
        <v>93</v>
      </c>
      <c r="E585" s="150">
        <f>IF(OR(AND(C584=12,D584=Input!$C$6),E584=""),"",1)</f>
        <v>1</v>
      </c>
      <c r="F585" s="150">
        <f>IF(E585="","",Input!$C$8+B585-1)</f>
        <v>2066</v>
      </c>
      <c r="G585" s="151">
        <f>IF(E585="","",MAX(0,Input!$C$9-B585))</f>
        <v>0</v>
      </c>
      <c r="H585" s="152">
        <f>IF(E585="","",Input!$C$3)</f>
        <v>100000</v>
      </c>
      <c r="I585" s="153">
        <f>IF(E585="","",HLOOKUP($B585,Input!$C$13:$BT$14,2))</f>
        <v>518.15050000000008</v>
      </c>
      <c r="J585" s="154"/>
      <c r="K585" s="155">
        <f>IF($E585="","",INDEX(Input!$C$16:$CP$16,1,$B585))</f>
        <v>3.2340000000000001E-2</v>
      </c>
      <c r="L585" s="155">
        <f>IF($E585="","",Input!$C$37)</f>
        <v>1.4999999999999999E-2</v>
      </c>
      <c r="M585" s="155">
        <f t="shared" si="369"/>
        <v>4.734E-2</v>
      </c>
      <c r="N585" s="155">
        <f t="shared" si="370"/>
        <v>3.8619060585278753E-3</v>
      </c>
      <c r="O585" s="147">
        <f>IF($E585="","",MIN(VLOOKUP(IF($B585&lt;=Input!$C$7,$B585,26),'Mortality Tables'!$A$41:$CW$67,IF($B585&lt;=Input!$C$7+1,Input!$C$4+2,$D585-Input!$C$7+2),0)*IF(B585&gt;20,Input!$C$22,1)/1000,1))</f>
        <v>0.58061840000000009</v>
      </c>
      <c r="P585" s="147">
        <f>IF($E585="","",MIN(VLOOKUP(IF($B585&lt;=Input!$C$7,$B585,26),'Mortality Tables'!$A$12:$CW$37,IF($B585&lt;=Input!$C$7+1,Input!$C$4+2,$D585-Input!$C$7+2),0)*IF(B585&gt;20,Input!$C$22,1)/1000,1))</f>
        <v>0.725773</v>
      </c>
      <c r="Q585" s="155">
        <f>IF($E585="","",Input!$C$21)</f>
        <v>5.0000000000000001E-3</v>
      </c>
      <c r="R585" s="159">
        <f>IF($E585="","",(1-Q585)^($F585-Input!$C$20))</f>
        <v>0.78615444768429321</v>
      </c>
      <c r="S585" s="147">
        <f t="shared" si="372"/>
        <v>0.45645573756733809</v>
      </c>
      <c r="T585" s="147">
        <f t="shared" si="373"/>
        <v>4.9534750553619111E-2</v>
      </c>
      <c r="U585" s="160">
        <f>IF($E585="","",IF($C585=12,INDEX(Input!$C$15:$CP$15,1,$B585),0))</f>
        <v>0</v>
      </c>
      <c r="V585" s="150">
        <f>IF(E585="","",IF(C585=1,IF($B585=1,Input!$C$33,Input!$C$34),0))</f>
        <v>0</v>
      </c>
      <c r="W585" s="156">
        <f>IF($E585="","",Input!$C$35)</f>
        <v>0.02</v>
      </c>
      <c r="X585" s="156">
        <f t="shared" si="371"/>
        <v>2.5870703854994304</v>
      </c>
      <c r="Y585" s="154"/>
      <c r="Z585" s="147">
        <f>IF($E585="","",VLOOKUP($D585,'Mortality Margins &amp; Grading'!$AB$5:$AF$125,3,0)*IF(Summary!$D$25="Included Margin",IF(AND($B585&gt;Input!$C$9,Summary!$D$31&lt;&gt;"Included Margin"),0,1),0))</f>
        <v>0.02</v>
      </c>
      <c r="AA585" s="147">
        <f>IF($E585="","",VLOOKUP($D585,'Mortality Margins &amp; Grading'!$AB$5:$AF$125,5,0)*IF(Summary!$D$25="Included Margin",IF(AND($B585&gt;Input!$C$9,Summary!$D$31&lt;&gt;"Included Margin"),0,1),0))</f>
        <v>0.10100000000000001</v>
      </c>
      <c r="AB585" s="147">
        <f>IF($E585="","",IF(AND($B585&gt;Input!$C$9,Summary!$D$31&lt;&gt;"Included Margin"),1,IF(Summary!$D$25="Included Margin",VLOOKUP($B585,'Mortality Margins &amp; Grading'!$AI$5:$AR$125,MATCH('Mortality Margins &amp; Grading'!$AQ$4,'Mortality Margins &amp; Grading'!$AI$4:$AR$4,0),0),1)))</f>
        <v>0</v>
      </c>
      <c r="AC585" s="154"/>
      <c r="AD585" s="158">
        <f>IF(E585="","",Input!$C$48*IF(Summary!$D$30="Included Margin",IF(AND($B585&gt;Input!$C$9,Summary!$D$31&lt;&gt;"Included Margin"),0,1),0))</f>
        <v>-4.4999999999999997E-3</v>
      </c>
      <c r="AE585" s="159">
        <f>IF(E585="","",IF(Summary!$D$26="Included Margin",IF(AND($B585&gt;Input!$C$9,Summary!$D$31&lt;&gt;"Included Margin"),1,1/$R585),1))</f>
        <v>1.2720146822874474</v>
      </c>
      <c r="AF585" s="160">
        <f>IF(E585="","",IF(AND($B585&gt;=Input!$C$9,$C585=12,Summary!$D$31="Included Margin",$U585&gt;0),1/U585-1,IF($B585&gt;=Input!$C$9,0,Input!$C$45*IF(Summary!$D$27="Included Margin",1,0))))</f>
        <v>0</v>
      </c>
      <c r="AG585" s="160">
        <f>IF(E585="","",Input!$C$46*IF(Summary!$D$28="Included Margin",IF(AND($B585&gt;Input!$C$9,Summary!$D$31&lt;&gt;"Included Margin"),0,1),0))</f>
        <v>0.02</v>
      </c>
      <c r="AH585" s="158">
        <f>IF(E585="","",Input!$C$47*IF(Summary!$D$29="Included Margin",IF(AND($B585&gt;Input!$C$9,Summary!$D$31&lt;&gt;"Included Margin"),0,1),0))</f>
        <v>2.5000000000000001E-3</v>
      </c>
      <c r="AI585" s="154"/>
      <c r="AJ585" s="158">
        <f t="shared" si="394"/>
        <v>4.2840000000000003E-2</v>
      </c>
      <c r="AK585" s="155">
        <f t="shared" si="395"/>
        <v>3.5017636157277376E-3</v>
      </c>
      <c r="AL585" s="147">
        <f t="shared" si="396"/>
        <v>0.79907607299999983</v>
      </c>
      <c r="AM585" s="147">
        <f t="shared" si="374"/>
        <v>0.12517878825177675</v>
      </c>
      <c r="AN585" s="160">
        <f t="shared" si="397"/>
        <v>0</v>
      </c>
      <c r="AO585" s="161">
        <f t="shared" si="398"/>
        <v>0</v>
      </c>
      <c r="AP585" s="156">
        <f t="shared" si="375"/>
        <v>2.9096396120898209</v>
      </c>
      <c r="AQ585" s="152"/>
      <c r="AR585" s="162">
        <f t="shared" si="376"/>
        <v>64941.254008273427</v>
      </c>
      <c r="AS585" s="150">
        <f t="shared" si="399"/>
        <v>0</v>
      </c>
      <c r="AT585" s="163">
        <f t="shared" si="377"/>
        <v>0</v>
      </c>
      <c r="AU585" s="163">
        <f t="shared" si="378"/>
        <v>12517.878825177675</v>
      </c>
      <c r="AV585" s="163">
        <f t="shared" si="400"/>
        <v>205.49159413785708</v>
      </c>
      <c r="AW585" s="163">
        <f t="shared" si="379"/>
        <v>7530.7073914781568</v>
      </c>
      <c r="AX585" s="163">
        <f t="shared" si="380"/>
        <v>0</v>
      </c>
      <c r="AY585" s="164">
        <f t="shared" si="401"/>
        <v>60159.574168711762</v>
      </c>
      <c r="AZ585" s="164">
        <f>IF($E585="","",IF(OR(AND($D585=Input!$C$6,$C585=12),$AN585=1),0,-AS586+AT586+AU586-AV586-AW586-AX586+AZ586))</f>
        <v>60159.612476287635</v>
      </c>
      <c r="BA585" s="154">
        <f t="shared" si="381"/>
        <v>3.8307575872750022E-2</v>
      </c>
      <c r="BC585" s="147">
        <f t="shared" si="402"/>
        <v>4.9966771725271844E-5</v>
      </c>
      <c r="BD585" s="164">
        <f>IF(AND($C584=12,$D584=Input!$C$6),0,IF($E585="","",AT585+(AU585+BD586)/(1+$AK585)*MIN((1-AM585-AN585),1)))</f>
        <v>48707.135631274177</v>
      </c>
      <c r="BE585" s="164">
        <f t="shared" si="382"/>
        <v>2.4337383274797313</v>
      </c>
      <c r="BF585" s="164">
        <f t="shared" si="403"/>
        <v>60159.612476287635</v>
      </c>
      <c r="BG585" s="164">
        <f t="shared" si="383"/>
        <v>3.0059816236834802</v>
      </c>
      <c r="BH585" s="152"/>
      <c r="BI585" s="162">
        <f t="shared" si="384"/>
        <v>24524.882373468325</v>
      </c>
      <c r="BJ585" s="150">
        <f t="shared" si="385"/>
        <v>0</v>
      </c>
      <c r="BK585" s="163">
        <f t="shared" si="407"/>
        <v>0</v>
      </c>
      <c r="BL585" s="163">
        <f t="shared" si="386"/>
        <v>4953.4750553619115</v>
      </c>
      <c r="BM585" s="163">
        <f t="shared" si="408"/>
        <v>85.147864159246396</v>
      </c>
      <c r="BN585" s="163">
        <f t="shared" si="387"/>
        <v>1024.4282696072801</v>
      </c>
      <c r="BO585" s="163">
        <f t="shared" si="388"/>
        <v>0</v>
      </c>
      <c r="BP585" s="164">
        <f t="shared" si="409"/>
        <v>20680.98345187294</v>
      </c>
      <c r="BQ585" s="164">
        <f>IF($E585="","",IF(AND($D585=Input!$C$6,$C585=12),0,-BJ586+BK586+BL586-BM586-BN586-BO586+BQ586))</f>
        <v>20681.001885704121</v>
      </c>
      <c r="BR585" s="161">
        <f t="shared" si="389"/>
        <v>0</v>
      </c>
      <c r="BT585" s="147">
        <f t="shared" si="390"/>
        <v>4.9966771725271844E-5</v>
      </c>
      <c r="BU585" s="164">
        <f>IF(AND($C584=12,$D584=Input!$C$6),0,IF($E585="","",BK585+(BL585+BU586)/(1+$AK585)*MIN((1-T585-U585),1)))</f>
        <v>77836.525524932105</v>
      </c>
      <c r="BV585" s="164">
        <f t="shared" si="391"/>
        <v>3.8892399027925775</v>
      </c>
      <c r="BW585" s="164">
        <f t="shared" si="392"/>
        <v>20681.001885704121</v>
      </c>
      <c r="BX585" s="164">
        <f t="shared" si="393"/>
        <v>1.0333629002728943</v>
      </c>
    </row>
    <row r="586" spans="1:76" s="150" customFormat="1" x14ac:dyDescent="0.25">
      <c r="A586" s="150">
        <f t="shared" si="404"/>
        <v>582</v>
      </c>
      <c r="B586" s="150">
        <f t="shared" si="405"/>
        <v>49</v>
      </c>
      <c r="C586" s="150">
        <f t="shared" si="406"/>
        <v>6</v>
      </c>
      <c r="D586" s="150">
        <f>IF(E586="","",Input!$C$4+B586-1)</f>
        <v>93</v>
      </c>
      <c r="E586" s="150">
        <f>IF(OR(AND(C585=12,D585=Input!$C$6),E585=""),"",1)</f>
        <v>1</v>
      </c>
      <c r="F586" s="150">
        <f>IF(E586="","",Input!$C$8+B586-1)</f>
        <v>2066</v>
      </c>
      <c r="G586" s="151">
        <f>IF(E586="","",MAX(0,Input!$C$9-B586))</f>
        <v>0</v>
      </c>
      <c r="H586" s="152">
        <f>IF(E586="","",Input!$C$3)</f>
        <v>100000</v>
      </c>
      <c r="I586" s="153">
        <f>IF(E586="","",HLOOKUP($B586,Input!$C$13:$BT$14,2))</f>
        <v>518.15050000000008</v>
      </c>
      <c r="J586" s="154"/>
      <c r="K586" s="155">
        <f>IF($E586="","",INDEX(Input!$C$16:$CP$16,1,$B586))</f>
        <v>3.2340000000000001E-2</v>
      </c>
      <c r="L586" s="155">
        <f>IF($E586="","",Input!$C$37)</f>
        <v>1.4999999999999999E-2</v>
      </c>
      <c r="M586" s="155">
        <f t="shared" si="369"/>
        <v>4.734E-2</v>
      </c>
      <c r="N586" s="155">
        <f t="shared" si="370"/>
        <v>3.8619060585278753E-3</v>
      </c>
      <c r="O586" s="147">
        <f>IF($E586="","",MIN(VLOOKUP(IF($B586&lt;=Input!$C$7,$B586,26),'Mortality Tables'!$A$41:$CW$67,IF($B586&lt;=Input!$C$7+1,Input!$C$4+2,$D586-Input!$C$7+2),0)*IF(B586&gt;20,Input!$C$22,1)/1000,1))</f>
        <v>0.58061840000000009</v>
      </c>
      <c r="P586" s="147">
        <f>IF($E586="","",MIN(VLOOKUP(IF($B586&lt;=Input!$C$7,$B586,26),'Mortality Tables'!$A$12:$CW$37,IF($B586&lt;=Input!$C$7+1,Input!$C$4+2,$D586-Input!$C$7+2),0)*IF(B586&gt;20,Input!$C$22,1)/1000,1))</f>
        <v>0.725773</v>
      </c>
      <c r="Q586" s="155">
        <f>IF($E586="","",Input!$C$21)</f>
        <v>5.0000000000000001E-3</v>
      </c>
      <c r="R586" s="159">
        <f>IF($E586="","",(1-Q586)^($F586-Input!$C$20))</f>
        <v>0.78615444768429321</v>
      </c>
      <c r="S586" s="147">
        <f t="shared" si="372"/>
        <v>0.45645573756733809</v>
      </c>
      <c r="T586" s="147">
        <f t="shared" si="373"/>
        <v>4.9534750553619111E-2</v>
      </c>
      <c r="U586" s="160">
        <f>IF($E586="","",IF($C586=12,INDEX(Input!$C$15:$CP$15,1,$B586),0))</f>
        <v>0</v>
      </c>
      <c r="V586" s="150">
        <f>IF(E586="","",IF(C586=1,IF($B586=1,Input!$C$33,Input!$C$34),0))</f>
        <v>0</v>
      </c>
      <c r="W586" s="156">
        <f>IF($E586="","",Input!$C$35)</f>
        <v>0.02</v>
      </c>
      <c r="X586" s="156">
        <f t="shared" si="371"/>
        <v>2.5870703854994304</v>
      </c>
      <c r="Y586" s="154"/>
      <c r="Z586" s="147">
        <f>IF($E586="","",VLOOKUP($D586,'Mortality Margins &amp; Grading'!$AB$5:$AF$125,3,0)*IF(Summary!$D$25="Included Margin",IF(AND($B586&gt;Input!$C$9,Summary!$D$31&lt;&gt;"Included Margin"),0,1),0))</f>
        <v>0.02</v>
      </c>
      <c r="AA586" s="147">
        <f>IF($E586="","",VLOOKUP($D586,'Mortality Margins &amp; Grading'!$AB$5:$AF$125,5,0)*IF(Summary!$D$25="Included Margin",IF(AND($B586&gt;Input!$C$9,Summary!$D$31&lt;&gt;"Included Margin"),0,1),0))</f>
        <v>0.10100000000000001</v>
      </c>
      <c r="AB586" s="147">
        <f>IF($E586="","",IF(AND($B586&gt;Input!$C$9,Summary!$D$31&lt;&gt;"Included Margin"),1,IF(Summary!$D$25="Included Margin",VLOOKUP($B586,'Mortality Margins &amp; Grading'!$AI$5:$AR$125,MATCH('Mortality Margins &amp; Grading'!$AQ$4,'Mortality Margins &amp; Grading'!$AI$4:$AR$4,0),0),1)))</f>
        <v>0</v>
      </c>
      <c r="AC586" s="154"/>
      <c r="AD586" s="158">
        <f>IF(E586="","",Input!$C$48*IF(Summary!$D$30="Included Margin",IF(AND($B586&gt;Input!$C$9,Summary!$D$31&lt;&gt;"Included Margin"),0,1),0))</f>
        <v>-4.4999999999999997E-3</v>
      </c>
      <c r="AE586" s="159">
        <f>IF(E586="","",IF(Summary!$D$26="Included Margin",IF(AND($B586&gt;Input!$C$9,Summary!$D$31&lt;&gt;"Included Margin"),1,1/$R586),1))</f>
        <v>1.2720146822874474</v>
      </c>
      <c r="AF586" s="160">
        <f>IF(E586="","",IF(AND($B586&gt;=Input!$C$9,$C586=12,Summary!$D$31="Included Margin",$U586&gt;0),1/U586-1,IF($B586&gt;=Input!$C$9,0,Input!$C$45*IF(Summary!$D$27="Included Margin",1,0))))</f>
        <v>0</v>
      </c>
      <c r="AG586" s="160">
        <f>IF(E586="","",Input!$C$46*IF(Summary!$D$28="Included Margin",IF(AND($B586&gt;Input!$C$9,Summary!$D$31&lt;&gt;"Included Margin"),0,1),0))</f>
        <v>0.02</v>
      </c>
      <c r="AH586" s="158">
        <f>IF(E586="","",Input!$C$47*IF(Summary!$D$29="Included Margin",IF(AND($B586&gt;Input!$C$9,Summary!$D$31&lt;&gt;"Included Margin"),0,1),0))</f>
        <v>2.5000000000000001E-3</v>
      </c>
      <c r="AI586" s="154"/>
      <c r="AJ586" s="158">
        <f t="shared" si="394"/>
        <v>4.2840000000000003E-2</v>
      </c>
      <c r="AK586" s="155">
        <f t="shared" si="395"/>
        <v>3.5017636157277376E-3</v>
      </c>
      <c r="AL586" s="147">
        <f t="shared" si="396"/>
        <v>0.79907607299999983</v>
      </c>
      <c r="AM586" s="147">
        <f t="shared" si="374"/>
        <v>0.12517878825177675</v>
      </c>
      <c r="AN586" s="160">
        <f t="shared" si="397"/>
        <v>0</v>
      </c>
      <c r="AO586" s="161">
        <f t="shared" si="398"/>
        <v>0</v>
      </c>
      <c r="AP586" s="156">
        <f t="shared" si="375"/>
        <v>2.9096396120898209</v>
      </c>
      <c r="AQ586" s="152"/>
      <c r="AR586" s="162">
        <f t="shared" si="376"/>
        <v>60159.574168711762</v>
      </c>
      <c r="AS586" s="150">
        <f t="shared" si="399"/>
        <v>0</v>
      </c>
      <c r="AT586" s="163">
        <f t="shared" si="377"/>
        <v>0</v>
      </c>
      <c r="AU586" s="163">
        <f t="shared" si="378"/>
        <v>12517.878825177675</v>
      </c>
      <c r="AV586" s="163">
        <f t="shared" si="400"/>
        <v>188.74728165362117</v>
      </c>
      <c r="AW586" s="163">
        <f t="shared" si="379"/>
        <v>6844.0974730117105</v>
      </c>
      <c r="AX586" s="163">
        <f t="shared" si="380"/>
        <v>0</v>
      </c>
      <c r="AY586" s="165">
        <f t="shared" si="401"/>
        <v>54674.540098199417</v>
      </c>
      <c r="AZ586" s="164">
        <f>IF($E586="","",IF(OR(AND($D586=Input!$C$6,$C586=12),$AN586=1),0,-AS587+AT587+AU587-AV587-AW587-AX587+AZ587))</f>
        <v>54674.57840577529</v>
      </c>
      <c r="BA586" s="154">
        <f t="shared" si="381"/>
        <v>3.8307575872750022E-2</v>
      </c>
      <c r="BC586" s="147">
        <f t="shared" si="402"/>
        <v>4.7491680151890873E-5</v>
      </c>
      <c r="BD586" s="164">
        <f>IF(AND($C585=12,$D585=Input!$C$6),0,IF($E586="","",AT586+(AU586+BD587)/(1+$AK586)*MIN((1-AM586-AN586),1)))</f>
        <v>43353.761974406945</v>
      </c>
      <c r="BE586" s="164">
        <f t="shared" si="382"/>
        <v>2.0589429970697437</v>
      </c>
      <c r="BF586" s="164">
        <f t="shared" si="403"/>
        <v>54674.57840577529</v>
      </c>
      <c r="BG586" s="164">
        <f t="shared" si="383"/>
        <v>2.5965875900865596</v>
      </c>
      <c r="BH586" s="152"/>
      <c r="BI586" s="162">
        <f t="shared" si="384"/>
        <v>20680.983451872933</v>
      </c>
      <c r="BJ586" s="150">
        <f t="shared" si="385"/>
        <v>0</v>
      </c>
      <c r="BK586" s="163">
        <f t="shared" si="407"/>
        <v>0</v>
      </c>
      <c r="BL586" s="163">
        <f t="shared" si="386"/>
        <v>4953.4750553619115</v>
      </c>
      <c r="BM586" s="163">
        <f t="shared" si="408"/>
        <v>70.303087625568381</v>
      </c>
      <c r="BN586" s="163">
        <f t="shared" si="387"/>
        <v>823.32475041127827</v>
      </c>
      <c r="BO586" s="163">
        <f t="shared" si="388"/>
        <v>0</v>
      </c>
      <c r="BP586" s="164">
        <f t="shared" si="409"/>
        <v>16621.136234547866</v>
      </c>
      <c r="BQ586" s="164">
        <f>IF($E586="","",IF(AND($D586=Input!$C$6,$C586=12),0,-BJ587+BK587+BL587-BM587-BN587-BO587+BQ587))</f>
        <v>16621.154668379055</v>
      </c>
      <c r="BR586" s="161">
        <f t="shared" si="389"/>
        <v>0</v>
      </c>
      <c r="BT586" s="147">
        <f t="shared" si="390"/>
        <v>4.7491680151890873E-5</v>
      </c>
      <c r="BU586" s="164">
        <f>IF(AND($C585=12,$D585=Input!$C$6),0,IF($E586="","",BK586+(BL586+BU587)/(1+$AK586)*MIN((1-T586-U586),1)))</f>
        <v>77226.373901226776</v>
      </c>
      <c r="BV586" s="164">
        <f t="shared" si="391"/>
        <v>3.6676102486073949</v>
      </c>
      <c r="BW586" s="164">
        <f t="shared" si="392"/>
        <v>16621.154668379055</v>
      </c>
      <c r="BX586" s="164">
        <f t="shared" si="393"/>
        <v>0.78936656126576588</v>
      </c>
    </row>
    <row r="587" spans="1:76" s="150" customFormat="1" x14ac:dyDescent="0.25">
      <c r="A587" s="150">
        <f t="shared" si="404"/>
        <v>583</v>
      </c>
      <c r="B587" s="150">
        <f t="shared" si="405"/>
        <v>49</v>
      </c>
      <c r="C587" s="150">
        <f t="shared" si="406"/>
        <v>7</v>
      </c>
      <c r="D587" s="150">
        <f>IF(E587="","",Input!$C$4+B587-1)</f>
        <v>93</v>
      </c>
      <c r="E587" s="150">
        <f>IF(OR(AND(C586=12,D586=Input!$C$6),E586=""),"",1)</f>
        <v>1</v>
      </c>
      <c r="F587" s="150">
        <f>IF(E587="","",Input!$C$8+B587-1)</f>
        <v>2066</v>
      </c>
      <c r="G587" s="151">
        <f>IF(E587="","",MAX(0,Input!$C$9-B587))</f>
        <v>0</v>
      </c>
      <c r="H587" s="152">
        <f>IF(E587="","",Input!$C$3)</f>
        <v>100000</v>
      </c>
      <c r="I587" s="153">
        <f>IF(E587="","",HLOOKUP($B587,Input!$C$13:$BT$14,2))</f>
        <v>518.15050000000008</v>
      </c>
      <c r="J587" s="154"/>
      <c r="K587" s="155">
        <f>IF($E587="","",INDEX(Input!$C$16:$CP$16,1,$B587))</f>
        <v>3.2340000000000001E-2</v>
      </c>
      <c r="L587" s="155">
        <f>IF($E587="","",Input!$C$37)</f>
        <v>1.4999999999999999E-2</v>
      </c>
      <c r="M587" s="155">
        <f t="shared" si="369"/>
        <v>4.734E-2</v>
      </c>
      <c r="N587" s="155">
        <f t="shared" si="370"/>
        <v>3.8619060585278753E-3</v>
      </c>
      <c r="O587" s="147">
        <f>IF($E587="","",MIN(VLOOKUP(IF($B587&lt;=Input!$C$7,$B587,26),'Mortality Tables'!$A$41:$CW$67,IF($B587&lt;=Input!$C$7+1,Input!$C$4+2,$D587-Input!$C$7+2),0)*IF(B587&gt;20,Input!$C$22,1)/1000,1))</f>
        <v>0.58061840000000009</v>
      </c>
      <c r="P587" s="147">
        <f>IF($E587="","",MIN(VLOOKUP(IF($B587&lt;=Input!$C$7,$B587,26),'Mortality Tables'!$A$12:$CW$37,IF($B587&lt;=Input!$C$7+1,Input!$C$4+2,$D587-Input!$C$7+2),0)*IF(B587&gt;20,Input!$C$22,1)/1000,1))</f>
        <v>0.725773</v>
      </c>
      <c r="Q587" s="155">
        <f>IF($E587="","",Input!$C$21)</f>
        <v>5.0000000000000001E-3</v>
      </c>
      <c r="R587" s="159">
        <f>IF($E587="","",(1-Q587)^($F587-Input!$C$20))</f>
        <v>0.78615444768429321</v>
      </c>
      <c r="S587" s="147">
        <f t="shared" si="372"/>
        <v>0.45645573756733809</v>
      </c>
      <c r="T587" s="147">
        <f t="shared" si="373"/>
        <v>4.9534750553619111E-2</v>
      </c>
      <c r="U587" s="160">
        <f>IF($E587="","",IF($C587=12,INDEX(Input!$C$15:$CP$15,1,$B587),0))</f>
        <v>0</v>
      </c>
      <c r="V587" s="150">
        <f>IF(E587="","",IF(C587=1,IF($B587=1,Input!$C$33,Input!$C$34),0))</f>
        <v>0</v>
      </c>
      <c r="W587" s="156">
        <f>IF($E587="","",Input!$C$35)</f>
        <v>0.02</v>
      </c>
      <c r="X587" s="156">
        <f t="shared" si="371"/>
        <v>2.5870703854994304</v>
      </c>
      <c r="Y587" s="154"/>
      <c r="Z587" s="147">
        <f>IF($E587="","",VLOOKUP($D587,'Mortality Margins &amp; Grading'!$AB$5:$AF$125,3,0)*IF(Summary!$D$25="Included Margin",IF(AND($B587&gt;Input!$C$9,Summary!$D$31&lt;&gt;"Included Margin"),0,1),0))</f>
        <v>0.02</v>
      </c>
      <c r="AA587" s="147">
        <f>IF($E587="","",VLOOKUP($D587,'Mortality Margins &amp; Grading'!$AB$5:$AF$125,5,0)*IF(Summary!$D$25="Included Margin",IF(AND($B587&gt;Input!$C$9,Summary!$D$31&lt;&gt;"Included Margin"),0,1),0))</f>
        <v>0.10100000000000001</v>
      </c>
      <c r="AB587" s="147">
        <f>IF($E587="","",IF(AND($B587&gt;Input!$C$9,Summary!$D$31&lt;&gt;"Included Margin"),1,IF(Summary!$D$25="Included Margin",VLOOKUP($B587,'Mortality Margins &amp; Grading'!$AI$5:$AR$125,MATCH('Mortality Margins &amp; Grading'!$AQ$4,'Mortality Margins &amp; Grading'!$AI$4:$AR$4,0),0),1)))</f>
        <v>0</v>
      </c>
      <c r="AC587" s="154"/>
      <c r="AD587" s="158">
        <f>IF(E587="","",Input!$C$48*IF(Summary!$D$30="Included Margin",IF(AND($B587&gt;Input!$C$9,Summary!$D$31&lt;&gt;"Included Margin"),0,1),0))</f>
        <v>-4.4999999999999997E-3</v>
      </c>
      <c r="AE587" s="159">
        <f>IF(E587="","",IF(Summary!$D$26="Included Margin",IF(AND($B587&gt;Input!$C$9,Summary!$D$31&lt;&gt;"Included Margin"),1,1/$R587),1))</f>
        <v>1.2720146822874474</v>
      </c>
      <c r="AF587" s="160">
        <f>IF(E587="","",IF(AND($B587&gt;=Input!$C$9,$C587=12,Summary!$D$31="Included Margin",$U587&gt;0),1/U587-1,IF($B587&gt;=Input!$C$9,0,Input!$C$45*IF(Summary!$D$27="Included Margin",1,0))))</f>
        <v>0</v>
      </c>
      <c r="AG587" s="160">
        <f>IF(E587="","",Input!$C$46*IF(Summary!$D$28="Included Margin",IF(AND($B587&gt;Input!$C$9,Summary!$D$31&lt;&gt;"Included Margin"),0,1),0))</f>
        <v>0.02</v>
      </c>
      <c r="AH587" s="158">
        <f>IF(E587="","",Input!$C$47*IF(Summary!$D$29="Included Margin",IF(AND($B587&gt;Input!$C$9,Summary!$D$31&lt;&gt;"Included Margin"),0,1),0))</f>
        <v>2.5000000000000001E-3</v>
      </c>
      <c r="AI587" s="154"/>
      <c r="AJ587" s="158">
        <f t="shared" si="394"/>
        <v>4.2840000000000003E-2</v>
      </c>
      <c r="AK587" s="155">
        <f t="shared" si="395"/>
        <v>3.5017636157277376E-3</v>
      </c>
      <c r="AL587" s="147">
        <f t="shared" si="396"/>
        <v>0.79907607299999983</v>
      </c>
      <c r="AM587" s="147">
        <f t="shared" si="374"/>
        <v>0.12517878825177675</v>
      </c>
      <c r="AN587" s="160">
        <f t="shared" si="397"/>
        <v>0</v>
      </c>
      <c r="AO587" s="161">
        <f t="shared" si="398"/>
        <v>0</v>
      </c>
      <c r="AP587" s="156">
        <f t="shared" si="375"/>
        <v>2.9096396120898209</v>
      </c>
      <c r="AQ587" s="152"/>
      <c r="AR587" s="162">
        <f t="shared" si="376"/>
        <v>54674.540098199417</v>
      </c>
      <c r="AS587" s="150">
        <f t="shared" si="399"/>
        <v>0</v>
      </c>
      <c r="AT587" s="163">
        <f t="shared" si="377"/>
        <v>0</v>
      </c>
      <c r="AU587" s="163">
        <f t="shared" si="378"/>
        <v>12517.878825177675</v>
      </c>
      <c r="AV587" s="163">
        <f t="shared" si="400"/>
        <v>169.53998891447404</v>
      </c>
      <c r="AW587" s="163">
        <f t="shared" si="379"/>
        <v>6056.4916687123168</v>
      </c>
      <c r="AX587" s="163">
        <f t="shared" si="380"/>
        <v>0</v>
      </c>
      <c r="AY587" s="164">
        <f t="shared" si="401"/>
        <v>48382.69293064854</v>
      </c>
      <c r="AZ587" s="164">
        <f>IF($E587="","",IF(OR(AND($D587=Input!$C$6,$C587=12),$AN587=1),0,-AS588+AT588+AU588-AV588-AW588-AX588+AZ588))</f>
        <v>48382.731238224405</v>
      </c>
      <c r="BA587" s="154">
        <f t="shared" si="381"/>
        <v>3.8307575865474064E-2</v>
      </c>
      <c r="BC587" s="147">
        <f t="shared" si="402"/>
        <v>4.5139191622194697E-5</v>
      </c>
      <c r="BD587" s="164">
        <f>IF(AND($C586=12,$D586=Input!$C$6),0,IF($E587="","",AT587+(AU587+BD588)/(1+$AK587)*MIN((1-AM587-AN587),1)))</f>
        <v>37212.941617268239</v>
      </c>
      <c r="BE587" s="164">
        <f t="shared" si="382"/>
        <v>1.679762102487415</v>
      </c>
      <c r="BF587" s="164">
        <f t="shared" si="403"/>
        <v>48382.731238224405</v>
      </c>
      <c r="BG587" s="164">
        <f t="shared" si="383"/>
        <v>2.1839573765673568</v>
      </c>
      <c r="BH587" s="152"/>
      <c r="BI587" s="162">
        <f t="shared" si="384"/>
        <v>16621.13623454787</v>
      </c>
      <c r="BJ587" s="150">
        <f t="shared" si="385"/>
        <v>0</v>
      </c>
      <c r="BK587" s="163">
        <f t="shared" si="407"/>
        <v>0</v>
      </c>
      <c r="BL587" s="163">
        <f t="shared" si="386"/>
        <v>4953.4750553619115</v>
      </c>
      <c r="BM587" s="163">
        <f t="shared" si="408"/>
        <v>54.624339060283177</v>
      </c>
      <c r="BN587" s="163">
        <f t="shared" si="387"/>
        <v>610.92333730041958</v>
      </c>
      <c r="BO587" s="163">
        <f t="shared" si="388"/>
        <v>0</v>
      </c>
      <c r="BP587" s="164">
        <f t="shared" si="409"/>
        <v>12333.20885554666</v>
      </c>
      <c r="BQ587" s="164">
        <f>IF($E587="","",IF(AND($D587=Input!$C$6,$C587=12),0,-BJ588+BK588+BL588-BM588-BN588-BO588+BQ588))</f>
        <v>12333.227289377846</v>
      </c>
      <c r="BR587" s="161">
        <f t="shared" si="389"/>
        <v>0</v>
      </c>
      <c r="BT587" s="147">
        <f t="shared" si="390"/>
        <v>4.5139191622194697E-5</v>
      </c>
      <c r="BU587" s="164">
        <f>IF(AND($C586=12,$D586=Input!$C$6),0,IF($E587="","",BK587+(BL587+BU588)/(1+$AK587)*MIN((1-T587-U587),1)))</f>
        <v>76582.175461759442</v>
      </c>
      <c r="BV587" s="164">
        <f t="shared" si="391"/>
        <v>3.4568574930128961</v>
      </c>
      <c r="BW587" s="164">
        <f t="shared" si="392"/>
        <v>12333.227289377846</v>
      </c>
      <c r="BX587" s="164">
        <f t="shared" si="393"/>
        <v>0.5567119099353075</v>
      </c>
    </row>
    <row r="588" spans="1:76" s="150" customFormat="1" x14ac:dyDescent="0.25">
      <c r="A588" s="150">
        <f t="shared" si="404"/>
        <v>584</v>
      </c>
      <c r="B588" s="150">
        <f t="shared" si="405"/>
        <v>49</v>
      </c>
      <c r="C588" s="150">
        <f t="shared" si="406"/>
        <v>8</v>
      </c>
      <c r="D588" s="150">
        <f>IF(E588="","",Input!$C$4+B588-1)</f>
        <v>93</v>
      </c>
      <c r="E588" s="150">
        <f>IF(OR(AND(C587=12,D587=Input!$C$6),E587=""),"",1)</f>
        <v>1</v>
      </c>
      <c r="F588" s="150">
        <f>IF(E588="","",Input!$C$8+B588-1)</f>
        <v>2066</v>
      </c>
      <c r="G588" s="151">
        <f>IF(E588="","",MAX(0,Input!$C$9-B588))</f>
        <v>0</v>
      </c>
      <c r="H588" s="152">
        <f>IF(E588="","",Input!$C$3)</f>
        <v>100000</v>
      </c>
      <c r="I588" s="153">
        <f>IF(E588="","",HLOOKUP($B588,Input!$C$13:$BT$14,2))</f>
        <v>518.15050000000008</v>
      </c>
      <c r="J588" s="154"/>
      <c r="K588" s="155">
        <f>IF($E588="","",INDEX(Input!$C$16:$CP$16,1,$B588))</f>
        <v>3.2340000000000001E-2</v>
      </c>
      <c r="L588" s="155">
        <f>IF($E588="","",Input!$C$37)</f>
        <v>1.4999999999999999E-2</v>
      </c>
      <c r="M588" s="155">
        <f t="shared" si="369"/>
        <v>4.734E-2</v>
      </c>
      <c r="N588" s="155">
        <f t="shared" si="370"/>
        <v>3.8619060585278753E-3</v>
      </c>
      <c r="O588" s="147">
        <f>IF($E588="","",MIN(VLOOKUP(IF($B588&lt;=Input!$C$7,$B588,26),'Mortality Tables'!$A$41:$CW$67,IF($B588&lt;=Input!$C$7+1,Input!$C$4+2,$D588-Input!$C$7+2),0)*IF(B588&gt;20,Input!$C$22,1)/1000,1))</f>
        <v>0.58061840000000009</v>
      </c>
      <c r="P588" s="147">
        <f>IF($E588="","",MIN(VLOOKUP(IF($B588&lt;=Input!$C$7,$B588,26),'Mortality Tables'!$A$12:$CW$37,IF($B588&lt;=Input!$C$7+1,Input!$C$4+2,$D588-Input!$C$7+2),0)*IF(B588&gt;20,Input!$C$22,1)/1000,1))</f>
        <v>0.725773</v>
      </c>
      <c r="Q588" s="155">
        <f>IF($E588="","",Input!$C$21)</f>
        <v>5.0000000000000001E-3</v>
      </c>
      <c r="R588" s="159">
        <f>IF($E588="","",(1-Q588)^($F588-Input!$C$20))</f>
        <v>0.78615444768429321</v>
      </c>
      <c r="S588" s="147">
        <f t="shared" si="372"/>
        <v>0.45645573756733809</v>
      </c>
      <c r="T588" s="147">
        <f t="shared" si="373"/>
        <v>4.9534750553619111E-2</v>
      </c>
      <c r="U588" s="160">
        <f>IF($E588="","",IF($C588=12,INDEX(Input!$C$15:$CP$15,1,$B588),0))</f>
        <v>0</v>
      </c>
      <c r="V588" s="150">
        <f>IF(E588="","",IF(C588=1,IF($B588=1,Input!$C$33,Input!$C$34),0))</f>
        <v>0</v>
      </c>
      <c r="W588" s="156">
        <f>IF($E588="","",Input!$C$35)</f>
        <v>0.02</v>
      </c>
      <c r="X588" s="156">
        <f t="shared" si="371"/>
        <v>2.5870703854994304</v>
      </c>
      <c r="Y588" s="154"/>
      <c r="Z588" s="147">
        <f>IF($E588="","",VLOOKUP($D588,'Mortality Margins &amp; Grading'!$AB$5:$AF$125,3,0)*IF(Summary!$D$25="Included Margin",IF(AND($B588&gt;Input!$C$9,Summary!$D$31&lt;&gt;"Included Margin"),0,1),0))</f>
        <v>0.02</v>
      </c>
      <c r="AA588" s="147">
        <f>IF($E588="","",VLOOKUP($D588,'Mortality Margins &amp; Grading'!$AB$5:$AF$125,5,0)*IF(Summary!$D$25="Included Margin",IF(AND($B588&gt;Input!$C$9,Summary!$D$31&lt;&gt;"Included Margin"),0,1),0))</f>
        <v>0.10100000000000001</v>
      </c>
      <c r="AB588" s="147">
        <f>IF($E588="","",IF(AND($B588&gt;Input!$C$9,Summary!$D$31&lt;&gt;"Included Margin"),1,IF(Summary!$D$25="Included Margin",VLOOKUP($B588,'Mortality Margins &amp; Grading'!$AI$5:$AR$125,MATCH('Mortality Margins &amp; Grading'!$AQ$4,'Mortality Margins &amp; Grading'!$AI$4:$AR$4,0),0),1)))</f>
        <v>0</v>
      </c>
      <c r="AC588" s="154"/>
      <c r="AD588" s="158">
        <f>IF(E588="","",Input!$C$48*IF(Summary!$D$30="Included Margin",IF(AND($B588&gt;Input!$C$9,Summary!$D$31&lt;&gt;"Included Margin"),0,1),0))</f>
        <v>-4.4999999999999997E-3</v>
      </c>
      <c r="AE588" s="159">
        <f>IF(E588="","",IF(Summary!$D$26="Included Margin",IF(AND($B588&gt;Input!$C$9,Summary!$D$31&lt;&gt;"Included Margin"),1,1/$R588),1))</f>
        <v>1.2720146822874474</v>
      </c>
      <c r="AF588" s="160">
        <f>IF(E588="","",IF(AND($B588&gt;=Input!$C$9,$C588=12,Summary!$D$31="Included Margin",$U588&gt;0),1/U588-1,IF($B588&gt;=Input!$C$9,0,Input!$C$45*IF(Summary!$D$27="Included Margin",1,0))))</f>
        <v>0</v>
      </c>
      <c r="AG588" s="160">
        <f>IF(E588="","",Input!$C$46*IF(Summary!$D$28="Included Margin",IF(AND($B588&gt;Input!$C$9,Summary!$D$31&lt;&gt;"Included Margin"),0,1),0))</f>
        <v>0.02</v>
      </c>
      <c r="AH588" s="158">
        <f>IF(E588="","",Input!$C$47*IF(Summary!$D$29="Included Margin",IF(AND($B588&gt;Input!$C$9,Summary!$D$31&lt;&gt;"Included Margin"),0,1),0))</f>
        <v>2.5000000000000001E-3</v>
      </c>
      <c r="AI588" s="154"/>
      <c r="AJ588" s="158">
        <f t="shared" si="394"/>
        <v>4.2840000000000003E-2</v>
      </c>
      <c r="AK588" s="155">
        <f t="shared" si="395"/>
        <v>3.5017636157277376E-3</v>
      </c>
      <c r="AL588" s="147">
        <f t="shared" si="396"/>
        <v>0.79907607299999983</v>
      </c>
      <c r="AM588" s="147">
        <f t="shared" si="374"/>
        <v>0.12517878825177675</v>
      </c>
      <c r="AN588" s="160">
        <f t="shared" si="397"/>
        <v>0</v>
      </c>
      <c r="AO588" s="161">
        <f t="shared" si="398"/>
        <v>0</v>
      </c>
      <c r="AP588" s="156">
        <f t="shared" si="375"/>
        <v>2.9096396120898209</v>
      </c>
      <c r="AQ588" s="152"/>
      <c r="AR588" s="162">
        <f t="shared" si="376"/>
        <v>48382.692930648533</v>
      </c>
      <c r="AS588" s="150">
        <f t="shared" si="399"/>
        <v>0</v>
      </c>
      <c r="AT588" s="163">
        <f t="shared" si="377"/>
        <v>0</v>
      </c>
      <c r="AU588" s="163">
        <f t="shared" si="378"/>
        <v>12517.878825177675</v>
      </c>
      <c r="AV588" s="163">
        <f t="shared" si="400"/>
        <v>147.50742742742474</v>
      </c>
      <c r="AW588" s="163">
        <f t="shared" si="379"/>
        <v>5153.0341358651431</v>
      </c>
      <c r="AX588" s="163">
        <f t="shared" si="380"/>
        <v>0</v>
      </c>
      <c r="AY588" s="165">
        <f t="shared" si="401"/>
        <v>41165.355668763419</v>
      </c>
      <c r="AZ588" s="164">
        <f>IF($E588="","",IF(OR(AND($D588=Input!$C$6,$C588=12),$AN588=1),0,-AS589+AT589+AU589-AV589-AW589-AX589+AZ589))</f>
        <v>41165.393976339299</v>
      </c>
      <c r="BA588" s="154">
        <f t="shared" si="381"/>
        <v>3.8307575880025979E-2</v>
      </c>
      <c r="BC588" s="147">
        <f t="shared" si="402"/>
        <v>4.2903233024997267E-5</v>
      </c>
      <c r="BD588" s="164">
        <f>IF(AND($C587=12,$D587=Input!$C$6),0,IF($E588="","",AT588+(AU588+BD589)/(1+$AK588)*MIN((1-AM588-AN588),1)))</f>
        <v>30168.846234485503</v>
      </c>
      <c r="BE588" s="164">
        <f t="shared" si="382"/>
        <v>1.294341040093443</v>
      </c>
      <c r="BF588" s="164">
        <f t="shared" si="403"/>
        <v>41165.393976339299</v>
      </c>
      <c r="BG588" s="164">
        <f t="shared" si="383"/>
        <v>1.7661284903327037</v>
      </c>
      <c r="BH588" s="152"/>
      <c r="BI588" s="162">
        <f t="shared" si="384"/>
        <v>12333.208855546662</v>
      </c>
      <c r="BJ588" s="150">
        <f t="shared" si="385"/>
        <v>0</v>
      </c>
      <c r="BK588" s="163">
        <f t="shared" si="407"/>
        <v>0</v>
      </c>
      <c r="BL588" s="163">
        <f t="shared" si="386"/>
        <v>4953.4750553619115</v>
      </c>
      <c r="BM588" s="163">
        <f t="shared" si="408"/>
        <v>38.064766336790861</v>
      </c>
      <c r="BN588" s="163">
        <f t="shared" si="387"/>
        <v>386.58932031327885</v>
      </c>
      <c r="BO588" s="163">
        <f t="shared" si="388"/>
        <v>0</v>
      </c>
      <c r="BP588" s="164">
        <f t="shared" si="409"/>
        <v>7804.3878868348202</v>
      </c>
      <c r="BQ588" s="164">
        <f>IF($E588="","",IF(AND($D588=Input!$C$6,$C588=12),0,-BJ589+BK589+BL589-BM589-BN589-BO589+BQ589))</f>
        <v>7804.4063206660039</v>
      </c>
      <c r="BR588" s="161">
        <f t="shared" si="389"/>
        <v>0</v>
      </c>
      <c r="BT588" s="147">
        <f t="shared" si="390"/>
        <v>4.2903233024997267E-5</v>
      </c>
      <c r="BU588" s="164">
        <f>IF(AND($C587=12,$D587=Input!$C$6),0,IF($E588="","",BK588+(BL588+BU589)/(1+$AK588)*MIN((1-T588-U588),1)))</f>
        <v>75902.030374392474</v>
      </c>
      <c r="BV588" s="164">
        <f t="shared" si="391"/>
        <v>3.2564424962229808</v>
      </c>
      <c r="BW588" s="164">
        <f t="shared" si="392"/>
        <v>7804.4063206660039</v>
      </c>
      <c r="BX588" s="164">
        <f t="shared" si="393"/>
        <v>0.33483426299729513</v>
      </c>
    </row>
    <row r="589" spans="1:76" s="150" customFormat="1" x14ac:dyDescent="0.25">
      <c r="A589" s="150">
        <f t="shared" si="404"/>
        <v>585</v>
      </c>
      <c r="B589" s="150">
        <f t="shared" si="405"/>
        <v>49</v>
      </c>
      <c r="C589" s="150">
        <f t="shared" si="406"/>
        <v>9</v>
      </c>
      <c r="D589" s="150">
        <f>IF(E589="","",Input!$C$4+B589-1)</f>
        <v>93</v>
      </c>
      <c r="E589" s="150">
        <f>IF(OR(AND(C588=12,D588=Input!$C$6),E588=""),"",1)</f>
        <v>1</v>
      </c>
      <c r="F589" s="150">
        <f>IF(E589="","",Input!$C$8+B589-1)</f>
        <v>2066</v>
      </c>
      <c r="G589" s="151">
        <f>IF(E589="","",MAX(0,Input!$C$9-B589))</f>
        <v>0</v>
      </c>
      <c r="H589" s="152">
        <f>IF(E589="","",Input!$C$3)</f>
        <v>100000</v>
      </c>
      <c r="I589" s="153">
        <f>IF(E589="","",HLOOKUP($B589,Input!$C$13:$BT$14,2))</f>
        <v>518.15050000000008</v>
      </c>
      <c r="J589" s="154"/>
      <c r="K589" s="155">
        <f>IF($E589="","",INDEX(Input!$C$16:$CP$16,1,$B589))</f>
        <v>3.2340000000000001E-2</v>
      </c>
      <c r="L589" s="155">
        <f>IF($E589="","",Input!$C$37)</f>
        <v>1.4999999999999999E-2</v>
      </c>
      <c r="M589" s="155">
        <f t="shared" si="369"/>
        <v>4.734E-2</v>
      </c>
      <c r="N589" s="155">
        <f t="shared" si="370"/>
        <v>3.8619060585278753E-3</v>
      </c>
      <c r="O589" s="147">
        <f>IF($E589="","",MIN(VLOOKUP(IF($B589&lt;=Input!$C$7,$B589,26),'Mortality Tables'!$A$41:$CW$67,IF($B589&lt;=Input!$C$7+1,Input!$C$4+2,$D589-Input!$C$7+2),0)*IF(B589&gt;20,Input!$C$22,1)/1000,1))</f>
        <v>0.58061840000000009</v>
      </c>
      <c r="P589" s="147">
        <f>IF($E589="","",MIN(VLOOKUP(IF($B589&lt;=Input!$C$7,$B589,26),'Mortality Tables'!$A$12:$CW$37,IF($B589&lt;=Input!$C$7+1,Input!$C$4+2,$D589-Input!$C$7+2),0)*IF(B589&gt;20,Input!$C$22,1)/1000,1))</f>
        <v>0.725773</v>
      </c>
      <c r="Q589" s="155">
        <f>IF($E589="","",Input!$C$21)</f>
        <v>5.0000000000000001E-3</v>
      </c>
      <c r="R589" s="159">
        <f>IF($E589="","",(1-Q589)^($F589-Input!$C$20))</f>
        <v>0.78615444768429321</v>
      </c>
      <c r="S589" s="147">
        <f t="shared" si="372"/>
        <v>0.45645573756733809</v>
      </c>
      <c r="T589" s="147">
        <f t="shared" si="373"/>
        <v>4.9534750553619111E-2</v>
      </c>
      <c r="U589" s="160">
        <f>IF($E589="","",IF($C589=12,INDEX(Input!$C$15:$CP$15,1,$B589),0))</f>
        <v>0</v>
      </c>
      <c r="V589" s="150">
        <f>IF(E589="","",IF(C589=1,IF($B589=1,Input!$C$33,Input!$C$34),0))</f>
        <v>0</v>
      </c>
      <c r="W589" s="156">
        <f>IF($E589="","",Input!$C$35)</f>
        <v>0.02</v>
      </c>
      <c r="X589" s="156">
        <f t="shared" si="371"/>
        <v>2.5870703854994304</v>
      </c>
      <c r="Y589" s="154"/>
      <c r="Z589" s="147">
        <f>IF($E589="","",VLOOKUP($D589,'Mortality Margins &amp; Grading'!$AB$5:$AF$125,3,0)*IF(Summary!$D$25="Included Margin",IF(AND($B589&gt;Input!$C$9,Summary!$D$31&lt;&gt;"Included Margin"),0,1),0))</f>
        <v>0.02</v>
      </c>
      <c r="AA589" s="147">
        <f>IF($E589="","",VLOOKUP($D589,'Mortality Margins &amp; Grading'!$AB$5:$AF$125,5,0)*IF(Summary!$D$25="Included Margin",IF(AND($B589&gt;Input!$C$9,Summary!$D$31&lt;&gt;"Included Margin"),0,1),0))</f>
        <v>0.10100000000000001</v>
      </c>
      <c r="AB589" s="147">
        <f>IF($E589="","",IF(AND($B589&gt;Input!$C$9,Summary!$D$31&lt;&gt;"Included Margin"),1,IF(Summary!$D$25="Included Margin",VLOOKUP($B589,'Mortality Margins &amp; Grading'!$AI$5:$AR$125,MATCH('Mortality Margins &amp; Grading'!$AQ$4,'Mortality Margins &amp; Grading'!$AI$4:$AR$4,0),0),1)))</f>
        <v>0</v>
      </c>
      <c r="AC589" s="154"/>
      <c r="AD589" s="158">
        <f>IF(E589="","",Input!$C$48*IF(Summary!$D$30="Included Margin",IF(AND($B589&gt;Input!$C$9,Summary!$D$31&lt;&gt;"Included Margin"),0,1),0))</f>
        <v>-4.4999999999999997E-3</v>
      </c>
      <c r="AE589" s="159">
        <f>IF(E589="","",IF(Summary!$D$26="Included Margin",IF(AND($B589&gt;Input!$C$9,Summary!$D$31&lt;&gt;"Included Margin"),1,1/$R589),1))</f>
        <v>1.2720146822874474</v>
      </c>
      <c r="AF589" s="160">
        <f>IF(E589="","",IF(AND($B589&gt;=Input!$C$9,$C589=12,Summary!$D$31="Included Margin",$U589&gt;0),1/U589-1,IF($B589&gt;=Input!$C$9,0,Input!$C$45*IF(Summary!$D$27="Included Margin",1,0))))</f>
        <v>0</v>
      </c>
      <c r="AG589" s="160">
        <f>IF(E589="","",Input!$C$46*IF(Summary!$D$28="Included Margin",IF(AND($B589&gt;Input!$C$9,Summary!$D$31&lt;&gt;"Included Margin"),0,1),0))</f>
        <v>0.02</v>
      </c>
      <c r="AH589" s="158">
        <f>IF(E589="","",Input!$C$47*IF(Summary!$D$29="Included Margin",IF(AND($B589&gt;Input!$C$9,Summary!$D$31&lt;&gt;"Included Margin"),0,1),0))</f>
        <v>2.5000000000000001E-3</v>
      </c>
      <c r="AI589" s="154"/>
      <c r="AJ589" s="158">
        <f t="shared" si="394"/>
        <v>4.2840000000000003E-2</v>
      </c>
      <c r="AK589" s="155">
        <f t="shared" si="395"/>
        <v>3.5017636157277376E-3</v>
      </c>
      <c r="AL589" s="147">
        <f t="shared" si="396"/>
        <v>0.79907607299999983</v>
      </c>
      <c r="AM589" s="147">
        <f t="shared" si="374"/>
        <v>0.12517878825177675</v>
      </c>
      <c r="AN589" s="160">
        <f t="shared" si="397"/>
        <v>0</v>
      </c>
      <c r="AO589" s="161">
        <f t="shared" si="398"/>
        <v>0</v>
      </c>
      <c r="AP589" s="156">
        <f t="shared" si="375"/>
        <v>2.9096396120898209</v>
      </c>
      <c r="AQ589" s="152"/>
      <c r="AR589" s="162">
        <f t="shared" si="376"/>
        <v>41165.355668763426</v>
      </c>
      <c r="AS589" s="150">
        <f t="shared" si="399"/>
        <v>0</v>
      </c>
      <c r="AT589" s="163">
        <f t="shared" si="377"/>
        <v>0</v>
      </c>
      <c r="AU589" s="163">
        <f t="shared" si="378"/>
        <v>12517.878825177675</v>
      </c>
      <c r="AV589" s="163">
        <f t="shared" si="400"/>
        <v>122.23401840131942</v>
      </c>
      <c r="AW589" s="163">
        <f t="shared" si="379"/>
        <v>4116.683833210408</v>
      </c>
      <c r="AX589" s="163">
        <f t="shared" si="380"/>
        <v>0</v>
      </c>
      <c r="AY589" s="164">
        <f t="shared" si="401"/>
        <v>32886.394695197479</v>
      </c>
      <c r="AZ589" s="164">
        <f>IF($E589="","",IF(OR(AND($D589=Input!$C$6,$C589=12),$AN589=1),0,-AS590+AT590+AU590-AV590-AW590-AX590+AZ590))</f>
        <v>32886.433002773352</v>
      </c>
      <c r="BA589" s="154">
        <f t="shared" si="381"/>
        <v>3.8307575872750022E-2</v>
      </c>
      <c r="BC589" s="147">
        <f t="shared" si="402"/>
        <v>4.0778032079160232E-5</v>
      </c>
      <c r="BD589" s="164">
        <f>IF(AND($C588=12,$D588=Input!$C$6),0,IF($E589="","",AT589+(AU589+BD590)/(1+$AK589)*MIN((1-AM589-AN589),1)))</f>
        <v>22088.609901882388</v>
      </c>
      <c r="BE589" s="164">
        <f t="shared" si="382"/>
        <v>0.90073004316301641</v>
      </c>
      <c r="BF589" s="164">
        <f t="shared" si="403"/>
        <v>32886.433002773352</v>
      </c>
      <c r="BG589" s="164">
        <f t="shared" si="383"/>
        <v>1.3410440199562454</v>
      </c>
      <c r="BH589" s="152"/>
      <c r="BI589" s="162">
        <f t="shared" si="384"/>
        <v>7804.3878868348193</v>
      </c>
      <c r="BJ589" s="150">
        <f t="shared" si="385"/>
        <v>0</v>
      </c>
      <c r="BK589" s="163">
        <f t="shared" si="407"/>
        <v>0</v>
      </c>
      <c r="BL589" s="163">
        <f t="shared" si="386"/>
        <v>4953.4750553619115</v>
      </c>
      <c r="BM589" s="163">
        <f t="shared" si="408"/>
        <v>20.574885199734517</v>
      </c>
      <c r="BN589" s="163">
        <f t="shared" si="387"/>
        <v>149.65233180407228</v>
      </c>
      <c r="BO589" s="163">
        <f t="shared" si="388"/>
        <v>0</v>
      </c>
      <c r="BP589" s="164">
        <f t="shared" si="409"/>
        <v>3021.1400484767146</v>
      </c>
      <c r="BQ589" s="164">
        <f>IF($E589="","",IF(AND($D589=Input!$C$6,$C589=12),0,-BJ590+BK590+BL590-BM590-BN590-BO590+BQ590))</f>
        <v>3021.1584823078992</v>
      </c>
      <c r="BR589" s="161">
        <f t="shared" si="389"/>
        <v>0</v>
      </c>
      <c r="BT589" s="147">
        <f t="shared" si="390"/>
        <v>4.0778032079160232E-5</v>
      </c>
      <c r="BU589" s="164">
        <f>IF(AND($C588=12,$D588=Input!$C$6),0,IF($E589="","",BK589+(BL589+BU590)/(1+$AK589)*MIN((1-T589-U589),1)))</f>
        <v>75183.932795249129</v>
      </c>
      <c r="BV589" s="164">
        <f t="shared" si="391"/>
        <v>3.0658528233620959</v>
      </c>
      <c r="BW589" s="164">
        <f t="shared" si="392"/>
        <v>3021.1584823078992</v>
      </c>
      <c r="BX589" s="164">
        <f t="shared" si="393"/>
        <v>0.12319689750777855</v>
      </c>
    </row>
    <row r="590" spans="1:76" s="150" customFormat="1" x14ac:dyDescent="0.25">
      <c r="A590" s="150">
        <f t="shared" si="404"/>
        <v>586</v>
      </c>
      <c r="B590" s="150">
        <f t="shared" si="405"/>
        <v>49</v>
      </c>
      <c r="C590" s="150">
        <f t="shared" si="406"/>
        <v>10</v>
      </c>
      <c r="D590" s="150">
        <f>IF(E590="","",Input!$C$4+B590-1)</f>
        <v>93</v>
      </c>
      <c r="E590" s="150">
        <f>IF(OR(AND(C589=12,D589=Input!$C$6),E589=""),"",1)</f>
        <v>1</v>
      </c>
      <c r="F590" s="150">
        <f>IF(E590="","",Input!$C$8+B590-1)</f>
        <v>2066</v>
      </c>
      <c r="G590" s="151">
        <f>IF(E590="","",MAX(0,Input!$C$9-B590))</f>
        <v>0</v>
      </c>
      <c r="H590" s="152">
        <f>IF(E590="","",Input!$C$3)</f>
        <v>100000</v>
      </c>
      <c r="I590" s="153">
        <f>IF(E590="","",HLOOKUP($B590,Input!$C$13:$BT$14,2))</f>
        <v>518.15050000000008</v>
      </c>
      <c r="J590" s="154"/>
      <c r="K590" s="155">
        <f>IF($E590="","",INDEX(Input!$C$16:$CP$16,1,$B590))</f>
        <v>3.2340000000000001E-2</v>
      </c>
      <c r="L590" s="155">
        <f>IF($E590="","",Input!$C$37)</f>
        <v>1.4999999999999999E-2</v>
      </c>
      <c r="M590" s="155">
        <f t="shared" si="369"/>
        <v>4.734E-2</v>
      </c>
      <c r="N590" s="155">
        <f t="shared" si="370"/>
        <v>3.8619060585278753E-3</v>
      </c>
      <c r="O590" s="147">
        <f>IF($E590="","",MIN(VLOOKUP(IF($B590&lt;=Input!$C$7,$B590,26),'Mortality Tables'!$A$41:$CW$67,IF($B590&lt;=Input!$C$7+1,Input!$C$4+2,$D590-Input!$C$7+2),0)*IF(B590&gt;20,Input!$C$22,1)/1000,1))</f>
        <v>0.58061840000000009</v>
      </c>
      <c r="P590" s="147">
        <f>IF($E590="","",MIN(VLOOKUP(IF($B590&lt;=Input!$C$7,$B590,26),'Mortality Tables'!$A$12:$CW$37,IF($B590&lt;=Input!$C$7+1,Input!$C$4+2,$D590-Input!$C$7+2),0)*IF(B590&gt;20,Input!$C$22,1)/1000,1))</f>
        <v>0.725773</v>
      </c>
      <c r="Q590" s="155">
        <f>IF($E590="","",Input!$C$21)</f>
        <v>5.0000000000000001E-3</v>
      </c>
      <c r="R590" s="159">
        <f>IF($E590="","",(1-Q590)^($F590-Input!$C$20))</f>
        <v>0.78615444768429321</v>
      </c>
      <c r="S590" s="147">
        <f t="shared" si="372"/>
        <v>0.45645573756733809</v>
      </c>
      <c r="T590" s="147">
        <f t="shared" si="373"/>
        <v>4.9534750553619111E-2</v>
      </c>
      <c r="U590" s="160">
        <f>IF($E590="","",IF($C590=12,INDEX(Input!$C$15:$CP$15,1,$B590),0))</f>
        <v>0</v>
      </c>
      <c r="V590" s="150">
        <f>IF(E590="","",IF(C590=1,IF($B590=1,Input!$C$33,Input!$C$34),0))</f>
        <v>0</v>
      </c>
      <c r="W590" s="156">
        <f>IF($E590="","",Input!$C$35)</f>
        <v>0.02</v>
      </c>
      <c r="X590" s="156">
        <f t="shared" si="371"/>
        <v>2.5870703854994304</v>
      </c>
      <c r="Y590" s="154"/>
      <c r="Z590" s="147">
        <f>IF($E590="","",VLOOKUP($D590,'Mortality Margins &amp; Grading'!$AB$5:$AF$125,3,0)*IF(Summary!$D$25="Included Margin",IF(AND($B590&gt;Input!$C$9,Summary!$D$31&lt;&gt;"Included Margin"),0,1),0))</f>
        <v>0.02</v>
      </c>
      <c r="AA590" s="147">
        <f>IF($E590="","",VLOOKUP($D590,'Mortality Margins &amp; Grading'!$AB$5:$AF$125,5,0)*IF(Summary!$D$25="Included Margin",IF(AND($B590&gt;Input!$C$9,Summary!$D$31&lt;&gt;"Included Margin"),0,1),0))</f>
        <v>0.10100000000000001</v>
      </c>
      <c r="AB590" s="147">
        <f>IF($E590="","",IF(AND($B590&gt;Input!$C$9,Summary!$D$31&lt;&gt;"Included Margin"),1,IF(Summary!$D$25="Included Margin",VLOOKUP($B590,'Mortality Margins &amp; Grading'!$AI$5:$AR$125,MATCH('Mortality Margins &amp; Grading'!$AQ$4,'Mortality Margins &amp; Grading'!$AI$4:$AR$4,0),0),1)))</f>
        <v>0</v>
      </c>
      <c r="AC590" s="154"/>
      <c r="AD590" s="158">
        <f>IF(E590="","",Input!$C$48*IF(Summary!$D$30="Included Margin",IF(AND($B590&gt;Input!$C$9,Summary!$D$31&lt;&gt;"Included Margin"),0,1),0))</f>
        <v>-4.4999999999999997E-3</v>
      </c>
      <c r="AE590" s="159">
        <f>IF(E590="","",IF(Summary!$D$26="Included Margin",IF(AND($B590&gt;Input!$C$9,Summary!$D$31&lt;&gt;"Included Margin"),1,1/$R590),1))</f>
        <v>1.2720146822874474</v>
      </c>
      <c r="AF590" s="160">
        <f>IF(E590="","",IF(AND($B590&gt;=Input!$C$9,$C590=12,Summary!$D$31="Included Margin",$U590&gt;0),1/U590-1,IF($B590&gt;=Input!$C$9,0,Input!$C$45*IF(Summary!$D$27="Included Margin",1,0))))</f>
        <v>0</v>
      </c>
      <c r="AG590" s="160">
        <f>IF(E590="","",Input!$C$46*IF(Summary!$D$28="Included Margin",IF(AND($B590&gt;Input!$C$9,Summary!$D$31&lt;&gt;"Included Margin"),0,1),0))</f>
        <v>0.02</v>
      </c>
      <c r="AH590" s="158">
        <f>IF(E590="","",Input!$C$47*IF(Summary!$D$29="Included Margin",IF(AND($B590&gt;Input!$C$9,Summary!$D$31&lt;&gt;"Included Margin"),0,1),0))</f>
        <v>2.5000000000000001E-3</v>
      </c>
      <c r="AI590" s="154"/>
      <c r="AJ590" s="158">
        <f t="shared" si="394"/>
        <v>4.2840000000000003E-2</v>
      </c>
      <c r="AK590" s="155">
        <f t="shared" si="395"/>
        <v>3.5017636157277376E-3</v>
      </c>
      <c r="AL590" s="147">
        <f t="shared" si="396"/>
        <v>0.79907607299999983</v>
      </c>
      <c r="AM590" s="147">
        <f t="shared" si="374"/>
        <v>0.12517878825177675</v>
      </c>
      <c r="AN590" s="160">
        <f t="shared" si="397"/>
        <v>0</v>
      </c>
      <c r="AO590" s="161">
        <f t="shared" si="398"/>
        <v>0</v>
      </c>
      <c r="AP590" s="156">
        <f t="shared" si="375"/>
        <v>2.9096396120898209</v>
      </c>
      <c r="AQ590" s="152"/>
      <c r="AR590" s="162">
        <f t="shared" si="376"/>
        <v>32886.394695197479</v>
      </c>
      <c r="AS590" s="150">
        <f t="shared" si="399"/>
        <v>0</v>
      </c>
      <c r="AT590" s="163">
        <f t="shared" si="377"/>
        <v>0</v>
      </c>
      <c r="AU590" s="163">
        <f t="shared" si="378"/>
        <v>12517.878825177675</v>
      </c>
      <c r="AV590" s="163">
        <f t="shared" si="400"/>
        <v>93.243054088056297</v>
      </c>
      <c r="AW590" s="163">
        <f t="shared" si="379"/>
        <v>2927.8930923463995</v>
      </c>
      <c r="AX590" s="163">
        <f t="shared" si="380"/>
        <v>0</v>
      </c>
      <c r="AY590" s="165">
        <f t="shared" si="401"/>
        <v>23389.65201645426</v>
      </c>
      <c r="AZ590" s="164">
        <f>IF($E590="","",IF(OR(AND($D590=Input!$C$6,$C590=12),$AN590=1),0,-AS591+AT591+AU591-AV591-AW591-AX591+AZ591))</f>
        <v>23389.690324030133</v>
      </c>
      <c r="BA590" s="154">
        <f t="shared" si="381"/>
        <v>3.8307575872750022E-2</v>
      </c>
      <c r="BC590" s="147">
        <f t="shared" si="402"/>
        <v>3.8758102432051553E-5</v>
      </c>
      <c r="BD590" s="164">
        <f>IF(AND($C589=12,$D589=Input!$C$6),0,IF($E590="","",AT590+(AU590+BD591)/(1+$AK590)*MIN((1-AM590-AN590),1)))</f>
        <v>12819.822975699839</v>
      </c>
      <c r="BE590" s="164">
        <f t="shared" si="382"/>
        <v>0.49687201205294229</v>
      </c>
      <c r="BF590" s="164">
        <f t="shared" si="403"/>
        <v>23389.690324030133</v>
      </c>
      <c r="BG590" s="164">
        <f t="shared" si="383"/>
        <v>0.90654001343272494</v>
      </c>
      <c r="BH590" s="152"/>
      <c r="BI590" s="162">
        <f t="shared" si="384"/>
        <v>3021.1400484767155</v>
      </c>
      <c r="BJ590" s="150">
        <f t="shared" si="385"/>
        <v>0</v>
      </c>
      <c r="BK590" s="163">
        <f t="shared" si="407"/>
        <v>0</v>
      </c>
      <c r="BL590" s="163">
        <f t="shared" si="386"/>
        <v>4953.4750553619115</v>
      </c>
      <c r="BM590" s="163">
        <f t="shared" si="408"/>
        <v>2.1024313933389922</v>
      </c>
      <c r="BN590" s="163">
        <f t="shared" si="387"/>
        <v>-100.59565678800053</v>
      </c>
      <c r="BO590" s="163">
        <f t="shared" si="388"/>
        <v>0</v>
      </c>
      <c r="BP590" s="164">
        <f t="shared" si="409"/>
        <v>-2030.8282322798575</v>
      </c>
      <c r="BQ590" s="164">
        <f>IF($E590="","",IF(AND($D590=Input!$C$6,$C590=12),0,-BJ591+BK591+BL591-BM591-BN591-BO591+BQ591))</f>
        <v>-2030.8097984486731</v>
      </c>
      <c r="BR590" s="161">
        <f t="shared" si="389"/>
        <v>0</v>
      </c>
      <c r="BT590" s="147">
        <f t="shared" si="390"/>
        <v>3.8758102432051553E-5</v>
      </c>
      <c r="BU590" s="164">
        <f>IF(AND($C589=12,$D589=Input!$C$6),0,IF($E590="","",BK590+(BL590+BU591)/(1+$AK590)*MIN((1-T590-U590),1)))</f>
        <v>74425.764953196762</v>
      </c>
      <c r="BV590" s="164">
        <f t="shared" si="391"/>
        <v>2.8846014216397928</v>
      </c>
      <c r="BW590" s="164">
        <f t="shared" si="392"/>
        <v>-2030.8097984486731</v>
      </c>
      <c r="BX590" s="164">
        <f t="shared" si="393"/>
        <v>-7.8710334188287642E-2</v>
      </c>
    </row>
    <row r="591" spans="1:76" s="150" customFormat="1" x14ac:dyDescent="0.25">
      <c r="A591" s="150">
        <f t="shared" si="404"/>
        <v>587</v>
      </c>
      <c r="B591" s="150">
        <f t="shared" si="405"/>
        <v>49</v>
      </c>
      <c r="C591" s="150">
        <f t="shared" si="406"/>
        <v>11</v>
      </c>
      <c r="D591" s="150">
        <f>IF(E591="","",Input!$C$4+B591-1)</f>
        <v>93</v>
      </c>
      <c r="E591" s="150">
        <f>IF(OR(AND(C590=12,D590=Input!$C$6),E590=""),"",1)</f>
        <v>1</v>
      </c>
      <c r="F591" s="150">
        <f>IF(E591="","",Input!$C$8+B591-1)</f>
        <v>2066</v>
      </c>
      <c r="G591" s="151">
        <f>IF(E591="","",MAX(0,Input!$C$9-B591))</f>
        <v>0</v>
      </c>
      <c r="H591" s="152">
        <f>IF(E591="","",Input!$C$3)</f>
        <v>100000</v>
      </c>
      <c r="I591" s="153">
        <f>IF(E591="","",HLOOKUP($B591,Input!$C$13:$BT$14,2))</f>
        <v>518.15050000000008</v>
      </c>
      <c r="J591" s="154"/>
      <c r="K591" s="155">
        <f>IF($E591="","",INDEX(Input!$C$16:$CP$16,1,$B591))</f>
        <v>3.2340000000000001E-2</v>
      </c>
      <c r="L591" s="155">
        <f>IF($E591="","",Input!$C$37)</f>
        <v>1.4999999999999999E-2</v>
      </c>
      <c r="M591" s="155">
        <f t="shared" si="369"/>
        <v>4.734E-2</v>
      </c>
      <c r="N591" s="155">
        <f t="shared" si="370"/>
        <v>3.8619060585278753E-3</v>
      </c>
      <c r="O591" s="147">
        <f>IF($E591="","",MIN(VLOOKUP(IF($B591&lt;=Input!$C$7,$B591,26),'Mortality Tables'!$A$41:$CW$67,IF($B591&lt;=Input!$C$7+1,Input!$C$4+2,$D591-Input!$C$7+2),0)*IF(B591&gt;20,Input!$C$22,1)/1000,1))</f>
        <v>0.58061840000000009</v>
      </c>
      <c r="P591" s="147">
        <f>IF($E591="","",MIN(VLOOKUP(IF($B591&lt;=Input!$C$7,$B591,26),'Mortality Tables'!$A$12:$CW$37,IF($B591&lt;=Input!$C$7+1,Input!$C$4+2,$D591-Input!$C$7+2),0)*IF(B591&gt;20,Input!$C$22,1)/1000,1))</f>
        <v>0.725773</v>
      </c>
      <c r="Q591" s="155">
        <f>IF($E591="","",Input!$C$21)</f>
        <v>5.0000000000000001E-3</v>
      </c>
      <c r="R591" s="159">
        <f>IF($E591="","",(1-Q591)^($F591-Input!$C$20))</f>
        <v>0.78615444768429321</v>
      </c>
      <c r="S591" s="147">
        <f t="shared" si="372"/>
        <v>0.45645573756733809</v>
      </c>
      <c r="T591" s="147">
        <f t="shared" si="373"/>
        <v>4.9534750553619111E-2</v>
      </c>
      <c r="U591" s="160">
        <f>IF($E591="","",IF($C591=12,INDEX(Input!$C$15:$CP$15,1,$B591),0))</f>
        <v>0</v>
      </c>
      <c r="V591" s="150">
        <f>IF(E591="","",IF(C591=1,IF($B591=1,Input!$C$33,Input!$C$34),0))</f>
        <v>0</v>
      </c>
      <c r="W591" s="156">
        <f>IF($E591="","",Input!$C$35)</f>
        <v>0.02</v>
      </c>
      <c r="X591" s="156">
        <f t="shared" si="371"/>
        <v>2.5870703854994304</v>
      </c>
      <c r="Y591" s="154"/>
      <c r="Z591" s="147">
        <f>IF($E591="","",VLOOKUP($D591,'Mortality Margins &amp; Grading'!$AB$5:$AF$125,3,0)*IF(Summary!$D$25="Included Margin",IF(AND($B591&gt;Input!$C$9,Summary!$D$31&lt;&gt;"Included Margin"),0,1),0))</f>
        <v>0.02</v>
      </c>
      <c r="AA591" s="147">
        <f>IF($E591="","",VLOOKUP($D591,'Mortality Margins &amp; Grading'!$AB$5:$AF$125,5,0)*IF(Summary!$D$25="Included Margin",IF(AND($B591&gt;Input!$C$9,Summary!$D$31&lt;&gt;"Included Margin"),0,1),0))</f>
        <v>0.10100000000000001</v>
      </c>
      <c r="AB591" s="147">
        <f>IF($E591="","",IF(AND($B591&gt;Input!$C$9,Summary!$D$31&lt;&gt;"Included Margin"),1,IF(Summary!$D$25="Included Margin",VLOOKUP($B591,'Mortality Margins &amp; Grading'!$AI$5:$AR$125,MATCH('Mortality Margins &amp; Grading'!$AQ$4,'Mortality Margins &amp; Grading'!$AI$4:$AR$4,0),0),1)))</f>
        <v>0</v>
      </c>
      <c r="AC591" s="154"/>
      <c r="AD591" s="158">
        <f>IF(E591="","",Input!$C$48*IF(Summary!$D$30="Included Margin",IF(AND($B591&gt;Input!$C$9,Summary!$D$31&lt;&gt;"Included Margin"),0,1),0))</f>
        <v>-4.4999999999999997E-3</v>
      </c>
      <c r="AE591" s="159">
        <f>IF(E591="","",IF(Summary!$D$26="Included Margin",IF(AND($B591&gt;Input!$C$9,Summary!$D$31&lt;&gt;"Included Margin"),1,1/$R591),1))</f>
        <v>1.2720146822874474</v>
      </c>
      <c r="AF591" s="160">
        <f>IF(E591="","",IF(AND($B591&gt;=Input!$C$9,$C591=12,Summary!$D$31="Included Margin",$U591&gt;0),1/U591-1,IF($B591&gt;=Input!$C$9,0,Input!$C$45*IF(Summary!$D$27="Included Margin",1,0))))</f>
        <v>0</v>
      </c>
      <c r="AG591" s="160">
        <f>IF(E591="","",Input!$C$46*IF(Summary!$D$28="Included Margin",IF(AND($B591&gt;Input!$C$9,Summary!$D$31&lt;&gt;"Included Margin"),0,1),0))</f>
        <v>0.02</v>
      </c>
      <c r="AH591" s="158">
        <f>IF(E591="","",Input!$C$47*IF(Summary!$D$29="Included Margin",IF(AND($B591&gt;Input!$C$9,Summary!$D$31&lt;&gt;"Included Margin"),0,1),0))</f>
        <v>2.5000000000000001E-3</v>
      </c>
      <c r="AI591" s="154"/>
      <c r="AJ591" s="158">
        <f t="shared" si="394"/>
        <v>4.2840000000000003E-2</v>
      </c>
      <c r="AK591" s="155">
        <f t="shared" si="395"/>
        <v>3.5017636157277376E-3</v>
      </c>
      <c r="AL591" s="147">
        <f t="shared" si="396"/>
        <v>0.79907607299999983</v>
      </c>
      <c r="AM591" s="147">
        <f t="shared" si="374"/>
        <v>0.12517878825177675</v>
      </c>
      <c r="AN591" s="160">
        <f t="shared" si="397"/>
        <v>0</v>
      </c>
      <c r="AO591" s="161">
        <f t="shared" si="398"/>
        <v>0</v>
      </c>
      <c r="AP591" s="156">
        <f t="shared" si="375"/>
        <v>2.9096396120898209</v>
      </c>
      <c r="AQ591" s="152"/>
      <c r="AR591" s="162">
        <f t="shared" si="376"/>
        <v>23389.652016454256</v>
      </c>
      <c r="AS591" s="150">
        <f t="shared" si="399"/>
        <v>0</v>
      </c>
      <c r="AT591" s="163">
        <f t="shared" si="377"/>
        <v>0</v>
      </c>
      <c r="AU591" s="163">
        <f t="shared" si="378"/>
        <v>12517.878825177675</v>
      </c>
      <c r="AV591" s="163">
        <f t="shared" si="400"/>
        <v>59.98770610770449</v>
      </c>
      <c r="AW591" s="163">
        <f t="shared" si="379"/>
        <v>1564.238909061213</v>
      </c>
      <c r="AX591" s="163">
        <f t="shared" si="380"/>
        <v>0</v>
      </c>
      <c r="AY591" s="164">
        <f t="shared" si="401"/>
        <v>12495.999806445498</v>
      </c>
      <c r="AZ591" s="164">
        <f>IF($E591="","",IF(OR(AND($D591=Input!$C$6,$C591=12),$AN591=1),0,-AS592+AT592+AU592-AV592-AW592-AX592+AZ592))</f>
        <v>12496.038114021372</v>
      </c>
      <c r="BA591" s="154">
        <f t="shared" si="381"/>
        <v>3.8307575874569011E-2</v>
      </c>
      <c r="BC591" s="147">
        <f t="shared" si="402"/>
        <v>3.6838229496148263E-5</v>
      </c>
      <c r="BD591" s="164">
        <f>IF(AND($C590=12,$D590=Input!$C$6),0,IF($E591="","",AT591+(AU591+BD592)/(1+$AK591)*MIN((1-AM591-AN591),1)))</f>
        <v>2187.6573376317001</v>
      </c>
      <c r="BE591" s="164">
        <f t="shared" si="382"/>
        <v>8.0589423062609272E-2</v>
      </c>
      <c r="BF591" s="164">
        <f t="shared" si="403"/>
        <v>12496.038114021372</v>
      </c>
      <c r="BG591" s="164">
        <f t="shared" si="383"/>
        <v>0.460331919836935</v>
      </c>
      <c r="BH591" s="152"/>
      <c r="BI591" s="162">
        <f t="shared" si="384"/>
        <v>-2030.8282322798577</v>
      </c>
      <c r="BJ591" s="150">
        <f t="shared" si="385"/>
        <v>0</v>
      </c>
      <c r="BK591" s="163">
        <f t="shared" si="407"/>
        <v>0</v>
      </c>
      <c r="BL591" s="163">
        <f t="shared" si="386"/>
        <v>4953.4750553619115</v>
      </c>
      <c r="BM591" s="163">
        <f t="shared" si="408"/>
        <v>-17.407795517605472</v>
      </c>
      <c r="BN591" s="163">
        <f t="shared" si="387"/>
        <v>-364.9024507098996</v>
      </c>
      <c r="BO591" s="163">
        <f t="shared" si="388"/>
        <v>0</v>
      </c>
      <c r="BP591" s="164">
        <f t="shared" si="409"/>
        <v>-7366.6135338692739</v>
      </c>
      <c r="BQ591" s="164">
        <f>IF($E591="","",IF(AND($D591=Input!$C$6,$C591=12),0,-BJ592+BK592+BL592-BM592-BN592-BO592+BQ592))</f>
        <v>-7366.5951000380892</v>
      </c>
      <c r="BR591" s="161">
        <f t="shared" si="389"/>
        <v>0</v>
      </c>
      <c r="BT591" s="147">
        <f t="shared" si="390"/>
        <v>3.6838229496148263E-5</v>
      </c>
      <c r="BU591" s="164">
        <f>IF(AND($C590=12,$D590=Input!$C$6),0,IF($E591="","",BK591+(BL591+BU592)/(1+$AK591)*MIN((1-T591-U591),1)))</f>
        <v>73625.290904240799</v>
      </c>
      <c r="BV591" s="164">
        <f t="shared" si="391"/>
        <v>2.7122253630511</v>
      </c>
      <c r="BW591" s="164">
        <f t="shared" si="392"/>
        <v>-7366.5951000380892</v>
      </c>
      <c r="BX591" s="164">
        <f t="shared" si="393"/>
        <v>-0.27137232090040442</v>
      </c>
    </row>
    <row r="592" spans="1:76" s="150" customFormat="1" x14ac:dyDescent="0.25">
      <c r="A592" s="150">
        <f t="shared" si="404"/>
        <v>588</v>
      </c>
      <c r="B592" s="150">
        <f t="shared" si="405"/>
        <v>49</v>
      </c>
      <c r="C592" s="150">
        <f t="shared" si="406"/>
        <v>12</v>
      </c>
      <c r="D592" s="150">
        <f>IF(E592="","",Input!$C$4+B592-1)</f>
        <v>93</v>
      </c>
      <c r="E592" s="150">
        <f>IF(OR(AND(C591=12,D591=Input!$C$6),E591=""),"",1)</f>
        <v>1</v>
      </c>
      <c r="F592" s="150">
        <f>IF(E592="","",Input!$C$8+B592-1)</f>
        <v>2066</v>
      </c>
      <c r="G592" s="151">
        <f>IF(E592="","",MAX(0,Input!$C$9-B592))</f>
        <v>0</v>
      </c>
      <c r="H592" s="152">
        <f>IF(E592="","",Input!$C$3)</f>
        <v>100000</v>
      </c>
      <c r="I592" s="153">
        <f>IF(E592="","",HLOOKUP($B592,Input!$C$13:$BT$14,2))</f>
        <v>518.15050000000008</v>
      </c>
      <c r="J592" s="154"/>
      <c r="K592" s="155">
        <f>IF($E592="","",INDEX(Input!$C$16:$CP$16,1,$B592))</f>
        <v>3.2340000000000001E-2</v>
      </c>
      <c r="L592" s="155">
        <f>IF($E592="","",Input!$C$37)</f>
        <v>1.4999999999999999E-2</v>
      </c>
      <c r="M592" s="155">
        <f t="shared" si="369"/>
        <v>4.734E-2</v>
      </c>
      <c r="N592" s="155">
        <f t="shared" si="370"/>
        <v>3.8619060585278753E-3</v>
      </c>
      <c r="O592" s="147">
        <f>IF($E592="","",MIN(VLOOKUP(IF($B592&lt;=Input!$C$7,$B592,26),'Mortality Tables'!$A$41:$CW$67,IF($B592&lt;=Input!$C$7+1,Input!$C$4+2,$D592-Input!$C$7+2),0)*IF(B592&gt;20,Input!$C$22,1)/1000,1))</f>
        <v>0.58061840000000009</v>
      </c>
      <c r="P592" s="147">
        <f>IF($E592="","",MIN(VLOOKUP(IF($B592&lt;=Input!$C$7,$B592,26),'Mortality Tables'!$A$12:$CW$37,IF($B592&lt;=Input!$C$7+1,Input!$C$4+2,$D592-Input!$C$7+2),0)*IF(B592&gt;20,Input!$C$22,1)/1000,1))</f>
        <v>0.725773</v>
      </c>
      <c r="Q592" s="155">
        <f>IF($E592="","",Input!$C$21)</f>
        <v>5.0000000000000001E-3</v>
      </c>
      <c r="R592" s="159">
        <f>IF($E592="","",(1-Q592)^($F592-Input!$C$20))</f>
        <v>0.78615444768429321</v>
      </c>
      <c r="S592" s="147">
        <f t="shared" si="372"/>
        <v>0.45645573756733809</v>
      </c>
      <c r="T592" s="147">
        <f t="shared" si="373"/>
        <v>4.9534750553619111E-2</v>
      </c>
      <c r="U592" s="160">
        <f>IF($E592="","",IF($C592=12,INDEX(Input!$C$15:$CP$15,1,$B592),0))</f>
        <v>0.1</v>
      </c>
      <c r="V592" s="150">
        <f>IF(E592="","",IF(C592=1,IF($B592=1,Input!$C$33,Input!$C$34),0))</f>
        <v>0</v>
      </c>
      <c r="W592" s="156">
        <f>IF($E592="","",Input!$C$35)</f>
        <v>0.02</v>
      </c>
      <c r="X592" s="156">
        <f t="shared" si="371"/>
        <v>2.5870703854994304</v>
      </c>
      <c r="Y592" s="154"/>
      <c r="Z592" s="147">
        <f>IF($E592="","",VLOOKUP($D592,'Mortality Margins &amp; Grading'!$AB$5:$AF$125,3,0)*IF(Summary!$D$25="Included Margin",IF(AND($B592&gt;Input!$C$9,Summary!$D$31&lt;&gt;"Included Margin"),0,1),0))</f>
        <v>0.02</v>
      </c>
      <c r="AA592" s="147">
        <f>IF($E592="","",VLOOKUP($D592,'Mortality Margins &amp; Grading'!$AB$5:$AF$125,5,0)*IF(Summary!$D$25="Included Margin",IF(AND($B592&gt;Input!$C$9,Summary!$D$31&lt;&gt;"Included Margin"),0,1),0))</f>
        <v>0.10100000000000001</v>
      </c>
      <c r="AB592" s="147">
        <f>IF($E592="","",IF(AND($B592&gt;Input!$C$9,Summary!$D$31&lt;&gt;"Included Margin"),1,IF(Summary!$D$25="Included Margin",VLOOKUP($B592,'Mortality Margins &amp; Grading'!$AI$5:$AR$125,MATCH('Mortality Margins &amp; Grading'!$AQ$4,'Mortality Margins &amp; Grading'!$AI$4:$AR$4,0),0),1)))</f>
        <v>0</v>
      </c>
      <c r="AC592" s="154"/>
      <c r="AD592" s="158">
        <f>IF(E592="","",Input!$C$48*IF(Summary!$D$30="Included Margin",IF(AND($B592&gt;Input!$C$9,Summary!$D$31&lt;&gt;"Included Margin"),0,1),0))</f>
        <v>-4.4999999999999997E-3</v>
      </c>
      <c r="AE592" s="159">
        <f>IF(E592="","",IF(Summary!$D$26="Included Margin",IF(AND($B592&gt;Input!$C$9,Summary!$D$31&lt;&gt;"Included Margin"),1,1/$R592),1))</f>
        <v>1.2720146822874474</v>
      </c>
      <c r="AF592" s="160">
        <f>IF(E592="","",IF(AND($B592&gt;=Input!$C$9,$C592=12,Summary!$D$31="Included Margin",$U592&gt;0),1/U592-1,IF($B592&gt;=Input!$C$9,0,Input!$C$45*IF(Summary!$D$27="Included Margin",1,0))))</f>
        <v>9</v>
      </c>
      <c r="AG592" s="160">
        <f>IF(E592="","",Input!$C$46*IF(Summary!$D$28="Included Margin",IF(AND($B592&gt;Input!$C$9,Summary!$D$31&lt;&gt;"Included Margin"),0,1),0))</f>
        <v>0.02</v>
      </c>
      <c r="AH592" s="158">
        <f>IF(E592="","",Input!$C$47*IF(Summary!$D$29="Included Margin",IF(AND($B592&gt;Input!$C$9,Summary!$D$31&lt;&gt;"Included Margin"),0,1),0))</f>
        <v>2.5000000000000001E-3</v>
      </c>
      <c r="AI592" s="154"/>
      <c r="AJ592" s="158">
        <f t="shared" si="394"/>
        <v>4.2840000000000003E-2</v>
      </c>
      <c r="AK592" s="155">
        <f t="shared" si="395"/>
        <v>3.5017636157277376E-3</v>
      </c>
      <c r="AL592" s="147">
        <f t="shared" si="396"/>
        <v>0.79907607299999983</v>
      </c>
      <c r="AM592" s="147">
        <f t="shared" si="374"/>
        <v>0.12517878825177675</v>
      </c>
      <c r="AN592" s="160">
        <f t="shared" si="397"/>
        <v>1</v>
      </c>
      <c r="AO592" s="161">
        <f t="shared" si="398"/>
        <v>0</v>
      </c>
      <c r="AP592" s="156">
        <f t="shared" si="375"/>
        <v>2.9096396120898209</v>
      </c>
      <c r="AQ592" s="152"/>
      <c r="AR592" s="162">
        <f t="shared" si="376"/>
        <v>12495.999806445498</v>
      </c>
      <c r="AS592" s="150">
        <f t="shared" si="399"/>
        <v>0</v>
      </c>
      <c r="AT592" s="163">
        <f t="shared" si="377"/>
        <v>0</v>
      </c>
      <c r="AU592" s="163">
        <f t="shared" si="378"/>
        <v>12517.878825177675</v>
      </c>
      <c r="AV592" s="163">
        <f t="shared" si="400"/>
        <v>21.840711156303765</v>
      </c>
      <c r="AW592" s="163">
        <f t="shared" si="379"/>
        <v>0</v>
      </c>
      <c r="AX592" s="163">
        <f t="shared" si="380"/>
        <v>0</v>
      </c>
      <c r="AY592" s="165">
        <f t="shared" si="401"/>
        <v>-3.8307575873663069E-2</v>
      </c>
      <c r="AZ592" s="164">
        <f>IF($E592="","",IF(OR(AND($D592=Input!$C$6,$C592=12),$AN592=1),0,-AS593+AT593+AU593-AV593-AW593-AX593+AZ593))</f>
        <v>0</v>
      </c>
      <c r="BA592" s="154">
        <f t="shared" si="381"/>
        <v>3.8307575873663069E-2</v>
      </c>
      <c r="BC592" s="147">
        <f t="shared" si="402"/>
        <v>3.1329634037604758E-5</v>
      </c>
      <c r="BD592" s="164">
        <f>IF(AND($C591=12,$D591=Input!$C$6),0,IF($E592="","",AT592+(AU592+BD593)/(1+$AK592)*MIN((1-AM592-AN592),1)))</f>
        <v>-10008.431218033784</v>
      </c>
      <c r="BE592" s="164">
        <f t="shared" si="382"/>
        <v>-0.3135604873515373</v>
      </c>
      <c r="BF592" s="164">
        <f t="shared" si="403"/>
        <v>0</v>
      </c>
      <c r="BG592" s="164">
        <f t="shared" si="383"/>
        <v>0</v>
      </c>
      <c r="BH592" s="152"/>
      <c r="BI592" s="162">
        <f t="shared" si="384"/>
        <v>-7366.6135338692729</v>
      </c>
      <c r="BJ592" s="150">
        <f t="shared" si="385"/>
        <v>0</v>
      </c>
      <c r="BK592" s="163">
        <f t="shared" si="407"/>
        <v>0</v>
      </c>
      <c r="BL592" s="163">
        <f t="shared" si="386"/>
        <v>4953.4750553619115</v>
      </c>
      <c r="BM592" s="163">
        <f t="shared" si="408"/>
        <v>-38.014097100817622</v>
      </c>
      <c r="BN592" s="163">
        <f t="shared" si="387"/>
        <v>-715.61985169870957</v>
      </c>
      <c r="BO592" s="163">
        <f t="shared" si="388"/>
        <v>-1373.120472500091</v>
      </c>
      <c r="BP592" s="164">
        <f t="shared" si="409"/>
        <v>-14446.843010530803</v>
      </c>
      <c r="BQ592" s="164">
        <f>IF($E592="","",IF(AND($D592=Input!$C$6,$C592=12),0,-BJ593+BK593+BL593-BM593-BN593-BO593+BQ593))</f>
        <v>-14446.824576699619</v>
      </c>
      <c r="BR592" s="161">
        <f t="shared" si="389"/>
        <v>0</v>
      </c>
      <c r="BT592" s="147">
        <f t="shared" si="390"/>
        <v>3.1329634037604758E-5</v>
      </c>
      <c r="BU592" s="164">
        <f>IF(AND($C591=12,$D591=Input!$C$6),0,IF($E592="","",BK592+(BL592+BU593)/(1+$AK592)*MIN((1-T592-U592),1)))</f>
        <v>72780.149937410286</v>
      </c>
      <c r="BV592" s="164">
        <f t="shared" si="391"/>
        <v>2.2801754627410671</v>
      </c>
      <c r="BW592" s="164">
        <f t="shared" si="392"/>
        <v>-14446.824576699619</v>
      </c>
      <c r="BX592" s="164">
        <f t="shared" si="393"/>
        <v>-0.45261372699347335</v>
      </c>
    </row>
    <row r="593" spans="1:76" s="150" customFormat="1" x14ac:dyDescent="0.25">
      <c r="A593" s="150">
        <f t="shared" si="404"/>
        <v>589</v>
      </c>
      <c r="B593" s="150">
        <f t="shared" si="405"/>
        <v>50</v>
      </c>
      <c r="C593" s="150">
        <f t="shared" si="406"/>
        <v>1</v>
      </c>
      <c r="D593" s="150">
        <f>IF(E593="","",Input!$C$4+B593-1)</f>
        <v>94</v>
      </c>
      <c r="E593" s="150">
        <f>IF(OR(AND(C592=12,D592=Input!$C$6),E592=""),"",1)</f>
        <v>1</v>
      </c>
      <c r="F593" s="150">
        <f>IF(E593="","",Input!$C$8+B593-1)</f>
        <v>2067</v>
      </c>
      <c r="G593" s="151">
        <f>IF(E593="","",MAX(0,Input!$C$9-B593))</f>
        <v>0</v>
      </c>
      <c r="H593" s="152">
        <f>IF(E593="","",Input!$C$3)</f>
        <v>100000</v>
      </c>
      <c r="I593" s="153">
        <f>IF(E593="","",HLOOKUP($B593,Input!$C$13:$BT$14,2))</f>
        <v>559.48200000000008</v>
      </c>
      <c r="J593" s="154"/>
      <c r="K593" s="155">
        <f>IF($E593="","",INDEX(Input!$C$16:$CP$16,1,$B593))</f>
        <v>3.2419999999999997E-2</v>
      </c>
      <c r="L593" s="155">
        <f>IF($E593="","",Input!$C$37)</f>
        <v>1.4999999999999999E-2</v>
      </c>
      <c r="M593" s="155">
        <f t="shared" si="369"/>
        <v>4.7419999999999997E-2</v>
      </c>
      <c r="N593" s="155">
        <f t="shared" si="370"/>
        <v>3.8682957490023817E-3</v>
      </c>
      <c r="O593" s="147">
        <f>IF($E593="","",MIN(VLOOKUP(IF($B593&lt;=Input!$C$7,$B593,26),'Mortality Tables'!$A$41:$CW$67,IF($B593&lt;=Input!$C$7+1,Input!$C$4+2,$D593-Input!$C$7+2),0)*IF(B593&gt;20,Input!$C$22,1)/1000,1))</f>
        <v>0.62637520000000002</v>
      </c>
      <c r="P593" s="147">
        <f>IF($E593="","",MIN(VLOOKUP(IF($B593&lt;=Input!$C$7,$B593,26),'Mortality Tables'!$A$12:$CW$37,IF($B593&lt;=Input!$C$7+1,Input!$C$4+2,$D593-Input!$C$7+2),0)*IF(B593&gt;20,Input!$C$22,1)/1000,1))</f>
        <v>0.78296900000000003</v>
      </c>
      <c r="Q593" s="155">
        <f>IF($E593="","",Input!$C$21)</f>
        <v>5.0000000000000001E-3</v>
      </c>
      <c r="R593" s="159">
        <f>IF($E593="","",(1-Q593)^($F593-Input!$C$20))</f>
        <v>0.78222367544587168</v>
      </c>
      <c r="S593" s="147">
        <f t="shared" si="372"/>
        <v>0.48996551115214299</v>
      </c>
      <c r="T593" s="147">
        <f t="shared" si="373"/>
        <v>5.4561474392132325E-2</v>
      </c>
      <c r="U593" s="160">
        <f>IF($E593="","",IF($C593=12,INDEX(Input!$C$15:$CP$15,1,$B593),0))</f>
        <v>0</v>
      </c>
      <c r="V593" s="150">
        <f>IF(E593="","",IF(C593=1,IF($B593=1,Input!$C$33,Input!$C$34),0))</f>
        <v>50</v>
      </c>
      <c r="W593" s="156">
        <f>IF($E593="","",Input!$C$35)</f>
        <v>0.02</v>
      </c>
      <c r="X593" s="156">
        <f t="shared" si="371"/>
        <v>2.6388117932094191</v>
      </c>
      <c r="Y593" s="154"/>
      <c r="Z593" s="147">
        <f>IF($E593="","",VLOOKUP($D593,'Mortality Margins &amp; Grading'!$AB$5:$AF$125,3,0)*IF(Summary!$D$25="Included Margin",IF(AND($B593&gt;Input!$C$9,Summary!$D$31&lt;&gt;"Included Margin"),0,1),0))</f>
        <v>1.7999999999999999E-2</v>
      </c>
      <c r="AA593" s="147">
        <f>IF($E593="","",VLOOKUP($D593,'Mortality Margins &amp; Grading'!$AB$5:$AF$125,5,0)*IF(Summary!$D$25="Included Margin",IF(AND($B593&gt;Input!$C$9,Summary!$D$31&lt;&gt;"Included Margin"),0,1),0))</f>
        <v>9.4E-2</v>
      </c>
      <c r="AB593" s="147">
        <f>IF($E593="","",IF(AND($B593&gt;Input!$C$9,Summary!$D$31&lt;&gt;"Included Margin"),1,IF(Summary!$D$25="Included Margin",VLOOKUP($B593,'Mortality Margins &amp; Grading'!$AI$5:$AR$125,MATCH('Mortality Margins &amp; Grading'!$AQ$4,'Mortality Margins &amp; Grading'!$AI$4:$AR$4,0),0),1)))</f>
        <v>0</v>
      </c>
      <c r="AC593" s="154"/>
      <c r="AD593" s="158">
        <f>IF(E593="","",Input!$C$48*IF(Summary!$D$30="Included Margin",IF(AND($B593&gt;Input!$C$9,Summary!$D$31&lt;&gt;"Included Margin"),0,1),0))</f>
        <v>-4.4999999999999997E-3</v>
      </c>
      <c r="AE593" s="159">
        <f>IF(E593="","",IF(Summary!$D$26="Included Margin",IF(AND($B593&gt;Input!$C$9,Summary!$D$31&lt;&gt;"Included Margin"),1,1/$R593),1))</f>
        <v>1.2784067158667816</v>
      </c>
      <c r="AF593" s="160">
        <f>IF(E593="","",IF(AND($B593&gt;=Input!$C$9,$C593=12,Summary!$D$31="Included Margin",$U593&gt;0),1/U593-1,IF($B593&gt;=Input!$C$9,0,Input!$C$45*IF(Summary!$D$27="Included Margin",1,0))))</f>
        <v>0</v>
      </c>
      <c r="AG593" s="160">
        <f>IF(E593="","",Input!$C$46*IF(Summary!$D$28="Included Margin",IF(AND($B593&gt;Input!$C$9,Summary!$D$31&lt;&gt;"Included Margin"),0,1),0))</f>
        <v>0.02</v>
      </c>
      <c r="AH593" s="158">
        <f>IF(E593="","",Input!$C$47*IF(Summary!$D$29="Included Margin",IF(AND($B593&gt;Input!$C$9,Summary!$D$31&lt;&gt;"Included Margin"),0,1),0))</f>
        <v>2.5000000000000001E-3</v>
      </c>
      <c r="AI593" s="154"/>
      <c r="AJ593" s="158">
        <f t="shared" si="394"/>
        <v>4.292E-2</v>
      </c>
      <c r="AK593" s="155">
        <f t="shared" si="395"/>
        <v>3.5081785754007555E-3</v>
      </c>
      <c r="AL593" s="147">
        <f t="shared" si="396"/>
        <v>0.85656808600000023</v>
      </c>
      <c r="AM593" s="147">
        <f t="shared" si="374"/>
        <v>0.14940958828662654</v>
      </c>
      <c r="AN593" s="160">
        <f t="shared" si="397"/>
        <v>0</v>
      </c>
      <c r="AO593" s="161">
        <f t="shared" si="398"/>
        <v>51</v>
      </c>
      <c r="AP593" s="156">
        <f t="shared" si="375"/>
        <v>2.9751065033618418</v>
      </c>
      <c r="AQ593" s="152"/>
      <c r="AR593" s="162">
        <f t="shared" si="376"/>
        <v>28619.737291750109</v>
      </c>
      <c r="AS593" s="150">
        <f t="shared" si="399"/>
        <v>55948.200000000004</v>
      </c>
      <c r="AT593" s="163">
        <f t="shared" si="377"/>
        <v>151.73043167145394</v>
      </c>
      <c r="AU593" s="163">
        <f t="shared" si="378"/>
        <v>14940.958828662653</v>
      </c>
      <c r="AV593" s="163">
        <f t="shared" si="400"/>
        <v>269.93935249379666</v>
      </c>
      <c r="AW593" s="163">
        <f t="shared" si="379"/>
        <v>12251.027574436577</v>
      </c>
      <c r="AX593" s="163">
        <f t="shared" si="380"/>
        <v>0</v>
      </c>
      <c r="AY593" s="164">
        <f t="shared" si="401"/>
        <v>81996.214958346376</v>
      </c>
      <c r="AZ593" s="164">
        <f>IF($E593="","",IF(OR(AND($D593=Input!$C$6,$C593=12),$AN593=1),0,-AS594+AT594+AU594-AV594-AW594-AX594+AZ594))</f>
        <v>81996.260848629565</v>
      </c>
      <c r="BA593" s="154">
        <f t="shared" si="381"/>
        <v>4.5890283188782632E-2</v>
      </c>
      <c r="BC593" s="147">
        <f t="shared" si="402"/>
        <v>2.962024301234711E-5</v>
      </c>
      <c r="BD593" s="164">
        <f>IF(AND($C592=12,$D592=Input!$C$6),0,IF($E593="","",AT593+(AU593+BD594)/(1+$AK593)*MIN((1-AM593-AN593),1)))</f>
        <v>67715.190360016757</v>
      </c>
      <c r="BE593" s="164">
        <f t="shared" si="382"/>
        <v>2.0057403940910405</v>
      </c>
      <c r="BF593" s="164">
        <f t="shared" si="403"/>
        <v>81996.260848629565</v>
      </c>
      <c r="BG593" s="164">
        <f t="shared" si="383"/>
        <v>2.4287491724402108</v>
      </c>
      <c r="BH593" s="152"/>
      <c r="BI593" s="162">
        <f t="shared" si="384"/>
        <v>-14446.844948352556</v>
      </c>
      <c r="BJ593" s="150">
        <f t="shared" si="385"/>
        <v>55948.200000000004</v>
      </c>
      <c r="BK593" s="163">
        <f t="shared" si="407"/>
        <v>131.94058966047095</v>
      </c>
      <c r="BL593" s="163">
        <f t="shared" si="386"/>
        <v>5456.1474392132322</v>
      </c>
      <c r="BM593" s="163">
        <f t="shared" si="408"/>
        <v>149.47613412950247</v>
      </c>
      <c r="BN593" s="163">
        <f t="shared" si="387"/>
        <v>2081.1903634958744</v>
      </c>
      <c r="BO593" s="163">
        <f t="shared" si="388"/>
        <v>0</v>
      </c>
      <c r="BP593" s="164">
        <f t="shared" si="409"/>
        <v>38143.933520399121</v>
      </c>
      <c r="BQ593" s="164">
        <f>IF($E593="","",IF(AND($D593=Input!$C$6,$C593=12),0,-BJ594+BK594+BL594-BM594-BN594-BO594+BQ594))</f>
        <v>38143.953892052057</v>
      </c>
      <c r="BR593" s="161">
        <f t="shared" si="389"/>
        <v>0</v>
      </c>
      <c r="BT593" s="147">
        <f t="shared" si="390"/>
        <v>2.962024301234711E-5</v>
      </c>
      <c r="BU593" s="164">
        <f>IF(AND($C592=12,$D592=Input!$C$6),0,IF($E593="","",BK593+(BL593+BU594)/(1+$AK593)*MIN((1-T593-U593),1)))</f>
        <v>80923.060012885981</v>
      </c>
      <c r="BV593" s="164">
        <f t="shared" si="391"/>
        <v>2.396960702884432</v>
      </c>
      <c r="BW593" s="164">
        <f t="shared" si="392"/>
        <v>38143.953892052057</v>
      </c>
      <c r="BX593" s="164">
        <f t="shared" si="393"/>
        <v>1.1298331837343454</v>
      </c>
    </row>
    <row r="594" spans="1:76" s="150" customFormat="1" x14ac:dyDescent="0.25">
      <c r="A594" s="150">
        <f t="shared" si="404"/>
        <v>590</v>
      </c>
      <c r="B594" s="150">
        <f t="shared" si="405"/>
        <v>50</v>
      </c>
      <c r="C594" s="150">
        <f t="shared" si="406"/>
        <v>2</v>
      </c>
      <c r="D594" s="150">
        <f>IF(E594="","",Input!$C$4+B594-1)</f>
        <v>94</v>
      </c>
      <c r="E594" s="150">
        <f>IF(OR(AND(C593=12,D593=Input!$C$6),E593=""),"",1)</f>
        <v>1</v>
      </c>
      <c r="F594" s="150">
        <f>IF(E594="","",Input!$C$8+B594-1)</f>
        <v>2067</v>
      </c>
      <c r="G594" s="151">
        <f>IF(E594="","",MAX(0,Input!$C$9-B594))</f>
        <v>0</v>
      </c>
      <c r="H594" s="152">
        <f>IF(E594="","",Input!$C$3)</f>
        <v>100000</v>
      </c>
      <c r="I594" s="153">
        <f>IF(E594="","",HLOOKUP($B594,Input!$C$13:$BT$14,2))</f>
        <v>559.48200000000008</v>
      </c>
      <c r="J594" s="154"/>
      <c r="K594" s="155">
        <f>IF($E594="","",INDEX(Input!$C$16:$CP$16,1,$B594))</f>
        <v>3.2419999999999997E-2</v>
      </c>
      <c r="L594" s="155">
        <f>IF($E594="","",Input!$C$37)</f>
        <v>1.4999999999999999E-2</v>
      </c>
      <c r="M594" s="155">
        <f t="shared" si="369"/>
        <v>4.7419999999999997E-2</v>
      </c>
      <c r="N594" s="155">
        <f t="shared" si="370"/>
        <v>3.8682957490023817E-3</v>
      </c>
      <c r="O594" s="147">
        <f>IF($E594="","",MIN(VLOOKUP(IF($B594&lt;=Input!$C$7,$B594,26),'Mortality Tables'!$A$41:$CW$67,IF($B594&lt;=Input!$C$7+1,Input!$C$4+2,$D594-Input!$C$7+2),0)*IF(B594&gt;20,Input!$C$22,1)/1000,1))</f>
        <v>0.62637520000000002</v>
      </c>
      <c r="P594" s="147">
        <f>IF($E594="","",MIN(VLOOKUP(IF($B594&lt;=Input!$C$7,$B594,26),'Mortality Tables'!$A$12:$CW$37,IF($B594&lt;=Input!$C$7+1,Input!$C$4+2,$D594-Input!$C$7+2),0)*IF(B594&gt;20,Input!$C$22,1)/1000,1))</f>
        <v>0.78296900000000003</v>
      </c>
      <c r="Q594" s="155">
        <f>IF($E594="","",Input!$C$21)</f>
        <v>5.0000000000000001E-3</v>
      </c>
      <c r="R594" s="159">
        <f>IF($E594="","",(1-Q594)^($F594-Input!$C$20))</f>
        <v>0.78222367544587168</v>
      </c>
      <c r="S594" s="147">
        <f t="shared" si="372"/>
        <v>0.48996551115214299</v>
      </c>
      <c r="T594" s="147">
        <f t="shared" si="373"/>
        <v>5.4561474392132325E-2</v>
      </c>
      <c r="U594" s="160">
        <f>IF($E594="","",IF($C594=12,INDEX(Input!$C$15:$CP$15,1,$B594),0))</f>
        <v>0</v>
      </c>
      <c r="V594" s="150">
        <f>IF(E594="","",IF(C594=1,IF($B594=1,Input!$C$33,Input!$C$34),0))</f>
        <v>0</v>
      </c>
      <c r="W594" s="156">
        <f>IF($E594="","",Input!$C$35)</f>
        <v>0.02</v>
      </c>
      <c r="X594" s="156">
        <f t="shared" si="371"/>
        <v>2.6388117932094191</v>
      </c>
      <c r="Y594" s="154"/>
      <c r="Z594" s="147">
        <f>IF($E594="","",VLOOKUP($D594,'Mortality Margins &amp; Grading'!$AB$5:$AF$125,3,0)*IF(Summary!$D$25="Included Margin",IF(AND($B594&gt;Input!$C$9,Summary!$D$31&lt;&gt;"Included Margin"),0,1),0))</f>
        <v>1.7999999999999999E-2</v>
      </c>
      <c r="AA594" s="147">
        <f>IF($E594="","",VLOOKUP($D594,'Mortality Margins &amp; Grading'!$AB$5:$AF$125,5,0)*IF(Summary!$D$25="Included Margin",IF(AND($B594&gt;Input!$C$9,Summary!$D$31&lt;&gt;"Included Margin"),0,1),0))</f>
        <v>9.4E-2</v>
      </c>
      <c r="AB594" s="147">
        <f>IF($E594="","",IF(AND($B594&gt;Input!$C$9,Summary!$D$31&lt;&gt;"Included Margin"),1,IF(Summary!$D$25="Included Margin",VLOOKUP($B594,'Mortality Margins &amp; Grading'!$AI$5:$AR$125,MATCH('Mortality Margins &amp; Grading'!$AQ$4,'Mortality Margins &amp; Grading'!$AI$4:$AR$4,0),0),1)))</f>
        <v>0</v>
      </c>
      <c r="AC594" s="154"/>
      <c r="AD594" s="158">
        <f>IF(E594="","",Input!$C$48*IF(Summary!$D$30="Included Margin",IF(AND($B594&gt;Input!$C$9,Summary!$D$31&lt;&gt;"Included Margin"),0,1),0))</f>
        <v>-4.4999999999999997E-3</v>
      </c>
      <c r="AE594" s="159">
        <f>IF(E594="","",IF(Summary!$D$26="Included Margin",IF(AND($B594&gt;Input!$C$9,Summary!$D$31&lt;&gt;"Included Margin"),1,1/$R594),1))</f>
        <v>1.2784067158667816</v>
      </c>
      <c r="AF594" s="160">
        <f>IF(E594="","",IF(AND($B594&gt;=Input!$C$9,$C594=12,Summary!$D$31="Included Margin",$U594&gt;0),1/U594-1,IF($B594&gt;=Input!$C$9,0,Input!$C$45*IF(Summary!$D$27="Included Margin",1,0))))</f>
        <v>0</v>
      </c>
      <c r="AG594" s="160">
        <f>IF(E594="","",Input!$C$46*IF(Summary!$D$28="Included Margin",IF(AND($B594&gt;Input!$C$9,Summary!$D$31&lt;&gt;"Included Margin"),0,1),0))</f>
        <v>0.02</v>
      </c>
      <c r="AH594" s="158">
        <f>IF(E594="","",Input!$C$47*IF(Summary!$D$29="Included Margin",IF(AND($B594&gt;Input!$C$9,Summary!$D$31&lt;&gt;"Included Margin"),0,1),0))</f>
        <v>2.5000000000000001E-3</v>
      </c>
      <c r="AI594" s="154"/>
      <c r="AJ594" s="158">
        <f t="shared" si="394"/>
        <v>4.292E-2</v>
      </c>
      <c r="AK594" s="155">
        <f t="shared" si="395"/>
        <v>3.5081785754007555E-3</v>
      </c>
      <c r="AL594" s="147">
        <f t="shared" si="396"/>
        <v>0.85656808600000023</v>
      </c>
      <c r="AM594" s="147">
        <f t="shared" si="374"/>
        <v>0.14940958828662654</v>
      </c>
      <c r="AN594" s="160">
        <f t="shared" si="397"/>
        <v>0</v>
      </c>
      <c r="AO594" s="161">
        <f t="shared" si="398"/>
        <v>0</v>
      </c>
      <c r="AP594" s="156">
        <f t="shared" si="375"/>
        <v>2.9751065033618418</v>
      </c>
      <c r="AQ594" s="152"/>
      <c r="AR594" s="162">
        <f t="shared" si="376"/>
        <v>81996.214958346391</v>
      </c>
      <c r="AS594" s="150">
        <f t="shared" si="399"/>
        <v>0</v>
      </c>
      <c r="AT594" s="163">
        <f t="shared" si="377"/>
        <v>0</v>
      </c>
      <c r="AU594" s="163">
        <f t="shared" si="378"/>
        <v>14940.958828662653</v>
      </c>
      <c r="AV594" s="163">
        <f t="shared" si="400"/>
        <v>261.44958875149626</v>
      </c>
      <c r="AW594" s="163">
        <f t="shared" si="379"/>
        <v>11824.455112763399</v>
      </c>
      <c r="AX594" s="163">
        <f t="shared" si="380"/>
        <v>0</v>
      </c>
      <c r="AY594" s="165">
        <f t="shared" si="401"/>
        <v>79141.160831198635</v>
      </c>
      <c r="AZ594" s="164">
        <f>IF($E594="","",IF(OR(AND($D594=Input!$C$6,$C594=12),$AN594=1),0,-AS595+AT595+AU595-AV595-AW595-AX595+AZ595))</f>
        <v>79141.206721481809</v>
      </c>
      <c r="BA594" s="154">
        <f t="shared" si="381"/>
        <v>4.5890283174230717E-2</v>
      </c>
      <c r="BC594" s="147">
        <f t="shared" si="402"/>
        <v>2.8004118881740198E-5</v>
      </c>
      <c r="BD594" s="164">
        <f>IF(AND($C593=12,$D593=Input!$C$6),0,IF($E594="","",AT594+(AU594+BD595)/(1+$AK594)*MIN((1-AM594-AN594),1)))</f>
        <v>64768.950520506973</v>
      </c>
      <c r="BE594" s="164">
        <f t="shared" si="382"/>
        <v>1.8137973902218258</v>
      </c>
      <c r="BF594" s="164">
        <f t="shared" si="403"/>
        <v>79141.206721481809</v>
      </c>
      <c r="BG594" s="164">
        <f t="shared" si="383"/>
        <v>2.216279761472753</v>
      </c>
      <c r="BH594" s="152"/>
      <c r="BI594" s="162">
        <f t="shared" si="384"/>
        <v>38143.933520399121</v>
      </c>
      <c r="BJ594" s="150">
        <f t="shared" si="385"/>
        <v>0</v>
      </c>
      <c r="BK594" s="163">
        <f t="shared" si="407"/>
        <v>0</v>
      </c>
      <c r="BL594" s="163">
        <f t="shared" si="386"/>
        <v>5456.1474392132322</v>
      </c>
      <c r="BM594" s="163">
        <f t="shared" si="408"/>
        <v>136.99901991466999</v>
      </c>
      <c r="BN594" s="163">
        <f t="shared" si="387"/>
        <v>1894.3270606376705</v>
      </c>
      <c r="BO594" s="163">
        <f t="shared" si="388"/>
        <v>0</v>
      </c>
      <c r="BP594" s="164">
        <f t="shared" si="409"/>
        <v>34719.112161738223</v>
      </c>
      <c r="BQ594" s="164">
        <f>IF($E594="","",IF(AND($D594=Input!$C$6,$C594=12),0,-BJ595+BK595+BL595-BM595-BN595-BO595+BQ595))</f>
        <v>34719.132533391166</v>
      </c>
      <c r="BR594" s="161">
        <f t="shared" si="389"/>
        <v>0</v>
      </c>
      <c r="BT594" s="147">
        <f t="shared" si="390"/>
        <v>2.8004118881740198E-5</v>
      </c>
      <c r="BU594" s="164">
        <f>IF(AND($C593=12,$D593=Input!$C$6),0,IF($E594="","",BK594+(BL594+BU595)/(1+$AK594)*MIN((1-T594-U594),1)))</f>
        <v>80297.232501954277</v>
      </c>
      <c r="BV594" s="164">
        <f t="shared" si="391"/>
        <v>2.2486532448594603</v>
      </c>
      <c r="BW594" s="164">
        <f t="shared" si="392"/>
        <v>34719.132533391166</v>
      </c>
      <c r="BX594" s="164">
        <f t="shared" si="393"/>
        <v>0.97227871493597995</v>
      </c>
    </row>
    <row r="595" spans="1:76" s="150" customFormat="1" x14ac:dyDescent="0.25">
      <c r="A595" s="150">
        <f t="shared" si="404"/>
        <v>591</v>
      </c>
      <c r="B595" s="150">
        <f t="shared" si="405"/>
        <v>50</v>
      </c>
      <c r="C595" s="150">
        <f t="shared" si="406"/>
        <v>3</v>
      </c>
      <c r="D595" s="150">
        <f>IF(E595="","",Input!$C$4+B595-1)</f>
        <v>94</v>
      </c>
      <c r="E595" s="150">
        <f>IF(OR(AND(C594=12,D594=Input!$C$6),E594=""),"",1)</f>
        <v>1</v>
      </c>
      <c r="F595" s="150">
        <f>IF(E595="","",Input!$C$8+B595-1)</f>
        <v>2067</v>
      </c>
      <c r="G595" s="151">
        <f>IF(E595="","",MAX(0,Input!$C$9-B595))</f>
        <v>0</v>
      </c>
      <c r="H595" s="152">
        <f>IF(E595="","",Input!$C$3)</f>
        <v>100000</v>
      </c>
      <c r="I595" s="153">
        <f>IF(E595="","",HLOOKUP($B595,Input!$C$13:$BT$14,2))</f>
        <v>559.48200000000008</v>
      </c>
      <c r="J595" s="154"/>
      <c r="K595" s="155">
        <f>IF($E595="","",INDEX(Input!$C$16:$CP$16,1,$B595))</f>
        <v>3.2419999999999997E-2</v>
      </c>
      <c r="L595" s="155">
        <f>IF($E595="","",Input!$C$37)</f>
        <v>1.4999999999999999E-2</v>
      </c>
      <c r="M595" s="155">
        <f t="shared" si="369"/>
        <v>4.7419999999999997E-2</v>
      </c>
      <c r="N595" s="155">
        <f t="shared" si="370"/>
        <v>3.8682957490023817E-3</v>
      </c>
      <c r="O595" s="147">
        <f>IF($E595="","",MIN(VLOOKUP(IF($B595&lt;=Input!$C$7,$B595,26),'Mortality Tables'!$A$41:$CW$67,IF($B595&lt;=Input!$C$7+1,Input!$C$4+2,$D595-Input!$C$7+2),0)*IF(B595&gt;20,Input!$C$22,1)/1000,1))</f>
        <v>0.62637520000000002</v>
      </c>
      <c r="P595" s="147">
        <f>IF($E595="","",MIN(VLOOKUP(IF($B595&lt;=Input!$C$7,$B595,26),'Mortality Tables'!$A$12:$CW$37,IF($B595&lt;=Input!$C$7+1,Input!$C$4+2,$D595-Input!$C$7+2),0)*IF(B595&gt;20,Input!$C$22,1)/1000,1))</f>
        <v>0.78296900000000003</v>
      </c>
      <c r="Q595" s="155">
        <f>IF($E595="","",Input!$C$21)</f>
        <v>5.0000000000000001E-3</v>
      </c>
      <c r="R595" s="159">
        <f>IF($E595="","",(1-Q595)^($F595-Input!$C$20))</f>
        <v>0.78222367544587168</v>
      </c>
      <c r="S595" s="147">
        <f t="shared" si="372"/>
        <v>0.48996551115214299</v>
      </c>
      <c r="T595" s="147">
        <f t="shared" si="373"/>
        <v>5.4561474392132325E-2</v>
      </c>
      <c r="U595" s="160">
        <f>IF($E595="","",IF($C595=12,INDEX(Input!$C$15:$CP$15,1,$B595),0))</f>
        <v>0</v>
      </c>
      <c r="V595" s="150">
        <f>IF(E595="","",IF(C595=1,IF($B595=1,Input!$C$33,Input!$C$34),0))</f>
        <v>0</v>
      </c>
      <c r="W595" s="156">
        <f>IF($E595="","",Input!$C$35)</f>
        <v>0.02</v>
      </c>
      <c r="X595" s="156">
        <f t="shared" si="371"/>
        <v>2.6388117932094191</v>
      </c>
      <c r="Y595" s="154"/>
      <c r="Z595" s="147">
        <f>IF($E595="","",VLOOKUP($D595,'Mortality Margins &amp; Grading'!$AB$5:$AF$125,3,0)*IF(Summary!$D$25="Included Margin",IF(AND($B595&gt;Input!$C$9,Summary!$D$31&lt;&gt;"Included Margin"),0,1),0))</f>
        <v>1.7999999999999999E-2</v>
      </c>
      <c r="AA595" s="147">
        <f>IF($E595="","",VLOOKUP($D595,'Mortality Margins &amp; Grading'!$AB$5:$AF$125,5,0)*IF(Summary!$D$25="Included Margin",IF(AND($B595&gt;Input!$C$9,Summary!$D$31&lt;&gt;"Included Margin"),0,1),0))</f>
        <v>9.4E-2</v>
      </c>
      <c r="AB595" s="147">
        <f>IF($E595="","",IF(AND($B595&gt;Input!$C$9,Summary!$D$31&lt;&gt;"Included Margin"),1,IF(Summary!$D$25="Included Margin",VLOOKUP($B595,'Mortality Margins &amp; Grading'!$AI$5:$AR$125,MATCH('Mortality Margins &amp; Grading'!$AQ$4,'Mortality Margins &amp; Grading'!$AI$4:$AR$4,0),0),1)))</f>
        <v>0</v>
      </c>
      <c r="AC595" s="154"/>
      <c r="AD595" s="158">
        <f>IF(E595="","",Input!$C$48*IF(Summary!$D$30="Included Margin",IF(AND($B595&gt;Input!$C$9,Summary!$D$31&lt;&gt;"Included Margin"),0,1),0))</f>
        <v>-4.4999999999999997E-3</v>
      </c>
      <c r="AE595" s="159">
        <f>IF(E595="","",IF(Summary!$D$26="Included Margin",IF(AND($B595&gt;Input!$C$9,Summary!$D$31&lt;&gt;"Included Margin"),1,1/$R595),1))</f>
        <v>1.2784067158667816</v>
      </c>
      <c r="AF595" s="160">
        <f>IF(E595="","",IF(AND($B595&gt;=Input!$C$9,$C595=12,Summary!$D$31="Included Margin",$U595&gt;0),1/U595-1,IF($B595&gt;=Input!$C$9,0,Input!$C$45*IF(Summary!$D$27="Included Margin",1,0))))</f>
        <v>0</v>
      </c>
      <c r="AG595" s="160">
        <f>IF(E595="","",Input!$C$46*IF(Summary!$D$28="Included Margin",IF(AND($B595&gt;Input!$C$9,Summary!$D$31&lt;&gt;"Included Margin"),0,1),0))</f>
        <v>0.02</v>
      </c>
      <c r="AH595" s="158">
        <f>IF(E595="","",Input!$C$47*IF(Summary!$D$29="Included Margin",IF(AND($B595&gt;Input!$C$9,Summary!$D$31&lt;&gt;"Included Margin"),0,1),0))</f>
        <v>2.5000000000000001E-3</v>
      </c>
      <c r="AI595" s="154"/>
      <c r="AJ595" s="158">
        <f t="shared" si="394"/>
        <v>4.292E-2</v>
      </c>
      <c r="AK595" s="155">
        <f t="shared" si="395"/>
        <v>3.5081785754007555E-3</v>
      </c>
      <c r="AL595" s="147">
        <f t="shared" si="396"/>
        <v>0.85656808600000023</v>
      </c>
      <c r="AM595" s="147">
        <f t="shared" si="374"/>
        <v>0.14940958828662654</v>
      </c>
      <c r="AN595" s="160">
        <f t="shared" si="397"/>
        <v>0</v>
      </c>
      <c r="AO595" s="161">
        <f t="shared" si="398"/>
        <v>0</v>
      </c>
      <c r="AP595" s="156">
        <f t="shared" si="375"/>
        <v>2.9751065033618418</v>
      </c>
      <c r="AQ595" s="152"/>
      <c r="AR595" s="162">
        <f t="shared" si="376"/>
        <v>79141.16083119862</v>
      </c>
      <c r="AS595" s="150">
        <f t="shared" si="399"/>
        <v>0</v>
      </c>
      <c r="AT595" s="163">
        <f t="shared" si="377"/>
        <v>0</v>
      </c>
      <c r="AU595" s="163">
        <f t="shared" si="378"/>
        <v>14940.958828662653</v>
      </c>
      <c r="AV595" s="163">
        <f t="shared" si="400"/>
        <v>251.43354903102693</v>
      </c>
      <c r="AW595" s="163">
        <f t="shared" si="379"/>
        <v>11321.194144676767</v>
      </c>
      <c r="AX595" s="163">
        <f t="shared" si="380"/>
        <v>0</v>
      </c>
      <c r="AY595" s="164">
        <f t="shared" si="401"/>
        <v>75772.82969624376</v>
      </c>
      <c r="AZ595" s="164">
        <f>IF($E595="","",IF(OR(AND($D595=Input!$C$6,$C595=12),$AN595=1),0,-AS596+AT596+AU596-AV596-AW596-AX596+AZ596))</f>
        <v>75772.875586526949</v>
      </c>
      <c r="BA595" s="154">
        <f t="shared" si="381"/>
        <v>4.5890283188782632E-2</v>
      </c>
      <c r="BC595" s="147">
        <f t="shared" si="402"/>
        <v>2.6476172866499901E-5</v>
      </c>
      <c r="BD595" s="164">
        <f>IF(AND($C594=12,$D594=Input!$C$6),0,IF($E595="","",AT595+(AU595+BD596)/(1+$AK595)*MIN((1-AM595-AN595),1)))</f>
        <v>61472.048736459306</v>
      </c>
      <c r="BE595" s="164">
        <f t="shared" si="382"/>
        <v>1.6275445888044033</v>
      </c>
      <c r="BF595" s="164">
        <f t="shared" si="403"/>
        <v>75772.875586526949</v>
      </c>
      <c r="BG595" s="164">
        <f t="shared" si="383"/>
        <v>2.0061757526206776</v>
      </c>
      <c r="BH595" s="152"/>
      <c r="BI595" s="162">
        <f t="shared" si="384"/>
        <v>34719.11216173823</v>
      </c>
      <c r="BJ595" s="150">
        <f t="shared" si="385"/>
        <v>0</v>
      </c>
      <c r="BK595" s="163">
        <f t="shared" si="407"/>
        <v>0</v>
      </c>
      <c r="BL595" s="163">
        <f t="shared" si="386"/>
        <v>5456.1474392132322</v>
      </c>
      <c r="BM595" s="163">
        <f t="shared" si="408"/>
        <v>123.75079801186951</v>
      </c>
      <c r="BN595" s="163">
        <f t="shared" si="387"/>
        <v>1695.9152757385023</v>
      </c>
      <c r="BO595" s="163">
        <f t="shared" si="388"/>
        <v>0</v>
      </c>
      <c r="BP595" s="164">
        <f t="shared" si="409"/>
        <v>31082.630796275367</v>
      </c>
      <c r="BQ595" s="164">
        <f>IF($E595="","",IF(AND($D595=Input!$C$6,$C595=12),0,-BJ596+BK596+BL596-BM596-BN596-BO596+BQ596))</f>
        <v>31082.651167928307</v>
      </c>
      <c r="BR595" s="161">
        <f t="shared" si="389"/>
        <v>0</v>
      </c>
      <c r="BT595" s="147">
        <f t="shared" si="390"/>
        <v>2.6476172866499901E-5</v>
      </c>
      <c r="BU595" s="164">
        <f>IF(AND($C594=12,$D594=Input!$C$6),0,IF($E595="","",BK595+(BL595+BU596)/(1+$AK595)*MIN((1-T595-U595),1)))</f>
        <v>79773.010618285582</v>
      </c>
      <c r="BV595" s="164">
        <f t="shared" si="391"/>
        <v>2.1120840192108612</v>
      </c>
      <c r="BW595" s="164">
        <f t="shared" si="392"/>
        <v>31082.651167928307</v>
      </c>
      <c r="BX595" s="164">
        <f t="shared" si="393"/>
        <v>0.82294964547118488</v>
      </c>
    </row>
    <row r="596" spans="1:76" s="150" customFormat="1" x14ac:dyDescent="0.25">
      <c r="A596" s="150">
        <f t="shared" si="404"/>
        <v>592</v>
      </c>
      <c r="B596" s="150">
        <f t="shared" si="405"/>
        <v>50</v>
      </c>
      <c r="C596" s="150">
        <f t="shared" si="406"/>
        <v>4</v>
      </c>
      <c r="D596" s="150">
        <f>IF(E596="","",Input!$C$4+B596-1)</f>
        <v>94</v>
      </c>
      <c r="E596" s="150">
        <f>IF(OR(AND(C595=12,D595=Input!$C$6),E595=""),"",1)</f>
        <v>1</v>
      </c>
      <c r="F596" s="150">
        <f>IF(E596="","",Input!$C$8+B596-1)</f>
        <v>2067</v>
      </c>
      <c r="G596" s="151">
        <f>IF(E596="","",MAX(0,Input!$C$9-B596))</f>
        <v>0</v>
      </c>
      <c r="H596" s="152">
        <f>IF(E596="","",Input!$C$3)</f>
        <v>100000</v>
      </c>
      <c r="I596" s="153">
        <f>IF(E596="","",HLOOKUP($B596,Input!$C$13:$BT$14,2))</f>
        <v>559.48200000000008</v>
      </c>
      <c r="J596" s="154"/>
      <c r="K596" s="155">
        <f>IF($E596="","",INDEX(Input!$C$16:$CP$16,1,$B596))</f>
        <v>3.2419999999999997E-2</v>
      </c>
      <c r="L596" s="155">
        <f>IF($E596="","",Input!$C$37)</f>
        <v>1.4999999999999999E-2</v>
      </c>
      <c r="M596" s="155">
        <f t="shared" si="369"/>
        <v>4.7419999999999997E-2</v>
      </c>
      <c r="N596" s="155">
        <f t="shared" si="370"/>
        <v>3.8682957490023817E-3</v>
      </c>
      <c r="O596" s="147">
        <f>IF($E596="","",MIN(VLOOKUP(IF($B596&lt;=Input!$C$7,$B596,26),'Mortality Tables'!$A$41:$CW$67,IF($B596&lt;=Input!$C$7+1,Input!$C$4+2,$D596-Input!$C$7+2),0)*IF(B596&gt;20,Input!$C$22,1)/1000,1))</f>
        <v>0.62637520000000002</v>
      </c>
      <c r="P596" s="147">
        <f>IF($E596="","",MIN(VLOOKUP(IF($B596&lt;=Input!$C$7,$B596,26),'Mortality Tables'!$A$12:$CW$37,IF($B596&lt;=Input!$C$7+1,Input!$C$4+2,$D596-Input!$C$7+2),0)*IF(B596&gt;20,Input!$C$22,1)/1000,1))</f>
        <v>0.78296900000000003</v>
      </c>
      <c r="Q596" s="155">
        <f>IF($E596="","",Input!$C$21)</f>
        <v>5.0000000000000001E-3</v>
      </c>
      <c r="R596" s="159">
        <f>IF($E596="","",(1-Q596)^($F596-Input!$C$20))</f>
        <v>0.78222367544587168</v>
      </c>
      <c r="S596" s="147">
        <f t="shared" si="372"/>
        <v>0.48996551115214299</v>
      </c>
      <c r="T596" s="147">
        <f t="shared" si="373"/>
        <v>5.4561474392132325E-2</v>
      </c>
      <c r="U596" s="160">
        <f>IF($E596="","",IF($C596=12,INDEX(Input!$C$15:$CP$15,1,$B596),0))</f>
        <v>0</v>
      </c>
      <c r="V596" s="150">
        <f>IF(E596="","",IF(C596=1,IF($B596=1,Input!$C$33,Input!$C$34),0))</f>
        <v>0</v>
      </c>
      <c r="W596" s="156">
        <f>IF($E596="","",Input!$C$35)</f>
        <v>0.02</v>
      </c>
      <c r="X596" s="156">
        <f t="shared" si="371"/>
        <v>2.6388117932094191</v>
      </c>
      <c r="Y596" s="154"/>
      <c r="Z596" s="147">
        <f>IF($E596="","",VLOOKUP($D596,'Mortality Margins &amp; Grading'!$AB$5:$AF$125,3,0)*IF(Summary!$D$25="Included Margin",IF(AND($B596&gt;Input!$C$9,Summary!$D$31&lt;&gt;"Included Margin"),0,1),0))</f>
        <v>1.7999999999999999E-2</v>
      </c>
      <c r="AA596" s="147">
        <f>IF($E596="","",VLOOKUP($D596,'Mortality Margins &amp; Grading'!$AB$5:$AF$125,5,0)*IF(Summary!$D$25="Included Margin",IF(AND($B596&gt;Input!$C$9,Summary!$D$31&lt;&gt;"Included Margin"),0,1),0))</f>
        <v>9.4E-2</v>
      </c>
      <c r="AB596" s="147">
        <f>IF($E596="","",IF(AND($B596&gt;Input!$C$9,Summary!$D$31&lt;&gt;"Included Margin"),1,IF(Summary!$D$25="Included Margin",VLOOKUP($B596,'Mortality Margins &amp; Grading'!$AI$5:$AR$125,MATCH('Mortality Margins &amp; Grading'!$AQ$4,'Mortality Margins &amp; Grading'!$AI$4:$AR$4,0),0),1)))</f>
        <v>0</v>
      </c>
      <c r="AC596" s="154"/>
      <c r="AD596" s="158">
        <f>IF(E596="","",Input!$C$48*IF(Summary!$D$30="Included Margin",IF(AND($B596&gt;Input!$C$9,Summary!$D$31&lt;&gt;"Included Margin"),0,1),0))</f>
        <v>-4.4999999999999997E-3</v>
      </c>
      <c r="AE596" s="159">
        <f>IF(E596="","",IF(Summary!$D$26="Included Margin",IF(AND($B596&gt;Input!$C$9,Summary!$D$31&lt;&gt;"Included Margin"),1,1/$R596),1))</f>
        <v>1.2784067158667816</v>
      </c>
      <c r="AF596" s="160">
        <f>IF(E596="","",IF(AND($B596&gt;=Input!$C$9,$C596=12,Summary!$D$31="Included Margin",$U596&gt;0),1/U596-1,IF($B596&gt;=Input!$C$9,0,Input!$C$45*IF(Summary!$D$27="Included Margin",1,0))))</f>
        <v>0</v>
      </c>
      <c r="AG596" s="160">
        <f>IF(E596="","",Input!$C$46*IF(Summary!$D$28="Included Margin",IF(AND($B596&gt;Input!$C$9,Summary!$D$31&lt;&gt;"Included Margin"),0,1),0))</f>
        <v>0.02</v>
      </c>
      <c r="AH596" s="158">
        <f>IF(E596="","",Input!$C$47*IF(Summary!$D$29="Included Margin",IF(AND($B596&gt;Input!$C$9,Summary!$D$31&lt;&gt;"Included Margin"),0,1),0))</f>
        <v>2.5000000000000001E-3</v>
      </c>
      <c r="AI596" s="154"/>
      <c r="AJ596" s="158">
        <f t="shared" si="394"/>
        <v>4.292E-2</v>
      </c>
      <c r="AK596" s="155">
        <f t="shared" si="395"/>
        <v>3.5081785754007555E-3</v>
      </c>
      <c r="AL596" s="147">
        <f t="shared" si="396"/>
        <v>0.85656808600000023</v>
      </c>
      <c r="AM596" s="147">
        <f t="shared" si="374"/>
        <v>0.14940958828662654</v>
      </c>
      <c r="AN596" s="160">
        <f t="shared" si="397"/>
        <v>0</v>
      </c>
      <c r="AO596" s="161">
        <f t="shared" si="398"/>
        <v>0</v>
      </c>
      <c r="AP596" s="156">
        <f t="shared" si="375"/>
        <v>2.9751065033618418</v>
      </c>
      <c r="AQ596" s="152"/>
      <c r="AR596" s="162">
        <f t="shared" si="376"/>
        <v>75772.829696243774</v>
      </c>
      <c r="AS596" s="150">
        <f t="shared" si="399"/>
        <v>0</v>
      </c>
      <c r="AT596" s="163">
        <f t="shared" si="377"/>
        <v>0</v>
      </c>
      <c r="AU596" s="163">
        <f t="shared" si="378"/>
        <v>14940.958828662653</v>
      </c>
      <c r="AV596" s="163">
        <f t="shared" si="400"/>
        <v>239.61684190852301</v>
      </c>
      <c r="AW596" s="163">
        <f t="shared" si="379"/>
        <v>10727.457734674901</v>
      </c>
      <c r="AX596" s="163">
        <f t="shared" si="380"/>
        <v>0</v>
      </c>
      <c r="AY596" s="165">
        <f t="shared" si="401"/>
        <v>71798.94544416455</v>
      </c>
      <c r="AZ596" s="164">
        <f>IF($E596="","",IF(OR(AND($D596=Input!$C$6,$C596=12),$AN596=1),0,-AS597+AT597+AU597-AV597-AW597-AX597+AZ597))</f>
        <v>71798.991334447725</v>
      </c>
      <c r="BA596" s="154">
        <f t="shared" si="381"/>
        <v>4.5890283174230717E-2</v>
      </c>
      <c r="BC596" s="147">
        <f t="shared" si="402"/>
        <v>2.50315938386427E-5</v>
      </c>
      <c r="BD596" s="164">
        <f>IF(AND($C595=12,$D595=Input!$C$6),0,IF($E596="","",AT596+(AU596+BD597)/(1+$AK596)*MIN((1-AM596-AN596),1)))</f>
        <v>57582.435288328255</v>
      </c>
      <c r="BE596" s="164">
        <f t="shared" si="382"/>
        <v>1.4413801323773596</v>
      </c>
      <c r="BF596" s="164">
        <f t="shared" si="403"/>
        <v>71798.991334447725</v>
      </c>
      <c r="BG596" s="164">
        <f t="shared" si="383"/>
        <v>1.7972431891081222</v>
      </c>
      <c r="BH596" s="152"/>
      <c r="BI596" s="162">
        <f t="shared" si="384"/>
        <v>31082.630796275371</v>
      </c>
      <c r="BJ596" s="150">
        <f t="shared" si="385"/>
        <v>0</v>
      </c>
      <c r="BK596" s="163">
        <f t="shared" si="407"/>
        <v>0</v>
      </c>
      <c r="BL596" s="163">
        <f t="shared" si="386"/>
        <v>5456.1474392132322</v>
      </c>
      <c r="BM596" s="163">
        <f t="shared" si="408"/>
        <v>109.68381260452315</v>
      </c>
      <c r="BN596" s="163">
        <f t="shared" si="387"/>
        <v>1485.2412922183323</v>
      </c>
      <c r="BO596" s="163">
        <f t="shared" si="388"/>
        <v>0</v>
      </c>
      <c r="BP596" s="164">
        <f t="shared" si="409"/>
        <v>27221.408461884992</v>
      </c>
      <c r="BQ596" s="164">
        <f>IF($E596="","",IF(AND($D596=Input!$C$6,$C596=12),0,-BJ597+BK597+BL597-BM597-BN597-BO597+BQ597))</f>
        <v>27221.428833537931</v>
      </c>
      <c r="BR596" s="161">
        <f t="shared" si="389"/>
        <v>0</v>
      </c>
      <c r="BT596" s="147">
        <f t="shared" si="390"/>
        <v>2.50315938386427E-5</v>
      </c>
      <c r="BU596" s="164">
        <f>IF(AND($C595=12,$D595=Input!$C$6),0,IF($E596="","",BK596+(BL596+BU597)/(1+$AK596)*MIN((1-T596-U596),1)))</f>
        <v>79216.590572559711</v>
      </c>
      <c r="BV596" s="164">
        <f t="shared" si="391"/>
        <v>1.982917520494367</v>
      </c>
      <c r="BW596" s="164">
        <f t="shared" si="392"/>
        <v>27221.428833537931</v>
      </c>
      <c r="BX596" s="164">
        <f t="shared" si="393"/>
        <v>0.68139575026863886</v>
      </c>
    </row>
    <row r="597" spans="1:76" s="150" customFormat="1" x14ac:dyDescent="0.25">
      <c r="A597" s="150">
        <f t="shared" si="404"/>
        <v>593</v>
      </c>
      <c r="B597" s="150">
        <f t="shared" si="405"/>
        <v>50</v>
      </c>
      <c r="C597" s="150">
        <f t="shared" si="406"/>
        <v>5</v>
      </c>
      <c r="D597" s="150">
        <f>IF(E597="","",Input!$C$4+B597-1)</f>
        <v>94</v>
      </c>
      <c r="E597" s="150">
        <f>IF(OR(AND(C596=12,D596=Input!$C$6),E596=""),"",1)</f>
        <v>1</v>
      </c>
      <c r="F597" s="150">
        <f>IF(E597="","",Input!$C$8+B597-1)</f>
        <v>2067</v>
      </c>
      <c r="G597" s="151">
        <f>IF(E597="","",MAX(0,Input!$C$9-B597))</f>
        <v>0</v>
      </c>
      <c r="H597" s="152">
        <f>IF(E597="","",Input!$C$3)</f>
        <v>100000</v>
      </c>
      <c r="I597" s="153">
        <f>IF(E597="","",HLOOKUP($B597,Input!$C$13:$BT$14,2))</f>
        <v>559.48200000000008</v>
      </c>
      <c r="J597" s="154"/>
      <c r="K597" s="155">
        <f>IF($E597="","",INDEX(Input!$C$16:$CP$16,1,$B597))</f>
        <v>3.2419999999999997E-2</v>
      </c>
      <c r="L597" s="155">
        <f>IF($E597="","",Input!$C$37)</f>
        <v>1.4999999999999999E-2</v>
      </c>
      <c r="M597" s="155">
        <f t="shared" si="369"/>
        <v>4.7419999999999997E-2</v>
      </c>
      <c r="N597" s="155">
        <f t="shared" si="370"/>
        <v>3.8682957490023817E-3</v>
      </c>
      <c r="O597" s="147">
        <f>IF($E597="","",MIN(VLOOKUP(IF($B597&lt;=Input!$C$7,$B597,26),'Mortality Tables'!$A$41:$CW$67,IF($B597&lt;=Input!$C$7+1,Input!$C$4+2,$D597-Input!$C$7+2),0)*IF(B597&gt;20,Input!$C$22,1)/1000,1))</f>
        <v>0.62637520000000002</v>
      </c>
      <c r="P597" s="147">
        <f>IF($E597="","",MIN(VLOOKUP(IF($B597&lt;=Input!$C$7,$B597,26),'Mortality Tables'!$A$12:$CW$37,IF($B597&lt;=Input!$C$7+1,Input!$C$4+2,$D597-Input!$C$7+2),0)*IF(B597&gt;20,Input!$C$22,1)/1000,1))</f>
        <v>0.78296900000000003</v>
      </c>
      <c r="Q597" s="155">
        <f>IF($E597="","",Input!$C$21)</f>
        <v>5.0000000000000001E-3</v>
      </c>
      <c r="R597" s="159">
        <f>IF($E597="","",(1-Q597)^($F597-Input!$C$20))</f>
        <v>0.78222367544587168</v>
      </c>
      <c r="S597" s="147">
        <f t="shared" si="372"/>
        <v>0.48996551115214299</v>
      </c>
      <c r="T597" s="147">
        <f t="shared" si="373"/>
        <v>5.4561474392132325E-2</v>
      </c>
      <c r="U597" s="160">
        <f>IF($E597="","",IF($C597=12,INDEX(Input!$C$15:$CP$15,1,$B597),0))</f>
        <v>0</v>
      </c>
      <c r="V597" s="150">
        <f>IF(E597="","",IF(C597=1,IF($B597=1,Input!$C$33,Input!$C$34),0))</f>
        <v>0</v>
      </c>
      <c r="W597" s="156">
        <f>IF($E597="","",Input!$C$35)</f>
        <v>0.02</v>
      </c>
      <c r="X597" s="156">
        <f t="shared" si="371"/>
        <v>2.6388117932094191</v>
      </c>
      <c r="Y597" s="154"/>
      <c r="Z597" s="147">
        <f>IF($E597="","",VLOOKUP($D597,'Mortality Margins &amp; Grading'!$AB$5:$AF$125,3,0)*IF(Summary!$D$25="Included Margin",IF(AND($B597&gt;Input!$C$9,Summary!$D$31&lt;&gt;"Included Margin"),0,1),0))</f>
        <v>1.7999999999999999E-2</v>
      </c>
      <c r="AA597" s="147">
        <f>IF($E597="","",VLOOKUP($D597,'Mortality Margins &amp; Grading'!$AB$5:$AF$125,5,0)*IF(Summary!$D$25="Included Margin",IF(AND($B597&gt;Input!$C$9,Summary!$D$31&lt;&gt;"Included Margin"),0,1),0))</f>
        <v>9.4E-2</v>
      </c>
      <c r="AB597" s="147">
        <f>IF($E597="","",IF(AND($B597&gt;Input!$C$9,Summary!$D$31&lt;&gt;"Included Margin"),1,IF(Summary!$D$25="Included Margin",VLOOKUP($B597,'Mortality Margins &amp; Grading'!$AI$5:$AR$125,MATCH('Mortality Margins &amp; Grading'!$AQ$4,'Mortality Margins &amp; Grading'!$AI$4:$AR$4,0),0),1)))</f>
        <v>0</v>
      </c>
      <c r="AC597" s="154"/>
      <c r="AD597" s="158">
        <f>IF(E597="","",Input!$C$48*IF(Summary!$D$30="Included Margin",IF(AND($B597&gt;Input!$C$9,Summary!$D$31&lt;&gt;"Included Margin"),0,1),0))</f>
        <v>-4.4999999999999997E-3</v>
      </c>
      <c r="AE597" s="159">
        <f>IF(E597="","",IF(Summary!$D$26="Included Margin",IF(AND($B597&gt;Input!$C$9,Summary!$D$31&lt;&gt;"Included Margin"),1,1/$R597),1))</f>
        <v>1.2784067158667816</v>
      </c>
      <c r="AF597" s="160">
        <f>IF(E597="","",IF(AND($B597&gt;=Input!$C$9,$C597=12,Summary!$D$31="Included Margin",$U597&gt;0),1/U597-1,IF($B597&gt;=Input!$C$9,0,Input!$C$45*IF(Summary!$D$27="Included Margin",1,0))))</f>
        <v>0</v>
      </c>
      <c r="AG597" s="160">
        <f>IF(E597="","",Input!$C$46*IF(Summary!$D$28="Included Margin",IF(AND($B597&gt;Input!$C$9,Summary!$D$31&lt;&gt;"Included Margin"),0,1),0))</f>
        <v>0.02</v>
      </c>
      <c r="AH597" s="158">
        <f>IF(E597="","",Input!$C$47*IF(Summary!$D$29="Included Margin",IF(AND($B597&gt;Input!$C$9,Summary!$D$31&lt;&gt;"Included Margin"),0,1),0))</f>
        <v>2.5000000000000001E-3</v>
      </c>
      <c r="AI597" s="154"/>
      <c r="AJ597" s="158">
        <f t="shared" si="394"/>
        <v>4.292E-2</v>
      </c>
      <c r="AK597" s="155">
        <f t="shared" si="395"/>
        <v>3.5081785754007555E-3</v>
      </c>
      <c r="AL597" s="147">
        <f t="shared" si="396"/>
        <v>0.85656808600000023</v>
      </c>
      <c r="AM597" s="147">
        <f t="shared" si="374"/>
        <v>0.14940958828662654</v>
      </c>
      <c r="AN597" s="160">
        <f t="shared" si="397"/>
        <v>0</v>
      </c>
      <c r="AO597" s="161">
        <f t="shared" si="398"/>
        <v>0</v>
      </c>
      <c r="AP597" s="156">
        <f t="shared" si="375"/>
        <v>2.9751065033618418</v>
      </c>
      <c r="AQ597" s="152"/>
      <c r="AR597" s="162">
        <f t="shared" si="376"/>
        <v>71798.94544416455</v>
      </c>
      <c r="AS597" s="150">
        <f t="shared" si="399"/>
        <v>0</v>
      </c>
      <c r="AT597" s="163">
        <f t="shared" si="377"/>
        <v>0</v>
      </c>
      <c r="AU597" s="163">
        <f t="shared" si="378"/>
        <v>14940.958828662653</v>
      </c>
      <c r="AV597" s="163">
        <f t="shared" si="400"/>
        <v>225.6757463142562</v>
      </c>
      <c r="AW597" s="163">
        <f t="shared" si="379"/>
        <v>10026.980354316604</v>
      </c>
      <c r="AX597" s="163">
        <f t="shared" si="380"/>
        <v>0</v>
      </c>
      <c r="AY597" s="164">
        <f t="shared" si="401"/>
        <v>67110.642716132759</v>
      </c>
      <c r="AZ597" s="164">
        <f>IF($E597="","",IF(OR(AND($D597=Input!$C$6,$C597=12),$AN597=1),0,-AS598+AT598+AU598-AV598-AW598-AX598+AZ598))</f>
        <v>67110.688606415933</v>
      </c>
      <c r="BA597" s="154">
        <f t="shared" si="381"/>
        <v>4.5890283174230717E-2</v>
      </c>
      <c r="BC597" s="147">
        <f t="shared" si="402"/>
        <v>2.3665833172421339E-5</v>
      </c>
      <c r="BD597" s="164">
        <f>IF(AND($C596=12,$D596=Input!$C$6),0,IF($E597="","",AT597+(AU597+BD598)/(1+$AK597)*MIN((1-AM597-AN597),1)))</f>
        <v>52993.553432919245</v>
      </c>
      <c r="BE597" s="164">
        <f t="shared" si="382"/>
        <v>1.2541365947572629</v>
      </c>
      <c r="BF597" s="164">
        <f t="shared" si="403"/>
        <v>67110.688606415933</v>
      </c>
      <c r="BG597" s="164">
        <f t="shared" si="383"/>
        <v>1.5882303606457571</v>
      </c>
      <c r="BH597" s="152"/>
      <c r="BI597" s="162">
        <f t="shared" si="384"/>
        <v>27221.408461884996</v>
      </c>
      <c r="BJ597" s="150">
        <f t="shared" si="385"/>
        <v>0</v>
      </c>
      <c r="BK597" s="163">
        <f t="shared" si="407"/>
        <v>0</v>
      </c>
      <c r="BL597" s="163">
        <f t="shared" si="386"/>
        <v>5456.1474392132322</v>
      </c>
      <c r="BM597" s="163">
        <f t="shared" si="408"/>
        <v>94.747462662447802</v>
      </c>
      <c r="BN597" s="163">
        <f t="shared" si="387"/>
        <v>1261.5472845523448</v>
      </c>
      <c r="BO597" s="163">
        <f t="shared" si="388"/>
        <v>0</v>
      </c>
      <c r="BP597" s="164">
        <f t="shared" si="409"/>
        <v>23121.555769886552</v>
      </c>
      <c r="BQ597" s="164">
        <f>IF($E597="","",IF(AND($D597=Input!$C$6,$C597=12),0,-BJ598+BK598+BL598-BM598-BN598-BO598+BQ598))</f>
        <v>23121.576141539492</v>
      </c>
      <c r="BR597" s="161">
        <f t="shared" si="389"/>
        <v>0</v>
      </c>
      <c r="BT597" s="147">
        <f t="shared" si="390"/>
        <v>2.3665833172421339E-5</v>
      </c>
      <c r="BU597" s="164">
        <f>IF(AND($C596=12,$D596=Input!$C$6),0,IF($E597="","",BK597+(BL597+BU598)/(1+$AK597)*MIN((1-T597-U597),1)))</f>
        <v>78625.994725780343</v>
      </c>
      <c r="BV597" s="164">
        <f t="shared" si="391"/>
        <v>1.8607496741959977</v>
      </c>
      <c r="BW597" s="164">
        <f t="shared" si="392"/>
        <v>23121.576141539492</v>
      </c>
      <c r="BX597" s="164">
        <f t="shared" si="393"/>
        <v>0.54719136364911114</v>
      </c>
    </row>
    <row r="598" spans="1:76" s="150" customFormat="1" x14ac:dyDescent="0.25">
      <c r="A598" s="150">
        <f t="shared" si="404"/>
        <v>594</v>
      </c>
      <c r="B598" s="150">
        <f t="shared" si="405"/>
        <v>50</v>
      </c>
      <c r="C598" s="150">
        <f t="shared" si="406"/>
        <v>6</v>
      </c>
      <c r="D598" s="150">
        <f>IF(E598="","",Input!$C$4+B598-1)</f>
        <v>94</v>
      </c>
      <c r="E598" s="150">
        <f>IF(OR(AND(C597=12,D597=Input!$C$6),E597=""),"",1)</f>
        <v>1</v>
      </c>
      <c r="F598" s="150">
        <f>IF(E598="","",Input!$C$8+B598-1)</f>
        <v>2067</v>
      </c>
      <c r="G598" s="151">
        <f>IF(E598="","",MAX(0,Input!$C$9-B598))</f>
        <v>0</v>
      </c>
      <c r="H598" s="152">
        <f>IF(E598="","",Input!$C$3)</f>
        <v>100000</v>
      </c>
      <c r="I598" s="153">
        <f>IF(E598="","",HLOOKUP($B598,Input!$C$13:$BT$14,2))</f>
        <v>559.48200000000008</v>
      </c>
      <c r="J598" s="154"/>
      <c r="K598" s="155">
        <f>IF($E598="","",INDEX(Input!$C$16:$CP$16,1,$B598))</f>
        <v>3.2419999999999997E-2</v>
      </c>
      <c r="L598" s="155">
        <f>IF($E598="","",Input!$C$37)</f>
        <v>1.4999999999999999E-2</v>
      </c>
      <c r="M598" s="155">
        <f t="shared" si="369"/>
        <v>4.7419999999999997E-2</v>
      </c>
      <c r="N598" s="155">
        <f t="shared" si="370"/>
        <v>3.8682957490023817E-3</v>
      </c>
      <c r="O598" s="147">
        <f>IF($E598="","",MIN(VLOOKUP(IF($B598&lt;=Input!$C$7,$B598,26),'Mortality Tables'!$A$41:$CW$67,IF($B598&lt;=Input!$C$7+1,Input!$C$4+2,$D598-Input!$C$7+2),0)*IF(B598&gt;20,Input!$C$22,1)/1000,1))</f>
        <v>0.62637520000000002</v>
      </c>
      <c r="P598" s="147">
        <f>IF($E598="","",MIN(VLOOKUP(IF($B598&lt;=Input!$C$7,$B598,26),'Mortality Tables'!$A$12:$CW$37,IF($B598&lt;=Input!$C$7+1,Input!$C$4+2,$D598-Input!$C$7+2),0)*IF(B598&gt;20,Input!$C$22,1)/1000,1))</f>
        <v>0.78296900000000003</v>
      </c>
      <c r="Q598" s="155">
        <f>IF($E598="","",Input!$C$21)</f>
        <v>5.0000000000000001E-3</v>
      </c>
      <c r="R598" s="159">
        <f>IF($E598="","",(1-Q598)^($F598-Input!$C$20))</f>
        <v>0.78222367544587168</v>
      </c>
      <c r="S598" s="147">
        <f t="shared" si="372"/>
        <v>0.48996551115214299</v>
      </c>
      <c r="T598" s="147">
        <f t="shared" si="373"/>
        <v>5.4561474392132325E-2</v>
      </c>
      <c r="U598" s="160">
        <f>IF($E598="","",IF($C598=12,INDEX(Input!$C$15:$CP$15,1,$B598),0))</f>
        <v>0</v>
      </c>
      <c r="V598" s="150">
        <f>IF(E598="","",IF(C598=1,IF($B598=1,Input!$C$33,Input!$C$34),0))</f>
        <v>0</v>
      </c>
      <c r="W598" s="156">
        <f>IF($E598="","",Input!$C$35)</f>
        <v>0.02</v>
      </c>
      <c r="X598" s="156">
        <f t="shared" si="371"/>
        <v>2.6388117932094191</v>
      </c>
      <c r="Y598" s="154"/>
      <c r="Z598" s="147">
        <f>IF($E598="","",VLOOKUP($D598,'Mortality Margins &amp; Grading'!$AB$5:$AF$125,3,0)*IF(Summary!$D$25="Included Margin",IF(AND($B598&gt;Input!$C$9,Summary!$D$31&lt;&gt;"Included Margin"),0,1),0))</f>
        <v>1.7999999999999999E-2</v>
      </c>
      <c r="AA598" s="147">
        <f>IF($E598="","",VLOOKUP($D598,'Mortality Margins &amp; Grading'!$AB$5:$AF$125,5,0)*IF(Summary!$D$25="Included Margin",IF(AND($B598&gt;Input!$C$9,Summary!$D$31&lt;&gt;"Included Margin"),0,1),0))</f>
        <v>9.4E-2</v>
      </c>
      <c r="AB598" s="147">
        <f>IF($E598="","",IF(AND($B598&gt;Input!$C$9,Summary!$D$31&lt;&gt;"Included Margin"),1,IF(Summary!$D$25="Included Margin",VLOOKUP($B598,'Mortality Margins &amp; Grading'!$AI$5:$AR$125,MATCH('Mortality Margins &amp; Grading'!$AQ$4,'Mortality Margins &amp; Grading'!$AI$4:$AR$4,0),0),1)))</f>
        <v>0</v>
      </c>
      <c r="AC598" s="154"/>
      <c r="AD598" s="158">
        <f>IF(E598="","",Input!$C$48*IF(Summary!$D$30="Included Margin",IF(AND($B598&gt;Input!$C$9,Summary!$D$31&lt;&gt;"Included Margin"),0,1),0))</f>
        <v>-4.4999999999999997E-3</v>
      </c>
      <c r="AE598" s="159">
        <f>IF(E598="","",IF(Summary!$D$26="Included Margin",IF(AND($B598&gt;Input!$C$9,Summary!$D$31&lt;&gt;"Included Margin"),1,1/$R598),1))</f>
        <v>1.2784067158667816</v>
      </c>
      <c r="AF598" s="160">
        <f>IF(E598="","",IF(AND($B598&gt;=Input!$C$9,$C598=12,Summary!$D$31="Included Margin",$U598&gt;0),1/U598-1,IF($B598&gt;=Input!$C$9,0,Input!$C$45*IF(Summary!$D$27="Included Margin",1,0))))</f>
        <v>0</v>
      </c>
      <c r="AG598" s="160">
        <f>IF(E598="","",Input!$C$46*IF(Summary!$D$28="Included Margin",IF(AND($B598&gt;Input!$C$9,Summary!$D$31&lt;&gt;"Included Margin"),0,1),0))</f>
        <v>0.02</v>
      </c>
      <c r="AH598" s="158">
        <f>IF(E598="","",Input!$C$47*IF(Summary!$D$29="Included Margin",IF(AND($B598&gt;Input!$C$9,Summary!$D$31&lt;&gt;"Included Margin"),0,1),0))</f>
        <v>2.5000000000000001E-3</v>
      </c>
      <c r="AI598" s="154"/>
      <c r="AJ598" s="158">
        <f t="shared" si="394"/>
        <v>4.292E-2</v>
      </c>
      <c r="AK598" s="155">
        <f t="shared" si="395"/>
        <v>3.5081785754007555E-3</v>
      </c>
      <c r="AL598" s="147">
        <f t="shared" si="396"/>
        <v>0.85656808600000023</v>
      </c>
      <c r="AM598" s="147">
        <f t="shared" si="374"/>
        <v>0.14940958828662654</v>
      </c>
      <c r="AN598" s="160">
        <f t="shared" si="397"/>
        <v>0</v>
      </c>
      <c r="AO598" s="161">
        <f t="shared" si="398"/>
        <v>0</v>
      </c>
      <c r="AP598" s="156">
        <f t="shared" si="375"/>
        <v>2.9751065033618418</v>
      </c>
      <c r="AQ598" s="152"/>
      <c r="AR598" s="162">
        <f t="shared" si="376"/>
        <v>67110.642716132745</v>
      </c>
      <c r="AS598" s="150">
        <f t="shared" si="399"/>
        <v>0</v>
      </c>
      <c r="AT598" s="163">
        <f t="shared" si="377"/>
        <v>0</v>
      </c>
      <c r="AU598" s="163">
        <f t="shared" si="378"/>
        <v>14940.958828662653</v>
      </c>
      <c r="AV598" s="163">
        <f t="shared" si="400"/>
        <v>209.22834312878211</v>
      </c>
      <c r="AW598" s="163">
        <f t="shared" si="379"/>
        <v>9200.5722847961861</v>
      </c>
      <c r="AX598" s="163">
        <f t="shared" si="380"/>
        <v>0</v>
      </c>
      <c r="AY598" s="165">
        <f t="shared" si="401"/>
        <v>61579.484515395059</v>
      </c>
      <c r="AZ598" s="164">
        <f>IF($E598="","",IF(OR(AND($D598=Input!$C$6,$C598=12),$AN598=1),0,-AS599+AT599+AU599-AV599-AW599-AX599+AZ599))</f>
        <v>61579.530405678241</v>
      </c>
      <c r="BA598" s="154">
        <f t="shared" si="381"/>
        <v>4.5890283181506675E-2</v>
      </c>
      <c r="BC598" s="147">
        <f t="shared" si="402"/>
        <v>2.2374590421815798E-5</v>
      </c>
      <c r="BD598" s="164">
        <f>IF(AND($C597=12,$D597=Input!$C$6),0,IF($E598="","",AT598+(AU598+BD599)/(1+$AK598)*MIN((1-AM598-AN598),1)))</f>
        <v>47579.689828292867</v>
      </c>
      <c r="BE598" s="164">
        <f t="shared" si="382"/>
        <v>1.0645760723050881</v>
      </c>
      <c r="BF598" s="164">
        <f t="shared" si="403"/>
        <v>61579.530405678241</v>
      </c>
      <c r="BG598" s="164">
        <f t="shared" si="383"/>
        <v>1.3778167711948031</v>
      </c>
      <c r="BH598" s="152"/>
      <c r="BI598" s="162">
        <f t="shared" si="384"/>
        <v>23121.555769886552</v>
      </c>
      <c r="BJ598" s="150">
        <f t="shared" si="385"/>
        <v>0</v>
      </c>
      <c r="BK598" s="163">
        <f t="shared" si="407"/>
        <v>0</v>
      </c>
      <c r="BL598" s="163">
        <f t="shared" si="386"/>
        <v>5456.1474392132322</v>
      </c>
      <c r="BM598" s="163">
        <f t="shared" si="408"/>
        <v>78.888019922454262</v>
      </c>
      <c r="BN598" s="163">
        <f t="shared" si="387"/>
        <v>1024.0285922602791</v>
      </c>
      <c r="BO598" s="163">
        <f t="shared" si="388"/>
        <v>0</v>
      </c>
      <c r="BP598" s="164">
        <f t="shared" si="409"/>
        <v>18768.324942856052</v>
      </c>
      <c r="BQ598" s="164">
        <f>IF($E598="","",IF(AND($D598=Input!$C$6,$C598=12),0,-BJ599+BK599+BL599-BM599-BN599-BO599+BQ599))</f>
        <v>18768.345314508992</v>
      </c>
      <c r="BR598" s="161">
        <f t="shared" si="389"/>
        <v>0</v>
      </c>
      <c r="BT598" s="147">
        <f t="shared" si="390"/>
        <v>2.2374590421815798E-5</v>
      </c>
      <c r="BU598" s="164">
        <f>IF(AND($C597=12,$D597=Input!$C$6),0,IF($E598="","",BK598+(BL598+BU599)/(1+$AK598)*MIN((1-T598-U598),1)))</f>
        <v>77999.123970651446</v>
      </c>
      <c r="BV598" s="164">
        <f t="shared" si="391"/>
        <v>1.7451984521037609</v>
      </c>
      <c r="BW598" s="164">
        <f t="shared" si="392"/>
        <v>18768.345314508992</v>
      </c>
      <c r="BX598" s="164">
        <f t="shared" si="393"/>
        <v>0.4199340393073443</v>
      </c>
    </row>
    <row r="599" spans="1:76" s="150" customFormat="1" x14ac:dyDescent="0.25">
      <c r="A599" s="150">
        <f t="shared" si="404"/>
        <v>595</v>
      </c>
      <c r="B599" s="150">
        <f t="shared" si="405"/>
        <v>50</v>
      </c>
      <c r="C599" s="150">
        <f t="shared" si="406"/>
        <v>7</v>
      </c>
      <c r="D599" s="150">
        <f>IF(E599="","",Input!$C$4+B599-1)</f>
        <v>94</v>
      </c>
      <c r="E599" s="150">
        <f>IF(OR(AND(C598=12,D598=Input!$C$6),E598=""),"",1)</f>
        <v>1</v>
      </c>
      <c r="F599" s="150">
        <f>IF(E599="","",Input!$C$8+B599-1)</f>
        <v>2067</v>
      </c>
      <c r="G599" s="151">
        <f>IF(E599="","",MAX(0,Input!$C$9-B599))</f>
        <v>0</v>
      </c>
      <c r="H599" s="152">
        <f>IF(E599="","",Input!$C$3)</f>
        <v>100000</v>
      </c>
      <c r="I599" s="153">
        <f>IF(E599="","",HLOOKUP($B599,Input!$C$13:$BT$14,2))</f>
        <v>559.48200000000008</v>
      </c>
      <c r="J599" s="154"/>
      <c r="K599" s="155">
        <f>IF($E599="","",INDEX(Input!$C$16:$CP$16,1,$B599))</f>
        <v>3.2419999999999997E-2</v>
      </c>
      <c r="L599" s="155">
        <f>IF($E599="","",Input!$C$37)</f>
        <v>1.4999999999999999E-2</v>
      </c>
      <c r="M599" s="155">
        <f t="shared" si="369"/>
        <v>4.7419999999999997E-2</v>
      </c>
      <c r="N599" s="155">
        <f t="shared" si="370"/>
        <v>3.8682957490023817E-3</v>
      </c>
      <c r="O599" s="147">
        <f>IF($E599="","",MIN(VLOOKUP(IF($B599&lt;=Input!$C$7,$B599,26),'Mortality Tables'!$A$41:$CW$67,IF($B599&lt;=Input!$C$7+1,Input!$C$4+2,$D599-Input!$C$7+2),0)*IF(B599&gt;20,Input!$C$22,1)/1000,1))</f>
        <v>0.62637520000000002</v>
      </c>
      <c r="P599" s="147">
        <f>IF($E599="","",MIN(VLOOKUP(IF($B599&lt;=Input!$C$7,$B599,26),'Mortality Tables'!$A$12:$CW$37,IF($B599&lt;=Input!$C$7+1,Input!$C$4+2,$D599-Input!$C$7+2),0)*IF(B599&gt;20,Input!$C$22,1)/1000,1))</f>
        <v>0.78296900000000003</v>
      </c>
      <c r="Q599" s="155">
        <f>IF($E599="","",Input!$C$21)</f>
        <v>5.0000000000000001E-3</v>
      </c>
      <c r="R599" s="159">
        <f>IF($E599="","",(1-Q599)^($F599-Input!$C$20))</f>
        <v>0.78222367544587168</v>
      </c>
      <c r="S599" s="147">
        <f t="shared" si="372"/>
        <v>0.48996551115214299</v>
      </c>
      <c r="T599" s="147">
        <f t="shared" si="373"/>
        <v>5.4561474392132325E-2</v>
      </c>
      <c r="U599" s="160">
        <f>IF($E599="","",IF($C599=12,INDEX(Input!$C$15:$CP$15,1,$B599),0))</f>
        <v>0</v>
      </c>
      <c r="V599" s="150">
        <f>IF(E599="","",IF(C599=1,IF($B599=1,Input!$C$33,Input!$C$34),0))</f>
        <v>0</v>
      </c>
      <c r="W599" s="156">
        <f>IF($E599="","",Input!$C$35)</f>
        <v>0.02</v>
      </c>
      <c r="X599" s="156">
        <f t="shared" si="371"/>
        <v>2.6388117932094191</v>
      </c>
      <c r="Y599" s="154"/>
      <c r="Z599" s="147">
        <f>IF($E599="","",VLOOKUP($D599,'Mortality Margins &amp; Grading'!$AB$5:$AF$125,3,0)*IF(Summary!$D$25="Included Margin",IF(AND($B599&gt;Input!$C$9,Summary!$D$31&lt;&gt;"Included Margin"),0,1),0))</f>
        <v>1.7999999999999999E-2</v>
      </c>
      <c r="AA599" s="147">
        <f>IF($E599="","",VLOOKUP($D599,'Mortality Margins &amp; Grading'!$AB$5:$AF$125,5,0)*IF(Summary!$D$25="Included Margin",IF(AND($B599&gt;Input!$C$9,Summary!$D$31&lt;&gt;"Included Margin"),0,1),0))</f>
        <v>9.4E-2</v>
      </c>
      <c r="AB599" s="147">
        <f>IF($E599="","",IF(AND($B599&gt;Input!$C$9,Summary!$D$31&lt;&gt;"Included Margin"),1,IF(Summary!$D$25="Included Margin",VLOOKUP($B599,'Mortality Margins &amp; Grading'!$AI$5:$AR$125,MATCH('Mortality Margins &amp; Grading'!$AQ$4,'Mortality Margins &amp; Grading'!$AI$4:$AR$4,0),0),1)))</f>
        <v>0</v>
      </c>
      <c r="AC599" s="154"/>
      <c r="AD599" s="158">
        <f>IF(E599="","",Input!$C$48*IF(Summary!$D$30="Included Margin",IF(AND($B599&gt;Input!$C$9,Summary!$D$31&lt;&gt;"Included Margin"),0,1),0))</f>
        <v>-4.4999999999999997E-3</v>
      </c>
      <c r="AE599" s="159">
        <f>IF(E599="","",IF(Summary!$D$26="Included Margin",IF(AND($B599&gt;Input!$C$9,Summary!$D$31&lt;&gt;"Included Margin"),1,1/$R599),1))</f>
        <v>1.2784067158667816</v>
      </c>
      <c r="AF599" s="160">
        <f>IF(E599="","",IF(AND($B599&gt;=Input!$C$9,$C599=12,Summary!$D$31="Included Margin",$U599&gt;0),1/U599-1,IF($B599&gt;=Input!$C$9,0,Input!$C$45*IF(Summary!$D$27="Included Margin",1,0))))</f>
        <v>0</v>
      </c>
      <c r="AG599" s="160">
        <f>IF(E599="","",Input!$C$46*IF(Summary!$D$28="Included Margin",IF(AND($B599&gt;Input!$C$9,Summary!$D$31&lt;&gt;"Included Margin"),0,1),0))</f>
        <v>0.02</v>
      </c>
      <c r="AH599" s="158">
        <f>IF(E599="","",Input!$C$47*IF(Summary!$D$29="Included Margin",IF(AND($B599&gt;Input!$C$9,Summary!$D$31&lt;&gt;"Included Margin"),0,1),0))</f>
        <v>2.5000000000000001E-3</v>
      </c>
      <c r="AI599" s="154"/>
      <c r="AJ599" s="158">
        <f t="shared" si="394"/>
        <v>4.292E-2</v>
      </c>
      <c r="AK599" s="155">
        <f t="shared" si="395"/>
        <v>3.5081785754007555E-3</v>
      </c>
      <c r="AL599" s="147">
        <f t="shared" si="396"/>
        <v>0.85656808600000023</v>
      </c>
      <c r="AM599" s="147">
        <f t="shared" si="374"/>
        <v>0.14940958828662654</v>
      </c>
      <c r="AN599" s="160">
        <f t="shared" si="397"/>
        <v>0</v>
      </c>
      <c r="AO599" s="161">
        <f t="shared" si="398"/>
        <v>0</v>
      </c>
      <c r="AP599" s="156">
        <f t="shared" si="375"/>
        <v>2.9751065033618418</v>
      </c>
      <c r="AQ599" s="152"/>
      <c r="AR599" s="162">
        <f t="shared" si="376"/>
        <v>61579.484515395059</v>
      </c>
      <c r="AS599" s="150">
        <f t="shared" si="399"/>
        <v>0</v>
      </c>
      <c r="AT599" s="163">
        <f t="shared" si="377"/>
        <v>0</v>
      </c>
      <c r="AU599" s="163">
        <f t="shared" si="378"/>
        <v>14940.958828662653</v>
      </c>
      <c r="AV599" s="163">
        <f t="shared" si="400"/>
        <v>189.82405243180199</v>
      </c>
      <c r="AW599" s="163">
        <f t="shared" si="379"/>
        <v>8225.5939107348768</v>
      </c>
      <c r="AX599" s="163">
        <f t="shared" si="380"/>
        <v>0</v>
      </c>
      <c r="AY599" s="164">
        <f t="shared" si="401"/>
        <v>55053.943649899084</v>
      </c>
      <c r="AZ599" s="164">
        <f>IF($E599="","",IF(OR(AND($D599=Input!$C$6,$C599=12),$AN599=1),0,-AS600+AT600+AU600-AV600-AW600-AX600+AZ600))</f>
        <v>55053.989540182265</v>
      </c>
      <c r="BA599" s="154">
        <f t="shared" si="381"/>
        <v>4.5890283181506675E-2</v>
      </c>
      <c r="BC599" s="147">
        <f t="shared" si="402"/>
        <v>2.1153799779481444E-5</v>
      </c>
      <c r="BD599" s="164">
        <f>IF(AND($C598=12,$D598=Input!$C$6),0,IF($E599="","",AT599+(AU599+BD600)/(1+$AK599)*MIN((1-AM599-AN599),1)))</f>
        <v>41192.530591462681</v>
      </c>
      <c r="BE599" s="164">
        <f t="shared" si="382"/>
        <v>0.87137854454196595</v>
      </c>
      <c r="BF599" s="164">
        <f t="shared" si="403"/>
        <v>55053.989540182265</v>
      </c>
      <c r="BG599" s="164">
        <f t="shared" si="383"/>
        <v>1.1646010717946813</v>
      </c>
      <c r="BH599" s="152"/>
      <c r="BI599" s="162">
        <f t="shared" si="384"/>
        <v>18768.324942856052</v>
      </c>
      <c r="BJ599" s="150">
        <f t="shared" si="385"/>
        <v>0</v>
      </c>
      <c r="BK599" s="163">
        <f t="shared" si="407"/>
        <v>0</v>
      </c>
      <c r="BL599" s="163">
        <f t="shared" si="386"/>
        <v>5456.1474392132322</v>
      </c>
      <c r="BM599" s="163">
        <f t="shared" si="408"/>
        <v>62.048435619826044</v>
      </c>
      <c r="BN599" s="163">
        <f t="shared" si="387"/>
        <v>771.83082542349314</v>
      </c>
      <c r="BO599" s="163">
        <f t="shared" si="388"/>
        <v>0</v>
      </c>
      <c r="BP599" s="164">
        <f t="shared" si="409"/>
        <v>14146.056764686138</v>
      </c>
      <c r="BQ599" s="164">
        <f>IF($E599="","",IF(AND($D599=Input!$C$6,$C599=12),0,-BJ600+BK600+BL600-BM600-BN600-BO600+BQ600))</f>
        <v>14146.077136339078</v>
      </c>
      <c r="BR599" s="161">
        <f t="shared" si="389"/>
        <v>0</v>
      </c>
      <c r="BT599" s="147">
        <f t="shared" si="390"/>
        <v>2.1153799779481444E-5</v>
      </c>
      <c r="BU599" s="164">
        <f>IF(AND($C598=12,$D598=Input!$C$6),0,IF($E599="","",BK599+(BL599+BU600)/(1+$AK599)*MIN((1-T599-U599),1)))</f>
        <v>77333.750270889068</v>
      </c>
      <c r="BV599" s="164">
        <f t="shared" si="391"/>
        <v>1.6359026694268062</v>
      </c>
      <c r="BW599" s="164">
        <f t="shared" si="392"/>
        <v>14146.077136339078</v>
      </c>
      <c r="BX599" s="164">
        <f t="shared" si="393"/>
        <v>0.29924328340721706</v>
      </c>
    </row>
    <row r="600" spans="1:76" s="150" customFormat="1" x14ac:dyDescent="0.25">
      <c r="A600" s="150">
        <f t="shared" si="404"/>
        <v>596</v>
      </c>
      <c r="B600" s="150">
        <f t="shared" si="405"/>
        <v>50</v>
      </c>
      <c r="C600" s="150">
        <f t="shared" si="406"/>
        <v>8</v>
      </c>
      <c r="D600" s="150">
        <f>IF(E600="","",Input!$C$4+B600-1)</f>
        <v>94</v>
      </c>
      <c r="E600" s="150">
        <f>IF(OR(AND(C599=12,D599=Input!$C$6),E599=""),"",1)</f>
        <v>1</v>
      </c>
      <c r="F600" s="150">
        <f>IF(E600="","",Input!$C$8+B600-1)</f>
        <v>2067</v>
      </c>
      <c r="G600" s="151">
        <f>IF(E600="","",MAX(0,Input!$C$9-B600))</f>
        <v>0</v>
      </c>
      <c r="H600" s="152">
        <f>IF(E600="","",Input!$C$3)</f>
        <v>100000</v>
      </c>
      <c r="I600" s="153">
        <f>IF(E600="","",HLOOKUP($B600,Input!$C$13:$BT$14,2))</f>
        <v>559.48200000000008</v>
      </c>
      <c r="J600" s="154"/>
      <c r="K600" s="155">
        <f>IF($E600="","",INDEX(Input!$C$16:$CP$16,1,$B600))</f>
        <v>3.2419999999999997E-2</v>
      </c>
      <c r="L600" s="155">
        <f>IF($E600="","",Input!$C$37)</f>
        <v>1.4999999999999999E-2</v>
      </c>
      <c r="M600" s="155">
        <f t="shared" si="369"/>
        <v>4.7419999999999997E-2</v>
      </c>
      <c r="N600" s="155">
        <f t="shared" si="370"/>
        <v>3.8682957490023817E-3</v>
      </c>
      <c r="O600" s="147">
        <f>IF($E600="","",MIN(VLOOKUP(IF($B600&lt;=Input!$C$7,$B600,26),'Mortality Tables'!$A$41:$CW$67,IF($B600&lt;=Input!$C$7+1,Input!$C$4+2,$D600-Input!$C$7+2),0)*IF(B600&gt;20,Input!$C$22,1)/1000,1))</f>
        <v>0.62637520000000002</v>
      </c>
      <c r="P600" s="147">
        <f>IF($E600="","",MIN(VLOOKUP(IF($B600&lt;=Input!$C$7,$B600,26),'Mortality Tables'!$A$12:$CW$37,IF($B600&lt;=Input!$C$7+1,Input!$C$4+2,$D600-Input!$C$7+2),0)*IF(B600&gt;20,Input!$C$22,1)/1000,1))</f>
        <v>0.78296900000000003</v>
      </c>
      <c r="Q600" s="155">
        <f>IF($E600="","",Input!$C$21)</f>
        <v>5.0000000000000001E-3</v>
      </c>
      <c r="R600" s="159">
        <f>IF($E600="","",(1-Q600)^($F600-Input!$C$20))</f>
        <v>0.78222367544587168</v>
      </c>
      <c r="S600" s="147">
        <f t="shared" si="372"/>
        <v>0.48996551115214299</v>
      </c>
      <c r="T600" s="147">
        <f t="shared" si="373"/>
        <v>5.4561474392132325E-2</v>
      </c>
      <c r="U600" s="160">
        <f>IF($E600="","",IF($C600=12,INDEX(Input!$C$15:$CP$15,1,$B600),0))</f>
        <v>0</v>
      </c>
      <c r="V600" s="150">
        <f>IF(E600="","",IF(C600=1,IF($B600=1,Input!$C$33,Input!$C$34),0))</f>
        <v>0</v>
      </c>
      <c r="W600" s="156">
        <f>IF($E600="","",Input!$C$35)</f>
        <v>0.02</v>
      </c>
      <c r="X600" s="156">
        <f t="shared" si="371"/>
        <v>2.6388117932094191</v>
      </c>
      <c r="Y600" s="154"/>
      <c r="Z600" s="147">
        <f>IF($E600="","",VLOOKUP($D600,'Mortality Margins &amp; Grading'!$AB$5:$AF$125,3,0)*IF(Summary!$D$25="Included Margin",IF(AND($B600&gt;Input!$C$9,Summary!$D$31&lt;&gt;"Included Margin"),0,1),0))</f>
        <v>1.7999999999999999E-2</v>
      </c>
      <c r="AA600" s="147">
        <f>IF($E600="","",VLOOKUP($D600,'Mortality Margins &amp; Grading'!$AB$5:$AF$125,5,0)*IF(Summary!$D$25="Included Margin",IF(AND($B600&gt;Input!$C$9,Summary!$D$31&lt;&gt;"Included Margin"),0,1),0))</f>
        <v>9.4E-2</v>
      </c>
      <c r="AB600" s="147">
        <f>IF($E600="","",IF(AND($B600&gt;Input!$C$9,Summary!$D$31&lt;&gt;"Included Margin"),1,IF(Summary!$D$25="Included Margin",VLOOKUP($B600,'Mortality Margins &amp; Grading'!$AI$5:$AR$125,MATCH('Mortality Margins &amp; Grading'!$AQ$4,'Mortality Margins &amp; Grading'!$AI$4:$AR$4,0),0),1)))</f>
        <v>0</v>
      </c>
      <c r="AC600" s="154"/>
      <c r="AD600" s="158">
        <f>IF(E600="","",Input!$C$48*IF(Summary!$D$30="Included Margin",IF(AND($B600&gt;Input!$C$9,Summary!$D$31&lt;&gt;"Included Margin"),0,1),0))</f>
        <v>-4.4999999999999997E-3</v>
      </c>
      <c r="AE600" s="159">
        <f>IF(E600="","",IF(Summary!$D$26="Included Margin",IF(AND($B600&gt;Input!$C$9,Summary!$D$31&lt;&gt;"Included Margin"),1,1/$R600),1))</f>
        <v>1.2784067158667816</v>
      </c>
      <c r="AF600" s="160">
        <f>IF(E600="","",IF(AND($B600&gt;=Input!$C$9,$C600=12,Summary!$D$31="Included Margin",$U600&gt;0),1/U600-1,IF($B600&gt;=Input!$C$9,0,Input!$C$45*IF(Summary!$D$27="Included Margin",1,0))))</f>
        <v>0</v>
      </c>
      <c r="AG600" s="160">
        <f>IF(E600="","",Input!$C$46*IF(Summary!$D$28="Included Margin",IF(AND($B600&gt;Input!$C$9,Summary!$D$31&lt;&gt;"Included Margin"),0,1),0))</f>
        <v>0.02</v>
      </c>
      <c r="AH600" s="158">
        <f>IF(E600="","",Input!$C$47*IF(Summary!$D$29="Included Margin",IF(AND($B600&gt;Input!$C$9,Summary!$D$31&lt;&gt;"Included Margin"),0,1),0))</f>
        <v>2.5000000000000001E-3</v>
      </c>
      <c r="AI600" s="154"/>
      <c r="AJ600" s="158">
        <f t="shared" si="394"/>
        <v>4.292E-2</v>
      </c>
      <c r="AK600" s="155">
        <f t="shared" si="395"/>
        <v>3.5081785754007555E-3</v>
      </c>
      <c r="AL600" s="147">
        <f t="shared" si="396"/>
        <v>0.85656808600000023</v>
      </c>
      <c r="AM600" s="147">
        <f t="shared" si="374"/>
        <v>0.14940958828662654</v>
      </c>
      <c r="AN600" s="160">
        <f t="shared" si="397"/>
        <v>0</v>
      </c>
      <c r="AO600" s="161">
        <f t="shared" si="398"/>
        <v>0</v>
      </c>
      <c r="AP600" s="156">
        <f t="shared" si="375"/>
        <v>2.9751065033618418</v>
      </c>
      <c r="AQ600" s="152"/>
      <c r="AR600" s="162">
        <f t="shared" si="376"/>
        <v>55053.943649899084</v>
      </c>
      <c r="AS600" s="150">
        <f t="shared" si="399"/>
        <v>0</v>
      </c>
      <c r="AT600" s="163">
        <f t="shared" si="377"/>
        <v>0</v>
      </c>
      <c r="AU600" s="163">
        <f t="shared" si="378"/>
        <v>14940.958828662653</v>
      </c>
      <c r="AV600" s="163">
        <f t="shared" si="400"/>
        <v>166.93128977456689</v>
      </c>
      <c r="AW600" s="163">
        <f t="shared" si="379"/>
        <v>7075.3355033612861</v>
      </c>
      <c r="AX600" s="163">
        <f t="shared" si="380"/>
        <v>0</v>
      </c>
      <c r="AY600" s="165">
        <f t="shared" si="401"/>
        <v>47355.25161437229</v>
      </c>
      <c r="AZ600" s="164">
        <f>IF($E600="","",IF(OR(AND($D600=Input!$C$6,$C600=12),$AN600=1),0,-AS601+AT601+AU601-AV601-AW601-AX601+AZ601))</f>
        <v>47355.297504655464</v>
      </c>
      <c r="BA600" s="154">
        <f t="shared" si="381"/>
        <v>4.5890283174230717E-2</v>
      </c>
      <c r="BC600" s="147">
        <f t="shared" si="402"/>
        <v>1.9999617274516972E-5</v>
      </c>
      <c r="BD600" s="164">
        <f>IF(AND($C599=12,$D599=Input!$C$6),0,IF($E600="","",AT600+(AU600+BD601)/(1+$AK600)*MIN((1-AM600-AN600),1)))</f>
        <v>33657.098209722688</v>
      </c>
      <c r="BE600" s="164">
        <f t="shared" si="382"/>
        <v>0.67312908276528416</v>
      </c>
      <c r="BF600" s="164">
        <f t="shared" si="403"/>
        <v>47355.297504655464</v>
      </c>
      <c r="BG600" s="164">
        <f t="shared" si="383"/>
        <v>0.94708782601399788</v>
      </c>
      <c r="BH600" s="152"/>
      <c r="BI600" s="162">
        <f t="shared" si="384"/>
        <v>14146.056764686136</v>
      </c>
      <c r="BJ600" s="150">
        <f t="shared" si="385"/>
        <v>0</v>
      </c>
      <c r="BK600" s="163">
        <f t="shared" si="407"/>
        <v>0</v>
      </c>
      <c r="BL600" s="163">
        <f t="shared" si="386"/>
        <v>5456.1474392132322</v>
      </c>
      <c r="BM600" s="163">
        <f t="shared" si="408"/>
        <v>44.168135275462376</v>
      </c>
      <c r="BN600" s="163">
        <f t="shared" si="387"/>
        <v>504.04679131786872</v>
      </c>
      <c r="BO600" s="163">
        <f t="shared" si="388"/>
        <v>0</v>
      </c>
      <c r="BP600" s="164">
        <f t="shared" si="409"/>
        <v>9238.1242520662363</v>
      </c>
      <c r="BQ600" s="164">
        <f>IF($E600="","",IF(AND($D600=Input!$C$6,$C600=12),0,-BJ601+BK601+BL601-BM601-BN601-BO601+BQ601))</f>
        <v>9238.1446237191758</v>
      </c>
      <c r="BR600" s="161">
        <f t="shared" si="389"/>
        <v>0</v>
      </c>
      <c r="BT600" s="147">
        <f t="shared" si="390"/>
        <v>1.9999617274516972E-5</v>
      </c>
      <c r="BU600" s="164">
        <f>IF(AND($C599=12,$D599=Input!$C$6),0,IF($E600="","",BK600+(BL600+BU601)/(1+$AK600)*MIN((1-T600-U600),1)))</f>
        <v>76627.508742291306</v>
      </c>
      <c r="BV600" s="164">
        <f t="shared" si="391"/>
        <v>1.5325208475455294</v>
      </c>
      <c r="BW600" s="164">
        <f t="shared" si="392"/>
        <v>9238.1446237191758</v>
      </c>
      <c r="BX600" s="164">
        <f t="shared" si="393"/>
        <v>0.18475935680102012</v>
      </c>
    </row>
    <row r="601" spans="1:76" s="150" customFormat="1" x14ac:dyDescent="0.25">
      <c r="A601" s="150">
        <f t="shared" si="404"/>
        <v>597</v>
      </c>
      <c r="B601" s="150">
        <f t="shared" si="405"/>
        <v>50</v>
      </c>
      <c r="C601" s="150">
        <f t="shared" si="406"/>
        <v>9</v>
      </c>
      <c r="D601" s="150">
        <f>IF(E601="","",Input!$C$4+B601-1)</f>
        <v>94</v>
      </c>
      <c r="E601" s="150">
        <f>IF(OR(AND(C600=12,D600=Input!$C$6),E600=""),"",1)</f>
        <v>1</v>
      </c>
      <c r="F601" s="150">
        <f>IF(E601="","",Input!$C$8+B601-1)</f>
        <v>2067</v>
      </c>
      <c r="G601" s="151">
        <f>IF(E601="","",MAX(0,Input!$C$9-B601))</f>
        <v>0</v>
      </c>
      <c r="H601" s="152">
        <f>IF(E601="","",Input!$C$3)</f>
        <v>100000</v>
      </c>
      <c r="I601" s="153">
        <f>IF(E601="","",HLOOKUP($B601,Input!$C$13:$BT$14,2))</f>
        <v>559.48200000000008</v>
      </c>
      <c r="J601" s="154"/>
      <c r="K601" s="155">
        <f>IF($E601="","",INDEX(Input!$C$16:$CP$16,1,$B601))</f>
        <v>3.2419999999999997E-2</v>
      </c>
      <c r="L601" s="155">
        <f>IF($E601="","",Input!$C$37)</f>
        <v>1.4999999999999999E-2</v>
      </c>
      <c r="M601" s="155">
        <f t="shared" si="369"/>
        <v>4.7419999999999997E-2</v>
      </c>
      <c r="N601" s="155">
        <f t="shared" si="370"/>
        <v>3.8682957490023817E-3</v>
      </c>
      <c r="O601" s="147">
        <f>IF($E601="","",MIN(VLOOKUP(IF($B601&lt;=Input!$C$7,$B601,26),'Mortality Tables'!$A$41:$CW$67,IF($B601&lt;=Input!$C$7+1,Input!$C$4+2,$D601-Input!$C$7+2),0)*IF(B601&gt;20,Input!$C$22,1)/1000,1))</f>
        <v>0.62637520000000002</v>
      </c>
      <c r="P601" s="147">
        <f>IF($E601="","",MIN(VLOOKUP(IF($B601&lt;=Input!$C$7,$B601,26),'Mortality Tables'!$A$12:$CW$37,IF($B601&lt;=Input!$C$7+1,Input!$C$4+2,$D601-Input!$C$7+2),0)*IF(B601&gt;20,Input!$C$22,1)/1000,1))</f>
        <v>0.78296900000000003</v>
      </c>
      <c r="Q601" s="155">
        <f>IF($E601="","",Input!$C$21)</f>
        <v>5.0000000000000001E-3</v>
      </c>
      <c r="R601" s="159">
        <f>IF($E601="","",(1-Q601)^($F601-Input!$C$20))</f>
        <v>0.78222367544587168</v>
      </c>
      <c r="S601" s="147">
        <f t="shared" si="372"/>
        <v>0.48996551115214299</v>
      </c>
      <c r="T601" s="147">
        <f t="shared" si="373"/>
        <v>5.4561474392132325E-2</v>
      </c>
      <c r="U601" s="160">
        <f>IF($E601="","",IF($C601=12,INDEX(Input!$C$15:$CP$15,1,$B601),0))</f>
        <v>0</v>
      </c>
      <c r="V601" s="150">
        <f>IF(E601="","",IF(C601=1,IF($B601=1,Input!$C$33,Input!$C$34),0))</f>
        <v>0</v>
      </c>
      <c r="W601" s="156">
        <f>IF($E601="","",Input!$C$35)</f>
        <v>0.02</v>
      </c>
      <c r="X601" s="156">
        <f t="shared" si="371"/>
        <v>2.6388117932094191</v>
      </c>
      <c r="Y601" s="154"/>
      <c r="Z601" s="147">
        <f>IF($E601="","",VLOOKUP($D601,'Mortality Margins &amp; Grading'!$AB$5:$AF$125,3,0)*IF(Summary!$D$25="Included Margin",IF(AND($B601&gt;Input!$C$9,Summary!$D$31&lt;&gt;"Included Margin"),0,1),0))</f>
        <v>1.7999999999999999E-2</v>
      </c>
      <c r="AA601" s="147">
        <f>IF($E601="","",VLOOKUP($D601,'Mortality Margins &amp; Grading'!$AB$5:$AF$125,5,0)*IF(Summary!$D$25="Included Margin",IF(AND($B601&gt;Input!$C$9,Summary!$D$31&lt;&gt;"Included Margin"),0,1),0))</f>
        <v>9.4E-2</v>
      </c>
      <c r="AB601" s="147">
        <f>IF($E601="","",IF(AND($B601&gt;Input!$C$9,Summary!$D$31&lt;&gt;"Included Margin"),1,IF(Summary!$D$25="Included Margin",VLOOKUP($B601,'Mortality Margins &amp; Grading'!$AI$5:$AR$125,MATCH('Mortality Margins &amp; Grading'!$AQ$4,'Mortality Margins &amp; Grading'!$AI$4:$AR$4,0),0),1)))</f>
        <v>0</v>
      </c>
      <c r="AC601" s="154"/>
      <c r="AD601" s="158">
        <f>IF(E601="","",Input!$C$48*IF(Summary!$D$30="Included Margin",IF(AND($B601&gt;Input!$C$9,Summary!$D$31&lt;&gt;"Included Margin"),0,1),0))</f>
        <v>-4.4999999999999997E-3</v>
      </c>
      <c r="AE601" s="159">
        <f>IF(E601="","",IF(Summary!$D$26="Included Margin",IF(AND($B601&gt;Input!$C$9,Summary!$D$31&lt;&gt;"Included Margin"),1,1/$R601),1))</f>
        <v>1.2784067158667816</v>
      </c>
      <c r="AF601" s="160">
        <f>IF(E601="","",IF(AND($B601&gt;=Input!$C$9,$C601=12,Summary!$D$31="Included Margin",$U601&gt;0),1/U601-1,IF($B601&gt;=Input!$C$9,0,Input!$C$45*IF(Summary!$D$27="Included Margin",1,0))))</f>
        <v>0</v>
      </c>
      <c r="AG601" s="160">
        <f>IF(E601="","",Input!$C$46*IF(Summary!$D$28="Included Margin",IF(AND($B601&gt;Input!$C$9,Summary!$D$31&lt;&gt;"Included Margin"),0,1),0))</f>
        <v>0.02</v>
      </c>
      <c r="AH601" s="158">
        <f>IF(E601="","",Input!$C$47*IF(Summary!$D$29="Included Margin",IF(AND($B601&gt;Input!$C$9,Summary!$D$31&lt;&gt;"Included Margin"),0,1),0))</f>
        <v>2.5000000000000001E-3</v>
      </c>
      <c r="AI601" s="154"/>
      <c r="AJ601" s="158">
        <f t="shared" si="394"/>
        <v>4.292E-2</v>
      </c>
      <c r="AK601" s="155">
        <f t="shared" si="395"/>
        <v>3.5081785754007555E-3</v>
      </c>
      <c r="AL601" s="147">
        <f t="shared" si="396"/>
        <v>0.85656808600000023</v>
      </c>
      <c r="AM601" s="147">
        <f t="shared" si="374"/>
        <v>0.14940958828662654</v>
      </c>
      <c r="AN601" s="160">
        <f t="shared" si="397"/>
        <v>0</v>
      </c>
      <c r="AO601" s="161">
        <f t="shared" si="398"/>
        <v>0</v>
      </c>
      <c r="AP601" s="156">
        <f t="shared" si="375"/>
        <v>2.9751065033618418</v>
      </c>
      <c r="AQ601" s="152"/>
      <c r="AR601" s="162">
        <f t="shared" si="376"/>
        <v>47355.25161437229</v>
      </c>
      <c r="AS601" s="150">
        <f t="shared" si="399"/>
        <v>0</v>
      </c>
      <c r="AT601" s="163">
        <f t="shared" si="377"/>
        <v>0</v>
      </c>
      <c r="AU601" s="163">
        <f t="shared" si="378"/>
        <v>14940.958828662653</v>
      </c>
      <c r="AV601" s="163">
        <f t="shared" si="400"/>
        <v>139.92290331692337</v>
      </c>
      <c r="AW601" s="163">
        <f t="shared" si="379"/>
        <v>5718.2855021164114</v>
      </c>
      <c r="AX601" s="163">
        <f t="shared" si="380"/>
        <v>0</v>
      </c>
      <c r="AY601" s="164">
        <f t="shared" si="401"/>
        <v>38272.501191142976</v>
      </c>
      <c r="AZ601" s="164">
        <f>IF($E601="","",IF(OR(AND($D601=Input!$C$6,$C601=12),$AN601=1),0,-AS602+AT602+AU602-AV602-AW602-AX602+AZ602))</f>
        <v>38272.54708142615</v>
      </c>
      <c r="BA601" s="154">
        <f t="shared" si="381"/>
        <v>4.5890283174230717E-2</v>
      </c>
      <c r="BC601" s="147">
        <f t="shared" si="402"/>
        <v>1.8908408668740967E-5</v>
      </c>
      <c r="BD601" s="164">
        <f>IF(AND($C600=12,$D600=Input!$C$6),0,IF($E601="","",AT601+(AU601+BD602)/(1+$AK601)*MIN((1-AM601-AN601),1)))</f>
        <v>24766.957996472618</v>
      </c>
      <c r="BE601" s="164">
        <f t="shared" si="382"/>
        <v>0.46830376327884626</v>
      </c>
      <c r="BF601" s="164">
        <f t="shared" si="403"/>
        <v>38272.54708142615</v>
      </c>
      <c r="BG601" s="164">
        <f t="shared" si="383"/>
        <v>0.72367296100923506</v>
      </c>
      <c r="BH601" s="152"/>
      <c r="BI601" s="162">
        <f t="shared" si="384"/>
        <v>9238.1242520662345</v>
      </c>
      <c r="BJ601" s="150">
        <f t="shared" si="385"/>
        <v>0</v>
      </c>
      <c r="BK601" s="163">
        <f t="shared" si="407"/>
        <v>0</v>
      </c>
      <c r="BL601" s="163">
        <f t="shared" si="386"/>
        <v>5456.1474392132322</v>
      </c>
      <c r="BM601" s="163">
        <f t="shared" si="408"/>
        <v>25.182800800504232</v>
      </c>
      <c r="BN601" s="163">
        <f t="shared" si="387"/>
        <v>219.71323110720485</v>
      </c>
      <c r="BO601" s="163">
        <f t="shared" si="388"/>
        <v>0</v>
      </c>
      <c r="BP601" s="164">
        <f t="shared" si="409"/>
        <v>4026.8728447607114</v>
      </c>
      <c r="BQ601" s="164">
        <f>IF($E601="","",IF(AND($D601=Input!$C$6,$C601=12),0,-BJ602+BK602+BL602-BM602-BN602-BO602+BQ602))</f>
        <v>4026.8932164136522</v>
      </c>
      <c r="BR601" s="161">
        <f t="shared" si="389"/>
        <v>0</v>
      </c>
      <c r="BT601" s="147">
        <f t="shared" si="390"/>
        <v>1.8908408668740967E-5</v>
      </c>
      <c r="BU601" s="164">
        <f>IF(AND($C600=12,$D600=Input!$C$6),0,IF($E601="","",BK601+(BL601+BU602)/(1+$AK601)*MIN((1-T601-U601),1)))</f>
        <v>75877.889247420637</v>
      </c>
      <c r="BV601" s="164">
        <f t="shared" si="391"/>
        <v>1.4347301388116953</v>
      </c>
      <c r="BW601" s="164">
        <f t="shared" si="392"/>
        <v>4026.8932164136522</v>
      </c>
      <c r="BX601" s="164">
        <f t="shared" si="393"/>
        <v>7.6142142601330093E-2</v>
      </c>
    </row>
    <row r="602" spans="1:76" s="150" customFormat="1" x14ac:dyDescent="0.25">
      <c r="A602" s="150">
        <f t="shared" si="404"/>
        <v>598</v>
      </c>
      <c r="B602" s="150">
        <f t="shared" si="405"/>
        <v>50</v>
      </c>
      <c r="C602" s="150">
        <f t="shared" si="406"/>
        <v>10</v>
      </c>
      <c r="D602" s="150">
        <f>IF(E602="","",Input!$C$4+B602-1)</f>
        <v>94</v>
      </c>
      <c r="E602" s="150">
        <f>IF(OR(AND(C601=12,D601=Input!$C$6),E601=""),"",1)</f>
        <v>1</v>
      </c>
      <c r="F602" s="150">
        <f>IF(E602="","",Input!$C$8+B602-1)</f>
        <v>2067</v>
      </c>
      <c r="G602" s="151">
        <f>IF(E602="","",MAX(0,Input!$C$9-B602))</f>
        <v>0</v>
      </c>
      <c r="H602" s="152">
        <f>IF(E602="","",Input!$C$3)</f>
        <v>100000</v>
      </c>
      <c r="I602" s="153">
        <f>IF(E602="","",HLOOKUP($B602,Input!$C$13:$BT$14,2))</f>
        <v>559.48200000000008</v>
      </c>
      <c r="J602" s="154"/>
      <c r="K602" s="155">
        <f>IF($E602="","",INDEX(Input!$C$16:$CP$16,1,$B602))</f>
        <v>3.2419999999999997E-2</v>
      </c>
      <c r="L602" s="155">
        <f>IF($E602="","",Input!$C$37)</f>
        <v>1.4999999999999999E-2</v>
      </c>
      <c r="M602" s="155">
        <f t="shared" si="369"/>
        <v>4.7419999999999997E-2</v>
      </c>
      <c r="N602" s="155">
        <f t="shared" si="370"/>
        <v>3.8682957490023817E-3</v>
      </c>
      <c r="O602" s="147">
        <f>IF($E602="","",MIN(VLOOKUP(IF($B602&lt;=Input!$C$7,$B602,26),'Mortality Tables'!$A$41:$CW$67,IF($B602&lt;=Input!$C$7+1,Input!$C$4+2,$D602-Input!$C$7+2),0)*IF(B602&gt;20,Input!$C$22,1)/1000,1))</f>
        <v>0.62637520000000002</v>
      </c>
      <c r="P602" s="147">
        <f>IF($E602="","",MIN(VLOOKUP(IF($B602&lt;=Input!$C$7,$B602,26),'Mortality Tables'!$A$12:$CW$37,IF($B602&lt;=Input!$C$7+1,Input!$C$4+2,$D602-Input!$C$7+2),0)*IF(B602&gt;20,Input!$C$22,1)/1000,1))</f>
        <v>0.78296900000000003</v>
      </c>
      <c r="Q602" s="155">
        <f>IF($E602="","",Input!$C$21)</f>
        <v>5.0000000000000001E-3</v>
      </c>
      <c r="R602" s="159">
        <f>IF($E602="","",(1-Q602)^($F602-Input!$C$20))</f>
        <v>0.78222367544587168</v>
      </c>
      <c r="S602" s="147">
        <f t="shared" si="372"/>
        <v>0.48996551115214299</v>
      </c>
      <c r="T602" s="147">
        <f t="shared" si="373"/>
        <v>5.4561474392132325E-2</v>
      </c>
      <c r="U602" s="160">
        <f>IF($E602="","",IF($C602=12,INDEX(Input!$C$15:$CP$15,1,$B602),0))</f>
        <v>0</v>
      </c>
      <c r="V602" s="150">
        <f>IF(E602="","",IF(C602=1,IF($B602=1,Input!$C$33,Input!$C$34),0))</f>
        <v>0</v>
      </c>
      <c r="W602" s="156">
        <f>IF($E602="","",Input!$C$35)</f>
        <v>0.02</v>
      </c>
      <c r="X602" s="156">
        <f t="shared" si="371"/>
        <v>2.6388117932094191</v>
      </c>
      <c r="Y602" s="154"/>
      <c r="Z602" s="147">
        <f>IF($E602="","",VLOOKUP($D602,'Mortality Margins &amp; Grading'!$AB$5:$AF$125,3,0)*IF(Summary!$D$25="Included Margin",IF(AND($B602&gt;Input!$C$9,Summary!$D$31&lt;&gt;"Included Margin"),0,1),0))</f>
        <v>1.7999999999999999E-2</v>
      </c>
      <c r="AA602" s="147">
        <f>IF($E602="","",VLOOKUP($D602,'Mortality Margins &amp; Grading'!$AB$5:$AF$125,5,0)*IF(Summary!$D$25="Included Margin",IF(AND($B602&gt;Input!$C$9,Summary!$D$31&lt;&gt;"Included Margin"),0,1),0))</f>
        <v>9.4E-2</v>
      </c>
      <c r="AB602" s="147">
        <f>IF($E602="","",IF(AND($B602&gt;Input!$C$9,Summary!$D$31&lt;&gt;"Included Margin"),1,IF(Summary!$D$25="Included Margin",VLOOKUP($B602,'Mortality Margins &amp; Grading'!$AI$5:$AR$125,MATCH('Mortality Margins &amp; Grading'!$AQ$4,'Mortality Margins &amp; Grading'!$AI$4:$AR$4,0),0),1)))</f>
        <v>0</v>
      </c>
      <c r="AC602" s="154"/>
      <c r="AD602" s="158">
        <f>IF(E602="","",Input!$C$48*IF(Summary!$D$30="Included Margin",IF(AND($B602&gt;Input!$C$9,Summary!$D$31&lt;&gt;"Included Margin"),0,1),0))</f>
        <v>-4.4999999999999997E-3</v>
      </c>
      <c r="AE602" s="159">
        <f>IF(E602="","",IF(Summary!$D$26="Included Margin",IF(AND($B602&gt;Input!$C$9,Summary!$D$31&lt;&gt;"Included Margin"),1,1/$R602),1))</f>
        <v>1.2784067158667816</v>
      </c>
      <c r="AF602" s="160">
        <f>IF(E602="","",IF(AND($B602&gt;=Input!$C$9,$C602=12,Summary!$D$31="Included Margin",$U602&gt;0),1/U602-1,IF($B602&gt;=Input!$C$9,0,Input!$C$45*IF(Summary!$D$27="Included Margin",1,0))))</f>
        <v>0</v>
      </c>
      <c r="AG602" s="160">
        <f>IF(E602="","",Input!$C$46*IF(Summary!$D$28="Included Margin",IF(AND($B602&gt;Input!$C$9,Summary!$D$31&lt;&gt;"Included Margin"),0,1),0))</f>
        <v>0.02</v>
      </c>
      <c r="AH602" s="158">
        <f>IF(E602="","",Input!$C$47*IF(Summary!$D$29="Included Margin",IF(AND($B602&gt;Input!$C$9,Summary!$D$31&lt;&gt;"Included Margin"),0,1),0))</f>
        <v>2.5000000000000001E-3</v>
      </c>
      <c r="AI602" s="154"/>
      <c r="AJ602" s="158">
        <f t="shared" si="394"/>
        <v>4.292E-2</v>
      </c>
      <c r="AK602" s="155">
        <f t="shared" si="395"/>
        <v>3.5081785754007555E-3</v>
      </c>
      <c r="AL602" s="147">
        <f t="shared" si="396"/>
        <v>0.85656808600000023</v>
      </c>
      <c r="AM602" s="147">
        <f t="shared" si="374"/>
        <v>0.14940958828662654</v>
      </c>
      <c r="AN602" s="160">
        <f t="shared" si="397"/>
        <v>0</v>
      </c>
      <c r="AO602" s="161">
        <f t="shared" si="398"/>
        <v>0</v>
      </c>
      <c r="AP602" s="156">
        <f t="shared" si="375"/>
        <v>2.9751065033618418</v>
      </c>
      <c r="AQ602" s="152"/>
      <c r="AR602" s="162">
        <f t="shared" si="376"/>
        <v>38272.501191142968</v>
      </c>
      <c r="AS602" s="150">
        <f t="shared" si="399"/>
        <v>0</v>
      </c>
      <c r="AT602" s="163">
        <f t="shared" si="377"/>
        <v>0</v>
      </c>
      <c r="AU602" s="163">
        <f t="shared" si="378"/>
        <v>14940.958828662653</v>
      </c>
      <c r="AV602" s="163">
        <f t="shared" si="400"/>
        <v>108.05899287643811</v>
      </c>
      <c r="AW602" s="163">
        <f t="shared" si="379"/>
        <v>4117.2672491104222</v>
      </c>
      <c r="AX602" s="163">
        <f t="shared" si="380"/>
        <v>0</v>
      </c>
      <c r="AY602" s="165">
        <f t="shared" si="401"/>
        <v>27556.868604467178</v>
      </c>
      <c r="AZ602" s="164">
        <f>IF($E602="","",IF(OR(AND($D602=Input!$C$6,$C602=12),$AN602=1),0,-AS603+AT603+AU603-AV603-AW603-AX603+AZ603))</f>
        <v>27556.914494750356</v>
      </c>
      <c r="BA602" s="154">
        <f t="shared" si="381"/>
        <v>4.5890283177868696E-2</v>
      </c>
      <c r="BC602" s="147">
        <f t="shared" si="402"/>
        <v>1.7876738013365484E-5</v>
      </c>
      <c r="BD602" s="164">
        <f>IF(AND($C601=12,$D601=Input!$C$6),0,IF($E602="","",AT602+(AU602+BD603)/(1+$AK602)*MIN((1-AM602-AN602),1)))</f>
        <v>14278.562771433615</v>
      </c>
      <c r="BE602" s="164">
        <f t="shared" si="382"/>
        <v>0.2552541258723125</v>
      </c>
      <c r="BF602" s="164">
        <f t="shared" si="403"/>
        <v>27556.914494750356</v>
      </c>
      <c r="BG602" s="164">
        <f t="shared" si="383"/>
        <v>0.49262774087936595</v>
      </c>
      <c r="BH602" s="152"/>
      <c r="BI602" s="162">
        <f t="shared" si="384"/>
        <v>4026.8728447607118</v>
      </c>
      <c r="BJ602" s="150">
        <f t="shared" si="385"/>
        <v>0</v>
      </c>
      <c r="BK602" s="163">
        <f t="shared" si="407"/>
        <v>0</v>
      </c>
      <c r="BL602" s="163">
        <f t="shared" si="386"/>
        <v>5456.1474392132322</v>
      </c>
      <c r="BM602" s="163">
        <f t="shared" si="408"/>
        <v>5.0241391346416009</v>
      </c>
      <c r="BN602" s="163">
        <f t="shared" si="387"/>
        <v>-82.192645141498488</v>
      </c>
      <c r="BO602" s="163">
        <f t="shared" si="388"/>
        <v>0</v>
      </c>
      <c r="BP602" s="164">
        <f t="shared" si="409"/>
        <v>-1506.4431004593773</v>
      </c>
      <c r="BQ602" s="164">
        <f>IF($E602="","",IF(AND($D602=Input!$C$6,$C602=12),0,-BJ603+BK603+BL603-BM603-BN603-BO603+BQ603))</f>
        <v>-1506.4227288064367</v>
      </c>
      <c r="BR602" s="161">
        <f t="shared" si="389"/>
        <v>0</v>
      </c>
      <c r="BT602" s="147">
        <f t="shared" si="390"/>
        <v>1.7876738013365484E-5</v>
      </c>
      <c r="BU602" s="164">
        <f>IF(AND($C601=12,$D601=Input!$C$6),0,IF($E602="","",BK602+(BL602+BU603)/(1+$AK602)*MIN((1-T602-U602),1)))</f>
        <v>75082.227474024403</v>
      </c>
      <c r="BV602" s="164">
        <f t="shared" si="391"/>
        <v>1.3422253100130463</v>
      </c>
      <c r="BW602" s="164">
        <f t="shared" si="392"/>
        <v>-1506.4227288064367</v>
      </c>
      <c r="BX602" s="164">
        <f t="shared" si="393"/>
        <v>-2.6929924460251789E-2</v>
      </c>
    </row>
    <row r="603" spans="1:76" s="150" customFormat="1" x14ac:dyDescent="0.25">
      <c r="A603" s="150">
        <f t="shared" si="404"/>
        <v>599</v>
      </c>
      <c r="B603" s="150">
        <f t="shared" si="405"/>
        <v>50</v>
      </c>
      <c r="C603" s="150">
        <f t="shared" si="406"/>
        <v>11</v>
      </c>
      <c r="D603" s="150">
        <f>IF(E603="","",Input!$C$4+B603-1)</f>
        <v>94</v>
      </c>
      <c r="E603" s="150">
        <f>IF(OR(AND(C602=12,D602=Input!$C$6),E602=""),"",1)</f>
        <v>1</v>
      </c>
      <c r="F603" s="150">
        <f>IF(E603="","",Input!$C$8+B603-1)</f>
        <v>2067</v>
      </c>
      <c r="G603" s="151">
        <f>IF(E603="","",MAX(0,Input!$C$9-B603))</f>
        <v>0</v>
      </c>
      <c r="H603" s="152">
        <f>IF(E603="","",Input!$C$3)</f>
        <v>100000</v>
      </c>
      <c r="I603" s="153">
        <f>IF(E603="","",HLOOKUP($B603,Input!$C$13:$BT$14,2))</f>
        <v>559.48200000000008</v>
      </c>
      <c r="J603" s="154"/>
      <c r="K603" s="155">
        <f>IF($E603="","",INDEX(Input!$C$16:$CP$16,1,$B603))</f>
        <v>3.2419999999999997E-2</v>
      </c>
      <c r="L603" s="155">
        <f>IF($E603="","",Input!$C$37)</f>
        <v>1.4999999999999999E-2</v>
      </c>
      <c r="M603" s="155">
        <f t="shared" si="369"/>
        <v>4.7419999999999997E-2</v>
      </c>
      <c r="N603" s="155">
        <f t="shared" si="370"/>
        <v>3.8682957490023817E-3</v>
      </c>
      <c r="O603" s="147">
        <f>IF($E603="","",MIN(VLOOKUP(IF($B603&lt;=Input!$C$7,$B603,26),'Mortality Tables'!$A$41:$CW$67,IF($B603&lt;=Input!$C$7+1,Input!$C$4+2,$D603-Input!$C$7+2),0)*IF(B603&gt;20,Input!$C$22,1)/1000,1))</f>
        <v>0.62637520000000002</v>
      </c>
      <c r="P603" s="147">
        <f>IF($E603="","",MIN(VLOOKUP(IF($B603&lt;=Input!$C$7,$B603,26),'Mortality Tables'!$A$12:$CW$37,IF($B603&lt;=Input!$C$7+1,Input!$C$4+2,$D603-Input!$C$7+2),0)*IF(B603&gt;20,Input!$C$22,1)/1000,1))</f>
        <v>0.78296900000000003</v>
      </c>
      <c r="Q603" s="155">
        <f>IF($E603="","",Input!$C$21)</f>
        <v>5.0000000000000001E-3</v>
      </c>
      <c r="R603" s="159">
        <f>IF($E603="","",(1-Q603)^($F603-Input!$C$20))</f>
        <v>0.78222367544587168</v>
      </c>
      <c r="S603" s="147">
        <f t="shared" si="372"/>
        <v>0.48996551115214299</v>
      </c>
      <c r="T603" s="147">
        <f t="shared" si="373"/>
        <v>5.4561474392132325E-2</v>
      </c>
      <c r="U603" s="160">
        <f>IF($E603="","",IF($C603=12,INDEX(Input!$C$15:$CP$15,1,$B603),0))</f>
        <v>0</v>
      </c>
      <c r="V603" s="150">
        <f>IF(E603="","",IF(C603=1,IF($B603=1,Input!$C$33,Input!$C$34),0))</f>
        <v>0</v>
      </c>
      <c r="W603" s="156">
        <f>IF($E603="","",Input!$C$35)</f>
        <v>0.02</v>
      </c>
      <c r="X603" s="156">
        <f t="shared" si="371"/>
        <v>2.6388117932094191</v>
      </c>
      <c r="Y603" s="154"/>
      <c r="Z603" s="147">
        <f>IF($E603="","",VLOOKUP($D603,'Mortality Margins &amp; Grading'!$AB$5:$AF$125,3,0)*IF(Summary!$D$25="Included Margin",IF(AND($B603&gt;Input!$C$9,Summary!$D$31&lt;&gt;"Included Margin"),0,1),0))</f>
        <v>1.7999999999999999E-2</v>
      </c>
      <c r="AA603" s="147">
        <f>IF($E603="","",VLOOKUP($D603,'Mortality Margins &amp; Grading'!$AB$5:$AF$125,5,0)*IF(Summary!$D$25="Included Margin",IF(AND($B603&gt;Input!$C$9,Summary!$D$31&lt;&gt;"Included Margin"),0,1),0))</f>
        <v>9.4E-2</v>
      </c>
      <c r="AB603" s="147">
        <f>IF($E603="","",IF(AND($B603&gt;Input!$C$9,Summary!$D$31&lt;&gt;"Included Margin"),1,IF(Summary!$D$25="Included Margin",VLOOKUP($B603,'Mortality Margins &amp; Grading'!$AI$5:$AR$125,MATCH('Mortality Margins &amp; Grading'!$AQ$4,'Mortality Margins &amp; Grading'!$AI$4:$AR$4,0),0),1)))</f>
        <v>0</v>
      </c>
      <c r="AC603" s="154"/>
      <c r="AD603" s="158">
        <f>IF(E603="","",Input!$C$48*IF(Summary!$D$30="Included Margin",IF(AND($B603&gt;Input!$C$9,Summary!$D$31&lt;&gt;"Included Margin"),0,1),0))</f>
        <v>-4.4999999999999997E-3</v>
      </c>
      <c r="AE603" s="159">
        <f>IF(E603="","",IF(Summary!$D$26="Included Margin",IF(AND($B603&gt;Input!$C$9,Summary!$D$31&lt;&gt;"Included Margin"),1,1/$R603),1))</f>
        <v>1.2784067158667816</v>
      </c>
      <c r="AF603" s="160">
        <f>IF(E603="","",IF(AND($B603&gt;=Input!$C$9,$C603=12,Summary!$D$31="Included Margin",$U603&gt;0),1/U603-1,IF($B603&gt;=Input!$C$9,0,Input!$C$45*IF(Summary!$D$27="Included Margin",1,0))))</f>
        <v>0</v>
      </c>
      <c r="AG603" s="160">
        <f>IF(E603="","",Input!$C$46*IF(Summary!$D$28="Included Margin",IF(AND($B603&gt;Input!$C$9,Summary!$D$31&lt;&gt;"Included Margin"),0,1),0))</f>
        <v>0.02</v>
      </c>
      <c r="AH603" s="158">
        <f>IF(E603="","",Input!$C$47*IF(Summary!$D$29="Included Margin",IF(AND($B603&gt;Input!$C$9,Summary!$D$31&lt;&gt;"Included Margin"),0,1),0))</f>
        <v>2.5000000000000001E-3</v>
      </c>
      <c r="AI603" s="154"/>
      <c r="AJ603" s="158">
        <f t="shared" si="394"/>
        <v>4.292E-2</v>
      </c>
      <c r="AK603" s="155">
        <f t="shared" si="395"/>
        <v>3.5081785754007555E-3</v>
      </c>
      <c r="AL603" s="147">
        <f t="shared" si="396"/>
        <v>0.85656808600000023</v>
      </c>
      <c r="AM603" s="147">
        <f t="shared" si="374"/>
        <v>0.14940958828662654</v>
      </c>
      <c r="AN603" s="160">
        <f t="shared" si="397"/>
        <v>0</v>
      </c>
      <c r="AO603" s="161">
        <f t="shared" si="398"/>
        <v>0</v>
      </c>
      <c r="AP603" s="156">
        <f t="shared" si="375"/>
        <v>2.9751065033618418</v>
      </c>
      <c r="AQ603" s="152"/>
      <c r="AR603" s="162">
        <f t="shared" si="376"/>
        <v>27556.868604467174</v>
      </c>
      <c r="AS603" s="150">
        <f t="shared" si="399"/>
        <v>0</v>
      </c>
      <c r="AT603" s="163">
        <f t="shared" si="377"/>
        <v>0</v>
      </c>
      <c r="AU603" s="163">
        <f t="shared" si="378"/>
        <v>14940.958828662653</v>
      </c>
      <c r="AV603" s="163">
        <f t="shared" si="400"/>
        <v>70.466640213995916</v>
      </c>
      <c r="AW603" s="163">
        <f t="shared" si="379"/>
        <v>2228.4205270979901</v>
      </c>
      <c r="AX603" s="163">
        <f t="shared" si="380"/>
        <v>0</v>
      </c>
      <c r="AY603" s="164">
        <f t="shared" si="401"/>
        <v>14914.796943116507</v>
      </c>
      <c r="AZ603" s="164">
        <f>IF($E603="","",IF(OR(AND($D603=Input!$C$6,$C603=12),$AN603=1),0,-AS604+AT604+AU604-AV604-AW604-AX604+AZ604))</f>
        <v>14914.842833399689</v>
      </c>
      <c r="BA603" s="154">
        <f t="shared" si="381"/>
        <v>4.5890283181506675E-2</v>
      </c>
      <c r="BC603" s="147">
        <f t="shared" si="402"/>
        <v>1.6901356830034385E-5</v>
      </c>
      <c r="BD603" s="164">
        <f>IF(AND($C602=12,$D602=Input!$C$6),0,IF($E603="","",AT603+(AU603+BD604)/(1+$AK603)*MIN((1-AM603-AN603),1)))</f>
        <v>1904.5808366307438</v>
      </c>
      <c r="BE603" s="164">
        <f t="shared" si="382"/>
        <v>3.2190000331541624E-2</v>
      </c>
      <c r="BF603" s="164">
        <f t="shared" si="403"/>
        <v>14914.842833399689</v>
      </c>
      <c r="BG603" s="164">
        <f t="shared" si="383"/>
        <v>0.25208108079116925</v>
      </c>
      <c r="BH603" s="152"/>
      <c r="BI603" s="162">
        <f t="shared" si="384"/>
        <v>-1506.4431004593771</v>
      </c>
      <c r="BJ603" s="150">
        <f t="shared" si="385"/>
        <v>0</v>
      </c>
      <c r="BK603" s="163">
        <f t="shared" si="407"/>
        <v>0</v>
      </c>
      <c r="BL603" s="163">
        <f t="shared" si="386"/>
        <v>5456.1474392132322</v>
      </c>
      <c r="BM603" s="163">
        <f t="shared" si="408"/>
        <v>-16.380363414140366</v>
      </c>
      <c r="BN603" s="163">
        <f t="shared" si="387"/>
        <v>-402.75683758493045</v>
      </c>
      <c r="BO603" s="163">
        <f t="shared" si="388"/>
        <v>0</v>
      </c>
      <c r="BP603" s="164">
        <f t="shared" si="409"/>
        <v>-7381.7277406716803</v>
      </c>
      <c r="BQ603" s="164">
        <f>IF($E603="","",IF(AND($D603=Input!$C$6,$C603=12),0,-BJ604+BK604+BL604-BM604-BN604-BO604+BQ604))</f>
        <v>-7381.7073690187399</v>
      </c>
      <c r="BR603" s="161">
        <f t="shared" si="389"/>
        <v>0</v>
      </c>
      <c r="BT603" s="147">
        <f t="shared" si="390"/>
        <v>1.6901356830034385E-5</v>
      </c>
      <c r="BU603" s="164">
        <f>IF(AND($C602=12,$D602=Input!$C$6),0,IF($E603="","",BK603+(BL603+BU604)/(1+$AK603)*MIN((1-T603-U603),1)))</f>
        <v>74237.695465484168</v>
      </c>
      <c r="BV603" s="164">
        <f t="shared" si="391"/>
        <v>1.2547177813015735</v>
      </c>
      <c r="BW603" s="164">
        <f t="shared" si="392"/>
        <v>-7381.7073690187399</v>
      </c>
      <c r="BX603" s="164">
        <f t="shared" si="393"/>
        <v>-0.12476087025868003</v>
      </c>
    </row>
    <row r="604" spans="1:76" s="150" customFormat="1" x14ac:dyDescent="0.25">
      <c r="A604" s="150">
        <f t="shared" si="404"/>
        <v>600</v>
      </c>
      <c r="B604" s="150">
        <f t="shared" si="405"/>
        <v>50</v>
      </c>
      <c r="C604" s="150">
        <f t="shared" si="406"/>
        <v>12</v>
      </c>
      <c r="D604" s="150">
        <f>IF(E604="","",Input!$C$4+B604-1)</f>
        <v>94</v>
      </c>
      <c r="E604" s="150">
        <f>IF(OR(AND(C603=12,D603=Input!$C$6),E603=""),"",1)</f>
        <v>1</v>
      </c>
      <c r="F604" s="150">
        <f>IF(E604="","",Input!$C$8+B604-1)</f>
        <v>2067</v>
      </c>
      <c r="G604" s="151">
        <f>IF(E604="","",MAX(0,Input!$C$9-B604))</f>
        <v>0</v>
      </c>
      <c r="H604" s="152">
        <f>IF(E604="","",Input!$C$3)</f>
        <v>100000</v>
      </c>
      <c r="I604" s="153">
        <f>IF(E604="","",HLOOKUP($B604,Input!$C$13:$BT$14,2))</f>
        <v>559.48200000000008</v>
      </c>
      <c r="J604" s="154"/>
      <c r="K604" s="155">
        <f>IF($E604="","",INDEX(Input!$C$16:$CP$16,1,$B604))</f>
        <v>3.2419999999999997E-2</v>
      </c>
      <c r="L604" s="155">
        <f>IF($E604="","",Input!$C$37)</f>
        <v>1.4999999999999999E-2</v>
      </c>
      <c r="M604" s="155">
        <f t="shared" si="369"/>
        <v>4.7419999999999997E-2</v>
      </c>
      <c r="N604" s="155">
        <f t="shared" si="370"/>
        <v>3.8682957490023817E-3</v>
      </c>
      <c r="O604" s="147">
        <f>IF($E604="","",MIN(VLOOKUP(IF($B604&lt;=Input!$C$7,$B604,26),'Mortality Tables'!$A$41:$CW$67,IF($B604&lt;=Input!$C$7+1,Input!$C$4+2,$D604-Input!$C$7+2),0)*IF(B604&gt;20,Input!$C$22,1)/1000,1))</f>
        <v>0.62637520000000002</v>
      </c>
      <c r="P604" s="147">
        <f>IF($E604="","",MIN(VLOOKUP(IF($B604&lt;=Input!$C$7,$B604,26),'Mortality Tables'!$A$12:$CW$37,IF($B604&lt;=Input!$C$7+1,Input!$C$4+2,$D604-Input!$C$7+2),0)*IF(B604&gt;20,Input!$C$22,1)/1000,1))</f>
        <v>0.78296900000000003</v>
      </c>
      <c r="Q604" s="155">
        <f>IF($E604="","",Input!$C$21)</f>
        <v>5.0000000000000001E-3</v>
      </c>
      <c r="R604" s="159">
        <f>IF($E604="","",(1-Q604)^($F604-Input!$C$20))</f>
        <v>0.78222367544587168</v>
      </c>
      <c r="S604" s="147">
        <f t="shared" si="372"/>
        <v>0.48996551115214299</v>
      </c>
      <c r="T604" s="147">
        <f t="shared" si="373"/>
        <v>5.4561474392132325E-2</v>
      </c>
      <c r="U604" s="160">
        <f>IF($E604="","",IF($C604=12,INDEX(Input!$C$15:$CP$15,1,$B604),0))</f>
        <v>0.1</v>
      </c>
      <c r="V604" s="150">
        <f>IF(E604="","",IF(C604=1,IF($B604=1,Input!$C$33,Input!$C$34),0))</f>
        <v>0</v>
      </c>
      <c r="W604" s="156">
        <f>IF($E604="","",Input!$C$35)</f>
        <v>0.02</v>
      </c>
      <c r="X604" s="156">
        <f t="shared" si="371"/>
        <v>2.6388117932094191</v>
      </c>
      <c r="Y604" s="154"/>
      <c r="Z604" s="147">
        <f>IF($E604="","",VLOOKUP($D604,'Mortality Margins &amp; Grading'!$AB$5:$AF$125,3,0)*IF(Summary!$D$25="Included Margin",IF(AND($B604&gt;Input!$C$9,Summary!$D$31&lt;&gt;"Included Margin"),0,1),0))</f>
        <v>1.7999999999999999E-2</v>
      </c>
      <c r="AA604" s="147">
        <f>IF($E604="","",VLOOKUP($D604,'Mortality Margins &amp; Grading'!$AB$5:$AF$125,5,0)*IF(Summary!$D$25="Included Margin",IF(AND($B604&gt;Input!$C$9,Summary!$D$31&lt;&gt;"Included Margin"),0,1),0))</f>
        <v>9.4E-2</v>
      </c>
      <c r="AB604" s="147">
        <f>IF($E604="","",IF(AND($B604&gt;Input!$C$9,Summary!$D$31&lt;&gt;"Included Margin"),1,IF(Summary!$D$25="Included Margin",VLOOKUP($B604,'Mortality Margins &amp; Grading'!$AI$5:$AR$125,MATCH('Mortality Margins &amp; Grading'!$AQ$4,'Mortality Margins &amp; Grading'!$AI$4:$AR$4,0),0),1)))</f>
        <v>0</v>
      </c>
      <c r="AC604" s="154"/>
      <c r="AD604" s="158">
        <f>IF(E604="","",Input!$C$48*IF(Summary!$D$30="Included Margin",IF(AND($B604&gt;Input!$C$9,Summary!$D$31&lt;&gt;"Included Margin"),0,1),0))</f>
        <v>-4.4999999999999997E-3</v>
      </c>
      <c r="AE604" s="159">
        <f>IF(E604="","",IF(Summary!$D$26="Included Margin",IF(AND($B604&gt;Input!$C$9,Summary!$D$31&lt;&gt;"Included Margin"),1,1/$R604),1))</f>
        <v>1.2784067158667816</v>
      </c>
      <c r="AF604" s="160">
        <f>IF(E604="","",IF(AND($B604&gt;=Input!$C$9,$C604=12,Summary!$D$31="Included Margin",$U604&gt;0),1/U604-1,IF($B604&gt;=Input!$C$9,0,Input!$C$45*IF(Summary!$D$27="Included Margin",1,0))))</f>
        <v>9</v>
      </c>
      <c r="AG604" s="160">
        <f>IF(E604="","",Input!$C$46*IF(Summary!$D$28="Included Margin",IF(AND($B604&gt;Input!$C$9,Summary!$D$31&lt;&gt;"Included Margin"),0,1),0))</f>
        <v>0.02</v>
      </c>
      <c r="AH604" s="158">
        <f>IF(E604="","",Input!$C$47*IF(Summary!$D$29="Included Margin",IF(AND($B604&gt;Input!$C$9,Summary!$D$31&lt;&gt;"Included Margin"),0,1),0))</f>
        <v>2.5000000000000001E-3</v>
      </c>
      <c r="AI604" s="154"/>
      <c r="AJ604" s="158">
        <f t="shared" si="394"/>
        <v>4.292E-2</v>
      </c>
      <c r="AK604" s="155">
        <f t="shared" si="395"/>
        <v>3.5081785754007555E-3</v>
      </c>
      <c r="AL604" s="147">
        <f t="shared" si="396"/>
        <v>0.85656808600000023</v>
      </c>
      <c r="AM604" s="147">
        <f t="shared" si="374"/>
        <v>0.14940958828662654</v>
      </c>
      <c r="AN604" s="160">
        <f t="shared" si="397"/>
        <v>1</v>
      </c>
      <c r="AO604" s="161">
        <f t="shared" si="398"/>
        <v>0</v>
      </c>
      <c r="AP604" s="156">
        <f t="shared" si="375"/>
        <v>2.9751065033618418</v>
      </c>
      <c r="AQ604" s="152"/>
      <c r="AR604" s="162">
        <f t="shared" si="376"/>
        <v>14914.796943116506</v>
      </c>
      <c r="AS604" s="150">
        <f t="shared" si="399"/>
        <v>0</v>
      </c>
      <c r="AT604" s="163">
        <f t="shared" si="377"/>
        <v>0</v>
      </c>
      <c r="AU604" s="163">
        <f t="shared" si="378"/>
        <v>14940.958828662653</v>
      </c>
      <c r="AV604" s="163">
        <f t="shared" si="400"/>
        <v>26.115995262964461</v>
      </c>
      <c r="AW604" s="163">
        <f t="shared" si="379"/>
        <v>0</v>
      </c>
      <c r="AX604" s="163">
        <f t="shared" si="380"/>
        <v>0</v>
      </c>
      <c r="AY604" s="165">
        <f t="shared" si="401"/>
        <v>-4.5890283182998814E-2</v>
      </c>
      <c r="AZ604" s="164">
        <f>IF($E604="","",IF(OR(AND($D604=Input!$C$6,$C604=12),$AN604=1),0,-AS605+AT605+AU605-AV605-AW605-AX605+AZ605))</f>
        <v>0</v>
      </c>
      <c r="BA604" s="154">
        <f t="shared" si="381"/>
        <v>4.5890283182998814E-2</v>
      </c>
      <c r="BC604" s="147">
        <f t="shared" si="402"/>
        <v>1.4289058199156735E-5</v>
      </c>
      <c r="BD604" s="164">
        <f>IF(AND($C603=12,$D603=Input!$C$6),0,IF($E604="","",AT604+(AU604+BD605)/(1+$AK604)*MIN((1-AM604-AN604),1)))</f>
        <v>-12693.975533298426</v>
      </c>
      <c r="BE604" s="164">
        <f t="shared" si="382"/>
        <v>-0.18138495517397285</v>
      </c>
      <c r="BF604" s="164">
        <f t="shared" si="403"/>
        <v>0</v>
      </c>
      <c r="BG604" s="164">
        <f t="shared" si="383"/>
        <v>0</v>
      </c>
      <c r="BH604" s="152"/>
      <c r="BI604" s="162">
        <f t="shared" si="384"/>
        <v>-7381.7277406716821</v>
      </c>
      <c r="BJ604" s="150">
        <f t="shared" si="385"/>
        <v>0</v>
      </c>
      <c r="BK604" s="163">
        <f t="shared" si="407"/>
        <v>0</v>
      </c>
      <c r="BL604" s="163">
        <f t="shared" si="386"/>
        <v>5456.1474392132322</v>
      </c>
      <c r="BM604" s="163">
        <f t="shared" si="408"/>
        <v>-39.107702012052613</v>
      </c>
      <c r="BN604" s="163">
        <f t="shared" si="387"/>
        <v>-825.70273678544061</v>
      </c>
      <c r="BO604" s="163">
        <f t="shared" si="388"/>
        <v>-1430.7736122493363</v>
      </c>
      <c r="BP604" s="164">
        <f t="shared" si="409"/>
        <v>-15133.459230931745</v>
      </c>
      <c r="BQ604" s="164">
        <f>IF($E604="","",IF(AND($D604=Input!$C$6,$C604=12),0,-BJ605+BK605+BL605-BM605-BN605-BO605+BQ605))</f>
        <v>-15133.438859278802</v>
      </c>
      <c r="BR604" s="161">
        <f t="shared" si="389"/>
        <v>0</v>
      </c>
      <c r="BT604" s="147">
        <f t="shared" si="390"/>
        <v>1.4289058199156735E-5</v>
      </c>
      <c r="BU604" s="164">
        <f>IF(AND($C603=12,$D603=Input!$C$6),0,IF($E604="","",BK604+(BL604+BU605)/(1+$AK604)*MIN((1-T604-U604),1)))</f>
        <v>73341.291569637076</v>
      </c>
      <c r="BV604" s="164">
        <f t="shared" si="391"/>
        <v>1.0479779836398673</v>
      </c>
      <c r="BW604" s="164">
        <f t="shared" si="392"/>
        <v>-15133.438859278802</v>
      </c>
      <c r="BX604" s="164">
        <f t="shared" si="393"/>
        <v>-0.21624258861361489</v>
      </c>
    </row>
    <row r="605" spans="1:76" s="150" customFormat="1" x14ac:dyDescent="0.25">
      <c r="A605" s="150">
        <f t="shared" si="404"/>
        <v>601</v>
      </c>
      <c r="B605" s="150">
        <f t="shared" si="405"/>
        <v>51</v>
      </c>
      <c r="C605" s="150">
        <f t="shared" si="406"/>
        <v>1</v>
      </c>
      <c r="D605" s="150">
        <f>IF(E605="","",Input!$C$4+B605-1)</f>
        <v>95</v>
      </c>
      <c r="E605" s="150">
        <f>IF(OR(AND(C604=12,D604=Input!$C$6),E604=""),"",1)</f>
        <v>1</v>
      </c>
      <c r="F605" s="150">
        <f>IF(E605="","",Input!$C$8+B605-1)</f>
        <v>2068</v>
      </c>
      <c r="G605" s="151">
        <f>IF(E605="","",MAX(0,Input!$C$9-B605))</f>
        <v>0</v>
      </c>
      <c r="H605" s="152">
        <f>IF(E605="","",Input!$C$3)</f>
        <v>100000</v>
      </c>
      <c r="I605" s="153">
        <f>IF(E605="","",HLOOKUP($B605,Input!$C$13:$BT$14,2))</f>
        <v>596.33000000000004</v>
      </c>
      <c r="J605" s="154"/>
      <c r="K605" s="155">
        <f>IF($E605="","",INDEX(Input!$C$16:$CP$16,1,$B605))</f>
        <v>3.2489999999999998E-2</v>
      </c>
      <c r="L605" s="155">
        <f>IF($E605="","",Input!$C$37)</f>
        <v>1.4999999999999999E-2</v>
      </c>
      <c r="M605" s="155">
        <f t="shared" si="369"/>
        <v>4.7489999999999997E-2</v>
      </c>
      <c r="N605" s="155">
        <f t="shared" si="370"/>
        <v>3.8738863612004515E-3</v>
      </c>
      <c r="O605" s="147">
        <f>IF($E605="","",MIN(VLOOKUP(IF($B605&lt;=Input!$C$7,$B605,26),'Mortality Tables'!$A$41:$CW$67,IF($B605&lt;=Input!$C$7+1,Input!$C$4+2,$D605-Input!$C$7+2),0)*IF(B605&gt;20,Input!$C$22,1)/1000,1))</f>
        <v>0.66701280000000018</v>
      </c>
      <c r="P605" s="147">
        <f>IF($E605="","",MIN(VLOOKUP(IF($B605&lt;=Input!$C$7,$B605,26),'Mortality Tables'!$A$12:$CW$37,IF($B605&lt;=Input!$C$7+1,Input!$C$4+2,$D605-Input!$C$7+2),0)*IF(B605&gt;20,Input!$C$22,1)/1000,1))</f>
        <v>0.83376600000000012</v>
      </c>
      <c r="Q605" s="155">
        <f>IF($E605="","",Input!$C$21)</f>
        <v>5.0000000000000001E-3</v>
      </c>
      <c r="R605" s="159">
        <f>IF($E605="","",(1-Q605)^($F605-Input!$C$20))</f>
        <v>0.77831255706864233</v>
      </c>
      <c r="S605" s="147">
        <f t="shared" si="372"/>
        <v>0.51914443796551502</v>
      </c>
      <c r="T605" s="147">
        <f t="shared" si="373"/>
        <v>5.9191526391745408E-2</v>
      </c>
      <c r="U605" s="160">
        <f>IF($E605="","",IF($C605=12,INDEX(Input!$C$15:$CP$15,1,$B605),0))</f>
        <v>0</v>
      </c>
      <c r="V605" s="150">
        <f>IF(E605="","",IF(C605=1,IF($B605=1,Input!$C$33,Input!$C$34),0))</f>
        <v>50</v>
      </c>
      <c r="W605" s="156">
        <f>IF($E605="","",Input!$C$35)</f>
        <v>0.02</v>
      </c>
      <c r="X605" s="156">
        <f t="shared" si="371"/>
        <v>2.6915880290736074</v>
      </c>
      <c r="Y605" s="154"/>
      <c r="Z605" s="147">
        <f>IF($E605="","",VLOOKUP($D605,'Mortality Margins &amp; Grading'!$AB$5:$AF$125,3,0)*IF(Summary!$D$25="Included Margin",IF(AND($B605&gt;Input!$C$9,Summary!$D$31&lt;&gt;"Included Margin"),0,1),0))</f>
        <v>1.7999999999999999E-2</v>
      </c>
      <c r="AA605" s="147">
        <f>IF($E605="","",VLOOKUP($D605,'Mortality Margins &amp; Grading'!$AB$5:$AF$125,5,0)*IF(Summary!$D$25="Included Margin",IF(AND($B605&gt;Input!$C$9,Summary!$D$31&lt;&gt;"Included Margin"),0,1),0))</f>
        <v>9.4E-2</v>
      </c>
      <c r="AB605" s="147">
        <f>IF($E605="","",IF(AND($B605&gt;Input!$C$9,Summary!$D$31&lt;&gt;"Included Margin"),1,IF(Summary!$D$25="Included Margin",VLOOKUP($B605,'Mortality Margins &amp; Grading'!$AI$5:$AR$125,MATCH('Mortality Margins &amp; Grading'!$AQ$4,'Mortality Margins &amp; Grading'!$AI$4:$AR$4,0),0),1)))</f>
        <v>0</v>
      </c>
      <c r="AC605" s="154"/>
      <c r="AD605" s="158">
        <f>IF(E605="","",Input!$C$48*IF(Summary!$D$30="Included Margin",IF(AND($B605&gt;Input!$C$9,Summary!$D$31&lt;&gt;"Included Margin"),0,1),0))</f>
        <v>-4.4999999999999997E-3</v>
      </c>
      <c r="AE605" s="159">
        <f>IF(E605="","",IF(Summary!$D$26="Included Margin",IF(AND($B605&gt;Input!$C$9,Summary!$D$31&lt;&gt;"Included Margin"),1,1/$R605),1))</f>
        <v>1.2848308702178708</v>
      </c>
      <c r="AF605" s="160">
        <f>IF(E605="","",IF(AND($B605&gt;=Input!$C$9,$C605=12,Summary!$D$31="Included Margin",$U605&gt;0),1/U605-1,IF($B605&gt;=Input!$C$9,0,Input!$C$45*IF(Summary!$D$27="Included Margin",1,0))))</f>
        <v>0</v>
      </c>
      <c r="AG605" s="160">
        <f>IF(E605="","",Input!$C$46*IF(Summary!$D$28="Included Margin",IF(AND($B605&gt;Input!$C$9,Summary!$D$31&lt;&gt;"Included Margin"),0,1),0))</f>
        <v>0.02</v>
      </c>
      <c r="AH605" s="158">
        <f>IF(E605="","",Input!$C$47*IF(Summary!$D$29="Included Margin",IF(AND($B605&gt;Input!$C$9,Summary!$D$31&lt;&gt;"Included Margin"),0,1),0))</f>
        <v>2.5000000000000001E-3</v>
      </c>
      <c r="AI605" s="154"/>
      <c r="AJ605" s="158">
        <f t="shared" si="394"/>
        <v>4.299E-2</v>
      </c>
      <c r="AK605" s="155">
        <f t="shared" si="395"/>
        <v>3.5137912951068717E-3</v>
      </c>
      <c r="AL605" s="147">
        <f t="shared" si="396"/>
        <v>0.91214000400000017</v>
      </c>
      <c r="AM605" s="147">
        <f t="shared" si="374"/>
        <v>0.18345034760858603</v>
      </c>
      <c r="AN605" s="160">
        <f t="shared" si="397"/>
        <v>0</v>
      </c>
      <c r="AO605" s="161">
        <f t="shared" si="398"/>
        <v>51</v>
      </c>
      <c r="AP605" s="156">
        <f t="shared" si="375"/>
        <v>3.0420463996874831</v>
      </c>
      <c r="AQ605" s="152"/>
      <c r="AR605" s="162">
        <f t="shared" si="376"/>
        <v>30535.02106343292</v>
      </c>
      <c r="AS605" s="150">
        <f t="shared" si="399"/>
        <v>59633.000000000007</v>
      </c>
      <c r="AT605" s="163">
        <f t="shared" si="377"/>
        <v>155.14436638406164</v>
      </c>
      <c r="AU605" s="163">
        <f t="shared" si="378"/>
        <v>18345.034760858602</v>
      </c>
      <c r="AV605" s="163">
        <f t="shared" si="400"/>
        <v>284.05615086004951</v>
      </c>
      <c r="AW605" s="163">
        <f t="shared" si="379"/>
        <v>16165.105264843254</v>
      </c>
      <c r="AX605" s="163">
        <f t="shared" si="380"/>
        <v>0</v>
      </c>
      <c r="AY605" s="164">
        <f t="shared" si="401"/>
        <v>88117.003351893567</v>
      </c>
      <c r="AZ605" s="164">
        <f>IF($E605="","",IF(OR(AND($D605=Input!$C$6,$C605=12),$AN605=1),0,-AS606+AT606+AU606-AV606-AW606-AX606+AZ606))</f>
        <v>88117.059877877706</v>
      </c>
      <c r="BA605" s="154">
        <f t="shared" si="381"/>
        <v>5.6525984138716012E-2</v>
      </c>
      <c r="BC605" s="147">
        <f t="shared" si="402"/>
        <v>1.3443267033648162E-5</v>
      </c>
      <c r="BD605" s="164">
        <f>IF(AND($C604=12,$D604=Input!$C$6),0,IF($E605="","",AT605+(AU605+BD606)/(1+$AK605)*MIN((1-AM605-AN605),1)))</f>
        <v>70318.015594474913</v>
      </c>
      <c r="BE605" s="164">
        <f t="shared" si="382"/>
        <v>0.94530386091276197</v>
      </c>
      <c r="BF605" s="164">
        <f t="shared" si="403"/>
        <v>88117.059877877706</v>
      </c>
      <c r="BG605" s="164">
        <f t="shared" si="383"/>
        <v>1.1845811661582746</v>
      </c>
      <c r="BH605" s="152"/>
      <c r="BI605" s="162">
        <f t="shared" si="384"/>
        <v>-15133.461023522235</v>
      </c>
      <c r="BJ605" s="150">
        <f t="shared" si="385"/>
        <v>59633.000000000007</v>
      </c>
      <c r="BK605" s="163">
        <f t="shared" si="407"/>
        <v>134.57940145368036</v>
      </c>
      <c r="BL605" s="163">
        <f t="shared" si="386"/>
        <v>5919.152639174541</v>
      </c>
      <c r="BM605" s="163">
        <f t="shared" si="408"/>
        <v>160.39974947351425</v>
      </c>
      <c r="BN605" s="163">
        <f t="shared" si="387"/>
        <v>2428.9339200684135</v>
      </c>
      <c r="BO605" s="163">
        <f t="shared" si="388"/>
        <v>0</v>
      </c>
      <c r="BP605" s="164">
        <f t="shared" si="409"/>
        <v>41035.140605391476</v>
      </c>
      <c r="BQ605" s="164">
        <f>IF($E605="","",IF(AND($D605=Input!$C$6,$C605=12),0,-BJ606+BK606+BL606-BM606-BN606-BO606+BQ606))</f>
        <v>41035.16276963491</v>
      </c>
      <c r="BR605" s="161">
        <f t="shared" si="389"/>
        <v>0</v>
      </c>
      <c r="BT605" s="147">
        <f t="shared" si="390"/>
        <v>1.3443267033648162E-5</v>
      </c>
      <c r="BU605" s="164">
        <f>IF(AND($C604=12,$D604=Input!$C$6),0,IF($E605="","",BK605+(BL605+BU606)/(1+$AK605)*MIN((1-T605-U605),1)))</f>
        <v>81597.592943030089</v>
      </c>
      <c r="BV605" s="164">
        <f t="shared" si="391"/>
        <v>1.0969382312360783</v>
      </c>
      <c r="BW605" s="164">
        <f t="shared" si="392"/>
        <v>41035.16276963491</v>
      </c>
      <c r="BX605" s="164">
        <f t="shared" si="393"/>
        <v>0.5516466508814194</v>
      </c>
    </row>
    <row r="606" spans="1:76" s="150" customFormat="1" x14ac:dyDescent="0.25">
      <c r="A606" s="150">
        <f t="shared" si="404"/>
        <v>602</v>
      </c>
      <c r="B606" s="150">
        <f t="shared" si="405"/>
        <v>51</v>
      </c>
      <c r="C606" s="150">
        <f t="shared" si="406"/>
        <v>2</v>
      </c>
      <c r="D606" s="150">
        <f>IF(E606="","",Input!$C$4+B606-1)</f>
        <v>95</v>
      </c>
      <c r="E606" s="150">
        <f>IF(OR(AND(C605=12,D605=Input!$C$6),E605=""),"",1)</f>
        <v>1</v>
      </c>
      <c r="F606" s="150">
        <f>IF(E606="","",Input!$C$8+B606-1)</f>
        <v>2068</v>
      </c>
      <c r="G606" s="151">
        <f>IF(E606="","",MAX(0,Input!$C$9-B606))</f>
        <v>0</v>
      </c>
      <c r="H606" s="152">
        <f>IF(E606="","",Input!$C$3)</f>
        <v>100000</v>
      </c>
      <c r="I606" s="153">
        <f>IF(E606="","",HLOOKUP($B606,Input!$C$13:$BT$14,2))</f>
        <v>596.33000000000004</v>
      </c>
      <c r="J606" s="154"/>
      <c r="K606" s="155">
        <f>IF($E606="","",INDEX(Input!$C$16:$CP$16,1,$B606))</f>
        <v>3.2489999999999998E-2</v>
      </c>
      <c r="L606" s="155">
        <f>IF($E606="","",Input!$C$37)</f>
        <v>1.4999999999999999E-2</v>
      </c>
      <c r="M606" s="155">
        <f t="shared" si="369"/>
        <v>4.7489999999999997E-2</v>
      </c>
      <c r="N606" s="155">
        <f t="shared" si="370"/>
        <v>3.8738863612004515E-3</v>
      </c>
      <c r="O606" s="147">
        <f>IF($E606="","",MIN(VLOOKUP(IF($B606&lt;=Input!$C$7,$B606,26),'Mortality Tables'!$A$41:$CW$67,IF($B606&lt;=Input!$C$7+1,Input!$C$4+2,$D606-Input!$C$7+2),0)*IF(B606&gt;20,Input!$C$22,1)/1000,1))</f>
        <v>0.66701280000000018</v>
      </c>
      <c r="P606" s="147">
        <f>IF($E606="","",MIN(VLOOKUP(IF($B606&lt;=Input!$C$7,$B606,26),'Mortality Tables'!$A$12:$CW$37,IF($B606&lt;=Input!$C$7+1,Input!$C$4+2,$D606-Input!$C$7+2),0)*IF(B606&gt;20,Input!$C$22,1)/1000,1))</f>
        <v>0.83376600000000012</v>
      </c>
      <c r="Q606" s="155">
        <f>IF($E606="","",Input!$C$21)</f>
        <v>5.0000000000000001E-3</v>
      </c>
      <c r="R606" s="159">
        <f>IF($E606="","",(1-Q606)^($F606-Input!$C$20))</f>
        <v>0.77831255706864233</v>
      </c>
      <c r="S606" s="147">
        <f t="shared" si="372"/>
        <v>0.51914443796551502</v>
      </c>
      <c r="T606" s="147">
        <f t="shared" si="373"/>
        <v>5.9191526391745408E-2</v>
      </c>
      <c r="U606" s="160">
        <f>IF($E606="","",IF($C606=12,INDEX(Input!$C$15:$CP$15,1,$B606),0))</f>
        <v>0</v>
      </c>
      <c r="V606" s="150">
        <f>IF(E606="","",IF(C606=1,IF($B606=1,Input!$C$33,Input!$C$34),0))</f>
        <v>0</v>
      </c>
      <c r="W606" s="156">
        <f>IF($E606="","",Input!$C$35)</f>
        <v>0.02</v>
      </c>
      <c r="X606" s="156">
        <f t="shared" si="371"/>
        <v>2.6915880290736074</v>
      </c>
      <c r="Y606" s="154"/>
      <c r="Z606" s="147">
        <f>IF($E606="","",VLOOKUP($D606,'Mortality Margins &amp; Grading'!$AB$5:$AF$125,3,0)*IF(Summary!$D$25="Included Margin",IF(AND($B606&gt;Input!$C$9,Summary!$D$31&lt;&gt;"Included Margin"),0,1),0))</f>
        <v>1.7999999999999999E-2</v>
      </c>
      <c r="AA606" s="147">
        <f>IF($E606="","",VLOOKUP($D606,'Mortality Margins &amp; Grading'!$AB$5:$AF$125,5,0)*IF(Summary!$D$25="Included Margin",IF(AND($B606&gt;Input!$C$9,Summary!$D$31&lt;&gt;"Included Margin"),0,1),0))</f>
        <v>9.4E-2</v>
      </c>
      <c r="AB606" s="147">
        <f>IF($E606="","",IF(AND($B606&gt;Input!$C$9,Summary!$D$31&lt;&gt;"Included Margin"),1,IF(Summary!$D$25="Included Margin",VLOOKUP($B606,'Mortality Margins &amp; Grading'!$AI$5:$AR$125,MATCH('Mortality Margins &amp; Grading'!$AQ$4,'Mortality Margins &amp; Grading'!$AI$4:$AR$4,0),0),1)))</f>
        <v>0</v>
      </c>
      <c r="AC606" s="154"/>
      <c r="AD606" s="158">
        <f>IF(E606="","",Input!$C$48*IF(Summary!$D$30="Included Margin",IF(AND($B606&gt;Input!$C$9,Summary!$D$31&lt;&gt;"Included Margin"),0,1),0))</f>
        <v>-4.4999999999999997E-3</v>
      </c>
      <c r="AE606" s="159">
        <f>IF(E606="","",IF(Summary!$D$26="Included Margin",IF(AND($B606&gt;Input!$C$9,Summary!$D$31&lt;&gt;"Included Margin"),1,1/$R606),1))</f>
        <v>1.2848308702178708</v>
      </c>
      <c r="AF606" s="160">
        <f>IF(E606="","",IF(AND($B606&gt;=Input!$C$9,$C606=12,Summary!$D$31="Included Margin",$U606&gt;0),1/U606-1,IF($B606&gt;=Input!$C$9,0,Input!$C$45*IF(Summary!$D$27="Included Margin",1,0))))</f>
        <v>0</v>
      </c>
      <c r="AG606" s="160">
        <f>IF(E606="","",Input!$C$46*IF(Summary!$D$28="Included Margin",IF(AND($B606&gt;Input!$C$9,Summary!$D$31&lt;&gt;"Included Margin"),0,1),0))</f>
        <v>0.02</v>
      </c>
      <c r="AH606" s="158">
        <f>IF(E606="","",Input!$C$47*IF(Summary!$D$29="Included Margin",IF(AND($B606&gt;Input!$C$9,Summary!$D$31&lt;&gt;"Included Margin"),0,1),0))</f>
        <v>2.5000000000000001E-3</v>
      </c>
      <c r="AI606" s="154"/>
      <c r="AJ606" s="158">
        <f t="shared" si="394"/>
        <v>4.299E-2</v>
      </c>
      <c r="AK606" s="155">
        <f t="shared" si="395"/>
        <v>3.5137912951068717E-3</v>
      </c>
      <c r="AL606" s="147">
        <f t="shared" si="396"/>
        <v>0.91214000400000017</v>
      </c>
      <c r="AM606" s="147">
        <f t="shared" si="374"/>
        <v>0.18345034760858603</v>
      </c>
      <c r="AN606" s="160">
        <f t="shared" si="397"/>
        <v>0</v>
      </c>
      <c r="AO606" s="161">
        <f t="shared" si="398"/>
        <v>0</v>
      </c>
      <c r="AP606" s="156">
        <f t="shared" si="375"/>
        <v>3.0420463996874831</v>
      </c>
      <c r="AQ606" s="152"/>
      <c r="AR606" s="162">
        <f t="shared" si="376"/>
        <v>88117.003351893567</v>
      </c>
      <c r="AS606" s="150">
        <f t="shared" si="399"/>
        <v>0</v>
      </c>
      <c r="AT606" s="163">
        <f t="shared" si="377"/>
        <v>0</v>
      </c>
      <c r="AU606" s="163">
        <f t="shared" si="378"/>
        <v>18345.034760858602</v>
      </c>
      <c r="AV606" s="163">
        <f t="shared" si="400"/>
        <v>277.39444760321771</v>
      </c>
      <c r="AW606" s="163">
        <f t="shared" si="379"/>
        <v>15737.67171570567</v>
      </c>
      <c r="AX606" s="163">
        <f t="shared" si="380"/>
        <v>0</v>
      </c>
      <c r="AY606" s="165">
        <f t="shared" si="401"/>
        <v>85787.034754343855</v>
      </c>
      <c r="AZ606" s="164">
        <f>IF($E606="","",IF(OR(AND($D606=Input!$C$6,$C606=12),$AN606=1),0,-AS607+AT607+AU607-AV607-AW607-AX607+AZ607))</f>
        <v>85787.091280327993</v>
      </c>
      <c r="BA606" s="154">
        <f t="shared" si="381"/>
        <v>5.6525984138716012E-2</v>
      </c>
      <c r="BC606" s="147">
        <f t="shared" si="402"/>
        <v>1.2647539538234696E-5</v>
      </c>
      <c r="BD606" s="164">
        <f>IF(AND($C605=12,$D605=Input!$C$6),0,IF($E606="","",AT606+(AU606+BD607)/(1+$AK606)*MIN((1-AM606-AN606),1)))</f>
        <v>67882.922973303779</v>
      </c>
      <c r="BE606" s="164">
        <f t="shared" si="382"/>
        <v>0.85855195227579995</v>
      </c>
      <c r="BF606" s="164">
        <f t="shared" si="403"/>
        <v>85787.091280327993</v>
      </c>
      <c r="BG606" s="164">
        <f t="shared" si="383"/>
        <v>1.0849956288380973</v>
      </c>
      <c r="BH606" s="152"/>
      <c r="BI606" s="162">
        <f t="shared" si="384"/>
        <v>41035.140605391476</v>
      </c>
      <c r="BJ606" s="150">
        <f t="shared" si="385"/>
        <v>0</v>
      </c>
      <c r="BK606" s="163">
        <f t="shared" si="407"/>
        <v>0</v>
      </c>
      <c r="BL606" s="163">
        <f t="shared" si="386"/>
        <v>5919.152639174541</v>
      </c>
      <c r="BM606" s="163">
        <f t="shared" si="408"/>
        <v>147.50040918178792</v>
      </c>
      <c r="BN606" s="163">
        <f t="shared" si="387"/>
        <v>2218.6248033751845</v>
      </c>
      <c r="BO606" s="163">
        <f t="shared" si="388"/>
        <v>0</v>
      </c>
      <c r="BP606" s="164">
        <f t="shared" si="409"/>
        <v>37482.113178773907</v>
      </c>
      <c r="BQ606" s="164">
        <f>IF($E606="","",IF(AND($D606=Input!$C$6,$C606=12),0,-BJ607+BK607+BL607-BM607-BN607-BO607+BQ607))</f>
        <v>37482.13534301734</v>
      </c>
      <c r="BR606" s="161">
        <f t="shared" si="389"/>
        <v>0</v>
      </c>
      <c r="BT606" s="147">
        <f t="shared" si="390"/>
        <v>1.2647539538234696E-5</v>
      </c>
      <c r="BU606" s="164">
        <f>IF(AND($C605=12,$D605=Input!$C$6),0,IF($E606="","",BK606+(BL606+BU607)/(1+$AK606)*MIN((1-T606-U606),1)))</f>
        <v>80973.408240832723</v>
      </c>
      <c r="BV606" s="164">
        <f t="shared" si="391"/>
        <v>1.024114382271551</v>
      </c>
      <c r="BW606" s="164">
        <f t="shared" si="392"/>
        <v>37482.13534301734</v>
      </c>
      <c r="BX606" s="164">
        <f t="shared" si="393"/>
        <v>0.47405678872827595</v>
      </c>
    </row>
    <row r="607" spans="1:76" s="150" customFormat="1" x14ac:dyDescent="0.25">
      <c r="A607" s="150">
        <f t="shared" si="404"/>
        <v>603</v>
      </c>
      <c r="B607" s="150">
        <f t="shared" si="405"/>
        <v>51</v>
      </c>
      <c r="C607" s="150">
        <f t="shared" si="406"/>
        <v>3</v>
      </c>
      <c r="D607" s="150">
        <f>IF(E607="","",Input!$C$4+B607-1)</f>
        <v>95</v>
      </c>
      <c r="E607" s="150">
        <f>IF(OR(AND(C606=12,D606=Input!$C$6),E606=""),"",1)</f>
        <v>1</v>
      </c>
      <c r="F607" s="150">
        <f>IF(E607="","",Input!$C$8+B607-1)</f>
        <v>2068</v>
      </c>
      <c r="G607" s="151">
        <f>IF(E607="","",MAX(0,Input!$C$9-B607))</f>
        <v>0</v>
      </c>
      <c r="H607" s="152">
        <f>IF(E607="","",Input!$C$3)</f>
        <v>100000</v>
      </c>
      <c r="I607" s="153">
        <f>IF(E607="","",HLOOKUP($B607,Input!$C$13:$BT$14,2))</f>
        <v>596.33000000000004</v>
      </c>
      <c r="J607" s="154"/>
      <c r="K607" s="155">
        <f>IF($E607="","",INDEX(Input!$C$16:$CP$16,1,$B607))</f>
        <v>3.2489999999999998E-2</v>
      </c>
      <c r="L607" s="155">
        <f>IF($E607="","",Input!$C$37)</f>
        <v>1.4999999999999999E-2</v>
      </c>
      <c r="M607" s="155">
        <f t="shared" si="369"/>
        <v>4.7489999999999997E-2</v>
      </c>
      <c r="N607" s="155">
        <f t="shared" si="370"/>
        <v>3.8738863612004515E-3</v>
      </c>
      <c r="O607" s="147">
        <f>IF($E607="","",MIN(VLOOKUP(IF($B607&lt;=Input!$C$7,$B607,26),'Mortality Tables'!$A$41:$CW$67,IF($B607&lt;=Input!$C$7+1,Input!$C$4+2,$D607-Input!$C$7+2),0)*IF(B607&gt;20,Input!$C$22,1)/1000,1))</f>
        <v>0.66701280000000018</v>
      </c>
      <c r="P607" s="147">
        <f>IF($E607="","",MIN(VLOOKUP(IF($B607&lt;=Input!$C$7,$B607,26),'Mortality Tables'!$A$12:$CW$37,IF($B607&lt;=Input!$C$7+1,Input!$C$4+2,$D607-Input!$C$7+2),0)*IF(B607&gt;20,Input!$C$22,1)/1000,1))</f>
        <v>0.83376600000000012</v>
      </c>
      <c r="Q607" s="155">
        <f>IF($E607="","",Input!$C$21)</f>
        <v>5.0000000000000001E-3</v>
      </c>
      <c r="R607" s="159">
        <f>IF($E607="","",(1-Q607)^($F607-Input!$C$20))</f>
        <v>0.77831255706864233</v>
      </c>
      <c r="S607" s="147">
        <f t="shared" si="372"/>
        <v>0.51914443796551502</v>
      </c>
      <c r="T607" s="147">
        <f t="shared" si="373"/>
        <v>5.9191526391745408E-2</v>
      </c>
      <c r="U607" s="160">
        <f>IF($E607="","",IF($C607=12,INDEX(Input!$C$15:$CP$15,1,$B607),0))</f>
        <v>0</v>
      </c>
      <c r="V607" s="150">
        <f>IF(E607="","",IF(C607=1,IF($B607=1,Input!$C$33,Input!$C$34),0))</f>
        <v>0</v>
      </c>
      <c r="W607" s="156">
        <f>IF($E607="","",Input!$C$35)</f>
        <v>0.02</v>
      </c>
      <c r="X607" s="156">
        <f t="shared" si="371"/>
        <v>2.6915880290736074</v>
      </c>
      <c r="Y607" s="154"/>
      <c r="Z607" s="147">
        <f>IF($E607="","",VLOOKUP($D607,'Mortality Margins &amp; Grading'!$AB$5:$AF$125,3,0)*IF(Summary!$D$25="Included Margin",IF(AND($B607&gt;Input!$C$9,Summary!$D$31&lt;&gt;"Included Margin"),0,1),0))</f>
        <v>1.7999999999999999E-2</v>
      </c>
      <c r="AA607" s="147">
        <f>IF($E607="","",VLOOKUP($D607,'Mortality Margins &amp; Grading'!$AB$5:$AF$125,5,0)*IF(Summary!$D$25="Included Margin",IF(AND($B607&gt;Input!$C$9,Summary!$D$31&lt;&gt;"Included Margin"),0,1),0))</f>
        <v>9.4E-2</v>
      </c>
      <c r="AB607" s="147">
        <f>IF($E607="","",IF(AND($B607&gt;Input!$C$9,Summary!$D$31&lt;&gt;"Included Margin"),1,IF(Summary!$D$25="Included Margin",VLOOKUP($B607,'Mortality Margins &amp; Grading'!$AI$5:$AR$125,MATCH('Mortality Margins &amp; Grading'!$AQ$4,'Mortality Margins &amp; Grading'!$AI$4:$AR$4,0),0),1)))</f>
        <v>0</v>
      </c>
      <c r="AC607" s="154"/>
      <c r="AD607" s="158">
        <f>IF(E607="","",Input!$C$48*IF(Summary!$D$30="Included Margin",IF(AND($B607&gt;Input!$C$9,Summary!$D$31&lt;&gt;"Included Margin"),0,1),0))</f>
        <v>-4.4999999999999997E-3</v>
      </c>
      <c r="AE607" s="159">
        <f>IF(E607="","",IF(Summary!$D$26="Included Margin",IF(AND($B607&gt;Input!$C$9,Summary!$D$31&lt;&gt;"Included Margin"),1,1/$R607),1))</f>
        <v>1.2848308702178708</v>
      </c>
      <c r="AF607" s="160">
        <f>IF(E607="","",IF(AND($B607&gt;=Input!$C$9,$C607=12,Summary!$D$31="Included Margin",$U607&gt;0),1/U607-1,IF($B607&gt;=Input!$C$9,0,Input!$C$45*IF(Summary!$D$27="Included Margin",1,0))))</f>
        <v>0</v>
      </c>
      <c r="AG607" s="160">
        <f>IF(E607="","",Input!$C$46*IF(Summary!$D$28="Included Margin",IF(AND($B607&gt;Input!$C$9,Summary!$D$31&lt;&gt;"Included Margin"),0,1),0))</f>
        <v>0.02</v>
      </c>
      <c r="AH607" s="158">
        <f>IF(E607="","",Input!$C$47*IF(Summary!$D$29="Included Margin",IF(AND($B607&gt;Input!$C$9,Summary!$D$31&lt;&gt;"Included Margin"),0,1),0))</f>
        <v>2.5000000000000001E-3</v>
      </c>
      <c r="AI607" s="154"/>
      <c r="AJ607" s="158">
        <f t="shared" si="394"/>
        <v>4.299E-2</v>
      </c>
      <c r="AK607" s="155">
        <f t="shared" si="395"/>
        <v>3.5137912951068717E-3</v>
      </c>
      <c r="AL607" s="147">
        <f t="shared" si="396"/>
        <v>0.91214000400000017</v>
      </c>
      <c r="AM607" s="147">
        <f t="shared" si="374"/>
        <v>0.18345034760858603</v>
      </c>
      <c r="AN607" s="160">
        <f t="shared" si="397"/>
        <v>0</v>
      </c>
      <c r="AO607" s="161">
        <f t="shared" si="398"/>
        <v>0</v>
      </c>
      <c r="AP607" s="156">
        <f t="shared" si="375"/>
        <v>3.0420463996874831</v>
      </c>
      <c r="AQ607" s="152"/>
      <c r="AR607" s="162">
        <f t="shared" si="376"/>
        <v>85787.034754343855</v>
      </c>
      <c r="AS607" s="150">
        <f t="shared" si="399"/>
        <v>0</v>
      </c>
      <c r="AT607" s="163">
        <f t="shared" si="377"/>
        <v>0</v>
      </c>
      <c r="AU607" s="163">
        <f t="shared" si="378"/>
        <v>18345.034760858602</v>
      </c>
      <c r="AV607" s="163">
        <f t="shared" si="400"/>
        <v>269.20742422727517</v>
      </c>
      <c r="AW607" s="163">
        <f t="shared" si="379"/>
        <v>15212.369353301172</v>
      </c>
      <c r="AX607" s="163">
        <f t="shared" si="380"/>
        <v>0</v>
      </c>
      <c r="AY607" s="164">
        <f t="shared" si="401"/>
        <v>82923.576771013701</v>
      </c>
      <c r="AZ607" s="164">
        <f>IF($E607="","",IF(OR(AND($D607=Input!$C$6,$C607=12),$AN607=1),0,-AS608+AT608+AU608-AV608-AW608-AX608+AZ608))</f>
        <v>82923.633296997839</v>
      </c>
      <c r="BA607" s="154">
        <f t="shared" si="381"/>
        <v>5.6525984138716012E-2</v>
      </c>
      <c r="BC607" s="147">
        <f t="shared" si="402"/>
        <v>1.1898912367866634E-5</v>
      </c>
      <c r="BD607" s="164">
        <f>IF(AND($C606=12,$D606=Input!$C$6),0,IF($E607="","",AT607+(AU607+BD608)/(1+$AK607)*MIN((1-AM607-AN607),1)))</f>
        <v>65080.938414964505</v>
      </c>
      <c r="BE607" s="164">
        <f t="shared" si="382"/>
        <v>0.77439238301818791</v>
      </c>
      <c r="BF607" s="164">
        <f t="shared" si="403"/>
        <v>82923.633296997839</v>
      </c>
      <c r="BG607" s="164">
        <f t="shared" si="383"/>
        <v>0.98670104582608509</v>
      </c>
      <c r="BH607" s="152"/>
      <c r="BI607" s="162">
        <f t="shared" si="384"/>
        <v>37482.1131787739</v>
      </c>
      <c r="BJ607" s="150">
        <f t="shared" si="385"/>
        <v>0</v>
      </c>
      <c r="BK607" s="163">
        <f t="shared" si="407"/>
        <v>0</v>
      </c>
      <c r="BL607" s="163">
        <f t="shared" si="386"/>
        <v>5919.152639174541</v>
      </c>
      <c r="BM607" s="163">
        <f t="shared" si="408"/>
        <v>133.73638469284296</v>
      </c>
      <c r="BN607" s="163">
        <f t="shared" si="387"/>
        <v>1994.217991325218</v>
      </c>
      <c r="BO607" s="163">
        <f t="shared" si="388"/>
        <v>0</v>
      </c>
      <c r="BP607" s="164">
        <f t="shared" si="409"/>
        <v>33690.914915617417</v>
      </c>
      <c r="BQ607" s="164">
        <f>IF($E607="","",IF(AND($D607=Input!$C$6,$C607=12),0,-BJ608+BK608+BL608-BM608-BN608-BO608+BQ608))</f>
        <v>33690.937079860858</v>
      </c>
      <c r="BR607" s="161">
        <f t="shared" si="389"/>
        <v>0</v>
      </c>
      <c r="BT607" s="147">
        <f t="shared" si="390"/>
        <v>1.1898912367866634E-5</v>
      </c>
      <c r="BU607" s="164">
        <f>IF(AND($C606=12,$D606=Input!$C$6),0,IF($E607="","",BK607+(BL607+BU608)/(1+$AK607)*MIN((1-T607-U607),1)))</f>
        <v>80451.170521498512</v>
      </c>
      <c r="BV607" s="164">
        <f t="shared" si="391"/>
        <v>0.95728142792760629</v>
      </c>
      <c r="BW607" s="164">
        <f t="shared" si="392"/>
        <v>33690.937079860858</v>
      </c>
      <c r="BX607" s="164">
        <f t="shared" si="393"/>
        <v>0.40088550790457295</v>
      </c>
    </row>
    <row r="608" spans="1:76" s="150" customFormat="1" x14ac:dyDescent="0.25">
      <c r="A608" s="150">
        <f t="shared" si="404"/>
        <v>604</v>
      </c>
      <c r="B608" s="150">
        <f t="shared" si="405"/>
        <v>51</v>
      </c>
      <c r="C608" s="150">
        <f t="shared" si="406"/>
        <v>4</v>
      </c>
      <c r="D608" s="150">
        <f>IF(E608="","",Input!$C$4+B608-1)</f>
        <v>95</v>
      </c>
      <c r="E608" s="150">
        <f>IF(OR(AND(C607=12,D607=Input!$C$6),E607=""),"",1)</f>
        <v>1</v>
      </c>
      <c r="F608" s="150">
        <f>IF(E608="","",Input!$C$8+B608-1)</f>
        <v>2068</v>
      </c>
      <c r="G608" s="151">
        <f>IF(E608="","",MAX(0,Input!$C$9-B608))</f>
        <v>0</v>
      </c>
      <c r="H608" s="152">
        <f>IF(E608="","",Input!$C$3)</f>
        <v>100000</v>
      </c>
      <c r="I608" s="153">
        <f>IF(E608="","",HLOOKUP($B608,Input!$C$13:$BT$14,2))</f>
        <v>596.33000000000004</v>
      </c>
      <c r="J608" s="154"/>
      <c r="K608" s="155">
        <f>IF($E608="","",INDEX(Input!$C$16:$CP$16,1,$B608))</f>
        <v>3.2489999999999998E-2</v>
      </c>
      <c r="L608" s="155">
        <f>IF($E608="","",Input!$C$37)</f>
        <v>1.4999999999999999E-2</v>
      </c>
      <c r="M608" s="155">
        <f t="shared" si="369"/>
        <v>4.7489999999999997E-2</v>
      </c>
      <c r="N608" s="155">
        <f t="shared" si="370"/>
        <v>3.8738863612004515E-3</v>
      </c>
      <c r="O608" s="147">
        <f>IF($E608="","",MIN(VLOOKUP(IF($B608&lt;=Input!$C$7,$B608,26),'Mortality Tables'!$A$41:$CW$67,IF($B608&lt;=Input!$C$7+1,Input!$C$4+2,$D608-Input!$C$7+2),0)*IF(B608&gt;20,Input!$C$22,1)/1000,1))</f>
        <v>0.66701280000000018</v>
      </c>
      <c r="P608" s="147">
        <f>IF($E608="","",MIN(VLOOKUP(IF($B608&lt;=Input!$C$7,$B608,26),'Mortality Tables'!$A$12:$CW$37,IF($B608&lt;=Input!$C$7+1,Input!$C$4+2,$D608-Input!$C$7+2),0)*IF(B608&gt;20,Input!$C$22,1)/1000,1))</f>
        <v>0.83376600000000012</v>
      </c>
      <c r="Q608" s="155">
        <f>IF($E608="","",Input!$C$21)</f>
        <v>5.0000000000000001E-3</v>
      </c>
      <c r="R608" s="159">
        <f>IF($E608="","",(1-Q608)^($F608-Input!$C$20))</f>
        <v>0.77831255706864233</v>
      </c>
      <c r="S608" s="147">
        <f t="shared" si="372"/>
        <v>0.51914443796551502</v>
      </c>
      <c r="T608" s="147">
        <f t="shared" si="373"/>
        <v>5.9191526391745408E-2</v>
      </c>
      <c r="U608" s="160">
        <f>IF($E608="","",IF($C608=12,INDEX(Input!$C$15:$CP$15,1,$B608),0))</f>
        <v>0</v>
      </c>
      <c r="V608" s="150">
        <f>IF(E608="","",IF(C608=1,IF($B608=1,Input!$C$33,Input!$C$34),0))</f>
        <v>0</v>
      </c>
      <c r="W608" s="156">
        <f>IF($E608="","",Input!$C$35)</f>
        <v>0.02</v>
      </c>
      <c r="X608" s="156">
        <f t="shared" si="371"/>
        <v>2.6915880290736074</v>
      </c>
      <c r="Y608" s="154"/>
      <c r="Z608" s="147">
        <f>IF($E608="","",VLOOKUP($D608,'Mortality Margins &amp; Grading'!$AB$5:$AF$125,3,0)*IF(Summary!$D$25="Included Margin",IF(AND($B608&gt;Input!$C$9,Summary!$D$31&lt;&gt;"Included Margin"),0,1),0))</f>
        <v>1.7999999999999999E-2</v>
      </c>
      <c r="AA608" s="147">
        <f>IF($E608="","",VLOOKUP($D608,'Mortality Margins &amp; Grading'!$AB$5:$AF$125,5,0)*IF(Summary!$D$25="Included Margin",IF(AND($B608&gt;Input!$C$9,Summary!$D$31&lt;&gt;"Included Margin"),0,1),0))</f>
        <v>9.4E-2</v>
      </c>
      <c r="AB608" s="147">
        <f>IF($E608="","",IF(AND($B608&gt;Input!$C$9,Summary!$D$31&lt;&gt;"Included Margin"),1,IF(Summary!$D$25="Included Margin",VLOOKUP($B608,'Mortality Margins &amp; Grading'!$AI$5:$AR$125,MATCH('Mortality Margins &amp; Grading'!$AQ$4,'Mortality Margins &amp; Grading'!$AI$4:$AR$4,0),0),1)))</f>
        <v>0</v>
      </c>
      <c r="AC608" s="154"/>
      <c r="AD608" s="158">
        <f>IF(E608="","",Input!$C$48*IF(Summary!$D$30="Included Margin",IF(AND($B608&gt;Input!$C$9,Summary!$D$31&lt;&gt;"Included Margin"),0,1),0))</f>
        <v>-4.4999999999999997E-3</v>
      </c>
      <c r="AE608" s="159">
        <f>IF(E608="","",IF(Summary!$D$26="Included Margin",IF(AND($B608&gt;Input!$C$9,Summary!$D$31&lt;&gt;"Included Margin"),1,1/$R608),1))</f>
        <v>1.2848308702178708</v>
      </c>
      <c r="AF608" s="160">
        <f>IF(E608="","",IF(AND($B608&gt;=Input!$C$9,$C608=12,Summary!$D$31="Included Margin",$U608&gt;0),1/U608-1,IF($B608&gt;=Input!$C$9,0,Input!$C$45*IF(Summary!$D$27="Included Margin",1,0))))</f>
        <v>0</v>
      </c>
      <c r="AG608" s="160">
        <f>IF(E608="","",Input!$C$46*IF(Summary!$D$28="Included Margin",IF(AND($B608&gt;Input!$C$9,Summary!$D$31&lt;&gt;"Included Margin"),0,1),0))</f>
        <v>0.02</v>
      </c>
      <c r="AH608" s="158">
        <f>IF(E608="","",Input!$C$47*IF(Summary!$D$29="Included Margin",IF(AND($B608&gt;Input!$C$9,Summary!$D$31&lt;&gt;"Included Margin"),0,1),0))</f>
        <v>2.5000000000000001E-3</v>
      </c>
      <c r="AI608" s="154"/>
      <c r="AJ608" s="158">
        <f t="shared" si="394"/>
        <v>4.299E-2</v>
      </c>
      <c r="AK608" s="155">
        <f t="shared" si="395"/>
        <v>3.5137912951068717E-3</v>
      </c>
      <c r="AL608" s="147">
        <f t="shared" si="396"/>
        <v>0.91214000400000017</v>
      </c>
      <c r="AM608" s="147">
        <f t="shared" si="374"/>
        <v>0.18345034760858603</v>
      </c>
      <c r="AN608" s="160">
        <f t="shared" si="397"/>
        <v>0</v>
      </c>
      <c r="AO608" s="161">
        <f t="shared" si="398"/>
        <v>0</v>
      </c>
      <c r="AP608" s="156">
        <f t="shared" si="375"/>
        <v>3.0420463996874831</v>
      </c>
      <c r="AQ608" s="152"/>
      <c r="AR608" s="162">
        <f t="shared" si="376"/>
        <v>82923.576771013701</v>
      </c>
      <c r="AS608" s="150">
        <f t="shared" si="399"/>
        <v>0</v>
      </c>
      <c r="AT608" s="163">
        <f t="shared" si="377"/>
        <v>0</v>
      </c>
      <c r="AU608" s="163">
        <f t="shared" si="378"/>
        <v>18345.034760858602</v>
      </c>
      <c r="AV608" s="163">
        <f t="shared" si="400"/>
        <v>259.14583049154538</v>
      </c>
      <c r="AW608" s="163">
        <f t="shared" si="379"/>
        <v>14566.789303479385</v>
      </c>
      <c r="AX608" s="163">
        <f t="shared" si="380"/>
        <v>0</v>
      </c>
      <c r="AY608" s="165">
        <f t="shared" si="401"/>
        <v>79404.477144126024</v>
      </c>
      <c r="AZ608" s="164">
        <f>IF($E608="","",IF(OR(AND($D608=Input!$C$6,$C608=12),$AN608=1),0,-AS609+AT609+AU609-AV609-AW609-AX609+AZ609))</f>
        <v>79404.533670110177</v>
      </c>
      <c r="BA608" s="154">
        <f t="shared" si="381"/>
        <v>5.6525984153267927E-2</v>
      </c>
      <c r="BC608" s="147">
        <f t="shared" si="402"/>
        <v>1.1194597582410991E-5</v>
      </c>
      <c r="BD608" s="164">
        <f>IF(AND($C607=12,$D607=Input!$C$6),0,IF($E608="","",AT608+(AU608+BD609)/(1+$AK608)*MIN((1-AM608-AN608),1)))</f>
        <v>61637.387690211348</v>
      </c>
      <c r="BE608" s="164">
        <f t="shared" si="382"/>
        <v>0.69000575122296892</v>
      </c>
      <c r="BF608" s="164">
        <f t="shared" si="403"/>
        <v>79404.533670110177</v>
      </c>
      <c r="BG608" s="164">
        <f t="shared" si="383"/>
        <v>0.88890180065588753</v>
      </c>
      <c r="BH608" s="152"/>
      <c r="BI608" s="162">
        <f t="shared" si="384"/>
        <v>33690.914915617424</v>
      </c>
      <c r="BJ608" s="150">
        <f t="shared" si="385"/>
        <v>0</v>
      </c>
      <c r="BK608" s="163">
        <f t="shared" si="407"/>
        <v>0</v>
      </c>
      <c r="BL608" s="163">
        <f t="shared" si="386"/>
        <v>5919.152639174541</v>
      </c>
      <c r="BM608" s="163">
        <f t="shared" si="408"/>
        <v>119.04971344859425</v>
      </c>
      <c r="BN608" s="163">
        <f t="shared" si="387"/>
        <v>1754.7684701335857</v>
      </c>
      <c r="BO608" s="163">
        <f t="shared" si="388"/>
        <v>0</v>
      </c>
      <c r="BP608" s="164">
        <f t="shared" si="409"/>
        <v>29645.580460025063</v>
      </c>
      <c r="BQ608" s="164">
        <f>IF($E608="","",IF(AND($D608=Input!$C$6,$C608=12),0,-BJ609+BK609+BL609-BM609-BN609-BO609+BQ609))</f>
        <v>29645.602624268497</v>
      </c>
      <c r="BR608" s="161">
        <f t="shared" si="389"/>
        <v>0</v>
      </c>
      <c r="BT608" s="147">
        <f t="shared" si="390"/>
        <v>1.1194597582410991E-5</v>
      </c>
      <c r="BU608" s="164">
        <f>IF(AND($C607=12,$D607=Input!$C$6),0,IF($E608="","",BK608+(BL608+BU609)/(1+$AK608)*MIN((1-T608-U608),1)))</f>
        <v>79894.125417858639</v>
      </c>
      <c r="BV608" s="164">
        <f t="shared" si="391"/>
        <v>0.8943825832516008</v>
      </c>
      <c r="BW608" s="164">
        <f t="shared" si="392"/>
        <v>29645.602624268497</v>
      </c>
      <c r="BX608" s="164">
        <f t="shared" si="393"/>
        <v>0.33187059146675302</v>
      </c>
    </row>
    <row r="609" spans="1:76" s="150" customFormat="1" x14ac:dyDescent="0.25">
      <c r="A609" s="150">
        <f t="shared" si="404"/>
        <v>605</v>
      </c>
      <c r="B609" s="150">
        <f t="shared" si="405"/>
        <v>51</v>
      </c>
      <c r="C609" s="150">
        <f t="shared" si="406"/>
        <v>5</v>
      </c>
      <c r="D609" s="150">
        <f>IF(E609="","",Input!$C$4+B609-1)</f>
        <v>95</v>
      </c>
      <c r="E609" s="150">
        <f>IF(OR(AND(C608=12,D608=Input!$C$6),E608=""),"",1)</f>
        <v>1</v>
      </c>
      <c r="F609" s="150">
        <f>IF(E609="","",Input!$C$8+B609-1)</f>
        <v>2068</v>
      </c>
      <c r="G609" s="151">
        <f>IF(E609="","",MAX(0,Input!$C$9-B609))</f>
        <v>0</v>
      </c>
      <c r="H609" s="152">
        <f>IF(E609="","",Input!$C$3)</f>
        <v>100000</v>
      </c>
      <c r="I609" s="153">
        <f>IF(E609="","",HLOOKUP($B609,Input!$C$13:$BT$14,2))</f>
        <v>596.33000000000004</v>
      </c>
      <c r="J609" s="154"/>
      <c r="K609" s="155">
        <f>IF($E609="","",INDEX(Input!$C$16:$CP$16,1,$B609))</f>
        <v>3.2489999999999998E-2</v>
      </c>
      <c r="L609" s="155">
        <f>IF($E609="","",Input!$C$37)</f>
        <v>1.4999999999999999E-2</v>
      </c>
      <c r="M609" s="155">
        <f t="shared" si="369"/>
        <v>4.7489999999999997E-2</v>
      </c>
      <c r="N609" s="155">
        <f t="shared" si="370"/>
        <v>3.8738863612004515E-3</v>
      </c>
      <c r="O609" s="147">
        <f>IF($E609="","",MIN(VLOOKUP(IF($B609&lt;=Input!$C$7,$B609,26),'Mortality Tables'!$A$41:$CW$67,IF($B609&lt;=Input!$C$7+1,Input!$C$4+2,$D609-Input!$C$7+2),0)*IF(B609&gt;20,Input!$C$22,1)/1000,1))</f>
        <v>0.66701280000000018</v>
      </c>
      <c r="P609" s="147">
        <f>IF($E609="","",MIN(VLOOKUP(IF($B609&lt;=Input!$C$7,$B609,26),'Mortality Tables'!$A$12:$CW$37,IF($B609&lt;=Input!$C$7+1,Input!$C$4+2,$D609-Input!$C$7+2),0)*IF(B609&gt;20,Input!$C$22,1)/1000,1))</f>
        <v>0.83376600000000012</v>
      </c>
      <c r="Q609" s="155">
        <f>IF($E609="","",Input!$C$21)</f>
        <v>5.0000000000000001E-3</v>
      </c>
      <c r="R609" s="159">
        <f>IF($E609="","",(1-Q609)^($F609-Input!$C$20))</f>
        <v>0.77831255706864233</v>
      </c>
      <c r="S609" s="147">
        <f t="shared" si="372"/>
        <v>0.51914443796551502</v>
      </c>
      <c r="T609" s="147">
        <f t="shared" si="373"/>
        <v>5.9191526391745408E-2</v>
      </c>
      <c r="U609" s="160">
        <f>IF($E609="","",IF($C609=12,INDEX(Input!$C$15:$CP$15,1,$B609),0))</f>
        <v>0</v>
      </c>
      <c r="V609" s="150">
        <f>IF(E609="","",IF(C609=1,IF($B609=1,Input!$C$33,Input!$C$34),0))</f>
        <v>0</v>
      </c>
      <c r="W609" s="156">
        <f>IF($E609="","",Input!$C$35)</f>
        <v>0.02</v>
      </c>
      <c r="X609" s="156">
        <f t="shared" si="371"/>
        <v>2.6915880290736074</v>
      </c>
      <c r="Y609" s="154"/>
      <c r="Z609" s="147">
        <f>IF($E609="","",VLOOKUP($D609,'Mortality Margins &amp; Grading'!$AB$5:$AF$125,3,0)*IF(Summary!$D$25="Included Margin",IF(AND($B609&gt;Input!$C$9,Summary!$D$31&lt;&gt;"Included Margin"),0,1),0))</f>
        <v>1.7999999999999999E-2</v>
      </c>
      <c r="AA609" s="147">
        <f>IF($E609="","",VLOOKUP($D609,'Mortality Margins &amp; Grading'!$AB$5:$AF$125,5,0)*IF(Summary!$D$25="Included Margin",IF(AND($B609&gt;Input!$C$9,Summary!$D$31&lt;&gt;"Included Margin"),0,1),0))</f>
        <v>9.4E-2</v>
      </c>
      <c r="AB609" s="147">
        <f>IF($E609="","",IF(AND($B609&gt;Input!$C$9,Summary!$D$31&lt;&gt;"Included Margin"),1,IF(Summary!$D$25="Included Margin",VLOOKUP($B609,'Mortality Margins &amp; Grading'!$AI$5:$AR$125,MATCH('Mortality Margins &amp; Grading'!$AQ$4,'Mortality Margins &amp; Grading'!$AI$4:$AR$4,0),0),1)))</f>
        <v>0</v>
      </c>
      <c r="AC609" s="154"/>
      <c r="AD609" s="158">
        <f>IF(E609="","",Input!$C$48*IF(Summary!$D$30="Included Margin",IF(AND($B609&gt;Input!$C$9,Summary!$D$31&lt;&gt;"Included Margin"),0,1),0))</f>
        <v>-4.4999999999999997E-3</v>
      </c>
      <c r="AE609" s="159">
        <f>IF(E609="","",IF(Summary!$D$26="Included Margin",IF(AND($B609&gt;Input!$C$9,Summary!$D$31&lt;&gt;"Included Margin"),1,1/$R609),1))</f>
        <v>1.2848308702178708</v>
      </c>
      <c r="AF609" s="160">
        <f>IF(E609="","",IF(AND($B609&gt;=Input!$C$9,$C609=12,Summary!$D$31="Included Margin",$U609&gt;0),1/U609-1,IF($B609&gt;=Input!$C$9,0,Input!$C$45*IF(Summary!$D$27="Included Margin",1,0))))</f>
        <v>0</v>
      </c>
      <c r="AG609" s="160">
        <f>IF(E609="","",Input!$C$46*IF(Summary!$D$28="Included Margin",IF(AND($B609&gt;Input!$C$9,Summary!$D$31&lt;&gt;"Included Margin"),0,1),0))</f>
        <v>0.02</v>
      </c>
      <c r="AH609" s="158">
        <f>IF(E609="","",Input!$C$47*IF(Summary!$D$29="Included Margin",IF(AND($B609&gt;Input!$C$9,Summary!$D$31&lt;&gt;"Included Margin"),0,1),0))</f>
        <v>2.5000000000000001E-3</v>
      </c>
      <c r="AI609" s="154"/>
      <c r="AJ609" s="158">
        <f t="shared" si="394"/>
        <v>4.299E-2</v>
      </c>
      <c r="AK609" s="155">
        <f t="shared" si="395"/>
        <v>3.5137912951068717E-3</v>
      </c>
      <c r="AL609" s="147">
        <f t="shared" si="396"/>
        <v>0.91214000400000017</v>
      </c>
      <c r="AM609" s="147">
        <f t="shared" si="374"/>
        <v>0.18345034760858603</v>
      </c>
      <c r="AN609" s="160">
        <f t="shared" si="397"/>
        <v>0</v>
      </c>
      <c r="AO609" s="161">
        <f t="shared" si="398"/>
        <v>0</v>
      </c>
      <c r="AP609" s="156">
        <f t="shared" si="375"/>
        <v>3.0420463996874831</v>
      </c>
      <c r="AQ609" s="152"/>
      <c r="AR609" s="162">
        <f t="shared" si="376"/>
        <v>79404.477144126053</v>
      </c>
      <c r="AS609" s="150">
        <f t="shared" si="399"/>
        <v>0</v>
      </c>
      <c r="AT609" s="163">
        <f t="shared" si="377"/>
        <v>0</v>
      </c>
      <c r="AU609" s="163">
        <f t="shared" si="378"/>
        <v>18345.034760858602</v>
      </c>
      <c r="AV609" s="163">
        <f t="shared" si="400"/>
        <v>246.7804488559737</v>
      </c>
      <c r="AW609" s="163">
        <f t="shared" si="379"/>
        <v>13773.391766068396</v>
      </c>
      <c r="AX609" s="163">
        <f t="shared" si="380"/>
        <v>0</v>
      </c>
      <c r="AY609" s="164">
        <f t="shared" si="401"/>
        <v>75079.614598191823</v>
      </c>
      <c r="AZ609" s="164">
        <f>IF($E609="","",IF(OR(AND($D609=Input!$C$6,$C609=12),$AN609=1),0,-AS610+AT610+AU610-AV610-AW610-AX610+AZ610))</f>
        <v>75079.671124175948</v>
      </c>
      <c r="BA609" s="154">
        <f t="shared" si="381"/>
        <v>5.6525984124164097E-2</v>
      </c>
      <c r="BC609" s="147">
        <f t="shared" si="402"/>
        <v>1.0531972264166742E-5</v>
      </c>
      <c r="BD609" s="164">
        <f>IF(AND($C608=12,$D608=Input!$C$6),0,IF($E609="","",AT609+(AU609+BD610)/(1+$AK609)*MIN((1-AM609-AN609),1)))</f>
        <v>57405.372364268136</v>
      </c>
      <c r="BE609" s="164">
        <f t="shared" si="382"/>
        <v>0.60459178955463599</v>
      </c>
      <c r="BF609" s="164">
        <f t="shared" si="403"/>
        <v>75079.671124175948</v>
      </c>
      <c r="BG609" s="164">
        <f t="shared" si="383"/>
        <v>0.79073701388258177</v>
      </c>
      <c r="BH609" s="152"/>
      <c r="BI609" s="162">
        <f t="shared" si="384"/>
        <v>29645.580460025067</v>
      </c>
      <c r="BJ609" s="150">
        <f t="shared" si="385"/>
        <v>0</v>
      </c>
      <c r="BK609" s="163">
        <f t="shared" si="407"/>
        <v>0</v>
      </c>
      <c r="BL609" s="163">
        <f t="shared" si="386"/>
        <v>5919.152639174541</v>
      </c>
      <c r="BM609" s="163">
        <f t="shared" si="408"/>
        <v>103.37854747458076</v>
      </c>
      <c r="BN609" s="163">
        <f t="shared" si="387"/>
        <v>1499.2678787070849</v>
      </c>
      <c r="BO609" s="163">
        <f t="shared" si="388"/>
        <v>0</v>
      </c>
      <c r="BP609" s="164">
        <f t="shared" si="409"/>
        <v>25329.074247032193</v>
      </c>
      <c r="BQ609" s="164">
        <f>IF($E609="","",IF(AND($D609=Input!$C$6,$C609=12),0,-BJ610+BK610+BL610-BM610-BN610-BO610+BQ610))</f>
        <v>25329.096411275623</v>
      </c>
      <c r="BR609" s="161">
        <f t="shared" si="389"/>
        <v>0</v>
      </c>
      <c r="BT609" s="147">
        <f t="shared" si="390"/>
        <v>1.0531972264166742E-5</v>
      </c>
      <c r="BU609" s="164">
        <f>IF(AND($C608=12,$D608=Input!$C$6),0,IF($E609="","",BK609+(BL609+BU610)/(1+$AK609)*MIN((1-T609-U609),1)))</f>
        <v>79299.953001732225</v>
      </c>
      <c r="BV609" s="164">
        <f t="shared" si="391"/>
        <v>0.83518490556396996</v>
      </c>
      <c r="BW609" s="164">
        <f t="shared" si="392"/>
        <v>25329.096411275623</v>
      </c>
      <c r="BX609" s="164">
        <f t="shared" si="393"/>
        <v>0.26676534087996023</v>
      </c>
    </row>
    <row r="610" spans="1:76" s="150" customFormat="1" x14ac:dyDescent="0.25">
      <c r="A610" s="150">
        <f t="shared" si="404"/>
        <v>606</v>
      </c>
      <c r="B610" s="150">
        <f t="shared" si="405"/>
        <v>51</v>
      </c>
      <c r="C610" s="150">
        <f t="shared" si="406"/>
        <v>6</v>
      </c>
      <c r="D610" s="150">
        <f>IF(E610="","",Input!$C$4+B610-1)</f>
        <v>95</v>
      </c>
      <c r="E610" s="150">
        <f>IF(OR(AND(C609=12,D609=Input!$C$6),E609=""),"",1)</f>
        <v>1</v>
      </c>
      <c r="F610" s="150">
        <f>IF(E610="","",Input!$C$8+B610-1)</f>
        <v>2068</v>
      </c>
      <c r="G610" s="151">
        <f>IF(E610="","",MAX(0,Input!$C$9-B610))</f>
        <v>0</v>
      </c>
      <c r="H610" s="152">
        <f>IF(E610="","",Input!$C$3)</f>
        <v>100000</v>
      </c>
      <c r="I610" s="153">
        <f>IF(E610="","",HLOOKUP($B610,Input!$C$13:$BT$14,2))</f>
        <v>596.33000000000004</v>
      </c>
      <c r="J610" s="154"/>
      <c r="K610" s="155">
        <f>IF($E610="","",INDEX(Input!$C$16:$CP$16,1,$B610))</f>
        <v>3.2489999999999998E-2</v>
      </c>
      <c r="L610" s="155">
        <f>IF($E610="","",Input!$C$37)</f>
        <v>1.4999999999999999E-2</v>
      </c>
      <c r="M610" s="155">
        <f t="shared" si="369"/>
        <v>4.7489999999999997E-2</v>
      </c>
      <c r="N610" s="155">
        <f t="shared" si="370"/>
        <v>3.8738863612004515E-3</v>
      </c>
      <c r="O610" s="147">
        <f>IF($E610="","",MIN(VLOOKUP(IF($B610&lt;=Input!$C$7,$B610,26),'Mortality Tables'!$A$41:$CW$67,IF($B610&lt;=Input!$C$7+1,Input!$C$4+2,$D610-Input!$C$7+2),0)*IF(B610&gt;20,Input!$C$22,1)/1000,1))</f>
        <v>0.66701280000000018</v>
      </c>
      <c r="P610" s="147">
        <f>IF($E610="","",MIN(VLOOKUP(IF($B610&lt;=Input!$C$7,$B610,26),'Mortality Tables'!$A$12:$CW$37,IF($B610&lt;=Input!$C$7+1,Input!$C$4+2,$D610-Input!$C$7+2),0)*IF(B610&gt;20,Input!$C$22,1)/1000,1))</f>
        <v>0.83376600000000012</v>
      </c>
      <c r="Q610" s="155">
        <f>IF($E610="","",Input!$C$21)</f>
        <v>5.0000000000000001E-3</v>
      </c>
      <c r="R610" s="159">
        <f>IF($E610="","",(1-Q610)^($F610-Input!$C$20))</f>
        <v>0.77831255706864233</v>
      </c>
      <c r="S610" s="147">
        <f t="shared" si="372"/>
        <v>0.51914443796551502</v>
      </c>
      <c r="T610" s="147">
        <f t="shared" si="373"/>
        <v>5.9191526391745408E-2</v>
      </c>
      <c r="U610" s="160">
        <f>IF($E610="","",IF($C610=12,INDEX(Input!$C$15:$CP$15,1,$B610),0))</f>
        <v>0</v>
      </c>
      <c r="V610" s="150">
        <f>IF(E610="","",IF(C610=1,IF($B610=1,Input!$C$33,Input!$C$34),0))</f>
        <v>0</v>
      </c>
      <c r="W610" s="156">
        <f>IF($E610="","",Input!$C$35)</f>
        <v>0.02</v>
      </c>
      <c r="X610" s="156">
        <f t="shared" si="371"/>
        <v>2.6915880290736074</v>
      </c>
      <c r="Y610" s="154"/>
      <c r="Z610" s="147">
        <f>IF($E610="","",VLOOKUP($D610,'Mortality Margins &amp; Grading'!$AB$5:$AF$125,3,0)*IF(Summary!$D$25="Included Margin",IF(AND($B610&gt;Input!$C$9,Summary!$D$31&lt;&gt;"Included Margin"),0,1),0))</f>
        <v>1.7999999999999999E-2</v>
      </c>
      <c r="AA610" s="147">
        <f>IF($E610="","",VLOOKUP($D610,'Mortality Margins &amp; Grading'!$AB$5:$AF$125,5,0)*IF(Summary!$D$25="Included Margin",IF(AND($B610&gt;Input!$C$9,Summary!$D$31&lt;&gt;"Included Margin"),0,1),0))</f>
        <v>9.4E-2</v>
      </c>
      <c r="AB610" s="147">
        <f>IF($E610="","",IF(AND($B610&gt;Input!$C$9,Summary!$D$31&lt;&gt;"Included Margin"),1,IF(Summary!$D$25="Included Margin",VLOOKUP($B610,'Mortality Margins &amp; Grading'!$AI$5:$AR$125,MATCH('Mortality Margins &amp; Grading'!$AQ$4,'Mortality Margins &amp; Grading'!$AI$4:$AR$4,0),0),1)))</f>
        <v>0</v>
      </c>
      <c r="AC610" s="154"/>
      <c r="AD610" s="158">
        <f>IF(E610="","",Input!$C$48*IF(Summary!$D$30="Included Margin",IF(AND($B610&gt;Input!$C$9,Summary!$D$31&lt;&gt;"Included Margin"),0,1),0))</f>
        <v>-4.4999999999999997E-3</v>
      </c>
      <c r="AE610" s="159">
        <f>IF(E610="","",IF(Summary!$D$26="Included Margin",IF(AND($B610&gt;Input!$C$9,Summary!$D$31&lt;&gt;"Included Margin"),1,1/$R610),1))</f>
        <v>1.2848308702178708</v>
      </c>
      <c r="AF610" s="160">
        <f>IF(E610="","",IF(AND($B610&gt;=Input!$C$9,$C610=12,Summary!$D$31="Included Margin",$U610&gt;0),1/U610-1,IF($B610&gt;=Input!$C$9,0,Input!$C$45*IF(Summary!$D$27="Included Margin",1,0))))</f>
        <v>0</v>
      </c>
      <c r="AG610" s="160">
        <f>IF(E610="","",Input!$C$46*IF(Summary!$D$28="Included Margin",IF(AND($B610&gt;Input!$C$9,Summary!$D$31&lt;&gt;"Included Margin"),0,1),0))</f>
        <v>0.02</v>
      </c>
      <c r="AH610" s="158">
        <f>IF(E610="","",Input!$C$47*IF(Summary!$D$29="Included Margin",IF(AND($B610&gt;Input!$C$9,Summary!$D$31&lt;&gt;"Included Margin"),0,1),0))</f>
        <v>2.5000000000000001E-3</v>
      </c>
      <c r="AI610" s="154"/>
      <c r="AJ610" s="158">
        <f t="shared" si="394"/>
        <v>4.299E-2</v>
      </c>
      <c r="AK610" s="155">
        <f t="shared" si="395"/>
        <v>3.5137912951068717E-3</v>
      </c>
      <c r="AL610" s="147">
        <f t="shared" si="396"/>
        <v>0.91214000400000017</v>
      </c>
      <c r="AM610" s="147">
        <f t="shared" si="374"/>
        <v>0.18345034760858603</v>
      </c>
      <c r="AN610" s="160">
        <f t="shared" si="397"/>
        <v>0</v>
      </c>
      <c r="AO610" s="161">
        <f t="shared" si="398"/>
        <v>0</v>
      </c>
      <c r="AP610" s="156">
        <f t="shared" si="375"/>
        <v>3.0420463996874831</v>
      </c>
      <c r="AQ610" s="152"/>
      <c r="AR610" s="162">
        <f t="shared" si="376"/>
        <v>75079.614598191809</v>
      </c>
      <c r="AS610" s="150">
        <f t="shared" si="399"/>
        <v>0</v>
      </c>
      <c r="AT610" s="163">
        <f t="shared" si="377"/>
        <v>0</v>
      </c>
      <c r="AU610" s="163">
        <f t="shared" si="378"/>
        <v>18345.034760858602</v>
      </c>
      <c r="AV610" s="163">
        <f t="shared" si="400"/>
        <v>231.58378448953621</v>
      </c>
      <c r="AW610" s="163">
        <f t="shared" si="379"/>
        <v>12798.331194503973</v>
      </c>
      <c r="AX610" s="163">
        <f t="shared" si="380"/>
        <v>0</v>
      </c>
      <c r="AY610" s="165">
        <f t="shared" si="401"/>
        <v>69764.494816326711</v>
      </c>
      <c r="AZ610" s="164">
        <f>IF($E610="","",IF(OR(AND($D610=Input!$C$6,$C610=12),$AN610=1),0,-AS611+AT611+AU611-AV611-AW611-AX611+AZ611))</f>
        <v>69764.55134231085</v>
      </c>
      <c r="BA610" s="154">
        <f t="shared" si="381"/>
        <v>5.6525984138716012E-2</v>
      </c>
      <c r="BC610" s="147">
        <f t="shared" si="402"/>
        <v>9.9085687499351865E-6</v>
      </c>
      <c r="BD610" s="164">
        <f>IF(AND($C609=12,$D609=Input!$C$6),0,IF($E610="","",AT610+(AU610+BD611)/(1+$AK610)*MIN((1-AM610-AN610),1)))</f>
        <v>52204.358889927069</v>
      </c>
      <c r="BE610" s="164">
        <f t="shared" si="382"/>
        <v>0.51727047910713253</v>
      </c>
      <c r="BF610" s="164">
        <f t="shared" si="403"/>
        <v>69764.55134231085</v>
      </c>
      <c r="BG610" s="164">
        <f t="shared" si="383"/>
        <v>0.6912668532836701</v>
      </c>
      <c r="BH610" s="152"/>
      <c r="BI610" s="162">
        <f t="shared" si="384"/>
        <v>25329.074247032189</v>
      </c>
      <c r="BJ610" s="150">
        <f t="shared" si="385"/>
        <v>0</v>
      </c>
      <c r="BK610" s="163">
        <f t="shared" si="407"/>
        <v>0</v>
      </c>
      <c r="BL610" s="163">
        <f t="shared" si="386"/>
        <v>5919.152639174541</v>
      </c>
      <c r="BM610" s="163">
        <f t="shared" si="408"/>
        <v>86.656892928030629</v>
      </c>
      <c r="BN610" s="163">
        <f t="shared" si="387"/>
        <v>1226.6402622707694</v>
      </c>
      <c r="BO610" s="163">
        <f t="shared" si="388"/>
        <v>0</v>
      </c>
      <c r="BP610" s="164">
        <f t="shared" si="409"/>
        <v>20723.218763056448</v>
      </c>
      <c r="BQ610" s="164">
        <f>IF($E610="","",IF(AND($D610=Input!$C$6,$C610=12),0,-BJ611+BK611+BL611-BM611-BN611-BO611+BQ611))</f>
        <v>20723.240927299881</v>
      </c>
      <c r="BR610" s="161">
        <f t="shared" si="389"/>
        <v>0</v>
      </c>
      <c r="BT610" s="147">
        <f t="shared" si="390"/>
        <v>9.9085687499351865E-6</v>
      </c>
      <c r="BU610" s="164">
        <f>IF(AND($C609=12,$D609=Input!$C$6),0,IF($E610="","",BK610+(BL610+BU611)/(1+$AK610)*MIN((1-T610-U610),1)))</f>
        <v>78666.178720657583</v>
      </c>
      <c r="BV610" s="164">
        <f t="shared" si="391"/>
        <v>0.77946924014832408</v>
      </c>
      <c r="BW610" s="164">
        <f t="shared" si="392"/>
        <v>20723.240927299881</v>
      </c>
      <c r="BX610" s="164">
        <f t="shared" si="393"/>
        <v>0.20533765744962149</v>
      </c>
    </row>
    <row r="611" spans="1:76" s="150" customFormat="1" x14ac:dyDescent="0.25">
      <c r="A611" s="150">
        <f t="shared" si="404"/>
        <v>607</v>
      </c>
      <c r="B611" s="150">
        <f t="shared" si="405"/>
        <v>51</v>
      </c>
      <c r="C611" s="150">
        <f t="shared" si="406"/>
        <v>7</v>
      </c>
      <c r="D611" s="150">
        <f>IF(E611="","",Input!$C$4+B611-1)</f>
        <v>95</v>
      </c>
      <c r="E611" s="150">
        <f>IF(OR(AND(C610=12,D610=Input!$C$6),E610=""),"",1)</f>
        <v>1</v>
      </c>
      <c r="F611" s="150">
        <f>IF(E611="","",Input!$C$8+B611-1)</f>
        <v>2068</v>
      </c>
      <c r="G611" s="151">
        <f>IF(E611="","",MAX(0,Input!$C$9-B611))</f>
        <v>0</v>
      </c>
      <c r="H611" s="152">
        <f>IF(E611="","",Input!$C$3)</f>
        <v>100000</v>
      </c>
      <c r="I611" s="153">
        <f>IF(E611="","",HLOOKUP($B611,Input!$C$13:$BT$14,2))</f>
        <v>596.33000000000004</v>
      </c>
      <c r="J611" s="154"/>
      <c r="K611" s="155">
        <f>IF($E611="","",INDEX(Input!$C$16:$CP$16,1,$B611))</f>
        <v>3.2489999999999998E-2</v>
      </c>
      <c r="L611" s="155">
        <f>IF($E611="","",Input!$C$37)</f>
        <v>1.4999999999999999E-2</v>
      </c>
      <c r="M611" s="155">
        <f t="shared" si="369"/>
        <v>4.7489999999999997E-2</v>
      </c>
      <c r="N611" s="155">
        <f t="shared" si="370"/>
        <v>3.8738863612004515E-3</v>
      </c>
      <c r="O611" s="147">
        <f>IF($E611="","",MIN(VLOOKUP(IF($B611&lt;=Input!$C$7,$B611,26),'Mortality Tables'!$A$41:$CW$67,IF($B611&lt;=Input!$C$7+1,Input!$C$4+2,$D611-Input!$C$7+2),0)*IF(B611&gt;20,Input!$C$22,1)/1000,1))</f>
        <v>0.66701280000000018</v>
      </c>
      <c r="P611" s="147">
        <f>IF($E611="","",MIN(VLOOKUP(IF($B611&lt;=Input!$C$7,$B611,26),'Mortality Tables'!$A$12:$CW$37,IF($B611&lt;=Input!$C$7+1,Input!$C$4+2,$D611-Input!$C$7+2),0)*IF(B611&gt;20,Input!$C$22,1)/1000,1))</f>
        <v>0.83376600000000012</v>
      </c>
      <c r="Q611" s="155">
        <f>IF($E611="","",Input!$C$21)</f>
        <v>5.0000000000000001E-3</v>
      </c>
      <c r="R611" s="159">
        <f>IF($E611="","",(1-Q611)^($F611-Input!$C$20))</f>
        <v>0.77831255706864233</v>
      </c>
      <c r="S611" s="147">
        <f t="shared" si="372"/>
        <v>0.51914443796551502</v>
      </c>
      <c r="T611" s="147">
        <f t="shared" si="373"/>
        <v>5.9191526391745408E-2</v>
      </c>
      <c r="U611" s="160">
        <f>IF($E611="","",IF($C611=12,INDEX(Input!$C$15:$CP$15,1,$B611),0))</f>
        <v>0</v>
      </c>
      <c r="V611" s="150">
        <f>IF(E611="","",IF(C611=1,IF($B611=1,Input!$C$33,Input!$C$34),0))</f>
        <v>0</v>
      </c>
      <c r="W611" s="156">
        <f>IF($E611="","",Input!$C$35)</f>
        <v>0.02</v>
      </c>
      <c r="X611" s="156">
        <f t="shared" si="371"/>
        <v>2.6915880290736074</v>
      </c>
      <c r="Y611" s="154"/>
      <c r="Z611" s="147">
        <f>IF($E611="","",VLOOKUP($D611,'Mortality Margins &amp; Grading'!$AB$5:$AF$125,3,0)*IF(Summary!$D$25="Included Margin",IF(AND($B611&gt;Input!$C$9,Summary!$D$31&lt;&gt;"Included Margin"),0,1),0))</f>
        <v>1.7999999999999999E-2</v>
      </c>
      <c r="AA611" s="147">
        <f>IF($E611="","",VLOOKUP($D611,'Mortality Margins &amp; Grading'!$AB$5:$AF$125,5,0)*IF(Summary!$D$25="Included Margin",IF(AND($B611&gt;Input!$C$9,Summary!$D$31&lt;&gt;"Included Margin"),0,1),0))</f>
        <v>9.4E-2</v>
      </c>
      <c r="AB611" s="147">
        <f>IF($E611="","",IF(AND($B611&gt;Input!$C$9,Summary!$D$31&lt;&gt;"Included Margin"),1,IF(Summary!$D$25="Included Margin",VLOOKUP($B611,'Mortality Margins &amp; Grading'!$AI$5:$AR$125,MATCH('Mortality Margins &amp; Grading'!$AQ$4,'Mortality Margins &amp; Grading'!$AI$4:$AR$4,0),0),1)))</f>
        <v>0</v>
      </c>
      <c r="AC611" s="154"/>
      <c r="AD611" s="158">
        <f>IF(E611="","",Input!$C$48*IF(Summary!$D$30="Included Margin",IF(AND($B611&gt;Input!$C$9,Summary!$D$31&lt;&gt;"Included Margin"),0,1),0))</f>
        <v>-4.4999999999999997E-3</v>
      </c>
      <c r="AE611" s="159">
        <f>IF(E611="","",IF(Summary!$D$26="Included Margin",IF(AND($B611&gt;Input!$C$9,Summary!$D$31&lt;&gt;"Included Margin"),1,1/$R611),1))</f>
        <v>1.2848308702178708</v>
      </c>
      <c r="AF611" s="160">
        <f>IF(E611="","",IF(AND($B611&gt;=Input!$C$9,$C611=12,Summary!$D$31="Included Margin",$U611&gt;0),1/U611-1,IF($B611&gt;=Input!$C$9,0,Input!$C$45*IF(Summary!$D$27="Included Margin",1,0))))</f>
        <v>0</v>
      </c>
      <c r="AG611" s="160">
        <f>IF(E611="","",Input!$C$46*IF(Summary!$D$28="Included Margin",IF(AND($B611&gt;Input!$C$9,Summary!$D$31&lt;&gt;"Included Margin"),0,1),0))</f>
        <v>0.02</v>
      </c>
      <c r="AH611" s="158">
        <f>IF(E611="","",Input!$C$47*IF(Summary!$D$29="Included Margin",IF(AND($B611&gt;Input!$C$9,Summary!$D$31&lt;&gt;"Included Margin"),0,1),0))</f>
        <v>2.5000000000000001E-3</v>
      </c>
      <c r="AI611" s="154"/>
      <c r="AJ611" s="158">
        <f t="shared" si="394"/>
        <v>4.299E-2</v>
      </c>
      <c r="AK611" s="155">
        <f t="shared" si="395"/>
        <v>3.5137912951068717E-3</v>
      </c>
      <c r="AL611" s="147">
        <f t="shared" si="396"/>
        <v>0.91214000400000017</v>
      </c>
      <c r="AM611" s="147">
        <f t="shared" si="374"/>
        <v>0.18345034760858603</v>
      </c>
      <c r="AN611" s="160">
        <f t="shared" si="397"/>
        <v>0</v>
      </c>
      <c r="AO611" s="161">
        <f t="shared" si="398"/>
        <v>0</v>
      </c>
      <c r="AP611" s="156">
        <f t="shared" si="375"/>
        <v>3.0420463996874831</v>
      </c>
      <c r="AQ611" s="152"/>
      <c r="AR611" s="162">
        <f t="shared" si="376"/>
        <v>69764.494816326711</v>
      </c>
      <c r="AS611" s="150">
        <f t="shared" si="399"/>
        <v>0</v>
      </c>
      <c r="AT611" s="163">
        <f t="shared" si="377"/>
        <v>0</v>
      </c>
      <c r="AU611" s="163">
        <f t="shared" si="378"/>
        <v>18345.034760858602</v>
      </c>
      <c r="AV611" s="163">
        <f t="shared" si="400"/>
        <v>212.90756286756832</v>
      </c>
      <c r="AW611" s="163">
        <f t="shared" si="379"/>
        <v>11600.012478615341</v>
      </c>
      <c r="AX611" s="163">
        <f t="shared" si="380"/>
        <v>0</v>
      </c>
      <c r="AY611" s="164">
        <f t="shared" si="401"/>
        <v>63232.380096951019</v>
      </c>
      <c r="AZ611" s="164">
        <f>IF($E611="","",IF(OR(AND($D611=Input!$C$6,$C611=12),$AN611=1),0,-AS612+AT612+AU612-AV612-AW612-AX612+AZ612))</f>
        <v>63232.436622935158</v>
      </c>
      <c r="BA611" s="154">
        <f t="shared" si="381"/>
        <v>5.6525984138716012E-2</v>
      </c>
      <c r="BC611" s="147">
        <f t="shared" si="402"/>
        <v>9.322065441268974E-6</v>
      </c>
      <c r="BD611" s="164">
        <f>IF(AND($C610=12,$D610=Input!$C$6),0,IF($E611="","",AT611+(AU611+BD612)/(1+$AK611)*MIN((1-AM611-AN611),1)))</f>
        <v>45812.477226727155</v>
      </c>
      <c r="BE611" s="164">
        <f t="shared" si="382"/>
        <v>0.42706691073419512</v>
      </c>
      <c r="BF611" s="164">
        <f t="shared" si="403"/>
        <v>63232.436622935158</v>
      </c>
      <c r="BG611" s="164">
        <f t="shared" si="383"/>
        <v>0.58945691220989449</v>
      </c>
      <c r="BH611" s="152"/>
      <c r="BI611" s="162">
        <f t="shared" si="384"/>
        <v>20723.218763056451</v>
      </c>
      <c r="BJ611" s="150">
        <f t="shared" si="385"/>
        <v>0</v>
      </c>
      <c r="BK611" s="163">
        <f t="shared" si="407"/>
        <v>0</v>
      </c>
      <c r="BL611" s="163">
        <f t="shared" si="386"/>
        <v>5919.152639174541</v>
      </c>
      <c r="BM611" s="163">
        <f t="shared" si="408"/>
        <v>68.814332186996722</v>
      </c>
      <c r="BN611" s="163">
        <f t="shared" si="387"/>
        <v>935.73754134643139</v>
      </c>
      <c r="BO611" s="163">
        <f t="shared" si="388"/>
        <v>0</v>
      </c>
      <c r="BP611" s="164">
        <f t="shared" si="409"/>
        <v>15808.617997415338</v>
      </c>
      <c r="BQ611" s="164">
        <f>IF($E611="","",IF(AND($D611=Input!$C$6,$C611=12),0,-BJ612+BK612+BL612-BM612-BN612-BO612+BQ612))</f>
        <v>15808.640161658768</v>
      </c>
      <c r="BR611" s="161">
        <f t="shared" si="389"/>
        <v>0</v>
      </c>
      <c r="BT611" s="147">
        <f t="shared" si="390"/>
        <v>9.322065441268974E-6</v>
      </c>
      <c r="BU611" s="164">
        <f>IF(AND($C610=12,$D610=Input!$C$6),0,IF($E611="","",BK611+(BL611+BU612)/(1+$AK611)*MIN((1-T611-U611),1)))</f>
        <v>77990.163092112794</v>
      </c>
      <c r="BV611" s="164">
        <f t="shared" si="391"/>
        <v>0.72702940411991568</v>
      </c>
      <c r="BW611" s="164">
        <f t="shared" si="392"/>
        <v>15808.640161658768</v>
      </c>
      <c r="BX611" s="164">
        <f t="shared" si="393"/>
        <v>0.14736917812445596</v>
      </c>
    </row>
    <row r="612" spans="1:76" s="150" customFormat="1" x14ac:dyDescent="0.25">
      <c r="A612" s="150">
        <f t="shared" si="404"/>
        <v>608</v>
      </c>
      <c r="B612" s="150">
        <f t="shared" si="405"/>
        <v>51</v>
      </c>
      <c r="C612" s="150">
        <f t="shared" si="406"/>
        <v>8</v>
      </c>
      <c r="D612" s="150">
        <f>IF(E612="","",Input!$C$4+B612-1)</f>
        <v>95</v>
      </c>
      <c r="E612" s="150">
        <f>IF(OR(AND(C611=12,D611=Input!$C$6),E611=""),"",1)</f>
        <v>1</v>
      </c>
      <c r="F612" s="150">
        <f>IF(E612="","",Input!$C$8+B612-1)</f>
        <v>2068</v>
      </c>
      <c r="G612" s="151">
        <f>IF(E612="","",MAX(0,Input!$C$9-B612))</f>
        <v>0</v>
      </c>
      <c r="H612" s="152">
        <f>IF(E612="","",Input!$C$3)</f>
        <v>100000</v>
      </c>
      <c r="I612" s="153">
        <f>IF(E612="","",HLOOKUP($B612,Input!$C$13:$BT$14,2))</f>
        <v>596.33000000000004</v>
      </c>
      <c r="J612" s="154"/>
      <c r="K612" s="155">
        <f>IF($E612="","",INDEX(Input!$C$16:$CP$16,1,$B612))</f>
        <v>3.2489999999999998E-2</v>
      </c>
      <c r="L612" s="155">
        <f>IF($E612="","",Input!$C$37)</f>
        <v>1.4999999999999999E-2</v>
      </c>
      <c r="M612" s="155">
        <f t="shared" si="369"/>
        <v>4.7489999999999997E-2</v>
      </c>
      <c r="N612" s="155">
        <f t="shared" si="370"/>
        <v>3.8738863612004515E-3</v>
      </c>
      <c r="O612" s="147">
        <f>IF($E612="","",MIN(VLOOKUP(IF($B612&lt;=Input!$C$7,$B612,26),'Mortality Tables'!$A$41:$CW$67,IF($B612&lt;=Input!$C$7+1,Input!$C$4+2,$D612-Input!$C$7+2),0)*IF(B612&gt;20,Input!$C$22,1)/1000,1))</f>
        <v>0.66701280000000018</v>
      </c>
      <c r="P612" s="147">
        <f>IF($E612="","",MIN(VLOOKUP(IF($B612&lt;=Input!$C$7,$B612,26),'Mortality Tables'!$A$12:$CW$37,IF($B612&lt;=Input!$C$7+1,Input!$C$4+2,$D612-Input!$C$7+2),0)*IF(B612&gt;20,Input!$C$22,1)/1000,1))</f>
        <v>0.83376600000000012</v>
      </c>
      <c r="Q612" s="155">
        <f>IF($E612="","",Input!$C$21)</f>
        <v>5.0000000000000001E-3</v>
      </c>
      <c r="R612" s="159">
        <f>IF($E612="","",(1-Q612)^($F612-Input!$C$20))</f>
        <v>0.77831255706864233</v>
      </c>
      <c r="S612" s="147">
        <f t="shared" si="372"/>
        <v>0.51914443796551502</v>
      </c>
      <c r="T612" s="147">
        <f t="shared" si="373"/>
        <v>5.9191526391745408E-2</v>
      </c>
      <c r="U612" s="160">
        <f>IF($E612="","",IF($C612=12,INDEX(Input!$C$15:$CP$15,1,$B612),0))</f>
        <v>0</v>
      </c>
      <c r="V612" s="150">
        <f>IF(E612="","",IF(C612=1,IF($B612=1,Input!$C$33,Input!$C$34),0))</f>
        <v>0</v>
      </c>
      <c r="W612" s="156">
        <f>IF($E612="","",Input!$C$35)</f>
        <v>0.02</v>
      </c>
      <c r="X612" s="156">
        <f t="shared" si="371"/>
        <v>2.6915880290736074</v>
      </c>
      <c r="Y612" s="154"/>
      <c r="Z612" s="147">
        <f>IF($E612="","",VLOOKUP($D612,'Mortality Margins &amp; Grading'!$AB$5:$AF$125,3,0)*IF(Summary!$D$25="Included Margin",IF(AND($B612&gt;Input!$C$9,Summary!$D$31&lt;&gt;"Included Margin"),0,1),0))</f>
        <v>1.7999999999999999E-2</v>
      </c>
      <c r="AA612" s="147">
        <f>IF($E612="","",VLOOKUP($D612,'Mortality Margins &amp; Grading'!$AB$5:$AF$125,5,0)*IF(Summary!$D$25="Included Margin",IF(AND($B612&gt;Input!$C$9,Summary!$D$31&lt;&gt;"Included Margin"),0,1),0))</f>
        <v>9.4E-2</v>
      </c>
      <c r="AB612" s="147">
        <f>IF($E612="","",IF(AND($B612&gt;Input!$C$9,Summary!$D$31&lt;&gt;"Included Margin"),1,IF(Summary!$D$25="Included Margin",VLOOKUP($B612,'Mortality Margins &amp; Grading'!$AI$5:$AR$125,MATCH('Mortality Margins &amp; Grading'!$AQ$4,'Mortality Margins &amp; Grading'!$AI$4:$AR$4,0),0),1)))</f>
        <v>0</v>
      </c>
      <c r="AC612" s="154"/>
      <c r="AD612" s="158">
        <f>IF(E612="","",Input!$C$48*IF(Summary!$D$30="Included Margin",IF(AND($B612&gt;Input!$C$9,Summary!$D$31&lt;&gt;"Included Margin"),0,1),0))</f>
        <v>-4.4999999999999997E-3</v>
      </c>
      <c r="AE612" s="159">
        <f>IF(E612="","",IF(Summary!$D$26="Included Margin",IF(AND($B612&gt;Input!$C$9,Summary!$D$31&lt;&gt;"Included Margin"),1,1/$R612),1))</f>
        <v>1.2848308702178708</v>
      </c>
      <c r="AF612" s="160">
        <f>IF(E612="","",IF(AND($B612&gt;=Input!$C$9,$C612=12,Summary!$D$31="Included Margin",$U612&gt;0),1/U612-1,IF($B612&gt;=Input!$C$9,0,Input!$C$45*IF(Summary!$D$27="Included Margin",1,0))))</f>
        <v>0</v>
      </c>
      <c r="AG612" s="160">
        <f>IF(E612="","",Input!$C$46*IF(Summary!$D$28="Included Margin",IF(AND($B612&gt;Input!$C$9,Summary!$D$31&lt;&gt;"Included Margin"),0,1),0))</f>
        <v>0.02</v>
      </c>
      <c r="AH612" s="158">
        <f>IF(E612="","",Input!$C$47*IF(Summary!$D$29="Included Margin",IF(AND($B612&gt;Input!$C$9,Summary!$D$31&lt;&gt;"Included Margin"),0,1),0))</f>
        <v>2.5000000000000001E-3</v>
      </c>
      <c r="AI612" s="154"/>
      <c r="AJ612" s="158">
        <f t="shared" si="394"/>
        <v>4.299E-2</v>
      </c>
      <c r="AK612" s="155">
        <f t="shared" si="395"/>
        <v>3.5137912951068717E-3</v>
      </c>
      <c r="AL612" s="147">
        <f t="shared" si="396"/>
        <v>0.91214000400000017</v>
      </c>
      <c r="AM612" s="147">
        <f t="shared" si="374"/>
        <v>0.18345034760858603</v>
      </c>
      <c r="AN612" s="160">
        <f t="shared" si="397"/>
        <v>0</v>
      </c>
      <c r="AO612" s="161">
        <f t="shared" si="398"/>
        <v>0</v>
      </c>
      <c r="AP612" s="156">
        <f t="shared" si="375"/>
        <v>3.0420463996874831</v>
      </c>
      <c r="AQ612" s="152"/>
      <c r="AR612" s="162">
        <f t="shared" si="376"/>
        <v>63232.380096951019</v>
      </c>
      <c r="AS612" s="150">
        <f t="shared" si="399"/>
        <v>0</v>
      </c>
      <c r="AT612" s="163">
        <f t="shared" si="377"/>
        <v>0</v>
      </c>
      <c r="AU612" s="163">
        <f t="shared" si="378"/>
        <v>18345.034760858602</v>
      </c>
      <c r="AV612" s="163">
        <f t="shared" si="400"/>
        <v>189.95507502798654</v>
      </c>
      <c r="AW612" s="163">
        <f t="shared" si="379"/>
        <v>10127.316538767151</v>
      </c>
      <c r="AX612" s="163">
        <f t="shared" si="380"/>
        <v>0</v>
      </c>
      <c r="AY612" s="165">
        <f t="shared" si="401"/>
        <v>55204.616949887553</v>
      </c>
      <c r="AZ612" s="164">
        <f>IF($E612="","",IF(OR(AND($D612=Input!$C$6,$C612=12),$AN612=1),0,-AS613+AT613+AU613-AV613-AW613-AX613+AZ613))</f>
        <v>55204.673475871692</v>
      </c>
      <c r="BA612" s="154">
        <f t="shared" si="381"/>
        <v>5.6525984138716012E-2</v>
      </c>
      <c r="BC612" s="147">
        <f t="shared" si="402"/>
        <v>8.770278158676523E-6</v>
      </c>
      <c r="BD612" s="164">
        <f>IF(AND($C611=12,$D611=Input!$C$6),0,IF($E612="","",AT612+(AU612+BD613)/(1+$AK612)*MIN((1-AM612-AN612),1)))</f>
        <v>37957.056086614182</v>
      </c>
      <c r="BE612" s="164">
        <f t="shared" si="382"/>
        <v>0.33289393996409217</v>
      </c>
      <c r="BF612" s="164">
        <f t="shared" si="403"/>
        <v>55204.673475871692</v>
      </c>
      <c r="BG612" s="164">
        <f t="shared" si="383"/>
        <v>0.48416034204230668</v>
      </c>
      <c r="BH612" s="152"/>
      <c r="BI612" s="162">
        <f t="shared" si="384"/>
        <v>15808.617997415335</v>
      </c>
      <c r="BJ612" s="150">
        <f t="shared" si="385"/>
        <v>0</v>
      </c>
      <c r="BK612" s="163">
        <f t="shared" si="407"/>
        <v>0</v>
      </c>
      <c r="BL612" s="163">
        <f t="shared" si="386"/>
        <v>5919.152639174541</v>
      </c>
      <c r="BM612" s="163">
        <f t="shared" si="408"/>
        <v>49.775727310234302</v>
      </c>
      <c r="BN612" s="163">
        <f t="shared" si="387"/>
        <v>625.33467700216113</v>
      </c>
      <c r="BO612" s="163">
        <f t="shared" si="388"/>
        <v>0</v>
      </c>
      <c r="BP612" s="164">
        <f t="shared" si="409"/>
        <v>10564.57576255319</v>
      </c>
      <c r="BQ612" s="164">
        <f>IF($E612="","",IF(AND($D612=Input!$C$6,$C612=12),0,-BJ613+BK613+BL613-BM613-BN613-BO613+BQ613))</f>
        <v>10564.597926796623</v>
      </c>
      <c r="BR612" s="161">
        <f t="shared" si="389"/>
        <v>0</v>
      </c>
      <c r="BT612" s="147">
        <f t="shared" si="390"/>
        <v>8.770278158676523E-6</v>
      </c>
      <c r="BU612" s="164">
        <f>IF(AND($C611=12,$D611=Input!$C$6),0,IF($E612="","",BK612+(BL612+BU613)/(1+$AK612)*MIN((1-T612-U612),1)))</f>
        <v>77269.090710851277</v>
      </c>
      <c r="BV612" s="164">
        <f t="shared" si="391"/>
        <v>0.67767141860217395</v>
      </c>
      <c r="BW612" s="164">
        <f t="shared" si="392"/>
        <v>10564.597926796623</v>
      </c>
      <c r="BX612" s="164">
        <f t="shared" si="393"/>
        <v>9.26544624525837E-2</v>
      </c>
    </row>
    <row r="613" spans="1:76" s="150" customFormat="1" x14ac:dyDescent="0.25">
      <c r="A613" s="150">
        <f t="shared" si="404"/>
        <v>609</v>
      </c>
      <c r="B613" s="150">
        <f t="shared" si="405"/>
        <v>51</v>
      </c>
      <c r="C613" s="150">
        <f t="shared" si="406"/>
        <v>9</v>
      </c>
      <c r="D613" s="150">
        <f>IF(E613="","",Input!$C$4+B613-1)</f>
        <v>95</v>
      </c>
      <c r="E613" s="150">
        <f>IF(OR(AND(C612=12,D612=Input!$C$6),E612=""),"",1)</f>
        <v>1</v>
      </c>
      <c r="F613" s="150">
        <f>IF(E613="","",Input!$C$8+B613-1)</f>
        <v>2068</v>
      </c>
      <c r="G613" s="151">
        <f>IF(E613="","",MAX(0,Input!$C$9-B613))</f>
        <v>0</v>
      </c>
      <c r="H613" s="152">
        <f>IF(E613="","",Input!$C$3)</f>
        <v>100000</v>
      </c>
      <c r="I613" s="153">
        <f>IF(E613="","",HLOOKUP($B613,Input!$C$13:$BT$14,2))</f>
        <v>596.33000000000004</v>
      </c>
      <c r="J613" s="154"/>
      <c r="K613" s="155">
        <f>IF($E613="","",INDEX(Input!$C$16:$CP$16,1,$B613))</f>
        <v>3.2489999999999998E-2</v>
      </c>
      <c r="L613" s="155">
        <f>IF($E613="","",Input!$C$37)</f>
        <v>1.4999999999999999E-2</v>
      </c>
      <c r="M613" s="155">
        <f t="shared" si="369"/>
        <v>4.7489999999999997E-2</v>
      </c>
      <c r="N613" s="155">
        <f t="shared" si="370"/>
        <v>3.8738863612004515E-3</v>
      </c>
      <c r="O613" s="147">
        <f>IF($E613="","",MIN(VLOOKUP(IF($B613&lt;=Input!$C$7,$B613,26),'Mortality Tables'!$A$41:$CW$67,IF($B613&lt;=Input!$C$7+1,Input!$C$4+2,$D613-Input!$C$7+2),0)*IF(B613&gt;20,Input!$C$22,1)/1000,1))</f>
        <v>0.66701280000000018</v>
      </c>
      <c r="P613" s="147">
        <f>IF($E613="","",MIN(VLOOKUP(IF($B613&lt;=Input!$C$7,$B613,26),'Mortality Tables'!$A$12:$CW$37,IF($B613&lt;=Input!$C$7+1,Input!$C$4+2,$D613-Input!$C$7+2),0)*IF(B613&gt;20,Input!$C$22,1)/1000,1))</f>
        <v>0.83376600000000012</v>
      </c>
      <c r="Q613" s="155">
        <f>IF($E613="","",Input!$C$21)</f>
        <v>5.0000000000000001E-3</v>
      </c>
      <c r="R613" s="159">
        <f>IF($E613="","",(1-Q613)^($F613-Input!$C$20))</f>
        <v>0.77831255706864233</v>
      </c>
      <c r="S613" s="147">
        <f t="shared" si="372"/>
        <v>0.51914443796551502</v>
      </c>
      <c r="T613" s="147">
        <f t="shared" si="373"/>
        <v>5.9191526391745408E-2</v>
      </c>
      <c r="U613" s="160">
        <f>IF($E613="","",IF($C613=12,INDEX(Input!$C$15:$CP$15,1,$B613),0))</f>
        <v>0</v>
      </c>
      <c r="V613" s="150">
        <f>IF(E613="","",IF(C613=1,IF($B613=1,Input!$C$33,Input!$C$34),0))</f>
        <v>0</v>
      </c>
      <c r="W613" s="156">
        <f>IF($E613="","",Input!$C$35)</f>
        <v>0.02</v>
      </c>
      <c r="X613" s="156">
        <f t="shared" si="371"/>
        <v>2.6915880290736074</v>
      </c>
      <c r="Y613" s="154"/>
      <c r="Z613" s="147">
        <f>IF($E613="","",VLOOKUP($D613,'Mortality Margins &amp; Grading'!$AB$5:$AF$125,3,0)*IF(Summary!$D$25="Included Margin",IF(AND($B613&gt;Input!$C$9,Summary!$D$31&lt;&gt;"Included Margin"),0,1),0))</f>
        <v>1.7999999999999999E-2</v>
      </c>
      <c r="AA613" s="147">
        <f>IF($E613="","",VLOOKUP($D613,'Mortality Margins &amp; Grading'!$AB$5:$AF$125,5,0)*IF(Summary!$D$25="Included Margin",IF(AND($B613&gt;Input!$C$9,Summary!$D$31&lt;&gt;"Included Margin"),0,1),0))</f>
        <v>9.4E-2</v>
      </c>
      <c r="AB613" s="147">
        <f>IF($E613="","",IF(AND($B613&gt;Input!$C$9,Summary!$D$31&lt;&gt;"Included Margin"),1,IF(Summary!$D$25="Included Margin",VLOOKUP($B613,'Mortality Margins &amp; Grading'!$AI$5:$AR$125,MATCH('Mortality Margins &amp; Grading'!$AQ$4,'Mortality Margins &amp; Grading'!$AI$4:$AR$4,0),0),1)))</f>
        <v>0</v>
      </c>
      <c r="AC613" s="154"/>
      <c r="AD613" s="158">
        <f>IF(E613="","",Input!$C$48*IF(Summary!$D$30="Included Margin",IF(AND($B613&gt;Input!$C$9,Summary!$D$31&lt;&gt;"Included Margin"),0,1),0))</f>
        <v>-4.4999999999999997E-3</v>
      </c>
      <c r="AE613" s="159">
        <f>IF(E613="","",IF(Summary!$D$26="Included Margin",IF(AND($B613&gt;Input!$C$9,Summary!$D$31&lt;&gt;"Included Margin"),1,1/$R613),1))</f>
        <v>1.2848308702178708</v>
      </c>
      <c r="AF613" s="160">
        <f>IF(E613="","",IF(AND($B613&gt;=Input!$C$9,$C613=12,Summary!$D$31="Included Margin",$U613&gt;0),1/U613-1,IF($B613&gt;=Input!$C$9,0,Input!$C$45*IF(Summary!$D$27="Included Margin",1,0))))</f>
        <v>0</v>
      </c>
      <c r="AG613" s="160">
        <f>IF(E613="","",Input!$C$46*IF(Summary!$D$28="Included Margin",IF(AND($B613&gt;Input!$C$9,Summary!$D$31&lt;&gt;"Included Margin"),0,1),0))</f>
        <v>0.02</v>
      </c>
      <c r="AH613" s="158">
        <f>IF(E613="","",Input!$C$47*IF(Summary!$D$29="Included Margin",IF(AND($B613&gt;Input!$C$9,Summary!$D$31&lt;&gt;"Included Margin"),0,1),0))</f>
        <v>2.5000000000000001E-3</v>
      </c>
      <c r="AI613" s="154"/>
      <c r="AJ613" s="158">
        <f t="shared" si="394"/>
        <v>4.299E-2</v>
      </c>
      <c r="AK613" s="155">
        <f t="shared" si="395"/>
        <v>3.5137912951068717E-3</v>
      </c>
      <c r="AL613" s="147">
        <f t="shared" si="396"/>
        <v>0.91214000400000017</v>
      </c>
      <c r="AM613" s="147">
        <f t="shared" si="374"/>
        <v>0.18345034760858603</v>
      </c>
      <c r="AN613" s="160">
        <f t="shared" si="397"/>
        <v>0</v>
      </c>
      <c r="AO613" s="161">
        <f t="shared" si="398"/>
        <v>0</v>
      </c>
      <c r="AP613" s="156">
        <f t="shared" si="375"/>
        <v>3.0420463996874831</v>
      </c>
      <c r="AQ613" s="152"/>
      <c r="AR613" s="162">
        <f t="shared" si="376"/>
        <v>55204.616949887561</v>
      </c>
      <c r="AS613" s="150">
        <f t="shared" si="399"/>
        <v>0</v>
      </c>
      <c r="AT613" s="163">
        <f t="shared" si="377"/>
        <v>0</v>
      </c>
      <c r="AU613" s="163">
        <f t="shared" si="378"/>
        <v>18345.034760858602</v>
      </c>
      <c r="AV613" s="163">
        <f t="shared" si="400"/>
        <v>161.74719076265521</v>
      </c>
      <c r="AW613" s="163">
        <f t="shared" si="379"/>
        <v>8317.419636975872</v>
      </c>
      <c r="AX613" s="163">
        <f t="shared" si="380"/>
        <v>0</v>
      </c>
      <c r="AY613" s="164">
        <f t="shared" si="401"/>
        <v>45338.749016767484</v>
      </c>
      <c r="AZ613" s="164">
        <f>IF($E613="","",IF(OR(AND($D613=Input!$C$6,$C613=12),$AN613=1),0,-AS614+AT614+AU614-AV614-AW614-AX614+AZ614))</f>
        <v>45338.805542751623</v>
      </c>
      <c r="BA613" s="154">
        <f t="shared" si="381"/>
        <v>5.6525984138716012E-2</v>
      </c>
      <c r="BC613" s="147">
        <f t="shared" si="402"/>
        <v>8.251152007584274E-6</v>
      </c>
      <c r="BD613" s="164">
        <f>IF(AND($C612=12,$D612=Input!$C$6),0,IF($E613="","",AT613+(AU613+BD614)/(1+$AK613)*MIN((1-AM613-AN613),1)))</f>
        <v>28302.991049114458</v>
      </c>
      <c r="BE613" s="164">
        <f t="shared" si="382"/>
        <v>0.2335322814155405</v>
      </c>
      <c r="BF613" s="164">
        <f t="shared" si="403"/>
        <v>45338.805542751623</v>
      </c>
      <c r="BG613" s="164">
        <f t="shared" si="383"/>
        <v>0.37409737637554807</v>
      </c>
      <c r="BH613" s="152"/>
      <c r="BI613" s="162">
        <f t="shared" si="384"/>
        <v>10564.575762553191</v>
      </c>
      <c r="BJ613" s="150">
        <f t="shared" si="385"/>
        <v>0</v>
      </c>
      <c r="BK613" s="163">
        <f t="shared" si="407"/>
        <v>0</v>
      </c>
      <c r="BL613" s="163">
        <f t="shared" si="386"/>
        <v>5919.152639174541</v>
      </c>
      <c r="BM613" s="163">
        <f t="shared" si="408"/>
        <v>29.46090361904271</v>
      </c>
      <c r="BN613" s="163">
        <f t="shared" si="387"/>
        <v>294.12451201306357</v>
      </c>
      <c r="BO613" s="163">
        <f t="shared" si="388"/>
        <v>0</v>
      </c>
      <c r="BP613" s="164">
        <f t="shared" si="409"/>
        <v>4969.008539010757</v>
      </c>
      <c r="BQ613" s="164">
        <f>IF($E613="","",IF(AND($D613=Input!$C$6,$C613=12),0,-BJ614+BK614+BL614-BM614-BN614-BO614+BQ614))</f>
        <v>4969.0307032541887</v>
      </c>
      <c r="BR613" s="161">
        <f t="shared" si="389"/>
        <v>0</v>
      </c>
      <c r="BT613" s="147">
        <f t="shared" si="390"/>
        <v>8.251152007584274E-6</v>
      </c>
      <c r="BU613" s="164">
        <f>IF(AND($C612=12,$D612=Input!$C$6),0,IF($E613="","",BK613+(BL613+BU614)/(1+$AK613)*MIN((1-T613-U613),1)))</f>
        <v>76499.958523571215</v>
      </c>
      <c r="BV613" s="164">
        <f t="shared" si="391"/>
        <v>0.63121278635187827</v>
      </c>
      <c r="BW613" s="164">
        <f t="shared" si="392"/>
        <v>4969.0307032541887</v>
      </c>
      <c r="BX613" s="164">
        <f t="shared" si="393"/>
        <v>4.1000227662903697E-2</v>
      </c>
    </row>
    <row r="614" spans="1:76" s="150" customFormat="1" x14ac:dyDescent="0.25">
      <c r="A614" s="150">
        <f t="shared" si="404"/>
        <v>610</v>
      </c>
      <c r="B614" s="150">
        <f t="shared" si="405"/>
        <v>51</v>
      </c>
      <c r="C614" s="150">
        <f t="shared" si="406"/>
        <v>10</v>
      </c>
      <c r="D614" s="150">
        <f>IF(E614="","",Input!$C$4+B614-1)</f>
        <v>95</v>
      </c>
      <c r="E614" s="150">
        <f>IF(OR(AND(C613=12,D613=Input!$C$6),E613=""),"",1)</f>
        <v>1</v>
      </c>
      <c r="F614" s="150">
        <f>IF(E614="","",Input!$C$8+B614-1)</f>
        <v>2068</v>
      </c>
      <c r="G614" s="151">
        <f>IF(E614="","",MAX(0,Input!$C$9-B614))</f>
        <v>0</v>
      </c>
      <c r="H614" s="152">
        <f>IF(E614="","",Input!$C$3)</f>
        <v>100000</v>
      </c>
      <c r="I614" s="153">
        <f>IF(E614="","",HLOOKUP($B614,Input!$C$13:$BT$14,2))</f>
        <v>596.33000000000004</v>
      </c>
      <c r="J614" s="154"/>
      <c r="K614" s="155">
        <f>IF($E614="","",INDEX(Input!$C$16:$CP$16,1,$B614))</f>
        <v>3.2489999999999998E-2</v>
      </c>
      <c r="L614" s="155">
        <f>IF($E614="","",Input!$C$37)</f>
        <v>1.4999999999999999E-2</v>
      </c>
      <c r="M614" s="155">
        <f t="shared" si="369"/>
        <v>4.7489999999999997E-2</v>
      </c>
      <c r="N614" s="155">
        <f t="shared" si="370"/>
        <v>3.8738863612004515E-3</v>
      </c>
      <c r="O614" s="147">
        <f>IF($E614="","",MIN(VLOOKUP(IF($B614&lt;=Input!$C$7,$B614,26),'Mortality Tables'!$A$41:$CW$67,IF($B614&lt;=Input!$C$7+1,Input!$C$4+2,$D614-Input!$C$7+2),0)*IF(B614&gt;20,Input!$C$22,1)/1000,1))</f>
        <v>0.66701280000000018</v>
      </c>
      <c r="P614" s="147">
        <f>IF($E614="","",MIN(VLOOKUP(IF($B614&lt;=Input!$C$7,$B614,26),'Mortality Tables'!$A$12:$CW$37,IF($B614&lt;=Input!$C$7+1,Input!$C$4+2,$D614-Input!$C$7+2),0)*IF(B614&gt;20,Input!$C$22,1)/1000,1))</f>
        <v>0.83376600000000012</v>
      </c>
      <c r="Q614" s="155">
        <f>IF($E614="","",Input!$C$21)</f>
        <v>5.0000000000000001E-3</v>
      </c>
      <c r="R614" s="159">
        <f>IF($E614="","",(1-Q614)^($F614-Input!$C$20))</f>
        <v>0.77831255706864233</v>
      </c>
      <c r="S614" s="147">
        <f t="shared" si="372"/>
        <v>0.51914443796551502</v>
      </c>
      <c r="T614" s="147">
        <f t="shared" si="373"/>
        <v>5.9191526391745408E-2</v>
      </c>
      <c r="U614" s="160">
        <f>IF($E614="","",IF($C614=12,INDEX(Input!$C$15:$CP$15,1,$B614),0))</f>
        <v>0</v>
      </c>
      <c r="V614" s="150">
        <f>IF(E614="","",IF(C614=1,IF($B614=1,Input!$C$33,Input!$C$34),0))</f>
        <v>0</v>
      </c>
      <c r="W614" s="156">
        <f>IF($E614="","",Input!$C$35)</f>
        <v>0.02</v>
      </c>
      <c r="X614" s="156">
        <f t="shared" si="371"/>
        <v>2.6915880290736074</v>
      </c>
      <c r="Y614" s="154"/>
      <c r="Z614" s="147">
        <f>IF($E614="","",VLOOKUP($D614,'Mortality Margins &amp; Grading'!$AB$5:$AF$125,3,0)*IF(Summary!$D$25="Included Margin",IF(AND($B614&gt;Input!$C$9,Summary!$D$31&lt;&gt;"Included Margin"),0,1),0))</f>
        <v>1.7999999999999999E-2</v>
      </c>
      <c r="AA614" s="147">
        <f>IF($E614="","",VLOOKUP($D614,'Mortality Margins &amp; Grading'!$AB$5:$AF$125,5,0)*IF(Summary!$D$25="Included Margin",IF(AND($B614&gt;Input!$C$9,Summary!$D$31&lt;&gt;"Included Margin"),0,1),0))</f>
        <v>9.4E-2</v>
      </c>
      <c r="AB614" s="147">
        <f>IF($E614="","",IF(AND($B614&gt;Input!$C$9,Summary!$D$31&lt;&gt;"Included Margin"),1,IF(Summary!$D$25="Included Margin",VLOOKUP($B614,'Mortality Margins &amp; Grading'!$AI$5:$AR$125,MATCH('Mortality Margins &amp; Grading'!$AQ$4,'Mortality Margins &amp; Grading'!$AI$4:$AR$4,0),0),1)))</f>
        <v>0</v>
      </c>
      <c r="AC614" s="154"/>
      <c r="AD614" s="158">
        <f>IF(E614="","",Input!$C$48*IF(Summary!$D$30="Included Margin",IF(AND($B614&gt;Input!$C$9,Summary!$D$31&lt;&gt;"Included Margin"),0,1),0))</f>
        <v>-4.4999999999999997E-3</v>
      </c>
      <c r="AE614" s="159">
        <f>IF(E614="","",IF(Summary!$D$26="Included Margin",IF(AND($B614&gt;Input!$C$9,Summary!$D$31&lt;&gt;"Included Margin"),1,1/$R614),1))</f>
        <v>1.2848308702178708</v>
      </c>
      <c r="AF614" s="160">
        <f>IF(E614="","",IF(AND($B614&gt;=Input!$C$9,$C614=12,Summary!$D$31="Included Margin",$U614&gt;0),1/U614-1,IF($B614&gt;=Input!$C$9,0,Input!$C$45*IF(Summary!$D$27="Included Margin",1,0))))</f>
        <v>0</v>
      </c>
      <c r="AG614" s="160">
        <f>IF(E614="","",Input!$C$46*IF(Summary!$D$28="Included Margin",IF(AND($B614&gt;Input!$C$9,Summary!$D$31&lt;&gt;"Included Margin"),0,1),0))</f>
        <v>0.02</v>
      </c>
      <c r="AH614" s="158">
        <f>IF(E614="","",Input!$C$47*IF(Summary!$D$29="Included Margin",IF(AND($B614&gt;Input!$C$9,Summary!$D$31&lt;&gt;"Included Margin"),0,1),0))</f>
        <v>2.5000000000000001E-3</v>
      </c>
      <c r="AI614" s="154"/>
      <c r="AJ614" s="158">
        <f t="shared" si="394"/>
        <v>4.299E-2</v>
      </c>
      <c r="AK614" s="155">
        <f t="shared" si="395"/>
        <v>3.5137912951068717E-3</v>
      </c>
      <c r="AL614" s="147">
        <f t="shared" si="396"/>
        <v>0.91214000400000017</v>
      </c>
      <c r="AM614" s="147">
        <f t="shared" si="374"/>
        <v>0.18345034760858603</v>
      </c>
      <c r="AN614" s="160">
        <f t="shared" si="397"/>
        <v>0</v>
      </c>
      <c r="AO614" s="161">
        <f t="shared" si="398"/>
        <v>0</v>
      </c>
      <c r="AP614" s="156">
        <f t="shared" si="375"/>
        <v>3.0420463996874831</v>
      </c>
      <c r="AQ614" s="152"/>
      <c r="AR614" s="162">
        <f t="shared" si="376"/>
        <v>45338.749016767484</v>
      </c>
      <c r="AS614" s="150">
        <f t="shared" si="399"/>
        <v>0</v>
      </c>
      <c r="AT614" s="163">
        <f t="shared" si="377"/>
        <v>0</v>
      </c>
      <c r="AU614" s="163">
        <f t="shared" si="378"/>
        <v>18345.034760858602</v>
      </c>
      <c r="AV614" s="163">
        <f t="shared" si="400"/>
        <v>127.08058990058386</v>
      </c>
      <c r="AW614" s="163">
        <f t="shared" si="379"/>
        <v>6093.1133789907035</v>
      </c>
      <c r="AX614" s="163">
        <f t="shared" si="380"/>
        <v>0</v>
      </c>
      <c r="AY614" s="165">
        <f t="shared" si="401"/>
        <v>33213.908224800165</v>
      </c>
      <c r="AZ614" s="164">
        <f>IF($E614="","",IF(OR(AND($D614=Input!$C$6,$C614=12),$AN614=1),0,-AS615+AT615+AU615-AV615-AW615-AX615+AZ615))</f>
        <v>33213.964750784304</v>
      </c>
      <c r="BA614" s="154">
        <f t="shared" si="381"/>
        <v>5.6525984138716012E-2</v>
      </c>
      <c r="BC614" s="147">
        <f t="shared" si="402"/>
        <v>7.7627537257650471E-6</v>
      </c>
      <c r="BD614" s="164">
        <f>IF(AND($C613=12,$D613=Input!$C$6),0,IF($E614="","",AT614+(AU614+BD615)/(1+$AK614)*MIN((1-AM614-AN614),1)))</f>
        <v>16438.449341432806</v>
      </c>
      <c r="BE614" s="164">
        <f t="shared" si="382"/>
        <v>0.12760763387100751</v>
      </c>
      <c r="BF614" s="164">
        <f t="shared" si="403"/>
        <v>33213.964750784304</v>
      </c>
      <c r="BG614" s="164">
        <f t="shared" si="383"/>
        <v>0.25783182861657977</v>
      </c>
      <c r="BH614" s="152"/>
      <c r="BI614" s="162">
        <f t="shared" si="384"/>
        <v>4969.0085390107552</v>
      </c>
      <c r="BJ614" s="150">
        <f t="shared" si="385"/>
        <v>0</v>
      </c>
      <c r="BK614" s="163">
        <f t="shared" si="407"/>
        <v>0</v>
      </c>
      <c r="BL614" s="163">
        <f t="shared" si="386"/>
        <v>5919.152639174541</v>
      </c>
      <c r="BM614" s="163">
        <f t="shared" si="408"/>
        <v>7.7843120685813902</v>
      </c>
      <c r="BN614" s="163">
        <f t="shared" si="387"/>
        <v>-59.28773379158838</v>
      </c>
      <c r="BO614" s="163">
        <f t="shared" si="388"/>
        <v>0</v>
      </c>
      <c r="BP614" s="164">
        <f t="shared" si="409"/>
        <v>-1001.6475218867929</v>
      </c>
      <c r="BQ614" s="164">
        <f>IF($E614="","",IF(AND($D614=Input!$C$6,$C614=12),0,-BJ615+BK615+BL615-BM615-BN615-BO615+BQ615))</f>
        <v>-1001.6253576433601</v>
      </c>
      <c r="BR614" s="161">
        <f t="shared" si="389"/>
        <v>0</v>
      </c>
      <c r="BT614" s="147">
        <f t="shared" si="390"/>
        <v>7.7627537257650471E-6</v>
      </c>
      <c r="BU614" s="164">
        <f>IF(AND($C613=12,$D613=Input!$C$6),0,IF($E614="","",BK614+(BL614+BU615)/(1+$AK614)*MIN((1-T614-U614),1)))</f>
        <v>75679.563322086353</v>
      </c>
      <c r="BV614" s="164">
        <f t="shared" si="391"/>
        <v>0.5874818121427976</v>
      </c>
      <c r="BW614" s="164">
        <f t="shared" si="392"/>
        <v>-1001.6253576433601</v>
      </c>
      <c r="BX614" s="164">
        <f t="shared" si="393"/>
        <v>-7.7753709768667413E-3</v>
      </c>
    </row>
    <row r="615" spans="1:76" s="150" customFormat="1" x14ac:dyDescent="0.25">
      <c r="A615" s="150">
        <f t="shared" si="404"/>
        <v>611</v>
      </c>
      <c r="B615" s="150">
        <f t="shared" si="405"/>
        <v>51</v>
      </c>
      <c r="C615" s="150">
        <f t="shared" si="406"/>
        <v>11</v>
      </c>
      <c r="D615" s="150">
        <f>IF(E615="","",Input!$C$4+B615-1)</f>
        <v>95</v>
      </c>
      <c r="E615" s="150">
        <f>IF(OR(AND(C614=12,D614=Input!$C$6),E614=""),"",1)</f>
        <v>1</v>
      </c>
      <c r="F615" s="150">
        <f>IF(E615="","",Input!$C$8+B615-1)</f>
        <v>2068</v>
      </c>
      <c r="G615" s="151">
        <f>IF(E615="","",MAX(0,Input!$C$9-B615))</f>
        <v>0</v>
      </c>
      <c r="H615" s="152">
        <f>IF(E615="","",Input!$C$3)</f>
        <v>100000</v>
      </c>
      <c r="I615" s="153">
        <f>IF(E615="","",HLOOKUP($B615,Input!$C$13:$BT$14,2))</f>
        <v>596.33000000000004</v>
      </c>
      <c r="J615" s="154"/>
      <c r="K615" s="155">
        <f>IF($E615="","",INDEX(Input!$C$16:$CP$16,1,$B615))</f>
        <v>3.2489999999999998E-2</v>
      </c>
      <c r="L615" s="155">
        <f>IF($E615="","",Input!$C$37)</f>
        <v>1.4999999999999999E-2</v>
      </c>
      <c r="M615" s="155">
        <f t="shared" si="369"/>
        <v>4.7489999999999997E-2</v>
      </c>
      <c r="N615" s="155">
        <f t="shared" si="370"/>
        <v>3.8738863612004515E-3</v>
      </c>
      <c r="O615" s="147">
        <f>IF($E615="","",MIN(VLOOKUP(IF($B615&lt;=Input!$C$7,$B615,26),'Mortality Tables'!$A$41:$CW$67,IF($B615&lt;=Input!$C$7+1,Input!$C$4+2,$D615-Input!$C$7+2),0)*IF(B615&gt;20,Input!$C$22,1)/1000,1))</f>
        <v>0.66701280000000018</v>
      </c>
      <c r="P615" s="147">
        <f>IF($E615="","",MIN(VLOOKUP(IF($B615&lt;=Input!$C$7,$B615,26),'Mortality Tables'!$A$12:$CW$37,IF($B615&lt;=Input!$C$7+1,Input!$C$4+2,$D615-Input!$C$7+2),0)*IF(B615&gt;20,Input!$C$22,1)/1000,1))</f>
        <v>0.83376600000000012</v>
      </c>
      <c r="Q615" s="155">
        <f>IF($E615="","",Input!$C$21)</f>
        <v>5.0000000000000001E-3</v>
      </c>
      <c r="R615" s="159">
        <f>IF($E615="","",(1-Q615)^($F615-Input!$C$20))</f>
        <v>0.77831255706864233</v>
      </c>
      <c r="S615" s="147">
        <f t="shared" si="372"/>
        <v>0.51914443796551502</v>
      </c>
      <c r="T615" s="147">
        <f t="shared" si="373"/>
        <v>5.9191526391745408E-2</v>
      </c>
      <c r="U615" s="160">
        <f>IF($E615="","",IF($C615=12,INDEX(Input!$C$15:$CP$15,1,$B615),0))</f>
        <v>0</v>
      </c>
      <c r="V615" s="150">
        <f>IF(E615="","",IF(C615=1,IF($B615=1,Input!$C$33,Input!$C$34),0))</f>
        <v>0</v>
      </c>
      <c r="W615" s="156">
        <f>IF($E615="","",Input!$C$35)</f>
        <v>0.02</v>
      </c>
      <c r="X615" s="156">
        <f t="shared" si="371"/>
        <v>2.6915880290736074</v>
      </c>
      <c r="Y615" s="154"/>
      <c r="Z615" s="147">
        <f>IF($E615="","",VLOOKUP($D615,'Mortality Margins &amp; Grading'!$AB$5:$AF$125,3,0)*IF(Summary!$D$25="Included Margin",IF(AND($B615&gt;Input!$C$9,Summary!$D$31&lt;&gt;"Included Margin"),0,1),0))</f>
        <v>1.7999999999999999E-2</v>
      </c>
      <c r="AA615" s="147">
        <f>IF($E615="","",VLOOKUP($D615,'Mortality Margins &amp; Grading'!$AB$5:$AF$125,5,0)*IF(Summary!$D$25="Included Margin",IF(AND($B615&gt;Input!$C$9,Summary!$D$31&lt;&gt;"Included Margin"),0,1),0))</f>
        <v>9.4E-2</v>
      </c>
      <c r="AB615" s="147">
        <f>IF($E615="","",IF(AND($B615&gt;Input!$C$9,Summary!$D$31&lt;&gt;"Included Margin"),1,IF(Summary!$D$25="Included Margin",VLOOKUP($B615,'Mortality Margins &amp; Grading'!$AI$5:$AR$125,MATCH('Mortality Margins &amp; Grading'!$AQ$4,'Mortality Margins &amp; Grading'!$AI$4:$AR$4,0),0),1)))</f>
        <v>0</v>
      </c>
      <c r="AC615" s="154"/>
      <c r="AD615" s="158">
        <f>IF(E615="","",Input!$C$48*IF(Summary!$D$30="Included Margin",IF(AND($B615&gt;Input!$C$9,Summary!$D$31&lt;&gt;"Included Margin"),0,1),0))</f>
        <v>-4.4999999999999997E-3</v>
      </c>
      <c r="AE615" s="159">
        <f>IF(E615="","",IF(Summary!$D$26="Included Margin",IF(AND($B615&gt;Input!$C$9,Summary!$D$31&lt;&gt;"Included Margin"),1,1/$R615),1))</f>
        <v>1.2848308702178708</v>
      </c>
      <c r="AF615" s="160">
        <f>IF(E615="","",IF(AND($B615&gt;=Input!$C$9,$C615=12,Summary!$D$31="Included Margin",$U615&gt;0),1/U615-1,IF($B615&gt;=Input!$C$9,0,Input!$C$45*IF(Summary!$D$27="Included Margin",1,0))))</f>
        <v>0</v>
      </c>
      <c r="AG615" s="160">
        <f>IF(E615="","",Input!$C$46*IF(Summary!$D$28="Included Margin",IF(AND($B615&gt;Input!$C$9,Summary!$D$31&lt;&gt;"Included Margin"),0,1),0))</f>
        <v>0.02</v>
      </c>
      <c r="AH615" s="158">
        <f>IF(E615="","",Input!$C$47*IF(Summary!$D$29="Included Margin",IF(AND($B615&gt;Input!$C$9,Summary!$D$31&lt;&gt;"Included Margin"),0,1),0))</f>
        <v>2.5000000000000001E-3</v>
      </c>
      <c r="AI615" s="154"/>
      <c r="AJ615" s="158">
        <f t="shared" si="394"/>
        <v>4.299E-2</v>
      </c>
      <c r="AK615" s="155">
        <f t="shared" si="395"/>
        <v>3.5137912951068717E-3</v>
      </c>
      <c r="AL615" s="147">
        <f t="shared" si="396"/>
        <v>0.91214000400000017</v>
      </c>
      <c r="AM615" s="147">
        <f t="shared" si="374"/>
        <v>0.18345034760858603</v>
      </c>
      <c r="AN615" s="160">
        <f t="shared" si="397"/>
        <v>0</v>
      </c>
      <c r="AO615" s="161">
        <f t="shared" si="398"/>
        <v>0</v>
      </c>
      <c r="AP615" s="156">
        <f t="shared" si="375"/>
        <v>3.0420463996874831</v>
      </c>
      <c r="AQ615" s="152"/>
      <c r="AR615" s="162">
        <f t="shared" si="376"/>
        <v>33213.908224800165</v>
      </c>
      <c r="AS615" s="150">
        <f t="shared" si="399"/>
        <v>0</v>
      </c>
      <c r="AT615" s="163">
        <f t="shared" si="377"/>
        <v>0</v>
      </c>
      <c r="AU615" s="163">
        <f t="shared" si="378"/>
        <v>18345.034760858602</v>
      </c>
      <c r="AV615" s="163">
        <f t="shared" si="400"/>
        <v>84.476429871212389</v>
      </c>
      <c r="AW615" s="163">
        <f t="shared" si="379"/>
        <v>3359.5110813043925</v>
      </c>
      <c r="AX615" s="163">
        <f t="shared" si="380"/>
        <v>0</v>
      </c>
      <c r="AY615" s="164">
        <f t="shared" si="401"/>
        <v>18312.860975117168</v>
      </c>
      <c r="AZ615" s="164">
        <f>IF($E615="","",IF(OR(AND($D615=Input!$C$6,$C615=12),$AN615=1),0,-AS616+AT616+AU616-AV616-AW616-AX616+AZ616))</f>
        <v>18312.917501101303</v>
      </c>
      <c r="BA615" s="154">
        <f t="shared" si="381"/>
        <v>5.6525984135078033E-2</v>
      </c>
      <c r="BC615" s="147">
        <f t="shared" si="402"/>
        <v>7.303264483733805E-6</v>
      </c>
      <c r="BD615" s="164">
        <f>IF(AND($C614=12,$D614=Input!$C$6),0,IF($E615="","",AT615+(AU615+BD616)/(1+$AK615)*MIN((1-AM615-AN615),1)))</f>
        <v>1857.301463670598</v>
      </c>
      <c r="BE615" s="164">
        <f t="shared" si="382"/>
        <v>1.3564363815212289E-2</v>
      </c>
      <c r="BF615" s="164">
        <f t="shared" si="403"/>
        <v>18312.917501101303</v>
      </c>
      <c r="BG615" s="164">
        <f t="shared" si="383"/>
        <v>0.13374407997934037</v>
      </c>
      <c r="BH615" s="152"/>
      <c r="BI615" s="162">
        <f t="shared" si="384"/>
        <v>-1001.6475218867927</v>
      </c>
      <c r="BJ615" s="150">
        <f t="shared" si="385"/>
        <v>0</v>
      </c>
      <c r="BK615" s="163">
        <f t="shared" si="407"/>
        <v>0</v>
      </c>
      <c r="BL615" s="163">
        <f t="shared" si="386"/>
        <v>5919.152639174541</v>
      </c>
      <c r="BM615" s="163">
        <f t="shared" si="408"/>
        <v>-15.345331013148433</v>
      </c>
      <c r="BN615" s="163">
        <f t="shared" si="387"/>
        <v>-436.39033717575387</v>
      </c>
      <c r="BO615" s="163">
        <f t="shared" si="388"/>
        <v>0</v>
      </c>
      <c r="BP615" s="164">
        <f t="shared" si="409"/>
        <v>-7372.535829250236</v>
      </c>
      <c r="BQ615" s="164">
        <f>IF($E615="","",IF(AND($D615=Input!$C$6,$C615=12),0,-BJ616+BK616+BL616-BM616-BN616-BO616+BQ616))</f>
        <v>-7372.5136650068034</v>
      </c>
      <c r="BR615" s="161">
        <f t="shared" si="389"/>
        <v>0</v>
      </c>
      <c r="BT615" s="147">
        <f t="shared" si="390"/>
        <v>7.303264483733805E-6</v>
      </c>
      <c r="BU615" s="164">
        <f>IF(AND($C614=12,$D614=Input!$C$6),0,IF($E615="","",BK615+(BL615+BU616)/(1+$AK615)*MIN((1-T615-U615),1)))</f>
        <v>74804.488402910836</v>
      </c>
      <c r="BV615" s="164">
        <f t="shared" si="391"/>
        <v>0.54631696337685598</v>
      </c>
      <c r="BW615" s="164">
        <f t="shared" si="392"/>
        <v>-7372.5136650068034</v>
      </c>
      <c r="BX615" s="164">
        <f t="shared" si="393"/>
        <v>-5.3843417205486334E-2</v>
      </c>
    </row>
    <row r="616" spans="1:76" s="150" customFormat="1" x14ac:dyDescent="0.25">
      <c r="A616" s="150">
        <f t="shared" si="404"/>
        <v>612</v>
      </c>
      <c r="B616" s="150">
        <f t="shared" si="405"/>
        <v>51</v>
      </c>
      <c r="C616" s="150">
        <f t="shared" si="406"/>
        <v>12</v>
      </c>
      <c r="D616" s="150">
        <f>IF(E616="","",Input!$C$4+B616-1)</f>
        <v>95</v>
      </c>
      <c r="E616" s="150">
        <f>IF(OR(AND(C615=12,D615=Input!$C$6),E615=""),"",1)</f>
        <v>1</v>
      </c>
      <c r="F616" s="150">
        <f>IF(E616="","",Input!$C$8+B616-1)</f>
        <v>2068</v>
      </c>
      <c r="G616" s="151">
        <f>IF(E616="","",MAX(0,Input!$C$9-B616))</f>
        <v>0</v>
      </c>
      <c r="H616" s="152">
        <f>IF(E616="","",Input!$C$3)</f>
        <v>100000</v>
      </c>
      <c r="I616" s="153">
        <f>IF(E616="","",HLOOKUP($B616,Input!$C$13:$BT$14,2))</f>
        <v>596.33000000000004</v>
      </c>
      <c r="J616" s="154"/>
      <c r="K616" s="155">
        <f>IF($E616="","",INDEX(Input!$C$16:$CP$16,1,$B616))</f>
        <v>3.2489999999999998E-2</v>
      </c>
      <c r="L616" s="155">
        <f>IF($E616="","",Input!$C$37)</f>
        <v>1.4999999999999999E-2</v>
      </c>
      <c r="M616" s="155">
        <f t="shared" si="369"/>
        <v>4.7489999999999997E-2</v>
      </c>
      <c r="N616" s="155">
        <f t="shared" si="370"/>
        <v>3.8738863612004515E-3</v>
      </c>
      <c r="O616" s="147">
        <f>IF($E616="","",MIN(VLOOKUP(IF($B616&lt;=Input!$C$7,$B616,26),'Mortality Tables'!$A$41:$CW$67,IF($B616&lt;=Input!$C$7+1,Input!$C$4+2,$D616-Input!$C$7+2),0)*IF(B616&gt;20,Input!$C$22,1)/1000,1))</f>
        <v>0.66701280000000018</v>
      </c>
      <c r="P616" s="147">
        <f>IF($E616="","",MIN(VLOOKUP(IF($B616&lt;=Input!$C$7,$B616,26),'Mortality Tables'!$A$12:$CW$37,IF($B616&lt;=Input!$C$7+1,Input!$C$4+2,$D616-Input!$C$7+2),0)*IF(B616&gt;20,Input!$C$22,1)/1000,1))</f>
        <v>0.83376600000000012</v>
      </c>
      <c r="Q616" s="155">
        <f>IF($E616="","",Input!$C$21)</f>
        <v>5.0000000000000001E-3</v>
      </c>
      <c r="R616" s="159">
        <f>IF($E616="","",(1-Q616)^($F616-Input!$C$20))</f>
        <v>0.77831255706864233</v>
      </c>
      <c r="S616" s="147">
        <f t="shared" si="372"/>
        <v>0.51914443796551502</v>
      </c>
      <c r="T616" s="147">
        <f t="shared" si="373"/>
        <v>5.9191526391745408E-2</v>
      </c>
      <c r="U616" s="160">
        <f>IF($E616="","",IF($C616=12,INDEX(Input!$C$15:$CP$15,1,$B616),0))</f>
        <v>0.1</v>
      </c>
      <c r="V616" s="150">
        <f>IF(E616="","",IF(C616=1,IF($B616=1,Input!$C$33,Input!$C$34),0))</f>
        <v>0</v>
      </c>
      <c r="W616" s="156">
        <f>IF($E616="","",Input!$C$35)</f>
        <v>0.02</v>
      </c>
      <c r="X616" s="156">
        <f t="shared" si="371"/>
        <v>2.6915880290736074</v>
      </c>
      <c r="Y616" s="154"/>
      <c r="Z616" s="147">
        <f>IF($E616="","",VLOOKUP($D616,'Mortality Margins &amp; Grading'!$AB$5:$AF$125,3,0)*IF(Summary!$D$25="Included Margin",IF(AND($B616&gt;Input!$C$9,Summary!$D$31&lt;&gt;"Included Margin"),0,1),0))</f>
        <v>1.7999999999999999E-2</v>
      </c>
      <c r="AA616" s="147">
        <f>IF($E616="","",VLOOKUP($D616,'Mortality Margins &amp; Grading'!$AB$5:$AF$125,5,0)*IF(Summary!$D$25="Included Margin",IF(AND($B616&gt;Input!$C$9,Summary!$D$31&lt;&gt;"Included Margin"),0,1),0))</f>
        <v>9.4E-2</v>
      </c>
      <c r="AB616" s="147">
        <f>IF($E616="","",IF(AND($B616&gt;Input!$C$9,Summary!$D$31&lt;&gt;"Included Margin"),1,IF(Summary!$D$25="Included Margin",VLOOKUP($B616,'Mortality Margins &amp; Grading'!$AI$5:$AR$125,MATCH('Mortality Margins &amp; Grading'!$AQ$4,'Mortality Margins &amp; Grading'!$AI$4:$AR$4,0),0),1)))</f>
        <v>0</v>
      </c>
      <c r="AC616" s="154"/>
      <c r="AD616" s="158">
        <f>IF(E616="","",Input!$C$48*IF(Summary!$D$30="Included Margin",IF(AND($B616&gt;Input!$C$9,Summary!$D$31&lt;&gt;"Included Margin"),0,1),0))</f>
        <v>-4.4999999999999997E-3</v>
      </c>
      <c r="AE616" s="159">
        <f>IF(E616="","",IF(Summary!$D$26="Included Margin",IF(AND($B616&gt;Input!$C$9,Summary!$D$31&lt;&gt;"Included Margin"),1,1/$R616),1))</f>
        <v>1.2848308702178708</v>
      </c>
      <c r="AF616" s="160">
        <f>IF(E616="","",IF(AND($B616&gt;=Input!$C$9,$C616=12,Summary!$D$31="Included Margin",$U616&gt;0),1/U616-1,IF($B616&gt;=Input!$C$9,0,Input!$C$45*IF(Summary!$D$27="Included Margin",1,0))))</f>
        <v>9</v>
      </c>
      <c r="AG616" s="160">
        <f>IF(E616="","",Input!$C$46*IF(Summary!$D$28="Included Margin",IF(AND($B616&gt;Input!$C$9,Summary!$D$31&lt;&gt;"Included Margin"),0,1),0))</f>
        <v>0.02</v>
      </c>
      <c r="AH616" s="158">
        <f>IF(E616="","",Input!$C$47*IF(Summary!$D$29="Included Margin",IF(AND($B616&gt;Input!$C$9,Summary!$D$31&lt;&gt;"Included Margin"),0,1),0))</f>
        <v>2.5000000000000001E-3</v>
      </c>
      <c r="AI616" s="154"/>
      <c r="AJ616" s="158">
        <f t="shared" si="394"/>
        <v>4.299E-2</v>
      </c>
      <c r="AK616" s="155">
        <f t="shared" si="395"/>
        <v>3.5137912951068717E-3</v>
      </c>
      <c r="AL616" s="147">
        <f t="shared" si="396"/>
        <v>0.91214000400000017</v>
      </c>
      <c r="AM616" s="147">
        <f t="shared" si="374"/>
        <v>0.18345034760858603</v>
      </c>
      <c r="AN616" s="160">
        <f t="shared" si="397"/>
        <v>1</v>
      </c>
      <c r="AO616" s="161">
        <f t="shared" si="398"/>
        <v>0</v>
      </c>
      <c r="AP616" s="156">
        <f t="shared" si="375"/>
        <v>3.0420463996874831</v>
      </c>
      <c r="AQ616" s="152"/>
      <c r="AR616" s="162">
        <f t="shared" si="376"/>
        <v>18312.860975117168</v>
      </c>
      <c r="AS616" s="150">
        <f t="shared" si="399"/>
        <v>0</v>
      </c>
      <c r="AT616" s="163">
        <f t="shared" si="377"/>
        <v>0</v>
      </c>
      <c r="AU616" s="163">
        <f t="shared" si="378"/>
        <v>18345.034760858602</v>
      </c>
      <c r="AV616" s="163">
        <f t="shared" si="400"/>
        <v>32.117259757300083</v>
      </c>
      <c r="AW616" s="163">
        <f t="shared" si="379"/>
        <v>0</v>
      </c>
      <c r="AX616" s="163">
        <f t="shared" si="380"/>
        <v>0</v>
      </c>
      <c r="AY616" s="165">
        <f t="shared" si="401"/>
        <v>-5.6525984133592999E-2</v>
      </c>
      <c r="AZ616" s="164">
        <f>IF($E616="","",IF(OR(AND($D616=Input!$C$6,$C616=12),$AN616=1),0,-AS617+AT617+AU617-AV617-AW617-AX617+AZ617))</f>
        <v>0</v>
      </c>
      <c r="BA616" s="154">
        <f t="shared" si="381"/>
        <v>5.6525984133592999E-2</v>
      </c>
      <c r="BC616" s="147">
        <f t="shared" si="402"/>
        <v>6.140646662925598E-6</v>
      </c>
      <c r="BD616" s="164">
        <f>IF(AND($C615=12,$D615=Input!$C$6),0,IF($E616="","",AT616+(AU616+BD617)/(1+$AK616)*MIN((1-AM616-AN616),1)))</f>
        <v>-16062.469790158442</v>
      </c>
      <c r="BE616" s="164">
        <f t="shared" si="382"/>
        <v>-9.8633951515279664E-2</v>
      </c>
      <c r="BF616" s="164">
        <f t="shared" si="403"/>
        <v>0</v>
      </c>
      <c r="BG616" s="164">
        <f t="shared" si="383"/>
        <v>0</v>
      </c>
      <c r="BH616" s="152"/>
      <c r="BI616" s="162">
        <f t="shared" si="384"/>
        <v>-7372.5358292502369</v>
      </c>
      <c r="BJ616" s="150">
        <f t="shared" si="385"/>
        <v>0</v>
      </c>
      <c r="BK616" s="163">
        <f t="shared" si="407"/>
        <v>0</v>
      </c>
      <c r="BL616" s="163">
        <f t="shared" si="386"/>
        <v>5919.152639174541</v>
      </c>
      <c r="BM616" s="163">
        <f t="shared" si="408"/>
        <v>-40.025428335775104</v>
      </c>
      <c r="BN616" s="163">
        <f t="shared" si="387"/>
        <v>-931.96815430385527</v>
      </c>
      <c r="BO616" s="163">
        <f t="shared" si="388"/>
        <v>-1481.2990813907911</v>
      </c>
      <c r="BP616" s="164">
        <f t="shared" si="409"/>
        <v>-15744.981132455199</v>
      </c>
      <c r="BQ616" s="164">
        <f>IF($E616="","",IF(AND($D616=Input!$C$6,$C616=12),0,-BJ617+BK617+BL617-BM617-BN617-BO617+BQ617))</f>
        <v>-15744.958968211766</v>
      </c>
      <c r="BR616" s="161">
        <f t="shared" si="389"/>
        <v>0</v>
      </c>
      <c r="BT616" s="147">
        <f t="shared" si="390"/>
        <v>6.140646662925598E-6</v>
      </c>
      <c r="BU616" s="164">
        <f>IF(AND($C615=12,$D615=Input!$C$6),0,IF($E616="","",BK616+(BL616+BU617)/(1+$AK616)*MIN((1-T616-U616),1)))</f>
        <v>73871.089337699246</v>
      </c>
      <c r="BV616" s="164">
        <f t="shared" si="391"/>
        <v>0.4536162582282216</v>
      </c>
      <c r="BW616" s="164">
        <f t="shared" si="392"/>
        <v>-15744.958968211766</v>
      </c>
      <c r="BX616" s="164">
        <f t="shared" si="393"/>
        <v>-9.6684229746050052E-2</v>
      </c>
    </row>
    <row r="617" spans="1:76" s="150" customFormat="1" x14ac:dyDescent="0.25">
      <c r="A617" s="150">
        <f t="shared" si="404"/>
        <v>613</v>
      </c>
      <c r="B617" s="150">
        <f t="shared" si="405"/>
        <v>52</v>
      </c>
      <c r="C617" s="150">
        <f t="shared" si="406"/>
        <v>1</v>
      </c>
      <c r="D617" s="150">
        <f>IF(E617="","",Input!$C$4+B617-1)</f>
        <v>96</v>
      </c>
      <c r="E617" s="150">
        <f>IF(OR(AND(C616=12,D616=Input!$C$6),E616=""),"",1)</f>
        <v>1</v>
      </c>
      <c r="F617" s="150">
        <f>IF(E617="","",Input!$C$8+B617-1)</f>
        <v>2069</v>
      </c>
      <c r="G617" s="151">
        <f>IF(E617="","",MAX(0,Input!$C$9-B617))</f>
        <v>0</v>
      </c>
      <c r="H617" s="152">
        <f>IF(E617="","",Input!$C$3)</f>
        <v>100000</v>
      </c>
      <c r="I617" s="153">
        <f>IF(E617="","",HLOOKUP($B617,Input!$C$13:$BT$14,2))</f>
        <v>642.95350000000008</v>
      </c>
      <c r="J617" s="154"/>
      <c r="K617" s="155">
        <f>IF($E617="","",INDEX(Input!$C$16:$CP$16,1,$B617))</f>
        <v>3.2559999999999999E-2</v>
      </c>
      <c r="L617" s="155">
        <f>IF($E617="","",Input!$C$37)</f>
        <v>1.4999999999999999E-2</v>
      </c>
      <c r="M617" s="155">
        <f t="shared" si="369"/>
        <v>4.7559999999999998E-2</v>
      </c>
      <c r="N617" s="155">
        <f t="shared" si="370"/>
        <v>3.8794766309420137E-3</v>
      </c>
      <c r="O617" s="147">
        <f>IF($E617="","",MIN(VLOOKUP(IF($B617&lt;=Input!$C$7,$B617,26),'Mortality Tables'!$A$41:$CW$67,IF($B617&lt;=Input!$C$7+1,Input!$C$4+2,$D617-Input!$C$7+2),0)*IF(B617&gt;20,Input!$C$22,1)/1000,1))</f>
        <v>0.71981640000000002</v>
      </c>
      <c r="P617" s="147">
        <f>IF($E617="","",MIN(VLOOKUP(IF($B617&lt;=Input!$C$7,$B617,26),'Mortality Tables'!$A$12:$CW$37,IF($B617&lt;=Input!$C$7+1,Input!$C$4+2,$D617-Input!$C$7+2),0)*IF(B617&gt;20,Input!$C$22,1)/1000,1))</f>
        <v>0.89977049999999992</v>
      </c>
      <c r="Q617" s="155">
        <f>IF($E617="","",Input!$C$21)</f>
        <v>5.0000000000000001E-3</v>
      </c>
      <c r="R617" s="159">
        <f>IF($E617="","",(1-Q617)^($F617-Input!$C$20))</f>
        <v>0.77442099428329914</v>
      </c>
      <c r="S617" s="147">
        <f t="shared" si="372"/>
        <v>0.55744093218942503</v>
      </c>
      <c r="T617" s="147">
        <f t="shared" si="373"/>
        <v>6.5675787197930546E-2</v>
      </c>
      <c r="U617" s="160">
        <f>IF($E617="","",IF($C617=12,INDEX(Input!$C$15:$CP$15,1,$B617),0))</f>
        <v>0</v>
      </c>
      <c r="V617" s="150">
        <f>IF(E617="","",IF(C617=1,IF($B617=1,Input!$C$33,Input!$C$34),0))</f>
        <v>50</v>
      </c>
      <c r="W617" s="156">
        <f>IF($E617="","",Input!$C$35)</f>
        <v>0.02</v>
      </c>
      <c r="X617" s="156">
        <f t="shared" si="371"/>
        <v>2.7454197896550796</v>
      </c>
      <c r="Y617" s="154"/>
      <c r="Z617" s="147">
        <f>IF($E617="","",VLOOKUP($D617,'Mortality Margins &amp; Grading'!$AB$5:$AF$125,3,0)*IF(Summary!$D$25="Included Margin",IF(AND($B617&gt;Input!$C$9,Summary!$D$31&lt;&gt;"Included Margin"),0,1),0))</f>
        <v>1.7000000000000001E-2</v>
      </c>
      <c r="AA617" s="147">
        <f>IF($E617="","",VLOOKUP($D617,'Mortality Margins &amp; Grading'!$AB$5:$AF$125,5,0)*IF(Summary!$D$25="Included Margin",IF(AND($B617&gt;Input!$C$9,Summary!$D$31&lt;&gt;"Included Margin"),0,1),0))</f>
        <v>8.7999999999999995E-2</v>
      </c>
      <c r="AB617" s="147">
        <f>IF($E617="","",IF(AND($B617&gt;Input!$C$9,Summary!$D$31&lt;&gt;"Included Margin"),1,IF(Summary!$D$25="Included Margin",VLOOKUP($B617,'Mortality Margins &amp; Grading'!$AI$5:$AR$125,MATCH('Mortality Margins &amp; Grading'!$AQ$4,'Mortality Margins &amp; Grading'!$AI$4:$AR$4,0),0),1)))</f>
        <v>0</v>
      </c>
      <c r="AC617" s="154"/>
      <c r="AD617" s="158">
        <f>IF(E617="","",Input!$C$48*IF(Summary!$D$30="Included Margin",IF(AND($B617&gt;Input!$C$9,Summary!$D$31&lt;&gt;"Included Margin"),0,1),0))</f>
        <v>-4.4999999999999997E-3</v>
      </c>
      <c r="AE617" s="159">
        <f>IF(E617="","",IF(Summary!$D$26="Included Margin",IF(AND($B617&gt;Input!$C$9,Summary!$D$31&lt;&gt;"Included Margin"),1,1/$R617),1))</f>
        <v>1.2912873067516291</v>
      </c>
      <c r="AF617" s="160">
        <f>IF(E617="","",IF(AND($B617&gt;=Input!$C$9,$C617=12,Summary!$D$31="Included Margin",$U617&gt;0),1/U617-1,IF($B617&gt;=Input!$C$9,0,Input!$C$45*IF(Summary!$D$27="Included Margin",1,0))))</f>
        <v>0</v>
      </c>
      <c r="AG617" s="160">
        <f>IF(E617="","",Input!$C$46*IF(Summary!$D$28="Included Margin",IF(AND($B617&gt;Input!$C$9,Summary!$D$31&lt;&gt;"Included Margin"),0,1),0))</f>
        <v>0.02</v>
      </c>
      <c r="AH617" s="158">
        <f>IF(E617="","",Input!$C$47*IF(Summary!$D$29="Included Margin",IF(AND($B617&gt;Input!$C$9,Summary!$D$31&lt;&gt;"Included Margin"),0,1),0))</f>
        <v>2.5000000000000001E-3</v>
      </c>
      <c r="AI617" s="154"/>
      <c r="AJ617" s="158">
        <f t="shared" si="394"/>
        <v>4.3060000000000001E-2</v>
      </c>
      <c r="AK617" s="155">
        <f t="shared" si="395"/>
        <v>3.5194036695185282E-3</v>
      </c>
      <c r="AL617" s="147">
        <f t="shared" si="396"/>
        <v>0.97895030399999994</v>
      </c>
      <c r="AM617" s="147">
        <f t="shared" si="374"/>
        <v>0.2751127088752382</v>
      </c>
      <c r="AN617" s="160">
        <f t="shared" si="397"/>
        <v>0</v>
      </c>
      <c r="AO617" s="161">
        <f t="shared" si="398"/>
        <v>51</v>
      </c>
      <c r="AP617" s="156">
        <f t="shared" si="375"/>
        <v>3.1104924436804513</v>
      </c>
      <c r="AQ617" s="152"/>
      <c r="AR617" s="162">
        <f t="shared" si="376"/>
        <v>32777.760585896904</v>
      </c>
      <c r="AS617" s="150">
        <f t="shared" si="399"/>
        <v>64295.350000000006</v>
      </c>
      <c r="AT617" s="163">
        <f t="shared" si="377"/>
        <v>158.63511462770302</v>
      </c>
      <c r="AU617" s="163">
        <f t="shared" si="378"/>
        <v>27511.27088752382</v>
      </c>
      <c r="AV617" s="163">
        <f t="shared" si="400"/>
        <v>292.66952674571343</v>
      </c>
      <c r="AW617" s="163">
        <f t="shared" si="379"/>
        <v>26451.345408341767</v>
      </c>
      <c r="AX617" s="163">
        <f t="shared" si="380"/>
        <v>0</v>
      </c>
      <c r="AY617" s="164">
        <f t="shared" si="401"/>
        <v>96147.219518832862</v>
      </c>
      <c r="AZ617" s="164">
        <f>IF($E617="","",IF(OR(AND($D617=Input!$C$6,$C617=12),$AN617=1),0,-AS618+AT618+AU618-AV618-AW618-AX618+AZ618))</f>
        <v>96147.30455922804</v>
      </c>
      <c r="BA617" s="154">
        <f t="shared" si="381"/>
        <v>8.5040395177202299E-2</v>
      </c>
      <c r="BC617" s="147">
        <f t="shared" si="402"/>
        <v>5.7373548594336141E-6</v>
      </c>
      <c r="BD617" s="164">
        <f>IF(AND($C616=12,$D616=Input!$C$6),0,IF($E617="","",AT617+(AU617+BD618)/(1+$AK617)*MIN((1-AM617-AN617),1)))</f>
        <v>69520.211431406482</v>
      </c>
      <c r="BE617" s="164">
        <f t="shared" si="382"/>
        <v>0.39886212288483225</v>
      </c>
      <c r="BF617" s="164">
        <f t="shared" si="403"/>
        <v>96147.30455922804</v>
      </c>
      <c r="BG617" s="164">
        <f t="shared" si="383"/>
        <v>0.55163120503433072</v>
      </c>
      <c r="BH617" s="152"/>
      <c r="BI617" s="162">
        <f t="shared" si="384"/>
        <v>-15744.983631442974</v>
      </c>
      <c r="BJ617" s="150">
        <f t="shared" si="385"/>
        <v>64295.350000000006</v>
      </c>
      <c r="BK617" s="163">
        <f t="shared" si="407"/>
        <v>137.27098948275398</v>
      </c>
      <c r="BL617" s="163">
        <f t="shared" si="386"/>
        <v>6567.5787197930549</v>
      </c>
      <c r="BM617" s="163">
        <f t="shared" si="408"/>
        <v>175.07808807203082</v>
      </c>
      <c r="BN617" s="163">
        <f t="shared" si="387"/>
        <v>2953.725506115517</v>
      </c>
      <c r="BO617" s="163">
        <f t="shared" si="388"/>
        <v>0</v>
      </c>
      <c r="BP617" s="164">
        <f t="shared" si="409"/>
        <v>44974.320253468773</v>
      </c>
      <c r="BQ617" s="164">
        <f>IF($E617="","",IF(AND($D617=Input!$C$6,$C617=12),0,-BJ618+BK618+BL618-BM618-BN618-BO618+BQ618))</f>
        <v>44974.344916699978</v>
      </c>
      <c r="BR617" s="161">
        <f t="shared" si="389"/>
        <v>0</v>
      </c>
      <c r="BT617" s="147">
        <f t="shared" si="390"/>
        <v>5.7373548594336141E-6</v>
      </c>
      <c r="BU617" s="164">
        <f>IF(AND($C616=12,$D616=Input!$C$6),0,IF($E617="","",BK617+(BL617+BU618)/(1+$AK617)*MIN((1-T617-U617),1)))</f>
        <v>82246.772485543828</v>
      </c>
      <c r="BV617" s="164">
        <f t="shared" si="391"/>
        <v>0.47187891979266577</v>
      </c>
      <c r="BW617" s="164">
        <f t="shared" si="392"/>
        <v>44974.344916699978</v>
      </c>
      <c r="BX617" s="164">
        <f t="shared" si="393"/>
        <v>0.25803377635767211</v>
      </c>
    </row>
    <row r="618" spans="1:76" s="150" customFormat="1" x14ac:dyDescent="0.25">
      <c r="A618" s="150">
        <f t="shared" si="404"/>
        <v>614</v>
      </c>
      <c r="B618" s="150">
        <f t="shared" si="405"/>
        <v>52</v>
      </c>
      <c r="C618" s="150">
        <f t="shared" si="406"/>
        <v>2</v>
      </c>
      <c r="D618" s="150">
        <f>IF(E618="","",Input!$C$4+B618-1)</f>
        <v>96</v>
      </c>
      <c r="E618" s="150">
        <f>IF(OR(AND(C617=12,D617=Input!$C$6),E617=""),"",1)</f>
        <v>1</v>
      </c>
      <c r="F618" s="150">
        <f>IF(E618="","",Input!$C$8+B618-1)</f>
        <v>2069</v>
      </c>
      <c r="G618" s="151">
        <f>IF(E618="","",MAX(0,Input!$C$9-B618))</f>
        <v>0</v>
      </c>
      <c r="H618" s="152">
        <f>IF(E618="","",Input!$C$3)</f>
        <v>100000</v>
      </c>
      <c r="I618" s="153">
        <f>IF(E618="","",HLOOKUP($B618,Input!$C$13:$BT$14,2))</f>
        <v>642.95350000000008</v>
      </c>
      <c r="J618" s="154"/>
      <c r="K618" s="155">
        <f>IF($E618="","",INDEX(Input!$C$16:$CP$16,1,$B618))</f>
        <v>3.2559999999999999E-2</v>
      </c>
      <c r="L618" s="155">
        <f>IF($E618="","",Input!$C$37)</f>
        <v>1.4999999999999999E-2</v>
      </c>
      <c r="M618" s="155">
        <f t="shared" si="369"/>
        <v>4.7559999999999998E-2</v>
      </c>
      <c r="N618" s="155">
        <f t="shared" si="370"/>
        <v>3.8794766309420137E-3</v>
      </c>
      <c r="O618" s="147">
        <f>IF($E618="","",MIN(VLOOKUP(IF($B618&lt;=Input!$C$7,$B618,26),'Mortality Tables'!$A$41:$CW$67,IF($B618&lt;=Input!$C$7+1,Input!$C$4+2,$D618-Input!$C$7+2),0)*IF(B618&gt;20,Input!$C$22,1)/1000,1))</f>
        <v>0.71981640000000002</v>
      </c>
      <c r="P618" s="147">
        <f>IF($E618="","",MIN(VLOOKUP(IF($B618&lt;=Input!$C$7,$B618,26),'Mortality Tables'!$A$12:$CW$37,IF($B618&lt;=Input!$C$7+1,Input!$C$4+2,$D618-Input!$C$7+2),0)*IF(B618&gt;20,Input!$C$22,1)/1000,1))</f>
        <v>0.89977049999999992</v>
      </c>
      <c r="Q618" s="155">
        <f>IF($E618="","",Input!$C$21)</f>
        <v>5.0000000000000001E-3</v>
      </c>
      <c r="R618" s="159">
        <f>IF($E618="","",(1-Q618)^($F618-Input!$C$20))</f>
        <v>0.77442099428329914</v>
      </c>
      <c r="S618" s="147">
        <f t="shared" si="372"/>
        <v>0.55744093218942503</v>
      </c>
      <c r="T618" s="147">
        <f t="shared" si="373"/>
        <v>6.5675787197930546E-2</v>
      </c>
      <c r="U618" s="160">
        <f>IF($E618="","",IF($C618=12,INDEX(Input!$C$15:$CP$15,1,$B618),0))</f>
        <v>0</v>
      </c>
      <c r="V618" s="150">
        <f>IF(E618="","",IF(C618=1,IF($B618=1,Input!$C$33,Input!$C$34),0))</f>
        <v>0</v>
      </c>
      <c r="W618" s="156">
        <f>IF($E618="","",Input!$C$35)</f>
        <v>0.02</v>
      </c>
      <c r="X618" s="156">
        <f t="shared" si="371"/>
        <v>2.7454197896550796</v>
      </c>
      <c r="Y618" s="154"/>
      <c r="Z618" s="147">
        <f>IF($E618="","",VLOOKUP($D618,'Mortality Margins &amp; Grading'!$AB$5:$AF$125,3,0)*IF(Summary!$D$25="Included Margin",IF(AND($B618&gt;Input!$C$9,Summary!$D$31&lt;&gt;"Included Margin"),0,1),0))</f>
        <v>1.7000000000000001E-2</v>
      </c>
      <c r="AA618" s="147">
        <f>IF($E618="","",VLOOKUP($D618,'Mortality Margins &amp; Grading'!$AB$5:$AF$125,5,0)*IF(Summary!$D$25="Included Margin",IF(AND($B618&gt;Input!$C$9,Summary!$D$31&lt;&gt;"Included Margin"),0,1),0))</f>
        <v>8.7999999999999995E-2</v>
      </c>
      <c r="AB618" s="147">
        <f>IF($E618="","",IF(AND($B618&gt;Input!$C$9,Summary!$D$31&lt;&gt;"Included Margin"),1,IF(Summary!$D$25="Included Margin",VLOOKUP($B618,'Mortality Margins &amp; Grading'!$AI$5:$AR$125,MATCH('Mortality Margins &amp; Grading'!$AQ$4,'Mortality Margins &amp; Grading'!$AI$4:$AR$4,0),0),1)))</f>
        <v>0</v>
      </c>
      <c r="AC618" s="154"/>
      <c r="AD618" s="158">
        <f>IF(E618="","",Input!$C$48*IF(Summary!$D$30="Included Margin",IF(AND($B618&gt;Input!$C$9,Summary!$D$31&lt;&gt;"Included Margin"),0,1),0))</f>
        <v>-4.4999999999999997E-3</v>
      </c>
      <c r="AE618" s="159">
        <f>IF(E618="","",IF(Summary!$D$26="Included Margin",IF(AND($B618&gt;Input!$C$9,Summary!$D$31&lt;&gt;"Included Margin"),1,1/$R618),1))</f>
        <v>1.2912873067516291</v>
      </c>
      <c r="AF618" s="160">
        <f>IF(E618="","",IF(AND($B618&gt;=Input!$C$9,$C618=12,Summary!$D$31="Included Margin",$U618&gt;0),1/U618-1,IF($B618&gt;=Input!$C$9,0,Input!$C$45*IF(Summary!$D$27="Included Margin",1,0))))</f>
        <v>0</v>
      </c>
      <c r="AG618" s="160">
        <f>IF(E618="","",Input!$C$46*IF(Summary!$D$28="Included Margin",IF(AND($B618&gt;Input!$C$9,Summary!$D$31&lt;&gt;"Included Margin"),0,1),0))</f>
        <v>0.02</v>
      </c>
      <c r="AH618" s="158">
        <f>IF(E618="","",Input!$C$47*IF(Summary!$D$29="Included Margin",IF(AND($B618&gt;Input!$C$9,Summary!$D$31&lt;&gt;"Included Margin"),0,1),0))</f>
        <v>2.5000000000000001E-3</v>
      </c>
      <c r="AI618" s="154"/>
      <c r="AJ618" s="158">
        <f t="shared" si="394"/>
        <v>4.3060000000000001E-2</v>
      </c>
      <c r="AK618" s="155">
        <f t="shared" si="395"/>
        <v>3.5194036695185282E-3</v>
      </c>
      <c r="AL618" s="147">
        <f t="shared" si="396"/>
        <v>0.97895030399999994</v>
      </c>
      <c r="AM618" s="147">
        <f t="shared" si="374"/>
        <v>0.2751127088752382</v>
      </c>
      <c r="AN618" s="160">
        <f t="shared" si="397"/>
        <v>0</v>
      </c>
      <c r="AO618" s="161">
        <f t="shared" si="398"/>
        <v>0</v>
      </c>
      <c r="AP618" s="156">
        <f t="shared" si="375"/>
        <v>3.1104924436804513</v>
      </c>
      <c r="AQ618" s="152"/>
      <c r="AR618" s="162">
        <f t="shared" si="376"/>
        <v>96147.219518832862</v>
      </c>
      <c r="AS618" s="150">
        <f t="shared" si="399"/>
        <v>0</v>
      </c>
      <c r="AT618" s="163">
        <f t="shared" si="377"/>
        <v>0</v>
      </c>
      <c r="AU618" s="163">
        <f t="shared" si="378"/>
        <v>27511.27088752382</v>
      </c>
      <c r="AV618" s="163">
        <f t="shared" si="400"/>
        <v>289.969243331249</v>
      </c>
      <c r="AW618" s="163">
        <f t="shared" si="379"/>
        <v>26159.127916941659</v>
      </c>
      <c r="AX618" s="163">
        <f t="shared" si="380"/>
        <v>0</v>
      </c>
      <c r="AY618" s="165">
        <f t="shared" si="401"/>
        <v>95085.045791581942</v>
      </c>
      <c r="AZ618" s="164">
        <f>IF($E618="","",IF(OR(AND($D618=Input!$C$6,$C618=12),$AN618=1),0,-AS619+AT619+AU619-AV619-AW619-AX619+AZ619))</f>
        <v>95085.130831977134</v>
      </c>
      <c r="BA618" s="154">
        <f t="shared" si="381"/>
        <v>8.5040395191754214E-2</v>
      </c>
      <c r="BC618" s="147">
        <f t="shared" si="402"/>
        <v>5.3605495626064398E-6</v>
      </c>
      <c r="BD618" s="164">
        <f>IF(AND($C617=12,$D617=Input!$C$6),0,IF($E618="","",AT618+(AU618+BD619)/(1+$AK618)*MIN((1-AM618-AN618),1)))</f>
        <v>68511.501970017795</v>
      </c>
      <c r="BE618" s="164">
        <f t="shared" si="382"/>
        <v>0.36725930191888911</v>
      </c>
      <c r="BF618" s="164">
        <f t="shared" si="403"/>
        <v>95085.130831977134</v>
      </c>
      <c r="BG618" s="164">
        <f t="shared" si="383"/>
        <v>0.50970855649173108</v>
      </c>
      <c r="BH618" s="152"/>
      <c r="BI618" s="162">
        <f t="shared" si="384"/>
        <v>44974.320253468766</v>
      </c>
      <c r="BJ618" s="150">
        <f t="shared" si="385"/>
        <v>0</v>
      </c>
      <c r="BK618" s="163">
        <f t="shared" si="407"/>
        <v>0</v>
      </c>
      <c r="BL618" s="163">
        <f t="shared" si="386"/>
        <v>6567.5787197930549</v>
      </c>
      <c r="BM618" s="163">
        <f t="shared" si="408"/>
        <v>161.73744033317959</v>
      </c>
      <c r="BN618" s="163">
        <f t="shared" si="387"/>
        <v>2711.0683879478938</v>
      </c>
      <c r="BO618" s="163">
        <f t="shared" si="388"/>
        <v>0</v>
      </c>
      <c r="BP618" s="164">
        <f t="shared" si="409"/>
        <v>41279.547361956786</v>
      </c>
      <c r="BQ618" s="164">
        <f>IF($E618="","",IF(AND($D618=Input!$C$6,$C618=12),0,-BJ619+BK619+BL619-BM619-BN619-BO619+BQ619))</f>
        <v>41279.572025187997</v>
      </c>
      <c r="BR618" s="161">
        <f t="shared" si="389"/>
        <v>0</v>
      </c>
      <c r="BT618" s="147">
        <f t="shared" si="390"/>
        <v>5.3605495626064398E-6</v>
      </c>
      <c r="BU618" s="164">
        <f>IF(AND($C617=12,$D617=Input!$C$6),0,IF($E618="","",BK618+(BL618+BU619)/(1+$AK618)*MIN((1-T618-U618),1)))</f>
        <v>81622.876850027693</v>
      </c>
      <c r="BV618" s="164">
        <f t="shared" si="391"/>
        <v>0.43754347679709527</v>
      </c>
      <c r="BW618" s="164">
        <f t="shared" si="392"/>
        <v>41279.572025187997</v>
      </c>
      <c r="BX618" s="164">
        <f t="shared" si="393"/>
        <v>0.22128119176420255</v>
      </c>
    </row>
    <row r="619" spans="1:76" s="150" customFormat="1" x14ac:dyDescent="0.25">
      <c r="A619" s="150">
        <f t="shared" si="404"/>
        <v>615</v>
      </c>
      <c r="B619" s="150">
        <f t="shared" si="405"/>
        <v>52</v>
      </c>
      <c r="C619" s="150">
        <f t="shared" si="406"/>
        <v>3</v>
      </c>
      <c r="D619" s="150">
        <f>IF(E619="","",Input!$C$4+B619-1)</f>
        <v>96</v>
      </c>
      <c r="E619" s="150">
        <f>IF(OR(AND(C618=12,D618=Input!$C$6),E618=""),"",1)</f>
        <v>1</v>
      </c>
      <c r="F619" s="150">
        <f>IF(E619="","",Input!$C$8+B619-1)</f>
        <v>2069</v>
      </c>
      <c r="G619" s="151">
        <f>IF(E619="","",MAX(0,Input!$C$9-B619))</f>
        <v>0</v>
      </c>
      <c r="H619" s="152">
        <f>IF(E619="","",Input!$C$3)</f>
        <v>100000</v>
      </c>
      <c r="I619" s="153">
        <f>IF(E619="","",HLOOKUP($B619,Input!$C$13:$BT$14,2))</f>
        <v>642.95350000000008</v>
      </c>
      <c r="J619" s="154"/>
      <c r="K619" s="155">
        <f>IF($E619="","",INDEX(Input!$C$16:$CP$16,1,$B619))</f>
        <v>3.2559999999999999E-2</v>
      </c>
      <c r="L619" s="155">
        <f>IF($E619="","",Input!$C$37)</f>
        <v>1.4999999999999999E-2</v>
      </c>
      <c r="M619" s="155">
        <f t="shared" si="369"/>
        <v>4.7559999999999998E-2</v>
      </c>
      <c r="N619" s="155">
        <f t="shared" si="370"/>
        <v>3.8794766309420137E-3</v>
      </c>
      <c r="O619" s="147">
        <f>IF($E619="","",MIN(VLOOKUP(IF($B619&lt;=Input!$C$7,$B619,26),'Mortality Tables'!$A$41:$CW$67,IF($B619&lt;=Input!$C$7+1,Input!$C$4+2,$D619-Input!$C$7+2),0)*IF(B619&gt;20,Input!$C$22,1)/1000,1))</f>
        <v>0.71981640000000002</v>
      </c>
      <c r="P619" s="147">
        <f>IF($E619="","",MIN(VLOOKUP(IF($B619&lt;=Input!$C$7,$B619,26),'Mortality Tables'!$A$12:$CW$37,IF($B619&lt;=Input!$C$7+1,Input!$C$4+2,$D619-Input!$C$7+2),0)*IF(B619&gt;20,Input!$C$22,1)/1000,1))</f>
        <v>0.89977049999999992</v>
      </c>
      <c r="Q619" s="155">
        <f>IF($E619="","",Input!$C$21)</f>
        <v>5.0000000000000001E-3</v>
      </c>
      <c r="R619" s="159">
        <f>IF($E619="","",(1-Q619)^($F619-Input!$C$20))</f>
        <v>0.77442099428329914</v>
      </c>
      <c r="S619" s="147">
        <f t="shared" si="372"/>
        <v>0.55744093218942503</v>
      </c>
      <c r="T619" s="147">
        <f t="shared" si="373"/>
        <v>6.5675787197930546E-2</v>
      </c>
      <c r="U619" s="160">
        <f>IF($E619="","",IF($C619=12,INDEX(Input!$C$15:$CP$15,1,$B619),0))</f>
        <v>0</v>
      </c>
      <c r="V619" s="150">
        <f>IF(E619="","",IF(C619=1,IF($B619=1,Input!$C$33,Input!$C$34),0))</f>
        <v>0</v>
      </c>
      <c r="W619" s="156">
        <f>IF($E619="","",Input!$C$35)</f>
        <v>0.02</v>
      </c>
      <c r="X619" s="156">
        <f t="shared" si="371"/>
        <v>2.7454197896550796</v>
      </c>
      <c r="Y619" s="154"/>
      <c r="Z619" s="147">
        <f>IF($E619="","",VLOOKUP($D619,'Mortality Margins &amp; Grading'!$AB$5:$AF$125,3,0)*IF(Summary!$D$25="Included Margin",IF(AND($B619&gt;Input!$C$9,Summary!$D$31&lt;&gt;"Included Margin"),0,1),0))</f>
        <v>1.7000000000000001E-2</v>
      </c>
      <c r="AA619" s="147">
        <f>IF($E619="","",VLOOKUP($D619,'Mortality Margins &amp; Grading'!$AB$5:$AF$125,5,0)*IF(Summary!$D$25="Included Margin",IF(AND($B619&gt;Input!$C$9,Summary!$D$31&lt;&gt;"Included Margin"),0,1),0))</f>
        <v>8.7999999999999995E-2</v>
      </c>
      <c r="AB619" s="147">
        <f>IF($E619="","",IF(AND($B619&gt;Input!$C$9,Summary!$D$31&lt;&gt;"Included Margin"),1,IF(Summary!$D$25="Included Margin",VLOOKUP($B619,'Mortality Margins &amp; Grading'!$AI$5:$AR$125,MATCH('Mortality Margins &amp; Grading'!$AQ$4,'Mortality Margins &amp; Grading'!$AI$4:$AR$4,0),0),1)))</f>
        <v>0</v>
      </c>
      <c r="AC619" s="154"/>
      <c r="AD619" s="158">
        <f>IF(E619="","",Input!$C$48*IF(Summary!$D$30="Included Margin",IF(AND($B619&gt;Input!$C$9,Summary!$D$31&lt;&gt;"Included Margin"),0,1),0))</f>
        <v>-4.4999999999999997E-3</v>
      </c>
      <c r="AE619" s="159">
        <f>IF(E619="","",IF(Summary!$D$26="Included Margin",IF(AND($B619&gt;Input!$C$9,Summary!$D$31&lt;&gt;"Included Margin"),1,1/$R619),1))</f>
        <v>1.2912873067516291</v>
      </c>
      <c r="AF619" s="160">
        <f>IF(E619="","",IF(AND($B619&gt;=Input!$C$9,$C619=12,Summary!$D$31="Included Margin",$U619&gt;0),1/U619-1,IF($B619&gt;=Input!$C$9,0,Input!$C$45*IF(Summary!$D$27="Included Margin",1,0))))</f>
        <v>0</v>
      </c>
      <c r="AG619" s="160">
        <f>IF(E619="","",Input!$C$46*IF(Summary!$D$28="Included Margin",IF(AND($B619&gt;Input!$C$9,Summary!$D$31&lt;&gt;"Included Margin"),0,1),0))</f>
        <v>0.02</v>
      </c>
      <c r="AH619" s="158">
        <f>IF(E619="","",Input!$C$47*IF(Summary!$D$29="Included Margin",IF(AND($B619&gt;Input!$C$9,Summary!$D$31&lt;&gt;"Included Margin"),0,1),0))</f>
        <v>2.5000000000000001E-3</v>
      </c>
      <c r="AI619" s="154"/>
      <c r="AJ619" s="158">
        <f t="shared" si="394"/>
        <v>4.3060000000000001E-2</v>
      </c>
      <c r="AK619" s="155">
        <f t="shared" si="395"/>
        <v>3.5194036695185282E-3</v>
      </c>
      <c r="AL619" s="147">
        <f t="shared" si="396"/>
        <v>0.97895030399999994</v>
      </c>
      <c r="AM619" s="147">
        <f t="shared" si="374"/>
        <v>0.2751127088752382</v>
      </c>
      <c r="AN619" s="160">
        <f t="shared" si="397"/>
        <v>0</v>
      </c>
      <c r="AO619" s="161">
        <f t="shared" si="398"/>
        <v>0</v>
      </c>
      <c r="AP619" s="156">
        <f t="shared" si="375"/>
        <v>3.1104924436804513</v>
      </c>
      <c r="AQ619" s="152"/>
      <c r="AR619" s="162">
        <f t="shared" si="376"/>
        <v>95085.045791581942</v>
      </c>
      <c r="AS619" s="150">
        <f t="shared" si="399"/>
        <v>0</v>
      </c>
      <c r="AT619" s="163">
        <f t="shared" si="377"/>
        <v>0</v>
      </c>
      <c r="AU619" s="163">
        <f t="shared" si="378"/>
        <v>27511.27088752382</v>
      </c>
      <c r="AV619" s="163">
        <f t="shared" si="400"/>
        <v>286.23102521789599</v>
      </c>
      <c r="AW619" s="163">
        <f t="shared" si="379"/>
        <v>25754.58789216536</v>
      </c>
      <c r="AX619" s="163">
        <f t="shared" si="380"/>
        <v>0</v>
      </c>
      <c r="AY619" s="164">
        <f t="shared" si="401"/>
        <v>93614.593821441391</v>
      </c>
      <c r="AZ619" s="164">
        <f>IF($E619="","",IF(OR(AND($D619=Input!$C$6,$C619=12),$AN619=1),0,-AS620+AT620+AU620-AV620-AW620-AX620+AZ620))</f>
        <v>93614.678861836568</v>
      </c>
      <c r="BA619" s="154">
        <f t="shared" si="381"/>
        <v>8.5040395177202299E-2</v>
      </c>
      <c r="BC619" s="147">
        <f t="shared" si="402"/>
        <v>5.0084912502687396E-6</v>
      </c>
      <c r="BD619" s="164">
        <f>IF(AND($C618=12,$D618=Input!$C$6),0,IF($E619="","",AT619+(AU619+BD620)/(1+$AK619)*MIN((1-AM619-AN619),1)))</f>
        <v>67334.676121391472</v>
      </c>
      <c r="BE619" s="164">
        <f t="shared" si="382"/>
        <v>0.33724513619366864</v>
      </c>
      <c r="BF619" s="164">
        <f t="shared" si="403"/>
        <v>93614.678861836568</v>
      </c>
      <c r="BG619" s="164">
        <f t="shared" si="383"/>
        <v>0.46886829997622637</v>
      </c>
      <c r="BH619" s="152"/>
      <c r="BI619" s="162">
        <f t="shared" si="384"/>
        <v>41279.547361956793</v>
      </c>
      <c r="BJ619" s="150">
        <f t="shared" si="385"/>
        <v>0</v>
      </c>
      <c r="BK619" s="163">
        <f t="shared" si="407"/>
        <v>0</v>
      </c>
      <c r="BL619" s="163">
        <f t="shared" si="386"/>
        <v>6567.5787197930549</v>
      </c>
      <c r="BM619" s="163">
        <f t="shared" si="408"/>
        <v>147.40365524392081</v>
      </c>
      <c r="BN619" s="163">
        <f t="shared" si="387"/>
        <v>2450.3467910449021</v>
      </c>
      <c r="BO619" s="163">
        <f t="shared" si="388"/>
        <v>0</v>
      </c>
      <c r="BP619" s="164">
        <f t="shared" si="409"/>
        <v>37309.719088452563</v>
      </c>
      <c r="BQ619" s="164">
        <f>IF($E619="","",IF(AND($D619=Input!$C$6,$C619=12),0,-BJ620+BK620+BL620-BM620-BN620-BO620+BQ620))</f>
        <v>37309.743751683767</v>
      </c>
      <c r="BR619" s="161">
        <f t="shared" si="389"/>
        <v>0</v>
      </c>
      <c r="BT619" s="147">
        <f t="shared" si="390"/>
        <v>5.0084912502687396E-6</v>
      </c>
      <c r="BU619" s="164">
        <f>IF(AND($C618=12,$D618=Input!$C$6),0,IF($E619="","",BK619+(BL619+BU620)/(1+$AK619)*MIN((1-T619-U619),1)))</f>
        <v>81100.213230796653</v>
      </c>
      <c r="BV619" s="164">
        <f t="shared" si="391"/>
        <v>0.40618970836137414</v>
      </c>
      <c r="BW619" s="164">
        <f t="shared" si="392"/>
        <v>37309.743751683767</v>
      </c>
      <c r="BX619" s="164">
        <f t="shared" si="393"/>
        <v>0.18686552513007693</v>
      </c>
    </row>
    <row r="620" spans="1:76" s="150" customFormat="1" x14ac:dyDescent="0.25">
      <c r="A620" s="150">
        <f t="shared" si="404"/>
        <v>616</v>
      </c>
      <c r="B620" s="150">
        <f t="shared" si="405"/>
        <v>52</v>
      </c>
      <c r="C620" s="150">
        <f t="shared" si="406"/>
        <v>4</v>
      </c>
      <c r="D620" s="150">
        <f>IF(E620="","",Input!$C$4+B620-1)</f>
        <v>96</v>
      </c>
      <c r="E620" s="150">
        <f>IF(OR(AND(C619=12,D619=Input!$C$6),E619=""),"",1)</f>
        <v>1</v>
      </c>
      <c r="F620" s="150">
        <f>IF(E620="","",Input!$C$8+B620-1)</f>
        <v>2069</v>
      </c>
      <c r="G620" s="151">
        <f>IF(E620="","",MAX(0,Input!$C$9-B620))</f>
        <v>0</v>
      </c>
      <c r="H620" s="152">
        <f>IF(E620="","",Input!$C$3)</f>
        <v>100000</v>
      </c>
      <c r="I620" s="153">
        <f>IF(E620="","",HLOOKUP($B620,Input!$C$13:$BT$14,2))</f>
        <v>642.95350000000008</v>
      </c>
      <c r="J620" s="154"/>
      <c r="K620" s="155">
        <f>IF($E620="","",INDEX(Input!$C$16:$CP$16,1,$B620))</f>
        <v>3.2559999999999999E-2</v>
      </c>
      <c r="L620" s="155">
        <f>IF($E620="","",Input!$C$37)</f>
        <v>1.4999999999999999E-2</v>
      </c>
      <c r="M620" s="155">
        <f t="shared" si="369"/>
        <v>4.7559999999999998E-2</v>
      </c>
      <c r="N620" s="155">
        <f t="shared" si="370"/>
        <v>3.8794766309420137E-3</v>
      </c>
      <c r="O620" s="147">
        <f>IF($E620="","",MIN(VLOOKUP(IF($B620&lt;=Input!$C$7,$B620,26),'Mortality Tables'!$A$41:$CW$67,IF($B620&lt;=Input!$C$7+1,Input!$C$4+2,$D620-Input!$C$7+2),0)*IF(B620&gt;20,Input!$C$22,1)/1000,1))</f>
        <v>0.71981640000000002</v>
      </c>
      <c r="P620" s="147">
        <f>IF($E620="","",MIN(VLOOKUP(IF($B620&lt;=Input!$C$7,$B620,26),'Mortality Tables'!$A$12:$CW$37,IF($B620&lt;=Input!$C$7+1,Input!$C$4+2,$D620-Input!$C$7+2),0)*IF(B620&gt;20,Input!$C$22,1)/1000,1))</f>
        <v>0.89977049999999992</v>
      </c>
      <c r="Q620" s="155">
        <f>IF($E620="","",Input!$C$21)</f>
        <v>5.0000000000000001E-3</v>
      </c>
      <c r="R620" s="159">
        <f>IF($E620="","",(1-Q620)^($F620-Input!$C$20))</f>
        <v>0.77442099428329914</v>
      </c>
      <c r="S620" s="147">
        <f t="shared" si="372"/>
        <v>0.55744093218942503</v>
      </c>
      <c r="T620" s="147">
        <f t="shared" si="373"/>
        <v>6.5675787197930546E-2</v>
      </c>
      <c r="U620" s="160">
        <f>IF($E620="","",IF($C620=12,INDEX(Input!$C$15:$CP$15,1,$B620),0))</f>
        <v>0</v>
      </c>
      <c r="V620" s="150">
        <f>IF(E620="","",IF(C620=1,IF($B620=1,Input!$C$33,Input!$C$34),0))</f>
        <v>0</v>
      </c>
      <c r="W620" s="156">
        <f>IF($E620="","",Input!$C$35)</f>
        <v>0.02</v>
      </c>
      <c r="X620" s="156">
        <f t="shared" si="371"/>
        <v>2.7454197896550796</v>
      </c>
      <c r="Y620" s="154"/>
      <c r="Z620" s="147">
        <f>IF($E620="","",VLOOKUP($D620,'Mortality Margins &amp; Grading'!$AB$5:$AF$125,3,0)*IF(Summary!$D$25="Included Margin",IF(AND($B620&gt;Input!$C$9,Summary!$D$31&lt;&gt;"Included Margin"),0,1),0))</f>
        <v>1.7000000000000001E-2</v>
      </c>
      <c r="AA620" s="147">
        <f>IF($E620="","",VLOOKUP($D620,'Mortality Margins &amp; Grading'!$AB$5:$AF$125,5,0)*IF(Summary!$D$25="Included Margin",IF(AND($B620&gt;Input!$C$9,Summary!$D$31&lt;&gt;"Included Margin"),0,1),0))</f>
        <v>8.7999999999999995E-2</v>
      </c>
      <c r="AB620" s="147">
        <f>IF($E620="","",IF(AND($B620&gt;Input!$C$9,Summary!$D$31&lt;&gt;"Included Margin"),1,IF(Summary!$D$25="Included Margin",VLOOKUP($B620,'Mortality Margins &amp; Grading'!$AI$5:$AR$125,MATCH('Mortality Margins &amp; Grading'!$AQ$4,'Mortality Margins &amp; Grading'!$AI$4:$AR$4,0),0),1)))</f>
        <v>0</v>
      </c>
      <c r="AC620" s="154"/>
      <c r="AD620" s="158">
        <f>IF(E620="","",Input!$C$48*IF(Summary!$D$30="Included Margin",IF(AND($B620&gt;Input!$C$9,Summary!$D$31&lt;&gt;"Included Margin"),0,1),0))</f>
        <v>-4.4999999999999997E-3</v>
      </c>
      <c r="AE620" s="159">
        <f>IF(E620="","",IF(Summary!$D$26="Included Margin",IF(AND($B620&gt;Input!$C$9,Summary!$D$31&lt;&gt;"Included Margin"),1,1/$R620),1))</f>
        <v>1.2912873067516291</v>
      </c>
      <c r="AF620" s="160">
        <f>IF(E620="","",IF(AND($B620&gt;=Input!$C$9,$C620=12,Summary!$D$31="Included Margin",$U620&gt;0),1/U620-1,IF($B620&gt;=Input!$C$9,0,Input!$C$45*IF(Summary!$D$27="Included Margin",1,0))))</f>
        <v>0</v>
      </c>
      <c r="AG620" s="160">
        <f>IF(E620="","",Input!$C$46*IF(Summary!$D$28="Included Margin",IF(AND($B620&gt;Input!$C$9,Summary!$D$31&lt;&gt;"Included Margin"),0,1),0))</f>
        <v>0.02</v>
      </c>
      <c r="AH620" s="158">
        <f>IF(E620="","",Input!$C$47*IF(Summary!$D$29="Included Margin",IF(AND($B620&gt;Input!$C$9,Summary!$D$31&lt;&gt;"Included Margin"),0,1),0))</f>
        <v>2.5000000000000001E-3</v>
      </c>
      <c r="AI620" s="154"/>
      <c r="AJ620" s="158">
        <f t="shared" si="394"/>
        <v>4.3060000000000001E-2</v>
      </c>
      <c r="AK620" s="155">
        <f t="shared" si="395"/>
        <v>3.5194036695185282E-3</v>
      </c>
      <c r="AL620" s="147">
        <f t="shared" si="396"/>
        <v>0.97895030399999994</v>
      </c>
      <c r="AM620" s="147">
        <f t="shared" si="374"/>
        <v>0.2751127088752382</v>
      </c>
      <c r="AN620" s="160">
        <f t="shared" si="397"/>
        <v>0</v>
      </c>
      <c r="AO620" s="161">
        <f t="shared" si="398"/>
        <v>0</v>
      </c>
      <c r="AP620" s="156">
        <f t="shared" si="375"/>
        <v>3.1104924436804513</v>
      </c>
      <c r="AQ620" s="152"/>
      <c r="AR620" s="162">
        <f t="shared" si="376"/>
        <v>93614.593821441391</v>
      </c>
      <c r="AS620" s="150">
        <f t="shared" si="399"/>
        <v>0</v>
      </c>
      <c r="AT620" s="163">
        <f t="shared" si="377"/>
        <v>0</v>
      </c>
      <c r="AU620" s="163">
        <f t="shared" si="378"/>
        <v>27511.27088752382</v>
      </c>
      <c r="AV620" s="163">
        <f t="shared" si="400"/>
        <v>281.05591115833255</v>
      </c>
      <c r="AW620" s="163">
        <f t="shared" si="379"/>
        <v>25194.550808615368</v>
      </c>
      <c r="AX620" s="163">
        <f t="shared" si="380"/>
        <v>0</v>
      </c>
      <c r="AY620" s="165">
        <f t="shared" si="401"/>
        <v>91578.929653691273</v>
      </c>
      <c r="AZ620" s="164">
        <f>IF($E620="","",IF(OR(AND($D620=Input!$C$6,$C620=12),$AN620=1),0,-AS621+AT621+AU621-AV621-AW621-AX621+AZ621))</f>
        <v>91579.014694086451</v>
      </c>
      <c r="BA620" s="154">
        <f t="shared" si="381"/>
        <v>8.5040395177202299E-2</v>
      </c>
      <c r="BC620" s="147">
        <f t="shared" si="402"/>
        <v>4.6795546447333927E-6</v>
      </c>
      <c r="BD620" s="164">
        <f>IF(AND($C619=12,$D619=Input!$C$6),0,IF($E620="","",AT620+(AU620+BD621)/(1+$AK620)*MIN((1-AM620-AN620),1)))</f>
        <v>65705.502057649879</v>
      </c>
      <c r="BE620" s="164">
        <f t="shared" si="382"/>
        <v>0.30747248733841498</v>
      </c>
      <c r="BF620" s="164">
        <f t="shared" si="403"/>
        <v>91579.014694086451</v>
      </c>
      <c r="BG620" s="164">
        <f t="shared" si="383"/>
        <v>0.42854900357181985</v>
      </c>
      <c r="BH620" s="152"/>
      <c r="BI620" s="162">
        <f t="shared" si="384"/>
        <v>37309.719088452563</v>
      </c>
      <c r="BJ620" s="150">
        <f t="shared" si="385"/>
        <v>0</v>
      </c>
      <c r="BK620" s="163">
        <f t="shared" si="407"/>
        <v>0</v>
      </c>
      <c r="BL620" s="163">
        <f t="shared" si="386"/>
        <v>6567.5787197930549</v>
      </c>
      <c r="BM620" s="163">
        <f t="shared" si="408"/>
        <v>132.00279922800826</v>
      </c>
      <c r="BN620" s="163">
        <f t="shared" si="387"/>
        <v>2170.2159149966265</v>
      </c>
      <c r="BO620" s="163">
        <f t="shared" si="388"/>
        <v>0</v>
      </c>
      <c r="BP620" s="164">
        <f t="shared" si="409"/>
        <v>33044.359082884141</v>
      </c>
      <c r="BQ620" s="164">
        <f>IF($E620="","",IF(AND($D620=Input!$C$6,$C620=12),0,-BJ621+BK621+BL621-BM621-BN621-BO621+BQ621))</f>
        <v>33044.383746115345</v>
      </c>
      <c r="BR620" s="161">
        <f t="shared" si="389"/>
        <v>0</v>
      </c>
      <c r="BT620" s="147">
        <f t="shared" si="390"/>
        <v>4.6795546447333927E-6</v>
      </c>
      <c r="BU620" s="164">
        <f>IF(AND($C619=12,$D619=Input!$C$6),0,IF($E620="","",BK620+(BL620+BU621)/(1+$AK620)*MIN((1-T620-U620),1)))</f>
        <v>80538.841625197922</v>
      </c>
      <c r="BV620" s="164">
        <f t="shared" si="391"/>
        <v>0.37688591040864206</v>
      </c>
      <c r="BW620" s="164">
        <f t="shared" si="392"/>
        <v>33044.383746115345</v>
      </c>
      <c r="BX620" s="164">
        <f t="shared" si="393"/>
        <v>0.1546329994414867</v>
      </c>
    </row>
    <row r="621" spans="1:76" s="150" customFormat="1" x14ac:dyDescent="0.25">
      <c r="A621" s="150">
        <f t="shared" si="404"/>
        <v>617</v>
      </c>
      <c r="B621" s="150">
        <f t="shared" si="405"/>
        <v>52</v>
      </c>
      <c r="C621" s="150">
        <f t="shared" si="406"/>
        <v>5</v>
      </c>
      <c r="D621" s="150">
        <f>IF(E621="","",Input!$C$4+B621-1)</f>
        <v>96</v>
      </c>
      <c r="E621" s="150">
        <f>IF(OR(AND(C620=12,D620=Input!$C$6),E620=""),"",1)</f>
        <v>1</v>
      </c>
      <c r="F621" s="150">
        <f>IF(E621="","",Input!$C$8+B621-1)</f>
        <v>2069</v>
      </c>
      <c r="G621" s="151">
        <f>IF(E621="","",MAX(0,Input!$C$9-B621))</f>
        <v>0</v>
      </c>
      <c r="H621" s="152">
        <f>IF(E621="","",Input!$C$3)</f>
        <v>100000</v>
      </c>
      <c r="I621" s="153">
        <f>IF(E621="","",HLOOKUP($B621,Input!$C$13:$BT$14,2))</f>
        <v>642.95350000000008</v>
      </c>
      <c r="J621" s="154"/>
      <c r="K621" s="155">
        <f>IF($E621="","",INDEX(Input!$C$16:$CP$16,1,$B621))</f>
        <v>3.2559999999999999E-2</v>
      </c>
      <c r="L621" s="155">
        <f>IF($E621="","",Input!$C$37)</f>
        <v>1.4999999999999999E-2</v>
      </c>
      <c r="M621" s="155">
        <f t="shared" si="369"/>
        <v>4.7559999999999998E-2</v>
      </c>
      <c r="N621" s="155">
        <f t="shared" si="370"/>
        <v>3.8794766309420137E-3</v>
      </c>
      <c r="O621" s="147">
        <f>IF($E621="","",MIN(VLOOKUP(IF($B621&lt;=Input!$C$7,$B621,26),'Mortality Tables'!$A$41:$CW$67,IF($B621&lt;=Input!$C$7+1,Input!$C$4+2,$D621-Input!$C$7+2),0)*IF(B621&gt;20,Input!$C$22,1)/1000,1))</f>
        <v>0.71981640000000002</v>
      </c>
      <c r="P621" s="147">
        <f>IF($E621="","",MIN(VLOOKUP(IF($B621&lt;=Input!$C$7,$B621,26),'Mortality Tables'!$A$12:$CW$37,IF($B621&lt;=Input!$C$7+1,Input!$C$4+2,$D621-Input!$C$7+2),0)*IF(B621&gt;20,Input!$C$22,1)/1000,1))</f>
        <v>0.89977049999999992</v>
      </c>
      <c r="Q621" s="155">
        <f>IF($E621="","",Input!$C$21)</f>
        <v>5.0000000000000001E-3</v>
      </c>
      <c r="R621" s="159">
        <f>IF($E621="","",(1-Q621)^($F621-Input!$C$20))</f>
        <v>0.77442099428329914</v>
      </c>
      <c r="S621" s="147">
        <f t="shared" si="372"/>
        <v>0.55744093218942503</v>
      </c>
      <c r="T621" s="147">
        <f t="shared" si="373"/>
        <v>6.5675787197930546E-2</v>
      </c>
      <c r="U621" s="160">
        <f>IF($E621="","",IF($C621=12,INDEX(Input!$C$15:$CP$15,1,$B621),0))</f>
        <v>0</v>
      </c>
      <c r="V621" s="150">
        <f>IF(E621="","",IF(C621=1,IF($B621=1,Input!$C$33,Input!$C$34),0))</f>
        <v>0</v>
      </c>
      <c r="W621" s="156">
        <f>IF($E621="","",Input!$C$35)</f>
        <v>0.02</v>
      </c>
      <c r="X621" s="156">
        <f t="shared" si="371"/>
        <v>2.7454197896550796</v>
      </c>
      <c r="Y621" s="154"/>
      <c r="Z621" s="147">
        <f>IF($E621="","",VLOOKUP($D621,'Mortality Margins &amp; Grading'!$AB$5:$AF$125,3,0)*IF(Summary!$D$25="Included Margin",IF(AND($B621&gt;Input!$C$9,Summary!$D$31&lt;&gt;"Included Margin"),0,1),0))</f>
        <v>1.7000000000000001E-2</v>
      </c>
      <c r="AA621" s="147">
        <f>IF($E621="","",VLOOKUP($D621,'Mortality Margins &amp; Grading'!$AB$5:$AF$125,5,0)*IF(Summary!$D$25="Included Margin",IF(AND($B621&gt;Input!$C$9,Summary!$D$31&lt;&gt;"Included Margin"),0,1),0))</f>
        <v>8.7999999999999995E-2</v>
      </c>
      <c r="AB621" s="147">
        <f>IF($E621="","",IF(AND($B621&gt;Input!$C$9,Summary!$D$31&lt;&gt;"Included Margin"),1,IF(Summary!$D$25="Included Margin",VLOOKUP($B621,'Mortality Margins &amp; Grading'!$AI$5:$AR$125,MATCH('Mortality Margins &amp; Grading'!$AQ$4,'Mortality Margins &amp; Grading'!$AI$4:$AR$4,0),0),1)))</f>
        <v>0</v>
      </c>
      <c r="AC621" s="154"/>
      <c r="AD621" s="158">
        <f>IF(E621="","",Input!$C$48*IF(Summary!$D$30="Included Margin",IF(AND($B621&gt;Input!$C$9,Summary!$D$31&lt;&gt;"Included Margin"),0,1),0))</f>
        <v>-4.4999999999999997E-3</v>
      </c>
      <c r="AE621" s="159">
        <f>IF(E621="","",IF(Summary!$D$26="Included Margin",IF(AND($B621&gt;Input!$C$9,Summary!$D$31&lt;&gt;"Included Margin"),1,1/$R621),1))</f>
        <v>1.2912873067516291</v>
      </c>
      <c r="AF621" s="160">
        <f>IF(E621="","",IF(AND($B621&gt;=Input!$C$9,$C621=12,Summary!$D$31="Included Margin",$U621&gt;0),1/U621-1,IF($B621&gt;=Input!$C$9,0,Input!$C$45*IF(Summary!$D$27="Included Margin",1,0))))</f>
        <v>0</v>
      </c>
      <c r="AG621" s="160">
        <f>IF(E621="","",Input!$C$46*IF(Summary!$D$28="Included Margin",IF(AND($B621&gt;Input!$C$9,Summary!$D$31&lt;&gt;"Included Margin"),0,1),0))</f>
        <v>0.02</v>
      </c>
      <c r="AH621" s="158">
        <f>IF(E621="","",Input!$C$47*IF(Summary!$D$29="Included Margin",IF(AND($B621&gt;Input!$C$9,Summary!$D$31&lt;&gt;"Included Margin"),0,1),0))</f>
        <v>2.5000000000000001E-3</v>
      </c>
      <c r="AI621" s="154"/>
      <c r="AJ621" s="158">
        <f t="shared" si="394"/>
        <v>4.3060000000000001E-2</v>
      </c>
      <c r="AK621" s="155">
        <f t="shared" si="395"/>
        <v>3.5194036695185282E-3</v>
      </c>
      <c r="AL621" s="147">
        <f t="shared" si="396"/>
        <v>0.97895030399999994</v>
      </c>
      <c r="AM621" s="147">
        <f t="shared" si="374"/>
        <v>0.2751127088752382</v>
      </c>
      <c r="AN621" s="160">
        <f t="shared" si="397"/>
        <v>0</v>
      </c>
      <c r="AO621" s="161">
        <f t="shared" si="398"/>
        <v>0</v>
      </c>
      <c r="AP621" s="156">
        <f t="shared" si="375"/>
        <v>3.1104924436804513</v>
      </c>
      <c r="AQ621" s="152"/>
      <c r="AR621" s="162">
        <f t="shared" si="376"/>
        <v>91578.929653691273</v>
      </c>
      <c r="AS621" s="150">
        <f t="shared" si="399"/>
        <v>0</v>
      </c>
      <c r="AT621" s="163">
        <f t="shared" si="377"/>
        <v>0</v>
      </c>
      <c r="AU621" s="163">
        <f t="shared" si="378"/>
        <v>27511.27088752382</v>
      </c>
      <c r="AV621" s="163">
        <f t="shared" si="400"/>
        <v>273.89158721644543</v>
      </c>
      <c r="AW621" s="163">
        <f t="shared" si="379"/>
        <v>24419.246720658644</v>
      </c>
      <c r="AX621" s="163">
        <f t="shared" si="380"/>
        <v>0</v>
      </c>
      <c r="AY621" s="164">
        <f t="shared" si="401"/>
        <v>88760.797074042552</v>
      </c>
      <c r="AZ621" s="164">
        <f>IF($E621="","",IF(OR(AND($D621=Input!$C$6,$C621=12),$AN621=1),0,-AS622+AT622+AU622-AV622-AW622-AX622+AZ622))</f>
        <v>88760.882114437729</v>
      </c>
      <c r="BA621" s="154">
        <f t="shared" si="381"/>
        <v>8.5040395177202299E-2</v>
      </c>
      <c r="BC621" s="147">
        <f t="shared" si="402"/>
        <v>4.3722212097047954E-6</v>
      </c>
      <c r="BD621" s="164">
        <f>IF(AND($C620=12,$D620=Input!$C$6),0,IF($E621="","",AT621+(AU621+BD622)/(1+$AK621)*MIN((1-AM621-AN621),1)))</f>
        <v>63450.106212065337</v>
      </c>
      <c r="BE621" s="164">
        <f t="shared" si="382"/>
        <v>0.27741790013841405</v>
      </c>
      <c r="BF621" s="164">
        <f t="shared" si="403"/>
        <v>88760.882114437729</v>
      </c>
      <c r="BG621" s="164">
        <f t="shared" si="383"/>
        <v>0.38808221137285165</v>
      </c>
      <c r="BH621" s="152"/>
      <c r="BI621" s="162">
        <f t="shared" si="384"/>
        <v>33044.359082884133</v>
      </c>
      <c r="BJ621" s="150">
        <f t="shared" si="385"/>
        <v>0</v>
      </c>
      <c r="BK621" s="163">
        <f t="shared" si="407"/>
        <v>0</v>
      </c>
      <c r="BL621" s="163">
        <f t="shared" si="386"/>
        <v>6567.5787197930549</v>
      </c>
      <c r="BM621" s="163">
        <f t="shared" si="408"/>
        <v>115.45543476385086</v>
      </c>
      <c r="BN621" s="163">
        <f t="shared" si="387"/>
        <v>1869.2308464494577</v>
      </c>
      <c r="BO621" s="163">
        <f t="shared" si="388"/>
        <v>0</v>
      </c>
      <c r="BP621" s="164">
        <f t="shared" si="409"/>
        <v>28461.466644304386</v>
      </c>
      <c r="BQ621" s="164">
        <f>IF($E621="","",IF(AND($D621=Input!$C$6,$C621=12),0,-BJ622+BK622+BL622-BM622-BN622-BO622+BQ622))</f>
        <v>28461.491307535594</v>
      </c>
      <c r="BR621" s="161">
        <f t="shared" si="389"/>
        <v>0</v>
      </c>
      <c r="BT621" s="147">
        <f t="shared" si="390"/>
        <v>4.3722212097047954E-6</v>
      </c>
      <c r="BU621" s="164">
        <f>IF(AND($C620=12,$D620=Input!$C$6),0,IF($E621="","",BK621+(BL621+BU622)/(1+$AK621)*MIN((1-T621-U621),1)))</f>
        <v>79935.895355403685</v>
      </c>
      <c r="BV621" s="164">
        <f t="shared" si="391"/>
        <v>0.34949741708963905</v>
      </c>
      <c r="BW621" s="164">
        <f t="shared" si="392"/>
        <v>28461.491307535594</v>
      </c>
      <c r="BX621" s="164">
        <f t="shared" si="393"/>
        <v>0.12443993595463579</v>
      </c>
    </row>
    <row r="622" spans="1:76" s="150" customFormat="1" x14ac:dyDescent="0.25">
      <c r="A622" s="150">
        <f t="shared" si="404"/>
        <v>618</v>
      </c>
      <c r="B622" s="150">
        <f t="shared" si="405"/>
        <v>52</v>
      </c>
      <c r="C622" s="150">
        <f t="shared" si="406"/>
        <v>6</v>
      </c>
      <c r="D622" s="150">
        <f>IF(E622="","",Input!$C$4+B622-1)</f>
        <v>96</v>
      </c>
      <c r="E622" s="150">
        <f>IF(OR(AND(C621=12,D621=Input!$C$6),E621=""),"",1)</f>
        <v>1</v>
      </c>
      <c r="F622" s="150">
        <f>IF(E622="","",Input!$C$8+B622-1)</f>
        <v>2069</v>
      </c>
      <c r="G622" s="151">
        <f>IF(E622="","",MAX(0,Input!$C$9-B622))</f>
        <v>0</v>
      </c>
      <c r="H622" s="152">
        <f>IF(E622="","",Input!$C$3)</f>
        <v>100000</v>
      </c>
      <c r="I622" s="153">
        <f>IF(E622="","",HLOOKUP($B622,Input!$C$13:$BT$14,2))</f>
        <v>642.95350000000008</v>
      </c>
      <c r="J622" s="154"/>
      <c r="K622" s="155">
        <f>IF($E622="","",INDEX(Input!$C$16:$CP$16,1,$B622))</f>
        <v>3.2559999999999999E-2</v>
      </c>
      <c r="L622" s="155">
        <f>IF($E622="","",Input!$C$37)</f>
        <v>1.4999999999999999E-2</v>
      </c>
      <c r="M622" s="155">
        <f t="shared" si="369"/>
        <v>4.7559999999999998E-2</v>
      </c>
      <c r="N622" s="155">
        <f t="shared" si="370"/>
        <v>3.8794766309420137E-3</v>
      </c>
      <c r="O622" s="147">
        <f>IF($E622="","",MIN(VLOOKUP(IF($B622&lt;=Input!$C$7,$B622,26),'Mortality Tables'!$A$41:$CW$67,IF($B622&lt;=Input!$C$7+1,Input!$C$4+2,$D622-Input!$C$7+2),0)*IF(B622&gt;20,Input!$C$22,1)/1000,1))</f>
        <v>0.71981640000000002</v>
      </c>
      <c r="P622" s="147">
        <f>IF($E622="","",MIN(VLOOKUP(IF($B622&lt;=Input!$C$7,$B622,26),'Mortality Tables'!$A$12:$CW$37,IF($B622&lt;=Input!$C$7+1,Input!$C$4+2,$D622-Input!$C$7+2),0)*IF(B622&gt;20,Input!$C$22,1)/1000,1))</f>
        <v>0.89977049999999992</v>
      </c>
      <c r="Q622" s="155">
        <f>IF($E622="","",Input!$C$21)</f>
        <v>5.0000000000000001E-3</v>
      </c>
      <c r="R622" s="159">
        <f>IF($E622="","",(1-Q622)^($F622-Input!$C$20))</f>
        <v>0.77442099428329914</v>
      </c>
      <c r="S622" s="147">
        <f t="shared" si="372"/>
        <v>0.55744093218942503</v>
      </c>
      <c r="T622" s="147">
        <f t="shared" si="373"/>
        <v>6.5675787197930546E-2</v>
      </c>
      <c r="U622" s="160">
        <f>IF($E622="","",IF($C622=12,INDEX(Input!$C$15:$CP$15,1,$B622),0))</f>
        <v>0</v>
      </c>
      <c r="V622" s="150">
        <f>IF(E622="","",IF(C622=1,IF($B622=1,Input!$C$33,Input!$C$34),0))</f>
        <v>0</v>
      </c>
      <c r="W622" s="156">
        <f>IF($E622="","",Input!$C$35)</f>
        <v>0.02</v>
      </c>
      <c r="X622" s="156">
        <f t="shared" si="371"/>
        <v>2.7454197896550796</v>
      </c>
      <c r="Y622" s="154"/>
      <c r="Z622" s="147">
        <f>IF($E622="","",VLOOKUP($D622,'Mortality Margins &amp; Grading'!$AB$5:$AF$125,3,0)*IF(Summary!$D$25="Included Margin",IF(AND($B622&gt;Input!$C$9,Summary!$D$31&lt;&gt;"Included Margin"),0,1),0))</f>
        <v>1.7000000000000001E-2</v>
      </c>
      <c r="AA622" s="147">
        <f>IF($E622="","",VLOOKUP($D622,'Mortality Margins &amp; Grading'!$AB$5:$AF$125,5,0)*IF(Summary!$D$25="Included Margin",IF(AND($B622&gt;Input!$C$9,Summary!$D$31&lt;&gt;"Included Margin"),0,1),0))</f>
        <v>8.7999999999999995E-2</v>
      </c>
      <c r="AB622" s="147">
        <f>IF($E622="","",IF(AND($B622&gt;Input!$C$9,Summary!$D$31&lt;&gt;"Included Margin"),1,IF(Summary!$D$25="Included Margin",VLOOKUP($B622,'Mortality Margins &amp; Grading'!$AI$5:$AR$125,MATCH('Mortality Margins &amp; Grading'!$AQ$4,'Mortality Margins &amp; Grading'!$AI$4:$AR$4,0),0),1)))</f>
        <v>0</v>
      </c>
      <c r="AC622" s="154"/>
      <c r="AD622" s="158">
        <f>IF(E622="","",Input!$C$48*IF(Summary!$D$30="Included Margin",IF(AND($B622&gt;Input!$C$9,Summary!$D$31&lt;&gt;"Included Margin"),0,1),0))</f>
        <v>-4.4999999999999997E-3</v>
      </c>
      <c r="AE622" s="159">
        <f>IF(E622="","",IF(Summary!$D$26="Included Margin",IF(AND($B622&gt;Input!$C$9,Summary!$D$31&lt;&gt;"Included Margin"),1,1/$R622),1))</f>
        <v>1.2912873067516291</v>
      </c>
      <c r="AF622" s="160">
        <f>IF(E622="","",IF(AND($B622&gt;=Input!$C$9,$C622=12,Summary!$D$31="Included Margin",$U622&gt;0),1/U622-1,IF($B622&gt;=Input!$C$9,0,Input!$C$45*IF(Summary!$D$27="Included Margin",1,0))))</f>
        <v>0</v>
      </c>
      <c r="AG622" s="160">
        <f>IF(E622="","",Input!$C$46*IF(Summary!$D$28="Included Margin",IF(AND($B622&gt;Input!$C$9,Summary!$D$31&lt;&gt;"Included Margin"),0,1),0))</f>
        <v>0.02</v>
      </c>
      <c r="AH622" s="158">
        <f>IF(E622="","",Input!$C$47*IF(Summary!$D$29="Included Margin",IF(AND($B622&gt;Input!$C$9,Summary!$D$31&lt;&gt;"Included Margin"),0,1),0))</f>
        <v>2.5000000000000001E-3</v>
      </c>
      <c r="AI622" s="154"/>
      <c r="AJ622" s="158">
        <f t="shared" si="394"/>
        <v>4.3060000000000001E-2</v>
      </c>
      <c r="AK622" s="155">
        <f t="shared" si="395"/>
        <v>3.5194036695185282E-3</v>
      </c>
      <c r="AL622" s="147">
        <f t="shared" si="396"/>
        <v>0.97895030399999994</v>
      </c>
      <c r="AM622" s="147">
        <f t="shared" si="374"/>
        <v>0.2751127088752382</v>
      </c>
      <c r="AN622" s="160">
        <f t="shared" si="397"/>
        <v>0</v>
      </c>
      <c r="AO622" s="161">
        <f t="shared" si="398"/>
        <v>0</v>
      </c>
      <c r="AP622" s="156">
        <f t="shared" si="375"/>
        <v>3.1104924436804513</v>
      </c>
      <c r="AQ622" s="152"/>
      <c r="AR622" s="162">
        <f t="shared" si="376"/>
        <v>88760.797074042537</v>
      </c>
      <c r="AS622" s="150">
        <f t="shared" si="399"/>
        <v>0</v>
      </c>
      <c r="AT622" s="163">
        <f t="shared" si="377"/>
        <v>0</v>
      </c>
      <c r="AU622" s="163">
        <f t="shared" si="378"/>
        <v>27511.27088752382</v>
      </c>
      <c r="AV622" s="163">
        <f t="shared" si="400"/>
        <v>263.97344107443996</v>
      </c>
      <c r="AW622" s="163">
        <f t="shared" si="379"/>
        <v>23345.931316271228</v>
      </c>
      <c r="AX622" s="163">
        <f t="shared" si="380"/>
        <v>0</v>
      </c>
      <c r="AY622" s="165">
        <f t="shared" si="401"/>
        <v>84859.430943864398</v>
      </c>
      <c r="AZ622" s="164">
        <f>IF($E622="","",IF(OR(AND($D622=Input!$C$6,$C622=12),$AN622=1),0,-AS623+AT623+AU623-AV623-AW623-AX623+AZ623))</f>
        <v>84859.515984259575</v>
      </c>
      <c r="BA622" s="154">
        <f t="shared" si="381"/>
        <v>8.5040395177202299E-2</v>
      </c>
      <c r="BC622" s="147">
        <f t="shared" si="402"/>
        <v>4.0850721399539445E-6</v>
      </c>
      <c r="BD622" s="164">
        <f>IF(AND($C621=12,$D621=Input!$C$6),0,IF($E622="","",AT622+(AU622+BD623)/(1+$AK622)*MIN((1-AM622-AN622),1)))</f>
        <v>60327.781511782836</v>
      </c>
      <c r="BE622" s="164">
        <f t="shared" si="382"/>
        <v>0.24644333951901271</v>
      </c>
      <c r="BF622" s="164">
        <f t="shared" si="403"/>
        <v>84859.515984259575</v>
      </c>
      <c r="BG622" s="164">
        <f t="shared" si="383"/>
        <v>0.3466572445572752</v>
      </c>
      <c r="BH622" s="152"/>
      <c r="BI622" s="162">
        <f t="shared" si="384"/>
        <v>28461.46664430439</v>
      </c>
      <c r="BJ622" s="150">
        <f t="shared" si="385"/>
        <v>0</v>
      </c>
      <c r="BK622" s="163">
        <f t="shared" si="407"/>
        <v>0</v>
      </c>
      <c r="BL622" s="163">
        <f t="shared" si="386"/>
        <v>6567.5787197930549</v>
      </c>
      <c r="BM622" s="163">
        <f t="shared" si="408"/>
        <v>97.676210646259875</v>
      </c>
      <c r="BN622" s="163">
        <f t="shared" si="387"/>
        <v>1545.839106251809</v>
      </c>
      <c r="BO622" s="163">
        <f t="shared" si="388"/>
        <v>0</v>
      </c>
      <c r="BP622" s="164">
        <f t="shared" si="409"/>
        <v>23537.403241409404</v>
      </c>
      <c r="BQ622" s="164">
        <f>IF($E622="","",IF(AND($D622=Input!$C$6,$C622=12),0,-BJ623+BK623+BL623-BM623-BN623-BO623+BQ623))</f>
        <v>23537.427904640608</v>
      </c>
      <c r="BR622" s="161">
        <f t="shared" si="389"/>
        <v>0</v>
      </c>
      <c r="BT622" s="147">
        <f t="shared" si="390"/>
        <v>4.0850721399539445E-6</v>
      </c>
      <c r="BU622" s="164">
        <f>IF(AND($C621=12,$D621=Input!$C$6),0,IF($E622="","",BK622+(BL622+BU623)/(1+$AK622)*MIN((1-T622-U622),1)))</f>
        <v>79288.295440065893</v>
      </c>
      <c r="BV622" s="164">
        <f t="shared" si="391"/>
        <v>0.32389840672665055</v>
      </c>
      <c r="BW622" s="164">
        <f t="shared" si="392"/>
        <v>23537.427904640608</v>
      </c>
      <c r="BX622" s="164">
        <f t="shared" si="393"/>
        <v>9.61520909794219E-2</v>
      </c>
    </row>
    <row r="623" spans="1:76" s="150" customFormat="1" x14ac:dyDescent="0.25">
      <c r="A623" s="150">
        <f t="shared" si="404"/>
        <v>619</v>
      </c>
      <c r="B623" s="150">
        <f t="shared" si="405"/>
        <v>52</v>
      </c>
      <c r="C623" s="150">
        <f t="shared" si="406"/>
        <v>7</v>
      </c>
      <c r="D623" s="150">
        <f>IF(E623="","",Input!$C$4+B623-1)</f>
        <v>96</v>
      </c>
      <c r="E623" s="150">
        <f>IF(OR(AND(C622=12,D622=Input!$C$6),E622=""),"",1)</f>
        <v>1</v>
      </c>
      <c r="F623" s="150">
        <f>IF(E623="","",Input!$C$8+B623-1)</f>
        <v>2069</v>
      </c>
      <c r="G623" s="151">
        <f>IF(E623="","",MAX(0,Input!$C$9-B623))</f>
        <v>0</v>
      </c>
      <c r="H623" s="152">
        <f>IF(E623="","",Input!$C$3)</f>
        <v>100000</v>
      </c>
      <c r="I623" s="153">
        <f>IF(E623="","",HLOOKUP($B623,Input!$C$13:$BT$14,2))</f>
        <v>642.95350000000008</v>
      </c>
      <c r="J623" s="154"/>
      <c r="K623" s="155">
        <f>IF($E623="","",INDEX(Input!$C$16:$CP$16,1,$B623))</f>
        <v>3.2559999999999999E-2</v>
      </c>
      <c r="L623" s="155">
        <f>IF($E623="","",Input!$C$37)</f>
        <v>1.4999999999999999E-2</v>
      </c>
      <c r="M623" s="155">
        <f t="shared" si="369"/>
        <v>4.7559999999999998E-2</v>
      </c>
      <c r="N623" s="155">
        <f t="shared" si="370"/>
        <v>3.8794766309420137E-3</v>
      </c>
      <c r="O623" s="147">
        <f>IF($E623="","",MIN(VLOOKUP(IF($B623&lt;=Input!$C$7,$B623,26),'Mortality Tables'!$A$41:$CW$67,IF($B623&lt;=Input!$C$7+1,Input!$C$4+2,$D623-Input!$C$7+2),0)*IF(B623&gt;20,Input!$C$22,1)/1000,1))</f>
        <v>0.71981640000000002</v>
      </c>
      <c r="P623" s="147">
        <f>IF($E623="","",MIN(VLOOKUP(IF($B623&lt;=Input!$C$7,$B623,26),'Mortality Tables'!$A$12:$CW$37,IF($B623&lt;=Input!$C$7+1,Input!$C$4+2,$D623-Input!$C$7+2),0)*IF(B623&gt;20,Input!$C$22,1)/1000,1))</f>
        <v>0.89977049999999992</v>
      </c>
      <c r="Q623" s="155">
        <f>IF($E623="","",Input!$C$21)</f>
        <v>5.0000000000000001E-3</v>
      </c>
      <c r="R623" s="159">
        <f>IF($E623="","",(1-Q623)^($F623-Input!$C$20))</f>
        <v>0.77442099428329914</v>
      </c>
      <c r="S623" s="147">
        <f t="shared" si="372"/>
        <v>0.55744093218942503</v>
      </c>
      <c r="T623" s="147">
        <f t="shared" si="373"/>
        <v>6.5675787197930546E-2</v>
      </c>
      <c r="U623" s="160">
        <f>IF($E623="","",IF($C623=12,INDEX(Input!$C$15:$CP$15,1,$B623),0))</f>
        <v>0</v>
      </c>
      <c r="V623" s="150">
        <f>IF(E623="","",IF(C623=1,IF($B623=1,Input!$C$33,Input!$C$34),0))</f>
        <v>0</v>
      </c>
      <c r="W623" s="156">
        <f>IF($E623="","",Input!$C$35)</f>
        <v>0.02</v>
      </c>
      <c r="X623" s="156">
        <f t="shared" si="371"/>
        <v>2.7454197896550796</v>
      </c>
      <c r="Y623" s="154"/>
      <c r="Z623" s="147">
        <f>IF($E623="","",VLOOKUP($D623,'Mortality Margins &amp; Grading'!$AB$5:$AF$125,3,0)*IF(Summary!$D$25="Included Margin",IF(AND($B623&gt;Input!$C$9,Summary!$D$31&lt;&gt;"Included Margin"),0,1),0))</f>
        <v>1.7000000000000001E-2</v>
      </c>
      <c r="AA623" s="147">
        <f>IF($E623="","",VLOOKUP($D623,'Mortality Margins &amp; Grading'!$AB$5:$AF$125,5,0)*IF(Summary!$D$25="Included Margin",IF(AND($B623&gt;Input!$C$9,Summary!$D$31&lt;&gt;"Included Margin"),0,1),0))</f>
        <v>8.7999999999999995E-2</v>
      </c>
      <c r="AB623" s="147">
        <f>IF($E623="","",IF(AND($B623&gt;Input!$C$9,Summary!$D$31&lt;&gt;"Included Margin"),1,IF(Summary!$D$25="Included Margin",VLOOKUP($B623,'Mortality Margins &amp; Grading'!$AI$5:$AR$125,MATCH('Mortality Margins &amp; Grading'!$AQ$4,'Mortality Margins &amp; Grading'!$AI$4:$AR$4,0),0),1)))</f>
        <v>0</v>
      </c>
      <c r="AC623" s="154"/>
      <c r="AD623" s="158">
        <f>IF(E623="","",Input!$C$48*IF(Summary!$D$30="Included Margin",IF(AND($B623&gt;Input!$C$9,Summary!$D$31&lt;&gt;"Included Margin"),0,1),0))</f>
        <v>-4.4999999999999997E-3</v>
      </c>
      <c r="AE623" s="159">
        <f>IF(E623="","",IF(Summary!$D$26="Included Margin",IF(AND($B623&gt;Input!$C$9,Summary!$D$31&lt;&gt;"Included Margin"),1,1/$R623),1))</f>
        <v>1.2912873067516291</v>
      </c>
      <c r="AF623" s="160">
        <f>IF(E623="","",IF(AND($B623&gt;=Input!$C$9,$C623=12,Summary!$D$31="Included Margin",$U623&gt;0),1/U623-1,IF($B623&gt;=Input!$C$9,0,Input!$C$45*IF(Summary!$D$27="Included Margin",1,0))))</f>
        <v>0</v>
      </c>
      <c r="AG623" s="160">
        <f>IF(E623="","",Input!$C$46*IF(Summary!$D$28="Included Margin",IF(AND($B623&gt;Input!$C$9,Summary!$D$31&lt;&gt;"Included Margin"),0,1),0))</f>
        <v>0.02</v>
      </c>
      <c r="AH623" s="158">
        <f>IF(E623="","",Input!$C$47*IF(Summary!$D$29="Included Margin",IF(AND($B623&gt;Input!$C$9,Summary!$D$31&lt;&gt;"Included Margin"),0,1),0))</f>
        <v>2.5000000000000001E-3</v>
      </c>
      <c r="AI623" s="154"/>
      <c r="AJ623" s="158">
        <f t="shared" si="394"/>
        <v>4.3060000000000001E-2</v>
      </c>
      <c r="AK623" s="155">
        <f t="shared" si="395"/>
        <v>3.5194036695185282E-3</v>
      </c>
      <c r="AL623" s="147">
        <f t="shared" si="396"/>
        <v>0.97895030399999994</v>
      </c>
      <c r="AM623" s="147">
        <f t="shared" si="374"/>
        <v>0.2751127088752382</v>
      </c>
      <c r="AN623" s="160">
        <f t="shared" si="397"/>
        <v>0</v>
      </c>
      <c r="AO623" s="161">
        <f t="shared" si="398"/>
        <v>0</v>
      </c>
      <c r="AP623" s="156">
        <f t="shared" si="375"/>
        <v>3.1104924436804513</v>
      </c>
      <c r="AQ623" s="152"/>
      <c r="AR623" s="162">
        <f t="shared" si="376"/>
        <v>84859.430943864398</v>
      </c>
      <c r="AS623" s="150">
        <f t="shared" si="399"/>
        <v>0</v>
      </c>
      <c r="AT623" s="163">
        <f t="shared" si="377"/>
        <v>0</v>
      </c>
      <c r="AU623" s="163">
        <f t="shared" si="378"/>
        <v>27511.27088752382</v>
      </c>
      <c r="AV623" s="163">
        <f t="shared" si="400"/>
        <v>250.24295879975568</v>
      </c>
      <c r="AW623" s="163">
        <f t="shared" si="379"/>
        <v>21860.05503212654</v>
      </c>
      <c r="AX623" s="163">
        <f t="shared" si="380"/>
        <v>0</v>
      </c>
      <c r="AY623" s="164">
        <f t="shared" si="401"/>
        <v>79458.458047266875</v>
      </c>
      <c r="AZ623" s="164">
        <f>IF($E623="","",IF(OR(AND($D623=Input!$C$6,$C623=12),$AN623=1),0,-AS624+AT624+AU624-AV624-AW624-AX624+AZ624))</f>
        <v>79458.543087662052</v>
      </c>
      <c r="BA623" s="154">
        <f t="shared" si="381"/>
        <v>8.5040395177202299E-2</v>
      </c>
      <c r="BC623" s="147">
        <f t="shared" si="402"/>
        <v>3.8167818114021346E-6</v>
      </c>
      <c r="BD623" s="164">
        <f>IF(AND($C622=12,$D622=Input!$C$6),0,IF($E623="","",AT623+(AU623+BD624)/(1+$AK623)*MIN((1-AM623-AN623),1)))</f>
        <v>56005.297920674027</v>
      </c>
      <c r="BE623" s="164">
        <f t="shared" si="382"/>
        <v>0.21376000244578641</v>
      </c>
      <c r="BF623" s="164">
        <f t="shared" si="403"/>
        <v>79458.543087662052</v>
      </c>
      <c r="BG623" s="164">
        <f t="shared" si="383"/>
        <v>0.30327592201750131</v>
      </c>
      <c r="BH623" s="152"/>
      <c r="BI623" s="162">
        <f t="shared" si="384"/>
        <v>23537.403241409404</v>
      </c>
      <c r="BJ623" s="150">
        <f t="shared" si="385"/>
        <v>0</v>
      </c>
      <c r="BK623" s="163">
        <f t="shared" si="407"/>
        <v>0</v>
      </c>
      <c r="BL623" s="163">
        <f t="shared" si="386"/>
        <v>6567.5787197930549</v>
      </c>
      <c r="BM623" s="163">
        <f t="shared" si="408"/>
        <v>78.573421745451967</v>
      </c>
      <c r="BN623" s="163">
        <f t="shared" si="387"/>
        <v>1198.3726417760995</v>
      </c>
      <c r="BO623" s="163">
        <f t="shared" si="388"/>
        <v>0</v>
      </c>
      <c r="BP623" s="164">
        <f t="shared" si="409"/>
        <v>18246.7705851379</v>
      </c>
      <c r="BQ623" s="164">
        <f>IF($E623="","",IF(AND($D623=Input!$C$6,$C623=12),0,-BJ624+BK624+BL624-BM624-BN624-BO624+BQ624))</f>
        <v>18246.795248369104</v>
      </c>
      <c r="BR623" s="161">
        <f t="shared" si="389"/>
        <v>0</v>
      </c>
      <c r="BT623" s="147">
        <f t="shared" si="390"/>
        <v>3.8167818114021346E-6</v>
      </c>
      <c r="BU623" s="164">
        <f>IF(AND($C622=12,$D622=Input!$C$6),0,IF($E623="","",BK623+(BL623+BU624)/(1+$AK623)*MIN((1-T623-U623),1)))</f>
        <v>78592.73487131299</v>
      </c>
      <c r="BV623" s="164">
        <f t="shared" si="391"/>
        <v>0.2999713209651777</v>
      </c>
      <c r="BW623" s="164">
        <f t="shared" si="392"/>
        <v>18246.795248369104</v>
      </c>
      <c r="BX623" s="164">
        <f t="shared" si="393"/>
        <v>6.9644036220354089E-2</v>
      </c>
    </row>
    <row r="624" spans="1:76" s="150" customFormat="1" x14ac:dyDescent="0.25">
      <c r="A624" s="150">
        <f t="shared" si="404"/>
        <v>620</v>
      </c>
      <c r="B624" s="150">
        <f t="shared" si="405"/>
        <v>52</v>
      </c>
      <c r="C624" s="150">
        <f t="shared" si="406"/>
        <v>8</v>
      </c>
      <c r="D624" s="150">
        <f>IF(E624="","",Input!$C$4+B624-1)</f>
        <v>96</v>
      </c>
      <c r="E624" s="150">
        <f>IF(OR(AND(C623=12,D623=Input!$C$6),E623=""),"",1)</f>
        <v>1</v>
      </c>
      <c r="F624" s="150">
        <f>IF(E624="","",Input!$C$8+B624-1)</f>
        <v>2069</v>
      </c>
      <c r="G624" s="151">
        <f>IF(E624="","",MAX(0,Input!$C$9-B624))</f>
        <v>0</v>
      </c>
      <c r="H624" s="152">
        <f>IF(E624="","",Input!$C$3)</f>
        <v>100000</v>
      </c>
      <c r="I624" s="153">
        <f>IF(E624="","",HLOOKUP($B624,Input!$C$13:$BT$14,2))</f>
        <v>642.95350000000008</v>
      </c>
      <c r="J624" s="154"/>
      <c r="K624" s="155">
        <f>IF($E624="","",INDEX(Input!$C$16:$CP$16,1,$B624))</f>
        <v>3.2559999999999999E-2</v>
      </c>
      <c r="L624" s="155">
        <f>IF($E624="","",Input!$C$37)</f>
        <v>1.4999999999999999E-2</v>
      </c>
      <c r="M624" s="155">
        <f t="shared" si="369"/>
        <v>4.7559999999999998E-2</v>
      </c>
      <c r="N624" s="155">
        <f t="shared" si="370"/>
        <v>3.8794766309420137E-3</v>
      </c>
      <c r="O624" s="147">
        <f>IF($E624="","",MIN(VLOOKUP(IF($B624&lt;=Input!$C$7,$B624,26),'Mortality Tables'!$A$41:$CW$67,IF($B624&lt;=Input!$C$7+1,Input!$C$4+2,$D624-Input!$C$7+2),0)*IF(B624&gt;20,Input!$C$22,1)/1000,1))</f>
        <v>0.71981640000000002</v>
      </c>
      <c r="P624" s="147">
        <f>IF($E624="","",MIN(VLOOKUP(IF($B624&lt;=Input!$C$7,$B624,26),'Mortality Tables'!$A$12:$CW$37,IF($B624&lt;=Input!$C$7+1,Input!$C$4+2,$D624-Input!$C$7+2),0)*IF(B624&gt;20,Input!$C$22,1)/1000,1))</f>
        <v>0.89977049999999992</v>
      </c>
      <c r="Q624" s="155">
        <f>IF($E624="","",Input!$C$21)</f>
        <v>5.0000000000000001E-3</v>
      </c>
      <c r="R624" s="159">
        <f>IF($E624="","",(1-Q624)^($F624-Input!$C$20))</f>
        <v>0.77442099428329914</v>
      </c>
      <c r="S624" s="147">
        <f t="shared" si="372"/>
        <v>0.55744093218942503</v>
      </c>
      <c r="T624" s="147">
        <f t="shared" si="373"/>
        <v>6.5675787197930546E-2</v>
      </c>
      <c r="U624" s="160">
        <f>IF($E624="","",IF($C624=12,INDEX(Input!$C$15:$CP$15,1,$B624),0))</f>
        <v>0</v>
      </c>
      <c r="V624" s="150">
        <f>IF(E624="","",IF(C624=1,IF($B624=1,Input!$C$33,Input!$C$34),0))</f>
        <v>0</v>
      </c>
      <c r="W624" s="156">
        <f>IF($E624="","",Input!$C$35)</f>
        <v>0.02</v>
      </c>
      <c r="X624" s="156">
        <f t="shared" si="371"/>
        <v>2.7454197896550796</v>
      </c>
      <c r="Y624" s="154"/>
      <c r="Z624" s="147">
        <f>IF($E624="","",VLOOKUP($D624,'Mortality Margins &amp; Grading'!$AB$5:$AF$125,3,0)*IF(Summary!$D$25="Included Margin",IF(AND($B624&gt;Input!$C$9,Summary!$D$31&lt;&gt;"Included Margin"),0,1),0))</f>
        <v>1.7000000000000001E-2</v>
      </c>
      <c r="AA624" s="147">
        <f>IF($E624="","",VLOOKUP($D624,'Mortality Margins &amp; Grading'!$AB$5:$AF$125,5,0)*IF(Summary!$D$25="Included Margin",IF(AND($B624&gt;Input!$C$9,Summary!$D$31&lt;&gt;"Included Margin"),0,1),0))</f>
        <v>8.7999999999999995E-2</v>
      </c>
      <c r="AB624" s="147">
        <f>IF($E624="","",IF(AND($B624&gt;Input!$C$9,Summary!$D$31&lt;&gt;"Included Margin"),1,IF(Summary!$D$25="Included Margin",VLOOKUP($B624,'Mortality Margins &amp; Grading'!$AI$5:$AR$125,MATCH('Mortality Margins &amp; Grading'!$AQ$4,'Mortality Margins &amp; Grading'!$AI$4:$AR$4,0),0),1)))</f>
        <v>0</v>
      </c>
      <c r="AC624" s="154"/>
      <c r="AD624" s="158">
        <f>IF(E624="","",Input!$C$48*IF(Summary!$D$30="Included Margin",IF(AND($B624&gt;Input!$C$9,Summary!$D$31&lt;&gt;"Included Margin"),0,1),0))</f>
        <v>-4.4999999999999997E-3</v>
      </c>
      <c r="AE624" s="159">
        <f>IF(E624="","",IF(Summary!$D$26="Included Margin",IF(AND($B624&gt;Input!$C$9,Summary!$D$31&lt;&gt;"Included Margin"),1,1/$R624),1))</f>
        <v>1.2912873067516291</v>
      </c>
      <c r="AF624" s="160">
        <f>IF(E624="","",IF(AND($B624&gt;=Input!$C$9,$C624=12,Summary!$D$31="Included Margin",$U624&gt;0),1/U624-1,IF($B624&gt;=Input!$C$9,0,Input!$C$45*IF(Summary!$D$27="Included Margin",1,0))))</f>
        <v>0</v>
      </c>
      <c r="AG624" s="160">
        <f>IF(E624="","",Input!$C$46*IF(Summary!$D$28="Included Margin",IF(AND($B624&gt;Input!$C$9,Summary!$D$31&lt;&gt;"Included Margin"),0,1),0))</f>
        <v>0.02</v>
      </c>
      <c r="AH624" s="158">
        <f>IF(E624="","",Input!$C$47*IF(Summary!$D$29="Included Margin",IF(AND($B624&gt;Input!$C$9,Summary!$D$31&lt;&gt;"Included Margin"),0,1),0))</f>
        <v>2.5000000000000001E-3</v>
      </c>
      <c r="AI624" s="154"/>
      <c r="AJ624" s="158">
        <f t="shared" si="394"/>
        <v>4.3060000000000001E-2</v>
      </c>
      <c r="AK624" s="155">
        <f t="shared" si="395"/>
        <v>3.5194036695185282E-3</v>
      </c>
      <c r="AL624" s="147">
        <f t="shared" si="396"/>
        <v>0.97895030399999994</v>
      </c>
      <c r="AM624" s="147">
        <f t="shared" si="374"/>
        <v>0.2751127088752382</v>
      </c>
      <c r="AN624" s="160">
        <f t="shared" si="397"/>
        <v>0</v>
      </c>
      <c r="AO624" s="161">
        <f t="shared" si="398"/>
        <v>0</v>
      </c>
      <c r="AP624" s="156">
        <f t="shared" si="375"/>
        <v>3.1104924436804513</v>
      </c>
      <c r="AQ624" s="152"/>
      <c r="AR624" s="162">
        <f t="shared" si="376"/>
        <v>79458.45804726686</v>
      </c>
      <c r="AS624" s="150">
        <f t="shared" si="399"/>
        <v>0</v>
      </c>
      <c r="AT624" s="163">
        <f t="shared" si="377"/>
        <v>0</v>
      </c>
      <c r="AU624" s="163">
        <f t="shared" si="378"/>
        <v>27511.27088752382</v>
      </c>
      <c r="AV624" s="163">
        <f t="shared" si="400"/>
        <v>231.2347549685002</v>
      </c>
      <c r="AW624" s="163">
        <f t="shared" si="379"/>
        <v>19803.037753926084</v>
      </c>
      <c r="AX624" s="163">
        <f t="shared" si="380"/>
        <v>0</v>
      </c>
      <c r="AY624" s="165">
        <f t="shared" si="401"/>
        <v>71981.459668637632</v>
      </c>
      <c r="AZ624" s="164">
        <f>IF($E624="","",IF(OR(AND($D624=Input!$C$6,$C624=12),$AN624=1),0,-AS625+AT625+AU625-AV625-AW625-AX625+AZ625))</f>
        <v>71981.544709032809</v>
      </c>
      <c r="BA624" s="154">
        <f t="shared" si="381"/>
        <v>8.5040395177202299E-2</v>
      </c>
      <c r="BC624" s="147">
        <f t="shared" si="402"/>
        <v>3.5661116613755561E-6</v>
      </c>
      <c r="BD624" s="164">
        <f>IF(AND($C623=12,$D623=Input!$C$6),0,IF($E624="","",AT624+(AU624+BD625)/(1+$AK624)*MIN((1-AM624-AN624),1)))</f>
        <v>50021.338470936316</v>
      </c>
      <c r="BE624" s="164">
        <f t="shared" si="382"/>
        <v>0.17838167843881972</v>
      </c>
      <c r="BF624" s="164">
        <f t="shared" si="403"/>
        <v>71981.544709032809</v>
      </c>
      <c r="BG624" s="164">
        <f t="shared" si="383"/>
        <v>0.25669422599070785</v>
      </c>
      <c r="BH624" s="152"/>
      <c r="BI624" s="162">
        <f t="shared" si="384"/>
        <v>18246.7705851379</v>
      </c>
      <c r="BJ624" s="150">
        <f t="shared" si="385"/>
        <v>0</v>
      </c>
      <c r="BK624" s="163">
        <f t="shared" si="407"/>
        <v>0</v>
      </c>
      <c r="BL624" s="163">
        <f t="shared" si="386"/>
        <v>6567.5787197930549</v>
      </c>
      <c r="BM624" s="163">
        <f t="shared" si="408"/>
        <v>58.048535992548004</v>
      </c>
      <c r="BN624" s="163">
        <f t="shared" si="387"/>
        <v>825.03922311345707</v>
      </c>
      <c r="BO624" s="163">
        <f t="shared" si="388"/>
        <v>0</v>
      </c>
      <c r="BP624" s="164">
        <f t="shared" si="409"/>
        <v>12562.27962445085</v>
      </c>
      <c r="BQ624" s="164">
        <f>IF($E624="","",IF(AND($D624=Input!$C$6,$C624=12),0,-BJ625+BK625+BL625-BM625-BN625-BO625+BQ625))</f>
        <v>12562.304287682055</v>
      </c>
      <c r="BR624" s="161">
        <f t="shared" si="389"/>
        <v>0</v>
      </c>
      <c r="BT624" s="147">
        <f t="shared" si="390"/>
        <v>3.5661116613755561E-6</v>
      </c>
      <c r="BU624" s="164">
        <f>IF(AND($C623=12,$D623=Input!$C$6),0,IF($E624="","",BK624+(BL624+BU625)/(1+$AK624)*MIN((1-T624-U624),1)))</f>
        <v>77845.661727315586</v>
      </c>
      <c r="BV624" s="164">
        <f t="shared" si="391"/>
        <v>0.2776063220732769</v>
      </c>
      <c r="BW624" s="164">
        <f t="shared" si="392"/>
        <v>12562.304287682055</v>
      </c>
      <c r="BX624" s="164">
        <f t="shared" si="393"/>
        <v>4.4798579814051123E-2</v>
      </c>
    </row>
    <row r="625" spans="1:76" s="150" customFormat="1" x14ac:dyDescent="0.25">
      <c r="A625" s="150">
        <f t="shared" si="404"/>
        <v>621</v>
      </c>
      <c r="B625" s="150">
        <f t="shared" si="405"/>
        <v>52</v>
      </c>
      <c r="C625" s="150">
        <f t="shared" si="406"/>
        <v>9</v>
      </c>
      <c r="D625" s="150">
        <f>IF(E625="","",Input!$C$4+B625-1)</f>
        <v>96</v>
      </c>
      <c r="E625" s="150">
        <f>IF(OR(AND(C624=12,D624=Input!$C$6),E624=""),"",1)</f>
        <v>1</v>
      </c>
      <c r="F625" s="150">
        <f>IF(E625="","",Input!$C$8+B625-1)</f>
        <v>2069</v>
      </c>
      <c r="G625" s="151">
        <f>IF(E625="","",MAX(0,Input!$C$9-B625))</f>
        <v>0</v>
      </c>
      <c r="H625" s="152">
        <f>IF(E625="","",Input!$C$3)</f>
        <v>100000</v>
      </c>
      <c r="I625" s="153">
        <f>IF(E625="","",HLOOKUP($B625,Input!$C$13:$BT$14,2))</f>
        <v>642.95350000000008</v>
      </c>
      <c r="J625" s="154"/>
      <c r="K625" s="155">
        <f>IF($E625="","",INDEX(Input!$C$16:$CP$16,1,$B625))</f>
        <v>3.2559999999999999E-2</v>
      </c>
      <c r="L625" s="155">
        <f>IF($E625="","",Input!$C$37)</f>
        <v>1.4999999999999999E-2</v>
      </c>
      <c r="M625" s="155">
        <f t="shared" si="369"/>
        <v>4.7559999999999998E-2</v>
      </c>
      <c r="N625" s="155">
        <f t="shared" si="370"/>
        <v>3.8794766309420137E-3</v>
      </c>
      <c r="O625" s="147">
        <f>IF($E625="","",MIN(VLOOKUP(IF($B625&lt;=Input!$C$7,$B625,26),'Mortality Tables'!$A$41:$CW$67,IF($B625&lt;=Input!$C$7+1,Input!$C$4+2,$D625-Input!$C$7+2),0)*IF(B625&gt;20,Input!$C$22,1)/1000,1))</f>
        <v>0.71981640000000002</v>
      </c>
      <c r="P625" s="147">
        <f>IF($E625="","",MIN(VLOOKUP(IF($B625&lt;=Input!$C$7,$B625,26),'Mortality Tables'!$A$12:$CW$37,IF($B625&lt;=Input!$C$7+1,Input!$C$4+2,$D625-Input!$C$7+2),0)*IF(B625&gt;20,Input!$C$22,1)/1000,1))</f>
        <v>0.89977049999999992</v>
      </c>
      <c r="Q625" s="155">
        <f>IF($E625="","",Input!$C$21)</f>
        <v>5.0000000000000001E-3</v>
      </c>
      <c r="R625" s="159">
        <f>IF($E625="","",(1-Q625)^($F625-Input!$C$20))</f>
        <v>0.77442099428329914</v>
      </c>
      <c r="S625" s="147">
        <f t="shared" si="372"/>
        <v>0.55744093218942503</v>
      </c>
      <c r="T625" s="147">
        <f t="shared" si="373"/>
        <v>6.5675787197930546E-2</v>
      </c>
      <c r="U625" s="160">
        <f>IF($E625="","",IF($C625=12,INDEX(Input!$C$15:$CP$15,1,$B625),0))</f>
        <v>0</v>
      </c>
      <c r="V625" s="150">
        <f>IF(E625="","",IF(C625=1,IF($B625=1,Input!$C$33,Input!$C$34),0))</f>
        <v>0</v>
      </c>
      <c r="W625" s="156">
        <f>IF($E625="","",Input!$C$35)</f>
        <v>0.02</v>
      </c>
      <c r="X625" s="156">
        <f t="shared" si="371"/>
        <v>2.7454197896550796</v>
      </c>
      <c r="Y625" s="154"/>
      <c r="Z625" s="147">
        <f>IF($E625="","",VLOOKUP($D625,'Mortality Margins &amp; Grading'!$AB$5:$AF$125,3,0)*IF(Summary!$D$25="Included Margin",IF(AND($B625&gt;Input!$C$9,Summary!$D$31&lt;&gt;"Included Margin"),0,1),0))</f>
        <v>1.7000000000000001E-2</v>
      </c>
      <c r="AA625" s="147">
        <f>IF($E625="","",VLOOKUP($D625,'Mortality Margins &amp; Grading'!$AB$5:$AF$125,5,0)*IF(Summary!$D$25="Included Margin",IF(AND($B625&gt;Input!$C$9,Summary!$D$31&lt;&gt;"Included Margin"),0,1),0))</f>
        <v>8.7999999999999995E-2</v>
      </c>
      <c r="AB625" s="147">
        <f>IF($E625="","",IF(AND($B625&gt;Input!$C$9,Summary!$D$31&lt;&gt;"Included Margin"),1,IF(Summary!$D$25="Included Margin",VLOOKUP($B625,'Mortality Margins &amp; Grading'!$AI$5:$AR$125,MATCH('Mortality Margins &amp; Grading'!$AQ$4,'Mortality Margins &amp; Grading'!$AI$4:$AR$4,0),0),1)))</f>
        <v>0</v>
      </c>
      <c r="AC625" s="154"/>
      <c r="AD625" s="158">
        <f>IF(E625="","",Input!$C$48*IF(Summary!$D$30="Included Margin",IF(AND($B625&gt;Input!$C$9,Summary!$D$31&lt;&gt;"Included Margin"),0,1),0))</f>
        <v>-4.4999999999999997E-3</v>
      </c>
      <c r="AE625" s="159">
        <f>IF(E625="","",IF(Summary!$D$26="Included Margin",IF(AND($B625&gt;Input!$C$9,Summary!$D$31&lt;&gt;"Included Margin"),1,1/$R625),1))</f>
        <v>1.2912873067516291</v>
      </c>
      <c r="AF625" s="160">
        <f>IF(E625="","",IF(AND($B625&gt;=Input!$C$9,$C625=12,Summary!$D$31="Included Margin",$U625&gt;0),1/U625-1,IF($B625&gt;=Input!$C$9,0,Input!$C$45*IF(Summary!$D$27="Included Margin",1,0))))</f>
        <v>0</v>
      </c>
      <c r="AG625" s="160">
        <f>IF(E625="","",Input!$C$46*IF(Summary!$D$28="Included Margin",IF(AND($B625&gt;Input!$C$9,Summary!$D$31&lt;&gt;"Included Margin"),0,1),0))</f>
        <v>0.02</v>
      </c>
      <c r="AH625" s="158">
        <f>IF(E625="","",Input!$C$47*IF(Summary!$D$29="Included Margin",IF(AND($B625&gt;Input!$C$9,Summary!$D$31&lt;&gt;"Included Margin"),0,1),0))</f>
        <v>2.5000000000000001E-3</v>
      </c>
      <c r="AI625" s="154"/>
      <c r="AJ625" s="158">
        <f t="shared" si="394"/>
        <v>4.3060000000000001E-2</v>
      </c>
      <c r="AK625" s="155">
        <f t="shared" si="395"/>
        <v>3.5194036695185282E-3</v>
      </c>
      <c r="AL625" s="147">
        <f t="shared" si="396"/>
        <v>0.97895030399999994</v>
      </c>
      <c r="AM625" s="147">
        <f t="shared" si="374"/>
        <v>0.2751127088752382</v>
      </c>
      <c r="AN625" s="160">
        <f t="shared" si="397"/>
        <v>0</v>
      </c>
      <c r="AO625" s="161">
        <f t="shared" si="398"/>
        <v>0</v>
      </c>
      <c r="AP625" s="156">
        <f t="shared" si="375"/>
        <v>3.1104924436804513</v>
      </c>
      <c r="AQ625" s="152"/>
      <c r="AR625" s="162">
        <f t="shared" si="376"/>
        <v>71981.459668637617</v>
      </c>
      <c r="AS625" s="150">
        <f t="shared" si="399"/>
        <v>0</v>
      </c>
      <c r="AT625" s="163">
        <f t="shared" si="377"/>
        <v>0</v>
      </c>
      <c r="AU625" s="163">
        <f t="shared" si="378"/>
        <v>27511.27088752382</v>
      </c>
      <c r="AV625" s="163">
        <f t="shared" si="400"/>
        <v>204.92017943776838</v>
      </c>
      <c r="AW625" s="163">
        <f t="shared" si="379"/>
        <v>16955.344357129681</v>
      </c>
      <c r="AX625" s="163">
        <f t="shared" si="380"/>
        <v>0</v>
      </c>
      <c r="AY625" s="164">
        <f t="shared" si="401"/>
        <v>61630.453317681247</v>
      </c>
      <c r="AZ625" s="164">
        <f>IF($E625="","",IF(OR(AND($D625=Input!$C$6,$C625=12),$AN625=1),0,-AS626+AT626+AU626-AV626-AW626-AX626+AZ626))</f>
        <v>61630.538358076432</v>
      </c>
      <c r="BA625" s="154">
        <f t="shared" si="381"/>
        <v>8.5040395184478257E-2</v>
      </c>
      <c r="BC625" s="147">
        <f t="shared" si="402"/>
        <v>3.3319044707789964E-6</v>
      </c>
      <c r="BD625" s="164">
        <f>IF(AND($C624=12,$D624=Input!$C$6),0,IF($E625="","",AT625+(AU625+BD626)/(1+$AK625)*MIN((1-AM625-AN625),1)))</f>
        <v>41737.265219678513</v>
      </c>
      <c r="BE625" s="164">
        <f t="shared" si="382"/>
        <v>0.13906458058353555</v>
      </c>
      <c r="BF625" s="164">
        <f t="shared" si="403"/>
        <v>61630.538358076432</v>
      </c>
      <c r="BG625" s="164">
        <f t="shared" si="383"/>
        <v>0.20534706629179128</v>
      </c>
      <c r="BH625" s="152"/>
      <c r="BI625" s="162">
        <f t="shared" si="384"/>
        <v>12562.279624450848</v>
      </c>
      <c r="BJ625" s="150">
        <f t="shared" si="385"/>
        <v>0</v>
      </c>
      <c r="BK625" s="163">
        <f t="shared" si="407"/>
        <v>0</v>
      </c>
      <c r="BL625" s="163">
        <f t="shared" si="386"/>
        <v>6567.5787197930549</v>
      </c>
      <c r="BM625" s="163">
        <f t="shared" si="408"/>
        <v>35.995686151761468</v>
      </c>
      <c r="BN625" s="163">
        <f t="shared" si="387"/>
        <v>423.91319876275452</v>
      </c>
      <c r="BO625" s="163">
        <f t="shared" si="388"/>
        <v>0</v>
      </c>
      <c r="BP625" s="164">
        <f t="shared" si="409"/>
        <v>6454.6097895723087</v>
      </c>
      <c r="BQ625" s="164">
        <f>IF($E625="","",IF(AND($D625=Input!$C$6,$C625=12),0,-BJ626+BK626+BL626-BM626-BN626-BO626+BQ626))</f>
        <v>6454.6344528035152</v>
      </c>
      <c r="BR625" s="161">
        <f t="shared" si="389"/>
        <v>0</v>
      </c>
      <c r="BT625" s="147">
        <f t="shared" si="390"/>
        <v>3.3319044707789964E-6</v>
      </c>
      <c r="BU625" s="164">
        <f>IF(AND($C624=12,$D624=Input!$C$6),0,IF($E625="","",BK625+(BL625+BU626)/(1+$AK625)*MIN((1-T625-U625),1)))</f>
        <v>77043.261034184223</v>
      </c>
      <c r="BV625" s="164">
        <f t="shared" si="391"/>
        <v>0.25670078588319167</v>
      </c>
      <c r="BW625" s="164">
        <f t="shared" si="392"/>
        <v>6454.6344528035152</v>
      </c>
      <c r="BX625" s="164">
        <f t="shared" si="393"/>
        <v>2.1506225390540173E-2</v>
      </c>
    </row>
    <row r="626" spans="1:76" s="150" customFormat="1" x14ac:dyDescent="0.25">
      <c r="A626" s="150">
        <f t="shared" si="404"/>
        <v>622</v>
      </c>
      <c r="B626" s="150">
        <f t="shared" si="405"/>
        <v>52</v>
      </c>
      <c r="C626" s="150">
        <f t="shared" si="406"/>
        <v>10</v>
      </c>
      <c r="D626" s="150">
        <f>IF(E626="","",Input!$C$4+B626-1)</f>
        <v>96</v>
      </c>
      <c r="E626" s="150">
        <f>IF(OR(AND(C625=12,D625=Input!$C$6),E625=""),"",1)</f>
        <v>1</v>
      </c>
      <c r="F626" s="150">
        <f>IF(E626="","",Input!$C$8+B626-1)</f>
        <v>2069</v>
      </c>
      <c r="G626" s="151">
        <f>IF(E626="","",MAX(0,Input!$C$9-B626))</f>
        <v>0</v>
      </c>
      <c r="H626" s="152">
        <f>IF(E626="","",Input!$C$3)</f>
        <v>100000</v>
      </c>
      <c r="I626" s="153">
        <f>IF(E626="","",HLOOKUP($B626,Input!$C$13:$BT$14,2))</f>
        <v>642.95350000000008</v>
      </c>
      <c r="J626" s="154"/>
      <c r="K626" s="155">
        <f>IF($E626="","",INDEX(Input!$C$16:$CP$16,1,$B626))</f>
        <v>3.2559999999999999E-2</v>
      </c>
      <c r="L626" s="155">
        <f>IF($E626="","",Input!$C$37)</f>
        <v>1.4999999999999999E-2</v>
      </c>
      <c r="M626" s="155">
        <f t="shared" si="369"/>
        <v>4.7559999999999998E-2</v>
      </c>
      <c r="N626" s="155">
        <f t="shared" si="370"/>
        <v>3.8794766309420137E-3</v>
      </c>
      <c r="O626" s="147">
        <f>IF($E626="","",MIN(VLOOKUP(IF($B626&lt;=Input!$C$7,$B626,26),'Mortality Tables'!$A$41:$CW$67,IF($B626&lt;=Input!$C$7+1,Input!$C$4+2,$D626-Input!$C$7+2),0)*IF(B626&gt;20,Input!$C$22,1)/1000,1))</f>
        <v>0.71981640000000002</v>
      </c>
      <c r="P626" s="147">
        <f>IF($E626="","",MIN(VLOOKUP(IF($B626&lt;=Input!$C$7,$B626,26),'Mortality Tables'!$A$12:$CW$37,IF($B626&lt;=Input!$C$7+1,Input!$C$4+2,$D626-Input!$C$7+2),0)*IF(B626&gt;20,Input!$C$22,1)/1000,1))</f>
        <v>0.89977049999999992</v>
      </c>
      <c r="Q626" s="155">
        <f>IF($E626="","",Input!$C$21)</f>
        <v>5.0000000000000001E-3</v>
      </c>
      <c r="R626" s="159">
        <f>IF($E626="","",(1-Q626)^($F626-Input!$C$20))</f>
        <v>0.77442099428329914</v>
      </c>
      <c r="S626" s="147">
        <f t="shared" si="372"/>
        <v>0.55744093218942503</v>
      </c>
      <c r="T626" s="147">
        <f t="shared" si="373"/>
        <v>6.5675787197930546E-2</v>
      </c>
      <c r="U626" s="160">
        <f>IF($E626="","",IF($C626=12,INDEX(Input!$C$15:$CP$15,1,$B626),0))</f>
        <v>0</v>
      </c>
      <c r="V626" s="150">
        <f>IF(E626="","",IF(C626=1,IF($B626=1,Input!$C$33,Input!$C$34),0))</f>
        <v>0</v>
      </c>
      <c r="W626" s="156">
        <f>IF($E626="","",Input!$C$35)</f>
        <v>0.02</v>
      </c>
      <c r="X626" s="156">
        <f t="shared" si="371"/>
        <v>2.7454197896550796</v>
      </c>
      <c r="Y626" s="154"/>
      <c r="Z626" s="147">
        <f>IF($E626="","",VLOOKUP($D626,'Mortality Margins &amp; Grading'!$AB$5:$AF$125,3,0)*IF(Summary!$D$25="Included Margin",IF(AND($B626&gt;Input!$C$9,Summary!$D$31&lt;&gt;"Included Margin"),0,1),0))</f>
        <v>1.7000000000000001E-2</v>
      </c>
      <c r="AA626" s="147">
        <f>IF($E626="","",VLOOKUP($D626,'Mortality Margins &amp; Grading'!$AB$5:$AF$125,5,0)*IF(Summary!$D$25="Included Margin",IF(AND($B626&gt;Input!$C$9,Summary!$D$31&lt;&gt;"Included Margin"),0,1),0))</f>
        <v>8.7999999999999995E-2</v>
      </c>
      <c r="AB626" s="147">
        <f>IF($E626="","",IF(AND($B626&gt;Input!$C$9,Summary!$D$31&lt;&gt;"Included Margin"),1,IF(Summary!$D$25="Included Margin",VLOOKUP($B626,'Mortality Margins &amp; Grading'!$AI$5:$AR$125,MATCH('Mortality Margins &amp; Grading'!$AQ$4,'Mortality Margins &amp; Grading'!$AI$4:$AR$4,0),0),1)))</f>
        <v>0</v>
      </c>
      <c r="AC626" s="154"/>
      <c r="AD626" s="158">
        <f>IF(E626="","",Input!$C$48*IF(Summary!$D$30="Included Margin",IF(AND($B626&gt;Input!$C$9,Summary!$D$31&lt;&gt;"Included Margin"),0,1),0))</f>
        <v>-4.4999999999999997E-3</v>
      </c>
      <c r="AE626" s="159">
        <f>IF(E626="","",IF(Summary!$D$26="Included Margin",IF(AND($B626&gt;Input!$C$9,Summary!$D$31&lt;&gt;"Included Margin"),1,1/$R626),1))</f>
        <v>1.2912873067516291</v>
      </c>
      <c r="AF626" s="160">
        <f>IF(E626="","",IF(AND($B626&gt;=Input!$C$9,$C626=12,Summary!$D$31="Included Margin",$U626&gt;0),1/U626-1,IF($B626&gt;=Input!$C$9,0,Input!$C$45*IF(Summary!$D$27="Included Margin",1,0))))</f>
        <v>0</v>
      </c>
      <c r="AG626" s="160">
        <f>IF(E626="","",Input!$C$46*IF(Summary!$D$28="Included Margin",IF(AND($B626&gt;Input!$C$9,Summary!$D$31&lt;&gt;"Included Margin"),0,1),0))</f>
        <v>0.02</v>
      </c>
      <c r="AH626" s="158">
        <f>IF(E626="","",Input!$C$47*IF(Summary!$D$29="Included Margin",IF(AND($B626&gt;Input!$C$9,Summary!$D$31&lt;&gt;"Included Margin"),0,1),0))</f>
        <v>2.5000000000000001E-3</v>
      </c>
      <c r="AI626" s="154"/>
      <c r="AJ626" s="158">
        <f t="shared" si="394"/>
        <v>4.3060000000000001E-2</v>
      </c>
      <c r="AK626" s="155">
        <f t="shared" si="395"/>
        <v>3.5194036695185282E-3</v>
      </c>
      <c r="AL626" s="147">
        <f t="shared" si="396"/>
        <v>0.97895030399999994</v>
      </c>
      <c r="AM626" s="147">
        <f t="shared" si="374"/>
        <v>0.2751127088752382</v>
      </c>
      <c r="AN626" s="160">
        <f t="shared" si="397"/>
        <v>0</v>
      </c>
      <c r="AO626" s="161">
        <f t="shared" si="398"/>
        <v>0</v>
      </c>
      <c r="AP626" s="156">
        <f t="shared" si="375"/>
        <v>3.1104924436804513</v>
      </c>
      <c r="AQ626" s="152"/>
      <c r="AR626" s="162">
        <f t="shared" si="376"/>
        <v>61630.453317681255</v>
      </c>
      <c r="AS626" s="150">
        <f t="shared" si="399"/>
        <v>0</v>
      </c>
      <c r="AT626" s="163">
        <f t="shared" si="377"/>
        <v>0</v>
      </c>
      <c r="AU626" s="163">
        <f t="shared" si="378"/>
        <v>27511.27088752382</v>
      </c>
      <c r="AV626" s="163">
        <f t="shared" si="400"/>
        <v>168.49080970300298</v>
      </c>
      <c r="AW626" s="163">
        <f t="shared" si="379"/>
        <v>13013.054825535584</v>
      </c>
      <c r="AX626" s="163">
        <f t="shared" si="380"/>
        <v>0</v>
      </c>
      <c r="AY626" s="165">
        <f t="shared" si="401"/>
        <v>47300.728065396026</v>
      </c>
      <c r="AZ626" s="164">
        <f>IF($E626="","",IF(OR(AND($D626=Input!$C$6,$C626=12),$AN626=1),0,-AS627+AT627+AU627-AV627-AW627-AX627+AZ627))</f>
        <v>47300.813105791196</v>
      </c>
      <c r="BA626" s="154">
        <f t="shared" si="381"/>
        <v>8.5040395169926342E-2</v>
      </c>
      <c r="BC626" s="147">
        <f t="shared" si="402"/>
        <v>3.1130790217922815E-6</v>
      </c>
      <c r="BD626" s="164">
        <f>IF(AND($C625=12,$D625=Input!$C$6),0,IF($E626="","",AT626+(AU626+BD627)/(1+$AK626)*MIN((1-AM626-AN626),1)))</f>
        <v>30268.960628274068</v>
      </c>
      <c r="BE626" s="164">
        <f t="shared" si="382"/>
        <v>9.4229666343336516E-2</v>
      </c>
      <c r="BF626" s="164">
        <f t="shared" si="403"/>
        <v>47300.813105791196</v>
      </c>
      <c r="BG626" s="164">
        <f t="shared" si="383"/>
        <v>0.147251168993356</v>
      </c>
      <c r="BH626" s="152"/>
      <c r="BI626" s="162">
        <f t="shared" si="384"/>
        <v>6454.6097895723087</v>
      </c>
      <c r="BJ626" s="150">
        <f t="shared" si="385"/>
        <v>0</v>
      </c>
      <c r="BK626" s="163">
        <f t="shared" si="407"/>
        <v>0</v>
      </c>
      <c r="BL626" s="163">
        <f t="shared" si="386"/>
        <v>6567.5787197930549</v>
      </c>
      <c r="BM626" s="163">
        <f t="shared" si="408"/>
        <v>12.301123757840708</v>
      </c>
      <c r="BN626" s="163">
        <f t="shared" si="387"/>
        <v>-7.0744368681111744</v>
      </c>
      <c r="BO626" s="163">
        <f t="shared" si="388"/>
        <v>0</v>
      </c>
      <c r="BP626" s="164">
        <f t="shared" si="409"/>
        <v>-107.74224333101665</v>
      </c>
      <c r="BQ626" s="164">
        <f>IF($E626="","",IF(AND($D626=Input!$C$6,$C626=12),0,-BJ627+BK627+BL627-BM627-BN627-BO627+BQ627))</f>
        <v>-107.71758009981022</v>
      </c>
      <c r="BR626" s="161">
        <f t="shared" si="389"/>
        <v>0</v>
      </c>
      <c r="BT626" s="147">
        <f t="shared" si="390"/>
        <v>3.1130790217922815E-6</v>
      </c>
      <c r="BU626" s="164">
        <f>IF(AND($C625=12,$D625=Input!$C$6),0,IF($E626="","",BK626+(BL626+BU627)/(1+$AK626)*MIN((1-T626-U626),1)))</f>
        <v>76181.435284576073</v>
      </c>
      <c r="BV626" s="164">
        <f t="shared" si="391"/>
        <v>0.23715882803444008</v>
      </c>
      <c r="BW626" s="164">
        <f t="shared" si="392"/>
        <v>-107.71758009981022</v>
      </c>
      <c r="BX626" s="164">
        <f t="shared" si="393"/>
        <v>-3.3533333888694894E-4</v>
      </c>
    </row>
    <row r="627" spans="1:76" s="150" customFormat="1" x14ac:dyDescent="0.25">
      <c r="A627" s="150">
        <f t="shared" si="404"/>
        <v>623</v>
      </c>
      <c r="B627" s="150">
        <f t="shared" si="405"/>
        <v>52</v>
      </c>
      <c r="C627" s="150">
        <f t="shared" si="406"/>
        <v>11</v>
      </c>
      <c r="D627" s="150">
        <f>IF(E627="","",Input!$C$4+B627-1)</f>
        <v>96</v>
      </c>
      <c r="E627" s="150">
        <f>IF(OR(AND(C626=12,D626=Input!$C$6),E626=""),"",1)</f>
        <v>1</v>
      </c>
      <c r="F627" s="150">
        <f>IF(E627="","",Input!$C$8+B627-1)</f>
        <v>2069</v>
      </c>
      <c r="G627" s="151">
        <f>IF(E627="","",MAX(0,Input!$C$9-B627))</f>
        <v>0</v>
      </c>
      <c r="H627" s="152">
        <f>IF(E627="","",Input!$C$3)</f>
        <v>100000</v>
      </c>
      <c r="I627" s="153">
        <f>IF(E627="","",HLOOKUP($B627,Input!$C$13:$BT$14,2))</f>
        <v>642.95350000000008</v>
      </c>
      <c r="J627" s="154"/>
      <c r="K627" s="155">
        <f>IF($E627="","",INDEX(Input!$C$16:$CP$16,1,$B627))</f>
        <v>3.2559999999999999E-2</v>
      </c>
      <c r="L627" s="155">
        <f>IF($E627="","",Input!$C$37)</f>
        <v>1.4999999999999999E-2</v>
      </c>
      <c r="M627" s="155">
        <f t="shared" si="369"/>
        <v>4.7559999999999998E-2</v>
      </c>
      <c r="N627" s="155">
        <f t="shared" si="370"/>
        <v>3.8794766309420137E-3</v>
      </c>
      <c r="O627" s="147">
        <f>IF($E627="","",MIN(VLOOKUP(IF($B627&lt;=Input!$C$7,$B627,26),'Mortality Tables'!$A$41:$CW$67,IF($B627&lt;=Input!$C$7+1,Input!$C$4+2,$D627-Input!$C$7+2),0)*IF(B627&gt;20,Input!$C$22,1)/1000,1))</f>
        <v>0.71981640000000002</v>
      </c>
      <c r="P627" s="147">
        <f>IF($E627="","",MIN(VLOOKUP(IF($B627&lt;=Input!$C$7,$B627,26),'Mortality Tables'!$A$12:$CW$37,IF($B627&lt;=Input!$C$7+1,Input!$C$4+2,$D627-Input!$C$7+2),0)*IF(B627&gt;20,Input!$C$22,1)/1000,1))</f>
        <v>0.89977049999999992</v>
      </c>
      <c r="Q627" s="155">
        <f>IF($E627="","",Input!$C$21)</f>
        <v>5.0000000000000001E-3</v>
      </c>
      <c r="R627" s="159">
        <f>IF($E627="","",(1-Q627)^($F627-Input!$C$20))</f>
        <v>0.77442099428329914</v>
      </c>
      <c r="S627" s="147">
        <f t="shared" si="372"/>
        <v>0.55744093218942503</v>
      </c>
      <c r="T627" s="147">
        <f t="shared" si="373"/>
        <v>6.5675787197930546E-2</v>
      </c>
      <c r="U627" s="160">
        <f>IF($E627="","",IF($C627=12,INDEX(Input!$C$15:$CP$15,1,$B627),0))</f>
        <v>0</v>
      </c>
      <c r="V627" s="150">
        <f>IF(E627="","",IF(C627=1,IF($B627=1,Input!$C$33,Input!$C$34),0))</f>
        <v>0</v>
      </c>
      <c r="W627" s="156">
        <f>IF($E627="","",Input!$C$35)</f>
        <v>0.02</v>
      </c>
      <c r="X627" s="156">
        <f t="shared" si="371"/>
        <v>2.7454197896550796</v>
      </c>
      <c r="Y627" s="154"/>
      <c r="Z627" s="147">
        <f>IF($E627="","",VLOOKUP($D627,'Mortality Margins &amp; Grading'!$AB$5:$AF$125,3,0)*IF(Summary!$D$25="Included Margin",IF(AND($B627&gt;Input!$C$9,Summary!$D$31&lt;&gt;"Included Margin"),0,1),0))</f>
        <v>1.7000000000000001E-2</v>
      </c>
      <c r="AA627" s="147">
        <f>IF($E627="","",VLOOKUP($D627,'Mortality Margins &amp; Grading'!$AB$5:$AF$125,5,0)*IF(Summary!$D$25="Included Margin",IF(AND($B627&gt;Input!$C$9,Summary!$D$31&lt;&gt;"Included Margin"),0,1),0))</f>
        <v>8.7999999999999995E-2</v>
      </c>
      <c r="AB627" s="147">
        <f>IF($E627="","",IF(AND($B627&gt;Input!$C$9,Summary!$D$31&lt;&gt;"Included Margin"),1,IF(Summary!$D$25="Included Margin",VLOOKUP($B627,'Mortality Margins &amp; Grading'!$AI$5:$AR$125,MATCH('Mortality Margins &amp; Grading'!$AQ$4,'Mortality Margins &amp; Grading'!$AI$4:$AR$4,0),0),1)))</f>
        <v>0</v>
      </c>
      <c r="AC627" s="154"/>
      <c r="AD627" s="158">
        <f>IF(E627="","",Input!$C$48*IF(Summary!$D$30="Included Margin",IF(AND($B627&gt;Input!$C$9,Summary!$D$31&lt;&gt;"Included Margin"),0,1),0))</f>
        <v>-4.4999999999999997E-3</v>
      </c>
      <c r="AE627" s="159">
        <f>IF(E627="","",IF(Summary!$D$26="Included Margin",IF(AND($B627&gt;Input!$C$9,Summary!$D$31&lt;&gt;"Included Margin"),1,1/$R627),1))</f>
        <v>1.2912873067516291</v>
      </c>
      <c r="AF627" s="160">
        <f>IF(E627="","",IF(AND($B627&gt;=Input!$C$9,$C627=12,Summary!$D$31="Included Margin",$U627&gt;0),1/U627-1,IF($B627&gt;=Input!$C$9,0,Input!$C$45*IF(Summary!$D$27="Included Margin",1,0))))</f>
        <v>0</v>
      </c>
      <c r="AG627" s="160">
        <f>IF(E627="","",Input!$C$46*IF(Summary!$D$28="Included Margin",IF(AND($B627&gt;Input!$C$9,Summary!$D$31&lt;&gt;"Included Margin"),0,1),0))</f>
        <v>0.02</v>
      </c>
      <c r="AH627" s="158">
        <f>IF(E627="","",Input!$C$47*IF(Summary!$D$29="Included Margin",IF(AND($B627&gt;Input!$C$9,Summary!$D$31&lt;&gt;"Included Margin"),0,1),0))</f>
        <v>2.5000000000000001E-3</v>
      </c>
      <c r="AI627" s="154"/>
      <c r="AJ627" s="158">
        <f t="shared" si="394"/>
        <v>4.3060000000000001E-2</v>
      </c>
      <c r="AK627" s="155">
        <f t="shared" si="395"/>
        <v>3.5194036695185282E-3</v>
      </c>
      <c r="AL627" s="147">
        <f t="shared" si="396"/>
        <v>0.97895030399999994</v>
      </c>
      <c r="AM627" s="147">
        <f t="shared" si="374"/>
        <v>0.2751127088752382</v>
      </c>
      <c r="AN627" s="160">
        <f t="shared" si="397"/>
        <v>0</v>
      </c>
      <c r="AO627" s="161">
        <f t="shared" si="398"/>
        <v>0</v>
      </c>
      <c r="AP627" s="156">
        <f t="shared" si="375"/>
        <v>3.1104924436804513</v>
      </c>
      <c r="AQ627" s="152"/>
      <c r="AR627" s="162">
        <f t="shared" si="376"/>
        <v>47300.728065396019</v>
      </c>
      <c r="AS627" s="150">
        <f t="shared" si="399"/>
        <v>0</v>
      </c>
      <c r="AT627" s="163">
        <f t="shared" si="377"/>
        <v>0</v>
      </c>
      <c r="AU627" s="163">
        <f t="shared" si="378"/>
        <v>27511.27088752382</v>
      </c>
      <c r="AV627" s="163">
        <f t="shared" si="400"/>
        <v>118.05872206691799</v>
      </c>
      <c r="AW627" s="163">
        <f t="shared" si="379"/>
        <v>7555.4283941225549</v>
      </c>
      <c r="AX627" s="163">
        <f t="shared" si="380"/>
        <v>0</v>
      </c>
      <c r="AY627" s="164">
        <f t="shared" si="401"/>
        <v>27462.944294061672</v>
      </c>
      <c r="AZ627" s="164">
        <f>IF($E627="","",IF(OR(AND($D627=Input!$C$6,$C627=12),$AN627=1),0,-AS628+AT628+AU628-AV628-AW628-AX628+AZ628))</f>
        <v>27463.029334456853</v>
      </c>
      <c r="BA627" s="154">
        <f t="shared" si="381"/>
        <v>8.5040395180840278E-2</v>
      </c>
      <c r="BC627" s="147">
        <f t="shared" si="402"/>
        <v>2.90862510642671E-6</v>
      </c>
      <c r="BD627" s="164">
        <f>IF(AND($C626=12,$D626=Input!$C$6),0,IF($E627="","",AT627+(AU627+BD628)/(1+$AK627)*MIN((1-AM627-AN627),1)))</f>
        <v>14392.470137167073</v>
      </c>
      <c r="BE627" s="164">
        <f t="shared" si="382"/>
        <v>4.1862299984460824E-2</v>
      </c>
      <c r="BF627" s="164">
        <f t="shared" si="403"/>
        <v>27463.029334456853</v>
      </c>
      <c r="BG627" s="164">
        <f t="shared" si="383"/>
        <v>7.9879656620734416E-2</v>
      </c>
      <c r="BH627" s="152"/>
      <c r="BI627" s="162">
        <f t="shared" si="384"/>
        <v>-107.74224333101665</v>
      </c>
      <c r="BJ627" s="150">
        <f t="shared" si="385"/>
        <v>0</v>
      </c>
      <c r="BK627" s="163">
        <f t="shared" si="407"/>
        <v>0</v>
      </c>
      <c r="BL627" s="163">
        <f t="shared" si="386"/>
        <v>6567.5787197930549</v>
      </c>
      <c r="BM627" s="163">
        <f t="shared" si="408"/>
        <v>-13.157367597822558</v>
      </c>
      <c r="BN627" s="163">
        <f t="shared" si="387"/>
        <v>-470.14671538047031</v>
      </c>
      <c r="BO627" s="163">
        <f t="shared" si="388"/>
        <v>0</v>
      </c>
      <c r="BP627" s="164">
        <f t="shared" si="409"/>
        <v>-7158.6250461023646</v>
      </c>
      <c r="BQ627" s="164">
        <f>IF($E627="","",IF(AND($D627=Input!$C$6,$C627=12),0,-BJ628+BK628+BL628-BM628-BN628-BO628+BQ628))</f>
        <v>-7158.6003828711582</v>
      </c>
      <c r="BR627" s="161">
        <f t="shared" si="389"/>
        <v>0</v>
      </c>
      <c r="BT627" s="147">
        <f t="shared" si="390"/>
        <v>2.90862510642671E-6</v>
      </c>
      <c r="BU627" s="164">
        <f>IF(AND($C626=12,$D626=Input!$C$6),0,IF($E627="","",BK627+(BL627+BU628)/(1+$AK627)*MIN((1-T627-U627),1)))</f>
        <v>75255.783513527495</v>
      </c>
      <c r="BV627" s="164">
        <f t="shared" si="391"/>
        <v>0.21889086133125935</v>
      </c>
      <c r="BW627" s="164">
        <f t="shared" si="392"/>
        <v>-7158.6003828711582</v>
      </c>
      <c r="BX627" s="164">
        <f t="shared" si="393"/>
        <v>-2.082168480049491E-2</v>
      </c>
    </row>
    <row r="628" spans="1:76" s="150" customFormat="1" x14ac:dyDescent="0.25">
      <c r="A628" s="150">
        <f t="shared" si="404"/>
        <v>624</v>
      </c>
      <c r="B628" s="150">
        <f t="shared" si="405"/>
        <v>52</v>
      </c>
      <c r="C628" s="150">
        <f t="shared" si="406"/>
        <v>12</v>
      </c>
      <c r="D628" s="150">
        <f>IF(E628="","",Input!$C$4+B628-1)</f>
        <v>96</v>
      </c>
      <c r="E628" s="150">
        <f>IF(OR(AND(C627=12,D627=Input!$C$6),E627=""),"",1)</f>
        <v>1</v>
      </c>
      <c r="F628" s="150">
        <f>IF(E628="","",Input!$C$8+B628-1)</f>
        <v>2069</v>
      </c>
      <c r="G628" s="151">
        <f>IF(E628="","",MAX(0,Input!$C$9-B628))</f>
        <v>0</v>
      </c>
      <c r="H628" s="152">
        <f>IF(E628="","",Input!$C$3)</f>
        <v>100000</v>
      </c>
      <c r="I628" s="153">
        <f>IF(E628="","",HLOOKUP($B628,Input!$C$13:$BT$14,2))</f>
        <v>642.95350000000008</v>
      </c>
      <c r="J628" s="154"/>
      <c r="K628" s="155">
        <f>IF($E628="","",INDEX(Input!$C$16:$CP$16,1,$B628))</f>
        <v>3.2559999999999999E-2</v>
      </c>
      <c r="L628" s="155">
        <f>IF($E628="","",Input!$C$37)</f>
        <v>1.4999999999999999E-2</v>
      </c>
      <c r="M628" s="155">
        <f t="shared" si="369"/>
        <v>4.7559999999999998E-2</v>
      </c>
      <c r="N628" s="155">
        <f t="shared" si="370"/>
        <v>3.8794766309420137E-3</v>
      </c>
      <c r="O628" s="147">
        <f>IF($E628="","",MIN(VLOOKUP(IF($B628&lt;=Input!$C$7,$B628,26),'Mortality Tables'!$A$41:$CW$67,IF($B628&lt;=Input!$C$7+1,Input!$C$4+2,$D628-Input!$C$7+2),0)*IF(B628&gt;20,Input!$C$22,1)/1000,1))</f>
        <v>0.71981640000000002</v>
      </c>
      <c r="P628" s="147">
        <f>IF($E628="","",MIN(VLOOKUP(IF($B628&lt;=Input!$C$7,$B628,26),'Mortality Tables'!$A$12:$CW$37,IF($B628&lt;=Input!$C$7+1,Input!$C$4+2,$D628-Input!$C$7+2),0)*IF(B628&gt;20,Input!$C$22,1)/1000,1))</f>
        <v>0.89977049999999992</v>
      </c>
      <c r="Q628" s="155">
        <f>IF($E628="","",Input!$C$21)</f>
        <v>5.0000000000000001E-3</v>
      </c>
      <c r="R628" s="159">
        <f>IF($E628="","",(1-Q628)^($F628-Input!$C$20))</f>
        <v>0.77442099428329914</v>
      </c>
      <c r="S628" s="147">
        <f t="shared" si="372"/>
        <v>0.55744093218942503</v>
      </c>
      <c r="T628" s="147">
        <f t="shared" si="373"/>
        <v>6.5675787197930546E-2</v>
      </c>
      <c r="U628" s="160">
        <f>IF($E628="","",IF($C628=12,INDEX(Input!$C$15:$CP$15,1,$B628),0))</f>
        <v>0.1</v>
      </c>
      <c r="V628" s="150">
        <f>IF(E628="","",IF(C628=1,IF($B628=1,Input!$C$33,Input!$C$34),0))</f>
        <v>0</v>
      </c>
      <c r="W628" s="156">
        <f>IF($E628="","",Input!$C$35)</f>
        <v>0.02</v>
      </c>
      <c r="X628" s="156">
        <f t="shared" si="371"/>
        <v>2.7454197896550796</v>
      </c>
      <c r="Y628" s="154"/>
      <c r="Z628" s="147">
        <f>IF($E628="","",VLOOKUP($D628,'Mortality Margins &amp; Grading'!$AB$5:$AF$125,3,0)*IF(Summary!$D$25="Included Margin",IF(AND($B628&gt;Input!$C$9,Summary!$D$31&lt;&gt;"Included Margin"),0,1),0))</f>
        <v>1.7000000000000001E-2</v>
      </c>
      <c r="AA628" s="147">
        <f>IF($E628="","",VLOOKUP($D628,'Mortality Margins &amp; Grading'!$AB$5:$AF$125,5,0)*IF(Summary!$D$25="Included Margin",IF(AND($B628&gt;Input!$C$9,Summary!$D$31&lt;&gt;"Included Margin"),0,1),0))</f>
        <v>8.7999999999999995E-2</v>
      </c>
      <c r="AB628" s="147">
        <f>IF($E628="","",IF(AND($B628&gt;Input!$C$9,Summary!$D$31&lt;&gt;"Included Margin"),1,IF(Summary!$D$25="Included Margin",VLOOKUP($B628,'Mortality Margins &amp; Grading'!$AI$5:$AR$125,MATCH('Mortality Margins &amp; Grading'!$AQ$4,'Mortality Margins &amp; Grading'!$AI$4:$AR$4,0),0),1)))</f>
        <v>0</v>
      </c>
      <c r="AC628" s="154"/>
      <c r="AD628" s="158">
        <f>IF(E628="","",Input!$C$48*IF(Summary!$D$30="Included Margin",IF(AND($B628&gt;Input!$C$9,Summary!$D$31&lt;&gt;"Included Margin"),0,1),0))</f>
        <v>-4.4999999999999997E-3</v>
      </c>
      <c r="AE628" s="159">
        <f>IF(E628="","",IF(Summary!$D$26="Included Margin",IF(AND($B628&gt;Input!$C$9,Summary!$D$31&lt;&gt;"Included Margin"),1,1/$R628),1))</f>
        <v>1.2912873067516291</v>
      </c>
      <c r="AF628" s="160">
        <f>IF(E628="","",IF(AND($B628&gt;=Input!$C$9,$C628=12,Summary!$D$31="Included Margin",$U628&gt;0),1/U628-1,IF($B628&gt;=Input!$C$9,0,Input!$C$45*IF(Summary!$D$27="Included Margin",1,0))))</f>
        <v>9</v>
      </c>
      <c r="AG628" s="160">
        <f>IF(E628="","",Input!$C$46*IF(Summary!$D$28="Included Margin",IF(AND($B628&gt;Input!$C$9,Summary!$D$31&lt;&gt;"Included Margin"),0,1),0))</f>
        <v>0.02</v>
      </c>
      <c r="AH628" s="158">
        <f>IF(E628="","",Input!$C$47*IF(Summary!$D$29="Included Margin",IF(AND($B628&gt;Input!$C$9,Summary!$D$31&lt;&gt;"Included Margin"),0,1),0))</f>
        <v>2.5000000000000001E-3</v>
      </c>
      <c r="AI628" s="154"/>
      <c r="AJ628" s="158">
        <f t="shared" si="394"/>
        <v>4.3060000000000001E-2</v>
      </c>
      <c r="AK628" s="155">
        <f t="shared" si="395"/>
        <v>3.5194036695185282E-3</v>
      </c>
      <c r="AL628" s="147">
        <f t="shared" si="396"/>
        <v>0.97895030399999994</v>
      </c>
      <c r="AM628" s="147">
        <f t="shared" si="374"/>
        <v>0.2751127088752382</v>
      </c>
      <c r="AN628" s="160">
        <f t="shared" si="397"/>
        <v>1</v>
      </c>
      <c r="AO628" s="161">
        <f t="shared" si="398"/>
        <v>0</v>
      </c>
      <c r="AP628" s="156">
        <f t="shared" si="375"/>
        <v>3.1104924436804513</v>
      </c>
      <c r="AQ628" s="152"/>
      <c r="AR628" s="162">
        <f t="shared" si="376"/>
        <v>27462.944294061668</v>
      </c>
      <c r="AS628" s="150">
        <f t="shared" si="399"/>
        <v>0</v>
      </c>
      <c r="AT628" s="163">
        <f t="shared" si="377"/>
        <v>0</v>
      </c>
      <c r="AU628" s="163">
        <f t="shared" si="378"/>
        <v>27511.27088752382</v>
      </c>
      <c r="AV628" s="163">
        <f t="shared" si="400"/>
        <v>48.24155306696877</v>
      </c>
      <c r="AW628" s="163">
        <f t="shared" si="379"/>
        <v>0</v>
      </c>
      <c r="AX628" s="163">
        <f t="shared" si="380"/>
        <v>0</v>
      </c>
      <c r="AY628" s="165">
        <f t="shared" si="401"/>
        <v>-8.5040395183462181E-2</v>
      </c>
      <c r="AZ628" s="164">
        <f>IF($E628="","",IF(OR(AND($D628=Input!$C$6,$C628=12),$AN628=1),0,-AS629+AT629+AU629-AV629-AW629-AX629+AZ629))</f>
        <v>0</v>
      </c>
      <c r="BA628" s="154">
        <f t="shared" si="381"/>
        <v>8.5040395183462181E-2</v>
      </c>
      <c r="BC628" s="147">
        <f t="shared" si="402"/>
        <v>2.4267363522558003E-6</v>
      </c>
      <c r="BD628" s="164">
        <f>IF(AND($C627=12,$D627=Input!$C$6),0,IF($E628="","",AT628+(AU628+BD629)/(1+$AK628)*MIN((1-AM628-AN628),1)))</f>
        <v>-7586.6243580326282</v>
      </c>
      <c r="BE628" s="164">
        <f t="shared" si="382"/>
        <v>-1.8410737120547103E-2</v>
      </c>
      <c r="BF628" s="164">
        <f t="shared" si="403"/>
        <v>0</v>
      </c>
      <c r="BG628" s="164">
        <f t="shared" si="383"/>
        <v>0</v>
      </c>
      <c r="BH628" s="152"/>
      <c r="BI628" s="162">
        <f t="shared" si="384"/>
        <v>-7158.6250461023646</v>
      </c>
      <c r="BJ628" s="150">
        <f t="shared" si="385"/>
        <v>0</v>
      </c>
      <c r="BK628" s="163">
        <f t="shared" si="407"/>
        <v>0</v>
      </c>
      <c r="BL628" s="163">
        <f t="shared" si="386"/>
        <v>6567.5787197930549</v>
      </c>
      <c r="BM628" s="163">
        <f t="shared" si="408"/>
        <v>-40.511102658684933</v>
      </c>
      <c r="BN628" s="163">
        <f t="shared" si="387"/>
        <v>-1075.2135119648324</v>
      </c>
      <c r="BO628" s="163">
        <f t="shared" si="388"/>
        <v>-1529.6322450358775</v>
      </c>
      <c r="BP628" s="164">
        <f t="shared" si="409"/>
        <v>-16371.560625554815</v>
      </c>
      <c r="BQ628" s="164">
        <f>IF($E628="","",IF(AND($D628=Input!$C$6,$C628=12),0,-BJ629+BK629+BL629-BM629-BN629-BO629+BQ629))</f>
        <v>-16371.535962323607</v>
      </c>
      <c r="BR628" s="161">
        <f t="shared" si="389"/>
        <v>0</v>
      </c>
      <c r="BT628" s="147">
        <f t="shared" si="390"/>
        <v>2.4267363522558003E-6</v>
      </c>
      <c r="BU628" s="164">
        <f>IF(AND($C627=12,$D627=Input!$C$6),0,IF($E628="","",BK628+(BL628+BU629)/(1+$AK628)*MIN((1-T628-U628),1)))</f>
        <v>74261.578824662094</v>
      </c>
      <c r="BV628" s="164">
        <f t="shared" si="391"/>
        <v>0.18021327290971706</v>
      </c>
      <c r="BW628" s="164">
        <f t="shared" si="392"/>
        <v>-16371.535962323607</v>
      </c>
      <c r="BX628" s="164">
        <f t="shared" si="393"/>
        <v>-3.9729401462033846E-2</v>
      </c>
    </row>
    <row r="629" spans="1:76" s="150" customFormat="1" x14ac:dyDescent="0.25">
      <c r="A629" s="150">
        <f t="shared" si="404"/>
        <v>625</v>
      </c>
      <c r="B629" s="150">
        <f t="shared" si="405"/>
        <v>53</v>
      </c>
      <c r="C629" s="150">
        <f t="shared" si="406"/>
        <v>1</v>
      </c>
      <c r="D629" s="150">
        <f>IF(E629="","",Input!$C$4+B629-1)</f>
        <v>97</v>
      </c>
      <c r="E629" s="150">
        <f>IF(OR(AND(C628=12,D628=Input!$C$6),E628=""),"",1)</f>
        <v>1</v>
      </c>
      <c r="F629" s="150">
        <f>IF(E629="","",Input!$C$8+B629-1)</f>
        <v>2070</v>
      </c>
      <c r="G629" s="151">
        <f>IF(E629="","",MAX(0,Input!$C$9-B629))</f>
        <v>0</v>
      </c>
      <c r="H629" s="152">
        <f>IF(E629="","",Input!$C$3)</f>
        <v>100000</v>
      </c>
      <c r="I629" s="153">
        <f>IF(E629="","",HLOOKUP($B629,Input!$C$13:$BT$14,2))</f>
        <v>692.59050000000002</v>
      </c>
      <c r="J629" s="154"/>
      <c r="K629" s="155">
        <f>IF($E629="","",INDEX(Input!$C$16:$CP$16,1,$B629))</f>
        <v>3.2629999999999999E-2</v>
      </c>
      <c r="L629" s="155">
        <f>IF($E629="","",Input!$C$37)</f>
        <v>1.4999999999999999E-2</v>
      </c>
      <c r="M629" s="155">
        <f t="shared" ref="M629:M692" si="410">IF($E629="","",K629+L629)</f>
        <v>4.7629999999999999E-2</v>
      </c>
      <c r="N629" s="155">
        <f t="shared" ref="N629:N692" si="411">IF($E629="","",(1+M629)^(1/12)-1)</f>
        <v>3.885066558270589E-3</v>
      </c>
      <c r="O629" s="147">
        <f>IF($E629="","",MIN(VLOOKUP(IF($B629&lt;=Input!$C$7,$B629,26),'Mortality Tables'!$A$41:$CW$67,IF($B629&lt;=Input!$C$7+1,Input!$C$4+2,$D629-Input!$C$7+2),0)*IF(B629&gt;20,Input!$C$22,1)/1000,1))</f>
        <v>0.7760644000000001</v>
      </c>
      <c r="P629" s="147">
        <f>IF($E629="","",MIN(VLOOKUP(IF($B629&lt;=Input!$C$7,$B629,26),'Mortality Tables'!$A$12:$CW$37,IF($B629&lt;=Input!$C$7+1,Input!$C$4+2,$D629-Input!$C$7+2),0)*IF(B629&gt;20,Input!$C$22,1)/1000,1))</f>
        <v>0.97008050000000001</v>
      </c>
      <c r="Q629" s="155">
        <f>IF($E629="","",Input!$C$21)</f>
        <v>5.0000000000000001E-3</v>
      </c>
      <c r="R629" s="159">
        <f>IF($E629="","",(1-Q629)^($F629-Input!$C$20))</f>
        <v>0.7705488893118827</v>
      </c>
      <c r="S629" s="147">
        <f t="shared" si="372"/>
        <v>0.59799556145449273</v>
      </c>
      <c r="T629" s="147">
        <f t="shared" si="373"/>
        <v>7.3129121200474878E-2</v>
      </c>
      <c r="U629" s="160">
        <f>IF($E629="","",IF($C629=12,INDEX(Input!$C$15:$CP$15,1,$B629),0))</f>
        <v>0</v>
      </c>
      <c r="V629" s="150">
        <f>IF(E629="","",IF(C629=1,IF($B629=1,Input!$C$33,Input!$C$34),0))</f>
        <v>50</v>
      </c>
      <c r="W629" s="156">
        <f>IF($E629="","",Input!$C$35)</f>
        <v>0.02</v>
      </c>
      <c r="X629" s="156">
        <f t="shared" ref="X629:X692" si="412">IF($E629="","",IF(B629=1,1,IF(C629=1,(1+W629)*X628,X628)))</f>
        <v>2.8003281854481812</v>
      </c>
      <c r="Y629" s="154"/>
      <c r="Z629" s="147">
        <f>IF($E629="","",VLOOKUP($D629,'Mortality Margins &amp; Grading'!$AB$5:$AF$125,3,0)*IF(Summary!$D$25="Included Margin",IF(AND($B629&gt;Input!$C$9,Summary!$D$31&lt;&gt;"Included Margin"),0,1),0))</f>
        <v>1.7000000000000001E-2</v>
      </c>
      <c r="AA629" s="147">
        <f>IF($E629="","",VLOOKUP($D629,'Mortality Margins &amp; Grading'!$AB$5:$AF$125,5,0)*IF(Summary!$D$25="Included Margin",IF(AND($B629&gt;Input!$C$9,Summary!$D$31&lt;&gt;"Included Margin"),0,1),0))</f>
        <v>8.7999999999999995E-2</v>
      </c>
      <c r="AB629" s="147">
        <f>IF($E629="","",IF(AND($B629&gt;Input!$C$9,Summary!$D$31&lt;&gt;"Included Margin"),1,IF(Summary!$D$25="Included Margin",VLOOKUP($B629,'Mortality Margins &amp; Grading'!$AI$5:$AR$125,MATCH('Mortality Margins &amp; Grading'!$AQ$4,'Mortality Margins &amp; Grading'!$AI$4:$AR$4,0),0),1)))</f>
        <v>0</v>
      </c>
      <c r="AC629" s="154"/>
      <c r="AD629" s="158">
        <f>IF(E629="","",Input!$C$48*IF(Summary!$D$30="Included Margin",IF(AND($B629&gt;Input!$C$9,Summary!$D$31&lt;&gt;"Included Margin"),0,1),0))</f>
        <v>-4.4999999999999997E-3</v>
      </c>
      <c r="AE629" s="159">
        <f>IF(E629="","",IF(Summary!$D$26="Included Margin",IF(AND($B629&gt;Input!$C$9,Summary!$D$31&lt;&gt;"Included Margin"),1,1/$R629),1))</f>
        <v>1.2977761876900793</v>
      </c>
      <c r="AF629" s="160">
        <f>IF(E629="","",IF(AND($B629&gt;=Input!$C$9,$C629=12,Summary!$D$31="Included Margin",$U629&gt;0),1/U629-1,IF($B629&gt;=Input!$C$9,0,Input!$C$45*IF(Summary!$D$27="Included Margin",1,0))))</f>
        <v>0</v>
      </c>
      <c r="AG629" s="160">
        <f>IF(E629="","",Input!$C$46*IF(Summary!$D$28="Included Margin",IF(AND($B629&gt;Input!$C$9,Summary!$D$31&lt;&gt;"Included Margin"),0,1),0))</f>
        <v>0.02</v>
      </c>
      <c r="AH629" s="158">
        <f>IF(E629="","",Input!$C$47*IF(Summary!$D$29="Included Margin",IF(AND($B629&gt;Input!$C$9,Summary!$D$31&lt;&gt;"Included Margin"),0,1),0))</f>
        <v>2.5000000000000001E-3</v>
      </c>
      <c r="AI629" s="154"/>
      <c r="AJ629" s="158">
        <f t="shared" si="394"/>
        <v>4.3130000000000002E-2</v>
      </c>
      <c r="AK629" s="155">
        <f t="shared" si="395"/>
        <v>3.5250156986805781E-3</v>
      </c>
      <c r="AL629" s="147">
        <f t="shared" si="396"/>
        <v>1</v>
      </c>
      <c r="AM629" s="147">
        <f t="shared" si="374"/>
        <v>1</v>
      </c>
      <c r="AN629" s="160">
        <f t="shared" si="397"/>
        <v>0</v>
      </c>
      <c r="AO629" s="161">
        <f t="shared" si="398"/>
        <v>51</v>
      </c>
      <c r="AP629" s="156">
        <f t="shared" si="375"/>
        <v>3.1804785236632616</v>
      </c>
      <c r="AQ629" s="152"/>
      <c r="AR629" s="162">
        <f t="shared" si="376"/>
        <v>30727.213716616585</v>
      </c>
      <c r="AS629" s="150">
        <f t="shared" si="399"/>
        <v>69259.05</v>
      </c>
      <c r="AT629" s="163">
        <f t="shared" si="377"/>
        <v>162.20440470682635</v>
      </c>
      <c r="AU629" s="163">
        <f t="shared" si="378"/>
        <v>100000</v>
      </c>
      <c r="AV629" s="163">
        <f t="shared" si="400"/>
        <v>175.63059124647415</v>
      </c>
      <c r="AW629" s="163">
        <f t="shared" si="379"/>
        <v>99824.369408753526</v>
      </c>
      <c r="AX629" s="163">
        <f t="shared" si="380"/>
        <v>0</v>
      </c>
      <c r="AY629" s="164">
        <f t="shared" si="401"/>
        <v>99824.059311909761</v>
      </c>
      <c r="AZ629" s="164">
        <f>IF($E629="","",IF(OR(AND($D629=Input!$C$6,$C629=12),$AN629=1),0,-AS630+AT630+AU630-AV630-AW630-AX630+AZ630))</f>
        <v>99824.369408753526</v>
      </c>
      <c r="BA629" s="154">
        <f t="shared" si="381"/>
        <v>0.31009684376476798</v>
      </c>
      <c r="BC629" s="147">
        <f t="shared" si="402"/>
        <v>2.2492712554300876E-6</v>
      </c>
      <c r="BD629" s="164">
        <f>IF(AND($C628=12,$D628=Input!$C$6),0,IF($E629="","",AT629+(AU629+BD630)/(1+$AK629)*MIN((1-AM629-AN629),1)))</f>
        <v>162.20440470682635</v>
      </c>
      <c r="BE629" s="164">
        <f t="shared" si="382"/>
        <v>3.6484170501121333E-4</v>
      </c>
      <c r="BF629" s="164">
        <f t="shared" si="403"/>
        <v>99824.369408753526</v>
      </c>
      <c r="BG629" s="164">
        <f t="shared" si="383"/>
        <v>0.22453208470254388</v>
      </c>
      <c r="BH629" s="152"/>
      <c r="BI629" s="162">
        <f t="shared" si="384"/>
        <v>-16371.563503626223</v>
      </c>
      <c r="BJ629" s="150">
        <f t="shared" si="385"/>
        <v>69259.05</v>
      </c>
      <c r="BK629" s="163">
        <f t="shared" si="407"/>
        <v>140.01640927240905</v>
      </c>
      <c r="BL629" s="163">
        <f t="shared" si="386"/>
        <v>7312.9121200474874</v>
      </c>
      <c r="BM629" s="163">
        <f t="shared" si="408"/>
        <v>190.72185690819168</v>
      </c>
      <c r="BN629" s="163">
        <f t="shared" si="387"/>
        <v>3599.7879623155436</v>
      </c>
      <c r="BO629" s="163">
        <f t="shared" si="388"/>
        <v>0</v>
      </c>
      <c r="BP629" s="164">
        <f t="shared" si="409"/>
        <v>49225.067786277621</v>
      </c>
      <c r="BQ629" s="164">
        <f>IF($E629="","",IF(AND($D629=Input!$C$6,$C629=12),0,-BJ630+BK630+BL630-BM630-BN630-BO630+BQ630))</f>
        <v>49225.095327580224</v>
      </c>
      <c r="BR629" s="161">
        <f t="shared" si="389"/>
        <v>0</v>
      </c>
      <c r="BT629" s="147">
        <f t="shared" si="390"/>
        <v>2.2492712554300876E-6</v>
      </c>
      <c r="BU629" s="164">
        <f>IF(AND($C628=12,$D628=Input!$C$6),0,IF($E629="","",BK629+(BL629+BU630)/(1+$AK629)*MIN((1-T629-U629),1)))</f>
        <v>82753.735649590177</v>
      </c>
      <c r="BV629" s="164">
        <f t="shared" si="391"/>
        <v>0.1861355988760833</v>
      </c>
      <c r="BW629" s="164">
        <f t="shared" si="392"/>
        <v>49225.095327580224</v>
      </c>
      <c r="BX629" s="164">
        <f t="shared" si="393"/>
        <v>0.11072059196613211</v>
      </c>
    </row>
    <row r="630" spans="1:76" s="150" customFormat="1" x14ac:dyDescent="0.25">
      <c r="A630" s="150">
        <f t="shared" si="404"/>
        <v>626</v>
      </c>
      <c r="B630" s="150">
        <f t="shared" si="405"/>
        <v>53</v>
      </c>
      <c r="C630" s="150">
        <f t="shared" si="406"/>
        <v>2</v>
      </c>
      <c r="D630" s="150">
        <f>IF(E630="","",Input!$C$4+B630-1)</f>
        <v>97</v>
      </c>
      <c r="E630" s="150">
        <f>IF(OR(AND(C629=12,D629=Input!$C$6),E629=""),"",1)</f>
        <v>1</v>
      </c>
      <c r="F630" s="150">
        <f>IF(E630="","",Input!$C$8+B630-1)</f>
        <v>2070</v>
      </c>
      <c r="G630" s="151">
        <f>IF(E630="","",MAX(0,Input!$C$9-B630))</f>
        <v>0</v>
      </c>
      <c r="H630" s="152">
        <f>IF(E630="","",Input!$C$3)</f>
        <v>100000</v>
      </c>
      <c r="I630" s="153">
        <f>IF(E630="","",HLOOKUP($B630,Input!$C$13:$BT$14,2))</f>
        <v>692.59050000000002</v>
      </c>
      <c r="J630" s="154"/>
      <c r="K630" s="155">
        <f>IF($E630="","",INDEX(Input!$C$16:$CP$16,1,$B630))</f>
        <v>3.2629999999999999E-2</v>
      </c>
      <c r="L630" s="155">
        <f>IF($E630="","",Input!$C$37)</f>
        <v>1.4999999999999999E-2</v>
      </c>
      <c r="M630" s="155">
        <f t="shared" si="410"/>
        <v>4.7629999999999999E-2</v>
      </c>
      <c r="N630" s="155">
        <f t="shared" si="411"/>
        <v>3.885066558270589E-3</v>
      </c>
      <c r="O630" s="147">
        <f>IF($E630="","",MIN(VLOOKUP(IF($B630&lt;=Input!$C$7,$B630,26),'Mortality Tables'!$A$41:$CW$67,IF($B630&lt;=Input!$C$7+1,Input!$C$4+2,$D630-Input!$C$7+2),0)*IF(B630&gt;20,Input!$C$22,1)/1000,1))</f>
        <v>0.7760644000000001</v>
      </c>
      <c r="P630" s="147">
        <f>IF($E630="","",MIN(VLOOKUP(IF($B630&lt;=Input!$C$7,$B630,26),'Mortality Tables'!$A$12:$CW$37,IF($B630&lt;=Input!$C$7+1,Input!$C$4+2,$D630-Input!$C$7+2),0)*IF(B630&gt;20,Input!$C$22,1)/1000,1))</f>
        <v>0.97008050000000001</v>
      </c>
      <c r="Q630" s="155">
        <f>IF($E630="","",Input!$C$21)</f>
        <v>5.0000000000000001E-3</v>
      </c>
      <c r="R630" s="159">
        <f>IF($E630="","",(1-Q630)^($F630-Input!$C$20))</f>
        <v>0.7705488893118827</v>
      </c>
      <c r="S630" s="147">
        <f t="shared" si="372"/>
        <v>0.59799556145449273</v>
      </c>
      <c r="T630" s="147">
        <f t="shared" si="373"/>
        <v>7.3129121200474878E-2</v>
      </c>
      <c r="U630" s="160">
        <f>IF($E630="","",IF($C630=12,INDEX(Input!$C$15:$CP$15,1,$B630),0))</f>
        <v>0</v>
      </c>
      <c r="V630" s="150">
        <f>IF(E630="","",IF(C630=1,IF($B630=1,Input!$C$33,Input!$C$34),0))</f>
        <v>0</v>
      </c>
      <c r="W630" s="156">
        <f>IF($E630="","",Input!$C$35)</f>
        <v>0.02</v>
      </c>
      <c r="X630" s="156">
        <f t="shared" si="412"/>
        <v>2.8003281854481812</v>
      </c>
      <c r="Y630" s="154"/>
      <c r="Z630" s="147">
        <f>IF($E630="","",VLOOKUP($D630,'Mortality Margins &amp; Grading'!$AB$5:$AF$125,3,0)*IF(Summary!$D$25="Included Margin",IF(AND($B630&gt;Input!$C$9,Summary!$D$31&lt;&gt;"Included Margin"),0,1),0))</f>
        <v>1.7000000000000001E-2</v>
      </c>
      <c r="AA630" s="147">
        <f>IF($E630="","",VLOOKUP($D630,'Mortality Margins &amp; Grading'!$AB$5:$AF$125,5,0)*IF(Summary!$D$25="Included Margin",IF(AND($B630&gt;Input!$C$9,Summary!$D$31&lt;&gt;"Included Margin"),0,1),0))</f>
        <v>8.7999999999999995E-2</v>
      </c>
      <c r="AB630" s="147">
        <f>IF($E630="","",IF(AND($B630&gt;Input!$C$9,Summary!$D$31&lt;&gt;"Included Margin"),1,IF(Summary!$D$25="Included Margin",VLOOKUP($B630,'Mortality Margins &amp; Grading'!$AI$5:$AR$125,MATCH('Mortality Margins &amp; Grading'!$AQ$4,'Mortality Margins &amp; Grading'!$AI$4:$AR$4,0),0),1)))</f>
        <v>0</v>
      </c>
      <c r="AC630" s="154"/>
      <c r="AD630" s="158">
        <f>IF(E630="","",Input!$C$48*IF(Summary!$D$30="Included Margin",IF(AND($B630&gt;Input!$C$9,Summary!$D$31&lt;&gt;"Included Margin"),0,1),0))</f>
        <v>-4.4999999999999997E-3</v>
      </c>
      <c r="AE630" s="159">
        <f>IF(E630="","",IF(Summary!$D$26="Included Margin",IF(AND($B630&gt;Input!$C$9,Summary!$D$31&lt;&gt;"Included Margin"),1,1/$R630),1))</f>
        <v>1.2977761876900793</v>
      </c>
      <c r="AF630" s="160">
        <f>IF(E630="","",IF(AND($B630&gt;=Input!$C$9,$C630=12,Summary!$D$31="Included Margin",$U630&gt;0),1/U630-1,IF($B630&gt;=Input!$C$9,0,Input!$C$45*IF(Summary!$D$27="Included Margin",1,0))))</f>
        <v>0</v>
      </c>
      <c r="AG630" s="160">
        <f>IF(E630="","",Input!$C$46*IF(Summary!$D$28="Included Margin",IF(AND($B630&gt;Input!$C$9,Summary!$D$31&lt;&gt;"Included Margin"),0,1),0))</f>
        <v>0.02</v>
      </c>
      <c r="AH630" s="158">
        <f>IF(E630="","",Input!$C$47*IF(Summary!$D$29="Included Margin",IF(AND($B630&gt;Input!$C$9,Summary!$D$31&lt;&gt;"Included Margin"),0,1),0))</f>
        <v>2.5000000000000001E-3</v>
      </c>
      <c r="AI630" s="154"/>
      <c r="AJ630" s="158">
        <f t="shared" si="394"/>
        <v>4.3130000000000002E-2</v>
      </c>
      <c r="AK630" s="155">
        <f t="shared" si="395"/>
        <v>3.5250156986805781E-3</v>
      </c>
      <c r="AL630" s="147">
        <f t="shared" si="396"/>
        <v>1</v>
      </c>
      <c r="AM630" s="147">
        <f t="shared" si="374"/>
        <v>1</v>
      </c>
      <c r="AN630" s="160">
        <f t="shared" si="397"/>
        <v>0</v>
      </c>
      <c r="AO630" s="161">
        <f t="shared" si="398"/>
        <v>0</v>
      </c>
      <c r="AP630" s="156">
        <f t="shared" si="375"/>
        <v>3.1804785236632616</v>
      </c>
      <c r="AQ630" s="152"/>
      <c r="AR630" s="162">
        <f t="shared" si="376"/>
        <v>99824.059311909761</v>
      </c>
      <c r="AS630" s="150">
        <f t="shared" si="399"/>
        <v>0</v>
      </c>
      <c r="AT630" s="163">
        <f t="shared" si="377"/>
        <v>0</v>
      </c>
      <c r="AU630" s="163">
        <f t="shared" si="378"/>
        <v>100000</v>
      </c>
      <c r="AV630" s="163">
        <f t="shared" si="400"/>
        <v>175.63059124647415</v>
      </c>
      <c r="AW630" s="163">
        <f t="shared" si="379"/>
        <v>99824.369408753526</v>
      </c>
      <c r="AX630" s="163">
        <f t="shared" si="380"/>
        <v>0</v>
      </c>
      <c r="AY630" s="165">
        <f t="shared" si="401"/>
        <v>99824.059311909761</v>
      </c>
      <c r="AZ630" s="164">
        <f>IF($E630="","",IF(OR(AND($D630=Input!$C$6,$C630=12),$AN630=1),0,-AS631+AT631+AU631-AV631-AW631-AX631+AZ631))</f>
        <v>99824.369408753526</v>
      </c>
      <c r="BA630" s="154">
        <f t="shared" si="381"/>
        <v>0.31009684376476798</v>
      </c>
      <c r="BC630" s="147">
        <f t="shared" si="402"/>
        <v>2.0847840251789966E-6</v>
      </c>
      <c r="BD630" s="164">
        <f>IF(AND($C629=12,$D629=Input!$C$6),0,IF($E630="","",AT630+(AU630+BD631)/(1+$AK630)*MIN((1-AM630-AN630),1)))</f>
        <v>0</v>
      </c>
      <c r="BE630" s="164">
        <f t="shared" si="382"/>
        <v>0</v>
      </c>
      <c r="BF630" s="164">
        <f t="shared" si="403"/>
        <v>99824.369408753526</v>
      </c>
      <c r="BG630" s="164">
        <f t="shared" si="383"/>
        <v>0.20811225066693625</v>
      </c>
      <c r="BH630" s="152"/>
      <c r="BI630" s="162">
        <f t="shared" si="384"/>
        <v>49225.067786277628</v>
      </c>
      <c r="BJ630" s="150">
        <f t="shared" si="385"/>
        <v>0</v>
      </c>
      <c r="BK630" s="163">
        <f t="shared" si="407"/>
        <v>0</v>
      </c>
      <c r="BL630" s="163">
        <f t="shared" si="386"/>
        <v>7312.9121200474874</v>
      </c>
      <c r="BM630" s="163">
        <f t="shared" si="408"/>
        <v>177.03708952448596</v>
      </c>
      <c r="BN630" s="163">
        <f t="shared" si="387"/>
        <v>3320.7944739007394</v>
      </c>
      <c r="BO630" s="163">
        <f t="shared" si="388"/>
        <v>0</v>
      </c>
      <c r="BP630" s="164">
        <f t="shared" si="409"/>
        <v>45409.987229655366</v>
      </c>
      <c r="BQ630" s="164">
        <f>IF($E630="","",IF(AND($D630=Input!$C$6,$C630=12),0,-BJ631+BK631+BL631-BM631-BN631-BO631+BQ631))</f>
        <v>45410.014770957961</v>
      </c>
      <c r="BR630" s="161">
        <f t="shared" si="389"/>
        <v>0</v>
      </c>
      <c r="BT630" s="147">
        <f t="shared" si="390"/>
        <v>2.0847840251789966E-6</v>
      </c>
      <c r="BU630" s="164">
        <f>IF(AND($C629=12,$D629=Input!$C$6),0,IF($E630="","",BK630+(BL630+BU631)/(1+$AK630)*MIN((1-T630-U630),1)))</f>
        <v>82133.132408769728</v>
      </c>
      <c r="BV630" s="164">
        <f t="shared" si="391"/>
        <v>0.17122984238371444</v>
      </c>
      <c r="BW630" s="164">
        <f t="shared" si="392"/>
        <v>45410.014770957961</v>
      </c>
      <c r="BX630" s="164">
        <f t="shared" si="393"/>
        <v>9.467007337763543E-2</v>
      </c>
    </row>
    <row r="631" spans="1:76" s="150" customFormat="1" x14ac:dyDescent="0.25">
      <c r="A631" s="150">
        <f t="shared" si="404"/>
        <v>627</v>
      </c>
      <c r="B631" s="150">
        <f t="shared" si="405"/>
        <v>53</v>
      </c>
      <c r="C631" s="150">
        <f t="shared" si="406"/>
        <v>3</v>
      </c>
      <c r="D631" s="150">
        <f>IF(E631="","",Input!$C$4+B631-1)</f>
        <v>97</v>
      </c>
      <c r="E631" s="150">
        <f>IF(OR(AND(C630=12,D630=Input!$C$6),E630=""),"",1)</f>
        <v>1</v>
      </c>
      <c r="F631" s="150">
        <f>IF(E631="","",Input!$C$8+B631-1)</f>
        <v>2070</v>
      </c>
      <c r="G631" s="151">
        <f>IF(E631="","",MAX(0,Input!$C$9-B631))</f>
        <v>0</v>
      </c>
      <c r="H631" s="152">
        <f>IF(E631="","",Input!$C$3)</f>
        <v>100000</v>
      </c>
      <c r="I631" s="153">
        <f>IF(E631="","",HLOOKUP($B631,Input!$C$13:$BT$14,2))</f>
        <v>692.59050000000002</v>
      </c>
      <c r="J631" s="154"/>
      <c r="K631" s="155">
        <f>IF($E631="","",INDEX(Input!$C$16:$CP$16,1,$B631))</f>
        <v>3.2629999999999999E-2</v>
      </c>
      <c r="L631" s="155">
        <f>IF($E631="","",Input!$C$37)</f>
        <v>1.4999999999999999E-2</v>
      </c>
      <c r="M631" s="155">
        <f t="shared" si="410"/>
        <v>4.7629999999999999E-2</v>
      </c>
      <c r="N631" s="155">
        <f t="shared" si="411"/>
        <v>3.885066558270589E-3</v>
      </c>
      <c r="O631" s="147">
        <f>IF($E631="","",MIN(VLOOKUP(IF($B631&lt;=Input!$C$7,$B631,26),'Mortality Tables'!$A$41:$CW$67,IF($B631&lt;=Input!$C$7+1,Input!$C$4+2,$D631-Input!$C$7+2),0)*IF(B631&gt;20,Input!$C$22,1)/1000,1))</f>
        <v>0.7760644000000001</v>
      </c>
      <c r="P631" s="147">
        <f>IF($E631="","",MIN(VLOOKUP(IF($B631&lt;=Input!$C$7,$B631,26),'Mortality Tables'!$A$12:$CW$37,IF($B631&lt;=Input!$C$7+1,Input!$C$4+2,$D631-Input!$C$7+2),0)*IF(B631&gt;20,Input!$C$22,1)/1000,1))</f>
        <v>0.97008050000000001</v>
      </c>
      <c r="Q631" s="155">
        <f>IF($E631="","",Input!$C$21)</f>
        <v>5.0000000000000001E-3</v>
      </c>
      <c r="R631" s="159">
        <f>IF($E631="","",(1-Q631)^($F631-Input!$C$20))</f>
        <v>0.7705488893118827</v>
      </c>
      <c r="S631" s="147">
        <f t="shared" si="372"/>
        <v>0.59799556145449273</v>
      </c>
      <c r="T631" s="147">
        <f t="shared" si="373"/>
        <v>7.3129121200474878E-2</v>
      </c>
      <c r="U631" s="160">
        <f>IF($E631="","",IF($C631=12,INDEX(Input!$C$15:$CP$15,1,$B631),0))</f>
        <v>0</v>
      </c>
      <c r="V631" s="150">
        <f>IF(E631="","",IF(C631=1,IF($B631=1,Input!$C$33,Input!$C$34),0))</f>
        <v>0</v>
      </c>
      <c r="W631" s="156">
        <f>IF($E631="","",Input!$C$35)</f>
        <v>0.02</v>
      </c>
      <c r="X631" s="156">
        <f t="shared" si="412"/>
        <v>2.8003281854481812</v>
      </c>
      <c r="Y631" s="154"/>
      <c r="Z631" s="147">
        <f>IF($E631="","",VLOOKUP($D631,'Mortality Margins &amp; Grading'!$AB$5:$AF$125,3,0)*IF(Summary!$D$25="Included Margin",IF(AND($B631&gt;Input!$C$9,Summary!$D$31&lt;&gt;"Included Margin"),0,1),0))</f>
        <v>1.7000000000000001E-2</v>
      </c>
      <c r="AA631" s="147">
        <f>IF($E631="","",VLOOKUP($D631,'Mortality Margins &amp; Grading'!$AB$5:$AF$125,5,0)*IF(Summary!$D$25="Included Margin",IF(AND($B631&gt;Input!$C$9,Summary!$D$31&lt;&gt;"Included Margin"),0,1),0))</f>
        <v>8.7999999999999995E-2</v>
      </c>
      <c r="AB631" s="147">
        <f>IF($E631="","",IF(AND($B631&gt;Input!$C$9,Summary!$D$31&lt;&gt;"Included Margin"),1,IF(Summary!$D$25="Included Margin",VLOOKUP($B631,'Mortality Margins &amp; Grading'!$AI$5:$AR$125,MATCH('Mortality Margins &amp; Grading'!$AQ$4,'Mortality Margins &amp; Grading'!$AI$4:$AR$4,0),0),1)))</f>
        <v>0</v>
      </c>
      <c r="AC631" s="154"/>
      <c r="AD631" s="158">
        <f>IF(E631="","",Input!$C$48*IF(Summary!$D$30="Included Margin",IF(AND($B631&gt;Input!$C$9,Summary!$D$31&lt;&gt;"Included Margin"),0,1),0))</f>
        <v>-4.4999999999999997E-3</v>
      </c>
      <c r="AE631" s="159">
        <f>IF(E631="","",IF(Summary!$D$26="Included Margin",IF(AND($B631&gt;Input!$C$9,Summary!$D$31&lt;&gt;"Included Margin"),1,1/$R631),1))</f>
        <v>1.2977761876900793</v>
      </c>
      <c r="AF631" s="160">
        <f>IF(E631="","",IF(AND($B631&gt;=Input!$C$9,$C631=12,Summary!$D$31="Included Margin",$U631&gt;0),1/U631-1,IF($B631&gt;=Input!$C$9,0,Input!$C$45*IF(Summary!$D$27="Included Margin",1,0))))</f>
        <v>0</v>
      </c>
      <c r="AG631" s="160">
        <f>IF(E631="","",Input!$C$46*IF(Summary!$D$28="Included Margin",IF(AND($B631&gt;Input!$C$9,Summary!$D$31&lt;&gt;"Included Margin"),0,1),0))</f>
        <v>0.02</v>
      </c>
      <c r="AH631" s="158">
        <f>IF(E631="","",Input!$C$47*IF(Summary!$D$29="Included Margin",IF(AND($B631&gt;Input!$C$9,Summary!$D$31&lt;&gt;"Included Margin"),0,1),0))</f>
        <v>2.5000000000000001E-3</v>
      </c>
      <c r="AI631" s="154"/>
      <c r="AJ631" s="158">
        <f t="shared" si="394"/>
        <v>4.3130000000000002E-2</v>
      </c>
      <c r="AK631" s="155">
        <f t="shared" si="395"/>
        <v>3.5250156986805781E-3</v>
      </c>
      <c r="AL631" s="147">
        <f t="shared" si="396"/>
        <v>1</v>
      </c>
      <c r="AM631" s="147">
        <f t="shared" si="374"/>
        <v>1</v>
      </c>
      <c r="AN631" s="160">
        <f t="shared" si="397"/>
        <v>0</v>
      </c>
      <c r="AO631" s="161">
        <f t="shared" si="398"/>
        <v>0</v>
      </c>
      <c r="AP631" s="156">
        <f t="shared" si="375"/>
        <v>3.1804785236632616</v>
      </c>
      <c r="AQ631" s="152"/>
      <c r="AR631" s="162">
        <f t="shared" si="376"/>
        <v>99824.059311909761</v>
      </c>
      <c r="AS631" s="150">
        <f t="shared" si="399"/>
        <v>0</v>
      </c>
      <c r="AT631" s="163">
        <f t="shared" si="377"/>
        <v>0</v>
      </c>
      <c r="AU631" s="163">
        <f t="shared" si="378"/>
        <v>100000</v>
      </c>
      <c r="AV631" s="163">
        <f t="shared" si="400"/>
        <v>175.63059124647415</v>
      </c>
      <c r="AW631" s="163">
        <f t="shared" si="379"/>
        <v>99824.369408753526</v>
      </c>
      <c r="AX631" s="163">
        <f t="shared" si="380"/>
        <v>0</v>
      </c>
      <c r="AY631" s="164">
        <f t="shared" si="401"/>
        <v>99824.059311909761</v>
      </c>
      <c r="AZ631" s="164">
        <f>IF($E631="","",IF(OR(AND($D631=Input!$C$6,$C631=12),$AN631=1),0,-AS632+AT632+AU632-AV632-AW632-AX632+AZ632))</f>
        <v>99824.369408753526</v>
      </c>
      <c r="BA631" s="154">
        <f t="shared" si="381"/>
        <v>0.31009684376476798</v>
      </c>
      <c r="BC631" s="147">
        <f t="shared" si="402"/>
        <v>1.9323256015248679E-6</v>
      </c>
      <c r="BD631" s="164">
        <f>IF(AND($C630=12,$D630=Input!$C$6),0,IF($E631="","",AT631+(AU631+BD632)/(1+$AK631)*MIN((1-AM631-AN631),1)))</f>
        <v>0</v>
      </c>
      <c r="BE631" s="164">
        <f t="shared" si="382"/>
        <v>0</v>
      </c>
      <c r="BF631" s="164">
        <f t="shared" si="403"/>
        <v>99824.369408753526</v>
      </c>
      <c r="BG631" s="164">
        <f t="shared" si="383"/>
        <v>0.19289318466461028</v>
      </c>
      <c r="BH631" s="152"/>
      <c r="BI631" s="162">
        <f t="shared" si="384"/>
        <v>45409.987229655366</v>
      </c>
      <c r="BJ631" s="150">
        <f t="shared" si="385"/>
        <v>0</v>
      </c>
      <c r="BK631" s="163">
        <f t="shared" si="407"/>
        <v>0</v>
      </c>
      <c r="BL631" s="163">
        <f t="shared" si="386"/>
        <v>7312.9121200474874</v>
      </c>
      <c r="BM631" s="163">
        <f t="shared" si="408"/>
        <v>162.21524763684448</v>
      </c>
      <c r="BN631" s="163">
        <f t="shared" si="387"/>
        <v>3018.6192701125115</v>
      </c>
      <c r="BO631" s="163">
        <f t="shared" si="388"/>
        <v>0</v>
      </c>
      <c r="BP631" s="164">
        <f t="shared" si="409"/>
        <v>41277.909627357229</v>
      </c>
      <c r="BQ631" s="164">
        <f>IF($E631="","",IF(AND($D631=Input!$C$6,$C631=12),0,-BJ632+BK632+BL632-BM632-BN632-BO632+BQ632))</f>
        <v>41277.937168659832</v>
      </c>
      <c r="BR631" s="161">
        <f t="shared" si="389"/>
        <v>0</v>
      </c>
      <c r="BT631" s="147">
        <f t="shared" si="390"/>
        <v>1.9323256015248679E-6</v>
      </c>
      <c r="BU631" s="164">
        <f>IF(AND($C630=12,$D630=Input!$C$6),0,IF($E631="","",BK631+(BL631+BU632)/(1+$AK631)*MIN((1-T631-U631),1)))</f>
        <v>81612.800053201005</v>
      </c>
      <c r="BV631" s="164">
        <f t="shared" si="391"/>
        <v>0.15770250295493041</v>
      </c>
      <c r="BW631" s="164">
        <f t="shared" si="392"/>
        <v>41277.937168659832</v>
      </c>
      <c r="BX631" s="164">
        <f t="shared" si="393"/>
        <v>7.9762414769136314E-2</v>
      </c>
    </row>
    <row r="632" spans="1:76" s="150" customFormat="1" x14ac:dyDescent="0.25">
      <c r="A632" s="150">
        <f t="shared" si="404"/>
        <v>628</v>
      </c>
      <c r="B632" s="150">
        <f t="shared" si="405"/>
        <v>53</v>
      </c>
      <c r="C632" s="150">
        <f t="shared" si="406"/>
        <v>4</v>
      </c>
      <c r="D632" s="150">
        <f>IF(E632="","",Input!$C$4+B632-1)</f>
        <v>97</v>
      </c>
      <c r="E632" s="150">
        <f>IF(OR(AND(C631=12,D631=Input!$C$6),E631=""),"",1)</f>
        <v>1</v>
      </c>
      <c r="F632" s="150">
        <f>IF(E632="","",Input!$C$8+B632-1)</f>
        <v>2070</v>
      </c>
      <c r="G632" s="151">
        <f>IF(E632="","",MAX(0,Input!$C$9-B632))</f>
        <v>0</v>
      </c>
      <c r="H632" s="152">
        <f>IF(E632="","",Input!$C$3)</f>
        <v>100000</v>
      </c>
      <c r="I632" s="153">
        <f>IF(E632="","",HLOOKUP($B632,Input!$C$13:$BT$14,2))</f>
        <v>692.59050000000002</v>
      </c>
      <c r="J632" s="154"/>
      <c r="K632" s="155">
        <f>IF($E632="","",INDEX(Input!$C$16:$CP$16,1,$B632))</f>
        <v>3.2629999999999999E-2</v>
      </c>
      <c r="L632" s="155">
        <f>IF($E632="","",Input!$C$37)</f>
        <v>1.4999999999999999E-2</v>
      </c>
      <c r="M632" s="155">
        <f t="shared" si="410"/>
        <v>4.7629999999999999E-2</v>
      </c>
      <c r="N632" s="155">
        <f t="shared" si="411"/>
        <v>3.885066558270589E-3</v>
      </c>
      <c r="O632" s="147">
        <f>IF($E632="","",MIN(VLOOKUP(IF($B632&lt;=Input!$C$7,$B632,26),'Mortality Tables'!$A$41:$CW$67,IF($B632&lt;=Input!$C$7+1,Input!$C$4+2,$D632-Input!$C$7+2),0)*IF(B632&gt;20,Input!$C$22,1)/1000,1))</f>
        <v>0.7760644000000001</v>
      </c>
      <c r="P632" s="147">
        <f>IF($E632="","",MIN(VLOOKUP(IF($B632&lt;=Input!$C$7,$B632,26),'Mortality Tables'!$A$12:$CW$37,IF($B632&lt;=Input!$C$7+1,Input!$C$4+2,$D632-Input!$C$7+2),0)*IF(B632&gt;20,Input!$C$22,1)/1000,1))</f>
        <v>0.97008050000000001</v>
      </c>
      <c r="Q632" s="155">
        <f>IF($E632="","",Input!$C$21)</f>
        <v>5.0000000000000001E-3</v>
      </c>
      <c r="R632" s="159">
        <f>IF($E632="","",(1-Q632)^($F632-Input!$C$20))</f>
        <v>0.7705488893118827</v>
      </c>
      <c r="S632" s="147">
        <f t="shared" si="372"/>
        <v>0.59799556145449273</v>
      </c>
      <c r="T632" s="147">
        <f t="shared" si="373"/>
        <v>7.3129121200474878E-2</v>
      </c>
      <c r="U632" s="160">
        <f>IF($E632="","",IF($C632=12,INDEX(Input!$C$15:$CP$15,1,$B632),0))</f>
        <v>0</v>
      </c>
      <c r="V632" s="150">
        <f>IF(E632="","",IF(C632=1,IF($B632=1,Input!$C$33,Input!$C$34),0))</f>
        <v>0</v>
      </c>
      <c r="W632" s="156">
        <f>IF($E632="","",Input!$C$35)</f>
        <v>0.02</v>
      </c>
      <c r="X632" s="156">
        <f t="shared" si="412"/>
        <v>2.8003281854481812</v>
      </c>
      <c r="Y632" s="154"/>
      <c r="Z632" s="147">
        <f>IF($E632="","",VLOOKUP($D632,'Mortality Margins &amp; Grading'!$AB$5:$AF$125,3,0)*IF(Summary!$D$25="Included Margin",IF(AND($B632&gt;Input!$C$9,Summary!$D$31&lt;&gt;"Included Margin"),0,1),0))</f>
        <v>1.7000000000000001E-2</v>
      </c>
      <c r="AA632" s="147">
        <f>IF($E632="","",VLOOKUP($D632,'Mortality Margins &amp; Grading'!$AB$5:$AF$125,5,0)*IF(Summary!$D$25="Included Margin",IF(AND($B632&gt;Input!$C$9,Summary!$D$31&lt;&gt;"Included Margin"),0,1),0))</f>
        <v>8.7999999999999995E-2</v>
      </c>
      <c r="AB632" s="147">
        <f>IF($E632="","",IF(AND($B632&gt;Input!$C$9,Summary!$D$31&lt;&gt;"Included Margin"),1,IF(Summary!$D$25="Included Margin",VLOOKUP($B632,'Mortality Margins &amp; Grading'!$AI$5:$AR$125,MATCH('Mortality Margins &amp; Grading'!$AQ$4,'Mortality Margins &amp; Grading'!$AI$4:$AR$4,0),0),1)))</f>
        <v>0</v>
      </c>
      <c r="AC632" s="154"/>
      <c r="AD632" s="158">
        <f>IF(E632="","",Input!$C$48*IF(Summary!$D$30="Included Margin",IF(AND($B632&gt;Input!$C$9,Summary!$D$31&lt;&gt;"Included Margin"),0,1),0))</f>
        <v>-4.4999999999999997E-3</v>
      </c>
      <c r="AE632" s="159">
        <f>IF(E632="","",IF(Summary!$D$26="Included Margin",IF(AND($B632&gt;Input!$C$9,Summary!$D$31&lt;&gt;"Included Margin"),1,1/$R632),1))</f>
        <v>1.2977761876900793</v>
      </c>
      <c r="AF632" s="160">
        <f>IF(E632="","",IF(AND($B632&gt;=Input!$C$9,$C632=12,Summary!$D$31="Included Margin",$U632&gt;0),1/U632-1,IF($B632&gt;=Input!$C$9,0,Input!$C$45*IF(Summary!$D$27="Included Margin",1,0))))</f>
        <v>0</v>
      </c>
      <c r="AG632" s="160">
        <f>IF(E632="","",Input!$C$46*IF(Summary!$D$28="Included Margin",IF(AND($B632&gt;Input!$C$9,Summary!$D$31&lt;&gt;"Included Margin"),0,1),0))</f>
        <v>0.02</v>
      </c>
      <c r="AH632" s="158">
        <f>IF(E632="","",Input!$C$47*IF(Summary!$D$29="Included Margin",IF(AND($B632&gt;Input!$C$9,Summary!$D$31&lt;&gt;"Included Margin"),0,1),0))</f>
        <v>2.5000000000000001E-3</v>
      </c>
      <c r="AI632" s="154"/>
      <c r="AJ632" s="158">
        <f t="shared" si="394"/>
        <v>4.3130000000000002E-2</v>
      </c>
      <c r="AK632" s="155">
        <f t="shared" si="395"/>
        <v>3.5250156986805781E-3</v>
      </c>
      <c r="AL632" s="147">
        <f t="shared" si="396"/>
        <v>1</v>
      </c>
      <c r="AM632" s="147">
        <f t="shared" si="374"/>
        <v>1</v>
      </c>
      <c r="AN632" s="160">
        <f t="shared" si="397"/>
        <v>0</v>
      </c>
      <c r="AO632" s="161">
        <f t="shared" si="398"/>
        <v>0</v>
      </c>
      <c r="AP632" s="156">
        <f t="shared" si="375"/>
        <v>3.1804785236632616</v>
      </c>
      <c r="AQ632" s="152"/>
      <c r="AR632" s="162">
        <f t="shared" si="376"/>
        <v>99824.059311909761</v>
      </c>
      <c r="AS632" s="150">
        <f t="shared" si="399"/>
        <v>0</v>
      </c>
      <c r="AT632" s="163">
        <f t="shared" si="377"/>
        <v>0</v>
      </c>
      <c r="AU632" s="163">
        <f t="shared" si="378"/>
        <v>100000</v>
      </c>
      <c r="AV632" s="163">
        <f t="shared" si="400"/>
        <v>175.63059124647415</v>
      </c>
      <c r="AW632" s="163">
        <f t="shared" si="379"/>
        <v>99824.369408753526</v>
      </c>
      <c r="AX632" s="163">
        <f t="shared" si="380"/>
        <v>0</v>
      </c>
      <c r="AY632" s="165">
        <f t="shared" si="401"/>
        <v>99824.059311909761</v>
      </c>
      <c r="AZ632" s="164">
        <f>IF($E632="","",IF(OR(AND($D632=Input!$C$6,$C632=12),$AN632=1),0,-AS633+AT633+AU633-AV633-AW633-AX633+AZ633))</f>
        <v>99824.369408753526</v>
      </c>
      <c r="BA632" s="154">
        <f t="shared" si="381"/>
        <v>0.31009684376476798</v>
      </c>
      <c r="BC632" s="147">
        <f t="shared" si="402"/>
        <v>1.7910163284121754E-6</v>
      </c>
      <c r="BD632" s="164">
        <f>IF(AND($C631=12,$D631=Input!$C$6),0,IF($E632="","",AT632+(AU632+BD633)/(1+$AK632)*MIN((1-AM632-AN632),1)))</f>
        <v>0</v>
      </c>
      <c r="BE632" s="164">
        <f t="shared" si="382"/>
        <v>0</v>
      </c>
      <c r="BF632" s="164">
        <f t="shared" si="403"/>
        <v>99824.369408753526</v>
      </c>
      <c r="BG632" s="164">
        <f t="shared" si="383"/>
        <v>0.17878707558452642</v>
      </c>
      <c r="BH632" s="152"/>
      <c r="BI632" s="162">
        <f t="shared" si="384"/>
        <v>41277.909627357229</v>
      </c>
      <c r="BJ632" s="150">
        <f t="shared" si="385"/>
        <v>0</v>
      </c>
      <c r="BK632" s="163">
        <f t="shared" si="407"/>
        <v>0</v>
      </c>
      <c r="BL632" s="163">
        <f t="shared" si="386"/>
        <v>7312.9121200474874</v>
      </c>
      <c r="BM632" s="163">
        <f t="shared" si="408"/>
        <v>146.16185112797706</v>
      </c>
      <c r="BN632" s="163">
        <f t="shared" si="387"/>
        <v>2691.3361700542823</v>
      </c>
      <c r="BO632" s="163">
        <f t="shared" si="388"/>
        <v>0</v>
      </c>
      <c r="BP632" s="164">
        <f t="shared" si="409"/>
        <v>36802.495528492</v>
      </c>
      <c r="BQ632" s="164">
        <f>IF($E632="","",IF(AND($D632=Input!$C$6,$C632=12),0,-BJ633+BK633+BL633-BM633-BN633-BO633+BQ633))</f>
        <v>36802.523069794603</v>
      </c>
      <c r="BR632" s="161">
        <f t="shared" si="389"/>
        <v>0</v>
      </c>
      <c r="BT632" s="147">
        <f t="shared" si="390"/>
        <v>1.7910163284121754E-6</v>
      </c>
      <c r="BU632" s="164">
        <f>IF(AND($C631=12,$D631=Input!$C$6),0,IF($E632="","",BK632+(BL632+BU633)/(1+$AK632)*MIN((1-T632-U632),1)))</f>
        <v>81049.435136647633</v>
      </c>
      <c r="BV632" s="164">
        <f t="shared" si="391"/>
        <v>0.14516086173831941</v>
      </c>
      <c r="BW632" s="164">
        <f t="shared" si="392"/>
        <v>36802.523069794603</v>
      </c>
      <c r="BX632" s="164">
        <f t="shared" si="393"/>
        <v>6.5913919744767915E-2</v>
      </c>
    </row>
    <row r="633" spans="1:76" s="150" customFormat="1" x14ac:dyDescent="0.25">
      <c r="A633" s="150">
        <f t="shared" si="404"/>
        <v>629</v>
      </c>
      <c r="B633" s="150">
        <f t="shared" si="405"/>
        <v>53</v>
      </c>
      <c r="C633" s="150">
        <f t="shared" si="406"/>
        <v>5</v>
      </c>
      <c r="D633" s="150">
        <f>IF(E633="","",Input!$C$4+B633-1)</f>
        <v>97</v>
      </c>
      <c r="E633" s="150">
        <f>IF(OR(AND(C632=12,D632=Input!$C$6),E632=""),"",1)</f>
        <v>1</v>
      </c>
      <c r="F633" s="150">
        <f>IF(E633="","",Input!$C$8+B633-1)</f>
        <v>2070</v>
      </c>
      <c r="G633" s="151">
        <f>IF(E633="","",MAX(0,Input!$C$9-B633))</f>
        <v>0</v>
      </c>
      <c r="H633" s="152">
        <f>IF(E633="","",Input!$C$3)</f>
        <v>100000</v>
      </c>
      <c r="I633" s="153">
        <f>IF(E633="","",HLOOKUP($B633,Input!$C$13:$BT$14,2))</f>
        <v>692.59050000000002</v>
      </c>
      <c r="J633" s="154"/>
      <c r="K633" s="155">
        <f>IF($E633="","",INDEX(Input!$C$16:$CP$16,1,$B633))</f>
        <v>3.2629999999999999E-2</v>
      </c>
      <c r="L633" s="155">
        <f>IF($E633="","",Input!$C$37)</f>
        <v>1.4999999999999999E-2</v>
      </c>
      <c r="M633" s="155">
        <f t="shared" si="410"/>
        <v>4.7629999999999999E-2</v>
      </c>
      <c r="N633" s="155">
        <f t="shared" si="411"/>
        <v>3.885066558270589E-3</v>
      </c>
      <c r="O633" s="147">
        <f>IF($E633="","",MIN(VLOOKUP(IF($B633&lt;=Input!$C$7,$B633,26),'Mortality Tables'!$A$41:$CW$67,IF($B633&lt;=Input!$C$7+1,Input!$C$4+2,$D633-Input!$C$7+2),0)*IF(B633&gt;20,Input!$C$22,1)/1000,1))</f>
        <v>0.7760644000000001</v>
      </c>
      <c r="P633" s="147">
        <f>IF($E633="","",MIN(VLOOKUP(IF($B633&lt;=Input!$C$7,$B633,26),'Mortality Tables'!$A$12:$CW$37,IF($B633&lt;=Input!$C$7+1,Input!$C$4+2,$D633-Input!$C$7+2),0)*IF(B633&gt;20,Input!$C$22,1)/1000,1))</f>
        <v>0.97008050000000001</v>
      </c>
      <c r="Q633" s="155">
        <f>IF($E633="","",Input!$C$21)</f>
        <v>5.0000000000000001E-3</v>
      </c>
      <c r="R633" s="159">
        <f>IF($E633="","",(1-Q633)^($F633-Input!$C$20))</f>
        <v>0.7705488893118827</v>
      </c>
      <c r="S633" s="147">
        <f t="shared" si="372"/>
        <v>0.59799556145449273</v>
      </c>
      <c r="T633" s="147">
        <f t="shared" si="373"/>
        <v>7.3129121200474878E-2</v>
      </c>
      <c r="U633" s="160">
        <f>IF($E633="","",IF($C633=12,INDEX(Input!$C$15:$CP$15,1,$B633),0))</f>
        <v>0</v>
      </c>
      <c r="V633" s="150">
        <f>IF(E633="","",IF(C633=1,IF($B633=1,Input!$C$33,Input!$C$34),0))</f>
        <v>0</v>
      </c>
      <c r="W633" s="156">
        <f>IF($E633="","",Input!$C$35)</f>
        <v>0.02</v>
      </c>
      <c r="X633" s="156">
        <f t="shared" si="412"/>
        <v>2.8003281854481812</v>
      </c>
      <c r="Y633" s="154"/>
      <c r="Z633" s="147">
        <f>IF($E633="","",VLOOKUP($D633,'Mortality Margins &amp; Grading'!$AB$5:$AF$125,3,0)*IF(Summary!$D$25="Included Margin",IF(AND($B633&gt;Input!$C$9,Summary!$D$31&lt;&gt;"Included Margin"),0,1),0))</f>
        <v>1.7000000000000001E-2</v>
      </c>
      <c r="AA633" s="147">
        <f>IF($E633="","",VLOOKUP($D633,'Mortality Margins &amp; Grading'!$AB$5:$AF$125,5,0)*IF(Summary!$D$25="Included Margin",IF(AND($B633&gt;Input!$C$9,Summary!$D$31&lt;&gt;"Included Margin"),0,1),0))</f>
        <v>8.7999999999999995E-2</v>
      </c>
      <c r="AB633" s="147">
        <f>IF($E633="","",IF(AND($B633&gt;Input!$C$9,Summary!$D$31&lt;&gt;"Included Margin"),1,IF(Summary!$D$25="Included Margin",VLOOKUP($B633,'Mortality Margins &amp; Grading'!$AI$5:$AR$125,MATCH('Mortality Margins &amp; Grading'!$AQ$4,'Mortality Margins &amp; Grading'!$AI$4:$AR$4,0),0),1)))</f>
        <v>0</v>
      </c>
      <c r="AC633" s="154"/>
      <c r="AD633" s="158">
        <f>IF(E633="","",Input!$C$48*IF(Summary!$D$30="Included Margin",IF(AND($B633&gt;Input!$C$9,Summary!$D$31&lt;&gt;"Included Margin"),0,1),0))</f>
        <v>-4.4999999999999997E-3</v>
      </c>
      <c r="AE633" s="159">
        <f>IF(E633="","",IF(Summary!$D$26="Included Margin",IF(AND($B633&gt;Input!$C$9,Summary!$D$31&lt;&gt;"Included Margin"),1,1/$R633),1))</f>
        <v>1.2977761876900793</v>
      </c>
      <c r="AF633" s="160">
        <f>IF(E633="","",IF(AND($B633&gt;=Input!$C$9,$C633=12,Summary!$D$31="Included Margin",$U633&gt;0),1/U633-1,IF($B633&gt;=Input!$C$9,0,Input!$C$45*IF(Summary!$D$27="Included Margin",1,0))))</f>
        <v>0</v>
      </c>
      <c r="AG633" s="160">
        <f>IF(E633="","",Input!$C$46*IF(Summary!$D$28="Included Margin",IF(AND($B633&gt;Input!$C$9,Summary!$D$31&lt;&gt;"Included Margin"),0,1),0))</f>
        <v>0.02</v>
      </c>
      <c r="AH633" s="158">
        <f>IF(E633="","",Input!$C$47*IF(Summary!$D$29="Included Margin",IF(AND($B633&gt;Input!$C$9,Summary!$D$31&lt;&gt;"Included Margin"),0,1),0))</f>
        <v>2.5000000000000001E-3</v>
      </c>
      <c r="AI633" s="154"/>
      <c r="AJ633" s="158">
        <f t="shared" si="394"/>
        <v>4.3130000000000002E-2</v>
      </c>
      <c r="AK633" s="155">
        <f t="shared" si="395"/>
        <v>3.5250156986805781E-3</v>
      </c>
      <c r="AL633" s="147">
        <f t="shared" si="396"/>
        <v>1</v>
      </c>
      <c r="AM633" s="147">
        <f t="shared" si="374"/>
        <v>1</v>
      </c>
      <c r="AN633" s="160">
        <f t="shared" si="397"/>
        <v>0</v>
      </c>
      <c r="AO633" s="161">
        <f t="shared" si="398"/>
        <v>0</v>
      </c>
      <c r="AP633" s="156">
        <f t="shared" si="375"/>
        <v>3.1804785236632616</v>
      </c>
      <c r="AQ633" s="152"/>
      <c r="AR633" s="162">
        <f t="shared" si="376"/>
        <v>99824.059311909761</v>
      </c>
      <c r="AS633" s="150">
        <f t="shared" si="399"/>
        <v>0</v>
      </c>
      <c r="AT633" s="163">
        <f t="shared" si="377"/>
        <v>0</v>
      </c>
      <c r="AU633" s="163">
        <f t="shared" si="378"/>
        <v>100000</v>
      </c>
      <c r="AV633" s="163">
        <f t="shared" si="400"/>
        <v>175.63059124647415</v>
      </c>
      <c r="AW633" s="163">
        <f t="shared" si="379"/>
        <v>99824.369408753526</v>
      </c>
      <c r="AX633" s="163">
        <f t="shared" si="380"/>
        <v>0</v>
      </c>
      <c r="AY633" s="164">
        <f t="shared" si="401"/>
        <v>99824.059311909761</v>
      </c>
      <c r="AZ633" s="164">
        <f>IF($E633="","",IF(OR(AND($D633=Input!$C$6,$C633=12),$AN633=1),0,-AS634+AT634+AU634-AV634-AW634-AX634+AZ634))</f>
        <v>99824.369408753526</v>
      </c>
      <c r="BA633" s="154">
        <f t="shared" si="381"/>
        <v>0.31009684376476798</v>
      </c>
      <c r="BC633" s="147">
        <f t="shared" si="402"/>
        <v>1.6600408782596919E-6</v>
      </c>
      <c r="BD633" s="164">
        <f>IF(AND($C632=12,$D632=Input!$C$6),0,IF($E633="","",AT633+(AU633+BD634)/(1+$AK633)*MIN((1-AM633-AN633),1)))</f>
        <v>0</v>
      </c>
      <c r="BE633" s="164">
        <f t="shared" si="382"/>
        <v>0</v>
      </c>
      <c r="BF633" s="164">
        <f t="shared" si="403"/>
        <v>99824.369408753526</v>
      </c>
      <c r="BG633" s="164">
        <f t="shared" si="383"/>
        <v>0.16571253386502713</v>
      </c>
      <c r="BH633" s="152"/>
      <c r="BI633" s="162">
        <f t="shared" si="384"/>
        <v>36802.495528492</v>
      </c>
      <c r="BJ633" s="150">
        <f t="shared" si="385"/>
        <v>0</v>
      </c>
      <c r="BK633" s="163">
        <f t="shared" si="407"/>
        <v>0</v>
      </c>
      <c r="BL633" s="163">
        <f t="shared" si="386"/>
        <v>7312.9121200474874</v>
      </c>
      <c r="BM633" s="163">
        <f t="shared" si="408"/>
        <v>128.77456947806306</v>
      </c>
      <c r="BN633" s="163">
        <f t="shared" si="387"/>
        <v>2336.8589454478802</v>
      </c>
      <c r="BO633" s="163">
        <f t="shared" si="388"/>
        <v>0</v>
      </c>
      <c r="BP633" s="164">
        <f t="shared" si="409"/>
        <v>31955.216923370455</v>
      </c>
      <c r="BQ633" s="164">
        <f>IF($E633="","",IF(AND($D633=Input!$C$6,$C633=12),0,-BJ634+BK634+BL634-BM634-BN634-BO634+BQ634))</f>
        <v>31955.244464673058</v>
      </c>
      <c r="BR633" s="161">
        <f t="shared" si="389"/>
        <v>0</v>
      </c>
      <c r="BT633" s="147">
        <f t="shared" si="390"/>
        <v>1.6600408782596919E-6</v>
      </c>
      <c r="BU633" s="164">
        <f>IF(AND($C632=12,$D632=Input!$C$6),0,IF($E633="","",BK633+(BL633+BU634)/(1+$AK633)*MIN((1-T633-U633),1)))</f>
        <v>80439.478777396653</v>
      </c>
      <c r="BV633" s="164">
        <f t="shared" si="391"/>
        <v>0.13353282299638139</v>
      </c>
      <c r="BW633" s="164">
        <f t="shared" si="392"/>
        <v>31955.244464673058</v>
      </c>
      <c r="BX633" s="164">
        <f t="shared" si="393"/>
        <v>5.3047012086139024E-2</v>
      </c>
    </row>
    <row r="634" spans="1:76" s="150" customFormat="1" x14ac:dyDescent="0.25">
      <c r="A634" s="150">
        <f t="shared" si="404"/>
        <v>630</v>
      </c>
      <c r="B634" s="150">
        <f t="shared" si="405"/>
        <v>53</v>
      </c>
      <c r="C634" s="150">
        <f t="shared" si="406"/>
        <v>6</v>
      </c>
      <c r="D634" s="150">
        <f>IF(E634="","",Input!$C$4+B634-1)</f>
        <v>97</v>
      </c>
      <c r="E634" s="150">
        <f>IF(OR(AND(C633=12,D633=Input!$C$6),E633=""),"",1)</f>
        <v>1</v>
      </c>
      <c r="F634" s="150">
        <f>IF(E634="","",Input!$C$8+B634-1)</f>
        <v>2070</v>
      </c>
      <c r="G634" s="151">
        <f>IF(E634="","",MAX(0,Input!$C$9-B634))</f>
        <v>0</v>
      </c>
      <c r="H634" s="152">
        <f>IF(E634="","",Input!$C$3)</f>
        <v>100000</v>
      </c>
      <c r="I634" s="153">
        <f>IF(E634="","",HLOOKUP($B634,Input!$C$13:$BT$14,2))</f>
        <v>692.59050000000002</v>
      </c>
      <c r="J634" s="154"/>
      <c r="K634" s="155">
        <f>IF($E634="","",INDEX(Input!$C$16:$CP$16,1,$B634))</f>
        <v>3.2629999999999999E-2</v>
      </c>
      <c r="L634" s="155">
        <f>IF($E634="","",Input!$C$37)</f>
        <v>1.4999999999999999E-2</v>
      </c>
      <c r="M634" s="155">
        <f t="shared" si="410"/>
        <v>4.7629999999999999E-2</v>
      </c>
      <c r="N634" s="155">
        <f t="shared" si="411"/>
        <v>3.885066558270589E-3</v>
      </c>
      <c r="O634" s="147">
        <f>IF($E634="","",MIN(VLOOKUP(IF($B634&lt;=Input!$C$7,$B634,26),'Mortality Tables'!$A$41:$CW$67,IF($B634&lt;=Input!$C$7+1,Input!$C$4+2,$D634-Input!$C$7+2),0)*IF(B634&gt;20,Input!$C$22,1)/1000,1))</f>
        <v>0.7760644000000001</v>
      </c>
      <c r="P634" s="147">
        <f>IF($E634="","",MIN(VLOOKUP(IF($B634&lt;=Input!$C$7,$B634,26),'Mortality Tables'!$A$12:$CW$37,IF($B634&lt;=Input!$C$7+1,Input!$C$4+2,$D634-Input!$C$7+2),0)*IF(B634&gt;20,Input!$C$22,1)/1000,1))</f>
        <v>0.97008050000000001</v>
      </c>
      <c r="Q634" s="155">
        <f>IF($E634="","",Input!$C$21)</f>
        <v>5.0000000000000001E-3</v>
      </c>
      <c r="R634" s="159">
        <f>IF($E634="","",(1-Q634)^($F634-Input!$C$20))</f>
        <v>0.7705488893118827</v>
      </c>
      <c r="S634" s="147">
        <f t="shared" si="372"/>
        <v>0.59799556145449273</v>
      </c>
      <c r="T634" s="147">
        <f t="shared" si="373"/>
        <v>7.3129121200474878E-2</v>
      </c>
      <c r="U634" s="160">
        <f>IF($E634="","",IF($C634=12,INDEX(Input!$C$15:$CP$15,1,$B634),0))</f>
        <v>0</v>
      </c>
      <c r="V634" s="150">
        <f>IF(E634="","",IF(C634=1,IF($B634=1,Input!$C$33,Input!$C$34),0))</f>
        <v>0</v>
      </c>
      <c r="W634" s="156">
        <f>IF($E634="","",Input!$C$35)</f>
        <v>0.02</v>
      </c>
      <c r="X634" s="156">
        <f t="shared" si="412"/>
        <v>2.8003281854481812</v>
      </c>
      <c r="Y634" s="154"/>
      <c r="Z634" s="147">
        <f>IF($E634="","",VLOOKUP($D634,'Mortality Margins &amp; Grading'!$AB$5:$AF$125,3,0)*IF(Summary!$D$25="Included Margin",IF(AND($B634&gt;Input!$C$9,Summary!$D$31&lt;&gt;"Included Margin"),0,1),0))</f>
        <v>1.7000000000000001E-2</v>
      </c>
      <c r="AA634" s="147">
        <f>IF($E634="","",VLOOKUP($D634,'Mortality Margins &amp; Grading'!$AB$5:$AF$125,5,0)*IF(Summary!$D$25="Included Margin",IF(AND($B634&gt;Input!$C$9,Summary!$D$31&lt;&gt;"Included Margin"),0,1),0))</f>
        <v>8.7999999999999995E-2</v>
      </c>
      <c r="AB634" s="147">
        <f>IF($E634="","",IF(AND($B634&gt;Input!$C$9,Summary!$D$31&lt;&gt;"Included Margin"),1,IF(Summary!$D$25="Included Margin",VLOOKUP($B634,'Mortality Margins &amp; Grading'!$AI$5:$AR$125,MATCH('Mortality Margins &amp; Grading'!$AQ$4,'Mortality Margins &amp; Grading'!$AI$4:$AR$4,0),0),1)))</f>
        <v>0</v>
      </c>
      <c r="AC634" s="154"/>
      <c r="AD634" s="158">
        <f>IF(E634="","",Input!$C$48*IF(Summary!$D$30="Included Margin",IF(AND($B634&gt;Input!$C$9,Summary!$D$31&lt;&gt;"Included Margin"),0,1),0))</f>
        <v>-4.4999999999999997E-3</v>
      </c>
      <c r="AE634" s="159">
        <f>IF(E634="","",IF(Summary!$D$26="Included Margin",IF(AND($B634&gt;Input!$C$9,Summary!$D$31&lt;&gt;"Included Margin"),1,1/$R634),1))</f>
        <v>1.2977761876900793</v>
      </c>
      <c r="AF634" s="160">
        <f>IF(E634="","",IF(AND($B634&gt;=Input!$C$9,$C634=12,Summary!$D$31="Included Margin",$U634&gt;0),1/U634-1,IF($B634&gt;=Input!$C$9,0,Input!$C$45*IF(Summary!$D$27="Included Margin",1,0))))</f>
        <v>0</v>
      </c>
      <c r="AG634" s="160">
        <f>IF(E634="","",Input!$C$46*IF(Summary!$D$28="Included Margin",IF(AND($B634&gt;Input!$C$9,Summary!$D$31&lt;&gt;"Included Margin"),0,1),0))</f>
        <v>0.02</v>
      </c>
      <c r="AH634" s="158">
        <f>IF(E634="","",Input!$C$47*IF(Summary!$D$29="Included Margin",IF(AND($B634&gt;Input!$C$9,Summary!$D$31&lt;&gt;"Included Margin"),0,1),0))</f>
        <v>2.5000000000000001E-3</v>
      </c>
      <c r="AI634" s="154"/>
      <c r="AJ634" s="158">
        <f t="shared" si="394"/>
        <v>4.3130000000000002E-2</v>
      </c>
      <c r="AK634" s="155">
        <f t="shared" si="395"/>
        <v>3.5250156986805781E-3</v>
      </c>
      <c r="AL634" s="147">
        <f t="shared" si="396"/>
        <v>1</v>
      </c>
      <c r="AM634" s="147">
        <f t="shared" si="374"/>
        <v>1</v>
      </c>
      <c r="AN634" s="160">
        <f t="shared" si="397"/>
        <v>0</v>
      </c>
      <c r="AO634" s="161">
        <f t="shared" si="398"/>
        <v>0</v>
      </c>
      <c r="AP634" s="156">
        <f t="shared" si="375"/>
        <v>3.1804785236632616</v>
      </c>
      <c r="AQ634" s="152"/>
      <c r="AR634" s="162">
        <f t="shared" si="376"/>
        <v>99824.059311909761</v>
      </c>
      <c r="AS634" s="150">
        <f t="shared" si="399"/>
        <v>0</v>
      </c>
      <c r="AT634" s="163">
        <f t="shared" si="377"/>
        <v>0</v>
      </c>
      <c r="AU634" s="163">
        <f t="shared" si="378"/>
        <v>100000</v>
      </c>
      <c r="AV634" s="163">
        <f t="shared" si="400"/>
        <v>175.63059124647415</v>
      </c>
      <c r="AW634" s="163">
        <f t="shared" si="379"/>
        <v>99824.369408753526</v>
      </c>
      <c r="AX634" s="163">
        <f t="shared" si="380"/>
        <v>0</v>
      </c>
      <c r="AY634" s="165">
        <f t="shared" si="401"/>
        <v>99824.059311909761</v>
      </c>
      <c r="AZ634" s="164">
        <f>IF($E634="","",IF(OR(AND($D634=Input!$C$6,$C634=12),$AN634=1),0,-AS635+AT635+AU635-AV635-AW635-AX635+AZ635))</f>
        <v>99824.369408753526</v>
      </c>
      <c r="BA634" s="154">
        <f t="shared" si="381"/>
        <v>0.31009684376476798</v>
      </c>
      <c r="BC634" s="147">
        <f t="shared" si="402"/>
        <v>1.538643547675696E-6</v>
      </c>
      <c r="BD634" s="164">
        <f>IF(AND($C633=12,$D633=Input!$C$6),0,IF($E634="","",AT634+(AU634+BD635)/(1+$AK634)*MIN((1-AM634-AN634),1)))</f>
        <v>0</v>
      </c>
      <c r="BE634" s="164">
        <f t="shared" si="382"/>
        <v>0</v>
      </c>
      <c r="BF634" s="164">
        <f t="shared" si="403"/>
        <v>99824.369408753526</v>
      </c>
      <c r="BG634" s="164">
        <f t="shared" si="383"/>
        <v>0.15359412189157376</v>
      </c>
      <c r="BH634" s="152"/>
      <c r="BI634" s="162">
        <f t="shared" si="384"/>
        <v>31955.216923370455</v>
      </c>
      <c r="BJ634" s="150">
        <f t="shared" si="385"/>
        <v>0</v>
      </c>
      <c r="BK634" s="163">
        <f t="shared" si="407"/>
        <v>0</v>
      </c>
      <c r="BL634" s="163">
        <f t="shared" si="386"/>
        <v>7312.9121200474874</v>
      </c>
      <c r="BM634" s="163">
        <f t="shared" si="408"/>
        <v>109.94256947068484</v>
      </c>
      <c r="BN634" s="163">
        <f t="shared" si="387"/>
        <v>1952.9280222126083</v>
      </c>
      <c r="BO634" s="163">
        <f t="shared" si="388"/>
        <v>0</v>
      </c>
      <c r="BP634" s="164">
        <f t="shared" si="409"/>
        <v>26705.175395006259</v>
      </c>
      <c r="BQ634" s="164">
        <f>IF($E634="","",IF(AND($D634=Input!$C$6,$C634=12),0,-BJ635+BK635+BL635-BM635-BN635-BO635+BQ635))</f>
        <v>26705.202936308862</v>
      </c>
      <c r="BR634" s="161">
        <f t="shared" si="389"/>
        <v>0</v>
      </c>
      <c r="BT634" s="147">
        <f t="shared" si="390"/>
        <v>1.538643547675696E-6</v>
      </c>
      <c r="BU634" s="164">
        <f>IF(AND($C633=12,$D633=Input!$C$6),0,IF($E634="","",BK634+(BL634+BU635)/(1+$AK634)*MIN((1-T634-U634),1)))</f>
        <v>79779.077766863629</v>
      </c>
      <c r="BV634" s="164">
        <f t="shared" si="391"/>
        <v>0.12275156324550231</v>
      </c>
      <c r="BW634" s="164">
        <f t="shared" si="392"/>
        <v>26705.202936308862</v>
      </c>
      <c r="BX634" s="164">
        <f t="shared" si="393"/>
        <v>4.1089788187321681E-2</v>
      </c>
    </row>
    <row r="635" spans="1:76" s="150" customFormat="1" x14ac:dyDescent="0.25">
      <c r="A635" s="150">
        <f t="shared" si="404"/>
        <v>631</v>
      </c>
      <c r="B635" s="150">
        <f t="shared" si="405"/>
        <v>53</v>
      </c>
      <c r="C635" s="150">
        <f t="shared" si="406"/>
        <v>7</v>
      </c>
      <c r="D635" s="150">
        <f>IF(E635="","",Input!$C$4+B635-1)</f>
        <v>97</v>
      </c>
      <c r="E635" s="150">
        <f>IF(OR(AND(C634=12,D634=Input!$C$6),E634=""),"",1)</f>
        <v>1</v>
      </c>
      <c r="F635" s="150">
        <f>IF(E635="","",Input!$C$8+B635-1)</f>
        <v>2070</v>
      </c>
      <c r="G635" s="151">
        <f>IF(E635="","",MAX(0,Input!$C$9-B635))</f>
        <v>0</v>
      </c>
      <c r="H635" s="152">
        <f>IF(E635="","",Input!$C$3)</f>
        <v>100000</v>
      </c>
      <c r="I635" s="153">
        <f>IF(E635="","",HLOOKUP($B635,Input!$C$13:$BT$14,2))</f>
        <v>692.59050000000002</v>
      </c>
      <c r="J635" s="154"/>
      <c r="K635" s="155">
        <f>IF($E635="","",INDEX(Input!$C$16:$CP$16,1,$B635))</f>
        <v>3.2629999999999999E-2</v>
      </c>
      <c r="L635" s="155">
        <f>IF($E635="","",Input!$C$37)</f>
        <v>1.4999999999999999E-2</v>
      </c>
      <c r="M635" s="155">
        <f t="shared" si="410"/>
        <v>4.7629999999999999E-2</v>
      </c>
      <c r="N635" s="155">
        <f t="shared" si="411"/>
        <v>3.885066558270589E-3</v>
      </c>
      <c r="O635" s="147">
        <f>IF($E635="","",MIN(VLOOKUP(IF($B635&lt;=Input!$C$7,$B635,26),'Mortality Tables'!$A$41:$CW$67,IF($B635&lt;=Input!$C$7+1,Input!$C$4+2,$D635-Input!$C$7+2),0)*IF(B635&gt;20,Input!$C$22,1)/1000,1))</f>
        <v>0.7760644000000001</v>
      </c>
      <c r="P635" s="147">
        <f>IF($E635="","",MIN(VLOOKUP(IF($B635&lt;=Input!$C$7,$B635,26),'Mortality Tables'!$A$12:$CW$37,IF($B635&lt;=Input!$C$7+1,Input!$C$4+2,$D635-Input!$C$7+2),0)*IF(B635&gt;20,Input!$C$22,1)/1000,1))</f>
        <v>0.97008050000000001</v>
      </c>
      <c r="Q635" s="155">
        <f>IF($E635="","",Input!$C$21)</f>
        <v>5.0000000000000001E-3</v>
      </c>
      <c r="R635" s="159">
        <f>IF($E635="","",(1-Q635)^($F635-Input!$C$20))</f>
        <v>0.7705488893118827</v>
      </c>
      <c r="S635" s="147">
        <f t="shared" si="372"/>
        <v>0.59799556145449273</v>
      </c>
      <c r="T635" s="147">
        <f t="shared" si="373"/>
        <v>7.3129121200474878E-2</v>
      </c>
      <c r="U635" s="160">
        <f>IF($E635="","",IF($C635=12,INDEX(Input!$C$15:$CP$15,1,$B635),0))</f>
        <v>0</v>
      </c>
      <c r="V635" s="150">
        <f>IF(E635="","",IF(C635=1,IF($B635=1,Input!$C$33,Input!$C$34),0))</f>
        <v>0</v>
      </c>
      <c r="W635" s="156">
        <f>IF($E635="","",Input!$C$35)</f>
        <v>0.02</v>
      </c>
      <c r="X635" s="156">
        <f t="shared" si="412"/>
        <v>2.8003281854481812</v>
      </c>
      <c r="Y635" s="154"/>
      <c r="Z635" s="147">
        <f>IF($E635="","",VLOOKUP($D635,'Mortality Margins &amp; Grading'!$AB$5:$AF$125,3,0)*IF(Summary!$D$25="Included Margin",IF(AND($B635&gt;Input!$C$9,Summary!$D$31&lt;&gt;"Included Margin"),0,1),0))</f>
        <v>1.7000000000000001E-2</v>
      </c>
      <c r="AA635" s="147">
        <f>IF($E635="","",VLOOKUP($D635,'Mortality Margins &amp; Grading'!$AB$5:$AF$125,5,0)*IF(Summary!$D$25="Included Margin",IF(AND($B635&gt;Input!$C$9,Summary!$D$31&lt;&gt;"Included Margin"),0,1),0))</f>
        <v>8.7999999999999995E-2</v>
      </c>
      <c r="AB635" s="147">
        <f>IF($E635="","",IF(AND($B635&gt;Input!$C$9,Summary!$D$31&lt;&gt;"Included Margin"),1,IF(Summary!$D$25="Included Margin",VLOOKUP($B635,'Mortality Margins &amp; Grading'!$AI$5:$AR$125,MATCH('Mortality Margins &amp; Grading'!$AQ$4,'Mortality Margins &amp; Grading'!$AI$4:$AR$4,0),0),1)))</f>
        <v>0</v>
      </c>
      <c r="AC635" s="154"/>
      <c r="AD635" s="158">
        <f>IF(E635="","",Input!$C$48*IF(Summary!$D$30="Included Margin",IF(AND($B635&gt;Input!$C$9,Summary!$D$31&lt;&gt;"Included Margin"),0,1),0))</f>
        <v>-4.4999999999999997E-3</v>
      </c>
      <c r="AE635" s="159">
        <f>IF(E635="","",IF(Summary!$D$26="Included Margin",IF(AND($B635&gt;Input!$C$9,Summary!$D$31&lt;&gt;"Included Margin"),1,1/$R635),1))</f>
        <v>1.2977761876900793</v>
      </c>
      <c r="AF635" s="160">
        <f>IF(E635="","",IF(AND($B635&gt;=Input!$C$9,$C635=12,Summary!$D$31="Included Margin",$U635&gt;0),1/U635-1,IF($B635&gt;=Input!$C$9,0,Input!$C$45*IF(Summary!$D$27="Included Margin",1,0))))</f>
        <v>0</v>
      </c>
      <c r="AG635" s="160">
        <f>IF(E635="","",Input!$C$46*IF(Summary!$D$28="Included Margin",IF(AND($B635&gt;Input!$C$9,Summary!$D$31&lt;&gt;"Included Margin"),0,1),0))</f>
        <v>0.02</v>
      </c>
      <c r="AH635" s="158">
        <f>IF(E635="","",Input!$C$47*IF(Summary!$D$29="Included Margin",IF(AND($B635&gt;Input!$C$9,Summary!$D$31&lt;&gt;"Included Margin"),0,1),0))</f>
        <v>2.5000000000000001E-3</v>
      </c>
      <c r="AI635" s="154"/>
      <c r="AJ635" s="158">
        <f t="shared" si="394"/>
        <v>4.3130000000000002E-2</v>
      </c>
      <c r="AK635" s="155">
        <f t="shared" si="395"/>
        <v>3.5250156986805781E-3</v>
      </c>
      <c r="AL635" s="147">
        <f t="shared" si="396"/>
        <v>1</v>
      </c>
      <c r="AM635" s="147">
        <f t="shared" si="374"/>
        <v>1</v>
      </c>
      <c r="AN635" s="160">
        <f t="shared" si="397"/>
        <v>0</v>
      </c>
      <c r="AO635" s="161">
        <f t="shared" si="398"/>
        <v>0</v>
      </c>
      <c r="AP635" s="156">
        <f t="shared" si="375"/>
        <v>3.1804785236632616</v>
      </c>
      <c r="AQ635" s="152"/>
      <c r="AR635" s="162">
        <f t="shared" si="376"/>
        <v>99824.059311909761</v>
      </c>
      <c r="AS635" s="150">
        <f t="shared" si="399"/>
        <v>0</v>
      </c>
      <c r="AT635" s="163">
        <f t="shared" si="377"/>
        <v>0</v>
      </c>
      <c r="AU635" s="163">
        <f t="shared" si="378"/>
        <v>100000</v>
      </c>
      <c r="AV635" s="163">
        <f t="shared" si="400"/>
        <v>175.63059124647415</v>
      </c>
      <c r="AW635" s="163">
        <f t="shared" si="379"/>
        <v>99824.369408753526</v>
      </c>
      <c r="AX635" s="163">
        <f t="shared" si="380"/>
        <v>0</v>
      </c>
      <c r="AY635" s="164">
        <f t="shared" si="401"/>
        <v>99824.059311909761</v>
      </c>
      <c r="AZ635" s="164">
        <f>IF($E635="","",IF(OR(AND($D635=Input!$C$6,$C635=12),$AN635=1),0,-AS636+AT636+AU636-AV636-AW636-AX636+AZ636))</f>
        <v>99824.369408753526</v>
      </c>
      <c r="BA635" s="154">
        <f t="shared" si="381"/>
        <v>0.31009684376476798</v>
      </c>
      <c r="BC635" s="147">
        <f t="shared" si="402"/>
        <v>1.4261238971933913E-6</v>
      </c>
      <c r="BD635" s="164">
        <f>IF(AND($C634=12,$D634=Input!$C$6),0,IF($E635="","",AT635+(AU635+BD636)/(1+$AK635)*MIN((1-AM635-AN635),1)))</f>
        <v>0</v>
      </c>
      <c r="BE635" s="164">
        <f t="shared" si="382"/>
        <v>0</v>
      </c>
      <c r="BF635" s="164">
        <f t="shared" si="403"/>
        <v>99824.369408753526</v>
      </c>
      <c r="BG635" s="164">
        <f t="shared" si="383"/>
        <v>0.14236191873608434</v>
      </c>
      <c r="BH635" s="152"/>
      <c r="BI635" s="162">
        <f t="shared" si="384"/>
        <v>26705.175395006263</v>
      </c>
      <c r="BJ635" s="150">
        <f t="shared" si="385"/>
        <v>0</v>
      </c>
      <c r="BK635" s="163">
        <f t="shared" si="407"/>
        <v>0</v>
      </c>
      <c r="BL635" s="163">
        <f t="shared" si="386"/>
        <v>7312.9121200474874</v>
      </c>
      <c r="BM635" s="163">
        <f t="shared" si="408"/>
        <v>89.545808699305312</v>
      </c>
      <c r="BN635" s="163">
        <f t="shared" si="387"/>
        <v>1537.0960770715392</v>
      </c>
      <c r="BO635" s="163">
        <f t="shared" si="388"/>
        <v>0</v>
      </c>
      <c r="BP635" s="164">
        <f t="shared" si="409"/>
        <v>21018.905160729621</v>
      </c>
      <c r="BQ635" s="164">
        <f>IF($E635="","",IF(AND($D635=Input!$C$6,$C635=12),0,-BJ636+BK636+BL636-BM636-BN636-BO636+BQ636))</f>
        <v>21018.93270203222</v>
      </c>
      <c r="BR635" s="161">
        <f t="shared" si="389"/>
        <v>0</v>
      </c>
      <c r="BT635" s="147">
        <f t="shared" si="390"/>
        <v>1.4261238971933913E-6</v>
      </c>
      <c r="BU635" s="164">
        <f>IF(AND($C634=12,$D634=Input!$C$6),0,IF($E635="","",BK635+(BL635+BU636)/(1+$AK635)*MIN((1-T635-U635),1)))</f>
        <v>79064.060228152142</v>
      </c>
      <c r="BV635" s="164">
        <f t="shared" si="391"/>
        <v>0.11275514570050535</v>
      </c>
      <c r="BW635" s="164">
        <f t="shared" si="392"/>
        <v>21018.93270203222</v>
      </c>
      <c r="BX635" s="164">
        <f t="shared" si="393"/>
        <v>2.9975602219867808E-2</v>
      </c>
    </row>
    <row r="636" spans="1:76" s="150" customFormat="1" x14ac:dyDescent="0.25">
      <c r="A636" s="150">
        <f t="shared" si="404"/>
        <v>632</v>
      </c>
      <c r="B636" s="150">
        <f t="shared" si="405"/>
        <v>53</v>
      </c>
      <c r="C636" s="150">
        <f t="shared" si="406"/>
        <v>8</v>
      </c>
      <c r="D636" s="150">
        <f>IF(E636="","",Input!$C$4+B636-1)</f>
        <v>97</v>
      </c>
      <c r="E636" s="150">
        <f>IF(OR(AND(C635=12,D635=Input!$C$6),E635=""),"",1)</f>
        <v>1</v>
      </c>
      <c r="F636" s="150">
        <f>IF(E636="","",Input!$C$8+B636-1)</f>
        <v>2070</v>
      </c>
      <c r="G636" s="151">
        <f>IF(E636="","",MAX(0,Input!$C$9-B636))</f>
        <v>0</v>
      </c>
      <c r="H636" s="152">
        <f>IF(E636="","",Input!$C$3)</f>
        <v>100000</v>
      </c>
      <c r="I636" s="153">
        <f>IF(E636="","",HLOOKUP($B636,Input!$C$13:$BT$14,2))</f>
        <v>692.59050000000002</v>
      </c>
      <c r="J636" s="154"/>
      <c r="K636" s="155">
        <f>IF($E636="","",INDEX(Input!$C$16:$CP$16,1,$B636))</f>
        <v>3.2629999999999999E-2</v>
      </c>
      <c r="L636" s="155">
        <f>IF($E636="","",Input!$C$37)</f>
        <v>1.4999999999999999E-2</v>
      </c>
      <c r="M636" s="155">
        <f t="shared" si="410"/>
        <v>4.7629999999999999E-2</v>
      </c>
      <c r="N636" s="155">
        <f t="shared" si="411"/>
        <v>3.885066558270589E-3</v>
      </c>
      <c r="O636" s="147">
        <f>IF($E636="","",MIN(VLOOKUP(IF($B636&lt;=Input!$C$7,$B636,26),'Mortality Tables'!$A$41:$CW$67,IF($B636&lt;=Input!$C$7+1,Input!$C$4+2,$D636-Input!$C$7+2),0)*IF(B636&gt;20,Input!$C$22,1)/1000,1))</f>
        <v>0.7760644000000001</v>
      </c>
      <c r="P636" s="147">
        <f>IF($E636="","",MIN(VLOOKUP(IF($B636&lt;=Input!$C$7,$B636,26),'Mortality Tables'!$A$12:$CW$37,IF($B636&lt;=Input!$C$7+1,Input!$C$4+2,$D636-Input!$C$7+2),0)*IF(B636&gt;20,Input!$C$22,1)/1000,1))</f>
        <v>0.97008050000000001</v>
      </c>
      <c r="Q636" s="155">
        <f>IF($E636="","",Input!$C$21)</f>
        <v>5.0000000000000001E-3</v>
      </c>
      <c r="R636" s="159">
        <f>IF($E636="","",(1-Q636)^($F636-Input!$C$20))</f>
        <v>0.7705488893118827</v>
      </c>
      <c r="S636" s="147">
        <f t="shared" si="372"/>
        <v>0.59799556145449273</v>
      </c>
      <c r="T636" s="147">
        <f t="shared" si="373"/>
        <v>7.3129121200474878E-2</v>
      </c>
      <c r="U636" s="160">
        <f>IF($E636="","",IF($C636=12,INDEX(Input!$C$15:$CP$15,1,$B636),0))</f>
        <v>0</v>
      </c>
      <c r="V636" s="150">
        <f>IF(E636="","",IF(C636=1,IF($B636=1,Input!$C$33,Input!$C$34),0))</f>
        <v>0</v>
      </c>
      <c r="W636" s="156">
        <f>IF($E636="","",Input!$C$35)</f>
        <v>0.02</v>
      </c>
      <c r="X636" s="156">
        <f t="shared" si="412"/>
        <v>2.8003281854481812</v>
      </c>
      <c r="Y636" s="154"/>
      <c r="Z636" s="147">
        <f>IF($E636="","",VLOOKUP($D636,'Mortality Margins &amp; Grading'!$AB$5:$AF$125,3,0)*IF(Summary!$D$25="Included Margin",IF(AND($B636&gt;Input!$C$9,Summary!$D$31&lt;&gt;"Included Margin"),0,1),0))</f>
        <v>1.7000000000000001E-2</v>
      </c>
      <c r="AA636" s="147">
        <f>IF($E636="","",VLOOKUP($D636,'Mortality Margins &amp; Grading'!$AB$5:$AF$125,5,0)*IF(Summary!$D$25="Included Margin",IF(AND($B636&gt;Input!$C$9,Summary!$D$31&lt;&gt;"Included Margin"),0,1),0))</f>
        <v>8.7999999999999995E-2</v>
      </c>
      <c r="AB636" s="147">
        <f>IF($E636="","",IF(AND($B636&gt;Input!$C$9,Summary!$D$31&lt;&gt;"Included Margin"),1,IF(Summary!$D$25="Included Margin",VLOOKUP($B636,'Mortality Margins &amp; Grading'!$AI$5:$AR$125,MATCH('Mortality Margins &amp; Grading'!$AQ$4,'Mortality Margins &amp; Grading'!$AI$4:$AR$4,0),0),1)))</f>
        <v>0</v>
      </c>
      <c r="AC636" s="154"/>
      <c r="AD636" s="158">
        <f>IF(E636="","",Input!$C$48*IF(Summary!$D$30="Included Margin",IF(AND($B636&gt;Input!$C$9,Summary!$D$31&lt;&gt;"Included Margin"),0,1),0))</f>
        <v>-4.4999999999999997E-3</v>
      </c>
      <c r="AE636" s="159">
        <f>IF(E636="","",IF(Summary!$D$26="Included Margin",IF(AND($B636&gt;Input!$C$9,Summary!$D$31&lt;&gt;"Included Margin"),1,1/$R636),1))</f>
        <v>1.2977761876900793</v>
      </c>
      <c r="AF636" s="160">
        <f>IF(E636="","",IF(AND($B636&gt;=Input!$C$9,$C636=12,Summary!$D$31="Included Margin",$U636&gt;0),1/U636-1,IF($B636&gt;=Input!$C$9,0,Input!$C$45*IF(Summary!$D$27="Included Margin",1,0))))</f>
        <v>0</v>
      </c>
      <c r="AG636" s="160">
        <f>IF(E636="","",Input!$C$46*IF(Summary!$D$28="Included Margin",IF(AND($B636&gt;Input!$C$9,Summary!$D$31&lt;&gt;"Included Margin"),0,1),0))</f>
        <v>0.02</v>
      </c>
      <c r="AH636" s="158">
        <f>IF(E636="","",Input!$C$47*IF(Summary!$D$29="Included Margin",IF(AND($B636&gt;Input!$C$9,Summary!$D$31&lt;&gt;"Included Margin"),0,1),0))</f>
        <v>2.5000000000000001E-3</v>
      </c>
      <c r="AI636" s="154"/>
      <c r="AJ636" s="158">
        <f t="shared" si="394"/>
        <v>4.3130000000000002E-2</v>
      </c>
      <c r="AK636" s="155">
        <f t="shared" si="395"/>
        <v>3.5250156986805781E-3</v>
      </c>
      <c r="AL636" s="147">
        <f t="shared" si="396"/>
        <v>1</v>
      </c>
      <c r="AM636" s="147">
        <f t="shared" si="374"/>
        <v>1</v>
      </c>
      <c r="AN636" s="160">
        <f t="shared" si="397"/>
        <v>0</v>
      </c>
      <c r="AO636" s="161">
        <f t="shared" si="398"/>
        <v>0</v>
      </c>
      <c r="AP636" s="156">
        <f t="shared" si="375"/>
        <v>3.1804785236632616</v>
      </c>
      <c r="AQ636" s="152"/>
      <c r="AR636" s="162">
        <f t="shared" si="376"/>
        <v>99824.059311909761</v>
      </c>
      <c r="AS636" s="150">
        <f t="shared" si="399"/>
        <v>0</v>
      </c>
      <c r="AT636" s="163">
        <f t="shared" si="377"/>
        <v>0</v>
      </c>
      <c r="AU636" s="163">
        <f t="shared" si="378"/>
        <v>100000</v>
      </c>
      <c r="AV636" s="163">
        <f t="shared" si="400"/>
        <v>175.63059124647415</v>
      </c>
      <c r="AW636" s="163">
        <f t="shared" si="379"/>
        <v>99824.369408753526</v>
      </c>
      <c r="AX636" s="163">
        <f t="shared" si="380"/>
        <v>0</v>
      </c>
      <c r="AY636" s="165">
        <f t="shared" si="401"/>
        <v>99824.059311909761</v>
      </c>
      <c r="AZ636" s="164">
        <f>IF($E636="","",IF(OR(AND($D636=Input!$C$6,$C636=12),$AN636=1),0,-AS637+AT637+AU637-AV637-AW637-AX637+AZ637))</f>
        <v>99824.369408753526</v>
      </c>
      <c r="BA636" s="154">
        <f t="shared" si="381"/>
        <v>0.31009684376476798</v>
      </c>
      <c r="BC636" s="147">
        <f t="shared" si="402"/>
        <v>1.3218327098686422E-6</v>
      </c>
      <c r="BD636" s="164">
        <f>IF(AND($C635=12,$D635=Input!$C$6),0,IF($E636="","",AT636+(AU636+BD637)/(1+$AK636)*MIN((1-AM636-AN636),1)))</f>
        <v>0</v>
      </c>
      <c r="BE636" s="164">
        <f t="shared" si="382"/>
        <v>0</v>
      </c>
      <c r="BF636" s="164">
        <f t="shared" si="403"/>
        <v>99824.369408753526</v>
      </c>
      <c r="BG636" s="164">
        <f t="shared" si="383"/>
        <v>0.13195111672650106</v>
      </c>
      <c r="BH636" s="152"/>
      <c r="BI636" s="162">
        <f t="shared" si="384"/>
        <v>21018.905160729621</v>
      </c>
      <c r="BJ636" s="150">
        <f t="shared" si="385"/>
        <v>0</v>
      </c>
      <c r="BK636" s="163">
        <f t="shared" si="407"/>
        <v>0</v>
      </c>
      <c r="BL636" s="163">
        <f t="shared" si="386"/>
        <v>7312.9121200474874</v>
      </c>
      <c r="BM636" s="163">
        <f t="shared" si="408"/>
        <v>67.454270370827658</v>
      </c>
      <c r="BN636" s="163">
        <f t="shared" si="387"/>
        <v>1086.7124373722622</v>
      </c>
      <c r="BO636" s="163">
        <f t="shared" si="388"/>
        <v>0</v>
      </c>
      <c r="BP636" s="164">
        <f t="shared" si="409"/>
        <v>14860.159748425223</v>
      </c>
      <c r="BQ636" s="164">
        <f>IF($E636="","",IF(AND($D636=Input!$C$6,$C636=12),0,-BJ637+BK637+BL637-BM637-BN637-BO637+BQ637))</f>
        <v>14860.187289727823</v>
      </c>
      <c r="BR636" s="161">
        <f t="shared" si="389"/>
        <v>0</v>
      </c>
      <c r="BT636" s="147">
        <f t="shared" si="390"/>
        <v>1.3218327098686422E-6</v>
      </c>
      <c r="BU636" s="164">
        <f>IF(AND($C635=12,$D635=Input!$C$6),0,IF($E636="","",BK636+(BL636+BU637)/(1+$AK636)*MIN((1-T636-U636),1)))</f>
        <v>78289.909261526002</v>
      </c>
      <c r="BV636" s="164">
        <f t="shared" si="391"/>
        <v>0.10348616291453303</v>
      </c>
      <c r="BW636" s="164">
        <f t="shared" si="392"/>
        <v>14860.187289727823</v>
      </c>
      <c r="BX636" s="164">
        <f t="shared" si="393"/>
        <v>1.9642681634336481E-2</v>
      </c>
    </row>
    <row r="637" spans="1:76" s="150" customFormat="1" x14ac:dyDescent="0.25">
      <c r="A637" s="150">
        <f t="shared" si="404"/>
        <v>633</v>
      </c>
      <c r="B637" s="150">
        <f t="shared" si="405"/>
        <v>53</v>
      </c>
      <c r="C637" s="150">
        <f t="shared" si="406"/>
        <v>9</v>
      </c>
      <c r="D637" s="150">
        <f>IF(E637="","",Input!$C$4+B637-1)</f>
        <v>97</v>
      </c>
      <c r="E637" s="150">
        <f>IF(OR(AND(C636=12,D636=Input!$C$6),E636=""),"",1)</f>
        <v>1</v>
      </c>
      <c r="F637" s="150">
        <f>IF(E637="","",Input!$C$8+B637-1)</f>
        <v>2070</v>
      </c>
      <c r="G637" s="151">
        <f>IF(E637="","",MAX(0,Input!$C$9-B637))</f>
        <v>0</v>
      </c>
      <c r="H637" s="152">
        <f>IF(E637="","",Input!$C$3)</f>
        <v>100000</v>
      </c>
      <c r="I637" s="153">
        <f>IF(E637="","",HLOOKUP($B637,Input!$C$13:$BT$14,2))</f>
        <v>692.59050000000002</v>
      </c>
      <c r="J637" s="154"/>
      <c r="K637" s="155">
        <f>IF($E637="","",INDEX(Input!$C$16:$CP$16,1,$B637))</f>
        <v>3.2629999999999999E-2</v>
      </c>
      <c r="L637" s="155">
        <f>IF($E637="","",Input!$C$37)</f>
        <v>1.4999999999999999E-2</v>
      </c>
      <c r="M637" s="155">
        <f t="shared" si="410"/>
        <v>4.7629999999999999E-2</v>
      </c>
      <c r="N637" s="155">
        <f t="shared" si="411"/>
        <v>3.885066558270589E-3</v>
      </c>
      <c r="O637" s="147">
        <f>IF($E637="","",MIN(VLOOKUP(IF($B637&lt;=Input!$C$7,$B637,26),'Mortality Tables'!$A$41:$CW$67,IF($B637&lt;=Input!$C$7+1,Input!$C$4+2,$D637-Input!$C$7+2),0)*IF(B637&gt;20,Input!$C$22,1)/1000,1))</f>
        <v>0.7760644000000001</v>
      </c>
      <c r="P637" s="147">
        <f>IF($E637="","",MIN(VLOOKUP(IF($B637&lt;=Input!$C$7,$B637,26),'Mortality Tables'!$A$12:$CW$37,IF($B637&lt;=Input!$C$7+1,Input!$C$4+2,$D637-Input!$C$7+2),0)*IF(B637&gt;20,Input!$C$22,1)/1000,1))</f>
        <v>0.97008050000000001</v>
      </c>
      <c r="Q637" s="155">
        <f>IF($E637="","",Input!$C$21)</f>
        <v>5.0000000000000001E-3</v>
      </c>
      <c r="R637" s="159">
        <f>IF($E637="","",(1-Q637)^($F637-Input!$C$20))</f>
        <v>0.7705488893118827</v>
      </c>
      <c r="S637" s="147">
        <f t="shared" si="372"/>
        <v>0.59799556145449273</v>
      </c>
      <c r="T637" s="147">
        <f t="shared" si="373"/>
        <v>7.3129121200474878E-2</v>
      </c>
      <c r="U637" s="160">
        <f>IF($E637="","",IF($C637=12,INDEX(Input!$C$15:$CP$15,1,$B637),0))</f>
        <v>0</v>
      </c>
      <c r="V637" s="150">
        <f>IF(E637="","",IF(C637=1,IF($B637=1,Input!$C$33,Input!$C$34),0))</f>
        <v>0</v>
      </c>
      <c r="W637" s="156">
        <f>IF($E637="","",Input!$C$35)</f>
        <v>0.02</v>
      </c>
      <c r="X637" s="156">
        <f t="shared" si="412"/>
        <v>2.8003281854481812</v>
      </c>
      <c r="Y637" s="154"/>
      <c r="Z637" s="147">
        <f>IF($E637="","",VLOOKUP($D637,'Mortality Margins &amp; Grading'!$AB$5:$AF$125,3,0)*IF(Summary!$D$25="Included Margin",IF(AND($B637&gt;Input!$C$9,Summary!$D$31&lt;&gt;"Included Margin"),0,1),0))</f>
        <v>1.7000000000000001E-2</v>
      </c>
      <c r="AA637" s="147">
        <f>IF($E637="","",VLOOKUP($D637,'Mortality Margins &amp; Grading'!$AB$5:$AF$125,5,0)*IF(Summary!$D$25="Included Margin",IF(AND($B637&gt;Input!$C$9,Summary!$D$31&lt;&gt;"Included Margin"),0,1),0))</f>
        <v>8.7999999999999995E-2</v>
      </c>
      <c r="AB637" s="147">
        <f>IF($E637="","",IF(AND($B637&gt;Input!$C$9,Summary!$D$31&lt;&gt;"Included Margin"),1,IF(Summary!$D$25="Included Margin",VLOOKUP($B637,'Mortality Margins &amp; Grading'!$AI$5:$AR$125,MATCH('Mortality Margins &amp; Grading'!$AQ$4,'Mortality Margins &amp; Grading'!$AI$4:$AR$4,0),0),1)))</f>
        <v>0</v>
      </c>
      <c r="AC637" s="154"/>
      <c r="AD637" s="158">
        <f>IF(E637="","",Input!$C$48*IF(Summary!$D$30="Included Margin",IF(AND($B637&gt;Input!$C$9,Summary!$D$31&lt;&gt;"Included Margin"),0,1),0))</f>
        <v>-4.4999999999999997E-3</v>
      </c>
      <c r="AE637" s="159">
        <f>IF(E637="","",IF(Summary!$D$26="Included Margin",IF(AND($B637&gt;Input!$C$9,Summary!$D$31&lt;&gt;"Included Margin"),1,1/$R637),1))</f>
        <v>1.2977761876900793</v>
      </c>
      <c r="AF637" s="160">
        <f>IF(E637="","",IF(AND($B637&gt;=Input!$C$9,$C637=12,Summary!$D$31="Included Margin",$U637&gt;0),1/U637-1,IF($B637&gt;=Input!$C$9,0,Input!$C$45*IF(Summary!$D$27="Included Margin",1,0))))</f>
        <v>0</v>
      </c>
      <c r="AG637" s="160">
        <f>IF(E637="","",Input!$C$46*IF(Summary!$D$28="Included Margin",IF(AND($B637&gt;Input!$C$9,Summary!$D$31&lt;&gt;"Included Margin"),0,1),0))</f>
        <v>0.02</v>
      </c>
      <c r="AH637" s="158">
        <f>IF(E637="","",Input!$C$47*IF(Summary!$D$29="Included Margin",IF(AND($B637&gt;Input!$C$9,Summary!$D$31&lt;&gt;"Included Margin"),0,1),0))</f>
        <v>2.5000000000000001E-3</v>
      </c>
      <c r="AI637" s="154"/>
      <c r="AJ637" s="158">
        <f t="shared" si="394"/>
        <v>4.3130000000000002E-2</v>
      </c>
      <c r="AK637" s="155">
        <f t="shared" si="395"/>
        <v>3.5250156986805781E-3</v>
      </c>
      <c r="AL637" s="147">
        <f t="shared" si="396"/>
        <v>1</v>
      </c>
      <c r="AM637" s="147">
        <f t="shared" si="374"/>
        <v>1</v>
      </c>
      <c r="AN637" s="160">
        <f t="shared" si="397"/>
        <v>0</v>
      </c>
      <c r="AO637" s="161">
        <f t="shared" si="398"/>
        <v>0</v>
      </c>
      <c r="AP637" s="156">
        <f t="shared" si="375"/>
        <v>3.1804785236632616</v>
      </c>
      <c r="AQ637" s="152"/>
      <c r="AR637" s="162">
        <f t="shared" si="376"/>
        <v>99824.059311909761</v>
      </c>
      <c r="AS637" s="150">
        <f t="shared" si="399"/>
        <v>0</v>
      </c>
      <c r="AT637" s="163">
        <f t="shared" si="377"/>
        <v>0</v>
      </c>
      <c r="AU637" s="163">
        <f t="shared" si="378"/>
        <v>100000</v>
      </c>
      <c r="AV637" s="163">
        <f t="shared" si="400"/>
        <v>175.63059124647415</v>
      </c>
      <c r="AW637" s="163">
        <f t="shared" si="379"/>
        <v>99824.369408753526</v>
      </c>
      <c r="AX637" s="163">
        <f t="shared" si="380"/>
        <v>0</v>
      </c>
      <c r="AY637" s="164">
        <f t="shared" si="401"/>
        <v>99824.059311909761</v>
      </c>
      <c r="AZ637" s="164">
        <f>IF($E637="","",IF(OR(AND($D637=Input!$C$6,$C637=12),$AN637=1),0,-AS638+AT638+AU638-AV638-AW638-AX638+AZ638))</f>
        <v>99824.369408753526</v>
      </c>
      <c r="BA637" s="154">
        <f t="shared" si="381"/>
        <v>0.31009684376476798</v>
      </c>
      <c r="BC637" s="147">
        <f t="shared" si="402"/>
        <v>1.2251682454219061E-6</v>
      </c>
      <c r="BD637" s="164">
        <f>IF(AND($C636=12,$D636=Input!$C$6),0,IF($E637="","",AT637+(AU637+BD638)/(1+$AK637)*MIN((1-AM637-AN637),1)))</f>
        <v>0</v>
      </c>
      <c r="BE637" s="164">
        <f t="shared" si="382"/>
        <v>0</v>
      </c>
      <c r="BF637" s="164">
        <f t="shared" si="403"/>
        <v>99824.369408753526</v>
      </c>
      <c r="BG637" s="164">
        <f t="shared" si="383"/>
        <v>0.12230164751887075</v>
      </c>
      <c r="BH637" s="152"/>
      <c r="BI637" s="162">
        <f t="shared" si="384"/>
        <v>14860.159748425222</v>
      </c>
      <c r="BJ637" s="150">
        <f t="shared" si="385"/>
        <v>0</v>
      </c>
      <c r="BK637" s="163">
        <f t="shared" si="407"/>
        <v>0</v>
      </c>
      <c r="BL637" s="163">
        <f t="shared" si="386"/>
        <v>7312.9121200474874</v>
      </c>
      <c r="BM637" s="163">
        <f t="shared" si="408"/>
        <v>43.527134528581435</v>
      </c>
      <c r="BN637" s="163">
        <f t="shared" si="387"/>
        <v>598.90618468055618</v>
      </c>
      <c r="BO637" s="163">
        <f t="shared" si="388"/>
        <v>0</v>
      </c>
      <c r="BP637" s="164">
        <f t="shared" si="409"/>
        <v>8189.6809475868722</v>
      </c>
      <c r="BQ637" s="164">
        <f>IF($E637="","",IF(AND($D637=Input!$C$6,$C637=12),0,-BJ638+BK638+BL638-BM638-BN638-BO638+BQ638))</f>
        <v>8189.7084888894724</v>
      </c>
      <c r="BR637" s="161">
        <f t="shared" si="389"/>
        <v>0</v>
      </c>
      <c r="BT637" s="147">
        <f t="shared" si="390"/>
        <v>1.2251682454219061E-6</v>
      </c>
      <c r="BU637" s="164">
        <f>IF(AND($C636=12,$D636=Input!$C$6),0,IF($E637="","",BK637+(BL637+BU638)/(1+$AK637)*MIN((1-T637-U637),1)))</f>
        <v>77451.734410307399</v>
      </c>
      <c r="BV637" s="164">
        <f t="shared" si="391"/>
        <v>9.4891405552359781E-2</v>
      </c>
      <c r="BW637" s="164">
        <f t="shared" si="392"/>
        <v>8189.7084888894724</v>
      </c>
      <c r="BX637" s="164">
        <f t="shared" si="393"/>
        <v>1.0033770779849604E-2</v>
      </c>
    </row>
    <row r="638" spans="1:76" s="150" customFormat="1" x14ac:dyDescent="0.25">
      <c r="A638" s="150">
        <f t="shared" si="404"/>
        <v>634</v>
      </c>
      <c r="B638" s="150">
        <f t="shared" si="405"/>
        <v>53</v>
      </c>
      <c r="C638" s="150">
        <f t="shared" si="406"/>
        <v>10</v>
      </c>
      <c r="D638" s="150">
        <f>IF(E638="","",Input!$C$4+B638-1)</f>
        <v>97</v>
      </c>
      <c r="E638" s="150">
        <f>IF(OR(AND(C637=12,D637=Input!$C$6),E637=""),"",1)</f>
        <v>1</v>
      </c>
      <c r="F638" s="150">
        <f>IF(E638="","",Input!$C$8+B638-1)</f>
        <v>2070</v>
      </c>
      <c r="G638" s="151">
        <f>IF(E638="","",MAX(0,Input!$C$9-B638))</f>
        <v>0</v>
      </c>
      <c r="H638" s="152">
        <f>IF(E638="","",Input!$C$3)</f>
        <v>100000</v>
      </c>
      <c r="I638" s="153">
        <f>IF(E638="","",HLOOKUP($B638,Input!$C$13:$BT$14,2))</f>
        <v>692.59050000000002</v>
      </c>
      <c r="J638" s="154"/>
      <c r="K638" s="155">
        <f>IF($E638="","",INDEX(Input!$C$16:$CP$16,1,$B638))</f>
        <v>3.2629999999999999E-2</v>
      </c>
      <c r="L638" s="155">
        <f>IF($E638="","",Input!$C$37)</f>
        <v>1.4999999999999999E-2</v>
      </c>
      <c r="M638" s="155">
        <f t="shared" si="410"/>
        <v>4.7629999999999999E-2</v>
      </c>
      <c r="N638" s="155">
        <f t="shared" si="411"/>
        <v>3.885066558270589E-3</v>
      </c>
      <c r="O638" s="147">
        <f>IF($E638="","",MIN(VLOOKUP(IF($B638&lt;=Input!$C$7,$B638,26),'Mortality Tables'!$A$41:$CW$67,IF($B638&lt;=Input!$C$7+1,Input!$C$4+2,$D638-Input!$C$7+2),0)*IF(B638&gt;20,Input!$C$22,1)/1000,1))</f>
        <v>0.7760644000000001</v>
      </c>
      <c r="P638" s="147">
        <f>IF($E638="","",MIN(VLOOKUP(IF($B638&lt;=Input!$C$7,$B638,26),'Mortality Tables'!$A$12:$CW$37,IF($B638&lt;=Input!$C$7+1,Input!$C$4+2,$D638-Input!$C$7+2),0)*IF(B638&gt;20,Input!$C$22,1)/1000,1))</f>
        <v>0.97008050000000001</v>
      </c>
      <c r="Q638" s="155">
        <f>IF($E638="","",Input!$C$21)</f>
        <v>5.0000000000000001E-3</v>
      </c>
      <c r="R638" s="159">
        <f>IF($E638="","",(1-Q638)^($F638-Input!$C$20))</f>
        <v>0.7705488893118827</v>
      </c>
      <c r="S638" s="147">
        <f t="shared" si="372"/>
        <v>0.59799556145449273</v>
      </c>
      <c r="T638" s="147">
        <f t="shared" si="373"/>
        <v>7.3129121200474878E-2</v>
      </c>
      <c r="U638" s="160">
        <f>IF($E638="","",IF($C638=12,INDEX(Input!$C$15:$CP$15,1,$B638),0))</f>
        <v>0</v>
      </c>
      <c r="V638" s="150">
        <f>IF(E638="","",IF(C638=1,IF($B638=1,Input!$C$33,Input!$C$34),0))</f>
        <v>0</v>
      </c>
      <c r="W638" s="156">
        <f>IF($E638="","",Input!$C$35)</f>
        <v>0.02</v>
      </c>
      <c r="X638" s="156">
        <f t="shared" si="412"/>
        <v>2.8003281854481812</v>
      </c>
      <c r="Y638" s="154"/>
      <c r="Z638" s="147">
        <f>IF($E638="","",VLOOKUP($D638,'Mortality Margins &amp; Grading'!$AB$5:$AF$125,3,0)*IF(Summary!$D$25="Included Margin",IF(AND($B638&gt;Input!$C$9,Summary!$D$31&lt;&gt;"Included Margin"),0,1),0))</f>
        <v>1.7000000000000001E-2</v>
      </c>
      <c r="AA638" s="147">
        <f>IF($E638="","",VLOOKUP($D638,'Mortality Margins &amp; Grading'!$AB$5:$AF$125,5,0)*IF(Summary!$D$25="Included Margin",IF(AND($B638&gt;Input!$C$9,Summary!$D$31&lt;&gt;"Included Margin"),0,1),0))</f>
        <v>8.7999999999999995E-2</v>
      </c>
      <c r="AB638" s="147">
        <f>IF($E638="","",IF(AND($B638&gt;Input!$C$9,Summary!$D$31&lt;&gt;"Included Margin"),1,IF(Summary!$D$25="Included Margin",VLOOKUP($B638,'Mortality Margins &amp; Grading'!$AI$5:$AR$125,MATCH('Mortality Margins &amp; Grading'!$AQ$4,'Mortality Margins &amp; Grading'!$AI$4:$AR$4,0),0),1)))</f>
        <v>0</v>
      </c>
      <c r="AC638" s="154"/>
      <c r="AD638" s="158">
        <f>IF(E638="","",Input!$C$48*IF(Summary!$D$30="Included Margin",IF(AND($B638&gt;Input!$C$9,Summary!$D$31&lt;&gt;"Included Margin"),0,1),0))</f>
        <v>-4.4999999999999997E-3</v>
      </c>
      <c r="AE638" s="159">
        <f>IF(E638="","",IF(Summary!$D$26="Included Margin",IF(AND($B638&gt;Input!$C$9,Summary!$D$31&lt;&gt;"Included Margin"),1,1/$R638),1))</f>
        <v>1.2977761876900793</v>
      </c>
      <c r="AF638" s="160">
        <f>IF(E638="","",IF(AND($B638&gt;=Input!$C$9,$C638=12,Summary!$D$31="Included Margin",$U638&gt;0),1/U638-1,IF($B638&gt;=Input!$C$9,0,Input!$C$45*IF(Summary!$D$27="Included Margin",1,0))))</f>
        <v>0</v>
      </c>
      <c r="AG638" s="160">
        <f>IF(E638="","",Input!$C$46*IF(Summary!$D$28="Included Margin",IF(AND($B638&gt;Input!$C$9,Summary!$D$31&lt;&gt;"Included Margin"),0,1),0))</f>
        <v>0.02</v>
      </c>
      <c r="AH638" s="158">
        <f>IF(E638="","",Input!$C$47*IF(Summary!$D$29="Included Margin",IF(AND($B638&gt;Input!$C$9,Summary!$D$31&lt;&gt;"Included Margin"),0,1),0))</f>
        <v>2.5000000000000001E-3</v>
      </c>
      <c r="AI638" s="154"/>
      <c r="AJ638" s="158">
        <f t="shared" si="394"/>
        <v>4.3130000000000002E-2</v>
      </c>
      <c r="AK638" s="155">
        <f t="shared" si="395"/>
        <v>3.5250156986805781E-3</v>
      </c>
      <c r="AL638" s="147">
        <f t="shared" si="396"/>
        <v>1</v>
      </c>
      <c r="AM638" s="147">
        <f t="shared" si="374"/>
        <v>1</v>
      </c>
      <c r="AN638" s="160">
        <f t="shared" si="397"/>
        <v>0</v>
      </c>
      <c r="AO638" s="161">
        <f t="shared" si="398"/>
        <v>0</v>
      </c>
      <c r="AP638" s="156">
        <f t="shared" si="375"/>
        <v>3.1804785236632616</v>
      </c>
      <c r="AQ638" s="152"/>
      <c r="AR638" s="162">
        <f t="shared" si="376"/>
        <v>99824.059311909761</v>
      </c>
      <c r="AS638" s="150">
        <f t="shared" si="399"/>
        <v>0</v>
      </c>
      <c r="AT638" s="163">
        <f t="shared" si="377"/>
        <v>0</v>
      </c>
      <c r="AU638" s="163">
        <f t="shared" si="378"/>
        <v>100000</v>
      </c>
      <c r="AV638" s="163">
        <f t="shared" si="400"/>
        <v>175.63059124647415</v>
      </c>
      <c r="AW638" s="163">
        <f t="shared" si="379"/>
        <v>99824.369408753526</v>
      </c>
      <c r="AX638" s="163">
        <f t="shared" si="380"/>
        <v>0</v>
      </c>
      <c r="AY638" s="165">
        <f t="shared" si="401"/>
        <v>99824.059311909761</v>
      </c>
      <c r="AZ638" s="164">
        <f>IF($E638="","",IF(OR(AND($D638=Input!$C$6,$C638=12),$AN638=1),0,-AS639+AT639+AU639-AV639-AW639-AX639+AZ639))</f>
        <v>99824.369408753526</v>
      </c>
      <c r="BA638" s="154">
        <f t="shared" si="381"/>
        <v>0.31009684376476798</v>
      </c>
      <c r="BC638" s="147">
        <f t="shared" si="402"/>
        <v>1.1355727683114744E-6</v>
      </c>
      <c r="BD638" s="164">
        <f>IF(AND($C637=12,$D637=Input!$C$6),0,IF($E638="","",AT638+(AU638+BD639)/(1+$AK638)*MIN((1-AM638-AN638),1)))</f>
        <v>0</v>
      </c>
      <c r="BE638" s="164">
        <f t="shared" si="382"/>
        <v>0</v>
      </c>
      <c r="BF638" s="164">
        <f t="shared" si="403"/>
        <v>99824.369408753526</v>
      </c>
      <c r="BG638" s="164">
        <f t="shared" si="383"/>
        <v>0.1133578355144455</v>
      </c>
      <c r="BH638" s="152"/>
      <c r="BI638" s="162">
        <f t="shared" si="384"/>
        <v>8189.6809475868722</v>
      </c>
      <c r="BJ638" s="150">
        <f t="shared" si="385"/>
        <v>0</v>
      </c>
      <c r="BK638" s="163">
        <f t="shared" si="407"/>
        <v>0</v>
      </c>
      <c r="BL638" s="163">
        <f t="shared" si="386"/>
        <v>7312.9121200474874</v>
      </c>
      <c r="BM638" s="163">
        <f t="shared" si="408"/>
        <v>17.611880411791461</v>
      </c>
      <c r="BN638" s="163">
        <f t="shared" si="387"/>
        <v>70.567854442788089</v>
      </c>
      <c r="BO638" s="163">
        <f t="shared" si="388"/>
        <v>0</v>
      </c>
      <c r="BP638" s="164">
        <f t="shared" si="409"/>
        <v>964.94856239396438</v>
      </c>
      <c r="BQ638" s="164">
        <f>IF($E638="","",IF(AND($D638=Input!$C$6,$C638=12),0,-BJ639+BK639+BL639-BM639-BN639-BO639+BQ639))</f>
        <v>964.97610369656468</v>
      </c>
      <c r="BR638" s="161">
        <f t="shared" si="389"/>
        <v>0</v>
      </c>
      <c r="BT638" s="147">
        <f t="shared" si="390"/>
        <v>1.1355727683114744E-6</v>
      </c>
      <c r="BU638" s="164">
        <f>IF(AND($C637=12,$D637=Input!$C$6),0,IF($E638="","",BK638+(BL638+BU639)/(1+$AK638)*MIN((1-T638-U638),1)))</f>
        <v>76544.240766945979</v>
      </c>
      <c r="BV638" s="164">
        <f t="shared" si="391"/>
        <v>8.6921555386020866E-2</v>
      </c>
      <c r="BW638" s="164">
        <f t="shared" si="392"/>
        <v>964.97610369656468</v>
      </c>
      <c r="BX638" s="164">
        <f t="shared" si="393"/>
        <v>1.0958005854291284E-3</v>
      </c>
    </row>
    <row r="639" spans="1:76" s="150" customFormat="1" x14ac:dyDescent="0.25">
      <c r="A639" s="150">
        <f t="shared" si="404"/>
        <v>635</v>
      </c>
      <c r="B639" s="150">
        <f t="shared" si="405"/>
        <v>53</v>
      </c>
      <c r="C639" s="150">
        <f t="shared" si="406"/>
        <v>11</v>
      </c>
      <c r="D639" s="150">
        <f>IF(E639="","",Input!$C$4+B639-1)</f>
        <v>97</v>
      </c>
      <c r="E639" s="150">
        <f>IF(OR(AND(C638=12,D638=Input!$C$6),E638=""),"",1)</f>
        <v>1</v>
      </c>
      <c r="F639" s="150">
        <f>IF(E639="","",Input!$C$8+B639-1)</f>
        <v>2070</v>
      </c>
      <c r="G639" s="151">
        <f>IF(E639="","",MAX(0,Input!$C$9-B639))</f>
        <v>0</v>
      </c>
      <c r="H639" s="152">
        <f>IF(E639="","",Input!$C$3)</f>
        <v>100000</v>
      </c>
      <c r="I639" s="153">
        <f>IF(E639="","",HLOOKUP($B639,Input!$C$13:$BT$14,2))</f>
        <v>692.59050000000002</v>
      </c>
      <c r="J639" s="154"/>
      <c r="K639" s="155">
        <f>IF($E639="","",INDEX(Input!$C$16:$CP$16,1,$B639))</f>
        <v>3.2629999999999999E-2</v>
      </c>
      <c r="L639" s="155">
        <f>IF($E639="","",Input!$C$37)</f>
        <v>1.4999999999999999E-2</v>
      </c>
      <c r="M639" s="155">
        <f t="shared" si="410"/>
        <v>4.7629999999999999E-2</v>
      </c>
      <c r="N639" s="155">
        <f t="shared" si="411"/>
        <v>3.885066558270589E-3</v>
      </c>
      <c r="O639" s="147">
        <f>IF($E639="","",MIN(VLOOKUP(IF($B639&lt;=Input!$C$7,$B639,26),'Mortality Tables'!$A$41:$CW$67,IF($B639&lt;=Input!$C$7+1,Input!$C$4+2,$D639-Input!$C$7+2),0)*IF(B639&gt;20,Input!$C$22,1)/1000,1))</f>
        <v>0.7760644000000001</v>
      </c>
      <c r="P639" s="147">
        <f>IF($E639="","",MIN(VLOOKUP(IF($B639&lt;=Input!$C$7,$B639,26),'Mortality Tables'!$A$12:$CW$37,IF($B639&lt;=Input!$C$7+1,Input!$C$4+2,$D639-Input!$C$7+2),0)*IF(B639&gt;20,Input!$C$22,1)/1000,1))</f>
        <v>0.97008050000000001</v>
      </c>
      <c r="Q639" s="155">
        <f>IF($E639="","",Input!$C$21)</f>
        <v>5.0000000000000001E-3</v>
      </c>
      <c r="R639" s="159">
        <f>IF($E639="","",(1-Q639)^($F639-Input!$C$20))</f>
        <v>0.7705488893118827</v>
      </c>
      <c r="S639" s="147">
        <f t="shared" si="372"/>
        <v>0.59799556145449273</v>
      </c>
      <c r="T639" s="147">
        <f t="shared" si="373"/>
        <v>7.3129121200474878E-2</v>
      </c>
      <c r="U639" s="160">
        <f>IF($E639="","",IF($C639=12,INDEX(Input!$C$15:$CP$15,1,$B639),0))</f>
        <v>0</v>
      </c>
      <c r="V639" s="150">
        <f>IF(E639="","",IF(C639=1,IF($B639=1,Input!$C$33,Input!$C$34),0))</f>
        <v>0</v>
      </c>
      <c r="W639" s="156">
        <f>IF($E639="","",Input!$C$35)</f>
        <v>0.02</v>
      </c>
      <c r="X639" s="156">
        <f t="shared" si="412"/>
        <v>2.8003281854481812</v>
      </c>
      <c r="Y639" s="154"/>
      <c r="Z639" s="147">
        <f>IF($E639="","",VLOOKUP($D639,'Mortality Margins &amp; Grading'!$AB$5:$AF$125,3,0)*IF(Summary!$D$25="Included Margin",IF(AND($B639&gt;Input!$C$9,Summary!$D$31&lt;&gt;"Included Margin"),0,1),0))</f>
        <v>1.7000000000000001E-2</v>
      </c>
      <c r="AA639" s="147">
        <f>IF($E639="","",VLOOKUP($D639,'Mortality Margins &amp; Grading'!$AB$5:$AF$125,5,0)*IF(Summary!$D$25="Included Margin",IF(AND($B639&gt;Input!$C$9,Summary!$D$31&lt;&gt;"Included Margin"),0,1),0))</f>
        <v>8.7999999999999995E-2</v>
      </c>
      <c r="AB639" s="147">
        <f>IF($E639="","",IF(AND($B639&gt;Input!$C$9,Summary!$D$31&lt;&gt;"Included Margin"),1,IF(Summary!$D$25="Included Margin",VLOOKUP($B639,'Mortality Margins &amp; Grading'!$AI$5:$AR$125,MATCH('Mortality Margins &amp; Grading'!$AQ$4,'Mortality Margins &amp; Grading'!$AI$4:$AR$4,0),0),1)))</f>
        <v>0</v>
      </c>
      <c r="AC639" s="154"/>
      <c r="AD639" s="158">
        <f>IF(E639="","",Input!$C$48*IF(Summary!$D$30="Included Margin",IF(AND($B639&gt;Input!$C$9,Summary!$D$31&lt;&gt;"Included Margin"),0,1),0))</f>
        <v>-4.4999999999999997E-3</v>
      </c>
      <c r="AE639" s="159">
        <f>IF(E639="","",IF(Summary!$D$26="Included Margin",IF(AND($B639&gt;Input!$C$9,Summary!$D$31&lt;&gt;"Included Margin"),1,1/$R639),1))</f>
        <v>1.2977761876900793</v>
      </c>
      <c r="AF639" s="160">
        <f>IF(E639="","",IF(AND($B639&gt;=Input!$C$9,$C639=12,Summary!$D$31="Included Margin",$U639&gt;0),1/U639-1,IF($B639&gt;=Input!$C$9,0,Input!$C$45*IF(Summary!$D$27="Included Margin",1,0))))</f>
        <v>0</v>
      </c>
      <c r="AG639" s="160">
        <f>IF(E639="","",Input!$C$46*IF(Summary!$D$28="Included Margin",IF(AND($B639&gt;Input!$C$9,Summary!$D$31&lt;&gt;"Included Margin"),0,1),0))</f>
        <v>0.02</v>
      </c>
      <c r="AH639" s="158">
        <f>IF(E639="","",Input!$C$47*IF(Summary!$D$29="Included Margin",IF(AND($B639&gt;Input!$C$9,Summary!$D$31&lt;&gt;"Included Margin"),0,1),0))</f>
        <v>2.5000000000000001E-3</v>
      </c>
      <c r="AI639" s="154"/>
      <c r="AJ639" s="158">
        <f t="shared" si="394"/>
        <v>4.3130000000000002E-2</v>
      </c>
      <c r="AK639" s="155">
        <f t="shared" si="395"/>
        <v>3.5250156986805781E-3</v>
      </c>
      <c r="AL639" s="147">
        <f t="shared" si="396"/>
        <v>1</v>
      </c>
      <c r="AM639" s="147">
        <f t="shared" si="374"/>
        <v>1</v>
      </c>
      <c r="AN639" s="160">
        <f t="shared" si="397"/>
        <v>0</v>
      </c>
      <c r="AO639" s="161">
        <f t="shared" si="398"/>
        <v>0</v>
      </c>
      <c r="AP639" s="156">
        <f t="shared" si="375"/>
        <v>3.1804785236632616</v>
      </c>
      <c r="AQ639" s="152"/>
      <c r="AR639" s="162">
        <f t="shared" si="376"/>
        <v>99824.059311909761</v>
      </c>
      <c r="AS639" s="150">
        <f t="shared" si="399"/>
        <v>0</v>
      </c>
      <c r="AT639" s="163">
        <f t="shared" si="377"/>
        <v>0</v>
      </c>
      <c r="AU639" s="163">
        <f t="shared" si="378"/>
        <v>100000</v>
      </c>
      <c r="AV639" s="163">
        <f t="shared" si="400"/>
        <v>175.63059124647415</v>
      </c>
      <c r="AW639" s="163">
        <f t="shared" si="379"/>
        <v>99824.369408753526</v>
      </c>
      <c r="AX639" s="163">
        <f t="shared" si="380"/>
        <v>0</v>
      </c>
      <c r="AY639" s="164">
        <f t="shared" si="401"/>
        <v>99824.059311909761</v>
      </c>
      <c r="AZ639" s="164">
        <f>IF($E639="","",IF(OR(AND($D639=Input!$C$6,$C639=12),$AN639=1),0,-AS640+AT640+AU640-AV640-AW640-AX640+AZ640))</f>
        <v>99824.369408753526</v>
      </c>
      <c r="BA639" s="154">
        <f t="shared" si="381"/>
        <v>0.31009684376476798</v>
      </c>
      <c r="BC639" s="147">
        <f t="shared" si="402"/>
        <v>1.0525293297056658E-6</v>
      </c>
      <c r="BD639" s="164">
        <f>IF(AND($C638=12,$D638=Input!$C$6),0,IF($E639="","",AT639+(AU639+BD640)/(1+$AK639)*MIN((1-AM639-AN639),1)))</f>
        <v>0</v>
      </c>
      <c r="BE639" s="164">
        <f t="shared" si="382"/>
        <v>0</v>
      </c>
      <c r="BF639" s="164">
        <f t="shared" si="403"/>
        <v>99824.369408753526</v>
      </c>
      <c r="BG639" s="164">
        <f t="shared" si="383"/>
        <v>0.10506807662208612</v>
      </c>
      <c r="BH639" s="152"/>
      <c r="BI639" s="162">
        <f t="shared" si="384"/>
        <v>964.94856239396449</v>
      </c>
      <c r="BJ639" s="150">
        <f t="shared" si="385"/>
        <v>0</v>
      </c>
      <c r="BK639" s="163">
        <f t="shared" si="407"/>
        <v>0</v>
      </c>
      <c r="BL639" s="163">
        <f t="shared" si="386"/>
        <v>7312.9121200474874</v>
      </c>
      <c r="BM639" s="163">
        <f t="shared" si="408"/>
        <v>-10.456685770376012</v>
      </c>
      <c r="BN639" s="163">
        <f t="shared" si="387"/>
        <v>-501.67038493634203</v>
      </c>
      <c r="BO639" s="163">
        <f t="shared" si="388"/>
        <v>0</v>
      </c>
      <c r="BP639" s="164">
        <f t="shared" si="409"/>
        <v>-6860.0906283602408</v>
      </c>
      <c r="BQ639" s="164">
        <f>IF($E639="","",IF(AND($D639=Input!$C$6,$C639=12),0,-BJ640+BK640+BL640-BM640-BN640-BO640+BQ640))</f>
        <v>-6860.0630870576406</v>
      </c>
      <c r="BR639" s="161">
        <f t="shared" si="389"/>
        <v>0</v>
      </c>
      <c r="BT639" s="147">
        <f t="shared" si="390"/>
        <v>1.0525293297056658E-6</v>
      </c>
      <c r="BU639" s="164">
        <f>IF(AND($C638=12,$D638=Input!$C$6),0,IF($E639="","",BK639+(BL639+BU640)/(1+$AK639)*MIN((1-T639-U639),1)))</f>
        <v>75561.695524095921</v>
      </c>
      <c r="BV639" s="164">
        <f t="shared" si="391"/>
        <v>7.953090074140029E-2</v>
      </c>
      <c r="BW639" s="164">
        <f t="shared" si="392"/>
        <v>-6860.0630870576406</v>
      </c>
      <c r="BX639" s="164">
        <f t="shared" si="393"/>
        <v>-7.2204176027593587E-3</v>
      </c>
    </row>
    <row r="640" spans="1:76" s="150" customFormat="1" x14ac:dyDescent="0.25">
      <c r="A640" s="150">
        <f t="shared" si="404"/>
        <v>636</v>
      </c>
      <c r="B640" s="150">
        <f t="shared" si="405"/>
        <v>53</v>
      </c>
      <c r="C640" s="150">
        <f t="shared" si="406"/>
        <v>12</v>
      </c>
      <c r="D640" s="150">
        <f>IF(E640="","",Input!$C$4+B640-1)</f>
        <v>97</v>
      </c>
      <c r="E640" s="150">
        <f>IF(OR(AND(C639=12,D639=Input!$C$6),E639=""),"",1)</f>
        <v>1</v>
      </c>
      <c r="F640" s="150">
        <f>IF(E640="","",Input!$C$8+B640-1)</f>
        <v>2070</v>
      </c>
      <c r="G640" s="151">
        <f>IF(E640="","",MAX(0,Input!$C$9-B640))</f>
        <v>0</v>
      </c>
      <c r="H640" s="152">
        <f>IF(E640="","",Input!$C$3)</f>
        <v>100000</v>
      </c>
      <c r="I640" s="153">
        <f>IF(E640="","",HLOOKUP($B640,Input!$C$13:$BT$14,2))</f>
        <v>692.59050000000002</v>
      </c>
      <c r="J640" s="154"/>
      <c r="K640" s="155">
        <f>IF($E640="","",INDEX(Input!$C$16:$CP$16,1,$B640))</f>
        <v>3.2629999999999999E-2</v>
      </c>
      <c r="L640" s="155">
        <f>IF($E640="","",Input!$C$37)</f>
        <v>1.4999999999999999E-2</v>
      </c>
      <c r="M640" s="155">
        <f t="shared" si="410"/>
        <v>4.7629999999999999E-2</v>
      </c>
      <c r="N640" s="155">
        <f t="shared" si="411"/>
        <v>3.885066558270589E-3</v>
      </c>
      <c r="O640" s="147">
        <f>IF($E640="","",MIN(VLOOKUP(IF($B640&lt;=Input!$C$7,$B640,26),'Mortality Tables'!$A$41:$CW$67,IF($B640&lt;=Input!$C$7+1,Input!$C$4+2,$D640-Input!$C$7+2),0)*IF(B640&gt;20,Input!$C$22,1)/1000,1))</f>
        <v>0.7760644000000001</v>
      </c>
      <c r="P640" s="147">
        <f>IF($E640="","",MIN(VLOOKUP(IF($B640&lt;=Input!$C$7,$B640,26),'Mortality Tables'!$A$12:$CW$37,IF($B640&lt;=Input!$C$7+1,Input!$C$4+2,$D640-Input!$C$7+2),0)*IF(B640&gt;20,Input!$C$22,1)/1000,1))</f>
        <v>0.97008050000000001</v>
      </c>
      <c r="Q640" s="155">
        <f>IF($E640="","",Input!$C$21)</f>
        <v>5.0000000000000001E-3</v>
      </c>
      <c r="R640" s="159">
        <f>IF($E640="","",(1-Q640)^($F640-Input!$C$20))</f>
        <v>0.7705488893118827</v>
      </c>
      <c r="S640" s="147">
        <f t="shared" si="372"/>
        <v>0.59799556145449273</v>
      </c>
      <c r="T640" s="147">
        <f t="shared" si="373"/>
        <v>7.3129121200474878E-2</v>
      </c>
      <c r="U640" s="160">
        <f>IF($E640="","",IF($C640=12,INDEX(Input!$C$15:$CP$15,1,$B640),0))</f>
        <v>0.1</v>
      </c>
      <c r="V640" s="150">
        <f>IF(E640="","",IF(C640=1,IF($B640=1,Input!$C$33,Input!$C$34),0))</f>
        <v>0</v>
      </c>
      <c r="W640" s="156">
        <f>IF($E640="","",Input!$C$35)</f>
        <v>0.02</v>
      </c>
      <c r="X640" s="156">
        <f t="shared" si="412"/>
        <v>2.8003281854481812</v>
      </c>
      <c r="Y640" s="154"/>
      <c r="Z640" s="147">
        <f>IF($E640="","",VLOOKUP($D640,'Mortality Margins &amp; Grading'!$AB$5:$AF$125,3,0)*IF(Summary!$D$25="Included Margin",IF(AND($B640&gt;Input!$C$9,Summary!$D$31&lt;&gt;"Included Margin"),0,1),0))</f>
        <v>1.7000000000000001E-2</v>
      </c>
      <c r="AA640" s="147">
        <f>IF($E640="","",VLOOKUP($D640,'Mortality Margins &amp; Grading'!$AB$5:$AF$125,5,0)*IF(Summary!$D$25="Included Margin",IF(AND($B640&gt;Input!$C$9,Summary!$D$31&lt;&gt;"Included Margin"),0,1),0))</f>
        <v>8.7999999999999995E-2</v>
      </c>
      <c r="AB640" s="147">
        <f>IF($E640="","",IF(AND($B640&gt;Input!$C$9,Summary!$D$31&lt;&gt;"Included Margin"),1,IF(Summary!$D$25="Included Margin",VLOOKUP($B640,'Mortality Margins &amp; Grading'!$AI$5:$AR$125,MATCH('Mortality Margins &amp; Grading'!$AQ$4,'Mortality Margins &amp; Grading'!$AI$4:$AR$4,0),0),1)))</f>
        <v>0</v>
      </c>
      <c r="AC640" s="154"/>
      <c r="AD640" s="158">
        <f>IF(E640="","",Input!$C$48*IF(Summary!$D$30="Included Margin",IF(AND($B640&gt;Input!$C$9,Summary!$D$31&lt;&gt;"Included Margin"),0,1),0))</f>
        <v>-4.4999999999999997E-3</v>
      </c>
      <c r="AE640" s="159">
        <f>IF(E640="","",IF(Summary!$D$26="Included Margin",IF(AND($B640&gt;Input!$C$9,Summary!$D$31&lt;&gt;"Included Margin"),1,1/$R640),1))</f>
        <v>1.2977761876900793</v>
      </c>
      <c r="AF640" s="160">
        <f>IF(E640="","",IF(AND($B640&gt;=Input!$C$9,$C640=12,Summary!$D$31="Included Margin",$U640&gt;0),1/U640-1,IF($B640&gt;=Input!$C$9,0,Input!$C$45*IF(Summary!$D$27="Included Margin",1,0))))</f>
        <v>9</v>
      </c>
      <c r="AG640" s="160">
        <f>IF(E640="","",Input!$C$46*IF(Summary!$D$28="Included Margin",IF(AND($B640&gt;Input!$C$9,Summary!$D$31&lt;&gt;"Included Margin"),0,1),0))</f>
        <v>0.02</v>
      </c>
      <c r="AH640" s="158">
        <f>IF(E640="","",Input!$C$47*IF(Summary!$D$29="Included Margin",IF(AND($B640&gt;Input!$C$9,Summary!$D$31&lt;&gt;"Included Margin"),0,1),0))</f>
        <v>2.5000000000000001E-3</v>
      </c>
      <c r="AI640" s="154"/>
      <c r="AJ640" s="158">
        <f t="shared" si="394"/>
        <v>4.3130000000000002E-2</v>
      </c>
      <c r="AK640" s="155">
        <f t="shared" si="395"/>
        <v>3.5250156986805781E-3</v>
      </c>
      <c r="AL640" s="147">
        <f t="shared" si="396"/>
        <v>1</v>
      </c>
      <c r="AM640" s="147">
        <f t="shared" si="374"/>
        <v>1</v>
      </c>
      <c r="AN640" s="160">
        <f t="shared" si="397"/>
        <v>1</v>
      </c>
      <c r="AO640" s="161">
        <f t="shared" si="398"/>
        <v>0</v>
      </c>
      <c r="AP640" s="156">
        <f t="shared" si="375"/>
        <v>3.1804785236632616</v>
      </c>
      <c r="AQ640" s="152"/>
      <c r="AR640" s="162">
        <f t="shared" si="376"/>
        <v>99824.059311909761</v>
      </c>
      <c r="AS640" s="150">
        <f t="shared" si="399"/>
        <v>0</v>
      </c>
      <c r="AT640" s="163">
        <f t="shared" si="377"/>
        <v>0</v>
      </c>
      <c r="AU640" s="163">
        <f t="shared" si="378"/>
        <v>100000</v>
      </c>
      <c r="AV640" s="163">
        <f t="shared" si="400"/>
        <v>175.63059124647415</v>
      </c>
      <c r="AW640" s="163">
        <f t="shared" si="379"/>
        <v>0</v>
      </c>
      <c r="AX640" s="163">
        <f t="shared" si="380"/>
        <v>0</v>
      </c>
      <c r="AY640" s="165">
        <f t="shared" si="401"/>
        <v>-0.31009684376468272</v>
      </c>
      <c r="AZ640" s="164">
        <f>IF($E640="","",IF(OR(AND($D640=Input!$C$6,$C640=12),$AN640=1),0,-AS641+AT641+AU641-AV641-AW641-AX641+AZ641))</f>
        <v>0</v>
      </c>
      <c r="BA640" s="154">
        <f t="shared" si="381"/>
        <v>0.31009684376468272</v>
      </c>
      <c r="BC640" s="147">
        <f t="shared" si="402"/>
        <v>8.7030585181599904E-7</v>
      </c>
      <c r="BD640" s="164">
        <f>IF(AND($C639=12,$D639=Input!$C$6),0,IF($E640="","",AT640+(AU640+BD641)/(1+$AK640)*MIN((1-AM640-AN640),1)))</f>
        <v>-99814.008058458436</v>
      </c>
      <c r="BE640" s="164">
        <f t="shared" si="382"/>
        <v>-8.6868715306485655E-2</v>
      </c>
      <c r="BF640" s="164">
        <f t="shared" si="403"/>
        <v>0</v>
      </c>
      <c r="BG640" s="164">
        <f t="shared" si="383"/>
        <v>0</v>
      </c>
      <c r="BH640" s="152"/>
      <c r="BI640" s="162">
        <f t="shared" si="384"/>
        <v>-6860.0906283602417</v>
      </c>
      <c r="BJ640" s="150">
        <f t="shared" si="385"/>
        <v>0</v>
      </c>
      <c r="BK640" s="163">
        <f t="shared" si="407"/>
        <v>0</v>
      </c>
      <c r="BL640" s="163">
        <f t="shared" si="386"/>
        <v>7312.9121200474874</v>
      </c>
      <c r="BM640" s="163">
        <f t="shared" si="408"/>
        <v>-40.857483847531931</v>
      </c>
      <c r="BN640" s="163">
        <f t="shared" si="387"/>
        <v>-1246.0624443854324</v>
      </c>
      <c r="BO640" s="163">
        <f t="shared" si="388"/>
        <v>-1579.3147434391847</v>
      </c>
      <c r="BP640" s="164">
        <f t="shared" si="409"/>
        <v>-17039.237420079877</v>
      </c>
      <c r="BQ640" s="164">
        <f>IF($E640="","",IF(AND($D640=Input!$C$6,$C640=12),0,-BJ641+BK641+BL641-BM641-BN641-BO641+BQ641))</f>
        <v>-17039.209878777277</v>
      </c>
      <c r="BR640" s="161">
        <f t="shared" si="389"/>
        <v>0</v>
      </c>
      <c r="BT640" s="147">
        <f t="shared" si="390"/>
        <v>8.7030585181599904E-7</v>
      </c>
      <c r="BU640" s="164">
        <f>IF(AND($C639=12,$D639=Input!$C$6),0,IF($E640="","",BK640+(BL640+BU641)/(1+$AK640)*MIN((1-T640-U640),1)))</f>
        <v>74497.891759398044</v>
      </c>
      <c r="BV640" s="164">
        <f t="shared" si="391"/>
        <v>6.4835951146159004E-2</v>
      </c>
      <c r="BW640" s="164">
        <f t="shared" si="392"/>
        <v>-17039.209878777277</v>
      </c>
      <c r="BX640" s="164">
        <f t="shared" si="393"/>
        <v>-1.4829324067820844E-2</v>
      </c>
    </row>
    <row r="641" spans="1:76" s="150" customFormat="1" x14ac:dyDescent="0.25">
      <c r="A641" s="150">
        <f t="shared" si="404"/>
        <v>637</v>
      </c>
      <c r="B641" s="150">
        <f t="shared" si="405"/>
        <v>54</v>
      </c>
      <c r="C641" s="150">
        <f t="shared" si="406"/>
        <v>1</v>
      </c>
      <c r="D641" s="150">
        <f>IF(E641="","",Input!$C$4+B641-1)</f>
        <v>98</v>
      </c>
      <c r="E641" s="150">
        <f>IF(OR(AND(C640=12,D640=Input!$C$6),E640=""),"",1)</f>
        <v>1</v>
      </c>
      <c r="F641" s="150">
        <f>IF(E641="","",Input!$C$8+B641-1)</f>
        <v>2071</v>
      </c>
      <c r="G641" s="151">
        <f>IF(E641="","",MAX(0,Input!$C$9-B641))</f>
        <v>0</v>
      </c>
      <c r="H641" s="152">
        <f>IF(E641="","",Input!$C$3)</f>
        <v>100000</v>
      </c>
      <c r="I641" s="153">
        <f>IF(E641="","",HLOOKUP($B641,Input!$C$13:$BT$14,2))</f>
        <v>746.53949999999998</v>
      </c>
      <c r="J641" s="154"/>
      <c r="K641" s="155">
        <f>IF($E641="","",INDEX(Input!$C$16:$CP$16,1,$B641))</f>
        <v>3.2680000000000001E-2</v>
      </c>
      <c r="L641" s="155">
        <f>IF($E641="","",Input!$C$37)</f>
        <v>1.4999999999999999E-2</v>
      </c>
      <c r="M641" s="155">
        <f t="shared" si="410"/>
        <v>4.768E-2</v>
      </c>
      <c r="N641" s="155">
        <f t="shared" si="411"/>
        <v>3.8890591538889296E-3</v>
      </c>
      <c r="O641" s="147">
        <f>IF($E641="","",MIN(VLOOKUP(IF($B641&lt;=Input!$C$7,$B641,26),'Mortality Tables'!$A$41:$CW$67,IF($B641&lt;=Input!$C$7+1,Input!$C$4+2,$D641-Input!$C$7+2),0)*IF(B641&gt;20,Input!$C$22,1)/1000,1))</f>
        <v>0.83724200000000004</v>
      </c>
      <c r="P641" s="147">
        <f>IF($E641="","",MIN(VLOOKUP(IF($B641&lt;=Input!$C$7,$B641,26),'Mortality Tables'!$A$12:$CW$37,IF($B641&lt;=Input!$C$7+1,Input!$C$4+2,$D641-Input!$C$7+2),0)*IF(B641&gt;20,Input!$C$22,1)/1000,1))</f>
        <v>1</v>
      </c>
      <c r="Q641" s="155">
        <f>IF($E641="","",Input!$C$21)</f>
        <v>5.0000000000000001E-3</v>
      </c>
      <c r="R641" s="159">
        <f>IF($E641="","",(1-Q641)^($F641-Input!$C$20))</f>
        <v>0.76669614486532323</v>
      </c>
      <c r="S641" s="147">
        <f t="shared" si="372"/>
        <v>0.64191021371933299</v>
      </c>
      <c r="T641" s="147">
        <f t="shared" si="373"/>
        <v>8.2021179853197457E-2</v>
      </c>
      <c r="U641" s="160">
        <f>IF($E641="","",IF($C641=12,INDEX(Input!$C$15:$CP$15,1,$B641),0))</f>
        <v>0</v>
      </c>
      <c r="V641" s="150">
        <f>IF(E641="","",IF(C641=1,IF($B641=1,Input!$C$33,Input!$C$34),0))</f>
        <v>50</v>
      </c>
      <c r="W641" s="156">
        <f>IF($E641="","",Input!$C$35)</f>
        <v>0.02</v>
      </c>
      <c r="X641" s="156">
        <f t="shared" si="412"/>
        <v>2.8563347491571447</v>
      </c>
      <c r="Y641" s="154"/>
      <c r="Z641" s="147">
        <f>IF($E641="","",VLOOKUP($D641,'Mortality Margins &amp; Grading'!$AB$5:$AF$125,3,0)*IF(Summary!$D$25="Included Margin",IF(AND($B641&gt;Input!$C$9,Summary!$D$31&lt;&gt;"Included Margin"),0,1),0))</f>
        <v>1.6E-2</v>
      </c>
      <c r="AA641" s="147">
        <f>IF($E641="","",VLOOKUP($D641,'Mortality Margins &amp; Grading'!$AB$5:$AF$125,5,0)*IF(Summary!$D$25="Included Margin",IF(AND($B641&gt;Input!$C$9,Summary!$D$31&lt;&gt;"Included Margin"),0,1),0))</f>
        <v>8.1000000000000003E-2</v>
      </c>
      <c r="AB641" s="147">
        <f>IF($E641="","",IF(AND($B641&gt;Input!$C$9,Summary!$D$31&lt;&gt;"Included Margin"),1,IF(Summary!$D$25="Included Margin",VLOOKUP($B641,'Mortality Margins &amp; Grading'!$AI$5:$AR$125,MATCH('Mortality Margins &amp; Grading'!$AQ$4,'Mortality Margins &amp; Grading'!$AI$4:$AR$4,0),0),1)))</f>
        <v>0</v>
      </c>
      <c r="AC641" s="154"/>
      <c r="AD641" s="158">
        <f>IF(E641="","",Input!$C$48*IF(Summary!$D$30="Included Margin",IF(AND($B641&gt;Input!$C$9,Summary!$D$31&lt;&gt;"Included Margin"),0,1),0))</f>
        <v>-4.4999999999999997E-3</v>
      </c>
      <c r="AE641" s="159">
        <f>IF(E641="","",IF(Summary!$D$26="Included Margin",IF(AND($B641&gt;Input!$C$9,Summary!$D$31&lt;&gt;"Included Margin"),1,1/$R641),1))</f>
        <v>1.3042976760704315</v>
      </c>
      <c r="AF641" s="160">
        <f>IF(E641="","",IF(AND($B641&gt;=Input!$C$9,$C641=12,Summary!$D$31="Included Margin",$U641&gt;0),1/U641-1,IF($B641&gt;=Input!$C$9,0,Input!$C$45*IF(Summary!$D$27="Included Margin",1,0))))</f>
        <v>0</v>
      </c>
      <c r="AG641" s="160">
        <f>IF(E641="","",Input!$C$46*IF(Summary!$D$28="Included Margin",IF(AND($B641&gt;Input!$C$9,Summary!$D$31&lt;&gt;"Included Margin"),0,1),0))</f>
        <v>0.02</v>
      </c>
      <c r="AH641" s="158">
        <f>IF(E641="","",Input!$C$47*IF(Summary!$D$29="Included Margin",IF(AND($B641&gt;Input!$C$9,Summary!$D$31&lt;&gt;"Included Margin"),0,1),0))</f>
        <v>2.5000000000000001E-3</v>
      </c>
      <c r="AI641" s="154"/>
      <c r="AJ641" s="158">
        <f t="shared" si="394"/>
        <v>4.3180000000000003E-2</v>
      </c>
      <c r="AK641" s="155">
        <f t="shared" si="395"/>
        <v>3.5290240795862182E-3</v>
      </c>
      <c r="AL641" s="147">
        <f t="shared" si="396"/>
        <v>1</v>
      </c>
      <c r="AM641" s="147">
        <f t="shared" si="374"/>
        <v>1</v>
      </c>
      <c r="AN641" s="160">
        <f t="shared" si="397"/>
        <v>0</v>
      </c>
      <c r="AO641" s="161">
        <f t="shared" si="398"/>
        <v>51</v>
      </c>
      <c r="AP641" s="156">
        <f t="shared" si="375"/>
        <v>3.2520392904456847</v>
      </c>
      <c r="AQ641" s="152"/>
      <c r="AR641" s="162">
        <f t="shared" si="376"/>
        <v>25335.763601693649</v>
      </c>
      <c r="AS641" s="150">
        <f t="shared" si="399"/>
        <v>74653.95</v>
      </c>
      <c r="AT641" s="163">
        <f t="shared" si="377"/>
        <v>165.85400381272993</v>
      </c>
      <c r="AU641" s="163">
        <f t="shared" si="378"/>
        <v>100000</v>
      </c>
      <c r="AV641" s="163">
        <f t="shared" si="400"/>
        <v>175.82960025884466</v>
      </c>
      <c r="AW641" s="163">
        <f t="shared" si="379"/>
        <v>99824.170399741153</v>
      </c>
      <c r="AX641" s="163">
        <f t="shared" si="380"/>
        <v>0</v>
      </c>
      <c r="AY641" s="164">
        <f t="shared" si="401"/>
        <v>99823.859597880917</v>
      </c>
      <c r="AZ641" s="164">
        <f>IF($E641="","",IF(OR(AND($D641=Input!$C$6,$C641=12),$AN641=1),0,-AS642+AT642+AU642-AV642-AW642-AX642+AZ642))</f>
        <v>99824.170399741153</v>
      </c>
      <c r="BA641" s="154">
        <f t="shared" si="381"/>
        <v>0.31080186023609713</v>
      </c>
      <c r="BC641" s="147">
        <f t="shared" si="402"/>
        <v>7.9892233901690881E-7</v>
      </c>
      <c r="BD641" s="164">
        <f>IF(AND($C640=12,$D640=Input!$C$6),0,IF($E641="","",AT641+(AU641+BD642)/(1+$AK641)*MIN((1-AM641-AN641),1)))</f>
        <v>165.85400381272993</v>
      </c>
      <c r="BE641" s="164">
        <f t="shared" si="382"/>
        <v>1.325044686613855E-4</v>
      </c>
      <c r="BF641" s="164">
        <f t="shared" si="403"/>
        <v>99824.170399741153</v>
      </c>
      <c r="BG641" s="164">
        <f t="shared" si="383"/>
        <v>7.9751759706183672E-2</v>
      </c>
      <c r="BH641" s="152"/>
      <c r="BI641" s="162">
        <f t="shared" si="384"/>
        <v>-17039.24083239683</v>
      </c>
      <c r="BJ641" s="150">
        <f t="shared" si="385"/>
        <v>74653.95</v>
      </c>
      <c r="BK641" s="163">
        <f t="shared" si="407"/>
        <v>142.81673745785724</v>
      </c>
      <c r="BL641" s="163">
        <f t="shared" si="386"/>
        <v>8202.1179853197464</v>
      </c>
      <c r="BM641" s="163">
        <f t="shared" si="408"/>
        <v>207.56232833073415</v>
      </c>
      <c r="BN641" s="163">
        <f t="shared" si="387"/>
        <v>4420.7905323258829</v>
      </c>
      <c r="BO641" s="163">
        <f t="shared" si="388"/>
        <v>0</v>
      </c>
      <c r="BP641" s="164">
        <f t="shared" si="409"/>
        <v>53898.127305482187</v>
      </c>
      <c r="BQ641" s="164">
        <f>IF($E641="","",IF(AND($D641=Input!$C$6,$C641=12),0,-BJ642+BK642+BL642-BM642-BN642-BO642+BQ642))</f>
        <v>53898.158259101729</v>
      </c>
      <c r="BR641" s="161">
        <f t="shared" si="389"/>
        <v>0</v>
      </c>
      <c r="BT641" s="147">
        <f t="shared" si="390"/>
        <v>7.9892233901690881E-7</v>
      </c>
      <c r="BU641" s="164">
        <f>IF(AND($C640=12,$D640=Input!$C$6),0,IF($E641="","",BK641+(BL641+BU642)/(1+$AK641)*MIN((1-T641-U641),1)))</f>
        <v>83100.839185244535</v>
      </c>
      <c r="BV641" s="164">
        <f t="shared" si="391"/>
        <v>6.6391116816143556E-2</v>
      </c>
      <c r="BW641" s="164">
        <f t="shared" si="392"/>
        <v>53898.158259101729</v>
      </c>
      <c r="BX641" s="164">
        <f t="shared" si="393"/>
        <v>4.3060442665065077E-2</v>
      </c>
    </row>
    <row r="642" spans="1:76" s="150" customFormat="1" x14ac:dyDescent="0.25">
      <c r="A642" s="150">
        <f t="shared" si="404"/>
        <v>638</v>
      </c>
      <c r="B642" s="150">
        <f t="shared" si="405"/>
        <v>54</v>
      </c>
      <c r="C642" s="150">
        <f t="shared" si="406"/>
        <v>2</v>
      </c>
      <c r="D642" s="150">
        <f>IF(E642="","",Input!$C$4+B642-1)</f>
        <v>98</v>
      </c>
      <c r="E642" s="150">
        <f>IF(OR(AND(C641=12,D641=Input!$C$6),E641=""),"",1)</f>
        <v>1</v>
      </c>
      <c r="F642" s="150">
        <f>IF(E642="","",Input!$C$8+B642-1)</f>
        <v>2071</v>
      </c>
      <c r="G642" s="151">
        <f>IF(E642="","",MAX(0,Input!$C$9-B642))</f>
        <v>0</v>
      </c>
      <c r="H642" s="152">
        <f>IF(E642="","",Input!$C$3)</f>
        <v>100000</v>
      </c>
      <c r="I642" s="153">
        <f>IF(E642="","",HLOOKUP($B642,Input!$C$13:$BT$14,2))</f>
        <v>746.53949999999998</v>
      </c>
      <c r="J642" s="154"/>
      <c r="K642" s="155">
        <f>IF($E642="","",INDEX(Input!$C$16:$CP$16,1,$B642))</f>
        <v>3.2680000000000001E-2</v>
      </c>
      <c r="L642" s="155">
        <f>IF($E642="","",Input!$C$37)</f>
        <v>1.4999999999999999E-2</v>
      </c>
      <c r="M642" s="155">
        <f t="shared" si="410"/>
        <v>4.768E-2</v>
      </c>
      <c r="N642" s="155">
        <f t="shared" si="411"/>
        <v>3.8890591538889296E-3</v>
      </c>
      <c r="O642" s="147">
        <f>IF($E642="","",MIN(VLOOKUP(IF($B642&lt;=Input!$C$7,$B642,26),'Mortality Tables'!$A$41:$CW$67,IF($B642&lt;=Input!$C$7+1,Input!$C$4+2,$D642-Input!$C$7+2),0)*IF(B642&gt;20,Input!$C$22,1)/1000,1))</f>
        <v>0.83724200000000004</v>
      </c>
      <c r="P642" s="147">
        <f>IF($E642="","",MIN(VLOOKUP(IF($B642&lt;=Input!$C$7,$B642,26),'Mortality Tables'!$A$12:$CW$37,IF($B642&lt;=Input!$C$7+1,Input!$C$4+2,$D642-Input!$C$7+2),0)*IF(B642&gt;20,Input!$C$22,1)/1000,1))</f>
        <v>1</v>
      </c>
      <c r="Q642" s="155">
        <f>IF($E642="","",Input!$C$21)</f>
        <v>5.0000000000000001E-3</v>
      </c>
      <c r="R642" s="159">
        <f>IF($E642="","",(1-Q642)^($F642-Input!$C$20))</f>
        <v>0.76669614486532323</v>
      </c>
      <c r="S642" s="147">
        <f t="shared" si="372"/>
        <v>0.64191021371933299</v>
      </c>
      <c r="T642" s="147">
        <f t="shared" si="373"/>
        <v>8.2021179853197457E-2</v>
      </c>
      <c r="U642" s="160">
        <f>IF($E642="","",IF($C642=12,INDEX(Input!$C$15:$CP$15,1,$B642),0))</f>
        <v>0</v>
      </c>
      <c r="V642" s="150">
        <f>IF(E642="","",IF(C642=1,IF($B642=1,Input!$C$33,Input!$C$34),0))</f>
        <v>0</v>
      </c>
      <c r="W642" s="156">
        <f>IF($E642="","",Input!$C$35)</f>
        <v>0.02</v>
      </c>
      <c r="X642" s="156">
        <f t="shared" si="412"/>
        <v>2.8563347491571447</v>
      </c>
      <c r="Y642" s="154"/>
      <c r="Z642" s="147">
        <f>IF($E642="","",VLOOKUP($D642,'Mortality Margins &amp; Grading'!$AB$5:$AF$125,3,0)*IF(Summary!$D$25="Included Margin",IF(AND($B642&gt;Input!$C$9,Summary!$D$31&lt;&gt;"Included Margin"),0,1),0))</f>
        <v>1.6E-2</v>
      </c>
      <c r="AA642" s="147">
        <f>IF($E642="","",VLOOKUP($D642,'Mortality Margins &amp; Grading'!$AB$5:$AF$125,5,0)*IF(Summary!$D$25="Included Margin",IF(AND($B642&gt;Input!$C$9,Summary!$D$31&lt;&gt;"Included Margin"),0,1),0))</f>
        <v>8.1000000000000003E-2</v>
      </c>
      <c r="AB642" s="147">
        <f>IF($E642="","",IF(AND($B642&gt;Input!$C$9,Summary!$D$31&lt;&gt;"Included Margin"),1,IF(Summary!$D$25="Included Margin",VLOOKUP($B642,'Mortality Margins &amp; Grading'!$AI$5:$AR$125,MATCH('Mortality Margins &amp; Grading'!$AQ$4,'Mortality Margins &amp; Grading'!$AI$4:$AR$4,0),0),1)))</f>
        <v>0</v>
      </c>
      <c r="AC642" s="154"/>
      <c r="AD642" s="158">
        <f>IF(E642="","",Input!$C$48*IF(Summary!$D$30="Included Margin",IF(AND($B642&gt;Input!$C$9,Summary!$D$31&lt;&gt;"Included Margin"),0,1),0))</f>
        <v>-4.4999999999999997E-3</v>
      </c>
      <c r="AE642" s="159">
        <f>IF(E642="","",IF(Summary!$D$26="Included Margin",IF(AND($B642&gt;Input!$C$9,Summary!$D$31&lt;&gt;"Included Margin"),1,1/$R642),1))</f>
        <v>1.3042976760704315</v>
      </c>
      <c r="AF642" s="160">
        <f>IF(E642="","",IF(AND($B642&gt;=Input!$C$9,$C642=12,Summary!$D$31="Included Margin",$U642&gt;0),1/U642-1,IF($B642&gt;=Input!$C$9,0,Input!$C$45*IF(Summary!$D$27="Included Margin",1,0))))</f>
        <v>0</v>
      </c>
      <c r="AG642" s="160">
        <f>IF(E642="","",Input!$C$46*IF(Summary!$D$28="Included Margin",IF(AND($B642&gt;Input!$C$9,Summary!$D$31&lt;&gt;"Included Margin"),0,1),0))</f>
        <v>0.02</v>
      </c>
      <c r="AH642" s="158">
        <f>IF(E642="","",Input!$C$47*IF(Summary!$D$29="Included Margin",IF(AND($B642&gt;Input!$C$9,Summary!$D$31&lt;&gt;"Included Margin"),0,1),0))</f>
        <v>2.5000000000000001E-3</v>
      </c>
      <c r="AI642" s="154"/>
      <c r="AJ642" s="158">
        <f t="shared" si="394"/>
        <v>4.3180000000000003E-2</v>
      </c>
      <c r="AK642" s="155">
        <f t="shared" si="395"/>
        <v>3.5290240795862182E-3</v>
      </c>
      <c r="AL642" s="147">
        <f t="shared" si="396"/>
        <v>1</v>
      </c>
      <c r="AM642" s="147">
        <f t="shared" si="374"/>
        <v>1</v>
      </c>
      <c r="AN642" s="160">
        <f t="shared" si="397"/>
        <v>0</v>
      </c>
      <c r="AO642" s="161">
        <f t="shared" si="398"/>
        <v>0</v>
      </c>
      <c r="AP642" s="156">
        <f t="shared" si="375"/>
        <v>3.2520392904456847</v>
      </c>
      <c r="AQ642" s="152"/>
      <c r="AR642" s="162">
        <f t="shared" si="376"/>
        <v>99823.859597880917</v>
      </c>
      <c r="AS642" s="150">
        <f t="shared" si="399"/>
        <v>0</v>
      </c>
      <c r="AT642" s="163">
        <f t="shared" si="377"/>
        <v>0</v>
      </c>
      <c r="AU642" s="163">
        <f t="shared" si="378"/>
        <v>100000</v>
      </c>
      <c r="AV642" s="163">
        <f t="shared" si="400"/>
        <v>175.82960025884466</v>
      </c>
      <c r="AW642" s="163">
        <f t="shared" si="379"/>
        <v>99824.170399741153</v>
      </c>
      <c r="AX642" s="163">
        <f t="shared" si="380"/>
        <v>0</v>
      </c>
      <c r="AY642" s="165">
        <f t="shared" si="401"/>
        <v>99823.859597880917</v>
      </c>
      <c r="AZ642" s="164">
        <f>IF($E642="","",IF(OR(AND($D642=Input!$C$6,$C642=12),$AN642=1),0,-AS643+AT643+AU643-AV643-AW643-AX643+AZ643))</f>
        <v>99824.170399741153</v>
      </c>
      <c r="BA642" s="154">
        <f t="shared" si="381"/>
        <v>0.31080186023609713</v>
      </c>
      <c r="BC642" s="147">
        <f t="shared" si="402"/>
        <v>7.3339378615966576E-7</v>
      </c>
      <c r="BD642" s="164">
        <f>IF(AND($C641=12,$D641=Input!$C$6),0,IF($E642="","",AT642+(AU642+BD643)/(1+$AK642)*MIN((1-AM642-AN642),1)))</f>
        <v>0</v>
      </c>
      <c r="BE642" s="164">
        <f t="shared" si="382"/>
        <v>0</v>
      </c>
      <c r="BF642" s="164">
        <f t="shared" si="403"/>
        <v>99824.170399741153</v>
      </c>
      <c r="BG642" s="164">
        <f t="shared" si="383"/>
        <v>7.3210426279713803E-2</v>
      </c>
      <c r="BH642" s="152"/>
      <c r="BI642" s="162">
        <f t="shared" si="384"/>
        <v>53898.12730548218</v>
      </c>
      <c r="BJ642" s="150">
        <f t="shared" si="385"/>
        <v>0</v>
      </c>
      <c r="BK642" s="163">
        <f t="shared" si="407"/>
        <v>0</v>
      </c>
      <c r="BL642" s="163">
        <f t="shared" si="386"/>
        <v>8202.1179853197464</v>
      </c>
      <c r="BM642" s="163">
        <f t="shared" si="408"/>
        <v>193.66374435881394</v>
      </c>
      <c r="BN642" s="163">
        <f t="shared" si="387"/>
        <v>4100.233669966372</v>
      </c>
      <c r="BO642" s="163">
        <f t="shared" si="388"/>
        <v>0</v>
      </c>
      <c r="BP642" s="164">
        <f t="shared" si="409"/>
        <v>49989.906734487617</v>
      </c>
      <c r="BQ642" s="164">
        <f>IF($E642="","",IF(AND($D642=Input!$C$6,$C642=12),0,-BJ643+BK643+BL643-BM643-BN643-BO643+BQ643))</f>
        <v>49989.937688107166</v>
      </c>
      <c r="BR642" s="161">
        <f t="shared" si="389"/>
        <v>0</v>
      </c>
      <c r="BT642" s="147">
        <f t="shared" si="390"/>
        <v>7.3339378615966576E-7</v>
      </c>
      <c r="BU642" s="164">
        <f>IF(AND($C641=12,$D641=Input!$C$6),0,IF($E642="","",BK642+(BL642+BU643)/(1+$AK642)*MIN((1-T642-U642),1)))</f>
        <v>82487.102157347996</v>
      </c>
      <c r="BV642" s="164">
        <f t="shared" si="391"/>
        <v>6.0495528160516579E-2</v>
      </c>
      <c r="BW642" s="164">
        <f t="shared" si="392"/>
        <v>49989.937688107166</v>
      </c>
      <c r="BX642" s="164">
        <f t="shared" si="393"/>
        <v>3.6662309670966682E-2</v>
      </c>
    </row>
    <row r="643" spans="1:76" s="150" customFormat="1" x14ac:dyDescent="0.25">
      <c r="A643" s="150">
        <f t="shared" si="404"/>
        <v>639</v>
      </c>
      <c r="B643" s="150">
        <f t="shared" si="405"/>
        <v>54</v>
      </c>
      <c r="C643" s="150">
        <f t="shared" si="406"/>
        <v>3</v>
      </c>
      <c r="D643" s="150">
        <f>IF(E643="","",Input!$C$4+B643-1)</f>
        <v>98</v>
      </c>
      <c r="E643" s="150">
        <f>IF(OR(AND(C642=12,D642=Input!$C$6),E642=""),"",1)</f>
        <v>1</v>
      </c>
      <c r="F643" s="150">
        <f>IF(E643="","",Input!$C$8+B643-1)</f>
        <v>2071</v>
      </c>
      <c r="G643" s="151">
        <f>IF(E643="","",MAX(0,Input!$C$9-B643))</f>
        <v>0</v>
      </c>
      <c r="H643" s="152">
        <f>IF(E643="","",Input!$C$3)</f>
        <v>100000</v>
      </c>
      <c r="I643" s="153">
        <f>IF(E643="","",HLOOKUP($B643,Input!$C$13:$BT$14,2))</f>
        <v>746.53949999999998</v>
      </c>
      <c r="J643" s="154"/>
      <c r="K643" s="155">
        <f>IF($E643="","",INDEX(Input!$C$16:$CP$16,1,$B643))</f>
        <v>3.2680000000000001E-2</v>
      </c>
      <c r="L643" s="155">
        <f>IF($E643="","",Input!$C$37)</f>
        <v>1.4999999999999999E-2</v>
      </c>
      <c r="M643" s="155">
        <f t="shared" si="410"/>
        <v>4.768E-2</v>
      </c>
      <c r="N643" s="155">
        <f t="shared" si="411"/>
        <v>3.8890591538889296E-3</v>
      </c>
      <c r="O643" s="147">
        <f>IF($E643="","",MIN(VLOOKUP(IF($B643&lt;=Input!$C$7,$B643,26),'Mortality Tables'!$A$41:$CW$67,IF($B643&lt;=Input!$C$7+1,Input!$C$4+2,$D643-Input!$C$7+2),0)*IF(B643&gt;20,Input!$C$22,1)/1000,1))</f>
        <v>0.83724200000000004</v>
      </c>
      <c r="P643" s="147">
        <f>IF($E643="","",MIN(VLOOKUP(IF($B643&lt;=Input!$C$7,$B643,26),'Mortality Tables'!$A$12:$CW$37,IF($B643&lt;=Input!$C$7+1,Input!$C$4+2,$D643-Input!$C$7+2),0)*IF(B643&gt;20,Input!$C$22,1)/1000,1))</f>
        <v>1</v>
      </c>
      <c r="Q643" s="155">
        <f>IF($E643="","",Input!$C$21)</f>
        <v>5.0000000000000001E-3</v>
      </c>
      <c r="R643" s="159">
        <f>IF($E643="","",(1-Q643)^($F643-Input!$C$20))</f>
        <v>0.76669614486532323</v>
      </c>
      <c r="S643" s="147">
        <f t="shared" si="372"/>
        <v>0.64191021371933299</v>
      </c>
      <c r="T643" s="147">
        <f t="shared" si="373"/>
        <v>8.2021179853197457E-2</v>
      </c>
      <c r="U643" s="160">
        <f>IF($E643="","",IF($C643=12,INDEX(Input!$C$15:$CP$15,1,$B643),0))</f>
        <v>0</v>
      </c>
      <c r="V643" s="150">
        <f>IF(E643="","",IF(C643=1,IF($B643=1,Input!$C$33,Input!$C$34),0))</f>
        <v>0</v>
      </c>
      <c r="W643" s="156">
        <f>IF($E643="","",Input!$C$35)</f>
        <v>0.02</v>
      </c>
      <c r="X643" s="156">
        <f t="shared" si="412"/>
        <v>2.8563347491571447</v>
      </c>
      <c r="Y643" s="154"/>
      <c r="Z643" s="147">
        <f>IF($E643="","",VLOOKUP($D643,'Mortality Margins &amp; Grading'!$AB$5:$AF$125,3,0)*IF(Summary!$D$25="Included Margin",IF(AND($B643&gt;Input!$C$9,Summary!$D$31&lt;&gt;"Included Margin"),0,1),0))</f>
        <v>1.6E-2</v>
      </c>
      <c r="AA643" s="147">
        <f>IF($E643="","",VLOOKUP($D643,'Mortality Margins &amp; Grading'!$AB$5:$AF$125,5,0)*IF(Summary!$D$25="Included Margin",IF(AND($B643&gt;Input!$C$9,Summary!$D$31&lt;&gt;"Included Margin"),0,1),0))</f>
        <v>8.1000000000000003E-2</v>
      </c>
      <c r="AB643" s="147">
        <f>IF($E643="","",IF(AND($B643&gt;Input!$C$9,Summary!$D$31&lt;&gt;"Included Margin"),1,IF(Summary!$D$25="Included Margin",VLOOKUP($B643,'Mortality Margins &amp; Grading'!$AI$5:$AR$125,MATCH('Mortality Margins &amp; Grading'!$AQ$4,'Mortality Margins &amp; Grading'!$AI$4:$AR$4,0),0),1)))</f>
        <v>0</v>
      </c>
      <c r="AC643" s="154"/>
      <c r="AD643" s="158">
        <f>IF(E643="","",Input!$C$48*IF(Summary!$D$30="Included Margin",IF(AND($B643&gt;Input!$C$9,Summary!$D$31&lt;&gt;"Included Margin"),0,1),0))</f>
        <v>-4.4999999999999997E-3</v>
      </c>
      <c r="AE643" s="159">
        <f>IF(E643="","",IF(Summary!$D$26="Included Margin",IF(AND($B643&gt;Input!$C$9,Summary!$D$31&lt;&gt;"Included Margin"),1,1/$R643),1))</f>
        <v>1.3042976760704315</v>
      </c>
      <c r="AF643" s="160">
        <f>IF(E643="","",IF(AND($B643&gt;=Input!$C$9,$C643=12,Summary!$D$31="Included Margin",$U643&gt;0),1/U643-1,IF($B643&gt;=Input!$C$9,0,Input!$C$45*IF(Summary!$D$27="Included Margin",1,0))))</f>
        <v>0</v>
      </c>
      <c r="AG643" s="160">
        <f>IF(E643="","",Input!$C$46*IF(Summary!$D$28="Included Margin",IF(AND($B643&gt;Input!$C$9,Summary!$D$31&lt;&gt;"Included Margin"),0,1),0))</f>
        <v>0.02</v>
      </c>
      <c r="AH643" s="158">
        <f>IF(E643="","",Input!$C$47*IF(Summary!$D$29="Included Margin",IF(AND($B643&gt;Input!$C$9,Summary!$D$31&lt;&gt;"Included Margin"),0,1),0))</f>
        <v>2.5000000000000001E-3</v>
      </c>
      <c r="AI643" s="154"/>
      <c r="AJ643" s="158">
        <f t="shared" si="394"/>
        <v>4.3180000000000003E-2</v>
      </c>
      <c r="AK643" s="155">
        <f t="shared" si="395"/>
        <v>3.5290240795862182E-3</v>
      </c>
      <c r="AL643" s="147">
        <f t="shared" si="396"/>
        <v>1</v>
      </c>
      <c r="AM643" s="147">
        <f t="shared" si="374"/>
        <v>1</v>
      </c>
      <c r="AN643" s="160">
        <f t="shared" si="397"/>
        <v>0</v>
      </c>
      <c r="AO643" s="161">
        <f t="shared" si="398"/>
        <v>0</v>
      </c>
      <c r="AP643" s="156">
        <f t="shared" si="375"/>
        <v>3.2520392904456847</v>
      </c>
      <c r="AQ643" s="152"/>
      <c r="AR643" s="162">
        <f t="shared" si="376"/>
        <v>99823.859597880917</v>
      </c>
      <c r="AS643" s="150">
        <f t="shared" si="399"/>
        <v>0</v>
      </c>
      <c r="AT643" s="163">
        <f t="shared" si="377"/>
        <v>0</v>
      </c>
      <c r="AU643" s="163">
        <f t="shared" si="378"/>
        <v>100000</v>
      </c>
      <c r="AV643" s="163">
        <f t="shared" si="400"/>
        <v>175.82960025884466</v>
      </c>
      <c r="AW643" s="163">
        <f t="shared" si="379"/>
        <v>99824.170399741153</v>
      </c>
      <c r="AX643" s="163">
        <f t="shared" si="380"/>
        <v>0</v>
      </c>
      <c r="AY643" s="164">
        <f t="shared" si="401"/>
        <v>99823.859597880917</v>
      </c>
      <c r="AZ643" s="164">
        <f>IF($E643="","",IF(OR(AND($D643=Input!$C$6,$C643=12),$AN643=1),0,-AS644+AT644+AU644-AV644-AW644-AX644+AZ644))</f>
        <v>99824.170399741153</v>
      </c>
      <c r="BA643" s="154">
        <f t="shared" si="381"/>
        <v>0.31080186023609713</v>
      </c>
      <c r="BC643" s="147">
        <f t="shared" si="402"/>
        <v>6.7323996252184639E-7</v>
      </c>
      <c r="BD643" s="164">
        <f>IF(AND($C642=12,$D642=Input!$C$6),0,IF($E643="","",AT643+(AU643+BD644)/(1+$AK643)*MIN((1-AM643-AN643),1)))</f>
        <v>0</v>
      </c>
      <c r="BE643" s="164">
        <f t="shared" si="382"/>
        <v>0</v>
      </c>
      <c r="BF643" s="164">
        <f t="shared" si="403"/>
        <v>99824.170399741153</v>
      </c>
      <c r="BG643" s="164">
        <f t="shared" si="383"/>
        <v>6.720562073869614E-2</v>
      </c>
      <c r="BH643" s="152"/>
      <c r="BI643" s="162">
        <f t="shared" si="384"/>
        <v>49989.906734487617</v>
      </c>
      <c r="BJ643" s="150">
        <f t="shared" si="385"/>
        <v>0</v>
      </c>
      <c r="BK643" s="163">
        <f t="shared" si="407"/>
        <v>0</v>
      </c>
      <c r="BL643" s="163">
        <f t="shared" si="386"/>
        <v>8202.1179853197464</v>
      </c>
      <c r="BM643" s="163">
        <f t="shared" si="408"/>
        <v>178.46444337177053</v>
      </c>
      <c r="BN643" s="163">
        <f t="shared" si="387"/>
        <v>3749.6770777043084</v>
      </c>
      <c r="BO643" s="163">
        <f t="shared" si="388"/>
        <v>0</v>
      </c>
      <c r="BP643" s="164">
        <f t="shared" si="409"/>
        <v>45715.930270243945</v>
      </c>
      <c r="BQ643" s="164">
        <f>IF($E643="","",IF(AND($D643=Input!$C$6,$C643=12),0,-BJ644+BK644+BL644-BM644-BN644-BO644+BQ644))</f>
        <v>45715.961223863495</v>
      </c>
      <c r="BR643" s="161">
        <f t="shared" si="389"/>
        <v>0</v>
      </c>
      <c r="BT643" s="147">
        <f t="shared" si="390"/>
        <v>6.7323996252184639E-7</v>
      </c>
      <c r="BU643" s="164">
        <f>IF(AND($C642=12,$D642=Input!$C$6),0,IF($E643="","",BK643+(BL643+BU644)/(1+$AK643)*MIN((1-T643-U643),1)))</f>
        <v>81972.294877363427</v>
      </c>
      <c r="BV643" s="164">
        <f t="shared" si="391"/>
        <v>5.5187024731065897E-2</v>
      </c>
      <c r="BW643" s="164">
        <f t="shared" si="392"/>
        <v>45715.961223863495</v>
      </c>
      <c r="BX643" s="164">
        <f t="shared" si="393"/>
        <v>3.077781202100404E-2</v>
      </c>
    </row>
    <row r="644" spans="1:76" s="150" customFormat="1" x14ac:dyDescent="0.25">
      <c r="A644" s="150">
        <f t="shared" si="404"/>
        <v>640</v>
      </c>
      <c r="B644" s="150">
        <f t="shared" si="405"/>
        <v>54</v>
      </c>
      <c r="C644" s="150">
        <f t="shared" si="406"/>
        <v>4</v>
      </c>
      <c r="D644" s="150">
        <f>IF(E644="","",Input!$C$4+B644-1)</f>
        <v>98</v>
      </c>
      <c r="E644" s="150">
        <f>IF(OR(AND(C643=12,D643=Input!$C$6),E643=""),"",1)</f>
        <v>1</v>
      </c>
      <c r="F644" s="150">
        <f>IF(E644="","",Input!$C$8+B644-1)</f>
        <v>2071</v>
      </c>
      <c r="G644" s="151">
        <f>IF(E644="","",MAX(0,Input!$C$9-B644))</f>
        <v>0</v>
      </c>
      <c r="H644" s="152">
        <f>IF(E644="","",Input!$C$3)</f>
        <v>100000</v>
      </c>
      <c r="I644" s="153">
        <f>IF(E644="","",HLOOKUP($B644,Input!$C$13:$BT$14,2))</f>
        <v>746.53949999999998</v>
      </c>
      <c r="J644" s="154"/>
      <c r="K644" s="155">
        <f>IF($E644="","",INDEX(Input!$C$16:$CP$16,1,$B644))</f>
        <v>3.2680000000000001E-2</v>
      </c>
      <c r="L644" s="155">
        <f>IF($E644="","",Input!$C$37)</f>
        <v>1.4999999999999999E-2</v>
      </c>
      <c r="M644" s="155">
        <f t="shared" si="410"/>
        <v>4.768E-2</v>
      </c>
      <c r="N644" s="155">
        <f t="shared" si="411"/>
        <v>3.8890591538889296E-3</v>
      </c>
      <c r="O644" s="147">
        <f>IF($E644="","",MIN(VLOOKUP(IF($B644&lt;=Input!$C$7,$B644,26),'Mortality Tables'!$A$41:$CW$67,IF($B644&lt;=Input!$C$7+1,Input!$C$4+2,$D644-Input!$C$7+2),0)*IF(B644&gt;20,Input!$C$22,1)/1000,1))</f>
        <v>0.83724200000000004</v>
      </c>
      <c r="P644" s="147">
        <f>IF($E644="","",MIN(VLOOKUP(IF($B644&lt;=Input!$C$7,$B644,26),'Mortality Tables'!$A$12:$CW$37,IF($B644&lt;=Input!$C$7+1,Input!$C$4+2,$D644-Input!$C$7+2),0)*IF(B644&gt;20,Input!$C$22,1)/1000,1))</f>
        <v>1</v>
      </c>
      <c r="Q644" s="155">
        <f>IF($E644="","",Input!$C$21)</f>
        <v>5.0000000000000001E-3</v>
      </c>
      <c r="R644" s="159">
        <f>IF($E644="","",(1-Q644)^($F644-Input!$C$20))</f>
        <v>0.76669614486532323</v>
      </c>
      <c r="S644" s="147">
        <f t="shared" si="372"/>
        <v>0.64191021371933299</v>
      </c>
      <c r="T644" s="147">
        <f t="shared" si="373"/>
        <v>8.2021179853197457E-2</v>
      </c>
      <c r="U644" s="160">
        <f>IF($E644="","",IF($C644=12,INDEX(Input!$C$15:$CP$15,1,$B644),0))</f>
        <v>0</v>
      </c>
      <c r="V644" s="150">
        <f>IF(E644="","",IF(C644=1,IF($B644=1,Input!$C$33,Input!$C$34),0))</f>
        <v>0</v>
      </c>
      <c r="W644" s="156">
        <f>IF($E644="","",Input!$C$35)</f>
        <v>0.02</v>
      </c>
      <c r="X644" s="156">
        <f t="shared" si="412"/>
        <v>2.8563347491571447</v>
      </c>
      <c r="Y644" s="154"/>
      <c r="Z644" s="147">
        <f>IF($E644="","",VLOOKUP($D644,'Mortality Margins &amp; Grading'!$AB$5:$AF$125,3,0)*IF(Summary!$D$25="Included Margin",IF(AND($B644&gt;Input!$C$9,Summary!$D$31&lt;&gt;"Included Margin"),0,1),0))</f>
        <v>1.6E-2</v>
      </c>
      <c r="AA644" s="147">
        <f>IF($E644="","",VLOOKUP($D644,'Mortality Margins &amp; Grading'!$AB$5:$AF$125,5,0)*IF(Summary!$D$25="Included Margin",IF(AND($B644&gt;Input!$C$9,Summary!$D$31&lt;&gt;"Included Margin"),0,1),0))</f>
        <v>8.1000000000000003E-2</v>
      </c>
      <c r="AB644" s="147">
        <f>IF($E644="","",IF(AND($B644&gt;Input!$C$9,Summary!$D$31&lt;&gt;"Included Margin"),1,IF(Summary!$D$25="Included Margin",VLOOKUP($B644,'Mortality Margins &amp; Grading'!$AI$5:$AR$125,MATCH('Mortality Margins &amp; Grading'!$AQ$4,'Mortality Margins &amp; Grading'!$AI$4:$AR$4,0),0),1)))</f>
        <v>0</v>
      </c>
      <c r="AC644" s="154"/>
      <c r="AD644" s="158">
        <f>IF(E644="","",Input!$C$48*IF(Summary!$D$30="Included Margin",IF(AND($B644&gt;Input!$C$9,Summary!$D$31&lt;&gt;"Included Margin"),0,1),0))</f>
        <v>-4.4999999999999997E-3</v>
      </c>
      <c r="AE644" s="159">
        <f>IF(E644="","",IF(Summary!$D$26="Included Margin",IF(AND($B644&gt;Input!$C$9,Summary!$D$31&lt;&gt;"Included Margin"),1,1/$R644),1))</f>
        <v>1.3042976760704315</v>
      </c>
      <c r="AF644" s="160">
        <f>IF(E644="","",IF(AND($B644&gt;=Input!$C$9,$C644=12,Summary!$D$31="Included Margin",$U644&gt;0),1/U644-1,IF($B644&gt;=Input!$C$9,0,Input!$C$45*IF(Summary!$D$27="Included Margin",1,0))))</f>
        <v>0</v>
      </c>
      <c r="AG644" s="160">
        <f>IF(E644="","",Input!$C$46*IF(Summary!$D$28="Included Margin",IF(AND($B644&gt;Input!$C$9,Summary!$D$31&lt;&gt;"Included Margin"),0,1),0))</f>
        <v>0.02</v>
      </c>
      <c r="AH644" s="158">
        <f>IF(E644="","",Input!$C$47*IF(Summary!$D$29="Included Margin",IF(AND($B644&gt;Input!$C$9,Summary!$D$31&lt;&gt;"Included Margin"),0,1),0))</f>
        <v>2.5000000000000001E-3</v>
      </c>
      <c r="AI644" s="154"/>
      <c r="AJ644" s="158">
        <f t="shared" si="394"/>
        <v>4.3180000000000003E-2</v>
      </c>
      <c r="AK644" s="155">
        <f t="shared" si="395"/>
        <v>3.5290240795862182E-3</v>
      </c>
      <c r="AL644" s="147">
        <f t="shared" si="396"/>
        <v>1</v>
      </c>
      <c r="AM644" s="147">
        <f t="shared" si="374"/>
        <v>1</v>
      </c>
      <c r="AN644" s="160">
        <f t="shared" si="397"/>
        <v>0</v>
      </c>
      <c r="AO644" s="161">
        <f t="shared" si="398"/>
        <v>0</v>
      </c>
      <c r="AP644" s="156">
        <f t="shared" si="375"/>
        <v>3.2520392904456847</v>
      </c>
      <c r="AQ644" s="152"/>
      <c r="AR644" s="162">
        <f t="shared" si="376"/>
        <v>99823.859597880917</v>
      </c>
      <c r="AS644" s="150">
        <f t="shared" si="399"/>
        <v>0</v>
      </c>
      <c r="AT644" s="163">
        <f t="shared" si="377"/>
        <v>0</v>
      </c>
      <c r="AU644" s="163">
        <f t="shared" si="378"/>
        <v>100000</v>
      </c>
      <c r="AV644" s="163">
        <f t="shared" si="400"/>
        <v>175.82960025884466</v>
      </c>
      <c r="AW644" s="163">
        <f t="shared" si="379"/>
        <v>99824.170399741153</v>
      </c>
      <c r="AX644" s="163">
        <f t="shared" si="380"/>
        <v>0</v>
      </c>
      <c r="AY644" s="165">
        <f t="shared" si="401"/>
        <v>99823.859597880917</v>
      </c>
      <c r="AZ644" s="164">
        <f>IF($E644="","",IF(OR(AND($D644=Input!$C$6,$C644=12),$AN644=1),0,-AS645+AT645+AU645-AV645-AW645-AX645+AZ645))</f>
        <v>99824.170399741153</v>
      </c>
      <c r="BA644" s="154">
        <f t="shared" si="381"/>
        <v>0.31080186023609713</v>
      </c>
      <c r="BC644" s="147">
        <f t="shared" si="402"/>
        <v>6.1802002647148211E-7</v>
      </c>
      <c r="BD644" s="164">
        <f>IF(AND($C643=12,$D643=Input!$C$6),0,IF($E644="","",AT644+(AU644+BD645)/(1+$AK644)*MIN((1-AM644-AN644),1)))</f>
        <v>0</v>
      </c>
      <c r="BE644" s="164">
        <f t="shared" si="382"/>
        <v>0</v>
      </c>
      <c r="BF644" s="164">
        <f t="shared" si="403"/>
        <v>99824.170399741153</v>
      </c>
      <c r="BG644" s="164">
        <f t="shared" si="383"/>
        <v>6.1693336432941767E-2</v>
      </c>
      <c r="BH644" s="152"/>
      <c r="BI644" s="162">
        <f t="shared" si="384"/>
        <v>45715.930270243945</v>
      </c>
      <c r="BJ644" s="150">
        <f t="shared" si="385"/>
        <v>0</v>
      </c>
      <c r="BK644" s="163">
        <f t="shared" si="407"/>
        <v>0</v>
      </c>
      <c r="BL644" s="163">
        <f t="shared" si="386"/>
        <v>8202.1179853197464</v>
      </c>
      <c r="BM644" s="163">
        <f t="shared" si="408"/>
        <v>161.84269607999781</v>
      </c>
      <c r="BN644" s="163">
        <f t="shared" si="387"/>
        <v>3366.313191890607</v>
      </c>
      <c r="BO644" s="163">
        <f t="shared" si="388"/>
        <v>0</v>
      </c>
      <c r="BP644" s="164">
        <f t="shared" si="409"/>
        <v>41041.968172894805</v>
      </c>
      <c r="BQ644" s="164">
        <f>IF($E644="","",IF(AND($D644=Input!$C$6,$C644=12),0,-BJ645+BK645+BL645-BM645-BN645-BO645+BQ645))</f>
        <v>41041.999126514354</v>
      </c>
      <c r="BR644" s="161">
        <f t="shared" si="389"/>
        <v>0</v>
      </c>
      <c r="BT644" s="147">
        <f t="shared" si="390"/>
        <v>6.1802002647148211E-7</v>
      </c>
      <c r="BU644" s="164">
        <f>IF(AND($C643=12,$D643=Input!$C$6),0,IF($E644="","",BK644+(BL644+BU645)/(1+$AK644)*MIN((1-T644-U644),1)))</f>
        <v>81409.510599628833</v>
      </c>
      <c r="BV644" s="164">
        <f t="shared" si="391"/>
        <v>5.0312707895813012E-2</v>
      </c>
      <c r="BW644" s="164">
        <f t="shared" si="392"/>
        <v>41041.999126514354</v>
      </c>
      <c r="BX644" s="164">
        <f t="shared" si="393"/>
        <v>2.5364777386610946E-2</v>
      </c>
    </row>
    <row r="645" spans="1:76" s="150" customFormat="1" x14ac:dyDescent="0.25">
      <c r="A645" s="150">
        <f t="shared" si="404"/>
        <v>641</v>
      </c>
      <c r="B645" s="150">
        <f t="shared" si="405"/>
        <v>54</v>
      </c>
      <c r="C645" s="150">
        <f t="shared" si="406"/>
        <v>5</v>
      </c>
      <c r="D645" s="150">
        <f>IF(E645="","",Input!$C$4+B645-1)</f>
        <v>98</v>
      </c>
      <c r="E645" s="150">
        <f>IF(OR(AND(C644=12,D644=Input!$C$6),E644=""),"",1)</f>
        <v>1</v>
      </c>
      <c r="F645" s="150">
        <f>IF(E645="","",Input!$C$8+B645-1)</f>
        <v>2071</v>
      </c>
      <c r="G645" s="151">
        <f>IF(E645="","",MAX(0,Input!$C$9-B645))</f>
        <v>0</v>
      </c>
      <c r="H645" s="152">
        <f>IF(E645="","",Input!$C$3)</f>
        <v>100000</v>
      </c>
      <c r="I645" s="153">
        <f>IF(E645="","",HLOOKUP($B645,Input!$C$13:$BT$14,2))</f>
        <v>746.53949999999998</v>
      </c>
      <c r="J645" s="154"/>
      <c r="K645" s="155">
        <f>IF($E645="","",INDEX(Input!$C$16:$CP$16,1,$B645))</f>
        <v>3.2680000000000001E-2</v>
      </c>
      <c r="L645" s="155">
        <f>IF($E645="","",Input!$C$37)</f>
        <v>1.4999999999999999E-2</v>
      </c>
      <c r="M645" s="155">
        <f t="shared" si="410"/>
        <v>4.768E-2</v>
      </c>
      <c r="N645" s="155">
        <f t="shared" si="411"/>
        <v>3.8890591538889296E-3</v>
      </c>
      <c r="O645" s="147">
        <f>IF($E645="","",MIN(VLOOKUP(IF($B645&lt;=Input!$C$7,$B645,26),'Mortality Tables'!$A$41:$CW$67,IF($B645&lt;=Input!$C$7+1,Input!$C$4+2,$D645-Input!$C$7+2),0)*IF(B645&gt;20,Input!$C$22,1)/1000,1))</f>
        <v>0.83724200000000004</v>
      </c>
      <c r="P645" s="147">
        <f>IF($E645="","",MIN(VLOOKUP(IF($B645&lt;=Input!$C$7,$B645,26),'Mortality Tables'!$A$12:$CW$37,IF($B645&lt;=Input!$C$7+1,Input!$C$4+2,$D645-Input!$C$7+2),0)*IF(B645&gt;20,Input!$C$22,1)/1000,1))</f>
        <v>1</v>
      </c>
      <c r="Q645" s="155">
        <f>IF($E645="","",Input!$C$21)</f>
        <v>5.0000000000000001E-3</v>
      </c>
      <c r="R645" s="159">
        <f>IF($E645="","",(1-Q645)^($F645-Input!$C$20))</f>
        <v>0.76669614486532323</v>
      </c>
      <c r="S645" s="147">
        <f t="shared" ref="S645:S708" si="413">IF($E645="","",MIN(O645*R645,1))</f>
        <v>0.64191021371933299</v>
      </c>
      <c r="T645" s="147">
        <f t="shared" ref="T645:T708" si="414">IF($E645="","",1-(1-S645)^(1/12))</f>
        <v>8.2021179853197457E-2</v>
      </c>
      <c r="U645" s="160">
        <f>IF($E645="","",IF($C645=12,INDEX(Input!$C$15:$CP$15,1,$B645),0))</f>
        <v>0</v>
      </c>
      <c r="V645" s="150">
        <f>IF(E645="","",IF(C645=1,IF($B645=1,Input!$C$33,Input!$C$34),0))</f>
        <v>0</v>
      </c>
      <c r="W645" s="156">
        <f>IF($E645="","",Input!$C$35)</f>
        <v>0.02</v>
      </c>
      <c r="X645" s="156">
        <f t="shared" si="412"/>
        <v>2.8563347491571447</v>
      </c>
      <c r="Y645" s="154"/>
      <c r="Z645" s="147">
        <f>IF($E645="","",VLOOKUP($D645,'Mortality Margins &amp; Grading'!$AB$5:$AF$125,3,0)*IF(Summary!$D$25="Included Margin",IF(AND($B645&gt;Input!$C$9,Summary!$D$31&lt;&gt;"Included Margin"),0,1),0))</f>
        <v>1.6E-2</v>
      </c>
      <c r="AA645" s="147">
        <f>IF($E645="","",VLOOKUP($D645,'Mortality Margins &amp; Grading'!$AB$5:$AF$125,5,0)*IF(Summary!$D$25="Included Margin",IF(AND($B645&gt;Input!$C$9,Summary!$D$31&lt;&gt;"Included Margin"),0,1),0))</f>
        <v>8.1000000000000003E-2</v>
      </c>
      <c r="AB645" s="147">
        <f>IF($E645="","",IF(AND($B645&gt;Input!$C$9,Summary!$D$31&lt;&gt;"Included Margin"),1,IF(Summary!$D$25="Included Margin",VLOOKUP($B645,'Mortality Margins &amp; Grading'!$AI$5:$AR$125,MATCH('Mortality Margins &amp; Grading'!$AQ$4,'Mortality Margins &amp; Grading'!$AI$4:$AR$4,0),0),1)))</f>
        <v>0</v>
      </c>
      <c r="AC645" s="154"/>
      <c r="AD645" s="158">
        <f>IF(E645="","",Input!$C$48*IF(Summary!$D$30="Included Margin",IF(AND($B645&gt;Input!$C$9,Summary!$D$31&lt;&gt;"Included Margin"),0,1),0))</f>
        <v>-4.4999999999999997E-3</v>
      </c>
      <c r="AE645" s="159">
        <f>IF(E645="","",IF(Summary!$D$26="Included Margin",IF(AND($B645&gt;Input!$C$9,Summary!$D$31&lt;&gt;"Included Margin"),1,1/$R645),1))</f>
        <v>1.3042976760704315</v>
      </c>
      <c r="AF645" s="160">
        <f>IF(E645="","",IF(AND($B645&gt;=Input!$C$9,$C645=12,Summary!$D$31="Included Margin",$U645&gt;0),1/U645-1,IF($B645&gt;=Input!$C$9,0,Input!$C$45*IF(Summary!$D$27="Included Margin",1,0))))</f>
        <v>0</v>
      </c>
      <c r="AG645" s="160">
        <f>IF(E645="","",Input!$C$46*IF(Summary!$D$28="Included Margin",IF(AND($B645&gt;Input!$C$9,Summary!$D$31&lt;&gt;"Included Margin"),0,1),0))</f>
        <v>0.02</v>
      </c>
      <c r="AH645" s="158">
        <f>IF(E645="","",Input!$C$47*IF(Summary!$D$29="Included Margin",IF(AND($B645&gt;Input!$C$9,Summary!$D$31&lt;&gt;"Included Margin"),0,1),0))</f>
        <v>2.5000000000000001E-3</v>
      </c>
      <c r="AI645" s="154"/>
      <c r="AJ645" s="158">
        <f t="shared" si="394"/>
        <v>4.3180000000000003E-2</v>
      </c>
      <c r="AK645" s="155">
        <f t="shared" si="395"/>
        <v>3.5290240795862182E-3</v>
      </c>
      <c r="AL645" s="147">
        <f t="shared" si="396"/>
        <v>1</v>
      </c>
      <c r="AM645" s="147">
        <f t="shared" ref="AM645:AM708" si="415">IF($E645="","",1-(1-AL645)^(1/12))</f>
        <v>1</v>
      </c>
      <c r="AN645" s="160">
        <f t="shared" si="397"/>
        <v>0</v>
      </c>
      <c r="AO645" s="161">
        <f t="shared" si="398"/>
        <v>0</v>
      </c>
      <c r="AP645" s="156">
        <f t="shared" ref="AP645:AP708" si="416">IF($E645="","",IF(B645=1,1,IF(C645=1,(1+$W645+$AH645)*AP644,AP644)))</f>
        <v>3.2520392904456847</v>
      </c>
      <c r="AQ645" s="152"/>
      <c r="AR645" s="162">
        <f t="shared" ref="AR645:AR708" si="417">IF($E645="","",(AZ645*(1-$AN645)*(1-$AM645)/(1+$AK645)+AU645/(1+$AK645/2)-AS645+AT645))</f>
        <v>99823.859597880917</v>
      </c>
      <c r="AS645" s="150">
        <f t="shared" si="399"/>
        <v>0</v>
      </c>
      <c r="AT645" s="163">
        <f t="shared" ref="AT645:AT708" si="418">IF($E645="","",$AO645*$AP645)</f>
        <v>0</v>
      </c>
      <c r="AU645" s="163">
        <f t="shared" ref="AU645:AU708" si="419">IF($E645="","",$AM645*$H645)</f>
        <v>100000</v>
      </c>
      <c r="AV645" s="163">
        <f t="shared" si="400"/>
        <v>175.82960025884466</v>
      </c>
      <c r="AW645" s="163">
        <f t="shared" ref="AW645:AW708" si="420">IF($E645="","",AZ645*$AM645)</f>
        <v>99824.170399741153</v>
      </c>
      <c r="AX645" s="163">
        <f t="shared" ref="AX645:AX708" si="421">IF($E645="","",$AN645*AZ645*(1-$AM645))</f>
        <v>0</v>
      </c>
      <c r="AY645" s="164">
        <f t="shared" si="401"/>
        <v>99823.859597880917</v>
      </c>
      <c r="AZ645" s="164">
        <f>IF($E645="","",IF(OR(AND($D645=Input!$C$6,$C645=12),$AN645=1),0,-AS646+AT646+AU646-AV646-AW646-AX646+AZ646))</f>
        <v>99824.170399741153</v>
      </c>
      <c r="BA645" s="154">
        <f t="shared" ref="BA645:BA708" si="422">IF(E645="","",AZ645-AY645)</f>
        <v>0.31080186023609713</v>
      </c>
      <c r="BC645" s="147">
        <f t="shared" si="402"/>
        <v>5.6732929472738681E-7</v>
      </c>
      <c r="BD645" s="164">
        <f>IF(AND($C644=12,$D644=Input!$C$6),0,IF($E645="","",AT645+(AU645+BD646)/(1+$AK645)*MIN((1-AM645-AN645),1)))</f>
        <v>0</v>
      </c>
      <c r="BE645" s="164">
        <f t="shared" ref="BE645:BE708" si="423">IF($E645="","",BC645*BD645)</f>
        <v>0</v>
      </c>
      <c r="BF645" s="164">
        <f t="shared" si="403"/>
        <v>99824.170399741153</v>
      </c>
      <c r="BG645" s="164">
        <f t="shared" ref="BG645:BG708" si="424">IF($E645="","",BC645*BF645)</f>
        <v>5.663317618963163E-2</v>
      </c>
      <c r="BH645" s="152"/>
      <c r="BI645" s="162">
        <f t="shared" ref="BI645:BI708" si="425">IF($E645="","",(BQ645*(1-$U645)*(1-$T645)/(1+$N645)+BL645/(1+$N645/2)-BJ645+BK645))</f>
        <v>41041.968172894805</v>
      </c>
      <c r="BJ645" s="150">
        <f t="shared" ref="BJ645:BJ708" si="426">IF($E645="","",AS645)</f>
        <v>0</v>
      </c>
      <c r="BK645" s="163">
        <f t="shared" si="407"/>
        <v>0</v>
      </c>
      <c r="BL645" s="163">
        <f t="shared" ref="BL645:BL708" si="427">IF(E645="","",$T645*$H645)</f>
        <v>8202.1179853197464</v>
      </c>
      <c r="BM645" s="163">
        <f t="shared" si="408"/>
        <v>143.66538100037224</v>
      </c>
      <c r="BN645" s="163">
        <f t="shared" ref="BN645:BN708" si="428">IF($E645="","",BQ645*$T645)</f>
        <v>2947.0716993891233</v>
      </c>
      <c r="BO645" s="163">
        <f t="shared" ref="BO645:BO708" si="429">IF($E645="","",$U645*BQ645*(1-$T645))</f>
        <v>0</v>
      </c>
      <c r="BP645" s="164">
        <f t="shared" si="409"/>
        <v>35930.587267964554</v>
      </c>
      <c r="BQ645" s="164">
        <f>IF($E645="","",IF(AND($D645=Input!$C$6,$C645=12),0,-BJ646+BK646+BL646-BM646-BN646-BO646+BQ646))</f>
        <v>35930.618221584104</v>
      </c>
      <c r="BR645" s="161">
        <f t="shared" ref="BR645:BR708" si="430">IF(E645="","",ROUND(BQ645-BP645,1))</f>
        <v>0</v>
      </c>
      <c r="BT645" s="147">
        <f t="shared" ref="BT645:BT708" si="431">IF(E645="","",BC645)</f>
        <v>5.6732929472738681E-7</v>
      </c>
      <c r="BU645" s="164">
        <f>IF(AND($C644=12,$D644=Input!$C$6),0,IF($E645="","",BK645+(BL645+BU646)/(1+$AK645)*MIN((1-T645-U645),1)))</f>
        <v>80794.278151333347</v>
      </c>
      <c r="BV645" s="164">
        <f t="shared" ref="BV645:BV708" si="432">IF(E645="","",BT645*BU645)</f>
        <v>4.5836960841604261E-2</v>
      </c>
      <c r="BW645" s="164">
        <f t="shared" ref="BW645:BW708" si="433">IF(E645="","",BQ645)</f>
        <v>35930.618221584104</v>
      </c>
      <c r="BX645" s="164">
        <f t="shared" ref="BX645:BX708" si="434">IF(E645="","",BT645*BW645)</f>
        <v>2.0384492294770303E-2</v>
      </c>
    </row>
    <row r="646" spans="1:76" s="150" customFormat="1" x14ac:dyDescent="0.25">
      <c r="A646" s="150">
        <f t="shared" si="404"/>
        <v>642</v>
      </c>
      <c r="B646" s="150">
        <f t="shared" si="405"/>
        <v>54</v>
      </c>
      <c r="C646" s="150">
        <f t="shared" si="406"/>
        <v>6</v>
      </c>
      <c r="D646" s="150">
        <f>IF(E646="","",Input!$C$4+B646-1)</f>
        <v>98</v>
      </c>
      <c r="E646" s="150">
        <f>IF(OR(AND(C645=12,D645=Input!$C$6),E645=""),"",1)</f>
        <v>1</v>
      </c>
      <c r="F646" s="150">
        <f>IF(E646="","",Input!$C$8+B646-1)</f>
        <v>2071</v>
      </c>
      <c r="G646" s="151">
        <f>IF(E646="","",MAX(0,Input!$C$9-B646))</f>
        <v>0</v>
      </c>
      <c r="H646" s="152">
        <f>IF(E646="","",Input!$C$3)</f>
        <v>100000</v>
      </c>
      <c r="I646" s="153">
        <f>IF(E646="","",HLOOKUP($B646,Input!$C$13:$BT$14,2))</f>
        <v>746.53949999999998</v>
      </c>
      <c r="J646" s="154"/>
      <c r="K646" s="155">
        <f>IF($E646="","",INDEX(Input!$C$16:$CP$16,1,$B646))</f>
        <v>3.2680000000000001E-2</v>
      </c>
      <c r="L646" s="155">
        <f>IF($E646="","",Input!$C$37)</f>
        <v>1.4999999999999999E-2</v>
      </c>
      <c r="M646" s="155">
        <f t="shared" si="410"/>
        <v>4.768E-2</v>
      </c>
      <c r="N646" s="155">
        <f t="shared" si="411"/>
        <v>3.8890591538889296E-3</v>
      </c>
      <c r="O646" s="147">
        <f>IF($E646="","",MIN(VLOOKUP(IF($B646&lt;=Input!$C$7,$B646,26),'Mortality Tables'!$A$41:$CW$67,IF($B646&lt;=Input!$C$7+1,Input!$C$4+2,$D646-Input!$C$7+2),0)*IF(B646&gt;20,Input!$C$22,1)/1000,1))</f>
        <v>0.83724200000000004</v>
      </c>
      <c r="P646" s="147">
        <f>IF($E646="","",MIN(VLOOKUP(IF($B646&lt;=Input!$C$7,$B646,26),'Mortality Tables'!$A$12:$CW$37,IF($B646&lt;=Input!$C$7+1,Input!$C$4+2,$D646-Input!$C$7+2),0)*IF(B646&gt;20,Input!$C$22,1)/1000,1))</f>
        <v>1</v>
      </c>
      <c r="Q646" s="155">
        <f>IF($E646="","",Input!$C$21)</f>
        <v>5.0000000000000001E-3</v>
      </c>
      <c r="R646" s="159">
        <f>IF($E646="","",(1-Q646)^($F646-Input!$C$20))</f>
        <v>0.76669614486532323</v>
      </c>
      <c r="S646" s="147">
        <f t="shared" si="413"/>
        <v>0.64191021371933299</v>
      </c>
      <c r="T646" s="147">
        <f t="shared" si="414"/>
        <v>8.2021179853197457E-2</v>
      </c>
      <c r="U646" s="160">
        <f>IF($E646="","",IF($C646=12,INDEX(Input!$C$15:$CP$15,1,$B646),0))</f>
        <v>0</v>
      </c>
      <c r="V646" s="150">
        <f>IF(E646="","",IF(C646=1,IF($B646=1,Input!$C$33,Input!$C$34),0))</f>
        <v>0</v>
      </c>
      <c r="W646" s="156">
        <f>IF($E646="","",Input!$C$35)</f>
        <v>0.02</v>
      </c>
      <c r="X646" s="156">
        <f t="shared" si="412"/>
        <v>2.8563347491571447</v>
      </c>
      <c r="Y646" s="154"/>
      <c r="Z646" s="147">
        <f>IF($E646="","",VLOOKUP($D646,'Mortality Margins &amp; Grading'!$AB$5:$AF$125,3,0)*IF(Summary!$D$25="Included Margin",IF(AND($B646&gt;Input!$C$9,Summary!$D$31&lt;&gt;"Included Margin"),0,1),0))</f>
        <v>1.6E-2</v>
      </c>
      <c r="AA646" s="147">
        <f>IF($E646="","",VLOOKUP($D646,'Mortality Margins &amp; Grading'!$AB$5:$AF$125,5,0)*IF(Summary!$D$25="Included Margin",IF(AND($B646&gt;Input!$C$9,Summary!$D$31&lt;&gt;"Included Margin"),0,1),0))</f>
        <v>8.1000000000000003E-2</v>
      </c>
      <c r="AB646" s="147">
        <f>IF($E646="","",IF(AND($B646&gt;Input!$C$9,Summary!$D$31&lt;&gt;"Included Margin"),1,IF(Summary!$D$25="Included Margin",VLOOKUP($B646,'Mortality Margins &amp; Grading'!$AI$5:$AR$125,MATCH('Mortality Margins &amp; Grading'!$AQ$4,'Mortality Margins &amp; Grading'!$AI$4:$AR$4,0),0),1)))</f>
        <v>0</v>
      </c>
      <c r="AC646" s="154"/>
      <c r="AD646" s="158">
        <f>IF(E646="","",Input!$C$48*IF(Summary!$D$30="Included Margin",IF(AND($B646&gt;Input!$C$9,Summary!$D$31&lt;&gt;"Included Margin"),0,1),0))</f>
        <v>-4.4999999999999997E-3</v>
      </c>
      <c r="AE646" s="159">
        <f>IF(E646="","",IF(Summary!$D$26="Included Margin",IF(AND($B646&gt;Input!$C$9,Summary!$D$31&lt;&gt;"Included Margin"),1,1/$R646),1))</f>
        <v>1.3042976760704315</v>
      </c>
      <c r="AF646" s="160">
        <f>IF(E646="","",IF(AND($B646&gt;=Input!$C$9,$C646=12,Summary!$D$31="Included Margin",$U646&gt;0),1/U646-1,IF($B646&gt;=Input!$C$9,0,Input!$C$45*IF(Summary!$D$27="Included Margin",1,0))))</f>
        <v>0</v>
      </c>
      <c r="AG646" s="160">
        <f>IF(E646="","",Input!$C$46*IF(Summary!$D$28="Included Margin",IF(AND($B646&gt;Input!$C$9,Summary!$D$31&lt;&gt;"Included Margin"),0,1),0))</f>
        <v>0.02</v>
      </c>
      <c r="AH646" s="158">
        <f>IF(E646="","",Input!$C$47*IF(Summary!$D$29="Included Margin",IF(AND($B646&gt;Input!$C$9,Summary!$D$31&lt;&gt;"Included Margin"),0,1),0))</f>
        <v>2.5000000000000001E-3</v>
      </c>
      <c r="AI646" s="154"/>
      <c r="AJ646" s="158">
        <f t="shared" ref="AJ646:AJ709" si="435">IF(E646="","",M646+AD646)</f>
        <v>4.3180000000000003E-2</v>
      </c>
      <c r="AK646" s="155">
        <f t="shared" ref="AK646:AK709" si="436">IF(E646="","",(1+AJ646)^(1/12)-1)</f>
        <v>3.5290240795862182E-3</v>
      </c>
      <c r="AL646" s="147">
        <f t="shared" ref="AL646:AL709" si="437">IF($E646="","",MIN(($O646*(1+$Z646)*$AB646+$P646*(1+$AA646)*(1-$AB646))*R646*AE646,1))</f>
        <v>1</v>
      </c>
      <c r="AM646" s="147">
        <f t="shared" si="415"/>
        <v>1</v>
      </c>
      <c r="AN646" s="160">
        <f t="shared" ref="AN646:AN709" si="438">IF(E646="","",IF(U646=1,1,(1+AF646)*U646))</f>
        <v>0</v>
      </c>
      <c r="AO646" s="161">
        <f t="shared" ref="AO646:AO709" si="439">IF($E646="","",(1+$AG646)*$V646)</f>
        <v>0</v>
      </c>
      <c r="AP646" s="156">
        <f t="shared" si="416"/>
        <v>3.2520392904456847</v>
      </c>
      <c r="AQ646" s="152"/>
      <c r="AR646" s="162">
        <f t="shared" si="417"/>
        <v>99823.859597880917</v>
      </c>
      <c r="AS646" s="150">
        <f t="shared" ref="AS646:AS709" si="440">IF($E646="","",IF($C646=1,$I646*$H646/1000,0))</f>
        <v>0</v>
      </c>
      <c r="AT646" s="163">
        <f t="shared" si="418"/>
        <v>0</v>
      </c>
      <c r="AU646" s="163">
        <f t="shared" si="419"/>
        <v>100000</v>
      </c>
      <c r="AV646" s="163">
        <f t="shared" ref="AV646:AV709" si="441">IF($E646="","",(AR646+AS646-AT646-AU646/2)*$AK646)</f>
        <v>175.82960025884466</v>
      </c>
      <c r="AW646" s="163">
        <f t="shared" si="420"/>
        <v>99824.170399741153</v>
      </c>
      <c r="AX646" s="163">
        <f t="shared" si="421"/>
        <v>0</v>
      </c>
      <c r="AY646" s="165">
        <f t="shared" ref="AY646:AY709" si="442">IF($E646="","",AR646+AS646-AT646-AU646+AV646+AW646+AX646)</f>
        <v>99823.859597880917</v>
      </c>
      <c r="AZ646" s="164">
        <f>IF($E646="","",IF(OR(AND($D646=Input!$C$6,$C646=12),$AN646=1),0,-AS647+AT647+AU647-AV647-AW647-AX647+AZ647))</f>
        <v>99824.170399741153</v>
      </c>
      <c r="BA646" s="154">
        <f t="shared" si="422"/>
        <v>0.31080186023609713</v>
      </c>
      <c r="BC646" s="147">
        <f t="shared" ref="BC646:BC709" si="443">IF($E646="","",MIN(1,(1-T646-U646))*BC645)</f>
        <v>5.2079627660856416E-7</v>
      </c>
      <c r="BD646" s="164">
        <f>IF(AND($C645=12,$D645=Input!$C$6),0,IF($E646="","",AT646+(AU646+BD647)/(1+$AK646)*MIN((1-AM646-AN646),1)))</f>
        <v>0</v>
      </c>
      <c r="BE646" s="164">
        <f t="shared" si="423"/>
        <v>0</v>
      </c>
      <c r="BF646" s="164">
        <f t="shared" ref="BF646:BF709" si="444">IF($E646="","",AZ646)</f>
        <v>99824.170399741153</v>
      </c>
      <c r="BG646" s="164">
        <f t="shared" si="424"/>
        <v>5.1988056259724039E-2</v>
      </c>
      <c r="BH646" s="152"/>
      <c r="BI646" s="162">
        <f t="shared" si="425"/>
        <v>35930.587267964562</v>
      </c>
      <c r="BJ646" s="150">
        <f t="shared" si="426"/>
        <v>0</v>
      </c>
      <c r="BK646" s="163">
        <f t="shared" si="407"/>
        <v>0</v>
      </c>
      <c r="BL646" s="163">
        <f t="shared" si="427"/>
        <v>8202.1179853197464</v>
      </c>
      <c r="BM646" s="163">
        <f t="shared" si="408"/>
        <v>123.78691830304021</v>
      </c>
      <c r="BN646" s="163">
        <f t="shared" si="428"/>
        <v>2488.5949478249854</v>
      </c>
      <c r="BO646" s="163">
        <f t="shared" si="429"/>
        <v>0</v>
      </c>
      <c r="BP646" s="164">
        <f t="shared" si="409"/>
        <v>30340.851148772843</v>
      </c>
      <c r="BQ646" s="164">
        <f>IF($E646="","",IF(AND($D646=Input!$C$6,$C646=12),0,-BJ647+BK647+BL647-BM647-BN647-BO647+BQ647))</f>
        <v>30340.882102392385</v>
      </c>
      <c r="BR646" s="161">
        <f t="shared" si="430"/>
        <v>0</v>
      </c>
      <c r="BT646" s="147">
        <f t="shared" si="431"/>
        <v>5.2079627660856416E-7</v>
      </c>
      <c r="BU646" s="164">
        <f>IF(AND($C645=12,$D645=Input!$C$6),0,IF($E646="","",BK646+(BL646+BU647)/(1+$AK646)*MIN((1-T646-U646),1)))</f>
        <v>80121.709672769386</v>
      </c>
      <c r="BV646" s="164">
        <f t="shared" si="432"/>
        <v>4.1727088073090675E-2</v>
      </c>
      <c r="BW646" s="164">
        <f t="shared" si="433"/>
        <v>30340.882102392385</v>
      </c>
      <c r="BX646" s="164">
        <f t="shared" si="434"/>
        <v>1.5801418427945378E-2</v>
      </c>
    </row>
    <row r="647" spans="1:76" s="150" customFormat="1" x14ac:dyDescent="0.25">
      <c r="A647" s="150">
        <f t="shared" ref="A647:A710" si="445">IF(E647="","",A646+1)</f>
        <v>643</v>
      </c>
      <c r="B647" s="150">
        <f t="shared" ref="B647:B710" si="446">IF(E647="","",IF(C646+1&gt;12,B646+1,B646))</f>
        <v>54</v>
      </c>
      <c r="C647" s="150">
        <f t="shared" ref="C647:C710" si="447">IF(E647="","",IF(C646+1&gt;12,1,C646+1))</f>
        <v>7</v>
      </c>
      <c r="D647" s="150">
        <f>IF(E647="","",Input!$C$4+B647-1)</f>
        <v>98</v>
      </c>
      <c r="E647" s="150">
        <f>IF(OR(AND(C646=12,D646=Input!$C$6),E646=""),"",1)</f>
        <v>1</v>
      </c>
      <c r="F647" s="150">
        <f>IF(E647="","",Input!$C$8+B647-1)</f>
        <v>2071</v>
      </c>
      <c r="G647" s="151">
        <f>IF(E647="","",MAX(0,Input!$C$9-B647))</f>
        <v>0</v>
      </c>
      <c r="H647" s="152">
        <f>IF(E647="","",Input!$C$3)</f>
        <v>100000</v>
      </c>
      <c r="I647" s="153">
        <f>IF(E647="","",HLOOKUP($B647,Input!$C$13:$BT$14,2))</f>
        <v>746.53949999999998</v>
      </c>
      <c r="J647" s="154"/>
      <c r="K647" s="155">
        <f>IF($E647="","",INDEX(Input!$C$16:$CP$16,1,$B647))</f>
        <v>3.2680000000000001E-2</v>
      </c>
      <c r="L647" s="155">
        <f>IF($E647="","",Input!$C$37)</f>
        <v>1.4999999999999999E-2</v>
      </c>
      <c r="M647" s="155">
        <f t="shared" si="410"/>
        <v>4.768E-2</v>
      </c>
      <c r="N647" s="155">
        <f t="shared" si="411"/>
        <v>3.8890591538889296E-3</v>
      </c>
      <c r="O647" s="147">
        <f>IF($E647="","",MIN(VLOOKUP(IF($B647&lt;=Input!$C$7,$B647,26),'Mortality Tables'!$A$41:$CW$67,IF($B647&lt;=Input!$C$7+1,Input!$C$4+2,$D647-Input!$C$7+2),0)*IF(B647&gt;20,Input!$C$22,1)/1000,1))</f>
        <v>0.83724200000000004</v>
      </c>
      <c r="P647" s="147">
        <f>IF($E647="","",MIN(VLOOKUP(IF($B647&lt;=Input!$C$7,$B647,26),'Mortality Tables'!$A$12:$CW$37,IF($B647&lt;=Input!$C$7+1,Input!$C$4+2,$D647-Input!$C$7+2),0)*IF(B647&gt;20,Input!$C$22,1)/1000,1))</f>
        <v>1</v>
      </c>
      <c r="Q647" s="155">
        <f>IF($E647="","",Input!$C$21)</f>
        <v>5.0000000000000001E-3</v>
      </c>
      <c r="R647" s="159">
        <f>IF($E647="","",(1-Q647)^($F647-Input!$C$20))</f>
        <v>0.76669614486532323</v>
      </c>
      <c r="S647" s="147">
        <f t="shared" si="413"/>
        <v>0.64191021371933299</v>
      </c>
      <c r="T647" s="147">
        <f t="shared" si="414"/>
        <v>8.2021179853197457E-2</v>
      </c>
      <c r="U647" s="160">
        <f>IF($E647="","",IF($C647=12,INDEX(Input!$C$15:$CP$15,1,$B647),0))</f>
        <v>0</v>
      </c>
      <c r="V647" s="150">
        <f>IF(E647="","",IF(C647=1,IF($B647=1,Input!$C$33,Input!$C$34),0))</f>
        <v>0</v>
      </c>
      <c r="W647" s="156">
        <f>IF($E647="","",Input!$C$35)</f>
        <v>0.02</v>
      </c>
      <c r="X647" s="156">
        <f t="shared" si="412"/>
        <v>2.8563347491571447</v>
      </c>
      <c r="Y647" s="154"/>
      <c r="Z647" s="147">
        <f>IF($E647="","",VLOOKUP($D647,'Mortality Margins &amp; Grading'!$AB$5:$AF$125,3,0)*IF(Summary!$D$25="Included Margin",IF(AND($B647&gt;Input!$C$9,Summary!$D$31&lt;&gt;"Included Margin"),0,1),0))</f>
        <v>1.6E-2</v>
      </c>
      <c r="AA647" s="147">
        <f>IF($E647="","",VLOOKUP($D647,'Mortality Margins &amp; Grading'!$AB$5:$AF$125,5,0)*IF(Summary!$D$25="Included Margin",IF(AND($B647&gt;Input!$C$9,Summary!$D$31&lt;&gt;"Included Margin"),0,1),0))</f>
        <v>8.1000000000000003E-2</v>
      </c>
      <c r="AB647" s="147">
        <f>IF($E647="","",IF(AND($B647&gt;Input!$C$9,Summary!$D$31&lt;&gt;"Included Margin"),1,IF(Summary!$D$25="Included Margin",VLOOKUP($B647,'Mortality Margins &amp; Grading'!$AI$5:$AR$125,MATCH('Mortality Margins &amp; Grading'!$AQ$4,'Mortality Margins &amp; Grading'!$AI$4:$AR$4,0),0),1)))</f>
        <v>0</v>
      </c>
      <c r="AC647" s="154"/>
      <c r="AD647" s="158">
        <f>IF(E647="","",Input!$C$48*IF(Summary!$D$30="Included Margin",IF(AND($B647&gt;Input!$C$9,Summary!$D$31&lt;&gt;"Included Margin"),0,1),0))</f>
        <v>-4.4999999999999997E-3</v>
      </c>
      <c r="AE647" s="159">
        <f>IF(E647="","",IF(Summary!$D$26="Included Margin",IF(AND($B647&gt;Input!$C$9,Summary!$D$31&lt;&gt;"Included Margin"),1,1/$R647),1))</f>
        <v>1.3042976760704315</v>
      </c>
      <c r="AF647" s="160">
        <f>IF(E647="","",IF(AND($B647&gt;=Input!$C$9,$C647=12,Summary!$D$31="Included Margin",$U647&gt;0),1/U647-1,IF($B647&gt;=Input!$C$9,0,Input!$C$45*IF(Summary!$D$27="Included Margin",1,0))))</f>
        <v>0</v>
      </c>
      <c r="AG647" s="160">
        <f>IF(E647="","",Input!$C$46*IF(Summary!$D$28="Included Margin",IF(AND($B647&gt;Input!$C$9,Summary!$D$31&lt;&gt;"Included Margin"),0,1),0))</f>
        <v>0.02</v>
      </c>
      <c r="AH647" s="158">
        <f>IF(E647="","",Input!$C$47*IF(Summary!$D$29="Included Margin",IF(AND($B647&gt;Input!$C$9,Summary!$D$31&lt;&gt;"Included Margin"),0,1),0))</f>
        <v>2.5000000000000001E-3</v>
      </c>
      <c r="AI647" s="154"/>
      <c r="AJ647" s="158">
        <f t="shared" si="435"/>
        <v>4.3180000000000003E-2</v>
      </c>
      <c r="AK647" s="155">
        <f t="shared" si="436"/>
        <v>3.5290240795862182E-3</v>
      </c>
      <c r="AL647" s="147">
        <f t="shared" si="437"/>
        <v>1</v>
      </c>
      <c r="AM647" s="147">
        <f t="shared" si="415"/>
        <v>1</v>
      </c>
      <c r="AN647" s="160">
        <f t="shared" si="438"/>
        <v>0</v>
      </c>
      <c r="AO647" s="161">
        <f t="shared" si="439"/>
        <v>0</v>
      </c>
      <c r="AP647" s="156">
        <f t="shared" si="416"/>
        <v>3.2520392904456847</v>
      </c>
      <c r="AQ647" s="152"/>
      <c r="AR647" s="162">
        <f t="shared" si="417"/>
        <v>99823.859597880917</v>
      </c>
      <c r="AS647" s="150">
        <f t="shared" si="440"/>
        <v>0</v>
      </c>
      <c r="AT647" s="163">
        <f t="shared" si="418"/>
        <v>0</v>
      </c>
      <c r="AU647" s="163">
        <f t="shared" si="419"/>
        <v>100000</v>
      </c>
      <c r="AV647" s="163">
        <f t="shared" si="441"/>
        <v>175.82960025884466</v>
      </c>
      <c r="AW647" s="163">
        <f t="shared" si="420"/>
        <v>99824.170399741153</v>
      </c>
      <c r="AX647" s="163">
        <f t="shared" si="421"/>
        <v>0</v>
      </c>
      <c r="AY647" s="164">
        <f t="shared" si="442"/>
        <v>99823.859597880917</v>
      </c>
      <c r="AZ647" s="164">
        <f>IF($E647="","",IF(OR(AND($D647=Input!$C$6,$C647=12),$AN647=1),0,-AS648+AT648+AU648-AV648-AW648-AX648+AZ648))</f>
        <v>99824.170399741153</v>
      </c>
      <c r="BA647" s="154">
        <f t="shared" si="422"/>
        <v>0.31080186023609713</v>
      </c>
      <c r="BC647" s="147">
        <f t="shared" si="443"/>
        <v>4.7807995153797756E-7</v>
      </c>
      <c r="BD647" s="164">
        <f>IF(AND($C646=12,$D646=Input!$C$6),0,IF($E647="","",AT647+(AU647+BD648)/(1+$AK647)*MIN((1-AM647-AN647),1)))</f>
        <v>0</v>
      </c>
      <c r="BE647" s="164">
        <f t="shared" si="423"/>
        <v>0</v>
      </c>
      <c r="BF647" s="164">
        <f t="shared" si="444"/>
        <v>99824.170399741153</v>
      </c>
      <c r="BG647" s="164">
        <f t="shared" si="424"/>
        <v>4.7723934547027065E-2</v>
      </c>
      <c r="BH647" s="152"/>
      <c r="BI647" s="162">
        <f t="shared" si="425"/>
        <v>30340.851148772839</v>
      </c>
      <c r="BJ647" s="150">
        <f t="shared" si="426"/>
        <v>0</v>
      </c>
      <c r="BK647" s="163">
        <f t="shared" ref="BK647:BK710" si="448">IF($E647="","",$V647*$X647)</f>
        <v>0</v>
      </c>
      <c r="BL647" s="163">
        <f t="shared" si="427"/>
        <v>8202.1179853197464</v>
      </c>
      <c r="BM647" s="163">
        <f t="shared" ref="BM647:BM710" si="449">IF($E647="","",(BI647+BJ647-BK647-BL647/2)*$N647)</f>
        <v>102.04810388087407</v>
      </c>
      <c r="BN647" s="163">
        <f t="shared" si="428"/>
        <v>1987.2110545690939</v>
      </c>
      <c r="BO647" s="163">
        <f t="shared" si="429"/>
        <v>0</v>
      </c>
      <c r="BP647" s="164">
        <f t="shared" ref="BP647:BP710" si="450">IF($E647="","",BI647+BJ647-BK647-BL647+BM647+BN647+BO647)</f>
        <v>24227.992321903061</v>
      </c>
      <c r="BQ647" s="164">
        <f>IF($E647="","",IF(AND($D647=Input!$C$6,$C647=12),0,-BJ648+BK648+BL648-BM648-BN648-BO648+BQ648))</f>
        <v>24228.023275522606</v>
      </c>
      <c r="BR647" s="161">
        <f t="shared" si="430"/>
        <v>0</v>
      </c>
      <c r="BT647" s="147">
        <f t="shared" si="431"/>
        <v>4.7807995153797756E-7</v>
      </c>
      <c r="BU647" s="164">
        <f>IF(AND($C646=12,$D646=Input!$C$6),0,IF($E647="","",BK647+(BL647+BU648)/(1+$AK647)*MIN((1-T647-U647),1)))</f>
        <v>79386.461784575135</v>
      </c>
      <c r="BV647" s="164">
        <f t="shared" si="432"/>
        <v>3.7953075802741189E-2</v>
      </c>
      <c r="BW647" s="164">
        <f t="shared" si="433"/>
        <v>24228.023275522606</v>
      </c>
      <c r="BX647" s="164">
        <f t="shared" si="434"/>
        <v>1.1582932193422839E-2</v>
      </c>
    </row>
    <row r="648" spans="1:76" s="150" customFormat="1" x14ac:dyDescent="0.25">
      <c r="A648" s="150">
        <f t="shared" si="445"/>
        <v>644</v>
      </c>
      <c r="B648" s="150">
        <f t="shared" si="446"/>
        <v>54</v>
      </c>
      <c r="C648" s="150">
        <f t="shared" si="447"/>
        <v>8</v>
      </c>
      <c r="D648" s="150">
        <f>IF(E648="","",Input!$C$4+B648-1)</f>
        <v>98</v>
      </c>
      <c r="E648" s="150">
        <f>IF(OR(AND(C647=12,D647=Input!$C$6),E647=""),"",1)</f>
        <v>1</v>
      </c>
      <c r="F648" s="150">
        <f>IF(E648="","",Input!$C$8+B648-1)</f>
        <v>2071</v>
      </c>
      <c r="G648" s="151">
        <f>IF(E648="","",MAX(0,Input!$C$9-B648))</f>
        <v>0</v>
      </c>
      <c r="H648" s="152">
        <f>IF(E648="","",Input!$C$3)</f>
        <v>100000</v>
      </c>
      <c r="I648" s="153">
        <f>IF(E648="","",HLOOKUP($B648,Input!$C$13:$BT$14,2))</f>
        <v>746.53949999999998</v>
      </c>
      <c r="J648" s="154"/>
      <c r="K648" s="155">
        <f>IF($E648="","",INDEX(Input!$C$16:$CP$16,1,$B648))</f>
        <v>3.2680000000000001E-2</v>
      </c>
      <c r="L648" s="155">
        <f>IF($E648="","",Input!$C$37)</f>
        <v>1.4999999999999999E-2</v>
      </c>
      <c r="M648" s="155">
        <f t="shared" si="410"/>
        <v>4.768E-2</v>
      </c>
      <c r="N648" s="155">
        <f t="shared" si="411"/>
        <v>3.8890591538889296E-3</v>
      </c>
      <c r="O648" s="147">
        <f>IF($E648="","",MIN(VLOOKUP(IF($B648&lt;=Input!$C$7,$B648,26),'Mortality Tables'!$A$41:$CW$67,IF($B648&lt;=Input!$C$7+1,Input!$C$4+2,$D648-Input!$C$7+2),0)*IF(B648&gt;20,Input!$C$22,1)/1000,1))</f>
        <v>0.83724200000000004</v>
      </c>
      <c r="P648" s="147">
        <f>IF($E648="","",MIN(VLOOKUP(IF($B648&lt;=Input!$C$7,$B648,26),'Mortality Tables'!$A$12:$CW$37,IF($B648&lt;=Input!$C$7+1,Input!$C$4+2,$D648-Input!$C$7+2),0)*IF(B648&gt;20,Input!$C$22,1)/1000,1))</f>
        <v>1</v>
      </c>
      <c r="Q648" s="155">
        <f>IF($E648="","",Input!$C$21)</f>
        <v>5.0000000000000001E-3</v>
      </c>
      <c r="R648" s="159">
        <f>IF($E648="","",(1-Q648)^($F648-Input!$C$20))</f>
        <v>0.76669614486532323</v>
      </c>
      <c r="S648" s="147">
        <f t="shared" si="413"/>
        <v>0.64191021371933299</v>
      </c>
      <c r="T648" s="147">
        <f t="shared" si="414"/>
        <v>8.2021179853197457E-2</v>
      </c>
      <c r="U648" s="160">
        <f>IF($E648="","",IF($C648=12,INDEX(Input!$C$15:$CP$15,1,$B648),0))</f>
        <v>0</v>
      </c>
      <c r="V648" s="150">
        <f>IF(E648="","",IF(C648=1,IF($B648=1,Input!$C$33,Input!$C$34),0))</f>
        <v>0</v>
      </c>
      <c r="W648" s="156">
        <f>IF($E648="","",Input!$C$35)</f>
        <v>0.02</v>
      </c>
      <c r="X648" s="156">
        <f t="shared" si="412"/>
        <v>2.8563347491571447</v>
      </c>
      <c r="Y648" s="154"/>
      <c r="Z648" s="147">
        <f>IF($E648="","",VLOOKUP($D648,'Mortality Margins &amp; Grading'!$AB$5:$AF$125,3,0)*IF(Summary!$D$25="Included Margin",IF(AND($B648&gt;Input!$C$9,Summary!$D$31&lt;&gt;"Included Margin"),0,1),0))</f>
        <v>1.6E-2</v>
      </c>
      <c r="AA648" s="147">
        <f>IF($E648="","",VLOOKUP($D648,'Mortality Margins &amp; Grading'!$AB$5:$AF$125,5,0)*IF(Summary!$D$25="Included Margin",IF(AND($B648&gt;Input!$C$9,Summary!$D$31&lt;&gt;"Included Margin"),0,1),0))</f>
        <v>8.1000000000000003E-2</v>
      </c>
      <c r="AB648" s="147">
        <f>IF($E648="","",IF(AND($B648&gt;Input!$C$9,Summary!$D$31&lt;&gt;"Included Margin"),1,IF(Summary!$D$25="Included Margin",VLOOKUP($B648,'Mortality Margins &amp; Grading'!$AI$5:$AR$125,MATCH('Mortality Margins &amp; Grading'!$AQ$4,'Mortality Margins &amp; Grading'!$AI$4:$AR$4,0),0),1)))</f>
        <v>0</v>
      </c>
      <c r="AC648" s="154"/>
      <c r="AD648" s="158">
        <f>IF(E648="","",Input!$C$48*IF(Summary!$D$30="Included Margin",IF(AND($B648&gt;Input!$C$9,Summary!$D$31&lt;&gt;"Included Margin"),0,1),0))</f>
        <v>-4.4999999999999997E-3</v>
      </c>
      <c r="AE648" s="159">
        <f>IF(E648="","",IF(Summary!$D$26="Included Margin",IF(AND($B648&gt;Input!$C$9,Summary!$D$31&lt;&gt;"Included Margin"),1,1/$R648),1))</f>
        <v>1.3042976760704315</v>
      </c>
      <c r="AF648" s="160">
        <f>IF(E648="","",IF(AND($B648&gt;=Input!$C$9,$C648=12,Summary!$D$31="Included Margin",$U648&gt;0),1/U648-1,IF($B648&gt;=Input!$C$9,0,Input!$C$45*IF(Summary!$D$27="Included Margin",1,0))))</f>
        <v>0</v>
      </c>
      <c r="AG648" s="160">
        <f>IF(E648="","",Input!$C$46*IF(Summary!$D$28="Included Margin",IF(AND($B648&gt;Input!$C$9,Summary!$D$31&lt;&gt;"Included Margin"),0,1),0))</f>
        <v>0.02</v>
      </c>
      <c r="AH648" s="158">
        <f>IF(E648="","",Input!$C$47*IF(Summary!$D$29="Included Margin",IF(AND($B648&gt;Input!$C$9,Summary!$D$31&lt;&gt;"Included Margin"),0,1),0))</f>
        <v>2.5000000000000001E-3</v>
      </c>
      <c r="AI648" s="154"/>
      <c r="AJ648" s="158">
        <f t="shared" si="435"/>
        <v>4.3180000000000003E-2</v>
      </c>
      <c r="AK648" s="155">
        <f t="shared" si="436"/>
        <v>3.5290240795862182E-3</v>
      </c>
      <c r="AL648" s="147">
        <f t="shared" si="437"/>
        <v>1</v>
      </c>
      <c r="AM648" s="147">
        <f t="shared" si="415"/>
        <v>1</v>
      </c>
      <c r="AN648" s="160">
        <f t="shared" si="438"/>
        <v>0</v>
      </c>
      <c r="AO648" s="161">
        <f t="shared" si="439"/>
        <v>0</v>
      </c>
      <c r="AP648" s="156">
        <f t="shared" si="416"/>
        <v>3.2520392904456847</v>
      </c>
      <c r="AQ648" s="152"/>
      <c r="AR648" s="162">
        <f t="shared" si="417"/>
        <v>99823.859597880917</v>
      </c>
      <c r="AS648" s="150">
        <f t="shared" si="440"/>
        <v>0</v>
      </c>
      <c r="AT648" s="163">
        <f t="shared" si="418"/>
        <v>0</v>
      </c>
      <c r="AU648" s="163">
        <f t="shared" si="419"/>
        <v>100000</v>
      </c>
      <c r="AV648" s="163">
        <f t="shared" si="441"/>
        <v>175.82960025884466</v>
      </c>
      <c r="AW648" s="163">
        <f t="shared" si="420"/>
        <v>99824.170399741153</v>
      </c>
      <c r="AX648" s="163">
        <f t="shared" si="421"/>
        <v>0</v>
      </c>
      <c r="AY648" s="165">
        <f t="shared" si="442"/>
        <v>99823.859597880917</v>
      </c>
      <c r="AZ648" s="164">
        <f>IF($E648="","",IF(OR(AND($D648=Input!$C$6,$C648=12),$AN648=1),0,-AS649+AT649+AU649-AV649-AW649-AX649+AZ649))</f>
        <v>99824.170399741153</v>
      </c>
      <c r="BA648" s="154">
        <f t="shared" si="422"/>
        <v>0.31080186023609713</v>
      </c>
      <c r="BC648" s="147">
        <f t="shared" si="443"/>
        <v>4.3886726984867318E-7</v>
      </c>
      <c r="BD648" s="164">
        <f>IF(AND($C647=12,$D647=Input!$C$6),0,IF($E648="","",AT648+(AU648+BD649)/(1+$AK648)*MIN((1-AM648-AN648),1)))</f>
        <v>0</v>
      </c>
      <c r="BE648" s="164">
        <f t="shared" si="423"/>
        <v>0</v>
      </c>
      <c r="BF648" s="164">
        <f t="shared" si="444"/>
        <v>99824.170399741153</v>
      </c>
      <c r="BG648" s="164">
        <f t="shared" si="424"/>
        <v>4.3809561128243135E-2</v>
      </c>
      <c r="BH648" s="152"/>
      <c r="BI648" s="162">
        <f t="shared" si="425"/>
        <v>24227.992321903061</v>
      </c>
      <c r="BJ648" s="150">
        <f t="shared" si="426"/>
        <v>0</v>
      </c>
      <c r="BK648" s="163">
        <f t="shared" si="448"/>
        <v>0</v>
      </c>
      <c r="BL648" s="163">
        <f t="shared" si="427"/>
        <v>8202.1179853197464</v>
      </c>
      <c r="BM648" s="163">
        <f t="shared" si="449"/>
        <v>78.274834303805406</v>
      </c>
      <c r="BN648" s="163">
        <f t="shared" si="428"/>
        <v>1438.9044990920534</v>
      </c>
      <c r="BO648" s="163">
        <f t="shared" si="429"/>
        <v>0</v>
      </c>
      <c r="BP648" s="164">
        <f t="shared" si="450"/>
        <v>17543.053669979174</v>
      </c>
      <c r="BQ648" s="164">
        <f>IF($E648="","",IF(AND($D648=Input!$C$6,$C648=12),0,-BJ649+BK649+BL649-BM649-BN649-BO649+BQ649))</f>
        <v>17543.084623598719</v>
      </c>
      <c r="BR648" s="161">
        <f t="shared" si="430"/>
        <v>0</v>
      </c>
      <c r="BT648" s="147">
        <f t="shared" si="431"/>
        <v>4.3886726984867318E-7</v>
      </c>
      <c r="BU648" s="164">
        <f>IF(AND($C647=12,$D647=Input!$C$6),0,IF($E648="","",BK648+(BL648+BU649)/(1+$AK648)*MIN((1-T648-U648),1)))</f>
        <v>78582.693135993293</v>
      </c>
      <c r="BV648" s="164">
        <f t="shared" si="432"/>
        <v>3.4487371993949446E-2</v>
      </c>
      <c r="BW648" s="164">
        <f t="shared" si="433"/>
        <v>17543.084623598719</v>
      </c>
      <c r="BX648" s="164">
        <f t="shared" si="434"/>
        <v>7.6990856534830086E-3</v>
      </c>
    </row>
    <row r="649" spans="1:76" s="150" customFormat="1" x14ac:dyDescent="0.25">
      <c r="A649" s="150">
        <f t="shared" si="445"/>
        <v>645</v>
      </c>
      <c r="B649" s="150">
        <f t="shared" si="446"/>
        <v>54</v>
      </c>
      <c r="C649" s="150">
        <f t="shared" si="447"/>
        <v>9</v>
      </c>
      <c r="D649" s="150">
        <f>IF(E649="","",Input!$C$4+B649-1)</f>
        <v>98</v>
      </c>
      <c r="E649" s="150">
        <f>IF(OR(AND(C648=12,D648=Input!$C$6),E648=""),"",1)</f>
        <v>1</v>
      </c>
      <c r="F649" s="150">
        <f>IF(E649="","",Input!$C$8+B649-1)</f>
        <v>2071</v>
      </c>
      <c r="G649" s="151">
        <f>IF(E649="","",MAX(0,Input!$C$9-B649))</f>
        <v>0</v>
      </c>
      <c r="H649" s="152">
        <f>IF(E649="","",Input!$C$3)</f>
        <v>100000</v>
      </c>
      <c r="I649" s="153">
        <f>IF(E649="","",HLOOKUP($B649,Input!$C$13:$BT$14,2))</f>
        <v>746.53949999999998</v>
      </c>
      <c r="J649" s="154"/>
      <c r="K649" s="155">
        <f>IF($E649="","",INDEX(Input!$C$16:$CP$16,1,$B649))</f>
        <v>3.2680000000000001E-2</v>
      </c>
      <c r="L649" s="155">
        <f>IF($E649="","",Input!$C$37)</f>
        <v>1.4999999999999999E-2</v>
      </c>
      <c r="M649" s="155">
        <f t="shared" si="410"/>
        <v>4.768E-2</v>
      </c>
      <c r="N649" s="155">
        <f t="shared" si="411"/>
        <v>3.8890591538889296E-3</v>
      </c>
      <c r="O649" s="147">
        <f>IF($E649="","",MIN(VLOOKUP(IF($B649&lt;=Input!$C$7,$B649,26),'Mortality Tables'!$A$41:$CW$67,IF($B649&lt;=Input!$C$7+1,Input!$C$4+2,$D649-Input!$C$7+2),0)*IF(B649&gt;20,Input!$C$22,1)/1000,1))</f>
        <v>0.83724200000000004</v>
      </c>
      <c r="P649" s="147">
        <f>IF($E649="","",MIN(VLOOKUP(IF($B649&lt;=Input!$C$7,$B649,26),'Mortality Tables'!$A$12:$CW$37,IF($B649&lt;=Input!$C$7+1,Input!$C$4+2,$D649-Input!$C$7+2),0)*IF(B649&gt;20,Input!$C$22,1)/1000,1))</f>
        <v>1</v>
      </c>
      <c r="Q649" s="155">
        <f>IF($E649="","",Input!$C$21)</f>
        <v>5.0000000000000001E-3</v>
      </c>
      <c r="R649" s="159">
        <f>IF($E649="","",(1-Q649)^($F649-Input!$C$20))</f>
        <v>0.76669614486532323</v>
      </c>
      <c r="S649" s="147">
        <f t="shared" si="413"/>
        <v>0.64191021371933299</v>
      </c>
      <c r="T649" s="147">
        <f t="shared" si="414"/>
        <v>8.2021179853197457E-2</v>
      </c>
      <c r="U649" s="160">
        <f>IF($E649="","",IF($C649=12,INDEX(Input!$C$15:$CP$15,1,$B649),0))</f>
        <v>0</v>
      </c>
      <c r="V649" s="150">
        <f>IF(E649="","",IF(C649=1,IF($B649=1,Input!$C$33,Input!$C$34),0))</f>
        <v>0</v>
      </c>
      <c r="W649" s="156">
        <f>IF($E649="","",Input!$C$35)</f>
        <v>0.02</v>
      </c>
      <c r="X649" s="156">
        <f t="shared" si="412"/>
        <v>2.8563347491571447</v>
      </c>
      <c r="Y649" s="154"/>
      <c r="Z649" s="147">
        <f>IF($E649="","",VLOOKUP($D649,'Mortality Margins &amp; Grading'!$AB$5:$AF$125,3,0)*IF(Summary!$D$25="Included Margin",IF(AND($B649&gt;Input!$C$9,Summary!$D$31&lt;&gt;"Included Margin"),0,1),0))</f>
        <v>1.6E-2</v>
      </c>
      <c r="AA649" s="147">
        <f>IF($E649="","",VLOOKUP($D649,'Mortality Margins &amp; Grading'!$AB$5:$AF$125,5,0)*IF(Summary!$D$25="Included Margin",IF(AND($B649&gt;Input!$C$9,Summary!$D$31&lt;&gt;"Included Margin"),0,1),0))</f>
        <v>8.1000000000000003E-2</v>
      </c>
      <c r="AB649" s="147">
        <f>IF($E649="","",IF(AND($B649&gt;Input!$C$9,Summary!$D$31&lt;&gt;"Included Margin"),1,IF(Summary!$D$25="Included Margin",VLOOKUP($B649,'Mortality Margins &amp; Grading'!$AI$5:$AR$125,MATCH('Mortality Margins &amp; Grading'!$AQ$4,'Mortality Margins &amp; Grading'!$AI$4:$AR$4,0),0),1)))</f>
        <v>0</v>
      </c>
      <c r="AC649" s="154"/>
      <c r="AD649" s="158">
        <f>IF(E649="","",Input!$C$48*IF(Summary!$D$30="Included Margin",IF(AND($B649&gt;Input!$C$9,Summary!$D$31&lt;&gt;"Included Margin"),0,1),0))</f>
        <v>-4.4999999999999997E-3</v>
      </c>
      <c r="AE649" s="159">
        <f>IF(E649="","",IF(Summary!$D$26="Included Margin",IF(AND($B649&gt;Input!$C$9,Summary!$D$31&lt;&gt;"Included Margin"),1,1/$R649),1))</f>
        <v>1.3042976760704315</v>
      </c>
      <c r="AF649" s="160">
        <f>IF(E649="","",IF(AND($B649&gt;=Input!$C$9,$C649=12,Summary!$D$31="Included Margin",$U649&gt;0),1/U649-1,IF($B649&gt;=Input!$C$9,0,Input!$C$45*IF(Summary!$D$27="Included Margin",1,0))))</f>
        <v>0</v>
      </c>
      <c r="AG649" s="160">
        <f>IF(E649="","",Input!$C$46*IF(Summary!$D$28="Included Margin",IF(AND($B649&gt;Input!$C$9,Summary!$D$31&lt;&gt;"Included Margin"),0,1),0))</f>
        <v>0.02</v>
      </c>
      <c r="AH649" s="158">
        <f>IF(E649="","",Input!$C$47*IF(Summary!$D$29="Included Margin",IF(AND($B649&gt;Input!$C$9,Summary!$D$31&lt;&gt;"Included Margin"),0,1),0))</f>
        <v>2.5000000000000001E-3</v>
      </c>
      <c r="AI649" s="154"/>
      <c r="AJ649" s="158">
        <f t="shared" si="435"/>
        <v>4.3180000000000003E-2</v>
      </c>
      <c r="AK649" s="155">
        <f t="shared" si="436"/>
        <v>3.5290240795862182E-3</v>
      </c>
      <c r="AL649" s="147">
        <f t="shared" si="437"/>
        <v>1</v>
      </c>
      <c r="AM649" s="147">
        <f t="shared" si="415"/>
        <v>1</v>
      </c>
      <c r="AN649" s="160">
        <f t="shared" si="438"/>
        <v>0</v>
      </c>
      <c r="AO649" s="161">
        <f t="shared" si="439"/>
        <v>0</v>
      </c>
      <c r="AP649" s="156">
        <f t="shared" si="416"/>
        <v>3.2520392904456847</v>
      </c>
      <c r="AQ649" s="152"/>
      <c r="AR649" s="162">
        <f t="shared" si="417"/>
        <v>99823.859597880917</v>
      </c>
      <c r="AS649" s="150">
        <f t="shared" si="440"/>
        <v>0</v>
      </c>
      <c r="AT649" s="163">
        <f t="shared" si="418"/>
        <v>0</v>
      </c>
      <c r="AU649" s="163">
        <f t="shared" si="419"/>
        <v>100000</v>
      </c>
      <c r="AV649" s="163">
        <f t="shared" si="441"/>
        <v>175.82960025884466</v>
      </c>
      <c r="AW649" s="163">
        <f t="shared" si="420"/>
        <v>99824.170399741153</v>
      </c>
      <c r="AX649" s="163">
        <f t="shared" si="421"/>
        <v>0</v>
      </c>
      <c r="AY649" s="164">
        <f t="shared" si="442"/>
        <v>99823.859597880917</v>
      </c>
      <c r="AZ649" s="164">
        <f>IF($E649="","",IF(OR(AND($D649=Input!$C$6,$C649=12),$AN649=1),0,-AS650+AT650+AU650-AV650-AW650-AX650+AZ650))</f>
        <v>99824.170399741153</v>
      </c>
      <c r="BA649" s="154">
        <f t="shared" si="422"/>
        <v>0.31080186023609713</v>
      </c>
      <c r="BC649" s="147">
        <f t="shared" si="443"/>
        <v>4.028708585767334E-7</v>
      </c>
      <c r="BD649" s="164">
        <f>IF(AND($C648=12,$D648=Input!$C$6),0,IF($E649="","",AT649+(AU649+BD650)/(1+$AK649)*MIN((1-AM649-AN649),1)))</f>
        <v>0</v>
      </c>
      <c r="BE649" s="164">
        <f t="shared" si="423"/>
        <v>0</v>
      </c>
      <c r="BF649" s="164">
        <f t="shared" si="444"/>
        <v>99824.170399741153</v>
      </c>
      <c r="BG649" s="164">
        <f t="shared" si="424"/>
        <v>4.0216249235653853E-2</v>
      </c>
      <c r="BH649" s="152"/>
      <c r="BI649" s="162">
        <f t="shared" si="425"/>
        <v>17543.05366997917</v>
      </c>
      <c r="BJ649" s="150">
        <f t="shared" si="426"/>
        <v>0</v>
      </c>
      <c r="BK649" s="163">
        <f t="shared" si="448"/>
        <v>0</v>
      </c>
      <c r="BL649" s="163">
        <f t="shared" si="427"/>
        <v>8202.1179853197464</v>
      </c>
      <c r="BM649" s="163">
        <f t="shared" si="449"/>
        <v>52.276712446354878</v>
      </c>
      <c r="BN649" s="163">
        <f t="shared" si="428"/>
        <v>839.28396316538556</v>
      </c>
      <c r="BO649" s="163">
        <f t="shared" si="429"/>
        <v>0</v>
      </c>
      <c r="BP649" s="164">
        <f t="shared" si="450"/>
        <v>10232.496360271165</v>
      </c>
      <c r="BQ649" s="164">
        <f>IF($E649="","",IF(AND($D649=Input!$C$6,$C649=12),0,-BJ650+BK650+BL650-BM650-BN650-BO650+BQ650))</f>
        <v>10232.527313890712</v>
      </c>
      <c r="BR649" s="161">
        <f t="shared" si="430"/>
        <v>0</v>
      </c>
      <c r="BT649" s="147">
        <f t="shared" si="431"/>
        <v>4.028708585767334E-7</v>
      </c>
      <c r="BU649" s="164">
        <f>IF(AND($C648=12,$D648=Input!$C$6),0,IF($E649="","",BK649+(BL649+BU650)/(1+$AK649)*MIN((1-T649-U649),1)))</f>
        <v>77704.01799687832</v>
      </c>
      <c r="BV649" s="164">
        <f t="shared" si="432"/>
        <v>3.1304684445264311E-2</v>
      </c>
      <c r="BW649" s="164">
        <f t="shared" si="433"/>
        <v>10232.527313890712</v>
      </c>
      <c r="BX649" s="164">
        <f t="shared" si="434"/>
        <v>4.1223870643570266E-3</v>
      </c>
    </row>
    <row r="650" spans="1:76" s="150" customFormat="1" x14ac:dyDescent="0.25">
      <c r="A650" s="150">
        <f t="shared" si="445"/>
        <v>646</v>
      </c>
      <c r="B650" s="150">
        <f t="shared" si="446"/>
        <v>54</v>
      </c>
      <c r="C650" s="150">
        <f t="shared" si="447"/>
        <v>10</v>
      </c>
      <c r="D650" s="150">
        <f>IF(E650="","",Input!$C$4+B650-1)</f>
        <v>98</v>
      </c>
      <c r="E650" s="150">
        <f>IF(OR(AND(C649=12,D649=Input!$C$6),E649=""),"",1)</f>
        <v>1</v>
      </c>
      <c r="F650" s="150">
        <f>IF(E650="","",Input!$C$8+B650-1)</f>
        <v>2071</v>
      </c>
      <c r="G650" s="151">
        <f>IF(E650="","",MAX(0,Input!$C$9-B650))</f>
        <v>0</v>
      </c>
      <c r="H650" s="152">
        <f>IF(E650="","",Input!$C$3)</f>
        <v>100000</v>
      </c>
      <c r="I650" s="153">
        <f>IF(E650="","",HLOOKUP($B650,Input!$C$13:$BT$14,2))</f>
        <v>746.53949999999998</v>
      </c>
      <c r="J650" s="154"/>
      <c r="K650" s="155">
        <f>IF($E650="","",INDEX(Input!$C$16:$CP$16,1,$B650))</f>
        <v>3.2680000000000001E-2</v>
      </c>
      <c r="L650" s="155">
        <f>IF($E650="","",Input!$C$37)</f>
        <v>1.4999999999999999E-2</v>
      </c>
      <c r="M650" s="155">
        <f t="shared" si="410"/>
        <v>4.768E-2</v>
      </c>
      <c r="N650" s="155">
        <f t="shared" si="411"/>
        <v>3.8890591538889296E-3</v>
      </c>
      <c r="O650" s="147">
        <f>IF($E650="","",MIN(VLOOKUP(IF($B650&lt;=Input!$C$7,$B650,26),'Mortality Tables'!$A$41:$CW$67,IF($B650&lt;=Input!$C$7+1,Input!$C$4+2,$D650-Input!$C$7+2),0)*IF(B650&gt;20,Input!$C$22,1)/1000,1))</f>
        <v>0.83724200000000004</v>
      </c>
      <c r="P650" s="147">
        <f>IF($E650="","",MIN(VLOOKUP(IF($B650&lt;=Input!$C$7,$B650,26),'Mortality Tables'!$A$12:$CW$37,IF($B650&lt;=Input!$C$7+1,Input!$C$4+2,$D650-Input!$C$7+2),0)*IF(B650&gt;20,Input!$C$22,1)/1000,1))</f>
        <v>1</v>
      </c>
      <c r="Q650" s="155">
        <f>IF($E650="","",Input!$C$21)</f>
        <v>5.0000000000000001E-3</v>
      </c>
      <c r="R650" s="159">
        <f>IF($E650="","",(1-Q650)^($F650-Input!$C$20))</f>
        <v>0.76669614486532323</v>
      </c>
      <c r="S650" s="147">
        <f t="shared" si="413"/>
        <v>0.64191021371933299</v>
      </c>
      <c r="T650" s="147">
        <f t="shared" si="414"/>
        <v>8.2021179853197457E-2</v>
      </c>
      <c r="U650" s="160">
        <f>IF($E650="","",IF($C650=12,INDEX(Input!$C$15:$CP$15,1,$B650),0))</f>
        <v>0</v>
      </c>
      <c r="V650" s="150">
        <f>IF(E650="","",IF(C650=1,IF($B650=1,Input!$C$33,Input!$C$34),0))</f>
        <v>0</v>
      </c>
      <c r="W650" s="156">
        <f>IF($E650="","",Input!$C$35)</f>
        <v>0.02</v>
      </c>
      <c r="X650" s="156">
        <f t="shared" si="412"/>
        <v>2.8563347491571447</v>
      </c>
      <c r="Y650" s="154"/>
      <c r="Z650" s="147">
        <f>IF($E650="","",VLOOKUP($D650,'Mortality Margins &amp; Grading'!$AB$5:$AF$125,3,0)*IF(Summary!$D$25="Included Margin",IF(AND($B650&gt;Input!$C$9,Summary!$D$31&lt;&gt;"Included Margin"),0,1),0))</f>
        <v>1.6E-2</v>
      </c>
      <c r="AA650" s="147">
        <f>IF($E650="","",VLOOKUP($D650,'Mortality Margins &amp; Grading'!$AB$5:$AF$125,5,0)*IF(Summary!$D$25="Included Margin",IF(AND($B650&gt;Input!$C$9,Summary!$D$31&lt;&gt;"Included Margin"),0,1),0))</f>
        <v>8.1000000000000003E-2</v>
      </c>
      <c r="AB650" s="147">
        <f>IF($E650="","",IF(AND($B650&gt;Input!$C$9,Summary!$D$31&lt;&gt;"Included Margin"),1,IF(Summary!$D$25="Included Margin",VLOOKUP($B650,'Mortality Margins &amp; Grading'!$AI$5:$AR$125,MATCH('Mortality Margins &amp; Grading'!$AQ$4,'Mortality Margins &amp; Grading'!$AI$4:$AR$4,0),0),1)))</f>
        <v>0</v>
      </c>
      <c r="AC650" s="154"/>
      <c r="AD650" s="158">
        <f>IF(E650="","",Input!$C$48*IF(Summary!$D$30="Included Margin",IF(AND($B650&gt;Input!$C$9,Summary!$D$31&lt;&gt;"Included Margin"),0,1),0))</f>
        <v>-4.4999999999999997E-3</v>
      </c>
      <c r="AE650" s="159">
        <f>IF(E650="","",IF(Summary!$D$26="Included Margin",IF(AND($B650&gt;Input!$C$9,Summary!$D$31&lt;&gt;"Included Margin"),1,1/$R650),1))</f>
        <v>1.3042976760704315</v>
      </c>
      <c r="AF650" s="160">
        <f>IF(E650="","",IF(AND($B650&gt;=Input!$C$9,$C650=12,Summary!$D$31="Included Margin",$U650&gt;0),1/U650-1,IF($B650&gt;=Input!$C$9,0,Input!$C$45*IF(Summary!$D$27="Included Margin",1,0))))</f>
        <v>0</v>
      </c>
      <c r="AG650" s="160">
        <f>IF(E650="","",Input!$C$46*IF(Summary!$D$28="Included Margin",IF(AND($B650&gt;Input!$C$9,Summary!$D$31&lt;&gt;"Included Margin"),0,1),0))</f>
        <v>0.02</v>
      </c>
      <c r="AH650" s="158">
        <f>IF(E650="","",Input!$C$47*IF(Summary!$D$29="Included Margin",IF(AND($B650&gt;Input!$C$9,Summary!$D$31&lt;&gt;"Included Margin"),0,1),0))</f>
        <v>2.5000000000000001E-3</v>
      </c>
      <c r="AI650" s="154"/>
      <c r="AJ650" s="158">
        <f t="shared" si="435"/>
        <v>4.3180000000000003E-2</v>
      </c>
      <c r="AK650" s="155">
        <f t="shared" si="436"/>
        <v>3.5290240795862182E-3</v>
      </c>
      <c r="AL650" s="147">
        <f t="shared" si="437"/>
        <v>1</v>
      </c>
      <c r="AM650" s="147">
        <f t="shared" si="415"/>
        <v>1</v>
      </c>
      <c r="AN650" s="160">
        <f t="shared" si="438"/>
        <v>0</v>
      </c>
      <c r="AO650" s="161">
        <f t="shared" si="439"/>
        <v>0</v>
      </c>
      <c r="AP650" s="156">
        <f t="shared" si="416"/>
        <v>3.2520392904456847</v>
      </c>
      <c r="AQ650" s="152"/>
      <c r="AR650" s="162">
        <f t="shared" si="417"/>
        <v>99823.859597880917</v>
      </c>
      <c r="AS650" s="150">
        <f t="shared" si="440"/>
        <v>0</v>
      </c>
      <c r="AT650" s="163">
        <f t="shared" si="418"/>
        <v>0</v>
      </c>
      <c r="AU650" s="163">
        <f t="shared" si="419"/>
        <v>100000</v>
      </c>
      <c r="AV650" s="163">
        <f t="shared" si="441"/>
        <v>175.82960025884466</v>
      </c>
      <c r="AW650" s="163">
        <f t="shared" si="420"/>
        <v>99824.170399741153</v>
      </c>
      <c r="AX650" s="163">
        <f t="shared" si="421"/>
        <v>0</v>
      </c>
      <c r="AY650" s="165">
        <f t="shared" si="442"/>
        <v>99823.859597880917</v>
      </c>
      <c r="AZ650" s="164">
        <f>IF($E650="","",IF(OR(AND($D650=Input!$C$6,$C650=12),$AN650=1),0,-AS651+AT651+AU651-AV651-AW651-AX651+AZ651))</f>
        <v>99824.170399741153</v>
      </c>
      <c r="BA650" s="154">
        <f t="shared" si="422"/>
        <v>0.31080186023609713</v>
      </c>
      <c r="BC650" s="147">
        <f t="shared" si="443"/>
        <v>3.6982691542779908E-7</v>
      </c>
      <c r="BD650" s="164">
        <f>IF(AND($C649=12,$D649=Input!$C$6),0,IF($E650="","",AT650+(AU650+BD651)/(1+$AK650)*MIN((1-AM650-AN650),1)))</f>
        <v>0</v>
      </c>
      <c r="BE650" s="164">
        <f t="shared" si="423"/>
        <v>0</v>
      </c>
      <c r="BF650" s="164">
        <f t="shared" si="444"/>
        <v>99824.170399741153</v>
      </c>
      <c r="BG650" s="164">
        <f t="shared" si="424"/>
        <v>3.6917665024075272E-2</v>
      </c>
      <c r="BH650" s="152"/>
      <c r="BI650" s="162">
        <f t="shared" si="425"/>
        <v>10232.496360271165</v>
      </c>
      <c r="BJ650" s="150">
        <f t="shared" si="426"/>
        <v>0</v>
      </c>
      <c r="BK650" s="163">
        <f t="shared" si="448"/>
        <v>0</v>
      </c>
      <c r="BL650" s="163">
        <f t="shared" si="427"/>
        <v>8202.1179853197464</v>
      </c>
      <c r="BM650" s="163">
        <f t="shared" si="449"/>
        <v>23.845522621005337</v>
      </c>
      <c r="BN650" s="163">
        <f t="shared" si="428"/>
        <v>183.5471613462442</v>
      </c>
      <c r="BO650" s="163">
        <f t="shared" si="429"/>
        <v>0</v>
      </c>
      <c r="BP650" s="164">
        <f t="shared" si="450"/>
        <v>2237.7710589186681</v>
      </c>
      <c r="BQ650" s="164">
        <f>IF($E650="","",IF(AND($D650=Input!$C$6,$C650=12),0,-BJ651+BK651+BL651-BM651-BN651-BO651+BQ651))</f>
        <v>2237.8020125382154</v>
      </c>
      <c r="BR650" s="161">
        <f t="shared" si="430"/>
        <v>0</v>
      </c>
      <c r="BT650" s="147">
        <f t="shared" si="431"/>
        <v>3.6982691542779908E-7</v>
      </c>
      <c r="BU650" s="164">
        <f>IF(AND($C649=12,$D649=Input!$C$6),0,IF($E650="","",BK650+(BL650+BU651)/(1+$AK650)*MIN((1-T650-U650),1)))</f>
        <v>76743.455524752819</v>
      </c>
      <c r="BV650" s="164">
        <f t="shared" si="432"/>
        <v>2.8381795435989822E-2</v>
      </c>
      <c r="BW650" s="164">
        <f t="shared" si="433"/>
        <v>2237.8020125382154</v>
      </c>
      <c r="BX650" s="164">
        <f t="shared" si="434"/>
        <v>8.2759941563512911E-4</v>
      </c>
    </row>
    <row r="651" spans="1:76" s="150" customFormat="1" x14ac:dyDescent="0.25">
      <c r="A651" s="150">
        <f t="shared" si="445"/>
        <v>647</v>
      </c>
      <c r="B651" s="150">
        <f t="shared" si="446"/>
        <v>54</v>
      </c>
      <c r="C651" s="150">
        <f t="shared" si="447"/>
        <v>11</v>
      </c>
      <c r="D651" s="150">
        <f>IF(E651="","",Input!$C$4+B651-1)</f>
        <v>98</v>
      </c>
      <c r="E651" s="150">
        <f>IF(OR(AND(C650=12,D650=Input!$C$6),E650=""),"",1)</f>
        <v>1</v>
      </c>
      <c r="F651" s="150">
        <f>IF(E651="","",Input!$C$8+B651-1)</f>
        <v>2071</v>
      </c>
      <c r="G651" s="151">
        <f>IF(E651="","",MAX(0,Input!$C$9-B651))</f>
        <v>0</v>
      </c>
      <c r="H651" s="152">
        <f>IF(E651="","",Input!$C$3)</f>
        <v>100000</v>
      </c>
      <c r="I651" s="153">
        <f>IF(E651="","",HLOOKUP($B651,Input!$C$13:$BT$14,2))</f>
        <v>746.53949999999998</v>
      </c>
      <c r="J651" s="154"/>
      <c r="K651" s="155">
        <f>IF($E651="","",INDEX(Input!$C$16:$CP$16,1,$B651))</f>
        <v>3.2680000000000001E-2</v>
      </c>
      <c r="L651" s="155">
        <f>IF($E651="","",Input!$C$37)</f>
        <v>1.4999999999999999E-2</v>
      </c>
      <c r="M651" s="155">
        <f t="shared" si="410"/>
        <v>4.768E-2</v>
      </c>
      <c r="N651" s="155">
        <f t="shared" si="411"/>
        <v>3.8890591538889296E-3</v>
      </c>
      <c r="O651" s="147">
        <f>IF($E651="","",MIN(VLOOKUP(IF($B651&lt;=Input!$C$7,$B651,26),'Mortality Tables'!$A$41:$CW$67,IF($B651&lt;=Input!$C$7+1,Input!$C$4+2,$D651-Input!$C$7+2),0)*IF(B651&gt;20,Input!$C$22,1)/1000,1))</f>
        <v>0.83724200000000004</v>
      </c>
      <c r="P651" s="147">
        <f>IF($E651="","",MIN(VLOOKUP(IF($B651&lt;=Input!$C$7,$B651,26),'Mortality Tables'!$A$12:$CW$37,IF($B651&lt;=Input!$C$7+1,Input!$C$4+2,$D651-Input!$C$7+2),0)*IF(B651&gt;20,Input!$C$22,1)/1000,1))</f>
        <v>1</v>
      </c>
      <c r="Q651" s="155">
        <f>IF($E651="","",Input!$C$21)</f>
        <v>5.0000000000000001E-3</v>
      </c>
      <c r="R651" s="159">
        <f>IF($E651="","",(1-Q651)^($F651-Input!$C$20))</f>
        <v>0.76669614486532323</v>
      </c>
      <c r="S651" s="147">
        <f t="shared" si="413"/>
        <v>0.64191021371933299</v>
      </c>
      <c r="T651" s="147">
        <f t="shared" si="414"/>
        <v>8.2021179853197457E-2</v>
      </c>
      <c r="U651" s="160">
        <f>IF($E651="","",IF($C651=12,INDEX(Input!$C$15:$CP$15,1,$B651),0))</f>
        <v>0</v>
      </c>
      <c r="V651" s="150">
        <f>IF(E651="","",IF(C651=1,IF($B651=1,Input!$C$33,Input!$C$34),0))</f>
        <v>0</v>
      </c>
      <c r="W651" s="156">
        <f>IF($E651="","",Input!$C$35)</f>
        <v>0.02</v>
      </c>
      <c r="X651" s="156">
        <f t="shared" si="412"/>
        <v>2.8563347491571447</v>
      </c>
      <c r="Y651" s="154"/>
      <c r="Z651" s="147">
        <f>IF($E651="","",VLOOKUP($D651,'Mortality Margins &amp; Grading'!$AB$5:$AF$125,3,0)*IF(Summary!$D$25="Included Margin",IF(AND($B651&gt;Input!$C$9,Summary!$D$31&lt;&gt;"Included Margin"),0,1),0))</f>
        <v>1.6E-2</v>
      </c>
      <c r="AA651" s="147">
        <f>IF($E651="","",VLOOKUP($D651,'Mortality Margins &amp; Grading'!$AB$5:$AF$125,5,0)*IF(Summary!$D$25="Included Margin",IF(AND($B651&gt;Input!$C$9,Summary!$D$31&lt;&gt;"Included Margin"),0,1),0))</f>
        <v>8.1000000000000003E-2</v>
      </c>
      <c r="AB651" s="147">
        <f>IF($E651="","",IF(AND($B651&gt;Input!$C$9,Summary!$D$31&lt;&gt;"Included Margin"),1,IF(Summary!$D$25="Included Margin",VLOOKUP($B651,'Mortality Margins &amp; Grading'!$AI$5:$AR$125,MATCH('Mortality Margins &amp; Grading'!$AQ$4,'Mortality Margins &amp; Grading'!$AI$4:$AR$4,0),0),1)))</f>
        <v>0</v>
      </c>
      <c r="AC651" s="154"/>
      <c r="AD651" s="158">
        <f>IF(E651="","",Input!$C$48*IF(Summary!$D$30="Included Margin",IF(AND($B651&gt;Input!$C$9,Summary!$D$31&lt;&gt;"Included Margin"),0,1),0))</f>
        <v>-4.4999999999999997E-3</v>
      </c>
      <c r="AE651" s="159">
        <f>IF(E651="","",IF(Summary!$D$26="Included Margin",IF(AND($B651&gt;Input!$C$9,Summary!$D$31&lt;&gt;"Included Margin"),1,1/$R651),1))</f>
        <v>1.3042976760704315</v>
      </c>
      <c r="AF651" s="160">
        <f>IF(E651="","",IF(AND($B651&gt;=Input!$C$9,$C651=12,Summary!$D$31="Included Margin",$U651&gt;0),1/U651-1,IF($B651&gt;=Input!$C$9,0,Input!$C$45*IF(Summary!$D$27="Included Margin",1,0))))</f>
        <v>0</v>
      </c>
      <c r="AG651" s="160">
        <f>IF(E651="","",Input!$C$46*IF(Summary!$D$28="Included Margin",IF(AND($B651&gt;Input!$C$9,Summary!$D$31&lt;&gt;"Included Margin"),0,1),0))</f>
        <v>0.02</v>
      </c>
      <c r="AH651" s="158">
        <f>IF(E651="","",Input!$C$47*IF(Summary!$D$29="Included Margin",IF(AND($B651&gt;Input!$C$9,Summary!$D$31&lt;&gt;"Included Margin"),0,1),0))</f>
        <v>2.5000000000000001E-3</v>
      </c>
      <c r="AI651" s="154"/>
      <c r="AJ651" s="158">
        <f t="shared" si="435"/>
        <v>4.3180000000000003E-2</v>
      </c>
      <c r="AK651" s="155">
        <f t="shared" si="436"/>
        <v>3.5290240795862182E-3</v>
      </c>
      <c r="AL651" s="147">
        <f t="shared" si="437"/>
        <v>1</v>
      </c>
      <c r="AM651" s="147">
        <f t="shared" si="415"/>
        <v>1</v>
      </c>
      <c r="AN651" s="160">
        <f t="shared" si="438"/>
        <v>0</v>
      </c>
      <c r="AO651" s="161">
        <f t="shared" si="439"/>
        <v>0</v>
      </c>
      <c r="AP651" s="156">
        <f t="shared" si="416"/>
        <v>3.2520392904456847</v>
      </c>
      <c r="AQ651" s="152"/>
      <c r="AR651" s="162">
        <f t="shared" si="417"/>
        <v>99823.859597880917</v>
      </c>
      <c r="AS651" s="150">
        <f t="shared" si="440"/>
        <v>0</v>
      </c>
      <c r="AT651" s="163">
        <f t="shared" si="418"/>
        <v>0</v>
      </c>
      <c r="AU651" s="163">
        <f t="shared" si="419"/>
        <v>100000</v>
      </c>
      <c r="AV651" s="163">
        <f t="shared" si="441"/>
        <v>175.82960025884466</v>
      </c>
      <c r="AW651" s="163">
        <f t="shared" si="420"/>
        <v>99824.170399741153</v>
      </c>
      <c r="AX651" s="163">
        <f t="shared" si="421"/>
        <v>0</v>
      </c>
      <c r="AY651" s="164">
        <f t="shared" si="442"/>
        <v>99823.859597880917</v>
      </c>
      <c r="AZ651" s="164">
        <f>IF($E651="","",IF(OR(AND($D651=Input!$C$6,$C651=12),$AN651=1),0,-AS652+AT652+AU652-AV652-AW652-AX652+AZ652))</f>
        <v>99824.170399741153</v>
      </c>
      <c r="BA651" s="154">
        <f t="shared" si="422"/>
        <v>0.31080186023609713</v>
      </c>
      <c r="BC651" s="147">
        <f t="shared" si="443"/>
        <v>3.3949327548294235E-7</v>
      </c>
      <c r="BD651" s="164">
        <f>IF(AND($C650=12,$D650=Input!$C$6),0,IF($E651="","",AT651+(AU651+BD652)/(1+$AK651)*MIN((1-AM651-AN651),1)))</f>
        <v>0</v>
      </c>
      <c r="BE651" s="164">
        <f t="shared" si="423"/>
        <v>0</v>
      </c>
      <c r="BF651" s="164">
        <f t="shared" si="444"/>
        <v>99824.170399741153</v>
      </c>
      <c r="BG651" s="164">
        <f t="shared" si="424"/>
        <v>3.3889634581375505E-2</v>
      </c>
      <c r="BH651" s="152"/>
      <c r="BI651" s="162">
        <f t="shared" si="425"/>
        <v>2237.7710589186681</v>
      </c>
      <c r="BJ651" s="150">
        <f t="shared" si="426"/>
        <v>0</v>
      </c>
      <c r="BK651" s="163">
        <f t="shared" si="448"/>
        <v>0</v>
      </c>
      <c r="BL651" s="163">
        <f t="shared" si="427"/>
        <v>8202.1179853197464</v>
      </c>
      <c r="BM651" s="163">
        <f t="shared" si="449"/>
        <v>-7.2464369950470227</v>
      </c>
      <c r="BN651" s="163">
        <f t="shared" si="428"/>
        <v>-533.55761992259283</v>
      </c>
      <c r="BO651" s="163">
        <f t="shared" si="429"/>
        <v>0</v>
      </c>
      <c r="BP651" s="164">
        <f t="shared" si="450"/>
        <v>-6505.1509833187174</v>
      </c>
      <c r="BQ651" s="164">
        <f>IF($E651="","",IF(AND($D651=Input!$C$6,$C651=12),0,-BJ652+BK652+BL652-BM652-BN652-BO652+BQ652))</f>
        <v>-6505.1200296991701</v>
      </c>
      <c r="BR651" s="161">
        <f t="shared" si="430"/>
        <v>0</v>
      </c>
      <c r="BT651" s="147">
        <f t="shared" si="431"/>
        <v>3.3949327548294235E-7</v>
      </c>
      <c r="BU651" s="164">
        <f>IF(AND($C650=12,$D650=Input!$C$6),0,IF($E651="","",BK651+(BL651+BU652)/(1+$AK651)*MIN((1-T651-U651),1)))</f>
        <v>75693.374303853387</v>
      </c>
      <c r="BV651" s="164">
        <f t="shared" si="432"/>
        <v>2.5697391574771567E-2</v>
      </c>
      <c r="BW651" s="164">
        <f t="shared" si="433"/>
        <v>-6505.1200296991701</v>
      </c>
      <c r="BX651" s="164">
        <f t="shared" si="434"/>
        <v>-2.2084445062922663E-3</v>
      </c>
    </row>
    <row r="652" spans="1:76" s="150" customFormat="1" x14ac:dyDescent="0.25">
      <c r="A652" s="150">
        <f t="shared" si="445"/>
        <v>648</v>
      </c>
      <c r="B652" s="150">
        <f t="shared" si="446"/>
        <v>54</v>
      </c>
      <c r="C652" s="150">
        <f t="shared" si="447"/>
        <v>12</v>
      </c>
      <c r="D652" s="150">
        <f>IF(E652="","",Input!$C$4+B652-1)</f>
        <v>98</v>
      </c>
      <c r="E652" s="150">
        <f>IF(OR(AND(C651=12,D651=Input!$C$6),E651=""),"",1)</f>
        <v>1</v>
      </c>
      <c r="F652" s="150">
        <f>IF(E652="","",Input!$C$8+B652-1)</f>
        <v>2071</v>
      </c>
      <c r="G652" s="151">
        <f>IF(E652="","",MAX(0,Input!$C$9-B652))</f>
        <v>0</v>
      </c>
      <c r="H652" s="152">
        <f>IF(E652="","",Input!$C$3)</f>
        <v>100000</v>
      </c>
      <c r="I652" s="153">
        <f>IF(E652="","",HLOOKUP($B652,Input!$C$13:$BT$14,2))</f>
        <v>746.53949999999998</v>
      </c>
      <c r="J652" s="154"/>
      <c r="K652" s="155">
        <f>IF($E652="","",INDEX(Input!$C$16:$CP$16,1,$B652))</f>
        <v>3.2680000000000001E-2</v>
      </c>
      <c r="L652" s="155">
        <f>IF($E652="","",Input!$C$37)</f>
        <v>1.4999999999999999E-2</v>
      </c>
      <c r="M652" s="155">
        <f t="shared" si="410"/>
        <v>4.768E-2</v>
      </c>
      <c r="N652" s="155">
        <f t="shared" si="411"/>
        <v>3.8890591538889296E-3</v>
      </c>
      <c r="O652" s="147">
        <f>IF($E652="","",MIN(VLOOKUP(IF($B652&lt;=Input!$C$7,$B652,26),'Mortality Tables'!$A$41:$CW$67,IF($B652&lt;=Input!$C$7+1,Input!$C$4+2,$D652-Input!$C$7+2),0)*IF(B652&gt;20,Input!$C$22,1)/1000,1))</f>
        <v>0.83724200000000004</v>
      </c>
      <c r="P652" s="147">
        <f>IF($E652="","",MIN(VLOOKUP(IF($B652&lt;=Input!$C$7,$B652,26),'Mortality Tables'!$A$12:$CW$37,IF($B652&lt;=Input!$C$7+1,Input!$C$4+2,$D652-Input!$C$7+2),0)*IF(B652&gt;20,Input!$C$22,1)/1000,1))</f>
        <v>1</v>
      </c>
      <c r="Q652" s="155">
        <f>IF($E652="","",Input!$C$21)</f>
        <v>5.0000000000000001E-3</v>
      </c>
      <c r="R652" s="159">
        <f>IF($E652="","",(1-Q652)^($F652-Input!$C$20))</f>
        <v>0.76669614486532323</v>
      </c>
      <c r="S652" s="147">
        <f t="shared" si="413"/>
        <v>0.64191021371933299</v>
      </c>
      <c r="T652" s="147">
        <f t="shared" si="414"/>
        <v>8.2021179853197457E-2</v>
      </c>
      <c r="U652" s="160">
        <f>IF($E652="","",IF($C652=12,INDEX(Input!$C$15:$CP$15,1,$B652),0))</f>
        <v>0.1</v>
      </c>
      <c r="V652" s="150">
        <f>IF(E652="","",IF(C652=1,IF($B652=1,Input!$C$33,Input!$C$34),0))</f>
        <v>0</v>
      </c>
      <c r="W652" s="156">
        <f>IF($E652="","",Input!$C$35)</f>
        <v>0.02</v>
      </c>
      <c r="X652" s="156">
        <f t="shared" si="412"/>
        <v>2.8563347491571447</v>
      </c>
      <c r="Y652" s="154"/>
      <c r="Z652" s="147">
        <f>IF($E652="","",VLOOKUP($D652,'Mortality Margins &amp; Grading'!$AB$5:$AF$125,3,0)*IF(Summary!$D$25="Included Margin",IF(AND($B652&gt;Input!$C$9,Summary!$D$31&lt;&gt;"Included Margin"),0,1),0))</f>
        <v>1.6E-2</v>
      </c>
      <c r="AA652" s="147">
        <f>IF($E652="","",VLOOKUP($D652,'Mortality Margins &amp; Grading'!$AB$5:$AF$125,5,0)*IF(Summary!$D$25="Included Margin",IF(AND($B652&gt;Input!$C$9,Summary!$D$31&lt;&gt;"Included Margin"),0,1),0))</f>
        <v>8.1000000000000003E-2</v>
      </c>
      <c r="AB652" s="147">
        <f>IF($E652="","",IF(AND($B652&gt;Input!$C$9,Summary!$D$31&lt;&gt;"Included Margin"),1,IF(Summary!$D$25="Included Margin",VLOOKUP($B652,'Mortality Margins &amp; Grading'!$AI$5:$AR$125,MATCH('Mortality Margins &amp; Grading'!$AQ$4,'Mortality Margins &amp; Grading'!$AI$4:$AR$4,0),0),1)))</f>
        <v>0</v>
      </c>
      <c r="AC652" s="154"/>
      <c r="AD652" s="158">
        <f>IF(E652="","",Input!$C$48*IF(Summary!$D$30="Included Margin",IF(AND($B652&gt;Input!$C$9,Summary!$D$31&lt;&gt;"Included Margin"),0,1),0))</f>
        <v>-4.4999999999999997E-3</v>
      </c>
      <c r="AE652" s="159">
        <f>IF(E652="","",IF(Summary!$D$26="Included Margin",IF(AND($B652&gt;Input!$C$9,Summary!$D$31&lt;&gt;"Included Margin"),1,1/$R652),1))</f>
        <v>1.3042976760704315</v>
      </c>
      <c r="AF652" s="160">
        <f>IF(E652="","",IF(AND($B652&gt;=Input!$C$9,$C652=12,Summary!$D$31="Included Margin",$U652&gt;0),1/U652-1,IF($B652&gt;=Input!$C$9,0,Input!$C$45*IF(Summary!$D$27="Included Margin",1,0))))</f>
        <v>9</v>
      </c>
      <c r="AG652" s="160">
        <f>IF(E652="","",Input!$C$46*IF(Summary!$D$28="Included Margin",IF(AND($B652&gt;Input!$C$9,Summary!$D$31&lt;&gt;"Included Margin"),0,1),0))</f>
        <v>0.02</v>
      </c>
      <c r="AH652" s="158">
        <f>IF(E652="","",Input!$C$47*IF(Summary!$D$29="Included Margin",IF(AND($B652&gt;Input!$C$9,Summary!$D$31&lt;&gt;"Included Margin"),0,1),0))</f>
        <v>2.5000000000000001E-3</v>
      </c>
      <c r="AI652" s="154"/>
      <c r="AJ652" s="158">
        <f t="shared" si="435"/>
        <v>4.3180000000000003E-2</v>
      </c>
      <c r="AK652" s="155">
        <f t="shared" si="436"/>
        <v>3.5290240795862182E-3</v>
      </c>
      <c r="AL652" s="147">
        <f t="shared" si="437"/>
        <v>1</v>
      </c>
      <c r="AM652" s="147">
        <f t="shared" si="415"/>
        <v>1</v>
      </c>
      <c r="AN652" s="160">
        <f t="shared" si="438"/>
        <v>1</v>
      </c>
      <c r="AO652" s="161">
        <f t="shared" si="439"/>
        <v>0</v>
      </c>
      <c r="AP652" s="156">
        <f t="shared" si="416"/>
        <v>3.2520392904456847</v>
      </c>
      <c r="AQ652" s="152"/>
      <c r="AR652" s="162">
        <f t="shared" si="417"/>
        <v>99823.859597880917</v>
      </c>
      <c r="AS652" s="150">
        <f t="shared" si="440"/>
        <v>0</v>
      </c>
      <c r="AT652" s="163">
        <f t="shared" si="418"/>
        <v>0</v>
      </c>
      <c r="AU652" s="163">
        <f t="shared" si="419"/>
        <v>100000</v>
      </c>
      <c r="AV652" s="163">
        <f t="shared" si="441"/>
        <v>175.82960025884466</v>
      </c>
      <c r="AW652" s="163">
        <f t="shared" si="420"/>
        <v>0</v>
      </c>
      <c r="AX652" s="163">
        <f t="shared" si="421"/>
        <v>0</v>
      </c>
      <c r="AY652" s="165">
        <f t="shared" si="442"/>
        <v>-0.31080186023820033</v>
      </c>
      <c r="AZ652" s="164">
        <f>IF($E652="","",IF(OR(AND($D652=Input!$C$6,$C652=12),$AN652=1),0,-AS653+AT653+AU653-AV653-AW653-AX653+AZ653))</f>
        <v>0</v>
      </c>
      <c r="BA652" s="154">
        <f t="shared" si="422"/>
        <v>0.31080186023820033</v>
      </c>
      <c r="BC652" s="147">
        <f t="shared" si="443"/>
        <v>2.7769830892731061E-7</v>
      </c>
      <c r="BD652" s="164">
        <f>IF(AND($C651=12,$D651=Input!$C$6),0,IF($E652="","",AT652+(AU652+BD653)/(1+$AK652)*MIN((1-AM652-AN652),1)))</f>
        <v>-99817.327964950251</v>
      </c>
      <c r="BE652" s="164">
        <f t="shared" si="423"/>
        <v>-2.7719103177509436E-2</v>
      </c>
      <c r="BF652" s="164">
        <f t="shared" si="444"/>
        <v>0</v>
      </c>
      <c r="BG652" s="164">
        <f t="shared" si="424"/>
        <v>0</v>
      </c>
      <c r="BH652" s="152"/>
      <c r="BI652" s="162">
        <f t="shared" si="425"/>
        <v>-6505.1509833187183</v>
      </c>
      <c r="BJ652" s="150">
        <f t="shared" si="426"/>
        <v>0</v>
      </c>
      <c r="BK652" s="163">
        <f t="shared" si="448"/>
        <v>0</v>
      </c>
      <c r="BL652" s="163">
        <f t="shared" si="427"/>
        <v>8202.1179853197464</v>
      </c>
      <c r="BM652" s="163">
        <f t="shared" si="449"/>
        <v>-41.248177995147628</v>
      </c>
      <c r="BN652" s="163">
        <f t="shared" si="428"/>
        <v>-1464.1928695844028</v>
      </c>
      <c r="BO652" s="163">
        <f t="shared" si="429"/>
        <v>-1638.720688112674</v>
      </c>
      <c r="BP652" s="164">
        <f t="shared" si="450"/>
        <v>-17851.430704330691</v>
      </c>
      <c r="BQ652" s="164">
        <f>IF($E652="","",IF(AND($D652=Input!$C$6,$C652=12),0,-BJ653+BK653+BL653-BM653-BN653-BO653+BQ653))</f>
        <v>-17851.399750711142</v>
      </c>
      <c r="BR652" s="161">
        <f t="shared" si="430"/>
        <v>0</v>
      </c>
      <c r="BT652" s="147">
        <f t="shared" si="431"/>
        <v>2.7769830892731061E-7</v>
      </c>
      <c r="BU652" s="164">
        <f>IF(AND($C651=12,$D651=Input!$C$6),0,IF($E652="","",BK652+(BL652+BU653)/(1+$AK652)*MIN((1-T652-U652),1)))</f>
        <v>74545.431715542916</v>
      </c>
      <c r="BV652" s="164">
        <f t="shared" si="432"/>
        <v>2.0701140325662573E-2</v>
      </c>
      <c r="BW652" s="164">
        <f t="shared" si="433"/>
        <v>-17851.399750711142</v>
      </c>
      <c r="BX652" s="164">
        <f t="shared" si="434"/>
        <v>-4.9573035227578983E-3</v>
      </c>
    </row>
    <row r="653" spans="1:76" s="150" customFormat="1" x14ac:dyDescent="0.25">
      <c r="A653" s="150">
        <f t="shared" si="445"/>
        <v>649</v>
      </c>
      <c r="B653" s="150">
        <f t="shared" si="446"/>
        <v>55</v>
      </c>
      <c r="C653" s="150">
        <f t="shared" si="447"/>
        <v>1</v>
      </c>
      <c r="D653" s="150">
        <f>IF(E653="","",Input!$C$4+B653-1)</f>
        <v>99</v>
      </c>
      <c r="E653" s="150">
        <f>IF(OR(AND(C652=12,D652=Input!$C$6),E652=""),"",1)</f>
        <v>1</v>
      </c>
      <c r="F653" s="150">
        <f>IF(E653="","",Input!$C$8+B653-1)</f>
        <v>2072</v>
      </c>
      <c r="G653" s="151">
        <f>IF(E653="","",MAX(0,Input!$C$9-B653))</f>
        <v>0</v>
      </c>
      <c r="H653" s="152">
        <f>IF(E653="","",Input!$C$3)</f>
        <v>100000</v>
      </c>
      <c r="I653" s="153">
        <f>IF(E653="","",HLOOKUP($B653,Input!$C$13:$BT$14,2))</f>
        <v>803.6</v>
      </c>
      <c r="J653" s="154"/>
      <c r="K653" s="155">
        <f>IF($E653="","",INDEX(Input!$C$16:$CP$16,1,$B653))</f>
        <v>3.2739999999999998E-2</v>
      </c>
      <c r="L653" s="155">
        <f>IF($E653="","",Input!$C$37)</f>
        <v>1.4999999999999999E-2</v>
      </c>
      <c r="M653" s="155">
        <f t="shared" si="410"/>
        <v>4.7739999999999998E-2</v>
      </c>
      <c r="N653" s="155">
        <f t="shared" si="411"/>
        <v>3.8938500380787389E-3</v>
      </c>
      <c r="O653" s="147">
        <f>IF($E653="","",MIN(VLOOKUP(IF($B653&lt;=Input!$C$7,$B653,26),'Mortality Tables'!$A$41:$CW$67,IF($B653&lt;=Input!$C$7+1,Input!$C$4+2,$D653-Input!$C$7+2),0)*IF(B653&gt;20,Input!$C$22,1)/1000,1))</f>
        <v>0.90205360000000012</v>
      </c>
      <c r="P653" s="147">
        <f>IF($E653="","",MIN(VLOOKUP(IF($B653&lt;=Input!$C$7,$B653,26),'Mortality Tables'!$A$12:$CW$37,IF($B653&lt;=Input!$C$7+1,Input!$C$4+2,$D653-Input!$C$7+2),0)*IF(B653&gt;20,Input!$C$22,1)/1000,1))</f>
        <v>1</v>
      </c>
      <c r="Q653" s="155">
        <f>IF($E653="","",Input!$C$21)</f>
        <v>5.0000000000000001E-3</v>
      </c>
      <c r="R653" s="159">
        <f>IF($E653="","",(1-Q653)^($F653-Input!$C$20))</f>
        <v>0.76286266414099668</v>
      </c>
      <c r="S653" s="147">
        <f t="shared" si="413"/>
        <v>0.68814301249397702</v>
      </c>
      <c r="T653" s="147">
        <f t="shared" si="414"/>
        <v>9.2535544227477118E-2</v>
      </c>
      <c r="U653" s="160">
        <f>IF($E653="","",IF($C653=12,INDEX(Input!$C$15:$CP$15,1,$B653),0))</f>
        <v>0</v>
      </c>
      <c r="V653" s="150">
        <f>IF(E653="","",IF(C653=1,IF($B653=1,Input!$C$33,Input!$C$34),0))</f>
        <v>50</v>
      </c>
      <c r="W653" s="156">
        <f>IF($E653="","",Input!$C$35)</f>
        <v>0.02</v>
      </c>
      <c r="X653" s="156">
        <f t="shared" si="412"/>
        <v>2.9134614441402875</v>
      </c>
      <c r="Y653" s="154"/>
      <c r="Z653" s="147">
        <f>IF($E653="","",VLOOKUP($D653,'Mortality Margins &amp; Grading'!$AB$5:$AF$125,3,0)*IF(Summary!$D$25="Included Margin",IF(AND($B653&gt;Input!$C$9,Summary!$D$31&lt;&gt;"Included Margin"),0,1),0))</f>
        <v>1.6E-2</v>
      </c>
      <c r="AA653" s="147">
        <f>IF($E653="","",VLOOKUP($D653,'Mortality Margins &amp; Grading'!$AB$5:$AF$125,5,0)*IF(Summary!$D$25="Included Margin",IF(AND($B653&gt;Input!$C$9,Summary!$D$31&lt;&gt;"Included Margin"),0,1),0))</f>
        <v>8.1000000000000003E-2</v>
      </c>
      <c r="AB653" s="147">
        <f>IF($E653="","",IF(AND($B653&gt;Input!$C$9,Summary!$D$31&lt;&gt;"Included Margin"),1,IF(Summary!$D$25="Included Margin",VLOOKUP($B653,'Mortality Margins &amp; Grading'!$AI$5:$AR$125,MATCH('Mortality Margins &amp; Grading'!$AQ$4,'Mortality Margins &amp; Grading'!$AI$4:$AR$4,0),0),1)))</f>
        <v>0</v>
      </c>
      <c r="AC653" s="154"/>
      <c r="AD653" s="158">
        <f>IF(E653="","",Input!$C$48*IF(Summary!$D$30="Included Margin",IF(AND($B653&gt;Input!$C$9,Summary!$D$31&lt;&gt;"Included Margin"),0,1),0))</f>
        <v>-4.4999999999999997E-3</v>
      </c>
      <c r="AE653" s="159">
        <f>IF(E653="","",IF(Summary!$D$26="Included Margin",IF(AND($B653&gt;Input!$C$9,Summary!$D$31&lt;&gt;"Included Margin"),1,1/$R653),1))</f>
        <v>1.3108519357491772</v>
      </c>
      <c r="AF653" s="160">
        <f>IF(E653="","",IF(AND($B653&gt;=Input!$C$9,$C653=12,Summary!$D$31="Included Margin",$U653&gt;0),1/U653-1,IF($B653&gt;=Input!$C$9,0,Input!$C$45*IF(Summary!$D$27="Included Margin",1,0))))</f>
        <v>0</v>
      </c>
      <c r="AG653" s="160">
        <f>IF(E653="","",Input!$C$46*IF(Summary!$D$28="Included Margin",IF(AND($B653&gt;Input!$C$9,Summary!$D$31&lt;&gt;"Included Margin"),0,1),0))</f>
        <v>0.02</v>
      </c>
      <c r="AH653" s="158">
        <f>IF(E653="","",Input!$C$47*IF(Summary!$D$29="Included Margin",IF(AND($B653&gt;Input!$C$9,Summary!$D$31&lt;&gt;"Included Margin"),0,1),0))</f>
        <v>2.5000000000000001E-3</v>
      </c>
      <c r="AI653" s="154"/>
      <c r="AJ653" s="158">
        <f t="shared" si="435"/>
        <v>4.3240000000000001E-2</v>
      </c>
      <c r="AK653" s="155">
        <f t="shared" si="436"/>
        <v>3.5338339042105815E-3</v>
      </c>
      <c r="AL653" s="147">
        <f t="shared" si="437"/>
        <v>1</v>
      </c>
      <c r="AM653" s="147">
        <f t="shared" si="415"/>
        <v>1</v>
      </c>
      <c r="AN653" s="160">
        <f t="shared" si="438"/>
        <v>0</v>
      </c>
      <c r="AO653" s="161">
        <f t="shared" si="439"/>
        <v>51</v>
      </c>
      <c r="AP653" s="156">
        <f t="shared" si="416"/>
        <v>3.3252101744807123</v>
      </c>
      <c r="AQ653" s="152"/>
      <c r="AR653" s="162">
        <f t="shared" si="417"/>
        <v>19633.205672581833</v>
      </c>
      <c r="AS653" s="150">
        <f t="shared" si="440"/>
        <v>80360</v>
      </c>
      <c r="AT653" s="163">
        <f t="shared" si="418"/>
        <v>169.58571889851632</v>
      </c>
      <c r="AU653" s="163">
        <f t="shared" si="419"/>
        <v>100000</v>
      </c>
      <c r="AV653" s="163">
        <f t="shared" si="441"/>
        <v>176.06839742282895</v>
      </c>
      <c r="AW653" s="163">
        <f t="shared" si="420"/>
        <v>99823.93160257717</v>
      </c>
      <c r="AX653" s="163">
        <f t="shared" si="421"/>
        <v>0</v>
      </c>
      <c r="AY653" s="164">
        <f t="shared" si="442"/>
        <v>99823.619953683316</v>
      </c>
      <c r="AZ653" s="164">
        <f>IF($E653="","",IF(OR(AND($D653=Input!$C$6,$C653=12),$AN653=1),0,-AS654+AT654+AU654-AV654-AW654-AX654+AZ654))</f>
        <v>99823.93160257717</v>
      </c>
      <c r="BA653" s="154">
        <f t="shared" si="422"/>
        <v>0.31164889385399874</v>
      </c>
      <c r="BC653" s="147">
        <f t="shared" si="443"/>
        <v>2.5200134477967184E-7</v>
      </c>
      <c r="BD653" s="164">
        <f>IF(AND($C652=12,$D652=Input!$C$6),0,IF($E653="","",AT653+(AU653+BD654)/(1+$AK653)*MIN((1-AM653-AN653),1)))</f>
        <v>169.58571889851632</v>
      </c>
      <c r="BE653" s="164">
        <f t="shared" si="423"/>
        <v>4.2735829217853524E-5</v>
      </c>
      <c r="BF653" s="164">
        <f t="shared" si="444"/>
        <v>99823.93160257717</v>
      </c>
      <c r="BG653" s="164">
        <f t="shared" si="424"/>
        <v>2.5155765005043431E-2</v>
      </c>
      <c r="BH653" s="152"/>
      <c r="BI653" s="162">
        <f t="shared" si="425"/>
        <v>-17851.43475830961</v>
      </c>
      <c r="BJ653" s="150">
        <f t="shared" si="426"/>
        <v>80360</v>
      </c>
      <c r="BK653" s="163">
        <f t="shared" si="448"/>
        <v>145.67307220701437</v>
      </c>
      <c r="BL653" s="163">
        <f t="shared" si="427"/>
        <v>9253.5544227477112</v>
      </c>
      <c r="BM653" s="163">
        <f t="shared" si="449"/>
        <v>224.81577342815322</v>
      </c>
      <c r="BN653" s="163">
        <f t="shared" si="428"/>
        <v>5438.5691141433526</v>
      </c>
      <c r="BO653" s="163">
        <f t="shared" si="429"/>
        <v>0</v>
      </c>
      <c r="BP653" s="164">
        <f t="shared" si="450"/>
        <v>58772.722634307167</v>
      </c>
      <c r="BQ653" s="164">
        <f>IF($E653="","",IF(AND($D653=Input!$C$6,$C653=12),0,-BJ654+BK654+BL654-BM654-BN654-BO654+BQ654))</f>
        <v>58772.757641905635</v>
      </c>
      <c r="BR653" s="161">
        <f t="shared" si="430"/>
        <v>0</v>
      </c>
      <c r="BT653" s="147">
        <f t="shared" si="431"/>
        <v>2.5200134477967184E-7</v>
      </c>
      <c r="BU653" s="164">
        <f>IF(AND($C652=12,$D652=Input!$C$6),0,IF($E653="","",BK653+(BL653+BU654)/(1+$AK653)*MIN((1-T653-U653),1)))</f>
        <v>83253.18928738487</v>
      </c>
      <c r="BV653" s="164">
        <f t="shared" si="432"/>
        <v>2.0979915657617556E-2</v>
      </c>
      <c r="BW653" s="164">
        <f t="shared" si="433"/>
        <v>58772.757641905635</v>
      </c>
      <c r="BX653" s="164">
        <f t="shared" si="434"/>
        <v>1.4810813962169956E-2</v>
      </c>
    </row>
    <row r="654" spans="1:76" s="150" customFormat="1" x14ac:dyDescent="0.25">
      <c r="A654" s="150">
        <f t="shared" si="445"/>
        <v>650</v>
      </c>
      <c r="B654" s="150">
        <f t="shared" si="446"/>
        <v>55</v>
      </c>
      <c r="C654" s="150">
        <f t="shared" si="447"/>
        <v>2</v>
      </c>
      <c r="D654" s="150">
        <f>IF(E654="","",Input!$C$4+B654-1)</f>
        <v>99</v>
      </c>
      <c r="E654" s="150">
        <f>IF(OR(AND(C653=12,D653=Input!$C$6),E653=""),"",1)</f>
        <v>1</v>
      </c>
      <c r="F654" s="150">
        <f>IF(E654="","",Input!$C$8+B654-1)</f>
        <v>2072</v>
      </c>
      <c r="G654" s="151">
        <f>IF(E654="","",MAX(0,Input!$C$9-B654))</f>
        <v>0</v>
      </c>
      <c r="H654" s="152">
        <f>IF(E654="","",Input!$C$3)</f>
        <v>100000</v>
      </c>
      <c r="I654" s="153">
        <f>IF(E654="","",HLOOKUP($B654,Input!$C$13:$BT$14,2))</f>
        <v>803.6</v>
      </c>
      <c r="J654" s="154"/>
      <c r="K654" s="155">
        <f>IF($E654="","",INDEX(Input!$C$16:$CP$16,1,$B654))</f>
        <v>3.2739999999999998E-2</v>
      </c>
      <c r="L654" s="155">
        <f>IF($E654="","",Input!$C$37)</f>
        <v>1.4999999999999999E-2</v>
      </c>
      <c r="M654" s="155">
        <f t="shared" si="410"/>
        <v>4.7739999999999998E-2</v>
      </c>
      <c r="N654" s="155">
        <f t="shared" si="411"/>
        <v>3.8938500380787389E-3</v>
      </c>
      <c r="O654" s="147">
        <f>IF($E654="","",MIN(VLOOKUP(IF($B654&lt;=Input!$C$7,$B654,26),'Mortality Tables'!$A$41:$CW$67,IF($B654&lt;=Input!$C$7+1,Input!$C$4+2,$D654-Input!$C$7+2),0)*IF(B654&gt;20,Input!$C$22,1)/1000,1))</f>
        <v>0.90205360000000012</v>
      </c>
      <c r="P654" s="147">
        <f>IF($E654="","",MIN(VLOOKUP(IF($B654&lt;=Input!$C$7,$B654,26),'Mortality Tables'!$A$12:$CW$37,IF($B654&lt;=Input!$C$7+1,Input!$C$4+2,$D654-Input!$C$7+2),0)*IF(B654&gt;20,Input!$C$22,1)/1000,1))</f>
        <v>1</v>
      </c>
      <c r="Q654" s="155">
        <f>IF($E654="","",Input!$C$21)</f>
        <v>5.0000000000000001E-3</v>
      </c>
      <c r="R654" s="159">
        <f>IF($E654="","",(1-Q654)^($F654-Input!$C$20))</f>
        <v>0.76286266414099668</v>
      </c>
      <c r="S654" s="147">
        <f t="shared" si="413"/>
        <v>0.68814301249397702</v>
      </c>
      <c r="T654" s="147">
        <f t="shared" si="414"/>
        <v>9.2535544227477118E-2</v>
      </c>
      <c r="U654" s="160">
        <f>IF($E654="","",IF($C654=12,INDEX(Input!$C$15:$CP$15,1,$B654),0))</f>
        <v>0</v>
      </c>
      <c r="V654" s="150">
        <f>IF(E654="","",IF(C654=1,IF($B654=1,Input!$C$33,Input!$C$34),0))</f>
        <v>0</v>
      </c>
      <c r="W654" s="156">
        <f>IF($E654="","",Input!$C$35)</f>
        <v>0.02</v>
      </c>
      <c r="X654" s="156">
        <f t="shared" si="412"/>
        <v>2.9134614441402875</v>
      </c>
      <c r="Y654" s="154"/>
      <c r="Z654" s="147">
        <f>IF($E654="","",VLOOKUP($D654,'Mortality Margins &amp; Grading'!$AB$5:$AF$125,3,0)*IF(Summary!$D$25="Included Margin",IF(AND($B654&gt;Input!$C$9,Summary!$D$31&lt;&gt;"Included Margin"),0,1),0))</f>
        <v>1.6E-2</v>
      </c>
      <c r="AA654" s="147">
        <f>IF($E654="","",VLOOKUP($D654,'Mortality Margins &amp; Grading'!$AB$5:$AF$125,5,0)*IF(Summary!$D$25="Included Margin",IF(AND($B654&gt;Input!$C$9,Summary!$D$31&lt;&gt;"Included Margin"),0,1),0))</f>
        <v>8.1000000000000003E-2</v>
      </c>
      <c r="AB654" s="147">
        <f>IF($E654="","",IF(AND($B654&gt;Input!$C$9,Summary!$D$31&lt;&gt;"Included Margin"),1,IF(Summary!$D$25="Included Margin",VLOOKUP($B654,'Mortality Margins &amp; Grading'!$AI$5:$AR$125,MATCH('Mortality Margins &amp; Grading'!$AQ$4,'Mortality Margins &amp; Grading'!$AI$4:$AR$4,0),0),1)))</f>
        <v>0</v>
      </c>
      <c r="AC654" s="154"/>
      <c r="AD654" s="158">
        <f>IF(E654="","",Input!$C$48*IF(Summary!$D$30="Included Margin",IF(AND($B654&gt;Input!$C$9,Summary!$D$31&lt;&gt;"Included Margin"),0,1),0))</f>
        <v>-4.4999999999999997E-3</v>
      </c>
      <c r="AE654" s="159">
        <f>IF(E654="","",IF(Summary!$D$26="Included Margin",IF(AND($B654&gt;Input!$C$9,Summary!$D$31&lt;&gt;"Included Margin"),1,1/$R654),1))</f>
        <v>1.3108519357491772</v>
      </c>
      <c r="AF654" s="160">
        <f>IF(E654="","",IF(AND($B654&gt;=Input!$C$9,$C654=12,Summary!$D$31="Included Margin",$U654&gt;0),1/U654-1,IF($B654&gt;=Input!$C$9,0,Input!$C$45*IF(Summary!$D$27="Included Margin",1,0))))</f>
        <v>0</v>
      </c>
      <c r="AG654" s="160">
        <f>IF(E654="","",Input!$C$46*IF(Summary!$D$28="Included Margin",IF(AND($B654&gt;Input!$C$9,Summary!$D$31&lt;&gt;"Included Margin"),0,1),0))</f>
        <v>0.02</v>
      </c>
      <c r="AH654" s="158">
        <f>IF(E654="","",Input!$C$47*IF(Summary!$D$29="Included Margin",IF(AND($B654&gt;Input!$C$9,Summary!$D$31&lt;&gt;"Included Margin"),0,1),0))</f>
        <v>2.5000000000000001E-3</v>
      </c>
      <c r="AI654" s="154"/>
      <c r="AJ654" s="158">
        <f t="shared" si="435"/>
        <v>4.3240000000000001E-2</v>
      </c>
      <c r="AK654" s="155">
        <f t="shared" si="436"/>
        <v>3.5338339042105815E-3</v>
      </c>
      <c r="AL654" s="147">
        <f t="shared" si="437"/>
        <v>1</v>
      </c>
      <c r="AM654" s="147">
        <f t="shared" si="415"/>
        <v>1</v>
      </c>
      <c r="AN654" s="160">
        <f t="shared" si="438"/>
        <v>0</v>
      </c>
      <c r="AO654" s="161">
        <f t="shared" si="439"/>
        <v>0</v>
      </c>
      <c r="AP654" s="156">
        <f t="shared" si="416"/>
        <v>3.3252101744807123</v>
      </c>
      <c r="AQ654" s="152"/>
      <c r="AR654" s="162">
        <f t="shared" si="417"/>
        <v>99823.619953683316</v>
      </c>
      <c r="AS654" s="150">
        <f t="shared" si="440"/>
        <v>0</v>
      </c>
      <c r="AT654" s="163">
        <f t="shared" si="418"/>
        <v>0</v>
      </c>
      <c r="AU654" s="163">
        <f t="shared" si="419"/>
        <v>100000</v>
      </c>
      <c r="AV654" s="163">
        <f t="shared" si="441"/>
        <v>176.06839742282895</v>
      </c>
      <c r="AW654" s="163">
        <f t="shared" si="420"/>
        <v>99823.93160257717</v>
      </c>
      <c r="AX654" s="163">
        <f t="shared" si="421"/>
        <v>0</v>
      </c>
      <c r="AY654" s="165">
        <f t="shared" si="442"/>
        <v>99823.619953683316</v>
      </c>
      <c r="AZ654" s="164">
        <f>IF($E654="","",IF(OR(AND($D654=Input!$C$6,$C654=12),$AN654=1),0,-AS655+AT655+AU655-AV655-AW655-AX655+AZ655))</f>
        <v>99823.93160257717</v>
      </c>
      <c r="BA654" s="154">
        <f t="shared" si="422"/>
        <v>0.31164889385399874</v>
      </c>
      <c r="BC654" s="147">
        <f t="shared" si="443"/>
        <v>2.286822631944288E-7</v>
      </c>
      <c r="BD654" s="164">
        <f>IF(AND($C653=12,$D653=Input!$C$6),0,IF($E654="","",AT654+(AU654+BD655)/(1+$AK654)*MIN((1-AM654-AN654),1)))</f>
        <v>0</v>
      </c>
      <c r="BE654" s="164">
        <f t="shared" si="423"/>
        <v>0</v>
      </c>
      <c r="BF654" s="164">
        <f t="shared" si="444"/>
        <v>99823.93160257717</v>
      </c>
      <c r="BG654" s="164">
        <f t="shared" si="424"/>
        <v>2.282796259984321E-2</v>
      </c>
      <c r="BH654" s="152"/>
      <c r="BI654" s="162">
        <f t="shared" si="425"/>
        <v>58772.722634307174</v>
      </c>
      <c r="BJ654" s="150">
        <f t="shared" si="426"/>
        <v>0</v>
      </c>
      <c r="BK654" s="163">
        <f t="shared" si="448"/>
        <v>0</v>
      </c>
      <c r="BL654" s="163">
        <f t="shared" si="427"/>
        <v>9253.5544227477112</v>
      </c>
      <c r="BM654" s="163">
        <f t="shared" si="449"/>
        <v>210.83619164689821</v>
      </c>
      <c r="BN654" s="163">
        <f t="shared" si="428"/>
        <v>5071.0484934808919</v>
      </c>
      <c r="BO654" s="163">
        <f t="shared" si="429"/>
        <v>0</v>
      </c>
      <c r="BP654" s="164">
        <f t="shared" si="450"/>
        <v>54801.052896687252</v>
      </c>
      <c r="BQ654" s="164">
        <f>IF($E654="","",IF(AND($D654=Input!$C$6,$C654=12),0,-BJ655+BK655+BL655-BM655-BN655-BO655+BQ655))</f>
        <v>54801.087904285712</v>
      </c>
      <c r="BR654" s="161">
        <f t="shared" si="430"/>
        <v>0</v>
      </c>
      <c r="BT654" s="147">
        <f t="shared" si="431"/>
        <v>2.286822631944288E-7</v>
      </c>
      <c r="BU654" s="164">
        <f>IF(AND($C653=12,$D653=Input!$C$6),0,IF($E654="","",BK654+(BL654+BU655)/(1+$AK654)*MIN((1-T654-U654),1)))</f>
        <v>82652.198847416992</v>
      </c>
      <c r="BV654" s="164">
        <f t="shared" si="432"/>
        <v>1.8901091890423279E-2</v>
      </c>
      <c r="BW654" s="164">
        <f t="shared" si="433"/>
        <v>54801.087904285712</v>
      </c>
      <c r="BX654" s="164">
        <f t="shared" si="434"/>
        <v>1.2532036807468894E-2</v>
      </c>
    </row>
    <row r="655" spans="1:76" s="150" customFormat="1" x14ac:dyDescent="0.25">
      <c r="A655" s="150">
        <f t="shared" si="445"/>
        <v>651</v>
      </c>
      <c r="B655" s="150">
        <f t="shared" si="446"/>
        <v>55</v>
      </c>
      <c r="C655" s="150">
        <f t="shared" si="447"/>
        <v>3</v>
      </c>
      <c r="D655" s="150">
        <f>IF(E655="","",Input!$C$4+B655-1)</f>
        <v>99</v>
      </c>
      <c r="E655" s="150">
        <f>IF(OR(AND(C654=12,D654=Input!$C$6),E654=""),"",1)</f>
        <v>1</v>
      </c>
      <c r="F655" s="150">
        <f>IF(E655="","",Input!$C$8+B655-1)</f>
        <v>2072</v>
      </c>
      <c r="G655" s="151">
        <f>IF(E655="","",MAX(0,Input!$C$9-B655))</f>
        <v>0</v>
      </c>
      <c r="H655" s="152">
        <f>IF(E655="","",Input!$C$3)</f>
        <v>100000</v>
      </c>
      <c r="I655" s="153">
        <f>IF(E655="","",HLOOKUP($B655,Input!$C$13:$BT$14,2))</f>
        <v>803.6</v>
      </c>
      <c r="J655" s="154"/>
      <c r="K655" s="155">
        <f>IF($E655="","",INDEX(Input!$C$16:$CP$16,1,$B655))</f>
        <v>3.2739999999999998E-2</v>
      </c>
      <c r="L655" s="155">
        <f>IF($E655="","",Input!$C$37)</f>
        <v>1.4999999999999999E-2</v>
      </c>
      <c r="M655" s="155">
        <f t="shared" si="410"/>
        <v>4.7739999999999998E-2</v>
      </c>
      <c r="N655" s="155">
        <f t="shared" si="411"/>
        <v>3.8938500380787389E-3</v>
      </c>
      <c r="O655" s="147">
        <f>IF($E655="","",MIN(VLOOKUP(IF($B655&lt;=Input!$C$7,$B655,26),'Mortality Tables'!$A$41:$CW$67,IF($B655&lt;=Input!$C$7+1,Input!$C$4+2,$D655-Input!$C$7+2),0)*IF(B655&gt;20,Input!$C$22,1)/1000,1))</f>
        <v>0.90205360000000012</v>
      </c>
      <c r="P655" s="147">
        <f>IF($E655="","",MIN(VLOOKUP(IF($B655&lt;=Input!$C$7,$B655,26),'Mortality Tables'!$A$12:$CW$37,IF($B655&lt;=Input!$C$7+1,Input!$C$4+2,$D655-Input!$C$7+2),0)*IF(B655&gt;20,Input!$C$22,1)/1000,1))</f>
        <v>1</v>
      </c>
      <c r="Q655" s="155">
        <f>IF($E655="","",Input!$C$21)</f>
        <v>5.0000000000000001E-3</v>
      </c>
      <c r="R655" s="159">
        <f>IF($E655="","",(1-Q655)^($F655-Input!$C$20))</f>
        <v>0.76286266414099668</v>
      </c>
      <c r="S655" s="147">
        <f t="shared" si="413"/>
        <v>0.68814301249397702</v>
      </c>
      <c r="T655" s="147">
        <f t="shared" si="414"/>
        <v>9.2535544227477118E-2</v>
      </c>
      <c r="U655" s="160">
        <f>IF($E655="","",IF($C655=12,INDEX(Input!$C$15:$CP$15,1,$B655),0))</f>
        <v>0</v>
      </c>
      <c r="V655" s="150">
        <f>IF(E655="","",IF(C655=1,IF($B655=1,Input!$C$33,Input!$C$34),0))</f>
        <v>0</v>
      </c>
      <c r="W655" s="156">
        <f>IF($E655="","",Input!$C$35)</f>
        <v>0.02</v>
      </c>
      <c r="X655" s="156">
        <f t="shared" si="412"/>
        <v>2.9134614441402875</v>
      </c>
      <c r="Y655" s="154"/>
      <c r="Z655" s="147">
        <f>IF($E655="","",VLOOKUP($D655,'Mortality Margins &amp; Grading'!$AB$5:$AF$125,3,0)*IF(Summary!$D$25="Included Margin",IF(AND($B655&gt;Input!$C$9,Summary!$D$31&lt;&gt;"Included Margin"),0,1),0))</f>
        <v>1.6E-2</v>
      </c>
      <c r="AA655" s="147">
        <f>IF($E655="","",VLOOKUP($D655,'Mortality Margins &amp; Grading'!$AB$5:$AF$125,5,0)*IF(Summary!$D$25="Included Margin",IF(AND($B655&gt;Input!$C$9,Summary!$D$31&lt;&gt;"Included Margin"),0,1),0))</f>
        <v>8.1000000000000003E-2</v>
      </c>
      <c r="AB655" s="147">
        <f>IF($E655="","",IF(AND($B655&gt;Input!$C$9,Summary!$D$31&lt;&gt;"Included Margin"),1,IF(Summary!$D$25="Included Margin",VLOOKUP($B655,'Mortality Margins &amp; Grading'!$AI$5:$AR$125,MATCH('Mortality Margins &amp; Grading'!$AQ$4,'Mortality Margins &amp; Grading'!$AI$4:$AR$4,0),0),1)))</f>
        <v>0</v>
      </c>
      <c r="AC655" s="154"/>
      <c r="AD655" s="158">
        <f>IF(E655="","",Input!$C$48*IF(Summary!$D$30="Included Margin",IF(AND($B655&gt;Input!$C$9,Summary!$D$31&lt;&gt;"Included Margin"),0,1),0))</f>
        <v>-4.4999999999999997E-3</v>
      </c>
      <c r="AE655" s="159">
        <f>IF(E655="","",IF(Summary!$D$26="Included Margin",IF(AND($B655&gt;Input!$C$9,Summary!$D$31&lt;&gt;"Included Margin"),1,1/$R655),1))</f>
        <v>1.3108519357491772</v>
      </c>
      <c r="AF655" s="160">
        <f>IF(E655="","",IF(AND($B655&gt;=Input!$C$9,$C655=12,Summary!$D$31="Included Margin",$U655&gt;0),1/U655-1,IF($B655&gt;=Input!$C$9,0,Input!$C$45*IF(Summary!$D$27="Included Margin",1,0))))</f>
        <v>0</v>
      </c>
      <c r="AG655" s="160">
        <f>IF(E655="","",Input!$C$46*IF(Summary!$D$28="Included Margin",IF(AND($B655&gt;Input!$C$9,Summary!$D$31&lt;&gt;"Included Margin"),0,1),0))</f>
        <v>0.02</v>
      </c>
      <c r="AH655" s="158">
        <f>IF(E655="","",Input!$C$47*IF(Summary!$D$29="Included Margin",IF(AND($B655&gt;Input!$C$9,Summary!$D$31&lt;&gt;"Included Margin"),0,1),0))</f>
        <v>2.5000000000000001E-3</v>
      </c>
      <c r="AI655" s="154"/>
      <c r="AJ655" s="158">
        <f t="shared" si="435"/>
        <v>4.3240000000000001E-2</v>
      </c>
      <c r="AK655" s="155">
        <f t="shared" si="436"/>
        <v>3.5338339042105815E-3</v>
      </c>
      <c r="AL655" s="147">
        <f t="shared" si="437"/>
        <v>1</v>
      </c>
      <c r="AM655" s="147">
        <f t="shared" si="415"/>
        <v>1</v>
      </c>
      <c r="AN655" s="160">
        <f t="shared" si="438"/>
        <v>0</v>
      </c>
      <c r="AO655" s="161">
        <f t="shared" si="439"/>
        <v>0</v>
      </c>
      <c r="AP655" s="156">
        <f t="shared" si="416"/>
        <v>3.3252101744807123</v>
      </c>
      <c r="AQ655" s="152"/>
      <c r="AR655" s="162">
        <f t="shared" si="417"/>
        <v>99823.619953683316</v>
      </c>
      <c r="AS655" s="150">
        <f t="shared" si="440"/>
        <v>0</v>
      </c>
      <c r="AT655" s="163">
        <f t="shared" si="418"/>
        <v>0</v>
      </c>
      <c r="AU655" s="163">
        <f t="shared" si="419"/>
        <v>100000</v>
      </c>
      <c r="AV655" s="163">
        <f t="shared" si="441"/>
        <v>176.06839742282895</v>
      </c>
      <c r="AW655" s="163">
        <f t="shared" si="420"/>
        <v>99823.93160257717</v>
      </c>
      <c r="AX655" s="163">
        <f t="shared" si="421"/>
        <v>0</v>
      </c>
      <c r="AY655" s="164">
        <f t="shared" si="442"/>
        <v>99823.619953683316</v>
      </c>
      <c r="AZ655" s="164">
        <f>IF($E655="","",IF(OR(AND($D655=Input!$C$6,$C655=12),$AN655=1),0,-AS656+AT656+AU656-AV656-AW656-AX656+AZ656))</f>
        <v>99823.93160257717</v>
      </c>
      <c r="BA655" s="154">
        <f t="shared" si="422"/>
        <v>0.31164889385399874</v>
      </c>
      <c r="BC655" s="147">
        <f t="shared" si="443"/>
        <v>2.0752102551456117E-7</v>
      </c>
      <c r="BD655" s="164">
        <f>IF(AND($C654=12,$D654=Input!$C$6),0,IF($E655="","",AT655+(AU655+BD656)/(1+$AK655)*MIN((1-AM655-AN655),1)))</f>
        <v>0</v>
      </c>
      <c r="BE655" s="164">
        <f t="shared" si="423"/>
        <v>0</v>
      </c>
      <c r="BF655" s="164">
        <f t="shared" si="444"/>
        <v>99823.93160257717</v>
      </c>
      <c r="BG655" s="164">
        <f t="shared" si="424"/>
        <v>2.0715564657062226E-2</v>
      </c>
      <c r="BH655" s="152"/>
      <c r="BI655" s="162">
        <f t="shared" si="425"/>
        <v>54801.052896687259</v>
      </c>
      <c r="BJ655" s="150">
        <f t="shared" si="426"/>
        <v>0</v>
      </c>
      <c r="BK655" s="163">
        <f t="shared" si="448"/>
        <v>0</v>
      </c>
      <c r="BL655" s="163">
        <f t="shared" si="427"/>
        <v>9253.5544227477112</v>
      </c>
      <c r="BM655" s="163">
        <f t="shared" si="449"/>
        <v>195.37110528783074</v>
      </c>
      <c r="BN655" s="163">
        <f t="shared" si="428"/>
        <v>4664.4742320888754</v>
      </c>
      <c r="BO655" s="163">
        <f t="shared" si="429"/>
        <v>0</v>
      </c>
      <c r="BP655" s="164">
        <f t="shared" si="450"/>
        <v>50407.343811316248</v>
      </c>
      <c r="BQ655" s="164">
        <f>IF($E655="","",IF(AND($D655=Input!$C$6,$C655=12),0,-BJ656+BK656+BL656-BM656-BN656-BO656+BQ656))</f>
        <v>50407.378818914709</v>
      </c>
      <c r="BR655" s="161">
        <f t="shared" si="430"/>
        <v>0</v>
      </c>
      <c r="BT655" s="147">
        <f t="shared" si="431"/>
        <v>2.0752102551456117E-7</v>
      </c>
      <c r="BU655" s="164">
        <f>IF(AND($C654=12,$D654=Input!$C$6),0,IF($E655="","",BK655+(BL655+BU656)/(1+$AK655)*MIN((1-T655-U655),1)))</f>
        <v>82148.678978615906</v>
      </c>
      <c r="BV655" s="164">
        <f t="shared" si="432"/>
        <v>1.7047578106308844E-2</v>
      </c>
      <c r="BW655" s="164">
        <f t="shared" si="433"/>
        <v>50407.378818914709</v>
      </c>
      <c r="BX655" s="164">
        <f t="shared" si="434"/>
        <v>1.0460590946002149E-2</v>
      </c>
    </row>
    <row r="656" spans="1:76" s="150" customFormat="1" x14ac:dyDescent="0.25">
      <c r="A656" s="150">
        <f t="shared" si="445"/>
        <v>652</v>
      </c>
      <c r="B656" s="150">
        <f t="shared" si="446"/>
        <v>55</v>
      </c>
      <c r="C656" s="150">
        <f t="shared" si="447"/>
        <v>4</v>
      </c>
      <c r="D656" s="150">
        <f>IF(E656="","",Input!$C$4+B656-1)</f>
        <v>99</v>
      </c>
      <c r="E656" s="150">
        <f>IF(OR(AND(C655=12,D655=Input!$C$6),E655=""),"",1)</f>
        <v>1</v>
      </c>
      <c r="F656" s="150">
        <f>IF(E656="","",Input!$C$8+B656-1)</f>
        <v>2072</v>
      </c>
      <c r="G656" s="151">
        <f>IF(E656="","",MAX(0,Input!$C$9-B656))</f>
        <v>0</v>
      </c>
      <c r="H656" s="152">
        <f>IF(E656="","",Input!$C$3)</f>
        <v>100000</v>
      </c>
      <c r="I656" s="153">
        <f>IF(E656="","",HLOOKUP($B656,Input!$C$13:$BT$14,2))</f>
        <v>803.6</v>
      </c>
      <c r="J656" s="154"/>
      <c r="K656" s="155">
        <f>IF($E656="","",INDEX(Input!$C$16:$CP$16,1,$B656))</f>
        <v>3.2739999999999998E-2</v>
      </c>
      <c r="L656" s="155">
        <f>IF($E656="","",Input!$C$37)</f>
        <v>1.4999999999999999E-2</v>
      </c>
      <c r="M656" s="155">
        <f t="shared" si="410"/>
        <v>4.7739999999999998E-2</v>
      </c>
      <c r="N656" s="155">
        <f t="shared" si="411"/>
        <v>3.8938500380787389E-3</v>
      </c>
      <c r="O656" s="147">
        <f>IF($E656="","",MIN(VLOOKUP(IF($B656&lt;=Input!$C$7,$B656,26),'Mortality Tables'!$A$41:$CW$67,IF($B656&lt;=Input!$C$7+1,Input!$C$4+2,$D656-Input!$C$7+2),0)*IF(B656&gt;20,Input!$C$22,1)/1000,1))</f>
        <v>0.90205360000000012</v>
      </c>
      <c r="P656" s="147">
        <f>IF($E656="","",MIN(VLOOKUP(IF($B656&lt;=Input!$C$7,$B656,26),'Mortality Tables'!$A$12:$CW$37,IF($B656&lt;=Input!$C$7+1,Input!$C$4+2,$D656-Input!$C$7+2),0)*IF(B656&gt;20,Input!$C$22,1)/1000,1))</f>
        <v>1</v>
      </c>
      <c r="Q656" s="155">
        <f>IF($E656="","",Input!$C$21)</f>
        <v>5.0000000000000001E-3</v>
      </c>
      <c r="R656" s="159">
        <f>IF($E656="","",(1-Q656)^($F656-Input!$C$20))</f>
        <v>0.76286266414099668</v>
      </c>
      <c r="S656" s="147">
        <f t="shared" si="413"/>
        <v>0.68814301249397702</v>
      </c>
      <c r="T656" s="147">
        <f t="shared" si="414"/>
        <v>9.2535544227477118E-2</v>
      </c>
      <c r="U656" s="160">
        <f>IF($E656="","",IF($C656=12,INDEX(Input!$C$15:$CP$15,1,$B656),0))</f>
        <v>0</v>
      </c>
      <c r="V656" s="150">
        <f>IF(E656="","",IF(C656=1,IF($B656=1,Input!$C$33,Input!$C$34),0))</f>
        <v>0</v>
      </c>
      <c r="W656" s="156">
        <f>IF($E656="","",Input!$C$35)</f>
        <v>0.02</v>
      </c>
      <c r="X656" s="156">
        <f t="shared" si="412"/>
        <v>2.9134614441402875</v>
      </c>
      <c r="Y656" s="154"/>
      <c r="Z656" s="147">
        <f>IF($E656="","",VLOOKUP($D656,'Mortality Margins &amp; Grading'!$AB$5:$AF$125,3,0)*IF(Summary!$D$25="Included Margin",IF(AND($B656&gt;Input!$C$9,Summary!$D$31&lt;&gt;"Included Margin"),0,1),0))</f>
        <v>1.6E-2</v>
      </c>
      <c r="AA656" s="147">
        <f>IF($E656="","",VLOOKUP($D656,'Mortality Margins &amp; Grading'!$AB$5:$AF$125,5,0)*IF(Summary!$D$25="Included Margin",IF(AND($B656&gt;Input!$C$9,Summary!$D$31&lt;&gt;"Included Margin"),0,1),0))</f>
        <v>8.1000000000000003E-2</v>
      </c>
      <c r="AB656" s="147">
        <f>IF($E656="","",IF(AND($B656&gt;Input!$C$9,Summary!$D$31&lt;&gt;"Included Margin"),1,IF(Summary!$D$25="Included Margin",VLOOKUP($B656,'Mortality Margins &amp; Grading'!$AI$5:$AR$125,MATCH('Mortality Margins &amp; Grading'!$AQ$4,'Mortality Margins &amp; Grading'!$AI$4:$AR$4,0),0),1)))</f>
        <v>0</v>
      </c>
      <c r="AC656" s="154"/>
      <c r="AD656" s="158">
        <f>IF(E656="","",Input!$C$48*IF(Summary!$D$30="Included Margin",IF(AND($B656&gt;Input!$C$9,Summary!$D$31&lt;&gt;"Included Margin"),0,1),0))</f>
        <v>-4.4999999999999997E-3</v>
      </c>
      <c r="AE656" s="159">
        <f>IF(E656="","",IF(Summary!$D$26="Included Margin",IF(AND($B656&gt;Input!$C$9,Summary!$D$31&lt;&gt;"Included Margin"),1,1/$R656),1))</f>
        <v>1.3108519357491772</v>
      </c>
      <c r="AF656" s="160">
        <f>IF(E656="","",IF(AND($B656&gt;=Input!$C$9,$C656=12,Summary!$D$31="Included Margin",$U656&gt;0),1/U656-1,IF($B656&gt;=Input!$C$9,0,Input!$C$45*IF(Summary!$D$27="Included Margin",1,0))))</f>
        <v>0</v>
      </c>
      <c r="AG656" s="160">
        <f>IF(E656="","",Input!$C$46*IF(Summary!$D$28="Included Margin",IF(AND($B656&gt;Input!$C$9,Summary!$D$31&lt;&gt;"Included Margin"),0,1),0))</f>
        <v>0.02</v>
      </c>
      <c r="AH656" s="158">
        <f>IF(E656="","",Input!$C$47*IF(Summary!$D$29="Included Margin",IF(AND($B656&gt;Input!$C$9,Summary!$D$31&lt;&gt;"Included Margin"),0,1),0))</f>
        <v>2.5000000000000001E-3</v>
      </c>
      <c r="AI656" s="154"/>
      <c r="AJ656" s="158">
        <f t="shared" si="435"/>
        <v>4.3240000000000001E-2</v>
      </c>
      <c r="AK656" s="155">
        <f t="shared" si="436"/>
        <v>3.5338339042105815E-3</v>
      </c>
      <c r="AL656" s="147">
        <f t="shared" si="437"/>
        <v>1</v>
      </c>
      <c r="AM656" s="147">
        <f t="shared" si="415"/>
        <v>1</v>
      </c>
      <c r="AN656" s="160">
        <f t="shared" si="438"/>
        <v>0</v>
      </c>
      <c r="AO656" s="161">
        <f t="shared" si="439"/>
        <v>0</v>
      </c>
      <c r="AP656" s="156">
        <f t="shared" si="416"/>
        <v>3.3252101744807123</v>
      </c>
      <c r="AQ656" s="152"/>
      <c r="AR656" s="162">
        <f t="shared" si="417"/>
        <v>99823.619953683316</v>
      </c>
      <c r="AS656" s="150">
        <f t="shared" si="440"/>
        <v>0</v>
      </c>
      <c r="AT656" s="163">
        <f t="shared" si="418"/>
        <v>0</v>
      </c>
      <c r="AU656" s="163">
        <f t="shared" si="419"/>
        <v>100000</v>
      </c>
      <c r="AV656" s="163">
        <f t="shared" si="441"/>
        <v>176.06839742282895</v>
      </c>
      <c r="AW656" s="163">
        <f t="shared" si="420"/>
        <v>99823.93160257717</v>
      </c>
      <c r="AX656" s="163">
        <f t="shared" si="421"/>
        <v>0</v>
      </c>
      <c r="AY656" s="165">
        <f t="shared" si="442"/>
        <v>99823.619953683316</v>
      </c>
      <c r="AZ656" s="164">
        <f>IF($E656="","",IF(OR(AND($D656=Input!$C$6,$C656=12),$AN656=1),0,-AS657+AT657+AU657-AV657-AW657-AX657+AZ657))</f>
        <v>99823.93160257717</v>
      </c>
      <c r="BA656" s="154">
        <f t="shared" si="422"/>
        <v>0.31164889385399874</v>
      </c>
      <c r="BC656" s="147">
        <f t="shared" si="443"/>
        <v>1.8831795447992709E-7</v>
      </c>
      <c r="BD656" s="164">
        <f>IF(AND($C655=12,$D655=Input!$C$6),0,IF($E656="","",AT656+(AU656+BD657)/(1+$AK656)*MIN((1-AM656-AN656),1)))</f>
        <v>0</v>
      </c>
      <c r="BE656" s="164">
        <f t="shared" si="423"/>
        <v>0</v>
      </c>
      <c r="BF656" s="164">
        <f t="shared" si="444"/>
        <v>99823.93160257717</v>
      </c>
      <c r="BG656" s="164">
        <f t="shared" si="424"/>
        <v>1.8798638607541482E-2</v>
      </c>
      <c r="BH656" s="152"/>
      <c r="BI656" s="162">
        <f t="shared" si="425"/>
        <v>50407.343811316256</v>
      </c>
      <c r="BJ656" s="150">
        <f t="shared" si="426"/>
        <v>0</v>
      </c>
      <c r="BK656" s="163">
        <f t="shared" si="448"/>
        <v>0</v>
      </c>
      <c r="BL656" s="163">
        <f t="shared" si="427"/>
        <v>9253.5544227477112</v>
      </c>
      <c r="BM656" s="163">
        <f t="shared" si="449"/>
        <v>178.26266099845196</v>
      </c>
      <c r="BN656" s="163">
        <f t="shared" si="428"/>
        <v>4214.6963945120242</v>
      </c>
      <c r="BO656" s="163">
        <f t="shared" si="429"/>
        <v>0</v>
      </c>
      <c r="BP656" s="164">
        <f t="shared" si="450"/>
        <v>45546.748444079021</v>
      </c>
      <c r="BQ656" s="164">
        <f>IF($E656="","",IF(AND($D656=Input!$C$6,$C656=12),0,-BJ657+BK657+BL657-BM657-BN657-BO657+BQ657))</f>
        <v>45546.783451677475</v>
      </c>
      <c r="BR656" s="161">
        <f t="shared" si="430"/>
        <v>0</v>
      </c>
      <c r="BT656" s="147">
        <f t="shared" si="431"/>
        <v>1.8831795447992709E-7</v>
      </c>
      <c r="BU656" s="164">
        <f>IF(AND($C655=12,$D655=Input!$C$6),0,IF($E656="","",BK656+(BL656+BU657)/(1+$AK656)*MIN((1-T656-U656),1)))</f>
        <v>81591.853616288368</v>
      </c>
      <c r="BV656" s="164">
        <f t="shared" si="432"/>
        <v>1.5365210975245068E-2</v>
      </c>
      <c r="BW656" s="164">
        <f t="shared" si="433"/>
        <v>45546.783451677475</v>
      </c>
      <c r="BX656" s="164">
        <f t="shared" si="434"/>
        <v>8.577277092760096E-3</v>
      </c>
    </row>
    <row r="657" spans="1:76" s="150" customFormat="1" x14ac:dyDescent="0.25">
      <c r="A657" s="150">
        <f t="shared" si="445"/>
        <v>653</v>
      </c>
      <c r="B657" s="150">
        <f t="shared" si="446"/>
        <v>55</v>
      </c>
      <c r="C657" s="150">
        <f t="shared" si="447"/>
        <v>5</v>
      </c>
      <c r="D657" s="150">
        <f>IF(E657="","",Input!$C$4+B657-1)</f>
        <v>99</v>
      </c>
      <c r="E657" s="150">
        <f>IF(OR(AND(C656=12,D656=Input!$C$6),E656=""),"",1)</f>
        <v>1</v>
      </c>
      <c r="F657" s="150">
        <f>IF(E657="","",Input!$C$8+B657-1)</f>
        <v>2072</v>
      </c>
      <c r="G657" s="151">
        <f>IF(E657="","",MAX(0,Input!$C$9-B657))</f>
        <v>0</v>
      </c>
      <c r="H657" s="152">
        <f>IF(E657="","",Input!$C$3)</f>
        <v>100000</v>
      </c>
      <c r="I657" s="153">
        <f>IF(E657="","",HLOOKUP($B657,Input!$C$13:$BT$14,2))</f>
        <v>803.6</v>
      </c>
      <c r="J657" s="154"/>
      <c r="K657" s="155">
        <f>IF($E657="","",INDEX(Input!$C$16:$CP$16,1,$B657))</f>
        <v>3.2739999999999998E-2</v>
      </c>
      <c r="L657" s="155">
        <f>IF($E657="","",Input!$C$37)</f>
        <v>1.4999999999999999E-2</v>
      </c>
      <c r="M657" s="155">
        <f t="shared" si="410"/>
        <v>4.7739999999999998E-2</v>
      </c>
      <c r="N657" s="155">
        <f t="shared" si="411"/>
        <v>3.8938500380787389E-3</v>
      </c>
      <c r="O657" s="147">
        <f>IF($E657="","",MIN(VLOOKUP(IF($B657&lt;=Input!$C$7,$B657,26),'Mortality Tables'!$A$41:$CW$67,IF($B657&lt;=Input!$C$7+1,Input!$C$4+2,$D657-Input!$C$7+2),0)*IF(B657&gt;20,Input!$C$22,1)/1000,1))</f>
        <v>0.90205360000000012</v>
      </c>
      <c r="P657" s="147">
        <f>IF($E657="","",MIN(VLOOKUP(IF($B657&lt;=Input!$C$7,$B657,26),'Mortality Tables'!$A$12:$CW$37,IF($B657&lt;=Input!$C$7+1,Input!$C$4+2,$D657-Input!$C$7+2),0)*IF(B657&gt;20,Input!$C$22,1)/1000,1))</f>
        <v>1</v>
      </c>
      <c r="Q657" s="155">
        <f>IF($E657="","",Input!$C$21)</f>
        <v>5.0000000000000001E-3</v>
      </c>
      <c r="R657" s="159">
        <f>IF($E657="","",(1-Q657)^($F657-Input!$C$20))</f>
        <v>0.76286266414099668</v>
      </c>
      <c r="S657" s="147">
        <f t="shared" si="413"/>
        <v>0.68814301249397702</v>
      </c>
      <c r="T657" s="147">
        <f t="shared" si="414"/>
        <v>9.2535544227477118E-2</v>
      </c>
      <c r="U657" s="160">
        <f>IF($E657="","",IF($C657=12,INDEX(Input!$C$15:$CP$15,1,$B657),0))</f>
        <v>0</v>
      </c>
      <c r="V657" s="150">
        <f>IF(E657="","",IF(C657=1,IF($B657=1,Input!$C$33,Input!$C$34),0))</f>
        <v>0</v>
      </c>
      <c r="W657" s="156">
        <f>IF($E657="","",Input!$C$35)</f>
        <v>0.02</v>
      </c>
      <c r="X657" s="156">
        <f t="shared" si="412"/>
        <v>2.9134614441402875</v>
      </c>
      <c r="Y657" s="154"/>
      <c r="Z657" s="147">
        <f>IF($E657="","",VLOOKUP($D657,'Mortality Margins &amp; Grading'!$AB$5:$AF$125,3,0)*IF(Summary!$D$25="Included Margin",IF(AND($B657&gt;Input!$C$9,Summary!$D$31&lt;&gt;"Included Margin"),0,1),0))</f>
        <v>1.6E-2</v>
      </c>
      <c r="AA657" s="147">
        <f>IF($E657="","",VLOOKUP($D657,'Mortality Margins &amp; Grading'!$AB$5:$AF$125,5,0)*IF(Summary!$D$25="Included Margin",IF(AND($B657&gt;Input!$C$9,Summary!$D$31&lt;&gt;"Included Margin"),0,1),0))</f>
        <v>8.1000000000000003E-2</v>
      </c>
      <c r="AB657" s="147">
        <f>IF($E657="","",IF(AND($B657&gt;Input!$C$9,Summary!$D$31&lt;&gt;"Included Margin"),1,IF(Summary!$D$25="Included Margin",VLOOKUP($B657,'Mortality Margins &amp; Grading'!$AI$5:$AR$125,MATCH('Mortality Margins &amp; Grading'!$AQ$4,'Mortality Margins &amp; Grading'!$AI$4:$AR$4,0),0),1)))</f>
        <v>0</v>
      </c>
      <c r="AC657" s="154"/>
      <c r="AD657" s="158">
        <f>IF(E657="","",Input!$C$48*IF(Summary!$D$30="Included Margin",IF(AND($B657&gt;Input!$C$9,Summary!$D$31&lt;&gt;"Included Margin"),0,1),0))</f>
        <v>-4.4999999999999997E-3</v>
      </c>
      <c r="AE657" s="159">
        <f>IF(E657="","",IF(Summary!$D$26="Included Margin",IF(AND($B657&gt;Input!$C$9,Summary!$D$31&lt;&gt;"Included Margin"),1,1/$R657),1))</f>
        <v>1.3108519357491772</v>
      </c>
      <c r="AF657" s="160">
        <f>IF(E657="","",IF(AND($B657&gt;=Input!$C$9,$C657=12,Summary!$D$31="Included Margin",$U657&gt;0),1/U657-1,IF($B657&gt;=Input!$C$9,0,Input!$C$45*IF(Summary!$D$27="Included Margin",1,0))))</f>
        <v>0</v>
      </c>
      <c r="AG657" s="160">
        <f>IF(E657="","",Input!$C$46*IF(Summary!$D$28="Included Margin",IF(AND($B657&gt;Input!$C$9,Summary!$D$31&lt;&gt;"Included Margin"),0,1),0))</f>
        <v>0.02</v>
      </c>
      <c r="AH657" s="158">
        <f>IF(E657="","",Input!$C$47*IF(Summary!$D$29="Included Margin",IF(AND($B657&gt;Input!$C$9,Summary!$D$31&lt;&gt;"Included Margin"),0,1),0))</f>
        <v>2.5000000000000001E-3</v>
      </c>
      <c r="AI657" s="154"/>
      <c r="AJ657" s="158">
        <f t="shared" si="435"/>
        <v>4.3240000000000001E-2</v>
      </c>
      <c r="AK657" s="155">
        <f t="shared" si="436"/>
        <v>3.5338339042105815E-3</v>
      </c>
      <c r="AL657" s="147">
        <f t="shared" si="437"/>
        <v>1</v>
      </c>
      <c r="AM657" s="147">
        <f t="shared" si="415"/>
        <v>1</v>
      </c>
      <c r="AN657" s="160">
        <f t="shared" si="438"/>
        <v>0</v>
      </c>
      <c r="AO657" s="161">
        <f t="shared" si="439"/>
        <v>0</v>
      </c>
      <c r="AP657" s="156">
        <f t="shared" si="416"/>
        <v>3.3252101744807123</v>
      </c>
      <c r="AQ657" s="152"/>
      <c r="AR657" s="162">
        <f t="shared" si="417"/>
        <v>99823.619953683316</v>
      </c>
      <c r="AS657" s="150">
        <f t="shared" si="440"/>
        <v>0</v>
      </c>
      <c r="AT657" s="163">
        <f t="shared" si="418"/>
        <v>0</v>
      </c>
      <c r="AU657" s="163">
        <f t="shared" si="419"/>
        <v>100000</v>
      </c>
      <c r="AV657" s="163">
        <f t="shared" si="441"/>
        <v>176.06839742282895</v>
      </c>
      <c r="AW657" s="163">
        <f t="shared" si="420"/>
        <v>99823.93160257717</v>
      </c>
      <c r="AX657" s="163">
        <f t="shared" si="421"/>
        <v>0</v>
      </c>
      <c r="AY657" s="164">
        <f t="shared" si="442"/>
        <v>99823.619953683316</v>
      </c>
      <c r="AZ657" s="164">
        <f>IF($E657="","",IF(OR(AND($D657=Input!$C$6,$C657=12),$AN657=1),0,-AS658+AT658+AU658-AV658-AW658-AX658+AZ658))</f>
        <v>99823.93160257717</v>
      </c>
      <c r="BA657" s="154">
        <f t="shared" si="422"/>
        <v>0.31164889385399874</v>
      </c>
      <c r="BC657" s="147">
        <f t="shared" si="443"/>
        <v>1.7089185007432177E-7</v>
      </c>
      <c r="BD657" s="164">
        <f>IF(AND($C656=12,$D656=Input!$C$6),0,IF($E657="","",AT657+(AU657+BD658)/(1+$AK657)*MIN((1-AM657-AN657),1)))</f>
        <v>0</v>
      </c>
      <c r="BE657" s="164">
        <f t="shared" si="423"/>
        <v>0</v>
      </c>
      <c r="BF657" s="164">
        <f t="shared" si="444"/>
        <v>99823.93160257717</v>
      </c>
      <c r="BG657" s="164">
        <f t="shared" si="424"/>
        <v>1.7059096353256968E-2</v>
      </c>
      <c r="BH657" s="152"/>
      <c r="BI657" s="162">
        <f t="shared" si="425"/>
        <v>45546.748444079014</v>
      </c>
      <c r="BJ657" s="150">
        <f t="shared" si="426"/>
        <v>0</v>
      </c>
      <c r="BK657" s="163">
        <f t="shared" si="448"/>
        <v>0</v>
      </c>
      <c r="BL657" s="163">
        <f t="shared" si="427"/>
        <v>9253.5544227477112</v>
      </c>
      <c r="BM657" s="163">
        <f t="shared" si="449"/>
        <v>159.3362315426499</v>
      </c>
      <c r="BN657" s="163">
        <f t="shared" si="428"/>
        <v>3717.1240629958088</v>
      </c>
      <c r="BO657" s="163">
        <f t="shared" si="429"/>
        <v>0</v>
      </c>
      <c r="BP657" s="164">
        <f t="shared" si="450"/>
        <v>40169.654315869768</v>
      </c>
      <c r="BQ657" s="164">
        <f>IF($E657="","",IF(AND($D657=Input!$C$6,$C657=12),0,-BJ658+BK658+BL658-BM658-BN658-BO658+BQ658))</f>
        <v>40169.689323468221</v>
      </c>
      <c r="BR657" s="161">
        <f t="shared" si="430"/>
        <v>0</v>
      </c>
      <c r="BT657" s="147">
        <f t="shared" si="431"/>
        <v>1.7089185007432177E-7</v>
      </c>
      <c r="BU657" s="164">
        <f>IF(AND($C656=12,$D656=Input!$C$6),0,IF($E657="","",BK657+(BL657+BU658)/(1+$AK657)*MIN((1-T657-U657),1)))</f>
        <v>80976.079535973608</v>
      </c>
      <c r="BV657" s="164">
        <f t="shared" si="432"/>
        <v>1.3838152043667958E-2</v>
      </c>
      <c r="BW657" s="164">
        <f t="shared" si="433"/>
        <v>40169.689323468221</v>
      </c>
      <c r="BX657" s="164">
        <f t="shared" si="434"/>
        <v>6.864672525398215E-3</v>
      </c>
    </row>
    <row r="658" spans="1:76" s="150" customFormat="1" x14ac:dyDescent="0.25">
      <c r="A658" s="150">
        <f t="shared" si="445"/>
        <v>654</v>
      </c>
      <c r="B658" s="150">
        <f t="shared" si="446"/>
        <v>55</v>
      </c>
      <c r="C658" s="150">
        <f t="shared" si="447"/>
        <v>6</v>
      </c>
      <c r="D658" s="150">
        <f>IF(E658="","",Input!$C$4+B658-1)</f>
        <v>99</v>
      </c>
      <c r="E658" s="150">
        <f>IF(OR(AND(C657=12,D657=Input!$C$6),E657=""),"",1)</f>
        <v>1</v>
      </c>
      <c r="F658" s="150">
        <f>IF(E658="","",Input!$C$8+B658-1)</f>
        <v>2072</v>
      </c>
      <c r="G658" s="151">
        <f>IF(E658="","",MAX(0,Input!$C$9-B658))</f>
        <v>0</v>
      </c>
      <c r="H658" s="152">
        <f>IF(E658="","",Input!$C$3)</f>
        <v>100000</v>
      </c>
      <c r="I658" s="153">
        <f>IF(E658="","",HLOOKUP($B658,Input!$C$13:$BT$14,2))</f>
        <v>803.6</v>
      </c>
      <c r="J658" s="154"/>
      <c r="K658" s="155">
        <f>IF($E658="","",INDEX(Input!$C$16:$CP$16,1,$B658))</f>
        <v>3.2739999999999998E-2</v>
      </c>
      <c r="L658" s="155">
        <f>IF($E658="","",Input!$C$37)</f>
        <v>1.4999999999999999E-2</v>
      </c>
      <c r="M658" s="155">
        <f t="shared" si="410"/>
        <v>4.7739999999999998E-2</v>
      </c>
      <c r="N658" s="155">
        <f t="shared" si="411"/>
        <v>3.8938500380787389E-3</v>
      </c>
      <c r="O658" s="147">
        <f>IF($E658="","",MIN(VLOOKUP(IF($B658&lt;=Input!$C$7,$B658,26),'Mortality Tables'!$A$41:$CW$67,IF($B658&lt;=Input!$C$7+1,Input!$C$4+2,$D658-Input!$C$7+2),0)*IF(B658&gt;20,Input!$C$22,1)/1000,1))</f>
        <v>0.90205360000000012</v>
      </c>
      <c r="P658" s="147">
        <f>IF($E658="","",MIN(VLOOKUP(IF($B658&lt;=Input!$C$7,$B658,26),'Mortality Tables'!$A$12:$CW$37,IF($B658&lt;=Input!$C$7+1,Input!$C$4+2,$D658-Input!$C$7+2),0)*IF(B658&gt;20,Input!$C$22,1)/1000,1))</f>
        <v>1</v>
      </c>
      <c r="Q658" s="155">
        <f>IF($E658="","",Input!$C$21)</f>
        <v>5.0000000000000001E-3</v>
      </c>
      <c r="R658" s="159">
        <f>IF($E658="","",(1-Q658)^($F658-Input!$C$20))</f>
        <v>0.76286266414099668</v>
      </c>
      <c r="S658" s="147">
        <f t="shared" si="413"/>
        <v>0.68814301249397702</v>
      </c>
      <c r="T658" s="147">
        <f t="shared" si="414"/>
        <v>9.2535544227477118E-2</v>
      </c>
      <c r="U658" s="160">
        <f>IF($E658="","",IF($C658=12,INDEX(Input!$C$15:$CP$15,1,$B658),0))</f>
        <v>0</v>
      </c>
      <c r="V658" s="150">
        <f>IF(E658="","",IF(C658=1,IF($B658=1,Input!$C$33,Input!$C$34),0))</f>
        <v>0</v>
      </c>
      <c r="W658" s="156">
        <f>IF($E658="","",Input!$C$35)</f>
        <v>0.02</v>
      </c>
      <c r="X658" s="156">
        <f t="shared" si="412"/>
        <v>2.9134614441402875</v>
      </c>
      <c r="Y658" s="154"/>
      <c r="Z658" s="147">
        <f>IF($E658="","",VLOOKUP($D658,'Mortality Margins &amp; Grading'!$AB$5:$AF$125,3,0)*IF(Summary!$D$25="Included Margin",IF(AND($B658&gt;Input!$C$9,Summary!$D$31&lt;&gt;"Included Margin"),0,1),0))</f>
        <v>1.6E-2</v>
      </c>
      <c r="AA658" s="147">
        <f>IF($E658="","",VLOOKUP($D658,'Mortality Margins &amp; Grading'!$AB$5:$AF$125,5,0)*IF(Summary!$D$25="Included Margin",IF(AND($B658&gt;Input!$C$9,Summary!$D$31&lt;&gt;"Included Margin"),0,1),0))</f>
        <v>8.1000000000000003E-2</v>
      </c>
      <c r="AB658" s="147">
        <f>IF($E658="","",IF(AND($B658&gt;Input!$C$9,Summary!$D$31&lt;&gt;"Included Margin"),1,IF(Summary!$D$25="Included Margin",VLOOKUP($B658,'Mortality Margins &amp; Grading'!$AI$5:$AR$125,MATCH('Mortality Margins &amp; Grading'!$AQ$4,'Mortality Margins &amp; Grading'!$AI$4:$AR$4,0),0),1)))</f>
        <v>0</v>
      </c>
      <c r="AC658" s="154"/>
      <c r="AD658" s="158">
        <f>IF(E658="","",Input!$C$48*IF(Summary!$D$30="Included Margin",IF(AND($B658&gt;Input!$C$9,Summary!$D$31&lt;&gt;"Included Margin"),0,1),0))</f>
        <v>-4.4999999999999997E-3</v>
      </c>
      <c r="AE658" s="159">
        <f>IF(E658="","",IF(Summary!$D$26="Included Margin",IF(AND($B658&gt;Input!$C$9,Summary!$D$31&lt;&gt;"Included Margin"),1,1/$R658),1))</f>
        <v>1.3108519357491772</v>
      </c>
      <c r="AF658" s="160">
        <f>IF(E658="","",IF(AND($B658&gt;=Input!$C$9,$C658=12,Summary!$D$31="Included Margin",$U658&gt;0),1/U658-1,IF($B658&gt;=Input!$C$9,0,Input!$C$45*IF(Summary!$D$27="Included Margin",1,0))))</f>
        <v>0</v>
      </c>
      <c r="AG658" s="160">
        <f>IF(E658="","",Input!$C$46*IF(Summary!$D$28="Included Margin",IF(AND($B658&gt;Input!$C$9,Summary!$D$31&lt;&gt;"Included Margin"),0,1),0))</f>
        <v>0.02</v>
      </c>
      <c r="AH658" s="158">
        <f>IF(E658="","",Input!$C$47*IF(Summary!$D$29="Included Margin",IF(AND($B658&gt;Input!$C$9,Summary!$D$31&lt;&gt;"Included Margin"),0,1),0))</f>
        <v>2.5000000000000001E-3</v>
      </c>
      <c r="AI658" s="154"/>
      <c r="AJ658" s="158">
        <f t="shared" si="435"/>
        <v>4.3240000000000001E-2</v>
      </c>
      <c r="AK658" s="155">
        <f t="shared" si="436"/>
        <v>3.5338339042105815E-3</v>
      </c>
      <c r="AL658" s="147">
        <f t="shared" si="437"/>
        <v>1</v>
      </c>
      <c r="AM658" s="147">
        <f t="shared" si="415"/>
        <v>1</v>
      </c>
      <c r="AN658" s="160">
        <f t="shared" si="438"/>
        <v>0</v>
      </c>
      <c r="AO658" s="161">
        <f t="shared" si="439"/>
        <v>0</v>
      </c>
      <c r="AP658" s="156">
        <f t="shared" si="416"/>
        <v>3.3252101744807123</v>
      </c>
      <c r="AQ658" s="152"/>
      <c r="AR658" s="162">
        <f t="shared" si="417"/>
        <v>99823.619953683316</v>
      </c>
      <c r="AS658" s="150">
        <f t="shared" si="440"/>
        <v>0</v>
      </c>
      <c r="AT658" s="163">
        <f t="shared" si="418"/>
        <v>0</v>
      </c>
      <c r="AU658" s="163">
        <f t="shared" si="419"/>
        <v>100000</v>
      </c>
      <c r="AV658" s="163">
        <f t="shared" si="441"/>
        <v>176.06839742282895</v>
      </c>
      <c r="AW658" s="163">
        <f t="shared" si="420"/>
        <v>99823.93160257717</v>
      </c>
      <c r="AX658" s="163">
        <f t="shared" si="421"/>
        <v>0</v>
      </c>
      <c r="AY658" s="165">
        <f t="shared" si="442"/>
        <v>99823.619953683316</v>
      </c>
      <c r="AZ658" s="164">
        <f>IF($E658="","",IF(OR(AND($D658=Input!$C$6,$C658=12),$AN658=1),0,-AS659+AT659+AU659-AV659-AW659-AX659+AZ659))</f>
        <v>99823.93160257717</v>
      </c>
      <c r="BA658" s="154">
        <f t="shared" si="422"/>
        <v>0.31164889385399874</v>
      </c>
      <c r="BC658" s="147">
        <f t="shared" si="443"/>
        <v>1.5507827972365398E-7</v>
      </c>
      <c r="BD658" s="164">
        <f>IF(AND($C657=12,$D657=Input!$C$6),0,IF($E658="","",AT658+(AU658+BD659)/(1+$AK658)*MIN((1-AM658-AN658),1)))</f>
        <v>0</v>
      </c>
      <c r="BE658" s="164">
        <f t="shared" si="423"/>
        <v>0</v>
      </c>
      <c r="BF658" s="164">
        <f t="shared" si="444"/>
        <v>99823.93160257717</v>
      </c>
      <c r="BG658" s="164">
        <f t="shared" si="424"/>
        <v>1.5480523588179366E-2</v>
      </c>
      <c r="BH658" s="152"/>
      <c r="BI658" s="162">
        <f t="shared" si="425"/>
        <v>40169.65431586976</v>
      </c>
      <c r="BJ658" s="150">
        <f t="shared" si="426"/>
        <v>0</v>
      </c>
      <c r="BK658" s="163">
        <f t="shared" si="448"/>
        <v>0</v>
      </c>
      <c r="BL658" s="163">
        <f t="shared" si="427"/>
        <v>9253.5544227477112</v>
      </c>
      <c r="BM658" s="163">
        <f t="shared" si="449"/>
        <v>138.39863336676933</v>
      </c>
      <c r="BN658" s="163">
        <f t="shared" si="428"/>
        <v>3166.6784776279451</v>
      </c>
      <c r="BO658" s="163">
        <f t="shared" si="429"/>
        <v>0</v>
      </c>
      <c r="BP658" s="164">
        <f t="shared" si="450"/>
        <v>34221.177004116762</v>
      </c>
      <c r="BQ658" s="164">
        <f>IF($E658="","",IF(AND($D658=Input!$C$6,$C658=12),0,-BJ659+BK659+BL659-BM659-BN659-BO659+BQ659))</f>
        <v>34221.212011715223</v>
      </c>
      <c r="BR658" s="161">
        <f t="shared" si="430"/>
        <v>0</v>
      </c>
      <c r="BT658" s="147">
        <f t="shared" si="431"/>
        <v>1.5507827972365398E-7</v>
      </c>
      <c r="BU658" s="164">
        <f>IF(AND($C657=12,$D657=Input!$C$6),0,IF($E658="","",BK658+(BL658+BU659)/(1+$AK658)*MIN((1-T658-U658),1)))</f>
        <v>80295.116089189294</v>
      </c>
      <c r="BV658" s="164">
        <f t="shared" si="432"/>
        <v>1.2452028473322567E-2</v>
      </c>
      <c r="BW658" s="164">
        <f t="shared" si="433"/>
        <v>34221.212011715223</v>
      </c>
      <c r="BX658" s="164">
        <f t="shared" si="434"/>
        <v>5.3069666888352412E-3</v>
      </c>
    </row>
    <row r="659" spans="1:76" s="150" customFormat="1" x14ac:dyDescent="0.25">
      <c r="A659" s="150">
        <f t="shared" si="445"/>
        <v>655</v>
      </c>
      <c r="B659" s="150">
        <f t="shared" si="446"/>
        <v>55</v>
      </c>
      <c r="C659" s="150">
        <f t="shared" si="447"/>
        <v>7</v>
      </c>
      <c r="D659" s="150">
        <f>IF(E659="","",Input!$C$4+B659-1)</f>
        <v>99</v>
      </c>
      <c r="E659" s="150">
        <f>IF(OR(AND(C658=12,D658=Input!$C$6),E658=""),"",1)</f>
        <v>1</v>
      </c>
      <c r="F659" s="150">
        <f>IF(E659="","",Input!$C$8+B659-1)</f>
        <v>2072</v>
      </c>
      <c r="G659" s="151">
        <f>IF(E659="","",MAX(0,Input!$C$9-B659))</f>
        <v>0</v>
      </c>
      <c r="H659" s="152">
        <f>IF(E659="","",Input!$C$3)</f>
        <v>100000</v>
      </c>
      <c r="I659" s="153">
        <f>IF(E659="","",HLOOKUP($B659,Input!$C$13:$BT$14,2))</f>
        <v>803.6</v>
      </c>
      <c r="J659" s="154"/>
      <c r="K659" s="155">
        <f>IF($E659="","",INDEX(Input!$C$16:$CP$16,1,$B659))</f>
        <v>3.2739999999999998E-2</v>
      </c>
      <c r="L659" s="155">
        <f>IF($E659="","",Input!$C$37)</f>
        <v>1.4999999999999999E-2</v>
      </c>
      <c r="M659" s="155">
        <f t="shared" si="410"/>
        <v>4.7739999999999998E-2</v>
      </c>
      <c r="N659" s="155">
        <f t="shared" si="411"/>
        <v>3.8938500380787389E-3</v>
      </c>
      <c r="O659" s="147">
        <f>IF($E659="","",MIN(VLOOKUP(IF($B659&lt;=Input!$C$7,$B659,26),'Mortality Tables'!$A$41:$CW$67,IF($B659&lt;=Input!$C$7+1,Input!$C$4+2,$D659-Input!$C$7+2),0)*IF(B659&gt;20,Input!$C$22,1)/1000,1))</f>
        <v>0.90205360000000012</v>
      </c>
      <c r="P659" s="147">
        <f>IF($E659="","",MIN(VLOOKUP(IF($B659&lt;=Input!$C$7,$B659,26),'Mortality Tables'!$A$12:$CW$37,IF($B659&lt;=Input!$C$7+1,Input!$C$4+2,$D659-Input!$C$7+2),0)*IF(B659&gt;20,Input!$C$22,1)/1000,1))</f>
        <v>1</v>
      </c>
      <c r="Q659" s="155">
        <f>IF($E659="","",Input!$C$21)</f>
        <v>5.0000000000000001E-3</v>
      </c>
      <c r="R659" s="159">
        <f>IF($E659="","",(1-Q659)^($F659-Input!$C$20))</f>
        <v>0.76286266414099668</v>
      </c>
      <c r="S659" s="147">
        <f t="shared" si="413"/>
        <v>0.68814301249397702</v>
      </c>
      <c r="T659" s="147">
        <f t="shared" si="414"/>
        <v>9.2535544227477118E-2</v>
      </c>
      <c r="U659" s="160">
        <f>IF($E659="","",IF($C659=12,INDEX(Input!$C$15:$CP$15,1,$B659),0))</f>
        <v>0</v>
      </c>
      <c r="V659" s="150">
        <f>IF(E659="","",IF(C659=1,IF($B659=1,Input!$C$33,Input!$C$34),0))</f>
        <v>0</v>
      </c>
      <c r="W659" s="156">
        <f>IF($E659="","",Input!$C$35)</f>
        <v>0.02</v>
      </c>
      <c r="X659" s="156">
        <f t="shared" si="412"/>
        <v>2.9134614441402875</v>
      </c>
      <c r="Y659" s="154"/>
      <c r="Z659" s="147">
        <f>IF($E659="","",VLOOKUP($D659,'Mortality Margins &amp; Grading'!$AB$5:$AF$125,3,0)*IF(Summary!$D$25="Included Margin",IF(AND($B659&gt;Input!$C$9,Summary!$D$31&lt;&gt;"Included Margin"),0,1),0))</f>
        <v>1.6E-2</v>
      </c>
      <c r="AA659" s="147">
        <f>IF($E659="","",VLOOKUP($D659,'Mortality Margins &amp; Grading'!$AB$5:$AF$125,5,0)*IF(Summary!$D$25="Included Margin",IF(AND($B659&gt;Input!$C$9,Summary!$D$31&lt;&gt;"Included Margin"),0,1),0))</f>
        <v>8.1000000000000003E-2</v>
      </c>
      <c r="AB659" s="147">
        <f>IF($E659="","",IF(AND($B659&gt;Input!$C$9,Summary!$D$31&lt;&gt;"Included Margin"),1,IF(Summary!$D$25="Included Margin",VLOOKUP($B659,'Mortality Margins &amp; Grading'!$AI$5:$AR$125,MATCH('Mortality Margins &amp; Grading'!$AQ$4,'Mortality Margins &amp; Grading'!$AI$4:$AR$4,0),0),1)))</f>
        <v>0</v>
      </c>
      <c r="AC659" s="154"/>
      <c r="AD659" s="158">
        <f>IF(E659="","",Input!$C$48*IF(Summary!$D$30="Included Margin",IF(AND($B659&gt;Input!$C$9,Summary!$D$31&lt;&gt;"Included Margin"),0,1),0))</f>
        <v>-4.4999999999999997E-3</v>
      </c>
      <c r="AE659" s="159">
        <f>IF(E659="","",IF(Summary!$D$26="Included Margin",IF(AND($B659&gt;Input!$C$9,Summary!$D$31&lt;&gt;"Included Margin"),1,1/$R659),1))</f>
        <v>1.3108519357491772</v>
      </c>
      <c r="AF659" s="160">
        <f>IF(E659="","",IF(AND($B659&gt;=Input!$C$9,$C659=12,Summary!$D$31="Included Margin",$U659&gt;0),1/U659-1,IF($B659&gt;=Input!$C$9,0,Input!$C$45*IF(Summary!$D$27="Included Margin",1,0))))</f>
        <v>0</v>
      </c>
      <c r="AG659" s="160">
        <f>IF(E659="","",Input!$C$46*IF(Summary!$D$28="Included Margin",IF(AND($B659&gt;Input!$C$9,Summary!$D$31&lt;&gt;"Included Margin"),0,1),0))</f>
        <v>0.02</v>
      </c>
      <c r="AH659" s="158">
        <f>IF(E659="","",Input!$C$47*IF(Summary!$D$29="Included Margin",IF(AND($B659&gt;Input!$C$9,Summary!$D$31&lt;&gt;"Included Margin"),0,1),0))</f>
        <v>2.5000000000000001E-3</v>
      </c>
      <c r="AI659" s="154"/>
      <c r="AJ659" s="158">
        <f t="shared" si="435"/>
        <v>4.3240000000000001E-2</v>
      </c>
      <c r="AK659" s="155">
        <f t="shared" si="436"/>
        <v>3.5338339042105815E-3</v>
      </c>
      <c r="AL659" s="147">
        <f t="shared" si="437"/>
        <v>1</v>
      </c>
      <c r="AM659" s="147">
        <f t="shared" si="415"/>
        <v>1</v>
      </c>
      <c r="AN659" s="160">
        <f t="shared" si="438"/>
        <v>0</v>
      </c>
      <c r="AO659" s="161">
        <f t="shared" si="439"/>
        <v>0</v>
      </c>
      <c r="AP659" s="156">
        <f t="shared" si="416"/>
        <v>3.3252101744807123</v>
      </c>
      <c r="AQ659" s="152"/>
      <c r="AR659" s="162">
        <f t="shared" si="417"/>
        <v>99823.619953683316</v>
      </c>
      <c r="AS659" s="150">
        <f t="shared" si="440"/>
        <v>0</v>
      </c>
      <c r="AT659" s="163">
        <f t="shared" si="418"/>
        <v>0</v>
      </c>
      <c r="AU659" s="163">
        <f t="shared" si="419"/>
        <v>100000</v>
      </c>
      <c r="AV659" s="163">
        <f t="shared" si="441"/>
        <v>176.06839742282895</v>
      </c>
      <c r="AW659" s="163">
        <f t="shared" si="420"/>
        <v>99823.93160257717</v>
      </c>
      <c r="AX659" s="163">
        <f t="shared" si="421"/>
        <v>0</v>
      </c>
      <c r="AY659" s="164">
        <f t="shared" si="442"/>
        <v>99823.619953683316</v>
      </c>
      <c r="AZ659" s="164">
        <f>IF($E659="","",IF(OR(AND($D659=Input!$C$6,$C659=12),$AN659=1),0,-AS660+AT660+AU660-AV660-AW660-AX660+AZ660))</f>
        <v>99823.93160257717</v>
      </c>
      <c r="BA659" s="154">
        <f t="shared" si="422"/>
        <v>0.31164889385399874</v>
      </c>
      <c r="BC659" s="147">
        <f t="shared" si="443"/>
        <v>1.4072802671156472E-7</v>
      </c>
      <c r="BD659" s="164">
        <f>IF(AND($C658=12,$D658=Input!$C$6),0,IF($E659="","",AT659+(AU659+BD660)/(1+$AK659)*MIN((1-AM659-AN659),1)))</f>
        <v>0</v>
      </c>
      <c r="BE659" s="164">
        <f t="shared" si="423"/>
        <v>0</v>
      </c>
      <c r="BF659" s="164">
        <f t="shared" si="444"/>
        <v>99823.93160257717</v>
      </c>
      <c r="BG659" s="164">
        <f t="shared" si="424"/>
        <v>1.4048024913020889E-2</v>
      </c>
      <c r="BH659" s="152"/>
      <c r="BI659" s="162">
        <f t="shared" si="425"/>
        <v>34221.177004116762</v>
      </c>
      <c r="BJ659" s="150">
        <f t="shared" si="426"/>
        <v>0</v>
      </c>
      <c r="BK659" s="163">
        <f t="shared" si="448"/>
        <v>0</v>
      </c>
      <c r="BL659" s="163">
        <f t="shared" si="427"/>
        <v>9253.5544227477112</v>
      </c>
      <c r="BM659" s="163">
        <f t="shared" si="449"/>
        <v>115.23615475988939</v>
      </c>
      <c r="BN659" s="163">
        <f t="shared" si="428"/>
        <v>2557.7411970366179</v>
      </c>
      <c r="BO659" s="163">
        <f t="shared" si="429"/>
        <v>0</v>
      </c>
      <c r="BP659" s="164">
        <f t="shared" si="450"/>
        <v>27640.599933165558</v>
      </c>
      <c r="BQ659" s="164">
        <f>IF($E659="","",IF(AND($D659=Input!$C$6,$C659=12),0,-BJ660+BK660+BL660-BM660-BN660-BO660+BQ660))</f>
        <v>27640.634940764015</v>
      </c>
      <c r="BR659" s="161">
        <f t="shared" si="430"/>
        <v>0</v>
      </c>
      <c r="BT659" s="147">
        <f t="shared" si="431"/>
        <v>1.4072802671156472E-7</v>
      </c>
      <c r="BU659" s="164">
        <f>IF(AND($C658=12,$D658=Input!$C$6),0,IF($E659="","",BK659+(BL659+BU660)/(1+$AK659)*MIN((1-T659-U659),1)))</f>
        <v>79542.061956707228</v>
      </c>
      <c r="BV659" s="164">
        <f t="shared" si="432"/>
        <v>1.1193797419736431E-2</v>
      </c>
      <c r="BW659" s="164">
        <f t="shared" si="433"/>
        <v>27640.634940764015</v>
      </c>
      <c r="BX659" s="164">
        <f t="shared" si="434"/>
        <v>3.8898120122684474E-3</v>
      </c>
    </row>
    <row r="660" spans="1:76" s="150" customFormat="1" x14ac:dyDescent="0.25">
      <c r="A660" s="150">
        <f t="shared" si="445"/>
        <v>656</v>
      </c>
      <c r="B660" s="150">
        <f t="shared" si="446"/>
        <v>55</v>
      </c>
      <c r="C660" s="150">
        <f t="shared" si="447"/>
        <v>8</v>
      </c>
      <c r="D660" s="150">
        <f>IF(E660="","",Input!$C$4+B660-1)</f>
        <v>99</v>
      </c>
      <c r="E660" s="150">
        <f>IF(OR(AND(C659=12,D659=Input!$C$6),E659=""),"",1)</f>
        <v>1</v>
      </c>
      <c r="F660" s="150">
        <f>IF(E660="","",Input!$C$8+B660-1)</f>
        <v>2072</v>
      </c>
      <c r="G660" s="151">
        <f>IF(E660="","",MAX(0,Input!$C$9-B660))</f>
        <v>0</v>
      </c>
      <c r="H660" s="152">
        <f>IF(E660="","",Input!$C$3)</f>
        <v>100000</v>
      </c>
      <c r="I660" s="153">
        <f>IF(E660="","",HLOOKUP($B660,Input!$C$13:$BT$14,2))</f>
        <v>803.6</v>
      </c>
      <c r="J660" s="154"/>
      <c r="K660" s="155">
        <f>IF($E660="","",INDEX(Input!$C$16:$CP$16,1,$B660))</f>
        <v>3.2739999999999998E-2</v>
      </c>
      <c r="L660" s="155">
        <f>IF($E660="","",Input!$C$37)</f>
        <v>1.4999999999999999E-2</v>
      </c>
      <c r="M660" s="155">
        <f t="shared" si="410"/>
        <v>4.7739999999999998E-2</v>
      </c>
      <c r="N660" s="155">
        <f t="shared" si="411"/>
        <v>3.8938500380787389E-3</v>
      </c>
      <c r="O660" s="147">
        <f>IF($E660="","",MIN(VLOOKUP(IF($B660&lt;=Input!$C$7,$B660,26),'Mortality Tables'!$A$41:$CW$67,IF($B660&lt;=Input!$C$7+1,Input!$C$4+2,$D660-Input!$C$7+2),0)*IF(B660&gt;20,Input!$C$22,1)/1000,1))</f>
        <v>0.90205360000000012</v>
      </c>
      <c r="P660" s="147">
        <f>IF($E660="","",MIN(VLOOKUP(IF($B660&lt;=Input!$C$7,$B660,26),'Mortality Tables'!$A$12:$CW$37,IF($B660&lt;=Input!$C$7+1,Input!$C$4+2,$D660-Input!$C$7+2),0)*IF(B660&gt;20,Input!$C$22,1)/1000,1))</f>
        <v>1</v>
      </c>
      <c r="Q660" s="155">
        <f>IF($E660="","",Input!$C$21)</f>
        <v>5.0000000000000001E-3</v>
      </c>
      <c r="R660" s="159">
        <f>IF($E660="","",(1-Q660)^($F660-Input!$C$20))</f>
        <v>0.76286266414099668</v>
      </c>
      <c r="S660" s="147">
        <f t="shared" si="413"/>
        <v>0.68814301249397702</v>
      </c>
      <c r="T660" s="147">
        <f t="shared" si="414"/>
        <v>9.2535544227477118E-2</v>
      </c>
      <c r="U660" s="160">
        <f>IF($E660="","",IF($C660=12,INDEX(Input!$C$15:$CP$15,1,$B660),0))</f>
        <v>0</v>
      </c>
      <c r="V660" s="150">
        <f>IF(E660="","",IF(C660=1,IF($B660=1,Input!$C$33,Input!$C$34),0))</f>
        <v>0</v>
      </c>
      <c r="W660" s="156">
        <f>IF($E660="","",Input!$C$35)</f>
        <v>0.02</v>
      </c>
      <c r="X660" s="156">
        <f t="shared" si="412"/>
        <v>2.9134614441402875</v>
      </c>
      <c r="Y660" s="154"/>
      <c r="Z660" s="147">
        <f>IF($E660="","",VLOOKUP($D660,'Mortality Margins &amp; Grading'!$AB$5:$AF$125,3,0)*IF(Summary!$D$25="Included Margin",IF(AND($B660&gt;Input!$C$9,Summary!$D$31&lt;&gt;"Included Margin"),0,1),0))</f>
        <v>1.6E-2</v>
      </c>
      <c r="AA660" s="147">
        <f>IF($E660="","",VLOOKUP($D660,'Mortality Margins &amp; Grading'!$AB$5:$AF$125,5,0)*IF(Summary!$D$25="Included Margin",IF(AND($B660&gt;Input!$C$9,Summary!$D$31&lt;&gt;"Included Margin"),0,1),0))</f>
        <v>8.1000000000000003E-2</v>
      </c>
      <c r="AB660" s="147">
        <f>IF($E660="","",IF(AND($B660&gt;Input!$C$9,Summary!$D$31&lt;&gt;"Included Margin"),1,IF(Summary!$D$25="Included Margin",VLOOKUP($B660,'Mortality Margins &amp; Grading'!$AI$5:$AR$125,MATCH('Mortality Margins &amp; Grading'!$AQ$4,'Mortality Margins &amp; Grading'!$AI$4:$AR$4,0),0),1)))</f>
        <v>0</v>
      </c>
      <c r="AC660" s="154"/>
      <c r="AD660" s="158">
        <f>IF(E660="","",Input!$C$48*IF(Summary!$D$30="Included Margin",IF(AND($B660&gt;Input!$C$9,Summary!$D$31&lt;&gt;"Included Margin"),0,1),0))</f>
        <v>-4.4999999999999997E-3</v>
      </c>
      <c r="AE660" s="159">
        <f>IF(E660="","",IF(Summary!$D$26="Included Margin",IF(AND($B660&gt;Input!$C$9,Summary!$D$31&lt;&gt;"Included Margin"),1,1/$R660),1))</f>
        <v>1.3108519357491772</v>
      </c>
      <c r="AF660" s="160">
        <f>IF(E660="","",IF(AND($B660&gt;=Input!$C$9,$C660=12,Summary!$D$31="Included Margin",$U660&gt;0),1/U660-1,IF($B660&gt;=Input!$C$9,0,Input!$C$45*IF(Summary!$D$27="Included Margin",1,0))))</f>
        <v>0</v>
      </c>
      <c r="AG660" s="160">
        <f>IF(E660="","",Input!$C$46*IF(Summary!$D$28="Included Margin",IF(AND($B660&gt;Input!$C$9,Summary!$D$31&lt;&gt;"Included Margin"),0,1),0))</f>
        <v>0.02</v>
      </c>
      <c r="AH660" s="158">
        <f>IF(E660="","",Input!$C$47*IF(Summary!$D$29="Included Margin",IF(AND($B660&gt;Input!$C$9,Summary!$D$31&lt;&gt;"Included Margin"),0,1),0))</f>
        <v>2.5000000000000001E-3</v>
      </c>
      <c r="AI660" s="154"/>
      <c r="AJ660" s="158">
        <f t="shared" si="435"/>
        <v>4.3240000000000001E-2</v>
      </c>
      <c r="AK660" s="155">
        <f t="shared" si="436"/>
        <v>3.5338339042105815E-3</v>
      </c>
      <c r="AL660" s="147">
        <f t="shared" si="437"/>
        <v>1</v>
      </c>
      <c r="AM660" s="147">
        <f t="shared" si="415"/>
        <v>1</v>
      </c>
      <c r="AN660" s="160">
        <f t="shared" si="438"/>
        <v>0</v>
      </c>
      <c r="AO660" s="161">
        <f t="shared" si="439"/>
        <v>0</v>
      </c>
      <c r="AP660" s="156">
        <f t="shared" si="416"/>
        <v>3.3252101744807123</v>
      </c>
      <c r="AQ660" s="152"/>
      <c r="AR660" s="162">
        <f t="shared" si="417"/>
        <v>99823.619953683316</v>
      </c>
      <c r="AS660" s="150">
        <f t="shared" si="440"/>
        <v>0</v>
      </c>
      <c r="AT660" s="163">
        <f t="shared" si="418"/>
        <v>0</v>
      </c>
      <c r="AU660" s="163">
        <f t="shared" si="419"/>
        <v>100000</v>
      </c>
      <c r="AV660" s="163">
        <f t="shared" si="441"/>
        <v>176.06839742282895</v>
      </c>
      <c r="AW660" s="163">
        <f t="shared" si="420"/>
        <v>99823.93160257717</v>
      </c>
      <c r="AX660" s="163">
        <f t="shared" si="421"/>
        <v>0</v>
      </c>
      <c r="AY660" s="165">
        <f t="shared" si="442"/>
        <v>99823.619953683316</v>
      </c>
      <c r="AZ660" s="164">
        <f>IF($E660="","",IF(OR(AND($D660=Input!$C$6,$C660=12),$AN660=1),0,-AS661+AT661+AU661-AV661-AW661-AX661+AZ661))</f>
        <v>99823.93160257717</v>
      </c>
      <c r="BA660" s="154">
        <f t="shared" si="422"/>
        <v>0.31164889385399874</v>
      </c>
      <c r="BC660" s="147">
        <f t="shared" si="443"/>
        <v>1.2770568217175115E-7</v>
      </c>
      <c r="BD660" s="164">
        <f>IF(AND($C659=12,$D659=Input!$C$6),0,IF($E660="","",AT660+(AU660+BD661)/(1+$AK660)*MIN((1-AM660-AN660),1)))</f>
        <v>0</v>
      </c>
      <c r="BE660" s="164">
        <f t="shared" si="423"/>
        <v>0</v>
      </c>
      <c r="BF660" s="164">
        <f t="shared" si="444"/>
        <v>99823.93160257717</v>
      </c>
      <c r="BG660" s="164">
        <f t="shared" si="424"/>
        <v>1.2748083282373346E-2</v>
      </c>
      <c r="BH660" s="152"/>
      <c r="BI660" s="162">
        <f t="shared" si="425"/>
        <v>27640.599933165562</v>
      </c>
      <c r="BJ660" s="150">
        <f t="shared" si="426"/>
        <v>0</v>
      </c>
      <c r="BK660" s="163">
        <f t="shared" si="448"/>
        <v>0</v>
      </c>
      <c r="BL660" s="163">
        <f t="shared" si="427"/>
        <v>9253.5544227477112</v>
      </c>
      <c r="BM660" s="163">
        <f t="shared" si="449"/>
        <v>89.612374481585988</v>
      </c>
      <c r="BN660" s="163">
        <f t="shared" si="428"/>
        <v>1884.09675051762</v>
      </c>
      <c r="BO660" s="163">
        <f t="shared" si="429"/>
        <v>0</v>
      </c>
      <c r="BP660" s="164">
        <f t="shared" si="450"/>
        <v>20360.754635417055</v>
      </c>
      <c r="BQ660" s="164">
        <f>IF($E660="","",IF(AND($D660=Input!$C$6,$C660=12),0,-BJ661+BK661+BL661-BM661-BN661-BO661+BQ661))</f>
        <v>20360.789643015512</v>
      </c>
      <c r="BR660" s="161">
        <f t="shared" si="430"/>
        <v>0</v>
      </c>
      <c r="BT660" s="147">
        <f t="shared" si="431"/>
        <v>1.2770568217175115E-7</v>
      </c>
      <c r="BU660" s="164">
        <f>IF(AND($C659=12,$D659=Input!$C$6),0,IF($E660="","",BK660+(BL660+BU661)/(1+$AK660)*MIN((1-T660-U660),1)))</f>
        <v>78709.285206169065</v>
      </c>
      <c r="BV660" s="164">
        <f t="shared" si="432"/>
        <v>1.0051622960504741E-2</v>
      </c>
      <c r="BW660" s="164">
        <f t="shared" si="433"/>
        <v>20360.789643015512</v>
      </c>
      <c r="BX660" s="164">
        <f t="shared" si="434"/>
        <v>2.6001885309168216E-3</v>
      </c>
    </row>
    <row r="661" spans="1:76" s="150" customFormat="1" x14ac:dyDescent="0.25">
      <c r="A661" s="150">
        <f t="shared" si="445"/>
        <v>657</v>
      </c>
      <c r="B661" s="150">
        <f t="shared" si="446"/>
        <v>55</v>
      </c>
      <c r="C661" s="150">
        <f t="shared" si="447"/>
        <v>9</v>
      </c>
      <c r="D661" s="150">
        <f>IF(E661="","",Input!$C$4+B661-1)</f>
        <v>99</v>
      </c>
      <c r="E661" s="150">
        <f>IF(OR(AND(C660=12,D660=Input!$C$6),E660=""),"",1)</f>
        <v>1</v>
      </c>
      <c r="F661" s="150">
        <f>IF(E661="","",Input!$C$8+B661-1)</f>
        <v>2072</v>
      </c>
      <c r="G661" s="151">
        <f>IF(E661="","",MAX(0,Input!$C$9-B661))</f>
        <v>0</v>
      </c>
      <c r="H661" s="152">
        <f>IF(E661="","",Input!$C$3)</f>
        <v>100000</v>
      </c>
      <c r="I661" s="153">
        <f>IF(E661="","",HLOOKUP($B661,Input!$C$13:$BT$14,2))</f>
        <v>803.6</v>
      </c>
      <c r="J661" s="154"/>
      <c r="K661" s="155">
        <f>IF($E661="","",INDEX(Input!$C$16:$CP$16,1,$B661))</f>
        <v>3.2739999999999998E-2</v>
      </c>
      <c r="L661" s="155">
        <f>IF($E661="","",Input!$C$37)</f>
        <v>1.4999999999999999E-2</v>
      </c>
      <c r="M661" s="155">
        <f t="shared" si="410"/>
        <v>4.7739999999999998E-2</v>
      </c>
      <c r="N661" s="155">
        <f t="shared" si="411"/>
        <v>3.8938500380787389E-3</v>
      </c>
      <c r="O661" s="147">
        <f>IF($E661="","",MIN(VLOOKUP(IF($B661&lt;=Input!$C$7,$B661,26),'Mortality Tables'!$A$41:$CW$67,IF($B661&lt;=Input!$C$7+1,Input!$C$4+2,$D661-Input!$C$7+2),0)*IF(B661&gt;20,Input!$C$22,1)/1000,1))</f>
        <v>0.90205360000000012</v>
      </c>
      <c r="P661" s="147">
        <f>IF($E661="","",MIN(VLOOKUP(IF($B661&lt;=Input!$C$7,$B661,26),'Mortality Tables'!$A$12:$CW$37,IF($B661&lt;=Input!$C$7+1,Input!$C$4+2,$D661-Input!$C$7+2),0)*IF(B661&gt;20,Input!$C$22,1)/1000,1))</f>
        <v>1</v>
      </c>
      <c r="Q661" s="155">
        <f>IF($E661="","",Input!$C$21)</f>
        <v>5.0000000000000001E-3</v>
      </c>
      <c r="R661" s="159">
        <f>IF($E661="","",(1-Q661)^($F661-Input!$C$20))</f>
        <v>0.76286266414099668</v>
      </c>
      <c r="S661" s="147">
        <f t="shared" si="413"/>
        <v>0.68814301249397702</v>
      </c>
      <c r="T661" s="147">
        <f t="shared" si="414"/>
        <v>9.2535544227477118E-2</v>
      </c>
      <c r="U661" s="160">
        <f>IF($E661="","",IF($C661=12,INDEX(Input!$C$15:$CP$15,1,$B661),0))</f>
        <v>0</v>
      </c>
      <c r="V661" s="150">
        <f>IF(E661="","",IF(C661=1,IF($B661=1,Input!$C$33,Input!$C$34),0))</f>
        <v>0</v>
      </c>
      <c r="W661" s="156">
        <f>IF($E661="","",Input!$C$35)</f>
        <v>0.02</v>
      </c>
      <c r="X661" s="156">
        <f t="shared" si="412"/>
        <v>2.9134614441402875</v>
      </c>
      <c r="Y661" s="154"/>
      <c r="Z661" s="147">
        <f>IF($E661="","",VLOOKUP($D661,'Mortality Margins &amp; Grading'!$AB$5:$AF$125,3,0)*IF(Summary!$D$25="Included Margin",IF(AND($B661&gt;Input!$C$9,Summary!$D$31&lt;&gt;"Included Margin"),0,1),0))</f>
        <v>1.6E-2</v>
      </c>
      <c r="AA661" s="147">
        <f>IF($E661="","",VLOOKUP($D661,'Mortality Margins &amp; Grading'!$AB$5:$AF$125,5,0)*IF(Summary!$D$25="Included Margin",IF(AND($B661&gt;Input!$C$9,Summary!$D$31&lt;&gt;"Included Margin"),0,1),0))</f>
        <v>8.1000000000000003E-2</v>
      </c>
      <c r="AB661" s="147">
        <f>IF($E661="","",IF(AND($B661&gt;Input!$C$9,Summary!$D$31&lt;&gt;"Included Margin"),1,IF(Summary!$D$25="Included Margin",VLOOKUP($B661,'Mortality Margins &amp; Grading'!$AI$5:$AR$125,MATCH('Mortality Margins &amp; Grading'!$AQ$4,'Mortality Margins &amp; Grading'!$AI$4:$AR$4,0),0),1)))</f>
        <v>0</v>
      </c>
      <c r="AC661" s="154"/>
      <c r="AD661" s="158">
        <f>IF(E661="","",Input!$C$48*IF(Summary!$D$30="Included Margin",IF(AND($B661&gt;Input!$C$9,Summary!$D$31&lt;&gt;"Included Margin"),0,1),0))</f>
        <v>-4.4999999999999997E-3</v>
      </c>
      <c r="AE661" s="159">
        <f>IF(E661="","",IF(Summary!$D$26="Included Margin",IF(AND($B661&gt;Input!$C$9,Summary!$D$31&lt;&gt;"Included Margin"),1,1/$R661),1))</f>
        <v>1.3108519357491772</v>
      </c>
      <c r="AF661" s="160">
        <f>IF(E661="","",IF(AND($B661&gt;=Input!$C$9,$C661=12,Summary!$D$31="Included Margin",$U661&gt;0),1/U661-1,IF($B661&gt;=Input!$C$9,0,Input!$C$45*IF(Summary!$D$27="Included Margin",1,0))))</f>
        <v>0</v>
      </c>
      <c r="AG661" s="160">
        <f>IF(E661="","",Input!$C$46*IF(Summary!$D$28="Included Margin",IF(AND($B661&gt;Input!$C$9,Summary!$D$31&lt;&gt;"Included Margin"),0,1),0))</f>
        <v>0.02</v>
      </c>
      <c r="AH661" s="158">
        <f>IF(E661="","",Input!$C$47*IF(Summary!$D$29="Included Margin",IF(AND($B661&gt;Input!$C$9,Summary!$D$31&lt;&gt;"Included Margin"),0,1),0))</f>
        <v>2.5000000000000001E-3</v>
      </c>
      <c r="AI661" s="154"/>
      <c r="AJ661" s="158">
        <f t="shared" si="435"/>
        <v>4.3240000000000001E-2</v>
      </c>
      <c r="AK661" s="155">
        <f t="shared" si="436"/>
        <v>3.5338339042105815E-3</v>
      </c>
      <c r="AL661" s="147">
        <f t="shared" si="437"/>
        <v>1</v>
      </c>
      <c r="AM661" s="147">
        <f t="shared" si="415"/>
        <v>1</v>
      </c>
      <c r="AN661" s="160">
        <f t="shared" si="438"/>
        <v>0</v>
      </c>
      <c r="AO661" s="161">
        <f t="shared" si="439"/>
        <v>0</v>
      </c>
      <c r="AP661" s="156">
        <f t="shared" si="416"/>
        <v>3.3252101744807123</v>
      </c>
      <c r="AQ661" s="152"/>
      <c r="AR661" s="162">
        <f t="shared" si="417"/>
        <v>99823.619953683316</v>
      </c>
      <c r="AS661" s="150">
        <f t="shared" si="440"/>
        <v>0</v>
      </c>
      <c r="AT661" s="163">
        <f t="shared" si="418"/>
        <v>0</v>
      </c>
      <c r="AU661" s="163">
        <f t="shared" si="419"/>
        <v>100000</v>
      </c>
      <c r="AV661" s="163">
        <f t="shared" si="441"/>
        <v>176.06839742282895</v>
      </c>
      <c r="AW661" s="163">
        <f t="shared" si="420"/>
        <v>99823.93160257717</v>
      </c>
      <c r="AX661" s="163">
        <f t="shared" si="421"/>
        <v>0</v>
      </c>
      <c r="AY661" s="164">
        <f t="shared" si="442"/>
        <v>99823.619953683316</v>
      </c>
      <c r="AZ661" s="164">
        <f>IF($E661="","",IF(OR(AND($D661=Input!$C$6,$C661=12),$AN661=1),0,-AS662+AT662+AU662-AV662-AW662-AX662+AZ662))</f>
        <v>99823.93160257717</v>
      </c>
      <c r="BA661" s="154">
        <f t="shared" si="422"/>
        <v>0.31164889385399874</v>
      </c>
      <c r="BC661" s="147">
        <f t="shared" si="443"/>
        <v>1.1588836737104694E-7</v>
      </c>
      <c r="BD661" s="164">
        <f>IF(AND($C660=12,$D660=Input!$C$6),0,IF($E661="","",AT661+(AU661+BD662)/(1+$AK661)*MIN((1-AM661-AN661),1)))</f>
        <v>0</v>
      </c>
      <c r="BE661" s="164">
        <f t="shared" si="423"/>
        <v>0</v>
      </c>
      <c r="BF661" s="164">
        <f t="shared" si="444"/>
        <v>99823.93160257717</v>
      </c>
      <c r="BG661" s="164">
        <f t="shared" si="424"/>
        <v>1.1568432457981725E-2</v>
      </c>
      <c r="BH661" s="152"/>
      <c r="BI661" s="162">
        <f t="shared" si="425"/>
        <v>20360.754635417055</v>
      </c>
      <c r="BJ661" s="150">
        <f t="shared" si="426"/>
        <v>0</v>
      </c>
      <c r="BK661" s="163">
        <f t="shared" si="448"/>
        <v>0</v>
      </c>
      <c r="BL661" s="163">
        <f t="shared" si="427"/>
        <v>9253.5544227477112</v>
      </c>
      <c r="BM661" s="163">
        <f t="shared" si="449"/>
        <v>61.265748591740632</v>
      </c>
      <c r="BN661" s="163">
        <f t="shared" si="428"/>
        <v>1138.8691962361443</v>
      </c>
      <c r="BO661" s="163">
        <f t="shared" si="429"/>
        <v>0</v>
      </c>
      <c r="BP661" s="164">
        <f t="shared" si="450"/>
        <v>12307.335157497229</v>
      </c>
      <c r="BQ661" s="164">
        <f>IF($E661="","",IF(AND($D661=Input!$C$6,$C661=12),0,-BJ662+BK662+BL662-BM662-BN662-BO662+BQ662))</f>
        <v>12307.370165095686</v>
      </c>
      <c r="BR661" s="161">
        <f t="shared" si="430"/>
        <v>0</v>
      </c>
      <c r="BT661" s="147">
        <f t="shared" si="431"/>
        <v>1.1588836737104694E-7</v>
      </c>
      <c r="BU661" s="164">
        <f>IF(AND($C660=12,$D660=Input!$C$6),0,IF($E661="","",BK661+(BL661+BU662)/(1+$AK661)*MIN((1-T661-U661),1)))</f>
        <v>77788.345945201072</v>
      </c>
      <c r="BV661" s="164">
        <f t="shared" si="432"/>
        <v>9.0147644120835511E-3</v>
      </c>
      <c r="BW661" s="164">
        <f t="shared" si="433"/>
        <v>12307.370165095686</v>
      </c>
      <c r="BX661" s="164">
        <f t="shared" si="434"/>
        <v>1.4262810350640716E-3</v>
      </c>
    </row>
    <row r="662" spans="1:76" s="150" customFormat="1" x14ac:dyDescent="0.25">
      <c r="A662" s="150">
        <f t="shared" si="445"/>
        <v>658</v>
      </c>
      <c r="B662" s="150">
        <f t="shared" si="446"/>
        <v>55</v>
      </c>
      <c r="C662" s="150">
        <f t="shared" si="447"/>
        <v>10</v>
      </c>
      <c r="D662" s="150">
        <f>IF(E662="","",Input!$C$4+B662-1)</f>
        <v>99</v>
      </c>
      <c r="E662" s="150">
        <f>IF(OR(AND(C661=12,D661=Input!$C$6),E661=""),"",1)</f>
        <v>1</v>
      </c>
      <c r="F662" s="150">
        <f>IF(E662="","",Input!$C$8+B662-1)</f>
        <v>2072</v>
      </c>
      <c r="G662" s="151">
        <f>IF(E662="","",MAX(0,Input!$C$9-B662))</f>
        <v>0</v>
      </c>
      <c r="H662" s="152">
        <f>IF(E662="","",Input!$C$3)</f>
        <v>100000</v>
      </c>
      <c r="I662" s="153">
        <f>IF(E662="","",HLOOKUP($B662,Input!$C$13:$BT$14,2))</f>
        <v>803.6</v>
      </c>
      <c r="J662" s="154"/>
      <c r="K662" s="155">
        <f>IF($E662="","",INDEX(Input!$C$16:$CP$16,1,$B662))</f>
        <v>3.2739999999999998E-2</v>
      </c>
      <c r="L662" s="155">
        <f>IF($E662="","",Input!$C$37)</f>
        <v>1.4999999999999999E-2</v>
      </c>
      <c r="M662" s="155">
        <f t="shared" si="410"/>
        <v>4.7739999999999998E-2</v>
      </c>
      <c r="N662" s="155">
        <f t="shared" si="411"/>
        <v>3.8938500380787389E-3</v>
      </c>
      <c r="O662" s="147">
        <f>IF($E662="","",MIN(VLOOKUP(IF($B662&lt;=Input!$C$7,$B662,26),'Mortality Tables'!$A$41:$CW$67,IF($B662&lt;=Input!$C$7+1,Input!$C$4+2,$D662-Input!$C$7+2),0)*IF(B662&gt;20,Input!$C$22,1)/1000,1))</f>
        <v>0.90205360000000012</v>
      </c>
      <c r="P662" s="147">
        <f>IF($E662="","",MIN(VLOOKUP(IF($B662&lt;=Input!$C$7,$B662,26),'Mortality Tables'!$A$12:$CW$37,IF($B662&lt;=Input!$C$7+1,Input!$C$4+2,$D662-Input!$C$7+2),0)*IF(B662&gt;20,Input!$C$22,1)/1000,1))</f>
        <v>1</v>
      </c>
      <c r="Q662" s="155">
        <f>IF($E662="","",Input!$C$21)</f>
        <v>5.0000000000000001E-3</v>
      </c>
      <c r="R662" s="159">
        <f>IF($E662="","",(1-Q662)^($F662-Input!$C$20))</f>
        <v>0.76286266414099668</v>
      </c>
      <c r="S662" s="147">
        <f t="shared" si="413"/>
        <v>0.68814301249397702</v>
      </c>
      <c r="T662" s="147">
        <f t="shared" si="414"/>
        <v>9.2535544227477118E-2</v>
      </c>
      <c r="U662" s="160">
        <f>IF($E662="","",IF($C662=12,INDEX(Input!$C$15:$CP$15,1,$B662),0))</f>
        <v>0</v>
      </c>
      <c r="V662" s="150">
        <f>IF(E662="","",IF(C662=1,IF($B662=1,Input!$C$33,Input!$C$34),0))</f>
        <v>0</v>
      </c>
      <c r="W662" s="156">
        <f>IF($E662="","",Input!$C$35)</f>
        <v>0.02</v>
      </c>
      <c r="X662" s="156">
        <f t="shared" si="412"/>
        <v>2.9134614441402875</v>
      </c>
      <c r="Y662" s="154"/>
      <c r="Z662" s="147">
        <f>IF($E662="","",VLOOKUP($D662,'Mortality Margins &amp; Grading'!$AB$5:$AF$125,3,0)*IF(Summary!$D$25="Included Margin",IF(AND($B662&gt;Input!$C$9,Summary!$D$31&lt;&gt;"Included Margin"),0,1),0))</f>
        <v>1.6E-2</v>
      </c>
      <c r="AA662" s="147">
        <f>IF($E662="","",VLOOKUP($D662,'Mortality Margins &amp; Grading'!$AB$5:$AF$125,5,0)*IF(Summary!$D$25="Included Margin",IF(AND($B662&gt;Input!$C$9,Summary!$D$31&lt;&gt;"Included Margin"),0,1),0))</f>
        <v>8.1000000000000003E-2</v>
      </c>
      <c r="AB662" s="147">
        <f>IF($E662="","",IF(AND($B662&gt;Input!$C$9,Summary!$D$31&lt;&gt;"Included Margin"),1,IF(Summary!$D$25="Included Margin",VLOOKUP($B662,'Mortality Margins &amp; Grading'!$AI$5:$AR$125,MATCH('Mortality Margins &amp; Grading'!$AQ$4,'Mortality Margins &amp; Grading'!$AI$4:$AR$4,0),0),1)))</f>
        <v>0</v>
      </c>
      <c r="AC662" s="154"/>
      <c r="AD662" s="158">
        <f>IF(E662="","",Input!$C$48*IF(Summary!$D$30="Included Margin",IF(AND($B662&gt;Input!$C$9,Summary!$D$31&lt;&gt;"Included Margin"),0,1),0))</f>
        <v>-4.4999999999999997E-3</v>
      </c>
      <c r="AE662" s="159">
        <f>IF(E662="","",IF(Summary!$D$26="Included Margin",IF(AND($B662&gt;Input!$C$9,Summary!$D$31&lt;&gt;"Included Margin"),1,1/$R662),1))</f>
        <v>1.3108519357491772</v>
      </c>
      <c r="AF662" s="160">
        <f>IF(E662="","",IF(AND($B662&gt;=Input!$C$9,$C662=12,Summary!$D$31="Included Margin",$U662&gt;0),1/U662-1,IF($B662&gt;=Input!$C$9,0,Input!$C$45*IF(Summary!$D$27="Included Margin",1,0))))</f>
        <v>0</v>
      </c>
      <c r="AG662" s="160">
        <f>IF(E662="","",Input!$C$46*IF(Summary!$D$28="Included Margin",IF(AND($B662&gt;Input!$C$9,Summary!$D$31&lt;&gt;"Included Margin"),0,1),0))</f>
        <v>0.02</v>
      </c>
      <c r="AH662" s="158">
        <f>IF(E662="","",Input!$C$47*IF(Summary!$D$29="Included Margin",IF(AND($B662&gt;Input!$C$9,Summary!$D$31&lt;&gt;"Included Margin"),0,1),0))</f>
        <v>2.5000000000000001E-3</v>
      </c>
      <c r="AI662" s="154"/>
      <c r="AJ662" s="158">
        <f t="shared" si="435"/>
        <v>4.3240000000000001E-2</v>
      </c>
      <c r="AK662" s="155">
        <f t="shared" si="436"/>
        <v>3.5338339042105815E-3</v>
      </c>
      <c r="AL662" s="147">
        <f t="shared" si="437"/>
        <v>1</v>
      </c>
      <c r="AM662" s="147">
        <f t="shared" si="415"/>
        <v>1</v>
      </c>
      <c r="AN662" s="160">
        <f t="shared" si="438"/>
        <v>0</v>
      </c>
      <c r="AO662" s="161">
        <f t="shared" si="439"/>
        <v>0</v>
      </c>
      <c r="AP662" s="156">
        <f t="shared" si="416"/>
        <v>3.3252101744807123</v>
      </c>
      <c r="AQ662" s="152"/>
      <c r="AR662" s="162">
        <f t="shared" si="417"/>
        <v>99823.619953683316</v>
      </c>
      <c r="AS662" s="150">
        <f t="shared" si="440"/>
        <v>0</v>
      </c>
      <c r="AT662" s="163">
        <f t="shared" si="418"/>
        <v>0</v>
      </c>
      <c r="AU662" s="163">
        <f t="shared" si="419"/>
        <v>100000</v>
      </c>
      <c r="AV662" s="163">
        <f t="shared" si="441"/>
        <v>176.06839742282895</v>
      </c>
      <c r="AW662" s="163">
        <f t="shared" si="420"/>
        <v>99823.93160257717</v>
      </c>
      <c r="AX662" s="163">
        <f t="shared" si="421"/>
        <v>0</v>
      </c>
      <c r="AY662" s="165">
        <f t="shared" si="442"/>
        <v>99823.619953683316</v>
      </c>
      <c r="AZ662" s="164">
        <f>IF($E662="","",IF(OR(AND($D662=Input!$C$6,$C662=12),$AN662=1),0,-AS663+AT663+AU663-AV663-AW663-AX663+AZ663))</f>
        <v>99823.93160257717</v>
      </c>
      <c r="BA662" s="154">
        <f t="shared" si="422"/>
        <v>0.31164889385399874</v>
      </c>
      <c r="BC662" s="147">
        <f t="shared" si="443"/>
        <v>1.0516457422673331E-7</v>
      </c>
      <c r="BD662" s="164">
        <f>IF(AND($C661=12,$D661=Input!$C$6),0,IF($E662="","",AT662+(AU662+BD663)/(1+$AK662)*MIN((1-AM662-AN662),1)))</f>
        <v>0</v>
      </c>
      <c r="BE662" s="164">
        <f t="shared" si="423"/>
        <v>0</v>
      </c>
      <c r="BF662" s="164">
        <f t="shared" si="444"/>
        <v>99823.93160257717</v>
      </c>
      <c r="BG662" s="164">
        <f t="shared" si="424"/>
        <v>1.0497941264623575E-2</v>
      </c>
      <c r="BH662" s="152"/>
      <c r="BI662" s="162">
        <f t="shared" si="425"/>
        <v>12307.335157497229</v>
      </c>
      <c r="BJ662" s="150">
        <f t="shared" si="426"/>
        <v>0</v>
      </c>
      <c r="BK662" s="163">
        <f t="shared" si="448"/>
        <v>0</v>
      </c>
      <c r="BL662" s="163">
        <f t="shared" si="427"/>
        <v>9253.5544227477112</v>
      </c>
      <c r="BM662" s="163">
        <f t="shared" si="449"/>
        <v>29.906940850978458</v>
      </c>
      <c r="BN662" s="163">
        <f t="shared" si="428"/>
        <v>314.45193794781733</v>
      </c>
      <c r="BO662" s="163">
        <f t="shared" si="429"/>
        <v>0</v>
      </c>
      <c r="BP662" s="164">
        <f t="shared" si="450"/>
        <v>3398.1396135483142</v>
      </c>
      <c r="BQ662" s="164">
        <f>IF($E662="","",IF(AND($D662=Input!$C$6,$C662=12),0,-BJ663+BK663+BL663-BM663-BN663-BO663+BQ663))</f>
        <v>3398.1746211467707</v>
      </c>
      <c r="BR662" s="161">
        <f t="shared" si="430"/>
        <v>0</v>
      </c>
      <c r="BT662" s="147">
        <f t="shared" si="431"/>
        <v>1.0516457422673331E-7</v>
      </c>
      <c r="BU662" s="164">
        <f>IF(AND($C661=12,$D661=Input!$C$6),0,IF($E662="","",BK662+(BL662+BU663)/(1+$AK662)*MIN((1-T662-U662),1)))</f>
        <v>76769.910786145338</v>
      </c>
      <c r="BV662" s="164">
        <f t="shared" si="432"/>
        <v>8.0734749812492752E-3</v>
      </c>
      <c r="BW662" s="164">
        <f t="shared" si="433"/>
        <v>3398.1746211467707</v>
      </c>
      <c r="BX662" s="164">
        <f t="shared" si="434"/>
        <v>3.5736758718099093E-4</v>
      </c>
    </row>
    <row r="663" spans="1:76" s="150" customFormat="1" x14ac:dyDescent="0.25">
      <c r="A663" s="150">
        <f t="shared" si="445"/>
        <v>659</v>
      </c>
      <c r="B663" s="150">
        <f t="shared" si="446"/>
        <v>55</v>
      </c>
      <c r="C663" s="150">
        <f t="shared" si="447"/>
        <v>11</v>
      </c>
      <c r="D663" s="150">
        <f>IF(E663="","",Input!$C$4+B663-1)</f>
        <v>99</v>
      </c>
      <c r="E663" s="150">
        <f>IF(OR(AND(C662=12,D662=Input!$C$6),E662=""),"",1)</f>
        <v>1</v>
      </c>
      <c r="F663" s="150">
        <f>IF(E663="","",Input!$C$8+B663-1)</f>
        <v>2072</v>
      </c>
      <c r="G663" s="151">
        <f>IF(E663="","",MAX(0,Input!$C$9-B663))</f>
        <v>0</v>
      </c>
      <c r="H663" s="152">
        <f>IF(E663="","",Input!$C$3)</f>
        <v>100000</v>
      </c>
      <c r="I663" s="153">
        <f>IF(E663="","",HLOOKUP($B663,Input!$C$13:$BT$14,2))</f>
        <v>803.6</v>
      </c>
      <c r="J663" s="154"/>
      <c r="K663" s="155">
        <f>IF($E663="","",INDEX(Input!$C$16:$CP$16,1,$B663))</f>
        <v>3.2739999999999998E-2</v>
      </c>
      <c r="L663" s="155">
        <f>IF($E663="","",Input!$C$37)</f>
        <v>1.4999999999999999E-2</v>
      </c>
      <c r="M663" s="155">
        <f t="shared" si="410"/>
        <v>4.7739999999999998E-2</v>
      </c>
      <c r="N663" s="155">
        <f t="shared" si="411"/>
        <v>3.8938500380787389E-3</v>
      </c>
      <c r="O663" s="147">
        <f>IF($E663="","",MIN(VLOOKUP(IF($B663&lt;=Input!$C$7,$B663,26),'Mortality Tables'!$A$41:$CW$67,IF($B663&lt;=Input!$C$7+1,Input!$C$4+2,$D663-Input!$C$7+2),0)*IF(B663&gt;20,Input!$C$22,1)/1000,1))</f>
        <v>0.90205360000000012</v>
      </c>
      <c r="P663" s="147">
        <f>IF($E663="","",MIN(VLOOKUP(IF($B663&lt;=Input!$C$7,$B663,26),'Mortality Tables'!$A$12:$CW$37,IF($B663&lt;=Input!$C$7+1,Input!$C$4+2,$D663-Input!$C$7+2),0)*IF(B663&gt;20,Input!$C$22,1)/1000,1))</f>
        <v>1</v>
      </c>
      <c r="Q663" s="155">
        <f>IF($E663="","",Input!$C$21)</f>
        <v>5.0000000000000001E-3</v>
      </c>
      <c r="R663" s="159">
        <f>IF($E663="","",(1-Q663)^($F663-Input!$C$20))</f>
        <v>0.76286266414099668</v>
      </c>
      <c r="S663" s="147">
        <f t="shared" si="413"/>
        <v>0.68814301249397702</v>
      </c>
      <c r="T663" s="147">
        <f t="shared" si="414"/>
        <v>9.2535544227477118E-2</v>
      </c>
      <c r="U663" s="160">
        <f>IF($E663="","",IF($C663=12,INDEX(Input!$C$15:$CP$15,1,$B663),0))</f>
        <v>0</v>
      </c>
      <c r="V663" s="150">
        <f>IF(E663="","",IF(C663=1,IF($B663=1,Input!$C$33,Input!$C$34),0))</f>
        <v>0</v>
      </c>
      <c r="W663" s="156">
        <f>IF($E663="","",Input!$C$35)</f>
        <v>0.02</v>
      </c>
      <c r="X663" s="156">
        <f t="shared" si="412"/>
        <v>2.9134614441402875</v>
      </c>
      <c r="Y663" s="154"/>
      <c r="Z663" s="147">
        <f>IF($E663="","",VLOOKUP($D663,'Mortality Margins &amp; Grading'!$AB$5:$AF$125,3,0)*IF(Summary!$D$25="Included Margin",IF(AND($B663&gt;Input!$C$9,Summary!$D$31&lt;&gt;"Included Margin"),0,1),0))</f>
        <v>1.6E-2</v>
      </c>
      <c r="AA663" s="147">
        <f>IF($E663="","",VLOOKUP($D663,'Mortality Margins &amp; Grading'!$AB$5:$AF$125,5,0)*IF(Summary!$D$25="Included Margin",IF(AND($B663&gt;Input!$C$9,Summary!$D$31&lt;&gt;"Included Margin"),0,1),0))</f>
        <v>8.1000000000000003E-2</v>
      </c>
      <c r="AB663" s="147">
        <f>IF($E663="","",IF(AND($B663&gt;Input!$C$9,Summary!$D$31&lt;&gt;"Included Margin"),1,IF(Summary!$D$25="Included Margin",VLOOKUP($B663,'Mortality Margins &amp; Grading'!$AI$5:$AR$125,MATCH('Mortality Margins &amp; Grading'!$AQ$4,'Mortality Margins &amp; Grading'!$AI$4:$AR$4,0),0),1)))</f>
        <v>0</v>
      </c>
      <c r="AC663" s="154"/>
      <c r="AD663" s="158">
        <f>IF(E663="","",Input!$C$48*IF(Summary!$D$30="Included Margin",IF(AND($B663&gt;Input!$C$9,Summary!$D$31&lt;&gt;"Included Margin"),0,1),0))</f>
        <v>-4.4999999999999997E-3</v>
      </c>
      <c r="AE663" s="159">
        <f>IF(E663="","",IF(Summary!$D$26="Included Margin",IF(AND($B663&gt;Input!$C$9,Summary!$D$31&lt;&gt;"Included Margin"),1,1/$R663),1))</f>
        <v>1.3108519357491772</v>
      </c>
      <c r="AF663" s="160">
        <f>IF(E663="","",IF(AND($B663&gt;=Input!$C$9,$C663=12,Summary!$D$31="Included Margin",$U663&gt;0),1/U663-1,IF($B663&gt;=Input!$C$9,0,Input!$C$45*IF(Summary!$D$27="Included Margin",1,0))))</f>
        <v>0</v>
      </c>
      <c r="AG663" s="160">
        <f>IF(E663="","",Input!$C$46*IF(Summary!$D$28="Included Margin",IF(AND($B663&gt;Input!$C$9,Summary!$D$31&lt;&gt;"Included Margin"),0,1),0))</f>
        <v>0.02</v>
      </c>
      <c r="AH663" s="158">
        <f>IF(E663="","",Input!$C$47*IF(Summary!$D$29="Included Margin",IF(AND($B663&gt;Input!$C$9,Summary!$D$31&lt;&gt;"Included Margin"),0,1),0))</f>
        <v>2.5000000000000001E-3</v>
      </c>
      <c r="AI663" s="154"/>
      <c r="AJ663" s="158">
        <f t="shared" si="435"/>
        <v>4.3240000000000001E-2</v>
      </c>
      <c r="AK663" s="155">
        <f t="shared" si="436"/>
        <v>3.5338339042105815E-3</v>
      </c>
      <c r="AL663" s="147">
        <f t="shared" si="437"/>
        <v>1</v>
      </c>
      <c r="AM663" s="147">
        <f t="shared" si="415"/>
        <v>1</v>
      </c>
      <c r="AN663" s="160">
        <f t="shared" si="438"/>
        <v>0</v>
      </c>
      <c r="AO663" s="161">
        <f t="shared" si="439"/>
        <v>0</v>
      </c>
      <c r="AP663" s="156">
        <f t="shared" si="416"/>
        <v>3.3252101744807123</v>
      </c>
      <c r="AQ663" s="152"/>
      <c r="AR663" s="162">
        <f t="shared" si="417"/>
        <v>99823.619953683316</v>
      </c>
      <c r="AS663" s="150">
        <f t="shared" si="440"/>
        <v>0</v>
      </c>
      <c r="AT663" s="163">
        <f t="shared" si="418"/>
        <v>0</v>
      </c>
      <c r="AU663" s="163">
        <f t="shared" si="419"/>
        <v>100000</v>
      </c>
      <c r="AV663" s="163">
        <f t="shared" si="441"/>
        <v>176.06839742282895</v>
      </c>
      <c r="AW663" s="163">
        <f t="shared" si="420"/>
        <v>99823.93160257717</v>
      </c>
      <c r="AX663" s="163">
        <f t="shared" si="421"/>
        <v>0</v>
      </c>
      <c r="AY663" s="164">
        <f t="shared" si="442"/>
        <v>99823.619953683316</v>
      </c>
      <c r="AZ663" s="164">
        <f>IF($E663="","",IF(OR(AND($D663=Input!$C$6,$C663=12),$AN663=1),0,-AS664+AT664+AU664-AV664-AW664-AX664+AZ664))</f>
        <v>99823.93160257717</v>
      </c>
      <c r="BA663" s="154">
        <f t="shared" si="422"/>
        <v>0.31164889385399874</v>
      </c>
      <c r="BC663" s="147">
        <f t="shared" si="443"/>
        <v>9.543311311721163E-8</v>
      </c>
      <c r="BD663" s="164">
        <f>IF(AND($C662=12,$D662=Input!$C$6),0,IF($E663="","",AT663+(AU663+BD664)/(1+$AK663)*MIN((1-AM663-AN663),1)))</f>
        <v>0</v>
      </c>
      <c r="BE663" s="164">
        <f t="shared" si="423"/>
        <v>0</v>
      </c>
      <c r="BF663" s="164">
        <f t="shared" si="444"/>
        <v>99823.93160257717</v>
      </c>
      <c r="BG663" s="164">
        <f t="shared" si="424"/>
        <v>9.5265085564335446E-3</v>
      </c>
      <c r="BH663" s="152"/>
      <c r="BI663" s="162">
        <f t="shared" si="425"/>
        <v>3398.1396135483146</v>
      </c>
      <c r="BJ663" s="150">
        <f t="shared" si="426"/>
        <v>0</v>
      </c>
      <c r="BK663" s="163">
        <f t="shared" si="448"/>
        <v>0</v>
      </c>
      <c r="BL663" s="163">
        <f t="shared" si="427"/>
        <v>9253.5544227477112</v>
      </c>
      <c r="BM663" s="163">
        <f t="shared" si="449"/>
        <v>-4.7841305570779529</v>
      </c>
      <c r="BN663" s="163">
        <f t="shared" si="428"/>
        <v>-597.56991612728029</v>
      </c>
      <c r="BO663" s="163">
        <f t="shared" si="429"/>
        <v>0</v>
      </c>
      <c r="BP663" s="164">
        <f t="shared" si="450"/>
        <v>-6457.7688558837554</v>
      </c>
      <c r="BQ663" s="164">
        <f>IF($E663="","",IF(AND($D663=Input!$C$6,$C663=12),0,-BJ664+BK664+BL664-BM664-BN664-BO664+BQ664))</f>
        <v>-6457.7338482852992</v>
      </c>
      <c r="BR663" s="161">
        <f t="shared" si="430"/>
        <v>0</v>
      </c>
      <c r="BT663" s="147">
        <f t="shared" si="431"/>
        <v>9.543311311721163E-8</v>
      </c>
      <c r="BU663" s="164">
        <f>IF(AND($C662=12,$D662=Input!$C$6),0,IF($E663="","",BK663+(BL663+BU664)/(1+$AK663)*MIN((1-T663-U663),1)))</f>
        <v>75643.658255537972</v>
      </c>
      <c r="BV663" s="164">
        <f t="shared" si="432"/>
        <v>7.2189097949004544E-3</v>
      </c>
      <c r="BW663" s="164">
        <f t="shared" si="433"/>
        <v>-6457.7338482852992</v>
      </c>
      <c r="BX663" s="164">
        <f t="shared" si="434"/>
        <v>-6.1628164482425735E-4</v>
      </c>
    </row>
    <row r="664" spans="1:76" s="150" customFormat="1" x14ac:dyDescent="0.25">
      <c r="A664" s="150">
        <f t="shared" si="445"/>
        <v>660</v>
      </c>
      <c r="B664" s="150">
        <f t="shared" si="446"/>
        <v>55</v>
      </c>
      <c r="C664" s="150">
        <f t="shared" si="447"/>
        <v>12</v>
      </c>
      <c r="D664" s="150">
        <f>IF(E664="","",Input!$C$4+B664-1)</f>
        <v>99</v>
      </c>
      <c r="E664" s="150">
        <f>IF(OR(AND(C663=12,D663=Input!$C$6),E663=""),"",1)</f>
        <v>1</v>
      </c>
      <c r="F664" s="150">
        <f>IF(E664="","",Input!$C$8+B664-1)</f>
        <v>2072</v>
      </c>
      <c r="G664" s="151">
        <f>IF(E664="","",MAX(0,Input!$C$9-B664))</f>
        <v>0</v>
      </c>
      <c r="H664" s="152">
        <f>IF(E664="","",Input!$C$3)</f>
        <v>100000</v>
      </c>
      <c r="I664" s="153">
        <f>IF(E664="","",HLOOKUP($B664,Input!$C$13:$BT$14,2))</f>
        <v>803.6</v>
      </c>
      <c r="J664" s="154"/>
      <c r="K664" s="155">
        <f>IF($E664="","",INDEX(Input!$C$16:$CP$16,1,$B664))</f>
        <v>3.2739999999999998E-2</v>
      </c>
      <c r="L664" s="155">
        <f>IF($E664="","",Input!$C$37)</f>
        <v>1.4999999999999999E-2</v>
      </c>
      <c r="M664" s="155">
        <f t="shared" si="410"/>
        <v>4.7739999999999998E-2</v>
      </c>
      <c r="N664" s="155">
        <f t="shared" si="411"/>
        <v>3.8938500380787389E-3</v>
      </c>
      <c r="O664" s="147">
        <f>IF($E664="","",MIN(VLOOKUP(IF($B664&lt;=Input!$C$7,$B664,26),'Mortality Tables'!$A$41:$CW$67,IF($B664&lt;=Input!$C$7+1,Input!$C$4+2,$D664-Input!$C$7+2),0)*IF(B664&gt;20,Input!$C$22,1)/1000,1))</f>
        <v>0.90205360000000012</v>
      </c>
      <c r="P664" s="147">
        <f>IF($E664="","",MIN(VLOOKUP(IF($B664&lt;=Input!$C$7,$B664,26),'Mortality Tables'!$A$12:$CW$37,IF($B664&lt;=Input!$C$7+1,Input!$C$4+2,$D664-Input!$C$7+2),0)*IF(B664&gt;20,Input!$C$22,1)/1000,1))</f>
        <v>1</v>
      </c>
      <c r="Q664" s="155">
        <f>IF($E664="","",Input!$C$21)</f>
        <v>5.0000000000000001E-3</v>
      </c>
      <c r="R664" s="159">
        <f>IF($E664="","",(1-Q664)^($F664-Input!$C$20))</f>
        <v>0.76286266414099668</v>
      </c>
      <c r="S664" s="147">
        <f t="shared" si="413"/>
        <v>0.68814301249397702</v>
      </c>
      <c r="T664" s="147">
        <f t="shared" si="414"/>
        <v>9.2535544227477118E-2</v>
      </c>
      <c r="U664" s="160">
        <f>IF($E664="","",IF($C664=12,INDEX(Input!$C$15:$CP$15,1,$B664),0))</f>
        <v>0.1</v>
      </c>
      <c r="V664" s="150">
        <f>IF(E664="","",IF(C664=1,IF($B664=1,Input!$C$33,Input!$C$34),0))</f>
        <v>0</v>
      </c>
      <c r="W664" s="156">
        <f>IF($E664="","",Input!$C$35)</f>
        <v>0.02</v>
      </c>
      <c r="X664" s="156">
        <f t="shared" si="412"/>
        <v>2.9134614441402875</v>
      </c>
      <c r="Y664" s="154"/>
      <c r="Z664" s="147">
        <f>IF($E664="","",VLOOKUP($D664,'Mortality Margins &amp; Grading'!$AB$5:$AF$125,3,0)*IF(Summary!$D$25="Included Margin",IF(AND($B664&gt;Input!$C$9,Summary!$D$31&lt;&gt;"Included Margin"),0,1),0))</f>
        <v>1.6E-2</v>
      </c>
      <c r="AA664" s="147">
        <f>IF($E664="","",VLOOKUP($D664,'Mortality Margins &amp; Grading'!$AB$5:$AF$125,5,0)*IF(Summary!$D$25="Included Margin",IF(AND($B664&gt;Input!$C$9,Summary!$D$31&lt;&gt;"Included Margin"),0,1),0))</f>
        <v>8.1000000000000003E-2</v>
      </c>
      <c r="AB664" s="147">
        <f>IF($E664="","",IF(AND($B664&gt;Input!$C$9,Summary!$D$31&lt;&gt;"Included Margin"),1,IF(Summary!$D$25="Included Margin",VLOOKUP($B664,'Mortality Margins &amp; Grading'!$AI$5:$AR$125,MATCH('Mortality Margins &amp; Grading'!$AQ$4,'Mortality Margins &amp; Grading'!$AI$4:$AR$4,0),0),1)))</f>
        <v>0</v>
      </c>
      <c r="AC664" s="154"/>
      <c r="AD664" s="158">
        <f>IF(E664="","",Input!$C$48*IF(Summary!$D$30="Included Margin",IF(AND($B664&gt;Input!$C$9,Summary!$D$31&lt;&gt;"Included Margin"),0,1),0))</f>
        <v>-4.4999999999999997E-3</v>
      </c>
      <c r="AE664" s="159">
        <f>IF(E664="","",IF(Summary!$D$26="Included Margin",IF(AND($B664&gt;Input!$C$9,Summary!$D$31&lt;&gt;"Included Margin"),1,1/$R664),1))</f>
        <v>1.3108519357491772</v>
      </c>
      <c r="AF664" s="160">
        <f>IF(E664="","",IF(AND($B664&gt;=Input!$C$9,$C664=12,Summary!$D$31="Included Margin",$U664&gt;0),1/U664-1,IF($B664&gt;=Input!$C$9,0,Input!$C$45*IF(Summary!$D$27="Included Margin",1,0))))</f>
        <v>9</v>
      </c>
      <c r="AG664" s="160">
        <f>IF(E664="","",Input!$C$46*IF(Summary!$D$28="Included Margin",IF(AND($B664&gt;Input!$C$9,Summary!$D$31&lt;&gt;"Included Margin"),0,1),0))</f>
        <v>0.02</v>
      </c>
      <c r="AH664" s="158">
        <f>IF(E664="","",Input!$C$47*IF(Summary!$D$29="Included Margin",IF(AND($B664&gt;Input!$C$9,Summary!$D$31&lt;&gt;"Included Margin"),0,1),0))</f>
        <v>2.5000000000000001E-3</v>
      </c>
      <c r="AI664" s="154"/>
      <c r="AJ664" s="158">
        <f t="shared" si="435"/>
        <v>4.3240000000000001E-2</v>
      </c>
      <c r="AK664" s="155">
        <f t="shared" si="436"/>
        <v>3.5338339042105815E-3</v>
      </c>
      <c r="AL664" s="147">
        <f t="shared" si="437"/>
        <v>1</v>
      </c>
      <c r="AM664" s="147">
        <f t="shared" si="415"/>
        <v>1</v>
      </c>
      <c r="AN664" s="160">
        <f t="shared" si="438"/>
        <v>1</v>
      </c>
      <c r="AO664" s="161">
        <f t="shared" si="439"/>
        <v>0</v>
      </c>
      <c r="AP664" s="156">
        <f t="shared" si="416"/>
        <v>3.3252101744807123</v>
      </c>
      <c r="AQ664" s="152"/>
      <c r="AR664" s="162">
        <f t="shared" si="417"/>
        <v>99823.619953683316</v>
      </c>
      <c r="AS664" s="150">
        <f t="shared" si="440"/>
        <v>0</v>
      </c>
      <c r="AT664" s="163">
        <f t="shared" si="418"/>
        <v>0</v>
      </c>
      <c r="AU664" s="163">
        <f t="shared" si="419"/>
        <v>100000</v>
      </c>
      <c r="AV664" s="163">
        <f t="shared" si="441"/>
        <v>176.06839742282895</v>
      </c>
      <c r="AW664" s="163">
        <f t="shared" si="420"/>
        <v>0</v>
      </c>
      <c r="AX664" s="163">
        <f t="shared" si="421"/>
        <v>0</v>
      </c>
      <c r="AY664" s="165">
        <f t="shared" si="442"/>
        <v>-0.31164889385550509</v>
      </c>
      <c r="AZ664" s="164">
        <f>IF($E664="","",IF(OR(AND($D664=Input!$C$6,$C664=12),$AN664=1),0,-AS665+AT665+AU665-AV665-AW665-AX665+AZ665))</f>
        <v>0</v>
      </c>
      <c r="BA664" s="154">
        <f t="shared" si="422"/>
        <v>0.31164889385550509</v>
      </c>
      <c r="BC664" s="147">
        <f t="shared" si="443"/>
        <v>7.7058846745866905E-8</v>
      </c>
      <c r="BD664" s="164">
        <f>IF(AND($C663=12,$D663=Input!$C$6),0,IF($E664="","",AT664+(AU664+BD665)/(1+$AK664)*MIN((1-AM664-AN664),1)))</f>
        <v>-99820.651793923971</v>
      </c>
      <c r="BE664" s="164">
        <f t="shared" si="423"/>
        <v>-7.6920643086605314E-3</v>
      </c>
      <c r="BF664" s="164">
        <f t="shared" si="444"/>
        <v>0</v>
      </c>
      <c r="BG664" s="164">
        <f t="shared" si="424"/>
        <v>0</v>
      </c>
      <c r="BH664" s="152"/>
      <c r="BI664" s="162">
        <f t="shared" si="425"/>
        <v>-6457.7688558837544</v>
      </c>
      <c r="BJ664" s="150">
        <f t="shared" si="426"/>
        <v>0</v>
      </c>
      <c r="BK664" s="163">
        <f t="shared" si="448"/>
        <v>0</v>
      </c>
      <c r="BL664" s="163">
        <f t="shared" si="427"/>
        <v>9253.5544227477112</v>
      </c>
      <c r="BM664" s="163">
        <f t="shared" si="449"/>
        <v>-43.16156012607658</v>
      </c>
      <c r="BN664" s="163">
        <f t="shared" si="428"/>
        <v>-1785.0060497407567</v>
      </c>
      <c r="BO664" s="163">
        <f t="shared" si="429"/>
        <v>-1750.494425684343</v>
      </c>
      <c r="BP664" s="164">
        <f t="shared" si="450"/>
        <v>-19289.985314182642</v>
      </c>
      <c r="BQ664" s="164">
        <f>IF($E664="","",IF(AND($D664=Input!$C$6,$C664=12),0,-BJ665+BK665+BL665-BM665-BN665-BO665+BQ665))</f>
        <v>-19289.950306584185</v>
      </c>
      <c r="BR664" s="161">
        <f t="shared" si="430"/>
        <v>0</v>
      </c>
      <c r="BT664" s="147">
        <f t="shared" si="431"/>
        <v>7.7058846745866905E-8</v>
      </c>
      <c r="BU664" s="164">
        <f>IF(AND($C663=12,$D663=Input!$C$6),0,IF($E664="","",BK664+(BL664+BU665)/(1+$AK664)*MIN((1-T664-U664),1)))</f>
        <v>74398.174189693673</v>
      </c>
      <c r="BV664" s="164">
        <f t="shared" si="432"/>
        <v>5.7330375030559154E-3</v>
      </c>
      <c r="BW664" s="164">
        <f t="shared" si="433"/>
        <v>-19289.950306584185</v>
      </c>
      <c r="BX664" s="164">
        <f t="shared" si="434"/>
        <v>-1.4864613244104591E-3</v>
      </c>
    </row>
    <row r="665" spans="1:76" s="150" customFormat="1" x14ac:dyDescent="0.25">
      <c r="A665" s="150">
        <f t="shared" si="445"/>
        <v>661</v>
      </c>
      <c r="B665" s="150">
        <f t="shared" si="446"/>
        <v>56</v>
      </c>
      <c r="C665" s="150">
        <f t="shared" si="447"/>
        <v>1</v>
      </c>
      <c r="D665" s="150">
        <f>IF(E665="","",Input!$C$4+B665-1)</f>
        <v>100</v>
      </c>
      <c r="E665" s="150">
        <f>IF(OR(AND(C664=12,D664=Input!$C$6),E664=""),"",1)</f>
        <v>1</v>
      </c>
      <c r="F665" s="150">
        <f>IF(E665="","",Input!$C$8+B665-1)</f>
        <v>2073</v>
      </c>
      <c r="G665" s="151">
        <f>IF(E665="","",MAX(0,Input!$C$9-B665))</f>
        <v>0</v>
      </c>
      <c r="H665" s="152">
        <f>IF(E665="","",Input!$C$3)</f>
        <v>100000</v>
      </c>
      <c r="I665" s="153">
        <f>IF(E665="","",HLOOKUP($B665,Input!$C$13:$BT$14,2))</f>
        <v>862.62049999999999</v>
      </c>
      <c r="J665" s="154"/>
      <c r="K665" s="155">
        <f>IF($E665="","",INDEX(Input!$C$16:$CP$16,1,$B665))</f>
        <v>3.2779999999999997E-2</v>
      </c>
      <c r="L665" s="155">
        <f>IF($E665="","",Input!$C$37)</f>
        <v>1.4999999999999999E-2</v>
      </c>
      <c r="M665" s="155">
        <f t="shared" si="410"/>
        <v>4.7779999999999996E-2</v>
      </c>
      <c r="N665" s="155">
        <f t="shared" si="411"/>
        <v>3.8970438211556324E-3</v>
      </c>
      <c r="O665" s="147">
        <f>IF($E665="","",MIN(VLOOKUP(IF($B665&lt;=Input!$C$7,$B665,26),'Mortality Tables'!$A$41:$CW$67,IF($B665&lt;=Input!$C$7+1,Input!$C$4+2,$D665-Input!$C$7+2),0)*IF(B665&gt;20,Input!$C$22,1)/1000,1))</f>
        <v>0.96917200000000014</v>
      </c>
      <c r="P665" s="147">
        <f>IF($E665="","",MIN(VLOOKUP(IF($B665&lt;=Input!$C$7,$B665,26),'Mortality Tables'!$A$12:$CW$37,IF($B665&lt;=Input!$C$7+1,Input!$C$4+2,$D665-Input!$C$7+2),0)*IF(B665&gt;20,Input!$C$22,1)/1000,1))</f>
        <v>1</v>
      </c>
      <c r="Q665" s="155">
        <f>IF($E665="","",Input!$C$21)</f>
        <v>5.0000000000000001E-3</v>
      </c>
      <c r="R665" s="159">
        <f>IF($E665="","",(1-Q665)^($F665-Input!$C$20))</f>
        <v>0.75904835082029165</v>
      </c>
      <c r="S665" s="147">
        <f t="shared" si="413"/>
        <v>0.73564840826120381</v>
      </c>
      <c r="T665" s="147">
        <f t="shared" si="414"/>
        <v>0.10494753255533662</v>
      </c>
      <c r="U665" s="160">
        <f>IF($E665="","",IF($C665=12,INDEX(Input!$C$15:$CP$15,1,$B665),0))</f>
        <v>0</v>
      </c>
      <c r="V665" s="150">
        <f>IF(E665="","",IF(C665=1,IF($B665=1,Input!$C$33,Input!$C$34),0))</f>
        <v>50</v>
      </c>
      <c r="W665" s="156">
        <f>IF($E665="","",Input!$C$35)</f>
        <v>0.02</v>
      </c>
      <c r="X665" s="156">
        <f t="shared" si="412"/>
        <v>2.9717306730230932</v>
      </c>
      <c r="Y665" s="154"/>
      <c r="Z665" s="147">
        <f>IF($E665="","",VLOOKUP($D665,'Mortality Margins &amp; Grading'!$AB$5:$AF$125,3,0)*IF(Summary!$D$25="Included Margin",IF(AND($B665&gt;Input!$C$9,Summary!$D$31&lt;&gt;"Included Margin"),0,1),0))</f>
        <v>1.4E-2</v>
      </c>
      <c r="AA665" s="147">
        <f>IF($E665="","",VLOOKUP($D665,'Mortality Margins &amp; Grading'!$AB$5:$AF$125,5,0)*IF(Summary!$D$25="Included Margin",IF(AND($B665&gt;Input!$C$9,Summary!$D$31&lt;&gt;"Included Margin"),0,1),0))</f>
        <v>7.3999999999999996E-2</v>
      </c>
      <c r="AB665" s="147">
        <f>IF($E665="","",IF(AND($B665&gt;Input!$C$9,Summary!$D$31&lt;&gt;"Included Margin"),1,IF(Summary!$D$25="Included Margin",VLOOKUP($B665,'Mortality Margins &amp; Grading'!$AI$5:$AR$125,MATCH('Mortality Margins &amp; Grading'!$AQ$4,'Mortality Margins &amp; Grading'!$AI$4:$AR$4,0),0),1)))</f>
        <v>0</v>
      </c>
      <c r="AC665" s="154"/>
      <c r="AD665" s="158">
        <f>IF(E665="","",Input!$C$48*IF(Summary!$D$30="Included Margin",IF(AND($B665&gt;Input!$C$9,Summary!$D$31&lt;&gt;"Included Margin"),0,1),0))</f>
        <v>-4.4999999999999997E-3</v>
      </c>
      <c r="AE665" s="159">
        <f>IF(E665="","",IF(Summary!$D$26="Included Margin",IF(AND($B665&gt;Input!$C$9,Summary!$D$31&lt;&gt;"Included Margin"),1,1/$R665),1))</f>
        <v>1.3174391314062084</v>
      </c>
      <c r="AF665" s="160">
        <f>IF(E665="","",IF(AND($B665&gt;=Input!$C$9,$C665=12,Summary!$D$31="Included Margin",$U665&gt;0),1/U665-1,IF($B665&gt;=Input!$C$9,0,Input!$C$45*IF(Summary!$D$27="Included Margin",1,0))))</f>
        <v>0</v>
      </c>
      <c r="AG665" s="160">
        <f>IF(E665="","",Input!$C$46*IF(Summary!$D$28="Included Margin",IF(AND($B665&gt;Input!$C$9,Summary!$D$31&lt;&gt;"Included Margin"),0,1),0))</f>
        <v>0.02</v>
      </c>
      <c r="AH665" s="158">
        <f>IF(E665="","",Input!$C$47*IF(Summary!$D$29="Included Margin",IF(AND($B665&gt;Input!$C$9,Summary!$D$31&lt;&gt;"Included Margin"),0,1),0))</f>
        <v>2.5000000000000001E-3</v>
      </c>
      <c r="AI665" s="154"/>
      <c r="AJ665" s="158">
        <f t="shared" si="435"/>
        <v>4.3279999999999999E-2</v>
      </c>
      <c r="AK665" s="155">
        <f t="shared" si="436"/>
        <v>3.537040313086548E-3</v>
      </c>
      <c r="AL665" s="147">
        <f t="shared" si="437"/>
        <v>1</v>
      </c>
      <c r="AM665" s="147">
        <f t="shared" si="415"/>
        <v>1</v>
      </c>
      <c r="AN665" s="160">
        <f t="shared" si="438"/>
        <v>0</v>
      </c>
      <c r="AO665" s="161">
        <f t="shared" si="439"/>
        <v>51</v>
      </c>
      <c r="AP665" s="156">
        <f t="shared" si="416"/>
        <v>3.4000274034065283</v>
      </c>
      <c r="AQ665" s="152"/>
      <c r="AR665" s="162">
        <f t="shared" si="417"/>
        <v>13734.811596116706</v>
      </c>
      <c r="AS665" s="150">
        <f t="shared" si="440"/>
        <v>86262.05</v>
      </c>
      <c r="AT665" s="163">
        <f t="shared" si="418"/>
        <v>173.40139757373294</v>
      </c>
      <c r="AU665" s="163">
        <f t="shared" si="419"/>
        <v>100000</v>
      </c>
      <c r="AV665" s="163">
        <f t="shared" si="441"/>
        <v>176.22758725970962</v>
      </c>
      <c r="AW665" s="163">
        <f t="shared" si="420"/>
        <v>99823.772412740291</v>
      </c>
      <c r="AX665" s="163">
        <f t="shared" si="421"/>
        <v>0</v>
      </c>
      <c r="AY665" s="164">
        <f t="shared" si="442"/>
        <v>99823.460198542976</v>
      </c>
      <c r="AZ665" s="164">
        <f>IF($E665="","",IF(OR(AND($D665=Input!$C$6,$C665=12),$AN665=1),0,-AS666+AT666+AU666-AV666-AW666-AX666+AZ666))</f>
        <v>99823.772412740291</v>
      </c>
      <c r="BA665" s="154">
        <f t="shared" si="422"/>
        <v>0.31221419731446076</v>
      </c>
      <c r="BC665" s="147">
        <f t="shared" si="443"/>
        <v>6.8971710918328343E-8</v>
      </c>
      <c r="BD665" s="164">
        <f>IF(AND($C664=12,$D664=Input!$C$6),0,IF($E665="","",AT665+(AU665+BD666)/(1+$AK665)*MIN((1-AM665-AN665),1)))</f>
        <v>173.40139757373294</v>
      </c>
      <c r="BE665" s="164">
        <f t="shared" si="423"/>
        <v>1.1959791066289629E-5</v>
      </c>
      <c r="BF665" s="164">
        <f t="shared" si="444"/>
        <v>99823.772412740291</v>
      </c>
      <c r="BG665" s="164">
        <f t="shared" si="424"/>
        <v>6.885016373628523E-3</v>
      </c>
      <c r="BH665" s="152"/>
      <c r="BI665" s="162">
        <f t="shared" si="425"/>
        <v>-19289.990074919369</v>
      </c>
      <c r="BJ665" s="150">
        <f t="shared" si="426"/>
        <v>86262.05</v>
      </c>
      <c r="BK665" s="163">
        <f t="shared" si="448"/>
        <v>148.58653365115467</v>
      </c>
      <c r="BL665" s="163">
        <f t="shared" si="427"/>
        <v>10494.753255533662</v>
      </c>
      <c r="BM665" s="163">
        <f t="shared" si="449"/>
        <v>239.96474742371285</v>
      </c>
      <c r="BN665" s="163">
        <f t="shared" si="428"/>
        <v>6632.8492327858385</v>
      </c>
      <c r="BO665" s="163">
        <f t="shared" si="429"/>
        <v>0</v>
      </c>
      <c r="BP665" s="164">
        <f t="shared" si="450"/>
        <v>63201.534116105366</v>
      </c>
      <c r="BQ665" s="164">
        <f>IF($E665="","",IF(AND($D665=Input!$C$6,$C665=12),0,-BJ666+BK666+BL666-BM666-BN666-BO666+BQ666))</f>
        <v>63201.573884440557</v>
      </c>
      <c r="BR665" s="161">
        <f t="shared" si="430"/>
        <v>0</v>
      </c>
      <c r="BT665" s="147">
        <f t="shared" si="431"/>
        <v>6.8971710918328343E-8</v>
      </c>
      <c r="BU665" s="164">
        <f>IF(AND($C664=12,$D664=Input!$C$6),0,IF($E665="","",BK665+(BL665+BU666)/(1+$AK665)*MIN((1-T665-U665),1)))</f>
        <v>83210.063568494166</v>
      </c>
      <c r="BV665" s="164">
        <f t="shared" si="432"/>
        <v>5.7391404499419043E-3</v>
      </c>
      <c r="BW665" s="164">
        <f t="shared" si="433"/>
        <v>63201.573884440557</v>
      </c>
      <c r="BX665" s="164">
        <f t="shared" si="434"/>
        <v>4.3591206835410044E-3</v>
      </c>
    </row>
    <row r="666" spans="1:76" s="150" customFormat="1" x14ac:dyDescent="0.25">
      <c r="A666" s="150">
        <f t="shared" si="445"/>
        <v>662</v>
      </c>
      <c r="B666" s="150">
        <f t="shared" si="446"/>
        <v>56</v>
      </c>
      <c r="C666" s="150">
        <f t="shared" si="447"/>
        <v>2</v>
      </c>
      <c r="D666" s="150">
        <f>IF(E666="","",Input!$C$4+B666-1)</f>
        <v>100</v>
      </c>
      <c r="E666" s="150">
        <f>IF(OR(AND(C665=12,D665=Input!$C$6),E665=""),"",1)</f>
        <v>1</v>
      </c>
      <c r="F666" s="150">
        <f>IF(E666="","",Input!$C$8+B666-1)</f>
        <v>2073</v>
      </c>
      <c r="G666" s="151">
        <f>IF(E666="","",MAX(0,Input!$C$9-B666))</f>
        <v>0</v>
      </c>
      <c r="H666" s="152">
        <f>IF(E666="","",Input!$C$3)</f>
        <v>100000</v>
      </c>
      <c r="I666" s="153">
        <f>IF(E666="","",HLOOKUP($B666,Input!$C$13:$BT$14,2))</f>
        <v>862.62049999999999</v>
      </c>
      <c r="J666" s="154"/>
      <c r="K666" s="155">
        <f>IF($E666="","",INDEX(Input!$C$16:$CP$16,1,$B666))</f>
        <v>3.2779999999999997E-2</v>
      </c>
      <c r="L666" s="155">
        <f>IF($E666="","",Input!$C$37)</f>
        <v>1.4999999999999999E-2</v>
      </c>
      <c r="M666" s="155">
        <f t="shared" si="410"/>
        <v>4.7779999999999996E-2</v>
      </c>
      <c r="N666" s="155">
        <f t="shared" si="411"/>
        <v>3.8970438211556324E-3</v>
      </c>
      <c r="O666" s="147">
        <f>IF($E666="","",MIN(VLOOKUP(IF($B666&lt;=Input!$C$7,$B666,26),'Mortality Tables'!$A$41:$CW$67,IF($B666&lt;=Input!$C$7+1,Input!$C$4+2,$D666-Input!$C$7+2),0)*IF(B666&gt;20,Input!$C$22,1)/1000,1))</f>
        <v>0.96917200000000014</v>
      </c>
      <c r="P666" s="147">
        <f>IF($E666="","",MIN(VLOOKUP(IF($B666&lt;=Input!$C$7,$B666,26),'Mortality Tables'!$A$12:$CW$37,IF($B666&lt;=Input!$C$7+1,Input!$C$4+2,$D666-Input!$C$7+2),0)*IF(B666&gt;20,Input!$C$22,1)/1000,1))</f>
        <v>1</v>
      </c>
      <c r="Q666" s="155">
        <f>IF($E666="","",Input!$C$21)</f>
        <v>5.0000000000000001E-3</v>
      </c>
      <c r="R666" s="159">
        <f>IF($E666="","",(1-Q666)^($F666-Input!$C$20))</f>
        <v>0.75904835082029165</v>
      </c>
      <c r="S666" s="147">
        <f t="shared" si="413"/>
        <v>0.73564840826120381</v>
      </c>
      <c r="T666" s="147">
        <f t="shared" si="414"/>
        <v>0.10494753255533662</v>
      </c>
      <c r="U666" s="160">
        <f>IF($E666="","",IF($C666=12,INDEX(Input!$C$15:$CP$15,1,$B666),0))</f>
        <v>0</v>
      </c>
      <c r="V666" s="150">
        <f>IF(E666="","",IF(C666=1,IF($B666=1,Input!$C$33,Input!$C$34),0))</f>
        <v>0</v>
      </c>
      <c r="W666" s="156">
        <f>IF($E666="","",Input!$C$35)</f>
        <v>0.02</v>
      </c>
      <c r="X666" s="156">
        <f t="shared" si="412"/>
        <v>2.9717306730230932</v>
      </c>
      <c r="Y666" s="154"/>
      <c r="Z666" s="147">
        <f>IF($E666="","",VLOOKUP($D666,'Mortality Margins &amp; Grading'!$AB$5:$AF$125,3,0)*IF(Summary!$D$25="Included Margin",IF(AND($B666&gt;Input!$C$9,Summary!$D$31&lt;&gt;"Included Margin"),0,1),0))</f>
        <v>1.4E-2</v>
      </c>
      <c r="AA666" s="147">
        <f>IF($E666="","",VLOOKUP($D666,'Mortality Margins &amp; Grading'!$AB$5:$AF$125,5,0)*IF(Summary!$D$25="Included Margin",IF(AND($B666&gt;Input!$C$9,Summary!$D$31&lt;&gt;"Included Margin"),0,1),0))</f>
        <v>7.3999999999999996E-2</v>
      </c>
      <c r="AB666" s="147">
        <f>IF($E666="","",IF(AND($B666&gt;Input!$C$9,Summary!$D$31&lt;&gt;"Included Margin"),1,IF(Summary!$D$25="Included Margin",VLOOKUP($B666,'Mortality Margins &amp; Grading'!$AI$5:$AR$125,MATCH('Mortality Margins &amp; Grading'!$AQ$4,'Mortality Margins &amp; Grading'!$AI$4:$AR$4,0),0),1)))</f>
        <v>0</v>
      </c>
      <c r="AC666" s="154"/>
      <c r="AD666" s="158">
        <f>IF(E666="","",Input!$C$48*IF(Summary!$D$30="Included Margin",IF(AND($B666&gt;Input!$C$9,Summary!$D$31&lt;&gt;"Included Margin"),0,1),0))</f>
        <v>-4.4999999999999997E-3</v>
      </c>
      <c r="AE666" s="159">
        <f>IF(E666="","",IF(Summary!$D$26="Included Margin",IF(AND($B666&gt;Input!$C$9,Summary!$D$31&lt;&gt;"Included Margin"),1,1/$R666),1))</f>
        <v>1.3174391314062084</v>
      </c>
      <c r="AF666" s="160">
        <f>IF(E666="","",IF(AND($B666&gt;=Input!$C$9,$C666=12,Summary!$D$31="Included Margin",$U666&gt;0),1/U666-1,IF($B666&gt;=Input!$C$9,0,Input!$C$45*IF(Summary!$D$27="Included Margin",1,0))))</f>
        <v>0</v>
      </c>
      <c r="AG666" s="160">
        <f>IF(E666="","",Input!$C$46*IF(Summary!$D$28="Included Margin",IF(AND($B666&gt;Input!$C$9,Summary!$D$31&lt;&gt;"Included Margin"),0,1),0))</f>
        <v>0.02</v>
      </c>
      <c r="AH666" s="158">
        <f>IF(E666="","",Input!$C$47*IF(Summary!$D$29="Included Margin",IF(AND($B666&gt;Input!$C$9,Summary!$D$31&lt;&gt;"Included Margin"),0,1),0))</f>
        <v>2.5000000000000001E-3</v>
      </c>
      <c r="AI666" s="154"/>
      <c r="AJ666" s="158">
        <f t="shared" si="435"/>
        <v>4.3279999999999999E-2</v>
      </c>
      <c r="AK666" s="155">
        <f t="shared" si="436"/>
        <v>3.537040313086548E-3</v>
      </c>
      <c r="AL666" s="147">
        <f t="shared" si="437"/>
        <v>1</v>
      </c>
      <c r="AM666" s="147">
        <f t="shared" si="415"/>
        <v>1</v>
      </c>
      <c r="AN666" s="160">
        <f t="shared" si="438"/>
        <v>0</v>
      </c>
      <c r="AO666" s="161">
        <f t="shared" si="439"/>
        <v>0</v>
      </c>
      <c r="AP666" s="156">
        <f t="shared" si="416"/>
        <v>3.4000274034065283</v>
      </c>
      <c r="AQ666" s="152"/>
      <c r="AR666" s="162">
        <f t="shared" si="417"/>
        <v>99823.460198542976</v>
      </c>
      <c r="AS666" s="150">
        <f t="shared" si="440"/>
        <v>0</v>
      </c>
      <c r="AT666" s="163">
        <f t="shared" si="418"/>
        <v>0</v>
      </c>
      <c r="AU666" s="163">
        <f t="shared" si="419"/>
        <v>100000</v>
      </c>
      <c r="AV666" s="163">
        <f t="shared" si="441"/>
        <v>176.22758725970962</v>
      </c>
      <c r="AW666" s="163">
        <f t="shared" si="420"/>
        <v>99823.772412740291</v>
      </c>
      <c r="AX666" s="163">
        <f t="shared" si="421"/>
        <v>0</v>
      </c>
      <c r="AY666" s="165">
        <f t="shared" si="442"/>
        <v>99823.460198542976</v>
      </c>
      <c r="AZ666" s="164">
        <f>IF($E666="","",IF(OR(AND($D666=Input!$C$6,$C666=12),$AN666=1),0,-AS667+AT667+AU667-AV667-AW667-AX667+AZ667))</f>
        <v>99823.772412740291</v>
      </c>
      <c r="BA666" s="154">
        <f t="shared" si="422"/>
        <v>0.31221419731446076</v>
      </c>
      <c r="BC666" s="147">
        <f t="shared" si="443"/>
        <v>6.1733300041329812E-8</v>
      </c>
      <c r="BD666" s="164">
        <f>IF(AND($C665=12,$D665=Input!$C$6),0,IF($E666="","",AT666+(AU666+BD667)/(1+$AK666)*MIN((1-AM666-AN666),1)))</f>
        <v>0</v>
      </c>
      <c r="BE666" s="164">
        <f t="shared" si="423"/>
        <v>0</v>
      </c>
      <c r="BF666" s="164">
        <f t="shared" si="444"/>
        <v>99823.772412740291</v>
      </c>
      <c r="BG666" s="164">
        <f t="shared" si="424"/>
        <v>6.1624508936131183E-3</v>
      </c>
      <c r="BH666" s="152"/>
      <c r="BI666" s="162">
        <f t="shared" si="425"/>
        <v>63201.534116105366</v>
      </c>
      <c r="BJ666" s="150">
        <f t="shared" si="426"/>
        <v>0</v>
      </c>
      <c r="BK666" s="163">
        <f t="shared" si="448"/>
        <v>0</v>
      </c>
      <c r="BL666" s="163">
        <f t="shared" si="427"/>
        <v>10494.753255533662</v>
      </c>
      <c r="BM666" s="163">
        <f t="shared" si="449"/>
        <v>225.8498913502101</v>
      </c>
      <c r="BN666" s="163">
        <f t="shared" si="428"/>
        <v>6206.5111987516384</v>
      </c>
      <c r="BO666" s="163">
        <f t="shared" si="429"/>
        <v>0</v>
      </c>
      <c r="BP666" s="164">
        <f t="shared" si="450"/>
        <v>59139.141950673547</v>
      </c>
      <c r="BQ666" s="164">
        <f>IF($E666="","",IF(AND($D666=Input!$C$6,$C666=12),0,-BJ667+BK667+BL667-BM667-BN667-BO667+BQ667))</f>
        <v>59139.181719008746</v>
      </c>
      <c r="BR666" s="161">
        <f t="shared" si="430"/>
        <v>0</v>
      </c>
      <c r="BT666" s="147">
        <f t="shared" si="431"/>
        <v>6.1733300041329812E-8</v>
      </c>
      <c r="BU666" s="164">
        <f>IF(AND($C665=12,$D665=Input!$C$6),0,IF($E666="","",BK666+(BL666+BU667)/(1+$AK666)*MIN((1-T666-U666),1)))</f>
        <v>82634.165840746253</v>
      </c>
      <c r="BV666" s="164">
        <f t="shared" si="432"/>
        <v>5.1012797535117949E-3</v>
      </c>
      <c r="BW666" s="164">
        <f t="shared" si="433"/>
        <v>59139.181719008746</v>
      </c>
      <c r="BX666" s="164">
        <f t="shared" si="434"/>
        <v>3.650856849258294E-3</v>
      </c>
    </row>
    <row r="667" spans="1:76" s="150" customFormat="1" x14ac:dyDescent="0.25">
      <c r="A667" s="150">
        <f t="shared" si="445"/>
        <v>663</v>
      </c>
      <c r="B667" s="150">
        <f t="shared" si="446"/>
        <v>56</v>
      </c>
      <c r="C667" s="150">
        <f t="shared" si="447"/>
        <v>3</v>
      </c>
      <c r="D667" s="150">
        <f>IF(E667="","",Input!$C$4+B667-1)</f>
        <v>100</v>
      </c>
      <c r="E667" s="150">
        <f>IF(OR(AND(C666=12,D666=Input!$C$6),E666=""),"",1)</f>
        <v>1</v>
      </c>
      <c r="F667" s="150">
        <f>IF(E667="","",Input!$C$8+B667-1)</f>
        <v>2073</v>
      </c>
      <c r="G667" s="151">
        <f>IF(E667="","",MAX(0,Input!$C$9-B667))</f>
        <v>0</v>
      </c>
      <c r="H667" s="152">
        <f>IF(E667="","",Input!$C$3)</f>
        <v>100000</v>
      </c>
      <c r="I667" s="153">
        <f>IF(E667="","",HLOOKUP($B667,Input!$C$13:$BT$14,2))</f>
        <v>862.62049999999999</v>
      </c>
      <c r="J667" s="154"/>
      <c r="K667" s="155">
        <f>IF($E667="","",INDEX(Input!$C$16:$CP$16,1,$B667))</f>
        <v>3.2779999999999997E-2</v>
      </c>
      <c r="L667" s="155">
        <f>IF($E667="","",Input!$C$37)</f>
        <v>1.4999999999999999E-2</v>
      </c>
      <c r="M667" s="155">
        <f t="shared" si="410"/>
        <v>4.7779999999999996E-2</v>
      </c>
      <c r="N667" s="155">
        <f t="shared" si="411"/>
        <v>3.8970438211556324E-3</v>
      </c>
      <c r="O667" s="147">
        <f>IF($E667="","",MIN(VLOOKUP(IF($B667&lt;=Input!$C$7,$B667,26),'Mortality Tables'!$A$41:$CW$67,IF($B667&lt;=Input!$C$7+1,Input!$C$4+2,$D667-Input!$C$7+2),0)*IF(B667&gt;20,Input!$C$22,1)/1000,1))</f>
        <v>0.96917200000000014</v>
      </c>
      <c r="P667" s="147">
        <f>IF($E667="","",MIN(VLOOKUP(IF($B667&lt;=Input!$C$7,$B667,26),'Mortality Tables'!$A$12:$CW$37,IF($B667&lt;=Input!$C$7+1,Input!$C$4+2,$D667-Input!$C$7+2),0)*IF(B667&gt;20,Input!$C$22,1)/1000,1))</f>
        <v>1</v>
      </c>
      <c r="Q667" s="155">
        <f>IF($E667="","",Input!$C$21)</f>
        <v>5.0000000000000001E-3</v>
      </c>
      <c r="R667" s="159">
        <f>IF($E667="","",(1-Q667)^($F667-Input!$C$20))</f>
        <v>0.75904835082029165</v>
      </c>
      <c r="S667" s="147">
        <f t="shared" si="413"/>
        <v>0.73564840826120381</v>
      </c>
      <c r="T667" s="147">
        <f t="shared" si="414"/>
        <v>0.10494753255533662</v>
      </c>
      <c r="U667" s="160">
        <f>IF($E667="","",IF($C667=12,INDEX(Input!$C$15:$CP$15,1,$B667),0))</f>
        <v>0</v>
      </c>
      <c r="V667" s="150">
        <f>IF(E667="","",IF(C667=1,IF($B667=1,Input!$C$33,Input!$C$34),0))</f>
        <v>0</v>
      </c>
      <c r="W667" s="156">
        <f>IF($E667="","",Input!$C$35)</f>
        <v>0.02</v>
      </c>
      <c r="X667" s="156">
        <f t="shared" si="412"/>
        <v>2.9717306730230932</v>
      </c>
      <c r="Y667" s="154"/>
      <c r="Z667" s="147">
        <f>IF($E667="","",VLOOKUP($D667,'Mortality Margins &amp; Grading'!$AB$5:$AF$125,3,0)*IF(Summary!$D$25="Included Margin",IF(AND($B667&gt;Input!$C$9,Summary!$D$31&lt;&gt;"Included Margin"),0,1),0))</f>
        <v>1.4E-2</v>
      </c>
      <c r="AA667" s="147">
        <f>IF($E667="","",VLOOKUP($D667,'Mortality Margins &amp; Grading'!$AB$5:$AF$125,5,0)*IF(Summary!$D$25="Included Margin",IF(AND($B667&gt;Input!$C$9,Summary!$D$31&lt;&gt;"Included Margin"),0,1),0))</f>
        <v>7.3999999999999996E-2</v>
      </c>
      <c r="AB667" s="147">
        <f>IF($E667="","",IF(AND($B667&gt;Input!$C$9,Summary!$D$31&lt;&gt;"Included Margin"),1,IF(Summary!$D$25="Included Margin",VLOOKUP($B667,'Mortality Margins &amp; Grading'!$AI$5:$AR$125,MATCH('Mortality Margins &amp; Grading'!$AQ$4,'Mortality Margins &amp; Grading'!$AI$4:$AR$4,0),0),1)))</f>
        <v>0</v>
      </c>
      <c r="AC667" s="154"/>
      <c r="AD667" s="158">
        <f>IF(E667="","",Input!$C$48*IF(Summary!$D$30="Included Margin",IF(AND($B667&gt;Input!$C$9,Summary!$D$31&lt;&gt;"Included Margin"),0,1),0))</f>
        <v>-4.4999999999999997E-3</v>
      </c>
      <c r="AE667" s="159">
        <f>IF(E667="","",IF(Summary!$D$26="Included Margin",IF(AND($B667&gt;Input!$C$9,Summary!$D$31&lt;&gt;"Included Margin"),1,1/$R667),1))</f>
        <v>1.3174391314062084</v>
      </c>
      <c r="AF667" s="160">
        <f>IF(E667="","",IF(AND($B667&gt;=Input!$C$9,$C667=12,Summary!$D$31="Included Margin",$U667&gt;0),1/U667-1,IF($B667&gt;=Input!$C$9,0,Input!$C$45*IF(Summary!$D$27="Included Margin",1,0))))</f>
        <v>0</v>
      </c>
      <c r="AG667" s="160">
        <f>IF(E667="","",Input!$C$46*IF(Summary!$D$28="Included Margin",IF(AND($B667&gt;Input!$C$9,Summary!$D$31&lt;&gt;"Included Margin"),0,1),0))</f>
        <v>0.02</v>
      </c>
      <c r="AH667" s="158">
        <f>IF(E667="","",Input!$C$47*IF(Summary!$D$29="Included Margin",IF(AND($B667&gt;Input!$C$9,Summary!$D$31&lt;&gt;"Included Margin"),0,1),0))</f>
        <v>2.5000000000000001E-3</v>
      </c>
      <c r="AI667" s="154"/>
      <c r="AJ667" s="158">
        <f t="shared" si="435"/>
        <v>4.3279999999999999E-2</v>
      </c>
      <c r="AK667" s="155">
        <f t="shared" si="436"/>
        <v>3.537040313086548E-3</v>
      </c>
      <c r="AL667" s="147">
        <f t="shared" si="437"/>
        <v>1</v>
      </c>
      <c r="AM667" s="147">
        <f t="shared" si="415"/>
        <v>1</v>
      </c>
      <c r="AN667" s="160">
        <f t="shared" si="438"/>
        <v>0</v>
      </c>
      <c r="AO667" s="161">
        <f t="shared" si="439"/>
        <v>0</v>
      </c>
      <c r="AP667" s="156">
        <f t="shared" si="416"/>
        <v>3.4000274034065283</v>
      </c>
      <c r="AQ667" s="152"/>
      <c r="AR667" s="162">
        <f t="shared" si="417"/>
        <v>99823.460198542976</v>
      </c>
      <c r="AS667" s="150">
        <f t="shared" si="440"/>
        <v>0</v>
      </c>
      <c r="AT667" s="163">
        <f t="shared" si="418"/>
        <v>0</v>
      </c>
      <c r="AU667" s="163">
        <f t="shared" si="419"/>
        <v>100000</v>
      </c>
      <c r="AV667" s="163">
        <f t="shared" si="441"/>
        <v>176.22758725970962</v>
      </c>
      <c r="AW667" s="163">
        <f t="shared" si="420"/>
        <v>99823.772412740291</v>
      </c>
      <c r="AX667" s="163">
        <f t="shared" si="421"/>
        <v>0</v>
      </c>
      <c r="AY667" s="164">
        <f t="shared" si="442"/>
        <v>99823.460198542976</v>
      </c>
      <c r="AZ667" s="164">
        <f>IF($E667="","",IF(OR(AND($D667=Input!$C$6,$C667=12),$AN667=1),0,-AS668+AT668+AU668-AV668-AW668-AX668+AZ668))</f>
        <v>99823.772412740291</v>
      </c>
      <c r="BA667" s="154">
        <f t="shared" si="422"/>
        <v>0.31221419731446076</v>
      </c>
      <c r="BC667" s="147">
        <f t="shared" si="443"/>
        <v>5.5254542525493987E-8</v>
      </c>
      <c r="BD667" s="164">
        <f>IF(AND($C666=12,$D666=Input!$C$6),0,IF($E667="","",AT667+(AU667+BD668)/(1+$AK667)*MIN((1-AM667-AN667),1)))</f>
        <v>0</v>
      </c>
      <c r="BE667" s="164">
        <f t="shared" si="423"/>
        <v>0</v>
      </c>
      <c r="BF667" s="164">
        <f t="shared" si="444"/>
        <v>99823.772412740291</v>
      </c>
      <c r="BG667" s="164">
        <f t="shared" si="424"/>
        <v>5.5157168778349917E-3</v>
      </c>
      <c r="BH667" s="152"/>
      <c r="BI667" s="162">
        <f t="shared" si="425"/>
        <v>59139.14195067354</v>
      </c>
      <c r="BJ667" s="150">
        <f t="shared" si="426"/>
        <v>0</v>
      </c>
      <c r="BK667" s="163">
        <f t="shared" si="448"/>
        <v>0</v>
      </c>
      <c r="BL667" s="163">
        <f t="shared" si="427"/>
        <v>10494.753255533662</v>
      </c>
      <c r="BM667" s="163">
        <f t="shared" si="449"/>
        <v>210.01857106280295</v>
      </c>
      <c r="BN667" s="163">
        <f t="shared" si="428"/>
        <v>5728.3275082945001</v>
      </c>
      <c r="BO667" s="163">
        <f t="shared" si="429"/>
        <v>0</v>
      </c>
      <c r="BP667" s="164">
        <f t="shared" si="450"/>
        <v>54582.734774497178</v>
      </c>
      <c r="BQ667" s="164">
        <f>IF($E667="","",IF(AND($D667=Input!$C$6,$C667=12),0,-BJ668+BK668+BL668-BM668-BN668-BO668+BQ668))</f>
        <v>54582.774542832383</v>
      </c>
      <c r="BR667" s="161">
        <f t="shared" si="430"/>
        <v>0</v>
      </c>
      <c r="BT667" s="147">
        <f t="shared" si="431"/>
        <v>5.5254542525493987E-8</v>
      </c>
      <c r="BU667" s="164">
        <f>IF(AND($C666=12,$D666=Input!$C$6),0,IF($E667="","",BK667+(BL667+BU668)/(1+$AK667)*MIN((1-T667-U667),1)))</f>
        <v>82155.062518188206</v>
      </c>
      <c r="BV667" s="164">
        <f t="shared" si="432"/>
        <v>4.5394403955958474E-3</v>
      </c>
      <c r="BW667" s="164">
        <f t="shared" si="433"/>
        <v>54582.774542832383</v>
      </c>
      <c r="BX667" s="164">
        <f t="shared" si="434"/>
        <v>3.0159462371363824E-3</v>
      </c>
    </row>
    <row r="668" spans="1:76" s="150" customFormat="1" x14ac:dyDescent="0.25">
      <c r="A668" s="150">
        <f t="shared" si="445"/>
        <v>664</v>
      </c>
      <c r="B668" s="150">
        <f t="shared" si="446"/>
        <v>56</v>
      </c>
      <c r="C668" s="150">
        <f t="shared" si="447"/>
        <v>4</v>
      </c>
      <c r="D668" s="150">
        <f>IF(E668="","",Input!$C$4+B668-1)</f>
        <v>100</v>
      </c>
      <c r="E668" s="150">
        <f>IF(OR(AND(C667=12,D667=Input!$C$6),E667=""),"",1)</f>
        <v>1</v>
      </c>
      <c r="F668" s="150">
        <f>IF(E668="","",Input!$C$8+B668-1)</f>
        <v>2073</v>
      </c>
      <c r="G668" s="151">
        <f>IF(E668="","",MAX(0,Input!$C$9-B668))</f>
        <v>0</v>
      </c>
      <c r="H668" s="152">
        <f>IF(E668="","",Input!$C$3)</f>
        <v>100000</v>
      </c>
      <c r="I668" s="153">
        <f>IF(E668="","",HLOOKUP($B668,Input!$C$13:$BT$14,2))</f>
        <v>862.62049999999999</v>
      </c>
      <c r="J668" s="154"/>
      <c r="K668" s="155">
        <f>IF($E668="","",INDEX(Input!$C$16:$CP$16,1,$B668))</f>
        <v>3.2779999999999997E-2</v>
      </c>
      <c r="L668" s="155">
        <f>IF($E668="","",Input!$C$37)</f>
        <v>1.4999999999999999E-2</v>
      </c>
      <c r="M668" s="155">
        <f t="shared" si="410"/>
        <v>4.7779999999999996E-2</v>
      </c>
      <c r="N668" s="155">
        <f t="shared" si="411"/>
        <v>3.8970438211556324E-3</v>
      </c>
      <c r="O668" s="147">
        <f>IF($E668="","",MIN(VLOOKUP(IF($B668&lt;=Input!$C$7,$B668,26),'Mortality Tables'!$A$41:$CW$67,IF($B668&lt;=Input!$C$7+1,Input!$C$4+2,$D668-Input!$C$7+2),0)*IF(B668&gt;20,Input!$C$22,1)/1000,1))</f>
        <v>0.96917200000000014</v>
      </c>
      <c r="P668" s="147">
        <f>IF($E668="","",MIN(VLOOKUP(IF($B668&lt;=Input!$C$7,$B668,26),'Mortality Tables'!$A$12:$CW$37,IF($B668&lt;=Input!$C$7+1,Input!$C$4+2,$D668-Input!$C$7+2),0)*IF(B668&gt;20,Input!$C$22,1)/1000,1))</f>
        <v>1</v>
      </c>
      <c r="Q668" s="155">
        <f>IF($E668="","",Input!$C$21)</f>
        <v>5.0000000000000001E-3</v>
      </c>
      <c r="R668" s="159">
        <f>IF($E668="","",(1-Q668)^($F668-Input!$C$20))</f>
        <v>0.75904835082029165</v>
      </c>
      <c r="S668" s="147">
        <f t="shared" si="413"/>
        <v>0.73564840826120381</v>
      </c>
      <c r="T668" s="147">
        <f t="shared" si="414"/>
        <v>0.10494753255533662</v>
      </c>
      <c r="U668" s="160">
        <f>IF($E668="","",IF($C668=12,INDEX(Input!$C$15:$CP$15,1,$B668),0))</f>
        <v>0</v>
      </c>
      <c r="V668" s="150">
        <f>IF(E668="","",IF(C668=1,IF($B668=1,Input!$C$33,Input!$C$34),0))</f>
        <v>0</v>
      </c>
      <c r="W668" s="156">
        <f>IF($E668="","",Input!$C$35)</f>
        <v>0.02</v>
      </c>
      <c r="X668" s="156">
        <f t="shared" si="412"/>
        <v>2.9717306730230932</v>
      </c>
      <c r="Y668" s="154"/>
      <c r="Z668" s="147">
        <f>IF($E668="","",VLOOKUP($D668,'Mortality Margins &amp; Grading'!$AB$5:$AF$125,3,0)*IF(Summary!$D$25="Included Margin",IF(AND($B668&gt;Input!$C$9,Summary!$D$31&lt;&gt;"Included Margin"),0,1),0))</f>
        <v>1.4E-2</v>
      </c>
      <c r="AA668" s="147">
        <f>IF($E668="","",VLOOKUP($D668,'Mortality Margins &amp; Grading'!$AB$5:$AF$125,5,0)*IF(Summary!$D$25="Included Margin",IF(AND($B668&gt;Input!$C$9,Summary!$D$31&lt;&gt;"Included Margin"),0,1),0))</f>
        <v>7.3999999999999996E-2</v>
      </c>
      <c r="AB668" s="147">
        <f>IF($E668="","",IF(AND($B668&gt;Input!$C$9,Summary!$D$31&lt;&gt;"Included Margin"),1,IF(Summary!$D$25="Included Margin",VLOOKUP($B668,'Mortality Margins &amp; Grading'!$AI$5:$AR$125,MATCH('Mortality Margins &amp; Grading'!$AQ$4,'Mortality Margins &amp; Grading'!$AI$4:$AR$4,0),0),1)))</f>
        <v>0</v>
      </c>
      <c r="AC668" s="154"/>
      <c r="AD668" s="158">
        <f>IF(E668="","",Input!$C$48*IF(Summary!$D$30="Included Margin",IF(AND($B668&gt;Input!$C$9,Summary!$D$31&lt;&gt;"Included Margin"),0,1),0))</f>
        <v>-4.4999999999999997E-3</v>
      </c>
      <c r="AE668" s="159">
        <f>IF(E668="","",IF(Summary!$D$26="Included Margin",IF(AND($B668&gt;Input!$C$9,Summary!$D$31&lt;&gt;"Included Margin"),1,1/$R668),1))</f>
        <v>1.3174391314062084</v>
      </c>
      <c r="AF668" s="160">
        <f>IF(E668="","",IF(AND($B668&gt;=Input!$C$9,$C668=12,Summary!$D$31="Included Margin",$U668&gt;0),1/U668-1,IF($B668&gt;=Input!$C$9,0,Input!$C$45*IF(Summary!$D$27="Included Margin",1,0))))</f>
        <v>0</v>
      </c>
      <c r="AG668" s="160">
        <f>IF(E668="","",Input!$C$46*IF(Summary!$D$28="Included Margin",IF(AND($B668&gt;Input!$C$9,Summary!$D$31&lt;&gt;"Included Margin"),0,1),0))</f>
        <v>0.02</v>
      </c>
      <c r="AH668" s="158">
        <f>IF(E668="","",Input!$C$47*IF(Summary!$D$29="Included Margin",IF(AND($B668&gt;Input!$C$9,Summary!$D$31&lt;&gt;"Included Margin"),0,1),0))</f>
        <v>2.5000000000000001E-3</v>
      </c>
      <c r="AI668" s="154"/>
      <c r="AJ668" s="158">
        <f t="shared" si="435"/>
        <v>4.3279999999999999E-2</v>
      </c>
      <c r="AK668" s="155">
        <f t="shared" si="436"/>
        <v>3.537040313086548E-3</v>
      </c>
      <c r="AL668" s="147">
        <f t="shared" si="437"/>
        <v>1</v>
      </c>
      <c r="AM668" s="147">
        <f t="shared" si="415"/>
        <v>1</v>
      </c>
      <c r="AN668" s="160">
        <f t="shared" si="438"/>
        <v>0</v>
      </c>
      <c r="AO668" s="161">
        <f t="shared" si="439"/>
        <v>0</v>
      </c>
      <c r="AP668" s="156">
        <f t="shared" si="416"/>
        <v>3.4000274034065283</v>
      </c>
      <c r="AQ668" s="152"/>
      <c r="AR668" s="162">
        <f t="shared" si="417"/>
        <v>99823.460198542976</v>
      </c>
      <c r="AS668" s="150">
        <f t="shared" si="440"/>
        <v>0</v>
      </c>
      <c r="AT668" s="163">
        <f t="shared" si="418"/>
        <v>0</v>
      </c>
      <c r="AU668" s="163">
        <f t="shared" si="419"/>
        <v>100000</v>
      </c>
      <c r="AV668" s="163">
        <f t="shared" si="441"/>
        <v>176.22758725970962</v>
      </c>
      <c r="AW668" s="163">
        <f t="shared" si="420"/>
        <v>99823.772412740291</v>
      </c>
      <c r="AX668" s="163">
        <f t="shared" si="421"/>
        <v>0</v>
      </c>
      <c r="AY668" s="165">
        <f t="shared" si="442"/>
        <v>99823.460198542976</v>
      </c>
      <c r="AZ668" s="164">
        <f>IF($E668="","",IF(OR(AND($D668=Input!$C$6,$C668=12),$AN668=1),0,-AS669+AT669+AU669-AV669-AW669-AX669+AZ669))</f>
        <v>99823.772412740291</v>
      </c>
      <c r="BA668" s="154">
        <f t="shared" si="422"/>
        <v>0.31221419731446076</v>
      </c>
      <c r="BC668" s="147">
        <f t="shared" si="443"/>
        <v>4.9455714624969474E-8</v>
      </c>
      <c r="BD668" s="164">
        <f>IF(AND($C667=12,$D667=Input!$C$6),0,IF($E668="","",AT668+(AU668+BD669)/(1+$AK668)*MIN((1-AM668-AN668),1)))</f>
        <v>0</v>
      </c>
      <c r="BE668" s="164">
        <f t="shared" si="423"/>
        <v>0</v>
      </c>
      <c r="BF668" s="164">
        <f t="shared" si="444"/>
        <v>99823.772412740291</v>
      </c>
      <c r="BG668" s="164">
        <f t="shared" si="424"/>
        <v>4.9368560012323839E-3</v>
      </c>
      <c r="BH668" s="152"/>
      <c r="BI668" s="162">
        <f t="shared" si="425"/>
        <v>54582.734774497185</v>
      </c>
      <c r="BJ668" s="150">
        <f t="shared" si="426"/>
        <v>0</v>
      </c>
      <c r="BK668" s="163">
        <f t="shared" si="448"/>
        <v>0</v>
      </c>
      <c r="BL668" s="163">
        <f t="shared" si="427"/>
        <v>10494.753255533662</v>
      </c>
      <c r="BM668" s="163">
        <f t="shared" si="449"/>
        <v>192.26205263021572</v>
      </c>
      <c r="BN668" s="163">
        <f t="shared" si="428"/>
        <v>5191.9933706724623</v>
      </c>
      <c r="BO668" s="163">
        <f t="shared" si="429"/>
        <v>0</v>
      </c>
      <c r="BP668" s="164">
        <f t="shared" si="450"/>
        <v>49472.236942266201</v>
      </c>
      <c r="BQ668" s="164">
        <f>IF($E668="","",IF(AND($D668=Input!$C$6,$C668=12),0,-BJ669+BK669+BL669-BM669-BN669-BO669+BQ669))</f>
        <v>49472.2767106014</v>
      </c>
      <c r="BR668" s="161">
        <f t="shared" si="430"/>
        <v>0</v>
      </c>
      <c r="BT668" s="147">
        <f t="shared" si="431"/>
        <v>4.9455714624969474E-8</v>
      </c>
      <c r="BU668" s="164">
        <f>IF(AND($C667=12,$D667=Input!$C$6),0,IF($E668="","",BK668+(BL668+BU669)/(1+$AK668)*MIN((1-T668-U668),1)))</f>
        <v>81617.8896173674</v>
      </c>
      <c r="BV668" s="164">
        <f t="shared" si="432"/>
        <v>4.0364710572087809E-3</v>
      </c>
      <c r="BW668" s="164">
        <f t="shared" si="433"/>
        <v>49472.2767106014</v>
      </c>
      <c r="BX668" s="164">
        <f t="shared" si="434"/>
        <v>2.4466867988470263E-3</v>
      </c>
    </row>
    <row r="669" spans="1:76" s="150" customFormat="1" x14ac:dyDescent="0.25">
      <c r="A669" s="150">
        <f t="shared" si="445"/>
        <v>665</v>
      </c>
      <c r="B669" s="150">
        <f t="shared" si="446"/>
        <v>56</v>
      </c>
      <c r="C669" s="150">
        <f t="shared" si="447"/>
        <v>5</v>
      </c>
      <c r="D669" s="150">
        <f>IF(E669="","",Input!$C$4+B669-1)</f>
        <v>100</v>
      </c>
      <c r="E669" s="150">
        <f>IF(OR(AND(C668=12,D668=Input!$C$6),E668=""),"",1)</f>
        <v>1</v>
      </c>
      <c r="F669" s="150">
        <f>IF(E669="","",Input!$C$8+B669-1)</f>
        <v>2073</v>
      </c>
      <c r="G669" s="151">
        <f>IF(E669="","",MAX(0,Input!$C$9-B669))</f>
        <v>0</v>
      </c>
      <c r="H669" s="152">
        <f>IF(E669="","",Input!$C$3)</f>
        <v>100000</v>
      </c>
      <c r="I669" s="153">
        <f>IF(E669="","",HLOOKUP($B669,Input!$C$13:$BT$14,2))</f>
        <v>862.62049999999999</v>
      </c>
      <c r="J669" s="154"/>
      <c r="K669" s="155">
        <f>IF($E669="","",INDEX(Input!$C$16:$CP$16,1,$B669))</f>
        <v>3.2779999999999997E-2</v>
      </c>
      <c r="L669" s="155">
        <f>IF($E669="","",Input!$C$37)</f>
        <v>1.4999999999999999E-2</v>
      </c>
      <c r="M669" s="155">
        <f t="shared" si="410"/>
        <v>4.7779999999999996E-2</v>
      </c>
      <c r="N669" s="155">
        <f t="shared" si="411"/>
        <v>3.8970438211556324E-3</v>
      </c>
      <c r="O669" s="147">
        <f>IF($E669="","",MIN(VLOOKUP(IF($B669&lt;=Input!$C$7,$B669,26),'Mortality Tables'!$A$41:$CW$67,IF($B669&lt;=Input!$C$7+1,Input!$C$4+2,$D669-Input!$C$7+2),0)*IF(B669&gt;20,Input!$C$22,1)/1000,1))</f>
        <v>0.96917200000000014</v>
      </c>
      <c r="P669" s="147">
        <f>IF($E669="","",MIN(VLOOKUP(IF($B669&lt;=Input!$C$7,$B669,26),'Mortality Tables'!$A$12:$CW$37,IF($B669&lt;=Input!$C$7+1,Input!$C$4+2,$D669-Input!$C$7+2),0)*IF(B669&gt;20,Input!$C$22,1)/1000,1))</f>
        <v>1</v>
      </c>
      <c r="Q669" s="155">
        <f>IF($E669="","",Input!$C$21)</f>
        <v>5.0000000000000001E-3</v>
      </c>
      <c r="R669" s="159">
        <f>IF($E669="","",(1-Q669)^($F669-Input!$C$20))</f>
        <v>0.75904835082029165</v>
      </c>
      <c r="S669" s="147">
        <f t="shared" si="413"/>
        <v>0.73564840826120381</v>
      </c>
      <c r="T669" s="147">
        <f t="shared" si="414"/>
        <v>0.10494753255533662</v>
      </c>
      <c r="U669" s="160">
        <f>IF($E669="","",IF($C669=12,INDEX(Input!$C$15:$CP$15,1,$B669),0))</f>
        <v>0</v>
      </c>
      <c r="V669" s="150">
        <f>IF(E669="","",IF(C669=1,IF($B669=1,Input!$C$33,Input!$C$34),0))</f>
        <v>0</v>
      </c>
      <c r="W669" s="156">
        <f>IF($E669="","",Input!$C$35)</f>
        <v>0.02</v>
      </c>
      <c r="X669" s="156">
        <f t="shared" si="412"/>
        <v>2.9717306730230932</v>
      </c>
      <c r="Y669" s="154"/>
      <c r="Z669" s="147">
        <f>IF($E669="","",VLOOKUP($D669,'Mortality Margins &amp; Grading'!$AB$5:$AF$125,3,0)*IF(Summary!$D$25="Included Margin",IF(AND($B669&gt;Input!$C$9,Summary!$D$31&lt;&gt;"Included Margin"),0,1),0))</f>
        <v>1.4E-2</v>
      </c>
      <c r="AA669" s="147">
        <f>IF($E669="","",VLOOKUP($D669,'Mortality Margins &amp; Grading'!$AB$5:$AF$125,5,0)*IF(Summary!$D$25="Included Margin",IF(AND($B669&gt;Input!$C$9,Summary!$D$31&lt;&gt;"Included Margin"),0,1),0))</f>
        <v>7.3999999999999996E-2</v>
      </c>
      <c r="AB669" s="147">
        <f>IF($E669="","",IF(AND($B669&gt;Input!$C$9,Summary!$D$31&lt;&gt;"Included Margin"),1,IF(Summary!$D$25="Included Margin",VLOOKUP($B669,'Mortality Margins &amp; Grading'!$AI$5:$AR$125,MATCH('Mortality Margins &amp; Grading'!$AQ$4,'Mortality Margins &amp; Grading'!$AI$4:$AR$4,0),0),1)))</f>
        <v>0</v>
      </c>
      <c r="AC669" s="154"/>
      <c r="AD669" s="158">
        <f>IF(E669="","",Input!$C$48*IF(Summary!$D$30="Included Margin",IF(AND($B669&gt;Input!$C$9,Summary!$D$31&lt;&gt;"Included Margin"),0,1),0))</f>
        <v>-4.4999999999999997E-3</v>
      </c>
      <c r="AE669" s="159">
        <f>IF(E669="","",IF(Summary!$D$26="Included Margin",IF(AND($B669&gt;Input!$C$9,Summary!$D$31&lt;&gt;"Included Margin"),1,1/$R669),1))</f>
        <v>1.3174391314062084</v>
      </c>
      <c r="AF669" s="160">
        <f>IF(E669="","",IF(AND($B669&gt;=Input!$C$9,$C669=12,Summary!$D$31="Included Margin",$U669&gt;0),1/U669-1,IF($B669&gt;=Input!$C$9,0,Input!$C$45*IF(Summary!$D$27="Included Margin",1,0))))</f>
        <v>0</v>
      </c>
      <c r="AG669" s="160">
        <f>IF(E669="","",Input!$C$46*IF(Summary!$D$28="Included Margin",IF(AND($B669&gt;Input!$C$9,Summary!$D$31&lt;&gt;"Included Margin"),0,1),0))</f>
        <v>0.02</v>
      </c>
      <c r="AH669" s="158">
        <f>IF(E669="","",Input!$C$47*IF(Summary!$D$29="Included Margin",IF(AND($B669&gt;Input!$C$9,Summary!$D$31&lt;&gt;"Included Margin"),0,1),0))</f>
        <v>2.5000000000000001E-3</v>
      </c>
      <c r="AI669" s="154"/>
      <c r="AJ669" s="158">
        <f t="shared" si="435"/>
        <v>4.3279999999999999E-2</v>
      </c>
      <c r="AK669" s="155">
        <f t="shared" si="436"/>
        <v>3.537040313086548E-3</v>
      </c>
      <c r="AL669" s="147">
        <f t="shared" si="437"/>
        <v>1</v>
      </c>
      <c r="AM669" s="147">
        <f t="shared" si="415"/>
        <v>1</v>
      </c>
      <c r="AN669" s="160">
        <f t="shared" si="438"/>
        <v>0</v>
      </c>
      <c r="AO669" s="161">
        <f t="shared" si="439"/>
        <v>0</v>
      </c>
      <c r="AP669" s="156">
        <f t="shared" si="416"/>
        <v>3.4000274034065283</v>
      </c>
      <c r="AQ669" s="152"/>
      <c r="AR669" s="162">
        <f t="shared" si="417"/>
        <v>99823.460198542976</v>
      </c>
      <c r="AS669" s="150">
        <f t="shared" si="440"/>
        <v>0</v>
      </c>
      <c r="AT669" s="163">
        <f t="shared" si="418"/>
        <v>0</v>
      </c>
      <c r="AU669" s="163">
        <f t="shared" si="419"/>
        <v>100000</v>
      </c>
      <c r="AV669" s="163">
        <f t="shared" si="441"/>
        <v>176.22758725970962</v>
      </c>
      <c r="AW669" s="163">
        <f t="shared" si="420"/>
        <v>99823.772412740291</v>
      </c>
      <c r="AX669" s="163">
        <f t="shared" si="421"/>
        <v>0</v>
      </c>
      <c r="AY669" s="164">
        <f t="shared" si="442"/>
        <v>99823.460198542976</v>
      </c>
      <c r="AZ669" s="164">
        <f>IF($E669="","",IF(OR(AND($D669=Input!$C$6,$C669=12),$AN669=1),0,-AS670+AT670+AU670-AV670-AW670-AX670+AZ670))</f>
        <v>99823.772412740291</v>
      </c>
      <c r="BA669" s="154">
        <f t="shared" si="422"/>
        <v>0.31221419731446076</v>
      </c>
      <c r="BC669" s="147">
        <f t="shared" si="443"/>
        <v>4.4265459404318052E-8</v>
      </c>
      <c r="BD669" s="164">
        <f>IF(AND($C668=12,$D668=Input!$C$6),0,IF($E669="","",AT669+(AU669+BD670)/(1+$AK669)*MIN((1-AM669-AN669),1)))</f>
        <v>0</v>
      </c>
      <c r="BE669" s="164">
        <f t="shared" si="423"/>
        <v>0</v>
      </c>
      <c r="BF669" s="164">
        <f t="shared" si="444"/>
        <v>99823.772412740291</v>
      </c>
      <c r="BG669" s="164">
        <f t="shared" si="424"/>
        <v>4.41874514532204E-3</v>
      </c>
      <c r="BH669" s="152"/>
      <c r="BI669" s="162">
        <f t="shared" si="425"/>
        <v>49472.236942266201</v>
      </c>
      <c r="BJ669" s="150">
        <f t="shared" si="426"/>
        <v>0</v>
      </c>
      <c r="BK669" s="163">
        <f t="shared" si="448"/>
        <v>0</v>
      </c>
      <c r="BL669" s="163">
        <f t="shared" si="427"/>
        <v>10494.753255533662</v>
      </c>
      <c r="BM669" s="163">
        <f t="shared" si="449"/>
        <v>172.3462186300907</v>
      </c>
      <c r="BN669" s="163">
        <f t="shared" si="428"/>
        <v>4590.4372889420674</v>
      </c>
      <c r="BO669" s="163">
        <f t="shared" si="429"/>
        <v>0</v>
      </c>
      <c r="BP669" s="164">
        <f t="shared" si="450"/>
        <v>43740.267194304695</v>
      </c>
      <c r="BQ669" s="164">
        <f>IF($E669="","",IF(AND($D669=Input!$C$6,$C669=12),0,-BJ670+BK670+BL670-BM670-BN670-BO670+BQ670))</f>
        <v>43740.306962639894</v>
      </c>
      <c r="BR669" s="161">
        <f t="shared" si="430"/>
        <v>0</v>
      </c>
      <c r="BT669" s="147">
        <f t="shared" si="431"/>
        <v>4.4265459404318052E-8</v>
      </c>
      <c r="BU669" s="164">
        <f>IF(AND($C668=12,$D668=Input!$C$6),0,IF($E669="","",BK669+(BL669+BU670)/(1+$AK669)*MIN((1-T669-U669),1)))</f>
        <v>81015.608832012847</v>
      </c>
      <c r="BV669" s="164">
        <f t="shared" si="432"/>
        <v>3.5861931438695756E-3</v>
      </c>
      <c r="BW669" s="164">
        <f t="shared" si="433"/>
        <v>43740.306962639894</v>
      </c>
      <c r="BX669" s="164">
        <f t="shared" si="434"/>
        <v>1.9361847821871465E-3</v>
      </c>
    </row>
    <row r="670" spans="1:76" s="150" customFormat="1" x14ac:dyDescent="0.25">
      <c r="A670" s="150">
        <f t="shared" si="445"/>
        <v>666</v>
      </c>
      <c r="B670" s="150">
        <f t="shared" si="446"/>
        <v>56</v>
      </c>
      <c r="C670" s="150">
        <f t="shared" si="447"/>
        <v>6</v>
      </c>
      <c r="D670" s="150">
        <f>IF(E670="","",Input!$C$4+B670-1)</f>
        <v>100</v>
      </c>
      <c r="E670" s="150">
        <f>IF(OR(AND(C669=12,D669=Input!$C$6),E669=""),"",1)</f>
        <v>1</v>
      </c>
      <c r="F670" s="150">
        <f>IF(E670="","",Input!$C$8+B670-1)</f>
        <v>2073</v>
      </c>
      <c r="G670" s="151">
        <f>IF(E670="","",MAX(0,Input!$C$9-B670))</f>
        <v>0</v>
      </c>
      <c r="H670" s="152">
        <f>IF(E670="","",Input!$C$3)</f>
        <v>100000</v>
      </c>
      <c r="I670" s="153">
        <f>IF(E670="","",HLOOKUP($B670,Input!$C$13:$BT$14,2))</f>
        <v>862.62049999999999</v>
      </c>
      <c r="J670" s="154"/>
      <c r="K670" s="155">
        <f>IF($E670="","",INDEX(Input!$C$16:$CP$16,1,$B670))</f>
        <v>3.2779999999999997E-2</v>
      </c>
      <c r="L670" s="155">
        <f>IF($E670="","",Input!$C$37)</f>
        <v>1.4999999999999999E-2</v>
      </c>
      <c r="M670" s="155">
        <f t="shared" si="410"/>
        <v>4.7779999999999996E-2</v>
      </c>
      <c r="N670" s="155">
        <f t="shared" si="411"/>
        <v>3.8970438211556324E-3</v>
      </c>
      <c r="O670" s="147">
        <f>IF($E670="","",MIN(VLOOKUP(IF($B670&lt;=Input!$C$7,$B670,26),'Mortality Tables'!$A$41:$CW$67,IF($B670&lt;=Input!$C$7+1,Input!$C$4+2,$D670-Input!$C$7+2),0)*IF(B670&gt;20,Input!$C$22,1)/1000,1))</f>
        <v>0.96917200000000014</v>
      </c>
      <c r="P670" s="147">
        <f>IF($E670="","",MIN(VLOOKUP(IF($B670&lt;=Input!$C$7,$B670,26),'Mortality Tables'!$A$12:$CW$37,IF($B670&lt;=Input!$C$7+1,Input!$C$4+2,$D670-Input!$C$7+2),0)*IF(B670&gt;20,Input!$C$22,1)/1000,1))</f>
        <v>1</v>
      </c>
      <c r="Q670" s="155">
        <f>IF($E670="","",Input!$C$21)</f>
        <v>5.0000000000000001E-3</v>
      </c>
      <c r="R670" s="159">
        <f>IF($E670="","",(1-Q670)^($F670-Input!$C$20))</f>
        <v>0.75904835082029165</v>
      </c>
      <c r="S670" s="147">
        <f t="shared" si="413"/>
        <v>0.73564840826120381</v>
      </c>
      <c r="T670" s="147">
        <f t="shared" si="414"/>
        <v>0.10494753255533662</v>
      </c>
      <c r="U670" s="160">
        <f>IF($E670="","",IF($C670=12,INDEX(Input!$C$15:$CP$15,1,$B670),0))</f>
        <v>0</v>
      </c>
      <c r="V670" s="150">
        <f>IF(E670="","",IF(C670=1,IF($B670=1,Input!$C$33,Input!$C$34),0))</f>
        <v>0</v>
      </c>
      <c r="W670" s="156">
        <f>IF($E670="","",Input!$C$35)</f>
        <v>0.02</v>
      </c>
      <c r="X670" s="156">
        <f t="shared" si="412"/>
        <v>2.9717306730230932</v>
      </c>
      <c r="Y670" s="154"/>
      <c r="Z670" s="147">
        <f>IF($E670="","",VLOOKUP($D670,'Mortality Margins &amp; Grading'!$AB$5:$AF$125,3,0)*IF(Summary!$D$25="Included Margin",IF(AND($B670&gt;Input!$C$9,Summary!$D$31&lt;&gt;"Included Margin"),0,1),0))</f>
        <v>1.4E-2</v>
      </c>
      <c r="AA670" s="147">
        <f>IF($E670="","",VLOOKUP($D670,'Mortality Margins &amp; Grading'!$AB$5:$AF$125,5,0)*IF(Summary!$D$25="Included Margin",IF(AND($B670&gt;Input!$C$9,Summary!$D$31&lt;&gt;"Included Margin"),0,1),0))</f>
        <v>7.3999999999999996E-2</v>
      </c>
      <c r="AB670" s="147">
        <f>IF($E670="","",IF(AND($B670&gt;Input!$C$9,Summary!$D$31&lt;&gt;"Included Margin"),1,IF(Summary!$D$25="Included Margin",VLOOKUP($B670,'Mortality Margins &amp; Grading'!$AI$5:$AR$125,MATCH('Mortality Margins &amp; Grading'!$AQ$4,'Mortality Margins &amp; Grading'!$AI$4:$AR$4,0),0),1)))</f>
        <v>0</v>
      </c>
      <c r="AC670" s="154"/>
      <c r="AD670" s="158">
        <f>IF(E670="","",Input!$C$48*IF(Summary!$D$30="Included Margin",IF(AND($B670&gt;Input!$C$9,Summary!$D$31&lt;&gt;"Included Margin"),0,1),0))</f>
        <v>-4.4999999999999997E-3</v>
      </c>
      <c r="AE670" s="159">
        <f>IF(E670="","",IF(Summary!$D$26="Included Margin",IF(AND($B670&gt;Input!$C$9,Summary!$D$31&lt;&gt;"Included Margin"),1,1/$R670),1))</f>
        <v>1.3174391314062084</v>
      </c>
      <c r="AF670" s="160">
        <f>IF(E670="","",IF(AND($B670&gt;=Input!$C$9,$C670=12,Summary!$D$31="Included Margin",$U670&gt;0),1/U670-1,IF($B670&gt;=Input!$C$9,0,Input!$C$45*IF(Summary!$D$27="Included Margin",1,0))))</f>
        <v>0</v>
      </c>
      <c r="AG670" s="160">
        <f>IF(E670="","",Input!$C$46*IF(Summary!$D$28="Included Margin",IF(AND($B670&gt;Input!$C$9,Summary!$D$31&lt;&gt;"Included Margin"),0,1),0))</f>
        <v>0.02</v>
      </c>
      <c r="AH670" s="158">
        <f>IF(E670="","",Input!$C$47*IF(Summary!$D$29="Included Margin",IF(AND($B670&gt;Input!$C$9,Summary!$D$31&lt;&gt;"Included Margin"),0,1),0))</f>
        <v>2.5000000000000001E-3</v>
      </c>
      <c r="AI670" s="154"/>
      <c r="AJ670" s="158">
        <f t="shared" si="435"/>
        <v>4.3279999999999999E-2</v>
      </c>
      <c r="AK670" s="155">
        <f t="shared" si="436"/>
        <v>3.537040313086548E-3</v>
      </c>
      <c r="AL670" s="147">
        <f t="shared" si="437"/>
        <v>1</v>
      </c>
      <c r="AM670" s="147">
        <f t="shared" si="415"/>
        <v>1</v>
      </c>
      <c r="AN670" s="160">
        <f t="shared" si="438"/>
        <v>0</v>
      </c>
      <c r="AO670" s="161">
        <f t="shared" si="439"/>
        <v>0</v>
      </c>
      <c r="AP670" s="156">
        <f t="shared" si="416"/>
        <v>3.4000274034065283</v>
      </c>
      <c r="AQ670" s="152"/>
      <c r="AR670" s="162">
        <f t="shared" si="417"/>
        <v>99823.460198542976</v>
      </c>
      <c r="AS670" s="150">
        <f t="shared" si="440"/>
        <v>0</v>
      </c>
      <c r="AT670" s="163">
        <f t="shared" si="418"/>
        <v>0</v>
      </c>
      <c r="AU670" s="163">
        <f t="shared" si="419"/>
        <v>100000</v>
      </c>
      <c r="AV670" s="163">
        <f t="shared" si="441"/>
        <v>176.22758725970962</v>
      </c>
      <c r="AW670" s="163">
        <f t="shared" si="420"/>
        <v>99823.772412740291</v>
      </c>
      <c r="AX670" s="163">
        <f t="shared" si="421"/>
        <v>0</v>
      </c>
      <c r="AY670" s="165">
        <f t="shared" si="442"/>
        <v>99823.460198542976</v>
      </c>
      <c r="AZ670" s="164">
        <f>IF($E670="","",IF(OR(AND($D670=Input!$C$6,$C670=12),$AN670=1),0,-AS671+AT671+AU671-AV671-AW671-AX671+AZ671))</f>
        <v>99823.772412740291</v>
      </c>
      <c r="BA670" s="154">
        <f t="shared" si="422"/>
        <v>0.31221419731446076</v>
      </c>
      <c r="BC670" s="147">
        <f t="shared" si="443"/>
        <v>3.961990866240645E-8</v>
      </c>
      <c r="BD670" s="164">
        <f>IF(AND($C669=12,$D669=Input!$C$6),0,IF($E670="","",AT670+(AU670+BD671)/(1+$AK670)*MIN((1-AM670-AN670),1)))</f>
        <v>0</v>
      </c>
      <c r="BE670" s="164">
        <f t="shared" si="423"/>
        <v>0</v>
      </c>
      <c r="BF670" s="164">
        <f t="shared" si="444"/>
        <v>99823.772412740291</v>
      </c>
      <c r="BG670" s="164">
        <f t="shared" si="424"/>
        <v>3.9550087453296186E-3</v>
      </c>
      <c r="BH670" s="152"/>
      <c r="BI670" s="162">
        <f t="shared" si="425"/>
        <v>43740.267194304688</v>
      </c>
      <c r="BJ670" s="150">
        <f t="shared" si="426"/>
        <v>0</v>
      </c>
      <c r="BK670" s="163">
        <f t="shared" si="448"/>
        <v>0</v>
      </c>
      <c r="BL670" s="163">
        <f t="shared" si="427"/>
        <v>10494.753255533662</v>
      </c>
      <c r="BM670" s="163">
        <f t="shared" si="449"/>
        <v>150.00848134074627</v>
      </c>
      <c r="BN670" s="163">
        <f t="shared" si="428"/>
        <v>3915.7278231764562</v>
      </c>
      <c r="BO670" s="163">
        <f t="shared" si="429"/>
        <v>0</v>
      </c>
      <c r="BP670" s="164">
        <f t="shared" si="450"/>
        <v>37311.250243288225</v>
      </c>
      <c r="BQ670" s="164">
        <f>IF($E670="","",IF(AND($D670=Input!$C$6,$C670=12),0,-BJ671+BK671+BL671-BM671-BN671-BO671+BQ671))</f>
        <v>37311.29001162343</v>
      </c>
      <c r="BR670" s="161">
        <f t="shared" si="430"/>
        <v>0</v>
      </c>
      <c r="BT670" s="147">
        <f t="shared" si="431"/>
        <v>3.961990866240645E-8</v>
      </c>
      <c r="BU670" s="164">
        <f>IF(AND($C669=12,$D669=Input!$C$6),0,IF($E670="","",BK670+(BL670+BU671)/(1+$AK670)*MIN((1-T670-U670),1)))</f>
        <v>80340.328779997886</v>
      </c>
      <c r="BV670" s="164">
        <f t="shared" si="432"/>
        <v>3.1830764881712204E-3</v>
      </c>
      <c r="BW670" s="164">
        <f t="shared" si="433"/>
        <v>37311.29001162343</v>
      </c>
      <c r="BX670" s="164">
        <f t="shared" si="434"/>
        <v>1.4782699023370785E-3</v>
      </c>
    </row>
    <row r="671" spans="1:76" s="150" customFormat="1" x14ac:dyDescent="0.25">
      <c r="A671" s="150">
        <f t="shared" si="445"/>
        <v>667</v>
      </c>
      <c r="B671" s="150">
        <f t="shared" si="446"/>
        <v>56</v>
      </c>
      <c r="C671" s="150">
        <f t="shared" si="447"/>
        <v>7</v>
      </c>
      <c r="D671" s="150">
        <f>IF(E671="","",Input!$C$4+B671-1)</f>
        <v>100</v>
      </c>
      <c r="E671" s="150">
        <f>IF(OR(AND(C670=12,D670=Input!$C$6),E670=""),"",1)</f>
        <v>1</v>
      </c>
      <c r="F671" s="150">
        <f>IF(E671="","",Input!$C$8+B671-1)</f>
        <v>2073</v>
      </c>
      <c r="G671" s="151">
        <f>IF(E671="","",MAX(0,Input!$C$9-B671))</f>
        <v>0</v>
      </c>
      <c r="H671" s="152">
        <f>IF(E671="","",Input!$C$3)</f>
        <v>100000</v>
      </c>
      <c r="I671" s="153">
        <f>IF(E671="","",HLOOKUP($B671,Input!$C$13:$BT$14,2))</f>
        <v>862.62049999999999</v>
      </c>
      <c r="J671" s="154"/>
      <c r="K671" s="155">
        <f>IF($E671="","",INDEX(Input!$C$16:$CP$16,1,$B671))</f>
        <v>3.2779999999999997E-2</v>
      </c>
      <c r="L671" s="155">
        <f>IF($E671="","",Input!$C$37)</f>
        <v>1.4999999999999999E-2</v>
      </c>
      <c r="M671" s="155">
        <f t="shared" si="410"/>
        <v>4.7779999999999996E-2</v>
      </c>
      <c r="N671" s="155">
        <f t="shared" si="411"/>
        <v>3.8970438211556324E-3</v>
      </c>
      <c r="O671" s="147">
        <f>IF($E671="","",MIN(VLOOKUP(IF($B671&lt;=Input!$C$7,$B671,26),'Mortality Tables'!$A$41:$CW$67,IF($B671&lt;=Input!$C$7+1,Input!$C$4+2,$D671-Input!$C$7+2),0)*IF(B671&gt;20,Input!$C$22,1)/1000,1))</f>
        <v>0.96917200000000014</v>
      </c>
      <c r="P671" s="147">
        <f>IF($E671="","",MIN(VLOOKUP(IF($B671&lt;=Input!$C$7,$B671,26),'Mortality Tables'!$A$12:$CW$37,IF($B671&lt;=Input!$C$7+1,Input!$C$4+2,$D671-Input!$C$7+2),0)*IF(B671&gt;20,Input!$C$22,1)/1000,1))</f>
        <v>1</v>
      </c>
      <c r="Q671" s="155">
        <f>IF($E671="","",Input!$C$21)</f>
        <v>5.0000000000000001E-3</v>
      </c>
      <c r="R671" s="159">
        <f>IF($E671="","",(1-Q671)^($F671-Input!$C$20))</f>
        <v>0.75904835082029165</v>
      </c>
      <c r="S671" s="147">
        <f t="shared" si="413"/>
        <v>0.73564840826120381</v>
      </c>
      <c r="T671" s="147">
        <f t="shared" si="414"/>
        <v>0.10494753255533662</v>
      </c>
      <c r="U671" s="160">
        <f>IF($E671="","",IF($C671=12,INDEX(Input!$C$15:$CP$15,1,$B671),0))</f>
        <v>0</v>
      </c>
      <c r="V671" s="150">
        <f>IF(E671="","",IF(C671=1,IF($B671=1,Input!$C$33,Input!$C$34),0))</f>
        <v>0</v>
      </c>
      <c r="W671" s="156">
        <f>IF($E671="","",Input!$C$35)</f>
        <v>0.02</v>
      </c>
      <c r="X671" s="156">
        <f t="shared" si="412"/>
        <v>2.9717306730230932</v>
      </c>
      <c r="Y671" s="154"/>
      <c r="Z671" s="147">
        <f>IF($E671="","",VLOOKUP($D671,'Mortality Margins &amp; Grading'!$AB$5:$AF$125,3,0)*IF(Summary!$D$25="Included Margin",IF(AND($B671&gt;Input!$C$9,Summary!$D$31&lt;&gt;"Included Margin"),0,1),0))</f>
        <v>1.4E-2</v>
      </c>
      <c r="AA671" s="147">
        <f>IF($E671="","",VLOOKUP($D671,'Mortality Margins &amp; Grading'!$AB$5:$AF$125,5,0)*IF(Summary!$D$25="Included Margin",IF(AND($B671&gt;Input!$C$9,Summary!$D$31&lt;&gt;"Included Margin"),0,1),0))</f>
        <v>7.3999999999999996E-2</v>
      </c>
      <c r="AB671" s="147">
        <f>IF($E671="","",IF(AND($B671&gt;Input!$C$9,Summary!$D$31&lt;&gt;"Included Margin"),1,IF(Summary!$D$25="Included Margin",VLOOKUP($B671,'Mortality Margins &amp; Grading'!$AI$5:$AR$125,MATCH('Mortality Margins &amp; Grading'!$AQ$4,'Mortality Margins &amp; Grading'!$AI$4:$AR$4,0),0),1)))</f>
        <v>0</v>
      </c>
      <c r="AC671" s="154"/>
      <c r="AD671" s="158">
        <f>IF(E671="","",Input!$C$48*IF(Summary!$D$30="Included Margin",IF(AND($B671&gt;Input!$C$9,Summary!$D$31&lt;&gt;"Included Margin"),0,1),0))</f>
        <v>-4.4999999999999997E-3</v>
      </c>
      <c r="AE671" s="159">
        <f>IF(E671="","",IF(Summary!$D$26="Included Margin",IF(AND($B671&gt;Input!$C$9,Summary!$D$31&lt;&gt;"Included Margin"),1,1/$R671),1))</f>
        <v>1.3174391314062084</v>
      </c>
      <c r="AF671" s="160">
        <f>IF(E671="","",IF(AND($B671&gt;=Input!$C$9,$C671=12,Summary!$D$31="Included Margin",$U671&gt;0),1/U671-1,IF($B671&gt;=Input!$C$9,0,Input!$C$45*IF(Summary!$D$27="Included Margin",1,0))))</f>
        <v>0</v>
      </c>
      <c r="AG671" s="160">
        <f>IF(E671="","",Input!$C$46*IF(Summary!$D$28="Included Margin",IF(AND($B671&gt;Input!$C$9,Summary!$D$31&lt;&gt;"Included Margin"),0,1),0))</f>
        <v>0.02</v>
      </c>
      <c r="AH671" s="158">
        <f>IF(E671="","",Input!$C$47*IF(Summary!$D$29="Included Margin",IF(AND($B671&gt;Input!$C$9,Summary!$D$31&lt;&gt;"Included Margin"),0,1),0))</f>
        <v>2.5000000000000001E-3</v>
      </c>
      <c r="AI671" s="154"/>
      <c r="AJ671" s="158">
        <f t="shared" si="435"/>
        <v>4.3279999999999999E-2</v>
      </c>
      <c r="AK671" s="155">
        <f t="shared" si="436"/>
        <v>3.537040313086548E-3</v>
      </c>
      <c r="AL671" s="147">
        <f t="shared" si="437"/>
        <v>1</v>
      </c>
      <c r="AM671" s="147">
        <f t="shared" si="415"/>
        <v>1</v>
      </c>
      <c r="AN671" s="160">
        <f t="shared" si="438"/>
        <v>0</v>
      </c>
      <c r="AO671" s="161">
        <f t="shared" si="439"/>
        <v>0</v>
      </c>
      <c r="AP671" s="156">
        <f t="shared" si="416"/>
        <v>3.4000274034065283</v>
      </c>
      <c r="AQ671" s="152"/>
      <c r="AR671" s="162">
        <f t="shared" si="417"/>
        <v>99823.460198542976</v>
      </c>
      <c r="AS671" s="150">
        <f t="shared" si="440"/>
        <v>0</v>
      </c>
      <c r="AT671" s="163">
        <f t="shared" si="418"/>
        <v>0</v>
      </c>
      <c r="AU671" s="163">
        <f t="shared" si="419"/>
        <v>100000</v>
      </c>
      <c r="AV671" s="163">
        <f t="shared" si="441"/>
        <v>176.22758725970962</v>
      </c>
      <c r="AW671" s="163">
        <f t="shared" si="420"/>
        <v>99823.772412740291</v>
      </c>
      <c r="AX671" s="163">
        <f t="shared" si="421"/>
        <v>0</v>
      </c>
      <c r="AY671" s="164">
        <f t="shared" si="442"/>
        <v>99823.460198542976</v>
      </c>
      <c r="AZ671" s="164">
        <f>IF($E671="","",IF(OR(AND($D671=Input!$C$6,$C671=12),$AN671=1),0,-AS672+AT672+AU672-AV672-AW672-AX672+AZ672))</f>
        <v>99823.772412740291</v>
      </c>
      <c r="BA671" s="154">
        <f t="shared" si="422"/>
        <v>0.31221419731446076</v>
      </c>
      <c r="BC671" s="147">
        <f t="shared" si="443"/>
        <v>3.5461897008219085E-8</v>
      </c>
      <c r="BD671" s="164">
        <f>IF(AND($C670=12,$D670=Input!$C$6),0,IF($E671="","",AT671+(AU671+BD672)/(1+$AK671)*MIN((1-AM671-AN671),1)))</f>
        <v>0</v>
      </c>
      <c r="BE671" s="164">
        <f t="shared" si="423"/>
        <v>0</v>
      </c>
      <c r="BF671" s="164">
        <f t="shared" si="444"/>
        <v>99823.772412740291</v>
      </c>
      <c r="BG671" s="164">
        <f t="shared" si="424"/>
        <v>3.5399403362724978E-3</v>
      </c>
      <c r="BH671" s="152"/>
      <c r="BI671" s="162">
        <f t="shared" si="425"/>
        <v>37311.250243288232</v>
      </c>
      <c r="BJ671" s="150">
        <f t="shared" si="426"/>
        <v>0</v>
      </c>
      <c r="BK671" s="163">
        <f t="shared" si="448"/>
        <v>0</v>
      </c>
      <c r="BL671" s="163">
        <f t="shared" si="427"/>
        <v>10494.753255533662</v>
      </c>
      <c r="BM671" s="163">
        <f t="shared" si="449"/>
        <v>124.95432055568277</v>
      </c>
      <c r="BN671" s="163">
        <f t="shared" si="428"/>
        <v>3158.9690154453051</v>
      </c>
      <c r="BO671" s="163">
        <f t="shared" si="429"/>
        <v>0</v>
      </c>
      <c r="BP671" s="164">
        <f t="shared" si="450"/>
        <v>30100.420323755559</v>
      </c>
      <c r="BQ671" s="164">
        <f>IF($E671="","",IF(AND($D671=Input!$C$6,$C671=12),0,-BJ672+BK672+BL672-BM672-BN672-BO672+BQ672))</f>
        <v>30100.460092090754</v>
      </c>
      <c r="BR671" s="161">
        <f t="shared" si="430"/>
        <v>0</v>
      </c>
      <c r="BT671" s="147">
        <f t="shared" si="431"/>
        <v>3.5461897008219085E-8</v>
      </c>
      <c r="BU671" s="164">
        <f>IF(AND($C670=12,$D670=Input!$C$6),0,IF($E671="","",BK671+(BL671+BU672)/(1+$AK671)*MIN((1-T671-U671),1)))</f>
        <v>79583.201606530303</v>
      </c>
      <c r="BV671" s="164">
        <f t="shared" si="432"/>
        <v>2.8221712989551133E-3</v>
      </c>
      <c r="BW671" s="164">
        <f t="shared" si="433"/>
        <v>30100.460092090754</v>
      </c>
      <c r="BX671" s="164">
        <f t="shared" si="434"/>
        <v>1.0674194156857311E-3</v>
      </c>
    </row>
    <row r="672" spans="1:76" s="150" customFormat="1" x14ac:dyDescent="0.25">
      <c r="A672" s="150">
        <f t="shared" si="445"/>
        <v>668</v>
      </c>
      <c r="B672" s="150">
        <f t="shared" si="446"/>
        <v>56</v>
      </c>
      <c r="C672" s="150">
        <f t="shared" si="447"/>
        <v>8</v>
      </c>
      <c r="D672" s="150">
        <f>IF(E672="","",Input!$C$4+B672-1)</f>
        <v>100</v>
      </c>
      <c r="E672" s="150">
        <f>IF(OR(AND(C671=12,D671=Input!$C$6),E671=""),"",1)</f>
        <v>1</v>
      </c>
      <c r="F672" s="150">
        <f>IF(E672="","",Input!$C$8+B672-1)</f>
        <v>2073</v>
      </c>
      <c r="G672" s="151">
        <f>IF(E672="","",MAX(0,Input!$C$9-B672))</f>
        <v>0</v>
      </c>
      <c r="H672" s="152">
        <f>IF(E672="","",Input!$C$3)</f>
        <v>100000</v>
      </c>
      <c r="I672" s="153">
        <f>IF(E672="","",HLOOKUP($B672,Input!$C$13:$BT$14,2))</f>
        <v>862.62049999999999</v>
      </c>
      <c r="J672" s="154"/>
      <c r="K672" s="155">
        <f>IF($E672="","",INDEX(Input!$C$16:$CP$16,1,$B672))</f>
        <v>3.2779999999999997E-2</v>
      </c>
      <c r="L672" s="155">
        <f>IF($E672="","",Input!$C$37)</f>
        <v>1.4999999999999999E-2</v>
      </c>
      <c r="M672" s="155">
        <f t="shared" si="410"/>
        <v>4.7779999999999996E-2</v>
      </c>
      <c r="N672" s="155">
        <f t="shared" si="411"/>
        <v>3.8970438211556324E-3</v>
      </c>
      <c r="O672" s="147">
        <f>IF($E672="","",MIN(VLOOKUP(IF($B672&lt;=Input!$C$7,$B672,26),'Mortality Tables'!$A$41:$CW$67,IF($B672&lt;=Input!$C$7+1,Input!$C$4+2,$D672-Input!$C$7+2),0)*IF(B672&gt;20,Input!$C$22,1)/1000,1))</f>
        <v>0.96917200000000014</v>
      </c>
      <c r="P672" s="147">
        <f>IF($E672="","",MIN(VLOOKUP(IF($B672&lt;=Input!$C$7,$B672,26),'Mortality Tables'!$A$12:$CW$37,IF($B672&lt;=Input!$C$7+1,Input!$C$4+2,$D672-Input!$C$7+2),0)*IF(B672&gt;20,Input!$C$22,1)/1000,1))</f>
        <v>1</v>
      </c>
      <c r="Q672" s="155">
        <f>IF($E672="","",Input!$C$21)</f>
        <v>5.0000000000000001E-3</v>
      </c>
      <c r="R672" s="159">
        <f>IF($E672="","",(1-Q672)^($F672-Input!$C$20))</f>
        <v>0.75904835082029165</v>
      </c>
      <c r="S672" s="147">
        <f t="shared" si="413"/>
        <v>0.73564840826120381</v>
      </c>
      <c r="T672" s="147">
        <f t="shared" si="414"/>
        <v>0.10494753255533662</v>
      </c>
      <c r="U672" s="160">
        <f>IF($E672="","",IF($C672=12,INDEX(Input!$C$15:$CP$15,1,$B672),0))</f>
        <v>0</v>
      </c>
      <c r="V672" s="150">
        <f>IF(E672="","",IF(C672=1,IF($B672=1,Input!$C$33,Input!$C$34),0))</f>
        <v>0</v>
      </c>
      <c r="W672" s="156">
        <f>IF($E672="","",Input!$C$35)</f>
        <v>0.02</v>
      </c>
      <c r="X672" s="156">
        <f t="shared" si="412"/>
        <v>2.9717306730230932</v>
      </c>
      <c r="Y672" s="154"/>
      <c r="Z672" s="147">
        <f>IF($E672="","",VLOOKUP($D672,'Mortality Margins &amp; Grading'!$AB$5:$AF$125,3,0)*IF(Summary!$D$25="Included Margin",IF(AND($B672&gt;Input!$C$9,Summary!$D$31&lt;&gt;"Included Margin"),0,1),0))</f>
        <v>1.4E-2</v>
      </c>
      <c r="AA672" s="147">
        <f>IF($E672="","",VLOOKUP($D672,'Mortality Margins &amp; Grading'!$AB$5:$AF$125,5,0)*IF(Summary!$D$25="Included Margin",IF(AND($B672&gt;Input!$C$9,Summary!$D$31&lt;&gt;"Included Margin"),0,1),0))</f>
        <v>7.3999999999999996E-2</v>
      </c>
      <c r="AB672" s="147">
        <f>IF($E672="","",IF(AND($B672&gt;Input!$C$9,Summary!$D$31&lt;&gt;"Included Margin"),1,IF(Summary!$D$25="Included Margin",VLOOKUP($B672,'Mortality Margins &amp; Grading'!$AI$5:$AR$125,MATCH('Mortality Margins &amp; Grading'!$AQ$4,'Mortality Margins &amp; Grading'!$AI$4:$AR$4,0),0),1)))</f>
        <v>0</v>
      </c>
      <c r="AC672" s="154"/>
      <c r="AD672" s="158">
        <f>IF(E672="","",Input!$C$48*IF(Summary!$D$30="Included Margin",IF(AND($B672&gt;Input!$C$9,Summary!$D$31&lt;&gt;"Included Margin"),0,1),0))</f>
        <v>-4.4999999999999997E-3</v>
      </c>
      <c r="AE672" s="159">
        <f>IF(E672="","",IF(Summary!$D$26="Included Margin",IF(AND($B672&gt;Input!$C$9,Summary!$D$31&lt;&gt;"Included Margin"),1,1/$R672),1))</f>
        <v>1.3174391314062084</v>
      </c>
      <c r="AF672" s="160">
        <f>IF(E672="","",IF(AND($B672&gt;=Input!$C$9,$C672=12,Summary!$D$31="Included Margin",$U672&gt;0),1/U672-1,IF($B672&gt;=Input!$C$9,0,Input!$C$45*IF(Summary!$D$27="Included Margin",1,0))))</f>
        <v>0</v>
      </c>
      <c r="AG672" s="160">
        <f>IF(E672="","",Input!$C$46*IF(Summary!$D$28="Included Margin",IF(AND($B672&gt;Input!$C$9,Summary!$D$31&lt;&gt;"Included Margin"),0,1),0))</f>
        <v>0.02</v>
      </c>
      <c r="AH672" s="158">
        <f>IF(E672="","",Input!$C$47*IF(Summary!$D$29="Included Margin",IF(AND($B672&gt;Input!$C$9,Summary!$D$31&lt;&gt;"Included Margin"),0,1),0))</f>
        <v>2.5000000000000001E-3</v>
      </c>
      <c r="AI672" s="154"/>
      <c r="AJ672" s="158">
        <f t="shared" si="435"/>
        <v>4.3279999999999999E-2</v>
      </c>
      <c r="AK672" s="155">
        <f t="shared" si="436"/>
        <v>3.537040313086548E-3</v>
      </c>
      <c r="AL672" s="147">
        <f t="shared" si="437"/>
        <v>1</v>
      </c>
      <c r="AM672" s="147">
        <f t="shared" si="415"/>
        <v>1</v>
      </c>
      <c r="AN672" s="160">
        <f t="shared" si="438"/>
        <v>0</v>
      </c>
      <c r="AO672" s="161">
        <f t="shared" si="439"/>
        <v>0</v>
      </c>
      <c r="AP672" s="156">
        <f t="shared" si="416"/>
        <v>3.4000274034065283</v>
      </c>
      <c r="AQ672" s="152"/>
      <c r="AR672" s="162">
        <f t="shared" si="417"/>
        <v>99823.460198542976</v>
      </c>
      <c r="AS672" s="150">
        <f t="shared" si="440"/>
        <v>0</v>
      </c>
      <c r="AT672" s="163">
        <f t="shared" si="418"/>
        <v>0</v>
      </c>
      <c r="AU672" s="163">
        <f t="shared" si="419"/>
        <v>100000</v>
      </c>
      <c r="AV672" s="163">
        <f t="shared" si="441"/>
        <v>176.22758725970962</v>
      </c>
      <c r="AW672" s="163">
        <f t="shared" si="420"/>
        <v>99823.772412740291</v>
      </c>
      <c r="AX672" s="163">
        <f t="shared" si="421"/>
        <v>0</v>
      </c>
      <c r="AY672" s="165">
        <f t="shared" si="442"/>
        <v>99823.460198542976</v>
      </c>
      <c r="AZ672" s="164">
        <f>IF($E672="","",IF(OR(AND($D672=Input!$C$6,$C672=12),$AN672=1),0,-AS673+AT673+AU673-AV673-AW673-AX673+AZ673))</f>
        <v>99823.772412740291</v>
      </c>
      <c r="BA672" s="154">
        <f t="shared" si="422"/>
        <v>0.31221419731446076</v>
      </c>
      <c r="BC672" s="147">
        <f t="shared" si="443"/>
        <v>3.1740258417475019E-8</v>
      </c>
      <c r="BD672" s="164">
        <f>IF(AND($C671=12,$D671=Input!$C$6),0,IF($E672="","",AT672+(AU672+BD673)/(1+$AK672)*MIN((1-AM672-AN672),1)))</f>
        <v>0</v>
      </c>
      <c r="BE672" s="164">
        <f t="shared" si="423"/>
        <v>0</v>
      </c>
      <c r="BF672" s="164">
        <f t="shared" si="444"/>
        <v>99823.772412740291</v>
      </c>
      <c r="BG672" s="164">
        <f t="shared" si="424"/>
        <v>3.1684323325875904E-3</v>
      </c>
      <c r="BH672" s="152"/>
      <c r="BI672" s="162">
        <f t="shared" si="425"/>
        <v>30100.420323755556</v>
      </c>
      <c r="BJ672" s="150">
        <f t="shared" si="426"/>
        <v>0</v>
      </c>
      <c r="BK672" s="163">
        <f t="shared" si="448"/>
        <v>0</v>
      </c>
      <c r="BL672" s="163">
        <f t="shared" si="427"/>
        <v>10494.753255533662</v>
      </c>
      <c r="BM672" s="163">
        <f t="shared" si="449"/>
        <v>96.853400372363794</v>
      </c>
      <c r="BN672" s="163">
        <f t="shared" si="428"/>
        <v>2310.1830977483701</v>
      </c>
      <c r="BO672" s="163">
        <f t="shared" si="429"/>
        <v>0</v>
      </c>
      <c r="BP672" s="164">
        <f t="shared" si="450"/>
        <v>22012.703566342629</v>
      </c>
      <c r="BQ672" s="164">
        <f>IF($E672="","",IF(AND($D672=Input!$C$6,$C672=12),0,-BJ673+BK673+BL673-BM673-BN673-BO673+BQ673))</f>
        <v>22012.743334677823</v>
      </c>
      <c r="BR672" s="161">
        <f t="shared" si="430"/>
        <v>0</v>
      </c>
      <c r="BT672" s="147">
        <f t="shared" si="431"/>
        <v>3.1740258417475019E-8</v>
      </c>
      <c r="BU672" s="164">
        <f>IF(AND($C671=12,$D671=Input!$C$6),0,IF($E672="","",BK672+(BL672+BU673)/(1+$AK672)*MIN((1-T672-U672),1)))</f>
        <v>78734.307055162295</v>
      </c>
      <c r="BV672" s="164">
        <f t="shared" si="432"/>
        <v>2.4990472522516778E-3</v>
      </c>
      <c r="BW672" s="164">
        <f t="shared" si="433"/>
        <v>22012.743334677823</v>
      </c>
      <c r="BX672" s="164">
        <f t="shared" si="434"/>
        <v>6.9869016192022492E-4</v>
      </c>
    </row>
    <row r="673" spans="1:76" s="150" customFormat="1" x14ac:dyDescent="0.25">
      <c r="A673" s="150">
        <f t="shared" si="445"/>
        <v>669</v>
      </c>
      <c r="B673" s="150">
        <f t="shared" si="446"/>
        <v>56</v>
      </c>
      <c r="C673" s="150">
        <f t="shared" si="447"/>
        <v>9</v>
      </c>
      <c r="D673" s="150">
        <f>IF(E673="","",Input!$C$4+B673-1)</f>
        <v>100</v>
      </c>
      <c r="E673" s="150">
        <f>IF(OR(AND(C672=12,D672=Input!$C$6),E672=""),"",1)</f>
        <v>1</v>
      </c>
      <c r="F673" s="150">
        <f>IF(E673="","",Input!$C$8+B673-1)</f>
        <v>2073</v>
      </c>
      <c r="G673" s="151">
        <f>IF(E673="","",MAX(0,Input!$C$9-B673))</f>
        <v>0</v>
      </c>
      <c r="H673" s="152">
        <f>IF(E673="","",Input!$C$3)</f>
        <v>100000</v>
      </c>
      <c r="I673" s="153">
        <f>IF(E673="","",HLOOKUP($B673,Input!$C$13:$BT$14,2))</f>
        <v>862.62049999999999</v>
      </c>
      <c r="J673" s="154"/>
      <c r="K673" s="155">
        <f>IF($E673="","",INDEX(Input!$C$16:$CP$16,1,$B673))</f>
        <v>3.2779999999999997E-2</v>
      </c>
      <c r="L673" s="155">
        <f>IF($E673="","",Input!$C$37)</f>
        <v>1.4999999999999999E-2</v>
      </c>
      <c r="M673" s="155">
        <f t="shared" si="410"/>
        <v>4.7779999999999996E-2</v>
      </c>
      <c r="N673" s="155">
        <f t="shared" si="411"/>
        <v>3.8970438211556324E-3</v>
      </c>
      <c r="O673" s="147">
        <f>IF($E673="","",MIN(VLOOKUP(IF($B673&lt;=Input!$C$7,$B673,26),'Mortality Tables'!$A$41:$CW$67,IF($B673&lt;=Input!$C$7+1,Input!$C$4+2,$D673-Input!$C$7+2),0)*IF(B673&gt;20,Input!$C$22,1)/1000,1))</f>
        <v>0.96917200000000014</v>
      </c>
      <c r="P673" s="147">
        <f>IF($E673="","",MIN(VLOOKUP(IF($B673&lt;=Input!$C$7,$B673,26),'Mortality Tables'!$A$12:$CW$37,IF($B673&lt;=Input!$C$7+1,Input!$C$4+2,$D673-Input!$C$7+2),0)*IF(B673&gt;20,Input!$C$22,1)/1000,1))</f>
        <v>1</v>
      </c>
      <c r="Q673" s="155">
        <f>IF($E673="","",Input!$C$21)</f>
        <v>5.0000000000000001E-3</v>
      </c>
      <c r="R673" s="159">
        <f>IF($E673="","",(1-Q673)^($F673-Input!$C$20))</f>
        <v>0.75904835082029165</v>
      </c>
      <c r="S673" s="147">
        <f t="shared" si="413"/>
        <v>0.73564840826120381</v>
      </c>
      <c r="T673" s="147">
        <f t="shared" si="414"/>
        <v>0.10494753255533662</v>
      </c>
      <c r="U673" s="160">
        <f>IF($E673="","",IF($C673=12,INDEX(Input!$C$15:$CP$15,1,$B673),0))</f>
        <v>0</v>
      </c>
      <c r="V673" s="150">
        <f>IF(E673="","",IF(C673=1,IF($B673=1,Input!$C$33,Input!$C$34),0))</f>
        <v>0</v>
      </c>
      <c r="W673" s="156">
        <f>IF($E673="","",Input!$C$35)</f>
        <v>0.02</v>
      </c>
      <c r="X673" s="156">
        <f t="shared" si="412"/>
        <v>2.9717306730230932</v>
      </c>
      <c r="Y673" s="154"/>
      <c r="Z673" s="147">
        <f>IF($E673="","",VLOOKUP($D673,'Mortality Margins &amp; Grading'!$AB$5:$AF$125,3,0)*IF(Summary!$D$25="Included Margin",IF(AND($B673&gt;Input!$C$9,Summary!$D$31&lt;&gt;"Included Margin"),0,1),0))</f>
        <v>1.4E-2</v>
      </c>
      <c r="AA673" s="147">
        <f>IF($E673="","",VLOOKUP($D673,'Mortality Margins &amp; Grading'!$AB$5:$AF$125,5,0)*IF(Summary!$D$25="Included Margin",IF(AND($B673&gt;Input!$C$9,Summary!$D$31&lt;&gt;"Included Margin"),0,1),0))</f>
        <v>7.3999999999999996E-2</v>
      </c>
      <c r="AB673" s="147">
        <f>IF($E673="","",IF(AND($B673&gt;Input!$C$9,Summary!$D$31&lt;&gt;"Included Margin"),1,IF(Summary!$D$25="Included Margin",VLOOKUP($B673,'Mortality Margins &amp; Grading'!$AI$5:$AR$125,MATCH('Mortality Margins &amp; Grading'!$AQ$4,'Mortality Margins &amp; Grading'!$AI$4:$AR$4,0),0),1)))</f>
        <v>0</v>
      </c>
      <c r="AC673" s="154"/>
      <c r="AD673" s="158">
        <f>IF(E673="","",Input!$C$48*IF(Summary!$D$30="Included Margin",IF(AND($B673&gt;Input!$C$9,Summary!$D$31&lt;&gt;"Included Margin"),0,1),0))</f>
        <v>-4.4999999999999997E-3</v>
      </c>
      <c r="AE673" s="159">
        <f>IF(E673="","",IF(Summary!$D$26="Included Margin",IF(AND($B673&gt;Input!$C$9,Summary!$D$31&lt;&gt;"Included Margin"),1,1/$R673),1))</f>
        <v>1.3174391314062084</v>
      </c>
      <c r="AF673" s="160">
        <f>IF(E673="","",IF(AND($B673&gt;=Input!$C$9,$C673=12,Summary!$D$31="Included Margin",$U673&gt;0),1/U673-1,IF($B673&gt;=Input!$C$9,0,Input!$C$45*IF(Summary!$D$27="Included Margin",1,0))))</f>
        <v>0</v>
      </c>
      <c r="AG673" s="160">
        <f>IF(E673="","",Input!$C$46*IF(Summary!$D$28="Included Margin",IF(AND($B673&gt;Input!$C$9,Summary!$D$31&lt;&gt;"Included Margin"),0,1),0))</f>
        <v>0.02</v>
      </c>
      <c r="AH673" s="158">
        <f>IF(E673="","",Input!$C$47*IF(Summary!$D$29="Included Margin",IF(AND($B673&gt;Input!$C$9,Summary!$D$31&lt;&gt;"Included Margin"),0,1),0))</f>
        <v>2.5000000000000001E-3</v>
      </c>
      <c r="AI673" s="154"/>
      <c r="AJ673" s="158">
        <f t="shared" si="435"/>
        <v>4.3279999999999999E-2</v>
      </c>
      <c r="AK673" s="155">
        <f t="shared" si="436"/>
        <v>3.537040313086548E-3</v>
      </c>
      <c r="AL673" s="147">
        <f t="shared" si="437"/>
        <v>1</v>
      </c>
      <c r="AM673" s="147">
        <f t="shared" si="415"/>
        <v>1</v>
      </c>
      <c r="AN673" s="160">
        <f t="shared" si="438"/>
        <v>0</v>
      </c>
      <c r="AO673" s="161">
        <f t="shared" si="439"/>
        <v>0</v>
      </c>
      <c r="AP673" s="156">
        <f t="shared" si="416"/>
        <v>3.4000274034065283</v>
      </c>
      <c r="AQ673" s="152"/>
      <c r="AR673" s="162">
        <f t="shared" si="417"/>
        <v>99823.460198542976</v>
      </c>
      <c r="AS673" s="150">
        <f t="shared" si="440"/>
        <v>0</v>
      </c>
      <c r="AT673" s="163">
        <f t="shared" si="418"/>
        <v>0</v>
      </c>
      <c r="AU673" s="163">
        <f t="shared" si="419"/>
        <v>100000</v>
      </c>
      <c r="AV673" s="163">
        <f t="shared" si="441"/>
        <v>176.22758725970962</v>
      </c>
      <c r="AW673" s="163">
        <f t="shared" si="420"/>
        <v>99823.772412740291</v>
      </c>
      <c r="AX673" s="163">
        <f t="shared" si="421"/>
        <v>0</v>
      </c>
      <c r="AY673" s="164">
        <f t="shared" si="442"/>
        <v>99823.460198542976</v>
      </c>
      <c r="AZ673" s="164">
        <f>IF($E673="","",IF(OR(AND($D673=Input!$C$6,$C673=12),$AN673=1),0,-AS674+AT674+AU674-AV674-AW674-AX674+AZ674))</f>
        <v>99823.772412740291</v>
      </c>
      <c r="BA673" s="154">
        <f t="shared" si="422"/>
        <v>0.31221419731446076</v>
      </c>
      <c r="BC673" s="147">
        <f t="shared" si="443"/>
        <v>2.8409196613892263E-8</v>
      </c>
      <c r="BD673" s="164">
        <f>IF(AND($C672=12,$D672=Input!$C$6),0,IF($E673="","",AT673+(AU673+BD674)/(1+$AK673)*MIN((1-AM673-AN673),1)))</f>
        <v>0</v>
      </c>
      <c r="BE673" s="164">
        <f t="shared" si="423"/>
        <v>0</v>
      </c>
      <c r="BF673" s="164">
        <f t="shared" si="444"/>
        <v>99823.772412740291</v>
      </c>
      <c r="BG673" s="164">
        <f t="shared" si="424"/>
        <v>2.8359131772139733E-3</v>
      </c>
      <c r="BH673" s="152"/>
      <c r="BI673" s="162">
        <f t="shared" si="425"/>
        <v>22012.703566342629</v>
      </c>
      <c r="BJ673" s="150">
        <f t="shared" si="426"/>
        <v>0</v>
      </c>
      <c r="BK673" s="163">
        <f t="shared" si="448"/>
        <v>0</v>
      </c>
      <c r="BL673" s="163">
        <f t="shared" si="427"/>
        <v>10494.753255533662</v>
      </c>
      <c r="BM673" s="163">
        <f t="shared" si="449"/>
        <v>65.335213755630875</v>
      </c>
      <c r="BN673" s="163">
        <f t="shared" si="428"/>
        <v>1358.1789364217491</v>
      </c>
      <c r="BO673" s="163">
        <f t="shared" si="429"/>
        <v>0</v>
      </c>
      <c r="BP673" s="164">
        <f t="shared" si="450"/>
        <v>12941.464460986346</v>
      </c>
      <c r="BQ673" s="164">
        <f>IF($E673="","",IF(AND($D673=Input!$C$6,$C673=12),0,-BJ674+BK674+BL674-BM674-BN674-BO674+BQ674))</f>
        <v>12941.504229321541</v>
      </c>
      <c r="BR673" s="161">
        <f t="shared" si="430"/>
        <v>0</v>
      </c>
      <c r="BT673" s="147">
        <f t="shared" si="431"/>
        <v>2.8409196613892263E-8</v>
      </c>
      <c r="BU673" s="164">
        <f>IF(AND($C672=12,$D672=Input!$C$6),0,IF($E673="","",BK673+(BL673+BU674)/(1+$AK673)*MIN((1-T673-U673),1)))</f>
        <v>77782.52248766103</v>
      </c>
      <c r="BV673" s="164">
        <f t="shared" si="432"/>
        <v>2.2097389744764584E-3</v>
      </c>
      <c r="BW673" s="164">
        <f t="shared" si="433"/>
        <v>12941.504229321541</v>
      </c>
      <c r="BX673" s="164">
        <f t="shared" si="434"/>
        <v>3.6765773813031394E-4</v>
      </c>
    </row>
    <row r="674" spans="1:76" s="150" customFormat="1" x14ac:dyDescent="0.25">
      <c r="A674" s="150">
        <f t="shared" si="445"/>
        <v>670</v>
      </c>
      <c r="B674" s="150">
        <f t="shared" si="446"/>
        <v>56</v>
      </c>
      <c r="C674" s="150">
        <f t="shared" si="447"/>
        <v>10</v>
      </c>
      <c r="D674" s="150">
        <f>IF(E674="","",Input!$C$4+B674-1)</f>
        <v>100</v>
      </c>
      <c r="E674" s="150">
        <f>IF(OR(AND(C673=12,D673=Input!$C$6),E673=""),"",1)</f>
        <v>1</v>
      </c>
      <c r="F674" s="150">
        <f>IF(E674="","",Input!$C$8+B674-1)</f>
        <v>2073</v>
      </c>
      <c r="G674" s="151">
        <f>IF(E674="","",MAX(0,Input!$C$9-B674))</f>
        <v>0</v>
      </c>
      <c r="H674" s="152">
        <f>IF(E674="","",Input!$C$3)</f>
        <v>100000</v>
      </c>
      <c r="I674" s="153">
        <f>IF(E674="","",HLOOKUP($B674,Input!$C$13:$BT$14,2))</f>
        <v>862.62049999999999</v>
      </c>
      <c r="J674" s="154"/>
      <c r="K674" s="155">
        <f>IF($E674="","",INDEX(Input!$C$16:$CP$16,1,$B674))</f>
        <v>3.2779999999999997E-2</v>
      </c>
      <c r="L674" s="155">
        <f>IF($E674="","",Input!$C$37)</f>
        <v>1.4999999999999999E-2</v>
      </c>
      <c r="M674" s="155">
        <f t="shared" si="410"/>
        <v>4.7779999999999996E-2</v>
      </c>
      <c r="N674" s="155">
        <f t="shared" si="411"/>
        <v>3.8970438211556324E-3</v>
      </c>
      <c r="O674" s="147">
        <f>IF($E674="","",MIN(VLOOKUP(IF($B674&lt;=Input!$C$7,$B674,26),'Mortality Tables'!$A$41:$CW$67,IF($B674&lt;=Input!$C$7+1,Input!$C$4+2,$D674-Input!$C$7+2),0)*IF(B674&gt;20,Input!$C$22,1)/1000,1))</f>
        <v>0.96917200000000014</v>
      </c>
      <c r="P674" s="147">
        <f>IF($E674="","",MIN(VLOOKUP(IF($B674&lt;=Input!$C$7,$B674,26),'Mortality Tables'!$A$12:$CW$37,IF($B674&lt;=Input!$C$7+1,Input!$C$4+2,$D674-Input!$C$7+2),0)*IF(B674&gt;20,Input!$C$22,1)/1000,1))</f>
        <v>1</v>
      </c>
      <c r="Q674" s="155">
        <f>IF($E674="","",Input!$C$21)</f>
        <v>5.0000000000000001E-3</v>
      </c>
      <c r="R674" s="159">
        <f>IF($E674="","",(1-Q674)^($F674-Input!$C$20))</f>
        <v>0.75904835082029165</v>
      </c>
      <c r="S674" s="147">
        <f t="shared" si="413"/>
        <v>0.73564840826120381</v>
      </c>
      <c r="T674" s="147">
        <f t="shared" si="414"/>
        <v>0.10494753255533662</v>
      </c>
      <c r="U674" s="160">
        <f>IF($E674="","",IF($C674=12,INDEX(Input!$C$15:$CP$15,1,$B674),0))</f>
        <v>0</v>
      </c>
      <c r="V674" s="150">
        <f>IF(E674="","",IF(C674=1,IF($B674=1,Input!$C$33,Input!$C$34),0))</f>
        <v>0</v>
      </c>
      <c r="W674" s="156">
        <f>IF($E674="","",Input!$C$35)</f>
        <v>0.02</v>
      </c>
      <c r="X674" s="156">
        <f t="shared" si="412"/>
        <v>2.9717306730230932</v>
      </c>
      <c r="Y674" s="154"/>
      <c r="Z674" s="147">
        <f>IF($E674="","",VLOOKUP($D674,'Mortality Margins &amp; Grading'!$AB$5:$AF$125,3,0)*IF(Summary!$D$25="Included Margin",IF(AND($B674&gt;Input!$C$9,Summary!$D$31&lt;&gt;"Included Margin"),0,1),0))</f>
        <v>1.4E-2</v>
      </c>
      <c r="AA674" s="147">
        <f>IF($E674="","",VLOOKUP($D674,'Mortality Margins &amp; Grading'!$AB$5:$AF$125,5,0)*IF(Summary!$D$25="Included Margin",IF(AND($B674&gt;Input!$C$9,Summary!$D$31&lt;&gt;"Included Margin"),0,1),0))</f>
        <v>7.3999999999999996E-2</v>
      </c>
      <c r="AB674" s="147">
        <f>IF($E674="","",IF(AND($B674&gt;Input!$C$9,Summary!$D$31&lt;&gt;"Included Margin"),1,IF(Summary!$D$25="Included Margin",VLOOKUP($B674,'Mortality Margins &amp; Grading'!$AI$5:$AR$125,MATCH('Mortality Margins &amp; Grading'!$AQ$4,'Mortality Margins &amp; Grading'!$AI$4:$AR$4,0),0),1)))</f>
        <v>0</v>
      </c>
      <c r="AC674" s="154"/>
      <c r="AD674" s="158">
        <f>IF(E674="","",Input!$C$48*IF(Summary!$D$30="Included Margin",IF(AND($B674&gt;Input!$C$9,Summary!$D$31&lt;&gt;"Included Margin"),0,1),0))</f>
        <v>-4.4999999999999997E-3</v>
      </c>
      <c r="AE674" s="159">
        <f>IF(E674="","",IF(Summary!$D$26="Included Margin",IF(AND($B674&gt;Input!$C$9,Summary!$D$31&lt;&gt;"Included Margin"),1,1/$R674),1))</f>
        <v>1.3174391314062084</v>
      </c>
      <c r="AF674" s="160">
        <f>IF(E674="","",IF(AND($B674&gt;=Input!$C$9,$C674=12,Summary!$D$31="Included Margin",$U674&gt;0),1/U674-1,IF($B674&gt;=Input!$C$9,0,Input!$C$45*IF(Summary!$D$27="Included Margin",1,0))))</f>
        <v>0</v>
      </c>
      <c r="AG674" s="160">
        <f>IF(E674="","",Input!$C$46*IF(Summary!$D$28="Included Margin",IF(AND($B674&gt;Input!$C$9,Summary!$D$31&lt;&gt;"Included Margin"),0,1),0))</f>
        <v>0.02</v>
      </c>
      <c r="AH674" s="158">
        <f>IF(E674="","",Input!$C$47*IF(Summary!$D$29="Included Margin",IF(AND($B674&gt;Input!$C$9,Summary!$D$31&lt;&gt;"Included Margin"),0,1),0))</f>
        <v>2.5000000000000001E-3</v>
      </c>
      <c r="AI674" s="154"/>
      <c r="AJ674" s="158">
        <f t="shared" si="435"/>
        <v>4.3279999999999999E-2</v>
      </c>
      <c r="AK674" s="155">
        <f t="shared" si="436"/>
        <v>3.537040313086548E-3</v>
      </c>
      <c r="AL674" s="147">
        <f t="shared" si="437"/>
        <v>1</v>
      </c>
      <c r="AM674" s="147">
        <f t="shared" si="415"/>
        <v>1</v>
      </c>
      <c r="AN674" s="160">
        <f t="shared" si="438"/>
        <v>0</v>
      </c>
      <c r="AO674" s="161">
        <f t="shared" si="439"/>
        <v>0</v>
      </c>
      <c r="AP674" s="156">
        <f t="shared" si="416"/>
        <v>3.4000274034065283</v>
      </c>
      <c r="AQ674" s="152"/>
      <c r="AR674" s="162">
        <f t="shared" si="417"/>
        <v>99823.460198542976</v>
      </c>
      <c r="AS674" s="150">
        <f t="shared" si="440"/>
        <v>0</v>
      </c>
      <c r="AT674" s="163">
        <f t="shared" si="418"/>
        <v>0</v>
      </c>
      <c r="AU674" s="163">
        <f t="shared" si="419"/>
        <v>100000</v>
      </c>
      <c r="AV674" s="163">
        <f t="shared" si="441"/>
        <v>176.22758725970962</v>
      </c>
      <c r="AW674" s="163">
        <f t="shared" si="420"/>
        <v>99823.772412740291</v>
      </c>
      <c r="AX674" s="163">
        <f t="shared" si="421"/>
        <v>0</v>
      </c>
      <c r="AY674" s="165">
        <f t="shared" si="442"/>
        <v>99823.460198542976</v>
      </c>
      <c r="AZ674" s="164">
        <f>IF($E674="","",IF(OR(AND($D674=Input!$C$6,$C674=12),$AN674=1),0,-AS675+AT675+AU675-AV675-AW675-AX675+AZ675))</f>
        <v>99823.772412740291</v>
      </c>
      <c r="BA674" s="154">
        <f t="shared" si="422"/>
        <v>0.31221419731446076</v>
      </c>
      <c r="BC674" s="147">
        <f t="shared" si="443"/>
        <v>2.5427721527384847E-8</v>
      </c>
      <c r="BD674" s="164">
        <f>IF(AND($C673=12,$D673=Input!$C$6),0,IF($E674="","",AT674+(AU674+BD675)/(1+$AK674)*MIN((1-AM674-AN674),1)))</f>
        <v>0</v>
      </c>
      <c r="BE674" s="164">
        <f t="shared" si="423"/>
        <v>0</v>
      </c>
      <c r="BF674" s="164">
        <f t="shared" si="444"/>
        <v>99823.772412740291</v>
      </c>
      <c r="BG674" s="164">
        <f t="shared" si="424"/>
        <v>2.5382910867242018E-3</v>
      </c>
      <c r="BH674" s="152"/>
      <c r="BI674" s="162">
        <f t="shared" si="425"/>
        <v>12941.464460986346</v>
      </c>
      <c r="BJ674" s="150">
        <f t="shared" si="426"/>
        <v>0</v>
      </c>
      <c r="BK674" s="163">
        <f t="shared" si="448"/>
        <v>0</v>
      </c>
      <c r="BL674" s="163">
        <f t="shared" si="427"/>
        <v>10494.753255533662</v>
      </c>
      <c r="BM674" s="163">
        <f t="shared" si="449"/>
        <v>29.984197449876842</v>
      </c>
      <c r="BN674" s="163">
        <f t="shared" si="428"/>
        <v>290.40447847320371</v>
      </c>
      <c r="BO674" s="163">
        <f t="shared" si="429"/>
        <v>0</v>
      </c>
      <c r="BP674" s="164">
        <f t="shared" si="450"/>
        <v>2767.0998813757647</v>
      </c>
      <c r="BQ674" s="164">
        <f>IF($E674="","",IF(AND($D674=Input!$C$6,$C674=12),0,-BJ675+BK675+BL675-BM675-BN675-BO675+BQ675))</f>
        <v>2767.1396497109599</v>
      </c>
      <c r="BR674" s="161">
        <f t="shared" si="430"/>
        <v>0</v>
      </c>
      <c r="BT674" s="147">
        <f t="shared" si="431"/>
        <v>2.5427721527384847E-8</v>
      </c>
      <c r="BU674" s="164">
        <f>IF(AND($C673=12,$D673=Input!$C$6),0,IF($E674="","",BK674+(BL674+BU675)/(1+$AK674)*MIN((1-T674-U674),1)))</f>
        <v>76715.377149675653</v>
      </c>
      <c r="BV674" s="164">
        <f t="shared" si="432"/>
        <v>1.9506972470302551E-3</v>
      </c>
      <c r="BW674" s="164">
        <f t="shared" si="433"/>
        <v>2767.1396497109599</v>
      </c>
      <c r="BX674" s="164">
        <f t="shared" si="434"/>
        <v>7.0362056440235543E-5</v>
      </c>
    </row>
    <row r="675" spans="1:76" s="150" customFormat="1" x14ac:dyDescent="0.25">
      <c r="A675" s="150">
        <f t="shared" si="445"/>
        <v>671</v>
      </c>
      <c r="B675" s="150">
        <f t="shared" si="446"/>
        <v>56</v>
      </c>
      <c r="C675" s="150">
        <f t="shared" si="447"/>
        <v>11</v>
      </c>
      <c r="D675" s="150">
        <f>IF(E675="","",Input!$C$4+B675-1)</f>
        <v>100</v>
      </c>
      <c r="E675" s="150">
        <f>IF(OR(AND(C674=12,D674=Input!$C$6),E674=""),"",1)</f>
        <v>1</v>
      </c>
      <c r="F675" s="150">
        <f>IF(E675="","",Input!$C$8+B675-1)</f>
        <v>2073</v>
      </c>
      <c r="G675" s="151">
        <f>IF(E675="","",MAX(0,Input!$C$9-B675))</f>
        <v>0</v>
      </c>
      <c r="H675" s="152">
        <f>IF(E675="","",Input!$C$3)</f>
        <v>100000</v>
      </c>
      <c r="I675" s="153">
        <f>IF(E675="","",HLOOKUP($B675,Input!$C$13:$BT$14,2))</f>
        <v>862.62049999999999</v>
      </c>
      <c r="J675" s="154"/>
      <c r="K675" s="155">
        <f>IF($E675="","",INDEX(Input!$C$16:$CP$16,1,$B675))</f>
        <v>3.2779999999999997E-2</v>
      </c>
      <c r="L675" s="155">
        <f>IF($E675="","",Input!$C$37)</f>
        <v>1.4999999999999999E-2</v>
      </c>
      <c r="M675" s="155">
        <f t="shared" si="410"/>
        <v>4.7779999999999996E-2</v>
      </c>
      <c r="N675" s="155">
        <f t="shared" si="411"/>
        <v>3.8970438211556324E-3</v>
      </c>
      <c r="O675" s="147">
        <f>IF($E675="","",MIN(VLOOKUP(IF($B675&lt;=Input!$C$7,$B675,26),'Mortality Tables'!$A$41:$CW$67,IF($B675&lt;=Input!$C$7+1,Input!$C$4+2,$D675-Input!$C$7+2),0)*IF(B675&gt;20,Input!$C$22,1)/1000,1))</f>
        <v>0.96917200000000014</v>
      </c>
      <c r="P675" s="147">
        <f>IF($E675="","",MIN(VLOOKUP(IF($B675&lt;=Input!$C$7,$B675,26),'Mortality Tables'!$A$12:$CW$37,IF($B675&lt;=Input!$C$7+1,Input!$C$4+2,$D675-Input!$C$7+2),0)*IF(B675&gt;20,Input!$C$22,1)/1000,1))</f>
        <v>1</v>
      </c>
      <c r="Q675" s="155">
        <f>IF($E675="","",Input!$C$21)</f>
        <v>5.0000000000000001E-3</v>
      </c>
      <c r="R675" s="159">
        <f>IF($E675="","",(1-Q675)^($F675-Input!$C$20))</f>
        <v>0.75904835082029165</v>
      </c>
      <c r="S675" s="147">
        <f t="shared" si="413"/>
        <v>0.73564840826120381</v>
      </c>
      <c r="T675" s="147">
        <f t="shared" si="414"/>
        <v>0.10494753255533662</v>
      </c>
      <c r="U675" s="160">
        <f>IF($E675="","",IF($C675=12,INDEX(Input!$C$15:$CP$15,1,$B675),0))</f>
        <v>0</v>
      </c>
      <c r="V675" s="150">
        <f>IF(E675="","",IF(C675=1,IF($B675=1,Input!$C$33,Input!$C$34),0))</f>
        <v>0</v>
      </c>
      <c r="W675" s="156">
        <f>IF($E675="","",Input!$C$35)</f>
        <v>0.02</v>
      </c>
      <c r="X675" s="156">
        <f t="shared" si="412"/>
        <v>2.9717306730230932</v>
      </c>
      <c r="Y675" s="154"/>
      <c r="Z675" s="147">
        <f>IF($E675="","",VLOOKUP($D675,'Mortality Margins &amp; Grading'!$AB$5:$AF$125,3,0)*IF(Summary!$D$25="Included Margin",IF(AND($B675&gt;Input!$C$9,Summary!$D$31&lt;&gt;"Included Margin"),0,1),0))</f>
        <v>1.4E-2</v>
      </c>
      <c r="AA675" s="147">
        <f>IF($E675="","",VLOOKUP($D675,'Mortality Margins &amp; Grading'!$AB$5:$AF$125,5,0)*IF(Summary!$D$25="Included Margin",IF(AND($B675&gt;Input!$C$9,Summary!$D$31&lt;&gt;"Included Margin"),0,1),0))</f>
        <v>7.3999999999999996E-2</v>
      </c>
      <c r="AB675" s="147">
        <f>IF($E675="","",IF(AND($B675&gt;Input!$C$9,Summary!$D$31&lt;&gt;"Included Margin"),1,IF(Summary!$D$25="Included Margin",VLOOKUP($B675,'Mortality Margins &amp; Grading'!$AI$5:$AR$125,MATCH('Mortality Margins &amp; Grading'!$AQ$4,'Mortality Margins &amp; Grading'!$AI$4:$AR$4,0),0),1)))</f>
        <v>0</v>
      </c>
      <c r="AC675" s="154"/>
      <c r="AD675" s="158">
        <f>IF(E675="","",Input!$C$48*IF(Summary!$D$30="Included Margin",IF(AND($B675&gt;Input!$C$9,Summary!$D$31&lt;&gt;"Included Margin"),0,1),0))</f>
        <v>-4.4999999999999997E-3</v>
      </c>
      <c r="AE675" s="159">
        <f>IF(E675="","",IF(Summary!$D$26="Included Margin",IF(AND($B675&gt;Input!$C$9,Summary!$D$31&lt;&gt;"Included Margin"),1,1/$R675),1))</f>
        <v>1.3174391314062084</v>
      </c>
      <c r="AF675" s="160">
        <f>IF(E675="","",IF(AND($B675&gt;=Input!$C$9,$C675=12,Summary!$D$31="Included Margin",$U675&gt;0),1/U675-1,IF($B675&gt;=Input!$C$9,0,Input!$C$45*IF(Summary!$D$27="Included Margin",1,0))))</f>
        <v>0</v>
      </c>
      <c r="AG675" s="160">
        <f>IF(E675="","",Input!$C$46*IF(Summary!$D$28="Included Margin",IF(AND($B675&gt;Input!$C$9,Summary!$D$31&lt;&gt;"Included Margin"),0,1),0))</f>
        <v>0.02</v>
      </c>
      <c r="AH675" s="158">
        <f>IF(E675="","",Input!$C$47*IF(Summary!$D$29="Included Margin",IF(AND($B675&gt;Input!$C$9,Summary!$D$31&lt;&gt;"Included Margin"),0,1),0))</f>
        <v>2.5000000000000001E-3</v>
      </c>
      <c r="AI675" s="154"/>
      <c r="AJ675" s="158">
        <f t="shared" si="435"/>
        <v>4.3279999999999999E-2</v>
      </c>
      <c r="AK675" s="155">
        <f t="shared" si="436"/>
        <v>3.537040313086548E-3</v>
      </c>
      <c r="AL675" s="147">
        <f t="shared" si="437"/>
        <v>1</v>
      </c>
      <c r="AM675" s="147">
        <f t="shared" si="415"/>
        <v>1</v>
      </c>
      <c r="AN675" s="160">
        <f t="shared" si="438"/>
        <v>0</v>
      </c>
      <c r="AO675" s="161">
        <f t="shared" si="439"/>
        <v>0</v>
      </c>
      <c r="AP675" s="156">
        <f t="shared" si="416"/>
        <v>3.4000274034065283</v>
      </c>
      <c r="AQ675" s="152"/>
      <c r="AR675" s="162">
        <f t="shared" si="417"/>
        <v>99823.460198542976</v>
      </c>
      <c r="AS675" s="150">
        <f t="shared" si="440"/>
        <v>0</v>
      </c>
      <c r="AT675" s="163">
        <f t="shared" si="418"/>
        <v>0</v>
      </c>
      <c r="AU675" s="163">
        <f t="shared" si="419"/>
        <v>100000</v>
      </c>
      <c r="AV675" s="163">
        <f t="shared" si="441"/>
        <v>176.22758725970962</v>
      </c>
      <c r="AW675" s="163">
        <f t="shared" si="420"/>
        <v>99823.772412740291</v>
      </c>
      <c r="AX675" s="163">
        <f t="shared" si="421"/>
        <v>0</v>
      </c>
      <c r="AY675" s="164">
        <f t="shared" si="442"/>
        <v>99823.460198542976</v>
      </c>
      <c r="AZ675" s="164">
        <f>IF($E675="","",IF(OR(AND($D675=Input!$C$6,$C675=12),$AN675=1),0,-AS676+AT676+AU676-AV676-AW676-AX676+AZ676))</f>
        <v>99823.772412740291</v>
      </c>
      <c r="BA675" s="154">
        <f t="shared" si="422"/>
        <v>0.31221419731446076</v>
      </c>
      <c r="BC675" s="147">
        <f t="shared" si="443"/>
        <v>2.275914489458159E-8</v>
      </c>
      <c r="BD675" s="164">
        <f>IF(AND($C674=12,$D674=Input!$C$6),0,IF($E675="","",AT675+(AU675+BD676)/(1+$AK675)*MIN((1-AM675-AN675),1)))</f>
        <v>0</v>
      </c>
      <c r="BE675" s="164">
        <f t="shared" si="423"/>
        <v>0</v>
      </c>
      <c r="BF675" s="164">
        <f t="shared" si="444"/>
        <v>99823.772412740291</v>
      </c>
      <c r="BG675" s="164">
        <f t="shared" si="424"/>
        <v>2.2719037002652928E-3</v>
      </c>
      <c r="BH675" s="152"/>
      <c r="BI675" s="162">
        <f t="shared" si="425"/>
        <v>2767.0998813757642</v>
      </c>
      <c r="BJ675" s="150">
        <f t="shared" si="426"/>
        <v>0</v>
      </c>
      <c r="BK675" s="163">
        <f t="shared" si="448"/>
        <v>0</v>
      </c>
      <c r="BL675" s="163">
        <f t="shared" si="427"/>
        <v>10494.753255533662</v>
      </c>
      <c r="BM675" s="163">
        <f t="shared" si="449"/>
        <v>-9.6657471692793031</v>
      </c>
      <c r="BN675" s="163">
        <f t="shared" si="428"/>
        <v>-907.21874562963797</v>
      </c>
      <c r="BO675" s="163">
        <f t="shared" si="429"/>
        <v>0</v>
      </c>
      <c r="BP675" s="164">
        <f t="shared" si="450"/>
        <v>-8644.5378669568163</v>
      </c>
      <c r="BQ675" s="164">
        <f>IF($E675="","",IF(AND($D675=Input!$C$6,$C675=12),0,-BJ676+BK676+BL676-BM676-BN676-BO676+BQ676))</f>
        <v>-8644.4980986216196</v>
      </c>
      <c r="BR675" s="161">
        <f t="shared" si="430"/>
        <v>0</v>
      </c>
      <c r="BT675" s="147">
        <f t="shared" si="431"/>
        <v>2.275914489458159E-8</v>
      </c>
      <c r="BU675" s="164">
        <f>IF(AND($C674=12,$D674=Input!$C$6),0,IF($E675="","",BK675+(BL675+BU676)/(1+$AK675)*MIN((1-T675-U675),1)))</f>
        <v>75518.888772716935</v>
      </c>
      <c r="BV675" s="164">
        <f t="shared" si="432"/>
        <v>1.7187453318560557E-3</v>
      </c>
      <c r="BW675" s="164">
        <f t="shared" si="433"/>
        <v>-8644.4980986216196</v>
      </c>
      <c r="BX675" s="164">
        <f t="shared" si="434"/>
        <v>-1.967413847674645E-4</v>
      </c>
    </row>
    <row r="676" spans="1:76" s="150" customFormat="1" x14ac:dyDescent="0.25">
      <c r="A676" s="150">
        <f t="shared" si="445"/>
        <v>672</v>
      </c>
      <c r="B676" s="150">
        <f t="shared" si="446"/>
        <v>56</v>
      </c>
      <c r="C676" s="150">
        <f t="shared" si="447"/>
        <v>12</v>
      </c>
      <c r="D676" s="150">
        <f>IF(E676="","",Input!$C$4+B676-1)</f>
        <v>100</v>
      </c>
      <c r="E676" s="150">
        <f>IF(OR(AND(C675=12,D675=Input!$C$6),E675=""),"",1)</f>
        <v>1</v>
      </c>
      <c r="F676" s="150">
        <f>IF(E676="","",Input!$C$8+B676-1)</f>
        <v>2073</v>
      </c>
      <c r="G676" s="151">
        <f>IF(E676="","",MAX(0,Input!$C$9-B676))</f>
        <v>0</v>
      </c>
      <c r="H676" s="152">
        <f>IF(E676="","",Input!$C$3)</f>
        <v>100000</v>
      </c>
      <c r="I676" s="153">
        <f>IF(E676="","",HLOOKUP($B676,Input!$C$13:$BT$14,2))</f>
        <v>862.62049999999999</v>
      </c>
      <c r="J676" s="154"/>
      <c r="K676" s="155">
        <f>IF($E676="","",INDEX(Input!$C$16:$CP$16,1,$B676))</f>
        <v>3.2779999999999997E-2</v>
      </c>
      <c r="L676" s="155">
        <f>IF($E676="","",Input!$C$37)</f>
        <v>1.4999999999999999E-2</v>
      </c>
      <c r="M676" s="155">
        <f t="shared" si="410"/>
        <v>4.7779999999999996E-2</v>
      </c>
      <c r="N676" s="155">
        <f t="shared" si="411"/>
        <v>3.8970438211556324E-3</v>
      </c>
      <c r="O676" s="147">
        <f>IF($E676="","",MIN(VLOOKUP(IF($B676&lt;=Input!$C$7,$B676,26),'Mortality Tables'!$A$41:$CW$67,IF($B676&lt;=Input!$C$7+1,Input!$C$4+2,$D676-Input!$C$7+2),0)*IF(B676&gt;20,Input!$C$22,1)/1000,1))</f>
        <v>0.96917200000000014</v>
      </c>
      <c r="P676" s="147">
        <f>IF($E676="","",MIN(VLOOKUP(IF($B676&lt;=Input!$C$7,$B676,26),'Mortality Tables'!$A$12:$CW$37,IF($B676&lt;=Input!$C$7+1,Input!$C$4+2,$D676-Input!$C$7+2),0)*IF(B676&gt;20,Input!$C$22,1)/1000,1))</f>
        <v>1</v>
      </c>
      <c r="Q676" s="155">
        <f>IF($E676="","",Input!$C$21)</f>
        <v>5.0000000000000001E-3</v>
      </c>
      <c r="R676" s="159">
        <f>IF($E676="","",(1-Q676)^($F676-Input!$C$20))</f>
        <v>0.75904835082029165</v>
      </c>
      <c r="S676" s="147">
        <f t="shared" si="413"/>
        <v>0.73564840826120381</v>
      </c>
      <c r="T676" s="147">
        <f t="shared" si="414"/>
        <v>0.10494753255533662</v>
      </c>
      <c r="U676" s="160">
        <f>IF($E676="","",IF($C676=12,INDEX(Input!$C$15:$CP$15,1,$B676),0))</f>
        <v>0.1</v>
      </c>
      <c r="V676" s="150">
        <f>IF(E676="","",IF(C676=1,IF($B676=1,Input!$C$33,Input!$C$34),0))</f>
        <v>0</v>
      </c>
      <c r="W676" s="156">
        <f>IF($E676="","",Input!$C$35)</f>
        <v>0.02</v>
      </c>
      <c r="X676" s="156">
        <f t="shared" si="412"/>
        <v>2.9717306730230932</v>
      </c>
      <c r="Y676" s="154"/>
      <c r="Z676" s="147">
        <f>IF($E676="","",VLOOKUP($D676,'Mortality Margins &amp; Grading'!$AB$5:$AF$125,3,0)*IF(Summary!$D$25="Included Margin",IF(AND($B676&gt;Input!$C$9,Summary!$D$31&lt;&gt;"Included Margin"),0,1),0))</f>
        <v>1.4E-2</v>
      </c>
      <c r="AA676" s="147">
        <f>IF($E676="","",VLOOKUP($D676,'Mortality Margins &amp; Grading'!$AB$5:$AF$125,5,0)*IF(Summary!$D$25="Included Margin",IF(AND($B676&gt;Input!$C$9,Summary!$D$31&lt;&gt;"Included Margin"),0,1),0))</f>
        <v>7.3999999999999996E-2</v>
      </c>
      <c r="AB676" s="147">
        <f>IF($E676="","",IF(AND($B676&gt;Input!$C$9,Summary!$D$31&lt;&gt;"Included Margin"),1,IF(Summary!$D$25="Included Margin",VLOOKUP($B676,'Mortality Margins &amp; Grading'!$AI$5:$AR$125,MATCH('Mortality Margins &amp; Grading'!$AQ$4,'Mortality Margins &amp; Grading'!$AI$4:$AR$4,0),0),1)))</f>
        <v>0</v>
      </c>
      <c r="AC676" s="154"/>
      <c r="AD676" s="158">
        <f>IF(E676="","",Input!$C$48*IF(Summary!$D$30="Included Margin",IF(AND($B676&gt;Input!$C$9,Summary!$D$31&lt;&gt;"Included Margin"),0,1),0))</f>
        <v>-4.4999999999999997E-3</v>
      </c>
      <c r="AE676" s="159">
        <f>IF(E676="","",IF(Summary!$D$26="Included Margin",IF(AND($B676&gt;Input!$C$9,Summary!$D$31&lt;&gt;"Included Margin"),1,1/$R676),1))</f>
        <v>1.3174391314062084</v>
      </c>
      <c r="AF676" s="160">
        <f>IF(E676="","",IF(AND($B676&gt;=Input!$C$9,$C676=12,Summary!$D$31="Included Margin",$U676&gt;0),1/U676-1,IF($B676&gt;=Input!$C$9,0,Input!$C$45*IF(Summary!$D$27="Included Margin",1,0))))</f>
        <v>9</v>
      </c>
      <c r="AG676" s="160">
        <f>IF(E676="","",Input!$C$46*IF(Summary!$D$28="Included Margin",IF(AND($B676&gt;Input!$C$9,Summary!$D$31&lt;&gt;"Included Margin"),0,1),0))</f>
        <v>0.02</v>
      </c>
      <c r="AH676" s="158">
        <f>IF(E676="","",Input!$C$47*IF(Summary!$D$29="Included Margin",IF(AND($B676&gt;Input!$C$9,Summary!$D$31&lt;&gt;"Included Margin"),0,1),0))</f>
        <v>2.5000000000000001E-3</v>
      </c>
      <c r="AI676" s="154"/>
      <c r="AJ676" s="158">
        <f t="shared" si="435"/>
        <v>4.3279999999999999E-2</v>
      </c>
      <c r="AK676" s="155">
        <f t="shared" si="436"/>
        <v>3.537040313086548E-3</v>
      </c>
      <c r="AL676" s="147">
        <f t="shared" si="437"/>
        <v>1</v>
      </c>
      <c r="AM676" s="147">
        <f t="shared" si="415"/>
        <v>1</v>
      </c>
      <c r="AN676" s="160">
        <f t="shared" si="438"/>
        <v>1</v>
      </c>
      <c r="AO676" s="161">
        <f t="shared" si="439"/>
        <v>0</v>
      </c>
      <c r="AP676" s="156">
        <f t="shared" si="416"/>
        <v>3.4000274034065283</v>
      </c>
      <c r="AQ676" s="152"/>
      <c r="AR676" s="162">
        <f t="shared" si="417"/>
        <v>99823.460198542976</v>
      </c>
      <c r="AS676" s="150">
        <f t="shared" si="440"/>
        <v>0</v>
      </c>
      <c r="AT676" s="163">
        <f t="shared" si="418"/>
        <v>0</v>
      </c>
      <c r="AU676" s="163">
        <f t="shared" si="419"/>
        <v>100000</v>
      </c>
      <c r="AV676" s="163">
        <f t="shared" si="441"/>
        <v>176.22758725970962</v>
      </c>
      <c r="AW676" s="163">
        <f t="shared" si="420"/>
        <v>0</v>
      </c>
      <c r="AX676" s="163">
        <f t="shared" si="421"/>
        <v>0</v>
      </c>
      <c r="AY676" s="165">
        <f t="shared" si="442"/>
        <v>-0.31221419731409128</v>
      </c>
      <c r="AZ676" s="164">
        <f>IF($E676="","",IF(OR(AND($D676=Input!$C$6,$C676=12),$AN676=1),0,-AS677+AT677+AU677-AV677-AW677-AX677+AZ677))</f>
        <v>0</v>
      </c>
      <c r="BA676" s="154">
        <f t="shared" si="422"/>
        <v>0.31221419731409128</v>
      </c>
      <c r="BC676" s="147">
        <f t="shared" si="443"/>
        <v>1.8094714305367708E-8</v>
      </c>
      <c r="BD676" s="164">
        <f>IF(AND($C675=12,$D675=Input!$C$6),0,IF($E676="","",AT676+(AU676+BD677)/(1+$AK676)*MIN((1-AM676-AN676),1)))</f>
        <v>-99824.220636405735</v>
      </c>
      <c r="BE676" s="164">
        <f t="shared" si="423"/>
        <v>-1.8062907531717532E-3</v>
      </c>
      <c r="BF676" s="164">
        <f t="shared" si="444"/>
        <v>0</v>
      </c>
      <c r="BG676" s="164">
        <f t="shared" si="424"/>
        <v>0</v>
      </c>
      <c r="BH676" s="152"/>
      <c r="BI676" s="162">
        <f t="shared" si="425"/>
        <v>-8644.5378669568145</v>
      </c>
      <c r="BJ676" s="150">
        <f t="shared" si="426"/>
        <v>0</v>
      </c>
      <c r="BK676" s="163">
        <f t="shared" si="448"/>
        <v>0</v>
      </c>
      <c r="BL676" s="163">
        <f t="shared" si="427"/>
        <v>10494.753255533662</v>
      </c>
      <c r="BM676" s="163">
        <f t="shared" si="449"/>
        <v>-54.137399545685149</v>
      </c>
      <c r="BN676" s="163">
        <f t="shared" si="428"/>
        <v>-2500.5347164197237</v>
      </c>
      <c r="BO676" s="163">
        <f t="shared" si="429"/>
        <v>-2132.5987504112186</v>
      </c>
      <c r="BP676" s="164">
        <f t="shared" si="450"/>
        <v>-23826.561988867103</v>
      </c>
      <c r="BQ676" s="164">
        <f>IF($E676="","",IF(AND($D676=Input!$C$6,$C676=12),0,-BJ677+BK677+BL677-BM677-BN677-BO677+BQ677))</f>
        <v>-23826.522220531908</v>
      </c>
      <c r="BR676" s="161">
        <f t="shared" si="430"/>
        <v>0</v>
      </c>
      <c r="BT676" s="147">
        <f t="shared" si="431"/>
        <v>1.8094714305367708E-8</v>
      </c>
      <c r="BU676" s="164">
        <f>IF(AND($C675=12,$D675=Input!$C$6),0,IF($E676="","",BK676+(BL676+BU677)/(1+$AK676)*MIN((1-T676-U676),1)))</f>
        <v>74177.380371527703</v>
      </c>
      <c r="BV676" s="164">
        <f t="shared" si="432"/>
        <v>1.3422185057433841E-3</v>
      </c>
      <c r="BW676" s="164">
        <f t="shared" si="433"/>
        <v>-23826.522220531908</v>
      </c>
      <c r="BX676" s="164">
        <f t="shared" si="434"/>
        <v>-4.311341124710203E-4</v>
      </c>
    </row>
    <row r="677" spans="1:76" s="150" customFormat="1" x14ac:dyDescent="0.25">
      <c r="A677" s="150">
        <f t="shared" si="445"/>
        <v>673</v>
      </c>
      <c r="B677" s="150">
        <f t="shared" si="446"/>
        <v>57</v>
      </c>
      <c r="C677" s="150">
        <f t="shared" si="447"/>
        <v>1</v>
      </c>
      <c r="D677" s="150">
        <f>IF(E677="","",Input!$C$4+B677-1)</f>
        <v>101</v>
      </c>
      <c r="E677" s="150">
        <f>IF(OR(AND(C676=12,D676=Input!$C$6),E676=""),"",1)</f>
        <v>1</v>
      </c>
      <c r="F677" s="150">
        <f>IF(E677="","",Input!$C$8+B677-1)</f>
        <v>2074</v>
      </c>
      <c r="G677" s="151">
        <f>IF(E677="","",MAX(0,Input!$C$9-B677))</f>
        <v>0</v>
      </c>
      <c r="H677" s="152">
        <f>IF(E677="","",Input!$C$3)</f>
        <v>100000</v>
      </c>
      <c r="I677" s="153">
        <f>IF(E677="","",HLOOKUP($B677,Input!$C$13:$BT$14,2))</f>
        <v>917.45150000000012</v>
      </c>
      <c r="J677" s="154"/>
      <c r="K677" s="155">
        <f>IF($E677="","",INDEX(Input!$C$16:$CP$16,1,$B677))</f>
        <v>3.2829999999999998E-2</v>
      </c>
      <c r="L677" s="155">
        <f>IF($E677="","",Input!$C$37)</f>
        <v>1.4999999999999999E-2</v>
      </c>
      <c r="M677" s="155">
        <f t="shared" si="410"/>
        <v>4.7829999999999998E-2</v>
      </c>
      <c r="N677" s="155">
        <f t="shared" si="411"/>
        <v>3.901035892835969E-3</v>
      </c>
      <c r="O677" s="147">
        <f>IF($E677="","",MIN(VLOOKUP(IF($B677&lt;=Input!$C$7,$B677,26),'Mortality Tables'!$A$41:$CW$67,IF($B677&lt;=Input!$C$7+1,Input!$C$4+2,$D677-Input!$C$7+2),0)*IF(B677&gt;20,Input!$C$22,1)/1000,1))</f>
        <v>1</v>
      </c>
      <c r="P677" s="147">
        <f>IF($E677="","",MIN(VLOOKUP(IF($B677&lt;=Input!$C$7,$B677,26),'Mortality Tables'!$A$12:$CW$37,IF($B677&lt;=Input!$C$7+1,Input!$C$4+2,$D677-Input!$C$7+2),0)*IF(B677&gt;20,Input!$C$22,1)/1000,1))</f>
        <v>1</v>
      </c>
      <c r="Q677" s="155">
        <f>IF($E677="","",Input!$C$21)</f>
        <v>5.0000000000000001E-3</v>
      </c>
      <c r="R677" s="159">
        <f>IF($E677="","",(1-Q677)^($F677-Input!$C$20))</f>
        <v>0.75525310906619025</v>
      </c>
      <c r="S677" s="147">
        <f t="shared" si="413"/>
        <v>0.75525310906619025</v>
      </c>
      <c r="T677" s="147">
        <f t="shared" si="414"/>
        <v>0.11067650658929817</v>
      </c>
      <c r="U677" s="160">
        <f>IF($E677="","",IF($C677=12,INDEX(Input!$C$15:$CP$15,1,$B677),0))</f>
        <v>0</v>
      </c>
      <c r="V677" s="150">
        <f>IF(E677="","",IF(C677=1,IF($B677=1,Input!$C$33,Input!$C$34),0))</f>
        <v>50</v>
      </c>
      <c r="W677" s="156">
        <f>IF($E677="","",Input!$C$35)</f>
        <v>0.02</v>
      </c>
      <c r="X677" s="156">
        <f t="shared" si="412"/>
        <v>3.0311652864835552</v>
      </c>
      <c r="Y677" s="154"/>
      <c r="Z677" s="147">
        <f>IF($E677="","",VLOOKUP($D677,'Mortality Margins &amp; Grading'!$AB$5:$AF$125,3,0)*IF(Summary!$D$25="Included Margin",IF(AND($B677&gt;Input!$C$9,Summary!$D$31&lt;&gt;"Included Margin"),0,1),0))</f>
        <v>1.4E-2</v>
      </c>
      <c r="AA677" s="147">
        <f>IF($E677="","",VLOOKUP($D677,'Mortality Margins &amp; Grading'!$AB$5:$AF$125,5,0)*IF(Summary!$D$25="Included Margin",IF(AND($B677&gt;Input!$C$9,Summary!$D$31&lt;&gt;"Included Margin"),0,1),0))</f>
        <v>7.3999999999999996E-2</v>
      </c>
      <c r="AB677" s="147">
        <f>IF($E677="","",IF(AND($B677&gt;Input!$C$9,Summary!$D$31&lt;&gt;"Included Margin"),1,IF(Summary!$D$25="Included Margin",VLOOKUP($B677,'Mortality Margins &amp; Grading'!$AI$5:$AR$125,MATCH('Mortality Margins &amp; Grading'!$AQ$4,'Mortality Margins &amp; Grading'!$AI$4:$AR$4,0),0),1)))</f>
        <v>0</v>
      </c>
      <c r="AC677" s="154"/>
      <c r="AD677" s="158">
        <f>IF(E677="","",Input!$C$48*IF(Summary!$D$30="Included Margin",IF(AND($B677&gt;Input!$C$9,Summary!$D$31&lt;&gt;"Included Margin"),0,1),0))</f>
        <v>-4.4999999999999997E-3</v>
      </c>
      <c r="AE677" s="159">
        <f>IF(E677="","",IF(Summary!$D$26="Included Margin",IF(AND($B677&gt;Input!$C$9,Summary!$D$31&lt;&gt;"Included Margin"),1,1/$R677),1))</f>
        <v>1.3240594285489531</v>
      </c>
      <c r="AF677" s="160">
        <f>IF(E677="","",IF(AND($B677&gt;=Input!$C$9,$C677=12,Summary!$D$31="Included Margin",$U677&gt;0),1/U677-1,IF($B677&gt;=Input!$C$9,0,Input!$C$45*IF(Summary!$D$27="Included Margin",1,0))))</f>
        <v>0</v>
      </c>
      <c r="AG677" s="160">
        <f>IF(E677="","",Input!$C$46*IF(Summary!$D$28="Included Margin",IF(AND($B677&gt;Input!$C$9,Summary!$D$31&lt;&gt;"Included Margin"),0,1),0))</f>
        <v>0.02</v>
      </c>
      <c r="AH677" s="158">
        <f>IF(E677="","",Input!$C$47*IF(Summary!$D$29="Included Margin",IF(AND($B677&gt;Input!$C$9,Summary!$D$31&lt;&gt;"Included Margin"),0,1),0))</f>
        <v>2.5000000000000001E-3</v>
      </c>
      <c r="AI677" s="154"/>
      <c r="AJ677" s="158">
        <f t="shared" si="435"/>
        <v>4.333E-2</v>
      </c>
      <c r="AK677" s="155">
        <f t="shared" si="436"/>
        <v>3.5410481657136561E-3</v>
      </c>
      <c r="AL677" s="147">
        <f t="shared" si="437"/>
        <v>1</v>
      </c>
      <c r="AM677" s="147">
        <f t="shared" si="415"/>
        <v>1</v>
      </c>
      <c r="AN677" s="160">
        <f t="shared" si="438"/>
        <v>0</v>
      </c>
      <c r="AO677" s="161">
        <f t="shared" si="439"/>
        <v>51</v>
      </c>
      <c r="AP677" s="156">
        <f t="shared" si="416"/>
        <v>3.4765280199831752</v>
      </c>
      <c r="AQ677" s="152"/>
      <c r="AR677" s="162">
        <f t="shared" si="417"/>
        <v>8255.4134422511797</v>
      </c>
      <c r="AS677" s="150">
        <f t="shared" si="440"/>
        <v>91745.150000000009</v>
      </c>
      <c r="AT677" s="163">
        <f t="shared" si="418"/>
        <v>177.30292901914194</v>
      </c>
      <c r="AU677" s="163">
        <f t="shared" si="419"/>
        <v>100000</v>
      </c>
      <c r="AV677" s="163">
        <f t="shared" si="441"/>
        <v>176.42656525025396</v>
      </c>
      <c r="AW677" s="163">
        <f t="shared" si="420"/>
        <v>99823.573434749749</v>
      </c>
      <c r="AX677" s="163">
        <f t="shared" si="421"/>
        <v>0</v>
      </c>
      <c r="AY677" s="164">
        <f t="shared" si="442"/>
        <v>99823.260513232046</v>
      </c>
      <c r="AZ677" s="164">
        <f>IF($E677="","",IF(OR(AND($D677=Input!$C$6,$C677=12),$AN677=1),0,-AS678+AT678+AU678-AV678-AW678-AX678+AZ678))</f>
        <v>99823.573434749749</v>
      </c>
      <c r="BA677" s="154">
        <f t="shared" si="422"/>
        <v>0.31292151770321652</v>
      </c>
      <c r="BC677" s="147">
        <f t="shared" si="443"/>
        <v>1.6092054538318211E-8</v>
      </c>
      <c r="BD677" s="164">
        <f>IF(AND($C676=12,$D676=Input!$C$6),0,IF($E677="","",AT677+(AU677+BD678)/(1+$AK677)*MIN((1-AM677-AN677),1)))</f>
        <v>177.30292901914194</v>
      </c>
      <c r="BE677" s="164">
        <f t="shared" si="423"/>
        <v>2.8531684035795945E-6</v>
      </c>
      <c r="BF677" s="164">
        <f t="shared" si="444"/>
        <v>99823.573434749749</v>
      </c>
      <c r="BG677" s="164">
        <f t="shared" si="424"/>
        <v>1.6063663879218059E-3</v>
      </c>
      <c r="BH677" s="152"/>
      <c r="BI677" s="162">
        <f t="shared" ref="BI677" si="451">IF($E677="","",(BQ677*(1-$U677)*(1-$T677)/(1+$N677)+BL677/(1+$N677/2)-BJ677+BK677))</f>
        <v>-23826.564245662292</v>
      </c>
      <c r="BJ677" s="150">
        <f t="shared" si="426"/>
        <v>91745.150000000009</v>
      </c>
      <c r="BK677" s="163">
        <f t="shared" si="448"/>
        <v>151.55826432417777</v>
      </c>
      <c r="BL677" s="163">
        <f t="shared" si="427"/>
        <v>11067.650658929817</v>
      </c>
      <c r="BM677" s="163">
        <f t="shared" ref="BM677" si="452">IF($E677="","",(BI677+BJ677-BK677-BL677/2)*$N677)</f>
        <v>242.77395535441718</v>
      </c>
      <c r="BN677" s="163">
        <f t="shared" ref="BN677" si="453">IF($E677="","",BQ677*$T677)</f>
        <v>7086.4685624674321</v>
      </c>
      <c r="BO677" s="163">
        <f t="shared" ref="BO677" si="454">IF($E677="","",$U677*BQ677*(1-$T677))</f>
        <v>0</v>
      </c>
      <c r="BP677" s="164">
        <f t="shared" ref="BP677" si="455">IF($E677="","",BI677+BJ677-BK677-BL677+BM677+BN677+BO677)</f>
        <v>64028.619348905573</v>
      </c>
      <c r="BQ677" s="164">
        <f>IF($E677="","",IF(AND($D677=Input!$C$6,$C677=12),0,-BJ678+BK678+BL678-BM678-BN678-BO678+BQ678))</f>
        <v>64028.661374035953</v>
      </c>
      <c r="BR677" s="161">
        <f t="shared" si="430"/>
        <v>0</v>
      </c>
      <c r="BT677" s="147">
        <f t="shared" si="431"/>
        <v>1.6092054538318211E-8</v>
      </c>
      <c r="BU677" s="164">
        <f>IF(AND($C676=12,$D676=Input!$C$6),0,IF($E677="","",BK677+(BL677+BU678)/(1+$AK677)*MIN((1-T677-U677),1)))</f>
        <v>83133.97164544533</v>
      </c>
      <c r="BV677" s="164">
        <f t="shared" si="432"/>
        <v>1.3377964057055059E-3</v>
      </c>
      <c r="BW677" s="164">
        <f t="shared" si="433"/>
        <v>64028.661374035953</v>
      </c>
      <c r="BX677" s="164">
        <f t="shared" si="434"/>
        <v>1.0303527108464952E-3</v>
      </c>
    </row>
    <row r="678" spans="1:76" s="150" customFormat="1" x14ac:dyDescent="0.25">
      <c r="A678" s="150">
        <f t="shared" si="445"/>
        <v>674</v>
      </c>
      <c r="B678" s="150">
        <f t="shared" si="446"/>
        <v>57</v>
      </c>
      <c r="C678" s="150">
        <f t="shared" si="447"/>
        <v>2</v>
      </c>
      <c r="D678" s="150">
        <f>IF(E678="","",Input!$C$4+B678-1)</f>
        <v>101</v>
      </c>
      <c r="E678" s="150">
        <f>IF(OR(AND(C677=12,D677=Input!$C$6),E677=""),"",1)</f>
        <v>1</v>
      </c>
      <c r="F678" s="150">
        <f>IF(E678="","",Input!$C$8+B678-1)</f>
        <v>2074</v>
      </c>
      <c r="G678" s="151">
        <f>IF(E678="","",MAX(0,Input!$C$9-B678))</f>
        <v>0</v>
      </c>
      <c r="H678" s="152">
        <f>IF(E678="","",Input!$C$3)</f>
        <v>100000</v>
      </c>
      <c r="I678" s="153">
        <f>IF(E678="","",HLOOKUP($B678,Input!$C$13:$BT$14,2))</f>
        <v>917.45150000000012</v>
      </c>
      <c r="J678" s="154"/>
      <c r="K678" s="155">
        <f>IF($E678="","",INDEX(Input!$C$16:$CP$16,1,$B678))</f>
        <v>3.2829999999999998E-2</v>
      </c>
      <c r="L678" s="155">
        <f>IF($E678="","",Input!$C$37)</f>
        <v>1.4999999999999999E-2</v>
      </c>
      <c r="M678" s="155">
        <f t="shared" si="410"/>
        <v>4.7829999999999998E-2</v>
      </c>
      <c r="N678" s="155">
        <f t="shared" si="411"/>
        <v>3.901035892835969E-3</v>
      </c>
      <c r="O678" s="147">
        <f>IF($E678="","",MIN(VLOOKUP(IF($B678&lt;=Input!$C$7,$B678,26),'Mortality Tables'!$A$41:$CW$67,IF($B678&lt;=Input!$C$7+1,Input!$C$4+2,$D678-Input!$C$7+2),0)*IF(B678&gt;20,Input!$C$22,1)/1000,1))</f>
        <v>1</v>
      </c>
      <c r="P678" s="147">
        <f>IF($E678="","",MIN(VLOOKUP(IF($B678&lt;=Input!$C$7,$B678,26),'Mortality Tables'!$A$12:$CW$37,IF($B678&lt;=Input!$C$7+1,Input!$C$4+2,$D678-Input!$C$7+2),0)*IF(B678&gt;20,Input!$C$22,1)/1000,1))</f>
        <v>1</v>
      </c>
      <c r="Q678" s="155">
        <f>IF($E678="","",Input!$C$21)</f>
        <v>5.0000000000000001E-3</v>
      </c>
      <c r="R678" s="159">
        <f>IF($E678="","",(1-Q678)^($F678-Input!$C$20))</f>
        <v>0.75525310906619025</v>
      </c>
      <c r="S678" s="147">
        <f t="shared" si="413"/>
        <v>0.75525310906619025</v>
      </c>
      <c r="T678" s="147">
        <f t="shared" si="414"/>
        <v>0.11067650658929817</v>
      </c>
      <c r="U678" s="160">
        <f>IF($E678="","",IF($C678=12,INDEX(Input!$C$15:$CP$15,1,$B678),0))</f>
        <v>0</v>
      </c>
      <c r="V678" s="150">
        <f>IF(E678="","",IF(C678=1,IF($B678=1,Input!$C$33,Input!$C$34),0))</f>
        <v>0</v>
      </c>
      <c r="W678" s="156">
        <f>IF($E678="","",Input!$C$35)</f>
        <v>0.02</v>
      </c>
      <c r="X678" s="156">
        <f t="shared" si="412"/>
        <v>3.0311652864835552</v>
      </c>
      <c r="Y678" s="154"/>
      <c r="Z678" s="147">
        <f>IF($E678="","",VLOOKUP($D678,'Mortality Margins &amp; Grading'!$AB$5:$AF$125,3,0)*IF(Summary!$D$25="Included Margin",IF(AND($B678&gt;Input!$C$9,Summary!$D$31&lt;&gt;"Included Margin"),0,1),0))</f>
        <v>1.4E-2</v>
      </c>
      <c r="AA678" s="147">
        <f>IF($E678="","",VLOOKUP($D678,'Mortality Margins &amp; Grading'!$AB$5:$AF$125,5,0)*IF(Summary!$D$25="Included Margin",IF(AND($B678&gt;Input!$C$9,Summary!$D$31&lt;&gt;"Included Margin"),0,1),0))</f>
        <v>7.3999999999999996E-2</v>
      </c>
      <c r="AB678" s="147">
        <f>IF($E678="","",IF(AND($B678&gt;Input!$C$9,Summary!$D$31&lt;&gt;"Included Margin"),1,IF(Summary!$D$25="Included Margin",VLOOKUP($B678,'Mortality Margins &amp; Grading'!$AI$5:$AR$125,MATCH('Mortality Margins &amp; Grading'!$AQ$4,'Mortality Margins &amp; Grading'!$AI$4:$AR$4,0),0),1)))</f>
        <v>0</v>
      </c>
      <c r="AC678" s="154"/>
      <c r="AD678" s="158">
        <f>IF(E678="","",Input!$C$48*IF(Summary!$D$30="Included Margin",IF(AND($B678&gt;Input!$C$9,Summary!$D$31&lt;&gt;"Included Margin"),0,1),0))</f>
        <v>-4.4999999999999997E-3</v>
      </c>
      <c r="AE678" s="159">
        <f>IF(E678="","",IF(Summary!$D$26="Included Margin",IF(AND($B678&gt;Input!$C$9,Summary!$D$31&lt;&gt;"Included Margin"),1,1/$R678),1))</f>
        <v>1.3240594285489531</v>
      </c>
      <c r="AF678" s="160">
        <f>IF(E678="","",IF(AND($B678&gt;=Input!$C$9,$C678=12,Summary!$D$31="Included Margin",$U678&gt;0),1/U678-1,IF($B678&gt;=Input!$C$9,0,Input!$C$45*IF(Summary!$D$27="Included Margin",1,0))))</f>
        <v>0</v>
      </c>
      <c r="AG678" s="160">
        <f>IF(E678="","",Input!$C$46*IF(Summary!$D$28="Included Margin",IF(AND($B678&gt;Input!$C$9,Summary!$D$31&lt;&gt;"Included Margin"),0,1),0))</f>
        <v>0.02</v>
      </c>
      <c r="AH678" s="158">
        <f>IF(E678="","",Input!$C$47*IF(Summary!$D$29="Included Margin",IF(AND($B678&gt;Input!$C$9,Summary!$D$31&lt;&gt;"Included Margin"),0,1),0))</f>
        <v>2.5000000000000001E-3</v>
      </c>
      <c r="AI678" s="154"/>
      <c r="AJ678" s="158">
        <f t="shared" si="435"/>
        <v>4.333E-2</v>
      </c>
      <c r="AK678" s="155">
        <f t="shared" si="436"/>
        <v>3.5410481657136561E-3</v>
      </c>
      <c r="AL678" s="147">
        <f t="shared" si="437"/>
        <v>1</v>
      </c>
      <c r="AM678" s="147">
        <f t="shared" si="415"/>
        <v>1</v>
      </c>
      <c r="AN678" s="160">
        <f t="shared" si="438"/>
        <v>0</v>
      </c>
      <c r="AO678" s="161">
        <f t="shared" si="439"/>
        <v>0</v>
      </c>
      <c r="AP678" s="156">
        <f t="shared" si="416"/>
        <v>3.4765280199831752</v>
      </c>
      <c r="AQ678" s="152"/>
      <c r="AR678" s="162">
        <f t="shared" si="417"/>
        <v>99823.260513232046</v>
      </c>
      <c r="AS678" s="150">
        <f t="shared" si="440"/>
        <v>0</v>
      </c>
      <c r="AT678" s="163">
        <f t="shared" si="418"/>
        <v>0</v>
      </c>
      <c r="AU678" s="163">
        <f t="shared" si="419"/>
        <v>100000</v>
      </c>
      <c r="AV678" s="163">
        <f t="shared" si="441"/>
        <v>176.42656525025396</v>
      </c>
      <c r="AW678" s="163">
        <f t="shared" si="420"/>
        <v>99823.573434749749</v>
      </c>
      <c r="AX678" s="163">
        <f t="shared" si="421"/>
        <v>0</v>
      </c>
      <c r="AY678" s="165">
        <f t="shared" si="442"/>
        <v>99823.260513232046</v>
      </c>
      <c r="AZ678" s="164">
        <f>IF($E678="","",IF(OR(AND($D678=Input!$C$6,$C678=12),$AN678=1),0,-AS679+AT679+AU679-AV679-AW679-AX679+AZ679))</f>
        <v>99823.573434749749</v>
      </c>
      <c r="BA678" s="154">
        <f t="shared" si="422"/>
        <v>0.31292151770321652</v>
      </c>
      <c r="BC678" s="147">
        <f t="shared" si="443"/>
        <v>1.4311042158172689E-8</v>
      </c>
      <c r="BD678" s="164">
        <f>IF(AND($C677=12,$D677=Input!$C$6),0,IF($E678="","",AT678+(AU678+BD679)/(1+$AK678)*MIN((1-AM678-AN678),1)))</f>
        <v>0</v>
      </c>
      <c r="BE678" s="164">
        <f t="shared" si="423"/>
        <v>0</v>
      </c>
      <c r="BF678" s="164">
        <f t="shared" si="444"/>
        <v>99823.573434749749</v>
      </c>
      <c r="BG678" s="164">
        <f t="shared" si="424"/>
        <v>1.428579367804151E-3</v>
      </c>
      <c r="BH678" s="152"/>
      <c r="BI678" s="162">
        <f t="shared" si="425"/>
        <v>64028.619348905573</v>
      </c>
      <c r="BJ678" s="150">
        <f t="shared" si="426"/>
        <v>0</v>
      </c>
      <c r="BK678" s="163">
        <f t="shared" si="448"/>
        <v>0</v>
      </c>
      <c r="BL678" s="163">
        <f t="shared" si="427"/>
        <v>11067.650658929817</v>
      </c>
      <c r="BM678" s="163">
        <f t="shared" si="449"/>
        <v>228.1902910138848</v>
      </c>
      <c r="BN678" s="163">
        <f t="shared" si="428"/>
        <v>6619.4078974080867</v>
      </c>
      <c r="BO678" s="163">
        <f t="shared" si="429"/>
        <v>0</v>
      </c>
      <c r="BP678" s="164">
        <f t="shared" si="450"/>
        <v>59808.566878397723</v>
      </c>
      <c r="BQ678" s="164">
        <f>IF($E678="","",IF(AND($D678=Input!$C$6,$C678=12),0,-BJ679+BK679+BL679-BM679-BN679-BO679+BQ679))</f>
        <v>59808.608903528111</v>
      </c>
      <c r="BR678" s="161">
        <f t="shared" si="430"/>
        <v>0</v>
      </c>
      <c r="BT678" s="147">
        <f t="shared" si="431"/>
        <v>1.4311042158172689E-8</v>
      </c>
      <c r="BU678" s="164">
        <f>IF(AND($C677=12,$D677=Input!$C$6),0,IF($E678="","",BK678+(BL678+BU679)/(1+$AK678)*MIN((1-T678-U678),1)))</f>
        <v>82572.356291108925</v>
      </c>
      <c r="BV678" s="164">
        <f t="shared" si="432"/>
        <v>1.1816964719817157E-3</v>
      </c>
      <c r="BW678" s="164">
        <f t="shared" si="433"/>
        <v>59808.608903528111</v>
      </c>
      <c r="BX678" s="164">
        <f t="shared" si="434"/>
        <v>8.5592352344005321E-4</v>
      </c>
    </row>
    <row r="679" spans="1:76" s="150" customFormat="1" x14ac:dyDescent="0.25">
      <c r="A679" s="150">
        <f t="shared" si="445"/>
        <v>675</v>
      </c>
      <c r="B679" s="150">
        <f t="shared" si="446"/>
        <v>57</v>
      </c>
      <c r="C679" s="150">
        <f t="shared" si="447"/>
        <v>3</v>
      </c>
      <c r="D679" s="150">
        <f>IF(E679="","",Input!$C$4+B679-1)</f>
        <v>101</v>
      </c>
      <c r="E679" s="150">
        <f>IF(OR(AND(C678=12,D678=Input!$C$6),E678=""),"",1)</f>
        <v>1</v>
      </c>
      <c r="F679" s="150">
        <f>IF(E679="","",Input!$C$8+B679-1)</f>
        <v>2074</v>
      </c>
      <c r="G679" s="151">
        <f>IF(E679="","",MAX(0,Input!$C$9-B679))</f>
        <v>0</v>
      </c>
      <c r="H679" s="152">
        <f>IF(E679="","",Input!$C$3)</f>
        <v>100000</v>
      </c>
      <c r="I679" s="153">
        <f>IF(E679="","",HLOOKUP($B679,Input!$C$13:$BT$14,2))</f>
        <v>917.45150000000012</v>
      </c>
      <c r="J679" s="154"/>
      <c r="K679" s="155">
        <f>IF($E679="","",INDEX(Input!$C$16:$CP$16,1,$B679))</f>
        <v>3.2829999999999998E-2</v>
      </c>
      <c r="L679" s="155">
        <f>IF($E679="","",Input!$C$37)</f>
        <v>1.4999999999999999E-2</v>
      </c>
      <c r="M679" s="155">
        <f t="shared" si="410"/>
        <v>4.7829999999999998E-2</v>
      </c>
      <c r="N679" s="155">
        <f t="shared" si="411"/>
        <v>3.901035892835969E-3</v>
      </c>
      <c r="O679" s="147">
        <f>IF($E679="","",MIN(VLOOKUP(IF($B679&lt;=Input!$C$7,$B679,26),'Mortality Tables'!$A$41:$CW$67,IF($B679&lt;=Input!$C$7+1,Input!$C$4+2,$D679-Input!$C$7+2),0)*IF(B679&gt;20,Input!$C$22,1)/1000,1))</f>
        <v>1</v>
      </c>
      <c r="P679" s="147">
        <f>IF($E679="","",MIN(VLOOKUP(IF($B679&lt;=Input!$C$7,$B679,26),'Mortality Tables'!$A$12:$CW$37,IF($B679&lt;=Input!$C$7+1,Input!$C$4+2,$D679-Input!$C$7+2),0)*IF(B679&gt;20,Input!$C$22,1)/1000,1))</f>
        <v>1</v>
      </c>
      <c r="Q679" s="155">
        <f>IF($E679="","",Input!$C$21)</f>
        <v>5.0000000000000001E-3</v>
      </c>
      <c r="R679" s="159">
        <f>IF($E679="","",(1-Q679)^($F679-Input!$C$20))</f>
        <v>0.75525310906619025</v>
      </c>
      <c r="S679" s="147">
        <f t="shared" si="413"/>
        <v>0.75525310906619025</v>
      </c>
      <c r="T679" s="147">
        <f t="shared" si="414"/>
        <v>0.11067650658929817</v>
      </c>
      <c r="U679" s="160">
        <f>IF($E679="","",IF($C679=12,INDEX(Input!$C$15:$CP$15,1,$B679),0))</f>
        <v>0</v>
      </c>
      <c r="V679" s="150">
        <f>IF(E679="","",IF(C679=1,IF($B679=1,Input!$C$33,Input!$C$34),0))</f>
        <v>0</v>
      </c>
      <c r="W679" s="156">
        <f>IF($E679="","",Input!$C$35)</f>
        <v>0.02</v>
      </c>
      <c r="X679" s="156">
        <f t="shared" si="412"/>
        <v>3.0311652864835552</v>
      </c>
      <c r="Y679" s="154"/>
      <c r="Z679" s="147">
        <f>IF($E679="","",VLOOKUP($D679,'Mortality Margins &amp; Grading'!$AB$5:$AF$125,3,0)*IF(Summary!$D$25="Included Margin",IF(AND($B679&gt;Input!$C$9,Summary!$D$31&lt;&gt;"Included Margin"),0,1),0))</f>
        <v>1.4E-2</v>
      </c>
      <c r="AA679" s="147">
        <f>IF($E679="","",VLOOKUP($D679,'Mortality Margins &amp; Grading'!$AB$5:$AF$125,5,0)*IF(Summary!$D$25="Included Margin",IF(AND($B679&gt;Input!$C$9,Summary!$D$31&lt;&gt;"Included Margin"),0,1),0))</f>
        <v>7.3999999999999996E-2</v>
      </c>
      <c r="AB679" s="147">
        <f>IF($E679="","",IF(AND($B679&gt;Input!$C$9,Summary!$D$31&lt;&gt;"Included Margin"),1,IF(Summary!$D$25="Included Margin",VLOOKUP($B679,'Mortality Margins &amp; Grading'!$AI$5:$AR$125,MATCH('Mortality Margins &amp; Grading'!$AQ$4,'Mortality Margins &amp; Grading'!$AI$4:$AR$4,0),0),1)))</f>
        <v>0</v>
      </c>
      <c r="AC679" s="154"/>
      <c r="AD679" s="158">
        <f>IF(E679="","",Input!$C$48*IF(Summary!$D$30="Included Margin",IF(AND($B679&gt;Input!$C$9,Summary!$D$31&lt;&gt;"Included Margin"),0,1),0))</f>
        <v>-4.4999999999999997E-3</v>
      </c>
      <c r="AE679" s="159">
        <f>IF(E679="","",IF(Summary!$D$26="Included Margin",IF(AND($B679&gt;Input!$C$9,Summary!$D$31&lt;&gt;"Included Margin"),1,1/$R679),1))</f>
        <v>1.3240594285489531</v>
      </c>
      <c r="AF679" s="160">
        <f>IF(E679="","",IF(AND($B679&gt;=Input!$C$9,$C679=12,Summary!$D$31="Included Margin",$U679&gt;0),1/U679-1,IF($B679&gt;=Input!$C$9,0,Input!$C$45*IF(Summary!$D$27="Included Margin",1,0))))</f>
        <v>0</v>
      </c>
      <c r="AG679" s="160">
        <f>IF(E679="","",Input!$C$46*IF(Summary!$D$28="Included Margin",IF(AND($B679&gt;Input!$C$9,Summary!$D$31&lt;&gt;"Included Margin"),0,1),0))</f>
        <v>0.02</v>
      </c>
      <c r="AH679" s="158">
        <f>IF(E679="","",Input!$C$47*IF(Summary!$D$29="Included Margin",IF(AND($B679&gt;Input!$C$9,Summary!$D$31&lt;&gt;"Included Margin"),0,1),0))</f>
        <v>2.5000000000000001E-3</v>
      </c>
      <c r="AI679" s="154"/>
      <c r="AJ679" s="158">
        <f t="shared" si="435"/>
        <v>4.333E-2</v>
      </c>
      <c r="AK679" s="155">
        <f t="shared" si="436"/>
        <v>3.5410481657136561E-3</v>
      </c>
      <c r="AL679" s="147">
        <f t="shared" si="437"/>
        <v>1</v>
      </c>
      <c r="AM679" s="147">
        <f t="shared" si="415"/>
        <v>1</v>
      </c>
      <c r="AN679" s="160">
        <f t="shared" si="438"/>
        <v>0</v>
      </c>
      <c r="AO679" s="161">
        <f t="shared" si="439"/>
        <v>0</v>
      </c>
      <c r="AP679" s="156">
        <f t="shared" si="416"/>
        <v>3.4765280199831752</v>
      </c>
      <c r="AQ679" s="152"/>
      <c r="AR679" s="162">
        <f t="shared" si="417"/>
        <v>99823.260513232046</v>
      </c>
      <c r="AS679" s="150">
        <f t="shared" si="440"/>
        <v>0</v>
      </c>
      <c r="AT679" s="163">
        <f t="shared" si="418"/>
        <v>0</v>
      </c>
      <c r="AU679" s="163">
        <f t="shared" si="419"/>
        <v>100000</v>
      </c>
      <c r="AV679" s="163">
        <f t="shared" si="441"/>
        <v>176.42656525025396</v>
      </c>
      <c r="AW679" s="163">
        <f t="shared" si="420"/>
        <v>99823.573434749749</v>
      </c>
      <c r="AX679" s="163">
        <f t="shared" si="421"/>
        <v>0</v>
      </c>
      <c r="AY679" s="164">
        <f t="shared" si="442"/>
        <v>99823.260513232046</v>
      </c>
      <c r="AZ679" s="164">
        <f>IF($E679="","",IF(OR(AND($D679=Input!$C$6,$C679=12),$AN679=1),0,-AS680+AT680+AU680-AV680-AW680-AX680+AZ680))</f>
        <v>99823.573434749749</v>
      </c>
      <c r="BA679" s="154">
        <f t="shared" si="422"/>
        <v>0.31292151770321652</v>
      </c>
      <c r="BC679" s="147">
        <f t="shared" si="443"/>
        <v>1.2727146006453967E-8</v>
      </c>
      <c r="BD679" s="164">
        <f>IF(AND($C678=12,$D678=Input!$C$6),0,IF($E679="","",AT679+(AU679+BD680)/(1+$AK679)*MIN((1-AM679-AN679),1)))</f>
        <v>0</v>
      </c>
      <c r="BE679" s="164">
        <f t="shared" si="423"/>
        <v>0</v>
      </c>
      <c r="BF679" s="164">
        <f t="shared" si="444"/>
        <v>99823.573434749749</v>
      </c>
      <c r="BG679" s="164">
        <f t="shared" si="424"/>
        <v>1.2704691939900395E-3</v>
      </c>
      <c r="BH679" s="152"/>
      <c r="BI679" s="162">
        <f t="shared" si="425"/>
        <v>59808.566878397731</v>
      </c>
      <c r="BJ679" s="150">
        <f t="shared" si="426"/>
        <v>0</v>
      </c>
      <c r="BK679" s="163">
        <f t="shared" si="448"/>
        <v>0</v>
      </c>
      <c r="BL679" s="163">
        <f t="shared" si="427"/>
        <v>11067.650658929817</v>
      </c>
      <c r="BM679" s="163">
        <f t="shared" si="449"/>
        <v>211.7277148567826</v>
      </c>
      <c r="BN679" s="163">
        <f t="shared" si="428"/>
        <v>6092.1726574172571</v>
      </c>
      <c r="BO679" s="163">
        <f t="shared" si="429"/>
        <v>0</v>
      </c>
      <c r="BP679" s="164">
        <f t="shared" si="450"/>
        <v>55044.816591741954</v>
      </c>
      <c r="BQ679" s="164">
        <f>IF($E679="","",IF(AND($D679=Input!$C$6,$C679=12),0,-BJ680+BK680+BL680-BM680-BN680-BO680+BQ680))</f>
        <v>55044.858616872334</v>
      </c>
      <c r="BR679" s="161">
        <f t="shared" si="430"/>
        <v>0</v>
      </c>
      <c r="BT679" s="147">
        <f t="shared" si="431"/>
        <v>1.2727146006453967E-8</v>
      </c>
      <c r="BU679" s="164">
        <f>IF(AND($C678=12,$D678=Input!$C$6),0,IF($E679="","",BK679+(BL679+BU680)/(1+$AK679)*MIN((1-T679-U679),1)))</f>
        <v>82109.634767425305</v>
      </c>
      <c r="BV679" s="164">
        <f t="shared" si="432"/>
        <v>1.0450213102216306E-3</v>
      </c>
      <c r="BW679" s="164">
        <f t="shared" si="433"/>
        <v>55044.858616872334</v>
      </c>
      <c r="BX679" s="164">
        <f t="shared" si="434"/>
        <v>7.0056395252154988E-4</v>
      </c>
    </row>
    <row r="680" spans="1:76" s="150" customFormat="1" x14ac:dyDescent="0.25">
      <c r="A680" s="150">
        <f t="shared" si="445"/>
        <v>676</v>
      </c>
      <c r="B680" s="150">
        <f t="shared" si="446"/>
        <v>57</v>
      </c>
      <c r="C680" s="150">
        <f t="shared" si="447"/>
        <v>4</v>
      </c>
      <c r="D680" s="150">
        <f>IF(E680="","",Input!$C$4+B680-1)</f>
        <v>101</v>
      </c>
      <c r="E680" s="150">
        <f>IF(OR(AND(C679=12,D679=Input!$C$6),E679=""),"",1)</f>
        <v>1</v>
      </c>
      <c r="F680" s="150">
        <f>IF(E680="","",Input!$C$8+B680-1)</f>
        <v>2074</v>
      </c>
      <c r="G680" s="151">
        <f>IF(E680="","",MAX(0,Input!$C$9-B680))</f>
        <v>0</v>
      </c>
      <c r="H680" s="152">
        <f>IF(E680="","",Input!$C$3)</f>
        <v>100000</v>
      </c>
      <c r="I680" s="153">
        <f>IF(E680="","",HLOOKUP($B680,Input!$C$13:$BT$14,2))</f>
        <v>917.45150000000012</v>
      </c>
      <c r="J680" s="154"/>
      <c r="K680" s="155">
        <f>IF($E680="","",INDEX(Input!$C$16:$CP$16,1,$B680))</f>
        <v>3.2829999999999998E-2</v>
      </c>
      <c r="L680" s="155">
        <f>IF($E680="","",Input!$C$37)</f>
        <v>1.4999999999999999E-2</v>
      </c>
      <c r="M680" s="155">
        <f t="shared" si="410"/>
        <v>4.7829999999999998E-2</v>
      </c>
      <c r="N680" s="155">
        <f t="shared" si="411"/>
        <v>3.901035892835969E-3</v>
      </c>
      <c r="O680" s="147">
        <f>IF($E680="","",MIN(VLOOKUP(IF($B680&lt;=Input!$C$7,$B680,26),'Mortality Tables'!$A$41:$CW$67,IF($B680&lt;=Input!$C$7+1,Input!$C$4+2,$D680-Input!$C$7+2),0)*IF(B680&gt;20,Input!$C$22,1)/1000,1))</f>
        <v>1</v>
      </c>
      <c r="P680" s="147">
        <f>IF($E680="","",MIN(VLOOKUP(IF($B680&lt;=Input!$C$7,$B680,26),'Mortality Tables'!$A$12:$CW$37,IF($B680&lt;=Input!$C$7+1,Input!$C$4+2,$D680-Input!$C$7+2),0)*IF(B680&gt;20,Input!$C$22,1)/1000,1))</f>
        <v>1</v>
      </c>
      <c r="Q680" s="155">
        <f>IF($E680="","",Input!$C$21)</f>
        <v>5.0000000000000001E-3</v>
      </c>
      <c r="R680" s="159">
        <f>IF($E680="","",(1-Q680)^($F680-Input!$C$20))</f>
        <v>0.75525310906619025</v>
      </c>
      <c r="S680" s="147">
        <f t="shared" si="413"/>
        <v>0.75525310906619025</v>
      </c>
      <c r="T680" s="147">
        <f t="shared" si="414"/>
        <v>0.11067650658929817</v>
      </c>
      <c r="U680" s="160">
        <f>IF($E680="","",IF($C680=12,INDEX(Input!$C$15:$CP$15,1,$B680),0))</f>
        <v>0</v>
      </c>
      <c r="V680" s="150">
        <f>IF(E680="","",IF(C680=1,IF($B680=1,Input!$C$33,Input!$C$34),0))</f>
        <v>0</v>
      </c>
      <c r="W680" s="156">
        <f>IF($E680="","",Input!$C$35)</f>
        <v>0.02</v>
      </c>
      <c r="X680" s="156">
        <f t="shared" si="412"/>
        <v>3.0311652864835552</v>
      </c>
      <c r="Y680" s="154"/>
      <c r="Z680" s="147">
        <f>IF($E680="","",VLOOKUP($D680,'Mortality Margins &amp; Grading'!$AB$5:$AF$125,3,0)*IF(Summary!$D$25="Included Margin",IF(AND($B680&gt;Input!$C$9,Summary!$D$31&lt;&gt;"Included Margin"),0,1),0))</f>
        <v>1.4E-2</v>
      </c>
      <c r="AA680" s="147">
        <f>IF($E680="","",VLOOKUP($D680,'Mortality Margins &amp; Grading'!$AB$5:$AF$125,5,0)*IF(Summary!$D$25="Included Margin",IF(AND($B680&gt;Input!$C$9,Summary!$D$31&lt;&gt;"Included Margin"),0,1),0))</f>
        <v>7.3999999999999996E-2</v>
      </c>
      <c r="AB680" s="147">
        <f>IF($E680="","",IF(AND($B680&gt;Input!$C$9,Summary!$D$31&lt;&gt;"Included Margin"),1,IF(Summary!$D$25="Included Margin",VLOOKUP($B680,'Mortality Margins &amp; Grading'!$AI$5:$AR$125,MATCH('Mortality Margins &amp; Grading'!$AQ$4,'Mortality Margins &amp; Grading'!$AI$4:$AR$4,0),0),1)))</f>
        <v>0</v>
      </c>
      <c r="AC680" s="154"/>
      <c r="AD680" s="158">
        <f>IF(E680="","",Input!$C$48*IF(Summary!$D$30="Included Margin",IF(AND($B680&gt;Input!$C$9,Summary!$D$31&lt;&gt;"Included Margin"),0,1),0))</f>
        <v>-4.4999999999999997E-3</v>
      </c>
      <c r="AE680" s="159">
        <f>IF(E680="","",IF(Summary!$D$26="Included Margin",IF(AND($B680&gt;Input!$C$9,Summary!$D$31&lt;&gt;"Included Margin"),1,1/$R680),1))</f>
        <v>1.3240594285489531</v>
      </c>
      <c r="AF680" s="160">
        <f>IF(E680="","",IF(AND($B680&gt;=Input!$C$9,$C680=12,Summary!$D$31="Included Margin",$U680&gt;0),1/U680-1,IF($B680&gt;=Input!$C$9,0,Input!$C$45*IF(Summary!$D$27="Included Margin",1,0))))</f>
        <v>0</v>
      </c>
      <c r="AG680" s="160">
        <f>IF(E680="","",Input!$C$46*IF(Summary!$D$28="Included Margin",IF(AND($B680&gt;Input!$C$9,Summary!$D$31&lt;&gt;"Included Margin"),0,1),0))</f>
        <v>0.02</v>
      </c>
      <c r="AH680" s="158">
        <f>IF(E680="","",Input!$C$47*IF(Summary!$D$29="Included Margin",IF(AND($B680&gt;Input!$C$9,Summary!$D$31&lt;&gt;"Included Margin"),0,1),0))</f>
        <v>2.5000000000000001E-3</v>
      </c>
      <c r="AI680" s="154"/>
      <c r="AJ680" s="158">
        <f t="shared" si="435"/>
        <v>4.333E-2</v>
      </c>
      <c r="AK680" s="155">
        <f t="shared" si="436"/>
        <v>3.5410481657136561E-3</v>
      </c>
      <c r="AL680" s="147">
        <f t="shared" si="437"/>
        <v>1</v>
      </c>
      <c r="AM680" s="147">
        <f t="shared" si="415"/>
        <v>1</v>
      </c>
      <c r="AN680" s="160">
        <f t="shared" si="438"/>
        <v>0</v>
      </c>
      <c r="AO680" s="161">
        <f t="shared" si="439"/>
        <v>0</v>
      </c>
      <c r="AP680" s="156">
        <f t="shared" si="416"/>
        <v>3.4765280199831752</v>
      </c>
      <c r="AQ680" s="152"/>
      <c r="AR680" s="162">
        <f t="shared" si="417"/>
        <v>99823.260513232046</v>
      </c>
      <c r="AS680" s="150">
        <f t="shared" si="440"/>
        <v>0</v>
      </c>
      <c r="AT680" s="163">
        <f t="shared" si="418"/>
        <v>0</v>
      </c>
      <c r="AU680" s="163">
        <f t="shared" si="419"/>
        <v>100000</v>
      </c>
      <c r="AV680" s="163">
        <f t="shared" si="441"/>
        <v>176.42656525025396</v>
      </c>
      <c r="AW680" s="163">
        <f t="shared" si="420"/>
        <v>99823.573434749749</v>
      </c>
      <c r="AX680" s="163">
        <f t="shared" si="421"/>
        <v>0</v>
      </c>
      <c r="AY680" s="165">
        <f t="shared" si="442"/>
        <v>99823.260513232046</v>
      </c>
      <c r="AZ680" s="164">
        <f>IF($E680="","",IF(OR(AND($D680=Input!$C$6,$C680=12),$AN680=1),0,-AS681+AT681+AU681-AV681-AW681-AX681+AZ681))</f>
        <v>99823.573434749749</v>
      </c>
      <c r="BA680" s="154">
        <f t="shared" si="422"/>
        <v>0.31292151770321652</v>
      </c>
      <c r="BC680" s="147">
        <f t="shared" si="443"/>
        <v>1.1318549947607704E-8</v>
      </c>
      <c r="BD680" s="164">
        <f>IF(AND($C679=12,$D679=Input!$C$6),0,IF($E680="","",AT680+(AU680+BD681)/(1+$AK680)*MIN((1-AM680-AN680),1)))</f>
        <v>0</v>
      </c>
      <c r="BE680" s="164">
        <f t="shared" si="423"/>
        <v>0</v>
      </c>
      <c r="BF680" s="164">
        <f t="shared" si="444"/>
        <v>99823.573434749749</v>
      </c>
      <c r="BG680" s="164">
        <f t="shared" si="424"/>
        <v>1.1298581018699006E-3</v>
      </c>
      <c r="BH680" s="152"/>
      <c r="BI680" s="162">
        <f t="shared" si="425"/>
        <v>55044.816591741954</v>
      </c>
      <c r="BJ680" s="150">
        <f t="shared" si="426"/>
        <v>0</v>
      </c>
      <c r="BK680" s="163">
        <f t="shared" si="448"/>
        <v>0</v>
      </c>
      <c r="BL680" s="163">
        <f t="shared" si="427"/>
        <v>11067.650658929817</v>
      </c>
      <c r="BM680" s="163">
        <f t="shared" si="449"/>
        <v>193.14415400403078</v>
      </c>
      <c r="BN680" s="163">
        <f t="shared" si="428"/>
        <v>5497.0101462413977</v>
      </c>
      <c r="BO680" s="163">
        <f t="shared" si="429"/>
        <v>0</v>
      </c>
      <c r="BP680" s="164">
        <f t="shared" si="450"/>
        <v>49667.320233057566</v>
      </c>
      <c r="BQ680" s="164">
        <f>IF($E680="","",IF(AND($D680=Input!$C$6,$C680=12),0,-BJ681+BK681+BL681-BM681-BN681-BO681+BQ681))</f>
        <v>49667.362258187946</v>
      </c>
      <c r="BR680" s="161">
        <f t="shared" si="430"/>
        <v>0</v>
      </c>
      <c r="BT680" s="147">
        <f t="shared" si="431"/>
        <v>1.1318549947607704E-8</v>
      </c>
      <c r="BU680" s="164">
        <f>IF(AND($C679=12,$D679=Input!$C$6),0,IF($E680="","",BK680+(BL680+BU681)/(1+$AK680)*MIN((1-T680-U680),1)))</f>
        <v>81587.485013902653</v>
      </c>
      <c r="BV680" s="164">
        <f t="shared" si="432"/>
        <v>9.2345202422955224E-4</v>
      </c>
      <c r="BW680" s="164">
        <f t="shared" si="433"/>
        <v>49667.362258187946</v>
      </c>
      <c r="BX680" s="164">
        <f t="shared" si="434"/>
        <v>5.6216252048522605E-4</v>
      </c>
    </row>
    <row r="681" spans="1:76" s="150" customFormat="1" x14ac:dyDescent="0.25">
      <c r="A681" s="150">
        <f t="shared" si="445"/>
        <v>677</v>
      </c>
      <c r="B681" s="150">
        <f t="shared" si="446"/>
        <v>57</v>
      </c>
      <c r="C681" s="150">
        <f t="shared" si="447"/>
        <v>5</v>
      </c>
      <c r="D681" s="150">
        <f>IF(E681="","",Input!$C$4+B681-1)</f>
        <v>101</v>
      </c>
      <c r="E681" s="150">
        <f>IF(OR(AND(C680=12,D680=Input!$C$6),E680=""),"",1)</f>
        <v>1</v>
      </c>
      <c r="F681" s="150">
        <f>IF(E681="","",Input!$C$8+B681-1)</f>
        <v>2074</v>
      </c>
      <c r="G681" s="151">
        <f>IF(E681="","",MAX(0,Input!$C$9-B681))</f>
        <v>0</v>
      </c>
      <c r="H681" s="152">
        <f>IF(E681="","",Input!$C$3)</f>
        <v>100000</v>
      </c>
      <c r="I681" s="153">
        <f>IF(E681="","",HLOOKUP($B681,Input!$C$13:$BT$14,2))</f>
        <v>917.45150000000012</v>
      </c>
      <c r="J681" s="154"/>
      <c r="K681" s="155">
        <f>IF($E681="","",INDEX(Input!$C$16:$CP$16,1,$B681))</f>
        <v>3.2829999999999998E-2</v>
      </c>
      <c r="L681" s="155">
        <f>IF($E681="","",Input!$C$37)</f>
        <v>1.4999999999999999E-2</v>
      </c>
      <c r="M681" s="155">
        <f t="shared" si="410"/>
        <v>4.7829999999999998E-2</v>
      </c>
      <c r="N681" s="155">
        <f t="shared" si="411"/>
        <v>3.901035892835969E-3</v>
      </c>
      <c r="O681" s="147">
        <f>IF($E681="","",MIN(VLOOKUP(IF($B681&lt;=Input!$C$7,$B681,26),'Mortality Tables'!$A$41:$CW$67,IF($B681&lt;=Input!$C$7+1,Input!$C$4+2,$D681-Input!$C$7+2),0)*IF(B681&gt;20,Input!$C$22,1)/1000,1))</f>
        <v>1</v>
      </c>
      <c r="P681" s="147">
        <f>IF($E681="","",MIN(VLOOKUP(IF($B681&lt;=Input!$C$7,$B681,26),'Mortality Tables'!$A$12:$CW$37,IF($B681&lt;=Input!$C$7+1,Input!$C$4+2,$D681-Input!$C$7+2),0)*IF(B681&gt;20,Input!$C$22,1)/1000,1))</f>
        <v>1</v>
      </c>
      <c r="Q681" s="155">
        <f>IF($E681="","",Input!$C$21)</f>
        <v>5.0000000000000001E-3</v>
      </c>
      <c r="R681" s="159">
        <f>IF($E681="","",(1-Q681)^($F681-Input!$C$20))</f>
        <v>0.75525310906619025</v>
      </c>
      <c r="S681" s="147">
        <f t="shared" si="413"/>
        <v>0.75525310906619025</v>
      </c>
      <c r="T681" s="147">
        <f t="shared" si="414"/>
        <v>0.11067650658929817</v>
      </c>
      <c r="U681" s="160">
        <f>IF($E681="","",IF($C681=12,INDEX(Input!$C$15:$CP$15,1,$B681),0))</f>
        <v>0</v>
      </c>
      <c r="V681" s="150">
        <f>IF(E681="","",IF(C681=1,IF($B681=1,Input!$C$33,Input!$C$34),0))</f>
        <v>0</v>
      </c>
      <c r="W681" s="156">
        <f>IF($E681="","",Input!$C$35)</f>
        <v>0.02</v>
      </c>
      <c r="X681" s="156">
        <f t="shared" si="412"/>
        <v>3.0311652864835552</v>
      </c>
      <c r="Y681" s="154"/>
      <c r="Z681" s="147">
        <f>IF($E681="","",VLOOKUP($D681,'Mortality Margins &amp; Grading'!$AB$5:$AF$125,3,0)*IF(Summary!$D$25="Included Margin",IF(AND($B681&gt;Input!$C$9,Summary!$D$31&lt;&gt;"Included Margin"),0,1),0))</f>
        <v>1.4E-2</v>
      </c>
      <c r="AA681" s="147">
        <f>IF($E681="","",VLOOKUP($D681,'Mortality Margins &amp; Grading'!$AB$5:$AF$125,5,0)*IF(Summary!$D$25="Included Margin",IF(AND($B681&gt;Input!$C$9,Summary!$D$31&lt;&gt;"Included Margin"),0,1),0))</f>
        <v>7.3999999999999996E-2</v>
      </c>
      <c r="AB681" s="147">
        <f>IF($E681="","",IF(AND($B681&gt;Input!$C$9,Summary!$D$31&lt;&gt;"Included Margin"),1,IF(Summary!$D$25="Included Margin",VLOOKUP($B681,'Mortality Margins &amp; Grading'!$AI$5:$AR$125,MATCH('Mortality Margins &amp; Grading'!$AQ$4,'Mortality Margins &amp; Grading'!$AI$4:$AR$4,0),0),1)))</f>
        <v>0</v>
      </c>
      <c r="AC681" s="154"/>
      <c r="AD681" s="158">
        <f>IF(E681="","",Input!$C$48*IF(Summary!$D$30="Included Margin",IF(AND($B681&gt;Input!$C$9,Summary!$D$31&lt;&gt;"Included Margin"),0,1),0))</f>
        <v>-4.4999999999999997E-3</v>
      </c>
      <c r="AE681" s="159">
        <f>IF(E681="","",IF(Summary!$D$26="Included Margin",IF(AND($B681&gt;Input!$C$9,Summary!$D$31&lt;&gt;"Included Margin"),1,1/$R681),1))</f>
        <v>1.3240594285489531</v>
      </c>
      <c r="AF681" s="160">
        <f>IF(E681="","",IF(AND($B681&gt;=Input!$C$9,$C681=12,Summary!$D$31="Included Margin",$U681&gt;0),1/U681-1,IF($B681&gt;=Input!$C$9,0,Input!$C$45*IF(Summary!$D$27="Included Margin",1,0))))</f>
        <v>0</v>
      </c>
      <c r="AG681" s="160">
        <f>IF(E681="","",Input!$C$46*IF(Summary!$D$28="Included Margin",IF(AND($B681&gt;Input!$C$9,Summary!$D$31&lt;&gt;"Included Margin"),0,1),0))</f>
        <v>0.02</v>
      </c>
      <c r="AH681" s="158">
        <f>IF(E681="","",Input!$C$47*IF(Summary!$D$29="Included Margin",IF(AND($B681&gt;Input!$C$9,Summary!$D$31&lt;&gt;"Included Margin"),0,1),0))</f>
        <v>2.5000000000000001E-3</v>
      </c>
      <c r="AI681" s="154"/>
      <c r="AJ681" s="158">
        <f t="shared" si="435"/>
        <v>4.333E-2</v>
      </c>
      <c r="AK681" s="155">
        <f t="shared" si="436"/>
        <v>3.5410481657136561E-3</v>
      </c>
      <c r="AL681" s="147">
        <f t="shared" si="437"/>
        <v>1</v>
      </c>
      <c r="AM681" s="147">
        <f t="shared" si="415"/>
        <v>1</v>
      </c>
      <c r="AN681" s="160">
        <f t="shared" si="438"/>
        <v>0</v>
      </c>
      <c r="AO681" s="161">
        <f t="shared" si="439"/>
        <v>0</v>
      </c>
      <c r="AP681" s="156">
        <f t="shared" si="416"/>
        <v>3.4765280199831752</v>
      </c>
      <c r="AQ681" s="152"/>
      <c r="AR681" s="162">
        <f t="shared" si="417"/>
        <v>99823.260513232046</v>
      </c>
      <c r="AS681" s="150">
        <f t="shared" si="440"/>
        <v>0</v>
      </c>
      <c r="AT681" s="163">
        <f t="shared" si="418"/>
        <v>0</v>
      </c>
      <c r="AU681" s="163">
        <f t="shared" si="419"/>
        <v>100000</v>
      </c>
      <c r="AV681" s="163">
        <f t="shared" si="441"/>
        <v>176.42656525025396</v>
      </c>
      <c r="AW681" s="163">
        <f t="shared" si="420"/>
        <v>99823.573434749749</v>
      </c>
      <c r="AX681" s="163">
        <f t="shared" si="421"/>
        <v>0</v>
      </c>
      <c r="AY681" s="164">
        <f t="shared" si="442"/>
        <v>99823.260513232046</v>
      </c>
      <c r="AZ681" s="164">
        <f>IF($E681="","",IF(OR(AND($D681=Input!$C$6,$C681=12),$AN681=1),0,-AS682+AT682+AU682-AV682-AW682-AX682+AZ682))</f>
        <v>99823.573434749749</v>
      </c>
      <c r="BA681" s="154">
        <f t="shared" si="422"/>
        <v>0.31292151770321652</v>
      </c>
      <c r="BC681" s="147">
        <f t="shared" si="443"/>
        <v>1.006585237975E-8</v>
      </c>
      <c r="BD681" s="164">
        <f>IF(AND($C680=12,$D680=Input!$C$6),0,IF($E681="","",AT681+(AU681+BD682)/(1+$AK681)*MIN((1-AM681-AN681),1)))</f>
        <v>0</v>
      </c>
      <c r="BE681" s="164">
        <f t="shared" si="423"/>
        <v>0</v>
      </c>
      <c r="BF681" s="164">
        <f t="shared" si="444"/>
        <v>99823.573434749749</v>
      </c>
      <c r="BG681" s="164">
        <f t="shared" si="424"/>
        <v>1.0048093542133246E-3</v>
      </c>
      <c r="BH681" s="152"/>
      <c r="BI681" s="162">
        <f t="shared" si="425"/>
        <v>49667.320233057559</v>
      </c>
      <c r="BJ681" s="150">
        <f t="shared" si="426"/>
        <v>0</v>
      </c>
      <c r="BK681" s="163">
        <f t="shared" si="448"/>
        <v>0</v>
      </c>
      <c r="BL681" s="163">
        <f t="shared" si="427"/>
        <v>11067.650658929817</v>
      </c>
      <c r="BM681" s="163">
        <f t="shared" si="449"/>
        <v>172.16634769520823</v>
      </c>
      <c r="BN681" s="163">
        <f t="shared" si="428"/>
        <v>4825.1688354911585</v>
      </c>
      <c r="BO681" s="163">
        <f t="shared" si="429"/>
        <v>0</v>
      </c>
      <c r="BP681" s="164">
        <f t="shared" si="450"/>
        <v>43597.004757314113</v>
      </c>
      <c r="BQ681" s="164">
        <f>IF($E681="","",IF(AND($D681=Input!$C$6,$C681=12),0,-BJ682+BK682+BL682-BM682-BN682-BO682+BQ682))</f>
        <v>43597.046782444493</v>
      </c>
      <c r="BR681" s="161">
        <f t="shared" si="430"/>
        <v>0</v>
      </c>
      <c r="BT681" s="147">
        <f t="shared" si="431"/>
        <v>1.006585237975E-8</v>
      </c>
      <c r="BU681" s="164">
        <f>IF(AND($C680=12,$D680=Input!$C$6),0,IF($E681="","",BK681+(BL681+BU682)/(1+$AK681)*MIN((1-T681-U681),1)))</f>
        <v>80998.27454680932</v>
      </c>
      <c r="BV681" s="164">
        <f t="shared" si="432"/>
        <v>8.1531667460264443E-4</v>
      </c>
      <c r="BW681" s="164">
        <f t="shared" si="433"/>
        <v>43597.046782444493</v>
      </c>
      <c r="BX681" s="164">
        <f t="shared" si="434"/>
        <v>4.3884143710514096E-4</v>
      </c>
    </row>
    <row r="682" spans="1:76" s="150" customFormat="1" x14ac:dyDescent="0.25">
      <c r="A682" s="150">
        <f t="shared" si="445"/>
        <v>678</v>
      </c>
      <c r="B682" s="150">
        <f t="shared" si="446"/>
        <v>57</v>
      </c>
      <c r="C682" s="150">
        <f t="shared" si="447"/>
        <v>6</v>
      </c>
      <c r="D682" s="150">
        <f>IF(E682="","",Input!$C$4+B682-1)</f>
        <v>101</v>
      </c>
      <c r="E682" s="150">
        <f>IF(OR(AND(C681=12,D681=Input!$C$6),E681=""),"",1)</f>
        <v>1</v>
      </c>
      <c r="F682" s="150">
        <f>IF(E682="","",Input!$C$8+B682-1)</f>
        <v>2074</v>
      </c>
      <c r="G682" s="151">
        <f>IF(E682="","",MAX(0,Input!$C$9-B682))</f>
        <v>0</v>
      </c>
      <c r="H682" s="152">
        <f>IF(E682="","",Input!$C$3)</f>
        <v>100000</v>
      </c>
      <c r="I682" s="153">
        <f>IF(E682="","",HLOOKUP($B682,Input!$C$13:$BT$14,2))</f>
        <v>917.45150000000012</v>
      </c>
      <c r="J682" s="154"/>
      <c r="K682" s="155">
        <f>IF($E682="","",INDEX(Input!$C$16:$CP$16,1,$B682))</f>
        <v>3.2829999999999998E-2</v>
      </c>
      <c r="L682" s="155">
        <f>IF($E682="","",Input!$C$37)</f>
        <v>1.4999999999999999E-2</v>
      </c>
      <c r="M682" s="155">
        <f t="shared" si="410"/>
        <v>4.7829999999999998E-2</v>
      </c>
      <c r="N682" s="155">
        <f t="shared" si="411"/>
        <v>3.901035892835969E-3</v>
      </c>
      <c r="O682" s="147">
        <f>IF($E682="","",MIN(VLOOKUP(IF($B682&lt;=Input!$C$7,$B682,26),'Mortality Tables'!$A$41:$CW$67,IF($B682&lt;=Input!$C$7+1,Input!$C$4+2,$D682-Input!$C$7+2),0)*IF(B682&gt;20,Input!$C$22,1)/1000,1))</f>
        <v>1</v>
      </c>
      <c r="P682" s="147">
        <f>IF($E682="","",MIN(VLOOKUP(IF($B682&lt;=Input!$C$7,$B682,26),'Mortality Tables'!$A$12:$CW$37,IF($B682&lt;=Input!$C$7+1,Input!$C$4+2,$D682-Input!$C$7+2),0)*IF(B682&gt;20,Input!$C$22,1)/1000,1))</f>
        <v>1</v>
      </c>
      <c r="Q682" s="155">
        <f>IF($E682="","",Input!$C$21)</f>
        <v>5.0000000000000001E-3</v>
      </c>
      <c r="R682" s="159">
        <f>IF($E682="","",(1-Q682)^($F682-Input!$C$20))</f>
        <v>0.75525310906619025</v>
      </c>
      <c r="S682" s="147">
        <f t="shared" si="413"/>
        <v>0.75525310906619025</v>
      </c>
      <c r="T682" s="147">
        <f t="shared" si="414"/>
        <v>0.11067650658929817</v>
      </c>
      <c r="U682" s="160">
        <f>IF($E682="","",IF($C682=12,INDEX(Input!$C$15:$CP$15,1,$B682),0))</f>
        <v>0</v>
      </c>
      <c r="V682" s="150">
        <f>IF(E682="","",IF(C682=1,IF($B682=1,Input!$C$33,Input!$C$34),0))</f>
        <v>0</v>
      </c>
      <c r="W682" s="156">
        <f>IF($E682="","",Input!$C$35)</f>
        <v>0.02</v>
      </c>
      <c r="X682" s="156">
        <f t="shared" si="412"/>
        <v>3.0311652864835552</v>
      </c>
      <c r="Y682" s="154"/>
      <c r="Z682" s="147">
        <f>IF($E682="","",VLOOKUP($D682,'Mortality Margins &amp; Grading'!$AB$5:$AF$125,3,0)*IF(Summary!$D$25="Included Margin",IF(AND($B682&gt;Input!$C$9,Summary!$D$31&lt;&gt;"Included Margin"),0,1),0))</f>
        <v>1.4E-2</v>
      </c>
      <c r="AA682" s="147">
        <f>IF($E682="","",VLOOKUP($D682,'Mortality Margins &amp; Grading'!$AB$5:$AF$125,5,0)*IF(Summary!$D$25="Included Margin",IF(AND($B682&gt;Input!$C$9,Summary!$D$31&lt;&gt;"Included Margin"),0,1),0))</f>
        <v>7.3999999999999996E-2</v>
      </c>
      <c r="AB682" s="147">
        <f>IF($E682="","",IF(AND($B682&gt;Input!$C$9,Summary!$D$31&lt;&gt;"Included Margin"),1,IF(Summary!$D$25="Included Margin",VLOOKUP($B682,'Mortality Margins &amp; Grading'!$AI$5:$AR$125,MATCH('Mortality Margins &amp; Grading'!$AQ$4,'Mortality Margins &amp; Grading'!$AI$4:$AR$4,0),0),1)))</f>
        <v>0</v>
      </c>
      <c r="AC682" s="154"/>
      <c r="AD682" s="158">
        <f>IF(E682="","",Input!$C$48*IF(Summary!$D$30="Included Margin",IF(AND($B682&gt;Input!$C$9,Summary!$D$31&lt;&gt;"Included Margin"),0,1),0))</f>
        <v>-4.4999999999999997E-3</v>
      </c>
      <c r="AE682" s="159">
        <f>IF(E682="","",IF(Summary!$D$26="Included Margin",IF(AND($B682&gt;Input!$C$9,Summary!$D$31&lt;&gt;"Included Margin"),1,1/$R682),1))</f>
        <v>1.3240594285489531</v>
      </c>
      <c r="AF682" s="160">
        <f>IF(E682="","",IF(AND($B682&gt;=Input!$C$9,$C682=12,Summary!$D$31="Included Margin",$U682&gt;0),1/U682-1,IF($B682&gt;=Input!$C$9,0,Input!$C$45*IF(Summary!$D$27="Included Margin",1,0))))</f>
        <v>0</v>
      </c>
      <c r="AG682" s="160">
        <f>IF(E682="","",Input!$C$46*IF(Summary!$D$28="Included Margin",IF(AND($B682&gt;Input!$C$9,Summary!$D$31&lt;&gt;"Included Margin"),0,1),0))</f>
        <v>0.02</v>
      </c>
      <c r="AH682" s="158">
        <f>IF(E682="","",Input!$C$47*IF(Summary!$D$29="Included Margin",IF(AND($B682&gt;Input!$C$9,Summary!$D$31&lt;&gt;"Included Margin"),0,1),0))</f>
        <v>2.5000000000000001E-3</v>
      </c>
      <c r="AI682" s="154"/>
      <c r="AJ682" s="158">
        <f t="shared" si="435"/>
        <v>4.333E-2</v>
      </c>
      <c r="AK682" s="155">
        <f t="shared" si="436"/>
        <v>3.5410481657136561E-3</v>
      </c>
      <c r="AL682" s="147">
        <f t="shared" si="437"/>
        <v>1</v>
      </c>
      <c r="AM682" s="147">
        <f t="shared" si="415"/>
        <v>1</v>
      </c>
      <c r="AN682" s="160">
        <f t="shared" si="438"/>
        <v>0</v>
      </c>
      <c r="AO682" s="161">
        <f t="shared" si="439"/>
        <v>0</v>
      </c>
      <c r="AP682" s="156">
        <f t="shared" si="416"/>
        <v>3.4765280199831752</v>
      </c>
      <c r="AQ682" s="152"/>
      <c r="AR682" s="162">
        <f t="shared" si="417"/>
        <v>99823.260513232046</v>
      </c>
      <c r="AS682" s="150">
        <f t="shared" si="440"/>
        <v>0</v>
      </c>
      <c r="AT682" s="163">
        <f t="shared" si="418"/>
        <v>0</v>
      </c>
      <c r="AU682" s="163">
        <f t="shared" si="419"/>
        <v>100000</v>
      </c>
      <c r="AV682" s="163">
        <f t="shared" si="441"/>
        <v>176.42656525025396</v>
      </c>
      <c r="AW682" s="163">
        <f t="shared" si="420"/>
        <v>99823.573434749749</v>
      </c>
      <c r="AX682" s="163">
        <f t="shared" si="421"/>
        <v>0</v>
      </c>
      <c r="AY682" s="165">
        <f t="shared" si="442"/>
        <v>99823.260513232046</v>
      </c>
      <c r="AZ682" s="164">
        <f>IF($E682="","",IF(OR(AND($D682=Input!$C$6,$C682=12),$AN682=1),0,-AS683+AT683+AU683-AV683-AW683-AX683+AZ683))</f>
        <v>99823.573434749749</v>
      </c>
      <c r="BA682" s="154">
        <f t="shared" si="422"/>
        <v>0.31292151770321652</v>
      </c>
      <c r="BC682" s="147">
        <f t="shared" si="443"/>
        <v>8.9517990025156963E-9</v>
      </c>
      <c r="BD682" s="164">
        <f>IF(AND($C681=12,$D681=Input!$C$6),0,IF($E682="","",AT682+(AU682+BD683)/(1+$AK682)*MIN((1-AM682-AN682),1)))</f>
        <v>0</v>
      </c>
      <c r="BE682" s="164">
        <f t="shared" si="423"/>
        <v>0</v>
      </c>
      <c r="BF682" s="164">
        <f t="shared" si="444"/>
        <v>99823.573434749749</v>
      </c>
      <c r="BG682" s="164">
        <f t="shared" si="424"/>
        <v>8.9360056510074521E-4</v>
      </c>
      <c r="BH682" s="152"/>
      <c r="BI682" s="162">
        <f t="shared" si="425"/>
        <v>43597.004757314106</v>
      </c>
      <c r="BJ682" s="150">
        <f t="shared" si="426"/>
        <v>0</v>
      </c>
      <c r="BK682" s="163">
        <f t="shared" si="448"/>
        <v>0</v>
      </c>
      <c r="BL682" s="163">
        <f t="shared" si="427"/>
        <v>11067.650658929817</v>
      </c>
      <c r="BM682" s="163">
        <f t="shared" si="449"/>
        <v>148.48582914349538</v>
      </c>
      <c r="BN682" s="163">
        <f t="shared" si="428"/>
        <v>4066.7696783620786</v>
      </c>
      <c r="BO682" s="163">
        <f t="shared" si="429"/>
        <v>0</v>
      </c>
      <c r="BP682" s="164">
        <f t="shared" si="450"/>
        <v>36744.609605889862</v>
      </c>
      <c r="BQ682" s="164">
        <f>IF($E682="","",IF(AND($D682=Input!$C$6,$C682=12),0,-BJ683+BK683+BL683-BM683-BN683-BO683+BQ683))</f>
        <v>36744.65163102025</v>
      </c>
      <c r="BR682" s="161">
        <f t="shared" si="430"/>
        <v>0</v>
      </c>
      <c r="BT682" s="147">
        <f t="shared" si="431"/>
        <v>8.9517990025156963E-9</v>
      </c>
      <c r="BU682" s="164">
        <f>IF(AND($C681=12,$D681=Input!$C$6),0,IF($E682="","",BK682+(BL682+BU683)/(1+$AK682)*MIN((1-T682-U682),1)))</f>
        <v>80333.390627607616</v>
      </c>
      <c r="BV682" s="164">
        <f t="shared" si="432"/>
        <v>7.1912836608892163E-4</v>
      </c>
      <c r="BW682" s="164">
        <f t="shared" si="433"/>
        <v>36744.65163102025</v>
      </c>
      <c r="BX682" s="164">
        <f t="shared" si="434"/>
        <v>3.2893073581835385E-4</v>
      </c>
    </row>
    <row r="683" spans="1:76" s="150" customFormat="1" x14ac:dyDescent="0.25">
      <c r="A683" s="150">
        <f t="shared" si="445"/>
        <v>679</v>
      </c>
      <c r="B683" s="150">
        <f t="shared" si="446"/>
        <v>57</v>
      </c>
      <c r="C683" s="150">
        <f t="shared" si="447"/>
        <v>7</v>
      </c>
      <c r="D683" s="150">
        <f>IF(E683="","",Input!$C$4+B683-1)</f>
        <v>101</v>
      </c>
      <c r="E683" s="150">
        <f>IF(OR(AND(C682=12,D682=Input!$C$6),E682=""),"",1)</f>
        <v>1</v>
      </c>
      <c r="F683" s="150">
        <f>IF(E683="","",Input!$C$8+B683-1)</f>
        <v>2074</v>
      </c>
      <c r="G683" s="151">
        <f>IF(E683="","",MAX(0,Input!$C$9-B683))</f>
        <v>0</v>
      </c>
      <c r="H683" s="152">
        <f>IF(E683="","",Input!$C$3)</f>
        <v>100000</v>
      </c>
      <c r="I683" s="153">
        <f>IF(E683="","",HLOOKUP($B683,Input!$C$13:$BT$14,2))</f>
        <v>917.45150000000012</v>
      </c>
      <c r="J683" s="154"/>
      <c r="K683" s="155">
        <f>IF($E683="","",INDEX(Input!$C$16:$CP$16,1,$B683))</f>
        <v>3.2829999999999998E-2</v>
      </c>
      <c r="L683" s="155">
        <f>IF($E683="","",Input!$C$37)</f>
        <v>1.4999999999999999E-2</v>
      </c>
      <c r="M683" s="155">
        <f t="shared" si="410"/>
        <v>4.7829999999999998E-2</v>
      </c>
      <c r="N683" s="155">
        <f t="shared" si="411"/>
        <v>3.901035892835969E-3</v>
      </c>
      <c r="O683" s="147">
        <f>IF($E683="","",MIN(VLOOKUP(IF($B683&lt;=Input!$C$7,$B683,26),'Mortality Tables'!$A$41:$CW$67,IF($B683&lt;=Input!$C$7+1,Input!$C$4+2,$D683-Input!$C$7+2),0)*IF(B683&gt;20,Input!$C$22,1)/1000,1))</f>
        <v>1</v>
      </c>
      <c r="P683" s="147">
        <f>IF($E683="","",MIN(VLOOKUP(IF($B683&lt;=Input!$C$7,$B683,26),'Mortality Tables'!$A$12:$CW$37,IF($B683&lt;=Input!$C$7+1,Input!$C$4+2,$D683-Input!$C$7+2),0)*IF(B683&gt;20,Input!$C$22,1)/1000,1))</f>
        <v>1</v>
      </c>
      <c r="Q683" s="155">
        <f>IF($E683="","",Input!$C$21)</f>
        <v>5.0000000000000001E-3</v>
      </c>
      <c r="R683" s="159">
        <f>IF($E683="","",(1-Q683)^($F683-Input!$C$20))</f>
        <v>0.75525310906619025</v>
      </c>
      <c r="S683" s="147">
        <f t="shared" si="413"/>
        <v>0.75525310906619025</v>
      </c>
      <c r="T683" s="147">
        <f t="shared" si="414"/>
        <v>0.11067650658929817</v>
      </c>
      <c r="U683" s="160">
        <f>IF($E683="","",IF($C683=12,INDEX(Input!$C$15:$CP$15,1,$B683),0))</f>
        <v>0</v>
      </c>
      <c r="V683" s="150">
        <f>IF(E683="","",IF(C683=1,IF($B683=1,Input!$C$33,Input!$C$34),0))</f>
        <v>0</v>
      </c>
      <c r="W683" s="156">
        <f>IF($E683="","",Input!$C$35)</f>
        <v>0.02</v>
      </c>
      <c r="X683" s="156">
        <f t="shared" si="412"/>
        <v>3.0311652864835552</v>
      </c>
      <c r="Y683" s="154"/>
      <c r="Z683" s="147">
        <f>IF($E683="","",VLOOKUP($D683,'Mortality Margins &amp; Grading'!$AB$5:$AF$125,3,0)*IF(Summary!$D$25="Included Margin",IF(AND($B683&gt;Input!$C$9,Summary!$D$31&lt;&gt;"Included Margin"),0,1),0))</f>
        <v>1.4E-2</v>
      </c>
      <c r="AA683" s="147">
        <f>IF($E683="","",VLOOKUP($D683,'Mortality Margins &amp; Grading'!$AB$5:$AF$125,5,0)*IF(Summary!$D$25="Included Margin",IF(AND($B683&gt;Input!$C$9,Summary!$D$31&lt;&gt;"Included Margin"),0,1),0))</f>
        <v>7.3999999999999996E-2</v>
      </c>
      <c r="AB683" s="147">
        <f>IF($E683="","",IF(AND($B683&gt;Input!$C$9,Summary!$D$31&lt;&gt;"Included Margin"),1,IF(Summary!$D$25="Included Margin",VLOOKUP($B683,'Mortality Margins &amp; Grading'!$AI$5:$AR$125,MATCH('Mortality Margins &amp; Grading'!$AQ$4,'Mortality Margins &amp; Grading'!$AI$4:$AR$4,0),0),1)))</f>
        <v>0</v>
      </c>
      <c r="AC683" s="154"/>
      <c r="AD683" s="158">
        <f>IF(E683="","",Input!$C$48*IF(Summary!$D$30="Included Margin",IF(AND($B683&gt;Input!$C$9,Summary!$D$31&lt;&gt;"Included Margin"),0,1),0))</f>
        <v>-4.4999999999999997E-3</v>
      </c>
      <c r="AE683" s="159">
        <f>IF(E683="","",IF(Summary!$D$26="Included Margin",IF(AND($B683&gt;Input!$C$9,Summary!$D$31&lt;&gt;"Included Margin"),1,1/$R683),1))</f>
        <v>1.3240594285489531</v>
      </c>
      <c r="AF683" s="160">
        <f>IF(E683="","",IF(AND($B683&gt;=Input!$C$9,$C683=12,Summary!$D$31="Included Margin",$U683&gt;0),1/U683-1,IF($B683&gt;=Input!$C$9,0,Input!$C$45*IF(Summary!$D$27="Included Margin",1,0))))</f>
        <v>0</v>
      </c>
      <c r="AG683" s="160">
        <f>IF(E683="","",Input!$C$46*IF(Summary!$D$28="Included Margin",IF(AND($B683&gt;Input!$C$9,Summary!$D$31&lt;&gt;"Included Margin"),0,1),0))</f>
        <v>0.02</v>
      </c>
      <c r="AH683" s="158">
        <f>IF(E683="","",Input!$C$47*IF(Summary!$D$29="Included Margin",IF(AND($B683&gt;Input!$C$9,Summary!$D$31&lt;&gt;"Included Margin"),0,1),0))</f>
        <v>2.5000000000000001E-3</v>
      </c>
      <c r="AI683" s="154"/>
      <c r="AJ683" s="158">
        <f t="shared" si="435"/>
        <v>4.333E-2</v>
      </c>
      <c r="AK683" s="155">
        <f t="shared" si="436"/>
        <v>3.5410481657136561E-3</v>
      </c>
      <c r="AL683" s="147">
        <f t="shared" si="437"/>
        <v>1</v>
      </c>
      <c r="AM683" s="147">
        <f t="shared" si="415"/>
        <v>1</v>
      </c>
      <c r="AN683" s="160">
        <f t="shared" si="438"/>
        <v>0</v>
      </c>
      <c r="AO683" s="161">
        <f t="shared" si="439"/>
        <v>0</v>
      </c>
      <c r="AP683" s="156">
        <f t="shared" si="416"/>
        <v>3.4765280199831752</v>
      </c>
      <c r="AQ683" s="152"/>
      <c r="AR683" s="162">
        <f t="shared" si="417"/>
        <v>99823.260513232046</v>
      </c>
      <c r="AS683" s="150">
        <f t="shared" si="440"/>
        <v>0</v>
      </c>
      <c r="AT683" s="163">
        <f t="shared" si="418"/>
        <v>0</v>
      </c>
      <c r="AU683" s="163">
        <f t="shared" si="419"/>
        <v>100000</v>
      </c>
      <c r="AV683" s="163">
        <f t="shared" si="441"/>
        <v>176.42656525025396</v>
      </c>
      <c r="AW683" s="163">
        <f t="shared" si="420"/>
        <v>99823.573434749749</v>
      </c>
      <c r="AX683" s="163">
        <f t="shared" si="421"/>
        <v>0</v>
      </c>
      <c r="AY683" s="164">
        <f t="shared" si="442"/>
        <v>99823.260513232046</v>
      </c>
      <c r="AZ683" s="164">
        <f>IF($E683="","",IF(OR(AND($D683=Input!$C$6,$C683=12),$AN683=1),0,-AS684+AT684+AU684-AV684-AW684-AX684+AZ684))</f>
        <v>99823.573434749749</v>
      </c>
      <c r="BA683" s="154">
        <f t="shared" si="422"/>
        <v>0.31292151770321652</v>
      </c>
      <c r="BC683" s="147">
        <f t="shared" si="443"/>
        <v>7.9610451612276943E-9</v>
      </c>
      <c r="BD683" s="164">
        <f>IF(AND($C682=12,$D682=Input!$C$6),0,IF($E683="","",AT683+(AU683+BD684)/(1+$AK683)*MIN((1-AM683-AN683),1)))</f>
        <v>0</v>
      </c>
      <c r="BE683" s="164">
        <f t="shared" si="423"/>
        <v>0</v>
      </c>
      <c r="BF683" s="164">
        <f t="shared" si="444"/>
        <v>99823.573434749749</v>
      </c>
      <c r="BG683" s="164">
        <f t="shared" si="424"/>
        <v>7.946999762691719E-4</v>
      </c>
      <c r="BH683" s="152"/>
      <c r="BI683" s="162">
        <f t="shared" si="425"/>
        <v>36744.609605889869</v>
      </c>
      <c r="BJ683" s="150">
        <f t="shared" si="426"/>
        <v>0</v>
      </c>
      <c r="BK683" s="163">
        <f t="shared" si="448"/>
        <v>0</v>
      </c>
      <c r="BL683" s="163">
        <f t="shared" si="427"/>
        <v>11067.650658929817</v>
      </c>
      <c r="BM683" s="163">
        <f t="shared" si="449"/>
        <v>121.75438970589427</v>
      </c>
      <c r="BN683" s="163">
        <f t="shared" si="428"/>
        <v>3210.6608438341555</v>
      </c>
      <c r="BO683" s="163">
        <f t="shared" si="429"/>
        <v>0</v>
      </c>
      <c r="BP683" s="164">
        <f t="shared" si="450"/>
        <v>29009.374180500105</v>
      </c>
      <c r="BQ683" s="164">
        <f>IF($E683="","",IF(AND($D683=Input!$C$6,$C683=12),0,-BJ684+BK684+BL684-BM684-BN684-BO684+BQ684))</f>
        <v>29009.416205630485</v>
      </c>
      <c r="BR683" s="161">
        <f t="shared" si="430"/>
        <v>0</v>
      </c>
      <c r="BT683" s="147">
        <f t="shared" si="431"/>
        <v>7.9610451612276943E-9</v>
      </c>
      <c r="BU683" s="164">
        <f>IF(AND($C682=12,$D682=Input!$C$6),0,IF($E683="","",BK683+(BL683+BU684)/(1+$AK683)*MIN((1-T683-U683),1)))</f>
        <v>79583.114366912836</v>
      </c>
      <c r="BV683" s="164">
        <f t="shared" si="432"/>
        <v>6.3356476754614164E-4</v>
      </c>
      <c r="BW683" s="164">
        <f t="shared" si="433"/>
        <v>29009.416205630485</v>
      </c>
      <c r="BX683" s="164">
        <f t="shared" si="434"/>
        <v>2.3094527251387483E-4</v>
      </c>
    </row>
    <row r="684" spans="1:76" s="150" customFormat="1" x14ac:dyDescent="0.25">
      <c r="A684" s="150">
        <f t="shared" si="445"/>
        <v>680</v>
      </c>
      <c r="B684" s="150">
        <f t="shared" si="446"/>
        <v>57</v>
      </c>
      <c r="C684" s="150">
        <f t="shared" si="447"/>
        <v>8</v>
      </c>
      <c r="D684" s="150">
        <f>IF(E684="","",Input!$C$4+B684-1)</f>
        <v>101</v>
      </c>
      <c r="E684" s="150">
        <f>IF(OR(AND(C683=12,D683=Input!$C$6),E683=""),"",1)</f>
        <v>1</v>
      </c>
      <c r="F684" s="150">
        <f>IF(E684="","",Input!$C$8+B684-1)</f>
        <v>2074</v>
      </c>
      <c r="G684" s="151">
        <f>IF(E684="","",MAX(0,Input!$C$9-B684))</f>
        <v>0</v>
      </c>
      <c r="H684" s="152">
        <f>IF(E684="","",Input!$C$3)</f>
        <v>100000</v>
      </c>
      <c r="I684" s="153">
        <f>IF(E684="","",HLOOKUP($B684,Input!$C$13:$BT$14,2))</f>
        <v>917.45150000000012</v>
      </c>
      <c r="J684" s="154"/>
      <c r="K684" s="155">
        <f>IF($E684="","",INDEX(Input!$C$16:$CP$16,1,$B684))</f>
        <v>3.2829999999999998E-2</v>
      </c>
      <c r="L684" s="155">
        <f>IF($E684="","",Input!$C$37)</f>
        <v>1.4999999999999999E-2</v>
      </c>
      <c r="M684" s="155">
        <f t="shared" si="410"/>
        <v>4.7829999999999998E-2</v>
      </c>
      <c r="N684" s="155">
        <f t="shared" si="411"/>
        <v>3.901035892835969E-3</v>
      </c>
      <c r="O684" s="147">
        <f>IF($E684="","",MIN(VLOOKUP(IF($B684&lt;=Input!$C$7,$B684,26),'Mortality Tables'!$A$41:$CW$67,IF($B684&lt;=Input!$C$7+1,Input!$C$4+2,$D684-Input!$C$7+2),0)*IF(B684&gt;20,Input!$C$22,1)/1000,1))</f>
        <v>1</v>
      </c>
      <c r="P684" s="147">
        <f>IF($E684="","",MIN(VLOOKUP(IF($B684&lt;=Input!$C$7,$B684,26),'Mortality Tables'!$A$12:$CW$37,IF($B684&lt;=Input!$C$7+1,Input!$C$4+2,$D684-Input!$C$7+2),0)*IF(B684&gt;20,Input!$C$22,1)/1000,1))</f>
        <v>1</v>
      </c>
      <c r="Q684" s="155">
        <f>IF($E684="","",Input!$C$21)</f>
        <v>5.0000000000000001E-3</v>
      </c>
      <c r="R684" s="159">
        <f>IF($E684="","",(1-Q684)^($F684-Input!$C$20))</f>
        <v>0.75525310906619025</v>
      </c>
      <c r="S684" s="147">
        <f t="shared" si="413"/>
        <v>0.75525310906619025</v>
      </c>
      <c r="T684" s="147">
        <f t="shared" si="414"/>
        <v>0.11067650658929817</v>
      </c>
      <c r="U684" s="160">
        <f>IF($E684="","",IF($C684=12,INDEX(Input!$C$15:$CP$15,1,$B684),0))</f>
        <v>0</v>
      </c>
      <c r="V684" s="150">
        <f>IF(E684="","",IF(C684=1,IF($B684=1,Input!$C$33,Input!$C$34),0))</f>
        <v>0</v>
      </c>
      <c r="W684" s="156">
        <f>IF($E684="","",Input!$C$35)</f>
        <v>0.02</v>
      </c>
      <c r="X684" s="156">
        <f t="shared" si="412"/>
        <v>3.0311652864835552</v>
      </c>
      <c r="Y684" s="154"/>
      <c r="Z684" s="147">
        <f>IF($E684="","",VLOOKUP($D684,'Mortality Margins &amp; Grading'!$AB$5:$AF$125,3,0)*IF(Summary!$D$25="Included Margin",IF(AND($B684&gt;Input!$C$9,Summary!$D$31&lt;&gt;"Included Margin"),0,1),0))</f>
        <v>1.4E-2</v>
      </c>
      <c r="AA684" s="147">
        <f>IF($E684="","",VLOOKUP($D684,'Mortality Margins &amp; Grading'!$AB$5:$AF$125,5,0)*IF(Summary!$D$25="Included Margin",IF(AND($B684&gt;Input!$C$9,Summary!$D$31&lt;&gt;"Included Margin"),0,1),0))</f>
        <v>7.3999999999999996E-2</v>
      </c>
      <c r="AB684" s="147">
        <f>IF($E684="","",IF(AND($B684&gt;Input!$C$9,Summary!$D$31&lt;&gt;"Included Margin"),1,IF(Summary!$D$25="Included Margin",VLOOKUP($B684,'Mortality Margins &amp; Grading'!$AI$5:$AR$125,MATCH('Mortality Margins &amp; Grading'!$AQ$4,'Mortality Margins &amp; Grading'!$AI$4:$AR$4,0),0),1)))</f>
        <v>0</v>
      </c>
      <c r="AC684" s="154"/>
      <c r="AD684" s="158">
        <f>IF(E684="","",Input!$C$48*IF(Summary!$D$30="Included Margin",IF(AND($B684&gt;Input!$C$9,Summary!$D$31&lt;&gt;"Included Margin"),0,1),0))</f>
        <v>-4.4999999999999997E-3</v>
      </c>
      <c r="AE684" s="159">
        <f>IF(E684="","",IF(Summary!$D$26="Included Margin",IF(AND($B684&gt;Input!$C$9,Summary!$D$31&lt;&gt;"Included Margin"),1,1/$R684),1))</f>
        <v>1.3240594285489531</v>
      </c>
      <c r="AF684" s="160">
        <f>IF(E684="","",IF(AND($B684&gt;=Input!$C$9,$C684=12,Summary!$D$31="Included Margin",$U684&gt;0),1/U684-1,IF($B684&gt;=Input!$C$9,0,Input!$C$45*IF(Summary!$D$27="Included Margin",1,0))))</f>
        <v>0</v>
      </c>
      <c r="AG684" s="160">
        <f>IF(E684="","",Input!$C$46*IF(Summary!$D$28="Included Margin",IF(AND($B684&gt;Input!$C$9,Summary!$D$31&lt;&gt;"Included Margin"),0,1),0))</f>
        <v>0.02</v>
      </c>
      <c r="AH684" s="158">
        <f>IF(E684="","",Input!$C$47*IF(Summary!$D$29="Included Margin",IF(AND($B684&gt;Input!$C$9,Summary!$D$31&lt;&gt;"Included Margin"),0,1),0))</f>
        <v>2.5000000000000001E-3</v>
      </c>
      <c r="AI684" s="154"/>
      <c r="AJ684" s="158">
        <f t="shared" si="435"/>
        <v>4.333E-2</v>
      </c>
      <c r="AK684" s="155">
        <f t="shared" si="436"/>
        <v>3.5410481657136561E-3</v>
      </c>
      <c r="AL684" s="147">
        <f t="shared" si="437"/>
        <v>1</v>
      </c>
      <c r="AM684" s="147">
        <f t="shared" si="415"/>
        <v>1</v>
      </c>
      <c r="AN684" s="160">
        <f t="shared" si="438"/>
        <v>0</v>
      </c>
      <c r="AO684" s="161">
        <f t="shared" si="439"/>
        <v>0</v>
      </c>
      <c r="AP684" s="156">
        <f t="shared" si="416"/>
        <v>3.4765280199831752</v>
      </c>
      <c r="AQ684" s="152"/>
      <c r="AR684" s="162">
        <f t="shared" si="417"/>
        <v>99823.260513232046</v>
      </c>
      <c r="AS684" s="150">
        <f t="shared" si="440"/>
        <v>0</v>
      </c>
      <c r="AT684" s="163">
        <f t="shared" si="418"/>
        <v>0</v>
      </c>
      <c r="AU684" s="163">
        <f t="shared" si="419"/>
        <v>100000</v>
      </c>
      <c r="AV684" s="163">
        <f t="shared" si="441"/>
        <v>176.42656525025396</v>
      </c>
      <c r="AW684" s="163">
        <f t="shared" si="420"/>
        <v>99823.573434749749</v>
      </c>
      <c r="AX684" s="163">
        <f t="shared" si="421"/>
        <v>0</v>
      </c>
      <c r="AY684" s="165">
        <f t="shared" si="442"/>
        <v>99823.260513232046</v>
      </c>
      <c r="AZ684" s="164">
        <f>IF($E684="","",IF(OR(AND($D684=Input!$C$6,$C684=12),$AN684=1),0,-AS685+AT685+AU685-AV685-AW685-AX685+AZ685))</f>
        <v>99823.573434749749</v>
      </c>
      <c r="BA684" s="154">
        <f t="shared" si="422"/>
        <v>0.31292151770321652</v>
      </c>
      <c r="BC684" s="147">
        <f t="shared" si="443"/>
        <v>7.079944493983377E-9</v>
      </c>
      <c r="BD684" s="164">
        <f>IF(AND($C683=12,$D683=Input!$C$6),0,IF($E684="","",AT684+(AU684+BD685)/(1+$AK684)*MIN((1-AM684-AN684),1)))</f>
        <v>0</v>
      </c>
      <c r="BE684" s="164">
        <f t="shared" si="423"/>
        <v>0</v>
      </c>
      <c r="BF684" s="164">
        <f t="shared" si="444"/>
        <v>99823.573434749749</v>
      </c>
      <c r="BG684" s="164">
        <f t="shared" si="424"/>
        <v>7.0674535910910177E-4</v>
      </c>
      <c r="BH684" s="152"/>
      <c r="BI684" s="162">
        <f t="shared" si="425"/>
        <v>29009.374180500101</v>
      </c>
      <c r="BJ684" s="150">
        <f t="shared" si="426"/>
        <v>0</v>
      </c>
      <c r="BK684" s="163">
        <f t="shared" si="448"/>
        <v>0</v>
      </c>
      <c r="BL684" s="163">
        <f t="shared" si="427"/>
        <v>11067.650658929817</v>
      </c>
      <c r="BM684" s="163">
        <f t="shared" si="449"/>
        <v>91.578958671912474</v>
      </c>
      <c r="BN684" s="163">
        <f t="shared" si="428"/>
        <v>2244.2537352988079</v>
      </c>
      <c r="BO684" s="163">
        <f t="shared" si="429"/>
        <v>0</v>
      </c>
      <c r="BP684" s="164">
        <f t="shared" si="450"/>
        <v>20277.556215541001</v>
      </c>
      <c r="BQ684" s="164">
        <f>IF($E684="","",IF(AND($D684=Input!$C$6,$C684=12),0,-BJ685+BK685+BL685-BM685-BN685-BO685+BQ685))</f>
        <v>20277.598240671388</v>
      </c>
      <c r="BR684" s="161">
        <f t="shared" si="430"/>
        <v>0</v>
      </c>
      <c r="BT684" s="147">
        <f t="shared" si="431"/>
        <v>7.079944493983377E-9</v>
      </c>
      <c r="BU684" s="164">
        <f>IF(AND($C683=12,$D683=Input!$C$6),0,IF($E684="","",BK684+(BL684+BU685)/(1+$AK684)*MIN((1-T684-U684),1)))</f>
        <v>78736.478659377593</v>
      </c>
      <c r="BV684" s="164">
        <f t="shared" si="432"/>
        <v>5.5744989856010003E-4</v>
      </c>
      <c r="BW684" s="164">
        <f t="shared" si="433"/>
        <v>20277.598240671388</v>
      </c>
      <c r="BX684" s="164">
        <f t="shared" si="434"/>
        <v>1.4356427001524841E-4</v>
      </c>
    </row>
    <row r="685" spans="1:76" s="150" customFormat="1" x14ac:dyDescent="0.25">
      <c r="A685" s="150">
        <f t="shared" si="445"/>
        <v>681</v>
      </c>
      <c r="B685" s="150">
        <f t="shared" si="446"/>
        <v>57</v>
      </c>
      <c r="C685" s="150">
        <f t="shared" si="447"/>
        <v>9</v>
      </c>
      <c r="D685" s="150">
        <f>IF(E685="","",Input!$C$4+B685-1)</f>
        <v>101</v>
      </c>
      <c r="E685" s="150">
        <f>IF(OR(AND(C684=12,D684=Input!$C$6),E684=""),"",1)</f>
        <v>1</v>
      </c>
      <c r="F685" s="150">
        <f>IF(E685="","",Input!$C$8+B685-1)</f>
        <v>2074</v>
      </c>
      <c r="G685" s="151">
        <f>IF(E685="","",MAX(0,Input!$C$9-B685))</f>
        <v>0</v>
      </c>
      <c r="H685" s="152">
        <f>IF(E685="","",Input!$C$3)</f>
        <v>100000</v>
      </c>
      <c r="I685" s="153">
        <f>IF(E685="","",HLOOKUP($B685,Input!$C$13:$BT$14,2))</f>
        <v>917.45150000000012</v>
      </c>
      <c r="J685" s="154"/>
      <c r="K685" s="155">
        <f>IF($E685="","",INDEX(Input!$C$16:$CP$16,1,$B685))</f>
        <v>3.2829999999999998E-2</v>
      </c>
      <c r="L685" s="155">
        <f>IF($E685="","",Input!$C$37)</f>
        <v>1.4999999999999999E-2</v>
      </c>
      <c r="M685" s="155">
        <f t="shared" si="410"/>
        <v>4.7829999999999998E-2</v>
      </c>
      <c r="N685" s="155">
        <f t="shared" si="411"/>
        <v>3.901035892835969E-3</v>
      </c>
      <c r="O685" s="147">
        <f>IF($E685="","",MIN(VLOOKUP(IF($B685&lt;=Input!$C$7,$B685,26),'Mortality Tables'!$A$41:$CW$67,IF($B685&lt;=Input!$C$7+1,Input!$C$4+2,$D685-Input!$C$7+2),0)*IF(B685&gt;20,Input!$C$22,1)/1000,1))</f>
        <v>1</v>
      </c>
      <c r="P685" s="147">
        <f>IF($E685="","",MIN(VLOOKUP(IF($B685&lt;=Input!$C$7,$B685,26),'Mortality Tables'!$A$12:$CW$37,IF($B685&lt;=Input!$C$7+1,Input!$C$4+2,$D685-Input!$C$7+2),0)*IF(B685&gt;20,Input!$C$22,1)/1000,1))</f>
        <v>1</v>
      </c>
      <c r="Q685" s="155">
        <f>IF($E685="","",Input!$C$21)</f>
        <v>5.0000000000000001E-3</v>
      </c>
      <c r="R685" s="159">
        <f>IF($E685="","",(1-Q685)^($F685-Input!$C$20))</f>
        <v>0.75525310906619025</v>
      </c>
      <c r="S685" s="147">
        <f t="shared" si="413"/>
        <v>0.75525310906619025</v>
      </c>
      <c r="T685" s="147">
        <f t="shared" si="414"/>
        <v>0.11067650658929817</v>
      </c>
      <c r="U685" s="160">
        <f>IF($E685="","",IF($C685=12,INDEX(Input!$C$15:$CP$15,1,$B685),0))</f>
        <v>0</v>
      </c>
      <c r="V685" s="150">
        <f>IF(E685="","",IF(C685=1,IF($B685=1,Input!$C$33,Input!$C$34),0))</f>
        <v>0</v>
      </c>
      <c r="W685" s="156">
        <f>IF($E685="","",Input!$C$35)</f>
        <v>0.02</v>
      </c>
      <c r="X685" s="156">
        <f t="shared" si="412"/>
        <v>3.0311652864835552</v>
      </c>
      <c r="Y685" s="154"/>
      <c r="Z685" s="147">
        <f>IF($E685="","",VLOOKUP($D685,'Mortality Margins &amp; Grading'!$AB$5:$AF$125,3,0)*IF(Summary!$D$25="Included Margin",IF(AND($B685&gt;Input!$C$9,Summary!$D$31&lt;&gt;"Included Margin"),0,1),0))</f>
        <v>1.4E-2</v>
      </c>
      <c r="AA685" s="147">
        <f>IF($E685="","",VLOOKUP($D685,'Mortality Margins &amp; Grading'!$AB$5:$AF$125,5,0)*IF(Summary!$D$25="Included Margin",IF(AND($B685&gt;Input!$C$9,Summary!$D$31&lt;&gt;"Included Margin"),0,1),0))</f>
        <v>7.3999999999999996E-2</v>
      </c>
      <c r="AB685" s="147">
        <f>IF($E685="","",IF(AND($B685&gt;Input!$C$9,Summary!$D$31&lt;&gt;"Included Margin"),1,IF(Summary!$D$25="Included Margin",VLOOKUP($B685,'Mortality Margins &amp; Grading'!$AI$5:$AR$125,MATCH('Mortality Margins &amp; Grading'!$AQ$4,'Mortality Margins &amp; Grading'!$AI$4:$AR$4,0),0),1)))</f>
        <v>0</v>
      </c>
      <c r="AC685" s="154"/>
      <c r="AD685" s="158">
        <f>IF(E685="","",Input!$C$48*IF(Summary!$D$30="Included Margin",IF(AND($B685&gt;Input!$C$9,Summary!$D$31&lt;&gt;"Included Margin"),0,1),0))</f>
        <v>-4.4999999999999997E-3</v>
      </c>
      <c r="AE685" s="159">
        <f>IF(E685="","",IF(Summary!$D$26="Included Margin",IF(AND($B685&gt;Input!$C$9,Summary!$D$31&lt;&gt;"Included Margin"),1,1/$R685),1))</f>
        <v>1.3240594285489531</v>
      </c>
      <c r="AF685" s="160">
        <f>IF(E685="","",IF(AND($B685&gt;=Input!$C$9,$C685=12,Summary!$D$31="Included Margin",$U685&gt;0),1/U685-1,IF($B685&gt;=Input!$C$9,0,Input!$C$45*IF(Summary!$D$27="Included Margin",1,0))))</f>
        <v>0</v>
      </c>
      <c r="AG685" s="160">
        <f>IF(E685="","",Input!$C$46*IF(Summary!$D$28="Included Margin",IF(AND($B685&gt;Input!$C$9,Summary!$D$31&lt;&gt;"Included Margin"),0,1),0))</f>
        <v>0.02</v>
      </c>
      <c r="AH685" s="158">
        <f>IF(E685="","",Input!$C$47*IF(Summary!$D$29="Included Margin",IF(AND($B685&gt;Input!$C$9,Summary!$D$31&lt;&gt;"Included Margin"),0,1),0))</f>
        <v>2.5000000000000001E-3</v>
      </c>
      <c r="AI685" s="154"/>
      <c r="AJ685" s="158">
        <f t="shared" si="435"/>
        <v>4.333E-2</v>
      </c>
      <c r="AK685" s="155">
        <f t="shared" si="436"/>
        <v>3.5410481657136561E-3</v>
      </c>
      <c r="AL685" s="147">
        <f t="shared" si="437"/>
        <v>1</v>
      </c>
      <c r="AM685" s="147">
        <f t="shared" si="415"/>
        <v>1</v>
      </c>
      <c r="AN685" s="160">
        <f t="shared" si="438"/>
        <v>0</v>
      </c>
      <c r="AO685" s="161">
        <f t="shared" si="439"/>
        <v>0</v>
      </c>
      <c r="AP685" s="156">
        <f t="shared" si="416"/>
        <v>3.4765280199831752</v>
      </c>
      <c r="AQ685" s="152"/>
      <c r="AR685" s="162">
        <f t="shared" si="417"/>
        <v>99823.260513232046</v>
      </c>
      <c r="AS685" s="150">
        <f t="shared" si="440"/>
        <v>0</v>
      </c>
      <c r="AT685" s="163">
        <f t="shared" si="418"/>
        <v>0</v>
      </c>
      <c r="AU685" s="163">
        <f t="shared" si="419"/>
        <v>100000</v>
      </c>
      <c r="AV685" s="163">
        <f t="shared" si="441"/>
        <v>176.42656525025396</v>
      </c>
      <c r="AW685" s="163">
        <f t="shared" si="420"/>
        <v>99823.573434749749</v>
      </c>
      <c r="AX685" s="163">
        <f t="shared" si="421"/>
        <v>0</v>
      </c>
      <c r="AY685" s="164">
        <f t="shared" si="442"/>
        <v>99823.260513232046</v>
      </c>
      <c r="AZ685" s="164">
        <f>IF($E685="","",IF(OR(AND($D685=Input!$C$6,$C685=12),$AN685=1),0,-AS686+AT686+AU686-AV686-AW686-AX686+AZ686))</f>
        <v>99823.573434749749</v>
      </c>
      <c r="BA685" s="154">
        <f t="shared" si="422"/>
        <v>0.31292151770321652</v>
      </c>
      <c r="BC685" s="147">
        <f t="shared" si="443"/>
        <v>6.2963609705431602E-9</v>
      </c>
      <c r="BD685" s="164">
        <f>IF(AND($C684=12,$D684=Input!$C$6),0,IF($E685="","",AT685+(AU685+BD686)/(1+$AK685)*MIN((1-AM685-AN685),1)))</f>
        <v>0</v>
      </c>
      <c r="BE685" s="164">
        <f t="shared" si="423"/>
        <v>0</v>
      </c>
      <c r="BF685" s="164">
        <f t="shared" si="444"/>
        <v>99823.573434749749</v>
      </c>
      <c r="BG685" s="164">
        <f t="shared" si="424"/>
        <v>6.2852525171470735E-4</v>
      </c>
      <c r="BH685" s="152"/>
      <c r="BI685" s="162">
        <f t="shared" si="425"/>
        <v>20277.556215541004</v>
      </c>
      <c r="BJ685" s="150">
        <f t="shared" si="426"/>
        <v>0</v>
      </c>
      <c r="BK685" s="163">
        <f t="shared" si="448"/>
        <v>0</v>
      </c>
      <c r="BL685" s="163">
        <f t="shared" si="427"/>
        <v>11067.650658929817</v>
      </c>
      <c r="BM685" s="163">
        <f t="shared" si="449"/>
        <v>57.515823380897118</v>
      </c>
      <c r="BN685" s="163">
        <f t="shared" si="428"/>
        <v>1153.337882359798</v>
      </c>
      <c r="BO685" s="163">
        <f t="shared" si="429"/>
        <v>0</v>
      </c>
      <c r="BP685" s="164">
        <f t="shared" si="450"/>
        <v>10420.759262351883</v>
      </c>
      <c r="BQ685" s="164">
        <f>IF($E685="","",IF(AND($D685=Input!$C$6,$C685=12),0,-BJ686+BK686+BL686-BM686-BN686-BO686+BQ686))</f>
        <v>10420.801287482267</v>
      </c>
      <c r="BR685" s="161">
        <f t="shared" si="430"/>
        <v>0</v>
      </c>
      <c r="BT685" s="147">
        <f t="shared" si="431"/>
        <v>6.2963609705431602E-9</v>
      </c>
      <c r="BU685" s="164">
        <f>IF(AND($C684=12,$D684=Input!$C$6),0,IF($E685="","",BK685+(BL685+BU686)/(1+$AK685)*MIN((1-T685-U685),1)))</f>
        <v>77781.10787287564</v>
      </c>
      <c r="BV685" s="164">
        <f t="shared" si="432"/>
        <v>4.8973793185638152E-4</v>
      </c>
      <c r="BW685" s="164">
        <f t="shared" si="433"/>
        <v>10420.801287482267</v>
      </c>
      <c r="BX685" s="164">
        <f t="shared" si="434"/>
        <v>6.561312650828926E-5</v>
      </c>
    </row>
    <row r="686" spans="1:76" s="150" customFormat="1" x14ac:dyDescent="0.25">
      <c r="A686" s="150">
        <f t="shared" si="445"/>
        <v>682</v>
      </c>
      <c r="B686" s="150">
        <f t="shared" si="446"/>
        <v>57</v>
      </c>
      <c r="C686" s="150">
        <f t="shared" si="447"/>
        <v>10</v>
      </c>
      <c r="D686" s="150">
        <f>IF(E686="","",Input!$C$4+B686-1)</f>
        <v>101</v>
      </c>
      <c r="E686" s="150">
        <f>IF(OR(AND(C685=12,D685=Input!$C$6),E685=""),"",1)</f>
        <v>1</v>
      </c>
      <c r="F686" s="150">
        <f>IF(E686="","",Input!$C$8+B686-1)</f>
        <v>2074</v>
      </c>
      <c r="G686" s="151">
        <f>IF(E686="","",MAX(0,Input!$C$9-B686))</f>
        <v>0</v>
      </c>
      <c r="H686" s="152">
        <f>IF(E686="","",Input!$C$3)</f>
        <v>100000</v>
      </c>
      <c r="I686" s="153">
        <f>IF(E686="","",HLOOKUP($B686,Input!$C$13:$BT$14,2))</f>
        <v>917.45150000000012</v>
      </c>
      <c r="J686" s="154"/>
      <c r="K686" s="155">
        <f>IF($E686="","",INDEX(Input!$C$16:$CP$16,1,$B686))</f>
        <v>3.2829999999999998E-2</v>
      </c>
      <c r="L686" s="155">
        <f>IF($E686="","",Input!$C$37)</f>
        <v>1.4999999999999999E-2</v>
      </c>
      <c r="M686" s="155">
        <f t="shared" si="410"/>
        <v>4.7829999999999998E-2</v>
      </c>
      <c r="N686" s="155">
        <f t="shared" si="411"/>
        <v>3.901035892835969E-3</v>
      </c>
      <c r="O686" s="147">
        <f>IF($E686="","",MIN(VLOOKUP(IF($B686&lt;=Input!$C$7,$B686,26),'Mortality Tables'!$A$41:$CW$67,IF($B686&lt;=Input!$C$7+1,Input!$C$4+2,$D686-Input!$C$7+2),0)*IF(B686&gt;20,Input!$C$22,1)/1000,1))</f>
        <v>1</v>
      </c>
      <c r="P686" s="147">
        <f>IF($E686="","",MIN(VLOOKUP(IF($B686&lt;=Input!$C$7,$B686,26),'Mortality Tables'!$A$12:$CW$37,IF($B686&lt;=Input!$C$7+1,Input!$C$4+2,$D686-Input!$C$7+2),0)*IF(B686&gt;20,Input!$C$22,1)/1000,1))</f>
        <v>1</v>
      </c>
      <c r="Q686" s="155">
        <f>IF($E686="","",Input!$C$21)</f>
        <v>5.0000000000000001E-3</v>
      </c>
      <c r="R686" s="159">
        <f>IF($E686="","",(1-Q686)^($F686-Input!$C$20))</f>
        <v>0.75525310906619025</v>
      </c>
      <c r="S686" s="147">
        <f t="shared" si="413"/>
        <v>0.75525310906619025</v>
      </c>
      <c r="T686" s="147">
        <f t="shared" si="414"/>
        <v>0.11067650658929817</v>
      </c>
      <c r="U686" s="160">
        <f>IF($E686="","",IF($C686=12,INDEX(Input!$C$15:$CP$15,1,$B686),0))</f>
        <v>0</v>
      </c>
      <c r="V686" s="150">
        <f>IF(E686="","",IF(C686=1,IF($B686=1,Input!$C$33,Input!$C$34),0))</f>
        <v>0</v>
      </c>
      <c r="W686" s="156">
        <f>IF($E686="","",Input!$C$35)</f>
        <v>0.02</v>
      </c>
      <c r="X686" s="156">
        <f t="shared" si="412"/>
        <v>3.0311652864835552</v>
      </c>
      <c r="Y686" s="154"/>
      <c r="Z686" s="147">
        <f>IF($E686="","",VLOOKUP($D686,'Mortality Margins &amp; Grading'!$AB$5:$AF$125,3,0)*IF(Summary!$D$25="Included Margin",IF(AND($B686&gt;Input!$C$9,Summary!$D$31&lt;&gt;"Included Margin"),0,1),0))</f>
        <v>1.4E-2</v>
      </c>
      <c r="AA686" s="147">
        <f>IF($E686="","",VLOOKUP($D686,'Mortality Margins &amp; Grading'!$AB$5:$AF$125,5,0)*IF(Summary!$D$25="Included Margin",IF(AND($B686&gt;Input!$C$9,Summary!$D$31&lt;&gt;"Included Margin"),0,1),0))</f>
        <v>7.3999999999999996E-2</v>
      </c>
      <c r="AB686" s="147">
        <f>IF($E686="","",IF(AND($B686&gt;Input!$C$9,Summary!$D$31&lt;&gt;"Included Margin"),1,IF(Summary!$D$25="Included Margin",VLOOKUP($B686,'Mortality Margins &amp; Grading'!$AI$5:$AR$125,MATCH('Mortality Margins &amp; Grading'!$AQ$4,'Mortality Margins &amp; Grading'!$AI$4:$AR$4,0),0),1)))</f>
        <v>0</v>
      </c>
      <c r="AC686" s="154"/>
      <c r="AD686" s="158">
        <f>IF(E686="","",Input!$C$48*IF(Summary!$D$30="Included Margin",IF(AND($B686&gt;Input!$C$9,Summary!$D$31&lt;&gt;"Included Margin"),0,1),0))</f>
        <v>-4.4999999999999997E-3</v>
      </c>
      <c r="AE686" s="159">
        <f>IF(E686="","",IF(Summary!$D$26="Included Margin",IF(AND($B686&gt;Input!$C$9,Summary!$D$31&lt;&gt;"Included Margin"),1,1/$R686),1))</f>
        <v>1.3240594285489531</v>
      </c>
      <c r="AF686" s="160">
        <f>IF(E686="","",IF(AND($B686&gt;=Input!$C$9,$C686=12,Summary!$D$31="Included Margin",$U686&gt;0),1/U686-1,IF($B686&gt;=Input!$C$9,0,Input!$C$45*IF(Summary!$D$27="Included Margin",1,0))))</f>
        <v>0</v>
      </c>
      <c r="AG686" s="160">
        <f>IF(E686="","",Input!$C$46*IF(Summary!$D$28="Included Margin",IF(AND($B686&gt;Input!$C$9,Summary!$D$31&lt;&gt;"Included Margin"),0,1),0))</f>
        <v>0.02</v>
      </c>
      <c r="AH686" s="158">
        <f>IF(E686="","",Input!$C$47*IF(Summary!$D$29="Included Margin",IF(AND($B686&gt;Input!$C$9,Summary!$D$31&lt;&gt;"Included Margin"),0,1),0))</f>
        <v>2.5000000000000001E-3</v>
      </c>
      <c r="AI686" s="154"/>
      <c r="AJ686" s="158">
        <f t="shared" si="435"/>
        <v>4.333E-2</v>
      </c>
      <c r="AK686" s="155">
        <f t="shared" si="436"/>
        <v>3.5410481657136561E-3</v>
      </c>
      <c r="AL686" s="147">
        <f t="shared" si="437"/>
        <v>1</v>
      </c>
      <c r="AM686" s="147">
        <f t="shared" si="415"/>
        <v>1</v>
      </c>
      <c r="AN686" s="160">
        <f t="shared" si="438"/>
        <v>0</v>
      </c>
      <c r="AO686" s="161">
        <f t="shared" si="439"/>
        <v>0</v>
      </c>
      <c r="AP686" s="156">
        <f t="shared" si="416"/>
        <v>3.4765280199831752</v>
      </c>
      <c r="AQ686" s="152"/>
      <c r="AR686" s="162">
        <f t="shared" si="417"/>
        <v>99823.260513232046</v>
      </c>
      <c r="AS686" s="150">
        <f t="shared" si="440"/>
        <v>0</v>
      </c>
      <c r="AT686" s="163">
        <f t="shared" si="418"/>
        <v>0</v>
      </c>
      <c r="AU686" s="163">
        <f t="shared" si="419"/>
        <v>100000</v>
      </c>
      <c r="AV686" s="163">
        <f t="shared" si="441"/>
        <v>176.42656525025396</v>
      </c>
      <c r="AW686" s="163">
        <f t="shared" si="420"/>
        <v>99823.573434749749</v>
      </c>
      <c r="AX686" s="163">
        <f t="shared" si="421"/>
        <v>0</v>
      </c>
      <c r="AY686" s="165">
        <f t="shared" si="442"/>
        <v>99823.260513232046</v>
      </c>
      <c r="AZ686" s="164">
        <f>IF($E686="","",IF(OR(AND($D686=Input!$C$6,$C686=12),$AN686=1),0,-AS687+AT687+AU687-AV687-AW687-AX687+AZ687))</f>
        <v>99823.573434749749</v>
      </c>
      <c r="BA686" s="154">
        <f t="shared" si="422"/>
        <v>0.31292151770321652</v>
      </c>
      <c r="BC686" s="147">
        <f t="shared" si="443"/>
        <v>5.5995017340982407E-9</v>
      </c>
      <c r="BD686" s="164">
        <f>IF(AND($C685=12,$D685=Input!$C$6),0,IF($E686="","",AT686+(AU686+BD687)/(1+$AK686)*MIN((1-AM686-AN686),1)))</f>
        <v>0</v>
      </c>
      <c r="BE686" s="164">
        <f t="shared" si="423"/>
        <v>0</v>
      </c>
      <c r="BF686" s="164">
        <f t="shared" si="444"/>
        <v>99823.573434749749</v>
      </c>
      <c r="BG686" s="164">
        <f t="shared" si="424"/>
        <v>5.5896227255176434E-4</v>
      </c>
      <c r="BH686" s="152"/>
      <c r="BI686" s="162">
        <f t="shared" si="425"/>
        <v>10420.759262351881</v>
      </c>
      <c r="BJ686" s="150">
        <f t="shared" si="426"/>
        <v>0</v>
      </c>
      <c r="BK686" s="163">
        <f t="shared" si="448"/>
        <v>0</v>
      </c>
      <c r="BL686" s="163">
        <f t="shared" si="427"/>
        <v>11067.650658929817</v>
      </c>
      <c r="BM686" s="163">
        <f t="shared" si="449"/>
        <v>19.064104678110127</v>
      </c>
      <c r="BN686" s="163">
        <f t="shared" si="428"/>
        <v>-78.128016103342716</v>
      </c>
      <c r="BO686" s="163">
        <f t="shared" si="429"/>
        <v>0</v>
      </c>
      <c r="BP686" s="164">
        <f t="shared" si="450"/>
        <v>-705.95530800316828</v>
      </c>
      <c r="BQ686" s="164">
        <f>IF($E686="","",IF(AND($D686=Input!$C$6,$C686=12),0,-BJ687+BK687+BL687-BM687-BN687-BO687+BQ687))</f>
        <v>-705.91328287278338</v>
      </c>
      <c r="BR686" s="161">
        <f t="shared" si="430"/>
        <v>0</v>
      </c>
      <c r="BT686" s="147">
        <f t="shared" si="431"/>
        <v>5.5995017340982407E-9</v>
      </c>
      <c r="BU686" s="164">
        <f>IF(AND($C685=12,$D685=Input!$C$6),0,IF($E686="","",BK686+(BL686+BU687)/(1+$AK686)*MIN((1-T686-U686),1)))</f>
        <v>76703.036948654248</v>
      </c>
      <c r="BV686" s="164">
        <f t="shared" si="432"/>
        <v>4.2949878840459091E-4</v>
      </c>
      <c r="BW686" s="164">
        <f t="shared" si="433"/>
        <v>-705.91328287278338</v>
      </c>
      <c r="BX686" s="164">
        <f t="shared" si="434"/>
        <v>-3.9527626515691323E-6</v>
      </c>
    </row>
    <row r="687" spans="1:76" s="150" customFormat="1" x14ac:dyDescent="0.25">
      <c r="A687" s="150">
        <f t="shared" si="445"/>
        <v>683</v>
      </c>
      <c r="B687" s="150">
        <f t="shared" si="446"/>
        <v>57</v>
      </c>
      <c r="C687" s="150">
        <f t="shared" si="447"/>
        <v>11</v>
      </c>
      <c r="D687" s="150">
        <f>IF(E687="","",Input!$C$4+B687-1)</f>
        <v>101</v>
      </c>
      <c r="E687" s="150">
        <f>IF(OR(AND(C686=12,D686=Input!$C$6),E686=""),"",1)</f>
        <v>1</v>
      </c>
      <c r="F687" s="150">
        <f>IF(E687="","",Input!$C$8+B687-1)</f>
        <v>2074</v>
      </c>
      <c r="G687" s="151">
        <f>IF(E687="","",MAX(0,Input!$C$9-B687))</f>
        <v>0</v>
      </c>
      <c r="H687" s="152">
        <f>IF(E687="","",Input!$C$3)</f>
        <v>100000</v>
      </c>
      <c r="I687" s="153">
        <f>IF(E687="","",HLOOKUP($B687,Input!$C$13:$BT$14,2))</f>
        <v>917.45150000000012</v>
      </c>
      <c r="J687" s="154"/>
      <c r="K687" s="155">
        <f>IF($E687="","",INDEX(Input!$C$16:$CP$16,1,$B687))</f>
        <v>3.2829999999999998E-2</v>
      </c>
      <c r="L687" s="155">
        <f>IF($E687="","",Input!$C$37)</f>
        <v>1.4999999999999999E-2</v>
      </c>
      <c r="M687" s="155">
        <f t="shared" si="410"/>
        <v>4.7829999999999998E-2</v>
      </c>
      <c r="N687" s="155">
        <f t="shared" si="411"/>
        <v>3.901035892835969E-3</v>
      </c>
      <c r="O687" s="147">
        <f>IF($E687="","",MIN(VLOOKUP(IF($B687&lt;=Input!$C$7,$B687,26),'Mortality Tables'!$A$41:$CW$67,IF($B687&lt;=Input!$C$7+1,Input!$C$4+2,$D687-Input!$C$7+2),0)*IF(B687&gt;20,Input!$C$22,1)/1000,1))</f>
        <v>1</v>
      </c>
      <c r="P687" s="147">
        <f>IF($E687="","",MIN(VLOOKUP(IF($B687&lt;=Input!$C$7,$B687,26),'Mortality Tables'!$A$12:$CW$37,IF($B687&lt;=Input!$C$7+1,Input!$C$4+2,$D687-Input!$C$7+2),0)*IF(B687&gt;20,Input!$C$22,1)/1000,1))</f>
        <v>1</v>
      </c>
      <c r="Q687" s="155">
        <f>IF($E687="","",Input!$C$21)</f>
        <v>5.0000000000000001E-3</v>
      </c>
      <c r="R687" s="159">
        <f>IF($E687="","",(1-Q687)^($F687-Input!$C$20))</f>
        <v>0.75525310906619025</v>
      </c>
      <c r="S687" s="147">
        <f t="shared" si="413"/>
        <v>0.75525310906619025</v>
      </c>
      <c r="T687" s="147">
        <f t="shared" si="414"/>
        <v>0.11067650658929817</v>
      </c>
      <c r="U687" s="160">
        <f>IF($E687="","",IF($C687=12,INDEX(Input!$C$15:$CP$15,1,$B687),0))</f>
        <v>0</v>
      </c>
      <c r="V687" s="150">
        <f>IF(E687="","",IF(C687=1,IF($B687=1,Input!$C$33,Input!$C$34),0))</f>
        <v>0</v>
      </c>
      <c r="W687" s="156">
        <f>IF($E687="","",Input!$C$35)</f>
        <v>0.02</v>
      </c>
      <c r="X687" s="156">
        <f t="shared" si="412"/>
        <v>3.0311652864835552</v>
      </c>
      <c r="Y687" s="154"/>
      <c r="Z687" s="147">
        <f>IF($E687="","",VLOOKUP($D687,'Mortality Margins &amp; Grading'!$AB$5:$AF$125,3,0)*IF(Summary!$D$25="Included Margin",IF(AND($B687&gt;Input!$C$9,Summary!$D$31&lt;&gt;"Included Margin"),0,1),0))</f>
        <v>1.4E-2</v>
      </c>
      <c r="AA687" s="147">
        <f>IF($E687="","",VLOOKUP($D687,'Mortality Margins &amp; Grading'!$AB$5:$AF$125,5,0)*IF(Summary!$D$25="Included Margin",IF(AND($B687&gt;Input!$C$9,Summary!$D$31&lt;&gt;"Included Margin"),0,1),0))</f>
        <v>7.3999999999999996E-2</v>
      </c>
      <c r="AB687" s="147">
        <f>IF($E687="","",IF(AND($B687&gt;Input!$C$9,Summary!$D$31&lt;&gt;"Included Margin"),1,IF(Summary!$D$25="Included Margin",VLOOKUP($B687,'Mortality Margins &amp; Grading'!$AI$5:$AR$125,MATCH('Mortality Margins &amp; Grading'!$AQ$4,'Mortality Margins &amp; Grading'!$AI$4:$AR$4,0),0),1)))</f>
        <v>0</v>
      </c>
      <c r="AC687" s="154"/>
      <c r="AD687" s="158">
        <f>IF(E687="","",Input!$C$48*IF(Summary!$D$30="Included Margin",IF(AND($B687&gt;Input!$C$9,Summary!$D$31&lt;&gt;"Included Margin"),0,1),0))</f>
        <v>-4.4999999999999997E-3</v>
      </c>
      <c r="AE687" s="159">
        <f>IF(E687="","",IF(Summary!$D$26="Included Margin",IF(AND($B687&gt;Input!$C$9,Summary!$D$31&lt;&gt;"Included Margin"),1,1/$R687),1))</f>
        <v>1.3240594285489531</v>
      </c>
      <c r="AF687" s="160">
        <f>IF(E687="","",IF(AND($B687&gt;=Input!$C$9,$C687=12,Summary!$D$31="Included Margin",$U687&gt;0),1/U687-1,IF($B687&gt;=Input!$C$9,0,Input!$C$45*IF(Summary!$D$27="Included Margin",1,0))))</f>
        <v>0</v>
      </c>
      <c r="AG687" s="160">
        <f>IF(E687="","",Input!$C$46*IF(Summary!$D$28="Included Margin",IF(AND($B687&gt;Input!$C$9,Summary!$D$31&lt;&gt;"Included Margin"),0,1),0))</f>
        <v>0.02</v>
      </c>
      <c r="AH687" s="158">
        <f>IF(E687="","",Input!$C$47*IF(Summary!$D$29="Included Margin",IF(AND($B687&gt;Input!$C$9,Summary!$D$31&lt;&gt;"Included Margin"),0,1),0))</f>
        <v>2.5000000000000001E-3</v>
      </c>
      <c r="AI687" s="154"/>
      <c r="AJ687" s="158">
        <f t="shared" si="435"/>
        <v>4.333E-2</v>
      </c>
      <c r="AK687" s="155">
        <f t="shared" si="436"/>
        <v>3.5410481657136561E-3</v>
      </c>
      <c r="AL687" s="147">
        <f t="shared" si="437"/>
        <v>1</v>
      </c>
      <c r="AM687" s="147">
        <f t="shared" si="415"/>
        <v>1</v>
      </c>
      <c r="AN687" s="160">
        <f t="shared" si="438"/>
        <v>0</v>
      </c>
      <c r="AO687" s="161">
        <f t="shared" si="439"/>
        <v>0</v>
      </c>
      <c r="AP687" s="156">
        <f t="shared" si="416"/>
        <v>3.4765280199831752</v>
      </c>
      <c r="AQ687" s="152"/>
      <c r="AR687" s="162">
        <f t="shared" si="417"/>
        <v>99823.260513232046</v>
      </c>
      <c r="AS687" s="150">
        <f t="shared" si="440"/>
        <v>0</v>
      </c>
      <c r="AT687" s="163">
        <f t="shared" si="418"/>
        <v>0</v>
      </c>
      <c r="AU687" s="163">
        <f t="shared" si="419"/>
        <v>100000</v>
      </c>
      <c r="AV687" s="163">
        <f t="shared" si="441"/>
        <v>176.42656525025396</v>
      </c>
      <c r="AW687" s="163">
        <f t="shared" si="420"/>
        <v>99823.573434749749</v>
      </c>
      <c r="AX687" s="163">
        <f t="shared" si="421"/>
        <v>0</v>
      </c>
      <c r="AY687" s="164">
        <f t="shared" si="442"/>
        <v>99823.260513232046</v>
      </c>
      <c r="AZ687" s="164">
        <f>IF($E687="","",IF(OR(AND($D687=Input!$C$6,$C687=12),$AN687=1),0,-AS688+AT688+AU688-AV688-AW688-AX688+AZ688))</f>
        <v>99823.573434749749</v>
      </c>
      <c r="BA687" s="154">
        <f t="shared" si="422"/>
        <v>0.31292151770321652</v>
      </c>
      <c r="BC687" s="147">
        <f t="shared" si="443"/>
        <v>4.9797684435275305E-9</v>
      </c>
      <c r="BD687" s="164">
        <f>IF(AND($C686=12,$D686=Input!$C$6),0,IF($E687="","",AT687+(AU687+BD688)/(1+$AK687)*MIN((1-AM687-AN687),1)))</f>
        <v>0</v>
      </c>
      <c r="BE687" s="164">
        <f t="shared" si="423"/>
        <v>0</v>
      </c>
      <c r="BF687" s="164">
        <f t="shared" si="444"/>
        <v>99823.573434749749</v>
      </c>
      <c r="BG687" s="164">
        <f t="shared" si="424"/>
        <v>4.9709828091051985E-4</v>
      </c>
      <c r="BH687" s="152"/>
      <c r="BI687" s="162">
        <f t="shared" si="425"/>
        <v>-705.95530800316919</v>
      </c>
      <c r="BJ687" s="150">
        <f t="shared" si="426"/>
        <v>0</v>
      </c>
      <c r="BK687" s="163">
        <f t="shared" si="448"/>
        <v>0</v>
      </c>
      <c r="BL687" s="163">
        <f t="shared" si="427"/>
        <v>11067.650658929817</v>
      </c>
      <c r="BM687" s="163">
        <f t="shared" si="449"/>
        <v>-24.341608230185873</v>
      </c>
      <c r="BN687" s="163">
        <f t="shared" si="428"/>
        <v>-1468.251970203049</v>
      </c>
      <c r="BO687" s="163">
        <f t="shared" si="429"/>
        <v>0</v>
      </c>
      <c r="BP687" s="164">
        <f t="shared" si="450"/>
        <v>-13266.199545366222</v>
      </c>
      <c r="BQ687" s="164">
        <f>IF($E687="","",IF(AND($D687=Input!$C$6,$C687=12),0,-BJ688+BK688+BL688-BM688-BN688-BO688+BQ688))</f>
        <v>-13266.157520235836</v>
      </c>
      <c r="BR687" s="161">
        <f t="shared" si="430"/>
        <v>0</v>
      </c>
      <c r="BT687" s="147">
        <f t="shared" si="431"/>
        <v>4.9797684435275305E-9</v>
      </c>
      <c r="BU687" s="164">
        <f>IF(AND($C686=12,$D686=Input!$C$6),0,IF($E687="","",BK687+(BL687+BU688)/(1+$AK687)*MIN((1-T687-U687),1)))</f>
        <v>75486.507268165442</v>
      </c>
      <c r="BV687" s="164">
        <f t="shared" si="432"/>
        <v>3.7590532680612182E-4</v>
      </c>
      <c r="BW687" s="164">
        <f t="shared" si="433"/>
        <v>-13266.157520235836</v>
      </c>
      <c r="BX687" s="164">
        <f t="shared" si="434"/>
        <v>-6.606239258613586E-5</v>
      </c>
    </row>
    <row r="688" spans="1:76" s="150" customFormat="1" x14ac:dyDescent="0.25">
      <c r="A688" s="150">
        <f t="shared" si="445"/>
        <v>684</v>
      </c>
      <c r="B688" s="150">
        <f t="shared" si="446"/>
        <v>57</v>
      </c>
      <c r="C688" s="150">
        <f t="shared" si="447"/>
        <v>12</v>
      </c>
      <c r="D688" s="150">
        <f>IF(E688="","",Input!$C$4+B688-1)</f>
        <v>101</v>
      </c>
      <c r="E688" s="150">
        <f>IF(OR(AND(C687=12,D687=Input!$C$6),E687=""),"",1)</f>
        <v>1</v>
      </c>
      <c r="F688" s="150">
        <f>IF(E688="","",Input!$C$8+B688-1)</f>
        <v>2074</v>
      </c>
      <c r="G688" s="151">
        <f>IF(E688="","",MAX(0,Input!$C$9-B688))</f>
        <v>0</v>
      </c>
      <c r="H688" s="152">
        <f>IF(E688="","",Input!$C$3)</f>
        <v>100000</v>
      </c>
      <c r="I688" s="153">
        <f>IF(E688="","",HLOOKUP($B688,Input!$C$13:$BT$14,2))</f>
        <v>917.45150000000012</v>
      </c>
      <c r="J688" s="154"/>
      <c r="K688" s="155">
        <f>IF($E688="","",INDEX(Input!$C$16:$CP$16,1,$B688))</f>
        <v>3.2829999999999998E-2</v>
      </c>
      <c r="L688" s="155">
        <f>IF($E688="","",Input!$C$37)</f>
        <v>1.4999999999999999E-2</v>
      </c>
      <c r="M688" s="155">
        <f t="shared" si="410"/>
        <v>4.7829999999999998E-2</v>
      </c>
      <c r="N688" s="155">
        <f t="shared" si="411"/>
        <v>3.901035892835969E-3</v>
      </c>
      <c r="O688" s="147">
        <f>IF($E688="","",MIN(VLOOKUP(IF($B688&lt;=Input!$C$7,$B688,26),'Mortality Tables'!$A$41:$CW$67,IF($B688&lt;=Input!$C$7+1,Input!$C$4+2,$D688-Input!$C$7+2),0)*IF(B688&gt;20,Input!$C$22,1)/1000,1))</f>
        <v>1</v>
      </c>
      <c r="P688" s="147">
        <f>IF($E688="","",MIN(VLOOKUP(IF($B688&lt;=Input!$C$7,$B688,26),'Mortality Tables'!$A$12:$CW$37,IF($B688&lt;=Input!$C$7+1,Input!$C$4+2,$D688-Input!$C$7+2),0)*IF(B688&gt;20,Input!$C$22,1)/1000,1))</f>
        <v>1</v>
      </c>
      <c r="Q688" s="155">
        <f>IF($E688="","",Input!$C$21)</f>
        <v>5.0000000000000001E-3</v>
      </c>
      <c r="R688" s="159">
        <f>IF($E688="","",(1-Q688)^($F688-Input!$C$20))</f>
        <v>0.75525310906619025</v>
      </c>
      <c r="S688" s="147">
        <f t="shared" si="413"/>
        <v>0.75525310906619025</v>
      </c>
      <c r="T688" s="147">
        <f t="shared" si="414"/>
        <v>0.11067650658929817</v>
      </c>
      <c r="U688" s="160">
        <f>IF($E688="","",IF($C688=12,INDEX(Input!$C$15:$CP$15,1,$B688),0))</f>
        <v>0.1</v>
      </c>
      <c r="V688" s="150">
        <f>IF(E688="","",IF(C688=1,IF($B688=1,Input!$C$33,Input!$C$34),0))</f>
        <v>0</v>
      </c>
      <c r="W688" s="156">
        <f>IF($E688="","",Input!$C$35)</f>
        <v>0.02</v>
      </c>
      <c r="X688" s="156">
        <f t="shared" si="412"/>
        <v>3.0311652864835552</v>
      </c>
      <c r="Y688" s="154"/>
      <c r="Z688" s="147">
        <f>IF($E688="","",VLOOKUP($D688,'Mortality Margins &amp; Grading'!$AB$5:$AF$125,3,0)*IF(Summary!$D$25="Included Margin",IF(AND($B688&gt;Input!$C$9,Summary!$D$31&lt;&gt;"Included Margin"),0,1),0))</f>
        <v>1.4E-2</v>
      </c>
      <c r="AA688" s="147">
        <f>IF($E688="","",VLOOKUP($D688,'Mortality Margins &amp; Grading'!$AB$5:$AF$125,5,0)*IF(Summary!$D$25="Included Margin",IF(AND($B688&gt;Input!$C$9,Summary!$D$31&lt;&gt;"Included Margin"),0,1),0))</f>
        <v>7.3999999999999996E-2</v>
      </c>
      <c r="AB688" s="147">
        <f>IF($E688="","",IF(AND($B688&gt;Input!$C$9,Summary!$D$31&lt;&gt;"Included Margin"),1,IF(Summary!$D$25="Included Margin",VLOOKUP($B688,'Mortality Margins &amp; Grading'!$AI$5:$AR$125,MATCH('Mortality Margins &amp; Grading'!$AQ$4,'Mortality Margins &amp; Grading'!$AI$4:$AR$4,0),0),1)))</f>
        <v>0</v>
      </c>
      <c r="AC688" s="154"/>
      <c r="AD688" s="158">
        <f>IF(E688="","",Input!$C$48*IF(Summary!$D$30="Included Margin",IF(AND($B688&gt;Input!$C$9,Summary!$D$31&lt;&gt;"Included Margin"),0,1),0))</f>
        <v>-4.4999999999999997E-3</v>
      </c>
      <c r="AE688" s="159">
        <f>IF(E688="","",IF(Summary!$D$26="Included Margin",IF(AND($B688&gt;Input!$C$9,Summary!$D$31&lt;&gt;"Included Margin"),1,1/$R688),1))</f>
        <v>1.3240594285489531</v>
      </c>
      <c r="AF688" s="160">
        <f>IF(E688="","",IF(AND($B688&gt;=Input!$C$9,$C688=12,Summary!$D$31="Included Margin",$U688&gt;0),1/U688-1,IF($B688&gt;=Input!$C$9,0,Input!$C$45*IF(Summary!$D$27="Included Margin",1,0))))</f>
        <v>9</v>
      </c>
      <c r="AG688" s="160">
        <f>IF(E688="","",Input!$C$46*IF(Summary!$D$28="Included Margin",IF(AND($B688&gt;Input!$C$9,Summary!$D$31&lt;&gt;"Included Margin"),0,1),0))</f>
        <v>0.02</v>
      </c>
      <c r="AH688" s="158">
        <f>IF(E688="","",Input!$C$47*IF(Summary!$D$29="Included Margin",IF(AND($B688&gt;Input!$C$9,Summary!$D$31&lt;&gt;"Included Margin"),0,1),0))</f>
        <v>2.5000000000000001E-3</v>
      </c>
      <c r="AI688" s="154"/>
      <c r="AJ688" s="158">
        <f t="shared" si="435"/>
        <v>4.333E-2</v>
      </c>
      <c r="AK688" s="155">
        <f t="shared" si="436"/>
        <v>3.5410481657136561E-3</v>
      </c>
      <c r="AL688" s="147">
        <f t="shared" si="437"/>
        <v>1</v>
      </c>
      <c r="AM688" s="147">
        <f t="shared" si="415"/>
        <v>1</v>
      </c>
      <c r="AN688" s="160">
        <f t="shared" si="438"/>
        <v>1</v>
      </c>
      <c r="AO688" s="161">
        <f t="shared" si="439"/>
        <v>0</v>
      </c>
      <c r="AP688" s="156">
        <f t="shared" si="416"/>
        <v>3.4765280199831752</v>
      </c>
      <c r="AQ688" s="152"/>
      <c r="AR688" s="162">
        <f t="shared" si="417"/>
        <v>99823.260513232046</v>
      </c>
      <c r="AS688" s="150">
        <f t="shared" si="440"/>
        <v>0</v>
      </c>
      <c r="AT688" s="163">
        <f t="shared" si="418"/>
        <v>0</v>
      </c>
      <c r="AU688" s="163">
        <f t="shared" si="419"/>
        <v>100000</v>
      </c>
      <c r="AV688" s="163">
        <f t="shared" si="441"/>
        <v>176.42656525025396</v>
      </c>
      <c r="AW688" s="163">
        <f t="shared" si="420"/>
        <v>0</v>
      </c>
      <c r="AX688" s="163">
        <f t="shared" si="421"/>
        <v>0</v>
      </c>
      <c r="AY688" s="165">
        <f t="shared" si="442"/>
        <v>-0.31292151770011856</v>
      </c>
      <c r="AZ688" s="164">
        <f>IF($E688="","",IF(OR(AND($D688=Input!$C$6,$C688=12),$AN688=1),0,-AS689+AT689+AU689-AV689-AW689-AX689+AZ689))</f>
        <v>0</v>
      </c>
      <c r="BA688" s="154">
        <f t="shared" si="422"/>
        <v>0.31292151770011856</v>
      </c>
      <c r="BC688" s="147">
        <f t="shared" si="443"/>
        <v>3.9306482242215235E-9</v>
      </c>
      <c r="BD688" s="164">
        <f>IF(AND($C687=12,$D687=Input!$C$6),0,IF($E688="","",AT688+(AU688+BD689)/(1+$AK688)*MIN((1-AM688-AN688),1)))</f>
        <v>-99827.797206735937</v>
      </c>
      <c r="BE688" s="164">
        <f t="shared" si="423"/>
        <v>-3.9238795381860299E-4</v>
      </c>
      <c r="BF688" s="164">
        <f t="shared" si="444"/>
        <v>0</v>
      </c>
      <c r="BG688" s="164">
        <f t="shared" si="424"/>
        <v>0</v>
      </c>
      <c r="BH688" s="152"/>
      <c r="BI688" s="162">
        <f t="shared" si="425"/>
        <v>-13266.199545366224</v>
      </c>
      <c r="BJ688" s="150">
        <f t="shared" si="426"/>
        <v>0</v>
      </c>
      <c r="BK688" s="163">
        <f t="shared" si="448"/>
        <v>0</v>
      </c>
      <c r="BL688" s="163">
        <f t="shared" si="427"/>
        <v>11067.650658929817</v>
      </c>
      <c r="BM688" s="163">
        <f t="shared" si="449"/>
        <v>-73.339571822925294</v>
      </c>
      <c r="BN688" s="163">
        <f t="shared" si="428"/>
        <v>-3374.9721856658334</v>
      </c>
      <c r="BO688" s="163">
        <f t="shared" si="429"/>
        <v>-2711.9053056653979</v>
      </c>
      <c r="BP688" s="164">
        <f t="shared" si="450"/>
        <v>-30494.067267450195</v>
      </c>
      <c r="BQ688" s="164">
        <f>IF($E688="","",IF(AND($D688=Input!$C$6,$C688=12),0,-BJ689+BK689+BL689-BM689-BN689-BO689+BQ689))</f>
        <v>-30494.025242319811</v>
      </c>
      <c r="BR688" s="161">
        <f t="shared" si="430"/>
        <v>0</v>
      </c>
      <c r="BT688" s="147">
        <f t="shared" si="431"/>
        <v>3.9306482242215235E-9</v>
      </c>
      <c r="BU688" s="164">
        <f>IF(AND($C687=12,$D687=Input!$C$6),0,IF($E688="","",BK688+(BL688+BU689)/(1+$AK688)*MIN((1-T688-U688),1)))</f>
        <v>74113.736302675345</v>
      </c>
      <c r="BV688" s="164">
        <f t="shared" si="432"/>
        <v>2.913150259885331E-4</v>
      </c>
      <c r="BW688" s="164">
        <f t="shared" si="433"/>
        <v>-30494.025242319811</v>
      </c>
      <c r="BX688" s="164">
        <f t="shared" si="434"/>
        <v>-1.1986128616809067E-4</v>
      </c>
    </row>
    <row r="689" spans="1:76" s="150" customFormat="1" x14ac:dyDescent="0.25">
      <c r="A689" s="150">
        <f t="shared" si="445"/>
        <v>685</v>
      </c>
      <c r="B689" s="150">
        <f t="shared" si="446"/>
        <v>58</v>
      </c>
      <c r="C689" s="150">
        <f t="shared" si="447"/>
        <v>1</v>
      </c>
      <c r="D689" s="150">
        <f>IF(E689="","",Input!$C$4+B689-1)</f>
        <v>102</v>
      </c>
      <c r="E689" s="150">
        <f>IF(OR(AND(C688=12,D688=Input!$C$6),E688=""),"",1)</f>
        <v>1</v>
      </c>
      <c r="F689" s="150">
        <f>IF(E689="","",Input!$C$8+B689-1)</f>
        <v>2075</v>
      </c>
      <c r="G689" s="151">
        <f>IF(E689="","",MAX(0,Input!$C$9-B689))</f>
        <v>0</v>
      </c>
      <c r="H689" s="152">
        <f>IF(E689="","",Input!$C$3)</f>
        <v>100000</v>
      </c>
      <c r="I689" s="153">
        <f>IF(E689="","",HLOOKUP($B689,Input!$C$13:$BT$14,2))</f>
        <v>972.16000000000008</v>
      </c>
      <c r="J689" s="154"/>
      <c r="K689" s="155">
        <f>IF($E689="","",INDEX(Input!$C$16:$CP$16,1,$B689))</f>
        <v>3.2870000000000003E-2</v>
      </c>
      <c r="L689" s="155">
        <f>IF($E689="","",Input!$C$37)</f>
        <v>1.4999999999999999E-2</v>
      </c>
      <c r="M689" s="155">
        <f t="shared" si="410"/>
        <v>4.7870000000000003E-2</v>
      </c>
      <c r="N689" s="155">
        <f t="shared" si="411"/>
        <v>3.9042294244571174E-3</v>
      </c>
      <c r="O689" s="147">
        <f>IF($E689="","",MIN(VLOOKUP(IF($B689&lt;=Input!$C$7,$B689,26),'Mortality Tables'!$A$41:$CW$67,IF($B689&lt;=Input!$C$7+1,Input!$C$4+2,$D689-Input!$C$7+2),0)*IF(B689&gt;20,Input!$C$22,1)/1000,1))</f>
        <v>1</v>
      </c>
      <c r="P689" s="147">
        <f>IF($E689="","",MIN(VLOOKUP(IF($B689&lt;=Input!$C$7,$B689,26),'Mortality Tables'!$A$12:$CW$37,IF($B689&lt;=Input!$C$7+1,Input!$C$4+2,$D689-Input!$C$7+2),0)*IF(B689&gt;20,Input!$C$22,1)/1000,1))</f>
        <v>1</v>
      </c>
      <c r="Q689" s="155">
        <f>IF($E689="","",Input!$C$21)</f>
        <v>5.0000000000000001E-3</v>
      </c>
      <c r="R689" s="159">
        <f>IF($E689="","",(1-Q689)^($F689-Input!$C$20))</f>
        <v>0.75147684352085931</v>
      </c>
      <c r="S689" s="147">
        <f t="shared" si="413"/>
        <v>0.75147684352085931</v>
      </c>
      <c r="T689" s="147">
        <f t="shared" si="414"/>
        <v>0.10954104648310925</v>
      </c>
      <c r="U689" s="160">
        <f>IF($E689="","",IF($C689=12,INDEX(Input!$C$15:$CP$15,1,$B689),0))</f>
        <v>0</v>
      </c>
      <c r="V689" s="150">
        <f>IF(E689="","",IF(C689=1,IF($B689=1,Input!$C$33,Input!$C$34),0))</f>
        <v>50</v>
      </c>
      <c r="W689" s="156">
        <f>IF($E689="","",Input!$C$35)</f>
        <v>0.02</v>
      </c>
      <c r="X689" s="156">
        <f t="shared" si="412"/>
        <v>3.0917885922132262</v>
      </c>
      <c r="Y689" s="154"/>
      <c r="Z689" s="147">
        <f>IF($E689="","",VLOOKUP($D689,'Mortality Margins &amp; Grading'!$AB$5:$AF$125,3,0)*IF(Summary!$D$25="Included Margin",IF(AND($B689&gt;Input!$C$9,Summary!$D$31&lt;&gt;"Included Margin"),0,1),0))</f>
        <v>1.2999999999999999E-2</v>
      </c>
      <c r="AA689" s="147">
        <f>IF($E689="","",VLOOKUP($D689,'Mortality Margins &amp; Grading'!$AB$5:$AF$125,5,0)*IF(Summary!$D$25="Included Margin",IF(AND($B689&gt;Input!$C$9,Summary!$D$31&lt;&gt;"Included Margin"),0,1),0))</f>
        <v>6.7000000000000004E-2</v>
      </c>
      <c r="AB689" s="147">
        <f>IF($E689="","",IF(AND($B689&gt;Input!$C$9,Summary!$D$31&lt;&gt;"Included Margin"),1,IF(Summary!$D$25="Included Margin",VLOOKUP($B689,'Mortality Margins &amp; Grading'!$AI$5:$AR$125,MATCH('Mortality Margins &amp; Grading'!$AQ$4,'Mortality Margins &amp; Grading'!$AI$4:$AR$4,0),0),1)))</f>
        <v>0</v>
      </c>
      <c r="AC689" s="154"/>
      <c r="AD689" s="158">
        <f>IF(E689="","",Input!$C$48*IF(Summary!$D$30="Included Margin",IF(AND($B689&gt;Input!$C$9,Summary!$D$31&lt;&gt;"Included Margin"),0,1),0))</f>
        <v>-4.4999999999999997E-3</v>
      </c>
      <c r="AE689" s="159">
        <f>IF(E689="","",IF(Summary!$D$26="Included Margin",IF(AND($B689&gt;Input!$C$9,Summary!$D$31&lt;&gt;"Included Margin"),1,1/$R689),1))</f>
        <v>1.3307129935165358</v>
      </c>
      <c r="AF689" s="160">
        <f>IF(E689="","",IF(AND($B689&gt;=Input!$C$9,$C689=12,Summary!$D$31="Included Margin",$U689&gt;0),1/U689-1,IF($B689&gt;=Input!$C$9,0,Input!$C$45*IF(Summary!$D$27="Included Margin",1,0))))</f>
        <v>0</v>
      </c>
      <c r="AG689" s="160">
        <f>IF(E689="","",Input!$C$46*IF(Summary!$D$28="Included Margin",IF(AND($B689&gt;Input!$C$9,Summary!$D$31&lt;&gt;"Included Margin"),0,1),0))</f>
        <v>0.02</v>
      </c>
      <c r="AH689" s="158">
        <f>IF(E689="","",Input!$C$47*IF(Summary!$D$29="Included Margin",IF(AND($B689&gt;Input!$C$9,Summary!$D$31&lt;&gt;"Included Margin"),0,1),0))</f>
        <v>2.5000000000000001E-3</v>
      </c>
      <c r="AI689" s="154"/>
      <c r="AJ689" s="158">
        <f t="shared" si="435"/>
        <v>4.3370000000000006E-2</v>
      </c>
      <c r="AK689" s="155">
        <f t="shared" si="436"/>
        <v>3.5442543210510991E-3</v>
      </c>
      <c r="AL689" s="147">
        <f t="shared" si="437"/>
        <v>1</v>
      </c>
      <c r="AM689" s="147">
        <f t="shared" si="415"/>
        <v>1</v>
      </c>
      <c r="AN689" s="160">
        <f t="shared" si="438"/>
        <v>0</v>
      </c>
      <c r="AO689" s="161">
        <f t="shared" si="439"/>
        <v>51</v>
      </c>
      <c r="AP689" s="156">
        <f t="shared" si="416"/>
        <v>3.5547499004327965</v>
      </c>
      <c r="AQ689" s="152"/>
      <c r="AR689" s="162">
        <f t="shared" si="417"/>
        <v>2788.3930167963349</v>
      </c>
      <c r="AS689" s="150">
        <f t="shared" si="440"/>
        <v>97216.000000000015</v>
      </c>
      <c r="AT689" s="163">
        <f t="shared" si="418"/>
        <v>181.29224492207263</v>
      </c>
      <c r="AU689" s="163">
        <f t="shared" si="419"/>
        <v>100000</v>
      </c>
      <c r="AV689" s="163">
        <f t="shared" si="441"/>
        <v>176.58574019887976</v>
      </c>
      <c r="AW689" s="163">
        <f t="shared" si="420"/>
        <v>99823.414259801124</v>
      </c>
      <c r="AX689" s="163">
        <f t="shared" si="421"/>
        <v>0</v>
      </c>
      <c r="AY689" s="164">
        <f t="shared" si="442"/>
        <v>99823.100771874277</v>
      </c>
      <c r="AZ689" s="164">
        <f>IF($E689="","",IF(OR(AND($D689=Input!$C$6,$C689=12),$AN689=1),0,-AS690+AT690+AU690-AV690-AW690-AX690+AZ690))</f>
        <v>99823.414259801124</v>
      </c>
      <c r="BA689" s="154">
        <f t="shared" si="422"/>
        <v>0.31348792684730142</v>
      </c>
      <c r="BC689" s="147">
        <f t="shared" si="443"/>
        <v>3.5000809043833228E-9</v>
      </c>
      <c r="BD689" s="164">
        <f>IF(AND($C688=12,$D688=Input!$C$6),0,IF($E689="","",AT689+(AU689+BD690)/(1+$AK689)*MIN((1-AM689-AN689),1)))</f>
        <v>181.29224492207263</v>
      </c>
      <c r="BE689" s="164">
        <f t="shared" si="423"/>
        <v>6.3453752456453082E-7</v>
      </c>
      <c r="BF689" s="164">
        <f t="shared" si="444"/>
        <v>99823.414259801124</v>
      </c>
      <c r="BG689" s="164">
        <f t="shared" si="424"/>
        <v>3.4939002606107581E-4</v>
      </c>
      <c r="BH689" s="152"/>
      <c r="BI689" s="162">
        <f t="shared" si="425"/>
        <v>-30494.066904365271</v>
      </c>
      <c r="BJ689" s="150">
        <f t="shared" si="426"/>
        <v>97216.000000000015</v>
      </c>
      <c r="BK689" s="163">
        <f t="shared" si="448"/>
        <v>154.58942961066131</v>
      </c>
      <c r="BL689" s="163">
        <f t="shared" si="427"/>
        <v>10954.104648310926</v>
      </c>
      <c r="BM689" s="163">
        <f t="shared" si="449"/>
        <v>238.51051300558134</v>
      </c>
      <c r="BN689" s="163">
        <f t="shared" si="428"/>
        <v>6870.685763839022</v>
      </c>
      <c r="BO689" s="163">
        <f t="shared" si="429"/>
        <v>0</v>
      </c>
      <c r="BP689" s="164">
        <f t="shared" si="450"/>
        <v>62722.435294557763</v>
      </c>
      <c r="BQ689" s="164">
        <f>IF($E689="","",IF(AND($D689=Input!$C$6,$C689=12),0,-BJ690+BK690+BL690-BM690-BN690-BO690+BQ690))</f>
        <v>62722.476956603219</v>
      </c>
      <c r="BR689" s="161">
        <f t="shared" si="430"/>
        <v>0</v>
      </c>
      <c r="BT689" s="147">
        <f t="shared" si="431"/>
        <v>3.5000809043833228E-9</v>
      </c>
      <c r="BU689" s="164">
        <f>IF(AND($C688=12,$D688=Input!$C$6),0,IF($E689="","",BK689+(BL689+BU690)/(1+$AK689)*MIN((1-T689-U689),1)))</f>
        <v>83160.099095839731</v>
      </c>
      <c r="BV689" s="164">
        <f t="shared" si="432"/>
        <v>2.9106707485197347E-4</v>
      </c>
      <c r="BW689" s="164">
        <f t="shared" si="433"/>
        <v>62722.476956603219</v>
      </c>
      <c r="BX689" s="164">
        <f t="shared" si="434"/>
        <v>2.1953374387142992E-4</v>
      </c>
    </row>
    <row r="690" spans="1:76" s="150" customFormat="1" x14ac:dyDescent="0.25">
      <c r="A690" s="150">
        <f t="shared" si="445"/>
        <v>686</v>
      </c>
      <c r="B690" s="150">
        <f t="shared" si="446"/>
        <v>58</v>
      </c>
      <c r="C690" s="150">
        <f t="shared" si="447"/>
        <v>2</v>
      </c>
      <c r="D690" s="150">
        <f>IF(E690="","",Input!$C$4+B690-1)</f>
        <v>102</v>
      </c>
      <c r="E690" s="150">
        <f>IF(OR(AND(C689=12,D689=Input!$C$6),E689=""),"",1)</f>
        <v>1</v>
      </c>
      <c r="F690" s="150">
        <f>IF(E690="","",Input!$C$8+B690-1)</f>
        <v>2075</v>
      </c>
      <c r="G690" s="151">
        <f>IF(E690="","",MAX(0,Input!$C$9-B690))</f>
        <v>0</v>
      </c>
      <c r="H690" s="152">
        <f>IF(E690="","",Input!$C$3)</f>
        <v>100000</v>
      </c>
      <c r="I690" s="153">
        <f>IF(E690="","",HLOOKUP($B690,Input!$C$13:$BT$14,2))</f>
        <v>972.16000000000008</v>
      </c>
      <c r="J690" s="154"/>
      <c r="K690" s="155">
        <f>IF($E690="","",INDEX(Input!$C$16:$CP$16,1,$B690))</f>
        <v>3.2870000000000003E-2</v>
      </c>
      <c r="L690" s="155">
        <f>IF($E690="","",Input!$C$37)</f>
        <v>1.4999999999999999E-2</v>
      </c>
      <c r="M690" s="155">
        <f t="shared" si="410"/>
        <v>4.7870000000000003E-2</v>
      </c>
      <c r="N690" s="155">
        <f t="shared" si="411"/>
        <v>3.9042294244571174E-3</v>
      </c>
      <c r="O690" s="147">
        <f>IF($E690="","",MIN(VLOOKUP(IF($B690&lt;=Input!$C$7,$B690,26),'Mortality Tables'!$A$41:$CW$67,IF($B690&lt;=Input!$C$7+1,Input!$C$4+2,$D690-Input!$C$7+2),0)*IF(B690&gt;20,Input!$C$22,1)/1000,1))</f>
        <v>1</v>
      </c>
      <c r="P690" s="147">
        <f>IF($E690="","",MIN(VLOOKUP(IF($B690&lt;=Input!$C$7,$B690,26),'Mortality Tables'!$A$12:$CW$37,IF($B690&lt;=Input!$C$7+1,Input!$C$4+2,$D690-Input!$C$7+2),0)*IF(B690&gt;20,Input!$C$22,1)/1000,1))</f>
        <v>1</v>
      </c>
      <c r="Q690" s="155">
        <f>IF($E690="","",Input!$C$21)</f>
        <v>5.0000000000000001E-3</v>
      </c>
      <c r="R690" s="159">
        <f>IF($E690="","",(1-Q690)^($F690-Input!$C$20))</f>
        <v>0.75147684352085931</v>
      </c>
      <c r="S690" s="147">
        <f t="shared" si="413"/>
        <v>0.75147684352085931</v>
      </c>
      <c r="T690" s="147">
        <f t="shared" si="414"/>
        <v>0.10954104648310925</v>
      </c>
      <c r="U690" s="160">
        <f>IF($E690="","",IF($C690=12,INDEX(Input!$C$15:$CP$15,1,$B690),0))</f>
        <v>0</v>
      </c>
      <c r="V690" s="150">
        <f>IF(E690="","",IF(C690=1,IF($B690=1,Input!$C$33,Input!$C$34),0))</f>
        <v>0</v>
      </c>
      <c r="W690" s="156">
        <f>IF($E690="","",Input!$C$35)</f>
        <v>0.02</v>
      </c>
      <c r="X690" s="156">
        <f t="shared" si="412"/>
        <v>3.0917885922132262</v>
      </c>
      <c r="Y690" s="154"/>
      <c r="Z690" s="147">
        <f>IF($E690="","",VLOOKUP($D690,'Mortality Margins &amp; Grading'!$AB$5:$AF$125,3,0)*IF(Summary!$D$25="Included Margin",IF(AND($B690&gt;Input!$C$9,Summary!$D$31&lt;&gt;"Included Margin"),0,1),0))</f>
        <v>1.2999999999999999E-2</v>
      </c>
      <c r="AA690" s="147">
        <f>IF($E690="","",VLOOKUP($D690,'Mortality Margins &amp; Grading'!$AB$5:$AF$125,5,0)*IF(Summary!$D$25="Included Margin",IF(AND($B690&gt;Input!$C$9,Summary!$D$31&lt;&gt;"Included Margin"),0,1),0))</f>
        <v>6.7000000000000004E-2</v>
      </c>
      <c r="AB690" s="147">
        <f>IF($E690="","",IF(AND($B690&gt;Input!$C$9,Summary!$D$31&lt;&gt;"Included Margin"),1,IF(Summary!$D$25="Included Margin",VLOOKUP($B690,'Mortality Margins &amp; Grading'!$AI$5:$AR$125,MATCH('Mortality Margins &amp; Grading'!$AQ$4,'Mortality Margins &amp; Grading'!$AI$4:$AR$4,0),0),1)))</f>
        <v>0</v>
      </c>
      <c r="AC690" s="154"/>
      <c r="AD690" s="158">
        <f>IF(E690="","",Input!$C$48*IF(Summary!$D$30="Included Margin",IF(AND($B690&gt;Input!$C$9,Summary!$D$31&lt;&gt;"Included Margin"),0,1),0))</f>
        <v>-4.4999999999999997E-3</v>
      </c>
      <c r="AE690" s="159">
        <f>IF(E690="","",IF(Summary!$D$26="Included Margin",IF(AND($B690&gt;Input!$C$9,Summary!$D$31&lt;&gt;"Included Margin"),1,1/$R690),1))</f>
        <v>1.3307129935165358</v>
      </c>
      <c r="AF690" s="160">
        <f>IF(E690="","",IF(AND($B690&gt;=Input!$C$9,$C690=12,Summary!$D$31="Included Margin",$U690&gt;0),1/U690-1,IF($B690&gt;=Input!$C$9,0,Input!$C$45*IF(Summary!$D$27="Included Margin",1,0))))</f>
        <v>0</v>
      </c>
      <c r="AG690" s="160">
        <f>IF(E690="","",Input!$C$46*IF(Summary!$D$28="Included Margin",IF(AND($B690&gt;Input!$C$9,Summary!$D$31&lt;&gt;"Included Margin"),0,1),0))</f>
        <v>0.02</v>
      </c>
      <c r="AH690" s="158">
        <f>IF(E690="","",Input!$C$47*IF(Summary!$D$29="Included Margin",IF(AND($B690&gt;Input!$C$9,Summary!$D$31&lt;&gt;"Included Margin"),0,1),0))</f>
        <v>2.5000000000000001E-3</v>
      </c>
      <c r="AI690" s="154"/>
      <c r="AJ690" s="158">
        <f t="shared" si="435"/>
        <v>4.3370000000000006E-2</v>
      </c>
      <c r="AK690" s="155">
        <f t="shared" si="436"/>
        <v>3.5442543210510991E-3</v>
      </c>
      <c r="AL690" s="147">
        <f t="shared" si="437"/>
        <v>1</v>
      </c>
      <c r="AM690" s="147">
        <f t="shared" si="415"/>
        <v>1</v>
      </c>
      <c r="AN690" s="160">
        <f t="shared" si="438"/>
        <v>0</v>
      </c>
      <c r="AO690" s="161">
        <f t="shared" si="439"/>
        <v>0</v>
      </c>
      <c r="AP690" s="156">
        <f t="shared" si="416"/>
        <v>3.5547499004327965</v>
      </c>
      <c r="AQ690" s="152"/>
      <c r="AR690" s="162">
        <f t="shared" si="417"/>
        <v>99823.100771874277</v>
      </c>
      <c r="AS690" s="150">
        <f t="shared" si="440"/>
        <v>0</v>
      </c>
      <c r="AT690" s="163">
        <f t="shared" si="418"/>
        <v>0</v>
      </c>
      <c r="AU690" s="163">
        <f t="shared" si="419"/>
        <v>100000</v>
      </c>
      <c r="AV690" s="163">
        <f t="shared" si="441"/>
        <v>176.58574019887976</v>
      </c>
      <c r="AW690" s="163">
        <f t="shared" si="420"/>
        <v>99823.414259801124</v>
      </c>
      <c r="AX690" s="163">
        <f t="shared" si="421"/>
        <v>0</v>
      </c>
      <c r="AY690" s="165">
        <f t="shared" si="442"/>
        <v>99823.100771874277</v>
      </c>
      <c r="AZ690" s="164">
        <f>IF($E690="","",IF(OR(AND($D690=Input!$C$6,$C690=12),$AN690=1),0,-AS691+AT691+AU691-AV691-AW691-AX691+AZ691))</f>
        <v>99823.414259801124</v>
      </c>
      <c r="BA690" s="154">
        <f t="shared" si="422"/>
        <v>0.31348792684730142</v>
      </c>
      <c r="BC690" s="147">
        <f t="shared" si="443"/>
        <v>3.1166783793416261E-9</v>
      </c>
      <c r="BD690" s="164">
        <f>IF(AND($C689=12,$D689=Input!$C$6),0,IF($E690="","",AT690+(AU690+BD691)/(1+$AK690)*MIN((1-AM690-AN690),1)))</f>
        <v>0</v>
      </c>
      <c r="BE690" s="164">
        <f t="shared" si="423"/>
        <v>0</v>
      </c>
      <c r="BF690" s="164">
        <f t="shared" si="444"/>
        <v>99823.414259801124</v>
      </c>
      <c r="BG690" s="164">
        <f t="shared" si="424"/>
        <v>3.1111747697558476E-4</v>
      </c>
      <c r="BH690" s="152"/>
      <c r="BI690" s="162">
        <f t="shared" si="425"/>
        <v>62722.435294557763</v>
      </c>
      <c r="BJ690" s="150">
        <f t="shared" si="426"/>
        <v>0</v>
      </c>
      <c r="BK690" s="163">
        <f t="shared" si="448"/>
        <v>0</v>
      </c>
      <c r="BL690" s="163">
        <f t="shared" si="427"/>
        <v>10954.104648310926</v>
      </c>
      <c r="BM690" s="163">
        <f t="shared" si="449"/>
        <v>223.49910860736105</v>
      </c>
      <c r="BN690" s="163">
        <f t="shared" si="428"/>
        <v>6395.8523648158407</v>
      </c>
      <c r="BO690" s="163">
        <f t="shared" si="429"/>
        <v>0</v>
      </c>
      <c r="BP690" s="164">
        <f t="shared" si="450"/>
        <v>58387.682119670048</v>
      </c>
      <c r="BQ690" s="164">
        <f>IF($E690="","",IF(AND($D690=Input!$C$6,$C690=12),0,-BJ691+BK691+BL691-BM691-BN691-BO691+BQ691))</f>
        <v>58387.723781715496</v>
      </c>
      <c r="BR690" s="161">
        <f t="shared" si="430"/>
        <v>0</v>
      </c>
      <c r="BT690" s="147">
        <f t="shared" si="431"/>
        <v>3.1166783793416261E-9</v>
      </c>
      <c r="BU690" s="164">
        <f>IF(AND($C689=12,$D689=Input!$C$6),0,IF($E690="","",BK690+(BL690+BU691)/(1+$AK690)*MIN((1-T690-U690),1)))</f>
        <v>82592.826373652875</v>
      </c>
      <c r="BV690" s="164">
        <f t="shared" si="432"/>
        <v>2.5741527624748077E-4</v>
      </c>
      <c r="BW690" s="164">
        <f t="shared" si="433"/>
        <v>58387.723781715496</v>
      </c>
      <c r="BX690" s="164">
        <f t="shared" si="434"/>
        <v>1.8197575632944356E-4</v>
      </c>
    </row>
    <row r="691" spans="1:76" s="150" customFormat="1" x14ac:dyDescent="0.25">
      <c r="A691" s="150">
        <f t="shared" si="445"/>
        <v>687</v>
      </c>
      <c r="B691" s="150">
        <f t="shared" si="446"/>
        <v>58</v>
      </c>
      <c r="C691" s="150">
        <f t="shared" si="447"/>
        <v>3</v>
      </c>
      <c r="D691" s="150">
        <f>IF(E691="","",Input!$C$4+B691-1)</f>
        <v>102</v>
      </c>
      <c r="E691" s="150">
        <f>IF(OR(AND(C690=12,D690=Input!$C$6),E690=""),"",1)</f>
        <v>1</v>
      </c>
      <c r="F691" s="150">
        <f>IF(E691="","",Input!$C$8+B691-1)</f>
        <v>2075</v>
      </c>
      <c r="G691" s="151">
        <f>IF(E691="","",MAX(0,Input!$C$9-B691))</f>
        <v>0</v>
      </c>
      <c r="H691" s="152">
        <f>IF(E691="","",Input!$C$3)</f>
        <v>100000</v>
      </c>
      <c r="I691" s="153">
        <f>IF(E691="","",HLOOKUP($B691,Input!$C$13:$BT$14,2))</f>
        <v>972.16000000000008</v>
      </c>
      <c r="J691" s="154"/>
      <c r="K691" s="155">
        <f>IF($E691="","",INDEX(Input!$C$16:$CP$16,1,$B691))</f>
        <v>3.2870000000000003E-2</v>
      </c>
      <c r="L691" s="155">
        <f>IF($E691="","",Input!$C$37)</f>
        <v>1.4999999999999999E-2</v>
      </c>
      <c r="M691" s="155">
        <f t="shared" si="410"/>
        <v>4.7870000000000003E-2</v>
      </c>
      <c r="N691" s="155">
        <f t="shared" si="411"/>
        <v>3.9042294244571174E-3</v>
      </c>
      <c r="O691" s="147">
        <f>IF($E691="","",MIN(VLOOKUP(IF($B691&lt;=Input!$C$7,$B691,26),'Mortality Tables'!$A$41:$CW$67,IF($B691&lt;=Input!$C$7+1,Input!$C$4+2,$D691-Input!$C$7+2),0)*IF(B691&gt;20,Input!$C$22,1)/1000,1))</f>
        <v>1</v>
      </c>
      <c r="P691" s="147">
        <f>IF($E691="","",MIN(VLOOKUP(IF($B691&lt;=Input!$C$7,$B691,26),'Mortality Tables'!$A$12:$CW$37,IF($B691&lt;=Input!$C$7+1,Input!$C$4+2,$D691-Input!$C$7+2),0)*IF(B691&gt;20,Input!$C$22,1)/1000,1))</f>
        <v>1</v>
      </c>
      <c r="Q691" s="155">
        <f>IF($E691="","",Input!$C$21)</f>
        <v>5.0000000000000001E-3</v>
      </c>
      <c r="R691" s="159">
        <f>IF($E691="","",(1-Q691)^($F691-Input!$C$20))</f>
        <v>0.75147684352085931</v>
      </c>
      <c r="S691" s="147">
        <f t="shared" si="413"/>
        <v>0.75147684352085931</v>
      </c>
      <c r="T691" s="147">
        <f t="shared" si="414"/>
        <v>0.10954104648310925</v>
      </c>
      <c r="U691" s="160">
        <f>IF($E691="","",IF($C691=12,INDEX(Input!$C$15:$CP$15,1,$B691),0))</f>
        <v>0</v>
      </c>
      <c r="V691" s="150">
        <f>IF(E691="","",IF(C691=1,IF($B691=1,Input!$C$33,Input!$C$34),0))</f>
        <v>0</v>
      </c>
      <c r="W691" s="156">
        <f>IF($E691="","",Input!$C$35)</f>
        <v>0.02</v>
      </c>
      <c r="X691" s="156">
        <f t="shared" si="412"/>
        <v>3.0917885922132262</v>
      </c>
      <c r="Y691" s="154"/>
      <c r="Z691" s="147">
        <f>IF($E691="","",VLOOKUP($D691,'Mortality Margins &amp; Grading'!$AB$5:$AF$125,3,0)*IF(Summary!$D$25="Included Margin",IF(AND($B691&gt;Input!$C$9,Summary!$D$31&lt;&gt;"Included Margin"),0,1),0))</f>
        <v>1.2999999999999999E-2</v>
      </c>
      <c r="AA691" s="147">
        <f>IF($E691="","",VLOOKUP($D691,'Mortality Margins &amp; Grading'!$AB$5:$AF$125,5,0)*IF(Summary!$D$25="Included Margin",IF(AND($B691&gt;Input!$C$9,Summary!$D$31&lt;&gt;"Included Margin"),0,1),0))</f>
        <v>6.7000000000000004E-2</v>
      </c>
      <c r="AB691" s="147">
        <f>IF($E691="","",IF(AND($B691&gt;Input!$C$9,Summary!$D$31&lt;&gt;"Included Margin"),1,IF(Summary!$D$25="Included Margin",VLOOKUP($B691,'Mortality Margins &amp; Grading'!$AI$5:$AR$125,MATCH('Mortality Margins &amp; Grading'!$AQ$4,'Mortality Margins &amp; Grading'!$AI$4:$AR$4,0),0),1)))</f>
        <v>0</v>
      </c>
      <c r="AC691" s="154"/>
      <c r="AD691" s="158">
        <f>IF(E691="","",Input!$C$48*IF(Summary!$D$30="Included Margin",IF(AND($B691&gt;Input!$C$9,Summary!$D$31&lt;&gt;"Included Margin"),0,1),0))</f>
        <v>-4.4999999999999997E-3</v>
      </c>
      <c r="AE691" s="159">
        <f>IF(E691="","",IF(Summary!$D$26="Included Margin",IF(AND($B691&gt;Input!$C$9,Summary!$D$31&lt;&gt;"Included Margin"),1,1/$R691),1))</f>
        <v>1.3307129935165358</v>
      </c>
      <c r="AF691" s="160">
        <f>IF(E691="","",IF(AND($B691&gt;=Input!$C$9,$C691=12,Summary!$D$31="Included Margin",$U691&gt;0),1/U691-1,IF($B691&gt;=Input!$C$9,0,Input!$C$45*IF(Summary!$D$27="Included Margin",1,0))))</f>
        <v>0</v>
      </c>
      <c r="AG691" s="160">
        <f>IF(E691="","",Input!$C$46*IF(Summary!$D$28="Included Margin",IF(AND($B691&gt;Input!$C$9,Summary!$D$31&lt;&gt;"Included Margin"),0,1),0))</f>
        <v>0.02</v>
      </c>
      <c r="AH691" s="158">
        <f>IF(E691="","",Input!$C$47*IF(Summary!$D$29="Included Margin",IF(AND($B691&gt;Input!$C$9,Summary!$D$31&lt;&gt;"Included Margin"),0,1),0))</f>
        <v>2.5000000000000001E-3</v>
      </c>
      <c r="AI691" s="154"/>
      <c r="AJ691" s="158">
        <f t="shared" si="435"/>
        <v>4.3370000000000006E-2</v>
      </c>
      <c r="AK691" s="155">
        <f t="shared" si="436"/>
        <v>3.5442543210510991E-3</v>
      </c>
      <c r="AL691" s="147">
        <f t="shared" si="437"/>
        <v>1</v>
      </c>
      <c r="AM691" s="147">
        <f t="shared" si="415"/>
        <v>1</v>
      </c>
      <c r="AN691" s="160">
        <f t="shared" si="438"/>
        <v>0</v>
      </c>
      <c r="AO691" s="161">
        <f t="shared" si="439"/>
        <v>0</v>
      </c>
      <c r="AP691" s="156">
        <f t="shared" si="416"/>
        <v>3.5547499004327965</v>
      </c>
      <c r="AQ691" s="152"/>
      <c r="AR691" s="162">
        <f t="shared" si="417"/>
        <v>99823.100771874277</v>
      </c>
      <c r="AS691" s="150">
        <f t="shared" si="440"/>
        <v>0</v>
      </c>
      <c r="AT691" s="163">
        <f t="shared" si="418"/>
        <v>0</v>
      </c>
      <c r="AU691" s="163">
        <f t="shared" si="419"/>
        <v>100000</v>
      </c>
      <c r="AV691" s="163">
        <f t="shared" si="441"/>
        <v>176.58574019887976</v>
      </c>
      <c r="AW691" s="163">
        <f t="shared" si="420"/>
        <v>99823.414259801124</v>
      </c>
      <c r="AX691" s="163">
        <f t="shared" si="421"/>
        <v>0</v>
      </c>
      <c r="AY691" s="164">
        <f t="shared" si="442"/>
        <v>99823.100771874277</v>
      </c>
      <c r="AZ691" s="164">
        <f>IF($E691="","",IF(OR(AND($D691=Input!$C$6,$C691=12),$AN691=1),0,-AS692+AT692+AU692-AV692-AW692-AX692+AZ692))</f>
        <v>99823.414259801124</v>
      </c>
      <c r="BA691" s="154">
        <f t="shared" si="422"/>
        <v>0.31348792684730142</v>
      </c>
      <c r="BC691" s="147">
        <f t="shared" si="443"/>
        <v>2.7752741681172636E-9</v>
      </c>
      <c r="BD691" s="164">
        <f>IF(AND($C690=12,$D690=Input!$C$6),0,IF($E691="","",AT691+(AU691+BD692)/(1+$AK691)*MIN((1-AM691-AN691),1)))</f>
        <v>0</v>
      </c>
      <c r="BE691" s="164">
        <f t="shared" si="423"/>
        <v>0</v>
      </c>
      <c r="BF691" s="164">
        <f t="shared" si="444"/>
        <v>99823.414259801124</v>
      </c>
      <c r="BG691" s="164">
        <f t="shared" si="424"/>
        <v>2.7703734296849453E-4</v>
      </c>
      <c r="BH691" s="152"/>
      <c r="BI691" s="162">
        <f t="shared" si="425"/>
        <v>58387.68211967004</v>
      </c>
      <c r="BJ691" s="150">
        <f t="shared" si="426"/>
        <v>0</v>
      </c>
      <c r="BK691" s="163">
        <f t="shared" si="448"/>
        <v>0</v>
      </c>
      <c r="BL691" s="163">
        <f t="shared" si="427"/>
        <v>10954.104648310926</v>
      </c>
      <c r="BM691" s="163">
        <f t="shared" si="449"/>
        <v>206.57523771420549</v>
      </c>
      <c r="BN691" s="163">
        <f t="shared" si="428"/>
        <v>5860.5247613719384</v>
      </c>
      <c r="BO691" s="163">
        <f t="shared" si="429"/>
        <v>0</v>
      </c>
      <c r="BP691" s="164">
        <f t="shared" si="450"/>
        <v>53500.677470445262</v>
      </c>
      <c r="BQ691" s="164">
        <f>IF($E691="","",IF(AND($D691=Input!$C$6,$C691=12),0,-BJ692+BK692+BL692-BM692-BN692-BO692+BQ692))</f>
        <v>53500.719132490718</v>
      </c>
      <c r="BR691" s="161">
        <f t="shared" si="430"/>
        <v>0</v>
      </c>
      <c r="BT691" s="147">
        <f t="shared" si="431"/>
        <v>2.7752741681172636E-9</v>
      </c>
      <c r="BU691" s="164">
        <f>IF(AND($C690=12,$D690=Input!$C$6),0,IF($E691="","",BK691+(BL691+BU692)/(1+$AK691)*MIN((1-T691-U691),1)))</f>
        <v>82127.733686917054</v>
      </c>
      <c r="BV691" s="164">
        <f t="shared" si="432"/>
        <v>2.2792697778731489E-4</v>
      </c>
      <c r="BW691" s="164">
        <f t="shared" si="433"/>
        <v>53500.719132490718</v>
      </c>
      <c r="BX691" s="164">
        <f t="shared" si="434"/>
        <v>1.4847916378409853E-4</v>
      </c>
    </row>
    <row r="692" spans="1:76" s="150" customFormat="1" x14ac:dyDescent="0.25">
      <c r="A692" s="150">
        <f t="shared" si="445"/>
        <v>688</v>
      </c>
      <c r="B692" s="150">
        <f t="shared" si="446"/>
        <v>58</v>
      </c>
      <c r="C692" s="150">
        <f t="shared" si="447"/>
        <v>4</v>
      </c>
      <c r="D692" s="150">
        <f>IF(E692="","",Input!$C$4+B692-1)</f>
        <v>102</v>
      </c>
      <c r="E692" s="150">
        <f>IF(OR(AND(C691=12,D691=Input!$C$6),E691=""),"",1)</f>
        <v>1</v>
      </c>
      <c r="F692" s="150">
        <f>IF(E692="","",Input!$C$8+B692-1)</f>
        <v>2075</v>
      </c>
      <c r="G692" s="151">
        <f>IF(E692="","",MAX(0,Input!$C$9-B692))</f>
        <v>0</v>
      </c>
      <c r="H692" s="152">
        <f>IF(E692="","",Input!$C$3)</f>
        <v>100000</v>
      </c>
      <c r="I692" s="153">
        <f>IF(E692="","",HLOOKUP($B692,Input!$C$13:$BT$14,2))</f>
        <v>972.16000000000008</v>
      </c>
      <c r="J692" s="154"/>
      <c r="K692" s="155">
        <f>IF($E692="","",INDEX(Input!$C$16:$CP$16,1,$B692))</f>
        <v>3.2870000000000003E-2</v>
      </c>
      <c r="L692" s="155">
        <f>IF($E692="","",Input!$C$37)</f>
        <v>1.4999999999999999E-2</v>
      </c>
      <c r="M692" s="155">
        <f t="shared" si="410"/>
        <v>4.7870000000000003E-2</v>
      </c>
      <c r="N692" s="155">
        <f t="shared" si="411"/>
        <v>3.9042294244571174E-3</v>
      </c>
      <c r="O692" s="147">
        <f>IF($E692="","",MIN(VLOOKUP(IF($B692&lt;=Input!$C$7,$B692,26),'Mortality Tables'!$A$41:$CW$67,IF($B692&lt;=Input!$C$7+1,Input!$C$4+2,$D692-Input!$C$7+2),0)*IF(B692&gt;20,Input!$C$22,1)/1000,1))</f>
        <v>1</v>
      </c>
      <c r="P692" s="147">
        <f>IF($E692="","",MIN(VLOOKUP(IF($B692&lt;=Input!$C$7,$B692,26),'Mortality Tables'!$A$12:$CW$37,IF($B692&lt;=Input!$C$7+1,Input!$C$4+2,$D692-Input!$C$7+2),0)*IF(B692&gt;20,Input!$C$22,1)/1000,1))</f>
        <v>1</v>
      </c>
      <c r="Q692" s="155">
        <f>IF($E692="","",Input!$C$21)</f>
        <v>5.0000000000000001E-3</v>
      </c>
      <c r="R692" s="159">
        <f>IF($E692="","",(1-Q692)^($F692-Input!$C$20))</f>
        <v>0.75147684352085931</v>
      </c>
      <c r="S692" s="147">
        <f t="shared" si="413"/>
        <v>0.75147684352085931</v>
      </c>
      <c r="T692" s="147">
        <f t="shared" si="414"/>
        <v>0.10954104648310925</v>
      </c>
      <c r="U692" s="160">
        <f>IF($E692="","",IF($C692=12,INDEX(Input!$C$15:$CP$15,1,$B692),0))</f>
        <v>0</v>
      </c>
      <c r="V692" s="150">
        <f>IF(E692="","",IF(C692=1,IF($B692=1,Input!$C$33,Input!$C$34),0))</f>
        <v>0</v>
      </c>
      <c r="W692" s="156">
        <f>IF($E692="","",Input!$C$35)</f>
        <v>0.02</v>
      </c>
      <c r="X692" s="156">
        <f t="shared" si="412"/>
        <v>3.0917885922132262</v>
      </c>
      <c r="Y692" s="154"/>
      <c r="Z692" s="147">
        <f>IF($E692="","",VLOOKUP($D692,'Mortality Margins &amp; Grading'!$AB$5:$AF$125,3,0)*IF(Summary!$D$25="Included Margin",IF(AND($B692&gt;Input!$C$9,Summary!$D$31&lt;&gt;"Included Margin"),0,1),0))</f>
        <v>1.2999999999999999E-2</v>
      </c>
      <c r="AA692" s="147">
        <f>IF($E692="","",VLOOKUP($D692,'Mortality Margins &amp; Grading'!$AB$5:$AF$125,5,0)*IF(Summary!$D$25="Included Margin",IF(AND($B692&gt;Input!$C$9,Summary!$D$31&lt;&gt;"Included Margin"),0,1),0))</f>
        <v>6.7000000000000004E-2</v>
      </c>
      <c r="AB692" s="147">
        <f>IF($E692="","",IF(AND($B692&gt;Input!$C$9,Summary!$D$31&lt;&gt;"Included Margin"),1,IF(Summary!$D$25="Included Margin",VLOOKUP($B692,'Mortality Margins &amp; Grading'!$AI$5:$AR$125,MATCH('Mortality Margins &amp; Grading'!$AQ$4,'Mortality Margins &amp; Grading'!$AI$4:$AR$4,0),0),1)))</f>
        <v>0</v>
      </c>
      <c r="AC692" s="154"/>
      <c r="AD692" s="158">
        <f>IF(E692="","",Input!$C$48*IF(Summary!$D$30="Included Margin",IF(AND($B692&gt;Input!$C$9,Summary!$D$31&lt;&gt;"Included Margin"),0,1),0))</f>
        <v>-4.4999999999999997E-3</v>
      </c>
      <c r="AE692" s="159">
        <f>IF(E692="","",IF(Summary!$D$26="Included Margin",IF(AND($B692&gt;Input!$C$9,Summary!$D$31&lt;&gt;"Included Margin"),1,1/$R692),1))</f>
        <v>1.3307129935165358</v>
      </c>
      <c r="AF692" s="160">
        <f>IF(E692="","",IF(AND($B692&gt;=Input!$C$9,$C692=12,Summary!$D$31="Included Margin",$U692&gt;0),1/U692-1,IF($B692&gt;=Input!$C$9,0,Input!$C$45*IF(Summary!$D$27="Included Margin",1,0))))</f>
        <v>0</v>
      </c>
      <c r="AG692" s="160">
        <f>IF(E692="","",Input!$C$46*IF(Summary!$D$28="Included Margin",IF(AND($B692&gt;Input!$C$9,Summary!$D$31&lt;&gt;"Included Margin"),0,1),0))</f>
        <v>0.02</v>
      </c>
      <c r="AH692" s="158">
        <f>IF(E692="","",Input!$C$47*IF(Summary!$D$29="Included Margin",IF(AND($B692&gt;Input!$C$9,Summary!$D$31&lt;&gt;"Included Margin"),0,1),0))</f>
        <v>2.5000000000000001E-3</v>
      </c>
      <c r="AI692" s="154"/>
      <c r="AJ692" s="158">
        <f t="shared" si="435"/>
        <v>4.3370000000000006E-2</v>
      </c>
      <c r="AK692" s="155">
        <f t="shared" si="436"/>
        <v>3.5442543210510991E-3</v>
      </c>
      <c r="AL692" s="147">
        <f t="shared" si="437"/>
        <v>1</v>
      </c>
      <c r="AM692" s="147">
        <f t="shared" si="415"/>
        <v>1</v>
      </c>
      <c r="AN692" s="160">
        <f t="shared" si="438"/>
        <v>0</v>
      </c>
      <c r="AO692" s="161">
        <f t="shared" si="439"/>
        <v>0</v>
      </c>
      <c r="AP692" s="156">
        <f t="shared" si="416"/>
        <v>3.5547499004327965</v>
      </c>
      <c r="AQ692" s="152"/>
      <c r="AR692" s="162">
        <f t="shared" si="417"/>
        <v>99823.100771874277</v>
      </c>
      <c r="AS692" s="150">
        <f t="shared" si="440"/>
        <v>0</v>
      </c>
      <c r="AT692" s="163">
        <f t="shared" si="418"/>
        <v>0</v>
      </c>
      <c r="AU692" s="163">
        <f t="shared" si="419"/>
        <v>100000</v>
      </c>
      <c r="AV692" s="163">
        <f t="shared" si="441"/>
        <v>176.58574019887976</v>
      </c>
      <c r="AW692" s="163">
        <f t="shared" si="420"/>
        <v>99823.414259801124</v>
      </c>
      <c r="AX692" s="163">
        <f t="shared" si="421"/>
        <v>0</v>
      </c>
      <c r="AY692" s="165">
        <f t="shared" si="442"/>
        <v>99823.100771874277</v>
      </c>
      <c r="AZ692" s="164">
        <f>IF($E692="","",IF(OR(AND($D692=Input!$C$6,$C692=12),$AN692=1),0,-AS693+AT693+AU693-AV693-AW693-AX693+AZ693))</f>
        <v>99823.414259801124</v>
      </c>
      <c r="BA692" s="154">
        <f t="shared" si="422"/>
        <v>0.31348792684730142</v>
      </c>
      <c r="BC692" s="147">
        <f t="shared" si="443"/>
        <v>2.471267731464158E-9</v>
      </c>
      <c r="BD692" s="164">
        <f>IF(AND($C691=12,$D691=Input!$C$6),0,IF($E692="","",AT692+(AU692+BD693)/(1+$AK692)*MIN((1-AM692-AN692),1)))</f>
        <v>0</v>
      </c>
      <c r="BE692" s="164">
        <f t="shared" si="423"/>
        <v>0</v>
      </c>
      <c r="BF692" s="164">
        <f t="shared" si="444"/>
        <v>99823.414259801124</v>
      </c>
      <c r="BG692" s="164">
        <f t="shared" si="424"/>
        <v>2.466903825048256E-4</v>
      </c>
      <c r="BH692" s="152"/>
      <c r="BI692" s="162">
        <f t="shared" si="425"/>
        <v>53500.677470445255</v>
      </c>
      <c r="BJ692" s="150">
        <f t="shared" si="426"/>
        <v>0</v>
      </c>
      <c r="BK692" s="163">
        <f t="shared" si="448"/>
        <v>0</v>
      </c>
      <c r="BL692" s="163">
        <f t="shared" si="427"/>
        <v>10954.104648310926</v>
      </c>
      <c r="BM692" s="163">
        <f t="shared" si="449"/>
        <v>187.49525036524335</v>
      </c>
      <c r="BN692" s="163">
        <f t="shared" si="428"/>
        <v>5256.9959371600553</v>
      </c>
      <c r="BO692" s="163">
        <f t="shared" si="429"/>
        <v>0</v>
      </c>
      <c r="BP692" s="164">
        <f t="shared" si="450"/>
        <v>47991.064009659633</v>
      </c>
      <c r="BQ692" s="164">
        <f>IF($E692="","",IF(AND($D692=Input!$C$6,$C692=12),0,-BJ693+BK693+BL693-BM693-BN693-BO693+BQ693))</f>
        <v>47991.105671705089</v>
      </c>
      <c r="BR692" s="161">
        <f t="shared" si="430"/>
        <v>0</v>
      </c>
      <c r="BT692" s="147">
        <f t="shared" si="431"/>
        <v>2.471267731464158E-9</v>
      </c>
      <c r="BU692" s="164">
        <f>IF(AND($C691=12,$D691=Input!$C$6),0,IF($E692="","",BK692+(BL692+BU693)/(1+$AK692)*MIN((1-T692-U692),1)))</f>
        <v>81603.57578872639</v>
      </c>
      <c r="BV692" s="164">
        <f t="shared" si="432"/>
        <v>2.0166428361876934E-4</v>
      </c>
      <c r="BW692" s="164">
        <f t="shared" si="433"/>
        <v>47991.105671705089</v>
      </c>
      <c r="BX692" s="164">
        <f t="shared" si="434"/>
        <v>1.1859887084377133E-4</v>
      </c>
    </row>
    <row r="693" spans="1:76" s="150" customFormat="1" x14ac:dyDescent="0.25">
      <c r="A693" s="150">
        <f t="shared" si="445"/>
        <v>689</v>
      </c>
      <c r="B693" s="150">
        <f t="shared" si="446"/>
        <v>58</v>
      </c>
      <c r="C693" s="150">
        <f t="shared" si="447"/>
        <v>5</v>
      </c>
      <c r="D693" s="150">
        <f>IF(E693="","",Input!$C$4+B693-1)</f>
        <v>102</v>
      </c>
      <c r="E693" s="150">
        <f>IF(OR(AND(C692=12,D692=Input!$C$6),E692=""),"",1)</f>
        <v>1</v>
      </c>
      <c r="F693" s="150">
        <f>IF(E693="","",Input!$C$8+B693-1)</f>
        <v>2075</v>
      </c>
      <c r="G693" s="151">
        <f>IF(E693="","",MAX(0,Input!$C$9-B693))</f>
        <v>0</v>
      </c>
      <c r="H693" s="152">
        <f>IF(E693="","",Input!$C$3)</f>
        <v>100000</v>
      </c>
      <c r="I693" s="153">
        <f>IF(E693="","",HLOOKUP($B693,Input!$C$13:$BT$14,2))</f>
        <v>972.16000000000008</v>
      </c>
      <c r="J693" s="154"/>
      <c r="K693" s="155">
        <f>IF($E693="","",INDEX(Input!$C$16:$CP$16,1,$B693))</f>
        <v>3.2870000000000003E-2</v>
      </c>
      <c r="L693" s="155">
        <f>IF($E693="","",Input!$C$37)</f>
        <v>1.4999999999999999E-2</v>
      </c>
      <c r="M693" s="155">
        <f t="shared" ref="M693:M756" si="456">IF($E693="","",K693+L693)</f>
        <v>4.7870000000000003E-2</v>
      </c>
      <c r="N693" s="155">
        <f t="shared" ref="N693:N756" si="457">IF($E693="","",(1+M693)^(1/12)-1)</f>
        <v>3.9042294244571174E-3</v>
      </c>
      <c r="O693" s="147">
        <f>IF($E693="","",MIN(VLOOKUP(IF($B693&lt;=Input!$C$7,$B693,26),'Mortality Tables'!$A$41:$CW$67,IF($B693&lt;=Input!$C$7+1,Input!$C$4+2,$D693-Input!$C$7+2),0)*IF(B693&gt;20,Input!$C$22,1)/1000,1))</f>
        <v>1</v>
      </c>
      <c r="P693" s="147">
        <f>IF($E693="","",MIN(VLOOKUP(IF($B693&lt;=Input!$C$7,$B693,26),'Mortality Tables'!$A$12:$CW$37,IF($B693&lt;=Input!$C$7+1,Input!$C$4+2,$D693-Input!$C$7+2),0)*IF(B693&gt;20,Input!$C$22,1)/1000,1))</f>
        <v>1</v>
      </c>
      <c r="Q693" s="155">
        <f>IF($E693="","",Input!$C$21)</f>
        <v>5.0000000000000001E-3</v>
      </c>
      <c r="R693" s="159">
        <f>IF($E693="","",(1-Q693)^($F693-Input!$C$20))</f>
        <v>0.75147684352085931</v>
      </c>
      <c r="S693" s="147">
        <f t="shared" si="413"/>
        <v>0.75147684352085931</v>
      </c>
      <c r="T693" s="147">
        <f t="shared" si="414"/>
        <v>0.10954104648310925</v>
      </c>
      <c r="U693" s="160">
        <f>IF($E693="","",IF($C693=12,INDEX(Input!$C$15:$CP$15,1,$B693),0))</f>
        <v>0</v>
      </c>
      <c r="V693" s="150">
        <f>IF(E693="","",IF(C693=1,IF($B693=1,Input!$C$33,Input!$C$34),0))</f>
        <v>0</v>
      </c>
      <c r="W693" s="156">
        <f>IF($E693="","",Input!$C$35)</f>
        <v>0.02</v>
      </c>
      <c r="X693" s="156">
        <f t="shared" ref="X693:X756" si="458">IF($E693="","",IF(B693=1,1,IF(C693=1,(1+W693)*X692,X692)))</f>
        <v>3.0917885922132262</v>
      </c>
      <c r="Y693" s="154"/>
      <c r="Z693" s="147">
        <f>IF($E693="","",VLOOKUP($D693,'Mortality Margins &amp; Grading'!$AB$5:$AF$125,3,0)*IF(Summary!$D$25="Included Margin",IF(AND($B693&gt;Input!$C$9,Summary!$D$31&lt;&gt;"Included Margin"),0,1),0))</f>
        <v>1.2999999999999999E-2</v>
      </c>
      <c r="AA693" s="147">
        <f>IF($E693="","",VLOOKUP($D693,'Mortality Margins &amp; Grading'!$AB$5:$AF$125,5,0)*IF(Summary!$D$25="Included Margin",IF(AND($B693&gt;Input!$C$9,Summary!$D$31&lt;&gt;"Included Margin"),0,1),0))</f>
        <v>6.7000000000000004E-2</v>
      </c>
      <c r="AB693" s="147">
        <f>IF($E693="","",IF(AND($B693&gt;Input!$C$9,Summary!$D$31&lt;&gt;"Included Margin"),1,IF(Summary!$D$25="Included Margin",VLOOKUP($B693,'Mortality Margins &amp; Grading'!$AI$5:$AR$125,MATCH('Mortality Margins &amp; Grading'!$AQ$4,'Mortality Margins &amp; Grading'!$AI$4:$AR$4,0),0),1)))</f>
        <v>0</v>
      </c>
      <c r="AC693" s="154"/>
      <c r="AD693" s="158">
        <f>IF(E693="","",Input!$C$48*IF(Summary!$D$30="Included Margin",IF(AND($B693&gt;Input!$C$9,Summary!$D$31&lt;&gt;"Included Margin"),0,1),0))</f>
        <v>-4.4999999999999997E-3</v>
      </c>
      <c r="AE693" s="159">
        <f>IF(E693="","",IF(Summary!$D$26="Included Margin",IF(AND($B693&gt;Input!$C$9,Summary!$D$31&lt;&gt;"Included Margin"),1,1/$R693),1))</f>
        <v>1.3307129935165358</v>
      </c>
      <c r="AF693" s="160">
        <f>IF(E693="","",IF(AND($B693&gt;=Input!$C$9,$C693=12,Summary!$D$31="Included Margin",$U693&gt;0),1/U693-1,IF($B693&gt;=Input!$C$9,0,Input!$C$45*IF(Summary!$D$27="Included Margin",1,0))))</f>
        <v>0</v>
      </c>
      <c r="AG693" s="160">
        <f>IF(E693="","",Input!$C$46*IF(Summary!$D$28="Included Margin",IF(AND($B693&gt;Input!$C$9,Summary!$D$31&lt;&gt;"Included Margin"),0,1),0))</f>
        <v>0.02</v>
      </c>
      <c r="AH693" s="158">
        <f>IF(E693="","",Input!$C$47*IF(Summary!$D$29="Included Margin",IF(AND($B693&gt;Input!$C$9,Summary!$D$31&lt;&gt;"Included Margin"),0,1),0))</f>
        <v>2.5000000000000001E-3</v>
      </c>
      <c r="AI693" s="154"/>
      <c r="AJ693" s="158">
        <f t="shared" si="435"/>
        <v>4.3370000000000006E-2</v>
      </c>
      <c r="AK693" s="155">
        <f t="shared" si="436"/>
        <v>3.5442543210510991E-3</v>
      </c>
      <c r="AL693" s="147">
        <f t="shared" si="437"/>
        <v>1</v>
      </c>
      <c r="AM693" s="147">
        <f t="shared" si="415"/>
        <v>1</v>
      </c>
      <c r="AN693" s="160">
        <f t="shared" si="438"/>
        <v>0</v>
      </c>
      <c r="AO693" s="161">
        <f t="shared" si="439"/>
        <v>0</v>
      </c>
      <c r="AP693" s="156">
        <f t="shared" si="416"/>
        <v>3.5547499004327965</v>
      </c>
      <c r="AQ693" s="152"/>
      <c r="AR693" s="162">
        <f t="shared" si="417"/>
        <v>99823.100771874277</v>
      </c>
      <c r="AS693" s="150">
        <f t="shared" si="440"/>
        <v>0</v>
      </c>
      <c r="AT693" s="163">
        <f t="shared" si="418"/>
        <v>0</v>
      </c>
      <c r="AU693" s="163">
        <f t="shared" si="419"/>
        <v>100000</v>
      </c>
      <c r="AV693" s="163">
        <f t="shared" si="441"/>
        <v>176.58574019887976</v>
      </c>
      <c r="AW693" s="163">
        <f t="shared" si="420"/>
        <v>99823.414259801124</v>
      </c>
      <c r="AX693" s="163">
        <f t="shared" si="421"/>
        <v>0</v>
      </c>
      <c r="AY693" s="164">
        <f t="shared" si="442"/>
        <v>99823.100771874277</v>
      </c>
      <c r="AZ693" s="164">
        <f>IF($E693="","",IF(OR(AND($D693=Input!$C$6,$C693=12),$AN693=1),0,-AS694+AT694+AU694-AV694-AW694-AX694+AZ694))</f>
        <v>99823.414259801124</v>
      </c>
      <c r="BA693" s="154">
        <f t="shared" si="422"/>
        <v>0.31348792684730142</v>
      </c>
      <c r="BC693" s="147">
        <f t="shared" si="443"/>
        <v>2.2005624780196349E-9</v>
      </c>
      <c r="BD693" s="164">
        <f>IF(AND($C692=12,$D692=Input!$C$6),0,IF($E693="","",AT693+(AU693+BD694)/(1+$AK693)*MIN((1-AM693-AN693),1)))</f>
        <v>0</v>
      </c>
      <c r="BE693" s="164">
        <f t="shared" si="423"/>
        <v>0</v>
      </c>
      <c r="BF693" s="164">
        <f t="shared" si="444"/>
        <v>99823.414259801124</v>
      </c>
      <c r="BG693" s="164">
        <f t="shared" si="424"/>
        <v>2.1966765984792852E-4</v>
      </c>
      <c r="BH693" s="152"/>
      <c r="BI693" s="162">
        <f t="shared" si="425"/>
        <v>47991.064009659633</v>
      </c>
      <c r="BJ693" s="150">
        <f t="shared" si="426"/>
        <v>0</v>
      </c>
      <c r="BK693" s="163">
        <f t="shared" si="448"/>
        <v>0</v>
      </c>
      <c r="BL693" s="163">
        <f t="shared" si="427"/>
        <v>10954.104648310926</v>
      </c>
      <c r="BM693" s="163">
        <f t="shared" si="449"/>
        <v>165.98445537425911</v>
      </c>
      <c r="BN693" s="163">
        <f t="shared" si="428"/>
        <v>4576.5769949809464</v>
      </c>
      <c r="BO693" s="163">
        <f t="shared" si="429"/>
        <v>0</v>
      </c>
      <c r="BP693" s="164">
        <f t="shared" si="450"/>
        <v>41779.520811703915</v>
      </c>
      <c r="BQ693" s="164">
        <f>IF($E693="","",IF(AND($D693=Input!$C$6,$C693=12),0,-BJ694+BK694+BL694-BM694-BN694-BO694+BQ694))</f>
        <v>41779.562473749371</v>
      </c>
      <c r="BR693" s="161">
        <f t="shared" si="430"/>
        <v>0</v>
      </c>
      <c r="BT693" s="147">
        <f t="shared" si="431"/>
        <v>2.2005624780196349E-9</v>
      </c>
      <c r="BU693" s="164">
        <f>IF(AND($C692=12,$D692=Input!$C$6),0,IF($E693="","",BK693+(BL693+BU694)/(1+$AK693)*MIN((1-T693-U693),1)))</f>
        <v>81012.851595310494</v>
      </c>
      <c r="BV693" s="164">
        <f t="shared" si="432"/>
        <v>1.7827384145801338E-4</v>
      </c>
      <c r="BW693" s="164">
        <f t="shared" si="433"/>
        <v>41779.562473749371</v>
      </c>
      <c r="BX693" s="164">
        <f t="shared" si="434"/>
        <v>9.1938537527810064E-5</v>
      </c>
    </row>
    <row r="694" spans="1:76" s="150" customFormat="1" x14ac:dyDescent="0.25">
      <c r="A694" s="150">
        <f t="shared" si="445"/>
        <v>690</v>
      </c>
      <c r="B694" s="150">
        <f t="shared" si="446"/>
        <v>58</v>
      </c>
      <c r="C694" s="150">
        <f t="shared" si="447"/>
        <v>6</v>
      </c>
      <c r="D694" s="150">
        <f>IF(E694="","",Input!$C$4+B694-1)</f>
        <v>102</v>
      </c>
      <c r="E694" s="150">
        <f>IF(OR(AND(C693=12,D693=Input!$C$6),E693=""),"",1)</f>
        <v>1</v>
      </c>
      <c r="F694" s="150">
        <f>IF(E694="","",Input!$C$8+B694-1)</f>
        <v>2075</v>
      </c>
      <c r="G694" s="151">
        <f>IF(E694="","",MAX(0,Input!$C$9-B694))</f>
        <v>0</v>
      </c>
      <c r="H694" s="152">
        <f>IF(E694="","",Input!$C$3)</f>
        <v>100000</v>
      </c>
      <c r="I694" s="153">
        <f>IF(E694="","",HLOOKUP($B694,Input!$C$13:$BT$14,2))</f>
        <v>972.16000000000008</v>
      </c>
      <c r="J694" s="154"/>
      <c r="K694" s="155">
        <f>IF($E694="","",INDEX(Input!$C$16:$CP$16,1,$B694))</f>
        <v>3.2870000000000003E-2</v>
      </c>
      <c r="L694" s="155">
        <f>IF($E694="","",Input!$C$37)</f>
        <v>1.4999999999999999E-2</v>
      </c>
      <c r="M694" s="155">
        <f t="shared" si="456"/>
        <v>4.7870000000000003E-2</v>
      </c>
      <c r="N694" s="155">
        <f t="shared" si="457"/>
        <v>3.9042294244571174E-3</v>
      </c>
      <c r="O694" s="147">
        <f>IF($E694="","",MIN(VLOOKUP(IF($B694&lt;=Input!$C$7,$B694,26),'Mortality Tables'!$A$41:$CW$67,IF($B694&lt;=Input!$C$7+1,Input!$C$4+2,$D694-Input!$C$7+2),0)*IF(B694&gt;20,Input!$C$22,1)/1000,1))</f>
        <v>1</v>
      </c>
      <c r="P694" s="147">
        <f>IF($E694="","",MIN(VLOOKUP(IF($B694&lt;=Input!$C$7,$B694,26),'Mortality Tables'!$A$12:$CW$37,IF($B694&lt;=Input!$C$7+1,Input!$C$4+2,$D694-Input!$C$7+2),0)*IF(B694&gt;20,Input!$C$22,1)/1000,1))</f>
        <v>1</v>
      </c>
      <c r="Q694" s="155">
        <f>IF($E694="","",Input!$C$21)</f>
        <v>5.0000000000000001E-3</v>
      </c>
      <c r="R694" s="159">
        <f>IF($E694="","",(1-Q694)^($F694-Input!$C$20))</f>
        <v>0.75147684352085931</v>
      </c>
      <c r="S694" s="147">
        <f t="shared" si="413"/>
        <v>0.75147684352085931</v>
      </c>
      <c r="T694" s="147">
        <f t="shared" si="414"/>
        <v>0.10954104648310925</v>
      </c>
      <c r="U694" s="160">
        <f>IF($E694="","",IF($C694=12,INDEX(Input!$C$15:$CP$15,1,$B694),0))</f>
        <v>0</v>
      </c>
      <c r="V694" s="150">
        <f>IF(E694="","",IF(C694=1,IF($B694=1,Input!$C$33,Input!$C$34),0))</f>
        <v>0</v>
      </c>
      <c r="W694" s="156">
        <f>IF($E694="","",Input!$C$35)</f>
        <v>0.02</v>
      </c>
      <c r="X694" s="156">
        <f t="shared" si="458"/>
        <v>3.0917885922132262</v>
      </c>
      <c r="Y694" s="154"/>
      <c r="Z694" s="147">
        <f>IF($E694="","",VLOOKUP($D694,'Mortality Margins &amp; Grading'!$AB$5:$AF$125,3,0)*IF(Summary!$D$25="Included Margin",IF(AND($B694&gt;Input!$C$9,Summary!$D$31&lt;&gt;"Included Margin"),0,1),0))</f>
        <v>1.2999999999999999E-2</v>
      </c>
      <c r="AA694" s="147">
        <f>IF($E694="","",VLOOKUP($D694,'Mortality Margins &amp; Grading'!$AB$5:$AF$125,5,0)*IF(Summary!$D$25="Included Margin",IF(AND($B694&gt;Input!$C$9,Summary!$D$31&lt;&gt;"Included Margin"),0,1),0))</f>
        <v>6.7000000000000004E-2</v>
      </c>
      <c r="AB694" s="147">
        <f>IF($E694="","",IF(AND($B694&gt;Input!$C$9,Summary!$D$31&lt;&gt;"Included Margin"),1,IF(Summary!$D$25="Included Margin",VLOOKUP($B694,'Mortality Margins &amp; Grading'!$AI$5:$AR$125,MATCH('Mortality Margins &amp; Grading'!$AQ$4,'Mortality Margins &amp; Grading'!$AI$4:$AR$4,0),0),1)))</f>
        <v>0</v>
      </c>
      <c r="AC694" s="154"/>
      <c r="AD694" s="158">
        <f>IF(E694="","",Input!$C$48*IF(Summary!$D$30="Included Margin",IF(AND($B694&gt;Input!$C$9,Summary!$D$31&lt;&gt;"Included Margin"),0,1),0))</f>
        <v>-4.4999999999999997E-3</v>
      </c>
      <c r="AE694" s="159">
        <f>IF(E694="","",IF(Summary!$D$26="Included Margin",IF(AND($B694&gt;Input!$C$9,Summary!$D$31&lt;&gt;"Included Margin"),1,1/$R694),1))</f>
        <v>1.3307129935165358</v>
      </c>
      <c r="AF694" s="160">
        <f>IF(E694="","",IF(AND($B694&gt;=Input!$C$9,$C694=12,Summary!$D$31="Included Margin",$U694&gt;0),1/U694-1,IF($B694&gt;=Input!$C$9,0,Input!$C$45*IF(Summary!$D$27="Included Margin",1,0))))</f>
        <v>0</v>
      </c>
      <c r="AG694" s="160">
        <f>IF(E694="","",Input!$C$46*IF(Summary!$D$28="Included Margin",IF(AND($B694&gt;Input!$C$9,Summary!$D$31&lt;&gt;"Included Margin"),0,1),0))</f>
        <v>0.02</v>
      </c>
      <c r="AH694" s="158">
        <f>IF(E694="","",Input!$C$47*IF(Summary!$D$29="Included Margin",IF(AND($B694&gt;Input!$C$9,Summary!$D$31&lt;&gt;"Included Margin"),0,1),0))</f>
        <v>2.5000000000000001E-3</v>
      </c>
      <c r="AI694" s="154"/>
      <c r="AJ694" s="158">
        <f t="shared" si="435"/>
        <v>4.3370000000000006E-2</v>
      </c>
      <c r="AK694" s="155">
        <f t="shared" si="436"/>
        <v>3.5442543210510991E-3</v>
      </c>
      <c r="AL694" s="147">
        <f t="shared" si="437"/>
        <v>1</v>
      </c>
      <c r="AM694" s="147">
        <f t="shared" si="415"/>
        <v>1</v>
      </c>
      <c r="AN694" s="160">
        <f t="shared" si="438"/>
        <v>0</v>
      </c>
      <c r="AO694" s="161">
        <f t="shared" si="439"/>
        <v>0</v>
      </c>
      <c r="AP694" s="156">
        <f t="shared" si="416"/>
        <v>3.5547499004327965</v>
      </c>
      <c r="AQ694" s="152"/>
      <c r="AR694" s="162">
        <f t="shared" si="417"/>
        <v>99823.100771874277</v>
      </c>
      <c r="AS694" s="150">
        <f t="shared" si="440"/>
        <v>0</v>
      </c>
      <c r="AT694" s="163">
        <f t="shared" si="418"/>
        <v>0</v>
      </c>
      <c r="AU694" s="163">
        <f t="shared" si="419"/>
        <v>100000</v>
      </c>
      <c r="AV694" s="163">
        <f t="shared" si="441"/>
        <v>176.58574019887976</v>
      </c>
      <c r="AW694" s="163">
        <f t="shared" si="420"/>
        <v>99823.414259801124</v>
      </c>
      <c r="AX694" s="163">
        <f t="shared" si="421"/>
        <v>0</v>
      </c>
      <c r="AY694" s="165">
        <f t="shared" si="442"/>
        <v>99823.100771874277</v>
      </c>
      <c r="AZ694" s="164">
        <f>IF($E694="","",IF(OR(AND($D694=Input!$C$6,$C694=12),$AN694=1),0,-AS695+AT695+AU695-AV695-AW695-AX695+AZ695))</f>
        <v>99823.414259801124</v>
      </c>
      <c r="BA694" s="154">
        <f t="shared" si="422"/>
        <v>0.31348792684730142</v>
      </c>
      <c r="BC694" s="147">
        <f t="shared" si="443"/>
        <v>1.9595105613258998E-9</v>
      </c>
      <c r="BD694" s="164">
        <f>IF(AND($C693=12,$D693=Input!$C$6),0,IF($E694="","",AT694+(AU694+BD695)/(1+$AK694)*MIN((1-AM694-AN694),1)))</f>
        <v>0</v>
      </c>
      <c r="BE694" s="164">
        <f t="shared" si="423"/>
        <v>0</v>
      </c>
      <c r="BF694" s="164">
        <f t="shared" si="444"/>
        <v>99823.414259801124</v>
      </c>
      <c r="BG694" s="164">
        <f t="shared" si="424"/>
        <v>1.9560503450969074E-4</v>
      </c>
      <c r="BH694" s="152"/>
      <c r="BI694" s="162">
        <f t="shared" si="425"/>
        <v>41779.520811703915</v>
      </c>
      <c r="BJ694" s="150">
        <f t="shared" si="426"/>
        <v>0</v>
      </c>
      <c r="BK694" s="163">
        <f t="shared" si="448"/>
        <v>0</v>
      </c>
      <c r="BL694" s="163">
        <f t="shared" si="427"/>
        <v>10954.104648310926</v>
      </c>
      <c r="BM694" s="163">
        <f t="shared" si="449"/>
        <v>141.73316564951395</v>
      </c>
      <c r="BN694" s="163">
        <f t="shared" si="428"/>
        <v>3809.4720642749348</v>
      </c>
      <c r="BO694" s="163">
        <f t="shared" si="429"/>
        <v>0</v>
      </c>
      <c r="BP694" s="164">
        <f t="shared" si="450"/>
        <v>34776.621393317444</v>
      </c>
      <c r="BQ694" s="164">
        <f>IF($E694="","",IF(AND($D694=Input!$C$6,$C694=12),0,-BJ695+BK695+BL695-BM695-BN695-BO695+BQ695))</f>
        <v>34776.663055362893</v>
      </c>
      <c r="BR694" s="161">
        <f t="shared" si="430"/>
        <v>0</v>
      </c>
      <c r="BT694" s="147">
        <f t="shared" si="431"/>
        <v>1.9595105613258998E-9</v>
      </c>
      <c r="BU694" s="164">
        <f>IF(AND($C693=12,$D693=Input!$C$6),0,IF($E694="","",BK694+(BL694+BU695)/(1+$AK694)*MIN((1-T694-U694),1)))</f>
        <v>80347.107410416153</v>
      </c>
      <c r="BV694" s="164">
        <f t="shared" si="432"/>
        <v>1.5744100554269692E-4</v>
      </c>
      <c r="BW694" s="164">
        <f t="shared" si="433"/>
        <v>34776.663055362893</v>
      </c>
      <c r="BX694" s="164">
        <f t="shared" si="434"/>
        <v>6.8145238544655822E-5</v>
      </c>
    </row>
    <row r="695" spans="1:76" s="150" customFormat="1" x14ac:dyDescent="0.25">
      <c r="A695" s="150">
        <f t="shared" si="445"/>
        <v>691</v>
      </c>
      <c r="B695" s="150">
        <f t="shared" si="446"/>
        <v>58</v>
      </c>
      <c r="C695" s="150">
        <f t="shared" si="447"/>
        <v>7</v>
      </c>
      <c r="D695" s="150">
        <f>IF(E695="","",Input!$C$4+B695-1)</f>
        <v>102</v>
      </c>
      <c r="E695" s="150">
        <f>IF(OR(AND(C694=12,D694=Input!$C$6),E694=""),"",1)</f>
        <v>1</v>
      </c>
      <c r="F695" s="150">
        <f>IF(E695="","",Input!$C$8+B695-1)</f>
        <v>2075</v>
      </c>
      <c r="G695" s="151">
        <f>IF(E695="","",MAX(0,Input!$C$9-B695))</f>
        <v>0</v>
      </c>
      <c r="H695" s="152">
        <f>IF(E695="","",Input!$C$3)</f>
        <v>100000</v>
      </c>
      <c r="I695" s="153">
        <f>IF(E695="","",HLOOKUP($B695,Input!$C$13:$BT$14,2))</f>
        <v>972.16000000000008</v>
      </c>
      <c r="J695" s="154"/>
      <c r="K695" s="155">
        <f>IF($E695="","",INDEX(Input!$C$16:$CP$16,1,$B695))</f>
        <v>3.2870000000000003E-2</v>
      </c>
      <c r="L695" s="155">
        <f>IF($E695="","",Input!$C$37)</f>
        <v>1.4999999999999999E-2</v>
      </c>
      <c r="M695" s="155">
        <f t="shared" si="456"/>
        <v>4.7870000000000003E-2</v>
      </c>
      <c r="N695" s="155">
        <f t="shared" si="457"/>
        <v>3.9042294244571174E-3</v>
      </c>
      <c r="O695" s="147">
        <f>IF($E695="","",MIN(VLOOKUP(IF($B695&lt;=Input!$C$7,$B695,26),'Mortality Tables'!$A$41:$CW$67,IF($B695&lt;=Input!$C$7+1,Input!$C$4+2,$D695-Input!$C$7+2),0)*IF(B695&gt;20,Input!$C$22,1)/1000,1))</f>
        <v>1</v>
      </c>
      <c r="P695" s="147">
        <f>IF($E695="","",MIN(VLOOKUP(IF($B695&lt;=Input!$C$7,$B695,26),'Mortality Tables'!$A$12:$CW$37,IF($B695&lt;=Input!$C$7+1,Input!$C$4+2,$D695-Input!$C$7+2),0)*IF(B695&gt;20,Input!$C$22,1)/1000,1))</f>
        <v>1</v>
      </c>
      <c r="Q695" s="155">
        <f>IF($E695="","",Input!$C$21)</f>
        <v>5.0000000000000001E-3</v>
      </c>
      <c r="R695" s="159">
        <f>IF($E695="","",(1-Q695)^($F695-Input!$C$20))</f>
        <v>0.75147684352085931</v>
      </c>
      <c r="S695" s="147">
        <f t="shared" si="413"/>
        <v>0.75147684352085931</v>
      </c>
      <c r="T695" s="147">
        <f t="shared" si="414"/>
        <v>0.10954104648310925</v>
      </c>
      <c r="U695" s="160">
        <f>IF($E695="","",IF($C695=12,INDEX(Input!$C$15:$CP$15,1,$B695),0))</f>
        <v>0</v>
      </c>
      <c r="V695" s="150">
        <f>IF(E695="","",IF(C695=1,IF($B695=1,Input!$C$33,Input!$C$34),0))</f>
        <v>0</v>
      </c>
      <c r="W695" s="156">
        <f>IF($E695="","",Input!$C$35)</f>
        <v>0.02</v>
      </c>
      <c r="X695" s="156">
        <f t="shared" si="458"/>
        <v>3.0917885922132262</v>
      </c>
      <c r="Y695" s="154"/>
      <c r="Z695" s="147">
        <f>IF($E695="","",VLOOKUP($D695,'Mortality Margins &amp; Grading'!$AB$5:$AF$125,3,0)*IF(Summary!$D$25="Included Margin",IF(AND($B695&gt;Input!$C$9,Summary!$D$31&lt;&gt;"Included Margin"),0,1),0))</f>
        <v>1.2999999999999999E-2</v>
      </c>
      <c r="AA695" s="147">
        <f>IF($E695="","",VLOOKUP($D695,'Mortality Margins &amp; Grading'!$AB$5:$AF$125,5,0)*IF(Summary!$D$25="Included Margin",IF(AND($B695&gt;Input!$C$9,Summary!$D$31&lt;&gt;"Included Margin"),0,1),0))</f>
        <v>6.7000000000000004E-2</v>
      </c>
      <c r="AB695" s="147">
        <f>IF($E695="","",IF(AND($B695&gt;Input!$C$9,Summary!$D$31&lt;&gt;"Included Margin"),1,IF(Summary!$D$25="Included Margin",VLOOKUP($B695,'Mortality Margins &amp; Grading'!$AI$5:$AR$125,MATCH('Mortality Margins &amp; Grading'!$AQ$4,'Mortality Margins &amp; Grading'!$AI$4:$AR$4,0),0),1)))</f>
        <v>0</v>
      </c>
      <c r="AC695" s="154"/>
      <c r="AD695" s="158">
        <f>IF(E695="","",Input!$C$48*IF(Summary!$D$30="Included Margin",IF(AND($B695&gt;Input!$C$9,Summary!$D$31&lt;&gt;"Included Margin"),0,1),0))</f>
        <v>-4.4999999999999997E-3</v>
      </c>
      <c r="AE695" s="159">
        <f>IF(E695="","",IF(Summary!$D$26="Included Margin",IF(AND($B695&gt;Input!$C$9,Summary!$D$31&lt;&gt;"Included Margin"),1,1/$R695),1))</f>
        <v>1.3307129935165358</v>
      </c>
      <c r="AF695" s="160">
        <f>IF(E695="","",IF(AND($B695&gt;=Input!$C$9,$C695=12,Summary!$D$31="Included Margin",$U695&gt;0),1/U695-1,IF($B695&gt;=Input!$C$9,0,Input!$C$45*IF(Summary!$D$27="Included Margin",1,0))))</f>
        <v>0</v>
      </c>
      <c r="AG695" s="160">
        <f>IF(E695="","",Input!$C$46*IF(Summary!$D$28="Included Margin",IF(AND($B695&gt;Input!$C$9,Summary!$D$31&lt;&gt;"Included Margin"),0,1),0))</f>
        <v>0.02</v>
      </c>
      <c r="AH695" s="158">
        <f>IF(E695="","",Input!$C$47*IF(Summary!$D$29="Included Margin",IF(AND($B695&gt;Input!$C$9,Summary!$D$31&lt;&gt;"Included Margin"),0,1),0))</f>
        <v>2.5000000000000001E-3</v>
      </c>
      <c r="AI695" s="154"/>
      <c r="AJ695" s="158">
        <f t="shared" si="435"/>
        <v>4.3370000000000006E-2</v>
      </c>
      <c r="AK695" s="155">
        <f t="shared" si="436"/>
        <v>3.5442543210510991E-3</v>
      </c>
      <c r="AL695" s="147">
        <f t="shared" si="437"/>
        <v>1</v>
      </c>
      <c r="AM695" s="147">
        <f t="shared" si="415"/>
        <v>1</v>
      </c>
      <c r="AN695" s="160">
        <f t="shared" si="438"/>
        <v>0</v>
      </c>
      <c r="AO695" s="161">
        <f t="shared" si="439"/>
        <v>0</v>
      </c>
      <c r="AP695" s="156">
        <f t="shared" si="416"/>
        <v>3.5547499004327965</v>
      </c>
      <c r="AQ695" s="152"/>
      <c r="AR695" s="162">
        <f t="shared" si="417"/>
        <v>99823.100771874277</v>
      </c>
      <c r="AS695" s="150">
        <f t="shared" si="440"/>
        <v>0</v>
      </c>
      <c r="AT695" s="163">
        <f t="shared" si="418"/>
        <v>0</v>
      </c>
      <c r="AU695" s="163">
        <f t="shared" si="419"/>
        <v>100000</v>
      </c>
      <c r="AV695" s="163">
        <f t="shared" si="441"/>
        <v>176.58574019887976</v>
      </c>
      <c r="AW695" s="163">
        <f t="shared" si="420"/>
        <v>99823.414259801124</v>
      </c>
      <c r="AX695" s="163">
        <f t="shared" si="421"/>
        <v>0</v>
      </c>
      <c r="AY695" s="164">
        <f t="shared" si="442"/>
        <v>99823.100771874277</v>
      </c>
      <c r="AZ695" s="164">
        <f>IF($E695="","",IF(OR(AND($D695=Input!$C$6,$C695=12),$AN695=1),0,-AS696+AT696+AU696-AV696-AW696-AX696+AZ696))</f>
        <v>99823.414259801124</v>
      </c>
      <c r="BA695" s="154">
        <f t="shared" si="422"/>
        <v>0.31348792684730142</v>
      </c>
      <c r="BC695" s="147">
        <f t="shared" si="443"/>
        <v>1.7448637238435559E-9</v>
      </c>
      <c r="BD695" s="164">
        <f>IF(AND($C694=12,$D694=Input!$C$6),0,IF($E695="","",AT695+(AU695+BD696)/(1+$AK695)*MIN((1-AM695-AN695),1)))</f>
        <v>0</v>
      </c>
      <c r="BE695" s="164">
        <f t="shared" si="423"/>
        <v>0</v>
      </c>
      <c r="BF695" s="164">
        <f t="shared" si="444"/>
        <v>99823.414259801124</v>
      </c>
      <c r="BG695" s="164">
        <f t="shared" si="424"/>
        <v>1.7417825433213449E-4</v>
      </c>
      <c r="BH695" s="152"/>
      <c r="BI695" s="162">
        <f t="shared" si="425"/>
        <v>34776.621393317437</v>
      </c>
      <c r="BJ695" s="150">
        <f t="shared" si="426"/>
        <v>0</v>
      </c>
      <c r="BK695" s="163">
        <f t="shared" si="448"/>
        <v>0</v>
      </c>
      <c r="BL695" s="163">
        <f t="shared" si="427"/>
        <v>10954.104648310926</v>
      </c>
      <c r="BM695" s="163">
        <f t="shared" si="449"/>
        <v>114.39223968373581</v>
      </c>
      <c r="BN695" s="163">
        <f t="shared" si="428"/>
        <v>2944.6372717147719</v>
      </c>
      <c r="BO695" s="163">
        <f t="shared" si="429"/>
        <v>0</v>
      </c>
      <c r="BP695" s="164">
        <f t="shared" si="450"/>
        <v>26881.546256405021</v>
      </c>
      <c r="BQ695" s="164">
        <f>IF($E695="","",IF(AND($D695=Input!$C$6,$C695=12),0,-BJ696+BK696+BL696-BM696-BN696-BO696+BQ696))</f>
        <v>26881.587918450477</v>
      </c>
      <c r="BR695" s="161">
        <f t="shared" si="430"/>
        <v>0</v>
      </c>
      <c r="BT695" s="147">
        <f t="shared" si="431"/>
        <v>1.7448637238435559E-9</v>
      </c>
      <c r="BU695" s="164">
        <f>IF(AND($C694=12,$D694=Input!$C$6),0,IF($E695="","",BK695+(BL695+BU696)/(1+$AK695)*MIN((1-T695-U695),1)))</f>
        <v>79596.815946716815</v>
      </c>
      <c r="BV695" s="164">
        <f t="shared" si="432"/>
        <v>1.3888559667887842E-4</v>
      </c>
      <c r="BW695" s="164">
        <f t="shared" si="433"/>
        <v>26881.587918450477</v>
      </c>
      <c r="BX695" s="164">
        <f t="shared" si="434"/>
        <v>4.6904707598215444E-5</v>
      </c>
    </row>
    <row r="696" spans="1:76" s="150" customFormat="1" x14ac:dyDescent="0.25">
      <c r="A696" s="150">
        <f t="shared" si="445"/>
        <v>692</v>
      </c>
      <c r="B696" s="150">
        <f t="shared" si="446"/>
        <v>58</v>
      </c>
      <c r="C696" s="150">
        <f t="shared" si="447"/>
        <v>8</v>
      </c>
      <c r="D696" s="150">
        <f>IF(E696="","",Input!$C$4+B696-1)</f>
        <v>102</v>
      </c>
      <c r="E696" s="150">
        <f>IF(OR(AND(C695=12,D695=Input!$C$6),E695=""),"",1)</f>
        <v>1</v>
      </c>
      <c r="F696" s="150">
        <f>IF(E696="","",Input!$C$8+B696-1)</f>
        <v>2075</v>
      </c>
      <c r="G696" s="151">
        <f>IF(E696="","",MAX(0,Input!$C$9-B696))</f>
        <v>0</v>
      </c>
      <c r="H696" s="152">
        <f>IF(E696="","",Input!$C$3)</f>
        <v>100000</v>
      </c>
      <c r="I696" s="153">
        <f>IF(E696="","",HLOOKUP($B696,Input!$C$13:$BT$14,2))</f>
        <v>972.16000000000008</v>
      </c>
      <c r="J696" s="154"/>
      <c r="K696" s="155">
        <f>IF($E696="","",INDEX(Input!$C$16:$CP$16,1,$B696))</f>
        <v>3.2870000000000003E-2</v>
      </c>
      <c r="L696" s="155">
        <f>IF($E696="","",Input!$C$37)</f>
        <v>1.4999999999999999E-2</v>
      </c>
      <c r="M696" s="155">
        <f t="shared" si="456"/>
        <v>4.7870000000000003E-2</v>
      </c>
      <c r="N696" s="155">
        <f t="shared" si="457"/>
        <v>3.9042294244571174E-3</v>
      </c>
      <c r="O696" s="147">
        <f>IF($E696="","",MIN(VLOOKUP(IF($B696&lt;=Input!$C$7,$B696,26),'Mortality Tables'!$A$41:$CW$67,IF($B696&lt;=Input!$C$7+1,Input!$C$4+2,$D696-Input!$C$7+2),0)*IF(B696&gt;20,Input!$C$22,1)/1000,1))</f>
        <v>1</v>
      </c>
      <c r="P696" s="147">
        <f>IF($E696="","",MIN(VLOOKUP(IF($B696&lt;=Input!$C$7,$B696,26),'Mortality Tables'!$A$12:$CW$37,IF($B696&lt;=Input!$C$7+1,Input!$C$4+2,$D696-Input!$C$7+2),0)*IF(B696&gt;20,Input!$C$22,1)/1000,1))</f>
        <v>1</v>
      </c>
      <c r="Q696" s="155">
        <f>IF($E696="","",Input!$C$21)</f>
        <v>5.0000000000000001E-3</v>
      </c>
      <c r="R696" s="159">
        <f>IF($E696="","",(1-Q696)^($F696-Input!$C$20))</f>
        <v>0.75147684352085931</v>
      </c>
      <c r="S696" s="147">
        <f t="shared" si="413"/>
        <v>0.75147684352085931</v>
      </c>
      <c r="T696" s="147">
        <f t="shared" si="414"/>
        <v>0.10954104648310925</v>
      </c>
      <c r="U696" s="160">
        <f>IF($E696="","",IF($C696=12,INDEX(Input!$C$15:$CP$15,1,$B696),0))</f>
        <v>0</v>
      </c>
      <c r="V696" s="150">
        <f>IF(E696="","",IF(C696=1,IF($B696=1,Input!$C$33,Input!$C$34),0))</f>
        <v>0</v>
      </c>
      <c r="W696" s="156">
        <f>IF($E696="","",Input!$C$35)</f>
        <v>0.02</v>
      </c>
      <c r="X696" s="156">
        <f t="shared" si="458"/>
        <v>3.0917885922132262</v>
      </c>
      <c r="Y696" s="154"/>
      <c r="Z696" s="147">
        <f>IF($E696="","",VLOOKUP($D696,'Mortality Margins &amp; Grading'!$AB$5:$AF$125,3,0)*IF(Summary!$D$25="Included Margin",IF(AND($B696&gt;Input!$C$9,Summary!$D$31&lt;&gt;"Included Margin"),0,1),0))</f>
        <v>1.2999999999999999E-2</v>
      </c>
      <c r="AA696" s="147">
        <f>IF($E696="","",VLOOKUP($D696,'Mortality Margins &amp; Grading'!$AB$5:$AF$125,5,0)*IF(Summary!$D$25="Included Margin",IF(AND($B696&gt;Input!$C$9,Summary!$D$31&lt;&gt;"Included Margin"),0,1),0))</f>
        <v>6.7000000000000004E-2</v>
      </c>
      <c r="AB696" s="147">
        <f>IF($E696="","",IF(AND($B696&gt;Input!$C$9,Summary!$D$31&lt;&gt;"Included Margin"),1,IF(Summary!$D$25="Included Margin",VLOOKUP($B696,'Mortality Margins &amp; Grading'!$AI$5:$AR$125,MATCH('Mortality Margins &amp; Grading'!$AQ$4,'Mortality Margins &amp; Grading'!$AI$4:$AR$4,0),0),1)))</f>
        <v>0</v>
      </c>
      <c r="AC696" s="154"/>
      <c r="AD696" s="158">
        <f>IF(E696="","",Input!$C$48*IF(Summary!$D$30="Included Margin",IF(AND($B696&gt;Input!$C$9,Summary!$D$31&lt;&gt;"Included Margin"),0,1),0))</f>
        <v>-4.4999999999999997E-3</v>
      </c>
      <c r="AE696" s="159">
        <f>IF(E696="","",IF(Summary!$D$26="Included Margin",IF(AND($B696&gt;Input!$C$9,Summary!$D$31&lt;&gt;"Included Margin"),1,1/$R696),1))</f>
        <v>1.3307129935165358</v>
      </c>
      <c r="AF696" s="160">
        <f>IF(E696="","",IF(AND($B696&gt;=Input!$C$9,$C696=12,Summary!$D$31="Included Margin",$U696&gt;0),1/U696-1,IF($B696&gt;=Input!$C$9,0,Input!$C$45*IF(Summary!$D$27="Included Margin",1,0))))</f>
        <v>0</v>
      </c>
      <c r="AG696" s="160">
        <f>IF(E696="","",Input!$C$46*IF(Summary!$D$28="Included Margin",IF(AND($B696&gt;Input!$C$9,Summary!$D$31&lt;&gt;"Included Margin"),0,1),0))</f>
        <v>0.02</v>
      </c>
      <c r="AH696" s="158">
        <f>IF(E696="","",Input!$C$47*IF(Summary!$D$29="Included Margin",IF(AND($B696&gt;Input!$C$9,Summary!$D$31&lt;&gt;"Included Margin"),0,1),0))</f>
        <v>2.5000000000000001E-3</v>
      </c>
      <c r="AI696" s="154"/>
      <c r="AJ696" s="158">
        <f t="shared" si="435"/>
        <v>4.3370000000000006E-2</v>
      </c>
      <c r="AK696" s="155">
        <f t="shared" si="436"/>
        <v>3.5442543210510991E-3</v>
      </c>
      <c r="AL696" s="147">
        <f t="shared" si="437"/>
        <v>1</v>
      </c>
      <c r="AM696" s="147">
        <f t="shared" si="415"/>
        <v>1</v>
      </c>
      <c r="AN696" s="160">
        <f t="shared" si="438"/>
        <v>0</v>
      </c>
      <c r="AO696" s="161">
        <f t="shared" si="439"/>
        <v>0</v>
      </c>
      <c r="AP696" s="156">
        <f t="shared" si="416"/>
        <v>3.5547499004327965</v>
      </c>
      <c r="AQ696" s="152"/>
      <c r="AR696" s="162">
        <f t="shared" si="417"/>
        <v>99823.100771874277</v>
      </c>
      <c r="AS696" s="150">
        <f t="shared" si="440"/>
        <v>0</v>
      </c>
      <c r="AT696" s="163">
        <f t="shared" si="418"/>
        <v>0</v>
      </c>
      <c r="AU696" s="163">
        <f t="shared" si="419"/>
        <v>100000</v>
      </c>
      <c r="AV696" s="163">
        <f t="shared" si="441"/>
        <v>176.58574019887976</v>
      </c>
      <c r="AW696" s="163">
        <f t="shared" si="420"/>
        <v>99823.414259801124</v>
      </c>
      <c r="AX696" s="163">
        <f t="shared" si="421"/>
        <v>0</v>
      </c>
      <c r="AY696" s="165">
        <f t="shared" si="442"/>
        <v>99823.100771874277</v>
      </c>
      <c r="AZ696" s="164">
        <f>IF($E696="","",IF(OR(AND($D696=Input!$C$6,$C696=12),$AN696=1),0,-AS697+AT697+AU697-AV697-AW697-AX697+AZ697))</f>
        <v>99823.414259801124</v>
      </c>
      <c r="BA696" s="154">
        <f t="shared" si="422"/>
        <v>0.31348792684730142</v>
      </c>
      <c r="BC696" s="147">
        <f t="shared" si="443"/>
        <v>1.5537295255633179E-9</v>
      </c>
      <c r="BD696" s="164">
        <f>IF(AND($C695=12,$D695=Input!$C$6),0,IF($E696="","",AT696+(AU696+BD697)/(1+$AK696)*MIN((1-AM696-AN696),1)))</f>
        <v>0</v>
      </c>
      <c r="BE696" s="164">
        <f t="shared" si="423"/>
        <v>0</v>
      </c>
      <c r="BF696" s="164">
        <f t="shared" si="444"/>
        <v>99823.414259801124</v>
      </c>
      <c r="BG696" s="164">
        <f t="shared" si="424"/>
        <v>1.5509858607799134E-4</v>
      </c>
      <c r="BH696" s="152"/>
      <c r="BI696" s="162">
        <f t="shared" si="425"/>
        <v>26881.546256405018</v>
      </c>
      <c r="BJ696" s="150">
        <f t="shared" si="426"/>
        <v>0</v>
      </c>
      <c r="BK696" s="163">
        <f t="shared" si="448"/>
        <v>0</v>
      </c>
      <c r="BL696" s="163">
        <f t="shared" si="427"/>
        <v>10954.104648310926</v>
      </c>
      <c r="BM696" s="163">
        <f t="shared" si="449"/>
        <v>83.568055025902538</v>
      </c>
      <c r="BN696" s="163">
        <f t="shared" si="428"/>
        <v>1969.6217445244974</v>
      </c>
      <c r="BO696" s="163">
        <f t="shared" si="429"/>
        <v>0</v>
      </c>
      <c r="BP696" s="164">
        <f t="shared" si="450"/>
        <v>17980.631407644491</v>
      </c>
      <c r="BQ696" s="164">
        <f>IF($E696="","",IF(AND($D696=Input!$C$6,$C696=12),0,-BJ697+BK697+BL697-BM697-BN697-BO697+BQ697))</f>
        <v>17980.67306968995</v>
      </c>
      <c r="BR696" s="161">
        <f t="shared" si="430"/>
        <v>0</v>
      </c>
      <c r="BT696" s="147">
        <f t="shared" si="431"/>
        <v>1.5537295255633179E-9</v>
      </c>
      <c r="BU696" s="164">
        <f>IF(AND($C695=12,$D695=Input!$C$6),0,IF($E696="","",BK696+(BL696+BU697)/(1+$AK696)*MIN((1-T696-U696),1)))</f>
        <v>78751.239983346692</v>
      </c>
      <c r="BV696" s="164">
        <f t="shared" si="432"/>
        <v>1.2235812673684824E-4</v>
      </c>
      <c r="BW696" s="164">
        <f t="shared" si="433"/>
        <v>17980.67306968995</v>
      </c>
      <c r="BX696" s="164">
        <f t="shared" si="434"/>
        <v>2.7937102637878492E-5</v>
      </c>
    </row>
    <row r="697" spans="1:76" s="150" customFormat="1" x14ac:dyDescent="0.25">
      <c r="A697" s="150">
        <f t="shared" si="445"/>
        <v>693</v>
      </c>
      <c r="B697" s="150">
        <f t="shared" si="446"/>
        <v>58</v>
      </c>
      <c r="C697" s="150">
        <f t="shared" si="447"/>
        <v>9</v>
      </c>
      <c r="D697" s="150">
        <f>IF(E697="","",Input!$C$4+B697-1)</f>
        <v>102</v>
      </c>
      <c r="E697" s="150">
        <f>IF(OR(AND(C696=12,D696=Input!$C$6),E696=""),"",1)</f>
        <v>1</v>
      </c>
      <c r="F697" s="150">
        <f>IF(E697="","",Input!$C$8+B697-1)</f>
        <v>2075</v>
      </c>
      <c r="G697" s="151">
        <f>IF(E697="","",MAX(0,Input!$C$9-B697))</f>
        <v>0</v>
      </c>
      <c r="H697" s="152">
        <f>IF(E697="","",Input!$C$3)</f>
        <v>100000</v>
      </c>
      <c r="I697" s="153">
        <f>IF(E697="","",HLOOKUP($B697,Input!$C$13:$BT$14,2))</f>
        <v>972.16000000000008</v>
      </c>
      <c r="J697" s="154"/>
      <c r="K697" s="155">
        <f>IF($E697="","",INDEX(Input!$C$16:$CP$16,1,$B697))</f>
        <v>3.2870000000000003E-2</v>
      </c>
      <c r="L697" s="155">
        <f>IF($E697="","",Input!$C$37)</f>
        <v>1.4999999999999999E-2</v>
      </c>
      <c r="M697" s="155">
        <f t="shared" si="456"/>
        <v>4.7870000000000003E-2</v>
      </c>
      <c r="N697" s="155">
        <f t="shared" si="457"/>
        <v>3.9042294244571174E-3</v>
      </c>
      <c r="O697" s="147">
        <f>IF($E697="","",MIN(VLOOKUP(IF($B697&lt;=Input!$C$7,$B697,26),'Mortality Tables'!$A$41:$CW$67,IF($B697&lt;=Input!$C$7+1,Input!$C$4+2,$D697-Input!$C$7+2),0)*IF(B697&gt;20,Input!$C$22,1)/1000,1))</f>
        <v>1</v>
      </c>
      <c r="P697" s="147">
        <f>IF($E697="","",MIN(VLOOKUP(IF($B697&lt;=Input!$C$7,$B697,26),'Mortality Tables'!$A$12:$CW$37,IF($B697&lt;=Input!$C$7+1,Input!$C$4+2,$D697-Input!$C$7+2),0)*IF(B697&gt;20,Input!$C$22,1)/1000,1))</f>
        <v>1</v>
      </c>
      <c r="Q697" s="155">
        <f>IF($E697="","",Input!$C$21)</f>
        <v>5.0000000000000001E-3</v>
      </c>
      <c r="R697" s="159">
        <f>IF($E697="","",(1-Q697)^($F697-Input!$C$20))</f>
        <v>0.75147684352085931</v>
      </c>
      <c r="S697" s="147">
        <f t="shared" si="413"/>
        <v>0.75147684352085931</v>
      </c>
      <c r="T697" s="147">
        <f t="shared" si="414"/>
        <v>0.10954104648310925</v>
      </c>
      <c r="U697" s="160">
        <f>IF($E697="","",IF($C697=12,INDEX(Input!$C$15:$CP$15,1,$B697),0))</f>
        <v>0</v>
      </c>
      <c r="V697" s="150">
        <f>IF(E697="","",IF(C697=1,IF($B697=1,Input!$C$33,Input!$C$34),0))</f>
        <v>0</v>
      </c>
      <c r="W697" s="156">
        <f>IF($E697="","",Input!$C$35)</f>
        <v>0.02</v>
      </c>
      <c r="X697" s="156">
        <f t="shared" si="458"/>
        <v>3.0917885922132262</v>
      </c>
      <c r="Y697" s="154"/>
      <c r="Z697" s="147">
        <f>IF($E697="","",VLOOKUP($D697,'Mortality Margins &amp; Grading'!$AB$5:$AF$125,3,0)*IF(Summary!$D$25="Included Margin",IF(AND($B697&gt;Input!$C$9,Summary!$D$31&lt;&gt;"Included Margin"),0,1),0))</f>
        <v>1.2999999999999999E-2</v>
      </c>
      <c r="AA697" s="147">
        <f>IF($E697="","",VLOOKUP($D697,'Mortality Margins &amp; Grading'!$AB$5:$AF$125,5,0)*IF(Summary!$D$25="Included Margin",IF(AND($B697&gt;Input!$C$9,Summary!$D$31&lt;&gt;"Included Margin"),0,1),0))</f>
        <v>6.7000000000000004E-2</v>
      </c>
      <c r="AB697" s="147">
        <f>IF($E697="","",IF(AND($B697&gt;Input!$C$9,Summary!$D$31&lt;&gt;"Included Margin"),1,IF(Summary!$D$25="Included Margin",VLOOKUP($B697,'Mortality Margins &amp; Grading'!$AI$5:$AR$125,MATCH('Mortality Margins &amp; Grading'!$AQ$4,'Mortality Margins &amp; Grading'!$AI$4:$AR$4,0),0),1)))</f>
        <v>0</v>
      </c>
      <c r="AC697" s="154"/>
      <c r="AD697" s="158">
        <f>IF(E697="","",Input!$C$48*IF(Summary!$D$30="Included Margin",IF(AND($B697&gt;Input!$C$9,Summary!$D$31&lt;&gt;"Included Margin"),0,1),0))</f>
        <v>-4.4999999999999997E-3</v>
      </c>
      <c r="AE697" s="159">
        <f>IF(E697="","",IF(Summary!$D$26="Included Margin",IF(AND($B697&gt;Input!$C$9,Summary!$D$31&lt;&gt;"Included Margin"),1,1/$R697),1))</f>
        <v>1.3307129935165358</v>
      </c>
      <c r="AF697" s="160">
        <f>IF(E697="","",IF(AND($B697&gt;=Input!$C$9,$C697=12,Summary!$D$31="Included Margin",$U697&gt;0),1/U697-1,IF($B697&gt;=Input!$C$9,0,Input!$C$45*IF(Summary!$D$27="Included Margin",1,0))))</f>
        <v>0</v>
      </c>
      <c r="AG697" s="160">
        <f>IF(E697="","",Input!$C$46*IF(Summary!$D$28="Included Margin",IF(AND($B697&gt;Input!$C$9,Summary!$D$31&lt;&gt;"Included Margin"),0,1),0))</f>
        <v>0.02</v>
      </c>
      <c r="AH697" s="158">
        <f>IF(E697="","",Input!$C$47*IF(Summary!$D$29="Included Margin",IF(AND($B697&gt;Input!$C$9,Summary!$D$31&lt;&gt;"Included Margin"),0,1),0))</f>
        <v>2.5000000000000001E-3</v>
      </c>
      <c r="AI697" s="154"/>
      <c r="AJ697" s="158">
        <f t="shared" si="435"/>
        <v>4.3370000000000006E-2</v>
      </c>
      <c r="AK697" s="155">
        <f t="shared" si="436"/>
        <v>3.5442543210510991E-3</v>
      </c>
      <c r="AL697" s="147">
        <f t="shared" si="437"/>
        <v>1</v>
      </c>
      <c r="AM697" s="147">
        <f t="shared" si="415"/>
        <v>1</v>
      </c>
      <c r="AN697" s="160">
        <f t="shared" si="438"/>
        <v>0</v>
      </c>
      <c r="AO697" s="161">
        <f t="shared" si="439"/>
        <v>0</v>
      </c>
      <c r="AP697" s="156">
        <f t="shared" si="416"/>
        <v>3.5547499004327965</v>
      </c>
      <c r="AQ697" s="152"/>
      <c r="AR697" s="162">
        <f t="shared" si="417"/>
        <v>99823.100771874277</v>
      </c>
      <c r="AS697" s="150">
        <f t="shared" si="440"/>
        <v>0</v>
      </c>
      <c r="AT697" s="163">
        <f t="shared" si="418"/>
        <v>0</v>
      </c>
      <c r="AU697" s="163">
        <f t="shared" si="419"/>
        <v>100000</v>
      </c>
      <c r="AV697" s="163">
        <f t="shared" si="441"/>
        <v>176.58574019887976</v>
      </c>
      <c r="AW697" s="163">
        <f t="shared" si="420"/>
        <v>99823.414259801124</v>
      </c>
      <c r="AX697" s="163">
        <f t="shared" si="421"/>
        <v>0</v>
      </c>
      <c r="AY697" s="164">
        <f t="shared" si="442"/>
        <v>99823.100771874277</v>
      </c>
      <c r="AZ697" s="164">
        <f>IF($E697="","",IF(OR(AND($D697=Input!$C$6,$C697=12),$AN697=1),0,-AS698+AT698+AU698-AV698-AW698-AX698+AZ698))</f>
        <v>99823.414259801124</v>
      </c>
      <c r="BA697" s="154">
        <f t="shared" si="422"/>
        <v>0.31348792684730142</v>
      </c>
      <c r="BC697" s="147">
        <f t="shared" si="443"/>
        <v>1.3835323673814072E-9</v>
      </c>
      <c r="BD697" s="164">
        <f>IF(AND($C696=12,$D696=Input!$C$6),0,IF($E697="","",AT697+(AU697+BD698)/(1+$AK697)*MIN((1-AM697-AN697),1)))</f>
        <v>0</v>
      </c>
      <c r="BE697" s="164">
        <f t="shared" si="423"/>
        <v>0</v>
      </c>
      <c r="BF697" s="164">
        <f t="shared" si="444"/>
        <v>99823.414259801124</v>
      </c>
      <c r="BG697" s="164">
        <f t="shared" si="424"/>
        <v>1.3810892465095757E-4</v>
      </c>
      <c r="BH697" s="152"/>
      <c r="BI697" s="162">
        <f t="shared" si="425"/>
        <v>17980.631407644491</v>
      </c>
      <c r="BJ697" s="150">
        <f t="shared" si="426"/>
        <v>0</v>
      </c>
      <c r="BK697" s="163">
        <f t="shared" si="448"/>
        <v>0</v>
      </c>
      <c r="BL697" s="163">
        <f t="shared" si="427"/>
        <v>10954.104648310926</v>
      </c>
      <c r="BM697" s="163">
        <f t="shared" si="449"/>
        <v>48.816841368784424</v>
      </c>
      <c r="BN697" s="163">
        <f t="shared" si="428"/>
        <v>870.38835747734686</v>
      </c>
      <c r="BO697" s="163">
        <f t="shared" si="429"/>
        <v>0</v>
      </c>
      <c r="BP697" s="164">
        <f t="shared" si="450"/>
        <v>7945.7319581796964</v>
      </c>
      <c r="BQ697" s="164">
        <f>IF($E697="","",IF(AND($D697=Input!$C$6,$C697=12),0,-BJ698+BK698+BL698-BM698-BN698-BO698+BQ698))</f>
        <v>7945.7736202251544</v>
      </c>
      <c r="BR697" s="161">
        <f t="shared" si="430"/>
        <v>0</v>
      </c>
      <c r="BT697" s="147">
        <f t="shared" si="431"/>
        <v>1.3835323673814072E-9</v>
      </c>
      <c r="BU697" s="164">
        <f>IF(AND($C696=12,$D696=Input!$C$6),0,IF($E697="","",BK697+(BL697+BU698)/(1+$AK697)*MIN((1-T697-U697),1)))</f>
        <v>77798.278708398968</v>
      </c>
      <c r="BV697" s="164">
        <f t="shared" si="432"/>
        <v>1.0763643671962975E-4</v>
      </c>
      <c r="BW697" s="164">
        <f t="shared" si="433"/>
        <v>7945.7736202251544</v>
      </c>
      <c r="BX697" s="164">
        <f t="shared" si="434"/>
        <v>1.0993234987466842E-5</v>
      </c>
    </row>
    <row r="698" spans="1:76" s="150" customFormat="1" x14ac:dyDescent="0.25">
      <c r="A698" s="150">
        <f t="shared" si="445"/>
        <v>694</v>
      </c>
      <c r="B698" s="150">
        <f t="shared" si="446"/>
        <v>58</v>
      </c>
      <c r="C698" s="150">
        <f t="shared" si="447"/>
        <v>10</v>
      </c>
      <c r="D698" s="150">
        <f>IF(E698="","",Input!$C$4+B698-1)</f>
        <v>102</v>
      </c>
      <c r="E698" s="150">
        <f>IF(OR(AND(C697=12,D697=Input!$C$6),E697=""),"",1)</f>
        <v>1</v>
      </c>
      <c r="F698" s="150">
        <f>IF(E698="","",Input!$C$8+B698-1)</f>
        <v>2075</v>
      </c>
      <c r="G698" s="151">
        <f>IF(E698="","",MAX(0,Input!$C$9-B698))</f>
        <v>0</v>
      </c>
      <c r="H698" s="152">
        <f>IF(E698="","",Input!$C$3)</f>
        <v>100000</v>
      </c>
      <c r="I698" s="153">
        <f>IF(E698="","",HLOOKUP($B698,Input!$C$13:$BT$14,2))</f>
        <v>972.16000000000008</v>
      </c>
      <c r="J698" s="154"/>
      <c r="K698" s="155">
        <f>IF($E698="","",INDEX(Input!$C$16:$CP$16,1,$B698))</f>
        <v>3.2870000000000003E-2</v>
      </c>
      <c r="L698" s="155">
        <f>IF($E698="","",Input!$C$37)</f>
        <v>1.4999999999999999E-2</v>
      </c>
      <c r="M698" s="155">
        <f t="shared" si="456"/>
        <v>4.7870000000000003E-2</v>
      </c>
      <c r="N698" s="155">
        <f t="shared" si="457"/>
        <v>3.9042294244571174E-3</v>
      </c>
      <c r="O698" s="147">
        <f>IF($E698="","",MIN(VLOOKUP(IF($B698&lt;=Input!$C$7,$B698,26),'Mortality Tables'!$A$41:$CW$67,IF($B698&lt;=Input!$C$7+1,Input!$C$4+2,$D698-Input!$C$7+2),0)*IF(B698&gt;20,Input!$C$22,1)/1000,1))</f>
        <v>1</v>
      </c>
      <c r="P698" s="147">
        <f>IF($E698="","",MIN(VLOOKUP(IF($B698&lt;=Input!$C$7,$B698,26),'Mortality Tables'!$A$12:$CW$37,IF($B698&lt;=Input!$C$7+1,Input!$C$4+2,$D698-Input!$C$7+2),0)*IF(B698&gt;20,Input!$C$22,1)/1000,1))</f>
        <v>1</v>
      </c>
      <c r="Q698" s="155">
        <f>IF($E698="","",Input!$C$21)</f>
        <v>5.0000000000000001E-3</v>
      </c>
      <c r="R698" s="159">
        <f>IF($E698="","",(1-Q698)^($F698-Input!$C$20))</f>
        <v>0.75147684352085931</v>
      </c>
      <c r="S698" s="147">
        <f t="shared" si="413"/>
        <v>0.75147684352085931</v>
      </c>
      <c r="T698" s="147">
        <f t="shared" si="414"/>
        <v>0.10954104648310925</v>
      </c>
      <c r="U698" s="160">
        <f>IF($E698="","",IF($C698=12,INDEX(Input!$C$15:$CP$15,1,$B698),0))</f>
        <v>0</v>
      </c>
      <c r="V698" s="150">
        <f>IF(E698="","",IF(C698=1,IF($B698=1,Input!$C$33,Input!$C$34),0))</f>
        <v>0</v>
      </c>
      <c r="W698" s="156">
        <f>IF($E698="","",Input!$C$35)</f>
        <v>0.02</v>
      </c>
      <c r="X698" s="156">
        <f t="shared" si="458"/>
        <v>3.0917885922132262</v>
      </c>
      <c r="Y698" s="154"/>
      <c r="Z698" s="147">
        <f>IF($E698="","",VLOOKUP($D698,'Mortality Margins &amp; Grading'!$AB$5:$AF$125,3,0)*IF(Summary!$D$25="Included Margin",IF(AND($B698&gt;Input!$C$9,Summary!$D$31&lt;&gt;"Included Margin"),0,1),0))</f>
        <v>1.2999999999999999E-2</v>
      </c>
      <c r="AA698" s="147">
        <f>IF($E698="","",VLOOKUP($D698,'Mortality Margins &amp; Grading'!$AB$5:$AF$125,5,0)*IF(Summary!$D$25="Included Margin",IF(AND($B698&gt;Input!$C$9,Summary!$D$31&lt;&gt;"Included Margin"),0,1),0))</f>
        <v>6.7000000000000004E-2</v>
      </c>
      <c r="AB698" s="147">
        <f>IF($E698="","",IF(AND($B698&gt;Input!$C$9,Summary!$D$31&lt;&gt;"Included Margin"),1,IF(Summary!$D$25="Included Margin",VLOOKUP($B698,'Mortality Margins &amp; Grading'!$AI$5:$AR$125,MATCH('Mortality Margins &amp; Grading'!$AQ$4,'Mortality Margins &amp; Grading'!$AI$4:$AR$4,0),0),1)))</f>
        <v>0</v>
      </c>
      <c r="AC698" s="154"/>
      <c r="AD698" s="158">
        <f>IF(E698="","",Input!$C$48*IF(Summary!$D$30="Included Margin",IF(AND($B698&gt;Input!$C$9,Summary!$D$31&lt;&gt;"Included Margin"),0,1),0))</f>
        <v>-4.4999999999999997E-3</v>
      </c>
      <c r="AE698" s="159">
        <f>IF(E698="","",IF(Summary!$D$26="Included Margin",IF(AND($B698&gt;Input!$C$9,Summary!$D$31&lt;&gt;"Included Margin"),1,1/$R698),1))</f>
        <v>1.3307129935165358</v>
      </c>
      <c r="AF698" s="160">
        <f>IF(E698="","",IF(AND($B698&gt;=Input!$C$9,$C698=12,Summary!$D$31="Included Margin",$U698&gt;0),1/U698-1,IF($B698&gt;=Input!$C$9,0,Input!$C$45*IF(Summary!$D$27="Included Margin",1,0))))</f>
        <v>0</v>
      </c>
      <c r="AG698" s="160">
        <f>IF(E698="","",Input!$C$46*IF(Summary!$D$28="Included Margin",IF(AND($B698&gt;Input!$C$9,Summary!$D$31&lt;&gt;"Included Margin"),0,1),0))</f>
        <v>0.02</v>
      </c>
      <c r="AH698" s="158">
        <f>IF(E698="","",Input!$C$47*IF(Summary!$D$29="Included Margin",IF(AND($B698&gt;Input!$C$9,Summary!$D$31&lt;&gt;"Included Margin"),0,1),0))</f>
        <v>2.5000000000000001E-3</v>
      </c>
      <c r="AI698" s="154"/>
      <c r="AJ698" s="158">
        <f t="shared" si="435"/>
        <v>4.3370000000000006E-2</v>
      </c>
      <c r="AK698" s="155">
        <f t="shared" si="436"/>
        <v>3.5442543210510991E-3</v>
      </c>
      <c r="AL698" s="147">
        <f t="shared" si="437"/>
        <v>1</v>
      </c>
      <c r="AM698" s="147">
        <f t="shared" si="415"/>
        <v>1</v>
      </c>
      <c r="AN698" s="160">
        <f t="shared" si="438"/>
        <v>0</v>
      </c>
      <c r="AO698" s="161">
        <f t="shared" si="439"/>
        <v>0</v>
      </c>
      <c r="AP698" s="156">
        <f t="shared" si="416"/>
        <v>3.5547499004327965</v>
      </c>
      <c r="AQ698" s="152"/>
      <c r="AR698" s="162">
        <f t="shared" si="417"/>
        <v>99823.100771874277</v>
      </c>
      <c r="AS698" s="150">
        <f t="shared" si="440"/>
        <v>0</v>
      </c>
      <c r="AT698" s="163">
        <f t="shared" si="418"/>
        <v>0</v>
      </c>
      <c r="AU698" s="163">
        <f t="shared" si="419"/>
        <v>100000</v>
      </c>
      <c r="AV698" s="163">
        <f t="shared" si="441"/>
        <v>176.58574019887976</v>
      </c>
      <c r="AW698" s="163">
        <f t="shared" si="420"/>
        <v>99823.414259801124</v>
      </c>
      <c r="AX698" s="163">
        <f t="shared" si="421"/>
        <v>0</v>
      </c>
      <c r="AY698" s="165">
        <f t="shared" si="442"/>
        <v>99823.100771874277</v>
      </c>
      <c r="AZ698" s="164">
        <f>IF($E698="","",IF(OR(AND($D698=Input!$C$6,$C698=12),$AN698=1),0,-AS699+AT699+AU699-AV699-AW699-AX699+AZ699))</f>
        <v>99823.414259801124</v>
      </c>
      <c r="BA698" s="154">
        <f t="shared" si="422"/>
        <v>0.31348792684730142</v>
      </c>
      <c r="BC698" s="147">
        <f t="shared" si="443"/>
        <v>1.2319787840151943E-9</v>
      </c>
      <c r="BD698" s="164">
        <f>IF(AND($C697=12,$D697=Input!$C$6),0,IF($E698="","",AT698+(AU698+BD699)/(1+$AK698)*MIN((1-AM698-AN698),1)))</f>
        <v>0</v>
      </c>
      <c r="BE698" s="164">
        <f t="shared" si="423"/>
        <v>0</v>
      </c>
      <c r="BF698" s="164">
        <f t="shared" si="444"/>
        <v>99823.414259801124</v>
      </c>
      <c r="BG698" s="164">
        <f t="shared" si="424"/>
        <v>1.2298032851603479E-4</v>
      </c>
      <c r="BH698" s="152"/>
      <c r="BI698" s="162">
        <f t="shared" si="425"/>
        <v>7945.7319581796964</v>
      </c>
      <c r="BJ698" s="150">
        <f t="shared" si="426"/>
        <v>0</v>
      </c>
      <c r="BK698" s="163">
        <f t="shared" si="448"/>
        <v>0</v>
      </c>
      <c r="BL698" s="163">
        <f t="shared" si="427"/>
        <v>10954.104648310926</v>
      </c>
      <c r="BM698" s="163">
        <f t="shared" si="449"/>
        <v>9.6382916667154408</v>
      </c>
      <c r="BN698" s="163">
        <f t="shared" si="428"/>
        <v>-368.88835710091047</v>
      </c>
      <c r="BO698" s="163">
        <f t="shared" si="429"/>
        <v>0</v>
      </c>
      <c r="BP698" s="164">
        <f t="shared" si="450"/>
        <v>-3367.6227555654245</v>
      </c>
      <c r="BQ698" s="164">
        <f>IF($E698="","",IF(AND($D698=Input!$C$6,$C698=12),0,-BJ699+BK699+BL699-BM699-BN699-BO699+BQ699))</f>
        <v>-3367.5810935199661</v>
      </c>
      <c r="BR698" s="161">
        <f t="shared" si="430"/>
        <v>0</v>
      </c>
      <c r="BT698" s="147">
        <f t="shared" si="431"/>
        <v>1.2319787840151943E-9</v>
      </c>
      <c r="BU698" s="164">
        <f>IF(AND($C697=12,$D697=Input!$C$6),0,IF($E698="","",BK698+(BL698+BU699)/(1+$AK698)*MIN((1-T698-U698),1)))</f>
        <v>76724.294547436613</v>
      </c>
      <c r="BV698" s="164">
        <f t="shared" si="432"/>
        <v>9.4522703100974564E-5</v>
      </c>
      <c r="BW698" s="164">
        <f t="shared" si="433"/>
        <v>-3367.5810935199661</v>
      </c>
      <c r="BX698" s="164">
        <f t="shared" si="434"/>
        <v>-4.1487884606672858E-6</v>
      </c>
    </row>
    <row r="699" spans="1:76" s="150" customFormat="1" x14ac:dyDescent="0.25">
      <c r="A699" s="150">
        <f t="shared" si="445"/>
        <v>695</v>
      </c>
      <c r="B699" s="150">
        <f t="shared" si="446"/>
        <v>58</v>
      </c>
      <c r="C699" s="150">
        <f t="shared" si="447"/>
        <v>11</v>
      </c>
      <c r="D699" s="150">
        <f>IF(E699="","",Input!$C$4+B699-1)</f>
        <v>102</v>
      </c>
      <c r="E699" s="150">
        <f>IF(OR(AND(C698=12,D698=Input!$C$6),E698=""),"",1)</f>
        <v>1</v>
      </c>
      <c r="F699" s="150">
        <f>IF(E699="","",Input!$C$8+B699-1)</f>
        <v>2075</v>
      </c>
      <c r="G699" s="151">
        <f>IF(E699="","",MAX(0,Input!$C$9-B699))</f>
        <v>0</v>
      </c>
      <c r="H699" s="152">
        <f>IF(E699="","",Input!$C$3)</f>
        <v>100000</v>
      </c>
      <c r="I699" s="153">
        <f>IF(E699="","",HLOOKUP($B699,Input!$C$13:$BT$14,2))</f>
        <v>972.16000000000008</v>
      </c>
      <c r="J699" s="154"/>
      <c r="K699" s="155">
        <f>IF($E699="","",INDEX(Input!$C$16:$CP$16,1,$B699))</f>
        <v>3.2870000000000003E-2</v>
      </c>
      <c r="L699" s="155">
        <f>IF($E699="","",Input!$C$37)</f>
        <v>1.4999999999999999E-2</v>
      </c>
      <c r="M699" s="155">
        <f t="shared" si="456"/>
        <v>4.7870000000000003E-2</v>
      </c>
      <c r="N699" s="155">
        <f t="shared" si="457"/>
        <v>3.9042294244571174E-3</v>
      </c>
      <c r="O699" s="147">
        <f>IF($E699="","",MIN(VLOOKUP(IF($B699&lt;=Input!$C$7,$B699,26),'Mortality Tables'!$A$41:$CW$67,IF($B699&lt;=Input!$C$7+1,Input!$C$4+2,$D699-Input!$C$7+2),0)*IF(B699&gt;20,Input!$C$22,1)/1000,1))</f>
        <v>1</v>
      </c>
      <c r="P699" s="147">
        <f>IF($E699="","",MIN(VLOOKUP(IF($B699&lt;=Input!$C$7,$B699,26),'Mortality Tables'!$A$12:$CW$37,IF($B699&lt;=Input!$C$7+1,Input!$C$4+2,$D699-Input!$C$7+2),0)*IF(B699&gt;20,Input!$C$22,1)/1000,1))</f>
        <v>1</v>
      </c>
      <c r="Q699" s="155">
        <f>IF($E699="","",Input!$C$21)</f>
        <v>5.0000000000000001E-3</v>
      </c>
      <c r="R699" s="159">
        <f>IF($E699="","",(1-Q699)^($F699-Input!$C$20))</f>
        <v>0.75147684352085931</v>
      </c>
      <c r="S699" s="147">
        <f t="shared" si="413"/>
        <v>0.75147684352085931</v>
      </c>
      <c r="T699" s="147">
        <f t="shared" si="414"/>
        <v>0.10954104648310925</v>
      </c>
      <c r="U699" s="160">
        <f>IF($E699="","",IF($C699=12,INDEX(Input!$C$15:$CP$15,1,$B699),0))</f>
        <v>0</v>
      </c>
      <c r="V699" s="150">
        <f>IF(E699="","",IF(C699=1,IF($B699=1,Input!$C$33,Input!$C$34),0))</f>
        <v>0</v>
      </c>
      <c r="W699" s="156">
        <f>IF($E699="","",Input!$C$35)</f>
        <v>0.02</v>
      </c>
      <c r="X699" s="156">
        <f t="shared" si="458"/>
        <v>3.0917885922132262</v>
      </c>
      <c r="Y699" s="154"/>
      <c r="Z699" s="147">
        <f>IF($E699="","",VLOOKUP($D699,'Mortality Margins &amp; Grading'!$AB$5:$AF$125,3,0)*IF(Summary!$D$25="Included Margin",IF(AND($B699&gt;Input!$C$9,Summary!$D$31&lt;&gt;"Included Margin"),0,1),0))</f>
        <v>1.2999999999999999E-2</v>
      </c>
      <c r="AA699" s="147">
        <f>IF($E699="","",VLOOKUP($D699,'Mortality Margins &amp; Grading'!$AB$5:$AF$125,5,0)*IF(Summary!$D$25="Included Margin",IF(AND($B699&gt;Input!$C$9,Summary!$D$31&lt;&gt;"Included Margin"),0,1),0))</f>
        <v>6.7000000000000004E-2</v>
      </c>
      <c r="AB699" s="147">
        <f>IF($E699="","",IF(AND($B699&gt;Input!$C$9,Summary!$D$31&lt;&gt;"Included Margin"),1,IF(Summary!$D$25="Included Margin",VLOOKUP($B699,'Mortality Margins &amp; Grading'!$AI$5:$AR$125,MATCH('Mortality Margins &amp; Grading'!$AQ$4,'Mortality Margins &amp; Grading'!$AI$4:$AR$4,0),0),1)))</f>
        <v>0</v>
      </c>
      <c r="AC699" s="154"/>
      <c r="AD699" s="158">
        <f>IF(E699="","",Input!$C$48*IF(Summary!$D$30="Included Margin",IF(AND($B699&gt;Input!$C$9,Summary!$D$31&lt;&gt;"Included Margin"),0,1),0))</f>
        <v>-4.4999999999999997E-3</v>
      </c>
      <c r="AE699" s="159">
        <f>IF(E699="","",IF(Summary!$D$26="Included Margin",IF(AND($B699&gt;Input!$C$9,Summary!$D$31&lt;&gt;"Included Margin"),1,1/$R699),1))</f>
        <v>1.3307129935165358</v>
      </c>
      <c r="AF699" s="160">
        <f>IF(E699="","",IF(AND($B699&gt;=Input!$C$9,$C699=12,Summary!$D$31="Included Margin",$U699&gt;0),1/U699-1,IF($B699&gt;=Input!$C$9,0,Input!$C$45*IF(Summary!$D$27="Included Margin",1,0))))</f>
        <v>0</v>
      </c>
      <c r="AG699" s="160">
        <f>IF(E699="","",Input!$C$46*IF(Summary!$D$28="Included Margin",IF(AND($B699&gt;Input!$C$9,Summary!$D$31&lt;&gt;"Included Margin"),0,1),0))</f>
        <v>0.02</v>
      </c>
      <c r="AH699" s="158">
        <f>IF(E699="","",Input!$C$47*IF(Summary!$D$29="Included Margin",IF(AND($B699&gt;Input!$C$9,Summary!$D$31&lt;&gt;"Included Margin"),0,1),0))</f>
        <v>2.5000000000000001E-3</v>
      </c>
      <c r="AI699" s="154"/>
      <c r="AJ699" s="158">
        <f t="shared" si="435"/>
        <v>4.3370000000000006E-2</v>
      </c>
      <c r="AK699" s="155">
        <f t="shared" si="436"/>
        <v>3.5442543210510991E-3</v>
      </c>
      <c r="AL699" s="147">
        <f t="shared" si="437"/>
        <v>1</v>
      </c>
      <c r="AM699" s="147">
        <f t="shared" si="415"/>
        <v>1</v>
      </c>
      <c r="AN699" s="160">
        <f t="shared" si="438"/>
        <v>0</v>
      </c>
      <c r="AO699" s="161">
        <f t="shared" si="439"/>
        <v>0</v>
      </c>
      <c r="AP699" s="156">
        <f t="shared" si="416"/>
        <v>3.5547499004327965</v>
      </c>
      <c r="AQ699" s="152"/>
      <c r="AR699" s="162">
        <f t="shared" si="417"/>
        <v>99823.100771874277</v>
      </c>
      <c r="AS699" s="150">
        <f t="shared" si="440"/>
        <v>0</v>
      </c>
      <c r="AT699" s="163">
        <f t="shared" si="418"/>
        <v>0</v>
      </c>
      <c r="AU699" s="163">
        <f t="shared" si="419"/>
        <v>100000</v>
      </c>
      <c r="AV699" s="163">
        <f t="shared" si="441"/>
        <v>176.58574019887976</v>
      </c>
      <c r="AW699" s="163">
        <f t="shared" si="420"/>
        <v>99823.414259801124</v>
      </c>
      <c r="AX699" s="163">
        <f t="shared" si="421"/>
        <v>0</v>
      </c>
      <c r="AY699" s="164">
        <f t="shared" si="442"/>
        <v>99823.100771874277</v>
      </c>
      <c r="AZ699" s="164">
        <f>IF($E699="","",IF(OR(AND($D699=Input!$C$6,$C699=12),$AN699=1),0,-AS700+AT700+AU700-AV700-AW700-AX700+AZ700))</f>
        <v>99823.414259801124</v>
      </c>
      <c r="BA699" s="154">
        <f t="shared" si="422"/>
        <v>0.31348792684730142</v>
      </c>
      <c r="BC699" s="147">
        <f t="shared" si="443"/>
        <v>1.0970265387691815E-9</v>
      </c>
      <c r="BD699" s="164">
        <f>IF(AND($C698=12,$D698=Input!$C$6),0,IF($E699="","",AT699+(AU699+BD700)/(1+$AK699)*MIN((1-AM699-AN699),1)))</f>
        <v>0</v>
      </c>
      <c r="BE699" s="164">
        <f t="shared" si="423"/>
        <v>0</v>
      </c>
      <c r="BF699" s="164">
        <f t="shared" si="444"/>
        <v>99823.414259801124</v>
      </c>
      <c r="BG699" s="164">
        <f t="shared" si="424"/>
        <v>1.0950893463355178E-4</v>
      </c>
      <c r="BH699" s="152"/>
      <c r="BI699" s="162">
        <f t="shared" si="425"/>
        <v>-3367.6227555654241</v>
      </c>
      <c r="BJ699" s="150">
        <f t="shared" si="426"/>
        <v>0</v>
      </c>
      <c r="BK699" s="163">
        <f t="shared" si="448"/>
        <v>0</v>
      </c>
      <c r="BL699" s="163">
        <f t="shared" si="427"/>
        <v>10954.104648310926</v>
      </c>
      <c r="BM699" s="163">
        <f t="shared" si="449"/>
        <v>-34.531640696008893</v>
      </c>
      <c r="BN699" s="163">
        <f t="shared" si="428"/>
        <v>-1766.0500457769504</v>
      </c>
      <c r="BO699" s="163">
        <f t="shared" si="429"/>
        <v>0</v>
      </c>
      <c r="BP699" s="164">
        <f t="shared" si="450"/>
        <v>-16122.309090349308</v>
      </c>
      <c r="BQ699" s="164">
        <f>IF($E699="","",IF(AND($D699=Input!$C$6,$C699=12),0,-BJ700+BK700+BL700-BM700-BN700-BO700+BQ700))</f>
        <v>-16122.26742830385</v>
      </c>
      <c r="BR699" s="161">
        <f t="shared" si="430"/>
        <v>0</v>
      </c>
      <c r="BT699" s="147">
        <f t="shared" si="431"/>
        <v>1.0970265387691815E-9</v>
      </c>
      <c r="BU699" s="164">
        <f>IF(AND($C698=12,$D698=Input!$C$6),0,IF($E699="","",BK699+(BL699+BU700)/(1+$AK699)*MIN((1-T699-U699),1)))</f>
        <v>75513.917999804835</v>
      </c>
      <c r="BV699" s="164">
        <f t="shared" si="432"/>
        <v>8.2840772092225684E-5</v>
      </c>
      <c r="BW699" s="164">
        <f t="shared" si="433"/>
        <v>-16122.26742830385</v>
      </c>
      <c r="BX699" s="164">
        <f t="shared" si="434"/>
        <v>-1.7686555233983285E-5</v>
      </c>
    </row>
    <row r="700" spans="1:76" s="150" customFormat="1" x14ac:dyDescent="0.25">
      <c r="A700" s="150">
        <f t="shared" si="445"/>
        <v>696</v>
      </c>
      <c r="B700" s="150">
        <f t="shared" si="446"/>
        <v>58</v>
      </c>
      <c r="C700" s="150">
        <f t="shared" si="447"/>
        <v>12</v>
      </c>
      <c r="D700" s="150">
        <f>IF(E700="","",Input!$C$4+B700-1)</f>
        <v>102</v>
      </c>
      <c r="E700" s="150">
        <f>IF(OR(AND(C699=12,D699=Input!$C$6),E699=""),"",1)</f>
        <v>1</v>
      </c>
      <c r="F700" s="150">
        <f>IF(E700="","",Input!$C$8+B700-1)</f>
        <v>2075</v>
      </c>
      <c r="G700" s="151">
        <f>IF(E700="","",MAX(0,Input!$C$9-B700))</f>
        <v>0</v>
      </c>
      <c r="H700" s="152">
        <f>IF(E700="","",Input!$C$3)</f>
        <v>100000</v>
      </c>
      <c r="I700" s="153">
        <f>IF(E700="","",HLOOKUP($B700,Input!$C$13:$BT$14,2))</f>
        <v>972.16000000000008</v>
      </c>
      <c r="J700" s="154"/>
      <c r="K700" s="155">
        <f>IF($E700="","",INDEX(Input!$C$16:$CP$16,1,$B700))</f>
        <v>3.2870000000000003E-2</v>
      </c>
      <c r="L700" s="155">
        <f>IF($E700="","",Input!$C$37)</f>
        <v>1.4999999999999999E-2</v>
      </c>
      <c r="M700" s="155">
        <f t="shared" si="456"/>
        <v>4.7870000000000003E-2</v>
      </c>
      <c r="N700" s="155">
        <f t="shared" si="457"/>
        <v>3.9042294244571174E-3</v>
      </c>
      <c r="O700" s="147">
        <f>IF($E700="","",MIN(VLOOKUP(IF($B700&lt;=Input!$C$7,$B700,26),'Mortality Tables'!$A$41:$CW$67,IF($B700&lt;=Input!$C$7+1,Input!$C$4+2,$D700-Input!$C$7+2),0)*IF(B700&gt;20,Input!$C$22,1)/1000,1))</f>
        <v>1</v>
      </c>
      <c r="P700" s="147">
        <f>IF($E700="","",MIN(VLOOKUP(IF($B700&lt;=Input!$C$7,$B700,26),'Mortality Tables'!$A$12:$CW$37,IF($B700&lt;=Input!$C$7+1,Input!$C$4+2,$D700-Input!$C$7+2),0)*IF(B700&gt;20,Input!$C$22,1)/1000,1))</f>
        <v>1</v>
      </c>
      <c r="Q700" s="155">
        <f>IF($E700="","",Input!$C$21)</f>
        <v>5.0000000000000001E-3</v>
      </c>
      <c r="R700" s="159">
        <f>IF($E700="","",(1-Q700)^($F700-Input!$C$20))</f>
        <v>0.75147684352085931</v>
      </c>
      <c r="S700" s="147">
        <f t="shared" si="413"/>
        <v>0.75147684352085931</v>
      </c>
      <c r="T700" s="147">
        <f t="shared" si="414"/>
        <v>0.10954104648310925</v>
      </c>
      <c r="U700" s="160">
        <f>IF($E700="","",IF($C700=12,INDEX(Input!$C$15:$CP$15,1,$B700),0))</f>
        <v>0.1</v>
      </c>
      <c r="V700" s="150">
        <f>IF(E700="","",IF(C700=1,IF($B700=1,Input!$C$33,Input!$C$34),0))</f>
        <v>0</v>
      </c>
      <c r="W700" s="156">
        <f>IF($E700="","",Input!$C$35)</f>
        <v>0.02</v>
      </c>
      <c r="X700" s="156">
        <f t="shared" si="458"/>
        <v>3.0917885922132262</v>
      </c>
      <c r="Y700" s="154"/>
      <c r="Z700" s="147">
        <f>IF($E700="","",VLOOKUP($D700,'Mortality Margins &amp; Grading'!$AB$5:$AF$125,3,0)*IF(Summary!$D$25="Included Margin",IF(AND($B700&gt;Input!$C$9,Summary!$D$31&lt;&gt;"Included Margin"),0,1),0))</f>
        <v>1.2999999999999999E-2</v>
      </c>
      <c r="AA700" s="147">
        <f>IF($E700="","",VLOOKUP($D700,'Mortality Margins &amp; Grading'!$AB$5:$AF$125,5,0)*IF(Summary!$D$25="Included Margin",IF(AND($B700&gt;Input!$C$9,Summary!$D$31&lt;&gt;"Included Margin"),0,1),0))</f>
        <v>6.7000000000000004E-2</v>
      </c>
      <c r="AB700" s="147">
        <f>IF($E700="","",IF(AND($B700&gt;Input!$C$9,Summary!$D$31&lt;&gt;"Included Margin"),1,IF(Summary!$D$25="Included Margin",VLOOKUP($B700,'Mortality Margins &amp; Grading'!$AI$5:$AR$125,MATCH('Mortality Margins &amp; Grading'!$AQ$4,'Mortality Margins &amp; Grading'!$AI$4:$AR$4,0),0),1)))</f>
        <v>0</v>
      </c>
      <c r="AC700" s="154"/>
      <c r="AD700" s="158">
        <f>IF(E700="","",Input!$C$48*IF(Summary!$D$30="Included Margin",IF(AND($B700&gt;Input!$C$9,Summary!$D$31&lt;&gt;"Included Margin"),0,1),0))</f>
        <v>-4.4999999999999997E-3</v>
      </c>
      <c r="AE700" s="159">
        <f>IF(E700="","",IF(Summary!$D$26="Included Margin",IF(AND($B700&gt;Input!$C$9,Summary!$D$31&lt;&gt;"Included Margin"),1,1/$R700),1))</f>
        <v>1.3307129935165358</v>
      </c>
      <c r="AF700" s="160">
        <f>IF(E700="","",IF(AND($B700&gt;=Input!$C$9,$C700=12,Summary!$D$31="Included Margin",$U700&gt;0),1/U700-1,IF($B700&gt;=Input!$C$9,0,Input!$C$45*IF(Summary!$D$27="Included Margin",1,0))))</f>
        <v>9</v>
      </c>
      <c r="AG700" s="160">
        <f>IF(E700="","",Input!$C$46*IF(Summary!$D$28="Included Margin",IF(AND($B700&gt;Input!$C$9,Summary!$D$31&lt;&gt;"Included Margin"),0,1),0))</f>
        <v>0.02</v>
      </c>
      <c r="AH700" s="158">
        <f>IF(E700="","",Input!$C$47*IF(Summary!$D$29="Included Margin",IF(AND($B700&gt;Input!$C$9,Summary!$D$31&lt;&gt;"Included Margin"),0,1),0))</f>
        <v>2.5000000000000001E-3</v>
      </c>
      <c r="AI700" s="154"/>
      <c r="AJ700" s="158">
        <f t="shared" si="435"/>
        <v>4.3370000000000006E-2</v>
      </c>
      <c r="AK700" s="155">
        <f t="shared" si="436"/>
        <v>3.5442543210510991E-3</v>
      </c>
      <c r="AL700" s="147">
        <f t="shared" si="437"/>
        <v>1</v>
      </c>
      <c r="AM700" s="147">
        <f t="shared" si="415"/>
        <v>1</v>
      </c>
      <c r="AN700" s="160">
        <f t="shared" si="438"/>
        <v>1</v>
      </c>
      <c r="AO700" s="161">
        <f t="shared" si="439"/>
        <v>0</v>
      </c>
      <c r="AP700" s="156">
        <f t="shared" si="416"/>
        <v>3.5547499004327965</v>
      </c>
      <c r="AQ700" s="152"/>
      <c r="AR700" s="162">
        <f t="shared" si="417"/>
        <v>99823.100771874277</v>
      </c>
      <c r="AS700" s="150">
        <f t="shared" si="440"/>
        <v>0</v>
      </c>
      <c r="AT700" s="163">
        <f t="shared" si="418"/>
        <v>0</v>
      </c>
      <c r="AU700" s="163">
        <f t="shared" si="419"/>
        <v>100000</v>
      </c>
      <c r="AV700" s="163">
        <f t="shared" si="441"/>
        <v>176.58574019887976</v>
      </c>
      <c r="AW700" s="163">
        <f t="shared" si="420"/>
        <v>0</v>
      </c>
      <c r="AX700" s="163">
        <f t="shared" si="421"/>
        <v>0</v>
      </c>
      <c r="AY700" s="165">
        <f t="shared" si="442"/>
        <v>-0.31348792684354976</v>
      </c>
      <c r="AZ700" s="164">
        <f>IF($E700="","",IF(OR(AND($D700=Input!$C$6,$C700=12),$AN700=1),0,-AS701+AT701+AU701-AV701-AW701-AX701+AZ701))</f>
        <v>0</v>
      </c>
      <c r="BA700" s="154">
        <f t="shared" si="422"/>
        <v>0.31348792684354976</v>
      </c>
      <c r="BC700" s="147">
        <f t="shared" si="443"/>
        <v>8.6715444981574399E-10</v>
      </c>
      <c r="BD700" s="164">
        <f>IF(AND($C699=12,$D699=Input!$C$6),0,IF($E700="","",AT700+(AU700+BD701)/(1+$AK700)*MIN((1-AM700-AN700),1)))</f>
        <v>-99831.54294297997</v>
      </c>
      <c r="BE700" s="164">
        <f t="shared" si="423"/>
        <v>-8.656936669497662E-5</v>
      </c>
      <c r="BF700" s="164">
        <f t="shared" si="444"/>
        <v>0</v>
      </c>
      <c r="BG700" s="164">
        <f t="shared" si="424"/>
        <v>0</v>
      </c>
      <c r="BH700" s="152"/>
      <c r="BI700" s="162">
        <f t="shared" si="425"/>
        <v>-16122.309090349308</v>
      </c>
      <c r="BJ700" s="150">
        <f t="shared" si="426"/>
        <v>0</v>
      </c>
      <c r="BK700" s="163">
        <f t="shared" si="448"/>
        <v>0</v>
      </c>
      <c r="BL700" s="163">
        <f t="shared" si="427"/>
        <v>10954.104648310926</v>
      </c>
      <c r="BM700" s="163">
        <f t="shared" si="449"/>
        <v>-84.32886238399324</v>
      </c>
      <c r="BN700" s="163">
        <f t="shared" si="428"/>
        <v>-3712.4571078044364</v>
      </c>
      <c r="BO700" s="163">
        <f t="shared" si="429"/>
        <v>-3017.8556598887521</v>
      </c>
      <c r="BP700" s="164">
        <f t="shared" si="450"/>
        <v>-33891.055368737419</v>
      </c>
      <c r="BQ700" s="164">
        <f>IF($E700="","",IF(AND($D700=Input!$C$6,$C700=12),0,-BJ701+BK701+BL701-BM701-BN701-BO701+BQ701))</f>
        <v>-33891.013706691956</v>
      </c>
      <c r="BR700" s="161">
        <f t="shared" si="430"/>
        <v>0</v>
      </c>
      <c r="BT700" s="147">
        <f t="shared" si="431"/>
        <v>8.6715444981574399E-10</v>
      </c>
      <c r="BU700" s="164">
        <f>IF(AND($C699=12,$D699=Input!$C$6),0,IF($E700="","",BK700+(BL700+BU701)/(1+$AK700)*MIN((1-T700-U700),1)))</f>
        <v>74149.827689809666</v>
      </c>
      <c r="BV700" s="164">
        <f t="shared" si="432"/>
        <v>6.4299353034289115E-5</v>
      </c>
      <c r="BW700" s="164">
        <f t="shared" si="433"/>
        <v>-33891.013706691956</v>
      </c>
      <c r="BX700" s="164">
        <f t="shared" si="434"/>
        <v>-2.9388743344524302E-5</v>
      </c>
    </row>
    <row r="701" spans="1:76" s="150" customFormat="1" x14ac:dyDescent="0.25">
      <c r="A701" s="150">
        <f t="shared" si="445"/>
        <v>697</v>
      </c>
      <c r="B701" s="150">
        <f t="shared" si="446"/>
        <v>59</v>
      </c>
      <c r="C701" s="150">
        <f t="shared" si="447"/>
        <v>1</v>
      </c>
      <c r="D701" s="150">
        <f>IF(E701="","",Input!$C$4+B701-1)</f>
        <v>103</v>
      </c>
      <c r="E701" s="150">
        <f>IF(OR(AND(C700=12,D700=Input!$C$6),E700=""),"",1)</f>
        <v>1</v>
      </c>
      <c r="F701" s="150">
        <f>IF(E701="","",Input!$C$8+B701-1)</f>
        <v>2076</v>
      </c>
      <c r="G701" s="151">
        <f>IF(E701="","",MAX(0,Input!$C$9-B701))</f>
        <v>0</v>
      </c>
      <c r="H701" s="152">
        <f>IF(E701="","",Input!$C$3)</f>
        <v>100000</v>
      </c>
      <c r="I701" s="153">
        <f>IF(E701="","",HLOOKUP($B701,Input!$C$13:$BT$14,2))</f>
        <v>1000</v>
      </c>
      <c r="J701" s="154"/>
      <c r="K701" s="155">
        <f>IF($E701="","",INDEX(Input!$C$16:$CP$16,1,$B701))</f>
        <v>3.2899999999999999E-2</v>
      </c>
      <c r="L701" s="155">
        <f>IF($E701="","",Input!$C$37)</f>
        <v>1.4999999999999999E-2</v>
      </c>
      <c r="M701" s="155">
        <f t="shared" si="456"/>
        <v>4.7899999999999998E-2</v>
      </c>
      <c r="N701" s="155">
        <f t="shared" si="457"/>
        <v>3.9066244998400279E-3</v>
      </c>
      <c r="O701" s="147">
        <f>IF($E701="","",MIN(VLOOKUP(IF($B701&lt;=Input!$C$7,$B701,26),'Mortality Tables'!$A$41:$CW$67,IF($B701&lt;=Input!$C$7+1,Input!$C$4+2,$D701-Input!$C$7+2),0)*IF(B701&gt;20,Input!$C$22,1)/1000,1))</f>
        <v>1</v>
      </c>
      <c r="P701" s="147">
        <f>IF($E701="","",MIN(VLOOKUP(IF($B701&lt;=Input!$C$7,$B701,26),'Mortality Tables'!$A$12:$CW$37,IF($B701&lt;=Input!$C$7+1,Input!$C$4+2,$D701-Input!$C$7+2),0)*IF(B701&gt;20,Input!$C$22,1)/1000,1))</f>
        <v>1</v>
      </c>
      <c r="Q701" s="155">
        <f>IF($E701="","",Input!$C$21)</f>
        <v>5.0000000000000001E-3</v>
      </c>
      <c r="R701" s="159">
        <f>IF($E701="","",(1-Q701)^($F701-Input!$C$20))</f>
        <v>0.74771945930325501</v>
      </c>
      <c r="S701" s="147">
        <f t="shared" si="413"/>
        <v>0.74771945930325501</v>
      </c>
      <c r="T701" s="147">
        <f t="shared" si="414"/>
        <v>0.10842685342133662</v>
      </c>
      <c r="U701" s="160">
        <f>IF($E701="","",IF($C701=12,INDEX(Input!$C$15:$CP$15,1,$B701),0))</f>
        <v>0</v>
      </c>
      <c r="V701" s="150">
        <f>IF(E701="","",IF(C701=1,IF($B701=1,Input!$C$33,Input!$C$34),0))</f>
        <v>50</v>
      </c>
      <c r="W701" s="156">
        <f>IF($E701="","",Input!$C$35)</f>
        <v>0.02</v>
      </c>
      <c r="X701" s="156">
        <f t="shared" si="458"/>
        <v>3.1536243640574906</v>
      </c>
      <c r="Y701" s="154"/>
      <c r="Z701" s="147">
        <f>IF($E701="","",VLOOKUP($D701,'Mortality Margins &amp; Grading'!$AB$5:$AF$125,3,0)*IF(Summary!$D$25="Included Margin",IF(AND($B701&gt;Input!$C$9,Summary!$D$31&lt;&gt;"Included Margin"),0,1),0))</f>
        <v>1.2999999999999999E-2</v>
      </c>
      <c r="AA701" s="147">
        <f>IF($E701="","",VLOOKUP($D701,'Mortality Margins &amp; Grading'!$AB$5:$AF$125,5,0)*IF(Summary!$D$25="Included Margin",IF(AND($B701&gt;Input!$C$9,Summary!$D$31&lt;&gt;"Included Margin"),0,1),0))</f>
        <v>6.7000000000000004E-2</v>
      </c>
      <c r="AB701" s="147">
        <f>IF($E701="","",IF(AND($B701&gt;Input!$C$9,Summary!$D$31&lt;&gt;"Included Margin"),1,IF(Summary!$D$25="Included Margin",VLOOKUP($B701,'Mortality Margins &amp; Grading'!$AI$5:$AR$125,MATCH('Mortality Margins &amp; Grading'!$AQ$4,'Mortality Margins &amp; Grading'!$AI$4:$AR$4,0),0),1)))</f>
        <v>0</v>
      </c>
      <c r="AC701" s="154"/>
      <c r="AD701" s="158">
        <f>IF(E701="","",Input!$C$48*IF(Summary!$D$30="Included Margin",IF(AND($B701&gt;Input!$C$9,Summary!$D$31&lt;&gt;"Included Margin"),0,1),0))</f>
        <v>-4.4999999999999997E-3</v>
      </c>
      <c r="AE701" s="159">
        <f>IF(E701="","",IF(Summary!$D$26="Included Margin",IF(AND($B701&gt;Input!$C$9,Summary!$D$31&lt;&gt;"Included Margin"),1,1/$R701),1))</f>
        <v>1.3373999934839556</v>
      </c>
      <c r="AF701" s="160">
        <f>IF(E701="","",IF(AND($B701&gt;=Input!$C$9,$C701=12,Summary!$D$31="Included Margin",$U701&gt;0),1/U701-1,IF($B701&gt;=Input!$C$9,0,Input!$C$45*IF(Summary!$D$27="Included Margin",1,0))))</f>
        <v>0</v>
      </c>
      <c r="AG701" s="160">
        <f>IF(E701="","",Input!$C$46*IF(Summary!$D$28="Included Margin",IF(AND($B701&gt;Input!$C$9,Summary!$D$31&lt;&gt;"Included Margin"),0,1),0))</f>
        <v>0.02</v>
      </c>
      <c r="AH701" s="158">
        <f>IF(E701="","",Input!$C$47*IF(Summary!$D$29="Included Margin",IF(AND($B701&gt;Input!$C$9,Summary!$D$31&lt;&gt;"Included Margin"),0,1),0))</f>
        <v>2.5000000000000001E-3</v>
      </c>
      <c r="AI701" s="154"/>
      <c r="AJ701" s="158">
        <f t="shared" si="435"/>
        <v>4.3400000000000001E-2</v>
      </c>
      <c r="AK701" s="155">
        <f t="shared" si="436"/>
        <v>3.5466588636137164E-3</v>
      </c>
      <c r="AL701" s="147">
        <f t="shared" si="437"/>
        <v>1</v>
      </c>
      <c r="AM701" s="147">
        <f t="shared" si="415"/>
        <v>1</v>
      </c>
      <c r="AN701" s="160">
        <f t="shared" si="438"/>
        <v>0</v>
      </c>
      <c r="AO701" s="161">
        <f t="shared" si="439"/>
        <v>51</v>
      </c>
      <c r="AP701" s="156">
        <f t="shared" si="416"/>
        <v>3.6347317731925344</v>
      </c>
      <c r="AQ701" s="152"/>
      <c r="AR701" s="162">
        <f t="shared" si="417"/>
        <v>8.352290308259029</v>
      </c>
      <c r="AS701" s="150">
        <f t="shared" si="440"/>
        <v>100000</v>
      </c>
      <c r="AT701" s="163">
        <f t="shared" si="418"/>
        <v>185.37132043281926</v>
      </c>
      <c r="AU701" s="163">
        <f t="shared" si="419"/>
        <v>100000</v>
      </c>
      <c r="AV701" s="163">
        <f t="shared" si="441"/>
        <v>176.70511706846625</v>
      </c>
      <c r="AW701" s="163">
        <f t="shared" si="420"/>
        <v>99823.294882931528</v>
      </c>
      <c r="AX701" s="163">
        <f t="shared" si="421"/>
        <v>0</v>
      </c>
      <c r="AY701" s="164">
        <f t="shared" si="442"/>
        <v>99822.98096987544</v>
      </c>
      <c r="AZ701" s="164">
        <f>IF($E701="","",IF(OR(AND($D701=Input!$C$6,$C701=12),$AN701=1),0,-AS702+AT702+AU702-AV702-AW702-AX702+AZ702))</f>
        <v>99823.294882931528</v>
      </c>
      <c r="BA701" s="154">
        <f t="shared" si="422"/>
        <v>0.31391305608849507</v>
      </c>
      <c r="BC701" s="147">
        <f t="shared" si="443"/>
        <v>7.7313162139191251E-10</v>
      </c>
      <c r="BD701" s="164">
        <f>IF(AND($C700=12,$D700=Input!$C$6),0,IF($E701="","",AT701+(AU701+BD702)/(1+$AK701)*MIN((1-AM701-AN701),1)))</f>
        <v>185.37132043281926</v>
      </c>
      <c r="BE701" s="164">
        <f t="shared" si="423"/>
        <v>1.433164295257853E-7</v>
      </c>
      <c r="BF701" s="164">
        <f t="shared" si="444"/>
        <v>99823.294882931528</v>
      </c>
      <c r="BG701" s="164">
        <f t="shared" si="424"/>
        <v>7.7176545825523852E-5</v>
      </c>
      <c r="BH701" s="152"/>
      <c r="BI701" s="162">
        <f t="shared" si="425"/>
        <v>-33891.054995535284</v>
      </c>
      <c r="BJ701" s="150">
        <f t="shared" si="426"/>
        <v>100000</v>
      </c>
      <c r="BK701" s="163">
        <f t="shared" si="448"/>
        <v>157.68121820287453</v>
      </c>
      <c r="BL701" s="163">
        <f t="shared" si="427"/>
        <v>10842.685342133662</v>
      </c>
      <c r="BM701" s="163">
        <f t="shared" si="449"/>
        <v>236.46767280200501</v>
      </c>
      <c r="BN701" s="163">
        <f t="shared" si="428"/>
        <v>6730.6801497608922</v>
      </c>
      <c r="BO701" s="163">
        <f t="shared" si="429"/>
        <v>0</v>
      </c>
      <c r="BP701" s="164">
        <f t="shared" si="450"/>
        <v>62075.726266691061</v>
      </c>
      <c r="BQ701" s="164">
        <f>IF($E701="","",IF(AND($D701=Input!$C$6,$C701=12),0,-BJ702+BK702+BL702-BM702-BN702-BO702+BQ702))</f>
        <v>62075.767555534403</v>
      </c>
      <c r="BR701" s="161">
        <f t="shared" si="430"/>
        <v>0</v>
      </c>
      <c r="BT701" s="147">
        <f t="shared" si="431"/>
        <v>7.7313162139191251E-10</v>
      </c>
      <c r="BU701" s="164">
        <f>IF(AND($C700=12,$D700=Input!$C$6),0,IF($E701="","",BK701+(BL701+BU702)/(1+$AK701)*MIN((1-T701-U701),1)))</f>
        <v>83184.412229674446</v>
      </c>
      <c r="BV701" s="164">
        <f t="shared" si="432"/>
        <v>6.4312499501661445E-5</v>
      </c>
      <c r="BW701" s="164">
        <f t="shared" si="433"/>
        <v>62075.767555534403</v>
      </c>
      <c r="BX701" s="164">
        <f t="shared" si="434"/>
        <v>4.7992738819357788E-5</v>
      </c>
    </row>
    <row r="702" spans="1:76" s="150" customFormat="1" x14ac:dyDescent="0.25">
      <c r="A702" s="150">
        <f t="shared" si="445"/>
        <v>698</v>
      </c>
      <c r="B702" s="150">
        <f t="shared" si="446"/>
        <v>59</v>
      </c>
      <c r="C702" s="150">
        <f t="shared" si="447"/>
        <v>2</v>
      </c>
      <c r="D702" s="150">
        <f>IF(E702="","",Input!$C$4+B702-1)</f>
        <v>103</v>
      </c>
      <c r="E702" s="150">
        <f>IF(OR(AND(C701=12,D701=Input!$C$6),E701=""),"",1)</f>
        <v>1</v>
      </c>
      <c r="F702" s="150">
        <f>IF(E702="","",Input!$C$8+B702-1)</f>
        <v>2076</v>
      </c>
      <c r="G702" s="151">
        <f>IF(E702="","",MAX(0,Input!$C$9-B702))</f>
        <v>0</v>
      </c>
      <c r="H702" s="152">
        <f>IF(E702="","",Input!$C$3)</f>
        <v>100000</v>
      </c>
      <c r="I702" s="153">
        <f>IF(E702="","",HLOOKUP($B702,Input!$C$13:$BT$14,2))</f>
        <v>1000</v>
      </c>
      <c r="J702" s="154"/>
      <c r="K702" s="155">
        <f>IF($E702="","",INDEX(Input!$C$16:$CP$16,1,$B702))</f>
        <v>3.2899999999999999E-2</v>
      </c>
      <c r="L702" s="155">
        <f>IF($E702="","",Input!$C$37)</f>
        <v>1.4999999999999999E-2</v>
      </c>
      <c r="M702" s="155">
        <f t="shared" si="456"/>
        <v>4.7899999999999998E-2</v>
      </c>
      <c r="N702" s="155">
        <f t="shared" si="457"/>
        <v>3.9066244998400279E-3</v>
      </c>
      <c r="O702" s="147">
        <f>IF($E702="","",MIN(VLOOKUP(IF($B702&lt;=Input!$C$7,$B702,26),'Mortality Tables'!$A$41:$CW$67,IF($B702&lt;=Input!$C$7+1,Input!$C$4+2,$D702-Input!$C$7+2),0)*IF(B702&gt;20,Input!$C$22,1)/1000,1))</f>
        <v>1</v>
      </c>
      <c r="P702" s="147">
        <f>IF($E702="","",MIN(VLOOKUP(IF($B702&lt;=Input!$C$7,$B702,26),'Mortality Tables'!$A$12:$CW$37,IF($B702&lt;=Input!$C$7+1,Input!$C$4+2,$D702-Input!$C$7+2),0)*IF(B702&gt;20,Input!$C$22,1)/1000,1))</f>
        <v>1</v>
      </c>
      <c r="Q702" s="155">
        <f>IF($E702="","",Input!$C$21)</f>
        <v>5.0000000000000001E-3</v>
      </c>
      <c r="R702" s="159">
        <f>IF($E702="","",(1-Q702)^($F702-Input!$C$20))</f>
        <v>0.74771945930325501</v>
      </c>
      <c r="S702" s="147">
        <f t="shared" si="413"/>
        <v>0.74771945930325501</v>
      </c>
      <c r="T702" s="147">
        <f t="shared" si="414"/>
        <v>0.10842685342133662</v>
      </c>
      <c r="U702" s="160">
        <f>IF($E702="","",IF($C702=12,INDEX(Input!$C$15:$CP$15,1,$B702),0))</f>
        <v>0</v>
      </c>
      <c r="V702" s="150">
        <f>IF(E702="","",IF(C702=1,IF($B702=1,Input!$C$33,Input!$C$34),0))</f>
        <v>0</v>
      </c>
      <c r="W702" s="156">
        <f>IF($E702="","",Input!$C$35)</f>
        <v>0.02</v>
      </c>
      <c r="X702" s="156">
        <f t="shared" si="458"/>
        <v>3.1536243640574906</v>
      </c>
      <c r="Y702" s="154"/>
      <c r="Z702" s="147">
        <f>IF($E702="","",VLOOKUP($D702,'Mortality Margins &amp; Grading'!$AB$5:$AF$125,3,0)*IF(Summary!$D$25="Included Margin",IF(AND($B702&gt;Input!$C$9,Summary!$D$31&lt;&gt;"Included Margin"),0,1),0))</f>
        <v>1.2999999999999999E-2</v>
      </c>
      <c r="AA702" s="147">
        <f>IF($E702="","",VLOOKUP($D702,'Mortality Margins &amp; Grading'!$AB$5:$AF$125,5,0)*IF(Summary!$D$25="Included Margin",IF(AND($B702&gt;Input!$C$9,Summary!$D$31&lt;&gt;"Included Margin"),0,1),0))</f>
        <v>6.7000000000000004E-2</v>
      </c>
      <c r="AB702" s="147">
        <f>IF($E702="","",IF(AND($B702&gt;Input!$C$9,Summary!$D$31&lt;&gt;"Included Margin"),1,IF(Summary!$D$25="Included Margin",VLOOKUP($B702,'Mortality Margins &amp; Grading'!$AI$5:$AR$125,MATCH('Mortality Margins &amp; Grading'!$AQ$4,'Mortality Margins &amp; Grading'!$AI$4:$AR$4,0),0),1)))</f>
        <v>0</v>
      </c>
      <c r="AC702" s="154"/>
      <c r="AD702" s="158">
        <f>IF(E702="","",Input!$C$48*IF(Summary!$D$30="Included Margin",IF(AND($B702&gt;Input!$C$9,Summary!$D$31&lt;&gt;"Included Margin"),0,1),0))</f>
        <v>-4.4999999999999997E-3</v>
      </c>
      <c r="AE702" s="159">
        <f>IF(E702="","",IF(Summary!$D$26="Included Margin",IF(AND($B702&gt;Input!$C$9,Summary!$D$31&lt;&gt;"Included Margin"),1,1/$R702),1))</f>
        <v>1.3373999934839556</v>
      </c>
      <c r="AF702" s="160">
        <f>IF(E702="","",IF(AND($B702&gt;=Input!$C$9,$C702=12,Summary!$D$31="Included Margin",$U702&gt;0),1/U702-1,IF($B702&gt;=Input!$C$9,0,Input!$C$45*IF(Summary!$D$27="Included Margin",1,0))))</f>
        <v>0</v>
      </c>
      <c r="AG702" s="160">
        <f>IF(E702="","",Input!$C$46*IF(Summary!$D$28="Included Margin",IF(AND($B702&gt;Input!$C$9,Summary!$D$31&lt;&gt;"Included Margin"),0,1),0))</f>
        <v>0.02</v>
      </c>
      <c r="AH702" s="158">
        <f>IF(E702="","",Input!$C$47*IF(Summary!$D$29="Included Margin",IF(AND($B702&gt;Input!$C$9,Summary!$D$31&lt;&gt;"Included Margin"),0,1),0))</f>
        <v>2.5000000000000001E-3</v>
      </c>
      <c r="AI702" s="154"/>
      <c r="AJ702" s="158">
        <f t="shared" si="435"/>
        <v>4.3400000000000001E-2</v>
      </c>
      <c r="AK702" s="155">
        <f t="shared" si="436"/>
        <v>3.5466588636137164E-3</v>
      </c>
      <c r="AL702" s="147">
        <f t="shared" si="437"/>
        <v>1</v>
      </c>
      <c r="AM702" s="147">
        <f t="shared" si="415"/>
        <v>1</v>
      </c>
      <c r="AN702" s="160">
        <f t="shared" si="438"/>
        <v>0</v>
      </c>
      <c r="AO702" s="161">
        <f t="shared" si="439"/>
        <v>0</v>
      </c>
      <c r="AP702" s="156">
        <f t="shared" si="416"/>
        <v>3.6347317731925344</v>
      </c>
      <c r="AQ702" s="152"/>
      <c r="AR702" s="162">
        <f t="shared" si="417"/>
        <v>99822.98096987544</v>
      </c>
      <c r="AS702" s="150">
        <f t="shared" si="440"/>
        <v>0</v>
      </c>
      <c r="AT702" s="163">
        <f t="shared" si="418"/>
        <v>0</v>
      </c>
      <c r="AU702" s="163">
        <f t="shared" si="419"/>
        <v>100000</v>
      </c>
      <c r="AV702" s="163">
        <f t="shared" si="441"/>
        <v>176.70511706846625</v>
      </c>
      <c r="AW702" s="163">
        <f t="shared" si="420"/>
        <v>99823.294882931528</v>
      </c>
      <c r="AX702" s="163">
        <f t="shared" si="421"/>
        <v>0</v>
      </c>
      <c r="AY702" s="165">
        <f t="shared" si="442"/>
        <v>99822.98096987544</v>
      </c>
      <c r="AZ702" s="164">
        <f>IF($E702="","",IF(OR(AND($D702=Input!$C$6,$C702=12),$AN702=1),0,-AS703+AT703+AU703-AV703-AW703-AX703+AZ703))</f>
        <v>99823.294882931528</v>
      </c>
      <c r="BA702" s="154">
        <f t="shared" si="422"/>
        <v>0.31391305608849507</v>
      </c>
      <c r="BC702" s="147">
        <f t="shared" si="443"/>
        <v>6.8930339240385127E-10</v>
      </c>
      <c r="BD702" s="164">
        <f>IF(AND($C701=12,$D701=Input!$C$6),0,IF($E702="","",AT702+(AU702+BD703)/(1+$AK702)*MIN((1-AM702-AN702),1)))</f>
        <v>0</v>
      </c>
      <c r="BE702" s="164">
        <f t="shared" si="423"/>
        <v>0</v>
      </c>
      <c r="BF702" s="164">
        <f t="shared" si="444"/>
        <v>99823.294882931528</v>
      </c>
      <c r="BG702" s="164">
        <f t="shared" si="424"/>
        <v>6.8808535803734709E-5</v>
      </c>
      <c r="BH702" s="152"/>
      <c r="BI702" s="162">
        <f t="shared" si="425"/>
        <v>62075.726266691083</v>
      </c>
      <c r="BJ702" s="150">
        <f t="shared" si="426"/>
        <v>0</v>
      </c>
      <c r="BK702" s="163">
        <f t="shared" si="448"/>
        <v>0</v>
      </c>
      <c r="BL702" s="163">
        <f t="shared" si="427"/>
        <v>10842.685342133662</v>
      </c>
      <c r="BM702" s="163">
        <f t="shared" si="449"/>
        <v>221.32740297800069</v>
      </c>
      <c r="BN702" s="163">
        <f t="shared" si="428"/>
        <v>6257.5232898900167</v>
      </c>
      <c r="BO702" s="163">
        <f t="shared" si="429"/>
        <v>0</v>
      </c>
      <c r="BP702" s="164">
        <f t="shared" si="450"/>
        <v>57711.891617425434</v>
      </c>
      <c r="BQ702" s="164">
        <f>IF($E702="","",IF(AND($D702=Input!$C$6,$C702=12),0,-BJ703+BK703+BL703-BM703-BN703-BO703+BQ703))</f>
        <v>57711.932906268761</v>
      </c>
      <c r="BR702" s="161">
        <f t="shared" si="430"/>
        <v>0</v>
      </c>
      <c r="BT702" s="147">
        <f t="shared" si="431"/>
        <v>6.8930339240385127E-10</v>
      </c>
      <c r="BU702" s="164">
        <f>IF(AND($C701=12,$D701=Input!$C$6),0,IF($E702="","",BK702+(BL702+BU703)/(1+$AK702)*MIN((1-T702-U702),1)))</f>
        <v>82611.451116179756</v>
      </c>
      <c r="BV702" s="164">
        <f t="shared" si="432"/>
        <v>5.6944353505787633E-5</v>
      </c>
      <c r="BW702" s="164">
        <f t="shared" si="433"/>
        <v>57711.932906268761</v>
      </c>
      <c r="BX702" s="164">
        <f t="shared" si="434"/>
        <v>3.9781031134474513E-5</v>
      </c>
    </row>
    <row r="703" spans="1:76" s="150" customFormat="1" x14ac:dyDescent="0.25">
      <c r="A703" s="150">
        <f t="shared" si="445"/>
        <v>699</v>
      </c>
      <c r="B703" s="150">
        <f t="shared" si="446"/>
        <v>59</v>
      </c>
      <c r="C703" s="150">
        <f t="shared" si="447"/>
        <v>3</v>
      </c>
      <c r="D703" s="150">
        <f>IF(E703="","",Input!$C$4+B703-1)</f>
        <v>103</v>
      </c>
      <c r="E703" s="150">
        <f>IF(OR(AND(C702=12,D702=Input!$C$6),E702=""),"",1)</f>
        <v>1</v>
      </c>
      <c r="F703" s="150">
        <f>IF(E703="","",Input!$C$8+B703-1)</f>
        <v>2076</v>
      </c>
      <c r="G703" s="151">
        <f>IF(E703="","",MAX(0,Input!$C$9-B703))</f>
        <v>0</v>
      </c>
      <c r="H703" s="152">
        <f>IF(E703="","",Input!$C$3)</f>
        <v>100000</v>
      </c>
      <c r="I703" s="153">
        <f>IF(E703="","",HLOOKUP($B703,Input!$C$13:$BT$14,2))</f>
        <v>1000</v>
      </c>
      <c r="J703" s="154"/>
      <c r="K703" s="155">
        <f>IF($E703="","",INDEX(Input!$C$16:$CP$16,1,$B703))</f>
        <v>3.2899999999999999E-2</v>
      </c>
      <c r="L703" s="155">
        <f>IF($E703="","",Input!$C$37)</f>
        <v>1.4999999999999999E-2</v>
      </c>
      <c r="M703" s="155">
        <f t="shared" si="456"/>
        <v>4.7899999999999998E-2</v>
      </c>
      <c r="N703" s="155">
        <f t="shared" si="457"/>
        <v>3.9066244998400279E-3</v>
      </c>
      <c r="O703" s="147">
        <f>IF($E703="","",MIN(VLOOKUP(IF($B703&lt;=Input!$C$7,$B703,26),'Mortality Tables'!$A$41:$CW$67,IF($B703&lt;=Input!$C$7+1,Input!$C$4+2,$D703-Input!$C$7+2),0)*IF(B703&gt;20,Input!$C$22,1)/1000,1))</f>
        <v>1</v>
      </c>
      <c r="P703" s="147">
        <f>IF($E703="","",MIN(VLOOKUP(IF($B703&lt;=Input!$C$7,$B703,26),'Mortality Tables'!$A$12:$CW$37,IF($B703&lt;=Input!$C$7+1,Input!$C$4+2,$D703-Input!$C$7+2),0)*IF(B703&gt;20,Input!$C$22,1)/1000,1))</f>
        <v>1</v>
      </c>
      <c r="Q703" s="155">
        <f>IF($E703="","",Input!$C$21)</f>
        <v>5.0000000000000001E-3</v>
      </c>
      <c r="R703" s="159">
        <f>IF($E703="","",(1-Q703)^($F703-Input!$C$20))</f>
        <v>0.74771945930325501</v>
      </c>
      <c r="S703" s="147">
        <f t="shared" si="413"/>
        <v>0.74771945930325501</v>
      </c>
      <c r="T703" s="147">
        <f t="shared" si="414"/>
        <v>0.10842685342133662</v>
      </c>
      <c r="U703" s="160">
        <f>IF($E703="","",IF($C703=12,INDEX(Input!$C$15:$CP$15,1,$B703),0))</f>
        <v>0</v>
      </c>
      <c r="V703" s="150">
        <f>IF(E703="","",IF(C703=1,IF($B703=1,Input!$C$33,Input!$C$34),0))</f>
        <v>0</v>
      </c>
      <c r="W703" s="156">
        <f>IF($E703="","",Input!$C$35)</f>
        <v>0.02</v>
      </c>
      <c r="X703" s="156">
        <f t="shared" si="458"/>
        <v>3.1536243640574906</v>
      </c>
      <c r="Y703" s="154"/>
      <c r="Z703" s="147">
        <f>IF($E703="","",VLOOKUP($D703,'Mortality Margins &amp; Grading'!$AB$5:$AF$125,3,0)*IF(Summary!$D$25="Included Margin",IF(AND($B703&gt;Input!$C$9,Summary!$D$31&lt;&gt;"Included Margin"),0,1),0))</f>
        <v>1.2999999999999999E-2</v>
      </c>
      <c r="AA703" s="147">
        <f>IF($E703="","",VLOOKUP($D703,'Mortality Margins &amp; Grading'!$AB$5:$AF$125,5,0)*IF(Summary!$D$25="Included Margin",IF(AND($B703&gt;Input!$C$9,Summary!$D$31&lt;&gt;"Included Margin"),0,1),0))</f>
        <v>6.7000000000000004E-2</v>
      </c>
      <c r="AB703" s="147">
        <f>IF($E703="","",IF(AND($B703&gt;Input!$C$9,Summary!$D$31&lt;&gt;"Included Margin"),1,IF(Summary!$D$25="Included Margin",VLOOKUP($B703,'Mortality Margins &amp; Grading'!$AI$5:$AR$125,MATCH('Mortality Margins &amp; Grading'!$AQ$4,'Mortality Margins &amp; Grading'!$AI$4:$AR$4,0),0),1)))</f>
        <v>0</v>
      </c>
      <c r="AC703" s="154"/>
      <c r="AD703" s="158">
        <f>IF(E703="","",Input!$C$48*IF(Summary!$D$30="Included Margin",IF(AND($B703&gt;Input!$C$9,Summary!$D$31&lt;&gt;"Included Margin"),0,1),0))</f>
        <v>-4.4999999999999997E-3</v>
      </c>
      <c r="AE703" s="159">
        <f>IF(E703="","",IF(Summary!$D$26="Included Margin",IF(AND($B703&gt;Input!$C$9,Summary!$D$31&lt;&gt;"Included Margin"),1,1/$R703),1))</f>
        <v>1.3373999934839556</v>
      </c>
      <c r="AF703" s="160">
        <f>IF(E703="","",IF(AND($B703&gt;=Input!$C$9,$C703=12,Summary!$D$31="Included Margin",$U703&gt;0),1/U703-1,IF($B703&gt;=Input!$C$9,0,Input!$C$45*IF(Summary!$D$27="Included Margin",1,0))))</f>
        <v>0</v>
      </c>
      <c r="AG703" s="160">
        <f>IF(E703="","",Input!$C$46*IF(Summary!$D$28="Included Margin",IF(AND($B703&gt;Input!$C$9,Summary!$D$31&lt;&gt;"Included Margin"),0,1),0))</f>
        <v>0.02</v>
      </c>
      <c r="AH703" s="158">
        <f>IF(E703="","",Input!$C$47*IF(Summary!$D$29="Included Margin",IF(AND($B703&gt;Input!$C$9,Summary!$D$31&lt;&gt;"Included Margin"),0,1),0))</f>
        <v>2.5000000000000001E-3</v>
      </c>
      <c r="AI703" s="154"/>
      <c r="AJ703" s="158">
        <f t="shared" si="435"/>
        <v>4.3400000000000001E-2</v>
      </c>
      <c r="AK703" s="155">
        <f t="shared" si="436"/>
        <v>3.5466588636137164E-3</v>
      </c>
      <c r="AL703" s="147">
        <f t="shared" si="437"/>
        <v>1</v>
      </c>
      <c r="AM703" s="147">
        <f t="shared" si="415"/>
        <v>1</v>
      </c>
      <c r="AN703" s="160">
        <f t="shared" si="438"/>
        <v>0</v>
      </c>
      <c r="AO703" s="161">
        <f t="shared" si="439"/>
        <v>0</v>
      </c>
      <c r="AP703" s="156">
        <f t="shared" si="416"/>
        <v>3.6347317731925344</v>
      </c>
      <c r="AQ703" s="152"/>
      <c r="AR703" s="162">
        <f t="shared" si="417"/>
        <v>99822.98096987544</v>
      </c>
      <c r="AS703" s="150">
        <f t="shared" si="440"/>
        <v>0</v>
      </c>
      <c r="AT703" s="163">
        <f t="shared" si="418"/>
        <v>0</v>
      </c>
      <c r="AU703" s="163">
        <f t="shared" si="419"/>
        <v>100000</v>
      </c>
      <c r="AV703" s="163">
        <f t="shared" si="441"/>
        <v>176.70511706846625</v>
      </c>
      <c r="AW703" s="163">
        <f t="shared" si="420"/>
        <v>99823.294882931528</v>
      </c>
      <c r="AX703" s="163">
        <f t="shared" si="421"/>
        <v>0</v>
      </c>
      <c r="AY703" s="164">
        <f t="shared" si="442"/>
        <v>99822.98096987544</v>
      </c>
      <c r="AZ703" s="164">
        <f>IF($E703="","",IF(OR(AND($D703=Input!$C$6,$C703=12),$AN703=1),0,-AS704+AT704+AU704-AV704-AW704-AX704+AZ704))</f>
        <v>99823.294882931528</v>
      </c>
      <c r="BA703" s="154">
        <f t="shared" si="422"/>
        <v>0.31391305608849507</v>
      </c>
      <c r="BC703" s="147">
        <f t="shared" si="443"/>
        <v>6.1456439451284876E-10</v>
      </c>
      <c r="BD703" s="164">
        <f>IF(AND($C702=12,$D702=Input!$C$6),0,IF($E703="","",AT703+(AU703+BD704)/(1+$AK703)*MIN((1-AM703-AN703),1)))</f>
        <v>0</v>
      </c>
      <c r="BE703" s="164">
        <f t="shared" si="423"/>
        <v>0</v>
      </c>
      <c r="BF703" s="164">
        <f t="shared" si="444"/>
        <v>99823.294882931528</v>
      </c>
      <c r="BG703" s="164">
        <f t="shared" si="424"/>
        <v>6.1347842778006366E-5</v>
      </c>
      <c r="BH703" s="152"/>
      <c r="BI703" s="162">
        <f t="shared" si="425"/>
        <v>57711.891617425426</v>
      </c>
      <c r="BJ703" s="150">
        <f t="shared" si="426"/>
        <v>0</v>
      </c>
      <c r="BK703" s="163">
        <f t="shared" si="448"/>
        <v>0</v>
      </c>
      <c r="BL703" s="163">
        <f t="shared" si="427"/>
        <v>10842.685342133662</v>
      </c>
      <c r="BM703" s="163">
        <f t="shared" si="449"/>
        <v>204.27953962392866</v>
      </c>
      <c r="BN703" s="163">
        <f t="shared" si="428"/>
        <v>5724.7511804173309</v>
      </c>
      <c r="BO703" s="163">
        <f t="shared" si="429"/>
        <v>0</v>
      </c>
      <c r="BP703" s="164">
        <f t="shared" si="450"/>
        <v>52798.236995333027</v>
      </c>
      <c r="BQ703" s="164">
        <f>IF($E703="","",IF(AND($D703=Input!$C$6,$C703=12),0,-BJ704+BK704+BL704-BM704-BN704-BO704+BQ704))</f>
        <v>52798.278284176362</v>
      </c>
      <c r="BR703" s="161">
        <f t="shared" si="430"/>
        <v>0</v>
      </c>
      <c r="BT703" s="147">
        <f t="shared" si="431"/>
        <v>6.1456439451284876E-10</v>
      </c>
      <c r="BU703" s="164">
        <f>IF(AND($C702=12,$D702=Input!$C$6),0,IF($E703="","",BK703+(BL703+BU704)/(1+$AK703)*MIN((1-T703-U703),1)))</f>
        <v>82144.01582720477</v>
      </c>
      <c r="BV703" s="164">
        <f t="shared" si="432"/>
        <v>5.0482787349699966E-5</v>
      </c>
      <c r="BW703" s="164">
        <f t="shared" si="433"/>
        <v>52798.278284176362</v>
      </c>
      <c r="BX703" s="164">
        <f t="shared" si="434"/>
        <v>3.2447941925035734E-5</v>
      </c>
    </row>
    <row r="704" spans="1:76" s="150" customFormat="1" x14ac:dyDescent="0.25">
      <c r="A704" s="150">
        <f t="shared" si="445"/>
        <v>700</v>
      </c>
      <c r="B704" s="150">
        <f t="shared" si="446"/>
        <v>59</v>
      </c>
      <c r="C704" s="150">
        <f t="shared" si="447"/>
        <v>4</v>
      </c>
      <c r="D704" s="150">
        <f>IF(E704="","",Input!$C$4+B704-1)</f>
        <v>103</v>
      </c>
      <c r="E704" s="150">
        <f>IF(OR(AND(C703=12,D703=Input!$C$6),E703=""),"",1)</f>
        <v>1</v>
      </c>
      <c r="F704" s="150">
        <f>IF(E704="","",Input!$C$8+B704-1)</f>
        <v>2076</v>
      </c>
      <c r="G704" s="151">
        <f>IF(E704="","",MAX(0,Input!$C$9-B704))</f>
        <v>0</v>
      </c>
      <c r="H704" s="152">
        <f>IF(E704="","",Input!$C$3)</f>
        <v>100000</v>
      </c>
      <c r="I704" s="153">
        <f>IF(E704="","",HLOOKUP($B704,Input!$C$13:$BT$14,2))</f>
        <v>1000</v>
      </c>
      <c r="J704" s="154"/>
      <c r="K704" s="155">
        <f>IF($E704="","",INDEX(Input!$C$16:$CP$16,1,$B704))</f>
        <v>3.2899999999999999E-2</v>
      </c>
      <c r="L704" s="155">
        <f>IF($E704="","",Input!$C$37)</f>
        <v>1.4999999999999999E-2</v>
      </c>
      <c r="M704" s="155">
        <f t="shared" si="456"/>
        <v>4.7899999999999998E-2</v>
      </c>
      <c r="N704" s="155">
        <f t="shared" si="457"/>
        <v>3.9066244998400279E-3</v>
      </c>
      <c r="O704" s="147">
        <f>IF($E704="","",MIN(VLOOKUP(IF($B704&lt;=Input!$C$7,$B704,26),'Mortality Tables'!$A$41:$CW$67,IF($B704&lt;=Input!$C$7+1,Input!$C$4+2,$D704-Input!$C$7+2),0)*IF(B704&gt;20,Input!$C$22,1)/1000,1))</f>
        <v>1</v>
      </c>
      <c r="P704" s="147">
        <f>IF($E704="","",MIN(VLOOKUP(IF($B704&lt;=Input!$C$7,$B704,26),'Mortality Tables'!$A$12:$CW$37,IF($B704&lt;=Input!$C$7+1,Input!$C$4+2,$D704-Input!$C$7+2),0)*IF(B704&gt;20,Input!$C$22,1)/1000,1))</f>
        <v>1</v>
      </c>
      <c r="Q704" s="155">
        <f>IF($E704="","",Input!$C$21)</f>
        <v>5.0000000000000001E-3</v>
      </c>
      <c r="R704" s="159">
        <f>IF($E704="","",(1-Q704)^($F704-Input!$C$20))</f>
        <v>0.74771945930325501</v>
      </c>
      <c r="S704" s="147">
        <f t="shared" si="413"/>
        <v>0.74771945930325501</v>
      </c>
      <c r="T704" s="147">
        <f t="shared" si="414"/>
        <v>0.10842685342133662</v>
      </c>
      <c r="U704" s="160">
        <f>IF($E704="","",IF($C704=12,INDEX(Input!$C$15:$CP$15,1,$B704),0))</f>
        <v>0</v>
      </c>
      <c r="V704" s="150">
        <f>IF(E704="","",IF(C704=1,IF($B704=1,Input!$C$33,Input!$C$34),0))</f>
        <v>0</v>
      </c>
      <c r="W704" s="156">
        <f>IF($E704="","",Input!$C$35)</f>
        <v>0.02</v>
      </c>
      <c r="X704" s="156">
        <f t="shared" si="458"/>
        <v>3.1536243640574906</v>
      </c>
      <c r="Y704" s="154"/>
      <c r="Z704" s="147">
        <f>IF($E704="","",VLOOKUP($D704,'Mortality Margins &amp; Grading'!$AB$5:$AF$125,3,0)*IF(Summary!$D$25="Included Margin",IF(AND($B704&gt;Input!$C$9,Summary!$D$31&lt;&gt;"Included Margin"),0,1),0))</f>
        <v>1.2999999999999999E-2</v>
      </c>
      <c r="AA704" s="147">
        <f>IF($E704="","",VLOOKUP($D704,'Mortality Margins &amp; Grading'!$AB$5:$AF$125,5,0)*IF(Summary!$D$25="Included Margin",IF(AND($B704&gt;Input!$C$9,Summary!$D$31&lt;&gt;"Included Margin"),0,1),0))</f>
        <v>6.7000000000000004E-2</v>
      </c>
      <c r="AB704" s="147">
        <f>IF($E704="","",IF(AND($B704&gt;Input!$C$9,Summary!$D$31&lt;&gt;"Included Margin"),1,IF(Summary!$D$25="Included Margin",VLOOKUP($B704,'Mortality Margins &amp; Grading'!$AI$5:$AR$125,MATCH('Mortality Margins &amp; Grading'!$AQ$4,'Mortality Margins &amp; Grading'!$AI$4:$AR$4,0),0),1)))</f>
        <v>0</v>
      </c>
      <c r="AC704" s="154"/>
      <c r="AD704" s="158">
        <f>IF(E704="","",Input!$C$48*IF(Summary!$D$30="Included Margin",IF(AND($B704&gt;Input!$C$9,Summary!$D$31&lt;&gt;"Included Margin"),0,1),0))</f>
        <v>-4.4999999999999997E-3</v>
      </c>
      <c r="AE704" s="159">
        <f>IF(E704="","",IF(Summary!$D$26="Included Margin",IF(AND($B704&gt;Input!$C$9,Summary!$D$31&lt;&gt;"Included Margin"),1,1/$R704),1))</f>
        <v>1.3373999934839556</v>
      </c>
      <c r="AF704" s="160">
        <f>IF(E704="","",IF(AND($B704&gt;=Input!$C$9,$C704=12,Summary!$D$31="Included Margin",$U704&gt;0),1/U704-1,IF($B704&gt;=Input!$C$9,0,Input!$C$45*IF(Summary!$D$27="Included Margin",1,0))))</f>
        <v>0</v>
      </c>
      <c r="AG704" s="160">
        <f>IF(E704="","",Input!$C$46*IF(Summary!$D$28="Included Margin",IF(AND($B704&gt;Input!$C$9,Summary!$D$31&lt;&gt;"Included Margin"),0,1),0))</f>
        <v>0.02</v>
      </c>
      <c r="AH704" s="158">
        <f>IF(E704="","",Input!$C$47*IF(Summary!$D$29="Included Margin",IF(AND($B704&gt;Input!$C$9,Summary!$D$31&lt;&gt;"Included Margin"),0,1),0))</f>
        <v>2.5000000000000001E-3</v>
      </c>
      <c r="AI704" s="154"/>
      <c r="AJ704" s="158">
        <f t="shared" si="435"/>
        <v>4.3400000000000001E-2</v>
      </c>
      <c r="AK704" s="155">
        <f t="shared" si="436"/>
        <v>3.5466588636137164E-3</v>
      </c>
      <c r="AL704" s="147">
        <f t="shared" si="437"/>
        <v>1</v>
      </c>
      <c r="AM704" s="147">
        <f t="shared" si="415"/>
        <v>1</v>
      </c>
      <c r="AN704" s="160">
        <f t="shared" si="438"/>
        <v>0</v>
      </c>
      <c r="AO704" s="161">
        <f t="shared" si="439"/>
        <v>0</v>
      </c>
      <c r="AP704" s="156">
        <f t="shared" si="416"/>
        <v>3.6347317731925344</v>
      </c>
      <c r="AQ704" s="152"/>
      <c r="AR704" s="162">
        <f t="shared" si="417"/>
        <v>99822.98096987544</v>
      </c>
      <c r="AS704" s="150">
        <f t="shared" si="440"/>
        <v>0</v>
      </c>
      <c r="AT704" s="163">
        <f t="shared" si="418"/>
        <v>0</v>
      </c>
      <c r="AU704" s="163">
        <f t="shared" si="419"/>
        <v>100000</v>
      </c>
      <c r="AV704" s="163">
        <f t="shared" si="441"/>
        <v>176.70511706846625</v>
      </c>
      <c r="AW704" s="163">
        <f t="shared" si="420"/>
        <v>99823.294882931528</v>
      </c>
      <c r="AX704" s="163">
        <f t="shared" si="421"/>
        <v>0</v>
      </c>
      <c r="AY704" s="165">
        <f t="shared" si="442"/>
        <v>99822.98096987544</v>
      </c>
      <c r="AZ704" s="164">
        <f>IF($E704="","",IF(OR(AND($D704=Input!$C$6,$C704=12),$AN704=1),0,-AS705+AT705+AU705-AV705-AW705-AX705+AZ705))</f>
        <v>99823.294882931528</v>
      </c>
      <c r="BA704" s="154">
        <f t="shared" si="422"/>
        <v>0.31391305608849507</v>
      </c>
      <c r="BC704" s="147">
        <f t="shared" si="443"/>
        <v>5.479291109910316E-10</v>
      </c>
      <c r="BD704" s="164">
        <f>IF(AND($C703=12,$D703=Input!$C$6),0,IF($E704="","",AT704+(AU704+BD705)/(1+$AK704)*MIN((1-AM704-AN704),1)))</f>
        <v>0</v>
      </c>
      <c r="BE704" s="164">
        <f t="shared" si="423"/>
        <v>0</v>
      </c>
      <c r="BF704" s="164">
        <f t="shared" si="444"/>
        <v>99823.294882931528</v>
      </c>
      <c r="BG704" s="164">
        <f t="shared" si="424"/>
        <v>5.4696089221400267E-5</v>
      </c>
      <c r="BH704" s="152"/>
      <c r="BI704" s="162">
        <f t="shared" si="425"/>
        <v>52798.236995333034</v>
      </c>
      <c r="BJ704" s="150">
        <f t="shared" si="426"/>
        <v>0</v>
      </c>
      <c r="BK704" s="163">
        <f t="shared" si="448"/>
        <v>0</v>
      </c>
      <c r="BL704" s="163">
        <f t="shared" si="427"/>
        <v>10842.685342133662</v>
      </c>
      <c r="BM704" s="163">
        <f t="shared" si="449"/>
        <v>185.08373609351034</v>
      </c>
      <c r="BN704" s="163">
        <f t="shared" si="428"/>
        <v>5124.8526167371228</v>
      </c>
      <c r="BO704" s="163">
        <f t="shared" si="429"/>
        <v>0</v>
      </c>
      <c r="BP704" s="164">
        <f t="shared" si="450"/>
        <v>47265.488006030006</v>
      </c>
      <c r="BQ704" s="164">
        <f>IF($E704="","",IF(AND($D704=Input!$C$6,$C704=12),0,-BJ705+BK705+BL705-BM705-BN705-BO705+BQ705))</f>
        <v>47265.529294873333</v>
      </c>
      <c r="BR704" s="161">
        <f t="shared" si="430"/>
        <v>0</v>
      </c>
      <c r="BT704" s="147">
        <f t="shared" si="431"/>
        <v>5.479291109910316E-10</v>
      </c>
      <c r="BU704" s="164">
        <f>IF(AND($C703=12,$D703=Input!$C$6),0,IF($E704="","",BK704+(BL704+BU705)/(1+$AK704)*MIN((1-T704-U704),1)))</f>
        <v>81617.874899468341</v>
      </c>
      <c r="BV704" s="164">
        <f t="shared" si="432"/>
        <v>4.4720809634642924E-5</v>
      </c>
      <c r="BW704" s="164">
        <f t="shared" si="433"/>
        <v>47265.529294873333</v>
      </c>
      <c r="BX704" s="164">
        <f t="shared" si="434"/>
        <v>2.5898159447060507E-5</v>
      </c>
    </row>
    <row r="705" spans="1:76" s="150" customFormat="1" x14ac:dyDescent="0.25">
      <c r="A705" s="150">
        <f t="shared" si="445"/>
        <v>701</v>
      </c>
      <c r="B705" s="150">
        <f t="shared" si="446"/>
        <v>59</v>
      </c>
      <c r="C705" s="150">
        <f t="shared" si="447"/>
        <v>5</v>
      </c>
      <c r="D705" s="150">
        <f>IF(E705="","",Input!$C$4+B705-1)</f>
        <v>103</v>
      </c>
      <c r="E705" s="150">
        <f>IF(OR(AND(C704=12,D704=Input!$C$6),E704=""),"",1)</f>
        <v>1</v>
      </c>
      <c r="F705" s="150">
        <f>IF(E705="","",Input!$C$8+B705-1)</f>
        <v>2076</v>
      </c>
      <c r="G705" s="151">
        <f>IF(E705="","",MAX(0,Input!$C$9-B705))</f>
        <v>0</v>
      </c>
      <c r="H705" s="152">
        <f>IF(E705="","",Input!$C$3)</f>
        <v>100000</v>
      </c>
      <c r="I705" s="153">
        <f>IF(E705="","",HLOOKUP($B705,Input!$C$13:$BT$14,2))</f>
        <v>1000</v>
      </c>
      <c r="J705" s="154"/>
      <c r="K705" s="155">
        <f>IF($E705="","",INDEX(Input!$C$16:$CP$16,1,$B705))</f>
        <v>3.2899999999999999E-2</v>
      </c>
      <c r="L705" s="155">
        <f>IF($E705="","",Input!$C$37)</f>
        <v>1.4999999999999999E-2</v>
      </c>
      <c r="M705" s="155">
        <f t="shared" si="456"/>
        <v>4.7899999999999998E-2</v>
      </c>
      <c r="N705" s="155">
        <f t="shared" si="457"/>
        <v>3.9066244998400279E-3</v>
      </c>
      <c r="O705" s="147">
        <f>IF($E705="","",MIN(VLOOKUP(IF($B705&lt;=Input!$C$7,$B705,26),'Mortality Tables'!$A$41:$CW$67,IF($B705&lt;=Input!$C$7+1,Input!$C$4+2,$D705-Input!$C$7+2),0)*IF(B705&gt;20,Input!$C$22,1)/1000,1))</f>
        <v>1</v>
      </c>
      <c r="P705" s="147">
        <f>IF($E705="","",MIN(VLOOKUP(IF($B705&lt;=Input!$C$7,$B705,26),'Mortality Tables'!$A$12:$CW$37,IF($B705&lt;=Input!$C$7+1,Input!$C$4+2,$D705-Input!$C$7+2),0)*IF(B705&gt;20,Input!$C$22,1)/1000,1))</f>
        <v>1</v>
      </c>
      <c r="Q705" s="155">
        <f>IF($E705="","",Input!$C$21)</f>
        <v>5.0000000000000001E-3</v>
      </c>
      <c r="R705" s="159">
        <f>IF($E705="","",(1-Q705)^($F705-Input!$C$20))</f>
        <v>0.74771945930325501</v>
      </c>
      <c r="S705" s="147">
        <f t="shared" si="413"/>
        <v>0.74771945930325501</v>
      </c>
      <c r="T705" s="147">
        <f t="shared" si="414"/>
        <v>0.10842685342133662</v>
      </c>
      <c r="U705" s="160">
        <f>IF($E705="","",IF($C705=12,INDEX(Input!$C$15:$CP$15,1,$B705),0))</f>
        <v>0</v>
      </c>
      <c r="V705" s="150">
        <f>IF(E705="","",IF(C705=1,IF($B705=1,Input!$C$33,Input!$C$34),0))</f>
        <v>0</v>
      </c>
      <c r="W705" s="156">
        <f>IF($E705="","",Input!$C$35)</f>
        <v>0.02</v>
      </c>
      <c r="X705" s="156">
        <f t="shared" si="458"/>
        <v>3.1536243640574906</v>
      </c>
      <c r="Y705" s="154"/>
      <c r="Z705" s="147">
        <f>IF($E705="","",VLOOKUP($D705,'Mortality Margins &amp; Grading'!$AB$5:$AF$125,3,0)*IF(Summary!$D$25="Included Margin",IF(AND($B705&gt;Input!$C$9,Summary!$D$31&lt;&gt;"Included Margin"),0,1),0))</f>
        <v>1.2999999999999999E-2</v>
      </c>
      <c r="AA705" s="147">
        <f>IF($E705="","",VLOOKUP($D705,'Mortality Margins &amp; Grading'!$AB$5:$AF$125,5,0)*IF(Summary!$D$25="Included Margin",IF(AND($B705&gt;Input!$C$9,Summary!$D$31&lt;&gt;"Included Margin"),0,1),0))</f>
        <v>6.7000000000000004E-2</v>
      </c>
      <c r="AB705" s="147">
        <f>IF($E705="","",IF(AND($B705&gt;Input!$C$9,Summary!$D$31&lt;&gt;"Included Margin"),1,IF(Summary!$D$25="Included Margin",VLOOKUP($B705,'Mortality Margins &amp; Grading'!$AI$5:$AR$125,MATCH('Mortality Margins &amp; Grading'!$AQ$4,'Mortality Margins &amp; Grading'!$AI$4:$AR$4,0),0),1)))</f>
        <v>0</v>
      </c>
      <c r="AC705" s="154"/>
      <c r="AD705" s="158">
        <f>IF(E705="","",Input!$C$48*IF(Summary!$D$30="Included Margin",IF(AND($B705&gt;Input!$C$9,Summary!$D$31&lt;&gt;"Included Margin"),0,1),0))</f>
        <v>-4.4999999999999997E-3</v>
      </c>
      <c r="AE705" s="159">
        <f>IF(E705="","",IF(Summary!$D$26="Included Margin",IF(AND($B705&gt;Input!$C$9,Summary!$D$31&lt;&gt;"Included Margin"),1,1/$R705),1))</f>
        <v>1.3373999934839556</v>
      </c>
      <c r="AF705" s="160">
        <f>IF(E705="","",IF(AND($B705&gt;=Input!$C$9,$C705=12,Summary!$D$31="Included Margin",$U705&gt;0),1/U705-1,IF($B705&gt;=Input!$C$9,0,Input!$C$45*IF(Summary!$D$27="Included Margin",1,0))))</f>
        <v>0</v>
      </c>
      <c r="AG705" s="160">
        <f>IF(E705="","",Input!$C$46*IF(Summary!$D$28="Included Margin",IF(AND($B705&gt;Input!$C$9,Summary!$D$31&lt;&gt;"Included Margin"),0,1),0))</f>
        <v>0.02</v>
      </c>
      <c r="AH705" s="158">
        <f>IF(E705="","",Input!$C$47*IF(Summary!$D$29="Included Margin",IF(AND($B705&gt;Input!$C$9,Summary!$D$31&lt;&gt;"Included Margin"),0,1),0))</f>
        <v>2.5000000000000001E-3</v>
      </c>
      <c r="AI705" s="154"/>
      <c r="AJ705" s="158">
        <f t="shared" si="435"/>
        <v>4.3400000000000001E-2</v>
      </c>
      <c r="AK705" s="155">
        <f t="shared" si="436"/>
        <v>3.5466588636137164E-3</v>
      </c>
      <c r="AL705" s="147">
        <f t="shared" si="437"/>
        <v>1</v>
      </c>
      <c r="AM705" s="147">
        <f t="shared" si="415"/>
        <v>1</v>
      </c>
      <c r="AN705" s="160">
        <f t="shared" si="438"/>
        <v>0</v>
      </c>
      <c r="AO705" s="161">
        <f t="shared" si="439"/>
        <v>0</v>
      </c>
      <c r="AP705" s="156">
        <f t="shared" si="416"/>
        <v>3.6347317731925344</v>
      </c>
      <c r="AQ705" s="152"/>
      <c r="AR705" s="162">
        <f t="shared" si="417"/>
        <v>99822.98096987544</v>
      </c>
      <c r="AS705" s="150">
        <f t="shared" si="440"/>
        <v>0</v>
      </c>
      <c r="AT705" s="163">
        <f t="shared" si="418"/>
        <v>0</v>
      </c>
      <c r="AU705" s="163">
        <f t="shared" si="419"/>
        <v>100000</v>
      </c>
      <c r="AV705" s="163">
        <f t="shared" si="441"/>
        <v>176.70511706846625</v>
      </c>
      <c r="AW705" s="163">
        <f t="shared" si="420"/>
        <v>99823.294882931528</v>
      </c>
      <c r="AX705" s="163">
        <f t="shared" si="421"/>
        <v>0</v>
      </c>
      <c r="AY705" s="164">
        <f t="shared" si="442"/>
        <v>99822.98096987544</v>
      </c>
      <c r="AZ705" s="164">
        <f>IF($E705="","",IF(OR(AND($D705=Input!$C$6,$C705=12),$AN705=1),0,-AS706+AT706+AU706-AV706-AW706-AX706+AZ706))</f>
        <v>99823.294882931528</v>
      </c>
      <c r="BA705" s="154">
        <f t="shared" si="422"/>
        <v>0.31391305608849507</v>
      </c>
      <c r="BC705" s="147">
        <f t="shared" si="443"/>
        <v>4.8851888158832374E-10</v>
      </c>
      <c r="BD705" s="164">
        <f>IF(AND($C704=12,$D704=Input!$C$6),0,IF($E705="","",AT705+(AU705+BD706)/(1+$AK705)*MIN((1-AM705-AN705),1)))</f>
        <v>0</v>
      </c>
      <c r="BE705" s="164">
        <f t="shared" si="423"/>
        <v>0</v>
      </c>
      <c r="BF705" s="164">
        <f t="shared" si="444"/>
        <v>99823.294882931528</v>
      </c>
      <c r="BG705" s="164">
        <f t="shared" si="424"/>
        <v>4.8765564372671147E-5</v>
      </c>
      <c r="BH705" s="152"/>
      <c r="BI705" s="162">
        <f t="shared" si="425"/>
        <v>47265.488006030006</v>
      </c>
      <c r="BJ705" s="150">
        <f t="shared" si="426"/>
        <v>0</v>
      </c>
      <c r="BK705" s="163">
        <f t="shared" si="448"/>
        <v>0</v>
      </c>
      <c r="BL705" s="163">
        <f t="shared" si="427"/>
        <v>10842.685342133662</v>
      </c>
      <c r="BM705" s="163">
        <f t="shared" si="449"/>
        <v>163.46936334043397</v>
      </c>
      <c r="BN705" s="163">
        <f t="shared" si="428"/>
        <v>4449.3700223840369</v>
      </c>
      <c r="BO705" s="163">
        <f t="shared" si="429"/>
        <v>0</v>
      </c>
      <c r="BP705" s="164">
        <f t="shared" si="450"/>
        <v>41035.642049620808</v>
      </c>
      <c r="BQ705" s="164">
        <f>IF($E705="","",IF(AND($D705=Input!$C$6,$C705=12),0,-BJ706+BK706+BL706-BM706-BN706-BO706+BQ706))</f>
        <v>41035.683338464143</v>
      </c>
      <c r="BR705" s="161">
        <f t="shared" si="430"/>
        <v>0</v>
      </c>
      <c r="BT705" s="147">
        <f t="shared" si="431"/>
        <v>4.8851888158832374E-10</v>
      </c>
      <c r="BU705" s="164">
        <f>IF(AND($C704=12,$D704=Input!$C$6),0,IF($E705="","",BK705+(BL705+BU706)/(1+$AK705)*MIN((1-T705-U705),1)))</f>
        <v>81025.655436435525</v>
      </c>
      <c r="BV705" s="164">
        <f t="shared" si="432"/>
        <v>3.9582562573768367E-5</v>
      </c>
      <c r="BW705" s="164">
        <f t="shared" si="433"/>
        <v>41035.683338464143</v>
      </c>
      <c r="BX705" s="164">
        <f t="shared" si="434"/>
        <v>2.0046706129719114E-5</v>
      </c>
    </row>
    <row r="706" spans="1:76" s="150" customFormat="1" x14ac:dyDescent="0.25">
      <c r="A706" s="150">
        <f t="shared" si="445"/>
        <v>702</v>
      </c>
      <c r="B706" s="150">
        <f t="shared" si="446"/>
        <v>59</v>
      </c>
      <c r="C706" s="150">
        <f t="shared" si="447"/>
        <v>6</v>
      </c>
      <c r="D706" s="150">
        <f>IF(E706="","",Input!$C$4+B706-1)</f>
        <v>103</v>
      </c>
      <c r="E706" s="150">
        <f>IF(OR(AND(C705=12,D705=Input!$C$6),E705=""),"",1)</f>
        <v>1</v>
      </c>
      <c r="F706" s="150">
        <f>IF(E706="","",Input!$C$8+B706-1)</f>
        <v>2076</v>
      </c>
      <c r="G706" s="151">
        <f>IF(E706="","",MAX(0,Input!$C$9-B706))</f>
        <v>0</v>
      </c>
      <c r="H706" s="152">
        <f>IF(E706="","",Input!$C$3)</f>
        <v>100000</v>
      </c>
      <c r="I706" s="153">
        <f>IF(E706="","",HLOOKUP($B706,Input!$C$13:$BT$14,2))</f>
        <v>1000</v>
      </c>
      <c r="J706" s="154"/>
      <c r="K706" s="155">
        <f>IF($E706="","",INDEX(Input!$C$16:$CP$16,1,$B706))</f>
        <v>3.2899999999999999E-2</v>
      </c>
      <c r="L706" s="155">
        <f>IF($E706="","",Input!$C$37)</f>
        <v>1.4999999999999999E-2</v>
      </c>
      <c r="M706" s="155">
        <f t="shared" si="456"/>
        <v>4.7899999999999998E-2</v>
      </c>
      <c r="N706" s="155">
        <f t="shared" si="457"/>
        <v>3.9066244998400279E-3</v>
      </c>
      <c r="O706" s="147">
        <f>IF($E706="","",MIN(VLOOKUP(IF($B706&lt;=Input!$C$7,$B706,26),'Mortality Tables'!$A$41:$CW$67,IF($B706&lt;=Input!$C$7+1,Input!$C$4+2,$D706-Input!$C$7+2),0)*IF(B706&gt;20,Input!$C$22,1)/1000,1))</f>
        <v>1</v>
      </c>
      <c r="P706" s="147">
        <f>IF($E706="","",MIN(VLOOKUP(IF($B706&lt;=Input!$C$7,$B706,26),'Mortality Tables'!$A$12:$CW$37,IF($B706&lt;=Input!$C$7+1,Input!$C$4+2,$D706-Input!$C$7+2),0)*IF(B706&gt;20,Input!$C$22,1)/1000,1))</f>
        <v>1</v>
      </c>
      <c r="Q706" s="155">
        <f>IF($E706="","",Input!$C$21)</f>
        <v>5.0000000000000001E-3</v>
      </c>
      <c r="R706" s="159">
        <f>IF($E706="","",(1-Q706)^($F706-Input!$C$20))</f>
        <v>0.74771945930325501</v>
      </c>
      <c r="S706" s="147">
        <f t="shared" si="413"/>
        <v>0.74771945930325501</v>
      </c>
      <c r="T706" s="147">
        <f t="shared" si="414"/>
        <v>0.10842685342133662</v>
      </c>
      <c r="U706" s="160">
        <f>IF($E706="","",IF($C706=12,INDEX(Input!$C$15:$CP$15,1,$B706),0))</f>
        <v>0</v>
      </c>
      <c r="V706" s="150">
        <f>IF(E706="","",IF(C706=1,IF($B706=1,Input!$C$33,Input!$C$34),0))</f>
        <v>0</v>
      </c>
      <c r="W706" s="156">
        <f>IF($E706="","",Input!$C$35)</f>
        <v>0.02</v>
      </c>
      <c r="X706" s="156">
        <f t="shared" si="458"/>
        <v>3.1536243640574906</v>
      </c>
      <c r="Y706" s="154"/>
      <c r="Z706" s="147">
        <f>IF($E706="","",VLOOKUP($D706,'Mortality Margins &amp; Grading'!$AB$5:$AF$125,3,0)*IF(Summary!$D$25="Included Margin",IF(AND($B706&gt;Input!$C$9,Summary!$D$31&lt;&gt;"Included Margin"),0,1),0))</f>
        <v>1.2999999999999999E-2</v>
      </c>
      <c r="AA706" s="147">
        <f>IF($E706="","",VLOOKUP($D706,'Mortality Margins &amp; Grading'!$AB$5:$AF$125,5,0)*IF(Summary!$D$25="Included Margin",IF(AND($B706&gt;Input!$C$9,Summary!$D$31&lt;&gt;"Included Margin"),0,1),0))</f>
        <v>6.7000000000000004E-2</v>
      </c>
      <c r="AB706" s="147">
        <f>IF($E706="","",IF(AND($B706&gt;Input!$C$9,Summary!$D$31&lt;&gt;"Included Margin"),1,IF(Summary!$D$25="Included Margin",VLOOKUP($B706,'Mortality Margins &amp; Grading'!$AI$5:$AR$125,MATCH('Mortality Margins &amp; Grading'!$AQ$4,'Mortality Margins &amp; Grading'!$AI$4:$AR$4,0),0),1)))</f>
        <v>0</v>
      </c>
      <c r="AC706" s="154"/>
      <c r="AD706" s="158">
        <f>IF(E706="","",Input!$C$48*IF(Summary!$D$30="Included Margin",IF(AND($B706&gt;Input!$C$9,Summary!$D$31&lt;&gt;"Included Margin"),0,1),0))</f>
        <v>-4.4999999999999997E-3</v>
      </c>
      <c r="AE706" s="159">
        <f>IF(E706="","",IF(Summary!$D$26="Included Margin",IF(AND($B706&gt;Input!$C$9,Summary!$D$31&lt;&gt;"Included Margin"),1,1/$R706),1))</f>
        <v>1.3373999934839556</v>
      </c>
      <c r="AF706" s="160">
        <f>IF(E706="","",IF(AND($B706&gt;=Input!$C$9,$C706=12,Summary!$D$31="Included Margin",$U706&gt;0),1/U706-1,IF($B706&gt;=Input!$C$9,0,Input!$C$45*IF(Summary!$D$27="Included Margin",1,0))))</f>
        <v>0</v>
      </c>
      <c r="AG706" s="160">
        <f>IF(E706="","",Input!$C$46*IF(Summary!$D$28="Included Margin",IF(AND($B706&gt;Input!$C$9,Summary!$D$31&lt;&gt;"Included Margin"),0,1),0))</f>
        <v>0.02</v>
      </c>
      <c r="AH706" s="158">
        <f>IF(E706="","",Input!$C$47*IF(Summary!$D$29="Included Margin",IF(AND($B706&gt;Input!$C$9,Summary!$D$31&lt;&gt;"Included Margin"),0,1),0))</f>
        <v>2.5000000000000001E-3</v>
      </c>
      <c r="AI706" s="154"/>
      <c r="AJ706" s="158">
        <f t="shared" si="435"/>
        <v>4.3400000000000001E-2</v>
      </c>
      <c r="AK706" s="155">
        <f t="shared" si="436"/>
        <v>3.5466588636137164E-3</v>
      </c>
      <c r="AL706" s="147">
        <f t="shared" si="437"/>
        <v>1</v>
      </c>
      <c r="AM706" s="147">
        <f t="shared" si="415"/>
        <v>1</v>
      </c>
      <c r="AN706" s="160">
        <f t="shared" si="438"/>
        <v>0</v>
      </c>
      <c r="AO706" s="161">
        <f t="shared" si="439"/>
        <v>0</v>
      </c>
      <c r="AP706" s="156">
        <f t="shared" si="416"/>
        <v>3.6347317731925344</v>
      </c>
      <c r="AQ706" s="152"/>
      <c r="AR706" s="162">
        <f t="shared" si="417"/>
        <v>99822.98096987544</v>
      </c>
      <c r="AS706" s="150">
        <f t="shared" si="440"/>
        <v>0</v>
      </c>
      <c r="AT706" s="163">
        <f t="shared" si="418"/>
        <v>0</v>
      </c>
      <c r="AU706" s="163">
        <f t="shared" si="419"/>
        <v>100000</v>
      </c>
      <c r="AV706" s="163">
        <f t="shared" si="441"/>
        <v>176.70511706846625</v>
      </c>
      <c r="AW706" s="163">
        <f t="shared" si="420"/>
        <v>99823.294882931528</v>
      </c>
      <c r="AX706" s="163">
        <f t="shared" si="421"/>
        <v>0</v>
      </c>
      <c r="AY706" s="165">
        <f t="shared" si="442"/>
        <v>99822.98096987544</v>
      </c>
      <c r="AZ706" s="164">
        <f>IF($E706="","",IF(OR(AND($D706=Input!$C$6,$C706=12),$AN706=1),0,-AS707+AT707+AU707-AV707-AW707-AX707+AZ707))</f>
        <v>99823.294882931528</v>
      </c>
      <c r="BA706" s="154">
        <f t="shared" si="422"/>
        <v>0.31391305608849507</v>
      </c>
      <c r="BC706" s="147">
        <f t="shared" si="443"/>
        <v>4.3555031642079124E-10</v>
      </c>
      <c r="BD706" s="164">
        <f>IF(AND($C705=12,$D705=Input!$C$6),0,IF($E706="","",AT706+(AU706+BD707)/(1+$AK706)*MIN((1-AM706-AN706),1)))</f>
        <v>0</v>
      </c>
      <c r="BE706" s="164">
        <f t="shared" si="423"/>
        <v>0</v>
      </c>
      <c r="BF706" s="164">
        <f t="shared" si="444"/>
        <v>99823.294882931528</v>
      </c>
      <c r="BG706" s="164">
        <f t="shared" si="424"/>
        <v>4.3478067672426778E-5</v>
      </c>
      <c r="BH706" s="152"/>
      <c r="BI706" s="162">
        <f t="shared" si="425"/>
        <v>41035.642049620816</v>
      </c>
      <c r="BJ706" s="150">
        <f t="shared" si="426"/>
        <v>0</v>
      </c>
      <c r="BK706" s="163">
        <f t="shared" si="448"/>
        <v>0</v>
      </c>
      <c r="BL706" s="163">
        <f t="shared" si="427"/>
        <v>10842.685342133662</v>
      </c>
      <c r="BM706" s="163">
        <f t="shared" si="449"/>
        <v>139.1316944968965</v>
      </c>
      <c r="BN706" s="163">
        <f t="shared" si="428"/>
        <v>3688.7802112085492</v>
      </c>
      <c r="BO706" s="163">
        <f t="shared" si="429"/>
        <v>0</v>
      </c>
      <c r="BP706" s="164">
        <f t="shared" si="450"/>
        <v>34020.868613192601</v>
      </c>
      <c r="BQ706" s="164">
        <f>IF($E706="","",IF(AND($D706=Input!$C$6,$C706=12),0,-BJ707+BK707+BL707-BM707-BN707-BO707+BQ707))</f>
        <v>34020.909902035928</v>
      </c>
      <c r="BR706" s="161">
        <f t="shared" si="430"/>
        <v>0</v>
      </c>
      <c r="BT706" s="147">
        <f t="shared" si="431"/>
        <v>4.3555031642079124E-10</v>
      </c>
      <c r="BU706" s="164">
        <f>IF(AND($C705=12,$D705=Input!$C$6),0,IF($E706="","",BK706+(BL706+BU707)/(1+$AK706)*MIN((1-T706-U706),1)))</f>
        <v>80359.05857254249</v>
      </c>
      <c r="BV706" s="164">
        <f t="shared" si="432"/>
        <v>3.5000413388547776E-5</v>
      </c>
      <c r="BW706" s="164">
        <f t="shared" si="433"/>
        <v>34020.909902035928</v>
      </c>
      <c r="BX706" s="164">
        <f t="shared" si="434"/>
        <v>1.4817818072754978E-5</v>
      </c>
    </row>
    <row r="707" spans="1:76" s="150" customFormat="1" x14ac:dyDescent="0.25">
      <c r="A707" s="150">
        <f t="shared" si="445"/>
        <v>703</v>
      </c>
      <c r="B707" s="150">
        <f t="shared" si="446"/>
        <v>59</v>
      </c>
      <c r="C707" s="150">
        <f t="shared" si="447"/>
        <v>7</v>
      </c>
      <c r="D707" s="150">
        <f>IF(E707="","",Input!$C$4+B707-1)</f>
        <v>103</v>
      </c>
      <c r="E707" s="150">
        <f>IF(OR(AND(C706=12,D706=Input!$C$6),E706=""),"",1)</f>
        <v>1</v>
      </c>
      <c r="F707" s="150">
        <f>IF(E707="","",Input!$C$8+B707-1)</f>
        <v>2076</v>
      </c>
      <c r="G707" s="151">
        <f>IF(E707="","",MAX(0,Input!$C$9-B707))</f>
        <v>0</v>
      </c>
      <c r="H707" s="152">
        <f>IF(E707="","",Input!$C$3)</f>
        <v>100000</v>
      </c>
      <c r="I707" s="153">
        <f>IF(E707="","",HLOOKUP($B707,Input!$C$13:$BT$14,2))</f>
        <v>1000</v>
      </c>
      <c r="J707" s="154"/>
      <c r="K707" s="155">
        <f>IF($E707="","",INDEX(Input!$C$16:$CP$16,1,$B707))</f>
        <v>3.2899999999999999E-2</v>
      </c>
      <c r="L707" s="155">
        <f>IF($E707="","",Input!$C$37)</f>
        <v>1.4999999999999999E-2</v>
      </c>
      <c r="M707" s="155">
        <f t="shared" si="456"/>
        <v>4.7899999999999998E-2</v>
      </c>
      <c r="N707" s="155">
        <f t="shared" si="457"/>
        <v>3.9066244998400279E-3</v>
      </c>
      <c r="O707" s="147">
        <f>IF($E707="","",MIN(VLOOKUP(IF($B707&lt;=Input!$C$7,$B707,26),'Mortality Tables'!$A$41:$CW$67,IF($B707&lt;=Input!$C$7+1,Input!$C$4+2,$D707-Input!$C$7+2),0)*IF(B707&gt;20,Input!$C$22,1)/1000,1))</f>
        <v>1</v>
      </c>
      <c r="P707" s="147">
        <f>IF($E707="","",MIN(VLOOKUP(IF($B707&lt;=Input!$C$7,$B707,26),'Mortality Tables'!$A$12:$CW$37,IF($B707&lt;=Input!$C$7+1,Input!$C$4+2,$D707-Input!$C$7+2),0)*IF(B707&gt;20,Input!$C$22,1)/1000,1))</f>
        <v>1</v>
      </c>
      <c r="Q707" s="155">
        <f>IF($E707="","",Input!$C$21)</f>
        <v>5.0000000000000001E-3</v>
      </c>
      <c r="R707" s="159">
        <f>IF($E707="","",(1-Q707)^($F707-Input!$C$20))</f>
        <v>0.74771945930325501</v>
      </c>
      <c r="S707" s="147">
        <f t="shared" si="413"/>
        <v>0.74771945930325501</v>
      </c>
      <c r="T707" s="147">
        <f t="shared" si="414"/>
        <v>0.10842685342133662</v>
      </c>
      <c r="U707" s="160">
        <f>IF($E707="","",IF($C707=12,INDEX(Input!$C$15:$CP$15,1,$B707),0))</f>
        <v>0</v>
      </c>
      <c r="V707" s="150">
        <f>IF(E707="","",IF(C707=1,IF($B707=1,Input!$C$33,Input!$C$34),0))</f>
        <v>0</v>
      </c>
      <c r="W707" s="156">
        <f>IF($E707="","",Input!$C$35)</f>
        <v>0.02</v>
      </c>
      <c r="X707" s="156">
        <f t="shared" si="458"/>
        <v>3.1536243640574906</v>
      </c>
      <c r="Y707" s="154"/>
      <c r="Z707" s="147">
        <f>IF($E707="","",VLOOKUP($D707,'Mortality Margins &amp; Grading'!$AB$5:$AF$125,3,0)*IF(Summary!$D$25="Included Margin",IF(AND($B707&gt;Input!$C$9,Summary!$D$31&lt;&gt;"Included Margin"),0,1),0))</f>
        <v>1.2999999999999999E-2</v>
      </c>
      <c r="AA707" s="147">
        <f>IF($E707="","",VLOOKUP($D707,'Mortality Margins &amp; Grading'!$AB$5:$AF$125,5,0)*IF(Summary!$D$25="Included Margin",IF(AND($B707&gt;Input!$C$9,Summary!$D$31&lt;&gt;"Included Margin"),0,1),0))</f>
        <v>6.7000000000000004E-2</v>
      </c>
      <c r="AB707" s="147">
        <f>IF($E707="","",IF(AND($B707&gt;Input!$C$9,Summary!$D$31&lt;&gt;"Included Margin"),1,IF(Summary!$D$25="Included Margin",VLOOKUP($B707,'Mortality Margins &amp; Grading'!$AI$5:$AR$125,MATCH('Mortality Margins &amp; Grading'!$AQ$4,'Mortality Margins &amp; Grading'!$AI$4:$AR$4,0),0),1)))</f>
        <v>0</v>
      </c>
      <c r="AC707" s="154"/>
      <c r="AD707" s="158">
        <f>IF(E707="","",Input!$C$48*IF(Summary!$D$30="Included Margin",IF(AND($B707&gt;Input!$C$9,Summary!$D$31&lt;&gt;"Included Margin"),0,1),0))</f>
        <v>-4.4999999999999997E-3</v>
      </c>
      <c r="AE707" s="159">
        <f>IF(E707="","",IF(Summary!$D$26="Included Margin",IF(AND($B707&gt;Input!$C$9,Summary!$D$31&lt;&gt;"Included Margin"),1,1/$R707),1))</f>
        <v>1.3373999934839556</v>
      </c>
      <c r="AF707" s="160">
        <f>IF(E707="","",IF(AND($B707&gt;=Input!$C$9,$C707=12,Summary!$D$31="Included Margin",$U707&gt;0),1/U707-1,IF($B707&gt;=Input!$C$9,0,Input!$C$45*IF(Summary!$D$27="Included Margin",1,0))))</f>
        <v>0</v>
      </c>
      <c r="AG707" s="160">
        <f>IF(E707="","",Input!$C$46*IF(Summary!$D$28="Included Margin",IF(AND($B707&gt;Input!$C$9,Summary!$D$31&lt;&gt;"Included Margin"),0,1),0))</f>
        <v>0.02</v>
      </c>
      <c r="AH707" s="158">
        <f>IF(E707="","",Input!$C$47*IF(Summary!$D$29="Included Margin",IF(AND($B707&gt;Input!$C$9,Summary!$D$31&lt;&gt;"Included Margin"),0,1),0))</f>
        <v>2.5000000000000001E-3</v>
      </c>
      <c r="AI707" s="154"/>
      <c r="AJ707" s="158">
        <f t="shared" si="435"/>
        <v>4.3400000000000001E-2</v>
      </c>
      <c r="AK707" s="155">
        <f t="shared" si="436"/>
        <v>3.5466588636137164E-3</v>
      </c>
      <c r="AL707" s="147">
        <f t="shared" si="437"/>
        <v>1</v>
      </c>
      <c r="AM707" s="147">
        <f t="shared" si="415"/>
        <v>1</v>
      </c>
      <c r="AN707" s="160">
        <f t="shared" si="438"/>
        <v>0</v>
      </c>
      <c r="AO707" s="161">
        <f t="shared" si="439"/>
        <v>0</v>
      </c>
      <c r="AP707" s="156">
        <f t="shared" si="416"/>
        <v>3.6347317731925344</v>
      </c>
      <c r="AQ707" s="152"/>
      <c r="AR707" s="162">
        <f t="shared" si="417"/>
        <v>99822.98096987544</v>
      </c>
      <c r="AS707" s="150">
        <f t="shared" si="440"/>
        <v>0</v>
      </c>
      <c r="AT707" s="163">
        <f t="shared" si="418"/>
        <v>0</v>
      </c>
      <c r="AU707" s="163">
        <f t="shared" si="419"/>
        <v>100000</v>
      </c>
      <c r="AV707" s="163">
        <f t="shared" si="441"/>
        <v>176.70511706846625</v>
      </c>
      <c r="AW707" s="163">
        <f t="shared" si="420"/>
        <v>99823.294882931528</v>
      </c>
      <c r="AX707" s="163">
        <f t="shared" si="421"/>
        <v>0</v>
      </c>
      <c r="AY707" s="164">
        <f t="shared" si="442"/>
        <v>99822.98096987544</v>
      </c>
      <c r="AZ707" s="164">
        <f>IF($E707="","",IF(OR(AND($D707=Input!$C$6,$C707=12),$AN707=1),0,-AS708+AT708+AU708-AV708-AW708-AX708+AZ708))</f>
        <v>99823.294882931528</v>
      </c>
      <c r="BA707" s="154">
        <f t="shared" si="422"/>
        <v>0.31391305608849507</v>
      </c>
      <c r="BC707" s="147">
        <f t="shared" si="443"/>
        <v>3.883249661046173E-10</v>
      </c>
      <c r="BD707" s="164">
        <f>IF(AND($C706=12,$D706=Input!$C$6),0,IF($E707="","",AT707+(AU707+BD708)/(1+$AK707)*MIN((1-AM707-AN707),1)))</f>
        <v>0</v>
      </c>
      <c r="BE707" s="164">
        <f t="shared" si="423"/>
        <v>0</v>
      </c>
      <c r="BF707" s="164">
        <f t="shared" si="444"/>
        <v>99823.294882931528</v>
      </c>
      <c r="BG707" s="164">
        <f t="shared" si="424"/>
        <v>3.8763877601865604E-5</v>
      </c>
      <c r="BH707" s="152"/>
      <c r="BI707" s="162">
        <f t="shared" si="425"/>
        <v>34020.868613192601</v>
      </c>
      <c r="BJ707" s="150">
        <f t="shared" si="426"/>
        <v>0</v>
      </c>
      <c r="BK707" s="163">
        <f t="shared" si="448"/>
        <v>0</v>
      </c>
      <c r="BL707" s="163">
        <f t="shared" si="427"/>
        <v>10842.685342133662</v>
      </c>
      <c r="BM707" s="163">
        <f t="shared" si="449"/>
        <v>111.72760872931899</v>
      </c>
      <c r="BN707" s="163">
        <f t="shared" si="428"/>
        <v>2832.3601262202833</v>
      </c>
      <c r="BO707" s="163">
        <f t="shared" si="429"/>
        <v>0</v>
      </c>
      <c r="BP707" s="164">
        <f t="shared" si="450"/>
        <v>26122.271006008537</v>
      </c>
      <c r="BQ707" s="164">
        <f>IF($E707="","",IF(AND($D707=Input!$C$6,$C707=12),0,-BJ708+BK708+BL708-BM708-BN708-BO708+BQ708))</f>
        <v>26122.312294851872</v>
      </c>
      <c r="BR707" s="161">
        <f t="shared" si="430"/>
        <v>0</v>
      </c>
      <c r="BT707" s="147">
        <f t="shared" si="431"/>
        <v>3.883249661046173E-10</v>
      </c>
      <c r="BU707" s="164">
        <f>IF(AND($C706=12,$D706=Input!$C$6),0,IF($E707="","",BK707+(BL707+BU708)/(1+$AK707)*MIN((1-T707-U707),1)))</f>
        <v>79608.743179872909</v>
      </c>
      <c r="BV707" s="164">
        <f t="shared" si="432"/>
        <v>3.0914062496955333E-5</v>
      </c>
      <c r="BW707" s="164">
        <f t="shared" si="433"/>
        <v>26122.312294851872</v>
      </c>
      <c r="BX707" s="164">
        <f t="shared" si="434"/>
        <v>1.0143946036472582E-5</v>
      </c>
    </row>
    <row r="708" spans="1:76" s="150" customFormat="1" x14ac:dyDescent="0.25">
      <c r="A708" s="150">
        <f t="shared" si="445"/>
        <v>704</v>
      </c>
      <c r="B708" s="150">
        <f t="shared" si="446"/>
        <v>59</v>
      </c>
      <c r="C708" s="150">
        <f t="shared" si="447"/>
        <v>8</v>
      </c>
      <c r="D708" s="150">
        <f>IF(E708="","",Input!$C$4+B708-1)</f>
        <v>103</v>
      </c>
      <c r="E708" s="150">
        <f>IF(OR(AND(C707=12,D707=Input!$C$6),E707=""),"",1)</f>
        <v>1</v>
      </c>
      <c r="F708" s="150">
        <f>IF(E708="","",Input!$C$8+B708-1)</f>
        <v>2076</v>
      </c>
      <c r="G708" s="151">
        <f>IF(E708="","",MAX(0,Input!$C$9-B708))</f>
        <v>0</v>
      </c>
      <c r="H708" s="152">
        <f>IF(E708="","",Input!$C$3)</f>
        <v>100000</v>
      </c>
      <c r="I708" s="153">
        <f>IF(E708="","",HLOOKUP($B708,Input!$C$13:$BT$14,2))</f>
        <v>1000</v>
      </c>
      <c r="J708" s="154"/>
      <c r="K708" s="155">
        <f>IF($E708="","",INDEX(Input!$C$16:$CP$16,1,$B708))</f>
        <v>3.2899999999999999E-2</v>
      </c>
      <c r="L708" s="155">
        <f>IF($E708="","",Input!$C$37)</f>
        <v>1.4999999999999999E-2</v>
      </c>
      <c r="M708" s="155">
        <f t="shared" si="456"/>
        <v>4.7899999999999998E-2</v>
      </c>
      <c r="N708" s="155">
        <f t="shared" si="457"/>
        <v>3.9066244998400279E-3</v>
      </c>
      <c r="O708" s="147">
        <f>IF($E708="","",MIN(VLOOKUP(IF($B708&lt;=Input!$C$7,$B708,26),'Mortality Tables'!$A$41:$CW$67,IF($B708&lt;=Input!$C$7+1,Input!$C$4+2,$D708-Input!$C$7+2),0)*IF(B708&gt;20,Input!$C$22,1)/1000,1))</f>
        <v>1</v>
      </c>
      <c r="P708" s="147">
        <f>IF($E708="","",MIN(VLOOKUP(IF($B708&lt;=Input!$C$7,$B708,26),'Mortality Tables'!$A$12:$CW$37,IF($B708&lt;=Input!$C$7+1,Input!$C$4+2,$D708-Input!$C$7+2),0)*IF(B708&gt;20,Input!$C$22,1)/1000,1))</f>
        <v>1</v>
      </c>
      <c r="Q708" s="155">
        <f>IF($E708="","",Input!$C$21)</f>
        <v>5.0000000000000001E-3</v>
      </c>
      <c r="R708" s="159">
        <f>IF($E708="","",(1-Q708)^($F708-Input!$C$20))</f>
        <v>0.74771945930325501</v>
      </c>
      <c r="S708" s="147">
        <f t="shared" si="413"/>
        <v>0.74771945930325501</v>
      </c>
      <c r="T708" s="147">
        <f t="shared" si="414"/>
        <v>0.10842685342133662</v>
      </c>
      <c r="U708" s="160">
        <f>IF($E708="","",IF($C708=12,INDEX(Input!$C$15:$CP$15,1,$B708),0))</f>
        <v>0</v>
      </c>
      <c r="V708" s="150">
        <f>IF(E708="","",IF(C708=1,IF($B708=1,Input!$C$33,Input!$C$34),0))</f>
        <v>0</v>
      </c>
      <c r="W708" s="156">
        <f>IF($E708="","",Input!$C$35)</f>
        <v>0.02</v>
      </c>
      <c r="X708" s="156">
        <f t="shared" si="458"/>
        <v>3.1536243640574906</v>
      </c>
      <c r="Y708" s="154"/>
      <c r="Z708" s="147">
        <f>IF($E708="","",VLOOKUP($D708,'Mortality Margins &amp; Grading'!$AB$5:$AF$125,3,0)*IF(Summary!$D$25="Included Margin",IF(AND($B708&gt;Input!$C$9,Summary!$D$31&lt;&gt;"Included Margin"),0,1),0))</f>
        <v>1.2999999999999999E-2</v>
      </c>
      <c r="AA708" s="147">
        <f>IF($E708="","",VLOOKUP($D708,'Mortality Margins &amp; Grading'!$AB$5:$AF$125,5,0)*IF(Summary!$D$25="Included Margin",IF(AND($B708&gt;Input!$C$9,Summary!$D$31&lt;&gt;"Included Margin"),0,1),0))</f>
        <v>6.7000000000000004E-2</v>
      </c>
      <c r="AB708" s="147">
        <f>IF($E708="","",IF(AND($B708&gt;Input!$C$9,Summary!$D$31&lt;&gt;"Included Margin"),1,IF(Summary!$D$25="Included Margin",VLOOKUP($B708,'Mortality Margins &amp; Grading'!$AI$5:$AR$125,MATCH('Mortality Margins &amp; Grading'!$AQ$4,'Mortality Margins &amp; Grading'!$AI$4:$AR$4,0),0),1)))</f>
        <v>0</v>
      </c>
      <c r="AC708" s="154"/>
      <c r="AD708" s="158">
        <f>IF(E708="","",Input!$C$48*IF(Summary!$D$30="Included Margin",IF(AND($B708&gt;Input!$C$9,Summary!$D$31&lt;&gt;"Included Margin"),0,1),0))</f>
        <v>-4.4999999999999997E-3</v>
      </c>
      <c r="AE708" s="159">
        <f>IF(E708="","",IF(Summary!$D$26="Included Margin",IF(AND($B708&gt;Input!$C$9,Summary!$D$31&lt;&gt;"Included Margin"),1,1/$R708),1))</f>
        <v>1.3373999934839556</v>
      </c>
      <c r="AF708" s="160">
        <f>IF(E708="","",IF(AND($B708&gt;=Input!$C$9,$C708=12,Summary!$D$31="Included Margin",$U708&gt;0),1/U708-1,IF($B708&gt;=Input!$C$9,0,Input!$C$45*IF(Summary!$D$27="Included Margin",1,0))))</f>
        <v>0</v>
      </c>
      <c r="AG708" s="160">
        <f>IF(E708="","",Input!$C$46*IF(Summary!$D$28="Included Margin",IF(AND($B708&gt;Input!$C$9,Summary!$D$31&lt;&gt;"Included Margin"),0,1),0))</f>
        <v>0.02</v>
      </c>
      <c r="AH708" s="158">
        <f>IF(E708="","",Input!$C$47*IF(Summary!$D$29="Included Margin",IF(AND($B708&gt;Input!$C$9,Summary!$D$31&lt;&gt;"Included Margin"),0,1),0))</f>
        <v>2.5000000000000001E-3</v>
      </c>
      <c r="AI708" s="154"/>
      <c r="AJ708" s="158">
        <f t="shared" si="435"/>
        <v>4.3400000000000001E-2</v>
      </c>
      <c r="AK708" s="155">
        <f t="shared" si="436"/>
        <v>3.5466588636137164E-3</v>
      </c>
      <c r="AL708" s="147">
        <f t="shared" si="437"/>
        <v>1</v>
      </c>
      <c r="AM708" s="147">
        <f t="shared" si="415"/>
        <v>1</v>
      </c>
      <c r="AN708" s="160">
        <f t="shared" si="438"/>
        <v>0</v>
      </c>
      <c r="AO708" s="161">
        <f t="shared" si="439"/>
        <v>0</v>
      </c>
      <c r="AP708" s="156">
        <f t="shared" si="416"/>
        <v>3.6347317731925344</v>
      </c>
      <c r="AQ708" s="152"/>
      <c r="AR708" s="162">
        <f t="shared" si="417"/>
        <v>99822.98096987544</v>
      </c>
      <c r="AS708" s="150">
        <f t="shared" si="440"/>
        <v>0</v>
      </c>
      <c r="AT708" s="163">
        <f t="shared" si="418"/>
        <v>0</v>
      </c>
      <c r="AU708" s="163">
        <f t="shared" si="419"/>
        <v>100000</v>
      </c>
      <c r="AV708" s="163">
        <f t="shared" si="441"/>
        <v>176.70511706846625</v>
      </c>
      <c r="AW708" s="163">
        <f t="shared" si="420"/>
        <v>99823.294882931528</v>
      </c>
      <c r="AX708" s="163">
        <f t="shared" si="421"/>
        <v>0</v>
      </c>
      <c r="AY708" s="165">
        <f t="shared" si="442"/>
        <v>99822.98096987544</v>
      </c>
      <c r="AZ708" s="164">
        <f>IF($E708="","",IF(OR(AND($D708=Input!$C$6,$C708=12),$AN708=1),0,-AS709+AT709+AU709-AV709-AW709-AX709+AZ709))</f>
        <v>99823.294882931528</v>
      </c>
      <c r="BA708" s="154">
        <f t="shared" si="422"/>
        <v>0.31391305608849507</v>
      </c>
      <c r="BC708" s="147">
        <f t="shared" si="443"/>
        <v>3.4622011192494647E-10</v>
      </c>
      <c r="BD708" s="164">
        <f>IF(AND($C707=12,$D707=Input!$C$6),0,IF($E708="","",AT708+(AU708+BD709)/(1+$AK708)*MIN((1-AM708-AN708),1)))</f>
        <v>0</v>
      </c>
      <c r="BE708" s="164">
        <f t="shared" si="423"/>
        <v>0</v>
      </c>
      <c r="BF708" s="164">
        <f t="shared" si="444"/>
        <v>99823.294882931528</v>
      </c>
      <c r="BG708" s="164">
        <f t="shared" si="424"/>
        <v>3.456083232708549E-5</v>
      </c>
      <c r="BH708" s="152"/>
      <c r="BI708" s="162">
        <f t="shared" si="425"/>
        <v>26122.271006008537</v>
      </c>
      <c r="BJ708" s="150">
        <f t="shared" si="426"/>
        <v>0</v>
      </c>
      <c r="BK708" s="163">
        <f t="shared" si="448"/>
        <v>0</v>
      </c>
      <c r="BL708" s="163">
        <f t="shared" si="427"/>
        <v>10842.685342133662</v>
      </c>
      <c r="BM708" s="163">
        <f t="shared" si="449"/>
        <v>80.870753802715896</v>
      </c>
      <c r="BN708" s="163">
        <f t="shared" si="428"/>
        <v>1868.035662239156</v>
      </c>
      <c r="BO708" s="163">
        <f t="shared" si="429"/>
        <v>0</v>
      </c>
      <c r="BP708" s="164">
        <f t="shared" si="450"/>
        <v>17228.492079916748</v>
      </c>
      <c r="BQ708" s="164">
        <f>IF($E708="","",IF(AND($D708=Input!$C$6,$C708=12),0,-BJ709+BK709+BL709-BM709-BN709-BO709+BQ709))</f>
        <v>17228.53336876008</v>
      </c>
      <c r="BR708" s="161">
        <f t="shared" si="430"/>
        <v>0</v>
      </c>
      <c r="BT708" s="147">
        <f t="shared" si="431"/>
        <v>3.4622011192494647E-10</v>
      </c>
      <c r="BU708" s="164">
        <f>IF(AND($C707=12,$D707=Input!$C$6),0,IF($E708="","",BK708+(BL708+BU709)/(1+$AK708)*MIN((1-T708-U708),1)))</f>
        <v>78764.194969446224</v>
      </c>
      <c r="BV708" s="164">
        <f t="shared" si="432"/>
        <v>2.7269748397999978E-5</v>
      </c>
      <c r="BW708" s="164">
        <f t="shared" si="433"/>
        <v>17228.53336876008</v>
      </c>
      <c r="BX708" s="164">
        <f t="shared" si="434"/>
        <v>5.9648647512347899E-6</v>
      </c>
    </row>
    <row r="709" spans="1:76" s="150" customFormat="1" x14ac:dyDescent="0.25">
      <c r="A709" s="150">
        <f t="shared" si="445"/>
        <v>705</v>
      </c>
      <c r="B709" s="150">
        <f t="shared" si="446"/>
        <v>59</v>
      </c>
      <c r="C709" s="150">
        <f t="shared" si="447"/>
        <v>9</v>
      </c>
      <c r="D709" s="150">
        <f>IF(E709="","",Input!$C$4+B709-1)</f>
        <v>103</v>
      </c>
      <c r="E709" s="150">
        <f>IF(OR(AND(C708=12,D708=Input!$C$6),E708=""),"",1)</f>
        <v>1</v>
      </c>
      <c r="F709" s="150">
        <f>IF(E709="","",Input!$C$8+B709-1)</f>
        <v>2076</v>
      </c>
      <c r="G709" s="151">
        <f>IF(E709="","",MAX(0,Input!$C$9-B709))</f>
        <v>0</v>
      </c>
      <c r="H709" s="152">
        <f>IF(E709="","",Input!$C$3)</f>
        <v>100000</v>
      </c>
      <c r="I709" s="153">
        <f>IF(E709="","",HLOOKUP($B709,Input!$C$13:$BT$14,2))</f>
        <v>1000</v>
      </c>
      <c r="J709" s="154"/>
      <c r="K709" s="155">
        <f>IF($E709="","",INDEX(Input!$C$16:$CP$16,1,$B709))</f>
        <v>3.2899999999999999E-2</v>
      </c>
      <c r="L709" s="155">
        <f>IF($E709="","",Input!$C$37)</f>
        <v>1.4999999999999999E-2</v>
      </c>
      <c r="M709" s="155">
        <f t="shared" si="456"/>
        <v>4.7899999999999998E-2</v>
      </c>
      <c r="N709" s="155">
        <f t="shared" si="457"/>
        <v>3.9066244998400279E-3</v>
      </c>
      <c r="O709" s="147">
        <f>IF($E709="","",MIN(VLOOKUP(IF($B709&lt;=Input!$C$7,$B709,26),'Mortality Tables'!$A$41:$CW$67,IF($B709&lt;=Input!$C$7+1,Input!$C$4+2,$D709-Input!$C$7+2),0)*IF(B709&gt;20,Input!$C$22,1)/1000,1))</f>
        <v>1</v>
      </c>
      <c r="P709" s="147">
        <f>IF($E709="","",MIN(VLOOKUP(IF($B709&lt;=Input!$C$7,$B709,26),'Mortality Tables'!$A$12:$CW$37,IF($B709&lt;=Input!$C$7+1,Input!$C$4+2,$D709-Input!$C$7+2),0)*IF(B709&gt;20,Input!$C$22,1)/1000,1))</f>
        <v>1</v>
      </c>
      <c r="Q709" s="155">
        <f>IF($E709="","",Input!$C$21)</f>
        <v>5.0000000000000001E-3</v>
      </c>
      <c r="R709" s="159">
        <f>IF($E709="","",(1-Q709)^($F709-Input!$C$20))</f>
        <v>0.74771945930325501</v>
      </c>
      <c r="S709" s="147">
        <f t="shared" ref="S709:S772" si="459">IF($E709="","",MIN(O709*R709,1))</f>
        <v>0.74771945930325501</v>
      </c>
      <c r="T709" s="147">
        <f t="shared" ref="T709:T772" si="460">IF($E709="","",1-(1-S709)^(1/12))</f>
        <v>0.10842685342133662</v>
      </c>
      <c r="U709" s="160">
        <f>IF($E709="","",IF($C709=12,INDEX(Input!$C$15:$CP$15,1,$B709),0))</f>
        <v>0</v>
      </c>
      <c r="V709" s="150">
        <f>IF(E709="","",IF(C709=1,IF($B709=1,Input!$C$33,Input!$C$34),0))</f>
        <v>0</v>
      </c>
      <c r="W709" s="156">
        <f>IF($E709="","",Input!$C$35)</f>
        <v>0.02</v>
      </c>
      <c r="X709" s="156">
        <f t="shared" si="458"/>
        <v>3.1536243640574906</v>
      </c>
      <c r="Y709" s="154"/>
      <c r="Z709" s="147">
        <f>IF($E709="","",VLOOKUP($D709,'Mortality Margins &amp; Grading'!$AB$5:$AF$125,3,0)*IF(Summary!$D$25="Included Margin",IF(AND($B709&gt;Input!$C$9,Summary!$D$31&lt;&gt;"Included Margin"),0,1),0))</f>
        <v>1.2999999999999999E-2</v>
      </c>
      <c r="AA709" s="147">
        <f>IF($E709="","",VLOOKUP($D709,'Mortality Margins &amp; Grading'!$AB$5:$AF$125,5,0)*IF(Summary!$D$25="Included Margin",IF(AND($B709&gt;Input!$C$9,Summary!$D$31&lt;&gt;"Included Margin"),0,1),0))</f>
        <v>6.7000000000000004E-2</v>
      </c>
      <c r="AB709" s="147">
        <f>IF($E709="","",IF(AND($B709&gt;Input!$C$9,Summary!$D$31&lt;&gt;"Included Margin"),1,IF(Summary!$D$25="Included Margin",VLOOKUP($B709,'Mortality Margins &amp; Grading'!$AI$5:$AR$125,MATCH('Mortality Margins &amp; Grading'!$AQ$4,'Mortality Margins &amp; Grading'!$AI$4:$AR$4,0),0),1)))</f>
        <v>0</v>
      </c>
      <c r="AC709" s="154"/>
      <c r="AD709" s="158">
        <f>IF(E709="","",Input!$C$48*IF(Summary!$D$30="Included Margin",IF(AND($B709&gt;Input!$C$9,Summary!$D$31&lt;&gt;"Included Margin"),0,1),0))</f>
        <v>-4.4999999999999997E-3</v>
      </c>
      <c r="AE709" s="159">
        <f>IF(E709="","",IF(Summary!$D$26="Included Margin",IF(AND($B709&gt;Input!$C$9,Summary!$D$31&lt;&gt;"Included Margin"),1,1/$R709),1))</f>
        <v>1.3373999934839556</v>
      </c>
      <c r="AF709" s="160">
        <f>IF(E709="","",IF(AND($B709&gt;=Input!$C$9,$C709=12,Summary!$D$31="Included Margin",$U709&gt;0),1/U709-1,IF($B709&gt;=Input!$C$9,0,Input!$C$45*IF(Summary!$D$27="Included Margin",1,0))))</f>
        <v>0</v>
      </c>
      <c r="AG709" s="160">
        <f>IF(E709="","",Input!$C$46*IF(Summary!$D$28="Included Margin",IF(AND($B709&gt;Input!$C$9,Summary!$D$31&lt;&gt;"Included Margin"),0,1),0))</f>
        <v>0.02</v>
      </c>
      <c r="AH709" s="158">
        <f>IF(E709="","",Input!$C$47*IF(Summary!$D$29="Included Margin",IF(AND($B709&gt;Input!$C$9,Summary!$D$31&lt;&gt;"Included Margin"),0,1),0))</f>
        <v>2.5000000000000001E-3</v>
      </c>
      <c r="AI709" s="154"/>
      <c r="AJ709" s="158">
        <f t="shared" si="435"/>
        <v>4.3400000000000001E-2</v>
      </c>
      <c r="AK709" s="155">
        <f t="shared" si="436"/>
        <v>3.5466588636137164E-3</v>
      </c>
      <c r="AL709" s="147">
        <f t="shared" si="437"/>
        <v>1</v>
      </c>
      <c r="AM709" s="147">
        <f t="shared" ref="AM709:AM772" si="461">IF($E709="","",1-(1-AL709)^(1/12))</f>
        <v>1</v>
      </c>
      <c r="AN709" s="160">
        <f t="shared" si="438"/>
        <v>0</v>
      </c>
      <c r="AO709" s="161">
        <f t="shared" si="439"/>
        <v>0</v>
      </c>
      <c r="AP709" s="156">
        <f t="shared" ref="AP709:AP772" si="462">IF($E709="","",IF(B709=1,1,IF(C709=1,(1+$W709+$AH709)*AP708,AP708)))</f>
        <v>3.6347317731925344</v>
      </c>
      <c r="AQ709" s="152"/>
      <c r="AR709" s="162">
        <f t="shared" ref="AR709:AR772" si="463">IF($E709="","",(AZ709*(1-$AN709)*(1-$AM709)/(1+$AK709)+AU709/(1+$AK709/2)-AS709+AT709))</f>
        <v>99822.98096987544</v>
      </c>
      <c r="AS709" s="150">
        <f t="shared" si="440"/>
        <v>0</v>
      </c>
      <c r="AT709" s="163">
        <f t="shared" ref="AT709:AT772" si="464">IF($E709="","",$AO709*$AP709)</f>
        <v>0</v>
      </c>
      <c r="AU709" s="163">
        <f t="shared" ref="AU709:AU772" si="465">IF($E709="","",$AM709*$H709)</f>
        <v>100000</v>
      </c>
      <c r="AV709" s="163">
        <f t="shared" si="441"/>
        <v>176.70511706846625</v>
      </c>
      <c r="AW709" s="163">
        <f t="shared" ref="AW709:AW772" si="466">IF($E709="","",AZ709*$AM709)</f>
        <v>99823.294882931528</v>
      </c>
      <c r="AX709" s="163">
        <f t="shared" ref="AX709:AX772" si="467">IF($E709="","",$AN709*AZ709*(1-$AM709))</f>
        <v>0</v>
      </c>
      <c r="AY709" s="164">
        <f t="shared" si="442"/>
        <v>99822.98096987544</v>
      </c>
      <c r="AZ709" s="164">
        <f>IF($E709="","",IF(OR(AND($D709=Input!$C$6,$C709=12),$AN709=1),0,-AS710+AT710+AU710-AV710-AW710-AX710+AZ710))</f>
        <v>99823.294882931528</v>
      </c>
      <c r="BA709" s="154">
        <f t="shared" ref="BA709:BA772" si="468">IF(E709="","",AZ709-AY709)</f>
        <v>0.31391305608849507</v>
      </c>
      <c r="BC709" s="147">
        <f t="shared" si="443"/>
        <v>3.0868055459774156E-10</v>
      </c>
      <c r="BD709" s="164">
        <f>IF(AND($C708=12,$D708=Input!$C$6),0,IF($E709="","",AT709+(AU709+BD710)/(1+$AK709)*MIN((1-AM709-AN709),1)))</f>
        <v>0</v>
      </c>
      <c r="BE709" s="164">
        <f t="shared" ref="BE709:BE772" si="469">IF($E709="","",BC709*BD709)</f>
        <v>0</v>
      </c>
      <c r="BF709" s="164">
        <f t="shared" si="444"/>
        <v>99823.294882931528</v>
      </c>
      <c r="BG709" s="164">
        <f t="shared" ref="BG709:BG772" si="470">IF($E709="","",BC709*BF709)</f>
        <v>3.0813510026237198E-5</v>
      </c>
      <c r="BH709" s="152"/>
      <c r="BI709" s="162">
        <f t="shared" ref="BI709:BI772" si="471">IF($E709="","",(BQ709*(1-$U709)*(1-$T709)/(1+$N709)+BL709/(1+$N709/2)-BJ709+BK709))</f>
        <v>17228.492079916748</v>
      </c>
      <c r="BJ709" s="150">
        <f t="shared" ref="BJ709:BJ772" si="472">IF($E709="","",AS709)</f>
        <v>0</v>
      </c>
      <c r="BK709" s="163">
        <f t="shared" si="448"/>
        <v>0</v>
      </c>
      <c r="BL709" s="163">
        <f t="shared" ref="BL709:BL772" si="473">IF(E709="","",$T709*$H709)</f>
        <v>10842.685342133662</v>
      </c>
      <c r="BM709" s="163">
        <f t="shared" si="449"/>
        <v>46.126099153884788</v>
      </c>
      <c r="BN709" s="163">
        <f t="shared" ref="BN709:BN772" si="474">IF($E709="","",BQ709*$T709)</f>
        <v>782.21144100404922</v>
      </c>
      <c r="BO709" s="163">
        <f t="shared" ref="BO709:BO772" si="475">IF($E709="","",$U709*BQ709*(1-$T709))</f>
        <v>0</v>
      </c>
      <c r="BP709" s="164">
        <f t="shared" si="450"/>
        <v>7214.1442779410208</v>
      </c>
      <c r="BQ709" s="164">
        <f>IF($E709="","",IF(AND($D709=Input!$C$6,$C709=12),0,-BJ710+BK710+BL710-BM710-BN710-BO710+BQ710))</f>
        <v>7214.185566784352</v>
      </c>
      <c r="BR709" s="161">
        <f t="shared" ref="BR709:BR772" si="476">IF(E709="","",ROUND(BQ709-BP709,1))</f>
        <v>0</v>
      </c>
      <c r="BT709" s="147">
        <f t="shared" ref="BT709:BT772" si="477">IF(E709="","",BC709)</f>
        <v>3.0868055459774156E-10</v>
      </c>
      <c r="BU709" s="164">
        <f>IF(AND($C708=12,$D708=Input!$C$6),0,IF($E709="","",BK709+(BL709+BU710)/(1+$AK709)*MIN((1-T709-U709),1)))</f>
        <v>77813.579152813196</v>
      </c>
      <c r="BV709" s="164">
        <f t="shared" ref="BV709:BV772" si="478">IF(E709="","",BT709*BU709)</f>
        <v>2.4019538768125638E-5</v>
      </c>
      <c r="BW709" s="164">
        <f t="shared" ref="BW709:BW772" si="479">IF(E709="","",BQ709)</f>
        <v>7214.185566784352</v>
      </c>
      <c r="BX709" s="164">
        <f t="shared" ref="BX709:BX772" si="480">IF(E709="","",BT709*BW709)</f>
        <v>2.2268788017260164E-6</v>
      </c>
    </row>
    <row r="710" spans="1:76" s="150" customFormat="1" x14ac:dyDescent="0.25">
      <c r="A710" s="150">
        <f t="shared" si="445"/>
        <v>706</v>
      </c>
      <c r="B710" s="150">
        <f t="shared" si="446"/>
        <v>59</v>
      </c>
      <c r="C710" s="150">
        <f t="shared" si="447"/>
        <v>10</v>
      </c>
      <c r="D710" s="150">
        <f>IF(E710="","",Input!$C$4+B710-1)</f>
        <v>103</v>
      </c>
      <c r="E710" s="150">
        <f>IF(OR(AND(C709=12,D709=Input!$C$6),E709=""),"",1)</f>
        <v>1</v>
      </c>
      <c r="F710" s="150">
        <f>IF(E710="","",Input!$C$8+B710-1)</f>
        <v>2076</v>
      </c>
      <c r="G710" s="151">
        <f>IF(E710="","",MAX(0,Input!$C$9-B710))</f>
        <v>0</v>
      </c>
      <c r="H710" s="152">
        <f>IF(E710="","",Input!$C$3)</f>
        <v>100000</v>
      </c>
      <c r="I710" s="153">
        <f>IF(E710="","",HLOOKUP($B710,Input!$C$13:$BT$14,2))</f>
        <v>1000</v>
      </c>
      <c r="J710" s="154"/>
      <c r="K710" s="155">
        <f>IF($E710="","",INDEX(Input!$C$16:$CP$16,1,$B710))</f>
        <v>3.2899999999999999E-2</v>
      </c>
      <c r="L710" s="155">
        <f>IF($E710="","",Input!$C$37)</f>
        <v>1.4999999999999999E-2</v>
      </c>
      <c r="M710" s="155">
        <f t="shared" si="456"/>
        <v>4.7899999999999998E-2</v>
      </c>
      <c r="N710" s="155">
        <f t="shared" si="457"/>
        <v>3.9066244998400279E-3</v>
      </c>
      <c r="O710" s="147">
        <f>IF($E710="","",MIN(VLOOKUP(IF($B710&lt;=Input!$C$7,$B710,26),'Mortality Tables'!$A$41:$CW$67,IF($B710&lt;=Input!$C$7+1,Input!$C$4+2,$D710-Input!$C$7+2),0)*IF(B710&gt;20,Input!$C$22,1)/1000,1))</f>
        <v>1</v>
      </c>
      <c r="P710" s="147">
        <f>IF($E710="","",MIN(VLOOKUP(IF($B710&lt;=Input!$C$7,$B710,26),'Mortality Tables'!$A$12:$CW$37,IF($B710&lt;=Input!$C$7+1,Input!$C$4+2,$D710-Input!$C$7+2),0)*IF(B710&gt;20,Input!$C$22,1)/1000,1))</f>
        <v>1</v>
      </c>
      <c r="Q710" s="155">
        <f>IF($E710="","",Input!$C$21)</f>
        <v>5.0000000000000001E-3</v>
      </c>
      <c r="R710" s="159">
        <f>IF($E710="","",(1-Q710)^($F710-Input!$C$20))</f>
        <v>0.74771945930325501</v>
      </c>
      <c r="S710" s="147">
        <f t="shared" si="459"/>
        <v>0.74771945930325501</v>
      </c>
      <c r="T710" s="147">
        <f t="shared" si="460"/>
        <v>0.10842685342133662</v>
      </c>
      <c r="U710" s="160">
        <f>IF($E710="","",IF($C710=12,INDEX(Input!$C$15:$CP$15,1,$B710),0))</f>
        <v>0</v>
      </c>
      <c r="V710" s="150">
        <f>IF(E710="","",IF(C710=1,IF($B710=1,Input!$C$33,Input!$C$34),0))</f>
        <v>0</v>
      </c>
      <c r="W710" s="156">
        <f>IF($E710="","",Input!$C$35)</f>
        <v>0.02</v>
      </c>
      <c r="X710" s="156">
        <f t="shared" si="458"/>
        <v>3.1536243640574906</v>
      </c>
      <c r="Y710" s="154"/>
      <c r="Z710" s="147">
        <f>IF($E710="","",VLOOKUP($D710,'Mortality Margins &amp; Grading'!$AB$5:$AF$125,3,0)*IF(Summary!$D$25="Included Margin",IF(AND($B710&gt;Input!$C$9,Summary!$D$31&lt;&gt;"Included Margin"),0,1),0))</f>
        <v>1.2999999999999999E-2</v>
      </c>
      <c r="AA710" s="147">
        <f>IF($E710="","",VLOOKUP($D710,'Mortality Margins &amp; Grading'!$AB$5:$AF$125,5,0)*IF(Summary!$D$25="Included Margin",IF(AND($B710&gt;Input!$C$9,Summary!$D$31&lt;&gt;"Included Margin"),0,1),0))</f>
        <v>6.7000000000000004E-2</v>
      </c>
      <c r="AB710" s="147">
        <f>IF($E710="","",IF(AND($B710&gt;Input!$C$9,Summary!$D$31&lt;&gt;"Included Margin"),1,IF(Summary!$D$25="Included Margin",VLOOKUP($B710,'Mortality Margins &amp; Grading'!$AI$5:$AR$125,MATCH('Mortality Margins &amp; Grading'!$AQ$4,'Mortality Margins &amp; Grading'!$AI$4:$AR$4,0),0),1)))</f>
        <v>0</v>
      </c>
      <c r="AC710" s="154"/>
      <c r="AD710" s="158">
        <f>IF(E710="","",Input!$C$48*IF(Summary!$D$30="Included Margin",IF(AND($B710&gt;Input!$C$9,Summary!$D$31&lt;&gt;"Included Margin"),0,1),0))</f>
        <v>-4.4999999999999997E-3</v>
      </c>
      <c r="AE710" s="159">
        <f>IF(E710="","",IF(Summary!$D$26="Included Margin",IF(AND($B710&gt;Input!$C$9,Summary!$D$31&lt;&gt;"Included Margin"),1,1/$R710),1))</f>
        <v>1.3373999934839556</v>
      </c>
      <c r="AF710" s="160">
        <f>IF(E710="","",IF(AND($B710&gt;=Input!$C$9,$C710=12,Summary!$D$31="Included Margin",$U710&gt;0),1/U710-1,IF($B710&gt;=Input!$C$9,0,Input!$C$45*IF(Summary!$D$27="Included Margin",1,0))))</f>
        <v>0</v>
      </c>
      <c r="AG710" s="160">
        <f>IF(E710="","",Input!$C$46*IF(Summary!$D$28="Included Margin",IF(AND($B710&gt;Input!$C$9,Summary!$D$31&lt;&gt;"Included Margin"),0,1),0))</f>
        <v>0.02</v>
      </c>
      <c r="AH710" s="158">
        <f>IF(E710="","",Input!$C$47*IF(Summary!$D$29="Included Margin",IF(AND($B710&gt;Input!$C$9,Summary!$D$31&lt;&gt;"Included Margin"),0,1),0))</f>
        <v>2.5000000000000001E-3</v>
      </c>
      <c r="AI710" s="154"/>
      <c r="AJ710" s="158">
        <f t="shared" ref="AJ710:AJ773" si="481">IF(E710="","",M710+AD710)</f>
        <v>4.3400000000000001E-2</v>
      </c>
      <c r="AK710" s="155">
        <f t="shared" ref="AK710:AK773" si="482">IF(E710="","",(1+AJ710)^(1/12)-1)</f>
        <v>3.5466588636137164E-3</v>
      </c>
      <c r="AL710" s="147">
        <f t="shared" ref="AL710:AL773" si="483">IF($E710="","",MIN(($O710*(1+$Z710)*$AB710+$P710*(1+$AA710)*(1-$AB710))*R710*AE710,1))</f>
        <v>1</v>
      </c>
      <c r="AM710" s="147">
        <f t="shared" si="461"/>
        <v>1</v>
      </c>
      <c r="AN710" s="160">
        <f t="shared" ref="AN710:AN773" si="484">IF(E710="","",IF(U710=1,1,(1+AF710)*U710))</f>
        <v>0</v>
      </c>
      <c r="AO710" s="161">
        <f t="shared" ref="AO710:AO773" si="485">IF($E710="","",(1+$AG710)*$V710)</f>
        <v>0</v>
      </c>
      <c r="AP710" s="156">
        <f t="shared" si="462"/>
        <v>3.6347317731925344</v>
      </c>
      <c r="AQ710" s="152"/>
      <c r="AR710" s="162">
        <f t="shared" si="463"/>
        <v>99822.98096987544</v>
      </c>
      <c r="AS710" s="150">
        <f t="shared" ref="AS710:AS773" si="486">IF($E710="","",IF($C710=1,$I710*$H710/1000,0))</f>
        <v>0</v>
      </c>
      <c r="AT710" s="163">
        <f t="shared" si="464"/>
        <v>0</v>
      </c>
      <c r="AU710" s="163">
        <f t="shared" si="465"/>
        <v>100000</v>
      </c>
      <c r="AV710" s="163">
        <f t="shared" ref="AV710:AV773" si="487">IF($E710="","",(AR710+AS710-AT710-AU710/2)*$AK710)</f>
        <v>176.70511706846625</v>
      </c>
      <c r="AW710" s="163">
        <f t="shared" si="466"/>
        <v>99823.294882931528</v>
      </c>
      <c r="AX710" s="163">
        <f t="shared" si="467"/>
        <v>0</v>
      </c>
      <c r="AY710" s="165">
        <f t="shared" ref="AY710:AY773" si="488">IF($E710="","",AR710+AS710-AT710-AU710+AV710+AW710+AX710)</f>
        <v>99822.98096987544</v>
      </c>
      <c r="AZ710" s="164">
        <f>IF($E710="","",IF(OR(AND($D710=Input!$C$6,$C710=12),$AN710=1),0,-AS711+AT711+AU711-AV711-AW711-AX711+AZ711))</f>
        <v>99823.294882931528</v>
      </c>
      <c r="BA710" s="154">
        <f t="shared" si="468"/>
        <v>0.31391305608849507</v>
      </c>
      <c r="BC710" s="147">
        <f t="shared" ref="BC710:BC773" si="489">IF($E710="","",MIN(1,(1-T710-U710))*BC709)</f>
        <v>2.7521129335035531E-10</v>
      </c>
      <c r="BD710" s="164">
        <f>IF(AND($C709=12,$D709=Input!$C$6),0,IF($E710="","",AT710+(AU710+BD711)/(1+$AK710)*MIN((1-AM710-AN710),1)))</f>
        <v>0</v>
      </c>
      <c r="BE710" s="164">
        <f t="shared" si="469"/>
        <v>0</v>
      </c>
      <c r="BF710" s="164">
        <f t="shared" ref="BF710:BF773" si="490">IF($E710="","",AZ710)</f>
        <v>99823.294882931528</v>
      </c>
      <c r="BG710" s="164">
        <f t="shared" si="470"/>
        <v>2.7472498091225492E-5</v>
      </c>
      <c r="BH710" s="152"/>
      <c r="BI710" s="162">
        <f t="shared" si="471"/>
        <v>7214.144277941019</v>
      </c>
      <c r="BJ710" s="150">
        <f t="shared" si="472"/>
        <v>0</v>
      </c>
      <c r="BK710" s="163">
        <f t="shared" si="448"/>
        <v>0</v>
      </c>
      <c r="BL710" s="163">
        <f t="shared" si="473"/>
        <v>10842.685342133662</v>
      </c>
      <c r="BM710" s="163">
        <f t="shared" si="449"/>
        <v>7.0038026807672731</v>
      </c>
      <c r="BN710" s="163">
        <f t="shared" si="474"/>
        <v>-440.42086115011551</v>
      </c>
      <c r="BO710" s="163">
        <f t="shared" si="475"/>
        <v>0</v>
      </c>
      <c r="BP710" s="164">
        <f t="shared" si="450"/>
        <v>-4061.9581226619907</v>
      </c>
      <c r="BQ710" s="164">
        <f>IF($E710="","",IF(AND($D710=Input!$C$6,$C710=12),0,-BJ711+BK711+BL711-BM711-BN711-BO711+BQ711))</f>
        <v>-4061.9168338186591</v>
      </c>
      <c r="BR710" s="161">
        <f t="shared" si="476"/>
        <v>0</v>
      </c>
      <c r="BT710" s="147">
        <f t="shared" si="477"/>
        <v>2.7521129335035531E-10</v>
      </c>
      <c r="BU710" s="164">
        <f>IF(AND($C709=12,$D709=Input!$C$6),0,IF($E710="","",BK710+(BL710+BU711)/(1+$AK710)*MIN((1-T710-U710),1)))</f>
        <v>76743.574599282379</v>
      </c>
      <c r="BV710" s="164">
        <f t="shared" si="478"/>
        <v>2.112069842179798E-5</v>
      </c>
      <c r="BW710" s="164">
        <f t="shared" si="479"/>
        <v>-4061.9168338186591</v>
      </c>
      <c r="BX710" s="164">
        <f t="shared" si="480"/>
        <v>-1.1178853853168134E-6</v>
      </c>
    </row>
    <row r="711" spans="1:76" s="150" customFormat="1" x14ac:dyDescent="0.25">
      <c r="A711" s="150">
        <f t="shared" ref="A711:A774" si="491">IF(E711="","",A710+1)</f>
        <v>707</v>
      </c>
      <c r="B711" s="150">
        <f t="shared" ref="B711:B774" si="492">IF(E711="","",IF(C710+1&gt;12,B710+1,B710))</f>
        <v>59</v>
      </c>
      <c r="C711" s="150">
        <f t="shared" ref="C711:C774" si="493">IF(E711="","",IF(C710+1&gt;12,1,C710+1))</f>
        <v>11</v>
      </c>
      <c r="D711" s="150">
        <f>IF(E711="","",Input!$C$4+B711-1)</f>
        <v>103</v>
      </c>
      <c r="E711" s="150">
        <f>IF(OR(AND(C710=12,D710=Input!$C$6),E710=""),"",1)</f>
        <v>1</v>
      </c>
      <c r="F711" s="150">
        <f>IF(E711="","",Input!$C$8+B711-1)</f>
        <v>2076</v>
      </c>
      <c r="G711" s="151">
        <f>IF(E711="","",MAX(0,Input!$C$9-B711))</f>
        <v>0</v>
      </c>
      <c r="H711" s="152">
        <f>IF(E711="","",Input!$C$3)</f>
        <v>100000</v>
      </c>
      <c r="I711" s="153">
        <f>IF(E711="","",HLOOKUP($B711,Input!$C$13:$BT$14,2))</f>
        <v>1000</v>
      </c>
      <c r="J711" s="154"/>
      <c r="K711" s="155">
        <f>IF($E711="","",INDEX(Input!$C$16:$CP$16,1,$B711))</f>
        <v>3.2899999999999999E-2</v>
      </c>
      <c r="L711" s="155">
        <f>IF($E711="","",Input!$C$37)</f>
        <v>1.4999999999999999E-2</v>
      </c>
      <c r="M711" s="155">
        <f t="shared" si="456"/>
        <v>4.7899999999999998E-2</v>
      </c>
      <c r="N711" s="155">
        <f t="shared" si="457"/>
        <v>3.9066244998400279E-3</v>
      </c>
      <c r="O711" s="147">
        <f>IF($E711="","",MIN(VLOOKUP(IF($B711&lt;=Input!$C$7,$B711,26),'Mortality Tables'!$A$41:$CW$67,IF($B711&lt;=Input!$C$7+1,Input!$C$4+2,$D711-Input!$C$7+2),0)*IF(B711&gt;20,Input!$C$22,1)/1000,1))</f>
        <v>1</v>
      </c>
      <c r="P711" s="147">
        <f>IF($E711="","",MIN(VLOOKUP(IF($B711&lt;=Input!$C$7,$B711,26),'Mortality Tables'!$A$12:$CW$37,IF($B711&lt;=Input!$C$7+1,Input!$C$4+2,$D711-Input!$C$7+2),0)*IF(B711&gt;20,Input!$C$22,1)/1000,1))</f>
        <v>1</v>
      </c>
      <c r="Q711" s="155">
        <f>IF($E711="","",Input!$C$21)</f>
        <v>5.0000000000000001E-3</v>
      </c>
      <c r="R711" s="159">
        <f>IF($E711="","",(1-Q711)^($F711-Input!$C$20))</f>
        <v>0.74771945930325501</v>
      </c>
      <c r="S711" s="147">
        <f t="shared" si="459"/>
        <v>0.74771945930325501</v>
      </c>
      <c r="T711" s="147">
        <f t="shared" si="460"/>
        <v>0.10842685342133662</v>
      </c>
      <c r="U711" s="160">
        <f>IF($E711="","",IF($C711=12,INDEX(Input!$C$15:$CP$15,1,$B711),0))</f>
        <v>0</v>
      </c>
      <c r="V711" s="150">
        <f>IF(E711="","",IF(C711=1,IF($B711=1,Input!$C$33,Input!$C$34),0))</f>
        <v>0</v>
      </c>
      <c r="W711" s="156">
        <f>IF($E711="","",Input!$C$35)</f>
        <v>0.02</v>
      </c>
      <c r="X711" s="156">
        <f t="shared" si="458"/>
        <v>3.1536243640574906</v>
      </c>
      <c r="Y711" s="154"/>
      <c r="Z711" s="147">
        <f>IF($E711="","",VLOOKUP($D711,'Mortality Margins &amp; Grading'!$AB$5:$AF$125,3,0)*IF(Summary!$D$25="Included Margin",IF(AND($B711&gt;Input!$C$9,Summary!$D$31&lt;&gt;"Included Margin"),0,1),0))</f>
        <v>1.2999999999999999E-2</v>
      </c>
      <c r="AA711" s="147">
        <f>IF($E711="","",VLOOKUP($D711,'Mortality Margins &amp; Grading'!$AB$5:$AF$125,5,0)*IF(Summary!$D$25="Included Margin",IF(AND($B711&gt;Input!$C$9,Summary!$D$31&lt;&gt;"Included Margin"),0,1),0))</f>
        <v>6.7000000000000004E-2</v>
      </c>
      <c r="AB711" s="147">
        <f>IF($E711="","",IF(AND($B711&gt;Input!$C$9,Summary!$D$31&lt;&gt;"Included Margin"),1,IF(Summary!$D$25="Included Margin",VLOOKUP($B711,'Mortality Margins &amp; Grading'!$AI$5:$AR$125,MATCH('Mortality Margins &amp; Grading'!$AQ$4,'Mortality Margins &amp; Grading'!$AI$4:$AR$4,0),0),1)))</f>
        <v>0</v>
      </c>
      <c r="AC711" s="154"/>
      <c r="AD711" s="158">
        <f>IF(E711="","",Input!$C$48*IF(Summary!$D$30="Included Margin",IF(AND($B711&gt;Input!$C$9,Summary!$D$31&lt;&gt;"Included Margin"),0,1),0))</f>
        <v>-4.4999999999999997E-3</v>
      </c>
      <c r="AE711" s="159">
        <f>IF(E711="","",IF(Summary!$D$26="Included Margin",IF(AND($B711&gt;Input!$C$9,Summary!$D$31&lt;&gt;"Included Margin"),1,1/$R711),1))</f>
        <v>1.3373999934839556</v>
      </c>
      <c r="AF711" s="160">
        <f>IF(E711="","",IF(AND($B711&gt;=Input!$C$9,$C711=12,Summary!$D$31="Included Margin",$U711&gt;0),1/U711-1,IF($B711&gt;=Input!$C$9,0,Input!$C$45*IF(Summary!$D$27="Included Margin",1,0))))</f>
        <v>0</v>
      </c>
      <c r="AG711" s="160">
        <f>IF(E711="","",Input!$C$46*IF(Summary!$D$28="Included Margin",IF(AND($B711&gt;Input!$C$9,Summary!$D$31&lt;&gt;"Included Margin"),0,1),0))</f>
        <v>0.02</v>
      </c>
      <c r="AH711" s="158">
        <f>IF(E711="","",Input!$C$47*IF(Summary!$D$29="Included Margin",IF(AND($B711&gt;Input!$C$9,Summary!$D$31&lt;&gt;"Included Margin"),0,1),0))</f>
        <v>2.5000000000000001E-3</v>
      </c>
      <c r="AI711" s="154"/>
      <c r="AJ711" s="158">
        <f t="shared" si="481"/>
        <v>4.3400000000000001E-2</v>
      </c>
      <c r="AK711" s="155">
        <f t="shared" si="482"/>
        <v>3.5466588636137164E-3</v>
      </c>
      <c r="AL711" s="147">
        <f t="shared" si="483"/>
        <v>1</v>
      </c>
      <c r="AM711" s="147">
        <f t="shared" si="461"/>
        <v>1</v>
      </c>
      <c r="AN711" s="160">
        <f t="shared" si="484"/>
        <v>0</v>
      </c>
      <c r="AO711" s="161">
        <f t="shared" si="485"/>
        <v>0</v>
      </c>
      <c r="AP711" s="156">
        <f t="shared" si="462"/>
        <v>3.6347317731925344</v>
      </c>
      <c r="AQ711" s="152"/>
      <c r="AR711" s="162">
        <f t="shared" si="463"/>
        <v>99822.98096987544</v>
      </c>
      <c r="AS711" s="150">
        <f t="shared" si="486"/>
        <v>0</v>
      </c>
      <c r="AT711" s="163">
        <f t="shared" si="464"/>
        <v>0</v>
      </c>
      <c r="AU711" s="163">
        <f t="shared" si="465"/>
        <v>100000</v>
      </c>
      <c r="AV711" s="163">
        <f t="shared" si="487"/>
        <v>176.70511706846625</v>
      </c>
      <c r="AW711" s="163">
        <f t="shared" si="466"/>
        <v>99823.294882931528</v>
      </c>
      <c r="AX711" s="163">
        <f t="shared" si="467"/>
        <v>0</v>
      </c>
      <c r="AY711" s="164">
        <f t="shared" si="488"/>
        <v>99822.98096987544</v>
      </c>
      <c r="AZ711" s="164">
        <f>IF($E711="","",IF(OR(AND($D711=Input!$C$6,$C711=12),$AN711=1),0,-AS712+AT712+AU712-AV712-AW712-AX712+AZ712))</f>
        <v>99823.294882931528</v>
      </c>
      <c r="BA711" s="154">
        <f t="shared" si="468"/>
        <v>0.31391305608849507</v>
      </c>
      <c r="BC711" s="147">
        <f t="shared" si="489"/>
        <v>2.4537099878635984E-10</v>
      </c>
      <c r="BD711" s="164">
        <f>IF(AND($C710=12,$D710=Input!$C$6),0,IF($E711="","",AT711+(AU711+BD712)/(1+$AK711)*MIN((1-AM711-AN711),1)))</f>
        <v>0</v>
      </c>
      <c r="BE711" s="164">
        <f t="shared" si="469"/>
        <v>0</v>
      </c>
      <c r="BF711" s="164">
        <f t="shared" si="490"/>
        <v>99823.294882931528</v>
      </c>
      <c r="BG711" s="164">
        <f t="shared" si="470"/>
        <v>2.4493741567570233E-5</v>
      </c>
      <c r="BH711" s="152"/>
      <c r="BI711" s="162">
        <f t="shared" si="471"/>
        <v>-4061.9581226619903</v>
      </c>
      <c r="BJ711" s="150">
        <f t="shared" si="472"/>
        <v>0</v>
      </c>
      <c r="BK711" s="163">
        <f t="shared" ref="BK711:BK774" si="494">IF($E711="","",$V711*$X711)</f>
        <v>0</v>
      </c>
      <c r="BL711" s="163">
        <f t="shared" si="473"/>
        <v>10842.685342133662</v>
      </c>
      <c r="BM711" s="163">
        <f t="shared" ref="BM711:BM774" si="495">IF($E711="","",(BI711+BJ711-BK711-BL711/2)*$N711)</f>
        <v>-37.047695220133392</v>
      </c>
      <c r="BN711" s="163">
        <f t="shared" si="474"/>
        <v>-1817.0983353092834</v>
      </c>
      <c r="BO711" s="163">
        <f t="shared" si="475"/>
        <v>0</v>
      </c>
      <c r="BP711" s="164">
        <f t="shared" ref="BP711:BP774" si="496">IF($E711="","",BI711+BJ711-BK711-BL711+BM711+BN711+BO711)</f>
        <v>-16758.789495325069</v>
      </c>
      <c r="BQ711" s="164">
        <f>IF($E711="","",IF(AND($D711=Input!$C$6,$C711=12),0,-BJ712+BK712+BL712-BM712-BN712-BO712+BQ712))</f>
        <v>-16758.748206481738</v>
      </c>
      <c r="BR711" s="161">
        <f t="shared" si="476"/>
        <v>0</v>
      </c>
      <c r="BT711" s="147">
        <f t="shared" si="477"/>
        <v>2.4537099878635984E-10</v>
      </c>
      <c r="BU711" s="164">
        <f>IF(AND($C710=12,$D710=Input!$C$6),0,IF($E711="","",BK711+(BL711+BU712)/(1+$AK711)*MIN((1-T711-U711),1)))</f>
        <v>75539.187164796123</v>
      </c>
      <c r="BV711" s="164">
        <f t="shared" si="478"/>
        <v>1.85351258021358E-5</v>
      </c>
      <c r="BW711" s="164">
        <f t="shared" si="479"/>
        <v>-16758.748206481738</v>
      </c>
      <c r="BX711" s="164">
        <f t="shared" si="480"/>
        <v>-4.112110785833541E-6</v>
      </c>
    </row>
    <row r="712" spans="1:76" s="150" customFormat="1" x14ac:dyDescent="0.25">
      <c r="A712" s="150">
        <f t="shared" si="491"/>
        <v>708</v>
      </c>
      <c r="B712" s="150">
        <f t="shared" si="492"/>
        <v>59</v>
      </c>
      <c r="C712" s="150">
        <f t="shared" si="493"/>
        <v>12</v>
      </c>
      <c r="D712" s="150">
        <f>IF(E712="","",Input!$C$4+B712-1)</f>
        <v>103</v>
      </c>
      <c r="E712" s="150">
        <f>IF(OR(AND(C711=12,D711=Input!$C$6),E711=""),"",1)</f>
        <v>1</v>
      </c>
      <c r="F712" s="150">
        <f>IF(E712="","",Input!$C$8+B712-1)</f>
        <v>2076</v>
      </c>
      <c r="G712" s="151">
        <f>IF(E712="","",MAX(0,Input!$C$9-B712))</f>
        <v>0</v>
      </c>
      <c r="H712" s="152">
        <f>IF(E712="","",Input!$C$3)</f>
        <v>100000</v>
      </c>
      <c r="I712" s="153">
        <f>IF(E712="","",HLOOKUP($B712,Input!$C$13:$BT$14,2))</f>
        <v>1000</v>
      </c>
      <c r="J712" s="154"/>
      <c r="K712" s="155">
        <f>IF($E712="","",INDEX(Input!$C$16:$CP$16,1,$B712))</f>
        <v>3.2899999999999999E-2</v>
      </c>
      <c r="L712" s="155">
        <f>IF($E712="","",Input!$C$37)</f>
        <v>1.4999999999999999E-2</v>
      </c>
      <c r="M712" s="155">
        <f t="shared" si="456"/>
        <v>4.7899999999999998E-2</v>
      </c>
      <c r="N712" s="155">
        <f t="shared" si="457"/>
        <v>3.9066244998400279E-3</v>
      </c>
      <c r="O712" s="147">
        <f>IF($E712="","",MIN(VLOOKUP(IF($B712&lt;=Input!$C$7,$B712,26),'Mortality Tables'!$A$41:$CW$67,IF($B712&lt;=Input!$C$7+1,Input!$C$4+2,$D712-Input!$C$7+2),0)*IF(B712&gt;20,Input!$C$22,1)/1000,1))</f>
        <v>1</v>
      </c>
      <c r="P712" s="147">
        <f>IF($E712="","",MIN(VLOOKUP(IF($B712&lt;=Input!$C$7,$B712,26),'Mortality Tables'!$A$12:$CW$37,IF($B712&lt;=Input!$C$7+1,Input!$C$4+2,$D712-Input!$C$7+2),0)*IF(B712&gt;20,Input!$C$22,1)/1000,1))</f>
        <v>1</v>
      </c>
      <c r="Q712" s="155">
        <f>IF($E712="","",Input!$C$21)</f>
        <v>5.0000000000000001E-3</v>
      </c>
      <c r="R712" s="159">
        <f>IF($E712="","",(1-Q712)^($F712-Input!$C$20))</f>
        <v>0.74771945930325501</v>
      </c>
      <c r="S712" s="147">
        <f t="shared" si="459"/>
        <v>0.74771945930325501</v>
      </c>
      <c r="T712" s="147">
        <f t="shared" si="460"/>
        <v>0.10842685342133662</v>
      </c>
      <c r="U712" s="160">
        <f>IF($E712="","",IF($C712=12,INDEX(Input!$C$15:$CP$15,1,$B712),0))</f>
        <v>0.1</v>
      </c>
      <c r="V712" s="150">
        <f>IF(E712="","",IF(C712=1,IF($B712=1,Input!$C$33,Input!$C$34),0))</f>
        <v>0</v>
      </c>
      <c r="W712" s="156">
        <f>IF($E712="","",Input!$C$35)</f>
        <v>0.02</v>
      </c>
      <c r="X712" s="156">
        <f t="shared" si="458"/>
        <v>3.1536243640574906</v>
      </c>
      <c r="Y712" s="154"/>
      <c r="Z712" s="147">
        <f>IF($E712="","",VLOOKUP($D712,'Mortality Margins &amp; Grading'!$AB$5:$AF$125,3,0)*IF(Summary!$D$25="Included Margin",IF(AND($B712&gt;Input!$C$9,Summary!$D$31&lt;&gt;"Included Margin"),0,1),0))</f>
        <v>1.2999999999999999E-2</v>
      </c>
      <c r="AA712" s="147">
        <f>IF($E712="","",VLOOKUP($D712,'Mortality Margins &amp; Grading'!$AB$5:$AF$125,5,0)*IF(Summary!$D$25="Included Margin",IF(AND($B712&gt;Input!$C$9,Summary!$D$31&lt;&gt;"Included Margin"),0,1),0))</f>
        <v>6.7000000000000004E-2</v>
      </c>
      <c r="AB712" s="147">
        <f>IF($E712="","",IF(AND($B712&gt;Input!$C$9,Summary!$D$31&lt;&gt;"Included Margin"),1,IF(Summary!$D$25="Included Margin",VLOOKUP($B712,'Mortality Margins &amp; Grading'!$AI$5:$AR$125,MATCH('Mortality Margins &amp; Grading'!$AQ$4,'Mortality Margins &amp; Grading'!$AI$4:$AR$4,0),0),1)))</f>
        <v>0</v>
      </c>
      <c r="AC712" s="154"/>
      <c r="AD712" s="158">
        <f>IF(E712="","",Input!$C$48*IF(Summary!$D$30="Included Margin",IF(AND($B712&gt;Input!$C$9,Summary!$D$31&lt;&gt;"Included Margin"),0,1),0))</f>
        <v>-4.4999999999999997E-3</v>
      </c>
      <c r="AE712" s="159">
        <f>IF(E712="","",IF(Summary!$D$26="Included Margin",IF(AND($B712&gt;Input!$C$9,Summary!$D$31&lt;&gt;"Included Margin"),1,1/$R712),1))</f>
        <v>1.3373999934839556</v>
      </c>
      <c r="AF712" s="160">
        <f>IF(E712="","",IF(AND($B712&gt;=Input!$C$9,$C712=12,Summary!$D$31="Included Margin",$U712&gt;0),1/U712-1,IF($B712&gt;=Input!$C$9,0,Input!$C$45*IF(Summary!$D$27="Included Margin",1,0))))</f>
        <v>9</v>
      </c>
      <c r="AG712" s="160">
        <f>IF(E712="","",Input!$C$46*IF(Summary!$D$28="Included Margin",IF(AND($B712&gt;Input!$C$9,Summary!$D$31&lt;&gt;"Included Margin"),0,1),0))</f>
        <v>0.02</v>
      </c>
      <c r="AH712" s="158">
        <f>IF(E712="","",Input!$C$47*IF(Summary!$D$29="Included Margin",IF(AND($B712&gt;Input!$C$9,Summary!$D$31&lt;&gt;"Included Margin"),0,1),0))</f>
        <v>2.5000000000000001E-3</v>
      </c>
      <c r="AI712" s="154"/>
      <c r="AJ712" s="158">
        <f t="shared" si="481"/>
        <v>4.3400000000000001E-2</v>
      </c>
      <c r="AK712" s="155">
        <f t="shared" si="482"/>
        <v>3.5466588636137164E-3</v>
      </c>
      <c r="AL712" s="147">
        <f t="shared" si="483"/>
        <v>1</v>
      </c>
      <c r="AM712" s="147">
        <f t="shared" si="461"/>
        <v>1</v>
      </c>
      <c r="AN712" s="160">
        <f t="shared" si="484"/>
        <v>1</v>
      </c>
      <c r="AO712" s="161">
        <f t="shared" si="485"/>
        <v>0</v>
      </c>
      <c r="AP712" s="156">
        <f t="shared" si="462"/>
        <v>3.6347317731925344</v>
      </c>
      <c r="AQ712" s="152"/>
      <c r="AR712" s="162">
        <f t="shared" si="463"/>
        <v>99822.98096987544</v>
      </c>
      <c r="AS712" s="150">
        <f t="shared" si="486"/>
        <v>0</v>
      </c>
      <c r="AT712" s="163">
        <f t="shared" si="464"/>
        <v>0</v>
      </c>
      <c r="AU712" s="163">
        <f t="shared" si="465"/>
        <v>100000</v>
      </c>
      <c r="AV712" s="163">
        <f t="shared" si="487"/>
        <v>176.70511706846625</v>
      </c>
      <c r="AW712" s="163">
        <f t="shared" si="466"/>
        <v>0</v>
      </c>
      <c r="AX712" s="163">
        <f t="shared" si="467"/>
        <v>0</v>
      </c>
      <c r="AY712" s="165">
        <f t="shared" si="488"/>
        <v>-0.31391305609398046</v>
      </c>
      <c r="AZ712" s="164">
        <f>IF($E712="","",IF(OR(AND($D712=Input!$C$6,$C712=12),$AN712=1),0,-AS713+AT713+AU713-AV713-AW713-AX713+AZ713))</f>
        <v>0</v>
      </c>
      <c r="BA712" s="154">
        <f t="shared" si="468"/>
        <v>0.31391305609398046</v>
      </c>
      <c r="BC712" s="147">
        <f t="shared" si="489"/>
        <v>1.9422909358846825E-10</v>
      </c>
      <c r="BD712" s="164">
        <f>IF(AND($C711=12,$D711=Input!$C$6),0,IF($E712="","",AT712+(AU712+BD713)/(1+$AK712)*MIN((1-AM712-AN712),1)))</f>
        <v>-99835.459856539412</v>
      </c>
      <c r="BE712" s="164">
        <f t="shared" si="469"/>
        <v>-1.9390950875923558E-5</v>
      </c>
      <c r="BF712" s="164">
        <f t="shared" si="490"/>
        <v>0</v>
      </c>
      <c r="BG712" s="164">
        <f t="shared" si="470"/>
        <v>0</v>
      </c>
      <c r="BH712" s="152"/>
      <c r="BI712" s="162">
        <f t="shared" si="471"/>
        <v>-16758.789495325072</v>
      </c>
      <c r="BJ712" s="150">
        <f t="shared" si="472"/>
        <v>0</v>
      </c>
      <c r="BK712" s="163">
        <f t="shared" si="494"/>
        <v>0</v>
      </c>
      <c r="BL712" s="163">
        <f t="shared" si="473"/>
        <v>10842.685342133662</v>
      </c>
      <c r="BM712" s="163">
        <f t="shared" si="495"/>
        <v>-86.649447730916492</v>
      </c>
      <c r="BN712" s="163">
        <f t="shared" si="474"/>
        <v>-3741.3665049158358</v>
      </c>
      <c r="BO712" s="163">
        <f t="shared" si="475"/>
        <v>-3076.453666260702</v>
      </c>
      <c r="BP712" s="164">
        <f t="shared" si="496"/>
        <v>-34505.944456366189</v>
      </c>
      <c r="BQ712" s="164">
        <f>IF($E712="","",IF(AND($D712=Input!$C$6,$C712=12),0,-BJ713+BK713+BL713-BM713-BN713-BO713+BQ713))</f>
        <v>-34505.903167522854</v>
      </c>
      <c r="BR712" s="161">
        <f t="shared" si="476"/>
        <v>0</v>
      </c>
      <c r="BT712" s="147">
        <f t="shared" si="477"/>
        <v>1.9422909358846825E-10</v>
      </c>
      <c r="BU712" s="164">
        <f>IF(AND($C711=12,$D711=Input!$C$6),0,IF($E712="","",BK712+(BL712+BU713)/(1+$AK712)*MIN((1-T712-U712),1)))</f>
        <v>74183.539576604264</v>
      </c>
      <c r="BV712" s="164">
        <f t="shared" si="478"/>
        <v>1.4408601651148109E-5</v>
      </c>
      <c r="BW712" s="164">
        <f t="shared" si="479"/>
        <v>-34505.903167522854</v>
      </c>
      <c r="BX712" s="164">
        <f t="shared" si="480"/>
        <v>-6.7020502956794199E-6</v>
      </c>
    </row>
    <row r="713" spans="1:76" s="150" customFormat="1" x14ac:dyDescent="0.25">
      <c r="A713" s="150">
        <f t="shared" si="491"/>
        <v>709</v>
      </c>
      <c r="B713" s="150">
        <f t="shared" si="492"/>
        <v>60</v>
      </c>
      <c r="C713" s="150">
        <f t="shared" si="493"/>
        <v>1</v>
      </c>
      <c r="D713" s="150">
        <f>IF(E713="","",Input!$C$4+B713-1)</f>
        <v>104</v>
      </c>
      <c r="E713" s="150">
        <f>IF(OR(AND(C712=12,D712=Input!$C$6),E712=""),"",1)</f>
        <v>1</v>
      </c>
      <c r="F713" s="150">
        <f>IF(E713="","",Input!$C$8+B713-1)</f>
        <v>2077</v>
      </c>
      <c r="G713" s="151">
        <f>IF(E713="","",MAX(0,Input!$C$9-B713))</f>
        <v>0</v>
      </c>
      <c r="H713" s="152">
        <f>IF(E713="","",Input!$C$3)</f>
        <v>100000</v>
      </c>
      <c r="I713" s="153">
        <f>IF(E713="","",HLOOKUP($B713,Input!$C$13:$BT$14,2))</f>
        <v>1000</v>
      </c>
      <c r="J713" s="154"/>
      <c r="K713" s="155">
        <f>IF($E713="","",INDEX(Input!$C$16:$CP$16,1,$B713))</f>
        <v>3.2939999999999997E-2</v>
      </c>
      <c r="L713" s="155">
        <f>IF($E713="","",Input!$C$37)</f>
        <v>1.4999999999999999E-2</v>
      </c>
      <c r="M713" s="155">
        <f t="shared" si="456"/>
        <v>4.7939999999999997E-2</v>
      </c>
      <c r="N713" s="155">
        <f t="shared" si="457"/>
        <v>3.9098178359129321E-3</v>
      </c>
      <c r="O713" s="147">
        <f>IF($E713="","",MIN(VLOOKUP(IF($B713&lt;=Input!$C$7,$B713,26),'Mortality Tables'!$A$41:$CW$67,IF($B713&lt;=Input!$C$7+1,Input!$C$4+2,$D713-Input!$C$7+2),0)*IF(B713&gt;20,Input!$C$22,1)/1000,1))</f>
        <v>1</v>
      </c>
      <c r="P713" s="147">
        <f>IF($E713="","",MIN(VLOOKUP(IF($B713&lt;=Input!$C$7,$B713,26),'Mortality Tables'!$A$12:$CW$37,IF($B713&lt;=Input!$C$7+1,Input!$C$4+2,$D713-Input!$C$7+2),0)*IF(B713&gt;20,Input!$C$22,1)/1000,1))</f>
        <v>1</v>
      </c>
      <c r="Q713" s="155">
        <f>IF($E713="","",Input!$C$21)</f>
        <v>5.0000000000000001E-3</v>
      </c>
      <c r="R713" s="159">
        <f>IF($E713="","",(1-Q713)^($F713-Input!$C$20))</f>
        <v>0.74398086200673863</v>
      </c>
      <c r="S713" s="147">
        <f t="shared" si="459"/>
        <v>0.74398086200673863</v>
      </c>
      <c r="T713" s="147">
        <f t="shared" si="460"/>
        <v>0.10733322790352262</v>
      </c>
      <c r="U713" s="160">
        <f>IF($E713="","",IF($C713=12,INDEX(Input!$C$15:$CP$15,1,$B713),0))</f>
        <v>0</v>
      </c>
      <c r="V713" s="150">
        <f>IF(E713="","",IF(C713=1,IF($B713=1,Input!$C$33,Input!$C$34),0))</f>
        <v>50</v>
      </c>
      <c r="W713" s="156">
        <f>IF($E713="","",Input!$C$35)</f>
        <v>0.02</v>
      </c>
      <c r="X713" s="156">
        <f t="shared" si="458"/>
        <v>3.2166968513386403</v>
      </c>
      <c r="Y713" s="154"/>
      <c r="Z713" s="147">
        <f>IF($E713="","",VLOOKUP($D713,'Mortality Margins &amp; Grading'!$AB$5:$AF$125,3,0)*IF(Summary!$D$25="Included Margin",IF(AND($B713&gt;Input!$C$9,Summary!$D$31&lt;&gt;"Included Margin"),0,1),0))</f>
        <v>1.2E-2</v>
      </c>
      <c r="AA713" s="147">
        <f>IF($E713="","",VLOOKUP($D713,'Mortality Margins &amp; Grading'!$AB$5:$AF$125,5,0)*IF(Summary!$D$25="Included Margin",IF(AND($B713&gt;Input!$C$9,Summary!$D$31&lt;&gt;"Included Margin"),0,1),0))</f>
        <v>0.06</v>
      </c>
      <c r="AB713" s="147">
        <f>IF($E713="","",IF(AND($B713&gt;Input!$C$9,Summary!$D$31&lt;&gt;"Included Margin"),1,IF(Summary!$D$25="Included Margin",VLOOKUP($B713,'Mortality Margins &amp; Grading'!$AI$5:$AR$125,MATCH('Mortality Margins &amp; Grading'!$AQ$4,'Mortality Margins &amp; Grading'!$AI$4:$AR$4,0),0),1)))</f>
        <v>0</v>
      </c>
      <c r="AC713" s="154"/>
      <c r="AD713" s="158">
        <f>IF(E713="","",Input!$C$48*IF(Summary!$D$30="Included Margin",IF(AND($B713&gt;Input!$C$9,Summary!$D$31&lt;&gt;"Included Margin"),0,1),0))</f>
        <v>-4.4999999999999997E-3</v>
      </c>
      <c r="AE713" s="159">
        <f>IF(E713="","",IF(Summary!$D$26="Included Margin",IF(AND($B713&gt;Input!$C$9,Summary!$D$31&lt;&gt;"Included Margin"),1,1/$R713),1))</f>
        <v>1.3441205964662872</v>
      </c>
      <c r="AF713" s="160">
        <f>IF(E713="","",IF(AND($B713&gt;=Input!$C$9,$C713=12,Summary!$D$31="Included Margin",$U713&gt;0),1/U713-1,IF($B713&gt;=Input!$C$9,0,Input!$C$45*IF(Summary!$D$27="Included Margin",1,0))))</f>
        <v>0</v>
      </c>
      <c r="AG713" s="160">
        <f>IF(E713="","",Input!$C$46*IF(Summary!$D$28="Included Margin",IF(AND($B713&gt;Input!$C$9,Summary!$D$31&lt;&gt;"Included Margin"),0,1),0))</f>
        <v>0.02</v>
      </c>
      <c r="AH713" s="158">
        <f>IF(E713="","",Input!$C$47*IF(Summary!$D$29="Included Margin",IF(AND($B713&gt;Input!$C$9,Summary!$D$31&lt;&gt;"Included Margin"),0,1),0))</f>
        <v>2.5000000000000001E-3</v>
      </c>
      <c r="AI713" s="154"/>
      <c r="AJ713" s="158">
        <f t="shared" si="481"/>
        <v>4.3439999999999999E-2</v>
      </c>
      <c r="AK713" s="155">
        <f t="shared" si="482"/>
        <v>3.5498648217830997E-3</v>
      </c>
      <c r="AL713" s="147">
        <f t="shared" si="483"/>
        <v>1</v>
      </c>
      <c r="AM713" s="147">
        <f t="shared" si="461"/>
        <v>1</v>
      </c>
      <c r="AN713" s="160">
        <f t="shared" si="484"/>
        <v>0</v>
      </c>
      <c r="AO713" s="161">
        <f t="shared" si="485"/>
        <v>51</v>
      </c>
      <c r="AP713" s="156">
        <f t="shared" si="462"/>
        <v>3.7165132380893664</v>
      </c>
      <c r="AQ713" s="152"/>
      <c r="AR713" s="162">
        <f t="shared" si="463"/>
        <v>12.363414378397721</v>
      </c>
      <c r="AS713" s="150">
        <f t="shared" si="486"/>
        <v>100000</v>
      </c>
      <c r="AT713" s="163">
        <f t="shared" si="464"/>
        <v>189.54217514255768</v>
      </c>
      <c r="AU713" s="163">
        <f t="shared" si="465"/>
        <v>100000</v>
      </c>
      <c r="AV713" s="163">
        <f t="shared" si="487"/>
        <v>176.86428043915117</v>
      </c>
      <c r="AW713" s="163">
        <f t="shared" si="466"/>
        <v>99823.135719560843</v>
      </c>
      <c r="AX713" s="163">
        <f t="shared" si="467"/>
        <v>0</v>
      </c>
      <c r="AY713" s="164">
        <f t="shared" si="488"/>
        <v>99822.82123923584</v>
      </c>
      <c r="AZ713" s="164">
        <f>IF($E713="","",IF(OR(AND($D713=Input!$C$6,$C713=12),$AN713=1),0,-AS714+AT714+AU714-AV714-AW714-AX714+AZ714))</f>
        <v>99823.135719560843</v>
      </c>
      <c r="BA713" s="154">
        <f t="shared" si="468"/>
        <v>0.31448032500338741</v>
      </c>
      <c r="BC713" s="147">
        <f t="shared" si="489"/>
        <v>1.7338185802084257E-10</v>
      </c>
      <c r="BD713" s="164">
        <f>IF(AND($C712=12,$D712=Input!$C$6),0,IF($E713="","",AT713+(AU713+BD714)/(1+$AK713)*MIN((1-AM713-AN713),1)))</f>
        <v>189.54217514255768</v>
      </c>
      <c r="BE713" s="164">
        <f t="shared" si="469"/>
        <v>3.2863174499528612E-8</v>
      </c>
      <c r="BF713" s="164">
        <f t="shared" si="490"/>
        <v>99823.135719560843</v>
      </c>
      <c r="BG713" s="164">
        <f t="shared" si="470"/>
        <v>1.7307520744524198E-5</v>
      </c>
      <c r="BH713" s="152"/>
      <c r="BI713" s="162">
        <f t="shared" si="471"/>
        <v>-34505.944106696174</v>
      </c>
      <c r="BJ713" s="150">
        <f t="shared" si="472"/>
        <v>100000</v>
      </c>
      <c r="BK713" s="163">
        <f t="shared" si="494"/>
        <v>160.83484256693202</v>
      </c>
      <c r="BL713" s="163">
        <f t="shared" si="473"/>
        <v>10733.322790352262</v>
      </c>
      <c r="BM713" s="163">
        <f t="shared" si="495"/>
        <v>234.45832449964831</v>
      </c>
      <c r="BN713" s="163">
        <f t="shared" si="474"/>
        <v>6593.2250089016779</v>
      </c>
      <c r="BO713" s="163">
        <f t="shared" si="475"/>
        <v>0</v>
      </c>
      <c r="BP713" s="164">
        <f t="shared" si="496"/>
        <v>61427.581593785959</v>
      </c>
      <c r="BQ713" s="164">
        <f>IF($E713="","",IF(AND($D713=Input!$C$6,$C713=12),0,-BJ714+BK714+BL714-BM714-BN714-BO714+BQ714))</f>
        <v>61427.622532959263</v>
      </c>
      <c r="BR713" s="161">
        <f t="shared" si="476"/>
        <v>0</v>
      </c>
      <c r="BT713" s="147">
        <f t="shared" si="477"/>
        <v>1.7338185802084257E-10</v>
      </c>
      <c r="BU713" s="164">
        <f>IF(AND($C712=12,$D712=Input!$C$6),0,IF($E713="","",BK713+(BL713+BU714)/(1+$AK713)*MIN((1-T713-U713),1)))</f>
        <v>83206.289925093457</v>
      </c>
      <c r="BV713" s="164">
        <f t="shared" si="478"/>
        <v>1.4426461146233618E-5</v>
      </c>
      <c r="BW713" s="164">
        <f t="shared" si="479"/>
        <v>61427.622532959263</v>
      </c>
      <c r="BX713" s="164">
        <f t="shared" si="480"/>
        <v>1.0650435328567453E-5</v>
      </c>
    </row>
    <row r="714" spans="1:76" s="150" customFormat="1" x14ac:dyDescent="0.25">
      <c r="A714" s="150">
        <f t="shared" si="491"/>
        <v>710</v>
      </c>
      <c r="B714" s="150">
        <f t="shared" si="492"/>
        <v>60</v>
      </c>
      <c r="C714" s="150">
        <f t="shared" si="493"/>
        <v>2</v>
      </c>
      <c r="D714" s="150">
        <f>IF(E714="","",Input!$C$4+B714-1)</f>
        <v>104</v>
      </c>
      <c r="E714" s="150">
        <f>IF(OR(AND(C713=12,D713=Input!$C$6),E713=""),"",1)</f>
        <v>1</v>
      </c>
      <c r="F714" s="150">
        <f>IF(E714="","",Input!$C$8+B714-1)</f>
        <v>2077</v>
      </c>
      <c r="G714" s="151">
        <f>IF(E714="","",MAX(0,Input!$C$9-B714))</f>
        <v>0</v>
      </c>
      <c r="H714" s="152">
        <f>IF(E714="","",Input!$C$3)</f>
        <v>100000</v>
      </c>
      <c r="I714" s="153">
        <f>IF(E714="","",HLOOKUP($B714,Input!$C$13:$BT$14,2))</f>
        <v>1000</v>
      </c>
      <c r="J714" s="154"/>
      <c r="K714" s="155">
        <f>IF($E714="","",INDEX(Input!$C$16:$CP$16,1,$B714))</f>
        <v>3.2939999999999997E-2</v>
      </c>
      <c r="L714" s="155">
        <f>IF($E714="","",Input!$C$37)</f>
        <v>1.4999999999999999E-2</v>
      </c>
      <c r="M714" s="155">
        <f t="shared" si="456"/>
        <v>4.7939999999999997E-2</v>
      </c>
      <c r="N714" s="155">
        <f t="shared" si="457"/>
        <v>3.9098178359129321E-3</v>
      </c>
      <c r="O714" s="147">
        <f>IF($E714="","",MIN(VLOOKUP(IF($B714&lt;=Input!$C$7,$B714,26),'Mortality Tables'!$A$41:$CW$67,IF($B714&lt;=Input!$C$7+1,Input!$C$4+2,$D714-Input!$C$7+2),0)*IF(B714&gt;20,Input!$C$22,1)/1000,1))</f>
        <v>1</v>
      </c>
      <c r="P714" s="147">
        <f>IF($E714="","",MIN(VLOOKUP(IF($B714&lt;=Input!$C$7,$B714,26),'Mortality Tables'!$A$12:$CW$37,IF($B714&lt;=Input!$C$7+1,Input!$C$4+2,$D714-Input!$C$7+2),0)*IF(B714&gt;20,Input!$C$22,1)/1000,1))</f>
        <v>1</v>
      </c>
      <c r="Q714" s="155">
        <f>IF($E714="","",Input!$C$21)</f>
        <v>5.0000000000000001E-3</v>
      </c>
      <c r="R714" s="159">
        <f>IF($E714="","",(1-Q714)^($F714-Input!$C$20))</f>
        <v>0.74398086200673863</v>
      </c>
      <c r="S714" s="147">
        <f t="shared" si="459"/>
        <v>0.74398086200673863</v>
      </c>
      <c r="T714" s="147">
        <f t="shared" si="460"/>
        <v>0.10733322790352262</v>
      </c>
      <c r="U714" s="160">
        <f>IF($E714="","",IF($C714=12,INDEX(Input!$C$15:$CP$15,1,$B714),0))</f>
        <v>0</v>
      </c>
      <c r="V714" s="150">
        <f>IF(E714="","",IF(C714=1,IF($B714=1,Input!$C$33,Input!$C$34),0))</f>
        <v>0</v>
      </c>
      <c r="W714" s="156">
        <f>IF($E714="","",Input!$C$35)</f>
        <v>0.02</v>
      </c>
      <c r="X714" s="156">
        <f t="shared" si="458"/>
        <v>3.2166968513386403</v>
      </c>
      <c r="Y714" s="154"/>
      <c r="Z714" s="147">
        <f>IF($E714="","",VLOOKUP($D714,'Mortality Margins &amp; Grading'!$AB$5:$AF$125,3,0)*IF(Summary!$D$25="Included Margin",IF(AND($B714&gt;Input!$C$9,Summary!$D$31&lt;&gt;"Included Margin"),0,1),0))</f>
        <v>1.2E-2</v>
      </c>
      <c r="AA714" s="147">
        <f>IF($E714="","",VLOOKUP($D714,'Mortality Margins &amp; Grading'!$AB$5:$AF$125,5,0)*IF(Summary!$D$25="Included Margin",IF(AND($B714&gt;Input!$C$9,Summary!$D$31&lt;&gt;"Included Margin"),0,1),0))</f>
        <v>0.06</v>
      </c>
      <c r="AB714" s="147">
        <f>IF($E714="","",IF(AND($B714&gt;Input!$C$9,Summary!$D$31&lt;&gt;"Included Margin"),1,IF(Summary!$D$25="Included Margin",VLOOKUP($B714,'Mortality Margins &amp; Grading'!$AI$5:$AR$125,MATCH('Mortality Margins &amp; Grading'!$AQ$4,'Mortality Margins &amp; Grading'!$AI$4:$AR$4,0),0),1)))</f>
        <v>0</v>
      </c>
      <c r="AC714" s="154"/>
      <c r="AD714" s="158">
        <f>IF(E714="","",Input!$C$48*IF(Summary!$D$30="Included Margin",IF(AND($B714&gt;Input!$C$9,Summary!$D$31&lt;&gt;"Included Margin"),0,1),0))</f>
        <v>-4.4999999999999997E-3</v>
      </c>
      <c r="AE714" s="159">
        <f>IF(E714="","",IF(Summary!$D$26="Included Margin",IF(AND($B714&gt;Input!$C$9,Summary!$D$31&lt;&gt;"Included Margin"),1,1/$R714),1))</f>
        <v>1.3441205964662872</v>
      </c>
      <c r="AF714" s="160">
        <f>IF(E714="","",IF(AND($B714&gt;=Input!$C$9,$C714=12,Summary!$D$31="Included Margin",$U714&gt;0),1/U714-1,IF($B714&gt;=Input!$C$9,0,Input!$C$45*IF(Summary!$D$27="Included Margin",1,0))))</f>
        <v>0</v>
      </c>
      <c r="AG714" s="160">
        <f>IF(E714="","",Input!$C$46*IF(Summary!$D$28="Included Margin",IF(AND($B714&gt;Input!$C$9,Summary!$D$31&lt;&gt;"Included Margin"),0,1),0))</f>
        <v>0.02</v>
      </c>
      <c r="AH714" s="158">
        <f>IF(E714="","",Input!$C$47*IF(Summary!$D$29="Included Margin",IF(AND($B714&gt;Input!$C$9,Summary!$D$31&lt;&gt;"Included Margin"),0,1),0))</f>
        <v>2.5000000000000001E-3</v>
      </c>
      <c r="AI714" s="154"/>
      <c r="AJ714" s="158">
        <f t="shared" si="481"/>
        <v>4.3439999999999999E-2</v>
      </c>
      <c r="AK714" s="155">
        <f t="shared" si="482"/>
        <v>3.5498648217830997E-3</v>
      </c>
      <c r="AL714" s="147">
        <f t="shared" si="483"/>
        <v>1</v>
      </c>
      <c r="AM714" s="147">
        <f t="shared" si="461"/>
        <v>1</v>
      </c>
      <c r="AN714" s="160">
        <f t="shared" si="484"/>
        <v>0</v>
      </c>
      <c r="AO714" s="161">
        <f t="shared" si="485"/>
        <v>0</v>
      </c>
      <c r="AP714" s="156">
        <f t="shared" si="462"/>
        <v>3.7165132380893664</v>
      </c>
      <c r="AQ714" s="152"/>
      <c r="AR714" s="162">
        <f t="shared" si="463"/>
        <v>99822.82123923584</v>
      </c>
      <c r="AS714" s="150">
        <f t="shared" si="486"/>
        <v>0</v>
      </c>
      <c r="AT714" s="163">
        <f t="shared" si="464"/>
        <v>0</v>
      </c>
      <c r="AU714" s="163">
        <f t="shared" si="465"/>
        <v>100000</v>
      </c>
      <c r="AV714" s="163">
        <f t="shared" si="487"/>
        <v>176.86428043915117</v>
      </c>
      <c r="AW714" s="163">
        <f t="shared" si="466"/>
        <v>99823.135719560843</v>
      </c>
      <c r="AX714" s="163">
        <f t="shared" si="467"/>
        <v>0</v>
      </c>
      <c r="AY714" s="165">
        <f t="shared" si="488"/>
        <v>99822.82123923584</v>
      </c>
      <c r="AZ714" s="164">
        <f>IF($E714="","",IF(OR(AND($D714=Input!$C$6,$C714=12),$AN714=1),0,-AS715+AT715+AU715-AV715-AW715-AX715+AZ715))</f>
        <v>99823.135719560843</v>
      </c>
      <c r="BA714" s="154">
        <f t="shared" si="468"/>
        <v>0.31448032500338741</v>
      </c>
      <c r="BC714" s="147">
        <f t="shared" si="489"/>
        <v>1.5477222353955528E-10</v>
      </c>
      <c r="BD714" s="164">
        <f>IF(AND($C713=12,$D713=Input!$C$6),0,IF($E714="","",AT714+(AU714+BD715)/(1+$AK714)*MIN((1-AM714-AN714),1)))</f>
        <v>0</v>
      </c>
      <c r="BE714" s="164">
        <f t="shared" si="469"/>
        <v>0</v>
      </c>
      <c r="BF714" s="164">
        <f t="shared" si="490"/>
        <v>99823.135719560843</v>
      </c>
      <c r="BG714" s="164">
        <f t="shared" si="470"/>
        <v>1.5449848676007238E-5</v>
      </c>
      <c r="BH714" s="152"/>
      <c r="BI714" s="162">
        <f t="shared" si="471"/>
        <v>61427.581593785959</v>
      </c>
      <c r="BJ714" s="150">
        <f t="shared" si="472"/>
        <v>0</v>
      </c>
      <c r="BK714" s="163">
        <f t="shared" si="494"/>
        <v>0</v>
      </c>
      <c r="BL714" s="163">
        <f t="shared" si="473"/>
        <v>10733.322790352262</v>
      </c>
      <c r="BM714" s="163">
        <f t="shared" si="495"/>
        <v>219.18798569021627</v>
      </c>
      <c r="BN714" s="163">
        <f t="shared" si="474"/>
        <v>6121.7793162283342</v>
      </c>
      <c r="BO714" s="163">
        <f t="shared" si="475"/>
        <v>0</v>
      </c>
      <c r="BP714" s="164">
        <f t="shared" si="496"/>
        <v>57035.226105352245</v>
      </c>
      <c r="BQ714" s="164">
        <f>IF($E714="","",IF(AND($D714=Input!$C$6,$C714=12),0,-BJ715+BK715+BL715-BM715-BN715-BO715+BQ715))</f>
        <v>57035.26704452555</v>
      </c>
      <c r="BR714" s="161">
        <f t="shared" si="476"/>
        <v>0</v>
      </c>
      <c r="BT714" s="147">
        <f t="shared" si="477"/>
        <v>1.5477222353955528E-10</v>
      </c>
      <c r="BU714" s="164">
        <f>IF(AND($C713=12,$D713=Input!$C$6),0,IF($E714="","",BK714+(BL714+BU715)/(1+$AK714)*MIN((1-T714-U714),1)))</f>
        <v>82627.669045832852</v>
      </c>
      <c r="BV714" s="164">
        <f t="shared" si="478"/>
        <v>1.2788468064114035E-5</v>
      </c>
      <c r="BW714" s="164">
        <f t="shared" si="479"/>
        <v>57035.26704452555</v>
      </c>
      <c r="BX714" s="164">
        <f t="shared" si="480"/>
        <v>8.8274751006535381E-6</v>
      </c>
    </row>
    <row r="715" spans="1:76" s="150" customFormat="1" x14ac:dyDescent="0.25">
      <c r="A715" s="150">
        <f t="shared" si="491"/>
        <v>711</v>
      </c>
      <c r="B715" s="150">
        <f t="shared" si="492"/>
        <v>60</v>
      </c>
      <c r="C715" s="150">
        <f t="shared" si="493"/>
        <v>3</v>
      </c>
      <c r="D715" s="150">
        <f>IF(E715="","",Input!$C$4+B715-1)</f>
        <v>104</v>
      </c>
      <c r="E715" s="150">
        <f>IF(OR(AND(C714=12,D714=Input!$C$6),E714=""),"",1)</f>
        <v>1</v>
      </c>
      <c r="F715" s="150">
        <f>IF(E715="","",Input!$C$8+B715-1)</f>
        <v>2077</v>
      </c>
      <c r="G715" s="151">
        <f>IF(E715="","",MAX(0,Input!$C$9-B715))</f>
        <v>0</v>
      </c>
      <c r="H715" s="152">
        <f>IF(E715="","",Input!$C$3)</f>
        <v>100000</v>
      </c>
      <c r="I715" s="153">
        <f>IF(E715="","",HLOOKUP($B715,Input!$C$13:$BT$14,2))</f>
        <v>1000</v>
      </c>
      <c r="J715" s="154"/>
      <c r="K715" s="155">
        <f>IF($E715="","",INDEX(Input!$C$16:$CP$16,1,$B715))</f>
        <v>3.2939999999999997E-2</v>
      </c>
      <c r="L715" s="155">
        <f>IF($E715="","",Input!$C$37)</f>
        <v>1.4999999999999999E-2</v>
      </c>
      <c r="M715" s="155">
        <f t="shared" si="456"/>
        <v>4.7939999999999997E-2</v>
      </c>
      <c r="N715" s="155">
        <f t="shared" si="457"/>
        <v>3.9098178359129321E-3</v>
      </c>
      <c r="O715" s="147">
        <f>IF($E715="","",MIN(VLOOKUP(IF($B715&lt;=Input!$C$7,$B715,26),'Mortality Tables'!$A$41:$CW$67,IF($B715&lt;=Input!$C$7+1,Input!$C$4+2,$D715-Input!$C$7+2),0)*IF(B715&gt;20,Input!$C$22,1)/1000,1))</f>
        <v>1</v>
      </c>
      <c r="P715" s="147">
        <f>IF($E715="","",MIN(VLOOKUP(IF($B715&lt;=Input!$C$7,$B715,26),'Mortality Tables'!$A$12:$CW$37,IF($B715&lt;=Input!$C$7+1,Input!$C$4+2,$D715-Input!$C$7+2),0)*IF(B715&gt;20,Input!$C$22,1)/1000,1))</f>
        <v>1</v>
      </c>
      <c r="Q715" s="155">
        <f>IF($E715="","",Input!$C$21)</f>
        <v>5.0000000000000001E-3</v>
      </c>
      <c r="R715" s="159">
        <f>IF($E715="","",(1-Q715)^($F715-Input!$C$20))</f>
        <v>0.74398086200673863</v>
      </c>
      <c r="S715" s="147">
        <f t="shared" si="459"/>
        <v>0.74398086200673863</v>
      </c>
      <c r="T715" s="147">
        <f t="shared" si="460"/>
        <v>0.10733322790352262</v>
      </c>
      <c r="U715" s="160">
        <f>IF($E715="","",IF($C715=12,INDEX(Input!$C$15:$CP$15,1,$B715),0))</f>
        <v>0</v>
      </c>
      <c r="V715" s="150">
        <f>IF(E715="","",IF(C715=1,IF($B715=1,Input!$C$33,Input!$C$34),0))</f>
        <v>0</v>
      </c>
      <c r="W715" s="156">
        <f>IF($E715="","",Input!$C$35)</f>
        <v>0.02</v>
      </c>
      <c r="X715" s="156">
        <f t="shared" si="458"/>
        <v>3.2166968513386403</v>
      </c>
      <c r="Y715" s="154"/>
      <c r="Z715" s="147">
        <f>IF($E715="","",VLOOKUP($D715,'Mortality Margins &amp; Grading'!$AB$5:$AF$125,3,0)*IF(Summary!$D$25="Included Margin",IF(AND($B715&gt;Input!$C$9,Summary!$D$31&lt;&gt;"Included Margin"),0,1),0))</f>
        <v>1.2E-2</v>
      </c>
      <c r="AA715" s="147">
        <f>IF($E715="","",VLOOKUP($D715,'Mortality Margins &amp; Grading'!$AB$5:$AF$125,5,0)*IF(Summary!$D$25="Included Margin",IF(AND($B715&gt;Input!$C$9,Summary!$D$31&lt;&gt;"Included Margin"),0,1),0))</f>
        <v>0.06</v>
      </c>
      <c r="AB715" s="147">
        <f>IF($E715="","",IF(AND($B715&gt;Input!$C$9,Summary!$D$31&lt;&gt;"Included Margin"),1,IF(Summary!$D$25="Included Margin",VLOOKUP($B715,'Mortality Margins &amp; Grading'!$AI$5:$AR$125,MATCH('Mortality Margins &amp; Grading'!$AQ$4,'Mortality Margins &amp; Grading'!$AI$4:$AR$4,0),0),1)))</f>
        <v>0</v>
      </c>
      <c r="AC715" s="154"/>
      <c r="AD715" s="158">
        <f>IF(E715="","",Input!$C$48*IF(Summary!$D$30="Included Margin",IF(AND($B715&gt;Input!$C$9,Summary!$D$31&lt;&gt;"Included Margin"),0,1),0))</f>
        <v>-4.4999999999999997E-3</v>
      </c>
      <c r="AE715" s="159">
        <f>IF(E715="","",IF(Summary!$D$26="Included Margin",IF(AND($B715&gt;Input!$C$9,Summary!$D$31&lt;&gt;"Included Margin"),1,1/$R715),1))</f>
        <v>1.3441205964662872</v>
      </c>
      <c r="AF715" s="160">
        <f>IF(E715="","",IF(AND($B715&gt;=Input!$C$9,$C715=12,Summary!$D$31="Included Margin",$U715&gt;0),1/U715-1,IF($B715&gt;=Input!$C$9,0,Input!$C$45*IF(Summary!$D$27="Included Margin",1,0))))</f>
        <v>0</v>
      </c>
      <c r="AG715" s="160">
        <f>IF(E715="","",Input!$C$46*IF(Summary!$D$28="Included Margin",IF(AND($B715&gt;Input!$C$9,Summary!$D$31&lt;&gt;"Included Margin"),0,1),0))</f>
        <v>0.02</v>
      </c>
      <c r="AH715" s="158">
        <f>IF(E715="","",Input!$C$47*IF(Summary!$D$29="Included Margin",IF(AND($B715&gt;Input!$C$9,Summary!$D$31&lt;&gt;"Included Margin"),0,1),0))</f>
        <v>2.5000000000000001E-3</v>
      </c>
      <c r="AI715" s="154"/>
      <c r="AJ715" s="158">
        <f t="shared" si="481"/>
        <v>4.3439999999999999E-2</v>
      </c>
      <c r="AK715" s="155">
        <f t="shared" si="482"/>
        <v>3.5498648217830997E-3</v>
      </c>
      <c r="AL715" s="147">
        <f t="shared" si="483"/>
        <v>1</v>
      </c>
      <c r="AM715" s="147">
        <f t="shared" si="461"/>
        <v>1</v>
      </c>
      <c r="AN715" s="160">
        <f t="shared" si="484"/>
        <v>0</v>
      </c>
      <c r="AO715" s="161">
        <f t="shared" si="485"/>
        <v>0</v>
      </c>
      <c r="AP715" s="156">
        <f t="shared" si="462"/>
        <v>3.7165132380893664</v>
      </c>
      <c r="AQ715" s="152"/>
      <c r="AR715" s="162">
        <f t="shared" si="463"/>
        <v>99822.82123923584</v>
      </c>
      <c r="AS715" s="150">
        <f t="shared" si="486"/>
        <v>0</v>
      </c>
      <c r="AT715" s="163">
        <f t="shared" si="464"/>
        <v>0</v>
      </c>
      <c r="AU715" s="163">
        <f t="shared" si="465"/>
        <v>100000</v>
      </c>
      <c r="AV715" s="163">
        <f t="shared" si="487"/>
        <v>176.86428043915117</v>
      </c>
      <c r="AW715" s="163">
        <f t="shared" si="466"/>
        <v>99823.135719560843</v>
      </c>
      <c r="AX715" s="163">
        <f t="shared" si="467"/>
        <v>0</v>
      </c>
      <c r="AY715" s="164">
        <f t="shared" si="488"/>
        <v>99822.82123923584</v>
      </c>
      <c r="AZ715" s="164">
        <f>IF($E715="","",IF(OR(AND($D715=Input!$C$6,$C715=12),$AN715=1),0,-AS716+AT716+AU716-AV716-AW716-AX716+AZ716))</f>
        <v>99823.135719560843</v>
      </c>
      <c r="BA715" s="154">
        <f t="shared" si="468"/>
        <v>0.31448032500338741</v>
      </c>
      <c r="BC715" s="147">
        <f t="shared" si="489"/>
        <v>1.3816002119724925E-10</v>
      </c>
      <c r="BD715" s="164">
        <f>IF(AND($C714=12,$D714=Input!$C$6),0,IF($E715="","",AT715+(AU715+BD716)/(1+$AK715)*MIN((1-AM715-AN715),1)))</f>
        <v>0</v>
      </c>
      <c r="BE715" s="164">
        <f t="shared" si="469"/>
        <v>0</v>
      </c>
      <c r="BF715" s="164">
        <f t="shared" si="490"/>
        <v>99823.135719560843</v>
      </c>
      <c r="BG715" s="164">
        <f t="shared" si="470"/>
        <v>1.3791566546990415E-5</v>
      </c>
      <c r="BH715" s="152"/>
      <c r="BI715" s="162">
        <f t="shared" si="471"/>
        <v>57035.226105352238</v>
      </c>
      <c r="BJ715" s="150">
        <f t="shared" si="472"/>
        <v>0</v>
      </c>
      <c r="BK715" s="163">
        <f t="shared" si="494"/>
        <v>0</v>
      </c>
      <c r="BL715" s="163">
        <f t="shared" si="473"/>
        <v>10733.322790352262</v>
      </c>
      <c r="BM715" s="163">
        <f t="shared" si="495"/>
        <v>202.01467585986805</v>
      </c>
      <c r="BN715" s="163">
        <f t="shared" si="474"/>
        <v>5591.5826356241287</v>
      </c>
      <c r="BO715" s="163">
        <f t="shared" si="475"/>
        <v>0</v>
      </c>
      <c r="BP715" s="164">
        <f t="shared" si="496"/>
        <v>52095.500626483976</v>
      </c>
      <c r="BQ715" s="164">
        <f>IF($E715="","",IF(AND($D715=Input!$C$6,$C715=12),0,-BJ716+BK716+BL716-BM716-BN716-BO716+BQ716))</f>
        <v>52095.54156565728</v>
      </c>
      <c r="BR715" s="161">
        <f t="shared" si="476"/>
        <v>0</v>
      </c>
      <c r="BT715" s="147">
        <f t="shared" si="477"/>
        <v>1.3816002119724925E-10</v>
      </c>
      <c r="BU715" s="164">
        <f>IF(AND($C714=12,$D714=Input!$C$6),0,IF($E715="","",BK715+(BL715+BU716)/(1+$AK715)*MIN((1-T715-U715),1)))</f>
        <v>82157.98748743489</v>
      </c>
      <c r="BV715" s="164">
        <f t="shared" si="478"/>
        <v>1.1350949292787344E-5</v>
      </c>
      <c r="BW715" s="164">
        <f t="shared" si="479"/>
        <v>52095.54156565728</v>
      </c>
      <c r="BX715" s="164">
        <f t="shared" si="480"/>
        <v>7.1975211269933891E-6</v>
      </c>
    </row>
    <row r="716" spans="1:76" s="150" customFormat="1" x14ac:dyDescent="0.25">
      <c r="A716" s="150">
        <f t="shared" si="491"/>
        <v>712</v>
      </c>
      <c r="B716" s="150">
        <f t="shared" si="492"/>
        <v>60</v>
      </c>
      <c r="C716" s="150">
        <f t="shared" si="493"/>
        <v>4</v>
      </c>
      <c r="D716" s="150">
        <f>IF(E716="","",Input!$C$4+B716-1)</f>
        <v>104</v>
      </c>
      <c r="E716" s="150">
        <f>IF(OR(AND(C715=12,D715=Input!$C$6),E715=""),"",1)</f>
        <v>1</v>
      </c>
      <c r="F716" s="150">
        <f>IF(E716="","",Input!$C$8+B716-1)</f>
        <v>2077</v>
      </c>
      <c r="G716" s="151">
        <f>IF(E716="","",MAX(0,Input!$C$9-B716))</f>
        <v>0</v>
      </c>
      <c r="H716" s="152">
        <f>IF(E716="","",Input!$C$3)</f>
        <v>100000</v>
      </c>
      <c r="I716" s="153">
        <f>IF(E716="","",HLOOKUP($B716,Input!$C$13:$BT$14,2))</f>
        <v>1000</v>
      </c>
      <c r="J716" s="154"/>
      <c r="K716" s="155">
        <f>IF($E716="","",INDEX(Input!$C$16:$CP$16,1,$B716))</f>
        <v>3.2939999999999997E-2</v>
      </c>
      <c r="L716" s="155">
        <f>IF($E716="","",Input!$C$37)</f>
        <v>1.4999999999999999E-2</v>
      </c>
      <c r="M716" s="155">
        <f t="shared" si="456"/>
        <v>4.7939999999999997E-2</v>
      </c>
      <c r="N716" s="155">
        <f t="shared" si="457"/>
        <v>3.9098178359129321E-3</v>
      </c>
      <c r="O716" s="147">
        <f>IF($E716="","",MIN(VLOOKUP(IF($B716&lt;=Input!$C$7,$B716,26),'Mortality Tables'!$A$41:$CW$67,IF($B716&lt;=Input!$C$7+1,Input!$C$4+2,$D716-Input!$C$7+2),0)*IF(B716&gt;20,Input!$C$22,1)/1000,1))</f>
        <v>1</v>
      </c>
      <c r="P716" s="147">
        <f>IF($E716="","",MIN(VLOOKUP(IF($B716&lt;=Input!$C$7,$B716,26),'Mortality Tables'!$A$12:$CW$37,IF($B716&lt;=Input!$C$7+1,Input!$C$4+2,$D716-Input!$C$7+2),0)*IF(B716&gt;20,Input!$C$22,1)/1000,1))</f>
        <v>1</v>
      </c>
      <c r="Q716" s="155">
        <f>IF($E716="","",Input!$C$21)</f>
        <v>5.0000000000000001E-3</v>
      </c>
      <c r="R716" s="159">
        <f>IF($E716="","",(1-Q716)^($F716-Input!$C$20))</f>
        <v>0.74398086200673863</v>
      </c>
      <c r="S716" s="147">
        <f t="shared" si="459"/>
        <v>0.74398086200673863</v>
      </c>
      <c r="T716" s="147">
        <f t="shared" si="460"/>
        <v>0.10733322790352262</v>
      </c>
      <c r="U716" s="160">
        <f>IF($E716="","",IF($C716=12,INDEX(Input!$C$15:$CP$15,1,$B716),0))</f>
        <v>0</v>
      </c>
      <c r="V716" s="150">
        <f>IF(E716="","",IF(C716=1,IF($B716=1,Input!$C$33,Input!$C$34),0))</f>
        <v>0</v>
      </c>
      <c r="W716" s="156">
        <f>IF($E716="","",Input!$C$35)</f>
        <v>0.02</v>
      </c>
      <c r="X716" s="156">
        <f t="shared" si="458"/>
        <v>3.2166968513386403</v>
      </c>
      <c r="Y716" s="154"/>
      <c r="Z716" s="147">
        <f>IF($E716="","",VLOOKUP($D716,'Mortality Margins &amp; Grading'!$AB$5:$AF$125,3,0)*IF(Summary!$D$25="Included Margin",IF(AND($B716&gt;Input!$C$9,Summary!$D$31&lt;&gt;"Included Margin"),0,1),0))</f>
        <v>1.2E-2</v>
      </c>
      <c r="AA716" s="147">
        <f>IF($E716="","",VLOOKUP($D716,'Mortality Margins &amp; Grading'!$AB$5:$AF$125,5,0)*IF(Summary!$D$25="Included Margin",IF(AND($B716&gt;Input!$C$9,Summary!$D$31&lt;&gt;"Included Margin"),0,1),0))</f>
        <v>0.06</v>
      </c>
      <c r="AB716" s="147">
        <f>IF($E716="","",IF(AND($B716&gt;Input!$C$9,Summary!$D$31&lt;&gt;"Included Margin"),1,IF(Summary!$D$25="Included Margin",VLOOKUP($B716,'Mortality Margins &amp; Grading'!$AI$5:$AR$125,MATCH('Mortality Margins &amp; Grading'!$AQ$4,'Mortality Margins &amp; Grading'!$AI$4:$AR$4,0),0),1)))</f>
        <v>0</v>
      </c>
      <c r="AC716" s="154"/>
      <c r="AD716" s="158">
        <f>IF(E716="","",Input!$C$48*IF(Summary!$D$30="Included Margin",IF(AND($B716&gt;Input!$C$9,Summary!$D$31&lt;&gt;"Included Margin"),0,1),0))</f>
        <v>-4.4999999999999997E-3</v>
      </c>
      <c r="AE716" s="159">
        <f>IF(E716="","",IF(Summary!$D$26="Included Margin",IF(AND($B716&gt;Input!$C$9,Summary!$D$31&lt;&gt;"Included Margin"),1,1/$R716),1))</f>
        <v>1.3441205964662872</v>
      </c>
      <c r="AF716" s="160">
        <f>IF(E716="","",IF(AND($B716&gt;=Input!$C$9,$C716=12,Summary!$D$31="Included Margin",$U716&gt;0),1/U716-1,IF($B716&gt;=Input!$C$9,0,Input!$C$45*IF(Summary!$D$27="Included Margin",1,0))))</f>
        <v>0</v>
      </c>
      <c r="AG716" s="160">
        <f>IF(E716="","",Input!$C$46*IF(Summary!$D$28="Included Margin",IF(AND($B716&gt;Input!$C$9,Summary!$D$31&lt;&gt;"Included Margin"),0,1),0))</f>
        <v>0.02</v>
      </c>
      <c r="AH716" s="158">
        <f>IF(E716="","",Input!$C$47*IF(Summary!$D$29="Included Margin",IF(AND($B716&gt;Input!$C$9,Summary!$D$31&lt;&gt;"Included Margin"),0,1),0))</f>
        <v>2.5000000000000001E-3</v>
      </c>
      <c r="AI716" s="154"/>
      <c r="AJ716" s="158">
        <f t="shared" si="481"/>
        <v>4.3439999999999999E-2</v>
      </c>
      <c r="AK716" s="155">
        <f t="shared" si="482"/>
        <v>3.5498648217830997E-3</v>
      </c>
      <c r="AL716" s="147">
        <f t="shared" si="483"/>
        <v>1</v>
      </c>
      <c r="AM716" s="147">
        <f t="shared" si="461"/>
        <v>1</v>
      </c>
      <c r="AN716" s="160">
        <f t="shared" si="484"/>
        <v>0</v>
      </c>
      <c r="AO716" s="161">
        <f t="shared" si="485"/>
        <v>0</v>
      </c>
      <c r="AP716" s="156">
        <f t="shared" si="462"/>
        <v>3.7165132380893664</v>
      </c>
      <c r="AQ716" s="152"/>
      <c r="AR716" s="162">
        <f t="shared" si="463"/>
        <v>99822.82123923584</v>
      </c>
      <c r="AS716" s="150">
        <f t="shared" si="486"/>
        <v>0</v>
      </c>
      <c r="AT716" s="163">
        <f t="shared" si="464"/>
        <v>0</v>
      </c>
      <c r="AU716" s="163">
        <f t="shared" si="465"/>
        <v>100000</v>
      </c>
      <c r="AV716" s="163">
        <f t="shared" si="487"/>
        <v>176.86428043915117</v>
      </c>
      <c r="AW716" s="163">
        <f t="shared" si="466"/>
        <v>99823.135719560843</v>
      </c>
      <c r="AX716" s="163">
        <f t="shared" si="467"/>
        <v>0</v>
      </c>
      <c r="AY716" s="165">
        <f t="shared" si="488"/>
        <v>99822.82123923584</v>
      </c>
      <c r="AZ716" s="164">
        <f>IF($E716="","",IF(OR(AND($D716=Input!$C$6,$C716=12),$AN716=1),0,-AS717+AT717+AU717-AV717-AW717-AX717+AZ717))</f>
        <v>99823.135719560843</v>
      </c>
      <c r="BA716" s="154">
        <f t="shared" si="468"/>
        <v>0.31448032500338741</v>
      </c>
      <c r="BC716" s="147">
        <f t="shared" si="489"/>
        <v>1.2333086015492939E-10</v>
      </c>
      <c r="BD716" s="164">
        <f>IF(AND($C715=12,$D715=Input!$C$6),0,IF($E716="","",AT716+(AU716+BD717)/(1+$AK716)*MIN((1-AM716-AN716),1)))</f>
        <v>0</v>
      </c>
      <c r="BE716" s="164">
        <f t="shared" si="469"/>
        <v>0</v>
      </c>
      <c r="BF716" s="164">
        <f t="shared" si="490"/>
        <v>99823.135719560843</v>
      </c>
      <c r="BG716" s="164">
        <f t="shared" si="470"/>
        <v>1.2311273191655695E-5</v>
      </c>
      <c r="BH716" s="152"/>
      <c r="BI716" s="162">
        <f t="shared" si="471"/>
        <v>52095.500626483976</v>
      </c>
      <c r="BJ716" s="150">
        <f t="shared" si="472"/>
        <v>0</v>
      </c>
      <c r="BK716" s="163">
        <f t="shared" si="494"/>
        <v>0</v>
      </c>
      <c r="BL716" s="163">
        <f t="shared" si="473"/>
        <v>10733.322790352262</v>
      </c>
      <c r="BM716" s="163">
        <f t="shared" si="495"/>
        <v>182.70124907807536</v>
      </c>
      <c r="BN716" s="163">
        <f t="shared" si="474"/>
        <v>4995.3134905404504</v>
      </c>
      <c r="BO716" s="163">
        <f t="shared" si="475"/>
        <v>0</v>
      </c>
      <c r="BP716" s="164">
        <f t="shared" si="496"/>
        <v>46540.192575750239</v>
      </c>
      <c r="BQ716" s="164">
        <f>IF($E716="","",IF(AND($D716=Input!$C$6,$C716=12),0,-BJ717+BK717+BL717-BM717-BN717-BO717+BQ717))</f>
        <v>46540.233514923544</v>
      </c>
      <c r="BR716" s="161">
        <f t="shared" si="476"/>
        <v>0</v>
      </c>
      <c r="BT716" s="147">
        <f t="shared" si="477"/>
        <v>1.2333086015492939E-10</v>
      </c>
      <c r="BU716" s="164">
        <f>IF(AND($C715=12,$D715=Input!$C$6),0,IF($E716="","",BK716+(BL716+BU717)/(1+$AK716)*MIN((1-T716-U716),1)))</f>
        <v>81629.964176639347</v>
      </c>
      <c r="BV716" s="164">
        <f t="shared" si="478"/>
        <v>1.0067493696321002E-5</v>
      </c>
      <c r="BW716" s="164">
        <f t="shared" si="479"/>
        <v>46540.233514923544</v>
      </c>
      <c r="BX716" s="164">
        <f t="shared" si="480"/>
        <v>5.7398470312067935E-6</v>
      </c>
    </row>
    <row r="717" spans="1:76" s="150" customFormat="1" x14ac:dyDescent="0.25">
      <c r="A717" s="150">
        <f t="shared" si="491"/>
        <v>713</v>
      </c>
      <c r="B717" s="150">
        <f t="shared" si="492"/>
        <v>60</v>
      </c>
      <c r="C717" s="150">
        <f t="shared" si="493"/>
        <v>5</v>
      </c>
      <c r="D717" s="150">
        <f>IF(E717="","",Input!$C$4+B717-1)</f>
        <v>104</v>
      </c>
      <c r="E717" s="150">
        <f>IF(OR(AND(C716=12,D716=Input!$C$6),E716=""),"",1)</f>
        <v>1</v>
      </c>
      <c r="F717" s="150">
        <f>IF(E717="","",Input!$C$8+B717-1)</f>
        <v>2077</v>
      </c>
      <c r="G717" s="151">
        <f>IF(E717="","",MAX(0,Input!$C$9-B717))</f>
        <v>0</v>
      </c>
      <c r="H717" s="152">
        <f>IF(E717="","",Input!$C$3)</f>
        <v>100000</v>
      </c>
      <c r="I717" s="153">
        <f>IF(E717="","",HLOOKUP($B717,Input!$C$13:$BT$14,2))</f>
        <v>1000</v>
      </c>
      <c r="J717" s="154"/>
      <c r="K717" s="155">
        <f>IF($E717="","",INDEX(Input!$C$16:$CP$16,1,$B717))</f>
        <v>3.2939999999999997E-2</v>
      </c>
      <c r="L717" s="155">
        <f>IF($E717="","",Input!$C$37)</f>
        <v>1.4999999999999999E-2</v>
      </c>
      <c r="M717" s="155">
        <f t="shared" si="456"/>
        <v>4.7939999999999997E-2</v>
      </c>
      <c r="N717" s="155">
        <f t="shared" si="457"/>
        <v>3.9098178359129321E-3</v>
      </c>
      <c r="O717" s="147">
        <f>IF($E717="","",MIN(VLOOKUP(IF($B717&lt;=Input!$C$7,$B717,26),'Mortality Tables'!$A$41:$CW$67,IF($B717&lt;=Input!$C$7+1,Input!$C$4+2,$D717-Input!$C$7+2),0)*IF(B717&gt;20,Input!$C$22,1)/1000,1))</f>
        <v>1</v>
      </c>
      <c r="P717" s="147">
        <f>IF($E717="","",MIN(VLOOKUP(IF($B717&lt;=Input!$C$7,$B717,26),'Mortality Tables'!$A$12:$CW$37,IF($B717&lt;=Input!$C$7+1,Input!$C$4+2,$D717-Input!$C$7+2),0)*IF(B717&gt;20,Input!$C$22,1)/1000,1))</f>
        <v>1</v>
      </c>
      <c r="Q717" s="155">
        <f>IF($E717="","",Input!$C$21)</f>
        <v>5.0000000000000001E-3</v>
      </c>
      <c r="R717" s="159">
        <f>IF($E717="","",(1-Q717)^($F717-Input!$C$20))</f>
        <v>0.74398086200673863</v>
      </c>
      <c r="S717" s="147">
        <f t="shared" si="459"/>
        <v>0.74398086200673863</v>
      </c>
      <c r="T717" s="147">
        <f t="shared" si="460"/>
        <v>0.10733322790352262</v>
      </c>
      <c r="U717" s="160">
        <f>IF($E717="","",IF($C717=12,INDEX(Input!$C$15:$CP$15,1,$B717),0))</f>
        <v>0</v>
      </c>
      <c r="V717" s="150">
        <f>IF(E717="","",IF(C717=1,IF($B717=1,Input!$C$33,Input!$C$34),0))</f>
        <v>0</v>
      </c>
      <c r="W717" s="156">
        <f>IF($E717="","",Input!$C$35)</f>
        <v>0.02</v>
      </c>
      <c r="X717" s="156">
        <f t="shared" si="458"/>
        <v>3.2166968513386403</v>
      </c>
      <c r="Y717" s="154"/>
      <c r="Z717" s="147">
        <f>IF($E717="","",VLOOKUP($D717,'Mortality Margins &amp; Grading'!$AB$5:$AF$125,3,0)*IF(Summary!$D$25="Included Margin",IF(AND($B717&gt;Input!$C$9,Summary!$D$31&lt;&gt;"Included Margin"),0,1),0))</f>
        <v>1.2E-2</v>
      </c>
      <c r="AA717" s="147">
        <f>IF($E717="","",VLOOKUP($D717,'Mortality Margins &amp; Grading'!$AB$5:$AF$125,5,0)*IF(Summary!$D$25="Included Margin",IF(AND($B717&gt;Input!$C$9,Summary!$D$31&lt;&gt;"Included Margin"),0,1),0))</f>
        <v>0.06</v>
      </c>
      <c r="AB717" s="147">
        <f>IF($E717="","",IF(AND($B717&gt;Input!$C$9,Summary!$D$31&lt;&gt;"Included Margin"),1,IF(Summary!$D$25="Included Margin",VLOOKUP($B717,'Mortality Margins &amp; Grading'!$AI$5:$AR$125,MATCH('Mortality Margins &amp; Grading'!$AQ$4,'Mortality Margins &amp; Grading'!$AI$4:$AR$4,0),0),1)))</f>
        <v>0</v>
      </c>
      <c r="AC717" s="154"/>
      <c r="AD717" s="158">
        <f>IF(E717="","",Input!$C$48*IF(Summary!$D$30="Included Margin",IF(AND($B717&gt;Input!$C$9,Summary!$D$31&lt;&gt;"Included Margin"),0,1),0))</f>
        <v>-4.4999999999999997E-3</v>
      </c>
      <c r="AE717" s="159">
        <f>IF(E717="","",IF(Summary!$D$26="Included Margin",IF(AND($B717&gt;Input!$C$9,Summary!$D$31&lt;&gt;"Included Margin"),1,1/$R717),1))</f>
        <v>1.3441205964662872</v>
      </c>
      <c r="AF717" s="160">
        <f>IF(E717="","",IF(AND($B717&gt;=Input!$C$9,$C717=12,Summary!$D$31="Included Margin",$U717&gt;0),1/U717-1,IF($B717&gt;=Input!$C$9,0,Input!$C$45*IF(Summary!$D$27="Included Margin",1,0))))</f>
        <v>0</v>
      </c>
      <c r="AG717" s="160">
        <f>IF(E717="","",Input!$C$46*IF(Summary!$D$28="Included Margin",IF(AND($B717&gt;Input!$C$9,Summary!$D$31&lt;&gt;"Included Margin"),0,1),0))</f>
        <v>0.02</v>
      </c>
      <c r="AH717" s="158">
        <f>IF(E717="","",Input!$C$47*IF(Summary!$D$29="Included Margin",IF(AND($B717&gt;Input!$C$9,Summary!$D$31&lt;&gt;"Included Margin"),0,1),0))</f>
        <v>2.5000000000000001E-3</v>
      </c>
      <c r="AI717" s="154"/>
      <c r="AJ717" s="158">
        <f t="shared" si="481"/>
        <v>4.3439999999999999E-2</v>
      </c>
      <c r="AK717" s="155">
        <f t="shared" si="482"/>
        <v>3.5498648217830997E-3</v>
      </c>
      <c r="AL717" s="147">
        <f t="shared" si="483"/>
        <v>1</v>
      </c>
      <c r="AM717" s="147">
        <f t="shared" si="461"/>
        <v>1</v>
      </c>
      <c r="AN717" s="160">
        <f t="shared" si="484"/>
        <v>0</v>
      </c>
      <c r="AO717" s="161">
        <f t="shared" si="485"/>
        <v>0</v>
      </c>
      <c r="AP717" s="156">
        <f t="shared" si="462"/>
        <v>3.7165132380893664</v>
      </c>
      <c r="AQ717" s="152"/>
      <c r="AR717" s="162">
        <f t="shared" si="463"/>
        <v>99822.82123923584</v>
      </c>
      <c r="AS717" s="150">
        <f t="shared" si="486"/>
        <v>0</v>
      </c>
      <c r="AT717" s="163">
        <f t="shared" si="464"/>
        <v>0</v>
      </c>
      <c r="AU717" s="163">
        <f t="shared" si="465"/>
        <v>100000</v>
      </c>
      <c r="AV717" s="163">
        <f t="shared" si="487"/>
        <v>176.86428043915117</v>
      </c>
      <c r="AW717" s="163">
        <f t="shared" si="466"/>
        <v>99823.135719560843</v>
      </c>
      <c r="AX717" s="163">
        <f t="shared" si="467"/>
        <v>0</v>
      </c>
      <c r="AY717" s="164">
        <f t="shared" si="488"/>
        <v>99822.82123923584</v>
      </c>
      <c r="AZ717" s="164">
        <f>IF($E717="","",IF(OR(AND($D717=Input!$C$6,$C717=12),$AN717=1),0,-AS718+AT718+AU718-AV718-AW718-AX718+AZ718))</f>
        <v>99823.135719560843</v>
      </c>
      <c r="BA717" s="154">
        <f t="shared" si="468"/>
        <v>0.31448032500338741</v>
      </c>
      <c r="BC717" s="147">
        <f t="shared" si="489"/>
        <v>1.1009336083438287E-10</v>
      </c>
      <c r="BD717" s="164">
        <f>IF(AND($C716=12,$D716=Input!$C$6),0,IF($E717="","",AT717+(AU717+BD718)/(1+$AK717)*MIN((1-AM717-AN717),1)))</f>
        <v>0</v>
      </c>
      <c r="BE717" s="164">
        <f t="shared" si="469"/>
        <v>0</v>
      </c>
      <c r="BF717" s="164">
        <f t="shared" si="490"/>
        <v>99823.135719560843</v>
      </c>
      <c r="BG717" s="164">
        <f t="shared" si="470"/>
        <v>1.0989864500393185E-5</v>
      </c>
      <c r="BH717" s="152"/>
      <c r="BI717" s="162">
        <f t="shared" si="471"/>
        <v>46540.192575750239</v>
      </c>
      <c r="BJ717" s="150">
        <f t="shared" si="472"/>
        <v>0</v>
      </c>
      <c r="BK717" s="163">
        <f t="shared" si="494"/>
        <v>0</v>
      </c>
      <c r="BL717" s="163">
        <f t="shared" si="473"/>
        <v>10733.322790352262</v>
      </c>
      <c r="BM717" s="163">
        <f t="shared" si="495"/>
        <v>160.9810065773259</v>
      </c>
      <c r="BN717" s="163">
        <f t="shared" si="474"/>
        <v>4324.7380109398318</v>
      </c>
      <c r="BO717" s="163">
        <f t="shared" si="475"/>
        <v>0</v>
      </c>
      <c r="BP717" s="164">
        <f t="shared" si="496"/>
        <v>40292.588802915132</v>
      </c>
      <c r="BQ717" s="164">
        <f>IF($E717="","",IF(AND($D717=Input!$C$6,$C717=12),0,-BJ718+BK718+BL718-BM718-BN718-BO718+BQ718))</f>
        <v>40292.629742088437</v>
      </c>
      <c r="BR717" s="161">
        <f t="shared" si="476"/>
        <v>0</v>
      </c>
      <c r="BT717" s="147">
        <f t="shared" si="477"/>
        <v>1.1009336083438287E-10</v>
      </c>
      <c r="BU717" s="164">
        <f>IF(AND($C716=12,$D716=Input!$C$6),0,IF($E717="","",BK717+(BL717+BU718)/(1+$AK717)*MIN((1-T717-U717),1)))</f>
        <v>81036.35216067158</v>
      </c>
      <c r="BV717" s="164">
        <f t="shared" si="478"/>
        <v>8.9215643591269375E-6</v>
      </c>
      <c r="BW717" s="164">
        <f t="shared" si="479"/>
        <v>40292.629742088437</v>
      </c>
      <c r="BX717" s="164">
        <f t="shared" si="480"/>
        <v>4.4359510251619291E-6</v>
      </c>
    </row>
    <row r="718" spans="1:76" s="150" customFormat="1" x14ac:dyDescent="0.25">
      <c r="A718" s="150">
        <f t="shared" si="491"/>
        <v>714</v>
      </c>
      <c r="B718" s="150">
        <f t="shared" si="492"/>
        <v>60</v>
      </c>
      <c r="C718" s="150">
        <f t="shared" si="493"/>
        <v>6</v>
      </c>
      <c r="D718" s="150">
        <f>IF(E718="","",Input!$C$4+B718-1)</f>
        <v>104</v>
      </c>
      <c r="E718" s="150">
        <f>IF(OR(AND(C717=12,D717=Input!$C$6),E717=""),"",1)</f>
        <v>1</v>
      </c>
      <c r="F718" s="150">
        <f>IF(E718="","",Input!$C$8+B718-1)</f>
        <v>2077</v>
      </c>
      <c r="G718" s="151">
        <f>IF(E718="","",MAX(0,Input!$C$9-B718))</f>
        <v>0</v>
      </c>
      <c r="H718" s="152">
        <f>IF(E718="","",Input!$C$3)</f>
        <v>100000</v>
      </c>
      <c r="I718" s="153">
        <f>IF(E718="","",HLOOKUP($B718,Input!$C$13:$BT$14,2))</f>
        <v>1000</v>
      </c>
      <c r="J718" s="154"/>
      <c r="K718" s="155">
        <f>IF($E718="","",INDEX(Input!$C$16:$CP$16,1,$B718))</f>
        <v>3.2939999999999997E-2</v>
      </c>
      <c r="L718" s="155">
        <f>IF($E718="","",Input!$C$37)</f>
        <v>1.4999999999999999E-2</v>
      </c>
      <c r="M718" s="155">
        <f t="shared" si="456"/>
        <v>4.7939999999999997E-2</v>
      </c>
      <c r="N718" s="155">
        <f t="shared" si="457"/>
        <v>3.9098178359129321E-3</v>
      </c>
      <c r="O718" s="147">
        <f>IF($E718="","",MIN(VLOOKUP(IF($B718&lt;=Input!$C$7,$B718,26),'Mortality Tables'!$A$41:$CW$67,IF($B718&lt;=Input!$C$7+1,Input!$C$4+2,$D718-Input!$C$7+2),0)*IF(B718&gt;20,Input!$C$22,1)/1000,1))</f>
        <v>1</v>
      </c>
      <c r="P718" s="147">
        <f>IF($E718="","",MIN(VLOOKUP(IF($B718&lt;=Input!$C$7,$B718,26),'Mortality Tables'!$A$12:$CW$37,IF($B718&lt;=Input!$C$7+1,Input!$C$4+2,$D718-Input!$C$7+2),0)*IF(B718&gt;20,Input!$C$22,1)/1000,1))</f>
        <v>1</v>
      </c>
      <c r="Q718" s="155">
        <f>IF($E718="","",Input!$C$21)</f>
        <v>5.0000000000000001E-3</v>
      </c>
      <c r="R718" s="159">
        <f>IF($E718="","",(1-Q718)^($F718-Input!$C$20))</f>
        <v>0.74398086200673863</v>
      </c>
      <c r="S718" s="147">
        <f t="shared" si="459"/>
        <v>0.74398086200673863</v>
      </c>
      <c r="T718" s="147">
        <f t="shared" si="460"/>
        <v>0.10733322790352262</v>
      </c>
      <c r="U718" s="160">
        <f>IF($E718="","",IF($C718=12,INDEX(Input!$C$15:$CP$15,1,$B718),0))</f>
        <v>0</v>
      </c>
      <c r="V718" s="150">
        <f>IF(E718="","",IF(C718=1,IF($B718=1,Input!$C$33,Input!$C$34),0))</f>
        <v>0</v>
      </c>
      <c r="W718" s="156">
        <f>IF($E718="","",Input!$C$35)</f>
        <v>0.02</v>
      </c>
      <c r="X718" s="156">
        <f t="shared" si="458"/>
        <v>3.2166968513386403</v>
      </c>
      <c r="Y718" s="154"/>
      <c r="Z718" s="147">
        <f>IF($E718="","",VLOOKUP($D718,'Mortality Margins &amp; Grading'!$AB$5:$AF$125,3,0)*IF(Summary!$D$25="Included Margin",IF(AND($B718&gt;Input!$C$9,Summary!$D$31&lt;&gt;"Included Margin"),0,1),0))</f>
        <v>1.2E-2</v>
      </c>
      <c r="AA718" s="147">
        <f>IF($E718="","",VLOOKUP($D718,'Mortality Margins &amp; Grading'!$AB$5:$AF$125,5,0)*IF(Summary!$D$25="Included Margin",IF(AND($B718&gt;Input!$C$9,Summary!$D$31&lt;&gt;"Included Margin"),0,1),0))</f>
        <v>0.06</v>
      </c>
      <c r="AB718" s="147">
        <f>IF($E718="","",IF(AND($B718&gt;Input!$C$9,Summary!$D$31&lt;&gt;"Included Margin"),1,IF(Summary!$D$25="Included Margin",VLOOKUP($B718,'Mortality Margins &amp; Grading'!$AI$5:$AR$125,MATCH('Mortality Margins &amp; Grading'!$AQ$4,'Mortality Margins &amp; Grading'!$AI$4:$AR$4,0),0),1)))</f>
        <v>0</v>
      </c>
      <c r="AC718" s="154"/>
      <c r="AD718" s="158">
        <f>IF(E718="","",Input!$C$48*IF(Summary!$D$30="Included Margin",IF(AND($B718&gt;Input!$C$9,Summary!$D$31&lt;&gt;"Included Margin"),0,1),0))</f>
        <v>-4.4999999999999997E-3</v>
      </c>
      <c r="AE718" s="159">
        <f>IF(E718="","",IF(Summary!$D$26="Included Margin",IF(AND($B718&gt;Input!$C$9,Summary!$D$31&lt;&gt;"Included Margin"),1,1/$R718),1))</f>
        <v>1.3441205964662872</v>
      </c>
      <c r="AF718" s="160">
        <f>IF(E718="","",IF(AND($B718&gt;=Input!$C$9,$C718=12,Summary!$D$31="Included Margin",$U718&gt;0),1/U718-1,IF($B718&gt;=Input!$C$9,0,Input!$C$45*IF(Summary!$D$27="Included Margin",1,0))))</f>
        <v>0</v>
      </c>
      <c r="AG718" s="160">
        <f>IF(E718="","",Input!$C$46*IF(Summary!$D$28="Included Margin",IF(AND($B718&gt;Input!$C$9,Summary!$D$31&lt;&gt;"Included Margin"),0,1),0))</f>
        <v>0.02</v>
      </c>
      <c r="AH718" s="158">
        <f>IF(E718="","",Input!$C$47*IF(Summary!$D$29="Included Margin",IF(AND($B718&gt;Input!$C$9,Summary!$D$31&lt;&gt;"Included Margin"),0,1),0))</f>
        <v>2.5000000000000001E-3</v>
      </c>
      <c r="AI718" s="154"/>
      <c r="AJ718" s="158">
        <f t="shared" si="481"/>
        <v>4.3439999999999999E-2</v>
      </c>
      <c r="AK718" s="155">
        <f t="shared" si="482"/>
        <v>3.5498648217830997E-3</v>
      </c>
      <c r="AL718" s="147">
        <f t="shared" si="483"/>
        <v>1</v>
      </c>
      <c r="AM718" s="147">
        <f t="shared" si="461"/>
        <v>1</v>
      </c>
      <c r="AN718" s="160">
        <f t="shared" si="484"/>
        <v>0</v>
      </c>
      <c r="AO718" s="161">
        <f t="shared" si="485"/>
        <v>0</v>
      </c>
      <c r="AP718" s="156">
        <f t="shared" si="462"/>
        <v>3.7165132380893664</v>
      </c>
      <c r="AQ718" s="152"/>
      <c r="AR718" s="162">
        <f t="shared" si="463"/>
        <v>99822.82123923584</v>
      </c>
      <c r="AS718" s="150">
        <f t="shared" si="486"/>
        <v>0</v>
      </c>
      <c r="AT718" s="163">
        <f t="shared" si="464"/>
        <v>0</v>
      </c>
      <c r="AU718" s="163">
        <f t="shared" si="465"/>
        <v>100000</v>
      </c>
      <c r="AV718" s="163">
        <f t="shared" si="487"/>
        <v>176.86428043915117</v>
      </c>
      <c r="AW718" s="163">
        <f t="shared" si="466"/>
        <v>99823.135719560843</v>
      </c>
      <c r="AX718" s="163">
        <f t="shared" si="467"/>
        <v>0</v>
      </c>
      <c r="AY718" s="165">
        <f t="shared" si="488"/>
        <v>99822.82123923584</v>
      </c>
      <c r="AZ718" s="164">
        <f>IF($E718="","",IF(OR(AND($D718=Input!$C$6,$C718=12),$AN718=1),0,-AS719+AT719+AU719-AV719-AW719-AX719+AZ719))</f>
        <v>99823.135719560843</v>
      </c>
      <c r="BA718" s="154">
        <f t="shared" si="468"/>
        <v>0.31448032500338741</v>
      </c>
      <c r="BC718" s="147">
        <f t="shared" si="489"/>
        <v>9.8276685045281303E-11</v>
      </c>
      <c r="BD718" s="164">
        <f>IF(AND($C717=12,$D717=Input!$C$6),0,IF($E718="","",AT718+(AU718+BD719)/(1+$AK718)*MIN((1-AM718-AN718),1)))</f>
        <v>0</v>
      </c>
      <c r="BE718" s="164">
        <f t="shared" si="469"/>
        <v>0</v>
      </c>
      <c r="BF718" s="164">
        <f t="shared" si="490"/>
        <v>99823.135719560843</v>
      </c>
      <c r="BG718" s="164">
        <f t="shared" si="470"/>
        <v>9.810286869343651E-6</v>
      </c>
      <c r="BH718" s="152"/>
      <c r="BI718" s="162">
        <f t="shared" si="471"/>
        <v>40292.588802915132</v>
      </c>
      <c r="BJ718" s="150">
        <f t="shared" si="472"/>
        <v>0</v>
      </c>
      <c r="BK718" s="163">
        <f t="shared" si="494"/>
        <v>0</v>
      </c>
      <c r="BL718" s="163">
        <f t="shared" si="473"/>
        <v>10733.322790352262</v>
      </c>
      <c r="BM718" s="163">
        <f t="shared" si="495"/>
        <v>136.55401391457826</v>
      </c>
      <c r="BN718" s="163">
        <f t="shared" si="474"/>
        <v>3570.5962319308014</v>
      </c>
      <c r="BO718" s="163">
        <f t="shared" si="475"/>
        <v>0</v>
      </c>
      <c r="BP718" s="164">
        <f t="shared" si="496"/>
        <v>33266.416258408244</v>
      </c>
      <c r="BQ718" s="164">
        <f>IF($E718="","",IF(AND($D718=Input!$C$6,$C718=12),0,-BJ719+BK719+BL719-BM719-BN719-BO719+BQ719))</f>
        <v>33266.457197581556</v>
      </c>
      <c r="BR718" s="161">
        <f t="shared" si="476"/>
        <v>0</v>
      </c>
      <c r="BT718" s="147">
        <f t="shared" si="477"/>
        <v>9.8276685045281303E-11</v>
      </c>
      <c r="BU718" s="164">
        <f>IF(AND($C717=12,$D717=Input!$C$6),0,IF($E718="","",BK718+(BL718+BU719)/(1+$AK718)*MIN((1-T718-U718),1)))</f>
        <v>80369.004302543108</v>
      </c>
      <c r="BV718" s="164">
        <f t="shared" si="478"/>
        <v>7.8983993232438877E-6</v>
      </c>
      <c r="BW718" s="164">
        <f t="shared" si="479"/>
        <v>33266.457197581556</v>
      </c>
      <c r="BX718" s="164">
        <f t="shared" si="480"/>
        <v>3.2693171365790538E-6</v>
      </c>
    </row>
    <row r="719" spans="1:76" s="150" customFormat="1" x14ac:dyDescent="0.25">
      <c r="A719" s="150">
        <f t="shared" si="491"/>
        <v>715</v>
      </c>
      <c r="B719" s="150">
        <f t="shared" si="492"/>
        <v>60</v>
      </c>
      <c r="C719" s="150">
        <f t="shared" si="493"/>
        <v>7</v>
      </c>
      <c r="D719" s="150">
        <f>IF(E719="","",Input!$C$4+B719-1)</f>
        <v>104</v>
      </c>
      <c r="E719" s="150">
        <f>IF(OR(AND(C718=12,D718=Input!$C$6),E718=""),"",1)</f>
        <v>1</v>
      </c>
      <c r="F719" s="150">
        <f>IF(E719="","",Input!$C$8+B719-1)</f>
        <v>2077</v>
      </c>
      <c r="G719" s="151">
        <f>IF(E719="","",MAX(0,Input!$C$9-B719))</f>
        <v>0</v>
      </c>
      <c r="H719" s="152">
        <f>IF(E719="","",Input!$C$3)</f>
        <v>100000</v>
      </c>
      <c r="I719" s="153">
        <f>IF(E719="","",HLOOKUP($B719,Input!$C$13:$BT$14,2))</f>
        <v>1000</v>
      </c>
      <c r="J719" s="154"/>
      <c r="K719" s="155">
        <f>IF($E719="","",INDEX(Input!$C$16:$CP$16,1,$B719))</f>
        <v>3.2939999999999997E-2</v>
      </c>
      <c r="L719" s="155">
        <f>IF($E719="","",Input!$C$37)</f>
        <v>1.4999999999999999E-2</v>
      </c>
      <c r="M719" s="155">
        <f t="shared" si="456"/>
        <v>4.7939999999999997E-2</v>
      </c>
      <c r="N719" s="155">
        <f t="shared" si="457"/>
        <v>3.9098178359129321E-3</v>
      </c>
      <c r="O719" s="147">
        <f>IF($E719="","",MIN(VLOOKUP(IF($B719&lt;=Input!$C$7,$B719,26),'Mortality Tables'!$A$41:$CW$67,IF($B719&lt;=Input!$C$7+1,Input!$C$4+2,$D719-Input!$C$7+2),0)*IF(B719&gt;20,Input!$C$22,1)/1000,1))</f>
        <v>1</v>
      </c>
      <c r="P719" s="147">
        <f>IF($E719="","",MIN(VLOOKUP(IF($B719&lt;=Input!$C$7,$B719,26),'Mortality Tables'!$A$12:$CW$37,IF($B719&lt;=Input!$C$7+1,Input!$C$4+2,$D719-Input!$C$7+2),0)*IF(B719&gt;20,Input!$C$22,1)/1000,1))</f>
        <v>1</v>
      </c>
      <c r="Q719" s="155">
        <f>IF($E719="","",Input!$C$21)</f>
        <v>5.0000000000000001E-3</v>
      </c>
      <c r="R719" s="159">
        <f>IF($E719="","",(1-Q719)^($F719-Input!$C$20))</f>
        <v>0.74398086200673863</v>
      </c>
      <c r="S719" s="147">
        <f t="shared" si="459"/>
        <v>0.74398086200673863</v>
      </c>
      <c r="T719" s="147">
        <f t="shared" si="460"/>
        <v>0.10733322790352262</v>
      </c>
      <c r="U719" s="160">
        <f>IF($E719="","",IF($C719=12,INDEX(Input!$C$15:$CP$15,1,$B719),0))</f>
        <v>0</v>
      </c>
      <c r="V719" s="150">
        <f>IF(E719="","",IF(C719=1,IF($B719=1,Input!$C$33,Input!$C$34),0))</f>
        <v>0</v>
      </c>
      <c r="W719" s="156">
        <f>IF($E719="","",Input!$C$35)</f>
        <v>0.02</v>
      </c>
      <c r="X719" s="156">
        <f t="shared" si="458"/>
        <v>3.2166968513386403</v>
      </c>
      <c r="Y719" s="154"/>
      <c r="Z719" s="147">
        <f>IF($E719="","",VLOOKUP($D719,'Mortality Margins &amp; Grading'!$AB$5:$AF$125,3,0)*IF(Summary!$D$25="Included Margin",IF(AND($B719&gt;Input!$C$9,Summary!$D$31&lt;&gt;"Included Margin"),0,1),0))</f>
        <v>1.2E-2</v>
      </c>
      <c r="AA719" s="147">
        <f>IF($E719="","",VLOOKUP($D719,'Mortality Margins &amp; Grading'!$AB$5:$AF$125,5,0)*IF(Summary!$D$25="Included Margin",IF(AND($B719&gt;Input!$C$9,Summary!$D$31&lt;&gt;"Included Margin"),0,1),0))</f>
        <v>0.06</v>
      </c>
      <c r="AB719" s="147">
        <f>IF($E719="","",IF(AND($B719&gt;Input!$C$9,Summary!$D$31&lt;&gt;"Included Margin"),1,IF(Summary!$D$25="Included Margin",VLOOKUP($B719,'Mortality Margins &amp; Grading'!$AI$5:$AR$125,MATCH('Mortality Margins &amp; Grading'!$AQ$4,'Mortality Margins &amp; Grading'!$AI$4:$AR$4,0),0),1)))</f>
        <v>0</v>
      </c>
      <c r="AC719" s="154"/>
      <c r="AD719" s="158">
        <f>IF(E719="","",Input!$C$48*IF(Summary!$D$30="Included Margin",IF(AND($B719&gt;Input!$C$9,Summary!$D$31&lt;&gt;"Included Margin"),0,1),0))</f>
        <v>-4.4999999999999997E-3</v>
      </c>
      <c r="AE719" s="159">
        <f>IF(E719="","",IF(Summary!$D$26="Included Margin",IF(AND($B719&gt;Input!$C$9,Summary!$D$31&lt;&gt;"Included Margin"),1,1/$R719),1))</f>
        <v>1.3441205964662872</v>
      </c>
      <c r="AF719" s="160">
        <f>IF(E719="","",IF(AND($B719&gt;=Input!$C$9,$C719=12,Summary!$D$31="Included Margin",$U719&gt;0),1/U719-1,IF($B719&gt;=Input!$C$9,0,Input!$C$45*IF(Summary!$D$27="Included Margin",1,0))))</f>
        <v>0</v>
      </c>
      <c r="AG719" s="160">
        <f>IF(E719="","",Input!$C$46*IF(Summary!$D$28="Included Margin",IF(AND($B719&gt;Input!$C$9,Summary!$D$31&lt;&gt;"Included Margin"),0,1),0))</f>
        <v>0.02</v>
      </c>
      <c r="AH719" s="158">
        <f>IF(E719="","",Input!$C$47*IF(Summary!$D$29="Included Margin",IF(AND($B719&gt;Input!$C$9,Summary!$D$31&lt;&gt;"Included Margin"),0,1),0))</f>
        <v>2.5000000000000001E-3</v>
      </c>
      <c r="AI719" s="154"/>
      <c r="AJ719" s="158">
        <f t="shared" si="481"/>
        <v>4.3439999999999999E-2</v>
      </c>
      <c r="AK719" s="155">
        <f t="shared" si="482"/>
        <v>3.5498648217830997E-3</v>
      </c>
      <c r="AL719" s="147">
        <f t="shared" si="483"/>
        <v>1</v>
      </c>
      <c r="AM719" s="147">
        <f t="shared" si="461"/>
        <v>1</v>
      </c>
      <c r="AN719" s="160">
        <f t="shared" si="484"/>
        <v>0</v>
      </c>
      <c r="AO719" s="161">
        <f t="shared" si="485"/>
        <v>0</v>
      </c>
      <c r="AP719" s="156">
        <f t="shared" si="462"/>
        <v>3.7165132380893664</v>
      </c>
      <c r="AQ719" s="152"/>
      <c r="AR719" s="162">
        <f t="shared" si="463"/>
        <v>99822.82123923584</v>
      </c>
      <c r="AS719" s="150">
        <f t="shared" si="486"/>
        <v>0</v>
      </c>
      <c r="AT719" s="163">
        <f t="shared" si="464"/>
        <v>0</v>
      </c>
      <c r="AU719" s="163">
        <f t="shared" si="465"/>
        <v>100000</v>
      </c>
      <c r="AV719" s="163">
        <f t="shared" si="487"/>
        <v>176.86428043915117</v>
      </c>
      <c r="AW719" s="163">
        <f t="shared" si="466"/>
        <v>99823.135719560843</v>
      </c>
      <c r="AX719" s="163">
        <f t="shared" si="467"/>
        <v>0</v>
      </c>
      <c r="AY719" s="164">
        <f t="shared" si="488"/>
        <v>99822.82123923584</v>
      </c>
      <c r="AZ719" s="164">
        <f>IF($E719="","",IF(OR(AND($D719=Input!$C$6,$C719=12),$AN719=1),0,-AS720+AT720+AU720-AV720-AW720-AX720+AZ720))</f>
        <v>99823.135719560843</v>
      </c>
      <c r="BA719" s="154">
        <f t="shared" si="468"/>
        <v>0.31448032500338741</v>
      </c>
      <c r="BC719" s="147">
        <f t="shared" si="489"/>
        <v>8.7728331211713417E-11</v>
      </c>
      <c r="BD719" s="164">
        <f>IF(AND($C718=12,$D718=Input!$C$6),0,IF($E719="","",AT719+(AU719+BD720)/(1+$AK719)*MIN((1-AM719-AN719),1)))</f>
        <v>0</v>
      </c>
      <c r="BE719" s="164">
        <f t="shared" si="469"/>
        <v>0</v>
      </c>
      <c r="BF719" s="164">
        <f t="shared" si="490"/>
        <v>99823.135719560843</v>
      </c>
      <c r="BG719" s="164">
        <f t="shared" si="470"/>
        <v>8.7573171129974544E-6</v>
      </c>
      <c r="BH719" s="152"/>
      <c r="BI719" s="162">
        <f t="shared" si="471"/>
        <v>33266.416258408251</v>
      </c>
      <c r="BJ719" s="150">
        <f t="shared" si="472"/>
        <v>0</v>
      </c>
      <c r="BK719" s="163">
        <f t="shared" si="494"/>
        <v>0</v>
      </c>
      <c r="BL719" s="163">
        <f t="shared" si="473"/>
        <v>10733.322790352262</v>
      </c>
      <c r="BM719" s="163">
        <f t="shared" si="495"/>
        <v>109.0829591818635</v>
      </c>
      <c r="BN719" s="163">
        <f t="shared" si="474"/>
        <v>2722.4742230771071</v>
      </c>
      <c r="BO719" s="163">
        <f t="shared" si="475"/>
        <v>0</v>
      </c>
      <c r="BP719" s="164">
        <f t="shared" si="496"/>
        <v>25364.650650314958</v>
      </c>
      <c r="BQ719" s="164">
        <f>IF($E719="","",IF(AND($D719=Input!$C$6,$C719=12),0,-BJ720+BK720+BL720-BM720-BN720-BO720+BQ720))</f>
        <v>25364.691589488262</v>
      </c>
      <c r="BR719" s="161">
        <f t="shared" si="476"/>
        <v>0</v>
      </c>
      <c r="BT719" s="147">
        <f t="shared" si="477"/>
        <v>8.7728331211713417E-11</v>
      </c>
      <c r="BU719" s="164">
        <f>IF(AND($C718=12,$D718=Input!$C$6),0,IF($E719="","",BK719+(BL719+BU720)/(1+$AK719)*MIN((1-T719-U719),1)))</f>
        <v>79618.761464175695</v>
      </c>
      <c r="BV719" s="164">
        <f t="shared" si="478"/>
        <v>6.9848210763956104E-6</v>
      </c>
      <c r="BW719" s="164">
        <f t="shared" si="479"/>
        <v>25364.691589488262</v>
      </c>
      <c r="BX719" s="164">
        <f t="shared" si="480"/>
        <v>2.2252020648455881E-6</v>
      </c>
    </row>
    <row r="720" spans="1:76" s="150" customFormat="1" x14ac:dyDescent="0.25">
      <c r="A720" s="150">
        <f t="shared" si="491"/>
        <v>716</v>
      </c>
      <c r="B720" s="150">
        <f t="shared" si="492"/>
        <v>60</v>
      </c>
      <c r="C720" s="150">
        <f t="shared" si="493"/>
        <v>8</v>
      </c>
      <c r="D720" s="150">
        <f>IF(E720="","",Input!$C$4+B720-1)</f>
        <v>104</v>
      </c>
      <c r="E720" s="150">
        <f>IF(OR(AND(C719=12,D719=Input!$C$6),E719=""),"",1)</f>
        <v>1</v>
      </c>
      <c r="F720" s="150">
        <f>IF(E720="","",Input!$C$8+B720-1)</f>
        <v>2077</v>
      </c>
      <c r="G720" s="151">
        <f>IF(E720="","",MAX(0,Input!$C$9-B720))</f>
        <v>0</v>
      </c>
      <c r="H720" s="152">
        <f>IF(E720="","",Input!$C$3)</f>
        <v>100000</v>
      </c>
      <c r="I720" s="153">
        <f>IF(E720="","",HLOOKUP($B720,Input!$C$13:$BT$14,2))</f>
        <v>1000</v>
      </c>
      <c r="J720" s="154"/>
      <c r="K720" s="155">
        <f>IF($E720="","",INDEX(Input!$C$16:$CP$16,1,$B720))</f>
        <v>3.2939999999999997E-2</v>
      </c>
      <c r="L720" s="155">
        <f>IF($E720="","",Input!$C$37)</f>
        <v>1.4999999999999999E-2</v>
      </c>
      <c r="M720" s="155">
        <f t="shared" si="456"/>
        <v>4.7939999999999997E-2</v>
      </c>
      <c r="N720" s="155">
        <f t="shared" si="457"/>
        <v>3.9098178359129321E-3</v>
      </c>
      <c r="O720" s="147">
        <f>IF($E720="","",MIN(VLOOKUP(IF($B720&lt;=Input!$C$7,$B720,26),'Mortality Tables'!$A$41:$CW$67,IF($B720&lt;=Input!$C$7+1,Input!$C$4+2,$D720-Input!$C$7+2),0)*IF(B720&gt;20,Input!$C$22,1)/1000,1))</f>
        <v>1</v>
      </c>
      <c r="P720" s="147">
        <f>IF($E720="","",MIN(VLOOKUP(IF($B720&lt;=Input!$C$7,$B720,26),'Mortality Tables'!$A$12:$CW$37,IF($B720&lt;=Input!$C$7+1,Input!$C$4+2,$D720-Input!$C$7+2),0)*IF(B720&gt;20,Input!$C$22,1)/1000,1))</f>
        <v>1</v>
      </c>
      <c r="Q720" s="155">
        <f>IF($E720="","",Input!$C$21)</f>
        <v>5.0000000000000001E-3</v>
      </c>
      <c r="R720" s="159">
        <f>IF($E720="","",(1-Q720)^($F720-Input!$C$20))</f>
        <v>0.74398086200673863</v>
      </c>
      <c r="S720" s="147">
        <f t="shared" si="459"/>
        <v>0.74398086200673863</v>
      </c>
      <c r="T720" s="147">
        <f t="shared" si="460"/>
        <v>0.10733322790352262</v>
      </c>
      <c r="U720" s="160">
        <f>IF($E720="","",IF($C720=12,INDEX(Input!$C$15:$CP$15,1,$B720),0))</f>
        <v>0</v>
      </c>
      <c r="V720" s="150">
        <f>IF(E720="","",IF(C720=1,IF($B720=1,Input!$C$33,Input!$C$34),0))</f>
        <v>0</v>
      </c>
      <c r="W720" s="156">
        <f>IF($E720="","",Input!$C$35)</f>
        <v>0.02</v>
      </c>
      <c r="X720" s="156">
        <f t="shared" si="458"/>
        <v>3.2166968513386403</v>
      </c>
      <c r="Y720" s="154"/>
      <c r="Z720" s="147">
        <f>IF($E720="","",VLOOKUP($D720,'Mortality Margins &amp; Grading'!$AB$5:$AF$125,3,0)*IF(Summary!$D$25="Included Margin",IF(AND($B720&gt;Input!$C$9,Summary!$D$31&lt;&gt;"Included Margin"),0,1),0))</f>
        <v>1.2E-2</v>
      </c>
      <c r="AA720" s="147">
        <f>IF($E720="","",VLOOKUP($D720,'Mortality Margins &amp; Grading'!$AB$5:$AF$125,5,0)*IF(Summary!$D$25="Included Margin",IF(AND($B720&gt;Input!$C$9,Summary!$D$31&lt;&gt;"Included Margin"),0,1),0))</f>
        <v>0.06</v>
      </c>
      <c r="AB720" s="147">
        <f>IF($E720="","",IF(AND($B720&gt;Input!$C$9,Summary!$D$31&lt;&gt;"Included Margin"),1,IF(Summary!$D$25="Included Margin",VLOOKUP($B720,'Mortality Margins &amp; Grading'!$AI$5:$AR$125,MATCH('Mortality Margins &amp; Grading'!$AQ$4,'Mortality Margins &amp; Grading'!$AI$4:$AR$4,0),0),1)))</f>
        <v>0</v>
      </c>
      <c r="AC720" s="154"/>
      <c r="AD720" s="158">
        <f>IF(E720="","",Input!$C$48*IF(Summary!$D$30="Included Margin",IF(AND($B720&gt;Input!$C$9,Summary!$D$31&lt;&gt;"Included Margin"),0,1),0))</f>
        <v>-4.4999999999999997E-3</v>
      </c>
      <c r="AE720" s="159">
        <f>IF(E720="","",IF(Summary!$D$26="Included Margin",IF(AND($B720&gt;Input!$C$9,Summary!$D$31&lt;&gt;"Included Margin"),1,1/$R720),1))</f>
        <v>1.3441205964662872</v>
      </c>
      <c r="AF720" s="160">
        <f>IF(E720="","",IF(AND($B720&gt;=Input!$C$9,$C720=12,Summary!$D$31="Included Margin",$U720&gt;0),1/U720-1,IF($B720&gt;=Input!$C$9,0,Input!$C$45*IF(Summary!$D$27="Included Margin",1,0))))</f>
        <v>0</v>
      </c>
      <c r="AG720" s="160">
        <f>IF(E720="","",Input!$C$46*IF(Summary!$D$28="Included Margin",IF(AND($B720&gt;Input!$C$9,Summary!$D$31&lt;&gt;"Included Margin"),0,1),0))</f>
        <v>0.02</v>
      </c>
      <c r="AH720" s="158">
        <f>IF(E720="","",Input!$C$47*IF(Summary!$D$29="Included Margin",IF(AND($B720&gt;Input!$C$9,Summary!$D$31&lt;&gt;"Included Margin"),0,1),0))</f>
        <v>2.5000000000000001E-3</v>
      </c>
      <c r="AI720" s="154"/>
      <c r="AJ720" s="158">
        <f t="shared" si="481"/>
        <v>4.3439999999999999E-2</v>
      </c>
      <c r="AK720" s="155">
        <f t="shared" si="482"/>
        <v>3.5498648217830997E-3</v>
      </c>
      <c r="AL720" s="147">
        <f t="shared" si="483"/>
        <v>1</v>
      </c>
      <c r="AM720" s="147">
        <f t="shared" si="461"/>
        <v>1</v>
      </c>
      <c r="AN720" s="160">
        <f t="shared" si="484"/>
        <v>0</v>
      </c>
      <c r="AO720" s="161">
        <f t="shared" si="485"/>
        <v>0</v>
      </c>
      <c r="AP720" s="156">
        <f t="shared" si="462"/>
        <v>3.7165132380893664</v>
      </c>
      <c r="AQ720" s="152"/>
      <c r="AR720" s="162">
        <f t="shared" si="463"/>
        <v>99822.82123923584</v>
      </c>
      <c r="AS720" s="150">
        <f t="shared" si="486"/>
        <v>0</v>
      </c>
      <c r="AT720" s="163">
        <f t="shared" si="464"/>
        <v>0</v>
      </c>
      <c r="AU720" s="163">
        <f t="shared" si="465"/>
        <v>100000</v>
      </c>
      <c r="AV720" s="163">
        <f t="shared" si="487"/>
        <v>176.86428043915117</v>
      </c>
      <c r="AW720" s="163">
        <f t="shared" si="466"/>
        <v>99823.135719560843</v>
      </c>
      <c r="AX720" s="163">
        <f t="shared" si="467"/>
        <v>0</v>
      </c>
      <c r="AY720" s="165">
        <f t="shared" si="488"/>
        <v>99822.82123923584</v>
      </c>
      <c r="AZ720" s="164">
        <f>IF($E720="","",IF(OR(AND($D720=Input!$C$6,$C720=12),$AN720=1),0,-AS721+AT721+AU721-AV721-AW721-AX721+AZ721))</f>
        <v>99823.135719560843</v>
      </c>
      <c r="BA720" s="154">
        <f t="shared" si="468"/>
        <v>0.31448032500338741</v>
      </c>
      <c r="BC720" s="147">
        <f t="shared" si="489"/>
        <v>7.8312166244170865E-11</v>
      </c>
      <c r="BD720" s="164">
        <f>IF(AND($C719=12,$D719=Input!$C$6),0,IF($E720="","",AT720+(AU720+BD721)/(1+$AK720)*MIN((1-AM720-AN720),1)))</f>
        <v>0</v>
      </c>
      <c r="BE720" s="164">
        <f t="shared" si="469"/>
        <v>0</v>
      </c>
      <c r="BF720" s="164">
        <f t="shared" si="490"/>
        <v>99823.135719560843</v>
      </c>
      <c r="BG720" s="164">
        <f t="shared" si="470"/>
        <v>7.8173659994846798E-6</v>
      </c>
      <c r="BH720" s="152"/>
      <c r="BI720" s="162">
        <f t="shared" si="471"/>
        <v>25364.650650314958</v>
      </c>
      <c r="BJ720" s="150">
        <f t="shared" si="472"/>
        <v>0</v>
      </c>
      <c r="BK720" s="163">
        <f t="shared" si="494"/>
        <v>0</v>
      </c>
      <c r="BL720" s="163">
        <f t="shared" si="473"/>
        <v>10733.322790352262</v>
      </c>
      <c r="BM720" s="163">
        <f t="shared" si="495"/>
        <v>78.188495072136945</v>
      </c>
      <c r="BN720" s="163">
        <f t="shared" si="474"/>
        <v>1768.6602826172295</v>
      </c>
      <c r="BO720" s="163">
        <f t="shared" si="475"/>
        <v>0</v>
      </c>
      <c r="BP720" s="164">
        <f t="shared" si="496"/>
        <v>16478.176637652065</v>
      </c>
      <c r="BQ720" s="164">
        <f>IF($E720="","",IF(AND($D720=Input!$C$6,$C720=12),0,-BJ721+BK721+BL721-BM721-BN721-BO721+BQ721))</f>
        <v>16478.217576825369</v>
      </c>
      <c r="BR720" s="161">
        <f t="shared" si="476"/>
        <v>0</v>
      </c>
      <c r="BT720" s="147">
        <f t="shared" si="477"/>
        <v>7.8312166244170865E-11</v>
      </c>
      <c r="BU720" s="164">
        <f>IF(AND($C719=12,$D719=Input!$C$6),0,IF($E720="","",BK720+(BL720+BU721)/(1+$AK720)*MIN((1-T720-U720),1)))</f>
        <v>78775.326800130933</v>
      </c>
      <c r="BV720" s="164">
        <f t="shared" si="478"/>
        <v>6.169066488310742E-6</v>
      </c>
      <c r="BW720" s="164">
        <f t="shared" si="479"/>
        <v>16478.217576825369</v>
      </c>
      <c r="BX720" s="164">
        <f t="shared" si="480"/>
        <v>1.2904449142839668E-6</v>
      </c>
    </row>
    <row r="721" spans="1:76" s="150" customFormat="1" x14ac:dyDescent="0.25">
      <c r="A721" s="150">
        <f t="shared" si="491"/>
        <v>717</v>
      </c>
      <c r="B721" s="150">
        <f t="shared" si="492"/>
        <v>60</v>
      </c>
      <c r="C721" s="150">
        <f t="shared" si="493"/>
        <v>9</v>
      </c>
      <c r="D721" s="150">
        <f>IF(E721="","",Input!$C$4+B721-1)</f>
        <v>104</v>
      </c>
      <c r="E721" s="150">
        <f>IF(OR(AND(C720=12,D720=Input!$C$6),E720=""),"",1)</f>
        <v>1</v>
      </c>
      <c r="F721" s="150">
        <f>IF(E721="","",Input!$C$8+B721-1)</f>
        <v>2077</v>
      </c>
      <c r="G721" s="151">
        <f>IF(E721="","",MAX(0,Input!$C$9-B721))</f>
        <v>0</v>
      </c>
      <c r="H721" s="152">
        <f>IF(E721="","",Input!$C$3)</f>
        <v>100000</v>
      </c>
      <c r="I721" s="153">
        <f>IF(E721="","",HLOOKUP($B721,Input!$C$13:$BT$14,2))</f>
        <v>1000</v>
      </c>
      <c r="J721" s="154"/>
      <c r="K721" s="155">
        <f>IF($E721="","",INDEX(Input!$C$16:$CP$16,1,$B721))</f>
        <v>3.2939999999999997E-2</v>
      </c>
      <c r="L721" s="155">
        <f>IF($E721="","",Input!$C$37)</f>
        <v>1.4999999999999999E-2</v>
      </c>
      <c r="M721" s="155">
        <f t="shared" si="456"/>
        <v>4.7939999999999997E-2</v>
      </c>
      <c r="N721" s="155">
        <f t="shared" si="457"/>
        <v>3.9098178359129321E-3</v>
      </c>
      <c r="O721" s="147">
        <f>IF($E721="","",MIN(VLOOKUP(IF($B721&lt;=Input!$C$7,$B721,26),'Mortality Tables'!$A$41:$CW$67,IF($B721&lt;=Input!$C$7+1,Input!$C$4+2,$D721-Input!$C$7+2),0)*IF(B721&gt;20,Input!$C$22,1)/1000,1))</f>
        <v>1</v>
      </c>
      <c r="P721" s="147">
        <f>IF($E721="","",MIN(VLOOKUP(IF($B721&lt;=Input!$C$7,$B721,26),'Mortality Tables'!$A$12:$CW$37,IF($B721&lt;=Input!$C$7+1,Input!$C$4+2,$D721-Input!$C$7+2),0)*IF(B721&gt;20,Input!$C$22,1)/1000,1))</f>
        <v>1</v>
      </c>
      <c r="Q721" s="155">
        <f>IF($E721="","",Input!$C$21)</f>
        <v>5.0000000000000001E-3</v>
      </c>
      <c r="R721" s="159">
        <f>IF($E721="","",(1-Q721)^($F721-Input!$C$20))</f>
        <v>0.74398086200673863</v>
      </c>
      <c r="S721" s="147">
        <f t="shared" si="459"/>
        <v>0.74398086200673863</v>
      </c>
      <c r="T721" s="147">
        <f t="shared" si="460"/>
        <v>0.10733322790352262</v>
      </c>
      <c r="U721" s="160">
        <f>IF($E721="","",IF($C721=12,INDEX(Input!$C$15:$CP$15,1,$B721),0))</f>
        <v>0</v>
      </c>
      <c r="V721" s="150">
        <f>IF(E721="","",IF(C721=1,IF($B721=1,Input!$C$33,Input!$C$34),0))</f>
        <v>0</v>
      </c>
      <c r="W721" s="156">
        <f>IF($E721="","",Input!$C$35)</f>
        <v>0.02</v>
      </c>
      <c r="X721" s="156">
        <f t="shared" si="458"/>
        <v>3.2166968513386403</v>
      </c>
      <c r="Y721" s="154"/>
      <c r="Z721" s="147">
        <f>IF($E721="","",VLOOKUP($D721,'Mortality Margins &amp; Grading'!$AB$5:$AF$125,3,0)*IF(Summary!$D$25="Included Margin",IF(AND($B721&gt;Input!$C$9,Summary!$D$31&lt;&gt;"Included Margin"),0,1),0))</f>
        <v>1.2E-2</v>
      </c>
      <c r="AA721" s="147">
        <f>IF($E721="","",VLOOKUP($D721,'Mortality Margins &amp; Grading'!$AB$5:$AF$125,5,0)*IF(Summary!$D$25="Included Margin",IF(AND($B721&gt;Input!$C$9,Summary!$D$31&lt;&gt;"Included Margin"),0,1),0))</f>
        <v>0.06</v>
      </c>
      <c r="AB721" s="147">
        <f>IF($E721="","",IF(AND($B721&gt;Input!$C$9,Summary!$D$31&lt;&gt;"Included Margin"),1,IF(Summary!$D$25="Included Margin",VLOOKUP($B721,'Mortality Margins &amp; Grading'!$AI$5:$AR$125,MATCH('Mortality Margins &amp; Grading'!$AQ$4,'Mortality Margins &amp; Grading'!$AI$4:$AR$4,0),0),1)))</f>
        <v>0</v>
      </c>
      <c r="AC721" s="154"/>
      <c r="AD721" s="158">
        <f>IF(E721="","",Input!$C$48*IF(Summary!$D$30="Included Margin",IF(AND($B721&gt;Input!$C$9,Summary!$D$31&lt;&gt;"Included Margin"),0,1),0))</f>
        <v>-4.4999999999999997E-3</v>
      </c>
      <c r="AE721" s="159">
        <f>IF(E721="","",IF(Summary!$D$26="Included Margin",IF(AND($B721&gt;Input!$C$9,Summary!$D$31&lt;&gt;"Included Margin"),1,1/$R721),1))</f>
        <v>1.3441205964662872</v>
      </c>
      <c r="AF721" s="160">
        <f>IF(E721="","",IF(AND($B721&gt;=Input!$C$9,$C721=12,Summary!$D$31="Included Margin",$U721&gt;0),1/U721-1,IF($B721&gt;=Input!$C$9,0,Input!$C$45*IF(Summary!$D$27="Included Margin",1,0))))</f>
        <v>0</v>
      </c>
      <c r="AG721" s="160">
        <f>IF(E721="","",Input!$C$46*IF(Summary!$D$28="Included Margin",IF(AND($B721&gt;Input!$C$9,Summary!$D$31&lt;&gt;"Included Margin"),0,1),0))</f>
        <v>0.02</v>
      </c>
      <c r="AH721" s="158">
        <f>IF(E721="","",Input!$C$47*IF(Summary!$D$29="Included Margin",IF(AND($B721&gt;Input!$C$9,Summary!$D$31&lt;&gt;"Included Margin"),0,1),0))</f>
        <v>2.5000000000000001E-3</v>
      </c>
      <c r="AI721" s="154"/>
      <c r="AJ721" s="158">
        <f t="shared" si="481"/>
        <v>4.3439999999999999E-2</v>
      </c>
      <c r="AK721" s="155">
        <f t="shared" si="482"/>
        <v>3.5498648217830997E-3</v>
      </c>
      <c r="AL721" s="147">
        <f t="shared" si="483"/>
        <v>1</v>
      </c>
      <c r="AM721" s="147">
        <f t="shared" si="461"/>
        <v>1</v>
      </c>
      <c r="AN721" s="160">
        <f t="shared" si="484"/>
        <v>0</v>
      </c>
      <c r="AO721" s="161">
        <f t="shared" si="485"/>
        <v>0</v>
      </c>
      <c r="AP721" s="156">
        <f t="shared" si="462"/>
        <v>3.7165132380893664</v>
      </c>
      <c r="AQ721" s="152"/>
      <c r="AR721" s="162">
        <f t="shared" si="463"/>
        <v>99822.82123923584</v>
      </c>
      <c r="AS721" s="150">
        <f t="shared" si="486"/>
        <v>0</v>
      </c>
      <c r="AT721" s="163">
        <f t="shared" si="464"/>
        <v>0</v>
      </c>
      <c r="AU721" s="163">
        <f t="shared" si="465"/>
        <v>100000</v>
      </c>
      <c r="AV721" s="163">
        <f t="shared" si="487"/>
        <v>176.86428043915117</v>
      </c>
      <c r="AW721" s="163">
        <f t="shared" si="466"/>
        <v>99823.135719560843</v>
      </c>
      <c r="AX721" s="163">
        <f t="shared" si="467"/>
        <v>0</v>
      </c>
      <c r="AY721" s="164">
        <f t="shared" si="488"/>
        <v>99822.82123923584</v>
      </c>
      <c r="AZ721" s="164">
        <f>IF($E721="","",IF(OR(AND($D721=Input!$C$6,$C721=12),$AN721=1),0,-AS722+AT722+AU722-AV722-AW722-AX722+AZ722))</f>
        <v>99823.135719560843</v>
      </c>
      <c r="BA721" s="154">
        <f t="shared" si="468"/>
        <v>0.31448032500338741</v>
      </c>
      <c r="BC721" s="147">
        <f t="shared" si="489"/>
        <v>6.9906668657066729E-11</v>
      </c>
      <c r="BD721" s="164">
        <f>IF(AND($C720=12,$D720=Input!$C$6),0,IF($E721="","",AT721+(AU721+BD722)/(1+$AK721)*MIN((1-AM721-AN721),1)))</f>
        <v>0</v>
      </c>
      <c r="BE721" s="164">
        <f t="shared" si="469"/>
        <v>0</v>
      </c>
      <c r="BF721" s="164">
        <f t="shared" si="490"/>
        <v>99823.135719560843</v>
      </c>
      <c r="BG721" s="164">
        <f t="shared" si="470"/>
        <v>6.9783028730567422E-6</v>
      </c>
      <c r="BH721" s="152"/>
      <c r="BI721" s="162">
        <f t="shared" si="471"/>
        <v>16478.176637652065</v>
      </c>
      <c r="BJ721" s="150">
        <f t="shared" si="472"/>
        <v>0</v>
      </c>
      <c r="BK721" s="163">
        <f t="shared" si="494"/>
        <v>0</v>
      </c>
      <c r="BL721" s="163">
        <f t="shared" si="473"/>
        <v>10733.322790352262</v>
      </c>
      <c r="BM721" s="163">
        <f t="shared" si="495"/>
        <v>43.444000479050807</v>
      </c>
      <c r="BN721" s="163">
        <f t="shared" si="474"/>
        <v>695.98321078270067</v>
      </c>
      <c r="BO721" s="163">
        <f t="shared" si="475"/>
        <v>0</v>
      </c>
      <c r="BP721" s="164">
        <f t="shared" si="496"/>
        <v>6484.2810585615534</v>
      </c>
      <c r="BQ721" s="164">
        <f>IF($E721="","",IF(AND($D721=Input!$C$6,$C721=12),0,-BJ722+BK722+BL722-BM722-BN722-BO722+BQ722))</f>
        <v>6484.3219977348581</v>
      </c>
      <c r="BR721" s="161">
        <f t="shared" si="476"/>
        <v>0</v>
      </c>
      <c r="BT721" s="147">
        <f t="shared" si="477"/>
        <v>6.9906668657066729E-11</v>
      </c>
      <c r="BU721" s="164">
        <f>IF(AND($C720=12,$D720=Input!$C$6),0,IF($E721="","",BK721+(BL721+BU722)/(1+$AK721)*MIN((1-T721-U721),1)))</f>
        <v>77827.124436666403</v>
      </c>
      <c r="BV721" s="164">
        <f t="shared" si="478"/>
        <v>5.4406350005263395E-6</v>
      </c>
      <c r="BW721" s="164">
        <f t="shared" si="479"/>
        <v>6484.3219977348581</v>
      </c>
      <c r="BX721" s="164">
        <f t="shared" si="480"/>
        <v>4.5329734936137971E-7</v>
      </c>
    </row>
    <row r="722" spans="1:76" s="150" customFormat="1" x14ac:dyDescent="0.25">
      <c r="A722" s="150">
        <f t="shared" si="491"/>
        <v>718</v>
      </c>
      <c r="B722" s="150">
        <f t="shared" si="492"/>
        <v>60</v>
      </c>
      <c r="C722" s="150">
        <f t="shared" si="493"/>
        <v>10</v>
      </c>
      <c r="D722" s="150">
        <f>IF(E722="","",Input!$C$4+B722-1)</f>
        <v>104</v>
      </c>
      <c r="E722" s="150">
        <f>IF(OR(AND(C721=12,D721=Input!$C$6),E721=""),"",1)</f>
        <v>1</v>
      </c>
      <c r="F722" s="150">
        <f>IF(E722="","",Input!$C$8+B722-1)</f>
        <v>2077</v>
      </c>
      <c r="G722" s="151">
        <f>IF(E722="","",MAX(0,Input!$C$9-B722))</f>
        <v>0</v>
      </c>
      <c r="H722" s="152">
        <f>IF(E722="","",Input!$C$3)</f>
        <v>100000</v>
      </c>
      <c r="I722" s="153">
        <f>IF(E722="","",HLOOKUP($B722,Input!$C$13:$BT$14,2))</f>
        <v>1000</v>
      </c>
      <c r="J722" s="154"/>
      <c r="K722" s="155">
        <f>IF($E722="","",INDEX(Input!$C$16:$CP$16,1,$B722))</f>
        <v>3.2939999999999997E-2</v>
      </c>
      <c r="L722" s="155">
        <f>IF($E722="","",Input!$C$37)</f>
        <v>1.4999999999999999E-2</v>
      </c>
      <c r="M722" s="155">
        <f t="shared" si="456"/>
        <v>4.7939999999999997E-2</v>
      </c>
      <c r="N722" s="155">
        <f t="shared" si="457"/>
        <v>3.9098178359129321E-3</v>
      </c>
      <c r="O722" s="147">
        <f>IF($E722="","",MIN(VLOOKUP(IF($B722&lt;=Input!$C$7,$B722,26),'Mortality Tables'!$A$41:$CW$67,IF($B722&lt;=Input!$C$7+1,Input!$C$4+2,$D722-Input!$C$7+2),0)*IF(B722&gt;20,Input!$C$22,1)/1000,1))</f>
        <v>1</v>
      </c>
      <c r="P722" s="147">
        <f>IF($E722="","",MIN(VLOOKUP(IF($B722&lt;=Input!$C$7,$B722,26),'Mortality Tables'!$A$12:$CW$37,IF($B722&lt;=Input!$C$7+1,Input!$C$4+2,$D722-Input!$C$7+2),0)*IF(B722&gt;20,Input!$C$22,1)/1000,1))</f>
        <v>1</v>
      </c>
      <c r="Q722" s="155">
        <f>IF($E722="","",Input!$C$21)</f>
        <v>5.0000000000000001E-3</v>
      </c>
      <c r="R722" s="159">
        <f>IF($E722="","",(1-Q722)^($F722-Input!$C$20))</f>
        <v>0.74398086200673863</v>
      </c>
      <c r="S722" s="147">
        <f t="shared" si="459"/>
        <v>0.74398086200673863</v>
      </c>
      <c r="T722" s="147">
        <f t="shared" si="460"/>
        <v>0.10733322790352262</v>
      </c>
      <c r="U722" s="160">
        <f>IF($E722="","",IF($C722=12,INDEX(Input!$C$15:$CP$15,1,$B722),0))</f>
        <v>0</v>
      </c>
      <c r="V722" s="150">
        <f>IF(E722="","",IF(C722=1,IF($B722=1,Input!$C$33,Input!$C$34),0))</f>
        <v>0</v>
      </c>
      <c r="W722" s="156">
        <f>IF($E722="","",Input!$C$35)</f>
        <v>0.02</v>
      </c>
      <c r="X722" s="156">
        <f t="shared" si="458"/>
        <v>3.2166968513386403</v>
      </c>
      <c r="Y722" s="154"/>
      <c r="Z722" s="147">
        <f>IF($E722="","",VLOOKUP($D722,'Mortality Margins &amp; Grading'!$AB$5:$AF$125,3,0)*IF(Summary!$D$25="Included Margin",IF(AND($B722&gt;Input!$C$9,Summary!$D$31&lt;&gt;"Included Margin"),0,1),0))</f>
        <v>1.2E-2</v>
      </c>
      <c r="AA722" s="147">
        <f>IF($E722="","",VLOOKUP($D722,'Mortality Margins &amp; Grading'!$AB$5:$AF$125,5,0)*IF(Summary!$D$25="Included Margin",IF(AND($B722&gt;Input!$C$9,Summary!$D$31&lt;&gt;"Included Margin"),0,1),0))</f>
        <v>0.06</v>
      </c>
      <c r="AB722" s="147">
        <f>IF($E722="","",IF(AND($B722&gt;Input!$C$9,Summary!$D$31&lt;&gt;"Included Margin"),1,IF(Summary!$D$25="Included Margin",VLOOKUP($B722,'Mortality Margins &amp; Grading'!$AI$5:$AR$125,MATCH('Mortality Margins &amp; Grading'!$AQ$4,'Mortality Margins &amp; Grading'!$AI$4:$AR$4,0),0),1)))</f>
        <v>0</v>
      </c>
      <c r="AC722" s="154"/>
      <c r="AD722" s="158">
        <f>IF(E722="","",Input!$C$48*IF(Summary!$D$30="Included Margin",IF(AND($B722&gt;Input!$C$9,Summary!$D$31&lt;&gt;"Included Margin"),0,1),0))</f>
        <v>-4.4999999999999997E-3</v>
      </c>
      <c r="AE722" s="159">
        <f>IF(E722="","",IF(Summary!$D$26="Included Margin",IF(AND($B722&gt;Input!$C$9,Summary!$D$31&lt;&gt;"Included Margin"),1,1/$R722),1))</f>
        <v>1.3441205964662872</v>
      </c>
      <c r="AF722" s="160">
        <f>IF(E722="","",IF(AND($B722&gt;=Input!$C$9,$C722=12,Summary!$D$31="Included Margin",$U722&gt;0),1/U722-1,IF($B722&gt;=Input!$C$9,0,Input!$C$45*IF(Summary!$D$27="Included Margin",1,0))))</f>
        <v>0</v>
      </c>
      <c r="AG722" s="160">
        <f>IF(E722="","",Input!$C$46*IF(Summary!$D$28="Included Margin",IF(AND($B722&gt;Input!$C$9,Summary!$D$31&lt;&gt;"Included Margin"),0,1),0))</f>
        <v>0.02</v>
      </c>
      <c r="AH722" s="158">
        <f>IF(E722="","",Input!$C$47*IF(Summary!$D$29="Included Margin",IF(AND($B722&gt;Input!$C$9,Summary!$D$31&lt;&gt;"Included Margin"),0,1),0))</f>
        <v>2.5000000000000001E-3</v>
      </c>
      <c r="AI722" s="154"/>
      <c r="AJ722" s="158">
        <f t="shared" si="481"/>
        <v>4.3439999999999999E-2</v>
      </c>
      <c r="AK722" s="155">
        <f t="shared" si="482"/>
        <v>3.5498648217830997E-3</v>
      </c>
      <c r="AL722" s="147">
        <f t="shared" si="483"/>
        <v>1</v>
      </c>
      <c r="AM722" s="147">
        <f t="shared" si="461"/>
        <v>1</v>
      </c>
      <c r="AN722" s="160">
        <f t="shared" si="484"/>
        <v>0</v>
      </c>
      <c r="AO722" s="161">
        <f t="shared" si="485"/>
        <v>0</v>
      </c>
      <c r="AP722" s="156">
        <f t="shared" si="462"/>
        <v>3.7165132380893664</v>
      </c>
      <c r="AQ722" s="152"/>
      <c r="AR722" s="162">
        <f t="shared" si="463"/>
        <v>99822.82123923584</v>
      </c>
      <c r="AS722" s="150">
        <f t="shared" si="486"/>
        <v>0</v>
      </c>
      <c r="AT722" s="163">
        <f t="shared" si="464"/>
        <v>0</v>
      </c>
      <c r="AU722" s="163">
        <f t="shared" si="465"/>
        <v>100000</v>
      </c>
      <c r="AV722" s="163">
        <f t="shared" si="487"/>
        <v>176.86428043915117</v>
      </c>
      <c r="AW722" s="163">
        <f t="shared" si="466"/>
        <v>99823.135719560843</v>
      </c>
      <c r="AX722" s="163">
        <f t="shared" si="467"/>
        <v>0</v>
      </c>
      <c r="AY722" s="165">
        <f t="shared" si="488"/>
        <v>99822.82123923584</v>
      </c>
      <c r="AZ722" s="164">
        <f>IF($E722="","",IF(OR(AND($D722=Input!$C$6,$C722=12),$AN722=1),0,-AS723+AT723+AU723-AV723-AW723-AX723+AZ723))</f>
        <v>99823.135719560843</v>
      </c>
      <c r="BA722" s="154">
        <f t="shared" si="468"/>
        <v>0.31448032500338741</v>
      </c>
      <c r="BC722" s="147">
        <f t="shared" si="489"/>
        <v>6.2403360258121749E-11</v>
      </c>
      <c r="BD722" s="164">
        <f>IF(AND($C721=12,$D721=Input!$C$6),0,IF($E722="","",AT722+(AU722+BD723)/(1+$AK722)*MIN((1-AM722-AN722),1)))</f>
        <v>0</v>
      </c>
      <c r="BE722" s="164">
        <f t="shared" si="469"/>
        <v>0</v>
      </c>
      <c r="BF722" s="164">
        <f t="shared" si="490"/>
        <v>99823.135719560843</v>
      </c>
      <c r="BG722" s="164">
        <f t="shared" si="470"/>
        <v>6.2292991004031364E-6</v>
      </c>
      <c r="BH722" s="152"/>
      <c r="BI722" s="162">
        <f t="shared" si="471"/>
        <v>6484.2810585615543</v>
      </c>
      <c r="BJ722" s="150">
        <f t="shared" si="472"/>
        <v>0</v>
      </c>
      <c r="BK722" s="163">
        <f t="shared" si="494"/>
        <v>0</v>
      </c>
      <c r="BL722" s="163">
        <f t="shared" si="473"/>
        <v>10733.322790352262</v>
      </c>
      <c r="BM722" s="163">
        <f t="shared" si="495"/>
        <v>4.3696892936713354</v>
      </c>
      <c r="BN722" s="163">
        <f t="shared" si="474"/>
        <v>-510.36957106563801</v>
      </c>
      <c r="BO722" s="163">
        <f t="shared" si="475"/>
        <v>0</v>
      </c>
      <c r="BP722" s="164">
        <f t="shared" si="496"/>
        <v>-4755.0416135626747</v>
      </c>
      <c r="BQ722" s="164">
        <f>IF($E722="","",IF(AND($D722=Input!$C$6,$C722=12),0,-BJ723+BK723+BL723-BM723-BN723-BO723+BQ723))</f>
        <v>-4755.00067438937</v>
      </c>
      <c r="BR722" s="161">
        <f t="shared" si="476"/>
        <v>0</v>
      </c>
      <c r="BT722" s="147">
        <f t="shared" si="477"/>
        <v>6.2403360258121749E-11</v>
      </c>
      <c r="BU722" s="164">
        <f>IF(AND($C721=12,$D721=Input!$C$6),0,IF($E722="","",BK722+(BL722+BU723)/(1+$AK722)*MIN((1-T722-U722),1)))</f>
        <v>76761.140596533412</v>
      </c>
      <c r="BV722" s="164">
        <f t="shared" si="478"/>
        <v>4.7901531104698092E-6</v>
      </c>
      <c r="BW722" s="164">
        <f t="shared" si="479"/>
        <v>-4755.00067438937</v>
      </c>
      <c r="BX722" s="164">
        <f t="shared" si="480"/>
        <v>-2.9672802011153174E-7</v>
      </c>
    </row>
    <row r="723" spans="1:76" s="150" customFormat="1" x14ac:dyDescent="0.25">
      <c r="A723" s="150">
        <f t="shared" si="491"/>
        <v>719</v>
      </c>
      <c r="B723" s="150">
        <f t="shared" si="492"/>
        <v>60</v>
      </c>
      <c r="C723" s="150">
        <f t="shared" si="493"/>
        <v>11</v>
      </c>
      <c r="D723" s="150">
        <f>IF(E723="","",Input!$C$4+B723-1)</f>
        <v>104</v>
      </c>
      <c r="E723" s="150">
        <f>IF(OR(AND(C722=12,D722=Input!$C$6),E722=""),"",1)</f>
        <v>1</v>
      </c>
      <c r="F723" s="150">
        <f>IF(E723="","",Input!$C$8+B723-1)</f>
        <v>2077</v>
      </c>
      <c r="G723" s="151">
        <f>IF(E723="","",MAX(0,Input!$C$9-B723))</f>
        <v>0</v>
      </c>
      <c r="H723" s="152">
        <f>IF(E723="","",Input!$C$3)</f>
        <v>100000</v>
      </c>
      <c r="I723" s="153">
        <f>IF(E723="","",HLOOKUP($B723,Input!$C$13:$BT$14,2))</f>
        <v>1000</v>
      </c>
      <c r="J723" s="154"/>
      <c r="K723" s="155">
        <f>IF($E723="","",INDEX(Input!$C$16:$CP$16,1,$B723))</f>
        <v>3.2939999999999997E-2</v>
      </c>
      <c r="L723" s="155">
        <f>IF($E723="","",Input!$C$37)</f>
        <v>1.4999999999999999E-2</v>
      </c>
      <c r="M723" s="155">
        <f t="shared" si="456"/>
        <v>4.7939999999999997E-2</v>
      </c>
      <c r="N723" s="155">
        <f t="shared" si="457"/>
        <v>3.9098178359129321E-3</v>
      </c>
      <c r="O723" s="147">
        <f>IF($E723="","",MIN(VLOOKUP(IF($B723&lt;=Input!$C$7,$B723,26),'Mortality Tables'!$A$41:$CW$67,IF($B723&lt;=Input!$C$7+1,Input!$C$4+2,$D723-Input!$C$7+2),0)*IF(B723&gt;20,Input!$C$22,1)/1000,1))</f>
        <v>1</v>
      </c>
      <c r="P723" s="147">
        <f>IF($E723="","",MIN(VLOOKUP(IF($B723&lt;=Input!$C$7,$B723,26),'Mortality Tables'!$A$12:$CW$37,IF($B723&lt;=Input!$C$7+1,Input!$C$4+2,$D723-Input!$C$7+2),0)*IF(B723&gt;20,Input!$C$22,1)/1000,1))</f>
        <v>1</v>
      </c>
      <c r="Q723" s="155">
        <f>IF($E723="","",Input!$C$21)</f>
        <v>5.0000000000000001E-3</v>
      </c>
      <c r="R723" s="159">
        <f>IF($E723="","",(1-Q723)^($F723-Input!$C$20))</f>
        <v>0.74398086200673863</v>
      </c>
      <c r="S723" s="147">
        <f t="shared" si="459"/>
        <v>0.74398086200673863</v>
      </c>
      <c r="T723" s="147">
        <f t="shared" si="460"/>
        <v>0.10733322790352262</v>
      </c>
      <c r="U723" s="160">
        <f>IF($E723="","",IF($C723=12,INDEX(Input!$C$15:$CP$15,1,$B723),0))</f>
        <v>0</v>
      </c>
      <c r="V723" s="150">
        <f>IF(E723="","",IF(C723=1,IF($B723=1,Input!$C$33,Input!$C$34),0))</f>
        <v>0</v>
      </c>
      <c r="W723" s="156">
        <f>IF($E723="","",Input!$C$35)</f>
        <v>0.02</v>
      </c>
      <c r="X723" s="156">
        <f t="shared" si="458"/>
        <v>3.2166968513386403</v>
      </c>
      <c r="Y723" s="154"/>
      <c r="Z723" s="147">
        <f>IF($E723="","",VLOOKUP($D723,'Mortality Margins &amp; Grading'!$AB$5:$AF$125,3,0)*IF(Summary!$D$25="Included Margin",IF(AND($B723&gt;Input!$C$9,Summary!$D$31&lt;&gt;"Included Margin"),0,1),0))</f>
        <v>1.2E-2</v>
      </c>
      <c r="AA723" s="147">
        <f>IF($E723="","",VLOOKUP($D723,'Mortality Margins &amp; Grading'!$AB$5:$AF$125,5,0)*IF(Summary!$D$25="Included Margin",IF(AND($B723&gt;Input!$C$9,Summary!$D$31&lt;&gt;"Included Margin"),0,1),0))</f>
        <v>0.06</v>
      </c>
      <c r="AB723" s="147">
        <f>IF($E723="","",IF(AND($B723&gt;Input!$C$9,Summary!$D$31&lt;&gt;"Included Margin"),1,IF(Summary!$D$25="Included Margin",VLOOKUP($B723,'Mortality Margins &amp; Grading'!$AI$5:$AR$125,MATCH('Mortality Margins &amp; Grading'!$AQ$4,'Mortality Margins &amp; Grading'!$AI$4:$AR$4,0),0),1)))</f>
        <v>0</v>
      </c>
      <c r="AC723" s="154"/>
      <c r="AD723" s="158">
        <f>IF(E723="","",Input!$C$48*IF(Summary!$D$30="Included Margin",IF(AND($B723&gt;Input!$C$9,Summary!$D$31&lt;&gt;"Included Margin"),0,1),0))</f>
        <v>-4.4999999999999997E-3</v>
      </c>
      <c r="AE723" s="159">
        <f>IF(E723="","",IF(Summary!$D$26="Included Margin",IF(AND($B723&gt;Input!$C$9,Summary!$D$31&lt;&gt;"Included Margin"),1,1/$R723),1))</f>
        <v>1.3441205964662872</v>
      </c>
      <c r="AF723" s="160">
        <f>IF(E723="","",IF(AND($B723&gt;=Input!$C$9,$C723=12,Summary!$D$31="Included Margin",$U723&gt;0),1/U723-1,IF($B723&gt;=Input!$C$9,0,Input!$C$45*IF(Summary!$D$27="Included Margin",1,0))))</f>
        <v>0</v>
      </c>
      <c r="AG723" s="160">
        <f>IF(E723="","",Input!$C$46*IF(Summary!$D$28="Included Margin",IF(AND($B723&gt;Input!$C$9,Summary!$D$31&lt;&gt;"Included Margin"),0,1),0))</f>
        <v>0.02</v>
      </c>
      <c r="AH723" s="158">
        <f>IF(E723="","",Input!$C$47*IF(Summary!$D$29="Included Margin",IF(AND($B723&gt;Input!$C$9,Summary!$D$31&lt;&gt;"Included Margin"),0,1),0))</f>
        <v>2.5000000000000001E-3</v>
      </c>
      <c r="AI723" s="154"/>
      <c r="AJ723" s="158">
        <f t="shared" si="481"/>
        <v>4.3439999999999999E-2</v>
      </c>
      <c r="AK723" s="155">
        <f t="shared" si="482"/>
        <v>3.5498648217830997E-3</v>
      </c>
      <c r="AL723" s="147">
        <f t="shared" si="483"/>
        <v>1</v>
      </c>
      <c r="AM723" s="147">
        <f t="shared" si="461"/>
        <v>1</v>
      </c>
      <c r="AN723" s="160">
        <f t="shared" si="484"/>
        <v>0</v>
      </c>
      <c r="AO723" s="161">
        <f t="shared" si="485"/>
        <v>0</v>
      </c>
      <c r="AP723" s="156">
        <f t="shared" si="462"/>
        <v>3.7165132380893664</v>
      </c>
      <c r="AQ723" s="152"/>
      <c r="AR723" s="162">
        <f t="shared" si="463"/>
        <v>99822.82123923584</v>
      </c>
      <c r="AS723" s="150">
        <f t="shared" si="486"/>
        <v>0</v>
      </c>
      <c r="AT723" s="163">
        <f t="shared" si="464"/>
        <v>0</v>
      </c>
      <c r="AU723" s="163">
        <f t="shared" si="465"/>
        <v>100000</v>
      </c>
      <c r="AV723" s="163">
        <f t="shared" si="487"/>
        <v>176.86428043915117</v>
      </c>
      <c r="AW723" s="163">
        <f t="shared" si="466"/>
        <v>99823.135719560843</v>
      </c>
      <c r="AX723" s="163">
        <f t="shared" si="467"/>
        <v>0</v>
      </c>
      <c r="AY723" s="164">
        <f t="shared" si="488"/>
        <v>99822.82123923584</v>
      </c>
      <c r="AZ723" s="164">
        <f>IF($E723="","",IF(OR(AND($D723=Input!$C$6,$C723=12),$AN723=1),0,-AS724+AT724+AU724-AV724-AW724-AX724+AZ724))</f>
        <v>99823.135719560843</v>
      </c>
      <c r="BA723" s="154">
        <f t="shared" si="468"/>
        <v>0.31448032500338741</v>
      </c>
      <c r="BC723" s="147">
        <f t="shared" si="489"/>
        <v>5.570540616959114E-11</v>
      </c>
      <c r="BD723" s="164">
        <f>IF(AND($C722=12,$D722=Input!$C$6),0,IF($E723="","",AT723+(AU723+BD724)/(1+$AK723)*MIN((1-AM723-AN723),1)))</f>
        <v>0</v>
      </c>
      <c r="BE723" s="164">
        <f t="shared" si="469"/>
        <v>0</v>
      </c>
      <c r="BF723" s="164">
        <f t="shared" si="490"/>
        <v>99823.135719560843</v>
      </c>
      <c r="BG723" s="164">
        <f t="shared" si="470"/>
        <v>5.5606883203803584E-6</v>
      </c>
      <c r="BH723" s="152"/>
      <c r="BI723" s="162">
        <f t="shared" si="471"/>
        <v>-4755.0416135626747</v>
      </c>
      <c r="BJ723" s="150">
        <f t="shared" si="472"/>
        <v>0</v>
      </c>
      <c r="BK723" s="163">
        <f t="shared" si="494"/>
        <v>0</v>
      </c>
      <c r="BL723" s="163">
        <f t="shared" si="473"/>
        <v>10733.322790352262</v>
      </c>
      <c r="BM723" s="163">
        <f t="shared" si="495"/>
        <v>-39.574014953380569</v>
      </c>
      <c r="BN723" s="163">
        <f t="shared" si="474"/>
        <v>-1867.0565670730609</v>
      </c>
      <c r="BO723" s="163">
        <f t="shared" si="475"/>
        <v>0</v>
      </c>
      <c r="BP723" s="164">
        <f t="shared" si="496"/>
        <v>-17394.994985941379</v>
      </c>
      <c r="BQ723" s="164">
        <f>IF($E723="","",IF(AND($D723=Input!$C$6,$C723=12),0,-BJ724+BK724+BL724-BM724-BN724-BO724+BQ724))</f>
        <v>-17394.954046768074</v>
      </c>
      <c r="BR723" s="161">
        <f t="shared" si="476"/>
        <v>0</v>
      </c>
      <c r="BT723" s="147">
        <f t="shared" si="477"/>
        <v>5.570540616959114E-11</v>
      </c>
      <c r="BU723" s="164">
        <f>IF(AND($C722=12,$D722=Input!$C$6),0,IF($E723="","",BK723+(BL723+BU724)/(1+$AK723)*MIN((1-T723-U723),1)))</f>
        <v>75562.744989004234</v>
      </c>
      <c r="BV723" s="164">
        <f t="shared" si="478"/>
        <v>4.2092534009017183E-6</v>
      </c>
      <c r="BW723" s="164">
        <f t="shared" si="479"/>
        <v>-17394.954046768074</v>
      </c>
      <c r="BX723" s="164">
        <f t="shared" si="480"/>
        <v>-9.6899298047658871E-7</v>
      </c>
    </row>
    <row r="724" spans="1:76" s="150" customFormat="1" x14ac:dyDescent="0.25">
      <c r="A724" s="150">
        <f t="shared" si="491"/>
        <v>720</v>
      </c>
      <c r="B724" s="150">
        <f t="shared" si="492"/>
        <v>60</v>
      </c>
      <c r="C724" s="150">
        <f t="shared" si="493"/>
        <v>12</v>
      </c>
      <c r="D724" s="150">
        <f>IF(E724="","",Input!$C$4+B724-1)</f>
        <v>104</v>
      </c>
      <c r="E724" s="150">
        <f>IF(OR(AND(C723=12,D723=Input!$C$6),E723=""),"",1)</f>
        <v>1</v>
      </c>
      <c r="F724" s="150">
        <f>IF(E724="","",Input!$C$8+B724-1)</f>
        <v>2077</v>
      </c>
      <c r="G724" s="151">
        <f>IF(E724="","",MAX(0,Input!$C$9-B724))</f>
        <v>0</v>
      </c>
      <c r="H724" s="152">
        <f>IF(E724="","",Input!$C$3)</f>
        <v>100000</v>
      </c>
      <c r="I724" s="153">
        <f>IF(E724="","",HLOOKUP($B724,Input!$C$13:$BT$14,2))</f>
        <v>1000</v>
      </c>
      <c r="J724" s="154"/>
      <c r="K724" s="155">
        <f>IF($E724="","",INDEX(Input!$C$16:$CP$16,1,$B724))</f>
        <v>3.2939999999999997E-2</v>
      </c>
      <c r="L724" s="155">
        <f>IF($E724="","",Input!$C$37)</f>
        <v>1.4999999999999999E-2</v>
      </c>
      <c r="M724" s="155">
        <f t="shared" si="456"/>
        <v>4.7939999999999997E-2</v>
      </c>
      <c r="N724" s="155">
        <f t="shared" si="457"/>
        <v>3.9098178359129321E-3</v>
      </c>
      <c r="O724" s="147">
        <f>IF($E724="","",MIN(VLOOKUP(IF($B724&lt;=Input!$C$7,$B724,26),'Mortality Tables'!$A$41:$CW$67,IF($B724&lt;=Input!$C$7+1,Input!$C$4+2,$D724-Input!$C$7+2),0)*IF(B724&gt;20,Input!$C$22,1)/1000,1))</f>
        <v>1</v>
      </c>
      <c r="P724" s="147">
        <f>IF($E724="","",MIN(VLOOKUP(IF($B724&lt;=Input!$C$7,$B724,26),'Mortality Tables'!$A$12:$CW$37,IF($B724&lt;=Input!$C$7+1,Input!$C$4+2,$D724-Input!$C$7+2),0)*IF(B724&gt;20,Input!$C$22,1)/1000,1))</f>
        <v>1</v>
      </c>
      <c r="Q724" s="155">
        <f>IF($E724="","",Input!$C$21)</f>
        <v>5.0000000000000001E-3</v>
      </c>
      <c r="R724" s="159">
        <f>IF($E724="","",(1-Q724)^($F724-Input!$C$20))</f>
        <v>0.74398086200673863</v>
      </c>
      <c r="S724" s="147">
        <f t="shared" si="459"/>
        <v>0.74398086200673863</v>
      </c>
      <c r="T724" s="147">
        <f t="shared" si="460"/>
        <v>0.10733322790352262</v>
      </c>
      <c r="U724" s="160">
        <f>IF($E724="","",IF($C724=12,INDEX(Input!$C$15:$CP$15,1,$B724),0))</f>
        <v>0.1</v>
      </c>
      <c r="V724" s="150">
        <f>IF(E724="","",IF(C724=1,IF($B724=1,Input!$C$33,Input!$C$34),0))</f>
        <v>0</v>
      </c>
      <c r="W724" s="156">
        <f>IF($E724="","",Input!$C$35)</f>
        <v>0.02</v>
      </c>
      <c r="X724" s="156">
        <f t="shared" si="458"/>
        <v>3.2166968513386403</v>
      </c>
      <c r="Y724" s="154"/>
      <c r="Z724" s="147">
        <f>IF($E724="","",VLOOKUP($D724,'Mortality Margins &amp; Grading'!$AB$5:$AF$125,3,0)*IF(Summary!$D$25="Included Margin",IF(AND($B724&gt;Input!$C$9,Summary!$D$31&lt;&gt;"Included Margin"),0,1),0))</f>
        <v>1.2E-2</v>
      </c>
      <c r="AA724" s="147">
        <f>IF($E724="","",VLOOKUP($D724,'Mortality Margins &amp; Grading'!$AB$5:$AF$125,5,0)*IF(Summary!$D$25="Included Margin",IF(AND($B724&gt;Input!$C$9,Summary!$D$31&lt;&gt;"Included Margin"),0,1),0))</f>
        <v>0.06</v>
      </c>
      <c r="AB724" s="147">
        <f>IF($E724="","",IF(AND($B724&gt;Input!$C$9,Summary!$D$31&lt;&gt;"Included Margin"),1,IF(Summary!$D$25="Included Margin",VLOOKUP($B724,'Mortality Margins &amp; Grading'!$AI$5:$AR$125,MATCH('Mortality Margins &amp; Grading'!$AQ$4,'Mortality Margins &amp; Grading'!$AI$4:$AR$4,0),0),1)))</f>
        <v>0</v>
      </c>
      <c r="AC724" s="154"/>
      <c r="AD724" s="158">
        <f>IF(E724="","",Input!$C$48*IF(Summary!$D$30="Included Margin",IF(AND($B724&gt;Input!$C$9,Summary!$D$31&lt;&gt;"Included Margin"),0,1),0))</f>
        <v>-4.4999999999999997E-3</v>
      </c>
      <c r="AE724" s="159">
        <f>IF(E724="","",IF(Summary!$D$26="Included Margin",IF(AND($B724&gt;Input!$C$9,Summary!$D$31&lt;&gt;"Included Margin"),1,1/$R724),1))</f>
        <v>1.3441205964662872</v>
      </c>
      <c r="AF724" s="160">
        <f>IF(E724="","",IF(AND($B724&gt;=Input!$C$9,$C724=12,Summary!$D$31="Included Margin",$U724&gt;0),1/U724-1,IF($B724&gt;=Input!$C$9,0,Input!$C$45*IF(Summary!$D$27="Included Margin",1,0))))</f>
        <v>9</v>
      </c>
      <c r="AG724" s="160">
        <f>IF(E724="","",Input!$C$46*IF(Summary!$D$28="Included Margin",IF(AND($B724&gt;Input!$C$9,Summary!$D$31&lt;&gt;"Included Margin"),0,1),0))</f>
        <v>0.02</v>
      </c>
      <c r="AH724" s="158">
        <f>IF(E724="","",Input!$C$47*IF(Summary!$D$29="Included Margin",IF(AND($B724&gt;Input!$C$9,Summary!$D$31&lt;&gt;"Included Margin"),0,1),0))</f>
        <v>2.5000000000000001E-3</v>
      </c>
      <c r="AI724" s="154"/>
      <c r="AJ724" s="158">
        <f t="shared" si="481"/>
        <v>4.3439999999999999E-2</v>
      </c>
      <c r="AK724" s="155">
        <f t="shared" si="482"/>
        <v>3.5498648217830997E-3</v>
      </c>
      <c r="AL724" s="147">
        <f t="shared" si="483"/>
        <v>1</v>
      </c>
      <c r="AM724" s="147">
        <f t="shared" si="461"/>
        <v>1</v>
      </c>
      <c r="AN724" s="160">
        <f t="shared" si="484"/>
        <v>1</v>
      </c>
      <c r="AO724" s="161">
        <f t="shared" si="485"/>
        <v>0</v>
      </c>
      <c r="AP724" s="156">
        <f t="shared" si="462"/>
        <v>3.7165132380893664</v>
      </c>
      <c r="AQ724" s="152"/>
      <c r="AR724" s="162">
        <f t="shared" si="463"/>
        <v>99822.82123923584</v>
      </c>
      <c r="AS724" s="150">
        <f t="shared" si="486"/>
        <v>0</v>
      </c>
      <c r="AT724" s="163">
        <f t="shared" si="464"/>
        <v>0</v>
      </c>
      <c r="AU724" s="163">
        <f t="shared" si="465"/>
        <v>100000</v>
      </c>
      <c r="AV724" s="163">
        <f t="shared" si="487"/>
        <v>176.86428043915117</v>
      </c>
      <c r="AW724" s="163">
        <f t="shared" si="466"/>
        <v>0</v>
      </c>
      <c r="AX724" s="163">
        <f t="shared" si="467"/>
        <v>0</v>
      </c>
      <c r="AY724" s="165">
        <f t="shared" si="488"/>
        <v>-0.31448032500878753</v>
      </c>
      <c r="AZ724" s="164">
        <f>IF($E724="","",IF(OR(AND($D724=Input!$C$6,$C724=12),$AN724=1),0,-AS725+AT725+AU725-AV725-AW725-AX725+AZ725))</f>
        <v>0</v>
      </c>
      <c r="BA724" s="154">
        <f t="shared" si="468"/>
        <v>0.31448032500878753</v>
      </c>
      <c r="BC724" s="147">
        <f t="shared" si="489"/>
        <v>4.4155824496773003E-11</v>
      </c>
      <c r="BD724" s="164">
        <f>IF(AND($C723=12,$D723=Input!$C$6),0,IF($E724="","",AT724+(AU724+BD725)/(1+$AK724)*MIN((1-AM724-AN724),1)))</f>
        <v>-99839.390533799073</v>
      </c>
      <c r="BE724" s="164">
        <f t="shared" si="469"/>
        <v>-4.4084906062752114E-6</v>
      </c>
      <c r="BF724" s="164">
        <f t="shared" si="490"/>
        <v>0</v>
      </c>
      <c r="BG724" s="164">
        <f t="shared" si="470"/>
        <v>0</v>
      </c>
      <c r="BH724" s="152"/>
      <c r="BI724" s="162">
        <f t="shared" si="471"/>
        <v>-17394.994985941383</v>
      </c>
      <c r="BJ724" s="150">
        <f t="shared" si="472"/>
        <v>0</v>
      </c>
      <c r="BK724" s="163">
        <f t="shared" si="494"/>
        <v>0</v>
      </c>
      <c r="BL724" s="163">
        <f t="shared" si="473"/>
        <v>10733.322790352262</v>
      </c>
      <c r="BM724" s="163">
        <f t="shared" si="495"/>
        <v>-88.993930093814669</v>
      </c>
      <c r="BN724" s="163">
        <f t="shared" si="474"/>
        <v>-3769.7913820876902</v>
      </c>
      <c r="BO724" s="163">
        <f t="shared" si="475"/>
        <v>-3135.252307468239</v>
      </c>
      <c r="BP724" s="164">
        <f t="shared" si="496"/>
        <v>-35122.355395943385</v>
      </c>
      <c r="BQ724" s="164">
        <f>IF($E724="","",IF(AND($D724=Input!$C$6,$C724=12),0,-BJ725+BK725+BL725-BM725-BN725-BO725+BQ725))</f>
        <v>-35122.31445677008</v>
      </c>
      <c r="BR724" s="161">
        <f t="shared" si="476"/>
        <v>0</v>
      </c>
      <c r="BT724" s="147">
        <f t="shared" si="477"/>
        <v>4.4155824496773003E-11</v>
      </c>
      <c r="BU724" s="164">
        <f>IF(AND($C723=12,$D723=Input!$C$6),0,IF($E724="","",BK724+(BL724+BU725)/(1+$AK724)*MIN((1-T724-U724),1)))</f>
        <v>74215.490013763658</v>
      </c>
      <c r="BV724" s="164">
        <f t="shared" si="478"/>
        <v>3.2770461519897575E-6</v>
      </c>
      <c r="BW724" s="164">
        <f t="shared" si="479"/>
        <v>-35122.31445677008</v>
      </c>
      <c r="BX724" s="164">
        <f t="shared" si="480"/>
        <v>-1.5508547530736128E-6</v>
      </c>
    </row>
    <row r="725" spans="1:76" s="150" customFormat="1" x14ac:dyDescent="0.25">
      <c r="A725" s="150">
        <f t="shared" si="491"/>
        <v>721</v>
      </c>
      <c r="B725" s="150">
        <f t="shared" si="492"/>
        <v>61</v>
      </c>
      <c r="C725" s="150">
        <f t="shared" si="493"/>
        <v>1</v>
      </c>
      <c r="D725" s="150">
        <f>IF(E725="","",Input!$C$4+B725-1)</f>
        <v>105</v>
      </c>
      <c r="E725" s="150">
        <f>IF(OR(AND(C724=12,D724=Input!$C$6),E724=""),"",1)</f>
        <v>1</v>
      </c>
      <c r="F725" s="150">
        <f>IF(E725="","",Input!$C$8+B725-1)</f>
        <v>2078</v>
      </c>
      <c r="G725" s="151">
        <f>IF(E725="","",MAX(0,Input!$C$9-B725))</f>
        <v>0</v>
      </c>
      <c r="H725" s="152">
        <f>IF(E725="","",Input!$C$3)</f>
        <v>100000</v>
      </c>
      <c r="I725" s="153">
        <f>IF(E725="","",HLOOKUP($B725,Input!$C$13:$BT$14,2))</f>
        <v>1000</v>
      </c>
      <c r="J725" s="154"/>
      <c r="K725" s="155">
        <f>IF($E725="","",INDEX(Input!$C$16:$CP$16,1,$B725))</f>
        <v>3.2969999999999999E-2</v>
      </c>
      <c r="L725" s="155">
        <f>IF($E725="","",Input!$C$37)</f>
        <v>1.4999999999999999E-2</v>
      </c>
      <c r="M725" s="155">
        <f t="shared" si="456"/>
        <v>4.7969999999999999E-2</v>
      </c>
      <c r="N725" s="155">
        <f t="shared" si="457"/>
        <v>3.9122127646440408E-3</v>
      </c>
      <c r="O725" s="147">
        <f>IF($E725="","",MIN(VLOOKUP(IF($B725&lt;=Input!$C$7,$B725,26),'Mortality Tables'!$A$41:$CW$67,IF($B725&lt;=Input!$C$7+1,Input!$C$4+2,$D725-Input!$C$7+2),0)*IF(B725&gt;20,Input!$C$22,1)/1000,1))</f>
        <v>1</v>
      </c>
      <c r="P725" s="147">
        <f>IF($E725="","",MIN(VLOOKUP(IF($B725&lt;=Input!$C$7,$B725,26),'Mortality Tables'!$A$12:$CW$37,IF($B725&lt;=Input!$C$7+1,Input!$C$4+2,$D725-Input!$C$7+2),0)*IF(B725&gt;20,Input!$C$22,1)/1000,1))</f>
        <v>1</v>
      </c>
      <c r="Q725" s="155">
        <f>IF($E725="","",Input!$C$21)</f>
        <v>5.0000000000000001E-3</v>
      </c>
      <c r="R725" s="159">
        <f>IF($E725="","",(1-Q725)^($F725-Input!$C$20))</f>
        <v>0.74026095769670508</v>
      </c>
      <c r="S725" s="147">
        <f t="shared" si="459"/>
        <v>0.74026095769670508</v>
      </c>
      <c r="T725" s="147">
        <f t="shared" si="460"/>
        <v>0.10625950466461764</v>
      </c>
      <c r="U725" s="160">
        <f>IF($E725="","",IF($C725=12,INDEX(Input!$C$15:$CP$15,1,$B725),0))</f>
        <v>0</v>
      </c>
      <c r="V725" s="150">
        <f>IF(E725="","",IF(C725=1,IF($B725=1,Input!$C$33,Input!$C$34),0))</f>
        <v>50</v>
      </c>
      <c r="W725" s="156">
        <f>IF($E725="","",Input!$C$35)</f>
        <v>0.02</v>
      </c>
      <c r="X725" s="156">
        <f t="shared" si="458"/>
        <v>3.2810307883654133</v>
      </c>
      <c r="Y725" s="154"/>
      <c r="Z725" s="147">
        <f>IF($E725="","",VLOOKUP($D725,'Mortality Margins &amp; Grading'!$AB$5:$AF$125,3,0)*IF(Summary!$D$25="Included Margin",IF(AND($B725&gt;Input!$C$9,Summary!$D$31&lt;&gt;"Included Margin"),0,1),0))</f>
        <v>1.2E-2</v>
      </c>
      <c r="AA725" s="147">
        <f>IF($E725="","",VLOOKUP($D725,'Mortality Margins &amp; Grading'!$AB$5:$AF$125,5,0)*IF(Summary!$D$25="Included Margin",IF(AND($B725&gt;Input!$C$9,Summary!$D$31&lt;&gt;"Included Margin"),0,1),0))</f>
        <v>0.06</v>
      </c>
      <c r="AB725" s="147">
        <f>IF($E725="","",IF(AND($B725&gt;Input!$C$9,Summary!$D$31&lt;&gt;"Included Margin"),1,IF(Summary!$D$25="Included Margin",VLOOKUP($B725,'Mortality Margins &amp; Grading'!$AI$5:$AR$125,MATCH('Mortality Margins &amp; Grading'!$AQ$4,'Mortality Margins &amp; Grading'!$AI$4:$AR$4,0),0),1)))</f>
        <v>0</v>
      </c>
      <c r="AC725" s="154"/>
      <c r="AD725" s="158">
        <f>IF(E725="","",Input!$C$48*IF(Summary!$D$30="Included Margin",IF(AND($B725&gt;Input!$C$9,Summary!$D$31&lt;&gt;"Included Margin"),0,1),0))</f>
        <v>-4.4999999999999997E-3</v>
      </c>
      <c r="AE725" s="159">
        <f>IF(E725="","",IF(Summary!$D$26="Included Margin",IF(AND($B725&gt;Input!$C$9,Summary!$D$31&lt;&gt;"Included Margin"),1,1/$R725),1))</f>
        <v>1.3508749713229014</v>
      </c>
      <c r="AF725" s="160">
        <f>IF(E725="","",IF(AND($B725&gt;=Input!$C$9,$C725=12,Summary!$D$31="Included Margin",$U725&gt;0),1/U725-1,IF($B725&gt;=Input!$C$9,0,Input!$C$45*IF(Summary!$D$27="Included Margin",1,0))))</f>
        <v>0</v>
      </c>
      <c r="AG725" s="160">
        <f>IF(E725="","",Input!$C$46*IF(Summary!$D$28="Included Margin",IF(AND($B725&gt;Input!$C$9,Summary!$D$31&lt;&gt;"Included Margin"),0,1),0))</f>
        <v>0.02</v>
      </c>
      <c r="AH725" s="158">
        <f>IF(E725="","",Input!$C$47*IF(Summary!$D$29="Included Margin",IF(AND($B725&gt;Input!$C$9,Summary!$D$31&lt;&gt;"Included Margin"),0,1),0))</f>
        <v>2.5000000000000001E-3</v>
      </c>
      <c r="AI725" s="154"/>
      <c r="AJ725" s="158">
        <f t="shared" si="481"/>
        <v>4.3470000000000002E-2</v>
      </c>
      <c r="AK725" s="155">
        <f t="shared" si="482"/>
        <v>3.5522692164793312E-3</v>
      </c>
      <c r="AL725" s="147">
        <f t="shared" si="483"/>
        <v>1</v>
      </c>
      <c r="AM725" s="147">
        <f t="shared" si="461"/>
        <v>1</v>
      </c>
      <c r="AN725" s="160">
        <f t="shared" si="484"/>
        <v>0</v>
      </c>
      <c r="AO725" s="161">
        <f t="shared" si="485"/>
        <v>51</v>
      </c>
      <c r="AP725" s="156">
        <f t="shared" si="462"/>
        <v>3.8001347859463772</v>
      </c>
      <c r="AQ725" s="152"/>
      <c r="AR725" s="162">
        <f t="shared" si="463"/>
        <v>16.508319358338866</v>
      </c>
      <c r="AS725" s="150">
        <f t="shared" si="486"/>
        <v>100000</v>
      </c>
      <c r="AT725" s="163">
        <f t="shared" si="464"/>
        <v>193.80687408326523</v>
      </c>
      <c r="AU725" s="163">
        <f t="shared" si="465"/>
        <v>100000</v>
      </c>
      <c r="AV725" s="163">
        <f t="shared" si="487"/>
        <v>176.98364862589094</v>
      </c>
      <c r="AW725" s="163">
        <f t="shared" si="466"/>
        <v>99823.016351374114</v>
      </c>
      <c r="AX725" s="163">
        <f t="shared" si="467"/>
        <v>0</v>
      </c>
      <c r="AY725" s="164">
        <f t="shared" si="488"/>
        <v>99822.701445275074</v>
      </c>
      <c r="AZ725" s="164">
        <f>IF($E725="","",IF(OR(AND($D725=Input!$C$6,$C725=12),$AN725=1),0,-AS726+AT726+AU726-AV726-AW726-AX726+AZ726))</f>
        <v>99823.016351374114</v>
      </c>
      <c r="BA725" s="154">
        <f t="shared" si="468"/>
        <v>0.31490609903994482</v>
      </c>
      <c r="BC725" s="147">
        <f t="shared" si="489"/>
        <v>3.9463848457688116E-11</v>
      </c>
      <c r="BD725" s="164">
        <f>IF(AND($C724=12,$D724=Input!$C$6),0,IF($E725="","",AT725+(AU725+BD726)/(1+$AK725)*MIN((1-AM725-AN725),1)))</f>
        <v>193.80687408326523</v>
      </c>
      <c r="BE725" s="164">
        <f t="shared" si="469"/>
        <v>7.6483651088802213E-9</v>
      </c>
      <c r="BF725" s="164">
        <f t="shared" si="490"/>
        <v>99823.016351374114</v>
      </c>
      <c r="BG725" s="164">
        <f t="shared" si="470"/>
        <v>3.9394003898799507E-6</v>
      </c>
      <c r="BH725" s="152"/>
      <c r="BI725" s="162">
        <f t="shared" si="471"/>
        <v>-35122.355036021458</v>
      </c>
      <c r="BJ725" s="150">
        <f t="shared" si="472"/>
        <v>100000</v>
      </c>
      <c r="BK725" s="163">
        <f t="shared" si="494"/>
        <v>164.05153941827066</v>
      </c>
      <c r="BL725" s="163">
        <f t="shared" si="473"/>
        <v>10625.950466461763</v>
      </c>
      <c r="BM725" s="163">
        <f t="shared" si="495"/>
        <v>232.38785671586584</v>
      </c>
      <c r="BN725" s="163">
        <f t="shared" si="474"/>
        <v>6458.2772178339101</v>
      </c>
      <c r="BO725" s="163">
        <f t="shared" si="475"/>
        <v>0</v>
      </c>
      <c r="BP725" s="164">
        <f t="shared" si="496"/>
        <v>60778.308032648281</v>
      </c>
      <c r="BQ725" s="164">
        <f>IF($E725="","",IF(AND($D725=Input!$C$6,$C725=12),0,-BJ726+BK726+BL726-BM726-BN726-BO726+BQ726))</f>
        <v>60778.348611899666</v>
      </c>
      <c r="BR725" s="161">
        <f t="shared" si="476"/>
        <v>0</v>
      </c>
      <c r="BT725" s="147">
        <f t="shared" si="477"/>
        <v>3.9463848457688116E-11</v>
      </c>
      <c r="BU725" s="164">
        <f>IF(AND($C724=12,$D724=Input!$C$6),0,IF($E725="","",BK725+(BL725+BU726)/(1+$AK725)*MIN((1-T725-U725),1)))</f>
        <v>83226.645752305281</v>
      </c>
      <c r="BV725" s="164">
        <f t="shared" si="478"/>
        <v>3.2844437356106678E-6</v>
      </c>
      <c r="BW725" s="164">
        <f t="shared" si="479"/>
        <v>60778.348611899666</v>
      </c>
      <c r="BX725" s="164">
        <f t="shared" si="480"/>
        <v>2.3985475391285472E-6</v>
      </c>
    </row>
    <row r="726" spans="1:76" s="150" customFormat="1" x14ac:dyDescent="0.25">
      <c r="A726" s="150">
        <f t="shared" si="491"/>
        <v>722</v>
      </c>
      <c r="B726" s="150">
        <f t="shared" si="492"/>
        <v>61</v>
      </c>
      <c r="C726" s="150">
        <f t="shared" si="493"/>
        <v>2</v>
      </c>
      <c r="D726" s="150">
        <f>IF(E726="","",Input!$C$4+B726-1)</f>
        <v>105</v>
      </c>
      <c r="E726" s="150">
        <f>IF(OR(AND(C725=12,D725=Input!$C$6),E725=""),"",1)</f>
        <v>1</v>
      </c>
      <c r="F726" s="150">
        <f>IF(E726="","",Input!$C$8+B726-1)</f>
        <v>2078</v>
      </c>
      <c r="G726" s="151">
        <f>IF(E726="","",MAX(0,Input!$C$9-B726))</f>
        <v>0</v>
      </c>
      <c r="H726" s="152">
        <f>IF(E726="","",Input!$C$3)</f>
        <v>100000</v>
      </c>
      <c r="I726" s="153">
        <f>IF(E726="","",HLOOKUP($B726,Input!$C$13:$BT$14,2))</f>
        <v>1000</v>
      </c>
      <c r="J726" s="154"/>
      <c r="K726" s="155">
        <f>IF($E726="","",INDEX(Input!$C$16:$CP$16,1,$B726))</f>
        <v>3.2969999999999999E-2</v>
      </c>
      <c r="L726" s="155">
        <f>IF($E726="","",Input!$C$37)</f>
        <v>1.4999999999999999E-2</v>
      </c>
      <c r="M726" s="155">
        <f t="shared" si="456"/>
        <v>4.7969999999999999E-2</v>
      </c>
      <c r="N726" s="155">
        <f t="shared" si="457"/>
        <v>3.9122127646440408E-3</v>
      </c>
      <c r="O726" s="147">
        <f>IF($E726="","",MIN(VLOOKUP(IF($B726&lt;=Input!$C$7,$B726,26),'Mortality Tables'!$A$41:$CW$67,IF($B726&lt;=Input!$C$7+1,Input!$C$4+2,$D726-Input!$C$7+2),0)*IF(B726&gt;20,Input!$C$22,1)/1000,1))</f>
        <v>1</v>
      </c>
      <c r="P726" s="147">
        <f>IF($E726="","",MIN(VLOOKUP(IF($B726&lt;=Input!$C$7,$B726,26),'Mortality Tables'!$A$12:$CW$37,IF($B726&lt;=Input!$C$7+1,Input!$C$4+2,$D726-Input!$C$7+2),0)*IF(B726&gt;20,Input!$C$22,1)/1000,1))</f>
        <v>1</v>
      </c>
      <c r="Q726" s="155">
        <f>IF($E726="","",Input!$C$21)</f>
        <v>5.0000000000000001E-3</v>
      </c>
      <c r="R726" s="159">
        <f>IF($E726="","",(1-Q726)^($F726-Input!$C$20))</f>
        <v>0.74026095769670508</v>
      </c>
      <c r="S726" s="147">
        <f t="shared" si="459"/>
        <v>0.74026095769670508</v>
      </c>
      <c r="T726" s="147">
        <f t="shared" si="460"/>
        <v>0.10625950466461764</v>
      </c>
      <c r="U726" s="160">
        <f>IF($E726="","",IF($C726=12,INDEX(Input!$C$15:$CP$15,1,$B726),0))</f>
        <v>0</v>
      </c>
      <c r="V726" s="150">
        <f>IF(E726="","",IF(C726=1,IF($B726=1,Input!$C$33,Input!$C$34),0))</f>
        <v>0</v>
      </c>
      <c r="W726" s="156">
        <f>IF($E726="","",Input!$C$35)</f>
        <v>0.02</v>
      </c>
      <c r="X726" s="156">
        <f t="shared" si="458"/>
        <v>3.2810307883654133</v>
      </c>
      <c r="Y726" s="154"/>
      <c r="Z726" s="147">
        <f>IF($E726="","",VLOOKUP($D726,'Mortality Margins &amp; Grading'!$AB$5:$AF$125,3,0)*IF(Summary!$D$25="Included Margin",IF(AND($B726&gt;Input!$C$9,Summary!$D$31&lt;&gt;"Included Margin"),0,1),0))</f>
        <v>1.2E-2</v>
      </c>
      <c r="AA726" s="147">
        <f>IF($E726="","",VLOOKUP($D726,'Mortality Margins &amp; Grading'!$AB$5:$AF$125,5,0)*IF(Summary!$D$25="Included Margin",IF(AND($B726&gt;Input!$C$9,Summary!$D$31&lt;&gt;"Included Margin"),0,1),0))</f>
        <v>0.06</v>
      </c>
      <c r="AB726" s="147">
        <f>IF($E726="","",IF(AND($B726&gt;Input!$C$9,Summary!$D$31&lt;&gt;"Included Margin"),1,IF(Summary!$D$25="Included Margin",VLOOKUP($B726,'Mortality Margins &amp; Grading'!$AI$5:$AR$125,MATCH('Mortality Margins &amp; Grading'!$AQ$4,'Mortality Margins &amp; Grading'!$AI$4:$AR$4,0),0),1)))</f>
        <v>0</v>
      </c>
      <c r="AC726" s="154"/>
      <c r="AD726" s="158">
        <f>IF(E726="","",Input!$C$48*IF(Summary!$D$30="Included Margin",IF(AND($B726&gt;Input!$C$9,Summary!$D$31&lt;&gt;"Included Margin"),0,1),0))</f>
        <v>-4.4999999999999997E-3</v>
      </c>
      <c r="AE726" s="159">
        <f>IF(E726="","",IF(Summary!$D$26="Included Margin",IF(AND($B726&gt;Input!$C$9,Summary!$D$31&lt;&gt;"Included Margin"),1,1/$R726),1))</f>
        <v>1.3508749713229014</v>
      </c>
      <c r="AF726" s="160">
        <f>IF(E726="","",IF(AND($B726&gt;=Input!$C$9,$C726=12,Summary!$D$31="Included Margin",$U726&gt;0),1/U726-1,IF($B726&gt;=Input!$C$9,0,Input!$C$45*IF(Summary!$D$27="Included Margin",1,0))))</f>
        <v>0</v>
      </c>
      <c r="AG726" s="160">
        <f>IF(E726="","",Input!$C$46*IF(Summary!$D$28="Included Margin",IF(AND($B726&gt;Input!$C$9,Summary!$D$31&lt;&gt;"Included Margin"),0,1),0))</f>
        <v>0.02</v>
      </c>
      <c r="AH726" s="158">
        <f>IF(E726="","",Input!$C$47*IF(Summary!$D$29="Included Margin",IF(AND($B726&gt;Input!$C$9,Summary!$D$31&lt;&gt;"Included Margin"),0,1),0))</f>
        <v>2.5000000000000001E-3</v>
      </c>
      <c r="AI726" s="154"/>
      <c r="AJ726" s="158">
        <f t="shared" si="481"/>
        <v>4.3470000000000002E-2</v>
      </c>
      <c r="AK726" s="155">
        <f t="shared" si="482"/>
        <v>3.5522692164793312E-3</v>
      </c>
      <c r="AL726" s="147">
        <f t="shared" si="483"/>
        <v>1</v>
      </c>
      <c r="AM726" s="147">
        <f t="shared" si="461"/>
        <v>1</v>
      </c>
      <c r="AN726" s="160">
        <f t="shared" si="484"/>
        <v>0</v>
      </c>
      <c r="AO726" s="161">
        <f t="shared" si="485"/>
        <v>0</v>
      </c>
      <c r="AP726" s="156">
        <f t="shared" si="462"/>
        <v>3.8001347859463772</v>
      </c>
      <c r="AQ726" s="152"/>
      <c r="AR726" s="162">
        <f t="shared" si="463"/>
        <v>99822.701445275074</v>
      </c>
      <c r="AS726" s="150">
        <f t="shared" si="486"/>
        <v>0</v>
      </c>
      <c r="AT726" s="163">
        <f t="shared" si="464"/>
        <v>0</v>
      </c>
      <c r="AU726" s="163">
        <f t="shared" si="465"/>
        <v>100000</v>
      </c>
      <c r="AV726" s="163">
        <f t="shared" si="487"/>
        <v>176.98364862589094</v>
      </c>
      <c r="AW726" s="163">
        <f t="shared" si="466"/>
        <v>99823.016351374114</v>
      </c>
      <c r="AX726" s="163">
        <f t="shared" si="467"/>
        <v>0</v>
      </c>
      <c r="AY726" s="165">
        <f t="shared" si="488"/>
        <v>99822.701445275074</v>
      </c>
      <c r="AZ726" s="164">
        <f>IF($E726="","",IF(OR(AND($D726=Input!$C$6,$C726=12),$AN726=1),0,-AS727+AT727+AU727-AV727-AW727-AX727+AZ727))</f>
        <v>99823.016351374114</v>
      </c>
      <c r="BA726" s="154">
        <f t="shared" si="468"/>
        <v>0.31490609903994482</v>
      </c>
      <c r="BC726" s="147">
        <f t="shared" si="489"/>
        <v>3.5270439468414641E-11</v>
      </c>
      <c r="BD726" s="164">
        <f>IF(AND($C725=12,$D725=Input!$C$6),0,IF($E726="","",AT726+(AU726+BD727)/(1+$AK726)*MIN((1-AM726-AN726),1)))</f>
        <v>0</v>
      </c>
      <c r="BE726" s="164">
        <f t="shared" si="469"/>
        <v>0</v>
      </c>
      <c r="BF726" s="164">
        <f t="shared" si="490"/>
        <v>99823.016351374114</v>
      </c>
      <c r="BG726" s="164">
        <f t="shared" si="470"/>
        <v>3.5208016557757056E-6</v>
      </c>
      <c r="BH726" s="152"/>
      <c r="BI726" s="162">
        <f t="shared" si="471"/>
        <v>60778.308032648274</v>
      </c>
      <c r="BJ726" s="150">
        <f t="shared" si="472"/>
        <v>0</v>
      </c>
      <c r="BK726" s="163">
        <f t="shared" si="494"/>
        <v>0</v>
      </c>
      <c r="BL726" s="163">
        <f t="shared" si="473"/>
        <v>10625.950466461763</v>
      </c>
      <c r="BM726" s="163">
        <f t="shared" si="495"/>
        <v>216.99218297311049</v>
      </c>
      <c r="BN726" s="163">
        <f t="shared" si="474"/>
        <v>5988.5688233778374</v>
      </c>
      <c r="BO726" s="163">
        <f t="shared" si="475"/>
        <v>0</v>
      </c>
      <c r="BP726" s="164">
        <f t="shared" si="496"/>
        <v>56357.918572537455</v>
      </c>
      <c r="BQ726" s="164">
        <f>IF($E726="","",IF(AND($D726=Input!$C$6,$C726=12),0,-BJ727+BK727+BL727-BM727-BN727-BO727+BQ727))</f>
        <v>56357.959151788848</v>
      </c>
      <c r="BR726" s="161">
        <f t="shared" si="476"/>
        <v>0</v>
      </c>
      <c r="BT726" s="147">
        <f t="shared" si="477"/>
        <v>3.5270439468414641E-11</v>
      </c>
      <c r="BU726" s="164">
        <f>IF(AND($C725=12,$D725=Input!$C$6),0,IF($E726="","",BK726+(BL726+BU727)/(1+$AK726)*MIN((1-T726-U726),1)))</f>
        <v>82642.347595907922</v>
      </c>
      <c r="BV726" s="164">
        <f t="shared" si="478"/>
        <v>2.9148319184091525E-6</v>
      </c>
      <c r="BW726" s="164">
        <f t="shared" si="479"/>
        <v>56357.959151788848</v>
      </c>
      <c r="BX726" s="164">
        <f t="shared" si="480"/>
        <v>1.9877699868265534E-6</v>
      </c>
    </row>
    <row r="727" spans="1:76" s="150" customFormat="1" x14ac:dyDescent="0.25">
      <c r="A727" s="150">
        <f t="shared" si="491"/>
        <v>723</v>
      </c>
      <c r="B727" s="150">
        <f t="shared" si="492"/>
        <v>61</v>
      </c>
      <c r="C727" s="150">
        <f t="shared" si="493"/>
        <v>3</v>
      </c>
      <c r="D727" s="150">
        <f>IF(E727="","",Input!$C$4+B727-1)</f>
        <v>105</v>
      </c>
      <c r="E727" s="150">
        <f>IF(OR(AND(C726=12,D726=Input!$C$6),E726=""),"",1)</f>
        <v>1</v>
      </c>
      <c r="F727" s="150">
        <f>IF(E727="","",Input!$C$8+B727-1)</f>
        <v>2078</v>
      </c>
      <c r="G727" s="151">
        <f>IF(E727="","",MAX(0,Input!$C$9-B727))</f>
        <v>0</v>
      </c>
      <c r="H727" s="152">
        <f>IF(E727="","",Input!$C$3)</f>
        <v>100000</v>
      </c>
      <c r="I727" s="153">
        <f>IF(E727="","",HLOOKUP($B727,Input!$C$13:$BT$14,2))</f>
        <v>1000</v>
      </c>
      <c r="J727" s="154"/>
      <c r="K727" s="155">
        <f>IF($E727="","",INDEX(Input!$C$16:$CP$16,1,$B727))</f>
        <v>3.2969999999999999E-2</v>
      </c>
      <c r="L727" s="155">
        <f>IF($E727="","",Input!$C$37)</f>
        <v>1.4999999999999999E-2</v>
      </c>
      <c r="M727" s="155">
        <f t="shared" si="456"/>
        <v>4.7969999999999999E-2</v>
      </c>
      <c r="N727" s="155">
        <f t="shared" si="457"/>
        <v>3.9122127646440408E-3</v>
      </c>
      <c r="O727" s="147">
        <f>IF($E727="","",MIN(VLOOKUP(IF($B727&lt;=Input!$C$7,$B727,26),'Mortality Tables'!$A$41:$CW$67,IF($B727&lt;=Input!$C$7+1,Input!$C$4+2,$D727-Input!$C$7+2),0)*IF(B727&gt;20,Input!$C$22,1)/1000,1))</f>
        <v>1</v>
      </c>
      <c r="P727" s="147">
        <f>IF($E727="","",MIN(VLOOKUP(IF($B727&lt;=Input!$C$7,$B727,26),'Mortality Tables'!$A$12:$CW$37,IF($B727&lt;=Input!$C$7+1,Input!$C$4+2,$D727-Input!$C$7+2),0)*IF(B727&gt;20,Input!$C$22,1)/1000,1))</f>
        <v>1</v>
      </c>
      <c r="Q727" s="155">
        <f>IF($E727="","",Input!$C$21)</f>
        <v>5.0000000000000001E-3</v>
      </c>
      <c r="R727" s="159">
        <f>IF($E727="","",(1-Q727)^($F727-Input!$C$20))</f>
        <v>0.74026095769670508</v>
      </c>
      <c r="S727" s="147">
        <f t="shared" si="459"/>
        <v>0.74026095769670508</v>
      </c>
      <c r="T727" s="147">
        <f t="shared" si="460"/>
        <v>0.10625950466461764</v>
      </c>
      <c r="U727" s="160">
        <f>IF($E727="","",IF($C727=12,INDEX(Input!$C$15:$CP$15,1,$B727),0))</f>
        <v>0</v>
      </c>
      <c r="V727" s="150">
        <f>IF(E727="","",IF(C727=1,IF($B727=1,Input!$C$33,Input!$C$34),0))</f>
        <v>0</v>
      </c>
      <c r="W727" s="156">
        <f>IF($E727="","",Input!$C$35)</f>
        <v>0.02</v>
      </c>
      <c r="X727" s="156">
        <f t="shared" si="458"/>
        <v>3.2810307883654133</v>
      </c>
      <c r="Y727" s="154"/>
      <c r="Z727" s="147">
        <f>IF($E727="","",VLOOKUP($D727,'Mortality Margins &amp; Grading'!$AB$5:$AF$125,3,0)*IF(Summary!$D$25="Included Margin",IF(AND($B727&gt;Input!$C$9,Summary!$D$31&lt;&gt;"Included Margin"),0,1),0))</f>
        <v>1.2E-2</v>
      </c>
      <c r="AA727" s="147">
        <f>IF($E727="","",VLOOKUP($D727,'Mortality Margins &amp; Grading'!$AB$5:$AF$125,5,0)*IF(Summary!$D$25="Included Margin",IF(AND($B727&gt;Input!$C$9,Summary!$D$31&lt;&gt;"Included Margin"),0,1),0))</f>
        <v>0.06</v>
      </c>
      <c r="AB727" s="147">
        <f>IF($E727="","",IF(AND($B727&gt;Input!$C$9,Summary!$D$31&lt;&gt;"Included Margin"),1,IF(Summary!$D$25="Included Margin",VLOOKUP($B727,'Mortality Margins &amp; Grading'!$AI$5:$AR$125,MATCH('Mortality Margins &amp; Grading'!$AQ$4,'Mortality Margins &amp; Grading'!$AI$4:$AR$4,0),0),1)))</f>
        <v>0</v>
      </c>
      <c r="AC727" s="154"/>
      <c r="AD727" s="158">
        <f>IF(E727="","",Input!$C$48*IF(Summary!$D$30="Included Margin",IF(AND($B727&gt;Input!$C$9,Summary!$D$31&lt;&gt;"Included Margin"),0,1),0))</f>
        <v>-4.4999999999999997E-3</v>
      </c>
      <c r="AE727" s="159">
        <f>IF(E727="","",IF(Summary!$D$26="Included Margin",IF(AND($B727&gt;Input!$C$9,Summary!$D$31&lt;&gt;"Included Margin"),1,1/$R727),1))</f>
        <v>1.3508749713229014</v>
      </c>
      <c r="AF727" s="160">
        <f>IF(E727="","",IF(AND($B727&gt;=Input!$C$9,$C727=12,Summary!$D$31="Included Margin",$U727&gt;0),1/U727-1,IF($B727&gt;=Input!$C$9,0,Input!$C$45*IF(Summary!$D$27="Included Margin",1,0))))</f>
        <v>0</v>
      </c>
      <c r="AG727" s="160">
        <f>IF(E727="","",Input!$C$46*IF(Summary!$D$28="Included Margin",IF(AND($B727&gt;Input!$C$9,Summary!$D$31&lt;&gt;"Included Margin"),0,1),0))</f>
        <v>0.02</v>
      </c>
      <c r="AH727" s="158">
        <f>IF(E727="","",Input!$C$47*IF(Summary!$D$29="Included Margin",IF(AND($B727&gt;Input!$C$9,Summary!$D$31&lt;&gt;"Included Margin"),0,1),0))</f>
        <v>2.5000000000000001E-3</v>
      </c>
      <c r="AI727" s="154"/>
      <c r="AJ727" s="158">
        <f t="shared" si="481"/>
        <v>4.3470000000000002E-2</v>
      </c>
      <c r="AK727" s="155">
        <f t="shared" si="482"/>
        <v>3.5522692164793312E-3</v>
      </c>
      <c r="AL727" s="147">
        <f t="shared" si="483"/>
        <v>1</v>
      </c>
      <c r="AM727" s="147">
        <f t="shared" si="461"/>
        <v>1</v>
      </c>
      <c r="AN727" s="160">
        <f t="shared" si="484"/>
        <v>0</v>
      </c>
      <c r="AO727" s="161">
        <f t="shared" si="485"/>
        <v>0</v>
      </c>
      <c r="AP727" s="156">
        <f t="shared" si="462"/>
        <v>3.8001347859463772</v>
      </c>
      <c r="AQ727" s="152"/>
      <c r="AR727" s="162">
        <f t="shared" si="463"/>
        <v>99822.701445275074</v>
      </c>
      <c r="AS727" s="150">
        <f t="shared" si="486"/>
        <v>0</v>
      </c>
      <c r="AT727" s="163">
        <f t="shared" si="464"/>
        <v>0</v>
      </c>
      <c r="AU727" s="163">
        <f t="shared" si="465"/>
        <v>100000</v>
      </c>
      <c r="AV727" s="163">
        <f t="shared" si="487"/>
        <v>176.98364862589094</v>
      </c>
      <c r="AW727" s="163">
        <f t="shared" si="466"/>
        <v>99823.016351374114</v>
      </c>
      <c r="AX727" s="163">
        <f t="shared" si="467"/>
        <v>0</v>
      </c>
      <c r="AY727" s="164">
        <f t="shared" si="488"/>
        <v>99822.701445275074</v>
      </c>
      <c r="AZ727" s="164">
        <f>IF($E727="","",IF(OR(AND($D727=Input!$C$6,$C727=12),$AN727=1),0,-AS728+AT728+AU728-AV728-AW728-AX728+AZ728))</f>
        <v>99823.016351374114</v>
      </c>
      <c r="BA727" s="154">
        <f t="shared" si="468"/>
        <v>0.31490609903994482</v>
      </c>
      <c r="BC727" s="147">
        <f t="shared" si="489"/>
        <v>3.1522620041197522E-11</v>
      </c>
      <c r="BD727" s="164">
        <f>IF(AND($C726=12,$D726=Input!$C$6),0,IF($E727="","",AT727+(AU727+BD728)/(1+$AK727)*MIN((1-AM727-AN727),1)))</f>
        <v>0</v>
      </c>
      <c r="BE727" s="164">
        <f t="shared" si="469"/>
        <v>0</v>
      </c>
      <c r="BF727" s="164">
        <f t="shared" si="490"/>
        <v>99823.016351374114</v>
      </c>
      <c r="BG727" s="164">
        <f t="shared" si="470"/>
        <v>3.1466830158106137E-6</v>
      </c>
      <c r="BH727" s="152"/>
      <c r="BI727" s="162">
        <f t="shared" si="471"/>
        <v>56357.918572537455</v>
      </c>
      <c r="BJ727" s="150">
        <f t="shared" si="472"/>
        <v>0</v>
      </c>
      <c r="BK727" s="163">
        <f t="shared" si="494"/>
        <v>0</v>
      </c>
      <c r="BL727" s="163">
        <f t="shared" si="473"/>
        <v>10625.950466461763</v>
      </c>
      <c r="BM727" s="163">
        <f t="shared" si="495"/>
        <v>199.69867890256697</v>
      </c>
      <c r="BN727" s="163">
        <f t="shared" si="474"/>
        <v>5460.9593035075623</v>
      </c>
      <c r="BO727" s="163">
        <f t="shared" si="475"/>
        <v>0</v>
      </c>
      <c r="BP727" s="164">
        <f t="shared" si="496"/>
        <v>51392.62608848582</v>
      </c>
      <c r="BQ727" s="164">
        <f>IF($E727="","",IF(AND($D727=Input!$C$6,$C727=12),0,-BJ728+BK728+BL728-BM728-BN728-BO728+BQ728))</f>
        <v>51392.666667737212</v>
      </c>
      <c r="BR727" s="161">
        <f t="shared" si="476"/>
        <v>0</v>
      </c>
      <c r="BT727" s="147">
        <f t="shared" si="477"/>
        <v>3.1522620041197522E-11</v>
      </c>
      <c r="BU727" s="164">
        <f>IF(AND($C726=12,$D726=Input!$C$6),0,IF($E727="","",BK727+(BL727+BU728)/(1+$AK727)*MIN((1-T727-U727),1)))</f>
        <v>82170.466274315055</v>
      </c>
      <c r="BV727" s="164">
        <f t="shared" si="478"/>
        <v>2.5902283869732689E-6</v>
      </c>
      <c r="BW727" s="164">
        <f t="shared" si="479"/>
        <v>51392.666667737212</v>
      </c>
      <c r="BX727" s="164">
        <f t="shared" si="480"/>
        <v>1.6200315042709968E-6</v>
      </c>
    </row>
    <row r="728" spans="1:76" s="150" customFormat="1" x14ac:dyDescent="0.25">
      <c r="A728" s="150">
        <f t="shared" si="491"/>
        <v>724</v>
      </c>
      <c r="B728" s="150">
        <f t="shared" si="492"/>
        <v>61</v>
      </c>
      <c r="C728" s="150">
        <f t="shared" si="493"/>
        <v>4</v>
      </c>
      <c r="D728" s="150">
        <f>IF(E728="","",Input!$C$4+B728-1)</f>
        <v>105</v>
      </c>
      <c r="E728" s="150">
        <f>IF(OR(AND(C727=12,D727=Input!$C$6),E727=""),"",1)</f>
        <v>1</v>
      </c>
      <c r="F728" s="150">
        <f>IF(E728="","",Input!$C$8+B728-1)</f>
        <v>2078</v>
      </c>
      <c r="G728" s="151">
        <f>IF(E728="","",MAX(0,Input!$C$9-B728))</f>
        <v>0</v>
      </c>
      <c r="H728" s="152">
        <f>IF(E728="","",Input!$C$3)</f>
        <v>100000</v>
      </c>
      <c r="I728" s="153">
        <f>IF(E728="","",HLOOKUP($B728,Input!$C$13:$BT$14,2))</f>
        <v>1000</v>
      </c>
      <c r="J728" s="154"/>
      <c r="K728" s="155">
        <f>IF($E728="","",INDEX(Input!$C$16:$CP$16,1,$B728))</f>
        <v>3.2969999999999999E-2</v>
      </c>
      <c r="L728" s="155">
        <f>IF($E728="","",Input!$C$37)</f>
        <v>1.4999999999999999E-2</v>
      </c>
      <c r="M728" s="155">
        <f t="shared" si="456"/>
        <v>4.7969999999999999E-2</v>
      </c>
      <c r="N728" s="155">
        <f t="shared" si="457"/>
        <v>3.9122127646440408E-3</v>
      </c>
      <c r="O728" s="147">
        <f>IF($E728="","",MIN(VLOOKUP(IF($B728&lt;=Input!$C$7,$B728,26),'Mortality Tables'!$A$41:$CW$67,IF($B728&lt;=Input!$C$7+1,Input!$C$4+2,$D728-Input!$C$7+2),0)*IF(B728&gt;20,Input!$C$22,1)/1000,1))</f>
        <v>1</v>
      </c>
      <c r="P728" s="147">
        <f>IF($E728="","",MIN(VLOOKUP(IF($B728&lt;=Input!$C$7,$B728,26),'Mortality Tables'!$A$12:$CW$37,IF($B728&lt;=Input!$C$7+1,Input!$C$4+2,$D728-Input!$C$7+2),0)*IF(B728&gt;20,Input!$C$22,1)/1000,1))</f>
        <v>1</v>
      </c>
      <c r="Q728" s="155">
        <f>IF($E728="","",Input!$C$21)</f>
        <v>5.0000000000000001E-3</v>
      </c>
      <c r="R728" s="159">
        <f>IF($E728="","",(1-Q728)^($F728-Input!$C$20))</f>
        <v>0.74026095769670508</v>
      </c>
      <c r="S728" s="147">
        <f t="shared" si="459"/>
        <v>0.74026095769670508</v>
      </c>
      <c r="T728" s="147">
        <f t="shared" si="460"/>
        <v>0.10625950466461764</v>
      </c>
      <c r="U728" s="160">
        <f>IF($E728="","",IF($C728=12,INDEX(Input!$C$15:$CP$15,1,$B728),0))</f>
        <v>0</v>
      </c>
      <c r="V728" s="150">
        <f>IF(E728="","",IF(C728=1,IF($B728=1,Input!$C$33,Input!$C$34),0))</f>
        <v>0</v>
      </c>
      <c r="W728" s="156">
        <f>IF($E728="","",Input!$C$35)</f>
        <v>0.02</v>
      </c>
      <c r="X728" s="156">
        <f t="shared" si="458"/>
        <v>3.2810307883654133</v>
      </c>
      <c r="Y728" s="154"/>
      <c r="Z728" s="147">
        <f>IF($E728="","",VLOOKUP($D728,'Mortality Margins &amp; Grading'!$AB$5:$AF$125,3,0)*IF(Summary!$D$25="Included Margin",IF(AND($B728&gt;Input!$C$9,Summary!$D$31&lt;&gt;"Included Margin"),0,1),0))</f>
        <v>1.2E-2</v>
      </c>
      <c r="AA728" s="147">
        <f>IF($E728="","",VLOOKUP($D728,'Mortality Margins &amp; Grading'!$AB$5:$AF$125,5,0)*IF(Summary!$D$25="Included Margin",IF(AND($B728&gt;Input!$C$9,Summary!$D$31&lt;&gt;"Included Margin"),0,1),0))</f>
        <v>0.06</v>
      </c>
      <c r="AB728" s="147">
        <f>IF($E728="","",IF(AND($B728&gt;Input!$C$9,Summary!$D$31&lt;&gt;"Included Margin"),1,IF(Summary!$D$25="Included Margin",VLOOKUP($B728,'Mortality Margins &amp; Grading'!$AI$5:$AR$125,MATCH('Mortality Margins &amp; Grading'!$AQ$4,'Mortality Margins &amp; Grading'!$AI$4:$AR$4,0),0),1)))</f>
        <v>0</v>
      </c>
      <c r="AC728" s="154"/>
      <c r="AD728" s="158">
        <f>IF(E728="","",Input!$C$48*IF(Summary!$D$30="Included Margin",IF(AND($B728&gt;Input!$C$9,Summary!$D$31&lt;&gt;"Included Margin"),0,1),0))</f>
        <v>-4.4999999999999997E-3</v>
      </c>
      <c r="AE728" s="159">
        <f>IF(E728="","",IF(Summary!$D$26="Included Margin",IF(AND($B728&gt;Input!$C$9,Summary!$D$31&lt;&gt;"Included Margin"),1,1/$R728),1))</f>
        <v>1.3508749713229014</v>
      </c>
      <c r="AF728" s="160">
        <f>IF(E728="","",IF(AND($B728&gt;=Input!$C$9,$C728=12,Summary!$D$31="Included Margin",$U728&gt;0),1/U728-1,IF($B728&gt;=Input!$C$9,0,Input!$C$45*IF(Summary!$D$27="Included Margin",1,0))))</f>
        <v>0</v>
      </c>
      <c r="AG728" s="160">
        <f>IF(E728="","",Input!$C$46*IF(Summary!$D$28="Included Margin",IF(AND($B728&gt;Input!$C$9,Summary!$D$31&lt;&gt;"Included Margin"),0,1),0))</f>
        <v>0.02</v>
      </c>
      <c r="AH728" s="158">
        <f>IF(E728="","",Input!$C$47*IF(Summary!$D$29="Included Margin",IF(AND($B728&gt;Input!$C$9,Summary!$D$31&lt;&gt;"Included Margin"),0,1),0))</f>
        <v>2.5000000000000001E-3</v>
      </c>
      <c r="AI728" s="154"/>
      <c r="AJ728" s="158">
        <f t="shared" si="481"/>
        <v>4.3470000000000002E-2</v>
      </c>
      <c r="AK728" s="155">
        <f t="shared" si="482"/>
        <v>3.5522692164793312E-3</v>
      </c>
      <c r="AL728" s="147">
        <f t="shared" si="483"/>
        <v>1</v>
      </c>
      <c r="AM728" s="147">
        <f t="shared" si="461"/>
        <v>1</v>
      </c>
      <c r="AN728" s="160">
        <f t="shared" si="484"/>
        <v>0</v>
      </c>
      <c r="AO728" s="161">
        <f t="shared" si="485"/>
        <v>0</v>
      </c>
      <c r="AP728" s="156">
        <f t="shared" si="462"/>
        <v>3.8001347859463772</v>
      </c>
      <c r="AQ728" s="152"/>
      <c r="AR728" s="162">
        <f t="shared" si="463"/>
        <v>99822.701445275074</v>
      </c>
      <c r="AS728" s="150">
        <f t="shared" si="486"/>
        <v>0</v>
      </c>
      <c r="AT728" s="163">
        <f t="shared" si="464"/>
        <v>0</v>
      </c>
      <c r="AU728" s="163">
        <f t="shared" si="465"/>
        <v>100000</v>
      </c>
      <c r="AV728" s="163">
        <f t="shared" si="487"/>
        <v>176.98364862589094</v>
      </c>
      <c r="AW728" s="163">
        <f t="shared" si="466"/>
        <v>99823.016351374114</v>
      </c>
      <c r="AX728" s="163">
        <f t="shared" si="467"/>
        <v>0</v>
      </c>
      <c r="AY728" s="165">
        <f t="shared" si="488"/>
        <v>99822.701445275074</v>
      </c>
      <c r="AZ728" s="164">
        <f>IF($E728="","",IF(OR(AND($D728=Input!$C$6,$C728=12),$AN728=1),0,-AS729+AT729+AU729-AV729-AW729-AX729+AZ729))</f>
        <v>99823.016351374114</v>
      </c>
      <c r="BA728" s="154">
        <f t="shared" si="468"/>
        <v>0.31490609903994482</v>
      </c>
      <c r="BC728" s="147">
        <f t="shared" si="489"/>
        <v>2.8173042049888923E-11</v>
      </c>
      <c r="BD728" s="164">
        <f>IF(AND($C727=12,$D727=Input!$C$6),0,IF($E728="","",AT728+(AU728+BD729)/(1+$AK728)*MIN((1-AM728-AN728),1)))</f>
        <v>0</v>
      </c>
      <c r="BE728" s="164">
        <f t="shared" si="469"/>
        <v>0</v>
      </c>
      <c r="BF728" s="164">
        <f t="shared" si="490"/>
        <v>99823.016351374114</v>
      </c>
      <c r="BG728" s="164">
        <f t="shared" si="470"/>
        <v>2.8123180372140125E-6</v>
      </c>
      <c r="BH728" s="152"/>
      <c r="BI728" s="162">
        <f t="shared" si="471"/>
        <v>51392.62608848582</v>
      </c>
      <c r="BJ728" s="150">
        <f t="shared" si="472"/>
        <v>0</v>
      </c>
      <c r="BK728" s="163">
        <f t="shared" si="494"/>
        <v>0</v>
      </c>
      <c r="BL728" s="163">
        <f t="shared" si="473"/>
        <v>10625.950466461763</v>
      </c>
      <c r="BM728" s="163">
        <f t="shared" si="495"/>
        <v>180.27339826626906</v>
      </c>
      <c r="BN728" s="163">
        <f t="shared" si="474"/>
        <v>4868.3111653364303</v>
      </c>
      <c r="BO728" s="163">
        <f t="shared" si="475"/>
        <v>0</v>
      </c>
      <c r="BP728" s="164">
        <f t="shared" si="496"/>
        <v>45815.260185626757</v>
      </c>
      <c r="BQ728" s="164">
        <f>IF($E728="","",IF(AND($D728=Input!$C$6,$C728=12),0,-BJ729+BK729+BL729-BM729-BN729-BO729+BQ729))</f>
        <v>45815.300764878149</v>
      </c>
      <c r="BR728" s="161">
        <f t="shared" si="476"/>
        <v>0</v>
      </c>
      <c r="BT728" s="147">
        <f t="shared" si="477"/>
        <v>2.8173042049888923E-11</v>
      </c>
      <c r="BU728" s="164">
        <f>IF(AND($C727=12,$D727=Input!$C$6),0,IF($E728="","",BK728+(BL728+BU729)/(1+$AK728)*MIN((1-T728-U728),1)))</f>
        <v>81640.606014477904</v>
      </c>
      <c r="BV728" s="164">
        <f t="shared" si="478"/>
        <v>2.3000642262243005E-6</v>
      </c>
      <c r="BW728" s="164">
        <f t="shared" si="479"/>
        <v>45815.300764878149</v>
      </c>
      <c r="BX728" s="164">
        <f t="shared" si="480"/>
        <v>1.2907563949772202E-6</v>
      </c>
    </row>
    <row r="729" spans="1:76" s="150" customFormat="1" x14ac:dyDescent="0.25">
      <c r="A729" s="150">
        <f t="shared" si="491"/>
        <v>725</v>
      </c>
      <c r="B729" s="150">
        <f t="shared" si="492"/>
        <v>61</v>
      </c>
      <c r="C729" s="150">
        <f t="shared" si="493"/>
        <v>5</v>
      </c>
      <c r="D729" s="150">
        <f>IF(E729="","",Input!$C$4+B729-1)</f>
        <v>105</v>
      </c>
      <c r="E729" s="150">
        <f>IF(OR(AND(C728=12,D728=Input!$C$6),E728=""),"",1)</f>
        <v>1</v>
      </c>
      <c r="F729" s="150">
        <f>IF(E729="","",Input!$C$8+B729-1)</f>
        <v>2078</v>
      </c>
      <c r="G729" s="151">
        <f>IF(E729="","",MAX(0,Input!$C$9-B729))</f>
        <v>0</v>
      </c>
      <c r="H729" s="152">
        <f>IF(E729="","",Input!$C$3)</f>
        <v>100000</v>
      </c>
      <c r="I729" s="153">
        <f>IF(E729="","",HLOOKUP($B729,Input!$C$13:$BT$14,2))</f>
        <v>1000</v>
      </c>
      <c r="J729" s="154"/>
      <c r="K729" s="155">
        <f>IF($E729="","",INDEX(Input!$C$16:$CP$16,1,$B729))</f>
        <v>3.2969999999999999E-2</v>
      </c>
      <c r="L729" s="155">
        <f>IF($E729="","",Input!$C$37)</f>
        <v>1.4999999999999999E-2</v>
      </c>
      <c r="M729" s="155">
        <f t="shared" si="456"/>
        <v>4.7969999999999999E-2</v>
      </c>
      <c r="N729" s="155">
        <f t="shared" si="457"/>
        <v>3.9122127646440408E-3</v>
      </c>
      <c r="O729" s="147">
        <f>IF($E729="","",MIN(VLOOKUP(IF($B729&lt;=Input!$C$7,$B729,26),'Mortality Tables'!$A$41:$CW$67,IF($B729&lt;=Input!$C$7+1,Input!$C$4+2,$D729-Input!$C$7+2),0)*IF(B729&gt;20,Input!$C$22,1)/1000,1))</f>
        <v>1</v>
      </c>
      <c r="P729" s="147">
        <f>IF($E729="","",MIN(VLOOKUP(IF($B729&lt;=Input!$C$7,$B729,26),'Mortality Tables'!$A$12:$CW$37,IF($B729&lt;=Input!$C$7+1,Input!$C$4+2,$D729-Input!$C$7+2),0)*IF(B729&gt;20,Input!$C$22,1)/1000,1))</f>
        <v>1</v>
      </c>
      <c r="Q729" s="155">
        <f>IF($E729="","",Input!$C$21)</f>
        <v>5.0000000000000001E-3</v>
      </c>
      <c r="R729" s="159">
        <f>IF($E729="","",(1-Q729)^($F729-Input!$C$20))</f>
        <v>0.74026095769670508</v>
      </c>
      <c r="S729" s="147">
        <f t="shared" si="459"/>
        <v>0.74026095769670508</v>
      </c>
      <c r="T729" s="147">
        <f t="shared" si="460"/>
        <v>0.10625950466461764</v>
      </c>
      <c r="U729" s="160">
        <f>IF($E729="","",IF($C729=12,INDEX(Input!$C$15:$CP$15,1,$B729),0))</f>
        <v>0</v>
      </c>
      <c r="V729" s="150">
        <f>IF(E729="","",IF(C729=1,IF($B729=1,Input!$C$33,Input!$C$34),0))</f>
        <v>0</v>
      </c>
      <c r="W729" s="156">
        <f>IF($E729="","",Input!$C$35)</f>
        <v>0.02</v>
      </c>
      <c r="X729" s="156">
        <f t="shared" si="458"/>
        <v>3.2810307883654133</v>
      </c>
      <c r="Y729" s="154"/>
      <c r="Z729" s="147">
        <f>IF($E729="","",VLOOKUP($D729,'Mortality Margins &amp; Grading'!$AB$5:$AF$125,3,0)*IF(Summary!$D$25="Included Margin",IF(AND($B729&gt;Input!$C$9,Summary!$D$31&lt;&gt;"Included Margin"),0,1),0))</f>
        <v>1.2E-2</v>
      </c>
      <c r="AA729" s="147">
        <f>IF($E729="","",VLOOKUP($D729,'Mortality Margins &amp; Grading'!$AB$5:$AF$125,5,0)*IF(Summary!$D$25="Included Margin",IF(AND($B729&gt;Input!$C$9,Summary!$D$31&lt;&gt;"Included Margin"),0,1),0))</f>
        <v>0.06</v>
      </c>
      <c r="AB729" s="147">
        <f>IF($E729="","",IF(AND($B729&gt;Input!$C$9,Summary!$D$31&lt;&gt;"Included Margin"),1,IF(Summary!$D$25="Included Margin",VLOOKUP($B729,'Mortality Margins &amp; Grading'!$AI$5:$AR$125,MATCH('Mortality Margins &amp; Grading'!$AQ$4,'Mortality Margins &amp; Grading'!$AI$4:$AR$4,0),0),1)))</f>
        <v>0</v>
      </c>
      <c r="AC729" s="154"/>
      <c r="AD729" s="158">
        <f>IF(E729="","",Input!$C$48*IF(Summary!$D$30="Included Margin",IF(AND($B729&gt;Input!$C$9,Summary!$D$31&lt;&gt;"Included Margin"),0,1),0))</f>
        <v>-4.4999999999999997E-3</v>
      </c>
      <c r="AE729" s="159">
        <f>IF(E729="","",IF(Summary!$D$26="Included Margin",IF(AND($B729&gt;Input!$C$9,Summary!$D$31&lt;&gt;"Included Margin"),1,1/$R729),1))</f>
        <v>1.3508749713229014</v>
      </c>
      <c r="AF729" s="160">
        <f>IF(E729="","",IF(AND($B729&gt;=Input!$C$9,$C729=12,Summary!$D$31="Included Margin",$U729&gt;0),1/U729-1,IF($B729&gt;=Input!$C$9,0,Input!$C$45*IF(Summary!$D$27="Included Margin",1,0))))</f>
        <v>0</v>
      </c>
      <c r="AG729" s="160">
        <f>IF(E729="","",Input!$C$46*IF(Summary!$D$28="Included Margin",IF(AND($B729&gt;Input!$C$9,Summary!$D$31&lt;&gt;"Included Margin"),0,1),0))</f>
        <v>0.02</v>
      </c>
      <c r="AH729" s="158">
        <f>IF(E729="","",Input!$C$47*IF(Summary!$D$29="Included Margin",IF(AND($B729&gt;Input!$C$9,Summary!$D$31&lt;&gt;"Included Margin"),0,1),0))</f>
        <v>2.5000000000000001E-3</v>
      </c>
      <c r="AI729" s="154"/>
      <c r="AJ729" s="158">
        <f t="shared" si="481"/>
        <v>4.3470000000000002E-2</v>
      </c>
      <c r="AK729" s="155">
        <f t="shared" si="482"/>
        <v>3.5522692164793312E-3</v>
      </c>
      <c r="AL729" s="147">
        <f t="shared" si="483"/>
        <v>1</v>
      </c>
      <c r="AM729" s="147">
        <f t="shared" si="461"/>
        <v>1</v>
      </c>
      <c r="AN729" s="160">
        <f t="shared" si="484"/>
        <v>0</v>
      </c>
      <c r="AO729" s="161">
        <f t="shared" si="485"/>
        <v>0</v>
      </c>
      <c r="AP729" s="156">
        <f t="shared" si="462"/>
        <v>3.8001347859463772</v>
      </c>
      <c r="AQ729" s="152"/>
      <c r="AR729" s="162">
        <f t="shared" si="463"/>
        <v>99822.701445275074</v>
      </c>
      <c r="AS729" s="150">
        <f t="shared" si="486"/>
        <v>0</v>
      </c>
      <c r="AT729" s="163">
        <f t="shared" si="464"/>
        <v>0</v>
      </c>
      <c r="AU729" s="163">
        <f t="shared" si="465"/>
        <v>100000</v>
      </c>
      <c r="AV729" s="163">
        <f t="shared" si="487"/>
        <v>176.98364862589094</v>
      </c>
      <c r="AW729" s="163">
        <f t="shared" si="466"/>
        <v>99823.016351374114</v>
      </c>
      <c r="AX729" s="163">
        <f t="shared" si="467"/>
        <v>0</v>
      </c>
      <c r="AY729" s="164">
        <f t="shared" si="488"/>
        <v>99822.701445275074</v>
      </c>
      <c r="AZ729" s="164">
        <f>IF($E729="","",IF(OR(AND($D729=Input!$C$6,$C729=12),$AN729=1),0,-AS730+AT730+AU730-AV730-AW730-AX730+AZ730))</f>
        <v>99823.016351374114</v>
      </c>
      <c r="BA729" s="154">
        <f t="shared" si="468"/>
        <v>0.31490609903994482</v>
      </c>
      <c r="BC729" s="147">
        <f t="shared" si="489"/>
        <v>2.5179388556772281E-11</v>
      </c>
      <c r="BD729" s="164">
        <f>IF(AND($C728=12,$D728=Input!$C$6),0,IF($E729="","",AT729+(AU729+BD730)/(1+$AK729)*MIN((1-AM729-AN729),1)))</f>
        <v>0</v>
      </c>
      <c r="BE729" s="164">
        <f t="shared" si="469"/>
        <v>0</v>
      </c>
      <c r="BF729" s="164">
        <f t="shared" si="490"/>
        <v>99823.016351374114</v>
      </c>
      <c r="BG729" s="164">
        <f t="shared" si="470"/>
        <v>2.5134825156202817E-6</v>
      </c>
      <c r="BH729" s="152"/>
      <c r="BI729" s="162">
        <f t="shared" si="471"/>
        <v>45815.260185626772</v>
      </c>
      <c r="BJ729" s="150">
        <f t="shared" si="472"/>
        <v>0</v>
      </c>
      <c r="BK729" s="163">
        <f t="shared" si="494"/>
        <v>0</v>
      </c>
      <c r="BL729" s="163">
        <f t="shared" si="473"/>
        <v>10625.950466461763</v>
      </c>
      <c r="BM729" s="163">
        <f t="shared" si="495"/>
        <v>158.45355618801344</v>
      </c>
      <c r="BN729" s="163">
        <f t="shared" si="474"/>
        <v>4202.6070746216392</v>
      </c>
      <c r="BO729" s="163">
        <f t="shared" si="475"/>
        <v>0</v>
      </c>
      <c r="BP729" s="164">
        <f t="shared" si="496"/>
        <v>39550.370349974663</v>
      </c>
      <c r="BQ729" s="164">
        <f>IF($E729="","",IF(AND($D729=Input!$C$6,$C729=12),0,-BJ730+BK730+BL730-BM730-BN730-BO730+BQ730))</f>
        <v>39550.41092922604</v>
      </c>
      <c r="BR729" s="161">
        <f t="shared" si="476"/>
        <v>0</v>
      </c>
      <c r="BT729" s="147">
        <f t="shared" si="477"/>
        <v>2.5179388556772281E-11</v>
      </c>
      <c r="BU729" s="164">
        <f>IF(AND($C728=12,$D728=Input!$C$6),0,IF($E729="","",BK729+(BL729+BU730)/(1+$AK729)*MIN((1-T729-U729),1)))</f>
        <v>81045.643081834176</v>
      </c>
      <c r="BV729" s="164">
        <f t="shared" si="478"/>
        <v>2.0406797379909861E-6</v>
      </c>
      <c r="BW729" s="164">
        <f t="shared" si="479"/>
        <v>39550.41092922604</v>
      </c>
      <c r="BX729" s="164">
        <f t="shared" si="480"/>
        <v>9.9585516436699551E-7</v>
      </c>
    </row>
    <row r="730" spans="1:76" s="150" customFormat="1" x14ac:dyDescent="0.25">
      <c r="A730" s="150">
        <f t="shared" si="491"/>
        <v>726</v>
      </c>
      <c r="B730" s="150">
        <f t="shared" si="492"/>
        <v>61</v>
      </c>
      <c r="C730" s="150">
        <f t="shared" si="493"/>
        <v>6</v>
      </c>
      <c r="D730" s="150">
        <f>IF(E730="","",Input!$C$4+B730-1)</f>
        <v>105</v>
      </c>
      <c r="E730" s="150">
        <f>IF(OR(AND(C729=12,D729=Input!$C$6),E729=""),"",1)</f>
        <v>1</v>
      </c>
      <c r="F730" s="150">
        <f>IF(E730="","",Input!$C$8+B730-1)</f>
        <v>2078</v>
      </c>
      <c r="G730" s="151">
        <f>IF(E730="","",MAX(0,Input!$C$9-B730))</f>
        <v>0</v>
      </c>
      <c r="H730" s="152">
        <f>IF(E730="","",Input!$C$3)</f>
        <v>100000</v>
      </c>
      <c r="I730" s="153">
        <f>IF(E730="","",HLOOKUP($B730,Input!$C$13:$BT$14,2))</f>
        <v>1000</v>
      </c>
      <c r="J730" s="154"/>
      <c r="K730" s="155">
        <f>IF($E730="","",INDEX(Input!$C$16:$CP$16,1,$B730))</f>
        <v>3.2969999999999999E-2</v>
      </c>
      <c r="L730" s="155">
        <f>IF($E730="","",Input!$C$37)</f>
        <v>1.4999999999999999E-2</v>
      </c>
      <c r="M730" s="155">
        <f t="shared" si="456"/>
        <v>4.7969999999999999E-2</v>
      </c>
      <c r="N730" s="155">
        <f t="shared" si="457"/>
        <v>3.9122127646440408E-3</v>
      </c>
      <c r="O730" s="147">
        <f>IF($E730="","",MIN(VLOOKUP(IF($B730&lt;=Input!$C$7,$B730,26),'Mortality Tables'!$A$41:$CW$67,IF($B730&lt;=Input!$C$7+1,Input!$C$4+2,$D730-Input!$C$7+2),0)*IF(B730&gt;20,Input!$C$22,1)/1000,1))</f>
        <v>1</v>
      </c>
      <c r="P730" s="147">
        <f>IF($E730="","",MIN(VLOOKUP(IF($B730&lt;=Input!$C$7,$B730,26),'Mortality Tables'!$A$12:$CW$37,IF($B730&lt;=Input!$C$7+1,Input!$C$4+2,$D730-Input!$C$7+2),0)*IF(B730&gt;20,Input!$C$22,1)/1000,1))</f>
        <v>1</v>
      </c>
      <c r="Q730" s="155">
        <f>IF($E730="","",Input!$C$21)</f>
        <v>5.0000000000000001E-3</v>
      </c>
      <c r="R730" s="159">
        <f>IF($E730="","",(1-Q730)^($F730-Input!$C$20))</f>
        <v>0.74026095769670508</v>
      </c>
      <c r="S730" s="147">
        <f t="shared" si="459"/>
        <v>0.74026095769670508</v>
      </c>
      <c r="T730" s="147">
        <f t="shared" si="460"/>
        <v>0.10625950466461764</v>
      </c>
      <c r="U730" s="160">
        <f>IF($E730="","",IF($C730=12,INDEX(Input!$C$15:$CP$15,1,$B730),0))</f>
        <v>0</v>
      </c>
      <c r="V730" s="150">
        <f>IF(E730="","",IF(C730=1,IF($B730=1,Input!$C$33,Input!$C$34),0))</f>
        <v>0</v>
      </c>
      <c r="W730" s="156">
        <f>IF($E730="","",Input!$C$35)</f>
        <v>0.02</v>
      </c>
      <c r="X730" s="156">
        <f t="shared" si="458"/>
        <v>3.2810307883654133</v>
      </c>
      <c r="Y730" s="154"/>
      <c r="Z730" s="147">
        <f>IF($E730="","",VLOOKUP($D730,'Mortality Margins &amp; Grading'!$AB$5:$AF$125,3,0)*IF(Summary!$D$25="Included Margin",IF(AND($B730&gt;Input!$C$9,Summary!$D$31&lt;&gt;"Included Margin"),0,1),0))</f>
        <v>1.2E-2</v>
      </c>
      <c r="AA730" s="147">
        <f>IF($E730="","",VLOOKUP($D730,'Mortality Margins &amp; Grading'!$AB$5:$AF$125,5,0)*IF(Summary!$D$25="Included Margin",IF(AND($B730&gt;Input!$C$9,Summary!$D$31&lt;&gt;"Included Margin"),0,1),0))</f>
        <v>0.06</v>
      </c>
      <c r="AB730" s="147">
        <f>IF($E730="","",IF(AND($B730&gt;Input!$C$9,Summary!$D$31&lt;&gt;"Included Margin"),1,IF(Summary!$D$25="Included Margin",VLOOKUP($B730,'Mortality Margins &amp; Grading'!$AI$5:$AR$125,MATCH('Mortality Margins &amp; Grading'!$AQ$4,'Mortality Margins &amp; Grading'!$AI$4:$AR$4,0),0),1)))</f>
        <v>0</v>
      </c>
      <c r="AC730" s="154"/>
      <c r="AD730" s="158">
        <f>IF(E730="","",Input!$C$48*IF(Summary!$D$30="Included Margin",IF(AND($B730&gt;Input!$C$9,Summary!$D$31&lt;&gt;"Included Margin"),0,1),0))</f>
        <v>-4.4999999999999997E-3</v>
      </c>
      <c r="AE730" s="159">
        <f>IF(E730="","",IF(Summary!$D$26="Included Margin",IF(AND($B730&gt;Input!$C$9,Summary!$D$31&lt;&gt;"Included Margin"),1,1/$R730),1))</f>
        <v>1.3508749713229014</v>
      </c>
      <c r="AF730" s="160">
        <f>IF(E730="","",IF(AND($B730&gt;=Input!$C$9,$C730=12,Summary!$D$31="Included Margin",$U730&gt;0),1/U730-1,IF($B730&gt;=Input!$C$9,0,Input!$C$45*IF(Summary!$D$27="Included Margin",1,0))))</f>
        <v>0</v>
      </c>
      <c r="AG730" s="160">
        <f>IF(E730="","",Input!$C$46*IF(Summary!$D$28="Included Margin",IF(AND($B730&gt;Input!$C$9,Summary!$D$31&lt;&gt;"Included Margin"),0,1),0))</f>
        <v>0.02</v>
      </c>
      <c r="AH730" s="158">
        <f>IF(E730="","",Input!$C$47*IF(Summary!$D$29="Included Margin",IF(AND($B730&gt;Input!$C$9,Summary!$D$31&lt;&gt;"Included Margin"),0,1),0))</f>
        <v>2.5000000000000001E-3</v>
      </c>
      <c r="AI730" s="154"/>
      <c r="AJ730" s="158">
        <f t="shared" si="481"/>
        <v>4.3470000000000002E-2</v>
      </c>
      <c r="AK730" s="155">
        <f t="shared" si="482"/>
        <v>3.5522692164793312E-3</v>
      </c>
      <c r="AL730" s="147">
        <f t="shared" si="483"/>
        <v>1</v>
      </c>
      <c r="AM730" s="147">
        <f t="shared" si="461"/>
        <v>1</v>
      </c>
      <c r="AN730" s="160">
        <f t="shared" si="484"/>
        <v>0</v>
      </c>
      <c r="AO730" s="161">
        <f t="shared" si="485"/>
        <v>0</v>
      </c>
      <c r="AP730" s="156">
        <f t="shared" si="462"/>
        <v>3.8001347859463772</v>
      </c>
      <c r="AQ730" s="152"/>
      <c r="AR730" s="162">
        <f t="shared" si="463"/>
        <v>99822.701445275074</v>
      </c>
      <c r="AS730" s="150">
        <f t="shared" si="486"/>
        <v>0</v>
      </c>
      <c r="AT730" s="163">
        <f t="shared" si="464"/>
        <v>0</v>
      </c>
      <c r="AU730" s="163">
        <f t="shared" si="465"/>
        <v>100000</v>
      </c>
      <c r="AV730" s="163">
        <f t="shared" si="487"/>
        <v>176.98364862589094</v>
      </c>
      <c r="AW730" s="163">
        <f t="shared" si="466"/>
        <v>99823.016351374114</v>
      </c>
      <c r="AX730" s="163">
        <f t="shared" si="467"/>
        <v>0</v>
      </c>
      <c r="AY730" s="165">
        <f t="shared" si="488"/>
        <v>99822.701445275074</v>
      </c>
      <c r="AZ730" s="164">
        <f>IF($E730="","",IF(OR(AND($D730=Input!$C$6,$C730=12),$AN730=1),0,-AS731+AT731+AU731-AV731-AW731-AX731+AZ731))</f>
        <v>99823.016351374114</v>
      </c>
      <c r="BA730" s="154">
        <f t="shared" si="468"/>
        <v>0.31490609903994482</v>
      </c>
      <c r="BC730" s="147">
        <f t="shared" si="489"/>
        <v>2.2503839200971717E-11</v>
      </c>
      <c r="BD730" s="164">
        <f>IF(AND($C729=12,$D729=Input!$C$6),0,IF($E730="","",AT730+(AU730+BD731)/(1+$AK730)*MIN((1-AM730-AN730),1)))</f>
        <v>0</v>
      </c>
      <c r="BE730" s="164">
        <f t="shared" si="469"/>
        <v>0</v>
      </c>
      <c r="BF730" s="164">
        <f t="shared" si="490"/>
        <v>99823.016351374114</v>
      </c>
      <c r="BG730" s="164">
        <f t="shared" si="470"/>
        <v>2.2464011085272937E-6</v>
      </c>
      <c r="BH730" s="152"/>
      <c r="BI730" s="162">
        <f t="shared" si="471"/>
        <v>39550.370349974648</v>
      </c>
      <c r="BJ730" s="150">
        <f t="shared" si="472"/>
        <v>0</v>
      </c>
      <c r="BK730" s="163">
        <f t="shared" si="494"/>
        <v>0</v>
      </c>
      <c r="BL730" s="163">
        <f t="shared" si="473"/>
        <v>10625.950466461763</v>
      </c>
      <c r="BM730" s="163">
        <f t="shared" si="495"/>
        <v>133.94397420388648</v>
      </c>
      <c r="BN730" s="163">
        <f t="shared" si="474"/>
        <v>3454.8413973987736</v>
      </c>
      <c r="BO730" s="163">
        <f t="shared" si="475"/>
        <v>0</v>
      </c>
      <c r="BP730" s="164">
        <f t="shared" si="496"/>
        <v>32513.205255115543</v>
      </c>
      <c r="BQ730" s="164">
        <f>IF($E730="","",IF(AND($D730=Input!$C$6,$C730=12),0,-BJ731+BK731+BL731-BM731-BN731-BO731+BQ731))</f>
        <v>32513.245834366935</v>
      </c>
      <c r="BR730" s="161">
        <f t="shared" si="476"/>
        <v>0</v>
      </c>
      <c r="BT730" s="147">
        <f t="shared" si="477"/>
        <v>2.2503839200971717E-11</v>
      </c>
      <c r="BU730" s="164">
        <f>IF(AND($C729=12,$D729=Input!$C$6),0,IF($E730="","",BK730+(BL730+BU731)/(1+$AK730)*MIN((1-T730-U730),1)))</f>
        <v>80377.578465459985</v>
      </c>
      <c r="BV730" s="164">
        <f t="shared" si="478"/>
        <v>1.8088041011501985E-6</v>
      </c>
      <c r="BW730" s="164">
        <f t="shared" si="479"/>
        <v>32513.245834366935</v>
      </c>
      <c r="BX730" s="164">
        <f t="shared" si="480"/>
        <v>7.3167285615825701E-7</v>
      </c>
    </row>
    <row r="731" spans="1:76" s="150" customFormat="1" x14ac:dyDescent="0.25">
      <c r="A731" s="150">
        <f t="shared" si="491"/>
        <v>727</v>
      </c>
      <c r="B731" s="150">
        <f t="shared" si="492"/>
        <v>61</v>
      </c>
      <c r="C731" s="150">
        <f t="shared" si="493"/>
        <v>7</v>
      </c>
      <c r="D731" s="150">
        <f>IF(E731="","",Input!$C$4+B731-1)</f>
        <v>105</v>
      </c>
      <c r="E731" s="150">
        <f>IF(OR(AND(C730=12,D730=Input!$C$6),E730=""),"",1)</f>
        <v>1</v>
      </c>
      <c r="F731" s="150">
        <f>IF(E731="","",Input!$C$8+B731-1)</f>
        <v>2078</v>
      </c>
      <c r="G731" s="151">
        <f>IF(E731="","",MAX(0,Input!$C$9-B731))</f>
        <v>0</v>
      </c>
      <c r="H731" s="152">
        <f>IF(E731="","",Input!$C$3)</f>
        <v>100000</v>
      </c>
      <c r="I731" s="153">
        <f>IF(E731="","",HLOOKUP($B731,Input!$C$13:$BT$14,2))</f>
        <v>1000</v>
      </c>
      <c r="J731" s="154"/>
      <c r="K731" s="155">
        <f>IF($E731="","",INDEX(Input!$C$16:$CP$16,1,$B731))</f>
        <v>3.2969999999999999E-2</v>
      </c>
      <c r="L731" s="155">
        <f>IF($E731="","",Input!$C$37)</f>
        <v>1.4999999999999999E-2</v>
      </c>
      <c r="M731" s="155">
        <f t="shared" si="456"/>
        <v>4.7969999999999999E-2</v>
      </c>
      <c r="N731" s="155">
        <f t="shared" si="457"/>
        <v>3.9122127646440408E-3</v>
      </c>
      <c r="O731" s="147">
        <f>IF($E731="","",MIN(VLOOKUP(IF($B731&lt;=Input!$C$7,$B731,26),'Mortality Tables'!$A$41:$CW$67,IF($B731&lt;=Input!$C$7+1,Input!$C$4+2,$D731-Input!$C$7+2),0)*IF(B731&gt;20,Input!$C$22,1)/1000,1))</f>
        <v>1</v>
      </c>
      <c r="P731" s="147">
        <f>IF($E731="","",MIN(VLOOKUP(IF($B731&lt;=Input!$C$7,$B731,26),'Mortality Tables'!$A$12:$CW$37,IF($B731&lt;=Input!$C$7+1,Input!$C$4+2,$D731-Input!$C$7+2),0)*IF(B731&gt;20,Input!$C$22,1)/1000,1))</f>
        <v>1</v>
      </c>
      <c r="Q731" s="155">
        <f>IF($E731="","",Input!$C$21)</f>
        <v>5.0000000000000001E-3</v>
      </c>
      <c r="R731" s="159">
        <f>IF($E731="","",(1-Q731)^($F731-Input!$C$20))</f>
        <v>0.74026095769670508</v>
      </c>
      <c r="S731" s="147">
        <f t="shared" si="459"/>
        <v>0.74026095769670508</v>
      </c>
      <c r="T731" s="147">
        <f t="shared" si="460"/>
        <v>0.10625950466461764</v>
      </c>
      <c r="U731" s="160">
        <f>IF($E731="","",IF($C731=12,INDEX(Input!$C$15:$CP$15,1,$B731),0))</f>
        <v>0</v>
      </c>
      <c r="V731" s="150">
        <f>IF(E731="","",IF(C731=1,IF($B731=1,Input!$C$33,Input!$C$34),0))</f>
        <v>0</v>
      </c>
      <c r="W731" s="156">
        <f>IF($E731="","",Input!$C$35)</f>
        <v>0.02</v>
      </c>
      <c r="X731" s="156">
        <f t="shared" si="458"/>
        <v>3.2810307883654133</v>
      </c>
      <c r="Y731" s="154"/>
      <c r="Z731" s="147">
        <f>IF($E731="","",VLOOKUP($D731,'Mortality Margins &amp; Grading'!$AB$5:$AF$125,3,0)*IF(Summary!$D$25="Included Margin",IF(AND($B731&gt;Input!$C$9,Summary!$D$31&lt;&gt;"Included Margin"),0,1),0))</f>
        <v>1.2E-2</v>
      </c>
      <c r="AA731" s="147">
        <f>IF($E731="","",VLOOKUP($D731,'Mortality Margins &amp; Grading'!$AB$5:$AF$125,5,0)*IF(Summary!$D$25="Included Margin",IF(AND($B731&gt;Input!$C$9,Summary!$D$31&lt;&gt;"Included Margin"),0,1),0))</f>
        <v>0.06</v>
      </c>
      <c r="AB731" s="147">
        <f>IF($E731="","",IF(AND($B731&gt;Input!$C$9,Summary!$D$31&lt;&gt;"Included Margin"),1,IF(Summary!$D$25="Included Margin",VLOOKUP($B731,'Mortality Margins &amp; Grading'!$AI$5:$AR$125,MATCH('Mortality Margins &amp; Grading'!$AQ$4,'Mortality Margins &amp; Grading'!$AI$4:$AR$4,0),0),1)))</f>
        <v>0</v>
      </c>
      <c r="AC731" s="154"/>
      <c r="AD731" s="158">
        <f>IF(E731="","",Input!$C$48*IF(Summary!$D$30="Included Margin",IF(AND($B731&gt;Input!$C$9,Summary!$D$31&lt;&gt;"Included Margin"),0,1),0))</f>
        <v>-4.4999999999999997E-3</v>
      </c>
      <c r="AE731" s="159">
        <f>IF(E731="","",IF(Summary!$D$26="Included Margin",IF(AND($B731&gt;Input!$C$9,Summary!$D$31&lt;&gt;"Included Margin"),1,1/$R731),1))</f>
        <v>1.3508749713229014</v>
      </c>
      <c r="AF731" s="160">
        <f>IF(E731="","",IF(AND($B731&gt;=Input!$C$9,$C731=12,Summary!$D$31="Included Margin",$U731&gt;0),1/U731-1,IF($B731&gt;=Input!$C$9,0,Input!$C$45*IF(Summary!$D$27="Included Margin",1,0))))</f>
        <v>0</v>
      </c>
      <c r="AG731" s="160">
        <f>IF(E731="","",Input!$C$46*IF(Summary!$D$28="Included Margin",IF(AND($B731&gt;Input!$C$9,Summary!$D$31&lt;&gt;"Included Margin"),0,1),0))</f>
        <v>0.02</v>
      </c>
      <c r="AH731" s="158">
        <f>IF(E731="","",Input!$C$47*IF(Summary!$D$29="Included Margin",IF(AND($B731&gt;Input!$C$9,Summary!$D$31&lt;&gt;"Included Margin"),0,1),0))</f>
        <v>2.5000000000000001E-3</v>
      </c>
      <c r="AI731" s="154"/>
      <c r="AJ731" s="158">
        <f t="shared" si="481"/>
        <v>4.3470000000000002E-2</v>
      </c>
      <c r="AK731" s="155">
        <f t="shared" si="482"/>
        <v>3.5522692164793312E-3</v>
      </c>
      <c r="AL731" s="147">
        <f t="shared" si="483"/>
        <v>1</v>
      </c>
      <c r="AM731" s="147">
        <f t="shared" si="461"/>
        <v>1</v>
      </c>
      <c r="AN731" s="160">
        <f t="shared" si="484"/>
        <v>0</v>
      </c>
      <c r="AO731" s="161">
        <f t="shared" si="485"/>
        <v>0</v>
      </c>
      <c r="AP731" s="156">
        <f t="shared" si="462"/>
        <v>3.8001347859463772</v>
      </c>
      <c r="AQ731" s="152"/>
      <c r="AR731" s="162">
        <f t="shared" si="463"/>
        <v>99822.701445275074</v>
      </c>
      <c r="AS731" s="150">
        <f t="shared" si="486"/>
        <v>0</v>
      </c>
      <c r="AT731" s="163">
        <f t="shared" si="464"/>
        <v>0</v>
      </c>
      <c r="AU731" s="163">
        <f t="shared" si="465"/>
        <v>100000</v>
      </c>
      <c r="AV731" s="163">
        <f t="shared" si="487"/>
        <v>176.98364862589094</v>
      </c>
      <c r="AW731" s="163">
        <f t="shared" si="466"/>
        <v>99823.016351374114</v>
      </c>
      <c r="AX731" s="163">
        <f t="shared" si="467"/>
        <v>0</v>
      </c>
      <c r="AY731" s="164">
        <f t="shared" si="488"/>
        <v>99822.701445275074</v>
      </c>
      <c r="AZ731" s="164">
        <f>IF($E731="","",IF(OR(AND($D731=Input!$C$6,$C731=12),$AN731=1),0,-AS732+AT732+AU732-AV732-AW732-AX732+AZ732))</f>
        <v>99823.016351374114</v>
      </c>
      <c r="BA731" s="154">
        <f t="shared" si="468"/>
        <v>0.31490609903994482</v>
      </c>
      <c r="BC731" s="147">
        <f t="shared" si="489"/>
        <v>2.0112592394424256E-11</v>
      </c>
      <c r="BD731" s="164">
        <f>IF(AND($C730=12,$D730=Input!$C$6),0,IF($E731="","",AT731+(AU731+BD732)/(1+$AK731)*MIN((1-AM731-AN731),1)))</f>
        <v>0</v>
      </c>
      <c r="BE731" s="164">
        <f t="shared" si="469"/>
        <v>0</v>
      </c>
      <c r="BF731" s="164">
        <f t="shared" si="490"/>
        <v>99823.016351374114</v>
      </c>
      <c r="BG731" s="164">
        <f t="shared" si="470"/>
        <v>2.0076996394571351E-6</v>
      </c>
      <c r="BH731" s="152"/>
      <c r="BI731" s="162">
        <f t="shared" si="471"/>
        <v>32513.205255115547</v>
      </c>
      <c r="BJ731" s="150">
        <f t="shared" si="472"/>
        <v>0</v>
      </c>
      <c r="BK731" s="163">
        <f t="shared" si="494"/>
        <v>0</v>
      </c>
      <c r="BL731" s="163">
        <f t="shared" si="473"/>
        <v>10625.950466461763</v>
      </c>
      <c r="BM731" s="163">
        <f t="shared" si="495"/>
        <v>106.41308709287124</v>
      </c>
      <c r="BN731" s="163">
        <f t="shared" si="474"/>
        <v>2614.8983719140019</v>
      </c>
      <c r="BO731" s="163">
        <f t="shared" si="475"/>
        <v>0</v>
      </c>
      <c r="BP731" s="164">
        <f t="shared" si="496"/>
        <v>24608.566247660656</v>
      </c>
      <c r="BQ731" s="164">
        <f>IF($E731="","",IF(AND($D731=Input!$C$6,$C731=12),0,-BJ732+BK732+BL732-BM732-BN732-BO732+BQ732))</f>
        <v>24608.606826912044</v>
      </c>
      <c r="BR731" s="161">
        <f t="shared" si="476"/>
        <v>0</v>
      </c>
      <c r="BT731" s="147">
        <f t="shared" si="477"/>
        <v>2.0112592394424256E-11</v>
      </c>
      <c r="BU731" s="164">
        <f>IF(AND($C730=12,$D730=Input!$C$6),0,IF($E731="","",BK731+(BL731+BU732)/(1+$AK731)*MIN((1-T731-U731),1)))</f>
        <v>79627.430334940334</v>
      </c>
      <c r="BV731" s="164">
        <f t="shared" si="478"/>
        <v>1.6015140497420683E-6</v>
      </c>
      <c r="BW731" s="164">
        <f t="shared" si="479"/>
        <v>24608.606826912044</v>
      </c>
      <c r="BX731" s="164">
        <f t="shared" si="480"/>
        <v>4.9494287850432799E-7</v>
      </c>
    </row>
    <row r="732" spans="1:76" s="150" customFormat="1" x14ac:dyDescent="0.25">
      <c r="A732" s="150">
        <f t="shared" si="491"/>
        <v>728</v>
      </c>
      <c r="B732" s="150">
        <f t="shared" si="492"/>
        <v>61</v>
      </c>
      <c r="C732" s="150">
        <f t="shared" si="493"/>
        <v>8</v>
      </c>
      <c r="D732" s="150">
        <f>IF(E732="","",Input!$C$4+B732-1)</f>
        <v>105</v>
      </c>
      <c r="E732" s="150">
        <f>IF(OR(AND(C731=12,D731=Input!$C$6),E731=""),"",1)</f>
        <v>1</v>
      </c>
      <c r="F732" s="150">
        <f>IF(E732="","",Input!$C$8+B732-1)</f>
        <v>2078</v>
      </c>
      <c r="G732" s="151">
        <f>IF(E732="","",MAX(0,Input!$C$9-B732))</f>
        <v>0</v>
      </c>
      <c r="H732" s="152">
        <f>IF(E732="","",Input!$C$3)</f>
        <v>100000</v>
      </c>
      <c r="I732" s="153">
        <f>IF(E732="","",HLOOKUP($B732,Input!$C$13:$BT$14,2))</f>
        <v>1000</v>
      </c>
      <c r="J732" s="154"/>
      <c r="K732" s="155">
        <f>IF($E732="","",INDEX(Input!$C$16:$CP$16,1,$B732))</f>
        <v>3.2969999999999999E-2</v>
      </c>
      <c r="L732" s="155">
        <f>IF($E732="","",Input!$C$37)</f>
        <v>1.4999999999999999E-2</v>
      </c>
      <c r="M732" s="155">
        <f t="shared" si="456"/>
        <v>4.7969999999999999E-2</v>
      </c>
      <c r="N732" s="155">
        <f t="shared" si="457"/>
        <v>3.9122127646440408E-3</v>
      </c>
      <c r="O732" s="147">
        <f>IF($E732="","",MIN(VLOOKUP(IF($B732&lt;=Input!$C$7,$B732,26),'Mortality Tables'!$A$41:$CW$67,IF($B732&lt;=Input!$C$7+1,Input!$C$4+2,$D732-Input!$C$7+2),0)*IF(B732&gt;20,Input!$C$22,1)/1000,1))</f>
        <v>1</v>
      </c>
      <c r="P732" s="147">
        <f>IF($E732="","",MIN(VLOOKUP(IF($B732&lt;=Input!$C$7,$B732,26),'Mortality Tables'!$A$12:$CW$37,IF($B732&lt;=Input!$C$7+1,Input!$C$4+2,$D732-Input!$C$7+2),0)*IF(B732&gt;20,Input!$C$22,1)/1000,1))</f>
        <v>1</v>
      </c>
      <c r="Q732" s="155">
        <f>IF($E732="","",Input!$C$21)</f>
        <v>5.0000000000000001E-3</v>
      </c>
      <c r="R732" s="159">
        <f>IF($E732="","",(1-Q732)^($F732-Input!$C$20))</f>
        <v>0.74026095769670508</v>
      </c>
      <c r="S732" s="147">
        <f t="shared" si="459"/>
        <v>0.74026095769670508</v>
      </c>
      <c r="T732" s="147">
        <f t="shared" si="460"/>
        <v>0.10625950466461764</v>
      </c>
      <c r="U732" s="160">
        <f>IF($E732="","",IF($C732=12,INDEX(Input!$C$15:$CP$15,1,$B732),0))</f>
        <v>0</v>
      </c>
      <c r="V732" s="150">
        <f>IF(E732="","",IF(C732=1,IF($B732=1,Input!$C$33,Input!$C$34),0))</f>
        <v>0</v>
      </c>
      <c r="W732" s="156">
        <f>IF($E732="","",Input!$C$35)</f>
        <v>0.02</v>
      </c>
      <c r="X732" s="156">
        <f t="shared" si="458"/>
        <v>3.2810307883654133</v>
      </c>
      <c r="Y732" s="154"/>
      <c r="Z732" s="147">
        <f>IF($E732="","",VLOOKUP($D732,'Mortality Margins &amp; Grading'!$AB$5:$AF$125,3,0)*IF(Summary!$D$25="Included Margin",IF(AND($B732&gt;Input!$C$9,Summary!$D$31&lt;&gt;"Included Margin"),0,1),0))</f>
        <v>1.2E-2</v>
      </c>
      <c r="AA732" s="147">
        <f>IF($E732="","",VLOOKUP($D732,'Mortality Margins &amp; Grading'!$AB$5:$AF$125,5,0)*IF(Summary!$D$25="Included Margin",IF(AND($B732&gt;Input!$C$9,Summary!$D$31&lt;&gt;"Included Margin"),0,1),0))</f>
        <v>0.06</v>
      </c>
      <c r="AB732" s="147">
        <f>IF($E732="","",IF(AND($B732&gt;Input!$C$9,Summary!$D$31&lt;&gt;"Included Margin"),1,IF(Summary!$D$25="Included Margin",VLOOKUP($B732,'Mortality Margins &amp; Grading'!$AI$5:$AR$125,MATCH('Mortality Margins &amp; Grading'!$AQ$4,'Mortality Margins &amp; Grading'!$AI$4:$AR$4,0),0),1)))</f>
        <v>0</v>
      </c>
      <c r="AC732" s="154"/>
      <c r="AD732" s="158">
        <f>IF(E732="","",Input!$C$48*IF(Summary!$D$30="Included Margin",IF(AND($B732&gt;Input!$C$9,Summary!$D$31&lt;&gt;"Included Margin"),0,1),0))</f>
        <v>-4.4999999999999997E-3</v>
      </c>
      <c r="AE732" s="159">
        <f>IF(E732="","",IF(Summary!$D$26="Included Margin",IF(AND($B732&gt;Input!$C$9,Summary!$D$31&lt;&gt;"Included Margin"),1,1/$R732),1))</f>
        <v>1.3508749713229014</v>
      </c>
      <c r="AF732" s="160">
        <f>IF(E732="","",IF(AND($B732&gt;=Input!$C$9,$C732=12,Summary!$D$31="Included Margin",$U732&gt;0),1/U732-1,IF($B732&gt;=Input!$C$9,0,Input!$C$45*IF(Summary!$D$27="Included Margin",1,0))))</f>
        <v>0</v>
      </c>
      <c r="AG732" s="160">
        <f>IF(E732="","",Input!$C$46*IF(Summary!$D$28="Included Margin",IF(AND($B732&gt;Input!$C$9,Summary!$D$31&lt;&gt;"Included Margin"),0,1),0))</f>
        <v>0.02</v>
      </c>
      <c r="AH732" s="158">
        <f>IF(E732="","",Input!$C$47*IF(Summary!$D$29="Included Margin",IF(AND($B732&gt;Input!$C$9,Summary!$D$31&lt;&gt;"Included Margin"),0,1),0))</f>
        <v>2.5000000000000001E-3</v>
      </c>
      <c r="AI732" s="154"/>
      <c r="AJ732" s="158">
        <f t="shared" si="481"/>
        <v>4.3470000000000002E-2</v>
      </c>
      <c r="AK732" s="155">
        <f t="shared" si="482"/>
        <v>3.5522692164793312E-3</v>
      </c>
      <c r="AL732" s="147">
        <f t="shared" si="483"/>
        <v>1</v>
      </c>
      <c r="AM732" s="147">
        <f t="shared" si="461"/>
        <v>1</v>
      </c>
      <c r="AN732" s="160">
        <f t="shared" si="484"/>
        <v>0</v>
      </c>
      <c r="AO732" s="161">
        <f t="shared" si="485"/>
        <v>0</v>
      </c>
      <c r="AP732" s="156">
        <f t="shared" si="462"/>
        <v>3.8001347859463772</v>
      </c>
      <c r="AQ732" s="152"/>
      <c r="AR732" s="162">
        <f t="shared" si="463"/>
        <v>99822.701445275074</v>
      </c>
      <c r="AS732" s="150">
        <f t="shared" si="486"/>
        <v>0</v>
      </c>
      <c r="AT732" s="163">
        <f t="shared" si="464"/>
        <v>0</v>
      </c>
      <c r="AU732" s="163">
        <f t="shared" si="465"/>
        <v>100000</v>
      </c>
      <c r="AV732" s="163">
        <f t="shared" si="487"/>
        <v>176.98364862589094</v>
      </c>
      <c r="AW732" s="163">
        <f t="shared" si="466"/>
        <v>99823.016351374114</v>
      </c>
      <c r="AX732" s="163">
        <f t="shared" si="467"/>
        <v>0</v>
      </c>
      <c r="AY732" s="165">
        <f t="shared" si="488"/>
        <v>99822.701445275074</v>
      </c>
      <c r="AZ732" s="164">
        <f>IF($E732="","",IF(OR(AND($D732=Input!$C$6,$C732=12),$AN732=1),0,-AS733+AT733+AU733-AV733-AW733-AX733+AZ733))</f>
        <v>99823.016351374114</v>
      </c>
      <c r="BA732" s="154">
        <f t="shared" si="468"/>
        <v>0.31490609903994482</v>
      </c>
      <c r="BC732" s="147">
        <f t="shared" si="489"/>
        <v>1.7975438289071379E-11</v>
      </c>
      <c r="BD732" s="164">
        <f>IF(AND($C731=12,$D731=Input!$C$6),0,IF($E732="","",AT732+(AU732+BD733)/(1+$AK732)*MIN((1-AM732-AN732),1)))</f>
        <v>0</v>
      </c>
      <c r="BE732" s="164">
        <f t="shared" si="469"/>
        <v>0</v>
      </c>
      <c r="BF732" s="164">
        <f t="shared" si="490"/>
        <v>99823.016351374114</v>
      </c>
      <c r="BG732" s="164">
        <f t="shared" si="470"/>
        <v>1.7943624702530885E-6</v>
      </c>
      <c r="BH732" s="152"/>
      <c r="BI732" s="162">
        <f t="shared" si="471"/>
        <v>24608.566247660659</v>
      </c>
      <c r="BJ732" s="150">
        <f t="shared" si="472"/>
        <v>0</v>
      </c>
      <c r="BK732" s="163">
        <f t="shared" si="494"/>
        <v>0</v>
      </c>
      <c r="BL732" s="163">
        <f t="shared" si="473"/>
        <v>10625.950466461763</v>
      </c>
      <c r="BM732" s="163">
        <f t="shared" si="495"/>
        <v>75.488457468003034</v>
      </c>
      <c r="BN732" s="163">
        <f t="shared" si="474"/>
        <v>1671.415262765838</v>
      </c>
      <c r="BO732" s="163">
        <f t="shared" si="475"/>
        <v>0</v>
      </c>
      <c r="BP732" s="164">
        <f t="shared" si="496"/>
        <v>15729.519501432738</v>
      </c>
      <c r="BQ732" s="164">
        <f>IF($E732="","",IF(AND($D732=Input!$C$6,$C732=12),0,-BJ733+BK733+BL733-BM733-BN733-BO733+BQ733))</f>
        <v>15729.560080684123</v>
      </c>
      <c r="BR732" s="161">
        <f t="shared" si="476"/>
        <v>0</v>
      </c>
      <c r="BT732" s="147">
        <f t="shared" si="477"/>
        <v>1.7975438289071379E-11</v>
      </c>
      <c r="BU732" s="164">
        <f>IF(AND($C731=12,$D731=Input!$C$6),0,IF($E732="","",BK732+(BL732+BU733)/(1+$AK732)*MIN((1-T732-U732),1)))</f>
        <v>78785.113283670318</v>
      </c>
      <c r="BV732" s="164">
        <f t="shared" si="478"/>
        <v>1.4161969419281136E-6</v>
      </c>
      <c r="BW732" s="164">
        <f t="shared" si="479"/>
        <v>15729.560080684123</v>
      </c>
      <c r="BX732" s="164">
        <f t="shared" si="480"/>
        <v>2.8274573654457808E-7</v>
      </c>
    </row>
    <row r="733" spans="1:76" s="150" customFormat="1" x14ac:dyDescent="0.25">
      <c r="A733" s="150">
        <f t="shared" si="491"/>
        <v>729</v>
      </c>
      <c r="B733" s="150">
        <f t="shared" si="492"/>
        <v>61</v>
      </c>
      <c r="C733" s="150">
        <f t="shared" si="493"/>
        <v>9</v>
      </c>
      <c r="D733" s="150">
        <f>IF(E733="","",Input!$C$4+B733-1)</f>
        <v>105</v>
      </c>
      <c r="E733" s="150">
        <f>IF(OR(AND(C732=12,D732=Input!$C$6),E732=""),"",1)</f>
        <v>1</v>
      </c>
      <c r="F733" s="150">
        <f>IF(E733="","",Input!$C$8+B733-1)</f>
        <v>2078</v>
      </c>
      <c r="G733" s="151">
        <f>IF(E733="","",MAX(0,Input!$C$9-B733))</f>
        <v>0</v>
      </c>
      <c r="H733" s="152">
        <f>IF(E733="","",Input!$C$3)</f>
        <v>100000</v>
      </c>
      <c r="I733" s="153">
        <f>IF(E733="","",HLOOKUP($B733,Input!$C$13:$BT$14,2))</f>
        <v>1000</v>
      </c>
      <c r="J733" s="154"/>
      <c r="K733" s="155">
        <f>IF($E733="","",INDEX(Input!$C$16:$CP$16,1,$B733))</f>
        <v>3.2969999999999999E-2</v>
      </c>
      <c r="L733" s="155">
        <f>IF($E733="","",Input!$C$37)</f>
        <v>1.4999999999999999E-2</v>
      </c>
      <c r="M733" s="155">
        <f t="shared" si="456"/>
        <v>4.7969999999999999E-2</v>
      </c>
      <c r="N733" s="155">
        <f t="shared" si="457"/>
        <v>3.9122127646440408E-3</v>
      </c>
      <c r="O733" s="147">
        <f>IF($E733="","",MIN(VLOOKUP(IF($B733&lt;=Input!$C$7,$B733,26),'Mortality Tables'!$A$41:$CW$67,IF($B733&lt;=Input!$C$7+1,Input!$C$4+2,$D733-Input!$C$7+2),0)*IF(B733&gt;20,Input!$C$22,1)/1000,1))</f>
        <v>1</v>
      </c>
      <c r="P733" s="147">
        <f>IF($E733="","",MIN(VLOOKUP(IF($B733&lt;=Input!$C$7,$B733,26),'Mortality Tables'!$A$12:$CW$37,IF($B733&lt;=Input!$C$7+1,Input!$C$4+2,$D733-Input!$C$7+2),0)*IF(B733&gt;20,Input!$C$22,1)/1000,1))</f>
        <v>1</v>
      </c>
      <c r="Q733" s="155">
        <f>IF($E733="","",Input!$C$21)</f>
        <v>5.0000000000000001E-3</v>
      </c>
      <c r="R733" s="159">
        <f>IF($E733="","",(1-Q733)^($F733-Input!$C$20))</f>
        <v>0.74026095769670508</v>
      </c>
      <c r="S733" s="147">
        <f t="shared" si="459"/>
        <v>0.74026095769670508</v>
      </c>
      <c r="T733" s="147">
        <f t="shared" si="460"/>
        <v>0.10625950466461764</v>
      </c>
      <c r="U733" s="160">
        <f>IF($E733="","",IF($C733=12,INDEX(Input!$C$15:$CP$15,1,$B733),0))</f>
        <v>0</v>
      </c>
      <c r="V733" s="150">
        <f>IF(E733="","",IF(C733=1,IF($B733=1,Input!$C$33,Input!$C$34),0))</f>
        <v>0</v>
      </c>
      <c r="W733" s="156">
        <f>IF($E733="","",Input!$C$35)</f>
        <v>0.02</v>
      </c>
      <c r="X733" s="156">
        <f t="shared" si="458"/>
        <v>3.2810307883654133</v>
      </c>
      <c r="Y733" s="154"/>
      <c r="Z733" s="147">
        <f>IF($E733="","",VLOOKUP($D733,'Mortality Margins &amp; Grading'!$AB$5:$AF$125,3,0)*IF(Summary!$D$25="Included Margin",IF(AND($B733&gt;Input!$C$9,Summary!$D$31&lt;&gt;"Included Margin"),0,1),0))</f>
        <v>1.2E-2</v>
      </c>
      <c r="AA733" s="147">
        <f>IF($E733="","",VLOOKUP($D733,'Mortality Margins &amp; Grading'!$AB$5:$AF$125,5,0)*IF(Summary!$D$25="Included Margin",IF(AND($B733&gt;Input!$C$9,Summary!$D$31&lt;&gt;"Included Margin"),0,1),0))</f>
        <v>0.06</v>
      </c>
      <c r="AB733" s="147">
        <f>IF($E733="","",IF(AND($B733&gt;Input!$C$9,Summary!$D$31&lt;&gt;"Included Margin"),1,IF(Summary!$D$25="Included Margin",VLOOKUP($B733,'Mortality Margins &amp; Grading'!$AI$5:$AR$125,MATCH('Mortality Margins &amp; Grading'!$AQ$4,'Mortality Margins &amp; Grading'!$AI$4:$AR$4,0),0),1)))</f>
        <v>0</v>
      </c>
      <c r="AC733" s="154"/>
      <c r="AD733" s="158">
        <f>IF(E733="","",Input!$C$48*IF(Summary!$D$30="Included Margin",IF(AND($B733&gt;Input!$C$9,Summary!$D$31&lt;&gt;"Included Margin"),0,1),0))</f>
        <v>-4.4999999999999997E-3</v>
      </c>
      <c r="AE733" s="159">
        <f>IF(E733="","",IF(Summary!$D$26="Included Margin",IF(AND($B733&gt;Input!$C$9,Summary!$D$31&lt;&gt;"Included Margin"),1,1/$R733),1))</f>
        <v>1.3508749713229014</v>
      </c>
      <c r="AF733" s="160">
        <f>IF(E733="","",IF(AND($B733&gt;=Input!$C$9,$C733=12,Summary!$D$31="Included Margin",$U733&gt;0),1/U733-1,IF($B733&gt;=Input!$C$9,0,Input!$C$45*IF(Summary!$D$27="Included Margin",1,0))))</f>
        <v>0</v>
      </c>
      <c r="AG733" s="160">
        <f>IF(E733="","",Input!$C$46*IF(Summary!$D$28="Included Margin",IF(AND($B733&gt;Input!$C$9,Summary!$D$31&lt;&gt;"Included Margin"),0,1),0))</f>
        <v>0.02</v>
      </c>
      <c r="AH733" s="158">
        <f>IF(E733="","",Input!$C$47*IF(Summary!$D$29="Included Margin",IF(AND($B733&gt;Input!$C$9,Summary!$D$31&lt;&gt;"Included Margin"),0,1),0))</f>
        <v>2.5000000000000001E-3</v>
      </c>
      <c r="AI733" s="154"/>
      <c r="AJ733" s="158">
        <f t="shared" si="481"/>
        <v>4.3470000000000002E-2</v>
      </c>
      <c r="AK733" s="155">
        <f t="shared" si="482"/>
        <v>3.5522692164793312E-3</v>
      </c>
      <c r="AL733" s="147">
        <f t="shared" si="483"/>
        <v>1</v>
      </c>
      <c r="AM733" s="147">
        <f t="shared" si="461"/>
        <v>1</v>
      </c>
      <c r="AN733" s="160">
        <f t="shared" si="484"/>
        <v>0</v>
      </c>
      <c r="AO733" s="161">
        <f t="shared" si="485"/>
        <v>0</v>
      </c>
      <c r="AP733" s="156">
        <f t="shared" si="462"/>
        <v>3.8001347859463772</v>
      </c>
      <c r="AQ733" s="152"/>
      <c r="AR733" s="162">
        <f t="shared" si="463"/>
        <v>99822.701445275074</v>
      </c>
      <c r="AS733" s="150">
        <f t="shared" si="486"/>
        <v>0</v>
      </c>
      <c r="AT733" s="163">
        <f t="shared" si="464"/>
        <v>0</v>
      </c>
      <c r="AU733" s="163">
        <f t="shared" si="465"/>
        <v>100000</v>
      </c>
      <c r="AV733" s="163">
        <f t="shared" si="487"/>
        <v>176.98364862589094</v>
      </c>
      <c r="AW733" s="163">
        <f t="shared" si="466"/>
        <v>99823.016351374114</v>
      </c>
      <c r="AX733" s="163">
        <f t="shared" si="467"/>
        <v>0</v>
      </c>
      <c r="AY733" s="164">
        <f t="shared" si="488"/>
        <v>99822.701445275074</v>
      </c>
      <c r="AZ733" s="164">
        <f>IF($E733="","",IF(OR(AND($D733=Input!$C$6,$C733=12),$AN733=1),0,-AS734+AT734+AU734-AV734-AW734-AX734+AZ734))</f>
        <v>99823.016351374114</v>
      </c>
      <c r="BA733" s="154">
        <f t="shared" si="468"/>
        <v>0.31490609903994482</v>
      </c>
      <c r="BC733" s="147">
        <f t="shared" si="489"/>
        <v>1.6065377120345253E-11</v>
      </c>
      <c r="BD733" s="164">
        <f>IF(AND($C732=12,$D732=Input!$C$6),0,IF($E733="","",AT733+(AU733+BD734)/(1+$AK733)*MIN((1-AM733-AN733),1)))</f>
        <v>0</v>
      </c>
      <c r="BE733" s="164">
        <f t="shared" si="469"/>
        <v>0</v>
      </c>
      <c r="BF733" s="164">
        <f t="shared" si="490"/>
        <v>99823.016351374114</v>
      </c>
      <c r="BG733" s="164">
        <f t="shared" si="470"/>
        <v>1.6036944029752157E-6</v>
      </c>
      <c r="BH733" s="152"/>
      <c r="BI733" s="162">
        <f t="shared" si="471"/>
        <v>15729.519501432736</v>
      </c>
      <c r="BJ733" s="150">
        <f t="shared" si="472"/>
        <v>0</v>
      </c>
      <c r="BK733" s="163">
        <f t="shared" si="494"/>
        <v>0</v>
      </c>
      <c r="BL733" s="163">
        <f t="shared" si="473"/>
        <v>10625.950466461763</v>
      </c>
      <c r="BM733" s="163">
        <f t="shared" si="495"/>
        <v>40.751737449539014</v>
      </c>
      <c r="BN733" s="163">
        <f t="shared" si="474"/>
        <v>611.6286460079549</v>
      </c>
      <c r="BO733" s="163">
        <f t="shared" si="475"/>
        <v>0</v>
      </c>
      <c r="BP733" s="164">
        <f t="shared" si="496"/>
        <v>5755.9494184284667</v>
      </c>
      <c r="BQ733" s="164">
        <f>IF($E733="","",IF(AND($D733=Input!$C$6,$C733=12),0,-BJ734+BK734+BL734-BM734-BN734-BO734+BQ734))</f>
        <v>5755.9899976798533</v>
      </c>
      <c r="BR733" s="161">
        <f t="shared" si="476"/>
        <v>0</v>
      </c>
      <c r="BT733" s="147">
        <f t="shared" si="477"/>
        <v>1.6065377120345253E-11</v>
      </c>
      <c r="BU733" s="164">
        <f>IF(AND($C732=12,$D732=Input!$C$6),0,IF($E733="","",BK733+(BL733+BU734)/(1+$AK733)*MIN((1-T733-U733),1)))</f>
        <v>77839.302735067453</v>
      </c>
      <c r="BV733" s="164">
        <f t="shared" si="478"/>
        <v>1.2505177532235803E-6</v>
      </c>
      <c r="BW733" s="164">
        <f t="shared" si="479"/>
        <v>5755.9899976798533</v>
      </c>
      <c r="BX733" s="164">
        <f t="shared" si="480"/>
        <v>9.2472150013662043E-8</v>
      </c>
    </row>
    <row r="734" spans="1:76" s="150" customFormat="1" x14ac:dyDescent="0.25">
      <c r="A734" s="150">
        <f t="shared" si="491"/>
        <v>730</v>
      </c>
      <c r="B734" s="150">
        <f t="shared" si="492"/>
        <v>61</v>
      </c>
      <c r="C734" s="150">
        <f t="shared" si="493"/>
        <v>10</v>
      </c>
      <c r="D734" s="150">
        <f>IF(E734="","",Input!$C$4+B734-1)</f>
        <v>105</v>
      </c>
      <c r="E734" s="150">
        <f>IF(OR(AND(C733=12,D733=Input!$C$6),E733=""),"",1)</f>
        <v>1</v>
      </c>
      <c r="F734" s="150">
        <f>IF(E734="","",Input!$C$8+B734-1)</f>
        <v>2078</v>
      </c>
      <c r="G734" s="151">
        <f>IF(E734="","",MAX(0,Input!$C$9-B734))</f>
        <v>0</v>
      </c>
      <c r="H734" s="152">
        <f>IF(E734="","",Input!$C$3)</f>
        <v>100000</v>
      </c>
      <c r="I734" s="153">
        <f>IF(E734="","",HLOOKUP($B734,Input!$C$13:$BT$14,2))</f>
        <v>1000</v>
      </c>
      <c r="J734" s="154"/>
      <c r="K734" s="155">
        <f>IF($E734="","",INDEX(Input!$C$16:$CP$16,1,$B734))</f>
        <v>3.2969999999999999E-2</v>
      </c>
      <c r="L734" s="155">
        <f>IF($E734="","",Input!$C$37)</f>
        <v>1.4999999999999999E-2</v>
      </c>
      <c r="M734" s="155">
        <f t="shared" si="456"/>
        <v>4.7969999999999999E-2</v>
      </c>
      <c r="N734" s="155">
        <f t="shared" si="457"/>
        <v>3.9122127646440408E-3</v>
      </c>
      <c r="O734" s="147">
        <f>IF($E734="","",MIN(VLOOKUP(IF($B734&lt;=Input!$C$7,$B734,26),'Mortality Tables'!$A$41:$CW$67,IF($B734&lt;=Input!$C$7+1,Input!$C$4+2,$D734-Input!$C$7+2),0)*IF(B734&gt;20,Input!$C$22,1)/1000,1))</f>
        <v>1</v>
      </c>
      <c r="P734" s="147">
        <f>IF($E734="","",MIN(VLOOKUP(IF($B734&lt;=Input!$C$7,$B734,26),'Mortality Tables'!$A$12:$CW$37,IF($B734&lt;=Input!$C$7+1,Input!$C$4+2,$D734-Input!$C$7+2),0)*IF(B734&gt;20,Input!$C$22,1)/1000,1))</f>
        <v>1</v>
      </c>
      <c r="Q734" s="155">
        <f>IF($E734="","",Input!$C$21)</f>
        <v>5.0000000000000001E-3</v>
      </c>
      <c r="R734" s="159">
        <f>IF($E734="","",(1-Q734)^($F734-Input!$C$20))</f>
        <v>0.74026095769670508</v>
      </c>
      <c r="S734" s="147">
        <f t="shared" si="459"/>
        <v>0.74026095769670508</v>
      </c>
      <c r="T734" s="147">
        <f t="shared" si="460"/>
        <v>0.10625950466461764</v>
      </c>
      <c r="U734" s="160">
        <f>IF($E734="","",IF($C734=12,INDEX(Input!$C$15:$CP$15,1,$B734),0))</f>
        <v>0</v>
      </c>
      <c r="V734" s="150">
        <f>IF(E734="","",IF(C734=1,IF($B734=1,Input!$C$33,Input!$C$34),0))</f>
        <v>0</v>
      </c>
      <c r="W734" s="156">
        <f>IF($E734="","",Input!$C$35)</f>
        <v>0.02</v>
      </c>
      <c r="X734" s="156">
        <f t="shared" si="458"/>
        <v>3.2810307883654133</v>
      </c>
      <c r="Y734" s="154"/>
      <c r="Z734" s="147">
        <f>IF($E734="","",VLOOKUP($D734,'Mortality Margins &amp; Grading'!$AB$5:$AF$125,3,0)*IF(Summary!$D$25="Included Margin",IF(AND($B734&gt;Input!$C$9,Summary!$D$31&lt;&gt;"Included Margin"),0,1),0))</f>
        <v>1.2E-2</v>
      </c>
      <c r="AA734" s="147">
        <f>IF($E734="","",VLOOKUP($D734,'Mortality Margins &amp; Grading'!$AB$5:$AF$125,5,0)*IF(Summary!$D$25="Included Margin",IF(AND($B734&gt;Input!$C$9,Summary!$D$31&lt;&gt;"Included Margin"),0,1),0))</f>
        <v>0.06</v>
      </c>
      <c r="AB734" s="147">
        <f>IF($E734="","",IF(AND($B734&gt;Input!$C$9,Summary!$D$31&lt;&gt;"Included Margin"),1,IF(Summary!$D$25="Included Margin",VLOOKUP($B734,'Mortality Margins &amp; Grading'!$AI$5:$AR$125,MATCH('Mortality Margins &amp; Grading'!$AQ$4,'Mortality Margins &amp; Grading'!$AI$4:$AR$4,0),0),1)))</f>
        <v>0</v>
      </c>
      <c r="AC734" s="154"/>
      <c r="AD734" s="158">
        <f>IF(E734="","",Input!$C$48*IF(Summary!$D$30="Included Margin",IF(AND($B734&gt;Input!$C$9,Summary!$D$31&lt;&gt;"Included Margin"),0,1),0))</f>
        <v>-4.4999999999999997E-3</v>
      </c>
      <c r="AE734" s="159">
        <f>IF(E734="","",IF(Summary!$D$26="Included Margin",IF(AND($B734&gt;Input!$C$9,Summary!$D$31&lt;&gt;"Included Margin"),1,1/$R734),1))</f>
        <v>1.3508749713229014</v>
      </c>
      <c r="AF734" s="160">
        <f>IF(E734="","",IF(AND($B734&gt;=Input!$C$9,$C734=12,Summary!$D$31="Included Margin",$U734&gt;0),1/U734-1,IF($B734&gt;=Input!$C$9,0,Input!$C$45*IF(Summary!$D$27="Included Margin",1,0))))</f>
        <v>0</v>
      </c>
      <c r="AG734" s="160">
        <f>IF(E734="","",Input!$C$46*IF(Summary!$D$28="Included Margin",IF(AND($B734&gt;Input!$C$9,Summary!$D$31&lt;&gt;"Included Margin"),0,1),0))</f>
        <v>0.02</v>
      </c>
      <c r="AH734" s="158">
        <f>IF(E734="","",Input!$C$47*IF(Summary!$D$29="Included Margin",IF(AND($B734&gt;Input!$C$9,Summary!$D$31&lt;&gt;"Included Margin"),0,1),0))</f>
        <v>2.5000000000000001E-3</v>
      </c>
      <c r="AI734" s="154"/>
      <c r="AJ734" s="158">
        <f t="shared" si="481"/>
        <v>4.3470000000000002E-2</v>
      </c>
      <c r="AK734" s="155">
        <f t="shared" si="482"/>
        <v>3.5522692164793312E-3</v>
      </c>
      <c r="AL734" s="147">
        <f t="shared" si="483"/>
        <v>1</v>
      </c>
      <c r="AM734" s="147">
        <f t="shared" si="461"/>
        <v>1</v>
      </c>
      <c r="AN734" s="160">
        <f t="shared" si="484"/>
        <v>0</v>
      </c>
      <c r="AO734" s="161">
        <f t="shared" si="485"/>
        <v>0</v>
      </c>
      <c r="AP734" s="156">
        <f t="shared" si="462"/>
        <v>3.8001347859463772</v>
      </c>
      <c r="AQ734" s="152"/>
      <c r="AR734" s="162">
        <f t="shared" si="463"/>
        <v>99822.701445275074</v>
      </c>
      <c r="AS734" s="150">
        <f t="shared" si="486"/>
        <v>0</v>
      </c>
      <c r="AT734" s="163">
        <f t="shared" si="464"/>
        <v>0</v>
      </c>
      <c r="AU734" s="163">
        <f t="shared" si="465"/>
        <v>100000</v>
      </c>
      <c r="AV734" s="163">
        <f t="shared" si="487"/>
        <v>176.98364862589094</v>
      </c>
      <c r="AW734" s="163">
        <f t="shared" si="466"/>
        <v>99823.016351374114</v>
      </c>
      <c r="AX734" s="163">
        <f t="shared" si="467"/>
        <v>0</v>
      </c>
      <c r="AY734" s="165">
        <f t="shared" si="488"/>
        <v>99822.701445275074</v>
      </c>
      <c r="AZ734" s="164">
        <f>IF($E734="","",IF(OR(AND($D734=Input!$C$6,$C734=12),$AN734=1),0,-AS735+AT735+AU735-AV735-AW735-AX735+AZ735))</f>
        <v>99823.016351374114</v>
      </c>
      <c r="BA734" s="154">
        <f t="shared" si="468"/>
        <v>0.31490609903994482</v>
      </c>
      <c r="BC734" s="147">
        <f t="shared" si="489"/>
        <v>1.4358278105287085E-11</v>
      </c>
      <c r="BD734" s="164">
        <f>IF(AND($C733=12,$D733=Input!$C$6),0,IF($E734="","",AT734+(AU734+BD735)/(1+$AK734)*MIN((1-AM734-AN734),1)))</f>
        <v>0</v>
      </c>
      <c r="BE734" s="164">
        <f t="shared" si="469"/>
        <v>0</v>
      </c>
      <c r="BF734" s="164">
        <f t="shared" si="490"/>
        <v>99823.016351374114</v>
      </c>
      <c r="BG734" s="164">
        <f t="shared" si="470"/>
        <v>1.4332866300816496E-6</v>
      </c>
      <c r="BH734" s="152"/>
      <c r="BI734" s="162">
        <f t="shared" si="471"/>
        <v>5755.9494184284667</v>
      </c>
      <c r="BJ734" s="150">
        <f t="shared" si="472"/>
        <v>0</v>
      </c>
      <c r="BK734" s="163">
        <f t="shared" si="494"/>
        <v>0</v>
      </c>
      <c r="BL734" s="163">
        <f t="shared" si="473"/>
        <v>10625.950466461763</v>
      </c>
      <c r="BM734" s="163">
        <f t="shared" si="495"/>
        <v>1.7330092617377855</v>
      </c>
      <c r="BN734" s="163">
        <f t="shared" si="474"/>
        <v>-578.79825423954264</v>
      </c>
      <c r="BO734" s="163">
        <f t="shared" si="475"/>
        <v>0</v>
      </c>
      <c r="BP734" s="164">
        <f t="shared" si="496"/>
        <v>-5447.0662930111021</v>
      </c>
      <c r="BQ734" s="164">
        <f>IF($E734="","",IF(AND($D734=Input!$C$6,$C734=12),0,-BJ735+BK735+BL735-BM735-BN735-BO735+BQ735))</f>
        <v>-5447.0257137597146</v>
      </c>
      <c r="BR734" s="161">
        <f t="shared" si="476"/>
        <v>0</v>
      </c>
      <c r="BT734" s="147">
        <f t="shared" si="477"/>
        <v>1.4358278105287085E-11</v>
      </c>
      <c r="BU734" s="164">
        <f>IF(AND($C733=12,$D733=Input!$C$6),0,IF($E734="","",BK734+(BL734+BU735)/(1+$AK734)*MIN((1-T734-U734),1)))</f>
        <v>76777.282688696927</v>
      </c>
      <c r="BV734" s="164">
        <f t="shared" si="478"/>
        <v>1.1023895770125543E-6</v>
      </c>
      <c r="BW734" s="164">
        <f t="shared" si="479"/>
        <v>-5447.0257137597146</v>
      </c>
      <c r="BX734" s="164">
        <f t="shared" si="480"/>
        <v>-7.8209910044811869E-8</v>
      </c>
    </row>
    <row r="735" spans="1:76" s="150" customFormat="1" x14ac:dyDescent="0.25">
      <c r="A735" s="150">
        <f t="shared" si="491"/>
        <v>731</v>
      </c>
      <c r="B735" s="150">
        <f t="shared" si="492"/>
        <v>61</v>
      </c>
      <c r="C735" s="150">
        <f t="shared" si="493"/>
        <v>11</v>
      </c>
      <c r="D735" s="150">
        <f>IF(E735="","",Input!$C$4+B735-1)</f>
        <v>105</v>
      </c>
      <c r="E735" s="150">
        <f>IF(OR(AND(C734=12,D734=Input!$C$6),E734=""),"",1)</f>
        <v>1</v>
      </c>
      <c r="F735" s="150">
        <f>IF(E735="","",Input!$C$8+B735-1)</f>
        <v>2078</v>
      </c>
      <c r="G735" s="151">
        <f>IF(E735="","",MAX(0,Input!$C$9-B735))</f>
        <v>0</v>
      </c>
      <c r="H735" s="152">
        <f>IF(E735="","",Input!$C$3)</f>
        <v>100000</v>
      </c>
      <c r="I735" s="153">
        <f>IF(E735="","",HLOOKUP($B735,Input!$C$13:$BT$14,2))</f>
        <v>1000</v>
      </c>
      <c r="J735" s="154"/>
      <c r="K735" s="155">
        <f>IF($E735="","",INDEX(Input!$C$16:$CP$16,1,$B735))</f>
        <v>3.2969999999999999E-2</v>
      </c>
      <c r="L735" s="155">
        <f>IF($E735="","",Input!$C$37)</f>
        <v>1.4999999999999999E-2</v>
      </c>
      <c r="M735" s="155">
        <f t="shared" si="456"/>
        <v>4.7969999999999999E-2</v>
      </c>
      <c r="N735" s="155">
        <f t="shared" si="457"/>
        <v>3.9122127646440408E-3</v>
      </c>
      <c r="O735" s="147">
        <f>IF($E735="","",MIN(VLOOKUP(IF($B735&lt;=Input!$C$7,$B735,26),'Mortality Tables'!$A$41:$CW$67,IF($B735&lt;=Input!$C$7+1,Input!$C$4+2,$D735-Input!$C$7+2),0)*IF(B735&gt;20,Input!$C$22,1)/1000,1))</f>
        <v>1</v>
      </c>
      <c r="P735" s="147">
        <f>IF($E735="","",MIN(VLOOKUP(IF($B735&lt;=Input!$C$7,$B735,26),'Mortality Tables'!$A$12:$CW$37,IF($B735&lt;=Input!$C$7+1,Input!$C$4+2,$D735-Input!$C$7+2),0)*IF(B735&gt;20,Input!$C$22,1)/1000,1))</f>
        <v>1</v>
      </c>
      <c r="Q735" s="155">
        <f>IF($E735="","",Input!$C$21)</f>
        <v>5.0000000000000001E-3</v>
      </c>
      <c r="R735" s="159">
        <f>IF($E735="","",(1-Q735)^($F735-Input!$C$20))</f>
        <v>0.74026095769670508</v>
      </c>
      <c r="S735" s="147">
        <f t="shared" si="459"/>
        <v>0.74026095769670508</v>
      </c>
      <c r="T735" s="147">
        <f t="shared" si="460"/>
        <v>0.10625950466461764</v>
      </c>
      <c r="U735" s="160">
        <f>IF($E735="","",IF($C735=12,INDEX(Input!$C$15:$CP$15,1,$B735),0))</f>
        <v>0</v>
      </c>
      <c r="V735" s="150">
        <f>IF(E735="","",IF(C735=1,IF($B735=1,Input!$C$33,Input!$C$34),0))</f>
        <v>0</v>
      </c>
      <c r="W735" s="156">
        <f>IF($E735="","",Input!$C$35)</f>
        <v>0.02</v>
      </c>
      <c r="X735" s="156">
        <f t="shared" si="458"/>
        <v>3.2810307883654133</v>
      </c>
      <c r="Y735" s="154"/>
      <c r="Z735" s="147">
        <f>IF($E735="","",VLOOKUP($D735,'Mortality Margins &amp; Grading'!$AB$5:$AF$125,3,0)*IF(Summary!$D$25="Included Margin",IF(AND($B735&gt;Input!$C$9,Summary!$D$31&lt;&gt;"Included Margin"),0,1),0))</f>
        <v>1.2E-2</v>
      </c>
      <c r="AA735" s="147">
        <f>IF($E735="","",VLOOKUP($D735,'Mortality Margins &amp; Grading'!$AB$5:$AF$125,5,0)*IF(Summary!$D$25="Included Margin",IF(AND($B735&gt;Input!$C$9,Summary!$D$31&lt;&gt;"Included Margin"),0,1),0))</f>
        <v>0.06</v>
      </c>
      <c r="AB735" s="147">
        <f>IF($E735="","",IF(AND($B735&gt;Input!$C$9,Summary!$D$31&lt;&gt;"Included Margin"),1,IF(Summary!$D$25="Included Margin",VLOOKUP($B735,'Mortality Margins &amp; Grading'!$AI$5:$AR$125,MATCH('Mortality Margins &amp; Grading'!$AQ$4,'Mortality Margins &amp; Grading'!$AI$4:$AR$4,0),0),1)))</f>
        <v>0</v>
      </c>
      <c r="AC735" s="154"/>
      <c r="AD735" s="158">
        <f>IF(E735="","",Input!$C$48*IF(Summary!$D$30="Included Margin",IF(AND($B735&gt;Input!$C$9,Summary!$D$31&lt;&gt;"Included Margin"),0,1),0))</f>
        <v>-4.4999999999999997E-3</v>
      </c>
      <c r="AE735" s="159">
        <f>IF(E735="","",IF(Summary!$D$26="Included Margin",IF(AND($B735&gt;Input!$C$9,Summary!$D$31&lt;&gt;"Included Margin"),1,1/$R735),1))</f>
        <v>1.3508749713229014</v>
      </c>
      <c r="AF735" s="160">
        <f>IF(E735="","",IF(AND($B735&gt;=Input!$C$9,$C735=12,Summary!$D$31="Included Margin",$U735&gt;0),1/U735-1,IF($B735&gt;=Input!$C$9,0,Input!$C$45*IF(Summary!$D$27="Included Margin",1,0))))</f>
        <v>0</v>
      </c>
      <c r="AG735" s="160">
        <f>IF(E735="","",Input!$C$46*IF(Summary!$D$28="Included Margin",IF(AND($B735&gt;Input!$C$9,Summary!$D$31&lt;&gt;"Included Margin"),0,1),0))</f>
        <v>0.02</v>
      </c>
      <c r="AH735" s="158">
        <f>IF(E735="","",Input!$C$47*IF(Summary!$D$29="Included Margin",IF(AND($B735&gt;Input!$C$9,Summary!$D$31&lt;&gt;"Included Margin"),0,1),0))</f>
        <v>2.5000000000000001E-3</v>
      </c>
      <c r="AI735" s="154"/>
      <c r="AJ735" s="158">
        <f t="shared" si="481"/>
        <v>4.3470000000000002E-2</v>
      </c>
      <c r="AK735" s="155">
        <f t="shared" si="482"/>
        <v>3.5522692164793312E-3</v>
      </c>
      <c r="AL735" s="147">
        <f t="shared" si="483"/>
        <v>1</v>
      </c>
      <c r="AM735" s="147">
        <f t="shared" si="461"/>
        <v>1</v>
      </c>
      <c r="AN735" s="160">
        <f t="shared" si="484"/>
        <v>0</v>
      </c>
      <c r="AO735" s="161">
        <f t="shared" si="485"/>
        <v>0</v>
      </c>
      <c r="AP735" s="156">
        <f t="shared" si="462"/>
        <v>3.8001347859463772</v>
      </c>
      <c r="AQ735" s="152"/>
      <c r="AR735" s="162">
        <f t="shared" si="463"/>
        <v>99822.701445275074</v>
      </c>
      <c r="AS735" s="150">
        <f t="shared" si="486"/>
        <v>0</v>
      </c>
      <c r="AT735" s="163">
        <f t="shared" si="464"/>
        <v>0</v>
      </c>
      <c r="AU735" s="163">
        <f t="shared" si="465"/>
        <v>100000</v>
      </c>
      <c r="AV735" s="163">
        <f t="shared" si="487"/>
        <v>176.98364862589094</v>
      </c>
      <c r="AW735" s="163">
        <f t="shared" si="466"/>
        <v>99823.016351374114</v>
      </c>
      <c r="AX735" s="163">
        <f t="shared" si="467"/>
        <v>0</v>
      </c>
      <c r="AY735" s="164">
        <f t="shared" si="488"/>
        <v>99822.701445275074</v>
      </c>
      <c r="AZ735" s="164">
        <f>IF($E735="","",IF(OR(AND($D735=Input!$C$6,$C735=12),$AN735=1),0,-AS736+AT736+AU736-AV736-AW736-AX736+AZ736))</f>
        <v>99823.016351374114</v>
      </c>
      <c r="BA735" s="154">
        <f t="shared" si="468"/>
        <v>0.31490609903994482</v>
      </c>
      <c r="BC735" s="147">
        <f t="shared" si="489"/>
        <v>1.2832574585982454E-11</v>
      </c>
      <c r="BD735" s="164">
        <f>IF(AND($C734=12,$D734=Input!$C$6),0,IF($E735="","",AT735+(AU735+BD736)/(1+$AK735)*MIN((1-AM735-AN735),1)))</f>
        <v>0</v>
      </c>
      <c r="BE735" s="164">
        <f t="shared" si="469"/>
        <v>0</v>
      </c>
      <c r="BF735" s="164">
        <f t="shared" si="490"/>
        <v>99823.016351374114</v>
      </c>
      <c r="BG735" s="164">
        <f t="shared" si="470"/>
        <v>1.2809863027267544E-6</v>
      </c>
      <c r="BH735" s="152"/>
      <c r="BI735" s="162">
        <f t="shared" si="471"/>
        <v>-5447.0662930111012</v>
      </c>
      <c r="BJ735" s="150">
        <f t="shared" si="472"/>
        <v>0</v>
      </c>
      <c r="BK735" s="163">
        <f t="shared" si="494"/>
        <v>0</v>
      </c>
      <c r="BL735" s="163">
        <f t="shared" si="473"/>
        <v>10625.950466461763</v>
      </c>
      <c r="BM735" s="163">
        <f t="shared" si="495"/>
        <v>-42.095571807063834</v>
      </c>
      <c r="BN735" s="163">
        <f t="shared" si="474"/>
        <v>-1915.9695134578662</v>
      </c>
      <c r="BO735" s="163">
        <f t="shared" si="475"/>
        <v>0</v>
      </c>
      <c r="BP735" s="164">
        <f t="shared" si="496"/>
        <v>-18031.081844737793</v>
      </c>
      <c r="BQ735" s="164">
        <f>IF($E735="","",IF(AND($D735=Input!$C$6,$C735=12),0,-BJ736+BK736+BL736-BM736-BN736-BO736+BQ736))</f>
        <v>-18031.041265486409</v>
      </c>
      <c r="BR735" s="161">
        <f t="shared" si="476"/>
        <v>0</v>
      </c>
      <c r="BT735" s="147">
        <f t="shared" si="477"/>
        <v>1.2832574585982454E-11</v>
      </c>
      <c r="BU735" s="164">
        <f>IF(AND($C734=12,$D734=Input!$C$6),0,IF($E735="","",BK735+(BL735+BU736)/(1+$AK735)*MIN((1-T735-U735),1)))</f>
        <v>75584.77475932469</v>
      </c>
      <c r="BV735" s="164">
        <f t="shared" si="478"/>
        <v>9.6994725966371811E-7</v>
      </c>
      <c r="BW735" s="164">
        <f t="shared" si="479"/>
        <v>-18031.041265486409</v>
      </c>
      <c r="BX735" s="164">
        <f t="shared" si="480"/>
        <v>-2.3138468190228179E-7</v>
      </c>
    </row>
    <row r="736" spans="1:76" s="150" customFormat="1" x14ac:dyDescent="0.25">
      <c r="A736" s="150">
        <f t="shared" si="491"/>
        <v>732</v>
      </c>
      <c r="B736" s="150">
        <f t="shared" si="492"/>
        <v>61</v>
      </c>
      <c r="C736" s="150">
        <f t="shared" si="493"/>
        <v>12</v>
      </c>
      <c r="D736" s="150">
        <f>IF(E736="","",Input!$C$4+B736-1)</f>
        <v>105</v>
      </c>
      <c r="E736" s="150">
        <f>IF(OR(AND(C735=12,D735=Input!$C$6),E735=""),"",1)</f>
        <v>1</v>
      </c>
      <c r="F736" s="150">
        <f>IF(E736="","",Input!$C$8+B736-1)</f>
        <v>2078</v>
      </c>
      <c r="G736" s="151">
        <f>IF(E736="","",MAX(0,Input!$C$9-B736))</f>
        <v>0</v>
      </c>
      <c r="H736" s="152">
        <f>IF(E736="","",Input!$C$3)</f>
        <v>100000</v>
      </c>
      <c r="I736" s="153">
        <f>IF(E736="","",HLOOKUP($B736,Input!$C$13:$BT$14,2))</f>
        <v>1000</v>
      </c>
      <c r="J736" s="154"/>
      <c r="K736" s="155">
        <f>IF($E736="","",INDEX(Input!$C$16:$CP$16,1,$B736))</f>
        <v>3.2969999999999999E-2</v>
      </c>
      <c r="L736" s="155">
        <f>IF($E736="","",Input!$C$37)</f>
        <v>1.4999999999999999E-2</v>
      </c>
      <c r="M736" s="155">
        <f t="shared" si="456"/>
        <v>4.7969999999999999E-2</v>
      </c>
      <c r="N736" s="155">
        <f t="shared" si="457"/>
        <v>3.9122127646440408E-3</v>
      </c>
      <c r="O736" s="147">
        <f>IF($E736="","",MIN(VLOOKUP(IF($B736&lt;=Input!$C$7,$B736,26),'Mortality Tables'!$A$41:$CW$67,IF($B736&lt;=Input!$C$7+1,Input!$C$4+2,$D736-Input!$C$7+2),0)*IF(B736&gt;20,Input!$C$22,1)/1000,1))</f>
        <v>1</v>
      </c>
      <c r="P736" s="147">
        <f>IF($E736="","",MIN(VLOOKUP(IF($B736&lt;=Input!$C$7,$B736,26),'Mortality Tables'!$A$12:$CW$37,IF($B736&lt;=Input!$C$7+1,Input!$C$4+2,$D736-Input!$C$7+2),0)*IF(B736&gt;20,Input!$C$22,1)/1000,1))</f>
        <v>1</v>
      </c>
      <c r="Q736" s="155">
        <f>IF($E736="","",Input!$C$21)</f>
        <v>5.0000000000000001E-3</v>
      </c>
      <c r="R736" s="159">
        <f>IF($E736="","",(1-Q736)^($F736-Input!$C$20))</f>
        <v>0.74026095769670508</v>
      </c>
      <c r="S736" s="147">
        <f t="shared" si="459"/>
        <v>0.74026095769670508</v>
      </c>
      <c r="T736" s="147">
        <f t="shared" si="460"/>
        <v>0.10625950466461764</v>
      </c>
      <c r="U736" s="160">
        <f>IF($E736="","",IF($C736=12,INDEX(Input!$C$15:$CP$15,1,$B736),0))</f>
        <v>0.1</v>
      </c>
      <c r="V736" s="150">
        <f>IF(E736="","",IF(C736=1,IF($B736=1,Input!$C$33,Input!$C$34),0))</f>
        <v>0</v>
      </c>
      <c r="W736" s="156">
        <f>IF($E736="","",Input!$C$35)</f>
        <v>0.02</v>
      </c>
      <c r="X736" s="156">
        <f t="shared" si="458"/>
        <v>3.2810307883654133</v>
      </c>
      <c r="Y736" s="154"/>
      <c r="Z736" s="147">
        <f>IF($E736="","",VLOOKUP($D736,'Mortality Margins &amp; Grading'!$AB$5:$AF$125,3,0)*IF(Summary!$D$25="Included Margin",IF(AND($B736&gt;Input!$C$9,Summary!$D$31&lt;&gt;"Included Margin"),0,1),0))</f>
        <v>1.2E-2</v>
      </c>
      <c r="AA736" s="147">
        <f>IF($E736="","",VLOOKUP($D736,'Mortality Margins &amp; Grading'!$AB$5:$AF$125,5,0)*IF(Summary!$D$25="Included Margin",IF(AND($B736&gt;Input!$C$9,Summary!$D$31&lt;&gt;"Included Margin"),0,1),0))</f>
        <v>0.06</v>
      </c>
      <c r="AB736" s="147">
        <f>IF($E736="","",IF(AND($B736&gt;Input!$C$9,Summary!$D$31&lt;&gt;"Included Margin"),1,IF(Summary!$D$25="Included Margin",VLOOKUP($B736,'Mortality Margins &amp; Grading'!$AI$5:$AR$125,MATCH('Mortality Margins &amp; Grading'!$AQ$4,'Mortality Margins &amp; Grading'!$AI$4:$AR$4,0),0),1)))</f>
        <v>0</v>
      </c>
      <c r="AC736" s="154"/>
      <c r="AD736" s="158">
        <f>IF(E736="","",Input!$C$48*IF(Summary!$D$30="Included Margin",IF(AND($B736&gt;Input!$C$9,Summary!$D$31&lt;&gt;"Included Margin"),0,1),0))</f>
        <v>-4.4999999999999997E-3</v>
      </c>
      <c r="AE736" s="159">
        <f>IF(E736="","",IF(Summary!$D$26="Included Margin",IF(AND($B736&gt;Input!$C$9,Summary!$D$31&lt;&gt;"Included Margin"),1,1/$R736),1))</f>
        <v>1.3508749713229014</v>
      </c>
      <c r="AF736" s="160">
        <f>IF(E736="","",IF(AND($B736&gt;=Input!$C$9,$C736=12,Summary!$D$31="Included Margin",$U736&gt;0),1/U736-1,IF($B736&gt;=Input!$C$9,0,Input!$C$45*IF(Summary!$D$27="Included Margin",1,0))))</f>
        <v>9</v>
      </c>
      <c r="AG736" s="160">
        <f>IF(E736="","",Input!$C$46*IF(Summary!$D$28="Included Margin",IF(AND($B736&gt;Input!$C$9,Summary!$D$31&lt;&gt;"Included Margin"),0,1),0))</f>
        <v>0.02</v>
      </c>
      <c r="AH736" s="158">
        <f>IF(E736="","",Input!$C$47*IF(Summary!$D$29="Included Margin",IF(AND($B736&gt;Input!$C$9,Summary!$D$31&lt;&gt;"Included Margin"),0,1),0))</f>
        <v>2.5000000000000001E-3</v>
      </c>
      <c r="AI736" s="154"/>
      <c r="AJ736" s="158">
        <f t="shared" si="481"/>
        <v>4.3470000000000002E-2</v>
      </c>
      <c r="AK736" s="155">
        <f t="shared" si="482"/>
        <v>3.5522692164793312E-3</v>
      </c>
      <c r="AL736" s="147">
        <f t="shared" si="483"/>
        <v>1</v>
      </c>
      <c r="AM736" s="147">
        <f t="shared" si="461"/>
        <v>1</v>
      </c>
      <c r="AN736" s="160">
        <f t="shared" si="484"/>
        <v>1</v>
      </c>
      <c r="AO736" s="161">
        <f t="shared" si="485"/>
        <v>0</v>
      </c>
      <c r="AP736" s="156">
        <f t="shared" si="462"/>
        <v>3.8001347859463772</v>
      </c>
      <c r="AQ736" s="152"/>
      <c r="AR736" s="162">
        <f t="shared" si="463"/>
        <v>99822.701445275074</v>
      </c>
      <c r="AS736" s="150">
        <f t="shared" si="486"/>
        <v>0</v>
      </c>
      <c r="AT736" s="163">
        <f t="shared" si="464"/>
        <v>0</v>
      </c>
      <c r="AU736" s="163">
        <f t="shared" si="465"/>
        <v>100000</v>
      </c>
      <c r="AV736" s="163">
        <f t="shared" si="487"/>
        <v>176.98364862589094</v>
      </c>
      <c r="AW736" s="163">
        <f t="shared" si="466"/>
        <v>0</v>
      </c>
      <c r="AX736" s="163">
        <f t="shared" si="467"/>
        <v>0</v>
      </c>
      <c r="AY736" s="165">
        <f t="shared" si="488"/>
        <v>-0.31490609903542577</v>
      </c>
      <c r="AZ736" s="164">
        <f>IF($E736="","",IF(OR(AND($D736=Input!$C$6,$C736=12),$AN736=1),0,-AS737+AT737+AU737-AV737-AW737-AX737+AZ737))</f>
        <v>0</v>
      </c>
      <c r="BA736" s="154">
        <f t="shared" si="468"/>
        <v>0.31490609903542577</v>
      </c>
      <c r="BC736" s="147">
        <f t="shared" si="489"/>
        <v>1.0185734108305952E-11</v>
      </c>
      <c r="BD736" s="164">
        <f>IF(AND($C735=12,$D735=Input!$C$6),0,IF($E736="","",AT736+(AU736+BD737)/(1+$AK736)*MIN((1-AM736-AN736),1)))</f>
        <v>-99843.496549491727</v>
      </c>
      <c r="BE736" s="164">
        <f t="shared" si="469"/>
        <v>-1.0169793082966854E-6</v>
      </c>
      <c r="BF736" s="164">
        <f t="shared" si="490"/>
        <v>0</v>
      </c>
      <c r="BG736" s="164">
        <f t="shared" si="470"/>
        <v>0</v>
      </c>
      <c r="BH736" s="152"/>
      <c r="BI736" s="162">
        <f t="shared" si="471"/>
        <v>-18031.081844737797</v>
      </c>
      <c r="BJ736" s="150">
        <f t="shared" si="472"/>
        <v>0</v>
      </c>
      <c r="BK736" s="163">
        <f t="shared" si="494"/>
        <v>0</v>
      </c>
      <c r="BL736" s="163">
        <f t="shared" si="473"/>
        <v>10625.950466461763</v>
      </c>
      <c r="BM736" s="163">
        <f t="shared" si="495"/>
        <v>-91.326918079008138</v>
      </c>
      <c r="BN736" s="163">
        <f t="shared" si="474"/>
        <v>-3797.7492915524026</v>
      </c>
      <c r="BO736" s="163">
        <f t="shared" si="475"/>
        <v>-3194.2576277807975</v>
      </c>
      <c r="BP736" s="164">
        <f t="shared" si="496"/>
        <v>-35740.366148611771</v>
      </c>
      <c r="BQ736" s="164">
        <f>IF($E736="","",IF(AND($D736=Input!$C$6,$C736=12),0,-BJ737+BK737+BL737-BM737-BN737-BO737+BQ737))</f>
        <v>-35740.325569360379</v>
      </c>
      <c r="BR736" s="161">
        <f t="shared" si="476"/>
        <v>0</v>
      </c>
      <c r="BT736" s="147">
        <f t="shared" si="477"/>
        <v>1.0185734108305952E-11</v>
      </c>
      <c r="BU736" s="164">
        <f>IF(AND($C735=12,$D735=Input!$C$6),0,IF($E736="","",BK736+(BL736+BU737)/(1+$AK736)*MIN((1-T736-U736),1)))</f>
        <v>74245.746210404468</v>
      </c>
      <c r="BV736" s="164">
        <f t="shared" si="478"/>
        <v>7.5624742957194412E-7</v>
      </c>
      <c r="BW736" s="164">
        <f t="shared" si="479"/>
        <v>-35740.325569360379</v>
      </c>
      <c r="BX736" s="164">
        <f t="shared" si="480"/>
        <v>-3.6404145319379336E-7</v>
      </c>
    </row>
    <row r="737" spans="1:76" s="150" customFormat="1" x14ac:dyDescent="0.25">
      <c r="A737" s="150">
        <f t="shared" si="491"/>
        <v>733</v>
      </c>
      <c r="B737" s="150">
        <f t="shared" si="492"/>
        <v>62</v>
      </c>
      <c r="C737" s="150">
        <f t="shared" si="493"/>
        <v>1</v>
      </c>
      <c r="D737" s="150">
        <f>IF(E737="","",Input!$C$4+B737-1)</f>
        <v>106</v>
      </c>
      <c r="E737" s="150">
        <f>IF(OR(AND(C736=12,D736=Input!$C$6),E736=""),"",1)</f>
        <v>1</v>
      </c>
      <c r="F737" s="150">
        <f>IF(E737="","",Input!$C$8+B737-1)</f>
        <v>2079</v>
      </c>
      <c r="G737" s="151">
        <f>IF(E737="","",MAX(0,Input!$C$9-B737))</f>
        <v>0</v>
      </c>
      <c r="H737" s="152">
        <f>IF(E737="","",Input!$C$3)</f>
        <v>100000</v>
      </c>
      <c r="I737" s="153">
        <f>IF(E737="","",HLOOKUP($B737,Input!$C$13:$BT$14,2))</f>
        <v>1000</v>
      </c>
      <c r="J737" s="154"/>
      <c r="K737" s="155">
        <f>IF($E737="","",INDEX(Input!$C$16:$CP$16,1,$B737))</f>
        <v>3.2989999999999998E-2</v>
      </c>
      <c r="L737" s="155">
        <f>IF($E737="","",Input!$C$37)</f>
        <v>1.4999999999999999E-2</v>
      </c>
      <c r="M737" s="155">
        <f t="shared" si="456"/>
        <v>4.7989999999999998E-2</v>
      </c>
      <c r="N737" s="155">
        <f t="shared" si="457"/>
        <v>3.9138093488841896E-3</v>
      </c>
      <c r="O737" s="147">
        <f>IF($E737="","",MIN(VLOOKUP(IF($B737&lt;=Input!$C$7,$B737,26),'Mortality Tables'!$A$41:$CW$67,IF($B737&lt;=Input!$C$7+1,Input!$C$4+2,$D737-Input!$C$7+2),0)*IF(B737&gt;20,Input!$C$22,1)/1000,1))</f>
        <v>1</v>
      </c>
      <c r="P737" s="147">
        <f>IF($E737="","",MIN(VLOOKUP(IF($B737&lt;=Input!$C$7,$B737,26),'Mortality Tables'!$A$12:$CW$37,IF($B737&lt;=Input!$C$7+1,Input!$C$4+2,$D737-Input!$C$7+2),0)*IF(B737&gt;20,Input!$C$22,1)/1000,1))</f>
        <v>1</v>
      </c>
      <c r="Q737" s="155">
        <f>IF($E737="","",Input!$C$21)</f>
        <v>5.0000000000000001E-3</v>
      </c>
      <c r="R737" s="159">
        <f>IF($E737="","",(1-Q737)^($F737-Input!$C$20))</f>
        <v>0.73655965290822167</v>
      </c>
      <c r="S737" s="147">
        <f t="shared" si="459"/>
        <v>0.73655965290822167</v>
      </c>
      <c r="T737" s="147">
        <f t="shared" si="460"/>
        <v>0.10520505045949768</v>
      </c>
      <c r="U737" s="160">
        <f>IF($E737="","",IF($C737=12,INDEX(Input!$C$15:$CP$15,1,$B737),0))</f>
        <v>0</v>
      </c>
      <c r="V737" s="150">
        <f>IF(E737="","",IF(C737=1,IF($B737=1,Input!$C$33,Input!$C$34),0))</f>
        <v>50</v>
      </c>
      <c r="W737" s="156">
        <f>IF($E737="","",Input!$C$35)</f>
        <v>0.02</v>
      </c>
      <c r="X737" s="156">
        <f t="shared" si="458"/>
        <v>3.3466514041327216</v>
      </c>
      <c r="Y737" s="154"/>
      <c r="Z737" s="147">
        <f>IF($E737="","",VLOOKUP($D737,'Mortality Margins &amp; Grading'!$AB$5:$AF$125,3,0)*IF(Summary!$D$25="Included Margin",IF(AND($B737&gt;Input!$C$9,Summary!$D$31&lt;&gt;"Included Margin"),0,1),0))</f>
        <v>0.01</v>
      </c>
      <c r="AA737" s="147">
        <f>IF($E737="","",VLOOKUP($D737,'Mortality Margins &amp; Grading'!$AB$5:$AF$125,5,0)*IF(Summary!$D$25="Included Margin",IF(AND($B737&gt;Input!$C$9,Summary!$D$31&lt;&gt;"Included Margin"),0,1),0))</f>
        <v>5.2999999999999999E-2</v>
      </c>
      <c r="AB737" s="147">
        <f>IF($E737="","",IF(AND($B737&gt;Input!$C$9,Summary!$D$31&lt;&gt;"Included Margin"),1,IF(Summary!$D$25="Included Margin",VLOOKUP($B737,'Mortality Margins &amp; Grading'!$AI$5:$AR$125,MATCH('Mortality Margins &amp; Grading'!$AQ$4,'Mortality Margins &amp; Grading'!$AI$4:$AR$4,0),0),1)))</f>
        <v>0</v>
      </c>
      <c r="AC737" s="154"/>
      <c r="AD737" s="158">
        <f>IF(E737="","",Input!$C$48*IF(Summary!$D$30="Included Margin",IF(AND($B737&gt;Input!$C$9,Summary!$D$31&lt;&gt;"Included Margin"),0,1),0))</f>
        <v>-4.4999999999999997E-3</v>
      </c>
      <c r="AE737" s="159">
        <f>IF(E737="","",IF(Summary!$D$26="Included Margin",IF(AND($B737&gt;Input!$C$9,Summary!$D$31&lt;&gt;"Included Margin"),1,1/$R737),1))</f>
        <v>1.3576632877617096</v>
      </c>
      <c r="AF737" s="160">
        <f>IF(E737="","",IF(AND($B737&gt;=Input!$C$9,$C737=12,Summary!$D$31="Included Margin",$U737&gt;0),1/U737-1,IF($B737&gt;=Input!$C$9,0,Input!$C$45*IF(Summary!$D$27="Included Margin",1,0))))</f>
        <v>0</v>
      </c>
      <c r="AG737" s="160">
        <f>IF(E737="","",Input!$C$46*IF(Summary!$D$28="Included Margin",IF(AND($B737&gt;Input!$C$9,Summary!$D$31&lt;&gt;"Included Margin"),0,1),0))</f>
        <v>0.02</v>
      </c>
      <c r="AH737" s="158">
        <f>IF(E737="","",Input!$C$47*IF(Summary!$D$29="Included Margin",IF(AND($B737&gt;Input!$C$9,Summary!$D$31&lt;&gt;"Included Margin"),0,1),0))</f>
        <v>2.5000000000000001E-3</v>
      </c>
      <c r="AI737" s="154"/>
      <c r="AJ737" s="158">
        <f t="shared" si="481"/>
        <v>4.3490000000000001E-2</v>
      </c>
      <c r="AK737" s="155">
        <f t="shared" si="482"/>
        <v>3.5538721110734972E-3</v>
      </c>
      <c r="AL737" s="147">
        <f t="shared" si="483"/>
        <v>1</v>
      </c>
      <c r="AM737" s="147">
        <f t="shared" si="461"/>
        <v>1</v>
      </c>
      <c r="AN737" s="160">
        <f t="shared" si="484"/>
        <v>0</v>
      </c>
      <c r="AO737" s="161">
        <f t="shared" si="485"/>
        <v>51</v>
      </c>
      <c r="AP737" s="156">
        <f t="shared" si="462"/>
        <v>3.8856378186301708</v>
      </c>
      <c r="AQ737" s="152"/>
      <c r="AR737" s="162">
        <f t="shared" si="463"/>
        <v>20.789113298360718</v>
      </c>
      <c r="AS737" s="150">
        <f t="shared" si="486"/>
        <v>100000</v>
      </c>
      <c r="AT737" s="163">
        <f t="shared" si="464"/>
        <v>198.1675287501387</v>
      </c>
      <c r="AU737" s="163">
        <f t="shared" si="465"/>
        <v>100000</v>
      </c>
      <c r="AV737" s="163">
        <f t="shared" si="487"/>
        <v>177.06322534989437</v>
      </c>
      <c r="AW737" s="163">
        <f t="shared" si="466"/>
        <v>99822.936774650108</v>
      </c>
      <c r="AX737" s="163">
        <f t="shared" si="467"/>
        <v>0</v>
      </c>
      <c r="AY737" s="164">
        <f t="shared" si="488"/>
        <v>99822.621584548222</v>
      </c>
      <c r="AZ737" s="164">
        <f>IF($E737="","",IF(OR(AND($D737=Input!$C$6,$C737=12),$AN737=1),0,-AS738+AT738+AU738-AV738-AW738-AX738+AZ738))</f>
        <v>99822.936774650108</v>
      </c>
      <c r="BA737" s="154">
        <f t="shared" si="468"/>
        <v>0.31519010188640095</v>
      </c>
      <c r="BC737" s="147">
        <f t="shared" si="489"/>
        <v>9.1141434374745975E-12</v>
      </c>
      <c r="BD737" s="164">
        <f>IF(AND($C736=12,$D736=Input!$C$6),0,IF($E737="","",AT737+(AU737+BD738)/(1+$AK737)*MIN((1-AM737-AN737),1)))</f>
        <v>198.1675287501387</v>
      </c>
      <c r="BE737" s="164">
        <f t="shared" si="469"/>
        <v>1.8061272816786352E-9</v>
      </c>
      <c r="BF737" s="164">
        <f t="shared" si="490"/>
        <v>99822.936774650108</v>
      </c>
      <c r="BG737" s="164">
        <f t="shared" si="470"/>
        <v>9.0980056411411894E-7</v>
      </c>
      <c r="BH737" s="152"/>
      <c r="BI737" s="162">
        <f t="shared" si="471"/>
        <v>-35740.365778695137</v>
      </c>
      <c r="BJ737" s="150">
        <f t="shared" si="472"/>
        <v>100000</v>
      </c>
      <c r="BK737" s="163">
        <f t="shared" si="494"/>
        <v>167.33257020663609</v>
      </c>
      <c r="BL737" s="163">
        <f t="shared" si="473"/>
        <v>10520.505045949769</v>
      </c>
      <c r="BM737" s="163">
        <f t="shared" si="495"/>
        <v>230.25742389166308</v>
      </c>
      <c r="BN737" s="163">
        <f t="shared" si="474"/>
        <v>6325.7532265705649</v>
      </c>
      <c r="BO737" s="163">
        <f t="shared" si="475"/>
        <v>0</v>
      </c>
      <c r="BP737" s="164">
        <f t="shared" si="496"/>
        <v>60127.807255610685</v>
      </c>
      <c r="BQ737" s="164">
        <f>IF($E737="","",IF(AND($D737=Input!$C$6,$C737=12),0,-BJ738+BK738+BL738-BM738-BN738-BO738+BQ738))</f>
        <v>60127.847464945437</v>
      </c>
      <c r="BR737" s="161">
        <f t="shared" si="476"/>
        <v>0</v>
      </c>
      <c r="BT737" s="147">
        <f t="shared" si="477"/>
        <v>9.1141434374745975E-12</v>
      </c>
      <c r="BU737" s="164">
        <f>IF(AND($C736=12,$D736=Input!$C$6),0,IF($E737="","",BK737+(BL737+BU738)/(1+$AK737)*MIN((1-T737-U737),1)))</f>
        <v>83245.393539540382</v>
      </c>
      <c r="BV737" s="164">
        <f t="shared" si="478"/>
        <v>7.5871045722839223E-7</v>
      </c>
      <c r="BW737" s="164">
        <f t="shared" si="479"/>
        <v>60127.847464945437</v>
      </c>
      <c r="BX737" s="164">
        <f t="shared" si="480"/>
        <v>5.4801382638210604E-7</v>
      </c>
    </row>
    <row r="738" spans="1:76" s="150" customFormat="1" x14ac:dyDescent="0.25">
      <c r="A738" s="150">
        <f t="shared" si="491"/>
        <v>734</v>
      </c>
      <c r="B738" s="150">
        <f t="shared" si="492"/>
        <v>62</v>
      </c>
      <c r="C738" s="150">
        <f t="shared" si="493"/>
        <v>2</v>
      </c>
      <c r="D738" s="150">
        <f>IF(E738="","",Input!$C$4+B738-1)</f>
        <v>106</v>
      </c>
      <c r="E738" s="150">
        <f>IF(OR(AND(C737=12,D737=Input!$C$6),E737=""),"",1)</f>
        <v>1</v>
      </c>
      <c r="F738" s="150">
        <f>IF(E738="","",Input!$C$8+B738-1)</f>
        <v>2079</v>
      </c>
      <c r="G738" s="151">
        <f>IF(E738="","",MAX(0,Input!$C$9-B738))</f>
        <v>0</v>
      </c>
      <c r="H738" s="152">
        <f>IF(E738="","",Input!$C$3)</f>
        <v>100000</v>
      </c>
      <c r="I738" s="153">
        <f>IF(E738="","",HLOOKUP($B738,Input!$C$13:$BT$14,2))</f>
        <v>1000</v>
      </c>
      <c r="J738" s="154"/>
      <c r="K738" s="155">
        <f>IF($E738="","",INDEX(Input!$C$16:$CP$16,1,$B738))</f>
        <v>3.2989999999999998E-2</v>
      </c>
      <c r="L738" s="155">
        <f>IF($E738="","",Input!$C$37)</f>
        <v>1.4999999999999999E-2</v>
      </c>
      <c r="M738" s="155">
        <f t="shared" si="456"/>
        <v>4.7989999999999998E-2</v>
      </c>
      <c r="N738" s="155">
        <f t="shared" si="457"/>
        <v>3.9138093488841896E-3</v>
      </c>
      <c r="O738" s="147">
        <f>IF($E738="","",MIN(VLOOKUP(IF($B738&lt;=Input!$C$7,$B738,26),'Mortality Tables'!$A$41:$CW$67,IF($B738&lt;=Input!$C$7+1,Input!$C$4+2,$D738-Input!$C$7+2),0)*IF(B738&gt;20,Input!$C$22,1)/1000,1))</f>
        <v>1</v>
      </c>
      <c r="P738" s="147">
        <f>IF($E738="","",MIN(VLOOKUP(IF($B738&lt;=Input!$C$7,$B738,26),'Mortality Tables'!$A$12:$CW$37,IF($B738&lt;=Input!$C$7+1,Input!$C$4+2,$D738-Input!$C$7+2),0)*IF(B738&gt;20,Input!$C$22,1)/1000,1))</f>
        <v>1</v>
      </c>
      <c r="Q738" s="155">
        <f>IF($E738="","",Input!$C$21)</f>
        <v>5.0000000000000001E-3</v>
      </c>
      <c r="R738" s="159">
        <f>IF($E738="","",(1-Q738)^($F738-Input!$C$20))</f>
        <v>0.73655965290822167</v>
      </c>
      <c r="S738" s="147">
        <f t="shared" si="459"/>
        <v>0.73655965290822167</v>
      </c>
      <c r="T738" s="147">
        <f t="shared" si="460"/>
        <v>0.10520505045949768</v>
      </c>
      <c r="U738" s="160">
        <f>IF($E738="","",IF($C738=12,INDEX(Input!$C$15:$CP$15,1,$B738),0))</f>
        <v>0</v>
      </c>
      <c r="V738" s="150">
        <f>IF(E738="","",IF(C738=1,IF($B738=1,Input!$C$33,Input!$C$34),0))</f>
        <v>0</v>
      </c>
      <c r="W738" s="156">
        <f>IF($E738="","",Input!$C$35)</f>
        <v>0.02</v>
      </c>
      <c r="X738" s="156">
        <f t="shared" si="458"/>
        <v>3.3466514041327216</v>
      </c>
      <c r="Y738" s="154"/>
      <c r="Z738" s="147">
        <f>IF($E738="","",VLOOKUP($D738,'Mortality Margins &amp; Grading'!$AB$5:$AF$125,3,0)*IF(Summary!$D$25="Included Margin",IF(AND($B738&gt;Input!$C$9,Summary!$D$31&lt;&gt;"Included Margin"),0,1),0))</f>
        <v>0.01</v>
      </c>
      <c r="AA738" s="147">
        <f>IF($E738="","",VLOOKUP($D738,'Mortality Margins &amp; Grading'!$AB$5:$AF$125,5,0)*IF(Summary!$D$25="Included Margin",IF(AND($B738&gt;Input!$C$9,Summary!$D$31&lt;&gt;"Included Margin"),0,1),0))</f>
        <v>5.2999999999999999E-2</v>
      </c>
      <c r="AB738" s="147">
        <f>IF($E738="","",IF(AND($B738&gt;Input!$C$9,Summary!$D$31&lt;&gt;"Included Margin"),1,IF(Summary!$D$25="Included Margin",VLOOKUP($B738,'Mortality Margins &amp; Grading'!$AI$5:$AR$125,MATCH('Mortality Margins &amp; Grading'!$AQ$4,'Mortality Margins &amp; Grading'!$AI$4:$AR$4,0),0),1)))</f>
        <v>0</v>
      </c>
      <c r="AC738" s="154"/>
      <c r="AD738" s="158">
        <f>IF(E738="","",Input!$C$48*IF(Summary!$D$30="Included Margin",IF(AND($B738&gt;Input!$C$9,Summary!$D$31&lt;&gt;"Included Margin"),0,1),0))</f>
        <v>-4.4999999999999997E-3</v>
      </c>
      <c r="AE738" s="159">
        <f>IF(E738="","",IF(Summary!$D$26="Included Margin",IF(AND($B738&gt;Input!$C$9,Summary!$D$31&lt;&gt;"Included Margin"),1,1/$R738),1))</f>
        <v>1.3576632877617096</v>
      </c>
      <c r="AF738" s="160">
        <f>IF(E738="","",IF(AND($B738&gt;=Input!$C$9,$C738=12,Summary!$D$31="Included Margin",$U738&gt;0),1/U738-1,IF($B738&gt;=Input!$C$9,0,Input!$C$45*IF(Summary!$D$27="Included Margin",1,0))))</f>
        <v>0</v>
      </c>
      <c r="AG738" s="160">
        <f>IF(E738="","",Input!$C$46*IF(Summary!$D$28="Included Margin",IF(AND($B738&gt;Input!$C$9,Summary!$D$31&lt;&gt;"Included Margin"),0,1),0))</f>
        <v>0.02</v>
      </c>
      <c r="AH738" s="158">
        <f>IF(E738="","",Input!$C$47*IF(Summary!$D$29="Included Margin",IF(AND($B738&gt;Input!$C$9,Summary!$D$31&lt;&gt;"Included Margin"),0,1),0))</f>
        <v>2.5000000000000001E-3</v>
      </c>
      <c r="AI738" s="154"/>
      <c r="AJ738" s="158">
        <f t="shared" si="481"/>
        <v>4.3490000000000001E-2</v>
      </c>
      <c r="AK738" s="155">
        <f t="shared" si="482"/>
        <v>3.5538721110734972E-3</v>
      </c>
      <c r="AL738" s="147">
        <f t="shared" si="483"/>
        <v>1</v>
      </c>
      <c r="AM738" s="147">
        <f t="shared" si="461"/>
        <v>1</v>
      </c>
      <c r="AN738" s="160">
        <f t="shared" si="484"/>
        <v>0</v>
      </c>
      <c r="AO738" s="161">
        <f t="shared" si="485"/>
        <v>0</v>
      </c>
      <c r="AP738" s="156">
        <f t="shared" si="462"/>
        <v>3.8856378186301708</v>
      </c>
      <c r="AQ738" s="152"/>
      <c r="AR738" s="162">
        <f t="shared" si="463"/>
        <v>99822.621584548222</v>
      </c>
      <c r="AS738" s="150">
        <f t="shared" si="486"/>
        <v>0</v>
      </c>
      <c r="AT738" s="163">
        <f t="shared" si="464"/>
        <v>0</v>
      </c>
      <c r="AU738" s="163">
        <f t="shared" si="465"/>
        <v>100000</v>
      </c>
      <c r="AV738" s="163">
        <f t="shared" si="487"/>
        <v>177.06322534989437</v>
      </c>
      <c r="AW738" s="163">
        <f t="shared" si="466"/>
        <v>99822.936774650108</v>
      </c>
      <c r="AX738" s="163">
        <f t="shared" si="467"/>
        <v>0</v>
      </c>
      <c r="AY738" s="165">
        <f t="shared" si="488"/>
        <v>99822.621584548222</v>
      </c>
      <c r="AZ738" s="164">
        <f>IF($E738="","",IF(OR(AND($D738=Input!$C$6,$C738=12),$AN738=1),0,-AS739+AT739+AU739-AV739-AW739-AX739+AZ739))</f>
        <v>99822.936774650108</v>
      </c>
      <c r="BA738" s="154">
        <f t="shared" si="468"/>
        <v>0.31519010188640095</v>
      </c>
      <c r="BC738" s="147">
        <f t="shared" si="489"/>
        <v>8.1552895172399826E-12</v>
      </c>
      <c r="BD738" s="164">
        <f>IF(AND($C737=12,$D737=Input!$C$6),0,IF($E738="","",AT738+(AU738+BD739)/(1+$AK738)*MIN((1-AM738-AN738),1)))</f>
        <v>0</v>
      </c>
      <c r="BE738" s="164">
        <f t="shared" si="469"/>
        <v>0</v>
      </c>
      <c r="BF738" s="164">
        <f t="shared" si="490"/>
        <v>99822.936774650108</v>
      </c>
      <c r="BG738" s="164">
        <f t="shared" si="470"/>
        <v>8.1408494985841358E-7</v>
      </c>
      <c r="BH738" s="152"/>
      <c r="BI738" s="162">
        <f t="shared" si="471"/>
        <v>60127.807255610693</v>
      </c>
      <c r="BJ738" s="150">
        <f t="shared" si="472"/>
        <v>0</v>
      </c>
      <c r="BK738" s="163">
        <f t="shared" si="494"/>
        <v>0</v>
      </c>
      <c r="BL738" s="163">
        <f t="shared" si="473"/>
        <v>10520.505045949769</v>
      </c>
      <c r="BM738" s="163">
        <f t="shared" si="495"/>
        <v>214.74114866300499</v>
      </c>
      <c r="BN738" s="163">
        <f t="shared" si="474"/>
        <v>5857.8055435208807</v>
      </c>
      <c r="BO738" s="163">
        <f t="shared" si="475"/>
        <v>0</v>
      </c>
      <c r="BP738" s="164">
        <f t="shared" si="496"/>
        <v>55679.848901844809</v>
      </c>
      <c r="BQ738" s="164">
        <f>IF($E738="","",IF(AND($D738=Input!$C$6,$C738=12),0,-BJ739+BK739+BL739-BM739-BN739-BO739+BQ739))</f>
        <v>55679.889111179553</v>
      </c>
      <c r="BR738" s="161">
        <f t="shared" si="476"/>
        <v>0</v>
      </c>
      <c r="BT738" s="147">
        <f t="shared" si="477"/>
        <v>8.1552895172399826E-12</v>
      </c>
      <c r="BU738" s="164">
        <f>IF(AND($C737=12,$D737=Input!$C$6),0,IF($E738="","",BK738+(BL738+BU739)/(1+$AK738)*MIN((1-T738-U738),1)))</f>
        <v>82655.378228837188</v>
      </c>
      <c r="BV738" s="164">
        <f t="shared" si="478"/>
        <v>6.7407853961314175E-7</v>
      </c>
      <c r="BW738" s="164">
        <f t="shared" si="479"/>
        <v>55679.889111179553</v>
      </c>
      <c r="BX738" s="164">
        <f t="shared" si="480"/>
        <v>4.5408561598948725E-7</v>
      </c>
    </row>
    <row r="739" spans="1:76" s="150" customFormat="1" x14ac:dyDescent="0.25">
      <c r="A739" s="150">
        <f t="shared" si="491"/>
        <v>735</v>
      </c>
      <c r="B739" s="150">
        <f t="shared" si="492"/>
        <v>62</v>
      </c>
      <c r="C739" s="150">
        <f t="shared" si="493"/>
        <v>3</v>
      </c>
      <c r="D739" s="150">
        <f>IF(E739="","",Input!$C$4+B739-1)</f>
        <v>106</v>
      </c>
      <c r="E739" s="150">
        <f>IF(OR(AND(C738=12,D738=Input!$C$6),E738=""),"",1)</f>
        <v>1</v>
      </c>
      <c r="F739" s="150">
        <f>IF(E739="","",Input!$C$8+B739-1)</f>
        <v>2079</v>
      </c>
      <c r="G739" s="151">
        <f>IF(E739="","",MAX(0,Input!$C$9-B739))</f>
        <v>0</v>
      </c>
      <c r="H739" s="152">
        <f>IF(E739="","",Input!$C$3)</f>
        <v>100000</v>
      </c>
      <c r="I739" s="153">
        <f>IF(E739="","",HLOOKUP($B739,Input!$C$13:$BT$14,2))</f>
        <v>1000</v>
      </c>
      <c r="J739" s="154"/>
      <c r="K739" s="155">
        <f>IF($E739="","",INDEX(Input!$C$16:$CP$16,1,$B739))</f>
        <v>3.2989999999999998E-2</v>
      </c>
      <c r="L739" s="155">
        <f>IF($E739="","",Input!$C$37)</f>
        <v>1.4999999999999999E-2</v>
      </c>
      <c r="M739" s="155">
        <f t="shared" si="456"/>
        <v>4.7989999999999998E-2</v>
      </c>
      <c r="N739" s="155">
        <f t="shared" si="457"/>
        <v>3.9138093488841896E-3</v>
      </c>
      <c r="O739" s="147">
        <f>IF($E739="","",MIN(VLOOKUP(IF($B739&lt;=Input!$C$7,$B739,26),'Mortality Tables'!$A$41:$CW$67,IF($B739&lt;=Input!$C$7+1,Input!$C$4+2,$D739-Input!$C$7+2),0)*IF(B739&gt;20,Input!$C$22,1)/1000,1))</f>
        <v>1</v>
      </c>
      <c r="P739" s="147">
        <f>IF($E739="","",MIN(VLOOKUP(IF($B739&lt;=Input!$C$7,$B739,26),'Mortality Tables'!$A$12:$CW$37,IF($B739&lt;=Input!$C$7+1,Input!$C$4+2,$D739-Input!$C$7+2),0)*IF(B739&gt;20,Input!$C$22,1)/1000,1))</f>
        <v>1</v>
      </c>
      <c r="Q739" s="155">
        <f>IF($E739="","",Input!$C$21)</f>
        <v>5.0000000000000001E-3</v>
      </c>
      <c r="R739" s="159">
        <f>IF($E739="","",(1-Q739)^($F739-Input!$C$20))</f>
        <v>0.73655965290822167</v>
      </c>
      <c r="S739" s="147">
        <f t="shared" si="459"/>
        <v>0.73655965290822167</v>
      </c>
      <c r="T739" s="147">
        <f t="shared" si="460"/>
        <v>0.10520505045949768</v>
      </c>
      <c r="U739" s="160">
        <f>IF($E739="","",IF($C739=12,INDEX(Input!$C$15:$CP$15,1,$B739),0))</f>
        <v>0</v>
      </c>
      <c r="V739" s="150">
        <f>IF(E739="","",IF(C739=1,IF($B739=1,Input!$C$33,Input!$C$34),0))</f>
        <v>0</v>
      </c>
      <c r="W739" s="156">
        <f>IF($E739="","",Input!$C$35)</f>
        <v>0.02</v>
      </c>
      <c r="X739" s="156">
        <f t="shared" si="458"/>
        <v>3.3466514041327216</v>
      </c>
      <c r="Y739" s="154"/>
      <c r="Z739" s="147">
        <f>IF($E739="","",VLOOKUP($D739,'Mortality Margins &amp; Grading'!$AB$5:$AF$125,3,0)*IF(Summary!$D$25="Included Margin",IF(AND($B739&gt;Input!$C$9,Summary!$D$31&lt;&gt;"Included Margin"),0,1),0))</f>
        <v>0.01</v>
      </c>
      <c r="AA739" s="147">
        <f>IF($E739="","",VLOOKUP($D739,'Mortality Margins &amp; Grading'!$AB$5:$AF$125,5,0)*IF(Summary!$D$25="Included Margin",IF(AND($B739&gt;Input!$C$9,Summary!$D$31&lt;&gt;"Included Margin"),0,1),0))</f>
        <v>5.2999999999999999E-2</v>
      </c>
      <c r="AB739" s="147">
        <f>IF($E739="","",IF(AND($B739&gt;Input!$C$9,Summary!$D$31&lt;&gt;"Included Margin"),1,IF(Summary!$D$25="Included Margin",VLOOKUP($B739,'Mortality Margins &amp; Grading'!$AI$5:$AR$125,MATCH('Mortality Margins &amp; Grading'!$AQ$4,'Mortality Margins &amp; Grading'!$AI$4:$AR$4,0),0),1)))</f>
        <v>0</v>
      </c>
      <c r="AC739" s="154"/>
      <c r="AD739" s="158">
        <f>IF(E739="","",Input!$C$48*IF(Summary!$D$30="Included Margin",IF(AND($B739&gt;Input!$C$9,Summary!$D$31&lt;&gt;"Included Margin"),0,1),0))</f>
        <v>-4.4999999999999997E-3</v>
      </c>
      <c r="AE739" s="159">
        <f>IF(E739="","",IF(Summary!$D$26="Included Margin",IF(AND($B739&gt;Input!$C$9,Summary!$D$31&lt;&gt;"Included Margin"),1,1/$R739),1))</f>
        <v>1.3576632877617096</v>
      </c>
      <c r="AF739" s="160">
        <f>IF(E739="","",IF(AND($B739&gt;=Input!$C$9,$C739=12,Summary!$D$31="Included Margin",$U739&gt;0),1/U739-1,IF($B739&gt;=Input!$C$9,0,Input!$C$45*IF(Summary!$D$27="Included Margin",1,0))))</f>
        <v>0</v>
      </c>
      <c r="AG739" s="160">
        <f>IF(E739="","",Input!$C$46*IF(Summary!$D$28="Included Margin",IF(AND($B739&gt;Input!$C$9,Summary!$D$31&lt;&gt;"Included Margin"),0,1),0))</f>
        <v>0.02</v>
      </c>
      <c r="AH739" s="158">
        <f>IF(E739="","",Input!$C$47*IF(Summary!$D$29="Included Margin",IF(AND($B739&gt;Input!$C$9,Summary!$D$31&lt;&gt;"Included Margin"),0,1),0))</f>
        <v>2.5000000000000001E-3</v>
      </c>
      <c r="AI739" s="154"/>
      <c r="AJ739" s="158">
        <f t="shared" si="481"/>
        <v>4.3490000000000001E-2</v>
      </c>
      <c r="AK739" s="155">
        <f t="shared" si="482"/>
        <v>3.5538721110734972E-3</v>
      </c>
      <c r="AL739" s="147">
        <f t="shared" si="483"/>
        <v>1</v>
      </c>
      <c r="AM739" s="147">
        <f t="shared" si="461"/>
        <v>1</v>
      </c>
      <c r="AN739" s="160">
        <f t="shared" si="484"/>
        <v>0</v>
      </c>
      <c r="AO739" s="161">
        <f t="shared" si="485"/>
        <v>0</v>
      </c>
      <c r="AP739" s="156">
        <f t="shared" si="462"/>
        <v>3.8856378186301708</v>
      </c>
      <c r="AQ739" s="152"/>
      <c r="AR739" s="162">
        <f t="shared" si="463"/>
        <v>99822.621584548222</v>
      </c>
      <c r="AS739" s="150">
        <f t="shared" si="486"/>
        <v>0</v>
      </c>
      <c r="AT739" s="163">
        <f t="shared" si="464"/>
        <v>0</v>
      </c>
      <c r="AU739" s="163">
        <f t="shared" si="465"/>
        <v>100000</v>
      </c>
      <c r="AV739" s="163">
        <f t="shared" si="487"/>
        <v>177.06322534989437</v>
      </c>
      <c r="AW739" s="163">
        <f t="shared" si="466"/>
        <v>99822.936774650108</v>
      </c>
      <c r="AX739" s="163">
        <f t="shared" si="467"/>
        <v>0</v>
      </c>
      <c r="AY739" s="164">
        <f t="shared" si="488"/>
        <v>99822.621584548222</v>
      </c>
      <c r="AZ739" s="164">
        <f>IF($E739="","",IF(OR(AND($D739=Input!$C$6,$C739=12),$AN739=1),0,-AS740+AT740+AU740-AV740-AW740-AX740+AZ740))</f>
        <v>99822.936774650108</v>
      </c>
      <c r="BA739" s="154">
        <f t="shared" si="468"/>
        <v>0.31519010188640095</v>
      </c>
      <c r="BC739" s="147">
        <f t="shared" si="489"/>
        <v>7.2973118720669371E-12</v>
      </c>
      <c r="BD739" s="164">
        <f>IF(AND($C738=12,$D738=Input!$C$6),0,IF($E739="","",AT739+(AU739+BD740)/(1+$AK739)*MIN((1-AM739-AN739),1)))</f>
        <v>0</v>
      </c>
      <c r="BE739" s="164">
        <f t="shared" si="469"/>
        <v>0</v>
      </c>
      <c r="BF739" s="164">
        <f t="shared" si="490"/>
        <v>99822.936774650108</v>
      </c>
      <c r="BG739" s="164">
        <f t="shared" si="470"/>
        <v>7.2843910163024148E-7</v>
      </c>
      <c r="BH739" s="152"/>
      <c r="BI739" s="162">
        <f t="shared" si="471"/>
        <v>55679.848901844802</v>
      </c>
      <c r="BJ739" s="150">
        <f t="shared" si="472"/>
        <v>0</v>
      </c>
      <c r="BK739" s="163">
        <f t="shared" si="494"/>
        <v>0</v>
      </c>
      <c r="BL739" s="163">
        <f t="shared" si="473"/>
        <v>10520.505045949769</v>
      </c>
      <c r="BM739" s="163">
        <f t="shared" si="495"/>
        <v>197.3326876745885</v>
      </c>
      <c r="BN739" s="163">
        <f t="shared" si="474"/>
        <v>5332.7923644594266</v>
      </c>
      <c r="BO739" s="163">
        <f t="shared" si="475"/>
        <v>0</v>
      </c>
      <c r="BP739" s="164">
        <f t="shared" si="496"/>
        <v>50689.468908029041</v>
      </c>
      <c r="BQ739" s="164">
        <f>IF($E739="","",IF(AND($D739=Input!$C$6,$C739=12),0,-BJ740+BK740+BL740-BM740-BN740-BO740+BQ740))</f>
        <v>50689.509117363799</v>
      </c>
      <c r="BR739" s="161">
        <f t="shared" si="476"/>
        <v>0</v>
      </c>
      <c r="BT739" s="147">
        <f t="shared" si="477"/>
        <v>7.2973118720669371E-12</v>
      </c>
      <c r="BU739" s="164">
        <f>IF(AND($C738=12,$D738=Input!$C$6),0,IF($E739="","",BK739+(BL739+BU740)/(1+$AK739)*MIN((1-T739-U739),1)))</f>
        <v>82181.320008998475</v>
      </c>
      <c r="BV739" s="164">
        <f t="shared" si="478"/>
        <v>5.9970272216379667E-7</v>
      </c>
      <c r="BW739" s="164">
        <f t="shared" si="479"/>
        <v>50689.509117363799</v>
      </c>
      <c r="BX739" s="164">
        <f t="shared" si="480"/>
        <v>3.698971566713841E-7</v>
      </c>
    </row>
    <row r="740" spans="1:76" s="150" customFormat="1" x14ac:dyDescent="0.25">
      <c r="A740" s="150">
        <f t="shared" si="491"/>
        <v>736</v>
      </c>
      <c r="B740" s="150">
        <f t="shared" si="492"/>
        <v>62</v>
      </c>
      <c r="C740" s="150">
        <f t="shared" si="493"/>
        <v>4</v>
      </c>
      <c r="D740" s="150">
        <f>IF(E740="","",Input!$C$4+B740-1)</f>
        <v>106</v>
      </c>
      <c r="E740" s="150">
        <f>IF(OR(AND(C739=12,D739=Input!$C$6),E739=""),"",1)</f>
        <v>1</v>
      </c>
      <c r="F740" s="150">
        <f>IF(E740="","",Input!$C$8+B740-1)</f>
        <v>2079</v>
      </c>
      <c r="G740" s="151">
        <f>IF(E740="","",MAX(0,Input!$C$9-B740))</f>
        <v>0</v>
      </c>
      <c r="H740" s="152">
        <f>IF(E740="","",Input!$C$3)</f>
        <v>100000</v>
      </c>
      <c r="I740" s="153">
        <f>IF(E740="","",HLOOKUP($B740,Input!$C$13:$BT$14,2))</f>
        <v>1000</v>
      </c>
      <c r="J740" s="154"/>
      <c r="K740" s="155">
        <f>IF($E740="","",INDEX(Input!$C$16:$CP$16,1,$B740))</f>
        <v>3.2989999999999998E-2</v>
      </c>
      <c r="L740" s="155">
        <f>IF($E740="","",Input!$C$37)</f>
        <v>1.4999999999999999E-2</v>
      </c>
      <c r="M740" s="155">
        <f t="shared" si="456"/>
        <v>4.7989999999999998E-2</v>
      </c>
      <c r="N740" s="155">
        <f t="shared" si="457"/>
        <v>3.9138093488841896E-3</v>
      </c>
      <c r="O740" s="147">
        <f>IF($E740="","",MIN(VLOOKUP(IF($B740&lt;=Input!$C$7,$B740,26),'Mortality Tables'!$A$41:$CW$67,IF($B740&lt;=Input!$C$7+1,Input!$C$4+2,$D740-Input!$C$7+2),0)*IF(B740&gt;20,Input!$C$22,1)/1000,1))</f>
        <v>1</v>
      </c>
      <c r="P740" s="147">
        <f>IF($E740="","",MIN(VLOOKUP(IF($B740&lt;=Input!$C$7,$B740,26),'Mortality Tables'!$A$12:$CW$37,IF($B740&lt;=Input!$C$7+1,Input!$C$4+2,$D740-Input!$C$7+2),0)*IF(B740&gt;20,Input!$C$22,1)/1000,1))</f>
        <v>1</v>
      </c>
      <c r="Q740" s="155">
        <f>IF($E740="","",Input!$C$21)</f>
        <v>5.0000000000000001E-3</v>
      </c>
      <c r="R740" s="159">
        <f>IF($E740="","",(1-Q740)^($F740-Input!$C$20))</f>
        <v>0.73655965290822167</v>
      </c>
      <c r="S740" s="147">
        <f t="shared" si="459"/>
        <v>0.73655965290822167</v>
      </c>
      <c r="T740" s="147">
        <f t="shared" si="460"/>
        <v>0.10520505045949768</v>
      </c>
      <c r="U740" s="160">
        <f>IF($E740="","",IF($C740=12,INDEX(Input!$C$15:$CP$15,1,$B740),0))</f>
        <v>0</v>
      </c>
      <c r="V740" s="150">
        <f>IF(E740="","",IF(C740=1,IF($B740=1,Input!$C$33,Input!$C$34),0))</f>
        <v>0</v>
      </c>
      <c r="W740" s="156">
        <f>IF($E740="","",Input!$C$35)</f>
        <v>0.02</v>
      </c>
      <c r="X740" s="156">
        <f t="shared" si="458"/>
        <v>3.3466514041327216</v>
      </c>
      <c r="Y740" s="154"/>
      <c r="Z740" s="147">
        <f>IF($E740="","",VLOOKUP($D740,'Mortality Margins &amp; Grading'!$AB$5:$AF$125,3,0)*IF(Summary!$D$25="Included Margin",IF(AND($B740&gt;Input!$C$9,Summary!$D$31&lt;&gt;"Included Margin"),0,1),0))</f>
        <v>0.01</v>
      </c>
      <c r="AA740" s="147">
        <f>IF($E740="","",VLOOKUP($D740,'Mortality Margins &amp; Grading'!$AB$5:$AF$125,5,0)*IF(Summary!$D$25="Included Margin",IF(AND($B740&gt;Input!$C$9,Summary!$D$31&lt;&gt;"Included Margin"),0,1),0))</f>
        <v>5.2999999999999999E-2</v>
      </c>
      <c r="AB740" s="147">
        <f>IF($E740="","",IF(AND($B740&gt;Input!$C$9,Summary!$D$31&lt;&gt;"Included Margin"),1,IF(Summary!$D$25="Included Margin",VLOOKUP($B740,'Mortality Margins &amp; Grading'!$AI$5:$AR$125,MATCH('Mortality Margins &amp; Grading'!$AQ$4,'Mortality Margins &amp; Grading'!$AI$4:$AR$4,0),0),1)))</f>
        <v>0</v>
      </c>
      <c r="AC740" s="154"/>
      <c r="AD740" s="158">
        <f>IF(E740="","",Input!$C$48*IF(Summary!$D$30="Included Margin",IF(AND($B740&gt;Input!$C$9,Summary!$D$31&lt;&gt;"Included Margin"),0,1),0))</f>
        <v>-4.4999999999999997E-3</v>
      </c>
      <c r="AE740" s="159">
        <f>IF(E740="","",IF(Summary!$D$26="Included Margin",IF(AND($B740&gt;Input!$C$9,Summary!$D$31&lt;&gt;"Included Margin"),1,1/$R740),1))</f>
        <v>1.3576632877617096</v>
      </c>
      <c r="AF740" s="160">
        <f>IF(E740="","",IF(AND($B740&gt;=Input!$C$9,$C740=12,Summary!$D$31="Included Margin",$U740&gt;0),1/U740-1,IF($B740&gt;=Input!$C$9,0,Input!$C$45*IF(Summary!$D$27="Included Margin",1,0))))</f>
        <v>0</v>
      </c>
      <c r="AG740" s="160">
        <f>IF(E740="","",Input!$C$46*IF(Summary!$D$28="Included Margin",IF(AND($B740&gt;Input!$C$9,Summary!$D$31&lt;&gt;"Included Margin"),0,1),0))</f>
        <v>0.02</v>
      </c>
      <c r="AH740" s="158">
        <f>IF(E740="","",Input!$C$47*IF(Summary!$D$29="Included Margin",IF(AND($B740&gt;Input!$C$9,Summary!$D$31&lt;&gt;"Included Margin"),0,1),0))</f>
        <v>2.5000000000000001E-3</v>
      </c>
      <c r="AI740" s="154"/>
      <c r="AJ740" s="158">
        <f t="shared" si="481"/>
        <v>4.3490000000000001E-2</v>
      </c>
      <c r="AK740" s="155">
        <f t="shared" si="482"/>
        <v>3.5538721110734972E-3</v>
      </c>
      <c r="AL740" s="147">
        <f t="shared" si="483"/>
        <v>1</v>
      </c>
      <c r="AM740" s="147">
        <f t="shared" si="461"/>
        <v>1</v>
      </c>
      <c r="AN740" s="160">
        <f t="shared" si="484"/>
        <v>0</v>
      </c>
      <c r="AO740" s="161">
        <f t="shared" si="485"/>
        <v>0</v>
      </c>
      <c r="AP740" s="156">
        <f t="shared" si="462"/>
        <v>3.8856378186301708</v>
      </c>
      <c r="AQ740" s="152"/>
      <c r="AR740" s="162">
        <f t="shared" si="463"/>
        <v>99822.621584548222</v>
      </c>
      <c r="AS740" s="150">
        <f t="shared" si="486"/>
        <v>0</v>
      </c>
      <c r="AT740" s="163">
        <f t="shared" si="464"/>
        <v>0</v>
      </c>
      <c r="AU740" s="163">
        <f t="shared" si="465"/>
        <v>100000</v>
      </c>
      <c r="AV740" s="163">
        <f t="shared" si="487"/>
        <v>177.06322534989437</v>
      </c>
      <c r="AW740" s="163">
        <f t="shared" si="466"/>
        <v>99822.936774650108</v>
      </c>
      <c r="AX740" s="163">
        <f t="shared" si="467"/>
        <v>0</v>
      </c>
      <c r="AY740" s="165">
        <f t="shared" si="488"/>
        <v>99822.621584548222</v>
      </c>
      <c r="AZ740" s="164">
        <f>IF($E740="","",IF(OR(AND($D740=Input!$C$6,$C740=12),$AN740=1),0,-AS741+AT741+AU741-AV741-AW741-AX741+AZ741))</f>
        <v>99822.936774650108</v>
      </c>
      <c r="BA740" s="154">
        <f t="shared" si="468"/>
        <v>0.31519010188640095</v>
      </c>
      <c r="BC740" s="147">
        <f t="shared" si="489"/>
        <v>6.5295978083474434E-12</v>
      </c>
      <c r="BD740" s="164">
        <f>IF(AND($C739=12,$D739=Input!$C$6),0,IF($E740="","",AT740+(AU740+BD741)/(1+$AK740)*MIN((1-AM740-AN740),1)))</f>
        <v>0</v>
      </c>
      <c r="BE740" s="164">
        <f t="shared" si="469"/>
        <v>0</v>
      </c>
      <c r="BF740" s="164">
        <f t="shared" si="490"/>
        <v>99822.936774650108</v>
      </c>
      <c r="BG740" s="164">
        <f t="shared" si="470"/>
        <v>6.5180362918656079E-7</v>
      </c>
      <c r="BH740" s="152"/>
      <c r="BI740" s="162">
        <f t="shared" si="471"/>
        <v>50689.468908029055</v>
      </c>
      <c r="BJ740" s="150">
        <f t="shared" si="472"/>
        <v>0</v>
      </c>
      <c r="BK740" s="163">
        <f t="shared" si="494"/>
        <v>0</v>
      </c>
      <c r="BL740" s="163">
        <f t="shared" si="473"/>
        <v>10520.505045949769</v>
      </c>
      <c r="BM740" s="163">
        <f t="shared" si="495"/>
        <v>177.80129180030781</v>
      </c>
      <c r="BN740" s="163">
        <f t="shared" si="474"/>
        <v>4743.7546404304585</v>
      </c>
      <c r="BO740" s="163">
        <f t="shared" si="475"/>
        <v>0</v>
      </c>
      <c r="BP740" s="164">
        <f t="shared" si="496"/>
        <v>45090.51979431005</v>
      </c>
      <c r="BQ740" s="164">
        <f>IF($E740="","",IF(AND($D740=Input!$C$6,$C740=12),0,-BJ741+BK741+BL741-BM741-BN741-BO741+BQ741))</f>
        <v>45090.560003644794</v>
      </c>
      <c r="BR740" s="161">
        <f t="shared" si="476"/>
        <v>0</v>
      </c>
      <c r="BT740" s="147">
        <f t="shared" si="477"/>
        <v>6.5295978083474434E-12</v>
      </c>
      <c r="BU740" s="164">
        <f>IF(AND($C739=12,$D739=Input!$C$6),0,IF($E740="","",BK740+(BL740+BU741)/(1+$AK740)*MIN((1-T740-U740),1)))</f>
        <v>81649.641815721305</v>
      </c>
      <c r="BV740" s="164">
        <f t="shared" si="478"/>
        <v>5.3313932225228765E-7</v>
      </c>
      <c r="BW740" s="164">
        <f t="shared" si="479"/>
        <v>45090.560003644794</v>
      </c>
      <c r="BX740" s="164">
        <f t="shared" si="480"/>
        <v>2.9442322177695796E-7</v>
      </c>
    </row>
    <row r="741" spans="1:76" s="150" customFormat="1" x14ac:dyDescent="0.25">
      <c r="A741" s="150">
        <f t="shared" si="491"/>
        <v>737</v>
      </c>
      <c r="B741" s="150">
        <f t="shared" si="492"/>
        <v>62</v>
      </c>
      <c r="C741" s="150">
        <f t="shared" si="493"/>
        <v>5</v>
      </c>
      <c r="D741" s="150">
        <f>IF(E741="","",Input!$C$4+B741-1)</f>
        <v>106</v>
      </c>
      <c r="E741" s="150">
        <f>IF(OR(AND(C740=12,D740=Input!$C$6),E740=""),"",1)</f>
        <v>1</v>
      </c>
      <c r="F741" s="150">
        <f>IF(E741="","",Input!$C$8+B741-1)</f>
        <v>2079</v>
      </c>
      <c r="G741" s="151">
        <f>IF(E741="","",MAX(0,Input!$C$9-B741))</f>
        <v>0</v>
      </c>
      <c r="H741" s="152">
        <f>IF(E741="","",Input!$C$3)</f>
        <v>100000</v>
      </c>
      <c r="I741" s="153">
        <f>IF(E741="","",HLOOKUP($B741,Input!$C$13:$BT$14,2))</f>
        <v>1000</v>
      </c>
      <c r="J741" s="154"/>
      <c r="K741" s="155">
        <f>IF($E741="","",INDEX(Input!$C$16:$CP$16,1,$B741))</f>
        <v>3.2989999999999998E-2</v>
      </c>
      <c r="L741" s="155">
        <f>IF($E741="","",Input!$C$37)</f>
        <v>1.4999999999999999E-2</v>
      </c>
      <c r="M741" s="155">
        <f t="shared" si="456"/>
        <v>4.7989999999999998E-2</v>
      </c>
      <c r="N741" s="155">
        <f t="shared" si="457"/>
        <v>3.9138093488841896E-3</v>
      </c>
      <c r="O741" s="147">
        <f>IF($E741="","",MIN(VLOOKUP(IF($B741&lt;=Input!$C$7,$B741,26),'Mortality Tables'!$A$41:$CW$67,IF($B741&lt;=Input!$C$7+1,Input!$C$4+2,$D741-Input!$C$7+2),0)*IF(B741&gt;20,Input!$C$22,1)/1000,1))</f>
        <v>1</v>
      </c>
      <c r="P741" s="147">
        <f>IF($E741="","",MIN(VLOOKUP(IF($B741&lt;=Input!$C$7,$B741,26),'Mortality Tables'!$A$12:$CW$37,IF($B741&lt;=Input!$C$7+1,Input!$C$4+2,$D741-Input!$C$7+2),0)*IF(B741&gt;20,Input!$C$22,1)/1000,1))</f>
        <v>1</v>
      </c>
      <c r="Q741" s="155">
        <f>IF($E741="","",Input!$C$21)</f>
        <v>5.0000000000000001E-3</v>
      </c>
      <c r="R741" s="159">
        <f>IF($E741="","",(1-Q741)^($F741-Input!$C$20))</f>
        <v>0.73655965290822167</v>
      </c>
      <c r="S741" s="147">
        <f t="shared" si="459"/>
        <v>0.73655965290822167</v>
      </c>
      <c r="T741" s="147">
        <f t="shared" si="460"/>
        <v>0.10520505045949768</v>
      </c>
      <c r="U741" s="160">
        <f>IF($E741="","",IF($C741=12,INDEX(Input!$C$15:$CP$15,1,$B741),0))</f>
        <v>0</v>
      </c>
      <c r="V741" s="150">
        <f>IF(E741="","",IF(C741=1,IF($B741=1,Input!$C$33,Input!$C$34),0))</f>
        <v>0</v>
      </c>
      <c r="W741" s="156">
        <f>IF($E741="","",Input!$C$35)</f>
        <v>0.02</v>
      </c>
      <c r="X741" s="156">
        <f t="shared" si="458"/>
        <v>3.3466514041327216</v>
      </c>
      <c r="Y741" s="154"/>
      <c r="Z741" s="147">
        <f>IF($E741="","",VLOOKUP($D741,'Mortality Margins &amp; Grading'!$AB$5:$AF$125,3,0)*IF(Summary!$D$25="Included Margin",IF(AND($B741&gt;Input!$C$9,Summary!$D$31&lt;&gt;"Included Margin"),0,1),0))</f>
        <v>0.01</v>
      </c>
      <c r="AA741" s="147">
        <f>IF($E741="","",VLOOKUP($D741,'Mortality Margins &amp; Grading'!$AB$5:$AF$125,5,0)*IF(Summary!$D$25="Included Margin",IF(AND($B741&gt;Input!$C$9,Summary!$D$31&lt;&gt;"Included Margin"),0,1),0))</f>
        <v>5.2999999999999999E-2</v>
      </c>
      <c r="AB741" s="147">
        <f>IF($E741="","",IF(AND($B741&gt;Input!$C$9,Summary!$D$31&lt;&gt;"Included Margin"),1,IF(Summary!$D$25="Included Margin",VLOOKUP($B741,'Mortality Margins &amp; Grading'!$AI$5:$AR$125,MATCH('Mortality Margins &amp; Grading'!$AQ$4,'Mortality Margins &amp; Grading'!$AI$4:$AR$4,0),0),1)))</f>
        <v>0</v>
      </c>
      <c r="AC741" s="154"/>
      <c r="AD741" s="158">
        <f>IF(E741="","",Input!$C$48*IF(Summary!$D$30="Included Margin",IF(AND($B741&gt;Input!$C$9,Summary!$D$31&lt;&gt;"Included Margin"),0,1),0))</f>
        <v>-4.4999999999999997E-3</v>
      </c>
      <c r="AE741" s="159">
        <f>IF(E741="","",IF(Summary!$D$26="Included Margin",IF(AND($B741&gt;Input!$C$9,Summary!$D$31&lt;&gt;"Included Margin"),1,1/$R741),1))</f>
        <v>1.3576632877617096</v>
      </c>
      <c r="AF741" s="160">
        <f>IF(E741="","",IF(AND($B741&gt;=Input!$C$9,$C741=12,Summary!$D$31="Included Margin",$U741&gt;0),1/U741-1,IF($B741&gt;=Input!$C$9,0,Input!$C$45*IF(Summary!$D$27="Included Margin",1,0))))</f>
        <v>0</v>
      </c>
      <c r="AG741" s="160">
        <f>IF(E741="","",Input!$C$46*IF(Summary!$D$28="Included Margin",IF(AND($B741&gt;Input!$C$9,Summary!$D$31&lt;&gt;"Included Margin"),0,1),0))</f>
        <v>0.02</v>
      </c>
      <c r="AH741" s="158">
        <f>IF(E741="","",Input!$C$47*IF(Summary!$D$29="Included Margin",IF(AND($B741&gt;Input!$C$9,Summary!$D$31&lt;&gt;"Included Margin"),0,1),0))</f>
        <v>2.5000000000000001E-3</v>
      </c>
      <c r="AI741" s="154"/>
      <c r="AJ741" s="158">
        <f t="shared" si="481"/>
        <v>4.3490000000000001E-2</v>
      </c>
      <c r="AK741" s="155">
        <f t="shared" si="482"/>
        <v>3.5538721110734972E-3</v>
      </c>
      <c r="AL741" s="147">
        <f t="shared" si="483"/>
        <v>1</v>
      </c>
      <c r="AM741" s="147">
        <f t="shared" si="461"/>
        <v>1</v>
      </c>
      <c r="AN741" s="160">
        <f t="shared" si="484"/>
        <v>0</v>
      </c>
      <c r="AO741" s="161">
        <f t="shared" si="485"/>
        <v>0</v>
      </c>
      <c r="AP741" s="156">
        <f t="shared" si="462"/>
        <v>3.8856378186301708</v>
      </c>
      <c r="AQ741" s="152"/>
      <c r="AR741" s="162">
        <f t="shared" si="463"/>
        <v>99822.621584548222</v>
      </c>
      <c r="AS741" s="150">
        <f t="shared" si="486"/>
        <v>0</v>
      </c>
      <c r="AT741" s="163">
        <f t="shared" si="464"/>
        <v>0</v>
      </c>
      <c r="AU741" s="163">
        <f t="shared" si="465"/>
        <v>100000</v>
      </c>
      <c r="AV741" s="163">
        <f t="shared" si="487"/>
        <v>177.06322534989437</v>
      </c>
      <c r="AW741" s="163">
        <f t="shared" si="466"/>
        <v>99822.936774650108</v>
      </c>
      <c r="AX741" s="163">
        <f t="shared" si="467"/>
        <v>0</v>
      </c>
      <c r="AY741" s="164">
        <f t="shared" si="488"/>
        <v>99822.621584548222</v>
      </c>
      <c r="AZ741" s="164">
        <f>IF($E741="","",IF(OR(AND($D741=Input!$C$6,$C741=12),$AN741=1),0,-AS742+AT742+AU742-AV742-AW742-AX742+AZ742))</f>
        <v>99822.936774650108</v>
      </c>
      <c r="BA741" s="154">
        <f t="shared" si="468"/>
        <v>0.31519010188640095</v>
      </c>
      <c r="BC741" s="147">
        <f t="shared" si="489"/>
        <v>5.8426511414400254E-12</v>
      </c>
      <c r="BD741" s="164">
        <f>IF(AND($C740=12,$D740=Input!$C$6),0,IF($E741="","",AT741+(AU741+BD742)/(1+$AK741)*MIN((1-AM741-AN741),1)))</f>
        <v>0</v>
      </c>
      <c r="BE741" s="164">
        <f t="shared" si="469"/>
        <v>0</v>
      </c>
      <c r="BF741" s="164">
        <f t="shared" si="490"/>
        <v>99822.936774650108</v>
      </c>
      <c r="BG741" s="164">
        <f t="shared" si="470"/>
        <v>5.8323059548830497E-7</v>
      </c>
      <c r="BH741" s="152"/>
      <c r="BI741" s="162">
        <f t="shared" si="471"/>
        <v>45090.51979431005</v>
      </c>
      <c r="BJ741" s="150">
        <f t="shared" si="472"/>
        <v>0</v>
      </c>
      <c r="BK741" s="163">
        <f t="shared" si="494"/>
        <v>0</v>
      </c>
      <c r="BL741" s="163">
        <f t="shared" si="473"/>
        <v>10520.505045949769</v>
      </c>
      <c r="BM741" s="163">
        <f t="shared" si="495"/>
        <v>155.88807241510753</v>
      </c>
      <c r="BN741" s="163">
        <f t="shared" si="474"/>
        <v>4082.8846772240436</v>
      </c>
      <c r="BO741" s="163">
        <f t="shared" si="475"/>
        <v>0</v>
      </c>
      <c r="BP741" s="164">
        <f t="shared" si="496"/>
        <v>38808.78749799943</v>
      </c>
      <c r="BQ741" s="164">
        <f>IF($E741="","",IF(AND($D741=Input!$C$6,$C741=12),0,-BJ742+BK742+BL742-BM742-BN742-BO742+BQ742))</f>
        <v>38808.827707334174</v>
      </c>
      <c r="BR741" s="161">
        <f t="shared" si="476"/>
        <v>0</v>
      </c>
      <c r="BT741" s="147">
        <f t="shared" si="477"/>
        <v>5.8426511414400254E-12</v>
      </c>
      <c r="BU741" s="164">
        <f>IF(AND($C740=12,$D740=Input!$C$6),0,IF($E741="","",BK741+(BL741+BU742)/(1+$AK741)*MIN((1-T741-U741),1)))</f>
        <v>81053.340160404274</v>
      </c>
      <c r="BV741" s="164">
        <f t="shared" si="478"/>
        <v>4.7356639040571269E-7</v>
      </c>
      <c r="BW741" s="164">
        <f t="shared" si="479"/>
        <v>38808.827707334174</v>
      </c>
      <c r="BX741" s="164">
        <f t="shared" si="480"/>
        <v>2.267464415022053E-7</v>
      </c>
    </row>
    <row r="742" spans="1:76" s="150" customFormat="1" x14ac:dyDescent="0.25">
      <c r="A742" s="150">
        <f t="shared" si="491"/>
        <v>738</v>
      </c>
      <c r="B742" s="150">
        <f t="shared" si="492"/>
        <v>62</v>
      </c>
      <c r="C742" s="150">
        <f t="shared" si="493"/>
        <v>6</v>
      </c>
      <c r="D742" s="150">
        <f>IF(E742="","",Input!$C$4+B742-1)</f>
        <v>106</v>
      </c>
      <c r="E742" s="150">
        <f>IF(OR(AND(C741=12,D741=Input!$C$6),E741=""),"",1)</f>
        <v>1</v>
      </c>
      <c r="F742" s="150">
        <f>IF(E742="","",Input!$C$8+B742-1)</f>
        <v>2079</v>
      </c>
      <c r="G742" s="151">
        <f>IF(E742="","",MAX(0,Input!$C$9-B742))</f>
        <v>0</v>
      </c>
      <c r="H742" s="152">
        <f>IF(E742="","",Input!$C$3)</f>
        <v>100000</v>
      </c>
      <c r="I742" s="153">
        <f>IF(E742="","",HLOOKUP($B742,Input!$C$13:$BT$14,2))</f>
        <v>1000</v>
      </c>
      <c r="J742" s="154"/>
      <c r="K742" s="155">
        <f>IF($E742="","",INDEX(Input!$C$16:$CP$16,1,$B742))</f>
        <v>3.2989999999999998E-2</v>
      </c>
      <c r="L742" s="155">
        <f>IF($E742="","",Input!$C$37)</f>
        <v>1.4999999999999999E-2</v>
      </c>
      <c r="M742" s="155">
        <f t="shared" si="456"/>
        <v>4.7989999999999998E-2</v>
      </c>
      <c r="N742" s="155">
        <f t="shared" si="457"/>
        <v>3.9138093488841896E-3</v>
      </c>
      <c r="O742" s="147">
        <f>IF($E742="","",MIN(VLOOKUP(IF($B742&lt;=Input!$C$7,$B742,26),'Mortality Tables'!$A$41:$CW$67,IF($B742&lt;=Input!$C$7+1,Input!$C$4+2,$D742-Input!$C$7+2),0)*IF(B742&gt;20,Input!$C$22,1)/1000,1))</f>
        <v>1</v>
      </c>
      <c r="P742" s="147">
        <f>IF($E742="","",MIN(VLOOKUP(IF($B742&lt;=Input!$C$7,$B742,26),'Mortality Tables'!$A$12:$CW$37,IF($B742&lt;=Input!$C$7+1,Input!$C$4+2,$D742-Input!$C$7+2),0)*IF(B742&gt;20,Input!$C$22,1)/1000,1))</f>
        <v>1</v>
      </c>
      <c r="Q742" s="155">
        <f>IF($E742="","",Input!$C$21)</f>
        <v>5.0000000000000001E-3</v>
      </c>
      <c r="R742" s="159">
        <f>IF($E742="","",(1-Q742)^($F742-Input!$C$20))</f>
        <v>0.73655965290822167</v>
      </c>
      <c r="S742" s="147">
        <f t="shared" si="459"/>
        <v>0.73655965290822167</v>
      </c>
      <c r="T742" s="147">
        <f t="shared" si="460"/>
        <v>0.10520505045949768</v>
      </c>
      <c r="U742" s="160">
        <f>IF($E742="","",IF($C742=12,INDEX(Input!$C$15:$CP$15,1,$B742),0))</f>
        <v>0</v>
      </c>
      <c r="V742" s="150">
        <f>IF(E742="","",IF(C742=1,IF($B742=1,Input!$C$33,Input!$C$34),0))</f>
        <v>0</v>
      </c>
      <c r="W742" s="156">
        <f>IF($E742="","",Input!$C$35)</f>
        <v>0.02</v>
      </c>
      <c r="X742" s="156">
        <f t="shared" si="458"/>
        <v>3.3466514041327216</v>
      </c>
      <c r="Y742" s="154"/>
      <c r="Z742" s="147">
        <f>IF($E742="","",VLOOKUP($D742,'Mortality Margins &amp; Grading'!$AB$5:$AF$125,3,0)*IF(Summary!$D$25="Included Margin",IF(AND($B742&gt;Input!$C$9,Summary!$D$31&lt;&gt;"Included Margin"),0,1),0))</f>
        <v>0.01</v>
      </c>
      <c r="AA742" s="147">
        <f>IF($E742="","",VLOOKUP($D742,'Mortality Margins &amp; Grading'!$AB$5:$AF$125,5,0)*IF(Summary!$D$25="Included Margin",IF(AND($B742&gt;Input!$C$9,Summary!$D$31&lt;&gt;"Included Margin"),0,1),0))</f>
        <v>5.2999999999999999E-2</v>
      </c>
      <c r="AB742" s="147">
        <f>IF($E742="","",IF(AND($B742&gt;Input!$C$9,Summary!$D$31&lt;&gt;"Included Margin"),1,IF(Summary!$D$25="Included Margin",VLOOKUP($B742,'Mortality Margins &amp; Grading'!$AI$5:$AR$125,MATCH('Mortality Margins &amp; Grading'!$AQ$4,'Mortality Margins &amp; Grading'!$AI$4:$AR$4,0),0),1)))</f>
        <v>0</v>
      </c>
      <c r="AC742" s="154"/>
      <c r="AD742" s="158">
        <f>IF(E742="","",Input!$C$48*IF(Summary!$D$30="Included Margin",IF(AND($B742&gt;Input!$C$9,Summary!$D$31&lt;&gt;"Included Margin"),0,1),0))</f>
        <v>-4.4999999999999997E-3</v>
      </c>
      <c r="AE742" s="159">
        <f>IF(E742="","",IF(Summary!$D$26="Included Margin",IF(AND($B742&gt;Input!$C$9,Summary!$D$31&lt;&gt;"Included Margin"),1,1/$R742),1))</f>
        <v>1.3576632877617096</v>
      </c>
      <c r="AF742" s="160">
        <f>IF(E742="","",IF(AND($B742&gt;=Input!$C$9,$C742=12,Summary!$D$31="Included Margin",$U742&gt;0),1/U742-1,IF($B742&gt;=Input!$C$9,0,Input!$C$45*IF(Summary!$D$27="Included Margin",1,0))))</f>
        <v>0</v>
      </c>
      <c r="AG742" s="160">
        <f>IF(E742="","",Input!$C$46*IF(Summary!$D$28="Included Margin",IF(AND($B742&gt;Input!$C$9,Summary!$D$31&lt;&gt;"Included Margin"),0,1),0))</f>
        <v>0.02</v>
      </c>
      <c r="AH742" s="158">
        <f>IF(E742="","",Input!$C$47*IF(Summary!$D$29="Included Margin",IF(AND($B742&gt;Input!$C$9,Summary!$D$31&lt;&gt;"Included Margin"),0,1),0))</f>
        <v>2.5000000000000001E-3</v>
      </c>
      <c r="AI742" s="154"/>
      <c r="AJ742" s="158">
        <f t="shared" si="481"/>
        <v>4.3490000000000001E-2</v>
      </c>
      <c r="AK742" s="155">
        <f t="shared" si="482"/>
        <v>3.5538721110734972E-3</v>
      </c>
      <c r="AL742" s="147">
        <f t="shared" si="483"/>
        <v>1</v>
      </c>
      <c r="AM742" s="147">
        <f t="shared" si="461"/>
        <v>1</v>
      </c>
      <c r="AN742" s="160">
        <f t="shared" si="484"/>
        <v>0</v>
      </c>
      <c r="AO742" s="161">
        <f t="shared" si="485"/>
        <v>0</v>
      </c>
      <c r="AP742" s="156">
        <f t="shared" si="462"/>
        <v>3.8856378186301708</v>
      </c>
      <c r="AQ742" s="152"/>
      <c r="AR742" s="162">
        <f t="shared" si="463"/>
        <v>99822.621584548222</v>
      </c>
      <c r="AS742" s="150">
        <f t="shared" si="486"/>
        <v>0</v>
      </c>
      <c r="AT742" s="163">
        <f t="shared" si="464"/>
        <v>0</v>
      </c>
      <c r="AU742" s="163">
        <f t="shared" si="465"/>
        <v>100000</v>
      </c>
      <c r="AV742" s="163">
        <f t="shared" si="487"/>
        <v>177.06322534989437</v>
      </c>
      <c r="AW742" s="163">
        <f t="shared" si="466"/>
        <v>99822.936774650108</v>
      </c>
      <c r="AX742" s="163">
        <f t="shared" si="467"/>
        <v>0</v>
      </c>
      <c r="AY742" s="165">
        <f t="shared" si="488"/>
        <v>99822.621584548222</v>
      </c>
      <c r="AZ742" s="164">
        <f>IF($E742="","",IF(OR(AND($D742=Input!$C$6,$C742=12),$AN742=1),0,-AS743+AT743+AU743-AV743-AW743-AX743+AZ743))</f>
        <v>99822.936774650108</v>
      </c>
      <c r="BA742" s="154">
        <f t="shared" si="468"/>
        <v>0.31519010188640095</v>
      </c>
      <c r="BC742" s="147">
        <f t="shared" si="489"/>
        <v>5.2279747332875855E-12</v>
      </c>
      <c r="BD742" s="164">
        <f>IF(AND($C741=12,$D741=Input!$C$6),0,IF($E742="","",AT742+(AU742+BD743)/(1+$AK742)*MIN((1-AM742-AN742),1)))</f>
        <v>0</v>
      </c>
      <c r="BE742" s="164">
        <f t="shared" si="469"/>
        <v>0</v>
      </c>
      <c r="BF742" s="164">
        <f t="shared" si="490"/>
        <v>99822.936774650108</v>
      </c>
      <c r="BG742" s="164">
        <f t="shared" si="470"/>
        <v>5.2187179126043488E-7</v>
      </c>
      <c r="BH742" s="152"/>
      <c r="BI742" s="162">
        <f t="shared" si="471"/>
        <v>38808.78749799943</v>
      </c>
      <c r="BJ742" s="150">
        <f t="shared" si="472"/>
        <v>0</v>
      </c>
      <c r="BK742" s="163">
        <f t="shared" si="494"/>
        <v>0</v>
      </c>
      <c r="BL742" s="163">
        <f t="shared" si="473"/>
        <v>10520.505045949769</v>
      </c>
      <c r="BM742" s="163">
        <f t="shared" si="495"/>
        <v>131.30256982661928</v>
      </c>
      <c r="BN742" s="163">
        <f t="shared" si="474"/>
        <v>3341.4226444002011</v>
      </c>
      <c r="BO742" s="163">
        <f t="shared" si="475"/>
        <v>0</v>
      </c>
      <c r="BP742" s="164">
        <f t="shared" si="496"/>
        <v>31761.007666276484</v>
      </c>
      <c r="BQ742" s="164">
        <f>IF($E742="","",IF(AND($D742=Input!$C$6,$C742=12),0,-BJ743+BK743+BL743-BM743-BN743-BO743+BQ743))</f>
        <v>31761.047875611228</v>
      </c>
      <c r="BR742" s="161">
        <f t="shared" si="476"/>
        <v>0</v>
      </c>
      <c r="BT742" s="147">
        <f t="shared" si="477"/>
        <v>5.2279747332875855E-12</v>
      </c>
      <c r="BU742" s="164">
        <f>IF(AND($C741=12,$D741=Input!$C$6),0,IF($E742="","",BK742+(BL742+BU743)/(1+$AK742)*MIN((1-T742-U742),1)))</f>
        <v>80384.560307045744</v>
      </c>
      <c r="BV742" s="164">
        <f t="shared" si="478"/>
        <v>4.2024845023166728E-7</v>
      </c>
      <c r="BW742" s="164">
        <f t="shared" si="479"/>
        <v>31761.047875611228</v>
      </c>
      <c r="BX742" s="164">
        <f t="shared" si="480"/>
        <v>1.6604595579643284E-7</v>
      </c>
    </row>
    <row r="743" spans="1:76" s="150" customFormat="1" x14ac:dyDescent="0.25">
      <c r="A743" s="150">
        <f t="shared" si="491"/>
        <v>739</v>
      </c>
      <c r="B743" s="150">
        <f t="shared" si="492"/>
        <v>62</v>
      </c>
      <c r="C743" s="150">
        <f t="shared" si="493"/>
        <v>7</v>
      </c>
      <c r="D743" s="150">
        <f>IF(E743="","",Input!$C$4+B743-1)</f>
        <v>106</v>
      </c>
      <c r="E743" s="150">
        <f>IF(OR(AND(C742=12,D742=Input!$C$6),E742=""),"",1)</f>
        <v>1</v>
      </c>
      <c r="F743" s="150">
        <f>IF(E743="","",Input!$C$8+B743-1)</f>
        <v>2079</v>
      </c>
      <c r="G743" s="151">
        <f>IF(E743="","",MAX(0,Input!$C$9-B743))</f>
        <v>0</v>
      </c>
      <c r="H743" s="152">
        <f>IF(E743="","",Input!$C$3)</f>
        <v>100000</v>
      </c>
      <c r="I743" s="153">
        <f>IF(E743="","",HLOOKUP($B743,Input!$C$13:$BT$14,2))</f>
        <v>1000</v>
      </c>
      <c r="J743" s="154"/>
      <c r="K743" s="155">
        <f>IF($E743="","",INDEX(Input!$C$16:$CP$16,1,$B743))</f>
        <v>3.2989999999999998E-2</v>
      </c>
      <c r="L743" s="155">
        <f>IF($E743="","",Input!$C$37)</f>
        <v>1.4999999999999999E-2</v>
      </c>
      <c r="M743" s="155">
        <f t="shared" si="456"/>
        <v>4.7989999999999998E-2</v>
      </c>
      <c r="N743" s="155">
        <f t="shared" si="457"/>
        <v>3.9138093488841896E-3</v>
      </c>
      <c r="O743" s="147">
        <f>IF($E743="","",MIN(VLOOKUP(IF($B743&lt;=Input!$C$7,$B743,26),'Mortality Tables'!$A$41:$CW$67,IF($B743&lt;=Input!$C$7+1,Input!$C$4+2,$D743-Input!$C$7+2),0)*IF(B743&gt;20,Input!$C$22,1)/1000,1))</f>
        <v>1</v>
      </c>
      <c r="P743" s="147">
        <f>IF($E743="","",MIN(VLOOKUP(IF($B743&lt;=Input!$C$7,$B743,26),'Mortality Tables'!$A$12:$CW$37,IF($B743&lt;=Input!$C$7+1,Input!$C$4+2,$D743-Input!$C$7+2),0)*IF(B743&gt;20,Input!$C$22,1)/1000,1))</f>
        <v>1</v>
      </c>
      <c r="Q743" s="155">
        <f>IF($E743="","",Input!$C$21)</f>
        <v>5.0000000000000001E-3</v>
      </c>
      <c r="R743" s="159">
        <f>IF($E743="","",(1-Q743)^($F743-Input!$C$20))</f>
        <v>0.73655965290822167</v>
      </c>
      <c r="S743" s="147">
        <f t="shared" si="459"/>
        <v>0.73655965290822167</v>
      </c>
      <c r="T743" s="147">
        <f t="shared" si="460"/>
        <v>0.10520505045949768</v>
      </c>
      <c r="U743" s="160">
        <f>IF($E743="","",IF($C743=12,INDEX(Input!$C$15:$CP$15,1,$B743),0))</f>
        <v>0</v>
      </c>
      <c r="V743" s="150">
        <f>IF(E743="","",IF(C743=1,IF($B743=1,Input!$C$33,Input!$C$34),0))</f>
        <v>0</v>
      </c>
      <c r="W743" s="156">
        <f>IF($E743="","",Input!$C$35)</f>
        <v>0.02</v>
      </c>
      <c r="X743" s="156">
        <f t="shared" si="458"/>
        <v>3.3466514041327216</v>
      </c>
      <c r="Y743" s="154"/>
      <c r="Z743" s="147">
        <f>IF($E743="","",VLOOKUP($D743,'Mortality Margins &amp; Grading'!$AB$5:$AF$125,3,0)*IF(Summary!$D$25="Included Margin",IF(AND($B743&gt;Input!$C$9,Summary!$D$31&lt;&gt;"Included Margin"),0,1),0))</f>
        <v>0.01</v>
      </c>
      <c r="AA743" s="147">
        <f>IF($E743="","",VLOOKUP($D743,'Mortality Margins &amp; Grading'!$AB$5:$AF$125,5,0)*IF(Summary!$D$25="Included Margin",IF(AND($B743&gt;Input!$C$9,Summary!$D$31&lt;&gt;"Included Margin"),0,1),0))</f>
        <v>5.2999999999999999E-2</v>
      </c>
      <c r="AB743" s="147">
        <f>IF($E743="","",IF(AND($B743&gt;Input!$C$9,Summary!$D$31&lt;&gt;"Included Margin"),1,IF(Summary!$D$25="Included Margin",VLOOKUP($B743,'Mortality Margins &amp; Grading'!$AI$5:$AR$125,MATCH('Mortality Margins &amp; Grading'!$AQ$4,'Mortality Margins &amp; Grading'!$AI$4:$AR$4,0),0),1)))</f>
        <v>0</v>
      </c>
      <c r="AC743" s="154"/>
      <c r="AD743" s="158">
        <f>IF(E743="","",Input!$C$48*IF(Summary!$D$30="Included Margin",IF(AND($B743&gt;Input!$C$9,Summary!$D$31&lt;&gt;"Included Margin"),0,1),0))</f>
        <v>-4.4999999999999997E-3</v>
      </c>
      <c r="AE743" s="159">
        <f>IF(E743="","",IF(Summary!$D$26="Included Margin",IF(AND($B743&gt;Input!$C$9,Summary!$D$31&lt;&gt;"Included Margin"),1,1/$R743),1))</f>
        <v>1.3576632877617096</v>
      </c>
      <c r="AF743" s="160">
        <f>IF(E743="","",IF(AND($B743&gt;=Input!$C$9,$C743=12,Summary!$D$31="Included Margin",$U743&gt;0),1/U743-1,IF($B743&gt;=Input!$C$9,0,Input!$C$45*IF(Summary!$D$27="Included Margin",1,0))))</f>
        <v>0</v>
      </c>
      <c r="AG743" s="160">
        <f>IF(E743="","",Input!$C$46*IF(Summary!$D$28="Included Margin",IF(AND($B743&gt;Input!$C$9,Summary!$D$31&lt;&gt;"Included Margin"),0,1),0))</f>
        <v>0.02</v>
      </c>
      <c r="AH743" s="158">
        <f>IF(E743="","",Input!$C$47*IF(Summary!$D$29="Included Margin",IF(AND($B743&gt;Input!$C$9,Summary!$D$31&lt;&gt;"Included Margin"),0,1),0))</f>
        <v>2.5000000000000001E-3</v>
      </c>
      <c r="AI743" s="154"/>
      <c r="AJ743" s="158">
        <f t="shared" si="481"/>
        <v>4.3490000000000001E-2</v>
      </c>
      <c r="AK743" s="155">
        <f t="shared" si="482"/>
        <v>3.5538721110734972E-3</v>
      </c>
      <c r="AL743" s="147">
        <f t="shared" si="483"/>
        <v>1</v>
      </c>
      <c r="AM743" s="147">
        <f t="shared" si="461"/>
        <v>1</v>
      </c>
      <c r="AN743" s="160">
        <f t="shared" si="484"/>
        <v>0</v>
      </c>
      <c r="AO743" s="161">
        <f t="shared" si="485"/>
        <v>0</v>
      </c>
      <c r="AP743" s="156">
        <f t="shared" si="462"/>
        <v>3.8856378186301708</v>
      </c>
      <c r="AQ743" s="152"/>
      <c r="AR743" s="162">
        <f t="shared" si="463"/>
        <v>99822.621584548222</v>
      </c>
      <c r="AS743" s="150">
        <f t="shared" si="486"/>
        <v>0</v>
      </c>
      <c r="AT743" s="163">
        <f t="shared" si="464"/>
        <v>0</v>
      </c>
      <c r="AU743" s="163">
        <f t="shared" si="465"/>
        <v>100000</v>
      </c>
      <c r="AV743" s="163">
        <f t="shared" si="487"/>
        <v>177.06322534989437</v>
      </c>
      <c r="AW743" s="163">
        <f t="shared" si="466"/>
        <v>99822.936774650108</v>
      </c>
      <c r="AX743" s="163">
        <f t="shared" si="467"/>
        <v>0</v>
      </c>
      <c r="AY743" s="164">
        <f t="shared" si="488"/>
        <v>99822.621584548222</v>
      </c>
      <c r="AZ743" s="164">
        <f>IF($E743="","",IF(OR(AND($D743=Input!$C$6,$C743=12),$AN743=1),0,-AS744+AT744+AU744-AV744-AW744-AX744+AZ744))</f>
        <v>99822.936774650108</v>
      </c>
      <c r="BA743" s="154">
        <f t="shared" si="468"/>
        <v>0.31519010188640095</v>
      </c>
      <c r="BC743" s="147">
        <f t="shared" si="489"/>
        <v>4.6779653876710857E-12</v>
      </c>
      <c r="BD743" s="164">
        <f>IF(AND($C742=12,$D742=Input!$C$6),0,IF($E743="","",AT743+(AU743+BD744)/(1+$AK743)*MIN((1-AM743-AN743),1)))</f>
        <v>0</v>
      </c>
      <c r="BE743" s="164">
        <f t="shared" si="469"/>
        <v>0</v>
      </c>
      <c r="BF743" s="164">
        <f t="shared" si="490"/>
        <v>99822.936774650108</v>
      </c>
      <c r="BG743" s="164">
        <f t="shared" si="470"/>
        <v>4.6696824312749237E-7</v>
      </c>
      <c r="BH743" s="152"/>
      <c r="BI743" s="162">
        <f t="shared" si="471"/>
        <v>31761.00766627648</v>
      </c>
      <c r="BJ743" s="150">
        <f t="shared" si="472"/>
        <v>0</v>
      </c>
      <c r="BK743" s="163">
        <f t="shared" si="494"/>
        <v>0</v>
      </c>
      <c r="BL743" s="163">
        <f t="shared" si="473"/>
        <v>10520.505045949769</v>
      </c>
      <c r="BM743" s="163">
        <f t="shared" si="495"/>
        <v>103.71890323234457</v>
      </c>
      <c r="BN743" s="163">
        <f t="shared" si="474"/>
        <v>2509.5404637486454</v>
      </c>
      <c r="BO743" s="163">
        <f t="shared" si="475"/>
        <v>0</v>
      </c>
      <c r="BP743" s="164">
        <f t="shared" si="496"/>
        <v>23853.761987307702</v>
      </c>
      <c r="BQ743" s="164">
        <f>IF($E743="","",IF(AND($D743=Input!$C$6,$C743=12),0,-BJ744+BK744+BL744-BM744-BN744-BO744+BQ744))</f>
        <v>23853.802196642449</v>
      </c>
      <c r="BR743" s="161">
        <f t="shared" si="476"/>
        <v>0</v>
      </c>
      <c r="BT743" s="147">
        <f t="shared" si="477"/>
        <v>4.6779653876710857E-12</v>
      </c>
      <c r="BU743" s="164">
        <f>IF(AND($C742=12,$D742=Input!$C$6),0,IF($E743="","",BK743+(BL743+BU744)/(1+$AK743)*MIN((1-T743-U743),1)))</f>
        <v>79634.492806360271</v>
      </c>
      <c r="BV743" s="164">
        <f t="shared" si="478"/>
        <v>3.725274010128954E-7</v>
      </c>
      <c r="BW743" s="164">
        <f t="shared" si="479"/>
        <v>23853.802196642449</v>
      </c>
      <c r="BX743" s="164">
        <f t="shared" si="480"/>
        <v>1.115872610402459E-7</v>
      </c>
    </row>
    <row r="744" spans="1:76" s="150" customFormat="1" x14ac:dyDescent="0.25">
      <c r="A744" s="150">
        <f t="shared" si="491"/>
        <v>740</v>
      </c>
      <c r="B744" s="150">
        <f t="shared" si="492"/>
        <v>62</v>
      </c>
      <c r="C744" s="150">
        <f t="shared" si="493"/>
        <v>8</v>
      </c>
      <c r="D744" s="150">
        <f>IF(E744="","",Input!$C$4+B744-1)</f>
        <v>106</v>
      </c>
      <c r="E744" s="150">
        <f>IF(OR(AND(C743=12,D743=Input!$C$6),E743=""),"",1)</f>
        <v>1</v>
      </c>
      <c r="F744" s="150">
        <f>IF(E744="","",Input!$C$8+B744-1)</f>
        <v>2079</v>
      </c>
      <c r="G744" s="151">
        <f>IF(E744="","",MAX(0,Input!$C$9-B744))</f>
        <v>0</v>
      </c>
      <c r="H744" s="152">
        <f>IF(E744="","",Input!$C$3)</f>
        <v>100000</v>
      </c>
      <c r="I744" s="153">
        <f>IF(E744="","",HLOOKUP($B744,Input!$C$13:$BT$14,2))</f>
        <v>1000</v>
      </c>
      <c r="J744" s="154"/>
      <c r="K744" s="155">
        <f>IF($E744="","",INDEX(Input!$C$16:$CP$16,1,$B744))</f>
        <v>3.2989999999999998E-2</v>
      </c>
      <c r="L744" s="155">
        <f>IF($E744="","",Input!$C$37)</f>
        <v>1.4999999999999999E-2</v>
      </c>
      <c r="M744" s="155">
        <f t="shared" si="456"/>
        <v>4.7989999999999998E-2</v>
      </c>
      <c r="N744" s="155">
        <f t="shared" si="457"/>
        <v>3.9138093488841896E-3</v>
      </c>
      <c r="O744" s="147">
        <f>IF($E744="","",MIN(VLOOKUP(IF($B744&lt;=Input!$C$7,$B744,26),'Mortality Tables'!$A$41:$CW$67,IF($B744&lt;=Input!$C$7+1,Input!$C$4+2,$D744-Input!$C$7+2),0)*IF(B744&gt;20,Input!$C$22,1)/1000,1))</f>
        <v>1</v>
      </c>
      <c r="P744" s="147">
        <f>IF($E744="","",MIN(VLOOKUP(IF($B744&lt;=Input!$C$7,$B744,26),'Mortality Tables'!$A$12:$CW$37,IF($B744&lt;=Input!$C$7+1,Input!$C$4+2,$D744-Input!$C$7+2),0)*IF(B744&gt;20,Input!$C$22,1)/1000,1))</f>
        <v>1</v>
      </c>
      <c r="Q744" s="155">
        <f>IF($E744="","",Input!$C$21)</f>
        <v>5.0000000000000001E-3</v>
      </c>
      <c r="R744" s="159">
        <f>IF($E744="","",(1-Q744)^($F744-Input!$C$20))</f>
        <v>0.73655965290822167</v>
      </c>
      <c r="S744" s="147">
        <f t="shared" si="459"/>
        <v>0.73655965290822167</v>
      </c>
      <c r="T744" s="147">
        <f t="shared" si="460"/>
        <v>0.10520505045949768</v>
      </c>
      <c r="U744" s="160">
        <f>IF($E744="","",IF($C744=12,INDEX(Input!$C$15:$CP$15,1,$B744),0))</f>
        <v>0</v>
      </c>
      <c r="V744" s="150">
        <f>IF(E744="","",IF(C744=1,IF($B744=1,Input!$C$33,Input!$C$34),0))</f>
        <v>0</v>
      </c>
      <c r="W744" s="156">
        <f>IF($E744="","",Input!$C$35)</f>
        <v>0.02</v>
      </c>
      <c r="X744" s="156">
        <f t="shared" si="458"/>
        <v>3.3466514041327216</v>
      </c>
      <c r="Y744" s="154"/>
      <c r="Z744" s="147">
        <f>IF($E744="","",VLOOKUP($D744,'Mortality Margins &amp; Grading'!$AB$5:$AF$125,3,0)*IF(Summary!$D$25="Included Margin",IF(AND($B744&gt;Input!$C$9,Summary!$D$31&lt;&gt;"Included Margin"),0,1),0))</f>
        <v>0.01</v>
      </c>
      <c r="AA744" s="147">
        <f>IF($E744="","",VLOOKUP($D744,'Mortality Margins &amp; Grading'!$AB$5:$AF$125,5,0)*IF(Summary!$D$25="Included Margin",IF(AND($B744&gt;Input!$C$9,Summary!$D$31&lt;&gt;"Included Margin"),0,1),0))</f>
        <v>5.2999999999999999E-2</v>
      </c>
      <c r="AB744" s="147">
        <f>IF($E744="","",IF(AND($B744&gt;Input!$C$9,Summary!$D$31&lt;&gt;"Included Margin"),1,IF(Summary!$D$25="Included Margin",VLOOKUP($B744,'Mortality Margins &amp; Grading'!$AI$5:$AR$125,MATCH('Mortality Margins &amp; Grading'!$AQ$4,'Mortality Margins &amp; Grading'!$AI$4:$AR$4,0),0),1)))</f>
        <v>0</v>
      </c>
      <c r="AC744" s="154"/>
      <c r="AD744" s="158">
        <f>IF(E744="","",Input!$C$48*IF(Summary!$D$30="Included Margin",IF(AND($B744&gt;Input!$C$9,Summary!$D$31&lt;&gt;"Included Margin"),0,1),0))</f>
        <v>-4.4999999999999997E-3</v>
      </c>
      <c r="AE744" s="159">
        <f>IF(E744="","",IF(Summary!$D$26="Included Margin",IF(AND($B744&gt;Input!$C$9,Summary!$D$31&lt;&gt;"Included Margin"),1,1/$R744),1))</f>
        <v>1.3576632877617096</v>
      </c>
      <c r="AF744" s="160">
        <f>IF(E744="","",IF(AND($B744&gt;=Input!$C$9,$C744=12,Summary!$D$31="Included Margin",$U744&gt;0),1/U744-1,IF($B744&gt;=Input!$C$9,0,Input!$C$45*IF(Summary!$D$27="Included Margin",1,0))))</f>
        <v>0</v>
      </c>
      <c r="AG744" s="160">
        <f>IF(E744="","",Input!$C$46*IF(Summary!$D$28="Included Margin",IF(AND($B744&gt;Input!$C$9,Summary!$D$31&lt;&gt;"Included Margin"),0,1),0))</f>
        <v>0.02</v>
      </c>
      <c r="AH744" s="158">
        <f>IF(E744="","",Input!$C$47*IF(Summary!$D$29="Included Margin",IF(AND($B744&gt;Input!$C$9,Summary!$D$31&lt;&gt;"Included Margin"),0,1),0))</f>
        <v>2.5000000000000001E-3</v>
      </c>
      <c r="AI744" s="154"/>
      <c r="AJ744" s="158">
        <f t="shared" si="481"/>
        <v>4.3490000000000001E-2</v>
      </c>
      <c r="AK744" s="155">
        <f t="shared" si="482"/>
        <v>3.5538721110734972E-3</v>
      </c>
      <c r="AL744" s="147">
        <f t="shared" si="483"/>
        <v>1</v>
      </c>
      <c r="AM744" s="147">
        <f t="shared" si="461"/>
        <v>1</v>
      </c>
      <c r="AN744" s="160">
        <f t="shared" si="484"/>
        <v>0</v>
      </c>
      <c r="AO744" s="161">
        <f t="shared" si="485"/>
        <v>0</v>
      </c>
      <c r="AP744" s="156">
        <f t="shared" si="462"/>
        <v>3.8856378186301708</v>
      </c>
      <c r="AQ744" s="152"/>
      <c r="AR744" s="162">
        <f t="shared" si="463"/>
        <v>99822.621584548222</v>
      </c>
      <c r="AS744" s="150">
        <f t="shared" si="486"/>
        <v>0</v>
      </c>
      <c r="AT744" s="163">
        <f t="shared" si="464"/>
        <v>0</v>
      </c>
      <c r="AU744" s="163">
        <f t="shared" si="465"/>
        <v>100000</v>
      </c>
      <c r="AV744" s="163">
        <f t="shared" si="487"/>
        <v>177.06322534989437</v>
      </c>
      <c r="AW744" s="163">
        <f t="shared" si="466"/>
        <v>99822.936774650108</v>
      </c>
      <c r="AX744" s="163">
        <f t="shared" si="467"/>
        <v>0</v>
      </c>
      <c r="AY744" s="165">
        <f t="shared" si="488"/>
        <v>99822.621584548222</v>
      </c>
      <c r="AZ744" s="164">
        <f>IF($E744="","",IF(OR(AND($D744=Input!$C$6,$C744=12),$AN744=1),0,-AS745+AT745+AU745-AV745-AW745-AX745+AZ745))</f>
        <v>99822.936774650108</v>
      </c>
      <c r="BA744" s="154">
        <f t="shared" si="468"/>
        <v>0.31519010188640095</v>
      </c>
      <c r="BC744" s="147">
        <f t="shared" si="489"/>
        <v>4.1858198030133652E-12</v>
      </c>
      <c r="BD744" s="164">
        <f>IF(AND($C743=12,$D743=Input!$C$6),0,IF($E744="","",AT744+(AU744+BD745)/(1+$AK744)*MIN((1-AM744-AN744),1)))</f>
        <v>0</v>
      </c>
      <c r="BE744" s="164">
        <f t="shared" si="469"/>
        <v>0</v>
      </c>
      <c r="BF744" s="164">
        <f t="shared" si="490"/>
        <v>99822.936774650108</v>
      </c>
      <c r="BG744" s="164">
        <f t="shared" si="470"/>
        <v>4.1784082554628153E-7</v>
      </c>
      <c r="BH744" s="152"/>
      <c r="BI744" s="162">
        <f t="shared" si="471"/>
        <v>23853.761987307706</v>
      </c>
      <c r="BJ744" s="150">
        <f t="shared" si="472"/>
        <v>0</v>
      </c>
      <c r="BK744" s="163">
        <f t="shared" si="494"/>
        <v>0</v>
      </c>
      <c r="BL744" s="163">
        <f t="shared" si="473"/>
        <v>10520.505045949769</v>
      </c>
      <c r="BM744" s="163">
        <f t="shared" si="495"/>
        <v>72.771451170072453</v>
      </c>
      <c r="BN744" s="163">
        <f t="shared" si="474"/>
        <v>1576.2115381258288</v>
      </c>
      <c r="BO744" s="163">
        <f t="shared" si="475"/>
        <v>0</v>
      </c>
      <c r="BP744" s="164">
        <f t="shared" si="496"/>
        <v>14982.239930653837</v>
      </c>
      <c r="BQ744" s="164">
        <f>IF($E744="","",IF(AND($D744=Input!$C$6,$C744=12),0,-BJ745+BK745+BL745-BM745-BN745-BO745+BQ745))</f>
        <v>14982.280139988583</v>
      </c>
      <c r="BR744" s="161">
        <f t="shared" si="476"/>
        <v>0</v>
      </c>
      <c r="BT744" s="147">
        <f t="shared" si="477"/>
        <v>4.1858198030133652E-12</v>
      </c>
      <c r="BU744" s="164">
        <f>IF(AND($C743=12,$D743=Input!$C$6),0,IF($E744="","",BK744+(BL744+BU745)/(1+$AK744)*MIN((1-T744-U744),1)))</f>
        <v>78793.257454010411</v>
      </c>
      <c r="BV744" s="164">
        <f t="shared" si="478"/>
        <v>3.2981437739492721E-7</v>
      </c>
      <c r="BW744" s="164">
        <f t="shared" si="479"/>
        <v>14982.280139988583</v>
      </c>
      <c r="BX744" s="164">
        <f t="shared" si="480"/>
        <v>6.271312490425807E-8</v>
      </c>
    </row>
    <row r="745" spans="1:76" s="150" customFormat="1" x14ac:dyDescent="0.25">
      <c r="A745" s="150">
        <f t="shared" si="491"/>
        <v>741</v>
      </c>
      <c r="B745" s="150">
        <f t="shared" si="492"/>
        <v>62</v>
      </c>
      <c r="C745" s="150">
        <f t="shared" si="493"/>
        <v>9</v>
      </c>
      <c r="D745" s="150">
        <f>IF(E745="","",Input!$C$4+B745-1)</f>
        <v>106</v>
      </c>
      <c r="E745" s="150">
        <f>IF(OR(AND(C744=12,D744=Input!$C$6),E744=""),"",1)</f>
        <v>1</v>
      </c>
      <c r="F745" s="150">
        <f>IF(E745="","",Input!$C$8+B745-1)</f>
        <v>2079</v>
      </c>
      <c r="G745" s="151">
        <f>IF(E745="","",MAX(0,Input!$C$9-B745))</f>
        <v>0</v>
      </c>
      <c r="H745" s="152">
        <f>IF(E745="","",Input!$C$3)</f>
        <v>100000</v>
      </c>
      <c r="I745" s="153">
        <f>IF(E745="","",HLOOKUP($B745,Input!$C$13:$BT$14,2))</f>
        <v>1000</v>
      </c>
      <c r="J745" s="154"/>
      <c r="K745" s="155">
        <f>IF($E745="","",INDEX(Input!$C$16:$CP$16,1,$B745))</f>
        <v>3.2989999999999998E-2</v>
      </c>
      <c r="L745" s="155">
        <f>IF($E745="","",Input!$C$37)</f>
        <v>1.4999999999999999E-2</v>
      </c>
      <c r="M745" s="155">
        <f t="shared" si="456"/>
        <v>4.7989999999999998E-2</v>
      </c>
      <c r="N745" s="155">
        <f t="shared" si="457"/>
        <v>3.9138093488841896E-3</v>
      </c>
      <c r="O745" s="147">
        <f>IF($E745="","",MIN(VLOOKUP(IF($B745&lt;=Input!$C$7,$B745,26),'Mortality Tables'!$A$41:$CW$67,IF($B745&lt;=Input!$C$7+1,Input!$C$4+2,$D745-Input!$C$7+2),0)*IF(B745&gt;20,Input!$C$22,1)/1000,1))</f>
        <v>1</v>
      </c>
      <c r="P745" s="147">
        <f>IF($E745="","",MIN(VLOOKUP(IF($B745&lt;=Input!$C$7,$B745,26),'Mortality Tables'!$A$12:$CW$37,IF($B745&lt;=Input!$C$7+1,Input!$C$4+2,$D745-Input!$C$7+2),0)*IF(B745&gt;20,Input!$C$22,1)/1000,1))</f>
        <v>1</v>
      </c>
      <c r="Q745" s="155">
        <f>IF($E745="","",Input!$C$21)</f>
        <v>5.0000000000000001E-3</v>
      </c>
      <c r="R745" s="159">
        <f>IF($E745="","",(1-Q745)^($F745-Input!$C$20))</f>
        <v>0.73655965290822167</v>
      </c>
      <c r="S745" s="147">
        <f t="shared" si="459"/>
        <v>0.73655965290822167</v>
      </c>
      <c r="T745" s="147">
        <f t="shared" si="460"/>
        <v>0.10520505045949768</v>
      </c>
      <c r="U745" s="160">
        <f>IF($E745="","",IF($C745=12,INDEX(Input!$C$15:$CP$15,1,$B745),0))</f>
        <v>0</v>
      </c>
      <c r="V745" s="150">
        <f>IF(E745="","",IF(C745=1,IF($B745=1,Input!$C$33,Input!$C$34),0))</f>
        <v>0</v>
      </c>
      <c r="W745" s="156">
        <f>IF($E745="","",Input!$C$35)</f>
        <v>0.02</v>
      </c>
      <c r="X745" s="156">
        <f t="shared" si="458"/>
        <v>3.3466514041327216</v>
      </c>
      <c r="Y745" s="154"/>
      <c r="Z745" s="147">
        <f>IF($E745="","",VLOOKUP($D745,'Mortality Margins &amp; Grading'!$AB$5:$AF$125,3,0)*IF(Summary!$D$25="Included Margin",IF(AND($B745&gt;Input!$C$9,Summary!$D$31&lt;&gt;"Included Margin"),0,1),0))</f>
        <v>0.01</v>
      </c>
      <c r="AA745" s="147">
        <f>IF($E745="","",VLOOKUP($D745,'Mortality Margins &amp; Grading'!$AB$5:$AF$125,5,0)*IF(Summary!$D$25="Included Margin",IF(AND($B745&gt;Input!$C$9,Summary!$D$31&lt;&gt;"Included Margin"),0,1),0))</f>
        <v>5.2999999999999999E-2</v>
      </c>
      <c r="AB745" s="147">
        <f>IF($E745="","",IF(AND($B745&gt;Input!$C$9,Summary!$D$31&lt;&gt;"Included Margin"),1,IF(Summary!$D$25="Included Margin",VLOOKUP($B745,'Mortality Margins &amp; Grading'!$AI$5:$AR$125,MATCH('Mortality Margins &amp; Grading'!$AQ$4,'Mortality Margins &amp; Grading'!$AI$4:$AR$4,0),0),1)))</f>
        <v>0</v>
      </c>
      <c r="AC745" s="154"/>
      <c r="AD745" s="158">
        <f>IF(E745="","",Input!$C$48*IF(Summary!$D$30="Included Margin",IF(AND($B745&gt;Input!$C$9,Summary!$D$31&lt;&gt;"Included Margin"),0,1),0))</f>
        <v>-4.4999999999999997E-3</v>
      </c>
      <c r="AE745" s="159">
        <f>IF(E745="","",IF(Summary!$D$26="Included Margin",IF(AND($B745&gt;Input!$C$9,Summary!$D$31&lt;&gt;"Included Margin"),1,1/$R745),1))</f>
        <v>1.3576632877617096</v>
      </c>
      <c r="AF745" s="160">
        <f>IF(E745="","",IF(AND($B745&gt;=Input!$C$9,$C745=12,Summary!$D$31="Included Margin",$U745&gt;0),1/U745-1,IF($B745&gt;=Input!$C$9,0,Input!$C$45*IF(Summary!$D$27="Included Margin",1,0))))</f>
        <v>0</v>
      </c>
      <c r="AG745" s="160">
        <f>IF(E745="","",Input!$C$46*IF(Summary!$D$28="Included Margin",IF(AND($B745&gt;Input!$C$9,Summary!$D$31&lt;&gt;"Included Margin"),0,1),0))</f>
        <v>0.02</v>
      </c>
      <c r="AH745" s="158">
        <f>IF(E745="","",Input!$C$47*IF(Summary!$D$29="Included Margin",IF(AND($B745&gt;Input!$C$9,Summary!$D$31&lt;&gt;"Included Margin"),0,1),0))</f>
        <v>2.5000000000000001E-3</v>
      </c>
      <c r="AI745" s="154"/>
      <c r="AJ745" s="158">
        <f t="shared" si="481"/>
        <v>4.3490000000000001E-2</v>
      </c>
      <c r="AK745" s="155">
        <f t="shared" si="482"/>
        <v>3.5538721110734972E-3</v>
      </c>
      <c r="AL745" s="147">
        <f t="shared" si="483"/>
        <v>1</v>
      </c>
      <c r="AM745" s="147">
        <f t="shared" si="461"/>
        <v>1</v>
      </c>
      <c r="AN745" s="160">
        <f t="shared" si="484"/>
        <v>0</v>
      </c>
      <c r="AO745" s="161">
        <f t="shared" si="485"/>
        <v>0</v>
      </c>
      <c r="AP745" s="156">
        <f t="shared" si="462"/>
        <v>3.8856378186301708</v>
      </c>
      <c r="AQ745" s="152"/>
      <c r="AR745" s="162">
        <f t="shared" si="463"/>
        <v>99822.621584548222</v>
      </c>
      <c r="AS745" s="150">
        <f t="shared" si="486"/>
        <v>0</v>
      </c>
      <c r="AT745" s="163">
        <f t="shared" si="464"/>
        <v>0</v>
      </c>
      <c r="AU745" s="163">
        <f t="shared" si="465"/>
        <v>100000</v>
      </c>
      <c r="AV745" s="163">
        <f t="shared" si="487"/>
        <v>177.06322534989437</v>
      </c>
      <c r="AW745" s="163">
        <f t="shared" si="466"/>
        <v>99822.936774650108</v>
      </c>
      <c r="AX745" s="163">
        <f t="shared" si="467"/>
        <v>0</v>
      </c>
      <c r="AY745" s="164">
        <f t="shared" si="488"/>
        <v>99822.621584548222</v>
      </c>
      <c r="AZ745" s="164">
        <f>IF($E745="","",IF(OR(AND($D745=Input!$C$6,$C745=12),$AN745=1),0,-AS746+AT746+AU746-AV746-AW746-AX746+AZ746))</f>
        <v>99822.936774650108</v>
      </c>
      <c r="BA745" s="154">
        <f t="shared" si="468"/>
        <v>0.31519010188640095</v>
      </c>
      <c r="BC745" s="147">
        <f t="shared" si="489"/>
        <v>3.7454504194229793E-12</v>
      </c>
      <c r="BD745" s="164">
        <f>IF(AND($C744=12,$D744=Input!$C$6),0,IF($E745="","",AT745+(AU745+BD746)/(1+$AK745)*MIN((1-AM745-AN745),1)))</f>
        <v>0</v>
      </c>
      <c r="BE745" s="164">
        <f t="shared" si="469"/>
        <v>0</v>
      </c>
      <c r="BF745" s="164">
        <f t="shared" si="490"/>
        <v>99822.936774650108</v>
      </c>
      <c r="BG745" s="164">
        <f t="shared" si="470"/>
        <v>3.7388186041064679E-7</v>
      </c>
      <c r="BH745" s="152"/>
      <c r="BI745" s="162">
        <f t="shared" si="471"/>
        <v>14982.239930653837</v>
      </c>
      <c r="BJ745" s="150">
        <f t="shared" si="472"/>
        <v>0</v>
      </c>
      <c r="BK745" s="163">
        <f t="shared" si="494"/>
        <v>0</v>
      </c>
      <c r="BL745" s="163">
        <f t="shared" si="473"/>
        <v>10520.505045949769</v>
      </c>
      <c r="BM745" s="163">
        <f t="shared" si="495"/>
        <v>38.050005205908256</v>
      </c>
      <c r="BN745" s="163">
        <f t="shared" si="474"/>
        <v>529.06459392518832</v>
      </c>
      <c r="BO745" s="163">
        <f t="shared" si="475"/>
        <v>0</v>
      </c>
      <c r="BP745" s="164">
        <f t="shared" si="496"/>
        <v>5028.8494838351644</v>
      </c>
      <c r="BQ745" s="164">
        <f>IF($E745="","",IF(AND($D745=Input!$C$6,$C745=12),0,-BJ746+BK746+BL746-BM746-BN746-BO746+BQ746))</f>
        <v>5028.889693169911</v>
      </c>
      <c r="BR745" s="161">
        <f t="shared" si="476"/>
        <v>0</v>
      </c>
      <c r="BT745" s="147">
        <f t="shared" si="477"/>
        <v>3.7454504194229793E-12</v>
      </c>
      <c r="BU745" s="164">
        <f>IF(AND($C744=12,$D744=Input!$C$6),0,IF($E745="","",BK745+(BL745+BU746)/(1+$AK745)*MIN((1-T745-U745),1)))</f>
        <v>77849.773144402992</v>
      </c>
      <c r="BV745" s="164">
        <f t="shared" si="478"/>
        <v>2.91582465475688E-7</v>
      </c>
      <c r="BW745" s="164">
        <f t="shared" si="479"/>
        <v>5028.889693169911</v>
      </c>
      <c r="BX745" s="164">
        <f t="shared" si="480"/>
        <v>1.8835457010515139E-8</v>
      </c>
    </row>
    <row r="746" spans="1:76" s="150" customFormat="1" x14ac:dyDescent="0.25">
      <c r="A746" s="150">
        <f t="shared" si="491"/>
        <v>742</v>
      </c>
      <c r="B746" s="150">
        <f t="shared" si="492"/>
        <v>62</v>
      </c>
      <c r="C746" s="150">
        <f t="shared" si="493"/>
        <v>10</v>
      </c>
      <c r="D746" s="150">
        <f>IF(E746="","",Input!$C$4+B746-1)</f>
        <v>106</v>
      </c>
      <c r="E746" s="150">
        <f>IF(OR(AND(C745=12,D745=Input!$C$6),E745=""),"",1)</f>
        <v>1</v>
      </c>
      <c r="F746" s="150">
        <f>IF(E746="","",Input!$C$8+B746-1)</f>
        <v>2079</v>
      </c>
      <c r="G746" s="151">
        <f>IF(E746="","",MAX(0,Input!$C$9-B746))</f>
        <v>0</v>
      </c>
      <c r="H746" s="152">
        <f>IF(E746="","",Input!$C$3)</f>
        <v>100000</v>
      </c>
      <c r="I746" s="153">
        <f>IF(E746="","",HLOOKUP($B746,Input!$C$13:$BT$14,2))</f>
        <v>1000</v>
      </c>
      <c r="J746" s="154"/>
      <c r="K746" s="155">
        <f>IF($E746="","",INDEX(Input!$C$16:$CP$16,1,$B746))</f>
        <v>3.2989999999999998E-2</v>
      </c>
      <c r="L746" s="155">
        <f>IF($E746="","",Input!$C$37)</f>
        <v>1.4999999999999999E-2</v>
      </c>
      <c r="M746" s="155">
        <f t="shared" si="456"/>
        <v>4.7989999999999998E-2</v>
      </c>
      <c r="N746" s="155">
        <f t="shared" si="457"/>
        <v>3.9138093488841896E-3</v>
      </c>
      <c r="O746" s="147">
        <f>IF($E746="","",MIN(VLOOKUP(IF($B746&lt;=Input!$C$7,$B746,26),'Mortality Tables'!$A$41:$CW$67,IF($B746&lt;=Input!$C$7+1,Input!$C$4+2,$D746-Input!$C$7+2),0)*IF(B746&gt;20,Input!$C$22,1)/1000,1))</f>
        <v>1</v>
      </c>
      <c r="P746" s="147">
        <f>IF($E746="","",MIN(VLOOKUP(IF($B746&lt;=Input!$C$7,$B746,26),'Mortality Tables'!$A$12:$CW$37,IF($B746&lt;=Input!$C$7+1,Input!$C$4+2,$D746-Input!$C$7+2),0)*IF(B746&gt;20,Input!$C$22,1)/1000,1))</f>
        <v>1</v>
      </c>
      <c r="Q746" s="155">
        <f>IF($E746="","",Input!$C$21)</f>
        <v>5.0000000000000001E-3</v>
      </c>
      <c r="R746" s="159">
        <f>IF($E746="","",(1-Q746)^($F746-Input!$C$20))</f>
        <v>0.73655965290822167</v>
      </c>
      <c r="S746" s="147">
        <f t="shared" si="459"/>
        <v>0.73655965290822167</v>
      </c>
      <c r="T746" s="147">
        <f t="shared" si="460"/>
        <v>0.10520505045949768</v>
      </c>
      <c r="U746" s="160">
        <f>IF($E746="","",IF($C746=12,INDEX(Input!$C$15:$CP$15,1,$B746),0))</f>
        <v>0</v>
      </c>
      <c r="V746" s="150">
        <f>IF(E746="","",IF(C746=1,IF($B746=1,Input!$C$33,Input!$C$34),0))</f>
        <v>0</v>
      </c>
      <c r="W746" s="156">
        <f>IF($E746="","",Input!$C$35)</f>
        <v>0.02</v>
      </c>
      <c r="X746" s="156">
        <f t="shared" si="458"/>
        <v>3.3466514041327216</v>
      </c>
      <c r="Y746" s="154"/>
      <c r="Z746" s="147">
        <f>IF($E746="","",VLOOKUP($D746,'Mortality Margins &amp; Grading'!$AB$5:$AF$125,3,0)*IF(Summary!$D$25="Included Margin",IF(AND($B746&gt;Input!$C$9,Summary!$D$31&lt;&gt;"Included Margin"),0,1),0))</f>
        <v>0.01</v>
      </c>
      <c r="AA746" s="147">
        <f>IF($E746="","",VLOOKUP($D746,'Mortality Margins &amp; Grading'!$AB$5:$AF$125,5,0)*IF(Summary!$D$25="Included Margin",IF(AND($B746&gt;Input!$C$9,Summary!$D$31&lt;&gt;"Included Margin"),0,1),0))</f>
        <v>5.2999999999999999E-2</v>
      </c>
      <c r="AB746" s="147">
        <f>IF($E746="","",IF(AND($B746&gt;Input!$C$9,Summary!$D$31&lt;&gt;"Included Margin"),1,IF(Summary!$D$25="Included Margin",VLOOKUP($B746,'Mortality Margins &amp; Grading'!$AI$5:$AR$125,MATCH('Mortality Margins &amp; Grading'!$AQ$4,'Mortality Margins &amp; Grading'!$AI$4:$AR$4,0),0),1)))</f>
        <v>0</v>
      </c>
      <c r="AC746" s="154"/>
      <c r="AD746" s="158">
        <f>IF(E746="","",Input!$C$48*IF(Summary!$D$30="Included Margin",IF(AND($B746&gt;Input!$C$9,Summary!$D$31&lt;&gt;"Included Margin"),0,1),0))</f>
        <v>-4.4999999999999997E-3</v>
      </c>
      <c r="AE746" s="159">
        <f>IF(E746="","",IF(Summary!$D$26="Included Margin",IF(AND($B746&gt;Input!$C$9,Summary!$D$31&lt;&gt;"Included Margin"),1,1/$R746),1))</f>
        <v>1.3576632877617096</v>
      </c>
      <c r="AF746" s="160">
        <f>IF(E746="","",IF(AND($B746&gt;=Input!$C$9,$C746=12,Summary!$D$31="Included Margin",$U746&gt;0),1/U746-1,IF($B746&gt;=Input!$C$9,0,Input!$C$45*IF(Summary!$D$27="Included Margin",1,0))))</f>
        <v>0</v>
      </c>
      <c r="AG746" s="160">
        <f>IF(E746="","",Input!$C$46*IF(Summary!$D$28="Included Margin",IF(AND($B746&gt;Input!$C$9,Summary!$D$31&lt;&gt;"Included Margin"),0,1),0))</f>
        <v>0.02</v>
      </c>
      <c r="AH746" s="158">
        <f>IF(E746="","",Input!$C$47*IF(Summary!$D$29="Included Margin",IF(AND($B746&gt;Input!$C$9,Summary!$D$31&lt;&gt;"Included Margin"),0,1),0))</f>
        <v>2.5000000000000001E-3</v>
      </c>
      <c r="AI746" s="154"/>
      <c r="AJ746" s="158">
        <f t="shared" si="481"/>
        <v>4.3490000000000001E-2</v>
      </c>
      <c r="AK746" s="155">
        <f t="shared" si="482"/>
        <v>3.5538721110734972E-3</v>
      </c>
      <c r="AL746" s="147">
        <f t="shared" si="483"/>
        <v>1</v>
      </c>
      <c r="AM746" s="147">
        <f t="shared" si="461"/>
        <v>1</v>
      </c>
      <c r="AN746" s="160">
        <f t="shared" si="484"/>
        <v>0</v>
      </c>
      <c r="AO746" s="161">
        <f t="shared" si="485"/>
        <v>0</v>
      </c>
      <c r="AP746" s="156">
        <f t="shared" si="462"/>
        <v>3.8856378186301708</v>
      </c>
      <c r="AQ746" s="152"/>
      <c r="AR746" s="162">
        <f t="shared" si="463"/>
        <v>99822.621584548222</v>
      </c>
      <c r="AS746" s="150">
        <f t="shared" si="486"/>
        <v>0</v>
      </c>
      <c r="AT746" s="163">
        <f t="shared" si="464"/>
        <v>0</v>
      </c>
      <c r="AU746" s="163">
        <f t="shared" si="465"/>
        <v>100000</v>
      </c>
      <c r="AV746" s="163">
        <f t="shared" si="487"/>
        <v>177.06322534989437</v>
      </c>
      <c r="AW746" s="163">
        <f t="shared" si="466"/>
        <v>99822.936774650108</v>
      </c>
      <c r="AX746" s="163">
        <f t="shared" si="467"/>
        <v>0</v>
      </c>
      <c r="AY746" s="165">
        <f t="shared" si="488"/>
        <v>99822.621584548222</v>
      </c>
      <c r="AZ746" s="164">
        <f>IF($E746="","",IF(OR(AND($D746=Input!$C$6,$C746=12),$AN746=1),0,-AS747+AT747+AU747-AV747-AW747-AX747+AZ747))</f>
        <v>99822.936774650108</v>
      </c>
      <c r="BA746" s="154">
        <f t="shared" si="468"/>
        <v>0.31519010188640095</v>
      </c>
      <c r="BC746" s="147">
        <f t="shared" si="489"/>
        <v>3.3514101190540382E-12</v>
      </c>
      <c r="BD746" s="164">
        <f>IF(AND($C745=12,$D745=Input!$C$6),0,IF($E746="","",AT746+(AU746+BD747)/(1+$AK746)*MIN((1-AM746-AN746),1)))</f>
        <v>0</v>
      </c>
      <c r="BE746" s="164">
        <f t="shared" si="469"/>
        <v>0</v>
      </c>
      <c r="BF746" s="164">
        <f t="shared" si="490"/>
        <v>99822.936774650108</v>
      </c>
      <c r="BG746" s="164">
        <f t="shared" si="470"/>
        <v>3.3454760042025383E-7</v>
      </c>
      <c r="BH746" s="152"/>
      <c r="BI746" s="162">
        <f t="shared" si="471"/>
        <v>5028.8494838351653</v>
      </c>
      <c r="BJ746" s="150">
        <f t="shared" si="472"/>
        <v>0</v>
      </c>
      <c r="BK746" s="163">
        <f t="shared" si="494"/>
        <v>0</v>
      </c>
      <c r="BL746" s="163">
        <f t="shared" si="473"/>
        <v>10520.505045949769</v>
      </c>
      <c r="BM746" s="163">
        <f t="shared" si="495"/>
        <v>-0.90566737794524665</v>
      </c>
      <c r="BN746" s="163">
        <f t="shared" si="474"/>
        <v>-645.7803001372414</v>
      </c>
      <c r="BO746" s="163">
        <f t="shared" si="475"/>
        <v>0</v>
      </c>
      <c r="BP746" s="164">
        <f t="shared" si="496"/>
        <v>-6138.3415296297899</v>
      </c>
      <c r="BQ746" s="164">
        <f>IF($E746="","",IF(AND($D746=Input!$C$6,$C746=12),0,-BJ747+BK747+BL747-BM747-BN747-BO747+BQ747))</f>
        <v>-6138.3013202950442</v>
      </c>
      <c r="BR746" s="161">
        <f t="shared" si="476"/>
        <v>0</v>
      </c>
      <c r="BT746" s="147">
        <f t="shared" si="477"/>
        <v>3.3514101190540382E-12</v>
      </c>
      <c r="BU746" s="164">
        <f>IF(AND($C745=12,$D745=Input!$C$6),0,IF($E746="","",BK746+(BL746+BU747)/(1+$AK746)*MIN((1-T746-U746),1)))</f>
        <v>76791.611905709375</v>
      </c>
      <c r="BV746" s="164">
        <f t="shared" si="478"/>
        <v>2.5736018519926493E-7</v>
      </c>
      <c r="BW746" s="164">
        <f t="shared" si="479"/>
        <v>-6138.3013202950442</v>
      </c>
      <c r="BX746" s="164">
        <f t="shared" si="480"/>
        <v>-2.0571965158639572E-8</v>
      </c>
    </row>
    <row r="747" spans="1:76" s="150" customFormat="1" x14ac:dyDescent="0.25">
      <c r="A747" s="150">
        <f t="shared" si="491"/>
        <v>743</v>
      </c>
      <c r="B747" s="150">
        <f t="shared" si="492"/>
        <v>62</v>
      </c>
      <c r="C747" s="150">
        <f t="shared" si="493"/>
        <v>11</v>
      </c>
      <c r="D747" s="150">
        <f>IF(E747="","",Input!$C$4+B747-1)</f>
        <v>106</v>
      </c>
      <c r="E747" s="150">
        <f>IF(OR(AND(C746=12,D746=Input!$C$6),E746=""),"",1)</f>
        <v>1</v>
      </c>
      <c r="F747" s="150">
        <f>IF(E747="","",Input!$C$8+B747-1)</f>
        <v>2079</v>
      </c>
      <c r="G747" s="151">
        <f>IF(E747="","",MAX(0,Input!$C$9-B747))</f>
        <v>0</v>
      </c>
      <c r="H747" s="152">
        <f>IF(E747="","",Input!$C$3)</f>
        <v>100000</v>
      </c>
      <c r="I747" s="153">
        <f>IF(E747="","",HLOOKUP($B747,Input!$C$13:$BT$14,2))</f>
        <v>1000</v>
      </c>
      <c r="J747" s="154"/>
      <c r="K747" s="155">
        <f>IF($E747="","",INDEX(Input!$C$16:$CP$16,1,$B747))</f>
        <v>3.2989999999999998E-2</v>
      </c>
      <c r="L747" s="155">
        <f>IF($E747="","",Input!$C$37)</f>
        <v>1.4999999999999999E-2</v>
      </c>
      <c r="M747" s="155">
        <f t="shared" si="456"/>
        <v>4.7989999999999998E-2</v>
      </c>
      <c r="N747" s="155">
        <f t="shared" si="457"/>
        <v>3.9138093488841896E-3</v>
      </c>
      <c r="O747" s="147">
        <f>IF($E747="","",MIN(VLOOKUP(IF($B747&lt;=Input!$C$7,$B747,26),'Mortality Tables'!$A$41:$CW$67,IF($B747&lt;=Input!$C$7+1,Input!$C$4+2,$D747-Input!$C$7+2),0)*IF(B747&gt;20,Input!$C$22,1)/1000,1))</f>
        <v>1</v>
      </c>
      <c r="P747" s="147">
        <f>IF($E747="","",MIN(VLOOKUP(IF($B747&lt;=Input!$C$7,$B747,26),'Mortality Tables'!$A$12:$CW$37,IF($B747&lt;=Input!$C$7+1,Input!$C$4+2,$D747-Input!$C$7+2),0)*IF(B747&gt;20,Input!$C$22,1)/1000,1))</f>
        <v>1</v>
      </c>
      <c r="Q747" s="155">
        <f>IF($E747="","",Input!$C$21)</f>
        <v>5.0000000000000001E-3</v>
      </c>
      <c r="R747" s="159">
        <f>IF($E747="","",(1-Q747)^($F747-Input!$C$20))</f>
        <v>0.73655965290822167</v>
      </c>
      <c r="S747" s="147">
        <f t="shared" si="459"/>
        <v>0.73655965290822167</v>
      </c>
      <c r="T747" s="147">
        <f t="shared" si="460"/>
        <v>0.10520505045949768</v>
      </c>
      <c r="U747" s="160">
        <f>IF($E747="","",IF($C747=12,INDEX(Input!$C$15:$CP$15,1,$B747),0))</f>
        <v>0</v>
      </c>
      <c r="V747" s="150">
        <f>IF(E747="","",IF(C747=1,IF($B747=1,Input!$C$33,Input!$C$34),0))</f>
        <v>0</v>
      </c>
      <c r="W747" s="156">
        <f>IF($E747="","",Input!$C$35)</f>
        <v>0.02</v>
      </c>
      <c r="X747" s="156">
        <f t="shared" si="458"/>
        <v>3.3466514041327216</v>
      </c>
      <c r="Y747" s="154"/>
      <c r="Z747" s="147">
        <f>IF($E747="","",VLOOKUP($D747,'Mortality Margins &amp; Grading'!$AB$5:$AF$125,3,0)*IF(Summary!$D$25="Included Margin",IF(AND($B747&gt;Input!$C$9,Summary!$D$31&lt;&gt;"Included Margin"),0,1),0))</f>
        <v>0.01</v>
      </c>
      <c r="AA747" s="147">
        <f>IF($E747="","",VLOOKUP($D747,'Mortality Margins &amp; Grading'!$AB$5:$AF$125,5,0)*IF(Summary!$D$25="Included Margin",IF(AND($B747&gt;Input!$C$9,Summary!$D$31&lt;&gt;"Included Margin"),0,1),0))</f>
        <v>5.2999999999999999E-2</v>
      </c>
      <c r="AB747" s="147">
        <f>IF($E747="","",IF(AND($B747&gt;Input!$C$9,Summary!$D$31&lt;&gt;"Included Margin"),1,IF(Summary!$D$25="Included Margin",VLOOKUP($B747,'Mortality Margins &amp; Grading'!$AI$5:$AR$125,MATCH('Mortality Margins &amp; Grading'!$AQ$4,'Mortality Margins &amp; Grading'!$AI$4:$AR$4,0),0),1)))</f>
        <v>0</v>
      </c>
      <c r="AC747" s="154"/>
      <c r="AD747" s="158">
        <f>IF(E747="","",Input!$C$48*IF(Summary!$D$30="Included Margin",IF(AND($B747&gt;Input!$C$9,Summary!$D$31&lt;&gt;"Included Margin"),0,1),0))</f>
        <v>-4.4999999999999997E-3</v>
      </c>
      <c r="AE747" s="159">
        <f>IF(E747="","",IF(Summary!$D$26="Included Margin",IF(AND($B747&gt;Input!$C$9,Summary!$D$31&lt;&gt;"Included Margin"),1,1/$R747),1))</f>
        <v>1.3576632877617096</v>
      </c>
      <c r="AF747" s="160">
        <f>IF(E747="","",IF(AND($B747&gt;=Input!$C$9,$C747=12,Summary!$D$31="Included Margin",$U747&gt;0),1/U747-1,IF($B747&gt;=Input!$C$9,0,Input!$C$45*IF(Summary!$D$27="Included Margin",1,0))))</f>
        <v>0</v>
      </c>
      <c r="AG747" s="160">
        <f>IF(E747="","",Input!$C$46*IF(Summary!$D$28="Included Margin",IF(AND($B747&gt;Input!$C$9,Summary!$D$31&lt;&gt;"Included Margin"),0,1),0))</f>
        <v>0.02</v>
      </c>
      <c r="AH747" s="158">
        <f>IF(E747="","",Input!$C$47*IF(Summary!$D$29="Included Margin",IF(AND($B747&gt;Input!$C$9,Summary!$D$31&lt;&gt;"Included Margin"),0,1),0))</f>
        <v>2.5000000000000001E-3</v>
      </c>
      <c r="AI747" s="154"/>
      <c r="AJ747" s="158">
        <f t="shared" si="481"/>
        <v>4.3490000000000001E-2</v>
      </c>
      <c r="AK747" s="155">
        <f t="shared" si="482"/>
        <v>3.5538721110734972E-3</v>
      </c>
      <c r="AL747" s="147">
        <f t="shared" si="483"/>
        <v>1</v>
      </c>
      <c r="AM747" s="147">
        <f t="shared" si="461"/>
        <v>1</v>
      </c>
      <c r="AN747" s="160">
        <f t="shared" si="484"/>
        <v>0</v>
      </c>
      <c r="AO747" s="161">
        <f t="shared" si="485"/>
        <v>0</v>
      </c>
      <c r="AP747" s="156">
        <f t="shared" si="462"/>
        <v>3.8856378186301708</v>
      </c>
      <c r="AQ747" s="152"/>
      <c r="AR747" s="162">
        <f t="shared" si="463"/>
        <v>99822.621584548222</v>
      </c>
      <c r="AS747" s="150">
        <f t="shared" si="486"/>
        <v>0</v>
      </c>
      <c r="AT747" s="163">
        <f t="shared" si="464"/>
        <v>0</v>
      </c>
      <c r="AU747" s="163">
        <f t="shared" si="465"/>
        <v>100000</v>
      </c>
      <c r="AV747" s="163">
        <f t="shared" si="487"/>
        <v>177.06322534989437</v>
      </c>
      <c r="AW747" s="163">
        <f t="shared" si="466"/>
        <v>99822.936774650108</v>
      </c>
      <c r="AX747" s="163">
        <f t="shared" si="467"/>
        <v>0</v>
      </c>
      <c r="AY747" s="164">
        <f t="shared" si="488"/>
        <v>99822.621584548222</v>
      </c>
      <c r="AZ747" s="164">
        <f>IF($E747="","",IF(OR(AND($D747=Input!$C$6,$C747=12),$AN747=1),0,-AS748+AT748+AU748-AV748-AW748-AX748+AZ748))</f>
        <v>99822.936774650108</v>
      </c>
      <c r="BA747" s="154">
        <f t="shared" si="468"/>
        <v>0.31519010188640095</v>
      </c>
      <c r="BC747" s="147">
        <f t="shared" si="489"/>
        <v>2.9988248483684871E-12</v>
      </c>
      <c r="BD747" s="164">
        <f>IF(AND($C746=12,$D746=Input!$C$6),0,IF($E747="","",AT747+(AU747+BD748)/(1+$AK747)*MIN((1-AM747-AN747),1)))</f>
        <v>0</v>
      </c>
      <c r="BE747" s="164">
        <f t="shared" si="469"/>
        <v>0</v>
      </c>
      <c r="BF747" s="164">
        <f t="shared" si="490"/>
        <v>99822.936774650108</v>
      </c>
      <c r="BG747" s="164">
        <f t="shared" si="470"/>
        <v>2.9935150323693718E-7</v>
      </c>
      <c r="BH747" s="152"/>
      <c r="BI747" s="162">
        <f t="shared" si="471"/>
        <v>-6138.3415296297899</v>
      </c>
      <c r="BJ747" s="150">
        <f t="shared" si="472"/>
        <v>0</v>
      </c>
      <c r="BK747" s="163">
        <f t="shared" si="494"/>
        <v>0</v>
      </c>
      <c r="BL747" s="163">
        <f t="shared" si="473"/>
        <v>10520.505045949769</v>
      </c>
      <c r="BM747" s="163">
        <f t="shared" si="495"/>
        <v>-44.611923967219894</v>
      </c>
      <c r="BN747" s="163">
        <f t="shared" si="474"/>
        <v>-1963.8957114926266</v>
      </c>
      <c r="BO747" s="163">
        <f t="shared" si="475"/>
        <v>0</v>
      </c>
      <c r="BP747" s="164">
        <f t="shared" si="496"/>
        <v>-18667.354211039405</v>
      </c>
      <c r="BQ747" s="164">
        <f>IF($E747="","",IF(AND($D747=Input!$C$6,$C747=12),0,-BJ748+BK748+BL748-BM748-BN748-BO748+BQ748))</f>
        <v>-18667.314001704661</v>
      </c>
      <c r="BR747" s="161">
        <f t="shared" si="476"/>
        <v>0</v>
      </c>
      <c r="BT747" s="147">
        <f t="shared" si="477"/>
        <v>2.9988248483684871E-12</v>
      </c>
      <c r="BU747" s="164">
        <f>IF(AND($C746=12,$D746=Input!$C$6),0,IF($E747="","",BK747+(BL747+BU748)/(1+$AK747)*MIN((1-T747-U747),1)))</f>
        <v>75604.835193397623</v>
      </c>
      <c r="BV747" s="164">
        <f t="shared" si="478"/>
        <v>2.2672565843476509E-7</v>
      </c>
      <c r="BW747" s="164">
        <f t="shared" si="479"/>
        <v>-18667.314001704661</v>
      </c>
      <c r="BX747" s="164">
        <f t="shared" si="480"/>
        <v>-5.5980005080608917E-8</v>
      </c>
    </row>
    <row r="748" spans="1:76" s="150" customFormat="1" x14ac:dyDescent="0.25">
      <c r="A748" s="150">
        <f t="shared" si="491"/>
        <v>744</v>
      </c>
      <c r="B748" s="150">
        <f t="shared" si="492"/>
        <v>62</v>
      </c>
      <c r="C748" s="150">
        <f t="shared" si="493"/>
        <v>12</v>
      </c>
      <c r="D748" s="150">
        <f>IF(E748="","",Input!$C$4+B748-1)</f>
        <v>106</v>
      </c>
      <c r="E748" s="150">
        <f>IF(OR(AND(C747=12,D747=Input!$C$6),E747=""),"",1)</f>
        <v>1</v>
      </c>
      <c r="F748" s="150">
        <f>IF(E748="","",Input!$C$8+B748-1)</f>
        <v>2079</v>
      </c>
      <c r="G748" s="151">
        <f>IF(E748="","",MAX(0,Input!$C$9-B748))</f>
        <v>0</v>
      </c>
      <c r="H748" s="152">
        <f>IF(E748="","",Input!$C$3)</f>
        <v>100000</v>
      </c>
      <c r="I748" s="153">
        <f>IF(E748="","",HLOOKUP($B748,Input!$C$13:$BT$14,2))</f>
        <v>1000</v>
      </c>
      <c r="J748" s="154"/>
      <c r="K748" s="155">
        <f>IF($E748="","",INDEX(Input!$C$16:$CP$16,1,$B748))</f>
        <v>3.2989999999999998E-2</v>
      </c>
      <c r="L748" s="155">
        <f>IF($E748="","",Input!$C$37)</f>
        <v>1.4999999999999999E-2</v>
      </c>
      <c r="M748" s="155">
        <f t="shared" si="456"/>
        <v>4.7989999999999998E-2</v>
      </c>
      <c r="N748" s="155">
        <f t="shared" si="457"/>
        <v>3.9138093488841896E-3</v>
      </c>
      <c r="O748" s="147">
        <f>IF($E748="","",MIN(VLOOKUP(IF($B748&lt;=Input!$C$7,$B748,26),'Mortality Tables'!$A$41:$CW$67,IF($B748&lt;=Input!$C$7+1,Input!$C$4+2,$D748-Input!$C$7+2),0)*IF(B748&gt;20,Input!$C$22,1)/1000,1))</f>
        <v>1</v>
      </c>
      <c r="P748" s="147">
        <f>IF($E748="","",MIN(VLOOKUP(IF($B748&lt;=Input!$C$7,$B748,26),'Mortality Tables'!$A$12:$CW$37,IF($B748&lt;=Input!$C$7+1,Input!$C$4+2,$D748-Input!$C$7+2),0)*IF(B748&gt;20,Input!$C$22,1)/1000,1))</f>
        <v>1</v>
      </c>
      <c r="Q748" s="155">
        <f>IF($E748="","",Input!$C$21)</f>
        <v>5.0000000000000001E-3</v>
      </c>
      <c r="R748" s="159">
        <f>IF($E748="","",(1-Q748)^($F748-Input!$C$20))</f>
        <v>0.73655965290822167</v>
      </c>
      <c r="S748" s="147">
        <f t="shared" si="459"/>
        <v>0.73655965290822167</v>
      </c>
      <c r="T748" s="147">
        <f t="shared" si="460"/>
        <v>0.10520505045949768</v>
      </c>
      <c r="U748" s="160">
        <f>IF($E748="","",IF($C748=12,INDEX(Input!$C$15:$CP$15,1,$B748),0))</f>
        <v>0.1</v>
      </c>
      <c r="V748" s="150">
        <f>IF(E748="","",IF(C748=1,IF($B748=1,Input!$C$33,Input!$C$34),0))</f>
        <v>0</v>
      </c>
      <c r="W748" s="156">
        <f>IF($E748="","",Input!$C$35)</f>
        <v>0.02</v>
      </c>
      <c r="X748" s="156">
        <f t="shared" si="458"/>
        <v>3.3466514041327216</v>
      </c>
      <c r="Y748" s="154"/>
      <c r="Z748" s="147">
        <f>IF($E748="","",VLOOKUP($D748,'Mortality Margins &amp; Grading'!$AB$5:$AF$125,3,0)*IF(Summary!$D$25="Included Margin",IF(AND($B748&gt;Input!$C$9,Summary!$D$31&lt;&gt;"Included Margin"),0,1),0))</f>
        <v>0.01</v>
      </c>
      <c r="AA748" s="147">
        <f>IF($E748="","",VLOOKUP($D748,'Mortality Margins &amp; Grading'!$AB$5:$AF$125,5,0)*IF(Summary!$D$25="Included Margin",IF(AND($B748&gt;Input!$C$9,Summary!$D$31&lt;&gt;"Included Margin"),0,1),0))</f>
        <v>5.2999999999999999E-2</v>
      </c>
      <c r="AB748" s="147">
        <f>IF($E748="","",IF(AND($B748&gt;Input!$C$9,Summary!$D$31&lt;&gt;"Included Margin"),1,IF(Summary!$D$25="Included Margin",VLOOKUP($B748,'Mortality Margins &amp; Grading'!$AI$5:$AR$125,MATCH('Mortality Margins &amp; Grading'!$AQ$4,'Mortality Margins &amp; Grading'!$AI$4:$AR$4,0),0),1)))</f>
        <v>0</v>
      </c>
      <c r="AC748" s="154"/>
      <c r="AD748" s="158">
        <f>IF(E748="","",Input!$C$48*IF(Summary!$D$30="Included Margin",IF(AND($B748&gt;Input!$C$9,Summary!$D$31&lt;&gt;"Included Margin"),0,1),0))</f>
        <v>-4.4999999999999997E-3</v>
      </c>
      <c r="AE748" s="159">
        <f>IF(E748="","",IF(Summary!$D$26="Included Margin",IF(AND($B748&gt;Input!$C$9,Summary!$D$31&lt;&gt;"Included Margin"),1,1/$R748),1))</f>
        <v>1.3576632877617096</v>
      </c>
      <c r="AF748" s="160">
        <f>IF(E748="","",IF(AND($B748&gt;=Input!$C$9,$C748=12,Summary!$D$31="Included Margin",$U748&gt;0),1/U748-1,IF($B748&gt;=Input!$C$9,0,Input!$C$45*IF(Summary!$D$27="Included Margin",1,0))))</f>
        <v>9</v>
      </c>
      <c r="AG748" s="160">
        <f>IF(E748="","",Input!$C$46*IF(Summary!$D$28="Included Margin",IF(AND($B748&gt;Input!$C$9,Summary!$D$31&lt;&gt;"Included Margin"),0,1),0))</f>
        <v>0.02</v>
      </c>
      <c r="AH748" s="158">
        <f>IF(E748="","",Input!$C$47*IF(Summary!$D$29="Included Margin",IF(AND($B748&gt;Input!$C$9,Summary!$D$31&lt;&gt;"Included Margin"),0,1),0))</f>
        <v>2.5000000000000001E-3</v>
      </c>
      <c r="AI748" s="154"/>
      <c r="AJ748" s="158">
        <f t="shared" si="481"/>
        <v>4.3490000000000001E-2</v>
      </c>
      <c r="AK748" s="155">
        <f t="shared" si="482"/>
        <v>3.5538721110734972E-3</v>
      </c>
      <c r="AL748" s="147">
        <f t="shared" si="483"/>
        <v>1</v>
      </c>
      <c r="AM748" s="147">
        <f t="shared" si="461"/>
        <v>1</v>
      </c>
      <c r="AN748" s="160">
        <f t="shared" si="484"/>
        <v>1</v>
      </c>
      <c r="AO748" s="161">
        <f t="shared" si="485"/>
        <v>0</v>
      </c>
      <c r="AP748" s="156">
        <f t="shared" si="462"/>
        <v>3.8856378186301708</v>
      </c>
      <c r="AQ748" s="152"/>
      <c r="AR748" s="162">
        <f t="shared" si="463"/>
        <v>99822.621584548222</v>
      </c>
      <c r="AS748" s="150">
        <f t="shared" si="486"/>
        <v>0</v>
      </c>
      <c r="AT748" s="163">
        <f t="shared" si="464"/>
        <v>0</v>
      </c>
      <c r="AU748" s="163">
        <f t="shared" si="465"/>
        <v>100000</v>
      </c>
      <c r="AV748" s="163">
        <f t="shared" si="487"/>
        <v>177.06322534989437</v>
      </c>
      <c r="AW748" s="163">
        <f t="shared" si="466"/>
        <v>0</v>
      </c>
      <c r="AX748" s="163">
        <f t="shared" si="467"/>
        <v>0</v>
      </c>
      <c r="AY748" s="165">
        <f t="shared" si="488"/>
        <v>-0.31519010188361563</v>
      </c>
      <c r="AZ748" s="164">
        <f>IF($E748="","",IF(OR(AND($D748=Input!$C$6,$C748=12),$AN748=1),0,-AS749+AT749+AU749-AV749-AW749-AX749+AZ749))</f>
        <v>0</v>
      </c>
      <c r="BA748" s="154">
        <f t="shared" si="468"/>
        <v>0.31519010188361563</v>
      </c>
      <c r="BC748" s="147">
        <f t="shared" si="489"/>
        <v>2.3834508440398361E-12</v>
      </c>
      <c r="BD748" s="164">
        <f>IF(AND($C747=12,$D747=Input!$C$6),0,IF($E748="","",AT748+(AU748+BD749)/(1+$AK748)*MIN((1-AM748-AN748),1)))</f>
        <v>-99847.780057248965</v>
      </c>
      <c r="BE748" s="164">
        <f t="shared" si="469"/>
        <v>-2.3798227565295397E-7</v>
      </c>
      <c r="BF748" s="164">
        <f t="shared" si="490"/>
        <v>0</v>
      </c>
      <c r="BG748" s="164">
        <f t="shared" si="470"/>
        <v>0</v>
      </c>
      <c r="BH748" s="152"/>
      <c r="BI748" s="162">
        <f t="shared" si="471"/>
        <v>-18667.354211039405</v>
      </c>
      <c r="BJ748" s="150">
        <f t="shared" si="472"/>
        <v>0</v>
      </c>
      <c r="BK748" s="163">
        <f t="shared" si="494"/>
        <v>0</v>
      </c>
      <c r="BL748" s="163">
        <f t="shared" si="473"/>
        <v>10520.505045949769</v>
      </c>
      <c r="BM748" s="163">
        <f t="shared" si="495"/>
        <v>-93.648090932009424</v>
      </c>
      <c r="BN748" s="163">
        <f t="shared" si="474"/>
        <v>-3825.2813978654449</v>
      </c>
      <c r="BO748" s="163">
        <f t="shared" si="475"/>
        <v>-3253.4963487318264</v>
      </c>
      <c r="BP748" s="164">
        <f t="shared" si="496"/>
        <v>-36360.285094518455</v>
      </c>
      <c r="BQ748" s="164">
        <f>IF($E748="","",IF(AND($D748=Input!$C$6,$C748=12),0,-BJ749+BK749+BL749-BM749-BN749-BO749+BQ749))</f>
        <v>-36360.244885183711</v>
      </c>
      <c r="BR748" s="161">
        <f t="shared" si="476"/>
        <v>0</v>
      </c>
      <c r="BT748" s="147">
        <f t="shared" si="477"/>
        <v>2.3834508440398361E-12</v>
      </c>
      <c r="BU748" s="164">
        <f>IF(AND($C747=12,$D747=Input!$C$6),0,IF($E748="","",BK748+(BL748+BU749)/(1+$AK748)*MIN((1-T748-U748),1)))</f>
        <v>74273.810285866231</v>
      </c>
      <c r="BV748" s="164">
        <f t="shared" si="478"/>
        <v>1.7702797581590253E-7</v>
      </c>
      <c r="BW748" s="164">
        <f t="shared" si="479"/>
        <v>-36360.244885183711</v>
      </c>
      <c r="BX748" s="164">
        <f t="shared" si="480"/>
        <v>-8.6662856361086248E-8</v>
      </c>
    </row>
    <row r="749" spans="1:76" s="150" customFormat="1" x14ac:dyDescent="0.25">
      <c r="A749" s="150">
        <f t="shared" si="491"/>
        <v>745</v>
      </c>
      <c r="B749" s="150">
        <f t="shared" si="492"/>
        <v>63</v>
      </c>
      <c r="C749" s="150">
        <f t="shared" si="493"/>
        <v>1</v>
      </c>
      <c r="D749" s="150">
        <f>IF(E749="","",Input!$C$4+B749-1)</f>
        <v>107</v>
      </c>
      <c r="E749" s="150">
        <f>IF(OR(AND(C748=12,D748=Input!$C$6),E748=""),"",1)</f>
        <v>1</v>
      </c>
      <c r="F749" s="150">
        <f>IF(E749="","",Input!$C$8+B749-1)</f>
        <v>2080</v>
      </c>
      <c r="G749" s="151">
        <f>IF(E749="","",MAX(0,Input!$C$9-B749))</f>
        <v>0</v>
      </c>
      <c r="H749" s="152">
        <f>IF(E749="","",Input!$C$3)</f>
        <v>100000</v>
      </c>
      <c r="I749" s="153">
        <f>IF(E749="","",HLOOKUP($B749,Input!$C$13:$BT$14,2))</f>
        <v>1000</v>
      </c>
      <c r="J749" s="154"/>
      <c r="K749" s="155">
        <f>IF($E749="","",INDEX(Input!$C$16:$CP$16,1,$B749))</f>
        <v>3.3020000000000001E-2</v>
      </c>
      <c r="L749" s="155">
        <f>IF($E749="","",Input!$C$37)</f>
        <v>1.4999999999999999E-2</v>
      </c>
      <c r="M749" s="155">
        <f t="shared" si="456"/>
        <v>4.802E-2</v>
      </c>
      <c r="N749" s="155">
        <f t="shared" si="457"/>
        <v>3.9162041728755259E-3</v>
      </c>
      <c r="O749" s="147">
        <f>IF($E749="","",MIN(VLOOKUP(IF($B749&lt;=Input!$C$7,$B749,26),'Mortality Tables'!$A$41:$CW$67,IF($B749&lt;=Input!$C$7+1,Input!$C$4+2,$D749-Input!$C$7+2),0)*IF(B749&gt;20,Input!$C$22,1)/1000,1))</f>
        <v>1</v>
      </c>
      <c r="P749" s="147">
        <f>IF($E749="","",MIN(VLOOKUP(IF($B749&lt;=Input!$C$7,$B749,26),'Mortality Tables'!$A$12:$CW$37,IF($B749&lt;=Input!$C$7+1,Input!$C$4+2,$D749-Input!$C$7+2),0)*IF(B749&gt;20,Input!$C$22,1)/1000,1))</f>
        <v>1</v>
      </c>
      <c r="Q749" s="155">
        <f>IF($E749="","",Input!$C$21)</f>
        <v>5.0000000000000001E-3</v>
      </c>
      <c r="R749" s="159">
        <f>IF($E749="","",(1-Q749)^($F749-Input!$C$20))</f>
        <v>0.73287685464368046</v>
      </c>
      <c r="S749" s="147">
        <f t="shared" si="459"/>
        <v>0.73287685464368046</v>
      </c>
      <c r="T749" s="147">
        <f t="shared" si="460"/>
        <v>0.10416926202462273</v>
      </c>
      <c r="U749" s="160">
        <f>IF($E749="","",IF($C749=12,INDEX(Input!$C$15:$CP$15,1,$B749),0))</f>
        <v>0</v>
      </c>
      <c r="V749" s="150">
        <f>IF(E749="","",IF(C749=1,IF($B749=1,Input!$C$33,Input!$C$34),0))</f>
        <v>50</v>
      </c>
      <c r="W749" s="156">
        <f>IF($E749="","",Input!$C$35)</f>
        <v>0.02</v>
      </c>
      <c r="X749" s="156">
        <f t="shared" si="458"/>
        <v>3.4135844322153761</v>
      </c>
      <c r="Y749" s="154"/>
      <c r="Z749" s="147">
        <f>IF($E749="","",VLOOKUP($D749,'Mortality Margins &amp; Grading'!$AB$5:$AF$125,3,0)*IF(Summary!$D$25="Included Margin",IF(AND($B749&gt;Input!$C$9,Summary!$D$31&lt;&gt;"Included Margin"),0,1),0))</f>
        <v>0.01</v>
      </c>
      <c r="AA749" s="147">
        <f>IF($E749="","",VLOOKUP($D749,'Mortality Margins &amp; Grading'!$AB$5:$AF$125,5,0)*IF(Summary!$D$25="Included Margin",IF(AND($B749&gt;Input!$C$9,Summary!$D$31&lt;&gt;"Included Margin"),0,1),0))</f>
        <v>5.2999999999999999E-2</v>
      </c>
      <c r="AB749" s="147">
        <f>IF($E749="","",IF(AND($B749&gt;Input!$C$9,Summary!$D$31&lt;&gt;"Included Margin"),1,IF(Summary!$D$25="Included Margin",VLOOKUP($B749,'Mortality Margins &amp; Grading'!$AI$5:$AR$125,MATCH('Mortality Margins &amp; Grading'!$AQ$4,'Mortality Margins &amp; Grading'!$AI$4:$AR$4,0),0),1)))</f>
        <v>0</v>
      </c>
      <c r="AC749" s="154"/>
      <c r="AD749" s="158">
        <f>IF(E749="","",Input!$C$48*IF(Summary!$D$30="Included Margin",IF(AND($B749&gt;Input!$C$9,Summary!$D$31&lt;&gt;"Included Margin"),0,1),0))</f>
        <v>-4.4999999999999997E-3</v>
      </c>
      <c r="AE749" s="159">
        <f>IF(E749="","",IF(Summary!$D$26="Included Margin",IF(AND($B749&gt;Input!$C$9,Summary!$D$31&lt;&gt;"Included Margin"),1,1/$R749),1))</f>
        <v>1.364485716343427</v>
      </c>
      <c r="AF749" s="160">
        <f>IF(E749="","",IF(AND($B749&gt;=Input!$C$9,$C749=12,Summary!$D$31="Included Margin",$U749&gt;0),1/U749-1,IF($B749&gt;=Input!$C$9,0,Input!$C$45*IF(Summary!$D$27="Included Margin",1,0))))</f>
        <v>0</v>
      </c>
      <c r="AG749" s="160">
        <f>IF(E749="","",Input!$C$46*IF(Summary!$D$28="Included Margin",IF(AND($B749&gt;Input!$C$9,Summary!$D$31&lt;&gt;"Included Margin"),0,1),0))</f>
        <v>0.02</v>
      </c>
      <c r="AH749" s="158">
        <f>IF(E749="","",Input!$C$47*IF(Summary!$D$29="Included Margin",IF(AND($B749&gt;Input!$C$9,Summary!$D$31&lt;&gt;"Included Margin"),0,1),0))</f>
        <v>2.5000000000000001E-3</v>
      </c>
      <c r="AI749" s="154"/>
      <c r="AJ749" s="158">
        <f t="shared" si="481"/>
        <v>4.3520000000000003E-2</v>
      </c>
      <c r="AK749" s="155">
        <f t="shared" si="482"/>
        <v>3.5562764001626501E-3</v>
      </c>
      <c r="AL749" s="147">
        <f t="shared" si="483"/>
        <v>1</v>
      </c>
      <c r="AM749" s="147">
        <f t="shared" si="461"/>
        <v>1</v>
      </c>
      <c r="AN749" s="160">
        <f t="shared" si="484"/>
        <v>0</v>
      </c>
      <c r="AO749" s="161">
        <f t="shared" si="485"/>
        <v>51</v>
      </c>
      <c r="AP749" s="156">
        <f t="shared" si="462"/>
        <v>3.9730646695493497</v>
      </c>
      <c r="AQ749" s="152"/>
      <c r="AR749" s="162">
        <f t="shared" si="463"/>
        <v>25.128094475261207</v>
      </c>
      <c r="AS749" s="150">
        <f t="shared" si="486"/>
        <v>100000</v>
      </c>
      <c r="AT749" s="163">
        <f t="shared" si="464"/>
        <v>202.62629814701683</v>
      </c>
      <c r="AU749" s="163">
        <f t="shared" si="465"/>
        <v>100000</v>
      </c>
      <c r="AV749" s="163">
        <f t="shared" si="487"/>
        <v>177.18258733534338</v>
      </c>
      <c r="AW749" s="163">
        <f t="shared" si="466"/>
        <v>99822.817412664663</v>
      </c>
      <c r="AX749" s="163">
        <f t="shared" si="467"/>
        <v>0</v>
      </c>
      <c r="AY749" s="164">
        <f t="shared" si="488"/>
        <v>99822.501796328244</v>
      </c>
      <c r="AZ749" s="164">
        <f>IF($E749="","",IF(OR(AND($D749=Input!$C$6,$C749=12),$AN749=1),0,-AS750+AT750+AU750-AV750-AW750-AX750+AZ750))</f>
        <v>99822.817412664663</v>
      </c>
      <c r="BA749" s="154">
        <f t="shared" si="468"/>
        <v>0.31561633641831577</v>
      </c>
      <c r="BC749" s="147">
        <f t="shared" si="489"/>
        <v>2.1351685285442424E-12</v>
      </c>
      <c r="BD749" s="164">
        <f>IF(AND($C748=12,$D748=Input!$C$6),0,IF($E749="","",AT749+(AU749+BD750)/(1+$AK749)*MIN((1-AM749-AN749),1)))</f>
        <v>202.62629814701683</v>
      </c>
      <c r="BE749" s="164">
        <f t="shared" si="469"/>
        <v>4.3264129485893287E-10</v>
      </c>
      <c r="BF749" s="164">
        <f t="shared" si="490"/>
        <v>99822.817412664663</v>
      </c>
      <c r="BG749" s="164">
        <f t="shared" si="470"/>
        <v>2.1313853817013978E-7</v>
      </c>
      <c r="BH749" s="152"/>
      <c r="BI749" s="162">
        <f t="shared" si="471"/>
        <v>-36360.284747330719</v>
      </c>
      <c r="BJ749" s="150">
        <f t="shared" si="472"/>
        <v>100000</v>
      </c>
      <c r="BK749" s="163">
        <f t="shared" si="494"/>
        <v>170.67922161076879</v>
      </c>
      <c r="BL749" s="163">
        <f t="shared" si="473"/>
        <v>10416.926202462273</v>
      </c>
      <c r="BM749" s="163">
        <f t="shared" si="495"/>
        <v>228.16029882190887</v>
      </c>
      <c r="BN749" s="163">
        <f t="shared" si="474"/>
        <v>6195.5571926453449</v>
      </c>
      <c r="BO749" s="163">
        <f t="shared" si="475"/>
        <v>0</v>
      </c>
      <c r="BP749" s="164">
        <f t="shared" si="496"/>
        <v>59475.827320063487</v>
      </c>
      <c r="BQ749" s="164">
        <f>IF($E749="","",IF(AND($D749=Input!$C$6,$C749=12),0,-BJ750+BK750+BL750-BM750-BN750-BO750+BQ750))</f>
        <v>59475.867182210495</v>
      </c>
      <c r="BR749" s="161">
        <f t="shared" si="476"/>
        <v>0</v>
      </c>
      <c r="BT749" s="147">
        <f t="shared" si="477"/>
        <v>2.1351685285442424E-12</v>
      </c>
      <c r="BU749" s="164">
        <f>IF(AND($C748=12,$D748=Input!$C$6),0,IF($E749="","",BK749+(BL749+BU750)/(1+$AK749)*MIN((1-T749-U749),1)))</f>
        <v>83261.884930127853</v>
      </c>
      <c r="BV749" s="164">
        <f t="shared" si="478"/>
        <v>1.7777815633008112E-7</v>
      </c>
      <c r="BW749" s="164">
        <f t="shared" si="479"/>
        <v>59475.867182210495</v>
      </c>
      <c r="BX749" s="164">
        <f t="shared" si="480"/>
        <v>1.2699099981533319E-7</v>
      </c>
    </row>
    <row r="750" spans="1:76" s="150" customFormat="1" x14ac:dyDescent="0.25">
      <c r="A750" s="150">
        <f t="shared" si="491"/>
        <v>746</v>
      </c>
      <c r="B750" s="150">
        <f t="shared" si="492"/>
        <v>63</v>
      </c>
      <c r="C750" s="150">
        <f t="shared" si="493"/>
        <v>2</v>
      </c>
      <c r="D750" s="150">
        <f>IF(E750="","",Input!$C$4+B750-1)</f>
        <v>107</v>
      </c>
      <c r="E750" s="150">
        <f>IF(OR(AND(C749=12,D749=Input!$C$6),E749=""),"",1)</f>
        <v>1</v>
      </c>
      <c r="F750" s="150">
        <f>IF(E750="","",Input!$C$8+B750-1)</f>
        <v>2080</v>
      </c>
      <c r="G750" s="151">
        <f>IF(E750="","",MAX(0,Input!$C$9-B750))</f>
        <v>0</v>
      </c>
      <c r="H750" s="152">
        <f>IF(E750="","",Input!$C$3)</f>
        <v>100000</v>
      </c>
      <c r="I750" s="153">
        <f>IF(E750="","",HLOOKUP($B750,Input!$C$13:$BT$14,2))</f>
        <v>1000</v>
      </c>
      <c r="J750" s="154"/>
      <c r="K750" s="155">
        <f>IF($E750="","",INDEX(Input!$C$16:$CP$16,1,$B750))</f>
        <v>3.3020000000000001E-2</v>
      </c>
      <c r="L750" s="155">
        <f>IF($E750="","",Input!$C$37)</f>
        <v>1.4999999999999999E-2</v>
      </c>
      <c r="M750" s="155">
        <f t="shared" si="456"/>
        <v>4.802E-2</v>
      </c>
      <c r="N750" s="155">
        <f t="shared" si="457"/>
        <v>3.9162041728755259E-3</v>
      </c>
      <c r="O750" s="147">
        <f>IF($E750="","",MIN(VLOOKUP(IF($B750&lt;=Input!$C$7,$B750,26),'Mortality Tables'!$A$41:$CW$67,IF($B750&lt;=Input!$C$7+1,Input!$C$4+2,$D750-Input!$C$7+2),0)*IF(B750&gt;20,Input!$C$22,1)/1000,1))</f>
        <v>1</v>
      </c>
      <c r="P750" s="147">
        <f>IF($E750="","",MIN(VLOOKUP(IF($B750&lt;=Input!$C$7,$B750,26),'Mortality Tables'!$A$12:$CW$37,IF($B750&lt;=Input!$C$7+1,Input!$C$4+2,$D750-Input!$C$7+2),0)*IF(B750&gt;20,Input!$C$22,1)/1000,1))</f>
        <v>1</v>
      </c>
      <c r="Q750" s="155">
        <f>IF($E750="","",Input!$C$21)</f>
        <v>5.0000000000000001E-3</v>
      </c>
      <c r="R750" s="159">
        <f>IF($E750="","",(1-Q750)^($F750-Input!$C$20))</f>
        <v>0.73287685464368046</v>
      </c>
      <c r="S750" s="147">
        <f t="shared" si="459"/>
        <v>0.73287685464368046</v>
      </c>
      <c r="T750" s="147">
        <f t="shared" si="460"/>
        <v>0.10416926202462273</v>
      </c>
      <c r="U750" s="160">
        <f>IF($E750="","",IF($C750=12,INDEX(Input!$C$15:$CP$15,1,$B750),0))</f>
        <v>0</v>
      </c>
      <c r="V750" s="150">
        <f>IF(E750="","",IF(C750=1,IF($B750=1,Input!$C$33,Input!$C$34),0))</f>
        <v>0</v>
      </c>
      <c r="W750" s="156">
        <f>IF($E750="","",Input!$C$35)</f>
        <v>0.02</v>
      </c>
      <c r="X750" s="156">
        <f t="shared" si="458"/>
        <v>3.4135844322153761</v>
      </c>
      <c r="Y750" s="154"/>
      <c r="Z750" s="147">
        <f>IF($E750="","",VLOOKUP($D750,'Mortality Margins &amp; Grading'!$AB$5:$AF$125,3,0)*IF(Summary!$D$25="Included Margin",IF(AND($B750&gt;Input!$C$9,Summary!$D$31&lt;&gt;"Included Margin"),0,1),0))</f>
        <v>0.01</v>
      </c>
      <c r="AA750" s="147">
        <f>IF($E750="","",VLOOKUP($D750,'Mortality Margins &amp; Grading'!$AB$5:$AF$125,5,0)*IF(Summary!$D$25="Included Margin",IF(AND($B750&gt;Input!$C$9,Summary!$D$31&lt;&gt;"Included Margin"),0,1),0))</f>
        <v>5.2999999999999999E-2</v>
      </c>
      <c r="AB750" s="147">
        <f>IF($E750="","",IF(AND($B750&gt;Input!$C$9,Summary!$D$31&lt;&gt;"Included Margin"),1,IF(Summary!$D$25="Included Margin",VLOOKUP($B750,'Mortality Margins &amp; Grading'!$AI$5:$AR$125,MATCH('Mortality Margins &amp; Grading'!$AQ$4,'Mortality Margins &amp; Grading'!$AI$4:$AR$4,0),0),1)))</f>
        <v>0</v>
      </c>
      <c r="AC750" s="154"/>
      <c r="AD750" s="158">
        <f>IF(E750="","",Input!$C$48*IF(Summary!$D$30="Included Margin",IF(AND($B750&gt;Input!$C$9,Summary!$D$31&lt;&gt;"Included Margin"),0,1),0))</f>
        <v>-4.4999999999999997E-3</v>
      </c>
      <c r="AE750" s="159">
        <f>IF(E750="","",IF(Summary!$D$26="Included Margin",IF(AND($B750&gt;Input!$C$9,Summary!$D$31&lt;&gt;"Included Margin"),1,1/$R750),1))</f>
        <v>1.364485716343427</v>
      </c>
      <c r="AF750" s="160">
        <f>IF(E750="","",IF(AND($B750&gt;=Input!$C$9,$C750=12,Summary!$D$31="Included Margin",$U750&gt;0),1/U750-1,IF($B750&gt;=Input!$C$9,0,Input!$C$45*IF(Summary!$D$27="Included Margin",1,0))))</f>
        <v>0</v>
      </c>
      <c r="AG750" s="160">
        <f>IF(E750="","",Input!$C$46*IF(Summary!$D$28="Included Margin",IF(AND($B750&gt;Input!$C$9,Summary!$D$31&lt;&gt;"Included Margin"),0,1),0))</f>
        <v>0.02</v>
      </c>
      <c r="AH750" s="158">
        <f>IF(E750="","",Input!$C$47*IF(Summary!$D$29="Included Margin",IF(AND($B750&gt;Input!$C$9,Summary!$D$31&lt;&gt;"Included Margin"),0,1),0))</f>
        <v>2.5000000000000001E-3</v>
      </c>
      <c r="AI750" s="154"/>
      <c r="AJ750" s="158">
        <f t="shared" si="481"/>
        <v>4.3520000000000003E-2</v>
      </c>
      <c r="AK750" s="155">
        <f t="shared" si="482"/>
        <v>3.5562764001626501E-3</v>
      </c>
      <c r="AL750" s="147">
        <f t="shared" si="483"/>
        <v>1</v>
      </c>
      <c r="AM750" s="147">
        <f t="shared" si="461"/>
        <v>1</v>
      </c>
      <c r="AN750" s="160">
        <f t="shared" si="484"/>
        <v>0</v>
      </c>
      <c r="AO750" s="161">
        <f t="shared" si="485"/>
        <v>0</v>
      </c>
      <c r="AP750" s="156">
        <f t="shared" si="462"/>
        <v>3.9730646695493497</v>
      </c>
      <c r="AQ750" s="152"/>
      <c r="AR750" s="162">
        <f t="shared" si="463"/>
        <v>99822.501796328244</v>
      </c>
      <c r="AS750" s="150">
        <f t="shared" si="486"/>
        <v>0</v>
      </c>
      <c r="AT750" s="163">
        <f t="shared" si="464"/>
        <v>0</v>
      </c>
      <c r="AU750" s="163">
        <f t="shared" si="465"/>
        <v>100000</v>
      </c>
      <c r="AV750" s="163">
        <f t="shared" si="487"/>
        <v>177.18258733534338</v>
      </c>
      <c r="AW750" s="163">
        <f t="shared" si="466"/>
        <v>99822.817412664663</v>
      </c>
      <c r="AX750" s="163">
        <f t="shared" si="467"/>
        <v>0</v>
      </c>
      <c r="AY750" s="165">
        <f t="shared" si="488"/>
        <v>99822.501796328244</v>
      </c>
      <c r="AZ750" s="164">
        <f>IF($E750="","",IF(OR(AND($D750=Input!$C$6,$C750=12),$AN750=1),0,-AS751+AT751+AU751-AV751-AW751-AX751+AZ751))</f>
        <v>99822.817412664663</v>
      </c>
      <c r="BA750" s="154">
        <f t="shared" si="468"/>
        <v>0.31561633641831577</v>
      </c>
      <c r="BC750" s="147">
        <f t="shared" si="489"/>
        <v>1.9127495986275891E-12</v>
      </c>
      <c r="BD750" s="164">
        <f>IF(AND($C749=12,$D749=Input!$C$6),0,IF($E750="","",AT750+(AU750+BD751)/(1+$AK750)*MIN((1-AM750-AN750),1)))</f>
        <v>0</v>
      </c>
      <c r="BE750" s="164">
        <f t="shared" si="469"/>
        <v>0</v>
      </c>
      <c r="BF750" s="164">
        <f t="shared" si="490"/>
        <v>99822.817412664663</v>
      </c>
      <c r="BG750" s="164">
        <f t="shared" si="470"/>
        <v>1.9093605393994943E-7</v>
      </c>
      <c r="BH750" s="152"/>
      <c r="BI750" s="162">
        <f t="shared" si="471"/>
        <v>59475.827320063494</v>
      </c>
      <c r="BJ750" s="150">
        <f t="shared" si="472"/>
        <v>0</v>
      </c>
      <c r="BK750" s="163">
        <f t="shared" si="494"/>
        <v>0</v>
      </c>
      <c r="BL750" s="163">
        <f t="shared" si="473"/>
        <v>10416.926202462273</v>
      </c>
      <c r="BM750" s="163">
        <f t="shared" si="495"/>
        <v>212.52207820474729</v>
      </c>
      <c r="BN750" s="163">
        <f t="shared" si="474"/>
        <v>5729.3992358649066</v>
      </c>
      <c r="BO750" s="163">
        <f t="shared" si="475"/>
        <v>0</v>
      </c>
      <c r="BP750" s="164">
        <f t="shared" si="496"/>
        <v>55000.822431670873</v>
      </c>
      <c r="BQ750" s="164">
        <f>IF($E750="","",IF(AND($D750=Input!$C$6,$C750=12),0,-BJ751+BK751+BL751-BM751-BN751-BO751+BQ751))</f>
        <v>55000.862293817874</v>
      </c>
      <c r="BR750" s="161">
        <f t="shared" si="476"/>
        <v>0</v>
      </c>
      <c r="BT750" s="147">
        <f t="shared" si="477"/>
        <v>1.9127495986275891E-12</v>
      </c>
      <c r="BU750" s="164">
        <f>IF(AND($C749=12,$D749=Input!$C$6),0,IF($E750="","",BK750+(BL750+BU751)/(1+$AK750)*MIN((1-T750-U750),1)))</f>
        <v>82666.172498635555</v>
      </c>
      <c r="BV750" s="164">
        <f t="shared" si="478"/>
        <v>1.581196882668442E-7</v>
      </c>
      <c r="BW750" s="164">
        <f t="shared" si="479"/>
        <v>55000.862293817874</v>
      </c>
      <c r="BX750" s="164">
        <f t="shared" si="480"/>
        <v>1.0520287727667144E-7</v>
      </c>
    </row>
    <row r="751" spans="1:76" s="150" customFormat="1" x14ac:dyDescent="0.25">
      <c r="A751" s="150">
        <f t="shared" si="491"/>
        <v>747</v>
      </c>
      <c r="B751" s="150">
        <f t="shared" si="492"/>
        <v>63</v>
      </c>
      <c r="C751" s="150">
        <f t="shared" si="493"/>
        <v>3</v>
      </c>
      <c r="D751" s="150">
        <f>IF(E751="","",Input!$C$4+B751-1)</f>
        <v>107</v>
      </c>
      <c r="E751" s="150">
        <f>IF(OR(AND(C750=12,D750=Input!$C$6),E750=""),"",1)</f>
        <v>1</v>
      </c>
      <c r="F751" s="150">
        <f>IF(E751="","",Input!$C$8+B751-1)</f>
        <v>2080</v>
      </c>
      <c r="G751" s="151">
        <f>IF(E751="","",MAX(0,Input!$C$9-B751))</f>
        <v>0</v>
      </c>
      <c r="H751" s="152">
        <f>IF(E751="","",Input!$C$3)</f>
        <v>100000</v>
      </c>
      <c r="I751" s="153">
        <f>IF(E751="","",HLOOKUP($B751,Input!$C$13:$BT$14,2))</f>
        <v>1000</v>
      </c>
      <c r="J751" s="154"/>
      <c r="K751" s="155">
        <f>IF($E751="","",INDEX(Input!$C$16:$CP$16,1,$B751))</f>
        <v>3.3020000000000001E-2</v>
      </c>
      <c r="L751" s="155">
        <f>IF($E751="","",Input!$C$37)</f>
        <v>1.4999999999999999E-2</v>
      </c>
      <c r="M751" s="155">
        <f t="shared" si="456"/>
        <v>4.802E-2</v>
      </c>
      <c r="N751" s="155">
        <f t="shared" si="457"/>
        <v>3.9162041728755259E-3</v>
      </c>
      <c r="O751" s="147">
        <f>IF($E751="","",MIN(VLOOKUP(IF($B751&lt;=Input!$C$7,$B751,26),'Mortality Tables'!$A$41:$CW$67,IF($B751&lt;=Input!$C$7+1,Input!$C$4+2,$D751-Input!$C$7+2),0)*IF(B751&gt;20,Input!$C$22,1)/1000,1))</f>
        <v>1</v>
      </c>
      <c r="P751" s="147">
        <f>IF($E751="","",MIN(VLOOKUP(IF($B751&lt;=Input!$C$7,$B751,26),'Mortality Tables'!$A$12:$CW$37,IF($B751&lt;=Input!$C$7+1,Input!$C$4+2,$D751-Input!$C$7+2),0)*IF(B751&gt;20,Input!$C$22,1)/1000,1))</f>
        <v>1</v>
      </c>
      <c r="Q751" s="155">
        <f>IF($E751="","",Input!$C$21)</f>
        <v>5.0000000000000001E-3</v>
      </c>
      <c r="R751" s="159">
        <f>IF($E751="","",(1-Q751)^($F751-Input!$C$20))</f>
        <v>0.73287685464368046</v>
      </c>
      <c r="S751" s="147">
        <f t="shared" si="459"/>
        <v>0.73287685464368046</v>
      </c>
      <c r="T751" s="147">
        <f t="shared" si="460"/>
        <v>0.10416926202462273</v>
      </c>
      <c r="U751" s="160">
        <f>IF($E751="","",IF($C751=12,INDEX(Input!$C$15:$CP$15,1,$B751),0))</f>
        <v>0</v>
      </c>
      <c r="V751" s="150">
        <f>IF(E751="","",IF(C751=1,IF($B751=1,Input!$C$33,Input!$C$34),0))</f>
        <v>0</v>
      </c>
      <c r="W751" s="156">
        <f>IF($E751="","",Input!$C$35)</f>
        <v>0.02</v>
      </c>
      <c r="X751" s="156">
        <f t="shared" si="458"/>
        <v>3.4135844322153761</v>
      </c>
      <c r="Y751" s="154"/>
      <c r="Z751" s="147">
        <f>IF($E751="","",VLOOKUP($D751,'Mortality Margins &amp; Grading'!$AB$5:$AF$125,3,0)*IF(Summary!$D$25="Included Margin",IF(AND($B751&gt;Input!$C$9,Summary!$D$31&lt;&gt;"Included Margin"),0,1),0))</f>
        <v>0.01</v>
      </c>
      <c r="AA751" s="147">
        <f>IF($E751="","",VLOOKUP($D751,'Mortality Margins &amp; Grading'!$AB$5:$AF$125,5,0)*IF(Summary!$D$25="Included Margin",IF(AND($B751&gt;Input!$C$9,Summary!$D$31&lt;&gt;"Included Margin"),0,1),0))</f>
        <v>5.2999999999999999E-2</v>
      </c>
      <c r="AB751" s="147">
        <f>IF($E751="","",IF(AND($B751&gt;Input!$C$9,Summary!$D$31&lt;&gt;"Included Margin"),1,IF(Summary!$D$25="Included Margin",VLOOKUP($B751,'Mortality Margins &amp; Grading'!$AI$5:$AR$125,MATCH('Mortality Margins &amp; Grading'!$AQ$4,'Mortality Margins &amp; Grading'!$AI$4:$AR$4,0),0),1)))</f>
        <v>0</v>
      </c>
      <c r="AC751" s="154"/>
      <c r="AD751" s="158">
        <f>IF(E751="","",Input!$C$48*IF(Summary!$D$30="Included Margin",IF(AND($B751&gt;Input!$C$9,Summary!$D$31&lt;&gt;"Included Margin"),0,1),0))</f>
        <v>-4.4999999999999997E-3</v>
      </c>
      <c r="AE751" s="159">
        <f>IF(E751="","",IF(Summary!$D$26="Included Margin",IF(AND($B751&gt;Input!$C$9,Summary!$D$31&lt;&gt;"Included Margin"),1,1/$R751),1))</f>
        <v>1.364485716343427</v>
      </c>
      <c r="AF751" s="160">
        <f>IF(E751="","",IF(AND($B751&gt;=Input!$C$9,$C751=12,Summary!$D$31="Included Margin",$U751&gt;0),1/U751-1,IF($B751&gt;=Input!$C$9,0,Input!$C$45*IF(Summary!$D$27="Included Margin",1,0))))</f>
        <v>0</v>
      </c>
      <c r="AG751" s="160">
        <f>IF(E751="","",Input!$C$46*IF(Summary!$D$28="Included Margin",IF(AND($B751&gt;Input!$C$9,Summary!$D$31&lt;&gt;"Included Margin"),0,1),0))</f>
        <v>0.02</v>
      </c>
      <c r="AH751" s="158">
        <f>IF(E751="","",Input!$C$47*IF(Summary!$D$29="Included Margin",IF(AND($B751&gt;Input!$C$9,Summary!$D$31&lt;&gt;"Included Margin"),0,1),0))</f>
        <v>2.5000000000000001E-3</v>
      </c>
      <c r="AI751" s="154"/>
      <c r="AJ751" s="158">
        <f t="shared" si="481"/>
        <v>4.3520000000000003E-2</v>
      </c>
      <c r="AK751" s="155">
        <f t="shared" si="482"/>
        <v>3.5562764001626501E-3</v>
      </c>
      <c r="AL751" s="147">
        <f t="shared" si="483"/>
        <v>1</v>
      </c>
      <c r="AM751" s="147">
        <f t="shared" si="461"/>
        <v>1</v>
      </c>
      <c r="AN751" s="160">
        <f t="shared" si="484"/>
        <v>0</v>
      </c>
      <c r="AO751" s="161">
        <f t="shared" si="485"/>
        <v>0</v>
      </c>
      <c r="AP751" s="156">
        <f t="shared" si="462"/>
        <v>3.9730646695493497</v>
      </c>
      <c r="AQ751" s="152"/>
      <c r="AR751" s="162">
        <f t="shared" si="463"/>
        <v>99822.501796328244</v>
      </c>
      <c r="AS751" s="150">
        <f t="shared" si="486"/>
        <v>0</v>
      </c>
      <c r="AT751" s="163">
        <f t="shared" si="464"/>
        <v>0</v>
      </c>
      <c r="AU751" s="163">
        <f t="shared" si="465"/>
        <v>100000</v>
      </c>
      <c r="AV751" s="163">
        <f t="shared" si="487"/>
        <v>177.18258733534338</v>
      </c>
      <c r="AW751" s="163">
        <f t="shared" si="466"/>
        <v>99822.817412664663</v>
      </c>
      <c r="AX751" s="163">
        <f t="shared" si="467"/>
        <v>0</v>
      </c>
      <c r="AY751" s="164">
        <f t="shared" si="488"/>
        <v>99822.501796328244</v>
      </c>
      <c r="AZ751" s="164">
        <f>IF($E751="","",IF(OR(AND($D751=Input!$C$6,$C751=12),$AN751=1),0,-AS752+AT752+AU752-AV752-AW752-AX752+AZ752))</f>
        <v>99822.817412664663</v>
      </c>
      <c r="BA751" s="154">
        <f t="shared" si="468"/>
        <v>0.31561633641831577</v>
      </c>
      <c r="BC751" s="147">
        <f t="shared" si="489"/>
        <v>1.7134998845006597E-12</v>
      </c>
      <c r="BD751" s="164">
        <f>IF(AND($C750=12,$D750=Input!$C$6),0,IF($E751="","",AT751+(AU751+BD752)/(1+$AK751)*MIN((1-AM751-AN751),1)))</f>
        <v>0</v>
      </c>
      <c r="BE751" s="164">
        <f t="shared" si="469"/>
        <v>0</v>
      </c>
      <c r="BF751" s="164">
        <f t="shared" si="490"/>
        <v>99822.817412664663</v>
      </c>
      <c r="BG751" s="164">
        <f t="shared" si="470"/>
        <v>1.7104638610713133E-7</v>
      </c>
      <c r="BH751" s="152"/>
      <c r="BI751" s="162">
        <f t="shared" si="471"/>
        <v>55000.822431670873</v>
      </c>
      <c r="BJ751" s="150">
        <f t="shared" si="472"/>
        <v>0</v>
      </c>
      <c r="BK751" s="163">
        <f t="shared" si="494"/>
        <v>0</v>
      </c>
      <c r="BL751" s="163">
        <f t="shared" si="473"/>
        <v>10416.926202462273</v>
      </c>
      <c r="BM751" s="163">
        <f t="shared" si="495"/>
        <v>194.99704538718572</v>
      </c>
      <c r="BN751" s="163">
        <f t="shared" si="474"/>
        <v>5206.9975067462265</v>
      </c>
      <c r="BO751" s="163">
        <f t="shared" si="475"/>
        <v>0</v>
      </c>
      <c r="BP751" s="164">
        <f t="shared" si="496"/>
        <v>49985.890781342016</v>
      </c>
      <c r="BQ751" s="164">
        <f>IF($E751="","",IF(AND($D751=Input!$C$6,$C751=12),0,-BJ752+BK752+BL752-BM752-BN752-BO752+BQ752))</f>
        <v>49985.930643489017</v>
      </c>
      <c r="BR751" s="161">
        <f t="shared" si="476"/>
        <v>0</v>
      </c>
      <c r="BT751" s="147">
        <f t="shared" si="477"/>
        <v>1.7134998845006597E-12</v>
      </c>
      <c r="BU751" s="164">
        <f>IF(AND($C750=12,$D750=Input!$C$6),0,IF($E751="","",BK751+(BL751+BU752)/(1+$AK751)*MIN((1-T751-U751),1)))</f>
        <v>82190.028147506076</v>
      </c>
      <c r="BV751" s="164">
        <f t="shared" si="478"/>
        <v>1.4083260373785764E-7</v>
      </c>
      <c r="BW751" s="164">
        <f t="shared" si="479"/>
        <v>49985.930643489017</v>
      </c>
      <c r="BX751" s="164">
        <f t="shared" si="480"/>
        <v>8.5650886384276416E-8</v>
      </c>
    </row>
    <row r="752" spans="1:76" s="150" customFormat="1" x14ac:dyDescent="0.25">
      <c r="A752" s="150">
        <f t="shared" si="491"/>
        <v>748</v>
      </c>
      <c r="B752" s="150">
        <f t="shared" si="492"/>
        <v>63</v>
      </c>
      <c r="C752" s="150">
        <f t="shared" si="493"/>
        <v>4</v>
      </c>
      <c r="D752" s="150">
        <f>IF(E752="","",Input!$C$4+B752-1)</f>
        <v>107</v>
      </c>
      <c r="E752" s="150">
        <f>IF(OR(AND(C751=12,D751=Input!$C$6),E751=""),"",1)</f>
        <v>1</v>
      </c>
      <c r="F752" s="150">
        <f>IF(E752="","",Input!$C$8+B752-1)</f>
        <v>2080</v>
      </c>
      <c r="G752" s="151">
        <f>IF(E752="","",MAX(0,Input!$C$9-B752))</f>
        <v>0</v>
      </c>
      <c r="H752" s="152">
        <f>IF(E752="","",Input!$C$3)</f>
        <v>100000</v>
      </c>
      <c r="I752" s="153">
        <f>IF(E752="","",HLOOKUP($B752,Input!$C$13:$BT$14,2))</f>
        <v>1000</v>
      </c>
      <c r="J752" s="154"/>
      <c r="K752" s="155">
        <f>IF($E752="","",INDEX(Input!$C$16:$CP$16,1,$B752))</f>
        <v>3.3020000000000001E-2</v>
      </c>
      <c r="L752" s="155">
        <f>IF($E752="","",Input!$C$37)</f>
        <v>1.4999999999999999E-2</v>
      </c>
      <c r="M752" s="155">
        <f t="shared" si="456"/>
        <v>4.802E-2</v>
      </c>
      <c r="N752" s="155">
        <f t="shared" si="457"/>
        <v>3.9162041728755259E-3</v>
      </c>
      <c r="O752" s="147">
        <f>IF($E752="","",MIN(VLOOKUP(IF($B752&lt;=Input!$C$7,$B752,26),'Mortality Tables'!$A$41:$CW$67,IF($B752&lt;=Input!$C$7+1,Input!$C$4+2,$D752-Input!$C$7+2),0)*IF(B752&gt;20,Input!$C$22,1)/1000,1))</f>
        <v>1</v>
      </c>
      <c r="P752" s="147">
        <f>IF($E752="","",MIN(VLOOKUP(IF($B752&lt;=Input!$C$7,$B752,26),'Mortality Tables'!$A$12:$CW$37,IF($B752&lt;=Input!$C$7+1,Input!$C$4+2,$D752-Input!$C$7+2),0)*IF(B752&gt;20,Input!$C$22,1)/1000,1))</f>
        <v>1</v>
      </c>
      <c r="Q752" s="155">
        <f>IF($E752="","",Input!$C$21)</f>
        <v>5.0000000000000001E-3</v>
      </c>
      <c r="R752" s="159">
        <f>IF($E752="","",(1-Q752)^($F752-Input!$C$20))</f>
        <v>0.73287685464368046</v>
      </c>
      <c r="S752" s="147">
        <f t="shared" si="459"/>
        <v>0.73287685464368046</v>
      </c>
      <c r="T752" s="147">
        <f t="shared" si="460"/>
        <v>0.10416926202462273</v>
      </c>
      <c r="U752" s="160">
        <f>IF($E752="","",IF($C752=12,INDEX(Input!$C$15:$CP$15,1,$B752),0))</f>
        <v>0</v>
      </c>
      <c r="V752" s="150">
        <f>IF(E752="","",IF(C752=1,IF($B752=1,Input!$C$33,Input!$C$34),0))</f>
        <v>0</v>
      </c>
      <c r="W752" s="156">
        <f>IF($E752="","",Input!$C$35)</f>
        <v>0.02</v>
      </c>
      <c r="X752" s="156">
        <f t="shared" si="458"/>
        <v>3.4135844322153761</v>
      </c>
      <c r="Y752" s="154"/>
      <c r="Z752" s="147">
        <f>IF($E752="","",VLOOKUP($D752,'Mortality Margins &amp; Grading'!$AB$5:$AF$125,3,0)*IF(Summary!$D$25="Included Margin",IF(AND($B752&gt;Input!$C$9,Summary!$D$31&lt;&gt;"Included Margin"),0,1),0))</f>
        <v>0.01</v>
      </c>
      <c r="AA752" s="147">
        <f>IF($E752="","",VLOOKUP($D752,'Mortality Margins &amp; Grading'!$AB$5:$AF$125,5,0)*IF(Summary!$D$25="Included Margin",IF(AND($B752&gt;Input!$C$9,Summary!$D$31&lt;&gt;"Included Margin"),0,1),0))</f>
        <v>5.2999999999999999E-2</v>
      </c>
      <c r="AB752" s="147">
        <f>IF($E752="","",IF(AND($B752&gt;Input!$C$9,Summary!$D$31&lt;&gt;"Included Margin"),1,IF(Summary!$D$25="Included Margin",VLOOKUP($B752,'Mortality Margins &amp; Grading'!$AI$5:$AR$125,MATCH('Mortality Margins &amp; Grading'!$AQ$4,'Mortality Margins &amp; Grading'!$AI$4:$AR$4,0),0),1)))</f>
        <v>0</v>
      </c>
      <c r="AC752" s="154"/>
      <c r="AD752" s="158">
        <f>IF(E752="","",Input!$C$48*IF(Summary!$D$30="Included Margin",IF(AND($B752&gt;Input!$C$9,Summary!$D$31&lt;&gt;"Included Margin"),0,1),0))</f>
        <v>-4.4999999999999997E-3</v>
      </c>
      <c r="AE752" s="159">
        <f>IF(E752="","",IF(Summary!$D$26="Included Margin",IF(AND($B752&gt;Input!$C$9,Summary!$D$31&lt;&gt;"Included Margin"),1,1/$R752),1))</f>
        <v>1.364485716343427</v>
      </c>
      <c r="AF752" s="160">
        <f>IF(E752="","",IF(AND($B752&gt;=Input!$C$9,$C752=12,Summary!$D$31="Included Margin",$U752&gt;0),1/U752-1,IF($B752&gt;=Input!$C$9,0,Input!$C$45*IF(Summary!$D$27="Included Margin",1,0))))</f>
        <v>0</v>
      </c>
      <c r="AG752" s="160">
        <f>IF(E752="","",Input!$C$46*IF(Summary!$D$28="Included Margin",IF(AND($B752&gt;Input!$C$9,Summary!$D$31&lt;&gt;"Included Margin"),0,1),0))</f>
        <v>0.02</v>
      </c>
      <c r="AH752" s="158">
        <f>IF(E752="","",Input!$C$47*IF(Summary!$D$29="Included Margin",IF(AND($B752&gt;Input!$C$9,Summary!$D$31&lt;&gt;"Included Margin"),0,1),0))</f>
        <v>2.5000000000000001E-3</v>
      </c>
      <c r="AI752" s="154"/>
      <c r="AJ752" s="158">
        <f t="shared" si="481"/>
        <v>4.3520000000000003E-2</v>
      </c>
      <c r="AK752" s="155">
        <f t="shared" si="482"/>
        <v>3.5562764001626501E-3</v>
      </c>
      <c r="AL752" s="147">
        <f t="shared" si="483"/>
        <v>1</v>
      </c>
      <c r="AM752" s="147">
        <f t="shared" si="461"/>
        <v>1</v>
      </c>
      <c r="AN752" s="160">
        <f t="shared" si="484"/>
        <v>0</v>
      </c>
      <c r="AO752" s="161">
        <f t="shared" si="485"/>
        <v>0</v>
      </c>
      <c r="AP752" s="156">
        <f t="shared" si="462"/>
        <v>3.9730646695493497</v>
      </c>
      <c r="AQ752" s="152"/>
      <c r="AR752" s="162">
        <f t="shared" si="463"/>
        <v>99822.501796328244</v>
      </c>
      <c r="AS752" s="150">
        <f t="shared" si="486"/>
        <v>0</v>
      </c>
      <c r="AT752" s="163">
        <f t="shared" si="464"/>
        <v>0</v>
      </c>
      <c r="AU752" s="163">
        <f t="shared" si="465"/>
        <v>100000</v>
      </c>
      <c r="AV752" s="163">
        <f t="shared" si="487"/>
        <v>177.18258733534338</v>
      </c>
      <c r="AW752" s="163">
        <f t="shared" si="466"/>
        <v>99822.817412664663</v>
      </c>
      <c r="AX752" s="163">
        <f t="shared" si="467"/>
        <v>0</v>
      </c>
      <c r="AY752" s="165">
        <f t="shared" si="488"/>
        <v>99822.501796328244</v>
      </c>
      <c r="AZ752" s="164">
        <f>IF($E752="","",IF(OR(AND($D752=Input!$C$6,$C752=12),$AN752=1),0,-AS753+AT753+AU753-AV753-AW753-AX753+AZ753))</f>
        <v>99822.817412664663</v>
      </c>
      <c r="BA752" s="154">
        <f t="shared" si="468"/>
        <v>0.31561633641831577</v>
      </c>
      <c r="BC752" s="147">
        <f t="shared" si="489"/>
        <v>1.5350058660529497E-12</v>
      </c>
      <c r="BD752" s="164">
        <f>IF(AND($C751=12,$D751=Input!$C$6),0,IF($E752="","",AT752+(AU752+BD753)/(1+$AK752)*MIN((1-AM752-AN752),1)))</f>
        <v>0</v>
      </c>
      <c r="BE752" s="164">
        <f t="shared" si="469"/>
        <v>0</v>
      </c>
      <c r="BF752" s="164">
        <f t="shared" si="490"/>
        <v>99822.817412664663</v>
      </c>
      <c r="BG752" s="164">
        <f t="shared" si="470"/>
        <v>1.5322861029437279E-7</v>
      </c>
      <c r="BH752" s="152"/>
      <c r="BI752" s="162">
        <f t="shared" si="471"/>
        <v>49985.890781342016</v>
      </c>
      <c r="BJ752" s="150">
        <f t="shared" si="472"/>
        <v>0</v>
      </c>
      <c r="BK752" s="163">
        <f t="shared" si="494"/>
        <v>0</v>
      </c>
      <c r="BL752" s="163">
        <f t="shared" si="473"/>
        <v>10416.926202462273</v>
      </c>
      <c r="BM752" s="163">
        <f t="shared" si="495"/>
        <v>175.3575491314823</v>
      </c>
      <c r="BN752" s="163">
        <f t="shared" si="474"/>
        <v>4621.5659751876519</v>
      </c>
      <c r="BO752" s="163">
        <f t="shared" si="475"/>
        <v>0</v>
      </c>
      <c r="BP752" s="164">
        <f t="shared" si="496"/>
        <v>44365.888103198879</v>
      </c>
      <c r="BQ752" s="164">
        <f>IF($E752="","",IF(AND($D752=Input!$C$6,$C752=12),0,-BJ753+BK753+BL753-BM753-BN753-BO753+BQ753))</f>
        <v>44365.92796534588</v>
      </c>
      <c r="BR752" s="161">
        <f t="shared" si="476"/>
        <v>0</v>
      </c>
      <c r="BT752" s="147">
        <f t="shared" si="477"/>
        <v>1.5350058660529497E-12</v>
      </c>
      <c r="BU752" s="164">
        <f>IF(AND($C751=12,$D751=Input!$C$6),0,IF($E752="","",BK752+(BL752+BU753)/(1+$AK752)*MIN((1-T752-U752),1)))</f>
        <v>81656.626432436111</v>
      </c>
      <c r="BV752" s="164">
        <f t="shared" si="478"/>
        <v>1.2534340057588379E-7</v>
      </c>
      <c r="BW752" s="164">
        <f t="shared" si="479"/>
        <v>44365.92796534588</v>
      </c>
      <c r="BX752" s="164">
        <f t="shared" si="480"/>
        <v>6.8101959679688532E-8</v>
      </c>
    </row>
    <row r="753" spans="1:76" s="150" customFormat="1" x14ac:dyDescent="0.25">
      <c r="A753" s="150">
        <f t="shared" si="491"/>
        <v>749</v>
      </c>
      <c r="B753" s="150">
        <f t="shared" si="492"/>
        <v>63</v>
      </c>
      <c r="C753" s="150">
        <f t="shared" si="493"/>
        <v>5</v>
      </c>
      <c r="D753" s="150">
        <f>IF(E753="","",Input!$C$4+B753-1)</f>
        <v>107</v>
      </c>
      <c r="E753" s="150">
        <f>IF(OR(AND(C752=12,D752=Input!$C$6),E752=""),"",1)</f>
        <v>1</v>
      </c>
      <c r="F753" s="150">
        <f>IF(E753="","",Input!$C$8+B753-1)</f>
        <v>2080</v>
      </c>
      <c r="G753" s="151">
        <f>IF(E753="","",MAX(0,Input!$C$9-B753))</f>
        <v>0</v>
      </c>
      <c r="H753" s="152">
        <f>IF(E753="","",Input!$C$3)</f>
        <v>100000</v>
      </c>
      <c r="I753" s="153">
        <f>IF(E753="","",HLOOKUP($B753,Input!$C$13:$BT$14,2))</f>
        <v>1000</v>
      </c>
      <c r="J753" s="154"/>
      <c r="K753" s="155">
        <f>IF($E753="","",INDEX(Input!$C$16:$CP$16,1,$B753))</f>
        <v>3.3020000000000001E-2</v>
      </c>
      <c r="L753" s="155">
        <f>IF($E753="","",Input!$C$37)</f>
        <v>1.4999999999999999E-2</v>
      </c>
      <c r="M753" s="155">
        <f t="shared" si="456"/>
        <v>4.802E-2</v>
      </c>
      <c r="N753" s="155">
        <f t="shared" si="457"/>
        <v>3.9162041728755259E-3</v>
      </c>
      <c r="O753" s="147">
        <f>IF($E753="","",MIN(VLOOKUP(IF($B753&lt;=Input!$C$7,$B753,26),'Mortality Tables'!$A$41:$CW$67,IF($B753&lt;=Input!$C$7+1,Input!$C$4+2,$D753-Input!$C$7+2),0)*IF(B753&gt;20,Input!$C$22,1)/1000,1))</f>
        <v>1</v>
      </c>
      <c r="P753" s="147">
        <f>IF($E753="","",MIN(VLOOKUP(IF($B753&lt;=Input!$C$7,$B753,26),'Mortality Tables'!$A$12:$CW$37,IF($B753&lt;=Input!$C$7+1,Input!$C$4+2,$D753-Input!$C$7+2),0)*IF(B753&gt;20,Input!$C$22,1)/1000,1))</f>
        <v>1</v>
      </c>
      <c r="Q753" s="155">
        <f>IF($E753="","",Input!$C$21)</f>
        <v>5.0000000000000001E-3</v>
      </c>
      <c r="R753" s="159">
        <f>IF($E753="","",(1-Q753)^($F753-Input!$C$20))</f>
        <v>0.73287685464368046</v>
      </c>
      <c r="S753" s="147">
        <f t="shared" si="459"/>
        <v>0.73287685464368046</v>
      </c>
      <c r="T753" s="147">
        <f t="shared" si="460"/>
        <v>0.10416926202462273</v>
      </c>
      <c r="U753" s="160">
        <f>IF($E753="","",IF($C753=12,INDEX(Input!$C$15:$CP$15,1,$B753),0))</f>
        <v>0</v>
      </c>
      <c r="V753" s="150">
        <f>IF(E753="","",IF(C753=1,IF($B753=1,Input!$C$33,Input!$C$34),0))</f>
        <v>0</v>
      </c>
      <c r="W753" s="156">
        <f>IF($E753="","",Input!$C$35)</f>
        <v>0.02</v>
      </c>
      <c r="X753" s="156">
        <f t="shared" si="458"/>
        <v>3.4135844322153761</v>
      </c>
      <c r="Y753" s="154"/>
      <c r="Z753" s="147">
        <f>IF($E753="","",VLOOKUP($D753,'Mortality Margins &amp; Grading'!$AB$5:$AF$125,3,0)*IF(Summary!$D$25="Included Margin",IF(AND($B753&gt;Input!$C$9,Summary!$D$31&lt;&gt;"Included Margin"),0,1),0))</f>
        <v>0.01</v>
      </c>
      <c r="AA753" s="147">
        <f>IF($E753="","",VLOOKUP($D753,'Mortality Margins &amp; Grading'!$AB$5:$AF$125,5,0)*IF(Summary!$D$25="Included Margin",IF(AND($B753&gt;Input!$C$9,Summary!$D$31&lt;&gt;"Included Margin"),0,1),0))</f>
        <v>5.2999999999999999E-2</v>
      </c>
      <c r="AB753" s="147">
        <f>IF($E753="","",IF(AND($B753&gt;Input!$C$9,Summary!$D$31&lt;&gt;"Included Margin"),1,IF(Summary!$D$25="Included Margin",VLOOKUP($B753,'Mortality Margins &amp; Grading'!$AI$5:$AR$125,MATCH('Mortality Margins &amp; Grading'!$AQ$4,'Mortality Margins &amp; Grading'!$AI$4:$AR$4,0),0),1)))</f>
        <v>0</v>
      </c>
      <c r="AC753" s="154"/>
      <c r="AD753" s="158">
        <f>IF(E753="","",Input!$C$48*IF(Summary!$D$30="Included Margin",IF(AND($B753&gt;Input!$C$9,Summary!$D$31&lt;&gt;"Included Margin"),0,1),0))</f>
        <v>-4.4999999999999997E-3</v>
      </c>
      <c r="AE753" s="159">
        <f>IF(E753="","",IF(Summary!$D$26="Included Margin",IF(AND($B753&gt;Input!$C$9,Summary!$D$31&lt;&gt;"Included Margin"),1,1/$R753),1))</f>
        <v>1.364485716343427</v>
      </c>
      <c r="AF753" s="160">
        <f>IF(E753="","",IF(AND($B753&gt;=Input!$C$9,$C753=12,Summary!$D$31="Included Margin",$U753&gt;0),1/U753-1,IF($B753&gt;=Input!$C$9,0,Input!$C$45*IF(Summary!$D$27="Included Margin",1,0))))</f>
        <v>0</v>
      </c>
      <c r="AG753" s="160">
        <f>IF(E753="","",Input!$C$46*IF(Summary!$D$28="Included Margin",IF(AND($B753&gt;Input!$C$9,Summary!$D$31&lt;&gt;"Included Margin"),0,1),0))</f>
        <v>0.02</v>
      </c>
      <c r="AH753" s="158">
        <f>IF(E753="","",Input!$C$47*IF(Summary!$D$29="Included Margin",IF(AND($B753&gt;Input!$C$9,Summary!$D$31&lt;&gt;"Included Margin"),0,1),0))</f>
        <v>2.5000000000000001E-3</v>
      </c>
      <c r="AI753" s="154"/>
      <c r="AJ753" s="158">
        <f t="shared" si="481"/>
        <v>4.3520000000000003E-2</v>
      </c>
      <c r="AK753" s="155">
        <f t="shared" si="482"/>
        <v>3.5562764001626501E-3</v>
      </c>
      <c r="AL753" s="147">
        <f t="shared" si="483"/>
        <v>1</v>
      </c>
      <c r="AM753" s="147">
        <f t="shared" si="461"/>
        <v>1</v>
      </c>
      <c r="AN753" s="160">
        <f t="shared" si="484"/>
        <v>0</v>
      </c>
      <c r="AO753" s="161">
        <f t="shared" si="485"/>
        <v>0</v>
      </c>
      <c r="AP753" s="156">
        <f t="shared" si="462"/>
        <v>3.9730646695493497</v>
      </c>
      <c r="AQ753" s="152"/>
      <c r="AR753" s="162">
        <f t="shared" si="463"/>
        <v>99822.501796328244</v>
      </c>
      <c r="AS753" s="150">
        <f t="shared" si="486"/>
        <v>0</v>
      </c>
      <c r="AT753" s="163">
        <f t="shared" si="464"/>
        <v>0</v>
      </c>
      <c r="AU753" s="163">
        <f t="shared" si="465"/>
        <v>100000</v>
      </c>
      <c r="AV753" s="163">
        <f t="shared" si="487"/>
        <v>177.18258733534338</v>
      </c>
      <c r="AW753" s="163">
        <f t="shared" si="466"/>
        <v>99822.817412664663</v>
      </c>
      <c r="AX753" s="163">
        <f t="shared" si="467"/>
        <v>0</v>
      </c>
      <c r="AY753" s="164">
        <f t="shared" si="488"/>
        <v>99822.501796328244</v>
      </c>
      <c r="AZ753" s="164">
        <f>IF($E753="","",IF(OR(AND($D753=Input!$C$6,$C753=12),$AN753=1),0,-AS754+AT754+AU754-AV754-AW754-AX754+AZ754))</f>
        <v>99822.817412664663</v>
      </c>
      <c r="BA753" s="154">
        <f t="shared" si="468"/>
        <v>0.31561633641831577</v>
      </c>
      <c r="BC753" s="147">
        <f t="shared" si="489"/>
        <v>1.3751054377827471E-12</v>
      </c>
      <c r="BD753" s="164">
        <f>IF(AND($C752=12,$D752=Input!$C$6),0,IF($E753="","",AT753+(AU753+BD754)/(1+$AK753)*MIN((1-AM753-AN753),1)))</f>
        <v>0</v>
      </c>
      <c r="BE753" s="164">
        <f t="shared" si="469"/>
        <v>0</v>
      </c>
      <c r="BF753" s="164">
        <f t="shared" si="490"/>
        <v>99822.817412664663</v>
      </c>
      <c r="BG753" s="164">
        <f t="shared" si="470"/>
        <v>1.3726689903894947E-7</v>
      </c>
      <c r="BH753" s="152"/>
      <c r="BI753" s="162">
        <f t="shared" si="471"/>
        <v>44365.888103198879</v>
      </c>
      <c r="BJ753" s="150">
        <f t="shared" si="472"/>
        <v>0</v>
      </c>
      <c r="BK753" s="163">
        <f t="shared" si="494"/>
        <v>0</v>
      </c>
      <c r="BL753" s="163">
        <f t="shared" si="473"/>
        <v>10416.926202462273</v>
      </c>
      <c r="BM753" s="163">
        <f t="shared" si="495"/>
        <v>153.34847119176652</v>
      </c>
      <c r="BN753" s="163">
        <f t="shared" si="474"/>
        <v>3965.4998501363029</v>
      </c>
      <c r="BO753" s="163">
        <f t="shared" si="475"/>
        <v>0</v>
      </c>
      <c r="BP753" s="164">
        <f t="shared" si="496"/>
        <v>38067.810222064676</v>
      </c>
      <c r="BQ753" s="164">
        <f>IF($E753="","",IF(AND($D753=Input!$C$6,$C753=12),0,-BJ754+BK754+BL754-BM754-BN754-BO754+BQ754))</f>
        <v>38067.850084211677</v>
      </c>
      <c r="BR753" s="161">
        <f t="shared" si="476"/>
        <v>0</v>
      </c>
      <c r="BT753" s="147">
        <f t="shared" si="477"/>
        <v>1.3751054377827471E-12</v>
      </c>
      <c r="BU753" s="164">
        <f>IF(AND($C752=12,$D752=Input!$C$6),0,IF($E753="","",BK753+(BL753+BU754)/(1+$AK753)*MIN((1-T753-U753),1)))</f>
        <v>81059.082034472187</v>
      </c>
      <c r="BV753" s="164">
        <f t="shared" si="478"/>
        <v>1.1146478448728049E-7</v>
      </c>
      <c r="BW753" s="164">
        <f t="shared" si="479"/>
        <v>38067.850084211677</v>
      </c>
      <c r="BX753" s="164">
        <f t="shared" si="480"/>
        <v>5.2347307655497887E-8</v>
      </c>
    </row>
    <row r="754" spans="1:76" s="150" customFormat="1" x14ac:dyDescent="0.25">
      <c r="A754" s="150">
        <f t="shared" si="491"/>
        <v>750</v>
      </c>
      <c r="B754" s="150">
        <f t="shared" si="492"/>
        <v>63</v>
      </c>
      <c r="C754" s="150">
        <f t="shared" si="493"/>
        <v>6</v>
      </c>
      <c r="D754" s="150">
        <f>IF(E754="","",Input!$C$4+B754-1)</f>
        <v>107</v>
      </c>
      <c r="E754" s="150">
        <f>IF(OR(AND(C753=12,D753=Input!$C$6),E753=""),"",1)</f>
        <v>1</v>
      </c>
      <c r="F754" s="150">
        <f>IF(E754="","",Input!$C$8+B754-1)</f>
        <v>2080</v>
      </c>
      <c r="G754" s="151">
        <f>IF(E754="","",MAX(0,Input!$C$9-B754))</f>
        <v>0</v>
      </c>
      <c r="H754" s="152">
        <f>IF(E754="","",Input!$C$3)</f>
        <v>100000</v>
      </c>
      <c r="I754" s="153">
        <f>IF(E754="","",HLOOKUP($B754,Input!$C$13:$BT$14,2))</f>
        <v>1000</v>
      </c>
      <c r="J754" s="154"/>
      <c r="K754" s="155">
        <f>IF($E754="","",INDEX(Input!$C$16:$CP$16,1,$B754))</f>
        <v>3.3020000000000001E-2</v>
      </c>
      <c r="L754" s="155">
        <f>IF($E754="","",Input!$C$37)</f>
        <v>1.4999999999999999E-2</v>
      </c>
      <c r="M754" s="155">
        <f t="shared" si="456"/>
        <v>4.802E-2</v>
      </c>
      <c r="N754" s="155">
        <f t="shared" si="457"/>
        <v>3.9162041728755259E-3</v>
      </c>
      <c r="O754" s="147">
        <f>IF($E754="","",MIN(VLOOKUP(IF($B754&lt;=Input!$C$7,$B754,26),'Mortality Tables'!$A$41:$CW$67,IF($B754&lt;=Input!$C$7+1,Input!$C$4+2,$D754-Input!$C$7+2),0)*IF(B754&gt;20,Input!$C$22,1)/1000,1))</f>
        <v>1</v>
      </c>
      <c r="P754" s="147">
        <f>IF($E754="","",MIN(VLOOKUP(IF($B754&lt;=Input!$C$7,$B754,26),'Mortality Tables'!$A$12:$CW$37,IF($B754&lt;=Input!$C$7+1,Input!$C$4+2,$D754-Input!$C$7+2),0)*IF(B754&gt;20,Input!$C$22,1)/1000,1))</f>
        <v>1</v>
      </c>
      <c r="Q754" s="155">
        <f>IF($E754="","",Input!$C$21)</f>
        <v>5.0000000000000001E-3</v>
      </c>
      <c r="R754" s="159">
        <f>IF($E754="","",(1-Q754)^($F754-Input!$C$20))</f>
        <v>0.73287685464368046</v>
      </c>
      <c r="S754" s="147">
        <f t="shared" si="459"/>
        <v>0.73287685464368046</v>
      </c>
      <c r="T754" s="147">
        <f t="shared" si="460"/>
        <v>0.10416926202462273</v>
      </c>
      <c r="U754" s="160">
        <f>IF($E754="","",IF($C754=12,INDEX(Input!$C$15:$CP$15,1,$B754),0))</f>
        <v>0</v>
      </c>
      <c r="V754" s="150">
        <f>IF(E754="","",IF(C754=1,IF($B754=1,Input!$C$33,Input!$C$34),0))</f>
        <v>0</v>
      </c>
      <c r="W754" s="156">
        <f>IF($E754="","",Input!$C$35)</f>
        <v>0.02</v>
      </c>
      <c r="X754" s="156">
        <f t="shared" si="458"/>
        <v>3.4135844322153761</v>
      </c>
      <c r="Y754" s="154"/>
      <c r="Z754" s="147">
        <f>IF($E754="","",VLOOKUP($D754,'Mortality Margins &amp; Grading'!$AB$5:$AF$125,3,0)*IF(Summary!$D$25="Included Margin",IF(AND($B754&gt;Input!$C$9,Summary!$D$31&lt;&gt;"Included Margin"),0,1),0))</f>
        <v>0.01</v>
      </c>
      <c r="AA754" s="147">
        <f>IF($E754="","",VLOOKUP($D754,'Mortality Margins &amp; Grading'!$AB$5:$AF$125,5,0)*IF(Summary!$D$25="Included Margin",IF(AND($B754&gt;Input!$C$9,Summary!$D$31&lt;&gt;"Included Margin"),0,1),0))</f>
        <v>5.2999999999999999E-2</v>
      </c>
      <c r="AB754" s="147">
        <f>IF($E754="","",IF(AND($B754&gt;Input!$C$9,Summary!$D$31&lt;&gt;"Included Margin"),1,IF(Summary!$D$25="Included Margin",VLOOKUP($B754,'Mortality Margins &amp; Grading'!$AI$5:$AR$125,MATCH('Mortality Margins &amp; Grading'!$AQ$4,'Mortality Margins &amp; Grading'!$AI$4:$AR$4,0),0),1)))</f>
        <v>0</v>
      </c>
      <c r="AC754" s="154"/>
      <c r="AD754" s="158">
        <f>IF(E754="","",Input!$C$48*IF(Summary!$D$30="Included Margin",IF(AND($B754&gt;Input!$C$9,Summary!$D$31&lt;&gt;"Included Margin"),0,1),0))</f>
        <v>-4.4999999999999997E-3</v>
      </c>
      <c r="AE754" s="159">
        <f>IF(E754="","",IF(Summary!$D$26="Included Margin",IF(AND($B754&gt;Input!$C$9,Summary!$D$31&lt;&gt;"Included Margin"),1,1/$R754),1))</f>
        <v>1.364485716343427</v>
      </c>
      <c r="AF754" s="160">
        <f>IF(E754="","",IF(AND($B754&gt;=Input!$C$9,$C754=12,Summary!$D$31="Included Margin",$U754&gt;0),1/U754-1,IF($B754&gt;=Input!$C$9,0,Input!$C$45*IF(Summary!$D$27="Included Margin",1,0))))</f>
        <v>0</v>
      </c>
      <c r="AG754" s="160">
        <f>IF(E754="","",Input!$C$46*IF(Summary!$D$28="Included Margin",IF(AND($B754&gt;Input!$C$9,Summary!$D$31&lt;&gt;"Included Margin"),0,1),0))</f>
        <v>0.02</v>
      </c>
      <c r="AH754" s="158">
        <f>IF(E754="","",Input!$C$47*IF(Summary!$D$29="Included Margin",IF(AND($B754&gt;Input!$C$9,Summary!$D$31&lt;&gt;"Included Margin"),0,1),0))</f>
        <v>2.5000000000000001E-3</v>
      </c>
      <c r="AI754" s="154"/>
      <c r="AJ754" s="158">
        <f t="shared" si="481"/>
        <v>4.3520000000000003E-2</v>
      </c>
      <c r="AK754" s="155">
        <f t="shared" si="482"/>
        <v>3.5562764001626501E-3</v>
      </c>
      <c r="AL754" s="147">
        <f t="shared" si="483"/>
        <v>1</v>
      </c>
      <c r="AM754" s="147">
        <f t="shared" si="461"/>
        <v>1</v>
      </c>
      <c r="AN754" s="160">
        <f t="shared" si="484"/>
        <v>0</v>
      </c>
      <c r="AO754" s="161">
        <f t="shared" si="485"/>
        <v>0</v>
      </c>
      <c r="AP754" s="156">
        <f t="shared" si="462"/>
        <v>3.9730646695493497</v>
      </c>
      <c r="AQ754" s="152"/>
      <c r="AR754" s="162">
        <f t="shared" si="463"/>
        <v>99822.501796328244</v>
      </c>
      <c r="AS754" s="150">
        <f t="shared" si="486"/>
        <v>0</v>
      </c>
      <c r="AT754" s="163">
        <f t="shared" si="464"/>
        <v>0</v>
      </c>
      <c r="AU754" s="163">
        <f t="shared" si="465"/>
        <v>100000</v>
      </c>
      <c r="AV754" s="163">
        <f t="shared" si="487"/>
        <v>177.18258733534338</v>
      </c>
      <c r="AW754" s="163">
        <f t="shared" si="466"/>
        <v>99822.817412664663</v>
      </c>
      <c r="AX754" s="163">
        <f t="shared" si="467"/>
        <v>0</v>
      </c>
      <c r="AY754" s="165">
        <f t="shared" si="488"/>
        <v>99822.501796328244</v>
      </c>
      <c r="AZ754" s="164">
        <f>IF($E754="","",IF(OR(AND($D754=Input!$C$6,$C754=12),$AN754=1),0,-AS755+AT755+AU755-AV755-AW755-AX755+AZ755))</f>
        <v>99822.817412664663</v>
      </c>
      <c r="BA754" s="154">
        <f t="shared" si="468"/>
        <v>0.31561633641831577</v>
      </c>
      <c r="BC754" s="147">
        <f t="shared" si="489"/>
        <v>1.2318617191228726E-12</v>
      </c>
      <c r="BD754" s="164">
        <f>IF(AND($C753=12,$D753=Input!$C$6),0,IF($E754="","",AT754+(AU754+BD755)/(1+$AK754)*MIN((1-AM754-AN754),1)))</f>
        <v>0</v>
      </c>
      <c r="BE754" s="164">
        <f t="shared" si="469"/>
        <v>0</v>
      </c>
      <c r="BF754" s="164">
        <f t="shared" si="490"/>
        <v>99822.817412664663</v>
      </c>
      <c r="BG754" s="164">
        <f t="shared" si="470"/>
        <v>1.2296790746565372E-7</v>
      </c>
      <c r="BH754" s="152"/>
      <c r="BI754" s="162">
        <f t="shared" si="471"/>
        <v>38067.810222064676</v>
      </c>
      <c r="BJ754" s="150">
        <f t="shared" si="472"/>
        <v>0</v>
      </c>
      <c r="BK754" s="163">
        <f t="shared" si="494"/>
        <v>0</v>
      </c>
      <c r="BL754" s="163">
        <f t="shared" si="473"/>
        <v>10416.926202462273</v>
      </c>
      <c r="BM754" s="163">
        <f t="shared" si="495"/>
        <v>128.68391231257371</v>
      </c>
      <c r="BN754" s="163">
        <f t="shared" si="474"/>
        <v>3230.2767928916865</v>
      </c>
      <c r="BO754" s="163">
        <f t="shared" si="475"/>
        <v>0</v>
      </c>
      <c r="BP754" s="164">
        <f t="shared" si="496"/>
        <v>31009.844724806662</v>
      </c>
      <c r="BQ754" s="164">
        <f>IF($E754="","",IF(AND($D754=Input!$C$6,$C754=12),0,-BJ755+BK755+BL755-BM755-BN755-BO755+BQ755))</f>
        <v>31009.884586953667</v>
      </c>
      <c r="BR754" s="161">
        <f t="shared" si="476"/>
        <v>0</v>
      </c>
      <c r="BT754" s="147">
        <f t="shared" si="477"/>
        <v>1.2318617191228726E-12</v>
      </c>
      <c r="BU754" s="164">
        <f>IF(AND($C753=12,$D753=Input!$C$6),0,IF($E754="","",BK754+(BL754+BU755)/(1+$AK754)*MIN((1-T754-U754),1)))</f>
        <v>80389.681660513452</v>
      </c>
      <c r="BV754" s="164">
        <f t="shared" si="478"/>
        <v>9.9028971450060561E-8</v>
      </c>
      <c r="BW754" s="164">
        <f t="shared" si="479"/>
        <v>31009.884586953667</v>
      </c>
      <c r="BX754" s="164">
        <f t="shared" si="480"/>
        <v>3.8199889737086614E-8</v>
      </c>
    </row>
    <row r="755" spans="1:76" s="150" customFormat="1" x14ac:dyDescent="0.25">
      <c r="A755" s="150">
        <f t="shared" si="491"/>
        <v>751</v>
      </c>
      <c r="B755" s="150">
        <f t="shared" si="492"/>
        <v>63</v>
      </c>
      <c r="C755" s="150">
        <f t="shared" si="493"/>
        <v>7</v>
      </c>
      <c r="D755" s="150">
        <f>IF(E755="","",Input!$C$4+B755-1)</f>
        <v>107</v>
      </c>
      <c r="E755" s="150">
        <f>IF(OR(AND(C754=12,D754=Input!$C$6),E754=""),"",1)</f>
        <v>1</v>
      </c>
      <c r="F755" s="150">
        <f>IF(E755="","",Input!$C$8+B755-1)</f>
        <v>2080</v>
      </c>
      <c r="G755" s="151">
        <f>IF(E755="","",MAX(0,Input!$C$9-B755))</f>
        <v>0</v>
      </c>
      <c r="H755" s="152">
        <f>IF(E755="","",Input!$C$3)</f>
        <v>100000</v>
      </c>
      <c r="I755" s="153">
        <f>IF(E755="","",HLOOKUP($B755,Input!$C$13:$BT$14,2))</f>
        <v>1000</v>
      </c>
      <c r="J755" s="154"/>
      <c r="K755" s="155">
        <f>IF($E755="","",INDEX(Input!$C$16:$CP$16,1,$B755))</f>
        <v>3.3020000000000001E-2</v>
      </c>
      <c r="L755" s="155">
        <f>IF($E755="","",Input!$C$37)</f>
        <v>1.4999999999999999E-2</v>
      </c>
      <c r="M755" s="155">
        <f t="shared" si="456"/>
        <v>4.802E-2</v>
      </c>
      <c r="N755" s="155">
        <f t="shared" si="457"/>
        <v>3.9162041728755259E-3</v>
      </c>
      <c r="O755" s="147">
        <f>IF($E755="","",MIN(VLOOKUP(IF($B755&lt;=Input!$C$7,$B755,26),'Mortality Tables'!$A$41:$CW$67,IF($B755&lt;=Input!$C$7+1,Input!$C$4+2,$D755-Input!$C$7+2),0)*IF(B755&gt;20,Input!$C$22,1)/1000,1))</f>
        <v>1</v>
      </c>
      <c r="P755" s="147">
        <f>IF($E755="","",MIN(VLOOKUP(IF($B755&lt;=Input!$C$7,$B755,26),'Mortality Tables'!$A$12:$CW$37,IF($B755&lt;=Input!$C$7+1,Input!$C$4+2,$D755-Input!$C$7+2),0)*IF(B755&gt;20,Input!$C$22,1)/1000,1))</f>
        <v>1</v>
      </c>
      <c r="Q755" s="155">
        <f>IF($E755="","",Input!$C$21)</f>
        <v>5.0000000000000001E-3</v>
      </c>
      <c r="R755" s="159">
        <f>IF($E755="","",(1-Q755)^($F755-Input!$C$20))</f>
        <v>0.73287685464368046</v>
      </c>
      <c r="S755" s="147">
        <f t="shared" si="459"/>
        <v>0.73287685464368046</v>
      </c>
      <c r="T755" s="147">
        <f t="shared" si="460"/>
        <v>0.10416926202462273</v>
      </c>
      <c r="U755" s="160">
        <f>IF($E755="","",IF($C755=12,INDEX(Input!$C$15:$CP$15,1,$B755),0))</f>
        <v>0</v>
      </c>
      <c r="V755" s="150">
        <f>IF(E755="","",IF(C755=1,IF($B755=1,Input!$C$33,Input!$C$34),0))</f>
        <v>0</v>
      </c>
      <c r="W755" s="156">
        <f>IF($E755="","",Input!$C$35)</f>
        <v>0.02</v>
      </c>
      <c r="X755" s="156">
        <f t="shared" si="458"/>
        <v>3.4135844322153761</v>
      </c>
      <c r="Y755" s="154"/>
      <c r="Z755" s="147">
        <f>IF($E755="","",VLOOKUP($D755,'Mortality Margins &amp; Grading'!$AB$5:$AF$125,3,0)*IF(Summary!$D$25="Included Margin",IF(AND($B755&gt;Input!$C$9,Summary!$D$31&lt;&gt;"Included Margin"),0,1),0))</f>
        <v>0.01</v>
      </c>
      <c r="AA755" s="147">
        <f>IF($E755="","",VLOOKUP($D755,'Mortality Margins &amp; Grading'!$AB$5:$AF$125,5,0)*IF(Summary!$D$25="Included Margin",IF(AND($B755&gt;Input!$C$9,Summary!$D$31&lt;&gt;"Included Margin"),0,1),0))</f>
        <v>5.2999999999999999E-2</v>
      </c>
      <c r="AB755" s="147">
        <f>IF($E755="","",IF(AND($B755&gt;Input!$C$9,Summary!$D$31&lt;&gt;"Included Margin"),1,IF(Summary!$D$25="Included Margin",VLOOKUP($B755,'Mortality Margins &amp; Grading'!$AI$5:$AR$125,MATCH('Mortality Margins &amp; Grading'!$AQ$4,'Mortality Margins &amp; Grading'!$AI$4:$AR$4,0),0),1)))</f>
        <v>0</v>
      </c>
      <c r="AC755" s="154"/>
      <c r="AD755" s="158">
        <f>IF(E755="","",Input!$C$48*IF(Summary!$D$30="Included Margin",IF(AND($B755&gt;Input!$C$9,Summary!$D$31&lt;&gt;"Included Margin"),0,1),0))</f>
        <v>-4.4999999999999997E-3</v>
      </c>
      <c r="AE755" s="159">
        <f>IF(E755="","",IF(Summary!$D$26="Included Margin",IF(AND($B755&gt;Input!$C$9,Summary!$D$31&lt;&gt;"Included Margin"),1,1/$R755),1))</f>
        <v>1.364485716343427</v>
      </c>
      <c r="AF755" s="160">
        <f>IF(E755="","",IF(AND($B755&gt;=Input!$C$9,$C755=12,Summary!$D$31="Included Margin",$U755&gt;0),1/U755-1,IF($B755&gt;=Input!$C$9,0,Input!$C$45*IF(Summary!$D$27="Included Margin",1,0))))</f>
        <v>0</v>
      </c>
      <c r="AG755" s="160">
        <f>IF(E755="","",Input!$C$46*IF(Summary!$D$28="Included Margin",IF(AND($B755&gt;Input!$C$9,Summary!$D$31&lt;&gt;"Included Margin"),0,1),0))</f>
        <v>0.02</v>
      </c>
      <c r="AH755" s="158">
        <f>IF(E755="","",Input!$C$47*IF(Summary!$D$29="Included Margin",IF(AND($B755&gt;Input!$C$9,Summary!$D$31&lt;&gt;"Included Margin"),0,1),0))</f>
        <v>2.5000000000000001E-3</v>
      </c>
      <c r="AI755" s="154"/>
      <c r="AJ755" s="158">
        <f t="shared" si="481"/>
        <v>4.3520000000000003E-2</v>
      </c>
      <c r="AK755" s="155">
        <f t="shared" si="482"/>
        <v>3.5562764001626501E-3</v>
      </c>
      <c r="AL755" s="147">
        <f t="shared" si="483"/>
        <v>1</v>
      </c>
      <c r="AM755" s="147">
        <f t="shared" si="461"/>
        <v>1</v>
      </c>
      <c r="AN755" s="160">
        <f t="shared" si="484"/>
        <v>0</v>
      </c>
      <c r="AO755" s="161">
        <f t="shared" si="485"/>
        <v>0</v>
      </c>
      <c r="AP755" s="156">
        <f t="shared" si="462"/>
        <v>3.9730646695493497</v>
      </c>
      <c r="AQ755" s="152"/>
      <c r="AR755" s="162">
        <f t="shared" si="463"/>
        <v>99822.501796328244</v>
      </c>
      <c r="AS755" s="150">
        <f t="shared" si="486"/>
        <v>0</v>
      </c>
      <c r="AT755" s="163">
        <f t="shared" si="464"/>
        <v>0</v>
      </c>
      <c r="AU755" s="163">
        <f t="shared" si="465"/>
        <v>100000</v>
      </c>
      <c r="AV755" s="163">
        <f t="shared" si="487"/>
        <v>177.18258733534338</v>
      </c>
      <c r="AW755" s="163">
        <f t="shared" si="466"/>
        <v>99822.817412664663</v>
      </c>
      <c r="AX755" s="163">
        <f t="shared" si="467"/>
        <v>0</v>
      </c>
      <c r="AY755" s="164">
        <f t="shared" si="488"/>
        <v>99822.501796328244</v>
      </c>
      <c r="AZ755" s="164">
        <f>IF($E755="","",IF(OR(AND($D755=Input!$C$6,$C755=12),$AN755=1),0,-AS756+AT756+AU756-AV756-AW756-AX756+AZ756))</f>
        <v>99822.817412664663</v>
      </c>
      <c r="BA755" s="154">
        <f t="shared" si="468"/>
        <v>0.31561633641831577</v>
      </c>
      <c r="BC755" s="147">
        <f t="shared" si="489"/>
        <v>1.1035395929254598E-12</v>
      </c>
      <c r="BD755" s="164">
        <f>IF(AND($C754=12,$D754=Input!$C$6),0,IF($E755="","",AT755+(AU755+BD756)/(1+$AK755)*MIN((1-AM755-AN755),1)))</f>
        <v>0</v>
      </c>
      <c r="BE755" s="164">
        <f t="shared" si="469"/>
        <v>0</v>
      </c>
      <c r="BF755" s="164">
        <f t="shared" si="490"/>
        <v>99822.817412664663</v>
      </c>
      <c r="BG755" s="164">
        <f t="shared" si="470"/>
        <v>1.1015843129224446E-7</v>
      </c>
      <c r="BH755" s="152"/>
      <c r="BI755" s="162">
        <f t="shared" si="471"/>
        <v>31009.844724806666</v>
      </c>
      <c r="BJ755" s="150">
        <f t="shared" si="472"/>
        <v>0</v>
      </c>
      <c r="BK755" s="163">
        <f t="shared" si="494"/>
        <v>0</v>
      </c>
      <c r="BL755" s="163">
        <f t="shared" si="473"/>
        <v>10416.926202462273</v>
      </c>
      <c r="BM755" s="163">
        <f t="shared" si="495"/>
        <v>101.0434783802004</v>
      </c>
      <c r="BN755" s="163">
        <f t="shared" si="474"/>
        <v>2406.3462114098088</v>
      </c>
      <c r="BO755" s="163">
        <f t="shared" si="475"/>
        <v>0</v>
      </c>
      <c r="BP755" s="164">
        <f t="shared" si="496"/>
        <v>23100.308212134401</v>
      </c>
      <c r="BQ755" s="164">
        <f>IF($E755="","",IF(AND($D755=Input!$C$6,$C755=12),0,-BJ756+BK756+BL756-BM756-BN756-BO756+BQ756))</f>
        <v>23100.348074281403</v>
      </c>
      <c r="BR755" s="161">
        <f t="shared" si="476"/>
        <v>0</v>
      </c>
      <c r="BT755" s="147">
        <f t="shared" si="477"/>
        <v>1.1035395929254598E-12</v>
      </c>
      <c r="BU755" s="164">
        <f>IF(AND($C754=12,$D754=Input!$C$6),0,IF($E755="","",BK755+(BL755+BU756)/(1+$AK755)*MIN((1-T755-U755),1)))</f>
        <v>79639.78447767155</v>
      </c>
      <c r="BV755" s="164">
        <f t="shared" si="478"/>
        <v>8.7885655343161015E-8</v>
      </c>
      <c r="BW755" s="164">
        <f t="shared" si="479"/>
        <v>23100.348074281403</v>
      </c>
      <c r="BX755" s="164">
        <f t="shared" si="480"/>
        <v>2.5492148710328929E-8</v>
      </c>
    </row>
    <row r="756" spans="1:76" s="150" customFormat="1" x14ac:dyDescent="0.25">
      <c r="A756" s="150">
        <f t="shared" si="491"/>
        <v>752</v>
      </c>
      <c r="B756" s="150">
        <f t="shared" si="492"/>
        <v>63</v>
      </c>
      <c r="C756" s="150">
        <f t="shared" si="493"/>
        <v>8</v>
      </c>
      <c r="D756" s="150">
        <f>IF(E756="","",Input!$C$4+B756-1)</f>
        <v>107</v>
      </c>
      <c r="E756" s="150">
        <f>IF(OR(AND(C755=12,D755=Input!$C$6),E755=""),"",1)</f>
        <v>1</v>
      </c>
      <c r="F756" s="150">
        <f>IF(E756="","",Input!$C$8+B756-1)</f>
        <v>2080</v>
      </c>
      <c r="G756" s="151">
        <f>IF(E756="","",MAX(0,Input!$C$9-B756))</f>
        <v>0</v>
      </c>
      <c r="H756" s="152">
        <f>IF(E756="","",Input!$C$3)</f>
        <v>100000</v>
      </c>
      <c r="I756" s="153">
        <f>IF(E756="","",HLOOKUP($B756,Input!$C$13:$BT$14,2))</f>
        <v>1000</v>
      </c>
      <c r="J756" s="154"/>
      <c r="K756" s="155">
        <f>IF($E756="","",INDEX(Input!$C$16:$CP$16,1,$B756))</f>
        <v>3.3020000000000001E-2</v>
      </c>
      <c r="L756" s="155">
        <f>IF($E756="","",Input!$C$37)</f>
        <v>1.4999999999999999E-2</v>
      </c>
      <c r="M756" s="155">
        <f t="shared" si="456"/>
        <v>4.802E-2</v>
      </c>
      <c r="N756" s="155">
        <f t="shared" si="457"/>
        <v>3.9162041728755259E-3</v>
      </c>
      <c r="O756" s="147">
        <f>IF($E756="","",MIN(VLOOKUP(IF($B756&lt;=Input!$C$7,$B756,26),'Mortality Tables'!$A$41:$CW$67,IF($B756&lt;=Input!$C$7+1,Input!$C$4+2,$D756-Input!$C$7+2),0)*IF(B756&gt;20,Input!$C$22,1)/1000,1))</f>
        <v>1</v>
      </c>
      <c r="P756" s="147">
        <f>IF($E756="","",MIN(VLOOKUP(IF($B756&lt;=Input!$C$7,$B756,26),'Mortality Tables'!$A$12:$CW$37,IF($B756&lt;=Input!$C$7+1,Input!$C$4+2,$D756-Input!$C$7+2),0)*IF(B756&gt;20,Input!$C$22,1)/1000,1))</f>
        <v>1</v>
      </c>
      <c r="Q756" s="155">
        <f>IF($E756="","",Input!$C$21)</f>
        <v>5.0000000000000001E-3</v>
      </c>
      <c r="R756" s="159">
        <f>IF($E756="","",(1-Q756)^($F756-Input!$C$20))</f>
        <v>0.73287685464368046</v>
      </c>
      <c r="S756" s="147">
        <f t="shared" si="459"/>
        <v>0.73287685464368046</v>
      </c>
      <c r="T756" s="147">
        <f t="shared" si="460"/>
        <v>0.10416926202462273</v>
      </c>
      <c r="U756" s="160">
        <f>IF($E756="","",IF($C756=12,INDEX(Input!$C$15:$CP$15,1,$B756),0))</f>
        <v>0</v>
      </c>
      <c r="V756" s="150">
        <f>IF(E756="","",IF(C756=1,IF($B756=1,Input!$C$33,Input!$C$34),0))</f>
        <v>0</v>
      </c>
      <c r="W756" s="156">
        <f>IF($E756="","",Input!$C$35)</f>
        <v>0.02</v>
      </c>
      <c r="X756" s="156">
        <f t="shared" si="458"/>
        <v>3.4135844322153761</v>
      </c>
      <c r="Y756" s="154"/>
      <c r="Z756" s="147">
        <f>IF($E756="","",VLOOKUP($D756,'Mortality Margins &amp; Grading'!$AB$5:$AF$125,3,0)*IF(Summary!$D$25="Included Margin",IF(AND($B756&gt;Input!$C$9,Summary!$D$31&lt;&gt;"Included Margin"),0,1),0))</f>
        <v>0.01</v>
      </c>
      <c r="AA756" s="147">
        <f>IF($E756="","",VLOOKUP($D756,'Mortality Margins &amp; Grading'!$AB$5:$AF$125,5,0)*IF(Summary!$D$25="Included Margin",IF(AND($B756&gt;Input!$C$9,Summary!$D$31&lt;&gt;"Included Margin"),0,1),0))</f>
        <v>5.2999999999999999E-2</v>
      </c>
      <c r="AB756" s="147">
        <f>IF($E756="","",IF(AND($B756&gt;Input!$C$9,Summary!$D$31&lt;&gt;"Included Margin"),1,IF(Summary!$D$25="Included Margin",VLOOKUP($B756,'Mortality Margins &amp; Grading'!$AI$5:$AR$125,MATCH('Mortality Margins &amp; Grading'!$AQ$4,'Mortality Margins &amp; Grading'!$AI$4:$AR$4,0),0),1)))</f>
        <v>0</v>
      </c>
      <c r="AC756" s="154"/>
      <c r="AD756" s="158">
        <f>IF(E756="","",Input!$C$48*IF(Summary!$D$30="Included Margin",IF(AND($B756&gt;Input!$C$9,Summary!$D$31&lt;&gt;"Included Margin"),0,1),0))</f>
        <v>-4.4999999999999997E-3</v>
      </c>
      <c r="AE756" s="159">
        <f>IF(E756="","",IF(Summary!$D$26="Included Margin",IF(AND($B756&gt;Input!$C$9,Summary!$D$31&lt;&gt;"Included Margin"),1,1/$R756),1))</f>
        <v>1.364485716343427</v>
      </c>
      <c r="AF756" s="160">
        <f>IF(E756="","",IF(AND($B756&gt;=Input!$C$9,$C756=12,Summary!$D$31="Included Margin",$U756&gt;0),1/U756-1,IF($B756&gt;=Input!$C$9,0,Input!$C$45*IF(Summary!$D$27="Included Margin",1,0))))</f>
        <v>0</v>
      </c>
      <c r="AG756" s="160">
        <f>IF(E756="","",Input!$C$46*IF(Summary!$D$28="Included Margin",IF(AND($B756&gt;Input!$C$9,Summary!$D$31&lt;&gt;"Included Margin"),0,1),0))</f>
        <v>0.02</v>
      </c>
      <c r="AH756" s="158">
        <f>IF(E756="","",Input!$C$47*IF(Summary!$D$29="Included Margin",IF(AND($B756&gt;Input!$C$9,Summary!$D$31&lt;&gt;"Included Margin"),0,1),0))</f>
        <v>2.5000000000000001E-3</v>
      </c>
      <c r="AI756" s="154"/>
      <c r="AJ756" s="158">
        <f t="shared" si="481"/>
        <v>4.3520000000000003E-2</v>
      </c>
      <c r="AK756" s="155">
        <f t="shared" si="482"/>
        <v>3.5562764001626501E-3</v>
      </c>
      <c r="AL756" s="147">
        <f t="shared" si="483"/>
        <v>1</v>
      </c>
      <c r="AM756" s="147">
        <f t="shared" si="461"/>
        <v>1</v>
      </c>
      <c r="AN756" s="160">
        <f t="shared" si="484"/>
        <v>0</v>
      </c>
      <c r="AO756" s="161">
        <f t="shared" si="485"/>
        <v>0</v>
      </c>
      <c r="AP756" s="156">
        <f t="shared" si="462"/>
        <v>3.9730646695493497</v>
      </c>
      <c r="AQ756" s="152"/>
      <c r="AR756" s="162">
        <f t="shared" si="463"/>
        <v>99822.501796328244</v>
      </c>
      <c r="AS756" s="150">
        <f t="shared" si="486"/>
        <v>0</v>
      </c>
      <c r="AT756" s="163">
        <f t="shared" si="464"/>
        <v>0</v>
      </c>
      <c r="AU756" s="163">
        <f t="shared" si="465"/>
        <v>100000</v>
      </c>
      <c r="AV756" s="163">
        <f t="shared" si="487"/>
        <v>177.18258733534338</v>
      </c>
      <c r="AW756" s="163">
        <f t="shared" si="466"/>
        <v>99822.817412664663</v>
      </c>
      <c r="AX756" s="163">
        <f t="shared" si="467"/>
        <v>0</v>
      </c>
      <c r="AY756" s="165">
        <f t="shared" si="488"/>
        <v>99822.501796328244</v>
      </c>
      <c r="AZ756" s="164">
        <f>IF($E756="","",IF(OR(AND($D756=Input!$C$6,$C756=12),$AN756=1),0,-AS757+AT757+AU757-AV757-AW757-AX757+AZ757))</f>
        <v>99822.817412664663</v>
      </c>
      <c r="BA756" s="154">
        <f t="shared" si="468"/>
        <v>0.31561633641831577</v>
      </c>
      <c r="BC756" s="147">
        <f t="shared" si="489"/>
        <v>9.8858468791546206E-13</v>
      </c>
      <c r="BD756" s="164">
        <f>IF(AND($C755=12,$D755=Input!$C$6),0,IF($E756="","",AT756+(AU756+BD757)/(1+$AK756)*MIN((1-AM756-AN756),1)))</f>
        <v>0</v>
      </c>
      <c r="BE756" s="164">
        <f t="shared" si="469"/>
        <v>0</v>
      </c>
      <c r="BF756" s="164">
        <f t="shared" si="490"/>
        <v>99822.817412664663</v>
      </c>
      <c r="BG756" s="164">
        <f t="shared" si="470"/>
        <v>9.8683308798741246E-8</v>
      </c>
      <c r="BH756" s="152"/>
      <c r="BI756" s="162">
        <f t="shared" si="471"/>
        <v>23100.308212134401</v>
      </c>
      <c r="BJ756" s="150">
        <f t="shared" si="472"/>
        <v>0</v>
      </c>
      <c r="BK756" s="163">
        <f t="shared" si="494"/>
        <v>0</v>
      </c>
      <c r="BL756" s="163">
        <f t="shared" si="473"/>
        <v>10416.926202462273</v>
      </c>
      <c r="BM756" s="163">
        <f t="shared" si="495"/>
        <v>70.068118483761936</v>
      </c>
      <c r="BN756" s="163">
        <f t="shared" si="474"/>
        <v>1483.0051975340689</v>
      </c>
      <c r="BO756" s="163">
        <f t="shared" si="475"/>
        <v>0</v>
      </c>
      <c r="BP756" s="164">
        <f t="shared" si="496"/>
        <v>14236.455325689958</v>
      </c>
      <c r="BQ756" s="164">
        <f>IF($E756="","",IF(AND($D756=Input!$C$6,$C756=12),0,-BJ757+BK757+BL757-BM757-BN757-BO757+BQ757))</f>
        <v>14236.495187836959</v>
      </c>
      <c r="BR756" s="161">
        <f t="shared" si="476"/>
        <v>0</v>
      </c>
      <c r="BT756" s="147">
        <f t="shared" si="477"/>
        <v>9.8858468791546206E-13</v>
      </c>
      <c r="BU756" s="164">
        <f>IF(AND($C755=12,$D755=Input!$C$6),0,IF($E756="","",BK756+(BL756+BU757)/(1+$AK756)*MIN((1-T756-U756),1)))</f>
        <v>78799.710574652068</v>
      </c>
      <c r="BV756" s="164">
        <f t="shared" si="478"/>
        <v>7.7900187286271149E-8</v>
      </c>
      <c r="BW756" s="164">
        <f t="shared" si="479"/>
        <v>14236.495187836959</v>
      </c>
      <c r="BX756" s="164">
        <f t="shared" si="480"/>
        <v>1.4073981152277778E-8</v>
      </c>
    </row>
    <row r="757" spans="1:76" s="150" customFormat="1" x14ac:dyDescent="0.25">
      <c r="A757" s="150">
        <f t="shared" si="491"/>
        <v>753</v>
      </c>
      <c r="B757" s="150">
        <f t="shared" si="492"/>
        <v>63</v>
      </c>
      <c r="C757" s="150">
        <f t="shared" si="493"/>
        <v>9</v>
      </c>
      <c r="D757" s="150">
        <f>IF(E757="","",Input!$C$4+B757-1)</f>
        <v>107</v>
      </c>
      <c r="E757" s="150">
        <f>IF(OR(AND(C756=12,D756=Input!$C$6),E756=""),"",1)</f>
        <v>1</v>
      </c>
      <c r="F757" s="150">
        <f>IF(E757="","",Input!$C$8+B757-1)</f>
        <v>2080</v>
      </c>
      <c r="G757" s="151">
        <f>IF(E757="","",MAX(0,Input!$C$9-B757))</f>
        <v>0</v>
      </c>
      <c r="H757" s="152">
        <f>IF(E757="","",Input!$C$3)</f>
        <v>100000</v>
      </c>
      <c r="I757" s="153">
        <f>IF(E757="","",HLOOKUP($B757,Input!$C$13:$BT$14,2))</f>
        <v>1000</v>
      </c>
      <c r="J757" s="154"/>
      <c r="K757" s="155">
        <f>IF($E757="","",INDEX(Input!$C$16:$CP$16,1,$B757))</f>
        <v>3.3020000000000001E-2</v>
      </c>
      <c r="L757" s="155">
        <f>IF($E757="","",Input!$C$37)</f>
        <v>1.4999999999999999E-2</v>
      </c>
      <c r="M757" s="155">
        <f t="shared" ref="M757:M820" si="497">IF($E757="","",K757+L757)</f>
        <v>4.802E-2</v>
      </c>
      <c r="N757" s="155">
        <f t="shared" ref="N757:N820" si="498">IF($E757="","",(1+M757)^(1/12)-1)</f>
        <v>3.9162041728755259E-3</v>
      </c>
      <c r="O757" s="147">
        <f>IF($E757="","",MIN(VLOOKUP(IF($B757&lt;=Input!$C$7,$B757,26),'Mortality Tables'!$A$41:$CW$67,IF($B757&lt;=Input!$C$7+1,Input!$C$4+2,$D757-Input!$C$7+2),0)*IF(B757&gt;20,Input!$C$22,1)/1000,1))</f>
        <v>1</v>
      </c>
      <c r="P757" s="147">
        <f>IF($E757="","",MIN(VLOOKUP(IF($B757&lt;=Input!$C$7,$B757,26),'Mortality Tables'!$A$12:$CW$37,IF($B757&lt;=Input!$C$7+1,Input!$C$4+2,$D757-Input!$C$7+2),0)*IF(B757&gt;20,Input!$C$22,1)/1000,1))</f>
        <v>1</v>
      </c>
      <c r="Q757" s="155">
        <f>IF($E757="","",Input!$C$21)</f>
        <v>5.0000000000000001E-3</v>
      </c>
      <c r="R757" s="159">
        <f>IF($E757="","",(1-Q757)^($F757-Input!$C$20))</f>
        <v>0.73287685464368046</v>
      </c>
      <c r="S757" s="147">
        <f t="shared" si="459"/>
        <v>0.73287685464368046</v>
      </c>
      <c r="T757" s="147">
        <f t="shared" si="460"/>
        <v>0.10416926202462273</v>
      </c>
      <c r="U757" s="160">
        <f>IF($E757="","",IF($C757=12,INDEX(Input!$C$15:$CP$15,1,$B757),0))</f>
        <v>0</v>
      </c>
      <c r="V757" s="150">
        <f>IF(E757="","",IF(C757=1,IF($B757=1,Input!$C$33,Input!$C$34),0))</f>
        <v>0</v>
      </c>
      <c r="W757" s="156">
        <f>IF($E757="","",Input!$C$35)</f>
        <v>0.02</v>
      </c>
      <c r="X757" s="156">
        <f t="shared" ref="X757:X820" si="499">IF($E757="","",IF(B757=1,1,IF(C757=1,(1+W757)*X756,X756)))</f>
        <v>3.4135844322153761</v>
      </c>
      <c r="Y757" s="154"/>
      <c r="Z757" s="147">
        <f>IF($E757="","",VLOOKUP($D757,'Mortality Margins &amp; Grading'!$AB$5:$AF$125,3,0)*IF(Summary!$D$25="Included Margin",IF(AND($B757&gt;Input!$C$9,Summary!$D$31&lt;&gt;"Included Margin"),0,1),0))</f>
        <v>0.01</v>
      </c>
      <c r="AA757" s="147">
        <f>IF($E757="","",VLOOKUP($D757,'Mortality Margins &amp; Grading'!$AB$5:$AF$125,5,0)*IF(Summary!$D$25="Included Margin",IF(AND($B757&gt;Input!$C$9,Summary!$D$31&lt;&gt;"Included Margin"),0,1),0))</f>
        <v>5.2999999999999999E-2</v>
      </c>
      <c r="AB757" s="147">
        <f>IF($E757="","",IF(AND($B757&gt;Input!$C$9,Summary!$D$31&lt;&gt;"Included Margin"),1,IF(Summary!$D$25="Included Margin",VLOOKUP($B757,'Mortality Margins &amp; Grading'!$AI$5:$AR$125,MATCH('Mortality Margins &amp; Grading'!$AQ$4,'Mortality Margins &amp; Grading'!$AI$4:$AR$4,0),0),1)))</f>
        <v>0</v>
      </c>
      <c r="AC757" s="154"/>
      <c r="AD757" s="158">
        <f>IF(E757="","",Input!$C$48*IF(Summary!$D$30="Included Margin",IF(AND($B757&gt;Input!$C$9,Summary!$D$31&lt;&gt;"Included Margin"),0,1),0))</f>
        <v>-4.4999999999999997E-3</v>
      </c>
      <c r="AE757" s="159">
        <f>IF(E757="","",IF(Summary!$D$26="Included Margin",IF(AND($B757&gt;Input!$C$9,Summary!$D$31&lt;&gt;"Included Margin"),1,1/$R757),1))</f>
        <v>1.364485716343427</v>
      </c>
      <c r="AF757" s="160">
        <f>IF(E757="","",IF(AND($B757&gt;=Input!$C$9,$C757=12,Summary!$D$31="Included Margin",$U757&gt;0),1/U757-1,IF($B757&gt;=Input!$C$9,0,Input!$C$45*IF(Summary!$D$27="Included Margin",1,0))))</f>
        <v>0</v>
      </c>
      <c r="AG757" s="160">
        <f>IF(E757="","",Input!$C$46*IF(Summary!$D$28="Included Margin",IF(AND($B757&gt;Input!$C$9,Summary!$D$31&lt;&gt;"Included Margin"),0,1),0))</f>
        <v>0.02</v>
      </c>
      <c r="AH757" s="158">
        <f>IF(E757="","",Input!$C$47*IF(Summary!$D$29="Included Margin",IF(AND($B757&gt;Input!$C$9,Summary!$D$31&lt;&gt;"Included Margin"),0,1),0))</f>
        <v>2.5000000000000001E-3</v>
      </c>
      <c r="AI757" s="154"/>
      <c r="AJ757" s="158">
        <f t="shared" si="481"/>
        <v>4.3520000000000003E-2</v>
      </c>
      <c r="AK757" s="155">
        <f t="shared" si="482"/>
        <v>3.5562764001626501E-3</v>
      </c>
      <c r="AL757" s="147">
        <f t="shared" si="483"/>
        <v>1</v>
      </c>
      <c r="AM757" s="147">
        <f t="shared" si="461"/>
        <v>1</v>
      </c>
      <c r="AN757" s="160">
        <f t="shared" si="484"/>
        <v>0</v>
      </c>
      <c r="AO757" s="161">
        <f t="shared" si="485"/>
        <v>0</v>
      </c>
      <c r="AP757" s="156">
        <f t="shared" si="462"/>
        <v>3.9730646695493497</v>
      </c>
      <c r="AQ757" s="152"/>
      <c r="AR757" s="162">
        <f t="shared" si="463"/>
        <v>99822.501796328244</v>
      </c>
      <c r="AS757" s="150">
        <f t="shared" si="486"/>
        <v>0</v>
      </c>
      <c r="AT757" s="163">
        <f t="shared" si="464"/>
        <v>0</v>
      </c>
      <c r="AU757" s="163">
        <f t="shared" si="465"/>
        <v>100000</v>
      </c>
      <c r="AV757" s="163">
        <f t="shared" si="487"/>
        <v>177.18258733534338</v>
      </c>
      <c r="AW757" s="163">
        <f t="shared" si="466"/>
        <v>99822.817412664663</v>
      </c>
      <c r="AX757" s="163">
        <f t="shared" si="467"/>
        <v>0</v>
      </c>
      <c r="AY757" s="164">
        <f t="shared" si="488"/>
        <v>99822.501796328244</v>
      </c>
      <c r="AZ757" s="164">
        <f>IF($E757="","",IF(OR(AND($D757=Input!$C$6,$C757=12),$AN757=1),0,-AS758+AT758+AU758-AV758-AW758-AX758+AZ758))</f>
        <v>99822.817412664663</v>
      </c>
      <c r="BA757" s="154">
        <f t="shared" si="468"/>
        <v>0.31561633641831577</v>
      </c>
      <c r="BC757" s="147">
        <f t="shared" si="489"/>
        <v>8.8560455052646642E-13</v>
      </c>
      <c r="BD757" s="164">
        <f>IF(AND($C756=12,$D756=Input!$C$6),0,IF($E757="","",AT757+(AU757+BD758)/(1+$AK757)*MIN((1-AM757-AN757),1)))</f>
        <v>0</v>
      </c>
      <c r="BE757" s="164">
        <f t="shared" si="469"/>
        <v>0</v>
      </c>
      <c r="BF757" s="164">
        <f t="shared" si="490"/>
        <v>99822.817412664663</v>
      </c>
      <c r="BG757" s="164">
        <f t="shared" si="470"/>
        <v>8.840354134702841E-8</v>
      </c>
      <c r="BH757" s="152"/>
      <c r="BI757" s="162">
        <f t="shared" si="471"/>
        <v>14236.455325689958</v>
      </c>
      <c r="BJ757" s="150">
        <f t="shared" si="472"/>
        <v>0</v>
      </c>
      <c r="BK757" s="163">
        <f t="shared" si="494"/>
        <v>0</v>
      </c>
      <c r="BL757" s="163">
        <f t="shared" si="473"/>
        <v>10416.926202462273</v>
      </c>
      <c r="BM757" s="163">
        <f t="shared" si="495"/>
        <v>35.355460822113436</v>
      </c>
      <c r="BN757" s="163">
        <f t="shared" si="474"/>
        <v>448.25949557006089</v>
      </c>
      <c r="BO757" s="163">
        <f t="shared" si="475"/>
        <v>0</v>
      </c>
      <c r="BP757" s="164">
        <f t="shared" si="496"/>
        <v>4303.1440796198594</v>
      </c>
      <c r="BQ757" s="164">
        <f>IF($E757="","",IF(AND($D757=Input!$C$6,$C757=12),0,-BJ758+BK758+BL758-BM758-BN758-BO758+BQ758))</f>
        <v>4303.1839417668598</v>
      </c>
      <c r="BR757" s="161">
        <f t="shared" si="476"/>
        <v>0</v>
      </c>
      <c r="BT757" s="147">
        <f t="shared" si="477"/>
        <v>8.8560455052646642E-13</v>
      </c>
      <c r="BU757" s="164">
        <f>IF(AND($C756=12,$D756=Input!$C$6),0,IF($E757="","",BK757+(BL757+BU758)/(1+$AK757)*MIN((1-T757-U757),1)))</f>
        <v>77858.616010381433</v>
      </c>
      <c r="BV757" s="164">
        <f t="shared" si="478"/>
        <v>6.8951944636486593E-8</v>
      </c>
      <c r="BW757" s="164">
        <f t="shared" si="479"/>
        <v>4303.1839417668598</v>
      </c>
      <c r="BX757" s="164">
        <f t="shared" si="480"/>
        <v>3.8109192805811477E-9</v>
      </c>
    </row>
    <row r="758" spans="1:76" s="150" customFormat="1" x14ac:dyDescent="0.25">
      <c r="A758" s="150">
        <f t="shared" si="491"/>
        <v>754</v>
      </c>
      <c r="B758" s="150">
        <f t="shared" si="492"/>
        <v>63</v>
      </c>
      <c r="C758" s="150">
        <f t="shared" si="493"/>
        <v>10</v>
      </c>
      <c r="D758" s="150">
        <f>IF(E758="","",Input!$C$4+B758-1)</f>
        <v>107</v>
      </c>
      <c r="E758" s="150">
        <f>IF(OR(AND(C757=12,D757=Input!$C$6),E757=""),"",1)</f>
        <v>1</v>
      </c>
      <c r="F758" s="150">
        <f>IF(E758="","",Input!$C$8+B758-1)</f>
        <v>2080</v>
      </c>
      <c r="G758" s="151">
        <f>IF(E758="","",MAX(0,Input!$C$9-B758))</f>
        <v>0</v>
      </c>
      <c r="H758" s="152">
        <f>IF(E758="","",Input!$C$3)</f>
        <v>100000</v>
      </c>
      <c r="I758" s="153">
        <f>IF(E758="","",HLOOKUP($B758,Input!$C$13:$BT$14,2))</f>
        <v>1000</v>
      </c>
      <c r="J758" s="154"/>
      <c r="K758" s="155">
        <f>IF($E758="","",INDEX(Input!$C$16:$CP$16,1,$B758))</f>
        <v>3.3020000000000001E-2</v>
      </c>
      <c r="L758" s="155">
        <f>IF($E758="","",Input!$C$37)</f>
        <v>1.4999999999999999E-2</v>
      </c>
      <c r="M758" s="155">
        <f t="shared" si="497"/>
        <v>4.802E-2</v>
      </c>
      <c r="N758" s="155">
        <f t="shared" si="498"/>
        <v>3.9162041728755259E-3</v>
      </c>
      <c r="O758" s="147">
        <f>IF($E758="","",MIN(VLOOKUP(IF($B758&lt;=Input!$C$7,$B758,26),'Mortality Tables'!$A$41:$CW$67,IF($B758&lt;=Input!$C$7+1,Input!$C$4+2,$D758-Input!$C$7+2),0)*IF(B758&gt;20,Input!$C$22,1)/1000,1))</f>
        <v>1</v>
      </c>
      <c r="P758" s="147">
        <f>IF($E758="","",MIN(VLOOKUP(IF($B758&lt;=Input!$C$7,$B758,26),'Mortality Tables'!$A$12:$CW$37,IF($B758&lt;=Input!$C$7+1,Input!$C$4+2,$D758-Input!$C$7+2),0)*IF(B758&gt;20,Input!$C$22,1)/1000,1))</f>
        <v>1</v>
      </c>
      <c r="Q758" s="155">
        <f>IF($E758="","",Input!$C$21)</f>
        <v>5.0000000000000001E-3</v>
      </c>
      <c r="R758" s="159">
        <f>IF($E758="","",(1-Q758)^($F758-Input!$C$20))</f>
        <v>0.73287685464368046</v>
      </c>
      <c r="S758" s="147">
        <f t="shared" si="459"/>
        <v>0.73287685464368046</v>
      </c>
      <c r="T758" s="147">
        <f t="shared" si="460"/>
        <v>0.10416926202462273</v>
      </c>
      <c r="U758" s="160">
        <f>IF($E758="","",IF($C758=12,INDEX(Input!$C$15:$CP$15,1,$B758),0))</f>
        <v>0</v>
      </c>
      <c r="V758" s="150">
        <f>IF(E758="","",IF(C758=1,IF($B758=1,Input!$C$33,Input!$C$34),0))</f>
        <v>0</v>
      </c>
      <c r="W758" s="156">
        <f>IF($E758="","",Input!$C$35)</f>
        <v>0.02</v>
      </c>
      <c r="X758" s="156">
        <f t="shared" si="499"/>
        <v>3.4135844322153761</v>
      </c>
      <c r="Y758" s="154"/>
      <c r="Z758" s="147">
        <f>IF($E758="","",VLOOKUP($D758,'Mortality Margins &amp; Grading'!$AB$5:$AF$125,3,0)*IF(Summary!$D$25="Included Margin",IF(AND($B758&gt;Input!$C$9,Summary!$D$31&lt;&gt;"Included Margin"),0,1),0))</f>
        <v>0.01</v>
      </c>
      <c r="AA758" s="147">
        <f>IF($E758="","",VLOOKUP($D758,'Mortality Margins &amp; Grading'!$AB$5:$AF$125,5,0)*IF(Summary!$D$25="Included Margin",IF(AND($B758&gt;Input!$C$9,Summary!$D$31&lt;&gt;"Included Margin"),0,1),0))</f>
        <v>5.2999999999999999E-2</v>
      </c>
      <c r="AB758" s="147">
        <f>IF($E758="","",IF(AND($B758&gt;Input!$C$9,Summary!$D$31&lt;&gt;"Included Margin"),1,IF(Summary!$D$25="Included Margin",VLOOKUP($B758,'Mortality Margins &amp; Grading'!$AI$5:$AR$125,MATCH('Mortality Margins &amp; Grading'!$AQ$4,'Mortality Margins &amp; Grading'!$AI$4:$AR$4,0),0),1)))</f>
        <v>0</v>
      </c>
      <c r="AC758" s="154"/>
      <c r="AD758" s="158">
        <f>IF(E758="","",Input!$C$48*IF(Summary!$D$30="Included Margin",IF(AND($B758&gt;Input!$C$9,Summary!$D$31&lt;&gt;"Included Margin"),0,1),0))</f>
        <v>-4.4999999999999997E-3</v>
      </c>
      <c r="AE758" s="159">
        <f>IF(E758="","",IF(Summary!$D$26="Included Margin",IF(AND($B758&gt;Input!$C$9,Summary!$D$31&lt;&gt;"Included Margin"),1,1/$R758),1))</f>
        <v>1.364485716343427</v>
      </c>
      <c r="AF758" s="160">
        <f>IF(E758="","",IF(AND($B758&gt;=Input!$C$9,$C758=12,Summary!$D$31="Included Margin",$U758&gt;0),1/U758-1,IF($B758&gt;=Input!$C$9,0,Input!$C$45*IF(Summary!$D$27="Included Margin",1,0))))</f>
        <v>0</v>
      </c>
      <c r="AG758" s="160">
        <f>IF(E758="","",Input!$C$46*IF(Summary!$D$28="Included Margin",IF(AND($B758&gt;Input!$C$9,Summary!$D$31&lt;&gt;"Included Margin"),0,1),0))</f>
        <v>0.02</v>
      </c>
      <c r="AH758" s="158">
        <f>IF(E758="","",Input!$C$47*IF(Summary!$D$29="Included Margin",IF(AND($B758&gt;Input!$C$9,Summary!$D$31&lt;&gt;"Included Margin"),0,1),0))</f>
        <v>2.5000000000000001E-3</v>
      </c>
      <c r="AI758" s="154"/>
      <c r="AJ758" s="158">
        <f t="shared" si="481"/>
        <v>4.3520000000000003E-2</v>
      </c>
      <c r="AK758" s="155">
        <f t="shared" si="482"/>
        <v>3.5562764001626501E-3</v>
      </c>
      <c r="AL758" s="147">
        <f t="shared" si="483"/>
        <v>1</v>
      </c>
      <c r="AM758" s="147">
        <f t="shared" si="461"/>
        <v>1</v>
      </c>
      <c r="AN758" s="160">
        <f t="shared" si="484"/>
        <v>0</v>
      </c>
      <c r="AO758" s="161">
        <f t="shared" si="485"/>
        <v>0</v>
      </c>
      <c r="AP758" s="156">
        <f t="shared" si="462"/>
        <v>3.9730646695493497</v>
      </c>
      <c r="AQ758" s="152"/>
      <c r="AR758" s="162">
        <f t="shared" si="463"/>
        <v>99822.501796328244</v>
      </c>
      <c r="AS758" s="150">
        <f t="shared" si="486"/>
        <v>0</v>
      </c>
      <c r="AT758" s="163">
        <f t="shared" si="464"/>
        <v>0</v>
      </c>
      <c r="AU758" s="163">
        <f t="shared" si="465"/>
        <v>100000</v>
      </c>
      <c r="AV758" s="163">
        <f t="shared" si="487"/>
        <v>177.18258733534338</v>
      </c>
      <c r="AW758" s="163">
        <f t="shared" si="466"/>
        <v>99822.817412664663</v>
      </c>
      <c r="AX758" s="163">
        <f t="shared" si="467"/>
        <v>0</v>
      </c>
      <c r="AY758" s="165">
        <f t="shared" si="488"/>
        <v>99822.501796328244</v>
      </c>
      <c r="AZ758" s="164">
        <f>IF($E758="","",IF(OR(AND($D758=Input!$C$6,$C758=12),$AN758=1),0,-AS759+AT759+AU759-AV759-AW759-AX759+AZ759))</f>
        <v>99822.817412664663</v>
      </c>
      <c r="BA758" s="154">
        <f t="shared" si="468"/>
        <v>0.31561633641831577</v>
      </c>
      <c r="BC758" s="147">
        <f t="shared" si="489"/>
        <v>7.9335177805247666E-13</v>
      </c>
      <c r="BD758" s="164">
        <f>IF(AND($C757=12,$D757=Input!$C$6),0,IF($E758="","",AT758+(AU758+BD759)/(1+$AK758)*MIN((1-AM758-AN758),1)))</f>
        <v>0</v>
      </c>
      <c r="BE758" s="164">
        <f t="shared" si="469"/>
        <v>0</v>
      </c>
      <c r="BF758" s="164">
        <f t="shared" si="490"/>
        <v>99822.817412664663</v>
      </c>
      <c r="BG758" s="164">
        <f t="shared" si="470"/>
        <v>7.919460968454524E-8</v>
      </c>
      <c r="BH758" s="152"/>
      <c r="BI758" s="162">
        <f t="shared" si="471"/>
        <v>4303.1440796198603</v>
      </c>
      <c r="BJ758" s="150">
        <f t="shared" si="472"/>
        <v>0</v>
      </c>
      <c r="BK758" s="163">
        <f t="shared" si="494"/>
        <v>0</v>
      </c>
      <c r="BL758" s="163">
        <f t="shared" si="473"/>
        <v>10416.926202462273</v>
      </c>
      <c r="BM758" s="163">
        <f t="shared" si="495"/>
        <v>-3.5454141302176683</v>
      </c>
      <c r="BN758" s="163">
        <f t="shared" si="474"/>
        <v>-711.33230382235581</v>
      </c>
      <c r="BO758" s="163">
        <f t="shared" si="475"/>
        <v>0</v>
      </c>
      <c r="BP758" s="164">
        <f t="shared" si="496"/>
        <v>-6828.6598407949868</v>
      </c>
      <c r="BQ758" s="164">
        <f>IF($E758="","",IF(AND($D758=Input!$C$6,$C758=12),0,-BJ759+BK759+BL759-BM759-BN759-BO759+BQ759))</f>
        <v>-6828.6199786479865</v>
      </c>
      <c r="BR758" s="161">
        <f t="shared" si="476"/>
        <v>0</v>
      </c>
      <c r="BT758" s="147">
        <f t="shared" si="477"/>
        <v>7.9335177805247666E-13</v>
      </c>
      <c r="BU758" s="164">
        <f>IF(AND($C757=12,$D757=Input!$C$6),0,IF($E758="","",BK758+(BL758+BU759)/(1+$AK758)*MIN((1-T758-U758),1)))</f>
        <v>76804.352836967286</v>
      </c>
      <c r="BV758" s="164">
        <f t="shared" si="478"/>
        <v>6.093286988537778E-8</v>
      </c>
      <c r="BW758" s="164">
        <f t="shared" si="479"/>
        <v>-6828.6199786479865</v>
      </c>
      <c r="BX758" s="164">
        <f t="shared" si="480"/>
        <v>-5.4174978017050456E-9</v>
      </c>
    </row>
    <row r="759" spans="1:76" s="150" customFormat="1" x14ac:dyDescent="0.25">
      <c r="A759" s="150">
        <f t="shared" si="491"/>
        <v>755</v>
      </c>
      <c r="B759" s="150">
        <f t="shared" si="492"/>
        <v>63</v>
      </c>
      <c r="C759" s="150">
        <f t="shared" si="493"/>
        <v>11</v>
      </c>
      <c r="D759" s="150">
        <f>IF(E759="","",Input!$C$4+B759-1)</f>
        <v>107</v>
      </c>
      <c r="E759" s="150">
        <f>IF(OR(AND(C758=12,D758=Input!$C$6),E758=""),"",1)</f>
        <v>1</v>
      </c>
      <c r="F759" s="150">
        <f>IF(E759="","",Input!$C$8+B759-1)</f>
        <v>2080</v>
      </c>
      <c r="G759" s="151">
        <f>IF(E759="","",MAX(0,Input!$C$9-B759))</f>
        <v>0</v>
      </c>
      <c r="H759" s="152">
        <f>IF(E759="","",Input!$C$3)</f>
        <v>100000</v>
      </c>
      <c r="I759" s="153">
        <f>IF(E759="","",HLOOKUP($B759,Input!$C$13:$BT$14,2))</f>
        <v>1000</v>
      </c>
      <c r="J759" s="154"/>
      <c r="K759" s="155">
        <f>IF($E759="","",INDEX(Input!$C$16:$CP$16,1,$B759))</f>
        <v>3.3020000000000001E-2</v>
      </c>
      <c r="L759" s="155">
        <f>IF($E759="","",Input!$C$37)</f>
        <v>1.4999999999999999E-2</v>
      </c>
      <c r="M759" s="155">
        <f t="shared" si="497"/>
        <v>4.802E-2</v>
      </c>
      <c r="N759" s="155">
        <f t="shared" si="498"/>
        <v>3.9162041728755259E-3</v>
      </c>
      <c r="O759" s="147">
        <f>IF($E759="","",MIN(VLOOKUP(IF($B759&lt;=Input!$C$7,$B759,26),'Mortality Tables'!$A$41:$CW$67,IF($B759&lt;=Input!$C$7+1,Input!$C$4+2,$D759-Input!$C$7+2),0)*IF(B759&gt;20,Input!$C$22,1)/1000,1))</f>
        <v>1</v>
      </c>
      <c r="P759" s="147">
        <f>IF($E759="","",MIN(VLOOKUP(IF($B759&lt;=Input!$C$7,$B759,26),'Mortality Tables'!$A$12:$CW$37,IF($B759&lt;=Input!$C$7+1,Input!$C$4+2,$D759-Input!$C$7+2),0)*IF(B759&gt;20,Input!$C$22,1)/1000,1))</f>
        <v>1</v>
      </c>
      <c r="Q759" s="155">
        <f>IF($E759="","",Input!$C$21)</f>
        <v>5.0000000000000001E-3</v>
      </c>
      <c r="R759" s="159">
        <f>IF($E759="","",(1-Q759)^($F759-Input!$C$20))</f>
        <v>0.73287685464368046</v>
      </c>
      <c r="S759" s="147">
        <f t="shared" si="459"/>
        <v>0.73287685464368046</v>
      </c>
      <c r="T759" s="147">
        <f t="shared" si="460"/>
        <v>0.10416926202462273</v>
      </c>
      <c r="U759" s="160">
        <f>IF($E759="","",IF($C759=12,INDEX(Input!$C$15:$CP$15,1,$B759),0))</f>
        <v>0</v>
      </c>
      <c r="V759" s="150">
        <f>IF(E759="","",IF(C759=1,IF($B759=1,Input!$C$33,Input!$C$34),0))</f>
        <v>0</v>
      </c>
      <c r="W759" s="156">
        <f>IF($E759="","",Input!$C$35)</f>
        <v>0.02</v>
      </c>
      <c r="X759" s="156">
        <f t="shared" si="499"/>
        <v>3.4135844322153761</v>
      </c>
      <c r="Y759" s="154"/>
      <c r="Z759" s="147">
        <f>IF($E759="","",VLOOKUP($D759,'Mortality Margins &amp; Grading'!$AB$5:$AF$125,3,0)*IF(Summary!$D$25="Included Margin",IF(AND($B759&gt;Input!$C$9,Summary!$D$31&lt;&gt;"Included Margin"),0,1),0))</f>
        <v>0.01</v>
      </c>
      <c r="AA759" s="147">
        <f>IF($E759="","",VLOOKUP($D759,'Mortality Margins &amp; Grading'!$AB$5:$AF$125,5,0)*IF(Summary!$D$25="Included Margin",IF(AND($B759&gt;Input!$C$9,Summary!$D$31&lt;&gt;"Included Margin"),0,1),0))</f>
        <v>5.2999999999999999E-2</v>
      </c>
      <c r="AB759" s="147">
        <f>IF($E759="","",IF(AND($B759&gt;Input!$C$9,Summary!$D$31&lt;&gt;"Included Margin"),1,IF(Summary!$D$25="Included Margin",VLOOKUP($B759,'Mortality Margins &amp; Grading'!$AI$5:$AR$125,MATCH('Mortality Margins &amp; Grading'!$AQ$4,'Mortality Margins &amp; Grading'!$AI$4:$AR$4,0),0),1)))</f>
        <v>0</v>
      </c>
      <c r="AC759" s="154"/>
      <c r="AD759" s="158">
        <f>IF(E759="","",Input!$C$48*IF(Summary!$D$30="Included Margin",IF(AND($B759&gt;Input!$C$9,Summary!$D$31&lt;&gt;"Included Margin"),0,1),0))</f>
        <v>-4.4999999999999997E-3</v>
      </c>
      <c r="AE759" s="159">
        <f>IF(E759="","",IF(Summary!$D$26="Included Margin",IF(AND($B759&gt;Input!$C$9,Summary!$D$31&lt;&gt;"Included Margin"),1,1/$R759),1))</f>
        <v>1.364485716343427</v>
      </c>
      <c r="AF759" s="160">
        <f>IF(E759="","",IF(AND($B759&gt;=Input!$C$9,$C759=12,Summary!$D$31="Included Margin",$U759&gt;0),1/U759-1,IF($B759&gt;=Input!$C$9,0,Input!$C$45*IF(Summary!$D$27="Included Margin",1,0))))</f>
        <v>0</v>
      </c>
      <c r="AG759" s="160">
        <f>IF(E759="","",Input!$C$46*IF(Summary!$D$28="Included Margin",IF(AND($B759&gt;Input!$C$9,Summary!$D$31&lt;&gt;"Included Margin"),0,1),0))</f>
        <v>0.02</v>
      </c>
      <c r="AH759" s="158">
        <f>IF(E759="","",Input!$C$47*IF(Summary!$D$29="Included Margin",IF(AND($B759&gt;Input!$C$9,Summary!$D$31&lt;&gt;"Included Margin"),0,1),0))</f>
        <v>2.5000000000000001E-3</v>
      </c>
      <c r="AI759" s="154"/>
      <c r="AJ759" s="158">
        <f t="shared" si="481"/>
        <v>4.3520000000000003E-2</v>
      </c>
      <c r="AK759" s="155">
        <f t="shared" si="482"/>
        <v>3.5562764001626501E-3</v>
      </c>
      <c r="AL759" s="147">
        <f t="shared" si="483"/>
        <v>1</v>
      </c>
      <c r="AM759" s="147">
        <f t="shared" si="461"/>
        <v>1</v>
      </c>
      <c r="AN759" s="160">
        <f t="shared" si="484"/>
        <v>0</v>
      </c>
      <c r="AO759" s="161">
        <f t="shared" si="485"/>
        <v>0</v>
      </c>
      <c r="AP759" s="156">
        <f t="shared" si="462"/>
        <v>3.9730646695493497</v>
      </c>
      <c r="AQ759" s="152"/>
      <c r="AR759" s="162">
        <f t="shared" si="463"/>
        <v>99822.501796328244</v>
      </c>
      <c r="AS759" s="150">
        <f t="shared" si="486"/>
        <v>0</v>
      </c>
      <c r="AT759" s="163">
        <f t="shared" si="464"/>
        <v>0</v>
      </c>
      <c r="AU759" s="163">
        <f t="shared" si="465"/>
        <v>100000</v>
      </c>
      <c r="AV759" s="163">
        <f t="shared" si="487"/>
        <v>177.18258733534338</v>
      </c>
      <c r="AW759" s="163">
        <f t="shared" si="466"/>
        <v>99822.817412664663</v>
      </c>
      <c r="AX759" s="163">
        <f t="shared" si="467"/>
        <v>0</v>
      </c>
      <c r="AY759" s="164">
        <f t="shared" si="488"/>
        <v>99822.501796328244</v>
      </c>
      <c r="AZ759" s="164">
        <f>IF($E759="","",IF(OR(AND($D759=Input!$C$6,$C759=12),$AN759=1),0,-AS760+AT760+AU760-AV760-AW760-AX760+AZ760))</f>
        <v>99822.817412664663</v>
      </c>
      <c r="BA759" s="154">
        <f t="shared" si="468"/>
        <v>0.31561633641831577</v>
      </c>
      <c r="BC759" s="147">
        <f t="shared" si="489"/>
        <v>7.1070890880682788E-13</v>
      </c>
      <c r="BD759" s="164">
        <f>IF(AND($C758=12,$D758=Input!$C$6),0,IF($E759="","",AT759+(AU759+BD760)/(1+$AK759)*MIN((1-AM759-AN759),1)))</f>
        <v>0</v>
      </c>
      <c r="BE759" s="164">
        <f t="shared" si="469"/>
        <v>0</v>
      </c>
      <c r="BF759" s="164">
        <f t="shared" si="490"/>
        <v>99822.817412664663</v>
      </c>
      <c r="BG759" s="164">
        <f t="shared" si="470"/>
        <v>7.0944965637378115E-8</v>
      </c>
      <c r="BH759" s="152"/>
      <c r="BI759" s="162">
        <f t="shared" si="471"/>
        <v>-6828.6598407949878</v>
      </c>
      <c r="BJ759" s="150">
        <f t="shared" si="472"/>
        <v>0</v>
      </c>
      <c r="BK759" s="163">
        <f t="shared" si="494"/>
        <v>0</v>
      </c>
      <c r="BL759" s="163">
        <f t="shared" si="473"/>
        <v>10416.926202462273</v>
      </c>
      <c r="BM759" s="163">
        <f t="shared" si="495"/>
        <v>-47.139831094978433</v>
      </c>
      <c r="BN759" s="163">
        <f t="shared" si="474"/>
        <v>-2010.8333683504932</v>
      </c>
      <c r="BO759" s="163">
        <f t="shared" si="475"/>
        <v>0</v>
      </c>
      <c r="BP759" s="164">
        <f t="shared" si="496"/>
        <v>-19303.55924270273</v>
      </c>
      <c r="BQ759" s="164">
        <f>IF($E759="","",IF(AND($D759=Input!$C$6,$C759=12),0,-BJ760+BK760+BL760-BM760-BN760-BO760+BQ760))</f>
        <v>-19303.519380555732</v>
      </c>
      <c r="BR759" s="161">
        <f t="shared" si="476"/>
        <v>0</v>
      </c>
      <c r="BT759" s="147">
        <f t="shared" si="477"/>
        <v>7.1070890880682788E-13</v>
      </c>
      <c r="BU759" s="164">
        <f>IF(AND($C758=12,$D758=Input!$C$6),0,IF($E759="","",BK759+(BL759+BU760)/(1+$AK759)*MIN((1-T759-U759),1)))</f>
        <v>75623.312290124144</v>
      </c>
      <c r="BV759" s="164">
        <f t="shared" si="478"/>
        <v>5.3746161758072106E-8</v>
      </c>
      <c r="BW759" s="164">
        <f t="shared" si="479"/>
        <v>-19303.519380555732</v>
      </c>
      <c r="BX759" s="164">
        <f t="shared" si="480"/>
        <v>-1.3719183195086219E-8</v>
      </c>
    </row>
    <row r="760" spans="1:76" s="150" customFormat="1" x14ac:dyDescent="0.25">
      <c r="A760" s="150">
        <f t="shared" si="491"/>
        <v>756</v>
      </c>
      <c r="B760" s="150">
        <f t="shared" si="492"/>
        <v>63</v>
      </c>
      <c r="C760" s="150">
        <f t="shared" si="493"/>
        <v>12</v>
      </c>
      <c r="D760" s="150">
        <f>IF(E760="","",Input!$C$4+B760-1)</f>
        <v>107</v>
      </c>
      <c r="E760" s="150">
        <f>IF(OR(AND(C759=12,D759=Input!$C$6),E759=""),"",1)</f>
        <v>1</v>
      </c>
      <c r="F760" s="150">
        <f>IF(E760="","",Input!$C$8+B760-1)</f>
        <v>2080</v>
      </c>
      <c r="G760" s="151">
        <f>IF(E760="","",MAX(0,Input!$C$9-B760))</f>
        <v>0</v>
      </c>
      <c r="H760" s="152">
        <f>IF(E760="","",Input!$C$3)</f>
        <v>100000</v>
      </c>
      <c r="I760" s="153">
        <f>IF(E760="","",HLOOKUP($B760,Input!$C$13:$BT$14,2))</f>
        <v>1000</v>
      </c>
      <c r="J760" s="154"/>
      <c r="K760" s="155">
        <f>IF($E760="","",INDEX(Input!$C$16:$CP$16,1,$B760))</f>
        <v>3.3020000000000001E-2</v>
      </c>
      <c r="L760" s="155">
        <f>IF($E760="","",Input!$C$37)</f>
        <v>1.4999999999999999E-2</v>
      </c>
      <c r="M760" s="155">
        <f t="shared" si="497"/>
        <v>4.802E-2</v>
      </c>
      <c r="N760" s="155">
        <f t="shared" si="498"/>
        <v>3.9162041728755259E-3</v>
      </c>
      <c r="O760" s="147">
        <f>IF($E760="","",MIN(VLOOKUP(IF($B760&lt;=Input!$C$7,$B760,26),'Mortality Tables'!$A$41:$CW$67,IF($B760&lt;=Input!$C$7+1,Input!$C$4+2,$D760-Input!$C$7+2),0)*IF(B760&gt;20,Input!$C$22,1)/1000,1))</f>
        <v>1</v>
      </c>
      <c r="P760" s="147">
        <f>IF($E760="","",MIN(VLOOKUP(IF($B760&lt;=Input!$C$7,$B760,26),'Mortality Tables'!$A$12:$CW$37,IF($B760&lt;=Input!$C$7+1,Input!$C$4+2,$D760-Input!$C$7+2),0)*IF(B760&gt;20,Input!$C$22,1)/1000,1))</f>
        <v>1</v>
      </c>
      <c r="Q760" s="155">
        <f>IF($E760="","",Input!$C$21)</f>
        <v>5.0000000000000001E-3</v>
      </c>
      <c r="R760" s="159">
        <f>IF($E760="","",(1-Q760)^($F760-Input!$C$20))</f>
        <v>0.73287685464368046</v>
      </c>
      <c r="S760" s="147">
        <f t="shared" si="459"/>
        <v>0.73287685464368046</v>
      </c>
      <c r="T760" s="147">
        <f t="shared" si="460"/>
        <v>0.10416926202462273</v>
      </c>
      <c r="U760" s="160">
        <f>IF($E760="","",IF($C760=12,INDEX(Input!$C$15:$CP$15,1,$B760),0))</f>
        <v>0.1</v>
      </c>
      <c r="V760" s="150">
        <f>IF(E760="","",IF(C760=1,IF($B760=1,Input!$C$33,Input!$C$34),0))</f>
        <v>0</v>
      </c>
      <c r="W760" s="156">
        <f>IF($E760="","",Input!$C$35)</f>
        <v>0.02</v>
      </c>
      <c r="X760" s="156">
        <f t="shared" si="499"/>
        <v>3.4135844322153761</v>
      </c>
      <c r="Y760" s="154"/>
      <c r="Z760" s="147">
        <f>IF($E760="","",VLOOKUP($D760,'Mortality Margins &amp; Grading'!$AB$5:$AF$125,3,0)*IF(Summary!$D$25="Included Margin",IF(AND($B760&gt;Input!$C$9,Summary!$D$31&lt;&gt;"Included Margin"),0,1),0))</f>
        <v>0.01</v>
      </c>
      <c r="AA760" s="147">
        <f>IF($E760="","",VLOOKUP($D760,'Mortality Margins &amp; Grading'!$AB$5:$AF$125,5,0)*IF(Summary!$D$25="Included Margin",IF(AND($B760&gt;Input!$C$9,Summary!$D$31&lt;&gt;"Included Margin"),0,1),0))</f>
        <v>5.2999999999999999E-2</v>
      </c>
      <c r="AB760" s="147">
        <f>IF($E760="","",IF(AND($B760&gt;Input!$C$9,Summary!$D$31&lt;&gt;"Included Margin"),1,IF(Summary!$D$25="Included Margin",VLOOKUP($B760,'Mortality Margins &amp; Grading'!$AI$5:$AR$125,MATCH('Mortality Margins &amp; Grading'!$AQ$4,'Mortality Margins &amp; Grading'!$AI$4:$AR$4,0),0),1)))</f>
        <v>0</v>
      </c>
      <c r="AC760" s="154"/>
      <c r="AD760" s="158">
        <f>IF(E760="","",Input!$C$48*IF(Summary!$D$30="Included Margin",IF(AND($B760&gt;Input!$C$9,Summary!$D$31&lt;&gt;"Included Margin"),0,1),0))</f>
        <v>-4.4999999999999997E-3</v>
      </c>
      <c r="AE760" s="159">
        <f>IF(E760="","",IF(Summary!$D$26="Included Margin",IF(AND($B760&gt;Input!$C$9,Summary!$D$31&lt;&gt;"Included Margin"),1,1/$R760),1))</f>
        <v>1.364485716343427</v>
      </c>
      <c r="AF760" s="160">
        <f>IF(E760="","",IF(AND($B760&gt;=Input!$C$9,$C760=12,Summary!$D$31="Included Margin",$U760&gt;0),1/U760-1,IF($B760&gt;=Input!$C$9,0,Input!$C$45*IF(Summary!$D$27="Included Margin",1,0))))</f>
        <v>9</v>
      </c>
      <c r="AG760" s="160">
        <f>IF(E760="","",Input!$C$46*IF(Summary!$D$28="Included Margin",IF(AND($B760&gt;Input!$C$9,Summary!$D$31&lt;&gt;"Included Margin"),0,1),0))</f>
        <v>0.02</v>
      </c>
      <c r="AH760" s="158">
        <f>IF(E760="","",Input!$C$47*IF(Summary!$D$29="Included Margin",IF(AND($B760&gt;Input!$C$9,Summary!$D$31&lt;&gt;"Included Margin"),0,1),0))</f>
        <v>2.5000000000000001E-3</v>
      </c>
      <c r="AI760" s="154"/>
      <c r="AJ760" s="158">
        <f t="shared" si="481"/>
        <v>4.3520000000000003E-2</v>
      </c>
      <c r="AK760" s="155">
        <f t="shared" si="482"/>
        <v>3.5562764001626501E-3</v>
      </c>
      <c r="AL760" s="147">
        <f t="shared" si="483"/>
        <v>1</v>
      </c>
      <c r="AM760" s="147">
        <f t="shared" si="461"/>
        <v>1</v>
      </c>
      <c r="AN760" s="160">
        <f t="shared" si="484"/>
        <v>1</v>
      </c>
      <c r="AO760" s="161">
        <f t="shared" si="485"/>
        <v>0</v>
      </c>
      <c r="AP760" s="156">
        <f t="shared" si="462"/>
        <v>3.9730646695493497</v>
      </c>
      <c r="AQ760" s="152"/>
      <c r="AR760" s="162">
        <f t="shared" si="463"/>
        <v>99822.501796328244</v>
      </c>
      <c r="AS760" s="150">
        <f t="shared" si="486"/>
        <v>0</v>
      </c>
      <c r="AT760" s="163">
        <f t="shared" si="464"/>
        <v>0</v>
      </c>
      <c r="AU760" s="163">
        <f t="shared" si="465"/>
        <v>100000</v>
      </c>
      <c r="AV760" s="163">
        <f t="shared" si="487"/>
        <v>177.18258733534338</v>
      </c>
      <c r="AW760" s="163">
        <f t="shared" si="466"/>
        <v>0</v>
      </c>
      <c r="AX760" s="163">
        <f t="shared" si="467"/>
        <v>0</v>
      </c>
      <c r="AY760" s="165">
        <f t="shared" si="488"/>
        <v>-0.31561633641223352</v>
      </c>
      <c r="AZ760" s="164">
        <f>IF($E760="","",IF(OR(AND($D760=Input!$C$6,$C760=12),$AN760=1),0,-AS761+AT761+AU761-AV761-AW761-AX761+AZ761))</f>
        <v>0</v>
      </c>
      <c r="BA760" s="154">
        <f t="shared" si="468"/>
        <v>0.31561633641223352</v>
      </c>
      <c r="BC760" s="147">
        <f t="shared" si="489"/>
        <v>5.6560399538141294E-13</v>
      </c>
      <c r="BD760" s="164">
        <f>IF(AND($C759=12,$D759=Input!$C$6),0,IF($E760="","",AT760+(AU760+BD761)/(1+$AK760)*MIN((1-AM760-AN760),1)))</f>
        <v>-99852.08378079861</v>
      </c>
      <c r="BE760" s="164">
        <f t="shared" si="469"/>
        <v>-5.6476737533579275E-8</v>
      </c>
      <c r="BF760" s="164">
        <f t="shared" si="490"/>
        <v>0</v>
      </c>
      <c r="BG760" s="164">
        <f t="shared" si="470"/>
        <v>0</v>
      </c>
      <c r="BH760" s="152"/>
      <c r="BI760" s="162">
        <f t="shared" si="471"/>
        <v>-19303.55924270273</v>
      </c>
      <c r="BJ760" s="150">
        <f t="shared" si="472"/>
        <v>0</v>
      </c>
      <c r="BK760" s="163">
        <f t="shared" si="494"/>
        <v>0</v>
      </c>
      <c r="BL760" s="163">
        <f t="shared" si="473"/>
        <v>10416.926202462273</v>
      </c>
      <c r="BM760" s="163">
        <f t="shared" si="495"/>
        <v>-95.994084188931936</v>
      </c>
      <c r="BN760" s="163">
        <f t="shared" si="474"/>
        <v>-3852.3603283885386</v>
      </c>
      <c r="BO760" s="163">
        <f t="shared" si="475"/>
        <v>-3312.9377408007704</v>
      </c>
      <c r="BP760" s="164">
        <f t="shared" si="496"/>
        <v>-36981.777598543245</v>
      </c>
      <c r="BQ760" s="164">
        <f>IF($E760="","",IF(AND($D760=Input!$C$6,$C760=12),0,-BJ761+BK761+BL761-BM761-BN761-BO761+BQ761))</f>
        <v>-36981.737736396244</v>
      </c>
      <c r="BR760" s="161">
        <f t="shared" si="476"/>
        <v>0</v>
      </c>
      <c r="BT760" s="147">
        <f t="shared" si="477"/>
        <v>5.6560399538141294E-13</v>
      </c>
      <c r="BU760" s="164">
        <f>IF(AND($C759=12,$D759=Input!$C$6),0,IF($E760="","",BK760+(BL760+BU761)/(1+$AK760)*MIN((1-T760-U760),1)))</f>
        <v>74300.249122916677</v>
      </c>
      <c r="BV760" s="164">
        <f t="shared" si="478"/>
        <v>4.2024517761755995E-8</v>
      </c>
      <c r="BW760" s="164">
        <f t="shared" si="479"/>
        <v>-36981.737736396244</v>
      </c>
      <c r="BX760" s="164">
        <f t="shared" si="480"/>
        <v>-2.0917018619853285E-8</v>
      </c>
    </row>
    <row r="761" spans="1:76" s="150" customFormat="1" x14ac:dyDescent="0.25">
      <c r="A761" s="150">
        <f t="shared" si="491"/>
        <v>757</v>
      </c>
      <c r="B761" s="150">
        <f t="shared" si="492"/>
        <v>64</v>
      </c>
      <c r="C761" s="150">
        <f t="shared" si="493"/>
        <v>1</v>
      </c>
      <c r="D761" s="150">
        <f>IF(E761="","",Input!$C$4+B761-1)</f>
        <v>108</v>
      </c>
      <c r="E761" s="150">
        <f>IF(OR(AND(C760=12,D760=Input!$C$6),E760=""),"",1)</f>
        <v>1</v>
      </c>
      <c r="F761" s="150">
        <f>IF(E761="","",Input!$C$8+B761-1)</f>
        <v>2081</v>
      </c>
      <c r="G761" s="151">
        <f>IF(E761="","",MAX(0,Input!$C$9-B761))</f>
        <v>0</v>
      </c>
      <c r="H761" s="152">
        <f>IF(E761="","",Input!$C$3)</f>
        <v>100000</v>
      </c>
      <c r="I761" s="153">
        <f>IF(E761="","",HLOOKUP($B761,Input!$C$13:$BT$14,2))</f>
        <v>1000</v>
      </c>
      <c r="J761" s="154"/>
      <c r="K761" s="155">
        <f>IF($E761="","",INDEX(Input!$C$16:$CP$16,1,$B761))</f>
        <v>3.304E-2</v>
      </c>
      <c r="L761" s="155">
        <f>IF($E761="","",Input!$C$37)</f>
        <v>1.4999999999999999E-2</v>
      </c>
      <c r="M761" s="155">
        <f t="shared" si="497"/>
        <v>4.8039999999999999E-2</v>
      </c>
      <c r="N761" s="155">
        <f t="shared" si="498"/>
        <v>3.9178006872921944E-3</v>
      </c>
      <c r="O761" s="147">
        <f>IF($E761="","",MIN(VLOOKUP(IF($B761&lt;=Input!$C$7,$B761,26),'Mortality Tables'!$A$41:$CW$67,IF($B761&lt;=Input!$C$7+1,Input!$C$4+2,$D761-Input!$C$7+2),0)*IF(B761&gt;20,Input!$C$22,1)/1000,1))</f>
        <v>1</v>
      </c>
      <c r="P761" s="147">
        <f>IF($E761="","",MIN(VLOOKUP(IF($B761&lt;=Input!$C$7,$B761,26),'Mortality Tables'!$A$12:$CW$37,IF($B761&lt;=Input!$C$7+1,Input!$C$4+2,$D761-Input!$C$7+2),0)*IF(B761&gt;20,Input!$C$22,1)/1000,1))</f>
        <v>1</v>
      </c>
      <c r="Q761" s="155">
        <f>IF($E761="","",Input!$C$21)</f>
        <v>5.0000000000000001E-3</v>
      </c>
      <c r="R761" s="159">
        <f>IF($E761="","",(1-Q761)^($F761-Input!$C$20))</f>
        <v>0.729212470370462</v>
      </c>
      <c r="S761" s="147">
        <f t="shared" si="459"/>
        <v>0.729212470370462</v>
      </c>
      <c r="T761" s="147">
        <f t="shared" si="460"/>
        <v>0.103151564200063</v>
      </c>
      <c r="U761" s="160">
        <f>IF($E761="","",IF($C761=12,INDEX(Input!$C$15:$CP$15,1,$B761),0))</f>
        <v>0</v>
      </c>
      <c r="V761" s="150">
        <f>IF(E761="","",IF(C761=1,IF($B761=1,Input!$C$33,Input!$C$34),0))</f>
        <v>50</v>
      </c>
      <c r="W761" s="156">
        <f>IF($E761="","",Input!$C$35)</f>
        <v>0.02</v>
      </c>
      <c r="X761" s="156">
        <f t="shared" si="499"/>
        <v>3.4818561208596837</v>
      </c>
      <c r="Y761" s="154"/>
      <c r="Z761" s="147">
        <f>IF($E761="","",VLOOKUP($D761,'Mortality Margins &amp; Grading'!$AB$5:$AF$125,3,0)*IF(Summary!$D$25="Included Margin",IF(AND($B761&gt;Input!$C$9,Summary!$D$31&lt;&gt;"Included Margin"),0,1),0))</f>
        <v>0.01</v>
      </c>
      <c r="AA761" s="147">
        <f>IF($E761="","",VLOOKUP($D761,'Mortality Margins &amp; Grading'!$AB$5:$AF$125,5,0)*IF(Summary!$D$25="Included Margin",IF(AND($B761&gt;Input!$C$9,Summary!$D$31&lt;&gt;"Included Margin"),0,1),0))</f>
        <v>5.2999999999999999E-2</v>
      </c>
      <c r="AB761" s="147">
        <f>IF($E761="","",IF(AND($B761&gt;Input!$C$9,Summary!$D$31&lt;&gt;"Included Margin"),1,IF(Summary!$D$25="Included Margin",VLOOKUP($B761,'Mortality Margins &amp; Grading'!$AI$5:$AR$125,MATCH('Mortality Margins &amp; Grading'!$AQ$4,'Mortality Margins &amp; Grading'!$AI$4:$AR$4,0),0),1)))</f>
        <v>0</v>
      </c>
      <c r="AC761" s="154"/>
      <c r="AD761" s="158">
        <f>IF(E761="","",Input!$C$48*IF(Summary!$D$30="Included Margin",IF(AND($B761&gt;Input!$C$9,Summary!$D$31&lt;&gt;"Included Margin"),0,1),0))</f>
        <v>-4.4999999999999997E-3</v>
      </c>
      <c r="AE761" s="159">
        <f>IF(E761="","",IF(Summary!$D$26="Included Margin",IF(AND($B761&gt;Input!$C$9,Summary!$D$31&lt;&gt;"Included Margin"),1,1/$R761),1))</f>
        <v>1.3713424284858564</v>
      </c>
      <c r="AF761" s="160">
        <f>IF(E761="","",IF(AND($B761&gt;=Input!$C$9,$C761=12,Summary!$D$31="Included Margin",$U761&gt;0),1/U761-1,IF($B761&gt;=Input!$C$9,0,Input!$C$45*IF(Summary!$D$27="Included Margin",1,0))))</f>
        <v>0</v>
      </c>
      <c r="AG761" s="160">
        <f>IF(E761="","",Input!$C$46*IF(Summary!$D$28="Included Margin",IF(AND($B761&gt;Input!$C$9,Summary!$D$31&lt;&gt;"Included Margin"),0,1),0))</f>
        <v>0.02</v>
      </c>
      <c r="AH761" s="158">
        <f>IF(E761="","",Input!$C$47*IF(Summary!$D$29="Included Margin",IF(AND($B761&gt;Input!$C$9,Summary!$D$31&lt;&gt;"Included Margin"),0,1),0))</f>
        <v>2.5000000000000001E-3</v>
      </c>
      <c r="AI761" s="154"/>
      <c r="AJ761" s="158">
        <f t="shared" si="481"/>
        <v>4.3540000000000002E-2</v>
      </c>
      <c r="AK761" s="155">
        <f t="shared" si="482"/>
        <v>3.5578792243551316E-3</v>
      </c>
      <c r="AL761" s="147">
        <f t="shared" si="483"/>
        <v>1</v>
      </c>
      <c r="AM761" s="147">
        <f t="shared" si="461"/>
        <v>1</v>
      </c>
      <c r="AN761" s="160">
        <f t="shared" si="484"/>
        <v>0</v>
      </c>
      <c r="AO761" s="161">
        <f t="shared" si="485"/>
        <v>51</v>
      </c>
      <c r="AP761" s="156">
        <f t="shared" si="462"/>
        <v>4.0624586246142096</v>
      </c>
      <c r="AQ761" s="152"/>
      <c r="AR761" s="162">
        <f t="shared" si="463"/>
        <v>29.607329283754751</v>
      </c>
      <c r="AS761" s="150">
        <f t="shared" si="486"/>
        <v>100000</v>
      </c>
      <c r="AT761" s="163">
        <f t="shared" si="464"/>
        <v>207.1853898553247</v>
      </c>
      <c r="AU761" s="163">
        <f t="shared" si="465"/>
        <v>100000</v>
      </c>
      <c r="AV761" s="163">
        <f t="shared" si="487"/>
        <v>177.2621599253477</v>
      </c>
      <c r="AW761" s="163">
        <f t="shared" si="466"/>
        <v>99822.737840074653</v>
      </c>
      <c r="AX761" s="163">
        <f t="shared" si="467"/>
        <v>0</v>
      </c>
      <c r="AY761" s="164">
        <f t="shared" si="488"/>
        <v>99822.42193942843</v>
      </c>
      <c r="AZ761" s="164">
        <f>IF($E761="","",IF(OR(AND($D761=Input!$C$6,$C761=12),$AN761=1),0,-AS762+AT762+AU762-AV762-AW762-AX762+AZ762))</f>
        <v>99822.737840074653</v>
      </c>
      <c r="BA761" s="154">
        <f t="shared" si="468"/>
        <v>0.31590064622287173</v>
      </c>
      <c r="BC761" s="147">
        <f t="shared" si="489"/>
        <v>5.07261058540015E-13</v>
      </c>
      <c r="BD761" s="164">
        <f>IF(AND($C760=12,$D760=Input!$C$6),0,IF($E761="","",AT761+(AU761+BD762)/(1+$AK761)*MIN((1-AM761-AN761),1)))</f>
        <v>207.1853898553247</v>
      </c>
      <c r="BE761" s="164">
        <f t="shared" si="469"/>
        <v>1.0509708017203769E-10</v>
      </c>
      <c r="BF761" s="164">
        <f t="shared" si="490"/>
        <v>99822.737840074653</v>
      </c>
      <c r="BG761" s="164">
        <f t="shared" si="470"/>
        <v>5.0636187663118676E-8</v>
      </c>
      <c r="BH761" s="152"/>
      <c r="BI761" s="162">
        <f t="shared" si="471"/>
        <v>-36981.777241262476</v>
      </c>
      <c r="BJ761" s="150">
        <f t="shared" si="472"/>
        <v>100000</v>
      </c>
      <c r="BK761" s="163">
        <f t="shared" si="494"/>
        <v>174.09280604298419</v>
      </c>
      <c r="BL761" s="163">
        <f t="shared" si="473"/>
        <v>10315.1564200063</v>
      </c>
      <c r="BM761" s="163">
        <f t="shared" si="495"/>
        <v>226.00441206503305</v>
      </c>
      <c r="BN761" s="163">
        <f t="shared" si="474"/>
        <v>6067.6501760034071</v>
      </c>
      <c r="BO761" s="163">
        <f t="shared" si="475"/>
        <v>0</v>
      </c>
      <c r="BP761" s="164">
        <f t="shared" si="496"/>
        <v>58822.628120756679</v>
      </c>
      <c r="BQ761" s="164">
        <f>IF($E761="","",IF(AND($D761=Input!$C$6,$C761=12),0,-BJ762+BK762+BL762-BM762-BN762-BO762+BQ762))</f>
        <v>58822.667625622897</v>
      </c>
      <c r="BR761" s="161">
        <f t="shared" si="476"/>
        <v>0</v>
      </c>
      <c r="BT761" s="147">
        <f t="shared" si="477"/>
        <v>5.07261058540015E-13</v>
      </c>
      <c r="BU761" s="164">
        <f>IF(AND($C760=12,$D760=Input!$C$6),0,IF($E761="","",BK761+(BL761+BU762)/(1+$AK761)*MIN((1-T761-U761),1)))</f>
        <v>83276.968475561225</v>
      </c>
      <c r="BV761" s="164">
        <f t="shared" si="478"/>
        <v>4.2243163180916648E-8</v>
      </c>
      <c r="BW761" s="164">
        <f t="shared" si="479"/>
        <v>58822.667625622897</v>
      </c>
      <c r="BX761" s="164">
        <f t="shared" si="480"/>
        <v>2.9838448645920938E-8</v>
      </c>
    </row>
    <row r="762" spans="1:76" s="150" customFormat="1" x14ac:dyDescent="0.25">
      <c r="A762" s="150">
        <f t="shared" si="491"/>
        <v>758</v>
      </c>
      <c r="B762" s="150">
        <f t="shared" si="492"/>
        <v>64</v>
      </c>
      <c r="C762" s="150">
        <f t="shared" si="493"/>
        <v>2</v>
      </c>
      <c r="D762" s="150">
        <f>IF(E762="","",Input!$C$4+B762-1)</f>
        <v>108</v>
      </c>
      <c r="E762" s="150">
        <f>IF(OR(AND(C761=12,D761=Input!$C$6),E761=""),"",1)</f>
        <v>1</v>
      </c>
      <c r="F762" s="150">
        <f>IF(E762="","",Input!$C$8+B762-1)</f>
        <v>2081</v>
      </c>
      <c r="G762" s="151">
        <f>IF(E762="","",MAX(0,Input!$C$9-B762))</f>
        <v>0</v>
      </c>
      <c r="H762" s="152">
        <f>IF(E762="","",Input!$C$3)</f>
        <v>100000</v>
      </c>
      <c r="I762" s="153">
        <f>IF(E762="","",HLOOKUP($B762,Input!$C$13:$BT$14,2))</f>
        <v>1000</v>
      </c>
      <c r="J762" s="154"/>
      <c r="K762" s="155">
        <f>IF($E762="","",INDEX(Input!$C$16:$CP$16,1,$B762))</f>
        <v>3.304E-2</v>
      </c>
      <c r="L762" s="155">
        <f>IF($E762="","",Input!$C$37)</f>
        <v>1.4999999999999999E-2</v>
      </c>
      <c r="M762" s="155">
        <f t="shared" si="497"/>
        <v>4.8039999999999999E-2</v>
      </c>
      <c r="N762" s="155">
        <f t="shared" si="498"/>
        <v>3.9178006872921944E-3</v>
      </c>
      <c r="O762" s="147">
        <f>IF($E762="","",MIN(VLOOKUP(IF($B762&lt;=Input!$C$7,$B762,26),'Mortality Tables'!$A$41:$CW$67,IF($B762&lt;=Input!$C$7+1,Input!$C$4+2,$D762-Input!$C$7+2),0)*IF(B762&gt;20,Input!$C$22,1)/1000,1))</f>
        <v>1</v>
      </c>
      <c r="P762" s="147">
        <f>IF($E762="","",MIN(VLOOKUP(IF($B762&lt;=Input!$C$7,$B762,26),'Mortality Tables'!$A$12:$CW$37,IF($B762&lt;=Input!$C$7+1,Input!$C$4+2,$D762-Input!$C$7+2),0)*IF(B762&gt;20,Input!$C$22,1)/1000,1))</f>
        <v>1</v>
      </c>
      <c r="Q762" s="155">
        <f>IF($E762="","",Input!$C$21)</f>
        <v>5.0000000000000001E-3</v>
      </c>
      <c r="R762" s="159">
        <f>IF($E762="","",(1-Q762)^($F762-Input!$C$20))</f>
        <v>0.729212470370462</v>
      </c>
      <c r="S762" s="147">
        <f t="shared" si="459"/>
        <v>0.729212470370462</v>
      </c>
      <c r="T762" s="147">
        <f t="shared" si="460"/>
        <v>0.103151564200063</v>
      </c>
      <c r="U762" s="160">
        <f>IF($E762="","",IF($C762=12,INDEX(Input!$C$15:$CP$15,1,$B762),0))</f>
        <v>0</v>
      </c>
      <c r="V762" s="150">
        <f>IF(E762="","",IF(C762=1,IF($B762=1,Input!$C$33,Input!$C$34),0))</f>
        <v>0</v>
      </c>
      <c r="W762" s="156">
        <f>IF($E762="","",Input!$C$35)</f>
        <v>0.02</v>
      </c>
      <c r="X762" s="156">
        <f t="shared" si="499"/>
        <v>3.4818561208596837</v>
      </c>
      <c r="Y762" s="154"/>
      <c r="Z762" s="147">
        <f>IF($E762="","",VLOOKUP($D762,'Mortality Margins &amp; Grading'!$AB$5:$AF$125,3,0)*IF(Summary!$D$25="Included Margin",IF(AND($B762&gt;Input!$C$9,Summary!$D$31&lt;&gt;"Included Margin"),0,1),0))</f>
        <v>0.01</v>
      </c>
      <c r="AA762" s="147">
        <f>IF($E762="","",VLOOKUP($D762,'Mortality Margins &amp; Grading'!$AB$5:$AF$125,5,0)*IF(Summary!$D$25="Included Margin",IF(AND($B762&gt;Input!$C$9,Summary!$D$31&lt;&gt;"Included Margin"),0,1),0))</f>
        <v>5.2999999999999999E-2</v>
      </c>
      <c r="AB762" s="147">
        <f>IF($E762="","",IF(AND($B762&gt;Input!$C$9,Summary!$D$31&lt;&gt;"Included Margin"),1,IF(Summary!$D$25="Included Margin",VLOOKUP($B762,'Mortality Margins &amp; Grading'!$AI$5:$AR$125,MATCH('Mortality Margins &amp; Grading'!$AQ$4,'Mortality Margins &amp; Grading'!$AI$4:$AR$4,0),0),1)))</f>
        <v>0</v>
      </c>
      <c r="AC762" s="154"/>
      <c r="AD762" s="158">
        <f>IF(E762="","",Input!$C$48*IF(Summary!$D$30="Included Margin",IF(AND($B762&gt;Input!$C$9,Summary!$D$31&lt;&gt;"Included Margin"),0,1),0))</f>
        <v>-4.4999999999999997E-3</v>
      </c>
      <c r="AE762" s="159">
        <f>IF(E762="","",IF(Summary!$D$26="Included Margin",IF(AND($B762&gt;Input!$C$9,Summary!$D$31&lt;&gt;"Included Margin"),1,1/$R762),1))</f>
        <v>1.3713424284858564</v>
      </c>
      <c r="AF762" s="160">
        <f>IF(E762="","",IF(AND($B762&gt;=Input!$C$9,$C762=12,Summary!$D$31="Included Margin",$U762&gt;0),1/U762-1,IF($B762&gt;=Input!$C$9,0,Input!$C$45*IF(Summary!$D$27="Included Margin",1,0))))</f>
        <v>0</v>
      </c>
      <c r="AG762" s="160">
        <f>IF(E762="","",Input!$C$46*IF(Summary!$D$28="Included Margin",IF(AND($B762&gt;Input!$C$9,Summary!$D$31&lt;&gt;"Included Margin"),0,1),0))</f>
        <v>0.02</v>
      </c>
      <c r="AH762" s="158">
        <f>IF(E762="","",Input!$C$47*IF(Summary!$D$29="Included Margin",IF(AND($B762&gt;Input!$C$9,Summary!$D$31&lt;&gt;"Included Margin"),0,1),0))</f>
        <v>2.5000000000000001E-3</v>
      </c>
      <c r="AI762" s="154"/>
      <c r="AJ762" s="158">
        <f t="shared" si="481"/>
        <v>4.3540000000000002E-2</v>
      </c>
      <c r="AK762" s="155">
        <f t="shared" si="482"/>
        <v>3.5578792243551316E-3</v>
      </c>
      <c r="AL762" s="147">
        <f t="shared" si="483"/>
        <v>1</v>
      </c>
      <c r="AM762" s="147">
        <f t="shared" si="461"/>
        <v>1</v>
      </c>
      <c r="AN762" s="160">
        <f t="shared" si="484"/>
        <v>0</v>
      </c>
      <c r="AO762" s="161">
        <f t="shared" si="485"/>
        <v>0</v>
      </c>
      <c r="AP762" s="156">
        <f t="shared" si="462"/>
        <v>4.0624586246142096</v>
      </c>
      <c r="AQ762" s="152"/>
      <c r="AR762" s="162">
        <f t="shared" si="463"/>
        <v>99822.42193942843</v>
      </c>
      <c r="AS762" s="150">
        <f t="shared" si="486"/>
        <v>0</v>
      </c>
      <c r="AT762" s="163">
        <f t="shared" si="464"/>
        <v>0</v>
      </c>
      <c r="AU762" s="163">
        <f t="shared" si="465"/>
        <v>100000</v>
      </c>
      <c r="AV762" s="163">
        <f t="shared" si="487"/>
        <v>177.2621599253477</v>
      </c>
      <c r="AW762" s="163">
        <f t="shared" si="466"/>
        <v>99822.737840074653</v>
      </c>
      <c r="AX762" s="163">
        <f t="shared" si="467"/>
        <v>0</v>
      </c>
      <c r="AY762" s="165">
        <f t="shared" si="488"/>
        <v>99822.42193942843</v>
      </c>
      <c r="AZ762" s="164">
        <f>IF($E762="","",IF(OR(AND($D762=Input!$C$6,$C762=12),$AN762=1),0,-AS763+AT763+AU763-AV763-AW763-AX763+AZ763))</f>
        <v>99822.737840074653</v>
      </c>
      <c r="BA762" s="154">
        <f t="shared" si="468"/>
        <v>0.31590064622287173</v>
      </c>
      <c r="BC762" s="147">
        <f t="shared" si="489"/>
        <v>4.5493628689383277E-13</v>
      </c>
      <c r="BD762" s="164">
        <f>IF(AND($C761=12,$D761=Input!$C$6),0,IF($E762="","",AT762+(AU762+BD763)/(1+$AK762)*MIN((1-AM762-AN762),1)))</f>
        <v>0</v>
      </c>
      <c r="BE762" s="164">
        <f t="shared" si="469"/>
        <v>0</v>
      </c>
      <c r="BF762" s="164">
        <f t="shared" si="490"/>
        <v>99822.737840074653</v>
      </c>
      <c r="BG762" s="164">
        <f t="shared" si="470"/>
        <v>4.5412985700540058E-8</v>
      </c>
      <c r="BH762" s="152"/>
      <c r="BI762" s="162">
        <f t="shared" si="471"/>
        <v>58822.628120756679</v>
      </c>
      <c r="BJ762" s="150">
        <f t="shared" si="472"/>
        <v>0</v>
      </c>
      <c r="BK762" s="163">
        <f t="shared" si="494"/>
        <v>0</v>
      </c>
      <c r="BL762" s="163">
        <f t="shared" si="473"/>
        <v>10315.1564200063</v>
      </c>
      <c r="BM762" s="163">
        <f t="shared" si="495"/>
        <v>210.2489694239201</v>
      </c>
      <c r="BN762" s="163">
        <f t="shared" si="474"/>
        <v>5603.3025935945079</v>
      </c>
      <c r="BO762" s="163">
        <f t="shared" si="475"/>
        <v>0</v>
      </c>
      <c r="BP762" s="164">
        <f t="shared" si="496"/>
        <v>54321.023263768802</v>
      </c>
      <c r="BQ762" s="164">
        <f>IF($E762="","",IF(AND($D762=Input!$C$6,$C762=12),0,-BJ763+BK763+BL763-BM763-BN763-BO763+BQ763))</f>
        <v>54321.062768635027</v>
      </c>
      <c r="BR762" s="161">
        <f t="shared" si="476"/>
        <v>0</v>
      </c>
      <c r="BT762" s="147">
        <f t="shared" si="477"/>
        <v>4.5493628689383277E-13</v>
      </c>
      <c r="BU762" s="164">
        <f>IF(AND($C761=12,$D761=Input!$C$6),0,IF($E762="","",BK762+(BL762+BU763)/(1+$AK762)*MIN((1-T762-U762),1)))</f>
        <v>82675.523315037557</v>
      </c>
      <c r="BV762" s="164">
        <f t="shared" si="478"/>
        <v>3.7612095593947688E-8</v>
      </c>
      <c r="BW762" s="164">
        <f t="shared" si="479"/>
        <v>54321.062768635027</v>
      </c>
      <c r="BX762" s="164">
        <f t="shared" si="480"/>
        <v>2.4712622596089642E-8</v>
      </c>
    </row>
    <row r="763" spans="1:76" s="150" customFormat="1" x14ac:dyDescent="0.25">
      <c r="A763" s="150">
        <f t="shared" si="491"/>
        <v>759</v>
      </c>
      <c r="B763" s="150">
        <f t="shared" si="492"/>
        <v>64</v>
      </c>
      <c r="C763" s="150">
        <f t="shared" si="493"/>
        <v>3</v>
      </c>
      <c r="D763" s="150">
        <f>IF(E763="","",Input!$C$4+B763-1)</f>
        <v>108</v>
      </c>
      <c r="E763" s="150">
        <f>IF(OR(AND(C762=12,D762=Input!$C$6),E762=""),"",1)</f>
        <v>1</v>
      </c>
      <c r="F763" s="150">
        <f>IF(E763="","",Input!$C$8+B763-1)</f>
        <v>2081</v>
      </c>
      <c r="G763" s="151">
        <f>IF(E763="","",MAX(0,Input!$C$9-B763))</f>
        <v>0</v>
      </c>
      <c r="H763" s="152">
        <f>IF(E763="","",Input!$C$3)</f>
        <v>100000</v>
      </c>
      <c r="I763" s="153">
        <f>IF(E763="","",HLOOKUP($B763,Input!$C$13:$BT$14,2))</f>
        <v>1000</v>
      </c>
      <c r="J763" s="154"/>
      <c r="K763" s="155">
        <f>IF($E763="","",INDEX(Input!$C$16:$CP$16,1,$B763))</f>
        <v>3.304E-2</v>
      </c>
      <c r="L763" s="155">
        <f>IF($E763="","",Input!$C$37)</f>
        <v>1.4999999999999999E-2</v>
      </c>
      <c r="M763" s="155">
        <f t="shared" si="497"/>
        <v>4.8039999999999999E-2</v>
      </c>
      <c r="N763" s="155">
        <f t="shared" si="498"/>
        <v>3.9178006872921944E-3</v>
      </c>
      <c r="O763" s="147">
        <f>IF($E763="","",MIN(VLOOKUP(IF($B763&lt;=Input!$C$7,$B763,26),'Mortality Tables'!$A$41:$CW$67,IF($B763&lt;=Input!$C$7+1,Input!$C$4+2,$D763-Input!$C$7+2),0)*IF(B763&gt;20,Input!$C$22,1)/1000,1))</f>
        <v>1</v>
      </c>
      <c r="P763" s="147">
        <f>IF($E763="","",MIN(VLOOKUP(IF($B763&lt;=Input!$C$7,$B763,26),'Mortality Tables'!$A$12:$CW$37,IF($B763&lt;=Input!$C$7+1,Input!$C$4+2,$D763-Input!$C$7+2),0)*IF(B763&gt;20,Input!$C$22,1)/1000,1))</f>
        <v>1</v>
      </c>
      <c r="Q763" s="155">
        <f>IF($E763="","",Input!$C$21)</f>
        <v>5.0000000000000001E-3</v>
      </c>
      <c r="R763" s="159">
        <f>IF($E763="","",(1-Q763)^($F763-Input!$C$20))</f>
        <v>0.729212470370462</v>
      </c>
      <c r="S763" s="147">
        <f t="shared" si="459"/>
        <v>0.729212470370462</v>
      </c>
      <c r="T763" s="147">
        <f t="shared" si="460"/>
        <v>0.103151564200063</v>
      </c>
      <c r="U763" s="160">
        <f>IF($E763="","",IF($C763=12,INDEX(Input!$C$15:$CP$15,1,$B763),0))</f>
        <v>0</v>
      </c>
      <c r="V763" s="150">
        <f>IF(E763="","",IF(C763=1,IF($B763=1,Input!$C$33,Input!$C$34),0))</f>
        <v>0</v>
      </c>
      <c r="W763" s="156">
        <f>IF($E763="","",Input!$C$35)</f>
        <v>0.02</v>
      </c>
      <c r="X763" s="156">
        <f t="shared" si="499"/>
        <v>3.4818561208596837</v>
      </c>
      <c r="Y763" s="154"/>
      <c r="Z763" s="147">
        <f>IF($E763="","",VLOOKUP($D763,'Mortality Margins &amp; Grading'!$AB$5:$AF$125,3,0)*IF(Summary!$D$25="Included Margin",IF(AND($B763&gt;Input!$C$9,Summary!$D$31&lt;&gt;"Included Margin"),0,1),0))</f>
        <v>0.01</v>
      </c>
      <c r="AA763" s="147">
        <f>IF($E763="","",VLOOKUP($D763,'Mortality Margins &amp; Grading'!$AB$5:$AF$125,5,0)*IF(Summary!$D$25="Included Margin",IF(AND($B763&gt;Input!$C$9,Summary!$D$31&lt;&gt;"Included Margin"),0,1),0))</f>
        <v>5.2999999999999999E-2</v>
      </c>
      <c r="AB763" s="147">
        <f>IF($E763="","",IF(AND($B763&gt;Input!$C$9,Summary!$D$31&lt;&gt;"Included Margin"),1,IF(Summary!$D$25="Included Margin",VLOOKUP($B763,'Mortality Margins &amp; Grading'!$AI$5:$AR$125,MATCH('Mortality Margins &amp; Grading'!$AQ$4,'Mortality Margins &amp; Grading'!$AI$4:$AR$4,0),0),1)))</f>
        <v>0</v>
      </c>
      <c r="AC763" s="154"/>
      <c r="AD763" s="158">
        <f>IF(E763="","",Input!$C$48*IF(Summary!$D$30="Included Margin",IF(AND($B763&gt;Input!$C$9,Summary!$D$31&lt;&gt;"Included Margin"),0,1),0))</f>
        <v>-4.4999999999999997E-3</v>
      </c>
      <c r="AE763" s="159">
        <f>IF(E763="","",IF(Summary!$D$26="Included Margin",IF(AND($B763&gt;Input!$C$9,Summary!$D$31&lt;&gt;"Included Margin"),1,1/$R763),1))</f>
        <v>1.3713424284858564</v>
      </c>
      <c r="AF763" s="160">
        <f>IF(E763="","",IF(AND($B763&gt;=Input!$C$9,$C763=12,Summary!$D$31="Included Margin",$U763&gt;0),1/U763-1,IF($B763&gt;=Input!$C$9,0,Input!$C$45*IF(Summary!$D$27="Included Margin",1,0))))</f>
        <v>0</v>
      </c>
      <c r="AG763" s="160">
        <f>IF(E763="","",Input!$C$46*IF(Summary!$D$28="Included Margin",IF(AND($B763&gt;Input!$C$9,Summary!$D$31&lt;&gt;"Included Margin"),0,1),0))</f>
        <v>0.02</v>
      </c>
      <c r="AH763" s="158">
        <f>IF(E763="","",Input!$C$47*IF(Summary!$D$29="Included Margin",IF(AND($B763&gt;Input!$C$9,Summary!$D$31&lt;&gt;"Included Margin"),0,1),0))</f>
        <v>2.5000000000000001E-3</v>
      </c>
      <c r="AI763" s="154"/>
      <c r="AJ763" s="158">
        <f t="shared" si="481"/>
        <v>4.3540000000000002E-2</v>
      </c>
      <c r="AK763" s="155">
        <f t="shared" si="482"/>
        <v>3.5578792243551316E-3</v>
      </c>
      <c r="AL763" s="147">
        <f t="shared" si="483"/>
        <v>1</v>
      </c>
      <c r="AM763" s="147">
        <f t="shared" si="461"/>
        <v>1</v>
      </c>
      <c r="AN763" s="160">
        <f t="shared" si="484"/>
        <v>0</v>
      </c>
      <c r="AO763" s="161">
        <f t="shared" si="485"/>
        <v>0</v>
      </c>
      <c r="AP763" s="156">
        <f t="shared" si="462"/>
        <v>4.0624586246142096</v>
      </c>
      <c r="AQ763" s="152"/>
      <c r="AR763" s="162">
        <f t="shared" si="463"/>
        <v>99822.42193942843</v>
      </c>
      <c r="AS763" s="150">
        <f t="shared" si="486"/>
        <v>0</v>
      </c>
      <c r="AT763" s="163">
        <f t="shared" si="464"/>
        <v>0</v>
      </c>
      <c r="AU763" s="163">
        <f t="shared" si="465"/>
        <v>100000</v>
      </c>
      <c r="AV763" s="163">
        <f t="shared" si="487"/>
        <v>177.2621599253477</v>
      </c>
      <c r="AW763" s="163">
        <f t="shared" si="466"/>
        <v>99822.737840074653</v>
      </c>
      <c r="AX763" s="163">
        <f t="shared" si="467"/>
        <v>0</v>
      </c>
      <c r="AY763" s="164">
        <f t="shared" si="488"/>
        <v>99822.42193942843</v>
      </c>
      <c r="AZ763" s="164">
        <f>IF($E763="","",IF(OR(AND($D763=Input!$C$6,$C763=12),$AN763=1),0,-AS764+AT764+AU764-AV764-AW764-AX764+AZ764))</f>
        <v>99822.737840074653</v>
      </c>
      <c r="BA763" s="154">
        <f t="shared" si="468"/>
        <v>0.31590064622287173</v>
      </c>
      <c r="BC763" s="147">
        <f t="shared" si="489"/>
        <v>4.080088972893653E-13</v>
      </c>
      <c r="BD763" s="164">
        <f>IF(AND($C762=12,$D762=Input!$C$6),0,IF($E763="","",AT763+(AU763+BD764)/(1+$AK763)*MIN((1-AM763-AN763),1)))</f>
        <v>0</v>
      </c>
      <c r="BE763" s="164">
        <f t="shared" si="469"/>
        <v>0</v>
      </c>
      <c r="BF763" s="164">
        <f t="shared" si="490"/>
        <v>99822.737840074653</v>
      </c>
      <c r="BG763" s="164">
        <f t="shared" si="470"/>
        <v>4.0728565190534255E-8</v>
      </c>
      <c r="BH763" s="152"/>
      <c r="BI763" s="162">
        <f t="shared" si="471"/>
        <v>54321.02326376881</v>
      </c>
      <c r="BJ763" s="150">
        <f t="shared" si="472"/>
        <v>0</v>
      </c>
      <c r="BK763" s="163">
        <f t="shared" si="494"/>
        <v>0</v>
      </c>
      <c r="BL763" s="163">
        <f t="shared" si="473"/>
        <v>10315.1564200063</v>
      </c>
      <c r="BM763" s="163">
        <f t="shared" si="495"/>
        <v>192.61257882129513</v>
      </c>
      <c r="BN763" s="163">
        <f t="shared" si="474"/>
        <v>5083.5193335940485</v>
      </c>
      <c r="BO763" s="163">
        <f t="shared" si="475"/>
        <v>0</v>
      </c>
      <c r="BP763" s="164">
        <f t="shared" si="496"/>
        <v>49281.998756177854</v>
      </c>
      <c r="BQ763" s="164">
        <f>IF($E763="","",IF(AND($D763=Input!$C$6,$C763=12),0,-BJ764+BK764+BL764-BM764-BN764-BO764+BQ764))</f>
        <v>49282.038261044072</v>
      </c>
      <c r="BR763" s="161">
        <f t="shared" si="476"/>
        <v>0</v>
      </c>
      <c r="BT763" s="147">
        <f t="shared" si="477"/>
        <v>4.080088972893653E-13</v>
      </c>
      <c r="BU763" s="164">
        <f>IF(AND($C762=12,$D762=Input!$C$6),0,IF($E763="","",BK763+(BL763+BU764)/(1+$AK763)*MIN((1-T763-U763),1)))</f>
        <v>82197.323425931841</v>
      </c>
      <c r="BV763" s="164">
        <f t="shared" si="478"/>
        <v>3.3537239291151764E-8</v>
      </c>
      <c r="BW763" s="164">
        <f t="shared" si="479"/>
        <v>49282.038261044072</v>
      </c>
      <c r="BX763" s="164">
        <f t="shared" si="480"/>
        <v>2.0107510087060902E-8</v>
      </c>
    </row>
    <row r="764" spans="1:76" s="150" customFormat="1" x14ac:dyDescent="0.25">
      <c r="A764" s="150">
        <f t="shared" si="491"/>
        <v>760</v>
      </c>
      <c r="B764" s="150">
        <f t="shared" si="492"/>
        <v>64</v>
      </c>
      <c r="C764" s="150">
        <f t="shared" si="493"/>
        <v>4</v>
      </c>
      <c r="D764" s="150">
        <f>IF(E764="","",Input!$C$4+B764-1)</f>
        <v>108</v>
      </c>
      <c r="E764" s="150">
        <f>IF(OR(AND(C763=12,D763=Input!$C$6),E763=""),"",1)</f>
        <v>1</v>
      </c>
      <c r="F764" s="150">
        <f>IF(E764="","",Input!$C$8+B764-1)</f>
        <v>2081</v>
      </c>
      <c r="G764" s="151">
        <f>IF(E764="","",MAX(0,Input!$C$9-B764))</f>
        <v>0</v>
      </c>
      <c r="H764" s="152">
        <f>IF(E764="","",Input!$C$3)</f>
        <v>100000</v>
      </c>
      <c r="I764" s="153">
        <f>IF(E764="","",HLOOKUP($B764,Input!$C$13:$BT$14,2))</f>
        <v>1000</v>
      </c>
      <c r="J764" s="154"/>
      <c r="K764" s="155">
        <f>IF($E764="","",INDEX(Input!$C$16:$CP$16,1,$B764))</f>
        <v>3.304E-2</v>
      </c>
      <c r="L764" s="155">
        <f>IF($E764="","",Input!$C$37)</f>
        <v>1.4999999999999999E-2</v>
      </c>
      <c r="M764" s="155">
        <f t="shared" si="497"/>
        <v>4.8039999999999999E-2</v>
      </c>
      <c r="N764" s="155">
        <f t="shared" si="498"/>
        <v>3.9178006872921944E-3</v>
      </c>
      <c r="O764" s="147">
        <f>IF($E764="","",MIN(VLOOKUP(IF($B764&lt;=Input!$C$7,$B764,26),'Mortality Tables'!$A$41:$CW$67,IF($B764&lt;=Input!$C$7+1,Input!$C$4+2,$D764-Input!$C$7+2),0)*IF(B764&gt;20,Input!$C$22,1)/1000,1))</f>
        <v>1</v>
      </c>
      <c r="P764" s="147">
        <f>IF($E764="","",MIN(VLOOKUP(IF($B764&lt;=Input!$C$7,$B764,26),'Mortality Tables'!$A$12:$CW$37,IF($B764&lt;=Input!$C$7+1,Input!$C$4+2,$D764-Input!$C$7+2),0)*IF(B764&gt;20,Input!$C$22,1)/1000,1))</f>
        <v>1</v>
      </c>
      <c r="Q764" s="155">
        <f>IF($E764="","",Input!$C$21)</f>
        <v>5.0000000000000001E-3</v>
      </c>
      <c r="R764" s="159">
        <f>IF($E764="","",(1-Q764)^($F764-Input!$C$20))</f>
        <v>0.729212470370462</v>
      </c>
      <c r="S764" s="147">
        <f t="shared" si="459"/>
        <v>0.729212470370462</v>
      </c>
      <c r="T764" s="147">
        <f t="shared" si="460"/>
        <v>0.103151564200063</v>
      </c>
      <c r="U764" s="160">
        <f>IF($E764="","",IF($C764=12,INDEX(Input!$C$15:$CP$15,1,$B764),0))</f>
        <v>0</v>
      </c>
      <c r="V764" s="150">
        <f>IF(E764="","",IF(C764=1,IF($B764=1,Input!$C$33,Input!$C$34),0))</f>
        <v>0</v>
      </c>
      <c r="W764" s="156">
        <f>IF($E764="","",Input!$C$35)</f>
        <v>0.02</v>
      </c>
      <c r="X764" s="156">
        <f t="shared" si="499"/>
        <v>3.4818561208596837</v>
      </c>
      <c r="Y764" s="154"/>
      <c r="Z764" s="147">
        <f>IF($E764="","",VLOOKUP($D764,'Mortality Margins &amp; Grading'!$AB$5:$AF$125,3,0)*IF(Summary!$D$25="Included Margin",IF(AND($B764&gt;Input!$C$9,Summary!$D$31&lt;&gt;"Included Margin"),0,1),0))</f>
        <v>0.01</v>
      </c>
      <c r="AA764" s="147">
        <f>IF($E764="","",VLOOKUP($D764,'Mortality Margins &amp; Grading'!$AB$5:$AF$125,5,0)*IF(Summary!$D$25="Included Margin",IF(AND($B764&gt;Input!$C$9,Summary!$D$31&lt;&gt;"Included Margin"),0,1),0))</f>
        <v>5.2999999999999999E-2</v>
      </c>
      <c r="AB764" s="147">
        <f>IF($E764="","",IF(AND($B764&gt;Input!$C$9,Summary!$D$31&lt;&gt;"Included Margin"),1,IF(Summary!$D$25="Included Margin",VLOOKUP($B764,'Mortality Margins &amp; Grading'!$AI$5:$AR$125,MATCH('Mortality Margins &amp; Grading'!$AQ$4,'Mortality Margins &amp; Grading'!$AI$4:$AR$4,0),0),1)))</f>
        <v>0</v>
      </c>
      <c r="AC764" s="154"/>
      <c r="AD764" s="158">
        <f>IF(E764="","",Input!$C$48*IF(Summary!$D$30="Included Margin",IF(AND($B764&gt;Input!$C$9,Summary!$D$31&lt;&gt;"Included Margin"),0,1),0))</f>
        <v>-4.4999999999999997E-3</v>
      </c>
      <c r="AE764" s="159">
        <f>IF(E764="","",IF(Summary!$D$26="Included Margin",IF(AND($B764&gt;Input!$C$9,Summary!$D$31&lt;&gt;"Included Margin"),1,1/$R764),1))</f>
        <v>1.3713424284858564</v>
      </c>
      <c r="AF764" s="160">
        <f>IF(E764="","",IF(AND($B764&gt;=Input!$C$9,$C764=12,Summary!$D$31="Included Margin",$U764&gt;0),1/U764-1,IF($B764&gt;=Input!$C$9,0,Input!$C$45*IF(Summary!$D$27="Included Margin",1,0))))</f>
        <v>0</v>
      </c>
      <c r="AG764" s="160">
        <f>IF(E764="","",Input!$C$46*IF(Summary!$D$28="Included Margin",IF(AND($B764&gt;Input!$C$9,Summary!$D$31&lt;&gt;"Included Margin"),0,1),0))</f>
        <v>0.02</v>
      </c>
      <c r="AH764" s="158">
        <f>IF(E764="","",Input!$C$47*IF(Summary!$D$29="Included Margin",IF(AND($B764&gt;Input!$C$9,Summary!$D$31&lt;&gt;"Included Margin"),0,1),0))</f>
        <v>2.5000000000000001E-3</v>
      </c>
      <c r="AI764" s="154"/>
      <c r="AJ764" s="158">
        <f t="shared" si="481"/>
        <v>4.3540000000000002E-2</v>
      </c>
      <c r="AK764" s="155">
        <f t="shared" si="482"/>
        <v>3.5578792243551316E-3</v>
      </c>
      <c r="AL764" s="147">
        <f t="shared" si="483"/>
        <v>1</v>
      </c>
      <c r="AM764" s="147">
        <f t="shared" si="461"/>
        <v>1</v>
      </c>
      <c r="AN764" s="160">
        <f t="shared" si="484"/>
        <v>0</v>
      </c>
      <c r="AO764" s="161">
        <f t="shared" si="485"/>
        <v>0</v>
      </c>
      <c r="AP764" s="156">
        <f t="shared" si="462"/>
        <v>4.0624586246142096</v>
      </c>
      <c r="AQ764" s="152"/>
      <c r="AR764" s="162">
        <f t="shared" si="463"/>
        <v>99822.42193942843</v>
      </c>
      <c r="AS764" s="150">
        <f t="shared" si="486"/>
        <v>0</v>
      </c>
      <c r="AT764" s="163">
        <f t="shared" si="464"/>
        <v>0</v>
      </c>
      <c r="AU764" s="163">
        <f t="shared" si="465"/>
        <v>100000</v>
      </c>
      <c r="AV764" s="163">
        <f t="shared" si="487"/>
        <v>177.2621599253477</v>
      </c>
      <c r="AW764" s="163">
        <f t="shared" si="466"/>
        <v>99822.737840074653</v>
      </c>
      <c r="AX764" s="163">
        <f t="shared" si="467"/>
        <v>0</v>
      </c>
      <c r="AY764" s="165">
        <f t="shared" si="488"/>
        <v>99822.42193942843</v>
      </c>
      <c r="AZ764" s="164">
        <f>IF($E764="","",IF(OR(AND($D764=Input!$C$6,$C764=12),$AN764=1),0,-AS765+AT765+AU765-AV765-AW765-AX765+AZ765))</f>
        <v>99822.737840074653</v>
      </c>
      <c r="BA764" s="154">
        <f t="shared" si="468"/>
        <v>0.31590064622287173</v>
      </c>
      <c r="BC764" s="147">
        <f t="shared" si="489"/>
        <v>3.6592214132642441E-13</v>
      </c>
      <c r="BD764" s="164">
        <f>IF(AND($C763=12,$D763=Input!$C$6),0,IF($E764="","",AT764+(AU764+BD765)/(1+$AK764)*MIN((1-AM764-AN764),1)))</f>
        <v>0</v>
      </c>
      <c r="BE764" s="164">
        <f t="shared" si="469"/>
        <v>0</v>
      </c>
      <c r="BF764" s="164">
        <f t="shared" si="490"/>
        <v>99822.737840074653</v>
      </c>
      <c r="BG764" s="164">
        <f t="shared" si="470"/>
        <v>3.6527349983506408E-8</v>
      </c>
      <c r="BH764" s="152"/>
      <c r="BI764" s="162">
        <f t="shared" si="471"/>
        <v>49281.998756177854</v>
      </c>
      <c r="BJ764" s="150">
        <f t="shared" si="472"/>
        <v>0</v>
      </c>
      <c r="BK764" s="163">
        <f t="shared" si="494"/>
        <v>0</v>
      </c>
      <c r="BL764" s="163">
        <f t="shared" si="473"/>
        <v>10315.1564200063</v>
      </c>
      <c r="BM764" s="163">
        <f t="shared" si="495"/>
        <v>172.87068514217307</v>
      </c>
      <c r="BN764" s="163">
        <f t="shared" si="474"/>
        <v>4501.6822623744292</v>
      </c>
      <c r="BO764" s="163">
        <f t="shared" si="475"/>
        <v>0</v>
      </c>
      <c r="BP764" s="164">
        <f t="shared" si="496"/>
        <v>43641.395283688158</v>
      </c>
      <c r="BQ764" s="164">
        <f>IF($E764="","",IF(AND($D764=Input!$C$6,$C764=12),0,-BJ765+BK765+BL765-BM765-BN765-BO765+BQ765))</f>
        <v>43641.434788554376</v>
      </c>
      <c r="BR764" s="161">
        <f t="shared" si="476"/>
        <v>0</v>
      </c>
      <c r="BT764" s="147">
        <f t="shared" si="477"/>
        <v>3.6592214132642441E-13</v>
      </c>
      <c r="BU764" s="164">
        <f>IF(AND($C763=12,$D763=Input!$C$6),0,IF($E764="","",BK764+(BL764+BU765)/(1+$AK764)*MIN((1-T764-U764),1)))</f>
        <v>81662.226025524142</v>
      </c>
      <c r="BV764" s="164">
        <f t="shared" si="478"/>
        <v>2.9882016612742259E-8</v>
      </c>
      <c r="BW764" s="164">
        <f t="shared" si="479"/>
        <v>43641.434788554376</v>
      </c>
      <c r="BX764" s="164">
        <f t="shared" si="480"/>
        <v>1.5969367268385328E-8</v>
      </c>
    </row>
    <row r="765" spans="1:76" s="150" customFormat="1" x14ac:dyDescent="0.25">
      <c r="A765" s="150">
        <f t="shared" si="491"/>
        <v>761</v>
      </c>
      <c r="B765" s="150">
        <f t="shared" si="492"/>
        <v>64</v>
      </c>
      <c r="C765" s="150">
        <f t="shared" si="493"/>
        <v>5</v>
      </c>
      <c r="D765" s="150">
        <f>IF(E765="","",Input!$C$4+B765-1)</f>
        <v>108</v>
      </c>
      <c r="E765" s="150">
        <f>IF(OR(AND(C764=12,D764=Input!$C$6),E764=""),"",1)</f>
        <v>1</v>
      </c>
      <c r="F765" s="150">
        <f>IF(E765="","",Input!$C$8+B765-1)</f>
        <v>2081</v>
      </c>
      <c r="G765" s="151">
        <f>IF(E765="","",MAX(0,Input!$C$9-B765))</f>
        <v>0</v>
      </c>
      <c r="H765" s="152">
        <f>IF(E765="","",Input!$C$3)</f>
        <v>100000</v>
      </c>
      <c r="I765" s="153">
        <f>IF(E765="","",HLOOKUP($B765,Input!$C$13:$BT$14,2))</f>
        <v>1000</v>
      </c>
      <c r="J765" s="154"/>
      <c r="K765" s="155">
        <f>IF($E765="","",INDEX(Input!$C$16:$CP$16,1,$B765))</f>
        <v>3.304E-2</v>
      </c>
      <c r="L765" s="155">
        <f>IF($E765="","",Input!$C$37)</f>
        <v>1.4999999999999999E-2</v>
      </c>
      <c r="M765" s="155">
        <f t="shared" si="497"/>
        <v>4.8039999999999999E-2</v>
      </c>
      <c r="N765" s="155">
        <f t="shared" si="498"/>
        <v>3.9178006872921944E-3</v>
      </c>
      <c r="O765" s="147">
        <f>IF($E765="","",MIN(VLOOKUP(IF($B765&lt;=Input!$C$7,$B765,26),'Mortality Tables'!$A$41:$CW$67,IF($B765&lt;=Input!$C$7+1,Input!$C$4+2,$D765-Input!$C$7+2),0)*IF(B765&gt;20,Input!$C$22,1)/1000,1))</f>
        <v>1</v>
      </c>
      <c r="P765" s="147">
        <f>IF($E765="","",MIN(VLOOKUP(IF($B765&lt;=Input!$C$7,$B765,26),'Mortality Tables'!$A$12:$CW$37,IF($B765&lt;=Input!$C$7+1,Input!$C$4+2,$D765-Input!$C$7+2),0)*IF(B765&gt;20,Input!$C$22,1)/1000,1))</f>
        <v>1</v>
      </c>
      <c r="Q765" s="155">
        <f>IF($E765="","",Input!$C$21)</f>
        <v>5.0000000000000001E-3</v>
      </c>
      <c r="R765" s="159">
        <f>IF($E765="","",(1-Q765)^($F765-Input!$C$20))</f>
        <v>0.729212470370462</v>
      </c>
      <c r="S765" s="147">
        <f t="shared" si="459"/>
        <v>0.729212470370462</v>
      </c>
      <c r="T765" s="147">
        <f t="shared" si="460"/>
        <v>0.103151564200063</v>
      </c>
      <c r="U765" s="160">
        <f>IF($E765="","",IF($C765=12,INDEX(Input!$C$15:$CP$15,1,$B765),0))</f>
        <v>0</v>
      </c>
      <c r="V765" s="150">
        <f>IF(E765="","",IF(C765=1,IF($B765=1,Input!$C$33,Input!$C$34),0))</f>
        <v>0</v>
      </c>
      <c r="W765" s="156">
        <f>IF($E765="","",Input!$C$35)</f>
        <v>0.02</v>
      </c>
      <c r="X765" s="156">
        <f t="shared" si="499"/>
        <v>3.4818561208596837</v>
      </c>
      <c r="Y765" s="154"/>
      <c r="Z765" s="147">
        <f>IF($E765="","",VLOOKUP($D765,'Mortality Margins &amp; Grading'!$AB$5:$AF$125,3,0)*IF(Summary!$D$25="Included Margin",IF(AND($B765&gt;Input!$C$9,Summary!$D$31&lt;&gt;"Included Margin"),0,1),0))</f>
        <v>0.01</v>
      </c>
      <c r="AA765" s="147">
        <f>IF($E765="","",VLOOKUP($D765,'Mortality Margins &amp; Grading'!$AB$5:$AF$125,5,0)*IF(Summary!$D$25="Included Margin",IF(AND($B765&gt;Input!$C$9,Summary!$D$31&lt;&gt;"Included Margin"),0,1),0))</f>
        <v>5.2999999999999999E-2</v>
      </c>
      <c r="AB765" s="147">
        <f>IF($E765="","",IF(AND($B765&gt;Input!$C$9,Summary!$D$31&lt;&gt;"Included Margin"),1,IF(Summary!$D$25="Included Margin",VLOOKUP($B765,'Mortality Margins &amp; Grading'!$AI$5:$AR$125,MATCH('Mortality Margins &amp; Grading'!$AQ$4,'Mortality Margins &amp; Grading'!$AI$4:$AR$4,0),0),1)))</f>
        <v>0</v>
      </c>
      <c r="AC765" s="154"/>
      <c r="AD765" s="158">
        <f>IF(E765="","",Input!$C$48*IF(Summary!$D$30="Included Margin",IF(AND($B765&gt;Input!$C$9,Summary!$D$31&lt;&gt;"Included Margin"),0,1),0))</f>
        <v>-4.4999999999999997E-3</v>
      </c>
      <c r="AE765" s="159">
        <f>IF(E765="","",IF(Summary!$D$26="Included Margin",IF(AND($B765&gt;Input!$C$9,Summary!$D$31&lt;&gt;"Included Margin"),1,1/$R765),1))</f>
        <v>1.3713424284858564</v>
      </c>
      <c r="AF765" s="160">
        <f>IF(E765="","",IF(AND($B765&gt;=Input!$C$9,$C765=12,Summary!$D$31="Included Margin",$U765&gt;0),1/U765-1,IF($B765&gt;=Input!$C$9,0,Input!$C$45*IF(Summary!$D$27="Included Margin",1,0))))</f>
        <v>0</v>
      </c>
      <c r="AG765" s="160">
        <f>IF(E765="","",Input!$C$46*IF(Summary!$D$28="Included Margin",IF(AND($B765&gt;Input!$C$9,Summary!$D$31&lt;&gt;"Included Margin"),0,1),0))</f>
        <v>0.02</v>
      </c>
      <c r="AH765" s="158">
        <f>IF(E765="","",Input!$C$47*IF(Summary!$D$29="Included Margin",IF(AND($B765&gt;Input!$C$9,Summary!$D$31&lt;&gt;"Included Margin"),0,1),0))</f>
        <v>2.5000000000000001E-3</v>
      </c>
      <c r="AI765" s="154"/>
      <c r="AJ765" s="158">
        <f t="shared" si="481"/>
        <v>4.3540000000000002E-2</v>
      </c>
      <c r="AK765" s="155">
        <f t="shared" si="482"/>
        <v>3.5578792243551316E-3</v>
      </c>
      <c r="AL765" s="147">
        <f t="shared" si="483"/>
        <v>1</v>
      </c>
      <c r="AM765" s="147">
        <f t="shared" si="461"/>
        <v>1</v>
      </c>
      <c r="AN765" s="160">
        <f t="shared" si="484"/>
        <v>0</v>
      </c>
      <c r="AO765" s="161">
        <f t="shared" si="485"/>
        <v>0</v>
      </c>
      <c r="AP765" s="156">
        <f t="shared" si="462"/>
        <v>4.0624586246142096</v>
      </c>
      <c r="AQ765" s="152"/>
      <c r="AR765" s="162">
        <f t="shared" si="463"/>
        <v>99822.42193942843</v>
      </c>
      <c r="AS765" s="150">
        <f t="shared" si="486"/>
        <v>0</v>
      </c>
      <c r="AT765" s="163">
        <f t="shared" si="464"/>
        <v>0</v>
      </c>
      <c r="AU765" s="163">
        <f t="shared" si="465"/>
        <v>100000</v>
      </c>
      <c r="AV765" s="163">
        <f t="shared" si="487"/>
        <v>177.2621599253477</v>
      </c>
      <c r="AW765" s="163">
        <f t="shared" si="466"/>
        <v>99822.737840074653</v>
      </c>
      <c r="AX765" s="163">
        <f t="shared" si="467"/>
        <v>0</v>
      </c>
      <c r="AY765" s="164">
        <f t="shared" si="488"/>
        <v>99822.42193942843</v>
      </c>
      <c r="AZ765" s="164">
        <f>IF($E765="","",IF(OR(AND($D765=Input!$C$6,$C765=12),$AN765=1),0,-AS766+AT766+AU766-AV766-AW766-AX766+AZ766))</f>
        <v>99822.737840074653</v>
      </c>
      <c r="BA765" s="154">
        <f t="shared" si="468"/>
        <v>0.31590064622287173</v>
      </c>
      <c r="BC765" s="147">
        <f t="shared" si="489"/>
        <v>3.281767000731672E-13</v>
      </c>
      <c r="BD765" s="164">
        <f>IF(AND($C764=12,$D764=Input!$C$6),0,IF($E765="","",AT765+(AU765+BD766)/(1+$AK765)*MIN((1-AM765-AN765),1)))</f>
        <v>0</v>
      </c>
      <c r="BE765" s="164">
        <f t="shared" si="469"/>
        <v>0</v>
      </c>
      <c r="BF765" s="164">
        <f t="shared" si="490"/>
        <v>99822.737840074653</v>
      </c>
      <c r="BG765" s="164">
        <f t="shared" si="470"/>
        <v>3.2759496696624581E-8</v>
      </c>
      <c r="BH765" s="152"/>
      <c r="BI765" s="162">
        <f t="shared" si="471"/>
        <v>43641.395283688151</v>
      </c>
      <c r="BJ765" s="150">
        <f t="shared" si="472"/>
        <v>0</v>
      </c>
      <c r="BK765" s="163">
        <f t="shared" si="494"/>
        <v>0</v>
      </c>
      <c r="BL765" s="163">
        <f t="shared" si="473"/>
        <v>10315.1564200063</v>
      </c>
      <c r="BM765" s="163">
        <f t="shared" si="495"/>
        <v>150.77192498091017</v>
      </c>
      <c r="BN765" s="163">
        <f t="shared" si="474"/>
        <v>3850.3831469601987</v>
      </c>
      <c r="BO765" s="163">
        <f t="shared" si="475"/>
        <v>0</v>
      </c>
      <c r="BP765" s="164">
        <f t="shared" si="496"/>
        <v>37327.39393562296</v>
      </c>
      <c r="BQ765" s="164">
        <f>IF($E765="","",IF(AND($D765=Input!$C$6,$C765=12),0,-BJ766+BK766+BL766-BM766-BN766-BO766+BQ766))</f>
        <v>37327.433440489185</v>
      </c>
      <c r="BR765" s="161">
        <f t="shared" si="476"/>
        <v>0</v>
      </c>
      <c r="BT765" s="147">
        <f t="shared" si="477"/>
        <v>3.281767000731672E-13</v>
      </c>
      <c r="BU765" s="164">
        <f>IF(AND($C764=12,$D764=Input!$C$6),0,IF($E765="","",BK765+(BL765+BU766)/(1+$AK765)*MIN((1-T765-U765),1)))</f>
        <v>81063.461294610999</v>
      </c>
      <c r="BV765" s="164">
        <f t="shared" si="478"/>
        <v>2.6603139224174352E-8</v>
      </c>
      <c r="BW765" s="164">
        <f t="shared" si="479"/>
        <v>37327.433440489185</v>
      </c>
      <c r="BX765" s="164">
        <f t="shared" si="480"/>
        <v>1.224999392870053E-8</v>
      </c>
    </row>
    <row r="766" spans="1:76" s="150" customFormat="1" x14ac:dyDescent="0.25">
      <c r="A766" s="150">
        <f t="shared" si="491"/>
        <v>762</v>
      </c>
      <c r="B766" s="150">
        <f t="shared" si="492"/>
        <v>64</v>
      </c>
      <c r="C766" s="150">
        <f t="shared" si="493"/>
        <v>6</v>
      </c>
      <c r="D766" s="150">
        <f>IF(E766="","",Input!$C$4+B766-1)</f>
        <v>108</v>
      </c>
      <c r="E766" s="150">
        <f>IF(OR(AND(C765=12,D765=Input!$C$6),E765=""),"",1)</f>
        <v>1</v>
      </c>
      <c r="F766" s="150">
        <f>IF(E766="","",Input!$C$8+B766-1)</f>
        <v>2081</v>
      </c>
      <c r="G766" s="151">
        <f>IF(E766="","",MAX(0,Input!$C$9-B766))</f>
        <v>0</v>
      </c>
      <c r="H766" s="152">
        <f>IF(E766="","",Input!$C$3)</f>
        <v>100000</v>
      </c>
      <c r="I766" s="153">
        <f>IF(E766="","",HLOOKUP($B766,Input!$C$13:$BT$14,2))</f>
        <v>1000</v>
      </c>
      <c r="J766" s="154"/>
      <c r="K766" s="155">
        <f>IF($E766="","",INDEX(Input!$C$16:$CP$16,1,$B766))</f>
        <v>3.304E-2</v>
      </c>
      <c r="L766" s="155">
        <f>IF($E766="","",Input!$C$37)</f>
        <v>1.4999999999999999E-2</v>
      </c>
      <c r="M766" s="155">
        <f t="shared" si="497"/>
        <v>4.8039999999999999E-2</v>
      </c>
      <c r="N766" s="155">
        <f t="shared" si="498"/>
        <v>3.9178006872921944E-3</v>
      </c>
      <c r="O766" s="147">
        <f>IF($E766="","",MIN(VLOOKUP(IF($B766&lt;=Input!$C$7,$B766,26),'Mortality Tables'!$A$41:$CW$67,IF($B766&lt;=Input!$C$7+1,Input!$C$4+2,$D766-Input!$C$7+2),0)*IF(B766&gt;20,Input!$C$22,1)/1000,1))</f>
        <v>1</v>
      </c>
      <c r="P766" s="147">
        <f>IF($E766="","",MIN(VLOOKUP(IF($B766&lt;=Input!$C$7,$B766,26),'Mortality Tables'!$A$12:$CW$37,IF($B766&lt;=Input!$C$7+1,Input!$C$4+2,$D766-Input!$C$7+2),0)*IF(B766&gt;20,Input!$C$22,1)/1000,1))</f>
        <v>1</v>
      </c>
      <c r="Q766" s="155">
        <f>IF($E766="","",Input!$C$21)</f>
        <v>5.0000000000000001E-3</v>
      </c>
      <c r="R766" s="159">
        <f>IF($E766="","",(1-Q766)^($F766-Input!$C$20))</f>
        <v>0.729212470370462</v>
      </c>
      <c r="S766" s="147">
        <f t="shared" si="459"/>
        <v>0.729212470370462</v>
      </c>
      <c r="T766" s="147">
        <f t="shared" si="460"/>
        <v>0.103151564200063</v>
      </c>
      <c r="U766" s="160">
        <f>IF($E766="","",IF($C766=12,INDEX(Input!$C$15:$CP$15,1,$B766),0))</f>
        <v>0</v>
      </c>
      <c r="V766" s="150">
        <f>IF(E766="","",IF(C766=1,IF($B766=1,Input!$C$33,Input!$C$34),0))</f>
        <v>0</v>
      </c>
      <c r="W766" s="156">
        <f>IF($E766="","",Input!$C$35)</f>
        <v>0.02</v>
      </c>
      <c r="X766" s="156">
        <f t="shared" si="499"/>
        <v>3.4818561208596837</v>
      </c>
      <c r="Y766" s="154"/>
      <c r="Z766" s="147">
        <f>IF($E766="","",VLOOKUP($D766,'Mortality Margins &amp; Grading'!$AB$5:$AF$125,3,0)*IF(Summary!$D$25="Included Margin",IF(AND($B766&gt;Input!$C$9,Summary!$D$31&lt;&gt;"Included Margin"),0,1),0))</f>
        <v>0.01</v>
      </c>
      <c r="AA766" s="147">
        <f>IF($E766="","",VLOOKUP($D766,'Mortality Margins &amp; Grading'!$AB$5:$AF$125,5,0)*IF(Summary!$D$25="Included Margin",IF(AND($B766&gt;Input!$C$9,Summary!$D$31&lt;&gt;"Included Margin"),0,1),0))</f>
        <v>5.2999999999999999E-2</v>
      </c>
      <c r="AB766" s="147">
        <f>IF($E766="","",IF(AND($B766&gt;Input!$C$9,Summary!$D$31&lt;&gt;"Included Margin"),1,IF(Summary!$D$25="Included Margin",VLOOKUP($B766,'Mortality Margins &amp; Grading'!$AI$5:$AR$125,MATCH('Mortality Margins &amp; Grading'!$AQ$4,'Mortality Margins &amp; Grading'!$AI$4:$AR$4,0),0),1)))</f>
        <v>0</v>
      </c>
      <c r="AC766" s="154"/>
      <c r="AD766" s="158">
        <f>IF(E766="","",Input!$C$48*IF(Summary!$D$30="Included Margin",IF(AND($B766&gt;Input!$C$9,Summary!$D$31&lt;&gt;"Included Margin"),0,1),0))</f>
        <v>-4.4999999999999997E-3</v>
      </c>
      <c r="AE766" s="159">
        <f>IF(E766="","",IF(Summary!$D$26="Included Margin",IF(AND($B766&gt;Input!$C$9,Summary!$D$31&lt;&gt;"Included Margin"),1,1/$R766),1))</f>
        <v>1.3713424284858564</v>
      </c>
      <c r="AF766" s="160">
        <f>IF(E766="","",IF(AND($B766&gt;=Input!$C$9,$C766=12,Summary!$D$31="Included Margin",$U766&gt;0),1/U766-1,IF($B766&gt;=Input!$C$9,0,Input!$C$45*IF(Summary!$D$27="Included Margin",1,0))))</f>
        <v>0</v>
      </c>
      <c r="AG766" s="160">
        <f>IF(E766="","",Input!$C$46*IF(Summary!$D$28="Included Margin",IF(AND($B766&gt;Input!$C$9,Summary!$D$31&lt;&gt;"Included Margin"),0,1),0))</f>
        <v>0.02</v>
      </c>
      <c r="AH766" s="158">
        <f>IF(E766="","",Input!$C$47*IF(Summary!$D$29="Included Margin",IF(AND($B766&gt;Input!$C$9,Summary!$D$31&lt;&gt;"Included Margin"),0,1),0))</f>
        <v>2.5000000000000001E-3</v>
      </c>
      <c r="AI766" s="154"/>
      <c r="AJ766" s="158">
        <f t="shared" si="481"/>
        <v>4.3540000000000002E-2</v>
      </c>
      <c r="AK766" s="155">
        <f t="shared" si="482"/>
        <v>3.5578792243551316E-3</v>
      </c>
      <c r="AL766" s="147">
        <f t="shared" si="483"/>
        <v>1</v>
      </c>
      <c r="AM766" s="147">
        <f t="shared" si="461"/>
        <v>1</v>
      </c>
      <c r="AN766" s="160">
        <f t="shared" si="484"/>
        <v>0</v>
      </c>
      <c r="AO766" s="161">
        <f t="shared" si="485"/>
        <v>0</v>
      </c>
      <c r="AP766" s="156">
        <f t="shared" si="462"/>
        <v>4.0624586246142096</v>
      </c>
      <c r="AQ766" s="152"/>
      <c r="AR766" s="162">
        <f t="shared" si="463"/>
        <v>99822.42193942843</v>
      </c>
      <c r="AS766" s="150">
        <f t="shared" si="486"/>
        <v>0</v>
      </c>
      <c r="AT766" s="163">
        <f t="shared" si="464"/>
        <v>0</v>
      </c>
      <c r="AU766" s="163">
        <f t="shared" si="465"/>
        <v>100000</v>
      </c>
      <c r="AV766" s="163">
        <f t="shared" si="487"/>
        <v>177.2621599253477</v>
      </c>
      <c r="AW766" s="163">
        <f t="shared" si="466"/>
        <v>99822.737840074653</v>
      </c>
      <c r="AX766" s="163">
        <f t="shared" si="467"/>
        <v>0</v>
      </c>
      <c r="AY766" s="165">
        <f t="shared" si="488"/>
        <v>99822.42193942843</v>
      </c>
      <c r="AZ766" s="164">
        <f>IF($E766="","",IF(OR(AND($D766=Input!$C$6,$C766=12),$AN766=1),0,-AS767+AT767+AU767-AV767-AW767-AX767+AZ767))</f>
        <v>99822.737840074653</v>
      </c>
      <c r="BA766" s="154">
        <f t="shared" si="468"/>
        <v>0.31590064622287173</v>
      </c>
      <c r="BC766" s="147">
        <f t="shared" si="489"/>
        <v>2.9432476012660509E-13</v>
      </c>
      <c r="BD766" s="164">
        <f>IF(AND($C765=12,$D765=Input!$C$6),0,IF($E766="","",AT766+(AU766+BD767)/(1+$AK766)*MIN((1-AM766-AN766),1)))</f>
        <v>0</v>
      </c>
      <c r="BE766" s="164">
        <f t="shared" si="469"/>
        <v>0</v>
      </c>
      <c r="BF766" s="164">
        <f t="shared" si="490"/>
        <v>99822.737840074653</v>
      </c>
      <c r="BG766" s="164">
        <f t="shared" si="470"/>
        <v>2.9380303369960956E-8</v>
      </c>
      <c r="BH766" s="152"/>
      <c r="BI766" s="162">
        <f t="shared" si="471"/>
        <v>37327.393935622968</v>
      </c>
      <c r="BJ766" s="150">
        <f t="shared" si="472"/>
        <v>0</v>
      </c>
      <c r="BK766" s="163">
        <f t="shared" si="494"/>
        <v>0</v>
      </c>
      <c r="BL766" s="163">
        <f t="shared" si="473"/>
        <v>10315.1564200063</v>
      </c>
      <c r="BM766" s="163">
        <f t="shared" si="495"/>
        <v>126.03492615989657</v>
      </c>
      <c r="BN766" s="163">
        <f t="shared" si="474"/>
        <v>3121.3293297976179</v>
      </c>
      <c r="BO766" s="163">
        <f t="shared" si="475"/>
        <v>0</v>
      </c>
      <c r="BP766" s="164">
        <f t="shared" si="496"/>
        <v>30259.601771574184</v>
      </c>
      <c r="BQ766" s="164">
        <f>IF($E766="","",IF(AND($D766=Input!$C$6,$C766=12),0,-BJ767+BK767+BL767-BM767-BN767-BO767+BQ767))</f>
        <v>30259.641276440398</v>
      </c>
      <c r="BR766" s="161">
        <f t="shared" si="476"/>
        <v>0</v>
      </c>
      <c r="BT766" s="147">
        <f t="shared" si="477"/>
        <v>2.9432476012660509E-13</v>
      </c>
      <c r="BU766" s="164">
        <f>IF(AND($C765=12,$D765=Input!$C$6),0,IF($E766="","",BK766+(BL766+BU767)/(1+$AK766)*MIN((1-T766-U766),1)))</f>
        <v>80393.453922659057</v>
      </c>
      <c r="BV766" s="164">
        <f t="shared" si="478"/>
        <v>2.3661784041535906E-8</v>
      </c>
      <c r="BW766" s="164">
        <f t="shared" si="479"/>
        <v>30259.641276440398</v>
      </c>
      <c r="BX766" s="164">
        <f t="shared" si="480"/>
        <v>8.9061616602054383E-9</v>
      </c>
    </row>
    <row r="767" spans="1:76" s="150" customFormat="1" x14ac:dyDescent="0.25">
      <c r="A767" s="150">
        <f t="shared" si="491"/>
        <v>763</v>
      </c>
      <c r="B767" s="150">
        <f t="shared" si="492"/>
        <v>64</v>
      </c>
      <c r="C767" s="150">
        <f t="shared" si="493"/>
        <v>7</v>
      </c>
      <c r="D767" s="150">
        <f>IF(E767="","",Input!$C$4+B767-1)</f>
        <v>108</v>
      </c>
      <c r="E767" s="150">
        <f>IF(OR(AND(C766=12,D766=Input!$C$6),E766=""),"",1)</f>
        <v>1</v>
      </c>
      <c r="F767" s="150">
        <f>IF(E767="","",Input!$C$8+B767-1)</f>
        <v>2081</v>
      </c>
      <c r="G767" s="151">
        <f>IF(E767="","",MAX(0,Input!$C$9-B767))</f>
        <v>0</v>
      </c>
      <c r="H767" s="152">
        <f>IF(E767="","",Input!$C$3)</f>
        <v>100000</v>
      </c>
      <c r="I767" s="153">
        <f>IF(E767="","",HLOOKUP($B767,Input!$C$13:$BT$14,2))</f>
        <v>1000</v>
      </c>
      <c r="J767" s="154"/>
      <c r="K767" s="155">
        <f>IF($E767="","",INDEX(Input!$C$16:$CP$16,1,$B767))</f>
        <v>3.304E-2</v>
      </c>
      <c r="L767" s="155">
        <f>IF($E767="","",Input!$C$37)</f>
        <v>1.4999999999999999E-2</v>
      </c>
      <c r="M767" s="155">
        <f t="shared" si="497"/>
        <v>4.8039999999999999E-2</v>
      </c>
      <c r="N767" s="155">
        <f t="shared" si="498"/>
        <v>3.9178006872921944E-3</v>
      </c>
      <c r="O767" s="147">
        <f>IF($E767="","",MIN(VLOOKUP(IF($B767&lt;=Input!$C$7,$B767,26),'Mortality Tables'!$A$41:$CW$67,IF($B767&lt;=Input!$C$7+1,Input!$C$4+2,$D767-Input!$C$7+2),0)*IF(B767&gt;20,Input!$C$22,1)/1000,1))</f>
        <v>1</v>
      </c>
      <c r="P767" s="147">
        <f>IF($E767="","",MIN(VLOOKUP(IF($B767&lt;=Input!$C$7,$B767,26),'Mortality Tables'!$A$12:$CW$37,IF($B767&lt;=Input!$C$7+1,Input!$C$4+2,$D767-Input!$C$7+2),0)*IF(B767&gt;20,Input!$C$22,1)/1000,1))</f>
        <v>1</v>
      </c>
      <c r="Q767" s="155">
        <f>IF($E767="","",Input!$C$21)</f>
        <v>5.0000000000000001E-3</v>
      </c>
      <c r="R767" s="159">
        <f>IF($E767="","",(1-Q767)^($F767-Input!$C$20))</f>
        <v>0.729212470370462</v>
      </c>
      <c r="S767" s="147">
        <f t="shared" si="459"/>
        <v>0.729212470370462</v>
      </c>
      <c r="T767" s="147">
        <f t="shared" si="460"/>
        <v>0.103151564200063</v>
      </c>
      <c r="U767" s="160">
        <f>IF($E767="","",IF($C767=12,INDEX(Input!$C$15:$CP$15,1,$B767),0))</f>
        <v>0</v>
      </c>
      <c r="V767" s="150">
        <f>IF(E767="","",IF(C767=1,IF($B767=1,Input!$C$33,Input!$C$34),0))</f>
        <v>0</v>
      </c>
      <c r="W767" s="156">
        <f>IF($E767="","",Input!$C$35)</f>
        <v>0.02</v>
      </c>
      <c r="X767" s="156">
        <f t="shared" si="499"/>
        <v>3.4818561208596837</v>
      </c>
      <c r="Y767" s="154"/>
      <c r="Z767" s="147">
        <f>IF($E767="","",VLOOKUP($D767,'Mortality Margins &amp; Grading'!$AB$5:$AF$125,3,0)*IF(Summary!$D$25="Included Margin",IF(AND($B767&gt;Input!$C$9,Summary!$D$31&lt;&gt;"Included Margin"),0,1),0))</f>
        <v>0.01</v>
      </c>
      <c r="AA767" s="147">
        <f>IF($E767="","",VLOOKUP($D767,'Mortality Margins &amp; Grading'!$AB$5:$AF$125,5,0)*IF(Summary!$D$25="Included Margin",IF(AND($B767&gt;Input!$C$9,Summary!$D$31&lt;&gt;"Included Margin"),0,1),0))</f>
        <v>5.2999999999999999E-2</v>
      </c>
      <c r="AB767" s="147">
        <f>IF($E767="","",IF(AND($B767&gt;Input!$C$9,Summary!$D$31&lt;&gt;"Included Margin"),1,IF(Summary!$D$25="Included Margin",VLOOKUP($B767,'Mortality Margins &amp; Grading'!$AI$5:$AR$125,MATCH('Mortality Margins &amp; Grading'!$AQ$4,'Mortality Margins &amp; Grading'!$AI$4:$AR$4,0),0),1)))</f>
        <v>0</v>
      </c>
      <c r="AC767" s="154"/>
      <c r="AD767" s="158">
        <f>IF(E767="","",Input!$C$48*IF(Summary!$D$30="Included Margin",IF(AND($B767&gt;Input!$C$9,Summary!$D$31&lt;&gt;"Included Margin"),0,1),0))</f>
        <v>-4.4999999999999997E-3</v>
      </c>
      <c r="AE767" s="159">
        <f>IF(E767="","",IF(Summary!$D$26="Included Margin",IF(AND($B767&gt;Input!$C$9,Summary!$D$31&lt;&gt;"Included Margin"),1,1/$R767),1))</f>
        <v>1.3713424284858564</v>
      </c>
      <c r="AF767" s="160">
        <f>IF(E767="","",IF(AND($B767&gt;=Input!$C$9,$C767=12,Summary!$D$31="Included Margin",$U767&gt;0),1/U767-1,IF($B767&gt;=Input!$C$9,0,Input!$C$45*IF(Summary!$D$27="Included Margin",1,0))))</f>
        <v>0</v>
      </c>
      <c r="AG767" s="160">
        <f>IF(E767="","",Input!$C$46*IF(Summary!$D$28="Included Margin",IF(AND($B767&gt;Input!$C$9,Summary!$D$31&lt;&gt;"Included Margin"),0,1),0))</f>
        <v>0.02</v>
      </c>
      <c r="AH767" s="158">
        <f>IF(E767="","",Input!$C$47*IF(Summary!$D$29="Included Margin",IF(AND($B767&gt;Input!$C$9,Summary!$D$31&lt;&gt;"Included Margin"),0,1),0))</f>
        <v>2.5000000000000001E-3</v>
      </c>
      <c r="AI767" s="154"/>
      <c r="AJ767" s="158">
        <f t="shared" si="481"/>
        <v>4.3540000000000002E-2</v>
      </c>
      <c r="AK767" s="155">
        <f t="shared" si="482"/>
        <v>3.5578792243551316E-3</v>
      </c>
      <c r="AL767" s="147">
        <f t="shared" si="483"/>
        <v>1</v>
      </c>
      <c r="AM767" s="147">
        <f t="shared" si="461"/>
        <v>1</v>
      </c>
      <c r="AN767" s="160">
        <f t="shared" si="484"/>
        <v>0</v>
      </c>
      <c r="AO767" s="161">
        <f t="shared" si="485"/>
        <v>0</v>
      </c>
      <c r="AP767" s="156">
        <f t="shared" si="462"/>
        <v>4.0624586246142096</v>
      </c>
      <c r="AQ767" s="152"/>
      <c r="AR767" s="162">
        <f t="shared" si="463"/>
        <v>99822.42193942843</v>
      </c>
      <c r="AS767" s="150">
        <f t="shared" si="486"/>
        <v>0</v>
      </c>
      <c r="AT767" s="163">
        <f t="shared" si="464"/>
        <v>0</v>
      </c>
      <c r="AU767" s="163">
        <f t="shared" si="465"/>
        <v>100000</v>
      </c>
      <c r="AV767" s="163">
        <f t="shared" si="487"/>
        <v>177.2621599253477</v>
      </c>
      <c r="AW767" s="163">
        <f t="shared" si="466"/>
        <v>99822.737840074653</v>
      </c>
      <c r="AX767" s="163">
        <f t="shared" si="467"/>
        <v>0</v>
      </c>
      <c r="AY767" s="164">
        <f t="shared" si="488"/>
        <v>99822.42193942843</v>
      </c>
      <c r="AZ767" s="164">
        <f>IF($E767="","",IF(OR(AND($D767=Input!$C$6,$C767=12),$AN767=1),0,-AS768+AT768+AU768-AV768-AW768-AX768+AZ768))</f>
        <v>99822.737840074653</v>
      </c>
      <c r="BA767" s="154">
        <f t="shared" si="468"/>
        <v>0.31590064622287173</v>
      </c>
      <c r="BC767" s="147">
        <f t="shared" si="489"/>
        <v>2.6396470073673742E-13</v>
      </c>
      <c r="BD767" s="164">
        <f>IF(AND($C766=12,$D766=Input!$C$6),0,IF($E767="","",AT767+(AU767+BD768)/(1+$AK767)*MIN((1-AM767-AN767),1)))</f>
        <v>0</v>
      </c>
      <c r="BE767" s="164">
        <f t="shared" si="469"/>
        <v>0</v>
      </c>
      <c r="BF767" s="164">
        <f t="shared" si="490"/>
        <v>99822.737840074653</v>
      </c>
      <c r="BG767" s="164">
        <f t="shared" si="470"/>
        <v>2.63496791206771E-8</v>
      </c>
      <c r="BH767" s="152"/>
      <c r="BI767" s="162">
        <f t="shared" si="471"/>
        <v>30259.601771574176</v>
      </c>
      <c r="BJ767" s="150">
        <f t="shared" si="472"/>
        <v>0</v>
      </c>
      <c r="BK767" s="163">
        <f t="shared" si="494"/>
        <v>0</v>
      </c>
      <c r="BL767" s="163">
        <f t="shared" si="473"/>
        <v>10315.1564200063</v>
      </c>
      <c r="BM767" s="163">
        <f t="shared" si="495"/>
        <v>98.344725161947821</v>
      </c>
      <c r="BN767" s="163">
        <f t="shared" si="474"/>
        <v>2305.2381425997369</v>
      </c>
      <c r="BO767" s="163">
        <f t="shared" si="475"/>
        <v>0</v>
      </c>
      <c r="BP767" s="164">
        <f t="shared" si="496"/>
        <v>22348.028219329561</v>
      </c>
      <c r="BQ767" s="164">
        <f>IF($E767="","",IF(AND($D767=Input!$C$6,$C767=12),0,-BJ768+BK768+BL768-BM768-BN768-BO768+BQ768))</f>
        <v>22348.067724195782</v>
      </c>
      <c r="BR767" s="161">
        <f t="shared" si="476"/>
        <v>0</v>
      </c>
      <c r="BT767" s="147">
        <f t="shared" si="477"/>
        <v>2.6396470073673742E-13</v>
      </c>
      <c r="BU767" s="164">
        <f>IF(AND($C766=12,$D766=Input!$C$6),0,IF($E767="","",BK767+(BL767+BU768)/(1+$AK767)*MIN((1-T767-U767),1)))</f>
        <v>79643.727268276212</v>
      </c>
      <c r="BV767" s="164">
        <f t="shared" si="478"/>
        <v>2.1023132633928866E-8</v>
      </c>
      <c r="BW767" s="164">
        <f t="shared" si="479"/>
        <v>22348.067724195782</v>
      </c>
      <c r="BX767" s="164">
        <f t="shared" si="480"/>
        <v>5.8991010088616805E-9</v>
      </c>
    </row>
    <row r="768" spans="1:76" s="150" customFormat="1" x14ac:dyDescent="0.25">
      <c r="A768" s="150">
        <f t="shared" si="491"/>
        <v>764</v>
      </c>
      <c r="B768" s="150">
        <f t="shared" si="492"/>
        <v>64</v>
      </c>
      <c r="C768" s="150">
        <f t="shared" si="493"/>
        <v>8</v>
      </c>
      <c r="D768" s="150">
        <f>IF(E768="","",Input!$C$4+B768-1)</f>
        <v>108</v>
      </c>
      <c r="E768" s="150">
        <f>IF(OR(AND(C767=12,D767=Input!$C$6),E767=""),"",1)</f>
        <v>1</v>
      </c>
      <c r="F768" s="150">
        <f>IF(E768="","",Input!$C$8+B768-1)</f>
        <v>2081</v>
      </c>
      <c r="G768" s="151">
        <f>IF(E768="","",MAX(0,Input!$C$9-B768))</f>
        <v>0</v>
      </c>
      <c r="H768" s="152">
        <f>IF(E768="","",Input!$C$3)</f>
        <v>100000</v>
      </c>
      <c r="I768" s="153">
        <f>IF(E768="","",HLOOKUP($B768,Input!$C$13:$BT$14,2))</f>
        <v>1000</v>
      </c>
      <c r="J768" s="154"/>
      <c r="K768" s="155">
        <f>IF($E768="","",INDEX(Input!$C$16:$CP$16,1,$B768))</f>
        <v>3.304E-2</v>
      </c>
      <c r="L768" s="155">
        <f>IF($E768="","",Input!$C$37)</f>
        <v>1.4999999999999999E-2</v>
      </c>
      <c r="M768" s="155">
        <f t="shared" si="497"/>
        <v>4.8039999999999999E-2</v>
      </c>
      <c r="N768" s="155">
        <f t="shared" si="498"/>
        <v>3.9178006872921944E-3</v>
      </c>
      <c r="O768" s="147">
        <f>IF($E768="","",MIN(VLOOKUP(IF($B768&lt;=Input!$C$7,$B768,26),'Mortality Tables'!$A$41:$CW$67,IF($B768&lt;=Input!$C$7+1,Input!$C$4+2,$D768-Input!$C$7+2),0)*IF(B768&gt;20,Input!$C$22,1)/1000,1))</f>
        <v>1</v>
      </c>
      <c r="P768" s="147">
        <f>IF($E768="","",MIN(VLOOKUP(IF($B768&lt;=Input!$C$7,$B768,26),'Mortality Tables'!$A$12:$CW$37,IF($B768&lt;=Input!$C$7+1,Input!$C$4+2,$D768-Input!$C$7+2),0)*IF(B768&gt;20,Input!$C$22,1)/1000,1))</f>
        <v>1</v>
      </c>
      <c r="Q768" s="155">
        <f>IF($E768="","",Input!$C$21)</f>
        <v>5.0000000000000001E-3</v>
      </c>
      <c r="R768" s="159">
        <f>IF($E768="","",(1-Q768)^($F768-Input!$C$20))</f>
        <v>0.729212470370462</v>
      </c>
      <c r="S768" s="147">
        <f t="shared" si="459"/>
        <v>0.729212470370462</v>
      </c>
      <c r="T768" s="147">
        <f t="shared" si="460"/>
        <v>0.103151564200063</v>
      </c>
      <c r="U768" s="160">
        <f>IF($E768="","",IF($C768=12,INDEX(Input!$C$15:$CP$15,1,$B768),0))</f>
        <v>0</v>
      </c>
      <c r="V768" s="150">
        <f>IF(E768="","",IF(C768=1,IF($B768=1,Input!$C$33,Input!$C$34),0))</f>
        <v>0</v>
      </c>
      <c r="W768" s="156">
        <f>IF($E768="","",Input!$C$35)</f>
        <v>0.02</v>
      </c>
      <c r="X768" s="156">
        <f t="shared" si="499"/>
        <v>3.4818561208596837</v>
      </c>
      <c r="Y768" s="154"/>
      <c r="Z768" s="147">
        <f>IF($E768="","",VLOOKUP($D768,'Mortality Margins &amp; Grading'!$AB$5:$AF$125,3,0)*IF(Summary!$D$25="Included Margin",IF(AND($B768&gt;Input!$C$9,Summary!$D$31&lt;&gt;"Included Margin"),0,1),0))</f>
        <v>0.01</v>
      </c>
      <c r="AA768" s="147">
        <f>IF($E768="","",VLOOKUP($D768,'Mortality Margins &amp; Grading'!$AB$5:$AF$125,5,0)*IF(Summary!$D$25="Included Margin",IF(AND($B768&gt;Input!$C$9,Summary!$D$31&lt;&gt;"Included Margin"),0,1),0))</f>
        <v>5.2999999999999999E-2</v>
      </c>
      <c r="AB768" s="147">
        <f>IF($E768="","",IF(AND($B768&gt;Input!$C$9,Summary!$D$31&lt;&gt;"Included Margin"),1,IF(Summary!$D$25="Included Margin",VLOOKUP($B768,'Mortality Margins &amp; Grading'!$AI$5:$AR$125,MATCH('Mortality Margins &amp; Grading'!$AQ$4,'Mortality Margins &amp; Grading'!$AI$4:$AR$4,0),0),1)))</f>
        <v>0</v>
      </c>
      <c r="AC768" s="154"/>
      <c r="AD768" s="158">
        <f>IF(E768="","",Input!$C$48*IF(Summary!$D$30="Included Margin",IF(AND($B768&gt;Input!$C$9,Summary!$D$31&lt;&gt;"Included Margin"),0,1),0))</f>
        <v>-4.4999999999999997E-3</v>
      </c>
      <c r="AE768" s="159">
        <f>IF(E768="","",IF(Summary!$D$26="Included Margin",IF(AND($B768&gt;Input!$C$9,Summary!$D$31&lt;&gt;"Included Margin"),1,1/$R768),1))</f>
        <v>1.3713424284858564</v>
      </c>
      <c r="AF768" s="160">
        <f>IF(E768="","",IF(AND($B768&gt;=Input!$C$9,$C768=12,Summary!$D$31="Included Margin",$U768&gt;0),1/U768-1,IF($B768&gt;=Input!$C$9,0,Input!$C$45*IF(Summary!$D$27="Included Margin",1,0))))</f>
        <v>0</v>
      </c>
      <c r="AG768" s="160">
        <f>IF(E768="","",Input!$C$46*IF(Summary!$D$28="Included Margin",IF(AND($B768&gt;Input!$C$9,Summary!$D$31&lt;&gt;"Included Margin"),0,1),0))</f>
        <v>0.02</v>
      </c>
      <c r="AH768" s="158">
        <f>IF(E768="","",Input!$C$47*IF(Summary!$D$29="Included Margin",IF(AND($B768&gt;Input!$C$9,Summary!$D$31&lt;&gt;"Included Margin"),0,1),0))</f>
        <v>2.5000000000000001E-3</v>
      </c>
      <c r="AI768" s="154"/>
      <c r="AJ768" s="158">
        <f t="shared" si="481"/>
        <v>4.3540000000000002E-2</v>
      </c>
      <c r="AK768" s="155">
        <f t="shared" si="482"/>
        <v>3.5578792243551316E-3</v>
      </c>
      <c r="AL768" s="147">
        <f t="shared" si="483"/>
        <v>1</v>
      </c>
      <c r="AM768" s="147">
        <f t="shared" si="461"/>
        <v>1</v>
      </c>
      <c r="AN768" s="160">
        <f t="shared" si="484"/>
        <v>0</v>
      </c>
      <c r="AO768" s="161">
        <f t="shared" si="485"/>
        <v>0</v>
      </c>
      <c r="AP768" s="156">
        <f t="shared" si="462"/>
        <v>4.0624586246142096</v>
      </c>
      <c r="AQ768" s="152"/>
      <c r="AR768" s="162">
        <f t="shared" si="463"/>
        <v>99822.42193942843</v>
      </c>
      <c r="AS768" s="150">
        <f t="shared" si="486"/>
        <v>0</v>
      </c>
      <c r="AT768" s="163">
        <f t="shared" si="464"/>
        <v>0</v>
      </c>
      <c r="AU768" s="163">
        <f t="shared" si="465"/>
        <v>100000</v>
      </c>
      <c r="AV768" s="163">
        <f t="shared" si="487"/>
        <v>177.2621599253477</v>
      </c>
      <c r="AW768" s="163">
        <f t="shared" si="466"/>
        <v>99822.737840074653</v>
      </c>
      <c r="AX768" s="163">
        <f t="shared" si="467"/>
        <v>0</v>
      </c>
      <c r="AY768" s="165">
        <f t="shared" si="488"/>
        <v>99822.42193942843</v>
      </c>
      <c r="AZ768" s="164">
        <f>IF($E768="","",IF(OR(AND($D768=Input!$C$6,$C768=12),$AN768=1),0,-AS769+AT769+AU769-AV769-AW769-AX769+AZ769))</f>
        <v>99822.737840074653</v>
      </c>
      <c r="BA768" s="154">
        <f t="shared" si="468"/>
        <v>0.31590064622287173</v>
      </c>
      <c r="BC768" s="147">
        <f t="shared" si="489"/>
        <v>2.3673632896214142E-13</v>
      </c>
      <c r="BD768" s="164">
        <f>IF(AND($C767=12,$D767=Input!$C$6),0,IF($E768="","",AT768+(AU768+BD769)/(1+$AK768)*MIN((1-AM768-AN768),1)))</f>
        <v>0</v>
      </c>
      <c r="BE768" s="164">
        <f t="shared" si="469"/>
        <v>0</v>
      </c>
      <c r="BF768" s="164">
        <f t="shared" si="490"/>
        <v>99822.737840074653</v>
      </c>
      <c r="BG768" s="164">
        <f t="shared" si="470"/>
        <v>2.3631668503209515E-8</v>
      </c>
      <c r="BH768" s="152"/>
      <c r="BI768" s="162">
        <f t="shared" si="471"/>
        <v>22348.028219329561</v>
      </c>
      <c r="BJ768" s="150">
        <f t="shared" si="472"/>
        <v>0</v>
      </c>
      <c r="BK768" s="163">
        <f t="shared" si="494"/>
        <v>0</v>
      </c>
      <c r="BL768" s="163">
        <f t="shared" si="473"/>
        <v>10315.1564200063</v>
      </c>
      <c r="BM768" s="163">
        <f t="shared" si="495"/>
        <v>67.348756861401128</v>
      </c>
      <c r="BN768" s="163">
        <f t="shared" si="474"/>
        <v>1391.7187148926239</v>
      </c>
      <c r="BO768" s="163">
        <f t="shared" si="475"/>
        <v>0</v>
      </c>
      <c r="BP768" s="164">
        <f t="shared" si="496"/>
        <v>13491.939271077286</v>
      </c>
      <c r="BQ768" s="164">
        <f>IF($E768="","",IF(AND($D768=Input!$C$6,$C768=12),0,-BJ769+BK769+BL769-BM769-BN769-BO769+BQ769))</f>
        <v>13491.978775943506</v>
      </c>
      <c r="BR768" s="161">
        <f t="shared" si="476"/>
        <v>0</v>
      </c>
      <c r="BT768" s="147">
        <f t="shared" si="477"/>
        <v>2.3673632896214142E-13</v>
      </c>
      <c r="BU768" s="164">
        <f>IF(AND($C767=12,$D767=Input!$C$6),0,IF($E768="","",BK768+(BL768+BU769)/(1+$AK768)*MIN((1-T768-U768),1)))</f>
        <v>78804.796116437457</v>
      </c>
      <c r="BV768" s="164">
        <f t="shared" si="478"/>
        <v>1.8655958137215422E-8</v>
      </c>
      <c r="BW768" s="164">
        <f t="shared" si="479"/>
        <v>13491.978775943506</v>
      </c>
      <c r="BX768" s="164">
        <f t="shared" si="480"/>
        <v>3.1940415258519918E-9</v>
      </c>
    </row>
    <row r="769" spans="1:76" s="150" customFormat="1" x14ac:dyDescent="0.25">
      <c r="A769" s="150">
        <f t="shared" si="491"/>
        <v>765</v>
      </c>
      <c r="B769" s="150">
        <f t="shared" si="492"/>
        <v>64</v>
      </c>
      <c r="C769" s="150">
        <f t="shared" si="493"/>
        <v>9</v>
      </c>
      <c r="D769" s="150">
        <f>IF(E769="","",Input!$C$4+B769-1)</f>
        <v>108</v>
      </c>
      <c r="E769" s="150">
        <f>IF(OR(AND(C768=12,D768=Input!$C$6),E768=""),"",1)</f>
        <v>1</v>
      </c>
      <c r="F769" s="150">
        <f>IF(E769="","",Input!$C$8+B769-1)</f>
        <v>2081</v>
      </c>
      <c r="G769" s="151">
        <f>IF(E769="","",MAX(0,Input!$C$9-B769))</f>
        <v>0</v>
      </c>
      <c r="H769" s="152">
        <f>IF(E769="","",Input!$C$3)</f>
        <v>100000</v>
      </c>
      <c r="I769" s="153">
        <f>IF(E769="","",HLOOKUP($B769,Input!$C$13:$BT$14,2))</f>
        <v>1000</v>
      </c>
      <c r="J769" s="154"/>
      <c r="K769" s="155">
        <f>IF($E769="","",INDEX(Input!$C$16:$CP$16,1,$B769))</f>
        <v>3.304E-2</v>
      </c>
      <c r="L769" s="155">
        <f>IF($E769="","",Input!$C$37)</f>
        <v>1.4999999999999999E-2</v>
      </c>
      <c r="M769" s="155">
        <f t="shared" si="497"/>
        <v>4.8039999999999999E-2</v>
      </c>
      <c r="N769" s="155">
        <f t="shared" si="498"/>
        <v>3.9178006872921944E-3</v>
      </c>
      <c r="O769" s="147">
        <f>IF($E769="","",MIN(VLOOKUP(IF($B769&lt;=Input!$C$7,$B769,26),'Mortality Tables'!$A$41:$CW$67,IF($B769&lt;=Input!$C$7+1,Input!$C$4+2,$D769-Input!$C$7+2),0)*IF(B769&gt;20,Input!$C$22,1)/1000,1))</f>
        <v>1</v>
      </c>
      <c r="P769" s="147">
        <f>IF($E769="","",MIN(VLOOKUP(IF($B769&lt;=Input!$C$7,$B769,26),'Mortality Tables'!$A$12:$CW$37,IF($B769&lt;=Input!$C$7+1,Input!$C$4+2,$D769-Input!$C$7+2),0)*IF(B769&gt;20,Input!$C$22,1)/1000,1))</f>
        <v>1</v>
      </c>
      <c r="Q769" s="155">
        <f>IF($E769="","",Input!$C$21)</f>
        <v>5.0000000000000001E-3</v>
      </c>
      <c r="R769" s="159">
        <f>IF($E769="","",(1-Q769)^($F769-Input!$C$20))</f>
        <v>0.729212470370462</v>
      </c>
      <c r="S769" s="147">
        <f t="shared" si="459"/>
        <v>0.729212470370462</v>
      </c>
      <c r="T769" s="147">
        <f t="shared" si="460"/>
        <v>0.103151564200063</v>
      </c>
      <c r="U769" s="160">
        <f>IF($E769="","",IF($C769=12,INDEX(Input!$C$15:$CP$15,1,$B769),0))</f>
        <v>0</v>
      </c>
      <c r="V769" s="150">
        <f>IF(E769="","",IF(C769=1,IF($B769=1,Input!$C$33,Input!$C$34),0))</f>
        <v>0</v>
      </c>
      <c r="W769" s="156">
        <f>IF($E769="","",Input!$C$35)</f>
        <v>0.02</v>
      </c>
      <c r="X769" s="156">
        <f t="shared" si="499"/>
        <v>3.4818561208596837</v>
      </c>
      <c r="Y769" s="154"/>
      <c r="Z769" s="147">
        <f>IF($E769="","",VLOOKUP($D769,'Mortality Margins &amp; Grading'!$AB$5:$AF$125,3,0)*IF(Summary!$D$25="Included Margin",IF(AND($B769&gt;Input!$C$9,Summary!$D$31&lt;&gt;"Included Margin"),0,1),0))</f>
        <v>0.01</v>
      </c>
      <c r="AA769" s="147">
        <f>IF($E769="","",VLOOKUP($D769,'Mortality Margins &amp; Grading'!$AB$5:$AF$125,5,0)*IF(Summary!$D$25="Included Margin",IF(AND($B769&gt;Input!$C$9,Summary!$D$31&lt;&gt;"Included Margin"),0,1),0))</f>
        <v>5.2999999999999999E-2</v>
      </c>
      <c r="AB769" s="147">
        <f>IF($E769="","",IF(AND($B769&gt;Input!$C$9,Summary!$D$31&lt;&gt;"Included Margin"),1,IF(Summary!$D$25="Included Margin",VLOOKUP($B769,'Mortality Margins &amp; Grading'!$AI$5:$AR$125,MATCH('Mortality Margins &amp; Grading'!$AQ$4,'Mortality Margins &amp; Grading'!$AI$4:$AR$4,0),0),1)))</f>
        <v>0</v>
      </c>
      <c r="AC769" s="154"/>
      <c r="AD769" s="158">
        <f>IF(E769="","",Input!$C$48*IF(Summary!$D$30="Included Margin",IF(AND($B769&gt;Input!$C$9,Summary!$D$31&lt;&gt;"Included Margin"),0,1),0))</f>
        <v>-4.4999999999999997E-3</v>
      </c>
      <c r="AE769" s="159">
        <f>IF(E769="","",IF(Summary!$D$26="Included Margin",IF(AND($B769&gt;Input!$C$9,Summary!$D$31&lt;&gt;"Included Margin"),1,1/$R769),1))</f>
        <v>1.3713424284858564</v>
      </c>
      <c r="AF769" s="160">
        <f>IF(E769="","",IF(AND($B769&gt;=Input!$C$9,$C769=12,Summary!$D$31="Included Margin",$U769&gt;0),1/U769-1,IF($B769&gt;=Input!$C$9,0,Input!$C$45*IF(Summary!$D$27="Included Margin",1,0))))</f>
        <v>0</v>
      </c>
      <c r="AG769" s="160">
        <f>IF(E769="","",Input!$C$46*IF(Summary!$D$28="Included Margin",IF(AND($B769&gt;Input!$C$9,Summary!$D$31&lt;&gt;"Included Margin"),0,1),0))</f>
        <v>0.02</v>
      </c>
      <c r="AH769" s="158">
        <f>IF(E769="","",Input!$C$47*IF(Summary!$D$29="Included Margin",IF(AND($B769&gt;Input!$C$9,Summary!$D$31&lt;&gt;"Included Margin"),0,1),0))</f>
        <v>2.5000000000000001E-3</v>
      </c>
      <c r="AI769" s="154"/>
      <c r="AJ769" s="158">
        <f t="shared" si="481"/>
        <v>4.3540000000000002E-2</v>
      </c>
      <c r="AK769" s="155">
        <f t="shared" si="482"/>
        <v>3.5578792243551316E-3</v>
      </c>
      <c r="AL769" s="147">
        <f t="shared" si="483"/>
        <v>1</v>
      </c>
      <c r="AM769" s="147">
        <f t="shared" si="461"/>
        <v>1</v>
      </c>
      <c r="AN769" s="160">
        <f t="shared" si="484"/>
        <v>0</v>
      </c>
      <c r="AO769" s="161">
        <f t="shared" si="485"/>
        <v>0</v>
      </c>
      <c r="AP769" s="156">
        <f t="shared" si="462"/>
        <v>4.0624586246142096</v>
      </c>
      <c r="AQ769" s="152"/>
      <c r="AR769" s="162">
        <f t="shared" si="463"/>
        <v>99822.42193942843</v>
      </c>
      <c r="AS769" s="150">
        <f t="shared" si="486"/>
        <v>0</v>
      </c>
      <c r="AT769" s="163">
        <f t="shared" si="464"/>
        <v>0</v>
      </c>
      <c r="AU769" s="163">
        <f t="shared" si="465"/>
        <v>100000</v>
      </c>
      <c r="AV769" s="163">
        <f t="shared" si="487"/>
        <v>177.2621599253477</v>
      </c>
      <c r="AW769" s="163">
        <f t="shared" si="466"/>
        <v>99822.737840074653</v>
      </c>
      <c r="AX769" s="163">
        <f t="shared" si="467"/>
        <v>0</v>
      </c>
      <c r="AY769" s="164">
        <f t="shared" si="488"/>
        <v>99822.42193942843</v>
      </c>
      <c r="AZ769" s="164">
        <f>IF($E769="","",IF(OR(AND($D769=Input!$C$6,$C769=12),$AN769=1),0,-AS770+AT770+AU770-AV770-AW770-AX770+AZ770))</f>
        <v>99822.737840074653</v>
      </c>
      <c r="BA769" s="154">
        <f t="shared" si="468"/>
        <v>0.31590064622287173</v>
      </c>
      <c r="BC769" s="147">
        <f t="shared" si="489"/>
        <v>2.1231660632671586E-13</v>
      </c>
      <c r="BD769" s="164">
        <f>IF(AND($C768=12,$D768=Input!$C$6),0,IF($E769="","",AT769+(AU769+BD770)/(1+$AK769)*MIN((1-AM769-AN769),1)))</f>
        <v>0</v>
      </c>
      <c r="BE769" s="164">
        <f t="shared" si="469"/>
        <v>0</v>
      </c>
      <c r="BF769" s="164">
        <f t="shared" si="490"/>
        <v>99822.737840074653</v>
      </c>
      <c r="BG769" s="164">
        <f t="shared" si="470"/>
        <v>2.1194024932446094E-8</v>
      </c>
      <c r="BH769" s="152"/>
      <c r="BI769" s="162">
        <f t="shared" si="471"/>
        <v>13491.939271077285</v>
      </c>
      <c r="BJ769" s="150">
        <f t="shared" si="472"/>
        <v>0</v>
      </c>
      <c r="BK769" s="163">
        <f t="shared" si="494"/>
        <v>0</v>
      </c>
      <c r="BL769" s="163">
        <f t="shared" si="473"/>
        <v>10315.1564200063</v>
      </c>
      <c r="BM769" s="163">
        <f t="shared" si="495"/>
        <v>32.652365493217545</v>
      </c>
      <c r="BN769" s="163">
        <f t="shared" si="474"/>
        <v>369.13967239160212</v>
      </c>
      <c r="BO769" s="163">
        <f t="shared" si="475"/>
        <v>0</v>
      </c>
      <c r="BP769" s="164">
        <f t="shared" si="496"/>
        <v>3578.574888955804</v>
      </c>
      <c r="BQ769" s="164">
        <f>IF($E769="","",IF(AND($D769=Input!$C$6,$C769=12),0,-BJ770+BK770+BL770-BM770-BN770-BO770+BQ770))</f>
        <v>3578.6143938220248</v>
      </c>
      <c r="BR769" s="161">
        <f t="shared" si="476"/>
        <v>0</v>
      </c>
      <c r="BT769" s="147">
        <f t="shared" si="477"/>
        <v>2.1231660632671586E-13</v>
      </c>
      <c r="BU769" s="164">
        <f>IF(AND($C768=12,$D768=Input!$C$6),0,IF($E769="","",BK769+(BL769+BU770)/(1+$AK769)*MIN((1-T769-U769),1)))</f>
        <v>77866.046675676494</v>
      </c>
      <c r="BV769" s="164">
        <f t="shared" si="478"/>
        <v>1.6532254778257287E-8</v>
      </c>
      <c r="BW769" s="164">
        <f t="shared" si="479"/>
        <v>3578.6143938220248</v>
      </c>
      <c r="BX769" s="164">
        <f t="shared" si="480"/>
        <v>7.5979926344822978E-10</v>
      </c>
    </row>
    <row r="770" spans="1:76" s="150" customFormat="1" x14ac:dyDescent="0.25">
      <c r="A770" s="150">
        <f t="shared" si="491"/>
        <v>766</v>
      </c>
      <c r="B770" s="150">
        <f t="shared" si="492"/>
        <v>64</v>
      </c>
      <c r="C770" s="150">
        <f t="shared" si="493"/>
        <v>10</v>
      </c>
      <c r="D770" s="150">
        <f>IF(E770="","",Input!$C$4+B770-1)</f>
        <v>108</v>
      </c>
      <c r="E770" s="150">
        <f>IF(OR(AND(C769=12,D769=Input!$C$6),E769=""),"",1)</f>
        <v>1</v>
      </c>
      <c r="F770" s="150">
        <f>IF(E770="","",Input!$C$8+B770-1)</f>
        <v>2081</v>
      </c>
      <c r="G770" s="151">
        <f>IF(E770="","",MAX(0,Input!$C$9-B770))</f>
        <v>0</v>
      </c>
      <c r="H770" s="152">
        <f>IF(E770="","",Input!$C$3)</f>
        <v>100000</v>
      </c>
      <c r="I770" s="153">
        <f>IF(E770="","",HLOOKUP($B770,Input!$C$13:$BT$14,2))</f>
        <v>1000</v>
      </c>
      <c r="J770" s="154"/>
      <c r="K770" s="155">
        <f>IF($E770="","",INDEX(Input!$C$16:$CP$16,1,$B770))</f>
        <v>3.304E-2</v>
      </c>
      <c r="L770" s="155">
        <f>IF($E770="","",Input!$C$37)</f>
        <v>1.4999999999999999E-2</v>
      </c>
      <c r="M770" s="155">
        <f t="shared" si="497"/>
        <v>4.8039999999999999E-2</v>
      </c>
      <c r="N770" s="155">
        <f t="shared" si="498"/>
        <v>3.9178006872921944E-3</v>
      </c>
      <c r="O770" s="147">
        <f>IF($E770="","",MIN(VLOOKUP(IF($B770&lt;=Input!$C$7,$B770,26),'Mortality Tables'!$A$41:$CW$67,IF($B770&lt;=Input!$C$7+1,Input!$C$4+2,$D770-Input!$C$7+2),0)*IF(B770&gt;20,Input!$C$22,1)/1000,1))</f>
        <v>1</v>
      </c>
      <c r="P770" s="147">
        <f>IF($E770="","",MIN(VLOOKUP(IF($B770&lt;=Input!$C$7,$B770,26),'Mortality Tables'!$A$12:$CW$37,IF($B770&lt;=Input!$C$7+1,Input!$C$4+2,$D770-Input!$C$7+2),0)*IF(B770&gt;20,Input!$C$22,1)/1000,1))</f>
        <v>1</v>
      </c>
      <c r="Q770" s="155">
        <f>IF($E770="","",Input!$C$21)</f>
        <v>5.0000000000000001E-3</v>
      </c>
      <c r="R770" s="159">
        <f>IF($E770="","",(1-Q770)^($F770-Input!$C$20))</f>
        <v>0.729212470370462</v>
      </c>
      <c r="S770" s="147">
        <f t="shared" si="459"/>
        <v>0.729212470370462</v>
      </c>
      <c r="T770" s="147">
        <f t="shared" si="460"/>
        <v>0.103151564200063</v>
      </c>
      <c r="U770" s="160">
        <f>IF($E770="","",IF($C770=12,INDEX(Input!$C$15:$CP$15,1,$B770),0))</f>
        <v>0</v>
      </c>
      <c r="V770" s="150">
        <f>IF(E770="","",IF(C770=1,IF($B770=1,Input!$C$33,Input!$C$34),0))</f>
        <v>0</v>
      </c>
      <c r="W770" s="156">
        <f>IF($E770="","",Input!$C$35)</f>
        <v>0.02</v>
      </c>
      <c r="X770" s="156">
        <f t="shared" si="499"/>
        <v>3.4818561208596837</v>
      </c>
      <c r="Y770" s="154"/>
      <c r="Z770" s="147">
        <f>IF($E770="","",VLOOKUP($D770,'Mortality Margins &amp; Grading'!$AB$5:$AF$125,3,0)*IF(Summary!$D$25="Included Margin",IF(AND($B770&gt;Input!$C$9,Summary!$D$31&lt;&gt;"Included Margin"),0,1),0))</f>
        <v>0.01</v>
      </c>
      <c r="AA770" s="147">
        <f>IF($E770="","",VLOOKUP($D770,'Mortality Margins &amp; Grading'!$AB$5:$AF$125,5,0)*IF(Summary!$D$25="Included Margin",IF(AND($B770&gt;Input!$C$9,Summary!$D$31&lt;&gt;"Included Margin"),0,1),0))</f>
        <v>5.2999999999999999E-2</v>
      </c>
      <c r="AB770" s="147">
        <f>IF($E770="","",IF(AND($B770&gt;Input!$C$9,Summary!$D$31&lt;&gt;"Included Margin"),1,IF(Summary!$D$25="Included Margin",VLOOKUP($B770,'Mortality Margins &amp; Grading'!$AI$5:$AR$125,MATCH('Mortality Margins &amp; Grading'!$AQ$4,'Mortality Margins &amp; Grading'!$AI$4:$AR$4,0),0),1)))</f>
        <v>0</v>
      </c>
      <c r="AC770" s="154"/>
      <c r="AD770" s="158">
        <f>IF(E770="","",Input!$C$48*IF(Summary!$D$30="Included Margin",IF(AND($B770&gt;Input!$C$9,Summary!$D$31&lt;&gt;"Included Margin"),0,1),0))</f>
        <v>-4.4999999999999997E-3</v>
      </c>
      <c r="AE770" s="159">
        <f>IF(E770="","",IF(Summary!$D$26="Included Margin",IF(AND($B770&gt;Input!$C$9,Summary!$D$31&lt;&gt;"Included Margin"),1,1/$R770),1))</f>
        <v>1.3713424284858564</v>
      </c>
      <c r="AF770" s="160">
        <f>IF(E770="","",IF(AND($B770&gt;=Input!$C$9,$C770=12,Summary!$D$31="Included Margin",$U770&gt;0),1/U770-1,IF($B770&gt;=Input!$C$9,0,Input!$C$45*IF(Summary!$D$27="Included Margin",1,0))))</f>
        <v>0</v>
      </c>
      <c r="AG770" s="160">
        <f>IF(E770="","",Input!$C$46*IF(Summary!$D$28="Included Margin",IF(AND($B770&gt;Input!$C$9,Summary!$D$31&lt;&gt;"Included Margin"),0,1),0))</f>
        <v>0.02</v>
      </c>
      <c r="AH770" s="158">
        <f>IF(E770="","",Input!$C$47*IF(Summary!$D$29="Included Margin",IF(AND($B770&gt;Input!$C$9,Summary!$D$31&lt;&gt;"Included Margin"),0,1),0))</f>
        <v>2.5000000000000001E-3</v>
      </c>
      <c r="AI770" s="154"/>
      <c r="AJ770" s="158">
        <f t="shared" si="481"/>
        <v>4.3540000000000002E-2</v>
      </c>
      <c r="AK770" s="155">
        <f t="shared" si="482"/>
        <v>3.5578792243551316E-3</v>
      </c>
      <c r="AL770" s="147">
        <f t="shared" si="483"/>
        <v>1</v>
      </c>
      <c r="AM770" s="147">
        <f t="shared" si="461"/>
        <v>1</v>
      </c>
      <c r="AN770" s="160">
        <f t="shared" si="484"/>
        <v>0</v>
      </c>
      <c r="AO770" s="161">
        <f t="shared" si="485"/>
        <v>0</v>
      </c>
      <c r="AP770" s="156">
        <f t="shared" si="462"/>
        <v>4.0624586246142096</v>
      </c>
      <c r="AQ770" s="152"/>
      <c r="AR770" s="162">
        <f t="shared" si="463"/>
        <v>99822.42193942843</v>
      </c>
      <c r="AS770" s="150">
        <f t="shared" si="486"/>
        <v>0</v>
      </c>
      <c r="AT770" s="163">
        <f t="shared" si="464"/>
        <v>0</v>
      </c>
      <c r="AU770" s="163">
        <f t="shared" si="465"/>
        <v>100000</v>
      </c>
      <c r="AV770" s="163">
        <f t="shared" si="487"/>
        <v>177.2621599253477</v>
      </c>
      <c r="AW770" s="163">
        <f t="shared" si="466"/>
        <v>99822.737840074653</v>
      </c>
      <c r="AX770" s="163">
        <f t="shared" si="467"/>
        <v>0</v>
      </c>
      <c r="AY770" s="165">
        <f t="shared" si="488"/>
        <v>99822.42193942843</v>
      </c>
      <c r="AZ770" s="164">
        <f>IF($E770="","",IF(OR(AND($D770=Input!$C$6,$C770=12),$AN770=1),0,-AS771+AT771+AU771-AV771-AW771-AX771+AZ771))</f>
        <v>99822.737840074653</v>
      </c>
      <c r="BA770" s="154">
        <f t="shared" si="468"/>
        <v>0.31590064622287173</v>
      </c>
      <c r="BC770" s="147">
        <f t="shared" si="489"/>
        <v>1.9041581627846614E-13</v>
      </c>
      <c r="BD770" s="164">
        <f>IF(AND($C769=12,$D769=Input!$C$6),0,IF($E770="","",AT770+(AU770+BD771)/(1+$AK770)*MIN((1-AM770-AN770),1)))</f>
        <v>0</v>
      </c>
      <c r="BE770" s="164">
        <f t="shared" si="469"/>
        <v>0</v>
      </c>
      <c r="BF770" s="164">
        <f t="shared" si="490"/>
        <v>99822.737840074653</v>
      </c>
      <c r="BG770" s="164">
        <f t="shared" si="470"/>
        <v>1.9007828108969146E-8</v>
      </c>
      <c r="BH770" s="152"/>
      <c r="BI770" s="162">
        <f t="shared" si="471"/>
        <v>3578.5748889558017</v>
      </c>
      <c r="BJ770" s="150">
        <f t="shared" si="472"/>
        <v>0</v>
      </c>
      <c r="BK770" s="163">
        <f t="shared" si="494"/>
        <v>0</v>
      </c>
      <c r="BL770" s="163">
        <f t="shared" si="473"/>
        <v>10315.1564200063</v>
      </c>
      <c r="BM770" s="163">
        <f t="shared" si="495"/>
        <v>-6.1862202964359589</v>
      </c>
      <c r="BN770" s="163">
        <f t="shared" si="474"/>
        <v>-775.51895932122261</v>
      </c>
      <c r="BO770" s="163">
        <f t="shared" si="475"/>
        <v>0</v>
      </c>
      <c r="BP770" s="164">
        <f t="shared" si="496"/>
        <v>-7518.286710668157</v>
      </c>
      <c r="BQ770" s="164">
        <f>IF($E770="","",IF(AND($D770=Input!$C$6,$C770=12),0,-BJ771+BK771+BL771-BM771-BN771-BO771+BQ771))</f>
        <v>-7518.2472058019357</v>
      </c>
      <c r="BR770" s="161">
        <f t="shared" si="476"/>
        <v>0</v>
      </c>
      <c r="BT770" s="147">
        <f t="shared" si="477"/>
        <v>1.9041581627846614E-13</v>
      </c>
      <c r="BU770" s="164">
        <f>IF(AND($C769=12,$D769=Input!$C$6),0,IF($E770="","",BK770+(BL770+BU771)/(1+$AK770)*MIN((1-T770-U770),1)))</f>
        <v>76815.602297019766</v>
      </c>
      <c r="BV770" s="164">
        <f t="shared" si="478"/>
        <v>1.4626905614309037E-8</v>
      </c>
      <c r="BW770" s="164">
        <f t="shared" si="479"/>
        <v>-7518.2472058019357</v>
      </c>
      <c r="BX770" s="164">
        <f t="shared" si="480"/>
        <v>-1.4315931786760727E-9</v>
      </c>
    </row>
    <row r="771" spans="1:76" s="150" customFormat="1" x14ac:dyDescent="0.25">
      <c r="A771" s="150">
        <f t="shared" si="491"/>
        <v>767</v>
      </c>
      <c r="B771" s="150">
        <f t="shared" si="492"/>
        <v>64</v>
      </c>
      <c r="C771" s="150">
        <f t="shared" si="493"/>
        <v>11</v>
      </c>
      <c r="D771" s="150">
        <f>IF(E771="","",Input!$C$4+B771-1)</f>
        <v>108</v>
      </c>
      <c r="E771" s="150">
        <f>IF(OR(AND(C770=12,D770=Input!$C$6),E770=""),"",1)</f>
        <v>1</v>
      </c>
      <c r="F771" s="150">
        <f>IF(E771="","",Input!$C$8+B771-1)</f>
        <v>2081</v>
      </c>
      <c r="G771" s="151">
        <f>IF(E771="","",MAX(0,Input!$C$9-B771))</f>
        <v>0</v>
      </c>
      <c r="H771" s="152">
        <f>IF(E771="","",Input!$C$3)</f>
        <v>100000</v>
      </c>
      <c r="I771" s="153">
        <f>IF(E771="","",HLOOKUP($B771,Input!$C$13:$BT$14,2))</f>
        <v>1000</v>
      </c>
      <c r="J771" s="154"/>
      <c r="K771" s="155">
        <f>IF($E771="","",INDEX(Input!$C$16:$CP$16,1,$B771))</f>
        <v>3.304E-2</v>
      </c>
      <c r="L771" s="155">
        <f>IF($E771="","",Input!$C$37)</f>
        <v>1.4999999999999999E-2</v>
      </c>
      <c r="M771" s="155">
        <f t="shared" si="497"/>
        <v>4.8039999999999999E-2</v>
      </c>
      <c r="N771" s="155">
        <f t="shared" si="498"/>
        <v>3.9178006872921944E-3</v>
      </c>
      <c r="O771" s="147">
        <f>IF($E771="","",MIN(VLOOKUP(IF($B771&lt;=Input!$C$7,$B771,26),'Mortality Tables'!$A$41:$CW$67,IF($B771&lt;=Input!$C$7+1,Input!$C$4+2,$D771-Input!$C$7+2),0)*IF(B771&gt;20,Input!$C$22,1)/1000,1))</f>
        <v>1</v>
      </c>
      <c r="P771" s="147">
        <f>IF($E771="","",MIN(VLOOKUP(IF($B771&lt;=Input!$C$7,$B771,26),'Mortality Tables'!$A$12:$CW$37,IF($B771&lt;=Input!$C$7+1,Input!$C$4+2,$D771-Input!$C$7+2),0)*IF(B771&gt;20,Input!$C$22,1)/1000,1))</f>
        <v>1</v>
      </c>
      <c r="Q771" s="155">
        <f>IF($E771="","",Input!$C$21)</f>
        <v>5.0000000000000001E-3</v>
      </c>
      <c r="R771" s="159">
        <f>IF($E771="","",(1-Q771)^($F771-Input!$C$20))</f>
        <v>0.729212470370462</v>
      </c>
      <c r="S771" s="147">
        <f t="shared" si="459"/>
        <v>0.729212470370462</v>
      </c>
      <c r="T771" s="147">
        <f t="shared" si="460"/>
        <v>0.103151564200063</v>
      </c>
      <c r="U771" s="160">
        <f>IF($E771="","",IF($C771=12,INDEX(Input!$C$15:$CP$15,1,$B771),0))</f>
        <v>0</v>
      </c>
      <c r="V771" s="150">
        <f>IF(E771="","",IF(C771=1,IF($B771=1,Input!$C$33,Input!$C$34),0))</f>
        <v>0</v>
      </c>
      <c r="W771" s="156">
        <f>IF($E771="","",Input!$C$35)</f>
        <v>0.02</v>
      </c>
      <c r="X771" s="156">
        <f t="shared" si="499"/>
        <v>3.4818561208596837</v>
      </c>
      <c r="Y771" s="154"/>
      <c r="Z771" s="147">
        <f>IF($E771="","",VLOOKUP($D771,'Mortality Margins &amp; Grading'!$AB$5:$AF$125,3,0)*IF(Summary!$D$25="Included Margin",IF(AND($B771&gt;Input!$C$9,Summary!$D$31&lt;&gt;"Included Margin"),0,1),0))</f>
        <v>0.01</v>
      </c>
      <c r="AA771" s="147">
        <f>IF($E771="","",VLOOKUP($D771,'Mortality Margins &amp; Grading'!$AB$5:$AF$125,5,0)*IF(Summary!$D$25="Included Margin",IF(AND($B771&gt;Input!$C$9,Summary!$D$31&lt;&gt;"Included Margin"),0,1),0))</f>
        <v>5.2999999999999999E-2</v>
      </c>
      <c r="AB771" s="147">
        <f>IF($E771="","",IF(AND($B771&gt;Input!$C$9,Summary!$D$31&lt;&gt;"Included Margin"),1,IF(Summary!$D$25="Included Margin",VLOOKUP($B771,'Mortality Margins &amp; Grading'!$AI$5:$AR$125,MATCH('Mortality Margins &amp; Grading'!$AQ$4,'Mortality Margins &amp; Grading'!$AI$4:$AR$4,0),0),1)))</f>
        <v>0</v>
      </c>
      <c r="AC771" s="154"/>
      <c r="AD771" s="158">
        <f>IF(E771="","",Input!$C$48*IF(Summary!$D$30="Included Margin",IF(AND($B771&gt;Input!$C$9,Summary!$D$31&lt;&gt;"Included Margin"),0,1),0))</f>
        <v>-4.4999999999999997E-3</v>
      </c>
      <c r="AE771" s="159">
        <f>IF(E771="","",IF(Summary!$D$26="Included Margin",IF(AND($B771&gt;Input!$C$9,Summary!$D$31&lt;&gt;"Included Margin"),1,1/$R771),1))</f>
        <v>1.3713424284858564</v>
      </c>
      <c r="AF771" s="160">
        <f>IF(E771="","",IF(AND($B771&gt;=Input!$C$9,$C771=12,Summary!$D$31="Included Margin",$U771&gt;0),1/U771-1,IF($B771&gt;=Input!$C$9,0,Input!$C$45*IF(Summary!$D$27="Included Margin",1,0))))</f>
        <v>0</v>
      </c>
      <c r="AG771" s="160">
        <f>IF(E771="","",Input!$C$46*IF(Summary!$D$28="Included Margin",IF(AND($B771&gt;Input!$C$9,Summary!$D$31&lt;&gt;"Included Margin"),0,1),0))</f>
        <v>0.02</v>
      </c>
      <c r="AH771" s="158">
        <f>IF(E771="","",Input!$C$47*IF(Summary!$D$29="Included Margin",IF(AND($B771&gt;Input!$C$9,Summary!$D$31&lt;&gt;"Included Margin"),0,1),0))</f>
        <v>2.5000000000000001E-3</v>
      </c>
      <c r="AI771" s="154"/>
      <c r="AJ771" s="158">
        <f t="shared" si="481"/>
        <v>4.3540000000000002E-2</v>
      </c>
      <c r="AK771" s="155">
        <f t="shared" si="482"/>
        <v>3.5578792243551316E-3</v>
      </c>
      <c r="AL771" s="147">
        <f t="shared" si="483"/>
        <v>1</v>
      </c>
      <c r="AM771" s="147">
        <f t="shared" si="461"/>
        <v>1</v>
      </c>
      <c r="AN771" s="160">
        <f t="shared" si="484"/>
        <v>0</v>
      </c>
      <c r="AO771" s="161">
        <f t="shared" si="485"/>
        <v>0</v>
      </c>
      <c r="AP771" s="156">
        <f t="shared" si="462"/>
        <v>4.0624586246142096</v>
      </c>
      <c r="AQ771" s="152"/>
      <c r="AR771" s="162">
        <f t="shared" si="463"/>
        <v>99822.42193942843</v>
      </c>
      <c r="AS771" s="150">
        <f t="shared" si="486"/>
        <v>0</v>
      </c>
      <c r="AT771" s="163">
        <f t="shared" si="464"/>
        <v>0</v>
      </c>
      <c r="AU771" s="163">
        <f t="shared" si="465"/>
        <v>100000</v>
      </c>
      <c r="AV771" s="163">
        <f t="shared" si="487"/>
        <v>177.2621599253477</v>
      </c>
      <c r="AW771" s="163">
        <f t="shared" si="466"/>
        <v>99822.737840074653</v>
      </c>
      <c r="AX771" s="163">
        <f t="shared" si="467"/>
        <v>0</v>
      </c>
      <c r="AY771" s="164">
        <f t="shared" si="488"/>
        <v>99822.42193942843</v>
      </c>
      <c r="AZ771" s="164">
        <f>IF($E771="","",IF(OR(AND($D771=Input!$C$6,$C771=12),$AN771=1),0,-AS772+AT772+AU772-AV772-AW772-AX772+AZ772))</f>
        <v>99822.737840074653</v>
      </c>
      <c r="BA771" s="154">
        <f t="shared" si="468"/>
        <v>0.31590064622287173</v>
      </c>
      <c r="BC771" s="147">
        <f t="shared" si="489"/>
        <v>1.7077412698091053E-13</v>
      </c>
      <c r="BD771" s="164">
        <f>IF(AND($C770=12,$D770=Input!$C$6),0,IF($E771="","",AT771+(AU771+BD772)/(1+$AK771)*MIN((1-AM771-AN771),1)))</f>
        <v>0</v>
      </c>
      <c r="BE771" s="164">
        <f t="shared" si="469"/>
        <v>0</v>
      </c>
      <c r="BF771" s="164">
        <f t="shared" si="490"/>
        <v>99822.737840074653</v>
      </c>
      <c r="BG771" s="164">
        <f t="shared" si="470"/>
        <v>1.704714090748305E-8</v>
      </c>
      <c r="BH771" s="152"/>
      <c r="BI771" s="162">
        <f t="shared" si="471"/>
        <v>-7518.2867106681588</v>
      </c>
      <c r="BJ771" s="150">
        <f t="shared" si="472"/>
        <v>0</v>
      </c>
      <c r="BK771" s="163">
        <f t="shared" si="494"/>
        <v>0</v>
      </c>
      <c r="BL771" s="163">
        <f t="shared" si="473"/>
        <v>10315.1564200063</v>
      </c>
      <c r="BM771" s="163">
        <f t="shared" si="495"/>
        <v>-49.66151229822907</v>
      </c>
      <c r="BN771" s="163">
        <f t="shared" si="474"/>
        <v>-2056.8315314526494</v>
      </c>
      <c r="BO771" s="163">
        <f t="shared" si="475"/>
        <v>0</v>
      </c>
      <c r="BP771" s="164">
        <f t="shared" si="496"/>
        <v>-19939.936174425337</v>
      </c>
      <c r="BQ771" s="164">
        <f>IF($E771="","",IF(AND($D771=Input!$C$6,$C771=12),0,-BJ772+BK772+BL772-BM772-BN772-BO772+BQ772))</f>
        <v>-19939.896669559115</v>
      </c>
      <c r="BR771" s="161">
        <f t="shared" si="476"/>
        <v>0</v>
      </c>
      <c r="BT771" s="147">
        <f t="shared" si="477"/>
        <v>1.7077412698091053E-13</v>
      </c>
      <c r="BU771" s="164">
        <f>IF(AND($C770=12,$D770=Input!$C$6),0,IF($E771="","",BK771+(BL771+BU772)/(1+$AK771)*MIN((1-T771-U771),1)))</f>
        <v>75640.173215797564</v>
      </c>
      <c r="BV771" s="164">
        <f t="shared" si="478"/>
        <v>1.291738454561268E-8</v>
      </c>
      <c r="BW771" s="164">
        <f t="shared" si="479"/>
        <v>-19939.896669559115</v>
      </c>
      <c r="BX771" s="164">
        <f t="shared" si="480"/>
        <v>-3.4052184458335234E-9</v>
      </c>
    </row>
    <row r="772" spans="1:76" s="150" customFormat="1" x14ac:dyDescent="0.25">
      <c r="A772" s="150">
        <f t="shared" si="491"/>
        <v>768</v>
      </c>
      <c r="B772" s="150">
        <f t="shared" si="492"/>
        <v>64</v>
      </c>
      <c r="C772" s="150">
        <f t="shared" si="493"/>
        <v>12</v>
      </c>
      <c r="D772" s="150">
        <f>IF(E772="","",Input!$C$4+B772-1)</f>
        <v>108</v>
      </c>
      <c r="E772" s="150">
        <f>IF(OR(AND(C771=12,D771=Input!$C$6),E771=""),"",1)</f>
        <v>1</v>
      </c>
      <c r="F772" s="150">
        <f>IF(E772="","",Input!$C$8+B772-1)</f>
        <v>2081</v>
      </c>
      <c r="G772" s="151">
        <f>IF(E772="","",MAX(0,Input!$C$9-B772))</f>
        <v>0</v>
      </c>
      <c r="H772" s="152">
        <f>IF(E772="","",Input!$C$3)</f>
        <v>100000</v>
      </c>
      <c r="I772" s="153">
        <f>IF(E772="","",HLOOKUP($B772,Input!$C$13:$BT$14,2))</f>
        <v>1000</v>
      </c>
      <c r="J772" s="154"/>
      <c r="K772" s="155">
        <f>IF($E772="","",INDEX(Input!$C$16:$CP$16,1,$B772))</f>
        <v>3.304E-2</v>
      </c>
      <c r="L772" s="155">
        <f>IF($E772="","",Input!$C$37)</f>
        <v>1.4999999999999999E-2</v>
      </c>
      <c r="M772" s="155">
        <f t="shared" si="497"/>
        <v>4.8039999999999999E-2</v>
      </c>
      <c r="N772" s="155">
        <f t="shared" si="498"/>
        <v>3.9178006872921944E-3</v>
      </c>
      <c r="O772" s="147">
        <f>IF($E772="","",MIN(VLOOKUP(IF($B772&lt;=Input!$C$7,$B772,26),'Mortality Tables'!$A$41:$CW$67,IF($B772&lt;=Input!$C$7+1,Input!$C$4+2,$D772-Input!$C$7+2),0)*IF(B772&gt;20,Input!$C$22,1)/1000,1))</f>
        <v>1</v>
      </c>
      <c r="P772" s="147">
        <f>IF($E772="","",MIN(VLOOKUP(IF($B772&lt;=Input!$C$7,$B772,26),'Mortality Tables'!$A$12:$CW$37,IF($B772&lt;=Input!$C$7+1,Input!$C$4+2,$D772-Input!$C$7+2),0)*IF(B772&gt;20,Input!$C$22,1)/1000,1))</f>
        <v>1</v>
      </c>
      <c r="Q772" s="155">
        <f>IF($E772="","",Input!$C$21)</f>
        <v>5.0000000000000001E-3</v>
      </c>
      <c r="R772" s="159">
        <f>IF($E772="","",(1-Q772)^($F772-Input!$C$20))</f>
        <v>0.729212470370462</v>
      </c>
      <c r="S772" s="147">
        <f t="shared" si="459"/>
        <v>0.729212470370462</v>
      </c>
      <c r="T772" s="147">
        <f t="shared" si="460"/>
        <v>0.103151564200063</v>
      </c>
      <c r="U772" s="160">
        <f>IF($E772="","",IF($C772=12,INDEX(Input!$C$15:$CP$15,1,$B772),0))</f>
        <v>0.1</v>
      </c>
      <c r="V772" s="150">
        <f>IF(E772="","",IF(C772=1,IF($B772=1,Input!$C$33,Input!$C$34),0))</f>
        <v>0</v>
      </c>
      <c r="W772" s="156">
        <f>IF($E772="","",Input!$C$35)</f>
        <v>0.02</v>
      </c>
      <c r="X772" s="156">
        <f t="shared" si="499"/>
        <v>3.4818561208596837</v>
      </c>
      <c r="Y772" s="154"/>
      <c r="Z772" s="147">
        <f>IF($E772="","",VLOOKUP($D772,'Mortality Margins &amp; Grading'!$AB$5:$AF$125,3,0)*IF(Summary!$D$25="Included Margin",IF(AND($B772&gt;Input!$C$9,Summary!$D$31&lt;&gt;"Included Margin"),0,1),0))</f>
        <v>0.01</v>
      </c>
      <c r="AA772" s="147">
        <f>IF($E772="","",VLOOKUP($D772,'Mortality Margins &amp; Grading'!$AB$5:$AF$125,5,0)*IF(Summary!$D$25="Included Margin",IF(AND($B772&gt;Input!$C$9,Summary!$D$31&lt;&gt;"Included Margin"),0,1),0))</f>
        <v>5.2999999999999999E-2</v>
      </c>
      <c r="AB772" s="147">
        <f>IF($E772="","",IF(AND($B772&gt;Input!$C$9,Summary!$D$31&lt;&gt;"Included Margin"),1,IF(Summary!$D$25="Included Margin",VLOOKUP($B772,'Mortality Margins &amp; Grading'!$AI$5:$AR$125,MATCH('Mortality Margins &amp; Grading'!$AQ$4,'Mortality Margins &amp; Grading'!$AI$4:$AR$4,0),0),1)))</f>
        <v>0</v>
      </c>
      <c r="AC772" s="154"/>
      <c r="AD772" s="158">
        <f>IF(E772="","",Input!$C$48*IF(Summary!$D$30="Included Margin",IF(AND($B772&gt;Input!$C$9,Summary!$D$31&lt;&gt;"Included Margin"),0,1),0))</f>
        <v>-4.4999999999999997E-3</v>
      </c>
      <c r="AE772" s="159">
        <f>IF(E772="","",IF(Summary!$D$26="Included Margin",IF(AND($B772&gt;Input!$C$9,Summary!$D$31&lt;&gt;"Included Margin"),1,1/$R772),1))</f>
        <v>1.3713424284858564</v>
      </c>
      <c r="AF772" s="160">
        <f>IF(E772="","",IF(AND($B772&gt;=Input!$C$9,$C772=12,Summary!$D$31="Included Margin",$U772&gt;0),1/U772-1,IF($B772&gt;=Input!$C$9,0,Input!$C$45*IF(Summary!$D$27="Included Margin",1,0))))</f>
        <v>9</v>
      </c>
      <c r="AG772" s="160">
        <f>IF(E772="","",Input!$C$46*IF(Summary!$D$28="Included Margin",IF(AND($B772&gt;Input!$C$9,Summary!$D$31&lt;&gt;"Included Margin"),0,1),0))</f>
        <v>0.02</v>
      </c>
      <c r="AH772" s="158">
        <f>IF(E772="","",Input!$C$47*IF(Summary!$D$29="Included Margin",IF(AND($B772&gt;Input!$C$9,Summary!$D$31&lt;&gt;"Included Margin"),0,1),0))</f>
        <v>2.5000000000000001E-3</v>
      </c>
      <c r="AI772" s="154"/>
      <c r="AJ772" s="158">
        <f t="shared" si="481"/>
        <v>4.3540000000000002E-2</v>
      </c>
      <c r="AK772" s="155">
        <f t="shared" si="482"/>
        <v>3.5578792243551316E-3</v>
      </c>
      <c r="AL772" s="147">
        <f t="shared" si="483"/>
        <v>1</v>
      </c>
      <c r="AM772" s="147">
        <f t="shared" si="461"/>
        <v>1</v>
      </c>
      <c r="AN772" s="160">
        <f t="shared" si="484"/>
        <v>1</v>
      </c>
      <c r="AO772" s="161">
        <f t="shared" si="485"/>
        <v>0</v>
      </c>
      <c r="AP772" s="156">
        <f t="shared" si="462"/>
        <v>4.0624586246142096</v>
      </c>
      <c r="AQ772" s="152"/>
      <c r="AR772" s="162">
        <f t="shared" si="463"/>
        <v>99822.42193942843</v>
      </c>
      <c r="AS772" s="150">
        <f t="shared" si="486"/>
        <v>0</v>
      </c>
      <c r="AT772" s="163">
        <f t="shared" si="464"/>
        <v>0</v>
      </c>
      <c r="AU772" s="163">
        <f t="shared" si="465"/>
        <v>100000</v>
      </c>
      <c r="AV772" s="163">
        <f t="shared" si="487"/>
        <v>177.2621599253477</v>
      </c>
      <c r="AW772" s="163">
        <f t="shared" si="466"/>
        <v>0</v>
      </c>
      <c r="AX772" s="163">
        <f t="shared" si="467"/>
        <v>0</v>
      </c>
      <c r="AY772" s="165">
        <f t="shared" si="488"/>
        <v>-0.31590064622224645</v>
      </c>
      <c r="AZ772" s="164">
        <f>IF($E772="","",IF(OR(AND($D772=Input!$C$6,$C772=12),$AN772=1),0,-AS773+AT773+AU773-AV773-AW773-AX773+AZ773))</f>
        <v>0</v>
      </c>
      <c r="BA772" s="154">
        <f t="shared" si="468"/>
        <v>0.31590064622224645</v>
      </c>
      <c r="BC772" s="147">
        <f t="shared" si="489"/>
        <v>1.3608109595983839E-13</v>
      </c>
      <c r="BD772" s="164">
        <f>IF(AND($C771=12,$D771=Input!$C$6),0,IF($E772="","",AT772+(AU772+BD773)/(1+$AK772)*MIN((1-AM772-AN772),1)))</f>
        <v>-99856.569447275237</v>
      </c>
      <c r="BE772" s="164">
        <f t="shared" si="469"/>
        <v>-1.3588591409174927E-8</v>
      </c>
      <c r="BF772" s="164">
        <f t="shared" si="490"/>
        <v>0</v>
      </c>
      <c r="BG772" s="164">
        <f t="shared" si="470"/>
        <v>0</v>
      </c>
      <c r="BH772" s="152"/>
      <c r="BI772" s="162">
        <f t="shared" si="471"/>
        <v>-19939.93617442534</v>
      </c>
      <c r="BJ772" s="150">
        <f t="shared" si="472"/>
        <v>0</v>
      </c>
      <c r="BK772" s="163">
        <f t="shared" si="494"/>
        <v>0</v>
      </c>
      <c r="BL772" s="163">
        <f t="shared" si="473"/>
        <v>10315.1564200063</v>
      </c>
      <c r="BM772" s="163">
        <f t="shared" si="495"/>
        <v>-98.327059104639673</v>
      </c>
      <c r="BN772" s="163">
        <f t="shared" si="474"/>
        <v>-3879.013710818233</v>
      </c>
      <c r="BO772" s="163">
        <f t="shared" si="475"/>
        <v>-3372.5977942966733</v>
      </c>
      <c r="BP772" s="164">
        <f t="shared" si="496"/>
        <v>-37605.031158651182</v>
      </c>
      <c r="BQ772" s="164">
        <f>IF($E772="","",IF(AND($D772=Input!$C$6,$C772=12),0,-BJ773+BK773+BL773-BM773-BN773-BO773+BQ773))</f>
        <v>-37604.991653784964</v>
      </c>
      <c r="BR772" s="161">
        <f t="shared" si="476"/>
        <v>0</v>
      </c>
      <c r="BT772" s="147">
        <f t="shared" si="477"/>
        <v>1.3608109595983839E-13</v>
      </c>
      <c r="BU772" s="164">
        <f>IF(AND($C771=12,$D771=Input!$C$6),0,IF($E772="","",BK772+(BL772+BU773)/(1+$AK772)*MIN((1-T772-U772),1)))</f>
        <v>74324.888415330875</v>
      </c>
      <c r="BV772" s="164">
        <f t="shared" si="478"/>
        <v>1.0114212272650921E-8</v>
      </c>
      <c r="BW772" s="164">
        <f t="shared" si="479"/>
        <v>-37604.991653784964</v>
      </c>
      <c r="BX772" s="164">
        <f t="shared" si="480"/>
        <v>-5.1173284778076335E-9</v>
      </c>
    </row>
    <row r="773" spans="1:76" s="150" customFormat="1" x14ac:dyDescent="0.25">
      <c r="A773" s="150">
        <f t="shared" si="491"/>
        <v>769</v>
      </c>
      <c r="B773" s="150">
        <f t="shared" si="492"/>
        <v>65</v>
      </c>
      <c r="C773" s="150">
        <f t="shared" si="493"/>
        <v>1</v>
      </c>
      <c r="D773" s="150">
        <f>IF(E773="","",Input!$C$4+B773-1)</f>
        <v>109</v>
      </c>
      <c r="E773" s="150">
        <f>IF(OR(AND(C772=12,D772=Input!$C$6),E772=""),"",1)</f>
        <v>1</v>
      </c>
      <c r="F773" s="150">
        <f>IF(E773="","",Input!$C$8+B773-1)</f>
        <v>2082</v>
      </c>
      <c r="G773" s="151">
        <f>IF(E773="","",MAX(0,Input!$C$9-B773))</f>
        <v>0</v>
      </c>
      <c r="H773" s="152">
        <f>IF(E773="","",Input!$C$3)</f>
        <v>100000</v>
      </c>
      <c r="I773" s="153">
        <f>IF(E773="","",HLOOKUP($B773,Input!$C$13:$BT$14,2))</f>
        <v>1000</v>
      </c>
      <c r="J773" s="154"/>
      <c r="K773" s="155">
        <f>IF($E773="","",INDEX(Input!$C$16:$CP$16,1,$B773))</f>
        <v>3.3059999999999999E-2</v>
      </c>
      <c r="L773" s="155">
        <f>IF($E773="","",Input!$C$37)</f>
        <v>1.4999999999999999E-2</v>
      </c>
      <c r="M773" s="155">
        <f t="shared" si="497"/>
        <v>4.8059999999999999E-2</v>
      </c>
      <c r="N773" s="155">
        <f t="shared" si="498"/>
        <v>3.9193971737812028E-3</v>
      </c>
      <c r="O773" s="147">
        <f>IF($E773="","",MIN(VLOOKUP(IF($B773&lt;=Input!$C$7,$B773,26),'Mortality Tables'!$A$41:$CW$67,IF($B773&lt;=Input!$C$7+1,Input!$C$4+2,$D773-Input!$C$7+2),0)*IF(B773&gt;20,Input!$C$22,1)/1000,1))</f>
        <v>1</v>
      </c>
      <c r="P773" s="147">
        <f>IF($E773="","",MIN(VLOOKUP(IF($B773&lt;=Input!$C$7,$B773,26),'Mortality Tables'!$A$12:$CW$37,IF($B773&lt;=Input!$C$7+1,Input!$C$4+2,$D773-Input!$C$7+2),0)*IF(B773&gt;20,Input!$C$22,1)/1000,1))</f>
        <v>1</v>
      </c>
      <c r="Q773" s="155">
        <f>IF($E773="","",Input!$C$21)</f>
        <v>5.0000000000000001E-3</v>
      </c>
      <c r="R773" s="159">
        <f>IF($E773="","",(1-Q773)^($F773-Input!$C$20))</f>
        <v>0.72556640801860972</v>
      </c>
      <c r="S773" s="147">
        <f t="shared" ref="S773:S836" si="500">IF($E773="","",MIN(O773*R773,1))</f>
        <v>0.72556640801860972</v>
      </c>
      <c r="T773" s="147">
        <f t="shared" ref="T773:T836" si="501">IF($E773="","",1-(1-S773)^(1/12))</f>
        <v>0.10215140819694235</v>
      </c>
      <c r="U773" s="160">
        <f>IF($E773="","",IF($C773=12,INDEX(Input!$C$15:$CP$15,1,$B773),0))</f>
        <v>0</v>
      </c>
      <c r="V773" s="150">
        <f>IF(E773="","",IF(C773=1,IF($B773=1,Input!$C$33,Input!$C$34),0))</f>
        <v>50</v>
      </c>
      <c r="W773" s="156">
        <f>IF($E773="","",Input!$C$35)</f>
        <v>0.02</v>
      </c>
      <c r="X773" s="156">
        <f t="shared" si="499"/>
        <v>3.5514932432768775</v>
      </c>
      <c r="Y773" s="154"/>
      <c r="Z773" s="147">
        <f>IF($E773="","",VLOOKUP($D773,'Mortality Margins &amp; Grading'!$AB$5:$AF$125,3,0)*IF(Summary!$D$25="Included Margin",IF(AND($B773&gt;Input!$C$9,Summary!$D$31&lt;&gt;"Included Margin"),0,1),0))</f>
        <v>0.01</v>
      </c>
      <c r="AA773" s="147">
        <f>IF($E773="","",VLOOKUP($D773,'Mortality Margins &amp; Grading'!$AB$5:$AF$125,5,0)*IF(Summary!$D$25="Included Margin",IF(AND($B773&gt;Input!$C$9,Summary!$D$31&lt;&gt;"Included Margin"),0,1),0))</f>
        <v>5.2999999999999999E-2</v>
      </c>
      <c r="AB773" s="147">
        <f>IF($E773="","",IF(AND($B773&gt;Input!$C$9,Summary!$D$31&lt;&gt;"Included Margin"),1,IF(Summary!$D$25="Included Margin",VLOOKUP($B773,'Mortality Margins &amp; Grading'!$AI$5:$AR$125,MATCH('Mortality Margins &amp; Grading'!$AQ$4,'Mortality Margins &amp; Grading'!$AI$4:$AR$4,0),0),1)))</f>
        <v>0</v>
      </c>
      <c r="AC773" s="154"/>
      <c r="AD773" s="158">
        <f>IF(E773="","",Input!$C$48*IF(Summary!$D$30="Included Margin",IF(AND($B773&gt;Input!$C$9,Summary!$D$31&lt;&gt;"Included Margin"),0,1),0))</f>
        <v>-4.4999999999999997E-3</v>
      </c>
      <c r="AE773" s="159">
        <f>IF(E773="","",IF(Summary!$D$26="Included Margin",IF(AND($B773&gt;Input!$C$9,Summary!$D$31&lt;&gt;"Included Margin"),1,1/$R773),1))</f>
        <v>1.3782335964681973</v>
      </c>
      <c r="AF773" s="160">
        <f>IF(E773="","",IF(AND($B773&gt;=Input!$C$9,$C773=12,Summary!$D$31="Included Margin",$U773&gt;0),1/U773-1,IF($B773&gt;=Input!$C$9,0,Input!$C$45*IF(Summary!$D$27="Included Margin",1,0))))</f>
        <v>0</v>
      </c>
      <c r="AG773" s="160">
        <f>IF(E773="","",Input!$C$46*IF(Summary!$D$28="Included Margin",IF(AND($B773&gt;Input!$C$9,Summary!$D$31&lt;&gt;"Included Margin"),0,1),0))</f>
        <v>0.02</v>
      </c>
      <c r="AH773" s="158">
        <f>IF(E773="","",Input!$C$47*IF(Summary!$D$29="Included Margin",IF(AND($B773&gt;Input!$C$9,Summary!$D$31&lt;&gt;"Included Margin"),0,1),0))</f>
        <v>2.5000000000000001E-3</v>
      </c>
      <c r="AI773" s="154"/>
      <c r="AJ773" s="158">
        <f t="shared" si="481"/>
        <v>4.3560000000000001E-2</v>
      </c>
      <c r="AK773" s="155">
        <f t="shared" si="482"/>
        <v>3.5594820203890265E-3</v>
      </c>
      <c r="AL773" s="147">
        <f t="shared" si="483"/>
        <v>1</v>
      </c>
      <c r="AM773" s="147">
        <f t="shared" ref="AM773:AM836" si="502">IF($E773="","",1-(1-AL773)^(1/12))</f>
        <v>1</v>
      </c>
      <c r="AN773" s="160">
        <f t="shared" si="484"/>
        <v>0</v>
      </c>
      <c r="AO773" s="161">
        <f t="shared" si="485"/>
        <v>51</v>
      </c>
      <c r="AP773" s="156">
        <f t="shared" ref="AP773:AP836" si="503">IF($E773="","",IF(B773=1,1,IF(C773=1,(1+$W773+$AH773)*AP772,AP772)))</f>
        <v>4.1538639436680294</v>
      </c>
      <c r="AQ773" s="152"/>
      <c r="AR773" s="162">
        <f t="shared" ref="AR773:AR836" si="504">IF($E773="","",(AZ773*(1-$AN773)*(1-$AM773)/(1+$AK773)+AU773/(1+$AK773/2)-AS773+AT773))</f>
        <v>34.189145186401191</v>
      </c>
      <c r="AS773" s="150">
        <f t="shared" si="486"/>
        <v>100000</v>
      </c>
      <c r="AT773" s="163">
        <f t="shared" ref="AT773:AT836" si="505">IF($E773="","",$AO773*$AP773)</f>
        <v>211.84706112706951</v>
      </c>
      <c r="AU773" s="163">
        <f t="shared" ref="AU773:AU836" si="506">IF($E773="","",$AM773*$H773)</f>
        <v>100000</v>
      </c>
      <c r="AV773" s="163">
        <f t="shared" si="487"/>
        <v>177.34173086188073</v>
      </c>
      <c r="AW773" s="163">
        <f t="shared" ref="AW773:AW836" si="507">IF($E773="","",AZ773*$AM773)</f>
        <v>99822.658269138119</v>
      </c>
      <c r="AX773" s="163">
        <f t="shared" ref="AX773:AX836" si="508">IF($E773="","",$AN773*AZ773*(1-$AM773))</f>
        <v>0</v>
      </c>
      <c r="AY773" s="164">
        <f t="shared" si="488"/>
        <v>99822.342084059332</v>
      </c>
      <c r="AZ773" s="164">
        <f>IF($E773="","",IF(OR(AND($D773=Input!$C$6,$C773=12),$AN773=1),0,-AS774+AT774+AU774-AV774-AW774-AX774+AZ774))</f>
        <v>99822.658269138119</v>
      </c>
      <c r="BA773" s="154">
        <f t="shared" ref="BA773:BA836" si="509">IF(E773="","",AZ773-AY773)</f>
        <v>0.31618507878738455</v>
      </c>
      <c r="BC773" s="147">
        <f t="shared" si="489"/>
        <v>1.2218022037855766E-13</v>
      </c>
      <c r="BD773" s="164">
        <f>IF(AND($C772=12,$D772=Input!$C$6),0,IF($E773="","",AT773+(AU773+BD774)/(1+$AK773)*MIN((1-AM773-AN773),1)))</f>
        <v>211.84706112706951</v>
      </c>
      <c r="BE773" s="164">
        <f t="shared" ref="BE773:BE836" si="510">IF($E773="","",BC773*BD773)</f>
        <v>2.5883520615055129E-11</v>
      </c>
      <c r="BF773" s="164">
        <f t="shared" si="490"/>
        <v>99822.658269138119</v>
      </c>
      <c r="BG773" s="164">
        <f t="shared" ref="BG773:BG836" si="511">IF($E773="","",BC773*BF773)</f>
        <v>1.2196354386096748E-8</v>
      </c>
      <c r="BH773" s="152"/>
      <c r="BI773" s="162">
        <f t="shared" ref="BI773:BI836" si="512">IF($E773="","",(BQ773*(1-$U773)*(1-$T773)/(1+$N773)+BL773/(1+$N773/2)-BJ773+BK773))</f>
        <v>-37605.030807471827</v>
      </c>
      <c r="BJ773" s="150">
        <f t="shared" ref="BJ773:BJ836" si="513">IF($E773="","",AS773)</f>
        <v>100000</v>
      </c>
      <c r="BK773" s="163">
        <f t="shared" si="494"/>
        <v>177.57466216384387</v>
      </c>
      <c r="BL773" s="163">
        <f t="shared" ref="BL773:BL836" si="514">IF(E773="","",$T773*$H773)</f>
        <v>10215.140819694236</v>
      </c>
      <c r="BM773" s="163">
        <f t="shared" si="495"/>
        <v>223.83608325309672</v>
      </c>
      <c r="BN773" s="163">
        <f t="shared" ref="BN773:BN836" si="515">IF($E773="","",BQ773*$T773)</f>
        <v>5941.9513104762827</v>
      </c>
      <c r="BO773" s="163">
        <f t="shared" ref="BO773:BO836" si="516">IF($E773="","",$U773*BQ773*(1-$T773))</f>
        <v>0</v>
      </c>
      <c r="BP773" s="164">
        <f t="shared" si="496"/>
        <v>58168.041104399468</v>
      </c>
      <c r="BQ773" s="164">
        <f>IF($E773="","",IF(AND($D773=Input!$C$6,$C773=12),0,-BJ774+BK774+BL774-BM774-BN774-BO774+BQ774))</f>
        <v>58168.080258086353</v>
      </c>
      <c r="BR773" s="161">
        <f t="shared" ref="BR773:BR836" si="517">IF(E773="","",ROUND(BQ773-BP773,1))</f>
        <v>0</v>
      </c>
      <c r="BT773" s="147">
        <f t="shared" ref="BT773:BT836" si="518">IF(E773="","",BC773)</f>
        <v>1.2218022037855766E-13</v>
      </c>
      <c r="BU773" s="164">
        <f>IF(AND($C772=12,$D772=Input!$C$6),0,IF($E773="","",BK773+(BL773+BU774)/(1+$AK773)*MIN((1-T773-U773),1)))</f>
        <v>83290.257157542932</v>
      </c>
      <c r="BV773" s="164">
        <f t="shared" ref="BV773:BV836" si="519">IF(E773="","",BT773*BU773)</f>
        <v>1.0176421974895335E-8</v>
      </c>
      <c r="BW773" s="164">
        <f t="shared" ref="BW773:BW836" si="520">IF(E773="","",BQ773)</f>
        <v>58168.080258086353</v>
      </c>
      <c r="BX773" s="164">
        <f t="shared" ref="BX773:BX836" si="521">IF(E773="","",BT773*BW773)</f>
        <v>7.1069888649306201E-9</v>
      </c>
    </row>
    <row r="774" spans="1:76" s="150" customFormat="1" x14ac:dyDescent="0.25">
      <c r="A774" s="150">
        <f t="shared" si="491"/>
        <v>770</v>
      </c>
      <c r="B774" s="150">
        <f t="shared" si="492"/>
        <v>65</v>
      </c>
      <c r="C774" s="150">
        <f t="shared" si="493"/>
        <v>2</v>
      </c>
      <c r="D774" s="150">
        <f>IF(E774="","",Input!$C$4+B774-1)</f>
        <v>109</v>
      </c>
      <c r="E774" s="150">
        <f>IF(OR(AND(C773=12,D773=Input!$C$6),E773=""),"",1)</f>
        <v>1</v>
      </c>
      <c r="F774" s="150">
        <f>IF(E774="","",Input!$C$8+B774-1)</f>
        <v>2082</v>
      </c>
      <c r="G774" s="151">
        <f>IF(E774="","",MAX(0,Input!$C$9-B774))</f>
        <v>0</v>
      </c>
      <c r="H774" s="152">
        <f>IF(E774="","",Input!$C$3)</f>
        <v>100000</v>
      </c>
      <c r="I774" s="153">
        <f>IF(E774="","",HLOOKUP($B774,Input!$C$13:$BT$14,2))</f>
        <v>1000</v>
      </c>
      <c r="J774" s="154"/>
      <c r="K774" s="155">
        <f>IF($E774="","",INDEX(Input!$C$16:$CP$16,1,$B774))</f>
        <v>3.3059999999999999E-2</v>
      </c>
      <c r="L774" s="155">
        <f>IF($E774="","",Input!$C$37)</f>
        <v>1.4999999999999999E-2</v>
      </c>
      <c r="M774" s="155">
        <f t="shared" si="497"/>
        <v>4.8059999999999999E-2</v>
      </c>
      <c r="N774" s="155">
        <f t="shared" si="498"/>
        <v>3.9193971737812028E-3</v>
      </c>
      <c r="O774" s="147">
        <f>IF($E774="","",MIN(VLOOKUP(IF($B774&lt;=Input!$C$7,$B774,26),'Mortality Tables'!$A$41:$CW$67,IF($B774&lt;=Input!$C$7+1,Input!$C$4+2,$D774-Input!$C$7+2),0)*IF(B774&gt;20,Input!$C$22,1)/1000,1))</f>
        <v>1</v>
      </c>
      <c r="P774" s="147">
        <f>IF($E774="","",MIN(VLOOKUP(IF($B774&lt;=Input!$C$7,$B774,26),'Mortality Tables'!$A$12:$CW$37,IF($B774&lt;=Input!$C$7+1,Input!$C$4+2,$D774-Input!$C$7+2),0)*IF(B774&gt;20,Input!$C$22,1)/1000,1))</f>
        <v>1</v>
      </c>
      <c r="Q774" s="155">
        <f>IF($E774="","",Input!$C$21)</f>
        <v>5.0000000000000001E-3</v>
      </c>
      <c r="R774" s="159">
        <f>IF($E774="","",(1-Q774)^($F774-Input!$C$20))</f>
        <v>0.72556640801860972</v>
      </c>
      <c r="S774" s="147">
        <f t="shared" si="500"/>
        <v>0.72556640801860972</v>
      </c>
      <c r="T774" s="147">
        <f t="shared" si="501"/>
        <v>0.10215140819694235</v>
      </c>
      <c r="U774" s="160">
        <f>IF($E774="","",IF($C774=12,INDEX(Input!$C$15:$CP$15,1,$B774),0))</f>
        <v>0</v>
      </c>
      <c r="V774" s="150">
        <f>IF(E774="","",IF(C774=1,IF($B774=1,Input!$C$33,Input!$C$34),0))</f>
        <v>0</v>
      </c>
      <c r="W774" s="156">
        <f>IF($E774="","",Input!$C$35)</f>
        <v>0.02</v>
      </c>
      <c r="X774" s="156">
        <f t="shared" si="499"/>
        <v>3.5514932432768775</v>
      </c>
      <c r="Y774" s="154"/>
      <c r="Z774" s="147">
        <f>IF($E774="","",VLOOKUP($D774,'Mortality Margins &amp; Grading'!$AB$5:$AF$125,3,0)*IF(Summary!$D$25="Included Margin",IF(AND($B774&gt;Input!$C$9,Summary!$D$31&lt;&gt;"Included Margin"),0,1),0))</f>
        <v>0.01</v>
      </c>
      <c r="AA774" s="147">
        <f>IF($E774="","",VLOOKUP($D774,'Mortality Margins &amp; Grading'!$AB$5:$AF$125,5,0)*IF(Summary!$D$25="Included Margin",IF(AND($B774&gt;Input!$C$9,Summary!$D$31&lt;&gt;"Included Margin"),0,1),0))</f>
        <v>5.2999999999999999E-2</v>
      </c>
      <c r="AB774" s="147">
        <f>IF($E774="","",IF(AND($B774&gt;Input!$C$9,Summary!$D$31&lt;&gt;"Included Margin"),1,IF(Summary!$D$25="Included Margin",VLOOKUP($B774,'Mortality Margins &amp; Grading'!$AI$5:$AR$125,MATCH('Mortality Margins &amp; Grading'!$AQ$4,'Mortality Margins &amp; Grading'!$AI$4:$AR$4,0),0),1)))</f>
        <v>0</v>
      </c>
      <c r="AC774" s="154"/>
      <c r="AD774" s="158">
        <f>IF(E774="","",Input!$C$48*IF(Summary!$D$30="Included Margin",IF(AND($B774&gt;Input!$C$9,Summary!$D$31&lt;&gt;"Included Margin"),0,1),0))</f>
        <v>-4.4999999999999997E-3</v>
      </c>
      <c r="AE774" s="159">
        <f>IF(E774="","",IF(Summary!$D$26="Included Margin",IF(AND($B774&gt;Input!$C$9,Summary!$D$31&lt;&gt;"Included Margin"),1,1/$R774),1))</f>
        <v>1.3782335964681973</v>
      </c>
      <c r="AF774" s="160">
        <f>IF(E774="","",IF(AND($B774&gt;=Input!$C$9,$C774=12,Summary!$D$31="Included Margin",$U774&gt;0),1/U774-1,IF($B774&gt;=Input!$C$9,0,Input!$C$45*IF(Summary!$D$27="Included Margin",1,0))))</f>
        <v>0</v>
      </c>
      <c r="AG774" s="160">
        <f>IF(E774="","",Input!$C$46*IF(Summary!$D$28="Included Margin",IF(AND($B774&gt;Input!$C$9,Summary!$D$31&lt;&gt;"Included Margin"),0,1),0))</f>
        <v>0.02</v>
      </c>
      <c r="AH774" s="158">
        <f>IF(E774="","",Input!$C$47*IF(Summary!$D$29="Included Margin",IF(AND($B774&gt;Input!$C$9,Summary!$D$31&lt;&gt;"Included Margin"),0,1),0))</f>
        <v>2.5000000000000001E-3</v>
      </c>
      <c r="AI774" s="154"/>
      <c r="AJ774" s="158">
        <f t="shared" ref="AJ774:AJ837" si="522">IF(E774="","",M774+AD774)</f>
        <v>4.3560000000000001E-2</v>
      </c>
      <c r="AK774" s="155">
        <f t="shared" ref="AK774:AK837" si="523">IF(E774="","",(1+AJ774)^(1/12)-1)</f>
        <v>3.5594820203890265E-3</v>
      </c>
      <c r="AL774" s="147">
        <f t="shared" ref="AL774:AL837" si="524">IF($E774="","",MIN(($O774*(1+$Z774)*$AB774+$P774*(1+$AA774)*(1-$AB774))*R774*AE774,1))</f>
        <v>1</v>
      </c>
      <c r="AM774" s="147">
        <f t="shared" si="502"/>
        <v>1</v>
      </c>
      <c r="AN774" s="160">
        <f t="shared" ref="AN774:AN837" si="525">IF(E774="","",IF(U774=1,1,(1+AF774)*U774))</f>
        <v>0</v>
      </c>
      <c r="AO774" s="161">
        <f t="shared" ref="AO774:AO837" si="526">IF($E774="","",(1+$AG774)*$V774)</f>
        <v>0</v>
      </c>
      <c r="AP774" s="156">
        <f t="shared" si="503"/>
        <v>4.1538639436680294</v>
      </c>
      <c r="AQ774" s="152"/>
      <c r="AR774" s="162">
        <f t="shared" si="504"/>
        <v>99822.342084059332</v>
      </c>
      <c r="AS774" s="150">
        <f t="shared" ref="AS774:AS837" si="527">IF($E774="","",IF($C774=1,$I774*$H774/1000,0))</f>
        <v>0</v>
      </c>
      <c r="AT774" s="163">
        <f t="shared" si="505"/>
        <v>0</v>
      </c>
      <c r="AU774" s="163">
        <f t="shared" si="506"/>
        <v>100000</v>
      </c>
      <c r="AV774" s="163">
        <f t="shared" ref="AV774:AV837" si="528">IF($E774="","",(AR774+AS774-AT774-AU774/2)*$AK774)</f>
        <v>177.34173086188073</v>
      </c>
      <c r="AW774" s="163">
        <f t="shared" si="507"/>
        <v>99822.658269138119</v>
      </c>
      <c r="AX774" s="163">
        <f t="shared" si="508"/>
        <v>0</v>
      </c>
      <c r="AY774" s="165">
        <f t="shared" ref="AY774:AY837" si="529">IF($E774="","",AR774+AS774-AT774-AU774+AV774+AW774+AX774)</f>
        <v>99822.342084059332</v>
      </c>
      <c r="AZ774" s="164">
        <f>IF($E774="","",IF(OR(AND($D774=Input!$C$6,$C774=12),$AN774=1),0,-AS775+AT775+AU775-AV775-AW775-AX775+AZ775))</f>
        <v>99822.658269138119</v>
      </c>
      <c r="BA774" s="154">
        <f t="shared" si="509"/>
        <v>0.31618507878738455</v>
      </c>
      <c r="BC774" s="147">
        <f t="shared" ref="BC774:BC837" si="530">IF($E774="","",MIN(1,(1-T774-U774))*BC773)</f>
        <v>1.0969933881307524E-13</v>
      </c>
      <c r="BD774" s="164">
        <f>IF(AND($C773=12,$D773=Input!$C$6),0,IF($E774="","",AT774+(AU774+BD775)/(1+$AK774)*MIN((1-AM774-AN774),1)))</f>
        <v>0</v>
      </c>
      <c r="BE774" s="164">
        <f t="shared" si="510"/>
        <v>0</v>
      </c>
      <c r="BF774" s="164">
        <f t="shared" ref="BF774:BF837" si="531">IF($E774="","",AZ774)</f>
        <v>99822.658269138119</v>
      </c>
      <c r="BG774" s="164">
        <f t="shared" si="511"/>
        <v>1.095047961068801E-8</v>
      </c>
      <c r="BH774" s="152"/>
      <c r="BI774" s="162">
        <f t="shared" si="512"/>
        <v>58168.041104399461</v>
      </c>
      <c r="BJ774" s="150">
        <f t="shared" si="513"/>
        <v>0</v>
      </c>
      <c r="BK774" s="163">
        <f t="shared" si="494"/>
        <v>0</v>
      </c>
      <c r="BL774" s="163">
        <f t="shared" si="514"/>
        <v>10215.140819694236</v>
      </c>
      <c r="BM774" s="163">
        <f t="shared" si="495"/>
        <v>207.96505887972879</v>
      </c>
      <c r="BN774" s="163">
        <f t="shared" si="515"/>
        <v>5479.4363541352031</v>
      </c>
      <c r="BO774" s="163">
        <f t="shared" si="516"/>
        <v>0</v>
      </c>
      <c r="BP774" s="164">
        <f t="shared" si="496"/>
        <v>53640.301697720162</v>
      </c>
      <c r="BQ774" s="164">
        <f>IF($E774="","",IF(AND($D774=Input!$C$6,$C774=12),0,-BJ775+BK775+BL775-BM775-BN775-BO775+BQ775))</f>
        <v>53640.340851407047</v>
      </c>
      <c r="BR774" s="161">
        <f t="shared" si="517"/>
        <v>0</v>
      </c>
      <c r="BT774" s="147">
        <f t="shared" si="518"/>
        <v>1.0969933881307524E-13</v>
      </c>
      <c r="BU774" s="164">
        <f>IF(AND($C773=12,$D773=Input!$C$6),0,IF($E774="","",BK774+(BL774+BU775)/(1+$AK774)*MIN((1-T774-U774),1)))</f>
        <v>82683.062013020448</v>
      </c>
      <c r="BV774" s="164">
        <f t="shared" si="519"/>
        <v>9.0702772338688409E-9</v>
      </c>
      <c r="BW774" s="164">
        <f t="shared" si="520"/>
        <v>53640.340851407047</v>
      </c>
      <c r="BX774" s="164">
        <f t="shared" si="521"/>
        <v>5.8843099251073423E-9</v>
      </c>
    </row>
    <row r="775" spans="1:76" s="150" customFormat="1" x14ac:dyDescent="0.25">
      <c r="A775" s="150">
        <f t="shared" ref="A775:A838" si="532">IF(E775="","",A774+1)</f>
        <v>771</v>
      </c>
      <c r="B775" s="150">
        <f t="shared" ref="B775:B838" si="533">IF(E775="","",IF(C774+1&gt;12,B774+1,B774))</f>
        <v>65</v>
      </c>
      <c r="C775" s="150">
        <f t="shared" ref="C775:C838" si="534">IF(E775="","",IF(C774+1&gt;12,1,C774+1))</f>
        <v>3</v>
      </c>
      <c r="D775" s="150">
        <f>IF(E775="","",Input!$C$4+B775-1)</f>
        <v>109</v>
      </c>
      <c r="E775" s="150">
        <f>IF(OR(AND(C774=12,D774=Input!$C$6),E774=""),"",1)</f>
        <v>1</v>
      </c>
      <c r="F775" s="150">
        <f>IF(E775="","",Input!$C$8+B775-1)</f>
        <v>2082</v>
      </c>
      <c r="G775" s="151">
        <f>IF(E775="","",MAX(0,Input!$C$9-B775))</f>
        <v>0</v>
      </c>
      <c r="H775" s="152">
        <f>IF(E775="","",Input!$C$3)</f>
        <v>100000</v>
      </c>
      <c r="I775" s="153">
        <f>IF(E775="","",HLOOKUP($B775,Input!$C$13:$BT$14,2))</f>
        <v>1000</v>
      </c>
      <c r="J775" s="154"/>
      <c r="K775" s="155">
        <f>IF($E775="","",INDEX(Input!$C$16:$CP$16,1,$B775))</f>
        <v>3.3059999999999999E-2</v>
      </c>
      <c r="L775" s="155">
        <f>IF($E775="","",Input!$C$37)</f>
        <v>1.4999999999999999E-2</v>
      </c>
      <c r="M775" s="155">
        <f t="shared" si="497"/>
        <v>4.8059999999999999E-2</v>
      </c>
      <c r="N775" s="155">
        <f t="shared" si="498"/>
        <v>3.9193971737812028E-3</v>
      </c>
      <c r="O775" s="147">
        <f>IF($E775="","",MIN(VLOOKUP(IF($B775&lt;=Input!$C$7,$B775,26),'Mortality Tables'!$A$41:$CW$67,IF($B775&lt;=Input!$C$7+1,Input!$C$4+2,$D775-Input!$C$7+2),0)*IF(B775&gt;20,Input!$C$22,1)/1000,1))</f>
        <v>1</v>
      </c>
      <c r="P775" s="147">
        <f>IF($E775="","",MIN(VLOOKUP(IF($B775&lt;=Input!$C$7,$B775,26),'Mortality Tables'!$A$12:$CW$37,IF($B775&lt;=Input!$C$7+1,Input!$C$4+2,$D775-Input!$C$7+2),0)*IF(B775&gt;20,Input!$C$22,1)/1000,1))</f>
        <v>1</v>
      </c>
      <c r="Q775" s="155">
        <f>IF($E775="","",Input!$C$21)</f>
        <v>5.0000000000000001E-3</v>
      </c>
      <c r="R775" s="159">
        <f>IF($E775="","",(1-Q775)^($F775-Input!$C$20))</f>
        <v>0.72556640801860972</v>
      </c>
      <c r="S775" s="147">
        <f t="shared" si="500"/>
        <v>0.72556640801860972</v>
      </c>
      <c r="T775" s="147">
        <f t="shared" si="501"/>
        <v>0.10215140819694235</v>
      </c>
      <c r="U775" s="160">
        <f>IF($E775="","",IF($C775=12,INDEX(Input!$C$15:$CP$15,1,$B775),0))</f>
        <v>0</v>
      </c>
      <c r="V775" s="150">
        <f>IF(E775="","",IF(C775=1,IF($B775=1,Input!$C$33,Input!$C$34),0))</f>
        <v>0</v>
      </c>
      <c r="W775" s="156">
        <f>IF($E775="","",Input!$C$35)</f>
        <v>0.02</v>
      </c>
      <c r="X775" s="156">
        <f t="shared" si="499"/>
        <v>3.5514932432768775</v>
      </c>
      <c r="Y775" s="154"/>
      <c r="Z775" s="147">
        <f>IF($E775="","",VLOOKUP($D775,'Mortality Margins &amp; Grading'!$AB$5:$AF$125,3,0)*IF(Summary!$D$25="Included Margin",IF(AND($B775&gt;Input!$C$9,Summary!$D$31&lt;&gt;"Included Margin"),0,1),0))</f>
        <v>0.01</v>
      </c>
      <c r="AA775" s="147">
        <f>IF($E775="","",VLOOKUP($D775,'Mortality Margins &amp; Grading'!$AB$5:$AF$125,5,0)*IF(Summary!$D$25="Included Margin",IF(AND($B775&gt;Input!$C$9,Summary!$D$31&lt;&gt;"Included Margin"),0,1),0))</f>
        <v>5.2999999999999999E-2</v>
      </c>
      <c r="AB775" s="147">
        <f>IF($E775="","",IF(AND($B775&gt;Input!$C$9,Summary!$D$31&lt;&gt;"Included Margin"),1,IF(Summary!$D$25="Included Margin",VLOOKUP($B775,'Mortality Margins &amp; Grading'!$AI$5:$AR$125,MATCH('Mortality Margins &amp; Grading'!$AQ$4,'Mortality Margins &amp; Grading'!$AI$4:$AR$4,0),0),1)))</f>
        <v>0</v>
      </c>
      <c r="AC775" s="154"/>
      <c r="AD775" s="158">
        <f>IF(E775="","",Input!$C$48*IF(Summary!$D$30="Included Margin",IF(AND($B775&gt;Input!$C$9,Summary!$D$31&lt;&gt;"Included Margin"),0,1),0))</f>
        <v>-4.4999999999999997E-3</v>
      </c>
      <c r="AE775" s="159">
        <f>IF(E775="","",IF(Summary!$D$26="Included Margin",IF(AND($B775&gt;Input!$C$9,Summary!$D$31&lt;&gt;"Included Margin"),1,1/$R775),1))</f>
        <v>1.3782335964681973</v>
      </c>
      <c r="AF775" s="160">
        <f>IF(E775="","",IF(AND($B775&gt;=Input!$C$9,$C775=12,Summary!$D$31="Included Margin",$U775&gt;0),1/U775-1,IF($B775&gt;=Input!$C$9,0,Input!$C$45*IF(Summary!$D$27="Included Margin",1,0))))</f>
        <v>0</v>
      </c>
      <c r="AG775" s="160">
        <f>IF(E775="","",Input!$C$46*IF(Summary!$D$28="Included Margin",IF(AND($B775&gt;Input!$C$9,Summary!$D$31&lt;&gt;"Included Margin"),0,1),0))</f>
        <v>0.02</v>
      </c>
      <c r="AH775" s="158">
        <f>IF(E775="","",Input!$C$47*IF(Summary!$D$29="Included Margin",IF(AND($B775&gt;Input!$C$9,Summary!$D$31&lt;&gt;"Included Margin"),0,1),0))</f>
        <v>2.5000000000000001E-3</v>
      </c>
      <c r="AI775" s="154"/>
      <c r="AJ775" s="158">
        <f t="shared" si="522"/>
        <v>4.3560000000000001E-2</v>
      </c>
      <c r="AK775" s="155">
        <f t="shared" si="523"/>
        <v>3.5594820203890265E-3</v>
      </c>
      <c r="AL775" s="147">
        <f t="shared" si="524"/>
        <v>1</v>
      </c>
      <c r="AM775" s="147">
        <f t="shared" si="502"/>
        <v>1</v>
      </c>
      <c r="AN775" s="160">
        <f t="shared" si="525"/>
        <v>0</v>
      </c>
      <c r="AO775" s="161">
        <f t="shared" si="526"/>
        <v>0</v>
      </c>
      <c r="AP775" s="156">
        <f t="shared" si="503"/>
        <v>4.1538639436680294</v>
      </c>
      <c r="AQ775" s="152"/>
      <c r="AR775" s="162">
        <f t="shared" si="504"/>
        <v>99822.342084059332</v>
      </c>
      <c r="AS775" s="150">
        <f t="shared" si="527"/>
        <v>0</v>
      </c>
      <c r="AT775" s="163">
        <f t="shared" si="505"/>
        <v>0</v>
      </c>
      <c r="AU775" s="163">
        <f t="shared" si="506"/>
        <v>100000</v>
      </c>
      <c r="AV775" s="163">
        <f t="shared" si="528"/>
        <v>177.34173086188073</v>
      </c>
      <c r="AW775" s="163">
        <f t="shared" si="507"/>
        <v>99822.658269138119</v>
      </c>
      <c r="AX775" s="163">
        <f t="shared" si="508"/>
        <v>0</v>
      </c>
      <c r="AY775" s="164">
        <f t="shared" si="529"/>
        <v>99822.342084059332</v>
      </c>
      <c r="AZ775" s="164">
        <f>IF($E775="","",IF(OR(AND($D775=Input!$C$6,$C775=12),$AN775=1),0,-AS776+AT776+AU776-AV776-AW776-AX776+AZ776))</f>
        <v>99822.658269138119</v>
      </c>
      <c r="BA775" s="154">
        <f t="shared" si="509"/>
        <v>0.31618507878738455</v>
      </c>
      <c r="BC775" s="147">
        <f t="shared" si="530"/>
        <v>9.8493396875046117E-14</v>
      </c>
      <c r="BD775" s="164">
        <f>IF(AND($C774=12,$D774=Input!$C$6),0,IF($E775="","",AT775+(AU775+BD776)/(1+$AK775)*MIN((1-AM775-AN775),1)))</f>
        <v>0</v>
      </c>
      <c r="BE775" s="164">
        <f t="shared" si="510"/>
        <v>0</v>
      </c>
      <c r="BF775" s="164">
        <f t="shared" si="531"/>
        <v>99822.658269138119</v>
      </c>
      <c r="BG775" s="164">
        <f t="shared" si="511"/>
        <v>9.8318726980243245E-9</v>
      </c>
      <c r="BH775" s="152"/>
      <c r="BI775" s="162">
        <f t="shared" si="512"/>
        <v>53640.301697720162</v>
      </c>
      <c r="BJ775" s="150">
        <f t="shared" si="513"/>
        <v>0</v>
      </c>
      <c r="BK775" s="163">
        <f t="shared" ref="BK775:BK838" si="535">IF($E775="","",$V775*$X775)</f>
        <v>0</v>
      </c>
      <c r="BL775" s="163">
        <f t="shared" si="514"/>
        <v>10215.140819694236</v>
      </c>
      <c r="BM775" s="163">
        <f t="shared" ref="BM775:BM838" si="536">IF($E775="","",(BI775+BJ775-BK775-BL775/2)*$N775)</f>
        <v>190.21904984557216</v>
      </c>
      <c r="BN775" s="163">
        <f t="shared" si="515"/>
        <v>4962.2804100340591</v>
      </c>
      <c r="BO775" s="163">
        <f t="shared" si="516"/>
        <v>0</v>
      </c>
      <c r="BP775" s="164">
        <f t="shared" ref="BP775:BP838" si="537">IF($E775="","",BI775+BJ775-BK775-BL775+BM775+BN775+BO775)</f>
        <v>48577.66033790556</v>
      </c>
      <c r="BQ775" s="164">
        <f>IF($E775="","",IF(AND($D775=Input!$C$6,$C775=12),0,-BJ776+BK776+BL776-BM776-BN776-BO776+BQ776))</f>
        <v>48577.699491592444</v>
      </c>
      <c r="BR775" s="161">
        <f t="shared" si="517"/>
        <v>0</v>
      </c>
      <c r="BT775" s="147">
        <f t="shared" si="518"/>
        <v>9.8493396875046117E-14</v>
      </c>
      <c r="BU775" s="164">
        <f>IF(AND($C774=12,$D774=Input!$C$6),0,IF($E775="","",BK775+(BL775+BU776)/(1+$AK775)*MIN((1-T775-U775),1)))</f>
        <v>82202.858877795428</v>
      </c>
      <c r="BV775" s="164">
        <f t="shared" si="519"/>
        <v>8.0964388037141132E-9</v>
      </c>
      <c r="BW775" s="164">
        <f t="shared" si="520"/>
        <v>48577.699491592444</v>
      </c>
      <c r="BX775" s="164">
        <f t="shared" si="521"/>
        <v>4.7845826353021408E-9</v>
      </c>
    </row>
    <row r="776" spans="1:76" s="150" customFormat="1" x14ac:dyDescent="0.25">
      <c r="A776" s="150">
        <f t="shared" si="532"/>
        <v>772</v>
      </c>
      <c r="B776" s="150">
        <f t="shared" si="533"/>
        <v>65</v>
      </c>
      <c r="C776" s="150">
        <f t="shared" si="534"/>
        <v>4</v>
      </c>
      <c r="D776" s="150">
        <f>IF(E776="","",Input!$C$4+B776-1)</f>
        <v>109</v>
      </c>
      <c r="E776" s="150">
        <f>IF(OR(AND(C775=12,D775=Input!$C$6),E775=""),"",1)</f>
        <v>1</v>
      </c>
      <c r="F776" s="150">
        <f>IF(E776="","",Input!$C$8+B776-1)</f>
        <v>2082</v>
      </c>
      <c r="G776" s="151">
        <f>IF(E776="","",MAX(0,Input!$C$9-B776))</f>
        <v>0</v>
      </c>
      <c r="H776" s="152">
        <f>IF(E776="","",Input!$C$3)</f>
        <v>100000</v>
      </c>
      <c r="I776" s="153">
        <f>IF(E776="","",HLOOKUP($B776,Input!$C$13:$BT$14,2))</f>
        <v>1000</v>
      </c>
      <c r="J776" s="154"/>
      <c r="K776" s="155">
        <f>IF($E776="","",INDEX(Input!$C$16:$CP$16,1,$B776))</f>
        <v>3.3059999999999999E-2</v>
      </c>
      <c r="L776" s="155">
        <f>IF($E776="","",Input!$C$37)</f>
        <v>1.4999999999999999E-2</v>
      </c>
      <c r="M776" s="155">
        <f t="shared" si="497"/>
        <v>4.8059999999999999E-2</v>
      </c>
      <c r="N776" s="155">
        <f t="shared" si="498"/>
        <v>3.9193971737812028E-3</v>
      </c>
      <c r="O776" s="147">
        <f>IF($E776="","",MIN(VLOOKUP(IF($B776&lt;=Input!$C$7,$B776,26),'Mortality Tables'!$A$41:$CW$67,IF($B776&lt;=Input!$C$7+1,Input!$C$4+2,$D776-Input!$C$7+2),0)*IF(B776&gt;20,Input!$C$22,1)/1000,1))</f>
        <v>1</v>
      </c>
      <c r="P776" s="147">
        <f>IF($E776="","",MIN(VLOOKUP(IF($B776&lt;=Input!$C$7,$B776,26),'Mortality Tables'!$A$12:$CW$37,IF($B776&lt;=Input!$C$7+1,Input!$C$4+2,$D776-Input!$C$7+2),0)*IF(B776&gt;20,Input!$C$22,1)/1000,1))</f>
        <v>1</v>
      </c>
      <c r="Q776" s="155">
        <f>IF($E776="","",Input!$C$21)</f>
        <v>5.0000000000000001E-3</v>
      </c>
      <c r="R776" s="159">
        <f>IF($E776="","",(1-Q776)^($F776-Input!$C$20))</f>
        <v>0.72556640801860972</v>
      </c>
      <c r="S776" s="147">
        <f t="shared" si="500"/>
        <v>0.72556640801860972</v>
      </c>
      <c r="T776" s="147">
        <f t="shared" si="501"/>
        <v>0.10215140819694235</v>
      </c>
      <c r="U776" s="160">
        <f>IF($E776="","",IF($C776=12,INDEX(Input!$C$15:$CP$15,1,$B776),0))</f>
        <v>0</v>
      </c>
      <c r="V776" s="150">
        <f>IF(E776="","",IF(C776=1,IF($B776=1,Input!$C$33,Input!$C$34),0))</f>
        <v>0</v>
      </c>
      <c r="W776" s="156">
        <f>IF($E776="","",Input!$C$35)</f>
        <v>0.02</v>
      </c>
      <c r="X776" s="156">
        <f t="shared" si="499"/>
        <v>3.5514932432768775</v>
      </c>
      <c r="Y776" s="154"/>
      <c r="Z776" s="147">
        <f>IF($E776="","",VLOOKUP($D776,'Mortality Margins &amp; Grading'!$AB$5:$AF$125,3,0)*IF(Summary!$D$25="Included Margin",IF(AND($B776&gt;Input!$C$9,Summary!$D$31&lt;&gt;"Included Margin"),0,1),0))</f>
        <v>0.01</v>
      </c>
      <c r="AA776" s="147">
        <f>IF($E776="","",VLOOKUP($D776,'Mortality Margins &amp; Grading'!$AB$5:$AF$125,5,0)*IF(Summary!$D$25="Included Margin",IF(AND($B776&gt;Input!$C$9,Summary!$D$31&lt;&gt;"Included Margin"),0,1),0))</f>
        <v>5.2999999999999999E-2</v>
      </c>
      <c r="AB776" s="147">
        <f>IF($E776="","",IF(AND($B776&gt;Input!$C$9,Summary!$D$31&lt;&gt;"Included Margin"),1,IF(Summary!$D$25="Included Margin",VLOOKUP($B776,'Mortality Margins &amp; Grading'!$AI$5:$AR$125,MATCH('Mortality Margins &amp; Grading'!$AQ$4,'Mortality Margins &amp; Grading'!$AI$4:$AR$4,0),0),1)))</f>
        <v>0</v>
      </c>
      <c r="AC776" s="154"/>
      <c r="AD776" s="158">
        <f>IF(E776="","",Input!$C$48*IF(Summary!$D$30="Included Margin",IF(AND($B776&gt;Input!$C$9,Summary!$D$31&lt;&gt;"Included Margin"),0,1),0))</f>
        <v>-4.4999999999999997E-3</v>
      </c>
      <c r="AE776" s="159">
        <f>IF(E776="","",IF(Summary!$D$26="Included Margin",IF(AND($B776&gt;Input!$C$9,Summary!$D$31&lt;&gt;"Included Margin"),1,1/$R776),1))</f>
        <v>1.3782335964681973</v>
      </c>
      <c r="AF776" s="160">
        <f>IF(E776="","",IF(AND($B776&gt;=Input!$C$9,$C776=12,Summary!$D$31="Included Margin",$U776&gt;0),1/U776-1,IF($B776&gt;=Input!$C$9,0,Input!$C$45*IF(Summary!$D$27="Included Margin",1,0))))</f>
        <v>0</v>
      </c>
      <c r="AG776" s="160">
        <f>IF(E776="","",Input!$C$46*IF(Summary!$D$28="Included Margin",IF(AND($B776&gt;Input!$C$9,Summary!$D$31&lt;&gt;"Included Margin"),0,1),0))</f>
        <v>0.02</v>
      </c>
      <c r="AH776" s="158">
        <f>IF(E776="","",Input!$C$47*IF(Summary!$D$29="Included Margin",IF(AND($B776&gt;Input!$C$9,Summary!$D$31&lt;&gt;"Included Margin"),0,1),0))</f>
        <v>2.5000000000000001E-3</v>
      </c>
      <c r="AI776" s="154"/>
      <c r="AJ776" s="158">
        <f t="shared" si="522"/>
        <v>4.3560000000000001E-2</v>
      </c>
      <c r="AK776" s="155">
        <f t="shared" si="523"/>
        <v>3.5594820203890265E-3</v>
      </c>
      <c r="AL776" s="147">
        <f t="shared" si="524"/>
        <v>1</v>
      </c>
      <c r="AM776" s="147">
        <f t="shared" si="502"/>
        <v>1</v>
      </c>
      <c r="AN776" s="160">
        <f t="shared" si="525"/>
        <v>0</v>
      </c>
      <c r="AO776" s="161">
        <f t="shared" si="526"/>
        <v>0</v>
      </c>
      <c r="AP776" s="156">
        <f t="shared" si="503"/>
        <v>4.1538639436680294</v>
      </c>
      <c r="AQ776" s="152"/>
      <c r="AR776" s="162">
        <f t="shared" si="504"/>
        <v>99822.342084059332</v>
      </c>
      <c r="AS776" s="150">
        <f t="shared" si="527"/>
        <v>0</v>
      </c>
      <c r="AT776" s="163">
        <f t="shared" si="505"/>
        <v>0</v>
      </c>
      <c r="AU776" s="163">
        <f t="shared" si="506"/>
        <v>100000</v>
      </c>
      <c r="AV776" s="163">
        <f t="shared" si="528"/>
        <v>177.34173086188073</v>
      </c>
      <c r="AW776" s="163">
        <f t="shared" si="507"/>
        <v>99822.658269138119</v>
      </c>
      <c r="AX776" s="163">
        <f t="shared" si="508"/>
        <v>0</v>
      </c>
      <c r="AY776" s="165">
        <f t="shared" si="529"/>
        <v>99822.342084059332</v>
      </c>
      <c r="AZ776" s="164">
        <f>IF($E776="","",IF(OR(AND($D776=Input!$C$6,$C776=12),$AN776=1),0,-AS777+AT777+AU777-AV777-AW777-AX777+AZ777))</f>
        <v>99822.658269138119</v>
      </c>
      <c r="BA776" s="154">
        <f t="shared" si="509"/>
        <v>0.31618507878738455</v>
      </c>
      <c r="BC776" s="147">
        <f t="shared" si="530"/>
        <v>8.8432157686159841E-14</v>
      </c>
      <c r="BD776" s="164">
        <f>IF(AND($C775=12,$D775=Input!$C$6),0,IF($E776="","",AT776+(AU776+BD777)/(1+$AK776)*MIN((1-AM776-AN776),1)))</f>
        <v>0</v>
      </c>
      <c r="BE776" s="164">
        <f t="shared" si="510"/>
        <v>0</v>
      </c>
      <c r="BF776" s="164">
        <f t="shared" si="531"/>
        <v>99822.658269138119</v>
      </c>
      <c r="BG776" s="164">
        <f t="shared" si="511"/>
        <v>8.8275330567080697E-9</v>
      </c>
      <c r="BH776" s="152"/>
      <c r="BI776" s="162">
        <f t="shared" si="512"/>
        <v>48577.660337905552</v>
      </c>
      <c r="BJ776" s="150">
        <f t="shared" si="513"/>
        <v>0</v>
      </c>
      <c r="BK776" s="163">
        <f t="shared" si="535"/>
        <v>0</v>
      </c>
      <c r="BL776" s="163">
        <f t="shared" si="514"/>
        <v>10215.140819694236</v>
      </c>
      <c r="BM776" s="163">
        <f t="shared" si="536"/>
        <v>170.37654760804696</v>
      </c>
      <c r="BN776" s="163">
        <f t="shared" si="515"/>
        <v>4384.0282543958374</v>
      </c>
      <c r="BO776" s="163">
        <f t="shared" si="516"/>
        <v>0</v>
      </c>
      <c r="BP776" s="164">
        <f t="shared" si="537"/>
        <v>42916.924320215199</v>
      </c>
      <c r="BQ776" s="164">
        <f>IF($E776="","",IF(AND($D776=Input!$C$6,$C776=12),0,-BJ777+BK777+BL777-BM777-BN777-BO777+BQ777))</f>
        <v>42916.963473902091</v>
      </c>
      <c r="BR776" s="161">
        <f t="shared" si="517"/>
        <v>0</v>
      </c>
      <c r="BT776" s="147">
        <f t="shared" si="518"/>
        <v>8.8432157686159841E-14</v>
      </c>
      <c r="BU776" s="164">
        <f>IF(AND($C775=12,$D775=Input!$C$6),0,IF($E776="","",BK776+(BL776+BU777)/(1+$AK776)*MIN((1-T776-U776),1)))</f>
        <v>81666.11758973125</v>
      </c>
      <c r="BV776" s="164">
        <f t="shared" si="519"/>
        <v>7.2219109883115854E-9</v>
      </c>
      <c r="BW776" s="164">
        <f t="shared" si="520"/>
        <v>42916.963473902091</v>
      </c>
      <c r="BX776" s="164">
        <f t="shared" si="521"/>
        <v>3.7952396813352722E-9</v>
      </c>
    </row>
    <row r="777" spans="1:76" s="150" customFormat="1" x14ac:dyDescent="0.25">
      <c r="A777" s="150">
        <f t="shared" si="532"/>
        <v>773</v>
      </c>
      <c r="B777" s="150">
        <f t="shared" si="533"/>
        <v>65</v>
      </c>
      <c r="C777" s="150">
        <f t="shared" si="534"/>
        <v>5</v>
      </c>
      <c r="D777" s="150">
        <f>IF(E777="","",Input!$C$4+B777-1)</f>
        <v>109</v>
      </c>
      <c r="E777" s="150">
        <f>IF(OR(AND(C776=12,D776=Input!$C$6),E776=""),"",1)</f>
        <v>1</v>
      </c>
      <c r="F777" s="150">
        <f>IF(E777="","",Input!$C$8+B777-1)</f>
        <v>2082</v>
      </c>
      <c r="G777" s="151">
        <f>IF(E777="","",MAX(0,Input!$C$9-B777))</f>
        <v>0</v>
      </c>
      <c r="H777" s="152">
        <f>IF(E777="","",Input!$C$3)</f>
        <v>100000</v>
      </c>
      <c r="I777" s="153">
        <f>IF(E777="","",HLOOKUP($B777,Input!$C$13:$BT$14,2))</f>
        <v>1000</v>
      </c>
      <c r="J777" s="154"/>
      <c r="K777" s="155">
        <f>IF($E777="","",INDEX(Input!$C$16:$CP$16,1,$B777))</f>
        <v>3.3059999999999999E-2</v>
      </c>
      <c r="L777" s="155">
        <f>IF($E777="","",Input!$C$37)</f>
        <v>1.4999999999999999E-2</v>
      </c>
      <c r="M777" s="155">
        <f t="shared" si="497"/>
        <v>4.8059999999999999E-2</v>
      </c>
      <c r="N777" s="155">
        <f t="shared" si="498"/>
        <v>3.9193971737812028E-3</v>
      </c>
      <c r="O777" s="147">
        <f>IF($E777="","",MIN(VLOOKUP(IF($B777&lt;=Input!$C$7,$B777,26),'Mortality Tables'!$A$41:$CW$67,IF($B777&lt;=Input!$C$7+1,Input!$C$4+2,$D777-Input!$C$7+2),0)*IF(B777&gt;20,Input!$C$22,1)/1000,1))</f>
        <v>1</v>
      </c>
      <c r="P777" s="147">
        <f>IF($E777="","",MIN(VLOOKUP(IF($B777&lt;=Input!$C$7,$B777,26),'Mortality Tables'!$A$12:$CW$37,IF($B777&lt;=Input!$C$7+1,Input!$C$4+2,$D777-Input!$C$7+2),0)*IF(B777&gt;20,Input!$C$22,1)/1000,1))</f>
        <v>1</v>
      </c>
      <c r="Q777" s="155">
        <f>IF($E777="","",Input!$C$21)</f>
        <v>5.0000000000000001E-3</v>
      </c>
      <c r="R777" s="159">
        <f>IF($E777="","",(1-Q777)^($F777-Input!$C$20))</f>
        <v>0.72556640801860972</v>
      </c>
      <c r="S777" s="147">
        <f t="shared" si="500"/>
        <v>0.72556640801860972</v>
      </c>
      <c r="T777" s="147">
        <f t="shared" si="501"/>
        <v>0.10215140819694235</v>
      </c>
      <c r="U777" s="160">
        <f>IF($E777="","",IF($C777=12,INDEX(Input!$C$15:$CP$15,1,$B777),0))</f>
        <v>0</v>
      </c>
      <c r="V777" s="150">
        <f>IF(E777="","",IF(C777=1,IF($B777=1,Input!$C$33,Input!$C$34),0))</f>
        <v>0</v>
      </c>
      <c r="W777" s="156">
        <f>IF($E777="","",Input!$C$35)</f>
        <v>0.02</v>
      </c>
      <c r="X777" s="156">
        <f t="shared" si="499"/>
        <v>3.5514932432768775</v>
      </c>
      <c r="Y777" s="154"/>
      <c r="Z777" s="147">
        <f>IF($E777="","",VLOOKUP($D777,'Mortality Margins &amp; Grading'!$AB$5:$AF$125,3,0)*IF(Summary!$D$25="Included Margin",IF(AND($B777&gt;Input!$C$9,Summary!$D$31&lt;&gt;"Included Margin"),0,1),0))</f>
        <v>0.01</v>
      </c>
      <c r="AA777" s="147">
        <f>IF($E777="","",VLOOKUP($D777,'Mortality Margins &amp; Grading'!$AB$5:$AF$125,5,0)*IF(Summary!$D$25="Included Margin",IF(AND($B777&gt;Input!$C$9,Summary!$D$31&lt;&gt;"Included Margin"),0,1),0))</f>
        <v>5.2999999999999999E-2</v>
      </c>
      <c r="AB777" s="147">
        <f>IF($E777="","",IF(AND($B777&gt;Input!$C$9,Summary!$D$31&lt;&gt;"Included Margin"),1,IF(Summary!$D$25="Included Margin",VLOOKUP($B777,'Mortality Margins &amp; Grading'!$AI$5:$AR$125,MATCH('Mortality Margins &amp; Grading'!$AQ$4,'Mortality Margins &amp; Grading'!$AI$4:$AR$4,0),0),1)))</f>
        <v>0</v>
      </c>
      <c r="AC777" s="154"/>
      <c r="AD777" s="158">
        <f>IF(E777="","",Input!$C$48*IF(Summary!$D$30="Included Margin",IF(AND($B777&gt;Input!$C$9,Summary!$D$31&lt;&gt;"Included Margin"),0,1),0))</f>
        <v>-4.4999999999999997E-3</v>
      </c>
      <c r="AE777" s="159">
        <f>IF(E777="","",IF(Summary!$D$26="Included Margin",IF(AND($B777&gt;Input!$C$9,Summary!$D$31&lt;&gt;"Included Margin"),1,1/$R777),1))</f>
        <v>1.3782335964681973</v>
      </c>
      <c r="AF777" s="160">
        <f>IF(E777="","",IF(AND($B777&gt;=Input!$C$9,$C777=12,Summary!$D$31="Included Margin",$U777&gt;0),1/U777-1,IF($B777&gt;=Input!$C$9,0,Input!$C$45*IF(Summary!$D$27="Included Margin",1,0))))</f>
        <v>0</v>
      </c>
      <c r="AG777" s="160">
        <f>IF(E777="","",Input!$C$46*IF(Summary!$D$28="Included Margin",IF(AND($B777&gt;Input!$C$9,Summary!$D$31&lt;&gt;"Included Margin"),0,1),0))</f>
        <v>0.02</v>
      </c>
      <c r="AH777" s="158">
        <f>IF(E777="","",Input!$C$47*IF(Summary!$D$29="Included Margin",IF(AND($B777&gt;Input!$C$9,Summary!$D$31&lt;&gt;"Included Margin"),0,1),0))</f>
        <v>2.5000000000000001E-3</v>
      </c>
      <c r="AI777" s="154"/>
      <c r="AJ777" s="158">
        <f t="shared" si="522"/>
        <v>4.3560000000000001E-2</v>
      </c>
      <c r="AK777" s="155">
        <f t="shared" si="523"/>
        <v>3.5594820203890265E-3</v>
      </c>
      <c r="AL777" s="147">
        <f t="shared" si="524"/>
        <v>1</v>
      </c>
      <c r="AM777" s="147">
        <f t="shared" si="502"/>
        <v>1</v>
      </c>
      <c r="AN777" s="160">
        <f t="shared" si="525"/>
        <v>0</v>
      </c>
      <c r="AO777" s="161">
        <f t="shared" si="526"/>
        <v>0</v>
      </c>
      <c r="AP777" s="156">
        <f t="shared" si="503"/>
        <v>4.1538639436680294</v>
      </c>
      <c r="AQ777" s="152"/>
      <c r="AR777" s="162">
        <f t="shared" si="504"/>
        <v>99822.342084059332</v>
      </c>
      <c r="AS777" s="150">
        <f t="shared" si="527"/>
        <v>0</v>
      </c>
      <c r="AT777" s="163">
        <f t="shared" si="505"/>
        <v>0</v>
      </c>
      <c r="AU777" s="163">
        <f t="shared" si="506"/>
        <v>100000</v>
      </c>
      <c r="AV777" s="163">
        <f t="shared" si="528"/>
        <v>177.34173086188073</v>
      </c>
      <c r="AW777" s="163">
        <f t="shared" si="507"/>
        <v>99822.658269138119</v>
      </c>
      <c r="AX777" s="163">
        <f t="shared" si="508"/>
        <v>0</v>
      </c>
      <c r="AY777" s="164">
        <f t="shared" si="529"/>
        <v>99822.342084059332</v>
      </c>
      <c r="AZ777" s="164">
        <f>IF($E777="","",IF(OR(AND($D777=Input!$C$6,$C777=12),$AN777=1),0,-AS778+AT778+AU778-AV778-AW778-AX778+AZ778))</f>
        <v>99822.658269138119</v>
      </c>
      <c r="BA777" s="154">
        <f t="shared" si="509"/>
        <v>0.31618507878738455</v>
      </c>
      <c r="BC777" s="147">
        <f t="shared" si="530"/>
        <v>7.9398688248624551E-14</v>
      </c>
      <c r="BD777" s="164">
        <f>IF(AND($C776=12,$D776=Input!$C$6),0,IF($E777="","",AT777+(AU777+BD778)/(1+$AK777)*MIN((1-AM777-AN777),1)))</f>
        <v>0</v>
      </c>
      <c r="BE777" s="164">
        <f t="shared" si="510"/>
        <v>0</v>
      </c>
      <c r="BF777" s="164">
        <f t="shared" si="531"/>
        <v>99822.658269138119</v>
      </c>
      <c r="BG777" s="164">
        <f t="shared" si="511"/>
        <v>7.9257881240602815E-9</v>
      </c>
      <c r="BH777" s="152"/>
      <c r="BI777" s="162">
        <f t="shared" si="512"/>
        <v>42916.924320215199</v>
      </c>
      <c r="BJ777" s="150">
        <f t="shared" si="513"/>
        <v>0</v>
      </c>
      <c r="BK777" s="163">
        <f t="shared" si="535"/>
        <v>0</v>
      </c>
      <c r="BL777" s="163">
        <f t="shared" si="514"/>
        <v>10215.140819694236</v>
      </c>
      <c r="BM777" s="163">
        <f t="shared" si="536"/>
        <v>148.18987485878992</v>
      </c>
      <c r="BN777" s="163">
        <f t="shared" si="515"/>
        <v>3737.462050692197</v>
      </c>
      <c r="BO777" s="163">
        <f t="shared" si="516"/>
        <v>0</v>
      </c>
      <c r="BP777" s="164">
        <f t="shared" si="537"/>
        <v>36587.435426071956</v>
      </c>
      <c r="BQ777" s="164">
        <f>IF($E777="","",IF(AND($D777=Input!$C$6,$C777=12),0,-BJ778+BK778+BL778-BM778-BN778-BO778+BQ778))</f>
        <v>36587.47457975884</v>
      </c>
      <c r="BR777" s="161">
        <f t="shared" si="517"/>
        <v>0</v>
      </c>
      <c r="BT777" s="147">
        <f t="shared" si="518"/>
        <v>7.9398688248624551E-14</v>
      </c>
      <c r="BU777" s="164">
        <f>IF(AND($C776=12,$D776=Input!$C$6),0,IF($E777="","",BK777+(BL777+BU778)/(1+$AK777)*MIN((1-T777-U777),1)))</f>
        <v>81066.181460247622</v>
      </c>
      <c r="BV777" s="164">
        <f t="shared" si="519"/>
        <v>6.4365484692686281E-9</v>
      </c>
      <c r="BW777" s="164">
        <f t="shared" si="520"/>
        <v>36587.47457975884</v>
      </c>
      <c r="BX777" s="164">
        <f t="shared" si="521"/>
        <v>2.9049974879627476E-9</v>
      </c>
    </row>
    <row r="778" spans="1:76" s="150" customFormat="1" x14ac:dyDescent="0.25">
      <c r="A778" s="150">
        <f t="shared" si="532"/>
        <v>774</v>
      </c>
      <c r="B778" s="150">
        <f t="shared" si="533"/>
        <v>65</v>
      </c>
      <c r="C778" s="150">
        <f t="shared" si="534"/>
        <v>6</v>
      </c>
      <c r="D778" s="150">
        <f>IF(E778="","",Input!$C$4+B778-1)</f>
        <v>109</v>
      </c>
      <c r="E778" s="150">
        <f>IF(OR(AND(C777=12,D777=Input!$C$6),E777=""),"",1)</f>
        <v>1</v>
      </c>
      <c r="F778" s="150">
        <f>IF(E778="","",Input!$C$8+B778-1)</f>
        <v>2082</v>
      </c>
      <c r="G778" s="151">
        <f>IF(E778="","",MAX(0,Input!$C$9-B778))</f>
        <v>0</v>
      </c>
      <c r="H778" s="152">
        <f>IF(E778="","",Input!$C$3)</f>
        <v>100000</v>
      </c>
      <c r="I778" s="153">
        <f>IF(E778="","",HLOOKUP($B778,Input!$C$13:$BT$14,2))</f>
        <v>1000</v>
      </c>
      <c r="J778" s="154"/>
      <c r="K778" s="155">
        <f>IF($E778="","",INDEX(Input!$C$16:$CP$16,1,$B778))</f>
        <v>3.3059999999999999E-2</v>
      </c>
      <c r="L778" s="155">
        <f>IF($E778="","",Input!$C$37)</f>
        <v>1.4999999999999999E-2</v>
      </c>
      <c r="M778" s="155">
        <f t="shared" si="497"/>
        <v>4.8059999999999999E-2</v>
      </c>
      <c r="N778" s="155">
        <f t="shared" si="498"/>
        <v>3.9193971737812028E-3</v>
      </c>
      <c r="O778" s="147">
        <f>IF($E778="","",MIN(VLOOKUP(IF($B778&lt;=Input!$C$7,$B778,26),'Mortality Tables'!$A$41:$CW$67,IF($B778&lt;=Input!$C$7+1,Input!$C$4+2,$D778-Input!$C$7+2),0)*IF(B778&gt;20,Input!$C$22,1)/1000,1))</f>
        <v>1</v>
      </c>
      <c r="P778" s="147">
        <f>IF($E778="","",MIN(VLOOKUP(IF($B778&lt;=Input!$C$7,$B778,26),'Mortality Tables'!$A$12:$CW$37,IF($B778&lt;=Input!$C$7+1,Input!$C$4+2,$D778-Input!$C$7+2),0)*IF(B778&gt;20,Input!$C$22,1)/1000,1))</f>
        <v>1</v>
      </c>
      <c r="Q778" s="155">
        <f>IF($E778="","",Input!$C$21)</f>
        <v>5.0000000000000001E-3</v>
      </c>
      <c r="R778" s="159">
        <f>IF($E778="","",(1-Q778)^($F778-Input!$C$20))</f>
        <v>0.72556640801860972</v>
      </c>
      <c r="S778" s="147">
        <f t="shared" si="500"/>
        <v>0.72556640801860972</v>
      </c>
      <c r="T778" s="147">
        <f t="shared" si="501"/>
        <v>0.10215140819694235</v>
      </c>
      <c r="U778" s="160">
        <f>IF($E778="","",IF($C778=12,INDEX(Input!$C$15:$CP$15,1,$B778),0))</f>
        <v>0</v>
      </c>
      <c r="V778" s="150">
        <f>IF(E778="","",IF(C778=1,IF($B778=1,Input!$C$33,Input!$C$34),0))</f>
        <v>0</v>
      </c>
      <c r="W778" s="156">
        <f>IF($E778="","",Input!$C$35)</f>
        <v>0.02</v>
      </c>
      <c r="X778" s="156">
        <f t="shared" si="499"/>
        <v>3.5514932432768775</v>
      </c>
      <c r="Y778" s="154"/>
      <c r="Z778" s="147">
        <f>IF($E778="","",VLOOKUP($D778,'Mortality Margins &amp; Grading'!$AB$5:$AF$125,3,0)*IF(Summary!$D$25="Included Margin",IF(AND($B778&gt;Input!$C$9,Summary!$D$31&lt;&gt;"Included Margin"),0,1),0))</f>
        <v>0.01</v>
      </c>
      <c r="AA778" s="147">
        <f>IF($E778="","",VLOOKUP($D778,'Mortality Margins &amp; Grading'!$AB$5:$AF$125,5,0)*IF(Summary!$D$25="Included Margin",IF(AND($B778&gt;Input!$C$9,Summary!$D$31&lt;&gt;"Included Margin"),0,1),0))</f>
        <v>5.2999999999999999E-2</v>
      </c>
      <c r="AB778" s="147">
        <f>IF($E778="","",IF(AND($B778&gt;Input!$C$9,Summary!$D$31&lt;&gt;"Included Margin"),1,IF(Summary!$D$25="Included Margin",VLOOKUP($B778,'Mortality Margins &amp; Grading'!$AI$5:$AR$125,MATCH('Mortality Margins &amp; Grading'!$AQ$4,'Mortality Margins &amp; Grading'!$AI$4:$AR$4,0),0),1)))</f>
        <v>0</v>
      </c>
      <c r="AC778" s="154"/>
      <c r="AD778" s="158">
        <f>IF(E778="","",Input!$C$48*IF(Summary!$D$30="Included Margin",IF(AND($B778&gt;Input!$C$9,Summary!$D$31&lt;&gt;"Included Margin"),0,1),0))</f>
        <v>-4.4999999999999997E-3</v>
      </c>
      <c r="AE778" s="159">
        <f>IF(E778="","",IF(Summary!$D$26="Included Margin",IF(AND($B778&gt;Input!$C$9,Summary!$D$31&lt;&gt;"Included Margin"),1,1/$R778),1))</f>
        <v>1.3782335964681973</v>
      </c>
      <c r="AF778" s="160">
        <f>IF(E778="","",IF(AND($B778&gt;=Input!$C$9,$C778=12,Summary!$D$31="Included Margin",$U778&gt;0),1/U778-1,IF($B778&gt;=Input!$C$9,0,Input!$C$45*IF(Summary!$D$27="Included Margin",1,0))))</f>
        <v>0</v>
      </c>
      <c r="AG778" s="160">
        <f>IF(E778="","",Input!$C$46*IF(Summary!$D$28="Included Margin",IF(AND($B778&gt;Input!$C$9,Summary!$D$31&lt;&gt;"Included Margin"),0,1),0))</f>
        <v>0.02</v>
      </c>
      <c r="AH778" s="158">
        <f>IF(E778="","",Input!$C$47*IF(Summary!$D$29="Included Margin",IF(AND($B778&gt;Input!$C$9,Summary!$D$31&lt;&gt;"Included Margin"),0,1),0))</f>
        <v>2.5000000000000001E-3</v>
      </c>
      <c r="AI778" s="154"/>
      <c r="AJ778" s="158">
        <f t="shared" si="522"/>
        <v>4.3560000000000001E-2</v>
      </c>
      <c r="AK778" s="155">
        <f t="shared" si="523"/>
        <v>3.5594820203890265E-3</v>
      </c>
      <c r="AL778" s="147">
        <f t="shared" si="524"/>
        <v>1</v>
      </c>
      <c r="AM778" s="147">
        <f t="shared" si="502"/>
        <v>1</v>
      </c>
      <c r="AN778" s="160">
        <f t="shared" si="525"/>
        <v>0</v>
      </c>
      <c r="AO778" s="161">
        <f t="shared" si="526"/>
        <v>0</v>
      </c>
      <c r="AP778" s="156">
        <f t="shared" si="503"/>
        <v>4.1538639436680294</v>
      </c>
      <c r="AQ778" s="152"/>
      <c r="AR778" s="162">
        <f t="shared" si="504"/>
        <v>99822.342084059332</v>
      </c>
      <c r="AS778" s="150">
        <f t="shared" si="527"/>
        <v>0</v>
      </c>
      <c r="AT778" s="163">
        <f t="shared" si="505"/>
        <v>0</v>
      </c>
      <c r="AU778" s="163">
        <f t="shared" si="506"/>
        <v>100000</v>
      </c>
      <c r="AV778" s="163">
        <f t="shared" si="528"/>
        <v>177.34173086188073</v>
      </c>
      <c r="AW778" s="163">
        <f t="shared" si="507"/>
        <v>99822.658269138119</v>
      </c>
      <c r="AX778" s="163">
        <f t="shared" si="508"/>
        <v>0</v>
      </c>
      <c r="AY778" s="165">
        <f t="shared" si="529"/>
        <v>99822.342084059332</v>
      </c>
      <c r="AZ778" s="164">
        <f>IF($E778="","",IF(OR(AND($D778=Input!$C$6,$C778=12),$AN778=1),0,-AS779+AT779+AU779-AV779-AW779-AX779+AZ779))</f>
        <v>99822.658269138119</v>
      </c>
      <c r="BA778" s="154">
        <f t="shared" si="509"/>
        <v>0.31618507878738455</v>
      </c>
      <c r="BC778" s="147">
        <f t="shared" si="530"/>
        <v>7.128800043503754E-14</v>
      </c>
      <c r="BD778" s="164">
        <f>IF(AND($C777=12,$D777=Input!$C$6),0,IF($E778="","",AT778+(AU778+BD779)/(1+$AK778)*MIN((1-AM778-AN778),1)))</f>
        <v>0</v>
      </c>
      <c r="BE778" s="164">
        <f t="shared" si="510"/>
        <v>0</v>
      </c>
      <c r="BF778" s="164">
        <f t="shared" si="531"/>
        <v>99822.658269138119</v>
      </c>
      <c r="BG778" s="164">
        <f t="shared" si="511"/>
        <v>7.1161577061169217E-9</v>
      </c>
      <c r="BH778" s="152"/>
      <c r="BI778" s="162">
        <f t="shared" si="512"/>
        <v>36587.435426071956</v>
      </c>
      <c r="BJ778" s="150">
        <f t="shared" si="513"/>
        <v>0</v>
      </c>
      <c r="BK778" s="163">
        <f t="shared" si="535"/>
        <v>0</v>
      </c>
      <c r="BL778" s="163">
        <f t="shared" si="514"/>
        <v>10215.140819694236</v>
      </c>
      <c r="BM778" s="163">
        <f t="shared" si="536"/>
        <v>123.38209397560539</v>
      </c>
      <c r="BN778" s="163">
        <f t="shared" si="515"/>
        <v>3014.5112554455545</v>
      </c>
      <c r="BO778" s="163">
        <f t="shared" si="516"/>
        <v>0</v>
      </c>
      <c r="BP778" s="164">
        <f t="shared" si="537"/>
        <v>29510.18795579888</v>
      </c>
      <c r="BQ778" s="164">
        <f>IF($E778="","",IF(AND($D778=Input!$C$6,$C778=12),0,-BJ779+BK779+BL779-BM779-BN779-BO779+BQ779))</f>
        <v>29510.227109485764</v>
      </c>
      <c r="BR778" s="161">
        <f t="shared" si="517"/>
        <v>0</v>
      </c>
      <c r="BT778" s="147">
        <f t="shared" si="518"/>
        <v>7.128800043503754E-14</v>
      </c>
      <c r="BU778" s="164">
        <f>IF(AND($C777=12,$D777=Input!$C$6),0,IF($E778="","",BK778+(BL778+BU779)/(1+$AK778)*MIN((1-T778-U778),1)))</f>
        <v>80395.610055618221</v>
      </c>
      <c r="BV778" s="164">
        <f t="shared" si="519"/>
        <v>5.7312422846200204E-9</v>
      </c>
      <c r="BW778" s="164">
        <f t="shared" si="520"/>
        <v>29510.227109485764</v>
      </c>
      <c r="BX778" s="164">
        <f t="shared" si="521"/>
        <v>2.1037250830190779E-9</v>
      </c>
    </row>
    <row r="779" spans="1:76" s="150" customFormat="1" x14ac:dyDescent="0.25">
      <c r="A779" s="150">
        <f t="shared" si="532"/>
        <v>775</v>
      </c>
      <c r="B779" s="150">
        <f t="shared" si="533"/>
        <v>65</v>
      </c>
      <c r="C779" s="150">
        <f t="shared" si="534"/>
        <v>7</v>
      </c>
      <c r="D779" s="150">
        <f>IF(E779="","",Input!$C$4+B779-1)</f>
        <v>109</v>
      </c>
      <c r="E779" s="150">
        <f>IF(OR(AND(C778=12,D778=Input!$C$6),E778=""),"",1)</f>
        <v>1</v>
      </c>
      <c r="F779" s="150">
        <f>IF(E779="","",Input!$C$8+B779-1)</f>
        <v>2082</v>
      </c>
      <c r="G779" s="151">
        <f>IF(E779="","",MAX(0,Input!$C$9-B779))</f>
        <v>0</v>
      </c>
      <c r="H779" s="152">
        <f>IF(E779="","",Input!$C$3)</f>
        <v>100000</v>
      </c>
      <c r="I779" s="153">
        <f>IF(E779="","",HLOOKUP($B779,Input!$C$13:$BT$14,2))</f>
        <v>1000</v>
      </c>
      <c r="J779" s="154"/>
      <c r="K779" s="155">
        <f>IF($E779="","",INDEX(Input!$C$16:$CP$16,1,$B779))</f>
        <v>3.3059999999999999E-2</v>
      </c>
      <c r="L779" s="155">
        <f>IF($E779="","",Input!$C$37)</f>
        <v>1.4999999999999999E-2</v>
      </c>
      <c r="M779" s="155">
        <f t="shared" si="497"/>
        <v>4.8059999999999999E-2</v>
      </c>
      <c r="N779" s="155">
        <f t="shared" si="498"/>
        <v>3.9193971737812028E-3</v>
      </c>
      <c r="O779" s="147">
        <f>IF($E779="","",MIN(VLOOKUP(IF($B779&lt;=Input!$C$7,$B779,26),'Mortality Tables'!$A$41:$CW$67,IF($B779&lt;=Input!$C$7+1,Input!$C$4+2,$D779-Input!$C$7+2),0)*IF(B779&gt;20,Input!$C$22,1)/1000,1))</f>
        <v>1</v>
      </c>
      <c r="P779" s="147">
        <f>IF($E779="","",MIN(VLOOKUP(IF($B779&lt;=Input!$C$7,$B779,26),'Mortality Tables'!$A$12:$CW$37,IF($B779&lt;=Input!$C$7+1,Input!$C$4+2,$D779-Input!$C$7+2),0)*IF(B779&gt;20,Input!$C$22,1)/1000,1))</f>
        <v>1</v>
      </c>
      <c r="Q779" s="155">
        <f>IF($E779="","",Input!$C$21)</f>
        <v>5.0000000000000001E-3</v>
      </c>
      <c r="R779" s="159">
        <f>IF($E779="","",(1-Q779)^($F779-Input!$C$20))</f>
        <v>0.72556640801860972</v>
      </c>
      <c r="S779" s="147">
        <f t="shared" si="500"/>
        <v>0.72556640801860972</v>
      </c>
      <c r="T779" s="147">
        <f t="shared" si="501"/>
        <v>0.10215140819694235</v>
      </c>
      <c r="U779" s="160">
        <f>IF($E779="","",IF($C779=12,INDEX(Input!$C$15:$CP$15,1,$B779),0))</f>
        <v>0</v>
      </c>
      <c r="V779" s="150">
        <f>IF(E779="","",IF(C779=1,IF($B779=1,Input!$C$33,Input!$C$34),0))</f>
        <v>0</v>
      </c>
      <c r="W779" s="156">
        <f>IF($E779="","",Input!$C$35)</f>
        <v>0.02</v>
      </c>
      <c r="X779" s="156">
        <f t="shared" si="499"/>
        <v>3.5514932432768775</v>
      </c>
      <c r="Y779" s="154"/>
      <c r="Z779" s="147">
        <f>IF($E779="","",VLOOKUP($D779,'Mortality Margins &amp; Grading'!$AB$5:$AF$125,3,0)*IF(Summary!$D$25="Included Margin",IF(AND($B779&gt;Input!$C$9,Summary!$D$31&lt;&gt;"Included Margin"),0,1),0))</f>
        <v>0.01</v>
      </c>
      <c r="AA779" s="147">
        <f>IF($E779="","",VLOOKUP($D779,'Mortality Margins &amp; Grading'!$AB$5:$AF$125,5,0)*IF(Summary!$D$25="Included Margin",IF(AND($B779&gt;Input!$C$9,Summary!$D$31&lt;&gt;"Included Margin"),0,1),0))</f>
        <v>5.2999999999999999E-2</v>
      </c>
      <c r="AB779" s="147">
        <f>IF($E779="","",IF(AND($B779&gt;Input!$C$9,Summary!$D$31&lt;&gt;"Included Margin"),1,IF(Summary!$D$25="Included Margin",VLOOKUP($B779,'Mortality Margins &amp; Grading'!$AI$5:$AR$125,MATCH('Mortality Margins &amp; Grading'!$AQ$4,'Mortality Margins &amp; Grading'!$AI$4:$AR$4,0),0),1)))</f>
        <v>0</v>
      </c>
      <c r="AC779" s="154"/>
      <c r="AD779" s="158">
        <f>IF(E779="","",Input!$C$48*IF(Summary!$D$30="Included Margin",IF(AND($B779&gt;Input!$C$9,Summary!$D$31&lt;&gt;"Included Margin"),0,1),0))</f>
        <v>-4.4999999999999997E-3</v>
      </c>
      <c r="AE779" s="159">
        <f>IF(E779="","",IF(Summary!$D$26="Included Margin",IF(AND($B779&gt;Input!$C$9,Summary!$D$31&lt;&gt;"Included Margin"),1,1/$R779),1))</f>
        <v>1.3782335964681973</v>
      </c>
      <c r="AF779" s="160">
        <f>IF(E779="","",IF(AND($B779&gt;=Input!$C$9,$C779=12,Summary!$D$31="Included Margin",$U779&gt;0),1/U779-1,IF($B779&gt;=Input!$C$9,0,Input!$C$45*IF(Summary!$D$27="Included Margin",1,0))))</f>
        <v>0</v>
      </c>
      <c r="AG779" s="160">
        <f>IF(E779="","",Input!$C$46*IF(Summary!$D$28="Included Margin",IF(AND($B779&gt;Input!$C$9,Summary!$D$31&lt;&gt;"Included Margin"),0,1),0))</f>
        <v>0.02</v>
      </c>
      <c r="AH779" s="158">
        <f>IF(E779="","",Input!$C$47*IF(Summary!$D$29="Included Margin",IF(AND($B779&gt;Input!$C$9,Summary!$D$31&lt;&gt;"Included Margin"),0,1),0))</f>
        <v>2.5000000000000001E-3</v>
      </c>
      <c r="AI779" s="154"/>
      <c r="AJ779" s="158">
        <f t="shared" si="522"/>
        <v>4.3560000000000001E-2</v>
      </c>
      <c r="AK779" s="155">
        <f t="shared" si="523"/>
        <v>3.5594820203890265E-3</v>
      </c>
      <c r="AL779" s="147">
        <f t="shared" si="524"/>
        <v>1</v>
      </c>
      <c r="AM779" s="147">
        <f t="shared" si="502"/>
        <v>1</v>
      </c>
      <c r="AN779" s="160">
        <f t="shared" si="525"/>
        <v>0</v>
      </c>
      <c r="AO779" s="161">
        <f t="shared" si="526"/>
        <v>0</v>
      </c>
      <c r="AP779" s="156">
        <f t="shared" si="503"/>
        <v>4.1538639436680294</v>
      </c>
      <c r="AQ779" s="152"/>
      <c r="AR779" s="162">
        <f t="shared" si="504"/>
        <v>99822.342084059332</v>
      </c>
      <c r="AS779" s="150">
        <f t="shared" si="527"/>
        <v>0</v>
      </c>
      <c r="AT779" s="163">
        <f t="shared" si="505"/>
        <v>0</v>
      </c>
      <c r="AU779" s="163">
        <f t="shared" si="506"/>
        <v>100000</v>
      </c>
      <c r="AV779" s="163">
        <f t="shared" si="528"/>
        <v>177.34173086188073</v>
      </c>
      <c r="AW779" s="163">
        <f t="shared" si="507"/>
        <v>99822.658269138119</v>
      </c>
      <c r="AX779" s="163">
        <f t="shared" si="508"/>
        <v>0</v>
      </c>
      <c r="AY779" s="164">
        <f t="shared" si="529"/>
        <v>99822.342084059332</v>
      </c>
      <c r="AZ779" s="164">
        <f>IF($E779="","",IF(OR(AND($D779=Input!$C$6,$C779=12),$AN779=1),0,-AS780+AT780+AU780-AV780-AW780-AX780+AZ780))</f>
        <v>99822.658269138119</v>
      </c>
      <c r="BA779" s="154">
        <f t="shared" si="509"/>
        <v>0.31618507878738455</v>
      </c>
      <c r="BC779" s="147">
        <f t="shared" si="530"/>
        <v>6.400583080305422E-14</v>
      </c>
      <c r="BD779" s="164">
        <f>IF(AND($C778=12,$D778=Input!$C$6),0,IF($E779="","",AT779+(AU779+BD780)/(1+$AK779)*MIN((1-AM779-AN779),1)))</f>
        <v>0</v>
      </c>
      <c r="BE779" s="164">
        <f t="shared" si="510"/>
        <v>0</v>
      </c>
      <c r="BF779" s="164">
        <f t="shared" si="531"/>
        <v>99822.658269138119</v>
      </c>
      <c r="BG779" s="164">
        <f t="shared" si="511"/>
        <v>6.389232175485556E-9</v>
      </c>
      <c r="BH779" s="152"/>
      <c r="BI779" s="162">
        <f t="shared" si="512"/>
        <v>29510.18795579888</v>
      </c>
      <c r="BJ779" s="150">
        <f t="shared" si="513"/>
        <v>0</v>
      </c>
      <c r="BK779" s="163">
        <f t="shared" si="535"/>
        <v>0</v>
      </c>
      <c r="BL779" s="163">
        <f t="shared" si="514"/>
        <v>10215.140819694236</v>
      </c>
      <c r="BM779" s="163">
        <f t="shared" si="536"/>
        <v>95.643550242466929</v>
      </c>
      <c r="BN779" s="163">
        <f t="shared" si="515"/>
        <v>2206.1518804057196</v>
      </c>
      <c r="BO779" s="163">
        <f t="shared" si="516"/>
        <v>0</v>
      </c>
      <c r="BP779" s="164">
        <f t="shared" si="537"/>
        <v>21596.842566752832</v>
      </c>
      <c r="BQ779" s="164">
        <f>IF($E779="","",IF(AND($D779=Input!$C$6,$C779=12),0,-BJ780+BK780+BL780-BM780-BN780-BO780+BQ780))</f>
        <v>21596.881720439713</v>
      </c>
      <c r="BR779" s="161">
        <f t="shared" si="517"/>
        <v>0</v>
      </c>
      <c r="BT779" s="147">
        <f t="shared" si="518"/>
        <v>6.400583080305422E-14</v>
      </c>
      <c r="BU779" s="164">
        <f>IF(AND($C778=12,$D778=Input!$C$6),0,IF($E779="","",BK779+(BL779+BU780)/(1+$AK779)*MIN((1-T779-U779),1)))</f>
        <v>79646.086920391012</v>
      </c>
      <c r="BV779" s="164">
        <f t="shared" si="519"/>
        <v>5.0978139635518967E-9</v>
      </c>
      <c r="BW779" s="164">
        <f t="shared" si="520"/>
        <v>21596.881720439713</v>
      </c>
      <c r="BX779" s="164">
        <f t="shared" si="521"/>
        <v>1.3823263572720388E-9</v>
      </c>
    </row>
    <row r="780" spans="1:76" s="150" customFormat="1" x14ac:dyDescent="0.25">
      <c r="A780" s="150">
        <f t="shared" si="532"/>
        <v>776</v>
      </c>
      <c r="B780" s="150">
        <f t="shared" si="533"/>
        <v>65</v>
      </c>
      <c r="C780" s="150">
        <f t="shared" si="534"/>
        <v>8</v>
      </c>
      <c r="D780" s="150">
        <f>IF(E780="","",Input!$C$4+B780-1)</f>
        <v>109</v>
      </c>
      <c r="E780" s="150">
        <f>IF(OR(AND(C779=12,D779=Input!$C$6),E779=""),"",1)</f>
        <v>1</v>
      </c>
      <c r="F780" s="150">
        <f>IF(E780="","",Input!$C$8+B780-1)</f>
        <v>2082</v>
      </c>
      <c r="G780" s="151">
        <f>IF(E780="","",MAX(0,Input!$C$9-B780))</f>
        <v>0</v>
      </c>
      <c r="H780" s="152">
        <f>IF(E780="","",Input!$C$3)</f>
        <v>100000</v>
      </c>
      <c r="I780" s="153">
        <f>IF(E780="","",HLOOKUP($B780,Input!$C$13:$BT$14,2))</f>
        <v>1000</v>
      </c>
      <c r="J780" s="154"/>
      <c r="K780" s="155">
        <f>IF($E780="","",INDEX(Input!$C$16:$CP$16,1,$B780))</f>
        <v>3.3059999999999999E-2</v>
      </c>
      <c r="L780" s="155">
        <f>IF($E780="","",Input!$C$37)</f>
        <v>1.4999999999999999E-2</v>
      </c>
      <c r="M780" s="155">
        <f t="shared" si="497"/>
        <v>4.8059999999999999E-2</v>
      </c>
      <c r="N780" s="155">
        <f t="shared" si="498"/>
        <v>3.9193971737812028E-3</v>
      </c>
      <c r="O780" s="147">
        <f>IF($E780="","",MIN(VLOOKUP(IF($B780&lt;=Input!$C$7,$B780,26),'Mortality Tables'!$A$41:$CW$67,IF($B780&lt;=Input!$C$7+1,Input!$C$4+2,$D780-Input!$C$7+2),0)*IF(B780&gt;20,Input!$C$22,1)/1000,1))</f>
        <v>1</v>
      </c>
      <c r="P780" s="147">
        <f>IF($E780="","",MIN(VLOOKUP(IF($B780&lt;=Input!$C$7,$B780,26),'Mortality Tables'!$A$12:$CW$37,IF($B780&lt;=Input!$C$7+1,Input!$C$4+2,$D780-Input!$C$7+2),0)*IF(B780&gt;20,Input!$C$22,1)/1000,1))</f>
        <v>1</v>
      </c>
      <c r="Q780" s="155">
        <f>IF($E780="","",Input!$C$21)</f>
        <v>5.0000000000000001E-3</v>
      </c>
      <c r="R780" s="159">
        <f>IF($E780="","",(1-Q780)^($F780-Input!$C$20))</f>
        <v>0.72556640801860972</v>
      </c>
      <c r="S780" s="147">
        <f t="shared" si="500"/>
        <v>0.72556640801860972</v>
      </c>
      <c r="T780" s="147">
        <f t="shared" si="501"/>
        <v>0.10215140819694235</v>
      </c>
      <c r="U780" s="160">
        <f>IF($E780="","",IF($C780=12,INDEX(Input!$C$15:$CP$15,1,$B780),0))</f>
        <v>0</v>
      </c>
      <c r="V780" s="150">
        <f>IF(E780="","",IF(C780=1,IF($B780=1,Input!$C$33,Input!$C$34),0))</f>
        <v>0</v>
      </c>
      <c r="W780" s="156">
        <f>IF($E780="","",Input!$C$35)</f>
        <v>0.02</v>
      </c>
      <c r="X780" s="156">
        <f t="shared" si="499"/>
        <v>3.5514932432768775</v>
      </c>
      <c r="Y780" s="154"/>
      <c r="Z780" s="147">
        <f>IF($E780="","",VLOOKUP($D780,'Mortality Margins &amp; Grading'!$AB$5:$AF$125,3,0)*IF(Summary!$D$25="Included Margin",IF(AND($B780&gt;Input!$C$9,Summary!$D$31&lt;&gt;"Included Margin"),0,1),0))</f>
        <v>0.01</v>
      </c>
      <c r="AA780" s="147">
        <f>IF($E780="","",VLOOKUP($D780,'Mortality Margins &amp; Grading'!$AB$5:$AF$125,5,0)*IF(Summary!$D$25="Included Margin",IF(AND($B780&gt;Input!$C$9,Summary!$D$31&lt;&gt;"Included Margin"),0,1),0))</f>
        <v>5.2999999999999999E-2</v>
      </c>
      <c r="AB780" s="147">
        <f>IF($E780="","",IF(AND($B780&gt;Input!$C$9,Summary!$D$31&lt;&gt;"Included Margin"),1,IF(Summary!$D$25="Included Margin",VLOOKUP($B780,'Mortality Margins &amp; Grading'!$AI$5:$AR$125,MATCH('Mortality Margins &amp; Grading'!$AQ$4,'Mortality Margins &amp; Grading'!$AI$4:$AR$4,0),0),1)))</f>
        <v>0</v>
      </c>
      <c r="AC780" s="154"/>
      <c r="AD780" s="158">
        <f>IF(E780="","",Input!$C$48*IF(Summary!$D$30="Included Margin",IF(AND($B780&gt;Input!$C$9,Summary!$D$31&lt;&gt;"Included Margin"),0,1),0))</f>
        <v>-4.4999999999999997E-3</v>
      </c>
      <c r="AE780" s="159">
        <f>IF(E780="","",IF(Summary!$D$26="Included Margin",IF(AND($B780&gt;Input!$C$9,Summary!$D$31&lt;&gt;"Included Margin"),1,1/$R780),1))</f>
        <v>1.3782335964681973</v>
      </c>
      <c r="AF780" s="160">
        <f>IF(E780="","",IF(AND($B780&gt;=Input!$C$9,$C780=12,Summary!$D$31="Included Margin",$U780&gt;0),1/U780-1,IF($B780&gt;=Input!$C$9,0,Input!$C$45*IF(Summary!$D$27="Included Margin",1,0))))</f>
        <v>0</v>
      </c>
      <c r="AG780" s="160">
        <f>IF(E780="","",Input!$C$46*IF(Summary!$D$28="Included Margin",IF(AND($B780&gt;Input!$C$9,Summary!$D$31&lt;&gt;"Included Margin"),0,1),0))</f>
        <v>0.02</v>
      </c>
      <c r="AH780" s="158">
        <f>IF(E780="","",Input!$C$47*IF(Summary!$D$29="Included Margin",IF(AND($B780&gt;Input!$C$9,Summary!$D$31&lt;&gt;"Included Margin"),0,1),0))</f>
        <v>2.5000000000000001E-3</v>
      </c>
      <c r="AI780" s="154"/>
      <c r="AJ780" s="158">
        <f t="shared" si="522"/>
        <v>4.3560000000000001E-2</v>
      </c>
      <c r="AK780" s="155">
        <f t="shared" si="523"/>
        <v>3.5594820203890265E-3</v>
      </c>
      <c r="AL780" s="147">
        <f t="shared" si="524"/>
        <v>1</v>
      </c>
      <c r="AM780" s="147">
        <f t="shared" si="502"/>
        <v>1</v>
      </c>
      <c r="AN780" s="160">
        <f t="shared" si="525"/>
        <v>0</v>
      </c>
      <c r="AO780" s="161">
        <f t="shared" si="526"/>
        <v>0</v>
      </c>
      <c r="AP780" s="156">
        <f t="shared" si="503"/>
        <v>4.1538639436680294</v>
      </c>
      <c r="AQ780" s="152"/>
      <c r="AR780" s="162">
        <f t="shared" si="504"/>
        <v>99822.342084059332</v>
      </c>
      <c r="AS780" s="150">
        <f t="shared" si="527"/>
        <v>0</v>
      </c>
      <c r="AT780" s="163">
        <f t="shared" si="505"/>
        <v>0</v>
      </c>
      <c r="AU780" s="163">
        <f t="shared" si="506"/>
        <v>100000</v>
      </c>
      <c r="AV780" s="163">
        <f t="shared" si="528"/>
        <v>177.34173086188073</v>
      </c>
      <c r="AW780" s="163">
        <f t="shared" si="507"/>
        <v>99822.658269138119</v>
      </c>
      <c r="AX780" s="163">
        <f t="shared" si="508"/>
        <v>0</v>
      </c>
      <c r="AY780" s="165">
        <f t="shared" si="529"/>
        <v>99822.342084059332</v>
      </c>
      <c r="AZ780" s="164">
        <f>IF($E780="","",IF(OR(AND($D780=Input!$C$6,$C780=12),$AN780=1),0,-AS781+AT781+AU781-AV781-AW781-AX781+AZ781))</f>
        <v>99822.658269138119</v>
      </c>
      <c r="BA780" s="154">
        <f t="shared" si="509"/>
        <v>0.31618507878738455</v>
      </c>
      <c r="BC780" s="147">
        <f t="shared" si="530"/>
        <v>5.7467545053707001E-14</v>
      </c>
      <c r="BD780" s="164">
        <f>IF(AND($C779=12,$D779=Input!$C$6),0,IF($E780="","",AT780+(AU780+BD781)/(1+$AK780)*MIN((1-AM780-AN780),1)))</f>
        <v>0</v>
      </c>
      <c r="BE780" s="164">
        <f t="shared" si="510"/>
        <v>0</v>
      </c>
      <c r="BF780" s="164">
        <f t="shared" si="531"/>
        <v>99822.658269138119</v>
      </c>
      <c r="BG780" s="164">
        <f t="shared" si="511"/>
        <v>5.7365631114624924E-9</v>
      </c>
      <c r="BH780" s="152"/>
      <c r="BI780" s="162">
        <f t="shared" si="512"/>
        <v>21596.842566752828</v>
      </c>
      <c r="BJ780" s="150">
        <f t="shared" si="513"/>
        <v>0</v>
      </c>
      <c r="BK780" s="163">
        <f t="shared" si="535"/>
        <v>0</v>
      </c>
      <c r="BL780" s="163">
        <f t="shared" si="514"/>
        <v>10215.140819694236</v>
      </c>
      <c r="BM780" s="163">
        <f t="shared" si="536"/>
        <v>64.628006689485318</v>
      </c>
      <c r="BN780" s="163">
        <f t="shared" si="515"/>
        <v>1302.2938536753361</v>
      </c>
      <c r="BO780" s="163">
        <f t="shared" si="516"/>
        <v>0</v>
      </c>
      <c r="BP780" s="164">
        <f t="shared" si="537"/>
        <v>12748.623607423413</v>
      </c>
      <c r="BQ780" s="164">
        <f>IF($E780="","",IF(AND($D780=Input!$C$6,$C780=12),0,-BJ781+BK781+BL781-BM781-BN781-BO781+BQ781))</f>
        <v>12748.662761110298</v>
      </c>
      <c r="BR780" s="161">
        <f t="shared" si="517"/>
        <v>0</v>
      </c>
      <c r="BT780" s="147">
        <f t="shared" si="518"/>
        <v>5.7467545053707001E-14</v>
      </c>
      <c r="BU780" s="164">
        <f>IF(AND($C779=12,$D779=Input!$C$6),0,IF($E780="","",BK780+(BL780+BU781)/(1+$AK780)*MIN((1-T780-U780),1)))</f>
        <v>78808.3164363494</v>
      </c>
      <c r="BV780" s="164">
        <f t="shared" si="519"/>
        <v>4.5289204754127071E-9</v>
      </c>
      <c r="BW780" s="164">
        <f t="shared" si="520"/>
        <v>12748.662761110298</v>
      </c>
      <c r="BX780" s="164">
        <f t="shared" si="521"/>
        <v>7.3263435159862272E-10</v>
      </c>
    </row>
    <row r="781" spans="1:76" s="150" customFormat="1" x14ac:dyDescent="0.25">
      <c r="A781" s="150">
        <f t="shared" si="532"/>
        <v>777</v>
      </c>
      <c r="B781" s="150">
        <f t="shared" si="533"/>
        <v>65</v>
      </c>
      <c r="C781" s="150">
        <f t="shared" si="534"/>
        <v>9</v>
      </c>
      <c r="D781" s="150">
        <f>IF(E781="","",Input!$C$4+B781-1)</f>
        <v>109</v>
      </c>
      <c r="E781" s="150">
        <f>IF(OR(AND(C780=12,D780=Input!$C$6),E780=""),"",1)</f>
        <v>1</v>
      </c>
      <c r="F781" s="150">
        <f>IF(E781="","",Input!$C$8+B781-1)</f>
        <v>2082</v>
      </c>
      <c r="G781" s="151">
        <f>IF(E781="","",MAX(0,Input!$C$9-B781))</f>
        <v>0</v>
      </c>
      <c r="H781" s="152">
        <f>IF(E781="","",Input!$C$3)</f>
        <v>100000</v>
      </c>
      <c r="I781" s="153">
        <f>IF(E781="","",HLOOKUP($B781,Input!$C$13:$BT$14,2))</f>
        <v>1000</v>
      </c>
      <c r="J781" s="154"/>
      <c r="K781" s="155">
        <f>IF($E781="","",INDEX(Input!$C$16:$CP$16,1,$B781))</f>
        <v>3.3059999999999999E-2</v>
      </c>
      <c r="L781" s="155">
        <f>IF($E781="","",Input!$C$37)</f>
        <v>1.4999999999999999E-2</v>
      </c>
      <c r="M781" s="155">
        <f t="shared" si="497"/>
        <v>4.8059999999999999E-2</v>
      </c>
      <c r="N781" s="155">
        <f t="shared" si="498"/>
        <v>3.9193971737812028E-3</v>
      </c>
      <c r="O781" s="147">
        <f>IF($E781="","",MIN(VLOOKUP(IF($B781&lt;=Input!$C$7,$B781,26),'Mortality Tables'!$A$41:$CW$67,IF($B781&lt;=Input!$C$7+1,Input!$C$4+2,$D781-Input!$C$7+2),0)*IF(B781&gt;20,Input!$C$22,1)/1000,1))</f>
        <v>1</v>
      </c>
      <c r="P781" s="147">
        <f>IF($E781="","",MIN(VLOOKUP(IF($B781&lt;=Input!$C$7,$B781,26),'Mortality Tables'!$A$12:$CW$37,IF($B781&lt;=Input!$C$7+1,Input!$C$4+2,$D781-Input!$C$7+2),0)*IF(B781&gt;20,Input!$C$22,1)/1000,1))</f>
        <v>1</v>
      </c>
      <c r="Q781" s="155">
        <f>IF($E781="","",Input!$C$21)</f>
        <v>5.0000000000000001E-3</v>
      </c>
      <c r="R781" s="159">
        <f>IF($E781="","",(1-Q781)^($F781-Input!$C$20))</f>
        <v>0.72556640801860972</v>
      </c>
      <c r="S781" s="147">
        <f t="shared" si="500"/>
        <v>0.72556640801860972</v>
      </c>
      <c r="T781" s="147">
        <f t="shared" si="501"/>
        <v>0.10215140819694235</v>
      </c>
      <c r="U781" s="160">
        <f>IF($E781="","",IF($C781=12,INDEX(Input!$C$15:$CP$15,1,$B781),0))</f>
        <v>0</v>
      </c>
      <c r="V781" s="150">
        <f>IF(E781="","",IF(C781=1,IF($B781=1,Input!$C$33,Input!$C$34),0))</f>
        <v>0</v>
      </c>
      <c r="W781" s="156">
        <f>IF($E781="","",Input!$C$35)</f>
        <v>0.02</v>
      </c>
      <c r="X781" s="156">
        <f t="shared" si="499"/>
        <v>3.5514932432768775</v>
      </c>
      <c r="Y781" s="154"/>
      <c r="Z781" s="147">
        <f>IF($E781="","",VLOOKUP($D781,'Mortality Margins &amp; Grading'!$AB$5:$AF$125,3,0)*IF(Summary!$D$25="Included Margin",IF(AND($B781&gt;Input!$C$9,Summary!$D$31&lt;&gt;"Included Margin"),0,1),0))</f>
        <v>0.01</v>
      </c>
      <c r="AA781" s="147">
        <f>IF($E781="","",VLOOKUP($D781,'Mortality Margins &amp; Grading'!$AB$5:$AF$125,5,0)*IF(Summary!$D$25="Included Margin",IF(AND($B781&gt;Input!$C$9,Summary!$D$31&lt;&gt;"Included Margin"),0,1),0))</f>
        <v>5.2999999999999999E-2</v>
      </c>
      <c r="AB781" s="147">
        <f>IF($E781="","",IF(AND($B781&gt;Input!$C$9,Summary!$D$31&lt;&gt;"Included Margin"),1,IF(Summary!$D$25="Included Margin",VLOOKUP($B781,'Mortality Margins &amp; Grading'!$AI$5:$AR$125,MATCH('Mortality Margins &amp; Grading'!$AQ$4,'Mortality Margins &amp; Grading'!$AI$4:$AR$4,0),0),1)))</f>
        <v>0</v>
      </c>
      <c r="AC781" s="154"/>
      <c r="AD781" s="158">
        <f>IF(E781="","",Input!$C$48*IF(Summary!$D$30="Included Margin",IF(AND($B781&gt;Input!$C$9,Summary!$D$31&lt;&gt;"Included Margin"),0,1),0))</f>
        <v>-4.4999999999999997E-3</v>
      </c>
      <c r="AE781" s="159">
        <f>IF(E781="","",IF(Summary!$D$26="Included Margin",IF(AND($B781&gt;Input!$C$9,Summary!$D$31&lt;&gt;"Included Margin"),1,1/$R781),1))</f>
        <v>1.3782335964681973</v>
      </c>
      <c r="AF781" s="160">
        <f>IF(E781="","",IF(AND($B781&gt;=Input!$C$9,$C781=12,Summary!$D$31="Included Margin",$U781&gt;0),1/U781-1,IF($B781&gt;=Input!$C$9,0,Input!$C$45*IF(Summary!$D$27="Included Margin",1,0))))</f>
        <v>0</v>
      </c>
      <c r="AG781" s="160">
        <f>IF(E781="","",Input!$C$46*IF(Summary!$D$28="Included Margin",IF(AND($B781&gt;Input!$C$9,Summary!$D$31&lt;&gt;"Included Margin"),0,1),0))</f>
        <v>0.02</v>
      </c>
      <c r="AH781" s="158">
        <f>IF(E781="","",Input!$C$47*IF(Summary!$D$29="Included Margin",IF(AND($B781&gt;Input!$C$9,Summary!$D$31&lt;&gt;"Included Margin"),0,1),0))</f>
        <v>2.5000000000000001E-3</v>
      </c>
      <c r="AI781" s="154"/>
      <c r="AJ781" s="158">
        <f t="shared" si="522"/>
        <v>4.3560000000000001E-2</v>
      </c>
      <c r="AK781" s="155">
        <f t="shared" si="523"/>
        <v>3.5594820203890265E-3</v>
      </c>
      <c r="AL781" s="147">
        <f t="shared" si="524"/>
        <v>1</v>
      </c>
      <c r="AM781" s="147">
        <f t="shared" si="502"/>
        <v>1</v>
      </c>
      <c r="AN781" s="160">
        <f t="shared" si="525"/>
        <v>0</v>
      </c>
      <c r="AO781" s="161">
        <f t="shared" si="526"/>
        <v>0</v>
      </c>
      <c r="AP781" s="156">
        <f t="shared" si="503"/>
        <v>4.1538639436680294</v>
      </c>
      <c r="AQ781" s="152"/>
      <c r="AR781" s="162">
        <f t="shared" si="504"/>
        <v>99822.342084059332</v>
      </c>
      <c r="AS781" s="150">
        <f t="shared" si="527"/>
        <v>0</v>
      </c>
      <c r="AT781" s="163">
        <f t="shared" si="505"/>
        <v>0</v>
      </c>
      <c r="AU781" s="163">
        <f t="shared" si="506"/>
        <v>100000</v>
      </c>
      <c r="AV781" s="163">
        <f t="shared" si="528"/>
        <v>177.34173086188073</v>
      </c>
      <c r="AW781" s="163">
        <f t="shared" si="507"/>
        <v>99822.658269138119</v>
      </c>
      <c r="AX781" s="163">
        <f t="shared" si="508"/>
        <v>0</v>
      </c>
      <c r="AY781" s="164">
        <f t="shared" si="529"/>
        <v>99822.342084059332</v>
      </c>
      <c r="AZ781" s="164">
        <f>IF($E781="","",IF(OR(AND($D781=Input!$C$6,$C781=12),$AN781=1),0,-AS782+AT782+AU782-AV782-AW782-AX782+AZ782))</f>
        <v>99822.658269138119</v>
      </c>
      <c r="BA781" s="154">
        <f t="shared" si="509"/>
        <v>0.31618507878738455</v>
      </c>
      <c r="BC781" s="147">
        <f t="shared" si="530"/>
        <v>5.15971544008496E-14</v>
      </c>
      <c r="BD781" s="164">
        <f>IF(AND($C780=12,$D780=Input!$C$6),0,IF($E781="","",AT781+(AU781+BD782)/(1+$AK781)*MIN((1-AM781-AN781),1)))</f>
        <v>0</v>
      </c>
      <c r="BE781" s="164">
        <f t="shared" si="510"/>
        <v>0</v>
      </c>
      <c r="BF781" s="164">
        <f t="shared" si="531"/>
        <v>99822.658269138119</v>
      </c>
      <c r="BG781" s="164">
        <f t="shared" si="511"/>
        <v>5.1505651114159656E-9</v>
      </c>
      <c r="BH781" s="152"/>
      <c r="BI781" s="162">
        <f t="shared" si="512"/>
        <v>12748.623607423415</v>
      </c>
      <c r="BJ781" s="150">
        <f t="shared" si="513"/>
        <v>0</v>
      </c>
      <c r="BK781" s="163">
        <f t="shared" si="535"/>
        <v>0</v>
      </c>
      <c r="BL781" s="163">
        <f t="shared" si="514"/>
        <v>10215.140819694236</v>
      </c>
      <c r="BM781" s="163">
        <f t="shared" si="536"/>
        <v>29.948322307292361</v>
      </c>
      <c r="BN781" s="163">
        <f t="shared" si="515"/>
        <v>291.65507380755258</v>
      </c>
      <c r="BO781" s="163">
        <f t="shared" si="516"/>
        <v>0</v>
      </c>
      <c r="BP781" s="164">
        <f t="shared" si="537"/>
        <v>2855.0861838440242</v>
      </c>
      <c r="BQ781" s="164">
        <f>IF($E781="","",IF(AND($D781=Input!$C$6,$C781=12),0,-BJ782+BK782+BL782-BM782-BN782-BO782+BQ782))</f>
        <v>2855.1253375309079</v>
      </c>
      <c r="BR781" s="161">
        <f t="shared" si="517"/>
        <v>0</v>
      </c>
      <c r="BT781" s="147">
        <f t="shared" si="518"/>
        <v>5.15971544008496E-14</v>
      </c>
      <c r="BU781" s="164">
        <f>IF(AND($C780=12,$D780=Input!$C$6),0,IF($E781="","",BK781+(BL781+BU782)/(1+$AK781)*MIN((1-T781-U781),1)))</f>
        <v>77871.908537854659</v>
      </c>
      <c r="BV781" s="164">
        <f t="shared" si="519"/>
        <v>4.0179688883165255E-9</v>
      </c>
      <c r="BW781" s="164">
        <f t="shared" si="520"/>
        <v>2855.1253375309079</v>
      </c>
      <c r="BX781" s="164">
        <f t="shared" si="521"/>
        <v>1.4731634287436008E-10</v>
      </c>
    </row>
    <row r="782" spans="1:76" s="150" customFormat="1" x14ac:dyDescent="0.25">
      <c r="A782" s="150">
        <f t="shared" si="532"/>
        <v>778</v>
      </c>
      <c r="B782" s="150">
        <f t="shared" si="533"/>
        <v>65</v>
      </c>
      <c r="C782" s="150">
        <f t="shared" si="534"/>
        <v>10</v>
      </c>
      <c r="D782" s="150">
        <f>IF(E782="","",Input!$C$4+B782-1)</f>
        <v>109</v>
      </c>
      <c r="E782" s="150">
        <f>IF(OR(AND(C781=12,D781=Input!$C$6),E781=""),"",1)</f>
        <v>1</v>
      </c>
      <c r="F782" s="150">
        <f>IF(E782="","",Input!$C$8+B782-1)</f>
        <v>2082</v>
      </c>
      <c r="G782" s="151">
        <f>IF(E782="","",MAX(0,Input!$C$9-B782))</f>
        <v>0</v>
      </c>
      <c r="H782" s="152">
        <f>IF(E782="","",Input!$C$3)</f>
        <v>100000</v>
      </c>
      <c r="I782" s="153">
        <f>IF(E782="","",HLOOKUP($B782,Input!$C$13:$BT$14,2))</f>
        <v>1000</v>
      </c>
      <c r="J782" s="154"/>
      <c r="K782" s="155">
        <f>IF($E782="","",INDEX(Input!$C$16:$CP$16,1,$B782))</f>
        <v>3.3059999999999999E-2</v>
      </c>
      <c r="L782" s="155">
        <f>IF($E782="","",Input!$C$37)</f>
        <v>1.4999999999999999E-2</v>
      </c>
      <c r="M782" s="155">
        <f t="shared" si="497"/>
        <v>4.8059999999999999E-2</v>
      </c>
      <c r="N782" s="155">
        <f t="shared" si="498"/>
        <v>3.9193971737812028E-3</v>
      </c>
      <c r="O782" s="147">
        <f>IF($E782="","",MIN(VLOOKUP(IF($B782&lt;=Input!$C$7,$B782,26),'Mortality Tables'!$A$41:$CW$67,IF($B782&lt;=Input!$C$7+1,Input!$C$4+2,$D782-Input!$C$7+2),0)*IF(B782&gt;20,Input!$C$22,1)/1000,1))</f>
        <v>1</v>
      </c>
      <c r="P782" s="147">
        <f>IF($E782="","",MIN(VLOOKUP(IF($B782&lt;=Input!$C$7,$B782,26),'Mortality Tables'!$A$12:$CW$37,IF($B782&lt;=Input!$C$7+1,Input!$C$4+2,$D782-Input!$C$7+2),0)*IF(B782&gt;20,Input!$C$22,1)/1000,1))</f>
        <v>1</v>
      </c>
      <c r="Q782" s="155">
        <f>IF($E782="","",Input!$C$21)</f>
        <v>5.0000000000000001E-3</v>
      </c>
      <c r="R782" s="159">
        <f>IF($E782="","",(1-Q782)^($F782-Input!$C$20))</f>
        <v>0.72556640801860972</v>
      </c>
      <c r="S782" s="147">
        <f t="shared" si="500"/>
        <v>0.72556640801860972</v>
      </c>
      <c r="T782" s="147">
        <f t="shared" si="501"/>
        <v>0.10215140819694235</v>
      </c>
      <c r="U782" s="160">
        <f>IF($E782="","",IF($C782=12,INDEX(Input!$C$15:$CP$15,1,$B782),0))</f>
        <v>0</v>
      </c>
      <c r="V782" s="150">
        <f>IF(E782="","",IF(C782=1,IF($B782=1,Input!$C$33,Input!$C$34),0))</f>
        <v>0</v>
      </c>
      <c r="W782" s="156">
        <f>IF($E782="","",Input!$C$35)</f>
        <v>0.02</v>
      </c>
      <c r="X782" s="156">
        <f t="shared" si="499"/>
        <v>3.5514932432768775</v>
      </c>
      <c r="Y782" s="154"/>
      <c r="Z782" s="147">
        <f>IF($E782="","",VLOOKUP($D782,'Mortality Margins &amp; Grading'!$AB$5:$AF$125,3,0)*IF(Summary!$D$25="Included Margin",IF(AND($B782&gt;Input!$C$9,Summary!$D$31&lt;&gt;"Included Margin"),0,1),0))</f>
        <v>0.01</v>
      </c>
      <c r="AA782" s="147">
        <f>IF($E782="","",VLOOKUP($D782,'Mortality Margins &amp; Grading'!$AB$5:$AF$125,5,0)*IF(Summary!$D$25="Included Margin",IF(AND($B782&gt;Input!$C$9,Summary!$D$31&lt;&gt;"Included Margin"),0,1),0))</f>
        <v>5.2999999999999999E-2</v>
      </c>
      <c r="AB782" s="147">
        <f>IF($E782="","",IF(AND($B782&gt;Input!$C$9,Summary!$D$31&lt;&gt;"Included Margin"),1,IF(Summary!$D$25="Included Margin",VLOOKUP($B782,'Mortality Margins &amp; Grading'!$AI$5:$AR$125,MATCH('Mortality Margins &amp; Grading'!$AQ$4,'Mortality Margins &amp; Grading'!$AI$4:$AR$4,0),0),1)))</f>
        <v>0</v>
      </c>
      <c r="AC782" s="154"/>
      <c r="AD782" s="158">
        <f>IF(E782="","",Input!$C$48*IF(Summary!$D$30="Included Margin",IF(AND($B782&gt;Input!$C$9,Summary!$D$31&lt;&gt;"Included Margin"),0,1),0))</f>
        <v>-4.4999999999999997E-3</v>
      </c>
      <c r="AE782" s="159">
        <f>IF(E782="","",IF(Summary!$D$26="Included Margin",IF(AND($B782&gt;Input!$C$9,Summary!$D$31&lt;&gt;"Included Margin"),1,1/$R782),1))</f>
        <v>1.3782335964681973</v>
      </c>
      <c r="AF782" s="160">
        <f>IF(E782="","",IF(AND($B782&gt;=Input!$C$9,$C782=12,Summary!$D$31="Included Margin",$U782&gt;0),1/U782-1,IF($B782&gt;=Input!$C$9,0,Input!$C$45*IF(Summary!$D$27="Included Margin",1,0))))</f>
        <v>0</v>
      </c>
      <c r="AG782" s="160">
        <f>IF(E782="","",Input!$C$46*IF(Summary!$D$28="Included Margin",IF(AND($B782&gt;Input!$C$9,Summary!$D$31&lt;&gt;"Included Margin"),0,1),0))</f>
        <v>0.02</v>
      </c>
      <c r="AH782" s="158">
        <f>IF(E782="","",Input!$C$47*IF(Summary!$D$29="Included Margin",IF(AND($B782&gt;Input!$C$9,Summary!$D$31&lt;&gt;"Included Margin"),0,1),0))</f>
        <v>2.5000000000000001E-3</v>
      </c>
      <c r="AI782" s="154"/>
      <c r="AJ782" s="158">
        <f t="shared" si="522"/>
        <v>4.3560000000000001E-2</v>
      </c>
      <c r="AK782" s="155">
        <f t="shared" si="523"/>
        <v>3.5594820203890265E-3</v>
      </c>
      <c r="AL782" s="147">
        <f t="shared" si="524"/>
        <v>1</v>
      </c>
      <c r="AM782" s="147">
        <f t="shared" si="502"/>
        <v>1</v>
      </c>
      <c r="AN782" s="160">
        <f t="shared" si="525"/>
        <v>0</v>
      </c>
      <c r="AO782" s="161">
        <f t="shared" si="526"/>
        <v>0</v>
      </c>
      <c r="AP782" s="156">
        <f t="shared" si="503"/>
        <v>4.1538639436680294</v>
      </c>
      <c r="AQ782" s="152"/>
      <c r="AR782" s="162">
        <f t="shared" si="504"/>
        <v>99822.342084059332</v>
      </c>
      <c r="AS782" s="150">
        <f t="shared" si="527"/>
        <v>0</v>
      </c>
      <c r="AT782" s="163">
        <f t="shared" si="505"/>
        <v>0</v>
      </c>
      <c r="AU782" s="163">
        <f t="shared" si="506"/>
        <v>100000</v>
      </c>
      <c r="AV782" s="163">
        <f t="shared" si="528"/>
        <v>177.34173086188073</v>
      </c>
      <c r="AW782" s="163">
        <f t="shared" si="507"/>
        <v>99822.658269138119</v>
      </c>
      <c r="AX782" s="163">
        <f t="shared" si="508"/>
        <v>0</v>
      </c>
      <c r="AY782" s="165">
        <f t="shared" si="529"/>
        <v>99822.342084059332</v>
      </c>
      <c r="AZ782" s="164">
        <f>IF($E782="","",IF(OR(AND($D782=Input!$C$6,$C782=12),$AN782=1),0,-AS783+AT783+AU783-AV783-AW783-AX783+AZ783))</f>
        <v>99822.658269138119</v>
      </c>
      <c r="BA782" s="154">
        <f t="shared" si="509"/>
        <v>0.31618507878738455</v>
      </c>
      <c r="BC782" s="147">
        <f t="shared" si="530"/>
        <v>4.6326432419847755E-14</v>
      </c>
      <c r="BD782" s="164">
        <f>IF(AND($C781=12,$D781=Input!$C$6),0,IF($E782="","",AT782+(AU782+BD783)/(1+$AK782)*MIN((1-AM782-AN782),1)))</f>
        <v>0</v>
      </c>
      <c r="BE782" s="164">
        <f t="shared" si="510"/>
        <v>0</v>
      </c>
      <c r="BF782" s="164">
        <f t="shared" si="531"/>
        <v>99822.658269138119</v>
      </c>
      <c r="BG782" s="164">
        <f t="shared" si="511"/>
        <v>4.6244276322747838E-9</v>
      </c>
      <c r="BH782" s="152"/>
      <c r="BI782" s="162">
        <f t="shared" si="512"/>
        <v>2855.0861838440233</v>
      </c>
      <c r="BJ782" s="150">
        <f t="shared" si="513"/>
        <v>0</v>
      </c>
      <c r="BK782" s="163">
        <f t="shared" si="535"/>
        <v>0</v>
      </c>
      <c r="BL782" s="163">
        <f t="shared" si="514"/>
        <v>10215.140819694236</v>
      </c>
      <c r="BM782" s="163">
        <f t="shared" si="536"/>
        <v>-8.8283803093832685</v>
      </c>
      <c r="BN782" s="163">
        <f t="shared" si="515"/>
        <v>-838.37941520110519</v>
      </c>
      <c r="BO782" s="163">
        <f t="shared" si="516"/>
        <v>0</v>
      </c>
      <c r="BP782" s="164">
        <f t="shared" si="537"/>
        <v>-8207.2624313607012</v>
      </c>
      <c r="BQ782" s="164">
        <f>IF($E782="","",IF(AND($D782=Input!$C$6,$C782=12),0,-BJ783+BK783+BL783-BM783-BN783-BO783+BQ783))</f>
        <v>-8207.2232776738165</v>
      </c>
      <c r="BR782" s="161">
        <f t="shared" si="517"/>
        <v>0</v>
      </c>
      <c r="BT782" s="147">
        <f t="shared" si="518"/>
        <v>4.6326432419847755E-14</v>
      </c>
      <c r="BU782" s="164">
        <f>IF(AND($C781=12,$D781=Input!$C$6),0,IF($E782="","",BK782+(BL782+BU783)/(1+$AK782)*MIN((1-T782-U782),1)))</f>
        <v>76825.249853804155</v>
      </c>
      <c r="BV782" s="164">
        <f t="shared" si="519"/>
        <v>3.5590397454901766E-9</v>
      </c>
      <c r="BW782" s="164">
        <f t="shared" si="520"/>
        <v>-8207.2232776738165</v>
      </c>
      <c r="BX782" s="164">
        <f t="shared" si="521"/>
        <v>-3.8021137452775747E-10</v>
      </c>
    </row>
    <row r="783" spans="1:76" s="150" customFormat="1" x14ac:dyDescent="0.25">
      <c r="A783" s="150">
        <f t="shared" si="532"/>
        <v>779</v>
      </c>
      <c r="B783" s="150">
        <f t="shared" si="533"/>
        <v>65</v>
      </c>
      <c r="C783" s="150">
        <f t="shared" si="534"/>
        <v>11</v>
      </c>
      <c r="D783" s="150">
        <f>IF(E783="","",Input!$C$4+B783-1)</f>
        <v>109</v>
      </c>
      <c r="E783" s="150">
        <f>IF(OR(AND(C782=12,D782=Input!$C$6),E782=""),"",1)</f>
        <v>1</v>
      </c>
      <c r="F783" s="150">
        <f>IF(E783="","",Input!$C$8+B783-1)</f>
        <v>2082</v>
      </c>
      <c r="G783" s="151">
        <f>IF(E783="","",MAX(0,Input!$C$9-B783))</f>
        <v>0</v>
      </c>
      <c r="H783" s="152">
        <f>IF(E783="","",Input!$C$3)</f>
        <v>100000</v>
      </c>
      <c r="I783" s="153">
        <f>IF(E783="","",HLOOKUP($B783,Input!$C$13:$BT$14,2))</f>
        <v>1000</v>
      </c>
      <c r="J783" s="154"/>
      <c r="K783" s="155">
        <f>IF($E783="","",INDEX(Input!$C$16:$CP$16,1,$B783))</f>
        <v>3.3059999999999999E-2</v>
      </c>
      <c r="L783" s="155">
        <f>IF($E783="","",Input!$C$37)</f>
        <v>1.4999999999999999E-2</v>
      </c>
      <c r="M783" s="155">
        <f t="shared" si="497"/>
        <v>4.8059999999999999E-2</v>
      </c>
      <c r="N783" s="155">
        <f t="shared" si="498"/>
        <v>3.9193971737812028E-3</v>
      </c>
      <c r="O783" s="147">
        <f>IF($E783="","",MIN(VLOOKUP(IF($B783&lt;=Input!$C$7,$B783,26),'Mortality Tables'!$A$41:$CW$67,IF($B783&lt;=Input!$C$7+1,Input!$C$4+2,$D783-Input!$C$7+2),0)*IF(B783&gt;20,Input!$C$22,1)/1000,1))</f>
        <v>1</v>
      </c>
      <c r="P783" s="147">
        <f>IF($E783="","",MIN(VLOOKUP(IF($B783&lt;=Input!$C$7,$B783,26),'Mortality Tables'!$A$12:$CW$37,IF($B783&lt;=Input!$C$7+1,Input!$C$4+2,$D783-Input!$C$7+2),0)*IF(B783&gt;20,Input!$C$22,1)/1000,1))</f>
        <v>1</v>
      </c>
      <c r="Q783" s="155">
        <f>IF($E783="","",Input!$C$21)</f>
        <v>5.0000000000000001E-3</v>
      </c>
      <c r="R783" s="159">
        <f>IF($E783="","",(1-Q783)^($F783-Input!$C$20))</f>
        <v>0.72556640801860972</v>
      </c>
      <c r="S783" s="147">
        <f t="shared" si="500"/>
        <v>0.72556640801860972</v>
      </c>
      <c r="T783" s="147">
        <f t="shared" si="501"/>
        <v>0.10215140819694235</v>
      </c>
      <c r="U783" s="160">
        <f>IF($E783="","",IF($C783=12,INDEX(Input!$C$15:$CP$15,1,$B783),0))</f>
        <v>0</v>
      </c>
      <c r="V783" s="150">
        <f>IF(E783="","",IF(C783=1,IF($B783=1,Input!$C$33,Input!$C$34),0))</f>
        <v>0</v>
      </c>
      <c r="W783" s="156">
        <f>IF($E783="","",Input!$C$35)</f>
        <v>0.02</v>
      </c>
      <c r="X783" s="156">
        <f t="shared" si="499"/>
        <v>3.5514932432768775</v>
      </c>
      <c r="Y783" s="154"/>
      <c r="Z783" s="147">
        <f>IF($E783="","",VLOOKUP($D783,'Mortality Margins &amp; Grading'!$AB$5:$AF$125,3,0)*IF(Summary!$D$25="Included Margin",IF(AND($B783&gt;Input!$C$9,Summary!$D$31&lt;&gt;"Included Margin"),0,1),0))</f>
        <v>0.01</v>
      </c>
      <c r="AA783" s="147">
        <f>IF($E783="","",VLOOKUP($D783,'Mortality Margins &amp; Grading'!$AB$5:$AF$125,5,0)*IF(Summary!$D$25="Included Margin",IF(AND($B783&gt;Input!$C$9,Summary!$D$31&lt;&gt;"Included Margin"),0,1),0))</f>
        <v>5.2999999999999999E-2</v>
      </c>
      <c r="AB783" s="147">
        <f>IF($E783="","",IF(AND($B783&gt;Input!$C$9,Summary!$D$31&lt;&gt;"Included Margin"),1,IF(Summary!$D$25="Included Margin",VLOOKUP($B783,'Mortality Margins &amp; Grading'!$AI$5:$AR$125,MATCH('Mortality Margins &amp; Grading'!$AQ$4,'Mortality Margins &amp; Grading'!$AI$4:$AR$4,0),0),1)))</f>
        <v>0</v>
      </c>
      <c r="AC783" s="154"/>
      <c r="AD783" s="158">
        <f>IF(E783="","",Input!$C$48*IF(Summary!$D$30="Included Margin",IF(AND($B783&gt;Input!$C$9,Summary!$D$31&lt;&gt;"Included Margin"),0,1),0))</f>
        <v>-4.4999999999999997E-3</v>
      </c>
      <c r="AE783" s="159">
        <f>IF(E783="","",IF(Summary!$D$26="Included Margin",IF(AND($B783&gt;Input!$C$9,Summary!$D$31&lt;&gt;"Included Margin"),1,1/$R783),1))</f>
        <v>1.3782335964681973</v>
      </c>
      <c r="AF783" s="160">
        <f>IF(E783="","",IF(AND($B783&gt;=Input!$C$9,$C783=12,Summary!$D$31="Included Margin",$U783&gt;0),1/U783-1,IF($B783&gt;=Input!$C$9,0,Input!$C$45*IF(Summary!$D$27="Included Margin",1,0))))</f>
        <v>0</v>
      </c>
      <c r="AG783" s="160">
        <f>IF(E783="","",Input!$C$46*IF(Summary!$D$28="Included Margin",IF(AND($B783&gt;Input!$C$9,Summary!$D$31&lt;&gt;"Included Margin"),0,1),0))</f>
        <v>0.02</v>
      </c>
      <c r="AH783" s="158">
        <f>IF(E783="","",Input!$C$47*IF(Summary!$D$29="Included Margin",IF(AND($B783&gt;Input!$C$9,Summary!$D$31&lt;&gt;"Included Margin"),0,1),0))</f>
        <v>2.5000000000000001E-3</v>
      </c>
      <c r="AI783" s="154"/>
      <c r="AJ783" s="158">
        <f t="shared" si="522"/>
        <v>4.3560000000000001E-2</v>
      </c>
      <c r="AK783" s="155">
        <f t="shared" si="523"/>
        <v>3.5594820203890265E-3</v>
      </c>
      <c r="AL783" s="147">
        <f t="shared" si="524"/>
        <v>1</v>
      </c>
      <c r="AM783" s="147">
        <f t="shared" si="502"/>
        <v>1</v>
      </c>
      <c r="AN783" s="160">
        <f t="shared" si="525"/>
        <v>0</v>
      </c>
      <c r="AO783" s="161">
        <f t="shared" si="526"/>
        <v>0</v>
      </c>
      <c r="AP783" s="156">
        <f t="shared" si="503"/>
        <v>4.1538639436680294</v>
      </c>
      <c r="AQ783" s="152"/>
      <c r="AR783" s="162">
        <f t="shared" si="504"/>
        <v>99822.342084059332</v>
      </c>
      <c r="AS783" s="150">
        <f t="shared" si="527"/>
        <v>0</v>
      </c>
      <c r="AT783" s="163">
        <f t="shared" si="505"/>
        <v>0</v>
      </c>
      <c r="AU783" s="163">
        <f t="shared" si="506"/>
        <v>100000</v>
      </c>
      <c r="AV783" s="163">
        <f t="shared" si="528"/>
        <v>177.34173086188073</v>
      </c>
      <c r="AW783" s="163">
        <f t="shared" si="507"/>
        <v>99822.658269138119</v>
      </c>
      <c r="AX783" s="163">
        <f t="shared" si="508"/>
        <v>0</v>
      </c>
      <c r="AY783" s="164">
        <f t="shared" si="529"/>
        <v>99822.342084059332</v>
      </c>
      <c r="AZ783" s="164">
        <f>IF($E783="","",IF(OR(AND($D783=Input!$C$6,$C783=12),$AN783=1),0,-AS784+AT784+AU784-AV784-AW784-AX784+AZ784))</f>
        <v>99822.658269138119</v>
      </c>
      <c r="BA783" s="154">
        <f t="shared" si="509"/>
        <v>0.31618507878738455</v>
      </c>
      <c r="BC783" s="147">
        <f t="shared" si="530"/>
        <v>4.1594122111419824E-14</v>
      </c>
      <c r="BD783" s="164">
        <f>IF(AND($C782=12,$D782=Input!$C$6),0,IF($E783="","",AT783+(AU783+BD784)/(1+$AK783)*MIN((1-AM783-AN783),1)))</f>
        <v>0</v>
      </c>
      <c r="BE783" s="164">
        <f t="shared" si="510"/>
        <v>0</v>
      </c>
      <c r="BF783" s="164">
        <f t="shared" si="531"/>
        <v>99822.658269138119</v>
      </c>
      <c r="BG783" s="164">
        <f t="shared" si="511"/>
        <v>4.1520358375330626E-9</v>
      </c>
      <c r="BH783" s="152"/>
      <c r="BI783" s="162">
        <f t="shared" si="512"/>
        <v>-8207.2624313606993</v>
      </c>
      <c r="BJ783" s="150">
        <f t="shared" si="513"/>
        <v>0</v>
      </c>
      <c r="BK783" s="163">
        <f t="shared" si="535"/>
        <v>0</v>
      </c>
      <c r="BL783" s="163">
        <f t="shared" si="514"/>
        <v>10215.140819694236</v>
      </c>
      <c r="BM783" s="163">
        <f t="shared" si="536"/>
        <v>-52.186118207199058</v>
      </c>
      <c r="BN783" s="163">
        <f t="shared" si="515"/>
        <v>-2101.9148858230797</v>
      </c>
      <c r="BO783" s="163">
        <f t="shared" si="516"/>
        <v>0</v>
      </c>
      <c r="BP783" s="164">
        <f t="shared" si="537"/>
        <v>-20576.504255085216</v>
      </c>
      <c r="BQ783" s="164">
        <f>IF($E783="","",IF(AND($D783=Input!$C$6,$C783=12),0,-BJ784+BK784+BL784-BM784-BN784-BO784+BQ784))</f>
        <v>-20576.465101398331</v>
      </c>
      <c r="BR783" s="161">
        <f t="shared" si="517"/>
        <v>0</v>
      </c>
      <c r="BT783" s="147">
        <f t="shared" si="518"/>
        <v>4.1594122111419824E-14</v>
      </c>
      <c r="BU783" s="164">
        <f>IF(AND($C782=12,$D782=Input!$C$6),0,IF($E783="","",BK783+(BL783+BU784)/(1+$AK783)*MIN((1-T783-U783),1)))</f>
        <v>75655.359678102628</v>
      </c>
      <c r="BV783" s="164">
        <f t="shared" si="519"/>
        <v>3.1468182688343884E-9</v>
      </c>
      <c r="BW783" s="164">
        <f t="shared" si="520"/>
        <v>-20576.465101398331</v>
      </c>
      <c r="BX783" s="164">
        <f t="shared" si="521"/>
        <v>-8.558600020489307E-10</v>
      </c>
    </row>
    <row r="784" spans="1:76" s="150" customFormat="1" x14ac:dyDescent="0.25">
      <c r="A784" s="150">
        <f t="shared" si="532"/>
        <v>780</v>
      </c>
      <c r="B784" s="150">
        <f t="shared" si="533"/>
        <v>65</v>
      </c>
      <c r="C784" s="150">
        <f t="shared" si="534"/>
        <v>12</v>
      </c>
      <c r="D784" s="150">
        <f>IF(E784="","",Input!$C$4+B784-1)</f>
        <v>109</v>
      </c>
      <c r="E784" s="150">
        <f>IF(OR(AND(C783=12,D783=Input!$C$6),E783=""),"",1)</f>
        <v>1</v>
      </c>
      <c r="F784" s="150">
        <f>IF(E784="","",Input!$C$8+B784-1)</f>
        <v>2082</v>
      </c>
      <c r="G784" s="151">
        <f>IF(E784="","",MAX(0,Input!$C$9-B784))</f>
        <v>0</v>
      </c>
      <c r="H784" s="152">
        <f>IF(E784="","",Input!$C$3)</f>
        <v>100000</v>
      </c>
      <c r="I784" s="153">
        <f>IF(E784="","",HLOOKUP($B784,Input!$C$13:$BT$14,2))</f>
        <v>1000</v>
      </c>
      <c r="J784" s="154"/>
      <c r="K784" s="155">
        <f>IF($E784="","",INDEX(Input!$C$16:$CP$16,1,$B784))</f>
        <v>3.3059999999999999E-2</v>
      </c>
      <c r="L784" s="155">
        <f>IF($E784="","",Input!$C$37)</f>
        <v>1.4999999999999999E-2</v>
      </c>
      <c r="M784" s="155">
        <f t="shared" si="497"/>
        <v>4.8059999999999999E-2</v>
      </c>
      <c r="N784" s="155">
        <f t="shared" si="498"/>
        <v>3.9193971737812028E-3</v>
      </c>
      <c r="O784" s="147">
        <f>IF($E784="","",MIN(VLOOKUP(IF($B784&lt;=Input!$C$7,$B784,26),'Mortality Tables'!$A$41:$CW$67,IF($B784&lt;=Input!$C$7+1,Input!$C$4+2,$D784-Input!$C$7+2),0)*IF(B784&gt;20,Input!$C$22,1)/1000,1))</f>
        <v>1</v>
      </c>
      <c r="P784" s="147">
        <f>IF($E784="","",MIN(VLOOKUP(IF($B784&lt;=Input!$C$7,$B784,26),'Mortality Tables'!$A$12:$CW$37,IF($B784&lt;=Input!$C$7+1,Input!$C$4+2,$D784-Input!$C$7+2),0)*IF(B784&gt;20,Input!$C$22,1)/1000,1))</f>
        <v>1</v>
      </c>
      <c r="Q784" s="155">
        <f>IF($E784="","",Input!$C$21)</f>
        <v>5.0000000000000001E-3</v>
      </c>
      <c r="R784" s="159">
        <f>IF($E784="","",(1-Q784)^($F784-Input!$C$20))</f>
        <v>0.72556640801860972</v>
      </c>
      <c r="S784" s="147">
        <f t="shared" si="500"/>
        <v>0.72556640801860972</v>
      </c>
      <c r="T784" s="147">
        <f t="shared" si="501"/>
        <v>0.10215140819694235</v>
      </c>
      <c r="U784" s="160">
        <f>IF($E784="","",IF($C784=12,INDEX(Input!$C$15:$CP$15,1,$B784),0))</f>
        <v>0.1</v>
      </c>
      <c r="V784" s="150">
        <f>IF(E784="","",IF(C784=1,IF($B784=1,Input!$C$33,Input!$C$34),0))</f>
        <v>0</v>
      </c>
      <c r="W784" s="156">
        <f>IF($E784="","",Input!$C$35)</f>
        <v>0.02</v>
      </c>
      <c r="X784" s="156">
        <f t="shared" si="499"/>
        <v>3.5514932432768775</v>
      </c>
      <c r="Y784" s="154"/>
      <c r="Z784" s="147">
        <f>IF($E784="","",VLOOKUP($D784,'Mortality Margins &amp; Grading'!$AB$5:$AF$125,3,0)*IF(Summary!$D$25="Included Margin",IF(AND($B784&gt;Input!$C$9,Summary!$D$31&lt;&gt;"Included Margin"),0,1),0))</f>
        <v>0.01</v>
      </c>
      <c r="AA784" s="147">
        <f>IF($E784="","",VLOOKUP($D784,'Mortality Margins &amp; Grading'!$AB$5:$AF$125,5,0)*IF(Summary!$D$25="Included Margin",IF(AND($B784&gt;Input!$C$9,Summary!$D$31&lt;&gt;"Included Margin"),0,1),0))</f>
        <v>5.2999999999999999E-2</v>
      </c>
      <c r="AB784" s="147">
        <f>IF($E784="","",IF(AND($B784&gt;Input!$C$9,Summary!$D$31&lt;&gt;"Included Margin"),1,IF(Summary!$D$25="Included Margin",VLOOKUP($B784,'Mortality Margins &amp; Grading'!$AI$5:$AR$125,MATCH('Mortality Margins &amp; Grading'!$AQ$4,'Mortality Margins &amp; Grading'!$AI$4:$AR$4,0),0),1)))</f>
        <v>0</v>
      </c>
      <c r="AC784" s="154"/>
      <c r="AD784" s="158">
        <f>IF(E784="","",Input!$C$48*IF(Summary!$D$30="Included Margin",IF(AND($B784&gt;Input!$C$9,Summary!$D$31&lt;&gt;"Included Margin"),0,1),0))</f>
        <v>-4.4999999999999997E-3</v>
      </c>
      <c r="AE784" s="159">
        <f>IF(E784="","",IF(Summary!$D$26="Included Margin",IF(AND($B784&gt;Input!$C$9,Summary!$D$31&lt;&gt;"Included Margin"),1,1/$R784),1))</f>
        <v>1.3782335964681973</v>
      </c>
      <c r="AF784" s="160">
        <f>IF(E784="","",IF(AND($B784&gt;=Input!$C$9,$C784=12,Summary!$D$31="Included Margin",$U784&gt;0),1/U784-1,IF($B784&gt;=Input!$C$9,0,Input!$C$45*IF(Summary!$D$27="Included Margin",1,0))))</f>
        <v>9</v>
      </c>
      <c r="AG784" s="160">
        <f>IF(E784="","",Input!$C$46*IF(Summary!$D$28="Included Margin",IF(AND($B784&gt;Input!$C$9,Summary!$D$31&lt;&gt;"Included Margin"),0,1),0))</f>
        <v>0.02</v>
      </c>
      <c r="AH784" s="158">
        <f>IF(E784="","",Input!$C$47*IF(Summary!$D$29="Included Margin",IF(AND($B784&gt;Input!$C$9,Summary!$D$31&lt;&gt;"Included Margin"),0,1),0))</f>
        <v>2.5000000000000001E-3</v>
      </c>
      <c r="AI784" s="154"/>
      <c r="AJ784" s="158">
        <f t="shared" si="522"/>
        <v>4.3560000000000001E-2</v>
      </c>
      <c r="AK784" s="155">
        <f t="shared" si="523"/>
        <v>3.5594820203890265E-3</v>
      </c>
      <c r="AL784" s="147">
        <f t="shared" si="524"/>
        <v>1</v>
      </c>
      <c r="AM784" s="147">
        <f t="shared" si="502"/>
        <v>1</v>
      </c>
      <c r="AN784" s="160">
        <f t="shared" si="525"/>
        <v>1</v>
      </c>
      <c r="AO784" s="161">
        <f t="shared" si="526"/>
        <v>0</v>
      </c>
      <c r="AP784" s="156">
        <f t="shared" si="503"/>
        <v>4.1538639436680294</v>
      </c>
      <c r="AQ784" s="152"/>
      <c r="AR784" s="162">
        <f t="shared" si="504"/>
        <v>99822.342084059332</v>
      </c>
      <c r="AS784" s="150">
        <f t="shared" si="527"/>
        <v>0</v>
      </c>
      <c r="AT784" s="163">
        <f t="shared" si="505"/>
        <v>0</v>
      </c>
      <c r="AU784" s="163">
        <f t="shared" si="506"/>
        <v>100000</v>
      </c>
      <c r="AV784" s="163">
        <f t="shared" si="528"/>
        <v>177.34173086188073</v>
      </c>
      <c r="AW784" s="163">
        <f t="shared" si="507"/>
        <v>0</v>
      </c>
      <c r="AX784" s="163">
        <f t="shared" si="508"/>
        <v>0</v>
      </c>
      <c r="AY784" s="165">
        <f t="shared" si="529"/>
        <v>-0.31618507878758351</v>
      </c>
      <c r="AZ784" s="164">
        <f>IF($E784="","",IF(OR(AND($D784=Input!$C$6,$C784=12),$AN784=1),0,-AS785+AT785+AU785-AV785-AW785-AX785+AZ785))</f>
        <v>0</v>
      </c>
      <c r="BA784" s="154">
        <f t="shared" si="509"/>
        <v>0.31618507878758351</v>
      </c>
      <c r="BC784" s="147">
        <f t="shared" si="530"/>
        <v>3.3185811753880729E-14</v>
      </c>
      <c r="BD784" s="164">
        <f>IF(AND($C783=12,$D783=Input!$C$6),0,IF($E784="","",AT784+(AU784+BD785)/(1+$AK784)*MIN((1-AM784-AN784),1)))</f>
        <v>-99861.159617807643</v>
      </c>
      <c r="BE784" s="164">
        <f t="shared" si="510"/>
        <v>-3.3139736446008005E-9</v>
      </c>
      <c r="BF784" s="164">
        <f t="shared" si="531"/>
        <v>0</v>
      </c>
      <c r="BG784" s="164">
        <f t="shared" si="511"/>
        <v>0</v>
      </c>
      <c r="BH784" s="152"/>
      <c r="BI784" s="162">
        <f t="shared" si="512"/>
        <v>-20576.504255085216</v>
      </c>
      <c r="BJ784" s="150">
        <f t="shared" si="513"/>
        <v>0</v>
      </c>
      <c r="BK784" s="163">
        <f t="shared" si="535"/>
        <v>0</v>
      </c>
      <c r="BL784" s="163">
        <f t="shared" si="514"/>
        <v>10215.140819694236</v>
      </c>
      <c r="BM784" s="163">
        <f t="shared" si="536"/>
        <v>-100.66608965292119</v>
      </c>
      <c r="BN784" s="163">
        <f t="shared" si="515"/>
        <v>-3905.2477680914394</v>
      </c>
      <c r="BO784" s="163">
        <f t="shared" si="516"/>
        <v>-3432.4746678606098</v>
      </c>
      <c r="BP784" s="164">
        <f t="shared" si="537"/>
        <v>-38230.03360038442</v>
      </c>
      <c r="BQ784" s="164">
        <f>IF($E784="","",IF(AND($D784=Input!$C$6,$C784=12),0,-BJ785+BK785+BL785-BM785-BN785-BO785+BQ785))</f>
        <v>-38229.994446697536</v>
      </c>
      <c r="BR784" s="161">
        <f t="shared" si="517"/>
        <v>0</v>
      </c>
      <c r="BT784" s="147">
        <f t="shared" si="518"/>
        <v>3.3185811753880729E-14</v>
      </c>
      <c r="BU784" s="164">
        <f>IF(AND($C783=12,$D783=Input!$C$6),0,IF($E784="","",BK784+(BL784+BU785)/(1+$AK784)*MIN((1-T784-U784),1)))</f>
        <v>74347.72898238583</v>
      </c>
      <c r="BV784" s="164">
        <f t="shared" si="519"/>
        <v>2.4672897383379987E-9</v>
      </c>
      <c r="BW784" s="164">
        <f t="shared" si="520"/>
        <v>-38229.994446697536</v>
      </c>
      <c r="BX784" s="164">
        <f t="shared" si="521"/>
        <v>-1.2686933990600101E-9</v>
      </c>
    </row>
    <row r="785" spans="1:76" s="150" customFormat="1" x14ac:dyDescent="0.25">
      <c r="A785" s="150">
        <f t="shared" si="532"/>
        <v>781</v>
      </c>
      <c r="B785" s="150">
        <f t="shared" si="533"/>
        <v>66</v>
      </c>
      <c r="C785" s="150">
        <f t="shared" si="534"/>
        <v>1</v>
      </c>
      <c r="D785" s="150">
        <f>IF(E785="","",Input!$C$4+B785-1)</f>
        <v>110</v>
      </c>
      <c r="E785" s="150">
        <f>IF(OR(AND(C784=12,D784=Input!$C$6),E784=""),"",1)</f>
        <v>1</v>
      </c>
      <c r="F785" s="150">
        <f>IF(E785="","",Input!$C$8+B785-1)</f>
        <v>2083</v>
      </c>
      <c r="G785" s="151">
        <f>IF(E785="","",MAX(0,Input!$C$9-B785))</f>
        <v>0</v>
      </c>
      <c r="H785" s="152">
        <f>IF(E785="","",Input!$C$3)</f>
        <v>100000</v>
      </c>
      <c r="I785" s="153">
        <f>IF(E785="","",HLOOKUP($B785,Input!$C$13:$BT$14,2))</f>
        <v>1000</v>
      </c>
      <c r="J785" s="154"/>
      <c r="K785" s="155">
        <f>IF($E785="","",INDEX(Input!$C$16:$CP$16,1,$B785))</f>
        <v>3.3079999999999998E-2</v>
      </c>
      <c r="L785" s="155">
        <f>IF($E785="","",Input!$C$37)</f>
        <v>1.4999999999999999E-2</v>
      </c>
      <c r="M785" s="155">
        <f t="shared" si="497"/>
        <v>4.8079999999999998E-2</v>
      </c>
      <c r="N785" s="155">
        <f t="shared" si="498"/>
        <v>3.9209936323438832E-3</v>
      </c>
      <c r="O785" s="147">
        <f>IF($E785="","",MIN(VLOOKUP(IF($B785&lt;=Input!$C$7,$B785,26),'Mortality Tables'!$A$41:$CW$67,IF($B785&lt;=Input!$C$7+1,Input!$C$4+2,$D785-Input!$C$7+2),0)*IF(B785&gt;20,Input!$C$22,1)/1000,1))</f>
        <v>1</v>
      </c>
      <c r="P785" s="147">
        <f>IF($E785="","",MIN(VLOOKUP(IF($B785&lt;=Input!$C$7,$B785,26),'Mortality Tables'!$A$12:$CW$37,IF($B785&lt;=Input!$C$7+1,Input!$C$4+2,$D785-Input!$C$7+2),0)*IF(B785&gt;20,Input!$C$22,1)/1000,1))</f>
        <v>1</v>
      </c>
      <c r="Q785" s="155">
        <f>IF($E785="","",Input!$C$21)</f>
        <v>5.0000000000000001E-3</v>
      </c>
      <c r="R785" s="159">
        <f>IF($E785="","",(1-Q785)^($F785-Input!$C$20))</f>
        <v>0.72193857597851663</v>
      </c>
      <c r="S785" s="147">
        <f t="shared" si="500"/>
        <v>0.72193857597851663</v>
      </c>
      <c r="T785" s="147">
        <f t="shared" si="501"/>
        <v>0.10116826999695705</v>
      </c>
      <c r="U785" s="160">
        <f>IF($E785="","",IF($C785=12,INDEX(Input!$C$15:$CP$15,1,$B785),0))</f>
        <v>0</v>
      </c>
      <c r="V785" s="150">
        <f>IF(E785="","",IF(C785=1,IF($B785=1,Input!$C$33,Input!$C$34),0))</f>
        <v>50</v>
      </c>
      <c r="W785" s="156">
        <f>IF($E785="","",Input!$C$35)</f>
        <v>0.02</v>
      </c>
      <c r="X785" s="156">
        <f t="shared" si="499"/>
        <v>3.6225231081424152</v>
      </c>
      <c r="Y785" s="154"/>
      <c r="Z785" s="147">
        <f>IF($E785="","",VLOOKUP($D785,'Mortality Margins &amp; Grading'!$AB$5:$AF$125,3,0)*IF(Summary!$D$25="Included Margin",IF(AND($B785&gt;Input!$C$9,Summary!$D$31&lt;&gt;"Included Margin"),0,1),0))</f>
        <v>0.01</v>
      </c>
      <c r="AA785" s="147">
        <f>IF($E785="","",VLOOKUP($D785,'Mortality Margins &amp; Grading'!$AB$5:$AF$125,5,0)*IF(Summary!$D$25="Included Margin",IF(AND($B785&gt;Input!$C$9,Summary!$D$31&lt;&gt;"Included Margin"),0,1),0))</f>
        <v>5.2999999999999999E-2</v>
      </c>
      <c r="AB785" s="147">
        <f>IF($E785="","",IF(AND($B785&gt;Input!$C$9,Summary!$D$31&lt;&gt;"Included Margin"),1,IF(Summary!$D$25="Included Margin",VLOOKUP($B785,'Mortality Margins &amp; Grading'!$AI$5:$AR$125,MATCH('Mortality Margins &amp; Grading'!$AQ$4,'Mortality Margins &amp; Grading'!$AI$4:$AR$4,0),0),1)))</f>
        <v>0</v>
      </c>
      <c r="AC785" s="154"/>
      <c r="AD785" s="158">
        <f>IF(E785="","",Input!$C$48*IF(Summary!$D$30="Included Margin",IF(AND($B785&gt;Input!$C$9,Summary!$D$31&lt;&gt;"Included Margin"),0,1),0))</f>
        <v>-4.4999999999999997E-3</v>
      </c>
      <c r="AE785" s="159">
        <f>IF(E785="","",IF(Summary!$D$26="Included Margin",IF(AND($B785&gt;Input!$C$9,Summary!$D$31&lt;&gt;"Included Margin"),1,1/$R785),1))</f>
        <v>1.3851593934353743</v>
      </c>
      <c r="AF785" s="160">
        <f>IF(E785="","",IF(AND($B785&gt;=Input!$C$9,$C785=12,Summary!$D$31="Included Margin",$U785&gt;0),1/U785-1,IF($B785&gt;=Input!$C$9,0,Input!$C$45*IF(Summary!$D$27="Included Margin",1,0))))</f>
        <v>0</v>
      </c>
      <c r="AG785" s="160">
        <f>IF(E785="","",Input!$C$46*IF(Summary!$D$28="Included Margin",IF(AND($B785&gt;Input!$C$9,Summary!$D$31&lt;&gt;"Included Margin"),0,1),0))</f>
        <v>0.02</v>
      </c>
      <c r="AH785" s="158">
        <f>IF(E785="","",Input!$C$47*IF(Summary!$D$29="Included Margin",IF(AND($B785&gt;Input!$C$9,Summary!$D$31&lt;&gt;"Included Margin"),0,1),0))</f>
        <v>2.5000000000000001E-3</v>
      </c>
      <c r="AI785" s="154"/>
      <c r="AJ785" s="158">
        <f t="shared" si="522"/>
        <v>4.3580000000000001E-2</v>
      </c>
      <c r="AK785" s="155">
        <f t="shared" si="523"/>
        <v>3.561084788265001E-3</v>
      </c>
      <c r="AL785" s="147">
        <f t="shared" si="524"/>
        <v>1</v>
      </c>
      <c r="AM785" s="147">
        <f t="shared" si="502"/>
        <v>1</v>
      </c>
      <c r="AN785" s="160">
        <f t="shared" si="525"/>
        <v>0</v>
      </c>
      <c r="AO785" s="161">
        <f t="shared" si="526"/>
        <v>51</v>
      </c>
      <c r="AP785" s="156">
        <f t="shared" si="503"/>
        <v>4.2473258824005597</v>
      </c>
      <c r="AQ785" s="152"/>
      <c r="AR785" s="162">
        <f t="shared" si="504"/>
        <v>38.875850223319617</v>
      </c>
      <c r="AS785" s="150">
        <f t="shared" si="527"/>
        <v>100000</v>
      </c>
      <c r="AT785" s="163">
        <f t="shared" si="505"/>
        <v>216.61362000242855</v>
      </c>
      <c r="AU785" s="163">
        <f t="shared" si="506"/>
        <v>100000</v>
      </c>
      <c r="AV785" s="163">
        <f t="shared" si="528"/>
        <v>177.42130014498952</v>
      </c>
      <c r="AW785" s="163">
        <f t="shared" si="507"/>
        <v>99822.578699855017</v>
      </c>
      <c r="AX785" s="163">
        <f t="shared" si="508"/>
        <v>0</v>
      </c>
      <c r="AY785" s="164">
        <f t="shared" si="529"/>
        <v>99822.262230220891</v>
      </c>
      <c r="AZ785" s="164">
        <f>IF($E785="","",IF(OR(AND($D785=Input!$C$6,$C785=12),$AN785=1),0,-AS786+AT786+AU786-AV786-AW786-AX786+AZ786))</f>
        <v>99822.578699855017</v>
      </c>
      <c r="BA785" s="154">
        <f t="shared" si="509"/>
        <v>0.31646963412640616</v>
      </c>
      <c r="BC785" s="147">
        <f t="shared" si="530"/>
        <v>2.9828460590295935E-14</v>
      </c>
      <c r="BD785" s="164">
        <f>IF(AND($C784=12,$D784=Input!$C$6),0,IF($E785="","",AT785+(AU785+BD786)/(1+$AK785)*MIN((1-AM785-AN785),1)))</f>
        <v>216.61362000242855</v>
      </c>
      <c r="BE785" s="164">
        <f t="shared" si="510"/>
        <v>6.4612508275637795E-12</v>
      </c>
      <c r="BF785" s="164">
        <f t="shared" si="531"/>
        <v>99822.578699855017</v>
      </c>
      <c r="BG785" s="164">
        <f t="shared" si="511"/>
        <v>2.9775538547703397E-9</v>
      </c>
      <c r="BH785" s="152"/>
      <c r="BI785" s="162">
        <f t="shared" si="512"/>
        <v>-38230.033255121576</v>
      </c>
      <c r="BJ785" s="150">
        <f t="shared" si="513"/>
        <v>100000</v>
      </c>
      <c r="BK785" s="163">
        <f t="shared" si="535"/>
        <v>181.12615540712076</v>
      </c>
      <c r="BL785" s="163">
        <f t="shared" si="514"/>
        <v>10116.826999695704</v>
      </c>
      <c r="BM785" s="163">
        <f t="shared" si="536"/>
        <v>221.65544465209368</v>
      </c>
      <c r="BN785" s="163">
        <f t="shared" si="515"/>
        <v>5818.4005054780755</v>
      </c>
      <c r="BO785" s="163">
        <f t="shared" si="516"/>
        <v>0</v>
      </c>
      <c r="BP785" s="164">
        <f t="shared" si="537"/>
        <v>57512.069539905773</v>
      </c>
      <c r="BQ785" s="164">
        <f>IF($E785="","",IF(AND($D785=Input!$C$6,$C785=12),0,-BJ786+BK786+BL786-BM786-BN786-BO786+BQ786))</f>
        <v>57512.108348329792</v>
      </c>
      <c r="BR785" s="161">
        <f t="shared" si="517"/>
        <v>0</v>
      </c>
      <c r="BT785" s="147">
        <f t="shared" si="518"/>
        <v>2.9828460590295935E-14</v>
      </c>
      <c r="BU785" s="164">
        <f>IF(AND($C784=12,$D784=Input!$C$6),0,IF($E785="","",BK785+(BL785+BU786)/(1+$AK785)*MIN((1-T785-U785),1)))</f>
        <v>83301.811085101304</v>
      </c>
      <c r="BV785" s="164">
        <f t="shared" si="519"/>
        <v>2.4847647890522215E-9</v>
      </c>
      <c r="BW785" s="164">
        <f t="shared" si="520"/>
        <v>57512.108348329792</v>
      </c>
      <c r="BX785" s="164">
        <f t="shared" si="521"/>
        <v>1.7154976573329851E-9</v>
      </c>
    </row>
    <row r="786" spans="1:76" s="150" customFormat="1" x14ac:dyDescent="0.25">
      <c r="A786" s="150">
        <f t="shared" si="532"/>
        <v>782</v>
      </c>
      <c r="B786" s="150">
        <f t="shared" si="533"/>
        <v>66</v>
      </c>
      <c r="C786" s="150">
        <f t="shared" si="534"/>
        <v>2</v>
      </c>
      <c r="D786" s="150">
        <f>IF(E786="","",Input!$C$4+B786-1)</f>
        <v>110</v>
      </c>
      <c r="E786" s="150">
        <f>IF(OR(AND(C785=12,D785=Input!$C$6),E785=""),"",1)</f>
        <v>1</v>
      </c>
      <c r="F786" s="150">
        <f>IF(E786="","",Input!$C$8+B786-1)</f>
        <v>2083</v>
      </c>
      <c r="G786" s="151">
        <f>IF(E786="","",MAX(0,Input!$C$9-B786))</f>
        <v>0</v>
      </c>
      <c r="H786" s="152">
        <f>IF(E786="","",Input!$C$3)</f>
        <v>100000</v>
      </c>
      <c r="I786" s="153">
        <f>IF(E786="","",HLOOKUP($B786,Input!$C$13:$BT$14,2))</f>
        <v>1000</v>
      </c>
      <c r="J786" s="154"/>
      <c r="K786" s="155">
        <f>IF($E786="","",INDEX(Input!$C$16:$CP$16,1,$B786))</f>
        <v>3.3079999999999998E-2</v>
      </c>
      <c r="L786" s="155">
        <f>IF($E786="","",Input!$C$37)</f>
        <v>1.4999999999999999E-2</v>
      </c>
      <c r="M786" s="155">
        <f t="shared" si="497"/>
        <v>4.8079999999999998E-2</v>
      </c>
      <c r="N786" s="155">
        <f t="shared" si="498"/>
        <v>3.9209936323438832E-3</v>
      </c>
      <c r="O786" s="147">
        <f>IF($E786="","",MIN(VLOOKUP(IF($B786&lt;=Input!$C$7,$B786,26),'Mortality Tables'!$A$41:$CW$67,IF($B786&lt;=Input!$C$7+1,Input!$C$4+2,$D786-Input!$C$7+2),0)*IF(B786&gt;20,Input!$C$22,1)/1000,1))</f>
        <v>1</v>
      </c>
      <c r="P786" s="147">
        <f>IF($E786="","",MIN(VLOOKUP(IF($B786&lt;=Input!$C$7,$B786,26),'Mortality Tables'!$A$12:$CW$37,IF($B786&lt;=Input!$C$7+1,Input!$C$4+2,$D786-Input!$C$7+2),0)*IF(B786&gt;20,Input!$C$22,1)/1000,1))</f>
        <v>1</v>
      </c>
      <c r="Q786" s="155">
        <f>IF($E786="","",Input!$C$21)</f>
        <v>5.0000000000000001E-3</v>
      </c>
      <c r="R786" s="159">
        <f>IF($E786="","",(1-Q786)^($F786-Input!$C$20))</f>
        <v>0.72193857597851663</v>
      </c>
      <c r="S786" s="147">
        <f t="shared" si="500"/>
        <v>0.72193857597851663</v>
      </c>
      <c r="T786" s="147">
        <f t="shared" si="501"/>
        <v>0.10116826999695705</v>
      </c>
      <c r="U786" s="160">
        <f>IF($E786="","",IF($C786=12,INDEX(Input!$C$15:$CP$15,1,$B786),0))</f>
        <v>0</v>
      </c>
      <c r="V786" s="150">
        <f>IF(E786="","",IF(C786=1,IF($B786=1,Input!$C$33,Input!$C$34),0))</f>
        <v>0</v>
      </c>
      <c r="W786" s="156">
        <f>IF($E786="","",Input!$C$35)</f>
        <v>0.02</v>
      </c>
      <c r="X786" s="156">
        <f t="shared" si="499"/>
        <v>3.6225231081424152</v>
      </c>
      <c r="Y786" s="154"/>
      <c r="Z786" s="147">
        <f>IF($E786="","",VLOOKUP($D786,'Mortality Margins &amp; Grading'!$AB$5:$AF$125,3,0)*IF(Summary!$D$25="Included Margin",IF(AND($B786&gt;Input!$C$9,Summary!$D$31&lt;&gt;"Included Margin"),0,1),0))</f>
        <v>0.01</v>
      </c>
      <c r="AA786" s="147">
        <f>IF($E786="","",VLOOKUP($D786,'Mortality Margins &amp; Grading'!$AB$5:$AF$125,5,0)*IF(Summary!$D$25="Included Margin",IF(AND($B786&gt;Input!$C$9,Summary!$D$31&lt;&gt;"Included Margin"),0,1),0))</f>
        <v>5.2999999999999999E-2</v>
      </c>
      <c r="AB786" s="147">
        <f>IF($E786="","",IF(AND($B786&gt;Input!$C$9,Summary!$D$31&lt;&gt;"Included Margin"),1,IF(Summary!$D$25="Included Margin",VLOOKUP($B786,'Mortality Margins &amp; Grading'!$AI$5:$AR$125,MATCH('Mortality Margins &amp; Grading'!$AQ$4,'Mortality Margins &amp; Grading'!$AI$4:$AR$4,0),0),1)))</f>
        <v>0</v>
      </c>
      <c r="AC786" s="154"/>
      <c r="AD786" s="158">
        <f>IF(E786="","",Input!$C$48*IF(Summary!$D$30="Included Margin",IF(AND($B786&gt;Input!$C$9,Summary!$D$31&lt;&gt;"Included Margin"),0,1),0))</f>
        <v>-4.4999999999999997E-3</v>
      </c>
      <c r="AE786" s="159">
        <f>IF(E786="","",IF(Summary!$D$26="Included Margin",IF(AND($B786&gt;Input!$C$9,Summary!$D$31&lt;&gt;"Included Margin"),1,1/$R786),1))</f>
        <v>1.3851593934353743</v>
      </c>
      <c r="AF786" s="160">
        <f>IF(E786="","",IF(AND($B786&gt;=Input!$C$9,$C786=12,Summary!$D$31="Included Margin",$U786&gt;0),1/U786-1,IF($B786&gt;=Input!$C$9,0,Input!$C$45*IF(Summary!$D$27="Included Margin",1,0))))</f>
        <v>0</v>
      </c>
      <c r="AG786" s="160">
        <f>IF(E786="","",Input!$C$46*IF(Summary!$D$28="Included Margin",IF(AND($B786&gt;Input!$C$9,Summary!$D$31&lt;&gt;"Included Margin"),0,1),0))</f>
        <v>0.02</v>
      </c>
      <c r="AH786" s="158">
        <f>IF(E786="","",Input!$C$47*IF(Summary!$D$29="Included Margin",IF(AND($B786&gt;Input!$C$9,Summary!$D$31&lt;&gt;"Included Margin"),0,1),0))</f>
        <v>2.5000000000000001E-3</v>
      </c>
      <c r="AI786" s="154"/>
      <c r="AJ786" s="158">
        <f t="shared" si="522"/>
        <v>4.3580000000000001E-2</v>
      </c>
      <c r="AK786" s="155">
        <f t="shared" si="523"/>
        <v>3.561084788265001E-3</v>
      </c>
      <c r="AL786" s="147">
        <f t="shared" si="524"/>
        <v>1</v>
      </c>
      <c r="AM786" s="147">
        <f t="shared" si="502"/>
        <v>1</v>
      </c>
      <c r="AN786" s="160">
        <f t="shared" si="525"/>
        <v>0</v>
      </c>
      <c r="AO786" s="161">
        <f t="shared" si="526"/>
        <v>0</v>
      </c>
      <c r="AP786" s="156">
        <f t="shared" si="503"/>
        <v>4.2473258824005597</v>
      </c>
      <c r="AQ786" s="152"/>
      <c r="AR786" s="162">
        <f t="shared" si="504"/>
        <v>99822.262230220891</v>
      </c>
      <c r="AS786" s="150">
        <f t="shared" si="527"/>
        <v>0</v>
      </c>
      <c r="AT786" s="163">
        <f t="shared" si="505"/>
        <v>0</v>
      </c>
      <c r="AU786" s="163">
        <f t="shared" si="506"/>
        <v>100000</v>
      </c>
      <c r="AV786" s="163">
        <f t="shared" si="528"/>
        <v>177.42130014498952</v>
      </c>
      <c r="AW786" s="163">
        <f t="shared" si="507"/>
        <v>99822.578699855017</v>
      </c>
      <c r="AX786" s="163">
        <f t="shared" si="508"/>
        <v>0</v>
      </c>
      <c r="AY786" s="165">
        <f t="shared" si="529"/>
        <v>99822.262230220891</v>
      </c>
      <c r="AZ786" s="164">
        <f>IF($E786="","",IF(OR(AND($D786=Input!$C$6,$C786=12),$AN786=1),0,-AS787+AT787+AU787-AV787-AW787-AX787+AZ787))</f>
        <v>99822.578699855017</v>
      </c>
      <c r="BA786" s="154">
        <f t="shared" si="509"/>
        <v>0.31646963412640616</v>
      </c>
      <c r="BC786" s="147">
        <f t="shared" si="530"/>
        <v>2.6810766835703282E-14</v>
      </c>
      <c r="BD786" s="164">
        <f>IF(AND($C785=12,$D785=Input!$C$6),0,IF($E786="","",AT786+(AU786+BD787)/(1+$AK786)*MIN((1-AM786-AN786),1)))</f>
        <v>0</v>
      </c>
      <c r="BE786" s="164">
        <f t="shared" si="510"/>
        <v>0</v>
      </c>
      <c r="BF786" s="164">
        <f t="shared" si="531"/>
        <v>99822.578699855017</v>
      </c>
      <c r="BG786" s="164">
        <f t="shared" si="511"/>
        <v>2.6763198824604537E-9</v>
      </c>
      <c r="BH786" s="152"/>
      <c r="BI786" s="162">
        <f t="shared" si="512"/>
        <v>57512.069539905766</v>
      </c>
      <c r="BJ786" s="150">
        <f t="shared" si="513"/>
        <v>0</v>
      </c>
      <c r="BK786" s="163">
        <f t="shared" si="535"/>
        <v>0</v>
      </c>
      <c r="BL786" s="163">
        <f t="shared" si="514"/>
        <v>10116.826999695704</v>
      </c>
      <c r="BM786" s="163">
        <f t="shared" si="536"/>
        <v>205.67045132622334</v>
      </c>
      <c r="BN786" s="163">
        <f t="shared" si="515"/>
        <v>5357.7391441156842</v>
      </c>
      <c r="BO786" s="163">
        <f t="shared" si="516"/>
        <v>0</v>
      </c>
      <c r="BP786" s="164">
        <f t="shared" si="537"/>
        <v>52958.652135651973</v>
      </c>
      <c r="BQ786" s="164">
        <f>IF($E786="","",IF(AND($D786=Input!$C$6,$C786=12),0,-BJ787+BK787+BL787-BM787-BN787-BO787+BQ787))</f>
        <v>52958.690944075992</v>
      </c>
      <c r="BR786" s="161">
        <f t="shared" si="517"/>
        <v>0</v>
      </c>
      <c r="BT786" s="147">
        <f t="shared" si="518"/>
        <v>2.6810766835703282E-14</v>
      </c>
      <c r="BU786" s="164">
        <f>IF(AND($C785=12,$D785=Input!$C$6),0,IF($E786="","",BK786+(BL786+BU787)/(1+$AK786)*MIN((1-T786-U786),1)))</f>
        <v>82688.847246033329</v>
      </c>
      <c r="BV786" s="164">
        <f t="shared" si="519"/>
        <v>2.2169514034264852E-9</v>
      </c>
      <c r="BW786" s="164">
        <f t="shared" si="520"/>
        <v>52958.690944075992</v>
      </c>
      <c r="BX786" s="164">
        <f t="shared" si="521"/>
        <v>1.4198631148256924E-9</v>
      </c>
    </row>
    <row r="787" spans="1:76" s="150" customFormat="1" x14ac:dyDescent="0.25">
      <c r="A787" s="150">
        <f t="shared" si="532"/>
        <v>783</v>
      </c>
      <c r="B787" s="150">
        <f t="shared" si="533"/>
        <v>66</v>
      </c>
      <c r="C787" s="150">
        <f t="shared" si="534"/>
        <v>3</v>
      </c>
      <c r="D787" s="150">
        <f>IF(E787="","",Input!$C$4+B787-1)</f>
        <v>110</v>
      </c>
      <c r="E787" s="150">
        <f>IF(OR(AND(C786=12,D786=Input!$C$6),E786=""),"",1)</f>
        <v>1</v>
      </c>
      <c r="F787" s="150">
        <f>IF(E787="","",Input!$C$8+B787-1)</f>
        <v>2083</v>
      </c>
      <c r="G787" s="151">
        <f>IF(E787="","",MAX(0,Input!$C$9-B787))</f>
        <v>0</v>
      </c>
      <c r="H787" s="152">
        <f>IF(E787="","",Input!$C$3)</f>
        <v>100000</v>
      </c>
      <c r="I787" s="153">
        <f>IF(E787="","",HLOOKUP($B787,Input!$C$13:$BT$14,2))</f>
        <v>1000</v>
      </c>
      <c r="J787" s="154"/>
      <c r="K787" s="155">
        <f>IF($E787="","",INDEX(Input!$C$16:$CP$16,1,$B787))</f>
        <v>3.3079999999999998E-2</v>
      </c>
      <c r="L787" s="155">
        <f>IF($E787="","",Input!$C$37)</f>
        <v>1.4999999999999999E-2</v>
      </c>
      <c r="M787" s="155">
        <f t="shared" si="497"/>
        <v>4.8079999999999998E-2</v>
      </c>
      <c r="N787" s="155">
        <f t="shared" si="498"/>
        <v>3.9209936323438832E-3</v>
      </c>
      <c r="O787" s="147">
        <f>IF($E787="","",MIN(VLOOKUP(IF($B787&lt;=Input!$C$7,$B787,26),'Mortality Tables'!$A$41:$CW$67,IF($B787&lt;=Input!$C$7+1,Input!$C$4+2,$D787-Input!$C$7+2),0)*IF(B787&gt;20,Input!$C$22,1)/1000,1))</f>
        <v>1</v>
      </c>
      <c r="P787" s="147">
        <f>IF($E787="","",MIN(VLOOKUP(IF($B787&lt;=Input!$C$7,$B787,26),'Mortality Tables'!$A$12:$CW$37,IF($B787&lt;=Input!$C$7+1,Input!$C$4+2,$D787-Input!$C$7+2),0)*IF(B787&gt;20,Input!$C$22,1)/1000,1))</f>
        <v>1</v>
      </c>
      <c r="Q787" s="155">
        <f>IF($E787="","",Input!$C$21)</f>
        <v>5.0000000000000001E-3</v>
      </c>
      <c r="R787" s="159">
        <f>IF($E787="","",(1-Q787)^($F787-Input!$C$20))</f>
        <v>0.72193857597851663</v>
      </c>
      <c r="S787" s="147">
        <f t="shared" si="500"/>
        <v>0.72193857597851663</v>
      </c>
      <c r="T787" s="147">
        <f t="shared" si="501"/>
        <v>0.10116826999695705</v>
      </c>
      <c r="U787" s="160">
        <f>IF($E787="","",IF($C787=12,INDEX(Input!$C$15:$CP$15,1,$B787),0))</f>
        <v>0</v>
      </c>
      <c r="V787" s="150">
        <f>IF(E787="","",IF(C787=1,IF($B787=1,Input!$C$33,Input!$C$34),0))</f>
        <v>0</v>
      </c>
      <c r="W787" s="156">
        <f>IF($E787="","",Input!$C$35)</f>
        <v>0.02</v>
      </c>
      <c r="X787" s="156">
        <f t="shared" si="499"/>
        <v>3.6225231081424152</v>
      </c>
      <c r="Y787" s="154"/>
      <c r="Z787" s="147">
        <f>IF($E787="","",VLOOKUP($D787,'Mortality Margins &amp; Grading'!$AB$5:$AF$125,3,0)*IF(Summary!$D$25="Included Margin",IF(AND($B787&gt;Input!$C$9,Summary!$D$31&lt;&gt;"Included Margin"),0,1),0))</f>
        <v>0.01</v>
      </c>
      <c r="AA787" s="147">
        <f>IF($E787="","",VLOOKUP($D787,'Mortality Margins &amp; Grading'!$AB$5:$AF$125,5,0)*IF(Summary!$D$25="Included Margin",IF(AND($B787&gt;Input!$C$9,Summary!$D$31&lt;&gt;"Included Margin"),0,1),0))</f>
        <v>5.2999999999999999E-2</v>
      </c>
      <c r="AB787" s="147">
        <f>IF($E787="","",IF(AND($B787&gt;Input!$C$9,Summary!$D$31&lt;&gt;"Included Margin"),1,IF(Summary!$D$25="Included Margin",VLOOKUP($B787,'Mortality Margins &amp; Grading'!$AI$5:$AR$125,MATCH('Mortality Margins &amp; Grading'!$AQ$4,'Mortality Margins &amp; Grading'!$AI$4:$AR$4,0),0),1)))</f>
        <v>0</v>
      </c>
      <c r="AC787" s="154"/>
      <c r="AD787" s="158">
        <f>IF(E787="","",Input!$C$48*IF(Summary!$D$30="Included Margin",IF(AND($B787&gt;Input!$C$9,Summary!$D$31&lt;&gt;"Included Margin"),0,1),0))</f>
        <v>-4.4999999999999997E-3</v>
      </c>
      <c r="AE787" s="159">
        <f>IF(E787="","",IF(Summary!$D$26="Included Margin",IF(AND($B787&gt;Input!$C$9,Summary!$D$31&lt;&gt;"Included Margin"),1,1/$R787),1))</f>
        <v>1.3851593934353743</v>
      </c>
      <c r="AF787" s="160">
        <f>IF(E787="","",IF(AND($B787&gt;=Input!$C$9,$C787=12,Summary!$D$31="Included Margin",$U787&gt;0),1/U787-1,IF($B787&gt;=Input!$C$9,0,Input!$C$45*IF(Summary!$D$27="Included Margin",1,0))))</f>
        <v>0</v>
      </c>
      <c r="AG787" s="160">
        <f>IF(E787="","",Input!$C$46*IF(Summary!$D$28="Included Margin",IF(AND($B787&gt;Input!$C$9,Summary!$D$31&lt;&gt;"Included Margin"),0,1),0))</f>
        <v>0.02</v>
      </c>
      <c r="AH787" s="158">
        <f>IF(E787="","",Input!$C$47*IF(Summary!$D$29="Included Margin",IF(AND($B787&gt;Input!$C$9,Summary!$D$31&lt;&gt;"Included Margin"),0,1),0))</f>
        <v>2.5000000000000001E-3</v>
      </c>
      <c r="AI787" s="154"/>
      <c r="AJ787" s="158">
        <f t="shared" si="522"/>
        <v>4.3580000000000001E-2</v>
      </c>
      <c r="AK787" s="155">
        <f t="shared" si="523"/>
        <v>3.561084788265001E-3</v>
      </c>
      <c r="AL787" s="147">
        <f t="shared" si="524"/>
        <v>1</v>
      </c>
      <c r="AM787" s="147">
        <f t="shared" si="502"/>
        <v>1</v>
      </c>
      <c r="AN787" s="160">
        <f t="shared" si="525"/>
        <v>0</v>
      </c>
      <c r="AO787" s="161">
        <f t="shared" si="526"/>
        <v>0</v>
      </c>
      <c r="AP787" s="156">
        <f t="shared" si="503"/>
        <v>4.2473258824005597</v>
      </c>
      <c r="AQ787" s="152"/>
      <c r="AR787" s="162">
        <f t="shared" si="504"/>
        <v>99822.262230220891</v>
      </c>
      <c r="AS787" s="150">
        <f t="shared" si="527"/>
        <v>0</v>
      </c>
      <c r="AT787" s="163">
        <f t="shared" si="505"/>
        <v>0</v>
      </c>
      <c r="AU787" s="163">
        <f t="shared" si="506"/>
        <v>100000</v>
      </c>
      <c r="AV787" s="163">
        <f t="shared" si="528"/>
        <v>177.42130014498952</v>
      </c>
      <c r="AW787" s="163">
        <f t="shared" si="507"/>
        <v>99822.578699855017</v>
      </c>
      <c r="AX787" s="163">
        <f t="shared" si="508"/>
        <v>0</v>
      </c>
      <c r="AY787" s="164">
        <f t="shared" si="529"/>
        <v>99822.262230220891</v>
      </c>
      <c r="AZ787" s="164">
        <f>IF($E787="","",IF(OR(AND($D787=Input!$C$6,$C787=12),$AN787=1),0,-AS788+AT788+AU788-AV788-AW788-AX788+AZ788))</f>
        <v>99822.578699855017</v>
      </c>
      <c r="BA787" s="154">
        <f t="shared" si="509"/>
        <v>0.31646963412640616</v>
      </c>
      <c r="BC787" s="147">
        <f t="shared" si="530"/>
        <v>2.4098367937643392E-14</v>
      </c>
      <c r="BD787" s="164">
        <f>IF(AND($C786=12,$D786=Input!$C$6),0,IF($E787="","",AT787+(AU787+BD788)/(1+$AK787)*MIN((1-AM787-AN787),1)))</f>
        <v>0</v>
      </c>
      <c r="BE787" s="164">
        <f t="shared" si="510"/>
        <v>0</v>
      </c>
      <c r="BF787" s="164">
        <f t="shared" si="531"/>
        <v>99822.578699855017</v>
      </c>
      <c r="BG787" s="164">
        <f t="shared" si="511"/>
        <v>2.4055612299934702E-9</v>
      </c>
      <c r="BH787" s="152"/>
      <c r="BI787" s="162">
        <f t="shared" si="512"/>
        <v>52958.652135651973</v>
      </c>
      <c r="BJ787" s="150">
        <f t="shared" si="513"/>
        <v>0</v>
      </c>
      <c r="BK787" s="163">
        <f t="shared" si="535"/>
        <v>0</v>
      </c>
      <c r="BL787" s="163">
        <f t="shared" si="514"/>
        <v>10116.826999695704</v>
      </c>
      <c r="BM787" s="163">
        <f t="shared" si="536"/>
        <v>187.81653067874041</v>
      </c>
      <c r="BN787" s="163">
        <f t="shared" si="515"/>
        <v>4843.2183543062347</v>
      </c>
      <c r="BO787" s="163">
        <f t="shared" si="516"/>
        <v>0</v>
      </c>
      <c r="BP787" s="164">
        <f t="shared" si="537"/>
        <v>47872.860020941247</v>
      </c>
      <c r="BQ787" s="164">
        <f>IF($E787="","",IF(AND($D787=Input!$C$6,$C787=12),0,-BJ788+BK788+BL788-BM788-BN788-BO788+BQ788))</f>
        <v>47872.898829365266</v>
      </c>
      <c r="BR787" s="161">
        <f t="shared" si="517"/>
        <v>0</v>
      </c>
      <c r="BT787" s="147">
        <f t="shared" si="518"/>
        <v>2.4098367937643392E-14</v>
      </c>
      <c r="BU787" s="164">
        <f>IF(AND($C786=12,$D786=Input!$C$6),0,IF($E787="","",BK787+(BL787+BU788)/(1+$AK787)*MIN((1-T787-U787),1)))</f>
        <v>82206.693045418186</v>
      </c>
      <c r="BV787" s="164">
        <f t="shared" si="519"/>
        <v>1.9810471359453976E-9</v>
      </c>
      <c r="BW787" s="164">
        <f t="shared" si="520"/>
        <v>47872.898829365266</v>
      </c>
      <c r="BX787" s="164">
        <f t="shared" si="521"/>
        <v>1.1536587302316218E-9</v>
      </c>
    </row>
    <row r="788" spans="1:76" s="150" customFormat="1" x14ac:dyDescent="0.25">
      <c r="A788" s="150">
        <f t="shared" si="532"/>
        <v>784</v>
      </c>
      <c r="B788" s="150">
        <f t="shared" si="533"/>
        <v>66</v>
      </c>
      <c r="C788" s="150">
        <f t="shared" si="534"/>
        <v>4</v>
      </c>
      <c r="D788" s="150">
        <f>IF(E788="","",Input!$C$4+B788-1)</f>
        <v>110</v>
      </c>
      <c r="E788" s="150">
        <f>IF(OR(AND(C787=12,D787=Input!$C$6),E787=""),"",1)</f>
        <v>1</v>
      </c>
      <c r="F788" s="150">
        <f>IF(E788="","",Input!$C$8+B788-1)</f>
        <v>2083</v>
      </c>
      <c r="G788" s="151">
        <f>IF(E788="","",MAX(0,Input!$C$9-B788))</f>
        <v>0</v>
      </c>
      <c r="H788" s="152">
        <f>IF(E788="","",Input!$C$3)</f>
        <v>100000</v>
      </c>
      <c r="I788" s="153">
        <f>IF(E788="","",HLOOKUP($B788,Input!$C$13:$BT$14,2))</f>
        <v>1000</v>
      </c>
      <c r="J788" s="154"/>
      <c r="K788" s="155">
        <f>IF($E788="","",INDEX(Input!$C$16:$CP$16,1,$B788))</f>
        <v>3.3079999999999998E-2</v>
      </c>
      <c r="L788" s="155">
        <f>IF($E788="","",Input!$C$37)</f>
        <v>1.4999999999999999E-2</v>
      </c>
      <c r="M788" s="155">
        <f t="shared" si="497"/>
        <v>4.8079999999999998E-2</v>
      </c>
      <c r="N788" s="155">
        <f t="shared" si="498"/>
        <v>3.9209936323438832E-3</v>
      </c>
      <c r="O788" s="147">
        <f>IF($E788="","",MIN(VLOOKUP(IF($B788&lt;=Input!$C$7,$B788,26),'Mortality Tables'!$A$41:$CW$67,IF($B788&lt;=Input!$C$7+1,Input!$C$4+2,$D788-Input!$C$7+2),0)*IF(B788&gt;20,Input!$C$22,1)/1000,1))</f>
        <v>1</v>
      </c>
      <c r="P788" s="147">
        <f>IF($E788="","",MIN(VLOOKUP(IF($B788&lt;=Input!$C$7,$B788,26),'Mortality Tables'!$A$12:$CW$37,IF($B788&lt;=Input!$C$7+1,Input!$C$4+2,$D788-Input!$C$7+2),0)*IF(B788&gt;20,Input!$C$22,1)/1000,1))</f>
        <v>1</v>
      </c>
      <c r="Q788" s="155">
        <f>IF($E788="","",Input!$C$21)</f>
        <v>5.0000000000000001E-3</v>
      </c>
      <c r="R788" s="159">
        <f>IF($E788="","",(1-Q788)^($F788-Input!$C$20))</f>
        <v>0.72193857597851663</v>
      </c>
      <c r="S788" s="147">
        <f t="shared" si="500"/>
        <v>0.72193857597851663</v>
      </c>
      <c r="T788" s="147">
        <f t="shared" si="501"/>
        <v>0.10116826999695705</v>
      </c>
      <c r="U788" s="160">
        <f>IF($E788="","",IF($C788=12,INDEX(Input!$C$15:$CP$15,1,$B788),0))</f>
        <v>0</v>
      </c>
      <c r="V788" s="150">
        <f>IF(E788="","",IF(C788=1,IF($B788=1,Input!$C$33,Input!$C$34),0))</f>
        <v>0</v>
      </c>
      <c r="W788" s="156">
        <f>IF($E788="","",Input!$C$35)</f>
        <v>0.02</v>
      </c>
      <c r="X788" s="156">
        <f t="shared" si="499"/>
        <v>3.6225231081424152</v>
      </c>
      <c r="Y788" s="154"/>
      <c r="Z788" s="147">
        <f>IF($E788="","",VLOOKUP($D788,'Mortality Margins &amp; Grading'!$AB$5:$AF$125,3,0)*IF(Summary!$D$25="Included Margin",IF(AND($B788&gt;Input!$C$9,Summary!$D$31&lt;&gt;"Included Margin"),0,1),0))</f>
        <v>0.01</v>
      </c>
      <c r="AA788" s="147">
        <f>IF($E788="","",VLOOKUP($D788,'Mortality Margins &amp; Grading'!$AB$5:$AF$125,5,0)*IF(Summary!$D$25="Included Margin",IF(AND($B788&gt;Input!$C$9,Summary!$D$31&lt;&gt;"Included Margin"),0,1),0))</f>
        <v>5.2999999999999999E-2</v>
      </c>
      <c r="AB788" s="147">
        <f>IF($E788="","",IF(AND($B788&gt;Input!$C$9,Summary!$D$31&lt;&gt;"Included Margin"),1,IF(Summary!$D$25="Included Margin",VLOOKUP($B788,'Mortality Margins &amp; Grading'!$AI$5:$AR$125,MATCH('Mortality Margins &amp; Grading'!$AQ$4,'Mortality Margins &amp; Grading'!$AI$4:$AR$4,0),0),1)))</f>
        <v>0</v>
      </c>
      <c r="AC788" s="154"/>
      <c r="AD788" s="158">
        <f>IF(E788="","",Input!$C$48*IF(Summary!$D$30="Included Margin",IF(AND($B788&gt;Input!$C$9,Summary!$D$31&lt;&gt;"Included Margin"),0,1),0))</f>
        <v>-4.4999999999999997E-3</v>
      </c>
      <c r="AE788" s="159">
        <f>IF(E788="","",IF(Summary!$D$26="Included Margin",IF(AND($B788&gt;Input!$C$9,Summary!$D$31&lt;&gt;"Included Margin"),1,1/$R788),1))</f>
        <v>1.3851593934353743</v>
      </c>
      <c r="AF788" s="160">
        <f>IF(E788="","",IF(AND($B788&gt;=Input!$C$9,$C788=12,Summary!$D$31="Included Margin",$U788&gt;0),1/U788-1,IF($B788&gt;=Input!$C$9,0,Input!$C$45*IF(Summary!$D$27="Included Margin",1,0))))</f>
        <v>0</v>
      </c>
      <c r="AG788" s="160">
        <f>IF(E788="","",Input!$C$46*IF(Summary!$D$28="Included Margin",IF(AND($B788&gt;Input!$C$9,Summary!$D$31&lt;&gt;"Included Margin"),0,1),0))</f>
        <v>0.02</v>
      </c>
      <c r="AH788" s="158">
        <f>IF(E788="","",Input!$C$47*IF(Summary!$D$29="Included Margin",IF(AND($B788&gt;Input!$C$9,Summary!$D$31&lt;&gt;"Included Margin"),0,1),0))</f>
        <v>2.5000000000000001E-3</v>
      </c>
      <c r="AI788" s="154"/>
      <c r="AJ788" s="158">
        <f t="shared" si="522"/>
        <v>4.3580000000000001E-2</v>
      </c>
      <c r="AK788" s="155">
        <f t="shared" si="523"/>
        <v>3.561084788265001E-3</v>
      </c>
      <c r="AL788" s="147">
        <f t="shared" si="524"/>
        <v>1</v>
      </c>
      <c r="AM788" s="147">
        <f t="shared" si="502"/>
        <v>1</v>
      </c>
      <c r="AN788" s="160">
        <f t="shared" si="525"/>
        <v>0</v>
      </c>
      <c r="AO788" s="161">
        <f t="shared" si="526"/>
        <v>0</v>
      </c>
      <c r="AP788" s="156">
        <f t="shared" si="503"/>
        <v>4.2473258824005597</v>
      </c>
      <c r="AQ788" s="152"/>
      <c r="AR788" s="162">
        <f t="shared" si="504"/>
        <v>99822.262230220891</v>
      </c>
      <c r="AS788" s="150">
        <f t="shared" si="527"/>
        <v>0</v>
      </c>
      <c r="AT788" s="163">
        <f t="shared" si="505"/>
        <v>0</v>
      </c>
      <c r="AU788" s="163">
        <f t="shared" si="506"/>
        <v>100000</v>
      </c>
      <c r="AV788" s="163">
        <f t="shared" si="528"/>
        <v>177.42130014498952</v>
      </c>
      <c r="AW788" s="163">
        <f t="shared" si="507"/>
        <v>99822.578699855017</v>
      </c>
      <c r="AX788" s="163">
        <f t="shared" si="508"/>
        <v>0</v>
      </c>
      <c r="AY788" s="165">
        <f t="shared" si="529"/>
        <v>99822.262230220891</v>
      </c>
      <c r="AZ788" s="164">
        <f>IF($E788="","",IF(OR(AND($D788=Input!$C$6,$C788=12),$AN788=1),0,-AS789+AT789+AU789-AV789-AW789-AX789+AZ789))</f>
        <v>99822.578699855017</v>
      </c>
      <c r="BA788" s="154">
        <f t="shared" si="509"/>
        <v>0.31646963412640616</v>
      </c>
      <c r="BC788" s="147">
        <f t="shared" si="530"/>
        <v>2.1660377743641872E-14</v>
      </c>
      <c r="BD788" s="164">
        <f>IF(AND($C787=12,$D787=Input!$C$6),0,IF($E788="","",AT788+(AU788+BD789)/(1+$AK788)*MIN((1-AM788-AN788),1)))</f>
        <v>0</v>
      </c>
      <c r="BE788" s="164">
        <f t="shared" si="510"/>
        <v>0</v>
      </c>
      <c r="BF788" s="164">
        <f t="shared" si="531"/>
        <v>99822.578699855017</v>
      </c>
      <c r="BG788" s="164">
        <f t="shared" si="511"/>
        <v>2.1621947619832789E-9</v>
      </c>
      <c r="BH788" s="152"/>
      <c r="BI788" s="162">
        <f t="shared" si="512"/>
        <v>47872.860020941247</v>
      </c>
      <c r="BJ788" s="150">
        <f t="shared" si="513"/>
        <v>0</v>
      </c>
      <c r="BK788" s="163">
        <f t="shared" si="535"/>
        <v>0</v>
      </c>
      <c r="BL788" s="163">
        <f t="shared" si="514"/>
        <v>10116.826999695704</v>
      </c>
      <c r="BM788" s="163">
        <f t="shared" si="536"/>
        <v>167.87517218153491</v>
      </c>
      <c r="BN788" s="163">
        <f t="shared" si="515"/>
        <v>4268.5410200422857</v>
      </c>
      <c r="BO788" s="163">
        <f t="shared" si="516"/>
        <v>0</v>
      </c>
      <c r="BP788" s="164">
        <f t="shared" si="537"/>
        <v>42192.449213469365</v>
      </c>
      <c r="BQ788" s="164">
        <f>IF($E788="","",IF(AND($D788=Input!$C$6,$C788=12),0,-BJ789+BK789+BL789-BM789-BN789-BO789+BQ789))</f>
        <v>42192.488021893383</v>
      </c>
      <c r="BR788" s="161">
        <f t="shared" si="517"/>
        <v>0</v>
      </c>
      <c r="BT788" s="147">
        <f t="shared" si="518"/>
        <v>2.1660377743641872E-14</v>
      </c>
      <c r="BU788" s="164">
        <f>IF(AND($C787=12,$D787=Input!$C$6),0,IF($E788="","",BK788+(BL788+BU789)/(1+$AK788)*MIN((1-T788-U788),1)))</f>
        <v>81668.359588272753</v>
      </c>
      <c r="BV788" s="164">
        <f t="shared" si="519"/>
        <v>1.7689675183855644E-9</v>
      </c>
      <c r="BW788" s="164">
        <f t="shared" si="520"/>
        <v>42192.488021893383</v>
      </c>
      <c r="BX788" s="164">
        <f t="shared" si="521"/>
        <v>9.1390522849829573E-10</v>
      </c>
    </row>
    <row r="789" spans="1:76" s="150" customFormat="1" x14ac:dyDescent="0.25">
      <c r="A789" s="150">
        <f t="shared" si="532"/>
        <v>785</v>
      </c>
      <c r="B789" s="150">
        <f t="shared" si="533"/>
        <v>66</v>
      </c>
      <c r="C789" s="150">
        <f t="shared" si="534"/>
        <v>5</v>
      </c>
      <c r="D789" s="150">
        <f>IF(E789="","",Input!$C$4+B789-1)</f>
        <v>110</v>
      </c>
      <c r="E789" s="150">
        <f>IF(OR(AND(C788=12,D788=Input!$C$6),E788=""),"",1)</f>
        <v>1</v>
      </c>
      <c r="F789" s="150">
        <f>IF(E789="","",Input!$C$8+B789-1)</f>
        <v>2083</v>
      </c>
      <c r="G789" s="151">
        <f>IF(E789="","",MAX(0,Input!$C$9-B789))</f>
        <v>0</v>
      </c>
      <c r="H789" s="152">
        <f>IF(E789="","",Input!$C$3)</f>
        <v>100000</v>
      </c>
      <c r="I789" s="153">
        <f>IF(E789="","",HLOOKUP($B789,Input!$C$13:$BT$14,2))</f>
        <v>1000</v>
      </c>
      <c r="J789" s="154"/>
      <c r="K789" s="155">
        <f>IF($E789="","",INDEX(Input!$C$16:$CP$16,1,$B789))</f>
        <v>3.3079999999999998E-2</v>
      </c>
      <c r="L789" s="155">
        <f>IF($E789="","",Input!$C$37)</f>
        <v>1.4999999999999999E-2</v>
      </c>
      <c r="M789" s="155">
        <f t="shared" si="497"/>
        <v>4.8079999999999998E-2</v>
      </c>
      <c r="N789" s="155">
        <f t="shared" si="498"/>
        <v>3.9209936323438832E-3</v>
      </c>
      <c r="O789" s="147">
        <f>IF($E789="","",MIN(VLOOKUP(IF($B789&lt;=Input!$C$7,$B789,26),'Mortality Tables'!$A$41:$CW$67,IF($B789&lt;=Input!$C$7+1,Input!$C$4+2,$D789-Input!$C$7+2),0)*IF(B789&gt;20,Input!$C$22,1)/1000,1))</f>
        <v>1</v>
      </c>
      <c r="P789" s="147">
        <f>IF($E789="","",MIN(VLOOKUP(IF($B789&lt;=Input!$C$7,$B789,26),'Mortality Tables'!$A$12:$CW$37,IF($B789&lt;=Input!$C$7+1,Input!$C$4+2,$D789-Input!$C$7+2),0)*IF(B789&gt;20,Input!$C$22,1)/1000,1))</f>
        <v>1</v>
      </c>
      <c r="Q789" s="155">
        <f>IF($E789="","",Input!$C$21)</f>
        <v>5.0000000000000001E-3</v>
      </c>
      <c r="R789" s="159">
        <f>IF($E789="","",(1-Q789)^($F789-Input!$C$20))</f>
        <v>0.72193857597851663</v>
      </c>
      <c r="S789" s="147">
        <f t="shared" si="500"/>
        <v>0.72193857597851663</v>
      </c>
      <c r="T789" s="147">
        <f t="shared" si="501"/>
        <v>0.10116826999695705</v>
      </c>
      <c r="U789" s="160">
        <f>IF($E789="","",IF($C789=12,INDEX(Input!$C$15:$CP$15,1,$B789),0))</f>
        <v>0</v>
      </c>
      <c r="V789" s="150">
        <f>IF(E789="","",IF(C789=1,IF($B789=1,Input!$C$33,Input!$C$34),0))</f>
        <v>0</v>
      </c>
      <c r="W789" s="156">
        <f>IF($E789="","",Input!$C$35)</f>
        <v>0.02</v>
      </c>
      <c r="X789" s="156">
        <f t="shared" si="499"/>
        <v>3.6225231081424152</v>
      </c>
      <c r="Y789" s="154"/>
      <c r="Z789" s="147">
        <f>IF($E789="","",VLOOKUP($D789,'Mortality Margins &amp; Grading'!$AB$5:$AF$125,3,0)*IF(Summary!$D$25="Included Margin",IF(AND($B789&gt;Input!$C$9,Summary!$D$31&lt;&gt;"Included Margin"),0,1),0))</f>
        <v>0.01</v>
      </c>
      <c r="AA789" s="147">
        <f>IF($E789="","",VLOOKUP($D789,'Mortality Margins &amp; Grading'!$AB$5:$AF$125,5,0)*IF(Summary!$D$25="Included Margin",IF(AND($B789&gt;Input!$C$9,Summary!$D$31&lt;&gt;"Included Margin"),0,1),0))</f>
        <v>5.2999999999999999E-2</v>
      </c>
      <c r="AB789" s="147">
        <f>IF($E789="","",IF(AND($B789&gt;Input!$C$9,Summary!$D$31&lt;&gt;"Included Margin"),1,IF(Summary!$D$25="Included Margin",VLOOKUP($B789,'Mortality Margins &amp; Grading'!$AI$5:$AR$125,MATCH('Mortality Margins &amp; Grading'!$AQ$4,'Mortality Margins &amp; Grading'!$AI$4:$AR$4,0),0),1)))</f>
        <v>0</v>
      </c>
      <c r="AC789" s="154"/>
      <c r="AD789" s="158">
        <f>IF(E789="","",Input!$C$48*IF(Summary!$D$30="Included Margin",IF(AND($B789&gt;Input!$C$9,Summary!$D$31&lt;&gt;"Included Margin"),0,1),0))</f>
        <v>-4.4999999999999997E-3</v>
      </c>
      <c r="AE789" s="159">
        <f>IF(E789="","",IF(Summary!$D$26="Included Margin",IF(AND($B789&gt;Input!$C$9,Summary!$D$31&lt;&gt;"Included Margin"),1,1/$R789),1))</f>
        <v>1.3851593934353743</v>
      </c>
      <c r="AF789" s="160">
        <f>IF(E789="","",IF(AND($B789&gt;=Input!$C$9,$C789=12,Summary!$D$31="Included Margin",$U789&gt;0),1/U789-1,IF($B789&gt;=Input!$C$9,0,Input!$C$45*IF(Summary!$D$27="Included Margin",1,0))))</f>
        <v>0</v>
      </c>
      <c r="AG789" s="160">
        <f>IF(E789="","",Input!$C$46*IF(Summary!$D$28="Included Margin",IF(AND($B789&gt;Input!$C$9,Summary!$D$31&lt;&gt;"Included Margin"),0,1),0))</f>
        <v>0.02</v>
      </c>
      <c r="AH789" s="158">
        <f>IF(E789="","",Input!$C$47*IF(Summary!$D$29="Included Margin",IF(AND($B789&gt;Input!$C$9,Summary!$D$31&lt;&gt;"Included Margin"),0,1),0))</f>
        <v>2.5000000000000001E-3</v>
      </c>
      <c r="AI789" s="154"/>
      <c r="AJ789" s="158">
        <f t="shared" si="522"/>
        <v>4.3580000000000001E-2</v>
      </c>
      <c r="AK789" s="155">
        <f t="shared" si="523"/>
        <v>3.561084788265001E-3</v>
      </c>
      <c r="AL789" s="147">
        <f t="shared" si="524"/>
        <v>1</v>
      </c>
      <c r="AM789" s="147">
        <f t="shared" si="502"/>
        <v>1</v>
      </c>
      <c r="AN789" s="160">
        <f t="shared" si="525"/>
        <v>0</v>
      </c>
      <c r="AO789" s="161">
        <f t="shared" si="526"/>
        <v>0</v>
      </c>
      <c r="AP789" s="156">
        <f t="shared" si="503"/>
        <v>4.2473258824005597</v>
      </c>
      <c r="AQ789" s="152"/>
      <c r="AR789" s="162">
        <f t="shared" si="504"/>
        <v>99822.262230220891</v>
      </c>
      <c r="AS789" s="150">
        <f t="shared" si="527"/>
        <v>0</v>
      </c>
      <c r="AT789" s="163">
        <f t="shared" si="505"/>
        <v>0</v>
      </c>
      <c r="AU789" s="163">
        <f t="shared" si="506"/>
        <v>100000</v>
      </c>
      <c r="AV789" s="163">
        <f t="shared" si="528"/>
        <v>177.42130014498952</v>
      </c>
      <c r="AW789" s="163">
        <f t="shared" si="507"/>
        <v>99822.578699855017</v>
      </c>
      <c r="AX789" s="163">
        <f t="shared" si="508"/>
        <v>0</v>
      </c>
      <c r="AY789" s="164">
        <f t="shared" si="529"/>
        <v>99822.262230220891</v>
      </c>
      <c r="AZ789" s="164">
        <f>IF($E789="","",IF(OR(AND($D789=Input!$C$6,$C789=12),$AN789=1),0,-AS790+AT790+AU790-AV790-AW790-AX790+AZ790))</f>
        <v>99822.578699855017</v>
      </c>
      <c r="BA789" s="154">
        <f t="shared" si="509"/>
        <v>0.31646963412640616</v>
      </c>
      <c r="BC789" s="147">
        <f t="shared" si="530"/>
        <v>1.9469034799837032E-14</v>
      </c>
      <c r="BD789" s="164">
        <f>IF(AND($C788=12,$D788=Input!$C$6),0,IF($E789="","",AT789+(AU789+BD790)/(1+$AK789)*MIN((1-AM789-AN789),1)))</f>
        <v>0</v>
      </c>
      <c r="BE789" s="164">
        <f t="shared" si="510"/>
        <v>0</v>
      </c>
      <c r="BF789" s="164">
        <f t="shared" si="531"/>
        <v>99822.578699855017</v>
      </c>
      <c r="BG789" s="164">
        <f t="shared" si="511"/>
        <v>1.9434492585169482E-9</v>
      </c>
      <c r="BH789" s="152"/>
      <c r="BI789" s="162">
        <f t="shared" si="512"/>
        <v>42192.449213469357</v>
      </c>
      <c r="BJ789" s="150">
        <f t="shared" si="513"/>
        <v>0</v>
      </c>
      <c r="BK789" s="163">
        <f t="shared" si="535"/>
        <v>0</v>
      </c>
      <c r="BL789" s="163">
        <f t="shared" si="514"/>
        <v>10116.826999695704</v>
      </c>
      <c r="BM789" s="163">
        <f t="shared" si="536"/>
        <v>145.60231757634025</v>
      </c>
      <c r="BN789" s="163">
        <f t="shared" si="515"/>
        <v>3626.6737815211263</v>
      </c>
      <c r="BO789" s="163">
        <f t="shared" si="516"/>
        <v>0</v>
      </c>
      <c r="BP789" s="164">
        <f t="shared" si="537"/>
        <v>35847.898312871119</v>
      </c>
      <c r="BQ789" s="164">
        <f>IF($E789="","",IF(AND($D789=Input!$C$6,$C789=12),0,-BJ790+BK790+BL790-BM790-BN790-BO790+BQ790))</f>
        <v>35847.937121295145</v>
      </c>
      <c r="BR789" s="161">
        <f t="shared" si="517"/>
        <v>0</v>
      </c>
      <c r="BT789" s="147">
        <f t="shared" si="518"/>
        <v>1.9469034799837032E-14</v>
      </c>
      <c r="BU789" s="164">
        <f>IF(AND($C788=12,$D788=Input!$C$6),0,IF($E789="","",BK789+(BL789+BU790)/(1+$AK789)*MIN((1-T789-U789),1)))</f>
        <v>81067.301025032168</v>
      </c>
      <c r="BV789" s="164">
        <f t="shared" si="519"/>
        <v>1.5783021047852155E-9</v>
      </c>
      <c r="BW789" s="164">
        <f t="shared" si="520"/>
        <v>35847.937121295145</v>
      </c>
      <c r="BX789" s="164">
        <f t="shared" si="521"/>
        <v>6.9792473531686498E-10</v>
      </c>
    </row>
    <row r="790" spans="1:76" s="150" customFormat="1" x14ac:dyDescent="0.25">
      <c r="A790" s="150">
        <f t="shared" si="532"/>
        <v>786</v>
      </c>
      <c r="B790" s="150">
        <f t="shared" si="533"/>
        <v>66</v>
      </c>
      <c r="C790" s="150">
        <f t="shared" si="534"/>
        <v>6</v>
      </c>
      <c r="D790" s="150">
        <f>IF(E790="","",Input!$C$4+B790-1)</f>
        <v>110</v>
      </c>
      <c r="E790" s="150">
        <f>IF(OR(AND(C789=12,D789=Input!$C$6),E789=""),"",1)</f>
        <v>1</v>
      </c>
      <c r="F790" s="150">
        <f>IF(E790="","",Input!$C$8+B790-1)</f>
        <v>2083</v>
      </c>
      <c r="G790" s="151">
        <f>IF(E790="","",MAX(0,Input!$C$9-B790))</f>
        <v>0</v>
      </c>
      <c r="H790" s="152">
        <f>IF(E790="","",Input!$C$3)</f>
        <v>100000</v>
      </c>
      <c r="I790" s="153">
        <f>IF(E790="","",HLOOKUP($B790,Input!$C$13:$BT$14,2))</f>
        <v>1000</v>
      </c>
      <c r="J790" s="154"/>
      <c r="K790" s="155">
        <f>IF($E790="","",INDEX(Input!$C$16:$CP$16,1,$B790))</f>
        <v>3.3079999999999998E-2</v>
      </c>
      <c r="L790" s="155">
        <f>IF($E790="","",Input!$C$37)</f>
        <v>1.4999999999999999E-2</v>
      </c>
      <c r="M790" s="155">
        <f t="shared" si="497"/>
        <v>4.8079999999999998E-2</v>
      </c>
      <c r="N790" s="155">
        <f t="shared" si="498"/>
        <v>3.9209936323438832E-3</v>
      </c>
      <c r="O790" s="147">
        <f>IF($E790="","",MIN(VLOOKUP(IF($B790&lt;=Input!$C$7,$B790,26),'Mortality Tables'!$A$41:$CW$67,IF($B790&lt;=Input!$C$7+1,Input!$C$4+2,$D790-Input!$C$7+2),0)*IF(B790&gt;20,Input!$C$22,1)/1000,1))</f>
        <v>1</v>
      </c>
      <c r="P790" s="147">
        <f>IF($E790="","",MIN(VLOOKUP(IF($B790&lt;=Input!$C$7,$B790,26),'Mortality Tables'!$A$12:$CW$37,IF($B790&lt;=Input!$C$7+1,Input!$C$4+2,$D790-Input!$C$7+2),0)*IF(B790&gt;20,Input!$C$22,1)/1000,1))</f>
        <v>1</v>
      </c>
      <c r="Q790" s="155">
        <f>IF($E790="","",Input!$C$21)</f>
        <v>5.0000000000000001E-3</v>
      </c>
      <c r="R790" s="159">
        <f>IF($E790="","",(1-Q790)^($F790-Input!$C$20))</f>
        <v>0.72193857597851663</v>
      </c>
      <c r="S790" s="147">
        <f t="shared" si="500"/>
        <v>0.72193857597851663</v>
      </c>
      <c r="T790" s="147">
        <f t="shared" si="501"/>
        <v>0.10116826999695705</v>
      </c>
      <c r="U790" s="160">
        <f>IF($E790="","",IF($C790=12,INDEX(Input!$C$15:$CP$15,1,$B790),0))</f>
        <v>0</v>
      </c>
      <c r="V790" s="150">
        <f>IF(E790="","",IF(C790=1,IF($B790=1,Input!$C$33,Input!$C$34),0))</f>
        <v>0</v>
      </c>
      <c r="W790" s="156">
        <f>IF($E790="","",Input!$C$35)</f>
        <v>0.02</v>
      </c>
      <c r="X790" s="156">
        <f t="shared" si="499"/>
        <v>3.6225231081424152</v>
      </c>
      <c r="Y790" s="154"/>
      <c r="Z790" s="147">
        <f>IF($E790="","",VLOOKUP($D790,'Mortality Margins &amp; Grading'!$AB$5:$AF$125,3,0)*IF(Summary!$D$25="Included Margin",IF(AND($B790&gt;Input!$C$9,Summary!$D$31&lt;&gt;"Included Margin"),0,1),0))</f>
        <v>0.01</v>
      </c>
      <c r="AA790" s="147">
        <f>IF($E790="","",VLOOKUP($D790,'Mortality Margins &amp; Grading'!$AB$5:$AF$125,5,0)*IF(Summary!$D$25="Included Margin",IF(AND($B790&gt;Input!$C$9,Summary!$D$31&lt;&gt;"Included Margin"),0,1),0))</f>
        <v>5.2999999999999999E-2</v>
      </c>
      <c r="AB790" s="147">
        <f>IF($E790="","",IF(AND($B790&gt;Input!$C$9,Summary!$D$31&lt;&gt;"Included Margin"),1,IF(Summary!$D$25="Included Margin",VLOOKUP($B790,'Mortality Margins &amp; Grading'!$AI$5:$AR$125,MATCH('Mortality Margins &amp; Grading'!$AQ$4,'Mortality Margins &amp; Grading'!$AI$4:$AR$4,0),0),1)))</f>
        <v>0</v>
      </c>
      <c r="AC790" s="154"/>
      <c r="AD790" s="158">
        <f>IF(E790="","",Input!$C$48*IF(Summary!$D$30="Included Margin",IF(AND($B790&gt;Input!$C$9,Summary!$D$31&lt;&gt;"Included Margin"),0,1),0))</f>
        <v>-4.4999999999999997E-3</v>
      </c>
      <c r="AE790" s="159">
        <f>IF(E790="","",IF(Summary!$D$26="Included Margin",IF(AND($B790&gt;Input!$C$9,Summary!$D$31&lt;&gt;"Included Margin"),1,1/$R790),1))</f>
        <v>1.3851593934353743</v>
      </c>
      <c r="AF790" s="160">
        <f>IF(E790="","",IF(AND($B790&gt;=Input!$C$9,$C790=12,Summary!$D$31="Included Margin",$U790&gt;0),1/U790-1,IF($B790&gt;=Input!$C$9,0,Input!$C$45*IF(Summary!$D$27="Included Margin",1,0))))</f>
        <v>0</v>
      </c>
      <c r="AG790" s="160">
        <f>IF(E790="","",Input!$C$46*IF(Summary!$D$28="Included Margin",IF(AND($B790&gt;Input!$C$9,Summary!$D$31&lt;&gt;"Included Margin"),0,1),0))</f>
        <v>0.02</v>
      </c>
      <c r="AH790" s="158">
        <f>IF(E790="","",Input!$C$47*IF(Summary!$D$29="Included Margin",IF(AND($B790&gt;Input!$C$9,Summary!$D$31&lt;&gt;"Included Margin"),0,1),0))</f>
        <v>2.5000000000000001E-3</v>
      </c>
      <c r="AI790" s="154"/>
      <c r="AJ790" s="158">
        <f t="shared" si="522"/>
        <v>4.3580000000000001E-2</v>
      </c>
      <c r="AK790" s="155">
        <f t="shared" si="523"/>
        <v>3.561084788265001E-3</v>
      </c>
      <c r="AL790" s="147">
        <f t="shared" si="524"/>
        <v>1</v>
      </c>
      <c r="AM790" s="147">
        <f t="shared" si="502"/>
        <v>1</v>
      </c>
      <c r="AN790" s="160">
        <f t="shared" si="525"/>
        <v>0</v>
      </c>
      <c r="AO790" s="161">
        <f t="shared" si="526"/>
        <v>0</v>
      </c>
      <c r="AP790" s="156">
        <f t="shared" si="503"/>
        <v>4.2473258824005597</v>
      </c>
      <c r="AQ790" s="152"/>
      <c r="AR790" s="162">
        <f t="shared" si="504"/>
        <v>99822.262230220891</v>
      </c>
      <c r="AS790" s="150">
        <f t="shared" si="527"/>
        <v>0</v>
      </c>
      <c r="AT790" s="163">
        <f t="shared" si="505"/>
        <v>0</v>
      </c>
      <c r="AU790" s="163">
        <f t="shared" si="506"/>
        <v>100000</v>
      </c>
      <c r="AV790" s="163">
        <f t="shared" si="528"/>
        <v>177.42130014498952</v>
      </c>
      <c r="AW790" s="163">
        <f t="shared" si="507"/>
        <v>99822.578699855017</v>
      </c>
      <c r="AX790" s="163">
        <f t="shared" si="508"/>
        <v>0</v>
      </c>
      <c r="AY790" s="165">
        <f t="shared" si="529"/>
        <v>99822.262230220891</v>
      </c>
      <c r="AZ790" s="164">
        <f>IF($E790="","",IF(OR(AND($D790=Input!$C$6,$C790=12),$AN790=1),0,-AS791+AT791+AU791-AV791-AW791-AX791+AZ791))</f>
        <v>99822.578699855017</v>
      </c>
      <c r="BA790" s="154">
        <f t="shared" si="509"/>
        <v>0.31646963412640616</v>
      </c>
      <c r="BC790" s="147">
        <f t="shared" si="530"/>
        <v>1.7499386230626967E-14</v>
      </c>
      <c r="BD790" s="164">
        <f>IF(AND($C789=12,$D789=Input!$C$6),0,IF($E790="","",AT790+(AU790+BD791)/(1+$AK790)*MIN((1-AM790-AN790),1)))</f>
        <v>0</v>
      </c>
      <c r="BE790" s="164">
        <f t="shared" si="510"/>
        <v>0</v>
      </c>
      <c r="BF790" s="164">
        <f t="shared" si="531"/>
        <v>99822.578699855017</v>
      </c>
      <c r="BG790" s="164">
        <f t="shared" si="511"/>
        <v>1.7468338592059197E-9</v>
      </c>
      <c r="BH790" s="152"/>
      <c r="BI790" s="162">
        <f t="shared" si="512"/>
        <v>35847.898312871126</v>
      </c>
      <c r="BJ790" s="150">
        <f t="shared" si="513"/>
        <v>0</v>
      </c>
      <c r="BK790" s="163">
        <f t="shared" si="535"/>
        <v>0</v>
      </c>
      <c r="BL790" s="163">
        <f t="shared" si="514"/>
        <v>10116.826999695704</v>
      </c>
      <c r="BM790" s="163">
        <f t="shared" si="536"/>
        <v>120.72537389501296</v>
      </c>
      <c r="BN790" s="163">
        <f t="shared" si="515"/>
        <v>2909.7609552749618</v>
      </c>
      <c r="BO790" s="163">
        <f t="shared" si="516"/>
        <v>0</v>
      </c>
      <c r="BP790" s="164">
        <f t="shared" si="537"/>
        <v>28761.557642345397</v>
      </c>
      <c r="BQ790" s="164">
        <f>IF($E790="","",IF(AND($D790=Input!$C$6,$C790=12),0,-BJ791+BK791+BL791-BM791-BN791-BO791+BQ791))</f>
        <v>28761.596450769415</v>
      </c>
      <c r="BR790" s="161">
        <f t="shared" si="517"/>
        <v>0</v>
      </c>
      <c r="BT790" s="147">
        <f t="shared" si="518"/>
        <v>1.7499386230626967E-14</v>
      </c>
      <c r="BU790" s="164">
        <f>IF(AND($C789=12,$D789=Input!$C$6),0,IF($E790="","",BK790+(BL790+BU791)/(1+$AK790)*MIN((1-T790-U790),1)))</f>
        <v>80396.208802080771</v>
      </c>
      <c r="BV790" s="164">
        <f t="shared" si="519"/>
        <v>1.4068843093057429E-9</v>
      </c>
      <c r="BW790" s="164">
        <f t="shared" si="520"/>
        <v>28761.596450769415</v>
      </c>
      <c r="BX790" s="164">
        <f t="shared" si="521"/>
        <v>5.0331028490144373E-10</v>
      </c>
    </row>
    <row r="791" spans="1:76" s="150" customFormat="1" x14ac:dyDescent="0.25">
      <c r="A791" s="150">
        <f t="shared" si="532"/>
        <v>787</v>
      </c>
      <c r="B791" s="150">
        <f t="shared" si="533"/>
        <v>66</v>
      </c>
      <c r="C791" s="150">
        <f t="shared" si="534"/>
        <v>7</v>
      </c>
      <c r="D791" s="150">
        <f>IF(E791="","",Input!$C$4+B791-1)</f>
        <v>110</v>
      </c>
      <c r="E791" s="150">
        <f>IF(OR(AND(C790=12,D790=Input!$C$6),E790=""),"",1)</f>
        <v>1</v>
      </c>
      <c r="F791" s="150">
        <f>IF(E791="","",Input!$C$8+B791-1)</f>
        <v>2083</v>
      </c>
      <c r="G791" s="151">
        <f>IF(E791="","",MAX(0,Input!$C$9-B791))</f>
        <v>0</v>
      </c>
      <c r="H791" s="152">
        <f>IF(E791="","",Input!$C$3)</f>
        <v>100000</v>
      </c>
      <c r="I791" s="153">
        <f>IF(E791="","",HLOOKUP($B791,Input!$C$13:$BT$14,2))</f>
        <v>1000</v>
      </c>
      <c r="J791" s="154"/>
      <c r="K791" s="155">
        <f>IF($E791="","",INDEX(Input!$C$16:$CP$16,1,$B791))</f>
        <v>3.3079999999999998E-2</v>
      </c>
      <c r="L791" s="155">
        <f>IF($E791="","",Input!$C$37)</f>
        <v>1.4999999999999999E-2</v>
      </c>
      <c r="M791" s="155">
        <f t="shared" si="497"/>
        <v>4.8079999999999998E-2</v>
      </c>
      <c r="N791" s="155">
        <f t="shared" si="498"/>
        <v>3.9209936323438832E-3</v>
      </c>
      <c r="O791" s="147">
        <f>IF($E791="","",MIN(VLOOKUP(IF($B791&lt;=Input!$C$7,$B791,26),'Mortality Tables'!$A$41:$CW$67,IF($B791&lt;=Input!$C$7+1,Input!$C$4+2,$D791-Input!$C$7+2),0)*IF(B791&gt;20,Input!$C$22,1)/1000,1))</f>
        <v>1</v>
      </c>
      <c r="P791" s="147">
        <f>IF($E791="","",MIN(VLOOKUP(IF($B791&lt;=Input!$C$7,$B791,26),'Mortality Tables'!$A$12:$CW$37,IF($B791&lt;=Input!$C$7+1,Input!$C$4+2,$D791-Input!$C$7+2),0)*IF(B791&gt;20,Input!$C$22,1)/1000,1))</f>
        <v>1</v>
      </c>
      <c r="Q791" s="155">
        <f>IF($E791="","",Input!$C$21)</f>
        <v>5.0000000000000001E-3</v>
      </c>
      <c r="R791" s="159">
        <f>IF($E791="","",(1-Q791)^($F791-Input!$C$20))</f>
        <v>0.72193857597851663</v>
      </c>
      <c r="S791" s="147">
        <f t="shared" si="500"/>
        <v>0.72193857597851663</v>
      </c>
      <c r="T791" s="147">
        <f t="shared" si="501"/>
        <v>0.10116826999695705</v>
      </c>
      <c r="U791" s="160">
        <f>IF($E791="","",IF($C791=12,INDEX(Input!$C$15:$CP$15,1,$B791),0))</f>
        <v>0</v>
      </c>
      <c r="V791" s="150">
        <f>IF(E791="","",IF(C791=1,IF($B791=1,Input!$C$33,Input!$C$34),0))</f>
        <v>0</v>
      </c>
      <c r="W791" s="156">
        <f>IF($E791="","",Input!$C$35)</f>
        <v>0.02</v>
      </c>
      <c r="X791" s="156">
        <f t="shared" si="499"/>
        <v>3.6225231081424152</v>
      </c>
      <c r="Y791" s="154"/>
      <c r="Z791" s="147">
        <f>IF($E791="","",VLOOKUP($D791,'Mortality Margins &amp; Grading'!$AB$5:$AF$125,3,0)*IF(Summary!$D$25="Included Margin",IF(AND($B791&gt;Input!$C$9,Summary!$D$31&lt;&gt;"Included Margin"),0,1),0))</f>
        <v>0.01</v>
      </c>
      <c r="AA791" s="147">
        <f>IF($E791="","",VLOOKUP($D791,'Mortality Margins &amp; Grading'!$AB$5:$AF$125,5,0)*IF(Summary!$D$25="Included Margin",IF(AND($B791&gt;Input!$C$9,Summary!$D$31&lt;&gt;"Included Margin"),0,1),0))</f>
        <v>5.2999999999999999E-2</v>
      </c>
      <c r="AB791" s="147">
        <f>IF($E791="","",IF(AND($B791&gt;Input!$C$9,Summary!$D$31&lt;&gt;"Included Margin"),1,IF(Summary!$D$25="Included Margin",VLOOKUP($B791,'Mortality Margins &amp; Grading'!$AI$5:$AR$125,MATCH('Mortality Margins &amp; Grading'!$AQ$4,'Mortality Margins &amp; Grading'!$AI$4:$AR$4,0),0),1)))</f>
        <v>0</v>
      </c>
      <c r="AC791" s="154"/>
      <c r="AD791" s="158">
        <f>IF(E791="","",Input!$C$48*IF(Summary!$D$30="Included Margin",IF(AND($B791&gt;Input!$C$9,Summary!$D$31&lt;&gt;"Included Margin"),0,1),0))</f>
        <v>-4.4999999999999997E-3</v>
      </c>
      <c r="AE791" s="159">
        <f>IF(E791="","",IF(Summary!$D$26="Included Margin",IF(AND($B791&gt;Input!$C$9,Summary!$D$31&lt;&gt;"Included Margin"),1,1/$R791),1))</f>
        <v>1.3851593934353743</v>
      </c>
      <c r="AF791" s="160">
        <f>IF(E791="","",IF(AND($B791&gt;=Input!$C$9,$C791=12,Summary!$D$31="Included Margin",$U791&gt;0),1/U791-1,IF($B791&gt;=Input!$C$9,0,Input!$C$45*IF(Summary!$D$27="Included Margin",1,0))))</f>
        <v>0</v>
      </c>
      <c r="AG791" s="160">
        <f>IF(E791="","",Input!$C$46*IF(Summary!$D$28="Included Margin",IF(AND($B791&gt;Input!$C$9,Summary!$D$31&lt;&gt;"Included Margin"),0,1),0))</f>
        <v>0.02</v>
      </c>
      <c r="AH791" s="158">
        <f>IF(E791="","",Input!$C$47*IF(Summary!$D$29="Included Margin",IF(AND($B791&gt;Input!$C$9,Summary!$D$31&lt;&gt;"Included Margin"),0,1),0))</f>
        <v>2.5000000000000001E-3</v>
      </c>
      <c r="AI791" s="154"/>
      <c r="AJ791" s="158">
        <f t="shared" si="522"/>
        <v>4.3580000000000001E-2</v>
      </c>
      <c r="AK791" s="155">
        <f t="shared" si="523"/>
        <v>3.561084788265001E-3</v>
      </c>
      <c r="AL791" s="147">
        <f t="shared" si="524"/>
        <v>1</v>
      </c>
      <c r="AM791" s="147">
        <f t="shared" si="502"/>
        <v>1</v>
      </c>
      <c r="AN791" s="160">
        <f t="shared" si="525"/>
        <v>0</v>
      </c>
      <c r="AO791" s="161">
        <f t="shared" si="526"/>
        <v>0</v>
      </c>
      <c r="AP791" s="156">
        <f t="shared" si="503"/>
        <v>4.2473258824005597</v>
      </c>
      <c r="AQ791" s="152"/>
      <c r="AR791" s="162">
        <f t="shared" si="504"/>
        <v>99822.262230220891</v>
      </c>
      <c r="AS791" s="150">
        <f t="shared" si="527"/>
        <v>0</v>
      </c>
      <c r="AT791" s="163">
        <f t="shared" si="505"/>
        <v>0</v>
      </c>
      <c r="AU791" s="163">
        <f t="shared" si="506"/>
        <v>100000</v>
      </c>
      <c r="AV791" s="163">
        <f t="shared" si="528"/>
        <v>177.42130014498952</v>
      </c>
      <c r="AW791" s="163">
        <f t="shared" si="507"/>
        <v>99822.578699855017</v>
      </c>
      <c r="AX791" s="163">
        <f t="shared" si="508"/>
        <v>0</v>
      </c>
      <c r="AY791" s="164">
        <f t="shared" si="529"/>
        <v>99822.262230220891</v>
      </c>
      <c r="AZ791" s="164">
        <f>IF($E791="","",IF(OR(AND($D791=Input!$C$6,$C791=12),$AN791=1),0,-AS792+AT792+AU792-AV792-AW792-AX792+AZ792))</f>
        <v>99822.578699855017</v>
      </c>
      <c r="BA791" s="154">
        <f t="shared" si="509"/>
        <v>0.31646963412640616</v>
      </c>
      <c r="BC791" s="147">
        <f t="shared" si="530"/>
        <v>1.5729003599665866E-14</v>
      </c>
      <c r="BD791" s="164">
        <f>IF(AND($C790=12,$D790=Input!$C$6),0,IF($E791="","",AT791+(AU791+BD792)/(1+$AK791)*MIN((1-AM791-AN791),1)))</f>
        <v>0</v>
      </c>
      <c r="BE791" s="164">
        <f t="shared" si="510"/>
        <v>0</v>
      </c>
      <c r="BF791" s="164">
        <f t="shared" si="531"/>
        <v>99822.578699855017</v>
      </c>
      <c r="BG791" s="164">
        <f t="shared" si="511"/>
        <v>1.5701096996979488E-9</v>
      </c>
      <c r="BH791" s="152"/>
      <c r="BI791" s="162">
        <f t="shared" si="512"/>
        <v>28761.557642345389</v>
      </c>
      <c r="BJ791" s="150">
        <f t="shared" si="513"/>
        <v>0</v>
      </c>
      <c r="BK791" s="163">
        <f t="shared" si="535"/>
        <v>0</v>
      </c>
      <c r="BL791" s="163">
        <f t="shared" si="514"/>
        <v>10116.826999695704</v>
      </c>
      <c r="BM791" s="163">
        <f t="shared" si="536"/>
        <v>92.939877249262068</v>
      </c>
      <c r="BN791" s="163">
        <f t="shared" si="515"/>
        <v>2109.0283900478921</v>
      </c>
      <c r="BO791" s="163">
        <f t="shared" si="516"/>
        <v>0</v>
      </c>
      <c r="BP791" s="164">
        <f t="shared" si="537"/>
        <v>20846.698909946841</v>
      </c>
      <c r="BQ791" s="164">
        <f>IF($E791="","",IF(AND($D791=Input!$C$6,$C791=12),0,-BJ792+BK792+BL792-BM792-BN792-BO792+BQ792))</f>
        <v>20846.737718370867</v>
      </c>
      <c r="BR791" s="161">
        <f t="shared" si="517"/>
        <v>0</v>
      </c>
      <c r="BT791" s="147">
        <f t="shared" si="518"/>
        <v>1.5729003599665866E-14</v>
      </c>
      <c r="BU791" s="164">
        <f>IF(AND($C790=12,$D790=Input!$C$6),0,IF($E791="","",BK791+(BL791+BU792)/(1+$AK791)*MIN((1-T791-U791),1)))</f>
        <v>79646.922793613077</v>
      </c>
      <c r="BV791" s="164">
        <f t="shared" si="519"/>
        <v>1.2527667353230494E-9</v>
      </c>
      <c r="BW791" s="164">
        <f t="shared" si="520"/>
        <v>20846.737718370867</v>
      </c>
      <c r="BX791" s="164">
        <f t="shared" si="521"/>
        <v>3.2789841261354557E-10</v>
      </c>
    </row>
    <row r="792" spans="1:76" s="150" customFormat="1" x14ac:dyDescent="0.25">
      <c r="A792" s="150">
        <f t="shared" si="532"/>
        <v>788</v>
      </c>
      <c r="B792" s="150">
        <f t="shared" si="533"/>
        <v>66</v>
      </c>
      <c r="C792" s="150">
        <f t="shared" si="534"/>
        <v>8</v>
      </c>
      <c r="D792" s="150">
        <f>IF(E792="","",Input!$C$4+B792-1)</f>
        <v>110</v>
      </c>
      <c r="E792" s="150">
        <f>IF(OR(AND(C791=12,D791=Input!$C$6),E791=""),"",1)</f>
        <v>1</v>
      </c>
      <c r="F792" s="150">
        <f>IF(E792="","",Input!$C$8+B792-1)</f>
        <v>2083</v>
      </c>
      <c r="G792" s="151">
        <f>IF(E792="","",MAX(0,Input!$C$9-B792))</f>
        <v>0</v>
      </c>
      <c r="H792" s="152">
        <f>IF(E792="","",Input!$C$3)</f>
        <v>100000</v>
      </c>
      <c r="I792" s="153">
        <f>IF(E792="","",HLOOKUP($B792,Input!$C$13:$BT$14,2))</f>
        <v>1000</v>
      </c>
      <c r="J792" s="154"/>
      <c r="K792" s="155">
        <f>IF($E792="","",INDEX(Input!$C$16:$CP$16,1,$B792))</f>
        <v>3.3079999999999998E-2</v>
      </c>
      <c r="L792" s="155">
        <f>IF($E792="","",Input!$C$37)</f>
        <v>1.4999999999999999E-2</v>
      </c>
      <c r="M792" s="155">
        <f t="shared" si="497"/>
        <v>4.8079999999999998E-2</v>
      </c>
      <c r="N792" s="155">
        <f t="shared" si="498"/>
        <v>3.9209936323438832E-3</v>
      </c>
      <c r="O792" s="147">
        <f>IF($E792="","",MIN(VLOOKUP(IF($B792&lt;=Input!$C$7,$B792,26),'Mortality Tables'!$A$41:$CW$67,IF($B792&lt;=Input!$C$7+1,Input!$C$4+2,$D792-Input!$C$7+2),0)*IF(B792&gt;20,Input!$C$22,1)/1000,1))</f>
        <v>1</v>
      </c>
      <c r="P792" s="147">
        <f>IF($E792="","",MIN(VLOOKUP(IF($B792&lt;=Input!$C$7,$B792,26),'Mortality Tables'!$A$12:$CW$37,IF($B792&lt;=Input!$C$7+1,Input!$C$4+2,$D792-Input!$C$7+2),0)*IF(B792&gt;20,Input!$C$22,1)/1000,1))</f>
        <v>1</v>
      </c>
      <c r="Q792" s="155">
        <f>IF($E792="","",Input!$C$21)</f>
        <v>5.0000000000000001E-3</v>
      </c>
      <c r="R792" s="159">
        <f>IF($E792="","",(1-Q792)^($F792-Input!$C$20))</f>
        <v>0.72193857597851663</v>
      </c>
      <c r="S792" s="147">
        <f t="shared" si="500"/>
        <v>0.72193857597851663</v>
      </c>
      <c r="T792" s="147">
        <f t="shared" si="501"/>
        <v>0.10116826999695705</v>
      </c>
      <c r="U792" s="160">
        <f>IF($E792="","",IF($C792=12,INDEX(Input!$C$15:$CP$15,1,$B792),0))</f>
        <v>0</v>
      </c>
      <c r="V792" s="150">
        <f>IF(E792="","",IF(C792=1,IF($B792=1,Input!$C$33,Input!$C$34),0))</f>
        <v>0</v>
      </c>
      <c r="W792" s="156">
        <f>IF($E792="","",Input!$C$35)</f>
        <v>0.02</v>
      </c>
      <c r="X792" s="156">
        <f t="shared" si="499"/>
        <v>3.6225231081424152</v>
      </c>
      <c r="Y792" s="154"/>
      <c r="Z792" s="147">
        <f>IF($E792="","",VLOOKUP($D792,'Mortality Margins &amp; Grading'!$AB$5:$AF$125,3,0)*IF(Summary!$D$25="Included Margin",IF(AND($B792&gt;Input!$C$9,Summary!$D$31&lt;&gt;"Included Margin"),0,1),0))</f>
        <v>0.01</v>
      </c>
      <c r="AA792" s="147">
        <f>IF($E792="","",VLOOKUP($D792,'Mortality Margins &amp; Grading'!$AB$5:$AF$125,5,0)*IF(Summary!$D$25="Included Margin",IF(AND($B792&gt;Input!$C$9,Summary!$D$31&lt;&gt;"Included Margin"),0,1),0))</f>
        <v>5.2999999999999999E-2</v>
      </c>
      <c r="AB792" s="147">
        <f>IF($E792="","",IF(AND($B792&gt;Input!$C$9,Summary!$D$31&lt;&gt;"Included Margin"),1,IF(Summary!$D$25="Included Margin",VLOOKUP($B792,'Mortality Margins &amp; Grading'!$AI$5:$AR$125,MATCH('Mortality Margins &amp; Grading'!$AQ$4,'Mortality Margins &amp; Grading'!$AI$4:$AR$4,0),0),1)))</f>
        <v>0</v>
      </c>
      <c r="AC792" s="154"/>
      <c r="AD792" s="158">
        <f>IF(E792="","",Input!$C$48*IF(Summary!$D$30="Included Margin",IF(AND($B792&gt;Input!$C$9,Summary!$D$31&lt;&gt;"Included Margin"),0,1),0))</f>
        <v>-4.4999999999999997E-3</v>
      </c>
      <c r="AE792" s="159">
        <f>IF(E792="","",IF(Summary!$D$26="Included Margin",IF(AND($B792&gt;Input!$C$9,Summary!$D$31&lt;&gt;"Included Margin"),1,1/$R792),1))</f>
        <v>1.3851593934353743</v>
      </c>
      <c r="AF792" s="160">
        <f>IF(E792="","",IF(AND($B792&gt;=Input!$C$9,$C792=12,Summary!$D$31="Included Margin",$U792&gt;0),1/U792-1,IF($B792&gt;=Input!$C$9,0,Input!$C$45*IF(Summary!$D$27="Included Margin",1,0))))</f>
        <v>0</v>
      </c>
      <c r="AG792" s="160">
        <f>IF(E792="","",Input!$C$46*IF(Summary!$D$28="Included Margin",IF(AND($B792&gt;Input!$C$9,Summary!$D$31&lt;&gt;"Included Margin"),0,1),0))</f>
        <v>0.02</v>
      </c>
      <c r="AH792" s="158">
        <f>IF(E792="","",Input!$C$47*IF(Summary!$D$29="Included Margin",IF(AND($B792&gt;Input!$C$9,Summary!$D$31&lt;&gt;"Included Margin"),0,1),0))</f>
        <v>2.5000000000000001E-3</v>
      </c>
      <c r="AI792" s="154"/>
      <c r="AJ792" s="158">
        <f t="shared" si="522"/>
        <v>4.3580000000000001E-2</v>
      </c>
      <c r="AK792" s="155">
        <f t="shared" si="523"/>
        <v>3.561084788265001E-3</v>
      </c>
      <c r="AL792" s="147">
        <f t="shared" si="524"/>
        <v>1</v>
      </c>
      <c r="AM792" s="147">
        <f t="shared" si="502"/>
        <v>1</v>
      </c>
      <c r="AN792" s="160">
        <f t="shared" si="525"/>
        <v>0</v>
      </c>
      <c r="AO792" s="161">
        <f t="shared" si="526"/>
        <v>0</v>
      </c>
      <c r="AP792" s="156">
        <f t="shared" si="503"/>
        <v>4.2473258824005597</v>
      </c>
      <c r="AQ792" s="152"/>
      <c r="AR792" s="162">
        <f t="shared" si="504"/>
        <v>99822.262230220891</v>
      </c>
      <c r="AS792" s="150">
        <f t="shared" si="527"/>
        <v>0</v>
      </c>
      <c r="AT792" s="163">
        <f t="shared" si="505"/>
        <v>0</v>
      </c>
      <c r="AU792" s="163">
        <f t="shared" si="506"/>
        <v>100000</v>
      </c>
      <c r="AV792" s="163">
        <f t="shared" si="528"/>
        <v>177.42130014498952</v>
      </c>
      <c r="AW792" s="163">
        <f t="shared" si="507"/>
        <v>99822.578699855017</v>
      </c>
      <c r="AX792" s="163">
        <f t="shared" si="508"/>
        <v>0</v>
      </c>
      <c r="AY792" s="165">
        <f t="shared" si="529"/>
        <v>99822.262230220891</v>
      </c>
      <c r="AZ792" s="164">
        <f>IF($E792="","",IF(OR(AND($D792=Input!$C$6,$C792=12),$AN792=1),0,-AS793+AT793+AU793-AV793-AW793-AX793+AZ793))</f>
        <v>99822.578699855017</v>
      </c>
      <c r="BA792" s="154">
        <f t="shared" si="509"/>
        <v>0.31646963412640616</v>
      </c>
      <c r="BC792" s="147">
        <f t="shared" si="530"/>
        <v>1.413772751671176E-14</v>
      </c>
      <c r="BD792" s="164">
        <f>IF(AND($C791=12,$D791=Input!$C$6),0,IF($E792="","",AT792+(AU792+BD793)/(1+$AK792)*MIN((1-AM792-AN792),1)))</f>
        <v>0</v>
      </c>
      <c r="BE792" s="164">
        <f t="shared" si="510"/>
        <v>0</v>
      </c>
      <c r="BF792" s="164">
        <f t="shared" si="531"/>
        <v>99822.578699855017</v>
      </c>
      <c r="BG792" s="164">
        <f t="shared" si="511"/>
        <v>1.4112644176740655E-9</v>
      </c>
      <c r="BH792" s="152"/>
      <c r="BI792" s="162">
        <f t="shared" si="512"/>
        <v>20846.698909946841</v>
      </c>
      <c r="BJ792" s="150">
        <f t="shared" si="513"/>
        <v>0</v>
      </c>
      <c r="BK792" s="163">
        <f t="shared" si="535"/>
        <v>0</v>
      </c>
      <c r="BL792" s="163">
        <f t="shared" si="514"/>
        <v>10116.826999695704</v>
      </c>
      <c r="BM792" s="163">
        <f t="shared" si="536"/>
        <v>61.90576655862597</v>
      </c>
      <c r="BN792" s="163">
        <f t="shared" si="515"/>
        <v>1214.6760817311686</v>
      </c>
      <c r="BO792" s="163">
        <f t="shared" si="516"/>
        <v>0</v>
      </c>
      <c r="BP792" s="164">
        <f t="shared" si="537"/>
        <v>12006.453758540931</v>
      </c>
      <c r="BQ792" s="164">
        <f>IF($E792="","",IF(AND($D792=Input!$C$6,$C792=12),0,-BJ793+BK793+BL793-BM793-BN793-BO793+BQ793))</f>
        <v>12006.492566964955</v>
      </c>
      <c r="BR792" s="161">
        <f t="shared" si="517"/>
        <v>0</v>
      </c>
      <c r="BT792" s="147">
        <f t="shared" si="518"/>
        <v>1.413772751671176E-14</v>
      </c>
      <c r="BU792" s="164">
        <f>IF(AND($C791=12,$D791=Input!$C$6),0,IF($E792="","",BK792+(BL792+BU793)/(1+$AK792)*MIN((1-T792-U792),1)))</f>
        <v>78810.332078828287</v>
      </c>
      <c r="BV792" s="164">
        <f t="shared" si="519"/>
        <v>1.1141990004320423E-9</v>
      </c>
      <c r="BW792" s="164">
        <f t="shared" si="520"/>
        <v>12006.492566964955</v>
      </c>
      <c r="BX792" s="164">
        <f t="shared" si="521"/>
        <v>1.6974452034317565E-10</v>
      </c>
    </row>
    <row r="793" spans="1:76" s="150" customFormat="1" x14ac:dyDescent="0.25">
      <c r="A793" s="150">
        <f t="shared" si="532"/>
        <v>789</v>
      </c>
      <c r="B793" s="150">
        <f t="shared" si="533"/>
        <v>66</v>
      </c>
      <c r="C793" s="150">
        <f t="shared" si="534"/>
        <v>9</v>
      </c>
      <c r="D793" s="150">
        <f>IF(E793="","",Input!$C$4+B793-1)</f>
        <v>110</v>
      </c>
      <c r="E793" s="150">
        <f>IF(OR(AND(C792=12,D792=Input!$C$6),E792=""),"",1)</f>
        <v>1</v>
      </c>
      <c r="F793" s="150">
        <f>IF(E793="","",Input!$C$8+B793-1)</f>
        <v>2083</v>
      </c>
      <c r="G793" s="151">
        <f>IF(E793="","",MAX(0,Input!$C$9-B793))</f>
        <v>0</v>
      </c>
      <c r="H793" s="152">
        <f>IF(E793="","",Input!$C$3)</f>
        <v>100000</v>
      </c>
      <c r="I793" s="153">
        <f>IF(E793="","",HLOOKUP($B793,Input!$C$13:$BT$14,2))</f>
        <v>1000</v>
      </c>
      <c r="J793" s="154"/>
      <c r="K793" s="155">
        <f>IF($E793="","",INDEX(Input!$C$16:$CP$16,1,$B793))</f>
        <v>3.3079999999999998E-2</v>
      </c>
      <c r="L793" s="155">
        <f>IF($E793="","",Input!$C$37)</f>
        <v>1.4999999999999999E-2</v>
      </c>
      <c r="M793" s="155">
        <f t="shared" si="497"/>
        <v>4.8079999999999998E-2</v>
      </c>
      <c r="N793" s="155">
        <f t="shared" si="498"/>
        <v>3.9209936323438832E-3</v>
      </c>
      <c r="O793" s="147">
        <f>IF($E793="","",MIN(VLOOKUP(IF($B793&lt;=Input!$C$7,$B793,26),'Mortality Tables'!$A$41:$CW$67,IF($B793&lt;=Input!$C$7+1,Input!$C$4+2,$D793-Input!$C$7+2),0)*IF(B793&gt;20,Input!$C$22,1)/1000,1))</f>
        <v>1</v>
      </c>
      <c r="P793" s="147">
        <f>IF($E793="","",MIN(VLOOKUP(IF($B793&lt;=Input!$C$7,$B793,26),'Mortality Tables'!$A$12:$CW$37,IF($B793&lt;=Input!$C$7+1,Input!$C$4+2,$D793-Input!$C$7+2),0)*IF(B793&gt;20,Input!$C$22,1)/1000,1))</f>
        <v>1</v>
      </c>
      <c r="Q793" s="155">
        <f>IF($E793="","",Input!$C$21)</f>
        <v>5.0000000000000001E-3</v>
      </c>
      <c r="R793" s="159">
        <f>IF($E793="","",(1-Q793)^($F793-Input!$C$20))</f>
        <v>0.72193857597851663</v>
      </c>
      <c r="S793" s="147">
        <f t="shared" si="500"/>
        <v>0.72193857597851663</v>
      </c>
      <c r="T793" s="147">
        <f t="shared" si="501"/>
        <v>0.10116826999695705</v>
      </c>
      <c r="U793" s="160">
        <f>IF($E793="","",IF($C793=12,INDEX(Input!$C$15:$CP$15,1,$B793),0))</f>
        <v>0</v>
      </c>
      <c r="V793" s="150">
        <f>IF(E793="","",IF(C793=1,IF($B793=1,Input!$C$33,Input!$C$34),0))</f>
        <v>0</v>
      </c>
      <c r="W793" s="156">
        <f>IF($E793="","",Input!$C$35)</f>
        <v>0.02</v>
      </c>
      <c r="X793" s="156">
        <f t="shared" si="499"/>
        <v>3.6225231081424152</v>
      </c>
      <c r="Y793" s="154"/>
      <c r="Z793" s="147">
        <f>IF($E793="","",VLOOKUP($D793,'Mortality Margins &amp; Grading'!$AB$5:$AF$125,3,0)*IF(Summary!$D$25="Included Margin",IF(AND($B793&gt;Input!$C$9,Summary!$D$31&lt;&gt;"Included Margin"),0,1),0))</f>
        <v>0.01</v>
      </c>
      <c r="AA793" s="147">
        <f>IF($E793="","",VLOOKUP($D793,'Mortality Margins &amp; Grading'!$AB$5:$AF$125,5,0)*IF(Summary!$D$25="Included Margin",IF(AND($B793&gt;Input!$C$9,Summary!$D$31&lt;&gt;"Included Margin"),0,1),0))</f>
        <v>5.2999999999999999E-2</v>
      </c>
      <c r="AB793" s="147">
        <f>IF($E793="","",IF(AND($B793&gt;Input!$C$9,Summary!$D$31&lt;&gt;"Included Margin"),1,IF(Summary!$D$25="Included Margin",VLOOKUP($B793,'Mortality Margins &amp; Grading'!$AI$5:$AR$125,MATCH('Mortality Margins &amp; Grading'!$AQ$4,'Mortality Margins &amp; Grading'!$AI$4:$AR$4,0),0),1)))</f>
        <v>0</v>
      </c>
      <c r="AC793" s="154"/>
      <c r="AD793" s="158">
        <f>IF(E793="","",Input!$C$48*IF(Summary!$D$30="Included Margin",IF(AND($B793&gt;Input!$C$9,Summary!$D$31&lt;&gt;"Included Margin"),0,1),0))</f>
        <v>-4.4999999999999997E-3</v>
      </c>
      <c r="AE793" s="159">
        <f>IF(E793="","",IF(Summary!$D$26="Included Margin",IF(AND($B793&gt;Input!$C$9,Summary!$D$31&lt;&gt;"Included Margin"),1,1/$R793),1))</f>
        <v>1.3851593934353743</v>
      </c>
      <c r="AF793" s="160">
        <f>IF(E793="","",IF(AND($B793&gt;=Input!$C$9,$C793=12,Summary!$D$31="Included Margin",$U793&gt;0),1/U793-1,IF($B793&gt;=Input!$C$9,0,Input!$C$45*IF(Summary!$D$27="Included Margin",1,0))))</f>
        <v>0</v>
      </c>
      <c r="AG793" s="160">
        <f>IF(E793="","",Input!$C$46*IF(Summary!$D$28="Included Margin",IF(AND($B793&gt;Input!$C$9,Summary!$D$31&lt;&gt;"Included Margin"),0,1),0))</f>
        <v>0.02</v>
      </c>
      <c r="AH793" s="158">
        <f>IF(E793="","",Input!$C$47*IF(Summary!$D$29="Included Margin",IF(AND($B793&gt;Input!$C$9,Summary!$D$31&lt;&gt;"Included Margin"),0,1),0))</f>
        <v>2.5000000000000001E-3</v>
      </c>
      <c r="AI793" s="154"/>
      <c r="AJ793" s="158">
        <f t="shared" si="522"/>
        <v>4.3580000000000001E-2</v>
      </c>
      <c r="AK793" s="155">
        <f t="shared" si="523"/>
        <v>3.561084788265001E-3</v>
      </c>
      <c r="AL793" s="147">
        <f t="shared" si="524"/>
        <v>1</v>
      </c>
      <c r="AM793" s="147">
        <f t="shared" si="502"/>
        <v>1</v>
      </c>
      <c r="AN793" s="160">
        <f t="shared" si="525"/>
        <v>0</v>
      </c>
      <c r="AO793" s="161">
        <f t="shared" si="526"/>
        <v>0</v>
      </c>
      <c r="AP793" s="156">
        <f t="shared" si="503"/>
        <v>4.2473258824005597</v>
      </c>
      <c r="AQ793" s="152"/>
      <c r="AR793" s="162">
        <f t="shared" si="504"/>
        <v>99822.262230220891</v>
      </c>
      <c r="AS793" s="150">
        <f t="shared" si="527"/>
        <v>0</v>
      </c>
      <c r="AT793" s="163">
        <f t="shared" si="505"/>
        <v>0</v>
      </c>
      <c r="AU793" s="163">
        <f t="shared" si="506"/>
        <v>100000</v>
      </c>
      <c r="AV793" s="163">
        <f t="shared" si="528"/>
        <v>177.42130014498952</v>
      </c>
      <c r="AW793" s="163">
        <f t="shared" si="507"/>
        <v>99822.578699855017</v>
      </c>
      <c r="AX793" s="163">
        <f t="shared" si="508"/>
        <v>0</v>
      </c>
      <c r="AY793" s="164">
        <f t="shared" si="529"/>
        <v>99822.262230220891</v>
      </c>
      <c r="AZ793" s="164">
        <f>IF($E793="","",IF(OR(AND($D793=Input!$C$6,$C793=12),$AN793=1),0,-AS794+AT794+AU794-AV794-AW794-AX794+AZ794))</f>
        <v>99822.578699855017</v>
      </c>
      <c r="BA793" s="154">
        <f t="shared" si="509"/>
        <v>0.31646963412640616</v>
      </c>
      <c r="BC793" s="147">
        <f t="shared" si="530"/>
        <v>1.2707438082157655E-14</v>
      </c>
      <c r="BD793" s="164">
        <f>IF(AND($C792=12,$D792=Input!$C$6),0,IF($E793="","",AT793+(AU793+BD794)/(1+$AK793)*MIN((1-AM793-AN793),1)))</f>
        <v>0</v>
      </c>
      <c r="BE793" s="164">
        <f t="shared" si="510"/>
        <v>0</v>
      </c>
      <c r="BF793" s="164">
        <f t="shared" si="531"/>
        <v>99822.578699855017</v>
      </c>
      <c r="BG793" s="164">
        <f t="shared" si="511"/>
        <v>1.2684892380297172E-9</v>
      </c>
      <c r="BH793" s="152"/>
      <c r="BI793" s="162">
        <f t="shared" si="512"/>
        <v>12006.453758540933</v>
      </c>
      <c r="BJ793" s="150">
        <f t="shared" si="513"/>
        <v>0</v>
      </c>
      <c r="BK793" s="163">
        <f t="shared" si="535"/>
        <v>0</v>
      </c>
      <c r="BL793" s="163">
        <f t="shared" si="514"/>
        <v>10116.826999695704</v>
      </c>
      <c r="BM793" s="163">
        <f t="shared" si="536"/>
        <v>27.243221611604515</v>
      </c>
      <c r="BN793" s="163">
        <f t="shared" si="515"/>
        <v>215.75823309261887</v>
      </c>
      <c r="BO793" s="163">
        <f t="shared" si="516"/>
        <v>0</v>
      </c>
      <c r="BP793" s="164">
        <f t="shared" si="537"/>
        <v>2132.6282135494516</v>
      </c>
      <c r="BQ793" s="164">
        <f>IF($E793="","",IF(AND($D793=Input!$C$6,$C793=12),0,-BJ794+BK794+BL794-BM794-BN794-BO794+BQ794))</f>
        <v>2132.6670219734751</v>
      </c>
      <c r="BR793" s="161">
        <f t="shared" si="517"/>
        <v>0</v>
      </c>
      <c r="BT793" s="147">
        <f t="shared" si="518"/>
        <v>1.2707438082157655E-14</v>
      </c>
      <c r="BU793" s="164">
        <f>IF(AND($C792=12,$D792=Input!$C$6),0,IF($E793="","",BK793+(BL793+BU794)/(1+$AK793)*MIN((1-T793-U793),1)))</f>
        <v>77876.264157961312</v>
      </c>
      <c r="BV793" s="164">
        <f t="shared" si="519"/>
        <v>9.8960780485704675E-10</v>
      </c>
      <c r="BW793" s="164">
        <f t="shared" si="520"/>
        <v>2132.6670219734751</v>
      </c>
      <c r="BX793" s="164">
        <f t="shared" si="521"/>
        <v>2.7100734131587494E-11</v>
      </c>
    </row>
    <row r="794" spans="1:76" s="150" customFormat="1" x14ac:dyDescent="0.25">
      <c r="A794" s="150">
        <f t="shared" si="532"/>
        <v>790</v>
      </c>
      <c r="B794" s="150">
        <f t="shared" si="533"/>
        <v>66</v>
      </c>
      <c r="C794" s="150">
        <f t="shared" si="534"/>
        <v>10</v>
      </c>
      <c r="D794" s="150">
        <f>IF(E794="","",Input!$C$4+B794-1)</f>
        <v>110</v>
      </c>
      <c r="E794" s="150">
        <f>IF(OR(AND(C793=12,D793=Input!$C$6),E793=""),"",1)</f>
        <v>1</v>
      </c>
      <c r="F794" s="150">
        <f>IF(E794="","",Input!$C$8+B794-1)</f>
        <v>2083</v>
      </c>
      <c r="G794" s="151">
        <f>IF(E794="","",MAX(0,Input!$C$9-B794))</f>
        <v>0</v>
      </c>
      <c r="H794" s="152">
        <f>IF(E794="","",Input!$C$3)</f>
        <v>100000</v>
      </c>
      <c r="I794" s="153">
        <f>IF(E794="","",HLOOKUP($B794,Input!$C$13:$BT$14,2))</f>
        <v>1000</v>
      </c>
      <c r="J794" s="154"/>
      <c r="K794" s="155">
        <f>IF($E794="","",INDEX(Input!$C$16:$CP$16,1,$B794))</f>
        <v>3.3079999999999998E-2</v>
      </c>
      <c r="L794" s="155">
        <f>IF($E794="","",Input!$C$37)</f>
        <v>1.4999999999999999E-2</v>
      </c>
      <c r="M794" s="155">
        <f t="shared" si="497"/>
        <v>4.8079999999999998E-2</v>
      </c>
      <c r="N794" s="155">
        <f t="shared" si="498"/>
        <v>3.9209936323438832E-3</v>
      </c>
      <c r="O794" s="147">
        <f>IF($E794="","",MIN(VLOOKUP(IF($B794&lt;=Input!$C$7,$B794,26),'Mortality Tables'!$A$41:$CW$67,IF($B794&lt;=Input!$C$7+1,Input!$C$4+2,$D794-Input!$C$7+2),0)*IF(B794&gt;20,Input!$C$22,1)/1000,1))</f>
        <v>1</v>
      </c>
      <c r="P794" s="147">
        <f>IF($E794="","",MIN(VLOOKUP(IF($B794&lt;=Input!$C$7,$B794,26),'Mortality Tables'!$A$12:$CW$37,IF($B794&lt;=Input!$C$7+1,Input!$C$4+2,$D794-Input!$C$7+2),0)*IF(B794&gt;20,Input!$C$22,1)/1000,1))</f>
        <v>1</v>
      </c>
      <c r="Q794" s="155">
        <f>IF($E794="","",Input!$C$21)</f>
        <v>5.0000000000000001E-3</v>
      </c>
      <c r="R794" s="159">
        <f>IF($E794="","",(1-Q794)^($F794-Input!$C$20))</f>
        <v>0.72193857597851663</v>
      </c>
      <c r="S794" s="147">
        <f t="shared" si="500"/>
        <v>0.72193857597851663</v>
      </c>
      <c r="T794" s="147">
        <f t="shared" si="501"/>
        <v>0.10116826999695705</v>
      </c>
      <c r="U794" s="160">
        <f>IF($E794="","",IF($C794=12,INDEX(Input!$C$15:$CP$15,1,$B794),0))</f>
        <v>0</v>
      </c>
      <c r="V794" s="150">
        <f>IF(E794="","",IF(C794=1,IF($B794=1,Input!$C$33,Input!$C$34),0))</f>
        <v>0</v>
      </c>
      <c r="W794" s="156">
        <f>IF($E794="","",Input!$C$35)</f>
        <v>0.02</v>
      </c>
      <c r="X794" s="156">
        <f t="shared" si="499"/>
        <v>3.6225231081424152</v>
      </c>
      <c r="Y794" s="154"/>
      <c r="Z794" s="147">
        <f>IF($E794="","",VLOOKUP($D794,'Mortality Margins &amp; Grading'!$AB$5:$AF$125,3,0)*IF(Summary!$D$25="Included Margin",IF(AND($B794&gt;Input!$C$9,Summary!$D$31&lt;&gt;"Included Margin"),0,1),0))</f>
        <v>0.01</v>
      </c>
      <c r="AA794" s="147">
        <f>IF($E794="","",VLOOKUP($D794,'Mortality Margins &amp; Grading'!$AB$5:$AF$125,5,0)*IF(Summary!$D$25="Included Margin",IF(AND($B794&gt;Input!$C$9,Summary!$D$31&lt;&gt;"Included Margin"),0,1),0))</f>
        <v>5.2999999999999999E-2</v>
      </c>
      <c r="AB794" s="147">
        <f>IF($E794="","",IF(AND($B794&gt;Input!$C$9,Summary!$D$31&lt;&gt;"Included Margin"),1,IF(Summary!$D$25="Included Margin",VLOOKUP($B794,'Mortality Margins &amp; Grading'!$AI$5:$AR$125,MATCH('Mortality Margins &amp; Grading'!$AQ$4,'Mortality Margins &amp; Grading'!$AI$4:$AR$4,0),0),1)))</f>
        <v>0</v>
      </c>
      <c r="AC794" s="154"/>
      <c r="AD794" s="158">
        <f>IF(E794="","",Input!$C$48*IF(Summary!$D$30="Included Margin",IF(AND($B794&gt;Input!$C$9,Summary!$D$31&lt;&gt;"Included Margin"),0,1),0))</f>
        <v>-4.4999999999999997E-3</v>
      </c>
      <c r="AE794" s="159">
        <f>IF(E794="","",IF(Summary!$D$26="Included Margin",IF(AND($B794&gt;Input!$C$9,Summary!$D$31&lt;&gt;"Included Margin"),1,1/$R794),1))</f>
        <v>1.3851593934353743</v>
      </c>
      <c r="AF794" s="160">
        <f>IF(E794="","",IF(AND($B794&gt;=Input!$C$9,$C794=12,Summary!$D$31="Included Margin",$U794&gt;0),1/U794-1,IF($B794&gt;=Input!$C$9,0,Input!$C$45*IF(Summary!$D$27="Included Margin",1,0))))</f>
        <v>0</v>
      </c>
      <c r="AG794" s="160">
        <f>IF(E794="","",Input!$C$46*IF(Summary!$D$28="Included Margin",IF(AND($B794&gt;Input!$C$9,Summary!$D$31&lt;&gt;"Included Margin"),0,1),0))</f>
        <v>0.02</v>
      </c>
      <c r="AH794" s="158">
        <f>IF(E794="","",Input!$C$47*IF(Summary!$D$29="Included Margin",IF(AND($B794&gt;Input!$C$9,Summary!$D$31&lt;&gt;"Included Margin"),0,1),0))</f>
        <v>2.5000000000000001E-3</v>
      </c>
      <c r="AI794" s="154"/>
      <c r="AJ794" s="158">
        <f t="shared" si="522"/>
        <v>4.3580000000000001E-2</v>
      </c>
      <c r="AK794" s="155">
        <f t="shared" si="523"/>
        <v>3.561084788265001E-3</v>
      </c>
      <c r="AL794" s="147">
        <f t="shared" si="524"/>
        <v>1</v>
      </c>
      <c r="AM794" s="147">
        <f t="shared" si="502"/>
        <v>1</v>
      </c>
      <c r="AN794" s="160">
        <f t="shared" si="525"/>
        <v>0</v>
      </c>
      <c r="AO794" s="161">
        <f t="shared" si="526"/>
        <v>0</v>
      </c>
      <c r="AP794" s="156">
        <f t="shared" si="503"/>
        <v>4.2473258824005597</v>
      </c>
      <c r="AQ794" s="152"/>
      <c r="AR794" s="162">
        <f t="shared" si="504"/>
        <v>99822.262230220891</v>
      </c>
      <c r="AS794" s="150">
        <f t="shared" si="527"/>
        <v>0</v>
      </c>
      <c r="AT794" s="163">
        <f t="shared" si="505"/>
        <v>0</v>
      </c>
      <c r="AU794" s="163">
        <f t="shared" si="506"/>
        <v>100000</v>
      </c>
      <c r="AV794" s="163">
        <f t="shared" si="528"/>
        <v>177.42130014498952</v>
      </c>
      <c r="AW794" s="163">
        <f t="shared" si="507"/>
        <v>99822.578699855017</v>
      </c>
      <c r="AX794" s="163">
        <f t="shared" si="508"/>
        <v>0</v>
      </c>
      <c r="AY794" s="165">
        <f t="shared" si="529"/>
        <v>99822.262230220891</v>
      </c>
      <c r="AZ794" s="164">
        <f>IF($E794="","",IF(OR(AND($D794=Input!$C$6,$C794=12),$AN794=1),0,-AS795+AT795+AU795-AV795-AW795-AX795+AZ795))</f>
        <v>99822.578699855017</v>
      </c>
      <c r="BA794" s="154">
        <f t="shared" si="509"/>
        <v>0.31646963412640616</v>
      </c>
      <c r="BC794" s="147">
        <f t="shared" si="530"/>
        <v>1.1421848555292315E-14</v>
      </c>
      <c r="BD794" s="164">
        <f>IF(AND($C793=12,$D793=Input!$C$6),0,IF($E794="","",AT794+(AU794+BD795)/(1+$AK794)*MIN((1-AM794-AN794),1)))</f>
        <v>0</v>
      </c>
      <c r="BE794" s="164">
        <f t="shared" si="510"/>
        <v>0</v>
      </c>
      <c r="BF794" s="164">
        <f t="shared" si="531"/>
        <v>99822.578699855017</v>
      </c>
      <c r="BG794" s="164">
        <f t="shared" si="511"/>
        <v>1.1401583763084924E-9</v>
      </c>
      <c r="BH794" s="152"/>
      <c r="BI794" s="162">
        <f t="shared" si="512"/>
        <v>2132.628213549453</v>
      </c>
      <c r="BJ794" s="150">
        <f t="shared" si="513"/>
        <v>0</v>
      </c>
      <c r="BK794" s="163">
        <f t="shared" si="535"/>
        <v>0</v>
      </c>
      <c r="BL794" s="163">
        <f t="shared" si="514"/>
        <v>10116.826999695704</v>
      </c>
      <c r="BM794" s="163">
        <f t="shared" si="536"/>
        <v>-11.471985477181448</v>
      </c>
      <c r="BN794" s="163">
        <f t="shared" si="515"/>
        <v>-899.95070962450234</v>
      </c>
      <c r="BO794" s="163">
        <f t="shared" si="516"/>
        <v>0</v>
      </c>
      <c r="BP794" s="164">
        <f t="shared" si="537"/>
        <v>-8895.6214812479338</v>
      </c>
      <c r="BQ794" s="164">
        <f>IF($E794="","",IF(AND($D794=Input!$C$6,$C794=12),0,-BJ795+BK795+BL795-BM795-BN795-BO795+BQ795))</f>
        <v>-8895.5826728239117</v>
      </c>
      <c r="BR794" s="161">
        <f t="shared" si="517"/>
        <v>0</v>
      </c>
      <c r="BT794" s="147">
        <f t="shared" si="518"/>
        <v>1.1421848555292315E-14</v>
      </c>
      <c r="BU794" s="164">
        <f>IF(AND($C793=12,$D793=Input!$C$6),0,IF($E794="","",BK794+(BL794+BU795)/(1+$AK794)*MIN((1-T794-U794),1)))</f>
        <v>76833.361260076286</v>
      </c>
      <c r="BV794" s="164">
        <f t="shared" si="519"/>
        <v>8.7757901630665486E-10</v>
      </c>
      <c r="BW794" s="164">
        <f t="shared" si="520"/>
        <v>-8895.5826728239117</v>
      </c>
      <c r="BX794" s="164">
        <f t="shared" si="521"/>
        <v>-1.0160399810007714E-10</v>
      </c>
    </row>
    <row r="795" spans="1:76" s="150" customFormat="1" x14ac:dyDescent="0.25">
      <c r="A795" s="150">
        <f t="shared" si="532"/>
        <v>791</v>
      </c>
      <c r="B795" s="150">
        <f t="shared" si="533"/>
        <v>66</v>
      </c>
      <c r="C795" s="150">
        <f t="shared" si="534"/>
        <v>11</v>
      </c>
      <c r="D795" s="150">
        <f>IF(E795="","",Input!$C$4+B795-1)</f>
        <v>110</v>
      </c>
      <c r="E795" s="150">
        <f>IF(OR(AND(C794=12,D794=Input!$C$6),E794=""),"",1)</f>
        <v>1</v>
      </c>
      <c r="F795" s="150">
        <f>IF(E795="","",Input!$C$8+B795-1)</f>
        <v>2083</v>
      </c>
      <c r="G795" s="151">
        <f>IF(E795="","",MAX(0,Input!$C$9-B795))</f>
        <v>0</v>
      </c>
      <c r="H795" s="152">
        <f>IF(E795="","",Input!$C$3)</f>
        <v>100000</v>
      </c>
      <c r="I795" s="153">
        <f>IF(E795="","",HLOOKUP($B795,Input!$C$13:$BT$14,2))</f>
        <v>1000</v>
      </c>
      <c r="J795" s="154"/>
      <c r="K795" s="155">
        <f>IF($E795="","",INDEX(Input!$C$16:$CP$16,1,$B795))</f>
        <v>3.3079999999999998E-2</v>
      </c>
      <c r="L795" s="155">
        <f>IF($E795="","",Input!$C$37)</f>
        <v>1.4999999999999999E-2</v>
      </c>
      <c r="M795" s="155">
        <f t="shared" si="497"/>
        <v>4.8079999999999998E-2</v>
      </c>
      <c r="N795" s="155">
        <f t="shared" si="498"/>
        <v>3.9209936323438832E-3</v>
      </c>
      <c r="O795" s="147">
        <f>IF($E795="","",MIN(VLOOKUP(IF($B795&lt;=Input!$C$7,$B795,26),'Mortality Tables'!$A$41:$CW$67,IF($B795&lt;=Input!$C$7+1,Input!$C$4+2,$D795-Input!$C$7+2),0)*IF(B795&gt;20,Input!$C$22,1)/1000,1))</f>
        <v>1</v>
      </c>
      <c r="P795" s="147">
        <f>IF($E795="","",MIN(VLOOKUP(IF($B795&lt;=Input!$C$7,$B795,26),'Mortality Tables'!$A$12:$CW$37,IF($B795&lt;=Input!$C$7+1,Input!$C$4+2,$D795-Input!$C$7+2),0)*IF(B795&gt;20,Input!$C$22,1)/1000,1))</f>
        <v>1</v>
      </c>
      <c r="Q795" s="155">
        <f>IF($E795="","",Input!$C$21)</f>
        <v>5.0000000000000001E-3</v>
      </c>
      <c r="R795" s="159">
        <f>IF($E795="","",(1-Q795)^($F795-Input!$C$20))</f>
        <v>0.72193857597851663</v>
      </c>
      <c r="S795" s="147">
        <f t="shared" si="500"/>
        <v>0.72193857597851663</v>
      </c>
      <c r="T795" s="147">
        <f t="shared" si="501"/>
        <v>0.10116826999695705</v>
      </c>
      <c r="U795" s="160">
        <f>IF($E795="","",IF($C795=12,INDEX(Input!$C$15:$CP$15,1,$B795),0))</f>
        <v>0</v>
      </c>
      <c r="V795" s="150">
        <f>IF(E795="","",IF(C795=1,IF($B795=1,Input!$C$33,Input!$C$34),0))</f>
        <v>0</v>
      </c>
      <c r="W795" s="156">
        <f>IF($E795="","",Input!$C$35)</f>
        <v>0.02</v>
      </c>
      <c r="X795" s="156">
        <f t="shared" si="499"/>
        <v>3.6225231081424152</v>
      </c>
      <c r="Y795" s="154"/>
      <c r="Z795" s="147">
        <f>IF($E795="","",VLOOKUP($D795,'Mortality Margins &amp; Grading'!$AB$5:$AF$125,3,0)*IF(Summary!$D$25="Included Margin",IF(AND($B795&gt;Input!$C$9,Summary!$D$31&lt;&gt;"Included Margin"),0,1),0))</f>
        <v>0.01</v>
      </c>
      <c r="AA795" s="147">
        <f>IF($E795="","",VLOOKUP($D795,'Mortality Margins &amp; Grading'!$AB$5:$AF$125,5,0)*IF(Summary!$D$25="Included Margin",IF(AND($B795&gt;Input!$C$9,Summary!$D$31&lt;&gt;"Included Margin"),0,1),0))</f>
        <v>5.2999999999999999E-2</v>
      </c>
      <c r="AB795" s="147">
        <f>IF($E795="","",IF(AND($B795&gt;Input!$C$9,Summary!$D$31&lt;&gt;"Included Margin"),1,IF(Summary!$D$25="Included Margin",VLOOKUP($B795,'Mortality Margins &amp; Grading'!$AI$5:$AR$125,MATCH('Mortality Margins &amp; Grading'!$AQ$4,'Mortality Margins &amp; Grading'!$AI$4:$AR$4,0),0),1)))</f>
        <v>0</v>
      </c>
      <c r="AC795" s="154"/>
      <c r="AD795" s="158">
        <f>IF(E795="","",Input!$C$48*IF(Summary!$D$30="Included Margin",IF(AND($B795&gt;Input!$C$9,Summary!$D$31&lt;&gt;"Included Margin"),0,1),0))</f>
        <v>-4.4999999999999997E-3</v>
      </c>
      <c r="AE795" s="159">
        <f>IF(E795="","",IF(Summary!$D$26="Included Margin",IF(AND($B795&gt;Input!$C$9,Summary!$D$31&lt;&gt;"Included Margin"),1,1/$R795),1))</f>
        <v>1.3851593934353743</v>
      </c>
      <c r="AF795" s="160">
        <f>IF(E795="","",IF(AND($B795&gt;=Input!$C$9,$C795=12,Summary!$D$31="Included Margin",$U795&gt;0),1/U795-1,IF($B795&gt;=Input!$C$9,0,Input!$C$45*IF(Summary!$D$27="Included Margin",1,0))))</f>
        <v>0</v>
      </c>
      <c r="AG795" s="160">
        <f>IF(E795="","",Input!$C$46*IF(Summary!$D$28="Included Margin",IF(AND($B795&gt;Input!$C$9,Summary!$D$31&lt;&gt;"Included Margin"),0,1),0))</f>
        <v>0.02</v>
      </c>
      <c r="AH795" s="158">
        <f>IF(E795="","",Input!$C$47*IF(Summary!$D$29="Included Margin",IF(AND($B795&gt;Input!$C$9,Summary!$D$31&lt;&gt;"Included Margin"),0,1),0))</f>
        <v>2.5000000000000001E-3</v>
      </c>
      <c r="AI795" s="154"/>
      <c r="AJ795" s="158">
        <f t="shared" si="522"/>
        <v>4.3580000000000001E-2</v>
      </c>
      <c r="AK795" s="155">
        <f t="shared" si="523"/>
        <v>3.561084788265001E-3</v>
      </c>
      <c r="AL795" s="147">
        <f t="shared" si="524"/>
        <v>1</v>
      </c>
      <c r="AM795" s="147">
        <f t="shared" si="502"/>
        <v>1</v>
      </c>
      <c r="AN795" s="160">
        <f t="shared" si="525"/>
        <v>0</v>
      </c>
      <c r="AO795" s="161">
        <f t="shared" si="526"/>
        <v>0</v>
      </c>
      <c r="AP795" s="156">
        <f t="shared" si="503"/>
        <v>4.2473258824005597</v>
      </c>
      <c r="AQ795" s="152"/>
      <c r="AR795" s="162">
        <f t="shared" si="504"/>
        <v>99822.262230220891</v>
      </c>
      <c r="AS795" s="150">
        <f t="shared" si="527"/>
        <v>0</v>
      </c>
      <c r="AT795" s="163">
        <f t="shared" si="505"/>
        <v>0</v>
      </c>
      <c r="AU795" s="163">
        <f t="shared" si="506"/>
        <v>100000</v>
      </c>
      <c r="AV795" s="163">
        <f t="shared" si="528"/>
        <v>177.42130014498952</v>
      </c>
      <c r="AW795" s="163">
        <f t="shared" si="507"/>
        <v>99822.578699855017</v>
      </c>
      <c r="AX795" s="163">
        <f t="shared" si="508"/>
        <v>0</v>
      </c>
      <c r="AY795" s="164">
        <f t="shared" si="529"/>
        <v>99822.262230220891</v>
      </c>
      <c r="AZ795" s="164">
        <f>IF($E795="","",IF(OR(AND($D795=Input!$C$6,$C795=12),$AN795=1),0,-AS796+AT796+AU796-AV796-AW796-AX796+AZ796))</f>
        <v>99822.578699855017</v>
      </c>
      <c r="BA795" s="154">
        <f t="shared" si="509"/>
        <v>0.31646963412640616</v>
      </c>
      <c r="BC795" s="147">
        <f t="shared" si="530"/>
        <v>1.0266319896786149E-14</v>
      </c>
      <c r="BD795" s="164">
        <f>IF(AND($C794=12,$D794=Input!$C$6),0,IF($E795="","",AT795+(AU795+BD796)/(1+$AK795)*MIN((1-AM795-AN795),1)))</f>
        <v>0</v>
      </c>
      <c r="BE795" s="164">
        <f t="shared" si="510"/>
        <v>0</v>
      </c>
      <c r="BF795" s="164">
        <f t="shared" si="531"/>
        <v>99822.578699855017</v>
      </c>
      <c r="BG795" s="164">
        <f t="shared" si="511"/>
        <v>1.0248105258548228E-9</v>
      </c>
      <c r="BH795" s="152"/>
      <c r="BI795" s="162">
        <f t="shared" si="512"/>
        <v>-8895.6214812479393</v>
      </c>
      <c r="BJ795" s="150">
        <f t="shared" si="513"/>
        <v>0</v>
      </c>
      <c r="BK795" s="163">
        <f t="shared" si="535"/>
        <v>0</v>
      </c>
      <c r="BL795" s="163">
        <f t="shared" si="514"/>
        <v>10116.826999695704</v>
      </c>
      <c r="BM795" s="163">
        <f t="shared" si="536"/>
        <v>-54.713682306380399</v>
      </c>
      <c r="BN795" s="163">
        <f t="shared" si="515"/>
        <v>-2146.1056827842422</v>
      </c>
      <c r="BO795" s="163">
        <f t="shared" si="516"/>
        <v>0</v>
      </c>
      <c r="BP795" s="164">
        <f t="shared" si="537"/>
        <v>-21213.267846034265</v>
      </c>
      <c r="BQ795" s="164">
        <f>IF($E795="","",IF(AND($D795=Input!$C$6,$C795=12),0,-BJ796+BK796+BL796-BM796-BN796-BO796+BQ796))</f>
        <v>-21213.229037610239</v>
      </c>
      <c r="BR795" s="161">
        <f t="shared" si="517"/>
        <v>0</v>
      </c>
      <c r="BT795" s="147">
        <f t="shared" si="518"/>
        <v>1.0266319896786149E-14</v>
      </c>
      <c r="BU795" s="164">
        <f>IF(AND($C794=12,$D794=Input!$C$6),0,IF($E795="","",BK795+(BL795+BU796)/(1+$AK795)*MIN((1-T795-U795),1)))</f>
        <v>75668.942238590724</v>
      </c>
      <c r="BV795" s="164">
        <f t="shared" si="519"/>
        <v>7.7684156727280583E-10</v>
      </c>
      <c r="BW795" s="164">
        <f t="shared" si="520"/>
        <v>-21213.229037610239</v>
      </c>
      <c r="BX795" s="164">
        <f t="shared" si="521"/>
        <v>-2.177817953438997E-10</v>
      </c>
    </row>
    <row r="796" spans="1:76" s="150" customFormat="1" x14ac:dyDescent="0.25">
      <c r="A796" s="150">
        <f t="shared" si="532"/>
        <v>792</v>
      </c>
      <c r="B796" s="150">
        <f t="shared" si="533"/>
        <v>66</v>
      </c>
      <c r="C796" s="150">
        <f t="shared" si="534"/>
        <v>12</v>
      </c>
      <c r="D796" s="150">
        <f>IF(E796="","",Input!$C$4+B796-1)</f>
        <v>110</v>
      </c>
      <c r="E796" s="150">
        <f>IF(OR(AND(C795=12,D795=Input!$C$6),E795=""),"",1)</f>
        <v>1</v>
      </c>
      <c r="F796" s="150">
        <f>IF(E796="","",Input!$C$8+B796-1)</f>
        <v>2083</v>
      </c>
      <c r="G796" s="151">
        <f>IF(E796="","",MAX(0,Input!$C$9-B796))</f>
        <v>0</v>
      </c>
      <c r="H796" s="152">
        <f>IF(E796="","",Input!$C$3)</f>
        <v>100000</v>
      </c>
      <c r="I796" s="153">
        <f>IF(E796="","",HLOOKUP($B796,Input!$C$13:$BT$14,2))</f>
        <v>1000</v>
      </c>
      <c r="J796" s="154"/>
      <c r="K796" s="155">
        <f>IF($E796="","",INDEX(Input!$C$16:$CP$16,1,$B796))</f>
        <v>3.3079999999999998E-2</v>
      </c>
      <c r="L796" s="155">
        <f>IF($E796="","",Input!$C$37)</f>
        <v>1.4999999999999999E-2</v>
      </c>
      <c r="M796" s="155">
        <f t="shared" si="497"/>
        <v>4.8079999999999998E-2</v>
      </c>
      <c r="N796" s="155">
        <f t="shared" si="498"/>
        <v>3.9209936323438832E-3</v>
      </c>
      <c r="O796" s="147">
        <f>IF($E796="","",MIN(VLOOKUP(IF($B796&lt;=Input!$C$7,$B796,26),'Mortality Tables'!$A$41:$CW$67,IF($B796&lt;=Input!$C$7+1,Input!$C$4+2,$D796-Input!$C$7+2),0)*IF(B796&gt;20,Input!$C$22,1)/1000,1))</f>
        <v>1</v>
      </c>
      <c r="P796" s="147">
        <f>IF($E796="","",MIN(VLOOKUP(IF($B796&lt;=Input!$C$7,$B796,26),'Mortality Tables'!$A$12:$CW$37,IF($B796&lt;=Input!$C$7+1,Input!$C$4+2,$D796-Input!$C$7+2),0)*IF(B796&gt;20,Input!$C$22,1)/1000,1))</f>
        <v>1</v>
      </c>
      <c r="Q796" s="155">
        <f>IF($E796="","",Input!$C$21)</f>
        <v>5.0000000000000001E-3</v>
      </c>
      <c r="R796" s="159">
        <f>IF($E796="","",(1-Q796)^($F796-Input!$C$20))</f>
        <v>0.72193857597851663</v>
      </c>
      <c r="S796" s="147">
        <f t="shared" si="500"/>
        <v>0.72193857597851663</v>
      </c>
      <c r="T796" s="147">
        <f t="shared" si="501"/>
        <v>0.10116826999695705</v>
      </c>
      <c r="U796" s="160">
        <f>IF($E796="","",IF($C796=12,INDEX(Input!$C$15:$CP$15,1,$B796),0))</f>
        <v>0.1</v>
      </c>
      <c r="V796" s="150">
        <f>IF(E796="","",IF(C796=1,IF($B796=1,Input!$C$33,Input!$C$34),0))</f>
        <v>0</v>
      </c>
      <c r="W796" s="156">
        <f>IF($E796="","",Input!$C$35)</f>
        <v>0.02</v>
      </c>
      <c r="X796" s="156">
        <f t="shared" si="499"/>
        <v>3.6225231081424152</v>
      </c>
      <c r="Y796" s="154"/>
      <c r="Z796" s="147">
        <f>IF($E796="","",VLOOKUP($D796,'Mortality Margins &amp; Grading'!$AB$5:$AF$125,3,0)*IF(Summary!$D$25="Included Margin",IF(AND($B796&gt;Input!$C$9,Summary!$D$31&lt;&gt;"Included Margin"),0,1),0))</f>
        <v>0.01</v>
      </c>
      <c r="AA796" s="147">
        <f>IF($E796="","",VLOOKUP($D796,'Mortality Margins &amp; Grading'!$AB$5:$AF$125,5,0)*IF(Summary!$D$25="Included Margin",IF(AND($B796&gt;Input!$C$9,Summary!$D$31&lt;&gt;"Included Margin"),0,1),0))</f>
        <v>5.2999999999999999E-2</v>
      </c>
      <c r="AB796" s="147">
        <f>IF($E796="","",IF(AND($B796&gt;Input!$C$9,Summary!$D$31&lt;&gt;"Included Margin"),1,IF(Summary!$D$25="Included Margin",VLOOKUP($B796,'Mortality Margins &amp; Grading'!$AI$5:$AR$125,MATCH('Mortality Margins &amp; Grading'!$AQ$4,'Mortality Margins &amp; Grading'!$AI$4:$AR$4,0),0),1)))</f>
        <v>0</v>
      </c>
      <c r="AC796" s="154"/>
      <c r="AD796" s="158">
        <f>IF(E796="","",Input!$C$48*IF(Summary!$D$30="Included Margin",IF(AND($B796&gt;Input!$C$9,Summary!$D$31&lt;&gt;"Included Margin"),0,1),0))</f>
        <v>-4.4999999999999997E-3</v>
      </c>
      <c r="AE796" s="159">
        <f>IF(E796="","",IF(Summary!$D$26="Included Margin",IF(AND($B796&gt;Input!$C$9,Summary!$D$31&lt;&gt;"Included Margin"),1,1/$R796),1))</f>
        <v>1.3851593934353743</v>
      </c>
      <c r="AF796" s="160">
        <f>IF(E796="","",IF(AND($B796&gt;=Input!$C$9,$C796=12,Summary!$D$31="Included Margin",$U796&gt;0),1/U796-1,IF($B796&gt;=Input!$C$9,0,Input!$C$45*IF(Summary!$D$27="Included Margin",1,0))))</f>
        <v>9</v>
      </c>
      <c r="AG796" s="160">
        <f>IF(E796="","",Input!$C$46*IF(Summary!$D$28="Included Margin",IF(AND($B796&gt;Input!$C$9,Summary!$D$31&lt;&gt;"Included Margin"),0,1),0))</f>
        <v>0.02</v>
      </c>
      <c r="AH796" s="158">
        <f>IF(E796="","",Input!$C$47*IF(Summary!$D$29="Included Margin",IF(AND($B796&gt;Input!$C$9,Summary!$D$31&lt;&gt;"Included Margin"),0,1),0))</f>
        <v>2.5000000000000001E-3</v>
      </c>
      <c r="AI796" s="154"/>
      <c r="AJ796" s="158">
        <f t="shared" si="522"/>
        <v>4.3580000000000001E-2</v>
      </c>
      <c r="AK796" s="155">
        <f t="shared" si="523"/>
        <v>3.561084788265001E-3</v>
      </c>
      <c r="AL796" s="147">
        <f t="shared" si="524"/>
        <v>1</v>
      </c>
      <c r="AM796" s="147">
        <f t="shared" si="502"/>
        <v>1</v>
      </c>
      <c r="AN796" s="160">
        <f t="shared" si="525"/>
        <v>1</v>
      </c>
      <c r="AO796" s="161">
        <f t="shared" si="526"/>
        <v>0</v>
      </c>
      <c r="AP796" s="156">
        <f t="shared" si="503"/>
        <v>4.2473258824005597</v>
      </c>
      <c r="AQ796" s="152"/>
      <c r="AR796" s="162">
        <f t="shared" si="504"/>
        <v>99822.262230220891</v>
      </c>
      <c r="AS796" s="150">
        <f t="shared" si="527"/>
        <v>0</v>
      </c>
      <c r="AT796" s="163">
        <f t="shared" si="505"/>
        <v>0</v>
      </c>
      <c r="AU796" s="163">
        <f t="shared" si="506"/>
        <v>100000</v>
      </c>
      <c r="AV796" s="163">
        <f t="shared" si="528"/>
        <v>177.42130014498952</v>
      </c>
      <c r="AW796" s="163">
        <f t="shared" si="507"/>
        <v>0</v>
      </c>
      <c r="AX796" s="163">
        <f t="shared" si="508"/>
        <v>0</v>
      </c>
      <c r="AY796" s="165">
        <f t="shared" si="529"/>
        <v>-0.31646963411941442</v>
      </c>
      <c r="AZ796" s="164">
        <f>IF($E796="","",IF(OR(AND($D796=Input!$C$6,$C796=12),$AN796=1),0,-AS797+AT797+AU797-AV797-AW797-AX797+AZ797))</f>
        <v>0</v>
      </c>
      <c r="BA796" s="154">
        <f t="shared" si="509"/>
        <v>0.31646963411941442</v>
      </c>
      <c r="BC796" s="147">
        <f t="shared" si="530"/>
        <v>8.2010620839143408E-15</v>
      </c>
      <c r="BD796" s="164">
        <f>IF(AND($C795=12,$D795=Input!$C$6),0,IF($E796="","",AT796+(AU796+BD797)/(1+$AK796)*MIN((1-AM796-AN796),1)))</f>
        <v>-99865.856643492298</v>
      </c>
      <c r="BE796" s="164">
        <f t="shared" si="510"/>
        <v>-8.1900609039656972E-10</v>
      </c>
      <c r="BF796" s="164">
        <f t="shared" si="531"/>
        <v>0</v>
      </c>
      <c r="BG796" s="164">
        <f t="shared" si="511"/>
        <v>0</v>
      </c>
      <c r="BH796" s="152"/>
      <c r="BI796" s="162">
        <f t="shared" si="512"/>
        <v>-21213.267846034265</v>
      </c>
      <c r="BJ796" s="150">
        <f t="shared" si="513"/>
        <v>0</v>
      </c>
      <c r="BK796" s="163">
        <f t="shared" si="535"/>
        <v>0</v>
      </c>
      <c r="BL796" s="163">
        <f t="shared" si="514"/>
        <v>10116.826999695704</v>
      </c>
      <c r="BM796" s="163">
        <f t="shared" si="536"/>
        <v>-103.01109526817136</v>
      </c>
      <c r="BN796" s="163">
        <f t="shared" si="515"/>
        <v>-3931.0645837396169</v>
      </c>
      <c r="BO796" s="163">
        <f t="shared" si="516"/>
        <v>-3492.5630147304573</v>
      </c>
      <c r="BP796" s="164">
        <f t="shared" si="537"/>
        <v>-38856.733539468209</v>
      </c>
      <c r="BQ796" s="164">
        <f>IF($E796="","",IF(AND($D796=Input!$C$6,$C796=12),0,-BJ797+BK797+BL797-BM797-BN797-BO797+BQ797))</f>
        <v>-38856.69473104419</v>
      </c>
      <c r="BR796" s="161">
        <f t="shared" si="517"/>
        <v>0</v>
      </c>
      <c r="BT796" s="147">
        <f t="shared" si="518"/>
        <v>8.2010620839143408E-15</v>
      </c>
      <c r="BU796" s="164">
        <f>IF(AND($C795=12,$D795=Input!$C$6),0,IF($E796="","",BK796+(BL796+BU797)/(1+$AK796)*MIN((1-T796-U796),1)))</f>
        <v>74368.84837525303</v>
      </c>
      <c r="BV796" s="164">
        <f t="shared" si="519"/>
        <v>6.0990354263466226E-10</v>
      </c>
      <c r="BW796" s="164">
        <f t="shared" si="520"/>
        <v>-38856.69473104419</v>
      </c>
      <c r="BX796" s="164">
        <f t="shared" si="521"/>
        <v>-3.1866616586500063E-10</v>
      </c>
    </row>
    <row r="797" spans="1:76" s="150" customFormat="1" x14ac:dyDescent="0.25">
      <c r="A797" s="150">
        <f t="shared" si="532"/>
        <v>793</v>
      </c>
      <c r="B797" s="150">
        <f t="shared" si="533"/>
        <v>67</v>
      </c>
      <c r="C797" s="150">
        <f t="shared" si="534"/>
        <v>1</v>
      </c>
      <c r="D797" s="150">
        <f>IF(E797="","",Input!$C$4+B797-1)</f>
        <v>111</v>
      </c>
      <c r="E797" s="150">
        <f>IF(OR(AND(C796=12,D796=Input!$C$6),E796=""),"",1)</f>
        <v>1</v>
      </c>
      <c r="F797" s="150">
        <f>IF(E797="","",Input!$C$8+B797-1)</f>
        <v>2084</v>
      </c>
      <c r="G797" s="151">
        <f>IF(E797="","",MAX(0,Input!$C$9-B797))</f>
        <v>0</v>
      </c>
      <c r="H797" s="152">
        <f>IF(E797="","",Input!$C$3)</f>
        <v>100000</v>
      </c>
      <c r="I797" s="153">
        <f>IF(E797="","",HLOOKUP($B797,Input!$C$13:$BT$14,2))</f>
        <v>1000</v>
      </c>
      <c r="J797" s="154"/>
      <c r="K797" s="155">
        <f>IF($E797="","",INDEX(Input!$C$16:$CP$16,1,$B797))</f>
        <v>3.3099999999999997E-2</v>
      </c>
      <c r="L797" s="155">
        <f>IF($E797="","",Input!$C$37)</f>
        <v>1.4999999999999999E-2</v>
      </c>
      <c r="M797" s="155">
        <f t="shared" si="497"/>
        <v>4.8099999999999997E-2</v>
      </c>
      <c r="N797" s="155">
        <f t="shared" si="498"/>
        <v>3.9225900629809018E-3</v>
      </c>
      <c r="O797" s="147">
        <f>IF($E797="","",MIN(VLOOKUP(IF($B797&lt;=Input!$C$7,$B797,26),'Mortality Tables'!$A$41:$CW$67,IF($B797&lt;=Input!$C$7+1,Input!$C$4+2,$D797-Input!$C$7+2),0)*IF(B797&gt;20,Input!$C$22,1)/1000,1))</f>
        <v>1</v>
      </c>
      <c r="P797" s="147">
        <f>IF($E797="","",MIN(VLOOKUP(IF($B797&lt;=Input!$C$7,$B797,26),'Mortality Tables'!$A$12:$CW$37,IF($B797&lt;=Input!$C$7+1,Input!$C$4+2,$D797-Input!$C$7+2),0)*IF(B797&gt;20,Input!$C$22,1)/1000,1))</f>
        <v>1</v>
      </c>
      <c r="Q797" s="155">
        <f>IF($E797="","",Input!$C$21)</f>
        <v>5.0000000000000001E-3</v>
      </c>
      <c r="R797" s="159">
        <f>IF($E797="","",(1-Q797)^($F797-Input!$C$20))</f>
        <v>0.71832888309862408</v>
      </c>
      <c r="S797" s="147">
        <f t="shared" si="500"/>
        <v>0.71832888309862408</v>
      </c>
      <c r="T797" s="147">
        <f t="shared" si="501"/>
        <v>0.10020164887203509</v>
      </c>
      <c r="U797" s="160">
        <f>IF($E797="","",IF($C797=12,INDEX(Input!$C$15:$CP$15,1,$B797),0))</f>
        <v>0</v>
      </c>
      <c r="V797" s="150">
        <f>IF(E797="","",IF(C797=1,IF($B797=1,Input!$C$33,Input!$C$34),0))</f>
        <v>50</v>
      </c>
      <c r="W797" s="156">
        <f>IF($E797="","",Input!$C$35)</f>
        <v>0.02</v>
      </c>
      <c r="X797" s="156">
        <f t="shared" si="499"/>
        <v>3.6949735703052635</v>
      </c>
      <c r="Y797" s="154"/>
      <c r="Z797" s="147">
        <f>IF($E797="","",VLOOKUP($D797,'Mortality Margins &amp; Grading'!$AB$5:$AF$125,3,0)*IF(Summary!$D$25="Included Margin",IF(AND($B797&gt;Input!$C$9,Summary!$D$31&lt;&gt;"Included Margin"),0,1),0))</f>
        <v>0.01</v>
      </c>
      <c r="AA797" s="147">
        <f>IF($E797="","",VLOOKUP($D797,'Mortality Margins &amp; Grading'!$AB$5:$AF$125,5,0)*IF(Summary!$D$25="Included Margin",IF(AND($B797&gt;Input!$C$9,Summary!$D$31&lt;&gt;"Included Margin"),0,1),0))</f>
        <v>5.2999999999999999E-2</v>
      </c>
      <c r="AB797" s="147">
        <f>IF($E797="","",IF(AND($B797&gt;Input!$C$9,Summary!$D$31&lt;&gt;"Included Margin"),1,IF(Summary!$D$25="Included Margin",VLOOKUP($B797,'Mortality Margins &amp; Grading'!$AI$5:$AR$125,MATCH('Mortality Margins &amp; Grading'!$AQ$4,'Mortality Margins &amp; Grading'!$AI$4:$AR$4,0),0),1)))</f>
        <v>0</v>
      </c>
      <c r="AC797" s="154"/>
      <c r="AD797" s="158">
        <f>IF(E797="","",Input!$C$48*IF(Summary!$D$30="Included Margin",IF(AND($B797&gt;Input!$C$9,Summary!$D$31&lt;&gt;"Included Margin"),0,1),0))</f>
        <v>-4.4999999999999997E-3</v>
      </c>
      <c r="AE797" s="159">
        <f>IF(E797="","",IF(Summary!$D$26="Included Margin",IF(AND($B797&gt;Input!$C$9,Summary!$D$31&lt;&gt;"Included Margin"),1,1/$R797),1))</f>
        <v>1.3921199934023862</v>
      </c>
      <c r="AF797" s="160">
        <f>IF(E797="","",IF(AND($B797&gt;=Input!$C$9,$C797=12,Summary!$D$31="Included Margin",$U797&gt;0),1/U797-1,IF($B797&gt;=Input!$C$9,0,Input!$C$45*IF(Summary!$D$27="Included Margin",1,0))))</f>
        <v>0</v>
      </c>
      <c r="AG797" s="160">
        <f>IF(E797="","",Input!$C$46*IF(Summary!$D$28="Included Margin",IF(AND($B797&gt;Input!$C$9,Summary!$D$31&lt;&gt;"Included Margin"),0,1),0))</f>
        <v>0.02</v>
      </c>
      <c r="AH797" s="158">
        <f>IF(E797="","",Input!$C$47*IF(Summary!$D$29="Included Margin",IF(AND($B797&gt;Input!$C$9,Summary!$D$31&lt;&gt;"Included Margin"),0,1),0))</f>
        <v>2.5000000000000001E-3</v>
      </c>
      <c r="AI797" s="154"/>
      <c r="AJ797" s="158">
        <f t="shared" si="522"/>
        <v>4.36E-2</v>
      </c>
      <c r="AK797" s="155">
        <f t="shared" si="523"/>
        <v>3.5626875279843873E-3</v>
      </c>
      <c r="AL797" s="147">
        <f t="shared" si="524"/>
        <v>1</v>
      </c>
      <c r="AM797" s="147">
        <f t="shared" si="502"/>
        <v>1</v>
      </c>
      <c r="AN797" s="160">
        <f t="shared" si="525"/>
        <v>0</v>
      </c>
      <c r="AO797" s="161">
        <f t="shared" si="526"/>
        <v>51</v>
      </c>
      <c r="AP797" s="156">
        <f t="shared" si="503"/>
        <v>4.3428907147545726</v>
      </c>
      <c r="AQ797" s="152"/>
      <c r="AR797" s="162">
        <f t="shared" si="504"/>
        <v>43.66980436548954</v>
      </c>
      <c r="AS797" s="150">
        <f t="shared" si="527"/>
        <v>100000</v>
      </c>
      <c r="AT797" s="163">
        <f t="shared" si="505"/>
        <v>221.48742645248319</v>
      </c>
      <c r="AU797" s="163">
        <f t="shared" si="506"/>
        <v>100000</v>
      </c>
      <c r="AV797" s="163">
        <f t="shared" si="528"/>
        <v>177.5008677747542</v>
      </c>
      <c r="AW797" s="163">
        <f t="shared" si="507"/>
        <v>99822.499132225246</v>
      </c>
      <c r="AX797" s="163">
        <f t="shared" si="508"/>
        <v>0</v>
      </c>
      <c r="AY797" s="164">
        <f t="shared" si="529"/>
        <v>99822.182377913006</v>
      </c>
      <c r="AZ797" s="164">
        <f>IF($E797="","",IF(OR(AND($D797=Input!$C$6,$C797=12),$AN797=1),0,-AS798+AT798+AU798-AV798-AW798-AX798+AZ798))</f>
        <v>99822.499132225246</v>
      </c>
      <c r="BA797" s="154">
        <f t="shared" si="509"/>
        <v>0.31675431223993655</v>
      </c>
      <c r="BC797" s="147">
        <f t="shared" si="530"/>
        <v>7.3793021406041951E-15</v>
      </c>
      <c r="BD797" s="164">
        <f>IF(AND($C796=12,$D796=Input!$C$6),0,IF($E797="","",AT797+(AU797+BD798)/(1+$AK797)*MIN((1-AM797-AN797),1)))</f>
        <v>221.48742645248319</v>
      </c>
      <c r="BE797" s="164">
        <f t="shared" si="510"/>
        <v>1.6344226401377234E-12</v>
      </c>
      <c r="BF797" s="164">
        <f t="shared" si="531"/>
        <v>99822.499132225246</v>
      </c>
      <c r="BG797" s="164">
        <f t="shared" si="511"/>
        <v>7.3662038152689013E-10</v>
      </c>
      <c r="BH797" s="152"/>
      <c r="BI797" s="162">
        <f t="shared" si="512"/>
        <v>-38856.733199945178</v>
      </c>
      <c r="BJ797" s="150">
        <f t="shared" si="513"/>
        <v>100000</v>
      </c>
      <c r="BK797" s="163">
        <f t="shared" si="535"/>
        <v>184.74867851526318</v>
      </c>
      <c r="BL797" s="163">
        <f t="shared" si="514"/>
        <v>10020.164887203509</v>
      </c>
      <c r="BM797" s="163">
        <f t="shared" si="536"/>
        <v>219.46277782960496</v>
      </c>
      <c r="BN797" s="163">
        <f t="shared" si="515"/>
        <v>5696.9446157936964</v>
      </c>
      <c r="BO797" s="163">
        <f t="shared" si="516"/>
        <v>0</v>
      </c>
      <c r="BP797" s="164">
        <f t="shared" si="537"/>
        <v>56854.760627959353</v>
      </c>
      <c r="BQ797" s="164">
        <f>IF($E797="","",IF(AND($D797=Input!$C$6,$C797=12),0,-BJ798+BK798+BL798-BM798-BN798-BO798+BQ798))</f>
        <v>56854.799096860326</v>
      </c>
      <c r="BR797" s="161">
        <f t="shared" si="517"/>
        <v>0</v>
      </c>
      <c r="BT797" s="147">
        <f t="shared" si="518"/>
        <v>7.3793021406041951E-15</v>
      </c>
      <c r="BU797" s="164">
        <f>IF(AND($C796=12,$D796=Input!$C$6),0,IF($E797="","",BK797+(BL797+BU798)/(1+$AK797)*MIN((1-T797-U797),1)))</f>
        <v>83311.712887720423</v>
      </c>
      <c r="BV797" s="164">
        <f t="shared" si="519"/>
        <v>6.1478230124975744E-10</v>
      </c>
      <c r="BW797" s="164">
        <f t="shared" si="520"/>
        <v>56854.799096860326</v>
      </c>
      <c r="BX797" s="164">
        <f t="shared" si="521"/>
        <v>4.1954874067908285E-10</v>
      </c>
    </row>
    <row r="798" spans="1:76" s="150" customFormat="1" x14ac:dyDescent="0.25">
      <c r="A798" s="150">
        <f t="shared" si="532"/>
        <v>794</v>
      </c>
      <c r="B798" s="150">
        <f t="shared" si="533"/>
        <v>67</v>
      </c>
      <c r="C798" s="150">
        <f t="shared" si="534"/>
        <v>2</v>
      </c>
      <c r="D798" s="150">
        <f>IF(E798="","",Input!$C$4+B798-1)</f>
        <v>111</v>
      </c>
      <c r="E798" s="150">
        <f>IF(OR(AND(C797=12,D797=Input!$C$6),E797=""),"",1)</f>
        <v>1</v>
      </c>
      <c r="F798" s="150">
        <f>IF(E798="","",Input!$C$8+B798-1)</f>
        <v>2084</v>
      </c>
      <c r="G798" s="151">
        <f>IF(E798="","",MAX(0,Input!$C$9-B798))</f>
        <v>0</v>
      </c>
      <c r="H798" s="152">
        <f>IF(E798="","",Input!$C$3)</f>
        <v>100000</v>
      </c>
      <c r="I798" s="153">
        <f>IF(E798="","",HLOOKUP($B798,Input!$C$13:$BT$14,2))</f>
        <v>1000</v>
      </c>
      <c r="J798" s="154"/>
      <c r="K798" s="155">
        <f>IF($E798="","",INDEX(Input!$C$16:$CP$16,1,$B798))</f>
        <v>3.3099999999999997E-2</v>
      </c>
      <c r="L798" s="155">
        <f>IF($E798="","",Input!$C$37)</f>
        <v>1.4999999999999999E-2</v>
      </c>
      <c r="M798" s="155">
        <f t="shared" si="497"/>
        <v>4.8099999999999997E-2</v>
      </c>
      <c r="N798" s="155">
        <f t="shared" si="498"/>
        <v>3.9225900629809018E-3</v>
      </c>
      <c r="O798" s="147">
        <f>IF($E798="","",MIN(VLOOKUP(IF($B798&lt;=Input!$C$7,$B798,26),'Mortality Tables'!$A$41:$CW$67,IF($B798&lt;=Input!$C$7+1,Input!$C$4+2,$D798-Input!$C$7+2),0)*IF(B798&gt;20,Input!$C$22,1)/1000,1))</f>
        <v>1</v>
      </c>
      <c r="P798" s="147">
        <f>IF($E798="","",MIN(VLOOKUP(IF($B798&lt;=Input!$C$7,$B798,26),'Mortality Tables'!$A$12:$CW$37,IF($B798&lt;=Input!$C$7+1,Input!$C$4+2,$D798-Input!$C$7+2),0)*IF(B798&gt;20,Input!$C$22,1)/1000,1))</f>
        <v>1</v>
      </c>
      <c r="Q798" s="155">
        <f>IF($E798="","",Input!$C$21)</f>
        <v>5.0000000000000001E-3</v>
      </c>
      <c r="R798" s="159">
        <f>IF($E798="","",(1-Q798)^($F798-Input!$C$20))</f>
        <v>0.71832888309862408</v>
      </c>
      <c r="S798" s="147">
        <f t="shared" si="500"/>
        <v>0.71832888309862408</v>
      </c>
      <c r="T798" s="147">
        <f t="shared" si="501"/>
        <v>0.10020164887203509</v>
      </c>
      <c r="U798" s="160">
        <f>IF($E798="","",IF($C798=12,INDEX(Input!$C$15:$CP$15,1,$B798),0))</f>
        <v>0</v>
      </c>
      <c r="V798" s="150">
        <f>IF(E798="","",IF(C798=1,IF($B798=1,Input!$C$33,Input!$C$34),0))</f>
        <v>0</v>
      </c>
      <c r="W798" s="156">
        <f>IF($E798="","",Input!$C$35)</f>
        <v>0.02</v>
      </c>
      <c r="X798" s="156">
        <f t="shared" si="499"/>
        <v>3.6949735703052635</v>
      </c>
      <c r="Y798" s="154"/>
      <c r="Z798" s="147">
        <f>IF($E798="","",VLOOKUP($D798,'Mortality Margins &amp; Grading'!$AB$5:$AF$125,3,0)*IF(Summary!$D$25="Included Margin",IF(AND($B798&gt;Input!$C$9,Summary!$D$31&lt;&gt;"Included Margin"),0,1),0))</f>
        <v>0.01</v>
      </c>
      <c r="AA798" s="147">
        <f>IF($E798="","",VLOOKUP($D798,'Mortality Margins &amp; Grading'!$AB$5:$AF$125,5,0)*IF(Summary!$D$25="Included Margin",IF(AND($B798&gt;Input!$C$9,Summary!$D$31&lt;&gt;"Included Margin"),0,1),0))</f>
        <v>5.2999999999999999E-2</v>
      </c>
      <c r="AB798" s="147">
        <f>IF($E798="","",IF(AND($B798&gt;Input!$C$9,Summary!$D$31&lt;&gt;"Included Margin"),1,IF(Summary!$D$25="Included Margin",VLOOKUP($B798,'Mortality Margins &amp; Grading'!$AI$5:$AR$125,MATCH('Mortality Margins &amp; Grading'!$AQ$4,'Mortality Margins &amp; Grading'!$AI$4:$AR$4,0),0),1)))</f>
        <v>0</v>
      </c>
      <c r="AC798" s="154"/>
      <c r="AD798" s="158">
        <f>IF(E798="","",Input!$C$48*IF(Summary!$D$30="Included Margin",IF(AND($B798&gt;Input!$C$9,Summary!$D$31&lt;&gt;"Included Margin"),0,1),0))</f>
        <v>-4.4999999999999997E-3</v>
      </c>
      <c r="AE798" s="159">
        <f>IF(E798="","",IF(Summary!$D$26="Included Margin",IF(AND($B798&gt;Input!$C$9,Summary!$D$31&lt;&gt;"Included Margin"),1,1/$R798),1))</f>
        <v>1.3921199934023862</v>
      </c>
      <c r="AF798" s="160">
        <f>IF(E798="","",IF(AND($B798&gt;=Input!$C$9,$C798=12,Summary!$D$31="Included Margin",$U798&gt;0),1/U798-1,IF($B798&gt;=Input!$C$9,0,Input!$C$45*IF(Summary!$D$27="Included Margin",1,0))))</f>
        <v>0</v>
      </c>
      <c r="AG798" s="160">
        <f>IF(E798="","",Input!$C$46*IF(Summary!$D$28="Included Margin",IF(AND($B798&gt;Input!$C$9,Summary!$D$31&lt;&gt;"Included Margin"),0,1),0))</f>
        <v>0.02</v>
      </c>
      <c r="AH798" s="158">
        <f>IF(E798="","",Input!$C$47*IF(Summary!$D$29="Included Margin",IF(AND($B798&gt;Input!$C$9,Summary!$D$31&lt;&gt;"Included Margin"),0,1),0))</f>
        <v>2.5000000000000001E-3</v>
      </c>
      <c r="AI798" s="154"/>
      <c r="AJ798" s="158">
        <f t="shared" si="522"/>
        <v>4.36E-2</v>
      </c>
      <c r="AK798" s="155">
        <f t="shared" si="523"/>
        <v>3.5626875279843873E-3</v>
      </c>
      <c r="AL798" s="147">
        <f t="shared" si="524"/>
        <v>1</v>
      </c>
      <c r="AM798" s="147">
        <f t="shared" si="502"/>
        <v>1</v>
      </c>
      <c r="AN798" s="160">
        <f t="shared" si="525"/>
        <v>0</v>
      </c>
      <c r="AO798" s="161">
        <f t="shared" si="526"/>
        <v>0</v>
      </c>
      <c r="AP798" s="156">
        <f t="shared" si="503"/>
        <v>4.3428907147545726</v>
      </c>
      <c r="AQ798" s="152"/>
      <c r="AR798" s="162">
        <f t="shared" si="504"/>
        <v>99822.182377913006</v>
      </c>
      <c r="AS798" s="150">
        <f t="shared" si="527"/>
        <v>0</v>
      </c>
      <c r="AT798" s="163">
        <f t="shared" si="505"/>
        <v>0</v>
      </c>
      <c r="AU798" s="163">
        <f t="shared" si="506"/>
        <v>100000</v>
      </c>
      <c r="AV798" s="163">
        <f t="shared" si="528"/>
        <v>177.5008677747542</v>
      </c>
      <c r="AW798" s="163">
        <f t="shared" si="507"/>
        <v>99822.499132225246</v>
      </c>
      <c r="AX798" s="163">
        <f t="shared" si="508"/>
        <v>0</v>
      </c>
      <c r="AY798" s="165">
        <f t="shared" si="529"/>
        <v>99822.182377913006</v>
      </c>
      <c r="AZ798" s="164">
        <f>IF($E798="","",IF(OR(AND($D798=Input!$C$6,$C798=12),$AN798=1),0,-AS799+AT799+AU799-AV799-AW799-AX799+AZ799))</f>
        <v>99822.499132225246</v>
      </c>
      <c r="BA798" s="154">
        <f t="shared" si="509"/>
        <v>0.31675431223993655</v>
      </c>
      <c r="BC798" s="147">
        <f t="shared" si="530"/>
        <v>6.6398838985907168E-15</v>
      </c>
      <c r="BD798" s="164">
        <f>IF(AND($C797=12,$D797=Input!$C$6),0,IF($E798="","",AT798+(AU798+BD799)/(1+$AK798)*MIN((1-AM798-AN798),1)))</f>
        <v>0</v>
      </c>
      <c r="BE798" s="164">
        <f t="shared" si="510"/>
        <v>0</v>
      </c>
      <c r="BF798" s="164">
        <f t="shared" si="531"/>
        <v>99822.499132225246</v>
      </c>
      <c r="BG798" s="164">
        <f t="shared" si="511"/>
        <v>6.6280980470514823E-10</v>
      </c>
      <c r="BH798" s="152"/>
      <c r="BI798" s="162">
        <f t="shared" si="512"/>
        <v>56854.760627959346</v>
      </c>
      <c r="BJ798" s="150">
        <f t="shared" si="513"/>
        <v>0</v>
      </c>
      <c r="BK798" s="163">
        <f t="shared" si="535"/>
        <v>0</v>
      </c>
      <c r="BL798" s="163">
        <f t="shared" si="514"/>
        <v>10020.164887203509</v>
      </c>
      <c r="BM798" s="163">
        <f t="shared" si="536"/>
        <v>203.36541946440383</v>
      </c>
      <c r="BN798" s="163">
        <f t="shared" si="515"/>
        <v>5238.1571010567686</v>
      </c>
      <c r="BO798" s="163">
        <f t="shared" si="516"/>
        <v>0</v>
      </c>
      <c r="BP798" s="164">
        <f t="shared" si="537"/>
        <v>52276.118261277014</v>
      </c>
      <c r="BQ798" s="164">
        <f>IF($E798="","",IF(AND($D798=Input!$C$6,$C798=12),0,-BJ799+BK799+BL799-BM799-BN799-BO799+BQ799))</f>
        <v>52276.156730177987</v>
      </c>
      <c r="BR798" s="161">
        <f t="shared" si="517"/>
        <v>0</v>
      </c>
      <c r="BT798" s="147">
        <f t="shared" si="518"/>
        <v>6.6398838985907168E-15</v>
      </c>
      <c r="BU798" s="164">
        <f>IF(AND($C797=12,$D797=Input!$C$6),0,IF($E798="","",BK798+(BL798+BU799)/(1+$AK798)*MIN((1-T798-U798),1)))</f>
        <v>82692.963007791346</v>
      </c>
      <c r="BV798" s="164">
        <f t="shared" si="519"/>
        <v>5.4907167360219149E-10</v>
      </c>
      <c r="BW798" s="164">
        <f t="shared" si="520"/>
        <v>52276.156730177987</v>
      </c>
      <c r="BX798" s="164">
        <f t="shared" si="521"/>
        <v>3.4710761135291356E-10</v>
      </c>
    </row>
    <row r="799" spans="1:76" s="150" customFormat="1" x14ac:dyDescent="0.25">
      <c r="A799" s="150">
        <f t="shared" si="532"/>
        <v>795</v>
      </c>
      <c r="B799" s="150">
        <f t="shared" si="533"/>
        <v>67</v>
      </c>
      <c r="C799" s="150">
        <f t="shared" si="534"/>
        <v>3</v>
      </c>
      <c r="D799" s="150">
        <f>IF(E799="","",Input!$C$4+B799-1)</f>
        <v>111</v>
      </c>
      <c r="E799" s="150">
        <f>IF(OR(AND(C798=12,D798=Input!$C$6),E798=""),"",1)</f>
        <v>1</v>
      </c>
      <c r="F799" s="150">
        <f>IF(E799="","",Input!$C$8+B799-1)</f>
        <v>2084</v>
      </c>
      <c r="G799" s="151">
        <f>IF(E799="","",MAX(0,Input!$C$9-B799))</f>
        <v>0</v>
      </c>
      <c r="H799" s="152">
        <f>IF(E799="","",Input!$C$3)</f>
        <v>100000</v>
      </c>
      <c r="I799" s="153">
        <f>IF(E799="","",HLOOKUP($B799,Input!$C$13:$BT$14,2))</f>
        <v>1000</v>
      </c>
      <c r="J799" s="154"/>
      <c r="K799" s="155">
        <f>IF($E799="","",INDEX(Input!$C$16:$CP$16,1,$B799))</f>
        <v>3.3099999999999997E-2</v>
      </c>
      <c r="L799" s="155">
        <f>IF($E799="","",Input!$C$37)</f>
        <v>1.4999999999999999E-2</v>
      </c>
      <c r="M799" s="155">
        <f t="shared" si="497"/>
        <v>4.8099999999999997E-2</v>
      </c>
      <c r="N799" s="155">
        <f t="shared" si="498"/>
        <v>3.9225900629809018E-3</v>
      </c>
      <c r="O799" s="147">
        <f>IF($E799="","",MIN(VLOOKUP(IF($B799&lt;=Input!$C$7,$B799,26),'Mortality Tables'!$A$41:$CW$67,IF($B799&lt;=Input!$C$7+1,Input!$C$4+2,$D799-Input!$C$7+2),0)*IF(B799&gt;20,Input!$C$22,1)/1000,1))</f>
        <v>1</v>
      </c>
      <c r="P799" s="147">
        <f>IF($E799="","",MIN(VLOOKUP(IF($B799&lt;=Input!$C$7,$B799,26),'Mortality Tables'!$A$12:$CW$37,IF($B799&lt;=Input!$C$7+1,Input!$C$4+2,$D799-Input!$C$7+2),0)*IF(B799&gt;20,Input!$C$22,1)/1000,1))</f>
        <v>1</v>
      </c>
      <c r="Q799" s="155">
        <f>IF($E799="","",Input!$C$21)</f>
        <v>5.0000000000000001E-3</v>
      </c>
      <c r="R799" s="159">
        <f>IF($E799="","",(1-Q799)^($F799-Input!$C$20))</f>
        <v>0.71832888309862408</v>
      </c>
      <c r="S799" s="147">
        <f t="shared" si="500"/>
        <v>0.71832888309862408</v>
      </c>
      <c r="T799" s="147">
        <f t="shared" si="501"/>
        <v>0.10020164887203509</v>
      </c>
      <c r="U799" s="160">
        <f>IF($E799="","",IF($C799=12,INDEX(Input!$C$15:$CP$15,1,$B799),0))</f>
        <v>0</v>
      </c>
      <c r="V799" s="150">
        <f>IF(E799="","",IF(C799=1,IF($B799=1,Input!$C$33,Input!$C$34),0))</f>
        <v>0</v>
      </c>
      <c r="W799" s="156">
        <f>IF($E799="","",Input!$C$35)</f>
        <v>0.02</v>
      </c>
      <c r="X799" s="156">
        <f t="shared" si="499"/>
        <v>3.6949735703052635</v>
      </c>
      <c r="Y799" s="154"/>
      <c r="Z799" s="147">
        <f>IF($E799="","",VLOOKUP($D799,'Mortality Margins &amp; Grading'!$AB$5:$AF$125,3,0)*IF(Summary!$D$25="Included Margin",IF(AND($B799&gt;Input!$C$9,Summary!$D$31&lt;&gt;"Included Margin"),0,1),0))</f>
        <v>0.01</v>
      </c>
      <c r="AA799" s="147">
        <f>IF($E799="","",VLOOKUP($D799,'Mortality Margins &amp; Grading'!$AB$5:$AF$125,5,0)*IF(Summary!$D$25="Included Margin",IF(AND($B799&gt;Input!$C$9,Summary!$D$31&lt;&gt;"Included Margin"),0,1),0))</f>
        <v>5.2999999999999999E-2</v>
      </c>
      <c r="AB799" s="147">
        <f>IF($E799="","",IF(AND($B799&gt;Input!$C$9,Summary!$D$31&lt;&gt;"Included Margin"),1,IF(Summary!$D$25="Included Margin",VLOOKUP($B799,'Mortality Margins &amp; Grading'!$AI$5:$AR$125,MATCH('Mortality Margins &amp; Grading'!$AQ$4,'Mortality Margins &amp; Grading'!$AI$4:$AR$4,0),0),1)))</f>
        <v>0</v>
      </c>
      <c r="AC799" s="154"/>
      <c r="AD799" s="158">
        <f>IF(E799="","",Input!$C$48*IF(Summary!$D$30="Included Margin",IF(AND($B799&gt;Input!$C$9,Summary!$D$31&lt;&gt;"Included Margin"),0,1),0))</f>
        <v>-4.4999999999999997E-3</v>
      </c>
      <c r="AE799" s="159">
        <f>IF(E799="","",IF(Summary!$D$26="Included Margin",IF(AND($B799&gt;Input!$C$9,Summary!$D$31&lt;&gt;"Included Margin"),1,1/$R799),1))</f>
        <v>1.3921199934023862</v>
      </c>
      <c r="AF799" s="160">
        <f>IF(E799="","",IF(AND($B799&gt;=Input!$C$9,$C799=12,Summary!$D$31="Included Margin",$U799&gt;0),1/U799-1,IF($B799&gt;=Input!$C$9,0,Input!$C$45*IF(Summary!$D$27="Included Margin",1,0))))</f>
        <v>0</v>
      </c>
      <c r="AG799" s="160">
        <f>IF(E799="","",Input!$C$46*IF(Summary!$D$28="Included Margin",IF(AND($B799&gt;Input!$C$9,Summary!$D$31&lt;&gt;"Included Margin"),0,1),0))</f>
        <v>0.02</v>
      </c>
      <c r="AH799" s="158">
        <f>IF(E799="","",Input!$C$47*IF(Summary!$D$29="Included Margin",IF(AND($B799&gt;Input!$C$9,Summary!$D$31&lt;&gt;"Included Margin"),0,1),0))</f>
        <v>2.5000000000000001E-3</v>
      </c>
      <c r="AI799" s="154"/>
      <c r="AJ799" s="158">
        <f t="shared" si="522"/>
        <v>4.36E-2</v>
      </c>
      <c r="AK799" s="155">
        <f t="shared" si="523"/>
        <v>3.5626875279843873E-3</v>
      </c>
      <c r="AL799" s="147">
        <f t="shared" si="524"/>
        <v>1</v>
      </c>
      <c r="AM799" s="147">
        <f t="shared" si="502"/>
        <v>1</v>
      </c>
      <c r="AN799" s="160">
        <f t="shared" si="525"/>
        <v>0</v>
      </c>
      <c r="AO799" s="161">
        <f t="shared" si="526"/>
        <v>0</v>
      </c>
      <c r="AP799" s="156">
        <f t="shared" si="503"/>
        <v>4.3428907147545726</v>
      </c>
      <c r="AQ799" s="152"/>
      <c r="AR799" s="162">
        <f t="shared" si="504"/>
        <v>99822.182377913006</v>
      </c>
      <c r="AS799" s="150">
        <f t="shared" si="527"/>
        <v>0</v>
      </c>
      <c r="AT799" s="163">
        <f t="shared" si="505"/>
        <v>0</v>
      </c>
      <c r="AU799" s="163">
        <f t="shared" si="506"/>
        <v>100000</v>
      </c>
      <c r="AV799" s="163">
        <f t="shared" si="528"/>
        <v>177.5008677747542</v>
      </c>
      <c r="AW799" s="163">
        <f t="shared" si="507"/>
        <v>99822.499132225246</v>
      </c>
      <c r="AX799" s="163">
        <f t="shared" si="508"/>
        <v>0</v>
      </c>
      <c r="AY799" s="164">
        <f t="shared" si="529"/>
        <v>99822.182377913006</v>
      </c>
      <c r="AZ799" s="164">
        <f>IF($E799="","",IF(OR(AND($D799=Input!$C$6,$C799=12),$AN799=1),0,-AS800+AT800+AU800-AV800-AW800-AX800+AZ800))</f>
        <v>99822.499132225246</v>
      </c>
      <c r="BA799" s="154">
        <f t="shared" si="509"/>
        <v>0.31675431223993655</v>
      </c>
      <c r="BC799" s="147">
        <f t="shared" si="530"/>
        <v>5.9745565836330504E-15</v>
      </c>
      <c r="BD799" s="164">
        <f>IF(AND($C798=12,$D798=Input!$C$6),0,IF($E799="","",AT799+(AU799+BD800)/(1+$AK799)*MIN((1-AM799-AN799),1)))</f>
        <v>0</v>
      </c>
      <c r="BE799" s="164">
        <f t="shared" si="510"/>
        <v>0</v>
      </c>
      <c r="BF799" s="164">
        <f t="shared" si="531"/>
        <v>99822.499132225246</v>
      </c>
      <c r="BG799" s="164">
        <f t="shared" si="511"/>
        <v>5.9639516938514085E-10</v>
      </c>
      <c r="BH799" s="152"/>
      <c r="BI799" s="162">
        <f t="shared" si="512"/>
        <v>52276.118261277021</v>
      </c>
      <c r="BJ799" s="150">
        <f t="shared" si="513"/>
        <v>0</v>
      </c>
      <c r="BK799" s="163">
        <f t="shared" si="535"/>
        <v>0</v>
      </c>
      <c r="BL799" s="163">
        <f t="shared" si="514"/>
        <v>10020.164887203509</v>
      </c>
      <c r="BM799" s="163">
        <f t="shared" si="536"/>
        <v>185.40528241491236</v>
      </c>
      <c r="BN799" s="163">
        <f t="shared" si="515"/>
        <v>4726.278912453874</v>
      </c>
      <c r="BO799" s="163">
        <f t="shared" si="516"/>
        <v>0</v>
      </c>
      <c r="BP799" s="164">
        <f t="shared" si="537"/>
        <v>47167.6375689423</v>
      </c>
      <c r="BQ799" s="164">
        <f>IF($E799="","",IF(AND($D799=Input!$C$6,$C799=12),0,-BJ800+BK800+BL800-BM800-BN800-BO800+BQ800))</f>
        <v>47167.676037843266</v>
      </c>
      <c r="BR799" s="161">
        <f t="shared" si="517"/>
        <v>0</v>
      </c>
      <c r="BT799" s="147">
        <f t="shared" si="518"/>
        <v>5.9745565836330504E-15</v>
      </c>
      <c r="BU799" s="164">
        <f>IF(AND($C798=12,$D798=Input!$C$6),0,IF($E799="","",BK799+(BL799+BU800)/(1+$AK799)*MIN((1-T799-U799),1)))</f>
        <v>82208.912985322153</v>
      </c>
      <c r="BV799" s="164">
        <f t="shared" si="519"/>
        <v>4.9116180230977307E-10</v>
      </c>
      <c r="BW799" s="164">
        <f t="shared" si="520"/>
        <v>47167.676037843266</v>
      </c>
      <c r="BX799" s="164">
        <f t="shared" si="521"/>
        <v>2.8180594940656738E-10</v>
      </c>
    </row>
    <row r="800" spans="1:76" s="150" customFormat="1" x14ac:dyDescent="0.25">
      <c r="A800" s="150">
        <f t="shared" si="532"/>
        <v>796</v>
      </c>
      <c r="B800" s="150">
        <f t="shared" si="533"/>
        <v>67</v>
      </c>
      <c r="C800" s="150">
        <f t="shared" si="534"/>
        <v>4</v>
      </c>
      <c r="D800" s="150">
        <f>IF(E800="","",Input!$C$4+B800-1)</f>
        <v>111</v>
      </c>
      <c r="E800" s="150">
        <f>IF(OR(AND(C799=12,D799=Input!$C$6),E799=""),"",1)</f>
        <v>1</v>
      </c>
      <c r="F800" s="150">
        <f>IF(E800="","",Input!$C$8+B800-1)</f>
        <v>2084</v>
      </c>
      <c r="G800" s="151">
        <f>IF(E800="","",MAX(0,Input!$C$9-B800))</f>
        <v>0</v>
      </c>
      <c r="H800" s="152">
        <f>IF(E800="","",Input!$C$3)</f>
        <v>100000</v>
      </c>
      <c r="I800" s="153">
        <f>IF(E800="","",HLOOKUP($B800,Input!$C$13:$BT$14,2))</f>
        <v>1000</v>
      </c>
      <c r="J800" s="154"/>
      <c r="K800" s="155">
        <f>IF($E800="","",INDEX(Input!$C$16:$CP$16,1,$B800))</f>
        <v>3.3099999999999997E-2</v>
      </c>
      <c r="L800" s="155">
        <f>IF($E800="","",Input!$C$37)</f>
        <v>1.4999999999999999E-2</v>
      </c>
      <c r="M800" s="155">
        <f t="shared" si="497"/>
        <v>4.8099999999999997E-2</v>
      </c>
      <c r="N800" s="155">
        <f t="shared" si="498"/>
        <v>3.9225900629809018E-3</v>
      </c>
      <c r="O800" s="147">
        <f>IF($E800="","",MIN(VLOOKUP(IF($B800&lt;=Input!$C$7,$B800,26),'Mortality Tables'!$A$41:$CW$67,IF($B800&lt;=Input!$C$7+1,Input!$C$4+2,$D800-Input!$C$7+2),0)*IF(B800&gt;20,Input!$C$22,1)/1000,1))</f>
        <v>1</v>
      </c>
      <c r="P800" s="147">
        <f>IF($E800="","",MIN(VLOOKUP(IF($B800&lt;=Input!$C$7,$B800,26),'Mortality Tables'!$A$12:$CW$37,IF($B800&lt;=Input!$C$7+1,Input!$C$4+2,$D800-Input!$C$7+2),0)*IF(B800&gt;20,Input!$C$22,1)/1000,1))</f>
        <v>1</v>
      </c>
      <c r="Q800" s="155">
        <f>IF($E800="","",Input!$C$21)</f>
        <v>5.0000000000000001E-3</v>
      </c>
      <c r="R800" s="159">
        <f>IF($E800="","",(1-Q800)^($F800-Input!$C$20))</f>
        <v>0.71832888309862408</v>
      </c>
      <c r="S800" s="147">
        <f t="shared" si="500"/>
        <v>0.71832888309862408</v>
      </c>
      <c r="T800" s="147">
        <f t="shared" si="501"/>
        <v>0.10020164887203509</v>
      </c>
      <c r="U800" s="160">
        <f>IF($E800="","",IF($C800=12,INDEX(Input!$C$15:$CP$15,1,$B800),0))</f>
        <v>0</v>
      </c>
      <c r="V800" s="150">
        <f>IF(E800="","",IF(C800=1,IF($B800=1,Input!$C$33,Input!$C$34),0))</f>
        <v>0</v>
      </c>
      <c r="W800" s="156">
        <f>IF($E800="","",Input!$C$35)</f>
        <v>0.02</v>
      </c>
      <c r="X800" s="156">
        <f t="shared" si="499"/>
        <v>3.6949735703052635</v>
      </c>
      <c r="Y800" s="154"/>
      <c r="Z800" s="147">
        <f>IF($E800="","",VLOOKUP($D800,'Mortality Margins &amp; Grading'!$AB$5:$AF$125,3,0)*IF(Summary!$D$25="Included Margin",IF(AND($B800&gt;Input!$C$9,Summary!$D$31&lt;&gt;"Included Margin"),0,1),0))</f>
        <v>0.01</v>
      </c>
      <c r="AA800" s="147">
        <f>IF($E800="","",VLOOKUP($D800,'Mortality Margins &amp; Grading'!$AB$5:$AF$125,5,0)*IF(Summary!$D$25="Included Margin",IF(AND($B800&gt;Input!$C$9,Summary!$D$31&lt;&gt;"Included Margin"),0,1),0))</f>
        <v>5.2999999999999999E-2</v>
      </c>
      <c r="AB800" s="147">
        <f>IF($E800="","",IF(AND($B800&gt;Input!$C$9,Summary!$D$31&lt;&gt;"Included Margin"),1,IF(Summary!$D$25="Included Margin",VLOOKUP($B800,'Mortality Margins &amp; Grading'!$AI$5:$AR$125,MATCH('Mortality Margins &amp; Grading'!$AQ$4,'Mortality Margins &amp; Grading'!$AI$4:$AR$4,0),0),1)))</f>
        <v>0</v>
      </c>
      <c r="AC800" s="154"/>
      <c r="AD800" s="158">
        <f>IF(E800="","",Input!$C$48*IF(Summary!$D$30="Included Margin",IF(AND($B800&gt;Input!$C$9,Summary!$D$31&lt;&gt;"Included Margin"),0,1),0))</f>
        <v>-4.4999999999999997E-3</v>
      </c>
      <c r="AE800" s="159">
        <f>IF(E800="","",IF(Summary!$D$26="Included Margin",IF(AND($B800&gt;Input!$C$9,Summary!$D$31&lt;&gt;"Included Margin"),1,1/$R800),1))</f>
        <v>1.3921199934023862</v>
      </c>
      <c r="AF800" s="160">
        <f>IF(E800="","",IF(AND($B800&gt;=Input!$C$9,$C800=12,Summary!$D$31="Included Margin",$U800&gt;0),1/U800-1,IF($B800&gt;=Input!$C$9,0,Input!$C$45*IF(Summary!$D$27="Included Margin",1,0))))</f>
        <v>0</v>
      </c>
      <c r="AG800" s="160">
        <f>IF(E800="","",Input!$C$46*IF(Summary!$D$28="Included Margin",IF(AND($B800&gt;Input!$C$9,Summary!$D$31&lt;&gt;"Included Margin"),0,1),0))</f>
        <v>0.02</v>
      </c>
      <c r="AH800" s="158">
        <f>IF(E800="","",Input!$C$47*IF(Summary!$D$29="Included Margin",IF(AND($B800&gt;Input!$C$9,Summary!$D$31&lt;&gt;"Included Margin"),0,1),0))</f>
        <v>2.5000000000000001E-3</v>
      </c>
      <c r="AI800" s="154"/>
      <c r="AJ800" s="158">
        <f t="shared" si="522"/>
        <v>4.36E-2</v>
      </c>
      <c r="AK800" s="155">
        <f t="shared" si="523"/>
        <v>3.5626875279843873E-3</v>
      </c>
      <c r="AL800" s="147">
        <f t="shared" si="524"/>
        <v>1</v>
      </c>
      <c r="AM800" s="147">
        <f t="shared" si="502"/>
        <v>1</v>
      </c>
      <c r="AN800" s="160">
        <f t="shared" si="525"/>
        <v>0</v>
      </c>
      <c r="AO800" s="161">
        <f t="shared" si="526"/>
        <v>0</v>
      </c>
      <c r="AP800" s="156">
        <f t="shared" si="503"/>
        <v>4.3428907147545726</v>
      </c>
      <c r="AQ800" s="152"/>
      <c r="AR800" s="162">
        <f t="shared" si="504"/>
        <v>99822.182377913006</v>
      </c>
      <c r="AS800" s="150">
        <f t="shared" si="527"/>
        <v>0</v>
      </c>
      <c r="AT800" s="163">
        <f t="shared" si="505"/>
        <v>0</v>
      </c>
      <c r="AU800" s="163">
        <f t="shared" si="506"/>
        <v>100000</v>
      </c>
      <c r="AV800" s="163">
        <f t="shared" si="528"/>
        <v>177.5008677747542</v>
      </c>
      <c r="AW800" s="163">
        <f t="shared" si="507"/>
        <v>99822.499132225246</v>
      </c>
      <c r="AX800" s="163">
        <f t="shared" si="508"/>
        <v>0</v>
      </c>
      <c r="AY800" s="165">
        <f t="shared" si="529"/>
        <v>99822.182377913006</v>
      </c>
      <c r="AZ800" s="164">
        <f>IF($E800="","",IF(OR(AND($D800=Input!$C$6,$C800=12),$AN800=1),0,-AS801+AT801+AU801-AV801-AW801-AX801+AZ801))</f>
        <v>99822.499132225246</v>
      </c>
      <c r="BA800" s="154">
        <f t="shared" si="509"/>
        <v>0.31675431223993655</v>
      </c>
      <c r="BC800" s="147">
        <f t="shared" si="530"/>
        <v>5.3758961626737458E-15</v>
      </c>
      <c r="BD800" s="164">
        <f>IF(AND($C799=12,$D799=Input!$C$6),0,IF($E800="","",AT800+(AU800+BD801)/(1+$AK800)*MIN((1-AM800-AN800),1)))</f>
        <v>0</v>
      </c>
      <c r="BE800" s="164">
        <f t="shared" si="510"/>
        <v>0</v>
      </c>
      <c r="BF800" s="164">
        <f t="shared" si="531"/>
        <v>99822.499132225246</v>
      </c>
      <c r="BG800" s="164">
        <f t="shared" si="511"/>
        <v>5.3663539003343305E-10</v>
      </c>
      <c r="BH800" s="152"/>
      <c r="BI800" s="162">
        <f t="shared" si="512"/>
        <v>47167.6375689423</v>
      </c>
      <c r="BJ800" s="150">
        <f t="shared" si="513"/>
        <v>0</v>
      </c>
      <c r="BK800" s="163">
        <f t="shared" si="535"/>
        <v>0</v>
      </c>
      <c r="BL800" s="163">
        <f t="shared" si="514"/>
        <v>10020.164887203509</v>
      </c>
      <c r="BM800" s="163">
        <f t="shared" si="536"/>
        <v>165.36680681423042</v>
      </c>
      <c r="BN800" s="163">
        <f t="shared" si="515"/>
        <v>4155.1664223556545</v>
      </c>
      <c r="BO800" s="163">
        <f t="shared" si="516"/>
        <v>0</v>
      </c>
      <c r="BP800" s="164">
        <f t="shared" si="537"/>
        <v>41468.005910908672</v>
      </c>
      <c r="BQ800" s="164">
        <f>IF($E800="","",IF(AND($D800=Input!$C$6,$C800=12),0,-BJ801+BK801+BL801-BM801-BN801-BO801+BQ801))</f>
        <v>41468.044379809646</v>
      </c>
      <c r="BR800" s="161">
        <f t="shared" si="517"/>
        <v>0</v>
      </c>
      <c r="BT800" s="147">
        <f t="shared" si="518"/>
        <v>5.3758961626737458E-15</v>
      </c>
      <c r="BU800" s="164">
        <f>IF(AND($C799=12,$D799=Input!$C$6),0,IF($E800="","",BK800+(BL800+BU801)/(1+$AK800)*MIN((1-T800-U800),1)))</f>
        <v>81669.04253452814</v>
      </c>
      <c r="BV800" s="164">
        <f t="shared" si="519"/>
        <v>4.3904429237060875E-10</v>
      </c>
      <c r="BW800" s="164">
        <f t="shared" si="520"/>
        <v>41468.044379809646</v>
      </c>
      <c r="BX800" s="164">
        <f t="shared" si="521"/>
        <v>2.2292790065500325E-10</v>
      </c>
    </row>
    <row r="801" spans="1:76" s="150" customFormat="1" x14ac:dyDescent="0.25">
      <c r="A801" s="150">
        <f t="shared" si="532"/>
        <v>797</v>
      </c>
      <c r="B801" s="150">
        <f t="shared" si="533"/>
        <v>67</v>
      </c>
      <c r="C801" s="150">
        <f t="shared" si="534"/>
        <v>5</v>
      </c>
      <c r="D801" s="150">
        <f>IF(E801="","",Input!$C$4+B801-1)</f>
        <v>111</v>
      </c>
      <c r="E801" s="150">
        <f>IF(OR(AND(C800=12,D800=Input!$C$6),E800=""),"",1)</f>
        <v>1</v>
      </c>
      <c r="F801" s="150">
        <f>IF(E801="","",Input!$C$8+B801-1)</f>
        <v>2084</v>
      </c>
      <c r="G801" s="151">
        <f>IF(E801="","",MAX(0,Input!$C$9-B801))</f>
        <v>0</v>
      </c>
      <c r="H801" s="152">
        <f>IF(E801="","",Input!$C$3)</f>
        <v>100000</v>
      </c>
      <c r="I801" s="153">
        <f>IF(E801="","",HLOOKUP($B801,Input!$C$13:$BT$14,2))</f>
        <v>1000</v>
      </c>
      <c r="J801" s="154"/>
      <c r="K801" s="155">
        <f>IF($E801="","",INDEX(Input!$C$16:$CP$16,1,$B801))</f>
        <v>3.3099999999999997E-2</v>
      </c>
      <c r="L801" s="155">
        <f>IF($E801="","",Input!$C$37)</f>
        <v>1.4999999999999999E-2</v>
      </c>
      <c r="M801" s="155">
        <f t="shared" si="497"/>
        <v>4.8099999999999997E-2</v>
      </c>
      <c r="N801" s="155">
        <f t="shared" si="498"/>
        <v>3.9225900629809018E-3</v>
      </c>
      <c r="O801" s="147">
        <f>IF($E801="","",MIN(VLOOKUP(IF($B801&lt;=Input!$C$7,$B801,26),'Mortality Tables'!$A$41:$CW$67,IF($B801&lt;=Input!$C$7+1,Input!$C$4+2,$D801-Input!$C$7+2),0)*IF(B801&gt;20,Input!$C$22,1)/1000,1))</f>
        <v>1</v>
      </c>
      <c r="P801" s="147">
        <f>IF($E801="","",MIN(VLOOKUP(IF($B801&lt;=Input!$C$7,$B801,26),'Mortality Tables'!$A$12:$CW$37,IF($B801&lt;=Input!$C$7+1,Input!$C$4+2,$D801-Input!$C$7+2),0)*IF(B801&gt;20,Input!$C$22,1)/1000,1))</f>
        <v>1</v>
      </c>
      <c r="Q801" s="155">
        <f>IF($E801="","",Input!$C$21)</f>
        <v>5.0000000000000001E-3</v>
      </c>
      <c r="R801" s="159">
        <f>IF($E801="","",(1-Q801)^($F801-Input!$C$20))</f>
        <v>0.71832888309862408</v>
      </c>
      <c r="S801" s="147">
        <f t="shared" si="500"/>
        <v>0.71832888309862408</v>
      </c>
      <c r="T801" s="147">
        <f t="shared" si="501"/>
        <v>0.10020164887203509</v>
      </c>
      <c r="U801" s="160">
        <f>IF($E801="","",IF($C801=12,INDEX(Input!$C$15:$CP$15,1,$B801),0))</f>
        <v>0</v>
      </c>
      <c r="V801" s="150">
        <f>IF(E801="","",IF(C801=1,IF($B801=1,Input!$C$33,Input!$C$34),0))</f>
        <v>0</v>
      </c>
      <c r="W801" s="156">
        <f>IF($E801="","",Input!$C$35)</f>
        <v>0.02</v>
      </c>
      <c r="X801" s="156">
        <f t="shared" si="499"/>
        <v>3.6949735703052635</v>
      </c>
      <c r="Y801" s="154"/>
      <c r="Z801" s="147">
        <f>IF($E801="","",VLOOKUP($D801,'Mortality Margins &amp; Grading'!$AB$5:$AF$125,3,0)*IF(Summary!$D$25="Included Margin",IF(AND($B801&gt;Input!$C$9,Summary!$D$31&lt;&gt;"Included Margin"),0,1),0))</f>
        <v>0.01</v>
      </c>
      <c r="AA801" s="147">
        <f>IF($E801="","",VLOOKUP($D801,'Mortality Margins &amp; Grading'!$AB$5:$AF$125,5,0)*IF(Summary!$D$25="Included Margin",IF(AND($B801&gt;Input!$C$9,Summary!$D$31&lt;&gt;"Included Margin"),0,1),0))</f>
        <v>5.2999999999999999E-2</v>
      </c>
      <c r="AB801" s="147">
        <f>IF($E801="","",IF(AND($B801&gt;Input!$C$9,Summary!$D$31&lt;&gt;"Included Margin"),1,IF(Summary!$D$25="Included Margin",VLOOKUP($B801,'Mortality Margins &amp; Grading'!$AI$5:$AR$125,MATCH('Mortality Margins &amp; Grading'!$AQ$4,'Mortality Margins &amp; Grading'!$AI$4:$AR$4,0),0),1)))</f>
        <v>0</v>
      </c>
      <c r="AC801" s="154"/>
      <c r="AD801" s="158">
        <f>IF(E801="","",Input!$C$48*IF(Summary!$D$30="Included Margin",IF(AND($B801&gt;Input!$C$9,Summary!$D$31&lt;&gt;"Included Margin"),0,1),0))</f>
        <v>-4.4999999999999997E-3</v>
      </c>
      <c r="AE801" s="159">
        <f>IF(E801="","",IF(Summary!$D$26="Included Margin",IF(AND($B801&gt;Input!$C$9,Summary!$D$31&lt;&gt;"Included Margin"),1,1/$R801),1))</f>
        <v>1.3921199934023862</v>
      </c>
      <c r="AF801" s="160">
        <f>IF(E801="","",IF(AND($B801&gt;=Input!$C$9,$C801=12,Summary!$D$31="Included Margin",$U801&gt;0),1/U801-1,IF($B801&gt;=Input!$C$9,0,Input!$C$45*IF(Summary!$D$27="Included Margin",1,0))))</f>
        <v>0</v>
      </c>
      <c r="AG801" s="160">
        <f>IF(E801="","",Input!$C$46*IF(Summary!$D$28="Included Margin",IF(AND($B801&gt;Input!$C$9,Summary!$D$31&lt;&gt;"Included Margin"),0,1),0))</f>
        <v>0.02</v>
      </c>
      <c r="AH801" s="158">
        <f>IF(E801="","",Input!$C$47*IF(Summary!$D$29="Included Margin",IF(AND($B801&gt;Input!$C$9,Summary!$D$31&lt;&gt;"Included Margin"),0,1),0))</f>
        <v>2.5000000000000001E-3</v>
      </c>
      <c r="AI801" s="154"/>
      <c r="AJ801" s="158">
        <f t="shared" si="522"/>
        <v>4.36E-2</v>
      </c>
      <c r="AK801" s="155">
        <f t="shared" si="523"/>
        <v>3.5626875279843873E-3</v>
      </c>
      <c r="AL801" s="147">
        <f t="shared" si="524"/>
        <v>1</v>
      </c>
      <c r="AM801" s="147">
        <f t="shared" si="502"/>
        <v>1</v>
      </c>
      <c r="AN801" s="160">
        <f t="shared" si="525"/>
        <v>0</v>
      </c>
      <c r="AO801" s="161">
        <f t="shared" si="526"/>
        <v>0</v>
      </c>
      <c r="AP801" s="156">
        <f t="shared" si="503"/>
        <v>4.3428907147545726</v>
      </c>
      <c r="AQ801" s="152"/>
      <c r="AR801" s="162">
        <f t="shared" si="504"/>
        <v>99822.182377913006</v>
      </c>
      <c r="AS801" s="150">
        <f t="shared" si="527"/>
        <v>0</v>
      </c>
      <c r="AT801" s="163">
        <f t="shared" si="505"/>
        <v>0</v>
      </c>
      <c r="AU801" s="163">
        <f t="shared" si="506"/>
        <v>100000</v>
      </c>
      <c r="AV801" s="163">
        <f t="shared" si="528"/>
        <v>177.5008677747542</v>
      </c>
      <c r="AW801" s="163">
        <f t="shared" si="507"/>
        <v>99822.499132225246</v>
      </c>
      <c r="AX801" s="163">
        <f t="shared" si="508"/>
        <v>0</v>
      </c>
      <c r="AY801" s="164">
        <f t="shared" si="529"/>
        <v>99822.182377913006</v>
      </c>
      <c r="AZ801" s="164">
        <f>IF($E801="","",IF(OR(AND($D801=Input!$C$6,$C801=12),$AN801=1),0,-AS802+AT802+AU802-AV802-AW802-AX802+AZ802))</f>
        <v>99822.499132225246</v>
      </c>
      <c r="BA801" s="154">
        <f t="shared" si="509"/>
        <v>0.31675431223993655</v>
      </c>
      <c r="BC801" s="147">
        <f t="shared" si="530"/>
        <v>4.8372225030089905E-15</v>
      </c>
      <c r="BD801" s="164">
        <f>IF(AND($C800=12,$D800=Input!$C$6),0,IF($E801="","",AT801+(AU801+BD802)/(1+$AK801)*MIN((1-AM801-AN801),1)))</f>
        <v>0</v>
      </c>
      <c r="BE801" s="164">
        <f t="shared" si="510"/>
        <v>0</v>
      </c>
      <c r="BF801" s="164">
        <f t="shared" si="531"/>
        <v>99822.499132225246</v>
      </c>
      <c r="BG801" s="164">
        <f t="shared" si="511"/>
        <v>4.8286363910899538E-10</v>
      </c>
      <c r="BH801" s="152"/>
      <c r="BI801" s="162">
        <f t="shared" si="512"/>
        <v>41468.005910908672</v>
      </c>
      <c r="BJ801" s="150">
        <f t="shared" si="513"/>
        <v>0</v>
      </c>
      <c r="BK801" s="163">
        <f t="shared" si="535"/>
        <v>0</v>
      </c>
      <c r="BL801" s="163">
        <f t="shared" si="514"/>
        <v>10020.164887203509</v>
      </c>
      <c r="BM801" s="163">
        <f t="shared" si="536"/>
        <v>143.00948830977634</v>
      </c>
      <c r="BN801" s="163">
        <f t="shared" si="515"/>
        <v>3517.9650654538736</v>
      </c>
      <c r="BO801" s="163">
        <f t="shared" si="516"/>
        <v>0</v>
      </c>
      <c r="BP801" s="164">
        <f t="shared" si="537"/>
        <v>35108.815577468813</v>
      </c>
      <c r="BQ801" s="164">
        <f>IF($E801="","",IF(AND($D801=Input!$C$6,$C801=12),0,-BJ802+BK802+BL802-BM802-BN802-BO802+BQ802))</f>
        <v>35108.854046369786</v>
      </c>
      <c r="BR801" s="161">
        <f t="shared" si="517"/>
        <v>0</v>
      </c>
      <c r="BT801" s="147">
        <f t="shared" si="518"/>
        <v>4.8372225030089905E-15</v>
      </c>
      <c r="BU801" s="164">
        <f>IF(AND($C800=12,$D800=Input!$C$6),0,IF($E801="","",BK801+(BL801+BU802)/(1+$AK801)*MIN((1-T801-U801),1)))</f>
        <v>81066.914469015901</v>
      </c>
      <c r="BV801" s="164">
        <f t="shared" si="519"/>
        <v>3.9213870291902882E-10</v>
      </c>
      <c r="BW801" s="164">
        <f t="shared" si="520"/>
        <v>35108.854046369786</v>
      </c>
      <c r="BX801" s="164">
        <f t="shared" si="521"/>
        <v>1.6982933884795819E-10</v>
      </c>
    </row>
    <row r="802" spans="1:76" s="150" customFormat="1" x14ac:dyDescent="0.25">
      <c r="A802" s="150">
        <f t="shared" si="532"/>
        <v>798</v>
      </c>
      <c r="B802" s="150">
        <f t="shared" si="533"/>
        <v>67</v>
      </c>
      <c r="C802" s="150">
        <f t="shared" si="534"/>
        <v>6</v>
      </c>
      <c r="D802" s="150">
        <f>IF(E802="","",Input!$C$4+B802-1)</f>
        <v>111</v>
      </c>
      <c r="E802" s="150">
        <f>IF(OR(AND(C801=12,D801=Input!$C$6),E801=""),"",1)</f>
        <v>1</v>
      </c>
      <c r="F802" s="150">
        <f>IF(E802="","",Input!$C$8+B802-1)</f>
        <v>2084</v>
      </c>
      <c r="G802" s="151">
        <f>IF(E802="","",MAX(0,Input!$C$9-B802))</f>
        <v>0</v>
      </c>
      <c r="H802" s="152">
        <f>IF(E802="","",Input!$C$3)</f>
        <v>100000</v>
      </c>
      <c r="I802" s="153">
        <f>IF(E802="","",HLOOKUP($B802,Input!$C$13:$BT$14,2))</f>
        <v>1000</v>
      </c>
      <c r="J802" s="154"/>
      <c r="K802" s="155">
        <f>IF($E802="","",INDEX(Input!$C$16:$CP$16,1,$B802))</f>
        <v>3.3099999999999997E-2</v>
      </c>
      <c r="L802" s="155">
        <f>IF($E802="","",Input!$C$37)</f>
        <v>1.4999999999999999E-2</v>
      </c>
      <c r="M802" s="155">
        <f t="shared" si="497"/>
        <v>4.8099999999999997E-2</v>
      </c>
      <c r="N802" s="155">
        <f t="shared" si="498"/>
        <v>3.9225900629809018E-3</v>
      </c>
      <c r="O802" s="147">
        <f>IF($E802="","",MIN(VLOOKUP(IF($B802&lt;=Input!$C$7,$B802,26),'Mortality Tables'!$A$41:$CW$67,IF($B802&lt;=Input!$C$7+1,Input!$C$4+2,$D802-Input!$C$7+2),0)*IF(B802&gt;20,Input!$C$22,1)/1000,1))</f>
        <v>1</v>
      </c>
      <c r="P802" s="147">
        <f>IF($E802="","",MIN(VLOOKUP(IF($B802&lt;=Input!$C$7,$B802,26),'Mortality Tables'!$A$12:$CW$37,IF($B802&lt;=Input!$C$7+1,Input!$C$4+2,$D802-Input!$C$7+2),0)*IF(B802&gt;20,Input!$C$22,1)/1000,1))</f>
        <v>1</v>
      </c>
      <c r="Q802" s="155">
        <f>IF($E802="","",Input!$C$21)</f>
        <v>5.0000000000000001E-3</v>
      </c>
      <c r="R802" s="159">
        <f>IF($E802="","",(1-Q802)^($F802-Input!$C$20))</f>
        <v>0.71832888309862408</v>
      </c>
      <c r="S802" s="147">
        <f t="shared" si="500"/>
        <v>0.71832888309862408</v>
      </c>
      <c r="T802" s="147">
        <f t="shared" si="501"/>
        <v>0.10020164887203509</v>
      </c>
      <c r="U802" s="160">
        <f>IF($E802="","",IF($C802=12,INDEX(Input!$C$15:$CP$15,1,$B802),0))</f>
        <v>0</v>
      </c>
      <c r="V802" s="150">
        <f>IF(E802="","",IF(C802=1,IF($B802=1,Input!$C$33,Input!$C$34),0))</f>
        <v>0</v>
      </c>
      <c r="W802" s="156">
        <f>IF($E802="","",Input!$C$35)</f>
        <v>0.02</v>
      </c>
      <c r="X802" s="156">
        <f t="shared" si="499"/>
        <v>3.6949735703052635</v>
      </c>
      <c r="Y802" s="154"/>
      <c r="Z802" s="147">
        <f>IF($E802="","",VLOOKUP($D802,'Mortality Margins &amp; Grading'!$AB$5:$AF$125,3,0)*IF(Summary!$D$25="Included Margin",IF(AND($B802&gt;Input!$C$9,Summary!$D$31&lt;&gt;"Included Margin"),0,1),0))</f>
        <v>0.01</v>
      </c>
      <c r="AA802" s="147">
        <f>IF($E802="","",VLOOKUP($D802,'Mortality Margins &amp; Grading'!$AB$5:$AF$125,5,0)*IF(Summary!$D$25="Included Margin",IF(AND($B802&gt;Input!$C$9,Summary!$D$31&lt;&gt;"Included Margin"),0,1),0))</f>
        <v>5.2999999999999999E-2</v>
      </c>
      <c r="AB802" s="147">
        <f>IF($E802="","",IF(AND($B802&gt;Input!$C$9,Summary!$D$31&lt;&gt;"Included Margin"),1,IF(Summary!$D$25="Included Margin",VLOOKUP($B802,'Mortality Margins &amp; Grading'!$AI$5:$AR$125,MATCH('Mortality Margins &amp; Grading'!$AQ$4,'Mortality Margins &amp; Grading'!$AI$4:$AR$4,0),0),1)))</f>
        <v>0</v>
      </c>
      <c r="AC802" s="154"/>
      <c r="AD802" s="158">
        <f>IF(E802="","",Input!$C$48*IF(Summary!$D$30="Included Margin",IF(AND($B802&gt;Input!$C$9,Summary!$D$31&lt;&gt;"Included Margin"),0,1),0))</f>
        <v>-4.4999999999999997E-3</v>
      </c>
      <c r="AE802" s="159">
        <f>IF(E802="","",IF(Summary!$D$26="Included Margin",IF(AND($B802&gt;Input!$C$9,Summary!$D$31&lt;&gt;"Included Margin"),1,1/$R802),1))</f>
        <v>1.3921199934023862</v>
      </c>
      <c r="AF802" s="160">
        <f>IF(E802="","",IF(AND($B802&gt;=Input!$C$9,$C802=12,Summary!$D$31="Included Margin",$U802&gt;0),1/U802-1,IF($B802&gt;=Input!$C$9,0,Input!$C$45*IF(Summary!$D$27="Included Margin",1,0))))</f>
        <v>0</v>
      </c>
      <c r="AG802" s="160">
        <f>IF(E802="","",Input!$C$46*IF(Summary!$D$28="Included Margin",IF(AND($B802&gt;Input!$C$9,Summary!$D$31&lt;&gt;"Included Margin"),0,1),0))</f>
        <v>0.02</v>
      </c>
      <c r="AH802" s="158">
        <f>IF(E802="","",Input!$C$47*IF(Summary!$D$29="Included Margin",IF(AND($B802&gt;Input!$C$9,Summary!$D$31&lt;&gt;"Included Margin"),0,1),0))</f>
        <v>2.5000000000000001E-3</v>
      </c>
      <c r="AI802" s="154"/>
      <c r="AJ802" s="158">
        <f t="shared" si="522"/>
        <v>4.36E-2</v>
      </c>
      <c r="AK802" s="155">
        <f t="shared" si="523"/>
        <v>3.5626875279843873E-3</v>
      </c>
      <c r="AL802" s="147">
        <f t="shared" si="524"/>
        <v>1</v>
      </c>
      <c r="AM802" s="147">
        <f t="shared" si="502"/>
        <v>1</v>
      </c>
      <c r="AN802" s="160">
        <f t="shared" si="525"/>
        <v>0</v>
      </c>
      <c r="AO802" s="161">
        <f t="shared" si="526"/>
        <v>0</v>
      </c>
      <c r="AP802" s="156">
        <f t="shared" si="503"/>
        <v>4.3428907147545726</v>
      </c>
      <c r="AQ802" s="152"/>
      <c r="AR802" s="162">
        <f t="shared" si="504"/>
        <v>99822.182377913006</v>
      </c>
      <c r="AS802" s="150">
        <f t="shared" si="527"/>
        <v>0</v>
      </c>
      <c r="AT802" s="163">
        <f t="shared" si="505"/>
        <v>0</v>
      </c>
      <c r="AU802" s="163">
        <f t="shared" si="506"/>
        <v>100000</v>
      </c>
      <c r="AV802" s="163">
        <f t="shared" si="528"/>
        <v>177.5008677747542</v>
      </c>
      <c r="AW802" s="163">
        <f t="shared" si="507"/>
        <v>99822.499132225246</v>
      </c>
      <c r="AX802" s="163">
        <f t="shared" si="508"/>
        <v>0</v>
      </c>
      <c r="AY802" s="165">
        <f t="shared" si="529"/>
        <v>99822.182377913006</v>
      </c>
      <c r="AZ802" s="164">
        <f>IF($E802="","",IF(OR(AND($D802=Input!$C$6,$C802=12),$AN802=1),0,-AS803+AT803+AU803-AV803-AW803-AX803+AZ803))</f>
        <v>99822.499132225246</v>
      </c>
      <c r="BA802" s="154">
        <f t="shared" si="509"/>
        <v>0.31675431223993655</v>
      </c>
      <c r="BC802" s="147">
        <f t="shared" si="530"/>
        <v>4.3525248322465771E-15</v>
      </c>
      <c r="BD802" s="164">
        <f>IF(AND($C801=12,$D801=Input!$C$6),0,IF($E802="","",AT802+(AU802+BD803)/(1+$AK802)*MIN((1-AM802-AN802),1)))</f>
        <v>0</v>
      </c>
      <c r="BE802" s="164">
        <f t="shared" si="510"/>
        <v>0</v>
      </c>
      <c r="BF802" s="164">
        <f t="shared" si="531"/>
        <v>99822.499132225246</v>
      </c>
      <c r="BG802" s="164">
        <f t="shared" si="511"/>
        <v>4.3447990628992279E-10</v>
      </c>
      <c r="BH802" s="152"/>
      <c r="BI802" s="162">
        <f t="shared" si="512"/>
        <v>35108.815577468813</v>
      </c>
      <c r="BJ802" s="150">
        <f t="shared" si="513"/>
        <v>0</v>
      </c>
      <c r="BK802" s="163">
        <f t="shared" si="535"/>
        <v>0</v>
      </c>
      <c r="BL802" s="163">
        <f t="shared" si="514"/>
        <v>10020.164887203509</v>
      </c>
      <c r="BM802" s="163">
        <f t="shared" si="536"/>
        <v>118.06499149922095</v>
      </c>
      <c r="BN802" s="163">
        <f t="shared" si="515"/>
        <v>2807.0270693900134</v>
      </c>
      <c r="BO802" s="163">
        <f t="shared" si="516"/>
        <v>0</v>
      </c>
      <c r="BP802" s="164">
        <f t="shared" si="537"/>
        <v>28013.742751154539</v>
      </c>
      <c r="BQ802" s="164">
        <f>IF($E802="","",IF(AND($D802=Input!$C$6,$C802=12),0,-BJ803+BK803+BL803-BM803-BN803-BO803+BQ803))</f>
        <v>28013.781220055513</v>
      </c>
      <c r="BR802" s="161">
        <f t="shared" si="517"/>
        <v>0</v>
      </c>
      <c r="BT802" s="147">
        <f t="shared" si="518"/>
        <v>4.3525248322465771E-15</v>
      </c>
      <c r="BU802" s="164">
        <f>IF(AND($C801=12,$D801=Input!$C$6),0,IF($E802="","",BK802+(BL802+BU803)/(1+$AK802)*MIN((1-T802-U802),1)))</f>
        <v>80395.349268986392</v>
      </c>
      <c r="BV802" s="164">
        <f t="shared" si="519"/>
        <v>3.4992275409039998E-10</v>
      </c>
      <c r="BW802" s="164">
        <f t="shared" si="520"/>
        <v>28013.781220055513</v>
      </c>
      <c r="BX802" s="164">
        <f t="shared" si="521"/>
        <v>1.2193067840541443E-10</v>
      </c>
    </row>
    <row r="803" spans="1:76" s="150" customFormat="1" x14ac:dyDescent="0.25">
      <c r="A803" s="150">
        <f t="shared" si="532"/>
        <v>799</v>
      </c>
      <c r="B803" s="150">
        <f t="shared" si="533"/>
        <v>67</v>
      </c>
      <c r="C803" s="150">
        <f t="shared" si="534"/>
        <v>7</v>
      </c>
      <c r="D803" s="150">
        <f>IF(E803="","",Input!$C$4+B803-1)</f>
        <v>111</v>
      </c>
      <c r="E803" s="150">
        <f>IF(OR(AND(C802=12,D802=Input!$C$6),E802=""),"",1)</f>
        <v>1</v>
      </c>
      <c r="F803" s="150">
        <f>IF(E803="","",Input!$C$8+B803-1)</f>
        <v>2084</v>
      </c>
      <c r="G803" s="151">
        <f>IF(E803="","",MAX(0,Input!$C$9-B803))</f>
        <v>0</v>
      </c>
      <c r="H803" s="152">
        <f>IF(E803="","",Input!$C$3)</f>
        <v>100000</v>
      </c>
      <c r="I803" s="153">
        <f>IF(E803="","",HLOOKUP($B803,Input!$C$13:$BT$14,2))</f>
        <v>1000</v>
      </c>
      <c r="J803" s="154"/>
      <c r="K803" s="155">
        <f>IF($E803="","",INDEX(Input!$C$16:$CP$16,1,$B803))</f>
        <v>3.3099999999999997E-2</v>
      </c>
      <c r="L803" s="155">
        <f>IF($E803="","",Input!$C$37)</f>
        <v>1.4999999999999999E-2</v>
      </c>
      <c r="M803" s="155">
        <f t="shared" si="497"/>
        <v>4.8099999999999997E-2</v>
      </c>
      <c r="N803" s="155">
        <f t="shared" si="498"/>
        <v>3.9225900629809018E-3</v>
      </c>
      <c r="O803" s="147">
        <f>IF($E803="","",MIN(VLOOKUP(IF($B803&lt;=Input!$C$7,$B803,26),'Mortality Tables'!$A$41:$CW$67,IF($B803&lt;=Input!$C$7+1,Input!$C$4+2,$D803-Input!$C$7+2),0)*IF(B803&gt;20,Input!$C$22,1)/1000,1))</f>
        <v>1</v>
      </c>
      <c r="P803" s="147">
        <f>IF($E803="","",MIN(VLOOKUP(IF($B803&lt;=Input!$C$7,$B803,26),'Mortality Tables'!$A$12:$CW$37,IF($B803&lt;=Input!$C$7+1,Input!$C$4+2,$D803-Input!$C$7+2),0)*IF(B803&gt;20,Input!$C$22,1)/1000,1))</f>
        <v>1</v>
      </c>
      <c r="Q803" s="155">
        <f>IF($E803="","",Input!$C$21)</f>
        <v>5.0000000000000001E-3</v>
      </c>
      <c r="R803" s="159">
        <f>IF($E803="","",(1-Q803)^($F803-Input!$C$20))</f>
        <v>0.71832888309862408</v>
      </c>
      <c r="S803" s="147">
        <f t="shared" si="500"/>
        <v>0.71832888309862408</v>
      </c>
      <c r="T803" s="147">
        <f t="shared" si="501"/>
        <v>0.10020164887203509</v>
      </c>
      <c r="U803" s="160">
        <f>IF($E803="","",IF($C803=12,INDEX(Input!$C$15:$CP$15,1,$B803),0))</f>
        <v>0</v>
      </c>
      <c r="V803" s="150">
        <f>IF(E803="","",IF(C803=1,IF($B803=1,Input!$C$33,Input!$C$34),0))</f>
        <v>0</v>
      </c>
      <c r="W803" s="156">
        <f>IF($E803="","",Input!$C$35)</f>
        <v>0.02</v>
      </c>
      <c r="X803" s="156">
        <f t="shared" si="499"/>
        <v>3.6949735703052635</v>
      </c>
      <c r="Y803" s="154"/>
      <c r="Z803" s="147">
        <f>IF($E803="","",VLOOKUP($D803,'Mortality Margins &amp; Grading'!$AB$5:$AF$125,3,0)*IF(Summary!$D$25="Included Margin",IF(AND($B803&gt;Input!$C$9,Summary!$D$31&lt;&gt;"Included Margin"),0,1),0))</f>
        <v>0.01</v>
      </c>
      <c r="AA803" s="147">
        <f>IF($E803="","",VLOOKUP($D803,'Mortality Margins &amp; Grading'!$AB$5:$AF$125,5,0)*IF(Summary!$D$25="Included Margin",IF(AND($B803&gt;Input!$C$9,Summary!$D$31&lt;&gt;"Included Margin"),0,1),0))</f>
        <v>5.2999999999999999E-2</v>
      </c>
      <c r="AB803" s="147">
        <f>IF($E803="","",IF(AND($B803&gt;Input!$C$9,Summary!$D$31&lt;&gt;"Included Margin"),1,IF(Summary!$D$25="Included Margin",VLOOKUP($B803,'Mortality Margins &amp; Grading'!$AI$5:$AR$125,MATCH('Mortality Margins &amp; Grading'!$AQ$4,'Mortality Margins &amp; Grading'!$AI$4:$AR$4,0),0),1)))</f>
        <v>0</v>
      </c>
      <c r="AC803" s="154"/>
      <c r="AD803" s="158">
        <f>IF(E803="","",Input!$C$48*IF(Summary!$D$30="Included Margin",IF(AND($B803&gt;Input!$C$9,Summary!$D$31&lt;&gt;"Included Margin"),0,1),0))</f>
        <v>-4.4999999999999997E-3</v>
      </c>
      <c r="AE803" s="159">
        <f>IF(E803="","",IF(Summary!$D$26="Included Margin",IF(AND($B803&gt;Input!$C$9,Summary!$D$31&lt;&gt;"Included Margin"),1,1/$R803),1))</f>
        <v>1.3921199934023862</v>
      </c>
      <c r="AF803" s="160">
        <f>IF(E803="","",IF(AND($B803&gt;=Input!$C$9,$C803=12,Summary!$D$31="Included Margin",$U803&gt;0),1/U803-1,IF($B803&gt;=Input!$C$9,0,Input!$C$45*IF(Summary!$D$27="Included Margin",1,0))))</f>
        <v>0</v>
      </c>
      <c r="AG803" s="160">
        <f>IF(E803="","",Input!$C$46*IF(Summary!$D$28="Included Margin",IF(AND($B803&gt;Input!$C$9,Summary!$D$31&lt;&gt;"Included Margin"),0,1),0))</f>
        <v>0.02</v>
      </c>
      <c r="AH803" s="158">
        <f>IF(E803="","",Input!$C$47*IF(Summary!$D$29="Included Margin",IF(AND($B803&gt;Input!$C$9,Summary!$D$31&lt;&gt;"Included Margin"),0,1),0))</f>
        <v>2.5000000000000001E-3</v>
      </c>
      <c r="AI803" s="154"/>
      <c r="AJ803" s="158">
        <f t="shared" si="522"/>
        <v>4.36E-2</v>
      </c>
      <c r="AK803" s="155">
        <f t="shared" si="523"/>
        <v>3.5626875279843873E-3</v>
      </c>
      <c r="AL803" s="147">
        <f t="shared" si="524"/>
        <v>1</v>
      </c>
      <c r="AM803" s="147">
        <f t="shared" si="502"/>
        <v>1</v>
      </c>
      <c r="AN803" s="160">
        <f t="shared" si="525"/>
        <v>0</v>
      </c>
      <c r="AO803" s="161">
        <f t="shared" si="526"/>
        <v>0</v>
      </c>
      <c r="AP803" s="156">
        <f t="shared" si="503"/>
        <v>4.3428907147545726</v>
      </c>
      <c r="AQ803" s="152"/>
      <c r="AR803" s="162">
        <f t="shared" si="504"/>
        <v>99822.182377913006</v>
      </c>
      <c r="AS803" s="150">
        <f t="shared" si="527"/>
        <v>0</v>
      </c>
      <c r="AT803" s="163">
        <f t="shared" si="505"/>
        <v>0</v>
      </c>
      <c r="AU803" s="163">
        <f t="shared" si="506"/>
        <v>100000</v>
      </c>
      <c r="AV803" s="163">
        <f t="shared" si="528"/>
        <v>177.5008677747542</v>
      </c>
      <c r="AW803" s="163">
        <f t="shared" si="507"/>
        <v>99822.499132225246</v>
      </c>
      <c r="AX803" s="163">
        <f t="shared" si="508"/>
        <v>0</v>
      </c>
      <c r="AY803" s="164">
        <f t="shared" si="529"/>
        <v>99822.182377913006</v>
      </c>
      <c r="AZ803" s="164">
        <f>IF($E803="","",IF(OR(AND($D803=Input!$C$6,$C803=12),$AN803=1),0,-AS804+AT804+AU804-AV804-AW804-AX804+AZ804))</f>
        <v>99822.499132225246</v>
      </c>
      <c r="BA803" s="154">
        <f t="shared" si="509"/>
        <v>0.31675431223993655</v>
      </c>
      <c r="BC803" s="147">
        <f t="shared" si="530"/>
        <v>3.916394667298992E-15</v>
      </c>
      <c r="BD803" s="164">
        <f>IF(AND($C802=12,$D802=Input!$C$6),0,IF($E803="","",AT803+(AU803+BD804)/(1+$AK803)*MIN((1-AM803-AN803),1)))</f>
        <v>0</v>
      </c>
      <c r="BE803" s="164">
        <f t="shared" si="510"/>
        <v>0</v>
      </c>
      <c r="BF803" s="164">
        <f t="shared" si="531"/>
        <v>99822.499132225246</v>
      </c>
      <c r="BG803" s="164">
        <f t="shared" si="511"/>
        <v>3.9094430327790519E-10</v>
      </c>
      <c r="BH803" s="152"/>
      <c r="BI803" s="162">
        <f t="shared" si="512"/>
        <v>28013.742751154539</v>
      </c>
      <c r="BJ803" s="150">
        <f t="shared" si="513"/>
        <v>0</v>
      </c>
      <c r="BK803" s="163">
        <f t="shared" si="535"/>
        <v>0</v>
      </c>
      <c r="BL803" s="163">
        <f t="shared" si="514"/>
        <v>10020.164887203509</v>
      </c>
      <c r="BM803" s="163">
        <f t="shared" si="536"/>
        <v>90.233929334594748</v>
      </c>
      <c r="BN803" s="163">
        <f t="shared" si="515"/>
        <v>2013.8196652111701</v>
      </c>
      <c r="BO803" s="163">
        <f t="shared" si="516"/>
        <v>0</v>
      </c>
      <c r="BP803" s="164">
        <f t="shared" si="537"/>
        <v>20097.631458496795</v>
      </c>
      <c r="BQ803" s="164">
        <f>IF($E803="","",IF(AND($D803=Input!$C$6,$C803=12),0,-BJ804+BK804+BL804-BM804-BN804-BO804+BQ804))</f>
        <v>20097.669927397768</v>
      </c>
      <c r="BR803" s="161">
        <f t="shared" si="517"/>
        <v>0</v>
      </c>
      <c r="BT803" s="147">
        <f t="shared" si="518"/>
        <v>3.916394667298992E-15</v>
      </c>
      <c r="BU803" s="164">
        <f>IF(AND($C802=12,$D802=Input!$C$6),0,IF($E803="","",BK803+(BL803+BU804)/(1+$AK803)*MIN((1-T803-U803),1)))</f>
        <v>79646.339475684334</v>
      </c>
      <c r="BV803" s="164">
        <f t="shared" si="519"/>
        <v>3.1192649919245531E-10</v>
      </c>
      <c r="BW803" s="164">
        <f t="shared" si="520"/>
        <v>20097.669927397768</v>
      </c>
      <c r="BX803" s="164">
        <f t="shared" si="521"/>
        <v>7.8710407328795945E-11</v>
      </c>
    </row>
    <row r="804" spans="1:76" s="150" customFormat="1" x14ac:dyDescent="0.25">
      <c r="A804" s="150">
        <f t="shared" si="532"/>
        <v>800</v>
      </c>
      <c r="B804" s="150">
        <f t="shared" si="533"/>
        <v>67</v>
      </c>
      <c r="C804" s="150">
        <f t="shared" si="534"/>
        <v>8</v>
      </c>
      <c r="D804" s="150">
        <f>IF(E804="","",Input!$C$4+B804-1)</f>
        <v>111</v>
      </c>
      <c r="E804" s="150">
        <f>IF(OR(AND(C803=12,D803=Input!$C$6),E803=""),"",1)</f>
        <v>1</v>
      </c>
      <c r="F804" s="150">
        <f>IF(E804="","",Input!$C$8+B804-1)</f>
        <v>2084</v>
      </c>
      <c r="G804" s="151">
        <f>IF(E804="","",MAX(0,Input!$C$9-B804))</f>
        <v>0</v>
      </c>
      <c r="H804" s="152">
        <f>IF(E804="","",Input!$C$3)</f>
        <v>100000</v>
      </c>
      <c r="I804" s="153">
        <f>IF(E804="","",HLOOKUP($B804,Input!$C$13:$BT$14,2))</f>
        <v>1000</v>
      </c>
      <c r="J804" s="154"/>
      <c r="K804" s="155">
        <f>IF($E804="","",INDEX(Input!$C$16:$CP$16,1,$B804))</f>
        <v>3.3099999999999997E-2</v>
      </c>
      <c r="L804" s="155">
        <f>IF($E804="","",Input!$C$37)</f>
        <v>1.4999999999999999E-2</v>
      </c>
      <c r="M804" s="155">
        <f t="shared" si="497"/>
        <v>4.8099999999999997E-2</v>
      </c>
      <c r="N804" s="155">
        <f t="shared" si="498"/>
        <v>3.9225900629809018E-3</v>
      </c>
      <c r="O804" s="147">
        <f>IF($E804="","",MIN(VLOOKUP(IF($B804&lt;=Input!$C$7,$B804,26),'Mortality Tables'!$A$41:$CW$67,IF($B804&lt;=Input!$C$7+1,Input!$C$4+2,$D804-Input!$C$7+2),0)*IF(B804&gt;20,Input!$C$22,1)/1000,1))</f>
        <v>1</v>
      </c>
      <c r="P804" s="147">
        <f>IF($E804="","",MIN(VLOOKUP(IF($B804&lt;=Input!$C$7,$B804,26),'Mortality Tables'!$A$12:$CW$37,IF($B804&lt;=Input!$C$7+1,Input!$C$4+2,$D804-Input!$C$7+2),0)*IF(B804&gt;20,Input!$C$22,1)/1000,1))</f>
        <v>1</v>
      </c>
      <c r="Q804" s="155">
        <f>IF($E804="","",Input!$C$21)</f>
        <v>5.0000000000000001E-3</v>
      </c>
      <c r="R804" s="159">
        <f>IF($E804="","",(1-Q804)^($F804-Input!$C$20))</f>
        <v>0.71832888309862408</v>
      </c>
      <c r="S804" s="147">
        <f t="shared" si="500"/>
        <v>0.71832888309862408</v>
      </c>
      <c r="T804" s="147">
        <f t="shared" si="501"/>
        <v>0.10020164887203509</v>
      </c>
      <c r="U804" s="160">
        <f>IF($E804="","",IF($C804=12,INDEX(Input!$C$15:$CP$15,1,$B804),0))</f>
        <v>0</v>
      </c>
      <c r="V804" s="150">
        <f>IF(E804="","",IF(C804=1,IF($B804=1,Input!$C$33,Input!$C$34),0))</f>
        <v>0</v>
      </c>
      <c r="W804" s="156">
        <f>IF($E804="","",Input!$C$35)</f>
        <v>0.02</v>
      </c>
      <c r="X804" s="156">
        <f t="shared" si="499"/>
        <v>3.6949735703052635</v>
      </c>
      <c r="Y804" s="154"/>
      <c r="Z804" s="147">
        <f>IF($E804="","",VLOOKUP($D804,'Mortality Margins &amp; Grading'!$AB$5:$AF$125,3,0)*IF(Summary!$D$25="Included Margin",IF(AND($B804&gt;Input!$C$9,Summary!$D$31&lt;&gt;"Included Margin"),0,1),0))</f>
        <v>0.01</v>
      </c>
      <c r="AA804" s="147">
        <f>IF($E804="","",VLOOKUP($D804,'Mortality Margins &amp; Grading'!$AB$5:$AF$125,5,0)*IF(Summary!$D$25="Included Margin",IF(AND($B804&gt;Input!$C$9,Summary!$D$31&lt;&gt;"Included Margin"),0,1),0))</f>
        <v>5.2999999999999999E-2</v>
      </c>
      <c r="AB804" s="147">
        <f>IF($E804="","",IF(AND($B804&gt;Input!$C$9,Summary!$D$31&lt;&gt;"Included Margin"),1,IF(Summary!$D$25="Included Margin",VLOOKUP($B804,'Mortality Margins &amp; Grading'!$AI$5:$AR$125,MATCH('Mortality Margins &amp; Grading'!$AQ$4,'Mortality Margins &amp; Grading'!$AI$4:$AR$4,0),0),1)))</f>
        <v>0</v>
      </c>
      <c r="AC804" s="154"/>
      <c r="AD804" s="158">
        <f>IF(E804="","",Input!$C$48*IF(Summary!$D$30="Included Margin",IF(AND($B804&gt;Input!$C$9,Summary!$D$31&lt;&gt;"Included Margin"),0,1),0))</f>
        <v>-4.4999999999999997E-3</v>
      </c>
      <c r="AE804" s="159">
        <f>IF(E804="","",IF(Summary!$D$26="Included Margin",IF(AND($B804&gt;Input!$C$9,Summary!$D$31&lt;&gt;"Included Margin"),1,1/$R804),1))</f>
        <v>1.3921199934023862</v>
      </c>
      <c r="AF804" s="160">
        <f>IF(E804="","",IF(AND($B804&gt;=Input!$C$9,$C804=12,Summary!$D$31="Included Margin",$U804&gt;0),1/U804-1,IF($B804&gt;=Input!$C$9,0,Input!$C$45*IF(Summary!$D$27="Included Margin",1,0))))</f>
        <v>0</v>
      </c>
      <c r="AG804" s="160">
        <f>IF(E804="","",Input!$C$46*IF(Summary!$D$28="Included Margin",IF(AND($B804&gt;Input!$C$9,Summary!$D$31&lt;&gt;"Included Margin"),0,1),0))</f>
        <v>0.02</v>
      </c>
      <c r="AH804" s="158">
        <f>IF(E804="","",Input!$C$47*IF(Summary!$D$29="Included Margin",IF(AND($B804&gt;Input!$C$9,Summary!$D$31&lt;&gt;"Included Margin"),0,1),0))</f>
        <v>2.5000000000000001E-3</v>
      </c>
      <c r="AI804" s="154"/>
      <c r="AJ804" s="158">
        <f t="shared" si="522"/>
        <v>4.36E-2</v>
      </c>
      <c r="AK804" s="155">
        <f t="shared" si="523"/>
        <v>3.5626875279843873E-3</v>
      </c>
      <c r="AL804" s="147">
        <f t="shared" si="524"/>
        <v>1</v>
      </c>
      <c r="AM804" s="147">
        <f t="shared" si="502"/>
        <v>1</v>
      </c>
      <c r="AN804" s="160">
        <f t="shared" si="525"/>
        <v>0</v>
      </c>
      <c r="AO804" s="161">
        <f t="shared" si="526"/>
        <v>0</v>
      </c>
      <c r="AP804" s="156">
        <f t="shared" si="503"/>
        <v>4.3428907147545726</v>
      </c>
      <c r="AQ804" s="152"/>
      <c r="AR804" s="162">
        <f t="shared" si="504"/>
        <v>99822.182377913006</v>
      </c>
      <c r="AS804" s="150">
        <f t="shared" si="527"/>
        <v>0</v>
      </c>
      <c r="AT804" s="163">
        <f t="shared" si="505"/>
        <v>0</v>
      </c>
      <c r="AU804" s="163">
        <f t="shared" si="506"/>
        <v>100000</v>
      </c>
      <c r="AV804" s="163">
        <f t="shared" si="528"/>
        <v>177.5008677747542</v>
      </c>
      <c r="AW804" s="163">
        <f t="shared" si="507"/>
        <v>99822.499132225246</v>
      </c>
      <c r="AX804" s="163">
        <f t="shared" si="508"/>
        <v>0</v>
      </c>
      <c r="AY804" s="165">
        <f t="shared" si="529"/>
        <v>99822.182377913006</v>
      </c>
      <c r="AZ804" s="164">
        <f>IF($E804="","",IF(OR(AND($D804=Input!$C$6,$C804=12),$AN804=1),0,-AS805+AT805+AU805-AV805-AW805-AX805+AZ805))</f>
        <v>99822.499132225246</v>
      </c>
      <c r="BA804" s="154">
        <f t="shared" si="509"/>
        <v>0.31675431223993655</v>
      </c>
      <c r="BC804" s="147">
        <f t="shared" si="530"/>
        <v>3.5239654640019876E-15</v>
      </c>
      <c r="BD804" s="164">
        <f>IF(AND($C803=12,$D803=Input!$C$6),0,IF($E804="","",AT804+(AU804+BD805)/(1+$AK804)*MIN((1-AM804-AN804),1)))</f>
        <v>0</v>
      </c>
      <c r="BE804" s="164">
        <f t="shared" si="510"/>
        <v>0</v>
      </c>
      <c r="BF804" s="164">
        <f t="shared" si="531"/>
        <v>99822.499132225246</v>
      </c>
      <c r="BG804" s="164">
        <f t="shared" si="511"/>
        <v>3.5177103947233016E-10</v>
      </c>
      <c r="BH804" s="152"/>
      <c r="BI804" s="162">
        <f t="shared" si="512"/>
        <v>20097.631458496795</v>
      </c>
      <c r="BJ804" s="150">
        <f t="shared" si="513"/>
        <v>0</v>
      </c>
      <c r="BK804" s="163">
        <f t="shared" si="535"/>
        <v>0</v>
      </c>
      <c r="BL804" s="163">
        <f t="shared" si="514"/>
        <v>10020.164887203509</v>
      </c>
      <c r="BM804" s="163">
        <f t="shared" si="536"/>
        <v>59.182269840564587</v>
      </c>
      <c r="BN804" s="163">
        <f t="shared" si="515"/>
        <v>1128.8226759834033</v>
      </c>
      <c r="BO804" s="163">
        <f t="shared" si="516"/>
        <v>0</v>
      </c>
      <c r="BP804" s="164">
        <f t="shared" si="537"/>
        <v>11265.471517117254</v>
      </c>
      <c r="BQ804" s="164">
        <f>IF($E804="","",IF(AND($D804=Input!$C$6,$C804=12),0,-BJ805+BK805+BL805-BM805-BN805-BO805+BQ805))</f>
        <v>11265.509986018227</v>
      </c>
      <c r="BR804" s="161">
        <f t="shared" si="517"/>
        <v>0</v>
      </c>
      <c r="BT804" s="147">
        <f t="shared" si="518"/>
        <v>3.5239654640019876E-15</v>
      </c>
      <c r="BU804" s="164">
        <f>IF(AND($C803=12,$D803=Input!$C$6),0,IF($E804="","",BK804+(BL804+BU805)/(1+$AK804)*MIN((1-T804-U804),1)))</f>
        <v>78810.954213854595</v>
      </c>
      <c r="BV804" s="164">
        <f t="shared" si="519"/>
        <v>2.7772708083466551E-10</v>
      </c>
      <c r="BW804" s="164">
        <f t="shared" si="520"/>
        <v>11265.509986018227</v>
      </c>
      <c r="BX804" s="164">
        <f t="shared" si="521"/>
        <v>3.9699268125097749E-11</v>
      </c>
    </row>
    <row r="805" spans="1:76" s="150" customFormat="1" x14ac:dyDescent="0.25">
      <c r="A805" s="150">
        <f t="shared" si="532"/>
        <v>801</v>
      </c>
      <c r="B805" s="150">
        <f t="shared" si="533"/>
        <v>67</v>
      </c>
      <c r="C805" s="150">
        <f t="shared" si="534"/>
        <v>9</v>
      </c>
      <c r="D805" s="150">
        <f>IF(E805="","",Input!$C$4+B805-1)</f>
        <v>111</v>
      </c>
      <c r="E805" s="150">
        <f>IF(OR(AND(C804=12,D804=Input!$C$6),E804=""),"",1)</f>
        <v>1</v>
      </c>
      <c r="F805" s="150">
        <f>IF(E805="","",Input!$C$8+B805-1)</f>
        <v>2084</v>
      </c>
      <c r="G805" s="151">
        <f>IF(E805="","",MAX(0,Input!$C$9-B805))</f>
        <v>0</v>
      </c>
      <c r="H805" s="152">
        <f>IF(E805="","",Input!$C$3)</f>
        <v>100000</v>
      </c>
      <c r="I805" s="153">
        <f>IF(E805="","",HLOOKUP($B805,Input!$C$13:$BT$14,2))</f>
        <v>1000</v>
      </c>
      <c r="J805" s="154"/>
      <c r="K805" s="155">
        <f>IF($E805="","",INDEX(Input!$C$16:$CP$16,1,$B805))</f>
        <v>3.3099999999999997E-2</v>
      </c>
      <c r="L805" s="155">
        <f>IF($E805="","",Input!$C$37)</f>
        <v>1.4999999999999999E-2</v>
      </c>
      <c r="M805" s="155">
        <f t="shared" si="497"/>
        <v>4.8099999999999997E-2</v>
      </c>
      <c r="N805" s="155">
        <f t="shared" si="498"/>
        <v>3.9225900629809018E-3</v>
      </c>
      <c r="O805" s="147">
        <f>IF($E805="","",MIN(VLOOKUP(IF($B805&lt;=Input!$C$7,$B805,26),'Mortality Tables'!$A$41:$CW$67,IF($B805&lt;=Input!$C$7+1,Input!$C$4+2,$D805-Input!$C$7+2),0)*IF(B805&gt;20,Input!$C$22,1)/1000,1))</f>
        <v>1</v>
      </c>
      <c r="P805" s="147">
        <f>IF($E805="","",MIN(VLOOKUP(IF($B805&lt;=Input!$C$7,$B805,26),'Mortality Tables'!$A$12:$CW$37,IF($B805&lt;=Input!$C$7+1,Input!$C$4+2,$D805-Input!$C$7+2),0)*IF(B805&gt;20,Input!$C$22,1)/1000,1))</f>
        <v>1</v>
      </c>
      <c r="Q805" s="155">
        <f>IF($E805="","",Input!$C$21)</f>
        <v>5.0000000000000001E-3</v>
      </c>
      <c r="R805" s="159">
        <f>IF($E805="","",(1-Q805)^($F805-Input!$C$20))</f>
        <v>0.71832888309862408</v>
      </c>
      <c r="S805" s="147">
        <f t="shared" si="500"/>
        <v>0.71832888309862408</v>
      </c>
      <c r="T805" s="147">
        <f t="shared" si="501"/>
        <v>0.10020164887203509</v>
      </c>
      <c r="U805" s="160">
        <f>IF($E805="","",IF($C805=12,INDEX(Input!$C$15:$CP$15,1,$B805),0))</f>
        <v>0</v>
      </c>
      <c r="V805" s="150">
        <f>IF(E805="","",IF(C805=1,IF($B805=1,Input!$C$33,Input!$C$34),0))</f>
        <v>0</v>
      </c>
      <c r="W805" s="156">
        <f>IF($E805="","",Input!$C$35)</f>
        <v>0.02</v>
      </c>
      <c r="X805" s="156">
        <f t="shared" si="499"/>
        <v>3.6949735703052635</v>
      </c>
      <c r="Y805" s="154"/>
      <c r="Z805" s="147">
        <f>IF($E805="","",VLOOKUP($D805,'Mortality Margins &amp; Grading'!$AB$5:$AF$125,3,0)*IF(Summary!$D$25="Included Margin",IF(AND($B805&gt;Input!$C$9,Summary!$D$31&lt;&gt;"Included Margin"),0,1),0))</f>
        <v>0.01</v>
      </c>
      <c r="AA805" s="147">
        <f>IF($E805="","",VLOOKUP($D805,'Mortality Margins &amp; Grading'!$AB$5:$AF$125,5,0)*IF(Summary!$D$25="Included Margin",IF(AND($B805&gt;Input!$C$9,Summary!$D$31&lt;&gt;"Included Margin"),0,1),0))</f>
        <v>5.2999999999999999E-2</v>
      </c>
      <c r="AB805" s="147">
        <f>IF($E805="","",IF(AND($B805&gt;Input!$C$9,Summary!$D$31&lt;&gt;"Included Margin"),1,IF(Summary!$D$25="Included Margin",VLOOKUP($B805,'Mortality Margins &amp; Grading'!$AI$5:$AR$125,MATCH('Mortality Margins &amp; Grading'!$AQ$4,'Mortality Margins &amp; Grading'!$AI$4:$AR$4,0),0),1)))</f>
        <v>0</v>
      </c>
      <c r="AC805" s="154"/>
      <c r="AD805" s="158">
        <f>IF(E805="","",Input!$C$48*IF(Summary!$D$30="Included Margin",IF(AND($B805&gt;Input!$C$9,Summary!$D$31&lt;&gt;"Included Margin"),0,1),0))</f>
        <v>-4.4999999999999997E-3</v>
      </c>
      <c r="AE805" s="159">
        <f>IF(E805="","",IF(Summary!$D$26="Included Margin",IF(AND($B805&gt;Input!$C$9,Summary!$D$31&lt;&gt;"Included Margin"),1,1/$R805),1))</f>
        <v>1.3921199934023862</v>
      </c>
      <c r="AF805" s="160">
        <f>IF(E805="","",IF(AND($B805&gt;=Input!$C$9,$C805=12,Summary!$D$31="Included Margin",$U805&gt;0),1/U805-1,IF($B805&gt;=Input!$C$9,0,Input!$C$45*IF(Summary!$D$27="Included Margin",1,0))))</f>
        <v>0</v>
      </c>
      <c r="AG805" s="160">
        <f>IF(E805="","",Input!$C$46*IF(Summary!$D$28="Included Margin",IF(AND($B805&gt;Input!$C$9,Summary!$D$31&lt;&gt;"Included Margin"),0,1),0))</f>
        <v>0.02</v>
      </c>
      <c r="AH805" s="158">
        <f>IF(E805="","",Input!$C$47*IF(Summary!$D$29="Included Margin",IF(AND($B805&gt;Input!$C$9,Summary!$D$31&lt;&gt;"Included Margin"),0,1),0))</f>
        <v>2.5000000000000001E-3</v>
      </c>
      <c r="AI805" s="154"/>
      <c r="AJ805" s="158">
        <f t="shared" si="522"/>
        <v>4.36E-2</v>
      </c>
      <c r="AK805" s="155">
        <f t="shared" si="523"/>
        <v>3.5626875279843873E-3</v>
      </c>
      <c r="AL805" s="147">
        <f t="shared" si="524"/>
        <v>1</v>
      </c>
      <c r="AM805" s="147">
        <f t="shared" si="502"/>
        <v>1</v>
      </c>
      <c r="AN805" s="160">
        <f t="shared" si="525"/>
        <v>0</v>
      </c>
      <c r="AO805" s="161">
        <f t="shared" si="526"/>
        <v>0</v>
      </c>
      <c r="AP805" s="156">
        <f t="shared" si="503"/>
        <v>4.3428907147545726</v>
      </c>
      <c r="AQ805" s="152"/>
      <c r="AR805" s="162">
        <f t="shared" si="504"/>
        <v>99822.182377913006</v>
      </c>
      <c r="AS805" s="150">
        <f t="shared" si="527"/>
        <v>0</v>
      </c>
      <c r="AT805" s="163">
        <f t="shared" si="505"/>
        <v>0</v>
      </c>
      <c r="AU805" s="163">
        <f t="shared" si="506"/>
        <v>100000</v>
      </c>
      <c r="AV805" s="163">
        <f t="shared" si="528"/>
        <v>177.5008677747542</v>
      </c>
      <c r="AW805" s="163">
        <f t="shared" si="507"/>
        <v>99822.499132225246</v>
      </c>
      <c r="AX805" s="163">
        <f t="shared" si="508"/>
        <v>0</v>
      </c>
      <c r="AY805" s="164">
        <f t="shared" si="529"/>
        <v>99822.182377913006</v>
      </c>
      <c r="AZ805" s="164">
        <f>IF($E805="","",IF(OR(AND($D805=Input!$C$6,$C805=12),$AN805=1),0,-AS806+AT806+AU806-AV806-AW806-AX806+AZ806))</f>
        <v>99822.499132225246</v>
      </c>
      <c r="BA805" s="154">
        <f t="shared" si="509"/>
        <v>0.31675431223993655</v>
      </c>
      <c r="BC805" s="147">
        <f t="shared" si="530"/>
        <v>3.1708583139408824E-15</v>
      </c>
      <c r="BD805" s="164">
        <f>IF(AND($C804=12,$D804=Input!$C$6),0,IF($E805="","",AT805+(AU805+BD806)/(1+$AK805)*MIN((1-AM805-AN805),1)))</f>
        <v>0</v>
      </c>
      <c r="BE805" s="164">
        <f t="shared" si="510"/>
        <v>0</v>
      </c>
      <c r="BF805" s="164">
        <f t="shared" si="531"/>
        <v>99822.499132225246</v>
      </c>
      <c r="BG805" s="164">
        <f t="shared" si="511"/>
        <v>3.1652300129177295E-10</v>
      </c>
      <c r="BH805" s="152"/>
      <c r="BI805" s="162">
        <f t="shared" si="512"/>
        <v>11265.471517117254</v>
      </c>
      <c r="BJ805" s="150">
        <f t="shared" si="513"/>
        <v>0</v>
      </c>
      <c r="BK805" s="163">
        <f t="shared" si="535"/>
        <v>0</v>
      </c>
      <c r="BL805" s="163">
        <f t="shared" si="514"/>
        <v>10020.164887203509</v>
      </c>
      <c r="BM805" s="163">
        <f t="shared" si="536"/>
        <v>24.537327019851208</v>
      </c>
      <c r="BN805" s="163">
        <f t="shared" si="515"/>
        <v>141.41425440792739</v>
      </c>
      <c r="BO805" s="163">
        <f t="shared" si="516"/>
        <v>0</v>
      </c>
      <c r="BP805" s="164">
        <f t="shared" si="537"/>
        <v>1411.2582113415233</v>
      </c>
      <c r="BQ805" s="164">
        <f>IF($E805="","",IF(AND($D805=Input!$C$6,$C805=12),0,-BJ806+BK806+BL806-BM806-BN806-BO806+BQ806))</f>
        <v>1411.2966802424962</v>
      </c>
      <c r="BR805" s="161">
        <f t="shared" si="517"/>
        <v>0</v>
      </c>
      <c r="BT805" s="147">
        <f t="shared" si="518"/>
        <v>3.1708583139408824E-15</v>
      </c>
      <c r="BU805" s="164">
        <f>IF(AND($C804=12,$D804=Input!$C$6),0,IF($E805="","",BK805+(BL805+BU806)/(1+$AK805)*MIN((1-T805-U805),1)))</f>
        <v>77879.232703771631</v>
      </c>
      <c r="BV805" s="164">
        <f t="shared" si="519"/>
        <v>2.4694401250209092E-10</v>
      </c>
      <c r="BW805" s="164">
        <f t="shared" si="520"/>
        <v>1411.2966802424962</v>
      </c>
      <c r="BX805" s="164">
        <f t="shared" si="521"/>
        <v>4.475021811984086E-12</v>
      </c>
    </row>
    <row r="806" spans="1:76" s="150" customFormat="1" x14ac:dyDescent="0.25">
      <c r="A806" s="150">
        <f t="shared" si="532"/>
        <v>802</v>
      </c>
      <c r="B806" s="150">
        <f t="shared" si="533"/>
        <v>67</v>
      </c>
      <c r="C806" s="150">
        <f t="shared" si="534"/>
        <v>10</v>
      </c>
      <c r="D806" s="150">
        <f>IF(E806="","",Input!$C$4+B806-1)</f>
        <v>111</v>
      </c>
      <c r="E806" s="150">
        <f>IF(OR(AND(C805=12,D805=Input!$C$6),E805=""),"",1)</f>
        <v>1</v>
      </c>
      <c r="F806" s="150">
        <f>IF(E806="","",Input!$C$8+B806-1)</f>
        <v>2084</v>
      </c>
      <c r="G806" s="151">
        <f>IF(E806="","",MAX(0,Input!$C$9-B806))</f>
        <v>0</v>
      </c>
      <c r="H806" s="152">
        <f>IF(E806="","",Input!$C$3)</f>
        <v>100000</v>
      </c>
      <c r="I806" s="153">
        <f>IF(E806="","",HLOOKUP($B806,Input!$C$13:$BT$14,2))</f>
        <v>1000</v>
      </c>
      <c r="J806" s="154"/>
      <c r="K806" s="155">
        <f>IF($E806="","",INDEX(Input!$C$16:$CP$16,1,$B806))</f>
        <v>3.3099999999999997E-2</v>
      </c>
      <c r="L806" s="155">
        <f>IF($E806="","",Input!$C$37)</f>
        <v>1.4999999999999999E-2</v>
      </c>
      <c r="M806" s="155">
        <f t="shared" si="497"/>
        <v>4.8099999999999997E-2</v>
      </c>
      <c r="N806" s="155">
        <f t="shared" si="498"/>
        <v>3.9225900629809018E-3</v>
      </c>
      <c r="O806" s="147">
        <f>IF($E806="","",MIN(VLOOKUP(IF($B806&lt;=Input!$C$7,$B806,26),'Mortality Tables'!$A$41:$CW$67,IF($B806&lt;=Input!$C$7+1,Input!$C$4+2,$D806-Input!$C$7+2),0)*IF(B806&gt;20,Input!$C$22,1)/1000,1))</f>
        <v>1</v>
      </c>
      <c r="P806" s="147">
        <f>IF($E806="","",MIN(VLOOKUP(IF($B806&lt;=Input!$C$7,$B806,26),'Mortality Tables'!$A$12:$CW$37,IF($B806&lt;=Input!$C$7+1,Input!$C$4+2,$D806-Input!$C$7+2),0)*IF(B806&gt;20,Input!$C$22,1)/1000,1))</f>
        <v>1</v>
      </c>
      <c r="Q806" s="155">
        <f>IF($E806="","",Input!$C$21)</f>
        <v>5.0000000000000001E-3</v>
      </c>
      <c r="R806" s="159">
        <f>IF($E806="","",(1-Q806)^($F806-Input!$C$20))</f>
        <v>0.71832888309862408</v>
      </c>
      <c r="S806" s="147">
        <f t="shared" si="500"/>
        <v>0.71832888309862408</v>
      </c>
      <c r="T806" s="147">
        <f t="shared" si="501"/>
        <v>0.10020164887203509</v>
      </c>
      <c r="U806" s="160">
        <f>IF($E806="","",IF($C806=12,INDEX(Input!$C$15:$CP$15,1,$B806),0))</f>
        <v>0</v>
      </c>
      <c r="V806" s="150">
        <f>IF(E806="","",IF(C806=1,IF($B806=1,Input!$C$33,Input!$C$34),0))</f>
        <v>0</v>
      </c>
      <c r="W806" s="156">
        <f>IF($E806="","",Input!$C$35)</f>
        <v>0.02</v>
      </c>
      <c r="X806" s="156">
        <f t="shared" si="499"/>
        <v>3.6949735703052635</v>
      </c>
      <c r="Y806" s="154"/>
      <c r="Z806" s="147">
        <f>IF($E806="","",VLOOKUP($D806,'Mortality Margins &amp; Grading'!$AB$5:$AF$125,3,0)*IF(Summary!$D$25="Included Margin",IF(AND($B806&gt;Input!$C$9,Summary!$D$31&lt;&gt;"Included Margin"),0,1),0))</f>
        <v>0.01</v>
      </c>
      <c r="AA806" s="147">
        <f>IF($E806="","",VLOOKUP($D806,'Mortality Margins &amp; Grading'!$AB$5:$AF$125,5,0)*IF(Summary!$D$25="Included Margin",IF(AND($B806&gt;Input!$C$9,Summary!$D$31&lt;&gt;"Included Margin"),0,1),0))</f>
        <v>5.2999999999999999E-2</v>
      </c>
      <c r="AB806" s="147">
        <f>IF($E806="","",IF(AND($B806&gt;Input!$C$9,Summary!$D$31&lt;&gt;"Included Margin"),1,IF(Summary!$D$25="Included Margin",VLOOKUP($B806,'Mortality Margins &amp; Grading'!$AI$5:$AR$125,MATCH('Mortality Margins &amp; Grading'!$AQ$4,'Mortality Margins &amp; Grading'!$AI$4:$AR$4,0),0),1)))</f>
        <v>0</v>
      </c>
      <c r="AC806" s="154"/>
      <c r="AD806" s="158">
        <f>IF(E806="","",Input!$C$48*IF(Summary!$D$30="Included Margin",IF(AND($B806&gt;Input!$C$9,Summary!$D$31&lt;&gt;"Included Margin"),0,1),0))</f>
        <v>-4.4999999999999997E-3</v>
      </c>
      <c r="AE806" s="159">
        <f>IF(E806="","",IF(Summary!$D$26="Included Margin",IF(AND($B806&gt;Input!$C$9,Summary!$D$31&lt;&gt;"Included Margin"),1,1/$R806),1))</f>
        <v>1.3921199934023862</v>
      </c>
      <c r="AF806" s="160">
        <f>IF(E806="","",IF(AND($B806&gt;=Input!$C$9,$C806=12,Summary!$D$31="Included Margin",$U806&gt;0),1/U806-1,IF($B806&gt;=Input!$C$9,0,Input!$C$45*IF(Summary!$D$27="Included Margin",1,0))))</f>
        <v>0</v>
      </c>
      <c r="AG806" s="160">
        <f>IF(E806="","",Input!$C$46*IF(Summary!$D$28="Included Margin",IF(AND($B806&gt;Input!$C$9,Summary!$D$31&lt;&gt;"Included Margin"),0,1),0))</f>
        <v>0.02</v>
      </c>
      <c r="AH806" s="158">
        <f>IF(E806="","",Input!$C$47*IF(Summary!$D$29="Included Margin",IF(AND($B806&gt;Input!$C$9,Summary!$D$31&lt;&gt;"Included Margin"),0,1),0))</f>
        <v>2.5000000000000001E-3</v>
      </c>
      <c r="AI806" s="154"/>
      <c r="AJ806" s="158">
        <f t="shared" si="522"/>
        <v>4.36E-2</v>
      </c>
      <c r="AK806" s="155">
        <f t="shared" si="523"/>
        <v>3.5626875279843873E-3</v>
      </c>
      <c r="AL806" s="147">
        <f t="shared" si="524"/>
        <v>1</v>
      </c>
      <c r="AM806" s="147">
        <f t="shared" si="502"/>
        <v>1</v>
      </c>
      <c r="AN806" s="160">
        <f t="shared" si="525"/>
        <v>0</v>
      </c>
      <c r="AO806" s="161">
        <f t="shared" si="526"/>
        <v>0</v>
      </c>
      <c r="AP806" s="156">
        <f t="shared" si="503"/>
        <v>4.3428907147545726</v>
      </c>
      <c r="AQ806" s="152"/>
      <c r="AR806" s="162">
        <f t="shared" si="504"/>
        <v>99822.182377913006</v>
      </c>
      <c r="AS806" s="150">
        <f t="shared" si="527"/>
        <v>0</v>
      </c>
      <c r="AT806" s="163">
        <f t="shared" si="505"/>
        <v>0</v>
      </c>
      <c r="AU806" s="163">
        <f t="shared" si="506"/>
        <v>100000</v>
      </c>
      <c r="AV806" s="163">
        <f t="shared" si="528"/>
        <v>177.5008677747542</v>
      </c>
      <c r="AW806" s="163">
        <f t="shared" si="507"/>
        <v>99822.499132225246</v>
      </c>
      <c r="AX806" s="163">
        <f t="shared" si="508"/>
        <v>0</v>
      </c>
      <c r="AY806" s="165">
        <f t="shared" si="529"/>
        <v>99822.182377913006</v>
      </c>
      <c r="AZ806" s="164">
        <f>IF($E806="","",IF(OR(AND($D806=Input!$C$6,$C806=12),$AN806=1),0,-AS807+AT807+AU807-AV807-AW807-AX807+AZ807))</f>
        <v>99822.499132225246</v>
      </c>
      <c r="BA806" s="154">
        <f t="shared" si="509"/>
        <v>0.31675431223993655</v>
      </c>
      <c r="BC806" s="147">
        <f t="shared" si="530"/>
        <v>2.8531330825444047E-15</v>
      </c>
      <c r="BD806" s="164">
        <f>IF(AND($C805=12,$D805=Input!$C$6),0,IF($E806="","",AT806+(AU806+BD807)/(1+$AK806)*MIN((1-AM806-AN806),1)))</f>
        <v>0</v>
      </c>
      <c r="BE806" s="164">
        <f t="shared" si="510"/>
        <v>0</v>
      </c>
      <c r="BF806" s="164">
        <f t="shared" si="531"/>
        <v>99822.499132225246</v>
      </c>
      <c r="BG806" s="164">
        <f t="shared" si="511"/>
        <v>2.8480687465641198E-10</v>
      </c>
      <c r="BH806" s="152"/>
      <c r="BI806" s="162">
        <f t="shared" si="512"/>
        <v>1411.2582113415228</v>
      </c>
      <c r="BJ806" s="150">
        <f t="shared" si="513"/>
        <v>0</v>
      </c>
      <c r="BK806" s="163">
        <f t="shared" si="535"/>
        <v>0</v>
      </c>
      <c r="BL806" s="163">
        <f t="shared" si="514"/>
        <v>10020.164887203509</v>
      </c>
      <c r="BM806" s="163">
        <f t="shared" si="536"/>
        <v>-14.116712171878859</v>
      </c>
      <c r="BN806" s="163">
        <f t="shared" si="515"/>
        <v>-960.25660195161754</v>
      </c>
      <c r="BO806" s="163">
        <f t="shared" si="516"/>
        <v>0</v>
      </c>
      <c r="BP806" s="164">
        <f t="shared" si="537"/>
        <v>-9583.2799899854836</v>
      </c>
      <c r="BQ806" s="164">
        <f>IF($E806="","",IF(AND($D806=Input!$C$6,$C806=12),0,-BJ807+BK807+BL807-BM807-BN807-BO807+BQ807))</f>
        <v>-9583.2415210845102</v>
      </c>
      <c r="BR806" s="161">
        <f t="shared" si="517"/>
        <v>0</v>
      </c>
      <c r="BT806" s="147">
        <f t="shared" si="518"/>
        <v>2.8531330825444047E-15</v>
      </c>
      <c r="BU806" s="164">
        <f>IF(AND($C805=12,$D805=Input!$C$6),0,IF($E806="","",BK806+(BL806+BU807)/(1+$AK806)*MIN((1-T806-U806),1)))</f>
        <v>76840.065493124552</v>
      </c>
      <c r="BV806" s="164">
        <f t="shared" si="519"/>
        <v>2.192349329233124E-10</v>
      </c>
      <c r="BW806" s="164">
        <f t="shared" si="520"/>
        <v>-9583.2415210845102</v>
      </c>
      <c r="BX806" s="164">
        <f t="shared" si="521"/>
        <v>-2.7342263421819377E-11</v>
      </c>
    </row>
    <row r="807" spans="1:76" s="150" customFormat="1" x14ac:dyDescent="0.25">
      <c r="A807" s="150">
        <f t="shared" si="532"/>
        <v>803</v>
      </c>
      <c r="B807" s="150">
        <f t="shared" si="533"/>
        <v>67</v>
      </c>
      <c r="C807" s="150">
        <f t="shared" si="534"/>
        <v>11</v>
      </c>
      <c r="D807" s="150">
        <f>IF(E807="","",Input!$C$4+B807-1)</f>
        <v>111</v>
      </c>
      <c r="E807" s="150">
        <f>IF(OR(AND(C806=12,D806=Input!$C$6),E806=""),"",1)</f>
        <v>1</v>
      </c>
      <c r="F807" s="150">
        <f>IF(E807="","",Input!$C$8+B807-1)</f>
        <v>2084</v>
      </c>
      <c r="G807" s="151">
        <f>IF(E807="","",MAX(0,Input!$C$9-B807))</f>
        <v>0</v>
      </c>
      <c r="H807" s="152">
        <f>IF(E807="","",Input!$C$3)</f>
        <v>100000</v>
      </c>
      <c r="I807" s="153">
        <f>IF(E807="","",HLOOKUP($B807,Input!$C$13:$BT$14,2))</f>
        <v>1000</v>
      </c>
      <c r="J807" s="154"/>
      <c r="K807" s="155">
        <f>IF($E807="","",INDEX(Input!$C$16:$CP$16,1,$B807))</f>
        <v>3.3099999999999997E-2</v>
      </c>
      <c r="L807" s="155">
        <f>IF($E807="","",Input!$C$37)</f>
        <v>1.4999999999999999E-2</v>
      </c>
      <c r="M807" s="155">
        <f t="shared" si="497"/>
        <v>4.8099999999999997E-2</v>
      </c>
      <c r="N807" s="155">
        <f t="shared" si="498"/>
        <v>3.9225900629809018E-3</v>
      </c>
      <c r="O807" s="147">
        <f>IF($E807="","",MIN(VLOOKUP(IF($B807&lt;=Input!$C$7,$B807,26),'Mortality Tables'!$A$41:$CW$67,IF($B807&lt;=Input!$C$7+1,Input!$C$4+2,$D807-Input!$C$7+2),0)*IF(B807&gt;20,Input!$C$22,1)/1000,1))</f>
        <v>1</v>
      </c>
      <c r="P807" s="147">
        <f>IF($E807="","",MIN(VLOOKUP(IF($B807&lt;=Input!$C$7,$B807,26),'Mortality Tables'!$A$12:$CW$37,IF($B807&lt;=Input!$C$7+1,Input!$C$4+2,$D807-Input!$C$7+2),0)*IF(B807&gt;20,Input!$C$22,1)/1000,1))</f>
        <v>1</v>
      </c>
      <c r="Q807" s="155">
        <f>IF($E807="","",Input!$C$21)</f>
        <v>5.0000000000000001E-3</v>
      </c>
      <c r="R807" s="159">
        <f>IF($E807="","",(1-Q807)^($F807-Input!$C$20))</f>
        <v>0.71832888309862408</v>
      </c>
      <c r="S807" s="147">
        <f t="shared" si="500"/>
        <v>0.71832888309862408</v>
      </c>
      <c r="T807" s="147">
        <f t="shared" si="501"/>
        <v>0.10020164887203509</v>
      </c>
      <c r="U807" s="160">
        <f>IF($E807="","",IF($C807=12,INDEX(Input!$C$15:$CP$15,1,$B807),0))</f>
        <v>0</v>
      </c>
      <c r="V807" s="150">
        <f>IF(E807="","",IF(C807=1,IF($B807=1,Input!$C$33,Input!$C$34),0))</f>
        <v>0</v>
      </c>
      <c r="W807" s="156">
        <f>IF($E807="","",Input!$C$35)</f>
        <v>0.02</v>
      </c>
      <c r="X807" s="156">
        <f t="shared" si="499"/>
        <v>3.6949735703052635</v>
      </c>
      <c r="Y807" s="154"/>
      <c r="Z807" s="147">
        <f>IF($E807="","",VLOOKUP($D807,'Mortality Margins &amp; Grading'!$AB$5:$AF$125,3,0)*IF(Summary!$D$25="Included Margin",IF(AND($B807&gt;Input!$C$9,Summary!$D$31&lt;&gt;"Included Margin"),0,1),0))</f>
        <v>0.01</v>
      </c>
      <c r="AA807" s="147">
        <f>IF($E807="","",VLOOKUP($D807,'Mortality Margins &amp; Grading'!$AB$5:$AF$125,5,0)*IF(Summary!$D$25="Included Margin",IF(AND($B807&gt;Input!$C$9,Summary!$D$31&lt;&gt;"Included Margin"),0,1),0))</f>
        <v>5.2999999999999999E-2</v>
      </c>
      <c r="AB807" s="147">
        <f>IF($E807="","",IF(AND($B807&gt;Input!$C$9,Summary!$D$31&lt;&gt;"Included Margin"),1,IF(Summary!$D$25="Included Margin",VLOOKUP($B807,'Mortality Margins &amp; Grading'!$AI$5:$AR$125,MATCH('Mortality Margins &amp; Grading'!$AQ$4,'Mortality Margins &amp; Grading'!$AI$4:$AR$4,0),0),1)))</f>
        <v>0</v>
      </c>
      <c r="AC807" s="154"/>
      <c r="AD807" s="158">
        <f>IF(E807="","",Input!$C$48*IF(Summary!$D$30="Included Margin",IF(AND($B807&gt;Input!$C$9,Summary!$D$31&lt;&gt;"Included Margin"),0,1),0))</f>
        <v>-4.4999999999999997E-3</v>
      </c>
      <c r="AE807" s="159">
        <f>IF(E807="","",IF(Summary!$D$26="Included Margin",IF(AND($B807&gt;Input!$C$9,Summary!$D$31&lt;&gt;"Included Margin"),1,1/$R807),1))</f>
        <v>1.3921199934023862</v>
      </c>
      <c r="AF807" s="160">
        <f>IF(E807="","",IF(AND($B807&gt;=Input!$C$9,$C807=12,Summary!$D$31="Included Margin",$U807&gt;0),1/U807-1,IF($B807&gt;=Input!$C$9,0,Input!$C$45*IF(Summary!$D$27="Included Margin",1,0))))</f>
        <v>0</v>
      </c>
      <c r="AG807" s="160">
        <f>IF(E807="","",Input!$C$46*IF(Summary!$D$28="Included Margin",IF(AND($B807&gt;Input!$C$9,Summary!$D$31&lt;&gt;"Included Margin"),0,1),0))</f>
        <v>0.02</v>
      </c>
      <c r="AH807" s="158">
        <f>IF(E807="","",Input!$C$47*IF(Summary!$D$29="Included Margin",IF(AND($B807&gt;Input!$C$9,Summary!$D$31&lt;&gt;"Included Margin"),0,1),0))</f>
        <v>2.5000000000000001E-3</v>
      </c>
      <c r="AI807" s="154"/>
      <c r="AJ807" s="158">
        <f t="shared" si="522"/>
        <v>4.36E-2</v>
      </c>
      <c r="AK807" s="155">
        <f t="shared" si="523"/>
        <v>3.5626875279843873E-3</v>
      </c>
      <c r="AL807" s="147">
        <f t="shared" si="524"/>
        <v>1</v>
      </c>
      <c r="AM807" s="147">
        <f t="shared" si="502"/>
        <v>1</v>
      </c>
      <c r="AN807" s="160">
        <f t="shared" si="525"/>
        <v>0</v>
      </c>
      <c r="AO807" s="161">
        <f t="shared" si="526"/>
        <v>0</v>
      </c>
      <c r="AP807" s="156">
        <f t="shared" si="503"/>
        <v>4.3428907147545726</v>
      </c>
      <c r="AQ807" s="152"/>
      <c r="AR807" s="162">
        <f t="shared" si="504"/>
        <v>99822.182377913006</v>
      </c>
      <c r="AS807" s="150">
        <f t="shared" si="527"/>
        <v>0</v>
      </c>
      <c r="AT807" s="163">
        <f t="shared" si="505"/>
        <v>0</v>
      </c>
      <c r="AU807" s="163">
        <f t="shared" si="506"/>
        <v>100000</v>
      </c>
      <c r="AV807" s="163">
        <f t="shared" si="528"/>
        <v>177.5008677747542</v>
      </c>
      <c r="AW807" s="163">
        <f t="shared" si="507"/>
        <v>99822.499132225246</v>
      </c>
      <c r="AX807" s="163">
        <f t="shared" si="508"/>
        <v>0</v>
      </c>
      <c r="AY807" s="164">
        <f t="shared" si="529"/>
        <v>99822.182377913006</v>
      </c>
      <c r="AZ807" s="164">
        <f>IF($E807="","",IF(OR(AND($D807=Input!$C$6,$C807=12),$AN807=1),0,-AS808+AT808+AU808-AV808-AW808-AX808+AZ808))</f>
        <v>99822.499132225246</v>
      </c>
      <c r="BA807" s="154">
        <f t="shared" si="509"/>
        <v>0.31675431223993655</v>
      </c>
      <c r="BC807" s="147">
        <f t="shared" si="530"/>
        <v>2.567244443222103E-15</v>
      </c>
      <c r="BD807" s="164">
        <f>IF(AND($C806=12,$D806=Input!$C$6),0,IF($E807="","",AT807+(AU807+BD808)/(1+$AK807)*MIN((1-AM807-AN807),1)))</f>
        <v>0</v>
      </c>
      <c r="BE807" s="164">
        <f t="shared" si="510"/>
        <v>0</v>
      </c>
      <c r="BF807" s="164">
        <f t="shared" si="531"/>
        <v>99822.499132225246</v>
      </c>
      <c r="BG807" s="164">
        <f t="shared" si="511"/>
        <v>2.5626875620574848E-10</v>
      </c>
      <c r="BH807" s="152"/>
      <c r="BI807" s="162">
        <f t="shared" si="512"/>
        <v>-9583.2799899854836</v>
      </c>
      <c r="BJ807" s="150">
        <f t="shared" si="513"/>
        <v>0</v>
      </c>
      <c r="BK807" s="163">
        <f t="shared" si="535"/>
        <v>0</v>
      </c>
      <c r="BL807" s="163">
        <f t="shared" si="514"/>
        <v>10020.164887203509</v>
      </c>
      <c r="BM807" s="163">
        <f t="shared" si="536"/>
        <v>-57.24377846746809</v>
      </c>
      <c r="BN807" s="163">
        <f t="shared" si="515"/>
        <v>-2189.4122879194033</v>
      </c>
      <c r="BO807" s="163">
        <f t="shared" si="516"/>
        <v>0</v>
      </c>
      <c r="BP807" s="164">
        <f t="shared" si="537"/>
        <v>-21850.100943575868</v>
      </c>
      <c r="BQ807" s="164">
        <f>IF($E807="","",IF(AND($D807=Input!$C$6,$C807=12),0,-BJ808+BK808+BL808-BM808-BN808-BO808+BQ808))</f>
        <v>-21850.062474674891</v>
      </c>
      <c r="BR807" s="161">
        <f t="shared" si="517"/>
        <v>0</v>
      </c>
      <c r="BT807" s="147">
        <f t="shared" si="518"/>
        <v>2.567244443222103E-15</v>
      </c>
      <c r="BU807" s="164">
        <f>IF(AND($C806=12,$D806=Input!$C$6),0,IF($E807="","",BK807+(BL807+BU808)/(1+$AK807)*MIN((1-T807-U807),1)))</f>
        <v>75681.061992617309</v>
      </c>
      <c r="BV807" s="164">
        <f t="shared" si="519"/>
        <v>1.942917858576943E-10</v>
      </c>
      <c r="BW807" s="164">
        <f t="shared" si="520"/>
        <v>-21850.062474674891</v>
      </c>
      <c r="BX807" s="164">
        <f t="shared" si="521"/>
        <v>-5.6094451472164905E-11</v>
      </c>
    </row>
    <row r="808" spans="1:76" s="150" customFormat="1" x14ac:dyDescent="0.25">
      <c r="A808" s="150">
        <f t="shared" si="532"/>
        <v>804</v>
      </c>
      <c r="B808" s="150">
        <f t="shared" si="533"/>
        <v>67</v>
      </c>
      <c r="C808" s="150">
        <f t="shared" si="534"/>
        <v>12</v>
      </c>
      <c r="D808" s="150">
        <f>IF(E808="","",Input!$C$4+B808-1)</f>
        <v>111</v>
      </c>
      <c r="E808" s="150">
        <f>IF(OR(AND(C807=12,D807=Input!$C$6),E807=""),"",1)</f>
        <v>1</v>
      </c>
      <c r="F808" s="150">
        <f>IF(E808="","",Input!$C$8+B808-1)</f>
        <v>2084</v>
      </c>
      <c r="G808" s="151">
        <f>IF(E808="","",MAX(0,Input!$C$9-B808))</f>
        <v>0</v>
      </c>
      <c r="H808" s="152">
        <f>IF(E808="","",Input!$C$3)</f>
        <v>100000</v>
      </c>
      <c r="I808" s="153">
        <f>IF(E808="","",HLOOKUP($B808,Input!$C$13:$BT$14,2))</f>
        <v>1000</v>
      </c>
      <c r="J808" s="154"/>
      <c r="K808" s="155">
        <f>IF($E808="","",INDEX(Input!$C$16:$CP$16,1,$B808))</f>
        <v>3.3099999999999997E-2</v>
      </c>
      <c r="L808" s="155">
        <f>IF($E808="","",Input!$C$37)</f>
        <v>1.4999999999999999E-2</v>
      </c>
      <c r="M808" s="155">
        <f t="shared" si="497"/>
        <v>4.8099999999999997E-2</v>
      </c>
      <c r="N808" s="155">
        <f t="shared" si="498"/>
        <v>3.9225900629809018E-3</v>
      </c>
      <c r="O808" s="147">
        <f>IF($E808="","",MIN(VLOOKUP(IF($B808&lt;=Input!$C$7,$B808,26),'Mortality Tables'!$A$41:$CW$67,IF($B808&lt;=Input!$C$7+1,Input!$C$4+2,$D808-Input!$C$7+2),0)*IF(B808&gt;20,Input!$C$22,1)/1000,1))</f>
        <v>1</v>
      </c>
      <c r="P808" s="147">
        <f>IF($E808="","",MIN(VLOOKUP(IF($B808&lt;=Input!$C$7,$B808,26),'Mortality Tables'!$A$12:$CW$37,IF($B808&lt;=Input!$C$7+1,Input!$C$4+2,$D808-Input!$C$7+2),0)*IF(B808&gt;20,Input!$C$22,1)/1000,1))</f>
        <v>1</v>
      </c>
      <c r="Q808" s="155">
        <f>IF($E808="","",Input!$C$21)</f>
        <v>5.0000000000000001E-3</v>
      </c>
      <c r="R808" s="159">
        <f>IF($E808="","",(1-Q808)^($F808-Input!$C$20))</f>
        <v>0.71832888309862408</v>
      </c>
      <c r="S808" s="147">
        <f t="shared" si="500"/>
        <v>0.71832888309862408</v>
      </c>
      <c r="T808" s="147">
        <f t="shared" si="501"/>
        <v>0.10020164887203509</v>
      </c>
      <c r="U808" s="160">
        <f>IF($E808="","",IF($C808=12,INDEX(Input!$C$15:$CP$15,1,$B808),0))</f>
        <v>0.1</v>
      </c>
      <c r="V808" s="150">
        <f>IF(E808="","",IF(C808=1,IF($B808=1,Input!$C$33,Input!$C$34),0))</f>
        <v>0</v>
      </c>
      <c r="W808" s="156">
        <f>IF($E808="","",Input!$C$35)</f>
        <v>0.02</v>
      </c>
      <c r="X808" s="156">
        <f t="shared" si="499"/>
        <v>3.6949735703052635</v>
      </c>
      <c r="Y808" s="154"/>
      <c r="Z808" s="147">
        <f>IF($E808="","",VLOOKUP($D808,'Mortality Margins &amp; Grading'!$AB$5:$AF$125,3,0)*IF(Summary!$D$25="Included Margin",IF(AND($B808&gt;Input!$C$9,Summary!$D$31&lt;&gt;"Included Margin"),0,1),0))</f>
        <v>0.01</v>
      </c>
      <c r="AA808" s="147">
        <f>IF($E808="","",VLOOKUP($D808,'Mortality Margins &amp; Grading'!$AB$5:$AF$125,5,0)*IF(Summary!$D$25="Included Margin",IF(AND($B808&gt;Input!$C$9,Summary!$D$31&lt;&gt;"Included Margin"),0,1),0))</f>
        <v>5.2999999999999999E-2</v>
      </c>
      <c r="AB808" s="147">
        <f>IF($E808="","",IF(AND($B808&gt;Input!$C$9,Summary!$D$31&lt;&gt;"Included Margin"),1,IF(Summary!$D$25="Included Margin",VLOOKUP($B808,'Mortality Margins &amp; Grading'!$AI$5:$AR$125,MATCH('Mortality Margins &amp; Grading'!$AQ$4,'Mortality Margins &amp; Grading'!$AI$4:$AR$4,0),0),1)))</f>
        <v>0</v>
      </c>
      <c r="AC808" s="154"/>
      <c r="AD808" s="158">
        <f>IF(E808="","",Input!$C$48*IF(Summary!$D$30="Included Margin",IF(AND($B808&gt;Input!$C$9,Summary!$D$31&lt;&gt;"Included Margin"),0,1),0))</f>
        <v>-4.4999999999999997E-3</v>
      </c>
      <c r="AE808" s="159">
        <f>IF(E808="","",IF(Summary!$D$26="Included Margin",IF(AND($B808&gt;Input!$C$9,Summary!$D$31&lt;&gt;"Included Margin"),1,1/$R808),1))</f>
        <v>1.3921199934023862</v>
      </c>
      <c r="AF808" s="160">
        <f>IF(E808="","",IF(AND($B808&gt;=Input!$C$9,$C808=12,Summary!$D$31="Included Margin",$U808&gt;0),1/U808-1,IF($B808&gt;=Input!$C$9,0,Input!$C$45*IF(Summary!$D$27="Included Margin",1,0))))</f>
        <v>9</v>
      </c>
      <c r="AG808" s="160">
        <f>IF(E808="","",Input!$C$46*IF(Summary!$D$28="Included Margin",IF(AND($B808&gt;Input!$C$9,Summary!$D$31&lt;&gt;"Included Margin"),0,1),0))</f>
        <v>0.02</v>
      </c>
      <c r="AH808" s="158">
        <f>IF(E808="","",Input!$C$47*IF(Summary!$D$29="Included Margin",IF(AND($B808&gt;Input!$C$9,Summary!$D$31&lt;&gt;"Included Margin"),0,1),0))</f>
        <v>2.5000000000000001E-3</v>
      </c>
      <c r="AI808" s="154"/>
      <c r="AJ808" s="158">
        <f t="shared" si="522"/>
        <v>4.36E-2</v>
      </c>
      <c r="AK808" s="155">
        <f t="shared" si="523"/>
        <v>3.5626875279843873E-3</v>
      </c>
      <c r="AL808" s="147">
        <f t="shared" si="524"/>
        <v>1</v>
      </c>
      <c r="AM808" s="147">
        <f t="shared" si="502"/>
        <v>1</v>
      </c>
      <c r="AN808" s="160">
        <f t="shared" si="525"/>
        <v>1</v>
      </c>
      <c r="AO808" s="161">
        <f t="shared" si="526"/>
        <v>0</v>
      </c>
      <c r="AP808" s="156">
        <f t="shared" si="503"/>
        <v>4.3428907147545726</v>
      </c>
      <c r="AQ808" s="152"/>
      <c r="AR808" s="162">
        <f t="shared" si="504"/>
        <v>99822.182377913006</v>
      </c>
      <c r="AS808" s="150">
        <f t="shared" si="527"/>
        <v>0</v>
      </c>
      <c r="AT808" s="163">
        <f t="shared" si="505"/>
        <v>0</v>
      </c>
      <c r="AU808" s="163">
        <f t="shared" si="506"/>
        <v>100000</v>
      </c>
      <c r="AV808" s="163">
        <f t="shared" si="528"/>
        <v>177.5008677747542</v>
      </c>
      <c r="AW808" s="163">
        <f t="shared" si="507"/>
        <v>0</v>
      </c>
      <c r="AX808" s="163">
        <f t="shared" si="508"/>
        <v>0</v>
      </c>
      <c r="AY808" s="165">
        <f t="shared" si="529"/>
        <v>-0.31675431223945338</v>
      </c>
      <c r="AZ808" s="164">
        <f>IF($E808="","",IF(OR(AND($D808=Input!$C$6,$C808=12),$AN808=1),0,-AS809+AT809+AU809-AV809-AW809-AX809+AZ809))</f>
        <v>0</v>
      </c>
      <c r="BA808" s="154">
        <f t="shared" si="509"/>
        <v>0.31675431223945338</v>
      </c>
      <c r="BC808" s="147">
        <f t="shared" si="530"/>
        <v>2.0532778726314685E-15</v>
      </c>
      <c r="BD808" s="164">
        <f>IF(AND($C807=12,$D807=Input!$C$6),0,IF($E808="","",AT808+(AU808+BD809)/(1+$AK808)*MIN((1-AM808-AN808),1)))</f>
        <v>-99870.662928321399</v>
      </c>
      <c r="BE808" s="164">
        <f t="shared" si="510"/>
        <v>-2.0506222231575822E-10</v>
      </c>
      <c r="BF808" s="164">
        <f t="shared" si="531"/>
        <v>0</v>
      </c>
      <c r="BG808" s="164">
        <f t="shared" si="511"/>
        <v>0</v>
      </c>
      <c r="BH808" s="152"/>
      <c r="BI808" s="162">
        <f t="shared" si="512"/>
        <v>-21850.100943575864</v>
      </c>
      <c r="BJ808" s="150">
        <f t="shared" si="513"/>
        <v>0</v>
      </c>
      <c r="BK808" s="163">
        <f t="shared" si="535"/>
        <v>0</v>
      </c>
      <c r="BL808" s="163">
        <f t="shared" si="514"/>
        <v>10020.164887203509</v>
      </c>
      <c r="BM808" s="163">
        <f t="shared" si="536"/>
        <v>-105.36148844438763</v>
      </c>
      <c r="BN808" s="163">
        <f t="shared" si="515"/>
        <v>-3956.4503195387433</v>
      </c>
      <c r="BO808" s="163">
        <f t="shared" si="516"/>
        <v>-3552.8432055914209</v>
      </c>
      <c r="BP808" s="164">
        <f t="shared" si="537"/>
        <v>-39484.920844353932</v>
      </c>
      <c r="BQ808" s="164">
        <f>IF($E808="","",IF(AND($D808=Input!$C$6,$C808=12),0,-BJ809+BK809+BL809-BM809-BN809-BO809+BQ809))</f>
        <v>-39484.882375452951</v>
      </c>
      <c r="BR808" s="161">
        <f t="shared" si="517"/>
        <v>0</v>
      </c>
      <c r="BT808" s="147">
        <f t="shared" si="518"/>
        <v>2.0532778726314685E-15</v>
      </c>
      <c r="BU808" s="164">
        <f>IF(AND($C807=12,$D807=Input!$C$6),0,IF($E808="","",BK808+(BL808+BU809)/(1+$AK808)*MIN((1-T808-U808),1)))</f>
        <v>74388.402735834607</v>
      </c>
      <c r="BV808" s="164">
        <f t="shared" si="519"/>
        <v>1.5274006131788738E-10</v>
      </c>
      <c r="BW808" s="164">
        <f t="shared" si="520"/>
        <v>-39484.882375452951</v>
      </c>
      <c r="BX808" s="164">
        <f t="shared" si="521"/>
        <v>-8.1073435284973799E-11</v>
      </c>
    </row>
    <row r="809" spans="1:76" s="150" customFormat="1" x14ac:dyDescent="0.25">
      <c r="A809" s="150">
        <f t="shared" si="532"/>
        <v>805</v>
      </c>
      <c r="B809" s="150">
        <f t="shared" si="533"/>
        <v>68</v>
      </c>
      <c r="C809" s="150">
        <f t="shared" si="534"/>
        <v>1</v>
      </c>
      <c r="D809" s="150">
        <f>IF(E809="","",Input!$C$4+B809-1)</f>
        <v>112</v>
      </c>
      <c r="E809" s="150">
        <f>IF(OR(AND(C808=12,D808=Input!$C$6),E808=""),"",1)</f>
        <v>1</v>
      </c>
      <c r="F809" s="150">
        <f>IF(E809="","",Input!$C$8+B809-1)</f>
        <v>2085</v>
      </c>
      <c r="G809" s="151">
        <f>IF(E809="","",MAX(0,Input!$C$9-B809))</f>
        <v>0</v>
      </c>
      <c r="H809" s="152">
        <f>IF(E809="","",Input!$C$3)</f>
        <v>100000</v>
      </c>
      <c r="I809" s="153">
        <f>IF(E809="","",HLOOKUP($B809,Input!$C$13:$BT$14,2))</f>
        <v>1000</v>
      </c>
      <c r="J809" s="154"/>
      <c r="K809" s="155">
        <f>IF($E809="","",INDEX(Input!$C$16:$CP$16,1,$B809))</f>
        <v>3.3110000000000001E-2</v>
      </c>
      <c r="L809" s="155">
        <f>IF($E809="","",Input!$C$37)</f>
        <v>1.4999999999999999E-2</v>
      </c>
      <c r="M809" s="155">
        <f t="shared" si="497"/>
        <v>4.811E-2</v>
      </c>
      <c r="N809" s="155">
        <f t="shared" si="498"/>
        <v>3.9233882678277876E-3</v>
      </c>
      <c r="O809" s="147">
        <f>IF($E809="","",MIN(VLOOKUP(IF($B809&lt;=Input!$C$7,$B809,26),'Mortality Tables'!$A$41:$CW$67,IF($B809&lt;=Input!$C$7+1,Input!$C$4+2,$D809-Input!$C$7+2),0)*IF(B809&gt;20,Input!$C$22,1)/1000,1))</f>
        <v>1</v>
      </c>
      <c r="P809" s="147">
        <f>IF($E809="","",MIN(VLOOKUP(IF($B809&lt;=Input!$C$7,$B809,26),'Mortality Tables'!$A$12:$CW$37,IF($B809&lt;=Input!$C$7+1,Input!$C$4+2,$D809-Input!$C$7+2),0)*IF(B809&gt;20,Input!$C$22,1)/1000,1))</f>
        <v>1</v>
      </c>
      <c r="Q809" s="155">
        <f>IF($E809="","",Input!$C$21)</f>
        <v>5.0000000000000001E-3</v>
      </c>
      <c r="R809" s="159">
        <f>IF($E809="","",(1-Q809)^($F809-Input!$C$20))</f>
        <v>0.71473723868313099</v>
      </c>
      <c r="S809" s="147">
        <f t="shared" si="500"/>
        <v>0.71473723868313099</v>
      </c>
      <c r="T809" s="147">
        <f t="shared" si="501"/>
        <v>9.9251066013443801E-2</v>
      </c>
      <c r="U809" s="160">
        <f>IF($E809="","",IF($C809=12,INDEX(Input!$C$15:$CP$15,1,$B809),0))</f>
        <v>0</v>
      </c>
      <c r="V809" s="150">
        <f>IF(E809="","",IF(C809=1,IF($B809=1,Input!$C$33,Input!$C$34),0))</f>
        <v>50</v>
      </c>
      <c r="W809" s="156">
        <f>IF($E809="","",Input!$C$35)</f>
        <v>0.02</v>
      </c>
      <c r="X809" s="156">
        <f t="shared" si="499"/>
        <v>3.7688730417113687</v>
      </c>
      <c r="Y809" s="154"/>
      <c r="Z809" s="147">
        <f>IF($E809="","",VLOOKUP($D809,'Mortality Margins &amp; Grading'!$AB$5:$AF$125,3,0)*IF(Summary!$D$25="Included Margin",IF(AND($B809&gt;Input!$C$9,Summary!$D$31&lt;&gt;"Included Margin"),0,1),0))</f>
        <v>0.01</v>
      </c>
      <c r="AA809" s="147">
        <f>IF($E809="","",VLOOKUP($D809,'Mortality Margins &amp; Grading'!$AB$5:$AF$125,5,0)*IF(Summary!$D$25="Included Margin",IF(AND($B809&gt;Input!$C$9,Summary!$D$31&lt;&gt;"Included Margin"),0,1),0))</f>
        <v>5.2999999999999999E-2</v>
      </c>
      <c r="AB809" s="147">
        <f>IF($E809="","",IF(AND($B809&gt;Input!$C$9,Summary!$D$31&lt;&gt;"Included Margin"),1,IF(Summary!$D$25="Included Margin",VLOOKUP($B809,'Mortality Margins &amp; Grading'!$AI$5:$AR$125,MATCH('Mortality Margins &amp; Grading'!$AQ$4,'Mortality Margins &amp; Grading'!$AI$4:$AR$4,0),0),1)))</f>
        <v>0</v>
      </c>
      <c r="AC809" s="154"/>
      <c r="AD809" s="158">
        <f>IF(E809="","",Input!$C$48*IF(Summary!$D$30="Included Margin",IF(AND($B809&gt;Input!$C$9,Summary!$D$31&lt;&gt;"Included Margin"),0,1),0))</f>
        <v>-4.4999999999999997E-3</v>
      </c>
      <c r="AE809" s="159">
        <f>IF(E809="","",IF(Summary!$D$26="Included Margin",IF(AND($B809&gt;Input!$C$9,Summary!$D$31&lt;&gt;"Included Margin"),1,1/$R809),1))</f>
        <v>1.3991155712586796</v>
      </c>
      <c r="AF809" s="160">
        <f>IF(E809="","",IF(AND($B809&gt;=Input!$C$9,$C809=12,Summary!$D$31="Included Margin",$U809&gt;0),1/U809-1,IF($B809&gt;=Input!$C$9,0,Input!$C$45*IF(Summary!$D$27="Included Margin",1,0))))</f>
        <v>0</v>
      </c>
      <c r="AG809" s="160">
        <f>IF(E809="","",Input!$C$46*IF(Summary!$D$28="Included Margin",IF(AND($B809&gt;Input!$C$9,Summary!$D$31&lt;&gt;"Included Margin"),0,1),0))</f>
        <v>0.02</v>
      </c>
      <c r="AH809" s="158">
        <f>IF(E809="","",Input!$C$47*IF(Summary!$D$29="Included Margin",IF(AND($B809&gt;Input!$C$9,Summary!$D$31&lt;&gt;"Included Margin"),0,1),0))</f>
        <v>2.5000000000000001E-3</v>
      </c>
      <c r="AI809" s="154"/>
      <c r="AJ809" s="158">
        <f t="shared" si="522"/>
        <v>4.3610000000000003E-2</v>
      </c>
      <c r="AK809" s="155">
        <f t="shared" si="523"/>
        <v>3.5634888872855264E-3</v>
      </c>
      <c r="AL809" s="147">
        <f t="shared" si="524"/>
        <v>1</v>
      </c>
      <c r="AM809" s="147">
        <f t="shared" si="502"/>
        <v>1</v>
      </c>
      <c r="AN809" s="160">
        <f t="shared" si="525"/>
        <v>0</v>
      </c>
      <c r="AO809" s="161">
        <f t="shared" si="526"/>
        <v>51</v>
      </c>
      <c r="AP809" s="156">
        <f t="shared" si="503"/>
        <v>4.4406057558365504</v>
      </c>
      <c r="AQ809" s="152"/>
      <c r="AR809" s="162">
        <f t="shared" si="504"/>
        <v>48.613345880699256</v>
      </c>
      <c r="AS809" s="150">
        <f t="shared" si="527"/>
        <v>100000</v>
      </c>
      <c r="AT809" s="163">
        <f t="shared" si="505"/>
        <v>226.47089354766408</v>
      </c>
      <c r="AU809" s="163">
        <f t="shared" si="506"/>
        <v>100000</v>
      </c>
      <c r="AV809" s="163">
        <f t="shared" si="528"/>
        <v>177.54065096964524</v>
      </c>
      <c r="AW809" s="163">
        <f t="shared" si="507"/>
        <v>99822.459349030352</v>
      </c>
      <c r="AX809" s="163">
        <f t="shared" si="508"/>
        <v>0</v>
      </c>
      <c r="AY809" s="164">
        <f t="shared" si="529"/>
        <v>99822.142452333035</v>
      </c>
      <c r="AZ809" s="164">
        <f>IF($E809="","",IF(OR(AND($D809=Input!$C$6,$C809=12),$AN809=1),0,-AS810+AT810+AU810-AV810-AW810-AX810+AZ810))</f>
        <v>99822.459349030352</v>
      </c>
      <c r="BA809" s="154">
        <f t="shared" si="509"/>
        <v>0.31689669731713366</v>
      </c>
      <c r="BC809" s="147">
        <f t="shared" si="530"/>
        <v>1.849487854950979E-15</v>
      </c>
      <c r="BD809" s="164">
        <f>IF(AND($C808=12,$D808=Input!$C$6),0,IF($E809="","",AT809+(AU809+BD810)/(1+$AK809)*MIN((1-AM809-AN809),1)))</f>
        <v>226.47089354766408</v>
      </c>
      <c r="BE809" s="164">
        <f t="shared" si="510"/>
        <v>4.1885516711630075E-13</v>
      </c>
      <c r="BF809" s="164">
        <f t="shared" si="531"/>
        <v>99822.459349030352</v>
      </c>
      <c r="BG809" s="164">
        <f t="shared" si="511"/>
        <v>1.8462042621736945E-10</v>
      </c>
      <c r="BH809" s="152"/>
      <c r="BI809" s="162">
        <f t="shared" si="512"/>
        <v>-39484.920494904931</v>
      </c>
      <c r="BJ809" s="150">
        <f t="shared" si="513"/>
        <v>100000</v>
      </c>
      <c r="BK809" s="163">
        <f t="shared" si="535"/>
        <v>188.44365208556843</v>
      </c>
      <c r="BL809" s="163">
        <f t="shared" si="514"/>
        <v>9925.1066013443797</v>
      </c>
      <c r="BM809" s="163">
        <f t="shared" si="536"/>
        <v>217.21479194488933</v>
      </c>
      <c r="BN809" s="163">
        <f t="shared" si="515"/>
        <v>5577.5454185119033</v>
      </c>
      <c r="BO809" s="163">
        <f t="shared" si="516"/>
        <v>0</v>
      </c>
      <c r="BP809" s="164">
        <f t="shared" si="537"/>
        <v>56196.289462121917</v>
      </c>
      <c r="BQ809" s="164">
        <f>IF($E809="","",IF(AND($D809=Input!$C$6,$C809=12),0,-BJ810+BK810+BL810-BM810-BN810-BO810+BQ810))</f>
        <v>56196.327581573896</v>
      </c>
      <c r="BR809" s="161">
        <f t="shared" si="517"/>
        <v>0</v>
      </c>
      <c r="BT809" s="147">
        <f t="shared" si="518"/>
        <v>1.849487854950979E-15</v>
      </c>
      <c r="BU809" s="164">
        <f>IF(AND($C808=12,$D808=Input!$C$6),0,IF($E809="","",BK809+(BL809+BU810)/(1+$AK809)*MIN((1-T809-U809),1)))</f>
        <v>83320.144285982009</v>
      </c>
      <c r="BV809" s="164">
        <f t="shared" si="519"/>
        <v>1.5409959492968693E-10</v>
      </c>
      <c r="BW809" s="164">
        <f t="shared" si="520"/>
        <v>56196.327581573896</v>
      </c>
      <c r="BX809" s="164">
        <f t="shared" si="521"/>
        <v>1.0393442535496764E-10</v>
      </c>
    </row>
    <row r="810" spans="1:76" s="150" customFormat="1" x14ac:dyDescent="0.25">
      <c r="A810" s="150">
        <f t="shared" si="532"/>
        <v>806</v>
      </c>
      <c r="B810" s="150">
        <f t="shared" si="533"/>
        <v>68</v>
      </c>
      <c r="C810" s="150">
        <f t="shared" si="534"/>
        <v>2</v>
      </c>
      <c r="D810" s="150">
        <f>IF(E810="","",Input!$C$4+B810-1)</f>
        <v>112</v>
      </c>
      <c r="E810" s="150">
        <f>IF(OR(AND(C809=12,D809=Input!$C$6),E809=""),"",1)</f>
        <v>1</v>
      </c>
      <c r="F810" s="150">
        <f>IF(E810="","",Input!$C$8+B810-1)</f>
        <v>2085</v>
      </c>
      <c r="G810" s="151">
        <f>IF(E810="","",MAX(0,Input!$C$9-B810))</f>
        <v>0</v>
      </c>
      <c r="H810" s="152">
        <f>IF(E810="","",Input!$C$3)</f>
        <v>100000</v>
      </c>
      <c r="I810" s="153">
        <f>IF(E810="","",HLOOKUP($B810,Input!$C$13:$BT$14,2))</f>
        <v>1000</v>
      </c>
      <c r="J810" s="154"/>
      <c r="K810" s="155">
        <f>IF($E810="","",INDEX(Input!$C$16:$CP$16,1,$B810))</f>
        <v>3.3110000000000001E-2</v>
      </c>
      <c r="L810" s="155">
        <f>IF($E810="","",Input!$C$37)</f>
        <v>1.4999999999999999E-2</v>
      </c>
      <c r="M810" s="155">
        <f t="shared" si="497"/>
        <v>4.811E-2</v>
      </c>
      <c r="N810" s="155">
        <f t="shared" si="498"/>
        <v>3.9233882678277876E-3</v>
      </c>
      <c r="O810" s="147">
        <f>IF($E810="","",MIN(VLOOKUP(IF($B810&lt;=Input!$C$7,$B810,26),'Mortality Tables'!$A$41:$CW$67,IF($B810&lt;=Input!$C$7+1,Input!$C$4+2,$D810-Input!$C$7+2),0)*IF(B810&gt;20,Input!$C$22,1)/1000,1))</f>
        <v>1</v>
      </c>
      <c r="P810" s="147">
        <f>IF($E810="","",MIN(VLOOKUP(IF($B810&lt;=Input!$C$7,$B810,26),'Mortality Tables'!$A$12:$CW$37,IF($B810&lt;=Input!$C$7+1,Input!$C$4+2,$D810-Input!$C$7+2),0)*IF(B810&gt;20,Input!$C$22,1)/1000,1))</f>
        <v>1</v>
      </c>
      <c r="Q810" s="155">
        <f>IF($E810="","",Input!$C$21)</f>
        <v>5.0000000000000001E-3</v>
      </c>
      <c r="R810" s="159">
        <f>IF($E810="","",(1-Q810)^($F810-Input!$C$20))</f>
        <v>0.71473723868313099</v>
      </c>
      <c r="S810" s="147">
        <f t="shared" si="500"/>
        <v>0.71473723868313099</v>
      </c>
      <c r="T810" s="147">
        <f t="shared" si="501"/>
        <v>9.9251066013443801E-2</v>
      </c>
      <c r="U810" s="160">
        <f>IF($E810="","",IF($C810=12,INDEX(Input!$C$15:$CP$15,1,$B810),0))</f>
        <v>0</v>
      </c>
      <c r="V810" s="150">
        <f>IF(E810="","",IF(C810=1,IF($B810=1,Input!$C$33,Input!$C$34),0))</f>
        <v>0</v>
      </c>
      <c r="W810" s="156">
        <f>IF($E810="","",Input!$C$35)</f>
        <v>0.02</v>
      </c>
      <c r="X810" s="156">
        <f t="shared" si="499"/>
        <v>3.7688730417113687</v>
      </c>
      <c r="Y810" s="154"/>
      <c r="Z810" s="147">
        <f>IF($E810="","",VLOOKUP($D810,'Mortality Margins &amp; Grading'!$AB$5:$AF$125,3,0)*IF(Summary!$D$25="Included Margin",IF(AND($B810&gt;Input!$C$9,Summary!$D$31&lt;&gt;"Included Margin"),0,1),0))</f>
        <v>0.01</v>
      </c>
      <c r="AA810" s="147">
        <f>IF($E810="","",VLOOKUP($D810,'Mortality Margins &amp; Grading'!$AB$5:$AF$125,5,0)*IF(Summary!$D$25="Included Margin",IF(AND($B810&gt;Input!$C$9,Summary!$D$31&lt;&gt;"Included Margin"),0,1),0))</f>
        <v>5.2999999999999999E-2</v>
      </c>
      <c r="AB810" s="147">
        <f>IF($E810="","",IF(AND($B810&gt;Input!$C$9,Summary!$D$31&lt;&gt;"Included Margin"),1,IF(Summary!$D$25="Included Margin",VLOOKUP($B810,'Mortality Margins &amp; Grading'!$AI$5:$AR$125,MATCH('Mortality Margins &amp; Grading'!$AQ$4,'Mortality Margins &amp; Grading'!$AI$4:$AR$4,0),0),1)))</f>
        <v>0</v>
      </c>
      <c r="AC810" s="154"/>
      <c r="AD810" s="158">
        <f>IF(E810="","",Input!$C$48*IF(Summary!$D$30="Included Margin",IF(AND($B810&gt;Input!$C$9,Summary!$D$31&lt;&gt;"Included Margin"),0,1),0))</f>
        <v>-4.4999999999999997E-3</v>
      </c>
      <c r="AE810" s="159">
        <f>IF(E810="","",IF(Summary!$D$26="Included Margin",IF(AND($B810&gt;Input!$C$9,Summary!$D$31&lt;&gt;"Included Margin"),1,1/$R810),1))</f>
        <v>1.3991155712586796</v>
      </c>
      <c r="AF810" s="160">
        <f>IF(E810="","",IF(AND($B810&gt;=Input!$C$9,$C810=12,Summary!$D$31="Included Margin",$U810&gt;0),1/U810-1,IF($B810&gt;=Input!$C$9,0,Input!$C$45*IF(Summary!$D$27="Included Margin",1,0))))</f>
        <v>0</v>
      </c>
      <c r="AG810" s="160">
        <f>IF(E810="","",Input!$C$46*IF(Summary!$D$28="Included Margin",IF(AND($B810&gt;Input!$C$9,Summary!$D$31&lt;&gt;"Included Margin"),0,1),0))</f>
        <v>0.02</v>
      </c>
      <c r="AH810" s="158">
        <f>IF(E810="","",Input!$C$47*IF(Summary!$D$29="Included Margin",IF(AND($B810&gt;Input!$C$9,Summary!$D$31&lt;&gt;"Included Margin"),0,1),0))</f>
        <v>2.5000000000000001E-3</v>
      </c>
      <c r="AI810" s="154"/>
      <c r="AJ810" s="158">
        <f t="shared" si="522"/>
        <v>4.3610000000000003E-2</v>
      </c>
      <c r="AK810" s="155">
        <f t="shared" si="523"/>
        <v>3.5634888872855264E-3</v>
      </c>
      <c r="AL810" s="147">
        <f t="shared" si="524"/>
        <v>1</v>
      </c>
      <c r="AM810" s="147">
        <f t="shared" si="502"/>
        <v>1</v>
      </c>
      <c r="AN810" s="160">
        <f t="shared" si="525"/>
        <v>0</v>
      </c>
      <c r="AO810" s="161">
        <f t="shared" si="526"/>
        <v>0</v>
      </c>
      <c r="AP810" s="156">
        <f t="shared" si="503"/>
        <v>4.4406057558365504</v>
      </c>
      <c r="AQ810" s="152"/>
      <c r="AR810" s="162">
        <f t="shared" si="504"/>
        <v>99822.142452333035</v>
      </c>
      <c r="AS810" s="150">
        <f t="shared" si="527"/>
        <v>0</v>
      </c>
      <c r="AT810" s="163">
        <f t="shared" si="505"/>
        <v>0</v>
      </c>
      <c r="AU810" s="163">
        <f t="shared" si="506"/>
        <v>100000</v>
      </c>
      <c r="AV810" s="163">
        <f t="shared" si="528"/>
        <v>177.54065096964524</v>
      </c>
      <c r="AW810" s="163">
        <f t="shared" si="507"/>
        <v>99822.459349030352</v>
      </c>
      <c r="AX810" s="163">
        <f t="shared" si="508"/>
        <v>0</v>
      </c>
      <c r="AY810" s="165">
        <f t="shared" si="529"/>
        <v>99822.142452333035</v>
      </c>
      <c r="AZ810" s="164">
        <f>IF($E810="","",IF(OR(AND($D810=Input!$C$6,$C810=12),$AN810=1),0,-AS811+AT811+AU811-AV811-AW811-AX811+AZ811))</f>
        <v>99822.459349030352</v>
      </c>
      <c r="BA810" s="154">
        <f t="shared" si="509"/>
        <v>0.31689669731713366</v>
      </c>
      <c r="BC810" s="147">
        <f t="shared" si="530"/>
        <v>1.6659242137681768E-15</v>
      </c>
      <c r="BD810" s="164">
        <f>IF(AND($C809=12,$D809=Input!$C$6),0,IF($E810="","",AT810+(AU810+BD811)/(1+$AK810)*MIN((1-AM810-AN810),1)))</f>
        <v>0</v>
      </c>
      <c r="BE810" s="164">
        <f t="shared" si="510"/>
        <v>0</v>
      </c>
      <c r="BF810" s="164">
        <f t="shared" si="531"/>
        <v>99822.459349030352</v>
      </c>
      <c r="BG810" s="164">
        <f t="shared" si="511"/>
        <v>1.6629665210743917E-10</v>
      </c>
      <c r="BH810" s="152"/>
      <c r="BI810" s="162">
        <f t="shared" si="512"/>
        <v>56196.289462121909</v>
      </c>
      <c r="BJ810" s="150">
        <f t="shared" si="513"/>
        <v>0</v>
      </c>
      <c r="BK810" s="163">
        <f t="shared" si="535"/>
        <v>0</v>
      </c>
      <c r="BL810" s="163">
        <f t="shared" si="514"/>
        <v>9925.1066013443797</v>
      </c>
      <c r="BM810" s="163">
        <f t="shared" si="536"/>
        <v>201.00983937281609</v>
      </c>
      <c r="BN810" s="163">
        <f t="shared" si="515"/>
        <v>5120.6482459597219</v>
      </c>
      <c r="BO810" s="163">
        <f t="shared" si="516"/>
        <v>0</v>
      </c>
      <c r="BP810" s="164">
        <f t="shared" si="537"/>
        <v>51592.840946110075</v>
      </c>
      <c r="BQ810" s="164">
        <f>IF($E810="","",IF(AND($D810=Input!$C$6,$C810=12),0,-BJ811+BK811+BL811-BM811-BN811-BO811+BQ811))</f>
        <v>51592.879065562054</v>
      </c>
      <c r="BR810" s="161">
        <f t="shared" si="517"/>
        <v>0</v>
      </c>
      <c r="BT810" s="147">
        <f t="shared" si="518"/>
        <v>1.6659242137681768E-15</v>
      </c>
      <c r="BU810" s="164">
        <f>IF(AND($C809=12,$D809=Input!$C$6),0,IF($E810="","",BK810+(BL810+BU811)/(1+$AK810)*MIN((1-T810-U810),1)))</f>
        <v>82695.529824001249</v>
      </c>
      <c r="BV810" s="164">
        <f t="shared" si="519"/>
        <v>1.3776448550419209E-10</v>
      </c>
      <c r="BW810" s="164">
        <f t="shared" si="520"/>
        <v>51592.879065562054</v>
      </c>
      <c r="BX810" s="164">
        <f t="shared" si="521"/>
        <v>8.594982649333309E-11</v>
      </c>
    </row>
    <row r="811" spans="1:76" s="150" customFormat="1" x14ac:dyDescent="0.25">
      <c r="A811" s="150">
        <f t="shared" si="532"/>
        <v>807</v>
      </c>
      <c r="B811" s="150">
        <f t="shared" si="533"/>
        <v>68</v>
      </c>
      <c r="C811" s="150">
        <f t="shared" si="534"/>
        <v>3</v>
      </c>
      <c r="D811" s="150">
        <f>IF(E811="","",Input!$C$4+B811-1)</f>
        <v>112</v>
      </c>
      <c r="E811" s="150">
        <f>IF(OR(AND(C810=12,D810=Input!$C$6),E810=""),"",1)</f>
        <v>1</v>
      </c>
      <c r="F811" s="150">
        <f>IF(E811="","",Input!$C$8+B811-1)</f>
        <v>2085</v>
      </c>
      <c r="G811" s="151">
        <f>IF(E811="","",MAX(0,Input!$C$9-B811))</f>
        <v>0</v>
      </c>
      <c r="H811" s="152">
        <f>IF(E811="","",Input!$C$3)</f>
        <v>100000</v>
      </c>
      <c r="I811" s="153">
        <f>IF(E811="","",HLOOKUP($B811,Input!$C$13:$BT$14,2))</f>
        <v>1000</v>
      </c>
      <c r="J811" s="154"/>
      <c r="K811" s="155">
        <f>IF($E811="","",INDEX(Input!$C$16:$CP$16,1,$B811))</f>
        <v>3.3110000000000001E-2</v>
      </c>
      <c r="L811" s="155">
        <f>IF($E811="","",Input!$C$37)</f>
        <v>1.4999999999999999E-2</v>
      </c>
      <c r="M811" s="155">
        <f t="shared" si="497"/>
        <v>4.811E-2</v>
      </c>
      <c r="N811" s="155">
        <f t="shared" si="498"/>
        <v>3.9233882678277876E-3</v>
      </c>
      <c r="O811" s="147">
        <f>IF($E811="","",MIN(VLOOKUP(IF($B811&lt;=Input!$C$7,$B811,26),'Mortality Tables'!$A$41:$CW$67,IF($B811&lt;=Input!$C$7+1,Input!$C$4+2,$D811-Input!$C$7+2),0)*IF(B811&gt;20,Input!$C$22,1)/1000,1))</f>
        <v>1</v>
      </c>
      <c r="P811" s="147">
        <f>IF($E811="","",MIN(VLOOKUP(IF($B811&lt;=Input!$C$7,$B811,26),'Mortality Tables'!$A$12:$CW$37,IF($B811&lt;=Input!$C$7+1,Input!$C$4+2,$D811-Input!$C$7+2),0)*IF(B811&gt;20,Input!$C$22,1)/1000,1))</f>
        <v>1</v>
      </c>
      <c r="Q811" s="155">
        <f>IF($E811="","",Input!$C$21)</f>
        <v>5.0000000000000001E-3</v>
      </c>
      <c r="R811" s="159">
        <f>IF($E811="","",(1-Q811)^($F811-Input!$C$20))</f>
        <v>0.71473723868313099</v>
      </c>
      <c r="S811" s="147">
        <f t="shared" si="500"/>
        <v>0.71473723868313099</v>
      </c>
      <c r="T811" s="147">
        <f t="shared" si="501"/>
        <v>9.9251066013443801E-2</v>
      </c>
      <c r="U811" s="160">
        <f>IF($E811="","",IF($C811=12,INDEX(Input!$C$15:$CP$15,1,$B811),0))</f>
        <v>0</v>
      </c>
      <c r="V811" s="150">
        <f>IF(E811="","",IF(C811=1,IF($B811=1,Input!$C$33,Input!$C$34),0))</f>
        <v>0</v>
      </c>
      <c r="W811" s="156">
        <f>IF($E811="","",Input!$C$35)</f>
        <v>0.02</v>
      </c>
      <c r="X811" s="156">
        <f t="shared" si="499"/>
        <v>3.7688730417113687</v>
      </c>
      <c r="Y811" s="154"/>
      <c r="Z811" s="147">
        <f>IF($E811="","",VLOOKUP($D811,'Mortality Margins &amp; Grading'!$AB$5:$AF$125,3,0)*IF(Summary!$D$25="Included Margin",IF(AND($B811&gt;Input!$C$9,Summary!$D$31&lt;&gt;"Included Margin"),0,1),0))</f>
        <v>0.01</v>
      </c>
      <c r="AA811" s="147">
        <f>IF($E811="","",VLOOKUP($D811,'Mortality Margins &amp; Grading'!$AB$5:$AF$125,5,0)*IF(Summary!$D$25="Included Margin",IF(AND($B811&gt;Input!$C$9,Summary!$D$31&lt;&gt;"Included Margin"),0,1),0))</f>
        <v>5.2999999999999999E-2</v>
      </c>
      <c r="AB811" s="147">
        <f>IF($E811="","",IF(AND($B811&gt;Input!$C$9,Summary!$D$31&lt;&gt;"Included Margin"),1,IF(Summary!$D$25="Included Margin",VLOOKUP($B811,'Mortality Margins &amp; Grading'!$AI$5:$AR$125,MATCH('Mortality Margins &amp; Grading'!$AQ$4,'Mortality Margins &amp; Grading'!$AI$4:$AR$4,0),0),1)))</f>
        <v>0</v>
      </c>
      <c r="AC811" s="154"/>
      <c r="AD811" s="158">
        <f>IF(E811="","",Input!$C$48*IF(Summary!$D$30="Included Margin",IF(AND($B811&gt;Input!$C$9,Summary!$D$31&lt;&gt;"Included Margin"),0,1),0))</f>
        <v>-4.4999999999999997E-3</v>
      </c>
      <c r="AE811" s="159">
        <f>IF(E811="","",IF(Summary!$D$26="Included Margin",IF(AND($B811&gt;Input!$C$9,Summary!$D$31&lt;&gt;"Included Margin"),1,1/$R811),1))</f>
        <v>1.3991155712586796</v>
      </c>
      <c r="AF811" s="160">
        <f>IF(E811="","",IF(AND($B811&gt;=Input!$C$9,$C811=12,Summary!$D$31="Included Margin",$U811&gt;0),1/U811-1,IF($B811&gt;=Input!$C$9,0,Input!$C$45*IF(Summary!$D$27="Included Margin",1,0))))</f>
        <v>0</v>
      </c>
      <c r="AG811" s="160">
        <f>IF(E811="","",Input!$C$46*IF(Summary!$D$28="Included Margin",IF(AND($B811&gt;Input!$C$9,Summary!$D$31&lt;&gt;"Included Margin"),0,1),0))</f>
        <v>0.02</v>
      </c>
      <c r="AH811" s="158">
        <f>IF(E811="","",Input!$C$47*IF(Summary!$D$29="Included Margin",IF(AND($B811&gt;Input!$C$9,Summary!$D$31&lt;&gt;"Included Margin"),0,1),0))</f>
        <v>2.5000000000000001E-3</v>
      </c>
      <c r="AI811" s="154"/>
      <c r="AJ811" s="158">
        <f t="shared" si="522"/>
        <v>4.3610000000000003E-2</v>
      </c>
      <c r="AK811" s="155">
        <f t="shared" si="523"/>
        <v>3.5634888872855264E-3</v>
      </c>
      <c r="AL811" s="147">
        <f t="shared" si="524"/>
        <v>1</v>
      </c>
      <c r="AM811" s="147">
        <f t="shared" si="502"/>
        <v>1</v>
      </c>
      <c r="AN811" s="160">
        <f t="shared" si="525"/>
        <v>0</v>
      </c>
      <c r="AO811" s="161">
        <f t="shared" si="526"/>
        <v>0</v>
      </c>
      <c r="AP811" s="156">
        <f t="shared" si="503"/>
        <v>4.4406057558365504</v>
      </c>
      <c r="AQ811" s="152"/>
      <c r="AR811" s="162">
        <f t="shared" si="504"/>
        <v>99822.142452333035</v>
      </c>
      <c r="AS811" s="150">
        <f t="shared" si="527"/>
        <v>0</v>
      </c>
      <c r="AT811" s="163">
        <f t="shared" si="505"/>
        <v>0</v>
      </c>
      <c r="AU811" s="163">
        <f t="shared" si="506"/>
        <v>100000</v>
      </c>
      <c r="AV811" s="163">
        <f t="shared" si="528"/>
        <v>177.54065096964524</v>
      </c>
      <c r="AW811" s="163">
        <f t="shared" si="507"/>
        <v>99822.459349030352</v>
      </c>
      <c r="AX811" s="163">
        <f t="shared" si="508"/>
        <v>0</v>
      </c>
      <c r="AY811" s="164">
        <f t="shared" si="529"/>
        <v>99822.142452333035</v>
      </c>
      <c r="AZ811" s="164">
        <f>IF($E811="","",IF(OR(AND($D811=Input!$C$6,$C811=12),$AN811=1),0,-AS812+AT812+AU812-AV812-AW812-AX812+AZ812))</f>
        <v>99822.459349030352</v>
      </c>
      <c r="BA811" s="154">
        <f t="shared" si="509"/>
        <v>0.31689669731713366</v>
      </c>
      <c r="BC811" s="147">
        <f t="shared" si="530"/>
        <v>1.5005794596540771E-15</v>
      </c>
      <c r="BD811" s="164">
        <f>IF(AND($C810=12,$D810=Input!$C$6),0,IF($E811="","",AT811+(AU811+BD812)/(1+$AK811)*MIN((1-AM811-AN811),1)))</f>
        <v>0</v>
      </c>
      <c r="BE811" s="164">
        <f t="shared" si="510"/>
        <v>0</v>
      </c>
      <c r="BF811" s="164">
        <f t="shared" si="531"/>
        <v>99822.459349030352</v>
      </c>
      <c r="BG811" s="164">
        <f t="shared" si="511"/>
        <v>1.4979153211130905E-10</v>
      </c>
      <c r="BH811" s="152"/>
      <c r="BI811" s="162">
        <f t="shared" si="512"/>
        <v>51592.840946110067</v>
      </c>
      <c r="BJ811" s="150">
        <f t="shared" si="513"/>
        <v>0</v>
      </c>
      <c r="BK811" s="163">
        <f t="shared" si="535"/>
        <v>0</v>
      </c>
      <c r="BL811" s="163">
        <f t="shared" si="514"/>
        <v>9925.1066013443797</v>
      </c>
      <c r="BM811" s="163">
        <f t="shared" si="536"/>
        <v>182.94872347354601</v>
      </c>
      <c r="BN811" s="163">
        <f t="shared" si="515"/>
        <v>4611.4167162275735</v>
      </c>
      <c r="BO811" s="163">
        <f t="shared" si="516"/>
        <v>0</v>
      </c>
      <c r="BP811" s="164">
        <f t="shared" si="537"/>
        <v>46462.099784466802</v>
      </c>
      <c r="BQ811" s="164">
        <f>IF($E811="","",IF(AND($D811=Input!$C$6,$C811=12),0,-BJ812+BK812+BL812-BM812-BN812-BO812+BQ812))</f>
        <v>46462.137903918796</v>
      </c>
      <c r="BR811" s="161">
        <f t="shared" si="517"/>
        <v>0</v>
      </c>
      <c r="BT811" s="147">
        <f t="shared" si="518"/>
        <v>1.5005794596540771E-15</v>
      </c>
      <c r="BU811" s="164">
        <f>IF(AND($C810=12,$D810=Input!$C$6),0,IF($E811="","",BK811+(BL811+BU812)/(1+$AK811)*MIN((1-T811-U811),1)))</f>
        <v>82209.57299051169</v>
      </c>
      <c r="BV811" s="164">
        <f t="shared" si="519"/>
        <v>1.2336199661649444E-10</v>
      </c>
      <c r="BW811" s="164">
        <f t="shared" si="520"/>
        <v>46462.137903918796</v>
      </c>
      <c r="BX811" s="164">
        <f t="shared" si="521"/>
        <v>6.9720129790235685E-11</v>
      </c>
    </row>
    <row r="812" spans="1:76" s="150" customFormat="1" x14ac:dyDescent="0.25">
      <c r="A812" s="150">
        <f t="shared" si="532"/>
        <v>808</v>
      </c>
      <c r="B812" s="150">
        <f t="shared" si="533"/>
        <v>68</v>
      </c>
      <c r="C812" s="150">
        <f t="shared" si="534"/>
        <v>4</v>
      </c>
      <c r="D812" s="150">
        <f>IF(E812="","",Input!$C$4+B812-1)</f>
        <v>112</v>
      </c>
      <c r="E812" s="150">
        <f>IF(OR(AND(C811=12,D811=Input!$C$6),E811=""),"",1)</f>
        <v>1</v>
      </c>
      <c r="F812" s="150">
        <f>IF(E812="","",Input!$C$8+B812-1)</f>
        <v>2085</v>
      </c>
      <c r="G812" s="151">
        <f>IF(E812="","",MAX(0,Input!$C$9-B812))</f>
        <v>0</v>
      </c>
      <c r="H812" s="152">
        <f>IF(E812="","",Input!$C$3)</f>
        <v>100000</v>
      </c>
      <c r="I812" s="153">
        <f>IF(E812="","",HLOOKUP($B812,Input!$C$13:$BT$14,2))</f>
        <v>1000</v>
      </c>
      <c r="J812" s="154"/>
      <c r="K812" s="155">
        <f>IF($E812="","",INDEX(Input!$C$16:$CP$16,1,$B812))</f>
        <v>3.3110000000000001E-2</v>
      </c>
      <c r="L812" s="155">
        <f>IF($E812="","",Input!$C$37)</f>
        <v>1.4999999999999999E-2</v>
      </c>
      <c r="M812" s="155">
        <f t="shared" si="497"/>
        <v>4.811E-2</v>
      </c>
      <c r="N812" s="155">
        <f t="shared" si="498"/>
        <v>3.9233882678277876E-3</v>
      </c>
      <c r="O812" s="147">
        <f>IF($E812="","",MIN(VLOOKUP(IF($B812&lt;=Input!$C$7,$B812,26),'Mortality Tables'!$A$41:$CW$67,IF($B812&lt;=Input!$C$7+1,Input!$C$4+2,$D812-Input!$C$7+2),0)*IF(B812&gt;20,Input!$C$22,1)/1000,1))</f>
        <v>1</v>
      </c>
      <c r="P812" s="147">
        <f>IF($E812="","",MIN(VLOOKUP(IF($B812&lt;=Input!$C$7,$B812,26),'Mortality Tables'!$A$12:$CW$37,IF($B812&lt;=Input!$C$7+1,Input!$C$4+2,$D812-Input!$C$7+2),0)*IF(B812&gt;20,Input!$C$22,1)/1000,1))</f>
        <v>1</v>
      </c>
      <c r="Q812" s="155">
        <f>IF($E812="","",Input!$C$21)</f>
        <v>5.0000000000000001E-3</v>
      </c>
      <c r="R812" s="159">
        <f>IF($E812="","",(1-Q812)^($F812-Input!$C$20))</f>
        <v>0.71473723868313099</v>
      </c>
      <c r="S812" s="147">
        <f t="shared" si="500"/>
        <v>0.71473723868313099</v>
      </c>
      <c r="T812" s="147">
        <f t="shared" si="501"/>
        <v>9.9251066013443801E-2</v>
      </c>
      <c r="U812" s="160">
        <f>IF($E812="","",IF($C812=12,INDEX(Input!$C$15:$CP$15,1,$B812),0))</f>
        <v>0</v>
      </c>
      <c r="V812" s="150">
        <f>IF(E812="","",IF(C812=1,IF($B812=1,Input!$C$33,Input!$C$34),0))</f>
        <v>0</v>
      </c>
      <c r="W812" s="156">
        <f>IF($E812="","",Input!$C$35)</f>
        <v>0.02</v>
      </c>
      <c r="X812" s="156">
        <f t="shared" si="499"/>
        <v>3.7688730417113687</v>
      </c>
      <c r="Y812" s="154"/>
      <c r="Z812" s="147">
        <f>IF($E812="","",VLOOKUP($D812,'Mortality Margins &amp; Grading'!$AB$5:$AF$125,3,0)*IF(Summary!$D$25="Included Margin",IF(AND($B812&gt;Input!$C$9,Summary!$D$31&lt;&gt;"Included Margin"),0,1),0))</f>
        <v>0.01</v>
      </c>
      <c r="AA812" s="147">
        <f>IF($E812="","",VLOOKUP($D812,'Mortality Margins &amp; Grading'!$AB$5:$AF$125,5,0)*IF(Summary!$D$25="Included Margin",IF(AND($B812&gt;Input!$C$9,Summary!$D$31&lt;&gt;"Included Margin"),0,1),0))</f>
        <v>5.2999999999999999E-2</v>
      </c>
      <c r="AB812" s="147">
        <f>IF($E812="","",IF(AND($B812&gt;Input!$C$9,Summary!$D$31&lt;&gt;"Included Margin"),1,IF(Summary!$D$25="Included Margin",VLOOKUP($B812,'Mortality Margins &amp; Grading'!$AI$5:$AR$125,MATCH('Mortality Margins &amp; Grading'!$AQ$4,'Mortality Margins &amp; Grading'!$AI$4:$AR$4,0),0),1)))</f>
        <v>0</v>
      </c>
      <c r="AC812" s="154"/>
      <c r="AD812" s="158">
        <f>IF(E812="","",Input!$C$48*IF(Summary!$D$30="Included Margin",IF(AND($B812&gt;Input!$C$9,Summary!$D$31&lt;&gt;"Included Margin"),0,1),0))</f>
        <v>-4.4999999999999997E-3</v>
      </c>
      <c r="AE812" s="159">
        <f>IF(E812="","",IF(Summary!$D$26="Included Margin",IF(AND($B812&gt;Input!$C$9,Summary!$D$31&lt;&gt;"Included Margin"),1,1/$R812),1))</f>
        <v>1.3991155712586796</v>
      </c>
      <c r="AF812" s="160">
        <f>IF(E812="","",IF(AND($B812&gt;=Input!$C$9,$C812=12,Summary!$D$31="Included Margin",$U812&gt;0),1/U812-1,IF($B812&gt;=Input!$C$9,0,Input!$C$45*IF(Summary!$D$27="Included Margin",1,0))))</f>
        <v>0</v>
      </c>
      <c r="AG812" s="160">
        <f>IF(E812="","",Input!$C$46*IF(Summary!$D$28="Included Margin",IF(AND($B812&gt;Input!$C$9,Summary!$D$31&lt;&gt;"Included Margin"),0,1),0))</f>
        <v>0.02</v>
      </c>
      <c r="AH812" s="158">
        <f>IF(E812="","",Input!$C$47*IF(Summary!$D$29="Included Margin",IF(AND($B812&gt;Input!$C$9,Summary!$D$31&lt;&gt;"Included Margin"),0,1),0))</f>
        <v>2.5000000000000001E-3</v>
      </c>
      <c r="AI812" s="154"/>
      <c r="AJ812" s="158">
        <f t="shared" si="522"/>
        <v>4.3610000000000003E-2</v>
      </c>
      <c r="AK812" s="155">
        <f t="shared" si="523"/>
        <v>3.5634888872855264E-3</v>
      </c>
      <c r="AL812" s="147">
        <f t="shared" si="524"/>
        <v>1</v>
      </c>
      <c r="AM812" s="147">
        <f t="shared" si="502"/>
        <v>1</v>
      </c>
      <c r="AN812" s="160">
        <f t="shared" si="525"/>
        <v>0</v>
      </c>
      <c r="AO812" s="161">
        <f t="shared" si="526"/>
        <v>0</v>
      </c>
      <c r="AP812" s="156">
        <f t="shared" si="503"/>
        <v>4.4406057558365504</v>
      </c>
      <c r="AQ812" s="152"/>
      <c r="AR812" s="162">
        <f t="shared" si="504"/>
        <v>99822.142452333035</v>
      </c>
      <c r="AS812" s="150">
        <f t="shared" si="527"/>
        <v>0</v>
      </c>
      <c r="AT812" s="163">
        <f t="shared" si="505"/>
        <v>0</v>
      </c>
      <c r="AU812" s="163">
        <f t="shared" si="506"/>
        <v>100000</v>
      </c>
      <c r="AV812" s="163">
        <f t="shared" si="528"/>
        <v>177.54065096964524</v>
      </c>
      <c r="AW812" s="163">
        <f t="shared" si="507"/>
        <v>99822.459349030352</v>
      </c>
      <c r="AX812" s="163">
        <f t="shared" si="508"/>
        <v>0</v>
      </c>
      <c r="AY812" s="165">
        <f t="shared" si="529"/>
        <v>99822.142452333035</v>
      </c>
      <c r="AZ812" s="164">
        <f>IF($E812="","",IF(OR(AND($D812=Input!$C$6,$C812=12),$AN812=1),0,-AS813+AT813+AU813-AV813-AW813-AX813+AZ813))</f>
        <v>99822.459349030352</v>
      </c>
      <c r="BA812" s="154">
        <f t="shared" si="509"/>
        <v>0.31689669731713366</v>
      </c>
      <c r="BC812" s="147">
        <f t="shared" si="530"/>
        <v>1.3516453486455326E-15</v>
      </c>
      <c r="BD812" s="164">
        <f>IF(AND($C811=12,$D811=Input!$C$6),0,IF($E812="","",AT812+(AU812+BD813)/(1+$AK812)*MIN((1-AM812-AN812),1)))</f>
        <v>0</v>
      </c>
      <c r="BE812" s="164">
        <f t="shared" si="510"/>
        <v>0</v>
      </c>
      <c r="BF812" s="164">
        <f t="shared" si="531"/>
        <v>99822.459349030352</v>
      </c>
      <c r="BG812" s="164">
        <f t="shared" si="511"/>
        <v>1.3492456286947464E-10</v>
      </c>
      <c r="BH812" s="152"/>
      <c r="BI812" s="162">
        <f t="shared" si="512"/>
        <v>46462.099784466809</v>
      </c>
      <c r="BJ812" s="150">
        <f t="shared" si="513"/>
        <v>0</v>
      </c>
      <c r="BK812" s="163">
        <f t="shared" si="535"/>
        <v>0</v>
      </c>
      <c r="BL812" s="163">
        <f t="shared" si="514"/>
        <v>9925.1066013443797</v>
      </c>
      <c r="BM812" s="163">
        <f t="shared" si="536"/>
        <v>162.81883379469372</v>
      </c>
      <c r="BN812" s="163">
        <f t="shared" si="515"/>
        <v>4043.8562968342403</v>
      </c>
      <c r="BO812" s="163">
        <f t="shared" si="516"/>
        <v>0</v>
      </c>
      <c r="BP812" s="164">
        <f t="shared" si="537"/>
        <v>40743.668313751361</v>
      </c>
      <c r="BQ812" s="164">
        <f>IF($E812="","",IF(AND($D812=Input!$C$6,$C812=12),0,-BJ813+BK813+BL813-BM813-BN813-BO813+BQ813))</f>
        <v>40743.706433203348</v>
      </c>
      <c r="BR812" s="161">
        <f t="shared" si="517"/>
        <v>0</v>
      </c>
      <c r="BT812" s="147">
        <f t="shared" si="518"/>
        <v>1.3516453486455326E-15</v>
      </c>
      <c r="BU812" s="164">
        <f>IF(AND($C811=12,$D811=Input!$C$6),0,IF($E812="","",BK812+(BL812+BU813)/(1+$AK812)*MIN((1-T812-U812),1)))</f>
        <v>81668.147386923156</v>
      </c>
      <c r="BV812" s="164">
        <f t="shared" si="519"/>
        <v>1.1038637154803249E-10</v>
      </c>
      <c r="BW812" s="164">
        <f t="shared" si="520"/>
        <v>40743.706433203348</v>
      </c>
      <c r="BX812" s="164">
        <f t="shared" si="521"/>
        <v>5.507104128701837E-11</v>
      </c>
    </row>
    <row r="813" spans="1:76" s="150" customFormat="1" x14ac:dyDescent="0.25">
      <c r="A813" s="150">
        <f t="shared" si="532"/>
        <v>809</v>
      </c>
      <c r="B813" s="150">
        <f t="shared" si="533"/>
        <v>68</v>
      </c>
      <c r="C813" s="150">
        <f t="shared" si="534"/>
        <v>5</v>
      </c>
      <c r="D813" s="150">
        <f>IF(E813="","",Input!$C$4+B813-1)</f>
        <v>112</v>
      </c>
      <c r="E813" s="150">
        <f>IF(OR(AND(C812=12,D812=Input!$C$6),E812=""),"",1)</f>
        <v>1</v>
      </c>
      <c r="F813" s="150">
        <f>IF(E813="","",Input!$C$8+B813-1)</f>
        <v>2085</v>
      </c>
      <c r="G813" s="151">
        <f>IF(E813="","",MAX(0,Input!$C$9-B813))</f>
        <v>0</v>
      </c>
      <c r="H813" s="152">
        <f>IF(E813="","",Input!$C$3)</f>
        <v>100000</v>
      </c>
      <c r="I813" s="153">
        <f>IF(E813="","",HLOOKUP($B813,Input!$C$13:$BT$14,2))</f>
        <v>1000</v>
      </c>
      <c r="J813" s="154"/>
      <c r="K813" s="155">
        <f>IF($E813="","",INDEX(Input!$C$16:$CP$16,1,$B813))</f>
        <v>3.3110000000000001E-2</v>
      </c>
      <c r="L813" s="155">
        <f>IF($E813="","",Input!$C$37)</f>
        <v>1.4999999999999999E-2</v>
      </c>
      <c r="M813" s="155">
        <f t="shared" si="497"/>
        <v>4.811E-2</v>
      </c>
      <c r="N813" s="155">
        <f t="shared" si="498"/>
        <v>3.9233882678277876E-3</v>
      </c>
      <c r="O813" s="147">
        <f>IF($E813="","",MIN(VLOOKUP(IF($B813&lt;=Input!$C$7,$B813,26),'Mortality Tables'!$A$41:$CW$67,IF($B813&lt;=Input!$C$7+1,Input!$C$4+2,$D813-Input!$C$7+2),0)*IF(B813&gt;20,Input!$C$22,1)/1000,1))</f>
        <v>1</v>
      </c>
      <c r="P813" s="147">
        <f>IF($E813="","",MIN(VLOOKUP(IF($B813&lt;=Input!$C$7,$B813,26),'Mortality Tables'!$A$12:$CW$37,IF($B813&lt;=Input!$C$7+1,Input!$C$4+2,$D813-Input!$C$7+2),0)*IF(B813&gt;20,Input!$C$22,1)/1000,1))</f>
        <v>1</v>
      </c>
      <c r="Q813" s="155">
        <f>IF($E813="","",Input!$C$21)</f>
        <v>5.0000000000000001E-3</v>
      </c>
      <c r="R813" s="159">
        <f>IF($E813="","",(1-Q813)^($F813-Input!$C$20))</f>
        <v>0.71473723868313099</v>
      </c>
      <c r="S813" s="147">
        <f t="shared" si="500"/>
        <v>0.71473723868313099</v>
      </c>
      <c r="T813" s="147">
        <f t="shared" si="501"/>
        <v>9.9251066013443801E-2</v>
      </c>
      <c r="U813" s="160">
        <f>IF($E813="","",IF($C813=12,INDEX(Input!$C$15:$CP$15,1,$B813),0))</f>
        <v>0</v>
      </c>
      <c r="V813" s="150">
        <f>IF(E813="","",IF(C813=1,IF($B813=1,Input!$C$33,Input!$C$34),0))</f>
        <v>0</v>
      </c>
      <c r="W813" s="156">
        <f>IF($E813="","",Input!$C$35)</f>
        <v>0.02</v>
      </c>
      <c r="X813" s="156">
        <f t="shared" si="499"/>
        <v>3.7688730417113687</v>
      </c>
      <c r="Y813" s="154"/>
      <c r="Z813" s="147">
        <f>IF($E813="","",VLOOKUP($D813,'Mortality Margins &amp; Grading'!$AB$5:$AF$125,3,0)*IF(Summary!$D$25="Included Margin",IF(AND($B813&gt;Input!$C$9,Summary!$D$31&lt;&gt;"Included Margin"),0,1),0))</f>
        <v>0.01</v>
      </c>
      <c r="AA813" s="147">
        <f>IF($E813="","",VLOOKUP($D813,'Mortality Margins &amp; Grading'!$AB$5:$AF$125,5,0)*IF(Summary!$D$25="Included Margin",IF(AND($B813&gt;Input!$C$9,Summary!$D$31&lt;&gt;"Included Margin"),0,1),0))</f>
        <v>5.2999999999999999E-2</v>
      </c>
      <c r="AB813" s="147">
        <f>IF($E813="","",IF(AND($B813&gt;Input!$C$9,Summary!$D$31&lt;&gt;"Included Margin"),1,IF(Summary!$D$25="Included Margin",VLOOKUP($B813,'Mortality Margins &amp; Grading'!$AI$5:$AR$125,MATCH('Mortality Margins &amp; Grading'!$AQ$4,'Mortality Margins &amp; Grading'!$AI$4:$AR$4,0),0),1)))</f>
        <v>0</v>
      </c>
      <c r="AC813" s="154"/>
      <c r="AD813" s="158">
        <f>IF(E813="","",Input!$C$48*IF(Summary!$D$30="Included Margin",IF(AND($B813&gt;Input!$C$9,Summary!$D$31&lt;&gt;"Included Margin"),0,1),0))</f>
        <v>-4.4999999999999997E-3</v>
      </c>
      <c r="AE813" s="159">
        <f>IF(E813="","",IF(Summary!$D$26="Included Margin",IF(AND($B813&gt;Input!$C$9,Summary!$D$31&lt;&gt;"Included Margin"),1,1/$R813),1))</f>
        <v>1.3991155712586796</v>
      </c>
      <c r="AF813" s="160">
        <f>IF(E813="","",IF(AND($B813&gt;=Input!$C$9,$C813=12,Summary!$D$31="Included Margin",$U813&gt;0),1/U813-1,IF($B813&gt;=Input!$C$9,0,Input!$C$45*IF(Summary!$D$27="Included Margin",1,0))))</f>
        <v>0</v>
      </c>
      <c r="AG813" s="160">
        <f>IF(E813="","",Input!$C$46*IF(Summary!$D$28="Included Margin",IF(AND($B813&gt;Input!$C$9,Summary!$D$31&lt;&gt;"Included Margin"),0,1),0))</f>
        <v>0.02</v>
      </c>
      <c r="AH813" s="158">
        <f>IF(E813="","",Input!$C$47*IF(Summary!$D$29="Included Margin",IF(AND($B813&gt;Input!$C$9,Summary!$D$31&lt;&gt;"Included Margin"),0,1),0))</f>
        <v>2.5000000000000001E-3</v>
      </c>
      <c r="AI813" s="154"/>
      <c r="AJ813" s="158">
        <f t="shared" si="522"/>
        <v>4.3610000000000003E-2</v>
      </c>
      <c r="AK813" s="155">
        <f t="shared" si="523"/>
        <v>3.5634888872855264E-3</v>
      </c>
      <c r="AL813" s="147">
        <f t="shared" si="524"/>
        <v>1</v>
      </c>
      <c r="AM813" s="147">
        <f t="shared" si="502"/>
        <v>1</v>
      </c>
      <c r="AN813" s="160">
        <f t="shared" si="525"/>
        <v>0</v>
      </c>
      <c r="AO813" s="161">
        <f t="shared" si="526"/>
        <v>0</v>
      </c>
      <c r="AP813" s="156">
        <f t="shared" si="503"/>
        <v>4.4406057558365504</v>
      </c>
      <c r="AQ813" s="152"/>
      <c r="AR813" s="162">
        <f t="shared" si="504"/>
        <v>99822.142452333035</v>
      </c>
      <c r="AS813" s="150">
        <f t="shared" si="527"/>
        <v>0</v>
      </c>
      <c r="AT813" s="163">
        <f t="shared" si="505"/>
        <v>0</v>
      </c>
      <c r="AU813" s="163">
        <f t="shared" si="506"/>
        <v>100000</v>
      </c>
      <c r="AV813" s="163">
        <f t="shared" si="528"/>
        <v>177.54065096964524</v>
      </c>
      <c r="AW813" s="163">
        <f t="shared" si="507"/>
        <v>99822.459349030352</v>
      </c>
      <c r="AX813" s="163">
        <f t="shared" si="508"/>
        <v>0</v>
      </c>
      <c r="AY813" s="164">
        <f t="shared" si="529"/>
        <v>99822.142452333035</v>
      </c>
      <c r="AZ813" s="164">
        <f>IF($E813="","",IF(OR(AND($D813=Input!$C$6,$C813=12),$AN813=1),0,-AS814+AT814+AU814-AV814-AW814-AX814+AZ814))</f>
        <v>99822.459349030352</v>
      </c>
      <c r="BA813" s="154">
        <f t="shared" si="509"/>
        <v>0.31689669731713366</v>
      </c>
      <c r="BC813" s="147">
        <f t="shared" si="530"/>
        <v>1.2174931069203505E-15</v>
      </c>
      <c r="BD813" s="164">
        <f>IF(AND($C812=12,$D812=Input!$C$6),0,IF($E813="","",AT813+(AU813+BD814)/(1+$AK813)*MIN((1-AM813-AN813),1)))</f>
        <v>0</v>
      </c>
      <c r="BE813" s="164">
        <f t="shared" si="510"/>
        <v>0</v>
      </c>
      <c r="BF813" s="164">
        <f t="shared" si="531"/>
        <v>99822.459349030352</v>
      </c>
      <c r="BG813" s="164">
        <f t="shared" si="511"/>
        <v>1.2153315617328137E-10</v>
      </c>
      <c r="BH813" s="152"/>
      <c r="BI813" s="162">
        <f t="shared" si="512"/>
        <v>40743.668313751361</v>
      </c>
      <c r="BJ813" s="150">
        <f t="shared" si="513"/>
        <v>0</v>
      </c>
      <c r="BK813" s="163">
        <f t="shared" si="535"/>
        <v>0</v>
      </c>
      <c r="BL813" s="163">
        <f t="shared" si="514"/>
        <v>9925.1066013443797</v>
      </c>
      <c r="BM813" s="163">
        <f t="shared" si="536"/>
        <v>140.38320685211153</v>
      </c>
      <c r="BN813" s="163">
        <f t="shared" si="515"/>
        <v>3411.2858237699124</v>
      </c>
      <c r="BO813" s="163">
        <f t="shared" si="516"/>
        <v>0</v>
      </c>
      <c r="BP813" s="164">
        <f t="shared" si="537"/>
        <v>34370.230743029009</v>
      </c>
      <c r="BQ813" s="164">
        <f>IF($E813="","",IF(AND($D813=Input!$C$6,$C813=12),0,-BJ814+BK814+BL814-BM814-BN814-BO814+BQ814))</f>
        <v>34370.268862480989</v>
      </c>
      <c r="BR813" s="161">
        <f t="shared" si="517"/>
        <v>0</v>
      </c>
      <c r="BT813" s="147">
        <f t="shared" si="518"/>
        <v>1.2174931069203505E-15</v>
      </c>
      <c r="BU813" s="164">
        <f>IF(AND($C812=12,$D812=Input!$C$6),0,IF($E813="","",BK813+(BL813+BU814)/(1+$AK813)*MIN((1-T813-U813),1)))</f>
        <v>81064.921618666704</v>
      </c>
      <c r="BV813" s="164">
        <f t="shared" si="519"/>
        <v>9.8695983283765221E-11</v>
      </c>
      <c r="BW813" s="164">
        <f t="shared" si="520"/>
        <v>34370.268862480989</v>
      </c>
      <c r="BX813" s="164">
        <f t="shared" si="521"/>
        <v>4.1845565423069759E-11</v>
      </c>
    </row>
    <row r="814" spans="1:76" s="150" customFormat="1" x14ac:dyDescent="0.25">
      <c r="A814" s="150">
        <f t="shared" si="532"/>
        <v>810</v>
      </c>
      <c r="B814" s="150">
        <f t="shared" si="533"/>
        <v>68</v>
      </c>
      <c r="C814" s="150">
        <f t="shared" si="534"/>
        <v>6</v>
      </c>
      <c r="D814" s="150">
        <f>IF(E814="","",Input!$C$4+B814-1)</f>
        <v>112</v>
      </c>
      <c r="E814" s="150">
        <f>IF(OR(AND(C813=12,D813=Input!$C$6),E813=""),"",1)</f>
        <v>1</v>
      </c>
      <c r="F814" s="150">
        <f>IF(E814="","",Input!$C$8+B814-1)</f>
        <v>2085</v>
      </c>
      <c r="G814" s="151">
        <f>IF(E814="","",MAX(0,Input!$C$9-B814))</f>
        <v>0</v>
      </c>
      <c r="H814" s="152">
        <f>IF(E814="","",Input!$C$3)</f>
        <v>100000</v>
      </c>
      <c r="I814" s="153">
        <f>IF(E814="","",HLOOKUP($B814,Input!$C$13:$BT$14,2))</f>
        <v>1000</v>
      </c>
      <c r="J814" s="154"/>
      <c r="K814" s="155">
        <f>IF($E814="","",INDEX(Input!$C$16:$CP$16,1,$B814))</f>
        <v>3.3110000000000001E-2</v>
      </c>
      <c r="L814" s="155">
        <f>IF($E814="","",Input!$C$37)</f>
        <v>1.4999999999999999E-2</v>
      </c>
      <c r="M814" s="155">
        <f t="shared" si="497"/>
        <v>4.811E-2</v>
      </c>
      <c r="N814" s="155">
        <f t="shared" si="498"/>
        <v>3.9233882678277876E-3</v>
      </c>
      <c r="O814" s="147">
        <f>IF($E814="","",MIN(VLOOKUP(IF($B814&lt;=Input!$C$7,$B814,26),'Mortality Tables'!$A$41:$CW$67,IF($B814&lt;=Input!$C$7+1,Input!$C$4+2,$D814-Input!$C$7+2),0)*IF(B814&gt;20,Input!$C$22,1)/1000,1))</f>
        <v>1</v>
      </c>
      <c r="P814" s="147">
        <f>IF($E814="","",MIN(VLOOKUP(IF($B814&lt;=Input!$C$7,$B814,26),'Mortality Tables'!$A$12:$CW$37,IF($B814&lt;=Input!$C$7+1,Input!$C$4+2,$D814-Input!$C$7+2),0)*IF(B814&gt;20,Input!$C$22,1)/1000,1))</f>
        <v>1</v>
      </c>
      <c r="Q814" s="155">
        <f>IF($E814="","",Input!$C$21)</f>
        <v>5.0000000000000001E-3</v>
      </c>
      <c r="R814" s="159">
        <f>IF($E814="","",(1-Q814)^($F814-Input!$C$20))</f>
        <v>0.71473723868313099</v>
      </c>
      <c r="S814" s="147">
        <f t="shared" si="500"/>
        <v>0.71473723868313099</v>
      </c>
      <c r="T814" s="147">
        <f t="shared" si="501"/>
        <v>9.9251066013443801E-2</v>
      </c>
      <c r="U814" s="160">
        <f>IF($E814="","",IF($C814=12,INDEX(Input!$C$15:$CP$15,1,$B814),0))</f>
        <v>0</v>
      </c>
      <c r="V814" s="150">
        <f>IF(E814="","",IF(C814=1,IF($B814=1,Input!$C$33,Input!$C$34),0))</f>
        <v>0</v>
      </c>
      <c r="W814" s="156">
        <f>IF($E814="","",Input!$C$35)</f>
        <v>0.02</v>
      </c>
      <c r="X814" s="156">
        <f t="shared" si="499"/>
        <v>3.7688730417113687</v>
      </c>
      <c r="Y814" s="154"/>
      <c r="Z814" s="147">
        <f>IF($E814="","",VLOOKUP($D814,'Mortality Margins &amp; Grading'!$AB$5:$AF$125,3,0)*IF(Summary!$D$25="Included Margin",IF(AND($B814&gt;Input!$C$9,Summary!$D$31&lt;&gt;"Included Margin"),0,1),0))</f>
        <v>0.01</v>
      </c>
      <c r="AA814" s="147">
        <f>IF($E814="","",VLOOKUP($D814,'Mortality Margins &amp; Grading'!$AB$5:$AF$125,5,0)*IF(Summary!$D$25="Included Margin",IF(AND($B814&gt;Input!$C$9,Summary!$D$31&lt;&gt;"Included Margin"),0,1),0))</f>
        <v>5.2999999999999999E-2</v>
      </c>
      <c r="AB814" s="147">
        <f>IF($E814="","",IF(AND($B814&gt;Input!$C$9,Summary!$D$31&lt;&gt;"Included Margin"),1,IF(Summary!$D$25="Included Margin",VLOOKUP($B814,'Mortality Margins &amp; Grading'!$AI$5:$AR$125,MATCH('Mortality Margins &amp; Grading'!$AQ$4,'Mortality Margins &amp; Grading'!$AI$4:$AR$4,0),0),1)))</f>
        <v>0</v>
      </c>
      <c r="AC814" s="154"/>
      <c r="AD814" s="158">
        <f>IF(E814="","",Input!$C$48*IF(Summary!$D$30="Included Margin",IF(AND($B814&gt;Input!$C$9,Summary!$D$31&lt;&gt;"Included Margin"),0,1),0))</f>
        <v>-4.4999999999999997E-3</v>
      </c>
      <c r="AE814" s="159">
        <f>IF(E814="","",IF(Summary!$D$26="Included Margin",IF(AND($B814&gt;Input!$C$9,Summary!$D$31&lt;&gt;"Included Margin"),1,1/$R814),1))</f>
        <v>1.3991155712586796</v>
      </c>
      <c r="AF814" s="160">
        <f>IF(E814="","",IF(AND($B814&gt;=Input!$C$9,$C814=12,Summary!$D$31="Included Margin",$U814&gt;0),1/U814-1,IF($B814&gt;=Input!$C$9,0,Input!$C$45*IF(Summary!$D$27="Included Margin",1,0))))</f>
        <v>0</v>
      </c>
      <c r="AG814" s="160">
        <f>IF(E814="","",Input!$C$46*IF(Summary!$D$28="Included Margin",IF(AND($B814&gt;Input!$C$9,Summary!$D$31&lt;&gt;"Included Margin"),0,1),0))</f>
        <v>0.02</v>
      </c>
      <c r="AH814" s="158">
        <f>IF(E814="","",Input!$C$47*IF(Summary!$D$29="Included Margin",IF(AND($B814&gt;Input!$C$9,Summary!$D$31&lt;&gt;"Included Margin"),0,1),0))</f>
        <v>2.5000000000000001E-3</v>
      </c>
      <c r="AI814" s="154"/>
      <c r="AJ814" s="158">
        <f t="shared" si="522"/>
        <v>4.3610000000000003E-2</v>
      </c>
      <c r="AK814" s="155">
        <f t="shared" si="523"/>
        <v>3.5634888872855264E-3</v>
      </c>
      <c r="AL814" s="147">
        <f t="shared" si="524"/>
        <v>1</v>
      </c>
      <c r="AM814" s="147">
        <f t="shared" si="502"/>
        <v>1</v>
      </c>
      <c r="AN814" s="160">
        <f t="shared" si="525"/>
        <v>0</v>
      </c>
      <c r="AO814" s="161">
        <f t="shared" si="526"/>
        <v>0</v>
      </c>
      <c r="AP814" s="156">
        <f t="shared" si="503"/>
        <v>4.4406057558365504</v>
      </c>
      <c r="AQ814" s="152"/>
      <c r="AR814" s="162">
        <f t="shared" si="504"/>
        <v>99822.142452333035</v>
      </c>
      <c r="AS814" s="150">
        <f t="shared" si="527"/>
        <v>0</v>
      </c>
      <c r="AT814" s="163">
        <f t="shared" si="505"/>
        <v>0</v>
      </c>
      <c r="AU814" s="163">
        <f t="shared" si="506"/>
        <v>100000</v>
      </c>
      <c r="AV814" s="163">
        <f t="shared" si="528"/>
        <v>177.54065096964524</v>
      </c>
      <c r="AW814" s="163">
        <f t="shared" si="507"/>
        <v>99822.459349030352</v>
      </c>
      <c r="AX814" s="163">
        <f t="shared" si="508"/>
        <v>0</v>
      </c>
      <c r="AY814" s="165">
        <f t="shared" si="529"/>
        <v>99822.142452333035</v>
      </c>
      <c r="AZ814" s="164">
        <f>IF($E814="","",IF(OR(AND($D814=Input!$C$6,$C814=12),$AN814=1),0,-AS815+AT815+AU815-AV815-AW815-AX815+AZ815))</f>
        <v>99822.459349030352</v>
      </c>
      <c r="BA814" s="154">
        <f t="shared" si="509"/>
        <v>0.31689669731713366</v>
      </c>
      <c r="BC814" s="147">
        <f t="shared" si="530"/>
        <v>1.0966556181944861E-15</v>
      </c>
      <c r="BD814" s="164">
        <f>IF(AND($C813=12,$D813=Input!$C$6),0,IF($E814="","",AT814+(AU814+BD815)/(1+$AK814)*MIN((1-AM814-AN814),1)))</f>
        <v>0</v>
      </c>
      <c r="BE814" s="164">
        <f t="shared" si="510"/>
        <v>0</v>
      </c>
      <c r="BF814" s="164">
        <f t="shared" si="531"/>
        <v>99822.459349030352</v>
      </c>
      <c r="BG814" s="164">
        <f t="shared" si="511"/>
        <v>1.0947086086710484E-10</v>
      </c>
      <c r="BH814" s="152"/>
      <c r="BI814" s="162">
        <f t="shared" si="512"/>
        <v>34370.230743029009</v>
      </c>
      <c r="BJ814" s="150">
        <f t="shared" si="513"/>
        <v>0</v>
      </c>
      <c r="BK814" s="163">
        <f t="shared" si="535"/>
        <v>0</v>
      </c>
      <c r="BL814" s="163">
        <f t="shared" si="514"/>
        <v>9925.1066013443797</v>
      </c>
      <c r="BM814" s="163">
        <f t="shared" si="536"/>
        <v>115.37773666140663</v>
      </c>
      <c r="BN814" s="163">
        <f t="shared" si="515"/>
        <v>2706.2588526845375</v>
      </c>
      <c r="BO814" s="163">
        <f t="shared" si="516"/>
        <v>0</v>
      </c>
      <c r="BP814" s="164">
        <f t="shared" si="537"/>
        <v>27266.760731030576</v>
      </c>
      <c r="BQ814" s="164">
        <f>IF($E814="","",IF(AND($D814=Input!$C$6,$C814=12),0,-BJ815+BK815+BL815-BM815-BN815-BO815+BQ815))</f>
        <v>27266.798850482555</v>
      </c>
      <c r="BR814" s="161">
        <f t="shared" si="517"/>
        <v>0</v>
      </c>
      <c r="BT814" s="147">
        <f t="shared" si="518"/>
        <v>1.0966556181944861E-15</v>
      </c>
      <c r="BU814" s="164">
        <f>IF(AND($C813=12,$D813=Input!$C$6),0,IF($E814="","",BK814+(BL814+BU815)/(1+$AK814)*MIN((1-T814-U814),1)))</f>
        <v>80392.841604207104</v>
      </c>
      <c r="BV814" s="164">
        <f t="shared" si="519"/>
        <v>8.8163261407873142E-11</v>
      </c>
      <c r="BW814" s="164">
        <f t="shared" si="520"/>
        <v>27266.798850482555</v>
      </c>
      <c r="BX814" s="164">
        <f t="shared" si="521"/>
        <v>2.990228814956065E-11</v>
      </c>
    </row>
    <row r="815" spans="1:76" s="150" customFormat="1" x14ac:dyDescent="0.25">
      <c r="A815" s="150">
        <f t="shared" si="532"/>
        <v>811</v>
      </c>
      <c r="B815" s="150">
        <f t="shared" si="533"/>
        <v>68</v>
      </c>
      <c r="C815" s="150">
        <f t="shared" si="534"/>
        <v>7</v>
      </c>
      <c r="D815" s="150">
        <f>IF(E815="","",Input!$C$4+B815-1)</f>
        <v>112</v>
      </c>
      <c r="E815" s="150">
        <f>IF(OR(AND(C814=12,D814=Input!$C$6),E814=""),"",1)</f>
        <v>1</v>
      </c>
      <c r="F815" s="150">
        <f>IF(E815="","",Input!$C$8+B815-1)</f>
        <v>2085</v>
      </c>
      <c r="G815" s="151">
        <f>IF(E815="","",MAX(0,Input!$C$9-B815))</f>
        <v>0</v>
      </c>
      <c r="H815" s="152">
        <f>IF(E815="","",Input!$C$3)</f>
        <v>100000</v>
      </c>
      <c r="I815" s="153">
        <f>IF(E815="","",HLOOKUP($B815,Input!$C$13:$BT$14,2))</f>
        <v>1000</v>
      </c>
      <c r="J815" s="154"/>
      <c r="K815" s="155">
        <f>IF($E815="","",INDEX(Input!$C$16:$CP$16,1,$B815))</f>
        <v>3.3110000000000001E-2</v>
      </c>
      <c r="L815" s="155">
        <f>IF($E815="","",Input!$C$37)</f>
        <v>1.4999999999999999E-2</v>
      </c>
      <c r="M815" s="155">
        <f t="shared" si="497"/>
        <v>4.811E-2</v>
      </c>
      <c r="N815" s="155">
        <f t="shared" si="498"/>
        <v>3.9233882678277876E-3</v>
      </c>
      <c r="O815" s="147">
        <f>IF($E815="","",MIN(VLOOKUP(IF($B815&lt;=Input!$C$7,$B815,26),'Mortality Tables'!$A$41:$CW$67,IF($B815&lt;=Input!$C$7+1,Input!$C$4+2,$D815-Input!$C$7+2),0)*IF(B815&gt;20,Input!$C$22,1)/1000,1))</f>
        <v>1</v>
      </c>
      <c r="P815" s="147">
        <f>IF($E815="","",MIN(VLOOKUP(IF($B815&lt;=Input!$C$7,$B815,26),'Mortality Tables'!$A$12:$CW$37,IF($B815&lt;=Input!$C$7+1,Input!$C$4+2,$D815-Input!$C$7+2),0)*IF(B815&gt;20,Input!$C$22,1)/1000,1))</f>
        <v>1</v>
      </c>
      <c r="Q815" s="155">
        <f>IF($E815="","",Input!$C$21)</f>
        <v>5.0000000000000001E-3</v>
      </c>
      <c r="R815" s="159">
        <f>IF($E815="","",(1-Q815)^($F815-Input!$C$20))</f>
        <v>0.71473723868313099</v>
      </c>
      <c r="S815" s="147">
        <f t="shared" si="500"/>
        <v>0.71473723868313099</v>
      </c>
      <c r="T815" s="147">
        <f t="shared" si="501"/>
        <v>9.9251066013443801E-2</v>
      </c>
      <c r="U815" s="160">
        <f>IF($E815="","",IF($C815=12,INDEX(Input!$C$15:$CP$15,1,$B815),0))</f>
        <v>0</v>
      </c>
      <c r="V815" s="150">
        <f>IF(E815="","",IF(C815=1,IF($B815=1,Input!$C$33,Input!$C$34),0))</f>
        <v>0</v>
      </c>
      <c r="W815" s="156">
        <f>IF($E815="","",Input!$C$35)</f>
        <v>0.02</v>
      </c>
      <c r="X815" s="156">
        <f t="shared" si="499"/>
        <v>3.7688730417113687</v>
      </c>
      <c r="Y815" s="154"/>
      <c r="Z815" s="147">
        <f>IF($E815="","",VLOOKUP($D815,'Mortality Margins &amp; Grading'!$AB$5:$AF$125,3,0)*IF(Summary!$D$25="Included Margin",IF(AND($B815&gt;Input!$C$9,Summary!$D$31&lt;&gt;"Included Margin"),0,1),0))</f>
        <v>0.01</v>
      </c>
      <c r="AA815" s="147">
        <f>IF($E815="","",VLOOKUP($D815,'Mortality Margins &amp; Grading'!$AB$5:$AF$125,5,0)*IF(Summary!$D$25="Included Margin",IF(AND($B815&gt;Input!$C$9,Summary!$D$31&lt;&gt;"Included Margin"),0,1),0))</f>
        <v>5.2999999999999999E-2</v>
      </c>
      <c r="AB815" s="147">
        <f>IF($E815="","",IF(AND($B815&gt;Input!$C$9,Summary!$D$31&lt;&gt;"Included Margin"),1,IF(Summary!$D$25="Included Margin",VLOOKUP($B815,'Mortality Margins &amp; Grading'!$AI$5:$AR$125,MATCH('Mortality Margins &amp; Grading'!$AQ$4,'Mortality Margins &amp; Grading'!$AI$4:$AR$4,0),0),1)))</f>
        <v>0</v>
      </c>
      <c r="AC815" s="154"/>
      <c r="AD815" s="158">
        <f>IF(E815="","",Input!$C$48*IF(Summary!$D$30="Included Margin",IF(AND($B815&gt;Input!$C$9,Summary!$D$31&lt;&gt;"Included Margin"),0,1),0))</f>
        <v>-4.4999999999999997E-3</v>
      </c>
      <c r="AE815" s="159">
        <f>IF(E815="","",IF(Summary!$D$26="Included Margin",IF(AND($B815&gt;Input!$C$9,Summary!$D$31&lt;&gt;"Included Margin"),1,1/$R815),1))</f>
        <v>1.3991155712586796</v>
      </c>
      <c r="AF815" s="160">
        <f>IF(E815="","",IF(AND($B815&gt;=Input!$C$9,$C815=12,Summary!$D$31="Included Margin",$U815&gt;0),1/U815-1,IF($B815&gt;=Input!$C$9,0,Input!$C$45*IF(Summary!$D$27="Included Margin",1,0))))</f>
        <v>0</v>
      </c>
      <c r="AG815" s="160">
        <f>IF(E815="","",Input!$C$46*IF(Summary!$D$28="Included Margin",IF(AND($B815&gt;Input!$C$9,Summary!$D$31&lt;&gt;"Included Margin"),0,1),0))</f>
        <v>0.02</v>
      </c>
      <c r="AH815" s="158">
        <f>IF(E815="","",Input!$C$47*IF(Summary!$D$29="Included Margin",IF(AND($B815&gt;Input!$C$9,Summary!$D$31&lt;&gt;"Included Margin"),0,1),0))</f>
        <v>2.5000000000000001E-3</v>
      </c>
      <c r="AI815" s="154"/>
      <c r="AJ815" s="158">
        <f t="shared" si="522"/>
        <v>4.3610000000000003E-2</v>
      </c>
      <c r="AK815" s="155">
        <f t="shared" si="523"/>
        <v>3.5634888872855264E-3</v>
      </c>
      <c r="AL815" s="147">
        <f t="shared" si="524"/>
        <v>1</v>
      </c>
      <c r="AM815" s="147">
        <f t="shared" si="502"/>
        <v>1</v>
      </c>
      <c r="AN815" s="160">
        <f t="shared" si="525"/>
        <v>0</v>
      </c>
      <c r="AO815" s="161">
        <f t="shared" si="526"/>
        <v>0</v>
      </c>
      <c r="AP815" s="156">
        <f t="shared" si="503"/>
        <v>4.4406057558365504</v>
      </c>
      <c r="AQ815" s="152"/>
      <c r="AR815" s="162">
        <f t="shared" si="504"/>
        <v>99822.142452333035</v>
      </c>
      <c r="AS815" s="150">
        <f t="shared" si="527"/>
        <v>0</v>
      </c>
      <c r="AT815" s="163">
        <f t="shared" si="505"/>
        <v>0</v>
      </c>
      <c r="AU815" s="163">
        <f t="shared" si="506"/>
        <v>100000</v>
      </c>
      <c r="AV815" s="163">
        <f t="shared" si="528"/>
        <v>177.54065096964524</v>
      </c>
      <c r="AW815" s="163">
        <f t="shared" si="507"/>
        <v>99822.459349030352</v>
      </c>
      <c r="AX815" s="163">
        <f t="shared" si="508"/>
        <v>0</v>
      </c>
      <c r="AY815" s="164">
        <f t="shared" si="529"/>
        <v>99822.142452333035</v>
      </c>
      <c r="AZ815" s="164">
        <f>IF($E815="","",IF(OR(AND($D815=Input!$C$6,$C815=12),$AN815=1),0,-AS816+AT816+AU816-AV816-AW816-AX816+AZ816))</f>
        <v>99822.459349030352</v>
      </c>
      <c r="BA815" s="154">
        <f t="shared" si="509"/>
        <v>0.31689669731713366</v>
      </c>
      <c r="BC815" s="147">
        <f t="shared" si="530"/>
        <v>9.8781137903905118E-16</v>
      </c>
      <c r="BD815" s="164">
        <f>IF(AND($C814=12,$D814=Input!$C$6),0,IF($E815="","",AT815+(AU815+BD816)/(1+$AK815)*MIN((1-AM815-AN815),1)))</f>
        <v>0</v>
      </c>
      <c r="BE815" s="164">
        <f t="shared" si="510"/>
        <v>0</v>
      </c>
      <c r="BF815" s="164">
        <f t="shared" si="531"/>
        <v>99822.459349030352</v>
      </c>
      <c r="BG815" s="164">
        <f t="shared" si="511"/>
        <v>9.8605761228635304E-11</v>
      </c>
      <c r="BH815" s="152"/>
      <c r="BI815" s="162">
        <f t="shared" si="512"/>
        <v>27266.760731030572</v>
      </c>
      <c r="BJ815" s="150">
        <f t="shared" si="513"/>
        <v>0</v>
      </c>
      <c r="BK815" s="163">
        <f t="shared" si="535"/>
        <v>0</v>
      </c>
      <c r="BL815" s="163">
        <f t="shared" si="514"/>
        <v>9925.1066013443797</v>
      </c>
      <c r="BM815" s="163">
        <f t="shared" si="536"/>
        <v>87.508065755465452</v>
      </c>
      <c r="BN815" s="163">
        <f t="shared" si="515"/>
        <v>1920.4760014080271</v>
      </c>
      <c r="BO815" s="163">
        <f t="shared" si="516"/>
        <v>0</v>
      </c>
      <c r="BP815" s="164">
        <f t="shared" si="537"/>
        <v>19349.638196849683</v>
      </c>
      <c r="BQ815" s="164">
        <f>IF($E815="","",IF(AND($D815=Input!$C$6,$C815=12),0,-BJ816+BK816+BL816-BM816-BN816-BO816+BQ816))</f>
        <v>19349.676316301669</v>
      </c>
      <c r="BR815" s="161">
        <f t="shared" si="517"/>
        <v>0</v>
      </c>
      <c r="BT815" s="147">
        <f t="shared" si="518"/>
        <v>9.8781137903905118E-16</v>
      </c>
      <c r="BU815" s="164">
        <f>IF(AND($C814=12,$D814=Input!$C$6),0,IF($E815="","",BK815+(BL815+BU816)/(1+$AK815)*MIN((1-T815-U815),1)))</f>
        <v>79644.048085088099</v>
      </c>
      <c r="BV815" s="164">
        <f t="shared" si="519"/>
        <v>7.8673296971183375E-11</v>
      </c>
      <c r="BW815" s="164">
        <f t="shared" si="520"/>
        <v>19349.676316301669</v>
      </c>
      <c r="BX815" s="164">
        <f t="shared" si="521"/>
        <v>1.9113830445965218E-11</v>
      </c>
    </row>
    <row r="816" spans="1:76" s="150" customFormat="1" x14ac:dyDescent="0.25">
      <c r="A816" s="150">
        <f t="shared" si="532"/>
        <v>812</v>
      </c>
      <c r="B816" s="150">
        <f t="shared" si="533"/>
        <v>68</v>
      </c>
      <c r="C816" s="150">
        <f t="shared" si="534"/>
        <v>8</v>
      </c>
      <c r="D816" s="150">
        <f>IF(E816="","",Input!$C$4+B816-1)</f>
        <v>112</v>
      </c>
      <c r="E816" s="150">
        <f>IF(OR(AND(C815=12,D815=Input!$C$6),E815=""),"",1)</f>
        <v>1</v>
      </c>
      <c r="F816" s="150">
        <f>IF(E816="","",Input!$C$8+B816-1)</f>
        <v>2085</v>
      </c>
      <c r="G816" s="151">
        <f>IF(E816="","",MAX(0,Input!$C$9-B816))</f>
        <v>0</v>
      </c>
      <c r="H816" s="152">
        <f>IF(E816="","",Input!$C$3)</f>
        <v>100000</v>
      </c>
      <c r="I816" s="153">
        <f>IF(E816="","",HLOOKUP($B816,Input!$C$13:$BT$14,2))</f>
        <v>1000</v>
      </c>
      <c r="J816" s="154"/>
      <c r="K816" s="155">
        <f>IF($E816="","",INDEX(Input!$C$16:$CP$16,1,$B816))</f>
        <v>3.3110000000000001E-2</v>
      </c>
      <c r="L816" s="155">
        <f>IF($E816="","",Input!$C$37)</f>
        <v>1.4999999999999999E-2</v>
      </c>
      <c r="M816" s="155">
        <f t="shared" si="497"/>
        <v>4.811E-2</v>
      </c>
      <c r="N816" s="155">
        <f t="shared" si="498"/>
        <v>3.9233882678277876E-3</v>
      </c>
      <c r="O816" s="147">
        <f>IF($E816="","",MIN(VLOOKUP(IF($B816&lt;=Input!$C$7,$B816,26),'Mortality Tables'!$A$41:$CW$67,IF($B816&lt;=Input!$C$7+1,Input!$C$4+2,$D816-Input!$C$7+2),0)*IF(B816&gt;20,Input!$C$22,1)/1000,1))</f>
        <v>1</v>
      </c>
      <c r="P816" s="147">
        <f>IF($E816="","",MIN(VLOOKUP(IF($B816&lt;=Input!$C$7,$B816,26),'Mortality Tables'!$A$12:$CW$37,IF($B816&lt;=Input!$C$7+1,Input!$C$4+2,$D816-Input!$C$7+2),0)*IF(B816&gt;20,Input!$C$22,1)/1000,1))</f>
        <v>1</v>
      </c>
      <c r="Q816" s="155">
        <f>IF($E816="","",Input!$C$21)</f>
        <v>5.0000000000000001E-3</v>
      </c>
      <c r="R816" s="159">
        <f>IF($E816="","",(1-Q816)^($F816-Input!$C$20))</f>
        <v>0.71473723868313099</v>
      </c>
      <c r="S816" s="147">
        <f t="shared" si="500"/>
        <v>0.71473723868313099</v>
      </c>
      <c r="T816" s="147">
        <f t="shared" si="501"/>
        <v>9.9251066013443801E-2</v>
      </c>
      <c r="U816" s="160">
        <f>IF($E816="","",IF($C816=12,INDEX(Input!$C$15:$CP$15,1,$B816),0))</f>
        <v>0</v>
      </c>
      <c r="V816" s="150">
        <f>IF(E816="","",IF(C816=1,IF($B816=1,Input!$C$33,Input!$C$34),0))</f>
        <v>0</v>
      </c>
      <c r="W816" s="156">
        <f>IF($E816="","",Input!$C$35)</f>
        <v>0.02</v>
      </c>
      <c r="X816" s="156">
        <f t="shared" si="499"/>
        <v>3.7688730417113687</v>
      </c>
      <c r="Y816" s="154"/>
      <c r="Z816" s="147">
        <f>IF($E816="","",VLOOKUP($D816,'Mortality Margins &amp; Grading'!$AB$5:$AF$125,3,0)*IF(Summary!$D$25="Included Margin",IF(AND($B816&gt;Input!$C$9,Summary!$D$31&lt;&gt;"Included Margin"),0,1),0))</f>
        <v>0.01</v>
      </c>
      <c r="AA816" s="147">
        <f>IF($E816="","",VLOOKUP($D816,'Mortality Margins &amp; Grading'!$AB$5:$AF$125,5,0)*IF(Summary!$D$25="Included Margin",IF(AND($B816&gt;Input!$C$9,Summary!$D$31&lt;&gt;"Included Margin"),0,1),0))</f>
        <v>5.2999999999999999E-2</v>
      </c>
      <c r="AB816" s="147">
        <f>IF($E816="","",IF(AND($B816&gt;Input!$C$9,Summary!$D$31&lt;&gt;"Included Margin"),1,IF(Summary!$D$25="Included Margin",VLOOKUP($B816,'Mortality Margins &amp; Grading'!$AI$5:$AR$125,MATCH('Mortality Margins &amp; Grading'!$AQ$4,'Mortality Margins &amp; Grading'!$AI$4:$AR$4,0),0),1)))</f>
        <v>0</v>
      </c>
      <c r="AC816" s="154"/>
      <c r="AD816" s="158">
        <f>IF(E816="","",Input!$C$48*IF(Summary!$D$30="Included Margin",IF(AND($B816&gt;Input!$C$9,Summary!$D$31&lt;&gt;"Included Margin"),0,1),0))</f>
        <v>-4.4999999999999997E-3</v>
      </c>
      <c r="AE816" s="159">
        <f>IF(E816="","",IF(Summary!$D$26="Included Margin",IF(AND($B816&gt;Input!$C$9,Summary!$D$31&lt;&gt;"Included Margin"),1,1/$R816),1))</f>
        <v>1.3991155712586796</v>
      </c>
      <c r="AF816" s="160">
        <f>IF(E816="","",IF(AND($B816&gt;=Input!$C$9,$C816=12,Summary!$D$31="Included Margin",$U816&gt;0),1/U816-1,IF($B816&gt;=Input!$C$9,0,Input!$C$45*IF(Summary!$D$27="Included Margin",1,0))))</f>
        <v>0</v>
      </c>
      <c r="AG816" s="160">
        <f>IF(E816="","",Input!$C$46*IF(Summary!$D$28="Included Margin",IF(AND($B816&gt;Input!$C$9,Summary!$D$31&lt;&gt;"Included Margin"),0,1),0))</f>
        <v>0.02</v>
      </c>
      <c r="AH816" s="158">
        <f>IF(E816="","",Input!$C$47*IF(Summary!$D$29="Included Margin",IF(AND($B816&gt;Input!$C$9,Summary!$D$31&lt;&gt;"Included Margin"),0,1),0))</f>
        <v>2.5000000000000001E-3</v>
      </c>
      <c r="AI816" s="154"/>
      <c r="AJ816" s="158">
        <f t="shared" si="522"/>
        <v>4.3610000000000003E-2</v>
      </c>
      <c r="AK816" s="155">
        <f t="shared" si="523"/>
        <v>3.5634888872855264E-3</v>
      </c>
      <c r="AL816" s="147">
        <f t="shared" si="524"/>
        <v>1</v>
      </c>
      <c r="AM816" s="147">
        <f t="shared" si="502"/>
        <v>1</v>
      </c>
      <c r="AN816" s="160">
        <f t="shared" si="525"/>
        <v>0</v>
      </c>
      <c r="AO816" s="161">
        <f t="shared" si="526"/>
        <v>0</v>
      </c>
      <c r="AP816" s="156">
        <f t="shared" si="503"/>
        <v>4.4406057558365504</v>
      </c>
      <c r="AQ816" s="152"/>
      <c r="AR816" s="162">
        <f t="shared" si="504"/>
        <v>99822.142452333035</v>
      </c>
      <c r="AS816" s="150">
        <f t="shared" si="527"/>
        <v>0</v>
      </c>
      <c r="AT816" s="163">
        <f t="shared" si="505"/>
        <v>0</v>
      </c>
      <c r="AU816" s="163">
        <f t="shared" si="506"/>
        <v>100000</v>
      </c>
      <c r="AV816" s="163">
        <f t="shared" si="528"/>
        <v>177.54065096964524</v>
      </c>
      <c r="AW816" s="163">
        <f t="shared" si="507"/>
        <v>99822.459349030352</v>
      </c>
      <c r="AX816" s="163">
        <f t="shared" si="508"/>
        <v>0</v>
      </c>
      <c r="AY816" s="165">
        <f t="shared" si="529"/>
        <v>99822.142452333035</v>
      </c>
      <c r="AZ816" s="164">
        <f>IF($E816="","",IF(OR(AND($D816=Input!$C$6,$C816=12),$AN816=1),0,-AS817+AT817+AU817-AV817-AW817-AX817+AZ817))</f>
        <v>99822.459349030352</v>
      </c>
      <c r="BA816" s="154">
        <f t="shared" si="509"/>
        <v>0.31689669731713366</v>
      </c>
      <c r="BC816" s="147">
        <f t="shared" si="530"/>
        <v>8.8977004664921534E-16</v>
      </c>
      <c r="BD816" s="164">
        <f>IF(AND($C815=12,$D815=Input!$C$6),0,IF($E816="","",AT816+(AU816+BD817)/(1+$AK816)*MIN((1-AM816-AN816),1)))</f>
        <v>0</v>
      </c>
      <c r="BE816" s="164">
        <f t="shared" si="510"/>
        <v>0</v>
      </c>
      <c r="BF816" s="164">
        <f t="shared" si="531"/>
        <v>99822.459349030352</v>
      </c>
      <c r="BG816" s="164">
        <f t="shared" si="511"/>
        <v>8.8819034311626138E-11</v>
      </c>
      <c r="BH816" s="152"/>
      <c r="BI816" s="162">
        <f t="shared" si="512"/>
        <v>19349.638196849686</v>
      </c>
      <c r="BJ816" s="150">
        <f t="shared" si="513"/>
        <v>0</v>
      </c>
      <c r="BK816" s="163">
        <f t="shared" si="535"/>
        <v>0</v>
      </c>
      <c r="BL816" s="163">
        <f t="shared" si="514"/>
        <v>9925.1066013443797</v>
      </c>
      <c r="BM816" s="163">
        <f t="shared" si="536"/>
        <v>56.446120089905158</v>
      </c>
      <c r="BN816" s="163">
        <f t="shared" si="515"/>
        <v>1044.6872519227645</v>
      </c>
      <c r="BO816" s="163">
        <f t="shared" si="516"/>
        <v>0</v>
      </c>
      <c r="BP816" s="164">
        <f t="shared" si="537"/>
        <v>10525.664967517976</v>
      </c>
      <c r="BQ816" s="164">
        <f>IF($E816="","",IF(AND($D816=Input!$C$6,$C816=12),0,-BJ817+BK817+BL817-BM817-BN817-BO817+BQ817))</f>
        <v>10525.703086969959</v>
      </c>
      <c r="BR816" s="161">
        <f t="shared" si="517"/>
        <v>0</v>
      </c>
      <c r="BT816" s="147">
        <f t="shared" si="518"/>
        <v>8.8977004664921534E-16</v>
      </c>
      <c r="BU816" s="164">
        <f>IF(AND($C815=12,$D815=Input!$C$6),0,IF($E816="","",BK816+(BL816+BU817)/(1+$AK816)*MIN((1-T816-U816),1)))</f>
        <v>78809.784720292955</v>
      </c>
      <c r="BV816" s="164">
        <f t="shared" si="519"/>
        <v>7.0122585826989675E-11</v>
      </c>
      <c r="BW816" s="164">
        <f t="shared" si="520"/>
        <v>10525.703086969959</v>
      </c>
      <c r="BX816" s="164">
        <f t="shared" si="521"/>
        <v>9.3654553267090506E-12</v>
      </c>
    </row>
    <row r="817" spans="1:76" s="150" customFormat="1" x14ac:dyDescent="0.25">
      <c r="A817" s="150">
        <f t="shared" si="532"/>
        <v>813</v>
      </c>
      <c r="B817" s="150">
        <f t="shared" si="533"/>
        <v>68</v>
      </c>
      <c r="C817" s="150">
        <f t="shared" si="534"/>
        <v>9</v>
      </c>
      <c r="D817" s="150">
        <f>IF(E817="","",Input!$C$4+B817-1)</f>
        <v>112</v>
      </c>
      <c r="E817" s="150">
        <f>IF(OR(AND(C816=12,D816=Input!$C$6),E816=""),"",1)</f>
        <v>1</v>
      </c>
      <c r="F817" s="150">
        <f>IF(E817="","",Input!$C$8+B817-1)</f>
        <v>2085</v>
      </c>
      <c r="G817" s="151">
        <f>IF(E817="","",MAX(0,Input!$C$9-B817))</f>
        <v>0</v>
      </c>
      <c r="H817" s="152">
        <f>IF(E817="","",Input!$C$3)</f>
        <v>100000</v>
      </c>
      <c r="I817" s="153">
        <f>IF(E817="","",HLOOKUP($B817,Input!$C$13:$BT$14,2))</f>
        <v>1000</v>
      </c>
      <c r="J817" s="154"/>
      <c r="K817" s="155">
        <f>IF($E817="","",INDEX(Input!$C$16:$CP$16,1,$B817))</f>
        <v>3.3110000000000001E-2</v>
      </c>
      <c r="L817" s="155">
        <f>IF($E817="","",Input!$C$37)</f>
        <v>1.4999999999999999E-2</v>
      </c>
      <c r="M817" s="155">
        <f t="shared" si="497"/>
        <v>4.811E-2</v>
      </c>
      <c r="N817" s="155">
        <f t="shared" si="498"/>
        <v>3.9233882678277876E-3</v>
      </c>
      <c r="O817" s="147">
        <f>IF($E817="","",MIN(VLOOKUP(IF($B817&lt;=Input!$C$7,$B817,26),'Mortality Tables'!$A$41:$CW$67,IF($B817&lt;=Input!$C$7+1,Input!$C$4+2,$D817-Input!$C$7+2),0)*IF(B817&gt;20,Input!$C$22,1)/1000,1))</f>
        <v>1</v>
      </c>
      <c r="P817" s="147">
        <f>IF($E817="","",MIN(VLOOKUP(IF($B817&lt;=Input!$C$7,$B817,26),'Mortality Tables'!$A$12:$CW$37,IF($B817&lt;=Input!$C$7+1,Input!$C$4+2,$D817-Input!$C$7+2),0)*IF(B817&gt;20,Input!$C$22,1)/1000,1))</f>
        <v>1</v>
      </c>
      <c r="Q817" s="155">
        <f>IF($E817="","",Input!$C$21)</f>
        <v>5.0000000000000001E-3</v>
      </c>
      <c r="R817" s="159">
        <f>IF($E817="","",(1-Q817)^($F817-Input!$C$20))</f>
        <v>0.71473723868313099</v>
      </c>
      <c r="S817" s="147">
        <f t="shared" si="500"/>
        <v>0.71473723868313099</v>
      </c>
      <c r="T817" s="147">
        <f t="shared" si="501"/>
        <v>9.9251066013443801E-2</v>
      </c>
      <c r="U817" s="160">
        <f>IF($E817="","",IF($C817=12,INDEX(Input!$C$15:$CP$15,1,$B817),0))</f>
        <v>0</v>
      </c>
      <c r="V817" s="150">
        <f>IF(E817="","",IF(C817=1,IF($B817=1,Input!$C$33,Input!$C$34),0))</f>
        <v>0</v>
      </c>
      <c r="W817" s="156">
        <f>IF($E817="","",Input!$C$35)</f>
        <v>0.02</v>
      </c>
      <c r="X817" s="156">
        <f t="shared" si="499"/>
        <v>3.7688730417113687</v>
      </c>
      <c r="Y817" s="154"/>
      <c r="Z817" s="147">
        <f>IF($E817="","",VLOOKUP($D817,'Mortality Margins &amp; Grading'!$AB$5:$AF$125,3,0)*IF(Summary!$D$25="Included Margin",IF(AND($B817&gt;Input!$C$9,Summary!$D$31&lt;&gt;"Included Margin"),0,1),0))</f>
        <v>0.01</v>
      </c>
      <c r="AA817" s="147">
        <f>IF($E817="","",VLOOKUP($D817,'Mortality Margins &amp; Grading'!$AB$5:$AF$125,5,0)*IF(Summary!$D$25="Included Margin",IF(AND($B817&gt;Input!$C$9,Summary!$D$31&lt;&gt;"Included Margin"),0,1),0))</f>
        <v>5.2999999999999999E-2</v>
      </c>
      <c r="AB817" s="147">
        <f>IF($E817="","",IF(AND($B817&gt;Input!$C$9,Summary!$D$31&lt;&gt;"Included Margin"),1,IF(Summary!$D$25="Included Margin",VLOOKUP($B817,'Mortality Margins &amp; Grading'!$AI$5:$AR$125,MATCH('Mortality Margins &amp; Grading'!$AQ$4,'Mortality Margins &amp; Grading'!$AI$4:$AR$4,0),0),1)))</f>
        <v>0</v>
      </c>
      <c r="AC817" s="154"/>
      <c r="AD817" s="158">
        <f>IF(E817="","",Input!$C$48*IF(Summary!$D$30="Included Margin",IF(AND($B817&gt;Input!$C$9,Summary!$D$31&lt;&gt;"Included Margin"),0,1),0))</f>
        <v>-4.4999999999999997E-3</v>
      </c>
      <c r="AE817" s="159">
        <f>IF(E817="","",IF(Summary!$D$26="Included Margin",IF(AND($B817&gt;Input!$C$9,Summary!$D$31&lt;&gt;"Included Margin"),1,1/$R817),1))</f>
        <v>1.3991155712586796</v>
      </c>
      <c r="AF817" s="160">
        <f>IF(E817="","",IF(AND($B817&gt;=Input!$C$9,$C817=12,Summary!$D$31="Included Margin",$U817&gt;0),1/U817-1,IF($B817&gt;=Input!$C$9,0,Input!$C$45*IF(Summary!$D$27="Included Margin",1,0))))</f>
        <v>0</v>
      </c>
      <c r="AG817" s="160">
        <f>IF(E817="","",Input!$C$46*IF(Summary!$D$28="Included Margin",IF(AND($B817&gt;Input!$C$9,Summary!$D$31&lt;&gt;"Included Margin"),0,1),0))</f>
        <v>0.02</v>
      </c>
      <c r="AH817" s="158">
        <f>IF(E817="","",Input!$C$47*IF(Summary!$D$29="Included Margin",IF(AND($B817&gt;Input!$C$9,Summary!$D$31&lt;&gt;"Included Margin"),0,1),0))</f>
        <v>2.5000000000000001E-3</v>
      </c>
      <c r="AI817" s="154"/>
      <c r="AJ817" s="158">
        <f t="shared" si="522"/>
        <v>4.3610000000000003E-2</v>
      </c>
      <c r="AK817" s="155">
        <f t="shared" si="523"/>
        <v>3.5634888872855264E-3</v>
      </c>
      <c r="AL817" s="147">
        <f t="shared" si="524"/>
        <v>1</v>
      </c>
      <c r="AM817" s="147">
        <f t="shared" si="502"/>
        <v>1</v>
      </c>
      <c r="AN817" s="160">
        <f t="shared" si="525"/>
        <v>0</v>
      </c>
      <c r="AO817" s="161">
        <f t="shared" si="526"/>
        <v>0</v>
      </c>
      <c r="AP817" s="156">
        <f t="shared" si="503"/>
        <v>4.4406057558365504</v>
      </c>
      <c r="AQ817" s="152"/>
      <c r="AR817" s="162">
        <f t="shared" si="504"/>
        <v>99822.142452333035</v>
      </c>
      <c r="AS817" s="150">
        <f t="shared" si="527"/>
        <v>0</v>
      </c>
      <c r="AT817" s="163">
        <f t="shared" si="505"/>
        <v>0</v>
      </c>
      <c r="AU817" s="163">
        <f t="shared" si="506"/>
        <v>100000</v>
      </c>
      <c r="AV817" s="163">
        <f t="shared" si="528"/>
        <v>177.54065096964524</v>
      </c>
      <c r="AW817" s="163">
        <f t="shared" si="507"/>
        <v>99822.459349030352</v>
      </c>
      <c r="AX817" s="163">
        <f t="shared" si="508"/>
        <v>0</v>
      </c>
      <c r="AY817" s="164">
        <f t="shared" si="529"/>
        <v>99822.142452333035</v>
      </c>
      <c r="AZ817" s="164">
        <f>IF($E817="","",IF(OR(AND($D817=Input!$C$6,$C817=12),$AN817=1),0,-AS818+AT818+AU818-AV818-AW818-AX818+AZ818))</f>
        <v>99822.459349030352</v>
      </c>
      <c r="BA817" s="154">
        <f t="shared" si="509"/>
        <v>0.31689669731713366</v>
      </c>
      <c r="BC817" s="147">
        <f t="shared" si="530"/>
        <v>8.0145942101244905E-16</v>
      </c>
      <c r="BD817" s="164">
        <f>IF(AND($C816=12,$D816=Input!$C$6),0,IF($E817="","",AT817+(AU817+BD818)/(1+$AK817)*MIN((1-AM817-AN817),1)))</f>
        <v>0</v>
      </c>
      <c r="BE817" s="164">
        <f t="shared" si="510"/>
        <v>0</v>
      </c>
      <c r="BF817" s="164">
        <f t="shared" si="531"/>
        <v>99822.459349030352</v>
      </c>
      <c r="BG817" s="164">
        <f t="shared" si="511"/>
        <v>8.0003650473912603E-11</v>
      </c>
      <c r="BH817" s="152"/>
      <c r="BI817" s="162">
        <f t="shared" si="512"/>
        <v>10525.664967517976</v>
      </c>
      <c r="BJ817" s="150">
        <f t="shared" si="513"/>
        <v>0</v>
      </c>
      <c r="BK817" s="163">
        <f t="shared" si="535"/>
        <v>0</v>
      </c>
      <c r="BL817" s="163">
        <f t="shared" si="514"/>
        <v>9925.1066013443797</v>
      </c>
      <c r="BM817" s="163">
        <f t="shared" si="536"/>
        <v>21.826247046318645</v>
      </c>
      <c r="BN817" s="163">
        <f t="shared" si="515"/>
        <v>68.583061714296306</v>
      </c>
      <c r="BO817" s="163">
        <f t="shared" si="516"/>
        <v>0</v>
      </c>
      <c r="BP817" s="164">
        <f t="shared" si="537"/>
        <v>690.96767493421123</v>
      </c>
      <c r="BQ817" s="164">
        <f>IF($E817="","",IF(AND($D817=Input!$C$6,$C817=12),0,-BJ818+BK818+BL818-BM818-BN818-BO818+BQ818))</f>
        <v>691.00579438619388</v>
      </c>
      <c r="BR817" s="161">
        <f t="shared" si="517"/>
        <v>0</v>
      </c>
      <c r="BT817" s="147">
        <f t="shared" si="518"/>
        <v>8.0145942101244905E-16</v>
      </c>
      <c r="BU817" s="164">
        <f>IF(AND($C816=12,$D816=Input!$C$6),0,IF($E817="","",BK817+(BL817+BU818)/(1+$AK817)*MIN((1-T817-U817),1)))</f>
        <v>77880.295690181985</v>
      </c>
      <c r="BV817" s="164">
        <f t="shared" si="519"/>
        <v>6.241789669213158E-11</v>
      </c>
      <c r="BW817" s="164">
        <f t="shared" si="520"/>
        <v>691.00579438619388</v>
      </c>
      <c r="BX817" s="164">
        <f t="shared" si="521"/>
        <v>5.5381310388500633E-13</v>
      </c>
    </row>
    <row r="818" spans="1:76" s="150" customFormat="1" x14ac:dyDescent="0.25">
      <c r="A818" s="150">
        <f t="shared" si="532"/>
        <v>814</v>
      </c>
      <c r="B818" s="150">
        <f t="shared" si="533"/>
        <v>68</v>
      </c>
      <c r="C818" s="150">
        <f t="shared" si="534"/>
        <v>10</v>
      </c>
      <c r="D818" s="150">
        <f>IF(E818="","",Input!$C$4+B818-1)</f>
        <v>112</v>
      </c>
      <c r="E818" s="150">
        <f>IF(OR(AND(C817=12,D817=Input!$C$6),E817=""),"",1)</f>
        <v>1</v>
      </c>
      <c r="F818" s="150">
        <f>IF(E818="","",Input!$C$8+B818-1)</f>
        <v>2085</v>
      </c>
      <c r="G818" s="151">
        <f>IF(E818="","",MAX(0,Input!$C$9-B818))</f>
        <v>0</v>
      </c>
      <c r="H818" s="152">
        <f>IF(E818="","",Input!$C$3)</f>
        <v>100000</v>
      </c>
      <c r="I818" s="153">
        <f>IF(E818="","",HLOOKUP($B818,Input!$C$13:$BT$14,2))</f>
        <v>1000</v>
      </c>
      <c r="J818" s="154"/>
      <c r="K818" s="155">
        <f>IF($E818="","",INDEX(Input!$C$16:$CP$16,1,$B818))</f>
        <v>3.3110000000000001E-2</v>
      </c>
      <c r="L818" s="155">
        <f>IF($E818="","",Input!$C$37)</f>
        <v>1.4999999999999999E-2</v>
      </c>
      <c r="M818" s="155">
        <f t="shared" si="497"/>
        <v>4.811E-2</v>
      </c>
      <c r="N818" s="155">
        <f t="shared" si="498"/>
        <v>3.9233882678277876E-3</v>
      </c>
      <c r="O818" s="147">
        <f>IF($E818="","",MIN(VLOOKUP(IF($B818&lt;=Input!$C$7,$B818,26),'Mortality Tables'!$A$41:$CW$67,IF($B818&lt;=Input!$C$7+1,Input!$C$4+2,$D818-Input!$C$7+2),0)*IF(B818&gt;20,Input!$C$22,1)/1000,1))</f>
        <v>1</v>
      </c>
      <c r="P818" s="147">
        <f>IF($E818="","",MIN(VLOOKUP(IF($B818&lt;=Input!$C$7,$B818,26),'Mortality Tables'!$A$12:$CW$37,IF($B818&lt;=Input!$C$7+1,Input!$C$4+2,$D818-Input!$C$7+2),0)*IF(B818&gt;20,Input!$C$22,1)/1000,1))</f>
        <v>1</v>
      </c>
      <c r="Q818" s="155">
        <f>IF($E818="","",Input!$C$21)</f>
        <v>5.0000000000000001E-3</v>
      </c>
      <c r="R818" s="159">
        <f>IF($E818="","",(1-Q818)^($F818-Input!$C$20))</f>
        <v>0.71473723868313099</v>
      </c>
      <c r="S818" s="147">
        <f t="shared" si="500"/>
        <v>0.71473723868313099</v>
      </c>
      <c r="T818" s="147">
        <f t="shared" si="501"/>
        <v>9.9251066013443801E-2</v>
      </c>
      <c r="U818" s="160">
        <f>IF($E818="","",IF($C818=12,INDEX(Input!$C$15:$CP$15,1,$B818),0))</f>
        <v>0</v>
      </c>
      <c r="V818" s="150">
        <f>IF(E818="","",IF(C818=1,IF($B818=1,Input!$C$33,Input!$C$34),0))</f>
        <v>0</v>
      </c>
      <c r="W818" s="156">
        <f>IF($E818="","",Input!$C$35)</f>
        <v>0.02</v>
      </c>
      <c r="X818" s="156">
        <f t="shared" si="499"/>
        <v>3.7688730417113687</v>
      </c>
      <c r="Y818" s="154"/>
      <c r="Z818" s="147">
        <f>IF($E818="","",VLOOKUP($D818,'Mortality Margins &amp; Grading'!$AB$5:$AF$125,3,0)*IF(Summary!$D$25="Included Margin",IF(AND($B818&gt;Input!$C$9,Summary!$D$31&lt;&gt;"Included Margin"),0,1),0))</f>
        <v>0.01</v>
      </c>
      <c r="AA818" s="147">
        <f>IF($E818="","",VLOOKUP($D818,'Mortality Margins &amp; Grading'!$AB$5:$AF$125,5,0)*IF(Summary!$D$25="Included Margin",IF(AND($B818&gt;Input!$C$9,Summary!$D$31&lt;&gt;"Included Margin"),0,1),0))</f>
        <v>5.2999999999999999E-2</v>
      </c>
      <c r="AB818" s="147">
        <f>IF($E818="","",IF(AND($B818&gt;Input!$C$9,Summary!$D$31&lt;&gt;"Included Margin"),1,IF(Summary!$D$25="Included Margin",VLOOKUP($B818,'Mortality Margins &amp; Grading'!$AI$5:$AR$125,MATCH('Mortality Margins &amp; Grading'!$AQ$4,'Mortality Margins &amp; Grading'!$AI$4:$AR$4,0),0),1)))</f>
        <v>0</v>
      </c>
      <c r="AC818" s="154"/>
      <c r="AD818" s="158">
        <f>IF(E818="","",Input!$C$48*IF(Summary!$D$30="Included Margin",IF(AND($B818&gt;Input!$C$9,Summary!$D$31&lt;&gt;"Included Margin"),0,1),0))</f>
        <v>-4.4999999999999997E-3</v>
      </c>
      <c r="AE818" s="159">
        <f>IF(E818="","",IF(Summary!$D$26="Included Margin",IF(AND($B818&gt;Input!$C$9,Summary!$D$31&lt;&gt;"Included Margin"),1,1/$R818),1))</f>
        <v>1.3991155712586796</v>
      </c>
      <c r="AF818" s="160">
        <f>IF(E818="","",IF(AND($B818&gt;=Input!$C$9,$C818=12,Summary!$D$31="Included Margin",$U818&gt;0),1/U818-1,IF($B818&gt;=Input!$C$9,0,Input!$C$45*IF(Summary!$D$27="Included Margin",1,0))))</f>
        <v>0</v>
      </c>
      <c r="AG818" s="160">
        <f>IF(E818="","",Input!$C$46*IF(Summary!$D$28="Included Margin",IF(AND($B818&gt;Input!$C$9,Summary!$D$31&lt;&gt;"Included Margin"),0,1),0))</f>
        <v>0.02</v>
      </c>
      <c r="AH818" s="158">
        <f>IF(E818="","",Input!$C$47*IF(Summary!$D$29="Included Margin",IF(AND($B818&gt;Input!$C$9,Summary!$D$31&lt;&gt;"Included Margin"),0,1),0))</f>
        <v>2.5000000000000001E-3</v>
      </c>
      <c r="AI818" s="154"/>
      <c r="AJ818" s="158">
        <f t="shared" si="522"/>
        <v>4.3610000000000003E-2</v>
      </c>
      <c r="AK818" s="155">
        <f t="shared" si="523"/>
        <v>3.5634888872855264E-3</v>
      </c>
      <c r="AL818" s="147">
        <f t="shared" si="524"/>
        <v>1</v>
      </c>
      <c r="AM818" s="147">
        <f t="shared" si="502"/>
        <v>1</v>
      </c>
      <c r="AN818" s="160">
        <f t="shared" si="525"/>
        <v>0</v>
      </c>
      <c r="AO818" s="161">
        <f t="shared" si="526"/>
        <v>0</v>
      </c>
      <c r="AP818" s="156">
        <f t="shared" si="503"/>
        <v>4.4406057558365504</v>
      </c>
      <c r="AQ818" s="152"/>
      <c r="AR818" s="162">
        <f t="shared" si="504"/>
        <v>99822.142452333035</v>
      </c>
      <c r="AS818" s="150">
        <f t="shared" si="527"/>
        <v>0</v>
      </c>
      <c r="AT818" s="163">
        <f t="shared" si="505"/>
        <v>0</v>
      </c>
      <c r="AU818" s="163">
        <f t="shared" si="506"/>
        <v>100000</v>
      </c>
      <c r="AV818" s="163">
        <f t="shared" si="528"/>
        <v>177.54065096964524</v>
      </c>
      <c r="AW818" s="163">
        <f t="shared" si="507"/>
        <v>99822.459349030352</v>
      </c>
      <c r="AX818" s="163">
        <f t="shared" si="508"/>
        <v>0</v>
      </c>
      <c r="AY818" s="165">
        <f t="shared" si="529"/>
        <v>99822.142452333035</v>
      </c>
      <c r="AZ818" s="164">
        <f>IF($E818="","",IF(OR(AND($D818=Input!$C$6,$C818=12),$AN818=1),0,-AS819+AT819+AU819-AV819-AW819-AX819+AZ819))</f>
        <v>99822.459349030352</v>
      </c>
      <c r="BA818" s="154">
        <f t="shared" si="509"/>
        <v>0.31689669731713366</v>
      </c>
      <c r="BC818" s="147">
        <f t="shared" si="530"/>
        <v>7.2191371911044598E-16</v>
      </c>
      <c r="BD818" s="164">
        <f>IF(AND($C817=12,$D817=Input!$C$6),0,IF($E818="","",AT818+(AU818+BD819)/(1+$AK818)*MIN((1-AM818-AN818),1)))</f>
        <v>0</v>
      </c>
      <c r="BE818" s="164">
        <f t="shared" si="510"/>
        <v>0</v>
      </c>
      <c r="BF818" s="164">
        <f t="shared" si="531"/>
        <v>99822.459349030352</v>
      </c>
      <c r="BG818" s="164">
        <f t="shared" si="511"/>
        <v>7.2063202879409812E-11</v>
      </c>
      <c r="BH818" s="152"/>
      <c r="BI818" s="162">
        <f t="shared" si="512"/>
        <v>690.96767493421066</v>
      </c>
      <c r="BJ818" s="150">
        <f t="shared" si="513"/>
        <v>0</v>
      </c>
      <c r="BK818" s="163">
        <f t="shared" si="535"/>
        <v>0</v>
      </c>
      <c r="BL818" s="163">
        <f t="shared" si="514"/>
        <v>9925.1066013443797</v>
      </c>
      <c r="BM818" s="163">
        <f t="shared" si="536"/>
        <v>-16.759088929042207</v>
      </c>
      <c r="BN818" s="163">
        <f t="shared" si="515"/>
        <v>-1019.3269973068063</v>
      </c>
      <c r="BO818" s="163">
        <f t="shared" si="516"/>
        <v>0</v>
      </c>
      <c r="BP818" s="164">
        <f t="shared" si="537"/>
        <v>-10270.225012646017</v>
      </c>
      <c r="BQ818" s="164">
        <f>IF($E818="","",IF(AND($D818=Input!$C$6,$C818=12),0,-BJ819+BK819+BL819-BM819-BN819-BO819+BQ819))</f>
        <v>-10270.186893194033</v>
      </c>
      <c r="BR818" s="161">
        <f t="shared" si="517"/>
        <v>0</v>
      </c>
      <c r="BT818" s="147">
        <f t="shared" si="518"/>
        <v>7.2191371911044598E-16</v>
      </c>
      <c r="BU818" s="164">
        <f>IF(AND($C817=12,$D817=Input!$C$6),0,IF($E818="","",BK818+(BL818+BU819)/(1+$AK818)*MIN((1-T818-U818),1)))</f>
        <v>76844.711612594212</v>
      </c>
      <c r="BV818" s="164">
        <f t="shared" si="519"/>
        <v>5.5475251554217567E-11</v>
      </c>
      <c r="BW818" s="164">
        <f t="shared" si="520"/>
        <v>-10270.186893194033</v>
      </c>
      <c r="BX818" s="164">
        <f t="shared" si="521"/>
        <v>-7.4141888160250617E-12</v>
      </c>
    </row>
    <row r="819" spans="1:76" s="150" customFormat="1" x14ac:dyDescent="0.25">
      <c r="A819" s="150">
        <f t="shared" si="532"/>
        <v>815</v>
      </c>
      <c r="B819" s="150">
        <f t="shared" si="533"/>
        <v>68</v>
      </c>
      <c r="C819" s="150">
        <f t="shared" si="534"/>
        <v>11</v>
      </c>
      <c r="D819" s="150">
        <f>IF(E819="","",Input!$C$4+B819-1)</f>
        <v>112</v>
      </c>
      <c r="E819" s="150">
        <f>IF(OR(AND(C818=12,D818=Input!$C$6),E818=""),"",1)</f>
        <v>1</v>
      </c>
      <c r="F819" s="150">
        <f>IF(E819="","",Input!$C$8+B819-1)</f>
        <v>2085</v>
      </c>
      <c r="G819" s="151">
        <f>IF(E819="","",MAX(0,Input!$C$9-B819))</f>
        <v>0</v>
      </c>
      <c r="H819" s="152">
        <f>IF(E819="","",Input!$C$3)</f>
        <v>100000</v>
      </c>
      <c r="I819" s="153">
        <f>IF(E819="","",HLOOKUP($B819,Input!$C$13:$BT$14,2))</f>
        <v>1000</v>
      </c>
      <c r="J819" s="154"/>
      <c r="K819" s="155">
        <f>IF($E819="","",INDEX(Input!$C$16:$CP$16,1,$B819))</f>
        <v>3.3110000000000001E-2</v>
      </c>
      <c r="L819" s="155">
        <f>IF($E819="","",Input!$C$37)</f>
        <v>1.4999999999999999E-2</v>
      </c>
      <c r="M819" s="155">
        <f t="shared" si="497"/>
        <v>4.811E-2</v>
      </c>
      <c r="N819" s="155">
        <f t="shared" si="498"/>
        <v>3.9233882678277876E-3</v>
      </c>
      <c r="O819" s="147">
        <f>IF($E819="","",MIN(VLOOKUP(IF($B819&lt;=Input!$C$7,$B819,26),'Mortality Tables'!$A$41:$CW$67,IF($B819&lt;=Input!$C$7+1,Input!$C$4+2,$D819-Input!$C$7+2),0)*IF(B819&gt;20,Input!$C$22,1)/1000,1))</f>
        <v>1</v>
      </c>
      <c r="P819" s="147">
        <f>IF($E819="","",MIN(VLOOKUP(IF($B819&lt;=Input!$C$7,$B819,26),'Mortality Tables'!$A$12:$CW$37,IF($B819&lt;=Input!$C$7+1,Input!$C$4+2,$D819-Input!$C$7+2),0)*IF(B819&gt;20,Input!$C$22,1)/1000,1))</f>
        <v>1</v>
      </c>
      <c r="Q819" s="155">
        <f>IF($E819="","",Input!$C$21)</f>
        <v>5.0000000000000001E-3</v>
      </c>
      <c r="R819" s="159">
        <f>IF($E819="","",(1-Q819)^($F819-Input!$C$20))</f>
        <v>0.71473723868313099</v>
      </c>
      <c r="S819" s="147">
        <f t="shared" si="500"/>
        <v>0.71473723868313099</v>
      </c>
      <c r="T819" s="147">
        <f t="shared" si="501"/>
        <v>9.9251066013443801E-2</v>
      </c>
      <c r="U819" s="160">
        <f>IF($E819="","",IF($C819=12,INDEX(Input!$C$15:$CP$15,1,$B819),0))</f>
        <v>0</v>
      </c>
      <c r="V819" s="150">
        <f>IF(E819="","",IF(C819=1,IF($B819=1,Input!$C$33,Input!$C$34),0))</f>
        <v>0</v>
      </c>
      <c r="W819" s="156">
        <f>IF($E819="","",Input!$C$35)</f>
        <v>0.02</v>
      </c>
      <c r="X819" s="156">
        <f t="shared" si="499"/>
        <v>3.7688730417113687</v>
      </c>
      <c r="Y819" s="154"/>
      <c r="Z819" s="147">
        <f>IF($E819="","",VLOOKUP($D819,'Mortality Margins &amp; Grading'!$AB$5:$AF$125,3,0)*IF(Summary!$D$25="Included Margin",IF(AND($B819&gt;Input!$C$9,Summary!$D$31&lt;&gt;"Included Margin"),0,1),0))</f>
        <v>0.01</v>
      </c>
      <c r="AA819" s="147">
        <f>IF($E819="","",VLOOKUP($D819,'Mortality Margins &amp; Grading'!$AB$5:$AF$125,5,0)*IF(Summary!$D$25="Included Margin",IF(AND($B819&gt;Input!$C$9,Summary!$D$31&lt;&gt;"Included Margin"),0,1),0))</f>
        <v>5.2999999999999999E-2</v>
      </c>
      <c r="AB819" s="147">
        <f>IF($E819="","",IF(AND($B819&gt;Input!$C$9,Summary!$D$31&lt;&gt;"Included Margin"),1,IF(Summary!$D$25="Included Margin",VLOOKUP($B819,'Mortality Margins &amp; Grading'!$AI$5:$AR$125,MATCH('Mortality Margins &amp; Grading'!$AQ$4,'Mortality Margins &amp; Grading'!$AI$4:$AR$4,0),0),1)))</f>
        <v>0</v>
      </c>
      <c r="AC819" s="154"/>
      <c r="AD819" s="158">
        <f>IF(E819="","",Input!$C$48*IF(Summary!$D$30="Included Margin",IF(AND($B819&gt;Input!$C$9,Summary!$D$31&lt;&gt;"Included Margin"),0,1),0))</f>
        <v>-4.4999999999999997E-3</v>
      </c>
      <c r="AE819" s="159">
        <f>IF(E819="","",IF(Summary!$D$26="Included Margin",IF(AND($B819&gt;Input!$C$9,Summary!$D$31&lt;&gt;"Included Margin"),1,1/$R819),1))</f>
        <v>1.3991155712586796</v>
      </c>
      <c r="AF819" s="160">
        <f>IF(E819="","",IF(AND($B819&gt;=Input!$C$9,$C819=12,Summary!$D$31="Included Margin",$U819&gt;0),1/U819-1,IF($B819&gt;=Input!$C$9,0,Input!$C$45*IF(Summary!$D$27="Included Margin",1,0))))</f>
        <v>0</v>
      </c>
      <c r="AG819" s="160">
        <f>IF(E819="","",Input!$C$46*IF(Summary!$D$28="Included Margin",IF(AND($B819&gt;Input!$C$9,Summary!$D$31&lt;&gt;"Included Margin"),0,1),0))</f>
        <v>0.02</v>
      </c>
      <c r="AH819" s="158">
        <f>IF(E819="","",Input!$C$47*IF(Summary!$D$29="Included Margin",IF(AND($B819&gt;Input!$C$9,Summary!$D$31&lt;&gt;"Included Margin"),0,1),0))</f>
        <v>2.5000000000000001E-3</v>
      </c>
      <c r="AI819" s="154"/>
      <c r="AJ819" s="158">
        <f t="shared" si="522"/>
        <v>4.3610000000000003E-2</v>
      </c>
      <c r="AK819" s="155">
        <f t="shared" si="523"/>
        <v>3.5634888872855264E-3</v>
      </c>
      <c r="AL819" s="147">
        <f t="shared" si="524"/>
        <v>1</v>
      </c>
      <c r="AM819" s="147">
        <f t="shared" si="502"/>
        <v>1</v>
      </c>
      <c r="AN819" s="160">
        <f t="shared" si="525"/>
        <v>0</v>
      </c>
      <c r="AO819" s="161">
        <f t="shared" si="526"/>
        <v>0</v>
      </c>
      <c r="AP819" s="156">
        <f t="shared" si="503"/>
        <v>4.4406057558365504</v>
      </c>
      <c r="AQ819" s="152"/>
      <c r="AR819" s="162">
        <f t="shared" si="504"/>
        <v>99822.142452333035</v>
      </c>
      <c r="AS819" s="150">
        <f t="shared" si="527"/>
        <v>0</v>
      </c>
      <c r="AT819" s="163">
        <f t="shared" si="505"/>
        <v>0</v>
      </c>
      <c r="AU819" s="163">
        <f t="shared" si="506"/>
        <v>100000</v>
      </c>
      <c r="AV819" s="163">
        <f t="shared" si="528"/>
        <v>177.54065096964524</v>
      </c>
      <c r="AW819" s="163">
        <f t="shared" si="507"/>
        <v>99822.459349030352</v>
      </c>
      <c r="AX819" s="163">
        <f t="shared" si="508"/>
        <v>0</v>
      </c>
      <c r="AY819" s="164">
        <f t="shared" si="529"/>
        <v>99822.142452333035</v>
      </c>
      <c r="AZ819" s="164">
        <f>IF($E819="","",IF(OR(AND($D819=Input!$C$6,$C819=12),$AN819=1),0,-AS820+AT820+AU820-AV820-AW820-AX820+AZ820))</f>
        <v>99822.459349030352</v>
      </c>
      <c r="BA819" s="154">
        <f t="shared" si="509"/>
        <v>0.31689669731713366</v>
      </c>
      <c r="BC819" s="147">
        <f t="shared" si="530"/>
        <v>6.5026301291900435E-16</v>
      </c>
      <c r="BD819" s="164">
        <f>IF(AND($C818=12,$D818=Input!$C$6),0,IF($E819="","",AT819+(AU819+BD820)/(1+$AK819)*MIN((1-AM819-AN819),1)))</f>
        <v>0</v>
      </c>
      <c r="BE819" s="164">
        <f t="shared" si="510"/>
        <v>0</v>
      </c>
      <c r="BF819" s="164">
        <f t="shared" si="531"/>
        <v>99822.459349030352</v>
      </c>
      <c r="BG819" s="164">
        <f t="shared" si="511"/>
        <v>6.491085317328531E-11</v>
      </c>
      <c r="BH819" s="152"/>
      <c r="BI819" s="162">
        <f t="shared" si="512"/>
        <v>-10270.225012646017</v>
      </c>
      <c r="BJ819" s="150">
        <f t="shared" si="513"/>
        <v>0</v>
      </c>
      <c r="BK819" s="163">
        <f t="shared" si="535"/>
        <v>0</v>
      </c>
      <c r="BL819" s="163">
        <f t="shared" si="514"/>
        <v>9925.1066013443797</v>
      </c>
      <c r="BM819" s="163">
        <f t="shared" si="536"/>
        <v>-59.764103720894205</v>
      </c>
      <c r="BN819" s="163">
        <f t="shared" si="515"/>
        <v>-2231.8495009408975</v>
      </c>
      <c r="BO819" s="163">
        <f t="shared" si="516"/>
        <v>0</v>
      </c>
      <c r="BP819" s="164">
        <f t="shared" si="537"/>
        <v>-22486.945218652192</v>
      </c>
      <c r="BQ819" s="164">
        <f>IF($E819="","",IF(AND($D819=Input!$C$6,$C819=12),0,-BJ820+BK820+BL820-BM820-BN820-BO820+BQ820))</f>
        <v>-22486.907099200205</v>
      </c>
      <c r="BR819" s="161">
        <f t="shared" si="517"/>
        <v>0</v>
      </c>
      <c r="BT819" s="147">
        <f t="shared" si="518"/>
        <v>6.5026301291900435E-16</v>
      </c>
      <c r="BU819" s="164">
        <f>IF(AND($C818=12,$D818=Input!$C$6),0,IF($E819="","",BK819+(BL819+BU820)/(1+$AK819)*MIN((1-T819-U819),1)))</f>
        <v>75690.922437023983</v>
      </c>
      <c r="BV819" s="164">
        <f t="shared" si="519"/>
        <v>4.9219007274517885E-11</v>
      </c>
      <c r="BW819" s="164">
        <f t="shared" si="520"/>
        <v>-22486.907099200205</v>
      </c>
      <c r="BX819" s="164">
        <f t="shared" si="521"/>
        <v>-1.4622403961555675E-11</v>
      </c>
    </row>
    <row r="820" spans="1:76" s="150" customFormat="1" x14ac:dyDescent="0.25">
      <c r="A820" s="150">
        <f t="shared" si="532"/>
        <v>816</v>
      </c>
      <c r="B820" s="150">
        <f t="shared" si="533"/>
        <v>68</v>
      </c>
      <c r="C820" s="150">
        <f t="shared" si="534"/>
        <v>12</v>
      </c>
      <c r="D820" s="150">
        <f>IF(E820="","",Input!$C$4+B820-1)</f>
        <v>112</v>
      </c>
      <c r="E820" s="150">
        <f>IF(OR(AND(C819=12,D819=Input!$C$6),E819=""),"",1)</f>
        <v>1</v>
      </c>
      <c r="F820" s="150">
        <f>IF(E820="","",Input!$C$8+B820-1)</f>
        <v>2085</v>
      </c>
      <c r="G820" s="151">
        <f>IF(E820="","",MAX(0,Input!$C$9-B820))</f>
        <v>0</v>
      </c>
      <c r="H820" s="152">
        <f>IF(E820="","",Input!$C$3)</f>
        <v>100000</v>
      </c>
      <c r="I820" s="153">
        <f>IF(E820="","",HLOOKUP($B820,Input!$C$13:$BT$14,2))</f>
        <v>1000</v>
      </c>
      <c r="J820" s="154"/>
      <c r="K820" s="155">
        <f>IF($E820="","",INDEX(Input!$C$16:$CP$16,1,$B820))</f>
        <v>3.3110000000000001E-2</v>
      </c>
      <c r="L820" s="155">
        <f>IF($E820="","",Input!$C$37)</f>
        <v>1.4999999999999999E-2</v>
      </c>
      <c r="M820" s="155">
        <f t="shared" si="497"/>
        <v>4.811E-2</v>
      </c>
      <c r="N820" s="155">
        <f t="shared" si="498"/>
        <v>3.9233882678277876E-3</v>
      </c>
      <c r="O820" s="147">
        <f>IF($E820="","",MIN(VLOOKUP(IF($B820&lt;=Input!$C$7,$B820,26),'Mortality Tables'!$A$41:$CW$67,IF($B820&lt;=Input!$C$7+1,Input!$C$4+2,$D820-Input!$C$7+2),0)*IF(B820&gt;20,Input!$C$22,1)/1000,1))</f>
        <v>1</v>
      </c>
      <c r="P820" s="147">
        <f>IF($E820="","",MIN(VLOOKUP(IF($B820&lt;=Input!$C$7,$B820,26),'Mortality Tables'!$A$12:$CW$37,IF($B820&lt;=Input!$C$7+1,Input!$C$4+2,$D820-Input!$C$7+2),0)*IF(B820&gt;20,Input!$C$22,1)/1000,1))</f>
        <v>1</v>
      </c>
      <c r="Q820" s="155">
        <f>IF($E820="","",Input!$C$21)</f>
        <v>5.0000000000000001E-3</v>
      </c>
      <c r="R820" s="159">
        <f>IF($E820="","",(1-Q820)^($F820-Input!$C$20))</f>
        <v>0.71473723868313099</v>
      </c>
      <c r="S820" s="147">
        <f t="shared" si="500"/>
        <v>0.71473723868313099</v>
      </c>
      <c r="T820" s="147">
        <f t="shared" si="501"/>
        <v>9.9251066013443801E-2</v>
      </c>
      <c r="U820" s="160">
        <f>IF($E820="","",IF($C820=12,INDEX(Input!$C$15:$CP$15,1,$B820),0))</f>
        <v>0.1</v>
      </c>
      <c r="V820" s="150">
        <f>IF(E820="","",IF(C820=1,IF($B820=1,Input!$C$33,Input!$C$34),0))</f>
        <v>0</v>
      </c>
      <c r="W820" s="156">
        <f>IF($E820="","",Input!$C$35)</f>
        <v>0.02</v>
      </c>
      <c r="X820" s="156">
        <f t="shared" si="499"/>
        <v>3.7688730417113687</v>
      </c>
      <c r="Y820" s="154"/>
      <c r="Z820" s="147">
        <f>IF($E820="","",VLOOKUP($D820,'Mortality Margins &amp; Grading'!$AB$5:$AF$125,3,0)*IF(Summary!$D$25="Included Margin",IF(AND($B820&gt;Input!$C$9,Summary!$D$31&lt;&gt;"Included Margin"),0,1),0))</f>
        <v>0.01</v>
      </c>
      <c r="AA820" s="147">
        <f>IF($E820="","",VLOOKUP($D820,'Mortality Margins &amp; Grading'!$AB$5:$AF$125,5,0)*IF(Summary!$D$25="Included Margin",IF(AND($B820&gt;Input!$C$9,Summary!$D$31&lt;&gt;"Included Margin"),0,1),0))</f>
        <v>5.2999999999999999E-2</v>
      </c>
      <c r="AB820" s="147">
        <f>IF($E820="","",IF(AND($B820&gt;Input!$C$9,Summary!$D$31&lt;&gt;"Included Margin"),1,IF(Summary!$D$25="Included Margin",VLOOKUP($B820,'Mortality Margins &amp; Grading'!$AI$5:$AR$125,MATCH('Mortality Margins &amp; Grading'!$AQ$4,'Mortality Margins &amp; Grading'!$AI$4:$AR$4,0),0),1)))</f>
        <v>0</v>
      </c>
      <c r="AC820" s="154"/>
      <c r="AD820" s="158">
        <f>IF(E820="","",Input!$C$48*IF(Summary!$D$30="Included Margin",IF(AND($B820&gt;Input!$C$9,Summary!$D$31&lt;&gt;"Included Margin"),0,1),0))</f>
        <v>-4.4999999999999997E-3</v>
      </c>
      <c r="AE820" s="159">
        <f>IF(E820="","",IF(Summary!$D$26="Included Margin",IF(AND($B820&gt;Input!$C$9,Summary!$D$31&lt;&gt;"Included Margin"),1,1/$R820),1))</f>
        <v>1.3991155712586796</v>
      </c>
      <c r="AF820" s="160">
        <f>IF(E820="","",IF(AND($B820&gt;=Input!$C$9,$C820=12,Summary!$D$31="Included Margin",$U820&gt;0),1/U820-1,IF($B820&gt;=Input!$C$9,0,Input!$C$45*IF(Summary!$D$27="Included Margin",1,0))))</f>
        <v>9</v>
      </c>
      <c r="AG820" s="160">
        <f>IF(E820="","",Input!$C$46*IF(Summary!$D$28="Included Margin",IF(AND($B820&gt;Input!$C$9,Summary!$D$31&lt;&gt;"Included Margin"),0,1),0))</f>
        <v>0.02</v>
      </c>
      <c r="AH820" s="158">
        <f>IF(E820="","",Input!$C$47*IF(Summary!$D$29="Included Margin",IF(AND($B820&gt;Input!$C$9,Summary!$D$31&lt;&gt;"Included Margin"),0,1),0))</f>
        <v>2.5000000000000001E-3</v>
      </c>
      <c r="AI820" s="154"/>
      <c r="AJ820" s="158">
        <f t="shared" si="522"/>
        <v>4.3610000000000003E-2</v>
      </c>
      <c r="AK820" s="155">
        <f t="shared" si="523"/>
        <v>3.5634888872855264E-3</v>
      </c>
      <c r="AL820" s="147">
        <f t="shared" si="524"/>
        <v>1</v>
      </c>
      <c r="AM820" s="147">
        <f t="shared" si="502"/>
        <v>1</v>
      </c>
      <c r="AN820" s="160">
        <f t="shared" si="525"/>
        <v>1</v>
      </c>
      <c r="AO820" s="161">
        <f t="shared" si="526"/>
        <v>0</v>
      </c>
      <c r="AP820" s="156">
        <f t="shared" si="503"/>
        <v>4.4406057558365504</v>
      </c>
      <c r="AQ820" s="152"/>
      <c r="AR820" s="162">
        <f t="shared" si="504"/>
        <v>99822.142452333035</v>
      </c>
      <c r="AS820" s="150">
        <f t="shared" si="527"/>
        <v>0</v>
      </c>
      <c r="AT820" s="163">
        <f t="shared" si="505"/>
        <v>0</v>
      </c>
      <c r="AU820" s="163">
        <f t="shared" si="506"/>
        <v>100000</v>
      </c>
      <c r="AV820" s="163">
        <f t="shared" si="528"/>
        <v>177.54065096964524</v>
      </c>
      <c r="AW820" s="163">
        <f t="shared" si="507"/>
        <v>0</v>
      </c>
      <c r="AX820" s="163">
        <f t="shared" si="508"/>
        <v>0</v>
      </c>
      <c r="AY820" s="165">
        <f t="shared" si="529"/>
        <v>-0.31689669731957792</v>
      </c>
      <c r="AZ820" s="164">
        <f>IF($E820="","",IF(OR(AND($D820=Input!$C$6,$C820=12),$AN820=1),0,-AS821+AT821+AU821-AV821-AW821-AX821+AZ821))</f>
        <v>0</v>
      </c>
      <c r="BA820" s="154">
        <f t="shared" si="509"/>
        <v>0.31689669731957792</v>
      </c>
      <c r="BC820" s="147">
        <f t="shared" si="530"/>
        <v>5.2069741440577892E-16</v>
      </c>
      <c r="BD820" s="164">
        <f>IF(AND($C819=12,$D819=Input!$C$6),0,IF($E820="","",AT820+(AU820+BD821)/(1+$AK820)*MIN((1-AM820-AN820),1)))</f>
        <v>-99875.660681702939</v>
      </c>
      <c r="BE820" s="164">
        <f t="shared" si="510"/>
        <v>-5.2004998279031632E-11</v>
      </c>
      <c r="BF820" s="164">
        <f t="shared" si="531"/>
        <v>0</v>
      </c>
      <c r="BG820" s="164">
        <f t="shared" si="511"/>
        <v>0</v>
      </c>
      <c r="BH820" s="152"/>
      <c r="BI820" s="162">
        <f t="shared" si="512"/>
        <v>-22486.945218652188</v>
      </c>
      <c r="BJ820" s="150">
        <f t="shared" si="513"/>
        <v>0</v>
      </c>
      <c r="BK820" s="163">
        <f t="shared" si="535"/>
        <v>0</v>
      </c>
      <c r="BL820" s="163">
        <f t="shared" si="514"/>
        <v>9925.1066013443797</v>
      </c>
      <c r="BM820" s="163">
        <f t="shared" si="536"/>
        <v>-107.69504044847349</v>
      </c>
      <c r="BN820" s="163">
        <f t="shared" si="515"/>
        <v>-3981.3976979571239</v>
      </c>
      <c r="BO820" s="163">
        <f t="shared" si="516"/>
        <v>-3613.3009712214512</v>
      </c>
      <c r="BP820" s="164">
        <f t="shared" si="537"/>
        <v>-40114.445529623612</v>
      </c>
      <c r="BQ820" s="164">
        <f>IF($E820="","",IF(AND($D820=Input!$C$6,$C820=12),0,-BJ821+BK821+BL821-BM821-BN821-BO821+BQ821))</f>
        <v>-40114.407410171632</v>
      </c>
      <c r="BR820" s="161">
        <f t="shared" si="517"/>
        <v>0</v>
      </c>
      <c r="BT820" s="147">
        <f t="shared" si="518"/>
        <v>5.2069741440577892E-16</v>
      </c>
      <c r="BU820" s="164">
        <f>IF(AND($C819=12,$D819=Input!$C$6),0,IF($E820="","",BK820+(BL820+BU821)/(1+$AK820)*MIN((1-T820-U820),1)))</f>
        <v>74405.435830505361</v>
      </c>
      <c r="BV820" s="164">
        <f t="shared" si="519"/>
        <v>3.8742718054679242E-11</v>
      </c>
      <c r="BW820" s="164">
        <f t="shared" si="520"/>
        <v>-40114.407410171632</v>
      </c>
      <c r="BX820" s="164">
        <f t="shared" si="521"/>
        <v>-2.0887468218896386E-11</v>
      </c>
    </row>
    <row r="821" spans="1:76" s="150" customFormat="1" x14ac:dyDescent="0.25">
      <c r="A821" s="150">
        <f t="shared" si="532"/>
        <v>817</v>
      </c>
      <c r="B821" s="150">
        <f t="shared" si="533"/>
        <v>69</v>
      </c>
      <c r="C821" s="150">
        <f t="shared" si="534"/>
        <v>1</v>
      </c>
      <c r="D821" s="150">
        <f>IF(E821="","",Input!$C$4+B821-1)</f>
        <v>113</v>
      </c>
      <c r="E821" s="150">
        <f>IF(OR(AND(C820=12,D820=Input!$C$6),E820=""),"",1)</f>
        <v>1</v>
      </c>
      <c r="F821" s="150">
        <f>IF(E821="","",Input!$C$8+B821-1)</f>
        <v>2086</v>
      </c>
      <c r="G821" s="151">
        <f>IF(E821="","",MAX(0,Input!$C$9-B821))</f>
        <v>0</v>
      </c>
      <c r="H821" s="152">
        <f>IF(E821="","",Input!$C$3)</f>
        <v>100000</v>
      </c>
      <c r="I821" s="153">
        <f>IF(E821="","",HLOOKUP($B821,Input!$C$13:$BT$14,2))</f>
        <v>1000</v>
      </c>
      <c r="J821" s="154"/>
      <c r="K821" s="155">
        <f>IF($E821="","",INDEX(Input!$C$16:$CP$16,1,$B821))</f>
        <v>3.313E-2</v>
      </c>
      <c r="L821" s="155">
        <f>IF($E821="","",Input!$C$37)</f>
        <v>1.4999999999999999E-2</v>
      </c>
      <c r="M821" s="155">
        <f t="shared" ref="M821:M884" si="538">IF($E821="","",K821+L821)</f>
        <v>4.8129999999999999E-2</v>
      </c>
      <c r="N821" s="155">
        <f t="shared" ref="N821:N884" si="539">IF($E821="","",(1+M821)^(1/12)-1)</f>
        <v>3.924984656578534E-3</v>
      </c>
      <c r="O821" s="147">
        <f>IF($E821="","",MIN(VLOOKUP(IF($B821&lt;=Input!$C$7,$B821,26),'Mortality Tables'!$A$41:$CW$67,IF($B821&lt;=Input!$C$7+1,Input!$C$4+2,$D821-Input!$C$7+2),0)*IF(B821&gt;20,Input!$C$22,1)/1000,1))</f>
        <v>1</v>
      </c>
      <c r="P821" s="147">
        <f>IF($E821="","",MIN(VLOOKUP(IF($B821&lt;=Input!$C$7,$B821,26),'Mortality Tables'!$A$12:$CW$37,IF($B821&lt;=Input!$C$7+1,Input!$C$4+2,$D821-Input!$C$7+2),0)*IF(B821&gt;20,Input!$C$22,1)/1000,1))</f>
        <v>1</v>
      </c>
      <c r="Q821" s="155">
        <f>IF($E821="","",Input!$C$21)</f>
        <v>5.0000000000000001E-3</v>
      </c>
      <c r="R821" s="159">
        <f>IF($E821="","",(1-Q821)^($F821-Input!$C$20))</f>
        <v>0.71116355248971541</v>
      </c>
      <c r="S821" s="147">
        <f t="shared" si="500"/>
        <v>0.71116355248971541</v>
      </c>
      <c r="T821" s="147">
        <f t="shared" si="501"/>
        <v>9.8316063260749376E-2</v>
      </c>
      <c r="U821" s="160">
        <f>IF($E821="","",IF($C821=12,INDEX(Input!$C$15:$CP$15,1,$B821),0))</f>
        <v>0</v>
      </c>
      <c r="V821" s="150">
        <f>IF(E821="","",IF(C821=1,IF($B821=1,Input!$C$33,Input!$C$34),0))</f>
        <v>50</v>
      </c>
      <c r="W821" s="156">
        <f>IF($E821="","",Input!$C$35)</f>
        <v>0.02</v>
      </c>
      <c r="X821" s="156">
        <f t="shared" ref="X821:X884" si="540">IF($E821="","",IF(B821=1,1,IF(C821=1,(1+W821)*X820,X820)))</f>
        <v>3.844250502545596</v>
      </c>
      <c r="Y821" s="154"/>
      <c r="Z821" s="147">
        <f>IF($E821="","",VLOOKUP($D821,'Mortality Margins &amp; Grading'!$AB$5:$AF$125,3,0)*IF(Summary!$D$25="Included Margin",IF(AND($B821&gt;Input!$C$9,Summary!$D$31&lt;&gt;"Included Margin"),0,1),0))</f>
        <v>0.01</v>
      </c>
      <c r="AA821" s="147">
        <f>IF($E821="","",VLOOKUP($D821,'Mortality Margins &amp; Grading'!$AB$5:$AF$125,5,0)*IF(Summary!$D$25="Included Margin",IF(AND($B821&gt;Input!$C$9,Summary!$D$31&lt;&gt;"Included Margin"),0,1),0))</f>
        <v>5.2999999999999999E-2</v>
      </c>
      <c r="AB821" s="147">
        <f>IF($E821="","",IF(AND($B821&gt;Input!$C$9,Summary!$D$31&lt;&gt;"Included Margin"),1,IF(Summary!$D$25="Included Margin",VLOOKUP($B821,'Mortality Margins &amp; Grading'!$AI$5:$AR$125,MATCH('Mortality Margins &amp; Grading'!$AQ$4,'Mortality Margins &amp; Grading'!$AI$4:$AR$4,0),0),1)))</f>
        <v>0</v>
      </c>
      <c r="AC821" s="154"/>
      <c r="AD821" s="158">
        <f>IF(E821="","",Input!$C$48*IF(Summary!$D$30="Included Margin",IF(AND($B821&gt;Input!$C$9,Summary!$D$31&lt;&gt;"Included Margin"),0,1),0))</f>
        <v>-4.4999999999999997E-3</v>
      </c>
      <c r="AE821" s="159">
        <f>IF(E821="","",IF(Summary!$D$26="Included Margin",IF(AND($B821&gt;Input!$C$9,Summary!$D$31&lt;&gt;"Included Margin"),1,1/$R821),1))</f>
        <v>1.406146302772542</v>
      </c>
      <c r="AF821" s="160">
        <f>IF(E821="","",IF(AND($B821&gt;=Input!$C$9,$C821=12,Summary!$D$31="Included Margin",$U821&gt;0),1/U821-1,IF($B821&gt;=Input!$C$9,0,Input!$C$45*IF(Summary!$D$27="Included Margin",1,0))))</f>
        <v>0</v>
      </c>
      <c r="AG821" s="160">
        <f>IF(E821="","",Input!$C$46*IF(Summary!$D$28="Included Margin",IF(AND($B821&gt;Input!$C$9,Summary!$D$31&lt;&gt;"Included Margin"),0,1),0))</f>
        <v>0.02</v>
      </c>
      <c r="AH821" s="158">
        <f>IF(E821="","",Input!$C$47*IF(Summary!$D$29="Included Margin",IF(AND($B821&gt;Input!$C$9,Summary!$D$31&lt;&gt;"Included Margin"),0,1),0))</f>
        <v>2.5000000000000001E-3</v>
      </c>
      <c r="AI821" s="154"/>
      <c r="AJ821" s="158">
        <f t="shared" si="522"/>
        <v>4.3630000000000002E-2</v>
      </c>
      <c r="AK821" s="155">
        <f t="shared" si="523"/>
        <v>3.5650915847715847E-3</v>
      </c>
      <c r="AL821" s="147">
        <f t="shared" si="524"/>
        <v>1</v>
      </c>
      <c r="AM821" s="147">
        <f t="shared" si="502"/>
        <v>1</v>
      </c>
      <c r="AN821" s="160">
        <f t="shared" si="525"/>
        <v>0</v>
      </c>
      <c r="AO821" s="161">
        <f t="shared" si="526"/>
        <v>51</v>
      </c>
      <c r="AP821" s="156">
        <f t="shared" si="503"/>
        <v>4.5405193853428729</v>
      </c>
      <c r="AQ821" s="152"/>
      <c r="AR821" s="162">
        <f t="shared" si="504"/>
        <v>53.629090973434444</v>
      </c>
      <c r="AS821" s="150">
        <f t="shared" si="527"/>
        <v>100000</v>
      </c>
      <c r="AT821" s="163">
        <f t="shared" si="505"/>
        <v>231.56648865248653</v>
      </c>
      <c r="AU821" s="163">
        <f t="shared" si="506"/>
        <v>100000</v>
      </c>
      <c r="AV821" s="163">
        <f t="shared" si="528"/>
        <v>177.62021611949748</v>
      </c>
      <c r="AW821" s="163">
        <f t="shared" si="507"/>
        <v>99822.379783880504</v>
      </c>
      <c r="AX821" s="163">
        <f t="shared" si="508"/>
        <v>0</v>
      </c>
      <c r="AY821" s="164">
        <f t="shared" si="529"/>
        <v>99822.062602320948</v>
      </c>
      <c r="AZ821" s="164">
        <f>IF($E821="","",IF(OR(AND($D821=Input!$C$6,$C821=12),$AN821=1),0,-AS822+AT822+AU822-AV822-AW822-AX822+AZ822))</f>
        <v>99822.379783880504</v>
      </c>
      <c r="BA821" s="154">
        <f t="shared" si="509"/>
        <v>0.31718155955604743</v>
      </c>
      <c r="BC821" s="147">
        <f t="shared" si="530"/>
        <v>4.6950449447135168E-16</v>
      </c>
      <c r="BD821" s="164">
        <f>IF(AND($C820=12,$D820=Input!$C$6),0,IF($E821="","",AT821+(AU821+BD822)/(1+$AK821)*MIN((1-AM821-AN821),1)))</f>
        <v>231.56648865248653</v>
      </c>
      <c r="BE821" s="164">
        <f t="shared" si="510"/>
        <v>1.0872150719129168E-13</v>
      </c>
      <c r="BF821" s="164">
        <f t="shared" si="531"/>
        <v>99822.379783880504</v>
      </c>
      <c r="BG821" s="164">
        <f t="shared" si="511"/>
        <v>4.6867055957358092E-11</v>
      </c>
      <c r="BH821" s="152"/>
      <c r="BI821" s="162">
        <f t="shared" si="512"/>
        <v>-40114.445201220995</v>
      </c>
      <c r="BJ821" s="150">
        <f t="shared" si="513"/>
        <v>100000</v>
      </c>
      <c r="BK821" s="163">
        <f t="shared" si="535"/>
        <v>192.2125251272798</v>
      </c>
      <c r="BL821" s="163">
        <f t="shared" si="514"/>
        <v>9831.6063260749379</v>
      </c>
      <c r="BM821" s="163">
        <f t="shared" si="536"/>
        <v>215.00100053429151</v>
      </c>
      <c r="BN821" s="163">
        <f t="shared" si="515"/>
        <v>5460.1741835990269</v>
      </c>
      <c r="BO821" s="163">
        <f t="shared" si="516"/>
        <v>0</v>
      </c>
      <c r="BP821" s="164">
        <f t="shared" si="537"/>
        <v>55536.911131710105</v>
      </c>
      <c r="BQ821" s="164">
        <f>IF($E821="","",IF(AND($D821=Input!$C$6,$C821=12),0,-BJ822+BK822+BL822-BM822-BN822-BO822+BQ822))</f>
        <v>55536.948922759468</v>
      </c>
      <c r="BR821" s="161">
        <f t="shared" si="517"/>
        <v>0</v>
      </c>
      <c r="BT821" s="147">
        <f t="shared" si="518"/>
        <v>4.6950449447135168E-16</v>
      </c>
      <c r="BU821" s="164">
        <f>IF(AND($C820=12,$D820=Input!$C$6),0,IF($E821="","",BK821+(BL821+BU822)/(1+$AK821)*MIN((1-T821-U821),1)))</f>
        <v>83325.818382708923</v>
      </c>
      <c r="BV821" s="164">
        <f t="shared" si="519"/>
        <v>3.9121846236185419E-11</v>
      </c>
      <c r="BW821" s="164">
        <f t="shared" si="520"/>
        <v>55536.948922759468</v>
      </c>
      <c r="BX821" s="164">
        <f t="shared" si="521"/>
        <v>2.6074847128461463E-11</v>
      </c>
    </row>
    <row r="822" spans="1:76" s="150" customFormat="1" x14ac:dyDescent="0.25">
      <c r="A822" s="150">
        <f t="shared" si="532"/>
        <v>818</v>
      </c>
      <c r="B822" s="150">
        <f t="shared" si="533"/>
        <v>69</v>
      </c>
      <c r="C822" s="150">
        <f t="shared" si="534"/>
        <v>2</v>
      </c>
      <c r="D822" s="150">
        <f>IF(E822="","",Input!$C$4+B822-1)</f>
        <v>113</v>
      </c>
      <c r="E822" s="150">
        <f>IF(OR(AND(C821=12,D821=Input!$C$6),E821=""),"",1)</f>
        <v>1</v>
      </c>
      <c r="F822" s="150">
        <f>IF(E822="","",Input!$C$8+B822-1)</f>
        <v>2086</v>
      </c>
      <c r="G822" s="151">
        <f>IF(E822="","",MAX(0,Input!$C$9-B822))</f>
        <v>0</v>
      </c>
      <c r="H822" s="152">
        <f>IF(E822="","",Input!$C$3)</f>
        <v>100000</v>
      </c>
      <c r="I822" s="153">
        <f>IF(E822="","",HLOOKUP($B822,Input!$C$13:$BT$14,2))</f>
        <v>1000</v>
      </c>
      <c r="J822" s="154"/>
      <c r="K822" s="155">
        <f>IF($E822="","",INDEX(Input!$C$16:$CP$16,1,$B822))</f>
        <v>3.313E-2</v>
      </c>
      <c r="L822" s="155">
        <f>IF($E822="","",Input!$C$37)</f>
        <v>1.4999999999999999E-2</v>
      </c>
      <c r="M822" s="155">
        <f t="shared" si="538"/>
        <v>4.8129999999999999E-2</v>
      </c>
      <c r="N822" s="155">
        <f t="shared" si="539"/>
        <v>3.924984656578534E-3</v>
      </c>
      <c r="O822" s="147">
        <f>IF($E822="","",MIN(VLOOKUP(IF($B822&lt;=Input!$C$7,$B822,26),'Mortality Tables'!$A$41:$CW$67,IF($B822&lt;=Input!$C$7+1,Input!$C$4+2,$D822-Input!$C$7+2),0)*IF(B822&gt;20,Input!$C$22,1)/1000,1))</f>
        <v>1</v>
      </c>
      <c r="P822" s="147">
        <f>IF($E822="","",MIN(VLOOKUP(IF($B822&lt;=Input!$C$7,$B822,26),'Mortality Tables'!$A$12:$CW$37,IF($B822&lt;=Input!$C$7+1,Input!$C$4+2,$D822-Input!$C$7+2),0)*IF(B822&gt;20,Input!$C$22,1)/1000,1))</f>
        <v>1</v>
      </c>
      <c r="Q822" s="155">
        <f>IF($E822="","",Input!$C$21)</f>
        <v>5.0000000000000001E-3</v>
      </c>
      <c r="R822" s="159">
        <f>IF($E822="","",(1-Q822)^($F822-Input!$C$20))</f>
        <v>0.71116355248971541</v>
      </c>
      <c r="S822" s="147">
        <f t="shared" si="500"/>
        <v>0.71116355248971541</v>
      </c>
      <c r="T822" s="147">
        <f t="shared" si="501"/>
        <v>9.8316063260749376E-2</v>
      </c>
      <c r="U822" s="160">
        <f>IF($E822="","",IF($C822=12,INDEX(Input!$C$15:$CP$15,1,$B822),0))</f>
        <v>0</v>
      </c>
      <c r="V822" s="150">
        <f>IF(E822="","",IF(C822=1,IF($B822=1,Input!$C$33,Input!$C$34),0))</f>
        <v>0</v>
      </c>
      <c r="W822" s="156">
        <f>IF($E822="","",Input!$C$35)</f>
        <v>0.02</v>
      </c>
      <c r="X822" s="156">
        <f t="shared" si="540"/>
        <v>3.844250502545596</v>
      </c>
      <c r="Y822" s="154"/>
      <c r="Z822" s="147">
        <f>IF($E822="","",VLOOKUP($D822,'Mortality Margins &amp; Grading'!$AB$5:$AF$125,3,0)*IF(Summary!$D$25="Included Margin",IF(AND($B822&gt;Input!$C$9,Summary!$D$31&lt;&gt;"Included Margin"),0,1),0))</f>
        <v>0.01</v>
      </c>
      <c r="AA822" s="147">
        <f>IF($E822="","",VLOOKUP($D822,'Mortality Margins &amp; Grading'!$AB$5:$AF$125,5,0)*IF(Summary!$D$25="Included Margin",IF(AND($B822&gt;Input!$C$9,Summary!$D$31&lt;&gt;"Included Margin"),0,1),0))</f>
        <v>5.2999999999999999E-2</v>
      </c>
      <c r="AB822" s="147">
        <f>IF($E822="","",IF(AND($B822&gt;Input!$C$9,Summary!$D$31&lt;&gt;"Included Margin"),1,IF(Summary!$D$25="Included Margin",VLOOKUP($B822,'Mortality Margins &amp; Grading'!$AI$5:$AR$125,MATCH('Mortality Margins &amp; Grading'!$AQ$4,'Mortality Margins &amp; Grading'!$AI$4:$AR$4,0),0),1)))</f>
        <v>0</v>
      </c>
      <c r="AC822" s="154"/>
      <c r="AD822" s="158">
        <f>IF(E822="","",Input!$C$48*IF(Summary!$D$30="Included Margin",IF(AND($B822&gt;Input!$C$9,Summary!$D$31&lt;&gt;"Included Margin"),0,1),0))</f>
        <v>-4.4999999999999997E-3</v>
      </c>
      <c r="AE822" s="159">
        <f>IF(E822="","",IF(Summary!$D$26="Included Margin",IF(AND($B822&gt;Input!$C$9,Summary!$D$31&lt;&gt;"Included Margin"),1,1/$R822),1))</f>
        <v>1.406146302772542</v>
      </c>
      <c r="AF822" s="160">
        <f>IF(E822="","",IF(AND($B822&gt;=Input!$C$9,$C822=12,Summary!$D$31="Included Margin",$U822&gt;0),1/U822-1,IF($B822&gt;=Input!$C$9,0,Input!$C$45*IF(Summary!$D$27="Included Margin",1,0))))</f>
        <v>0</v>
      </c>
      <c r="AG822" s="160">
        <f>IF(E822="","",Input!$C$46*IF(Summary!$D$28="Included Margin",IF(AND($B822&gt;Input!$C$9,Summary!$D$31&lt;&gt;"Included Margin"),0,1),0))</f>
        <v>0.02</v>
      </c>
      <c r="AH822" s="158">
        <f>IF(E822="","",Input!$C$47*IF(Summary!$D$29="Included Margin",IF(AND($B822&gt;Input!$C$9,Summary!$D$31&lt;&gt;"Included Margin"),0,1),0))</f>
        <v>2.5000000000000001E-3</v>
      </c>
      <c r="AI822" s="154"/>
      <c r="AJ822" s="158">
        <f t="shared" si="522"/>
        <v>4.3630000000000002E-2</v>
      </c>
      <c r="AK822" s="155">
        <f t="shared" si="523"/>
        <v>3.5650915847715847E-3</v>
      </c>
      <c r="AL822" s="147">
        <f t="shared" si="524"/>
        <v>1</v>
      </c>
      <c r="AM822" s="147">
        <f t="shared" si="502"/>
        <v>1</v>
      </c>
      <c r="AN822" s="160">
        <f t="shared" si="525"/>
        <v>0</v>
      </c>
      <c r="AO822" s="161">
        <f t="shared" si="526"/>
        <v>0</v>
      </c>
      <c r="AP822" s="156">
        <f t="shared" si="503"/>
        <v>4.5405193853428729</v>
      </c>
      <c r="AQ822" s="152"/>
      <c r="AR822" s="162">
        <f t="shared" si="504"/>
        <v>99822.062602320948</v>
      </c>
      <c r="AS822" s="150">
        <f t="shared" si="527"/>
        <v>0</v>
      </c>
      <c r="AT822" s="163">
        <f t="shared" si="505"/>
        <v>0</v>
      </c>
      <c r="AU822" s="163">
        <f t="shared" si="506"/>
        <v>100000</v>
      </c>
      <c r="AV822" s="163">
        <f t="shared" si="528"/>
        <v>177.62021611949748</v>
      </c>
      <c r="AW822" s="163">
        <f t="shared" si="507"/>
        <v>99822.379783880504</v>
      </c>
      <c r="AX822" s="163">
        <f t="shared" si="508"/>
        <v>0</v>
      </c>
      <c r="AY822" s="165">
        <f t="shared" si="529"/>
        <v>99822.062602320948</v>
      </c>
      <c r="AZ822" s="164">
        <f>IF($E822="","",IF(OR(AND($D822=Input!$C$6,$C822=12),$AN822=1),0,-AS823+AT823+AU823-AV823-AW823-AX823+AZ823))</f>
        <v>99822.379783880504</v>
      </c>
      <c r="BA822" s="154">
        <f t="shared" si="509"/>
        <v>0.31718155955604743</v>
      </c>
      <c r="BC822" s="147">
        <f t="shared" si="530"/>
        <v>4.2334466089170011E-16</v>
      </c>
      <c r="BD822" s="164">
        <f>IF(AND($C821=12,$D821=Input!$C$6),0,IF($E822="","",AT822+(AU822+BD823)/(1+$AK822)*MIN((1-AM822-AN822),1)))</f>
        <v>0</v>
      </c>
      <c r="BE822" s="164">
        <f t="shared" si="510"/>
        <v>0</v>
      </c>
      <c r="BF822" s="164">
        <f t="shared" si="531"/>
        <v>99822.379783880504</v>
      </c>
      <c r="BG822" s="164">
        <f t="shared" si="511"/>
        <v>4.2259271519009393E-11</v>
      </c>
      <c r="BH822" s="152"/>
      <c r="BI822" s="162">
        <f t="shared" si="512"/>
        <v>55536.911131710105</v>
      </c>
      <c r="BJ822" s="150">
        <f t="shared" si="513"/>
        <v>0</v>
      </c>
      <c r="BK822" s="163">
        <f t="shared" si="535"/>
        <v>0</v>
      </c>
      <c r="BL822" s="163">
        <f t="shared" si="514"/>
        <v>9831.6063260749379</v>
      </c>
      <c r="BM822" s="163">
        <f t="shared" si="536"/>
        <v>198.68707207604547</v>
      </c>
      <c r="BN822" s="163">
        <f t="shared" si="515"/>
        <v>5005.1945043602145</v>
      </c>
      <c r="BO822" s="163">
        <f t="shared" si="516"/>
        <v>0</v>
      </c>
      <c r="BP822" s="164">
        <f t="shared" si="537"/>
        <v>50909.186382071435</v>
      </c>
      <c r="BQ822" s="164">
        <f>IF($E822="","",IF(AND($D822=Input!$C$6,$C822=12),0,-BJ823+BK823+BL823-BM823-BN823-BO823+BQ823))</f>
        <v>50909.224173120791</v>
      </c>
      <c r="BR822" s="161">
        <f t="shared" si="517"/>
        <v>0</v>
      </c>
      <c r="BT822" s="147">
        <f t="shared" si="518"/>
        <v>4.2334466089170011E-16</v>
      </c>
      <c r="BU822" s="164">
        <f>IF(AND($C821=12,$D821=Input!$C$6),0,IF($E822="","",BK822+(BL822+BU823)/(1+$AK822)*MIN((1-T822-U822),1)))</f>
        <v>82695.255223597473</v>
      </c>
      <c r="BV822" s="164">
        <f t="shared" si="519"/>
        <v>3.5008594779986462E-11</v>
      </c>
      <c r="BW822" s="164">
        <f t="shared" si="520"/>
        <v>50909.224173120791</v>
      </c>
      <c r="BX822" s="164">
        <f t="shared" si="521"/>
        <v>2.1552148243829362E-11</v>
      </c>
    </row>
    <row r="823" spans="1:76" s="150" customFormat="1" x14ac:dyDescent="0.25">
      <c r="A823" s="150">
        <f t="shared" si="532"/>
        <v>819</v>
      </c>
      <c r="B823" s="150">
        <f t="shared" si="533"/>
        <v>69</v>
      </c>
      <c r="C823" s="150">
        <f t="shared" si="534"/>
        <v>3</v>
      </c>
      <c r="D823" s="150">
        <f>IF(E823="","",Input!$C$4+B823-1)</f>
        <v>113</v>
      </c>
      <c r="E823" s="150">
        <f>IF(OR(AND(C822=12,D822=Input!$C$6),E822=""),"",1)</f>
        <v>1</v>
      </c>
      <c r="F823" s="150">
        <f>IF(E823="","",Input!$C$8+B823-1)</f>
        <v>2086</v>
      </c>
      <c r="G823" s="151">
        <f>IF(E823="","",MAX(0,Input!$C$9-B823))</f>
        <v>0</v>
      </c>
      <c r="H823" s="152">
        <f>IF(E823="","",Input!$C$3)</f>
        <v>100000</v>
      </c>
      <c r="I823" s="153">
        <f>IF(E823="","",HLOOKUP($B823,Input!$C$13:$BT$14,2))</f>
        <v>1000</v>
      </c>
      <c r="J823" s="154"/>
      <c r="K823" s="155">
        <f>IF($E823="","",INDEX(Input!$C$16:$CP$16,1,$B823))</f>
        <v>3.313E-2</v>
      </c>
      <c r="L823" s="155">
        <f>IF($E823="","",Input!$C$37)</f>
        <v>1.4999999999999999E-2</v>
      </c>
      <c r="M823" s="155">
        <f t="shared" si="538"/>
        <v>4.8129999999999999E-2</v>
      </c>
      <c r="N823" s="155">
        <f t="shared" si="539"/>
        <v>3.924984656578534E-3</v>
      </c>
      <c r="O823" s="147">
        <f>IF($E823="","",MIN(VLOOKUP(IF($B823&lt;=Input!$C$7,$B823,26),'Mortality Tables'!$A$41:$CW$67,IF($B823&lt;=Input!$C$7+1,Input!$C$4+2,$D823-Input!$C$7+2),0)*IF(B823&gt;20,Input!$C$22,1)/1000,1))</f>
        <v>1</v>
      </c>
      <c r="P823" s="147">
        <f>IF($E823="","",MIN(VLOOKUP(IF($B823&lt;=Input!$C$7,$B823,26),'Mortality Tables'!$A$12:$CW$37,IF($B823&lt;=Input!$C$7+1,Input!$C$4+2,$D823-Input!$C$7+2),0)*IF(B823&gt;20,Input!$C$22,1)/1000,1))</f>
        <v>1</v>
      </c>
      <c r="Q823" s="155">
        <f>IF($E823="","",Input!$C$21)</f>
        <v>5.0000000000000001E-3</v>
      </c>
      <c r="R823" s="159">
        <f>IF($E823="","",(1-Q823)^($F823-Input!$C$20))</f>
        <v>0.71116355248971541</v>
      </c>
      <c r="S823" s="147">
        <f t="shared" si="500"/>
        <v>0.71116355248971541</v>
      </c>
      <c r="T823" s="147">
        <f t="shared" si="501"/>
        <v>9.8316063260749376E-2</v>
      </c>
      <c r="U823" s="160">
        <f>IF($E823="","",IF($C823=12,INDEX(Input!$C$15:$CP$15,1,$B823),0))</f>
        <v>0</v>
      </c>
      <c r="V823" s="150">
        <f>IF(E823="","",IF(C823=1,IF($B823=1,Input!$C$33,Input!$C$34),0))</f>
        <v>0</v>
      </c>
      <c r="W823" s="156">
        <f>IF($E823="","",Input!$C$35)</f>
        <v>0.02</v>
      </c>
      <c r="X823" s="156">
        <f t="shared" si="540"/>
        <v>3.844250502545596</v>
      </c>
      <c r="Y823" s="154"/>
      <c r="Z823" s="147">
        <f>IF($E823="","",VLOOKUP($D823,'Mortality Margins &amp; Grading'!$AB$5:$AF$125,3,0)*IF(Summary!$D$25="Included Margin",IF(AND($B823&gt;Input!$C$9,Summary!$D$31&lt;&gt;"Included Margin"),0,1),0))</f>
        <v>0.01</v>
      </c>
      <c r="AA823" s="147">
        <f>IF($E823="","",VLOOKUP($D823,'Mortality Margins &amp; Grading'!$AB$5:$AF$125,5,0)*IF(Summary!$D$25="Included Margin",IF(AND($B823&gt;Input!$C$9,Summary!$D$31&lt;&gt;"Included Margin"),0,1),0))</f>
        <v>5.2999999999999999E-2</v>
      </c>
      <c r="AB823" s="147">
        <f>IF($E823="","",IF(AND($B823&gt;Input!$C$9,Summary!$D$31&lt;&gt;"Included Margin"),1,IF(Summary!$D$25="Included Margin",VLOOKUP($B823,'Mortality Margins &amp; Grading'!$AI$5:$AR$125,MATCH('Mortality Margins &amp; Grading'!$AQ$4,'Mortality Margins &amp; Grading'!$AI$4:$AR$4,0),0),1)))</f>
        <v>0</v>
      </c>
      <c r="AC823" s="154"/>
      <c r="AD823" s="158">
        <f>IF(E823="","",Input!$C$48*IF(Summary!$D$30="Included Margin",IF(AND($B823&gt;Input!$C$9,Summary!$D$31&lt;&gt;"Included Margin"),0,1),0))</f>
        <v>-4.4999999999999997E-3</v>
      </c>
      <c r="AE823" s="159">
        <f>IF(E823="","",IF(Summary!$D$26="Included Margin",IF(AND($B823&gt;Input!$C$9,Summary!$D$31&lt;&gt;"Included Margin"),1,1/$R823),1))</f>
        <v>1.406146302772542</v>
      </c>
      <c r="AF823" s="160">
        <f>IF(E823="","",IF(AND($B823&gt;=Input!$C$9,$C823=12,Summary!$D$31="Included Margin",$U823&gt;0),1/U823-1,IF($B823&gt;=Input!$C$9,0,Input!$C$45*IF(Summary!$D$27="Included Margin",1,0))))</f>
        <v>0</v>
      </c>
      <c r="AG823" s="160">
        <f>IF(E823="","",Input!$C$46*IF(Summary!$D$28="Included Margin",IF(AND($B823&gt;Input!$C$9,Summary!$D$31&lt;&gt;"Included Margin"),0,1),0))</f>
        <v>0.02</v>
      </c>
      <c r="AH823" s="158">
        <f>IF(E823="","",Input!$C$47*IF(Summary!$D$29="Included Margin",IF(AND($B823&gt;Input!$C$9,Summary!$D$31&lt;&gt;"Included Margin"),0,1),0))</f>
        <v>2.5000000000000001E-3</v>
      </c>
      <c r="AI823" s="154"/>
      <c r="AJ823" s="158">
        <f t="shared" si="522"/>
        <v>4.3630000000000002E-2</v>
      </c>
      <c r="AK823" s="155">
        <f t="shared" si="523"/>
        <v>3.5650915847715847E-3</v>
      </c>
      <c r="AL823" s="147">
        <f t="shared" si="524"/>
        <v>1</v>
      </c>
      <c r="AM823" s="147">
        <f t="shared" si="502"/>
        <v>1</v>
      </c>
      <c r="AN823" s="160">
        <f t="shared" si="525"/>
        <v>0</v>
      </c>
      <c r="AO823" s="161">
        <f t="shared" si="526"/>
        <v>0</v>
      </c>
      <c r="AP823" s="156">
        <f t="shared" si="503"/>
        <v>4.5405193853428729</v>
      </c>
      <c r="AQ823" s="152"/>
      <c r="AR823" s="162">
        <f t="shared" si="504"/>
        <v>99822.062602320948</v>
      </c>
      <c r="AS823" s="150">
        <f t="shared" si="527"/>
        <v>0</v>
      </c>
      <c r="AT823" s="163">
        <f t="shared" si="505"/>
        <v>0</v>
      </c>
      <c r="AU823" s="163">
        <f t="shared" si="506"/>
        <v>100000</v>
      </c>
      <c r="AV823" s="163">
        <f t="shared" si="528"/>
        <v>177.62021611949748</v>
      </c>
      <c r="AW823" s="163">
        <f t="shared" si="507"/>
        <v>99822.379783880504</v>
      </c>
      <c r="AX823" s="163">
        <f t="shared" si="508"/>
        <v>0</v>
      </c>
      <c r="AY823" s="164">
        <f t="shared" si="529"/>
        <v>99822.062602320948</v>
      </c>
      <c r="AZ823" s="164">
        <f>IF($E823="","",IF(OR(AND($D823=Input!$C$6,$C823=12),$AN823=1),0,-AS824+AT824+AU824-AV824-AW824-AX824+AZ824))</f>
        <v>99822.379783880504</v>
      </c>
      <c r="BA823" s="154">
        <f t="shared" si="509"/>
        <v>0.31718155955604743</v>
      </c>
      <c r="BC823" s="147">
        <f t="shared" si="530"/>
        <v>3.8172308043037121E-16</v>
      </c>
      <c r="BD823" s="164">
        <f>IF(AND($C822=12,$D822=Input!$C$6),0,IF($E823="","",AT823+(AU823+BD824)/(1+$AK823)*MIN((1-AM823-AN823),1)))</f>
        <v>0</v>
      </c>
      <c r="BE823" s="164">
        <f t="shared" si="510"/>
        <v>0</v>
      </c>
      <c r="BF823" s="164">
        <f t="shared" si="531"/>
        <v>99822.379783880504</v>
      </c>
      <c r="BG823" s="164">
        <f t="shared" si="511"/>
        <v>3.8104506306993279E-11</v>
      </c>
      <c r="BH823" s="152"/>
      <c r="BI823" s="162">
        <f t="shared" si="512"/>
        <v>50909.186382071428</v>
      </c>
      <c r="BJ823" s="150">
        <f t="shared" si="513"/>
        <v>0</v>
      </c>
      <c r="BK823" s="163">
        <f t="shared" si="535"/>
        <v>0</v>
      </c>
      <c r="BL823" s="163">
        <f t="shared" si="514"/>
        <v>9831.6063260749379</v>
      </c>
      <c r="BM823" s="163">
        <f t="shared" si="536"/>
        <v>180.52332343884493</v>
      </c>
      <c r="BN823" s="163">
        <f t="shared" si="515"/>
        <v>4498.6251302282162</v>
      </c>
      <c r="BO823" s="163">
        <f t="shared" si="516"/>
        <v>0</v>
      </c>
      <c r="BP823" s="164">
        <f t="shared" si="537"/>
        <v>45756.728509663553</v>
      </c>
      <c r="BQ823" s="164">
        <f>IF($E823="","",IF(AND($D823=Input!$C$6,$C823=12),0,-BJ824+BK824+BL824-BM824-BN824-BO824+BQ824))</f>
        <v>45756.766300712916</v>
      </c>
      <c r="BR823" s="161">
        <f t="shared" si="517"/>
        <v>0</v>
      </c>
      <c r="BT823" s="147">
        <f t="shared" si="518"/>
        <v>3.8172308043037121E-16</v>
      </c>
      <c r="BU823" s="164">
        <f>IF(AND($C822=12,$D822=Input!$C$6),0,IF($E823="","",BK823+(BL823+BU824)/(1+$AK823)*MIN((1-T823-U823),1)))</f>
        <v>82207.375406495034</v>
      </c>
      <c r="BV823" s="164">
        <f t="shared" si="519"/>
        <v>3.1380452574263221E-11</v>
      </c>
      <c r="BW823" s="164">
        <f t="shared" si="520"/>
        <v>45756.766300712916</v>
      </c>
      <c r="BX823" s="164">
        <f t="shared" si="521"/>
        <v>1.7466413782840736E-11</v>
      </c>
    </row>
    <row r="824" spans="1:76" s="150" customFormat="1" x14ac:dyDescent="0.25">
      <c r="A824" s="150">
        <f t="shared" si="532"/>
        <v>820</v>
      </c>
      <c r="B824" s="150">
        <f t="shared" si="533"/>
        <v>69</v>
      </c>
      <c r="C824" s="150">
        <f t="shared" si="534"/>
        <v>4</v>
      </c>
      <c r="D824" s="150">
        <f>IF(E824="","",Input!$C$4+B824-1)</f>
        <v>113</v>
      </c>
      <c r="E824" s="150">
        <f>IF(OR(AND(C823=12,D823=Input!$C$6),E823=""),"",1)</f>
        <v>1</v>
      </c>
      <c r="F824" s="150">
        <f>IF(E824="","",Input!$C$8+B824-1)</f>
        <v>2086</v>
      </c>
      <c r="G824" s="151">
        <f>IF(E824="","",MAX(0,Input!$C$9-B824))</f>
        <v>0</v>
      </c>
      <c r="H824" s="152">
        <f>IF(E824="","",Input!$C$3)</f>
        <v>100000</v>
      </c>
      <c r="I824" s="153">
        <f>IF(E824="","",HLOOKUP($B824,Input!$C$13:$BT$14,2))</f>
        <v>1000</v>
      </c>
      <c r="J824" s="154"/>
      <c r="K824" s="155">
        <f>IF($E824="","",INDEX(Input!$C$16:$CP$16,1,$B824))</f>
        <v>3.313E-2</v>
      </c>
      <c r="L824" s="155">
        <f>IF($E824="","",Input!$C$37)</f>
        <v>1.4999999999999999E-2</v>
      </c>
      <c r="M824" s="155">
        <f t="shared" si="538"/>
        <v>4.8129999999999999E-2</v>
      </c>
      <c r="N824" s="155">
        <f t="shared" si="539"/>
        <v>3.924984656578534E-3</v>
      </c>
      <c r="O824" s="147">
        <f>IF($E824="","",MIN(VLOOKUP(IF($B824&lt;=Input!$C$7,$B824,26),'Mortality Tables'!$A$41:$CW$67,IF($B824&lt;=Input!$C$7+1,Input!$C$4+2,$D824-Input!$C$7+2),0)*IF(B824&gt;20,Input!$C$22,1)/1000,1))</f>
        <v>1</v>
      </c>
      <c r="P824" s="147">
        <f>IF($E824="","",MIN(VLOOKUP(IF($B824&lt;=Input!$C$7,$B824,26),'Mortality Tables'!$A$12:$CW$37,IF($B824&lt;=Input!$C$7+1,Input!$C$4+2,$D824-Input!$C$7+2),0)*IF(B824&gt;20,Input!$C$22,1)/1000,1))</f>
        <v>1</v>
      </c>
      <c r="Q824" s="155">
        <f>IF($E824="","",Input!$C$21)</f>
        <v>5.0000000000000001E-3</v>
      </c>
      <c r="R824" s="159">
        <f>IF($E824="","",(1-Q824)^($F824-Input!$C$20))</f>
        <v>0.71116355248971541</v>
      </c>
      <c r="S824" s="147">
        <f t="shared" si="500"/>
        <v>0.71116355248971541</v>
      </c>
      <c r="T824" s="147">
        <f t="shared" si="501"/>
        <v>9.8316063260749376E-2</v>
      </c>
      <c r="U824" s="160">
        <f>IF($E824="","",IF($C824=12,INDEX(Input!$C$15:$CP$15,1,$B824),0))</f>
        <v>0</v>
      </c>
      <c r="V824" s="150">
        <f>IF(E824="","",IF(C824=1,IF($B824=1,Input!$C$33,Input!$C$34),0))</f>
        <v>0</v>
      </c>
      <c r="W824" s="156">
        <f>IF($E824="","",Input!$C$35)</f>
        <v>0.02</v>
      </c>
      <c r="X824" s="156">
        <f t="shared" si="540"/>
        <v>3.844250502545596</v>
      </c>
      <c r="Y824" s="154"/>
      <c r="Z824" s="147">
        <f>IF($E824="","",VLOOKUP($D824,'Mortality Margins &amp; Grading'!$AB$5:$AF$125,3,0)*IF(Summary!$D$25="Included Margin",IF(AND($B824&gt;Input!$C$9,Summary!$D$31&lt;&gt;"Included Margin"),0,1),0))</f>
        <v>0.01</v>
      </c>
      <c r="AA824" s="147">
        <f>IF($E824="","",VLOOKUP($D824,'Mortality Margins &amp; Grading'!$AB$5:$AF$125,5,0)*IF(Summary!$D$25="Included Margin",IF(AND($B824&gt;Input!$C$9,Summary!$D$31&lt;&gt;"Included Margin"),0,1),0))</f>
        <v>5.2999999999999999E-2</v>
      </c>
      <c r="AB824" s="147">
        <f>IF($E824="","",IF(AND($B824&gt;Input!$C$9,Summary!$D$31&lt;&gt;"Included Margin"),1,IF(Summary!$D$25="Included Margin",VLOOKUP($B824,'Mortality Margins &amp; Grading'!$AI$5:$AR$125,MATCH('Mortality Margins &amp; Grading'!$AQ$4,'Mortality Margins &amp; Grading'!$AI$4:$AR$4,0),0),1)))</f>
        <v>0</v>
      </c>
      <c r="AC824" s="154"/>
      <c r="AD824" s="158">
        <f>IF(E824="","",Input!$C$48*IF(Summary!$D$30="Included Margin",IF(AND($B824&gt;Input!$C$9,Summary!$D$31&lt;&gt;"Included Margin"),0,1),0))</f>
        <v>-4.4999999999999997E-3</v>
      </c>
      <c r="AE824" s="159">
        <f>IF(E824="","",IF(Summary!$D$26="Included Margin",IF(AND($B824&gt;Input!$C$9,Summary!$D$31&lt;&gt;"Included Margin"),1,1/$R824),1))</f>
        <v>1.406146302772542</v>
      </c>
      <c r="AF824" s="160">
        <f>IF(E824="","",IF(AND($B824&gt;=Input!$C$9,$C824=12,Summary!$D$31="Included Margin",$U824&gt;0),1/U824-1,IF($B824&gt;=Input!$C$9,0,Input!$C$45*IF(Summary!$D$27="Included Margin",1,0))))</f>
        <v>0</v>
      </c>
      <c r="AG824" s="160">
        <f>IF(E824="","",Input!$C$46*IF(Summary!$D$28="Included Margin",IF(AND($B824&gt;Input!$C$9,Summary!$D$31&lt;&gt;"Included Margin"),0,1),0))</f>
        <v>0.02</v>
      </c>
      <c r="AH824" s="158">
        <f>IF(E824="","",Input!$C$47*IF(Summary!$D$29="Included Margin",IF(AND($B824&gt;Input!$C$9,Summary!$D$31&lt;&gt;"Included Margin"),0,1),0))</f>
        <v>2.5000000000000001E-3</v>
      </c>
      <c r="AI824" s="154"/>
      <c r="AJ824" s="158">
        <f t="shared" si="522"/>
        <v>4.3630000000000002E-2</v>
      </c>
      <c r="AK824" s="155">
        <f t="shared" si="523"/>
        <v>3.5650915847715847E-3</v>
      </c>
      <c r="AL824" s="147">
        <f t="shared" si="524"/>
        <v>1</v>
      </c>
      <c r="AM824" s="147">
        <f t="shared" si="502"/>
        <v>1</v>
      </c>
      <c r="AN824" s="160">
        <f t="shared" si="525"/>
        <v>0</v>
      </c>
      <c r="AO824" s="161">
        <f t="shared" si="526"/>
        <v>0</v>
      </c>
      <c r="AP824" s="156">
        <f t="shared" si="503"/>
        <v>4.5405193853428729</v>
      </c>
      <c r="AQ824" s="152"/>
      <c r="AR824" s="162">
        <f t="shared" si="504"/>
        <v>99822.062602320948</v>
      </c>
      <c r="AS824" s="150">
        <f t="shared" si="527"/>
        <v>0</v>
      </c>
      <c r="AT824" s="163">
        <f t="shared" si="505"/>
        <v>0</v>
      </c>
      <c r="AU824" s="163">
        <f t="shared" si="506"/>
        <v>100000</v>
      </c>
      <c r="AV824" s="163">
        <f t="shared" si="528"/>
        <v>177.62021611949748</v>
      </c>
      <c r="AW824" s="163">
        <f t="shared" si="507"/>
        <v>99822.379783880504</v>
      </c>
      <c r="AX824" s="163">
        <f t="shared" si="508"/>
        <v>0</v>
      </c>
      <c r="AY824" s="165">
        <f t="shared" si="529"/>
        <v>99822.062602320948</v>
      </c>
      <c r="AZ824" s="164">
        <f>IF($E824="","",IF(OR(AND($D824=Input!$C$6,$C824=12),$AN824=1),0,-AS825+AT825+AU825-AV825-AW825-AX825+AZ825))</f>
        <v>99822.379783880504</v>
      </c>
      <c r="BA824" s="154">
        <f t="shared" si="509"/>
        <v>0.31718155955604743</v>
      </c>
      <c r="BC824" s="147">
        <f t="shared" si="530"/>
        <v>3.441935699066907E-16</v>
      </c>
      <c r="BD824" s="164">
        <f>IF(AND($C823=12,$D823=Input!$C$6),0,IF($E824="","",AT824+(AU824+BD825)/(1+$AK824)*MIN((1-AM824-AN824),1)))</f>
        <v>0</v>
      </c>
      <c r="BE824" s="164">
        <f t="shared" si="510"/>
        <v>0</v>
      </c>
      <c r="BF824" s="164">
        <f t="shared" si="531"/>
        <v>99822.379783880504</v>
      </c>
      <c r="BG824" s="164">
        <f t="shared" si="511"/>
        <v>3.4358221254395305E-11</v>
      </c>
      <c r="BH824" s="152"/>
      <c r="BI824" s="162">
        <f t="shared" si="512"/>
        <v>45756.728509663553</v>
      </c>
      <c r="BJ824" s="150">
        <f t="shared" si="513"/>
        <v>0</v>
      </c>
      <c r="BK824" s="163">
        <f t="shared" si="535"/>
        <v>0</v>
      </c>
      <c r="BL824" s="163">
        <f t="shared" si="514"/>
        <v>9831.6063260749379</v>
      </c>
      <c r="BM824" s="163">
        <f t="shared" si="536"/>
        <v>160.30000534597673</v>
      </c>
      <c r="BN824" s="163">
        <f t="shared" si="515"/>
        <v>3934.6163568302441</v>
      </c>
      <c r="BO824" s="163">
        <f t="shared" si="516"/>
        <v>0</v>
      </c>
      <c r="BP824" s="164">
        <f t="shared" si="537"/>
        <v>40020.038545764837</v>
      </c>
      <c r="BQ824" s="164">
        <f>IF($E824="","",IF(AND($D824=Input!$C$6,$C824=12),0,-BJ825+BK825+BL825-BM825-BN825-BO825+BQ825))</f>
        <v>40020.0763368142</v>
      </c>
      <c r="BR824" s="161">
        <f t="shared" si="517"/>
        <v>0</v>
      </c>
      <c r="BT824" s="147">
        <f t="shared" si="518"/>
        <v>3.441935699066907E-16</v>
      </c>
      <c r="BU824" s="164">
        <f>IF(AND($C823=12,$D823=Input!$C$6),0,IF($E824="","",BK824+(BL824+BU825)/(1+$AK824)*MIN((1-T824-U824),1)))</f>
        <v>81664.370110089978</v>
      </c>
      <c r="BV824" s="164">
        <f t="shared" si="519"/>
        <v>2.8108351082373116E-11</v>
      </c>
      <c r="BW824" s="164">
        <f t="shared" si="520"/>
        <v>40020.0763368142</v>
      </c>
      <c r="BX824" s="164">
        <f t="shared" si="521"/>
        <v>1.3774652942306357E-11</v>
      </c>
    </row>
    <row r="825" spans="1:76" s="150" customFormat="1" x14ac:dyDescent="0.25">
      <c r="A825" s="150">
        <f t="shared" si="532"/>
        <v>821</v>
      </c>
      <c r="B825" s="150">
        <f t="shared" si="533"/>
        <v>69</v>
      </c>
      <c r="C825" s="150">
        <f t="shared" si="534"/>
        <v>5</v>
      </c>
      <c r="D825" s="150">
        <f>IF(E825="","",Input!$C$4+B825-1)</f>
        <v>113</v>
      </c>
      <c r="E825" s="150">
        <f>IF(OR(AND(C824=12,D824=Input!$C$6),E824=""),"",1)</f>
        <v>1</v>
      </c>
      <c r="F825" s="150">
        <f>IF(E825="","",Input!$C$8+B825-1)</f>
        <v>2086</v>
      </c>
      <c r="G825" s="151">
        <f>IF(E825="","",MAX(0,Input!$C$9-B825))</f>
        <v>0</v>
      </c>
      <c r="H825" s="152">
        <f>IF(E825="","",Input!$C$3)</f>
        <v>100000</v>
      </c>
      <c r="I825" s="153">
        <f>IF(E825="","",HLOOKUP($B825,Input!$C$13:$BT$14,2))</f>
        <v>1000</v>
      </c>
      <c r="J825" s="154"/>
      <c r="K825" s="155">
        <f>IF($E825="","",INDEX(Input!$C$16:$CP$16,1,$B825))</f>
        <v>3.313E-2</v>
      </c>
      <c r="L825" s="155">
        <f>IF($E825="","",Input!$C$37)</f>
        <v>1.4999999999999999E-2</v>
      </c>
      <c r="M825" s="155">
        <f t="shared" si="538"/>
        <v>4.8129999999999999E-2</v>
      </c>
      <c r="N825" s="155">
        <f t="shared" si="539"/>
        <v>3.924984656578534E-3</v>
      </c>
      <c r="O825" s="147">
        <f>IF($E825="","",MIN(VLOOKUP(IF($B825&lt;=Input!$C$7,$B825,26),'Mortality Tables'!$A$41:$CW$67,IF($B825&lt;=Input!$C$7+1,Input!$C$4+2,$D825-Input!$C$7+2),0)*IF(B825&gt;20,Input!$C$22,1)/1000,1))</f>
        <v>1</v>
      </c>
      <c r="P825" s="147">
        <f>IF($E825="","",MIN(VLOOKUP(IF($B825&lt;=Input!$C$7,$B825,26),'Mortality Tables'!$A$12:$CW$37,IF($B825&lt;=Input!$C$7+1,Input!$C$4+2,$D825-Input!$C$7+2),0)*IF(B825&gt;20,Input!$C$22,1)/1000,1))</f>
        <v>1</v>
      </c>
      <c r="Q825" s="155">
        <f>IF($E825="","",Input!$C$21)</f>
        <v>5.0000000000000001E-3</v>
      </c>
      <c r="R825" s="159">
        <f>IF($E825="","",(1-Q825)^($F825-Input!$C$20))</f>
        <v>0.71116355248971541</v>
      </c>
      <c r="S825" s="147">
        <f t="shared" si="500"/>
        <v>0.71116355248971541</v>
      </c>
      <c r="T825" s="147">
        <f t="shared" si="501"/>
        <v>9.8316063260749376E-2</v>
      </c>
      <c r="U825" s="160">
        <f>IF($E825="","",IF($C825=12,INDEX(Input!$C$15:$CP$15,1,$B825),0))</f>
        <v>0</v>
      </c>
      <c r="V825" s="150">
        <f>IF(E825="","",IF(C825=1,IF($B825=1,Input!$C$33,Input!$C$34),0))</f>
        <v>0</v>
      </c>
      <c r="W825" s="156">
        <f>IF($E825="","",Input!$C$35)</f>
        <v>0.02</v>
      </c>
      <c r="X825" s="156">
        <f t="shared" si="540"/>
        <v>3.844250502545596</v>
      </c>
      <c r="Y825" s="154"/>
      <c r="Z825" s="147">
        <f>IF($E825="","",VLOOKUP($D825,'Mortality Margins &amp; Grading'!$AB$5:$AF$125,3,0)*IF(Summary!$D$25="Included Margin",IF(AND($B825&gt;Input!$C$9,Summary!$D$31&lt;&gt;"Included Margin"),0,1),0))</f>
        <v>0.01</v>
      </c>
      <c r="AA825" s="147">
        <f>IF($E825="","",VLOOKUP($D825,'Mortality Margins &amp; Grading'!$AB$5:$AF$125,5,0)*IF(Summary!$D$25="Included Margin",IF(AND($B825&gt;Input!$C$9,Summary!$D$31&lt;&gt;"Included Margin"),0,1),0))</f>
        <v>5.2999999999999999E-2</v>
      </c>
      <c r="AB825" s="147">
        <f>IF($E825="","",IF(AND($B825&gt;Input!$C$9,Summary!$D$31&lt;&gt;"Included Margin"),1,IF(Summary!$D$25="Included Margin",VLOOKUP($B825,'Mortality Margins &amp; Grading'!$AI$5:$AR$125,MATCH('Mortality Margins &amp; Grading'!$AQ$4,'Mortality Margins &amp; Grading'!$AI$4:$AR$4,0),0),1)))</f>
        <v>0</v>
      </c>
      <c r="AC825" s="154"/>
      <c r="AD825" s="158">
        <f>IF(E825="","",Input!$C$48*IF(Summary!$D$30="Included Margin",IF(AND($B825&gt;Input!$C$9,Summary!$D$31&lt;&gt;"Included Margin"),0,1),0))</f>
        <v>-4.4999999999999997E-3</v>
      </c>
      <c r="AE825" s="159">
        <f>IF(E825="","",IF(Summary!$D$26="Included Margin",IF(AND($B825&gt;Input!$C$9,Summary!$D$31&lt;&gt;"Included Margin"),1,1/$R825),1))</f>
        <v>1.406146302772542</v>
      </c>
      <c r="AF825" s="160">
        <f>IF(E825="","",IF(AND($B825&gt;=Input!$C$9,$C825=12,Summary!$D$31="Included Margin",$U825&gt;0),1/U825-1,IF($B825&gt;=Input!$C$9,0,Input!$C$45*IF(Summary!$D$27="Included Margin",1,0))))</f>
        <v>0</v>
      </c>
      <c r="AG825" s="160">
        <f>IF(E825="","",Input!$C$46*IF(Summary!$D$28="Included Margin",IF(AND($B825&gt;Input!$C$9,Summary!$D$31&lt;&gt;"Included Margin"),0,1),0))</f>
        <v>0.02</v>
      </c>
      <c r="AH825" s="158">
        <f>IF(E825="","",Input!$C$47*IF(Summary!$D$29="Included Margin",IF(AND($B825&gt;Input!$C$9,Summary!$D$31&lt;&gt;"Included Margin"),0,1),0))</f>
        <v>2.5000000000000001E-3</v>
      </c>
      <c r="AI825" s="154"/>
      <c r="AJ825" s="158">
        <f t="shared" si="522"/>
        <v>4.3630000000000002E-2</v>
      </c>
      <c r="AK825" s="155">
        <f t="shared" si="523"/>
        <v>3.5650915847715847E-3</v>
      </c>
      <c r="AL825" s="147">
        <f t="shared" si="524"/>
        <v>1</v>
      </c>
      <c r="AM825" s="147">
        <f t="shared" si="502"/>
        <v>1</v>
      </c>
      <c r="AN825" s="160">
        <f t="shared" si="525"/>
        <v>0</v>
      </c>
      <c r="AO825" s="161">
        <f t="shared" si="526"/>
        <v>0</v>
      </c>
      <c r="AP825" s="156">
        <f t="shared" si="503"/>
        <v>4.5405193853428729</v>
      </c>
      <c r="AQ825" s="152"/>
      <c r="AR825" s="162">
        <f t="shared" si="504"/>
        <v>99822.062602320948</v>
      </c>
      <c r="AS825" s="150">
        <f t="shared" si="527"/>
        <v>0</v>
      </c>
      <c r="AT825" s="163">
        <f t="shared" si="505"/>
        <v>0</v>
      </c>
      <c r="AU825" s="163">
        <f t="shared" si="506"/>
        <v>100000</v>
      </c>
      <c r="AV825" s="163">
        <f t="shared" si="528"/>
        <v>177.62021611949748</v>
      </c>
      <c r="AW825" s="163">
        <f t="shared" si="507"/>
        <v>99822.379783880504</v>
      </c>
      <c r="AX825" s="163">
        <f t="shared" si="508"/>
        <v>0</v>
      </c>
      <c r="AY825" s="164">
        <f t="shared" si="529"/>
        <v>99822.062602320948</v>
      </c>
      <c r="AZ825" s="164">
        <f>IF($E825="","",IF(OR(AND($D825=Input!$C$6,$C825=12),$AN825=1),0,-AS826+AT826+AU826-AV826-AW826-AX826+AZ826))</f>
        <v>99822.379783880504</v>
      </c>
      <c r="BA825" s="154">
        <f t="shared" si="509"/>
        <v>0.31718155955604743</v>
      </c>
      <c r="BC825" s="147">
        <f t="shared" si="530"/>
        <v>3.1035381311380134E-16</v>
      </c>
      <c r="BD825" s="164">
        <f>IF(AND($C824=12,$D824=Input!$C$6),0,IF($E825="","",AT825+(AU825+BD826)/(1+$AK825)*MIN((1-AM825-AN825),1)))</f>
        <v>0</v>
      </c>
      <c r="BE825" s="164">
        <f t="shared" si="510"/>
        <v>0</v>
      </c>
      <c r="BF825" s="164">
        <f t="shared" si="531"/>
        <v>99822.379783880504</v>
      </c>
      <c r="BG825" s="164">
        <f t="shared" si="511"/>
        <v>3.098025620002135E-11</v>
      </c>
      <c r="BH825" s="152"/>
      <c r="BI825" s="162">
        <f t="shared" si="512"/>
        <v>40020.038545764837</v>
      </c>
      <c r="BJ825" s="150">
        <f t="shared" si="513"/>
        <v>0</v>
      </c>
      <c r="BK825" s="163">
        <f t="shared" si="535"/>
        <v>0</v>
      </c>
      <c r="BL825" s="163">
        <f t="shared" si="514"/>
        <v>9831.6063260749379</v>
      </c>
      <c r="BM825" s="163">
        <f t="shared" si="536"/>
        <v>137.78358525812621</v>
      </c>
      <c r="BN825" s="163">
        <f t="shared" si="515"/>
        <v>3306.6551876123926</v>
      </c>
      <c r="BO825" s="163">
        <f t="shared" si="516"/>
        <v>0</v>
      </c>
      <c r="BP825" s="164">
        <f t="shared" si="537"/>
        <v>33632.87099256042</v>
      </c>
      <c r="BQ825" s="164">
        <f>IF($E825="","",IF(AND($D825=Input!$C$6,$C825=12),0,-BJ826+BK826+BL826-BM826-BN826-BO826+BQ826))</f>
        <v>33632.908783609782</v>
      </c>
      <c r="BR825" s="161">
        <f t="shared" si="517"/>
        <v>0</v>
      </c>
      <c r="BT825" s="147">
        <f t="shared" si="518"/>
        <v>3.1035381311380134E-16</v>
      </c>
      <c r="BU825" s="164">
        <f>IF(AND($C824=12,$D824=Input!$C$6),0,IF($E825="","",BK825+(BL825+BU826)/(1+$AK825)*MIN((1-T825-U825),1)))</f>
        <v>81060.010713394484</v>
      </c>
      <c r="BV825" s="164">
        <f t="shared" si="519"/>
        <v>2.5157283415947566E-11</v>
      </c>
      <c r="BW825" s="164">
        <f t="shared" si="520"/>
        <v>33632.908783609782</v>
      </c>
      <c r="BX825" s="164">
        <f t="shared" si="521"/>
        <v>1.0438101487101958E-11</v>
      </c>
    </row>
    <row r="826" spans="1:76" s="150" customFormat="1" x14ac:dyDescent="0.25">
      <c r="A826" s="150">
        <f t="shared" si="532"/>
        <v>822</v>
      </c>
      <c r="B826" s="150">
        <f t="shared" si="533"/>
        <v>69</v>
      </c>
      <c r="C826" s="150">
        <f t="shared" si="534"/>
        <v>6</v>
      </c>
      <c r="D826" s="150">
        <f>IF(E826="","",Input!$C$4+B826-1)</f>
        <v>113</v>
      </c>
      <c r="E826" s="150">
        <f>IF(OR(AND(C825=12,D825=Input!$C$6),E825=""),"",1)</f>
        <v>1</v>
      </c>
      <c r="F826" s="150">
        <f>IF(E826="","",Input!$C$8+B826-1)</f>
        <v>2086</v>
      </c>
      <c r="G826" s="151">
        <f>IF(E826="","",MAX(0,Input!$C$9-B826))</f>
        <v>0</v>
      </c>
      <c r="H826" s="152">
        <f>IF(E826="","",Input!$C$3)</f>
        <v>100000</v>
      </c>
      <c r="I826" s="153">
        <f>IF(E826="","",HLOOKUP($B826,Input!$C$13:$BT$14,2))</f>
        <v>1000</v>
      </c>
      <c r="J826" s="154"/>
      <c r="K826" s="155">
        <f>IF($E826="","",INDEX(Input!$C$16:$CP$16,1,$B826))</f>
        <v>3.313E-2</v>
      </c>
      <c r="L826" s="155">
        <f>IF($E826="","",Input!$C$37)</f>
        <v>1.4999999999999999E-2</v>
      </c>
      <c r="M826" s="155">
        <f t="shared" si="538"/>
        <v>4.8129999999999999E-2</v>
      </c>
      <c r="N826" s="155">
        <f t="shared" si="539"/>
        <v>3.924984656578534E-3</v>
      </c>
      <c r="O826" s="147">
        <f>IF($E826="","",MIN(VLOOKUP(IF($B826&lt;=Input!$C$7,$B826,26),'Mortality Tables'!$A$41:$CW$67,IF($B826&lt;=Input!$C$7+1,Input!$C$4+2,$D826-Input!$C$7+2),0)*IF(B826&gt;20,Input!$C$22,1)/1000,1))</f>
        <v>1</v>
      </c>
      <c r="P826" s="147">
        <f>IF($E826="","",MIN(VLOOKUP(IF($B826&lt;=Input!$C$7,$B826,26),'Mortality Tables'!$A$12:$CW$37,IF($B826&lt;=Input!$C$7+1,Input!$C$4+2,$D826-Input!$C$7+2),0)*IF(B826&gt;20,Input!$C$22,1)/1000,1))</f>
        <v>1</v>
      </c>
      <c r="Q826" s="155">
        <f>IF($E826="","",Input!$C$21)</f>
        <v>5.0000000000000001E-3</v>
      </c>
      <c r="R826" s="159">
        <f>IF($E826="","",(1-Q826)^($F826-Input!$C$20))</f>
        <v>0.71116355248971541</v>
      </c>
      <c r="S826" s="147">
        <f t="shared" si="500"/>
        <v>0.71116355248971541</v>
      </c>
      <c r="T826" s="147">
        <f t="shared" si="501"/>
        <v>9.8316063260749376E-2</v>
      </c>
      <c r="U826" s="160">
        <f>IF($E826="","",IF($C826=12,INDEX(Input!$C$15:$CP$15,1,$B826),0))</f>
        <v>0</v>
      </c>
      <c r="V826" s="150">
        <f>IF(E826="","",IF(C826=1,IF($B826=1,Input!$C$33,Input!$C$34),0))</f>
        <v>0</v>
      </c>
      <c r="W826" s="156">
        <f>IF($E826="","",Input!$C$35)</f>
        <v>0.02</v>
      </c>
      <c r="X826" s="156">
        <f t="shared" si="540"/>
        <v>3.844250502545596</v>
      </c>
      <c r="Y826" s="154"/>
      <c r="Z826" s="147">
        <f>IF($E826="","",VLOOKUP($D826,'Mortality Margins &amp; Grading'!$AB$5:$AF$125,3,0)*IF(Summary!$D$25="Included Margin",IF(AND($B826&gt;Input!$C$9,Summary!$D$31&lt;&gt;"Included Margin"),0,1),0))</f>
        <v>0.01</v>
      </c>
      <c r="AA826" s="147">
        <f>IF($E826="","",VLOOKUP($D826,'Mortality Margins &amp; Grading'!$AB$5:$AF$125,5,0)*IF(Summary!$D$25="Included Margin",IF(AND($B826&gt;Input!$C$9,Summary!$D$31&lt;&gt;"Included Margin"),0,1),0))</f>
        <v>5.2999999999999999E-2</v>
      </c>
      <c r="AB826" s="147">
        <f>IF($E826="","",IF(AND($B826&gt;Input!$C$9,Summary!$D$31&lt;&gt;"Included Margin"),1,IF(Summary!$D$25="Included Margin",VLOOKUP($B826,'Mortality Margins &amp; Grading'!$AI$5:$AR$125,MATCH('Mortality Margins &amp; Grading'!$AQ$4,'Mortality Margins &amp; Grading'!$AI$4:$AR$4,0),0),1)))</f>
        <v>0</v>
      </c>
      <c r="AC826" s="154"/>
      <c r="AD826" s="158">
        <f>IF(E826="","",Input!$C$48*IF(Summary!$D$30="Included Margin",IF(AND($B826&gt;Input!$C$9,Summary!$D$31&lt;&gt;"Included Margin"),0,1),0))</f>
        <v>-4.4999999999999997E-3</v>
      </c>
      <c r="AE826" s="159">
        <f>IF(E826="","",IF(Summary!$D$26="Included Margin",IF(AND($B826&gt;Input!$C$9,Summary!$D$31&lt;&gt;"Included Margin"),1,1/$R826),1))</f>
        <v>1.406146302772542</v>
      </c>
      <c r="AF826" s="160">
        <f>IF(E826="","",IF(AND($B826&gt;=Input!$C$9,$C826=12,Summary!$D$31="Included Margin",$U826&gt;0),1/U826-1,IF($B826&gt;=Input!$C$9,0,Input!$C$45*IF(Summary!$D$27="Included Margin",1,0))))</f>
        <v>0</v>
      </c>
      <c r="AG826" s="160">
        <f>IF(E826="","",Input!$C$46*IF(Summary!$D$28="Included Margin",IF(AND($B826&gt;Input!$C$9,Summary!$D$31&lt;&gt;"Included Margin"),0,1),0))</f>
        <v>0.02</v>
      </c>
      <c r="AH826" s="158">
        <f>IF(E826="","",Input!$C$47*IF(Summary!$D$29="Included Margin",IF(AND($B826&gt;Input!$C$9,Summary!$D$31&lt;&gt;"Included Margin"),0,1),0))</f>
        <v>2.5000000000000001E-3</v>
      </c>
      <c r="AI826" s="154"/>
      <c r="AJ826" s="158">
        <f t="shared" si="522"/>
        <v>4.3630000000000002E-2</v>
      </c>
      <c r="AK826" s="155">
        <f t="shared" si="523"/>
        <v>3.5650915847715847E-3</v>
      </c>
      <c r="AL826" s="147">
        <f t="shared" si="524"/>
        <v>1</v>
      </c>
      <c r="AM826" s="147">
        <f t="shared" si="502"/>
        <v>1</v>
      </c>
      <c r="AN826" s="160">
        <f t="shared" si="525"/>
        <v>0</v>
      </c>
      <c r="AO826" s="161">
        <f t="shared" si="526"/>
        <v>0</v>
      </c>
      <c r="AP826" s="156">
        <f t="shared" si="503"/>
        <v>4.5405193853428729</v>
      </c>
      <c r="AQ826" s="152"/>
      <c r="AR826" s="162">
        <f t="shared" si="504"/>
        <v>99822.062602320948</v>
      </c>
      <c r="AS826" s="150">
        <f t="shared" si="527"/>
        <v>0</v>
      </c>
      <c r="AT826" s="163">
        <f t="shared" si="505"/>
        <v>0</v>
      </c>
      <c r="AU826" s="163">
        <f t="shared" si="506"/>
        <v>100000</v>
      </c>
      <c r="AV826" s="163">
        <f t="shared" si="528"/>
        <v>177.62021611949748</v>
      </c>
      <c r="AW826" s="163">
        <f t="shared" si="507"/>
        <v>99822.379783880504</v>
      </c>
      <c r="AX826" s="163">
        <f t="shared" si="508"/>
        <v>0</v>
      </c>
      <c r="AY826" s="165">
        <f t="shared" si="529"/>
        <v>99822.062602320948</v>
      </c>
      <c r="AZ826" s="164">
        <f>IF($E826="","",IF(OR(AND($D826=Input!$C$6,$C826=12),$AN826=1),0,-AS827+AT827+AU827-AV827-AW827-AX827+AZ827))</f>
        <v>99822.379783880504</v>
      </c>
      <c r="BA826" s="154">
        <f t="shared" si="509"/>
        <v>0.31718155955604743</v>
      </c>
      <c r="BC826" s="147">
        <f t="shared" si="530"/>
        <v>2.7984104799049008E-16</v>
      </c>
      <c r="BD826" s="164">
        <f>IF(AND($C825=12,$D825=Input!$C$6),0,IF($E826="","",AT826+(AU826+BD827)/(1+$AK826)*MIN((1-AM826-AN826),1)))</f>
        <v>0</v>
      </c>
      <c r="BE826" s="164">
        <f t="shared" si="510"/>
        <v>0</v>
      </c>
      <c r="BF826" s="164">
        <f t="shared" si="531"/>
        <v>99822.379783880504</v>
      </c>
      <c r="BG826" s="164">
        <f t="shared" si="511"/>
        <v>2.7934399371625832E-11</v>
      </c>
      <c r="BH826" s="152"/>
      <c r="BI826" s="162">
        <f t="shared" si="512"/>
        <v>33632.87099256042</v>
      </c>
      <c r="BJ826" s="150">
        <f t="shared" si="513"/>
        <v>0</v>
      </c>
      <c r="BK826" s="163">
        <f t="shared" si="535"/>
        <v>0</v>
      </c>
      <c r="BL826" s="163">
        <f t="shared" si="514"/>
        <v>9831.6063260749379</v>
      </c>
      <c r="BM826" s="163">
        <f t="shared" si="536"/>
        <v>112.71405061280261</v>
      </c>
      <c r="BN826" s="163">
        <f t="shared" si="515"/>
        <v>2607.4901237966164</v>
      </c>
      <c r="BO826" s="163">
        <f t="shared" si="516"/>
        <v>0</v>
      </c>
      <c r="BP826" s="164">
        <f t="shared" si="537"/>
        <v>26521.4688408949</v>
      </c>
      <c r="BQ826" s="164">
        <f>IF($E826="","",IF(AND($D826=Input!$C$6,$C826=12),0,-BJ827+BK827+BL827-BM827-BN827-BO827+BQ827))</f>
        <v>26521.506631944263</v>
      </c>
      <c r="BR826" s="161">
        <f t="shared" si="517"/>
        <v>0</v>
      </c>
      <c r="BT826" s="147">
        <f t="shared" si="518"/>
        <v>2.7984104799049008E-16</v>
      </c>
      <c r="BU826" s="164">
        <f>IF(AND($C825=12,$D825=Input!$C$6),0,IF($E826="","",BK826+(BL826+BU827)/(1+$AK826)*MIN((1-T826-U826),1)))</f>
        <v>80387.364824317017</v>
      </c>
      <c r="BV826" s="164">
        <f t="shared" si="519"/>
        <v>2.2495684417630734E-11</v>
      </c>
      <c r="BW826" s="164">
        <f t="shared" si="520"/>
        <v>26521.506631944263</v>
      </c>
      <c r="BX826" s="164">
        <f t="shared" si="521"/>
        <v>7.4218062101700153E-12</v>
      </c>
    </row>
    <row r="827" spans="1:76" s="150" customFormat="1" x14ac:dyDescent="0.25">
      <c r="A827" s="150">
        <f t="shared" si="532"/>
        <v>823</v>
      </c>
      <c r="B827" s="150">
        <f t="shared" si="533"/>
        <v>69</v>
      </c>
      <c r="C827" s="150">
        <f t="shared" si="534"/>
        <v>7</v>
      </c>
      <c r="D827" s="150">
        <f>IF(E827="","",Input!$C$4+B827-1)</f>
        <v>113</v>
      </c>
      <c r="E827" s="150">
        <f>IF(OR(AND(C826=12,D826=Input!$C$6),E826=""),"",1)</f>
        <v>1</v>
      </c>
      <c r="F827" s="150">
        <f>IF(E827="","",Input!$C$8+B827-1)</f>
        <v>2086</v>
      </c>
      <c r="G827" s="151">
        <f>IF(E827="","",MAX(0,Input!$C$9-B827))</f>
        <v>0</v>
      </c>
      <c r="H827" s="152">
        <f>IF(E827="","",Input!$C$3)</f>
        <v>100000</v>
      </c>
      <c r="I827" s="153">
        <f>IF(E827="","",HLOOKUP($B827,Input!$C$13:$BT$14,2))</f>
        <v>1000</v>
      </c>
      <c r="J827" s="154"/>
      <c r="K827" s="155">
        <f>IF($E827="","",INDEX(Input!$C$16:$CP$16,1,$B827))</f>
        <v>3.313E-2</v>
      </c>
      <c r="L827" s="155">
        <f>IF($E827="","",Input!$C$37)</f>
        <v>1.4999999999999999E-2</v>
      </c>
      <c r="M827" s="155">
        <f t="shared" si="538"/>
        <v>4.8129999999999999E-2</v>
      </c>
      <c r="N827" s="155">
        <f t="shared" si="539"/>
        <v>3.924984656578534E-3</v>
      </c>
      <c r="O827" s="147">
        <f>IF($E827="","",MIN(VLOOKUP(IF($B827&lt;=Input!$C$7,$B827,26),'Mortality Tables'!$A$41:$CW$67,IF($B827&lt;=Input!$C$7+1,Input!$C$4+2,$D827-Input!$C$7+2),0)*IF(B827&gt;20,Input!$C$22,1)/1000,1))</f>
        <v>1</v>
      </c>
      <c r="P827" s="147">
        <f>IF($E827="","",MIN(VLOOKUP(IF($B827&lt;=Input!$C$7,$B827,26),'Mortality Tables'!$A$12:$CW$37,IF($B827&lt;=Input!$C$7+1,Input!$C$4+2,$D827-Input!$C$7+2),0)*IF(B827&gt;20,Input!$C$22,1)/1000,1))</f>
        <v>1</v>
      </c>
      <c r="Q827" s="155">
        <f>IF($E827="","",Input!$C$21)</f>
        <v>5.0000000000000001E-3</v>
      </c>
      <c r="R827" s="159">
        <f>IF($E827="","",(1-Q827)^($F827-Input!$C$20))</f>
        <v>0.71116355248971541</v>
      </c>
      <c r="S827" s="147">
        <f t="shared" si="500"/>
        <v>0.71116355248971541</v>
      </c>
      <c r="T827" s="147">
        <f t="shared" si="501"/>
        <v>9.8316063260749376E-2</v>
      </c>
      <c r="U827" s="160">
        <f>IF($E827="","",IF($C827=12,INDEX(Input!$C$15:$CP$15,1,$B827),0))</f>
        <v>0</v>
      </c>
      <c r="V827" s="150">
        <f>IF(E827="","",IF(C827=1,IF($B827=1,Input!$C$33,Input!$C$34),0))</f>
        <v>0</v>
      </c>
      <c r="W827" s="156">
        <f>IF($E827="","",Input!$C$35)</f>
        <v>0.02</v>
      </c>
      <c r="X827" s="156">
        <f t="shared" si="540"/>
        <v>3.844250502545596</v>
      </c>
      <c r="Y827" s="154"/>
      <c r="Z827" s="147">
        <f>IF($E827="","",VLOOKUP($D827,'Mortality Margins &amp; Grading'!$AB$5:$AF$125,3,0)*IF(Summary!$D$25="Included Margin",IF(AND($B827&gt;Input!$C$9,Summary!$D$31&lt;&gt;"Included Margin"),0,1),0))</f>
        <v>0.01</v>
      </c>
      <c r="AA827" s="147">
        <f>IF($E827="","",VLOOKUP($D827,'Mortality Margins &amp; Grading'!$AB$5:$AF$125,5,0)*IF(Summary!$D$25="Included Margin",IF(AND($B827&gt;Input!$C$9,Summary!$D$31&lt;&gt;"Included Margin"),0,1),0))</f>
        <v>5.2999999999999999E-2</v>
      </c>
      <c r="AB827" s="147">
        <f>IF($E827="","",IF(AND($B827&gt;Input!$C$9,Summary!$D$31&lt;&gt;"Included Margin"),1,IF(Summary!$D$25="Included Margin",VLOOKUP($B827,'Mortality Margins &amp; Grading'!$AI$5:$AR$125,MATCH('Mortality Margins &amp; Grading'!$AQ$4,'Mortality Margins &amp; Grading'!$AI$4:$AR$4,0),0),1)))</f>
        <v>0</v>
      </c>
      <c r="AC827" s="154"/>
      <c r="AD827" s="158">
        <f>IF(E827="","",Input!$C$48*IF(Summary!$D$30="Included Margin",IF(AND($B827&gt;Input!$C$9,Summary!$D$31&lt;&gt;"Included Margin"),0,1),0))</f>
        <v>-4.4999999999999997E-3</v>
      </c>
      <c r="AE827" s="159">
        <f>IF(E827="","",IF(Summary!$D$26="Included Margin",IF(AND($B827&gt;Input!$C$9,Summary!$D$31&lt;&gt;"Included Margin"),1,1/$R827),1))</f>
        <v>1.406146302772542</v>
      </c>
      <c r="AF827" s="160">
        <f>IF(E827="","",IF(AND($B827&gt;=Input!$C$9,$C827=12,Summary!$D$31="Included Margin",$U827&gt;0),1/U827-1,IF($B827&gt;=Input!$C$9,0,Input!$C$45*IF(Summary!$D$27="Included Margin",1,0))))</f>
        <v>0</v>
      </c>
      <c r="AG827" s="160">
        <f>IF(E827="","",Input!$C$46*IF(Summary!$D$28="Included Margin",IF(AND($B827&gt;Input!$C$9,Summary!$D$31&lt;&gt;"Included Margin"),0,1),0))</f>
        <v>0.02</v>
      </c>
      <c r="AH827" s="158">
        <f>IF(E827="","",Input!$C$47*IF(Summary!$D$29="Included Margin",IF(AND($B827&gt;Input!$C$9,Summary!$D$31&lt;&gt;"Included Margin"),0,1),0))</f>
        <v>2.5000000000000001E-3</v>
      </c>
      <c r="AI827" s="154"/>
      <c r="AJ827" s="158">
        <f t="shared" si="522"/>
        <v>4.3630000000000002E-2</v>
      </c>
      <c r="AK827" s="155">
        <f t="shared" si="523"/>
        <v>3.5650915847715847E-3</v>
      </c>
      <c r="AL827" s="147">
        <f t="shared" si="524"/>
        <v>1</v>
      </c>
      <c r="AM827" s="147">
        <f t="shared" si="502"/>
        <v>1</v>
      </c>
      <c r="AN827" s="160">
        <f t="shared" si="525"/>
        <v>0</v>
      </c>
      <c r="AO827" s="161">
        <f t="shared" si="526"/>
        <v>0</v>
      </c>
      <c r="AP827" s="156">
        <f t="shared" si="503"/>
        <v>4.5405193853428729</v>
      </c>
      <c r="AQ827" s="152"/>
      <c r="AR827" s="162">
        <f t="shared" si="504"/>
        <v>99822.062602320948</v>
      </c>
      <c r="AS827" s="150">
        <f t="shared" si="527"/>
        <v>0</v>
      </c>
      <c r="AT827" s="163">
        <f t="shared" si="505"/>
        <v>0</v>
      </c>
      <c r="AU827" s="163">
        <f t="shared" si="506"/>
        <v>100000</v>
      </c>
      <c r="AV827" s="163">
        <f t="shared" si="528"/>
        <v>177.62021611949748</v>
      </c>
      <c r="AW827" s="163">
        <f t="shared" si="507"/>
        <v>99822.379783880504</v>
      </c>
      <c r="AX827" s="163">
        <f t="shared" si="508"/>
        <v>0</v>
      </c>
      <c r="AY827" s="164">
        <f t="shared" si="529"/>
        <v>99822.062602320948</v>
      </c>
      <c r="AZ827" s="164">
        <f>IF($E827="","",IF(OR(AND($D827=Input!$C$6,$C827=12),$AN827=1),0,-AS828+AT828+AU828-AV828-AW828-AX828+AZ828))</f>
        <v>99822.379783880504</v>
      </c>
      <c r="BA827" s="154">
        <f t="shared" si="509"/>
        <v>0.31718155955604743</v>
      </c>
      <c r="BC827" s="147">
        <f t="shared" si="530"/>
        <v>2.5232817781330265E-16</v>
      </c>
      <c r="BD827" s="164">
        <f>IF(AND($C826=12,$D826=Input!$C$6),0,IF($E827="","",AT827+(AU827+BD828)/(1+$AK827)*MIN((1-AM827-AN827),1)))</f>
        <v>0</v>
      </c>
      <c r="BE827" s="164">
        <f t="shared" si="510"/>
        <v>0</v>
      </c>
      <c r="BF827" s="164">
        <f t="shared" si="531"/>
        <v>99822.379783880504</v>
      </c>
      <c r="BG827" s="164">
        <f t="shared" si="511"/>
        <v>2.5187999195854026E-11</v>
      </c>
      <c r="BH827" s="152"/>
      <c r="BI827" s="162">
        <f t="shared" si="512"/>
        <v>26521.4688408949</v>
      </c>
      <c r="BJ827" s="150">
        <f t="shared" si="513"/>
        <v>0</v>
      </c>
      <c r="BK827" s="163">
        <f t="shared" si="535"/>
        <v>0</v>
      </c>
      <c r="BL827" s="163">
        <f t="shared" si="514"/>
        <v>9831.6063260749379</v>
      </c>
      <c r="BM827" s="163">
        <f t="shared" si="536"/>
        <v>84.801906280755873</v>
      </c>
      <c r="BN827" s="163">
        <f t="shared" si="515"/>
        <v>1829.0474263454721</v>
      </c>
      <c r="BO827" s="163">
        <f t="shared" si="516"/>
        <v>0</v>
      </c>
      <c r="BP827" s="164">
        <f t="shared" si="537"/>
        <v>18603.711847446189</v>
      </c>
      <c r="BQ827" s="164">
        <f>IF($E827="","",IF(AND($D827=Input!$C$6,$C827=12),0,-BJ828+BK828+BL828-BM828-BN828-BO828+BQ828))</f>
        <v>18603.749638495552</v>
      </c>
      <c r="BR827" s="161">
        <f t="shared" si="517"/>
        <v>0</v>
      </c>
      <c r="BT827" s="147">
        <f t="shared" si="518"/>
        <v>2.5232817781330265E-16</v>
      </c>
      <c r="BU827" s="164">
        <f>IF(AND($C826=12,$D826=Input!$C$6),0,IF($E827="","",BK827+(BL827+BU828)/(1+$AK827)*MIN((1-T827-U827),1)))</f>
        <v>79638.716760653726</v>
      </c>
      <c r="BV827" s="164">
        <f t="shared" si="519"/>
        <v>2.0095092283605478E-11</v>
      </c>
      <c r="BW827" s="164">
        <f t="shared" si="520"/>
        <v>18603.749638495552</v>
      </c>
      <c r="BX827" s="164">
        <f t="shared" si="521"/>
        <v>4.6942502467764705E-12</v>
      </c>
    </row>
    <row r="828" spans="1:76" s="150" customFormat="1" x14ac:dyDescent="0.25">
      <c r="A828" s="150">
        <f t="shared" si="532"/>
        <v>824</v>
      </c>
      <c r="B828" s="150">
        <f t="shared" si="533"/>
        <v>69</v>
      </c>
      <c r="C828" s="150">
        <f t="shared" si="534"/>
        <v>8</v>
      </c>
      <c r="D828" s="150">
        <f>IF(E828="","",Input!$C$4+B828-1)</f>
        <v>113</v>
      </c>
      <c r="E828" s="150">
        <f>IF(OR(AND(C827=12,D827=Input!$C$6),E827=""),"",1)</f>
        <v>1</v>
      </c>
      <c r="F828" s="150">
        <f>IF(E828="","",Input!$C$8+B828-1)</f>
        <v>2086</v>
      </c>
      <c r="G828" s="151">
        <f>IF(E828="","",MAX(0,Input!$C$9-B828))</f>
        <v>0</v>
      </c>
      <c r="H828" s="152">
        <f>IF(E828="","",Input!$C$3)</f>
        <v>100000</v>
      </c>
      <c r="I828" s="153">
        <f>IF(E828="","",HLOOKUP($B828,Input!$C$13:$BT$14,2))</f>
        <v>1000</v>
      </c>
      <c r="J828" s="154"/>
      <c r="K828" s="155">
        <f>IF($E828="","",INDEX(Input!$C$16:$CP$16,1,$B828))</f>
        <v>3.313E-2</v>
      </c>
      <c r="L828" s="155">
        <f>IF($E828="","",Input!$C$37)</f>
        <v>1.4999999999999999E-2</v>
      </c>
      <c r="M828" s="155">
        <f t="shared" si="538"/>
        <v>4.8129999999999999E-2</v>
      </c>
      <c r="N828" s="155">
        <f t="shared" si="539"/>
        <v>3.924984656578534E-3</v>
      </c>
      <c r="O828" s="147">
        <f>IF($E828="","",MIN(VLOOKUP(IF($B828&lt;=Input!$C$7,$B828,26),'Mortality Tables'!$A$41:$CW$67,IF($B828&lt;=Input!$C$7+1,Input!$C$4+2,$D828-Input!$C$7+2),0)*IF(B828&gt;20,Input!$C$22,1)/1000,1))</f>
        <v>1</v>
      </c>
      <c r="P828" s="147">
        <f>IF($E828="","",MIN(VLOOKUP(IF($B828&lt;=Input!$C$7,$B828,26),'Mortality Tables'!$A$12:$CW$37,IF($B828&lt;=Input!$C$7+1,Input!$C$4+2,$D828-Input!$C$7+2),0)*IF(B828&gt;20,Input!$C$22,1)/1000,1))</f>
        <v>1</v>
      </c>
      <c r="Q828" s="155">
        <f>IF($E828="","",Input!$C$21)</f>
        <v>5.0000000000000001E-3</v>
      </c>
      <c r="R828" s="159">
        <f>IF($E828="","",(1-Q828)^($F828-Input!$C$20))</f>
        <v>0.71116355248971541</v>
      </c>
      <c r="S828" s="147">
        <f t="shared" si="500"/>
        <v>0.71116355248971541</v>
      </c>
      <c r="T828" s="147">
        <f t="shared" si="501"/>
        <v>9.8316063260749376E-2</v>
      </c>
      <c r="U828" s="160">
        <f>IF($E828="","",IF($C828=12,INDEX(Input!$C$15:$CP$15,1,$B828),0))</f>
        <v>0</v>
      </c>
      <c r="V828" s="150">
        <f>IF(E828="","",IF(C828=1,IF($B828=1,Input!$C$33,Input!$C$34),0))</f>
        <v>0</v>
      </c>
      <c r="W828" s="156">
        <f>IF($E828="","",Input!$C$35)</f>
        <v>0.02</v>
      </c>
      <c r="X828" s="156">
        <f t="shared" si="540"/>
        <v>3.844250502545596</v>
      </c>
      <c r="Y828" s="154"/>
      <c r="Z828" s="147">
        <f>IF($E828="","",VLOOKUP($D828,'Mortality Margins &amp; Grading'!$AB$5:$AF$125,3,0)*IF(Summary!$D$25="Included Margin",IF(AND($B828&gt;Input!$C$9,Summary!$D$31&lt;&gt;"Included Margin"),0,1),0))</f>
        <v>0.01</v>
      </c>
      <c r="AA828" s="147">
        <f>IF($E828="","",VLOOKUP($D828,'Mortality Margins &amp; Grading'!$AB$5:$AF$125,5,0)*IF(Summary!$D$25="Included Margin",IF(AND($B828&gt;Input!$C$9,Summary!$D$31&lt;&gt;"Included Margin"),0,1),0))</f>
        <v>5.2999999999999999E-2</v>
      </c>
      <c r="AB828" s="147">
        <f>IF($E828="","",IF(AND($B828&gt;Input!$C$9,Summary!$D$31&lt;&gt;"Included Margin"),1,IF(Summary!$D$25="Included Margin",VLOOKUP($B828,'Mortality Margins &amp; Grading'!$AI$5:$AR$125,MATCH('Mortality Margins &amp; Grading'!$AQ$4,'Mortality Margins &amp; Grading'!$AI$4:$AR$4,0),0),1)))</f>
        <v>0</v>
      </c>
      <c r="AC828" s="154"/>
      <c r="AD828" s="158">
        <f>IF(E828="","",Input!$C$48*IF(Summary!$D$30="Included Margin",IF(AND($B828&gt;Input!$C$9,Summary!$D$31&lt;&gt;"Included Margin"),0,1),0))</f>
        <v>-4.4999999999999997E-3</v>
      </c>
      <c r="AE828" s="159">
        <f>IF(E828="","",IF(Summary!$D$26="Included Margin",IF(AND($B828&gt;Input!$C$9,Summary!$D$31&lt;&gt;"Included Margin"),1,1/$R828),1))</f>
        <v>1.406146302772542</v>
      </c>
      <c r="AF828" s="160">
        <f>IF(E828="","",IF(AND($B828&gt;=Input!$C$9,$C828=12,Summary!$D$31="Included Margin",$U828&gt;0),1/U828-1,IF($B828&gt;=Input!$C$9,0,Input!$C$45*IF(Summary!$D$27="Included Margin",1,0))))</f>
        <v>0</v>
      </c>
      <c r="AG828" s="160">
        <f>IF(E828="","",Input!$C$46*IF(Summary!$D$28="Included Margin",IF(AND($B828&gt;Input!$C$9,Summary!$D$31&lt;&gt;"Included Margin"),0,1),0))</f>
        <v>0.02</v>
      </c>
      <c r="AH828" s="158">
        <f>IF(E828="","",Input!$C$47*IF(Summary!$D$29="Included Margin",IF(AND($B828&gt;Input!$C$9,Summary!$D$31&lt;&gt;"Included Margin"),0,1),0))</f>
        <v>2.5000000000000001E-3</v>
      </c>
      <c r="AI828" s="154"/>
      <c r="AJ828" s="158">
        <f t="shared" si="522"/>
        <v>4.3630000000000002E-2</v>
      </c>
      <c r="AK828" s="155">
        <f t="shared" si="523"/>
        <v>3.5650915847715847E-3</v>
      </c>
      <c r="AL828" s="147">
        <f t="shared" si="524"/>
        <v>1</v>
      </c>
      <c r="AM828" s="147">
        <f t="shared" si="502"/>
        <v>1</v>
      </c>
      <c r="AN828" s="160">
        <f t="shared" si="525"/>
        <v>0</v>
      </c>
      <c r="AO828" s="161">
        <f t="shared" si="526"/>
        <v>0</v>
      </c>
      <c r="AP828" s="156">
        <f t="shared" si="503"/>
        <v>4.5405193853428729</v>
      </c>
      <c r="AQ828" s="152"/>
      <c r="AR828" s="162">
        <f t="shared" si="504"/>
        <v>99822.062602320948</v>
      </c>
      <c r="AS828" s="150">
        <f t="shared" si="527"/>
        <v>0</v>
      </c>
      <c r="AT828" s="163">
        <f t="shared" si="505"/>
        <v>0</v>
      </c>
      <c r="AU828" s="163">
        <f t="shared" si="506"/>
        <v>100000</v>
      </c>
      <c r="AV828" s="163">
        <f t="shared" si="528"/>
        <v>177.62021611949748</v>
      </c>
      <c r="AW828" s="163">
        <f t="shared" si="507"/>
        <v>99822.379783880504</v>
      </c>
      <c r="AX828" s="163">
        <f t="shared" si="508"/>
        <v>0</v>
      </c>
      <c r="AY828" s="165">
        <f t="shared" si="529"/>
        <v>99822.062602320948</v>
      </c>
      <c r="AZ828" s="164">
        <f>IF($E828="","",IF(OR(AND($D828=Input!$C$6,$C828=12),$AN828=1),0,-AS829+AT829+AU829-AV829-AW829-AX829+AZ829))</f>
        <v>99822.379783880504</v>
      </c>
      <c r="BA828" s="154">
        <f t="shared" si="509"/>
        <v>0.31718155955604743</v>
      </c>
      <c r="BC828" s="147">
        <f t="shared" si="530"/>
        <v>2.2752026472094036E-16</v>
      </c>
      <c r="BD828" s="164">
        <f>IF(AND($C827=12,$D827=Input!$C$6),0,IF($E828="","",AT828+(AU828+BD829)/(1+$AK828)*MIN((1-AM828-AN828),1)))</f>
        <v>0</v>
      </c>
      <c r="BE828" s="164">
        <f t="shared" si="510"/>
        <v>0</v>
      </c>
      <c r="BF828" s="164">
        <f t="shared" si="531"/>
        <v>99822.379783880504</v>
      </c>
      <c r="BG828" s="164">
        <f t="shared" si="511"/>
        <v>2.2711614273502736E-11</v>
      </c>
      <c r="BH828" s="152"/>
      <c r="BI828" s="162">
        <f t="shared" si="512"/>
        <v>18603.711847446189</v>
      </c>
      <c r="BJ828" s="150">
        <f t="shared" si="513"/>
        <v>0</v>
      </c>
      <c r="BK828" s="163">
        <f t="shared" si="535"/>
        <v>0</v>
      </c>
      <c r="BL828" s="163">
        <f t="shared" si="514"/>
        <v>9831.6063260749379</v>
      </c>
      <c r="BM828" s="163">
        <f t="shared" si="536"/>
        <v>53.724831566952297</v>
      </c>
      <c r="BN828" s="163">
        <f t="shared" si="515"/>
        <v>962.33788295403917</v>
      </c>
      <c r="BO828" s="163">
        <f t="shared" si="516"/>
        <v>0</v>
      </c>
      <c r="BP828" s="164">
        <f t="shared" si="537"/>
        <v>9788.1682358922444</v>
      </c>
      <c r="BQ828" s="164">
        <f>IF($E828="","",IF(AND($D828=Input!$C$6,$C828=12),0,-BJ829+BK829+BL829-BM829-BN829-BO829+BQ829))</f>
        <v>9788.2060269416052</v>
      </c>
      <c r="BR828" s="161">
        <f t="shared" si="517"/>
        <v>0</v>
      </c>
      <c r="BT828" s="147">
        <f t="shared" si="518"/>
        <v>2.2752026472094036E-16</v>
      </c>
      <c r="BU828" s="164">
        <f>IF(AND($C827=12,$D827=Input!$C$6),0,IF($E828="","",BK828+(BL828+BU829)/(1+$AK828)*MIN((1-T828-U828),1)))</f>
        <v>78805.479046236855</v>
      </c>
      <c r="BV828" s="164">
        <f t="shared" si="519"/>
        <v>1.7929843454060327E-11</v>
      </c>
      <c r="BW828" s="164">
        <f t="shared" si="520"/>
        <v>9788.2060269416052</v>
      </c>
      <c r="BX828" s="164">
        <f t="shared" si="521"/>
        <v>2.2270152263928579E-12</v>
      </c>
    </row>
    <row r="829" spans="1:76" s="150" customFormat="1" x14ac:dyDescent="0.25">
      <c r="A829" s="150">
        <f t="shared" si="532"/>
        <v>825</v>
      </c>
      <c r="B829" s="150">
        <f t="shared" si="533"/>
        <v>69</v>
      </c>
      <c r="C829" s="150">
        <f t="shared" si="534"/>
        <v>9</v>
      </c>
      <c r="D829" s="150">
        <f>IF(E829="","",Input!$C$4+B829-1)</f>
        <v>113</v>
      </c>
      <c r="E829" s="150">
        <f>IF(OR(AND(C828=12,D828=Input!$C$6),E828=""),"",1)</f>
        <v>1</v>
      </c>
      <c r="F829" s="150">
        <f>IF(E829="","",Input!$C$8+B829-1)</f>
        <v>2086</v>
      </c>
      <c r="G829" s="151">
        <f>IF(E829="","",MAX(0,Input!$C$9-B829))</f>
        <v>0</v>
      </c>
      <c r="H829" s="152">
        <f>IF(E829="","",Input!$C$3)</f>
        <v>100000</v>
      </c>
      <c r="I829" s="153">
        <f>IF(E829="","",HLOOKUP($B829,Input!$C$13:$BT$14,2))</f>
        <v>1000</v>
      </c>
      <c r="J829" s="154"/>
      <c r="K829" s="155">
        <f>IF($E829="","",INDEX(Input!$C$16:$CP$16,1,$B829))</f>
        <v>3.313E-2</v>
      </c>
      <c r="L829" s="155">
        <f>IF($E829="","",Input!$C$37)</f>
        <v>1.4999999999999999E-2</v>
      </c>
      <c r="M829" s="155">
        <f t="shared" si="538"/>
        <v>4.8129999999999999E-2</v>
      </c>
      <c r="N829" s="155">
        <f t="shared" si="539"/>
        <v>3.924984656578534E-3</v>
      </c>
      <c r="O829" s="147">
        <f>IF($E829="","",MIN(VLOOKUP(IF($B829&lt;=Input!$C$7,$B829,26),'Mortality Tables'!$A$41:$CW$67,IF($B829&lt;=Input!$C$7+1,Input!$C$4+2,$D829-Input!$C$7+2),0)*IF(B829&gt;20,Input!$C$22,1)/1000,1))</f>
        <v>1</v>
      </c>
      <c r="P829" s="147">
        <f>IF($E829="","",MIN(VLOOKUP(IF($B829&lt;=Input!$C$7,$B829,26),'Mortality Tables'!$A$12:$CW$37,IF($B829&lt;=Input!$C$7+1,Input!$C$4+2,$D829-Input!$C$7+2),0)*IF(B829&gt;20,Input!$C$22,1)/1000,1))</f>
        <v>1</v>
      </c>
      <c r="Q829" s="155">
        <f>IF($E829="","",Input!$C$21)</f>
        <v>5.0000000000000001E-3</v>
      </c>
      <c r="R829" s="159">
        <f>IF($E829="","",(1-Q829)^($F829-Input!$C$20))</f>
        <v>0.71116355248971541</v>
      </c>
      <c r="S829" s="147">
        <f t="shared" si="500"/>
        <v>0.71116355248971541</v>
      </c>
      <c r="T829" s="147">
        <f t="shared" si="501"/>
        <v>9.8316063260749376E-2</v>
      </c>
      <c r="U829" s="160">
        <f>IF($E829="","",IF($C829=12,INDEX(Input!$C$15:$CP$15,1,$B829),0))</f>
        <v>0</v>
      </c>
      <c r="V829" s="150">
        <f>IF(E829="","",IF(C829=1,IF($B829=1,Input!$C$33,Input!$C$34),0))</f>
        <v>0</v>
      </c>
      <c r="W829" s="156">
        <f>IF($E829="","",Input!$C$35)</f>
        <v>0.02</v>
      </c>
      <c r="X829" s="156">
        <f t="shared" si="540"/>
        <v>3.844250502545596</v>
      </c>
      <c r="Y829" s="154"/>
      <c r="Z829" s="147">
        <f>IF($E829="","",VLOOKUP($D829,'Mortality Margins &amp; Grading'!$AB$5:$AF$125,3,0)*IF(Summary!$D$25="Included Margin",IF(AND($B829&gt;Input!$C$9,Summary!$D$31&lt;&gt;"Included Margin"),0,1),0))</f>
        <v>0.01</v>
      </c>
      <c r="AA829" s="147">
        <f>IF($E829="","",VLOOKUP($D829,'Mortality Margins &amp; Grading'!$AB$5:$AF$125,5,0)*IF(Summary!$D$25="Included Margin",IF(AND($B829&gt;Input!$C$9,Summary!$D$31&lt;&gt;"Included Margin"),0,1),0))</f>
        <v>5.2999999999999999E-2</v>
      </c>
      <c r="AB829" s="147">
        <f>IF($E829="","",IF(AND($B829&gt;Input!$C$9,Summary!$D$31&lt;&gt;"Included Margin"),1,IF(Summary!$D$25="Included Margin",VLOOKUP($B829,'Mortality Margins &amp; Grading'!$AI$5:$AR$125,MATCH('Mortality Margins &amp; Grading'!$AQ$4,'Mortality Margins &amp; Grading'!$AI$4:$AR$4,0),0),1)))</f>
        <v>0</v>
      </c>
      <c r="AC829" s="154"/>
      <c r="AD829" s="158">
        <f>IF(E829="","",Input!$C$48*IF(Summary!$D$30="Included Margin",IF(AND($B829&gt;Input!$C$9,Summary!$D$31&lt;&gt;"Included Margin"),0,1),0))</f>
        <v>-4.4999999999999997E-3</v>
      </c>
      <c r="AE829" s="159">
        <f>IF(E829="","",IF(Summary!$D$26="Included Margin",IF(AND($B829&gt;Input!$C$9,Summary!$D$31&lt;&gt;"Included Margin"),1,1/$R829),1))</f>
        <v>1.406146302772542</v>
      </c>
      <c r="AF829" s="160">
        <f>IF(E829="","",IF(AND($B829&gt;=Input!$C$9,$C829=12,Summary!$D$31="Included Margin",$U829&gt;0),1/U829-1,IF($B829&gt;=Input!$C$9,0,Input!$C$45*IF(Summary!$D$27="Included Margin",1,0))))</f>
        <v>0</v>
      </c>
      <c r="AG829" s="160">
        <f>IF(E829="","",Input!$C$46*IF(Summary!$D$28="Included Margin",IF(AND($B829&gt;Input!$C$9,Summary!$D$31&lt;&gt;"Included Margin"),0,1),0))</f>
        <v>0.02</v>
      </c>
      <c r="AH829" s="158">
        <f>IF(E829="","",Input!$C$47*IF(Summary!$D$29="Included Margin",IF(AND($B829&gt;Input!$C$9,Summary!$D$31&lt;&gt;"Included Margin"),0,1),0))</f>
        <v>2.5000000000000001E-3</v>
      </c>
      <c r="AI829" s="154"/>
      <c r="AJ829" s="158">
        <f t="shared" si="522"/>
        <v>4.3630000000000002E-2</v>
      </c>
      <c r="AK829" s="155">
        <f t="shared" si="523"/>
        <v>3.5650915847715847E-3</v>
      </c>
      <c r="AL829" s="147">
        <f t="shared" si="524"/>
        <v>1</v>
      </c>
      <c r="AM829" s="147">
        <f t="shared" si="502"/>
        <v>1</v>
      </c>
      <c r="AN829" s="160">
        <f t="shared" si="525"/>
        <v>0</v>
      </c>
      <c r="AO829" s="161">
        <f t="shared" si="526"/>
        <v>0</v>
      </c>
      <c r="AP829" s="156">
        <f t="shared" si="503"/>
        <v>4.5405193853428729</v>
      </c>
      <c r="AQ829" s="152"/>
      <c r="AR829" s="162">
        <f t="shared" si="504"/>
        <v>99822.062602320948</v>
      </c>
      <c r="AS829" s="150">
        <f t="shared" si="527"/>
        <v>0</v>
      </c>
      <c r="AT829" s="163">
        <f t="shared" si="505"/>
        <v>0</v>
      </c>
      <c r="AU829" s="163">
        <f t="shared" si="506"/>
        <v>100000</v>
      </c>
      <c r="AV829" s="163">
        <f t="shared" si="528"/>
        <v>177.62021611949748</v>
      </c>
      <c r="AW829" s="163">
        <f t="shared" si="507"/>
        <v>99822.379783880504</v>
      </c>
      <c r="AX829" s="163">
        <f t="shared" si="508"/>
        <v>0</v>
      </c>
      <c r="AY829" s="164">
        <f t="shared" si="529"/>
        <v>99822.062602320948</v>
      </c>
      <c r="AZ829" s="164">
        <f>IF($E829="","",IF(OR(AND($D829=Input!$C$6,$C829=12),$AN829=1),0,-AS830+AT830+AU830-AV830-AW830-AX830+AZ830))</f>
        <v>99822.379783880504</v>
      </c>
      <c r="BA829" s="154">
        <f t="shared" si="509"/>
        <v>0.31718155955604743</v>
      </c>
      <c r="BC829" s="147">
        <f t="shared" si="530"/>
        <v>2.0515136798153395E-16</v>
      </c>
      <c r="BD829" s="164">
        <f>IF(AND($C828=12,$D828=Input!$C$6),0,IF($E829="","",AT829+(AU829+BD830)/(1+$AK829)*MIN((1-AM829-AN829),1)))</f>
        <v>0</v>
      </c>
      <c r="BE829" s="164">
        <f t="shared" si="510"/>
        <v>0</v>
      </c>
      <c r="BF829" s="164">
        <f t="shared" si="531"/>
        <v>99822.379783880504</v>
      </c>
      <c r="BG829" s="164">
        <f t="shared" si="511"/>
        <v>2.0478697767835306E-11</v>
      </c>
      <c r="BH829" s="152"/>
      <c r="BI829" s="162">
        <f t="shared" si="512"/>
        <v>9788.1682358922408</v>
      </c>
      <c r="BJ829" s="150">
        <f t="shared" si="513"/>
        <v>0</v>
      </c>
      <c r="BK829" s="163">
        <f t="shared" si="535"/>
        <v>0</v>
      </c>
      <c r="BL829" s="163">
        <f t="shared" si="514"/>
        <v>9831.6063260749379</v>
      </c>
      <c r="BM829" s="163">
        <f t="shared" si="536"/>
        <v>19.123958152204132</v>
      </c>
      <c r="BN829" s="163">
        <f t="shared" si="515"/>
        <v>-2.6469965565444094</v>
      </c>
      <c r="BO829" s="163">
        <f t="shared" si="516"/>
        <v>0</v>
      </c>
      <c r="BP829" s="164">
        <f t="shared" si="537"/>
        <v>-26.9611285870374</v>
      </c>
      <c r="BQ829" s="164">
        <f>IF($E829="","",IF(AND($D829=Input!$C$6,$C829=12),0,-BJ830+BK830+BL830-BM830-BN830-BO830+BQ830))</f>
        <v>-26.923337537673433</v>
      </c>
      <c r="BR829" s="161">
        <f t="shared" si="517"/>
        <v>0</v>
      </c>
      <c r="BT829" s="147">
        <f t="shared" si="518"/>
        <v>2.0515136798153395E-16</v>
      </c>
      <c r="BU829" s="164">
        <f>IF(AND($C828=12,$D828=Input!$C$6),0,IF($E829="","",BK829+(BL829+BU830)/(1+$AK829)*MIN((1-T829-U829),1)))</f>
        <v>77878.093907044269</v>
      </c>
      <c r="BV829" s="164">
        <f t="shared" si="519"/>
        <v>1.5976797500824494E-11</v>
      </c>
      <c r="BW829" s="164">
        <f t="shared" si="520"/>
        <v>-26.923337537673433</v>
      </c>
      <c r="BX829" s="164">
        <f t="shared" si="521"/>
        <v>-5.5233595264822885E-15</v>
      </c>
    </row>
    <row r="830" spans="1:76" s="150" customFormat="1" x14ac:dyDescent="0.25">
      <c r="A830" s="150">
        <f t="shared" si="532"/>
        <v>826</v>
      </c>
      <c r="B830" s="150">
        <f t="shared" si="533"/>
        <v>69</v>
      </c>
      <c r="C830" s="150">
        <f t="shared" si="534"/>
        <v>10</v>
      </c>
      <c r="D830" s="150">
        <f>IF(E830="","",Input!$C$4+B830-1)</f>
        <v>113</v>
      </c>
      <c r="E830" s="150">
        <f>IF(OR(AND(C829=12,D829=Input!$C$6),E829=""),"",1)</f>
        <v>1</v>
      </c>
      <c r="F830" s="150">
        <f>IF(E830="","",Input!$C$8+B830-1)</f>
        <v>2086</v>
      </c>
      <c r="G830" s="151">
        <f>IF(E830="","",MAX(0,Input!$C$9-B830))</f>
        <v>0</v>
      </c>
      <c r="H830" s="152">
        <f>IF(E830="","",Input!$C$3)</f>
        <v>100000</v>
      </c>
      <c r="I830" s="153">
        <f>IF(E830="","",HLOOKUP($B830,Input!$C$13:$BT$14,2))</f>
        <v>1000</v>
      </c>
      <c r="J830" s="154"/>
      <c r="K830" s="155">
        <f>IF($E830="","",INDEX(Input!$C$16:$CP$16,1,$B830))</f>
        <v>3.313E-2</v>
      </c>
      <c r="L830" s="155">
        <f>IF($E830="","",Input!$C$37)</f>
        <v>1.4999999999999999E-2</v>
      </c>
      <c r="M830" s="155">
        <f t="shared" si="538"/>
        <v>4.8129999999999999E-2</v>
      </c>
      <c r="N830" s="155">
        <f t="shared" si="539"/>
        <v>3.924984656578534E-3</v>
      </c>
      <c r="O830" s="147">
        <f>IF($E830="","",MIN(VLOOKUP(IF($B830&lt;=Input!$C$7,$B830,26),'Mortality Tables'!$A$41:$CW$67,IF($B830&lt;=Input!$C$7+1,Input!$C$4+2,$D830-Input!$C$7+2),0)*IF(B830&gt;20,Input!$C$22,1)/1000,1))</f>
        <v>1</v>
      </c>
      <c r="P830" s="147">
        <f>IF($E830="","",MIN(VLOOKUP(IF($B830&lt;=Input!$C$7,$B830,26),'Mortality Tables'!$A$12:$CW$37,IF($B830&lt;=Input!$C$7+1,Input!$C$4+2,$D830-Input!$C$7+2),0)*IF(B830&gt;20,Input!$C$22,1)/1000,1))</f>
        <v>1</v>
      </c>
      <c r="Q830" s="155">
        <f>IF($E830="","",Input!$C$21)</f>
        <v>5.0000000000000001E-3</v>
      </c>
      <c r="R830" s="159">
        <f>IF($E830="","",(1-Q830)^($F830-Input!$C$20))</f>
        <v>0.71116355248971541</v>
      </c>
      <c r="S830" s="147">
        <f t="shared" si="500"/>
        <v>0.71116355248971541</v>
      </c>
      <c r="T830" s="147">
        <f t="shared" si="501"/>
        <v>9.8316063260749376E-2</v>
      </c>
      <c r="U830" s="160">
        <f>IF($E830="","",IF($C830=12,INDEX(Input!$C$15:$CP$15,1,$B830),0))</f>
        <v>0</v>
      </c>
      <c r="V830" s="150">
        <f>IF(E830="","",IF(C830=1,IF($B830=1,Input!$C$33,Input!$C$34),0))</f>
        <v>0</v>
      </c>
      <c r="W830" s="156">
        <f>IF($E830="","",Input!$C$35)</f>
        <v>0.02</v>
      </c>
      <c r="X830" s="156">
        <f t="shared" si="540"/>
        <v>3.844250502545596</v>
      </c>
      <c r="Y830" s="154"/>
      <c r="Z830" s="147">
        <f>IF($E830="","",VLOOKUP($D830,'Mortality Margins &amp; Grading'!$AB$5:$AF$125,3,0)*IF(Summary!$D$25="Included Margin",IF(AND($B830&gt;Input!$C$9,Summary!$D$31&lt;&gt;"Included Margin"),0,1),0))</f>
        <v>0.01</v>
      </c>
      <c r="AA830" s="147">
        <f>IF($E830="","",VLOOKUP($D830,'Mortality Margins &amp; Grading'!$AB$5:$AF$125,5,0)*IF(Summary!$D$25="Included Margin",IF(AND($B830&gt;Input!$C$9,Summary!$D$31&lt;&gt;"Included Margin"),0,1),0))</f>
        <v>5.2999999999999999E-2</v>
      </c>
      <c r="AB830" s="147">
        <f>IF($E830="","",IF(AND($B830&gt;Input!$C$9,Summary!$D$31&lt;&gt;"Included Margin"),1,IF(Summary!$D$25="Included Margin",VLOOKUP($B830,'Mortality Margins &amp; Grading'!$AI$5:$AR$125,MATCH('Mortality Margins &amp; Grading'!$AQ$4,'Mortality Margins &amp; Grading'!$AI$4:$AR$4,0),0),1)))</f>
        <v>0</v>
      </c>
      <c r="AC830" s="154"/>
      <c r="AD830" s="158">
        <f>IF(E830="","",Input!$C$48*IF(Summary!$D$30="Included Margin",IF(AND($B830&gt;Input!$C$9,Summary!$D$31&lt;&gt;"Included Margin"),0,1),0))</f>
        <v>-4.4999999999999997E-3</v>
      </c>
      <c r="AE830" s="159">
        <f>IF(E830="","",IF(Summary!$D$26="Included Margin",IF(AND($B830&gt;Input!$C$9,Summary!$D$31&lt;&gt;"Included Margin"),1,1/$R830),1))</f>
        <v>1.406146302772542</v>
      </c>
      <c r="AF830" s="160">
        <f>IF(E830="","",IF(AND($B830&gt;=Input!$C$9,$C830=12,Summary!$D$31="Included Margin",$U830&gt;0),1/U830-1,IF($B830&gt;=Input!$C$9,0,Input!$C$45*IF(Summary!$D$27="Included Margin",1,0))))</f>
        <v>0</v>
      </c>
      <c r="AG830" s="160">
        <f>IF(E830="","",Input!$C$46*IF(Summary!$D$28="Included Margin",IF(AND($B830&gt;Input!$C$9,Summary!$D$31&lt;&gt;"Included Margin"),0,1),0))</f>
        <v>0.02</v>
      </c>
      <c r="AH830" s="158">
        <f>IF(E830="","",Input!$C$47*IF(Summary!$D$29="Included Margin",IF(AND($B830&gt;Input!$C$9,Summary!$D$31&lt;&gt;"Included Margin"),0,1),0))</f>
        <v>2.5000000000000001E-3</v>
      </c>
      <c r="AI830" s="154"/>
      <c r="AJ830" s="158">
        <f t="shared" si="522"/>
        <v>4.3630000000000002E-2</v>
      </c>
      <c r="AK830" s="155">
        <f t="shared" si="523"/>
        <v>3.5650915847715847E-3</v>
      </c>
      <c r="AL830" s="147">
        <f t="shared" si="524"/>
        <v>1</v>
      </c>
      <c r="AM830" s="147">
        <f t="shared" si="502"/>
        <v>1</v>
      </c>
      <c r="AN830" s="160">
        <f t="shared" si="525"/>
        <v>0</v>
      </c>
      <c r="AO830" s="161">
        <f t="shared" si="526"/>
        <v>0</v>
      </c>
      <c r="AP830" s="156">
        <f t="shared" si="503"/>
        <v>4.5405193853428729</v>
      </c>
      <c r="AQ830" s="152"/>
      <c r="AR830" s="162">
        <f t="shared" si="504"/>
        <v>99822.062602320948</v>
      </c>
      <c r="AS830" s="150">
        <f t="shared" si="527"/>
        <v>0</v>
      </c>
      <c r="AT830" s="163">
        <f t="shared" si="505"/>
        <v>0</v>
      </c>
      <c r="AU830" s="163">
        <f t="shared" si="506"/>
        <v>100000</v>
      </c>
      <c r="AV830" s="163">
        <f t="shared" si="528"/>
        <v>177.62021611949748</v>
      </c>
      <c r="AW830" s="163">
        <f t="shared" si="507"/>
        <v>99822.379783880504</v>
      </c>
      <c r="AX830" s="163">
        <f t="shared" si="508"/>
        <v>0</v>
      </c>
      <c r="AY830" s="165">
        <f t="shared" si="529"/>
        <v>99822.062602320948</v>
      </c>
      <c r="AZ830" s="164">
        <f>IF($E830="","",IF(OR(AND($D830=Input!$C$6,$C830=12),$AN830=1),0,-AS831+AT831+AU831-AV831-AW831-AX831+AZ831))</f>
        <v>99822.379783880504</v>
      </c>
      <c r="BA830" s="154">
        <f t="shared" si="509"/>
        <v>0.31718155955604743</v>
      </c>
      <c r="BC830" s="147">
        <f t="shared" si="530"/>
        <v>1.8498169310903219E-16</v>
      </c>
      <c r="BD830" s="164">
        <f>IF(AND($C829=12,$D829=Input!$C$6),0,IF($E830="","",AT830+(AU830+BD831)/(1+$AK830)*MIN((1-AM830-AN830),1)))</f>
        <v>0</v>
      </c>
      <c r="BE830" s="164">
        <f t="shared" si="510"/>
        <v>0</v>
      </c>
      <c r="BF830" s="164">
        <f t="shared" si="531"/>
        <v>99822.379783880504</v>
      </c>
      <c r="BG830" s="164">
        <f t="shared" si="511"/>
        <v>1.8465312822595043E-11</v>
      </c>
      <c r="BH830" s="152"/>
      <c r="BI830" s="162">
        <f t="shared" si="512"/>
        <v>-26.96112858703782</v>
      </c>
      <c r="BJ830" s="150">
        <f t="shared" si="513"/>
        <v>0</v>
      </c>
      <c r="BK830" s="163">
        <f t="shared" si="535"/>
        <v>0</v>
      </c>
      <c r="BL830" s="163">
        <f t="shared" si="514"/>
        <v>9831.6063260749379</v>
      </c>
      <c r="BM830" s="163">
        <f t="shared" si="536"/>
        <v>-19.400274005710454</v>
      </c>
      <c r="BN830" s="163">
        <f t="shared" si="515"/>
        <v>-1077.0505551469898</v>
      </c>
      <c r="BO830" s="163">
        <f t="shared" si="516"/>
        <v>0</v>
      </c>
      <c r="BP830" s="164">
        <f t="shared" si="537"/>
        <v>-10955.018283814677</v>
      </c>
      <c r="BQ830" s="164">
        <f>IF($E830="","",IF(AND($D830=Input!$C$6,$C830=12),0,-BJ831+BK831+BL831-BM831-BN831-BO831+BQ831))</f>
        <v>-10954.980492765313</v>
      </c>
      <c r="BR830" s="161">
        <f t="shared" si="517"/>
        <v>0</v>
      </c>
      <c r="BT830" s="147">
        <f t="shared" si="518"/>
        <v>1.8498169310903219E-16</v>
      </c>
      <c r="BU830" s="164">
        <f>IF(AND($C829=12,$D829=Input!$C$6),0,IF($E830="","",BK830+(BL830+BU831)/(1+$AK830)*MIN((1-T830-U830),1)))</f>
        <v>76845.923637366606</v>
      </c>
      <c r="BV830" s="164">
        <f t="shared" si="519"/>
        <v>1.4215089062967472E-11</v>
      </c>
      <c r="BW830" s="164">
        <f t="shared" si="520"/>
        <v>-10954.980492765313</v>
      </c>
      <c r="BX830" s="164">
        <f t="shared" si="521"/>
        <v>-2.0264708395281475E-12</v>
      </c>
    </row>
    <row r="831" spans="1:76" s="150" customFormat="1" x14ac:dyDescent="0.25">
      <c r="A831" s="150">
        <f t="shared" si="532"/>
        <v>827</v>
      </c>
      <c r="B831" s="150">
        <f t="shared" si="533"/>
        <v>69</v>
      </c>
      <c r="C831" s="150">
        <f t="shared" si="534"/>
        <v>11</v>
      </c>
      <c r="D831" s="150">
        <f>IF(E831="","",Input!$C$4+B831-1)</f>
        <v>113</v>
      </c>
      <c r="E831" s="150">
        <f>IF(OR(AND(C830=12,D830=Input!$C$6),E830=""),"",1)</f>
        <v>1</v>
      </c>
      <c r="F831" s="150">
        <f>IF(E831="","",Input!$C$8+B831-1)</f>
        <v>2086</v>
      </c>
      <c r="G831" s="151">
        <f>IF(E831="","",MAX(0,Input!$C$9-B831))</f>
        <v>0</v>
      </c>
      <c r="H831" s="152">
        <f>IF(E831="","",Input!$C$3)</f>
        <v>100000</v>
      </c>
      <c r="I831" s="153">
        <f>IF(E831="","",HLOOKUP($B831,Input!$C$13:$BT$14,2))</f>
        <v>1000</v>
      </c>
      <c r="J831" s="154"/>
      <c r="K831" s="155">
        <f>IF($E831="","",INDEX(Input!$C$16:$CP$16,1,$B831))</f>
        <v>3.313E-2</v>
      </c>
      <c r="L831" s="155">
        <f>IF($E831="","",Input!$C$37)</f>
        <v>1.4999999999999999E-2</v>
      </c>
      <c r="M831" s="155">
        <f t="shared" si="538"/>
        <v>4.8129999999999999E-2</v>
      </c>
      <c r="N831" s="155">
        <f t="shared" si="539"/>
        <v>3.924984656578534E-3</v>
      </c>
      <c r="O831" s="147">
        <f>IF($E831="","",MIN(VLOOKUP(IF($B831&lt;=Input!$C$7,$B831,26),'Mortality Tables'!$A$41:$CW$67,IF($B831&lt;=Input!$C$7+1,Input!$C$4+2,$D831-Input!$C$7+2),0)*IF(B831&gt;20,Input!$C$22,1)/1000,1))</f>
        <v>1</v>
      </c>
      <c r="P831" s="147">
        <f>IF($E831="","",MIN(VLOOKUP(IF($B831&lt;=Input!$C$7,$B831,26),'Mortality Tables'!$A$12:$CW$37,IF($B831&lt;=Input!$C$7+1,Input!$C$4+2,$D831-Input!$C$7+2),0)*IF(B831&gt;20,Input!$C$22,1)/1000,1))</f>
        <v>1</v>
      </c>
      <c r="Q831" s="155">
        <f>IF($E831="","",Input!$C$21)</f>
        <v>5.0000000000000001E-3</v>
      </c>
      <c r="R831" s="159">
        <f>IF($E831="","",(1-Q831)^($F831-Input!$C$20))</f>
        <v>0.71116355248971541</v>
      </c>
      <c r="S831" s="147">
        <f t="shared" si="500"/>
        <v>0.71116355248971541</v>
      </c>
      <c r="T831" s="147">
        <f t="shared" si="501"/>
        <v>9.8316063260749376E-2</v>
      </c>
      <c r="U831" s="160">
        <f>IF($E831="","",IF($C831=12,INDEX(Input!$C$15:$CP$15,1,$B831),0))</f>
        <v>0</v>
      </c>
      <c r="V831" s="150">
        <f>IF(E831="","",IF(C831=1,IF($B831=1,Input!$C$33,Input!$C$34),0))</f>
        <v>0</v>
      </c>
      <c r="W831" s="156">
        <f>IF($E831="","",Input!$C$35)</f>
        <v>0.02</v>
      </c>
      <c r="X831" s="156">
        <f t="shared" si="540"/>
        <v>3.844250502545596</v>
      </c>
      <c r="Y831" s="154"/>
      <c r="Z831" s="147">
        <f>IF($E831="","",VLOOKUP($D831,'Mortality Margins &amp; Grading'!$AB$5:$AF$125,3,0)*IF(Summary!$D$25="Included Margin",IF(AND($B831&gt;Input!$C$9,Summary!$D$31&lt;&gt;"Included Margin"),0,1),0))</f>
        <v>0.01</v>
      </c>
      <c r="AA831" s="147">
        <f>IF($E831="","",VLOOKUP($D831,'Mortality Margins &amp; Grading'!$AB$5:$AF$125,5,0)*IF(Summary!$D$25="Included Margin",IF(AND($B831&gt;Input!$C$9,Summary!$D$31&lt;&gt;"Included Margin"),0,1),0))</f>
        <v>5.2999999999999999E-2</v>
      </c>
      <c r="AB831" s="147">
        <f>IF($E831="","",IF(AND($B831&gt;Input!$C$9,Summary!$D$31&lt;&gt;"Included Margin"),1,IF(Summary!$D$25="Included Margin",VLOOKUP($B831,'Mortality Margins &amp; Grading'!$AI$5:$AR$125,MATCH('Mortality Margins &amp; Grading'!$AQ$4,'Mortality Margins &amp; Grading'!$AI$4:$AR$4,0),0),1)))</f>
        <v>0</v>
      </c>
      <c r="AC831" s="154"/>
      <c r="AD831" s="158">
        <f>IF(E831="","",Input!$C$48*IF(Summary!$D$30="Included Margin",IF(AND($B831&gt;Input!$C$9,Summary!$D$31&lt;&gt;"Included Margin"),0,1),0))</f>
        <v>-4.4999999999999997E-3</v>
      </c>
      <c r="AE831" s="159">
        <f>IF(E831="","",IF(Summary!$D$26="Included Margin",IF(AND($B831&gt;Input!$C$9,Summary!$D$31&lt;&gt;"Included Margin"),1,1/$R831),1))</f>
        <v>1.406146302772542</v>
      </c>
      <c r="AF831" s="160">
        <f>IF(E831="","",IF(AND($B831&gt;=Input!$C$9,$C831=12,Summary!$D$31="Included Margin",$U831&gt;0),1/U831-1,IF($B831&gt;=Input!$C$9,0,Input!$C$45*IF(Summary!$D$27="Included Margin",1,0))))</f>
        <v>0</v>
      </c>
      <c r="AG831" s="160">
        <f>IF(E831="","",Input!$C$46*IF(Summary!$D$28="Included Margin",IF(AND($B831&gt;Input!$C$9,Summary!$D$31&lt;&gt;"Included Margin"),0,1),0))</f>
        <v>0.02</v>
      </c>
      <c r="AH831" s="158">
        <f>IF(E831="","",Input!$C$47*IF(Summary!$D$29="Included Margin",IF(AND($B831&gt;Input!$C$9,Summary!$D$31&lt;&gt;"Included Margin"),0,1),0))</f>
        <v>2.5000000000000001E-3</v>
      </c>
      <c r="AI831" s="154"/>
      <c r="AJ831" s="158">
        <f t="shared" si="522"/>
        <v>4.3630000000000002E-2</v>
      </c>
      <c r="AK831" s="155">
        <f t="shared" si="523"/>
        <v>3.5650915847715847E-3</v>
      </c>
      <c r="AL831" s="147">
        <f t="shared" si="524"/>
        <v>1</v>
      </c>
      <c r="AM831" s="147">
        <f t="shared" si="502"/>
        <v>1</v>
      </c>
      <c r="AN831" s="160">
        <f t="shared" si="525"/>
        <v>0</v>
      </c>
      <c r="AO831" s="161">
        <f t="shared" si="526"/>
        <v>0</v>
      </c>
      <c r="AP831" s="156">
        <f t="shared" si="503"/>
        <v>4.5405193853428729</v>
      </c>
      <c r="AQ831" s="152"/>
      <c r="AR831" s="162">
        <f t="shared" si="504"/>
        <v>99822.062602320948</v>
      </c>
      <c r="AS831" s="150">
        <f t="shared" si="527"/>
        <v>0</v>
      </c>
      <c r="AT831" s="163">
        <f t="shared" si="505"/>
        <v>0</v>
      </c>
      <c r="AU831" s="163">
        <f t="shared" si="506"/>
        <v>100000</v>
      </c>
      <c r="AV831" s="163">
        <f t="shared" si="528"/>
        <v>177.62021611949748</v>
      </c>
      <c r="AW831" s="163">
        <f t="shared" si="507"/>
        <v>99822.379783880504</v>
      </c>
      <c r="AX831" s="163">
        <f t="shared" si="508"/>
        <v>0</v>
      </c>
      <c r="AY831" s="164">
        <f t="shared" si="529"/>
        <v>99822.062602320948</v>
      </c>
      <c r="AZ831" s="164">
        <f>IF($E831="","",IF(OR(AND($D831=Input!$C$6,$C831=12),$AN831=1),0,-AS832+AT832+AU832-AV832-AW832-AX832+AZ832))</f>
        <v>99822.379783880504</v>
      </c>
      <c r="BA831" s="154">
        <f t="shared" si="509"/>
        <v>0.31718155955604743</v>
      </c>
      <c r="BC831" s="147">
        <f t="shared" si="530"/>
        <v>1.6679502126724406E-16</v>
      </c>
      <c r="BD831" s="164">
        <f>IF(AND($C830=12,$D830=Input!$C$6),0,IF($E831="","",AT831+(AU831+BD832)/(1+$AK831)*MIN((1-AM831-AN831),1)))</f>
        <v>0</v>
      </c>
      <c r="BE831" s="164">
        <f t="shared" si="510"/>
        <v>0</v>
      </c>
      <c r="BF831" s="164">
        <f t="shared" si="531"/>
        <v>99822.379783880504</v>
      </c>
      <c r="BG831" s="164">
        <f t="shared" si="511"/>
        <v>1.6649875958999263E-11</v>
      </c>
      <c r="BH831" s="152"/>
      <c r="BI831" s="162">
        <f t="shared" si="512"/>
        <v>-10955.018283814677</v>
      </c>
      <c r="BJ831" s="150">
        <f t="shared" si="513"/>
        <v>0</v>
      </c>
      <c r="BK831" s="163">
        <f t="shared" si="535"/>
        <v>0</v>
      </c>
      <c r="BL831" s="163">
        <f t="shared" si="514"/>
        <v>9831.6063260749379</v>
      </c>
      <c r="BM831" s="163">
        <f t="shared" si="536"/>
        <v>-62.292730666192206</v>
      </c>
      <c r="BN831" s="163">
        <f t="shared" si="515"/>
        <v>-2273.2796683920251</v>
      </c>
      <c r="BO831" s="163">
        <f t="shared" si="516"/>
        <v>0</v>
      </c>
      <c r="BP831" s="164">
        <f t="shared" si="537"/>
        <v>-23122.197008947831</v>
      </c>
      <c r="BQ831" s="164">
        <f>IF($E831="","",IF(AND($D831=Input!$C$6,$C831=12),0,-BJ832+BK832+BL832-BM832-BN832-BO832+BQ832))</f>
        <v>-23122.159217898468</v>
      </c>
      <c r="BR831" s="161">
        <f t="shared" si="517"/>
        <v>0</v>
      </c>
      <c r="BT831" s="147">
        <f t="shared" si="518"/>
        <v>1.6679502126724406E-16</v>
      </c>
      <c r="BU831" s="164">
        <f>IF(AND($C830=12,$D830=Input!$C$6),0,IF($E831="","",BK831+(BL831+BU832)/(1+$AK831)*MIN((1-T831-U831),1)))</f>
        <v>75697.128578461517</v>
      </c>
      <c r="BV831" s="164">
        <f t="shared" si="519"/>
        <v>1.2625904171113797E-11</v>
      </c>
      <c r="BW831" s="164">
        <f t="shared" si="520"/>
        <v>-23122.159217898468</v>
      </c>
      <c r="BX831" s="164">
        <f t="shared" si="521"/>
        <v>-3.8566610384939783E-12</v>
      </c>
    </row>
    <row r="832" spans="1:76" s="150" customFormat="1" x14ac:dyDescent="0.25">
      <c r="A832" s="150">
        <f t="shared" si="532"/>
        <v>828</v>
      </c>
      <c r="B832" s="150">
        <f t="shared" si="533"/>
        <v>69</v>
      </c>
      <c r="C832" s="150">
        <f t="shared" si="534"/>
        <v>12</v>
      </c>
      <c r="D832" s="150">
        <f>IF(E832="","",Input!$C$4+B832-1)</f>
        <v>113</v>
      </c>
      <c r="E832" s="150">
        <f>IF(OR(AND(C831=12,D831=Input!$C$6),E831=""),"",1)</f>
        <v>1</v>
      </c>
      <c r="F832" s="150">
        <f>IF(E832="","",Input!$C$8+B832-1)</f>
        <v>2086</v>
      </c>
      <c r="G832" s="151">
        <f>IF(E832="","",MAX(0,Input!$C$9-B832))</f>
        <v>0</v>
      </c>
      <c r="H832" s="152">
        <f>IF(E832="","",Input!$C$3)</f>
        <v>100000</v>
      </c>
      <c r="I832" s="153">
        <f>IF(E832="","",HLOOKUP($B832,Input!$C$13:$BT$14,2))</f>
        <v>1000</v>
      </c>
      <c r="J832" s="154"/>
      <c r="K832" s="155">
        <f>IF($E832="","",INDEX(Input!$C$16:$CP$16,1,$B832))</f>
        <v>3.313E-2</v>
      </c>
      <c r="L832" s="155">
        <f>IF($E832="","",Input!$C$37)</f>
        <v>1.4999999999999999E-2</v>
      </c>
      <c r="M832" s="155">
        <f t="shared" si="538"/>
        <v>4.8129999999999999E-2</v>
      </c>
      <c r="N832" s="155">
        <f t="shared" si="539"/>
        <v>3.924984656578534E-3</v>
      </c>
      <c r="O832" s="147">
        <f>IF($E832="","",MIN(VLOOKUP(IF($B832&lt;=Input!$C$7,$B832,26),'Mortality Tables'!$A$41:$CW$67,IF($B832&lt;=Input!$C$7+1,Input!$C$4+2,$D832-Input!$C$7+2),0)*IF(B832&gt;20,Input!$C$22,1)/1000,1))</f>
        <v>1</v>
      </c>
      <c r="P832" s="147">
        <f>IF($E832="","",MIN(VLOOKUP(IF($B832&lt;=Input!$C$7,$B832,26),'Mortality Tables'!$A$12:$CW$37,IF($B832&lt;=Input!$C$7+1,Input!$C$4+2,$D832-Input!$C$7+2),0)*IF(B832&gt;20,Input!$C$22,1)/1000,1))</f>
        <v>1</v>
      </c>
      <c r="Q832" s="155">
        <f>IF($E832="","",Input!$C$21)</f>
        <v>5.0000000000000001E-3</v>
      </c>
      <c r="R832" s="159">
        <f>IF($E832="","",(1-Q832)^($F832-Input!$C$20))</f>
        <v>0.71116355248971541</v>
      </c>
      <c r="S832" s="147">
        <f t="shared" si="500"/>
        <v>0.71116355248971541</v>
      </c>
      <c r="T832" s="147">
        <f t="shared" si="501"/>
        <v>9.8316063260749376E-2</v>
      </c>
      <c r="U832" s="160">
        <f>IF($E832="","",IF($C832=12,INDEX(Input!$C$15:$CP$15,1,$B832),0))</f>
        <v>0.1</v>
      </c>
      <c r="V832" s="150">
        <f>IF(E832="","",IF(C832=1,IF($B832=1,Input!$C$33,Input!$C$34),0))</f>
        <v>0</v>
      </c>
      <c r="W832" s="156">
        <f>IF($E832="","",Input!$C$35)</f>
        <v>0.02</v>
      </c>
      <c r="X832" s="156">
        <f t="shared" si="540"/>
        <v>3.844250502545596</v>
      </c>
      <c r="Y832" s="154"/>
      <c r="Z832" s="147">
        <f>IF($E832="","",VLOOKUP($D832,'Mortality Margins &amp; Grading'!$AB$5:$AF$125,3,0)*IF(Summary!$D$25="Included Margin",IF(AND($B832&gt;Input!$C$9,Summary!$D$31&lt;&gt;"Included Margin"),0,1),0))</f>
        <v>0.01</v>
      </c>
      <c r="AA832" s="147">
        <f>IF($E832="","",VLOOKUP($D832,'Mortality Margins &amp; Grading'!$AB$5:$AF$125,5,0)*IF(Summary!$D$25="Included Margin",IF(AND($B832&gt;Input!$C$9,Summary!$D$31&lt;&gt;"Included Margin"),0,1),0))</f>
        <v>5.2999999999999999E-2</v>
      </c>
      <c r="AB832" s="147">
        <f>IF($E832="","",IF(AND($B832&gt;Input!$C$9,Summary!$D$31&lt;&gt;"Included Margin"),1,IF(Summary!$D$25="Included Margin",VLOOKUP($B832,'Mortality Margins &amp; Grading'!$AI$5:$AR$125,MATCH('Mortality Margins &amp; Grading'!$AQ$4,'Mortality Margins &amp; Grading'!$AI$4:$AR$4,0),0),1)))</f>
        <v>0</v>
      </c>
      <c r="AC832" s="154"/>
      <c r="AD832" s="158">
        <f>IF(E832="","",Input!$C$48*IF(Summary!$D$30="Included Margin",IF(AND($B832&gt;Input!$C$9,Summary!$D$31&lt;&gt;"Included Margin"),0,1),0))</f>
        <v>-4.4999999999999997E-3</v>
      </c>
      <c r="AE832" s="159">
        <f>IF(E832="","",IF(Summary!$D$26="Included Margin",IF(AND($B832&gt;Input!$C$9,Summary!$D$31&lt;&gt;"Included Margin"),1,1/$R832),1))</f>
        <v>1.406146302772542</v>
      </c>
      <c r="AF832" s="160">
        <f>IF(E832="","",IF(AND($B832&gt;=Input!$C$9,$C832=12,Summary!$D$31="Included Margin",$U832&gt;0),1/U832-1,IF($B832&gt;=Input!$C$9,0,Input!$C$45*IF(Summary!$D$27="Included Margin",1,0))))</f>
        <v>9</v>
      </c>
      <c r="AG832" s="160">
        <f>IF(E832="","",Input!$C$46*IF(Summary!$D$28="Included Margin",IF(AND($B832&gt;Input!$C$9,Summary!$D$31&lt;&gt;"Included Margin"),0,1),0))</f>
        <v>0.02</v>
      </c>
      <c r="AH832" s="158">
        <f>IF(E832="","",Input!$C$47*IF(Summary!$D$29="Included Margin",IF(AND($B832&gt;Input!$C$9,Summary!$D$31&lt;&gt;"Included Margin"),0,1),0))</f>
        <v>2.5000000000000001E-3</v>
      </c>
      <c r="AI832" s="154"/>
      <c r="AJ832" s="158">
        <f t="shared" si="522"/>
        <v>4.3630000000000002E-2</v>
      </c>
      <c r="AK832" s="155">
        <f t="shared" si="523"/>
        <v>3.5650915847715847E-3</v>
      </c>
      <c r="AL832" s="147">
        <f t="shared" si="524"/>
        <v>1</v>
      </c>
      <c r="AM832" s="147">
        <f t="shared" si="502"/>
        <v>1</v>
      </c>
      <c r="AN832" s="160">
        <f t="shared" si="525"/>
        <v>1</v>
      </c>
      <c r="AO832" s="161">
        <f t="shared" si="526"/>
        <v>0</v>
      </c>
      <c r="AP832" s="156">
        <f t="shared" si="503"/>
        <v>4.5405193853428729</v>
      </c>
      <c r="AQ832" s="152"/>
      <c r="AR832" s="162">
        <f t="shared" si="504"/>
        <v>99822.062602320948</v>
      </c>
      <c r="AS832" s="150">
        <f t="shared" si="527"/>
        <v>0</v>
      </c>
      <c r="AT832" s="163">
        <f t="shared" si="505"/>
        <v>0</v>
      </c>
      <c r="AU832" s="163">
        <f t="shared" si="506"/>
        <v>100000</v>
      </c>
      <c r="AV832" s="163">
        <f t="shared" si="528"/>
        <v>177.62021611949748</v>
      </c>
      <c r="AW832" s="163">
        <f t="shared" si="507"/>
        <v>0</v>
      </c>
      <c r="AX832" s="163">
        <f t="shared" si="508"/>
        <v>0</v>
      </c>
      <c r="AY832" s="165">
        <f t="shared" si="529"/>
        <v>-0.31718155955459792</v>
      </c>
      <c r="AZ832" s="164">
        <f>IF($E832="","",IF(OR(AND($D832=Input!$C$6,$C832=12),$AN832=1),0,-AS833+AT833+AU833-AV833-AW833-AX833+AZ833))</f>
        <v>0</v>
      </c>
      <c r="BA832" s="154">
        <f t="shared" si="509"/>
        <v>0.31718155955459792</v>
      </c>
      <c r="BC832" s="147">
        <f t="shared" si="530"/>
        <v>1.3371688927803124E-16</v>
      </c>
      <c r="BD832" s="164">
        <f>IF(AND($C831=12,$D831=Input!$C$6),0,IF($E832="","",AT832+(AU832+BD833)/(1+$AK832)*MIN((1-AM832-AN832),1)))</f>
        <v>-99880.692916848158</v>
      </c>
      <c r="BE832" s="164">
        <f t="shared" si="510"/>
        <v>-1.3355735555775225E-11</v>
      </c>
      <c r="BF832" s="164">
        <f t="shared" si="531"/>
        <v>0</v>
      </c>
      <c r="BG832" s="164">
        <f t="shared" si="511"/>
        <v>0</v>
      </c>
      <c r="BH832" s="152"/>
      <c r="BI832" s="162">
        <f t="shared" si="512"/>
        <v>-23122.197008947835</v>
      </c>
      <c r="BJ832" s="150">
        <f t="shared" si="513"/>
        <v>0</v>
      </c>
      <c r="BK832" s="163">
        <f t="shared" si="535"/>
        <v>0</v>
      </c>
      <c r="BL832" s="163">
        <f t="shared" si="514"/>
        <v>9831.6063260749379</v>
      </c>
      <c r="BM832" s="163">
        <f t="shared" si="536"/>
        <v>-110.04872047618861</v>
      </c>
      <c r="BN832" s="163">
        <f t="shared" si="515"/>
        <v>-4005.7200168791073</v>
      </c>
      <c r="BO832" s="163">
        <f t="shared" si="516"/>
        <v>-3673.7571404943997</v>
      </c>
      <c r="BP832" s="164">
        <f t="shared" si="537"/>
        <v>-40743.329212872472</v>
      </c>
      <c r="BQ832" s="164">
        <f>IF($E832="","",IF(AND($D832=Input!$C$6,$C832=12),0,-BJ833+BK833+BL833-BM833-BN833-BO833+BQ833))</f>
        <v>-40743.291421823102</v>
      </c>
      <c r="BR832" s="161">
        <f t="shared" si="517"/>
        <v>0</v>
      </c>
      <c r="BT832" s="147">
        <f t="shared" si="518"/>
        <v>1.3371688927803124E-16</v>
      </c>
      <c r="BU832" s="164">
        <f>IF(AND($C831=12,$D831=Input!$C$6),0,IF($E832="","",BK832+(BL832+BU833)/(1+$AK832)*MIN((1-T832-U832),1)))</f>
        <v>74418.531310031292</v>
      </c>
      <c r="BV832" s="164">
        <f t="shared" si="519"/>
        <v>9.9510145114171566E-12</v>
      </c>
      <c r="BW832" s="164">
        <f t="shared" si="520"/>
        <v>-40743.291421823102</v>
      </c>
      <c r="BX832" s="164">
        <f t="shared" si="521"/>
        <v>-5.4480661878744802E-12</v>
      </c>
    </row>
    <row r="833" spans="1:76" s="150" customFormat="1" x14ac:dyDescent="0.25">
      <c r="A833" s="150">
        <f t="shared" si="532"/>
        <v>829</v>
      </c>
      <c r="B833" s="150">
        <f t="shared" si="533"/>
        <v>70</v>
      </c>
      <c r="C833" s="150">
        <f t="shared" si="534"/>
        <v>1</v>
      </c>
      <c r="D833" s="150">
        <f>IF(E833="","",Input!$C$4+B833-1)</f>
        <v>114</v>
      </c>
      <c r="E833" s="150">
        <f>IF(OR(AND(C832=12,D832=Input!$C$6),E832=""),"",1)</f>
        <v>1</v>
      </c>
      <c r="F833" s="150">
        <f>IF(E833="","",Input!$C$8+B833-1)</f>
        <v>2087</v>
      </c>
      <c r="G833" s="151">
        <f>IF(E833="","",MAX(0,Input!$C$9-B833))</f>
        <v>0</v>
      </c>
      <c r="H833" s="152">
        <f>IF(E833="","",Input!$C$3)</f>
        <v>100000</v>
      </c>
      <c r="I833" s="153">
        <f>IF(E833="","",HLOOKUP($B833,Input!$C$13:$BT$14,2))</f>
        <v>1000</v>
      </c>
      <c r="J833" s="154"/>
      <c r="K833" s="155">
        <f>IF($E833="","",INDEX(Input!$C$16:$CP$16,1,$B833))</f>
        <v>3.3140000000000003E-2</v>
      </c>
      <c r="L833" s="155">
        <f>IF($E833="","",Input!$C$37)</f>
        <v>1.4999999999999999E-2</v>
      </c>
      <c r="M833" s="155">
        <f t="shared" si="538"/>
        <v>4.8140000000000002E-2</v>
      </c>
      <c r="N833" s="155">
        <f t="shared" si="539"/>
        <v>3.9257828404828388E-3</v>
      </c>
      <c r="O833" s="147">
        <f>IF($E833="","",MIN(VLOOKUP(IF($B833&lt;=Input!$C$7,$B833,26),'Mortality Tables'!$A$41:$CW$67,IF($B833&lt;=Input!$C$7+1,Input!$C$4+2,$D833-Input!$C$7+2),0)*IF(B833&gt;20,Input!$C$22,1)/1000,1))</f>
        <v>1</v>
      </c>
      <c r="P833" s="147">
        <f>IF($E833="","",MIN(VLOOKUP(IF($B833&lt;=Input!$C$7,$B833,26),'Mortality Tables'!$A$12:$CW$37,IF($B833&lt;=Input!$C$7+1,Input!$C$4+2,$D833-Input!$C$7+2),0)*IF(B833&gt;20,Input!$C$22,1)/1000,1))</f>
        <v>1</v>
      </c>
      <c r="Q833" s="155">
        <f>IF($E833="","",Input!$C$21)</f>
        <v>5.0000000000000001E-3</v>
      </c>
      <c r="R833" s="159">
        <f>IF($E833="","",(1-Q833)^($F833-Input!$C$20))</f>
        <v>0.70760773472726679</v>
      </c>
      <c r="S833" s="147">
        <f t="shared" si="500"/>
        <v>0.70760773472726679</v>
      </c>
      <c r="T833" s="147">
        <f t="shared" si="501"/>
        <v>9.7396201922001824E-2</v>
      </c>
      <c r="U833" s="160">
        <f>IF($E833="","",IF($C833=12,INDEX(Input!$C$15:$CP$15,1,$B833),0))</f>
        <v>0</v>
      </c>
      <c r="V833" s="150">
        <f>IF(E833="","",IF(C833=1,IF($B833=1,Input!$C$33,Input!$C$34),0))</f>
        <v>50</v>
      </c>
      <c r="W833" s="156">
        <f>IF($E833="","",Input!$C$35)</f>
        <v>0.02</v>
      </c>
      <c r="X833" s="156">
        <f t="shared" si="540"/>
        <v>3.9211355125965079</v>
      </c>
      <c r="Y833" s="154"/>
      <c r="Z833" s="147">
        <f>IF($E833="","",VLOOKUP($D833,'Mortality Margins &amp; Grading'!$AB$5:$AF$125,3,0)*IF(Summary!$D$25="Included Margin",IF(AND($B833&gt;Input!$C$9,Summary!$D$31&lt;&gt;"Included Margin"),0,1),0))</f>
        <v>0.01</v>
      </c>
      <c r="AA833" s="147">
        <f>IF($E833="","",VLOOKUP($D833,'Mortality Margins &amp; Grading'!$AB$5:$AF$125,5,0)*IF(Summary!$D$25="Included Margin",IF(AND($B833&gt;Input!$C$9,Summary!$D$31&lt;&gt;"Included Margin"),0,1),0))</f>
        <v>5.2999999999999999E-2</v>
      </c>
      <c r="AB833" s="147">
        <f>IF($E833="","",IF(AND($B833&gt;Input!$C$9,Summary!$D$31&lt;&gt;"Included Margin"),1,IF(Summary!$D$25="Included Margin",VLOOKUP($B833,'Mortality Margins &amp; Grading'!$AI$5:$AR$125,MATCH('Mortality Margins &amp; Grading'!$AQ$4,'Mortality Margins &amp; Grading'!$AI$4:$AR$4,0),0),1)))</f>
        <v>0</v>
      </c>
      <c r="AC833" s="154"/>
      <c r="AD833" s="158">
        <f>IF(E833="","",Input!$C$48*IF(Summary!$D$30="Included Margin",IF(AND($B833&gt;Input!$C$9,Summary!$D$31&lt;&gt;"Included Margin"),0,1),0))</f>
        <v>-4.4999999999999997E-3</v>
      </c>
      <c r="AE833" s="159">
        <f>IF(E833="","",IF(Summary!$D$26="Included Margin",IF(AND($B833&gt;Input!$C$9,Summary!$D$31&lt;&gt;"Included Margin"),1,1/$R833),1))</f>
        <v>1.4132123645955197</v>
      </c>
      <c r="AF833" s="160">
        <f>IF(E833="","",IF(AND($B833&gt;=Input!$C$9,$C833=12,Summary!$D$31="Included Margin",$U833&gt;0),1/U833-1,IF($B833&gt;=Input!$C$9,0,Input!$C$45*IF(Summary!$D$27="Included Margin",1,0))))</f>
        <v>0</v>
      </c>
      <c r="AG833" s="160">
        <f>IF(E833="","",Input!$C$46*IF(Summary!$D$28="Included Margin",IF(AND($B833&gt;Input!$C$9,Summary!$D$31&lt;&gt;"Included Margin"),0,1),0))</f>
        <v>0.02</v>
      </c>
      <c r="AH833" s="158">
        <f>IF(E833="","",Input!$C$47*IF(Summary!$D$29="Included Margin",IF(AND($B833&gt;Input!$C$9,Summary!$D$31&lt;&gt;"Included Margin"),0,1),0))</f>
        <v>2.5000000000000001E-3</v>
      </c>
      <c r="AI833" s="154"/>
      <c r="AJ833" s="158">
        <f t="shared" si="522"/>
        <v>4.3640000000000005E-2</v>
      </c>
      <c r="AK833" s="155">
        <f t="shared" si="523"/>
        <v>3.565892922956726E-3</v>
      </c>
      <c r="AL833" s="147">
        <f t="shared" si="524"/>
        <v>1</v>
      </c>
      <c r="AM833" s="147">
        <f t="shared" si="502"/>
        <v>1</v>
      </c>
      <c r="AN833" s="160">
        <f t="shared" si="525"/>
        <v>0</v>
      </c>
      <c r="AO833" s="161">
        <f t="shared" si="526"/>
        <v>51</v>
      </c>
      <c r="AP833" s="156">
        <f t="shared" si="503"/>
        <v>4.6426810715130875</v>
      </c>
      <c r="AQ833" s="152"/>
      <c r="AR833" s="162">
        <f t="shared" si="504"/>
        <v>58.799412535999295</v>
      </c>
      <c r="AS833" s="150">
        <f t="shared" si="527"/>
        <v>100000</v>
      </c>
      <c r="AT833" s="163">
        <f t="shared" si="505"/>
        <v>236.77673464716747</v>
      </c>
      <c r="AU833" s="163">
        <f t="shared" si="506"/>
        <v>100000</v>
      </c>
      <c r="AV833" s="163">
        <f t="shared" si="528"/>
        <v>177.65999807447329</v>
      </c>
      <c r="AW833" s="163">
        <f t="shared" si="507"/>
        <v>99822.34000192552</v>
      </c>
      <c r="AX833" s="163">
        <f t="shared" si="508"/>
        <v>0</v>
      </c>
      <c r="AY833" s="164">
        <f t="shared" si="529"/>
        <v>99822.022677888832</v>
      </c>
      <c r="AZ833" s="164">
        <f>IF($E833="","",IF(OR(AND($D833=Input!$C$6,$C833=12),$AN833=1),0,-AS834+AT834+AU834-AV834-AW834-AX834+AZ834))</f>
        <v>99822.34000192552</v>
      </c>
      <c r="BA833" s="154">
        <f t="shared" si="509"/>
        <v>0.31732403668866027</v>
      </c>
      <c r="BC833" s="147">
        <f t="shared" si="530"/>
        <v>1.2069337212952615E-16</v>
      </c>
      <c r="BD833" s="164">
        <f>IF(AND($C832=12,$D832=Input!$C$6),0,IF($E833="","",AT833+(AU833+BD834)/(1+$AK833)*MIN((1-AM833-AN833),1)))</f>
        <v>236.77673464716747</v>
      </c>
      <c r="BE833" s="164">
        <f t="shared" si="510"/>
        <v>2.8577382546384653E-14</v>
      </c>
      <c r="BF833" s="164">
        <f t="shared" si="531"/>
        <v>99822.34000192552</v>
      </c>
      <c r="BG833" s="164">
        <f t="shared" si="511"/>
        <v>1.2047894828692481E-11</v>
      </c>
      <c r="BH833" s="152"/>
      <c r="BI833" s="162">
        <f t="shared" si="512"/>
        <v>-40743.328874506333</v>
      </c>
      <c r="BJ833" s="150">
        <f t="shared" si="513"/>
        <v>100000</v>
      </c>
      <c r="BK833" s="163">
        <f t="shared" si="535"/>
        <v>196.05677562982541</v>
      </c>
      <c r="BL833" s="163">
        <f t="shared" si="514"/>
        <v>9739.6201922001819</v>
      </c>
      <c r="BM833" s="163">
        <f t="shared" si="536"/>
        <v>212.74132945139016</v>
      </c>
      <c r="BN833" s="163">
        <f t="shared" si="515"/>
        <v>5344.9823294298676</v>
      </c>
      <c r="BO833" s="163">
        <f t="shared" si="516"/>
        <v>0</v>
      </c>
      <c r="BP833" s="164">
        <f t="shared" si="537"/>
        <v>54878.717816544922</v>
      </c>
      <c r="BQ833" s="164">
        <f>IF($E833="","",IF(AND($D833=Input!$C$6,$C833=12),0,-BJ834+BK834+BL834-BM834-BN834-BO834+BQ834))</f>
        <v>54878.755269228161</v>
      </c>
      <c r="BR833" s="161">
        <f t="shared" si="517"/>
        <v>0</v>
      </c>
      <c r="BT833" s="147">
        <f t="shared" si="518"/>
        <v>1.2069337212952615E-16</v>
      </c>
      <c r="BU833" s="164">
        <f>IF(AND($C832=12,$D832=Input!$C$6),0,IF($E833="","",BK833+(BL833+BU834)/(1+$AK833)*MIN((1-T833-U833),1)))</f>
        <v>83327.102196292311</v>
      </c>
      <c r="BV833" s="164">
        <f t="shared" si="519"/>
        <v>1.0057028953852163E-11</v>
      </c>
      <c r="BW833" s="164">
        <f t="shared" si="520"/>
        <v>54878.755269228161</v>
      </c>
      <c r="BX833" s="164">
        <f t="shared" si="521"/>
        <v>6.6235020317141485E-12</v>
      </c>
    </row>
    <row r="834" spans="1:76" s="150" customFormat="1" x14ac:dyDescent="0.25">
      <c r="A834" s="150">
        <f t="shared" si="532"/>
        <v>830</v>
      </c>
      <c r="B834" s="150">
        <f t="shared" si="533"/>
        <v>70</v>
      </c>
      <c r="C834" s="150">
        <f t="shared" si="534"/>
        <v>2</v>
      </c>
      <c r="D834" s="150">
        <f>IF(E834="","",Input!$C$4+B834-1)</f>
        <v>114</v>
      </c>
      <c r="E834" s="150">
        <f>IF(OR(AND(C833=12,D833=Input!$C$6),E833=""),"",1)</f>
        <v>1</v>
      </c>
      <c r="F834" s="150">
        <f>IF(E834="","",Input!$C$8+B834-1)</f>
        <v>2087</v>
      </c>
      <c r="G834" s="151">
        <f>IF(E834="","",MAX(0,Input!$C$9-B834))</f>
        <v>0</v>
      </c>
      <c r="H834" s="152">
        <f>IF(E834="","",Input!$C$3)</f>
        <v>100000</v>
      </c>
      <c r="I834" s="153">
        <f>IF(E834="","",HLOOKUP($B834,Input!$C$13:$BT$14,2))</f>
        <v>1000</v>
      </c>
      <c r="J834" s="154"/>
      <c r="K834" s="155">
        <f>IF($E834="","",INDEX(Input!$C$16:$CP$16,1,$B834))</f>
        <v>3.3140000000000003E-2</v>
      </c>
      <c r="L834" s="155">
        <f>IF($E834="","",Input!$C$37)</f>
        <v>1.4999999999999999E-2</v>
      </c>
      <c r="M834" s="155">
        <f t="shared" si="538"/>
        <v>4.8140000000000002E-2</v>
      </c>
      <c r="N834" s="155">
        <f t="shared" si="539"/>
        <v>3.9257828404828388E-3</v>
      </c>
      <c r="O834" s="147">
        <f>IF($E834="","",MIN(VLOOKUP(IF($B834&lt;=Input!$C$7,$B834,26),'Mortality Tables'!$A$41:$CW$67,IF($B834&lt;=Input!$C$7+1,Input!$C$4+2,$D834-Input!$C$7+2),0)*IF(B834&gt;20,Input!$C$22,1)/1000,1))</f>
        <v>1</v>
      </c>
      <c r="P834" s="147">
        <f>IF($E834="","",MIN(VLOOKUP(IF($B834&lt;=Input!$C$7,$B834,26),'Mortality Tables'!$A$12:$CW$37,IF($B834&lt;=Input!$C$7+1,Input!$C$4+2,$D834-Input!$C$7+2),0)*IF(B834&gt;20,Input!$C$22,1)/1000,1))</f>
        <v>1</v>
      </c>
      <c r="Q834" s="155">
        <f>IF($E834="","",Input!$C$21)</f>
        <v>5.0000000000000001E-3</v>
      </c>
      <c r="R834" s="159">
        <f>IF($E834="","",(1-Q834)^($F834-Input!$C$20))</f>
        <v>0.70760773472726679</v>
      </c>
      <c r="S834" s="147">
        <f t="shared" si="500"/>
        <v>0.70760773472726679</v>
      </c>
      <c r="T834" s="147">
        <f t="shared" si="501"/>
        <v>9.7396201922001824E-2</v>
      </c>
      <c r="U834" s="160">
        <f>IF($E834="","",IF($C834=12,INDEX(Input!$C$15:$CP$15,1,$B834),0))</f>
        <v>0</v>
      </c>
      <c r="V834" s="150">
        <f>IF(E834="","",IF(C834=1,IF($B834=1,Input!$C$33,Input!$C$34),0))</f>
        <v>0</v>
      </c>
      <c r="W834" s="156">
        <f>IF($E834="","",Input!$C$35)</f>
        <v>0.02</v>
      </c>
      <c r="X834" s="156">
        <f t="shared" si="540"/>
        <v>3.9211355125965079</v>
      </c>
      <c r="Y834" s="154"/>
      <c r="Z834" s="147">
        <f>IF($E834="","",VLOOKUP($D834,'Mortality Margins &amp; Grading'!$AB$5:$AF$125,3,0)*IF(Summary!$D$25="Included Margin",IF(AND($B834&gt;Input!$C$9,Summary!$D$31&lt;&gt;"Included Margin"),0,1),0))</f>
        <v>0.01</v>
      </c>
      <c r="AA834" s="147">
        <f>IF($E834="","",VLOOKUP($D834,'Mortality Margins &amp; Grading'!$AB$5:$AF$125,5,0)*IF(Summary!$D$25="Included Margin",IF(AND($B834&gt;Input!$C$9,Summary!$D$31&lt;&gt;"Included Margin"),0,1),0))</f>
        <v>5.2999999999999999E-2</v>
      </c>
      <c r="AB834" s="147">
        <f>IF($E834="","",IF(AND($B834&gt;Input!$C$9,Summary!$D$31&lt;&gt;"Included Margin"),1,IF(Summary!$D$25="Included Margin",VLOOKUP($B834,'Mortality Margins &amp; Grading'!$AI$5:$AR$125,MATCH('Mortality Margins &amp; Grading'!$AQ$4,'Mortality Margins &amp; Grading'!$AI$4:$AR$4,0),0),1)))</f>
        <v>0</v>
      </c>
      <c r="AC834" s="154"/>
      <c r="AD834" s="158">
        <f>IF(E834="","",Input!$C$48*IF(Summary!$D$30="Included Margin",IF(AND($B834&gt;Input!$C$9,Summary!$D$31&lt;&gt;"Included Margin"),0,1),0))</f>
        <v>-4.4999999999999997E-3</v>
      </c>
      <c r="AE834" s="159">
        <f>IF(E834="","",IF(Summary!$D$26="Included Margin",IF(AND($B834&gt;Input!$C$9,Summary!$D$31&lt;&gt;"Included Margin"),1,1/$R834),1))</f>
        <v>1.4132123645955197</v>
      </c>
      <c r="AF834" s="160">
        <f>IF(E834="","",IF(AND($B834&gt;=Input!$C$9,$C834=12,Summary!$D$31="Included Margin",$U834&gt;0),1/U834-1,IF($B834&gt;=Input!$C$9,0,Input!$C$45*IF(Summary!$D$27="Included Margin",1,0))))</f>
        <v>0</v>
      </c>
      <c r="AG834" s="160">
        <f>IF(E834="","",Input!$C$46*IF(Summary!$D$28="Included Margin",IF(AND($B834&gt;Input!$C$9,Summary!$D$31&lt;&gt;"Included Margin"),0,1),0))</f>
        <v>0.02</v>
      </c>
      <c r="AH834" s="158">
        <f>IF(E834="","",Input!$C$47*IF(Summary!$D$29="Included Margin",IF(AND($B834&gt;Input!$C$9,Summary!$D$31&lt;&gt;"Included Margin"),0,1),0))</f>
        <v>2.5000000000000001E-3</v>
      </c>
      <c r="AI834" s="154"/>
      <c r="AJ834" s="158">
        <f t="shared" si="522"/>
        <v>4.3640000000000005E-2</v>
      </c>
      <c r="AK834" s="155">
        <f t="shared" si="523"/>
        <v>3.565892922956726E-3</v>
      </c>
      <c r="AL834" s="147">
        <f t="shared" si="524"/>
        <v>1</v>
      </c>
      <c r="AM834" s="147">
        <f t="shared" si="502"/>
        <v>1</v>
      </c>
      <c r="AN834" s="160">
        <f t="shared" si="525"/>
        <v>0</v>
      </c>
      <c r="AO834" s="161">
        <f t="shared" si="526"/>
        <v>0</v>
      </c>
      <c r="AP834" s="156">
        <f t="shared" si="503"/>
        <v>4.6426810715130875</v>
      </c>
      <c r="AQ834" s="152"/>
      <c r="AR834" s="162">
        <f t="shared" si="504"/>
        <v>99822.022677888832</v>
      </c>
      <c r="AS834" s="150">
        <f t="shared" si="527"/>
        <v>0</v>
      </c>
      <c r="AT834" s="163">
        <f t="shared" si="505"/>
        <v>0</v>
      </c>
      <c r="AU834" s="163">
        <f t="shared" si="506"/>
        <v>100000</v>
      </c>
      <c r="AV834" s="163">
        <f t="shared" si="528"/>
        <v>177.65999807447329</v>
      </c>
      <c r="AW834" s="163">
        <f t="shared" si="507"/>
        <v>99822.34000192552</v>
      </c>
      <c r="AX834" s="163">
        <f t="shared" si="508"/>
        <v>0</v>
      </c>
      <c r="AY834" s="165">
        <f t="shared" si="529"/>
        <v>99822.022677888832</v>
      </c>
      <c r="AZ834" s="164">
        <f>IF($E834="","",IF(OR(AND($D834=Input!$C$6,$C834=12),$AN834=1),0,-AS835+AT835+AU835-AV835-AW835-AX835+AZ835))</f>
        <v>99822.34000192552</v>
      </c>
      <c r="BA834" s="154">
        <f t="shared" si="509"/>
        <v>0.31732403668866027</v>
      </c>
      <c r="BC834" s="147">
        <f t="shared" si="530"/>
        <v>1.0893829608695151E-16</v>
      </c>
      <c r="BD834" s="164">
        <f>IF(AND($C833=12,$D833=Input!$C$6),0,IF($E834="","",AT834+(AU834+BD835)/(1+$AK834)*MIN((1-AM834-AN834),1)))</f>
        <v>0</v>
      </c>
      <c r="BE834" s="164">
        <f t="shared" si="510"/>
        <v>0</v>
      </c>
      <c r="BF834" s="164">
        <f t="shared" si="531"/>
        <v>99822.34000192552</v>
      </c>
      <c r="BG834" s="164">
        <f t="shared" si="511"/>
        <v>1.0874475631222106E-11</v>
      </c>
      <c r="BH834" s="152"/>
      <c r="BI834" s="162">
        <f t="shared" si="512"/>
        <v>54878.717816544915</v>
      </c>
      <c r="BJ834" s="150">
        <f t="shared" si="513"/>
        <v>0</v>
      </c>
      <c r="BK834" s="163">
        <f t="shared" si="535"/>
        <v>0</v>
      </c>
      <c r="BL834" s="163">
        <f t="shared" si="514"/>
        <v>9739.6201922001819</v>
      </c>
      <c r="BM834" s="163">
        <f t="shared" si="536"/>
        <v>196.32411180021205</v>
      </c>
      <c r="BN834" s="163">
        <f t="shared" si="515"/>
        <v>4891.9598463735019</v>
      </c>
      <c r="BO834" s="163">
        <f t="shared" si="516"/>
        <v>0</v>
      </c>
      <c r="BP834" s="164">
        <f t="shared" si="537"/>
        <v>50227.38158251845</v>
      </c>
      <c r="BQ834" s="164">
        <f>IF($E834="","",IF(AND($D834=Input!$C$6,$C834=12),0,-BJ835+BK835+BL835-BM835-BN835-BO835+BQ835))</f>
        <v>50227.419035201689</v>
      </c>
      <c r="BR834" s="161">
        <f t="shared" si="517"/>
        <v>0</v>
      </c>
      <c r="BT834" s="147">
        <f t="shared" si="518"/>
        <v>1.0893829608695151E-16</v>
      </c>
      <c r="BU834" s="164">
        <f>IF(AND($C833=12,$D833=Input!$C$6),0,IF($E834="","",BK834+(BL834+BU835)/(1+$AK834)*MIN((1-T834-U834),1)))</f>
        <v>82690.172375542446</v>
      </c>
      <c r="BV834" s="164">
        <f t="shared" si="519"/>
        <v>9.0081264817279009E-12</v>
      </c>
      <c r="BW834" s="164">
        <f t="shared" si="520"/>
        <v>50227.419035201689</v>
      </c>
      <c r="BX834" s="164">
        <f t="shared" si="521"/>
        <v>5.4716894465401856E-12</v>
      </c>
    </row>
    <row r="835" spans="1:76" s="150" customFormat="1" x14ac:dyDescent="0.25">
      <c r="A835" s="150">
        <f t="shared" si="532"/>
        <v>831</v>
      </c>
      <c r="B835" s="150">
        <f t="shared" si="533"/>
        <v>70</v>
      </c>
      <c r="C835" s="150">
        <f t="shared" si="534"/>
        <v>3</v>
      </c>
      <c r="D835" s="150">
        <f>IF(E835="","",Input!$C$4+B835-1)</f>
        <v>114</v>
      </c>
      <c r="E835" s="150">
        <f>IF(OR(AND(C834=12,D834=Input!$C$6),E834=""),"",1)</f>
        <v>1</v>
      </c>
      <c r="F835" s="150">
        <f>IF(E835="","",Input!$C$8+B835-1)</f>
        <v>2087</v>
      </c>
      <c r="G835" s="151">
        <f>IF(E835="","",MAX(0,Input!$C$9-B835))</f>
        <v>0</v>
      </c>
      <c r="H835" s="152">
        <f>IF(E835="","",Input!$C$3)</f>
        <v>100000</v>
      </c>
      <c r="I835" s="153">
        <f>IF(E835="","",HLOOKUP($B835,Input!$C$13:$BT$14,2))</f>
        <v>1000</v>
      </c>
      <c r="J835" s="154"/>
      <c r="K835" s="155">
        <f>IF($E835="","",INDEX(Input!$C$16:$CP$16,1,$B835))</f>
        <v>3.3140000000000003E-2</v>
      </c>
      <c r="L835" s="155">
        <f>IF($E835="","",Input!$C$37)</f>
        <v>1.4999999999999999E-2</v>
      </c>
      <c r="M835" s="155">
        <f t="shared" si="538"/>
        <v>4.8140000000000002E-2</v>
      </c>
      <c r="N835" s="155">
        <f t="shared" si="539"/>
        <v>3.9257828404828388E-3</v>
      </c>
      <c r="O835" s="147">
        <f>IF($E835="","",MIN(VLOOKUP(IF($B835&lt;=Input!$C$7,$B835,26),'Mortality Tables'!$A$41:$CW$67,IF($B835&lt;=Input!$C$7+1,Input!$C$4+2,$D835-Input!$C$7+2),0)*IF(B835&gt;20,Input!$C$22,1)/1000,1))</f>
        <v>1</v>
      </c>
      <c r="P835" s="147">
        <f>IF($E835="","",MIN(VLOOKUP(IF($B835&lt;=Input!$C$7,$B835,26),'Mortality Tables'!$A$12:$CW$37,IF($B835&lt;=Input!$C$7+1,Input!$C$4+2,$D835-Input!$C$7+2),0)*IF(B835&gt;20,Input!$C$22,1)/1000,1))</f>
        <v>1</v>
      </c>
      <c r="Q835" s="155">
        <f>IF($E835="","",Input!$C$21)</f>
        <v>5.0000000000000001E-3</v>
      </c>
      <c r="R835" s="159">
        <f>IF($E835="","",(1-Q835)^($F835-Input!$C$20))</f>
        <v>0.70760773472726679</v>
      </c>
      <c r="S835" s="147">
        <f t="shared" si="500"/>
        <v>0.70760773472726679</v>
      </c>
      <c r="T835" s="147">
        <f t="shared" si="501"/>
        <v>9.7396201922001824E-2</v>
      </c>
      <c r="U835" s="160">
        <f>IF($E835="","",IF($C835=12,INDEX(Input!$C$15:$CP$15,1,$B835),0))</f>
        <v>0</v>
      </c>
      <c r="V835" s="150">
        <f>IF(E835="","",IF(C835=1,IF($B835=1,Input!$C$33,Input!$C$34),0))</f>
        <v>0</v>
      </c>
      <c r="W835" s="156">
        <f>IF($E835="","",Input!$C$35)</f>
        <v>0.02</v>
      </c>
      <c r="X835" s="156">
        <f t="shared" si="540"/>
        <v>3.9211355125965079</v>
      </c>
      <c r="Y835" s="154"/>
      <c r="Z835" s="147">
        <f>IF($E835="","",VLOOKUP($D835,'Mortality Margins &amp; Grading'!$AB$5:$AF$125,3,0)*IF(Summary!$D$25="Included Margin",IF(AND($B835&gt;Input!$C$9,Summary!$D$31&lt;&gt;"Included Margin"),0,1),0))</f>
        <v>0.01</v>
      </c>
      <c r="AA835" s="147">
        <f>IF($E835="","",VLOOKUP($D835,'Mortality Margins &amp; Grading'!$AB$5:$AF$125,5,0)*IF(Summary!$D$25="Included Margin",IF(AND($B835&gt;Input!$C$9,Summary!$D$31&lt;&gt;"Included Margin"),0,1),0))</f>
        <v>5.2999999999999999E-2</v>
      </c>
      <c r="AB835" s="147">
        <f>IF($E835="","",IF(AND($B835&gt;Input!$C$9,Summary!$D$31&lt;&gt;"Included Margin"),1,IF(Summary!$D$25="Included Margin",VLOOKUP($B835,'Mortality Margins &amp; Grading'!$AI$5:$AR$125,MATCH('Mortality Margins &amp; Grading'!$AQ$4,'Mortality Margins &amp; Grading'!$AI$4:$AR$4,0),0),1)))</f>
        <v>0</v>
      </c>
      <c r="AC835" s="154"/>
      <c r="AD835" s="158">
        <f>IF(E835="","",Input!$C$48*IF(Summary!$D$30="Included Margin",IF(AND($B835&gt;Input!$C$9,Summary!$D$31&lt;&gt;"Included Margin"),0,1),0))</f>
        <v>-4.4999999999999997E-3</v>
      </c>
      <c r="AE835" s="159">
        <f>IF(E835="","",IF(Summary!$D$26="Included Margin",IF(AND($B835&gt;Input!$C$9,Summary!$D$31&lt;&gt;"Included Margin"),1,1/$R835),1))</f>
        <v>1.4132123645955197</v>
      </c>
      <c r="AF835" s="160">
        <f>IF(E835="","",IF(AND($B835&gt;=Input!$C$9,$C835=12,Summary!$D$31="Included Margin",$U835&gt;0),1/U835-1,IF($B835&gt;=Input!$C$9,0,Input!$C$45*IF(Summary!$D$27="Included Margin",1,0))))</f>
        <v>0</v>
      </c>
      <c r="AG835" s="160">
        <f>IF(E835="","",Input!$C$46*IF(Summary!$D$28="Included Margin",IF(AND($B835&gt;Input!$C$9,Summary!$D$31&lt;&gt;"Included Margin"),0,1),0))</f>
        <v>0.02</v>
      </c>
      <c r="AH835" s="158">
        <f>IF(E835="","",Input!$C$47*IF(Summary!$D$29="Included Margin",IF(AND($B835&gt;Input!$C$9,Summary!$D$31&lt;&gt;"Included Margin"),0,1),0))</f>
        <v>2.5000000000000001E-3</v>
      </c>
      <c r="AI835" s="154"/>
      <c r="AJ835" s="158">
        <f t="shared" si="522"/>
        <v>4.3640000000000005E-2</v>
      </c>
      <c r="AK835" s="155">
        <f t="shared" si="523"/>
        <v>3.565892922956726E-3</v>
      </c>
      <c r="AL835" s="147">
        <f t="shared" si="524"/>
        <v>1</v>
      </c>
      <c r="AM835" s="147">
        <f t="shared" si="502"/>
        <v>1</v>
      </c>
      <c r="AN835" s="160">
        <f t="shared" si="525"/>
        <v>0</v>
      </c>
      <c r="AO835" s="161">
        <f t="shared" si="526"/>
        <v>0</v>
      </c>
      <c r="AP835" s="156">
        <f t="shared" si="503"/>
        <v>4.6426810715130875</v>
      </c>
      <c r="AQ835" s="152"/>
      <c r="AR835" s="162">
        <f t="shared" si="504"/>
        <v>99822.022677888832</v>
      </c>
      <c r="AS835" s="150">
        <f t="shared" si="527"/>
        <v>0</v>
      </c>
      <c r="AT835" s="163">
        <f t="shared" si="505"/>
        <v>0</v>
      </c>
      <c r="AU835" s="163">
        <f t="shared" si="506"/>
        <v>100000</v>
      </c>
      <c r="AV835" s="163">
        <f t="shared" si="528"/>
        <v>177.65999807447329</v>
      </c>
      <c r="AW835" s="163">
        <f t="shared" si="507"/>
        <v>99822.34000192552</v>
      </c>
      <c r="AX835" s="163">
        <f t="shared" si="508"/>
        <v>0</v>
      </c>
      <c r="AY835" s="164">
        <f t="shared" si="529"/>
        <v>99822.022677888832</v>
      </c>
      <c r="AZ835" s="164">
        <f>IF($E835="","",IF(OR(AND($D835=Input!$C$6,$C835=12),$AN835=1),0,-AS836+AT836+AU836-AV836-AW836-AX836+AZ836))</f>
        <v>99822.34000192552</v>
      </c>
      <c r="BA835" s="154">
        <f t="shared" si="509"/>
        <v>0.31732403668866027</v>
      </c>
      <c r="BC835" s="147">
        <f t="shared" si="530"/>
        <v>9.8328119804227963E-17</v>
      </c>
      <c r="BD835" s="164">
        <f>IF(AND($C834=12,$D834=Input!$C$6),0,IF($E835="","",AT835+(AU835+BD836)/(1+$AK835)*MIN((1-AM835-AN835),1)))</f>
        <v>0</v>
      </c>
      <c r="BE835" s="164">
        <f t="shared" si="510"/>
        <v>0</v>
      </c>
      <c r="BF835" s="164">
        <f t="shared" si="531"/>
        <v>99822.34000192552</v>
      </c>
      <c r="BG835" s="164">
        <f t="shared" si="511"/>
        <v>9.8153430068477095E-12</v>
      </c>
      <c r="BH835" s="152"/>
      <c r="BI835" s="162">
        <f t="shared" si="512"/>
        <v>50227.38158251845</v>
      </c>
      <c r="BJ835" s="150">
        <f t="shared" si="513"/>
        <v>0</v>
      </c>
      <c r="BK835" s="163">
        <f t="shared" si="535"/>
        <v>0</v>
      </c>
      <c r="BL835" s="163">
        <f t="shared" si="514"/>
        <v>9739.6201922001819</v>
      </c>
      <c r="BM835" s="163">
        <f t="shared" si="536"/>
        <v>178.06397582735488</v>
      </c>
      <c r="BN835" s="163">
        <f t="shared" si="515"/>
        <v>4388.0832264045266</v>
      </c>
      <c r="BO835" s="163">
        <f t="shared" si="516"/>
        <v>0</v>
      </c>
      <c r="BP835" s="164">
        <f t="shared" si="537"/>
        <v>45053.908592550142</v>
      </c>
      <c r="BQ835" s="164">
        <f>IF($E835="","",IF(AND($D835=Input!$C$6,$C835=12),0,-BJ836+BK836+BL836-BM836-BN836-BO836+BQ836))</f>
        <v>45053.946045233388</v>
      </c>
      <c r="BR835" s="161">
        <f t="shared" si="517"/>
        <v>0</v>
      </c>
      <c r="BT835" s="147">
        <f t="shared" si="518"/>
        <v>9.8328119804227963E-17</v>
      </c>
      <c r="BU835" s="164">
        <f>IF(AND($C834=12,$D834=Input!$C$6),0,IF($E835="","",BK835+(BL835+BU836)/(1+$AK835)*MIN((1-T835-U835),1)))</f>
        <v>82199.984818018653</v>
      </c>
      <c r="BV835" s="164">
        <f t="shared" si="519"/>
        <v>8.0825699550918572E-12</v>
      </c>
      <c r="BW835" s="164">
        <f t="shared" si="520"/>
        <v>45053.946045233388</v>
      </c>
      <c r="BX835" s="164">
        <f t="shared" si="521"/>
        <v>4.4300698043889309E-12</v>
      </c>
    </row>
    <row r="836" spans="1:76" s="150" customFormat="1" x14ac:dyDescent="0.25">
      <c r="A836" s="150">
        <f t="shared" si="532"/>
        <v>832</v>
      </c>
      <c r="B836" s="150">
        <f t="shared" si="533"/>
        <v>70</v>
      </c>
      <c r="C836" s="150">
        <f t="shared" si="534"/>
        <v>4</v>
      </c>
      <c r="D836" s="150">
        <f>IF(E836="","",Input!$C$4+B836-1)</f>
        <v>114</v>
      </c>
      <c r="E836" s="150">
        <f>IF(OR(AND(C835=12,D835=Input!$C$6),E835=""),"",1)</f>
        <v>1</v>
      </c>
      <c r="F836" s="150">
        <f>IF(E836="","",Input!$C$8+B836-1)</f>
        <v>2087</v>
      </c>
      <c r="G836" s="151">
        <f>IF(E836="","",MAX(0,Input!$C$9-B836))</f>
        <v>0</v>
      </c>
      <c r="H836" s="152">
        <f>IF(E836="","",Input!$C$3)</f>
        <v>100000</v>
      </c>
      <c r="I836" s="153">
        <f>IF(E836="","",HLOOKUP($B836,Input!$C$13:$BT$14,2))</f>
        <v>1000</v>
      </c>
      <c r="J836" s="154"/>
      <c r="K836" s="155">
        <f>IF($E836="","",INDEX(Input!$C$16:$CP$16,1,$B836))</f>
        <v>3.3140000000000003E-2</v>
      </c>
      <c r="L836" s="155">
        <f>IF($E836="","",Input!$C$37)</f>
        <v>1.4999999999999999E-2</v>
      </c>
      <c r="M836" s="155">
        <f t="shared" si="538"/>
        <v>4.8140000000000002E-2</v>
      </c>
      <c r="N836" s="155">
        <f t="shared" si="539"/>
        <v>3.9257828404828388E-3</v>
      </c>
      <c r="O836" s="147">
        <f>IF($E836="","",MIN(VLOOKUP(IF($B836&lt;=Input!$C$7,$B836,26),'Mortality Tables'!$A$41:$CW$67,IF($B836&lt;=Input!$C$7+1,Input!$C$4+2,$D836-Input!$C$7+2),0)*IF(B836&gt;20,Input!$C$22,1)/1000,1))</f>
        <v>1</v>
      </c>
      <c r="P836" s="147">
        <f>IF($E836="","",MIN(VLOOKUP(IF($B836&lt;=Input!$C$7,$B836,26),'Mortality Tables'!$A$12:$CW$37,IF($B836&lt;=Input!$C$7+1,Input!$C$4+2,$D836-Input!$C$7+2),0)*IF(B836&gt;20,Input!$C$22,1)/1000,1))</f>
        <v>1</v>
      </c>
      <c r="Q836" s="155">
        <f>IF($E836="","",Input!$C$21)</f>
        <v>5.0000000000000001E-3</v>
      </c>
      <c r="R836" s="159">
        <f>IF($E836="","",(1-Q836)^($F836-Input!$C$20))</f>
        <v>0.70760773472726679</v>
      </c>
      <c r="S836" s="147">
        <f t="shared" si="500"/>
        <v>0.70760773472726679</v>
      </c>
      <c r="T836" s="147">
        <f t="shared" si="501"/>
        <v>9.7396201922001824E-2</v>
      </c>
      <c r="U836" s="160">
        <f>IF($E836="","",IF($C836=12,INDEX(Input!$C$15:$CP$15,1,$B836),0))</f>
        <v>0</v>
      </c>
      <c r="V836" s="150">
        <f>IF(E836="","",IF(C836=1,IF($B836=1,Input!$C$33,Input!$C$34),0))</f>
        <v>0</v>
      </c>
      <c r="W836" s="156">
        <f>IF($E836="","",Input!$C$35)</f>
        <v>0.02</v>
      </c>
      <c r="X836" s="156">
        <f t="shared" si="540"/>
        <v>3.9211355125965079</v>
      </c>
      <c r="Y836" s="154"/>
      <c r="Z836" s="147">
        <f>IF($E836="","",VLOOKUP($D836,'Mortality Margins &amp; Grading'!$AB$5:$AF$125,3,0)*IF(Summary!$D$25="Included Margin",IF(AND($B836&gt;Input!$C$9,Summary!$D$31&lt;&gt;"Included Margin"),0,1),0))</f>
        <v>0.01</v>
      </c>
      <c r="AA836" s="147">
        <f>IF($E836="","",VLOOKUP($D836,'Mortality Margins &amp; Grading'!$AB$5:$AF$125,5,0)*IF(Summary!$D$25="Included Margin",IF(AND($B836&gt;Input!$C$9,Summary!$D$31&lt;&gt;"Included Margin"),0,1),0))</f>
        <v>5.2999999999999999E-2</v>
      </c>
      <c r="AB836" s="147">
        <f>IF($E836="","",IF(AND($B836&gt;Input!$C$9,Summary!$D$31&lt;&gt;"Included Margin"),1,IF(Summary!$D$25="Included Margin",VLOOKUP($B836,'Mortality Margins &amp; Grading'!$AI$5:$AR$125,MATCH('Mortality Margins &amp; Grading'!$AQ$4,'Mortality Margins &amp; Grading'!$AI$4:$AR$4,0),0),1)))</f>
        <v>0</v>
      </c>
      <c r="AC836" s="154"/>
      <c r="AD836" s="158">
        <f>IF(E836="","",Input!$C$48*IF(Summary!$D$30="Included Margin",IF(AND($B836&gt;Input!$C$9,Summary!$D$31&lt;&gt;"Included Margin"),0,1),0))</f>
        <v>-4.4999999999999997E-3</v>
      </c>
      <c r="AE836" s="159">
        <f>IF(E836="","",IF(Summary!$D$26="Included Margin",IF(AND($B836&gt;Input!$C$9,Summary!$D$31&lt;&gt;"Included Margin"),1,1/$R836),1))</f>
        <v>1.4132123645955197</v>
      </c>
      <c r="AF836" s="160">
        <f>IF(E836="","",IF(AND($B836&gt;=Input!$C$9,$C836=12,Summary!$D$31="Included Margin",$U836&gt;0),1/U836-1,IF($B836&gt;=Input!$C$9,0,Input!$C$45*IF(Summary!$D$27="Included Margin",1,0))))</f>
        <v>0</v>
      </c>
      <c r="AG836" s="160">
        <f>IF(E836="","",Input!$C$46*IF(Summary!$D$28="Included Margin",IF(AND($B836&gt;Input!$C$9,Summary!$D$31&lt;&gt;"Included Margin"),0,1),0))</f>
        <v>0.02</v>
      </c>
      <c r="AH836" s="158">
        <f>IF(E836="","",Input!$C$47*IF(Summary!$D$29="Included Margin",IF(AND($B836&gt;Input!$C$9,Summary!$D$31&lt;&gt;"Included Margin"),0,1),0))</f>
        <v>2.5000000000000001E-3</v>
      </c>
      <c r="AI836" s="154"/>
      <c r="AJ836" s="158">
        <f t="shared" si="522"/>
        <v>4.3640000000000005E-2</v>
      </c>
      <c r="AK836" s="155">
        <f t="shared" si="523"/>
        <v>3.565892922956726E-3</v>
      </c>
      <c r="AL836" s="147">
        <f t="shared" si="524"/>
        <v>1</v>
      </c>
      <c r="AM836" s="147">
        <f t="shared" si="502"/>
        <v>1</v>
      </c>
      <c r="AN836" s="160">
        <f t="shared" si="525"/>
        <v>0</v>
      </c>
      <c r="AO836" s="161">
        <f t="shared" si="526"/>
        <v>0</v>
      </c>
      <c r="AP836" s="156">
        <f t="shared" si="503"/>
        <v>4.6426810715130875</v>
      </c>
      <c r="AQ836" s="152"/>
      <c r="AR836" s="162">
        <f t="shared" si="504"/>
        <v>99822.022677888832</v>
      </c>
      <c r="AS836" s="150">
        <f t="shared" si="527"/>
        <v>0</v>
      </c>
      <c r="AT836" s="163">
        <f t="shared" si="505"/>
        <v>0</v>
      </c>
      <c r="AU836" s="163">
        <f t="shared" si="506"/>
        <v>100000</v>
      </c>
      <c r="AV836" s="163">
        <f t="shared" si="528"/>
        <v>177.65999807447329</v>
      </c>
      <c r="AW836" s="163">
        <f t="shared" si="507"/>
        <v>99822.34000192552</v>
      </c>
      <c r="AX836" s="163">
        <f t="shared" si="508"/>
        <v>0</v>
      </c>
      <c r="AY836" s="165">
        <f t="shared" si="529"/>
        <v>99822.022677888832</v>
      </c>
      <c r="AZ836" s="164">
        <f>IF($E836="","",IF(OR(AND($D836=Input!$C$6,$C836=12),$AN836=1),0,-AS837+AT837+AU837-AV837-AW837-AX837+AZ837))</f>
        <v>99822.34000192552</v>
      </c>
      <c r="BA836" s="154">
        <f t="shared" si="509"/>
        <v>0.31732403668866027</v>
      </c>
      <c r="BC836" s="147">
        <f t="shared" si="530"/>
        <v>8.8751334393164589E-17</v>
      </c>
      <c r="BD836" s="164">
        <f>IF(AND($C835=12,$D835=Input!$C$6),0,IF($E836="","",AT836+(AU836+BD837)/(1+$AK836)*MIN((1-AM836-AN836),1)))</f>
        <v>0</v>
      </c>
      <c r="BE836" s="164">
        <f t="shared" si="510"/>
        <v>0</v>
      </c>
      <c r="BF836" s="164">
        <f t="shared" si="531"/>
        <v>99822.34000192552</v>
      </c>
      <c r="BG836" s="164">
        <f t="shared" si="511"/>
        <v>8.8593658774190611E-12</v>
      </c>
      <c r="BH836" s="152"/>
      <c r="BI836" s="162">
        <f t="shared" si="512"/>
        <v>45053.908592550149</v>
      </c>
      <c r="BJ836" s="150">
        <f t="shared" si="513"/>
        <v>0</v>
      </c>
      <c r="BK836" s="163">
        <f t="shared" si="535"/>
        <v>0</v>
      </c>
      <c r="BL836" s="163">
        <f t="shared" si="514"/>
        <v>9739.6201922001819</v>
      </c>
      <c r="BM836" s="163">
        <f t="shared" si="536"/>
        <v>157.75404433763589</v>
      </c>
      <c r="BN836" s="163">
        <f t="shared" si="515"/>
        <v>3827.6438273741492</v>
      </c>
      <c r="BO836" s="163">
        <f t="shared" si="516"/>
        <v>0</v>
      </c>
      <c r="BP836" s="164">
        <f t="shared" si="537"/>
        <v>39299.68627206175</v>
      </c>
      <c r="BQ836" s="164">
        <f>IF($E836="","",IF(AND($D836=Input!$C$6,$C836=12),0,-BJ837+BK837+BL837-BM837-BN837-BO837+BQ837))</f>
        <v>39299.723724744996</v>
      </c>
      <c r="BR836" s="161">
        <f t="shared" si="517"/>
        <v>0</v>
      </c>
      <c r="BT836" s="147">
        <f t="shared" si="518"/>
        <v>8.8751334393164589E-17</v>
      </c>
      <c r="BU836" s="164">
        <f>IF(AND($C835=12,$D835=Input!$C$6),0,IF($E836="","",BK836+(BL836+BU837)/(1+$AK836)*MIN((1-T836-U836),1)))</f>
        <v>81654.966599711115</v>
      </c>
      <c r="BV836" s="164">
        <f t="shared" si="519"/>
        <v>7.2469872455536466E-12</v>
      </c>
      <c r="BW836" s="164">
        <f t="shared" si="520"/>
        <v>39299.723724744996</v>
      </c>
      <c r="BX836" s="164">
        <f t="shared" si="521"/>
        <v>3.4879029218538268E-12</v>
      </c>
    </row>
    <row r="837" spans="1:76" s="150" customFormat="1" x14ac:dyDescent="0.25">
      <c r="A837" s="150">
        <f t="shared" si="532"/>
        <v>833</v>
      </c>
      <c r="B837" s="150">
        <f t="shared" si="533"/>
        <v>70</v>
      </c>
      <c r="C837" s="150">
        <f t="shared" si="534"/>
        <v>5</v>
      </c>
      <c r="D837" s="150">
        <f>IF(E837="","",Input!$C$4+B837-1)</f>
        <v>114</v>
      </c>
      <c r="E837" s="150">
        <f>IF(OR(AND(C836=12,D836=Input!$C$6),E836=""),"",1)</f>
        <v>1</v>
      </c>
      <c r="F837" s="150">
        <f>IF(E837="","",Input!$C$8+B837-1)</f>
        <v>2087</v>
      </c>
      <c r="G837" s="151">
        <f>IF(E837="","",MAX(0,Input!$C$9-B837))</f>
        <v>0</v>
      </c>
      <c r="H837" s="152">
        <f>IF(E837="","",Input!$C$3)</f>
        <v>100000</v>
      </c>
      <c r="I837" s="153">
        <f>IF(E837="","",HLOOKUP($B837,Input!$C$13:$BT$14,2))</f>
        <v>1000</v>
      </c>
      <c r="J837" s="154"/>
      <c r="K837" s="155">
        <f>IF($E837="","",INDEX(Input!$C$16:$CP$16,1,$B837))</f>
        <v>3.3140000000000003E-2</v>
      </c>
      <c r="L837" s="155">
        <f>IF($E837="","",Input!$C$37)</f>
        <v>1.4999999999999999E-2</v>
      </c>
      <c r="M837" s="155">
        <f t="shared" si="538"/>
        <v>4.8140000000000002E-2</v>
      </c>
      <c r="N837" s="155">
        <f t="shared" si="539"/>
        <v>3.9257828404828388E-3</v>
      </c>
      <c r="O837" s="147">
        <f>IF($E837="","",MIN(VLOOKUP(IF($B837&lt;=Input!$C$7,$B837,26),'Mortality Tables'!$A$41:$CW$67,IF($B837&lt;=Input!$C$7+1,Input!$C$4+2,$D837-Input!$C$7+2),0)*IF(B837&gt;20,Input!$C$22,1)/1000,1))</f>
        <v>1</v>
      </c>
      <c r="P837" s="147">
        <f>IF($E837="","",MIN(VLOOKUP(IF($B837&lt;=Input!$C$7,$B837,26),'Mortality Tables'!$A$12:$CW$37,IF($B837&lt;=Input!$C$7+1,Input!$C$4+2,$D837-Input!$C$7+2),0)*IF(B837&gt;20,Input!$C$22,1)/1000,1))</f>
        <v>1</v>
      </c>
      <c r="Q837" s="155">
        <f>IF($E837="","",Input!$C$21)</f>
        <v>5.0000000000000001E-3</v>
      </c>
      <c r="R837" s="159">
        <f>IF($E837="","",(1-Q837)^($F837-Input!$C$20))</f>
        <v>0.70760773472726679</v>
      </c>
      <c r="S837" s="147">
        <f t="shared" ref="S837:S900" si="541">IF($E837="","",MIN(O837*R837,1))</f>
        <v>0.70760773472726679</v>
      </c>
      <c r="T837" s="147">
        <f t="shared" ref="T837:T900" si="542">IF($E837="","",1-(1-S837)^(1/12))</f>
        <v>9.7396201922001824E-2</v>
      </c>
      <c r="U837" s="160">
        <f>IF($E837="","",IF($C837=12,INDEX(Input!$C$15:$CP$15,1,$B837),0))</f>
        <v>0</v>
      </c>
      <c r="V837" s="150">
        <f>IF(E837="","",IF(C837=1,IF($B837=1,Input!$C$33,Input!$C$34),0))</f>
        <v>0</v>
      </c>
      <c r="W837" s="156">
        <f>IF($E837="","",Input!$C$35)</f>
        <v>0.02</v>
      </c>
      <c r="X837" s="156">
        <f t="shared" si="540"/>
        <v>3.9211355125965079</v>
      </c>
      <c r="Y837" s="154"/>
      <c r="Z837" s="147">
        <f>IF($E837="","",VLOOKUP($D837,'Mortality Margins &amp; Grading'!$AB$5:$AF$125,3,0)*IF(Summary!$D$25="Included Margin",IF(AND($B837&gt;Input!$C$9,Summary!$D$31&lt;&gt;"Included Margin"),0,1),0))</f>
        <v>0.01</v>
      </c>
      <c r="AA837" s="147">
        <f>IF($E837="","",VLOOKUP($D837,'Mortality Margins &amp; Grading'!$AB$5:$AF$125,5,0)*IF(Summary!$D$25="Included Margin",IF(AND($B837&gt;Input!$C$9,Summary!$D$31&lt;&gt;"Included Margin"),0,1),0))</f>
        <v>5.2999999999999999E-2</v>
      </c>
      <c r="AB837" s="147">
        <f>IF($E837="","",IF(AND($B837&gt;Input!$C$9,Summary!$D$31&lt;&gt;"Included Margin"),1,IF(Summary!$D$25="Included Margin",VLOOKUP($B837,'Mortality Margins &amp; Grading'!$AI$5:$AR$125,MATCH('Mortality Margins &amp; Grading'!$AQ$4,'Mortality Margins &amp; Grading'!$AI$4:$AR$4,0),0),1)))</f>
        <v>0</v>
      </c>
      <c r="AC837" s="154"/>
      <c r="AD837" s="158">
        <f>IF(E837="","",Input!$C$48*IF(Summary!$D$30="Included Margin",IF(AND($B837&gt;Input!$C$9,Summary!$D$31&lt;&gt;"Included Margin"),0,1),0))</f>
        <v>-4.4999999999999997E-3</v>
      </c>
      <c r="AE837" s="159">
        <f>IF(E837="","",IF(Summary!$D$26="Included Margin",IF(AND($B837&gt;Input!$C$9,Summary!$D$31&lt;&gt;"Included Margin"),1,1/$R837),1))</f>
        <v>1.4132123645955197</v>
      </c>
      <c r="AF837" s="160">
        <f>IF(E837="","",IF(AND($B837&gt;=Input!$C$9,$C837=12,Summary!$D$31="Included Margin",$U837&gt;0),1/U837-1,IF($B837&gt;=Input!$C$9,0,Input!$C$45*IF(Summary!$D$27="Included Margin",1,0))))</f>
        <v>0</v>
      </c>
      <c r="AG837" s="160">
        <f>IF(E837="","",Input!$C$46*IF(Summary!$D$28="Included Margin",IF(AND($B837&gt;Input!$C$9,Summary!$D$31&lt;&gt;"Included Margin"),0,1),0))</f>
        <v>0.02</v>
      </c>
      <c r="AH837" s="158">
        <f>IF(E837="","",Input!$C$47*IF(Summary!$D$29="Included Margin",IF(AND($B837&gt;Input!$C$9,Summary!$D$31&lt;&gt;"Included Margin"),0,1),0))</f>
        <v>2.5000000000000001E-3</v>
      </c>
      <c r="AI837" s="154"/>
      <c r="AJ837" s="158">
        <f t="shared" si="522"/>
        <v>4.3640000000000005E-2</v>
      </c>
      <c r="AK837" s="155">
        <f t="shared" si="523"/>
        <v>3.565892922956726E-3</v>
      </c>
      <c r="AL837" s="147">
        <f t="shared" si="524"/>
        <v>1</v>
      </c>
      <c r="AM837" s="147">
        <f t="shared" ref="AM837:AM900" si="543">IF($E837="","",1-(1-AL837)^(1/12))</f>
        <v>1</v>
      </c>
      <c r="AN837" s="160">
        <f t="shared" si="525"/>
        <v>0</v>
      </c>
      <c r="AO837" s="161">
        <f t="shared" si="526"/>
        <v>0</v>
      </c>
      <c r="AP837" s="156">
        <f t="shared" ref="AP837:AP900" si="544">IF($E837="","",IF(B837=1,1,IF(C837=1,(1+$W837+$AH837)*AP836,AP836)))</f>
        <v>4.6426810715130875</v>
      </c>
      <c r="AQ837" s="152"/>
      <c r="AR837" s="162">
        <f t="shared" ref="AR837:AR900" si="545">IF($E837="","",(AZ837*(1-$AN837)*(1-$AM837)/(1+$AK837)+AU837/(1+$AK837/2)-AS837+AT837))</f>
        <v>99822.022677888832</v>
      </c>
      <c r="AS837" s="150">
        <f t="shared" si="527"/>
        <v>0</v>
      </c>
      <c r="AT837" s="163">
        <f t="shared" ref="AT837:AT900" si="546">IF($E837="","",$AO837*$AP837)</f>
        <v>0</v>
      </c>
      <c r="AU837" s="163">
        <f t="shared" ref="AU837:AU900" si="547">IF($E837="","",$AM837*$H837)</f>
        <v>100000</v>
      </c>
      <c r="AV837" s="163">
        <f t="shared" si="528"/>
        <v>177.65999807447329</v>
      </c>
      <c r="AW837" s="163">
        <f t="shared" ref="AW837:AW900" si="548">IF($E837="","",AZ837*$AM837)</f>
        <v>99822.34000192552</v>
      </c>
      <c r="AX837" s="163">
        <f t="shared" ref="AX837:AX900" si="549">IF($E837="","",$AN837*AZ837*(1-$AM837))</f>
        <v>0</v>
      </c>
      <c r="AY837" s="164">
        <f t="shared" si="529"/>
        <v>99822.022677888832</v>
      </c>
      <c r="AZ837" s="164">
        <f>IF($E837="","",IF(OR(AND($D837=Input!$C$6,$C837=12),$AN837=1),0,-AS838+AT838+AU838-AV838-AW838-AX838+AZ838))</f>
        <v>99822.34000192552</v>
      </c>
      <c r="BA837" s="154">
        <f t="shared" ref="BA837:BA900" si="550">IF(E837="","",AZ837-AY837)</f>
        <v>0.31732403668866027</v>
      </c>
      <c r="BC837" s="147">
        <f t="shared" si="530"/>
        <v>8.0107291507760822E-17</v>
      </c>
      <c r="BD837" s="164">
        <f>IF(AND($C836=12,$D836=Input!$C$6),0,IF($E837="","",AT837+(AU837+BD838)/(1+$AK837)*MIN((1-AM837-AN837),1)))</f>
        <v>0</v>
      </c>
      <c r="BE837" s="164">
        <f t="shared" ref="BE837:BE856" si="551">IF($E837="","",BC837*BD837)</f>
        <v>0</v>
      </c>
      <c r="BF837" s="164">
        <f t="shared" si="531"/>
        <v>99822.34000192552</v>
      </c>
      <c r="BG837" s="164">
        <f t="shared" ref="BG837:BG900" si="552">IF($E837="","",BC837*BF837)</f>
        <v>7.9964972895210617E-12</v>
      </c>
      <c r="BH837" s="152"/>
      <c r="BI837" s="162">
        <f t="shared" ref="BI837:BI900" si="553">IF($E837="","",(BQ837*(1-$U837)*(1-$T837)/(1+$N837)+BL837/(1+$N837/2)-BJ837+BK837))</f>
        <v>39299.68627206175</v>
      </c>
      <c r="BJ837" s="150">
        <f t="shared" ref="BJ837:BJ900" si="554">IF($E837="","",AS837)</f>
        <v>0</v>
      </c>
      <c r="BK837" s="163">
        <f t="shared" si="535"/>
        <v>0</v>
      </c>
      <c r="BL837" s="163">
        <f t="shared" ref="BL837:BL900" si="555">IF(E837="","",$T837*$H837)</f>
        <v>9739.6201922001819</v>
      </c>
      <c r="BM837" s="163">
        <f t="shared" si="536"/>
        <v>135.1642170915392</v>
      </c>
      <c r="BN837" s="163">
        <f t="shared" ref="BN837:BN900" si="556">IF($E837="","",BQ837*$T837)</f>
        <v>3204.2921822732701</v>
      </c>
      <c r="BO837" s="163">
        <f t="shared" ref="BO837:BO900" si="557">IF($E837="","",$U837*BQ837*(1-$T837))</f>
        <v>0</v>
      </c>
      <c r="BP837" s="164">
        <f t="shared" si="537"/>
        <v>32899.522479226376</v>
      </c>
      <c r="BQ837" s="164">
        <f>IF($E837="","",IF(AND($D837=Input!$C$6,$C837=12),0,-BJ838+BK838+BL838-BM838-BN838-BO838+BQ838))</f>
        <v>32899.559931909622</v>
      </c>
      <c r="BR837" s="161">
        <f t="shared" ref="BR837:BR900" si="558">IF(E837="","",ROUND(BQ837-BP837,1))</f>
        <v>0</v>
      </c>
      <c r="BT837" s="147">
        <f t="shared" ref="BT837:BT900" si="559">IF(E837="","",BC837)</f>
        <v>8.0107291507760822E-17</v>
      </c>
      <c r="BU837" s="164">
        <f>IF(AND($C836=12,$D836=Input!$C$6),0,IF($E837="","",BK837+(BL837+BU838)/(1+$AK837)*MIN((1-T837-U837),1)))</f>
        <v>81048.984555230709</v>
      </c>
      <c r="BV837" s="164">
        <f t="shared" ref="BV837:BV900" si="560">IF(E837="","",BT837*BU837)</f>
        <v>6.4926146321738713E-12</v>
      </c>
      <c r="BW837" s="164">
        <f t="shared" ref="BW837:BW900" si="561">IF(E837="","",BQ837)</f>
        <v>32899.559931909622</v>
      </c>
      <c r="BX837" s="164">
        <f t="shared" ref="BX837:BX900" si="562">IF(E837="","",BT837*BW837)</f>
        <v>2.6354946379425319E-12</v>
      </c>
    </row>
    <row r="838" spans="1:76" s="150" customFormat="1" x14ac:dyDescent="0.25">
      <c r="A838" s="150">
        <f t="shared" si="532"/>
        <v>834</v>
      </c>
      <c r="B838" s="150">
        <f t="shared" si="533"/>
        <v>70</v>
      </c>
      <c r="C838" s="150">
        <f t="shared" si="534"/>
        <v>6</v>
      </c>
      <c r="D838" s="150">
        <f>IF(E838="","",Input!$C$4+B838-1)</f>
        <v>114</v>
      </c>
      <c r="E838" s="150">
        <f>IF(OR(AND(C837=12,D837=Input!$C$6),E837=""),"",1)</f>
        <v>1</v>
      </c>
      <c r="F838" s="150">
        <f>IF(E838="","",Input!$C$8+B838-1)</f>
        <v>2087</v>
      </c>
      <c r="G838" s="151">
        <f>IF(E838="","",MAX(0,Input!$C$9-B838))</f>
        <v>0</v>
      </c>
      <c r="H838" s="152">
        <f>IF(E838="","",Input!$C$3)</f>
        <v>100000</v>
      </c>
      <c r="I838" s="153">
        <f>IF(E838="","",HLOOKUP($B838,Input!$C$13:$BT$14,2))</f>
        <v>1000</v>
      </c>
      <c r="J838" s="154"/>
      <c r="K838" s="155">
        <f>IF($E838="","",INDEX(Input!$C$16:$CP$16,1,$B838))</f>
        <v>3.3140000000000003E-2</v>
      </c>
      <c r="L838" s="155">
        <f>IF($E838="","",Input!$C$37)</f>
        <v>1.4999999999999999E-2</v>
      </c>
      <c r="M838" s="155">
        <f t="shared" si="538"/>
        <v>4.8140000000000002E-2</v>
      </c>
      <c r="N838" s="155">
        <f t="shared" si="539"/>
        <v>3.9257828404828388E-3</v>
      </c>
      <c r="O838" s="147">
        <f>IF($E838="","",MIN(VLOOKUP(IF($B838&lt;=Input!$C$7,$B838,26),'Mortality Tables'!$A$41:$CW$67,IF($B838&lt;=Input!$C$7+1,Input!$C$4+2,$D838-Input!$C$7+2),0)*IF(B838&gt;20,Input!$C$22,1)/1000,1))</f>
        <v>1</v>
      </c>
      <c r="P838" s="147">
        <f>IF($E838="","",MIN(VLOOKUP(IF($B838&lt;=Input!$C$7,$B838,26),'Mortality Tables'!$A$12:$CW$37,IF($B838&lt;=Input!$C$7+1,Input!$C$4+2,$D838-Input!$C$7+2),0)*IF(B838&gt;20,Input!$C$22,1)/1000,1))</f>
        <v>1</v>
      </c>
      <c r="Q838" s="155">
        <f>IF($E838="","",Input!$C$21)</f>
        <v>5.0000000000000001E-3</v>
      </c>
      <c r="R838" s="159">
        <f>IF($E838="","",(1-Q838)^($F838-Input!$C$20))</f>
        <v>0.70760773472726679</v>
      </c>
      <c r="S838" s="147">
        <f t="shared" si="541"/>
        <v>0.70760773472726679</v>
      </c>
      <c r="T838" s="147">
        <f t="shared" si="542"/>
        <v>9.7396201922001824E-2</v>
      </c>
      <c r="U838" s="160">
        <f>IF($E838="","",IF($C838=12,INDEX(Input!$C$15:$CP$15,1,$B838),0))</f>
        <v>0</v>
      </c>
      <c r="V838" s="150">
        <f>IF(E838="","",IF(C838=1,IF($B838=1,Input!$C$33,Input!$C$34),0))</f>
        <v>0</v>
      </c>
      <c r="W838" s="156">
        <f>IF($E838="","",Input!$C$35)</f>
        <v>0.02</v>
      </c>
      <c r="X838" s="156">
        <f t="shared" si="540"/>
        <v>3.9211355125965079</v>
      </c>
      <c r="Y838" s="154"/>
      <c r="Z838" s="147">
        <f>IF($E838="","",VLOOKUP($D838,'Mortality Margins &amp; Grading'!$AB$5:$AF$125,3,0)*IF(Summary!$D$25="Included Margin",IF(AND($B838&gt;Input!$C$9,Summary!$D$31&lt;&gt;"Included Margin"),0,1),0))</f>
        <v>0.01</v>
      </c>
      <c r="AA838" s="147">
        <f>IF($E838="","",VLOOKUP($D838,'Mortality Margins &amp; Grading'!$AB$5:$AF$125,5,0)*IF(Summary!$D$25="Included Margin",IF(AND($B838&gt;Input!$C$9,Summary!$D$31&lt;&gt;"Included Margin"),0,1),0))</f>
        <v>5.2999999999999999E-2</v>
      </c>
      <c r="AB838" s="147">
        <f>IF($E838="","",IF(AND($B838&gt;Input!$C$9,Summary!$D$31&lt;&gt;"Included Margin"),1,IF(Summary!$D$25="Included Margin",VLOOKUP($B838,'Mortality Margins &amp; Grading'!$AI$5:$AR$125,MATCH('Mortality Margins &amp; Grading'!$AQ$4,'Mortality Margins &amp; Grading'!$AI$4:$AR$4,0),0),1)))</f>
        <v>0</v>
      </c>
      <c r="AC838" s="154"/>
      <c r="AD838" s="158">
        <f>IF(E838="","",Input!$C$48*IF(Summary!$D$30="Included Margin",IF(AND($B838&gt;Input!$C$9,Summary!$D$31&lt;&gt;"Included Margin"),0,1),0))</f>
        <v>-4.4999999999999997E-3</v>
      </c>
      <c r="AE838" s="159">
        <f>IF(E838="","",IF(Summary!$D$26="Included Margin",IF(AND($B838&gt;Input!$C$9,Summary!$D$31&lt;&gt;"Included Margin"),1,1/$R838),1))</f>
        <v>1.4132123645955197</v>
      </c>
      <c r="AF838" s="160">
        <f>IF(E838="","",IF(AND($B838&gt;=Input!$C$9,$C838=12,Summary!$D$31="Included Margin",$U838&gt;0),1/U838-1,IF($B838&gt;=Input!$C$9,0,Input!$C$45*IF(Summary!$D$27="Included Margin",1,0))))</f>
        <v>0</v>
      </c>
      <c r="AG838" s="160">
        <f>IF(E838="","",Input!$C$46*IF(Summary!$D$28="Included Margin",IF(AND($B838&gt;Input!$C$9,Summary!$D$31&lt;&gt;"Included Margin"),0,1),0))</f>
        <v>0.02</v>
      </c>
      <c r="AH838" s="158">
        <f>IF(E838="","",Input!$C$47*IF(Summary!$D$29="Included Margin",IF(AND($B838&gt;Input!$C$9,Summary!$D$31&lt;&gt;"Included Margin"),0,1),0))</f>
        <v>2.5000000000000001E-3</v>
      </c>
      <c r="AI838" s="154"/>
      <c r="AJ838" s="158">
        <f t="shared" ref="AJ838:AJ901" si="563">IF(E838="","",M838+AD838)</f>
        <v>4.3640000000000005E-2</v>
      </c>
      <c r="AK838" s="155">
        <f t="shared" ref="AK838:AK901" si="564">IF(E838="","",(1+AJ838)^(1/12)-1)</f>
        <v>3.565892922956726E-3</v>
      </c>
      <c r="AL838" s="147">
        <f t="shared" ref="AL838:AL901" si="565">IF($E838="","",MIN(($O838*(1+$Z838)*$AB838+$P838*(1+$AA838)*(1-$AB838))*R838*AE838,1))</f>
        <v>1</v>
      </c>
      <c r="AM838" s="147">
        <f t="shared" si="543"/>
        <v>1</v>
      </c>
      <c r="AN838" s="160">
        <f t="shared" ref="AN838:AN901" si="566">IF(E838="","",IF(U838=1,1,(1+AF838)*U838))</f>
        <v>0</v>
      </c>
      <c r="AO838" s="161">
        <f t="shared" ref="AO838:AO901" si="567">IF($E838="","",(1+$AG838)*$V838)</f>
        <v>0</v>
      </c>
      <c r="AP838" s="156">
        <f t="shared" si="544"/>
        <v>4.6426810715130875</v>
      </c>
      <c r="AQ838" s="152"/>
      <c r="AR838" s="162">
        <f t="shared" si="545"/>
        <v>99822.022677888832</v>
      </c>
      <c r="AS838" s="150">
        <f t="shared" ref="AS838:AS901" si="568">IF($E838="","",IF($C838=1,$I838*$H838/1000,0))</f>
        <v>0</v>
      </c>
      <c r="AT838" s="163">
        <f t="shared" si="546"/>
        <v>0</v>
      </c>
      <c r="AU838" s="163">
        <f t="shared" si="547"/>
        <v>100000</v>
      </c>
      <c r="AV838" s="163">
        <f t="shared" ref="AV838:AV901" si="569">IF($E838="","",(AR838+AS838-AT838-AU838/2)*$AK838)</f>
        <v>177.65999807447329</v>
      </c>
      <c r="AW838" s="163">
        <f t="shared" si="548"/>
        <v>99822.34000192552</v>
      </c>
      <c r="AX838" s="163">
        <f t="shared" si="549"/>
        <v>0</v>
      </c>
      <c r="AY838" s="165">
        <f t="shared" ref="AY838:AY901" si="570">IF($E838="","",AR838+AS838-AT838-AU838+AV838+AW838+AX838)</f>
        <v>99822.022677888832</v>
      </c>
      <c r="AZ838" s="164">
        <f>IF($E838="","",IF(OR(AND($D838=Input!$C$6,$C838=12),$AN838=1),0,-AS839+AT839+AU839-AV839-AW839-AX839+AZ839))</f>
        <v>99822.34000192552</v>
      </c>
      <c r="BA838" s="154">
        <f t="shared" si="550"/>
        <v>0.31732403668866027</v>
      </c>
      <c r="BC838" s="147">
        <f t="shared" ref="BC838:BC901" si="571">IF($E838="","",MIN(1,(1-T838-U838))*BC837)</f>
        <v>7.2305145568646288E-17</v>
      </c>
      <c r="BD838" s="164">
        <f>IF(AND($C837=12,$D837=Input!$C$6),0,IF($E838="","",AT838+(AU838+BD839)/(1+$AK838)*MIN((1-AM838-AN838),1)))</f>
        <v>0</v>
      </c>
      <c r="BE838" s="164">
        <f t="shared" si="551"/>
        <v>0</v>
      </c>
      <c r="BF838" s="164">
        <f t="shared" ref="BF838:BF901" si="572">IF($E838="","",AZ838)</f>
        <v>99822.34000192552</v>
      </c>
      <c r="BG838" s="164">
        <f t="shared" si="552"/>
        <v>7.2176688248421285E-12</v>
      </c>
      <c r="BH838" s="152"/>
      <c r="BI838" s="162">
        <f t="shared" si="553"/>
        <v>32899.522479226391</v>
      </c>
      <c r="BJ838" s="150">
        <f t="shared" si="554"/>
        <v>0</v>
      </c>
      <c r="BK838" s="163">
        <f t="shared" si="535"/>
        <v>0</v>
      </c>
      <c r="BL838" s="163">
        <f t="shared" si="555"/>
        <v>9739.6201922001819</v>
      </c>
      <c r="BM838" s="163">
        <f t="shared" si="536"/>
        <v>110.03856389734658</v>
      </c>
      <c r="BN838" s="163">
        <f t="shared" si="556"/>
        <v>2510.9660632990572</v>
      </c>
      <c r="BO838" s="163">
        <f t="shared" si="557"/>
        <v>0</v>
      </c>
      <c r="BP838" s="164">
        <f t="shared" si="537"/>
        <v>25780.906914222611</v>
      </c>
      <c r="BQ838" s="164">
        <f>IF($E838="","",IF(AND($D838=Input!$C$6,$C838=12),0,-BJ839+BK839+BL839-BM839-BN839-BO839+BQ839))</f>
        <v>25780.944366905846</v>
      </c>
      <c r="BR838" s="161">
        <f t="shared" si="558"/>
        <v>0</v>
      </c>
      <c r="BT838" s="147">
        <f t="shared" si="559"/>
        <v>7.2305145568646288E-17</v>
      </c>
      <c r="BU838" s="164">
        <f>IF(AND($C837=12,$D837=Input!$C$6),0,IF($E838="","",BK838+(BL838+BU839)/(1+$AK838)*MIN((1-T838-U838),1)))</f>
        <v>80375.219484820816</v>
      </c>
      <c r="BV838" s="164">
        <f t="shared" si="560"/>
        <v>5.8115419449618646E-12</v>
      </c>
      <c r="BW838" s="164">
        <f t="shared" si="561"/>
        <v>25780.944366905846</v>
      </c>
      <c r="BX838" s="164">
        <f t="shared" si="562"/>
        <v>1.8640949353462988E-12</v>
      </c>
    </row>
    <row r="839" spans="1:76" s="150" customFormat="1" x14ac:dyDescent="0.25">
      <c r="A839" s="150">
        <f t="shared" ref="A839:A902" si="573">IF(E839="","",A838+1)</f>
        <v>835</v>
      </c>
      <c r="B839" s="150">
        <f t="shared" ref="B839:B902" si="574">IF(E839="","",IF(C838+1&gt;12,B838+1,B838))</f>
        <v>70</v>
      </c>
      <c r="C839" s="150">
        <f t="shared" ref="C839:C902" si="575">IF(E839="","",IF(C838+1&gt;12,1,C838+1))</f>
        <v>7</v>
      </c>
      <c r="D839" s="150">
        <f>IF(E839="","",Input!$C$4+B839-1)</f>
        <v>114</v>
      </c>
      <c r="E839" s="150">
        <f>IF(OR(AND(C838=12,D838=Input!$C$6),E838=""),"",1)</f>
        <v>1</v>
      </c>
      <c r="F839" s="150">
        <f>IF(E839="","",Input!$C$8+B839-1)</f>
        <v>2087</v>
      </c>
      <c r="G839" s="151">
        <f>IF(E839="","",MAX(0,Input!$C$9-B839))</f>
        <v>0</v>
      </c>
      <c r="H839" s="152">
        <f>IF(E839="","",Input!$C$3)</f>
        <v>100000</v>
      </c>
      <c r="I839" s="153">
        <f>IF(E839="","",HLOOKUP($B839,Input!$C$13:$BT$14,2))</f>
        <v>1000</v>
      </c>
      <c r="J839" s="154"/>
      <c r="K839" s="155">
        <f>IF($E839="","",INDEX(Input!$C$16:$CP$16,1,$B839))</f>
        <v>3.3140000000000003E-2</v>
      </c>
      <c r="L839" s="155">
        <f>IF($E839="","",Input!$C$37)</f>
        <v>1.4999999999999999E-2</v>
      </c>
      <c r="M839" s="155">
        <f t="shared" si="538"/>
        <v>4.8140000000000002E-2</v>
      </c>
      <c r="N839" s="155">
        <f t="shared" si="539"/>
        <v>3.9257828404828388E-3</v>
      </c>
      <c r="O839" s="147">
        <f>IF($E839="","",MIN(VLOOKUP(IF($B839&lt;=Input!$C$7,$B839,26),'Mortality Tables'!$A$41:$CW$67,IF($B839&lt;=Input!$C$7+1,Input!$C$4+2,$D839-Input!$C$7+2),0)*IF(B839&gt;20,Input!$C$22,1)/1000,1))</f>
        <v>1</v>
      </c>
      <c r="P839" s="147">
        <f>IF($E839="","",MIN(VLOOKUP(IF($B839&lt;=Input!$C$7,$B839,26),'Mortality Tables'!$A$12:$CW$37,IF($B839&lt;=Input!$C$7+1,Input!$C$4+2,$D839-Input!$C$7+2),0)*IF(B839&gt;20,Input!$C$22,1)/1000,1))</f>
        <v>1</v>
      </c>
      <c r="Q839" s="155">
        <f>IF($E839="","",Input!$C$21)</f>
        <v>5.0000000000000001E-3</v>
      </c>
      <c r="R839" s="159">
        <f>IF($E839="","",(1-Q839)^($F839-Input!$C$20))</f>
        <v>0.70760773472726679</v>
      </c>
      <c r="S839" s="147">
        <f t="shared" si="541"/>
        <v>0.70760773472726679</v>
      </c>
      <c r="T839" s="147">
        <f t="shared" si="542"/>
        <v>9.7396201922001824E-2</v>
      </c>
      <c r="U839" s="160">
        <f>IF($E839="","",IF($C839=12,INDEX(Input!$C$15:$CP$15,1,$B839),0))</f>
        <v>0</v>
      </c>
      <c r="V839" s="150">
        <f>IF(E839="","",IF(C839=1,IF($B839=1,Input!$C$33,Input!$C$34),0))</f>
        <v>0</v>
      </c>
      <c r="W839" s="156">
        <f>IF($E839="","",Input!$C$35)</f>
        <v>0.02</v>
      </c>
      <c r="X839" s="156">
        <f t="shared" si="540"/>
        <v>3.9211355125965079</v>
      </c>
      <c r="Y839" s="154"/>
      <c r="Z839" s="147">
        <f>IF($E839="","",VLOOKUP($D839,'Mortality Margins &amp; Grading'!$AB$5:$AF$125,3,0)*IF(Summary!$D$25="Included Margin",IF(AND($B839&gt;Input!$C$9,Summary!$D$31&lt;&gt;"Included Margin"),0,1),0))</f>
        <v>0.01</v>
      </c>
      <c r="AA839" s="147">
        <f>IF($E839="","",VLOOKUP($D839,'Mortality Margins &amp; Grading'!$AB$5:$AF$125,5,0)*IF(Summary!$D$25="Included Margin",IF(AND($B839&gt;Input!$C$9,Summary!$D$31&lt;&gt;"Included Margin"),0,1),0))</f>
        <v>5.2999999999999999E-2</v>
      </c>
      <c r="AB839" s="147">
        <f>IF($E839="","",IF(AND($B839&gt;Input!$C$9,Summary!$D$31&lt;&gt;"Included Margin"),1,IF(Summary!$D$25="Included Margin",VLOOKUP($B839,'Mortality Margins &amp; Grading'!$AI$5:$AR$125,MATCH('Mortality Margins &amp; Grading'!$AQ$4,'Mortality Margins &amp; Grading'!$AI$4:$AR$4,0),0),1)))</f>
        <v>0</v>
      </c>
      <c r="AC839" s="154"/>
      <c r="AD839" s="158">
        <f>IF(E839="","",Input!$C$48*IF(Summary!$D$30="Included Margin",IF(AND($B839&gt;Input!$C$9,Summary!$D$31&lt;&gt;"Included Margin"),0,1),0))</f>
        <v>-4.4999999999999997E-3</v>
      </c>
      <c r="AE839" s="159">
        <f>IF(E839="","",IF(Summary!$D$26="Included Margin",IF(AND($B839&gt;Input!$C$9,Summary!$D$31&lt;&gt;"Included Margin"),1,1/$R839),1))</f>
        <v>1.4132123645955197</v>
      </c>
      <c r="AF839" s="160">
        <f>IF(E839="","",IF(AND($B839&gt;=Input!$C$9,$C839=12,Summary!$D$31="Included Margin",$U839&gt;0),1/U839-1,IF($B839&gt;=Input!$C$9,0,Input!$C$45*IF(Summary!$D$27="Included Margin",1,0))))</f>
        <v>0</v>
      </c>
      <c r="AG839" s="160">
        <f>IF(E839="","",Input!$C$46*IF(Summary!$D$28="Included Margin",IF(AND($B839&gt;Input!$C$9,Summary!$D$31&lt;&gt;"Included Margin"),0,1),0))</f>
        <v>0.02</v>
      </c>
      <c r="AH839" s="158">
        <f>IF(E839="","",Input!$C$47*IF(Summary!$D$29="Included Margin",IF(AND($B839&gt;Input!$C$9,Summary!$D$31&lt;&gt;"Included Margin"),0,1),0))</f>
        <v>2.5000000000000001E-3</v>
      </c>
      <c r="AI839" s="154"/>
      <c r="AJ839" s="158">
        <f t="shared" si="563"/>
        <v>4.3640000000000005E-2</v>
      </c>
      <c r="AK839" s="155">
        <f t="shared" si="564"/>
        <v>3.565892922956726E-3</v>
      </c>
      <c r="AL839" s="147">
        <f t="shared" si="565"/>
        <v>1</v>
      </c>
      <c r="AM839" s="147">
        <f t="shared" si="543"/>
        <v>1</v>
      </c>
      <c r="AN839" s="160">
        <f t="shared" si="566"/>
        <v>0</v>
      </c>
      <c r="AO839" s="161">
        <f t="shared" si="567"/>
        <v>0</v>
      </c>
      <c r="AP839" s="156">
        <f t="shared" si="544"/>
        <v>4.6426810715130875</v>
      </c>
      <c r="AQ839" s="152"/>
      <c r="AR839" s="162">
        <f t="shared" si="545"/>
        <v>99822.022677888832</v>
      </c>
      <c r="AS839" s="150">
        <f t="shared" si="568"/>
        <v>0</v>
      </c>
      <c r="AT839" s="163">
        <f t="shared" si="546"/>
        <v>0</v>
      </c>
      <c r="AU839" s="163">
        <f t="shared" si="547"/>
        <v>100000</v>
      </c>
      <c r="AV839" s="163">
        <f t="shared" si="569"/>
        <v>177.65999807447329</v>
      </c>
      <c r="AW839" s="163">
        <f t="shared" si="548"/>
        <v>99822.34000192552</v>
      </c>
      <c r="AX839" s="163">
        <f t="shared" si="549"/>
        <v>0</v>
      </c>
      <c r="AY839" s="164">
        <f t="shared" si="570"/>
        <v>99822.022677888832</v>
      </c>
      <c r="AZ839" s="164">
        <f>IF($E839="","",IF(OR(AND($D839=Input!$C$6,$C839=12),$AN839=1),0,-AS840+AT840+AU840-AV840-AW840-AX840+AZ840))</f>
        <v>99822.34000192552</v>
      </c>
      <c r="BA839" s="154">
        <f t="shared" si="550"/>
        <v>0.31732403668866027</v>
      </c>
      <c r="BC839" s="147">
        <f t="shared" si="571"/>
        <v>6.5262899010842684E-17</v>
      </c>
      <c r="BD839" s="164">
        <f>IF(AND($C838=12,$D838=Input!$C$6),0,IF($E839="","",AT839+(AU839+BD840)/(1+$AK839)*MIN((1-AM839-AN839),1)))</f>
        <v>0</v>
      </c>
      <c r="BE839" s="164">
        <f t="shared" si="551"/>
        <v>0</v>
      </c>
      <c r="BF839" s="164">
        <f t="shared" si="572"/>
        <v>99822.34000192552</v>
      </c>
      <c r="BG839" s="164">
        <f t="shared" si="552"/>
        <v>6.5146952945716674E-12</v>
      </c>
      <c r="BH839" s="152"/>
      <c r="BI839" s="162">
        <f t="shared" si="553"/>
        <v>25780.906914222607</v>
      </c>
      <c r="BJ839" s="150">
        <f t="shared" si="554"/>
        <v>0</v>
      </c>
      <c r="BK839" s="163">
        <f t="shared" ref="BK839:BK902" si="576">IF($E839="","",$V839*$X839)</f>
        <v>0</v>
      </c>
      <c r="BL839" s="163">
        <f t="shared" si="555"/>
        <v>9739.6201922001819</v>
      </c>
      <c r="BM839" s="163">
        <f t="shared" ref="BM839:BM902" si="577">IF($E839="","",(BI839+BJ839-BK839-BL839/2)*$N839)</f>
        <v>82.092425064260667</v>
      </c>
      <c r="BN839" s="163">
        <f t="shared" si="556"/>
        <v>1739.8104707377331</v>
      </c>
      <c r="BO839" s="163">
        <f t="shared" si="557"/>
        <v>0</v>
      </c>
      <c r="BP839" s="164">
        <f t="shared" ref="BP839:BP902" si="578">IF($E839="","",BI839+BJ839-BK839-BL839+BM839+BN839+BO839)</f>
        <v>17863.189617824417</v>
      </c>
      <c r="BQ839" s="164">
        <f>IF($E839="","",IF(AND($D839=Input!$C$6,$C839=12),0,-BJ840+BK840+BL840-BM840-BN840-BO840+BQ840))</f>
        <v>17863.227070507659</v>
      </c>
      <c r="BR839" s="161">
        <f t="shared" si="558"/>
        <v>0</v>
      </c>
      <c r="BT839" s="147">
        <f t="shared" si="559"/>
        <v>6.5262899010842684E-17</v>
      </c>
      <c r="BU839" s="164">
        <f>IF(AND($C838=12,$D838=Input!$C$6),0,IF($E839="","",BK839+(BL839+BU840)/(1+$AK839)*MIN((1-T839-U839),1)))</f>
        <v>79626.089416959338</v>
      </c>
      <c r="BV839" s="164">
        <f t="shared" si="560"/>
        <v>5.1966294322473469E-12</v>
      </c>
      <c r="BW839" s="164">
        <f t="shared" si="561"/>
        <v>17863.227070507659</v>
      </c>
      <c r="BX839" s="164">
        <f t="shared" si="562"/>
        <v>1.1658059843102926E-12</v>
      </c>
    </row>
    <row r="840" spans="1:76" s="150" customFormat="1" x14ac:dyDescent="0.25">
      <c r="A840" s="150">
        <f t="shared" si="573"/>
        <v>836</v>
      </c>
      <c r="B840" s="150">
        <f t="shared" si="574"/>
        <v>70</v>
      </c>
      <c r="C840" s="150">
        <f t="shared" si="575"/>
        <v>8</v>
      </c>
      <c r="D840" s="150">
        <f>IF(E840="","",Input!$C$4+B840-1)</f>
        <v>114</v>
      </c>
      <c r="E840" s="150">
        <f>IF(OR(AND(C839=12,D839=Input!$C$6),E839=""),"",1)</f>
        <v>1</v>
      </c>
      <c r="F840" s="150">
        <f>IF(E840="","",Input!$C$8+B840-1)</f>
        <v>2087</v>
      </c>
      <c r="G840" s="151">
        <f>IF(E840="","",MAX(0,Input!$C$9-B840))</f>
        <v>0</v>
      </c>
      <c r="H840" s="152">
        <f>IF(E840="","",Input!$C$3)</f>
        <v>100000</v>
      </c>
      <c r="I840" s="153">
        <f>IF(E840="","",HLOOKUP($B840,Input!$C$13:$BT$14,2))</f>
        <v>1000</v>
      </c>
      <c r="J840" s="154"/>
      <c r="K840" s="155">
        <f>IF($E840="","",INDEX(Input!$C$16:$CP$16,1,$B840))</f>
        <v>3.3140000000000003E-2</v>
      </c>
      <c r="L840" s="155">
        <f>IF($E840="","",Input!$C$37)</f>
        <v>1.4999999999999999E-2</v>
      </c>
      <c r="M840" s="155">
        <f t="shared" si="538"/>
        <v>4.8140000000000002E-2</v>
      </c>
      <c r="N840" s="155">
        <f t="shared" si="539"/>
        <v>3.9257828404828388E-3</v>
      </c>
      <c r="O840" s="147">
        <f>IF($E840="","",MIN(VLOOKUP(IF($B840&lt;=Input!$C$7,$B840,26),'Mortality Tables'!$A$41:$CW$67,IF($B840&lt;=Input!$C$7+1,Input!$C$4+2,$D840-Input!$C$7+2),0)*IF(B840&gt;20,Input!$C$22,1)/1000,1))</f>
        <v>1</v>
      </c>
      <c r="P840" s="147">
        <f>IF($E840="","",MIN(VLOOKUP(IF($B840&lt;=Input!$C$7,$B840,26),'Mortality Tables'!$A$12:$CW$37,IF($B840&lt;=Input!$C$7+1,Input!$C$4+2,$D840-Input!$C$7+2),0)*IF(B840&gt;20,Input!$C$22,1)/1000,1))</f>
        <v>1</v>
      </c>
      <c r="Q840" s="155">
        <f>IF($E840="","",Input!$C$21)</f>
        <v>5.0000000000000001E-3</v>
      </c>
      <c r="R840" s="159">
        <f>IF($E840="","",(1-Q840)^($F840-Input!$C$20))</f>
        <v>0.70760773472726679</v>
      </c>
      <c r="S840" s="147">
        <f t="shared" si="541"/>
        <v>0.70760773472726679</v>
      </c>
      <c r="T840" s="147">
        <f t="shared" si="542"/>
        <v>9.7396201922001824E-2</v>
      </c>
      <c r="U840" s="160">
        <f>IF($E840="","",IF($C840=12,INDEX(Input!$C$15:$CP$15,1,$B840),0))</f>
        <v>0</v>
      </c>
      <c r="V840" s="150">
        <f>IF(E840="","",IF(C840=1,IF($B840=1,Input!$C$33,Input!$C$34),0))</f>
        <v>0</v>
      </c>
      <c r="W840" s="156">
        <f>IF($E840="","",Input!$C$35)</f>
        <v>0.02</v>
      </c>
      <c r="X840" s="156">
        <f t="shared" si="540"/>
        <v>3.9211355125965079</v>
      </c>
      <c r="Y840" s="154"/>
      <c r="Z840" s="147">
        <f>IF($E840="","",VLOOKUP($D840,'Mortality Margins &amp; Grading'!$AB$5:$AF$125,3,0)*IF(Summary!$D$25="Included Margin",IF(AND($B840&gt;Input!$C$9,Summary!$D$31&lt;&gt;"Included Margin"),0,1),0))</f>
        <v>0.01</v>
      </c>
      <c r="AA840" s="147">
        <f>IF($E840="","",VLOOKUP($D840,'Mortality Margins &amp; Grading'!$AB$5:$AF$125,5,0)*IF(Summary!$D$25="Included Margin",IF(AND($B840&gt;Input!$C$9,Summary!$D$31&lt;&gt;"Included Margin"),0,1),0))</f>
        <v>5.2999999999999999E-2</v>
      </c>
      <c r="AB840" s="147">
        <f>IF($E840="","",IF(AND($B840&gt;Input!$C$9,Summary!$D$31&lt;&gt;"Included Margin"),1,IF(Summary!$D$25="Included Margin",VLOOKUP($B840,'Mortality Margins &amp; Grading'!$AI$5:$AR$125,MATCH('Mortality Margins &amp; Grading'!$AQ$4,'Mortality Margins &amp; Grading'!$AI$4:$AR$4,0),0),1)))</f>
        <v>0</v>
      </c>
      <c r="AC840" s="154"/>
      <c r="AD840" s="158">
        <f>IF(E840="","",Input!$C$48*IF(Summary!$D$30="Included Margin",IF(AND($B840&gt;Input!$C$9,Summary!$D$31&lt;&gt;"Included Margin"),0,1),0))</f>
        <v>-4.4999999999999997E-3</v>
      </c>
      <c r="AE840" s="159">
        <f>IF(E840="","",IF(Summary!$D$26="Included Margin",IF(AND($B840&gt;Input!$C$9,Summary!$D$31&lt;&gt;"Included Margin"),1,1/$R840),1))</f>
        <v>1.4132123645955197</v>
      </c>
      <c r="AF840" s="160">
        <f>IF(E840="","",IF(AND($B840&gt;=Input!$C$9,$C840=12,Summary!$D$31="Included Margin",$U840&gt;0),1/U840-1,IF($B840&gt;=Input!$C$9,0,Input!$C$45*IF(Summary!$D$27="Included Margin",1,0))))</f>
        <v>0</v>
      </c>
      <c r="AG840" s="160">
        <f>IF(E840="","",Input!$C$46*IF(Summary!$D$28="Included Margin",IF(AND($B840&gt;Input!$C$9,Summary!$D$31&lt;&gt;"Included Margin"),0,1),0))</f>
        <v>0.02</v>
      </c>
      <c r="AH840" s="158">
        <f>IF(E840="","",Input!$C$47*IF(Summary!$D$29="Included Margin",IF(AND($B840&gt;Input!$C$9,Summary!$D$31&lt;&gt;"Included Margin"),0,1),0))</f>
        <v>2.5000000000000001E-3</v>
      </c>
      <c r="AI840" s="154"/>
      <c r="AJ840" s="158">
        <f t="shared" si="563"/>
        <v>4.3640000000000005E-2</v>
      </c>
      <c r="AK840" s="155">
        <f t="shared" si="564"/>
        <v>3.565892922956726E-3</v>
      </c>
      <c r="AL840" s="147">
        <f t="shared" si="565"/>
        <v>1</v>
      </c>
      <c r="AM840" s="147">
        <f t="shared" si="543"/>
        <v>1</v>
      </c>
      <c r="AN840" s="160">
        <f t="shared" si="566"/>
        <v>0</v>
      </c>
      <c r="AO840" s="161">
        <f t="shared" si="567"/>
        <v>0</v>
      </c>
      <c r="AP840" s="156">
        <f t="shared" si="544"/>
        <v>4.6426810715130875</v>
      </c>
      <c r="AQ840" s="152"/>
      <c r="AR840" s="162">
        <f t="shared" si="545"/>
        <v>99822.022677888832</v>
      </c>
      <c r="AS840" s="150">
        <f t="shared" si="568"/>
        <v>0</v>
      </c>
      <c r="AT840" s="163">
        <f t="shared" si="546"/>
        <v>0</v>
      </c>
      <c r="AU840" s="163">
        <f t="shared" si="547"/>
        <v>100000</v>
      </c>
      <c r="AV840" s="163">
        <f t="shared" si="569"/>
        <v>177.65999807447329</v>
      </c>
      <c r="AW840" s="163">
        <f t="shared" si="548"/>
        <v>99822.34000192552</v>
      </c>
      <c r="AX840" s="163">
        <f t="shared" si="549"/>
        <v>0</v>
      </c>
      <c r="AY840" s="165">
        <f t="shared" si="570"/>
        <v>99822.022677888832</v>
      </c>
      <c r="AZ840" s="164">
        <f>IF($E840="","",IF(OR(AND($D840=Input!$C$6,$C840=12),$AN840=1),0,-AS841+AT841+AU841-AV841-AW841-AX841+AZ841))</f>
        <v>99822.34000192552</v>
      </c>
      <c r="BA840" s="154">
        <f t="shared" si="550"/>
        <v>0.31732403668866027</v>
      </c>
      <c r="BC840" s="147">
        <f t="shared" si="571"/>
        <v>5.8906540520767438E-17</v>
      </c>
      <c r="BD840" s="164">
        <f>IF(AND($C839=12,$D839=Input!$C$6),0,IF($E840="","",AT840+(AU840+BD841)/(1+$AK840)*MIN((1-AM840-AN840),1)))</f>
        <v>0</v>
      </c>
      <c r="BE840" s="164">
        <f t="shared" si="551"/>
        <v>0</v>
      </c>
      <c r="BF840" s="164">
        <f t="shared" si="572"/>
        <v>99822.34000192552</v>
      </c>
      <c r="BG840" s="164">
        <f t="shared" si="552"/>
        <v>5.8801887162012498E-12</v>
      </c>
      <c r="BH840" s="152"/>
      <c r="BI840" s="162">
        <f t="shared" si="553"/>
        <v>17863.189617824421</v>
      </c>
      <c r="BJ840" s="150">
        <f t="shared" si="554"/>
        <v>0</v>
      </c>
      <c r="BK840" s="163">
        <f t="shared" si="576"/>
        <v>0</v>
      </c>
      <c r="BL840" s="163">
        <f t="shared" si="555"/>
        <v>9739.6201922001819</v>
      </c>
      <c r="BM840" s="163">
        <f t="shared" si="577"/>
        <v>51.009186366266491</v>
      </c>
      <c r="BN840" s="163">
        <f t="shared" si="556"/>
        <v>882.08864018208192</v>
      </c>
      <c r="BO840" s="163">
        <f t="shared" si="557"/>
        <v>0</v>
      </c>
      <c r="BP840" s="164">
        <f t="shared" si="578"/>
        <v>9056.6672521725868</v>
      </c>
      <c r="BQ840" s="164">
        <f>IF($E840="","",IF(AND($D840=Input!$C$6,$C840=12),0,-BJ841+BK841+BL841-BM841-BN841-BO841+BQ841))</f>
        <v>9056.7047048558252</v>
      </c>
      <c r="BR840" s="161">
        <f t="shared" si="558"/>
        <v>0</v>
      </c>
      <c r="BT840" s="147">
        <f t="shared" si="559"/>
        <v>5.8906540520767438E-17</v>
      </c>
      <c r="BU840" s="164">
        <f>IF(AND($C839=12,$D839=Input!$C$6),0,IF($E840="","",BK840+(BL840+BU841)/(1+$AK840)*MIN((1-T840-U840),1)))</f>
        <v>78793.164287384512</v>
      </c>
      <c r="BV840" s="164">
        <f t="shared" si="560"/>
        <v>4.6414327248543018E-12</v>
      </c>
      <c r="BW840" s="164">
        <f t="shared" si="561"/>
        <v>9056.7047048558252</v>
      </c>
      <c r="BX840" s="164">
        <f t="shared" si="562"/>
        <v>5.334991426812148E-13</v>
      </c>
    </row>
    <row r="841" spans="1:76" s="150" customFormat="1" x14ac:dyDescent="0.25">
      <c r="A841" s="150">
        <f t="shared" si="573"/>
        <v>837</v>
      </c>
      <c r="B841" s="150">
        <f t="shared" si="574"/>
        <v>70</v>
      </c>
      <c r="C841" s="150">
        <f t="shared" si="575"/>
        <v>9</v>
      </c>
      <c r="D841" s="150">
        <f>IF(E841="","",Input!$C$4+B841-1)</f>
        <v>114</v>
      </c>
      <c r="E841" s="150">
        <f>IF(OR(AND(C840=12,D840=Input!$C$6),E840=""),"",1)</f>
        <v>1</v>
      </c>
      <c r="F841" s="150">
        <f>IF(E841="","",Input!$C$8+B841-1)</f>
        <v>2087</v>
      </c>
      <c r="G841" s="151">
        <f>IF(E841="","",MAX(0,Input!$C$9-B841))</f>
        <v>0</v>
      </c>
      <c r="H841" s="152">
        <f>IF(E841="","",Input!$C$3)</f>
        <v>100000</v>
      </c>
      <c r="I841" s="153">
        <f>IF(E841="","",HLOOKUP($B841,Input!$C$13:$BT$14,2))</f>
        <v>1000</v>
      </c>
      <c r="J841" s="154"/>
      <c r="K841" s="155">
        <f>IF($E841="","",INDEX(Input!$C$16:$CP$16,1,$B841))</f>
        <v>3.3140000000000003E-2</v>
      </c>
      <c r="L841" s="155">
        <f>IF($E841="","",Input!$C$37)</f>
        <v>1.4999999999999999E-2</v>
      </c>
      <c r="M841" s="155">
        <f t="shared" si="538"/>
        <v>4.8140000000000002E-2</v>
      </c>
      <c r="N841" s="155">
        <f t="shared" si="539"/>
        <v>3.9257828404828388E-3</v>
      </c>
      <c r="O841" s="147">
        <f>IF($E841="","",MIN(VLOOKUP(IF($B841&lt;=Input!$C$7,$B841,26),'Mortality Tables'!$A$41:$CW$67,IF($B841&lt;=Input!$C$7+1,Input!$C$4+2,$D841-Input!$C$7+2),0)*IF(B841&gt;20,Input!$C$22,1)/1000,1))</f>
        <v>1</v>
      </c>
      <c r="P841" s="147">
        <f>IF($E841="","",MIN(VLOOKUP(IF($B841&lt;=Input!$C$7,$B841,26),'Mortality Tables'!$A$12:$CW$37,IF($B841&lt;=Input!$C$7+1,Input!$C$4+2,$D841-Input!$C$7+2),0)*IF(B841&gt;20,Input!$C$22,1)/1000,1))</f>
        <v>1</v>
      </c>
      <c r="Q841" s="155">
        <f>IF($E841="","",Input!$C$21)</f>
        <v>5.0000000000000001E-3</v>
      </c>
      <c r="R841" s="159">
        <f>IF($E841="","",(1-Q841)^($F841-Input!$C$20))</f>
        <v>0.70760773472726679</v>
      </c>
      <c r="S841" s="147">
        <f t="shared" si="541"/>
        <v>0.70760773472726679</v>
      </c>
      <c r="T841" s="147">
        <f t="shared" si="542"/>
        <v>9.7396201922001824E-2</v>
      </c>
      <c r="U841" s="160">
        <f>IF($E841="","",IF($C841=12,INDEX(Input!$C$15:$CP$15,1,$B841),0))</f>
        <v>0</v>
      </c>
      <c r="V841" s="150">
        <f>IF(E841="","",IF(C841=1,IF($B841=1,Input!$C$33,Input!$C$34),0))</f>
        <v>0</v>
      </c>
      <c r="W841" s="156">
        <f>IF($E841="","",Input!$C$35)</f>
        <v>0.02</v>
      </c>
      <c r="X841" s="156">
        <f t="shared" si="540"/>
        <v>3.9211355125965079</v>
      </c>
      <c r="Y841" s="154"/>
      <c r="Z841" s="147">
        <f>IF($E841="","",VLOOKUP($D841,'Mortality Margins &amp; Grading'!$AB$5:$AF$125,3,0)*IF(Summary!$D$25="Included Margin",IF(AND($B841&gt;Input!$C$9,Summary!$D$31&lt;&gt;"Included Margin"),0,1),0))</f>
        <v>0.01</v>
      </c>
      <c r="AA841" s="147">
        <f>IF($E841="","",VLOOKUP($D841,'Mortality Margins &amp; Grading'!$AB$5:$AF$125,5,0)*IF(Summary!$D$25="Included Margin",IF(AND($B841&gt;Input!$C$9,Summary!$D$31&lt;&gt;"Included Margin"),0,1),0))</f>
        <v>5.2999999999999999E-2</v>
      </c>
      <c r="AB841" s="147">
        <f>IF($E841="","",IF(AND($B841&gt;Input!$C$9,Summary!$D$31&lt;&gt;"Included Margin"),1,IF(Summary!$D$25="Included Margin",VLOOKUP($B841,'Mortality Margins &amp; Grading'!$AI$5:$AR$125,MATCH('Mortality Margins &amp; Grading'!$AQ$4,'Mortality Margins &amp; Grading'!$AI$4:$AR$4,0),0),1)))</f>
        <v>0</v>
      </c>
      <c r="AC841" s="154"/>
      <c r="AD841" s="158">
        <f>IF(E841="","",Input!$C$48*IF(Summary!$D$30="Included Margin",IF(AND($B841&gt;Input!$C$9,Summary!$D$31&lt;&gt;"Included Margin"),0,1),0))</f>
        <v>-4.4999999999999997E-3</v>
      </c>
      <c r="AE841" s="159">
        <f>IF(E841="","",IF(Summary!$D$26="Included Margin",IF(AND($B841&gt;Input!$C$9,Summary!$D$31&lt;&gt;"Included Margin"),1,1/$R841),1))</f>
        <v>1.4132123645955197</v>
      </c>
      <c r="AF841" s="160">
        <f>IF(E841="","",IF(AND($B841&gt;=Input!$C$9,$C841=12,Summary!$D$31="Included Margin",$U841&gt;0),1/U841-1,IF($B841&gt;=Input!$C$9,0,Input!$C$45*IF(Summary!$D$27="Included Margin",1,0))))</f>
        <v>0</v>
      </c>
      <c r="AG841" s="160">
        <f>IF(E841="","",Input!$C$46*IF(Summary!$D$28="Included Margin",IF(AND($B841&gt;Input!$C$9,Summary!$D$31&lt;&gt;"Included Margin"),0,1),0))</f>
        <v>0.02</v>
      </c>
      <c r="AH841" s="158">
        <f>IF(E841="","",Input!$C$47*IF(Summary!$D$29="Included Margin",IF(AND($B841&gt;Input!$C$9,Summary!$D$31&lt;&gt;"Included Margin"),0,1),0))</f>
        <v>2.5000000000000001E-3</v>
      </c>
      <c r="AI841" s="154"/>
      <c r="AJ841" s="158">
        <f t="shared" si="563"/>
        <v>4.3640000000000005E-2</v>
      </c>
      <c r="AK841" s="155">
        <f t="shared" si="564"/>
        <v>3.565892922956726E-3</v>
      </c>
      <c r="AL841" s="147">
        <f t="shared" si="565"/>
        <v>1</v>
      </c>
      <c r="AM841" s="147">
        <f t="shared" si="543"/>
        <v>1</v>
      </c>
      <c r="AN841" s="160">
        <f t="shared" si="566"/>
        <v>0</v>
      </c>
      <c r="AO841" s="161">
        <f t="shared" si="567"/>
        <v>0</v>
      </c>
      <c r="AP841" s="156">
        <f t="shared" si="544"/>
        <v>4.6426810715130875</v>
      </c>
      <c r="AQ841" s="152"/>
      <c r="AR841" s="162">
        <f t="shared" si="545"/>
        <v>99822.022677888832</v>
      </c>
      <c r="AS841" s="150">
        <f t="shared" si="568"/>
        <v>0</v>
      </c>
      <c r="AT841" s="163">
        <f t="shared" si="546"/>
        <v>0</v>
      </c>
      <c r="AU841" s="163">
        <f t="shared" si="547"/>
        <v>100000</v>
      </c>
      <c r="AV841" s="163">
        <f t="shared" si="569"/>
        <v>177.65999807447329</v>
      </c>
      <c r="AW841" s="163">
        <f t="shared" si="548"/>
        <v>99822.34000192552</v>
      </c>
      <c r="AX841" s="163">
        <f t="shared" si="549"/>
        <v>0</v>
      </c>
      <c r="AY841" s="164">
        <f t="shared" si="570"/>
        <v>99822.022677888832</v>
      </c>
      <c r="AZ841" s="164">
        <f>IF($E841="","",IF(OR(AND($D841=Input!$C$6,$C841=12),$AN841=1),0,-AS842+AT842+AU842-AV842-AW842-AX842+AZ842))</f>
        <v>99822.34000192552</v>
      </c>
      <c r="BA841" s="154">
        <f t="shared" si="550"/>
        <v>0.31732403668866027</v>
      </c>
      <c r="BC841" s="147">
        <f t="shared" si="571"/>
        <v>5.3169267205680192E-17</v>
      </c>
      <c r="BD841" s="164">
        <f>IF(AND($C840=12,$D840=Input!$C$6),0,IF($E841="","",AT841+(AU841+BD842)/(1+$AK841)*MIN((1-AM841-AN841),1)))</f>
        <v>0</v>
      </c>
      <c r="BE841" s="164">
        <f t="shared" si="551"/>
        <v>0</v>
      </c>
      <c r="BF841" s="164">
        <f t="shared" si="572"/>
        <v>99822.34000192552</v>
      </c>
      <c r="BG841" s="164">
        <f t="shared" si="552"/>
        <v>5.3074806686586366E-12</v>
      </c>
      <c r="BH841" s="152"/>
      <c r="BI841" s="162">
        <f t="shared" si="553"/>
        <v>9056.6672521725868</v>
      </c>
      <c r="BJ841" s="150">
        <f t="shared" si="554"/>
        <v>0</v>
      </c>
      <c r="BK841" s="163">
        <f t="shared" si="576"/>
        <v>0</v>
      </c>
      <c r="BL841" s="163">
        <f t="shared" si="555"/>
        <v>9739.6201922001819</v>
      </c>
      <c r="BM841" s="163">
        <f t="shared" si="577"/>
        <v>16.436691978862182</v>
      </c>
      <c r="BN841" s="163">
        <f t="shared" si="556"/>
        <v>-71.916940155109799</v>
      </c>
      <c r="BO841" s="163">
        <f t="shared" si="557"/>
        <v>0</v>
      </c>
      <c r="BP841" s="164">
        <f t="shared" si="578"/>
        <v>-738.43318820384275</v>
      </c>
      <c r="BQ841" s="164">
        <f>IF($E841="","",IF(AND($D841=Input!$C$6,$C841=12),0,-BJ842+BK842+BL842-BM842-BN842-BO842+BQ842))</f>
        <v>-738.39573552060392</v>
      </c>
      <c r="BR841" s="161">
        <f t="shared" si="558"/>
        <v>0</v>
      </c>
      <c r="BT841" s="147">
        <f t="shared" si="559"/>
        <v>5.3169267205680192E-17</v>
      </c>
      <c r="BU841" s="164">
        <f>IF(AND($C840=12,$D840=Input!$C$6),0,IF($E841="","",BK841+(BL841+BU842)/(1+$AK841)*MIN((1-T841-U841),1)))</f>
        <v>77867.071074415901</v>
      </c>
      <c r="BV841" s="164">
        <f t="shared" si="560"/>
        <v>4.1401351084793099E-12</v>
      </c>
      <c r="BW841" s="164">
        <f t="shared" si="561"/>
        <v>-738.39573552060392</v>
      </c>
      <c r="BX841" s="164">
        <f t="shared" si="562"/>
        <v>-3.9259960165429751E-14</v>
      </c>
    </row>
    <row r="842" spans="1:76" s="150" customFormat="1" x14ac:dyDescent="0.25">
      <c r="A842" s="150">
        <f t="shared" si="573"/>
        <v>838</v>
      </c>
      <c r="B842" s="150">
        <f t="shared" si="574"/>
        <v>70</v>
      </c>
      <c r="C842" s="150">
        <f t="shared" si="575"/>
        <v>10</v>
      </c>
      <c r="D842" s="150">
        <f>IF(E842="","",Input!$C$4+B842-1)</f>
        <v>114</v>
      </c>
      <c r="E842" s="150">
        <f>IF(OR(AND(C841=12,D841=Input!$C$6),E841=""),"",1)</f>
        <v>1</v>
      </c>
      <c r="F842" s="150">
        <f>IF(E842="","",Input!$C$8+B842-1)</f>
        <v>2087</v>
      </c>
      <c r="G842" s="151">
        <f>IF(E842="","",MAX(0,Input!$C$9-B842))</f>
        <v>0</v>
      </c>
      <c r="H842" s="152">
        <f>IF(E842="","",Input!$C$3)</f>
        <v>100000</v>
      </c>
      <c r="I842" s="153">
        <f>IF(E842="","",HLOOKUP($B842,Input!$C$13:$BT$14,2))</f>
        <v>1000</v>
      </c>
      <c r="J842" s="154"/>
      <c r="K842" s="155">
        <f>IF($E842="","",INDEX(Input!$C$16:$CP$16,1,$B842))</f>
        <v>3.3140000000000003E-2</v>
      </c>
      <c r="L842" s="155">
        <f>IF($E842="","",Input!$C$37)</f>
        <v>1.4999999999999999E-2</v>
      </c>
      <c r="M842" s="155">
        <f t="shared" si="538"/>
        <v>4.8140000000000002E-2</v>
      </c>
      <c r="N842" s="155">
        <f t="shared" si="539"/>
        <v>3.9257828404828388E-3</v>
      </c>
      <c r="O842" s="147">
        <f>IF($E842="","",MIN(VLOOKUP(IF($B842&lt;=Input!$C$7,$B842,26),'Mortality Tables'!$A$41:$CW$67,IF($B842&lt;=Input!$C$7+1,Input!$C$4+2,$D842-Input!$C$7+2),0)*IF(B842&gt;20,Input!$C$22,1)/1000,1))</f>
        <v>1</v>
      </c>
      <c r="P842" s="147">
        <f>IF($E842="","",MIN(VLOOKUP(IF($B842&lt;=Input!$C$7,$B842,26),'Mortality Tables'!$A$12:$CW$37,IF($B842&lt;=Input!$C$7+1,Input!$C$4+2,$D842-Input!$C$7+2),0)*IF(B842&gt;20,Input!$C$22,1)/1000,1))</f>
        <v>1</v>
      </c>
      <c r="Q842" s="155">
        <f>IF($E842="","",Input!$C$21)</f>
        <v>5.0000000000000001E-3</v>
      </c>
      <c r="R842" s="159">
        <f>IF($E842="","",(1-Q842)^($F842-Input!$C$20))</f>
        <v>0.70760773472726679</v>
      </c>
      <c r="S842" s="147">
        <f t="shared" si="541"/>
        <v>0.70760773472726679</v>
      </c>
      <c r="T842" s="147">
        <f t="shared" si="542"/>
        <v>9.7396201922001824E-2</v>
      </c>
      <c r="U842" s="160">
        <f>IF($E842="","",IF($C842=12,INDEX(Input!$C$15:$CP$15,1,$B842),0))</f>
        <v>0</v>
      </c>
      <c r="V842" s="150">
        <f>IF(E842="","",IF(C842=1,IF($B842=1,Input!$C$33,Input!$C$34),0))</f>
        <v>0</v>
      </c>
      <c r="W842" s="156">
        <f>IF($E842="","",Input!$C$35)</f>
        <v>0.02</v>
      </c>
      <c r="X842" s="156">
        <f t="shared" si="540"/>
        <v>3.9211355125965079</v>
      </c>
      <c r="Y842" s="154"/>
      <c r="Z842" s="147">
        <f>IF($E842="","",VLOOKUP($D842,'Mortality Margins &amp; Grading'!$AB$5:$AF$125,3,0)*IF(Summary!$D$25="Included Margin",IF(AND($B842&gt;Input!$C$9,Summary!$D$31&lt;&gt;"Included Margin"),0,1),0))</f>
        <v>0.01</v>
      </c>
      <c r="AA842" s="147">
        <f>IF($E842="","",VLOOKUP($D842,'Mortality Margins &amp; Grading'!$AB$5:$AF$125,5,0)*IF(Summary!$D$25="Included Margin",IF(AND($B842&gt;Input!$C$9,Summary!$D$31&lt;&gt;"Included Margin"),0,1),0))</f>
        <v>5.2999999999999999E-2</v>
      </c>
      <c r="AB842" s="147">
        <f>IF($E842="","",IF(AND($B842&gt;Input!$C$9,Summary!$D$31&lt;&gt;"Included Margin"),1,IF(Summary!$D$25="Included Margin",VLOOKUP($B842,'Mortality Margins &amp; Grading'!$AI$5:$AR$125,MATCH('Mortality Margins &amp; Grading'!$AQ$4,'Mortality Margins &amp; Grading'!$AI$4:$AR$4,0),0),1)))</f>
        <v>0</v>
      </c>
      <c r="AC842" s="154"/>
      <c r="AD842" s="158">
        <f>IF(E842="","",Input!$C$48*IF(Summary!$D$30="Included Margin",IF(AND($B842&gt;Input!$C$9,Summary!$D$31&lt;&gt;"Included Margin"),0,1),0))</f>
        <v>-4.4999999999999997E-3</v>
      </c>
      <c r="AE842" s="159">
        <f>IF(E842="","",IF(Summary!$D$26="Included Margin",IF(AND($B842&gt;Input!$C$9,Summary!$D$31&lt;&gt;"Included Margin"),1,1/$R842),1))</f>
        <v>1.4132123645955197</v>
      </c>
      <c r="AF842" s="160">
        <f>IF(E842="","",IF(AND($B842&gt;=Input!$C$9,$C842=12,Summary!$D$31="Included Margin",$U842&gt;0),1/U842-1,IF($B842&gt;=Input!$C$9,0,Input!$C$45*IF(Summary!$D$27="Included Margin",1,0))))</f>
        <v>0</v>
      </c>
      <c r="AG842" s="160">
        <f>IF(E842="","",Input!$C$46*IF(Summary!$D$28="Included Margin",IF(AND($B842&gt;Input!$C$9,Summary!$D$31&lt;&gt;"Included Margin"),0,1),0))</f>
        <v>0.02</v>
      </c>
      <c r="AH842" s="158">
        <f>IF(E842="","",Input!$C$47*IF(Summary!$D$29="Included Margin",IF(AND($B842&gt;Input!$C$9,Summary!$D$31&lt;&gt;"Included Margin"),0,1),0))</f>
        <v>2.5000000000000001E-3</v>
      </c>
      <c r="AI842" s="154"/>
      <c r="AJ842" s="158">
        <f t="shared" si="563"/>
        <v>4.3640000000000005E-2</v>
      </c>
      <c r="AK842" s="155">
        <f t="shared" si="564"/>
        <v>3.565892922956726E-3</v>
      </c>
      <c r="AL842" s="147">
        <f t="shared" si="565"/>
        <v>1</v>
      </c>
      <c r="AM842" s="147">
        <f t="shared" si="543"/>
        <v>1</v>
      </c>
      <c r="AN842" s="160">
        <f t="shared" si="566"/>
        <v>0</v>
      </c>
      <c r="AO842" s="161">
        <f t="shared" si="567"/>
        <v>0</v>
      </c>
      <c r="AP842" s="156">
        <f t="shared" si="544"/>
        <v>4.6426810715130875</v>
      </c>
      <c r="AQ842" s="152"/>
      <c r="AR842" s="162">
        <f t="shared" si="545"/>
        <v>99822.022677888832</v>
      </c>
      <c r="AS842" s="150">
        <f t="shared" si="568"/>
        <v>0</v>
      </c>
      <c r="AT842" s="163">
        <f t="shared" si="546"/>
        <v>0</v>
      </c>
      <c r="AU842" s="163">
        <f t="shared" si="547"/>
        <v>100000</v>
      </c>
      <c r="AV842" s="163">
        <f t="shared" si="569"/>
        <v>177.65999807447329</v>
      </c>
      <c r="AW842" s="163">
        <f t="shared" si="548"/>
        <v>99822.34000192552</v>
      </c>
      <c r="AX842" s="163">
        <f t="shared" si="549"/>
        <v>0</v>
      </c>
      <c r="AY842" s="165">
        <f t="shared" si="570"/>
        <v>99822.022677888832</v>
      </c>
      <c r="AZ842" s="164">
        <f>IF($E842="","",IF(OR(AND($D842=Input!$C$6,$C842=12),$AN842=1),0,-AS843+AT843+AU843-AV843-AW843-AX843+AZ843))</f>
        <v>99822.34000192552</v>
      </c>
      <c r="BA842" s="154">
        <f t="shared" si="550"/>
        <v>0.31732403668866027</v>
      </c>
      <c r="BC842" s="147">
        <f t="shared" si="571"/>
        <v>4.7990782520870892E-17</v>
      </c>
      <c r="BD842" s="164">
        <f>IF(AND($C841=12,$D841=Input!$C$6),0,IF($E842="","",AT842+(AU842+BD843)/(1+$AK842)*MIN((1-AM842-AN842),1)))</f>
        <v>0</v>
      </c>
      <c r="BE842" s="164">
        <f t="shared" si="551"/>
        <v>0</v>
      </c>
      <c r="BF842" s="164">
        <f t="shared" si="572"/>
        <v>99822.34000192552</v>
      </c>
      <c r="BG842" s="164">
        <f t="shared" si="552"/>
        <v>4.7905522097568385E-12</v>
      </c>
      <c r="BH842" s="152"/>
      <c r="BI842" s="162">
        <f t="shared" si="553"/>
        <v>-738.43318820384411</v>
      </c>
      <c r="BJ842" s="150">
        <f t="shared" si="554"/>
        <v>0</v>
      </c>
      <c r="BK842" s="163">
        <f t="shared" si="576"/>
        <v>0</v>
      </c>
      <c r="BL842" s="163">
        <f t="shared" si="555"/>
        <v>9739.6201922001819</v>
      </c>
      <c r="BM842" s="163">
        <f t="shared" si="577"/>
        <v>-22.016745250773507</v>
      </c>
      <c r="BN842" s="163">
        <f t="shared" si="556"/>
        <v>-1133.0146234505225</v>
      </c>
      <c r="BO842" s="163">
        <f t="shared" si="557"/>
        <v>0</v>
      </c>
      <c r="BP842" s="164">
        <f t="shared" si="578"/>
        <v>-11633.084749105323</v>
      </c>
      <c r="BQ842" s="164">
        <f>IF($E842="","",IF(AND($D842=Input!$C$6,$C842=12),0,-BJ843+BK843+BL843-BM843-BN843-BO843+BQ843))</f>
        <v>-11633.047296422083</v>
      </c>
      <c r="BR842" s="161">
        <f t="shared" si="558"/>
        <v>0</v>
      </c>
      <c r="BT842" s="147">
        <f t="shared" si="559"/>
        <v>4.7990782520870892E-17</v>
      </c>
      <c r="BU842" s="164">
        <f>IF(AND($C841=12,$D841=Input!$C$6),0,IF($E842="","",BK842+(BL842+BU843)/(1+$AK842)*MIN((1-T842-U842),1)))</f>
        <v>76837.388323045045</v>
      </c>
      <c r="BV842" s="164">
        <f t="shared" si="560"/>
        <v>3.6874863924829594E-12</v>
      </c>
      <c r="BW842" s="164">
        <f t="shared" si="561"/>
        <v>-11633.047296422083</v>
      </c>
      <c r="BX842" s="164">
        <f t="shared" si="562"/>
        <v>-5.582790428575973E-13</v>
      </c>
    </row>
    <row r="843" spans="1:76" s="150" customFormat="1" x14ac:dyDescent="0.25">
      <c r="A843" s="150">
        <f t="shared" si="573"/>
        <v>839</v>
      </c>
      <c r="B843" s="150">
        <f t="shared" si="574"/>
        <v>70</v>
      </c>
      <c r="C843" s="150">
        <f t="shared" si="575"/>
        <v>11</v>
      </c>
      <c r="D843" s="150">
        <f>IF(E843="","",Input!$C$4+B843-1)</f>
        <v>114</v>
      </c>
      <c r="E843" s="150">
        <f>IF(OR(AND(C842=12,D842=Input!$C$6),E842=""),"",1)</f>
        <v>1</v>
      </c>
      <c r="F843" s="150">
        <f>IF(E843="","",Input!$C$8+B843-1)</f>
        <v>2087</v>
      </c>
      <c r="G843" s="151">
        <f>IF(E843="","",MAX(0,Input!$C$9-B843))</f>
        <v>0</v>
      </c>
      <c r="H843" s="152">
        <f>IF(E843="","",Input!$C$3)</f>
        <v>100000</v>
      </c>
      <c r="I843" s="153">
        <f>IF(E843="","",HLOOKUP($B843,Input!$C$13:$BT$14,2))</f>
        <v>1000</v>
      </c>
      <c r="J843" s="154"/>
      <c r="K843" s="155">
        <f>IF($E843="","",INDEX(Input!$C$16:$CP$16,1,$B843))</f>
        <v>3.3140000000000003E-2</v>
      </c>
      <c r="L843" s="155">
        <f>IF($E843="","",Input!$C$37)</f>
        <v>1.4999999999999999E-2</v>
      </c>
      <c r="M843" s="155">
        <f t="shared" si="538"/>
        <v>4.8140000000000002E-2</v>
      </c>
      <c r="N843" s="155">
        <f t="shared" si="539"/>
        <v>3.9257828404828388E-3</v>
      </c>
      <c r="O843" s="147">
        <f>IF($E843="","",MIN(VLOOKUP(IF($B843&lt;=Input!$C$7,$B843,26),'Mortality Tables'!$A$41:$CW$67,IF($B843&lt;=Input!$C$7+1,Input!$C$4+2,$D843-Input!$C$7+2),0)*IF(B843&gt;20,Input!$C$22,1)/1000,1))</f>
        <v>1</v>
      </c>
      <c r="P843" s="147">
        <f>IF($E843="","",MIN(VLOOKUP(IF($B843&lt;=Input!$C$7,$B843,26),'Mortality Tables'!$A$12:$CW$37,IF($B843&lt;=Input!$C$7+1,Input!$C$4+2,$D843-Input!$C$7+2),0)*IF(B843&gt;20,Input!$C$22,1)/1000,1))</f>
        <v>1</v>
      </c>
      <c r="Q843" s="155">
        <f>IF($E843="","",Input!$C$21)</f>
        <v>5.0000000000000001E-3</v>
      </c>
      <c r="R843" s="159">
        <f>IF($E843="","",(1-Q843)^($F843-Input!$C$20))</f>
        <v>0.70760773472726679</v>
      </c>
      <c r="S843" s="147">
        <f t="shared" si="541"/>
        <v>0.70760773472726679</v>
      </c>
      <c r="T843" s="147">
        <f t="shared" si="542"/>
        <v>9.7396201922001824E-2</v>
      </c>
      <c r="U843" s="160">
        <f>IF($E843="","",IF($C843=12,INDEX(Input!$C$15:$CP$15,1,$B843),0))</f>
        <v>0</v>
      </c>
      <c r="V843" s="150">
        <f>IF(E843="","",IF(C843=1,IF($B843=1,Input!$C$33,Input!$C$34),0))</f>
        <v>0</v>
      </c>
      <c r="W843" s="156">
        <f>IF($E843="","",Input!$C$35)</f>
        <v>0.02</v>
      </c>
      <c r="X843" s="156">
        <f t="shared" si="540"/>
        <v>3.9211355125965079</v>
      </c>
      <c r="Y843" s="154"/>
      <c r="Z843" s="147">
        <f>IF($E843="","",VLOOKUP($D843,'Mortality Margins &amp; Grading'!$AB$5:$AF$125,3,0)*IF(Summary!$D$25="Included Margin",IF(AND($B843&gt;Input!$C$9,Summary!$D$31&lt;&gt;"Included Margin"),0,1),0))</f>
        <v>0.01</v>
      </c>
      <c r="AA843" s="147">
        <f>IF($E843="","",VLOOKUP($D843,'Mortality Margins &amp; Grading'!$AB$5:$AF$125,5,0)*IF(Summary!$D$25="Included Margin",IF(AND($B843&gt;Input!$C$9,Summary!$D$31&lt;&gt;"Included Margin"),0,1),0))</f>
        <v>5.2999999999999999E-2</v>
      </c>
      <c r="AB843" s="147">
        <f>IF($E843="","",IF(AND($B843&gt;Input!$C$9,Summary!$D$31&lt;&gt;"Included Margin"),1,IF(Summary!$D$25="Included Margin",VLOOKUP($B843,'Mortality Margins &amp; Grading'!$AI$5:$AR$125,MATCH('Mortality Margins &amp; Grading'!$AQ$4,'Mortality Margins &amp; Grading'!$AI$4:$AR$4,0),0),1)))</f>
        <v>0</v>
      </c>
      <c r="AC843" s="154"/>
      <c r="AD843" s="158">
        <f>IF(E843="","",Input!$C$48*IF(Summary!$D$30="Included Margin",IF(AND($B843&gt;Input!$C$9,Summary!$D$31&lt;&gt;"Included Margin"),0,1),0))</f>
        <v>-4.4999999999999997E-3</v>
      </c>
      <c r="AE843" s="159">
        <f>IF(E843="","",IF(Summary!$D$26="Included Margin",IF(AND($B843&gt;Input!$C$9,Summary!$D$31&lt;&gt;"Included Margin"),1,1/$R843),1))</f>
        <v>1.4132123645955197</v>
      </c>
      <c r="AF843" s="160">
        <f>IF(E843="","",IF(AND($B843&gt;=Input!$C$9,$C843=12,Summary!$D$31="Included Margin",$U843&gt;0),1/U843-1,IF($B843&gt;=Input!$C$9,0,Input!$C$45*IF(Summary!$D$27="Included Margin",1,0))))</f>
        <v>0</v>
      </c>
      <c r="AG843" s="160">
        <f>IF(E843="","",Input!$C$46*IF(Summary!$D$28="Included Margin",IF(AND($B843&gt;Input!$C$9,Summary!$D$31&lt;&gt;"Included Margin"),0,1),0))</f>
        <v>0.02</v>
      </c>
      <c r="AH843" s="158">
        <f>IF(E843="","",Input!$C$47*IF(Summary!$D$29="Included Margin",IF(AND($B843&gt;Input!$C$9,Summary!$D$31&lt;&gt;"Included Margin"),0,1),0))</f>
        <v>2.5000000000000001E-3</v>
      </c>
      <c r="AI843" s="154"/>
      <c r="AJ843" s="158">
        <f t="shared" si="563"/>
        <v>4.3640000000000005E-2</v>
      </c>
      <c r="AK843" s="155">
        <f t="shared" si="564"/>
        <v>3.565892922956726E-3</v>
      </c>
      <c r="AL843" s="147">
        <f t="shared" si="565"/>
        <v>1</v>
      </c>
      <c r="AM843" s="147">
        <f t="shared" si="543"/>
        <v>1</v>
      </c>
      <c r="AN843" s="160">
        <f t="shared" si="566"/>
        <v>0</v>
      </c>
      <c r="AO843" s="161">
        <f t="shared" si="567"/>
        <v>0</v>
      </c>
      <c r="AP843" s="156">
        <f t="shared" si="544"/>
        <v>4.6426810715130875</v>
      </c>
      <c r="AQ843" s="152"/>
      <c r="AR843" s="162">
        <f t="shared" si="545"/>
        <v>99822.022677888832</v>
      </c>
      <c r="AS843" s="150">
        <f t="shared" si="568"/>
        <v>0</v>
      </c>
      <c r="AT843" s="163">
        <f t="shared" si="546"/>
        <v>0</v>
      </c>
      <c r="AU843" s="163">
        <f t="shared" si="547"/>
        <v>100000</v>
      </c>
      <c r="AV843" s="163">
        <f t="shared" si="569"/>
        <v>177.65999807447329</v>
      </c>
      <c r="AW843" s="163">
        <f t="shared" si="548"/>
        <v>99822.34000192552</v>
      </c>
      <c r="AX843" s="163">
        <f t="shared" si="549"/>
        <v>0</v>
      </c>
      <c r="AY843" s="164">
        <f t="shared" si="570"/>
        <v>99822.022677888832</v>
      </c>
      <c r="AZ843" s="164">
        <f>IF($E843="","",IF(OR(AND($D843=Input!$C$6,$C843=12),$AN843=1),0,-AS844+AT844+AU844-AV844-AW844-AX844+AZ844))</f>
        <v>99822.34000192552</v>
      </c>
      <c r="BA843" s="154">
        <f t="shared" si="550"/>
        <v>0.31732403668866027</v>
      </c>
      <c r="BC843" s="147">
        <f t="shared" si="571"/>
        <v>4.3316662576073275E-17</v>
      </c>
      <c r="BD843" s="164">
        <f>IF(AND($C842=12,$D842=Input!$C$6),0,IF($E843="","",AT843+(AU843+BD844)/(1+$AK843)*MIN((1-AM843-AN843),1)))</f>
        <v>0</v>
      </c>
      <c r="BE843" s="164">
        <f t="shared" si="551"/>
        <v>0</v>
      </c>
      <c r="BF843" s="164">
        <f t="shared" si="572"/>
        <v>99822.34000192552</v>
      </c>
      <c r="BG843" s="164">
        <f t="shared" si="552"/>
        <v>4.3239706194174693E-12</v>
      </c>
      <c r="BH843" s="152"/>
      <c r="BI843" s="162">
        <f t="shared" si="553"/>
        <v>-11633.084749105325</v>
      </c>
      <c r="BJ843" s="150">
        <f t="shared" si="554"/>
        <v>0</v>
      </c>
      <c r="BK843" s="163">
        <f t="shared" si="576"/>
        <v>0</v>
      </c>
      <c r="BL843" s="163">
        <f t="shared" si="555"/>
        <v>9739.6201922001819</v>
      </c>
      <c r="BM843" s="163">
        <f t="shared" si="577"/>
        <v>-64.786781401600123</v>
      </c>
      <c r="BN843" s="163">
        <f t="shared" si="556"/>
        <v>-2313.2260569066398</v>
      </c>
      <c r="BO843" s="163">
        <f t="shared" si="557"/>
        <v>0</v>
      </c>
      <c r="BP843" s="164">
        <f t="shared" si="578"/>
        <v>-23750.717779613744</v>
      </c>
      <c r="BQ843" s="164">
        <f>IF($E843="","",IF(AND($D843=Input!$C$6,$C843=12),0,-BJ844+BK844+BL844-BM844-BN844-BO844+BQ844))</f>
        <v>-23750.680326930506</v>
      </c>
      <c r="BR843" s="161">
        <f t="shared" si="558"/>
        <v>0</v>
      </c>
      <c r="BT843" s="147">
        <f t="shared" si="559"/>
        <v>4.3316662576073275E-17</v>
      </c>
      <c r="BU843" s="164">
        <f>IF(AND($C842=12,$D842=Input!$C$6),0,IF($E843="","",BK843+(BL843+BU844)/(1+$AK843)*MIN((1-T843-U843),1)))</f>
        <v>75692.528870860959</v>
      </c>
      <c r="BV843" s="164">
        <f t="shared" si="560"/>
        <v>3.2787477326287688E-12</v>
      </c>
      <c r="BW843" s="164">
        <f t="shared" si="561"/>
        <v>-23750.680326930506</v>
      </c>
      <c r="BX843" s="164">
        <f t="shared" si="562"/>
        <v>-1.0288002056738305E-12</v>
      </c>
    </row>
    <row r="844" spans="1:76" s="150" customFormat="1" x14ac:dyDescent="0.25">
      <c r="A844" s="150">
        <f t="shared" si="573"/>
        <v>840</v>
      </c>
      <c r="B844" s="150">
        <f t="shared" si="574"/>
        <v>70</v>
      </c>
      <c r="C844" s="150">
        <f t="shared" si="575"/>
        <v>12</v>
      </c>
      <c r="D844" s="150">
        <f>IF(E844="","",Input!$C$4+B844-1)</f>
        <v>114</v>
      </c>
      <c r="E844" s="150">
        <f>IF(OR(AND(C843=12,D843=Input!$C$6),E843=""),"",1)</f>
        <v>1</v>
      </c>
      <c r="F844" s="150">
        <f>IF(E844="","",Input!$C$8+B844-1)</f>
        <v>2087</v>
      </c>
      <c r="G844" s="151">
        <f>IF(E844="","",MAX(0,Input!$C$9-B844))</f>
        <v>0</v>
      </c>
      <c r="H844" s="152">
        <f>IF(E844="","",Input!$C$3)</f>
        <v>100000</v>
      </c>
      <c r="I844" s="153">
        <f>IF(E844="","",HLOOKUP($B844,Input!$C$13:$BT$14,2))</f>
        <v>1000</v>
      </c>
      <c r="J844" s="154"/>
      <c r="K844" s="155">
        <f>IF($E844="","",INDEX(Input!$C$16:$CP$16,1,$B844))</f>
        <v>3.3140000000000003E-2</v>
      </c>
      <c r="L844" s="155">
        <f>IF($E844="","",Input!$C$37)</f>
        <v>1.4999999999999999E-2</v>
      </c>
      <c r="M844" s="155">
        <f t="shared" si="538"/>
        <v>4.8140000000000002E-2</v>
      </c>
      <c r="N844" s="155">
        <f t="shared" si="539"/>
        <v>3.9257828404828388E-3</v>
      </c>
      <c r="O844" s="147">
        <f>IF($E844="","",MIN(VLOOKUP(IF($B844&lt;=Input!$C$7,$B844,26),'Mortality Tables'!$A$41:$CW$67,IF($B844&lt;=Input!$C$7+1,Input!$C$4+2,$D844-Input!$C$7+2),0)*IF(B844&gt;20,Input!$C$22,1)/1000,1))</f>
        <v>1</v>
      </c>
      <c r="P844" s="147">
        <f>IF($E844="","",MIN(VLOOKUP(IF($B844&lt;=Input!$C$7,$B844,26),'Mortality Tables'!$A$12:$CW$37,IF($B844&lt;=Input!$C$7+1,Input!$C$4+2,$D844-Input!$C$7+2),0)*IF(B844&gt;20,Input!$C$22,1)/1000,1))</f>
        <v>1</v>
      </c>
      <c r="Q844" s="155">
        <f>IF($E844="","",Input!$C$21)</f>
        <v>5.0000000000000001E-3</v>
      </c>
      <c r="R844" s="159">
        <f>IF($E844="","",(1-Q844)^($F844-Input!$C$20))</f>
        <v>0.70760773472726679</v>
      </c>
      <c r="S844" s="147">
        <f t="shared" si="541"/>
        <v>0.70760773472726679</v>
      </c>
      <c r="T844" s="147">
        <f t="shared" si="542"/>
        <v>9.7396201922001824E-2</v>
      </c>
      <c r="U844" s="160">
        <f>IF($E844="","",IF($C844=12,INDEX(Input!$C$15:$CP$15,1,$B844),0))</f>
        <v>0.1</v>
      </c>
      <c r="V844" s="150">
        <f>IF(E844="","",IF(C844=1,IF($B844=1,Input!$C$33,Input!$C$34),0))</f>
        <v>0</v>
      </c>
      <c r="W844" s="156">
        <f>IF($E844="","",Input!$C$35)</f>
        <v>0.02</v>
      </c>
      <c r="X844" s="156">
        <f t="shared" si="540"/>
        <v>3.9211355125965079</v>
      </c>
      <c r="Y844" s="154"/>
      <c r="Z844" s="147">
        <f>IF($E844="","",VLOOKUP($D844,'Mortality Margins &amp; Grading'!$AB$5:$AF$125,3,0)*IF(Summary!$D$25="Included Margin",IF(AND($B844&gt;Input!$C$9,Summary!$D$31&lt;&gt;"Included Margin"),0,1),0))</f>
        <v>0.01</v>
      </c>
      <c r="AA844" s="147">
        <f>IF($E844="","",VLOOKUP($D844,'Mortality Margins &amp; Grading'!$AB$5:$AF$125,5,0)*IF(Summary!$D$25="Included Margin",IF(AND($B844&gt;Input!$C$9,Summary!$D$31&lt;&gt;"Included Margin"),0,1),0))</f>
        <v>5.2999999999999999E-2</v>
      </c>
      <c r="AB844" s="147">
        <f>IF($E844="","",IF(AND($B844&gt;Input!$C$9,Summary!$D$31&lt;&gt;"Included Margin"),1,IF(Summary!$D$25="Included Margin",VLOOKUP($B844,'Mortality Margins &amp; Grading'!$AI$5:$AR$125,MATCH('Mortality Margins &amp; Grading'!$AQ$4,'Mortality Margins &amp; Grading'!$AI$4:$AR$4,0),0),1)))</f>
        <v>0</v>
      </c>
      <c r="AC844" s="154"/>
      <c r="AD844" s="158">
        <f>IF(E844="","",Input!$C$48*IF(Summary!$D$30="Included Margin",IF(AND($B844&gt;Input!$C$9,Summary!$D$31&lt;&gt;"Included Margin"),0,1),0))</f>
        <v>-4.4999999999999997E-3</v>
      </c>
      <c r="AE844" s="159">
        <f>IF(E844="","",IF(Summary!$D$26="Included Margin",IF(AND($B844&gt;Input!$C$9,Summary!$D$31&lt;&gt;"Included Margin"),1,1/$R844),1))</f>
        <v>1.4132123645955197</v>
      </c>
      <c r="AF844" s="160">
        <f>IF(E844="","",IF(AND($B844&gt;=Input!$C$9,$C844=12,Summary!$D$31="Included Margin",$U844&gt;0),1/U844-1,IF($B844&gt;=Input!$C$9,0,Input!$C$45*IF(Summary!$D$27="Included Margin",1,0))))</f>
        <v>9</v>
      </c>
      <c r="AG844" s="160">
        <f>IF(E844="","",Input!$C$46*IF(Summary!$D$28="Included Margin",IF(AND($B844&gt;Input!$C$9,Summary!$D$31&lt;&gt;"Included Margin"),0,1),0))</f>
        <v>0.02</v>
      </c>
      <c r="AH844" s="158">
        <f>IF(E844="","",Input!$C$47*IF(Summary!$D$29="Included Margin",IF(AND($B844&gt;Input!$C$9,Summary!$D$31&lt;&gt;"Included Margin"),0,1),0))</f>
        <v>2.5000000000000001E-3</v>
      </c>
      <c r="AI844" s="154"/>
      <c r="AJ844" s="158">
        <f t="shared" si="563"/>
        <v>4.3640000000000005E-2</v>
      </c>
      <c r="AK844" s="155">
        <f t="shared" si="564"/>
        <v>3.565892922956726E-3</v>
      </c>
      <c r="AL844" s="147">
        <f t="shared" si="565"/>
        <v>1</v>
      </c>
      <c r="AM844" s="147">
        <f t="shared" si="543"/>
        <v>1</v>
      </c>
      <c r="AN844" s="160">
        <f t="shared" si="566"/>
        <v>1</v>
      </c>
      <c r="AO844" s="161">
        <f t="shared" si="567"/>
        <v>0</v>
      </c>
      <c r="AP844" s="156">
        <f t="shared" si="544"/>
        <v>4.6426810715130875</v>
      </c>
      <c r="AQ844" s="152"/>
      <c r="AR844" s="162">
        <f t="shared" si="545"/>
        <v>99822.022677888832</v>
      </c>
      <c r="AS844" s="150">
        <f t="shared" si="568"/>
        <v>0</v>
      </c>
      <c r="AT844" s="163">
        <f t="shared" si="546"/>
        <v>0</v>
      </c>
      <c r="AU844" s="163">
        <f t="shared" si="547"/>
        <v>100000</v>
      </c>
      <c r="AV844" s="163">
        <f t="shared" si="569"/>
        <v>177.65999807447329</v>
      </c>
      <c r="AW844" s="163">
        <f t="shared" si="548"/>
        <v>0</v>
      </c>
      <c r="AX844" s="163">
        <f t="shared" si="549"/>
        <v>0</v>
      </c>
      <c r="AY844" s="165">
        <f t="shared" si="570"/>
        <v>-0.31732403669488463</v>
      </c>
      <c r="AZ844" s="164">
        <f>IF($E844="","",IF(OR(AND($D844=Input!$C$6,$C844=12),$AN844=1),0,-AS845+AT845+AU845-AV845-AW845-AX845+AZ845))</f>
        <v>0</v>
      </c>
      <c r="BA844" s="154">
        <f t="shared" si="550"/>
        <v>0.31732403669488463</v>
      </c>
      <c r="BC844" s="147">
        <f t="shared" si="571"/>
        <v>3.4766117903619497E-17</v>
      </c>
      <c r="BD844" s="164">
        <f>IF(AND($C843=12,$D843=Input!$C$6),0,IF($E844="","",AT844+(AU844+BD845)/(1+$AK844)*MIN((1-AM844-AN844),1)))</f>
        <v>-99885.921709848568</v>
      </c>
      <c r="BE844" s="164">
        <f t="shared" si="551"/>
        <v>-3.4726457310763017E-12</v>
      </c>
      <c r="BF844" s="164">
        <f t="shared" si="572"/>
        <v>0</v>
      </c>
      <c r="BG844" s="164">
        <f t="shared" si="552"/>
        <v>0</v>
      </c>
      <c r="BH844" s="152"/>
      <c r="BI844" s="162">
        <f t="shared" si="553"/>
        <v>-23750.717779613748</v>
      </c>
      <c r="BJ844" s="150">
        <f t="shared" si="554"/>
        <v>0</v>
      </c>
      <c r="BK844" s="163">
        <f t="shared" si="576"/>
        <v>0</v>
      </c>
      <c r="BL844" s="163">
        <f t="shared" si="555"/>
        <v>9739.6201922001819</v>
      </c>
      <c r="BM844" s="163">
        <f t="shared" si="577"/>
        <v>-112.35797722003814</v>
      </c>
      <c r="BN844" s="163">
        <f t="shared" si="556"/>
        <v>-4028.8026448169853</v>
      </c>
      <c r="BO844" s="163">
        <f t="shared" si="557"/>
        <v>-3733.6287218167477</v>
      </c>
      <c r="BP844" s="164">
        <f t="shared" si="578"/>
        <v>-41365.127315667705</v>
      </c>
      <c r="BQ844" s="164">
        <f>IF($E844="","",IF(AND($D844=Input!$C$6,$C844=12),0,-BJ845+BK845+BL845-BM845-BN845-BO845+BQ845))</f>
        <v>-41365.08986298446</v>
      </c>
      <c r="BR844" s="161">
        <f t="shared" si="558"/>
        <v>0</v>
      </c>
      <c r="BT844" s="147">
        <f t="shared" si="559"/>
        <v>3.4766117903619497E-17</v>
      </c>
      <c r="BU844" s="164">
        <f>IF(AND($C843=12,$D843=Input!$C$6),0,IF($E844="","",BK844+(BL844+BU845)/(1+$AK844)*MIN((1-T844-U844),1)))</f>
        <v>74419.609456108912</v>
      </c>
      <c r="BV844" s="164">
        <f t="shared" si="560"/>
        <v>2.5872809166923989E-12</v>
      </c>
      <c r="BW844" s="164">
        <f t="shared" si="561"/>
        <v>-41365.08986298446</v>
      </c>
      <c r="BX844" s="164">
        <f t="shared" si="562"/>
        <v>-1.4381035912703334E-12</v>
      </c>
    </row>
    <row r="845" spans="1:76" s="150" customFormat="1" x14ac:dyDescent="0.25">
      <c r="A845" s="150">
        <f t="shared" si="573"/>
        <v>841</v>
      </c>
      <c r="B845" s="150">
        <f t="shared" si="574"/>
        <v>71</v>
      </c>
      <c r="C845" s="150">
        <f t="shared" si="575"/>
        <v>1</v>
      </c>
      <c r="D845" s="150">
        <f>IF(E845="","",Input!$C$4+B845-1)</f>
        <v>115</v>
      </c>
      <c r="E845" s="150">
        <f>IF(OR(AND(C844=12,D844=Input!$C$6),E844=""),"",1)</f>
        <v>1</v>
      </c>
      <c r="F845" s="150">
        <f>IF(E845="","",Input!$C$8+B845-1)</f>
        <v>2088</v>
      </c>
      <c r="G845" s="151">
        <f>IF(E845="","",MAX(0,Input!$C$9-B845))</f>
        <v>0</v>
      </c>
      <c r="H845" s="152">
        <f>IF(E845="","",Input!$C$3)</f>
        <v>100000</v>
      </c>
      <c r="I845" s="153">
        <f>IF(E845="","",HLOOKUP($B845,Input!$C$13:$BT$14,2))</f>
        <v>1000</v>
      </c>
      <c r="J845" s="154"/>
      <c r="K845" s="155">
        <f>IF($E845="","",INDEX(Input!$C$16:$CP$16,1,$B845))</f>
        <v>3.3140000000000003E-2</v>
      </c>
      <c r="L845" s="155">
        <f>IF($E845="","",Input!$C$37)</f>
        <v>1.4999999999999999E-2</v>
      </c>
      <c r="M845" s="155">
        <f t="shared" si="538"/>
        <v>4.8140000000000002E-2</v>
      </c>
      <c r="N845" s="155">
        <f t="shared" si="539"/>
        <v>3.9257828404828388E-3</v>
      </c>
      <c r="O845" s="147">
        <f>IF($E845="","",MIN(VLOOKUP(IF($B845&lt;=Input!$C$7,$B845,26),'Mortality Tables'!$A$41:$CW$67,IF($B845&lt;=Input!$C$7+1,Input!$C$4+2,$D845-Input!$C$7+2),0)*IF(B845&gt;20,Input!$C$22,1)/1000,1))</f>
        <v>1</v>
      </c>
      <c r="P845" s="147">
        <f>IF($E845="","",MIN(VLOOKUP(IF($B845&lt;=Input!$C$7,$B845,26),'Mortality Tables'!$A$12:$CW$37,IF($B845&lt;=Input!$C$7+1,Input!$C$4+2,$D845-Input!$C$7+2),0)*IF(B845&gt;20,Input!$C$22,1)/1000,1))</f>
        <v>1</v>
      </c>
      <c r="Q845" s="155">
        <f>IF($E845="","",Input!$C$21)</f>
        <v>5.0000000000000001E-3</v>
      </c>
      <c r="R845" s="159">
        <f>IF($E845="","",(1-Q845)^($F845-Input!$C$20))</f>
        <v>0.70406969605363046</v>
      </c>
      <c r="S845" s="147">
        <f t="shared" si="541"/>
        <v>0.70406969605363046</v>
      </c>
      <c r="T845" s="147">
        <f t="shared" si="542"/>
        <v>9.6491061677377865E-2</v>
      </c>
      <c r="U845" s="160">
        <f>IF($E845="","",IF($C845=12,INDEX(Input!$C$15:$CP$15,1,$B845),0))</f>
        <v>0</v>
      </c>
      <c r="V845" s="150">
        <f>IF(E845="","",IF(C845=1,IF($B845=1,Input!$C$33,Input!$C$34),0))</f>
        <v>50</v>
      </c>
      <c r="W845" s="156">
        <f>IF($E845="","",Input!$C$35)</f>
        <v>0.02</v>
      </c>
      <c r="X845" s="156">
        <f t="shared" si="540"/>
        <v>3.9995582228484383</v>
      </c>
      <c r="Y845" s="154"/>
      <c r="Z845" s="147">
        <f>IF($E845="","",VLOOKUP($D845,'Mortality Margins &amp; Grading'!$AB$5:$AF$125,3,0)*IF(Summary!$D$25="Included Margin",IF(AND($B845&gt;Input!$C$9,Summary!$D$31&lt;&gt;"Included Margin"),0,1),0))</f>
        <v>0.01</v>
      </c>
      <c r="AA845" s="147">
        <f>IF($E845="","",VLOOKUP($D845,'Mortality Margins &amp; Grading'!$AB$5:$AF$125,5,0)*IF(Summary!$D$25="Included Margin",IF(AND($B845&gt;Input!$C$9,Summary!$D$31&lt;&gt;"Included Margin"),0,1),0))</f>
        <v>5.2999999999999999E-2</v>
      </c>
      <c r="AB845" s="147">
        <f>IF($E845="","",IF(AND($B845&gt;Input!$C$9,Summary!$D$31&lt;&gt;"Included Margin"),1,IF(Summary!$D$25="Included Margin",VLOOKUP($B845,'Mortality Margins &amp; Grading'!$AI$5:$AR$125,MATCH('Mortality Margins &amp; Grading'!$AQ$4,'Mortality Margins &amp; Grading'!$AI$4:$AR$4,0),0),1)))</f>
        <v>0</v>
      </c>
      <c r="AC845" s="154"/>
      <c r="AD845" s="158">
        <f>IF(E845="","",Input!$C$48*IF(Summary!$D$30="Included Margin",IF(AND($B845&gt;Input!$C$9,Summary!$D$31&lt;&gt;"Included Margin"),0,1),0))</f>
        <v>-4.4999999999999997E-3</v>
      </c>
      <c r="AE845" s="159">
        <f>IF(E845="","",IF(Summary!$D$26="Included Margin",IF(AND($B845&gt;Input!$C$9,Summary!$D$31&lt;&gt;"Included Margin"),1,1/$R845),1))</f>
        <v>1.420313934266854</v>
      </c>
      <c r="AF845" s="160">
        <f>IF(E845="","",IF(AND($B845&gt;=Input!$C$9,$C845=12,Summary!$D$31="Included Margin",$U845&gt;0),1/U845-1,IF($B845&gt;=Input!$C$9,0,Input!$C$45*IF(Summary!$D$27="Included Margin",1,0))))</f>
        <v>0</v>
      </c>
      <c r="AG845" s="160">
        <f>IF(E845="","",Input!$C$46*IF(Summary!$D$28="Included Margin",IF(AND($B845&gt;Input!$C$9,Summary!$D$31&lt;&gt;"Included Margin"),0,1),0))</f>
        <v>0.02</v>
      </c>
      <c r="AH845" s="158">
        <f>IF(E845="","",Input!$C$47*IF(Summary!$D$29="Included Margin",IF(AND($B845&gt;Input!$C$9,Summary!$D$31&lt;&gt;"Included Margin"),0,1),0))</f>
        <v>2.5000000000000001E-3</v>
      </c>
      <c r="AI845" s="154"/>
      <c r="AJ845" s="158">
        <f t="shared" si="563"/>
        <v>4.3640000000000005E-2</v>
      </c>
      <c r="AK845" s="155">
        <f t="shared" si="564"/>
        <v>3.565892922956726E-3</v>
      </c>
      <c r="AL845" s="147">
        <f t="shared" si="565"/>
        <v>1</v>
      </c>
      <c r="AM845" s="147">
        <f t="shared" si="543"/>
        <v>1</v>
      </c>
      <c r="AN845" s="160">
        <f t="shared" si="566"/>
        <v>0</v>
      </c>
      <c r="AO845" s="161">
        <f t="shared" si="567"/>
        <v>51</v>
      </c>
      <c r="AP845" s="156">
        <f t="shared" si="544"/>
        <v>4.7471413956221316</v>
      </c>
      <c r="AQ845" s="152"/>
      <c r="AR845" s="162">
        <f t="shared" si="545"/>
        <v>64.126889065560533</v>
      </c>
      <c r="AS845" s="150">
        <f t="shared" si="568"/>
        <v>100000</v>
      </c>
      <c r="AT845" s="163">
        <f t="shared" si="546"/>
        <v>242.10421117672871</v>
      </c>
      <c r="AU845" s="163">
        <f t="shared" si="547"/>
        <v>100000</v>
      </c>
      <c r="AV845" s="163">
        <f t="shared" si="569"/>
        <v>177.65999807447329</v>
      </c>
      <c r="AW845" s="163">
        <f t="shared" si="548"/>
        <v>99822.34000192552</v>
      </c>
      <c r="AX845" s="163">
        <f t="shared" si="549"/>
        <v>0</v>
      </c>
      <c r="AY845" s="164">
        <f t="shared" si="570"/>
        <v>99822.022677888832</v>
      </c>
      <c r="AZ845" s="164">
        <f>IF($E845="","",IF(OR(AND($D845=Input!$C$6,$C845=12),$AN845=1),0,-AS846+AT846+AU846-AV846-AW846-AX846+AZ846))</f>
        <v>99822.34000192552</v>
      </c>
      <c r="BA845" s="154">
        <f t="shared" si="550"/>
        <v>0.31732403668866027</v>
      </c>
      <c r="BC845" s="147">
        <f t="shared" si="571"/>
        <v>3.1411498276698356E-17</v>
      </c>
      <c r="BD845" s="164">
        <f>IF(AND($C844=12,$D844=Input!$C$6),0,IF($E845="","",AT845+(AU845+BD846)/(1+$AK845)*MIN((1-AM845-AN845),1)))</f>
        <v>242.10421117672871</v>
      </c>
      <c r="BE845" s="164">
        <f t="shared" si="551"/>
        <v>7.6048560121592293E-15</v>
      </c>
      <c r="BF845" s="164">
        <f t="shared" si="572"/>
        <v>99822.34000192552</v>
      </c>
      <c r="BG845" s="164">
        <f t="shared" si="552"/>
        <v>3.135569260946481E-12</v>
      </c>
      <c r="BH845" s="152"/>
      <c r="BI845" s="162">
        <f t="shared" si="553"/>
        <v>-41365.12696760556</v>
      </c>
      <c r="BJ845" s="150">
        <f t="shared" si="554"/>
        <v>100000</v>
      </c>
      <c r="BK845" s="163">
        <f t="shared" si="576"/>
        <v>199.9779111424219</v>
      </c>
      <c r="BL845" s="163">
        <f t="shared" si="555"/>
        <v>9649.1061677377857</v>
      </c>
      <c r="BM845" s="163">
        <f t="shared" si="577"/>
        <v>210.46256084277445</v>
      </c>
      <c r="BN845" s="163">
        <f t="shared" si="556"/>
        <v>5232.603360707727</v>
      </c>
      <c r="BO845" s="163">
        <f t="shared" si="557"/>
        <v>0</v>
      </c>
      <c r="BP845" s="164">
        <f t="shared" si="578"/>
        <v>54228.854875064731</v>
      </c>
      <c r="BQ845" s="164">
        <f>IF($E845="","",IF(AND($D845=Input!$C$6,$C845=12),0,-BJ846+BK846+BL846-BM846-BN846-BO846+BQ846))</f>
        <v>54228.891979685824</v>
      </c>
      <c r="BR845" s="161">
        <f t="shared" si="558"/>
        <v>0</v>
      </c>
      <c r="BT845" s="147">
        <f t="shared" si="559"/>
        <v>3.1411498276698356E-17</v>
      </c>
      <c r="BU845" s="164">
        <f>IF(AND($C844=12,$D844=Input!$C$6),0,IF($E845="","",BK845+(BL845+BU846)/(1+$AK845)*MIN((1-T845-U845),1)))</f>
        <v>83313.74186968687</v>
      </c>
      <c r="BV845" s="164">
        <f t="shared" si="560"/>
        <v>2.6170094591649609E-12</v>
      </c>
      <c r="BW845" s="164">
        <f t="shared" si="561"/>
        <v>54228.891979685824</v>
      </c>
      <c r="BX845" s="164">
        <f t="shared" si="562"/>
        <v>1.7034107469671626E-12</v>
      </c>
    </row>
    <row r="846" spans="1:76" s="150" customFormat="1" x14ac:dyDescent="0.25">
      <c r="A846" s="150">
        <f t="shared" si="573"/>
        <v>842</v>
      </c>
      <c r="B846" s="150">
        <f t="shared" si="574"/>
        <v>71</v>
      </c>
      <c r="C846" s="150">
        <f t="shared" si="575"/>
        <v>2</v>
      </c>
      <c r="D846" s="150">
        <f>IF(E846="","",Input!$C$4+B846-1)</f>
        <v>115</v>
      </c>
      <c r="E846" s="150">
        <f>IF(OR(AND(C845=12,D845=Input!$C$6),E845=""),"",1)</f>
        <v>1</v>
      </c>
      <c r="F846" s="150">
        <f>IF(E846="","",Input!$C$8+B846-1)</f>
        <v>2088</v>
      </c>
      <c r="G846" s="151">
        <f>IF(E846="","",MAX(0,Input!$C$9-B846))</f>
        <v>0</v>
      </c>
      <c r="H846" s="152">
        <f>IF(E846="","",Input!$C$3)</f>
        <v>100000</v>
      </c>
      <c r="I846" s="153">
        <f>IF(E846="","",HLOOKUP($B846,Input!$C$13:$BT$14,2))</f>
        <v>1000</v>
      </c>
      <c r="J846" s="154"/>
      <c r="K846" s="155">
        <f>IF($E846="","",INDEX(Input!$C$16:$CP$16,1,$B846))</f>
        <v>3.3140000000000003E-2</v>
      </c>
      <c r="L846" s="155">
        <f>IF($E846="","",Input!$C$37)</f>
        <v>1.4999999999999999E-2</v>
      </c>
      <c r="M846" s="155">
        <f t="shared" si="538"/>
        <v>4.8140000000000002E-2</v>
      </c>
      <c r="N846" s="155">
        <f t="shared" si="539"/>
        <v>3.9257828404828388E-3</v>
      </c>
      <c r="O846" s="147">
        <f>IF($E846="","",MIN(VLOOKUP(IF($B846&lt;=Input!$C$7,$B846,26),'Mortality Tables'!$A$41:$CW$67,IF($B846&lt;=Input!$C$7+1,Input!$C$4+2,$D846-Input!$C$7+2),0)*IF(B846&gt;20,Input!$C$22,1)/1000,1))</f>
        <v>1</v>
      </c>
      <c r="P846" s="147">
        <f>IF($E846="","",MIN(VLOOKUP(IF($B846&lt;=Input!$C$7,$B846,26),'Mortality Tables'!$A$12:$CW$37,IF($B846&lt;=Input!$C$7+1,Input!$C$4+2,$D846-Input!$C$7+2),0)*IF(B846&gt;20,Input!$C$22,1)/1000,1))</f>
        <v>1</v>
      </c>
      <c r="Q846" s="155">
        <f>IF($E846="","",Input!$C$21)</f>
        <v>5.0000000000000001E-3</v>
      </c>
      <c r="R846" s="159">
        <f>IF($E846="","",(1-Q846)^($F846-Input!$C$20))</f>
        <v>0.70406969605363046</v>
      </c>
      <c r="S846" s="147">
        <f t="shared" si="541"/>
        <v>0.70406969605363046</v>
      </c>
      <c r="T846" s="147">
        <f t="shared" si="542"/>
        <v>9.6491061677377865E-2</v>
      </c>
      <c r="U846" s="160">
        <f>IF($E846="","",IF($C846=12,INDEX(Input!$C$15:$CP$15,1,$B846),0))</f>
        <v>0</v>
      </c>
      <c r="V846" s="150">
        <f>IF(E846="","",IF(C846=1,IF($B846=1,Input!$C$33,Input!$C$34),0))</f>
        <v>0</v>
      </c>
      <c r="W846" s="156">
        <f>IF($E846="","",Input!$C$35)</f>
        <v>0.02</v>
      </c>
      <c r="X846" s="156">
        <f t="shared" si="540"/>
        <v>3.9995582228484383</v>
      </c>
      <c r="Y846" s="154"/>
      <c r="Z846" s="147">
        <f>IF($E846="","",VLOOKUP($D846,'Mortality Margins &amp; Grading'!$AB$5:$AF$125,3,0)*IF(Summary!$D$25="Included Margin",IF(AND($B846&gt;Input!$C$9,Summary!$D$31&lt;&gt;"Included Margin"),0,1),0))</f>
        <v>0.01</v>
      </c>
      <c r="AA846" s="147">
        <f>IF($E846="","",VLOOKUP($D846,'Mortality Margins &amp; Grading'!$AB$5:$AF$125,5,0)*IF(Summary!$D$25="Included Margin",IF(AND($B846&gt;Input!$C$9,Summary!$D$31&lt;&gt;"Included Margin"),0,1),0))</f>
        <v>5.2999999999999999E-2</v>
      </c>
      <c r="AB846" s="147">
        <f>IF($E846="","",IF(AND($B846&gt;Input!$C$9,Summary!$D$31&lt;&gt;"Included Margin"),1,IF(Summary!$D$25="Included Margin",VLOOKUP($B846,'Mortality Margins &amp; Grading'!$AI$5:$AR$125,MATCH('Mortality Margins &amp; Grading'!$AQ$4,'Mortality Margins &amp; Grading'!$AI$4:$AR$4,0),0),1)))</f>
        <v>0</v>
      </c>
      <c r="AC846" s="154"/>
      <c r="AD846" s="158">
        <f>IF(E846="","",Input!$C$48*IF(Summary!$D$30="Included Margin",IF(AND($B846&gt;Input!$C$9,Summary!$D$31&lt;&gt;"Included Margin"),0,1),0))</f>
        <v>-4.4999999999999997E-3</v>
      </c>
      <c r="AE846" s="159">
        <f>IF(E846="","",IF(Summary!$D$26="Included Margin",IF(AND($B846&gt;Input!$C$9,Summary!$D$31&lt;&gt;"Included Margin"),1,1/$R846),1))</f>
        <v>1.420313934266854</v>
      </c>
      <c r="AF846" s="160">
        <f>IF(E846="","",IF(AND($B846&gt;=Input!$C$9,$C846=12,Summary!$D$31="Included Margin",$U846&gt;0),1/U846-1,IF($B846&gt;=Input!$C$9,0,Input!$C$45*IF(Summary!$D$27="Included Margin",1,0))))</f>
        <v>0</v>
      </c>
      <c r="AG846" s="160">
        <f>IF(E846="","",Input!$C$46*IF(Summary!$D$28="Included Margin",IF(AND($B846&gt;Input!$C$9,Summary!$D$31&lt;&gt;"Included Margin"),0,1),0))</f>
        <v>0.02</v>
      </c>
      <c r="AH846" s="158">
        <f>IF(E846="","",Input!$C$47*IF(Summary!$D$29="Included Margin",IF(AND($B846&gt;Input!$C$9,Summary!$D$31&lt;&gt;"Included Margin"),0,1),0))</f>
        <v>2.5000000000000001E-3</v>
      </c>
      <c r="AI846" s="154"/>
      <c r="AJ846" s="158">
        <f t="shared" si="563"/>
        <v>4.3640000000000005E-2</v>
      </c>
      <c r="AK846" s="155">
        <f t="shared" si="564"/>
        <v>3.565892922956726E-3</v>
      </c>
      <c r="AL846" s="147">
        <f t="shared" si="565"/>
        <v>1</v>
      </c>
      <c r="AM846" s="147">
        <f t="shared" si="543"/>
        <v>1</v>
      </c>
      <c r="AN846" s="160">
        <f t="shared" si="566"/>
        <v>0</v>
      </c>
      <c r="AO846" s="161">
        <f t="shared" si="567"/>
        <v>0</v>
      </c>
      <c r="AP846" s="156">
        <f t="shared" si="544"/>
        <v>4.7471413956221316</v>
      </c>
      <c r="AQ846" s="152"/>
      <c r="AR846" s="162">
        <f t="shared" si="545"/>
        <v>99822.022677888832</v>
      </c>
      <c r="AS846" s="150">
        <f t="shared" si="568"/>
        <v>0</v>
      </c>
      <c r="AT846" s="163">
        <f t="shared" si="546"/>
        <v>0</v>
      </c>
      <c r="AU846" s="163">
        <f t="shared" si="547"/>
        <v>100000</v>
      </c>
      <c r="AV846" s="163">
        <f t="shared" si="569"/>
        <v>177.65999807447329</v>
      </c>
      <c r="AW846" s="163">
        <f t="shared" si="548"/>
        <v>99822.34000192552</v>
      </c>
      <c r="AX846" s="163">
        <f t="shared" si="549"/>
        <v>0</v>
      </c>
      <c r="AY846" s="165">
        <f t="shared" si="570"/>
        <v>99822.022677888832</v>
      </c>
      <c r="AZ846" s="164">
        <f>IF($E846="","",IF(OR(AND($D846=Input!$C$6,$C846=12),$AN846=1),0,-AS847+AT847+AU847-AV847-AW847-AX847+AZ847))</f>
        <v>99822.34000192552</v>
      </c>
      <c r="BA846" s="154">
        <f t="shared" si="550"/>
        <v>0.31732403668866027</v>
      </c>
      <c r="BC846" s="147">
        <f t="shared" si="571"/>
        <v>2.8380569459102607E-17</v>
      </c>
      <c r="BD846" s="164">
        <f>IF(AND($C845=12,$D845=Input!$C$6),0,IF($E846="","",AT846+(AU846+BD847)/(1+$AK846)*MIN((1-AM846-AN846),1)))</f>
        <v>0</v>
      </c>
      <c r="BE846" s="164">
        <f t="shared" si="551"/>
        <v>0</v>
      </c>
      <c r="BF846" s="164">
        <f t="shared" si="572"/>
        <v>99822.34000192552</v>
      </c>
      <c r="BG846" s="164">
        <f t="shared" si="552"/>
        <v>2.833014853994804E-12</v>
      </c>
      <c r="BH846" s="152"/>
      <c r="BI846" s="162">
        <f t="shared" si="553"/>
        <v>54228.854875064731</v>
      </c>
      <c r="BJ846" s="150">
        <f t="shared" si="554"/>
        <v>0</v>
      </c>
      <c r="BK846" s="163">
        <f t="shared" si="576"/>
        <v>0</v>
      </c>
      <c r="BL846" s="163">
        <f t="shared" si="555"/>
        <v>9649.1061677377857</v>
      </c>
      <c r="BM846" s="163">
        <f t="shared" si="577"/>
        <v>193.9505602179122</v>
      </c>
      <c r="BN846" s="163">
        <f t="shared" si="556"/>
        <v>4781.6520396953229</v>
      </c>
      <c r="BO846" s="163">
        <f t="shared" si="557"/>
        <v>0</v>
      </c>
      <c r="BP846" s="164">
        <f t="shared" si="578"/>
        <v>49555.351307240177</v>
      </c>
      <c r="BQ846" s="164">
        <f>IF($E846="","",IF(AND($D846=Input!$C$6,$C846=12),0,-BJ847+BK847+BL847-BM847-BN847-BO847+BQ847))</f>
        <v>49555.388411861277</v>
      </c>
      <c r="BR846" s="161">
        <f t="shared" si="558"/>
        <v>0</v>
      </c>
      <c r="BT846" s="147">
        <f t="shared" si="559"/>
        <v>2.8380569459102607E-17</v>
      </c>
      <c r="BU846" s="164">
        <f>IF(AND($C845=12,$D845=Input!$C$6),0,IF($E846="","",BK846+(BL846+BU847)/(1+$AK846)*MIN((1-T846-U846),1)))</f>
        <v>82668.894466651822</v>
      </c>
      <c r="BV846" s="164">
        <f t="shared" si="560"/>
        <v>2.346190301518035E-12</v>
      </c>
      <c r="BW846" s="164">
        <f t="shared" si="561"/>
        <v>49555.388411861277</v>
      </c>
      <c r="BX846" s="164">
        <f t="shared" si="562"/>
        <v>1.4064101428956373E-12</v>
      </c>
    </row>
    <row r="847" spans="1:76" s="150" customFormat="1" x14ac:dyDescent="0.25">
      <c r="A847" s="150">
        <f t="shared" si="573"/>
        <v>843</v>
      </c>
      <c r="B847" s="150">
        <f t="shared" si="574"/>
        <v>71</v>
      </c>
      <c r="C847" s="150">
        <f t="shared" si="575"/>
        <v>3</v>
      </c>
      <c r="D847" s="150">
        <f>IF(E847="","",Input!$C$4+B847-1)</f>
        <v>115</v>
      </c>
      <c r="E847" s="150">
        <f>IF(OR(AND(C846=12,D846=Input!$C$6),E846=""),"",1)</f>
        <v>1</v>
      </c>
      <c r="F847" s="150">
        <f>IF(E847="","",Input!$C$8+B847-1)</f>
        <v>2088</v>
      </c>
      <c r="G847" s="151">
        <f>IF(E847="","",MAX(0,Input!$C$9-B847))</f>
        <v>0</v>
      </c>
      <c r="H847" s="152">
        <f>IF(E847="","",Input!$C$3)</f>
        <v>100000</v>
      </c>
      <c r="I847" s="153">
        <f>IF(E847="","",HLOOKUP($B847,Input!$C$13:$BT$14,2))</f>
        <v>1000</v>
      </c>
      <c r="J847" s="154"/>
      <c r="K847" s="155">
        <f>IF($E847="","",INDEX(Input!$C$16:$CP$16,1,$B847))</f>
        <v>3.3140000000000003E-2</v>
      </c>
      <c r="L847" s="155">
        <f>IF($E847="","",Input!$C$37)</f>
        <v>1.4999999999999999E-2</v>
      </c>
      <c r="M847" s="155">
        <f t="shared" si="538"/>
        <v>4.8140000000000002E-2</v>
      </c>
      <c r="N847" s="155">
        <f t="shared" si="539"/>
        <v>3.9257828404828388E-3</v>
      </c>
      <c r="O847" s="147">
        <f>IF($E847="","",MIN(VLOOKUP(IF($B847&lt;=Input!$C$7,$B847,26),'Mortality Tables'!$A$41:$CW$67,IF($B847&lt;=Input!$C$7+1,Input!$C$4+2,$D847-Input!$C$7+2),0)*IF(B847&gt;20,Input!$C$22,1)/1000,1))</f>
        <v>1</v>
      </c>
      <c r="P847" s="147">
        <f>IF($E847="","",MIN(VLOOKUP(IF($B847&lt;=Input!$C$7,$B847,26),'Mortality Tables'!$A$12:$CW$37,IF($B847&lt;=Input!$C$7+1,Input!$C$4+2,$D847-Input!$C$7+2),0)*IF(B847&gt;20,Input!$C$22,1)/1000,1))</f>
        <v>1</v>
      </c>
      <c r="Q847" s="155">
        <f>IF($E847="","",Input!$C$21)</f>
        <v>5.0000000000000001E-3</v>
      </c>
      <c r="R847" s="159">
        <f>IF($E847="","",(1-Q847)^($F847-Input!$C$20))</f>
        <v>0.70406969605363046</v>
      </c>
      <c r="S847" s="147">
        <f t="shared" si="541"/>
        <v>0.70406969605363046</v>
      </c>
      <c r="T847" s="147">
        <f t="shared" si="542"/>
        <v>9.6491061677377865E-2</v>
      </c>
      <c r="U847" s="160">
        <f>IF($E847="","",IF($C847=12,INDEX(Input!$C$15:$CP$15,1,$B847),0))</f>
        <v>0</v>
      </c>
      <c r="V847" s="150">
        <f>IF(E847="","",IF(C847=1,IF($B847=1,Input!$C$33,Input!$C$34),0))</f>
        <v>0</v>
      </c>
      <c r="W847" s="156">
        <f>IF($E847="","",Input!$C$35)</f>
        <v>0.02</v>
      </c>
      <c r="X847" s="156">
        <f t="shared" si="540"/>
        <v>3.9995582228484383</v>
      </c>
      <c r="Y847" s="154"/>
      <c r="Z847" s="147">
        <f>IF($E847="","",VLOOKUP($D847,'Mortality Margins &amp; Grading'!$AB$5:$AF$125,3,0)*IF(Summary!$D$25="Included Margin",IF(AND($B847&gt;Input!$C$9,Summary!$D$31&lt;&gt;"Included Margin"),0,1),0))</f>
        <v>0.01</v>
      </c>
      <c r="AA847" s="147">
        <f>IF($E847="","",VLOOKUP($D847,'Mortality Margins &amp; Grading'!$AB$5:$AF$125,5,0)*IF(Summary!$D$25="Included Margin",IF(AND($B847&gt;Input!$C$9,Summary!$D$31&lt;&gt;"Included Margin"),0,1),0))</f>
        <v>5.2999999999999999E-2</v>
      </c>
      <c r="AB847" s="147">
        <f>IF($E847="","",IF(AND($B847&gt;Input!$C$9,Summary!$D$31&lt;&gt;"Included Margin"),1,IF(Summary!$D$25="Included Margin",VLOOKUP($B847,'Mortality Margins &amp; Grading'!$AI$5:$AR$125,MATCH('Mortality Margins &amp; Grading'!$AQ$4,'Mortality Margins &amp; Grading'!$AI$4:$AR$4,0),0),1)))</f>
        <v>0</v>
      </c>
      <c r="AC847" s="154"/>
      <c r="AD847" s="158">
        <f>IF(E847="","",Input!$C$48*IF(Summary!$D$30="Included Margin",IF(AND($B847&gt;Input!$C$9,Summary!$D$31&lt;&gt;"Included Margin"),0,1),0))</f>
        <v>-4.4999999999999997E-3</v>
      </c>
      <c r="AE847" s="159">
        <f>IF(E847="","",IF(Summary!$D$26="Included Margin",IF(AND($B847&gt;Input!$C$9,Summary!$D$31&lt;&gt;"Included Margin"),1,1/$R847),1))</f>
        <v>1.420313934266854</v>
      </c>
      <c r="AF847" s="160">
        <f>IF(E847="","",IF(AND($B847&gt;=Input!$C$9,$C847=12,Summary!$D$31="Included Margin",$U847&gt;0),1/U847-1,IF($B847&gt;=Input!$C$9,0,Input!$C$45*IF(Summary!$D$27="Included Margin",1,0))))</f>
        <v>0</v>
      </c>
      <c r="AG847" s="160">
        <f>IF(E847="","",Input!$C$46*IF(Summary!$D$28="Included Margin",IF(AND($B847&gt;Input!$C$9,Summary!$D$31&lt;&gt;"Included Margin"),0,1),0))</f>
        <v>0.02</v>
      </c>
      <c r="AH847" s="158">
        <f>IF(E847="","",Input!$C$47*IF(Summary!$D$29="Included Margin",IF(AND($B847&gt;Input!$C$9,Summary!$D$31&lt;&gt;"Included Margin"),0,1),0))</f>
        <v>2.5000000000000001E-3</v>
      </c>
      <c r="AI847" s="154"/>
      <c r="AJ847" s="158">
        <f t="shared" si="563"/>
        <v>4.3640000000000005E-2</v>
      </c>
      <c r="AK847" s="155">
        <f t="shared" si="564"/>
        <v>3.565892922956726E-3</v>
      </c>
      <c r="AL847" s="147">
        <f t="shared" si="565"/>
        <v>1</v>
      </c>
      <c r="AM847" s="147">
        <f t="shared" si="543"/>
        <v>1</v>
      </c>
      <c r="AN847" s="160">
        <f t="shared" si="566"/>
        <v>0</v>
      </c>
      <c r="AO847" s="161">
        <f t="shared" si="567"/>
        <v>0</v>
      </c>
      <c r="AP847" s="156">
        <f t="shared" si="544"/>
        <v>4.7471413956221316</v>
      </c>
      <c r="AQ847" s="152"/>
      <c r="AR847" s="162">
        <f t="shared" si="545"/>
        <v>99822.022677888832</v>
      </c>
      <c r="AS847" s="150">
        <f t="shared" si="568"/>
        <v>0</v>
      </c>
      <c r="AT847" s="163">
        <f t="shared" si="546"/>
        <v>0</v>
      </c>
      <c r="AU847" s="163">
        <f t="shared" si="547"/>
        <v>100000</v>
      </c>
      <c r="AV847" s="163">
        <f t="shared" si="569"/>
        <v>177.65999807447329</v>
      </c>
      <c r="AW847" s="163">
        <f t="shared" si="548"/>
        <v>99822.34000192552</v>
      </c>
      <c r="AX847" s="163">
        <f t="shared" si="549"/>
        <v>0</v>
      </c>
      <c r="AY847" s="164">
        <f t="shared" si="570"/>
        <v>99822.022677888832</v>
      </c>
      <c r="AZ847" s="164">
        <f>IF($E847="","",IF(OR(AND($D847=Input!$C$6,$C847=12),$AN847=1),0,-AS848+AT848+AU848-AV848-AW848-AX848+AZ848))</f>
        <v>99822.34000192552</v>
      </c>
      <c r="BA847" s="154">
        <f t="shared" si="550"/>
        <v>0.31732403668866027</v>
      </c>
      <c r="BC847" s="147">
        <f t="shared" si="571"/>
        <v>2.5642098180985231E-17</v>
      </c>
      <c r="BD847" s="164">
        <f>IF(AND($C846=12,$D846=Input!$C$6),0,IF($E847="","",AT847+(AU847+BD848)/(1+$AK847)*MIN((1-AM847-AN847),1)))</f>
        <v>0</v>
      </c>
      <c r="BE847" s="164">
        <f t="shared" si="551"/>
        <v>0</v>
      </c>
      <c r="BF847" s="164">
        <f t="shared" si="572"/>
        <v>99822.34000192552</v>
      </c>
      <c r="BG847" s="164">
        <f t="shared" si="552"/>
        <v>2.5596542429850636E-12</v>
      </c>
      <c r="BH847" s="152"/>
      <c r="BI847" s="162">
        <f t="shared" si="553"/>
        <v>49555.351307240184</v>
      </c>
      <c r="BJ847" s="150">
        <f t="shared" si="554"/>
        <v>0</v>
      </c>
      <c r="BK847" s="163">
        <f t="shared" si="576"/>
        <v>0</v>
      </c>
      <c r="BL847" s="163">
        <f t="shared" si="555"/>
        <v>9649.1061677377857</v>
      </c>
      <c r="BM847" s="163">
        <f t="shared" si="577"/>
        <v>175.60340010641127</v>
      </c>
      <c r="BN847" s="163">
        <f t="shared" si="556"/>
        <v>4280.5815590747188</v>
      </c>
      <c r="BO847" s="163">
        <f t="shared" si="557"/>
        <v>0</v>
      </c>
      <c r="BP847" s="164">
        <f t="shared" si="578"/>
        <v>44362.43009868353</v>
      </c>
      <c r="BQ847" s="164">
        <f>IF($E847="","",IF(AND($D847=Input!$C$6,$C847=12),0,-BJ848+BK848+BL848-BM848-BN848-BO848+BQ848))</f>
        <v>44362.467203304623</v>
      </c>
      <c r="BR847" s="161">
        <f t="shared" si="558"/>
        <v>0</v>
      </c>
      <c r="BT847" s="147">
        <f t="shared" si="559"/>
        <v>2.5642098180985231E-17</v>
      </c>
      <c r="BU847" s="164">
        <f>IF(AND($C846=12,$D846=Input!$C$6),0,IF($E847="","",BK847+(BL847+BU848)/(1+$AK847)*MIN((1-T847-U847),1)))</f>
        <v>82174.75895793816</v>
      </c>
      <c r="BV847" s="164">
        <f t="shared" si="560"/>
        <v>2.1071332371982459E-12</v>
      </c>
      <c r="BW847" s="164">
        <f t="shared" si="561"/>
        <v>44362.467203304623</v>
      </c>
      <c r="BX847" s="164">
        <f t="shared" si="562"/>
        <v>1.1375467395778743E-12</v>
      </c>
    </row>
    <row r="848" spans="1:76" s="150" customFormat="1" x14ac:dyDescent="0.25">
      <c r="A848" s="150">
        <f t="shared" si="573"/>
        <v>844</v>
      </c>
      <c r="B848" s="150">
        <f t="shared" si="574"/>
        <v>71</v>
      </c>
      <c r="C848" s="150">
        <f t="shared" si="575"/>
        <v>4</v>
      </c>
      <c r="D848" s="150">
        <f>IF(E848="","",Input!$C$4+B848-1)</f>
        <v>115</v>
      </c>
      <c r="E848" s="150">
        <f>IF(OR(AND(C847=12,D847=Input!$C$6),E847=""),"",1)</f>
        <v>1</v>
      </c>
      <c r="F848" s="150">
        <f>IF(E848="","",Input!$C$8+B848-1)</f>
        <v>2088</v>
      </c>
      <c r="G848" s="151">
        <f>IF(E848="","",MAX(0,Input!$C$9-B848))</f>
        <v>0</v>
      </c>
      <c r="H848" s="152">
        <f>IF(E848="","",Input!$C$3)</f>
        <v>100000</v>
      </c>
      <c r="I848" s="153">
        <f>IF(E848="","",HLOOKUP($B848,Input!$C$13:$BT$14,2))</f>
        <v>1000</v>
      </c>
      <c r="J848" s="154"/>
      <c r="K848" s="155">
        <f>IF($E848="","",INDEX(Input!$C$16:$CP$16,1,$B848))</f>
        <v>3.3140000000000003E-2</v>
      </c>
      <c r="L848" s="155">
        <f>IF($E848="","",Input!$C$37)</f>
        <v>1.4999999999999999E-2</v>
      </c>
      <c r="M848" s="155">
        <f t="shared" si="538"/>
        <v>4.8140000000000002E-2</v>
      </c>
      <c r="N848" s="155">
        <f t="shared" si="539"/>
        <v>3.9257828404828388E-3</v>
      </c>
      <c r="O848" s="147">
        <f>IF($E848="","",MIN(VLOOKUP(IF($B848&lt;=Input!$C$7,$B848,26),'Mortality Tables'!$A$41:$CW$67,IF($B848&lt;=Input!$C$7+1,Input!$C$4+2,$D848-Input!$C$7+2),0)*IF(B848&gt;20,Input!$C$22,1)/1000,1))</f>
        <v>1</v>
      </c>
      <c r="P848" s="147">
        <f>IF($E848="","",MIN(VLOOKUP(IF($B848&lt;=Input!$C$7,$B848,26),'Mortality Tables'!$A$12:$CW$37,IF($B848&lt;=Input!$C$7+1,Input!$C$4+2,$D848-Input!$C$7+2),0)*IF(B848&gt;20,Input!$C$22,1)/1000,1))</f>
        <v>1</v>
      </c>
      <c r="Q848" s="155">
        <f>IF($E848="","",Input!$C$21)</f>
        <v>5.0000000000000001E-3</v>
      </c>
      <c r="R848" s="159">
        <f>IF($E848="","",(1-Q848)^($F848-Input!$C$20))</f>
        <v>0.70406969605363046</v>
      </c>
      <c r="S848" s="147">
        <f t="shared" si="541"/>
        <v>0.70406969605363046</v>
      </c>
      <c r="T848" s="147">
        <f t="shared" si="542"/>
        <v>9.6491061677377865E-2</v>
      </c>
      <c r="U848" s="160">
        <f>IF($E848="","",IF($C848=12,INDEX(Input!$C$15:$CP$15,1,$B848),0))</f>
        <v>0</v>
      </c>
      <c r="V848" s="150">
        <f>IF(E848="","",IF(C848=1,IF($B848=1,Input!$C$33,Input!$C$34),0))</f>
        <v>0</v>
      </c>
      <c r="W848" s="156">
        <f>IF($E848="","",Input!$C$35)</f>
        <v>0.02</v>
      </c>
      <c r="X848" s="156">
        <f t="shared" si="540"/>
        <v>3.9995582228484383</v>
      </c>
      <c r="Y848" s="154"/>
      <c r="Z848" s="147">
        <f>IF($E848="","",VLOOKUP($D848,'Mortality Margins &amp; Grading'!$AB$5:$AF$125,3,0)*IF(Summary!$D$25="Included Margin",IF(AND($B848&gt;Input!$C$9,Summary!$D$31&lt;&gt;"Included Margin"),0,1),0))</f>
        <v>0.01</v>
      </c>
      <c r="AA848" s="147">
        <f>IF($E848="","",VLOOKUP($D848,'Mortality Margins &amp; Grading'!$AB$5:$AF$125,5,0)*IF(Summary!$D$25="Included Margin",IF(AND($B848&gt;Input!$C$9,Summary!$D$31&lt;&gt;"Included Margin"),0,1),0))</f>
        <v>5.2999999999999999E-2</v>
      </c>
      <c r="AB848" s="147">
        <f>IF($E848="","",IF(AND($B848&gt;Input!$C$9,Summary!$D$31&lt;&gt;"Included Margin"),1,IF(Summary!$D$25="Included Margin",VLOOKUP($B848,'Mortality Margins &amp; Grading'!$AI$5:$AR$125,MATCH('Mortality Margins &amp; Grading'!$AQ$4,'Mortality Margins &amp; Grading'!$AI$4:$AR$4,0),0),1)))</f>
        <v>0</v>
      </c>
      <c r="AC848" s="154"/>
      <c r="AD848" s="158">
        <f>IF(E848="","",Input!$C$48*IF(Summary!$D$30="Included Margin",IF(AND($B848&gt;Input!$C$9,Summary!$D$31&lt;&gt;"Included Margin"),0,1),0))</f>
        <v>-4.4999999999999997E-3</v>
      </c>
      <c r="AE848" s="159">
        <f>IF(E848="","",IF(Summary!$D$26="Included Margin",IF(AND($B848&gt;Input!$C$9,Summary!$D$31&lt;&gt;"Included Margin"),1,1/$R848),1))</f>
        <v>1.420313934266854</v>
      </c>
      <c r="AF848" s="160">
        <f>IF(E848="","",IF(AND($B848&gt;=Input!$C$9,$C848=12,Summary!$D$31="Included Margin",$U848&gt;0),1/U848-1,IF($B848&gt;=Input!$C$9,0,Input!$C$45*IF(Summary!$D$27="Included Margin",1,0))))</f>
        <v>0</v>
      </c>
      <c r="AG848" s="160">
        <f>IF(E848="","",Input!$C$46*IF(Summary!$D$28="Included Margin",IF(AND($B848&gt;Input!$C$9,Summary!$D$31&lt;&gt;"Included Margin"),0,1),0))</f>
        <v>0.02</v>
      </c>
      <c r="AH848" s="158">
        <f>IF(E848="","",Input!$C$47*IF(Summary!$D$29="Included Margin",IF(AND($B848&gt;Input!$C$9,Summary!$D$31&lt;&gt;"Included Margin"),0,1),0))</f>
        <v>2.5000000000000001E-3</v>
      </c>
      <c r="AI848" s="154"/>
      <c r="AJ848" s="158">
        <f t="shared" si="563"/>
        <v>4.3640000000000005E-2</v>
      </c>
      <c r="AK848" s="155">
        <f t="shared" si="564"/>
        <v>3.565892922956726E-3</v>
      </c>
      <c r="AL848" s="147">
        <f t="shared" si="565"/>
        <v>1</v>
      </c>
      <c r="AM848" s="147">
        <f t="shared" si="543"/>
        <v>1</v>
      </c>
      <c r="AN848" s="160">
        <f t="shared" si="566"/>
        <v>0</v>
      </c>
      <c r="AO848" s="161">
        <f t="shared" si="567"/>
        <v>0</v>
      </c>
      <c r="AP848" s="156">
        <f t="shared" si="544"/>
        <v>4.7471413956221316</v>
      </c>
      <c r="AQ848" s="152"/>
      <c r="AR848" s="162">
        <f t="shared" si="545"/>
        <v>99822.022677888832</v>
      </c>
      <c r="AS848" s="150">
        <f t="shared" si="568"/>
        <v>0</v>
      </c>
      <c r="AT848" s="163">
        <f t="shared" si="546"/>
        <v>0</v>
      </c>
      <c r="AU848" s="163">
        <f t="shared" si="547"/>
        <v>100000</v>
      </c>
      <c r="AV848" s="163">
        <f t="shared" si="569"/>
        <v>177.65999807447329</v>
      </c>
      <c r="AW848" s="163">
        <f t="shared" si="548"/>
        <v>99822.34000192552</v>
      </c>
      <c r="AX848" s="163">
        <f t="shared" si="549"/>
        <v>0</v>
      </c>
      <c r="AY848" s="165">
        <f t="shared" si="570"/>
        <v>99822.022677888832</v>
      </c>
      <c r="AZ848" s="164">
        <f>IF($E848="","",IF(OR(AND($D848=Input!$C$6,$C848=12),$AN848=1),0,-AS849+AT849+AU849-AV849-AW849-AX849+AZ849))</f>
        <v>99822.34000192552</v>
      </c>
      <c r="BA848" s="154">
        <f t="shared" si="550"/>
        <v>0.31732403668866027</v>
      </c>
      <c r="BC848" s="147">
        <f t="shared" si="571"/>
        <v>2.3167864903866407E-17</v>
      </c>
      <c r="BD848" s="164">
        <f>IF(AND($C847=12,$D847=Input!$C$6),0,IF($E848="","",AT848+(AU848+BD849)/(1+$AK848)*MIN((1-AM848-AN848),1)))</f>
        <v>0</v>
      </c>
      <c r="BE848" s="164">
        <f t="shared" si="551"/>
        <v>0</v>
      </c>
      <c r="BF848" s="164">
        <f t="shared" si="572"/>
        <v>99822.34000192552</v>
      </c>
      <c r="BG848" s="164">
        <f t="shared" si="552"/>
        <v>2.3126704875524302E-12</v>
      </c>
      <c r="BH848" s="152"/>
      <c r="BI848" s="162">
        <f t="shared" si="553"/>
        <v>44362.43009868353</v>
      </c>
      <c r="BJ848" s="150">
        <f t="shared" si="554"/>
        <v>0</v>
      </c>
      <c r="BK848" s="163">
        <f t="shared" si="576"/>
        <v>0</v>
      </c>
      <c r="BL848" s="163">
        <f t="shared" si="555"/>
        <v>9649.1061677377857</v>
      </c>
      <c r="BM848" s="163">
        <f t="shared" si="577"/>
        <v>155.21711913388015</v>
      </c>
      <c r="BN848" s="163">
        <f t="shared" si="556"/>
        <v>3723.821627679692</v>
      </c>
      <c r="BO848" s="163">
        <f t="shared" si="557"/>
        <v>0</v>
      </c>
      <c r="BP848" s="164">
        <f t="shared" si="578"/>
        <v>38592.362677759316</v>
      </c>
      <c r="BQ848" s="164">
        <f>IF($E848="","",IF(AND($D848=Input!$C$6,$C848=12),0,-BJ849+BK849+BL849-BM849-BN849-BO849+BQ849))</f>
        <v>38592.399782380409</v>
      </c>
      <c r="BR848" s="161">
        <f t="shared" si="558"/>
        <v>0</v>
      </c>
      <c r="BT848" s="147">
        <f t="shared" si="559"/>
        <v>2.3167864903866407E-17</v>
      </c>
      <c r="BU848" s="164">
        <f>IF(AND($C847=12,$D847=Input!$C$6),0,IF($E848="","",BK848+(BL848+BU849)/(1+$AK848)*MIN((1-T848-U848),1)))</f>
        <v>81625.901584210558</v>
      </c>
      <c r="BV848" s="164">
        <f t="shared" si="560"/>
        <v>1.8910978605592851E-12</v>
      </c>
      <c r="BW848" s="164">
        <f t="shared" si="561"/>
        <v>38592.399782380409</v>
      </c>
      <c r="BX848" s="164">
        <f t="shared" si="562"/>
        <v>8.9410350447419267E-13</v>
      </c>
    </row>
    <row r="849" spans="1:76" s="150" customFormat="1" x14ac:dyDescent="0.25">
      <c r="A849" s="150">
        <f t="shared" si="573"/>
        <v>845</v>
      </c>
      <c r="B849" s="150">
        <f t="shared" si="574"/>
        <v>71</v>
      </c>
      <c r="C849" s="150">
        <f t="shared" si="575"/>
        <v>5</v>
      </c>
      <c r="D849" s="150">
        <f>IF(E849="","",Input!$C$4+B849-1)</f>
        <v>115</v>
      </c>
      <c r="E849" s="150">
        <f>IF(OR(AND(C848=12,D848=Input!$C$6),E848=""),"",1)</f>
        <v>1</v>
      </c>
      <c r="F849" s="150">
        <f>IF(E849="","",Input!$C$8+B849-1)</f>
        <v>2088</v>
      </c>
      <c r="G849" s="151">
        <f>IF(E849="","",MAX(0,Input!$C$9-B849))</f>
        <v>0</v>
      </c>
      <c r="H849" s="152">
        <f>IF(E849="","",Input!$C$3)</f>
        <v>100000</v>
      </c>
      <c r="I849" s="153">
        <f>IF(E849="","",HLOOKUP($B849,Input!$C$13:$BT$14,2))</f>
        <v>1000</v>
      </c>
      <c r="J849" s="154"/>
      <c r="K849" s="155">
        <f>IF($E849="","",INDEX(Input!$C$16:$CP$16,1,$B849))</f>
        <v>3.3140000000000003E-2</v>
      </c>
      <c r="L849" s="155">
        <f>IF($E849="","",Input!$C$37)</f>
        <v>1.4999999999999999E-2</v>
      </c>
      <c r="M849" s="155">
        <f t="shared" si="538"/>
        <v>4.8140000000000002E-2</v>
      </c>
      <c r="N849" s="155">
        <f t="shared" si="539"/>
        <v>3.9257828404828388E-3</v>
      </c>
      <c r="O849" s="147">
        <f>IF($E849="","",MIN(VLOOKUP(IF($B849&lt;=Input!$C$7,$B849,26),'Mortality Tables'!$A$41:$CW$67,IF($B849&lt;=Input!$C$7+1,Input!$C$4+2,$D849-Input!$C$7+2),0)*IF(B849&gt;20,Input!$C$22,1)/1000,1))</f>
        <v>1</v>
      </c>
      <c r="P849" s="147">
        <f>IF($E849="","",MIN(VLOOKUP(IF($B849&lt;=Input!$C$7,$B849,26),'Mortality Tables'!$A$12:$CW$37,IF($B849&lt;=Input!$C$7+1,Input!$C$4+2,$D849-Input!$C$7+2),0)*IF(B849&gt;20,Input!$C$22,1)/1000,1))</f>
        <v>1</v>
      </c>
      <c r="Q849" s="155">
        <f>IF($E849="","",Input!$C$21)</f>
        <v>5.0000000000000001E-3</v>
      </c>
      <c r="R849" s="159">
        <f>IF($E849="","",(1-Q849)^($F849-Input!$C$20))</f>
        <v>0.70406969605363046</v>
      </c>
      <c r="S849" s="147">
        <f t="shared" si="541"/>
        <v>0.70406969605363046</v>
      </c>
      <c r="T849" s="147">
        <f t="shared" si="542"/>
        <v>9.6491061677377865E-2</v>
      </c>
      <c r="U849" s="160">
        <f>IF($E849="","",IF($C849=12,INDEX(Input!$C$15:$CP$15,1,$B849),0))</f>
        <v>0</v>
      </c>
      <c r="V849" s="150">
        <f>IF(E849="","",IF(C849=1,IF($B849=1,Input!$C$33,Input!$C$34),0))</f>
        <v>0</v>
      </c>
      <c r="W849" s="156">
        <f>IF($E849="","",Input!$C$35)</f>
        <v>0.02</v>
      </c>
      <c r="X849" s="156">
        <f t="shared" si="540"/>
        <v>3.9995582228484383</v>
      </c>
      <c r="Y849" s="154"/>
      <c r="Z849" s="147">
        <f>IF($E849="","",VLOOKUP($D849,'Mortality Margins &amp; Grading'!$AB$5:$AF$125,3,0)*IF(Summary!$D$25="Included Margin",IF(AND($B849&gt;Input!$C$9,Summary!$D$31&lt;&gt;"Included Margin"),0,1),0))</f>
        <v>0.01</v>
      </c>
      <c r="AA849" s="147">
        <f>IF($E849="","",VLOOKUP($D849,'Mortality Margins &amp; Grading'!$AB$5:$AF$125,5,0)*IF(Summary!$D$25="Included Margin",IF(AND($B849&gt;Input!$C$9,Summary!$D$31&lt;&gt;"Included Margin"),0,1),0))</f>
        <v>5.2999999999999999E-2</v>
      </c>
      <c r="AB849" s="147">
        <f>IF($E849="","",IF(AND($B849&gt;Input!$C$9,Summary!$D$31&lt;&gt;"Included Margin"),1,IF(Summary!$D$25="Included Margin",VLOOKUP($B849,'Mortality Margins &amp; Grading'!$AI$5:$AR$125,MATCH('Mortality Margins &amp; Grading'!$AQ$4,'Mortality Margins &amp; Grading'!$AI$4:$AR$4,0),0),1)))</f>
        <v>0</v>
      </c>
      <c r="AC849" s="154"/>
      <c r="AD849" s="158">
        <f>IF(E849="","",Input!$C$48*IF(Summary!$D$30="Included Margin",IF(AND($B849&gt;Input!$C$9,Summary!$D$31&lt;&gt;"Included Margin"),0,1),0))</f>
        <v>-4.4999999999999997E-3</v>
      </c>
      <c r="AE849" s="159">
        <f>IF(E849="","",IF(Summary!$D$26="Included Margin",IF(AND($B849&gt;Input!$C$9,Summary!$D$31&lt;&gt;"Included Margin"),1,1/$R849),1))</f>
        <v>1.420313934266854</v>
      </c>
      <c r="AF849" s="160">
        <f>IF(E849="","",IF(AND($B849&gt;=Input!$C$9,$C849=12,Summary!$D$31="Included Margin",$U849&gt;0),1/U849-1,IF($B849&gt;=Input!$C$9,0,Input!$C$45*IF(Summary!$D$27="Included Margin",1,0))))</f>
        <v>0</v>
      </c>
      <c r="AG849" s="160">
        <f>IF(E849="","",Input!$C$46*IF(Summary!$D$28="Included Margin",IF(AND($B849&gt;Input!$C$9,Summary!$D$31&lt;&gt;"Included Margin"),0,1),0))</f>
        <v>0.02</v>
      </c>
      <c r="AH849" s="158">
        <f>IF(E849="","",Input!$C$47*IF(Summary!$D$29="Included Margin",IF(AND($B849&gt;Input!$C$9,Summary!$D$31&lt;&gt;"Included Margin"),0,1),0))</f>
        <v>2.5000000000000001E-3</v>
      </c>
      <c r="AI849" s="154"/>
      <c r="AJ849" s="158">
        <f t="shared" si="563"/>
        <v>4.3640000000000005E-2</v>
      </c>
      <c r="AK849" s="155">
        <f t="shared" si="564"/>
        <v>3.565892922956726E-3</v>
      </c>
      <c r="AL849" s="147">
        <f t="shared" si="565"/>
        <v>1</v>
      </c>
      <c r="AM849" s="147">
        <f t="shared" si="543"/>
        <v>1</v>
      </c>
      <c r="AN849" s="160">
        <f t="shared" si="566"/>
        <v>0</v>
      </c>
      <c r="AO849" s="161">
        <f t="shared" si="567"/>
        <v>0</v>
      </c>
      <c r="AP849" s="156">
        <f t="shared" si="544"/>
        <v>4.7471413956221316</v>
      </c>
      <c r="AQ849" s="152"/>
      <c r="AR849" s="162">
        <f t="shared" si="545"/>
        <v>99822.022677888832</v>
      </c>
      <c r="AS849" s="150">
        <f t="shared" si="568"/>
        <v>0</v>
      </c>
      <c r="AT849" s="163">
        <f t="shared" si="546"/>
        <v>0</v>
      </c>
      <c r="AU849" s="163">
        <f t="shared" si="547"/>
        <v>100000</v>
      </c>
      <c r="AV849" s="163">
        <f t="shared" si="569"/>
        <v>177.65999807447329</v>
      </c>
      <c r="AW849" s="163">
        <f t="shared" si="548"/>
        <v>99822.34000192552</v>
      </c>
      <c r="AX849" s="163">
        <f t="shared" si="549"/>
        <v>0</v>
      </c>
      <c r="AY849" s="164">
        <f t="shared" si="570"/>
        <v>99822.022677888832</v>
      </c>
      <c r="AZ849" s="164">
        <f>IF($E849="","",IF(OR(AND($D849=Input!$C$6,$C849=12),$AN849=1),0,-AS850+AT850+AU850-AV850-AW850-AX850+AZ850))</f>
        <v>99822.34000192552</v>
      </c>
      <c r="BA849" s="154">
        <f t="shared" si="550"/>
        <v>0.31732403668866027</v>
      </c>
      <c r="BC849" s="147">
        <f t="shared" si="571"/>
        <v>2.0932373022494277E-17</v>
      </c>
      <c r="BD849" s="164">
        <f>IF(AND($C848=12,$D848=Input!$C$6),0,IF($E849="","",AT849+(AU849+BD850)/(1+$AK849)*MIN((1-AM849-AN849),1)))</f>
        <v>0</v>
      </c>
      <c r="BE849" s="164">
        <f t="shared" si="551"/>
        <v>0</v>
      </c>
      <c r="BF849" s="164">
        <f t="shared" si="572"/>
        <v>99822.34000192552</v>
      </c>
      <c r="BG849" s="164">
        <f t="shared" si="552"/>
        <v>2.0895184568985571E-12</v>
      </c>
      <c r="BH849" s="152"/>
      <c r="BI849" s="162">
        <f t="shared" si="553"/>
        <v>38592.362677759316</v>
      </c>
      <c r="BJ849" s="150">
        <f t="shared" si="554"/>
        <v>0</v>
      </c>
      <c r="BK849" s="163">
        <f t="shared" si="576"/>
        <v>0</v>
      </c>
      <c r="BL849" s="163">
        <f t="shared" si="555"/>
        <v>9649.1061677377857</v>
      </c>
      <c r="BM849" s="163">
        <f t="shared" si="577"/>
        <v>132.56508746438681</v>
      </c>
      <c r="BN849" s="163">
        <f t="shared" si="556"/>
        <v>3105.182866874894</v>
      </c>
      <c r="BO849" s="163">
        <f t="shared" si="557"/>
        <v>0</v>
      </c>
      <c r="BP849" s="164">
        <f t="shared" si="578"/>
        <v>32181.004464360809</v>
      </c>
      <c r="BQ849" s="164">
        <f>IF($E849="","",IF(AND($D849=Input!$C$6,$C849=12),0,-BJ850+BK850+BL850-BM850-BN850-BO850+BQ850))</f>
        <v>32181.041568981906</v>
      </c>
      <c r="BR849" s="161">
        <f t="shared" si="558"/>
        <v>0</v>
      </c>
      <c r="BT849" s="147">
        <f t="shared" si="559"/>
        <v>2.0932373022494277E-17</v>
      </c>
      <c r="BU849" s="164">
        <f>IF(AND($C848=12,$D848=Input!$C$6),0,IF($E849="","",BK849+(BL849+BU850)/(1+$AK849)*MIN((1-T849-U849),1)))</f>
        <v>81016.262302307165</v>
      </c>
      <c r="BV849" s="164">
        <f t="shared" si="560"/>
        <v>1.6958626234001347E-12</v>
      </c>
      <c r="BW849" s="164">
        <f t="shared" si="561"/>
        <v>32181.041568981906</v>
      </c>
      <c r="BX849" s="164">
        <f t="shared" si="562"/>
        <v>6.7362556637432375E-13</v>
      </c>
    </row>
    <row r="850" spans="1:76" s="150" customFormat="1" x14ac:dyDescent="0.25">
      <c r="A850" s="150">
        <f t="shared" si="573"/>
        <v>846</v>
      </c>
      <c r="B850" s="150">
        <f t="shared" si="574"/>
        <v>71</v>
      </c>
      <c r="C850" s="150">
        <f t="shared" si="575"/>
        <v>6</v>
      </c>
      <c r="D850" s="150">
        <f>IF(E850="","",Input!$C$4+B850-1)</f>
        <v>115</v>
      </c>
      <c r="E850" s="150">
        <f>IF(OR(AND(C849=12,D849=Input!$C$6),E849=""),"",1)</f>
        <v>1</v>
      </c>
      <c r="F850" s="150">
        <f>IF(E850="","",Input!$C$8+B850-1)</f>
        <v>2088</v>
      </c>
      <c r="G850" s="151">
        <f>IF(E850="","",MAX(0,Input!$C$9-B850))</f>
        <v>0</v>
      </c>
      <c r="H850" s="152">
        <f>IF(E850="","",Input!$C$3)</f>
        <v>100000</v>
      </c>
      <c r="I850" s="153">
        <f>IF(E850="","",HLOOKUP($B850,Input!$C$13:$BT$14,2))</f>
        <v>1000</v>
      </c>
      <c r="J850" s="154"/>
      <c r="K850" s="155">
        <f>IF($E850="","",INDEX(Input!$C$16:$CP$16,1,$B850))</f>
        <v>3.3140000000000003E-2</v>
      </c>
      <c r="L850" s="155">
        <f>IF($E850="","",Input!$C$37)</f>
        <v>1.4999999999999999E-2</v>
      </c>
      <c r="M850" s="155">
        <f t="shared" si="538"/>
        <v>4.8140000000000002E-2</v>
      </c>
      <c r="N850" s="155">
        <f t="shared" si="539"/>
        <v>3.9257828404828388E-3</v>
      </c>
      <c r="O850" s="147">
        <f>IF($E850="","",MIN(VLOOKUP(IF($B850&lt;=Input!$C$7,$B850,26),'Mortality Tables'!$A$41:$CW$67,IF($B850&lt;=Input!$C$7+1,Input!$C$4+2,$D850-Input!$C$7+2),0)*IF(B850&gt;20,Input!$C$22,1)/1000,1))</f>
        <v>1</v>
      </c>
      <c r="P850" s="147">
        <f>IF($E850="","",MIN(VLOOKUP(IF($B850&lt;=Input!$C$7,$B850,26),'Mortality Tables'!$A$12:$CW$37,IF($B850&lt;=Input!$C$7+1,Input!$C$4+2,$D850-Input!$C$7+2),0)*IF(B850&gt;20,Input!$C$22,1)/1000,1))</f>
        <v>1</v>
      </c>
      <c r="Q850" s="155">
        <f>IF($E850="","",Input!$C$21)</f>
        <v>5.0000000000000001E-3</v>
      </c>
      <c r="R850" s="159">
        <f>IF($E850="","",(1-Q850)^($F850-Input!$C$20))</f>
        <v>0.70406969605363046</v>
      </c>
      <c r="S850" s="147">
        <f t="shared" si="541"/>
        <v>0.70406969605363046</v>
      </c>
      <c r="T850" s="147">
        <f t="shared" si="542"/>
        <v>9.6491061677377865E-2</v>
      </c>
      <c r="U850" s="160">
        <f>IF($E850="","",IF($C850=12,INDEX(Input!$C$15:$CP$15,1,$B850),0))</f>
        <v>0</v>
      </c>
      <c r="V850" s="150">
        <f>IF(E850="","",IF(C850=1,IF($B850=1,Input!$C$33,Input!$C$34),0))</f>
        <v>0</v>
      </c>
      <c r="W850" s="156">
        <f>IF($E850="","",Input!$C$35)</f>
        <v>0.02</v>
      </c>
      <c r="X850" s="156">
        <f t="shared" si="540"/>
        <v>3.9995582228484383</v>
      </c>
      <c r="Y850" s="154"/>
      <c r="Z850" s="147">
        <f>IF($E850="","",VLOOKUP($D850,'Mortality Margins &amp; Grading'!$AB$5:$AF$125,3,0)*IF(Summary!$D$25="Included Margin",IF(AND($B850&gt;Input!$C$9,Summary!$D$31&lt;&gt;"Included Margin"),0,1),0))</f>
        <v>0.01</v>
      </c>
      <c r="AA850" s="147">
        <f>IF($E850="","",VLOOKUP($D850,'Mortality Margins &amp; Grading'!$AB$5:$AF$125,5,0)*IF(Summary!$D$25="Included Margin",IF(AND($B850&gt;Input!$C$9,Summary!$D$31&lt;&gt;"Included Margin"),0,1),0))</f>
        <v>5.2999999999999999E-2</v>
      </c>
      <c r="AB850" s="147">
        <f>IF($E850="","",IF(AND($B850&gt;Input!$C$9,Summary!$D$31&lt;&gt;"Included Margin"),1,IF(Summary!$D$25="Included Margin",VLOOKUP($B850,'Mortality Margins &amp; Grading'!$AI$5:$AR$125,MATCH('Mortality Margins &amp; Grading'!$AQ$4,'Mortality Margins &amp; Grading'!$AI$4:$AR$4,0),0),1)))</f>
        <v>0</v>
      </c>
      <c r="AC850" s="154"/>
      <c r="AD850" s="158">
        <f>IF(E850="","",Input!$C$48*IF(Summary!$D$30="Included Margin",IF(AND($B850&gt;Input!$C$9,Summary!$D$31&lt;&gt;"Included Margin"),0,1),0))</f>
        <v>-4.4999999999999997E-3</v>
      </c>
      <c r="AE850" s="159">
        <f>IF(E850="","",IF(Summary!$D$26="Included Margin",IF(AND($B850&gt;Input!$C$9,Summary!$D$31&lt;&gt;"Included Margin"),1,1/$R850),1))</f>
        <v>1.420313934266854</v>
      </c>
      <c r="AF850" s="160">
        <f>IF(E850="","",IF(AND($B850&gt;=Input!$C$9,$C850=12,Summary!$D$31="Included Margin",$U850&gt;0),1/U850-1,IF($B850&gt;=Input!$C$9,0,Input!$C$45*IF(Summary!$D$27="Included Margin",1,0))))</f>
        <v>0</v>
      </c>
      <c r="AG850" s="160">
        <f>IF(E850="","",Input!$C$46*IF(Summary!$D$28="Included Margin",IF(AND($B850&gt;Input!$C$9,Summary!$D$31&lt;&gt;"Included Margin"),0,1),0))</f>
        <v>0.02</v>
      </c>
      <c r="AH850" s="158">
        <f>IF(E850="","",Input!$C$47*IF(Summary!$D$29="Included Margin",IF(AND($B850&gt;Input!$C$9,Summary!$D$31&lt;&gt;"Included Margin"),0,1),0))</f>
        <v>2.5000000000000001E-3</v>
      </c>
      <c r="AI850" s="154"/>
      <c r="AJ850" s="158">
        <f t="shared" si="563"/>
        <v>4.3640000000000005E-2</v>
      </c>
      <c r="AK850" s="155">
        <f t="shared" si="564"/>
        <v>3.565892922956726E-3</v>
      </c>
      <c r="AL850" s="147">
        <f t="shared" si="565"/>
        <v>1</v>
      </c>
      <c r="AM850" s="147">
        <f t="shared" si="543"/>
        <v>1</v>
      </c>
      <c r="AN850" s="160">
        <f t="shared" si="566"/>
        <v>0</v>
      </c>
      <c r="AO850" s="161">
        <f t="shared" si="567"/>
        <v>0</v>
      </c>
      <c r="AP850" s="156">
        <f t="shared" si="544"/>
        <v>4.7471413956221316</v>
      </c>
      <c r="AQ850" s="152"/>
      <c r="AR850" s="162">
        <f t="shared" si="545"/>
        <v>99822.022677888832</v>
      </c>
      <c r="AS850" s="150">
        <f t="shared" si="568"/>
        <v>0</v>
      </c>
      <c r="AT850" s="163">
        <f t="shared" si="546"/>
        <v>0</v>
      </c>
      <c r="AU850" s="163">
        <f t="shared" si="547"/>
        <v>100000</v>
      </c>
      <c r="AV850" s="163">
        <f t="shared" si="569"/>
        <v>177.65999807447329</v>
      </c>
      <c r="AW850" s="163">
        <f t="shared" si="548"/>
        <v>99822.34000192552</v>
      </c>
      <c r="AX850" s="163">
        <f t="shared" si="549"/>
        <v>0</v>
      </c>
      <c r="AY850" s="165">
        <f t="shared" si="570"/>
        <v>99822.022677888832</v>
      </c>
      <c r="AZ850" s="164">
        <f>IF($E850="","",IF(OR(AND($D850=Input!$C$6,$C850=12),$AN850=1),0,-AS851+AT851+AU851-AV851-AW851-AX851+AZ851))</f>
        <v>99822.34000192552</v>
      </c>
      <c r="BA850" s="154">
        <f t="shared" si="550"/>
        <v>0.31732403668866027</v>
      </c>
      <c r="BC850" s="147">
        <f t="shared" si="571"/>
        <v>1.8912586126126902E-17</v>
      </c>
      <c r="BD850" s="164">
        <f>IF(AND($C849=12,$D849=Input!$C$6),0,IF($E850="","",AT850+(AU850+BD851)/(1+$AK850)*MIN((1-AM850-AN850),1)))</f>
        <v>0</v>
      </c>
      <c r="BE850" s="164">
        <f t="shared" si="551"/>
        <v>0</v>
      </c>
      <c r="BF850" s="164">
        <f t="shared" si="572"/>
        <v>99822.34000192552</v>
      </c>
      <c r="BG850" s="164">
        <f t="shared" si="552"/>
        <v>1.8878986025979389E-12</v>
      </c>
      <c r="BH850" s="152"/>
      <c r="BI850" s="162">
        <f t="shared" si="553"/>
        <v>32181.004464360809</v>
      </c>
      <c r="BJ850" s="150">
        <f t="shared" si="554"/>
        <v>0</v>
      </c>
      <c r="BK850" s="163">
        <f t="shared" si="576"/>
        <v>0</v>
      </c>
      <c r="BL850" s="163">
        <f t="shared" si="555"/>
        <v>9649.1061677377857</v>
      </c>
      <c r="BM850" s="163">
        <f t="shared" si="577"/>
        <v>107.39548740603823</v>
      </c>
      <c r="BN850" s="163">
        <f t="shared" si="556"/>
        <v>2417.788004584495</v>
      </c>
      <c r="BO850" s="163">
        <f t="shared" si="557"/>
        <v>0</v>
      </c>
      <c r="BP850" s="164">
        <f t="shared" si="578"/>
        <v>25057.081788613556</v>
      </c>
      <c r="BQ850" s="164">
        <f>IF($E850="","",IF(AND($D850=Input!$C$6,$C850=12),0,-BJ851+BK851+BL851-BM851-BN851-BO851+BQ851))</f>
        <v>25057.118893234652</v>
      </c>
      <c r="BR850" s="161">
        <f t="shared" si="558"/>
        <v>0</v>
      </c>
      <c r="BT850" s="147">
        <f t="shared" si="559"/>
        <v>1.8912586126126902E-17</v>
      </c>
      <c r="BU850" s="164">
        <f>IF(AND($C849=12,$D849=Input!$C$6),0,IF($E850="","",BK850+(BL850+BU851)/(1+$AK850)*MIN((1-T850-U850),1)))</f>
        <v>80339.109963958283</v>
      </c>
      <c r="BV850" s="164">
        <f t="shared" si="560"/>
        <v>1.519420336489741E-12</v>
      </c>
      <c r="BW850" s="164">
        <f t="shared" si="561"/>
        <v>25057.118893234652</v>
      </c>
      <c r="BX850" s="164">
        <f t="shared" si="562"/>
        <v>4.7389491914090193E-13</v>
      </c>
    </row>
    <row r="851" spans="1:76" s="150" customFormat="1" x14ac:dyDescent="0.25">
      <c r="A851" s="150">
        <f t="shared" si="573"/>
        <v>847</v>
      </c>
      <c r="B851" s="150">
        <f t="shared" si="574"/>
        <v>71</v>
      </c>
      <c r="C851" s="150">
        <f t="shared" si="575"/>
        <v>7</v>
      </c>
      <c r="D851" s="150">
        <f>IF(E851="","",Input!$C$4+B851-1)</f>
        <v>115</v>
      </c>
      <c r="E851" s="150">
        <f>IF(OR(AND(C850=12,D850=Input!$C$6),E850=""),"",1)</f>
        <v>1</v>
      </c>
      <c r="F851" s="150">
        <f>IF(E851="","",Input!$C$8+B851-1)</f>
        <v>2088</v>
      </c>
      <c r="G851" s="151">
        <f>IF(E851="","",MAX(0,Input!$C$9-B851))</f>
        <v>0</v>
      </c>
      <c r="H851" s="152">
        <f>IF(E851="","",Input!$C$3)</f>
        <v>100000</v>
      </c>
      <c r="I851" s="153">
        <f>IF(E851="","",HLOOKUP($B851,Input!$C$13:$BT$14,2))</f>
        <v>1000</v>
      </c>
      <c r="J851" s="154"/>
      <c r="K851" s="155">
        <f>IF($E851="","",INDEX(Input!$C$16:$CP$16,1,$B851))</f>
        <v>3.3140000000000003E-2</v>
      </c>
      <c r="L851" s="155">
        <f>IF($E851="","",Input!$C$37)</f>
        <v>1.4999999999999999E-2</v>
      </c>
      <c r="M851" s="155">
        <f t="shared" si="538"/>
        <v>4.8140000000000002E-2</v>
      </c>
      <c r="N851" s="155">
        <f t="shared" si="539"/>
        <v>3.9257828404828388E-3</v>
      </c>
      <c r="O851" s="147">
        <f>IF($E851="","",MIN(VLOOKUP(IF($B851&lt;=Input!$C$7,$B851,26),'Mortality Tables'!$A$41:$CW$67,IF($B851&lt;=Input!$C$7+1,Input!$C$4+2,$D851-Input!$C$7+2),0)*IF(B851&gt;20,Input!$C$22,1)/1000,1))</f>
        <v>1</v>
      </c>
      <c r="P851" s="147">
        <f>IF($E851="","",MIN(VLOOKUP(IF($B851&lt;=Input!$C$7,$B851,26),'Mortality Tables'!$A$12:$CW$37,IF($B851&lt;=Input!$C$7+1,Input!$C$4+2,$D851-Input!$C$7+2),0)*IF(B851&gt;20,Input!$C$22,1)/1000,1))</f>
        <v>1</v>
      </c>
      <c r="Q851" s="155">
        <f>IF($E851="","",Input!$C$21)</f>
        <v>5.0000000000000001E-3</v>
      </c>
      <c r="R851" s="159">
        <f>IF($E851="","",(1-Q851)^($F851-Input!$C$20))</f>
        <v>0.70406969605363046</v>
      </c>
      <c r="S851" s="147">
        <f t="shared" si="541"/>
        <v>0.70406969605363046</v>
      </c>
      <c r="T851" s="147">
        <f t="shared" si="542"/>
        <v>9.6491061677377865E-2</v>
      </c>
      <c r="U851" s="160">
        <f>IF($E851="","",IF($C851=12,INDEX(Input!$C$15:$CP$15,1,$B851),0))</f>
        <v>0</v>
      </c>
      <c r="V851" s="150">
        <f>IF(E851="","",IF(C851=1,IF($B851=1,Input!$C$33,Input!$C$34),0))</f>
        <v>0</v>
      </c>
      <c r="W851" s="156">
        <f>IF($E851="","",Input!$C$35)</f>
        <v>0.02</v>
      </c>
      <c r="X851" s="156">
        <f t="shared" si="540"/>
        <v>3.9995582228484383</v>
      </c>
      <c r="Y851" s="154"/>
      <c r="Z851" s="147">
        <f>IF($E851="","",VLOOKUP($D851,'Mortality Margins &amp; Grading'!$AB$5:$AF$125,3,0)*IF(Summary!$D$25="Included Margin",IF(AND($B851&gt;Input!$C$9,Summary!$D$31&lt;&gt;"Included Margin"),0,1),0))</f>
        <v>0.01</v>
      </c>
      <c r="AA851" s="147">
        <f>IF($E851="","",VLOOKUP($D851,'Mortality Margins &amp; Grading'!$AB$5:$AF$125,5,0)*IF(Summary!$D$25="Included Margin",IF(AND($B851&gt;Input!$C$9,Summary!$D$31&lt;&gt;"Included Margin"),0,1),0))</f>
        <v>5.2999999999999999E-2</v>
      </c>
      <c r="AB851" s="147">
        <f>IF($E851="","",IF(AND($B851&gt;Input!$C$9,Summary!$D$31&lt;&gt;"Included Margin"),1,IF(Summary!$D$25="Included Margin",VLOOKUP($B851,'Mortality Margins &amp; Grading'!$AI$5:$AR$125,MATCH('Mortality Margins &amp; Grading'!$AQ$4,'Mortality Margins &amp; Grading'!$AI$4:$AR$4,0),0),1)))</f>
        <v>0</v>
      </c>
      <c r="AC851" s="154"/>
      <c r="AD851" s="158">
        <f>IF(E851="","",Input!$C$48*IF(Summary!$D$30="Included Margin",IF(AND($B851&gt;Input!$C$9,Summary!$D$31&lt;&gt;"Included Margin"),0,1),0))</f>
        <v>-4.4999999999999997E-3</v>
      </c>
      <c r="AE851" s="159">
        <f>IF(E851="","",IF(Summary!$D$26="Included Margin",IF(AND($B851&gt;Input!$C$9,Summary!$D$31&lt;&gt;"Included Margin"),1,1/$R851),1))</f>
        <v>1.420313934266854</v>
      </c>
      <c r="AF851" s="160">
        <f>IF(E851="","",IF(AND($B851&gt;=Input!$C$9,$C851=12,Summary!$D$31="Included Margin",$U851&gt;0),1/U851-1,IF($B851&gt;=Input!$C$9,0,Input!$C$45*IF(Summary!$D$27="Included Margin",1,0))))</f>
        <v>0</v>
      </c>
      <c r="AG851" s="160">
        <f>IF(E851="","",Input!$C$46*IF(Summary!$D$28="Included Margin",IF(AND($B851&gt;Input!$C$9,Summary!$D$31&lt;&gt;"Included Margin"),0,1),0))</f>
        <v>0.02</v>
      </c>
      <c r="AH851" s="158">
        <f>IF(E851="","",Input!$C$47*IF(Summary!$D$29="Included Margin",IF(AND($B851&gt;Input!$C$9,Summary!$D$31&lt;&gt;"Included Margin"),0,1),0))</f>
        <v>2.5000000000000001E-3</v>
      </c>
      <c r="AI851" s="154"/>
      <c r="AJ851" s="158">
        <f t="shared" si="563"/>
        <v>4.3640000000000005E-2</v>
      </c>
      <c r="AK851" s="155">
        <f t="shared" si="564"/>
        <v>3.565892922956726E-3</v>
      </c>
      <c r="AL851" s="147">
        <f t="shared" si="565"/>
        <v>1</v>
      </c>
      <c r="AM851" s="147">
        <f t="shared" si="543"/>
        <v>1</v>
      </c>
      <c r="AN851" s="160">
        <f t="shared" si="566"/>
        <v>0</v>
      </c>
      <c r="AO851" s="161">
        <f t="shared" si="567"/>
        <v>0</v>
      </c>
      <c r="AP851" s="156">
        <f t="shared" si="544"/>
        <v>4.7471413956221316</v>
      </c>
      <c r="AQ851" s="152"/>
      <c r="AR851" s="162">
        <f t="shared" si="545"/>
        <v>99822.022677888832</v>
      </c>
      <c r="AS851" s="150">
        <f t="shared" si="568"/>
        <v>0</v>
      </c>
      <c r="AT851" s="163">
        <f t="shared" si="546"/>
        <v>0</v>
      </c>
      <c r="AU851" s="163">
        <f t="shared" si="547"/>
        <v>100000</v>
      </c>
      <c r="AV851" s="163">
        <f t="shared" si="569"/>
        <v>177.65999807447329</v>
      </c>
      <c r="AW851" s="163">
        <f t="shared" si="548"/>
        <v>99822.34000192552</v>
      </c>
      <c r="AX851" s="163">
        <f t="shared" si="549"/>
        <v>0</v>
      </c>
      <c r="AY851" s="164">
        <f t="shared" si="570"/>
        <v>99822.022677888832</v>
      </c>
      <c r="AZ851" s="164">
        <f>IF($E851="","",IF(OR(AND($D851=Input!$C$6,$C851=12),$AN851=1),0,-AS852+AT852+AU852-AV852-AW852-AX852+AZ852))</f>
        <v>99822.34000192552</v>
      </c>
      <c r="BA851" s="154">
        <f t="shared" si="550"/>
        <v>0.31732403668866027</v>
      </c>
      <c r="BC851" s="147">
        <f t="shared" si="571"/>
        <v>1.7087690611752071E-17</v>
      </c>
      <c r="BD851" s="164">
        <f>IF(AND($C850=12,$D850=Input!$C$6),0,IF($E851="","",AT851+(AU851+BD852)/(1+$AK851)*MIN((1-AM851-AN851),1)))</f>
        <v>0</v>
      </c>
      <c r="BE851" s="164">
        <f t="shared" si="551"/>
        <v>0</v>
      </c>
      <c r="BF851" s="164">
        <f t="shared" si="572"/>
        <v>99822.34000192552</v>
      </c>
      <c r="BG851" s="164">
        <f t="shared" si="552"/>
        <v>1.7057332620940259E-12</v>
      </c>
      <c r="BH851" s="152"/>
      <c r="BI851" s="162">
        <f t="shared" si="553"/>
        <v>25057.081788613556</v>
      </c>
      <c r="BJ851" s="150">
        <f t="shared" si="554"/>
        <v>0</v>
      </c>
      <c r="BK851" s="163">
        <f t="shared" si="576"/>
        <v>0</v>
      </c>
      <c r="BL851" s="163">
        <f t="shared" si="555"/>
        <v>9649.1061677377857</v>
      </c>
      <c r="BM851" s="163">
        <f t="shared" si="577"/>
        <v>79.428514008663072</v>
      </c>
      <c r="BN851" s="163">
        <f t="shared" si="556"/>
        <v>1653.9954221595956</v>
      </c>
      <c r="BO851" s="163">
        <f t="shared" si="557"/>
        <v>0</v>
      </c>
      <c r="BP851" s="164">
        <f t="shared" si="578"/>
        <v>17141.399557044027</v>
      </c>
      <c r="BQ851" s="164">
        <f>IF($E851="","",IF(AND($D851=Input!$C$6,$C851=12),0,-BJ852+BK852+BL852-BM852-BN852-BO852+BQ852))</f>
        <v>17141.436661665124</v>
      </c>
      <c r="BR851" s="161">
        <f t="shared" si="558"/>
        <v>0</v>
      </c>
      <c r="BT851" s="147">
        <f t="shared" si="559"/>
        <v>1.7087690611752071E-17</v>
      </c>
      <c r="BU851" s="164">
        <f>IF(AND($C850=12,$D850=Input!$C$6),0,IF($E851="","",BK851+(BL851+BU852)/(1+$AK851)*MIN((1-T851-U851),1)))</f>
        <v>79586.96799584273</v>
      </c>
      <c r="BV851" s="164">
        <f t="shared" si="560"/>
        <v>1.3599574858403743E-12</v>
      </c>
      <c r="BW851" s="164">
        <f t="shared" si="561"/>
        <v>17141.436661665124</v>
      </c>
      <c r="BX851" s="164">
        <f t="shared" si="562"/>
        <v>2.9290756631547788E-13</v>
      </c>
    </row>
    <row r="852" spans="1:76" s="150" customFormat="1" x14ac:dyDescent="0.25">
      <c r="A852" s="150">
        <f t="shared" si="573"/>
        <v>848</v>
      </c>
      <c r="B852" s="150">
        <f t="shared" si="574"/>
        <v>71</v>
      </c>
      <c r="C852" s="150">
        <f t="shared" si="575"/>
        <v>8</v>
      </c>
      <c r="D852" s="150">
        <f>IF(E852="","",Input!$C$4+B852-1)</f>
        <v>115</v>
      </c>
      <c r="E852" s="150">
        <f>IF(OR(AND(C851=12,D851=Input!$C$6),E851=""),"",1)</f>
        <v>1</v>
      </c>
      <c r="F852" s="150">
        <f>IF(E852="","",Input!$C$8+B852-1)</f>
        <v>2088</v>
      </c>
      <c r="G852" s="151">
        <f>IF(E852="","",MAX(0,Input!$C$9-B852))</f>
        <v>0</v>
      </c>
      <c r="H852" s="152">
        <f>IF(E852="","",Input!$C$3)</f>
        <v>100000</v>
      </c>
      <c r="I852" s="153">
        <f>IF(E852="","",HLOOKUP($B852,Input!$C$13:$BT$14,2))</f>
        <v>1000</v>
      </c>
      <c r="J852" s="154"/>
      <c r="K852" s="155">
        <f>IF($E852="","",INDEX(Input!$C$16:$CP$16,1,$B852))</f>
        <v>3.3140000000000003E-2</v>
      </c>
      <c r="L852" s="155">
        <f>IF($E852="","",Input!$C$37)</f>
        <v>1.4999999999999999E-2</v>
      </c>
      <c r="M852" s="155">
        <f t="shared" si="538"/>
        <v>4.8140000000000002E-2</v>
      </c>
      <c r="N852" s="155">
        <f t="shared" si="539"/>
        <v>3.9257828404828388E-3</v>
      </c>
      <c r="O852" s="147">
        <f>IF($E852="","",MIN(VLOOKUP(IF($B852&lt;=Input!$C$7,$B852,26),'Mortality Tables'!$A$41:$CW$67,IF($B852&lt;=Input!$C$7+1,Input!$C$4+2,$D852-Input!$C$7+2),0)*IF(B852&gt;20,Input!$C$22,1)/1000,1))</f>
        <v>1</v>
      </c>
      <c r="P852" s="147">
        <f>IF($E852="","",MIN(VLOOKUP(IF($B852&lt;=Input!$C$7,$B852,26),'Mortality Tables'!$A$12:$CW$37,IF($B852&lt;=Input!$C$7+1,Input!$C$4+2,$D852-Input!$C$7+2),0)*IF(B852&gt;20,Input!$C$22,1)/1000,1))</f>
        <v>1</v>
      </c>
      <c r="Q852" s="155">
        <f>IF($E852="","",Input!$C$21)</f>
        <v>5.0000000000000001E-3</v>
      </c>
      <c r="R852" s="159">
        <f>IF($E852="","",(1-Q852)^($F852-Input!$C$20))</f>
        <v>0.70406969605363046</v>
      </c>
      <c r="S852" s="147">
        <f t="shared" si="541"/>
        <v>0.70406969605363046</v>
      </c>
      <c r="T852" s="147">
        <f t="shared" si="542"/>
        <v>9.6491061677377865E-2</v>
      </c>
      <c r="U852" s="160">
        <f>IF($E852="","",IF($C852=12,INDEX(Input!$C$15:$CP$15,1,$B852),0))</f>
        <v>0</v>
      </c>
      <c r="V852" s="150">
        <f>IF(E852="","",IF(C852=1,IF($B852=1,Input!$C$33,Input!$C$34),0))</f>
        <v>0</v>
      </c>
      <c r="W852" s="156">
        <f>IF($E852="","",Input!$C$35)</f>
        <v>0.02</v>
      </c>
      <c r="X852" s="156">
        <f t="shared" si="540"/>
        <v>3.9995582228484383</v>
      </c>
      <c r="Y852" s="154"/>
      <c r="Z852" s="147">
        <f>IF($E852="","",VLOOKUP($D852,'Mortality Margins &amp; Grading'!$AB$5:$AF$125,3,0)*IF(Summary!$D$25="Included Margin",IF(AND($B852&gt;Input!$C$9,Summary!$D$31&lt;&gt;"Included Margin"),0,1),0))</f>
        <v>0.01</v>
      </c>
      <c r="AA852" s="147">
        <f>IF($E852="","",VLOOKUP($D852,'Mortality Margins &amp; Grading'!$AB$5:$AF$125,5,0)*IF(Summary!$D$25="Included Margin",IF(AND($B852&gt;Input!$C$9,Summary!$D$31&lt;&gt;"Included Margin"),0,1),0))</f>
        <v>5.2999999999999999E-2</v>
      </c>
      <c r="AB852" s="147">
        <f>IF($E852="","",IF(AND($B852&gt;Input!$C$9,Summary!$D$31&lt;&gt;"Included Margin"),1,IF(Summary!$D$25="Included Margin",VLOOKUP($B852,'Mortality Margins &amp; Grading'!$AI$5:$AR$125,MATCH('Mortality Margins &amp; Grading'!$AQ$4,'Mortality Margins &amp; Grading'!$AI$4:$AR$4,0),0),1)))</f>
        <v>0</v>
      </c>
      <c r="AC852" s="154"/>
      <c r="AD852" s="158">
        <f>IF(E852="","",Input!$C$48*IF(Summary!$D$30="Included Margin",IF(AND($B852&gt;Input!$C$9,Summary!$D$31&lt;&gt;"Included Margin"),0,1),0))</f>
        <v>-4.4999999999999997E-3</v>
      </c>
      <c r="AE852" s="159">
        <f>IF(E852="","",IF(Summary!$D$26="Included Margin",IF(AND($B852&gt;Input!$C$9,Summary!$D$31&lt;&gt;"Included Margin"),1,1/$R852),1))</f>
        <v>1.420313934266854</v>
      </c>
      <c r="AF852" s="160">
        <f>IF(E852="","",IF(AND($B852&gt;=Input!$C$9,$C852=12,Summary!$D$31="Included Margin",$U852&gt;0),1/U852-1,IF($B852&gt;=Input!$C$9,0,Input!$C$45*IF(Summary!$D$27="Included Margin",1,0))))</f>
        <v>0</v>
      </c>
      <c r="AG852" s="160">
        <f>IF(E852="","",Input!$C$46*IF(Summary!$D$28="Included Margin",IF(AND($B852&gt;Input!$C$9,Summary!$D$31&lt;&gt;"Included Margin"),0,1),0))</f>
        <v>0.02</v>
      </c>
      <c r="AH852" s="158">
        <f>IF(E852="","",Input!$C$47*IF(Summary!$D$29="Included Margin",IF(AND($B852&gt;Input!$C$9,Summary!$D$31&lt;&gt;"Included Margin"),0,1),0))</f>
        <v>2.5000000000000001E-3</v>
      </c>
      <c r="AI852" s="154"/>
      <c r="AJ852" s="158">
        <f t="shared" si="563"/>
        <v>4.3640000000000005E-2</v>
      </c>
      <c r="AK852" s="155">
        <f t="shared" si="564"/>
        <v>3.565892922956726E-3</v>
      </c>
      <c r="AL852" s="147">
        <f t="shared" si="565"/>
        <v>1</v>
      </c>
      <c r="AM852" s="147">
        <f t="shared" si="543"/>
        <v>1</v>
      </c>
      <c r="AN852" s="160">
        <f t="shared" si="566"/>
        <v>0</v>
      </c>
      <c r="AO852" s="161">
        <f t="shared" si="567"/>
        <v>0</v>
      </c>
      <c r="AP852" s="156">
        <f t="shared" si="544"/>
        <v>4.7471413956221316</v>
      </c>
      <c r="AQ852" s="152"/>
      <c r="AR852" s="162">
        <f t="shared" si="545"/>
        <v>99822.022677888832</v>
      </c>
      <c r="AS852" s="150">
        <f t="shared" si="568"/>
        <v>0</v>
      </c>
      <c r="AT852" s="163">
        <f t="shared" si="546"/>
        <v>0</v>
      </c>
      <c r="AU852" s="163">
        <f t="shared" si="547"/>
        <v>100000</v>
      </c>
      <c r="AV852" s="163">
        <f t="shared" si="569"/>
        <v>177.65999807447329</v>
      </c>
      <c r="AW852" s="163">
        <f t="shared" si="548"/>
        <v>99822.34000192552</v>
      </c>
      <c r="AX852" s="163">
        <f t="shared" si="549"/>
        <v>0</v>
      </c>
      <c r="AY852" s="165">
        <f t="shared" si="570"/>
        <v>99822.022677888832</v>
      </c>
      <c r="AZ852" s="164">
        <f>IF($E852="","",IF(OR(AND($D852=Input!$C$6,$C852=12),$AN852=1),0,-AS853+AT853+AU853-AV853-AW853-AX853+AZ853))</f>
        <v>99822.34000192552</v>
      </c>
      <c r="BA852" s="154">
        <f t="shared" si="550"/>
        <v>0.31732403668866027</v>
      </c>
      <c r="BC852" s="147">
        <f t="shared" si="571"/>
        <v>1.5438881203009552E-17</v>
      </c>
      <c r="BD852" s="164">
        <f>IF(AND($C851=12,$D851=Input!$C$6),0,IF($E852="","",AT852+(AU852+BD853)/(1+$AK852)*MIN((1-AM852-AN852),1)))</f>
        <v>0</v>
      </c>
      <c r="BE852" s="164">
        <f t="shared" si="551"/>
        <v>0</v>
      </c>
      <c r="BF852" s="164">
        <f t="shared" si="572"/>
        <v>99822.34000192552</v>
      </c>
      <c r="BG852" s="164">
        <f t="shared" si="552"/>
        <v>1.5411452486961564E-12</v>
      </c>
      <c r="BH852" s="152"/>
      <c r="BI852" s="162">
        <f t="shared" si="553"/>
        <v>17141.399557044031</v>
      </c>
      <c r="BJ852" s="150">
        <f t="shared" si="554"/>
        <v>0</v>
      </c>
      <c r="BK852" s="163">
        <f t="shared" si="576"/>
        <v>0</v>
      </c>
      <c r="BL852" s="163">
        <f t="shared" si="555"/>
        <v>9649.1061677377857</v>
      </c>
      <c r="BM852" s="163">
        <f t="shared" si="577"/>
        <v>48.353264533252528</v>
      </c>
      <c r="BN852" s="163">
        <f t="shared" si="556"/>
        <v>805.31420417161416</v>
      </c>
      <c r="BO852" s="163">
        <f t="shared" si="557"/>
        <v>0</v>
      </c>
      <c r="BP852" s="164">
        <f t="shared" si="578"/>
        <v>8345.9608580111126</v>
      </c>
      <c r="BQ852" s="164">
        <f>IF($E852="","",IF(AND($D852=Input!$C$6,$C852=12),0,-BJ853+BK853+BL853-BM853-BN853-BO853+BQ853))</f>
        <v>8345.9979626322056</v>
      </c>
      <c r="BR852" s="161">
        <f t="shared" si="558"/>
        <v>0</v>
      </c>
      <c r="BT852" s="147">
        <f t="shared" si="559"/>
        <v>1.5438881203009552E-17</v>
      </c>
      <c r="BU852" s="164">
        <f>IF(AND($C851=12,$D851=Input!$C$6),0,IF($E852="","",BK852+(BL852+BU853)/(1+$AK852)*MIN((1-T852-U852),1)))</f>
        <v>78751.531849258434</v>
      </c>
      <c r="BV852" s="164">
        <f t="shared" si="560"/>
        <v>1.215835544775724E-12</v>
      </c>
      <c r="BW852" s="164">
        <f t="shared" si="561"/>
        <v>8345.9979626322056</v>
      </c>
      <c r="BX852" s="164">
        <f t="shared" si="562"/>
        <v>1.2885287106563837E-13</v>
      </c>
    </row>
    <row r="853" spans="1:76" s="150" customFormat="1" x14ac:dyDescent="0.25">
      <c r="A853" s="150">
        <f t="shared" si="573"/>
        <v>849</v>
      </c>
      <c r="B853" s="150">
        <f t="shared" si="574"/>
        <v>71</v>
      </c>
      <c r="C853" s="150">
        <f t="shared" si="575"/>
        <v>9</v>
      </c>
      <c r="D853" s="150">
        <f>IF(E853="","",Input!$C$4+B853-1)</f>
        <v>115</v>
      </c>
      <c r="E853" s="150">
        <f>IF(OR(AND(C852=12,D852=Input!$C$6),E852=""),"",1)</f>
        <v>1</v>
      </c>
      <c r="F853" s="150">
        <f>IF(E853="","",Input!$C$8+B853-1)</f>
        <v>2088</v>
      </c>
      <c r="G853" s="151">
        <f>IF(E853="","",MAX(0,Input!$C$9-B853))</f>
        <v>0</v>
      </c>
      <c r="H853" s="152">
        <f>IF(E853="","",Input!$C$3)</f>
        <v>100000</v>
      </c>
      <c r="I853" s="153">
        <f>IF(E853="","",HLOOKUP($B853,Input!$C$13:$BT$14,2))</f>
        <v>1000</v>
      </c>
      <c r="J853" s="154"/>
      <c r="K853" s="155">
        <f>IF($E853="","",INDEX(Input!$C$16:$CP$16,1,$B853))</f>
        <v>3.3140000000000003E-2</v>
      </c>
      <c r="L853" s="155">
        <f>IF($E853="","",Input!$C$37)</f>
        <v>1.4999999999999999E-2</v>
      </c>
      <c r="M853" s="155">
        <f t="shared" si="538"/>
        <v>4.8140000000000002E-2</v>
      </c>
      <c r="N853" s="155">
        <f t="shared" si="539"/>
        <v>3.9257828404828388E-3</v>
      </c>
      <c r="O853" s="147">
        <f>IF($E853="","",MIN(VLOOKUP(IF($B853&lt;=Input!$C$7,$B853,26),'Mortality Tables'!$A$41:$CW$67,IF($B853&lt;=Input!$C$7+1,Input!$C$4+2,$D853-Input!$C$7+2),0)*IF(B853&gt;20,Input!$C$22,1)/1000,1))</f>
        <v>1</v>
      </c>
      <c r="P853" s="147">
        <f>IF($E853="","",MIN(VLOOKUP(IF($B853&lt;=Input!$C$7,$B853,26),'Mortality Tables'!$A$12:$CW$37,IF($B853&lt;=Input!$C$7+1,Input!$C$4+2,$D853-Input!$C$7+2),0)*IF(B853&gt;20,Input!$C$22,1)/1000,1))</f>
        <v>1</v>
      </c>
      <c r="Q853" s="155">
        <f>IF($E853="","",Input!$C$21)</f>
        <v>5.0000000000000001E-3</v>
      </c>
      <c r="R853" s="159">
        <f>IF($E853="","",(1-Q853)^($F853-Input!$C$20))</f>
        <v>0.70406969605363046</v>
      </c>
      <c r="S853" s="147">
        <f t="shared" si="541"/>
        <v>0.70406969605363046</v>
      </c>
      <c r="T853" s="147">
        <f t="shared" si="542"/>
        <v>9.6491061677377865E-2</v>
      </c>
      <c r="U853" s="160">
        <f>IF($E853="","",IF($C853=12,INDEX(Input!$C$15:$CP$15,1,$B853),0))</f>
        <v>0</v>
      </c>
      <c r="V853" s="150">
        <f>IF(E853="","",IF(C853=1,IF($B853=1,Input!$C$33,Input!$C$34),0))</f>
        <v>0</v>
      </c>
      <c r="W853" s="156">
        <f>IF($E853="","",Input!$C$35)</f>
        <v>0.02</v>
      </c>
      <c r="X853" s="156">
        <f t="shared" si="540"/>
        <v>3.9995582228484383</v>
      </c>
      <c r="Y853" s="154"/>
      <c r="Z853" s="147">
        <f>IF($E853="","",VLOOKUP($D853,'Mortality Margins &amp; Grading'!$AB$5:$AF$125,3,0)*IF(Summary!$D$25="Included Margin",IF(AND($B853&gt;Input!$C$9,Summary!$D$31&lt;&gt;"Included Margin"),0,1),0))</f>
        <v>0.01</v>
      </c>
      <c r="AA853" s="147">
        <f>IF($E853="","",VLOOKUP($D853,'Mortality Margins &amp; Grading'!$AB$5:$AF$125,5,0)*IF(Summary!$D$25="Included Margin",IF(AND($B853&gt;Input!$C$9,Summary!$D$31&lt;&gt;"Included Margin"),0,1),0))</f>
        <v>5.2999999999999999E-2</v>
      </c>
      <c r="AB853" s="147">
        <f>IF($E853="","",IF(AND($B853&gt;Input!$C$9,Summary!$D$31&lt;&gt;"Included Margin"),1,IF(Summary!$D$25="Included Margin",VLOOKUP($B853,'Mortality Margins &amp; Grading'!$AI$5:$AR$125,MATCH('Mortality Margins &amp; Grading'!$AQ$4,'Mortality Margins &amp; Grading'!$AI$4:$AR$4,0),0),1)))</f>
        <v>0</v>
      </c>
      <c r="AC853" s="154"/>
      <c r="AD853" s="158">
        <f>IF(E853="","",Input!$C$48*IF(Summary!$D$30="Included Margin",IF(AND($B853&gt;Input!$C$9,Summary!$D$31&lt;&gt;"Included Margin"),0,1),0))</f>
        <v>-4.4999999999999997E-3</v>
      </c>
      <c r="AE853" s="159">
        <f>IF(E853="","",IF(Summary!$D$26="Included Margin",IF(AND($B853&gt;Input!$C$9,Summary!$D$31&lt;&gt;"Included Margin"),1,1/$R853),1))</f>
        <v>1.420313934266854</v>
      </c>
      <c r="AF853" s="160">
        <f>IF(E853="","",IF(AND($B853&gt;=Input!$C$9,$C853=12,Summary!$D$31="Included Margin",$U853&gt;0),1/U853-1,IF($B853&gt;=Input!$C$9,0,Input!$C$45*IF(Summary!$D$27="Included Margin",1,0))))</f>
        <v>0</v>
      </c>
      <c r="AG853" s="160">
        <f>IF(E853="","",Input!$C$46*IF(Summary!$D$28="Included Margin",IF(AND($B853&gt;Input!$C$9,Summary!$D$31&lt;&gt;"Included Margin"),0,1),0))</f>
        <v>0.02</v>
      </c>
      <c r="AH853" s="158">
        <f>IF(E853="","",Input!$C$47*IF(Summary!$D$29="Included Margin",IF(AND($B853&gt;Input!$C$9,Summary!$D$31&lt;&gt;"Included Margin"),0,1),0))</f>
        <v>2.5000000000000001E-3</v>
      </c>
      <c r="AI853" s="154"/>
      <c r="AJ853" s="158">
        <f t="shared" si="563"/>
        <v>4.3640000000000005E-2</v>
      </c>
      <c r="AK853" s="155">
        <f t="shared" si="564"/>
        <v>3.565892922956726E-3</v>
      </c>
      <c r="AL853" s="147">
        <f t="shared" si="565"/>
        <v>1</v>
      </c>
      <c r="AM853" s="147">
        <f t="shared" si="543"/>
        <v>1</v>
      </c>
      <c r="AN853" s="160">
        <f t="shared" si="566"/>
        <v>0</v>
      </c>
      <c r="AO853" s="161">
        <f t="shared" si="567"/>
        <v>0</v>
      </c>
      <c r="AP853" s="156">
        <f t="shared" si="544"/>
        <v>4.7471413956221316</v>
      </c>
      <c r="AQ853" s="152"/>
      <c r="AR853" s="162">
        <f t="shared" si="545"/>
        <v>99822.022677888832</v>
      </c>
      <c r="AS853" s="150">
        <f t="shared" si="568"/>
        <v>0</v>
      </c>
      <c r="AT853" s="163">
        <f t="shared" si="546"/>
        <v>0</v>
      </c>
      <c r="AU853" s="163">
        <f t="shared" si="547"/>
        <v>100000</v>
      </c>
      <c r="AV853" s="163">
        <f t="shared" si="569"/>
        <v>177.65999807447329</v>
      </c>
      <c r="AW853" s="163">
        <f t="shared" si="548"/>
        <v>99822.34000192552</v>
      </c>
      <c r="AX853" s="163">
        <f t="shared" si="549"/>
        <v>0</v>
      </c>
      <c r="AY853" s="164">
        <f t="shared" si="570"/>
        <v>99822.022677888832</v>
      </c>
      <c r="AZ853" s="164">
        <f>IF($E853="","",IF(OR(AND($D853=Input!$C$6,$C853=12),$AN853=1),0,-AS854+AT854+AU854-AV854-AW854-AX854+AZ854))</f>
        <v>99822.34000192552</v>
      </c>
      <c r="BA853" s="154">
        <f t="shared" si="550"/>
        <v>0.31732403668866027</v>
      </c>
      <c r="BC853" s="147">
        <f t="shared" si="571"/>
        <v>1.3949167164620248E-17</v>
      </c>
      <c r="BD853" s="164">
        <f>IF(AND($C852=12,$D852=Input!$C$6),0,IF($E853="","",AT853+(AU853+BD854)/(1+$AK853)*MIN((1-AM853-AN853),1)))</f>
        <v>0</v>
      </c>
      <c r="BE853" s="164">
        <f t="shared" si="551"/>
        <v>0</v>
      </c>
      <c r="BF853" s="164">
        <f t="shared" si="572"/>
        <v>99822.34000192552</v>
      </c>
      <c r="BG853" s="164">
        <f t="shared" si="552"/>
        <v>1.3924385074504178E-12</v>
      </c>
      <c r="BH853" s="152"/>
      <c r="BI853" s="162">
        <f t="shared" si="553"/>
        <v>8345.9608580111126</v>
      </c>
      <c r="BJ853" s="150">
        <f t="shared" si="554"/>
        <v>0</v>
      </c>
      <c r="BK853" s="163">
        <f t="shared" si="576"/>
        <v>0</v>
      </c>
      <c r="BL853" s="163">
        <f t="shared" si="555"/>
        <v>9649.1061677377857</v>
      </c>
      <c r="BM853" s="163">
        <f t="shared" si="577"/>
        <v>13.824282214070394</v>
      </c>
      <c r="BN853" s="163">
        <f t="shared" si="556"/>
        <v>-137.69025324125167</v>
      </c>
      <c r="BO853" s="163">
        <f t="shared" si="557"/>
        <v>0</v>
      </c>
      <c r="BP853" s="164">
        <f t="shared" si="578"/>
        <v>-1427.0112807538544</v>
      </c>
      <c r="BQ853" s="164">
        <f>IF($E853="","",IF(AND($D853=Input!$C$6,$C853=12),0,-BJ854+BK854+BL854-BM854-BN854-BO854+BQ854))</f>
        <v>-1426.9741761327605</v>
      </c>
      <c r="BR853" s="161">
        <f t="shared" si="558"/>
        <v>0</v>
      </c>
      <c r="BT853" s="147">
        <f t="shared" si="559"/>
        <v>1.3949167164620248E-17</v>
      </c>
      <c r="BU853" s="164">
        <f>IF(AND($C852=12,$D852=Input!$C$6),0,IF($E853="","",BK853+(BL853+BU854)/(1+$AK853)*MIN((1-T853-U853),1)))</f>
        <v>77823.577307952495</v>
      </c>
      <c r="BV853" s="164">
        <f t="shared" si="560"/>
        <v>1.0855740892173763E-12</v>
      </c>
      <c r="BW853" s="164">
        <f t="shared" si="561"/>
        <v>-1426.9741761327605</v>
      </c>
      <c r="BX853" s="164">
        <f t="shared" si="562"/>
        <v>-1.9905101322472131E-14</v>
      </c>
    </row>
    <row r="854" spans="1:76" s="150" customFormat="1" x14ac:dyDescent="0.25">
      <c r="A854" s="150">
        <f t="shared" si="573"/>
        <v>850</v>
      </c>
      <c r="B854" s="150">
        <f t="shared" si="574"/>
        <v>71</v>
      </c>
      <c r="C854" s="150">
        <f t="shared" si="575"/>
        <v>10</v>
      </c>
      <c r="D854" s="150">
        <f>IF(E854="","",Input!$C$4+B854-1)</f>
        <v>115</v>
      </c>
      <c r="E854" s="150">
        <f>IF(OR(AND(C853=12,D853=Input!$C$6),E853=""),"",1)</f>
        <v>1</v>
      </c>
      <c r="F854" s="150">
        <f>IF(E854="","",Input!$C$8+B854-1)</f>
        <v>2088</v>
      </c>
      <c r="G854" s="151">
        <f>IF(E854="","",MAX(0,Input!$C$9-B854))</f>
        <v>0</v>
      </c>
      <c r="H854" s="152">
        <f>IF(E854="","",Input!$C$3)</f>
        <v>100000</v>
      </c>
      <c r="I854" s="153">
        <f>IF(E854="","",HLOOKUP($B854,Input!$C$13:$BT$14,2))</f>
        <v>1000</v>
      </c>
      <c r="J854" s="154"/>
      <c r="K854" s="155">
        <f>IF($E854="","",INDEX(Input!$C$16:$CP$16,1,$B854))</f>
        <v>3.3140000000000003E-2</v>
      </c>
      <c r="L854" s="155">
        <f>IF($E854="","",Input!$C$37)</f>
        <v>1.4999999999999999E-2</v>
      </c>
      <c r="M854" s="155">
        <f t="shared" si="538"/>
        <v>4.8140000000000002E-2</v>
      </c>
      <c r="N854" s="155">
        <f t="shared" si="539"/>
        <v>3.9257828404828388E-3</v>
      </c>
      <c r="O854" s="147">
        <f>IF($E854="","",MIN(VLOOKUP(IF($B854&lt;=Input!$C$7,$B854,26),'Mortality Tables'!$A$41:$CW$67,IF($B854&lt;=Input!$C$7+1,Input!$C$4+2,$D854-Input!$C$7+2),0)*IF(B854&gt;20,Input!$C$22,1)/1000,1))</f>
        <v>1</v>
      </c>
      <c r="P854" s="147">
        <f>IF($E854="","",MIN(VLOOKUP(IF($B854&lt;=Input!$C$7,$B854,26),'Mortality Tables'!$A$12:$CW$37,IF($B854&lt;=Input!$C$7+1,Input!$C$4+2,$D854-Input!$C$7+2),0)*IF(B854&gt;20,Input!$C$22,1)/1000,1))</f>
        <v>1</v>
      </c>
      <c r="Q854" s="155">
        <f>IF($E854="","",Input!$C$21)</f>
        <v>5.0000000000000001E-3</v>
      </c>
      <c r="R854" s="159">
        <f>IF($E854="","",(1-Q854)^($F854-Input!$C$20))</f>
        <v>0.70406969605363046</v>
      </c>
      <c r="S854" s="147">
        <f t="shared" si="541"/>
        <v>0.70406969605363046</v>
      </c>
      <c r="T854" s="147">
        <f t="shared" si="542"/>
        <v>9.6491061677377865E-2</v>
      </c>
      <c r="U854" s="160">
        <f>IF($E854="","",IF($C854=12,INDEX(Input!$C$15:$CP$15,1,$B854),0))</f>
        <v>0</v>
      </c>
      <c r="V854" s="150">
        <f>IF(E854="","",IF(C854=1,IF($B854=1,Input!$C$33,Input!$C$34),0))</f>
        <v>0</v>
      </c>
      <c r="W854" s="156">
        <f>IF($E854="","",Input!$C$35)</f>
        <v>0.02</v>
      </c>
      <c r="X854" s="156">
        <f t="shared" si="540"/>
        <v>3.9995582228484383</v>
      </c>
      <c r="Y854" s="154"/>
      <c r="Z854" s="147">
        <f>IF($E854="","",VLOOKUP($D854,'Mortality Margins &amp; Grading'!$AB$5:$AF$125,3,0)*IF(Summary!$D$25="Included Margin",IF(AND($B854&gt;Input!$C$9,Summary!$D$31&lt;&gt;"Included Margin"),0,1),0))</f>
        <v>0.01</v>
      </c>
      <c r="AA854" s="147">
        <f>IF($E854="","",VLOOKUP($D854,'Mortality Margins &amp; Grading'!$AB$5:$AF$125,5,0)*IF(Summary!$D$25="Included Margin",IF(AND($B854&gt;Input!$C$9,Summary!$D$31&lt;&gt;"Included Margin"),0,1),0))</f>
        <v>5.2999999999999999E-2</v>
      </c>
      <c r="AB854" s="147">
        <f>IF($E854="","",IF(AND($B854&gt;Input!$C$9,Summary!$D$31&lt;&gt;"Included Margin"),1,IF(Summary!$D$25="Included Margin",VLOOKUP($B854,'Mortality Margins &amp; Grading'!$AI$5:$AR$125,MATCH('Mortality Margins &amp; Grading'!$AQ$4,'Mortality Margins &amp; Grading'!$AI$4:$AR$4,0),0),1)))</f>
        <v>0</v>
      </c>
      <c r="AC854" s="154"/>
      <c r="AD854" s="158">
        <f>IF(E854="","",Input!$C$48*IF(Summary!$D$30="Included Margin",IF(AND($B854&gt;Input!$C$9,Summary!$D$31&lt;&gt;"Included Margin"),0,1),0))</f>
        <v>-4.4999999999999997E-3</v>
      </c>
      <c r="AE854" s="159">
        <f>IF(E854="","",IF(Summary!$D$26="Included Margin",IF(AND($B854&gt;Input!$C$9,Summary!$D$31&lt;&gt;"Included Margin"),1,1/$R854),1))</f>
        <v>1.420313934266854</v>
      </c>
      <c r="AF854" s="160">
        <f>IF(E854="","",IF(AND($B854&gt;=Input!$C$9,$C854=12,Summary!$D$31="Included Margin",$U854&gt;0),1/U854-1,IF($B854&gt;=Input!$C$9,0,Input!$C$45*IF(Summary!$D$27="Included Margin",1,0))))</f>
        <v>0</v>
      </c>
      <c r="AG854" s="160">
        <f>IF(E854="","",Input!$C$46*IF(Summary!$D$28="Included Margin",IF(AND($B854&gt;Input!$C$9,Summary!$D$31&lt;&gt;"Included Margin"),0,1),0))</f>
        <v>0.02</v>
      </c>
      <c r="AH854" s="158">
        <f>IF(E854="","",Input!$C$47*IF(Summary!$D$29="Included Margin",IF(AND($B854&gt;Input!$C$9,Summary!$D$31&lt;&gt;"Included Margin"),0,1),0))</f>
        <v>2.5000000000000001E-3</v>
      </c>
      <c r="AI854" s="154"/>
      <c r="AJ854" s="158">
        <f t="shared" si="563"/>
        <v>4.3640000000000005E-2</v>
      </c>
      <c r="AK854" s="155">
        <f t="shared" si="564"/>
        <v>3.565892922956726E-3</v>
      </c>
      <c r="AL854" s="147">
        <f t="shared" si="565"/>
        <v>1</v>
      </c>
      <c r="AM854" s="147">
        <f t="shared" si="543"/>
        <v>1</v>
      </c>
      <c r="AN854" s="160">
        <f t="shared" si="566"/>
        <v>0</v>
      </c>
      <c r="AO854" s="161">
        <f t="shared" si="567"/>
        <v>0</v>
      </c>
      <c r="AP854" s="156">
        <f t="shared" si="544"/>
        <v>4.7471413956221316</v>
      </c>
      <c r="AQ854" s="152"/>
      <c r="AR854" s="162">
        <f t="shared" si="545"/>
        <v>99822.022677888832</v>
      </c>
      <c r="AS854" s="150">
        <f t="shared" si="568"/>
        <v>0</v>
      </c>
      <c r="AT854" s="163">
        <f t="shared" si="546"/>
        <v>0</v>
      </c>
      <c r="AU854" s="163">
        <f t="shared" si="547"/>
        <v>100000</v>
      </c>
      <c r="AV854" s="163">
        <f t="shared" si="569"/>
        <v>177.65999807447329</v>
      </c>
      <c r="AW854" s="163">
        <f t="shared" si="548"/>
        <v>99822.34000192552</v>
      </c>
      <c r="AX854" s="163">
        <f t="shared" si="549"/>
        <v>0</v>
      </c>
      <c r="AY854" s="165">
        <f t="shared" si="570"/>
        <v>99822.022677888832</v>
      </c>
      <c r="AZ854" s="164">
        <f>IF($E854="","",IF(OR(AND($D854=Input!$C$6,$C854=12),$AN854=1),0,-AS855+AT855+AU855-AV855-AW855-AX855+AZ855))</f>
        <v>99822.34000192552</v>
      </c>
      <c r="BA854" s="154">
        <f t="shared" si="550"/>
        <v>0.31732403668866027</v>
      </c>
      <c r="BC854" s="147">
        <f t="shared" si="571"/>
        <v>1.2603197215390821E-17</v>
      </c>
      <c r="BD854" s="164">
        <f>IF(AND($C853=12,$D853=Input!$C$6),0,IF($E854="","",AT854+(AU854+BD855)/(1+$AK854)*MIN((1-AM854-AN854),1)))</f>
        <v>0</v>
      </c>
      <c r="BE854" s="164">
        <f t="shared" si="551"/>
        <v>0</v>
      </c>
      <c r="BF854" s="164">
        <f t="shared" si="572"/>
        <v>99822.34000192552</v>
      </c>
      <c r="BG854" s="164">
        <f t="shared" si="552"/>
        <v>1.2580806375460634E-12</v>
      </c>
      <c r="BH854" s="152"/>
      <c r="BI854" s="162">
        <f t="shared" si="553"/>
        <v>-1427.0112807538535</v>
      </c>
      <c r="BJ854" s="150">
        <f t="shared" si="554"/>
        <v>0</v>
      </c>
      <c r="BK854" s="163">
        <f t="shared" si="576"/>
        <v>0</v>
      </c>
      <c r="BL854" s="163">
        <f t="shared" si="555"/>
        <v>9649.1061677377857</v>
      </c>
      <c r="BM854" s="163">
        <f t="shared" si="577"/>
        <v>-24.542284108809977</v>
      </c>
      <c r="BN854" s="163">
        <f t="shared" si="556"/>
        <v>-1185.5011248058991</v>
      </c>
      <c r="BO854" s="163">
        <f t="shared" si="557"/>
        <v>0</v>
      </c>
      <c r="BP854" s="164">
        <f t="shared" si="578"/>
        <v>-12286.160857406347</v>
      </c>
      <c r="BQ854" s="164">
        <f>IF($E854="","",IF(AND($D854=Input!$C$6,$C854=12),0,-BJ855+BK855+BL855-BM855-BN855-BO855+BQ855))</f>
        <v>-12286.123752785254</v>
      </c>
      <c r="BR854" s="161">
        <f t="shared" si="558"/>
        <v>0</v>
      </c>
      <c r="BT854" s="147">
        <f t="shared" si="559"/>
        <v>1.2603197215390821E-17</v>
      </c>
      <c r="BU854" s="164">
        <f>IF(AND($C853=12,$D853=Input!$C$6),0,IF($E854="","",BK854+(BL854+BU855)/(1+$AK854)*MIN((1-T854-U854),1)))</f>
        <v>76792.858641719373</v>
      </c>
      <c r="BV854" s="164">
        <f t="shared" si="560"/>
        <v>9.6783554219521861E-13</v>
      </c>
      <c r="BW854" s="164">
        <f t="shared" si="561"/>
        <v>-12286.123752785254</v>
      </c>
      <c r="BX854" s="164">
        <f t="shared" si="562"/>
        <v>-1.5484444066905013E-13</v>
      </c>
    </row>
    <row r="855" spans="1:76" s="150" customFormat="1" x14ac:dyDescent="0.25">
      <c r="A855" s="150">
        <f t="shared" si="573"/>
        <v>851</v>
      </c>
      <c r="B855" s="150">
        <f t="shared" si="574"/>
        <v>71</v>
      </c>
      <c r="C855" s="150">
        <f t="shared" si="575"/>
        <v>11</v>
      </c>
      <c r="D855" s="150">
        <f>IF(E855="","",Input!$C$4+B855-1)</f>
        <v>115</v>
      </c>
      <c r="E855" s="150">
        <f>IF(OR(AND(C854=12,D854=Input!$C$6),E854=""),"",1)</f>
        <v>1</v>
      </c>
      <c r="F855" s="150">
        <f>IF(E855="","",Input!$C$8+B855-1)</f>
        <v>2088</v>
      </c>
      <c r="G855" s="151">
        <f>IF(E855="","",MAX(0,Input!$C$9-B855))</f>
        <v>0</v>
      </c>
      <c r="H855" s="152">
        <f>IF(E855="","",Input!$C$3)</f>
        <v>100000</v>
      </c>
      <c r="I855" s="153">
        <f>IF(E855="","",HLOOKUP($B855,Input!$C$13:$BT$14,2))</f>
        <v>1000</v>
      </c>
      <c r="J855" s="154"/>
      <c r="K855" s="155">
        <f>IF($E855="","",INDEX(Input!$C$16:$CP$16,1,$B855))</f>
        <v>3.3140000000000003E-2</v>
      </c>
      <c r="L855" s="155">
        <f>IF($E855="","",Input!$C$37)</f>
        <v>1.4999999999999999E-2</v>
      </c>
      <c r="M855" s="155">
        <f t="shared" si="538"/>
        <v>4.8140000000000002E-2</v>
      </c>
      <c r="N855" s="155">
        <f t="shared" si="539"/>
        <v>3.9257828404828388E-3</v>
      </c>
      <c r="O855" s="147">
        <f>IF($E855="","",MIN(VLOOKUP(IF($B855&lt;=Input!$C$7,$B855,26),'Mortality Tables'!$A$41:$CW$67,IF($B855&lt;=Input!$C$7+1,Input!$C$4+2,$D855-Input!$C$7+2),0)*IF(B855&gt;20,Input!$C$22,1)/1000,1))</f>
        <v>1</v>
      </c>
      <c r="P855" s="147">
        <f>IF($E855="","",MIN(VLOOKUP(IF($B855&lt;=Input!$C$7,$B855,26),'Mortality Tables'!$A$12:$CW$37,IF($B855&lt;=Input!$C$7+1,Input!$C$4+2,$D855-Input!$C$7+2),0)*IF(B855&gt;20,Input!$C$22,1)/1000,1))</f>
        <v>1</v>
      </c>
      <c r="Q855" s="155">
        <f>IF($E855="","",Input!$C$21)</f>
        <v>5.0000000000000001E-3</v>
      </c>
      <c r="R855" s="159">
        <f>IF($E855="","",(1-Q855)^($F855-Input!$C$20))</f>
        <v>0.70406969605363046</v>
      </c>
      <c r="S855" s="147">
        <f t="shared" si="541"/>
        <v>0.70406969605363046</v>
      </c>
      <c r="T855" s="147">
        <f t="shared" si="542"/>
        <v>9.6491061677377865E-2</v>
      </c>
      <c r="U855" s="160">
        <f>IF($E855="","",IF($C855=12,INDEX(Input!$C$15:$CP$15,1,$B855),0))</f>
        <v>0</v>
      </c>
      <c r="V855" s="150">
        <f>IF(E855="","",IF(C855=1,IF($B855=1,Input!$C$33,Input!$C$34),0))</f>
        <v>0</v>
      </c>
      <c r="W855" s="156">
        <f>IF($E855="","",Input!$C$35)</f>
        <v>0.02</v>
      </c>
      <c r="X855" s="156">
        <f t="shared" si="540"/>
        <v>3.9995582228484383</v>
      </c>
      <c r="Y855" s="154"/>
      <c r="Z855" s="147">
        <f>IF($E855="","",VLOOKUP($D855,'Mortality Margins &amp; Grading'!$AB$5:$AF$125,3,0)*IF(Summary!$D$25="Included Margin",IF(AND($B855&gt;Input!$C$9,Summary!$D$31&lt;&gt;"Included Margin"),0,1),0))</f>
        <v>0.01</v>
      </c>
      <c r="AA855" s="147">
        <f>IF($E855="","",VLOOKUP($D855,'Mortality Margins &amp; Grading'!$AB$5:$AF$125,5,0)*IF(Summary!$D$25="Included Margin",IF(AND($B855&gt;Input!$C$9,Summary!$D$31&lt;&gt;"Included Margin"),0,1),0))</f>
        <v>5.2999999999999999E-2</v>
      </c>
      <c r="AB855" s="147">
        <f>IF($E855="","",IF(AND($B855&gt;Input!$C$9,Summary!$D$31&lt;&gt;"Included Margin"),1,IF(Summary!$D$25="Included Margin",VLOOKUP($B855,'Mortality Margins &amp; Grading'!$AI$5:$AR$125,MATCH('Mortality Margins &amp; Grading'!$AQ$4,'Mortality Margins &amp; Grading'!$AI$4:$AR$4,0),0),1)))</f>
        <v>0</v>
      </c>
      <c r="AC855" s="154"/>
      <c r="AD855" s="158">
        <f>IF(E855="","",Input!$C$48*IF(Summary!$D$30="Included Margin",IF(AND($B855&gt;Input!$C$9,Summary!$D$31&lt;&gt;"Included Margin"),0,1),0))</f>
        <v>-4.4999999999999997E-3</v>
      </c>
      <c r="AE855" s="159">
        <f>IF(E855="","",IF(Summary!$D$26="Included Margin",IF(AND($B855&gt;Input!$C$9,Summary!$D$31&lt;&gt;"Included Margin"),1,1/$R855),1))</f>
        <v>1.420313934266854</v>
      </c>
      <c r="AF855" s="160">
        <f>IF(E855="","",IF(AND($B855&gt;=Input!$C$9,$C855=12,Summary!$D$31="Included Margin",$U855&gt;0),1/U855-1,IF($B855&gt;=Input!$C$9,0,Input!$C$45*IF(Summary!$D$27="Included Margin",1,0))))</f>
        <v>0</v>
      </c>
      <c r="AG855" s="160">
        <f>IF(E855="","",Input!$C$46*IF(Summary!$D$28="Included Margin",IF(AND($B855&gt;Input!$C$9,Summary!$D$31&lt;&gt;"Included Margin"),0,1),0))</f>
        <v>0.02</v>
      </c>
      <c r="AH855" s="158">
        <f>IF(E855="","",Input!$C$47*IF(Summary!$D$29="Included Margin",IF(AND($B855&gt;Input!$C$9,Summary!$D$31&lt;&gt;"Included Margin"),0,1),0))</f>
        <v>2.5000000000000001E-3</v>
      </c>
      <c r="AI855" s="154"/>
      <c r="AJ855" s="158">
        <f t="shared" si="563"/>
        <v>4.3640000000000005E-2</v>
      </c>
      <c r="AK855" s="155">
        <f t="shared" si="564"/>
        <v>3.565892922956726E-3</v>
      </c>
      <c r="AL855" s="147">
        <f t="shared" si="565"/>
        <v>1</v>
      </c>
      <c r="AM855" s="147">
        <f t="shared" si="543"/>
        <v>1</v>
      </c>
      <c r="AN855" s="160">
        <f t="shared" si="566"/>
        <v>0</v>
      </c>
      <c r="AO855" s="161">
        <f t="shared" si="567"/>
        <v>0</v>
      </c>
      <c r="AP855" s="156">
        <f t="shared" si="544"/>
        <v>4.7471413956221316</v>
      </c>
      <c r="AQ855" s="152"/>
      <c r="AR855" s="162">
        <f t="shared" si="545"/>
        <v>99822.022677888832</v>
      </c>
      <c r="AS855" s="150">
        <f t="shared" si="568"/>
        <v>0</v>
      </c>
      <c r="AT855" s="163">
        <f t="shared" si="546"/>
        <v>0</v>
      </c>
      <c r="AU855" s="163">
        <f t="shared" si="547"/>
        <v>100000</v>
      </c>
      <c r="AV855" s="163">
        <f t="shared" si="569"/>
        <v>177.65999807447329</v>
      </c>
      <c r="AW855" s="163">
        <f t="shared" si="548"/>
        <v>99822.34000192552</v>
      </c>
      <c r="AX855" s="163">
        <f t="shared" si="549"/>
        <v>0</v>
      </c>
      <c r="AY855" s="164">
        <f t="shared" si="570"/>
        <v>99822.022677888832</v>
      </c>
      <c r="AZ855" s="164">
        <f>IF($E855="","",IF(OR(AND($D855=Input!$C$6,$C855=12),$AN855=1),0,-AS856+AT856+AU856-AV856-AW856-AX856+AZ856))</f>
        <v>99822.34000192552</v>
      </c>
      <c r="BA855" s="154">
        <f t="shared" si="550"/>
        <v>0.31732403668866027</v>
      </c>
      <c r="BC855" s="147">
        <f t="shared" si="571"/>
        <v>1.1387101335548389E-17</v>
      </c>
      <c r="BD855" s="164">
        <f>IF(AND($C854=12,$D854=Input!$C$6),0,IF($E855="","",AT855+(AU855+BD856)/(1+$AK855)*MIN((1-AM855-AN855),1)))</f>
        <v>0</v>
      </c>
      <c r="BE855" s="164">
        <f t="shared" si="551"/>
        <v>0</v>
      </c>
      <c r="BF855" s="164">
        <f t="shared" si="572"/>
        <v>99822.34000192552</v>
      </c>
      <c r="BG855" s="164">
        <f t="shared" si="552"/>
        <v>1.1366871011534915E-12</v>
      </c>
      <c r="BH855" s="152"/>
      <c r="BI855" s="162">
        <f t="shared" si="553"/>
        <v>-12286.16085740635</v>
      </c>
      <c r="BJ855" s="150">
        <f t="shared" si="554"/>
        <v>0</v>
      </c>
      <c r="BK855" s="163">
        <f t="shared" si="576"/>
        <v>0</v>
      </c>
      <c r="BL855" s="163">
        <f t="shared" si="555"/>
        <v>9649.1061677377857</v>
      </c>
      <c r="BM855" s="163">
        <f t="shared" si="577"/>
        <v>-67.172947179068842</v>
      </c>
      <c r="BN855" s="163">
        <f t="shared" si="556"/>
        <v>-2349.7666952796353</v>
      </c>
      <c r="BO855" s="163">
        <f t="shared" si="557"/>
        <v>0</v>
      </c>
      <c r="BP855" s="164">
        <f t="shared" si="578"/>
        <v>-24352.206667602841</v>
      </c>
      <c r="BQ855" s="164">
        <f>IF($E855="","",IF(AND($D855=Input!$C$6,$C855=12),0,-BJ856+BK856+BL856-BM856-BN856-BO856+BQ856))</f>
        <v>-24352.169562981744</v>
      </c>
      <c r="BR855" s="161">
        <f t="shared" si="558"/>
        <v>0</v>
      </c>
      <c r="BT855" s="147">
        <f t="shared" si="559"/>
        <v>1.1387101335548389E-17</v>
      </c>
      <c r="BU855" s="164">
        <f>IF(AND($C854=12,$D854=Input!$C$6),0,IF($E855="","",BK855+(BL855+BU856)/(1+$AK855)*MIN((1-T855-U855),1)))</f>
        <v>75647.995481260805</v>
      </c>
      <c r="BV855" s="164">
        <f t="shared" si="560"/>
        <v>8.6141139037622337E-13</v>
      </c>
      <c r="BW855" s="164">
        <f t="shared" si="561"/>
        <v>-24352.169562981744</v>
      </c>
      <c r="BX855" s="164">
        <f t="shared" si="562"/>
        <v>-2.7730062255413022E-13</v>
      </c>
    </row>
    <row r="856" spans="1:76" s="150" customFormat="1" x14ac:dyDescent="0.25">
      <c r="A856" s="150">
        <f t="shared" si="573"/>
        <v>852</v>
      </c>
      <c r="B856" s="150">
        <f t="shared" si="574"/>
        <v>71</v>
      </c>
      <c r="C856" s="150">
        <f t="shared" si="575"/>
        <v>12</v>
      </c>
      <c r="D856" s="150">
        <f>IF(E856="","",Input!$C$4+B856-1)</f>
        <v>115</v>
      </c>
      <c r="E856" s="150">
        <f>IF(OR(AND(C855=12,D855=Input!$C$6),E855=""),"",1)</f>
        <v>1</v>
      </c>
      <c r="F856" s="150">
        <f>IF(E856="","",Input!$C$8+B856-1)</f>
        <v>2088</v>
      </c>
      <c r="G856" s="151">
        <f>IF(E856="","",MAX(0,Input!$C$9-B856))</f>
        <v>0</v>
      </c>
      <c r="H856" s="152">
        <f>IF(E856="","",Input!$C$3)</f>
        <v>100000</v>
      </c>
      <c r="I856" s="153">
        <f>IF(E856="","",HLOOKUP($B856,Input!$C$13:$BT$14,2))</f>
        <v>1000</v>
      </c>
      <c r="J856" s="154"/>
      <c r="K856" s="155">
        <f>IF($E856="","",INDEX(Input!$C$16:$CP$16,1,$B856))</f>
        <v>3.3140000000000003E-2</v>
      </c>
      <c r="L856" s="155">
        <f>IF($E856="","",Input!$C$37)</f>
        <v>1.4999999999999999E-2</v>
      </c>
      <c r="M856" s="155">
        <f t="shared" si="538"/>
        <v>4.8140000000000002E-2</v>
      </c>
      <c r="N856" s="155">
        <f t="shared" si="539"/>
        <v>3.9257828404828388E-3</v>
      </c>
      <c r="O856" s="147">
        <f>IF($E856="","",MIN(VLOOKUP(IF($B856&lt;=Input!$C$7,$B856,26),'Mortality Tables'!$A$41:$CW$67,IF($B856&lt;=Input!$C$7+1,Input!$C$4+2,$D856-Input!$C$7+2),0)*IF(B856&gt;20,Input!$C$22,1)/1000,1))</f>
        <v>1</v>
      </c>
      <c r="P856" s="147">
        <f>IF($E856="","",MIN(VLOOKUP(IF($B856&lt;=Input!$C$7,$B856,26),'Mortality Tables'!$A$12:$CW$37,IF($B856&lt;=Input!$C$7+1,Input!$C$4+2,$D856-Input!$C$7+2),0)*IF(B856&gt;20,Input!$C$22,1)/1000,1))</f>
        <v>1</v>
      </c>
      <c r="Q856" s="155">
        <f>IF($E856="","",Input!$C$21)</f>
        <v>5.0000000000000001E-3</v>
      </c>
      <c r="R856" s="159">
        <f>IF($E856="","",(1-Q856)^($F856-Input!$C$20))</f>
        <v>0.70406969605363046</v>
      </c>
      <c r="S856" s="147">
        <f t="shared" si="541"/>
        <v>0.70406969605363046</v>
      </c>
      <c r="T856" s="147">
        <f t="shared" si="542"/>
        <v>9.6491061677377865E-2</v>
      </c>
      <c r="U856" s="160">
        <f>IF($E856="","",IF($C856=12,INDEX(Input!$C$15:$CP$15,1,$B856),0))</f>
        <v>0.1</v>
      </c>
      <c r="V856" s="150">
        <f>IF(E856="","",IF(C856=1,IF($B856=1,Input!$C$33,Input!$C$34),0))</f>
        <v>0</v>
      </c>
      <c r="W856" s="156">
        <f>IF($E856="","",Input!$C$35)</f>
        <v>0.02</v>
      </c>
      <c r="X856" s="156">
        <f t="shared" si="540"/>
        <v>3.9995582228484383</v>
      </c>
      <c r="Y856" s="154"/>
      <c r="Z856" s="147">
        <f>IF($E856="","",VLOOKUP($D856,'Mortality Margins &amp; Grading'!$AB$5:$AF$125,3,0)*IF(Summary!$D$25="Included Margin",IF(AND($B856&gt;Input!$C$9,Summary!$D$31&lt;&gt;"Included Margin"),0,1),0))</f>
        <v>0.01</v>
      </c>
      <c r="AA856" s="147">
        <f>IF($E856="","",VLOOKUP($D856,'Mortality Margins &amp; Grading'!$AB$5:$AF$125,5,0)*IF(Summary!$D$25="Included Margin",IF(AND($B856&gt;Input!$C$9,Summary!$D$31&lt;&gt;"Included Margin"),0,1),0))</f>
        <v>5.2999999999999999E-2</v>
      </c>
      <c r="AB856" s="147">
        <f>IF($E856="","",IF(AND($B856&gt;Input!$C$9,Summary!$D$31&lt;&gt;"Included Margin"),1,IF(Summary!$D$25="Included Margin",VLOOKUP($B856,'Mortality Margins &amp; Grading'!$AI$5:$AR$125,MATCH('Mortality Margins &amp; Grading'!$AQ$4,'Mortality Margins &amp; Grading'!$AI$4:$AR$4,0),0),1)))</f>
        <v>0</v>
      </c>
      <c r="AC856" s="154"/>
      <c r="AD856" s="158">
        <f>IF(E856="","",Input!$C$48*IF(Summary!$D$30="Included Margin",IF(AND($B856&gt;Input!$C$9,Summary!$D$31&lt;&gt;"Included Margin"),0,1),0))</f>
        <v>-4.4999999999999997E-3</v>
      </c>
      <c r="AE856" s="159">
        <f>IF(E856="","",IF(Summary!$D$26="Included Margin",IF(AND($B856&gt;Input!$C$9,Summary!$D$31&lt;&gt;"Included Margin"),1,1/$R856),1))</f>
        <v>1.420313934266854</v>
      </c>
      <c r="AF856" s="160">
        <f>IF(E856="","",IF(AND($B856&gt;=Input!$C$9,$C856=12,Summary!$D$31="Included Margin",$U856&gt;0),1/U856-1,IF($B856&gt;=Input!$C$9,0,Input!$C$45*IF(Summary!$D$27="Included Margin",1,0))))</f>
        <v>9</v>
      </c>
      <c r="AG856" s="160">
        <f>IF(E856="","",Input!$C$46*IF(Summary!$D$28="Included Margin",IF(AND($B856&gt;Input!$C$9,Summary!$D$31&lt;&gt;"Included Margin"),0,1),0))</f>
        <v>0.02</v>
      </c>
      <c r="AH856" s="158">
        <f>IF(E856="","",Input!$C$47*IF(Summary!$D$29="Included Margin",IF(AND($B856&gt;Input!$C$9,Summary!$D$31&lt;&gt;"Included Margin"),0,1),0))</f>
        <v>2.5000000000000001E-3</v>
      </c>
      <c r="AI856" s="154"/>
      <c r="AJ856" s="158">
        <f t="shared" si="563"/>
        <v>4.3640000000000005E-2</v>
      </c>
      <c r="AK856" s="155">
        <f t="shared" si="564"/>
        <v>3.565892922956726E-3</v>
      </c>
      <c r="AL856" s="147">
        <f t="shared" si="565"/>
        <v>1</v>
      </c>
      <c r="AM856" s="147">
        <f t="shared" si="543"/>
        <v>1</v>
      </c>
      <c r="AN856" s="160">
        <f t="shared" si="566"/>
        <v>1</v>
      </c>
      <c r="AO856" s="161">
        <f t="shared" si="567"/>
        <v>0</v>
      </c>
      <c r="AP856" s="156">
        <f t="shared" si="544"/>
        <v>4.7471413956221316</v>
      </c>
      <c r="AQ856" s="152"/>
      <c r="AR856" s="162">
        <f t="shared" si="545"/>
        <v>99822.022677888832</v>
      </c>
      <c r="AS856" s="150">
        <f t="shared" si="568"/>
        <v>0</v>
      </c>
      <c r="AT856" s="163">
        <f t="shared" si="546"/>
        <v>0</v>
      </c>
      <c r="AU856" s="163">
        <f t="shared" si="547"/>
        <v>100000</v>
      </c>
      <c r="AV856" s="163">
        <f t="shared" si="569"/>
        <v>177.65999807447329</v>
      </c>
      <c r="AW856" s="163">
        <f t="shared" si="548"/>
        <v>0</v>
      </c>
      <c r="AX856" s="163">
        <f t="shared" si="549"/>
        <v>0</v>
      </c>
      <c r="AY856" s="165">
        <f t="shared" si="570"/>
        <v>-0.31732403669488463</v>
      </c>
      <c r="AZ856" s="164">
        <f>IF($E856="","",IF(OR(AND($D856=Input!$C$6,$C856=12),$AN856=1),0,-AS857+AT857+AU857-AV857-AW857-AX857+AZ857))</f>
        <v>0</v>
      </c>
      <c r="BA856" s="154">
        <f t="shared" si="550"/>
        <v>0.31732403669488463</v>
      </c>
      <c r="BC856" s="147">
        <f t="shared" si="571"/>
        <v>9.1496377046985985E-18</v>
      </c>
      <c r="BD856" s="164">
        <f>IF(AND($C855=12,$D855=Input!$C$6),0,IF($E856="","",AT856+(AU856+BD857)/(1+$AK856)*MIN((1-AM856-AN856),1)))</f>
        <v>-99891.349698972044</v>
      </c>
      <c r="BE856" s="164">
        <f t="shared" si="551"/>
        <v>-9.1396965957894758E-13</v>
      </c>
      <c r="BF856" s="164">
        <f t="shared" si="572"/>
        <v>0</v>
      </c>
      <c r="BG856" s="164">
        <f t="shared" si="552"/>
        <v>0</v>
      </c>
      <c r="BH856" s="152"/>
      <c r="BI856" s="162">
        <f t="shared" si="553"/>
        <v>-24352.206667602837</v>
      </c>
      <c r="BJ856" s="150">
        <f t="shared" si="554"/>
        <v>0</v>
      </c>
      <c r="BK856" s="163">
        <f t="shared" si="576"/>
        <v>0</v>
      </c>
      <c r="BL856" s="163">
        <f t="shared" si="555"/>
        <v>9649.1061677377857</v>
      </c>
      <c r="BM856" s="163">
        <f t="shared" si="577"/>
        <v>-114.54162277321805</v>
      </c>
      <c r="BN856" s="163">
        <f t="shared" si="556"/>
        <v>-4048.2553898771057</v>
      </c>
      <c r="BO856" s="163">
        <f t="shared" si="557"/>
        <v>-3790.6463726103057</v>
      </c>
      <c r="BP856" s="164">
        <f t="shared" si="578"/>
        <v>-41954.756220601252</v>
      </c>
      <c r="BQ856" s="164">
        <f>IF($E856="","",IF(AND($D856=Input!$C$6,$C856=12),0,-BJ857+BK857+BL857-BM857-BN857-BO857+BQ857))</f>
        <v>-41954.719115980159</v>
      </c>
      <c r="BR856" s="161">
        <f t="shared" si="558"/>
        <v>0</v>
      </c>
      <c r="BT856" s="147">
        <f t="shared" si="559"/>
        <v>9.1496377046985985E-18</v>
      </c>
      <c r="BU856" s="164">
        <f>IF(AND($C855=12,$D855=Input!$C$6),0,IF($E856="","",BK856+(BL856+BU857)/(1+$AK856)*MIN((1-T856-U856),1)))</f>
        <v>74376.347165270432</v>
      </c>
      <c r="BV856" s="164">
        <f t="shared" si="560"/>
        <v>6.8051663036111111E-13</v>
      </c>
      <c r="BW856" s="164">
        <f t="shared" si="561"/>
        <v>-41954.719115980159</v>
      </c>
      <c r="BX856" s="164">
        <f t="shared" si="562"/>
        <v>-3.838704799136111E-13</v>
      </c>
    </row>
    <row r="857" spans="1:76" s="150" customFormat="1" x14ac:dyDescent="0.25">
      <c r="A857" s="150">
        <f t="shared" si="573"/>
        <v>853</v>
      </c>
      <c r="B857" s="150">
        <f t="shared" si="574"/>
        <v>72</v>
      </c>
      <c r="C857" s="150">
        <f t="shared" si="575"/>
        <v>1</v>
      </c>
      <c r="D857" s="150">
        <f>IF(E857="","",Input!$C$4+B857-1)</f>
        <v>116</v>
      </c>
      <c r="E857" s="150">
        <f>IF(OR(AND(C856=12,D856=Input!$C$6),E856=""),"",1)</f>
        <v>1</v>
      </c>
      <c r="F857" s="150">
        <f>IF(E857="","",Input!$C$8+B857-1)</f>
        <v>2089</v>
      </c>
      <c r="G857" s="151">
        <f>IF(E857="","",MAX(0,Input!$C$9-B857))</f>
        <v>0</v>
      </c>
      <c r="H857" s="152">
        <f>IF(E857="","",Input!$C$3)</f>
        <v>100000</v>
      </c>
      <c r="I857" s="153">
        <f>IF(E857="","",HLOOKUP($B857,Input!$C$13:$BT$14,2))</f>
        <v>1000</v>
      </c>
      <c r="J857" s="154"/>
      <c r="K857" s="155">
        <f>IF($E857="","",INDEX(Input!$C$16:$CP$16,1,$B857))</f>
        <v>3.3140000000000003E-2</v>
      </c>
      <c r="L857" s="155">
        <f>IF($E857="","",Input!$C$37)</f>
        <v>1.4999999999999999E-2</v>
      </c>
      <c r="M857" s="155">
        <f t="shared" si="538"/>
        <v>4.8140000000000002E-2</v>
      </c>
      <c r="N857" s="155">
        <f t="shared" si="539"/>
        <v>3.9257828404828388E-3</v>
      </c>
      <c r="O857" s="147">
        <f>IF($E857="","",MIN(VLOOKUP(IF($B857&lt;=Input!$C$7,$B857,26),'Mortality Tables'!$A$41:$CW$67,IF($B857&lt;=Input!$C$7+1,Input!$C$4+2,$D857-Input!$C$7+2),0)*IF(B857&gt;20,Input!$C$22,1)/1000,1))</f>
        <v>1</v>
      </c>
      <c r="P857" s="147">
        <f>IF($E857="","",MIN(VLOOKUP(IF($B857&lt;=Input!$C$7,$B857,26),'Mortality Tables'!$A$12:$CW$37,IF($B857&lt;=Input!$C$7+1,Input!$C$4+2,$D857-Input!$C$7+2),0)*IF(B857&gt;20,Input!$C$22,1)/1000,1))</f>
        <v>1</v>
      </c>
      <c r="Q857" s="155">
        <f>IF($E857="","",Input!$C$21)</f>
        <v>5.0000000000000001E-3</v>
      </c>
      <c r="R857" s="159">
        <f>IF($E857="","",(1-Q857)^($F857-Input!$C$20))</f>
        <v>0.70054934757336229</v>
      </c>
      <c r="S857" s="147">
        <f t="shared" si="541"/>
        <v>0.70054934757336229</v>
      </c>
      <c r="T857" s="147">
        <f t="shared" si="542"/>
        <v>9.5600239559274547E-2</v>
      </c>
      <c r="U857" s="160">
        <f>IF($E857="","",IF($C857=12,INDEX(Input!$C$15:$CP$15,1,$B857),0))</f>
        <v>0</v>
      </c>
      <c r="V857" s="150">
        <f>IF(E857="","",IF(C857=1,IF($B857=1,Input!$C$33,Input!$C$34),0))</f>
        <v>50</v>
      </c>
      <c r="W857" s="156">
        <f>IF($E857="","",Input!$C$35)</f>
        <v>0.02</v>
      </c>
      <c r="X857" s="156">
        <f t="shared" si="540"/>
        <v>4.0795493873054074</v>
      </c>
      <c r="Y857" s="154"/>
      <c r="Z857" s="147">
        <f>IF($E857="","",VLOOKUP($D857,'Mortality Margins &amp; Grading'!$AB$5:$AF$125,3,0)*IF(Summary!$D$25="Included Margin",IF(AND($B857&gt;Input!$C$9,Summary!$D$31&lt;&gt;"Included Margin"),0,1),0))</f>
        <v>0.01</v>
      </c>
      <c r="AA857" s="147">
        <f>IF($E857="","",VLOOKUP($D857,'Mortality Margins &amp; Grading'!$AB$5:$AF$125,5,0)*IF(Summary!$D$25="Included Margin",IF(AND($B857&gt;Input!$C$9,Summary!$D$31&lt;&gt;"Included Margin"),0,1),0))</f>
        <v>5.2999999999999999E-2</v>
      </c>
      <c r="AB857" s="147">
        <f>IF($E857="","",IF(AND($B857&gt;Input!$C$9,Summary!$D$31&lt;&gt;"Included Margin"),1,IF(Summary!$D$25="Included Margin",VLOOKUP($B857,'Mortality Margins &amp; Grading'!$AI$5:$AR$125,MATCH('Mortality Margins &amp; Grading'!$AQ$4,'Mortality Margins &amp; Grading'!$AI$4:$AR$4,0),0),1)))</f>
        <v>0</v>
      </c>
      <c r="AC857" s="154"/>
      <c r="AD857" s="158">
        <f>IF(E857="","",Input!$C$48*IF(Summary!$D$30="Included Margin",IF(AND($B857&gt;Input!$C$9,Summary!$D$31&lt;&gt;"Included Margin"),0,1),0))</f>
        <v>-4.4999999999999997E-3</v>
      </c>
      <c r="AE857" s="159">
        <f>IF(E857="","",IF(Summary!$D$26="Included Margin",IF(AND($B857&gt;Input!$C$9,Summary!$D$31&lt;&gt;"Included Margin"),1,1/$R857),1))</f>
        <v>1.4274511902179439</v>
      </c>
      <c r="AF857" s="160">
        <f>IF(E857="","",IF(AND($B857&gt;=Input!$C$9,$C857=12,Summary!$D$31="Included Margin",$U857&gt;0),1/U857-1,IF($B857&gt;=Input!$C$9,0,Input!$C$45*IF(Summary!$D$27="Included Margin",1,0))))</f>
        <v>0</v>
      </c>
      <c r="AG857" s="160">
        <f>IF(E857="","",Input!$C$46*IF(Summary!$D$28="Included Margin",IF(AND($B857&gt;Input!$C$9,Summary!$D$31&lt;&gt;"Included Margin"),0,1),0))</f>
        <v>0.02</v>
      </c>
      <c r="AH857" s="158">
        <f>IF(E857="","",Input!$C$47*IF(Summary!$D$29="Included Margin",IF(AND($B857&gt;Input!$C$9,Summary!$D$31&lt;&gt;"Included Margin"),0,1),0))</f>
        <v>2.5000000000000001E-3</v>
      </c>
      <c r="AI857" s="154"/>
      <c r="AJ857" s="158">
        <f t="shared" si="563"/>
        <v>4.3640000000000005E-2</v>
      </c>
      <c r="AK857" s="155">
        <f t="shared" si="564"/>
        <v>3.565892922956726E-3</v>
      </c>
      <c r="AL857" s="147">
        <f t="shared" si="565"/>
        <v>1</v>
      </c>
      <c r="AM857" s="147">
        <f t="shared" si="543"/>
        <v>1</v>
      </c>
      <c r="AN857" s="160">
        <f t="shared" si="566"/>
        <v>0</v>
      </c>
      <c r="AO857" s="161">
        <f t="shared" si="567"/>
        <v>51</v>
      </c>
      <c r="AP857" s="156">
        <f t="shared" si="544"/>
        <v>4.8539520770236297</v>
      </c>
      <c r="AQ857" s="152"/>
      <c r="AR857" s="162">
        <f t="shared" si="545"/>
        <v>69.574233817036941</v>
      </c>
      <c r="AS857" s="150">
        <f t="shared" si="568"/>
        <v>100000</v>
      </c>
      <c r="AT857" s="163">
        <f t="shared" si="546"/>
        <v>247.55155592820512</v>
      </c>
      <c r="AU857" s="163">
        <f t="shared" si="547"/>
        <v>100000</v>
      </c>
      <c r="AV857" s="163">
        <f t="shared" si="569"/>
        <v>177.65999807447329</v>
      </c>
      <c r="AW857" s="163">
        <f t="shared" si="548"/>
        <v>99822.34000192552</v>
      </c>
      <c r="AX857" s="163">
        <f t="shared" si="549"/>
        <v>0</v>
      </c>
      <c r="AY857" s="164">
        <f t="shared" si="570"/>
        <v>99822.022677888832</v>
      </c>
      <c r="AZ857" s="164">
        <f>IF($E857="","",IF(OR(AND($D857=Input!$C$6,$C857=12),$AN857=1),0,-AS858+AT858+AU858-AV858-AW858-AX858+AZ858))</f>
        <v>99822.34000192552</v>
      </c>
      <c r="BA857" s="154">
        <f t="shared" si="550"/>
        <v>0.31732403668866027</v>
      </c>
      <c r="BC857" s="147">
        <f t="shared" si="571"/>
        <v>8.2749301482488409E-18</v>
      </c>
      <c r="BD857" s="164">
        <f>IF(AND($C856=12,$D856=Input!$C$6),0,IF($E857="","",AT857+(AU857+BD858)/(1+$AK857)*MIN((1-AM857-AN857),1)))</f>
        <v>247.55155592820512</v>
      </c>
      <c r="BE857" s="164">
        <v>0</v>
      </c>
      <c r="BF857" s="164">
        <f t="shared" si="572"/>
        <v>99822.34000192552</v>
      </c>
      <c r="BG857" s="164">
        <f t="shared" si="552"/>
        <v>8.2602289075067976E-13</v>
      </c>
      <c r="BH857" s="152"/>
      <c r="BI857" s="162">
        <f t="shared" si="553"/>
        <v>-41954.755878044991</v>
      </c>
      <c r="BJ857" s="150">
        <f t="shared" si="554"/>
        <v>100000</v>
      </c>
      <c r="BK857" s="163">
        <f t="shared" si="576"/>
        <v>203.97746936527037</v>
      </c>
      <c r="BL857" s="163">
        <f t="shared" si="555"/>
        <v>9560.0239559274542</v>
      </c>
      <c r="BM857" s="163">
        <f t="shared" si="577"/>
        <v>208.30696309613663</v>
      </c>
      <c r="BN857" s="163">
        <f t="shared" si="556"/>
        <v>5125.6272732728885</v>
      </c>
      <c r="BO857" s="163">
        <f t="shared" si="557"/>
        <v>0</v>
      </c>
      <c r="BP857" s="164">
        <f t="shared" si="578"/>
        <v>53615.176933031311</v>
      </c>
      <c r="BQ857" s="164">
        <f>IF($E857="","",IF(AND($D857=Input!$C$6,$C857=12),0,-BJ858+BK858+BL858-BM858-BN858-BO858+BQ858))</f>
        <v>53615.213695096143</v>
      </c>
      <c r="BR857" s="161">
        <f t="shared" si="558"/>
        <v>0</v>
      </c>
      <c r="BT857" s="147">
        <f t="shared" si="559"/>
        <v>8.2749301482488409E-18</v>
      </c>
      <c r="BU857" s="164">
        <f>IF(AND($C856=12,$D856=Input!$C$6),0,IF($E857="","",BK857+(BL857+BU858)/(1+$AK857)*MIN((1-T857-U857),1)))</f>
        <v>83245.399039735843</v>
      </c>
      <c r="BV857" s="164">
        <f t="shared" si="560"/>
        <v>6.8884986221691527E-13</v>
      </c>
      <c r="BW857" s="164">
        <f t="shared" si="561"/>
        <v>53615.213695096143</v>
      </c>
      <c r="BX857" s="164">
        <f t="shared" si="562"/>
        <v>4.4366214821035519E-13</v>
      </c>
    </row>
    <row r="858" spans="1:76" s="150" customFormat="1" x14ac:dyDescent="0.25">
      <c r="A858" s="150">
        <f t="shared" si="573"/>
        <v>854</v>
      </c>
      <c r="B858" s="150">
        <f t="shared" si="574"/>
        <v>72</v>
      </c>
      <c r="C858" s="150">
        <f t="shared" si="575"/>
        <v>2</v>
      </c>
      <c r="D858" s="150">
        <f>IF(E858="","",Input!$C$4+B858-1)</f>
        <v>116</v>
      </c>
      <c r="E858" s="150">
        <f>IF(OR(AND(C857=12,D857=Input!$C$6),E857=""),"",1)</f>
        <v>1</v>
      </c>
      <c r="F858" s="150">
        <f>IF(E858="","",Input!$C$8+B858-1)</f>
        <v>2089</v>
      </c>
      <c r="G858" s="151">
        <f>IF(E858="","",MAX(0,Input!$C$9-B858))</f>
        <v>0</v>
      </c>
      <c r="H858" s="152">
        <f>IF(E858="","",Input!$C$3)</f>
        <v>100000</v>
      </c>
      <c r="I858" s="153">
        <f>IF(E858="","",HLOOKUP($B858,Input!$C$13:$BT$14,2))</f>
        <v>1000</v>
      </c>
      <c r="J858" s="154"/>
      <c r="K858" s="155">
        <f>IF($E858="","",INDEX(Input!$C$16:$CP$16,1,$B858))</f>
        <v>3.3140000000000003E-2</v>
      </c>
      <c r="L858" s="155">
        <f>IF($E858="","",Input!$C$37)</f>
        <v>1.4999999999999999E-2</v>
      </c>
      <c r="M858" s="155">
        <f t="shared" si="538"/>
        <v>4.8140000000000002E-2</v>
      </c>
      <c r="N858" s="155">
        <f t="shared" si="539"/>
        <v>3.9257828404828388E-3</v>
      </c>
      <c r="O858" s="147">
        <f>IF($E858="","",MIN(VLOOKUP(IF($B858&lt;=Input!$C$7,$B858,26),'Mortality Tables'!$A$41:$CW$67,IF($B858&lt;=Input!$C$7+1,Input!$C$4+2,$D858-Input!$C$7+2),0)*IF(B858&gt;20,Input!$C$22,1)/1000,1))</f>
        <v>1</v>
      </c>
      <c r="P858" s="147">
        <f>IF($E858="","",MIN(VLOOKUP(IF($B858&lt;=Input!$C$7,$B858,26),'Mortality Tables'!$A$12:$CW$37,IF($B858&lt;=Input!$C$7+1,Input!$C$4+2,$D858-Input!$C$7+2),0)*IF(B858&gt;20,Input!$C$22,1)/1000,1))</f>
        <v>1</v>
      </c>
      <c r="Q858" s="155">
        <f>IF($E858="","",Input!$C$21)</f>
        <v>5.0000000000000001E-3</v>
      </c>
      <c r="R858" s="159">
        <f>IF($E858="","",(1-Q858)^($F858-Input!$C$20))</f>
        <v>0.70054934757336229</v>
      </c>
      <c r="S858" s="147">
        <f t="shared" si="541"/>
        <v>0.70054934757336229</v>
      </c>
      <c r="T858" s="147">
        <f t="shared" si="542"/>
        <v>9.5600239559274547E-2</v>
      </c>
      <c r="U858" s="160">
        <f>IF($E858="","",IF($C858=12,INDEX(Input!$C$15:$CP$15,1,$B858),0))</f>
        <v>0</v>
      </c>
      <c r="V858" s="150">
        <f>IF(E858="","",IF(C858=1,IF($B858=1,Input!$C$33,Input!$C$34),0))</f>
        <v>0</v>
      </c>
      <c r="W858" s="156">
        <f>IF($E858="","",Input!$C$35)</f>
        <v>0.02</v>
      </c>
      <c r="X858" s="156">
        <f t="shared" si="540"/>
        <v>4.0795493873054074</v>
      </c>
      <c r="Y858" s="154"/>
      <c r="Z858" s="147">
        <f>IF($E858="","",VLOOKUP($D858,'Mortality Margins &amp; Grading'!$AB$5:$AF$125,3,0)*IF(Summary!$D$25="Included Margin",IF(AND($B858&gt;Input!$C$9,Summary!$D$31&lt;&gt;"Included Margin"),0,1),0))</f>
        <v>0.01</v>
      </c>
      <c r="AA858" s="147">
        <f>IF($E858="","",VLOOKUP($D858,'Mortality Margins &amp; Grading'!$AB$5:$AF$125,5,0)*IF(Summary!$D$25="Included Margin",IF(AND($B858&gt;Input!$C$9,Summary!$D$31&lt;&gt;"Included Margin"),0,1),0))</f>
        <v>5.2999999999999999E-2</v>
      </c>
      <c r="AB858" s="147">
        <f>IF($E858="","",IF(AND($B858&gt;Input!$C$9,Summary!$D$31&lt;&gt;"Included Margin"),1,IF(Summary!$D$25="Included Margin",VLOOKUP($B858,'Mortality Margins &amp; Grading'!$AI$5:$AR$125,MATCH('Mortality Margins &amp; Grading'!$AQ$4,'Mortality Margins &amp; Grading'!$AI$4:$AR$4,0),0),1)))</f>
        <v>0</v>
      </c>
      <c r="AC858" s="154"/>
      <c r="AD858" s="158">
        <f>IF(E858="","",Input!$C$48*IF(Summary!$D$30="Included Margin",IF(AND($B858&gt;Input!$C$9,Summary!$D$31&lt;&gt;"Included Margin"),0,1),0))</f>
        <v>-4.4999999999999997E-3</v>
      </c>
      <c r="AE858" s="159">
        <f>IF(E858="","",IF(Summary!$D$26="Included Margin",IF(AND($B858&gt;Input!$C$9,Summary!$D$31&lt;&gt;"Included Margin"),1,1/$R858),1))</f>
        <v>1.4274511902179439</v>
      </c>
      <c r="AF858" s="160">
        <f>IF(E858="","",IF(AND($B858&gt;=Input!$C$9,$C858=12,Summary!$D$31="Included Margin",$U858&gt;0),1/U858-1,IF($B858&gt;=Input!$C$9,0,Input!$C$45*IF(Summary!$D$27="Included Margin",1,0))))</f>
        <v>0</v>
      </c>
      <c r="AG858" s="160">
        <f>IF(E858="","",Input!$C$46*IF(Summary!$D$28="Included Margin",IF(AND($B858&gt;Input!$C$9,Summary!$D$31&lt;&gt;"Included Margin"),0,1),0))</f>
        <v>0.02</v>
      </c>
      <c r="AH858" s="158">
        <f>IF(E858="","",Input!$C$47*IF(Summary!$D$29="Included Margin",IF(AND($B858&gt;Input!$C$9,Summary!$D$31&lt;&gt;"Included Margin"),0,1),0))</f>
        <v>2.5000000000000001E-3</v>
      </c>
      <c r="AI858" s="154"/>
      <c r="AJ858" s="158">
        <f t="shared" si="563"/>
        <v>4.3640000000000005E-2</v>
      </c>
      <c r="AK858" s="155">
        <f t="shared" si="564"/>
        <v>3.565892922956726E-3</v>
      </c>
      <c r="AL858" s="147">
        <f t="shared" si="565"/>
        <v>1</v>
      </c>
      <c r="AM858" s="147">
        <f t="shared" si="543"/>
        <v>1</v>
      </c>
      <c r="AN858" s="160">
        <f t="shared" si="566"/>
        <v>0</v>
      </c>
      <c r="AO858" s="161">
        <f t="shared" si="567"/>
        <v>0</v>
      </c>
      <c r="AP858" s="156">
        <f t="shared" si="544"/>
        <v>4.8539520770236297</v>
      </c>
      <c r="AQ858" s="152"/>
      <c r="AR858" s="162">
        <f t="shared" si="545"/>
        <v>99822.022677888832</v>
      </c>
      <c r="AS858" s="150">
        <f t="shared" si="568"/>
        <v>0</v>
      </c>
      <c r="AT858" s="163">
        <f t="shared" si="546"/>
        <v>0</v>
      </c>
      <c r="AU858" s="163">
        <f t="shared" si="547"/>
        <v>100000</v>
      </c>
      <c r="AV858" s="163">
        <f t="shared" si="569"/>
        <v>177.65999807447329</v>
      </c>
      <c r="AW858" s="163">
        <f t="shared" si="548"/>
        <v>99822.34000192552</v>
      </c>
      <c r="AX858" s="163">
        <f t="shared" si="549"/>
        <v>0</v>
      </c>
      <c r="AY858" s="165">
        <f t="shared" si="570"/>
        <v>99822.022677888832</v>
      </c>
      <c r="AZ858" s="164">
        <f>IF($E858="","",IF(OR(AND($D858=Input!$C$6,$C858=12),$AN858=1),0,-AS859+AT859+AU859-AV859-AW859-AX859+AZ859))</f>
        <v>99822.34000192552</v>
      </c>
      <c r="BA858" s="154">
        <f t="shared" si="550"/>
        <v>0.31732403668866027</v>
      </c>
      <c r="BC858" s="147">
        <f t="shared" si="571"/>
        <v>7.4838448437399881E-18</v>
      </c>
      <c r="BD858" s="164">
        <f>IF(AND($C857=12,$D857=Input!$C$6),0,IF($E858="","",AT858+(AU858+BD859)/(1+$AK858)*MIN((1-AM858-AN858),1)))</f>
        <v>0</v>
      </c>
      <c r="BE858" s="164">
        <f t="shared" ref="BE858:BE921" si="579">IF($E858="","",BC858*BD858)</f>
        <v>0</v>
      </c>
      <c r="BF858" s="164">
        <f t="shared" si="572"/>
        <v>99822.34000192552</v>
      </c>
      <c r="BG858" s="164">
        <f t="shared" si="552"/>
        <v>7.4705490451347025E-13</v>
      </c>
      <c r="BH858" s="152"/>
      <c r="BI858" s="162">
        <f t="shared" si="553"/>
        <v>53615.176933031311</v>
      </c>
      <c r="BJ858" s="150">
        <f t="shared" si="554"/>
        <v>0</v>
      </c>
      <c r="BK858" s="163">
        <f t="shared" si="576"/>
        <v>0</v>
      </c>
      <c r="BL858" s="163">
        <f t="shared" si="555"/>
        <v>9560.0239559274542</v>
      </c>
      <c r="BM858" s="163">
        <f t="shared" si="577"/>
        <v>191.71625259275322</v>
      </c>
      <c r="BN858" s="163">
        <f t="shared" si="556"/>
        <v>4677.1516287308114</v>
      </c>
      <c r="BO858" s="163">
        <f t="shared" si="557"/>
        <v>0</v>
      </c>
      <c r="BP858" s="164">
        <f t="shared" si="578"/>
        <v>48924.020858427422</v>
      </c>
      <c r="BQ858" s="164">
        <f>IF($E858="","",IF(AND($D858=Input!$C$6,$C858=12),0,-BJ859+BK859+BL859-BM859-BN859-BO859+BQ859))</f>
        <v>48924.057620492255</v>
      </c>
      <c r="BR858" s="161">
        <f t="shared" si="558"/>
        <v>0</v>
      </c>
      <c r="BT858" s="147">
        <f t="shared" si="559"/>
        <v>7.4838448437399881E-18</v>
      </c>
      <c r="BU858" s="164">
        <f>IF(AND($C857=12,$D857=Input!$C$6),0,IF($E858="","",BK858+(BL858+BU859)/(1+$AK858)*MIN((1-T858-U858),1)))</f>
        <v>82586.770009662709</v>
      </c>
      <c r="BV858" s="164">
        <f t="shared" si="560"/>
        <v>6.1806657289795458E-13</v>
      </c>
      <c r="BW858" s="164">
        <f t="shared" si="561"/>
        <v>48924.057620492255</v>
      </c>
      <c r="BX858" s="164">
        <f t="shared" si="562"/>
        <v>3.6614005635795901E-13</v>
      </c>
    </row>
    <row r="859" spans="1:76" s="150" customFormat="1" x14ac:dyDescent="0.25">
      <c r="A859" s="150">
        <f t="shared" si="573"/>
        <v>855</v>
      </c>
      <c r="B859" s="150">
        <f t="shared" si="574"/>
        <v>72</v>
      </c>
      <c r="C859" s="150">
        <f t="shared" si="575"/>
        <v>3</v>
      </c>
      <c r="D859" s="150">
        <f>IF(E859="","",Input!$C$4+B859-1)</f>
        <v>116</v>
      </c>
      <c r="E859" s="150">
        <f>IF(OR(AND(C858=12,D858=Input!$C$6),E858=""),"",1)</f>
        <v>1</v>
      </c>
      <c r="F859" s="150">
        <f>IF(E859="","",Input!$C$8+B859-1)</f>
        <v>2089</v>
      </c>
      <c r="G859" s="151">
        <f>IF(E859="","",MAX(0,Input!$C$9-B859))</f>
        <v>0</v>
      </c>
      <c r="H859" s="152">
        <f>IF(E859="","",Input!$C$3)</f>
        <v>100000</v>
      </c>
      <c r="I859" s="153">
        <f>IF(E859="","",HLOOKUP($B859,Input!$C$13:$BT$14,2))</f>
        <v>1000</v>
      </c>
      <c r="J859" s="154"/>
      <c r="K859" s="155">
        <f>IF($E859="","",INDEX(Input!$C$16:$CP$16,1,$B859))</f>
        <v>3.3140000000000003E-2</v>
      </c>
      <c r="L859" s="155">
        <f>IF($E859="","",Input!$C$37)</f>
        <v>1.4999999999999999E-2</v>
      </c>
      <c r="M859" s="155">
        <f t="shared" si="538"/>
        <v>4.8140000000000002E-2</v>
      </c>
      <c r="N859" s="155">
        <f t="shared" si="539"/>
        <v>3.9257828404828388E-3</v>
      </c>
      <c r="O859" s="147">
        <f>IF($E859="","",MIN(VLOOKUP(IF($B859&lt;=Input!$C$7,$B859,26),'Mortality Tables'!$A$41:$CW$67,IF($B859&lt;=Input!$C$7+1,Input!$C$4+2,$D859-Input!$C$7+2),0)*IF(B859&gt;20,Input!$C$22,1)/1000,1))</f>
        <v>1</v>
      </c>
      <c r="P859" s="147">
        <f>IF($E859="","",MIN(VLOOKUP(IF($B859&lt;=Input!$C$7,$B859,26),'Mortality Tables'!$A$12:$CW$37,IF($B859&lt;=Input!$C$7+1,Input!$C$4+2,$D859-Input!$C$7+2),0)*IF(B859&gt;20,Input!$C$22,1)/1000,1))</f>
        <v>1</v>
      </c>
      <c r="Q859" s="155">
        <f>IF($E859="","",Input!$C$21)</f>
        <v>5.0000000000000001E-3</v>
      </c>
      <c r="R859" s="159">
        <f>IF($E859="","",(1-Q859)^($F859-Input!$C$20))</f>
        <v>0.70054934757336229</v>
      </c>
      <c r="S859" s="147">
        <f t="shared" si="541"/>
        <v>0.70054934757336229</v>
      </c>
      <c r="T859" s="147">
        <f t="shared" si="542"/>
        <v>9.5600239559274547E-2</v>
      </c>
      <c r="U859" s="160">
        <f>IF($E859="","",IF($C859=12,INDEX(Input!$C$15:$CP$15,1,$B859),0))</f>
        <v>0</v>
      </c>
      <c r="V859" s="150">
        <f>IF(E859="","",IF(C859=1,IF($B859=1,Input!$C$33,Input!$C$34),0))</f>
        <v>0</v>
      </c>
      <c r="W859" s="156">
        <f>IF($E859="","",Input!$C$35)</f>
        <v>0.02</v>
      </c>
      <c r="X859" s="156">
        <f t="shared" si="540"/>
        <v>4.0795493873054074</v>
      </c>
      <c r="Y859" s="154"/>
      <c r="Z859" s="147">
        <f>IF($E859="","",VLOOKUP($D859,'Mortality Margins &amp; Grading'!$AB$5:$AF$125,3,0)*IF(Summary!$D$25="Included Margin",IF(AND($B859&gt;Input!$C$9,Summary!$D$31&lt;&gt;"Included Margin"),0,1),0))</f>
        <v>0.01</v>
      </c>
      <c r="AA859" s="147">
        <f>IF($E859="","",VLOOKUP($D859,'Mortality Margins &amp; Grading'!$AB$5:$AF$125,5,0)*IF(Summary!$D$25="Included Margin",IF(AND($B859&gt;Input!$C$9,Summary!$D$31&lt;&gt;"Included Margin"),0,1),0))</f>
        <v>5.2999999999999999E-2</v>
      </c>
      <c r="AB859" s="147">
        <f>IF($E859="","",IF(AND($B859&gt;Input!$C$9,Summary!$D$31&lt;&gt;"Included Margin"),1,IF(Summary!$D$25="Included Margin",VLOOKUP($B859,'Mortality Margins &amp; Grading'!$AI$5:$AR$125,MATCH('Mortality Margins &amp; Grading'!$AQ$4,'Mortality Margins &amp; Grading'!$AI$4:$AR$4,0),0),1)))</f>
        <v>0</v>
      </c>
      <c r="AC859" s="154"/>
      <c r="AD859" s="158">
        <f>IF(E859="","",Input!$C$48*IF(Summary!$D$30="Included Margin",IF(AND($B859&gt;Input!$C$9,Summary!$D$31&lt;&gt;"Included Margin"),0,1),0))</f>
        <v>-4.4999999999999997E-3</v>
      </c>
      <c r="AE859" s="159">
        <f>IF(E859="","",IF(Summary!$D$26="Included Margin",IF(AND($B859&gt;Input!$C$9,Summary!$D$31&lt;&gt;"Included Margin"),1,1/$R859),1))</f>
        <v>1.4274511902179439</v>
      </c>
      <c r="AF859" s="160">
        <f>IF(E859="","",IF(AND($B859&gt;=Input!$C$9,$C859=12,Summary!$D$31="Included Margin",$U859&gt;0),1/U859-1,IF($B859&gt;=Input!$C$9,0,Input!$C$45*IF(Summary!$D$27="Included Margin",1,0))))</f>
        <v>0</v>
      </c>
      <c r="AG859" s="160">
        <f>IF(E859="","",Input!$C$46*IF(Summary!$D$28="Included Margin",IF(AND($B859&gt;Input!$C$9,Summary!$D$31&lt;&gt;"Included Margin"),0,1),0))</f>
        <v>0.02</v>
      </c>
      <c r="AH859" s="158">
        <f>IF(E859="","",Input!$C$47*IF(Summary!$D$29="Included Margin",IF(AND($B859&gt;Input!$C$9,Summary!$D$31&lt;&gt;"Included Margin"),0,1),0))</f>
        <v>2.5000000000000001E-3</v>
      </c>
      <c r="AI859" s="154"/>
      <c r="AJ859" s="158">
        <f t="shared" si="563"/>
        <v>4.3640000000000005E-2</v>
      </c>
      <c r="AK859" s="155">
        <f t="shared" si="564"/>
        <v>3.565892922956726E-3</v>
      </c>
      <c r="AL859" s="147">
        <f t="shared" si="565"/>
        <v>1</v>
      </c>
      <c r="AM859" s="147">
        <f t="shared" si="543"/>
        <v>1</v>
      </c>
      <c r="AN859" s="160">
        <f t="shared" si="566"/>
        <v>0</v>
      </c>
      <c r="AO859" s="161">
        <f t="shared" si="567"/>
        <v>0</v>
      </c>
      <c r="AP859" s="156">
        <f t="shared" si="544"/>
        <v>4.8539520770236297</v>
      </c>
      <c r="AQ859" s="152"/>
      <c r="AR859" s="162">
        <f t="shared" si="545"/>
        <v>99822.022677888832</v>
      </c>
      <c r="AS859" s="150">
        <f t="shared" si="568"/>
        <v>0</v>
      </c>
      <c r="AT859" s="163">
        <f t="shared" si="546"/>
        <v>0</v>
      </c>
      <c r="AU859" s="163">
        <f t="shared" si="547"/>
        <v>100000</v>
      </c>
      <c r="AV859" s="163">
        <f t="shared" si="569"/>
        <v>177.65999807447329</v>
      </c>
      <c r="AW859" s="163">
        <f t="shared" si="548"/>
        <v>99822.34000192552</v>
      </c>
      <c r="AX859" s="163">
        <f t="shared" si="549"/>
        <v>0</v>
      </c>
      <c r="AY859" s="164">
        <f t="shared" si="570"/>
        <v>99822.022677888832</v>
      </c>
      <c r="AZ859" s="164">
        <f>IF($E859="","",IF(OR(AND($D859=Input!$C$6,$C859=12),$AN859=1),0,-AS860+AT860+AU860-AV860-AW860-AX860+AZ860))</f>
        <v>99822.34000192552</v>
      </c>
      <c r="BA859" s="154">
        <f t="shared" si="550"/>
        <v>0.31732403668866027</v>
      </c>
      <c r="BC859" s="147">
        <f t="shared" si="571"/>
        <v>6.7683874838540034E-18</v>
      </c>
      <c r="BD859" s="164">
        <f>IF(AND($C858=12,$D858=Input!$C$6),0,IF($E859="","",AT859+(AU859+BD860)/(1+$AK859)*MIN((1-AM859-AN859),1)))</f>
        <v>0</v>
      </c>
      <c r="BE859" s="164">
        <f t="shared" si="579"/>
        <v>0</v>
      </c>
      <c r="BF859" s="164">
        <f t="shared" si="572"/>
        <v>99822.34000192552</v>
      </c>
      <c r="BG859" s="164">
        <f t="shared" si="552"/>
        <v>6.756362766780515E-13</v>
      </c>
      <c r="BH859" s="152"/>
      <c r="BI859" s="162">
        <f t="shared" si="553"/>
        <v>48924.020858427422</v>
      </c>
      <c r="BJ859" s="150">
        <f t="shared" si="554"/>
        <v>0</v>
      </c>
      <c r="BK859" s="163">
        <f t="shared" si="576"/>
        <v>0</v>
      </c>
      <c r="BL859" s="163">
        <f t="shared" si="555"/>
        <v>9560.0239559274542</v>
      </c>
      <c r="BM859" s="163">
        <f t="shared" si="577"/>
        <v>173.29979257304643</v>
      </c>
      <c r="BN859" s="163">
        <f t="shared" si="556"/>
        <v>4179.3228120663862</v>
      </c>
      <c r="BO859" s="163">
        <f t="shared" si="557"/>
        <v>0</v>
      </c>
      <c r="BP859" s="164">
        <f t="shared" si="578"/>
        <v>43716.619507139396</v>
      </c>
      <c r="BQ859" s="164">
        <f>IF($E859="","",IF(AND($D859=Input!$C$6,$C859=12),0,-BJ860+BK860+BL860-BM860-BN860-BO860+BQ860))</f>
        <v>43716.656269204235</v>
      </c>
      <c r="BR859" s="161">
        <f t="shared" si="558"/>
        <v>0</v>
      </c>
      <c r="BT859" s="147">
        <f t="shared" si="559"/>
        <v>6.7683874838540034E-18</v>
      </c>
      <c r="BU859" s="164">
        <f>IF(AND($C858=12,$D858=Input!$C$6),0,IF($E859="","",BK859+(BL859+BU860)/(1+$AK859)*MIN((1-T859-U859),1)))</f>
        <v>82082.266559475756</v>
      </c>
      <c r="BV859" s="164">
        <f t="shared" si="560"/>
        <v>5.5556458562752374E-13</v>
      </c>
      <c r="BW859" s="164">
        <f t="shared" si="561"/>
        <v>43716.656269204235</v>
      </c>
      <c r="BX859" s="164">
        <f t="shared" si="562"/>
        <v>2.9589126912842962E-13</v>
      </c>
    </row>
    <row r="860" spans="1:76" s="150" customFormat="1" x14ac:dyDescent="0.25">
      <c r="A860" s="150">
        <f t="shared" si="573"/>
        <v>856</v>
      </c>
      <c r="B860" s="150">
        <f t="shared" si="574"/>
        <v>72</v>
      </c>
      <c r="C860" s="150">
        <f t="shared" si="575"/>
        <v>4</v>
      </c>
      <c r="D860" s="150">
        <f>IF(E860="","",Input!$C$4+B860-1)</f>
        <v>116</v>
      </c>
      <c r="E860" s="150">
        <f>IF(OR(AND(C859=12,D859=Input!$C$6),E859=""),"",1)</f>
        <v>1</v>
      </c>
      <c r="F860" s="150">
        <f>IF(E860="","",Input!$C$8+B860-1)</f>
        <v>2089</v>
      </c>
      <c r="G860" s="151">
        <f>IF(E860="","",MAX(0,Input!$C$9-B860))</f>
        <v>0</v>
      </c>
      <c r="H860" s="152">
        <f>IF(E860="","",Input!$C$3)</f>
        <v>100000</v>
      </c>
      <c r="I860" s="153">
        <f>IF(E860="","",HLOOKUP($B860,Input!$C$13:$BT$14,2))</f>
        <v>1000</v>
      </c>
      <c r="J860" s="154"/>
      <c r="K860" s="155">
        <f>IF($E860="","",INDEX(Input!$C$16:$CP$16,1,$B860))</f>
        <v>3.3140000000000003E-2</v>
      </c>
      <c r="L860" s="155">
        <f>IF($E860="","",Input!$C$37)</f>
        <v>1.4999999999999999E-2</v>
      </c>
      <c r="M860" s="155">
        <f t="shared" si="538"/>
        <v>4.8140000000000002E-2</v>
      </c>
      <c r="N860" s="155">
        <f t="shared" si="539"/>
        <v>3.9257828404828388E-3</v>
      </c>
      <c r="O860" s="147">
        <f>IF($E860="","",MIN(VLOOKUP(IF($B860&lt;=Input!$C$7,$B860,26),'Mortality Tables'!$A$41:$CW$67,IF($B860&lt;=Input!$C$7+1,Input!$C$4+2,$D860-Input!$C$7+2),0)*IF(B860&gt;20,Input!$C$22,1)/1000,1))</f>
        <v>1</v>
      </c>
      <c r="P860" s="147">
        <f>IF($E860="","",MIN(VLOOKUP(IF($B860&lt;=Input!$C$7,$B860,26),'Mortality Tables'!$A$12:$CW$37,IF($B860&lt;=Input!$C$7+1,Input!$C$4+2,$D860-Input!$C$7+2),0)*IF(B860&gt;20,Input!$C$22,1)/1000,1))</f>
        <v>1</v>
      </c>
      <c r="Q860" s="155">
        <f>IF($E860="","",Input!$C$21)</f>
        <v>5.0000000000000001E-3</v>
      </c>
      <c r="R860" s="159">
        <f>IF($E860="","",(1-Q860)^($F860-Input!$C$20))</f>
        <v>0.70054934757336229</v>
      </c>
      <c r="S860" s="147">
        <f t="shared" si="541"/>
        <v>0.70054934757336229</v>
      </c>
      <c r="T860" s="147">
        <f t="shared" si="542"/>
        <v>9.5600239559274547E-2</v>
      </c>
      <c r="U860" s="160">
        <f>IF($E860="","",IF($C860=12,INDEX(Input!$C$15:$CP$15,1,$B860),0))</f>
        <v>0</v>
      </c>
      <c r="V860" s="150">
        <f>IF(E860="","",IF(C860=1,IF($B860=1,Input!$C$33,Input!$C$34),0))</f>
        <v>0</v>
      </c>
      <c r="W860" s="156">
        <f>IF($E860="","",Input!$C$35)</f>
        <v>0.02</v>
      </c>
      <c r="X860" s="156">
        <f t="shared" si="540"/>
        <v>4.0795493873054074</v>
      </c>
      <c r="Y860" s="154"/>
      <c r="Z860" s="147">
        <f>IF($E860="","",VLOOKUP($D860,'Mortality Margins &amp; Grading'!$AB$5:$AF$125,3,0)*IF(Summary!$D$25="Included Margin",IF(AND($B860&gt;Input!$C$9,Summary!$D$31&lt;&gt;"Included Margin"),0,1),0))</f>
        <v>0.01</v>
      </c>
      <c r="AA860" s="147">
        <f>IF($E860="","",VLOOKUP($D860,'Mortality Margins &amp; Grading'!$AB$5:$AF$125,5,0)*IF(Summary!$D$25="Included Margin",IF(AND($B860&gt;Input!$C$9,Summary!$D$31&lt;&gt;"Included Margin"),0,1),0))</f>
        <v>5.2999999999999999E-2</v>
      </c>
      <c r="AB860" s="147">
        <f>IF($E860="","",IF(AND($B860&gt;Input!$C$9,Summary!$D$31&lt;&gt;"Included Margin"),1,IF(Summary!$D$25="Included Margin",VLOOKUP($B860,'Mortality Margins &amp; Grading'!$AI$5:$AR$125,MATCH('Mortality Margins &amp; Grading'!$AQ$4,'Mortality Margins &amp; Grading'!$AI$4:$AR$4,0),0),1)))</f>
        <v>0</v>
      </c>
      <c r="AC860" s="154"/>
      <c r="AD860" s="158">
        <f>IF(E860="","",Input!$C$48*IF(Summary!$D$30="Included Margin",IF(AND($B860&gt;Input!$C$9,Summary!$D$31&lt;&gt;"Included Margin"),0,1),0))</f>
        <v>-4.4999999999999997E-3</v>
      </c>
      <c r="AE860" s="159">
        <f>IF(E860="","",IF(Summary!$D$26="Included Margin",IF(AND($B860&gt;Input!$C$9,Summary!$D$31&lt;&gt;"Included Margin"),1,1/$R860),1))</f>
        <v>1.4274511902179439</v>
      </c>
      <c r="AF860" s="160">
        <f>IF(E860="","",IF(AND($B860&gt;=Input!$C$9,$C860=12,Summary!$D$31="Included Margin",$U860&gt;0),1/U860-1,IF($B860&gt;=Input!$C$9,0,Input!$C$45*IF(Summary!$D$27="Included Margin",1,0))))</f>
        <v>0</v>
      </c>
      <c r="AG860" s="160">
        <f>IF(E860="","",Input!$C$46*IF(Summary!$D$28="Included Margin",IF(AND($B860&gt;Input!$C$9,Summary!$D$31&lt;&gt;"Included Margin"),0,1),0))</f>
        <v>0.02</v>
      </c>
      <c r="AH860" s="158">
        <f>IF(E860="","",Input!$C$47*IF(Summary!$D$29="Included Margin",IF(AND($B860&gt;Input!$C$9,Summary!$D$31&lt;&gt;"Included Margin"),0,1),0))</f>
        <v>2.5000000000000001E-3</v>
      </c>
      <c r="AI860" s="154"/>
      <c r="AJ860" s="158">
        <f t="shared" si="563"/>
        <v>4.3640000000000005E-2</v>
      </c>
      <c r="AK860" s="155">
        <f t="shared" si="564"/>
        <v>3.565892922956726E-3</v>
      </c>
      <c r="AL860" s="147">
        <f t="shared" si="565"/>
        <v>1</v>
      </c>
      <c r="AM860" s="147">
        <f t="shared" si="543"/>
        <v>1</v>
      </c>
      <c r="AN860" s="160">
        <f t="shared" si="566"/>
        <v>0</v>
      </c>
      <c r="AO860" s="161">
        <f t="shared" si="567"/>
        <v>0</v>
      </c>
      <c r="AP860" s="156">
        <f t="shared" si="544"/>
        <v>4.8539520770236297</v>
      </c>
      <c r="AQ860" s="152"/>
      <c r="AR860" s="162">
        <f t="shared" si="545"/>
        <v>99822.022677888832</v>
      </c>
      <c r="AS860" s="150">
        <f t="shared" si="568"/>
        <v>0</v>
      </c>
      <c r="AT860" s="163">
        <f t="shared" si="546"/>
        <v>0</v>
      </c>
      <c r="AU860" s="163">
        <f t="shared" si="547"/>
        <v>100000</v>
      </c>
      <c r="AV860" s="163">
        <f t="shared" si="569"/>
        <v>177.65999807447329</v>
      </c>
      <c r="AW860" s="163">
        <f t="shared" si="548"/>
        <v>99822.34000192552</v>
      </c>
      <c r="AX860" s="163">
        <f t="shared" si="549"/>
        <v>0</v>
      </c>
      <c r="AY860" s="165">
        <f t="shared" si="570"/>
        <v>99822.022677888832</v>
      </c>
      <c r="AZ860" s="164">
        <f>IF($E860="","",IF(OR(AND($D860=Input!$C$6,$C860=12),$AN860=1),0,-AS861+AT861+AU861-AV861-AW861-AX861+AZ861))</f>
        <v>99822.34000192552</v>
      </c>
      <c r="BA860" s="154">
        <f t="shared" si="550"/>
        <v>0.31732403668866027</v>
      </c>
      <c r="BC860" s="147">
        <f t="shared" si="571"/>
        <v>6.1213280189675651E-18</v>
      </c>
      <c r="BD860" s="164">
        <f>IF(AND($C859=12,$D859=Input!$C$6),0,IF($E860="","",AT860+(AU860+BD861)/(1+$AK860)*MIN((1-AM860-AN860),1)))</f>
        <v>0</v>
      </c>
      <c r="BE860" s="164">
        <f t="shared" si="579"/>
        <v>0</v>
      </c>
      <c r="BF860" s="164">
        <f t="shared" si="572"/>
        <v>99822.34000192552</v>
      </c>
      <c r="BG860" s="164">
        <f t="shared" si="552"/>
        <v>6.1104528677269348E-13</v>
      </c>
      <c r="BH860" s="152"/>
      <c r="BI860" s="162">
        <f t="shared" si="553"/>
        <v>43716.619507139396</v>
      </c>
      <c r="BJ860" s="150">
        <f t="shared" si="554"/>
        <v>0</v>
      </c>
      <c r="BK860" s="163">
        <f t="shared" si="576"/>
        <v>0</v>
      </c>
      <c r="BL860" s="163">
        <f t="shared" si="555"/>
        <v>9560.0239559274542</v>
      </c>
      <c r="BM860" s="163">
        <f t="shared" si="577"/>
        <v>152.85666570465276</v>
      </c>
      <c r="BN860" s="163">
        <f t="shared" si="556"/>
        <v>3626.7096797422096</v>
      </c>
      <c r="BO860" s="163">
        <f t="shared" si="557"/>
        <v>0</v>
      </c>
      <c r="BP860" s="164">
        <f t="shared" si="578"/>
        <v>37936.161896658807</v>
      </c>
      <c r="BQ860" s="164">
        <f>IF($E860="","",IF(AND($D860=Input!$C$6,$C860=12),0,-BJ861+BK861+BL861-BM861-BN861-BO861+BQ861))</f>
        <v>37936.198658723639</v>
      </c>
      <c r="BR860" s="161">
        <f t="shared" si="558"/>
        <v>0</v>
      </c>
      <c r="BT860" s="147">
        <f t="shared" si="559"/>
        <v>6.1213280189675651E-18</v>
      </c>
      <c r="BU860" s="164">
        <f>IF(AND($C859=12,$D859=Input!$C$6),0,IF($E860="","",BK860+(BL860+BU861)/(1+$AK860)*MIN((1-T860-U860),1)))</f>
        <v>81522.445031855212</v>
      </c>
      <c r="BV860" s="164">
        <f t="shared" si="560"/>
        <v>4.9902562694823849E-13</v>
      </c>
      <c r="BW860" s="164">
        <f t="shared" si="561"/>
        <v>37936.198658723639</v>
      </c>
      <c r="BX860" s="164">
        <f t="shared" si="562"/>
        <v>2.3221991578276476E-13</v>
      </c>
    </row>
    <row r="861" spans="1:76" s="150" customFormat="1" x14ac:dyDescent="0.25">
      <c r="A861" s="150">
        <f t="shared" si="573"/>
        <v>857</v>
      </c>
      <c r="B861" s="150">
        <f t="shared" si="574"/>
        <v>72</v>
      </c>
      <c r="C861" s="150">
        <f t="shared" si="575"/>
        <v>5</v>
      </c>
      <c r="D861" s="150">
        <f>IF(E861="","",Input!$C$4+B861-1)</f>
        <v>116</v>
      </c>
      <c r="E861" s="150">
        <f>IF(OR(AND(C860=12,D860=Input!$C$6),E860=""),"",1)</f>
        <v>1</v>
      </c>
      <c r="F861" s="150">
        <f>IF(E861="","",Input!$C$8+B861-1)</f>
        <v>2089</v>
      </c>
      <c r="G861" s="151">
        <f>IF(E861="","",MAX(0,Input!$C$9-B861))</f>
        <v>0</v>
      </c>
      <c r="H861" s="152">
        <f>IF(E861="","",Input!$C$3)</f>
        <v>100000</v>
      </c>
      <c r="I861" s="153">
        <f>IF(E861="","",HLOOKUP($B861,Input!$C$13:$BT$14,2))</f>
        <v>1000</v>
      </c>
      <c r="J861" s="154"/>
      <c r="K861" s="155">
        <f>IF($E861="","",INDEX(Input!$C$16:$CP$16,1,$B861))</f>
        <v>3.3140000000000003E-2</v>
      </c>
      <c r="L861" s="155">
        <f>IF($E861="","",Input!$C$37)</f>
        <v>1.4999999999999999E-2</v>
      </c>
      <c r="M861" s="155">
        <f t="shared" si="538"/>
        <v>4.8140000000000002E-2</v>
      </c>
      <c r="N861" s="155">
        <f t="shared" si="539"/>
        <v>3.9257828404828388E-3</v>
      </c>
      <c r="O861" s="147">
        <f>IF($E861="","",MIN(VLOOKUP(IF($B861&lt;=Input!$C$7,$B861,26),'Mortality Tables'!$A$41:$CW$67,IF($B861&lt;=Input!$C$7+1,Input!$C$4+2,$D861-Input!$C$7+2),0)*IF(B861&gt;20,Input!$C$22,1)/1000,1))</f>
        <v>1</v>
      </c>
      <c r="P861" s="147">
        <f>IF($E861="","",MIN(VLOOKUP(IF($B861&lt;=Input!$C$7,$B861,26),'Mortality Tables'!$A$12:$CW$37,IF($B861&lt;=Input!$C$7+1,Input!$C$4+2,$D861-Input!$C$7+2),0)*IF(B861&gt;20,Input!$C$22,1)/1000,1))</f>
        <v>1</v>
      </c>
      <c r="Q861" s="155">
        <f>IF($E861="","",Input!$C$21)</f>
        <v>5.0000000000000001E-3</v>
      </c>
      <c r="R861" s="159">
        <f>IF($E861="","",(1-Q861)^($F861-Input!$C$20))</f>
        <v>0.70054934757336229</v>
      </c>
      <c r="S861" s="147">
        <f t="shared" si="541"/>
        <v>0.70054934757336229</v>
      </c>
      <c r="T861" s="147">
        <f t="shared" si="542"/>
        <v>9.5600239559274547E-2</v>
      </c>
      <c r="U861" s="160">
        <f>IF($E861="","",IF($C861=12,INDEX(Input!$C$15:$CP$15,1,$B861),0))</f>
        <v>0</v>
      </c>
      <c r="V861" s="150">
        <f>IF(E861="","",IF(C861=1,IF($B861=1,Input!$C$33,Input!$C$34),0))</f>
        <v>0</v>
      </c>
      <c r="W861" s="156">
        <f>IF($E861="","",Input!$C$35)</f>
        <v>0.02</v>
      </c>
      <c r="X861" s="156">
        <f t="shared" si="540"/>
        <v>4.0795493873054074</v>
      </c>
      <c r="Y861" s="154"/>
      <c r="Z861" s="147">
        <f>IF($E861="","",VLOOKUP($D861,'Mortality Margins &amp; Grading'!$AB$5:$AF$125,3,0)*IF(Summary!$D$25="Included Margin",IF(AND($B861&gt;Input!$C$9,Summary!$D$31&lt;&gt;"Included Margin"),0,1),0))</f>
        <v>0.01</v>
      </c>
      <c r="AA861" s="147">
        <f>IF($E861="","",VLOOKUP($D861,'Mortality Margins &amp; Grading'!$AB$5:$AF$125,5,0)*IF(Summary!$D$25="Included Margin",IF(AND($B861&gt;Input!$C$9,Summary!$D$31&lt;&gt;"Included Margin"),0,1),0))</f>
        <v>5.2999999999999999E-2</v>
      </c>
      <c r="AB861" s="147">
        <f>IF($E861="","",IF(AND($B861&gt;Input!$C$9,Summary!$D$31&lt;&gt;"Included Margin"),1,IF(Summary!$D$25="Included Margin",VLOOKUP($B861,'Mortality Margins &amp; Grading'!$AI$5:$AR$125,MATCH('Mortality Margins &amp; Grading'!$AQ$4,'Mortality Margins &amp; Grading'!$AI$4:$AR$4,0),0),1)))</f>
        <v>0</v>
      </c>
      <c r="AC861" s="154"/>
      <c r="AD861" s="158">
        <f>IF(E861="","",Input!$C$48*IF(Summary!$D$30="Included Margin",IF(AND($B861&gt;Input!$C$9,Summary!$D$31&lt;&gt;"Included Margin"),0,1),0))</f>
        <v>-4.4999999999999997E-3</v>
      </c>
      <c r="AE861" s="159">
        <f>IF(E861="","",IF(Summary!$D$26="Included Margin",IF(AND($B861&gt;Input!$C$9,Summary!$D$31&lt;&gt;"Included Margin"),1,1/$R861),1))</f>
        <v>1.4274511902179439</v>
      </c>
      <c r="AF861" s="160">
        <f>IF(E861="","",IF(AND($B861&gt;=Input!$C$9,$C861=12,Summary!$D$31="Included Margin",$U861&gt;0),1/U861-1,IF($B861&gt;=Input!$C$9,0,Input!$C$45*IF(Summary!$D$27="Included Margin",1,0))))</f>
        <v>0</v>
      </c>
      <c r="AG861" s="160">
        <f>IF(E861="","",Input!$C$46*IF(Summary!$D$28="Included Margin",IF(AND($B861&gt;Input!$C$9,Summary!$D$31&lt;&gt;"Included Margin"),0,1),0))</f>
        <v>0.02</v>
      </c>
      <c r="AH861" s="158">
        <f>IF(E861="","",Input!$C$47*IF(Summary!$D$29="Included Margin",IF(AND($B861&gt;Input!$C$9,Summary!$D$31&lt;&gt;"Included Margin"),0,1),0))</f>
        <v>2.5000000000000001E-3</v>
      </c>
      <c r="AI861" s="154"/>
      <c r="AJ861" s="158">
        <f t="shared" si="563"/>
        <v>4.3640000000000005E-2</v>
      </c>
      <c r="AK861" s="155">
        <f t="shared" si="564"/>
        <v>3.565892922956726E-3</v>
      </c>
      <c r="AL861" s="147">
        <f t="shared" si="565"/>
        <v>1</v>
      </c>
      <c r="AM861" s="147">
        <f t="shared" si="543"/>
        <v>1</v>
      </c>
      <c r="AN861" s="160">
        <f t="shared" si="566"/>
        <v>0</v>
      </c>
      <c r="AO861" s="161">
        <f t="shared" si="567"/>
        <v>0</v>
      </c>
      <c r="AP861" s="156">
        <f t="shared" si="544"/>
        <v>4.8539520770236297</v>
      </c>
      <c r="AQ861" s="152"/>
      <c r="AR861" s="162">
        <f t="shared" si="545"/>
        <v>99822.022677888832</v>
      </c>
      <c r="AS861" s="150">
        <f t="shared" si="568"/>
        <v>0</v>
      </c>
      <c r="AT861" s="163">
        <f t="shared" si="546"/>
        <v>0</v>
      </c>
      <c r="AU861" s="163">
        <f t="shared" si="547"/>
        <v>100000</v>
      </c>
      <c r="AV861" s="163">
        <f t="shared" si="569"/>
        <v>177.65999807447329</v>
      </c>
      <c r="AW861" s="163">
        <f t="shared" si="548"/>
        <v>99822.34000192552</v>
      </c>
      <c r="AX861" s="163">
        <f t="shared" si="549"/>
        <v>0</v>
      </c>
      <c r="AY861" s="164">
        <f t="shared" si="570"/>
        <v>99822.022677888832</v>
      </c>
      <c r="AZ861" s="164">
        <f>IF($E861="","",IF(OR(AND($D861=Input!$C$6,$C861=12),$AN861=1),0,-AS862+AT862+AU862-AV862-AW862-AX862+AZ862))</f>
        <v>99822.34000192552</v>
      </c>
      <c r="BA861" s="154">
        <f t="shared" si="550"/>
        <v>0.31732403668866027</v>
      </c>
      <c r="BC861" s="147">
        <f t="shared" si="571"/>
        <v>5.5361275939333664E-18</v>
      </c>
      <c r="BD861" s="164">
        <f>IF(AND($C860=12,$D860=Input!$C$6),0,IF($E861="","",AT861+(AU861+BD862)/(1+$AK861)*MIN((1-AM861-AN861),1)))</f>
        <v>0</v>
      </c>
      <c r="BE861" s="164">
        <f t="shared" si="579"/>
        <v>0</v>
      </c>
      <c r="BF861" s="164">
        <f t="shared" si="572"/>
        <v>99822.34000192552</v>
      </c>
      <c r="BG861" s="164">
        <f t="shared" si="552"/>
        <v>5.5262921097565839E-13</v>
      </c>
      <c r="BH861" s="152"/>
      <c r="BI861" s="162">
        <f t="shared" si="553"/>
        <v>37936.161896658799</v>
      </c>
      <c r="BJ861" s="150">
        <f t="shared" si="554"/>
        <v>0</v>
      </c>
      <c r="BK861" s="163">
        <f t="shared" si="576"/>
        <v>0</v>
      </c>
      <c r="BL861" s="163">
        <f t="shared" si="555"/>
        <v>9560.0239559274542</v>
      </c>
      <c r="BM861" s="163">
        <f t="shared" si="577"/>
        <v>130.16384440728959</v>
      </c>
      <c r="BN861" s="163">
        <f t="shared" si="556"/>
        <v>3013.2834099186443</v>
      </c>
      <c r="BO861" s="163">
        <f t="shared" si="557"/>
        <v>0</v>
      </c>
      <c r="BP861" s="164">
        <f t="shared" si="578"/>
        <v>31519.585195057276</v>
      </c>
      <c r="BQ861" s="164">
        <f>IF($E861="","",IF(AND($D861=Input!$C$6,$C861=12),0,-BJ862+BK862+BL862-BM862-BN862-BO862+BQ862))</f>
        <v>31519.621957122115</v>
      </c>
      <c r="BR861" s="161">
        <f t="shared" si="558"/>
        <v>0</v>
      </c>
      <c r="BT861" s="147">
        <f t="shared" si="559"/>
        <v>5.5361275939333664E-18</v>
      </c>
      <c r="BU861" s="164">
        <f>IF(AND($C860=12,$D860=Input!$C$6),0,IF($E861="","",BK861+(BL861+BU862)/(1+$AK861)*MIN((1-T861-U861),1)))</f>
        <v>80901.239879202098</v>
      </c>
      <c r="BV861" s="164">
        <f t="shared" si="560"/>
        <v>4.4787958647867319E-13</v>
      </c>
      <c r="BW861" s="164">
        <f t="shared" si="561"/>
        <v>31519.621957122115</v>
      </c>
      <c r="BX861" s="164">
        <f t="shared" si="562"/>
        <v>1.7449664886717176E-13</v>
      </c>
    </row>
    <row r="862" spans="1:76" s="150" customFormat="1" x14ac:dyDescent="0.25">
      <c r="A862" s="150">
        <f t="shared" si="573"/>
        <v>858</v>
      </c>
      <c r="B862" s="150">
        <f t="shared" si="574"/>
        <v>72</v>
      </c>
      <c r="C862" s="150">
        <f t="shared" si="575"/>
        <v>6</v>
      </c>
      <c r="D862" s="150">
        <f>IF(E862="","",Input!$C$4+B862-1)</f>
        <v>116</v>
      </c>
      <c r="E862" s="150">
        <f>IF(OR(AND(C861=12,D861=Input!$C$6),E861=""),"",1)</f>
        <v>1</v>
      </c>
      <c r="F862" s="150">
        <f>IF(E862="","",Input!$C$8+B862-1)</f>
        <v>2089</v>
      </c>
      <c r="G862" s="151">
        <f>IF(E862="","",MAX(0,Input!$C$9-B862))</f>
        <v>0</v>
      </c>
      <c r="H862" s="152">
        <f>IF(E862="","",Input!$C$3)</f>
        <v>100000</v>
      </c>
      <c r="I862" s="153">
        <f>IF(E862="","",HLOOKUP($B862,Input!$C$13:$BT$14,2))</f>
        <v>1000</v>
      </c>
      <c r="J862" s="154"/>
      <c r="K862" s="155">
        <f>IF($E862="","",INDEX(Input!$C$16:$CP$16,1,$B862))</f>
        <v>3.3140000000000003E-2</v>
      </c>
      <c r="L862" s="155">
        <f>IF($E862="","",Input!$C$37)</f>
        <v>1.4999999999999999E-2</v>
      </c>
      <c r="M862" s="155">
        <f t="shared" si="538"/>
        <v>4.8140000000000002E-2</v>
      </c>
      <c r="N862" s="155">
        <f t="shared" si="539"/>
        <v>3.9257828404828388E-3</v>
      </c>
      <c r="O862" s="147">
        <f>IF($E862="","",MIN(VLOOKUP(IF($B862&lt;=Input!$C$7,$B862,26),'Mortality Tables'!$A$41:$CW$67,IF($B862&lt;=Input!$C$7+1,Input!$C$4+2,$D862-Input!$C$7+2),0)*IF(B862&gt;20,Input!$C$22,1)/1000,1))</f>
        <v>1</v>
      </c>
      <c r="P862" s="147">
        <f>IF($E862="","",MIN(VLOOKUP(IF($B862&lt;=Input!$C$7,$B862,26),'Mortality Tables'!$A$12:$CW$37,IF($B862&lt;=Input!$C$7+1,Input!$C$4+2,$D862-Input!$C$7+2),0)*IF(B862&gt;20,Input!$C$22,1)/1000,1))</f>
        <v>1</v>
      </c>
      <c r="Q862" s="155">
        <f>IF($E862="","",Input!$C$21)</f>
        <v>5.0000000000000001E-3</v>
      </c>
      <c r="R862" s="159">
        <f>IF($E862="","",(1-Q862)^($F862-Input!$C$20))</f>
        <v>0.70054934757336229</v>
      </c>
      <c r="S862" s="147">
        <f t="shared" si="541"/>
        <v>0.70054934757336229</v>
      </c>
      <c r="T862" s="147">
        <f t="shared" si="542"/>
        <v>9.5600239559274547E-2</v>
      </c>
      <c r="U862" s="160">
        <f>IF($E862="","",IF($C862=12,INDEX(Input!$C$15:$CP$15,1,$B862),0))</f>
        <v>0</v>
      </c>
      <c r="V862" s="150">
        <f>IF(E862="","",IF(C862=1,IF($B862=1,Input!$C$33,Input!$C$34),0))</f>
        <v>0</v>
      </c>
      <c r="W862" s="156">
        <f>IF($E862="","",Input!$C$35)</f>
        <v>0.02</v>
      </c>
      <c r="X862" s="156">
        <f t="shared" si="540"/>
        <v>4.0795493873054074</v>
      </c>
      <c r="Y862" s="154"/>
      <c r="Z862" s="147">
        <f>IF($E862="","",VLOOKUP($D862,'Mortality Margins &amp; Grading'!$AB$5:$AF$125,3,0)*IF(Summary!$D$25="Included Margin",IF(AND($B862&gt;Input!$C$9,Summary!$D$31&lt;&gt;"Included Margin"),0,1),0))</f>
        <v>0.01</v>
      </c>
      <c r="AA862" s="147">
        <f>IF($E862="","",VLOOKUP($D862,'Mortality Margins &amp; Grading'!$AB$5:$AF$125,5,0)*IF(Summary!$D$25="Included Margin",IF(AND($B862&gt;Input!$C$9,Summary!$D$31&lt;&gt;"Included Margin"),0,1),0))</f>
        <v>5.2999999999999999E-2</v>
      </c>
      <c r="AB862" s="147">
        <f>IF($E862="","",IF(AND($B862&gt;Input!$C$9,Summary!$D$31&lt;&gt;"Included Margin"),1,IF(Summary!$D$25="Included Margin",VLOOKUP($B862,'Mortality Margins &amp; Grading'!$AI$5:$AR$125,MATCH('Mortality Margins &amp; Grading'!$AQ$4,'Mortality Margins &amp; Grading'!$AI$4:$AR$4,0),0),1)))</f>
        <v>0</v>
      </c>
      <c r="AC862" s="154"/>
      <c r="AD862" s="158">
        <f>IF(E862="","",Input!$C$48*IF(Summary!$D$30="Included Margin",IF(AND($B862&gt;Input!$C$9,Summary!$D$31&lt;&gt;"Included Margin"),0,1),0))</f>
        <v>-4.4999999999999997E-3</v>
      </c>
      <c r="AE862" s="159">
        <f>IF(E862="","",IF(Summary!$D$26="Included Margin",IF(AND($B862&gt;Input!$C$9,Summary!$D$31&lt;&gt;"Included Margin"),1,1/$R862),1))</f>
        <v>1.4274511902179439</v>
      </c>
      <c r="AF862" s="160">
        <f>IF(E862="","",IF(AND($B862&gt;=Input!$C$9,$C862=12,Summary!$D$31="Included Margin",$U862&gt;0),1/U862-1,IF($B862&gt;=Input!$C$9,0,Input!$C$45*IF(Summary!$D$27="Included Margin",1,0))))</f>
        <v>0</v>
      </c>
      <c r="AG862" s="160">
        <f>IF(E862="","",Input!$C$46*IF(Summary!$D$28="Included Margin",IF(AND($B862&gt;Input!$C$9,Summary!$D$31&lt;&gt;"Included Margin"),0,1),0))</f>
        <v>0.02</v>
      </c>
      <c r="AH862" s="158">
        <f>IF(E862="","",Input!$C$47*IF(Summary!$D$29="Included Margin",IF(AND($B862&gt;Input!$C$9,Summary!$D$31&lt;&gt;"Included Margin"),0,1),0))</f>
        <v>2.5000000000000001E-3</v>
      </c>
      <c r="AI862" s="154"/>
      <c r="AJ862" s="158">
        <f t="shared" si="563"/>
        <v>4.3640000000000005E-2</v>
      </c>
      <c r="AK862" s="155">
        <f t="shared" si="564"/>
        <v>3.565892922956726E-3</v>
      </c>
      <c r="AL862" s="147">
        <f t="shared" si="565"/>
        <v>1</v>
      </c>
      <c r="AM862" s="147">
        <f t="shared" si="543"/>
        <v>1</v>
      </c>
      <c r="AN862" s="160">
        <f t="shared" si="566"/>
        <v>0</v>
      </c>
      <c r="AO862" s="161">
        <f t="shared" si="567"/>
        <v>0</v>
      </c>
      <c r="AP862" s="156">
        <f t="shared" si="544"/>
        <v>4.8539520770236297</v>
      </c>
      <c r="AQ862" s="152"/>
      <c r="AR862" s="162">
        <f t="shared" si="545"/>
        <v>99822.022677888832</v>
      </c>
      <c r="AS862" s="150">
        <f t="shared" si="568"/>
        <v>0</v>
      </c>
      <c r="AT862" s="163">
        <f t="shared" si="546"/>
        <v>0</v>
      </c>
      <c r="AU862" s="163">
        <f t="shared" si="547"/>
        <v>100000</v>
      </c>
      <c r="AV862" s="163">
        <f t="shared" si="569"/>
        <v>177.65999807447329</v>
      </c>
      <c r="AW862" s="163">
        <f t="shared" si="548"/>
        <v>99822.34000192552</v>
      </c>
      <c r="AX862" s="163">
        <f t="shared" si="549"/>
        <v>0</v>
      </c>
      <c r="AY862" s="165">
        <f t="shared" si="570"/>
        <v>99822.022677888832</v>
      </c>
      <c r="AZ862" s="164">
        <f>IF($E862="","",IF(OR(AND($D862=Input!$C$6,$C862=12),$AN862=1),0,-AS863+AT863+AU863-AV863-AW863-AX863+AZ863))</f>
        <v>99822.34000192552</v>
      </c>
      <c r="BA862" s="154">
        <f t="shared" si="550"/>
        <v>0.31732403668866027</v>
      </c>
      <c r="BC862" s="147">
        <f t="shared" si="571"/>
        <v>5.0068724697226266E-18</v>
      </c>
      <c r="BD862" s="164">
        <f>IF(AND($C861=12,$D861=Input!$C$6),0,IF($E862="","",AT862+(AU862+BD863)/(1+$AK862)*MIN((1-AM862-AN862),1)))</f>
        <v>0</v>
      </c>
      <c r="BE862" s="164">
        <f t="shared" si="579"/>
        <v>0</v>
      </c>
      <c r="BF862" s="164">
        <f t="shared" si="572"/>
        <v>99822.34000192552</v>
      </c>
      <c r="BG862" s="164">
        <f t="shared" si="552"/>
        <v>4.9979772601893258E-13</v>
      </c>
      <c r="BH862" s="152"/>
      <c r="BI862" s="162">
        <f t="shared" si="553"/>
        <v>31519.585195057276</v>
      </c>
      <c r="BJ862" s="150">
        <f t="shared" si="554"/>
        <v>0</v>
      </c>
      <c r="BK862" s="163">
        <f t="shared" si="576"/>
        <v>0</v>
      </c>
      <c r="BL862" s="163">
        <f t="shared" si="555"/>
        <v>9560.0239559274542</v>
      </c>
      <c r="BM862" s="163">
        <f t="shared" si="577"/>
        <v>104.97375769750035</v>
      </c>
      <c r="BN862" s="163">
        <f t="shared" si="556"/>
        <v>2332.3517300523913</v>
      </c>
      <c r="BO862" s="163">
        <f t="shared" si="557"/>
        <v>0</v>
      </c>
      <c r="BP862" s="164">
        <f t="shared" si="578"/>
        <v>24396.886726879715</v>
      </c>
      <c r="BQ862" s="164">
        <f>IF($E862="","",IF(AND($D862=Input!$C$6,$C862=12),0,-BJ863+BK863+BL863-BM863-BN863-BO863+BQ863))</f>
        <v>24396.923488944551</v>
      </c>
      <c r="BR862" s="161">
        <f t="shared" si="558"/>
        <v>0</v>
      </c>
      <c r="BT862" s="147">
        <f t="shared" si="559"/>
        <v>5.0068724697226266E-18</v>
      </c>
      <c r="BU862" s="164">
        <f>IF(AND($C861=12,$D861=Input!$C$6),0,IF($E862="","",BK862+(BL862+BU863)/(1+$AK862)*MIN((1-T862-U862),1)))</f>
        <v>80211.920475350373</v>
      </c>
      <c r="BV862" s="164">
        <f t="shared" si="560"/>
        <v>4.0161085637161244E-13</v>
      </c>
      <c r="BW862" s="164">
        <f t="shared" si="561"/>
        <v>24396.923488944551</v>
      </c>
      <c r="BX862" s="164">
        <f t="shared" si="562"/>
        <v>1.2215228456272577E-13</v>
      </c>
    </row>
    <row r="863" spans="1:76" s="150" customFormat="1" x14ac:dyDescent="0.25">
      <c r="A863" s="150">
        <f t="shared" si="573"/>
        <v>859</v>
      </c>
      <c r="B863" s="150">
        <f t="shared" si="574"/>
        <v>72</v>
      </c>
      <c r="C863" s="150">
        <f t="shared" si="575"/>
        <v>7</v>
      </c>
      <c r="D863" s="150">
        <f>IF(E863="","",Input!$C$4+B863-1)</f>
        <v>116</v>
      </c>
      <c r="E863" s="150">
        <f>IF(OR(AND(C862=12,D862=Input!$C$6),E862=""),"",1)</f>
        <v>1</v>
      </c>
      <c r="F863" s="150">
        <f>IF(E863="","",Input!$C$8+B863-1)</f>
        <v>2089</v>
      </c>
      <c r="G863" s="151">
        <f>IF(E863="","",MAX(0,Input!$C$9-B863))</f>
        <v>0</v>
      </c>
      <c r="H863" s="152">
        <f>IF(E863="","",Input!$C$3)</f>
        <v>100000</v>
      </c>
      <c r="I863" s="153">
        <f>IF(E863="","",HLOOKUP($B863,Input!$C$13:$BT$14,2))</f>
        <v>1000</v>
      </c>
      <c r="J863" s="154"/>
      <c r="K863" s="155">
        <f>IF($E863="","",INDEX(Input!$C$16:$CP$16,1,$B863))</f>
        <v>3.3140000000000003E-2</v>
      </c>
      <c r="L863" s="155">
        <f>IF($E863="","",Input!$C$37)</f>
        <v>1.4999999999999999E-2</v>
      </c>
      <c r="M863" s="155">
        <f t="shared" si="538"/>
        <v>4.8140000000000002E-2</v>
      </c>
      <c r="N863" s="155">
        <f t="shared" si="539"/>
        <v>3.9257828404828388E-3</v>
      </c>
      <c r="O863" s="147">
        <f>IF($E863="","",MIN(VLOOKUP(IF($B863&lt;=Input!$C$7,$B863,26),'Mortality Tables'!$A$41:$CW$67,IF($B863&lt;=Input!$C$7+1,Input!$C$4+2,$D863-Input!$C$7+2),0)*IF(B863&gt;20,Input!$C$22,1)/1000,1))</f>
        <v>1</v>
      </c>
      <c r="P863" s="147">
        <f>IF($E863="","",MIN(VLOOKUP(IF($B863&lt;=Input!$C$7,$B863,26),'Mortality Tables'!$A$12:$CW$37,IF($B863&lt;=Input!$C$7+1,Input!$C$4+2,$D863-Input!$C$7+2),0)*IF(B863&gt;20,Input!$C$22,1)/1000,1))</f>
        <v>1</v>
      </c>
      <c r="Q863" s="155">
        <f>IF($E863="","",Input!$C$21)</f>
        <v>5.0000000000000001E-3</v>
      </c>
      <c r="R863" s="159">
        <f>IF($E863="","",(1-Q863)^($F863-Input!$C$20))</f>
        <v>0.70054934757336229</v>
      </c>
      <c r="S863" s="147">
        <f t="shared" si="541"/>
        <v>0.70054934757336229</v>
      </c>
      <c r="T863" s="147">
        <f t="shared" si="542"/>
        <v>9.5600239559274547E-2</v>
      </c>
      <c r="U863" s="160">
        <f>IF($E863="","",IF($C863=12,INDEX(Input!$C$15:$CP$15,1,$B863),0))</f>
        <v>0</v>
      </c>
      <c r="V863" s="150">
        <f>IF(E863="","",IF(C863=1,IF($B863=1,Input!$C$33,Input!$C$34),0))</f>
        <v>0</v>
      </c>
      <c r="W863" s="156">
        <f>IF($E863="","",Input!$C$35)</f>
        <v>0.02</v>
      </c>
      <c r="X863" s="156">
        <f t="shared" si="540"/>
        <v>4.0795493873054074</v>
      </c>
      <c r="Y863" s="154"/>
      <c r="Z863" s="147">
        <f>IF($E863="","",VLOOKUP($D863,'Mortality Margins &amp; Grading'!$AB$5:$AF$125,3,0)*IF(Summary!$D$25="Included Margin",IF(AND($B863&gt;Input!$C$9,Summary!$D$31&lt;&gt;"Included Margin"),0,1),0))</f>
        <v>0.01</v>
      </c>
      <c r="AA863" s="147">
        <f>IF($E863="","",VLOOKUP($D863,'Mortality Margins &amp; Grading'!$AB$5:$AF$125,5,0)*IF(Summary!$D$25="Included Margin",IF(AND($B863&gt;Input!$C$9,Summary!$D$31&lt;&gt;"Included Margin"),0,1),0))</f>
        <v>5.2999999999999999E-2</v>
      </c>
      <c r="AB863" s="147">
        <f>IF($E863="","",IF(AND($B863&gt;Input!$C$9,Summary!$D$31&lt;&gt;"Included Margin"),1,IF(Summary!$D$25="Included Margin",VLOOKUP($B863,'Mortality Margins &amp; Grading'!$AI$5:$AR$125,MATCH('Mortality Margins &amp; Grading'!$AQ$4,'Mortality Margins &amp; Grading'!$AI$4:$AR$4,0),0),1)))</f>
        <v>0</v>
      </c>
      <c r="AC863" s="154"/>
      <c r="AD863" s="158">
        <f>IF(E863="","",Input!$C$48*IF(Summary!$D$30="Included Margin",IF(AND($B863&gt;Input!$C$9,Summary!$D$31&lt;&gt;"Included Margin"),0,1),0))</f>
        <v>-4.4999999999999997E-3</v>
      </c>
      <c r="AE863" s="159">
        <f>IF(E863="","",IF(Summary!$D$26="Included Margin",IF(AND($B863&gt;Input!$C$9,Summary!$D$31&lt;&gt;"Included Margin"),1,1/$R863),1))</f>
        <v>1.4274511902179439</v>
      </c>
      <c r="AF863" s="160">
        <f>IF(E863="","",IF(AND($B863&gt;=Input!$C$9,$C863=12,Summary!$D$31="Included Margin",$U863&gt;0),1/U863-1,IF($B863&gt;=Input!$C$9,0,Input!$C$45*IF(Summary!$D$27="Included Margin",1,0))))</f>
        <v>0</v>
      </c>
      <c r="AG863" s="160">
        <f>IF(E863="","",Input!$C$46*IF(Summary!$D$28="Included Margin",IF(AND($B863&gt;Input!$C$9,Summary!$D$31&lt;&gt;"Included Margin"),0,1),0))</f>
        <v>0.02</v>
      </c>
      <c r="AH863" s="158">
        <f>IF(E863="","",Input!$C$47*IF(Summary!$D$29="Included Margin",IF(AND($B863&gt;Input!$C$9,Summary!$D$31&lt;&gt;"Included Margin"),0,1),0))</f>
        <v>2.5000000000000001E-3</v>
      </c>
      <c r="AI863" s="154"/>
      <c r="AJ863" s="158">
        <f t="shared" si="563"/>
        <v>4.3640000000000005E-2</v>
      </c>
      <c r="AK863" s="155">
        <f t="shared" si="564"/>
        <v>3.565892922956726E-3</v>
      </c>
      <c r="AL863" s="147">
        <f t="shared" si="565"/>
        <v>1</v>
      </c>
      <c r="AM863" s="147">
        <f t="shared" si="543"/>
        <v>1</v>
      </c>
      <c r="AN863" s="160">
        <f t="shared" si="566"/>
        <v>0</v>
      </c>
      <c r="AO863" s="161">
        <f t="shared" si="567"/>
        <v>0</v>
      </c>
      <c r="AP863" s="156">
        <f t="shared" si="544"/>
        <v>4.8539520770236297</v>
      </c>
      <c r="AQ863" s="152"/>
      <c r="AR863" s="162">
        <f t="shared" si="545"/>
        <v>99822.022677888832</v>
      </c>
      <c r="AS863" s="150">
        <f t="shared" si="568"/>
        <v>0</v>
      </c>
      <c r="AT863" s="163">
        <f t="shared" si="546"/>
        <v>0</v>
      </c>
      <c r="AU863" s="163">
        <f t="shared" si="547"/>
        <v>100000</v>
      </c>
      <c r="AV863" s="163">
        <f t="shared" si="569"/>
        <v>177.65999807447329</v>
      </c>
      <c r="AW863" s="163">
        <f t="shared" si="548"/>
        <v>99822.34000192552</v>
      </c>
      <c r="AX863" s="163">
        <f t="shared" si="549"/>
        <v>0</v>
      </c>
      <c r="AY863" s="164">
        <f t="shared" si="570"/>
        <v>99822.022677888832</v>
      </c>
      <c r="AZ863" s="164">
        <f>IF($E863="","",IF(OR(AND($D863=Input!$C$6,$C863=12),$AN863=1),0,-AS864+AT864+AU864-AV864-AW864-AX864+AZ864))</f>
        <v>99822.34000192552</v>
      </c>
      <c r="BA863" s="154">
        <f t="shared" si="550"/>
        <v>0.31732403668866027</v>
      </c>
      <c r="BC863" s="147">
        <f t="shared" si="571"/>
        <v>4.528214262174407E-18</v>
      </c>
      <c r="BD863" s="164">
        <f>IF(AND($C862=12,$D862=Input!$C$6),0,IF($E863="","",AT863+(AU863+BD864)/(1+$AK863)*MIN((1-AM863-AN863),1)))</f>
        <v>0</v>
      </c>
      <c r="BE863" s="164">
        <f t="shared" si="579"/>
        <v>0</v>
      </c>
      <c r="BF863" s="164">
        <f t="shared" si="572"/>
        <v>99822.34000192552</v>
      </c>
      <c r="BG863" s="164">
        <f t="shared" si="552"/>
        <v>4.5201694368034197E-13</v>
      </c>
      <c r="BH863" s="152"/>
      <c r="BI863" s="162">
        <f t="shared" si="553"/>
        <v>24396.886726879718</v>
      </c>
      <c r="BJ863" s="150">
        <f t="shared" si="554"/>
        <v>0</v>
      </c>
      <c r="BK863" s="163">
        <f t="shared" si="576"/>
        <v>0</v>
      </c>
      <c r="BL863" s="163">
        <f t="shared" si="555"/>
        <v>9560.0239559274542</v>
      </c>
      <c r="BM863" s="163">
        <f t="shared" si="577"/>
        <v>77.011590273195495</v>
      </c>
      <c r="BN863" s="163">
        <f t="shared" si="556"/>
        <v>1576.4859064729117</v>
      </c>
      <c r="BO863" s="163">
        <f t="shared" si="557"/>
        <v>0</v>
      </c>
      <c r="BP863" s="164">
        <f t="shared" si="578"/>
        <v>16490.360267698372</v>
      </c>
      <c r="BQ863" s="164">
        <f>IF($E863="","",IF(AND($D863=Input!$C$6,$C863=12),0,-BJ864+BK864+BL864-BM864-BN864-BO864+BQ864))</f>
        <v>16490.397029763204</v>
      </c>
      <c r="BR863" s="161">
        <f t="shared" si="558"/>
        <v>0</v>
      </c>
      <c r="BT863" s="147">
        <f t="shared" si="559"/>
        <v>4.528214262174407E-18</v>
      </c>
      <c r="BU863" s="164">
        <f>IF(AND($C862=12,$D862=Input!$C$6),0,IF($E863="","",BK863+(BL863+BU864)/(1+$AK863)*MIN((1-T863-U863),1)))</f>
        <v>79447.01819065884</v>
      </c>
      <c r="BV863" s="164">
        <f t="shared" si="560"/>
        <v>3.5975312085817091E-13</v>
      </c>
      <c r="BW863" s="164">
        <f t="shared" si="561"/>
        <v>16490.397029763204</v>
      </c>
      <c r="BX863" s="164">
        <f t="shared" si="562"/>
        <v>7.4672051019092216E-14</v>
      </c>
    </row>
    <row r="864" spans="1:76" s="150" customFormat="1" x14ac:dyDescent="0.25">
      <c r="A864" s="150">
        <f t="shared" si="573"/>
        <v>860</v>
      </c>
      <c r="B864" s="150">
        <f t="shared" si="574"/>
        <v>72</v>
      </c>
      <c r="C864" s="150">
        <f t="shared" si="575"/>
        <v>8</v>
      </c>
      <c r="D864" s="150">
        <f>IF(E864="","",Input!$C$4+B864-1)</f>
        <v>116</v>
      </c>
      <c r="E864" s="150">
        <f>IF(OR(AND(C863=12,D863=Input!$C$6),E863=""),"",1)</f>
        <v>1</v>
      </c>
      <c r="F864" s="150">
        <f>IF(E864="","",Input!$C$8+B864-1)</f>
        <v>2089</v>
      </c>
      <c r="G864" s="151">
        <f>IF(E864="","",MAX(0,Input!$C$9-B864))</f>
        <v>0</v>
      </c>
      <c r="H864" s="152">
        <f>IF(E864="","",Input!$C$3)</f>
        <v>100000</v>
      </c>
      <c r="I864" s="153">
        <f>IF(E864="","",HLOOKUP($B864,Input!$C$13:$BT$14,2))</f>
        <v>1000</v>
      </c>
      <c r="J864" s="154"/>
      <c r="K864" s="155">
        <f>IF($E864="","",INDEX(Input!$C$16:$CP$16,1,$B864))</f>
        <v>3.3140000000000003E-2</v>
      </c>
      <c r="L864" s="155">
        <f>IF($E864="","",Input!$C$37)</f>
        <v>1.4999999999999999E-2</v>
      </c>
      <c r="M864" s="155">
        <f t="shared" si="538"/>
        <v>4.8140000000000002E-2</v>
      </c>
      <c r="N864" s="155">
        <f t="shared" si="539"/>
        <v>3.9257828404828388E-3</v>
      </c>
      <c r="O864" s="147">
        <f>IF($E864="","",MIN(VLOOKUP(IF($B864&lt;=Input!$C$7,$B864,26),'Mortality Tables'!$A$41:$CW$67,IF($B864&lt;=Input!$C$7+1,Input!$C$4+2,$D864-Input!$C$7+2),0)*IF(B864&gt;20,Input!$C$22,1)/1000,1))</f>
        <v>1</v>
      </c>
      <c r="P864" s="147">
        <f>IF($E864="","",MIN(VLOOKUP(IF($B864&lt;=Input!$C$7,$B864,26),'Mortality Tables'!$A$12:$CW$37,IF($B864&lt;=Input!$C$7+1,Input!$C$4+2,$D864-Input!$C$7+2),0)*IF(B864&gt;20,Input!$C$22,1)/1000,1))</f>
        <v>1</v>
      </c>
      <c r="Q864" s="155">
        <f>IF($E864="","",Input!$C$21)</f>
        <v>5.0000000000000001E-3</v>
      </c>
      <c r="R864" s="159">
        <f>IF($E864="","",(1-Q864)^($F864-Input!$C$20))</f>
        <v>0.70054934757336229</v>
      </c>
      <c r="S864" s="147">
        <f t="shared" si="541"/>
        <v>0.70054934757336229</v>
      </c>
      <c r="T864" s="147">
        <f t="shared" si="542"/>
        <v>9.5600239559274547E-2</v>
      </c>
      <c r="U864" s="160">
        <f>IF($E864="","",IF($C864=12,INDEX(Input!$C$15:$CP$15,1,$B864),0))</f>
        <v>0</v>
      </c>
      <c r="V864" s="150">
        <f>IF(E864="","",IF(C864=1,IF($B864=1,Input!$C$33,Input!$C$34),0))</f>
        <v>0</v>
      </c>
      <c r="W864" s="156">
        <f>IF($E864="","",Input!$C$35)</f>
        <v>0.02</v>
      </c>
      <c r="X864" s="156">
        <f t="shared" si="540"/>
        <v>4.0795493873054074</v>
      </c>
      <c r="Y864" s="154"/>
      <c r="Z864" s="147">
        <f>IF($E864="","",VLOOKUP($D864,'Mortality Margins &amp; Grading'!$AB$5:$AF$125,3,0)*IF(Summary!$D$25="Included Margin",IF(AND($B864&gt;Input!$C$9,Summary!$D$31&lt;&gt;"Included Margin"),0,1),0))</f>
        <v>0.01</v>
      </c>
      <c r="AA864" s="147">
        <f>IF($E864="","",VLOOKUP($D864,'Mortality Margins &amp; Grading'!$AB$5:$AF$125,5,0)*IF(Summary!$D$25="Included Margin",IF(AND($B864&gt;Input!$C$9,Summary!$D$31&lt;&gt;"Included Margin"),0,1),0))</f>
        <v>5.2999999999999999E-2</v>
      </c>
      <c r="AB864" s="147">
        <f>IF($E864="","",IF(AND($B864&gt;Input!$C$9,Summary!$D$31&lt;&gt;"Included Margin"),1,IF(Summary!$D$25="Included Margin",VLOOKUP($B864,'Mortality Margins &amp; Grading'!$AI$5:$AR$125,MATCH('Mortality Margins &amp; Grading'!$AQ$4,'Mortality Margins &amp; Grading'!$AI$4:$AR$4,0),0),1)))</f>
        <v>0</v>
      </c>
      <c r="AC864" s="154"/>
      <c r="AD864" s="158">
        <f>IF(E864="","",Input!$C$48*IF(Summary!$D$30="Included Margin",IF(AND($B864&gt;Input!$C$9,Summary!$D$31&lt;&gt;"Included Margin"),0,1),0))</f>
        <v>-4.4999999999999997E-3</v>
      </c>
      <c r="AE864" s="159">
        <f>IF(E864="","",IF(Summary!$D$26="Included Margin",IF(AND($B864&gt;Input!$C$9,Summary!$D$31&lt;&gt;"Included Margin"),1,1/$R864),1))</f>
        <v>1.4274511902179439</v>
      </c>
      <c r="AF864" s="160">
        <f>IF(E864="","",IF(AND($B864&gt;=Input!$C$9,$C864=12,Summary!$D$31="Included Margin",$U864&gt;0),1/U864-1,IF($B864&gt;=Input!$C$9,0,Input!$C$45*IF(Summary!$D$27="Included Margin",1,0))))</f>
        <v>0</v>
      </c>
      <c r="AG864" s="160">
        <f>IF(E864="","",Input!$C$46*IF(Summary!$D$28="Included Margin",IF(AND($B864&gt;Input!$C$9,Summary!$D$31&lt;&gt;"Included Margin"),0,1),0))</f>
        <v>0.02</v>
      </c>
      <c r="AH864" s="158">
        <f>IF(E864="","",Input!$C$47*IF(Summary!$D$29="Included Margin",IF(AND($B864&gt;Input!$C$9,Summary!$D$31&lt;&gt;"Included Margin"),0,1),0))</f>
        <v>2.5000000000000001E-3</v>
      </c>
      <c r="AI864" s="154"/>
      <c r="AJ864" s="158">
        <f t="shared" si="563"/>
        <v>4.3640000000000005E-2</v>
      </c>
      <c r="AK864" s="155">
        <f t="shared" si="564"/>
        <v>3.565892922956726E-3</v>
      </c>
      <c r="AL864" s="147">
        <f t="shared" si="565"/>
        <v>1</v>
      </c>
      <c r="AM864" s="147">
        <f t="shared" si="543"/>
        <v>1</v>
      </c>
      <c r="AN864" s="160">
        <f t="shared" si="566"/>
        <v>0</v>
      </c>
      <c r="AO864" s="161">
        <f t="shared" si="567"/>
        <v>0</v>
      </c>
      <c r="AP864" s="156">
        <f t="shared" si="544"/>
        <v>4.8539520770236297</v>
      </c>
      <c r="AQ864" s="152"/>
      <c r="AR864" s="162">
        <f t="shared" si="545"/>
        <v>99822.022677888832</v>
      </c>
      <c r="AS864" s="150">
        <f t="shared" si="568"/>
        <v>0</v>
      </c>
      <c r="AT864" s="163">
        <f t="shared" si="546"/>
        <v>0</v>
      </c>
      <c r="AU864" s="163">
        <f t="shared" si="547"/>
        <v>100000</v>
      </c>
      <c r="AV864" s="163">
        <f t="shared" si="569"/>
        <v>177.65999807447329</v>
      </c>
      <c r="AW864" s="163">
        <f t="shared" si="548"/>
        <v>99822.34000192552</v>
      </c>
      <c r="AX864" s="163">
        <f t="shared" si="549"/>
        <v>0</v>
      </c>
      <c r="AY864" s="165">
        <f t="shared" si="570"/>
        <v>99822.022677888832</v>
      </c>
      <c r="AZ864" s="164">
        <f>IF($E864="","",IF(OR(AND($D864=Input!$C$6,$C864=12),$AN864=1),0,-AS865+AT865+AU865-AV865-AW865-AX865+AZ865))</f>
        <v>99822.34000192552</v>
      </c>
      <c r="BA864" s="154">
        <f t="shared" si="550"/>
        <v>0.31732403668866027</v>
      </c>
      <c r="BC864" s="147">
        <f t="shared" si="571"/>
        <v>4.0953158939348101E-18</v>
      </c>
      <c r="BD864" s="164">
        <f>IF(AND($C863=12,$D863=Input!$C$6),0,IF($E864="","",AT864+(AU864+BD865)/(1+$AK864)*MIN((1-AM864-AN864),1)))</f>
        <v>0</v>
      </c>
      <c r="BE864" s="164">
        <f t="shared" si="579"/>
        <v>0</v>
      </c>
      <c r="BF864" s="164">
        <f t="shared" si="572"/>
        <v>99822.34000192552</v>
      </c>
      <c r="BG864" s="164">
        <f t="shared" si="552"/>
        <v>4.0880401557965015E-13</v>
      </c>
      <c r="BH864" s="152"/>
      <c r="BI864" s="162">
        <f t="shared" si="553"/>
        <v>16490.360267698372</v>
      </c>
      <c r="BJ864" s="150">
        <f t="shared" si="554"/>
        <v>0</v>
      </c>
      <c r="BK864" s="163">
        <f t="shared" si="576"/>
        <v>0</v>
      </c>
      <c r="BL864" s="163">
        <f t="shared" si="555"/>
        <v>9560.0239559274542</v>
      </c>
      <c r="BM864" s="163">
        <f t="shared" si="577"/>
        <v>45.972284371917823</v>
      </c>
      <c r="BN864" s="163">
        <f t="shared" si="556"/>
        <v>737.43969941774174</v>
      </c>
      <c r="BO864" s="163">
        <f t="shared" si="557"/>
        <v>0</v>
      </c>
      <c r="BP864" s="164">
        <f t="shared" si="578"/>
        <v>7713.7482955605774</v>
      </c>
      <c r="BQ864" s="164">
        <f>IF($E864="","",IF(AND($D864=Input!$C$6,$C864=12),0,-BJ865+BK865+BL865-BM865-BN865-BO865+BQ865))</f>
        <v>7713.7850576254114</v>
      </c>
      <c r="BR864" s="161">
        <f t="shared" si="558"/>
        <v>0</v>
      </c>
      <c r="BT864" s="147">
        <f t="shared" si="559"/>
        <v>4.0953158939348101E-18</v>
      </c>
      <c r="BU864" s="164">
        <f>IF(AND($C863=12,$D863=Input!$C$6),0,IF($E864="","",BK864+(BL864+BU865)/(1+$AK864)*MIN((1-T864-U864),1)))</f>
        <v>78598.245470992042</v>
      </c>
      <c r="BV864" s="164">
        <f t="shared" si="560"/>
        <v>3.2188464391274344E-13</v>
      </c>
      <c r="BW864" s="164">
        <f t="shared" si="561"/>
        <v>7713.7850576254114</v>
      </c>
      <c r="BX864" s="164">
        <f t="shared" si="562"/>
        <v>3.1590386548890195E-14</v>
      </c>
    </row>
    <row r="865" spans="1:76" s="150" customFormat="1" x14ac:dyDescent="0.25">
      <c r="A865" s="150">
        <f t="shared" si="573"/>
        <v>861</v>
      </c>
      <c r="B865" s="150">
        <f t="shared" si="574"/>
        <v>72</v>
      </c>
      <c r="C865" s="150">
        <f t="shared" si="575"/>
        <v>9</v>
      </c>
      <c r="D865" s="150">
        <f>IF(E865="","",Input!$C$4+B865-1)</f>
        <v>116</v>
      </c>
      <c r="E865" s="150">
        <f>IF(OR(AND(C864=12,D864=Input!$C$6),E864=""),"",1)</f>
        <v>1</v>
      </c>
      <c r="F865" s="150">
        <f>IF(E865="","",Input!$C$8+B865-1)</f>
        <v>2089</v>
      </c>
      <c r="G865" s="151">
        <f>IF(E865="","",MAX(0,Input!$C$9-B865))</f>
        <v>0</v>
      </c>
      <c r="H865" s="152">
        <f>IF(E865="","",Input!$C$3)</f>
        <v>100000</v>
      </c>
      <c r="I865" s="153">
        <f>IF(E865="","",HLOOKUP($B865,Input!$C$13:$BT$14,2))</f>
        <v>1000</v>
      </c>
      <c r="J865" s="154"/>
      <c r="K865" s="155">
        <f>IF($E865="","",INDEX(Input!$C$16:$CP$16,1,$B865))</f>
        <v>3.3140000000000003E-2</v>
      </c>
      <c r="L865" s="155">
        <f>IF($E865="","",Input!$C$37)</f>
        <v>1.4999999999999999E-2</v>
      </c>
      <c r="M865" s="155">
        <f t="shared" si="538"/>
        <v>4.8140000000000002E-2</v>
      </c>
      <c r="N865" s="155">
        <f t="shared" si="539"/>
        <v>3.9257828404828388E-3</v>
      </c>
      <c r="O865" s="147">
        <f>IF($E865="","",MIN(VLOOKUP(IF($B865&lt;=Input!$C$7,$B865,26),'Mortality Tables'!$A$41:$CW$67,IF($B865&lt;=Input!$C$7+1,Input!$C$4+2,$D865-Input!$C$7+2),0)*IF(B865&gt;20,Input!$C$22,1)/1000,1))</f>
        <v>1</v>
      </c>
      <c r="P865" s="147">
        <f>IF($E865="","",MIN(VLOOKUP(IF($B865&lt;=Input!$C$7,$B865,26),'Mortality Tables'!$A$12:$CW$37,IF($B865&lt;=Input!$C$7+1,Input!$C$4+2,$D865-Input!$C$7+2),0)*IF(B865&gt;20,Input!$C$22,1)/1000,1))</f>
        <v>1</v>
      </c>
      <c r="Q865" s="155">
        <f>IF($E865="","",Input!$C$21)</f>
        <v>5.0000000000000001E-3</v>
      </c>
      <c r="R865" s="159">
        <f>IF($E865="","",(1-Q865)^($F865-Input!$C$20))</f>
        <v>0.70054934757336229</v>
      </c>
      <c r="S865" s="147">
        <f t="shared" si="541"/>
        <v>0.70054934757336229</v>
      </c>
      <c r="T865" s="147">
        <f t="shared" si="542"/>
        <v>9.5600239559274547E-2</v>
      </c>
      <c r="U865" s="160">
        <f>IF($E865="","",IF($C865=12,INDEX(Input!$C$15:$CP$15,1,$B865),0))</f>
        <v>0</v>
      </c>
      <c r="V865" s="150">
        <f>IF(E865="","",IF(C865=1,IF($B865=1,Input!$C$33,Input!$C$34),0))</f>
        <v>0</v>
      </c>
      <c r="W865" s="156">
        <f>IF($E865="","",Input!$C$35)</f>
        <v>0.02</v>
      </c>
      <c r="X865" s="156">
        <f t="shared" si="540"/>
        <v>4.0795493873054074</v>
      </c>
      <c r="Y865" s="154"/>
      <c r="Z865" s="147">
        <f>IF($E865="","",VLOOKUP($D865,'Mortality Margins &amp; Grading'!$AB$5:$AF$125,3,0)*IF(Summary!$D$25="Included Margin",IF(AND($B865&gt;Input!$C$9,Summary!$D$31&lt;&gt;"Included Margin"),0,1),0))</f>
        <v>0.01</v>
      </c>
      <c r="AA865" s="147">
        <f>IF($E865="","",VLOOKUP($D865,'Mortality Margins &amp; Grading'!$AB$5:$AF$125,5,0)*IF(Summary!$D$25="Included Margin",IF(AND($B865&gt;Input!$C$9,Summary!$D$31&lt;&gt;"Included Margin"),0,1),0))</f>
        <v>5.2999999999999999E-2</v>
      </c>
      <c r="AB865" s="147">
        <f>IF($E865="","",IF(AND($B865&gt;Input!$C$9,Summary!$D$31&lt;&gt;"Included Margin"),1,IF(Summary!$D$25="Included Margin",VLOOKUP($B865,'Mortality Margins &amp; Grading'!$AI$5:$AR$125,MATCH('Mortality Margins &amp; Grading'!$AQ$4,'Mortality Margins &amp; Grading'!$AI$4:$AR$4,0),0),1)))</f>
        <v>0</v>
      </c>
      <c r="AC865" s="154"/>
      <c r="AD865" s="158">
        <f>IF(E865="","",Input!$C$48*IF(Summary!$D$30="Included Margin",IF(AND($B865&gt;Input!$C$9,Summary!$D$31&lt;&gt;"Included Margin"),0,1),0))</f>
        <v>-4.4999999999999997E-3</v>
      </c>
      <c r="AE865" s="159">
        <f>IF(E865="","",IF(Summary!$D$26="Included Margin",IF(AND($B865&gt;Input!$C$9,Summary!$D$31&lt;&gt;"Included Margin"),1,1/$R865),1))</f>
        <v>1.4274511902179439</v>
      </c>
      <c r="AF865" s="160">
        <f>IF(E865="","",IF(AND($B865&gt;=Input!$C$9,$C865=12,Summary!$D$31="Included Margin",$U865&gt;0),1/U865-1,IF($B865&gt;=Input!$C$9,0,Input!$C$45*IF(Summary!$D$27="Included Margin",1,0))))</f>
        <v>0</v>
      </c>
      <c r="AG865" s="160">
        <f>IF(E865="","",Input!$C$46*IF(Summary!$D$28="Included Margin",IF(AND($B865&gt;Input!$C$9,Summary!$D$31&lt;&gt;"Included Margin"),0,1),0))</f>
        <v>0.02</v>
      </c>
      <c r="AH865" s="158">
        <f>IF(E865="","",Input!$C$47*IF(Summary!$D$29="Included Margin",IF(AND($B865&gt;Input!$C$9,Summary!$D$31&lt;&gt;"Included Margin"),0,1),0))</f>
        <v>2.5000000000000001E-3</v>
      </c>
      <c r="AI865" s="154"/>
      <c r="AJ865" s="158">
        <f t="shared" si="563"/>
        <v>4.3640000000000005E-2</v>
      </c>
      <c r="AK865" s="155">
        <f t="shared" si="564"/>
        <v>3.565892922956726E-3</v>
      </c>
      <c r="AL865" s="147">
        <f t="shared" si="565"/>
        <v>1</v>
      </c>
      <c r="AM865" s="147">
        <f t="shared" si="543"/>
        <v>1</v>
      </c>
      <c r="AN865" s="160">
        <f t="shared" si="566"/>
        <v>0</v>
      </c>
      <c r="AO865" s="161">
        <f t="shared" si="567"/>
        <v>0</v>
      </c>
      <c r="AP865" s="156">
        <f t="shared" si="544"/>
        <v>4.8539520770236297</v>
      </c>
      <c r="AQ865" s="152"/>
      <c r="AR865" s="162">
        <f t="shared" si="545"/>
        <v>99822.022677888832</v>
      </c>
      <c r="AS865" s="150">
        <f t="shared" si="568"/>
        <v>0</v>
      </c>
      <c r="AT865" s="163">
        <f t="shared" si="546"/>
        <v>0</v>
      </c>
      <c r="AU865" s="163">
        <f t="shared" si="547"/>
        <v>100000</v>
      </c>
      <c r="AV865" s="163">
        <f t="shared" si="569"/>
        <v>177.65999807447329</v>
      </c>
      <c r="AW865" s="163">
        <f t="shared" si="548"/>
        <v>99822.34000192552</v>
      </c>
      <c r="AX865" s="163">
        <f t="shared" si="549"/>
        <v>0</v>
      </c>
      <c r="AY865" s="164">
        <f t="shared" si="570"/>
        <v>99822.022677888832</v>
      </c>
      <c r="AZ865" s="164">
        <f>IF($E865="","",IF(OR(AND($D865=Input!$C$6,$C865=12),$AN865=1),0,-AS866+AT866+AU866-AV866-AW866-AX866+AZ866))</f>
        <v>99822.34000192552</v>
      </c>
      <c r="BA865" s="154">
        <f t="shared" si="550"/>
        <v>0.31732403668866027</v>
      </c>
      <c r="BC865" s="147">
        <f t="shared" si="571"/>
        <v>3.7038027134037374E-18</v>
      </c>
      <c r="BD865" s="164">
        <f>IF(AND($C864=12,$D864=Input!$C$6),0,IF($E865="","",AT865+(AU865+BD866)/(1+$AK865)*MIN((1-AM865-AN865),1)))</f>
        <v>0</v>
      </c>
      <c r="BE865" s="164">
        <f t="shared" si="579"/>
        <v>0</v>
      </c>
      <c r="BF865" s="164">
        <f t="shared" si="572"/>
        <v>99822.34000192552</v>
      </c>
      <c r="BG865" s="164">
        <f t="shared" si="552"/>
        <v>3.6972225375744218E-13</v>
      </c>
      <c r="BH865" s="152"/>
      <c r="BI865" s="162">
        <f t="shared" si="553"/>
        <v>7713.7482955605774</v>
      </c>
      <c r="BJ865" s="150">
        <f t="shared" si="554"/>
        <v>0</v>
      </c>
      <c r="BK865" s="163">
        <f t="shared" si="576"/>
        <v>0</v>
      </c>
      <c r="BL865" s="163">
        <f t="shared" si="555"/>
        <v>9560.0239559274542</v>
      </c>
      <c r="BM865" s="163">
        <f t="shared" si="577"/>
        <v>11.517211694123027</v>
      </c>
      <c r="BN865" s="163">
        <f t="shared" si="556"/>
        <v>-193.94060064637651</v>
      </c>
      <c r="BO865" s="163">
        <f t="shared" si="557"/>
        <v>0</v>
      </c>
      <c r="BP865" s="164">
        <f t="shared" si="578"/>
        <v>-2028.6990493191302</v>
      </c>
      <c r="BQ865" s="164">
        <f>IF($E865="","",IF(AND($D865=Input!$C$6,$C865=12),0,-BJ866+BK866+BL866-BM866-BN866-BO866+BQ866))</f>
        <v>-2028.6622872542957</v>
      </c>
      <c r="BR865" s="161">
        <f t="shared" si="558"/>
        <v>0</v>
      </c>
      <c r="BT865" s="147">
        <f t="shared" si="559"/>
        <v>3.7038027134037374E-18</v>
      </c>
      <c r="BU865" s="164">
        <f>IF(AND($C864=12,$D864=Input!$C$6),0,IF($E865="","",BK865+(BL865+BU866)/(1+$AK865)*MIN((1-T865-U865),1)))</f>
        <v>77656.406043827708</v>
      </c>
      <c r="BV865" s="164">
        <f t="shared" si="560"/>
        <v>2.8762400741831146E-13</v>
      </c>
      <c r="BW865" s="164">
        <f t="shared" si="561"/>
        <v>-2028.6622872542957</v>
      </c>
      <c r="BX865" s="164">
        <f t="shared" si="562"/>
        <v>-7.5137648841122924E-15</v>
      </c>
    </row>
    <row r="866" spans="1:76" s="150" customFormat="1" x14ac:dyDescent="0.25">
      <c r="A866" s="150">
        <f t="shared" si="573"/>
        <v>862</v>
      </c>
      <c r="B866" s="150">
        <f t="shared" si="574"/>
        <v>72</v>
      </c>
      <c r="C866" s="150">
        <f t="shared" si="575"/>
        <v>10</v>
      </c>
      <c r="D866" s="150">
        <f>IF(E866="","",Input!$C$4+B866-1)</f>
        <v>116</v>
      </c>
      <c r="E866" s="150">
        <f>IF(OR(AND(C865=12,D865=Input!$C$6),E865=""),"",1)</f>
        <v>1</v>
      </c>
      <c r="F866" s="150">
        <f>IF(E866="","",Input!$C$8+B866-1)</f>
        <v>2089</v>
      </c>
      <c r="G866" s="151">
        <f>IF(E866="","",MAX(0,Input!$C$9-B866))</f>
        <v>0</v>
      </c>
      <c r="H866" s="152">
        <f>IF(E866="","",Input!$C$3)</f>
        <v>100000</v>
      </c>
      <c r="I866" s="153">
        <f>IF(E866="","",HLOOKUP($B866,Input!$C$13:$BT$14,2))</f>
        <v>1000</v>
      </c>
      <c r="J866" s="154"/>
      <c r="K866" s="155">
        <f>IF($E866="","",INDEX(Input!$C$16:$CP$16,1,$B866))</f>
        <v>3.3140000000000003E-2</v>
      </c>
      <c r="L866" s="155">
        <f>IF($E866="","",Input!$C$37)</f>
        <v>1.4999999999999999E-2</v>
      </c>
      <c r="M866" s="155">
        <f t="shared" si="538"/>
        <v>4.8140000000000002E-2</v>
      </c>
      <c r="N866" s="155">
        <f t="shared" si="539"/>
        <v>3.9257828404828388E-3</v>
      </c>
      <c r="O866" s="147">
        <f>IF($E866="","",MIN(VLOOKUP(IF($B866&lt;=Input!$C$7,$B866,26),'Mortality Tables'!$A$41:$CW$67,IF($B866&lt;=Input!$C$7+1,Input!$C$4+2,$D866-Input!$C$7+2),0)*IF(B866&gt;20,Input!$C$22,1)/1000,1))</f>
        <v>1</v>
      </c>
      <c r="P866" s="147">
        <f>IF($E866="","",MIN(VLOOKUP(IF($B866&lt;=Input!$C$7,$B866,26),'Mortality Tables'!$A$12:$CW$37,IF($B866&lt;=Input!$C$7+1,Input!$C$4+2,$D866-Input!$C$7+2),0)*IF(B866&gt;20,Input!$C$22,1)/1000,1))</f>
        <v>1</v>
      </c>
      <c r="Q866" s="155">
        <f>IF($E866="","",Input!$C$21)</f>
        <v>5.0000000000000001E-3</v>
      </c>
      <c r="R866" s="159">
        <f>IF($E866="","",(1-Q866)^($F866-Input!$C$20))</f>
        <v>0.70054934757336229</v>
      </c>
      <c r="S866" s="147">
        <f t="shared" si="541"/>
        <v>0.70054934757336229</v>
      </c>
      <c r="T866" s="147">
        <f t="shared" si="542"/>
        <v>9.5600239559274547E-2</v>
      </c>
      <c r="U866" s="160">
        <f>IF($E866="","",IF($C866=12,INDEX(Input!$C$15:$CP$15,1,$B866),0))</f>
        <v>0</v>
      </c>
      <c r="V866" s="150">
        <f>IF(E866="","",IF(C866=1,IF($B866=1,Input!$C$33,Input!$C$34),0))</f>
        <v>0</v>
      </c>
      <c r="W866" s="156">
        <f>IF($E866="","",Input!$C$35)</f>
        <v>0.02</v>
      </c>
      <c r="X866" s="156">
        <f t="shared" si="540"/>
        <v>4.0795493873054074</v>
      </c>
      <c r="Y866" s="154"/>
      <c r="Z866" s="147">
        <f>IF($E866="","",VLOOKUP($D866,'Mortality Margins &amp; Grading'!$AB$5:$AF$125,3,0)*IF(Summary!$D$25="Included Margin",IF(AND($B866&gt;Input!$C$9,Summary!$D$31&lt;&gt;"Included Margin"),0,1),0))</f>
        <v>0.01</v>
      </c>
      <c r="AA866" s="147">
        <f>IF($E866="","",VLOOKUP($D866,'Mortality Margins &amp; Grading'!$AB$5:$AF$125,5,0)*IF(Summary!$D$25="Included Margin",IF(AND($B866&gt;Input!$C$9,Summary!$D$31&lt;&gt;"Included Margin"),0,1),0))</f>
        <v>5.2999999999999999E-2</v>
      </c>
      <c r="AB866" s="147">
        <f>IF($E866="","",IF(AND($B866&gt;Input!$C$9,Summary!$D$31&lt;&gt;"Included Margin"),1,IF(Summary!$D$25="Included Margin",VLOOKUP($B866,'Mortality Margins &amp; Grading'!$AI$5:$AR$125,MATCH('Mortality Margins &amp; Grading'!$AQ$4,'Mortality Margins &amp; Grading'!$AI$4:$AR$4,0),0),1)))</f>
        <v>0</v>
      </c>
      <c r="AC866" s="154"/>
      <c r="AD866" s="158">
        <f>IF(E866="","",Input!$C$48*IF(Summary!$D$30="Included Margin",IF(AND($B866&gt;Input!$C$9,Summary!$D$31&lt;&gt;"Included Margin"),0,1),0))</f>
        <v>-4.4999999999999997E-3</v>
      </c>
      <c r="AE866" s="159">
        <f>IF(E866="","",IF(Summary!$D$26="Included Margin",IF(AND($B866&gt;Input!$C$9,Summary!$D$31&lt;&gt;"Included Margin"),1,1/$R866),1))</f>
        <v>1.4274511902179439</v>
      </c>
      <c r="AF866" s="160">
        <f>IF(E866="","",IF(AND($B866&gt;=Input!$C$9,$C866=12,Summary!$D$31="Included Margin",$U866&gt;0),1/U866-1,IF($B866&gt;=Input!$C$9,0,Input!$C$45*IF(Summary!$D$27="Included Margin",1,0))))</f>
        <v>0</v>
      </c>
      <c r="AG866" s="160">
        <f>IF(E866="","",Input!$C$46*IF(Summary!$D$28="Included Margin",IF(AND($B866&gt;Input!$C$9,Summary!$D$31&lt;&gt;"Included Margin"),0,1),0))</f>
        <v>0.02</v>
      </c>
      <c r="AH866" s="158">
        <f>IF(E866="","",Input!$C$47*IF(Summary!$D$29="Included Margin",IF(AND($B866&gt;Input!$C$9,Summary!$D$31&lt;&gt;"Included Margin"),0,1),0))</f>
        <v>2.5000000000000001E-3</v>
      </c>
      <c r="AI866" s="154"/>
      <c r="AJ866" s="158">
        <f t="shared" si="563"/>
        <v>4.3640000000000005E-2</v>
      </c>
      <c r="AK866" s="155">
        <f t="shared" si="564"/>
        <v>3.565892922956726E-3</v>
      </c>
      <c r="AL866" s="147">
        <f t="shared" si="565"/>
        <v>1</v>
      </c>
      <c r="AM866" s="147">
        <f t="shared" si="543"/>
        <v>1</v>
      </c>
      <c r="AN866" s="160">
        <f t="shared" si="566"/>
        <v>0</v>
      </c>
      <c r="AO866" s="161">
        <f t="shared" si="567"/>
        <v>0</v>
      </c>
      <c r="AP866" s="156">
        <f t="shared" si="544"/>
        <v>4.8539520770236297</v>
      </c>
      <c r="AQ866" s="152"/>
      <c r="AR866" s="162">
        <f t="shared" si="545"/>
        <v>99822.022677888832</v>
      </c>
      <c r="AS866" s="150">
        <f t="shared" si="568"/>
        <v>0</v>
      </c>
      <c r="AT866" s="163">
        <f t="shared" si="546"/>
        <v>0</v>
      </c>
      <c r="AU866" s="163">
        <f t="shared" si="547"/>
        <v>100000</v>
      </c>
      <c r="AV866" s="163">
        <f t="shared" si="569"/>
        <v>177.65999807447329</v>
      </c>
      <c r="AW866" s="163">
        <f t="shared" si="548"/>
        <v>99822.34000192552</v>
      </c>
      <c r="AX866" s="163">
        <f t="shared" si="549"/>
        <v>0</v>
      </c>
      <c r="AY866" s="165">
        <f t="shared" si="570"/>
        <v>99822.022677888832</v>
      </c>
      <c r="AZ866" s="164">
        <f>IF($E866="","",IF(OR(AND($D866=Input!$C$6,$C866=12),$AN866=1),0,-AS867+AT867+AU867-AV867-AW867-AX867+AZ867))</f>
        <v>99822.34000192552</v>
      </c>
      <c r="BA866" s="154">
        <f t="shared" si="550"/>
        <v>0.31732403668866027</v>
      </c>
      <c r="BC866" s="147">
        <f t="shared" si="571"/>
        <v>3.349718286722049E-18</v>
      </c>
      <c r="BD866" s="164">
        <f>IF(AND($C865=12,$D865=Input!$C$6),0,IF($E866="","",AT866+(AU866+BD867)/(1+$AK866)*MIN((1-AM866-AN866),1)))</f>
        <v>0</v>
      </c>
      <c r="BE866" s="164">
        <f t="shared" si="579"/>
        <v>0</v>
      </c>
      <c r="BF866" s="164">
        <f t="shared" si="572"/>
        <v>99822.34000192552</v>
      </c>
      <c r="BG866" s="164">
        <f t="shared" si="552"/>
        <v>3.343767177278358E-13</v>
      </c>
      <c r="BH866" s="152"/>
      <c r="BI866" s="162">
        <f t="shared" si="553"/>
        <v>-2028.6990493191297</v>
      </c>
      <c r="BJ866" s="150">
        <f t="shared" si="554"/>
        <v>0</v>
      </c>
      <c r="BK866" s="163">
        <f t="shared" si="576"/>
        <v>0</v>
      </c>
      <c r="BL866" s="163">
        <f t="shared" si="555"/>
        <v>9560.0239559274542</v>
      </c>
      <c r="BM866" s="163">
        <f t="shared" si="577"/>
        <v>-26.729520916713319</v>
      </c>
      <c r="BN866" s="163">
        <f t="shared" si="556"/>
        <v>-1227.8160368897679</v>
      </c>
      <c r="BO866" s="163">
        <f t="shared" si="557"/>
        <v>0</v>
      </c>
      <c r="BP866" s="164">
        <f t="shared" si="578"/>
        <v>-12843.268563053065</v>
      </c>
      <c r="BQ866" s="164">
        <f>IF($E866="","",IF(AND($D866=Input!$C$6,$C866=12),0,-BJ867+BK867+BL867-BM867-BN867-BO867+BQ867))</f>
        <v>-12843.231800988231</v>
      </c>
      <c r="BR866" s="161">
        <f t="shared" si="558"/>
        <v>0</v>
      </c>
      <c r="BT866" s="147">
        <f t="shared" si="559"/>
        <v>3.349718286722049E-18</v>
      </c>
      <c r="BU866" s="164">
        <f>IF(AND($C865=12,$D865=Input!$C$6),0,IF($E866="","",BK866+(BL866+BU867)/(1+$AK866)*MIN((1-T866-U866),1)))</f>
        <v>76611.295278593083</v>
      </c>
      <c r="BV866" s="164">
        <f t="shared" si="560"/>
        <v>2.566262567641658E-13</v>
      </c>
      <c r="BW866" s="164">
        <f t="shared" si="561"/>
        <v>-12843.231800988231</v>
      </c>
      <c r="BX866" s="164">
        <f t="shared" si="562"/>
        <v>-4.3021208424380434E-14</v>
      </c>
    </row>
    <row r="867" spans="1:76" s="150" customFormat="1" x14ac:dyDescent="0.25">
      <c r="A867" s="150">
        <f t="shared" si="573"/>
        <v>863</v>
      </c>
      <c r="B867" s="150">
        <f t="shared" si="574"/>
        <v>72</v>
      </c>
      <c r="C867" s="150">
        <f t="shared" si="575"/>
        <v>11</v>
      </c>
      <c r="D867" s="150">
        <f>IF(E867="","",Input!$C$4+B867-1)</f>
        <v>116</v>
      </c>
      <c r="E867" s="150">
        <f>IF(OR(AND(C866=12,D866=Input!$C$6),E866=""),"",1)</f>
        <v>1</v>
      </c>
      <c r="F867" s="150">
        <f>IF(E867="","",Input!$C$8+B867-1)</f>
        <v>2089</v>
      </c>
      <c r="G867" s="151">
        <f>IF(E867="","",MAX(0,Input!$C$9-B867))</f>
        <v>0</v>
      </c>
      <c r="H867" s="152">
        <f>IF(E867="","",Input!$C$3)</f>
        <v>100000</v>
      </c>
      <c r="I867" s="153">
        <f>IF(E867="","",HLOOKUP($B867,Input!$C$13:$BT$14,2))</f>
        <v>1000</v>
      </c>
      <c r="J867" s="154"/>
      <c r="K867" s="155">
        <f>IF($E867="","",INDEX(Input!$C$16:$CP$16,1,$B867))</f>
        <v>3.3140000000000003E-2</v>
      </c>
      <c r="L867" s="155">
        <f>IF($E867="","",Input!$C$37)</f>
        <v>1.4999999999999999E-2</v>
      </c>
      <c r="M867" s="155">
        <f t="shared" si="538"/>
        <v>4.8140000000000002E-2</v>
      </c>
      <c r="N867" s="155">
        <f t="shared" si="539"/>
        <v>3.9257828404828388E-3</v>
      </c>
      <c r="O867" s="147">
        <f>IF($E867="","",MIN(VLOOKUP(IF($B867&lt;=Input!$C$7,$B867,26),'Mortality Tables'!$A$41:$CW$67,IF($B867&lt;=Input!$C$7+1,Input!$C$4+2,$D867-Input!$C$7+2),0)*IF(B867&gt;20,Input!$C$22,1)/1000,1))</f>
        <v>1</v>
      </c>
      <c r="P867" s="147">
        <f>IF($E867="","",MIN(VLOOKUP(IF($B867&lt;=Input!$C$7,$B867,26),'Mortality Tables'!$A$12:$CW$37,IF($B867&lt;=Input!$C$7+1,Input!$C$4+2,$D867-Input!$C$7+2),0)*IF(B867&gt;20,Input!$C$22,1)/1000,1))</f>
        <v>1</v>
      </c>
      <c r="Q867" s="155">
        <f>IF($E867="","",Input!$C$21)</f>
        <v>5.0000000000000001E-3</v>
      </c>
      <c r="R867" s="159">
        <f>IF($E867="","",(1-Q867)^($F867-Input!$C$20))</f>
        <v>0.70054934757336229</v>
      </c>
      <c r="S867" s="147">
        <f t="shared" si="541"/>
        <v>0.70054934757336229</v>
      </c>
      <c r="T867" s="147">
        <f t="shared" si="542"/>
        <v>9.5600239559274547E-2</v>
      </c>
      <c r="U867" s="160">
        <f>IF($E867="","",IF($C867=12,INDEX(Input!$C$15:$CP$15,1,$B867),0))</f>
        <v>0</v>
      </c>
      <c r="V867" s="150">
        <f>IF(E867="","",IF(C867=1,IF($B867=1,Input!$C$33,Input!$C$34),0))</f>
        <v>0</v>
      </c>
      <c r="W867" s="156">
        <f>IF($E867="","",Input!$C$35)</f>
        <v>0.02</v>
      </c>
      <c r="X867" s="156">
        <f t="shared" si="540"/>
        <v>4.0795493873054074</v>
      </c>
      <c r="Y867" s="154"/>
      <c r="Z867" s="147">
        <f>IF($E867="","",VLOOKUP($D867,'Mortality Margins &amp; Grading'!$AB$5:$AF$125,3,0)*IF(Summary!$D$25="Included Margin",IF(AND($B867&gt;Input!$C$9,Summary!$D$31&lt;&gt;"Included Margin"),0,1),0))</f>
        <v>0.01</v>
      </c>
      <c r="AA867" s="147">
        <f>IF($E867="","",VLOOKUP($D867,'Mortality Margins &amp; Grading'!$AB$5:$AF$125,5,0)*IF(Summary!$D$25="Included Margin",IF(AND($B867&gt;Input!$C$9,Summary!$D$31&lt;&gt;"Included Margin"),0,1),0))</f>
        <v>5.2999999999999999E-2</v>
      </c>
      <c r="AB867" s="147">
        <f>IF($E867="","",IF(AND($B867&gt;Input!$C$9,Summary!$D$31&lt;&gt;"Included Margin"),1,IF(Summary!$D$25="Included Margin",VLOOKUP($B867,'Mortality Margins &amp; Grading'!$AI$5:$AR$125,MATCH('Mortality Margins &amp; Grading'!$AQ$4,'Mortality Margins &amp; Grading'!$AI$4:$AR$4,0),0),1)))</f>
        <v>0</v>
      </c>
      <c r="AC867" s="154"/>
      <c r="AD867" s="158">
        <f>IF(E867="","",Input!$C$48*IF(Summary!$D$30="Included Margin",IF(AND($B867&gt;Input!$C$9,Summary!$D$31&lt;&gt;"Included Margin"),0,1),0))</f>
        <v>-4.4999999999999997E-3</v>
      </c>
      <c r="AE867" s="159">
        <f>IF(E867="","",IF(Summary!$D$26="Included Margin",IF(AND($B867&gt;Input!$C$9,Summary!$D$31&lt;&gt;"Included Margin"),1,1/$R867),1))</f>
        <v>1.4274511902179439</v>
      </c>
      <c r="AF867" s="160">
        <f>IF(E867="","",IF(AND($B867&gt;=Input!$C$9,$C867=12,Summary!$D$31="Included Margin",$U867&gt;0),1/U867-1,IF($B867&gt;=Input!$C$9,0,Input!$C$45*IF(Summary!$D$27="Included Margin",1,0))))</f>
        <v>0</v>
      </c>
      <c r="AG867" s="160">
        <f>IF(E867="","",Input!$C$46*IF(Summary!$D$28="Included Margin",IF(AND($B867&gt;Input!$C$9,Summary!$D$31&lt;&gt;"Included Margin"),0,1),0))</f>
        <v>0.02</v>
      </c>
      <c r="AH867" s="158">
        <f>IF(E867="","",Input!$C$47*IF(Summary!$D$29="Included Margin",IF(AND($B867&gt;Input!$C$9,Summary!$D$31&lt;&gt;"Included Margin"),0,1),0))</f>
        <v>2.5000000000000001E-3</v>
      </c>
      <c r="AI867" s="154"/>
      <c r="AJ867" s="158">
        <f t="shared" si="563"/>
        <v>4.3640000000000005E-2</v>
      </c>
      <c r="AK867" s="155">
        <f t="shared" si="564"/>
        <v>3.565892922956726E-3</v>
      </c>
      <c r="AL867" s="147">
        <f t="shared" si="565"/>
        <v>1</v>
      </c>
      <c r="AM867" s="147">
        <f t="shared" si="543"/>
        <v>1</v>
      </c>
      <c r="AN867" s="160">
        <f t="shared" si="566"/>
        <v>0</v>
      </c>
      <c r="AO867" s="161">
        <f t="shared" si="567"/>
        <v>0</v>
      </c>
      <c r="AP867" s="156">
        <f t="shared" si="544"/>
        <v>4.8539520770236297</v>
      </c>
      <c r="AQ867" s="152"/>
      <c r="AR867" s="162">
        <f t="shared" si="545"/>
        <v>99822.022677888832</v>
      </c>
      <c r="AS867" s="150">
        <f t="shared" si="568"/>
        <v>0</v>
      </c>
      <c r="AT867" s="163">
        <f t="shared" si="546"/>
        <v>0</v>
      </c>
      <c r="AU867" s="163">
        <f t="shared" si="547"/>
        <v>100000</v>
      </c>
      <c r="AV867" s="163">
        <f t="shared" si="569"/>
        <v>177.65999807447329</v>
      </c>
      <c r="AW867" s="163">
        <f t="shared" si="548"/>
        <v>99822.34000192552</v>
      </c>
      <c r="AX867" s="163">
        <f t="shared" si="549"/>
        <v>0</v>
      </c>
      <c r="AY867" s="164">
        <f t="shared" si="570"/>
        <v>99822.022677888832</v>
      </c>
      <c r="AZ867" s="164">
        <f>IF($E867="","",IF(OR(AND($D867=Input!$C$6,$C867=12),$AN867=1),0,-AS868+AT868+AU868-AV868-AW868-AX868+AZ868))</f>
        <v>99822.34000192552</v>
      </c>
      <c r="BA867" s="154">
        <f t="shared" si="550"/>
        <v>0.31732403668866027</v>
      </c>
      <c r="BC867" s="147">
        <f t="shared" si="571"/>
        <v>3.0294844160553383E-18</v>
      </c>
      <c r="BD867" s="164">
        <f>IF(AND($C866=12,$D866=Input!$C$6),0,IF($E867="","",AT867+(AU867+BD868)/(1+$AK867)*MIN((1-AM867-AN867),1)))</f>
        <v>0</v>
      </c>
      <c r="BE867" s="164">
        <f t="shared" si="579"/>
        <v>0</v>
      </c>
      <c r="BF867" s="164">
        <f t="shared" si="572"/>
        <v>99822.34000192552</v>
      </c>
      <c r="BG867" s="164">
        <f t="shared" si="552"/>
        <v>3.0241022341001078E-13</v>
      </c>
      <c r="BH867" s="152"/>
      <c r="BI867" s="162">
        <f t="shared" si="553"/>
        <v>-12843.268563053067</v>
      </c>
      <c r="BJ867" s="150">
        <f t="shared" si="554"/>
        <v>0</v>
      </c>
      <c r="BK867" s="163">
        <f t="shared" si="576"/>
        <v>0</v>
      </c>
      <c r="BL867" s="163">
        <f t="shared" si="555"/>
        <v>9560.0239559274542</v>
      </c>
      <c r="BM867" s="163">
        <f t="shared" si="577"/>
        <v>-69.185172340938848</v>
      </c>
      <c r="BN867" s="163">
        <f t="shared" si="556"/>
        <v>-2375.4658396544146</v>
      </c>
      <c r="BO867" s="163">
        <f t="shared" si="557"/>
        <v>0</v>
      </c>
      <c r="BP867" s="164">
        <f t="shared" si="578"/>
        <v>-24847.943530975874</v>
      </c>
      <c r="BQ867" s="164">
        <f>IF($E867="","",IF(AND($D867=Input!$C$6,$C867=12),0,-BJ868+BK868+BL868-BM868-BN868-BO868+BQ868))</f>
        <v>-24847.906768911038</v>
      </c>
      <c r="BR867" s="161">
        <f t="shared" si="558"/>
        <v>0</v>
      </c>
      <c r="BT867" s="147">
        <f t="shared" si="559"/>
        <v>3.0294844160553383E-18</v>
      </c>
      <c r="BU867" s="164">
        <f>IF(AND($C866=12,$D866=Input!$C$6),0,IF($E867="","",BK867+(BL867+BU868)/(1+$AK867)*MIN((1-T867-U867),1)))</f>
        <v>75451.589621655527</v>
      </c>
      <c r="BV867" s="164">
        <f t="shared" si="560"/>
        <v>2.285794149254081E-13</v>
      </c>
      <c r="BW867" s="164">
        <f t="shared" si="561"/>
        <v>-24847.906768911038</v>
      </c>
      <c r="BX867" s="164">
        <f t="shared" si="562"/>
        <v>-7.5276346328011946E-14</v>
      </c>
    </row>
    <row r="868" spans="1:76" s="150" customFormat="1" x14ac:dyDescent="0.25">
      <c r="A868" s="150">
        <f t="shared" si="573"/>
        <v>864</v>
      </c>
      <c r="B868" s="150">
        <f t="shared" si="574"/>
        <v>72</v>
      </c>
      <c r="C868" s="150">
        <f t="shared" si="575"/>
        <v>12</v>
      </c>
      <c r="D868" s="150">
        <f>IF(E868="","",Input!$C$4+B868-1)</f>
        <v>116</v>
      </c>
      <c r="E868" s="150">
        <f>IF(OR(AND(C867=12,D867=Input!$C$6),E867=""),"",1)</f>
        <v>1</v>
      </c>
      <c r="F868" s="150">
        <f>IF(E868="","",Input!$C$8+B868-1)</f>
        <v>2089</v>
      </c>
      <c r="G868" s="151">
        <f>IF(E868="","",MAX(0,Input!$C$9-B868))</f>
        <v>0</v>
      </c>
      <c r="H868" s="152">
        <f>IF(E868="","",Input!$C$3)</f>
        <v>100000</v>
      </c>
      <c r="I868" s="153">
        <f>IF(E868="","",HLOOKUP($B868,Input!$C$13:$BT$14,2))</f>
        <v>1000</v>
      </c>
      <c r="J868" s="154"/>
      <c r="K868" s="155">
        <f>IF($E868="","",INDEX(Input!$C$16:$CP$16,1,$B868))</f>
        <v>3.3140000000000003E-2</v>
      </c>
      <c r="L868" s="155">
        <f>IF($E868="","",Input!$C$37)</f>
        <v>1.4999999999999999E-2</v>
      </c>
      <c r="M868" s="155">
        <f t="shared" si="538"/>
        <v>4.8140000000000002E-2</v>
      </c>
      <c r="N868" s="155">
        <f t="shared" si="539"/>
        <v>3.9257828404828388E-3</v>
      </c>
      <c r="O868" s="147">
        <f>IF($E868="","",MIN(VLOOKUP(IF($B868&lt;=Input!$C$7,$B868,26),'Mortality Tables'!$A$41:$CW$67,IF($B868&lt;=Input!$C$7+1,Input!$C$4+2,$D868-Input!$C$7+2),0)*IF(B868&gt;20,Input!$C$22,1)/1000,1))</f>
        <v>1</v>
      </c>
      <c r="P868" s="147">
        <f>IF($E868="","",MIN(VLOOKUP(IF($B868&lt;=Input!$C$7,$B868,26),'Mortality Tables'!$A$12:$CW$37,IF($B868&lt;=Input!$C$7+1,Input!$C$4+2,$D868-Input!$C$7+2),0)*IF(B868&gt;20,Input!$C$22,1)/1000,1))</f>
        <v>1</v>
      </c>
      <c r="Q868" s="155">
        <f>IF($E868="","",Input!$C$21)</f>
        <v>5.0000000000000001E-3</v>
      </c>
      <c r="R868" s="159">
        <f>IF($E868="","",(1-Q868)^($F868-Input!$C$20))</f>
        <v>0.70054934757336229</v>
      </c>
      <c r="S868" s="147">
        <f t="shared" si="541"/>
        <v>0.70054934757336229</v>
      </c>
      <c r="T868" s="147">
        <f t="shared" si="542"/>
        <v>9.5600239559274547E-2</v>
      </c>
      <c r="U868" s="160">
        <f>IF($E868="","",IF($C868=12,INDEX(Input!$C$15:$CP$15,1,$B868),0))</f>
        <v>0.1</v>
      </c>
      <c r="V868" s="150">
        <f>IF(E868="","",IF(C868=1,IF($B868=1,Input!$C$33,Input!$C$34),0))</f>
        <v>0</v>
      </c>
      <c r="W868" s="156">
        <f>IF($E868="","",Input!$C$35)</f>
        <v>0.02</v>
      </c>
      <c r="X868" s="156">
        <f t="shared" si="540"/>
        <v>4.0795493873054074</v>
      </c>
      <c r="Y868" s="154"/>
      <c r="Z868" s="147">
        <f>IF($E868="","",VLOOKUP($D868,'Mortality Margins &amp; Grading'!$AB$5:$AF$125,3,0)*IF(Summary!$D$25="Included Margin",IF(AND($B868&gt;Input!$C$9,Summary!$D$31&lt;&gt;"Included Margin"),0,1),0))</f>
        <v>0.01</v>
      </c>
      <c r="AA868" s="147">
        <f>IF($E868="","",VLOOKUP($D868,'Mortality Margins &amp; Grading'!$AB$5:$AF$125,5,0)*IF(Summary!$D$25="Included Margin",IF(AND($B868&gt;Input!$C$9,Summary!$D$31&lt;&gt;"Included Margin"),0,1),0))</f>
        <v>5.2999999999999999E-2</v>
      </c>
      <c r="AB868" s="147">
        <f>IF($E868="","",IF(AND($B868&gt;Input!$C$9,Summary!$D$31&lt;&gt;"Included Margin"),1,IF(Summary!$D$25="Included Margin",VLOOKUP($B868,'Mortality Margins &amp; Grading'!$AI$5:$AR$125,MATCH('Mortality Margins &amp; Grading'!$AQ$4,'Mortality Margins &amp; Grading'!$AI$4:$AR$4,0),0),1)))</f>
        <v>0</v>
      </c>
      <c r="AC868" s="154"/>
      <c r="AD868" s="158">
        <f>IF(E868="","",Input!$C$48*IF(Summary!$D$30="Included Margin",IF(AND($B868&gt;Input!$C$9,Summary!$D$31&lt;&gt;"Included Margin"),0,1),0))</f>
        <v>-4.4999999999999997E-3</v>
      </c>
      <c r="AE868" s="159">
        <f>IF(E868="","",IF(Summary!$D$26="Included Margin",IF(AND($B868&gt;Input!$C$9,Summary!$D$31&lt;&gt;"Included Margin"),1,1/$R868),1))</f>
        <v>1.4274511902179439</v>
      </c>
      <c r="AF868" s="160">
        <f>IF(E868="","",IF(AND($B868&gt;=Input!$C$9,$C868=12,Summary!$D$31="Included Margin",$U868&gt;0),1/U868-1,IF($B868&gt;=Input!$C$9,0,Input!$C$45*IF(Summary!$D$27="Included Margin",1,0))))</f>
        <v>9</v>
      </c>
      <c r="AG868" s="160">
        <f>IF(E868="","",Input!$C$46*IF(Summary!$D$28="Included Margin",IF(AND($B868&gt;Input!$C$9,Summary!$D$31&lt;&gt;"Included Margin"),0,1),0))</f>
        <v>0.02</v>
      </c>
      <c r="AH868" s="158">
        <f>IF(E868="","",Input!$C$47*IF(Summary!$D$29="Included Margin",IF(AND($B868&gt;Input!$C$9,Summary!$D$31&lt;&gt;"Included Margin"),0,1),0))</f>
        <v>2.5000000000000001E-3</v>
      </c>
      <c r="AI868" s="154"/>
      <c r="AJ868" s="158">
        <f t="shared" si="563"/>
        <v>4.3640000000000005E-2</v>
      </c>
      <c r="AK868" s="155">
        <f t="shared" si="564"/>
        <v>3.565892922956726E-3</v>
      </c>
      <c r="AL868" s="147">
        <f t="shared" si="565"/>
        <v>1</v>
      </c>
      <c r="AM868" s="147">
        <f t="shared" si="543"/>
        <v>1</v>
      </c>
      <c r="AN868" s="160">
        <f t="shared" si="566"/>
        <v>1</v>
      </c>
      <c r="AO868" s="161">
        <f t="shared" si="567"/>
        <v>0</v>
      </c>
      <c r="AP868" s="156">
        <f t="shared" si="544"/>
        <v>4.8539520770236297</v>
      </c>
      <c r="AQ868" s="152"/>
      <c r="AR868" s="162">
        <f t="shared" si="545"/>
        <v>99822.022677888832</v>
      </c>
      <c r="AS868" s="150">
        <f t="shared" si="568"/>
        <v>0</v>
      </c>
      <c r="AT868" s="163">
        <f t="shared" si="546"/>
        <v>0</v>
      </c>
      <c r="AU868" s="163">
        <f t="shared" si="547"/>
        <v>100000</v>
      </c>
      <c r="AV868" s="163">
        <f t="shared" si="569"/>
        <v>177.65999807447329</v>
      </c>
      <c r="AW868" s="163">
        <f t="shared" si="548"/>
        <v>0</v>
      </c>
      <c r="AX868" s="163">
        <f t="shared" si="549"/>
        <v>0</v>
      </c>
      <c r="AY868" s="165">
        <f t="shared" si="570"/>
        <v>-0.31732403669488463</v>
      </c>
      <c r="AZ868" s="164">
        <f>IF($E868="","",IF(OR(AND($D868=Input!$C$6,$C868=12),$AN868=1),0,-AS869+AT869+AU869-AV869-AW869-AX869+AZ869))</f>
        <v>0</v>
      </c>
      <c r="BA868" s="154">
        <f t="shared" si="550"/>
        <v>0.31732403669488463</v>
      </c>
      <c r="BC868" s="147">
        <f t="shared" si="571"/>
        <v>2.4369165385338254E-18</v>
      </c>
      <c r="BD868" s="164">
        <f>IF(AND($C867=12,$D867=Input!$C$6),0,IF($E868="","",AT868+(AU868+BD869)/(1+$AK868)*MIN((1-AM868-AN868),1)))</f>
        <v>-99896.899817850805</v>
      </c>
      <c r="BE868" s="164">
        <f t="shared" si="579"/>
        <v>-2.4344040731437733E-13</v>
      </c>
      <c r="BF868" s="164">
        <f t="shared" si="572"/>
        <v>0</v>
      </c>
      <c r="BG868" s="164">
        <f t="shared" si="552"/>
        <v>0</v>
      </c>
      <c r="BH868" s="152"/>
      <c r="BI868" s="162">
        <f t="shared" si="553"/>
        <v>-24847.943530975877</v>
      </c>
      <c r="BJ868" s="150">
        <f t="shared" si="554"/>
        <v>0</v>
      </c>
      <c r="BK868" s="163">
        <f t="shared" si="576"/>
        <v>0</v>
      </c>
      <c r="BL868" s="163">
        <f t="shared" si="555"/>
        <v>9560.0239559274542</v>
      </c>
      <c r="BM868" s="163">
        <f t="shared" si="577"/>
        <v>-116.3129193355841</v>
      </c>
      <c r="BN868" s="163">
        <f t="shared" si="556"/>
        <v>-4054.9005322570279</v>
      </c>
      <c r="BO868" s="163">
        <f t="shared" si="557"/>
        <v>-3836.027071574897</v>
      </c>
      <c r="BP868" s="164">
        <f t="shared" si="578"/>
        <v>-42415.208010070848</v>
      </c>
      <c r="BQ868" s="164">
        <f>IF($E868="","",IF(AND($D868=Input!$C$6,$C868=12),0,-BJ869+BK869+BL869-BM869-BN869-BO869+BQ869))</f>
        <v>-42415.171248006001</v>
      </c>
      <c r="BR868" s="161">
        <f t="shared" si="558"/>
        <v>0</v>
      </c>
      <c r="BT868" s="147">
        <f t="shared" si="559"/>
        <v>2.4369165385338254E-18</v>
      </c>
      <c r="BU868" s="164">
        <f>IF(AND($C867=12,$D867=Input!$C$6),0,IF($E868="","",BK868+(BL868+BU869)/(1+$AK868)*MIN((1-T868-U868),1)))</f>
        <v>74164.723908018903</v>
      </c>
      <c r="BV868" s="164">
        <f t="shared" si="560"/>
        <v>1.8073324226724627E-13</v>
      </c>
      <c r="BW868" s="164">
        <f t="shared" si="561"/>
        <v>-42415.171248006001</v>
      </c>
      <c r="BX868" s="164">
        <f t="shared" si="562"/>
        <v>-1.0336223229901022E-13</v>
      </c>
    </row>
    <row r="869" spans="1:76" s="150" customFormat="1" x14ac:dyDescent="0.25">
      <c r="A869" s="150">
        <f t="shared" si="573"/>
        <v>865</v>
      </c>
      <c r="B869" s="150">
        <f t="shared" si="574"/>
        <v>73</v>
      </c>
      <c r="C869" s="150">
        <f t="shared" si="575"/>
        <v>1</v>
      </c>
      <c r="D869" s="150">
        <f>IF(E869="","",Input!$C$4+B869-1)</f>
        <v>117</v>
      </c>
      <c r="E869" s="150">
        <f>IF(OR(AND(C868=12,D868=Input!$C$6),E868=""),"",1)</f>
        <v>1</v>
      </c>
      <c r="F869" s="150">
        <f>IF(E869="","",Input!$C$8+B869-1)</f>
        <v>2090</v>
      </c>
      <c r="G869" s="151">
        <f>IF(E869="","",MAX(0,Input!$C$9-B869))</f>
        <v>0</v>
      </c>
      <c r="H869" s="152">
        <f>IF(E869="","",Input!$C$3)</f>
        <v>100000</v>
      </c>
      <c r="I869" s="153">
        <f>IF(E869="","",HLOOKUP($B869,Input!$C$13:$BT$14,2))</f>
        <v>1000</v>
      </c>
      <c r="J869" s="154"/>
      <c r="K869" s="155">
        <f>IF($E869="","",INDEX(Input!$C$16:$CP$16,1,$B869))</f>
        <v>3.3140000000000003E-2</v>
      </c>
      <c r="L869" s="155">
        <f>IF($E869="","",Input!$C$37)</f>
        <v>1.4999999999999999E-2</v>
      </c>
      <c r="M869" s="155">
        <f t="shared" si="538"/>
        <v>4.8140000000000002E-2</v>
      </c>
      <c r="N869" s="155">
        <f t="shared" si="539"/>
        <v>3.9257828404828388E-3</v>
      </c>
      <c r="O869" s="147">
        <f>IF($E869="","",MIN(VLOOKUP(IF($B869&lt;=Input!$C$7,$B869,26),'Mortality Tables'!$A$41:$CW$67,IF($B869&lt;=Input!$C$7+1,Input!$C$4+2,$D869-Input!$C$7+2),0)*IF(B869&gt;20,Input!$C$22,1)/1000,1))</f>
        <v>1</v>
      </c>
      <c r="P869" s="147">
        <f>IF($E869="","",MIN(VLOOKUP(IF($B869&lt;=Input!$C$7,$B869,26),'Mortality Tables'!$A$12:$CW$37,IF($B869&lt;=Input!$C$7+1,Input!$C$4+2,$D869-Input!$C$7+2),0)*IF(B869&gt;20,Input!$C$22,1)/1000,1))</f>
        <v>1</v>
      </c>
      <c r="Q869" s="155">
        <f>IF($E869="","",Input!$C$21)</f>
        <v>5.0000000000000001E-3</v>
      </c>
      <c r="R869" s="159">
        <f>IF($E869="","",(1-Q869)^($F869-Input!$C$20))</f>
        <v>0.69704660083549552</v>
      </c>
      <c r="S869" s="147">
        <f t="shared" si="541"/>
        <v>0.69704660083549552</v>
      </c>
      <c r="T869" s="147">
        <f t="shared" si="542"/>
        <v>9.4723349002528545E-2</v>
      </c>
      <c r="U869" s="160">
        <f>IF($E869="","",IF($C869=12,INDEX(Input!$C$15:$CP$15,1,$B869),0))</f>
        <v>0</v>
      </c>
      <c r="V869" s="150">
        <f>IF(E869="","",IF(C869=1,IF($B869=1,Input!$C$33,Input!$C$34),0))</f>
        <v>50</v>
      </c>
      <c r="W869" s="156">
        <f>IF($E869="","",Input!$C$35)</f>
        <v>0.02</v>
      </c>
      <c r="X869" s="156">
        <f t="shared" si="540"/>
        <v>4.1611403750515157</v>
      </c>
      <c r="Y869" s="154"/>
      <c r="Z869" s="147">
        <f>IF($E869="","",VLOOKUP($D869,'Mortality Margins &amp; Grading'!$AB$5:$AF$125,3,0)*IF(Summary!$D$25="Included Margin",IF(AND($B869&gt;Input!$C$9,Summary!$D$31&lt;&gt;"Included Margin"),0,1),0))</f>
        <v>0.01</v>
      </c>
      <c r="AA869" s="147">
        <f>IF($E869="","",VLOOKUP($D869,'Mortality Margins &amp; Grading'!$AB$5:$AF$125,5,0)*IF(Summary!$D$25="Included Margin",IF(AND($B869&gt;Input!$C$9,Summary!$D$31&lt;&gt;"Included Margin"),0,1),0))</f>
        <v>5.2999999999999999E-2</v>
      </c>
      <c r="AB869" s="147">
        <f>IF($E869="","",IF(AND($B869&gt;Input!$C$9,Summary!$D$31&lt;&gt;"Included Margin"),1,IF(Summary!$D$25="Included Margin",VLOOKUP($B869,'Mortality Margins &amp; Grading'!$AI$5:$AR$125,MATCH('Mortality Margins &amp; Grading'!$AQ$4,'Mortality Margins &amp; Grading'!$AI$4:$AR$4,0),0),1)))</f>
        <v>0</v>
      </c>
      <c r="AC869" s="154"/>
      <c r="AD869" s="158">
        <f>IF(E869="","",Input!$C$48*IF(Summary!$D$30="Included Margin",IF(AND($B869&gt;Input!$C$9,Summary!$D$31&lt;&gt;"Included Margin"),0,1),0))</f>
        <v>-4.4999999999999997E-3</v>
      </c>
      <c r="AE869" s="159">
        <f>IF(E869="","",IF(Summary!$D$26="Included Margin",IF(AND($B869&gt;Input!$C$9,Summary!$D$31&lt;&gt;"Included Margin"),1,1/$R869),1))</f>
        <v>1.4346243117768278</v>
      </c>
      <c r="AF869" s="160">
        <f>IF(E869="","",IF(AND($B869&gt;=Input!$C$9,$C869=12,Summary!$D$31="Included Margin",$U869&gt;0),1/U869-1,IF($B869&gt;=Input!$C$9,0,Input!$C$45*IF(Summary!$D$27="Included Margin",1,0))))</f>
        <v>0</v>
      </c>
      <c r="AG869" s="160">
        <f>IF(E869="","",Input!$C$46*IF(Summary!$D$28="Included Margin",IF(AND($B869&gt;Input!$C$9,Summary!$D$31&lt;&gt;"Included Margin"),0,1),0))</f>
        <v>0.02</v>
      </c>
      <c r="AH869" s="158">
        <f>IF(E869="","",Input!$C$47*IF(Summary!$D$29="Included Margin",IF(AND($B869&gt;Input!$C$9,Summary!$D$31&lt;&gt;"Included Margin"),0,1),0))</f>
        <v>2.5000000000000001E-3</v>
      </c>
      <c r="AI869" s="154"/>
      <c r="AJ869" s="158">
        <f t="shared" si="563"/>
        <v>4.3640000000000005E-2</v>
      </c>
      <c r="AK869" s="155">
        <f t="shared" si="564"/>
        <v>3.565892922956726E-3</v>
      </c>
      <c r="AL869" s="147">
        <f t="shared" si="565"/>
        <v>1</v>
      </c>
      <c r="AM869" s="147">
        <f t="shared" si="543"/>
        <v>1</v>
      </c>
      <c r="AN869" s="160">
        <f t="shared" si="566"/>
        <v>0</v>
      </c>
      <c r="AO869" s="161">
        <f t="shared" si="567"/>
        <v>51</v>
      </c>
      <c r="AP869" s="156">
        <f t="shared" si="544"/>
        <v>4.9631659987566614</v>
      </c>
      <c r="AQ869" s="152"/>
      <c r="AR869" s="162">
        <f t="shared" si="545"/>
        <v>75.144143825421565</v>
      </c>
      <c r="AS869" s="150">
        <f t="shared" si="568"/>
        <v>100000</v>
      </c>
      <c r="AT869" s="163">
        <f t="shared" si="546"/>
        <v>253.12146593658974</v>
      </c>
      <c r="AU869" s="163">
        <f t="shared" si="547"/>
        <v>100000</v>
      </c>
      <c r="AV869" s="163">
        <f t="shared" si="569"/>
        <v>177.65999807447329</v>
      </c>
      <c r="AW869" s="163">
        <f t="shared" si="548"/>
        <v>99822.34000192552</v>
      </c>
      <c r="AX869" s="163">
        <f t="shared" si="549"/>
        <v>0</v>
      </c>
      <c r="AY869" s="164">
        <f t="shared" si="570"/>
        <v>99822.022677888832</v>
      </c>
      <c r="AZ869" s="164">
        <f>IF($E869="","",IF(OR(AND($D869=Input!$C$6,$C869=12),$AN869=1),0,-AS870+AT870+AU870-AV870-AW870-AX870+AZ870))</f>
        <v>99822.34000192552</v>
      </c>
      <c r="BA869" s="154">
        <f t="shared" si="550"/>
        <v>0.31732403668866027</v>
      </c>
      <c r="BC869" s="147">
        <f t="shared" si="571"/>
        <v>2.2060836427642523E-18</v>
      </c>
      <c r="BD869" s="164">
        <f>IF(AND($C868=12,$D868=Input!$C$6),0,IF($E869="","",AT869+(AU869+BD870)/(1+$AK869)*MIN((1-AM869-AN869),1)))</f>
        <v>253.12146593658974</v>
      </c>
      <c r="BE869" s="164">
        <f t="shared" si="579"/>
        <v>5.5840712563521946E-16</v>
      </c>
      <c r="BF869" s="164">
        <f t="shared" si="572"/>
        <v>99822.34000192552</v>
      </c>
      <c r="BG869" s="164">
        <f t="shared" si="552"/>
        <v>2.2021643146069958E-13</v>
      </c>
      <c r="BH869" s="152"/>
      <c r="BI869" s="162">
        <f t="shared" si="553"/>
        <v>-42415.207672871809</v>
      </c>
      <c r="BJ869" s="150">
        <f t="shared" si="554"/>
        <v>100000</v>
      </c>
      <c r="BK869" s="163">
        <f t="shared" si="576"/>
        <v>208.05701875257577</v>
      </c>
      <c r="BL869" s="163">
        <f t="shared" si="555"/>
        <v>9472.3349002528539</v>
      </c>
      <c r="BM869" s="163">
        <f t="shared" si="577"/>
        <v>206.65543801118713</v>
      </c>
      <c r="BN869" s="163">
        <f t="shared" si="556"/>
        <v>5034.0896112336522</v>
      </c>
      <c r="BO869" s="163">
        <f t="shared" si="557"/>
        <v>0</v>
      </c>
      <c r="BP869" s="164">
        <f t="shared" si="578"/>
        <v>53145.145457367602</v>
      </c>
      <c r="BQ869" s="164">
        <f>IF($E869="","",IF(AND($D869=Input!$C$6,$C869=12),0,-BJ870+BK870+BL870-BM870-BN870-BO870+BQ870))</f>
        <v>53145.18188223341</v>
      </c>
      <c r="BR869" s="161">
        <f t="shared" si="558"/>
        <v>0</v>
      </c>
      <c r="BT869" s="147">
        <f t="shared" si="559"/>
        <v>2.2060836427642523E-18</v>
      </c>
      <c r="BU869" s="164">
        <f>IF(AND($C868=12,$D868=Input!$C$6),0,IF($E869="","",BK869+(BL869+BU870)/(1+$AK869)*MIN((1-T869-U869),1)))</f>
        <v>82967.586111181809</v>
      </c>
      <c r="BV869" s="164">
        <f t="shared" si="560"/>
        <v>1.8303343459951276E-13</v>
      </c>
      <c r="BW869" s="164">
        <f t="shared" si="561"/>
        <v>53145.18188223341</v>
      </c>
      <c r="BX869" s="164">
        <f t="shared" si="562"/>
        <v>1.1724271644212622E-13</v>
      </c>
    </row>
    <row r="870" spans="1:76" s="150" customFormat="1" x14ac:dyDescent="0.25">
      <c r="A870" s="150">
        <f t="shared" si="573"/>
        <v>866</v>
      </c>
      <c r="B870" s="150">
        <f t="shared" si="574"/>
        <v>73</v>
      </c>
      <c r="C870" s="150">
        <f t="shared" si="575"/>
        <v>2</v>
      </c>
      <c r="D870" s="150">
        <f>IF(E870="","",Input!$C$4+B870-1)</f>
        <v>117</v>
      </c>
      <c r="E870" s="150">
        <f>IF(OR(AND(C869=12,D869=Input!$C$6),E869=""),"",1)</f>
        <v>1</v>
      </c>
      <c r="F870" s="150">
        <f>IF(E870="","",Input!$C$8+B870-1)</f>
        <v>2090</v>
      </c>
      <c r="G870" s="151">
        <f>IF(E870="","",MAX(0,Input!$C$9-B870))</f>
        <v>0</v>
      </c>
      <c r="H870" s="152">
        <f>IF(E870="","",Input!$C$3)</f>
        <v>100000</v>
      </c>
      <c r="I870" s="153">
        <f>IF(E870="","",HLOOKUP($B870,Input!$C$13:$BT$14,2))</f>
        <v>1000</v>
      </c>
      <c r="J870" s="154"/>
      <c r="K870" s="155">
        <f>IF($E870="","",INDEX(Input!$C$16:$CP$16,1,$B870))</f>
        <v>3.3140000000000003E-2</v>
      </c>
      <c r="L870" s="155">
        <f>IF($E870="","",Input!$C$37)</f>
        <v>1.4999999999999999E-2</v>
      </c>
      <c r="M870" s="155">
        <f t="shared" si="538"/>
        <v>4.8140000000000002E-2</v>
      </c>
      <c r="N870" s="155">
        <f t="shared" si="539"/>
        <v>3.9257828404828388E-3</v>
      </c>
      <c r="O870" s="147">
        <f>IF($E870="","",MIN(VLOOKUP(IF($B870&lt;=Input!$C$7,$B870,26),'Mortality Tables'!$A$41:$CW$67,IF($B870&lt;=Input!$C$7+1,Input!$C$4+2,$D870-Input!$C$7+2),0)*IF(B870&gt;20,Input!$C$22,1)/1000,1))</f>
        <v>1</v>
      </c>
      <c r="P870" s="147">
        <f>IF($E870="","",MIN(VLOOKUP(IF($B870&lt;=Input!$C$7,$B870,26),'Mortality Tables'!$A$12:$CW$37,IF($B870&lt;=Input!$C$7+1,Input!$C$4+2,$D870-Input!$C$7+2),0)*IF(B870&gt;20,Input!$C$22,1)/1000,1))</f>
        <v>1</v>
      </c>
      <c r="Q870" s="155">
        <f>IF($E870="","",Input!$C$21)</f>
        <v>5.0000000000000001E-3</v>
      </c>
      <c r="R870" s="159">
        <f>IF($E870="","",(1-Q870)^($F870-Input!$C$20))</f>
        <v>0.69704660083549552</v>
      </c>
      <c r="S870" s="147">
        <f t="shared" si="541"/>
        <v>0.69704660083549552</v>
      </c>
      <c r="T870" s="147">
        <f t="shared" si="542"/>
        <v>9.4723349002528545E-2</v>
      </c>
      <c r="U870" s="160">
        <f>IF($E870="","",IF($C870=12,INDEX(Input!$C$15:$CP$15,1,$B870),0))</f>
        <v>0</v>
      </c>
      <c r="V870" s="150">
        <f>IF(E870="","",IF(C870=1,IF($B870=1,Input!$C$33,Input!$C$34),0))</f>
        <v>0</v>
      </c>
      <c r="W870" s="156">
        <f>IF($E870="","",Input!$C$35)</f>
        <v>0.02</v>
      </c>
      <c r="X870" s="156">
        <f t="shared" si="540"/>
        <v>4.1611403750515157</v>
      </c>
      <c r="Y870" s="154"/>
      <c r="Z870" s="147">
        <f>IF($E870="","",VLOOKUP($D870,'Mortality Margins &amp; Grading'!$AB$5:$AF$125,3,0)*IF(Summary!$D$25="Included Margin",IF(AND($B870&gt;Input!$C$9,Summary!$D$31&lt;&gt;"Included Margin"),0,1),0))</f>
        <v>0.01</v>
      </c>
      <c r="AA870" s="147">
        <f>IF($E870="","",VLOOKUP($D870,'Mortality Margins &amp; Grading'!$AB$5:$AF$125,5,0)*IF(Summary!$D$25="Included Margin",IF(AND($B870&gt;Input!$C$9,Summary!$D$31&lt;&gt;"Included Margin"),0,1),0))</f>
        <v>5.2999999999999999E-2</v>
      </c>
      <c r="AB870" s="147">
        <f>IF($E870="","",IF(AND($B870&gt;Input!$C$9,Summary!$D$31&lt;&gt;"Included Margin"),1,IF(Summary!$D$25="Included Margin",VLOOKUP($B870,'Mortality Margins &amp; Grading'!$AI$5:$AR$125,MATCH('Mortality Margins &amp; Grading'!$AQ$4,'Mortality Margins &amp; Grading'!$AI$4:$AR$4,0),0),1)))</f>
        <v>0</v>
      </c>
      <c r="AC870" s="154"/>
      <c r="AD870" s="158">
        <f>IF(E870="","",Input!$C$48*IF(Summary!$D$30="Included Margin",IF(AND($B870&gt;Input!$C$9,Summary!$D$31&lt;&gt;"Included Margin"),0,1),0))</f>
        <v>-4.4999999999999997E-3</v>
      </c>
      <c r="AE870" s="159">
        <f>IF(E870="","",IF(Summary!$D$26="Included Margin",IF(AND($B870&gt;Input!$C$9,Summary!$D$31&lt;&gt;"Included Margin"),1,1/$R870),1))</f>
        <v>1.4346243117768278</v>
      </c>
      <c r="AF870" s="160">
        <f>IF(E870="","",IF(AND($B870&gt;=Input!$C$9,$C870=12,Summary!$D$31="Included Margin",$U870&gt;0),1/U870-1,IF($B870&gt;=Input!$C$9,0,Input!$C$45*IF(Summary!$D$27="Included Margin",1,0))))</f>
        <v>0</v>
      </c>
      <c r="AG870" s="160">
        <f>IF(E870="","",Input!$C$46*IF(Summary!$D$28="Included Margin",IF(AND($B870&gt;Input!$C$9,Summary!$D$31&lt;&gt;"Included Margin"),0,1),0))</f>
        <v>0.02</v>
      </c>
      <c r="AH870" s="158">
        <f>IF(E870="","",Input!$C$47*IF(Summary!$D$29="Included Margin",IF(AND($B870&gt;Input!$C$9,Summary!$D$31&lt;&gt;"Included Margin"),0,1),0))</f>
        <v>2.5000000000000001E-3</v>
      </c>
      <c r="AI870" s="154"/>
      <c r="AJ870" s="158">
        <f t="shared" si="563"/>
        <v>4.3640000000000005E-2</v>
      </c>
      <c r="AK870" s="155">
        <f t="shared" si="564"/>
        <v>3.565892922956726E-3</v>
      </c>
      <c r="AL870" s="147">
        <f t="shared" si="565"/>
        <v>1</v>
      </c>
      <c r="AM870" s="147">
        <f t="shared" si="543"/>
        <v>1</v>
      </c>
      <c r="AN870" s="160">
        <f t="shared" si="566"/>
        <v>0</v>
      </c>
      <c r="AO870" s="161">
        <f t="shared" si="567"/>
        <v>0</v>
      </c>
      <c r="AP870" s="156">
        <f t="shared" si="544"/>
        <v>4.9631659987566614</v>
      </c>
      <c r="AQ870" s="152"/>
      <c r="AR870" s="162">
        <f t="shared" si="545"/>
        <v>99822.022677888832</v>
      </c>
      <c r="AS870" s="150">
        <f t="shared" si="568"/>
        <v>0</v>
      </c>
      <c r="AT870" s="163">
        <f t="shared" si="546"/>
        <v>0</v>
      </c>
      <c r="AU870" s="163">
        <f t="shared" si="547"/>
        <v>100000</v>
      </c>
      <c r="AV870" s="163">
        <f t="shared" si="569"/>
        <v>177.65999807447329</v>
      </c>
      <c r="AW870" s="163">
        <f t="shared" si="548"/>
        <v>99822.34000192552</v>
      </c>
      <c r="AX870" s="163">
        <f t="shared" si="549"/>
        <v>0</v>
      </c>
      <c r="AY870" s="165">
        <f t="shared" si="570"/>
        <v>99822.022677888832</v>
      </c>
      <c r="AZ870" s="164">
        <f>IF($E870="","",IF(OR(AND($D870=Input!$C$6,$C870=12),$AN870=1),0,-AS871+AT871+AU871-AV871-AW871-AX871+AZ871))</f>
        <v>99822.34000192552</v>
      </c>
      <c r="BA870" s="154">
        <f t="shared" si="550"/>
        <v>0.31732403668866027</v>
      </c>
      <c r="BC870" s="147">
        <f t="shared" si="571"/>
        <v>1.9971160119419245E-18</v>
      </c>
      <c r="BD870" s="164">
        <f>IF(AND($C869=12,$D869=Input!$C$6),0,IF($E870="","",AT870+(AU870+BD871)/(1+$AK870)*MIN((1-AM870-AN870),1)))</f>
        <v>0</v>
      </c>
      <c r="BE870" s="164">
        <f t="shared" si="579"/>
        <v>0</v>
      </c>
      <c r="BF870" s="164">
        <f t="shared" si="572"/>
        <v>99822.34000192552</v>
      </c>
      <c r="BG870" s="164">
        <f t="shared" si="552"/>
        <v>1.9935679356735635E-13</v>
      </c>
      <c r="BH870" s="152"/>
      <c r="BI870" s="162">
        <f t="shared" si="553"/>
        <v>53145.145457367595</v>
      </c>
      <c r="BJ870" s="150">
        <f t="shared" si="554"/>
        <v>0</v>
      </c>
      <c r="BK870" s="163">
        <f t="shared" si="576"/>
        <v>0</v>
      </c>
      <c r="BL870" s="163">
        <f t="shared" si="555"/>
        <v>9472.3349002528539</v>
      </c>
      <c r="BM870" s="163">
        <f t="shared" si="577"/>
        <v>190.0431351861385</v>
      </c>
      <c r="BN870" s="163">
        <f t="shared" si="556"/>
        <v>4589.5802617354211</v>
      </c>
      <c r="BO870" s="163">
        <f t="shared" si="557"/>
        <v>0</v>
      </c>
      <c r="BP870" s="164">
        <f t="shared" si="578"/>
        <v>48452.4339540363</v>
      </c>
      <c r="BQ870" s="164">
        <f>IF($E870="","",IF(AND($D870=Input!$C$6,$C870=12),0,-BJ871+BK871+BL871-BM871-BN871-BO871+BQ871))</f>
        <v>48452.470378902115</v>
      </c>
      <c r="BR870" s="161">
        <f t="shared" si="558"/>
        <v>0</v>
      </c>
      <c r="BT870" s="147">
        <f t="shared" si="559"/>
        <v>1.9971160119419245E-18</v>
      </c>
      <c r="BU870" s="164">
        <f>IF(AND($C869=12,$D869=Input!$C$6),0,IF($E870="","",BK870+(BL870+BU871)/(1+$AK870)*MIN((1-T870-U870),1)))</f>
        <v>82272.703061362641</v>
      </c>
      <c r="BV870" s="164">
        <f t="shared" si="560"/>
        <v>1.6430813262959071E-13</v>
      </c>
      <c r="BW870" s="164">
        <f t="shared" si="561"/>
        <v>48452.470378902115</v>
      </c>
      <c r="BX870" s="164">
        <f t="shared" si="562"/>
        <v>9.676520441184722E-14</v>
      </c>
    </row>
    <row r="871" spans="1:76" s="150" customFormat="1" x14ac:dyDescent="0.25">
      <c r="A871" s="150">
        <f t="shared" si="573"/>
        <v>867</v>
      </c>
      <c r="B871" s="150">
        <f t="shared" si="574"/>
        <v>73</v>
      </c>
      <c r="C871" s="150">
        <f t="shared" si="575"/>
        <v>3</v>
      </c>
      <c r="D871" s="150">
        <f>IF(E871="","",Input!$C$4+B871-1)</f>
        <v>117</v>
      </c>
      <c r="E871" s="150">
        <f>IF(OR(AND(C870=12,D870=Input!$C$6),E870=""),"",1)</f>
        <v>1</v>
      </c>
      <c r="F871" s="150">
        <f>IF(E871="","",Input!$C$8+B871-1)</f>
        <v>2090</v>
      </c>
      <c r="G871" s="151">
        <f>IF(E871="","",MAX(0,Input!$C$9-B871))</f>
        <v>0</v>
      </c>
      <c r="H871" s="152">
        <f>IF(E871="","",Input!$C$3)</f>
        <v>100000</v>
      </c>
      <c r="I871" s="153">
        <f>IF(E871="","",HLOOKUP($B871,Input!$C$13:$BT$14,2))</f>
        <v>1000</v>
      </c>
      <c r="J871" s="154"/>
      <c r="K871" s="155">
        <f>IF($E871="","",INDEX(Input!$C$16:$CP$16,1,$B871))</f>
        <v>3.3140000000000003E-2</v>
      </c>
      <c r="L871" s="155">
        <f>IF($E871="","",Input!$C$37)</f>
        <v>1.4999999999999999E-2</v>
      </c>
      <c r="M871" s="155">
        <f t="shared" si="538"/>
        <v>4.8140000000000002E-2</v>
      </c>
      <c r="N871" s="155">
        <f t="shared" si="539"/>
        <v>3.9257828404828388E-3</v>
      </c>
      <c r="O871" s="147">
        <f>IF($E871="","",MIN(VLOOKUP(IF($B871&lt;=Input!$C$7,$B871,26),'Mortality Tables'!$A$41:$CW$67,IF($B871&lt;=Input!$C$7+1,Input!$C$4+2,$D871-Input!$C$7+2),0)*IF(B871&gt;20,Input!$C$22,1)/1000,1))</f>
        <v>1</v>
      </c>
      <c r="P871" s="147">
        <f>IF($E871="","",MIN(VLOOKUP(IF($B871&lt;=Input!$C$7,$B871,26),'Mortality Tables'!$A$12:$CW$37,IF($B871&lt;=Input!$C$7+1,Input!$C$4+2,$D871-Input!$C$7+2),0)*IF(B871&gt;20,Input!$C$22,1)/1000,1))</f>
        <v>1</v>
      </c>
      <c r="Q871" s="155">
        <f>IF($E871="","",Input!$C$21)</f>
        <v>5.0000000000000001E-3</v>
      </c>
      <c r="R871" s="159">
        <f>IF($E871="","",(1-Q871)^($F871-Input!$C$20))</f>
        <v>0.69704660083549552</v>
      </c>
      <c r="S871" s="147">
        <f t="shared" si="541"/>
        <v>0.69704660083549552</v>
      </c>
      <c r="T871" s="147">
        <f t="shared" si="542"/>
        <v>9.4723349002528545E-2</v>
      </c>
      <c r="U871" s="160">
        <f>IF($E871="","",IF($C871=12,INDEX(Input!$C$15:$CP$15,1,$B871),0))</f>
        <v>0</v>
      </c>
      <c r="V871" s="150">
        <f>IF(E871="","",IF(C871=1,IF($B871=1,Input!$C$33,Input!$C$34),0))</f>
        <v>0</v>
      </c>
      <c r="W871" s="156">
        <f>IF($E871="","",Input!$C$35)</f>
        <v>0.02</v>
      </c>
      <c r="X871" s="156">
        <f t="shared" si="540"/>
        <v>4.1611403750515157</v>
      </c>
      <c r="Y871" s="154"/>
      <c r="Z871" s="147">
        <f>IF($E871="","",VLOOKUP($D871,'Mortality Margins &amp; Grading'!$AB$5:$AF$125,3,0)*IF(Summary!$D$25="Included Margin",IF(AND($B871&gt;Input!$C$9,Summary!$D$31&lt;&gt;"Included Margin"),0,1),0))</f>
        <v>0.01</v>
      </c>
      <c r="AA871" s="147">
        <f>IF($E871="","",VLOOKUP($D871,'Mortality Margins &amp; Grading'!$AB$5:$AF$125,5,0)*IF(Summary!$D$25="Included Margin",IF(AND($B871&gt;Input!$C$9,Summary!$D$31&lt;&gt;"Included Margin"),0,1),0))</f>
        <v>5.2999999999999999E-2</v>
      </c>
      <c r="AB871" s="147">
        <f>IF($E871="","",IF(AND($B871&gt;Input!$C$9,Summary!$D$31&lt;&gt;"Included Margin"),1,IF(Summary!$D$25="Included Margin",VLOOKUP($B871,'Mortality Margins &amp; Grading'!$AI$5:$AR$125,MATCH('Mortality Margins &amp; Grading'!$AQ$4,'Mortality Margins &amp; Grading'!$AI$4:$AR$4,0),0),1)))</f>
        <v>0</v>
      </c>
      <c r="AC871" s="154"/>
      <c r="AD871" s="158">
        <f>IF(E871="","",Input!$C$48*IF(Summary!$D$30="Included Margin",IF(AND($B871&gt;Input!$C$9,Summary!$D$31&lt;&gt;"Included Margin"),0,1),0))</f>
        <v>-4.4999999999999997E-3</v>
      </c>
      <c r="AE871" s="159">
        <f>IF(E871="","",IF(Summary!$D$26="Included Margin",IF(AND($B871&gt;Input!$C$9,Summary!$D$31&lt;&gt;"Included Margin"),1,1/$R871),1))</f>
        <v>1.4346243117768278</v>
      </c>
      <c r="AF871" s="160">
        <f>IF(E871="","",IF(AND($B871&gt;=Input!$C$9,$C871=12,Summary!$D$31="Included Margin",$U871&gt;0),1/U871-1,IF($B871&gt;=Input!$C$9,0,Input!$C$45*IF(Summary!$D$27="Included Margin",1,0))))</f>
        <v>0</v>
      </c>
      <c r="AG871" s="160">
        <f>IF(E871="","",Input!$C$46*IF(Summary!$D$28="Included Margin",IF(AND($B871&gt;Input!$C$9,Summary!$D$31&lt;&gt;"Included Margin"),0,1),0))</f>
        <v>0.02</v>
      </c>
      <c r="AH871" s="158">
        <f>IF(E871="","",Input!$C$47*IF(Summary!$D$29="Included Margin",IF(AND($B871&gt;Input!$C$9,Summary!$D$31&lt;&gt;"Included Margin"),0,1),0))</f>
        <v>2.5000000000000001E-3</v>
      </c>
      <c r="AI871" s="154"/>
      <c r="AJ871" s="158">
        <f t="shared" si="563"/>
        <v>4.3640000000000005E-2</v>
      </c>
      <c r="AK871" s="155">
        <f t="shared" si="564"/>
        <v>3.565892922956726E-3</v>
      </c>
      <c r="AL871" s="147">
        <f t="shared" si="565"/>
        <v>1</v>
      </c>
      <c r="AM871" s="147">
        <f t="shared" si="543"/>
        <v>1</v>
      </c>
      <c r="AN871" s="160">
        <f t="shared" si="566"/>
        <v>0</v>
      </c>
      <c r="AO871" s="161">
        <f t="shared" si="567"/>
        <v>0</v>
      </c>
      <c r="AP871" s="156">
        <f t="shared" si="544"/>
        <v>4.9631659987566614</v>
      </c>
      <c r="AQ871" s="152"/>
      <c r="AR871" s="162">
        <f t="shared" si="545"/>
        <v>99822.022677888832</v>
      </c>
      <c r="AS871" s="150">
        <f t="shared" si="568"/>
        <v>0</v>
      </c>
      <c r="AT871" s="163">
        <f t="shared" si="546"/>
        <v>0</v>
      </c>
      <c r="AU871" s="163">
        <f t="shared" si="547"/>
        <v>100000</v>
      </c>
      <c r="AV871" s="163">
        <f t="shared" si="569"/>
        <v>177.65999807447329</v>
      </c>
      <c r="AW871" s="163">
        <f t="shared" si="548"/>
        <v>99822.34000192552</v>
      </c>
      <c r="AX871" s="163">
        <f t="shared" si="549"/>
        <v>0</v>
      </c>
      <c r="AY871" s="164">
        <f t="shared" si="570"/>
        <v>99822.022677888832</v>
      </c>
      <c r="AZ871" s="164">
        <f>IF($E871="","",IF(OR(AND($D871=Input!$C$6,$C871=12),$AN871=1),0,-AS872+AT872+AU872-AV872-AW872-AX872+AZ872))</f>
        <v>99822.34000192552</v>
      </c>
      <c r="BA871" s="154">
        <f t="shared" si="550"/>
        <v>0.31732403668866027</v>
      </c>
      <c r="BC871" s="147">
        <f t="shared" si="571"/>
        <v>1.8079424949442115E-18</v>
      </c>
      <c r="BD871" s="164">
        <f>IF(AND($C870=12,$D870=Input!$C$6),0,IF($E871="","",AT871+(AU871+BD872)/(1+$AK871)*MIN((1-AM871-AN871),1)))</f>
        <v>0</v>
      </c>
      <c r="BE871" s="164">
        <f t="shared" si="579"/>
        <v>0</v>
      </c>
      <c r="BF871" s="164">
        <f t="shared" si="572"/>
        <v>99822.34000192552</v>
      </c>
      <c r="BG871" s="164">
        <f t="shared" si="552"/>
        <v>1.8047305043425059E-13</v>
      </c>
      <c r="BH871" s="152"/>
      <c r="BI871" s="162">
        <f t="shared" si="553"/>
        <v>48452.4339540363</v>
      </c>
      <c r="BJ871" s="150">
        <f t="shared" si="554"/>
        <v>0</v>
      </c>
      <c r="BK871" s="163">
        <f t="shared" si="576"/>
        <v>0</v>
      </c>
      <c r="BL871" s="163">
        <f t="shared" si="555"/>
        <v>9472.3349002528539</v>
      </c>
      <c r="BM871" s="163">
        <f t="shared" si="577"/>
        <v>171.62056889102408</v>
      </c>
      <c r="BN871" s="163">
        <f t="shared" si="556"/>
        <v>4096.632171023899</v>
      </c>
      <c r="BO871" s="163">
        <f t="shared" si="557"/>
        <v>0</v>
      </c>
      <c r="BP871" s="164">
        <f t="shared" si="578"/>
        <v>43248.35179369837</v>
      </c>
      <c r="BQ871" s="164">
        <f>IF($E871="","",IF(AND($D871=Input!$C$6,$C871=12),0,-BJ872+BK872+BL872-BM872-BN872-BO872+BQ872))</f>
        <v>43248.388218564185</v>
      </c>
      <c r="BR871" s="161">
        <f t="shared" si="558"/>
        <v>0</v>
      </c>
      <c r="BT871" s="147">
        <f t="shared" si="559"/>
        <v>1.8079424949442115E-18</v>
      </c>
      <c r="BU871" s="164">
        <f>IF(AND($C870=12,$D870=Input!$C$6),0,IF($E871="","",BK871+(BL871+BU872)/(1+$AK871)*MIN((1-T871-U871),1)))</f>
        <v>81733.02052340348</v>
      </c>
      <c r="BV871" s="164">
        <f t="shared" si="560"/>
        <v>1.4776860104440853E-13</v>
      </c>
      <c r="BW871" s="164">
        <f t="shared" si="561"/>
        <v>43248.388218564185</v>
      </c>
      <c r="BX871" s="164">
        <f t="shared" si="562"/>
        <v>7.8190598898186777E-14</v>
      </c>
    </row>
    <row r="872" spans="1:76" s="150" customFormat="1" x14ac:dyDescent="0.25">
      <c r="A872" s="150">
        <f t="shared" si="573"/>
        <v>868</v>
      </c>
      <c r="B872" s="150">
        <f t="shared" si="574"/>
        <v>73</v>
      </c>
      <c r="C872" s="150">
        <f t="shared" si="575"/>
        <v>4</v>
      </c>
      <c r="D872" s="150">
        <f>IF(E872="","",Input!$C$4+B872-1)</f>
        <v>117</v>
      </c>
      <c r="E872" s="150">
        <f>IF(OR(AND(C871=12,D871=Input!$C$6),E871=""),"",1)</f>
        <v>1</v>
      </c>
      <c r="F872" s="150">
        <f>IF(E872="","",Input!$C$8+B872-1)</f>
        <v>2090</v>
      </c>
      <c r="G872" s="151">
        <f>IF(E872="","",MAX(0,Input!$C$9-B872))</f>
        <v>0</v>
      </c>
      <c r="H872" s="152">
        <f>IF(E872="","",Input!$C$3)</f>
        <v>100000</v>
      </c>
      <c r="I872" s="153">
        <f>IF(E872="","",HLOOKUP($B872,Input!$C$13:$BT$14,2))</f>
        <v>1000</v>
      </c>
      <c r="J872" s="154"/>
      <c r="K872" s="155">
        <f>IF($E872="","",INDEX(Input!$C$16:$CP$16,1,$B872))</f>
        <v>3.3140000000000003E-2</v>
      </c>
      <c r="L872" s="155">
        <f>IF($E872="","",Input!$C$37)</f>
        <v>1.4999999999999999E-2</v>
      </c>
      <c r="M872" s="155">
        <f t="shared" si="538"/>
        <v>4.8140000000000002E-2</v>
      </c>
      <c r="N872" s="155">
        <f t="shared" si="539"/>
        <v>3.9257828404828388E-3</v>
      </c>
      <c r="O872" s="147">
        <f>IF($E872="","",MIN(VLOOKUP(IF($B872&lt;=Input!$C$7,$B872,26),'Mortality Tables'!$A$41:$CW$67,IF($B872&lt;=Input!$C$7+1,Input!$C$4+2,$D872-Input!$C$7+2),0)*IF(B872&gt;20,Input!$C$22,1)/1000,1))</f>
        <v>1</v>
      </c>
      <c r="P872" s="147">
        <f>IF($E872="","",MIN(VLOOKUP(IF($B872&lt;=Input!$C$7,$B872,26),'Mortality Tables'!$A$12:$CW$37,IF($B872&lt;=Input!$C$7+1,Input!$C$4+2,$D872-Input!$C$7+2),0)*IF(B872&gt;20,Input!$C$22,1)/1000,1))</f>
        <v>1</v>
      </c>
      <c r="Q872" s="155">
        <f>IF($E872="","",Input!$C$21)</f>
        <v>5.0000000000000001E-3</v>
      </c>
      <c r="R872" s="159">
        <f>IF($E872="","",(1-Q872)^($F872-Input!$C$20))</f>
        <v>0.69704660083549552</v>
      </c>
      <c r="S872" s="147">
        <f t="shared" si="541"/>
        <v>0.69704660083549552</v>
      </c>
      <c r="T872" s="147">
        <f t="shared" si="542"/>
        <v>9.4723349002528545E-2</v>
      </c>
      <c r="U872" s="160">
        <f>IF($E872="","",IF($C872=12,INDEX(Input!$C$15:$CP$15,1,$B872),0))</f>
        <v>0</v>
      </c>
      <c r="V872" s="150">
        <f>IF(E872="","",IF(C872=1,IF($B872=1,Input!$C$33,Input!$C$34),0))</f>
        <v>0</v>
      </c>
      <c r="W872" s="156">
        <f>IF($E872="","",Input!$C$35)</f>
        <v>0.02</v>
      </c>
      <c r="X872" s="156">
        <f t="shared" si="540"/>
        <v>4.1611403750515157</v>
      </c>
      <c r="Y872" s="154"/>
      <c r="Z872" s="147">
        <f>IF($E872="","",VLOOKUP($D872,'Mortality Margins &amp; Grading'!$AB$5:$AF$125,3,0)*IF(Summary!$D$25="Included Margin",IF(AND($B872&gt;Input!$C$9,Summary!$D$31&lt;&gt;"Included Margin"),0,1),0))</f>
        <v>0.01</v>
      </c>
      <c r="AA872" s="147">
        <f>IF($E872="","",VLOOKUP($D872,'Mortality Margins &amp; Grading'!$AB$5:$AF$125,5,0)*IF(Summary!$D$25="Included Margin",IF(AND($B872&gt;Input!$C$9,Summary!$D$31&lt;&gt;"Included Margin"),0,1),0))</f>
        <v>5.2999999999999999E-2</v>
      </c>
      <c r="AB872" s="147">
        <f>IF($E872="","",IF(AND($B872&gt;Input!$C$9,Summary!$D$31&lt;&gt;"Included Margin"),1,IF(Summary!$D$25="Included Margin",VLOOKUP($B872,'Mortality Margins &amp; Grading'!$AI$5:$AR$125,MATCH('Mortality Margins &amp; Grading'!$AQ$4,'Mortality Margins &amp; Grading'!$AI$4:$AR$4,0),0),1)))</f>
        <v>0</v>
      </c>
      <c r="AC872" s="154"/>
      <c r="AD872" s="158">
        <f>IF(E872="","",Input!$C$48*IF(Summary!$D$30="Included Margin",IF(AND($B872&gt;Input!$C$9,Summary!$D$31&lt;&gt;"Included Margin"),0,1),0))</f>
        <v>-4.4999999999999997E-3</v>
      </c>
      <c r="AE872" s="159">
        <f>IF(E872="","",IF(Summary!$D$26="Included Margin",IF(AND($B872&gt;Input!$C$9,Summary!$D$31&lt;&gt;"Included Margin"),1,1/$R872),1))</f>
        <v>1.4346243117768278</v>
      </c>
      <c r="AF872" s="160">
        <f>IF(E872="","",IF(AND($B872&gt;=Input!$C$9,$C872=12,Summary!$D$31="Included Margin",$U872&gt;0),1/U872-1,IF($B872&gt;=Input!$C$9,0,Input!$C$45*IF(Summary!$D$27="Included Margin",1,0))))</f>
        <v>0</v>
      </c>
      <c r="AG872" s="160">
        <f>IF(E872="","",Input!$C$46*IF(Summary!$D$28="Included Margin",IF(AND($B872&gt;Input!$C$9,Summary!$D$31&lt;&gt;"Included Margin"),0,1),0))</f>
        <v>0.02</v>
      </c>
      <c r="AH872" s="158">
        <f>IF(E872="","",Input!$C$47*IF(Summary!$D$29="Included Margin",IF(AND($B872&gt;Input!$C$9,Summary!$D$31&lt;&gt;"Included Margin"),0,1),0))</f>
        <v>2.5000000000000001E-3</v>
      </c>
      <c r="AI872" s="154"/>
      <c r="AJ872" s="158">
        <f t="shared" si="563"/>
        <v>4.3640000000000005E-2</v>
      </c>
      <c r="AK872" s="155">
        <f t="shared" si="564"/>
        <v>3.565892922956726E-3</v>
      </c>
      <c r="AL872" s="147">
        <f t="shared" si="565"/>
        <v>1</v>
      </c>
      <c r="AM872" s="147">
        <f t="shared" si="543"/>
        <v>1</v>
      </c>
      <c r="AN872" s="160">
        <f t="shared" si="566"/>
        <v>0</v>
      </c>
      <c r="AO872" s="161">
        <f t="shared" si="567"/>
        <v>0</v>
      </c>
      <c r="AP872" s="156">
        <f t="shared" si="544"/>
        <v>4.9631659987566614</v>
      </c>
      <c r="AQ872" s="152"/>
      <c r="AR872" s="162">
        <f t="shared" si="545"/>
        <v>99822.022677888832</v>
      </c>
      <c r="AS872" s="150">
        <f t="shared" si="568"/>
        <v>0</v>
      </c>
      <c r="AT872" s="163">
        <f t="shared" si="546"/>
        <v>0</v>
      </c>
      <c r="AU872" s="163">
        <f t="shared" si="547"/>
        <v>100000</v>
      </c>
      <c r="AV872" s="163">
        <f t="shared" si="569"/>
        <v>177.65999807447329</v>
      </c>
      <c r="AW872" s="163">
        <f t="shared" si="548"/>
        <v>99822.34000192552</v>
      </c>
      <c r="AX872" s="163">
        <f t="shared" si="549"/>
        <v>0</v>
      </c>
      <c r="AY872" s="165">
        <f t="shared" si="570"/>
        <v>99822.022677888832</v>
      </c>
      <c r="AZ872" s="164">
        <f>IF($E872="","",IF(OR(AND($D872=Input!$C$6,$C872=12),$AN872=1),0,-AS873+AT873+AU873-AV873-AW873-AX873+AZ873))</f>
        <v>99822.34000192552</v>
      </c>
      <c r="BA872" s="154">
        <f t="shared" si="550"/>
        <v>0.31732403668866027</v>
      </c>
      <c r="BC872" s="147">
        <f t="shared" si="571"/>
        <v>1.6366881270191087E-18</v>
      </c>
      <c r="BD872" s="164">
        <f>IF(AND($C871=12,$D871=Input!$C$6),0,IF($E872="","",AT872+(AU872+BD873)/(1+$AK872)*MIN((1-AM872-AN872),1)))</f>
        <v>0</v>
      </c>
      <c r="BE872" s="164">
        <f t="shared" si="579"/>
        <v>0</v>
      </c>
      <c r="BF872" s="164">
        <f t="shared" si="572"/>
        <v>99822.34000192552</v>
      </c>
      <c r="BG872" s="164">
        <f t="shared" si="552"/>
        <v>1.6337803869241613E-13</v>
      </c>
      <c r="BH872" s="152"/>
      <c r="BI872" s="162">
        <f t="shared" si="553"/>
        <v>43248.35179369837</v>
      </c>
      <c r="BJ872" s="150">
        <f t="shared" si="554"/>
        <v>0</v>
      </c>
      <c r="BK872" s="163">
        <f t="shared" si="576"/>
        <v>0</v>
      </c>
      <c r="BL872" s="163">
        <f t="shared" si="555"/>
        <v>9472.3349002528539</v>
      </c>
      <c r="BM872" s="163">
        <f t="shared" si="577"/>
        <v>151.19047244550657</v>
      </c>
      <c r="BN872" s="163">
        <f t="shared" si="556"/>
        <v>3549.966908728662</v>
      </c>
      <c r="BO872" s="163">
        <f t="shared" si="557"/>
        <v>0</v>
      </c>
      <c r="BP872" s="164">
        <f t="shared" si="578"/>
        <v>37477.174274619683</v>
      </c>
      <c r="BQ872" s="164">
        <f>IF($E872="","",IF(AND($D872=Input!$C$6,$C872=12),0,-BJ873+BK873+BL873-BM873-BN873-BO873+BQ873))</f>
        <v>37477.210699485498</v>
      </c>
      <c r="BR872" s="161">
        <f t="shared" si="558"/>
        <v>0</v>
      </c>
      <c r="BT872" s="147">
        <f t="shared" si="559"/>
        <v>1.6366881270191087E-18</v>
      </c>
      <c r="BU872" s="164">
        <f>IF(AND($C871=12,$D871=Input!$C$6),0,IF($E872="","",BK872+(BL872+BU873)/(1+$AK872)*MIN((1-T872-U872),1)))</f>
        <v>81134.742651655499</v>
      </c>
      <c r="BV872" s="164">
        <f t="shared" si="560"/>
        <v>1.3279226998671542E-13</v>
      </c>
      <c r="BW872" s="164">
        <f t="shared" si="561"/>
        <v>37477.210699485498</v>
      </c>
      <c r="BX872" s="164">
        <f t="shared" si="562"/>
        <v>6.1338505785641423E-14</v>
      </c>
    </row>
    <row r="873" spans="1:76" s="150" customFormat="1" x14ac:dyDescent="0.25">
      <c r="A873" s="150">
        <f t="shared" si="573"/>
        <v>869</v>
      </c>
      <c r="B873" s="150">
        <f t="shared" si="574"/>
        <v>73</v>
      </c>
      <c r="C873" s="150">
        <f t="shared" si="575"/>
        <v>5</v>
      </c>
      <c r="D873" s="150">
        <f>IF(E873="","",Input!$C$4+B873-1)</f>
        <v>117</v>
      </c>
      <c r="E873" s="150">
        <f>IF(OR(AND(C872=12,D872=Input!$C$6),E872=""),"",1)</f>
        <v>1</v>
      </c>
      <c r="F873" s="150">
        <f>IF(E873="","",Input!$C$8+B873-1)</f>
        <v>2090</v>
      </c>
      <c r="G873" s="151">
        <f>IF(E873="","",MAX(0,Input!$C$9-B873))</f>
        <v>0</v>
      </c>
      <c r="H873" s="152">
        <f>IF(E873="","",Input!$C$3)</f>
        <v>100000</v>
      </c>
      <c r="I873" s="153">
        <f>IF(E873="","",HLOOKUP($B873,Input!$C$13:$BT$14,2))</f>
        <v>1000</v>
      </c>
      <c r="J873" s="154"/>
      <c r="K873" s="155">
        <f>IF($E873="","",INDEX(Input!$C$16:$CP$16,1,$B873))</f>
        <v>3.3140000000000003E-2</v>
      </c>
      <c r="L873" s="155">
        <f>IF($E873="","",Input!$C$37)</f>
        <v>1.4999999999999999E-2</v>
      </c>
      <c r="M873" s="155">
        <f t="shared" si="538"/>
        <v>4.8140000000000002E-2</v>
      </c>
      <c r="N873" s="155">
        <f t="shared" si="539"/>
        <v>3.9257828404828388E-3</v>
      </c>
      <c r="O873" s="147">
        <f>IF($E873="","",MIN(VLOOKUP(IF($B873&lt;=Input!$C$7,$B873,26),'Mortality Tables'!$A$41:$CW$67,IF($B873&lt;=Input!$C$7+1,Input!$C$4+2,$D873-Input!$C$7+2),0)*IF(B873&gt;20,Input!$C$22,1)/1000,1))</f>
        <v>1</v>
      </c>
      <c r="P873" s="147">
        <f>IF($E873="","",MIN(VLOOKUP(IF($B873&lt;=Input!$C$7,$B873,26),'Mortality Tables'!$A$12:$CW$37,IF($B873&lt;=Input!$C$7+1,Input!$C$4+2,$D873-Input!$C$7+2),0)*IF(B873&gt;20,Input!$C$22,1)/1000,1))</f>
        <v>1</v>
      </c>
      <c r="Q873" s="155">
        <f>IF($E873="","",Input!$C$21)</f>
        <v>5.0000000000000001E-3</v>
      </c>
      <c r="R873" s="159">
        <f>IF($E873="","",(1-Q873)^($F873-Input!$C$20))</f>
        <v>0.69704660083549552</v>
      </c>
      <c r="S873" s="147">
        <f t="shared" si="541"/>
        <v>0.69704660083549552</v>
      </c>
      <c r="T873" s="147">
        <f t="shared" si="542"/>
        <v>9.4723349002528545E-2</v>
      </c>
      <c r="U873" s="160">
        <f>IF($E873="","",IF($C873=12,INDEX(Input!$C$15:$CP$15,1,$B873),0))</f>
        <v>0</v>
      </c>
      <c r="V873" s="150">
        <f>IF(E873="","",IF(C873=1,IF($B873=1,Input!$C$33,Input!$C$34),0))</f>
        <v>0</v>
      </c>
      <c r="W873" s="156">
        <f>IF($E873="","",Input!$C$35)</f>
        <v>0.02</v>
      </c>
      <c r="X873" s="156">
        <f t="shared" si="540"/>
        <v>4.1611403750515157</v>
      </c>
      <c r="Y873" s="154"/>
      <c r="Z873" s="147">
        <f>IF($E873="","",VLOOKUP($D873,'Mortality Margins &amp; Grading'!$AB$5:$AF$125,3,0)*IF(Summary!$D$25="Included Margin",IF(AND($B873&gt;Input!$C$9,Summary!$D$31&lt;&gt;"Included Margin"),0,1),0))</f>
        <v>0.01</v>
      </c>
      <c r="AA873" s="147">
        <f>IF($E873="","",VLOOKUP($D873,'Mortality Margins &amp; Grading'!$AB$5:$AF$125,5,0)*IF(Summary!$D$25="Included Margin",IF(AND($B873&gt;Input!$C$9,Summary!$D$31&lt;&gt;"Included Margin"),0,1),0))</f>
        <v>5.2999999999999999E-2</v>
      </c>
      <c r="AB873" s="147">
        <f>IF($E873="","",IF(AND($B873&gt;Input!$C$9,Summary!$D$31&lt;&gt;"Included Margin"),1,IF(Summary!$D$25="Included Margin",VLOOKUP($B873,'Mortality Margins &amp; Grading'!$AI$5:$AR$125,MATCH('Mortality Margins &amp; Grading'!$AQ$4,'Mortality Margins &amp; Grading'!$AI$4:$AR$4,0),0),1)))</f>
        <v>0</v>
      </c>
      <c r="AC873" s="154"/>
      <c r="AD873" s="158">
        <f>IF(E873="","",Input!$C$48*IF(Summary!$D$30="Included Margin",IF(AND($B873&gt;Input!$C$9,Summary!$D$31&lt;&gt;"Included Margin"),0,1),0))</f>
        <v>-4.4999999999999997E-3</v>
      </c>
      <c r="AE873" s="159">
        <f>IF(E873="","",IF(Summary!$D$26="Included Margin",IF(AND($B873&gt;Input!$C$9,Summary!$D$31&lt;&gt;"Included Margin"),1,1/$R873),1))</f>
        <v>1.4346243117768278</v>
      </c>
      <c r="AF873" s="160">
        <f>IF(E873="","",IF(AND($B873&gt;=Input!$C$9,$C873=12,Summary!$D$31="Included Margin",$U873&gt;0),1/U873-1,IF($B873&gt;=Input!$C$9,0,Input!$C$45*IF(Summary!$D$27="Included Margin",1,0))))</f>
        <v>0</v>
      </c>
      <c r="AG873" s="160">
        <f>IF(E873="","",Input!$C$46*IF(Summary!$D$28="Included Margin",IF(AND($B873&gt;Input!$C$9,Summary!$D$31&lt;&gt;"Included Margin"),0,1),0))</f>
        <v>0.02</v>
      </c>
      <c r="AH873" s="158">
        <f>IF(E873="","",Input!$C$47*IF(Summary!$D$29="Included Margin",IF(AND($B873&gt;Input!$C$9,Summary!$D$31&lt;&gt;"Included Margin"),0,1),0))</f>
        <v>2.5000000000000001E-3</v>
      </c>
      <c r="AI873" s="154"/>
      <c r="AJ873" s="158">
        <f t="shared" si="563"/>
        <v>4.3640000000000005E-2</v>
      </c>
      <c r="AK873" s="155">
        <f t="shared" si="564"/>
        <v>3.565892922956726E-3</v>
      </c>
      <c r="AL873" s="147">
        <f t="shared" si="565"/>
        <v>1</v>
      </c>
      <c r="AM873" s="147">
        <f t="shared" si="543"/>
        <v>1</v>
      </c>
      <c r="AN873" s="160">
        <f t="shared" si="566"/>
        <v>0</v>
      </c>
      <c r="AO873" s="161">
        <f t="shared" si="567"/>
        <v>0</v>
      </c>
      <c r="AP873" s="156">
        <f t="shared" si="544"/>
        <v>4.9631659987566614</v>
      </c>
      <c r="AQ873" s="152"/>
      <c r="AR873" s="162">
        <f t="shared" si="545"/>
        <v>99822.022677888832</v>
      </c>
      <c r="AS873" s="150">
        <f t="shared" si="568"/>
        <v>0</v>
      </c>
      <c r="AT873" s="163">
        <f t="shared" si="546"/>
        <v>0</v>
      </c>
      <c r="AU873" s="163">
        <f t="shared" si="547"/>
        <v>100000</v>
      </c>
      <c r="AV873" s="163">
        <f t="shared" si="569"/>
        <v>177.65999807447329</v>
      </c>
      <c r="AW873" s="163">
        <f t="shared" si="548"/>
        <v>99822.34000192552</v>
      </c>
      <c r="AX873" s="163">
        <f t="shared" si="549"/>
        <v>0</v>
      </c>
      <c r="AY873" s="164">
        <f t="shared" si="570"/>
        <v>99822.022677888832</v>
      </c>
      <c r="AZ873" s="164">
        <f>IF($E873="","",IF(OR(AND($D873=Input!$C$6,$C873=12),$AN873=1),0,-AS874+AT874+AU874-AV874-AW874-AX874+AZ874))</f>
        <v>99822.34000192552</v>
      </c>
      <c r="BA873" s="154">
        <f t="shared" si="550"/>
        <v>0.31732403668866027</v>
      </c>
      <c r="BC873" s="147">
        <f t="shared" si="571"/>
        <v>1.4816555463551829E-18</v>
      </c>
      <c r="BD873" s="164">
        <f>IF(AND($C872=12,$D872=Input!$C$6),0,IF($E873="","",AT873+(AU873+BD874)/(1+$AK873)*MIN((1-AM873-AN873),1)))</f>
        <v>0</v>
      </c>
      <c r="BE873" s="164">
        <f t="shared" si="579"/>
        <v>0</v>
      </c>
      <c r="BF873" s="164">
        <f t="shared" si="572"/>
        <v>99822.34000192552</v>
      </c>
      <c r="BG873" s="164">
        <f t="shared" si="552"/>
        <v>1.4790232371400578E-13</v>
      </c>
      <c r="BH873" s="152"/>
      <c r="BI873" s="162">
        <f t="shared" si="553"/>
        <v>37477.174274619691</v>
      </c>
      <c r="BJ873" s="150">
        <f t="shared" si="554"/>
        <v>0</v>
      </c>
      <c r="BK873" s="163">
        <f t="shared" si="576"/>
        <v>0</v>
      </c>
      <c r="BL873" s="163">
        <f t="shared" si="555"/>
        <v>9472.3349002528539</v>
      </c>
      <c r="BM873" s="163">
        <f t="shared" si="577"/>
        <v>128.53408277172716</v>
      </c>
      <c r="BN873" s="163">
        <f t="shared" si="556"/>
        <v>2943.7308473028638</v>
      </c>
      <c r="BO873" s="163">
        <f t="shared" si="557"/>
        <v>0</v>
      </c>
      <c r="BP873" s="164">
        <f t="shared" si="578"/>
        <v>31077.104304441425</v>
      </c>
      <c r="BQ873" s="164">
        <f>IF($E873="","",IF(AND($D873=Input!$C$6,$C873=12),0,-BJ874+BK874+BL874-BM874-BN874-BO874+BQ874))</f>
        <v>31077.140729307237</v>
      </c>
      <c r="BR873" s="161">
        <f t="shared" si="558"/>
        <v>0</v>
      </c>
      <c r="BT873" s="147">
        <f t="shared" si="559"/>
        <v>1.4816555463551829E-18</v>
      </c>
      <c r="BU873" s="164">
        <f>IF(AND($C872=12,$D872=Input!$C$6),0,IF($E873="","",BK873+(BL873+BU874)/(1+$AK873)*MIN((1-T873-U873),1)))</f>
        <v>80471.507533512035</v>
      </c>
      <c r="BV873" s="164">
        <f t="shared" si="560"/>
        <v>1.19231055460591E-13</v>
      </c>
      <c r="BW873" s="164">
        <f t="shared" si="561"/>
        <v>31077.140729307237</v>
      </c>
      <c r="BX873" s="164">
        <f t="shared" si="562"/>
        <v>4.6045617926438623E-14</v>
      </c>
    </row>
    <row r="874" spans="1:76" s="150" customFormat="1" x14ac:dyDescent="0.25">
      <c r="A874" s="150">
        <f t="shared" si="573"/>
        <v>870</v>
      </c>
      <c r="B874" s="150">
        <f t="shared" si="574"/>
        <v>73</v>
      </c>
      <c r="C874" s="150">
        <f t="shared" si="575"/>
        <v>6</v>
      </c>
      <c r="D874" s="150">
        <f>IF(E874="","",Input!$C$4+B874-1)</f>
        <v>117</v>
      </c>
      <c r="E874" s="150">
        <f>IF(OR(AND(C873=12,D873=Input!$C$6),E873=""),"",1)</f>
        <v>1</v>
      </c>
      <c r="F874" s="150">
        <f>IF(E874="","",Input!$C$8+B874-1)</f>
        <v>2090</v>
      </c>
      <c r="G874" s="151">
        <f>IF(E874="","",MAX(0,Input!$C$9-B874))</f>
        <v>0</v>
      </c>
      <c r="H874" s="152">
        <f>IF(E874="","",Input!$C$3)</f>
        <v>100000</v>
      </c>
      <c r="I874" s="153">
        <f>IF(E874="","",HLOOKUP($B874,Input!$C$13:$BT$14,2))</f>
        <v>1000</v>
      </c>
      <c r="J874" s="154"/>
      <c r="K874" s="155">
        <f>IF($E874="","",INDEX(Input!$C$16:$CP$16,1,$B874))</f>
        <v>3.3140000000000003E-2</v>
      </c>
      <c r="L874" s="155">
        <f>IF($E874="","",Input!$C$37)</f>
        <v>1.4999999999999999E-2</v>
      </c>
      <c r="M874" s="155">
        <f t="shared" si="538"/>
        <v>4.8140000000000002E-2</v>
      </c>
      <c r="N874" s="155">
        <f t="shared" si="539"/>
        <v>3.9257828404828388E-3</v>
      </c>
      <c r="O874" s="147">
        <f>IF($E874="","",MIN(VLOOKUP(IF($B874&lt;=Input!$C$7,$B874,26),'Mortality Tables'!$A$41:$CW$67,IF($B874&lt;=Input!$C$7+1,Input!$C$4+2,$D874-Input!$C$7+2),0)*IF(B874&gt;20,Input!$C$22,1)/1000,1))</f>
        <v>1</v>
      </c>
      <c r="P874" s="147">
        <f>IF($E874="","",MIN(VLOOKUP(IF($B874&lt;=Input!$C$7,$B874,26),'Mortality Tables'!$A$12:$CW$37,IF($B874&lt;=Input!$C$7+1,Input!$C$4+2,$D874-Input!$C$7+2),0)*IF(B874&gt;20,Input!$C$22,1)/1000,1))</f>
        <v>1</v>
      </c>
      <c r="Q874" s="155">
        <f>IF($E874="","",Input!$C$21)</f>
        <v>5.0000000000000001E-3</v>
      </c>
      <c r="R874" s="159">
        <f>IF($E874="","",(1-Q874)^($F874-Input!$C$20))</f>
        <v>0.69704660083549552</v>
      </c>
      <c r="S874" s="147">
        <f t="shared" si="541"/>
        <v>0.69704660083549552</v>
      </c>
      <c r="T874" s="147">
        <f t="shared" si="542"/>
        <v>9.4723349002528545E-2</v>
      </c>
      <c r="U874" s="160">
        <f>IF($E874="","",IF($C874=12,INDEX(Input!$C$15:$CP$15,1,$B874),0))</f>
        <v>0</v>
      </c>
      <c r="V874" s="150">
        <f>IF(E874="","",IF(C874=1,IF($B874=1,Input!$C$33,Input!$C$34),0))</f>
        <v>0</v>
      </c>
      <c r="W874" s="156">
        <f>IF($E874="","",Input!$C$35)</f>
        <v>0.02</v>
      </c>
      <c r="X874" s="156">
        <f t="shared" si="540"/>
        <v>4.1611403750515157</v>
      </c>
      <c r="Y874" s="154"/>
      <c r="Z874" s="147">
        <f>IF($E874="","",VLOOKUP($D874,'Mortality Margins &amp; Grading'!$AB$5:$AF$125,3,0)*IF(Summary!$D$25="Included Margin",IF(AND($B874&gt;Input!$C$9,Summary!$D$31&lt;&gt;"Included Margin"),0,1),0))</f>
        <v>0.01</v>
      </c>
      <c r="AA874" s="147">
        <f>IF($E874="","",VLOOKUP($D874,'Mortality Margins &amp; Grading'!$AB$5:$AF$125,5,0)*IF(Summary!$D$25="Included Margin",IF(AND($B874&gt;Input!$C$9,Summary!$D$31&lt;&gt;"Included Margin"),0,1),0))</f>
        <v>5.2999999999999999E-2</v>
      </c>
      <c r="AB874" s="147">
        <f>IF($E874="","",IF(AND($B874&gt;Input!$C$9,Summary!$D$31&lt;&gt;"Included Margin"),1,IF(Summary!$D$25="Included Margin",VLOOKUP($B874,'Mortality Margins &amp; Grading'!$AI$5:$AR$125,MATCH('Mortality Margins &amp; Grading'!$AQ$4,'Mortality Margins &amp; Grading'!$AI$4:$AR$4,0),0),1)))</f>
        <v>0</v>
      </c>
      <c r="AC874" s="154"/>
      <c r="AD874" s="158">
        <f>IF(E874="","",Input!$C$48*IF(Summary!$D$30="Included Margin",IF(AND($B874&gt;Input!$C$9,Summary!$D$31&lt;&gt;"Included Margin"),0,1),0))</f>
        <v>-4.4999999999999997E-3</v>
      </c>
      <c r="AE874" s="159">
        <f>IF(E874="","",IF(Summary!$D$26="Included Margin",IF(AND($B874&gt;Input!$C$9,Summary!$D$31&lt;&gt;"Included Margin"),1,1/$R874),1))</f>
        <v>1.4346243117768278</v>
      </c>
      <c r="AF874" s="160">
        <f>IF(E874="","",IF(AND($B874&gt;=Input!$C$9,$C874=12,Summary!$D$31="Included Margin",$U874&gt;0),1/U874-1,IF($B874&gt;=Input!$C$9,0,Input!$C$45*IF(Summary!$D$27="Included Margin",1,0))))</f>
        <v>0</v>
      </c>
      <c r="AG874" s="160">
        <f>IF(E874="","",Input!$C$46*IF(Summary!$D$28="Included Margin",IF(AND($B874&gt;Input!$C$9,Summary!$D$31&lt;&gt;"Included Margin"),0,1),0))</f>
        <v>0.02</v>
      </c>
      <c r="AH874" s="158">
        <f>IF(E874="","",Input!$C$47*IF(Summary!$D$29="Included Margin",IF(AND($B874&gt;Input!$C$9,Summary!$D$31&lt;&gt;"Included Margin"),0,1),0))</f>
        <v>2.5000000000000001E-3</v>
      </c>
      <c r="AI874" s="154"/>
      <c r="AJ874" s="158">
        <f t="shared" si="563"/>
        <v>4.3640000000000005E-2</v>
      </c>
      <c r="AK874" s="155">
        <f t="shared" si="564"/>
        <v>3.565892922956726E-3</v>
      </c>
      <c r="AL874" s="147">
        <f t="shared" si="565"/>
        <v>1</v>
      </c>
      <c r="AM874" s="147">
        <f t="shared" si="543"/>
        <v>1</v>
      </c>
      <c r="AN874" s="160">
        <f t="shared" si="566"/>
        <v>0</v>
      </c>
      <c r="AO874" s="161">
        <f t="shared" si="567"/>
        <v>0</v>
      </c>
      <c r="AP874" s="156">
        <f t="shared" si="544"/>
        <v>4.9631659987566614</v>
      </c>
      <c r="AQ874" s="152"/>
      <c r="AR874" s="162">
        <f t="shared" si="545"/>
        <v>99822.022677888832</v>
      </c>
      <c r="AS874" s="150">
        <f t="shared" si="568"/>
        <v>0</v>
      </c>
      <c r="AT874" s="163">
        <f t="shared" si="546"/>
        <v>0</v>
      </c>
      <c r="AU874" s="163">
        <f t="shared" si="547"/>
        <v>100000</v>
      </c>
      <c r="AV874" s="163">
        <f t="shared" si="569"/>
        <v>177.65999807447329</v>
      </c>
      <c r="AW874" s="163">
        <f t="shared" si="548"/>
        <v>99822.34000192552</v>
      </c>
      <c r="AX874" s="163">
        <f t="shared" si="549"/>
        <v>0</v>
      </c>
      <c r="AY874" s="165">
        <f t="shared" si="570"/>
        <v>99822.022677888832</v>
      </c>
      <c r="AZ874" s="164">
        <f>IF($E874="","",IF(OR(AND($D874=Input!$C$6,$C874=12),$AN874=1),0,-AS875+AT875+AU875-AV875-AW875-AX875+AZ875))</f>
        <v>99822.34000192552</v>
      </c>
      <c r="BA874" s="154">
        <f t="shared" si="550"/>
        <v>0.31732403668866027</v>
      </c>
      <c r="BC874" s="147">
        <f t="shared" si="571"/>
        <v>1.3413081709362488E-18</v>
      </c>
      <c r="BD874" s="164">
        <f>IF(AND($C873=12,$D873=Input!$C$6),0,IF($E874="","",AT874+(AU874+BD875)/(1+$AK874)*MIN((1-AM874-AN874),1)))</f>
        <v>0</v>
      </c>
      <c r="BE874" s="164">
        <f t="shared" si="579"/>
        <v>0</v>
      </c>
      <c r="BF874" s="164">
        <f t="shared" si="572"/>
        <v>99822.34000192552</v>
      </c>
      <c r="BG874" s="164">
        <f t="shared" si="552"/>
        <v>1.3389252028655906E-13</v>
      </c>
      <c r="BH874" s="152"/>
      <c r="BI874" s="162">
        <f t="shared" si="553"/>
        <v>31077.104304441425</v>
      </c>
      <c r="BJ874" s="150">
        <f t="shared" si="554"/>
        <v>0</v>
      </c>
      <c r="BK874" s="163">
        <f t="shared" si="576"/>
        <v>0</v>
      </c>
      <c r="BL874" s="163">
        <f t="shared" si="555"/>
        <v>9472.3349002528539</v>
      </c>
      <c r="BM874" s="163">
        <f t="shared" si="577"/>
        <v>103.40879790491182</v>
      </c>
      <c r="BN874" s="163">
        <f t="shared" si="556"/>
        <v>2271.4324820656439</v>
      </c>
      <c r="BO874" s="163">
        <f t="shared" si="557"/>
        <v>0</v>
      </c>
      <c r="BP874" s="164">
        <f t="shared" si="578"/>
        <v>23979.610684159125</v>
      </c>
      <c r="BQ874" s="164">
        <f>IF($E874="","",IF(AND($D874=Input!$C$6,$C874=12),0,-BJ875+BK875+BL875-BM875-BN875-BO875+BQ875))</f>
        <v>23979.64710902494</v>
      </c>
      <c r="BR874" s="161">
        <f t="shared" si="558"/>
        <v>0</v>
      </c>
      <c r="BT874" s="147">
        <f t="shared" si="559"/>
        <v>1.3413081709362488E-18</v>
      </c>
      <c r="BU874" s="164">
        <f>IF(AND($C873=12,$D873=Input!$C$6),0,IF($E874="","",BK874+(BL874+BU875)/(1+$AK874)*MIN((1-T874-U874),1)))</f>
        <v>79736.262519930708</v>
      </c>
      <c r="BV874" s="164">
        <f t="shared" si="560"/>
        <v>1.0695090043790082E-13</v>
      </c>
      <c r="BW874" s="164">
        <f t="shared" si="561"/>
        <v>23979.64710902494</v>
      </c>
      <c r="BX874" s="164">
        <f t="shared" si="562"/>
        <v>3.2164096603502946E-14</v>
      </c>
    </row>
    <row r="875" spans="1:76" s="150" customFormat="1" x14ac:dyDescent="0.25">
      <c r="A875" s="150">
        <f t="shared" si="573"/>
        <v>871</v>
      </c>
      <c r="B875" s="150">
        <f t="shared" si="574"/>
        <v>73</v>
      </c>
      <c r="C875" s="150">
        <f t="shared" si="575"/>
        <v>7</v>
      </c>
      <c r="D875" s="150">
        <f>IF(E875="","",Input!$C$4+B875-1)</f>
        <v>117</v>
      </c>
      <c r="E875" s="150">
        <f>IF(OR(AND(C874=12,D874=Input!$C$6),E874=""),"",1)</f>
        <v>1</v>
      </c>
      <c r="F875" s="150">
        <f>IF(E875="","",Input!$C$8+B875-1)</f>
        <v>2090</v>
      </c>
      <c r="G875" s="151">
        <f>IF(E875="","",MAX(0,Input!$C$9-B875))</f>
        <v>0</v>
      </c>
      <c r="H875" s="152">
        <f>IF(E875="","",Input!$C$3)</f>
        <v>100000</v>
      </c>
      <c r="I875" s="153">
        <f>IF(E875="","",HLOOKUP($B875,Input!$C$13:$BT$14,2))</f>
        <v>1000</v>
      </c>
      <c r="J875" s="154"/>
      <c r="K875" s="155">
        <f>IF($E875="","",INDEX(Input!$C$16:$CP$16,1,$B875))</f>
        <v>3.3140000000000003E-2</v>
      </c>
      <c r="L875" s="155">
        <f>IF($E875="","",Input!$C$37)</f>
        <v>1.4999999999999999E-2</v>
      </c>
      <c r="M875" s="155">
        <f t="shared" si="538"/>
        <v>4.8140000000000002E-2</v>
      </c>
      <c r="N875" s="155">
        <f t="shared" si="539"/>
        <v>3.9257828404828388E-3</v>
      </c>
      <c r="O875" s="147">
        <f>IF($E875="","",MIN(VLOOKUP(IF($B875&lt;=Input!$C$7,$B875,26),'Mortality Tables'!$A$41:$CW$67,IF($B875&lt;=Input!$C$7+1,Input!$C$4+2,$D875-Input!$C$7+2),0)*IF(B875&gt;20,Input!$C$22,1)/1000,1))</f>
        <v>1</v>
      </c>
      <c r="P875" s="147">
        <f>IF($E875="","",MIN(VLOOKUP(IF($B875&lt;=Input!$C$7,$B875,26),'Mortality Tables'!$A$12:$CW$37,IF($B875&lt;=Input!$C$7+1,Input!$C$4+2,$D875-Input!$C$7+2),0)*IF(B875&gt;20,Input!$C$22,1)/1000,1))</f>
        <v>1</v>
      </c>
      <c r="Q875" s="155">
        <f>IF($E875="","",Input!$C$21)</f>
        <v>5.0000000000000001E-3</v>
      </c>
      <c r="R875" s="159">
        <f>IF($E875="","",(1-Q875)^($F875-Input!$C$20))</f>
        <v>0.69704660083549552</v>
      </c>
      <c r="S875" s="147">
        <f t="shared" si="541"/>
        <v>0.69704660083549552</v>
      </c>
      <c r="T875" s="147">
        <f t="shared" si="542"/>
        <v>9.4723349002528545E-2</v>
      </c>
      <c r="U875" s="160">
        <f>IF($E875="","",IF($C875=12,INDEX(Input!$C$15:$CP$15,1,$B875),0))</f>
        <v>0</v>
      </c>
      <c r="V875" s="150">
        <f>IF(E875="","",IF(C875=1,IF($B875=1,Input!$C$33,Input!$C$34),0))</f>
        <v>0</v>
      </c>
      <c r="W875" s="156">
        <f>IF($E875="","",Input!$C$35)</f>
        <v>0.02</v>
      </c>
      <c r="X875" s="156">
        <f t="shared" si="540"/>
        <v>4.1611403750515157</v>
      </c>
      <c r="Y875" s="154"/>
      <c r="Z875" s="147">
        <f>IF($E875="","",VLOOKUP($D875,'Mortality Margins &amp; Grading'!$AB$5:$AF$125,3,0)*IF(Summary!$D$25="Included Margin",IF(AND($B875&gt;Input!$C$9,Summary!$D$31&lt;&gt;"Included Margin"),0,1),0))</f>
        <v>0.01</v>
      </c>
      <c r="AA875" s="147">
        <f>IF($E875="","",VLOOKUP($D875,'Mortality Margins &amp; Grading'!$AB$5:$AF$125,5,0)*IF(Summary!$D$25="Included Margin",IF(AND($B875&gt;Input!$C$9,Summary!$D$31&lt;&gt;"Included Margin"),0,1),0))</f>
        <v>5.2999999999999999E-2</v>
      </c>
      <c r="AB875" s="147">
        <f>IF($E875="","",IF(AND($B875&gt;Input!$C$9,Summary!$D$31&lt;&gt;"Included Margin"),1,IF(Summary!$D$25="Included Margin",VLOOKUP($B875,'Mortality Margins &amp; Grading'!$AI$5:$AR$125,MATCH('Mortality Margins &amp; Grading'!$AQ$4,'Mortality Margins &amp; Grading'!$AI$4:$AR$4,0),0),1)))</f>
        <v>0</v>
      </c>
      <c r="AC875" s="154"/>
      <c r="AD875" s="158">
        <f>IF(E875="","",Input!$C$48*IF(Summary!$D$30="Included Margin",IF(AND($B875&gt;Input!$C$9,Summary!$D$31&lt;&gt;"Included Margin"),0,1),0))</f>
        <v>-4.4999999999999997E-3</v>
      </c>
      <c r="AE875" s="159">
        <f>IF(E875="","",IF(Summary!$D$26="Included Margin",IF(AND($B875&gt;Input!$C$9,Summary!$D$31&lt;&gt;"Included Margin"),1,1/$R875),1))</f>
        <v>1.4346243117768278</v>
      </c>
      <c r="AF875" s="160">
        <f>IF(E875="","",IF(AND($B875&gt;=Input!$C$9,$C875=12,Summary!$D$31="Included Margin",$U875&gt;0),1/U875-1,IF($B875&gt;=Input!$C$9,0,Input!$C$45*IF(Summary!$D$27="Included Margin",1,0))))</f>
        <v>0</v>
      </c>
      <c r="AG875" s="160">
        <f>IF(E875="","",Input!$C$46*IF(Summary!$D$28="Included Margin",IF(AND($B875&gt;Input!$C$9,Summary!$D$31&lt;&gt;"Included Margin"),0,1),0))</f>
        <v>0.02</v>
      </c>
      <c r="AH875" s="158">
        <f>IF(E875="","",Input!$C$47*IF(Summary!$D$29="Included Margin",IF(AND($B875&gt;Input!$C$9,Summary!$D$31&lt;&gt;"Included Margin"),0,1),0))</f>
        <v>2.5000000000000001E-3</v>
      </c>
      <c r="AI875" s="154"/>
      <c r="AJ875" s="158">
        <f t="shared" si="563"/>
        <v>4.3640000000000005E-2</v>
      </c>
      <c r="AK875" s="155">
        <f t="shared" si="564"/>
        <v>3.565892922956726E-3</v>
      </c>
      <c r="AL875" s="147">
        <f t="shared" si="565"/>
        <v>1</v>
      </c>
      <c r="AM875" s="147">
        <f t="shared" si="543"/>
        <v>1</v>
      </c>
      <c r="AN875" s="160">
        <f t="shared" si="566"/>
        <v>0</v>
      </c>
      <c r="AO875" s="161">
        <f t="shared" si="567"/>
        <v>0</v>
      </c>
      <c r="AP875" s="156">
        <f t="shared" si="544"/>
        <v>4.9631659987566614</v>
      </c>
      <c r="AQ875" s="152"/>
      <c r="AR875" s="162">
        <f t="shared" si="545"/>
        <v>99822.022677888832</v>
      </c>
      <c r="AS875" s="150">
        <f t="shared" si="568"/>
        <v>0</v>
      </c>
      <c r="AT875" s="163">
        <f t="shared" si="546"/>
        <v>0</v>
      </c>
      <c r="AU875" s="163">
        <f t="shared" si="547"/>
        <v>100000</v>
      </c>
      <c r="AV875" s="163">
        <f t="shared" si="569"/>
        <v>177.65999807447329</v>
      </c>
      <c r="AW875" s="163">
        <f t="shared" si="548"/>
        <v>99822.34000192552</v>
      </c>
      <c r="AX875" s="163">
        <f t="shared" si="549"/>
        <v>0</v>
      </c>
      <c r="AY875" s="164">
        <f t="shared" si="570"/>
        <v>99822.022677888832</v>
      </c>
      <c r="AZ875" s="164">
        <f>IF($E875="","",IF(OR(AND($D875=Input!$C$6,$C875=12),$AN875=1),0,-AS876+AT876+AU876-AV876-AW876-AX876+AZ876))</f>
        <v>99822.34000192552</v>
      </c>
      <c r="BA875" s="154">
        <f t="shared" si="550"/>
        <v>0.31732403668866027</v>
      </c>
      <c r="BC875" s="147">
        <f t="shared" si="571"/>
        <v>1.2142549689407113E-18</v>
      </c>
      <c r="BD875" s="164">
        <f>IF(AND($C874=12,$D874=Input!$C$6),0,IF($E875="","",AT875+(AU875+BD876)/(1+$AK875)*MIN((1-AM875-AN875),1)))</f>
        <v>0</v>
      </c>
      <c r="BE875" s="164">
        <f t="shared" si="579"/>
        <v>0</v>
      </c>
      <c r="BF875" s="164">
        <f t="shared" si="572"/>
        <v>99822.34000192552</v>
      </c>
      <c r="BG875" s="164">
        <f t="shared" si="552"/>
        <v>1.2120977235862718E-13</v>
      </c>
      <c r="BH875" s="152"/>
      <c r="BI875" s="162">
        <f t="shared" si="553"/>
        <v>23979.610684159128</v>
      </c>
      <c r="BJ875" s="150">
        <f t="shared" si="554"/>
        <v>0</v>
      </c>
      <c r="BK875" s="163">
        <f t="shared" si="576"/>
        <v>0</v>
      </c>
      <c r="BL875" s="163">
        <f t="shared" si="555"/>
        <v>9472.3349002528539</v>
      </c>
      <c r="BM875" s="163">
        <f t="shared" si="577"/>
        <v>75.545579239971161</v>
      </c>
      <c r="BN875" s="163">
        <f t="shared" si="556"/>
        <v>1525.8729209309583</v>
      </c>
      <c r="BO875" s="163">
        <f t="shared" si="557"/>
        <v>0</v>
      </c>
      <c r="BP875" s="164">
        <f t="shared" si="578"/>
        <v>16108.694284077204</v>
      </c>
      <c r="BQ875" s="164">
        <f>IF($E875="","",IF(AND($D875=Input!$C$6,$C875=12),0,-BJ876+BK876+BL876-BM876-BN876-BO876+BQ876))</f>
        <v>16108.730708943016</v>
      </c>
      <c r="BR875" s="161">
        <f t="shared" si="558"/>
        <v>0</v>
      </c>
      <c r="BT875" s="147">
        <f t="shared" si="559"/>
        <v>1.2142549689407113E-18</v>
      </c>
      <c r="BU875" s="164">
        <f>IF(AND($C874=12,$D874=Input!$C$6),0,IF($E875="","",BK875+(BL875+BU876)/(1+$AK875)*MIN((1-T875-U875),1)))</f>
        <v>78921.18922961787</v>
      </c>
      <c r="BV875" s="164">
        <f t="shared" si="560"/>
        <v>9.5830446176773646E-14</v>
      </c>
      <c r="BW875" s="164">
        <f t="shared" si="561"/>
        <v>16108.730708943016</v>
      </c>
      <c r="BX875" s="164">
        <f t="shared" si="562"/>
        <v>1.9560106306661884E-14</v>
      </c>
    </row>
    <row r="876" spans="1:76" s="150" customFormat="1" x14ac:dyDescent="0.25">
      <c r="A876" s="150">
        <f t="shared" si="573"/>
        <v>872</v>
      </c>
      <c r="B876" s="150">
        <f t="shared" si="574"/>
        <v>73</v>
      </c>
      <c r="C876" s="150">
        <f t="shared" si="575"/>
        <v>8</v>
      </c>
      <c r="D876" s="150">
        <f>IF(E876="","",Input!$C$4+B876-1)</f>
        <v>117</v>
      </c>
      <c r="E876" s="150">
        <f>IF(OR(AND(C875=12,D875=Input!$C$6),E875=""),"",1)</f>
        <v>1</v>
      </c>
      <c r="F876" s="150">
        <f>IF(E876="","",Input!$C$8+B876-1)</f>
        <v>2090</v>
      </c>
      <c r="G876" s="151">
        <f>IF(E876="","",MAX(0,Input!$C$9-B876))</f>
        <v>0</v>
      </c>
      <c r="H876" s="152">
        <f>IF(E876="","",Input!$C$3)</f>
        <v>100000</v>
      </c>
      <c r="I876" s="153">
        <f>IF(E876="","",HLOOKUP($B876,Input!$C$13:$BT$14,2))</f>
        <v>1000</v>
      </c>
      <c r="J876" s="154"/>
      <c r="K876" s="155">
        <f>IF($E876="","",INDEX(Input!$C$16:$CP$16,1,$B876))</f>
        <v>3.3140000000000003E-2</v>
      </c>
      <c r="L876" s="155">
        <f>IF($E876="","",Input!$C$37)</f>
        <v>1.4999999999999999E-2</v>
      </c>
      <c r="M876" s="155">
        <f t="shared" si="538"/>
        <v>4.8140000000000002E-2</v>
      </c>
      <c r="N876" s="155">
        <f t="shared" si="539"/>
        <v>3.9257828404828388E-3</v>
      </c>
      <c r="O876" s="147">
        <f>IF($E876="","",MIN(VLOOKUP(IF($B876&lt;=Input!$C$7,$B876,26),'Mortality Tables'!$A$41:$CW$67,IF($B876&lt;=Input!$C$7+1,Input!$C$4+2,$D876-Input!$C$7+2),0)*IF(B876&gt;20,Input!$C$22,1)/1000,1))</f>
        <v>1</v>
      </c>
      <c r="P876" s="147">
        <f>IF($E876="","",MIN(VLOOKUP(IF($B876&lt;=Input!$C$7,$B876,26),'Mortality Tables'!$A$12:$CW$37,IF($B876&lt;=Input!$C$7+1,Input!$C$4+2,$D876-Input!$C$7+2),0)*IF(B876&gt;20,Input!$C$22,1)/1000,1))</f>
        <v>1</v>
      </c>
      <c r="Q876" s="155">
        <f>IF($E876="","",Input!$C$21)</f>
        <v>5.0000000000000001E-3</v>
      </c>
      <c r="R876" s="159">
        <f>IF($E876="","",(1-Q876)^($F876-Input!$C$20))</f>
        <v>0.69704660083549552</v>
      </c>
      <c r="S876" s="147">
        <f t="shared" si="541"/>
        <v>0.69704660083549552</v>
      </c>
      <c r="T876" s="147">
        <f t="shared" si="542"/>
        <v>9.4723349002528545E-2</v>
      </c>
      <c r="U876" s="160">
        <f>IF($E876="","",IF($C876=12,INDEX(Input!$C$15:$CP$15,1,$B876),0))</f>
        <v>0</v>
      </c>
      <c r="V876" s="150">
        <f>IF(E876="","",IF(C876=1,IF($B876=1,Input!$C$33,Input!$C$34),0))</f>
        <v>0</v>
      </c>
      <c r="W876" s="156">
        <f>IF($E876="","",Input!$C$35)</f>
        <v>0.02</v>
      </c>
      <c r="X876" s="156">
        <f t="shared" si="540"/>
        <v>4.1611403750515157</v>
      </c>
      <c r="Y876" s="154"/>
      <c r="Z876" s="147">
        <f>IF($E876="","",VLOOKUP($D876,'Mortality Margins &amp; Grading'!$AB$5:$AF$125,3,0)*IF(Summary!$D$25="Included Margin",IF(AND($B876&gt;Input!$C$9,Summary!$D$31&lt;&gt;"Included Margin"),0,1),0))</f>
        <v>0.01</v>
      </c>
      <c r="AA876" s="147">
        <f>IF($E876="","",VLOOKUP($D876,'Mortality Margins &amp; Grading'!$AB$5:$AF$125,5,0)*IF(Summary!$D$25="Included Margin",IF(AND($B876&gt;Input!$C$9,Summary!$D$31&lt;&gt;"Included Margin"),0,1),0))</f>
        <v>5.2999999999999999E-2</v>
      </c>
      <c r="AB876" s="147">
        <f>IF($E876="","",IF(AND($B876&gt;Input!$C$9,Summary!$D$31&lt;&gt;"Included Margin"),1,IF(Summary!$D$25="Included Margin",VLOOKUP($B876,'Mortality Margins &amp; Grading'!$AI$5:$AR$125,MATCH('Mortality Margins &amp; Grading'!$AQ$4,'Mortality Margins &amp; Grading'!$AI$4:$AR$4,0),0),1)))</f>
        <v>0</v>
      </c>
      <c r="AC876" s="154"/>
      <c r="AD876" s="158">
        <f>IF(E876="","",Input!$C$48*IF(Summary!$D$30="Included Margin",IF(AND($B876&gt;Input!$C$9,Summary!$D$31&lt;&gt;"Included Margin"),0,1),0))</f>
        <v>-4.4999999999999997E-3</v>
      </c>
      <c r="AE876" s="159">
        <f>IF(E876="","",IF(Summary!$D$26="Included Margin",IF(AND($B876&gt;Input!$C$9,Summary!$D$31&lt;&gt;"Included Margin"),1,1/$R876),1))</f>
        <v>1.4346243117768278</v>
      </c>
      <c r="AF876" s="160">
        <f>IF(E876="","",IF(AND($B876&gt;=Input!$C$9,$C876=12,Summary!$D$31="Included Margin",$U876&gt;0),1/U876-1,IF($B876&gt;=Input!$C$9,0,Input!$C$45*IF(Summary!$D$27="Included Margin",1,0))))</f>
        <v>0</v>
      </c>
      <c r="AG876" s="160">
        <f>IF(E876="","",Input!$C$46*IF(Summary!$D$28="Included Margin",IF(AND($B876&gt;Input!$C$9,Summary!$D$31&lt;&gt;"Included Margin"),0,1),0))</f>
        <v>0.02</v>
      </c>
      <c r="AH876" s="158">
        <f>IF(E876="","",Input!$C$47*IF(Summary!$D$29="Included Margin",IF(AND($B876&gt;Input!$C$9,Summary!$D$31&lt;&gt;"Included Margin"),0,1),0))</f>
        <v>2.5000000000000001E-3</v>
      </c>
      <c r="AI876" s="154"/>
      <c r="AJ876" s="158">
        <f t="shared" si="563"/>
        <v>4.3640000000000005E-2</v>
      </c>
      <c r="AK876" s="155">
        <f t="shared" si="564"/>
        <v>3.565892922956726E-3</v>
      </c>
      <c r="AL876" s="147">
        <f t="shared" si="565"/>
        <v>1</v>
      </c>
      <c r="AM876" s="147">
        <f t="shared" si="543"/>
        <v>1</v>
      </c>
      <c r="AN876" s="160">
        <f t="shared" si="566"/>
        <v>0</v>
      </c>
      <c r="AO876" s="161">
        <f t="shared" si="567"/>
        <v>0</v>
      </c>
      <c r="AP876" s="156">
        <f t="shared" si="544"/>
        <v>4.9631659987566614</v>
      </c>
      <c r="AQ876" s="152"/>
      <c r="AR876" s="162">
        <f t="shared" si="545"/>
        <v>99822.022677888832</v>
      </c>
      <c r="AS876" s="150">
        <f t="shared" si="568"/>
        <v>0</v>
      </c>
      <c r="AT876" s="163">
        <f t="shared" si="546"/>
        <v>0</v>
      </c>
      <c r="AU876" s="163">
        <f t="shared" si="547"/>
        <v>100000</v>
      </c>
      <c r="AV876" s="163">
        <f t="shared" si="569"/>
        <v>177.65999807447329</v>
      </c>
      <c r="AW876" s="163">
        <f t="shared" si="548"/>
        <v>99822.34000192552</v>
      </c>
      <c r="AX876" s="163">
        <f t="shared" si="549"/>
        <v>0</v>
      </c>
      <c r="AY876" s="165">
        <f t="shared" si="570"/>
        <v>99822.022677888832</v>
      </c>
      <c r="AZ876" s="164">
        <f>IF($E876="","",IF(OR(AND($D876=Input!$C$6,$C876=12),$AN876=1),0,-AS877+AT877+AU877-AV877-AW877-AX877+AZ877))</f>
        <v>99822.34000192552</v>
      </c>
      <c r="BA876" s="154">
        <f t="shared" si="550"/>
        <v>0.31732403668866027</v>
      </c>
      <c r="BC876" s="147">
        <f t="shared" si="571"/>
        <v>1.0992366717396858E-18</v>
      </c>
      <c r="BD876" s="164">
        <f>IF(AND($C875=12,$D875=Input!$C$6),0,IF($E876="","",AT876+(AU876+BD877)/(1+$AK876)*MIN((1-AM876-AN876),1)))</f>
        <v>0</v>
      </c>
      <c r="BE876" s="164">
        <f t="shared" si="579"/>
        <v>0</v>
      </c>
      <c r="BF876" s="164">
        <f t="shared" si="572"/>
        <v>99822.34000192552</v>
      </c>
      <c r="BG876" s="164">
        <f t="shared" si="552"/>
        <v>1.0972837678898391E-13</v>
      </c>
      <c r="BH876" s="152"/>
      <c r="BI876" s="162">
        <f t="shared" si="553"/>
        <v>16108.694284077206</v>
      </c>
      <c r="BJ876" s="150">
        <f t="shared" si="554"/>
        <v>0</v>
      </c>
      <c r="BK876" s="163">
        <f t="shared" si="576"/>
        <v>0</v>
      </c>
      <c r="BL876" s="163">
        <f t="shared" si="555"/>
        <v>9472.3349002528539</v>
      </c>
      <c r="BM876" s="163">
        <f t="shared" si="577"/>
        <v>44.646070697654594</v>
      </c>
      <c r="BN876" s="163">
        <f t="shared" si="556"/>
        <v>699.06879951499934</v>
      </c>
      <c r="BO876" s="163">
        <f t="shared" si="557"/>
        <v>0</v>
      </c>
      <c r="BP876" s="164">
        <f t="shared" si="578"/>
        <v>7380.0742540370065</v>
      </c>
      <c r="BQ876" s="164">
        <f>IF($E876="","",IF(AND($D876=Input!$C$6,$C876=12),0,-BJ877+BK877+BL877-BM877-BN877-BO877+BQ877))</f>
        <v>7380.1106789028163</v>
      </c>
      <c r="BR876" s="161">
        <f t="shared" si="558"/>
        <v>0</v>
      </c>
      <c r="BT876" s="147">
        <f t="shared" si="559"/>
        <v>1.0992366717396858E-18</v>
      </c>
      <c r="BU876" s="164">
        <f>IF(AND($C875=12,$D875=Input!$C$6),0,IF($E876="","",BK876+(BL876+BU877)/(1+$AK876)*MIN((1-T876-U876),1)))</f>
        <v>78017.620410639516</v>
      </c>
      <c r="BV876" s="164">
        <f t="shared" si="560"/>
        <v>8.5759829397241553E-14</v>
      </c>
      <c r="BW876" s="164">
        <f t="shared" si="561"/>
        <v>7380.1106789028163</v>
      </c>
      <c r="BX876" s="164">
        <f t="shared" si="562"/>
        <v>8.1124882997476447E-15</v>
      </c>
    </row>
    <row r="877" spans="1:76" s="150" customFormat="1" x14ac:dyDescent="0.25">
      <c r="A877" s="150">
        <f t="shared" si="573"/>
        <v>873</v>
      </c>
      <c r="B877" s="150">
        <f t="shared" si="574"/>
        <v>73</v>
      </c>
      <c r="C877" s="150">
        <f t="shared" si="575"/>
        <v>9</v>
      </c>
      <c r="D877" s="150">
        <f>IF(E877="","",Input!$C$4+B877-1)</f>
        <v>117</v>
      </c>
      <c r="E877" s="150">
        <f>IF(OR(AND(C876=12,D876=Input!$C$6),E876=""),"",1)</f>
        <v>1</v>
      </c>
      <c r="F877" s="150">
        <f>IF(E877="","",Input!$C$8+B877-1)</f>
        <v>2090</v>
      </c>
      <c r="G877" s="151">
        <f>IF(E877="","",MAX(0,Input!$C$9-B877))</f>
        <v>0</v>
      </c>
      <c r="H877" s="152">
        <f>IF(E877="","",Input!$C$3)</f>
        <v>100000</v>
      </c>
      <c r="I877" s="153">
        <f>IF(E877="","",HLOOKUP($B877,Input!$C$13:$BT$14,2))</f>
        <v>1000</v>
      </c>
      <c r="J877" s="154"/>
      <c r="K877" s="155">
        <f>IF($E877="","",INDEX(Input!$C$16:$CP$16,1,$B877))</f>
        <v>3.3140000000000003E-2</v>
      </c>
      <c r="L877" s="155">
        <f>IF($E877="","",Input!$C$37)</f>
        <v>1.4999999999999999E-2</v>
      </c>
      <c r="M877" s="155">
        <f t="shared" si="538"/>
        <v>4.8140000000000002E-2</v>
      </c>
      <c r="N877" s="155">
        <f t="shared" si="539"/>
        <v>3.9257828404828388E-3</v>
      </c>
      <c r="O877" s="147">
        <f>IF($E877="","",MIN(VLOOKUP(IF($B877&lt;=Input!$C$7,$B877,26),'Mortality Tables'!$A$41:$CW$67,IF($B877&lt;=Input!$C$7+1,Input!$C$4+2,$D877-Input!$C$7+2),0)*IF(B877&gt;20,Input!$C$22,1)/1000,1))</f>
        <v>1</v>
      </c>
      <c r="P877" s="147">
        <f>IF($E877="","",MIN(VLOOKUP(IF($B877&lt;=Input!$C$7,$B877,26),'Mortality Tables'!$A$12:$CW$37,IF($B877&lt;=Input!$C$7+1,Input!$C$4+2,$D877-Input!$C$7+2),0)*IF(B877&gt;20,Input!$C$22,1)/1000,1))</f>
        <v>1</v>
      </c>
      <c r="Q877" s="155">
        <f>IF($E877="","",Input!$C$21)</f>
        <v>5.0000000000000001E-3</v>
      </c>
      <c r="R877" s="159">
        <f>IF($E877="","",(1-Q877)^($F877-Input!$C$20))</f>
        <v>0.69704660083549552</v>
      </c>
      <c r="S877" s="147">
        <f t="shared" si="541"/>
        <v>0.69704660083549552</v>
      </c>
      <c r="T877" s="147">
        <f t="shared" si="542"/>
        <v>9.4723349002528545E-2</v>
      </c>
      <c r="U877" s="160">
        <f>IF($E877="","",IF($C877=12,INDEX(Input!$C$15:$CP$15,1,$B877),0))</f>
        <v>0</v>
      </c>
      <c r="V877" s="150">
        <f>IF(E877="","",IF(C877=1,IF($B877=1,Input!$C$33,Input!$C$34),0))</f>
        <v>0</v>
      </c>
      <c r="W877" s="156">
        <f>IF($E877="","",Input!$C$35)</f>
        <v>0.02</v>
      </c>
      <c r="X877" s="156">
        <f t="shared" si="540"/>
        <v>4.1611403750515157</v>
      </c>
      <c r="Y877" s="154"/>
      <c r="Z877" s="147">
        <f>IF($E877="","",VLOOKUP($D877,'Mortality Margins &amp; Grading'!$AB$5:$AF$125,3,0)*IF(Summary!$D$25="Included Margin",IF(AND($B877&gt;Input!$C$9,Summary!$D$31&lt;&gt;"Included Margin"),0,1),0))</f>
        <v>0.01</v>
      </c>
      <c r="AA877" s="147">
        <f>IF($E877="","",VLOOKUP($D877,'Mortality Margins &amp; Grading'!$AB$5:$AF$125,5,0)*IF(Summary!$D$25="Included Margin",IF(AND($B877&gt;Input!$C$9,Summary!$D$31&lt;&gt;"Included Margin"),0,1),0))</f>
        <v>5.2999999999999999E-2</v>
      </c>
      <c r="AB877" s="147">
        <f>IF($E877="","",IF(AND($B877&gt;Input!$C$9,Summary!$D$31&lt;&gt;"Included Margin"),1,IF(Summary!$D$25="Included Margin",VLOOKUP($B877,'Mortality Margins &amp; Grading'!$AI$5:$AR$125,MATCH('Mortality Margins &amp; Grading'!$AQ$4,'Mortality Margins &amp; Grading'!$AI$4:$AR$4,0),0),1)))</f>
        <v>0</v>
      </c>
      <c r="AC877" s="154"/>
      <c r="AD877" s="158">
        <f>IF(E877="","",Input!$C$48*IF(Summary!$D$30="Included Margin",IF(AND($B877&gt;Input!$C$9,Summary!$D$31&lt;&gt;"Included Margin"),0,1),0))</f>
        <v>-4.4999999999999997E-3</v>
      </c>
      <c r="AE877" s="159">
        <f>IF(E877="","",IF(Summary!$D$26="Included Margin",IF(AND($B877&gt;Input!$C$9,Summary!$D$31&lt;&gt;"Included Margin"),1,1/$R877),1))</f>
        <v>1.4346243117768278</v>
      </c>
      <c r="AF877" s="160">
        <f>IF(E877="","",IF(AND($B877&gt;=Input!$C$9,$C877=12,Summary!$D$31="Included Margin",$U877&gt;0),1/U877-1,IF($B877&gt;=Input!$C$9,0,Input!$C$45*IF(Summary!$D$27="Included Margin",1,0))))</f>
        <v>0</v>
      </c>
      <c r="AG877" s="160">
        <f>IF(E877="","",Input!$C$46*IF(Summary!$D$28="Included Margin",IF(AND($B877&gt;Input!$C$9,Summary!$D$31&lt;&gt;"Included Margin"),0,1),0))</f>
        <v>0.02</v>
      </c>
      <c r="AH877" s="158">
        <f>IF(E877="","",Input!$C$47*IF(Summary!$D$29="Included Margin",IF(AND($B877&gt;Input!$C$9,Summary!$D$31&lt;&gt;"Included Margin"),0,1),0))</f>
        <v>2.5000000000000001E-3</v>
      </c>
      <c r="AI877" s="154"/>
      <c r="AJ877" s="158">
        <f t="shared" si="563"/>
        <v>4.3640000000000005E-2</v>
      </c>
      <c r="AK877" s="155">
        <f t="shared" si="564"/>
        <v>3.565892922956726E-3</v>
      </c>
      <c r="AL877" s="147">
        <f t="shared" si="565"/>
        <v>1</v>
      </c>
      <c r="AM877" s="147">
        <f t="shared" si="543"/>
        <v>1</v>
      </c>
      <c r="AN877" s="160">
        <f t="shared" si="566"/>
        <v>0</v>
      </c>
      <c r="AO877" s="161">
        <f t="shared" si="567"/>
        <v>0</v>
      </c>
      <c r="AP877" s="156">
        <f t="shared" si="544"/>
        <v>4.9631659987566614</v>
      </c>
      <c r="AQ877" s="152"/>
      <c r="AR877" s="162">
        <f t="shared" si="545"/>
        <v>99822.022677888832</v>
      </c>
      <c r="AS877" s="150">
        <f t="shared" si="568"/>
        <v>0</v>
      </c>
      <c r="AT877" s="163">
        <f t="shared" si="546"/>
        <v>0</v>
      </c>
      <c r="AU877" s="163">
        <f t="shared" si="547"/>
        <v>100000</v>
      </c>
      <c r="AV877" s="163">
        <f t="shared" si="569"/>
        <v>177.65999807447329</v>
      </c>
      <c r="AW877" s="163">
        <f t="shared" si="548"/>
        <v>99822.34000192552</v>
      </c>
      <c r="AX877" s="163">
        <f t="shared" si="549"/>
        <v>0</v>
      </c>
      <c r="AY877" s="164">
        <f t="shared" si="570"/>
        <v>99822.022677888832</v>
      </c>
      <c r="AZ877" s="164">
        <f>IF($E877="","",IF(OR(AND($D877=Input!$C$6,$C877=12),$AN877=1),0,-AS878+AT878+AU878-AV878-AW878-AX878+AZ878))</f>
        <v>99822.34000192552</v>
      </c>
      <c r="BA877" s="154">
        <f t="shared" si="550"/>
        <v>0.31732403668866027</v>
      </c>
      <c r="BC877" s="147">
        <f t="shared" si="571"/>
        <v>9.9511329284610963E-19</v>
      </c>
      <c r="BD877" s="164">
        <f>IF(AND($C876=12,$D876=Input!$C$6),0,IF($E877="","",AT877+(AU877+BD878)/(1+$AK877)*MIN((1-AM877-AN877),1)))</f>
        <v>0</v>
      </c>
      <c r="BE877" s="164">
        <f t="shared" si="579"/>
        <v>0</v>
      </c>
      <c r="BF877" s="164">
        <f t="shared" si="572"/>
        <v>99822.34000192552</v>
      </c>
      <c r="BG877" s="164">
        <f t="shared" si="552"/>
        <v>9.9334537458920035E-14</v>
      </c>
      <c r="BH877" s="152"/>
      <c r="BI877" s="162">
        <f t="shared" si="553"/>
        <v>7380.0742540370056</v>
      </c>
      <c r="BJ877" s="150">
        <f t="shared" si="554"/>
        <v>0</v>
      </c>
      <c r="BK877" s="163">
        <f t="shared" si="576"/>
        <v>0</v>
      </c>
      <c r="BL877" s="163">
        <f t="shared" si="555"/>
        <v>9472.3349002528539</v>
      </c>
      <c r="BM877" s="163">
        <f t="shared" si="577"/>
        <v>10.379403962627975</v>
      </c>
      <c r="BN877" s="163">
        <f t="shared" si="556"/>
        <v>-217.83320379379106</v>
      </c>
      <c r="BO877" s="163">
        <f t="shared" si="557"/>
        <v>0</v>
      </c>
      <c r="BP877" s="164">
        <f t="shared" si="578"/>
        <v>-2299.7144460470113</v>
      </c>
      <c r="BQ877" s="164">
        <f>IF($E877="","",IF(AND($D877=Input!$C$6,$C877=12),0,-BJ878+BK878+BL878-BM878-BN878-BO878+BQ878))</f>
        <v>-2299.6780211812002</v>
      </c>
      <c r="BR877" s="161">
        <f t="shared" si="558"/>
        <v>0</v>
      </c>
      <c r="BT877" s="147">
        <f t="shared" si="559"/>
        <v>9.9511329284610963E-19</v>
      </c>
      <c r="BU877" s="164">
        <f>IF(AND($C876=12,$D876=Input!$C$6),0,IF($E877="","",BK877+(BL877+BU878)/(1+$AK877)*MIN((1-T877-U877),1)))</f>
        <v>77015.947775389053</v>
      </c>
      <c r="BV877" s="164">
        <f t="shared" si="560"/>
        <v>7.6639593392431409E-14</v>
      </c>
      <c r="BW877" s="164">
        <f t="shared" si="561"/>
        <v>-2299.6780211812002</v>
      </c>
      <c r="BX877" s="164">
        <f t="shared" si="562"/>
        <v>-2.2884401681434495E-15</v>
      </c>
    </row>
    <row r="878" spans="1:76" s="150" customFormat="1" x14ac:dyDescent="0.25">
      <c r="A878" s="150">
        <f t="shared" si="573"/>
        <v>874</v>
      </c>
      <c r="B878" s="150">
        <f t="shared" si="574"/>
        <v>73</v>
      </c>
      <c r="C878" s="150">
        <f t="shared" si="575"/>
        <v>10</v>
      </c>
      <c r="D878" s="150">
        <f>IF(E878="","",Input!$C$4+B878-1)</f>
        <v>117</v>
      </c>
      <c r="E878" s="150">
        <f>IF(OR(AND(C877=12,D877=Input!$C$6),E877=""),"",1)</f>
        <v>1</v>
      </c>
      <c r="F878" s="150">
        <f>IF(E878="","",Input!$C$8+B878-1)</f>
        <v>2090</v>
      </c>
      <c r="G878" s="151">
        <f>IF(E878="","",MAX(0,Input!$C$9-B878))</f>
        <v>0</v>
      </c>
      <c r="H878" s="152">
        <f>IF(E878="","",Input!$C$3)</f>
        <v>100000</v>
      </c>
      <c r="I878" s="153">
        <f>IF(E878="","",HLOOKUP($B878,Input!$C$13:$BT$14,2))</f>
        <v>1000</v>
      </c>
      <c r="J878" s="154"/>
      <c r="K878" s="155">
        <f>IF($E878="","",INDEX(Input!$C$16:$CP$16,1,$B878))</f>
        <v>3.3140000000000003E-2</v>
      </c>
      <c r="L878" s="155">
        <f>IF($E878="","",Input!$C$37)</f>
        <v>1.4999999999999999E-2</v>
      </c>
      <c r="M878" s="155">
        <f t="shared" si="538"/>
        <v>4.8140000000000002E-2</v>
      </c>
      <c r="N878" s="155">
        <f t="shared" si="539"/>
        <v>3.9257828404828388E-3</v>
      </c>
      <c r="O878" s="147">
        <f>IF($E878="","",MIN(VLOOKUP(IF($B878&lt;=Input!$C$7,$B878,26),'Mortality Tables'!$A$41:$CW$67,IF($B878&lt;=Input!$C$7+1,Input!$C$4+2,$D878-Input!$C$7+2),0)*IF(B878&gt;20,Input!$C$22,1)/1000,1))</f>
        <v>1</v>
      </c>
      <c r="P878" s="147">
        <f>IF($E878="","",MIN(VLOOKUP(IF($B878&lt;=Input!$C$7,$B878,26),'Mortality Tables'!$A$12:$CW$37,IF($B878&lt;=Input!$C$7+1,Input!$C$4+2,$D878-Input!$C$7+2),0)*IF(B878&gt;20,Input!$C$22,1)/1000,1))</f>
        <v>1</v>
      </c>
      <c r="Q878" s="155">
        <f>IF($E878="","",Input!$C$21)</f>
        <v>5.0000000000000001E-3</v>
      </c>
      <c r="R878" s="159">
        <f>IF($E878="","",(1-Q878)^($F878-Input!$C$20))</f>
        <v>0.69704660083549552</v>
      </c>
      <c r="S878" s="147">
        <f t="shared" si="541"/>
        <v>0.69704660083549552</v>
      </c>
      <c r="T878" s="147">
        <f t="shared" si="542"/>
        <v>9.4723349002528545E-2</v>
      </c>
      <c r="U878" s="160">
        <f>IF($E878="","",IF($C878=12,INDEX(Input!$C$15:$CP$15,1,$B878),0))</f>
        <v>0</v>
      </c>
      <c r="V878" s="150">
        <f>IF(E878="","",IF(C878=1,IF($B878=1,Input!$C$33,Input!$C$34),0))</f>
        <v>0</v>
      </c>
      <c r="W878" s="156">
        <f>IF($E878="","",Input!$C$35)</f>
        <v>0.02</v>
      </c>
      <c r="X878" s="156">
        <f t="shared" si="540"/>
        <v>4.1611403750515157</v>
      </c>
      <c r="Y878" s="154"/>
      <c r="Z878" s="147">
        <f>IF($E878="","",VLOOKUP($D878,'Mortality Margins &amp; Grading'!$AB$5:$AF$125,3,0)*IF(Summary!$D$25="Included Margin",IF(AND($B878&gt;Input!$C$9,Summary!$D$31&lt;&gt;"Included Margin"),0,1),0))</f>
        <v>0.01</v>
      </c>
      <c r="AA878" s="147">
        <f>IF($E878="","",VLOOKUP($D878,'Mortality Margins &amp; Grading'!$AB$5:$AF$125,5,0)*IF(Summary!$D$25="Included Margin",IF(AND($B878&gt;Input!$C$9,Summary!$D$31&lt;&gt;"Included Margin"),0,1),0))</f>
        <v>5.2999999999999999E-2</v>
      </c>
      <c r="AB878" s="147">
        <f>IF($E878="","",IF(AND($B878&gt;Input!$C$9,Summary!$D$31&lt;&gt;"Included Margin"),1,IF(Summary!$D$25="Included Margin",VLOOKUP($B878,'Mortality Margins &amp; Grading'!$AI$5:$AR$125,MATCH('Mortality Margins &amp; Grading'!$AQ$4,'Mortality Margins &amp; Grading'!$AI$4:$AR$4,0),0),1)))</f>
        <v>0</v>
      </c>
      <c r="AC878" s="154"/>
      <c r="AD878" s="158">
        <f>IF(E878="","",Input!$C$48*IF(Summary!$D$30="Included Margin",IF(AND($B878&gt;Input!$C$9,Summary!$D$31&lt;&gt;"Included Margin"),0,1),0))</f>
        <v>-4.4999999999999997E-3</v>
      </c>
      <c r="AE878" s="159">
        <f>IF(E878="","",IF(Summary!$D$26="Included Margin",IF(AND($B878&gt;Input!$C$9,Summary!$D$31&lt;&gt;"Included Margin"),1,1/$R878),1))</f>
        <v>1.4346243117768278</v>
      </c>
      <c r="AF878" s="160">
        <f>IF(E878="","",IF(AND($B878&gt;=Input!$C$9,$C878=12,Summary!$D$31="Included Margin",$U878&gt;0),1/U878-1,IF($B878&gt;=Input!$C$9,0,Input!$C$45*IF(Summary!$D$27="Included Margin",1,0))))</f>
        <v>0</v>
      </c>
      <c r="AG878" s="160">
        <f>IF(E878="","",Input!$C$46*IF(Summary!$D$28="Included Margin",IF(AND($B878&gt;Input!$C$9,Summary!$D$31&lt;&gt;"Included Margin"),0,1),0))</f>
        <v>0.02</v>
      </c>
      <c r="AH878" s="158">
        <f>IF(E878="","",Input!$C$47*IF(Summary!$D$29="Included Margin",IF(AND($B878&gt;Input!$C$9,Summary!$D$31&lt;&gt;"Included Margin"),0,1),0))</f>
        <v>2.5000000000000001E-3</v>
      </c>
      <c r="AI878" s="154"/>
      <c r="AJ878" s="158">
        <f t="shared" si="563"/>
        <v>4.3640000000000005E-2</v>
      </c>
      <c r="AK878" s="155">
        <f t="shared" si="564"/>
        <v>3.565892922956726E-3</v>
      </c>
      <c r="AL878" s="147">
        <f t="shared" si="565"/>
        <v>1</v>
      </c>
      <c r="AM878" s="147">
        <f t="shared" si="543"/>
        <v>1</v>
      </c>
      <c r="AN878" s="160">
        <f t="shared" si="566"/>
        <v>0</v>
      </c>
      <c r="AO878" s="161">
        <f t="shared" si="567"/>
        <v>0</v>
      </c>
      <c r="AP878" s="156">
        <f t="shared" si="544"/>
        <v>4.9631659987566614</v>
      </c>
      <c r="AQ878" s="152"/>
      <c r="AR878" s="162">
        <f t="shared" si="545"/>
        <v>99822.022677888832</v>
      </c>
      <c r="AS878" s="150">
        <f t="shared" si="568"/>
        <v>0</v>
      </c>
      <c r="AT878" s="163">
        <f t="shared" si="546"/>
        <v>0</v>
      </c>
      <c r="AU878" s="163">
        <f t="shared" si="547"/>
        <v>100000</v>
      </c>
      <c r="AV878" s="163">
        <f t="shared" si="569"/>
        <v>177.65999807447329</v>
      </c>
      <c r="AW878" s="163">
        <f t="shared" si="548"/>
        <v>99822.34000192552</v>
      </c>
      <c r="AX878" s="163">
        <f t="shared" si="549"/>
        <v>0</v>
      </c>
      <c r="AY878" s="165">
        <f t="shared" si="570"/>
        <v>99822.022677888832</v>
      </c>
      <c r="AZ878" s="164">
        <f>IF($E878="","",IF(OR(AND($D878=Input!$C$6,$C878=12),$AN878=1),0,-AS879+AT879+AU879-AV879-AW879-AX879+AZ879))</f>
        <v>99822.34000192552</v>
      </c>
      <c r="BA878" s="154">
        <f t="shared" si="550"/>
        <v>0.31732403668866027</v>
      </c>
      <c r="BC878" s="147">
        <f t="shared" si="571"/>
        <v>9.0085282911079215E-19</v>
      </c>
      <c r="BD878" s="164">
        <f>IF(AND($C877=12,$D877=Input!$C$6),0,IF($E878="","",AT878+(AU878+BD879)/(1+$AK878)*MIN((1-AM878-AN878),1)))</f>
        <v>0</v>
      </c>
      <c r="BE878" s="164">
        <f t="shared" si="579"/>
        <v>0</v>
      </c>
      <c r="BF878" s="164">
        <f t="shared" si="572"/>
        <v>99822.34000192552</v>
      </c>
      <c r="BG878" s="164">
        <f t="shared" si="552"/>
        <v>8.9925237399194006E-14</v>
      </c>
      <c r="BH878" s="152"/>
      <c r="BI878" s="162">
        <f t="shared" si="553"/>
        <v>-2299.7144460470117</v>
      </c>
      <c r="BJ878" s="150">
        <f t="shared" si="554"/>
        <v>0</v>
      </c>
      <c r="BK878" s="163">
        <f t="shared" si="576"/>
        <v>0</v>
      </c>
      <c r="BL878" s="163">
        <f t="shared" si="555"/>
        <v>9472.3349002528539</v>
      </c>
      <c r="BM878" s="163">
        <f t="shared" si="577"/>
        <v>-27.621344415661543</v>
      </c>
      <c r="BN878" s="163">
        <f t="shared" si="556"/>
        <v>-1234.6511681647241</v>
      </c>
      <c r="BO878" s="163">
        <f t="shared" si="557"/>
        <v>0</v>
      </c>
      <c r="BP878" s="164">
        <f t="shared" si="578"/>
        <v>-13034.321858880252</v>
      </c>
      <c r="BQ878" s="164">
        <f>IF($E878="","",IF(AND($D878=Input!$C$6,$C878=12),0,-BJ879+BK879+BL879-BM879-BN879-BO879+BQ879))</f>
        <v>-13034.28543401444</v>
      </c>
      <c r="BR878" s="161">
        <f t="shared" si="558"/>
        <v>0</v>
      </c>
      <c r="BT878" s="147">
        <f t="shared" si="559"/>
        <v>9.0085282911079215E-19</v>
      </c>
      <c r="BU878" s="164">
        <f>IF(AND($C877=12,$D877=Input!$C$6),0,IF($E878="","",BK878+(BL878+BU879)/(1+$AK878)*MIN((1-T878-U878),1)))</f>
        <v>75905.519828855802</v>
      </c>
      <c r="BV878" s="164">
        <f t="shared" si="560"/>
        <v>6.8379702282950079E-14</v>
      </c>
      <c r="BW878" s="164">
        <f t="shared" si="561"/>
        <v>-13034.28543401444</v>
      </c>
      <c r="BX878" s="164">
        <f t="shared" si="562"/>
        <v>-1.1741972908669498E-14</v>
      </c>
    </row>
    <row r="879" spans="1:76" s="150" customFormat="1" x14ac:dyDescent="0.25">
      <c r="A879" s="150">
        <f t="shared" si="573"/>
        <v>875</v>
      </c>
      <c r="B879" s="150">
        <f t="shared" si="574"/>
        <v>73</v>
      </c>
      <c r="C879" s="150">
        <f t="shared" si="575"/>
        <v>11</v>
      </c>
      <c r="D879" s="150">
        <f>IF(E879="","",Input!$C$4+B879-1)</f>
        <v>117</v>
      </c>
      <c r="E879" s="150">
        <f>IF(OR(AND(C878=12,D878=Input!$C$6),E878=""),"",1)</f>
        <v>1</v>
      </c>
      <c r="F879" s="150">
        <f>IF(E879="","",Input!$C$8+B879-1)</f>
        <v>2090</v>
      </c>
      <c r="G879" s="151">
        <f>IF(E879="","",MAX(0,Input!$C$9-B879))</f>
        <v>0</v>
      </c>
      <c r="H879" s="152">
        <f>IF(E879="","",Input!$C$3)</f>
        <v>100000</v>
      </c>
      <c r="I879" s="153">
        <f>IF(E879="","",HLOOKUP($B879,Input!$C$13:$BT$14,2))</f>
        <v>1000</v>
      </c>
      <c r="J879" s="154"/>
      <c r="K879" s="155">
        <f>IF($E879="","",INDEX(Input!$C$16:$CP$16,1,$B879))</f>
        <v>3.3140000000000003E-2</v>
      </c>
      <c r="L879" s="155">
        <f>IF($E879="","",Input!$C$37)</f>
        <v>1.4999999999999999E-2</v>
      </c>
      <c r="M879" s="155">
        <f t="shared" si="538"/>
        <v>4.8140000000000002E-2</v>
      </c>
      <c r="N879" s="155">
        <f t="shared" si="539"/>
        <v>3.9257828404828388E-3</v>
      </c>
      <c r="O879" s="147">
        <f>IF($E879="","",MIN(VLOOKUP(IF($B879&lt;=Input!$C$7,$B879,26),'Mortality Tables'!$A$41:$CW$67,IF($B879&lt;=Input!$C$7+1,Input!$C$4+2,$D879-Input!$C$7+2),0)*IF(B879&gt;20,Input!$C$22,1)/1000,1))</f>
        <v>1</v>
      </c>
      <c r="P879" s="147">
        <f>IF($E879="","",MIN(VLOOKUP(IF($B879&lt;=Input!$C$7,$B879,26),'Mortality Tables'!$A$12:$CW$37,IF($B879&lt;=Input!$C$7+1,Input!$C$4+2,$D879-Input!$C$7+2),0)*IF(B879&gt;20,Input!$C$22,1)/1000,1))</f>
        <v>1</v>
      </c>
      <c r="Q879" s="155">
        <f>IF($E879="","",Input!$C$21)</f>
        <v>5.0000000000000001E-3</v>
      </c>
      <c r="R879" s="159">
        <f>IF($E879="","",(1-Q879)^($F879-Input!$C$20))</f>
        <v>0.69704660083549552</v>
      </c>
      <c r="S879" s="147">
        <f t="shared" si="541"/>
        <v>0.69704660083549552</v>
      </c>
      <c r="T879" s="147">
        <f t="shared" si="542"/>
        <v>9.4723349002528545E-2</v>
      </c>
      <c r="U879" s="160">
        <f>IF($E879="","",IF($C879=12,INDEX(Input!$C$15:$CP$15,1,$B879),0))</f>
        <v>0</v>
      </c>
      <c r="V879" s="150">
        <f>IF(E879="","",IF(C879=1,IF($B879=1,Input!$C$33,Input!$C$34),0))</f>
        <v>0</v>
      </c>
      <c r="W879" s="156">
        <f>IF($E879="","",Input!$C$35)</f>
        <v>0.02</v>
      </c>
      <c r="X879" s="156">
        <f t="shared" si="540"/>
        <v>4.1611403750515157</v>
      </c>
      <c r="Y879" s="154"/>
      <c r="Z879" s="147">
        <f>IF($E879="","",VLOOKUP($D879,'Mortality Margins &amp; Grading'!$AB$5:$AF$125,3,0)*IF(Summary!$D$25="Included Margin",IF(AND($B879&gt;Input!$C$9,Summary!$D$31&lt;&gt;"Included Margin"),0,1),0))</f>
        <v>0.01</v>
      </c>
      <c r="AA879" s="147">
        <f>IF($E879="","",VLOOKUP($D879,'Mortality Margins &amp; Grading'!$AB$5:$AF$125,5,0)*IF(Summary!$D$25="Included Margin",IF(AND($B879&gt;Input!$C$9,Summary!$D$31&lt;&gt;"Included Margin"),0,1),0))</f>
        <v>5.2999999999999999E-2</v>
      </c>
      <c r="AB879" s="147">
        <f>IF($E879="","",IF(AND($B879&gt;Input!$C$9,Summary!$D$31&lt;&gt;"Included Margin"),1,IF(Summary!$D$25="Included Margin",VLOOKUP($B879,'Mortality Margins &amp; Grading'!$AI$5:$AR$125,MATCH('Mortality Margins &amp; Grading'!$AQ$4,'Mortality Margins &amp; Grading'!$AI$4:$AR$4,0),0),1)))</f>
        <v>0</v>
      </c>
      <c r="AC879" s="154"/>
      <c r="AD879" s="158">
        <f>IF(E879="","",Input!$C$48*IF(Summary!$D$30="Included Margin",IF(AND($B879&gt;Input!$C$9,Summary!$D$31&lt;&gt;"Included Margin"),0,1),0))</f>
        <v>-4.4999999999999997E-3</v>
      </c>
      <c r="AE879" s="159">
        <f>IF(E879="","",IF(Summary!$D$26="Included Margin",IF(AND($B879&gt;Input!$C$9,Summary!$D$31&lt;&gt;"Included Margin"),1,1/$R879),1))</f>
        <v>1.4346243117768278</v>
      </c>
      <c r="AF879" s="160">
        <f>IF(E879="","",IF(AND($B879&gt;=Input!$C$9,$C879=12,Summary!$D$31="Included Margin",$U879&gt;0),1/U879-1,IF($B879&gt;=Input!$C$9,0,Input!$C$45*IF(Summary!$D$27="Included Margin",1,0))))</f>
        <v>0</v>
      </c>
      <c r="AG879" s="160">
        <f>IF(E879="","",Input!$C$46*IF(Summary!$D$28="Included Margin",IF(AND($B879&gt;Input!$C$9,Summary!$D$31&lt;&gt;"Included Margin"),0,1),0))</f>
        <v>0.02</v>
      </c>
      <c r="AH879" s="158">
        <f>IF(E879="","",Input!$C$47*IF(Summary!$D$29="Included Margin",IF(AND($B879&gt;Input!$C$9,Summary!$D$31&lt;&gt;"Included Margin"),0,1),0))</f>
        <v>2.5000000000000001E-3</v>
      </c>
      <c r="AI879" s="154"/>
      <c r="AJ879" s="158">
        <f t="shared" si="563"/>
        <v>4.3640000000000005E-2</v>
      </c>
      <c r="AK879" s="155">
        <f t="shared" si="564"/>
        <v>3.565892922956726E-3</v>
      </c>
      <c r="AL879" s="147">
        <f t="shared" si="565"/>
        <v>1</v>
      </c>
      <c r="AM879" s="147">
        <f t="shared" si="543"/>
        <v>1</v>
      </c>
      <c r="AN879" s="160">
        <f t="shared" si="566"/>
        <v>0</v>
      </c>
      <c r="AO879" s="161">
        <f t="shared" si="567"/>
        <v>0</v>
      </c>
      <c r="AP879" s="156">
        <f t="shared" si="544"/>
        <v>4.9631659987566614</v>
      </c>
      <c r="AQ879" s="152"/>
      <c r="AR879" s="162">
        <f t="shared" si="545"/>
        <v>99822.022677888832</v>
      </c>
      <c r="AS879" s="150">
        <f t="shared" si="568"/>
        <v>0</v>
      </c>
      <c r="AT879" s="163">
        <f t="shared" si="546"/>
        <v>0</v>
      </c>
      <c r="AU879" s="163">
        <f t="shared" si="547"/>
        <v>100000</v>
      </c>
      <c r="AV879" s="163">
        <f t="shared" si="569"/>
        <v>177.65999807447329</v>
      </c>
      <c r="AW879" s="163">
        <f t="shared" si="548"/>
        <v>99822.34000192552</v>
      </c>
      <c r="AX879" s="163">
        <f t="shared" si="549"/>
        <v>0</v>
      </c>
      <c r="AY879" s="164">
        <f t="shared" si="570"/>
        <v>99822.022677888832</v>
      </c>
      <c r="AZ879" s="164">
        <f>IF($E879="","",IF(OR(AND($D879=Input!$C$6,$C879=12),$AN879=1),0,-AS880+AT880+AU880-AV880-AW880-AX880+AZ880))</f>
        <v>99822.34000192552</v>
      </c>
      <c r="BA879" s="154">
        <f t="shared" si="550"/>
        <v>0.31732403668866027</v>
      </c>
      <c r="BC879" s="147">
        <f t="shared" si="571"/>
        <v>8.1552103217901535E-19</v>
      </c>
      <c r="BD879" s="164">
        <f>IF(AND($C878=12,$D878=Input!$C$6),0,IF($E879="","",AT879+(AU879+BD880)/(1+$AK879)*MIN((1-AM879-AN879),1)))</f>
        <v>0</v>
      </c>
      <c r="BE879" s="164">
        <f t="shared" si="579"/>
        <v>0</v>
      </c>
      <c r="BF879" s="164">
        <f t="shared" si="572"/>
        <v>99822.34000192552</v>
      </c>
      <c r="BG879" s="164">
        <f t="shared" si="552"/>
        <v>8.1407217752894912E-14</v>
      </c>
      <c r="BH879" s="152"/>
      <c r="BI879" s="162">
        <f t="shared" si="553"/>
        <v>-13034.32185888025</v>
      </c>
      <c r="BJ879" s="150">
        <f t="shared" si="554"/>
        <v>0</v>
      </c>
      <c r="BK879" s="163">
        <f t="shared" si="576"/>
        <v>0</v>
      </c>
      <c r="BL879" s="163">
        <f t="shared" si="555"/>
        <v>9472.3349002528539</v>
      </c>
      <c r="BM879" s="163">
        <f t="shared" si="577"/>
        <v>-69.763081996282153</v>
      </c>
      <c r="BN879" s="163">
        <f t="shared" si="556"/>
        <v>-2362.2730611657025</v>
      </c>
      <c r="BO879" s="163">
        <f t="shared" si="557"/>
        <v>0</v>
      </c>
      <c r="BP879" s="164">
        <f t="shared" si="578"/>
        <v>-24938.69290229509</v>
      </c>
      <c r="BQ879" s="164">
        <f>IF($E879="","",IF(AND($D879=Input!$C$6,$C879=12),0,-BJ880+BK880+BL880-BM880-BN880-BO880+BQ880))</f>
        <v>-24938.656477429278</v>
      </c>
      <c r="BR879" s="161">
        <f t="shared" si="558"/>
        <v>0</v>
      </c>
      <c r="BT879" s="147">
        <f t="shared" si="559"/>
        <v>8.1552103217901535E-19</v>
      </c>
      <c r="BU879" s="164">
        <f>IF(AND($C878=12,$D878=Input!$C$6),0,IF($E879="","",BK879+(BL879+BU880)/(1+$AK879)*MIN((1-T879-U879),1)))</f>
        <v>74674.528603729908</v>
      </c>
      <c r="BV879" s="164">
        <f t="shared" si="560"/>
        <v>6.0898648644395219E-14</v>
      </c>
      <c r="BW879" s="164">
        <f t="shared" si="561"/>
        <v>-24938.656477429278</v>
      </c>
      <c r="BX879" s="164">
        <f t="shared" si="562"/>
        <v>-2.0337998871631011E-14</v>
      </c>
    </row>
    <row r="880" spans="1:76" s="150" customFormat="1" x14ac:dyDescent="0.25">
      <c r="A880" s="150">
        <f t="shared" si="573"/>
        <v>876</v>
      </c>
      <c r="B880" s="150">
        <f t="shared" si="574"/>
        <v>73</v>
      </c>
      <c r="C880" s="150">
        <f t="shared" si="575"/>
        <v>12</v>
      </c>
      <c r="D880" s="150">
        <f>IF(E880="","",Input!$C$4+B880-1)</f>
        <v>117</v>
      </c>
      <c r="E880" s="150">
        <f>IF(OR(AND(C879=12,D879=Input!$C$6),E879=""),"",1)</f>
        <v>1</v>
      </c>
      <c r="F880" s="150">
        <f>IF(E880="","",Input!$C$8+B880-1)</f>
        <v>2090</v>
      </c>
      <c r="G880" s="151">
        <f>IF(E880="","",MAX(0,Input!$C$9-B880))</f>
        <v>0</v>
      </c>
      <c r="H880" s="152">
        <f>IF(E880="","",Input!$C$3)</f>
        <v>100000</v>
      </c>
      <c r="I880" s="153">
        <f>IF(E880="","",HLOOKUP($B880,Input!$C$13:$BT$14,2))</f>
        <v>1000</v>
      </c>
      <c r="J880" s="154"/>
      <c r="K880" s="155">
        <f>IF($E880="","",INDEX(Input!$C$16:$CP$16,1,$B880))</f>
        <v>3.3140000000000003E-2</v>
      </c>
      <c r="L880" s="155">
        <f>IF($E880="","",Input!$C$37)</f>
        <v>1.4999999999999999E-2</v>
      </c>
      <c r="M880" s="155">
        <f t="shared" si="538"/>
        <v>4.8140000000000002E-2</v>
      </c>
      <c r="N880" s="155">
        <f t="shared" si="539"/>
        <v>3.9257828404828388E-3</v>
      </c>
      <c r="O880" s="147">
        <f>IF($E880="","",MIN(VLOOKUP(IF($B880&lt;=Input!$C$7,$B880,26),'Mortality Tables'!$A$41:$CW$67,IF($B880&lt;=Input!$C$7+1,Input!$C$4+2,$D880-Input!$C$7+2),0)*IF(B880&gt;20,Input!$C$22,1)/1000,1))</f>
        <v>1</v>
      </c>
      <c r="P880" s="147">
        <f>IF($E880="","",MIN(VLOOKUP(IF($B880&lt;=Input!$C$7,$B880,26),'Mortality Tables'!$A$12:$CW$37,IF($B880&lt;=Input!$C$7+1,Input!$C$4+2,$D880-Input!$C$7+2),0)*IF(B880&gt;20,Input!$C$22,1)/1000,1))</f>
        <v>1</v>
      </c>
      <c r="Q880" s="155">
        <f>IF($E880="","",Input!$C$21)</f>
        <v>5.0000000000000001E-3</v>
      </c>
      <c r="R880" s="159">
        <f>IF($E880="","",(1-Q880)^($F880-Input!$C$20))</f>
        <v>0.69704660083549552</v>
      </c>
      <c r="S880" s="147">
        <f t="shared" si="541"/>
        <v>0.69704660083549552</v>
      </c>
      <c r="T880" s="147">
        <f t="shared" si="542"/>
        <v>9.4723349002528545E-2</v>
      </c>
      <c r="U880" s="160">
        <f>IF($E880="","",IF($C880=12,INDEX(Input!$C$15:$CP$15,1,$B880),0))</f>
        <v>0.1</v>
      </c>
      <c r="V880" s="150">
        <f>IF(E880="","",IF(C880=1,IF($B880=1,Input!$C$33,Input!$C$34),0))</f>
        <v>0</v>
      </c>
      <c r="W880" s="156">
        <f>IF($E880="","",Input!$C$35)</f>
        <v>0.02</v>
      </c>
      <c r="X880" s="156">
        <f t="shared" si="540"/>
        <v>4.1611403750515157</v>
      </c>
      <c r="Y880" s="154"/>
      <c r="Z880" s="147">
        <f>IF($E880="","",VLOOKUP($D880,'Mortality Margins &amp; Grading'!$AB$5:$AF$125,3,0)*IF(Summary!$D$25="Included Margin",IF(AND($B880&gt;Input!$C$9,Summary!$D$31&lt;&gt;"Included Margin"),0,1),0))</f>
        <v>0.01</v>
      </c>
      <c r="AA880" s="147">
        <f>IF($E880="","",VLOOKUP($D880,'Mortality Margins &amp; Grading'!$AB$5:$AF$125,5,0)*IF(Summary!$D$25="Included Margin",IF(AND($B880&gt;Input!$C$9,Summary!$D$31&lt;&gt;"Included Margin"),0,1),0))</f>
        <v>5.2999999999999999E-2</v>
      </c>
      <c r="AB880" s="147">
        <f>IF($E880="","",IF(AND($B880&gt;Input!$C$9,Summary!$D$31&lt;&gt;"Included Margin"),1,IF(Summary!$D$25="Included Margin",VLOOKUP($B880,'Mortality Margins &amp; Grading'!$AI$5:$AR$125,MATCH('Mortality Margins &amp; Grading'!$AQ$4,'Mortality Margins &amp; Grading'!$AI$4:$AR$4,0),0),1)))</f>
        <v>0</v>
      </c>
      <c r="AC880" s="154"/>
      <c r="AD880" s="158">
        <f>IF(E880="","",Input!$C$48*IF(Summary!$D$30="Included Margin",IF(AND($B880&gt;Input!$C$9,Summary!$D$31&lt;&gt;"Included Margin"),0,1),0))</f>
        <v>-4.4999999999999997E-3</v>
      </c>
      <c r="AE880" s="159">
        <f>IF(E880="","",IF(Summary!$D$26="Included Margin",IF(AND($B880&gt;Input!$C$9,Summary!$D$31&lt;&gt;"Included Margin"),1,1/$R880),1))</f>
        <v>1.4346243117768278</v>
      </c>
      <c r="AF880" s="160">
        <f>IF(E880="","",IF(AND($B880&gt;=Input!$C$9,$C880=12,Summary!$D$31="Included Margin",$U880&gt;0),1/U880-1,IF($B880&gt;=Input!$C$9,0,Input!$C$45*IF(Summary!$D$27="Included Margin",1,0))))</f>
        <v>9</v>
      </c>
      <c r="AG880" s="160">
        <f>IF(E880="","",Input!$C$46*IF(Summary!$D$28="Included Margin",IF(AND($B880&gt;Input!$C$9,Summary!$D$31&lt;&gt;"Included Margin"),0,1),0))</f>
        <v>0.02</v>
      </c>
      <c r="AH880" s="158">
        <f>IF(E880="","",Input!$C$47*IF(Summary!$D$29="Included Margin",IF(AND($B880&gt;Input!$C$9,Summary!$D$31&lt;&gt;"Included Margin"),0,1),0))</f>
        <v>2.5000000000000001E-3</v>
      </c>
      <c r="AI880" s="154"/>
      <c r="AJ880" s="158">
        <f t="shared" si="563"/>
        <v>4.3640000000000005E-2</v>
      </c>
      <c r="AK880" s="155">
        <f t="shared" si="564"/>
        <v>3.565892922956726E-3</v>
      </c>
      <c r="AL880" s="147">
        <f t="shared" si="565"/>
        <v>1</v>
      </c>
      <c r="AM880" s="147">
        <f t="shared" si="543"/>
        <v>1</v>
      </c>
      <c r="AN880" s="160">
        <f t="shared" si="566"/>
        <v>1</v>
      </c>
      <c r="AO880" s="161">
        <f t="shared" si="567"/>
        <v>0</v>
      </c>
      <c r="AP880" s="156">
        <f t="shared" si="544"/>
        <v>4.9631659987566614</v>
      </c>
      <c r="AQ880" s="152"/>
      <c r="AR880" s="162">
        <f t="shared" si="545"/>
        <v>99822.022677888832</v>
      </c>
      <c r="AS880" s="150">
        <f t="shared" si="568"/>
        <v>0</v>
      </c>
      <c r="AT880" s="163">
        <f t="shared" si="546"/>
        <v>0</v>
      </c>
      <c r="AU880" s="163">
        <f t="shared" si="547"/>
        <v>100000</v>
      </c>
      <c r="AV880" s="163">
        <f t="shared" si="569"/>
        <v>177.65999807447329</v>
      </c>
      <c r="AW880" s="163">
        <f t="shared" si="548"/>
        <v>0</v>
      </c>
      <c r="AX880" s="163">
        <f t="shared" si="549"/>
        <v>0</v>
      </c>
      <c r="AY880" s="165">
        <f t="shared" si="570"/>
        <v>-0.31732403669488463</v>
      </c>
      <c r="AZ880" s="164">
        <f>IF($E880="","",IF(OR(AND($D880=Input!$C$6,$C880=12),$AN880=1),0,-AS881+AT881+AU881-AV881-AW881-AX881+AZ881))</f>
        <v>0</v>
      </c>
      <c r="BA880" s="154">
        <f t="shared" si="550"/>
        <v>0.31732403669488463</v>
      </c>
      <c r="BC880" s="147">
        <f t="shared" si="571"/>
        <v>6.5672004561111863E-19</v>
      </c>
      <c r="BD880" s="164">
        <f>IF(AND($C879=12,$D879=Input!$C$6),0,IF($E880="","",AT880+(AU880+BD881)/(1+$AK880)*MIN((1-AM880-AN880),1)))</f>
        <v>-99902.574814404317</v>
      </c>
      <c r="BE880" s="164">
        <f t="shared" si="579"/>
        <v>-6.560802348878379E-14</v>
      </c>
      <c r="BF880" s="164">
        <f t="shared" si="572"/>
        <v>0</v>
      </c>
      <c r="BG880" s="164">
        <f t="shared" si="552"/>
        <v>0</v>
      </c>
      <c r="BH880" s="152"/>
      <c r="BI880" s="162">
        <f t="shared" si="553"/>
        <v>-24938.692902295086</v>
      </c>
      <c r="BJ880" s="150">
        <f t="shared" si="554"/>
        <v>0</v>
      </c>
      <c r="BK880" s="163">
        <f t="shared" si="576"/>
        <v>0</v>
      </c>
      <c r="BL880" s="163">
        <f t="shared" si="555"/>
        <v>9472.3349002528539</v>
      </c>
      <c r="BM880" s="163">
        <f t="shared" si="577"/>
        <v>-116.4970575652609</v>
      </c>
      <c r="BN880" s="163">
        <f t="shared" si="556"/>
        <v>-4014.1925842706864</v>
      </c>
      <c r="BO880" s="163">
        <f t="shared" si="557"/>
        <v>-3836.387603916377</v>
      </c>
      <c r="BP880" s="164">
        <f t="shared" si="578"/>
        <v>-42378.105048300262</v>
      </c>
      <c r="BQ880" s="164">
        <f>IF($E880="","",IF(AND($D880=Input!$C$6,$C880=12),0,-BJ881+BK881+BL881-BM881-BN881-BO881+BQ881))</f>
        <v>-42378.068623434454</v>
      </c>
      <c r="BR880" s="161">
        <f t="shared" si="558"/>
        <v>0</v>
      </c>
      <c r="BT880" s="147">
        <f t="shared" si="559"/>
        <v>6.5672004561111863E-19</v>
      </c>
      <c r="BU880" s="164">
        <f>IF(AND($C879=12,$D879=Input!$C$6),0,IF($E880="","",BK880+(BL880+BU881)/(1+$AK880)*MIN((1-T880-U880),1)))</f>
        <v>73309.884097917675</v>
      </c>
      <c r="BV880" s="164">
        <f t="shared" si="560"/>
        <v>4.8144070428530319E-14</v>
      </c>
      <c r="BW880" s="164">
        <f t="shared" si="561"/>
        <v>-42378.068623434454</v>
      </c>
      <c r="BX880" s="164">
        <f t="shared" si="562"/>
        <v>-2.7830527159292991E-14</v>
      </c>
    </row>
    <row r="881" spans="1:76" s="150" customFormat="1" x14ac:dyDescent="0.25">
      <c r="A881" s="150">
        <f t="shared" si="573"/>
        <v>877</v>
      </c>
      <c r="B881" s="150">
        <f t="shared" si="574"/>
        <v>74</v>
      </c>
      <c r="C881" s="150">
        <f t="shared" si="575"/>
        <v>1</v>
      </c>
      <c r="D881" s="150">
        <f>IF(E881="","",Input!$C$4+B881-1)</f>
        <v>118</v>
      </c>
      <c r="E881" s="150">
        <f>IF(OR(AND(C880=12,D880=Input!$C$6),E880=""),"",1)</f>
        <v>1</v>
      </c>
      <c r="F881" s="150">
        <f>IF(E881="","",Input!$C$8+B881-1)</f>
        <v>2091</v>
      </c>
      <c r="G881" s="151">
        <f>IF(E881="","",MAX(0,Input!$C$9-B881))</f>
        <v>0</v>
      </c>
      <c r="H881" s="152">
        <f>IF(E881="","",Input!$C$3)</f>
        <v>100000</v>
      </c>
      <c r="I881" s="153">
        <f>IF(E881="","",HLOOKUP($B881,Input!$C$13:$BT$14,2))</f>
        <v>1000</v>
      </c>
      <c r="J881" s="154"/>
      <c r="K881" s="155">
        <f>IF($E881="","",INDEX(Input!$C$16:$CP$16,1,$B881))</f>
        <v>3.3140000000000003E-2</v>
      </c>
      <c r="L881" s="155">
        <f>IF($E881="","",Input!$C$37)</f>
        <v>1.4999999999999999E-2</v>
      </c>
      <c r="M881" s="155">
        <f t="shared" si="538"/>
        <v>4.8140000000000002E-2</v>
      </c>
      <c r="N881" s="155">
        <f t="shared" si="539"/>
        <v>3.9257828404828388E-3</v>
      </c>
      <c r="O881" s="147">
        <f>IF($E881="","",MIN(VLOOKUP(IF($B881&lt;=Input!$C$7,$B881,26),'Mortality Tables'!$A$41:$CW$67,IF($B881&lt;=Input!$C$7+1,Input!$C$4+2,$D881-Input!$C$7+2),0)*IF(B881&gt;20,Input!$C$22,1)/1000,1))</f>
        <v>1</v>
      </c>
      <c r="P881" s="147">
        <f>IF($E881="","",MIN(VLOOKUP(IF($B881&lt;=Input!$C$7,$B881,26),'Mortality Tables'!$A$12:$CW$37,IF($B881&lt;=Input!$C$7+1,Input!$C$4+2,$D881-Input!$C$7+2),0)*IF(B881&gt;20,Input!$C$22,1)/1000,1))</f>
        <v>1</v>
      </c>
      <c r="Q881" s="155">
        <f>IF($E881="","",Input!$C$21)</f>
        <v>5.0000000000000001E-3</v>
      </c>
      <c r="R881" s="159">
        <f>IF($E881="","",(1-Q881)^($F881-Input!$C$20))</f>
        <v>0.69356136783131794</v>
      </c>
      <c r="S881" s="147">
        <f t="shared" si="541"/>
        <v>0.69356136783131794</v>
      </c>
      <c r="T881" s="147">
        <f t="shared" si="542"/>
        <v>9.3860018959034619E-2</v>
      </c>
      <c r="U881" s="160">
        <f>IF($E881="","",IF($C881=12,INDEX(Input!$C$15:$CP$15,1,$B881),0))</f>
        <v>0</v>
      </c>
      <c r="V881" s="150">
        <f>IF(E881="","",IF(C881=1,IF($B881=1,Input!$C$33,Input!$C$34),0))</f>
        <v>50</v>
      </c>
      <c r="W881" s="156">
        <f>IF($E881="","",Input!$C$35)</f>
        <v>0.02</v>
      </c>
      <c r="X881" s="156">
        <f t="shared" si="540"/>
        <v>4.2443631825525463</v>
      </c>
      <c r="Y881" s="154"/>
      <c r="Z881" s="147">
        <f>IF($E881="","",VLOOKUP($D881,'Mortality Margins &amp; Grading'!$AB$5:$AF$125,3,0)*IF(Summary!$D$25="Included Margin",IF(AND($B881&gt;Input!$C$9,Summary!$D$31&lt;&gt;"Included Margin"),0,1),0))</f>
        <v>0.01</v>
      </c>
      <c r="AA881" s="147">
        <f>IF($E881="","",VLOOKUP($D881,'Mortality Margins &amp; Grading'!$AB$5:$AF$125,5,0)*IF(Summary!$D$25="Included Margin",IF(AND($B881&gt;Input!$C$9,Summary!$D$31&lt;&gt;"Included Margin"),0,1),0))</f>
        <v>5.2999999999999999E-2</v>
      </c>
      <c r="AB881" s="147">
        <f>IF($E881="","",IF(AND($B881&gt;Input!$C$9,Summary!$D$31&lt;&gt;"Included Margin"),1,IF(Summary!$D$25="Included Margin",VLOOKUP($B881,'Mortality Margins &amp; Grading'!$AI$5:$AR$125,MATCH('Mortality Margins &amp; Grading'!$AQ$4,'Mortality Margins &amp; Grading'!$AI$4:$AR$4,0),0),1)))</f>
        <v>0</v>
      </c>
      <c r="AC881" s="154"/>
      <c r="AD881" s="158">
        <f>IF(E881="","",Input!$C$48*IF(Summary!$D$30="Included Margin",IF(AND($B881&gt;Input!$C$9,Summary!$D$31&lt;&gt;"Included Margin"),0,1),0))</f>
        <v>-4.4999999999999997E-3</v>
      </c>
      <c r="AE881" s="159">
        <f>IF(E881="","",IF(Summary!$D$26="Included Margin",IF(AND($B881&gt;Input!$C$9,Summary!$D$31&lt;&gt;"Included Margin"),1,1/$R881),1))</f>
        <v>1.4418334791726914</v>
      </c>
      <c r="AF881" s="160">
        <f>IF(E881="","",IF(AND($B881&gt;=Input!$C$9,$C881=12,Summary!$D$31="Included Margin",$U881&gt;0),1/U881-1,IF($B881&gt;=Input!$C$9,0,Input!$C$45*IF(Summary!$D$27="Included Margin",1,0))))</f>
        <v>0</v>
      </c>
      <c r="AG881" s="160">
        <f>IF(E881="","",Input!$C$46*IF(Summary!$D$28="Included Margin",IF(AND($B881&gt;Input!$C$9,Summary!$D$31&lt;&gt;"Included Margin"),0,1),0))</f>
        <v>0.02</v>
      </c>
      <c r="AH881" s="158">
        <f>IF(E881="","",Input!$C$47*IF(Summary!$D$29="Included Margin",IF(AND($B881&gt;Input!$C$9,Summary!$D$31&lt;&gt;"Included Margin"),0,1),0))</f>
        <v>2.5000000000000001E-3</v>
      </c>
      <c r="AI881" s="154"/>
      <c r="AJ881" s="158">
        <f t="shared" si="563"/>
        <v>4.3640000000000005E-2</v>
      </c>
      <c r="AK881" s="155">
        <f t="shared" si="564"/>
        <v>3.565892922956726E-3</v>
      </c>
      <c r="AL881" s="147">
        <f t="shared" si="565"/>
        <v>1</v>
      </c>
      <c r="AM881" s="147">
        <f t="shared" si="543"/>
        <v>1</v>
      </c>
      <c r="AN881" s="160">
        <f t="shared" si="566"/>
        <v>0</v>
      </c>
      <c r="AO881" s="161">
        <f t="shared" si="567"/>
        <v>51</v>
      </c>
      <c r="AP881" s="156">
        <f t="shared" si="544"/>
        <v>5.0748372337286858</v>
      </c>
      <c r="AQ881" s="152"/>
      <c r="AR881" s="162">
        <f t="shared" si="545"/>
        <v>80.839376808994814</v>
      </c>
      <c r="AS881" s="150">
        <f t="shared" si="568"/>
        <v>100000</v>
      </c>
      <c r="AT881" s="163">
        <f t="shared" si="546"/>
        <v>258.81669892016299</v>
      </c>
      <c r="AU881" s="163">
        <f t="shared" si="547"/>
        <v>100000</v>
      </c>
      <c r="AV881" s="163">
        <f t="shared" si="569"/>
        <v>177.65999807447329</v>
      </c>
      <c r="AW881" s="163">
        <f t="shared" si="548"/>
        <v>99822.34000192552</v>
      </c>
      <c r="AX881" s="163">
        <f t="shared" si="549"/>
        <v>0</v>
      </c>
      <c r="AY881" s="164">
        <f t="shared" si="570"/>
        <v>99822.022677888832</v>
      </c>
      <c r="AZ881" s="164">
        <f>IF($E881="","",IF(OR(AND($D881=Input!$C$6,$C881=12),$AN881=1),0,-AS882+AT882+AU882-AV882-AW882-AX882+AZ882))</f>
        <v>99822.34000192552</v>
      </c>
      <c r="BA881" s="154">
        <f t="shared" si="550"/>
        <v>0.31732403668866027</v>
      </c>
      <c r="BC881" s="147">
        <f t="shared" si="571"/>
        <v>5.9508028967928091E-19</v>
      </c>
      <c r="BD881" s="164">
        <f>IF(AND($C880=12,$D880=Input!$C$6),0,IF($E881="","",AT881+(AU881+BD882)/(1+$AK881)*MIN((1-AM881-AN881),1)))</f>
        <v>258.81669892016299</v>
      </c>
      <c r="BE881" s="164">
        <f t="shared" si="579"/>
        <v>1.5401671616724581E-16</v>
      </c>
      <c r="BF881" s="164">
        <f t="shared" si="572"/>
        <v>99822.34000192552</v>
      </c>
      <c r="BG881" s="164">
        <f t="shared" si="552"/>
        <v>5.9402307004809514E-14</v>
      </c>
      <c r="BH881" s="152"/>
      <c r="BI881" s="162">
        <f t="shared" si="553"/>
        <v>-42378.104716315793</v>
      </c>
      <c r="BJ881" s="150">
        <f t="shared" si="554"/>
        <v>100000</v>
      </c>
      <c r="BK881" s="163">
        <f t="shared" si="576"/>
        <v>212.2181591276273</v>
      </c>
      <c r="BL881" s="163">
        <f t="shared" si="555"/>
        <v>9386.0018959034624</v>
      </c>
      <c r="BM881" s="163">
        <f t="shared" si="577"/>
        <v>206.9542227414058</v>
      </c>
      <c r="BN881" s="163">
        <f t="shared" si="556"/>
        <v>4995.8409043954698</v>
      </c>
      <c r="BO881" s="163">
        <f t="shared" si="557"/>
        <v>0</v>
      </c>
      <c r="BP881" s="164">
        <f t="shared" si="578"/>
        <v>53226.470355789992</v>
      </c>
      <c r="BQ881" s="164">
        <f>IF($E881="","",IF(AND($D881=Input!$C$6,$C881=12),0,-BJ882+BK882+BL882-BM882-BN882-BO882+BQ882))</f>
        <v>53226.506448671331</v>
      </c>
      <c r="BR881" s="161">
        <f t="shared" si="558"/>
        <v>0</v>
      </c>
      <c r="BT881" s="147">
        <f t="shared" si="559"/>
        <v>5.9508028967928091E-19</v>
      </c>
      <c r="BU881" s="164">
        <f>IF(AND($C880=12,$D880=Input!$C$6),0,IF($E881="","",BK881+(BL881+BU882)/(1+$AK881)*MIN((1-T881-U881),1)))</f>
        <v>81889.185645108431</v>
      </c>
      <c r="BV881" s="164">
        <f t="shared" si="560"/>
        <v>4.8730640315291538E-14</v>
      </c>
      <c r="BW881" s="164">
        <f t="shared" si="561"/>
        <v>53226.506448671331</v>
      </c>
      <c r="BX881" s="164">
        <f t="shared" si="562"/>
        <v>3.167404487609145E-14</v>
      </c>
    </row>
    <row r="882" spans="1:76" s="150" customFormat="1" x14ac:dyDescent="0.25">
      <c r="A882" s="150">
        <f t="shared" si="573"/>
        <v>878</v>
      </c>
      <c r="B882" s="150">
        <f t="shared" si="574"/>
        <v>74</v>
      </c>
      <c r="C882" s="150">
        <f t="shared" si="575"/>
        <v>2</v>
      </c>
      <c r="D882" s="150">
        <f>IF(E882="","",Input!$C$4+B882-1)</f>
        <v>118</v>
      </c>
      <c r="E882" s="150">
        <f>IF(OR(AND(C881=12,D881=Input!$C$6),E881=""),"",1)</f>
        <v>1</v>
      </c>
      <c r="F882" s="150">
        <f>IF(E882="","",Input!$C$8+B882-1)</f>
        <v>2091</v>
      </c>
      <c r="G882" s="151">
        <f>IF(E882="","",MAX(0,Input!$C$9-B882))</f>
        <v>0</v>
      </c>
      <c r="H882" s="152">
        <f>IF(E882="","",Input!$C$3)</f>
        <v>100000</v>
      </c>
      <c r="I882" s="153">
        <f>IF(E882="","",HLOOKUP($B882,Input!$C$13:$BT$14,2))</f>
        <v>1000</v>
      </c>
      <c r="J882" s="154"/>
      <c r="K882" s="155">
        <f>IF($E882="","",INDEX(Input!$C$16:$CP$16,1,$B882))</f>
        <v>3.3140000000000003E-2</v>
      </c>
      <c r="L882" s="155">
        <f>IF($E882="","",Input!$C$37)</f>
        <v>1.4999999999999999E-2</v>
      </c>
      <c r="M882" s="155">
        <f t="shared" si="538"/>
        <v>4.8140000000000002E-2</v>
      </c>
      <c r="N882" s="155">
        <f t="shared" si="539"/>
        <v>3.9257828404828388E-3</v>
      </c>
      <c r="O882" s="147">
        <f>IF($E882="","",MIN(VLOOKUP(IF($B882&lt;=Input!$C$7,$B882,26),'Mortality Tables'!$A$41:$CW$67,IF($B882&lt;=Input!$C$7+1,Input!$C$4+2,$D882-Input!$C$7+2),0)*IF(B882&gt;20,Input!$C$22,1)/1000,1))</f>
        <v>1</v>
      </c>
      <c r="P882" s="147">
        <f>IF($E882="","",MIN(VLOOKUP(IF($B882&lt;=Input!$C$7,$B882,26),'Mortality Tables'!$A$12:$CW$37,IF($B882&lt;=Input!$C$7+1,Input!$C$4+2,$D882-Input!$C$7+2),0)*IF(B882&gt;20,Input!$C$22,1)/1000,1))</f>
        <v>1</v>
      </c>
      <c r="Q882" s="155">
        <f>IF($E882="","",Input!$C$21)</f>
        <v>5.0000000000000001E-3</v>
      </c>
      <c r="R882" s="159">
        <f>IF($E882="","",(1-Q882)^($F882-Input!$C$20))</f>
        <v>0.69356136783131794</v>
      </c>
      <c r="S882" s="147">
        <f t="shared" si="541"/>
        <v>0.69356136783131794</v>
      </c>
      <c r="T882" s="147">
        <f t="shared" si="542"/>
        <v>9.3860018959034619E-2</v>
      </c>
      <c r="U882" s="160">
        <f>IF($E882="","",IF($C882=12,INDEX(Input!$C$15:$CP$15,1,$B882),0))</f>
        <v>0</v>
      </c>
      <c r="V882" s="150">
        <f>IF(E882="","",IF(C882=1,IF($B882=1,Input!$C$33,Input!$C$34),0))</f>
        <v>0</v>
      </c>
      <c r="W882" s="156">
        <f>IF($E882="","",Input!$C$35)</f>
        <v>0.02</v>
      </c>
      <c r="X882" s="156">
        <f t="shared" si="540"/>
        <v>4.2443631825525463</v>
      </c>
      <c r="Y882" s="154"/>
      <c r="Z882" s="147">
        <f>IF($E882="","",VLOOKUP($D882,'Mortality Margins &amp; Grading'!$AB$5:$AF$125,3,0)*IF(Summary!$D$25="Included Margin",IF(AND($B882&gt;Input!$C$9,Summary!$D$31&lt;&gt;"Included Margin"),0,1),0))</f>
        <v>0.01</v>
      </c>
      <c r="AA882" s="147">
        <f>IF($E882="","",VLOOKUP($D882,'Mortality Margins &amp; Grading'!$AB$5:$AF$125,5,0)*IF(Summary!$D$25="Included Margin",IF(AND($B882&gt;Input!$C$9,Summary!$D$31&lt;&gt;"Included Margin"),0,1),0))</f>
        <v>5.2999999999999999E-2</v>
      </c>
      <c r="AB882" s="147">
        <f>IF($E882="","",IF(AND($B882&gt;Input!$C$9,Summary!$D$31&lt;&gt;"Included Margin"),1,IF(Summary!$D$25="Included Margin",VLOOKUP($B882,'Mortality Margins &amp; Grading'!$AI$5:$AR$125,MATCH('Mortality Margins &amp; Grading'!$AQ$4,'Mortality Margins &amp; Grading'!$AI$4:$AR$4,0),0),1)))</f>
        <v>0</v>
      </c>
      <c r="AC882" s="154"/>
      <c r="AD882" s="158">
        <f>IF(E882="","",Input!$C$48*IF(Summary!$D$30="Included Margin",IF(AND($B882&gt;Input!$C$9,Summary!$D$31&lt;&gt;"Included Margin"),0,1),0))</f>
        <v>-4.4999999999999997E-3</v>
      </c>
      <c r="AE882" s="159">
        <f>IF(E882="","",IF(Summary!$D$26="Included Margin",IF(AND($B882&gt;Input!$C$9,Summary!$D$31&lt;&gt;"Included Margin"),1,1/$R882),1))</f>
        <v>1.4418334791726914</v>
      </c>
      <c r="AF882" s="160">
        <f>IF(E882="","",IF(AND($B882&gt;=Input!$C$9,$C882=12,Summary!$D$31="Included Margin",$U882&gt;0),1/U882-1,IF($B882&gt;=Input!$C$9,0,Input!$C$45*IF(Summary!$D$27="Included Margin",1,0))))</f>
        <v>0</v>
      </c>
      <c r="AG882" s="160">
        <f>IF(E882="","",Input!$C$46*IF(Summary!$D$28="Included Margin",IF(AND($B882&gt;Input!$C$9,Summary!$D$31&lt;&gt;"Included Margin"),0,1),0))</f>
        <v>0.02</v>
      </c>
      <c r="AH882" s="158">
        <f>IF(E882="","",Input!$C$47*IF(Summary!$D$29="Included Margin",IF(AND($B882&gt;Input!$C$9,Summary!$D$31&lt;&gt;"Included Margin"),0,1),0))</f>
        <v>2.5000000000000001E-3</v>
      </c>
      <c r="AI882" s="154"/>
      <c r="AJ882" s="158">
        <f t="shared" si="563"/>
        <v>4.3640000000000005E-2</v>
      </c>
      <c r="AK882" s="155">
        <f t="shared" si="564"/>
        <v>3.565892922956726E-3</v>
      </c>
      <c r="AL882" s="147">
        <f t="shared" si="565"/>
        <v>1</v>
      </c>
      <c r="AM882" s="147">
        <f t="shared" si="543"/>
        <v>1</v>
      </c>
      <c r="AN882" s="160">
        <f t="shared" si="566"/>
        <v>0</v>
      </c>
      <c r="AO882" s="161">
        <f t="shared" si="567"/>
        <v>0</v>
      </c>
      <c r="AP882" s="156">
        <f t="shared" si="544"/>
        <v>5.0748372337286858</v>
      </c>
      <c r="AQ882" s="152"/>
      <c r="AR882" s="162">
        <f t="shared" si="545"/>
        <v>99822.022677888832</v>
      </c>
      <c r="AS882" s="150">
        <f t="shared" si="568"/>
        <v>0</v>
      </c>
      <c r="AT882" s="163">
        <f t="shared" si="546"/>
        <v>0</v>
      </c>
      <c r="AU882" s="163">
        <f t="shared" si="547"/>
        <v>100000</v>
      </c>
      <c r="AV882" s="163">
        <f t="shared" si="569"/>
        <v>177.65999807447329</v>
      </c>
      <c r="AW882" s="163">
        <f t="shared" si="548"/>
        <v>99822.34000192552</v>
      </c>
      <c r="AX882" s="163">
        <f t="shared" si="549"/>
        <v>0</v>
      </c>
      <c r="AY882" s="165">
        <f t="shared" si="570"/>
        <v>99822.022677888832</v>
      </c>
      <c r="AZ882" s="164">
        <f>IF($E882="","",IF(OR(AND($D882=Input!$C$6,$C882=12),$AN882=1),0,-AS883+AT883+AU883-AV883-AW883-AX883+AZ883))</f>
        <v>99822.34000192552</v>
      </c>
      <c r="BA882" s="154">
        <f t="shared" si="550"/>
        <v>0.31732403668866027</v>
      </c>
      <c r="BC882" s="147">
        <f t="shared" si="571"/>
        <v>5.3922604240783579E-19</v>
      </c>
      <c r="BD882" s="164">
        <f>IF(AND($C881=12,$D881=Input!$C$6),0,IF($E882="","",AT882+(AU882+BD883)/(1+$AK882)*MIN((1-AM882-AN882),1)))</f>
        <v>0</v>
      </c>
      <c r="BE882" s="164">
        <f t="shared" si="579"/>
        <v>0</v>
      </c>
      <c r="BF882" s="164">
        <f t="shared" si="572"/>
        <v>99822.34000192552</v>
      </c>
      <c r="BG882" s="164">
        <f t="shared" si="552"/>
        <v>5.3826805343127695E-14</v>
      </c>
      <c r="BH882" s="152"/>
      <c r="BI882" s="162">
        <f t="shared" si="553"/>
        <v>53226.470355789992</v>
      </c>
      <c r="BJ882" s="150">
        <f t="shared" si="554"/>
        <v>0</v>
      </c>
      <c r="BK882" s="163">
        <f t="shared" si="576"/>
        <v>0</v>
      </c>
      <c r="BL882" s="163">
        <f t="shared" si="555"/>
        <v>9386.0018959034624</v>
      </c>
      <c r="BM882" s="163">
        <f t="shared" si="577"/>
        <v>190.53186139039025</v>
      </c>
      <c r="BN882" s="163">
        <f t="shared" si="556"/>
        <v>4560.8338657247723</v>
      </c>
      <c r="BO882" s="163">
        <f t="shared" si="557"/>
        <v>0</v>
      </c>
      <c r="BP882" s="164">
        <f t="shared" si="578"/>
        <v>48591.834187001688</v>
      </c>
      <c r="BQ882" s="164">
        <f>IF($E882="","",IF(AND($D882=Input!$C$6,$C882=12),0,-BJ883+BK883+BL883-BM883-BN883-BO883+BQ883))</f>
        <v>48591.870279883035</v>
      </c>
      <c r="BR882" s="161">
        <f t="shared" si="558"/>
        <v>0</v>
      </c>
      <c r="BT882" s="147">
        <f t="shared" si="559"/>
        <v>5.3922604240783579E-19</v>
      </c>
      <c r="BU882" s="164">
        <f>IF(AND($C881=12,$D881=Input!$C$6),0,IF($E882="","",BK882+(BL882+BU883)/(1+$AK882)*MIN((1-T882-U882),1)))</f>
        <v>81072.669524977086</v>
      </c>
      <c r="BV882" s="164">
        <f t="shared" si="560"/>
        <v>4.3716494735391751E-14</v>
      </c>
      <c r="BW882" s="164">
        <f t="shared" si="561"/>
        <v>48591.870279883035</v>
      </c>
      <c r="BX882" s="164">
        <f t="shared" si="562"/>
        <v>2.6202001904216263E-14</v>
      </c>
    </row>
    <row r="883" spans="1:76" s="150" customFormat="1" x14ac:dyDescent="0.25">
      <c r="A883" s="150">
        <f t="shared" si="573"/>
        <v>879</v>
      </c>
      <c r="B883" s="150">
        <f t="shared" si="574"/>
        <v>74</v>
      </c>
      <c r="C883" s="150">
        <f t="shared" si="575"/>
        <v>3</v>
      </c>
      <c r="D883" s="150">
        <f>IF(E883="","",Input!$C$4+B883-1)</f>
        <v>118</v>
      </c>
      <c r="E883" s="150">
        <f>IF(OR(AND(C882=12,D882=Input!$C$6),E882=""),"",1)</f>
        <v>1</v>
      </c>
      <c r="F883" s="150">
        <f>IF(E883="","",Input!$C$8+B883-1)</f>
        <v>2091</v>
      </c>
      <c r="G883" s="151">
        <f>IF(E883="","",MAX(0,Input!$C$9-B883))</f>
        <v>0</v>
      </c>
      <c r="H883" s="152">
        <f>IF(E883="","",Input!$C$3)</f>
        <v>100000</v>
      </c>
      <c r="I883" s="153">
        <f>IF(E883="","",HLOOKUP($B883,Input!$C$13:$BT$14,2))</f>
        <v>1000</v>
      </c>
      <c r="J883" s="154"/>
      <c r="K883" s="155">
        <f>IF($E883="","",INDEX(Input!$C$16:$CP$16,1,$B883))</f>
        <v>3.3140000000000003E-2</v>
      </c>
      <c r="L883" s="155">
        <f>IF($E883="","",Input!$C$37)</f>
        <v>1.4999999999999999E-2</v>
      </c>
      <c r="M883" s="155">
        <f t="shared" si="538"/>
        <v>4.8140000000000002E-2</v>
      </c>
      <c r="N883" s="155">
        <f t="shared" si="539"/>
        <v>3.9257828404828388E-3</v>
      </c>
      <c r="O883" s="147">
        <f>IF($E883="","",MIN(VLOOKUP(IF($B883&lt;=Input!$C$7,$B883,26),'Mortality Tables'!$A$41:$CW$67,IF($B883&lt;=Input!$C$7+1,Input!$C$4+2,$D883-Input!$C$7+2),0)*IF(B883&gt;20,Input!$C$22,1)/1000,1))</f>
        <v>1</v>
      </c>
      <c r="P883" s="147">
        <f>IF($E883="","",MIN(VLOOKUP(IF($B883&lt;=Input!$C$7,$B883,26),'Mortality Tables'!$A$12:$CW$37,IF($B883&lt;=Input!$C$7+1,Input!$C$4+2,$D883-Input!$C$7+2),0)*IF(B883&gt;20,Input!$C$22,1)/1000,1))</f>
        <v>1</v>
      </c>
      <c r="Q883" s="155">
        <f>IF($E883="","",Input!$C$21)</f>
        <v>5.0000000000000001E-3</v>
      </c>
      <c r="R883" s="159">
        <f>IF($E883="","",(1-Q883)^($F883-Input!$C$20))</f>
        <v>0.69356136783131794</v>
      </c>
      <c r="S883" s="147">
        <f t="shared" si="541"/>
        <v>0.69356136783131794</v>
      </c>
      <c r="T883" s="147">
        <f t="shared" si="542"/>
        <v>9.3860018959034619E-2</v>
      </c>
      <c r="U883" s="160">
        <f>IF($E883="","",IF($C883=12,INDEX(Input!$C$15:$CP$15,1,$B883),0))</f>
        <v>0</v>
      </c>
      <c r="V883" s="150">
        <f>IF(E883="","",IF(C883=1,IF($B883=1,Input!$C$33,Input!$C$34),0))</f>
        <v>0</v>
      </c>
      <c r="W883" s="156">
        <f>IF($E883="","",Input!$C$35)</f>
        <v>0.02</v>
      </c>
      <c r="X883" s="156">
        <f t="shared" si="540"/>
        <v>4.2443631825525463</v>
      </c>
      <c r="Y883" s="154"/>
      <c r="Z883" s="147">
        <f>IF($E883="","",VLOOKUP($D883,'Mortality Margins &amp; Grading'!$AB$5:$AF$125,3,0)*IF(Summary!$D$25="Included Margin",IF(AND($B883&gt;Input!$C$9,Summary!$D$31&lt;&gt;"Included Margin"),0,1),0))</f>
        <v>0.01</v>
      </c>
      <c r="AA883" s="147">
        <f>IF($E883="","",VLOOKUP($D883,'Mortality Margins &amp; Grading'!$AB$5:$AF$125,5,0)*IF(Summary!$D$25="Included Margin",IF(AND($B883&gt;Input!$C$9,Summary!$D$31&lt;&gt;"Included Margin"),0,1),0))</f>
        <v>5.2999999999999999E-2</v>
      </c>
      <c r="AB883" s="147">
        <f>IF($E883="","",IF(AND($B883&gt;Input!$C$9,Summary!$D$31&lt;&gt;"Included Margin"),1,IF(Summary!$D$25="Included Margin",VLOOKUP($B883,'Mortality Margins &amp; Grading'!$AI$5:$AR$125,MATCH('Mortality Margins &amp; Grading'!$AQ$4,'Mortality Margins &amp; Grading'!$AI$4:$AR$4,0),0),1)))</f>
        <v>0</v>
      </c>
      <c r="AC883" s="154"/>
      <c r="AD883" s="158">
        <f>IF(E883="","",Input!$C$48*IF(Summary!$D$30="Included Margin",IF(AND($B883&gt;Input!$C$9,Summary!$D$31&lt;&gt;"Included Margin"),0,1),0))</f>
        <v>-4.4999999999999997E-3</v>
      </c>
      <c r="AE883" s="159">
        <f>IF(E883="","",IF(Summary!$D$26="Included Margin",IF(AND($B883&gt;Input!$C$9,Summary!$D$31&lt;&gt;"Included Margin"),1,1/$R883),1))</f>
        <v>1.4418334791726914</v>
      </c>
      <c r="AF883" s="160">
        <f>IF(E883="","",IF(AND($B883&gt;=Input!$C$9,$C883=12,Summary!$D$31="Included Margin",$U883&gt;0),1/U883-1,IF($B883&gt;=Input!$C$9,0,Input!$C$45*IF(Summary!$D$27="Included Margin",1,0))))</f>
        <v>0</v>
      </c>
      <c r="AG883" s="160">
        <f>IF(E883="","",Input!$C$46*IF(Summary!$D$28="Included Margin",IF(AND($B883&gt;Input!$C$9,Summary!$D$31&lt;&gt;"Included Margin"),0,1),0))</f>
        <v>0.02</v>
      </c>
      <c r="AH883" s="158">
        <f>IF(E883="","",Input!$C$47*IF(Summary!$D$29="Included Margin",IF(AND($B883&gt;Input!$C$9,Summary!$D$31&lt;&gt;"Included Margin"),0,1),0))</f>
        <v>2.5000000000000001E-3</v>
      </c>
      <c r="AI883" s="154"/>
      <c r="AJ883" s="158">
        <f t="shared" si="563"/>
        <v>4.3640000000000005E-2</v>
      </c>
      <c r="AK883" s="155">
        <f t="shared" si="564"/>
        <v>3.565892922956726E-3</v>
      </c>
      <c r="AL883" s="147">
        <f t="shared" si="565"/>
        <v>1</v>
      </c>
      <c r="AM883" s="147">
        <f t="shared" si="543"/>
        <v>1</v>
      </c>
      <c r="AN883" s="160">
        <f t="shared" si="566"/>
        <v>0</v>
      </c>
      <c r="AO883" s="161">
        <f t="shared" si="567"/>
        <v>0</v>
      </c>
      <c r="AP883" s="156">
        <f t="shared" si="544"/>
        <v>5.0748372337286858</v>
      </c>
      <c r="AQ883" s="152"/>
      <c r="AR883" s="162">
        <f t="shared" si="545"/>
        <v>99822.022677888832</v>
      </c>
      <c r="AS883" s="150">
        <f t="shared" si="568"/>
        <v>0</v>
      </c>
      <c r="AT883" s="163">
        <f t="shared" si="546"/>
        <v>0</v>
      </c>
      <c r="AU883" s="163">
        <f t="shared" si="547"/>
        <v>100000</v>
      </c>
      <c r="AV883" s="163">
        <f t="shared" si="569"/>
        <v>177.65999807447329</v>
      </c>
      <c r="AW883" s="163">
        <f t="shared" si="548"/>
        <v>99822.34000192552</v>
      </c>
      <c r="AX883" s="163">
        <f t="shared" si="549"/>
        <v>0</v>
      </c>
      <c r="AY883" s="164">
        <f t="shared" si="570"/>
        <v>99822.022677888832</v>
      </c>
      <c r="AZ883" s="164">
        <f>IF($E883="","",IF(OR(AND($D883=Input!$C$6,$C883=12),$AN883=1),0,-AS884+AT884+AU884-AV884-AW884-AX884+AZ884))</f>
        <v>99822.34000192552</v>
      </c>
      <c r="BA883" s="154">
        <f t="shared" si="550"/>
        <v>0.31732403668866027</v>
      </c>
      <c r="BC883" s="147">
        <f t="shared" si="571"/>
        <v>4.8861427584423113E-19</v>
      </c>
      <c r="BD883" s="164">
        <f>IF(AND($C882=12,$D882=Input!$C$6),0,IF($E883="","",AT883+(AU883+BD884)/(1+$AK883)*MIN((1-AM883-AN883),1)))</f>
        <v>0</v>
      </c>
      <c r="BE883" s="164">
        <f t="shared" si="579"/>
        <v>0</v>
      </c>
      <c r="BF883" s="164">
        <f t="shared" si="572"/>
        <v>99822.34000192552</v>
      </c>
      <c r="BG883" s="164">
        <f t="shared" si="552"/>
        <v>4.8774620373117461E-14</v>
      </c>
      <c r="BH883" s="152"/>
      <c r="BI883" s="162">
        <f t="shared" si="553"/>
        <v>48591.834187001688</v>
      </c>
      <c r="BJ883" s="150">
        <f t="shared" si="554"/>
        <v>0</v>
      </c>
      <c r="BK883" s="163">
        <f t="shared" si="576"/>
        <v>0</v>
      </c>
      <c r="BL883" s="163">
        <f t="shared" si="555"/>
        <v>9386.0018959034624</v>
      </c>
      <c r="BM883" s="163">
        <f t="shared" si="577"/>
        <v>172.33728624707999</v>
      </c>
      <c r="BN883" s="163">
        <f t="shared" si="556"/>
        <v>4078.8831837375301</v>
      </c>
      <c r="BO883" s="163">
        <f t="shared" si="557"/>
        <v>0</v>
      </c>
      <c r="BP883" s="164">
        <f t="shared" si="578"/>
        <v>43457.052761082836</v>
      </c>
      <c r="BQ883" s="164">
        <f>IF($E883="","",IF(AND($D883=Input!$C$6,$C883=12),0,-BJ884+BK884+BL884-BM884-BN884-BO884+BQ884))</f>
        <v>43457.088853964182</v>
      </c>
      <c r="BR883" s="161">
        <f t="shared" si="558"/>
        <v>0</v>
      </c>
      <c r="BT883" s="147">
        <f t="shared" si="559"/>
        <v>4.8861427584423113E-19</v>
      </c>
      <c r="BU883" s="164">
        <f>IF(AND($C882=12,$D882=Input!$C$6),0,IF($E883="","",BK883+(BL883+BU884)/(1+$AK883)*MIN((1-T883-U883),1)))</f>
        <v>80403.39895363609</v>
      </c>
      <c r="BV883" s="164">
        <f t="shared" si="560"/>
        <v>3.9286248555145706E-14</v>
      </c>
      <c r="BW883" s="164">
        <f t="shared" si="561"/>
        <v>43457.088853964182</v>
      </c>
      <c r="BX883" s="164">
        <f t="shared" si="562"/>
        <v>2.1233754000678118E-14</v>
      </c>
    </row>
    <row r="884" spans="1:76" s="150" customFormat="1" x14ac:dyDescent="0.25">
      <c r="A884" s="150">
        <f t="shared" si="573"/>
        <v>880</v>
      </c>
      <c r="B884" s="150">
        <f t="shared" si="574"/>
        <v>74</v>
      </c>
      <c r="C884" s="150">
        <f t="shared" si="575"/>
        <v>4</v>
      </c>
      <c r="D884" s="150">
        <f>IF(E884="","",Input!$C$4+B884-1)</f>
        <v>118</v>
      </c>
      <c r="E884" s="150">
        <f>IF(OR(AND(C883=12,D883=Input!$C$6),E883=""),"",1)</f>
        <v>1</v>
      </c>
      <c r="F884" s="150">
        <f>IF(E884="","",Input!$C$8+B884-1)</f>
        <v>2091</v>
      </c>
      <c r="G884" s="151">
        <f>IF(E884="","",MAX(0,Input!$C$9-B884))</f>
        <v>0</v>
      </c>
      <c r="H884" s="152">
        <f>IF(E884="","",Input!$C$3)</f>
        <v>100000</v>
      </c>
      <c r="I884" s="153">
        <f>IF(E884="","",HLOOKUP($B884,Input!$C$13:$BT$14,2))</f>
        <v>1000</v>
      </c>
      <c r="J884" s="154"/>
      <c r="K884" s="155">
        <f>IF($E884="","",INDEX(Input!$C$16:$CP$16,1,$B884))</f>
        <v>3.3140000000000003E-2</v>
      </c>
      <c r="L884" s="155">
        <f>IF($E884="","",Input!$C$37)</f>
        <v>1.4999999999999999E-2</v>
      </c>
      <c r="M884" s="155">
        <f t="shared" si="538"/>
        <v>4.8140000000000002E-2</v>
      </c>
      <c r="N884" s="155">
        <f t="shared" si="539"/>
        <v>3.9257828404828388E-3</v>
      </c>
      <c r="O884" s="147">
        <f>IF($E884="","",MIN(VLOOKUP(IF($B884&lt;=Input!$C$7,$B884,26),'Mortality Tables'!$A$41:$CW$67,IF($B884&lt;=Input!$C$7+1,Input!$C$4+2,$D884-Input!$C$7+2),0)*IF(B884&gt;20,Input!$C$22,1)/1000,1))</f>
        <v>1</v>
      </c>
      <c r="P884" s="147">
        <f>IF($E884="","",MIN(VLOOKUP(IF($B884&lt;=Input!$C$7,$B884,26),'Mortality Tables'!$A$12:$CW$37,IF($B884&lt;=Input!$C$7+1,Input!$C$4+2,$D884-Input!$C$7+2),0)*IF(B884&gt;20,Input!$C$22,1)/1000,1))</f>
        <v>1</v>
      </c>
      <c r="Q884" s="155">
        <f>IF($E884="","",Input!$C$21)</f>
        <v>5.0000000000000001E-3</v>
      </c>
      <c r="R884" s="159">
        <f>IF($E884="","",(1-Q884)^($F884-Input!$C$20))</f>
        <v>0.69356136783131794</v>
      </c>
      <c r="S884" s="147">
        <f t="shared" si="541"/>
        <v>0.69356136783131794</v>
      </c>
      <c r="T884" s="147">
        <f t="shared" si="542"/>
        <v>9.3860018959034619E-2</v>
      </c>
      <c r="U884" s="160">
        <f>IF($E884="","",IF($C884=12,INDEX(Input!$C$15:$CP$15,1,$B884),0))</f>
        <v>0</v>
      </c>
      <c r="V884" s="150">
        <f>IF(E884="","",IF(C884=1,IF($B884=1,Input!$C$33,Input!$C$34),0))</f>
        <v>0</v>
      </c>
      <c r="W884" s="156">
        <f>IF($E884="","",Input!$C$35)</f>
        <v>0.02</v>
      </c>
      <c r="X884" s="156">
        <f t="shared" si="540"/>
        <v>4.2443631825525463</v>
      </c>
      <c r="Y884" s="154"/>
      <c r="Z884" s="147">
        <f>IF($E884="","",VLOOKUP($D884,'Mortality Margins &amp; Grading'!$AB$5:$AF$125,3,0)*IF(Summary!$D$25="Included Margin",IF(AND($B884&gt;Input!$C$9,Summary!$D$31&lt;&gt;"Included Margin"),0,1),0))</f>
        <v>0.01</v>
      </c>
      <c r="AA884" s="147">
        <f>IF($E884="","",VLOOKUP($D884,'Mortality Margins &amp; Grading'!$AB$5:$AF$125,5,0)*IF(Summary!$D$25="Included Margin",IF(AND($B884&gt;Input!$C$9,Summary!$D$31&lt;&gt;"Included Margin"),0,1),0))</f>
        <v>5.2999999999999999E-2</v>
      </c>
      <c r="AB884" s="147">
        <f>IF($E884="","",IF(AND($B884&gt;Input!$C$9,Summary!$D$31&lt;&gt;"Included Margin"),1,IF(Summary!$D$25="Included Margin",VLOOKUP($B884,'Mortality Margins &amp; Grading'!$AI$5:$AR$125,MATCH('Mortality Margins &amp; Grading'!$AQ$4,'Mortality Margins &amp; Grading'!$AI$4:$AR$4,0),0),1)))</f>
        <v>0</v>
      </c>
      <c r="AC884" s="154"/>
      <c r="AD884" s="158">
        <f>IF(E884="","",Input!$C$48*IF(Summary!$D$30="Included Margin",IF(AND($B884&gt;Input!$C$9,Summary!$D$31&lt;&gt;"Included Margin"),0,1),0))</f>
        <v>-4.4999999999999997E-3</v>
      </c>
      <c r="AE884" s="159">
        <f>IF(E884="","",IF(Summary!$D$26="Included Margin",IF(AND($B884&gt;Input!$C$9,Summary!$D$31&lt;&gt;"Included Margin"),1,1/$R884),1))</f>
        <v>1.4418334791726914</v>
      </c>
      <c r="AF884" s="160">
        <f>IF(E884="","",IF(AND($B884&gt;=Input!$C$9,$C884=12,Summary!$D$31="Included Margin",$U884&gt;0),1/U884-1,IF($B884&gt;=Input!$C$9,0,Input!$C$45*IF(Summary!$D$27="Included Margin",1,0))))</f>
        <v>0</v>
      </c>
      <c r="AG884" s="160">
        <f>IF(E884="","",Input!$C$46*IF(Summary!$D$28="Included Margin",IF(AND($B884&gt;Input!$C$9,Summary!$D$31&lt;&gt;"Included Margin"),0,1),0))</f>
        <v>0.02</v>
      </c>
      <c r="AH884" s="158">
        <f>IF(E884="","",Input!$C$47*IF(Summary!$D$29="Included Margin",IF(AND($B884&gt;Input!$C$9,Summary!$D$31&lt;&gt;"Included Margin"),0,1),0))</f>
        <v>2.5000000000000001E-3</v>
      </c>
      <c r="AI884" s="154"/>
      <c r="AJ884" s="158">
        <f t="shared" si="563"/>
        <v>4.3640000000000005E-2</v>
      </c>
      <c r="AK884" s="155">
        <f t="shared" si="564"/>
        <v>3.565892922956726E-3</v>
      </c>
      <c r="AL884" s="147">
        <f t="shared" si="565"/>
        <v>1</v>
      </c>
      <c r="AM884" s="147">
        <f t="shared" si="543"/>
        <v>1</v>
      </c>
      <c r="AN884" s="160">
        <f t="shared" si="566"/>
        <v>0</v>
      </c>
      <c r="AO884" s="161">
        <f t="shared" si="567"/>
        <v>0</v>
      </c>
      <c r="AP884" s="156">
        <f t="shared" si="544"/>
        <v>5.0748372337286858</v>
      </c>
      <c r="AQ884" s="152"/>
      <c r="AR884" s="162">
        <f t="shared" si="545"/>
        <v>99822.022677888832</v>
      </c>
      <c r="AS884" s="150">
        <f t="shared" si="568"/>
        <v>0</v>
      </c>
      <c r="AT884" s="163">
        <f t="shared" si="546"/>
        <v>0</v>
      </c>
      <c r="AU884" s="163">
        <f t="shared" si="547"/>
        <v>100000</v>
      </c>
      <c r="AV884" s="163">
        <f t="shared" si="569"/>
        <v>177.65999807447329</v>
      </c>
      <c r="AW884" s="163">
        <f t="shared" si="548"/>
        <v>99822.34000192552</v>
      </c>
      <c r="AX884" s="163">
        <f t="shared" si="549"/>
        <v>0</v>
      </c>
      <c r="AY884" s="165">
        <f t="shared" si="570"/>
        <v>99822.022677888832</v>
      </c>
      <c r="AZ884" s="164">
        <f>IF($E884="","",IF(OR(AND($D884=Input!$C$6,$C884=12),$AN884=1),0,-AS885+AT885+AU885-AV885-AW885-AX885+AZ885))</f>
        <v>99822.34000192552</v>
      </c>
      <c r="BA884" s="154">
        <f t="shared" si="550"/>
        <v>0.31732403668866027</v>
      </c>
      <c r="BC884" s="147">
        <f t="shared" si="571"/>
        <v>4.427529306498366E-19</v>
      </c>
      <c r="BD884" s="164">
        <f>IF(AND($C883=12,$D883=Input!$C$6),0,IF($E884="","",AT884+(AU884+BD885)/(1+$AK884)*MIN((1-AM884-AN884),1)))</f>
        <v>0</v>
      </c>
      <c r="BE884" s="164">
        <f t="shared" si="579"/>
        <v>0</v>
      </c>
      <c r="BF884" s="164">
        <f t="shared" si="572"/>
        <v>99822.34000192552</v>
      </c>
      <c r="BG884" s="164">
        <f t="shared" si="552"/>
        <v>4.4196633580176939E-14</v>
      </c>
      <c r="BH884" s="152"/>
      <c r="BI884" s="162">
        <f t="shared" si="553"/>
        <v>43457.052761082836</v>
      </c>
      <c r="BJ884" s="150">
        <f t="shared" si="554"/>
        <v>0</v>
      </c>
      <c r="BK884" s="163">
        <f t="shared" si="576"/>
        <v>0</v>
      </c>
      <c r="BL884" s="163">
        <f t="shared" si="555"/>
        <v>9386.0018959034624</v>
      </c>
      <c r="BM884" s="163">
        <f t="shared" si="577"/>
        <v>152.17924943557776</v>
      </c>
      <c r="BN884" s="163">
        <f t="shared" si="556"/>
        <v>3544.9229504094378</v>
      </c>
      <c r="BO884" s="163">
        <f t="shared" si="557"/>
        <v>0</v>
      </c>
      <c r="BP884" s="164">
        <f t="shared" si="578"/>
        <v>37768.153065024388</v>
      </c>
      <c r="BQ884" s="164">
        <f>IF($E884="","",IF(AND($D884=Input!$C$6,$C884=12),0,-BJ885+BK885+BL885-BM885-BN885-BO885+BQ885))</f>
        <v>37768.189157905734</v>
      </c>
      <c r="BR884" s="161">
        <f t="shared" si="558"/>
        <v>0</v>
      </c>
      <c r="BT884" s="147">
        <f t="shared" si="559"/>
        <v>4.427529306498366E-19</v>
      </c>
      <c r="BU884" s="164">
        <f>IF(AND($C883=12,$D883=Input!$C$6),0,IF($E884="","",BK884+(BL884+BU885)/(1+$AK884)*MIN((1-T884-U884),1)))</f>
        <v>79662.17007886192</v>
      </c>
      <c r="BV884" s="164">
        <f t="shared" si="560"/>
        <v>3.5270659264341842E-14</v>
      </c>
      <c r="BW884" s="164">
        <f t="shared" si="561"/>
        <v>37768.189157905734</v>
      </c>
      <c r="BX884" s="164">
        <f t="shared" si="562"/>
        <v>1.6721976435000147E-14</v>
      </c>
    </row>
    <row r="885" spans="1:76" s="150" customFormat="1" x14ac:dyDescent="0.25">
      <c r="A885" s="150">
        <f t="shared" si="573"/>
        <v>881</v>
      </c>
      <c r="B885" s="150">
        <f t="shared" si="574"/>
        <v>74</v>
      </c>
      <c r="C885" s="150">
        <f t="shared" si="575"/>
        <v>5</v>
      </c>
      <c r="D885" s="150">
        <f>IF(E885="","",Input!$C$4+B885-1)</f>
        <v>118</v>
      </c>
      <c r="E885" s="150">
        <f>IF(OR(AND(C884=12,D884=Input!$C$6),E884=""),"",1)</f>
        <v>1</v>
      </c>
      <c r="F885" s="150">
        <f>IF(E885="","",Input!$C$8+B885-1)</f>
        <v>2091</v>
      </c>
      <c r="G885" s="151">
        <f>IF(E885="","",MAX(0,Input!$C$9-B885))</f>
        <v>0</v>
      </c>
      <c r="H885" s="152">
        <f>IF(E885="","",Input!$C$3)</f>
        <v>100000</v>
      </c>
      <c r="I885" s="153">
        <f>IF(E885="","",HLOOKUP($B885,Input!$C$13:$BT$14,2))</f>
        <v>1000</v>
      </c>
      <c r="J885" s="154"/>
      <c r="K885" s="155">
        <f>IF($E885="","",INDEX(Input!$C$16:$CP$16,1,$B885))</f>
        <v>3.3140000000000003E-2</v>
      </c>
      <c r="L885" s="155">
        <f>IF($E885="","",Input!$C$37)</f>
        <v>1.4999999999999999E-2</v>
      </c>
      <c r="M885" s="155">
        <f t="shared" ref="M885:M948" si="580">IF($E885="","",K885+L885)</f>
        <v>4.8140000000000002E-2</v>
      </c>
      <c r="N885" s="155">
        <f t="shared" ref="N885:N948" si="581">IF($E885="","",(1+M885)^(1/12)-1)</f>
        <v>3.9257828404828388E-3</v>
      </c>
      <c r="O885" s="147">
        <f>IF($E885="","",MIN(VLOOKUP(IF($B885&lt;=Input!$C$7,$B885,26),'Mortality Tables'!$A$41:$CW$67,IF($B885&lt;=Input!$C$7+1,Input!$C$4+2,$D885-Input!$C$7+2),0)*IF(B885&gt;20,Input!$C$22,1)/1000,1))</f>
        <v>1</v>
      </c>
      <c r="P885" s="147">
        <f>IF($E885="","",MIN(VLOOKUP(IF($B885&lt;=Input!$C$7,$B885,26),'Mortality Tables'!$A$12:$CW$37,IF($B885&lt;=Input!$C$7+1,Input!$C$4+2,$D885-Input!$C$7+2),0)*IF(B885&gt;20,Input!$C$22,1)/1000,1))</f>
        <v>1</v>
      </c>
      <c r="Q885" s="155">
        <f>IF($E885="","",Input!$C$21)</f>
        <v>5.0000000000000001E-3</v>
      </c>
      <c r="R885" s="159">
        <f>IF($E885="","",(1-Q885)^($F885-Input!$C$20))</f>
        <v>0.69356136783131794</v>
      </c>
      <c r="S885" s="147">
        <f t="shared" si="541"/>
        <v>0.69356136783131794</v>
      </c>
      <c r="T885" s="147">
        <f t="shared" si="542"/>
        <v>9.3860018959034619E-2</v>
      </c>
      <c r="U885" s="160">
        <f>IF($E885="","",IF($C885=12,INDEX(Input!$C$15:$CP$15,1,$B885),0))</f>
        <v>0</v>
      </c>
      <c r="V885" s="150">
        <f>IF(E885="","",IF(C885=1,IF($B885=1,Input!$C$33,Input!$C$34),0))</f>
        <v>0</v>
      </c>
      <c r="W885" s="156">
        <f>IF($E885="","",Input!$C$35)</f>
        <v>0.02</v>
      </c>
      <c r="X885" s="156">
        <f t="shared" ref="X885:X948" si="582">IF($E885="","",IF(B885=1,1,IF(C885=1,(1+W885)*X884,X884)))</f>
        <v>4.2443631825525463</v>
      </c>
      <c r="Y885" s="154"/>
      <c r="Z885" s="147">
        <f>IF($E885="","",VLOOKUP($D885,'Mortality Margins &amp; Grading'!$AB$5:$AF$125,3,0)*IF(Summary!$D$25="Included Margin",IF(AND($B885&gt;Input!$C$9,Summary!$D$31&lt;&gt;"Included Margin"),0,1),0))</f>
        <v>0.01</v>
      </c>
      <c r="AA885" s="147">
        <f>IF($E885="","",VLOOKUP($D885,'Mortality Margins &amp; Grading'!$AB$5:$AF$125,5,0)*IF(Summary!$D$25="Included Margin",IF(AND($B885&gt;Input!$C$9,Summary!$D$31&lt;&gt;"Included Margin"),0,1),0))</f>
        <v>5.2999999999999999E-2</v>
      </c>
      <c r="AB885" s="147">
        <f>IF($E885="","",IF(AND($B885&gt;Input!$C$9,Summary!$D$31&lt;&gt;"Included Margin"),1,IF(Summary!$D$25="Included Margin",VLOOKUP($B885,'Mortality Margins &amp; Grading'!$AI$5:$AR$125,MATCH('Mortality Margins &amp; Grading'!$AQ$4,'Mortality Margins &amp; Grading'!$AI$4:$AR$4,0),0),1)))</f>
        <v>0</v>
      </c>
      <c r="AC885" s="154"/>
      <c r="AD885" s="158">
        <f>IF(E885="","",Input!$C$48*IF(Summary!$D$30="Included Margin",IF(AND($B885&gt;Input!$C$9,Summary!$D$31&lt;&gt;"Included Margin"),0,1),0))</f>
        <v>-4.4999999999999997E-3</v>
      </c>
      <c r="AE885" s="159">
        <f>IF(E885="","",IF(Summary!$D$26="Included Margin",IF(AND($B885&gt;Input!$C$9,Summary!$D$31&lt;&gt;"Included Margin"),1,1/$R885),1))</f>
        <v>1.4418334791726914</v>
      </c>
      <c r="AF885" s="160">
        <f>IF(E885="","",IF(AND($B885&gt;=Input!$C$9,$C885=12,Summary!$D$31="Included Margin",$U885&gt;0),1/U885-1,IF($B885&gt;=Input!$C$9,0,Input!$C$45*IF(Summary!$D$27="Included Margin",1,0))))</f>
        <v>0</v>
      </c>
      <c r="AG885" s="160">
        <f>IF(E885="","",Input!$C$46*IF(Summary!$D$28="Included Margin",IF(AND($B885&gt;Input!$C$9,Summary!$D$31&lt;&gt;"Included Margin"),0,1),0))</f>
        <v>0.02</v>
      </c>
      <c r="AH885" s="158">
        <f>IF(E885="","",Input!$C$47*IF(Summary!$D$29="Included Margin",IF(AND($B885&gt;Input!$C$9,Summary!$D$31&lt;&gt;"Included Margin"),0,1),0))</f>
        <v>2.5000000000000001E-3</v>
      </c>
      <c r="AI885" s="154"/>
      <c r="AJ885" s="158">
        <f t="shared" si="563"/>
        <v>4.3640000000000005E-2</v>
      </c>
      <c r="AK885" s="155">
        <f t="shared" si="564"/>
        <v>3.565892922956726E-3</v>
      </c>
      <c r="AL885" s="147">
        <f t="shared" si="565"/>
        <v>1</v>
      </c>
      <c r="AM885" s="147">
        <f t="shared" si="543"/>
        <v>1</v>
      </c>
      <c r="AN885" s="160">
        <f t="shared" si="566"/>
        <v>0</v>
      </c>
      <c r="AO885" s="161">
        <f t="shared" si="567"/>
        <v>0</v>
      </c>
      <c r="AP885" s="156">
        <f t="shared" si="544"/>
        <v>5.0748372337286858</v>
      </c>
      <c r="AQ885" s="152"/>
      <c r="AR885" s="162">
        <f t="shared" si="545"/>
        <v>99822.022677888832</v>
      </c>
      <c r="AS885" s="150">
        <f t="shared" si="568"/>
        <v>0</v>
      </c>
      <c r="AT885" s="163">
        <f t="shared" si="546"/>
        <v>0</v>
      </c>
      <c r="AU885" s="163">
        <f t="shared" si="547"/>
        <v>100000</v>
      </c>
      <c r="AV885" s="163">
        <f t="shared" si="569"/>
        <v>177.65999807447329</v>
      </c>
      <c r="AW885" s="163">
        <f t="shared" si="548"/>
        <v>99822.34000192552</v>
      </c>
      <c r="AX885" s="163">
        <f t="shared" si="549"/>
        <v>0</v>
      </c>
      <c r="AY885" s="164">
        <f t="shared" si="570"/>
        <v>99822.022677888832</v>
      </c>
      <c r="AZ885" s="164">
        <f>IF($E885="","",IF(OR(AND($D885=Input!$C$6,$C885=12),$AN885=1),0,-AS886+AT886+AU886-AV886-AW886-AX886+AZ886))</f>
        <v>99822.34000192552</v>
      </c>
      <c r="BA885" s="154">
        <f t="shared" si="550"/>
        <v>0.31732403668866027</v>
      </c>
      <c r="BC885" s="147">
        <f t="shared" si="571"/>
        <v>4.0119613218487482E-19</v>
      </c>
      <c r="BD885" s="164">
        <f>IF(AND($C884=12,$D884=Input!$C$6),0,IF($E885="","",AT885+(AU885+BD886)/(1+$AK885)*MIN((1-AM885-AN885),1)))</f>
        <v>0</v>
      </c>
      <c r="BE885" s="164">
        <f t="shared" si="579"/>
        <v>0</v>
      </c>
      <c r="BF885" s="164">
        <f t="shared" si="572"/>
        <v>99822.34000192552</v>
      </c>
      <c r="BG885" s="164">
        <f t="shared" si="552"/>
        <v>4.0048336714416026E-14</v>
      </c>
      <c r="BH885" s="152"/>
      <c r="BI885" s="162">
        <f t="shared" si="553"/>
        <v>37768.153065024395</v>
      </c>
      <c r="BJ885" s="150">
        <f t="shared" si="554"/>
        <v>0</v>
      </c>
      <c r="BK885" s="163">
        <f t="shared" si="576"/>
        <v>0</v>
      </c>
      <c r="BL885" s="163">
        <f t="shared" si="555"/>
        <v>9386.0018959034624</v>
      </c>
      <c r="BM885" s="163">
        <f t="shared" si="577"/>
        <v>129.84586462756349</v>
      </c>
      <c r="BN885" s="163">
        <f t="shared" si="556"/>
        <v>2953.3405718968215</v>
      </c>
      <c r="BO885" s="163">
        <f t="shared" si="557"/>
        <v>0</v>
      </c>
      <c r="BP885" s="164">
        <f t="shared" si="578"/>
        <v>31465.337605645316</v>
      </c>
      <c r="BQ885" s="164">
        <f>IF($E885="","",IF(AND($D885=Input!$C$6,$C885=12),0,-BJ886+BK886+BL886-BM886-BN886-BO886+BQ886))</f>
        <v>31465.373698526659</v>
      </c>
      <c r="BR885" s="161">
        <f t="shared" si="558"/>
        <v>0</v>
      </c>
      <c r="BT885" s="147">
        <f t="shared" si="559"/>
        <v>4.0119613218487482E-19</v>
      </c>
      <c r="BU885" s="164">
        <f>IF(AND($C884=12,$D884=Input!$C$6),0,IF($E885="","",BK885+(BL885+BU886)/(1+$AK885)*MIN((1-T885-U885),1)))</f>
        <v>78841.24612325136</v>
      </c>
      <c r="BV885" s="164">
        <f t="shared" si="560"/>
        <v>3.1630803001284203E-14</v>
      </c>
      <c r="BW885" s="164">
        <f t="shared" si="561"/>
        <v>31465.373698526659</v>
      </c>
      <c r="BX885" s="164">
        <f t="shared" si="562"/>
        <v>1.2623786225600585E-14</v>
      </c>
    </row>
    <row r="886" spans="1:76" s="150" customFormat="1" x14ac:dyDescent="0.25">
      <c r="A886" s="150">
        <f t="shared" si="573"/>
        <v>882</v>
      </c>
      <c r="B886" s="150">
        <f t="shared" si="574"/>
        <v>74</v>
      </c>
      <c r="C886" s="150">
        <f t="shared" si="575"/>
        <v>6</v>
      </c>
      <c r="D886" s="150">
        <f>IF(E886="","",Input!$C$4+B886-1)</f>
        <v>118</v>
      </c>
      <c r="E886" s="150">
        <f>IF(OR(AND(C885=12,D885=Input!$C$6),E885=""),"",1)</f>
        <v>1</v>
      </c>
      <c r="F886" s="150">
        <f>IF(E886="","",Input!$C$8+B886-1)</f>
        <v>2091</v>
      </c>
      <c r="G886" s="151">
        <f>IF(E886="","",MAX(0,Input!$C$9-B886))</f>
        <v>0</v>
      </c>
      <c r="H886" s="152">
        <f>IF(E886="","",Input!$C$3)</f>
        <v>100000</v>
      </c>
      <c r="I886" s="153">
        <f>IF(E886="","",HLOOKUP($B886,Input!$C$13:$BT$14,2))</f>
        <v>1000</v>
      </c>
      <c r="J886" s="154"/>
      <c r="K886" s="155">
        <f>IF($E886="","",INDEX(Input!$C$16:$CP$16,1,$B886))</f>
        <v>3.3140000000000003E-2</v>
      </c>
      <c r="L886" s="155">
        <f>IF($E886="","",Input!$C$37)</f>
        <v>1.4999999999999999E-2</v>
      </c>
      <c r="M886" s="155">
        <f t="shared" si="580"/>
        <v>4.8140000000000002E-2</v>
      </c>
      <c r="N886" s="155">
        <f t="shared" si="581"/>
        <v>3.9257828404828388E-3</v>
      </c>
      <c r="O886" s="147">
        <f>IF($E886="","",MIN(VLOOKUP(IF($B886&lt;=Input!$C$7,$B886,26),'Mortality Tables'!$A$41:$CW$67,IF($B886&lt;=Input!$C$7+1,Input!$C$4+2,$D886-Input!$C$7+2),0)*IF(B886&gt;20,Input!$C$22,1)/1000,1))</f>
        <v>1</v>
      </c>
      <c r="P886" s="147">
        <f>IF($E886="","",MIN(VLOOKUP(IF($B886&lt;=Input!$C$7,$B886,26),'Mortality Tables'!$A$12:$CW$37,IF($B886&lt;=Input!$C$7+1,Input!$C$4+2,$D886-Input!$C$7+2),0)*IF(B886&gt;20,Input!$C$22,1)/1000,1))</f>
        <v>1</v>
      </c>
      <c r="Q886" s="155">
        <f>IF($E886="","",Input!$C$21)</f>
        <v>5.0000000000000001E-3</v>
      </c>
      <c r="R886" s="159">
        <f>IF($E886="","",(1-Q886)^($F886-Input!$C$20))</f>
        <v>0.69356136783131794</v>
      </c>
      <c r="S886" s="147">
        <f t="shared" si="541"/>
        <v>0.69356136783131794</v>
      </c>
      <c r="T886" s="147">
        <f t="shared" si="542"/>
        <v>9.3860018959034619E-2</v>
      </c>
      <c r="U886" s="160">
        <f>IF($E886="","",IF($C886=12,INDEX(Input!$C$15:$CP$15,1,$B886),0))</f>
        <v>0</v>
      </c>
      <c r="V886" s="150">
        <f>IF(E886="","",IF(C886=1,IF($B886=1,Input!$C$33,Input!$C$34),0))</f>
        <v>0</v>
      </c>
      <c r="W886" s="156">
        <f>IF($E886="","",Input!$C$35)</f>
        <v>0.02</v>
      </c>
      <c r="X886" s="156">
        <f t="shared" si="582"/>
        <v>4.2443631825525463</v>
      </c>
      <c r="Y886" s="154"/>
      <c r="Z886" s="147">
        <f>IF($E886="","",VLOOKUP($D886,'Mortality Margins &amp; Grading'!$AB$5:$AF$125,3,0)*IF(Summary!$D$25="Included Margin",IF(AND($B886&gt;Input!$C$9,Summary!$D$31&lt;&gt;"Included Margin"),0,1),0))</f>
        <v>0.01</v>
      </c>
      <c r="AA886" s="147">
        <f>IF($E886="","",VLOOKUP($D886,'Mortality Margins &amp; Grading'!$AB$5:$AF$125,5,0)*IF(Summary!$D$25="Included Margin",IF(AND($B886&gt;Input!$C$9,Summary!$D$31&lt;&gt;"Included Margin"),0,1),0))</f>
        <v>5.2999999999999999E-2</v>
      </c>
      <c r="AB886" s="147">
        <f>IF($E886="","",IF(AND($B886&gt;Input!$C$9,Summary!$D$31&lt;&gt;"Included Margin"),1,IF(Summary!$D$25="Included Margin",VLOOKUP($B886,'Mortality Margins &amp; Grading'!$AI$5:$AR$125,MATCH('Mortality Margins &amp; Grading'!$AQ$4,'Mortality Margins &amp; Grading'!$AI$4:$AR$4,0),0),1)))</f>
        <v>0</v>
      </c>
      <c r="AC886" s="154"/>
      <c r="AD886" s="158">
        <f>IF(E886="","",Input!$C$48*IF(Summary!$D$30="Included Margin",IF(AND($B886&gt;Input!$C$9,Summary!$D$31&lt;&gt;"Included Margin"),0,1),0))</f>
        <v>-4.4999999999999997E-3</v>
      </c>
      <c r="AE886" s="159">
        <f>IF(E886="","",IF(Summary!$D$26="Included Margin",IF(AND($B886&gt;Input!$C$9,Summary!$D$31&lt;&gt;"Included Margin"),1,1/$R886),1))</f>
        <v>1.4418334791726914</v>
      </c>
      <c r="AF886" s="160">
        <f>IF(E886="","",IF(AND($B886&gt;=Input!$C$9,$C886=12,Summary!$D$31="Included Margin",$U886&gt;0),1/U886-1,IF($B886&gt;=Input!$C$9,0,Input!$C$45*IF(Summary!$D$27="Included Margin",1,0))))</f>
        <v>0</v>
      </c>
      <c r="AG886" s="160">
        <f>IF(E886="","",Input!$C$46*IF(Summary!$D$28="Included Margin",IF(AND($B886&gt;Input!$C$9,Summary!$D$31&lt;&gt;"Included Margin"),0,1),0))</f>
        <v>0.02</v>
      </c>
      <c r="AH886" s="158">
        <f>IF(E886="","",Input!$C$47*IF(Summary!$D$29="Included Margin",IF(AND($B886&gt;Input!$C$9,Summary!$D$31&lt;&gt;"Included Margin"),0,1),0))</f>
        <v>2.5000000000000001E-3</v>
      </c>
      <c r="AI886" s="154"/>
      <c r="AJ886" s="158">
        <f t="shared" si="563"/>
        <v>4.3640000000000005E-2</v>
      </c>
      <c r="AK886" s="155">
        <f t="shared" si="564"/>
        <v>3.565892922956726E-3</v>
      </c>
      <c r="AL886" s="147">
        <f t="shared" si="565"/>
        <v>1</v>
      </c>
      <c r="AM886" s="147">
        <f t="shared" si="543"/>
        <v>1</v>
      </c>
      <c r="AN886" s="160">
        <f t="shared" si="566"/>
        <v>0</v>
      </c>
      <c r="AO886" s="161">
        <f t="shared" si="567"/>
        <v>0</v>
      </c>
      <c r="AP886" s="156">
        <f t="shared" si="544"/>
        <v>5.0748372337286858</v>
      </c>
      <c r="AQ886" s="152"/>
      <c r="AR886" s="162">
        <f t="shared" si="545"/>
        <v>99822.022677888832</v>
      </c>
      <c r="AS886" s="150">
        <f t="shared" si="568"/>
        <v>0</v>
      </c>
      <c r="AT886" s="163">
        <f t="shared" si="546"/>
        <v>0</v>
      </c>
      <c r="AU886" s="163">
        <f t="shared" si="547"/>
        <v>100000</v>
      </c>
      <c r="AV886" s="163">
        <f t="shared" si="569"/>
        <v>177.65999807447329</v>
      </c>
      <c r="AW886" s="163">
        <f t="shared" si="548"/>
        <v>99822.34000192552</v>
      </c>
      <c r="AX886" s="163">
        <f t="shared" si="549"/>
        <v>0</v>
      </c>
      <c r="AY886" s="165">
        <f t="shared" si="570"/>
        <v>99822.022677888832</v>
      </c>
      <c r="AZ886" s="164">
        <f>IF($E886="","",IF(OR(AND($D886=Input!$C$6,$C886=12),$AN886=1),0,-AS887+AT887+AU887-AV887-AW887-AX887+AZ887))</f>
        <v>99822.34000192552</v>
      </c>
      <c r="BA886" s="154">
        <f t="shared" si="550"/>
        <v>0.31732403668866027</v>
      </c>
      <c r="BC886" s="147">
        <f t="shared" si="571"/>
        <v>3.6353985561171112E-19</v>
      </c>
      <c r="BD886" s="164">
        <f>IF(AND($C885=12,$D885=Input!$C$6),0,IF($E886="","",AT886+(AU886+BD887)/(1+$AK886)*MIN((1-AM886-AN886),1)))</f>
        <v>0</v>
      </c>
      <c r="BE886" s="164">
        <f t="shared" si="579"/>
        <v>0</v>
      </c>
      <c r="BF886" s="164">
        <f t="shared" si="572"/>
        <v>99822.34000192552</v>
      </c>
      <c r="BG886" s="164">
        <f t="shared" si="552"/>
        <v>3.6289399071123141E-14</v>
      </c>
      <c r="BH886" s="152"/>
      <c r="BI886" s="162">
        <f t="shared" si="553"/>
        <v>31465.33760564532</v>
      </c>
      <c r="BJ886" s="150">
        <f t="shared" si="554"/>
        <v>0</v>
      </c>
      <c r="BK886" s="163">
        <f t="shared" si="576"/>
        <v>0</v>
      </c>
      <c r="BL886" s="163">
        <f t="shared" si="555"/>
        <v>9386.0018959034624</v>
      </c>
      <c r="BM886" s="163">
        <f t="shared" si="577"/>
        <v>105.10237985040317</v>
      </c>
      <c r="BN886" s="163">
        <f t="shared" si="556"/>
        <v>2297.9177731139657</v>
      </c>
      <c r="BO886" s="163">
        <f t="shared" si="557"/>
        <v>0</v>
      </c>
      <c r="BP886" s="164">
        <f t="shared" si="578"/>
        <v>24482.355862706223</v>
      </c>
      <c r="BQ886" s="164">
        <f>IF($E886="","",IF(AND($D886=Input!$C$6,$C886=12),0,-BJ887+BK887+BL887-BM887-BN887-BO887+BQ887))</f>
        <v>24482.391955587565</v>
      </c>
      <c r="BR886" s="161">
        <f t="shared" si="558"/>
        <v>0</v>
      </c>
      <c r="BT886" s="147">
        <f t="shared" si="559"/>
        <v>3.6353985561171112E-19</v>
      </c>
      <c r="BU886" s="164">
        <f>IF(AND($C885=12,$D885=Input!$C$6),0,IF($E886="","",BK886+(BL886+BU887)/(1+$AK886)*MIN((1-T886-U886),1)))</f>
        <v>77932.058470381526</v>
      </c>
      <c r="BV886" s="164">
        <f t="shared" si="560"/>
        <v>2.833140928384593E-14</v>
      </c>
      <c r="BW886" s="164">
        <f t="shared" si="561"/>
        <v>24482.391955587565</v>
      </c>
      <c r="BX886" s="164">
        <f t="shared" si="562"/>
        <v>8.900325236563621E-15</v>
      </c>
    </row>
    <row r="887" spans="1:76" s="150" customFormat="1" x14ac:dyDescent="0.25">
      <c r="A887" s="150">
        <f t="shared" si="573"/>
        <v>883</v>
      </c>
      <c r="B887" s="150">
        <f t="shared" si="574"/>
        <v>74</v>
      </c>
      <c r="C887" s="150">
        <f t="shared" si="575"/>
        <v>7</v>
      </c>
      <c r="D887" s="150">
        <f>IF(E887="","",Input!$C$4+B887-1)</f>
        <v>118</v>
      </c>
      <c r="E887" s="150">
        <f>IF(OR(AND(C886=12,D886=Input!$C$6),E886=""),"",1)</f>
        <v>1</v>
      </c>
      <c r="F887" s="150">
        <f>IF(E887="","",Input!$C$8+B887-1)</f>
        <v>2091</v>
      </c>
      <c r="G887" s="151">
        <f>IF(E887="","",MAX(0,Input!$C$9-B887))</f>
        <v>0</v>
      </c>
      <c r="H887" s="152">
        <f>IF(E887="","",Input!$C$3)</f>
        <v>100000</v>
      </c>
      <c r="I887" s="153">
        <f>IF(E887="","",HLOOKUP($B887,Input!$C$13:$BT$14,2))</f>
        <v>1000</v>
      </c>
      <c r="J887" s="154"/>
      <c r="K887" s="155">
        <f>IF($E887="","",INDEX(Input!$C$16:$CP$16,1,$B887))</f>
        <v>3.3140000000000003E-2</v>
      </c>
      <c r="L887" s="155">
        <f>IF($E887="","",Input!$C$37)</f>
        <v>1.4999999999999999E-2</v>
      </c>
      <c r="M887" s="155">
        <f t="shared" si="580"/>
        <v>4.8140000000000002E-2</v>
      </c>
      <c r="N887" s="155">
        <f t="shared" si="581"/>
        <v>3.9257828404828388E-3</v>
      </c>
      <c r="O887" s="147">
        <f>IF($E887="","",MIN(VLOOKUP(IF($B887&lt;=Input!$C$7,$B887,26),'Mortality Tables'!$A$41:$CW$67,IF($B887&lt;=Input!$C$7+1,Input!$C$4+2,$D887-Input!$C$7+2),0)*IF(B887&gt;20,Input!$C$22,1)/1000,1))</f>
        <v>1</v>
      </c>
      <c r="P887" s="147">
        <f>IF($E887="","",MIN(VLOOKUP(IF($B887&lt;=Input!$C$7,$B887,26),'Mortality Tables'!$A$12:$CW$37,IF($B887&lt;=Input!$C$7+1,Input!$C$4+2,$D887-Input!$C$7+2),0)*IF(B887&gt;20,Input!$C$22,1)/1000,1))</f>
        <v>1</v>
      </c>
      <c r="Q887" s="155">
        <f>IF($E887="","",Input!$C$21)</f>
        <v>5.0000000000000001E-3</v>
      </c>
      <c r="R887" s="159">
        <f>IF($E887="","",(1-Q887)^($F887-Input!$C$20))</f>
        <v>0.69356136783131794</v>
      </c>
      <c r="S887" s="147">
        <f t="shared" si="541"/>
        <v>0.69356136783131794</v>
      </c>
      <c r="T887" s="147">
        <f t="shared" si="542"/>
        <v>9.3860018959034619E-2</v>
      </c>
      <c r="U887" s="160">
        <f>IF($E887="","",IF($C887=12,INDEX(Input!$C$15:$CP$15,1,$B887),0))</f>
        <v>0</v>
      </c>
      <c r="V887" s="150">
        <f>IF(E887="","",IF(C887=1,IF($B887=1,Input!$C$33,Input!$C$34),0))</f>
        <v>0</v>
      </c>
      <c r="W887" s="156">
        <f>IF($E887="","",Input!$C$35)</f>
        <v>0.02</v>
      </c>
      <c r="X887" s="156">
        <f t="shared" si="582"/>
        <v>4.2443631825525463</v>
      </c>
      <c r="Y887" s="154"/>
      <c r="Z887" s="147">
        <f>IF($E887="","",VLOOKUP($D887,'Mortality Margins &amp; Grading'!$AB$5:$AF$125,3,0)*IF(Summary!$D$25="Included Margin",IF(AND($B887&gt;Input!$C$9,Summary!$D$31&lt;&gt;"Included Margin"),0,1),0))</f>
        <v>0.01</v>
      </c>
      <c r="AA887" s="147">
        <f>IF($E887="","",VLOOKUP($D887,'Mortality Margins &amp; Grading'!$AB$5:$AF$125,5,0)*IF(Summary!$D$25="Included Margin",IF(AND($B887&gt;Input!$C$9,Summary!$D$31&lt;&gt;"Included Margin"),0,1),0))</f>
        <v>5.2999999999999999E-2</v>
      </c>
      <c r="AB887" s="147">
        <f>IF($E887="","",IF(AND($B887&gt;Input!$C$9,Summary!$D$31&lt;&gt;"Included Margin"),1,IF(Summary!$D$25="Included Margin",VLOOKUP($B887,'Mortality Margins &amp; Grading'!$AI$5:$AR$125,MATCH('Mortality Margins &amp; Grading'!$AQ$4,'Mortality Margins &amp; Grading'!$AI$4:$AR$4,0),0),1)))</f>
        <v>0</v>
      </c>
      <c r="AC887" s="154"/>
      <c r="AD887" s="158">
        <f>IF(E887="","",Input!$C$48*IF(Summary!$D$30="Included Margin",IF(AND($B887&gt;Input!$C$9,Summary!$D$31&lt;&gt;"Included Margin"),0,1),0))</f>
        <v>-4.4999999999999997E-3</v>
      </c>
      <c r="AE887" s="159">
        <f>IF(E887="","",IF(Summary!$D$26="Included Margin",IF(AND($B887&gt;Input!$C$9,Summary!$D$31&lt;&gt;"Included Margin"),1,1/$R887),1))</f>
        <v>1.4418334791726914</v>
      </c>
      <c r="AF887" s="160">
        <f>IF(E887="","",IF(AND($B887&gt;=Input!$C$9,$C887=12,Summary!$D$31="Included Margin",$U887&gt;0),1/U887-1,IF($B887&gt;=Input!$C$9,0,Input!$C$45*IF(Summary!$D$27="Included Margin",1,0))))</f>
        <v>0</v>
      </c>
      <c r="AG887" s="160">
        <f>IF(E887="","",Input!$C$46*IF(Summary!$D$28="Included Margin",IF(AND($B887&gt;Input!$C$9,Summary!$D$31&lt;&gt;"Included Margin"),0,1),0))</f>
        <v>0.02</v>
      </c>
      <c r="AH887" s="158">
        <f>IF(E887="","",Input!$C$47*IF(Summary!$D$29="Included Margin",IF(AND($B887&gt;Input!$C$9,Summary!$D$31&lt;&gt;"Included Margin"),0,1),0))</f>
        <v>2.5000000000000001E-3</v>
      </c>
      <c r="AI887" s="154"/>
      <c r="AJ887" s="158">
        <f t="shared" si="563"/>
        <v>4.3640000000000005E-2</v>
      </c>
      <c r="AK887" s="155">
        <f t="shared" si="564"/>
        <v>3.565892922956726E-3</v>
      </c>
      <c r="AL887" s="147">
        <f t="shared" si="565"/>
        <v>1</v>
      </c>
      <c r="AM887" s="147">
        <f t="shared" si="543"/>
        <v>1</v>
      </c>
      <c r="AN887" s="160">
        <f t="shared" si="566"/>
        <v>0</v>
      </c>
      <c r="AO887" s="161">
        <f t="shared" si="567"/>
        <v>0</v>
      </c>
      <c r="AP887" s="156">
        <f t="shared" si="544"/>
        <v>5.0748372337286858</v>
      </c>
      <c r="AQ887" s="152"/>
      <c r="AR887" s="162">
        <f t="shared" si="545"/>
        <v>99822.022677888832</v>
      </c>
      <c r="AS887" s="150">
        <f t="shared" si="568"/>
        <v>0</v>
      </c>
      <c r="AT887" s="163">
        <f t="shared" si="546"/>
        <v>0</v>
      </c>
      <c r="AU887" s="163">
        <f t="shared" si="547"/>
        <v>100000</v>
      </c>
      <c r="AV887" s="163">
        <f t="shared" si="569"/>
        <v>177.65999807447329</v>
      </c>
      <c r="AW887" s="163">
        <f t="shared" si="548"/>
        <v>99822.34000192552</v>
      </c>
      <c r="AX887" s="163">
        <f t="shared" si="549"/>
        <v>0</v>
      </c>
      <c r="AY887" s="164">
        <f t="shared" si="570"/>
        <v>99822.022677888832</v>
      </c>
      <c r="AZ887" s="164">
        <f>IF($E887="","",IF(OR(AND($D887=Input!$C$6,$C887=12),$AN887=1),0,-AS888+AT888+AU888-AV888-AW888-AX888+AZ888))</f>
        <v>99822.34000192552</v>
      </c>
      <c r="BA887" s="154">
        <f t="shared" si="550"/>
        <v>0.31732403668866027</v>
      </c>
      <c r="BC887" s="147">
        <f t="shared" si="571"/>
        <v>3.2941799787163121E-19</v>
      </c>
      <c r="BD887" s="164">
        <f>IF(AND($C886=12,$D886=Input!$C$6),0,IF($E887="","",AT887+(AU887+BD888)/(1+$AK887)*MIN((1-AM887-AN887),1)))</f>
        <v>0</v>
      </c>
      <c r="BE887" s="164">
        <f t="shared" si="579"/>
        <v>0</v>
      </c>
      <c r="BF887" s="164">
        <f t="shared" si="572"/>
        <v>99822.34000192552</v>
      </c>
      <c r="BG887" s="164">
        <f t="shared" si="552"/>
        <v>3.2883275386295547E-14</v>
      </c>
      <c r="BH887" s="152"/>
      <c r="BI887" s="162">
        <f t="shared" si="553"/>
        <v>24482.355862706227</v>
      </c>
      <c r="BJ887" s="150">
        <f t="shared" si="554"/>
        <v>0</v>
      </c>
      <c r="BK887" s="163">
        <f t="shared" si="576"/>
        <v>0</v>
      </c>
      <c r="BL887" s="163">
        <f t="shared" si="555"/>
        <v>9386.0018959034624</v>
      </c>
      <c r="BM887" s="163">
        <f t="shared" si="577"/>
        <v>77.688709948567919</v>
      </c>
      <c r="BN887" s="163">
        <f t="shared" si="556"/>
        <v>1571.7652358385665</v>
      </c>
      <c r="BO887" s="163">
        <f t="shared" si="557"/>
        <v>0</v>
      </c>
      <c r="BP887" s="164">
        <f t="shared" si="578"/>
        <v>16745.807912589898</v>
      </c>
      <c r="BQ887" s="164">
        <f>IF($E887="","",IF(AND($D887=Input!$C$6,$C887=12),0,-BJ888+BK888+BL888-BM888-BN888-BO888+BQ888))</f>
        <v>16745.844005471237</v>
      </c>
      <c r="BR887" s="161">
        <f t="shared" si="558"/>
        <v>0</v>
      </c>
      <c r="BT887" s="147">
        <f t="shared" si="559"/>
        <v>3.2941799787163121E-19</v>
      </c>
      <c r="BU887" s="164">
        <f>IF(AND($C886=12,$D886=Input!$C$6),0,IF($E887="","",BK887+(BL887+BU888)/(1+$AK887)*MIN((1-T887-U887),1)))</f>
        <v>76925.11722755208</v>
      </c>
      <c r="BV887" s="164">
        <f t="shared" si="560"/>
        <v>2.5340518103140734E-14</v>
      </c>
      <c r="BW887" s="164">
        <f t="shared" si="561"/>
        <v>16745.844005471237</v>
      </c>
      <c r="BX887" s="164">
        <f t="shared" si="562"/>
        <v>5.5163824049529921E-15</v>
      </c>
    </row>
    <row r="888" spans="1:76" s="150" customFormat="1" x14ac:dyDescent="0.25">
      <c r="A888" s="150">
        <f t="shared" si="573"/>
        <v>884</v>
      </c>
      <c r="B888" s="150">
        <f t="shared" si="574"/>
        <v>74</v>
      </c>
      <c r="C888" s="150">
        <f t="shared" si="575"/>
        <v>8</v>
      </c>
      <c r="D888" s="150">
        <f>IF(E888="","",Input!$C$4+B888-1)</f>
        <v>118</v>
      </c>
      <c r="E888" s="150">
        <f>IF(OR(AND(C887=12,D887=Input!$C$6),E887=""),"",1)</f>
        <v>1</v>
      </c>
      <c r="F888" s="150">
        <f>IF(E888="","",Input!$C$8+B888-1)</f>
        <v>2091</v>
      </c>
      <c r="G888" s="151">
        <f>IF(E888="","",MAX(0,Input!$C$9-B888))</f>
        <v>0</v>
      </c>
      <c r="H888" s="152">
        <f>IF(E888="","",Input!$C$3)</f>
        <v>100000</v>
      </c>
      <c r="I888" s="153">
        <f>IF(E888="","",HLOOKUP($B888,Input!$C$13:$BT$14,2))</f>
        <v>1000</v>
      </c>
      <c r="J888" s="154"/>
      <c r="K888" s="155">
        <f>IF($E888="","",INDEX(Input!$C$16:$CP$16,1,$B888))</f>
        <v>3.3140000000000003E-2</v>
      </c>
      <c r="L888" s="155">
        <f>IF($E888="","",Input!$C$37)</f>
        <v>1.4999999999999999E-2</v>
      </c>
      <c r="M888" s="155">
        <f t="shared" si="580"/>
        <v>4.8140000000000002E-2</v>
      </c>
      <c r="N888" s="155">
        <f t="shared" si="581"/>
        <v>3.9257828404828388E-3</v>
      </c>
      <c r="O888" s="147">
        <f>IF($E888="","",MIN(VLOOKUP(IF($B888&lt;=Input!$C$7,$B888,26),'Mortality Tables'!$A$41:$CW$67,IF($B888&lt;=Input!$C$7+1,Input!$C$4+2,$D888-Input!$C$7+2),0)*IF(B888&gt;20,Input!$C$22,1)/1000,1))</f>
        <v>1</v>
      </c>
      <c r="P888" s="147">
        <f>IF($E888="","",MIN(VLOOKUP(IF($B888&lt;=Input!$C$7,$B888,26),'Mortality Tables'!$A$12:$CW$37,IF($B888&lt;=Input!$C$7+1,Input!$C$4+2,$D888-Input!$C$7+2),0)*IF(B888&gt;20,Input!$C$22,1)/1000,1))</f>
        <v>1</v>
      </c>
      <c r="Q888" s="155">
        <f>IF($E888="","",Input!$C$21)</f>
        <v>5.0000000000000001E-3</v>
      </c>
      <c r="R888" s="159">
        <f>IF($E888="","",(1-Q888)^($F888-Input!$C$20))</f>
        <v>0.69356136783131794</v>
      </c>
      <c r="S888" s="147">
        <f t="shared" si="541"/>
        <v>0.69356136783131794</v>
      </c>
      <c r="T888" s="147">
        <f t="shared" si="542"/>
        <v>9.3860018959034619E-2</v>
      </c>
      <c r="U888" s="160">
        <f>IF($E888="","",IF($C888=12,INDEX(Input!$C$15:$CP$15,1,$B888),0))</f>
        <v>0</v>
      </c>
      <c r="V888" s="150">
        <f>IF(E888="","",IF(C888=1,IF($B888=1,Input!$C$33,Input!$C$34),0))</f>
        <v>0</v>
      </c>
      <c r="W888" s="156">
        <f>IF($E888="","",Input!$C$35)</f>
        <v>0.02</v>
      </c>
      <c r="X888" s="156">
        <f t="shared" si="582"/>
        <v>4.2443631825525463</v>
      </c>
      <c r="Y888" s="154"/>
      <c r="Z888" s="147">
        <f>IF($E888="","",VLOOKUP($D888,'Mortality Margins &amp; Grading'!$AB$5:$AF$125,3,0)*IF(Summary!$D$25="Included Margin",IF(AND($B888&gt;Input!$C$9,Summary!$D$31&lt;&gt;"Included Margin"),0,1),0))</f>
        <v>0.01</v>
      </c>
      <c r="AA888" s="147">
        <f>IF($E888="","",VLOOKUP($D888,'Mortality Margins &amp; Grading'!$AB$5:$AF$125,5,0)*IF(Summary!$D$25="Included Margin",IF(AND($B888&gt;Input!$C$9,Summary!$D$31&lt;&gt;"Included Margin"),0,1),0))</f>
        <v>5.2999999999999999E-2</v>
      </c>
      <c r="AB888" s="147">
        <f>IF($E888="","",IF(AND($B888&gt;Input!$C$9,Summary!$D$31&lt;&gt;"Included Margin"),1,IF(Summary!$D$25="Included Margin",VLOOKUP($B888,'Mortality Margins &amp; Grading'!$AI$5:$AR$125,MATCH('Mortality Margins &amp; Grading'!$AQ$4,'Mortality Margins &amp; Grading'!$AI$4:$AR$4,0),0),1)))</f>
        <v>0</v>
      </c>
      <c r="AC888" s="154"/>
      <c r="AD888" s="158">
        <f>IF(E888="","",Input!$C$48*IF(Summary!$D$30="Included Margin",IF(AND($B888&gt;Input!$C$9,Summary!$D$31&lt;&gt;"Included Margin"),0,1),0))</f>
        <v>-4.4999999999999997E-3</v>
      </c>
      <c r="AE888" s="159">
        <f>IF(E888="","",IF(Summary!$D$26="Included Margin",IF(AND($B888&gt;Input!$C$9,Summary!$D$31&lt;&gt;"Included Margin"),1,1/$R888),1))</f>
        <v>1.4418334791726914</v>
      </c>
      <c r="AF888" s="160">
        <f>IF(E888="","",IF(AND($B888&gt;=Input!$C$9,$C888=12,Summary!$D$31="Included Margin",$U888&gt;0),1/U888-1,IF($B888&gt;=Input!$C$9,0,Input!$C$45*IF(Summary!$D$27="Included Margin",1,0))))</f>
        <v>0</v>
      </c>
      <c r="AG888" s="160">
        <f>IF(E888="","",Input!$C$46*IF(Summary!$D$28="Included Margin",IF(AND($B888&gt;Input!$C$9,Summary!$D$31&lt;&gt;"Included Margin"),0,1),0))</f>
        <v>0.02</v>
      </c>
      <c r="AH888" s="158">
        <f>IF(E888="","",Input!$C$47*IF(Summary!$D$29="Included Margin",IF(AND($B888&gt;Input!$C$9,Summary!$D$31&lt;&gt;"Included Margin"),0,1),0))</f>
        <v>2.5000000000000001E-3</v>
      </c>
      <c r="AI888" s="154"/>
      <c r="AJ888" s="158">
        <f t="shared" si="563"/>
        <v>4.3640000000000005E-2</v>
      </c>
      <c r="AK888" s="155">
        <f t="shared" si="564"/>
        <v>3.565892922956726E-3</v>
      </c>
      <c r="AL888" s="147">
        <f t="shared" si="565"/>
        <v>1</v>
      </c>
      <c r="AM888" s="147">
        <f t="shared" si="543"/>
        <v>1</v>
      </c>
      <c r="AN888" s="160">
        <f t="shared" si="566"/>
        <v>0</v>
      </c>
      <c r="AO888" s="161">
        <f t="shared" si="567"/>
        <v>0</v>
      </c>
      <c r="AP888" s="156">
        <f t="shared" si="544"/>
        <v>5.0748372337286858</v>
      </c>
      <c r="AQ888" s="152"/>
      <c r="AR888" s="162">
        <f t="shared" si="545"/>
        <v>99822.022677888832</v>
      </c>
      <c r="AS888" s="150">
        <f t="shared" si="568"/>
        <v>0</v>
      </c>
      <c r="AT888" s="163">
        <f t="shared" si="546"/>
        <v>0</v>
      </c>
      <c r="AU888" s="163">
        <f t="shared" si="547"/>
        <v>100000</v>
      </c>
      <c r="AV888" s="163">
        <f t="shared" si="569"/>
        <v>177.65999807447329</v>
      </c>
      <c r="AW888" s="163">
        <f t="shared" si="548"/>
        <v>99822.34000192552</v>
      </c>
      <c r="AX888" s="163">
        <f t="shared" si="549"/>
        <v>0</v>
      </c>
      <c r="AY888" s="165">
        <f t="shared" si="570"/>
        <v>99822.022677888832</v>
      </c>
      <c r="AZ888" s="164">
        <f>IF($E888="","",IF(OR(AND($D888=Input!$C$6,$C888=12),$AN888=1),0,-AS889+AT889+AU889-AV889-AW889-AX889+AZ889))</f>
        <v>99822.34000192552</v>
      </c>
      <c r="BA888" s="154">
        <f t="shared" si="550"/>
        <v>0.31732403668866027</v>
      </c>
      <c r="BC888" s="147">
        <f t="shared" si="571"/>
        <v>2.9849881834595268E-19</v>
      </c>
      <c r="BD888" s="164">
        <f>IF(AND($C887=12,$D887=Input!$C$6),0,IF($E888="","",AT888+(AU888+BD889)/(1+$AK888)*MIN((1-AM888-AN888),1)))</f>
        <v>0</v>
      </c>
      <c r="BE888" s="164">
        <f t="shared" si="579"/>
        <v>0</v>
      </c>
      <c r="BF888" s="164">
        <f t="shared" si="572"/>
        <v>99822.34000192552</v>
      </c>
      <c r="BG888" s="164">
        <f t="shared" si="552"/>
        <v>2.9796850535102694E-14</v>
      </c>
      <c r="BH888" s="152"/>
      <c r="BI888" s="162">
        <f t="shared" si="553"/>
        <v>16745.807912589898</v>
      </c>
      <c r="BJ888" s="150">
        <f t="shared" si="554"/>
        <v>0</v>
      </c>
      <c r="BK888" s="163">
        <f t="shared" si="576"/>
        <v>0</v>
      </c>
      <c r="BL888" s="163">
        <f t="shared" si="555"/>
        <v>9386.0018959034624</v>
      </c>
      <c r="BM888" s="163">
        <f t="shared" si="577"/>
        <v>47.316702761428566</v>
      </c>
      <c r="BN888" s="163">
        <f t="shared" si="556"/>
        <v>767.25018330955731</v>
      </c>
      <c r="BO888" s="163">
        <f t="shared" si="557"/>
        <v>0</v>
      </c>
      <c r="BP888" s="164">
        <f t="shared" si="578"/>
        <v>8174.3729027574218</v>
      </c>
      <c r="BQ888" s="164">
        <f>IF($E888="","",IF(AND($D888=Input!$C$6,$C888=12),0,-BJ889+BK889+BL889-BM889-BN889-BO889+BQ889))</f>
        <v>8174.4089956387616</v>
      </c>
      <c r="BR888" s="161">
        <f t="shared" si="558"/>
        <v>0</v>
      </c>
      <c r="BT888" s="147">
        <f t="shared" si="559"/>
        <v>2.9849881834595268E-19</v>
      </c>
      <c r="BU888" s="164">
        <f>IF(AND($C887=12,$D887=Input!$C$6),0,IF($E888="","",BK888+(BL888+BU889)/(1+$AK888)*MIN((1-T888-U888),1)))</f>
        <v>75809.912172456505</v>
      </c>
      <c r="BV888" s="164">
        <f t="shared" si="560"/>
        <v>2.262916920238872E-14</v>
      </c>
      <c r="BW888" s="164">
        <f t="shared" si="561"/>
        <v>8174.4089956387616</v>
      </c>
      <c r="BX888" s="164">
        <f t="shared" si="562"/>
        <v>2.4400514258746961E-15</v>
      </c>
    </row>
    <row r="889" spans="1:76" s="150" customFormat="1" x14ac:dyDescent="0.25">
      <c r="A889" s="150">
        <f t="shared" si="573"/>
        <v>885</v>
      </c>
      <c r="B889" s="150">
        <f t="shared" si="574"/>
        <v>74</v>
      </c>
      <c r="C889" s="150">
        <f t="shared" si="575"/>
        <v>9</v>
      </c>
      <c r="D889" s="150">
        <f>IF(E889="","",Input!$C$4+B889-1)</f>
        <v>118</v>
      </c>
      <c r="E889" s="150">
        <f>IF(OR(AND(C888=12,D888=Input!$C$6),E888=""),"",1)</f>
        <v>1</v>
      </c>
      <c r="F889" s="150">
        <f>IF(E889="","",Input!$C$8+B889-1)</f>
        <v>2091</v>
      </c>
      <c r="G889" s="151">
        <f>IF(E889="","",MAX(0,Input!$C$9-B889))</f>
        <v>0</v>
      </c>
      <c r="H889" s="152">
        <f>IF(E889="","",Input!$C$3)</f>
        <v>100000</v>
      </c>
      <c r="I889" s="153">
        <f>IF(E889="","",HLOOKUP($B889,Input!$C$13:$BT$14,2))</f>
        <v>1000</v>
      </c>
      <c r="J889" s="154"/>
      <c r="K889" s="155">
        <f>IF($E889="","",INDEX(Input!$C$16:$CP$16,1,$B889))</f>
        <v>3.3140000000000003E-2</v>
      </c>
      <c r="L889" s="155">
        <f>IF($E889="","",Input!$C$37)</f>
        <v>1.4999999999999999E-2</v>
      </c>
      <c r="M889" s="155">
        <f t="shared" si="580"/>
        <v>4.8140000000000002E-2</v>
      </c>
      <c r="N889" s="155">
        <f t="shared" si="581"/>
        <v>3.9257828404828388E-3</v>
      </c>
      <c r="O889" s="147">
        <f>IF($E889="","",MIN(VLOOKUP(IF($B889&lt;=Input!$C$7,$B889,26),'Mortality Tables'!$A$41:$CW$67,IF($B889&lt;=Input!$C$7+1,Input!$C$4+2,$D889-Input!$C$7+2),0)*IF(B889&gt;20,Input!$C$22,1)/1000,1))</f>
        <v>1</v>
      </c>
      <c r="P889" s="147">
        <f>IF($E889="","",MIN(VLOOKUP(IF($B889&lt;=Input!$C$7,$B889,26),'Mortality Tables'!$A$12:$CW$37,IF($B889&lt;=Input!$C$7+1,Input!$C$4+2,$D889-Input!$C$7+2),0)*IF(B889&gt;20,Input!$C$22,1)/1000,1))</f>
        <v>1</v>
      </c>
      <c r="Q889" s="155">
        <f>IF($E889="","",Input!$C$21)</f>
        <v>5.0000000000000001E-3</v>
      </c>
      <c r="R889" s="159">
        <f>IF($E889="","",(1-Q889)^($F889-Input!$C$20))</f>
        <v>0.69356136783131794</v>
      </c>
      <c r="S889" s="147">
        <f t="shared" si="541"/>
        <v>0.69356136783131794</v>
      </c>
      <c r="T889" s="147">
        <f t="shared" si="542"/>
        <v>9.3860018959034619E-2</v>
      </c>
      <c r="U889" s="160">
        <f>IF($E889="","",IF($C889=12,INDEX(Input!$C$15:$CP$15,1,$B889),0))</f>
        <v>0</v>
      </c>
      <c r="V889" s="150">
        <f>IF(E889="","",IF(C889=1,IF($B889=1,Input!$C$33,Input!$C$34),0))</f>
        <v>0</v>
      </c>
      <c r="W889" s="156">
        <f>IF($E889="","",Input!$C$35)</f>
        <v>0.02</v>
      </c>
      <c r="X889" s="156">
        <f t="shared" si="582"/>
        <v>4.2443631825525463</v>
      </c>
      <c r="Y889" s="154"/>
      <c r="Z889" s="147">
        <f>IF($E889="","",VLOOKUP($D889,'Mortality Margins &amp; Grading'!$AB$5:$AF$125,3,0)*IF(Summary!$D$25="Included Margin",IF(AND($B889&gt;Input!$C$9,Summary!$D$31&lt;&gt;"Included Margin"),0,1),0))</f>
        <v>0.01</v>
      </c>
      <c r="AA889" s="147">
        <f>IF($E889="","",VLOOKUP($D889,'Mortality Margins &amp; Grading'!$AB$5:$AF$125,5,0)*IF(Summary!$D$25="Included Margin",IF(AND($B889&gt;Input!$C$9,Summary!$D$31&lt;&gt;"Included Margin"),0,1),0))</f>
        <v>5.2999999999999999E-2</v>
      </c>
      <c r="AB889" s="147">
        <f>IF($E889="","",IF(AND($B889&gt;Input!$C$9,Summary!$D$31&lt;&gt;"Included Margin"),1,IF(Summary!$D$25="Included Margin",VLOOKUP($B889,'Mortality Margins &amp; Grading'!$AI$5:$AR$125,MATCH('Mortality Margins &amp; Grading'!$AQ$4,'Mortality Margins &amp; Grading'!$AI$4:$AR$4,0),0),1)))</f>
        <v>0</v>
      </c>
      <c r="AC889" s="154"/>
      <c r="AD889" s="158">
        <f>IF(E889="","",Input!$C$48*IF(Summary!$D$30="Included Margin",IF(AND($B889&gt;Input!$C$9,Summary!$D$31&lt;&gt;"Included Margin"),0,1),0))</f>
        <v>-4.4999999999999997E-3</v>
      </c>
      <c r="AE889" s="159">
        <f>IF(E889="","",IF(Summary!$D$26="Included Margin",IF(AND($B889&gt;Input!$C$9,Summary!$D$31&lt;&gt;"Included Margin"),1,1/$R889),1))</f>
        <v>1.4418334791726914</v>
      </c>
      <c r="AF889" s="160">
        <f>IF(E889="","",IF(AND($B889&gt;=Input!$C$9,$C889=12,Summary!$D$31="Included Margin",$U889&gt;0),1/U889-1,IF($B889&gt;=Input!$C$9,0,Input!$C$45*IF(Summary!$D$27="Included Margin",1,0))))</f>
        <v>0</v>
      </c>
      <c r="AG889" s="160">
        <f>IF(E889="","",Input!$C$46*IF(Summary!$D$28="Included Margin",IF(AND($B889&gt;Input!$C$9,Summary!$D$31&lt;&gt;"Included Margin"),0,1),0))</f>
        <v>0.02</v>
      </c>
      <c r="AH889" s="158">
        <f>IF(E889="","",Input!$C$47*IF(Summary!$D$29="Included Margin",IF(AND($B889&gt;Input!$C$9,Summary!$D$31&lt;&gt;"Included Margin"),0,1),0))</f>
        <v>2.5000000000000001E-3</v>
      </c>
      <c r="AI889" s="154"/>
      <c r="AJ889" s="158">
        <f t="shared" si="563"/>
        <v>4.3640000000000005E-2</v>
      </c>
      <c r="AK889" s="155">
        <f t="shared" si="564"/>
        <v>3.565892922956726E-3</v>
      </c>
      <c r="AL889" s="147">
        <f t="shared" si="565"/>
        <v>1</v>
      </c>
      <c r="AM889" s="147">
        <f t="shared" si="543"/>
        <v>1</v>
      </c>
      <c r="AN889" s="160">
        <f t="shared" si="566"/>
        <v>0</v>
      </c>
      <c r="AO889" s="161">
        <f t="shared" si="567"/>
        <v>0</v>
      </c>
      <c r="AP889" s="156">
        <f t="shared" si="544"/>
        <v>5.0748372337286858</v>
      </c>
      <c r="AQ889" s="152"/>
      <c r="AR889" s="162">
        <f t="shared" si="545"/>
        <v>99822.022677888832</v>
      </c>
      <c r="AS889" s="150">
        <f t="shared" si="568"/>
        <v>0</v>
      </c>
      <c r="AT889" s="163">
        <f t="shared" si="546"/>
        <v>0</v>
      </c>
      <c r="AU889" s="163">
        <f t="shared" si="547"/>
        <v>100000</v>
      </c>
      <c r="AV889" s="163">
        <f t="shared" si="569"/>
        <v>177.65999807447329</v>
      </c>
      <c r="AW889" s="163">
        <f t="shared" si="548"/>
        <v>99822.34000192552</v>
      </c>
      <c r="AX889" s="163">
        <f t="shared" si="549"/>
        <v>0</v>
      </c>
      <c r="AY889" s="164">
        <f t="shared" si="570"/>
        <v>99822.022677888832</v>
      </c>
      <c r="AZ889" s="164">
        <f>IF($E889="","",IF(OR(AND($D889=Input!$C$6,$C889=12),$AN889=1),0,-AS890+AT890+AU890-AV890-AW890-AX890+AZ890))</f>
        <v>99822.34000192552</v>
      </c>
      <c r="BA889" s="154">
        <f t="shared" si="550"/>
        <v>0.31732403668866027</v>
      </c>
      <c r="BC889" s="147">
        <f t="shared" si="571"/>
        <v>2.7048171359675212E-19</v>
      </c>
      <c r="BD889" s="164">
        <f>IF(AND($C888=12,$D888=Input!$C$6),0,IF($E889="","",AT889+(AU889+BD890)/(1+$AK889)*MIN((1-AM889-AN889),1)))</f>
        <v>0</v>
      </c>
      <c r="BE889" s="164">
        <f t="shared" si="579"/>
        <v>0</v>
      </c>
      <c r="BF889" s="164">
        <f t="shared" si="572"/>
        <v>99822.34000192552</v>
      </c>
      <c r="BG889" s="164">
        <f t="shared" si="552"/>
        <v>2.7000117578958432E-14</v>
      </c>
      <c r="BH889" s="152"/>
      <c r="BI889" s="162">
        <f t="shared" si="553"/>
        <v>8174.3729027574218</v>
      </c>
      <c r="BJ889" s="150">
        <f t="shared" si="554"/>
        <v>0</v>
      </c>
      <c r="BK889" s="163">
        <f t="shared" si="576"/>
        <v>0</v>
      </c>
      <c r="BL889" s="163">
        <f t="shared" si="555"/>
        <v>9386.0018959034624</v>
      </c>
      <c r="BM889" s="163">
        <f t="shared" si="577"/>
        <v>13.667110281514377</v>
      </c>
      <c r="BN889" s="163">
        <f t="shared" si="556"/>
        <v>-124.08384985967784</v>
      </c>
      <c r="BO889" s="163">
        <f t="shared" si="557"/>
        <v>0</v>
      </c>
      <c r="BP889" s="164">
        <f t="shared" si="578"/>
        <v>-1322.0457327242041</v>
      </c>
      <c r="BQ889" s="164">
        <f>IF($E889="","",IF(AND($D889=Input!$C$6,$C889=12),0,-BJ890+BK890+BL890-BM890-BN890-BO890+BQ890))</f>
        <v>-1322.009639842865</v>
      </c>
      <c r="BR889" s="161">
        <f t="shared" si="558"/>
        <v>0</v>
      </c>
      <c r="BT889" s="147">
        <f t="shared" si="559"/>
        <v>2.7048171359675212E-19</v>
      </c>
      <c r="BU889" s="164">
        <f>IF(AND($C888=12,$D888=Input!$C$6),0,IF($E889="","",BK889+(BL889+BU890)/(1+$AK889)*MIN((1-T889-U889),1)))</f>
        <v>74574.803049886425</v>
      </c>
      <c r="BV889" s="164">
        <f t="shared" si="560"/>
        <v>2.0171120520073576E-14</v>
      </c>
      <c r="BW889" s="164">
        <f t="shared" si="561"/>
        <v>-1322.009639842865</v>
      </c>
      <c r="BX889" s="164">
        <f t="shared" si="562"/>
        <v>-3.5757943277612325E-16</v>
      </c>
    </row>
    <row r="890" spans="1:76" s="150" customFormat="1" x14ac:dyDescent="0.25">
      <c r="A890" s="150">
        <f t="shared" si="573"/>
        <v>886</v>
      </c>
      <c r="B890" s="150">
        <f t="shared" si="574"/>
        <v>74</v>
      </c>
      <c r="C890" s="150">
        <f t="shared" si="575"/>
        <v>10</v>
      </c>
      <c r="D890" s="150">
        <f>IF(E890="","",Input!$C$4+B890-1)</f>
        <v>118</v>
      </c>
      <c r="E890" s="150">
        <f>IF(OR(AND(C889=12,D889=Input!$C$6),E889=""),"",1)</f>
        <v>1</v>
      </c>
      <c r="F890" s="150">
        <f>IF(E890="","",Input!$C$8+B890-1)</f>
        <v>2091</v>
      </c>
      <c r="G890" s="151">
        <f>IF(E890="","",MAX(0,Input!$C$9-B890))</f>
        <v>0</v>
      </c>
      <c r="H890" s="152">
        <f>IF(E890="","",Input!$C$3)</f>
        <v>100000</v>
      </c>
      <c r="I890" s="153">
        <f>IF(E890="","",HLOOKUP($B890,Input!$C$13:$BT$14,2))</f>
        <v>1000</v>
      </c>
      <c r="J890" s="154"/>
      <c r="K890" s="155">
        <f>IF($E890="","",INDEX(Input!$C$16:$CP$16,1,$B890))</f>
        <v>3.3140000000000003E-2</v>
      </c>
      <c r="L890" s="155">
        <f>IF($E890="","",Input!$C$37)</f>
        <v>1.4999999999999999E-2</v>
      </c>
      <c r="M890" s="155">
        <f t="shared" si="580"/>
        <v>4.8140000000000002E-2</v>
      </c>
      <c r="N890" s="155">
        <f t="shared" si="581"/>
        <v>3.9257828404828388E-3</v>
      </c>
      <c r="O890" s="147">
        <f>IF($E890="","",MIN(VLOOKUP(IF($B890&lt;=Input!$C$7,$B890,26),'Mortality Tables'!$A$41:$CW$67,IF($B890&lt;=Input!$C$7+1,Input!$C$4+2,$D890-Input!$C$7+2),0)*IF(B890&gt;20,Input!$C$22,1)/1000,1))</f>
        <v>1</v>
      </c>
      <c r="P890" s="147">
        <f>IF($E890="","",MIN(VLOOKUP(IF($B890&lt;=Input!$C$7,$B890,26),'Mortality Tables'!$A$12:$CW$37,IF($B890&lt;=Input!$C$7+1,Input!$C$4+2,$D890-Input!$C$7+2),0)*IF(B890&gt;20,Input!$C$22,1)/1000,1))</f>
        <v>1</v>
      </c>
      <c r="Q890" s="155">
        <f>IF($E890="","",Input!$C$21)</f>
        <v>5.0000000000000001E-3</v>
      </c>
      <c r="R890" s="159">
        <f>IF($E890="","",(1-Q890)^($F890-Input!$C$20))</f>
        <v>0.69356136783131794</v>
      </c>
      <c r="S890" s="147">
        <f t="shared" si="541"/>
        <v>0.69356136783131794</v>
      </c>
      <c r="T890" s="147">
        <f t="shared" si="542"/>
        <v>9.3860018959034619E-2</v>
      </c>
      <c r="U890" s="160">
        <f>IF($E890="","",IF($C890=12,INDEX(Input!$C$15:$CP$15,1,$B890),0))</f>
        <v>0</v>
      </c>
      <c r="V890" s="150">
        <f>IF(E890="","",IF(C890=1,IF($B890=1,Input!$C$33,Input!$C$34),0))</f>
        <v>0</v>
      </c>
      <c r="W890" s="156">
        <f>IF($E890="","",Input!$C$35)</f>
        <v>0.02</v>
      </c>
      <c r="X890" s="156">
        <f t="shared" si="582"/>
        <v>4.2443631825525463</v>
      </c>
      <c r="Y890" s="154"/>
      <c r="Z890" s="147">
        <f>IF($E890="","",VLOOKUP($D890,'Mortality Margins &amp; Grading'!$AB$5:$AF$125,3,0)*IF(Summary!$D$25="Included Margin",IF(AND($B890&gt;Input!$C$9,Summary!$D$31&lt;&gt;"Included Margin"),0,1),0))</f>
        <v>0.01</v>
      </c>
      <c r="AA890" s="147">
        <f>IF($E890="","",VLOOKUP($D890,'Mortality Margins &amp; Grading'!$AB$5:$AF$125,5,0)*IF(Summary!$D$25="Included Margin",IF(AND($B890&gt;Input!$C$9,Summary!$D$31&lt;&gt;"Included Margin"),0,1),0))</f>
        <v>5.2999999999999999E-2</v>
      </c>
      <c r="AB890" s="147">
        <f>IF($E890="","",IF(AND($B890&gt;Input!$C$9,Summary!$D$31&lt;&gt;"Included Margin"),1,IF(Summary!$D$25="Included Margin",VLOOKUP($B890,'Mortality Margins &amp; Grading'!$AI$5:$AR$125,MATCH('Mortality Margins &amp; Grading'!$AQ$4,'Mortality Margins &amp; Grading'!$AI$4:$AR$4,0),0),1)))</f>
        <v>0</v>
      </c>
      <c r="AC890" s="154"/>
      <c r="AD890" s="158">
        <f>IF(E890="","",Input!$C$48*IF(Summary!$D$30="Included Margin",IF(AND($B890&gt;Input!$C$9,Summary!$D$31&lt;&gt;"Included Margin"),0,1),0))</f>
        <v>-4.4999999999999997E-3</v>
      </c>
      <c r="AE890" s="159">
        <f>IF(E890="","",IF(Summary!$D$26="Included Margin",IF(AND($B890&gt;Input!$C$9,Summary!$D$31&lt;&gt;"Included Margin"),1,1/$R890),1))</f>
        <v>1.4418334791726914</v>
      </c>
      <c r="AF890" s="160">
        <f>IF(E890="","",IF(AND($B890&gt;=Input!$C$9,$C890=12,Summary!$D$31="Included Margin",$U890&gt;0),1/U890-1,IF($B890&gt;=Input!$C$9,0,Input!$C$45*IF(Summary!$D$27="Included Margin",1,0))))</f>
        <v>0</v>
      </c>
      <c r="AG890" s="160">
        <f>IF(E890="","",Input!$C$46*IF(Summary!$D$28="Included Margin",IF(AND($B890&gt;Input!$C$9,Summary!$D$31&lt;&gt;"Included Margin"),0,1),0))</f>
        <v>0.02</v>
      </c>
      <c r="AH890" s="158">
        <f>IF(E890="","",Input!$C$47*IF(Summary!$D$29="Included Margin",IF(AND($B890&gt;Input!$C$9,Summary!$D$31&lt;&gt;"Included Margin"),0,1),0))</f>
        <v>2.5000000000000001E-3</v>
      </c>
      <c r="AI890" s="154"/>
      <c r="AJ890" s="158">
        <f t="shared" si="563"/>
        <v>4.3640000000000005E-2</v>
      </c>
      <c r="AK890" s="155">
        <f t="shared" si="564"/>
        <v>3.565892922956726E-3</v>
      </c>
      <c r="AL890" s="147">
        <f t="shared" si="565"/>
        <v>1</v>
      </c>
      <c r="AM890" s="147">
        <f t="shared" si="543"/>
        <v>1</v>
      </c>
      <c r="AN890" s="160">
        <f t="shared" si="566"/>
        <v>0</v>
      </c>
      <c r="AO890" s="161">
        <f t="shared" si="567"/>
        <v>0</v>
      </c>
      <c r="AP890" s="156">
        <f t="shared" si="544"/>
        <v>5.0748372337286858</v>
      </c>
      <c r="AQ890" s="152"/>
      <c r="AR890" s="162">
        <f t="shared" si="545"/>
        <v>99822.022677888832</v>
      </c>
      <c r="AS890" s="150">
        <f t="shared" si="568"/>
        <v>0</v>
      </c>
      <c r="AT890" s="163">
        <f t="shared" si="546"/>
        <v>0</v>
      </c>
      <c r="AU890" s="163">
        <f t="shared" si="547"/>
        <v>100000</v>
      </c>
      <c r="AV890" s="163">
        <f t="shared" si="569"/>
        <v>177.65999807447329</v>
      </c>
      <c r="AW890" s="163">
        <f t="shared" si="548"/>
        <v>99822.34000192552</v>
      </c>
      <c r="AX890" s="163">
        <f t="shared" si="549"/>
        <v>0</v>
      </c>
      <c r="AY890" s="165">
        <f t="shared" si="570"/>
        <v>99822.022677888832</v>
      </c>
      <c r="AZ890" s="164">
        <f>IF($E890="","",IF(OR(AND($D890=Input!$C$6,$C890=12),$AN890=1),0,-AS891+AT891+AU891-AV891-AW891-AX891+AZ891))</f>
        <v>99822.34000192552</v>
      </c>
      <c r="BA890" s="154">
        <f t="shared" si="550"/>
        <v>0.31732403668866027</v>
      </c>
      <c r="BC890" s="147">
        <f t="shared" si="571"/>
        <v>2.4509429483048878E-19</v>
      </c>
      <c r="BD890" s="164">
        <f>IF(AND($C889=12,$D889=Input!$C$6),0,IF($E890="","",AT890+(AU890+BD891)/(1+$AK890)*MIN((1-AM890-AN890),1)))</f>
        <v>0</v>
      </c>
      <c r="BE890" s="164">
        <f t="shared" si="579"/>
        <v>0</v>
      </c>
      <c r="BF890" s="164">
        <f t="shared" si="572"/>
        <v>99822.34000192552</v>
      </c>
      <c r="BG890" s="164">
        <f t="shared" si="552"/>
        <v>2.4465886031101227E-14</v>
      </c>
      <c r="BH890" s="152"/>
      <c r="BI890" s="162">
        <f t="shared" si="553"/>
        <v>-1322.0457327242038</v>
      </c>
      <c r="BJ890" s="150">
        <f t="shared" si="554"/>
        <v>0</v>
      </c>
      <c r="BK890" s="163">
        <f t="shared" si="576"/>
        <v>0</v>
      </c>
      <c r="BL890" s="163">
        <f t="shared" si="555"/>
        <v>9386.0018959034624</v>
      </c>
      <c r="BM890" s="163">
        <f t="shared" si="577"/>
        <v>-23.613767043700843</v>
      </c>
      <c r="BN890" s="163">
        <f t="shared" si="556"/>
        <v>-1111.6059057718483</v>
      </c>
      <c r="BO890" s="163">
        <f t="shared" si="557"/>
        <v>0</v>
      </c>
      <c r="BP890" s="164">
        <f t="shared" si="578"/>
        <v>-11843.267301443215</v>
      </c>
      <c r="BQ890" s="164">
        <f>IF($E890="","",IF(AND($D890=Input!$C$6,$C890=12),0,-BJ891+BK891+BL891-BM891-BN891-BO891+BQ891))</f>
        <v>-11843.231208561876</v>
      </c>
      <c r="BR890" s="161">
        <f t="shared" si="558"/>
        <v>0</v>
      </c>
      <c r="BT890" s="147">
        <f t="shared" si="559"/>
        <v>2.4509429483048878E-19</v>
      </c>
      <c r="BU890" s="164">
        <f>IF(AND($C889=12,$D889=Input!$C$6),0,IF($E890="","",BK890+(BL890+BU891)/(1+$AK890)*MIN((1-T890-U890),1)))</f>
        <v>73206.898073410935</v>
      </c>
      <c r="BV890" s="164">
        <f t="shared" si="560"/>
        <v>1.7942593060030122E-14</v>
      </c>
      <c r="BW890" s="164">
        <f t="shared" si="561"/>
        <v>-11843.231208561876</v>
      </c>
      <c r="BX890" s="164">
        <f t="shared" si="562"/>
        <v>-2.9027084015769105E-15</v>
      </c>
    </row>
    <row r="891" spans="1:76" s="150" customFormat="1" x14ac:dyDescent="0.25">
      <c r="A891" s="150">
        <f t="shared" si="573"/>
        <v>887</v>
      </c>
      <c r="B891" s="150">
        <f t="shared" si="574"/>
        <v>74</v>
      </c>
      <c r="C891" s="150">
        <f t="shared" si="575"/>
        <v>11</v>
      </c>
      <c r="D891" s="150">
        <f>IF(E891="","",Input!$C$4+B891-1)</f>
        <v>118</v>
      </c>
      <c r="E891" s="150">
        <f>IF(OR(AND(C890=12,D890=Input!$C$6),E890=""),"",1)</f>
        <v>1</v>
      </c>
      <c r="F891" s="150">
        <f>IF(E891="","",Input!$C$8+B891-1)</f>
        <v>2091</v>
      </c>
      <c r="G891" s="151">
        <f>IF(E891="","",MAX(0,Input!$C$9-B891))</f>
        <v>0</v>
      </c>
      <c r="H891" s="152">
        <f>IF(E891="","",Input!$C$3)</f>
        <v>100000</v>
      </c>
      <c r="I891" s="153">
        <f>IF(E891="","",HLOOKUP($B891,Input!$C$13:$BT$14,2))</f>
        <v>1000</v>
      </c>
      <c r="J891" s="154"/>
      <c r="K891" s="155">
        <f>IF($E891="","",INDEX(Input!$C$16:$CP$16,1,$B891))</f>
        <v>3.3140000000000003E-2</v>
      </c>
      <c r="L891" s="155">
        <f>IF($E891="","",Input!$C$37)</f>
        <v>1.4999999999999999E-2</v>
      </c>
      <c r="M891" s="155">
        <f t="shared" si="580"/>
        <v>4.8140000000000002E-2</v>
      </c>
      <c r="N891" s="155">
        <f t="shared" si="581"/>
        <v>3.9257828404828388E-3</v>
      </c>
      <c r="O891" s="147">
        <f>IF($E891="","",MIN(VLOOKUP(IF($B891&lt;=Input!$C$7,$B891,26),'Mortality Tables'!$A$41:$CW$67,IF($B891&lt;=Input!$C$7+1,Input!$C$4+2,$D891-Input!$C$7+2),0)*IF(B891&gt;20,Input!$C$22,1)/1000,1))</f>
        <v>1</v>
      </c>
      <c r="P891" s="147">
        <f>IF($E891="","",MIN(VLOOKUP(IF($B891&lt;=Input!$C$7,$B891,26),'Mortality Tables'!$A$12:$CW$37,IF($B891&lt;=Input!$C$7+1,Input!$C$4+2,$D891-Input!$C$7+2),0)*IF(B891&gt;20,Input!$C$22,1)/1000,1))</f>
        <v>1</v>
      </c>
      <c r="Q891" s="155">
        <f>IF($E891="","",Input!$C$21)</f>
        <v>5.0000000000000001E-3</v>
      </c>
      <c r="R891" s="159">
        <f>IF($E891="","",(1-Q891)^($F891-Input!$C$20))</f>
        <v>0.69356136783131794</v>
      </c>
      <c r="S891" s="147">
        <f t="shared" si="541"/>
        <v>0.69356136783131794</v>
      </c>
      <c r="T891" s="147">
        <f t="shared" si="542"/>
        <v>9.3860018959034619E-2</v>
      </c>
      <c r="U891" s="160">
        <f>IF($E891="","",IF($C891=12,INDEX(Input!$C$15:$CP$15,1,$B891),0))</f>
        <v>0</v>
      </c>
      <c r="V891" s="150">
        <f>IF(E891="","",IF(C891=1,IF($B891=1,Input!$C$33,Input!$C$34),0))</f>
        <v>0</v>
      </c>
      <c r="W891" s="156">
        <f>IF($E891="","",Input!$C$35)</f>
        <v>0.02</v>
      </c>
      <c r="X891" s="156">
        <f t="shared" si="582"/>
        <v>4.2443631825525463</v>
      </c>
      <c r="Y891" s="154"/>
      <c r="Z891" s="147">
        <f>IF($E891="","",VLOOKUP($D891,'Mortality Margins &amp; Grading'!$AB$5:$AF$125,3,0)*IF(Summary!$D$25="Included Margin",IF(AND($B891&gt;Input!$C$9,Summary!$D$31&lt;&gt;"Included Margin"),0,1),0))</f>
        <v>0.01</v>
      </c>
      <c r="AA891" s="147">
        <f>IF($E891="","",VLOOKUP($D891,'Mortality Margins &amp; Grading'!$AB$5:$AF$125,5,0)*IF(Summary!$D$25="Included Margin",IF(AND($B891&gt;Input!$C$9,Summary!$D$31&lt;&gt;"Included Margin"),0,1),0))</f>
        <v>5.2999999999999999E-2</v>
      </c>
      <c r="AB891" s="147">
        <f>IF($E891="","",IF(AND($B891&gt;Input!$C$9,Summary!$D$31&lt;&gt;"Included Margin"),1,IF(Summary!$D$25="Included Margin",VLOOKUP($B891,'Mortality Margins &amp; Grading'!$AI$5:$AR$125,MATCH('Mortality Margins &amp; Grading'!$AQ$4,'Mortality Margins &amp; Grading'!$AI$4:$AR$4,0),0),1)))</f>
        <v>0</v>
      </c>
      <c r="AC891" s="154"/>
      <c r="AD891" s="158">
        <f>IF(E891="","",Input!$C$48*IF(Summary!$D$30="Included Margin",IF(AND($B891&gt;Input!$C$9,Summary!$D$31&lt;&gt;"Included Margin"),0,1),0))</f>
        <v>-4.4999999999999997E-3</v>
      </c>
      <c r="AE891" s="159">
        <f>IF(E891="","",IF(Summary!$D$26="Included Margin",IF(AND($B891&gt;Input!$C$9,Summary!$D$31&lt;&gt;"Included Margin"),1,1/$R891),1))</f>
        <v>1.4418334791726914</v>
      </c>
      <c r="AF891" s="160">
        <f>IF(E891="","",IF(AND($B891&gt;=Input!$C$9,$C891=12,Summary!$D$31="Included Margin",$U891&gt;0),1/U891-1,IF($B891&gt;=Input!$C$9,0,Input!$C$45*IF(Summary!$D$27="Included Margin",1,0))))</f>
        <v>0</v>
      </c>
      <c r="AG891" s="160">
        <f>IF(E891="","",Input!$C$46*IF(Summary!$D$28="Included Margin",IF(AND($B891&gt;Input!$C$9,Summary!$D$31&lt;&gt;"Included Margin"),0,1),0))</f>
        <v>0.02</v>
      </c>
      <c r="AH891" s="158">
        <f>IF(E891="","",Input!$C$47*IF(Summary!$D$29="Included Margin",IF(AND($B891&gt;Input!$C$9,Summary!$D$31&lt;&gt;"Included Margin"),0,1),0))</f>
        <v>2.5000000000000001E-3</v>
      </c>
      <c r="AI891" s="154"/>
      <c r="AJ891" s="158">
        <f t="shared" si="563"/>
        <v>4.3640000000000005E-2</v>
      </c>
      <c r="AK891" s="155">
        <f t="shared" si="564"/>
        <v>3.565892922956726E-3</v>
      </c>
      <c r="AL891" s="147">
        <f t="shared" si="565"/>
        <v>1</v>
      </c>
      <c r="AM891" s="147">
        <f t="shared" si="543"/>
        <v>1</v>
      </c>
      <c r="AN891" s="160">
        <f t="shared" si="566"/>
        <v>0</v>
      </c>
      <c r="AO891" s="161">
        <f t="shared" si="567"/>
        <v>0</v>
      </c>
      <c r="AP891" s="156">
        <f t="shared" si="544"/>
        <v>5.0748372337286858</v>
      </c>
      <c r="AQ891" s="152"/>
      <c r="AR891" s="162">
        <f t="shared" si="545"/>
        <v>99822.022677888832</v>
      </c>
      <c r="AS891" s="150">
        <f t="shared" si="568"/>
        <v>0</v>
      </c>
      <c r="AT891" s="163">
        <f t="shared" si="546"/>
        <v>0</v>
      </c>
      <c r="AU891" s="163">
        <f t="shared" si="547"/>
        <v>100000</v>
      </c>
      <c r="AV891" s="163">
        <f t="shared" si="569"/>
        <v>177.65999807447329</v>
      </c>
      <c r="AW891" s="163">
        <f t="shared" si="548"/>
        <v>99822.34000192552</v>
      </c>
      <c r="AX891" s="163">
        <f t="shared" si="549"/>
        <v>0</v>
      </c>
      <c r="AY891" s="164">
        <f t="shared" si="570"/>
        <v>99822.022677888832</v>
      </c>
      <c r="AZ891" s="164">
        <f>IF($E891="","",IF(OR(AND($D891=Input!$C$6,$C891=12),$AN891=1),0,-AS892+AT892+AU892-AV892-AW892-AX892+AZ892))</f>
        <v>99822.34000192552</v>
      </c>
      <c r="BA891" s="154">
        <f t="shared" si="550"/>
        <v>0.31732403668866027</v>
      </c>
      <c r="BC891" s="147">
        <f t="shared" si="571"/>
        <v>2.2208973967094791E-19</v>
      </c>
      <c r="BD891" s="164">
        <f>IF(AND($C890=12,$D890=Input!$C$6),0,IF($E891="","",AT891+(AU891+BD892)/(1+$AK891)*MIN((1-AM891-AN891),1)))</f>
        <v>0</v>
      </c>
      <c r="BE891" s="164">
        <f t="shared" si="579"/>
        <v>0</v>
      </c>
      <c r="BF891" s="164">
        <f t="shared" si="572"/>
        <v>99822.34000192552</v>
      </c>
      <c r="BG891" s="164">
        <f t="shared" si="552"/>
        <v>2.2169517504372489E-14</v>
      </c>
      <c r="BH891" s="152"/>
      <c r="BI891" s="162">
        <f t="shared" si="553"/>
        <v>-11843.267301443213</v>
      </c>
      <c r="BJ891" s="150">
        <f t="shared" si="554"/>
        <v>0</v>
      </c>
      <c r="BK891" s="163">
        <f t="shared" si="576"/>
        <v>0</v>
      </c>
      <c r="BL891" s="163">
        <f t="shared" si="555"/>
        <v>9386.0018959034624</v>
      </c>
      <c r="BM891" s="163">
        <f t="shared" si="577"/>
        <v>-64.917798139095865</v>
      </c>
      <c r="BN891" s="163">
        <f t="shared" si="556"/>
        <v>-2205.6960836657299</v>
      </c>
      <c r="BO891" s="163">
        <f t="shared" si="557"/>
        <v>0</v>
      </c>
      <c r="BP891" s="164">
        <f t="shared" si="578"/>
        <v>-23499.883079151503</v>
      </c>
      <c r="BQ891" s="164">
        <f>IF($E891="","",IF(AND($D891=Input!$C$6,$C891=12),0,-BJ892+BK892+BL892-BM892-BN892-BO892+BQ892))</f>
        <v>-23499.846986270164</v>
      </c>
      <c r="BR891" s="161">
        <f t="shared" si="558"/>
        <v>0</v>
      </c>
      <c r="BT891" s="147">
        <f t="shared" si="559"/>
        <v>2.2208973967094791E-19</v>
      </c>
      <c r="BU891" s="164">
        <f>IF(AND($C890=12,$D890=Input!$C$6),0,IF($E891="","",BK891+(BL891+BU892)/(1+$AK891)*MIN((1-T891-U891),1)))</f>
        <v>71691.919363859532</v>
      </c>
      <c r="BV891" s="164">
        <f t="shared" si="560"/>
        <v>1.5922039708030152E-14</v>
      </c>
      <c r="BW891" s="164">
        <f t="shared" si="561"/>
        <v>-23499.846986270164</v>
      </c>
      <c r="BX891" s="164">
        <f t="shared" si="562"/>
        <v>-5.2190748994878507E-15</v>
      </c>
    </row>
    <row r="892" spans="1:76" s="150" customFormat="1" x14ac:dyDescent="0.25">
      <c r="A892" s="150">
        <f t="shared" si="573"/>
        <v>888</v>
      </c>
      <c r="B892" s="150">
        <f t="shared" si="574"/>
        <v>74</v>
      </c>
      <c r="C892" s="150">
        <f t="shared" si="575"/>
        <v>12</v>
      </c>
      <c r="D892" s="150">
        <f>IF(E892="","",Input!$C$4+B892-1)</f>
        <v>118</v>
      </c>
      <c r="E892" s="150">
        <f>IF(OR(AND(C891=12,D891=Input!$C$6),E891=""),"",1)</f>
        <v>1</v>
      </c>
      <c r="F892" s="150">
        <f>IF(E892="","",Input!$C$8+B892-1)</f>
        <v>2091</v>
      </c>
      <c r="G892" s="151">
        <f>IF(E892="","",MAX(0,Input!$C$9-B892))</f>
        <v>0</v>
      </c>
      <c r="H892" s="152">
        <f>IF(E892="","",Input!$C$3)</f>
        <v>100000</v>
      </c>
      <c r="I892" s="153">
        <f>IF(E892="","",HLOOKUP($B892,Input!$C$13:$BT$14,2))</f>
        <v>1000</v>
      </c>
      <c r="J892" s="154"/>
      <c r="K892" s="155">
        <f>IF($E892="","",INDEX(Input!$C$16:$CP$16,1,$B892))</f>
        <v>3.3140000000000003E-2</v>
      </c>
      <c r="L892" s="155">
        <f>IF($E892="","",Input!$C$37)</f>
        <v>1.4999999999999999E-2</v>
      </c>
      <c r="M892" s="155">
        <f t="shared" si="580"/>
        <v>4.8140000000000002E-2</v>
      </c>
      <c r="N892" s="155">
        <f t="shared" si="581"/>
        <v>3.9257828404828388E-3</v>
      </c>
      <c r="O892" s="147">
        <f>IF($E892="","",MIN(VLOOKUP(IF($B892&lt;=Input!$C$7,$B892,26),'Mortality Tables'!$A$41:$CW$67,IF($B892&lt;=Input!$C$7+1,Input!$C$4+2,$D892-Input!$C$7+2),0)*IF(B892&gt;20,Input!$C$22,1)/1000,1))</f>
        <v>1</v>
      </c>
      <c r="P892" s="147">
        <f>IF($E892="","",MIN(VLOOKUP(IF($B892&lt;=Input!$C$7,$B892,26),'Mortality Tables'!$A$12:$CW$37,IF($B892&lt;=Input!$C$7+1,Input!$C$4+2,$D892-Input!$C$7+2),0)*IF(B892&gt;20,Input!$C$22,1)/1000,1))</f>
        <v>1</v>
      </c>
      <c r="Q892" s="155">
        <f>IF($E892="","",Input!$C$21)</f>
        <v>5.0000000000000001E-3</v>
      </c>
      <c r="R892" s="159">
        <f>IF($E892="","",(1-Q892)^($F892-Input!$C$20))</f>
        <v>0.69356136783131794</v>
      </c>
      <c r="S892" s="147">
        <f t="shared" si="541"/>
        <v>0.69356136783131794</v>
      </c>
      <c r="T892" s="147">
        <f t="shared" si="542"/>
        <v>9.3860018959034619E-2</v>
      </c>
      <c r="U892" s="160">
        <f>IF($E892="","",IF($C892=12,INDEX(Input!$C$15:$CP$15,1,$B892),0))</f>
        <v>0.1</v>
      </c>
      <c r="V892" s="150">
        <f>IF(E892="","",IF(C892=1,IF($B892=1,Input!$C$33,Input!$C$34),0))</f>
        <v>0</v>
      </c>
      <c r="W892" s="156">
        <f>IF($E892="","",Input!$C$35)</f>
        <v>0.02</v>
      </c>
      <c r="X892" s="156">
        <f t="shared" si="582"/>
        <v>4.2443631825525463</v>
      </c>
      <c r="Y892" s="154"/>
      <c r="Z892" s="147">
        <f>IF($E892="","",VLOOKUP($D892,'Mortality Margins &amp; Grading'!$AB$5:$AF$125,3,0)*IF(Summary!$D$25="Included Margin",IF(AND($B892&gt;Input!$C$9,Summary!$D$31&lt;&gt;"Included Margin"),0,1),0))</f>
        <v>0.01</v>
      </c>
      <c r="AA892" s="147">
        <f>IF($E892="","",VLOOKUP($D892,'Mortality Margins &amp; Grading'!$AB$5:$AF$125,5,0)*IF(Summary!$D$25="Included Margin",IF(AND($B892&gt;Input!$C$9,Summary!$D$31&lt;&gt;"Included Margin"),0,1),0))</f>
        <v>5.2999999999999999E-2</v>
      </c>
      <c r="AB892" s="147">
        <f>IF($E892="","",IF(AND($B892&gt;Input!$C$9,Summary!$D$31&lt;&gt;"Included Margin"),1,IF(Summary!$D$25="Included Margin",VLOOKUP($B892,'Mortality Margins &amp; Grading'!$AI$5:$AR$125,MATCH('Mortality Margins &amp; Grading'!$AQ$4,'Mortality Margins &amp; Grading'!$AI$4:$AR$4,0),0),1)))</f>
        <v>0</v>
      </c>
      <c r="AC892" s="154"/>
      <c r="AD892" s="158">
        <f>IF(E892="","",Input!$C$48*IF(Summary!$D$30="Included Margin",IF(AND($B892&gt;Input!$C$9,Summary!$D$31&lt;&gt;"Included Margin"),0,1),0))</f>
        <v>-4.4999999999999997E-3</v>
      </c>
      <c r="AE892" s="159">
        <f>IF(E892="","",IF(Summary!$D$26="Included Margin",IF(AND($B892&gt;Input!$C$9,Summary!$D$31&lt;&gt;"Included Margin"),1,1/$R892),1))</f>
        <v>1.4418334791726914</v>
      </c>
      <c r="AF892" s="160">
        <f>IF(E892="","",IF(AND($B892&gt;=Input!$C$9,$C892=12,Summary!$D$31="Included Margin",$U892&gt;0),1/U892-1,IF($B892&gt;=Input!$C$9,0,Input!$C$45*IF(Summary!$D$27="Included Margin",1,0))))</f>
        <v>9</v>
      </c>
      <c r="AG892" s="160">
        <f>IF(E892="","",Input!$C$46*IF(Summary!$D$28="Included Margin",IF(AND($B892&gt;Input!$C$9,Summary!$D$31&lt;&gt;"Included Margin"),0,1),0))</f>
        <v>0.02</v>
      </c>
      <c r="AH892" s="158">
        <f>IF(E892="","",Input!$C$47*IF(Summary!$D$29="Included Margin",IF(AND($B892&gt;Input!$C$9,Summary!$D$31&lt;&gt;"Included Margin"),0,1),0))</f>
        <v>2.5000000000000001E-3</v>
      </c>
      <c r="AI892" s="154"/>
      <c r="AJ892" s="158">
        <f t="shared" si="563"/>
        <v>4.3640000000000005E-2</v>
      </c>
      <c r="AK892" s="155">
        <f t="shared" si="564"/>
        <v>3.565892922956726E-3</v>
      </c>
      <c r="AL892" s="147">
        <f t="shared" si="565"/>
        <v>1</v>
      </c>
      <c r="AM892" s="147">
        <f t="shared" si="543"/>
        <v>1</v>
      </c>
      <c r="AN892" s="160">
        <f t="shared" si="566"/>
        <v>1</v>
      </c>
      <c r="AO892" s="161">
        <f t="shared" si="567"/>
        <v>0</v>
      </c>
      <c r="AP892" s="156">
        <f t="shared" si="544"/>
        <v>5.0748372337286858</v>
      </c>
      <c r="AQ892" s="152"/>
      <c r="AR892" s="162">
        <f t="shared" si="545"/>
        <v>99822.022677888832</v>
      </c>
      <c r="AS892" s="150">
        <f t="shared" si="568"/>
        <v>0</v>
      </c>
      <c r="AT892" s="163">
        <f t="shared" si="546"/>
        <v>0</v>
      </c>
      <c r="AU892" s="163">
        <f t="shared" si="547"/>
        <v>100000</v>
      </c>
      <c r="AV892" s="163">
        <f t="shared" si="569"/>
        <v>177.65999807447329</v>
      </c>
      <c r="AW892" s="163">
        <f t="shared" si="548"/>
        <v>0</v>
      </c>
      <c r="AX892" s="163">
        <f t="shared" si="549"/>
        <v>0</v>
      </c>
      <c r="AY892" s="165">
        <f t="shared" si="570"/>
        <v>-0.31732403669488463</v>
      </c>
      <c r="AZ892" s="164">
        <f>IF($E892="","",IF(OR(AND($D892=Input!$C$6,$C892=12),$AN892=1),0,-AS893+AT893+AU893-AV893-AW893-AX893+AZ893))</f>
        <v>0</v>
      </c>
      <c r="BA892" s="154">
        <f t="shared" si="550"/>
        <v>0.31732403669488463</v>
      </c>
      <c r="BC892" s="147">
        <f t="shared" si="571"/>
        <v>1.7903541852773088E-19</v>
      </c>
      <c r="BD892" s="164">
        <f>IF(AND($C891=12,$D891=Input!$C$6),0,IF($E892="","",AT892+(AU892+BD893)/(1+$AK892)*MIN((1-AM892-AN892),1)))</f>
        <v>-99908.377498380301</v>
      </c>
      <c r="BE892" s="164">
        <f t="shared" si="579"/>
        <v>-1.7887138179849048E-14</v>
      </c>
      <c r="BF892" s="164">
        <f t="shared" si="572"/>
        <v>0</v>
      </c>
      <c r="BG892" s="164">
        <f t="shared" si="552"/>
        <v>0</v>
      </c>
      <c r="BH892" s="152"/>
      <c r="BI892" s="162">
        <f t="shared" si="553"/>
        <v>-23499.883079151507</v>
      </c>
      <c r="BJ892" s="150">
        <f t="shared" si="554"/>
        <v>0</v>
      </c>
      <c r="BK892" s="163">
        <f t="shared" si="576"/>
        <v>0</v>
      </c>
      <c r="BL892" s="163">
        <f t="shared" si="555"/>
        <v>9386.0018959034624</v>
      </c>
      <c r="BM892" s="163">
        <f t="shared" si="577"/>
        <v>-110.67914033732461</v>
      </c>
      <c r="BN892" s="163">
        <f t="shared" si="556"/>
        <v>-3797.6162753540898</v>
      </c>
      <c r="BO892" s="163">
        <f t="shared" si="557"/>
        <v>-3666.2808913901058</v>
      </c>
      <c r="BP892" s="164">
        <f t="shared" si="578"/>
        <v>-40460.461282136494</v>
      </c>
      <c r="BQ892" s="164">
        <f>IF($E892="","",IF(AND($D892=Input!$C$6,$C892=12),0,-BJ893+BK893+BL893-BM893-BN893-BO893+BQ893))</f>
        <v>-40460.425189255147</v>
      </c>
      <c r="BR892" s="161">
        <f t="shared" si="558"/>
        <v>0</v>
      </c>
      <c r="BT892" s="147">
        <f t="shared" si="559"/>
        <v>1.7903541852773088E-19</v>
      </c>
      <c r="BU892" s="164">
        <f>IF(AND($C891=12,$D891=Input!$C$6),0,IF($E892="","",BK892+(BL892+BU893)/(1+$AK892)*MIN((1-T892-U892),1)))</f>
        <v>70014.053920086008</v>
      </c>
      <c r="BV892" s="164">
        <f t="shared" si="560"/>
        <v>1.2534995446405716E-14</v>
      </c>
      <c r="BW892" s="164">
        <f t="shared" si="561"/>
        <v>-40460.425189255147</v>
      </c>
      <c r="BX892" s="164">
        <f t="shared" si="562"/>
        <v>-7.2438491575682405E-15</v>
      </c>
    </row>
    <row r="893" spans="1:76" s="150" customFormat="1" x14ac:dyDescent="0.25">
      <c r="A893" s="150">
        <f t="shared" si="573"/>
        <v>889</v>
      </c>
      <c r="B893" s="150">
        <f t="shared" si="574"/>
        <v>75</v>
      </c>
      <c r="C893" s="150">
        <f t="shared" si="575"/>
        <v>1</v>
      </c>
      <c r="D893" s="150">
        <f>IF(E893="","",Input!$C$4+B893-1)</f>
        <v>119</v>
      </c>
      <c r="E893" s="150">
        <f>IF(OR(AND(C892=12,D892=Input!$C$6),E892=""),"",1)</f>
        <v>1</v>
      </c>
      <c r="F893" s="150">
        <f>IF(E893="","",Input!$C$8+B893-1)</f>
        <v>2092</v>
      </c>
      <c r="G893" s="151">
        <f>IF(E893="","",MAX(0,Input!$C$9-B893))</f>
        <v>0</v>
      </c>
      <c r="H893" s="152">
        <f>IF(E893="","",Input!$C$3)</f>
        <v>100000</v>
      </c>
      <c r="I893" s="153">
        <f>IF(E893="","",HLOOKUP($B893,Input!$C$13:$BT$14,2))</f>
        <v>1000</v>
      </c>
      <c r="J893" s="154"/>
      <c r="K893" s="155">
        <f>IF($E893="","",INDEX(Input!$C$16:$CP$16,1,$B893))</f>
        <v>3.3140000000000003E-2</v>
      </c>
      <c r="L893" s="155">
        <f>IF($E893="","",Input!$C$37)</f>
        <v>1.4999999999999999E-2</v>
      </c>
      <c r="M893" s="155">
        <f t="shared" si="580"/>
        <v>4.8140000000000002E-2</v>
      </c>
      <c r="N893" s="155">
        <f t="shared" si="581"/>
        <v>3.9257828404828388E-3</v>
      </c>
      <c r="O893" s="147">
        <f>IF($E893="","",MIN(VLOOKUP(IF($B893&lt;=Input!$C$7,$B893,26),'Mortality Tables'!$A$41:$CW$67,IF($B893&lt;=Input!$C$7+1,Input!$C$4+2,$D893-Input!$C$7+2),0)*IF(B893&gt;20,Input!$C$22,1)/1000,1))</f>
        <v>1</v>
      </c>
      <c r="P893" s="147">
        <f>IF($E893="","",MIN(VLOOKUP(IF($B893&lt;=Input!$C$7,$B893,26),'Mortality Tables'!$A$12:$CW$37,IF($B893&lt;=Input!$C$7+1,Input!$C$4+2,$D893-Input!$C$7+2),0)*IF(B893&gt;20,Input!$C$22,1)/1000,1))</f>
        <v>1</v>
      </c>
      <c r="Q893" s="155">
        <f>IF($E893="","",Input!$C$21)</f>
        <v>5.0000000000000001E-3</v>
      </c>
      <c r="R893" s="159">
        <f>IF($E893="","",(1-Q893)^($F893-Input!$C$20))</f>
        <v>0.69009356099216146</v>
      </c>
      <c r="S893" s="147">
        <f t="shared" si="541"/>
        <v>0.69009356099216146</v>
      </c>
      <c r="T893" s="147">
        <f t="shared" si="542"/>
        <v>9.300989307158114E-2</v>
      </c>
      <c r="U893" s="160">
        <f>IF($E893="","",IF($C893=12,INDEX(Input!$C$15:$CP$15,1,$B893),0))</f>
        <v>0</v>
      </c>
      <c r="V893" s="150">
        <f>IF(E893="","",IF(C893=1,IF($B893=1,Input!$C$33,Input!$C$34),0))</f>
        <v>50</v>
      </c>
      <c r="W893" s="156">
        <f>IF($E893="","",Input!$C$35)</f>
        <v>0.02</v>
      </c>
      <c r="X893" s="156">
        <f t="shared" si="582"/>
        <v>4.3292504462035977</v>
      </c>
      <c r="Y893" s="154"/>
      <c r="Z893" s="147">
        <f>IF($E893="","",VLOOKUP($D893,'Mortality Margins &amp; Grading'!$AB$5:$AF$125,3,0)*IF(Summary!$D$25="Included Margin",IF(AND($B893&gt;Input!$C$9,Summary!$D$31&lt;&gt;"Included Margin"),0,1),0))</f>
        <v>0.01</v>
      </c>
      <c r="AA893" s="147">
        <f>IF($E893="","",VLOOKUP($D893,'Mortality Margins &amp; Grading'!$AB$5:$AF$125,5,0)*IF(Summary!$D$25="Included Margin",IF(AND($B893&gt;Input!$C$9,Summary!$D$31&lt;&gt;"Included Margin"),0,1),0))</f>
        <v>5.2999999999999999E-2</v>
      </c>
      <c r="AB893" s="147">
        <f>IF($E893="","",IF(AND($B893&gt;Input!$C$9,Summary!$D$31&lt;&gt;"Included Margin"),1,IF(Summary!$D$25="Included Margin",VLOOKUP($B893,'Mortality Margins &amp; Grading'!$AI$5:$AR$125,MATCH('Mortality Margins &amp; Grading'!$AQ$4,'Mortality Margins &amp; Grading'!$AI$4:$AR$4,0),0),1)))</f>
        <v>0</v>
      </c>
      <c r="AC893" s="154"/>
      <c r="AD893" s="158">
        <f>IF(E893="","",Input!$C$48*IF(Summary!$D$30="Included Margin",IF(AND($B893&gt;Input!$C$9,Summary!$D$31&lt;&gt;"Included Margin"),0,1),0))</f>
        <v>-4.4999999999999997E-3</v>
      </c>
      <c r="AE893" s="159">
        <f>IF(E893="","",IF(Summary!$D$26="Included Margin",IF(AND($B893&gt;Input!$C$9,Summary!$D$31&lt;&gt;"Included Margin"),1,1/$R893),1))</f>
        <v>1.4490788735403932</v>
      </c>
      <c r="AF893" s="160">
        <f>IF(E893="","",IF(AND($B893&gt;=Input!$C$9,$C893=12,Summary!$D$31="Included Margin",$U893&gt;0),1/U893-1,IF($B893&gt;=Input!$C$9,0,Input!$C$45*IF(Summary!$D$27="Included Margin",1,0))))</f>
        <v>0</v>
      </c>
      <c r="AG893" s="160">
        <f>IF(E893="","",Input!$C$46*IF(Summary!$D$28="Included Margin",IF(AND($B893&gt;Input!$C$9,Summary!$D$31&lt;&gt;"Included Margin"),0,1),0))</f>
        <v>0.02</v>
      </c>
      <c r="AH893" s="158">
        <f>IF(E893="","",Input!$C$47*IF(Summary!$D$29="Included Margin",IF(AND($B893&gt;Input!$C$9,Summary!$D$31&lt;&gt;"Included Margin"),0,1),0))</f>
        <v>2.5000000000000001E-3</v>
      </c>
      <c r="AI893" s="154"/>
      <c r="AJ893" s="158">
        <f t="shared" si="563"/>
        <v>4.3640000000000005E-2</v>
      </c>
      <c r="AK893" s="155">
        <f t="shared" si="564"/>
        <v>3.565892922956726E-3</v>
      </c>
      <c r="AL893" s="147">
        <f t="shared" si="565"/>
        <v>1</v>
      </c>
      <c r="AM893" s="147">
        <f t="shared" si="543"/>
        <v>1</v>
      </c>
      <c r="AN893" s="160">
        <f t="shared" si="566"/>
        <v>0</v>
      </c>
      <c r="AO893" s="161">
        <f t="shared" si="567"/>
        <v>51</v>
      </c>
      <c r="AP893" s="156">
        <f t="shared" si="544"/>
        <v>5.1890210714875806</v>
      </c>
      <c r="AQ893" s="152"/>
      <c r="AR893" s="162">
        <f t="shared" si="545"/>
        <v>86.662752534698427</v>
      </c>
      <c r="AS893" s="150">
        <f t="shared" si="568"/>
        <v>100000</v>
      </c>
      <c r="AT893" s="163">
        <f t="shared" si="546"/>
        <v>264.6400746458666</v>
      </c>
      <c r="AU893" s="163">
        <f t="shared" si="547"/>
        <v>100000</v>
      </c>
      <c r="AV893" s="163">
        <f t="shared" si="569"/>
        <v>177.65999807447329</v>
      </c>
      <c r="AW893" s="163">
        <f t="shared" si="548"/>
        <v>99822.34000192552</v>
      </c>
      <c r="AX893" s="163">
        <f t="shared" si="549"/>
        <v>0</v>
      </c>
      <c r="AY893" s="164">
        <f t="shared" si="570"/>
        <v>99822.022677888832</v>
      </c>
      <c r="AZ893" s="164">
        <f>IF($E893="","",IF(OR(AND($D893=Input!$C$6,$C893=12),$AN893=1),0,-AS894+AT894+AU894-AV894-AW894-AX894+AZ894))</f>
        <v>99822.34000192552</v>
      </c>
      <c r="BA893" s="154">
        <f t="shared" si="550"/>
        <v>0.31732403668866027</v>
      </c>
      <c r="BC893" s="147">
        <f t="shared" si="571"/>
        <v>1.6238335339444086E-19</v>
      </c>
      <c r="BD893" s="164">
        <f>IF(AND($C892=12,$D892=Input!$C$6),0,IF($E893="","",AT893+(AU893+BD894)/(1+$AK893)*MIN((1-AM893-AN893),1)))</f>
        <v>264.6400746458666</v>
      </c>
      <c r="BE893" s="164">
        <f t="shared" si="579"/>
        <v>4.2973142763550965E-17</v>
      </c>
      <c r="BF893" s="164">
        <f t="shared" si="572"/>
        <v>99822.34000192552</v>
      </c>
      <c r="BG893" s="164">
        <f t="shared" si="552"/>
        <v>1.62094863131927E-14</v>
      </c>
      <c r="BH893" s="152"/>
      <c r="BI893" s="162">
        <f t="shared" si="553"/>
        <v>-40460.46095522953</v>
      </c>
      <c r="BJ893" s="150">
        <f t="shared" si="554"/>
        <v>100000</v>
      </c>
      <c r="BK893" s="163">
        <f t="shared" si="576"/>
        <v>216.46252231017988</v>
      </c>
      <c r="BL893" s="163">
        <f t="shared" si="555"/>
        <v>9300.9893071581137</v>
      </c>
      <c r="BM893" s="163">
        <f t="shared" si="577"/>
        <v>214.6326837457471</v>
      </c>
      <c r="BN893" s="163">
        <f t="shared" si="556"/>
        <v>5151.6717073030159</v>
      </c>
      <c r="BO893" s="163">
        <f t="shared" si="557"/>
        <v>0</v>
      </c>
      <c r="BP893" s="164">
        <f t="shared" si="578"/>
        <v>55388.391606350939</v>
      </c>
      <c r="BQ893" s="164">
        <f>IF($E893="","",IF(AND($D893=Input!$C$6,$C893=12),0,-BJ894+BK894+BL894-BM894-BN894-BO894+BQ894))</f>
        <v>55388.427372325321</v>
      </c>
      <c r="BR893" s="161">
        <f t="shared" si="558"/>
        <v>0</v>
      </c>
      <c r="BT893" s="147">
        <f t="shared" si="559"/>
        <v>1.6238335339444086E-19</v>
      </c>
      <c r="BU893" s="164">
        <f>IF(AND($C892=12,$D892=Input!$C$6),0,IF($E893="","",BK893+(BL893+BU894)/(1+$AK893)*MIN((1-T893-U893),1)))</f>
        <v>77774.687552517018</v>
      </c>
      <c r="BV893" s="164">
        <f t="shared" si="560"/>
        <v>1.2629314573982592E-14</v>
      </c>
      <c r="BW893" s="164">
        <f t="shared" si="561"/>
        <v>55388.427372325321</v>
      </c>
      <c r="BX893" s="164">
        <f t="shared" si="562"/>
        <v>8.9941585759626245E-15</v>
      </c>
    </row>
    <row r="894" spans="1:76" s="150" customFormat="1" x14ac:dyDescent="0.25">
      <c r="A894" s="150">
        <f t="shared" si="573"/>
        <v>890</v>
      </c>
      <c r="B894" s="150">
        <f t="shared" si="574"/>
        <v>75</v>
      </c>
      <c r="C894" s="150">
        <f t="shared" si="575"/>
        <v>2</v>
      </c>
      <c r="D894" s="150">
        <f>IF(E894="","",Input!$C$4+B894-1)</f>
        <v>119</v>
      </c>
      <c r="E894" s="150">
        <f>IF(OR(AND(C893=12,D893=Input!$C$6),E893=""),"",1)</f>
        <v>1</v>
      </c>
      <c r="F894" s="150">
        <f>IF(E894="","",Input!$C$8+B894-1)</f>
        <v>2092</v>
      </c>
      <c r="G894" s="151">
        <f>IF(E894="","",MAX(0,Input!$C$9-B894))</f>
        <v>0</v>
      </c>
      <c r="H894" s="152">
        <f>IF(E894="","",Input!$C$3)</f>
        <v>100000</v>
      </c>
      <c r="I894" s="153">
        <f>IF(E894="","",HLOOKUP($B894,Input!$C$13:$BT$14,2))</f>
        <v>1000</v>
      </c>
      <c r="J894" s="154"/>
      <c r="K894" s="155">
        <f>IF($E894="","",INDEX(Input!$C$16:$CP$16,1,$B894))</f>
        <v>3.3140000000000003E-2</v>
      </c>
      <c r="L894" s="155">
        <f>IF($E894="","",Input!$C$37)</f>
        <v>1.4999999999999999E-2</v>
      </c>
      <c r="M894" s="155">
        <f t="shared" si="580"/>
        <v>4.8140000000000002E-2</v>
      </c>
      <c r="N894" s="155">
        <f t="shared" si="581"/>
        <v>3.9257828404828388E-3</v>
      </c>
      <c r="O894" s="147">
        <f>IF($E894="","",MIN(VLOOKUP(IF($B894&lt;=Input!$C$7,$B894,26),'Mortality Tables'!$A$41:$CW$67,IF($B894&lt;=Input!$C$7+1,Input!$C$4+2,$D894-Input!$C$7+2),0)*IF(B894&gt;20,Input!$C$22,1)/1000,1))</f>
        <v>1</v>
      </c>
      <c r="P894" s="147">
        <f>IF($E894="","",MIN(VLOOKUP(IF($B894&lt;=Input!$C$7,$B894,26),'Mortality Tables'!$A$12:$CW$37,IF($B894&lt;=Input!$C$7+1,Input!$C$4+2,$D894-Input!$C$7+2),0)*IF(B894&gt;20,Input!$C$22,1)/1000,1))</f>
        <v>1</v>
      </c>
      <c r="Q894" s="155">
        <f>IF($E894="","",Input!$C$21)</f>
        <v>5.0000000000000001E-3</v>
      </c>
      <c r="R894" s="159">
        <f>IF($E894="","",(1-Q894)^($F894-Input!$C$20))</f>
        <v>0.69009356099216146</v>
      </c>
      <c r="S894" s="147">
        <f t="shared" si="541"/>
        <v>0.69009356099216146</v>
      </c>
      <c r="T894" s="147">
        <f t="shared" si="542"/>
        <v>9.300989307158114E-2</v>
      </c>
      <c r="U894" s="160">
        <f>IF($E894="","",IF($C894=12,INDEX(Input!$C$15:$CP$15,1,$B894),0))</f>
        <v>0</v>
      </c>
      <c r="V894" s="150">
        <f>IF(E894="","",IF(C894=1,IF($B894=1,Input!$C$33,Input!$C$34),0))</f>
        <v>0</v>
      </c>
      <c r="W894" s="156">
        <f>IF($E894="","",Input!$C$35)</f>
        <v>0.02</v>
      </c>
      <c r="X894" s="156">
        <f t="shared" si="582"/>
        <v>4.3292504462035977</v>
      </c>
      <c r="Y894" s="154"/>
      <c r="Z894" s="147">
        <f>IF($E894="","",VLOOKUP($D894,'Mortality Margins &amp; Grading'!$AB$5:$AF$125,3,0)*IF(Summary!$D$25="Included Margin",IF(AND($B894&gt;Input!$C$9,Summary!$D$31&lt;&gt;"Included Margin"),0,1),0))</f>
        <v>0.01</v>
      </c>
      <c r="AA894" s="147">
        <f>IF($E894="","",VLOOKUP($D894,'Mortality Margins &amp; Grading'!$AB$5:$AF$125,5,0)*IF(Summary!$D$25="Included Margin",IF(AND($B894&gt;Input!$C$9,Summary!$D$31&lt;&gt;"Included Margin"),0,1),0))</f>
        <v>5.2999999999999999E-2</v>
      </c>
      <c r="AB894" s="147">
        <f>IF($E894="","",IF(AND($B894&gt;Input!$C$9,Summary!$D$31&lt;&gt;"Included Margin"),1,IF(Summary!$D$25="Included Margin",VLOOKUP($B894,'Mortality Margins &amp; Grading'!$AI$5:$AR$125,MATCH('Mortality Margins &amp; Grading'!$AQ$4,'Mortality Margins &amp; Grading'!$AI$4:$AR$4,0),0),1)))</f>
        <v>0</v>
      </c>
      <c r="AC894" s="154"/>
      <c r="AD894" s="158">
        <f>IF(E894="","",Input!$C$48*IF(Summary!$D$30="Included Margin",IF(AND($B894&gt;Input!$C$9,Summary!$D$31&lt;&gt;"Included Margin"),0,1),0))</f>
        <v>-4.4999999999999997E-3</v>
      </c>
      <c r="AE894" s="159">
        <f>IF(E894="","",IF(Summary!$D$26="Included Margin",IF(AND($B894&gt;Input!$C$9,Summary!$D$31&lt;&gt;"Included Margin"),1,1/$R894),1))</f>
        <v>1.4490788735403932</v>
      </c>
      <c r="AF894" s="160">
        <f>IF(E894="","",IF(AND($B894&gt;=Input!$C$9,$C894=12,Summary!$D$31="Included Margin",$U894&gt;0),1/U894-1,IF($B894&gt;=Input!$C$9,0,Input!$C$45*IF(Summary!$D$27="Included Margin",1,0))))</f>
        <v>0</v>
      </c>
      <c r="AG894" s="160">
        <f>IF(E894="","",Input!$C$46*IF(Summary!$D$28="Included Margin",IF(AND($B894&gt;Input!$C$9,Summary!$D$31&lt;&gt;"Included Margin"),0,1),0))</f>
        <v>0.02</v>
      </c>
      <c r="AH894" s="158">
        <f>IF(E894="","",Input!$C$47*IF(Summary!$D$29="Included Margin",IF(AND($B894&gt;Input!$C$9,Summary!$D$31&lt;&gt;"Included Margin"),0,1),0))</f>
        <v>2.5000000000000001E-3</v>
      </c>
      <c r="AI894" s="154"/>
      <c r="AJ894" s="158">
        <f t="shared" si="563"/>
        <v>4.3640000000000005E-2</v>
      </c>
      <c r="AK894" s="155">
        <f t="shared" si="564"/>
        <v>3.565892922956726E-3</v>
      </c>
      <c r="AL894" s="147">
        <f t="shared" si="565"/>
        <v>1</v>
      </c>
      <c r="AM894" s="147">
        <f t="shared" si="543"/>
        <v>1</v>
      </c>
      <c r="AN894" s="160">
        <f t="shared" si="566"/>
        <v>0</v>
      </c>
      <c r="AO894" s="161">
        <f t="shared" si="567"/>
        <v>0</v>
      </c>
      <c r="AP894" s="156">
        <f t="shared" si="544"/>
        <v>5.1890210714875806</v>
      </c>
      <c r="AQ894" s="152"/>
      <c r="AR894" s="162">
        <f t="shared" si="545"/>
        <v>99822.022677888832</v>
      </c>
      <c r="AS894" s="150">
        <f t="shared" si="568"/>
        <v>0</v>
      </c>
      <c r="AT894" s="163">
        <f t="shared" si="546"/>
        <v>0</v>
      </c>
      <c r="AU894" s="163">
        <f t="shared" si="547"/>
        <v>100000</v>
      </c>
      <c r="AV894" s="163">
        <f t="shared" si="569"/>
        <v>177.65999807447329</v>
      </c>
      <c r="AW894" s="163">
        <f t="shared" si="548"/>
        <v>99822.34000192552</v>
      </c>
      <c r="AX894" s="163">
        <f t="shared" si="549"/>
        <v>0</v>
      </c>
      <c r="AY894" s="165">
        <f t="shared" si="570"/>
        <v>99822.022677888832</v>
      </c>
      <c r="AZ894" s="164">
        <f>IF($E894="","",IF(OR(AND($D894=Input!$C$6,$C894=12),$AN894=1),0,-AS895+AT895+AU895-AV895-AW895-AX895+AZ895))</f>
        <v>99822.34000192552</v>
      </c>
      <c r="BA894" s="154">
        <f t="shared" si="550"/>
        <v>0.31732403668866027</v>
      </c>
      <c r="BC894" s="147">
        <f t="shared" si="571"/>
        <v>1.4728009505861915E-19</v>
      </c>
      <c r="BD894" s="164">
        <f>IF(AND($C893=12,$D893=Input!$C$6),0,IF($E894="","",AT894+(AU894+BD895)/(1+$AK894)*MIN((1-AM894-AN894),1)))</f>
        <v>0</v>
      </c>
      <c r="BE894" s="164">
        <f t="shared" si="579"/>
        <v>0</v>
      </c>
      <c r="BF894" s="164">
        <f t="shared" si="572"/>
        <v>99822.34000192552</v>
      </c>
      <c r="BG894" s="164">
        <f t="shared" si="552"/>
        <v>1.4701843724457391E-14</v>
      </c>
      <c r="BH894" s="152"/>
      <c r="BI894" s="162">
        <f t="shared" si="553"/>
        <v>55388.391606350939</v>
      </c>
      <c r="BJ894" s="150">
        <f t="shared" si="554"/>
        <v>0</v>
      </c>
      <c r="BK894" s="163">
        <f t="shared" si="576"/>
        <v>0</v>
      </c>
      <c r="BL894" s="163">
        <f t="shared" si="555"/>
        <v>9300.9893071581137</v>
      </c>
      <c r="BM894" s="163">
        <f t="shared" si="577"/>
        <v>199.18596521937837</v>
      </c>
      <c r="BN894" s="163">
        <f t="shared" si="556"/>
        <v>4746.5941677029787</v>
      </c>
      <c r="BO894" s="163">
        <f t="shared" si="557"/>
        <v>0</v>
      </c>
      <c r="BP894" s="164">
        <f t="shared" si="578"/>
        <v>51033.18243211518</v>
      </c>
      <c r="BQ894" s="164">
        <f>IF($E894="","",IF(AND($D894=Input!$C$6,$C894=12),0,-BJ895+BK895+BL895-BM895-BN895-BO895+BQ895))</f>
        <v>51033.218198089562</v>
      </c>
      <c r="BR894" s="161">
        <f t="shared" si="558"/>
        <v>0</v>
      </c>
      <c r="BT894" s="147">
        <f t="shared" si="559"/>
        <v>1.4728009505861915E-19</v>
      </c>
      <c r="BU894" s="164">
        <f>IF(AND($C893=12,$D893=Input!$C$6),0,IF($E894="","",BK894+(BL894+BU895)/(1+$AK894)*MIN((1-T894-U894),1)))</f>
        <v>76515.591007650088</v>
      </c>
      <c r="BV894" s="164">
        <f t="shared" si="560"/>
        <v>1.126922351707313E-14</v>
      </c>
      <c r="BW894" s="164">
        <f t="shared" si="561"/>
        <v>51033.218198089562</v>
      </c>
      <c r="BX894" s="164">
        <f t="shared" si="562"/>
        <v>7.516177227361883E-15</v>
      </c>
    </row>
    <row r="895" spans="1:76" s="150" customFormat="1" x14ac:dyDescent="0.25">
      <c r="A895" s="150">
        <f t="shared" si="573"/>
        <v>891</v>
      </c>
      <c r="B895" s="150">
        <f t="shared" si="574"/>
        <v>75</v>
      </c>
      <c r="C895" s="150">
        <f t="shared" si="575"/>
        <v>3</v>
      </c>
      <c r="D895" s="150">
        <f>IF(E895="","",Input!$C$4+B895-1)</f>
        <v>119</v>
      </c>
      <c r="E895" s="150">
        <f>IF(OR(AND(C894=12,D894=Input!$C$6),E894=""),"",1)</f>
        <v>1</v>
      </c>
      <c r="F895" s="150">
        <f>IF(E895="","",Input!$C$8+B895-1)</f>
        <v>2092</v>
      </c>
      <c r="G895" s="151">
        <f>IF(E895="","",MAX(0,Input!$C$9-B895))</f>
        <v>0</v>
      </c>
      <c r="H895" s="152">
        <f>IF(E895="","",Input!$C$3)</f>
        <v>100000</v>
      </c>
      <c r="I895" s="153">
        <f>IF(E895="","",HLOOKUP($B895,Input!$C$13:$BT$14,2))</f>
        <v>1000</v>
      </c>
      <c r="J895" s="154"/>
      <c r="K895" s="155">
        <f>IF($E895="","",INDEX(Input!$C$16:$CP$16,1,$B895))</f>
        <v>3.3140000000000003E-2</v>
      </c>
      <c r="L895" s="155">
        <f>IF($E895="","",Input!$C$37)</f>
        <v>1.4999999999999999E-2</v>
      </c>
      <c r="M895" s="155">
        <f t="shared" si="580"/>
        <v>4.8140000000000002E-2</v>
      </c>
      <c r="N895" s="155">
        <f t="shared" si="581"/>
        <v>3.9257828404828388E-3</v>
      </c>
      <c r="O895" s="147">
        <f>IF($E895="","",MIN(VLOOKUP(IF($B895&lt;=Input!$C$7,$B895,26),'Mortality Tables'!$A$41:$CW$67,IF($B895&lt;=Input!$C$7+1,Input!$C$4+2,$D895-Input!$C$7+2),0)*IF(B895&gt;20,Input!$C$22,1)/1000,1))</f>
        <v>1</v>
      </c>
      <c r="P895" s="147">
        <f>IF($E895="","",MIN(VLOOKUP(IF($B895&lt;=Input!$C$7,$B895,26),'Mortality Tables'!$A$12:$CW$37,IF($B895&lt;=Input!$C$7+1,Input!$C$4+2,$D895-Input!$C$7+2),0)*IF(B895&gt;20,Input!$C$22,1)/1000,1))</f>
        <v>1</v>
      </c>
      <c r="Q895" s="155">
        <f>IF($E895="","",Input!$C$21)</f>
        <v>5.0000000000000001E-3</v>
      </c>
      <c r="R895" s="159">
        <f>IF($E895="","",(1-Q895)^($F895-Input!$C$20))</f>
        <v>0.69009356099216146</v>
      </c>
      <c r="S895" s="147">
        <f t="shared" si="541"/>
        <v>0.69009356099216146</v>
      </c>
      <c r="T895" s="147">
        <f t="shared" si="542"/>
        <v>9.300989307158114E-2</v>
      </c>
      <c r="U895" s="160">
        <f>IF($E895="","",IF($C895=12,INDEX(Input!$C$15:$CP$15,1,$B895),0))</f>
        <v>0</v>
      </c>
      <c r="V895" s="150">
        <f>IF(E895="","",IF(C895=1,IF($B895=1,Input!$C$33,Input!$C$34),0))</f>
        <v>0</v>
      </c>
      <c r="W895" s="156">
        <f>IF($E895="","",Input!$C$35)</f>
        <v>0.02</v>
      </c>
      <c r="X895" s="156">
        <f t="shared" si="582"/>
        <v>4.3292504462035977</v>
      </c>
      <c r="Y895" s="154"/>
      <c r="Z895" s="147">
        <f>IF($E895="","",VLOOKUP($D895,'Mortality Margins &amp; Grading'!$AB$5:$AF$125,3,0)*IF(Summary!$D$25="Included Margin",IF(AND($B895&gt;Input!$C$9,Summary!$D$31&lt;&gt;"Included Margin"),0,1),0))</f>
        <v>0.01</v>
      </c>
      <c r="AA895" s="147">
        <f>IF($E895="","",VLOOKUP($D895,'Mortality Margins &amp; Grading'!$AB$5:$AF$125,5,0)*IF(Summary!$D$25="Included Margin",IF(AND($B895&gt;Input!$C$9,Summary!$D$31&lt;&gt;"Included Margin"),0,1),0))</f>
        <v>5.2999999999999999E-2</v>
      </c>
      <c r="AB895" s="147">
        <f>IF($E895="","",IF(AND($B895&gt;Input!$C$9,Summary!$D$31&lt;&gt;"Included Margin"),1,IF(Summary!$D$25="Included Margin",VLOOKUP($B895,'Mortality Margins &amp; Grading'!$AI$5:$AR$125,MATCH('Mortality Margins &amp; Grading'!$AQ$4,'Mortality Margins &amp; Grading'!$AI$4:$AR$4,0),0),1)))</f>
        <v>0</v>
      </c>
      <c r="AC895" s="154"/>
      <c r="AD895" s="158">
        <f>IF(E895="","",Input!$C$48*IF(Summary!$D$30="Included Margin",IF(AND($B895&gt;Input!$C$9,Summary!$D$31&lt;&gt;"Included Margin"),0,1),0))</f>
        <v>-4.4999999999999997E-3</v>
      </c>
      <c r="AE895" s="159">
        <f>IF(E895="","",IF(Summary!$D$26="Included Margin",IF(AND($B895&gt;Input!$C$9,Summary!$D$31&lt;&gt;"Included Margin"),1,1/$R895),1))</f>
        <v>1.4490788735403932</v>
      </c>
      <c r="AF895" s="160">
        <f>IF(E895="","",IF(AND($B895&gt;=Input!$C$9,$C895=12,Summary!$D$31="Included Margin",$U895&gt;0),1/U895-1,IF($B895&gt;=Input!$C$9,0,Input!$C$45*IF(Summary!$D$27="Included Margin",1,0))))</f>
        <v>0</v>
      </c>
      <c r="AG895" s="160">
        <f>IF(E895="","",Input!$C$46*IF(Summary!$D$28="Included Margin",IF(AND($B895&gt;Input!$C$9,Summary!$D$31&lt;&gt;"Included Margin"),0,1),0))</f>
        <v>0.02</v>
      </c>
      <c r="AH895" s="158">
        <f>IF(E895="","",Input!$C$47*IF(Summary!$D$29="Included Margin",IF(AND($B895&gt;Input!$C$9,Summary!$D$31&lt;&gt;"Included Margin"),0,1),0))</f>
        <v>2.5000000000000001E-3</v>
      </c>
      <c r="AI895" s="154"/>
      <c r="AJ895" s="158">
        <f t="shared" si="563"/>
        <v>4.3640000000000005E-2</v>
      </c>
      <c r="AK895" s="155">
        <f t="shared" si="564"/>
        <v>3.565892922956726E-3</v>
      </c>
      <c r="AL895" s="147">
        <f t="shared" si="565"/>
        <v>1</v>
      </c>
      <c r="AM895" s="147">
        <f t="shared" si="543"/>
        <v>1</v>
      </c>
      <c r="AN895" s="160">
        <f t="shared" si="566"/>
        <v>0</v>
      </c>
      <c r="AO895" s="161">
        <f t="shared" si="567"/>
        <v>0</v>
      </c>
      <c r="AP895" s="156">
        <f t="shared" si="544"/>
        <v>5.1890210714875806</v>
      </c>
      <c r="AQ895" s="152"/>
      <c r="AR895" s="162">
        <f t="shared" si="545"/>
        <v>99822.022677888832</v>
      </c>
      <c r="AS895" s="150">
        <f t="shared" si="568"/>
        <v>0</v>
      </c>
      <c r="AT895" s="163">
        <f t="shared" si="546"/>
        <v>0</v>
      </c>
      <c r="AU895" s="163">
        <f t="shared" si="547"/>
        <v>100000</v>
      </c>
      <c r="AV895" s="163">
        <f t="shared" si="569"/>
        <v>177.65999807447329</v>
      </c>
      <c r="AW895" s="163">
        <f t="shared" si="548"/>
        <v>99822.34000192552</v>
      </c>
      <c r="AX895" s="163">
        <f t="shared" si="549"/>
        <v>0</v>
      </c>
      <c r="AY895" s="164">
        <f t="shared" si="570"/>
        <v>99822.022677888832</v>
      </c>
      <c r="AZ895" s="164">
        <f>IF($E895="","",IF(OR(AND($D895=Input!$C$6,$C895=12),$AN895=1),0,-AS896+AT896+AU896-AV896-AW896-AX896+AZ896))</f>
        <v>99822.34000192552</v>
      </c>
      <c r="BA895" s="154">
        <f t="shared" si="550"/>
        <v>0.31732403668866027</v>
      </c>
      <c r="BC895" s="147">
        <f t="shared" si="571"/>
        <v>1.3358158916564469E-19</v>
      </c>
      <c r="BD895" s="164">
        <f>IF(AND($C894=12,$D894=Input!$C$6),0,IF($E895="","",AT895+(AU895+BD896)/(1+$AK895)*MIN((1-AM895-AN895),1)))</f>
        <v>0</v>
      </c>
      <c r="BE895" s="164">
        <f t="shared" si="579"/>
        <v>0</v>
      </c>
      <c r="BF895" s="164">
        <f t="shared" si="572"/>
        <v>99822.34000192552</v>
      </c>
      <c r="BG895" s="164">
        <f t="shared" si="552"/>
        <v>1.3334426811690515E-14</v>
      </c>
      <c r="BH895" s="152"/>
      <c r="BI895" s="162">
        <f t="shared" si="553"/>
        <v>51033.182432115173</v>
      </c>
      <c r="BJ895" s="150">
        <f t="shared" si="554"/>
        <v>0</v>
      </c>
      <c r="BK895" s="163">
        <f t="shared" si="576"/>
        <v>0</v>
      </c>
      <c r="BL895" s="163">
        <f t="shared" si="555"/>
        <v>9300.9893071581137</v>
      </c>
      <c r="BM895" s="163">
        <f t="shared" si="577"/>
        <v>182.08835977645015</v>
      </c>
      <c r="BN895" s="163">
        <f t="shared" si="556"/>
        <v>4298.223471101589</v>
      </c>
      <c r="BO895" s="163">
        <f t="shared" si="557"/>
        <v>0</v>
      </c>
      <c r="BP895" s="164">
        <f t="shared" si="578"/>
        <v>46212.504955835102</v>
      </c>
      <c r="BQ895" s="164">
        <f>IF($E895="","",IF(AND($D895=Input!$C$6,$C895=12),0,-BJ896+BK896+BL896-BM896-BN896-BO896+BQ896))</f>
        <v>46212.540721809484</v>
      </c>
      <c r="BR895" s="161">
        <f t="shared" si="558"/>
        <v>0</v>
      </c>
      <c r="BT895" s="147">
        <f t="shared" si="559"/>
        <v>1.3358158916564469E-19</v>
      </c>
      <c r="BU895" s="164">
        <f>IF(AND($C894=12,$D894=Input!$C$6),0,IF($E895="","",BK895+(BL895+BU896)/(1+$AK895)*MIN((1-T895-U895),1)))</f>
        <v>75361.93791281915</v>
      </c>
      <c r="BV895" s="164">
        <f t="shared" si="560"/>
        <v>1.006696742899703E-14</v>
      </c>
      <c r="BW895" s="164">
        <f t="shared" si="561"/>
        <v>46212.540721809484</v>
      </c>
      <c r="BX895" s="164">
        <f t="shared" si="562"/>
        <v>6.1731446290013793E-15</v>
      </c>
    </row>
    <row r="896" spans="1:76" s="150" customFormat="1" x14ac:dyDescent="0.25">
      <c r="A896" s="150">
        <f t="shared" si="573"/>
        <v>892</v>
      </c>
      <c r="B896" s="150">
        <f t="shared" si="574"/>
        <v>75</v>
      </c>
      <c r="C896" s="150">
        <f t="shared" si="575"/>
        <v>4</v>
      </c>
      <c r="D896" s="150">
        <f>IF(E896="","",Input!$C$4+B896-1)</f>
        <v>119</v>
      </c>
      <c r="E896" s="150">
        <f>IF(OR(AND(C895=12,D895=Input!$C$6),E895=""),"",1)</f>
        <v>1</v>
      </c>
      <c r="F896" s="150">
        <f>IF(E896="","",Input!$C$8+B896-1)</f>
        <v>2092</v>
      </c>
      <c r="G896" s="151">
        <f>IF(E896="","",MAX(0,Input!$C$9-B896))</f>
        <v>0</v>
      </c>
      <c r="H896" s="152">
        <f>IF(E896="","",Input!$C$3)</f>
        <v>100000</v>
      </c>
      <c r="I896" s="153">
        <f>IF(E896="","",HLOOKUP($B896,Input!$C$13:$BT$14,2))</f>
        <v>1000</v>
      </c>
      <c r="J896" s="154"/>
      <c r="K896" s="155">
        <f>IF($E896="","",INDEX(Input!$C$16:$CP$16,1,$B896))</f>
        <v>3.3140000000000003E-2</v>
      </c>
      <c r="L896" s="155">
        <f>IF($E896="","",Input!$C$37)</f>
        <v>1.4999999999999999E-2</v>
      </c>
      <c r="M896" s="155">
        <f t="shared" si="580"/>
        <v>4.8140000000000002E-2</v>
      </c>
      <c r="N896" s="155">
        <f t="shared" si="581"/>
        <v>3.9257828404828388E-3</v>
      </c>
      <c r="O896" s="147">
        <f>IF($E896="","",MIN(VLOOKUP(IF($B896&lt;=Input!$C$7,$B896,26),'Mortality Tables'!$A$41:$CW$67,IF($B896&lt;=Input!$C$7+1,Input!$C$4+2,$D896-Input!$C$7+2),0)*IF(B896&gt;20,Input!$C$22,1)/1000,1))</f>
        <v>1</v>
      </c>
      <c r="P896" s="147">
        <f>IF($E896="","",MIN(VLOOKUP(IF($B896&lt;=Input!$C$7,$B896,26),'Mortality Tables'!$A$12:$CW$37,IF($B896&lt;=Input!$C$7+1,Input!$C$4+2,$D896-Input!$C$7+2),0)*IF(B896&gt;20,Input!$C$22,1)/1000,1))</f>
        <v>1</v>
      </c>
      <c r="Q896" s="155">
        <f>IF($E896="","",Input!$C$21)</f>
        <v>5.0000000000000001E-3</v>
      </c>
      <c r="R896" s="159">
        <f>IF($E896="","",(1-Q896)^($F896-Input!$C$20))</f>
        <v>0.69009356099216146</v>
      </c>
      <c r="S896" s="147">
        <f t="shared" si="541"/>
        <v>0.69009356099216146</v>
      </c>
      <c r="T896" s="147">
        <f t="shared" si="542"/>
        <v>9.300989307158114E-2</v>
      </c>
      <c r="U896" s="160">
        <f>IF($E896="","",IF($C896=12,INDEX(Input!$C$15:$CP$15,1,$B896),0))</f>
        <v>0</v>
      </c>
      <c r="V896" s="150">
        <f>IF(E896="","",IF(C896=1,IF($B896=1,Input!$C$33,Input!$C$34),0))</f>
        <v>0</v>
      </c>
      <c r="W896" s="156">
        <f>IF($E896="","",Input!$C$35)</f>
        <v>0.02</v>
      </c>
      <c r="X896" s="156">
        <f t="shared" si="582"/>
        <v>4.3292504462035977</v>
      </c>
      <c r="Y896" s="154"/>
      <c r="Z896" s="147">
        <f>IF($E896="","",VLOOKUP($D896,'Mortality Margins &amp; Grading'!$AB$5:$AF$125,3,0)*IF(Summary!$D$25="Included Margin",IF(AND($B896&gt;Input!$C$9,Summary!$D$31&lt;&gt;"Included Margin"),0,1),0))</f>
        <v>0.01</v>
      </c>
      <c r="AA896" s="147">
        <f>IF($E896="","",VLOOKUP($D896,'Mortality Margins &amp; Grading'!$AB$5:$AF$125,5,0)*IF(Summary!$D$25="Included Margin",IF(AND($B896&gt;Input!$C$9,Summary!$D$31&lt;&gt;"Included Margin"),0,1),0))</f>
        <v>5.2999999999999999E-2</v>
      </c>
      <c r="AB896" s="147">
        <f>IF($E896="","",IF(AND($B896&gt;Input!$C$9,Summary!$D$31&lt;&gt;"Included Margin"),1,IF(Summary!$D$25="Included Margin",VLOOKUP($B896,'Mortality Margins &amp; Grading'!$AI$5:$AR$125,MATCH('Mortality Margins &amp; Grading'!$AQ$4,'Mortality Margins &amp; Grading'!$AI$4:$AR$4,0),0),1)))</f>
        <v>0</v>
      </c>
      <c r="AC896" s="154"/>
      <c r="AD896" s="158">
        <f>IF(E896="","",Input!$C$48*IF(Summary!$D$30="Included Margin",IF(AND($B896&gt;Input!$C$9,Summary!$D$31&lt;&gt;"Included Margin"),0,1),0))</f>
        <v>-4.4999999999999997E-3</v>
      </c>
      <c r="AE896" s="159">
        <f>IF(E896="","",IF(Summary!$D$26="Included Margin",IF(AND($B896&gt;Input!$C$9,Summary!$D$31&lt;&gt;"Included Margin"),1,1/$R896),1))</f>
        <v>1.4490788735403932</v>
      </c>
      <c r="AF896" s="160">
        <f>IF(E896="","",IF(AND($B896&gt;=Input!$C$9,$C896=12,Summary!$D$31="Included Margin",$U896&gt;0),1/U896-1,IF($B896&gt;=Input!$C$9,0,Input!$C$45*IF(Summary!$D$27="Included Margin",1,0))))</f>
        <v>0</v>
      </c>
      <c r="AG896" s="160">
        <f>IF(E896="","",Input!$C$46*IF(Summary!$D$28="Included Margin",IF(AND($B896&gt;Input!$C$9,Summary!$D$31&lt;&gt;"Included Margin"),0,1),0))</f>
        <v>0.02</v>
      </c>
      <c r="AH896" s="158">
        <f>IF(E896="","",Input!$C$47*IF(Summary!$D$29="Included Margin",IF(AND($B896&gt;Input!$C$9,Summary!$D$31&lt;&gt;"Included Margin"),0,1),0))</f>
        <v>2.5000000000000001E-3</v>
      </c>
      <c r="AI896" s="154"/>
      <c r="AJ896" s="158">
        <f t="shared" si="563"/>
        <v>4.3640000000000005E-2</v>
      </c>
      <c r="AK896" s="155">
        <f t="shared" si="564"/>
        <v>3.565892922956726E-3</v>
      </c>
      <c r="AL896" s="147">
        <f t="shared" si="565"/>
        <v>1</v>
      </c>
      <c r="AM896" s="147">
        <f t="shared" si="543"/>
        <v>1</v>
      </c>
      <c r="AN896" s="160">
        <f t="shared" si="566"/>
        <v>0</v>
      </c>
      <c r="AO896" s="161">
        <f t="shared" si="567"/>
        <v>0</v>
      </c>
      <c r="AP896" s="156">
        <f t="shared" si="544"/>
        <v>5.1890210714875806</v>
      </c>
      <c r="AQ896" s="152"/>
      <c r="AR896" s="162">
        <f t="shared" si="545"/>
        <v>99822.022677888832</v>
      </c>
      <c r="AS896" s="150">
        <f t="shared" si="568"/>
        <v>0</v>
      </c>
      <c r="AT896" s="163">
        <f t="shared" si="546"/>
        <v>0</v>
      </c>
      <c r="AU896" s="163">
        <f t="shared" si="547"/>
        <v>100000</v>
      </c>
      <c r="AV896" s="163">
        <f t="shared" si="569"/>
        <v>177.65999807447329</v>
      </c>
      <c r="AW896" s="163">
        <f t="shared" si="548"/>
        <v>99822.34000192552</v>
      </c>
      <c r="AX896" s="163">
        <f t="shared" si="549"/>
        <v>0</v>
      </c>
      <c r="AY896" s="165">
        <f t="shared" si="570"/>
        <v>99822.022677888832</v>
      </c>
      <c r="AZ896" s="164">
        <f>IF($E896="","",IF(OR(AND($D896=Input!$C$6,$C896=12),$AN896=1),0,-AS897+AT897+AU897-AV897-AW897-AX897+AZ897))</f>
        <v>99822.34000192552</v>
      </c>
      <c r="BA896" s="154">
        <f t="shared" si="550"/>
        <v>0.31732403668866027</v>
      </c>
      <c r="BC896" s="147">
        <f t="shared" si="571"/>
        <v>1.2115717984101619E-19</v>
      </c>
      <c r="BD896" s="164">
        <f>IF(AND($C895=12,$D895=Input!$C$6),0,IF($E896="","",AT896+(AU896+BD897)/(1+$AK896)*MIN((1-AM896-AN896),1)))</f>
        <v>0</v>
      </c>
      <c r="BE896" s="164">
        <f t="shared" si="579"/>
        <v>0</v>
      </c>
      <c r="BF896" s="164">
        <f t="shared" si="572"/>
        <v>99822.34000192552</v>
      </c>
      <c r="BG896" s="164">
        <f t="shared" si="552"/>
        <v>1.2094193199764354E-14</v>
      </c>
      <c r="BH896" s="152"/>
      <c r="BI896" s="162">
        <f t="shared" si="553"/>
        <v>46212.504955835095</v>
      </c>
      <c r="BJ896" s="150">
        <f t="shared" si="554"/>
        <v>0</v>
      </c>
      <c r="BK896" s="163">
        <f t="shared" si="576"/>
        <v>0</v>
      </c>
      <c r="BL896" s="163">
        <f t="shared" si="555"/>
        <v>9300.9893071581137</v>
      </c>
      <c r="BM896" s="163">
        <f t="shared" si="577"/>
        <v>163.16342686056771</v>
      </c>
      <c r="BN896" s="163">
        <f t="shared" si="556"/>
        <v>3801.9326084452368</v>
      </c>
      <c r="BO896" s="163">
        <f t="shared" si="557"/>
        <v>0</v>
      </c>
      <c r="BP896" s="164">
        <f t="shared" si="578"/>
        <v>40876.611683982788</v>
      </c>
      <c r="BQ896" s="164">
        <f>IF($E896="","",IF(AND($D896=Input!$C$6,$C896=12),0,-BJ897+BK897+BL897-BM897-BN897-BO897+BQ897))</f>
        <v>40876.647449957178</v>
      </c>
      <c r="BR896" s="161">
        <f t="shared" si="558"/>
        <v>0</v>
      </c>
      <c r="BT896" s="147">
        <f t="shared" si="559"/>
        <v>1.2115717984101619E-19</v>
      </c>
      <c r="BU896" s="164">
        <f>IF(AND($C895=12,$D895=Input!$C$6),0,IF($E896="","",BK896+(BL896+BU897)/(1+$AK896)*MIN((1-T896-U896),1)))</f>
        <v>74085.444498620622</v>
      </c>
      <c r="BV896" s="164">
        <f t="shared" si="560"/>
        <v>8.9759835227210027E-15</v>
      </c>
      <c r="BW896" s="164">
        <f t="shared" si="561"/>
        <v>40876.647449957178</v>
      </c>
      <c r="BX896" s="164">
        <f t="shared" si="562"/>
        <v>4.9524993263922772E-15</v>
      </c>
    </row>
    <row r="897" spans="1:76" s="150" customFormat="1" x14ac:dyDescent="0.25">
      <c r="A897" s="150">
        <f t="shared" si="573"/>
        <v>893</v>
      </c>
      <c r="B897" s="150">
        <f t="shared" si="574"/>
        <v>75</v>
      </c>
      <c r="C897" s="150">
        <f t="shared" si="575"/>
        <v>5</v>
      </c>
      <c r="D897" s="150">
        <f>IF(E897="","",Input!$C$4+B897-1)</f>
        <v>119</v>
      </c>
      <c r="E897" s="150">
        <f>IF(OR(AND(C896=12,D896=Input!$C$6),E896=""),"",1)</f>
        <v>1</v>
      </c>
      <c r="F897" s="150">
        <f>IF(E897="","",Input!$C$8+B897-1)</f>
        <v>2092</v>
      </c>
      <c r="G897" s="151">
        <f>IF(E897="","",MAX(0,Input!$C$9-B897))</f>
        <v>0</v>
      </c>
      <c r="H897" s="152">
        <f>IF(E897="","",Input!$C$3)</f>
        <v>100000</v>
      </c>
      <c r="I897" s="153">
        <f>IF(E897="","",HLOOKUP($B897,Input!$C$13:$BT$14,2))</f>
        <v>1000</v>
      </c>
      <c r="J897" s="154"/>
      <c r="K897" s="155">
        <f>IF($E897="","",INDEX(Input!$C$16:$CP$16,1,$B897))</f>
        <v>3.3140000000000003E-2</v>
      </c>
      <c r="L897" s="155">
        <f>IF($E897="","",Input!$C$37)</f>
        <v>1.4999999999999999E-2</v>
      </c>
      <c r="M897" s="155">
        <f t="shared" si="580"/>
        <v>4.8140000000000002E-2</v>
      </c>
      <c r="N897" s="155">
        <f t="shared" si="581"/>
        <v>3.9257828404828388E-3</v>
      </c>
      <c r="O897" s="147">
        <f>IF($E897="","",MIN(VLOOKUP(IF($B897&lt;=Input!$C$7,$B897,26),'Mortality Tables'!$A$41:$CW$67,IF($B897&lt;=Input!$C$7+1,Input!$C$4+2,$D897-Input!$C$7+2),0)*IF(B897&gt;20,Input!$C$22,1)/1000,1))</f>
        <v>1</v>
      </c>
      <c r="P897" s="147">
        <f>IF($E897="","",MIN(VLOOKUP(IF($B897&lt;=Input!$C$7,$B897,26),'Mortality Tables'!$A$12:$CW$37,IF($B897&lt;=Input!$C$7+1,Input!$C$4+2,$D897-Input!$C$7+2),0)*IF(B897&gt;20,Input!$C$22,1)/1000,1))</f>
        <v>1</v>
      </c>
      <c r="Q897" s="155">
        <f>IF($E897="","",Input!$C$21)</f>
        <v>5.0000000000000001E-3</v>
      </c>
      <c r="R897" s="159">
        <f>IF($E897="","",(1-Q897)^($F897-Input!$C$20))</f>
        <v>0.69009356099216146</v>
      </c>
      <c r="S897" s="147">
        <f t="shared" si="541"/>
        <v>0.69009356099216146</v>
      </c>
      <c r="T897" s="147">
        <f t="shared" si="542"/>
        <v>9.300989307158114E-2</v>
      </c>
      <c r="U897" s="160">
        <f>IF($E897="","",IF($C897=12,INDEX(Input!$C$15:$CP$15,1,$B897),0))</f>
        <v>0</v>
      </c>
      <c r="V897" s="150">
        <f>IF(E897="","",IF(C897=1,IF($B897=1,Input!$C$33,Input!$C$34),0))</f>
        <v>0</v>
      </c>
      <c r="W897" s="156">
        <f>IF($E897="","",Input!$C$35)</f>
        <v>0.02</v>
      </c>
      <c r="X897" s="156">
        <f t="shared" si="582"/>
        <v>4.3292504462035977</v>
      </c>
      <c r="Y897" s="154"/>
      <c r="Z897" s="147">
        <f>IF($E897="","",VLOOKUP($D897,'Mortality Margins &amp; Grading'!$AB$5:$AF$125,3,0)*IF(Summary!$D$25="Included Margin",IF(AND($B897&gt;Input!$C$9,Summary!$D$31&lt;&gt;"Included Margin"),0,1),0))</f>
        <v>0.01</v>
      </c>
      <c r="AA897" s="147">
        <f>IF($E897="","",VLOOKUP($D897,'Mortality Margins &amp; Grading'!$AB$5:$AF$125,5,0)*IF(Summary!$D$25="Included Margin",IF(AND($B897&gt;Input!$C$9,Summary!$D$31&lt;&gt;"Included Margin"),0,1),0))</f>
        <v>5.2999999999999999E-2</v>
      </c>
      <c r="AB897" s="147">
        <f>IF($E897="","",IF(AND($B897&gt;Input!$C$9,Summary!$D$31&lt;&gt;"Included Margin"),1,IF(Summary!$D$25="Included Margin",VLOOKUP($B897,'Mortality Margins &amp; Grading'!$AI$5:$AR$125,MATCH('Mortality Margins &amp; Grading'!$AQ$4,'Mortality Margins &amp; Grading'!$AI$4:$AR$4,0),0),1)))</f>
        <v>0</v>
      </c>
      <c r="AC897" s="154"/>
      <c r="AD897" s="158">
        <f>IF(E897="","",Input!$C$48*IF(Summary!$D$30="Included Margin",IF(AND($B897&gt;Input!$C$9,Summary!$D$31&lt;&gt;"Included Margin"),0,1),0))</f>
        <v>-4.4999999999999997E-3</v>
      </c>
      <c r="AE897" s="159">
        <f>IF(E897="","",IF(Summary!$D$26="Included Margin",IF(AND($B897&gt;Input!$C$9,Summary!$D$31&lt;&gt;"Included Margin"),1,1/$R897),1))</f>
        <v>1.4490788735403932</v>
      </c>
      <c r="AF897" s="160">
        <f>IF(E897="","",IF(AND($B897&gt;=Input!$C$9,$C897=12,Summary!$D$31="Included Margin",$U897&gt;0),1/U897-1,IF($B897&gt;=Input!$C$9,0,Input!$C$45*IF(Summary!$D$27="Included Margin",1,0))))</f>
        <v>0</v>
      </c>
      <c r="AG897" s="160">
        <f>IF(E897="","",Input!$C$46*IF(Summary!$D$28="Included Margin",IF(AND($B897&gt;Input!$C$9,Summary!$D$31&lt;&gt;"Included Margin"),0,1),0))</f>
        <v>0.02</v>
      </c>
      <c r="AH897" s="158">
        <f>IF(E897="","",Input!$C$47*IF(Summary!$D$29="Included Margin",IF(AND($B897&gt;Input!$C$9,Summary!$D$31&lt;&gt;"Included Margin"),0,1),0))</f>
        <v>2.5000000000000001E-3</v>
      </c>
      <c r="AI897" s="154"/>
      <c r="AJ897" s="158">
        <f t="shared" si="563"/>
        <v>4.3640000000000005E-2</v>
      </c>
      <c r="AK897" s="155">
        <f t="shared" si="564"/>
        <v>3.565892922956726E-3</v>
      </c>
      <c r="AL897" s="147">
        <f t="shared" si="565"/>
        <v>1</v>
      </c>
      <c r="AM897" s="147">
        <f t="shared" si="543"/>
        <v>1</v>
      </c>
      <c r="AN897" s="160">
        <f t="shared" si="566"/>
        <v>0</v>
      </c>
      <c r="AO897" s="161">
        <f t="shared" si="567"/>
        <v>0</v>
      </c>
      <c r="AP897" s="156">
        <f t="shared" si="544"/>
        <v>5.1890210714875806</v>
      </c>
      <c r="AQ897" s="152"/>
      <c r="AR897" s="162">
        <f t="shared" si="545"/>
        <v>99822.022677888832</v>
      </c>
      <c r="AS897" s="150">
        <f t="shared" si="568"/>
        <v>0</v>
      </c>
      <c r="AT897" s="163">
        <f t="shared" si="546"/>
        <v>0</v>
      </c>
      <c r="AU897" s="163">
        <f t="shared" si="547"/>
        <v>100000</v>
      </c>
      <c r="AV897" s="163">
        <f t="shared" si="569"/>
        <v>177.65999807447329</v>
      </c>
      <c r="AW897" s="163">
        <f t="shared" si="548"/>
        <v>99822.34000192552</v>
      </c>
      <c r="AX897" s="163">
        <f t="shared" si="549"/>
        <v>0</v>
      </c>
      <c r="AY897" s="164">
        <f t="shared" si="570"/>
        <v>99822.022677888832</v>
      </c>
      <c r="AZ897" s="164">
        <f>IF($E897="","",IF(OR(AND($D897=Input!$C$6,$C897=12),$AN897=1),0,-AS898+AT898+AU898-AV898-AW898-AX898+AZ898))</f>
        <v>99822.34000192552</v>
      </c>
      <c r="BA897" s="154">
        <f t="shared" si="550"/>
        <v>0.31732403668866027</v>
      </c>
      <c r="BC897" s="147">
        <f t="shared" si="571"/>
        <v>1.0988836349914894E-19</v>
      </c>
      <c r="BD897" s="164">
        <f>IF(AND($C896=12,$D896=Input!$C$6),0,IF($E897="","",AT897+(AU897+BD898)/(1+$AK897)*MIN((1-AM897-AN897),1)))</f>
        <v>0</v>
      </c>
      <c r="BE897" s="164">
        <f t="shared" si="579"/>
        <v>0</v>
      </c>
      <c r="BF897" s="164">
        <f t="shared" si="572"/>
        <v>99822.34000192552</v>
      </c>
      <c r="BG897" s="164">
        <f t="shared" si="552"/>
        <v>1.0969313583467227E-14</v>
      </c>
      <c r="BH897" s="152"/>
      <c r="BI897" s="162">
        <f t="shared" si="553"/>
        <v>40876.611683982788</v>
      </c>
      <c r="BJ897" s="150">
        <f t="shared" si="554"/>
        <v>0</v>
      </c>
      <c r="BK897" s="163">
        <f t="shared" si="576"/>
        <v>0</v>
      </c>
      <c r="BL897" s="163">
        <f t="shared" si="555"/>
        <v>9300.9893071581137</v>
      </c>
      <c r="BM897" s="163">
        <f t="shared" si="577"/>
        <v>142.21586861528209</v>
      </c>
      <c r="BN897" s="163">
        <f t="shared" si="556"/>
        <v>3252.600053434051</v>
      </c>
      <c r="BO897" s="163">
        <f t="shared" si="557"/>
        <v>0</v>
      </c>
      <c r="BP897" s="164">
        <f t="shared" si="578"/>
        <v>34970.438298874011</v>
      </c>
      <c r="BQ897" s="164">
        <f>IF($E897="","",IF(AND($D897=Input!$C$6,$C897=12),0,-BJ898+BK898+BL898-BM898-BN898-BO898+BQ898))</f>
        <v>34970.4740648484</v>
      </c>
      <c r="BR897" s="161">
        <f t="shared" si="558"/>
        <v>0</v>
      </c>
      <c r="BT897" s="147">
        <f t="shared" si="559"/>
        <v>1.0988836349914894E-19</v>
      </c>
      <c r="BU897" s="164">
        <f>IF(AND($C896=12,$D896=Input!$C$6),0,IF($E897="","",BK897+(BL897+BU898)/(1+$AK897)*MIN((1-T897-U897),1)))</f>
        <v>72673.030798355729</v>
      </c>
      <c r="BV897" s="164">
        <f t="shared" si="560"/>
        <v>7.985920424954561E-15</v>
      </c>
      <c r="BW897" s="164">
        <f t="shared" si="561"/>
        <v>34970.4740648484</v>
      </c>
      <c r="BX897" s="164">
        <f t="shared" si="562"/>
        <v>3.8428481657756215E-15</v>
      </c>
    </row>
    <row r="898" spans="1:76" s="150" customFormat="1" x14ac:dyDescent="0.25">
      <c r="A898" s="150">
        <f t="shared" si="573"/>
        <v>894</v>
      </c>
      <c r="B898" s="150">
        <f t="shared" si="574"/>
        <v>75</v>
      </c>
      <c r="C898" s="150">
        <f t="shared" si="575"/>
        <v>6</v>
      </c>
      <c r="D898" s="150">
        <f>IF(E898="","",Input!$C$4+B898-1)</f>
        <v>119</v>
      </c>
      <c r="E898" s="150">
        <f>IF(OR(AND(C897=12,D897=Input!$C$6),E897=""),"",1)</f>
        <v>1</v>
      </c>
      <c r="F898" s="150">
        <f>IF(E898="","",Input!$C$8+B898-1)</f>
        <v>2092</v>
      </c>
      <c r="G898" s="151">
        <f>IF(E898="","",MAX(0,Input!$C$9-B898))</f>
        <v>0</v>
      </c>
      <c r="H898" s="152">
        <f>IF(E898="","",Input!$C$3)</f>
        <v>100000</v>
      </c>
      <c r="I898" s="153">
        <f>IF(E898="","",HLOOKUP($B898,Input!$C$13:$BT$14,2))</f>
        <v>1000</v>
      </c>
      <c r="J898" s="154"/>
      <c r="K898" s="155">
        <f>IF($E898="","",INDEX(Input!$C$16:$CP$16,1,$B898))</f>
        <v>3.3140000000000003E-2</v>
      </c>
      <c r="L898" s="155">
        <f>IF($E898="","",Input!$C$37)</f>
        <v>1.4999999999999999E-2</v>
      </c>
      <c r="M898" s="155">
        <f t="shared" si="580"/>
        <v>4.8140000000000002E-2</v>
      </c>
      <c r="N898" s="155">
        <f t="shared" si="581"/>
        <v>3.9257828404828388E-3</v>
      </c>
      <c r="O898" s="147">
        <f>IF($E898="","",MIN(VLOOKUP(IF($B898&lt;=Input!$C$7,$B898,26),'Mortality Tables'!$A$41:$CW$67,IF($B898&lt;=Input!$C$7+1,Input!$C$4+2,$D898-Input!$C$7+2),0)*IF(B898&gt;20,Input!$C$22,1)/1000,1))</f>
        <v>1</v>
      </c>
      <c r="P898" s="147">
        <f>IF($E898="","",MIN(VLOOKUP(IF($B898&lt;=Input!$C$7,$B898,26),'Mortality Tables'!$A$12:$CW$37,IF($B898&lt;=Input!$C$7+1,Input!$C$4+2,$D898-Input!$C$7+2),0)*IF(B898&gt;20,Input!$C$22,1)/1000,1))</f>
        <v>1</v>
      </c>
      <c r="Q898" s="155">
        <f>IF($E898="","",Input!$C$21)</f>
        <v>5.0000000000000001E-3</v>
      </c>
      <c r="R898" s="159">
        <f>IF($E898="","",(1-Q898)^($F898-Input!$C$20))</f>
        <v>0.69009356099216146</v>
      </c>
      <c r="S898" s="147">
        <f t="shared" si="541"/>
        <v>0.69009356099216146</v>
      </c>
      <c r="T898" s="147">
        <f t="shared" si="542"/>
        <v>9.300989307158114E-2</v>
      </c>
      <c r="U898" s="160">
        <f>IF($E898="","",IF($C898=12,INDEX(Input!$C$15:$CP$15,1,$B898),0))</f>
        <v>0</v>
      </c>
      <c r="V898" s="150">
        <f>IF(E898="","",IF(C898=1,IF($B898=1,Input!$C$33,Input!$C$34),0))</f>
        <v>0</v>
      </c>
      <c r="W898" s="156">
        <f>IF($E898="","",Input!$C$35)</f>
        <v>0.02</v>
      </c>
      <c r="X898" s="156">
        <f t="shared" si="582"/>
        <v>4.3292504462035977</v>
      </c>
      <c r="Y898" s="154"/>
      <c r="Z898" s="147">
        <f>IF($E898="","",VLOOKUP($D898,'Mortality Margins &amp; Grading'!$AB$5:$AF$125,3,0)*IF(Summary!$D$25="Included Margin",IF(AND($B898&gt;Input!$C$9,Summary!$D$31&lt;&gt;"Included Margin"),0,1),0))</f>
        <v>0.01</v>
      </c>
      <c r="AA898" s="147">
        <f>IF($E898="","",VLOOKUP($D898,'Mortality Margins &amp; Grading'!$AB$5:$AF$125,5,0)*IF(Summary!$D$25="Included Margin",IF(AND($B898&gt;Input!$C$9,Summary!$D$31&lt;&gt;"Included Margin"),0,1),0))</f>
        <v>5.2999999999999999E-2</v>
      </c>
      <c r="AB898" s="147">
        <f>IF($E898="","",IF(AND($B898&gt;Input!$C$9,Summary!$D$31&lt;&gt;"Included Margin"),1,IF(Summary!$D$25="Included Margin",VLOOKUP($B898,'Mortality Margins &amp; Grading'!$AI$5:$AR$125,MATCH('Mortality Margins &amp; Grading'!$AQ$4,'Mortality Margins &amp; Grading'!$AI$4:$AR$4,0),0),1)))</f>
        <v>0</v>
      </c>
      <c r="AC898" s="154"/>
      <c r="AD898" s="158">
        <f>IF(E898="","",Input!$C$48*IF(Summary!$D$30="Included Margin",IF(AND($B898&gt;Input!$C$9,Summary!$D$31&lt;&gt;"Included Margin"),0,1),0))</f>
        <v>-4.4999999999999997E-3</v>
      </c>
      <c r="AE898" s="159">
        <f>IF(E898="","",IF(Summary!$D$26="Included Margin",IF(AND($B898&gt;Input!$C$9,Summary!$D$31&lt;&gt;"Included Margin"),1,1/$R898),1))</f>
        <v>1.4490788735403932</v>
      </c>
      <c r="AF898" s="160">
        <f>IF(E898="","",IF(AND($B898&gt;=Input!$C$9,$C898=12,Summary!$D$31="Included Margin",$U898&gt;0),1/U898-1,IF($B898&gt;=Input!$C$9,0,Input!$C$45*IF(Summary!$D$27="Included Margin",1,0))))</f>
        <v>0</v>
      </c>
      <c r="AG898" s="160">
        <f>IF(E898="","",Input!$C$46*IF(Summary!$D$28="Included Margin",IF(AND($B898&gt;Input!$C$9,Summary!$D$31&lt;&gt;"Included Margin"),0,1),0))</f>
        <v>0.02</v>
      </c>
      <c r="AH898" s="158">
        <f>IF(E898="","",Input!$C$47*IF(Summary!$D$29="Included Margin",IF(AND($B898&gt;Input!$C$9,Summary!$D$31&lt;&gt;"Included Margin"),0,1),0))</f>
        <v>2.5000000000000001E-3</v>
      </c>
      <c r="AI898" s="154"/>
      <c r="AJ898" s="158">
        <f t="shared" si="563"/>
        <v>4.3640000000000005E-2</v>
      </c>
      <c r="AK898" s="155">
        <f t="shared" si="564"/>
        <v>3.565892922956726E-3</v>
      </c>
      <c r="AL898" s="147">
        <f t="shared" si="565"/>
        <v>1</v>
      </c>
      <c r="AM898" s="147">
        <f t="shared" si="543"/>
        <v>1</v>
      </c>
      <c r="AN898" s="160">
        <f t="shared" si="566"/>
        <v>0</v>
      </c>
      <c r="AO898" s="161">
        <f t="shared" si="567"/>
        <v>0</v>
      </c>
      <c r="AP898" s="156">
        <f t="shared" si="544"/>
        <v>5.1890210714875806</v>
      </c>
      <c r="AQ898" s="152"/>
      <c r="AR898" s="162">
        <f t="shared" si="545"/>
        <v>99822.022677888832</v>
      </c>
      <c r="AS898" s="150">
        <f t="shared" si="568"/>
        <v>0</v>
      </c>
      <c r="AT898" s="163">
        <f t="shared" si="546"/>
        <v>0</v>
      </c>
      <c r="AU898" s="163">
        <f t="shared" si="547"/>
        <v>100000</v>
      </c>
      <c r="AV898" s="163">
        <f t="shared" si="569"/>
        <v>177.65999807447329</v>
      </c>
      <c r="AW898" s="163">
        <f t="shared" si="548"/>
        <v>99822.34000192552</v>
      </c>
      <c r="AX898" s="163">
        <f t="shared" si="549"/>
        <v>0</v>
      </c>
      <c r="AY898" s="165">
        <f t="shared" si="570"/>
        <v>99822.022677888832</v>
      </c>
      <c r="AZ898" s="164">
        <f>IF($E898="","",IF(OR(AND($D898=Input!$C$6,$C898=12),$AN898=1),0,-AS899+AT899+AU899-AV899-AW899-AX899+AZ899))</f>
        <v>99822.34000192552</v>
      </c>
      <c r="BA898" s="154">
        <f t="shared" si="550"/>
        <v>0.31732403668866027</v>
      </c>
      <c r="BC898" s="147">
        <f t="shared" si="571"/>
        <v>9.9667658560282051E-20</v>
      </c>
      <c r="BD898" s="164">
        <f>IF(AND($C897=12,$D897=Input!$C$6),0,IF($E898="","",AT898+(AU898+BD899)/(1+$AK898)*MIN((1-AM898-AN898),1)))</f>
        <v>0</v>
      </c>
      <c r="BE898" s="164">
        <f t="shared" si="579"/>
        <v>0</v>
      </c>
      <c r="BF898" s="164">
        <f t="shared" si="572"/>
        <v>99822.34000192552</v>
      </c>
      <c r="BG898" s="164">
        <f t="shared" si="552"/>
        <v>9.9490589000002968E-15</v>
      </c>
      <c r="BH898" s="152"/>
      <c r="BI898" s="162">
        <f t="shared" si="553"/>
        <v>34970.438298874011</v>
      </c>
      <c r="BJ898" s="150">
        <f t="shared" si="554"/>
        <v>0</v>
      </c>
      <c r="BK898" s="163">
        <f t="shared" si="576"/>
        <v>0</v>
      </c>
      <c r="BL898" s="163">
        <f t="shared" si="555"/>
        <v>9300.9893071581137</v>
      </c>
      <c r="BM898" s="163">
        <f t="shared" si="577"/>
        <v>119.02951448710562</v>
      </c>
      <c r="BN898" s="163">
        <f t="shared" si="556"/>
        <v>2644.5569103869657</v>
      </c>
      <c r="BO898" s="163">
        <f t="shared" si="557"/>
        <v>0</v>
      </c>
      <c r="BP898" s="164">
        <f t="shared" si="578"/>
        <v>28433.03541658997</v>
      </c>
      <c r="BQ898" s="164">
        <f>IF($E898="","",IF(AND($D898=Input!$C$6,$C898=12),0,-BJ899+BK899+BL899-BM899-BN899-BO899+BQ899))</f>
        <v>28433.071182564356</v>
      </c>
      <c r="BR898" s="161">
        <f t="shared" si="558"/>
        <v>0</v>
      </c>
      <c r="BT898" s="147">
        <f t="shared" si="559"/>
        <v>9.9667658560282051E-20</v>
      </c>
      <c r="BU898" s="164">
        <f>IF(AND($C897=12,$D897=Input!$C$6),0,IF($E898="","",BK898+(BL898+BU899)/(1+$AK898)*MIN((1-T898-U898),1)))</f>
        <v>71110.224097979197</v>
      </c>
      <c r="BV898" s="164">
        <f t="shared" si="560"/>
        <v>7.0873895355425315E-15</v>
      </c>
      <c r="BW898" s="164">
        <f t="shared" si="561"/>
        <v>28433.071182564356</v>
      </c>
      <c r="BX898" s="164">
        <f t="shared" si="562"/>
        <v>2.8338576304440193E-15</v>
      </c>
    </row>
    <row r="899" spans="1:76" s="150" customFormat="1" x14ac:dyDescent="0.25">
      <c r="A899" s="150">
        <f t="shared" si="573"/>
        <v>895</v>
      </c>
      <c r="B899" s="150">
        <f t="shared" si="574"/>
        <v>75</v>
      </c>
      <c r="C899" s="150">
        <f t="shared" si="575"/>
        <v>7</v>
      </c>
      <c r="D899" s="150">
        <f>IF(E899="","",Input!$C$4+B899-1)</f>
        <v>119</v>
      </c>
      <c r="E899" s="150">
        <f>IF(OR(AND(C898=12,D898=Input!$C$6),E898=""),"",1)</f>
        <v>1</v>
      </c>
      <c r="F899" s="150">
        <f>IF(E899="","",Input!$C$8+B899-1)</f>
        <v>2092</v>
      </c>
      <c r="G899" s="151">
        <f>IF(E899="","",MAX(0,Input!$C$9-B899))</f>
        <v>0</v>
      </c>
      <c r="H899" s="152">
        <f>IF(E899="","",Input!$C$3)</f>
        <v>100000</v>
      </c>
      <c r="I899" s="153">
        <f>IF(E899="","",HLOOKUP($B899,Input!$C$13:$BT$14,2))</f>
        <v>1000</v>
      </c>
      <c r="J899" s="154"/>
      <c r="K899" s="155">
        <f>IF($E899="","",INDEX(Input!$C$16:$CP$16,1,$B899))</f>
        <v>3.3140000000000003E-2</v>
      </c>
      <c r="L899" s="155">
        <f>IF($E899="","",Input!$C$37)</f>
        <v>1.4999999999999999E-2</v>
      </c>
      <c r="M899" s="155">
        <f t="shared" si="580"/>
        <v>4.8140000000000002E-2</v>
      </c>
      <c r="N899" s="155">
        <f t="shared" si="581"/>
        <v>3.9257828404828388E-3</v>
      </c>
      <c r="O899" s="147">
        <f>IF($E899="","",MIN(VLOOKUP(IF($B899&lt;=Input!$C$7,$B899,26),'Mortality Tables'!$A$41:$CW$67,IF($B899&lt;=Input!$C$7+1,Input!$C$4+2,$D899-Input!$C$7+2),0)*IF(B899&gt;20,Input!$C$22,1)/1000,1))</f>
        <v>1</v>
      </c>
      <c r="P899" s="147">
        <f>IF($E899="","",MIN(VLOOKUP(IF($B899&lt;=Input!$C$7,$B899,26),'Mortality Tables'!$A$12:$CW$37,IF($B899&lt;=Input!$C$7+1,Input!$C$4+2,$D899-Input!$C$7+2),0)*IF(B899&gt;20,Input!$C$22,1)/1000,1))</f>
        <v>1</v>
      </c>
      <c r="Q899" s="155">
        <f>IF($E899="","",Input!$C$21)</f>
        <v>5.0000000000000001E-3</v>
      </c>
      <c r="R899" s="159">
        <f>IF($E899="","",(1-Q899)^($F899-Input!$C$20))</f>
        <v>0.69009356099216146</v>
      </c>
      <c r="S899" s="147">
        <f t="shared" si="541"/>
        <v>0.69009356099216146</v>
      </c>
      <c r="T899" s="147">
        <f t="shared" si="542"/>
        <v>9.300989307158114E-2</v>
      </c>
      <c r="U899" s="160">
        <f>IF($E899="","",IF($C899=12,INDEX(Input!$C$15:$CP$15,1,$B899),0))</f>
        <v>0</v>
      </c>
      <c r="V899" s="150">
        <f>IF(E899="","",IF(C899=1,IF($B899=1,Input!$C$33,Input!$C$34),0))</f>
        <v>0</v>
      </c>
      <c r="W899" s="156">
        <f>IF($E899="","",Input!$C$35)</f>
        <v>0.02</v>
      </c>
      <c r="X899" s="156">
        <f t="shared" si="582"/>
        <v>4.3292504462035977</v>
      </c>
      <c r="Y899" s="154"/>
      <c r="Z899" s="147">
        <f>IF($E899="","",VLOOKUP($D899,'Mortality Margins &amp; Grading'!$AB$5:$AF$125,3,0)*IF(Summary!$D$25="Included Margin",IF(AND($B899&gt;Input!$C$9,Summary!$D$31&lt;&gt;"Included Margin"),0,1),0))</f>
        <v>0.01</v>
      </c>
      <c r="AA899" s="147">
        <f>IF($E899="","",VLOOKUP($D899,'Mortality Margins &amp; Grading'!$AB$5:$AF$125,5,0)*IF(Summary!$D$25="Included Margin",IF(AND($B899&gt;Input!$C$9,Summary!$D$31&lt;&gt;"Included Margin"),0,1),0))</f>
        <v>5.2999999999999999E-2</v>
      </c>
      <c r="AB899" s="147">
        <f>IF($E899="","",IF(AND($B899&gt;Input!$C$9,Summary!$D$31&lt;&gt;"Included Margin"),1,IF(Summary!$D$25="Included Margin",VLOOKUP($B899,'Mortality Margins &amp; Grading'!$AI$5:$AR$125,MATCH('Mortality Margins &amp; Grading'!$AQ$4,'Mortality Margins &amp; Grading'!$AI$4:$AR$4,0),0),1)))</f>
        <v>0</v>
      </c>
      <c r="AC899" s="154"/>
      <c r="AD899" s="158">
        <f>IF(E899="","",Input!$C$48*IF(Summary!$D$30="Included Margin",IF(AND($B899&gt;Input!$C$9,Summary!$D$31&lt;&gt;"Included Margin"),0,1),0))</f>
        <v>-4.4999999999999997E-3</v>
      </c>
      <c r="AE899" s="159">
        <f>IF(E899="","",IF(Summary!$D$26="Included Margin",IF(AND($B899&gt;Input!$C$9,Summary!$D$31&lt;&gt;"Included Margin"),1,1/$R899),1))</f>
        <v>1.4490788735403932</v>
      </c>
      <c r="AF899" s="160">
        <f>IF(E899="","",IF(AND($B899&gt;=Input!$C$9,$C899=12,Summary!$D$31="Included Margin",$U899&gt;0),1/U899-1,IF($B899&gt;=Input!$C$9,0,Input!$C$45*IF(Summary!$D$27="Included Margin",1,0))))</f>
        <v>0</v>
      </c>
      <c r="AG899" s="160">
        <f>IF(E899="","",Input!$C$46*IF(Summary!$D$28="Included Margin",IF(AND($B899&gt;Input!$C$9,Summary!$D$31&lt;&gt;"Included Margin"),0,1),0))</f>
        <v>0.02</v>
      </c>
      <c r="AH899" s="158">
        <f>IF(E899="","",Input!$C$47*IF(Summary!$D$29="Included Margin",IF(AND($B899&gt;Input!$C$9,Summary!$D$31&lt;&gt;"Included Margin"),0,1),0))</f>
        <v>2.5000000000000001E-3</v>
      </c>
      <c r="AI899" s="154"/>
      <c r="AJ899" s="158">
        <f t="shared" si="563"/>
        <v>4.3640000000000005E-2</v>
      </c>
      <c r="AK899" s="155">
        <f t="shared" si="564"/>
        <v>3.565892922956726E-3</v>
      </c>
      <c r="AL899" s="147">
        <f t="shared" si="565"/>
        <v>1</v>
      </c>
      <c r="AM899" s="147">
        <f t="shared" si="543"/>
        <v>1</v>
      </c>
      <c r="AN899" s="160">
        <f t="shared" si="566"/>
        <v>0</v>
      </c>
      <c r="AO899" s="161">
        <f t="shared" si="567"/>
        <v>0</v>
      </c>
      <c r="AP899" s="156">
        <f t="shared" si="544"/>
        <v>5.1890210714875806</v>
      </c>
      <c r="AQ899" s="152"/>
      <c r="AR899" s="162">
        <f t="shared" si="545"/>
        <v>99822.022677888832</v>
      </c>
      <c r="AS899" s="150">
        <f t="shared" si="568"/>
        <v>0</v>
      </c>
      <c r="AT899" s="163">
        <f t="shared" si="546"/>
        <v>0</v>
      </c>
      <c r="AU899" s="163">
        <f t="shared" si="547"/>
        <v>100000</v>
      </c>
      <c r="AV899" s="163">
        <f t="shared" si="569"/>
        <v>177.65999807447329</v>
      </c>
      <c r="AW899" s="163">
        <f t="shared" si="548"/>
        <v>99822.34000192552</v>
      </c>
      <c r="AX899" s="163">
        <f t="shared" si="549"/>
        <v>0</v>
      </c>
      <c r="AY899" s="164">
        <f t="shared" si="570"/>
        <v>99822.022677888832</v>
      </c>
      <c r="AZ899" s="164">
        <f>IF($E899="","",IF(OR(AND($D899=Input!$C$6,$C899=12),$AN899=1),0,-AS900+AT900+AU900-AV900-AW900-AX900+AZ900))</f>
        <v>99822.34000192552</v>
      </c>
      <c r="BA899" s="154">
        <f t="shared" si="550"/>
        <v>0.31732403668866027</v>
      </c>
      <c r="BC899" s="147">
        <f t="shared" si="571"/>
        <v>9.0397580294895357E-20</v>
      </c>
      <c r="BD899" s="164">
        <f>IF(AND($C898=12,$D898=Input!$C$6),0,IF($E899="","",AT899+(AU899+BD900)/(1+$AK899)*MIN((1-AM899-AN899),1)))</f>
        <v>0</v>
      </c>
      <c r="BE899" s="164">
        <f t="shared" si="579"/>
        <v>0</v>
      </c>
      <c r="BF899" s="164">
        <f t="shared" si="572"/>
        <v>99822.34000192552</v>
      </c>
      <c r="BG899" s="164">
        <f t="shared" si="552"/>
        <v>9.0236979955484065E-15</v>
      </c>
      <c r="BH899" s="152"/>
      <c r="BI899" s="162">
        <f t="shared" si="553"/>
        <v>28433.03541658997</v>
      </c>
      <c r="BJ899" s="150">
        <f t="shared" si="554"/>
        <v>0</v>
      </c>
      <c r="BK899" s="163">
        <f t="shared" si="576"/>
        <v>0</v>
      </c>
      <c r="BL899" s="163">
        <f t="shared" si="555"/>
        <v>9300.9893071581137</v>
      </c>
      <c r="BM899" s="163">
        <f t="shared" si="577"/>
        <v>93.36509043051187</v>
      </c>
      <c r="BN899" s="163">
        <f t="shared" si="556"/>
        <v>1971.5284134702861</v>
      </c>
      <c r="BO899" s="163">
        <f t="shared" si="557"/>
        <v>0</v>
      </c>
      <c r="BP899" s="164">
        <f t="shared" si="578"/>
        <v>21196.939613332652</v>
      </c>
      <c r="BQ899" s="164">
        <f>IF($E899="","",IF(AND($D899=Input!$C$6,$C899=12),0,-BJ900+BK900+BL900-BM900-BN900-BO900+BQ900))</f>
        <v>21196.975379307041</v>
      </c>
      <c r="BR899" s="161">
        <f t="shared" si="558"/>
        <v>0</v>
      </c>
      <c r="BT899" s="147">
        <f t="shared" si="559"/>
        <v>9.0397580294895357E-20</v>
      </c>
      <c r="BU899" s="164">
        <f>IF(AND($C898=12,$D898=Input!$C$6),0,IF($E899="","",BK899+(BL899+BU900)/(1+$AK899)*MIN((1-T899-U899),1)))</f>
        <v>69381.01063716122</v>
      </c>
      <c r="BV899" s="164">
        <f t="shared" si="560"/>
        <v>6.2718754800137701E-15</v>
      </c>
      <c r="BW899" s="164">
        <f t="shared" si="561"/>
        <v>21196.975379307041</v>
      </c>
      <c r="BX899" s="164">
        <f t="shared" si="562"/>
        <v>1.9161552838598282E-15</v>
      </c>
    </row>
    <row r="900" spans="1:76" s="150" customFormat="1" x14ac:dyDescent="0.25">
      <c r="A900" s="150">
        <f t="shared" si="573"/>
        <v>896</v>
      </c>
      <c r="B900" s="150">
        <f t="shared" si="574"/>
        <v>75</v>
      </c>
      <c r="C900" s="150">
        <f t="shared" si="575"/>
        <v>8</v>
      </c>
      <c r="D900" s="150">
        <f>IF(E900="","",Input!$C$4+B900-1)</f>
        <v>119</v>
      </c>
      <c r="E900" s="150">
        <f>IF(OR(AND(C899=12,D899=Input!$C$6),E899=""),"",1)</f>
        <v>1</v>
      </c>
      <c r="F900" s="150">
        <f>IF(E900="","",Input!$C$8+B900-1)</f>
        <v>2092</v>
      </c>
      <c r="G900" s="151">
        <f>IF(E900="","",MAX(0,Input!$C$9-B900))</f>
        <v>0</v>
      </c>
      <c r="H900" s="152">
        <f>IF(E900="","",Input!$C$3)</f>
        <v>100000</v>
      </c>
      <c r="I900" s="153">
        <f>IF(E900="","",HLOOKUP($B900,Input!$C$13:$BT$14,2))</f>
        <v>1000</v>
      </c>
      <c r="J900" s="154"/>
      <c r="K900" s="155">
        <f>IF($E900="","",INDEX(Input!$C$16:$CP$16,1,$B900))</f>
        <v>3.3140000000000003E-2</v>
      </c>
      <c r="L900" s="155">
        <f>IF($E900="","",Input!$C$37)</f>
        <v>1.4999999999999999E-2</v>
      </c>
      <c r="M900" s="155">
        <f t="shared" si="580"/>
        <v>4.8140000000000002E-2</v>
      </c>
      <c r="N900" s="155">
        <f t="shared" si="581"/>
        <v>3.9257828404828388E-3</v>
      </c>
      <c r="O900" s="147">
        <f>IF($E900="","",MIN(VLOOKUP(IF($B900&lt;=Input!$C$7,$B900,26),'Mortality Tables'!$A$41:$CW$67,IF($B900&lt;=Input!$C$7+1,Input!$C$4+2,$D900-Input!$C$7+2),0)*IF(B900&gt;20,Input!$C$22,1)/1000,1))</f>
        <v>1</v>
      </c>
      <c r="P900" s="147">
        <f>IF($E900="","",MIN(VLOOKUP(IF($B900&lt;=Input!$C$7,$B900,26),'Mortality Tables'!$A$12:$CW$37,IF($B900&lt;=Input!$C$7+1,Input!$C$4+2,$D900-Input!$C$7+2),0)*IF(B900&gt;20,Input!$C$22,1)/1000,1))</f>
        <v>1</v>
      </c>
      <c r="Q900" s="155">
        <f>IF($E900="","",Input!$C$21)</f>
        <v>5.0000000000000001E-3</v>
      </c>
      <c r="R900" s="159">
        <f>IF($E900="","",(1-Q900)^($F900-Input!$C$20))</f>
        <v>0.69009356099216146</v>
      </c>
      <c r="S900" s="147">
        <f t="shared" si="541"/>
        <v>0.69009356099216146</v>
      </c>
      <c r="T900" s="147">
        <f t="shared" si="542"/>
        <v>9.300989307158114E-2</v>
      </c>
      <c r="U900" s="160">
        <f>IF($E900="","",IF($C900=12,INDEX(Input!$C$15:$CP$15,1,$B900),0))</f>
        <v>0</v>
      </c>
      <c r="V900" s="150">
        <f>IF(E900="","",IF(C900=1,IF($B900=1,Input!$C$33,Input!$C$34),0))</f>
        <v>0</v>
      </c>
      <c r="W900" s="156">
        <f>IF($E900="","",Input!$C$35)</f>
        <v>0.02</v>
      </c>
      <c r="X900" s="156">
        <f t="shared" si="582"/>
        <v>4.3292504462035977</v>
      </c>
      <c r="Y900" s="154"/>
      <c r="Z900" s="147">
        <f>IF($E900="","",VLOOKUP($D900,'Mortality Margins &amp; Grading'!$AB$5:$AF$125,3,0)*IF(Summary!$D$25="Included Margin",IF(AND($B900&gt;Input!$C$9,Summary!$D$31&lt;&gt;"Included Margin"),0,1),0))</f>
        <v>0.01</v>
      </c>
      <c r="AA900" s="147">
        <f>IF($E900="","",VLOOKUP($D900,'Mortality Margins &amp; Grading'!$AB$5:$AF$125,5,0)*IF(Summary!$D$25="Included Margin",IF(AND($B900&gt;Input!$C$9,Summary!$D$31&lt;&gt;"Included Margin"),0,1),0))</f>
        <v>5.2999999999999999E-2</v>
      </c>
      <c r="AB900" s="147">
        <f>IF($E900="","",IF(AND($B900&gt;Input!$C$9,Summary!$D$31&lt;&gt;"Included Margin"),1,IF(Summary!$D$25="Included Margin",VLOOKUP($B900,'Mortality Margins &amp; Grading'!$AI$5:$AR$125,MATCH('Mortality Margins &amp; Grading'!$AQ$4,'Mortality Margins &amp; Grading'!$AI$4:$AR$4,0),0),1)))</f>
        <v>0</v>
      </c>
      <c r="AC900" s="154"/>
      <c r="AD900" s="158">
        <f>IF(E900="","",Input!$C$48*IF(Summary!$D$30="Included Margin",IF(AND($B900&gt;Input!$C$9,Summary!$D$31&lt;&gt;"Included Margin"),0,1),0))</f>
        <v>-4.4999999999999997E-3</v>
      </c>
      <c r="AE900" s="159">
        <f>IF(E900="","",IF(Summary!$D$26="Included Margin",IF(AND($B900&gt;Input!$C$9,Summary!$D$31&lt;&gt;"Included Margin"),1,1/$R900),1))</f>
        <v>1.4490788735403932</v>
      </c>
      <c r="AF900" s="160">
        <f>IF(E900="","",IF(AND($B900&gt;=Input!$C$9,$C900=12,Summary!$D$31="Included Margin",$U900&gt;0),1/U900-1,IF($B900&gt;=Input!$C$9,0,Input!$C$45*IF(Summary!$D$27="Included Margin",1,0))))</f>
        <v>0</v>
      </c>
      <c r="AG900" s="160">
        <f>IF(E900="","",Input!$C$46*IF(Summary!$D$28="Included Margin",IF(AND($B900&gt;Input!$C$9,Summary!$D$31&lt;&gt;"Included Margin"),0,1),0))</f>
        <v>0.02</v>
      </c>
      <c r="AH900" s="158">
        <f>IF(E900="","",Input!$C$47*IF(Summary!$D$29="Included Margin",IF(AND($B900&gt;Input!$C$9,Summary!$D$31&lt;&gt;"Included Margin"),0,1),0))</f>
        <v>2.5000000000000001E-3</v>
      </c>
      <c r="AI900" s="154"/>
      <c r="AJ900" s="158">
        <f t="shared" si="563"/>
        <v>4.3640000000000005E-2</v>
      </c>
      <c r="AK900" s="155">
        <f t="shared" si="564"/>
        <v>3.565892922956726E-3</v>
      </c>
      <c r="AL900" s="147">
        <f t="shared" si="565"/>
        <v>1</v>
      </c>
      <c r="AM900" s="147">
        <f t="shared" si="543"/>
        <v>1</v>
      </c>
      <c r="AN900" s="160">
        <f t="shared" si="566"/>
        <v>0</v>
      </c>
      <c r="AO900" s="161">
        <f t="shared" si="567"/>
        <v>0</v>
      </c>
      <c r="AP900" s="156">
        <f t="shared" si="544"/>
        <v>5.1890210714875806</v>
      </c>
      <c r="AQ900" s="152"/>
      <c r="AR900" s="162">
        <f t="shared" si="545"/>
        <v>99822.022677888832</v>
      </c>
      <c r="AS900" s="150">
        <f t="shared" si="568"/>
        <v>0</v>
      </c>
      <c r="AT900" s="163">
        <f t="shared" si="546"/>
        <v>0</v>
      </c>
      <c r="AU900" s="163">
        <f t="shared" si="547"/>
        <v>100000</v>
      </c>
      <c r="AV900" s="163">
        <f t="shared" si="569"/>
        <v>177.65999807447329</v>
      </c>
      <c r="AW900" s="163">
        <f t="shared" si="548"/>
        <v>99822.34000192552</v>
      </c>
      <c r="AX900" s="163">
        <f t="shared" si="549"/>
        <v>0</v>
      </c>
      <c r="AY900" s="165">
        <f t="shared" si="570"/>
        <v>99822.022677888832</v>
      </c>
      <c r="AZ900" s="164">
        <f>IF($E900="","",IF(OR(AND($D900=Input!$C$6,$C900=12),$AN900=1),0,-AS901+AT901+AU901-AV901-AW901-AX901+AZ901))</f>
        <v>99822.34000192552</v>
      </c>
      <c r="BA900" s="154">
        <f t="shared" si="550"/>
        <v>0.31732403668866027</v>
      </c>
      <c r="BC900" s="147">
        <f t="shared" si="571"/>
        <v>8.1989711017737473E-20</v>
      </c>
      <c r="BD900" s="164">
        <f>IF(AND($C899=12,$D899=Input!$C$6),0,IF($E900="","",AT900+(AU900+BD901)/(1+$AK900)*MIN((1-AM900-AN900),1)))</f>
        <v>0</v>
      </c>
      <c r="BE900" s="164">
        <f t="shared" si="579"/>
        <v>0</v>
      </c>
      <c r="BF900" s="164">
        <f t="shared" si="572"/>
        <v>99822.34000192552</v>
      </c>
      <c r="BG900" s="164">
        <f t="shared" si="552"/>
        <v>8.1844048098722094E-15</v>
      </c>
      <c r="BH900" s="152"/>
      <c r="BI900" s="162">
        <f t="shared" si="553"/>
        <v>21196.939613332655</v>
      </c>
      <c r="BJ900" s="150">
        <f t="shared" si="554"/>
        <v>0</v>
      </c>
      <c r="BK900" s="163">
        <f t="shared" si="576"/>
        <v>0</v>
      </c>
      <c r="BL900" s="163">
        <f t="shared" si="555"/>
        <v>9300.9893071581137</v>
      </c>
      <c r="BM900" s="163">
        <f t="shared" si="577"/>
        <v>64.957749693994444</v>
      </c>
      <c r="BN900" s="163">
        <f t="shared" si="556"/>
        <v>1226.5691735848213</v>
      </c>
      <c r="BO900" s="163">
        <f t="shared" si="557"/>
        <v>0</v>
      </c>
      <c r="BP900" s="164">
        <f t="shared" si="578"/>
        <v>13187.477229453358</v>
      </c>
      <c r="BQ900" s="164">
        <f>IF($E900="","",IF(AND($D900=Input!$C$6,$C900=12),0,-BJ901+BK901+BL901-BM901-BN901-BO901+BQ901))</f>
        <v>13187.512995427745</v>
      </c>
      <c r="BR900" s="161">
        <f t="shared" si="558"/>
        <v>0</v>
      </c>
      <c r="BT900" s="147">
        <f t="shared" si="559"/>
        <v>8.1989711017737473E-20</v>
      </c>
      <c r="BU900" s="164">
        <f>IF(AND($C899=12,$D899=Input!$C$6),0,IF($E900="","",BK900+(BL900+BU901)/(1+$AK900)*MIN((1-T900-U900),1)))</f>
        <v>67467.671519563606</v>
      </c>
      <c r="BV900" s="164">
        <f t="shared" si="560"/>
        <v>5.5316548909286571E-15</v>
      </c>
      <c r="BW900" s="164">
        <f t="shared" si="561"/>
        <v>13187.512995427745</v>
      </c>
      <c r="BX900" s="164">
        <f t="shared" si="562"/>
        <v>1.0812403795377783E-15</v>
      </c>
    </row>
    <row r="901" spans="1:76" s="150" customFormat="1" x14ac:dyDescent="0.25">
      <c r="A901" s="150">
        <f t="shared" si="573"/>
        <v>897</v>
      </c>
      <c r="B901" s="150">
        <f t="shared" si="574"/>
        <v>75</v>
      </c>
      <c r="C901" s="150">
        <f t="shared" si="575"/>
        <v>9</v>
      </c>
      <c r="D901" s="150">
        <f>IF(E901="","",Input!$C$4+B901-1)</f>
        <v>119</v>
      </c>
      <c r="E901" s="150">
        <f>IF(OR(AND(C900=12,D900=Input!$C$6),E900=""),"",1)</f>
        <v>1</v>
      </c>
      <c r="F901" s="150">
        <f>IF(E901="","",Input!$C$8+B901-1)</f>
        <v>2092</v>
      </c>
      <c r="G901" s="151">
        <f>IF(E901="","",MAX(0,Input!$C$9-B901))</f>
        <v>0</v>
      </c>
      <c r="H901" s="152">
        <f>IF(E901="","",Input!$C$3)</f>
        <v>100000</v>
      </c>
      <c r="I901" s="153">
        <f>IF(E901="","",HLOOKUP($B901,Input!$C$13:$BT$14,2))</f>
        <v>1000</v>
      </c>
      <c r="J901" s="154"/>
      <c r="K901" s="155">
        <f>IF($E901="","",INDEX(Input!$C$16:$CP$16,1,$B901))</f>
        <v>3.3140000000000003E-2</v>
      </c>
      <c r="L901" s="155">
        <f>IF($E901="","",Input!$C$37)</f>
        <v>1.4999999999999999E-2</v>
      </c>
      <c r="M901" s="155">
        <f t="shared" si="580"/>
        <v>4.8140000000000002E-2</v>
      </c>
      <c r="N901" s="155">
        <f t="shared" si="581"/>
        <v>3.9257828404828388E-3</v>
      </c>
      <c r="O901" s="147">
        <f>IF($E901="","",MIN(VLOOKUP(IF($B901&lt;=Input!$C$7,$B901,26),'Mortality Tables'!$A$41:$CW$67,IF($B901&lt;=Input!$C$7+1,Input!$C$4+2,$D901-Input!$C$7+2),0)*IF(B901&gt;20,Input!$C$22,1)/1000,1))</f>
        <v>1</v>
      </c>
      <c r="P901" s="147">
        <f>IF($E901="","",MIN(VLOOKUP(IF($B901&lt;=Input!$C$7,$B901,26),'Mortality Tables'!$A$12:$CW$37,IF($B901&lt;=Input!$C$7+1,Input!$C$4+2,$D901-Input!$C$7+2),0)*IF(B901&gt;20,Input!$C$22,1)/1000,1))</f>
        <v>1</v>
      </c>
      <c r="Q901" s="155">
        <f>IF($E901="","",Input!$C$21)</f>
        <v>5.0000000000000001E-3</v>
      </c>
      <c r="R901" s="159">
        <f>IF($E901="","",(1-Q901)^($F901-Input!$C$20))</f>
        <v>0.69009356099216146</v>
      </c>
      <c r="S901" s="147">
        <f t="shared" ref="S901:S964" si="583">IF($E901="","",MIN(O901*R901,1))</f>
        <v>0.69009356099216146</v>
      </c>
      <c r="T901" s="147">
        <f t="shared" ref="T901:T964" si="584">IF($E901="","",1-(1-S901)^(1/12))</f>
        <v>9.300989307158114E-2</v>
      </c>
      <c r="U901" s="160">
        <f>IF($E901="","",IF($C901=12,INDEX(Input!$C$15:$CP$15,1,$B901),0))</f>
        <v>0</v>
      </c>
      <c r="V901" s="150">
        <f>IF(E901="","",IF(C901=1,IF($B901=1,Input!$C$33,Input!$C$34),0))</f>
        <v>0</v>
      </c>
      <c r="W901" s="156">
        <f>IF($E901="","",Input!$C$35)</f>
        <v>0.02</v>
      </c>
      <c r="X901" s="156">
        <f t="shared" si="582"/>
        <v>4.3292504462035977</v>
      </c>
      <c r="Y901" s="154"/>
      <c r="Z901" s="147">
        <f>IF($E901="","",VLOOKUP($D901,'Mortality Margins &amp; Grading'!$AB$5:$AF$125,3,0)*IF(Summary!$D$25="Included Margin",IF(AND($B901&gt;Input!$C$9,Summary!$D$31&lt;&gt;"Included Margin"),0,1),0))</f>
        <v>0.01</v>
      </c>
      <c r="AA901" s="147">
        <f>IF($E901="","",VLOOKUP($D901,'Mortality Margins &amp; Grading'!$AB$5:$AF$125,5,0)*IF(Summary!$D$25="Included Margin",IF(AND($B901&gt;Input!$C$9,Summary!$D$31&lt;&gt;"Included Margin"),0,1),0))</f>
        <v>5.2999999999999999E-2</v>
      </c>
      <c r="AB901" s="147">
        <f>IF($E901="","",IF(AND($B901&gt;Input!$C$9,Summary!$D$31&lt;&gt;"Included Margin"),1,IF(Summary!$D$25="Included Margin",VLOOKUP($B901,'Mortality Margins &amp; Grading'!$AI$5:$AR$125,MATCH('Mortality Margins &amp; Grading'!$AQ$4,'Mortality Margins &amp; Grading'!$AI$4:$AR$4,0),0),1)))</f>
        <v>0</v>
      </c>
      <c r="AC901" s="154"/>
      <c r="AD901" s="158">
        <f>IF(E901="","",Input!$C$48*IF(Summary!$D$30="Included Margin",IF(AND($B901&gt;Input!$C$9,Summary!$D$31&lt;&gt;"Included Margin"),0,1),0))</f>
        <v>-4.4999999999999997E-3</v>
      </c>
      <c r="AE901" s="159">
        <f>IF(E901="","",IF(Summary!$D$26="Included Margin",IF(AND($B901&gt;Input!$C$9,Summary!$D$31&lt;&gt;"Included Margin"),1,1/$R901),1))</f>
        <v>1.4490788735403932</v>
      </c>
      <c r="AF901" s="160">
        <f>IF(E901="","",IF(AND($B901&gt;=Input!$C$9,$C901=12,Summary!$D$31="Included Margin",$U901&gt;0),1/U901-1,IF($B901&gt;=Input!$C$9,0,Input!$C$45*IF(Summary!$D$27="Included Margin",1,0))))</f>
        <v>0</v>
      </c>
      <c r="AG901" s="160">
        <f>IF(E901="","",Input!$C$46*IF(Summary!$D$28="Included Margin",IF(AND($B901&gt;Input!$C$9,Summary!$D$31&lt;&gt;"Included Margin"),0,1),0))</f>
        <v>0.02</v>
      </c>
      <c r="AH901" s="158">
        <f>IF(E901="","",Input!$C$47*IF(Summary!$D$29="Included Margin",IF(AND($B901&gt;Input!$C$9,Summary!$D$31&lt;&gt;"Included Margin"),0,1),0))</f>
        <v>2.5000000000000001E-3</v>
      </c>
      <c r="AI901" s="154"/>
      <c r="AJ901" s="158">
        <f t="shared" si="563"/>
        <v>4.3640000000000005E-2</v>
      </c>
      <c r="AK901" s="155">
        <f t="shared" si="564"/>
        <v>3.565892922956726E-3</v>
      </c>
      <c r="AL901" s="147">
        <f t="shared" si="565"/>
        <v>1</v>
      </c>
      <c r="AM901" s="147">
        <f t="shared" ref="AM901:AM964" si="585">IF($E901="","",1-(1-AL901)^(1/12))</f>
        <v>1</v>
      </c>
      <c r="AN901" s="160">
        <f t="shared" si="566"/>
        <v>0</v>
      </c>
      <c r="AO901" s="161">
        <f t="shared" si="567"/>
        <v>0</v>
      </c>
      <c r="AP901" s="156">
        <f t="shared" ref="AP901:AP964" si="586">IF($E901="","",IF(B901=1,1,IF(C901=1,(1+$W901+$AH901)*AP900,AP900)))</f>
        <v>5.1890210714875806</v>
      </c>
      <c r="AQ901" s="152"/>
      <c r="AR901" s="162">
        <f t="shared" ref="AR901:AR964" si="587">IF($E901="","",(AZ901*(1-$AN901)*(1-$AM901)/(1+$AK901)+AU901/(1+$AK901/2)-AS901+AT901))</f>
        <v>99822.022677888832</v>
      </c>
      <c r="AS901" s="150">
        <f t="shared" si="568"/>
        <v>0</v>
      </c>
      <c r="AT901" s="163">
        <f t="shared" ref="AT901:AT964" si="588">IF($E901="","",$AO901*$AP901)</f>
        <v>0</v>
      </c>
      <c r="AU901" s="163">
        <f t="shared" ref="AU901:AU964" si="589">IF($E901="","",$AM901*$H901)</f>
        <v>100000</v>
      </c>
      <c r="AV901" s="163">
        <f t="shared" si="569"/>
        <v>177.65999807447329</v>
      </c>
      <c r="AW901" s="163">
        <f t="shared" ref="AW901:AW964" si="590">IF($E901="","",AZ901*$AM901)</f>
        <v>99822.34000192552</v>
      </c>
      <c r="AX901" s="163">
        <f t="shared" ref="AX901:AX964" si="591">IF($E901="","",$AN901*AZ901*(1-$AM901))</f>
        <v>0</v>
      </c>
      <c r="AY901" s="164">
        <f t="shared" si="570"/>
        <v>99822.022677888832</v>
      </c>
      <c r="AZ901" s="164">
        <f>IF($E901="","",IF(OR(AND($D901=Input!$C$6,$C901=12),$AN901=1),0,-AS902+AT902+AU902-AV902-AW902-AX902+AZ902))</f>
        <v>99822.34000192552</v>
      </c>
      <c r="BA901" s="154">
        <f t="shared" ref="BA901:BA964" si="592">IF(E901="","",AZ901-AY901)</f>
        <v>0.31732403668866027</v>
      </c>
      <c r="BC901" s="147">
        <f t="shared" si="571"/>
        <v>7.4363856763007875E-20</v>
      </c>
      <c r="BD901" s="164">
        <f>IF(AND($C900=12,$D900=Input!$C$6),0,IF($E901="","",AT901+(AU901+BD902)/(1+$AK901)*MIN((1-AM901-AN901),1)))</f>
        <v>0</v>
      </c>
      <c r="BE901" s="164">
        <f t="shared" si="579"/>
        <v>0</v>
      </c>
      <c r="BF901" s="164">
        <f t="shared" si="572"/>
        <v>99822.34000192552</v>
      </c>
      <c r="BG901" s="164">
        <f t="shared" ref="BG901:BG964" si="593">IF($E901="","",BC901*BF901)</f>
        <v>7.42317419365146E-15</v>
      </c>
      <c r="BH901" s="152"/>
      <c r="BI901" s="162">
        <f t="shared" ref="BI901:BI916" si="594">IF($E901="","",(BQ901*(1-$U901)*(1-$T901)/(1+$N901)+BL901/(1+$N901/2)-BJ901+BK901))</f>
        <v>13187.477229453358</v>
      </c>
      <c r="BJ901" s="150">
        <f t="shared" ref="BJ901:BJ916" si="595">IF($E901="","",AS901)</f>
        <v>0</v>
      </c>
      <c r="BK901" s="163">
        <f t="shared" si="576"/>
        <v>0</v>
      </c>
      <c r="BL901" s="163">
        <f t="shared" ref="BL901:BL916" si="596">IF(E901="","",$T901*$H901)</f>
        <v>9300.9893071581137</v>
      </c>
      <c r="BM901" s="163">
        <f t="shared" si="577"/>
        <v>33.514339705868316</v>
      </c>
      <c r="BN901" s="163">
        <f t="shared" ref="BN901:BN916" si="597">IF($E901="","",BQ901*$T901)</f>
        <v>401.99150468496578</v>
      </c>
      <c r="BO901" s="163">
        <f t="shared" ref="BO901:BO916" si="598">IF($E901="","",$U901*BQ901*(1-$T901))</f>
        <v>0</v>
      </c>
      <c r="BP901" s="164">
        <f t="shared" si="578"/>
        <v>4321.9937666860778</v>
      </c>
      <c r="BQ901" s="164">
        <f>IF($E901="","",IF(AND($D901=Input!$C$6,$C901=12),0,-BJ902+BK902+BL902-BM902-BN902-BO902+BQ902))</f>
        <v>4322.0295326604664</v>
      </c>
      <c r="BR901" s="161">
        <f t="shared" ref="BR901:BR916" si="599">IF(E901="","",ROUND(BQ901-BP901,1))</f>
        <v>0</v>
      </c>
      <c r="BT901" s="147">
        <f t="shared" ref="BT901:BT964" si="600">IF(E901="","",BC901)</f>
        <v>7.4363856763007875E-20</v>
      </c>
      <c r="BU901" s="164">
        <f>IF(AND($C900=12,$D900=Input!$C$6),0,IF($E901="","",BK901+(BL901+BU902)/(1+$AK901)*MIN((1-T901-U901),1)))</f>
        <v>65350.601150936309</v>
      </c>
      <c r="BV901" s="164">
        <f t="shared" ref="BV901:BV964" si="601">IF(E901="","",BT901*BU901)</f>
        <v>4.8597227433646853E-15</v>
      </c>
      <c r="BW901" s="164">
        <f t="shared" ref="BW901:BW964" si="602">IF(E901="","",BQ901)</f>
        <v>4322.0295326604664</v>
      </c>
      <c r="BX901" s="164">
        <f t="shared" ref="BX901:BX964" si="603">IF(E901="","",BT901*BW901)</f>
        <v>3.2140278509225279E-16</v>
      </c>
    </row>
    <row r="902" spans="1:76" s="150" customFormat="1" x14ac:dyDescent="0.25">
      <c r="A902" s="150">
        <f t="shared" si="573"/>
        <v>898</v>
      </c>
      <c r="B902" s="150">
        <f t="shared" si="574"/>
        <v>75</v>
      </c>
      <c r="C902" s="150">
        <f t="shared" si="575"/>
        <v>10</v>
      </c>
      <c r="D902" s="150">
        <f>IF(E902="","",Input!$C$4+B902-1)</f>
        <v>119</v>
      </c>
      <c r="E902" s="150">
        <f>IF(OR(AND(C901=12,D901=Input!$C$6),E901=""),"",1)</f>
        <v>1</v>
      </c>
      <c r="F902" s="150">
        <f>IF(E902="","",Input!$C$8+B902-1)</f>
        <v>2092</v>
      </c>
      <c r="G902" s="151">
        <f>IF(E902="","",MAX(0,Input!$C$9-B902))</f>
        <v>0</v>
      </c>
      <c r="H902" s="152">
        <f>IF(E902="","",Input!$C$3)</f>
        <v>100000</v>
      </c>
      <c r="I902" s="153">
        <f>IF(E902="","",HLOOKUP($B902,Input!$C$13:$BT$14,2))</f>
        <v>1000</v>
      </c>
      <c r="J902" s="154"/>
      <c r="K902" s="155">
        <f>IF($E902="","",INDEX(Input!$C$16:$CP$16,1,$B902))</f>
        <v>3.3140000000000003E-2</v>
      </c>
      <c r="L902" s="155">
        <f>IF($E902="","",Input!$C$37)</f>
        <v>1.4999999999999999E-2</v>
      </c>
      <c r="M902" s="155">
        <f t="shared" si="580"/>
        <v>4.8140000000000002E-2</v>
      </c>
      <c r="N902" s="155">
        <f t="shared" si="581"/>
        <v>3.9257828404828388E-3</v>
      </c>
      <c r="O902" s="147">
        <f>IF($E902="","",MIN(VLOOKUP(IF($B902&lt;=Input!$C$7,$B902,26),'Mortality Tables'!$A$41:$CW$67,IF($B902&lt;=Input!$C$7+1,Input!$C$4+2,$D902-Input!$C$7+2),0)*IF(B902&gt;20,Input!$C$22,1)/1000,1))</f>
        <v>1</v>
      </c>
      <c r="P902" s="147">
        <f>IF($E902="","",MIN(VLOOKUP(IF($B902&lt;=Input!$C$7,$B902,26),'Mortality Tables'!$A$12:$CW$37,IF($B902&lt;=Input!$C$7+1,Input!$C$4+2,$D902-Input!$C$7+2),0)*IF(B902&gt;20,Input!$C$22,1)/1000,1))</f>
        <v>1</v>
      </c>
      <c r="Q902" s="155">
        <f>IF($E902="","",Input!$C$21)</f>
        <v>5.0000000000000001E-3</v>
      </c>
      <c r="R902" s="159">
        <f>IF($E902="","",(1-Q902)^($F902-Input!$C$20))</f>
        <v>0.69009356099216146</v>
      </c>
      <c r="S902" s="147">
        <f t="shared" si="583"/>
        <v>0.69009356099216146</v>
      </c>
      <c r="T902" s="147">
        <f t="shared" si="584"/>
        <v>9.300989307158114E-2</v>
      </c>
      <c r="U902" s="160">
        <f>IF($E902="","",IF($C902=12,INDEX(Input!$C$15:$CP$15,1,$B902),0))</f>
        <v>0</v>
      </c>
      <c r="V902" s="150">
        <f>IF(E902="","",IF(C902=1,IF($B902=1,Input!$C$33,Input!$C$34),0))</f>
        <v>0</v>
      </c>
      <c r="W902" s="156">
        <f>IF($E902="","",Input!$C$35)</f>
        <v>0.02</v>
      </c>
      <c r="X902" s="156">
        <f t="shared" si="582"/>
        <v>4.3292504462035977</v>
      </c>
      <c r="Y902" s="154"/>
      <c r="Z902" s="147">
        <f>IF($E902="","",VLOOKUP($D902,'Mortality Margins &amp; Grading'!$AB$5:$AF$125,3,0)*IF(Summary!$D$25="Included Margin",IF(AND($B902&gt;Input!$C$9,Summary!$D$31&lt;&gt;"Included Margin"),0,1),0))</f>
        <v>0.01</v>
      </c>
      <c r="AA902" s="147">
        <f>IF($E902="","",VLOOKUP($D902,'Mortality Margins &amp; Grading'!$AB$5:$AF$125,5,0)*IF(Summary!$D$25="Included Margin",IF(AND($B902&gt;Input!$C$9,Summary!$D$31&lt;&gt;"Included Margin"),0,1),0))</f>
        <v>5.2999999999999999E-2</v>
      </c>
      <c r="AB902" s="147">
        <f>IF($E902="","",IF(AND($B902&gt;Input!$C$9,Summary!$D$31&lt;&gt;"Included Margin"),1,IF(Summary!$D$25="Included Margin",VLOOKUP($B902,'Mortality Margins &amp; Grading'!$AI$5:$AR$125,MATCH('Mortality Margins &amp; Grading'!$AQ$4,'Mortality Margins &amp; Grading'!$AI$4:$AR$4,0),0),1)))</f>
        <v>0</v>
      </c>
      <c r="AC902" s="154"/>
      <c r="AD902" s="158">
        <f>IF(E902="","",Input!$C$48*IF(Summary!$D$30="Included Margin",IF(AND($B902&gt;Input!$C$9,Summary!$D$31&lt;&gt;"Included Margin"),0,1),0))</f>
        <v>-4.4999999999999997E-3</v>
      </c>
      <c r="AE902" s="159">
        <f>IF(E902="","",IF(Summary!$D$26="Included Margin",IF(AND($B902&gt;Input!$C$9,Summary!$D$31&lt;&gt;"Included Margin"),1,1/$R902),1))</f>
        <v>1.4490788735403932</v>
      </c>
      <c r="AF902" s="160">
        <f>IF(E902="","",IF(AND($B902&gt;=Input!$C$9,$C902=12,Summary!$D$31="Included Margin",$U902&gt;0),1/U902-1,IF($B902&gt;=Input!$C$9,0,Input!$C$45*IF(Summary!$D$27="Included Margin",1,0))))</f>
        <v>0</v>
      </c>
      <c r="AG902" s="160">
        <f>IF(E902="","",Input!$C$46*IF(Summary!$D$28="Included Margin",IF(AND($B902&gt;Input!$C$9,Summary!$D$31&lt;&gt;"Included Margin"),0,1),0))</f>
        <v>0.02</v>
      </c>
      <c r="AH902" s="158">
        <f>IF(E902="","",Input!$C$47*IF(Summary!$D$29="Included Margin",IF(AND($B902&gt;Input!$C$9,Summary!$D$31&lt;&gt;"Included Margin"),0,1),0))</f>
        <v>2.5000000000000001E-3</v>
      </c>
      <c r="AI902" s="154"/>
      <c r="AJ902" s="158">
        <f t="shared" ref="AJ902:AJ965" si="604">IF(E902="","",M902+AD902)</f>
        <v>4.3640000000000005E-2</v>
      </c>
      <c r="AK902" s="155">
        <f t="shared" ref="AK902:AK965" si="605">IF(E902="","",(1+AJ902)^(1/12)-1)</f>
        <v>3.565892922956726E-3</v>
      </c>
      <c r="AL902" s="147">
        <f t="shared" ref="AL902:AL965" si="606">IF($E902="","",MIN(($O902*(1+$Z902)*$AB902+$P902*(1+$AA902)*(1-$AB902))*R902*AE902,1))</f>
        <v>1</v>
      </c>
      <c r="AM902" s="147">
        <f t="shared" si="585"/>
        <v>1</v>
      </c>
      <c r="AN902" s="160">
        <f t="shared" ref="AN902:AN965" si="607">IF(E902="","",IF(U902=1,1,(1+AF902)*U902))</f>
        <v>0</v>
      </c>
      <c r="AO902" s="161">
        <f t="shared" ref="AO902:AO965" si="608">IF($E902="","",(1+$AG902)*$V902)</f>
        <v>0</v>
      </c>
      <c r="AP902" s="156">
        <f t="shared" si="586"/>
        <v>5.1890210714875806</v>
      </c>
      <c r="AQ902" s="152"/>
      <c r="AR902" s="162">
        <f t="shared" si="587"/>
        <v>99822.022677888832</v>
      </c>
      <c r="AS902" s="150">
        <f t="shared" ref="AS902:AS965" si="609">IF($E902="","",IF($C902=1,$I902*$H902/1000,0))</f>
        <v>0</v>
      </c>
      <c r="AT902" s="163">
        <f t="shared" si="588"/>
        <v>0</v>
      </c>
      <c r="AU902" s="163">
        <f t="shared" si="589"/>
        <v>100000</v>
      </c>
      <c r="AV902" s="163">
        <f t="shared" ref="AV902:AV965" si="610">IF($E902="","",(AR902+AS902-AT902-AU902/2)*$AK902)</f>
        <v>177.65999807447329</v>
      </c>
      <c r="AW902" s="163">
        <f t="shared" si="590"/>
        <v>99822.34000192552</v>
      </c>
      <c r="AX902" s="163">
        <f t="shared" si="591"/>
        <v>0</v>
      </c>
      <c r="AY902" s="165">
        <f t="shared" ref="AY902:AY965" si="611">IF($E902="","",AR902+AS902-AT902-AU902+AV902+AW902+AX902)</f>
        <v>99822.022677888832</v>
      </c>
      <c r="AZ902" s="164">
        <f>IF($E902="","",IF(OR(AND($D902=Input!$C$6,$C902=12),$AN902=1),0,-AS903+AT903+AU903-AV903-AW903-AX903+AZ903))</f>
        <v>99822.34000192552</v>
      </c>
      <c r="BA902" s="154">
        <f t="shared" si="592"/>
        <v>0.31732403668866027</v>
      </c>
      <c r="BC902" s="147">
        <f t="shared" ref="BC902:BC965" si="612">IF($E902="","",MIN(1,(1-T902-U902))*BC901)</f>
        <v>6.7447282397090138E-20</v>
      </c>
      <c r="BD902" s="164">
        <f>IF(AND($C901=12,$D901=Input!$C$6),0,IF($E902="","",AT902+(AU902+BD903)/(1+$AK902)*MIN((1-AM902-AN902),1)))</f>
        <v>0</v>
      </c>
      <c r="BE902" s="164">
        <f t="shared" si="579"/>
        <v>0</v>
      </c>
      <c r="BF902" s="164">
        <f t="shared" ref="BF902:BF965" si="613">IF($E902="","",AZ902)</f>
        <v>99822.34000192552</v>
      </c>
      <c r="BG902" s="164">
        <f t="shared" si="593"/>
        <v>6.7327455556482177E-15</v>
      </c>
      <c r="BH902" s="152"/>
      <c r="BI902" s="162">
        <f t="shared" si="594"/>
        <v>4321.9937666860787</v>
      </c>
      <c r="BJ902" s="150">
        <f t="shared" si="595"/>
        <v>0</v>
      </c>
      <c r="BK902" s="163">
        <f t="shared" si="576"/>
        <v>0</v>
      </c>
      <c r="BL902" s="163">
        <f t="shared" si="596"/>
        <v>9300.9893071581137</v>
      </c>
      <c r="BM902" s="163">
        <f t="shared" si="577"/>
        <v>-1.2896231448478472</v>
      </c>
      <c r="BN902" s="163">
        <f t="shared" si="597"/>
        <v>-510.71391011444894</v>
      </c>
      <c r="BO902" s="163">
        <f t="shared" si="598"/>
        <v>0</v>
      </c>
      <c r="BP902" s="164">
        <f t="shared" si="578"/>
        <v>-5490.999073731331</v>
      </c>
      <c r="BQ902" s="164">
        <f>IF($E902="","",IF(AND($D902=Input!$C$6,$C902=12),0,-BJ903+BK903+BL903-BM903-BN903-BO903+BQ903))</f>
        <v>-5490.9633077569451</v>
      </c>
      <c r="BR902" s="161">
        <f t="shared" si="599"/>
        <v>0</v>
      </c>
      <c r="BT902" s="147">
        <f t="shared" si="600"/>
        <v>6.7447282397090138E-20</v>
      </c>
      <c r="BU902" s="164">
        <f>IF(AND($C901=12,$D901=Input!$C$6),0,IF($E902="","",BK902+(BL902+BU903)/(1+$AK902)*MIN((1-T902-U902),1)))</f>
        <v>63008.106344606655</v>
      </c>
      <c r="BV902" s="164">
        <f t="shared" si="601"/>
        <v>4.2497255419305719E-15</v>
      </c>
      <c r="BW902" s="164">
        <f t="shared" si="602"/>
        <v>-5490.9633077569451</v>
      </c>
      <c r="BX902" s="164">
        <f t="shared" si="603"/>
        <v>-3.7035055285034283E-16</v>
      </c>
    </row>
    <row r="903" spans="1:76" s="150" customFormat="1" x14ac:dyDescent="0.25">
      <c r="A903" s="150">
        <f t="shared" ref="A903:A966" si="614">IF(E903="","",A902+1)</f>
        <v>899</v>
      </c>
      <c r="B903" s="150">
        <f t="shared" ref="B903:B966" si="615">IF(E903="","",IF(C902+1&gt;12,B902+1,B902))</f>
        <v>75</v>
      </c>
      <c r="C903" s="150">
        <f t="shared" ref="C903:C966" si="616">IF(E903="","",IF(C902+1&gt;12,1,C902+1))</f>
        <v>11</v>
      </c>
      <c r="D903" s="150">
        <f>IF(E903="","",Input!$C$4+B903-1)</f>
        <v>119</v>
      </c>
      <c r="E903" s="150">
        <f>IF(OR(AND(C902=12,D902=Input!$C$6),E902=""),"",1)</f>
        <v>1</v>
      </c>
      <c r="F903" s="150">
        <f>IF(E903="","",Input!$C$8+B903-1)</f>
        <v>2092</v>
      </c>
      <c r="G903" s="151">
        <f>IF(E903="","",MAX(0,Input!$C$9-B903))</f>
        <v>0</v>
      </c>
      <c r="H903" s="152">
        <f>IF(E903="","",Input!$C$3)</f>
        <v>100000</v>
      </c>
      <c r="I903" s="153">
        <f>IF(E903="","",HLOOKUP($B903,Input!$C$13:$BT$14,2))</f>
        <v>1000</v>
      </c>
      <c r="J903" s="154"/>
      <c r="K903" s="155">
        <f>IF($E903="","",INDEX(Input!$C$16:$CP$16,1,$B903))</f>
        <v>3.3140000000000003E-2</v>
      </c>
      <c r="L903" s="155">
        <f>IF($E903="","",Input!$C$37)</f>
        <v>1.4999999999999999E-2</v>
      </c>
      <c r="M903" s="155">
        <f t="shared" si="580"/>
        <v>4.8140000000000002E-2</v>
      </c>
      <c r="N903" s="155">
        <f t="shared" si="581"/>
        <v>3.9257828404828388E-3</v>
      </c>
      <c r="O903" s="147">
        <f>IF($E903="","",MIN(VLOOKUP(IF($B903&lt;=Input!$C$7,$B903,26),'Mortality Tables'!$A$41:$CW$67,IF($B903&lt;=Input!$C$7+1,Input!$C$4+2,$D903-Input!$C$7+2),0)*IF(B903&gt;20,Input!$C$22,1)/1000,1))</f>
        <v>1</v>
      </c>
      <c r="P903" s="147">
        <f>IF($E903="","",MIN(VLOOKUP(IF($B903&lt;=Input!$C$7,$B903,26),'Mortality Tables'!$A$12:$CW$37,IF($B903&lt;=Input!$C$7+1,Input!$C$4+2,$D903-Input!$C$7+2),0)*IF(B903&gt;20,Input!$C$22,1)/1000,1))</f>
        <v>1</v>
      </c>
      <c r="Q903" s="155">
        <f>IF($E903="","",Input!$C$21)</f>
        <v>5.0000000000000001E-3</v>
      </c>
      <c r="R903" s="159">
        <f>IF($E903="","",(1-Q903)^($F903-Input!$C$20))</f>
        <v>0.69009356099216146</v>
      </c>
      <c r="S903" s="147">
        <f t="shared" si="583"/>
        <v>0.69009356099216146</v>
      </c>
      <c r="T903" s="147">
        <f t="shared" si="584"/>
        <v>9.300989307158114E-2</v>
      </c>
      <c r="U903" s="160">
        <f>IF($E903="","",IF($C903=12,INDEX(Input!$C$15:$CP$15,1,$B903),0))</f>
        <v>0</v>
      </c>
      <c r="V903" s="150">
        <f>IF(E903="","",IF(C903=1,IF($B903=1,Input!$C$33,Input!$C$34),0))</f>
        <v>0</v>
      </c>
      <c r="W903" s="156">
        <f>IF($E903="","",Input!$C$35)</f>
        <v>0.02</v>
      </c>
      <c r="X903" s="156">
        <f t="shared" si="582"/>
        <v>4.3292504462035977</v>
      </c>
      <c r="Y903" s="154"/>
      <c r="Z903" s="147">
        <f>IF($E903="","",VLOOKUP($D903,'Mortality Margins &amp; Grading'!$AB$5:$AF$125,3,0)*IF(Summary!$D$25="Included Margin",IF(AND($B903&gt;Input!$C$9,Summary!$D$31&lt;&gt;"Included Margin"),0,1),0))</f>
        <v>0.01</v>
      </c>
      <c r="AA903" s="147">
        <f>IF($E903="","",VLOOKUP($D903,'Mortality Margins &amp; Grading'!$AB$5:$AF$125,5,0)*IF(Summary!$D$25="Included Margin",IF(AND($B903&gt;Input!$C$9,Summary!$D$31&lt;&gt;"Included Margin"),0,1),0))</f>
        <v>5.2999999999999999E-2</v>
      </c>
      <c r="AB903" s="147">
        <f>IF($E903="","",IF(AND($B903&gt;Input!$C$9,Summary!$D$31&lt;&gt;"Included Margin"),1,IF(Summary!$D$25="Included Margin",VLOOKUP($B903,'Mortality Margins &amp; Grading'!$AI$5:$AR$125,MATCH('Mortality Margins &amp; Grading'!$AQ$4,'Mortality Margins &amp; Grading'!$AI$4:$AR$4,0),0),1)))</f>
        <v>0</v>
      </c>
      <c r="AC903" s="154"/>
      <c r="AD903" s="158">
        <f>IF(E903="","",Input!$C$48*IF(Summary!$D$30="Included Margin",IF(AND($B903&gt;Input!$C$9,Summary!$D$31&lt;&gt;"Included Margin"),0,1),0))</f>
        <v>-4.4999999999999997E-3</v>
      </c>
      <c r="AE903" s="159">
        <f>IF(E903="","",IF(Summary!$D$26="Included Margin",IF(AND($B903&gt;Input!$C$9,Summary!$D$31&lt;&gt;"Included Margin"),1,1/$R903),1))</f>
        <v>1.4490788735403932</v>
      </c>
      <c r="AF903" s="160">
        <f>IF(E903="","",IF(AND($B903&gt;=Input!$C$9,$C903=12,Summary!$D$31="Included Margin",$U903&gt;0),1/U903-1,IF($B903&gt;=Input!$C$9,0,Input!$C$45*IF(Summary!$D$27="Included Margin",1,0))))</f>
        <v>0</v>
      </c>
      <c r="AG903" s="160">
        <f>IF(E903="","",Input!$C$46*IF(Summary!$D$28="Included Margin",IF(AND($B903&gt;Input!$C$9,Summary!$D$31&lt;&gt;"Included Margin"),0,1),0))</f>
        <v>0.02</v>
      </c>
      <c r="AH903" s="158">
        <f>IF(E903="","",Input!$C$47*IF(Summary!$D$29="Included Margin",IF(AND($B903&gt;Input!$C$9,Summary!$D$31&lt;&gt;"Included Margin"),0,1),0))</f>
        <v>2.5000000000000001E-3</v>
      </c>
      <c r="AI903" s="154"/>
      <c r="AJ903" s="158">
        <f t="shared" si="604"/>
        <v>4.3640000000000005E-2</v>
      </c>
      <c r="AK903" s="155">
        <f t="shared" si="605"/>
        <v>3.565892922956726E-3</v>
      </c>
      <c r="AL903" s="147">
        <f t="shared" si="606"/>
        <v>1</v>
      </c>
      <c r="AM903" s="147">
        <f t="shared" si="585"/>
        <v>1</v>
      </c>
      <c r="AN903" s="160">
        <f t="shared" si="607"/>
        <v>0</v>
      </c>
      <c r="AO903" s="161">
        <f t="shared" si="608"/>
        <v>0</v>
      </c>
      <c r="AP903" s="156">
        <f t="shared" si="586"/>
        <v>5.1890210714875806</v>
      </c>
      <c r="AQ903" s="152"/>
      <c r="AR903" s="162">
        <f t="shared" si="587"/>
        <v>99822.022677888832</v>
      </c>
      <c r="AS903" s="150">
        <f t="shared" si="609"/>
        <v>0</v>
      </c>
      <c r="AT903" s="163">
        <f t="shared" si="588"/>
        <v>0</v>
      </c>
      <c r="AU903" s="163">
        <f t="shared" si="589"/>
        <v>100000</v>
      </c>
      <c r="AV903" s="163">
        <f t="shared" si="610"/>
        <v>177.65999807447329</v>
      </c>
      <c r="AW903" s="163">
        <f t="shared" si="590"/>
        <v>99822.34000192552</v>
      </c>
      <c r="AX903" s="163">
        <f t="shared" si="591"/>
        <v>0</v>
      </c>
      <c r="AY903" s="164">
        <f t="shared" si="611"/>
        <v>99822.022677888832</v>
      </c>
      <c r="AZ903" s="164">
        <f>IF($E903="","",IF(OR(AND($D903=Input!$C$6,$C903=12),$AN903=1),0,-AS904+AT904+AU904-AV904-AW904-AX904+AZ904))</f>
        <v>99822.34000192552</v>
      </c>
      <c r="BA903" s="154">
        <f t="shared" si="592"/>
        <v>0.31732403668866027</v>
      </c>
      <c r="BC903" s="147">
        <f t="shared" si="612"/>
        <v>6.1174017873368048E-20</v>
      </c>
      <c r="BD903" s="164">
        <f>IF(AND($C902=12,$D902=Input!$C$6),0,IF($E903="","",AT903+(AU903+BD904)/(1+$AK903)*MIN((1-AM903-AN903),1)))</f>
        <v>0</v>
      </c>
      <c r="BE903" s="164">
        <f t="shared" si="579"/>
        <v>0</v>
      </c>
      <c r="BF903" s="164">
        <f t="shared" si="613"/>
        <v>99822.34000192552</v>
      </c>
      <c r="BG903" s="164">
        <f t="shared" si="593"/>
        <v>6.106533611439214E-15</v>
      </c>
      <c r="BH903" s="152"/>
      <c r="BI903" s="162">
        <f t="shared" si="594"/>
        <v>-5490.9990737313328</v>
      </c>
      <c r="BJ903" s="150">
        <f t="shared" si="595"/>
        <v>0</v>
      </c>
      <c r="BK903" s="163">
        <f t="shared" ref="BK903:BK966" si="617">IF($E903="","",$V903*$X903)</f>
        <v>0</v>
      </c>
      <c r="BL903" s="163">
        <f t="shared" si="596"/>
        <v>9300.9893071581137</v>
      </c>
      <c r="BM903" s="163">
        <f t="shared" ref="BM903:BM966" si="618">IF($E903="","",(BI903+BJ903-BK903-BL903/2)*$N903)</f>
        <v>-39.813302051539473</v>
      </c>
      <c r="BN903" s="163">
        <f t="shared" si="597"/>
        <v>-1520.9658313380671</v>
      </c>
      <c r="BO903" s="163">
        <f t="shared" si="598"/>
        <v>0</v>
      </c>
      <c r="BP903" s="164">
        <f t="shared" ref="BP903:BP966" si="619">IF($E903="","",BI903+BJ903-BK903-BL903+BM903+BN903+BO903)</f>
        <v>-16352.767514279054</v>
      </c>
      <c r="BQ903" s="164">
        <f>IF($E903="","",IF(AND($D903=Input!$C$6,$C903=12),0,-BJ904+BK904+BL904-BM904-BN904-BO904+BQ904))</f>
        <v>-16352.731748304666</v>
      </c>
      <c r="BR903" s="161">
        <f t="shared" si="599"/>
        <v>0</v>
      </c>
      <c r="BT903" s="147">
        <f t="shared" si="600"/>
        <v>6.1174017873368048E-20</v>
      </c>
      <c r="BU903" s="164">
        <f>IF(AND($C902=12,$D902=Input!$C$6),0,IF($E903="","",BK903+(BL903+BU904)/(1+$AK903)*MIN((1-T903-U903),1)))</f>
        <v>60416.184035836493</v>
      </c>
      <c r="BV903" s="164">
        <f t="shared" si="601"/>
        <v>3.6959007220489548E-15</v>
      </c>
      <c r="BW903" s="164">
        <f t="shared" si="602"/>
        <v>-16352.731748304666</v>
      </c>
      <c r="BX903" s="164">
        <f t="shared" si="603"/>
        <v>-1.0003623042491828E-15</v>
      </c>
    </row>
    <row r="904" spans="1:76" s="150" customFormat="1" x14ac:dyDescent="0.25">
      <c r="A904" s="150">
        <f t="shared" si="614"/>
        <v>900</v>
      </c>
      <c r="B904" s="150">
        <f t="shared" si="615"/>
        <v>75</v>
      </c>
      <c r="C904" s="150">
        <f t="shared" si="616"/>
        <v>12</v>
      </c>
      <c r="D904" s="150">
        <f>IF(E904="","",Input!$C$4+B904-1)</f>
        <v>119</v>
      </c>
      <c r="E904" s="150">
        <f>IF(OR(AND(C903=12,D903=Input!$C$6),E903=""),"",1)</f>
        <v>1</v>
      </c>
      <c r="F904" s="150">
        <f>IF(E904="","",Input!$C$8+B904-1)</f>
        <v>2092</v>
      </c>
      <c r="G904" s="151">
        <f>IF(E904="","",MAX(0,Input!$C$9-B904))</f>
        <v>0</v>
      </c>
      <c r="H904" s="152">
        <f>IF(E904="","",Input!$C$3)</f>
        <v>100000</v>
      </c>
      <c r="I904" s="153">
        <f>IF(E904="","",HLOOKUP($B904,Input!$C$13:$BT$14,2))</f>
        <v>1000</v>
      </c>
      <c r="J904" s="154"/>
      <c r="K904" s="155">
        <f>IF($E904="","",INDEX(Input!$C$16:$CP$16,1,$B904))</f>
        <v>3.3140000000000003E-2</v>
      </c>
      <c r="L904" s="155">
        <f>IF($E904="","",Input!$C$37)</f>
        <v>1.4999999999999999E-2</v>
      </c>
      <c r="M904" s="155">
        <f t="shared" si="580"/>
        <v>4.8140000000000002E-2</v>
      </c>
      <c r="N904" s="155">
        <f t="shared" si="581"/>
        <v>3.9257828404828388E-3</v>
      </c>
      <c r="O904" s="147">
        <f>IF($E904="","",MIN(VLOOKUP(IF($B904&lt;=Input!$C$7,$B904,26),'Mortality Tables'!$A$41:$CW$67,IF($B904&lt;=Input!$C$7+1,Input!$C$4+2,$D904-Input!$C$7+2),0)*IF(B904&gt;20,Input!$C$22,1)/1000,1))</f>
        <v>1</v>
      </c>
      <c r="P904" s="147">
        <f>IF($E904="","",MIN(VLOOKUP(IF($B904&lt;=Input!$C$7,$B904,26),'Mortality Tables'!$A$12:$CW$37,IF($B904&lt;=Input!$C$7+1,Input!$C$4+2,$D904-Input!$C$7+2),0)*IF(B904&gt;20,Input!$C$22,1)/1000,1))</f>
        <v>1</v>
      </c>
      <c r="Q904" s="155">
        <f>IF($E904="","",Input!$C$21)</f>
        <v>5.0000000000000001E-3</v>
      </c>
      <c r="R904" s="159">
        <f>IF($E904="","",(1-Q904)^($F904-Input!$C$20))</f>
        <v>0.69009356099216146</v>
      </c>
      <c r="S904" s="147">
        <f t="shared" si="583"/>
        <v>0.69009356099216146</v>
      </c>
      <c r="T904" s="147">
        <f t="shared" si="584"/>
        <v>9.300989307158114E-2</v>
      </c>
      <c r="U904" s="160">
        <f>IF($E904="","",IF($C904=12,INDEX(Input!$C$15:$CP$15,1,$B904),0))</f>
        <v>0.1</v>
      </c>
      <c r="V904" s="150">
        <f>IF(E904="","",IF(C904=1,IF($B904=1,Input!$C$33,Input!$C$34),0))</f>
        <v>0</v>
      </c>
      <c r="W904" s="156">
        <f>IF($E904="","",Input!$C$35)</f>
        <v>0.02</v>
      </c>
      <c r="X904" s="156">
        <f t="shared" si="582"/>
        <v>4.3292504462035977</v>
      </c>
      <c r="Y904" s="154"/>
      <c r="Z904" s="147">
        <f>IF($E904="","",VLOOKUP($D904,'Mortality Margins &amp; Grading'!$AB$5:$AF$125,3,0)*IF(Summary!$D$25="Included Margin",IF(AND($B904&gt;Input!$C$9,Summary!$D$31&lt;&gt;"Included Margin"),0,1),0))</f>
        <v>0.01</v>
      </c>
      <c r="AA904" s="147">
        <f>IF($E904="","",VLOOKUP($D904,'Mortality Margins &amp; Grading'!$AB$5:$AF$125,5,0)*IF(Summary!$D$25="Included Margin",IF(AND($B904&gt;Input!$C$9,Summary!$D$31&lt;&gt;"Included Margin"),0,1),0))</f>
        <v>5.2999999999999999E-2</v>
      </c>
      <c r="AB904" s="147">
        <f>IF($E904="","",IF(AND($B904&gt;Input!$C$9,Summary!$D$31&lt;&gt;"Included Margin"),1,IF(Summary!$D$25="Included Margin",VLOOKUP($B904,'Mortality Margins &amp; Grading'!$AI$5:$AR$125,MATCH('Mortality Margins &amp; Grading'!$AQ$4,'Mortality Margins &amp; Grading'!$AI$4:$AR$4,0),0),1)))</f>
        <v>0</v>
      </c>
      <c r="AC904" s="154"/>
      <c r="AD904" s="158">
        <f>IF(E904="","",Input!$C$48*IF(Summary!$D$30="Included Margin",IF(AND($B904&gt;Input!$C$9,Summary!$D$31&lt;&gt;"Included Margin"),0,1),0))</f>
        <v>-4.4999999999999997E-3</v>
      </c>
      <c r="AE904" s="159">
        <f>IF(E904="","",IF(Summary!$D$26="Included Margin",IF(AND($B904&gt;Input!$C$9,Summary!$D$31&lt;&gt;"Included Margin"),1,1/$R904),1))</f>
        <v>1.4490788735403932</v>
      </c>
      <c r="AF904" s="160">
        <f>IF(E904="","",IF(AND($B904&gt;=Input!$C$9,$C904=12,Summary!$D$31="Included Margin",$U904&gt;0),1/U904-1,IF($B904&gt;=Input!$C$9,0,Input!$C$45*IF(Summary!$D$27="Included Margin",1,0))))</f>
        <v>9</v>
      </c>
      <c r="AG904" s="160">
        <f>IF(E904="","",Input!$C$46*IF(Summary!$D$28="Included Margin",IF(AND($B904&gt;Input!$C$9,Summary!$D$31&lt;&gt;"Included Margin"),0,1),0))</f>
        <v>0.02</v>
      </c>
      <c r="AH904" s="158">
        <f>IF(E904="","",Input!$C$47*IF(Summary!$D$29="Included Margin",IF(AND($B904&gt;Input!$C$9,Summary!$D$31&lt;&gt;"Included Margin"),0,1),0))</f>
        <v>2.5000000000000001E-3</v>
      </c>
      <c r="AI904" s="154"/>
      <c r="AJ904" s="158">
        <f t="shared" si="604"/>
        <v>4.3640000000000005E-2</v>
      </c>
      <c r="AK904" s="155">
        <f t="shared" si="605"/>
        <v>3.565892922956726E-3</v>
      </c>
      <c r="AL904" s="147">
        <f t="shared" si="606"/>
        <v>1</v>
      </c>
      <c r="AM904" s="147">
        <f t="shared" si="585"/>
        <v>1</v>
      </c>
      <c r="AN904" s="160">
        <f t="shared" si="607"/>
        <v>1</v>
      </c>
      <c r="AO904" s="161">
        <f t="shared" si="608"/>
        <v>0</v>
      </c>
      <c r="AP904" s="156">
        <f t="shared" si="586"/>
        <v>5.1890210714875806</v>
      </c>
      <c r="AQ904" s="152"/>
      <c r="AR904" s="162">
        <f t="shared" si="587"/>
        <v>99822.022677888832</v>
      </c>
      <c r="AS904" s="150">
        <f t="shared" si="609"/>
        <v>0</v>
      </c>
      <c r="AT904" s="163">
        <f t="shared" si="588"/>
        <v>0</v>
      </c>
      <c r="AU904" s="163">
        <f t="shared" si="589"/>
        <v>100000</v>
      </c>
      <c r="AV904" s="163">
        <f t="shared" si="610"/>
        <v>177.65999807447329</v>
      </c>
      <c r="AW904" s="163">
        <f t="shared" si="590"/>
        <v>0</v>
      </c>
      <c r="AX904" s="163">
        <f t="shared" si="591"/>
        <v>0</v>
      </c>
      <c r="AY904" s="165">
        <f t="shared" si="611"/>
        <v>-0.31732403669488463</v>
      </c>
      <c r="AZ904" s="164">
        <f>IF($E904="","",IF(OR(AND($D904=Input!$C$6,$C904=12),$AN904=1),0,-AS905+AT905+AU905-AV905-AW905-AX905+AZ905))</f>
        <v>0</v>
      </c>
      <c r="BA904" s="154">
        <f t="shared" si="592"/>
        <v>0.31732403669488463</v>
      </c>
      <c r="BC904" s="147">
        <f t="shared" si="612"/>
        <v>4.9366827224870287E-20</v>
      </c>
      <c r="BD904" s="164">
        <f>IF(AND($C903=12,$D903=Input!$C$6),0,IF($E904="","",AT904+(AU904+BD905)/(1+$AK904)*MIN((1-AM904-AN904),1)))</f>
        <v>-99914.310742745743</v>
      </c>
      <c r="BE904" s="164">
        <f t="shared" si="579"/>
        <v>-4.9324525157291302E-15</v>
      </c>
      <c r="BF904" s="164">
        <f t="shared" si="613"/>
        <v>0</v>
      </c>
      <c r="BG904" s="164">
        <f t="shared" si="593"/>
        <v>0</v>
      </c>
      <c r="BH904" s="152"/>
      <c r="BI904" s="162">
        <f t="shared" si="594"/>
        <v>-16352.767514279052</v>
      </c>
      <c r="BJ904" s="150">
        <f t="shared" si="595"/>
        <v>0</v>
      </c>
      <c r="BK904" s="163">
        <f t="shared" si="617"/>
        <v>0</v>
      </c>
      <c r="BL904" s="163">
        <f t="shared" si="596"/>
        <v>9300.9893071581137</v>
      </c>
      <c r="BM904" s="163">
        <f t="shared" si="618"/>
        <v>-82.454246212739747</v>
      </c>
      <c r="BN904" s="163">
        <f t="shared" si="597"/>
        <v>-2932.4329567224559</v>
      </c>
      <c r="BO904" s="163">
        <f t="shared" si="598"/>
        <v>-2859.5750335195025</v>
      </c>
      <c r="BP904" s="164">
        <f t="shared" si="619"/>
        <v>-31528.21905789186</v>
      </c>
      <c r="BQ904" s="164">
        <f>IF($E904="","",IF(AND($D904=Input!$C$6,$C904=12),0,-BJ905+BK905+BL905-BM905-BN905-BO905+BQ905))</f>
        <v>-31528.183291917478</v>
      </c>
      <c r="BR904" s="161">
        <f t="shared" si="599"/>
        <v>0</v>
      </c>
      <c r="BT904" s="147">
        <f t="shared" si="600"/>
        <v>4.9366827224870287E-20</v>
      </c>
      <c r="BU904" s="164">
        <f>IF(AND($C903=12,$D903=Input!$C$6),0,IF($E904="","",BK904+(BL904+BU905)/(1+$AK904)*MIN((1-T904-U904),1)))</f>
        <v>57548.275327331539</v>
      </c>
      <c r="BV904" s="164">
        <f t="shared" si="601"/>
        <v>2.8409757651736415E-15</v>
      </c>
      <c r="BW904" s="164">
        <f t="shared" si="602"/>
        <v>-31528.183291917478</v>
      </c>
      <c r="BX904" s="164">
        <f t="shared" si="603"/>
        <v>-1.5564463772861323E-15</v>
      </c>
    </row>
    <row r="905" spans="1:76" s="150" customFormat="1" x14ac:dyDescent="0.25">
      <c r="A905" s="150">
        <f t="shared" si="614"/>
        <v>901</v>
      </c>
      <c r="B905" s="150">
        <f t="shared" si="615"/>
        <v>76</v>
      </c>
      <c r="C905" s="150">
        <f t="shared" si="616"/>
        <v>1</v>
      </c>
      <c r="D905" s="150">
        <f>IF(E905="","",Input!$C$4+B905-1)</f>
        <v>120</v>
      </c>
      <c r="E905" s="150">
        <f>IF(OR(AND(C904=12,D904=Input!$C$6),E904=""),"",1)</f>
        <v>1</v>
      </c>
      <c r="F905" s="150">
        <f>IF(E905="","",Input!$C$8+B905-1)</f>
        <v>2093</v>
      </c>
      <c r="G905" s="151">
        <f>IF(E905="","",MAX(0,Input!$C$9-B905))</f>
        <v>0</v>
      </c>
      <c r="H905" s="152">
        <f>IF(E905="","",Input!$C$3)</f>
        <v>100000</v>
      </c>
      <c r="I905" s="153">
        <f>IF(E905="","",HLOOKUP($B905,Input!$C$13:$BT$14,2))</f>
        <v>1000</v>
      </c>
      <c r="J905" s="154"/>
      <c r="K905" s="155">
        <f>IF($E905="","",INDEX(Input!$C$16:$CP$16,1,$B905))</f>
        <v>0</v>
      </c>
      <c r="L905" s="155">
        <f>IF($E905="","",Input!$C$37)</f>
        <v>1.4999999999999999E-2</v>
      </c>
      <c r="M905" s="155">
        <f t="shared" si="580"/>
        <v>1.4999999999999999E-2</v>
      </c>
      <c r="N905" s="155">
        <f t="shared" si="581"/>
        <v>1.2414877164492744E-3</v>
      </c>
      <c r="O905" s="147">
        <f>IF($E905="","",MIN(VLOOKUP(IF($B905&lt;=Input!$C$7,$B905,26),'Mortality Tables'!$A$41:$CW$67,IF($B905&lt;=Input!$C$7+1,Input!$C$4+2,$D905-Input!$C$7+2),0)*IF(B905&gt;20,Input!$C$22,1)/1000,1))</f>
        <v>1</v>
      </c>
      <c r="P905" s="147">
        <f>IF($E905="","",MIN(VLOOKUP(IF($B905&lt;=Input!$C$7,$B905,26),'Mortality Tables'!$A$12:$CW$37,IF($B905&lt;=Input!$C$7+1,Input!$C$4+2,$D905-Input!$C$7+2),0)*IF(B905&gt;20,Input!$C$22,1)/1000,1))</f>
        <v>1</v>
      </c>
      <c r="Q905" s="155">
        <f>IF($E905="","",Input!$C$21)</f>
        <v>5.0000000000000001E-3</v>
      </c>
      <c r="R905" s="159">
        <f>IF($E905="","",(1-Q905)^($F905-Input!$C$20))</f>
        <v>0.68664309318720063</v>
      </c>
      <c r="S905" s="147">
        <f t="shared" si="583"/>
        <v>0.68664309318720063</v>
      </c>
      <c r="T905" s="147">
        <f t="shared" si="584"/>
        <v>9.2172628902196574E-2</v>
      </c>
      <c r="U905" s="160">
        <f>IF($E905="","",IF($C905=12,INDEX(Input!$C$15:$CP$15,1,$B905),0))</f>
        <v>0</v>
      </c>
      <c r="V905" s="150">
        <f>IF(E905="","",IF(C905=1,IF($B905=1,Input!$C$33,Input!$C$34),0))</f>
        <v>50</v>
      </c>
      <c r="W905" s="156">
        <f>IF($E905="","",Input!$C$35)</f>
        <v>0.02</v>
      </c>
      <c r="X905" s="156">
        <f t="shared" si="582"/>
        <v>4.4158354551276693</v>
      </c>
      <c r="Y905" s="154"/>
      <c r="Z905" s="147">
        <f>IF($E905="","",VLOOKUP($D905,'Mortality Margins &amp; Grading'!$AB$5:$AF$125,3,0)*IF(Summary!$D$25="Included Margin",IF(AND($B905&gt;Input!$C$9,Summary!$D$31&lt;&gt;"Included Margin"),0,1),0))</f>
        <v>0.01</v>
      </c>
      <c r="AA905" s="147">
        <f>IF($E905="","",VLOOKUP($D905,'Mortality Margins &amp; Grading'!$AB$5:$AF$125,5,0)*IF(Summary!$D$25="Included Margin",IF(AND($B905&gt;Input!$C$9,Summary!$D$31&lt;&gt;"Included Margin"),0,1),0))</f>
        <v>5.2999999999999999E-2</v>
      </c>
      <c r="AB905" s="147">
        <f>IF($E905="","",IF(AND($B905&gt;Input!$C$9,Summary!$D$31&lt;&gt;"Included Margin"),1,IF(Summary!$D$25="Included Margin",VLOOKUP($B905,'Mortality Margins &amp; Grading'!$AI$5:$AR$125,MATCH('Mortality Margins &amp; Grading'!$AQ$4,'Mortality Margins &amp; Grading'!$AI$4:$AR$4,0),0),1)))</f>
        <v>0</v>
      </c>
      <c r="AC905" s="154"/>
      <c r="AD905" s="158">
        <f>IF(E905="","",Input!$C$48*IF(Summary!$D$30="Included Margin",IF(AND($B905&gt;Input!$C$9,Summary!$D$31&lt;&gt;"Included Margin"),0,1),0))</f>
        <v>-4.4999999999999997E-3</v>
      </c>
      <c r="AE905" s="159">
        <f>IF(E905="","",IF(Summary!$D$26="Included Margin",IF(AND($B905&gt;Input!$C$9,Summary!$D$31&lt;&gt;"Included Margin"),1,1/$R905),1))</f>
        <v>1.4563606769250184</v>
      </c>
      <c r="AF905" s="160">
        <f>IF(E905="","",IF(AND($B905&gt;=Input!$C$9,$C905=12,Summary!$D$31="Included Margin",$U905&gt;0),1/U905-1,IF($B905&gt;=Input!$C$9,0,Input!$C$45*IF(Summary!$D$27="Included Margin",1,0))))</f>
        <v>0</v>
      </c>
      <c r="AG905" s="160">
        <f>IF(E905="","",Input!$C$46*IF(Summary!$D$28="Included Margin",IF(AND($B905&gt;Input!$C$9,Summary!$D$31&lt;&gt;"Included Margin"),0,1),0))</f>
        <v>0.02</v>
      </c>
      <c r="AH905" s="158">
        <f>IF(E905="","",Input!$C$47*IF(Summary!$D$29="Included Margin",IF(AND($B905&gt;Input!$C$9,Summary!$D$31&lt;&gt;"Included Margin"),0,1),0))</f>
        <v>2.5000000000000001E-3</v>
      </c>
      <c r="AI905" s="154"/>
      <c r="AJ905" s="158">
        <f t="shared" si="604"/>
        <v>1.0499999999999999E-2</v>
      </c>
      <c r="AK905" s="155">
        <f t="shared" si="605"/>
        <v>8.7081709635938864E-4</v>
      </c>
      <c r="AL905" s="147">
        <f t="shared" si="606"/>
        <v>1</v>
      </c>
      <c r="AM905" s="147">
        <f t="shared" si="585"/>
        <v>1</v>
      </c>
      <c r="AN905" s="160">
        <f t="shared" si="607"/>
        <v>0</v>
      </c>
      <c r="AO905" s="161">
        <f t="shared" si="608"/>
        <v>51</v>
      </c>
      <c r="AP905" s="156">
        <f t="shared" si="586"/>
        <v>5.3057740455960509</v>
      </c>
      <c r="AQ905" s="152"/>
      <c r="AR905" s="162">
        <f t="shared" si="587"/>
        <v>227.07257131689886</v>
      </c>
      <c r="AS905" s="150">
        <f t="shared" si="609"/>
        <v>100000</v>
      </c>
      <c r="AT905" s="163">
        <f t="shared" si="588"/>
        <v>270.5944763253986</v>
      </c>
      <c r="AU905" s="163">
        <f t="shared" si="589"/>
        <v>100000</v>
      </c>
      <c r="AV905" s="163">
        <f t="shared" si="610"/>
        <v>43.502955199021905</v>
      </c>
      <c r="AW905" s="163">
        <f t="shared" si="590"/>
        <v>99956.497044800984</v>
      </c>
      <c r="AX905" s="163">
        <f t="shared" si="591"/>
        <v>0</v>
      </c>
      <c r="AY905" s="164">
        <f t="shared" si="611"/>
        <v>99956.4780949915</v>
      </c>
      <c r="AZ905" s="164">
        <f>IF($E905="","",IF(OR(AND($D905=Input!$C$6,$C905=12),$AN905=1),0,-AS906+AT906+AU906-AV906-AW906-AX906+AZ906))</f>
        <v>99956.497044800984</v>
      </c>
      <c r="BA905" s="154">
        <f t="shared" si="592"/>
        <v>1.8949809484183788E-2</v>
      </c>
      <c r="BC905" s="147">
        <f t="shared" si="612"/>
        <v>4.4816556978993465E-20</v>
      </c>
      <c r="BD905" s="164">
        <f>IF(AND($C904=12,$D904=Input!$C$6),0,IF($E905="","",AT905+(AU905+BD906)/(1+$AK905)*MIN((1-AM905-AN905),1)))</f>
        <v>270.5944763253986</v>
      </c>
      <c r="BE905" s="164">
        <f t="shared" si="579"/>
        <v>1.2127112766438125E-17</v>
      </c>
      <c r="BF905" s="164">
        <f t="shared" si="613"/>
        <v>99956.497044800984</v>
      </c>
      <c r="BG905" s="164">
        <f t="shared" si="593"/>
        <v>4.4797060452289151E-15</v>
      </c>
      <c r="BH905" s="152"/>
      <c r="BI905" s="162">
        <f t="shared" si="594"/>
        <v>-31528.186841337003</v>
      </c>
      <c r="BJ905" s="150">
        <f t="shared" si="595"/>
        <v>100000</v>
      </c>
      <c r="BK905" s="163">
        <f t="shared" si="617"/>
        <v>220.79177275638347</v>
      </c>
      <c r="BL905" s="163">
        <f t="shared" si="596"/>
        <v>9217.2628902196575</v>
      </c>
      <c r="BM905" s="163">
        <f t="shared" si="618"/>
        <v>79.011245356974072</v>
      </c>
      <c r="BN905" s="163">
        <f t="shared" si="597"/>
        <v>6001.7795115527224</v>
      </c>
      <c r="BO905" s="163">
        <f t="shared" si="598"/>
        <v>0</v>
      </c>
      <c r="BP905" s="164">
        <f t="shared" si="619"/>
        <v>65114.549252596655</v>
      </c>
      <c r="BQ905" s="164">
        <f>IF($E905="","",IF(AND($D905=Input!$C$6,$C905=12),0,-BJ906+BK906+BL906-BM906-BN906-BO906+BQ906))</f>
        <v>65114.552802016187</v>
      </c>
      <c r="BR905" s="161">
        <f t="shared" si="599"/>
        <v>0</v>
      </c>
      <c r="BT905" s="147">
        <f t="shared" si="600"/>
        <v>4.4816556978993465E-20</v>
      </c>
      <c r="BU905" s="164">
        <f>IF(AND($C904=12,$D904=Input!$C$6),0,IF($E905="","",BK905+(BL905+BU906)/(1+$AK905)*MIN((1-T905-U905),1)))</f>
        <v>62265.546415159544</v>
      </c>
      <c r="BV905" s="164">
        <f t="shared" si="601"/>
        <v>2.7905274087431601E-15</v>
      </c>
      <c r="BW905" s="164">
        <f t="shared" si="602"/>
        <v>65114.552802016187</v>
      </c>
      <c r="BX905" s="164">
        <f t="shared" si="603"/>
        <v>2.9182100658132372E-15</v>
      </c>
    </row>
    <row r="906" spans="1:76" s="150" customFormat="1" x14ac:dyDescent="0.25">
      <c r="A906" s="150">
        <f t="shared" si="614"/>
        <v>902</v>
      </c>
      <c r="B906" s="150">
        <f t="shared" si="615"/>
        <v>76</v>
      </c>
      <c r="C906" s="150">
        <f t="shared" si="616"/>
        <v>2</v>
      </c>
      <c r="D906" s="150">
        <f>IF(E906="","",Input!$C$4+B906-1)</f>
        <v>120</v>
      </c>
      <c r="E906" s="150">
        <f>IF(OR(AND(C905=12,D905=Input!$C$6),E905=""),"",1)</f>
        <v>1</v>
      </c>
      <c r="F906" s="150">
        <f>IF(E906="","",Input!$C$8+B906-1)</f>
        <v>2093</v>
      </c>
      <c r="G906" s="151">
        <f>IF(E906="","",MAX(0,Input!$C$9-B906))</f>
        <v>0</v>
      </c>
      <c r="H906" s="152">
        <f>IF(E906="","",Input!$C$3)</f>
        <v>100000</v>
      </c>
      <c r="I906" s="153">
        <f>IF(E906="","",HLOOKUP($B906,Input!$C$13:$BT$14,2))</f>
        <v>1000</v>
      </c>
      <c r="J906" s="154"/>
      <c r="K906" s="155">
        <f>IF($E906="","",INDEX(Input!$C$16:$CP$16,1,$B906))</f>
        <v>0</v>
      </c>
      <c r="L906" s="155">
        <f>IF($E906="","",Input!$C$37)</f>
        <v>1.4999999999999999E-2</v>
      </c>
      <c r="M906" s="155">
        <f t="shared" si="580"/>
        <v>1.4999999999999999E-2</v>
      </c>
      <c r="N906" s="155">
        <f t="shared" si="581"/>
        <v>1.2414877164492744E-3</v>
      </c>
      <c r="O906" s="147">
        <f>IF($E906="","",MIN(VLOOKUP(IF($B906&lt;=Input!$C$7,$B906,26),'Mortality Tables'!$A$41:$CW$67,IF($B906&lt;=Input!$C$7+1,Input!$C$4+2,$D906-Input!$C$7+2),0)*IF(B906&gt;20,Input!$C$22,1)/1000,1))</f>
        <v>1</v>
      </c>
      <c r="P906" s="147">
        <f>IF($E906="","",MIN(VLOOKUP(IF($B906&lt;=Input!$C$7,$B906,26),'Mortality Tables'!$A$12:$CW$37,IF($B906&lt;=Input!$C$7+1,Input!$C$4+2,$D906-Input!$C$7+2),0)*IF(B906&gt;20,Input!$C$22,1)/1000,1))</f>
        <v>1</v>
      </c>
      <c r="Q906" s="155">
        <f>IF($E906="","",Input!$C$21)</f>
        <v>5.0000000000000001E-3</v>
      </c>
      <c r="R906" s="159">
        <f>IF($E906="","",(1-Q906)^($F906-Input!$C$20))</f>
        <v>0.68664309318720063</v>
      </c>
      <c r="S906" s="147">
        <f t="shared" si="583"/>
        <v>0.68664309318720063</v>
      </c>
      <c r="T906" s="147">
        <f t="shared" si="584"/>
        <v>9.2172628902196574E-2</v>
      </c>
      <c r="U906" s="160">
        <f>IF($E906="","",IF($C906=12,INDEX(Input!$C$15:$CP$15,1,$B906),0))</f>
        <v>0</v>
      </c>
      <c r="V906" s="150">
        <f>IF(E906="","",IF(C906=1,IF($B906=1,Input!$C$33,Input!$C$34),0))</f>
        <v>0</v>
      </c>
      <c r="W906" s="156">
        <f>IF($E906="","",Input!$C$35)</f>
        <v>0.02</v>
      </c>
      <c r="X906" s="156">
        <f t="shared" si="582"/>
        <v>4.4158354551276693</v>
      </c>
      <c r="Y906" s="154"/>
      <c r="Z906" s="147">
        <f>IF($E906="","",VLOOKUP($D906,'Mortality Margins &amp; Grading'!$AB$5:$AF$125,3,0)*IF(Summary!$D$25="Included Margin",IF(AND($B906&gt;Input!$C$9,Summary!$D$31&lt;&gt;"Included Margin"),0,1),0))</f>
        <v>0.01</v>
      </c>
      <c r="AA906" s="147">
        <f>IF($E906="","",VLOOKUP($D906,'Mortality Margins &amp; Grading'!$AB$5:$AF$125,5,0)*IF(Summary!$D$25="Included Margin",IF(AND($B906&gt;Input!$C$9,Summary!$D$31&lt;&gt;"Included Margin"),0,1),0))</f>
        <v>5.2999999999999999E-2</v>
      </c>
      <c r="AB906" s="147">
        <f>IF($E906="","",IF(AND($B906&gt;Input!$C$9,Summary!$D$31&lt;&gt;"Included Margin"),1,IF(Summary!$D$25="Included Margin",VLOOKUP($B906,'Mortality Margins &amp; Grading'!$AI$5:$AR$125,MATCH('Mortality Margins &amp; Grading'!$AQ$4,'Mortality Margins &amp; Grading'!$AI$4:$AR$4,0),0),1)))</f>
        <v>0</v>
      </c>
      <c r="AC906" s="154"/>
      <c r="AD906" s="158">
        <f>IF(E906="","",Input!$C$48*IF(Summary!$D$30="Included Margin",IF(AND($B906&gt;Input!$C$9,Summary!$D$31&lt;&gt;"Included Margin"),0,1),0))</f>
        <v>-4.4999999999999997E-3</v>
      </c>
      <c r="AE906" s="159">
        <f>IF(E906="","",IF(Summary!$D$26="Included Margin",IF(AND($B906&gt;Input!$C$9,Summary!$D$31&lt;&gt;"Included Margin"),1,1/$R906),1))</f>
        <v>1.4563606769250184</v>
      </c>
      <c r="AF906" s="160">
        <f>IF(E906="","",IF(AND($B906&gt;=Input!$C$9,$C906=12,Summary!$D$31="Included Margin",$U906&gt;0),1/U906-1,IF($B906&gt;=Input!$C$9,0,Input!$C$45*IF(Summary!$D$27="Included Margin",1,0))))</f>
        <v>0</v>
      </c>
      <c r="AG906" s="160">
        <f>IF(E906="","",Input!$C$46*IF(Summary!$D$28="Included Margin",IF(AND($B906&gt;Input!$C$9,Summary!$D$31&lt;&gt;"Included Margin"),0,1),0))</f>
        <v>0.02</v>
      </c>
      <c r="AH906" s="158">
        <f>IF(E906="","",Input!$C$47*IF(Summary!$D$29="Included Margin",IF(AND($B906&gt;Input!$C$9,Summary!$D$31&lt;&gt;"Included Margin"),0,1),0))</f>
        <v>2.5000000000000001E-3</v>
      </c>
      <c r="AI906" s="154"/>
      <c r="AJ906" s="158">
        <f t="shared" si="604"/>
        <v>1.0499999999999999E-2</v>
      </c>
      <c r="AK906" s="155">
        <f t="shared" si="605"/>
        <v>8.7081709635938864E-4</v>
      </c>
      <c r="AL906" s="147">
        <f t="shared" si="606"/>
        <v>1</v>
      </c>
      <c r="AM906" s="147">
        <f t="shared" si="585"/>
        <v>1</v>
      </c>
      <c r="AN906" s="160">
        <f t="shared" si="607"/>
        <v>0</v>
      </c>
      <c r="AO906" s="161">
        <f t="shared" si="608"/>
        <v>0</v>
      </c>
      <c r="AP906" s="156">
        <f t="shared" si="586"/>
        <v>5.3057740455960509</v>
      </c>
      <c r="AQ906" s="152"/>
      <c r="AR906" s="162">
        <f t="shared" si="587"/>
        <v>99956.4780949915</v>
      </c>
      <c r="AS906" s="150">
        <f t="shared" si="609"/>
        <v>0</v>
      </c>
      <c r="AT906" s="163">
        <f t="shared" si="588"/>
        <v>0</v>
      </c>
      <c r="AU906" s="163">
        <f t="shared" si="589"/>
        <v>100000</v>
      </c>
      <c r="AV906" s="163">
        <f t="shared" si="610"/>
        <v>43.502955199021905</v>
      </c>
      <c r="AW906" s="163">
        <f t="shared" si="590"/>
        <v>99956.497044800984</v>
      </c>
      <c r="AX906" s="163">
        <f t="shared" si="591"/>
        <v>0</v>
      </c>
      <c r="AY906" s="165">
        <f t="shared" si="611"/>
        <v>99956.4780949915</v>
      </c>
      <c r="AZ906" s="164">
        <f>IF($E906="","",IF(OR(AND($D906=Input!$C$6,$C906=12),$AN906=1),0,-AS907+AT907+AU907-AV907-AW907-AX907+AZ907))</f>
        <v>99956.497044800984</v>
      </c>
      <c r="BA906" s="154">
        <f t="shared" si="592"/>
        <v>1.8949809484183788E-2</v>
      </c>
      <c r="BC906" s="147">
        <f t="shared" si="612"/>
        <v>4.0685697103894552E-20</v>
      </c>
      <c r="BD906" s="164">
        <f>IF(AND($C905=12,$D905=Input!$C$6),0,IF($E906="","",AT906+(AU906+BD907)/(1+$AK906)*MIN((1-AM906-AN906),1)))</f>
        <v>0</v>
      </c>
      <c r="BE906" s="164">
        <f t="shared" si="579"/>
        <v>0</v>
      </c>
      <c r="BF906" s="164">
        <f t="shared" si="613"/>
        <v>99956.497044800984</v>
      </c>
      <c r="BG906" s="164">
        <f t="shared" si="593"/>
        <v>4.0667997623311035E-15</v>
      </c>
      <c r="BH906" s="152"/>
      <c r="BI906" s="162">
        <f t="shared" si="594"/>
        <v>65114.549252596655</v>
      </c>
      <c r="BJ906" s="150">
        <f t="shared" si="595"/>
        <v>0</v>
      </c>
      <c r="BK906" s="163">
        <f t="shared" si="617"/>
        <v>0</v>
      </c>
      <c r="BL906" s="163">
        <f t="shared" si="596"/>
        <v>9217.2628902196575</v>
      </c>
      <c r="BM906" s="163">
        <f t="shared" si="618"/>
        <v>75.117353730484297</v>
      </c>
      <c r="BN906" s="163">
        <f t="shared" si="597"/>
        <v>5682.934980699345</v>
      </c>
      <c r="BO906" s="163">
        <f t="shared" si="598"/>
        <v>0</v>
      </c>
      <c r="BP906" s="164">
        <f t="shared" si="619"/>
        <v>61655.338696806823</v>
      </c>
      <c r="BQ906" s="164">
        <f>IF($E906="","",IF(AND($D906=Input!$C$6,$C906=12),0,-BJ907+BK907+BL907-BM907-BN907-BO907+BQ907))</f>
        <v>61655.342246226362</v>
      </c>
      <c r="BR906" s="161">
        <f t="shared" si="599"/>
        <v>0</v>
      </c>
      <c r="BT906" s="147">
        <f t="shared" si="600"/>
        <v>4.0685697103894552E-20</v>
      </c>
      <c r="BU906" s="164">
        <f>IF(AND($C905=12,$D905=Input!$C$6),0,IF($E906="","",BK906+(BL906+BU907)/(1+$AK906)*MIN((1-T906-U906),1)))</f>
        <v>59186.473604738989</v>
      </c>
      <c r="BV906" s="164">
        <f t="shared" si="601"/>
        <v>2.4080429377300605E-15</v>
      </c>
      <c r="BW906" s="164">
        <f t="shared" si="602"/>
        <v>61655.342246226362</v>
      </c>
      <c r="BX906" s="164">
        <f t="shared" si="603"/>
        <v>2.5084905794669195E-15</v>
      </c>
    </row>
    <row r="907" spans="1:76" s="150" customFormat="1" x14ac:dyDescent="0.25">
      <c r="A907" s="150">
        <f t="shared" si="614"/>
        <v>903</v>
      </c>
      <c r="B907" s="150">
        <f t="shared" si="615"/>
        <v>76</v>
      </c>
      <c r="C907" s="150">
        <f t="shared" si="616"/>
        <v>3</v>
      </c>
      <c r="D907" s="150">
        <f>IF(E907="","",Input!$C$4+B907-1)</f>
        <v>120</v>
      </c>
      <c r="E907" s="150">
        <f>IF(OR(AND(C906=12,D906=Input!$C$6),E906=""),"",1)</f>
        <v>1</v>
      </c>
      <c r="F907" s="150">
        <f>IF(E907="","",Input!$C$8+B907-1)</f>
        <v>2093</v>
      </c>
      <c r="G907" s="151">
        <f>IF(E907="","",MAX(0,Input!$C$9-B907))</f>
        <v>0</v>
      </c>
      <c r="H907" s="152">
        <f>IF(E907="","",Input!$C$3)</f>
        <v>100000</v>
      </c>
      <c r="I907" s="153">
        <f>IF(E907="","",HLOOKUP($B907,Input!$C$13:$BT$14,2))</f>
        <v>1000</v>
      </c>
      <c r="J907" s="154"/>
      <c r="K907" s="155">
        <f>IF($E907="","",INDEX(Input!$C$16:$CP$16,1,$B907))</f>
        <v>0</v>
      </c>
      <c r="L907" s="155">
        <f>IF($E907="","",Input!$C$37)</f>
        <v>1.4999999999999999E-2</v>
      </c>
      <c r="M907" s="155">
        <f t="shared" si="580"/>
        <v>1.4999999999999999E-2</v>
      </c>
      <c r="N907" s="155">
        <f t="shared" si="581"/>
        <v>1.2414877164492744E-3</v>
      </c>
      <c r="O907" s="147">
        <f>IF($E907="","",MIN(VLOOKUP(IF($B907&lt;=Input!$C$7,$B907,26),'Mortality Tables'!$A$41:$CW$67,IF($B907&lt;=Input!$C$7+1,Input!$C$4+2,$D907-Input!$C$7+2),0)*IF(B907&gt;20,Input!$C$22,1)/1000,1))</f>
        <v>1</v>
      </c>
      <c r="P907" s="147">
        <f>IF($E907="","",MIN(VLOOKUP(IF($B907&lt;=Input!$C$7,$B907,26),'Mortality Tables'!$A$12:$CW$37,IF($B907&lt;=Input!$C$7+1,Input!$C$4+2,$D907-Input!$C$7+2),0)*IF(B907&gt;20,Input!$C$22,1)/1000,1))</f>
        <v>1</v>
      </c>
      <c r="Q907" s="155">
        <f>IF($E907="","",Input!$C$21)</f>
        <v>5.0000000000000001E-3</v>
      </c>
      <c r="R907" s="159">
        <f>IF($E907="","",(1-Q907)^($F907-Input!$C$20))</f>
        <v>0.68664309318720063</v>
      </c>
      <c r="S907" s="147">
        <f t="shared" si="583"/>
        <v>0.68664309318720063</v>
      </c>
      <c r="T907" s="147">
        <f t="shared" si="584"/>
        <v>9.2172628902196574E-2</v>
      </c>
      <c r="U907" s="160">
        <f>IF($E907="","",IF($C907=12,INDEX(Input!$C$15:$CP$15,1,$B907),0))</f>
        <v>0</v>
      </c>
      <c r="V907" s="150">
        <f>IF(E907="","",IF(C907=1,IF($B907=1,Input!$C$33,Input!$C$34),0))</f>
        <v>0</v>
      </c>
      <c r="W907" s="156">
        <f>IF($E907="","",Input!$C$35)</f>
        <v>0.02</v>
      </c>
      <c r="X907" s="156">
        <f t="shared" si="582"/>
        <v>4.4158354551276693</v>
      </c>
      <c r="Y907" s="154"/>
      <c r="Z907" s="147">
        <f>IF($E907="","",VLOOKUP($D907,'Mortality Margins &amp; Grading'!$AB$5:$AF$125,3,0)*IF(Summary!$D$25="Included Margin",IF(AND($B907&gt;Input!$C$9,Summary!$D$31&lt;&gt;"Included Margin"),0,1),0))</f>
        <v>0.01</v>
      </c>
      <c r="AA907" s="147">
        <f>IF($E907="","",VLOOKUP($D907,'Mortality Margins &amp; Grading'!$AB$5:$AF$125,5,0)*IF(Summary!$D$25="Included Margin",IF(AND($B907&gt;Input!$C$9,Summary!$D$31&lt;&gt;"Included Margin"),0,1),0))</f>
        <v>5.2999999999999999E-2</v>
      </c>
      <c r="AB907" s="147">
        <f>IF($E907="","",IF(AND($B907&gt;Input!$C$9,Summary!$D$31&lt;&gt;"Included Margin"),1,IF(Summary!$D$25="Included Margin",VLOOKUP($B907,'Mortality Margins &amp; Grading'!$AI$5:$AR$125,MATCH('Mortality Margins &amp; Grading'!$AQ$4,'Mortality Margins &amp; Grading'!$AI$4:$AR$4,0),0),1)))</f>
        <v>0</v>
      </c>
      <c r="AC907" s="154"/>
      <c r="AD907" s="158">
        <f>IF(E907="","",Input!$C$48*IF(Summary!$D$30="Included Margin",IF(AND($B907&gt;Input!$C$9,Summary!$D$31&lt;&gt;"Included Margin"),0,1),0))</f>
        <v>-4.4999999999999997E-3</v>
      </c>
      <c r="AE907" s="159">
        <f>IF(E907="","",IF(Summary!$D$26="Included Margin",IF(AND($B907&gt;Input!$C$9,Summary!$D$31&lt;&gt;"Included Margin"),1,1/$R907),1))</f>
        <v>1.4563606769250184</v>
      </c>
      <c r="AF907" s="160">
        <f>IF(E907="","",IF(AND($B907&gt;=Input!$C$9,$C907=12,Summary!$D$31="Included Margin",$U907&gt;0),1/U907-1,IF($B907&gt;=Input!$C$9,0,Input!$C$45*IF(Summary!$D$27="Included Margin",1,0))))</f>
        <v>0</v>
      </c>
      <c r="AG907" s="160">
        <f>IF(E907="","",Input!$C$46*IF(Summary!$D$28="Included Margin",IF(AND($B907&gt;Input!$C$9,Summary!$D$31&lt;&gt;"Included Margin"),0,1),0))</f>
        <v>0.02</v>
      </c>
      <c r="AH907" s="158">
        <f>IF(E907="","",Input!$C$47*IF(Summary!$D$29="Included Margin",IF(AND($B907&gt;Input!$C$9,Summary!$D$31&lt;&gt;"Included Margin"),0,1),0))</f>
        <v>2.5000000000000001E-3</v>
      </c>
      <c r="AI907" s="154"/>
      <c r="AJ907" s="158">
        <f t="shared" si="604"/>
        <v>1.0499999999999999E-2</v>
      </c>
      <c r="AK907" s="155">
        <f t="shared" si="605"/>
        <v>8.7081709635938864E-4</v>
      </c>
      <c r="AL907" s="147">
        <f t="shared" si="606"/>
        <v>1</v>
      </c>
      <c r="AM907" s="147">
        <f t="shared" si="585"/>
        <v>1</v>
      </c>
      <c r="AN907" s="160">
        <f t="shared" si="607"/>
        <v>0</v>
      </c>
      <c r="AO907" s="161">
        <f t="shared" si="608"/>
        <v>0</v>
      </c>
      <c r="AP907" s="156">
        <f t="shared" si="586"/>
        <v>5.3057740455960509</v>
      </c>
      <c r="AQ907" s="152"/>
      <c r="AR907" s="162">
        <f t="shared" si="587"/>
        <v>99956.4780949915</v>
      </c>
      <c r="AS907" s="150">
        <f t="shared" si="609"/>
        <v>0</v>
      </c>
      <c r="AT907" s="163">
        <f t="shared" si="588"/>
        <v>0</v>
      </c>
      <c r="AU907" s="163">
        <f t="shared" si="589"/>
        <v>100000</v>
      </c>
      <c r="AV907" s="163">
        <f t="shared" si="610"/>
        <v>43.502955199021905</v>
      </c>
      <c r="AW907" s="163">
        <f t="shared" si="590"/>
        <v>99956.497044800984</v>
      </c>
      <c r="AX907" s="163">
        <f t="shared" si="591"/>
        <v>0</v>
      </c>
      <c r="AY907" s="164">
        <f t="shared" si="611"/>
        <v>99956.4780949915</v>
      </c>
      <c r="AZ907" s="164">
        <f>IF($E907="","",IF(OR(AND($D907=Input!$C$6,$C907=12),$AN907=1),0,-AS908+AT908+AU908-AV908-AW908-AX908+AZ908))</f>
        <v>99956.497044800984</v>
      </c>
      <c r="BA907" s="154">
        <f t="shared" si="592"/>
        <v>1.8949809484183788E-2</v>
      </c>
      <c r="BC907" s="147">
        <f t="shared" si="612"/>
        <v>3.6935589443110107E-20</v>
      </c>
      <c r="BD907" s="164">
        <f>IF(AND($C906=12,$D906=Input!$C$6),0,IF($E907="","",AT907+(AU907+BD908)/(1+$AK907)*MIN((1-AM907-AN907),1)))</f>
        <v>0</v>
      </c>
      <c r="BE907" s="164">
        <f t="shared" si="579"/>
        <v>0</v>
      </c>
      <c r="BF907" s="164">
        <f t="shared" si="613"/>
        <v>99956.497044800984</v>
      </c>
      <c r="BG907" s="164">
        <f t="shared" si="593"/>
        <v>3.6919521370182178E-15</v>
      </c>
      <c r="BH907" s="152"/>
      <c r="BI907" s="162">
        <f t="shared" si="594"/>
        <v>61655.33869680683</v>
      </c>
      <c r="BJ907" s="150">
        <f t="shared" si="595"/>
        <v>0</v>
      </c>
      <c r="BK907" s="163">
        <f t="shared" si="617"/>
        <v>0</v>
      </c>
      <c r="BL907" s="163">
        <f t="shared" si="596"/>
        <v>9217.2628902196575</v>
      </c>
      <c r="BM907" s="163">
        <f t="shared" si="618"/>
        <v>70.822786316859563</v>
      </c>
      <c r="BN907" s="163">
        <f t="shared" si="597"/>
        <v>5331.2818111811775</v>
      </c>
      <c r="BO907" s="163">
        <f t="shared" si="598"/>
        <v>0</v>
      </c>
      <c r="BP907" s="164">
        <f t="shared" si="619"/>
        <v>57840.180404085208</v>
      </c>
      <c r="BQ907" s="164">
        <f>IF($E907="","",IF(AND($D907=Input!$C$6,$C907=12),0,-BJ908+BK908+BL908-BM908-BN908-BO908+BQ908))</f>
        <v>57840.18395350474</v>
      </c>
      <c r="BR907" s="161">
        <f t="shared" si="599"/>
        <v>0</v>
      </c>
      <c r="BT907" s="147">
        <f t="shared" si="600"/>
        <v>3.6935589443110107E-20</v>
      </c>
      <c r="BU907" s="164">
        <f>IF(AND($C906=12,$D906=Input!$C$6),0,IF($E907="","",BK907+(BL907+BU908)/(1+$AK907)*MIN((1-T907-U907),1)))</f>
        <v>56035.246654841518</v>
      </c>
      <c r="BV907" s="164">
        <f t="shared" si="601"/>
        <v>2.0696948647866354E-15</v>
      </c>
      <c r="BW907" s="164">
        <f t="shared" si="602"/>
        <v>57840.18395350474</v>
      </c>
      <c r="BX907" s="164">
        <f t="shared" si="603"/>
        <v>2.1363612878206164E-15</v>
      </c>
    </row>
    <row r="908" spans="1:76" s="150" customFormat="1" x14ac:dyDescent="0.25">
      <c r="A908" s="150">
        <f t="shared" si="614"/>
        <v>904</v>
      </c>
      <c r="B908" s="150">
        <f t="shared" si="615"/>
        <v>76</v>
      </c>
      <c r="C908" s="150">
        <f t="shared" si="616"/>
        <v>4</v>
      </c>
      <c r="D908" s="150">
        <f>IF(E908="","",Input!$C$4+B908-1)</f>
        <v>120</v>
      </c>
      <c r="E908" s="150">
        <f>IF(OR(AND(C907=12,D907=Input!$C$6),E907=""),"",1)</f>
        <v>1</v>
      </c>
      <c r="F908" s="150">
        <f>IF(E908="","",Input!$C$8+B908-1)</f>
        <v>2093</v>
      </c>
      <c r="G908" s="151">
        <f>IF(E908="","",MAX(0,Input!$C$9-B908))</f>
        <v>0</v>
      </c>
      <c r="H908" s="152">
        <f>IF(E908="","",Input!$C$3)</f>
        <v>100000</v>
      </c>
      <c r="I908" s="153">
        <f>IF(E908="","",HLOOKUP($B908,Input!$C$13:$BT$14,2))</f>
        <v>1000</v>
      </c>
      <c r="J908" s="154"/>
      <c r="K908" s="155">
        <f>IF($E908="","",INDEX(Input!$C$16:$CP$16,1,$B908))</f>
        <v>0</v>
      </c>
      <c r="L908" s="155">
        <f>IF($E908="","",Input!$C$37)</f>
        <v>1.4999999999999999E-2</v>
      </c>
      <c r="M908" s="155">
        <f t="shared" si="580"/>
        <v>1.4999999999999999E-2</v>
      </c>
      <c r="N908" s="155">
        <f t="shared" si="581"/>
        <v>1.2414877164492744E-3</v>
      </c>
      <c r="O908" s="147">
        <f>IF($E908="","",MIN(VLOOKUP(IF($B908&lt;=Input!$C$7,$B908,26),'Mortality Tables'!$A$41:$CW$67,IF($B908&lt;=Input!$C$7+1,Input!$C$4+2,$D908-Input!$C$7+2),0)*IF(B908&gt;20,Input!$C$22,1)/1000,1))</f>
        <v>1</v>
      </c>
      <c r="P908" s="147">
        <f>IF($E908="","",MIN(VLOOKUP(IF($B908&lt;=Input!$C$7,$B908,26),'Mortality Tables'!$A$12:$CW$37,IF($B908&lt;=Input!$C$7+1,Input!$C$4+2,$D908-Input!$C$7+2),0)*IF(B908&gt;20,Input!$C$22,1)/1000,1))</f>
        <v>1</v>
      </c>
      <c r="Q908" s="155">
        <f>IF($E908="","",Input!$C$21)</f>
        <v>5.0000000000000001E-3</v>
      </c>
      <c r="R908" s="159">
        <f>IF($E908="","",(1-Q908)^($F908-Input!$C$20))</f>
        <v>0.68664309318720063</v>
      </c>
      <c r="S908" s="147">
        <f t="shared" si="583"/>
        <v>0.68664309318720063</v>
      </c>
      <c r="T908" s="147">
        <f t="shared" si="584"/>
        <v>9.2172628902196574E-2</v>
      </c>
      <c r="U908" s="160">
        <f>IF($E908="","",IF($C908=12,INDEX(Input!$C$15:$CP$15,1,$B908),0))</f>
        <v>0</v>
      </c>
      <c r="V908" s="150">
        <f>IF(E908="","",IF(C908=1,IF($B908=1,Input!$C$33,Input!$C$34),0))</f>
        <v>0</v>
      </c>
      <c r="W908" s="156">
        <f>IF($E908="","",Input!$C$35)</f>
        <v>0.02</v>
      </c>
      <c r="X908" s="156">
        <f t="shared" si="582"/>
        <v>4.4158354551276693</v>
      </c>
      <c r="Y908" s="154"/>
      <c r="Z908" s="147">
        <f>IF($E908="","",VLOOKUP($D908,'Mortality Margins &amp; Grading'!$AB$5:$AF$125,3,0)*IF(Summary!$D$25="Included Margin",IF(AND($B908&gt;Input!$C$9,Summary!$D$31&lt;&gt;"Included Margin"),0,1),0))</f>
        <v>0.01</v>
      </c>
      <c r="AA908" s="147">
        <f>IF($E908="","",VLOOKUP($D908,'Mortality Margins &amp; Grading'!$AB$5:$AF$125,5,0)*IF(Summary!$D$25="Included Margin",IF(AND($B908&gt;Input!$C$9,Summary!$D$31&lt;&gt;"Included Margin"),0,1),0))</f>
        <v>5.2999999999999999E-2</v>
      </c>
      <c r="AB908" s="147">
        <f>IF($E908="","",IF(AND($B908&gt;Input!$C$9,Summary!$D$31&lt;&gt;"Included Margin"),1,IF(Summary!$D$25="Included Margin",VLOOKUP($B908,'Mortality Margins &amp; Grading'!$AI$5:$AR$125,MATCH('Mortality Margins &amp; Grading'!$AQ$4,'Mortality Margins &amp; Grading'!$AI$4:$AR$4,0),0),1)))</f>
        <v>0</v>
      </c>
      <c r="AC908" s="154"/>
      <c r="AD908" s="158">
        <f>IF(E908="","",Input!$C$48*IF(Summary!$D$30="Included Margin",IF(AND($B908&gt;Input!$C$9,Summary!$D$31&lt;&gt;"Included Margin"),0,1),0))</f>
        <v>-4.4999999999999997E-3</v>
      </c>
      <c r="AE908" s="159">
        <f>IF(E908="","",IF(Summary!$D$26="Included Margin",IF(AND($B908&gt;Input!$C$9,Summary!$D$31&lt;&gt;"Included Margin"),1,1/$R908),1))</f>
        <v>1.4563606769250184</v>
      </c>
      <c r="AF908" s="160">
        <f>IF(E908="","",IF(AND($B908&gt;=Input!$C$9,$C908=12,Summary!$D$31="Included Margin",$U908&gt;0),1/U908-1,IF($B908&gt;=Input!$C$9,0,Input!$C$45*IF(Summary!$D$27="Included Margin",1,0))))</f>
        <v>0</v>
      </c>
      <c r="AG908" s="160">
        <f>IF(E908="","",Input!$C$46*IF(Summary!$D$28="Included Margin",IF(AND($B908&gt;Input!$C$9,Summary!$D$31&lt;&gt;"Included Margin"),0,1),0))</f>
        <v>0.02</v>
      </c>
      <c r="AH908" s="158">
        <f>IF(E908="","",Input!$C$47*IF(Summary!$D$29="Included Margin",IF(AND($B908&gt;Input!$C$9,Summary!$D$31&lt;&gt;"Included Margin"),0,1),0))</f>
        <v>2.5000000000000001E-3</v>
      </c>
      <c r="AI908" s="154"/>
      <c r="AJ908" s="158">
        <f t="shared" si="604"/>
        <v>1.0499999999999999E-2</v>
      </c>
      <c r="AK908" s="155">
        <f t="shared" si="605"/>
        <v>8.7081709635938864E-4</v>
      </c>
      <c r="AL908" s="147">
        <f t="shared" si="606"/>
        <v>1</v>
      </c>
      <c r="AM908" s="147">
        <f t="shared" si="585"/>
        <v>1</v>
      </c>
      <c r="AN908" s="160">
        <f t="shared" si="607"/>
        <v>0</v>
      </c>
      <c r="AO908" s="161">
        <f t="shared" si="608"/>
        <v>0</v>
      </c>
      <c r="AP908" s="156">
        <f t="shared" si="586"/>
        <v>5.3057740455960509</v>
      </c>
      <c r="AQ908" s="152"/>
      <c r="AR908" s="162">
        <f t="shared" si="587"/>
        <v>99956.4780949915</v>
      </c>
      <c r="AS908" s="150">
        <f t="shared" si="609"/>
        <v>0</v>
      </c>
      <c r="AT908" s="163">
        <f t="shared" si="588"/>
        <v>0</v>
      </c>
      <c r="AU908" s="163">
        <f t="shared" si="589"/>
        <v>100000</v>
      </c>
      <c r="AV908" s="163">
        <f t="shared" si="610"/>
        <v>43.502955199021905</v>
      </c>
      <c r="AW908" s="163">
        <f t="shared" si="590"/>
        <v>99956.497044800984</v>
      </c>
      <c r="AX908" s="163">
        <f t="shared" si="591"/>
        <v>0</v>
      </c>
      <c r="AY908" s="165">
        <f t="shared" si="611"/>
        <v>99956.4780949915</v>
      </c>
      <c r="AZ908" s="164">
        <f>IF($E908="","",IF(OR(AND($D908=Input!$C$6,$C908=12),$AN908=1),0,-AS909+AT909+AU909-AV909-AW909-AX909+AZ909))</f>
        <v>99956.497044800984</v>
      </c>
      <c r="BA908" s="154">
        <f t="shared" si="592"/>
        <v>1.8949809484183788E-2</v>
      </c>
      <c r="BC908" s="147">
        <f t="shared" si="612"/>
        <v>3.3531139064086429E-20</v>
      </c>
      <c r="BD908" s="164">
        <f>IF(AND($C907=12,$D907=Input!$C$6),0,IF($E908="","",AT908+(AU908+BD909)/(1+$AK908)*MIN((1-AM908-AN908),1)))</f>
        <v>0</v>
      </c>
      <c r="BE908" s="164">
        <f t="shared" si="579"/>
        <v>0</v>
      </c>
      <c r="BF908" s="164">
        <f t="shared" si="613"/>
        <v>99956.497044800984</v>
      </c>
      <c r="BG908" s="164">
        <f t="shared" si="593"/>
        <v>3.351655202768166E-15</v>
      </c>
      <c r="BH908" s="152"/>
      <c r="BI908" s="162">
        <f t="shared" si="594"/>
        <v>57840.180404085208</v>
      </c>
      <c r="BJ908" s="150">
        <f t="shared" si="595"/>
        <v>0</v>
      </c>
      <c r="BK908" s="163">
        <f t="shared" si="617"/>
        <v>0</v>
      </c>
      <c r="BL908" s="163">
        <f t="shared" si="596"/>
        <v>9217.2628902196575</v>
      </c>
      <c r="BM908" s="163">
        <f t="shared" si="618"/>
        <v>66.086314160136084</v>
      </c>
      <c r="BN908" s="163">
        <f t="shared" si="597"/>
        <v>4943.4440417792639</v>
      </c>
      <c r="BO908" s="163">
        <f t="shared" si="598"/>
        <v>0</v>
      </c>
      <c r="BP908" s="164">
        <f t="shared" si="619"/>
        <v>53632.44786980495</v>
      </c>
      <c r="BQ908" s="164">
        <f>IF($E908="","",IF(AND($D908=Input!$C$6,$C908=12),0,-BJ909+BK909+BL909-BM909-BN909-BO909+BQ909))</f>
        <v>53632.451419224482</v>
      </c>
      <c r="BR908" s="161">
        <f t="shared" si="599"/>
        <v>0</v>
      </c>
      <c r="BT908" s="147">
        <f t="shared" si="600"/>
        <v>3.3531139064086429E-20</v>
      </c>
      <c r="BU908" s="164">
        <f>IF(AND($C907=12,$D907=Input!$C$6),0,IF($E908="","",BK908+(BL908+BU909)/(1+$AK908)*MIN((1-T908-U908),1)))</f>
        <v>52561.049695582667</v>
      </c>
      <c r="BV908" s="164">
        <f t="shared" si="601"/>
        <v>1.7624318666969402E-15</v>
      </c>
      <c r="BW908" s="164">
        <f t="shared" si="602"/>
        <v>53632.451419224482</v>
      </c>
      <c r="BX908" s="164">
        <f t="shared" si="603"/>
        <v>1.7983571868858757E-15</v>
      </c>
    </row>
    <row r="909" spans="1:76" s="150" customFormat="1" x14ac:dyDescent="0.25">
      <c r="A909" s="150">
        <f t="shared" si="614"/>
        <v>905</v>
      </c>
      <c r="B909" s="150">
        <f t="shared" si="615"/>
        <v>76</v>
      </c>
      <c r="C909" s="150">
        <f t="shared" si="616"/>
        <v>5</v>
      </c>
      <c r="D909" s="150">
        <f>IF(E909="","",Input!$C$4+B909-1)</f>
        <v>120</v>
      </c>
      <c r="E909" s="150">
        <f>IF(OR(AND(C908=12,D908=Input!$C$6),E908=""),"",1)</f>
        <v>1</v>
      </c>
      <c r="F909" s="150">
        <f>IF(E909="","",Input!$C$8+B909-1)</f>
        <v>2093</v>
      </c>
      <c r="G909" s="151">
        <f>IF(E909="","",MAX(0,Input!$C$9-B909))</f>
        <v>0</v>
      </c>
      <c r="H909" s="152">
        <f>IF(E909="","",Input!$C$3)</f>
        <v>100000</v>
      </c>
      <c r="I909" s="153">
        <f>IF(E909="","",HLOOKUP($B909,Input!$C$13:$BT$14,2))</f>
        <v>1000</v>
      </c>
      <c r="J909" s="154"/>
      <c r="K909" s="155">
        <f>IF($E909="","",INDEX(Input!$C$16:$CP$16,1,$B909))</f>
        <v>0</v>
      </c>
      <c r="L909" s="155">
        <f>IF($E909="","",Input!$C$37)</f>
        <v>1.4999999999999999E-2</v>
      </c>
      <c r="M909" s="155">
        <f t="shared" si="580"/>
        <v>1.4999999999999999E-2</v>
      </c>
      <c r="N909" s="155">
        <f t="shared" si="581"/>
        <v>1.2414877164492744E-3</v>
      </c>
      <c r="O909" s="147">
        <f>IF($E909="","",MIN(VLOOKUP(IF($B909&lt;=Input!$C$7,$B909,26),'Mortality Tables'!$A$41:$CW$67,IF($B909&lt;=Input!$C$7+1,Input!$C$4+2,$D909-Input!$C$7+2),0)*IF(B909&gt;20,Input!$C$22,1)/1000,1))</f>
        <v>1</v>
      </c>
      <c r="P909" s="147">
        <f>IF($E909="","",MIN(VLOOKUP(IF($B909&lt;=Input!$C$7,$B909,26),'Mortality Tables'!$A$12:$CW$37,IF($B909&lt;=Input!$C$7+1,Input!$C$4+2,$D909-Input!$C$7+2),0)*IF(B909&gt;20,Input!$C$22,1)/1000,1))</f>
        <v>1</v>
      </c>
      <c r="Q909" s="155">
        <f>IF($E909="","",Input!$C$21)</f>
        <v>5.0000000000000001E-3</v>
      </c>
      <c r="R909" s="159">
        <f>IF($E909="","",(1-Q909)^($F909-Input!$C$20))</f>
        <v>0.68664309318720063</v>
      </c>
      <c r="S909" s="147">
        <f t="shared" si="583"/>
        <v>0.68664309318720063</v>
      </c>
      <c r="T909" s="147">
        <f t="shared" si="584"/>
        <v>9.2172628902196574E-2</v>
      </c>
      <c r="U909" s="160">
        <f>IF($E909="","",IF($C909=12,INDEX(Input!$C$15:$CP$15,1,$B909),0))</f>
        <v>0</v>
      </c>
      <c r="V909" s="150">
        <f>IF(E909="","",IF(C909=1,IF($B909=1,Input!$C$33,Input!$C$34),0))</f>
        <v>0</v>
      </c>
      <c r="W909" s="156">
        <f>IF($E909="","",Input!$C$35)</f>
        <v>0.02</v>
      </c>
      <c r="X909" s="156">
        <f t="shared" si="582"/>
        <v>4.4158354551276693</v>
      </c>
      <c r="Y909" s="154"/>
      <c r="Z909" s="147">
        <f>IF($E909="","",VLOOKUP($D909,'Mortality Margins &amp; Grading'!$AB$5:$AF$125,3,0)*IF(Summary!$D$25="Included Margin",IF(AND($B909&gt;Input!$C$9,Summary!$D$31&lt;&gt;"Included Margin"),0,1),0))</f>
        <v>0.01</v>
      </c>
      <c r="AA909" s="147">
        <f>IF($E909="","",VLOOKUP($D909,'Mortality Margins &amp; Grading'!$AB$5:$AF$125,5,0)*IF(Summary!$D$25="Included Margin",IF(AND($B909&gt;Input!$C$9,Summary!$D$31&lt;&gt;"Included Margin"),0,1),0))</f>
        <v>5.2999999999999999E-2</v>
      </c>
      <c r="AB909" s="147">
        <f>IF($E909="","",IF(AND($B909&gt;Input!$C$9,Summary!$D$31&lt;&gt;"Included Margin"),1,IF(Summary!$D$25="Included Margin",VLOOKUP($B909,'Mortality Margins &amp; Grading'!$AI$5:$AR$125,MATCH('Mortality Margins &amp; Grading'!$AQ$4,'Mortality Margins &amp; Grading'!$AI$4:$AR$4,0),0),1)))</f>
        <v>0</v>
      </c>
      <c r="AC909" s="154"/>
      <c r="AD909" s="158">
        <f>IF(E909="","",Input!$C$48*IF(Summary!$D$30="Included Margin",IF(AND($B909&gt;Input!$C$9,Summary!$D$31&lt;&gt;"Included Margin"),0,1),0))</f>
        <v>-4.4999999999999997E-3</v>
      </c>
      <c r="AE909" s="159">
        <f>IF(E909="","",IF(Summary!$D$26="Included Margin",IF(AND($B909&gt;Input!$C$9,Summary!$D$31&lt;&gt;"Included Margin"),1,1/$R909),1))</f>
        <v>1.4563606769250184</v>
      </c>
      <c r="AF909" s="160">
        <f>IF(E909="","",IF(AND($B909&gt;=Input!$C$9,$C909=12,Summary!$D$31="Included Margin",$U909&gt;0),1/U909-1,IF($B909&gt;=Input!$C$9,0,Input!$C$45*IF(Summary!$D$27="Included Margin",1,0))))</f>
        <v>0</v>
      </c>
      <c r="AG909" s="160">
        <f>IF(E909="","",Input!$C$46*IF(Summary!$D$28="Included Margin",IF(AND($B909&gt;Input!$C$9,Summary!$D$31&lt;&gt;"Included Margin"),0,1),0))</f>
        <v>0.02</v>
      </c>
      <c r="AH909" s="158">
        <f>IF(E909="","",Input!$C$47*IF(Summary!$D$29="Included Margin",IF(AND($B909&gt;Input!$C$9,Summary!$D$31&lt;&gt;"Included Margin"),0,1),0))</f>
        <v>2.5000000000000001E-3</v>
      </c>
      <c r="AI909" s="154"/>
      <c r="AJ909" s="158">
        <f t="shared" si="604"/>
        <v>1.0499999999999999E-2</v>
      </c>
      <c r="AK909" s="155">
        <f t="shared" si="605"/>
        <v>8.7081709635938864E-4</v>
      </c>
      <c r="AL909" s="147">
        <f t="shared" si="606"/>
        <v>1</v>
      </c>
      <c r="AM909" s="147">
        <f t="shared" si="585"/>
        <v>1</v>
      </c>
      <c r="AN909" s="160">
        <f t="shared" si="607"/>
        <v>0</v>
      </c>
      <c r="AO909" s="161">
        <f t="shared" si="608"/>
        <v>0</v>
      </c>
      <c r="AP909" s="156">
        <f t="shared" si="586"/>
        <v>5.3057740455960509</v>
      </c>
      <c r="AQ909" s="152"/>
      <c r="AR909" s="162">
        <f t="shared" si="587"/>
        <v>99956.4780949915</v>
      </c>
      <c r="AS909" s="150">
        <f t="shared" si="609"/>
        <v>0</v>
      </c>
      <c r="AT909" s="163">
        <f t="shared" si="588"/>
        <v>0</v>
      </c>
      <c r="AU909" s="163">
        <f t="shared" si="589"/>
        <v>100000</v>
      </c>
      <c r="AV909" s="163">
        <f t="shared" si="610"/>
        <v>43.502955199021905</v>
      </c>
      <c r="AW909" s="163">
        <f t="shared" si="590"/>
        <v>99956.497044800984</v>
      </c>
      <c r="AX909" s="163">
        <f t="shared" si="591"/>
        <v>0</v>
      </c>
      <c r="AY909" s="164">
        <f t="shared" si="611"/>
        <v>99956.4780949915</v>
      </c>
      <c r="AZ909" s="164">
        <f>IF($E909="","",IF(OR(AND($D909=Input!$C$6,$C909=12),$AN909=1),0,-AS910+AT910+AU910-AV910-AW910-AX910+AZ910))</f>
        <v>99956.497044800984</v>
      </c>
      <c r="BA909" s="154">
        <f t="shared" si="592"/>
        <v>1.8949809484183788E-2</v>
      </c>
      <c r="BC909" s="147">
        <f t="shared" si="612"/>
        <v>3.0440485826464444E-20</v>
      </c>
      <c r="BD909" s="164">
        <f>IF(AND($C908=12,$D908=Input!$C$6),0,IF($E909="","",AT909+(AU909+BD910)/(1+$AK909)*MIN((1-AM909-AN909),1)))</f>
        <v>0</v>
      </c>
      <c r="BE909" s="164">
        <f t="shared" si="579"/>
        <v>0</v>
      </c>
      <c r="BF909" s="164">
        <f t="shared" si="613"/>
        <v>99956.497044800984</v>
      </c>
      <c r="BG909" s="164">
        <f t="shared" si="593"/>
        <v>3.0427243315552995E-15</v>
      </c>
      <c r="BH909" s="152"/>
      <c r="BI909" s="162">
        <f t="shared" si="594"/>
        <v>53632.44786980495</v>
      </c>
      <c r="BJ909" s="150">
        <f t="shared" si="595"/>
        <v>0</v>
      </c>
      <c r="BK909" s="163">
        <f t="shared" si="617"/>
        <v>0</v>
      </c>
      <c r="BL909" s="163">
        <f t="shared" si="596"/>
        <v>9217.2628902196575</v>
      </c>
      <c r="BM909" s="163">
        <f t="shared" si="618"/>
        <v>60.862465904723173</v>
      </c>
      <c r="BN909" s="163">
        <f t="shared" si="597"/>
        <v>4515.6983297734459</v>
      </c>
      <c r="BO909" s="163">
        <f t="shared" si="598"/>
        <v>0</v>
      </c>
      <c r="BP909" s="164">
        <f t="shared" si="619"/>
        <v>48991.745775263458</v>
      </c>
      <c r="BQ909" s="164">
        <f>IF($E909="","",IF(AND($D909=Input!$C$6,$C909=12),0,-BJ910+BK910+BL910-BM910-BN910-BO910+BQ910))</f>
        <v>48991.749324682998</v>
      </c>
      <c r="BR909" s="161">
        <f t="shared" si="599"/>
        <v>0</v>
      </c>
      <c r="BT909" s="147">
        <f t="shared" si="600"/>
        <v>3.0440485826464444E-20</v>
      </c>
      <c r="BU909" s="164">
        <f>IF(AND($C908=12,$D908=Input!$C$6),0,IF($E909="","",BK909+(BL909+BU910)/(1+$AK909)*MIN((1-T909-U909),1)))</f>
        <v>48730.781452885589</v>
      </c>
      <c r="BV909" s="164">
        <f t="shared" si="601"/>
        <v>1.4833886621291002E-15</v>
      </c>
      <c r="BW909" s="164">
        <f t="shared" si="602"/>
        <v>48991.749324682998</v>
      </c>
      <c r="BX909" s="164">
        <f t="shared" si="603"/>
        <v>1.4913326509317118E-15</v>
      </c>
    </row>
    <row r="910" spans="1:76" s="150" customFormat="1" x14ac:dyDescent="0.25">
      <c r="A910" s="150">
        <f t="shared" si="614"/>
        <v>906</v>
      </c>
      <c r="B910" s="150">
        <f t="shared" si="615"/>
        <v>76</v>
      </c>
      <c r="C910" s="150">
        <f t="shared" si="616"/>
        <v>6</v>
      </c>
      <c r="D910" s="150">
        <f>IF(E910="","",Input!$C$4+B910-1)</f>
        <v>120</v>
      </c>
      <c r="E910" s="150">
        <f>IF(OR(AND(C909=12,D909=Input!$C$6),E909=""),"",1)</f>
        <v>1</v>
      </c>
      <c r="F910" s="150">
        <f>IF(E910="","",Input!$C$8+B910-1)</f>
        <v>2093</v>
      </c>
      <c r="G910" s="151">
        <f>IF(E910="","",MAX(0,Input!$C$9-B910))</f>
        <v>0</v>
      </c>
      <c r="H910" s="152">
        <f>IF(E910="","",Input!$C$3)</f>
        <v>100000</v>
      </c>
      <c r="I910" s="153">
        <f>IF(E910="","",HLOOKUP($B910,Input!$C$13:$BT$14,2))</f>
        <v>1000</v>
      </c>
      <c r="J910" s="154"/>
      <c r="K910" s="155">
        <f>IF($E910="","",INDEX(Input!$C$16:$CP$16,1,$B910))</f>
        <v>0</v>
      </c>
      <c r="L910" s="155">
        <f>IF($E910="","",Input!$C$37)</f>
        <v>1.4999999999999999E-2</v>
      </c>
      <c r="M910" s="155">
        <f t="shared" si="580"/>
        <v>1.4999999999999999E-2</v>
      </c>
      <c r="N910" s="155">
        <f t="shared" si="581"/>
        <v>1.2414877164492744E-3</v>
      </c>
      <c r="O910" s="147">
        <f>IF($E910="","",MIN(VLOOKUP(IF($B910&lt;=Input!$C$7,$B910,26),'Mortality Tables'!$A$41:$CW$67,IF($B910&lt;=Input!$C$7+1,Input!$C$4+2,$D910-Input!$C$7+2),0)*IF(B910&gt;20,Input!$C$22,1)/1000,1))</f>
        <v>1</v>
      </c>
      <c r="P910" s="147">
        <f>IF($E910="","",MIN(VLOOKUP(IF($B910&lt;=Input!$C$7,$B910,26),'Mortality Tables'!$A$12:$CW$37,IF($B910&lt;=Input!$C$7+1,Input!$C$4+2,$D910-Input!$C$7+2),0)*IF(B910&gt;20,Input!$C$22,1)/1000,1))</f>
        <v>1</v>
      </c>
      <c r="Q910" s="155">
        <f>IF($E910="","",Input!$C$21)</f>
        <v>5.0000000000000001E-3</v>
      </c>
      <c r="R910" s="159">
        <f>IF($E910="","",(1-Q910)^($F910-Input!$C$20))</f>
        <v>0.68664309318720063</v>
      </c>
      <c r="S910" s="147">
        <f t="shared" si="583"/>
        <v>0.68664309318720063</v>
      </c>
      <c r="T910" s="147">
        <f t="shared" si="584"/>
        <v>9.2172628902196574E-2</v>
      </c>
      <c r="U910" s="160">
        <f>IF($E910="","",IF($C910=12,INDEX(Input!$C$15:$CP$15,1,$B910),0))</f>
        <v>0</v>
      </c>
      <c r="V910" s="150">
        <f>IF(E910="","",IF(C910=1,IF($B910=1,Input!$C$33,Input!$C$34),0))</f>
        <v>0</v>
      </c>
      <c r="W910" s="156">
        <f>IF($E910="","",Input!$C$35)</f>
        <v>0.02</v>
      </c>
      <c r="X910" s="156">
        <f t="shared" si="582"/>
        <v>4.4158354551276693</v>
      </c>
      <c r="Y910" s="154"/>
      <c r="Z910" s="147">
        <f>IF($E910="","",VLOOKUP($D910,'Mortality Margins &amp; Grading'!$AB$5:$AF$125,3,0)*IF(Summary!$D$25="Included Margin",IF(AND($B910&gt;Input!$C$9,Summary!$D$31&lt;&gt;"Included Margin"),0,1),0))</f>
        <v>0.01</v>
      </c>
      <c r="AA910" s="147">
        <f>IF($E910="","",VLOOKUP($D910,'Mortality Margins &amp; Grading'!$AB$5:$AF$125,5,0)*IF(Summary!$D$25="Included Margin",IF(AND($B910&gt;Input!$C$9,Summary!$D$31&lt;&gt;"Included Margin"),0,1),0))</f>
        <v>5.2999999999999999E-2</v>
      </c>
      <c r="AB910" s="147">
        <f>IF($E910="","",IF(AND($B910&gt;Input!$C$9,Summary!$D$31&lt;&gt;"Included Margin"),1,IF(Summary!$D$25="Included Margin",VLOOKUP($B910,'Mortality Margins &amp; Grading'!$AI$5:$AR$125,MATCH('Mortality Margins &amp; Grading'!$AQ$4,'Mortality Margins &amp; Grading'!$AI$4:$AR$4,0),0),1)))</f>
        <v>0</v>
      </c>
      <c r="AC910" s="154"/>
      <c r="AD910" s="158">
        <f>IF(E910="","",Input!$C$48*IF(Summary!$D$30="Included Margin",IF(AND($B910&gt;Input!$C$9,Summary!$D$31&lt;&gt;"Included Margin"),0,1),0))</f>
        <v>-4.4999999999999997E-3</v>
      </c>
      <c r="AE910" s="159">
        <f>IF(E910="","",IF(Summary!$D$26="Included Margin",IF(AND($B910&gt;Input!$C$9,Summary!$D$31&lt;&gt;"Included Margin"),1,1/$R910),1))</f>
        <v>1.4563606769250184</v>
      </c>
      <c r="AF910" s="160">
        <f>IF(E910="","",IF(AND($B910&gt;=Input!$C$9,$C910=12,Summary!$D$31="Included Margin",$U910&gt;0),1/U910-1,IF($B910&gt;=Input!$C$9,0,Input!$C$45*IF(Summary!$D$27="Included Margin",1,0))))</f>
        <v>0</v>
      </c>
      <c r="AG910" s="160">
        <f>IF(E910="","",Input!$C$46*IF(Summary!$D$28="Included Margin",IF(AND($B910&gt;Input!$C$9,Summary!$D$31&lt;&gt;"Included Margin"),0,1),0))</f>
        <v>0.02</v>
      </c>
      <c r="AH910" s="158">
        <f>IF(E910="","",Input!$C$47*IF(Summary!$D$29="Included Margin",IF(AND($B910&gt;Input!$C$9,Summary!$D$31&lt;&gt;"Included Margin"),0,1),0))</f>
        <v>2.5000000000000001E-3</v>
      </c>
      <c r="AI910" s="154"/>
      <c r="AJ910" s="158">
        <f t="shared" si="604"/>
        <v>1.0499999999999999E-2</v>
      </c>
      <c r="AK910" s="155">
        <f t="shared" si="605"/>
        <v>8.7081709635938864E-4</v>
      </c>
      <c r="AL910" s="147">
        <f t="shared" si="606"/>
        <v>1</v>
      </c>
      <c r="AM910" s="147">
        <f t="shared" si="585"/>
        <v>1</v>
      </c>
      <c r="AN910" s="160">
        <f t="shared" si="607"/>
        <v>0</v>
      </c>
      <c r="AO910" s="161">
        <f t="shared" si="608"/>
        <v>0</v>
      </c>
      <c r="AP910" s="156">
        <f t="shared" si="586"/>
        <v>5.3057740455960509</v>
      </c>
      <c r="AQ910" s="152"/>
      <c r="AR910" s="162">
        <f t="shared" si="587"/>
        <v>99956.4780949915</v>
      </c>
      <c r="AS910" s="150">
        <f t="shared" si="609"/>
        <v>0</v>
      </c>
      <c r="AT910" s="163">
        <f t="shared" si="588"/>
        <v>0</v>
      </c>
      <c r="AU910" s="163">
        <f t="shared" si="589"/>
        <v>100000</v>
      </c>
      <c r="AV910" s="163">
        <f t="shared" si="610"/>
        <v>43.502955199021905</v>
      </c>
      <c r="AW910" s="163">
        <f t="shared" si="590"/>
        <v>99956.497044800984</v>
      </c>
      <c r="AX910" s="163">
        <f t="shared" si="591"/>
        <v>0</v>
      </c>
      <c r="AY910" s="165">
        <f t="shared" si="611"/>
        <v>99956.4780949915</v>
      </c>
      <c r="AZ910" s="164">
        <f>IF($E910="","",IF(OR(AND($D910=Input!$C$6,$C910=12),$AN910=1),0,-AS911+AT911+AU911-AV911-AW911-AX911+AZ911))</f>
        <v>99956.497044800984</v>
      </c>
      <c r="BA910" s="154">
        <f t="shared" si="592"/>
        <v>1.8949809484183788E-2</v>
      </c>
      <c r="BC910" s="147">
        <f t="shared" si="612"/>
        <v>2.7634706222779162E-20</v>
      </c>
      <c r="BD910" s="164">
        <f>IF(AND($C909=12,$D909=Input!$C$6),0,IF($E910="","",AT910+(AU910+BD911)/(1+$AK910)*MIN((1-AM910-AN910),1)))</f>
        <v>0</v>
      </c>
      <c r="BE910" s="164">
        <f t="shared" si="579"/>
        <v>0</v>
      </c>
      <c r="BF910" s="164">
        <f t="shared" si="613"/>
        <v>99956.497044800984</v>
      </c>
      <c r="BG910" s="164">
        <f t="shared" si="593"/>
        <v>2.7622684308911688E-15</v>
      </c>
      <c r="BH910" s="152"/>
      <c r="BI910" s="162">
        <f t="shared" si="594"/>
        <v>48991.745775263465</v>
      </c>
      <c r="BJ910" s="150">
        <f t="shared" si="595"/>
        <v>0</v>
      </c>
      <c r="BK910" s="163">
        <f t="shared" si="617"/>
        <v>0</v>
      </c>
      <c r="BL910" s="163">
        <f t="shared" si="596"/>
        <v>9217.2628902196575</v>
      </c>
      <c r="BM910" s="163">
        <f t="shared" si="618"/>
        <v>55.101091258649504</v>
      </c>
      <c r="BN910" s="163">
        <f t="shared" si="597"/>
        <v>4043.93820589093</v>
      </c>
      <c r="BO910" s="163">
        <f t="shared" si="598"/>
        <v>0</v>
      </c>
      <c r="BP910" s="164">
        <f t="shared" si="619"/>
        <v>43873.522182193388</v>
      </c>
      <c r="BQ910" s="164">
        <f>IF($E910="","",IF(AND($D910=Input!$C$6,$C910=12),0,-BJ911+BK911+BL911-BM911-BN911-BO911+BQ911))</f>
        <v>43873.525731612921</v>
      </c>
      <c r="BR910" s="161">
        <f t="shared" si="599"/>
        <v>0</v>
      </c>
      <c r="BT910" s="147">
        <f t="shared" si="600"/>
        <v>2.7634706222779162E-20</v>
      </c>
      <c r="BU910" s="164">
        <f>IF(AND($C909=12,$D909=Input!$C$6),0,IF($E910="","",BK910+(BL910+BU911)/(1+$AK910)*MIN((1-T910-U910),1)))</f>
        <v>44507.948095117776</v>
      </c>
      <c r="BV910" s="164">
        <f t="shared" si="601"/>
        <v>1.2299640701872831E-15</v>
      </c>
      <c r="BW910" s="164">
        <f t="shared" si="602"/>
        <v>43873.525731612921</v>
      </c>
      <c r="BX910" s="164">
        <f t="shared" si="603"/>
        <v>1.2124319945506653E-15</v>
      </c>
    </row>
    <row r="911" spans="1:76" s="150" customFormat="1" x14ac:dyDescent="0.25">
      <c r="A911" s="150">
        <f t="shared" si="614"/>
        <v>907</v>
      </c>
      <c r="B911" s="150">
        <f t="shared" si="615"/>
        <v>76</v>
      </c>
      <c r="C911" s="150">
        <f t="shared" si="616"/>
        <v>7</v>
      </c>
      <c r="D911" s="150">
        <f>IF(E911="","",Input!$C$4+B911-1)</f>
        <v>120</v>
      </c>
      <c r="E911" s="150">
        <f>IF(OR(AND(C910=12,D910=Input!$C$6),E910=""),"",1)</f>
        <v>1</v>
      </c>
      <c r="F911" s="150">
        <f>IF(E911="","",Input!$C$8+B911-1)</f>
        <v>2093</v>
      </c>
      <c r="G911" s="151">
        <f>IF(E911="","",MAX(0,Input!$C$9-B911))</f>
        <v>0</v>
      </c>
      <c r="H911" s="152">
        <f>IF(E911="","",Input!$C$3)</f>
        <v>100000</v>
      </c>
      <c r="I911" s="153">
        <f>IF(E911="","",HLOOKUP($B911,Input!$C$13:$BT$14,2))</f>
        <v>1000</v>
      </c>
      <c r="J911" s="154"/>
      <c r="K911" s="155">
        <f>IF($E911="","",INDEX(Input!$C$16:$CP$16,1,$B911))</f>
        <v>0</v>
      </c>
      <c r="L911" s="155">
        <f>IF($E911="","",Input!$C$37)</f>
        <v>1.4999999999999999E-2</v>
      </c>
      <c r="M911" s="155">
        <f t="shared" si="580"/>
        <v>1.4999999999999999E-2</v>
      </c>
      <c r="N911" s="155">
        <f t="shared" si="581"/>
        <v>1.2414877164492744E-3</v>
      </c>
      <c r="O911" s="147">
        <f>IF($E911="","",MIN(VLOOKUP(IF($B911&lt;=Input!$C$7,$B911,26),'Mortality Tables'!$A$41:$CW$67,IF($B911&lt;=Input!$C$7+1,Input!$C$4+2,$D911-Input!$C$7+2),0)*IF(B911&gt;20,Input!$C$22,1)/1000,1))</f>
        <v>1</v>
      </c>
      <c r="P911" s="147">
        <f>IF($E911="","",MIN(VLOOKUP(IF($B911&lt;=Input!$C$7,$B911,26),'Mortality Tables'!$A$12:$CW$37,IF($B911&lt;=Input!$C$7+1,Input!$C$4+2,$D911-Input!$C$7+2),0)*IF(B911&gt;20,Input!$C$22,1)/1000,1))</f>
        <v>1</v>
      </c>
      <c r="Q911" s="155">
        <f>IF($E911="","",Input!$C$21)</f>
        <v>5.0000000000000001E-3</v>
      </c>
      <c r="R911" s="159">
        <f>IF($E911="","",(1-Q911)^($F911-Input!$C$20))</f>
        <v>0.68664309318720063</v>
      </c>
      <c r="S911" s="147">
        <f t="shared" si="583"/>
        <v>0.68664309318720063</v>
      </c>
      <c r="T911" s="147">
        <f t="shared" si="584"/>
        <v>9.2172628902196574E-2</v>
      </c>
      <c r="U911" s="160">
        <f>IF($E911="","",IF($C911=12,INDEX(Input!$C$15:$CP$15,1,$B911),0))</f>
        <v>0</v>
      </c>
      <c r="V911" s="150">
        <f>IF(E911="","",IF(C911=1,IF($B911=1,Input!$C$33,Input!$C$34),0))</f>
        <v>0</v>
      </c>
      <c r="W911" s="156">
        <f>IF($E911="","",Input!$C$35)</f>
        <v>0.02</v>
      </c>
      <c r="X911" s="156">
        <f t="shared" si="582"/>
        <v>4.4158354551276693</v>
      </c>
      <c r="Y911" s="154"/>
      <c r="Z911" s="147">
        <f>IF($E911="","",VLOOKUP($D911,'Mortality Margins &amp; Grading'!$AB$5:$AF$125,3,0)*IF(Summary!$D$25="Included Margin",IF(AND($B911&gt;Input!$C$9,Summary!$D$31&lt;&gt;"Included Margin"),0,1),0))</f>
        <v>0.01</v>
      </c>
      <c r="AA911" s="147">
        <f>IF($E911="","",VLOOKUP($D911,'Mortality Margins &amp; Grading'!$AB$5:$AF$125,5,0)*IF(Summary!$D$25="Included Margin",IF(AND($B911&gt;Input!$C$9,Summary!$D$31&lt;&gt;"Included Margin"),0,1),0))</f>
        <v>5.2999999999999999E-2</v>
      </c>
      <c r="AB911" s="147">
        <f>IF($E911="","",IF(AND($B911&gt;Input!$C$9,Summary!$D$31&lt;&gt;"Included Margin"),1,IF(Summary!$D$25="Included Margin",VLOOKUP($B911,'Mortality Margins &amp; Grading'!$AI$5:$AR$125,MATCH('Mortality Margins &amp; Grading'!$AQ$4,'Mortality Margins &amp; Grading'!$AI$4:$AR$4,0),0),1)))</f>
        <v>0</v>
      </c>
      <c r="AC911" s="154"/>
      <c r="AD911" s="158">
        <f>IF(E911="","",Input!$C$48*IF(Summary!$D$30="Included Margin",IF(AND($B911&gt;Input!$C$9,Summary!$D$31&lt;&gt;"Included Margin"),0,1),0))</f>
        <v>-4.4999999999999997E-3</v>
      </c>
      <c r="AE911" s="159">
        <f>IF(E911="","",IF(Summary!$D$26="Included Margin",IF(AND($B911&gt;Input!$C$9,Summary!$D$31&lt;&gt;"Included Margin"),1,1/$R911),1))</f>
        <v>1.4563606769250184</v>
      </c>
      <c r="AF911" s="160">
        <f>IF(E911="","",IF(AND($B911&gt;=Input!$C$9,$C911=12,Summary!$D$31="Included Margin",$U911&gt;0),1/U911-1,IF($B911&gt;=Input!$C$9,0,Input!$C$45*IF(Summary!$D$27="Included Margin",1,0))))</f>
        <v>0</v>
      </c>
      <c r="AG911" s="160">
        <f>IF(E911="","",Input!$C$46*IF(Summary!$D$28="Included Margin",IF(AND($B911&gt;Input!$C$9,Summary!$D$31&lt;&gt;"Included Margin"),0,1),0))</f>
        <v>0.02</v>
      </c>
      <c r="AH911" s="158">
        <f>IF(E911="","",Input!$C$47*IF(Summary!$D$29="Included Margin",IF(AND($B911&gt;Input!$C$9,Summary!$D$31&lt;&gt;"Included Margin"),0,1),0))</f>
        <v>2.5000000000000001E-3</v>
      </c>
      <c r="AI911" s="154"/>
      <c r="AJ911" s="158">
        <f t="shared" si="604"/>
        <v>1.0499999999999999E-2</v>
      </c>
      <c r="AK911" s="155">
        <f t="shared" si="605"/>
        <v>8.7081709635938864E-4</v>
      </c>
      <c r="AL911" s="147">
        <f t="shared" si="606"/>
        <v>1</v>
      </c>
      <c r="AM911" s="147">
        <f t="shared" si="585"/>
        <v>1</v>
      </c>
      <c r="AN911" s="160">
        <f t="shared" si="607"/>
        <v>0</v>
      </c>
      <c r="AO911" s="161">
        <f t="shared" si="608"/>
        <v>0</v>
      </c>
      <c r="AP911" s="156">
        <f t="shared" si="586"/>
        <v>5.3057740455960509</v>
      </c>
      <c r="AQ911" s="152"/>
      <c r="AR911" s="162">
        <f t="shared" si="587"/>
        <v>99956.4780949915</v>
      </c>
      <c r="AS911" s="150">
        <f t="shared" si="609"/>
        <v>0</v>
      </c>
      <c r="AT911" s="163">
        <f t="shared" si="588"/>
        <v>0</v>
      </c>
      <c r="AU911" s="163">
        <f t="shared" si="589"/>
        <v>100000</v>
      </c>
      <c r="AV911" s="163">
        <f t="shared" si="610"/>
        <v>43.502955199021905</v>
      </c>
      <c r="AW911" s="163">
        <f t="shared" si="590"/>
        <v>99956.497044800984</v>
      </c>
      <c r="AX911" s="163">
        <f t="shared" si="591"/>
        <v>0</v>
      </c>
      <c r="AY911" s="164">
        <f t="shared" si="611"/>
        <v>99956.4780949915</v>
      </c>
      <c r="AZ911" s="164">
        <f>IF($E911="","",IF(OR(AND($D911=Input!$C$6,$C911=12),$AN911=1),0,-AS912+AT912+AU912-AV912-AW912-AX912+AZ912))</f>
        <v>99956.497044800984</v>
      </c>
      <c r="BA911" s="154">
        <f t="shared" si="592"/>
        <v>1.8949809484183788E-2</v>
      </c>
      <c r="BC911" s="147">
        <f t="shared" si="612"/>
        <v>2.5087542701285717E-20</v>
      </c>
      <c r="BD911" s="164">
        <f>IF(AND($C910=12,$D910=Input!$C$6),0,IF($E911="","",AT911+(AU911+BD912)/(1+$AK911)*MIN((1-AM911-AN911),1)))</f>
        <v>0</v>
      </c>
      <c r="BE911" s="164">
        <f t="shared" si="579"/>
        <v>0</v>
      </c>
      <c r="BF911" s="164">
        <f t="shared" si="613"/>
        <v>99956.497044800984</v>
      </c>
      <c r="BG911" s="164">
        <f t="shared" si="593"/>
        <v>2.5076628878823842E-15</v>
      </c>
      <c r="BH911" s="152"/>
      <c r="BI911" s="162">
        <f t="shared" si="594"/>
        <v>43873.522182193381</v>
      </c>
      <c r="BJ911" s="150">
        <f t="shared" si="595"/>
        <v>0</v>
      </c>
      <c r="BK911" s="163">
        <f t="shared" si="617"/>
        <v>0</v>
      </c>
      <c r="BL911" s="163">
        <f t="shared" si="596"/>
        <v>9217.2628902196575</v>
      </c>
      <c r="BM911" s="163">
        <f t="shared" si="618"/>
        <v>48.74687953781212</v>
      </c>
      <c r="BN911" s="163">
        <f t="shared" si="597"/>
        <v>3523.6346511410493</v>
      </c>
      <c r="BO911" s="163">
        <f t="shared" si="598"/>
        <v>0</v>
      </c>
      <c r="BP911" s="164">
        <f t="shared" si="619"/>
        <v>38228.640822652589</v>
      </c>
      <c r="BQ911" s="164">
        <f>IF($E911="","",IF(AND($D911=Input!$C$6,$C911=12),0,-BJ912+BK912+BL912-BM912-BN912-BO912+BQ912))</f>
        <v>38228.644372072122</v>
      </c>
      <c r="BR911" s="161">
        <f t="shared" si="599"/>
        <v>0</v>
      </c>
      <c r="BT911" s="147">
        <f t="shared" si="600"/>
        <v>2.5087542701285717E-20</v>
      </c>
      <c r="BU911" s="164">
        <f>IF(AND($C910=12,$D910=Input!$C$6),0,IF($E911="","",BK911+(BL911+BU912)/(1+$AK911)*MIN((1-T911-U911),1)))</f>
        <v>39852.315529049782</v>
      </c>
      <c r="BV911" s="164">
        <f t="shared" si="601"/>
        <v>9.9979666758014827E-16</v>
      </c>
      <c r="BW911" s="164">
        <f t="shared" si="602"/>
        <v>38228.644372072122</v>
      </c>
      <c r="BX911" s="164">
        <f t="shared" si="603"/>
        <v>9.5906274809662531E-16</v>
      </c>
    </row>
    <row r="912" spans="1:76" s="150" customFormat="1" x14ac:dyDescent="0.25">
      <c r="A912" s="150">
        <f t="shared" si="614"/>
        <v>908</v>
      </c>
      <c r="B912" s="150">
        <f t="shared" si="615"/>
        <v>76</v>
      </c>
      <c r="C912" s="150">
        <f t="shared" si="616"/>
        <v>8</v>
      </c>
      <c r="D912" s="150">
        <f>IF(E912="","",Input!$C$4+B912-1)</f>
        <v>120</v>
      </c>
      <c r="E912" s="150">
        <f>IF(OR(AND(C911=12,D911=Input!$C$6),E911=""),"",1)</f>
        <v>1</v>
      </c>
      <c r="F912" s="150">
        <f>IF(E912="","",Input!$C$8+B912-1)</f>
        <v>2093</v>
      </c>
      <c r="G912" s="151">
        <f>IF(E912="","",MAX(0,Input!$C$9-B912))</f>
        <v>0</v>
      </c>
      <c r="H912" s="152">
        <f>IF(E912="","",Input!$C$3)</f>
        <v>100000</v>
      </c>
      <c r="I912" s="153">
        <f>IF(E912="","",HLOOKUP($B912,Input!$C$13:$BT$14,2))</f>
        <v>1000</v>
      </c>
      <c r="J912" s="154"/>
      <c r="K912" s="155">
        <f>IF($E912="","",INDEX(Input!$C$16:$CP$16,1,$B912))</f>
        <v>0</v>
      </c>
      <c r="L912" s="155">
        <f>IF($E912="","",Input!$C$37)</f>
        <v>1.4999999999999999E-2</v>
      </c>
      <c r="M912" s="155">
        <f t="shared" si="580"/>
        <v>1.4999999999999999E-2</v>
      </c>
      <c r="N912" s="155">
        <f t="shared" si="581"/>
        <v>1.2414877164492744E-3</v>
      </c>
      <c r="O912" s="147">
        <f>IF($E912="","",MIN(VLOOKUP(IF($B912&lt;=Input!$C$7,$B912,26),'Mortality Tables'!$A$41:$CW$67,IF($B912&lt;=Input!$C$7+1,Input!$C$4+2,$D912-Input!$C$7+2),0)*IF(B912&gt;20,Input!$C$22,1)/1000,1))</f>
        <v>1</v>
      </c>
      <c r="P912" s="147">
        <f>IF($E912="","",MIN(VLOOKUP(IF($B912&lt;=Input!$C$7,$B912,26),'Mortality Tables'!$A$12:$CW$37,IF($B912&lt;=Input!$C$7+1,Input!$C$4+2,$D912-Input!$C$7+2),0)*IF(B912&gt;20,Input!$C$22,1)/1000,1))</f>
        <v>1</v>
      </c>
      <c r="Q912" s="155">
        <f>IF($E912="","",Input!$C$21)</f>
        <v>5.0000000000000001E-3</v>
      </c>
      <c r="R912" s="159">
        <f>IF($E912="","",(1-Q912)^($F912-Input!$C$20))</f>
        <v>0.68664309318720063</v>
      </c>
      <c r="S912" s="147">
        <f t="shared" si="583"/>
        <v>0.68664309318720063</v>
      </c>
      <c r="T912" s="147">
        <f t="shared" si="584"/>
        <v>9.2172628902196574E-2</v>
      </c>
      <c r="U912" s="160">
        <f>IF($E912="","",IF($C912=12,INDEX(Input!$C$15:$CP$15,1,$B912),0))</f>
        <v>0</v>
      </c>
      <c r="V912" s="150">
        <f>IF(E912="","",IF(C912=1,IF($B912=1,Input!$C$33,Input!$C$34),0))</f>
        <v>0</v>
      </c>
      <c r="W912" s="156">
        <f>IF($E912="","",Input!$C$35)</f>
        <v>0.02</v>
      </c>
      <c r="X912" s="156">
        <f t="shared" si="582"/>
        <v>4.4158354551276693</v>
      </c>
      <c r="Y912" s="154"/>
      <c r="Z912" s="147">
        <f>IF($E912="","",VLOOKUP($D912,'Mortality Margins &amp; Grading'!$AB$5:$AF$125,3,0)*IF(Summary!$D$25="Included Margin",IF(AND($B912&gt;Input!$C$9,Summary!$D$31&lt;&gt;"Included Margin"),0,1),0))</f>
        <v>0.01</v>
      </c>
      <c r="AA912" s="147">
        <f>IF($E912="","",VLOOKUP($D912,'Mortality Margins &amp; Grading'!$AB$5:$AF$125,5,0)*IF(Summary!$D$25="Included Margin",IF(AND($B912&gt;Input!$C$9,Summary!$D$31&lt;&gt;"Included Margin"),0,1),0))</f>
        <v>5.2999999999999999E-2</v>
      </c>
      <c r="AB912" s="147">
        <f>IF($E912="","",IF(AND($B912&gt;Input!$C$9,Summary!$D$31&lt;&gt;"Included Margin"),1,IF(Summary!$D$25="Included Margin",VLOOKUP($B912,'Mortality Margins &amp; Grading'!$AI$5:$AR$125,MATCH('Mortality Margins &amp; Grading'!$AQ$4,'Mortality Margins &amp; Grading'!$AI$4:$AR$4,0),0),1)))</f>
        <v>0</v>
      </c>
      <c r="AC912" s="154"/>
      <c r="AD912" s="158">
        <f>IF(E912="","",Input!$C$48*IF(Summary!$D$30="Included Margin",IF(AND($B912&gt;Input!$C$9,Summary!$D$31&lt;&gt;"Included Margin"),0,1),0))</f>
        <v>-4.4999999999999997E-3</v>
      </c>
      <c r="AE912" s="159">
        <f>IF(E912="","",IF(Summary!$D$26="Included Margin",IF(AND($B912&gt;Input!$C$9,Summary!$D$31&lt;&gt;"Included Margin"),1,1/$R912),1))</f>
        <v>1.4563606769250184</v>
      </c>
      <c r="AF912" s="160">
        <f>IF(E912="","",IF(AND($B912&gt;=Input!$C$9,$C912=12,Summary!$D$31="Included Margin",$U912&gt;0),1/U912-1,IF($B912&gt;=Input!$C$9,0,Input!$C$45*IF(Summary!$D$27="Included Margin",1,0))))</f>
        <v>0</v>
      </c>
      <c r="AG912" s="160">
        <f>IF(E912="","",Input!$C$46*IF(Summary!$D$28="Included Margin",IF(AND($B912&gt;Input!$C$9,Summary!$D$31&lt;&gt;"Included Margin"),0,1),0))</f>
        <v>0.02</v>
      </c>
      <c r="AH912" s="158">
        <f>IF(E912="","",Input!$C$47*IF(Summary!$D$29="Included Margin",IF(AND($B912&gt;Input!$C$9,Summary!$D$31&lt;&gt;"Included Margin"),0,1),0))</f>
        <v>2.5000000000000001E-3</v>
      </c>
      <c r="AI912" s="154"/>
      <c r="AJ912" s="158">
        <f t="shared" si="604"/>
        <v>1.0499999999999999E-2</v>
      </c>
      <c r="AK912" s="155">
        <f t="shared" si="605"/>
        <v>8.7081709635938864E-4</v>
      </c>
      <c r="AL912" s="147">
        <f t="shared" si="606"/>
        <v>1</v>
      </c>
      <c r="AM912" s="147">
        <f t="shared" si="585"/>
        <v>1</v>
      </c>
      <c r="AN912" s="160">
        <f t="shared" si="607"/>
        <v>0</v>
      </c>
      <c r="AO912" s="161">
        <f t="shared" si="608"/>
        <v>0</v>
      </c>
      <c r="AP912" s="156">
        <f t="shared" si="586"/>
        <v>5.3057740455960509</v>
      </c>
      <c r="AQ912" s="152"/>
      <c r="AR912" s="162">
        <f t="shared" si="587"/>
        <v>99956.4780949915</v>
      </c>
      <c r="AS912" s="150">
        <f t="shared" si="609"/>
        <v>0</v>
      </c>
      <c r="AT912" s="163">
        <f t="shared" si="588"/>
        <v>0</v>
      </c>
      <c r="AU912" s="163">
        <f t="shared" si="589"/>
        <v>100000</v>
      </c>
      <c r="AV912" s="163">
        <f t="shared" si="610"/>
        <v>43.502955199021905</v>
      </c>
      <c r="AW912" s="163">
        <f t="shared" si="590"/>
        <v>99956.497044800984</v>
      </c>
      <c r="AX912" s="163">
        <f t="shared" si="591"/>
        <v>0</v>
      </c>
      <c r="AY912" s="165">
        <f t="shared" si="611"/>
        <v>99956.4780949915</v>
      </c>
      <c r="AZ912" s="164">
        <f>IF($E912="","",IF(OR(AND($D912=Input!$C$6,$C912=12),$AN912=1),0,-AS913+AT913+AU913-AV913-AW913-AX913+AZ913))</f>
        <v>99956.497044800984</v>
      </c>
      <c r="BA912" s="154">
        <f t="shared" si="592"/>
        <v>1.8949809484183788E-2</v>
      </c>
      <c r="BC912" s="147">
        <f t="shared" si="612"/>
        <v>2.2775157937812097E-20</v>
      </c>
      <c r="BD912" s="164">
        <f>IF(AND($C911=12,$D911=Input!$C$6),0,IF($E912="","",AT912+(AU912+BD913)/(1+$AK912)*MIN((1-AM912-AN912),1)))</f>
        <v>0</v>
      </c>
      <c r="BE912" s="164">
        <f t="shared" si="579"/>
        <v>0</v>
      </c>
      <c r="BF912" s="164">
        <f t="shared" si="613"/>
        <v>99956.497044800984</v>
      </c>
      <c r="BG912" s="164">
        <f t="shared" si="593"/>
        <v>2.2765250071057905E-15</v>
      </c>
      <c r="BH912" s="152"/>
      <c r="BI912" s="162">
        <f t="shared" si="594"/>
        <v>38228.640822652596</v>
      </c>
      <c r="BJ912" s="150">
        <f t="shared" si="595"/>
        <v>0</v>
      </c>
      <c r="BK912" s="163">
        <f t="shared" si="617"/>
        <v>0</v>
      </c>
      <c r="BL912" s="163">
        <f t="shared" si="596"/>
        <v>9217.2628902196575</v>
      </c>
      <c r="BM912" s="163">
        <f t="shared" si="618"/>
        <v>41.738828669128758</v>
      </c>
      <c r="BN912" s="163">
        <f t="shared" si="597"/>
        <v>2949.7926170636215</v>
      </c>
      <c r="BO912" s="163">
        <f t="shared" si="598"/>
        <v>0</v>
      </c>
      <c r="BP912" s="164">
        <f t="shared" si="619"/>
        <v>32002.909378165685</v>
      </c>
      <c r="BQ912" s="164">
        <f>IF($E912="","",IF(AND($D912=Input!$C$6,$C912=12),0,-BJ913+BK913+BL913-BM913-BN913-BO913+BQ913))</f>
        <v>32002.912927585217</v>
      </c>
      <c r="BR912" s="161">
        <f t="shared" si="599"/>
        <v>0</v>
      </c>
      <c r="BT912" s="147">
        <f t="shared" si="600"/>
        <v>2.2775157937812097E-20</v>
      </c>
      <c r="BU912" s="164">
        <f>IF(AND($C911=12,$D911=Input!$C$6),0,IF($E912="","",BK912+(BL912+BU913)/(1+$AK912)*MIN((1-T912-U912),1)))</f>
        <v>34719.526059542921</v>
      </c>
      <c r="BV912" s="164">
        <f t="shared" si="601"/>
        <v>7.9074268953207297E-16</v>
      </c>
      <c r="BW912" s="164">
        <f t="shared" si="602"/>
        <v>32002.912927585217</v>
      </c>
      <c r="BX912" s="164">
        <f t="shared" si="603"/>
        <v>7.288713963958019E-16</v>
      </c>
    </row>
    <row r="913" spans="1:76" s="150" customFormat="1" x14ac:dyDescent="0.25">
      <c r="A913" s="150">
        <f t="shared" si="614"/>
        <v>909</v>
      </c>
      <c r="B913" s="150">
        <f t="shared" si="615"/>
        <v>76</v>
      </c>
      <c r="C913" s="150">
        <f t="shared" si="616"/>
        <v>9</v>
      </c>
      <c r="D913" s="150">
        <f>IF(E913="","",Input!$C$4+B913-1)</f>
        <v>120</v>
      </c>
      <c r="E913" s="150">
        <f>IF(OR(AND(C912=12,D912=Input!$C$6),E912=""),"",1)</f>
        <v>1</v>
      </c>
      <c r="F913" s="150">
        <f>IF(E913="","",Input!$C$8+B913-1)</f>
        <v>2093</v>
      </c>
      <c r="G913" s="151">
        <f>IF(E913="","",MAX(0,Input!$C$9-B913))</f>
        <v>0</v>
      </c>
      <c r="H913" s="152">
        <f>IF(E913="","",Input!$C$3)</f>
        <v>100000</v>
      </c>
      <c r="I913" s="153">
        <f>IF(E913="","",HLOOKUP($B913,Input!$C$13:$BT$14,2))</f>
        <v>1000</v>
      </c>
      <c r="J913" s="154"/>
      <c r="K913" s="155">
        <f>IF($E913="","",INDEX(Input!$C$16:$CP$16,1,$B913))</f>
        <v>0</v>
      </c>
      <c r="L913" s="155">
        <f>IF($E913="","",Input!$C$37)</f>
        <v>1.4999999999999999E-2</v>
      </c>
      <c r="M913" s="155">
        <f t="shared" si="580"/>
        <v>1.4999999999999999E-2</v>
      </c>
      <c r="N913" s="155">
        <f t="shared" si="581"/>
        <v>1.2414877164492744E-3</v>
      </c>
      <c r="O913" s="147">
        <f>IF($E913="","",MIN(VLOOKUP(IF($B913&lt;=Input!$C$7,$B913,26),'Mortality Tables'!$A$41:$CW$67,IF($B913&lt;=Input!$C$7+1,Input!$C$4+2,$D913-Input!$C$7+2),0)*IF(B913&gt;20,Input!$C$22,1)/1000,1))</f>
        <v>1</v>
      </c>
      <c r="P913" s="147">
        <f>IF($E913="","",MIN(VLOOKUP(IF($B913&lt;=Input!$C$7,$B913,26),'Mortality Tables'!$A$12:$CW$37,IF($B913&lt;=Input!$C$7+1,Input!$C$4+2,$D913-Input!$C$7+2),0)*IF(B913&gt;20,Input!$C$22,1)/1000,1))</f>
        <v>1</v>
      </c>
      <c r="Q913" s="155">
        <f>IF($E913="","",Input!$C$21)</f>
        <v>5.0000000000000001E-3</v>
      </c>
      <c r="R913" s="159">
        <f>IF($E913="","",(1-Q913)^($F913-Input!$C$20))</f>
        <v>0.68664309318720063</v>
      </c>
      <c r="S913" s="147">
        <f t="shared" si="583"/>
        <v>0.68664309318720063</v>
      </c>
      <c r="T913" s="147">
        <f t="shared" si="584"/>
        <v>9.2172628902196574E-2</v>
      </c>
      <c r="U913" s="160">
        <f>IF($E913="","",IF($C913=12,INDEX(Input!$C$15:$CP$15,1,$B913),0))</f>
        <v>0</v>
      </c>
      <c r="V913" s="150">
        <f>IF(E913="","",IF(C913=1,IF($B913=1,Input!$C$33,Input!$C$34),0))</f>
        <v>0</v>
      </c>
      <c r="W913" s="156">
        <f>IF($E913="","",Input!$C$35)</f>
        <v>0.02</v>
      </c>
      <c r="X913" s="156">
        <f t="shared" si="582"/>
        <v>4.4158354551276693</v>
      </c>
      <c r="Y913" s="154"/>
      <c r="Z913" s="147">
        <f>IF($E913="","",VLOOKUP($D913,'Mortality Margins &amp; Grading'!$AB$5:$AF$125,3,0)*IF(Summary!$D$25="Included Margin",IF(AND($B913&gt;Input!$C$9,Summary!$D$31&lt;&gt;"Included Margin"),0,1),0))</f>
        <v>0.01</v>
      </c>
      <c r="AA913" s="147">
        <f>IF($E913="","",VLOOKUP($D913,'Mortality Margins &amp; Grading'!$AB$5:$AF$125,5,0)*IF(Summary!$D$25="Included Margin",IF(AND($B913&gt;Input!$C$9,Summary!$D$31&lt;&gt;"Included Margin"),0,1),0))</f>
        <v>5.2999999999999999E-2</v>
      </c>
      <c r="AB913" s="147">
        <f>IF($E913="","",IF(AND($B913&gt;Input!$C$9,Summary!$D$31&lt;&gt;"Included Margin"),1,IF(Summary!$D$25="Included Margin",VLOOKUP($B913,'Mortality Margins &amp; Grading'!$AI$5:$AR$125,MATCH('Mortality Margins &amp; Grading'!$AQ$4,'Mortality Margins &amp; Grading'!$AI$4:$AR$4,0),0),1)))</f>
        <v>0</v>
      </c>
      <c r="AC913" s="154"/>
      <c r="AD913" s="158">
        <f>IF(E913="","",Input!$C$48*IF(Summary!$D$30="Included Margin",IF(AND($B913&gt;Input!$C$9,Summary!$D$31&lt;&gt;"Included Margin"),0,1),0))</f>
        <v>-4.4999999999999997E-3</v>
      </c>
      <c r="AE913" s="159">
        <f>IF(E913="","",IF(Summary!$D$26="Included Margin",IF(AND($B913&gt;Input!$C$9,Summary!$D$31&lt;&gt;"Included Margin"),1,1/$R913),1))</f>
        <v>1.4563606769250184</v>
      </c>
      <c r="AF913" s="160">
        <f>IF(E913="","",IF(AND($B913&gt;=Input!$C$9,$C913=12,Summary!$D$31="Included Margin",$U913&gt;0),1/U913-1,IF($B913&gt;=Input!$C$9,0,Input!$C$45*IF(Summary!$D$27="Included Margin",1,0))))</f>
        <v>0</v>
      </c>
      <c r="AG913" s="160">
        <f>IF(E913="","",Input!$C$46*IF(Summary!$D$28="Included Margin",IF(AND($B913&gt;Input!$C$9,Summary!$D$31&lt;&gt;"Included Margin"),0,1),0))</f>
        <v>0.02</v>
      </c>
      <c r="AH913" s="158">
        <f>IF(E913="","",Input!$C$47*IF(Summary!$D$29="Included Margin",IF(AND($B913&gt;Input!$C$9,Summary!$D$31&lt;&gt;"Included Margin"),0,1),0))</f>
        <v>2.5000000000000001E-3</v>
      </c>
      <c r="AI913" s="154"/>
      <c r="AJ913" s="158">
        <f t="shared" si="604"/>
        <v>1.0499999999999999E-2</v>
      </c>
      <c r="AK913" s="155">
        <f t="shared" si="605"/>
        <v>8.7081709635938864E-4</v>
      </c>
      <c r="AL913" s="147">
        <f t="shared" si="606"/>
        <v>1</v>
      </c>
      <c r="AM913" s="147">
        <f t="shared" si="585"/>
        <v>1</v>
      </c>
      <c r="AN913" s="160">
        <f t="shared" si="607"/>
        <v>0</v>
      </c>
      <c r="AO913" s="161">
        <f t="shared" si="608"/>
        <v>0</v>
      </c>
      <c r="AP913" s="156">
        <f t="shared" si="586"/>
        <v>5.3057740455960509</v>
      </c>
      <c r="AQ913" s="152"/>
      <c r="AR913" s="162">
        <f t="shared" si="587"/>
        <v>99956.4780949915</v>
      </c>
      <c r="AS913" s="150">
        <f t="shared" si="609"/>
        <v>0</v>
      </c>
      <c r="AT913" s="163">
        <f t="shared" si="588"/>
        <v>0</v>
      </c>
      <c r="AU913" s="163">
        <f t="shared" si="589"/>
        <v>100000</v>
      </c>
      <c r="AV913" s="163">
        <f t="shared" si="610"/>
        <v>43.502955199021905</v>
      </c>
      <c r="AW913" s="163">
        <f t="shared" si="590"/>
        <v>99956.497044800984</v>
      </c>
      <c r="AX913" s="163">
        <f t="shared" si="591"/>
        <v>0</v>
      </c>
      <c r="AY913" s="164">
        <f t="shared" si="611"/>
        <v>99956.4780949915</v>
      </c>
      <c r="AZ913" s="164">
        <f>IF($E913="","",IF(OR(AND($D913=Input!$C$6,$C913=12),$AN913=1),0,-AS914+AT914+AU914-AV914-AW914-AX914+AZ914))</f>
        <v>99956.497044800984</v>
      </c>
      <c r="BA913" s="154">
        <f t="shared" si="592"/>
        <v>1.8949809484183788E-2</v>
      </c>
      <c r="BC913" s="147">
        <f t="shared" si="612"/>
        <v>2.0675911757021227E-20</v>
      </c>
      <c r="BD913" s="164">
        <f>IF(AND($C912=12,$D912=Input!$C$6),0,IF($E913="","",AT913+(AU913+BD914)/(1+$AK913)*MIN((1-AM913-AN913),1)))</f>
        <v>0</v>
      </c>
      <c r="BE913" s="164">
        <f t="shared" si="579"/>
        <v>0</v>
      </c>
      <c r="BF913" s="164">
        <f t="shared" si="613"/>
        <v>99956.497044800984</v>
      </c>
      <c r="BG913" s="164">
        <f t="shared" si="593"/>
        <v>2.0666917124392583E-15</v>
      </c>
      <c r="BH913" s="152"/>
      <c r="BI913" s="162">
        <f t="shared" si="594"/>
        <v>32002.909378165685</v>
      </c>
      <c r="BJ913" s="150">
        <f t="shared" si="595"/>
        <v>0</v>
      </c>
      <c r="BK913" s="163">
        <f t="shared" si="617"/>
        <v>0</v>
      </c>
      <c r="BL913" s="163">
        <f t="shared" si="596"/>
        <v>9217.2628902196575</v>
      </c>
      <c r="BM913" s="163">
        <f t="shared" si="618"/>
        <v>34.009659554886262</v>
      </c>
      <c r="BN913" s="163">
        <f t="shared" si="597"/>
        <v>2316.9030719740863</v>
      </c>
      <c r="BO913" s="163">
        <f t="shared" si="598"/>
        <v>0</v>
      </c>
      <c r="BP913" s="164">
        <f t="shared" si="619"/>
        <v>25136.559219474999</v>
      </c>
      <c r="BQ913" s="164">
        <f>IF($E913="","",IF(AND($D913=Input!$C$6,$C913=12),0,-BJ914+BK914+BL914-BM914-BN914-BO914+BQ914))</f>
        <v>25136.562768894531</v>
      </c>
      <c r="BR913" s="161">
        <f t="shared" si="599"/>
        <v>0</v>
      </c>
      <c r="BT913" s="147">
        <f t="shared" si="600"/>
        <v>2.0675911757021227E-20</v>
      </c>
      <c r="BU913" s="164">
        <f>IF(AND($C912=12,$D912=Input!$C$6),0,IF($E913="","",BK913+(BL913+BU914)/(1+$AK913)*MIN((1-T913-U913),1)))</f>
        <v>29060.675760596099</v>
      </c>
      <c r="BV913" s="164">
        <f t="shared" si="601"/>
        <v>6.0085596762549071E-16</v>
      </c>
      <c r="BW913" s="164">
        <f t="shared" si="602"/>
        <v>25136.562768894531</v>
      </c>
      <c r="BX913" s="164">
        <f t="shared" si="603"/>
        <v>5.197213536844885E-16</v>
      </c>
    </row>
    <row r="914" spans="1:76" s="150" customFormat="1" x14ac:dyDescent="0.25">
      <c r="A914" s="150">
        <f t="shared" si="614"/>
        <v>910</v>
      </c>
      <c r="B914" s="150">
        <f t="shared" si="615"/>
        <v>76</v>
      </c>
      <c r="C914" s="150">
        <f t="shared" si="616"/>
        <v>10</v>
      </c>
      <c r="D914" s="150">
        <f>IF(E914="","",Input!$C$4+B914-1)</f>
        <v>120</v>
      </c>
      <c r="E914" s="150">
        <f>IF(OR(AND(C913=12,D913=Input!$C$6),E913=""),"",1)</f>
        <v>1</v>
      </c>
      <c r="F914" s="150">
        <f>IF(E914="","",Input!$C$8+B914-1)</f>
        <v>2093</v>
      </c>
      <c r="G914" s="151">
        <f>IF(E914="","",MAX(0,Input!$C$9-B914))</f>
        <v>0</v>
      </c>
      <c r="H914" s="152">
        <f>IF(E914="","",Input!$C$3)</f>
        <v>100000</v>
      </c>
      <c r="I914" s="153">
        <f>IF(E914="","",HLOOKUP($B914,Input!$C$13:$BT$14,2))</f>
        <v>1000</v>
      </c>
      <c r="J914" s="154"/>
      <c r="K914" s="155">
        <f>IF($E914="","",INDEX(Input!$C$16:$CP$16,1,$B914))</f>
        <v>0</v>
      </c>
      <c r="L914" s="155">
        <f>IF($E914="","",Input!$C$37)</f>
        <v>1.4999999999999999E-2</v>
      </c>
      <c r="M914" s="155">
        <f t="shared" si="580"/>
        <v>1.4999999999999999E-2</v>
      </c>
      <c r="N914" s="155">
        <f t="shared" si="581"/>
        <v>1.2414877164492744E-3</v>
      </c>
      <c r="O914" s="147">
        <f>IF($E914="","",MIN(VLOOKUP(IF($B914&lt;=Input!$C$7,$B914,26),'Mortality Tables'!$A$41:$CW$67,IF($B914&lt;=Input!$C$7+1,Input!$C$4+2,$D914-Input!$C$7+2),0)*IF(B914&gt;20,Input!$C$22,1)/1000,1))</f>
        <v>1</v>
      </c>
      <c r="P914" s="147">
        <f>IF($E914="","",MIN(VLOOKUP(IF($B914&lt;=Input!$C$7,$B914,26),'Mortality Tables'!$A$12:$CW$37,IF($B914&lt;=Input!$C$7+1,Input!$C$4+2,$D914-Input!$C$7+2),0)*IF(B914&gt;20,Input!$C$22,1)/1000,1))</f>
        <v>1</v>
      </c>
      <c r="Q914" s="155">
        <f>IF($E914="","",Input!$C$21)</f>
        <v>5.0000000000000001E-3</v>
      </c>
      <c r="R914" s="159">
        <f>IF($E914="","",(1-Q914)^($F914-Input!$C$20))</f>
        <v>0.68664309318720063</v>
      </c>
      <c r="S914" s="147">
        <f t="shared" si="583"/>
        <v>0.68664309318720063</v>
      </c>
      <c r="T914" s="147">
        <f t="shared" si="584"/>
        <v>9.2172628902196574E-2</v>
      </c>
      <c r="U914" s="160">
        <f>IF($E914="","",IF($C914=12,INDEX(Input!$C$15:$CP$15,1,$B914),0))</f>
        <v>0</v>
      </c>
      <c r="V914" s="150">
        <f>IF(E914="","",IF(C914=1,IF($B914=1,Input!$C$33,Input!$C$34),0))</f>
        <v>0</v>
      </c>
      <c r="W914" s="156">
        <f>IF($E914="","",Input!$C$35)</f>
        <v>0.02</v>
      </c>
      <c r="X914" s="156">
        <f t="shared" si="582"/>
        <v>4.4158354551276693</v>
      </c>
      <c r="Y914" s="154"/>
      <c r="Z914" s="147">
        <f>IF($E914="","",VLOOKUP($D914,'Mortality Margins &amp; Grading'!$AB$5:$AF$125,3,0)*IF(Summary!$D$25="Included Margin",IF(AND($B914&gt;Input!$C$9,Summary!$D$31&lt;&gt;"Included Margin"),0,1),0))</f>
        <v>0.01</v>
      </c>
      <c r="AA914" s="147">
        <f>IF($E914="","",VLOOKUP($D914,'Mortality Margins &amp; Grading'!$AB$5:$AF$125,5,0)*IF(Summary!$D$25="Included Margin",IF(AND($B914&gt;Input!$C$9,Summary!$D$31&lt;&gt;"Included Margin"),0,1),0))</f>
        <v>5.2999999999999999E-2</v>
      </c>
      <c r="AB914" s="147">
        <f>IF($E914="","",IF(AND($B914&gt;Input!$C$9,Summary!$D$31&lt;&gt;"Included Margin"),1,IF(Summary!$D$25="Included Margin",VLOOKUP($B914,'Mortality Margins &amp; Grading'!$AI$5:$AR$125,MATCH('Mortality Margins &amp; Grading'!$AQ$4,'Mortality Margins &amp; Grading'!$AI$4:$AR$4,0),0),1)))</f>
        <v>0</v>
      </c>
      <c r="AC914" s="154"/>
      <c r="AD914" s="158">
        <f>IF(E914="","",Input!$C$48*IF(Summary!$D$30="Included Margin",IF(AND($B914&gt;Input!$C$9,Summary!$D$31&lt;&gt;"Included Margin"),0,1),0))</f>
        <v>-4.4999999999999997E-3</v>
      </c>
      <c r="AE914" s="159">
        <f>IF(E914="","",IF(Summary!$D$26="Included Margin",IF(AND($B914&gt;Input!$C$9,Summary!$D$31&lt;&gt;"Included Margin"),1,1/$R914),1))</f>
        <v>1.4563606769250184</v>
      </c>
      <c r="AF914" s="160">
        <f>IF(E914="","",IF(AND($B914&gt;=Input!$C$9,$C914=12,Summary!$D$31="Included Margin",$U914&gt;0),1/U914-1,IF($B914&gt;=Input!$C$9,0,Input!$C$45*IF(Summary!$D$27="Included Margin",1,0))))</f>
        <v>0</v>
      </c>
      <c r="AG914" s="160">
        <f>IF(E914="","",Input!$C$46*IF(Summary!$D$28="Included Margin",IF(AND($B914&gt;Input!$C$9,Summary!$D$31&lt;&gt;"Included Margin"),0,1),0))</f>
        <v>0.02</v>
      </c>
      <c r="AH914" s="158">
        <f>IF(E914="","",Input!$C$47*IF(Summary!$D$29="Included Margin",IF(AND($B914&gt;Input!$C$9,Summary!$D$31&lt;&gt;"Included Margin"),0,1),0))</f>
        <v>2.5000000000000001E-3</v>
      </c>
      <c r="AI914" s="154"/>
      <c r="AJ914" s="158">
        <f t="shared" si="604"/>
        <v>1.0499999999999999E-2</v>
      </c>
      <c r="AK914" s="155">
        <f t="shared" si="605"/>
        <v>8.7081709635938864E-4</v>
      </c>
      <c r="AL914" s="147">
        <f t="shared" si="606"/>
        <v>1</v>
      </c>
      <c r="AM914" s="147">
        <f t="shared" si="585"/>
        <v>1</v>
      </c>
      <c r="AN914" s="160">
        <f t="shared" si="607"/>
        <v>0</v>
      </c>
      <c r="AO914" s="161">
        <f t="shared" si="608"/>
        <v>0</v>
      </c>
      <c r="AP914" s="156">
        <f t="shared" si="586"/>
        <v>5.3057740455960509</v>
      </c>
      <c r="AQ914" s="152"/>
      <c r="AR914" s="162">
        <f t="shared" si="587"/>
        <v>99956.4780949915</v>
      </c>
      <c r="AS914" s="150">
        <f t="shared" si="609"/>
        <v>0</v>
      </c>
      <c r="AT914" s="163">
        <f t="shared" si="588"/>
        <v>0</v>
      </c>
      <c r="AU914" s="163">
        <f t="shared" si="589"/>
        <v>100000</v>
      </c>
      <c r="AV914" s="163">
        <f t="shared" si="610"/>
        <v>43.502955199021905</v>
      </c>
      <c r="AW914" s="163">
        <f t="shared" si="590"/>
        <v>99956.497044800984</v>
      </c>
      <c r="AX914" s="163">
        <f t="shared" si="591"/>
        <v>0</v>
      </c>
      <c r="AY914" s="165">
        <f t="shared" si="611"/>
        <v>99956.4780949915</v>
      </c>
      <c r="AZ914" s="164">
        <f>IF($E914="","",IF(OR(AND($D914=Input!$C$6,$C914=12),$AN914=1),0,-AS915+AT915+AU915-AV915-AW915-AX915+AZ915))</f>
        <v>99956.497044800984</v>
      </c>
      <c r="BA914" s="154">
        <f t="shared" si="592"/>
        <v>1.8949809484183788E-2</v>
      </c>
      <c r="BC914" s="147">
        <f t="shared" si="612"/>
        <v>1.8770158615426745E-20</v>
      </c>
      <c r="BD914" s="164">
        <f>IF(AND($C913=12,$D913=Input!$C$6),0,IF($E914="","",AT914+(AU914+BD915)/(1+$AK914)*MIN((1-AM914-AN914),1)))</f>
        <v>0</v>
      </c>
      <c r="BE914" s="164">
        <f t="shared" si="579"/>
        <v>0</v>
      </c>
      <c r="BF914" s="164">
        <f t="shared" si="613"/>
        <v>99956.497044800984</v>
      </c>
      <c r="BG914" s="164">
        <f t="shared" si="593"/>
        <v>1.8761993041733492E-15</v>
      </c>
      <c r="BH914" s="152"/>
      <c r="BI914" s="162">
        <f t="shared" si="594"/>
        <v>25136.559219474999</v>
      </c>
      <c r="BJ914" s="150">
        <f t="shared" si="595"/>
        <v>0</v>
      </c>
      <c r="BK914" s="163">
        <f t="shared" si="617"/>
        <v>0</v>
      </c>
      <c r="BL914" s="163">
        <f t="shared" si="596"/>
        <v>9217.2628902196575</v>
      </c>
      <c r="BM914" s="163">
        <f t="shared" si="618"/>
        <v>25.485170176032248</v>
      </c>
      <c r="BN914" s="163">
        <f t="shared" si="597"/>
        <v>1618.8901128369853</v>
      </c>
      <c r="BO914" s="163">
        <f t="shared" si="598"/>
        <v>0</v>
      </c>
      <c r="BP914" s="164">
        <f t="shared" si="619"/>
        <v>17563.671612268357</v>
      </c>
      <c r="BQ914" s="164">
        <f>IF($E914="","",IF(AND($D914=Input!$C$6,$C914=12),0,-BJ915+BK915+BL915-BM915-BN915-BO915+BQ915))</f>
        <v>17563.67516168789</v>
      </c>
      <c r="BR914" s="161">
        <f t="shared" si="599"/>
        <v>0</v>
      </c>
      <c r="BT914" s="147">
        <f t="shared" si="600"/>
        <v>1.8770158615426745E-20</v>
      </c>
      <c r="BU914" s="164">
        <f>IF(AND($C913=12,$D913=Input!$C$6),0,IF($E914="","",BK914+(BL914+BU915)/(1+$AK914)*MIN((1-T914-U914),1)))</f>
        <v>22821.84853104928</v>
      </c>
      <c r="BV914" s="164">
        <f t="shared" si="601"/>
        <v>4.2836971682503882E-16</v>
      </c>
      <c r="BW914" s="164">
        <f t="shared" si="602"/>
        <v>17563.67516168789</v>
      </c>
      <c r="BX914" s="164">
        <f t="shared" si="603"/>
        <v>3.296729686547127E-16</v>
      </c>
    </row>
    <row r="915" spans="1:76" s="150" customFormat="1" x14ac:dyDescent="0.25">
      <c r="A915" s="150">
        <f t="shared" si="614"/>
        <v>911</v>
      </c>
      <c r="B915" s="150">
        <f t="shared" si="615"/>
        <v>76</v>
      </c>
      <c r="C915" s="150">
        <f t="shared" si="616"/>
        <v>11</v>
      </c>
      <c r="D915" s="150">
        <f>IF(E915="","",Input!$C$4+B915-1)</f>
        <v>120</v>
      </c>
      <c r="E915" s="150">
        <f>IF(OR(AND(C914=12,D914=Input!$C$6),E914=""),"",1)</f>
        <v>1</v>
      </c>
      <c r="F915" s="150">
        <f>IF(E915="","",Input!$C$8+B915-1)</f>
        <v>2093</v>
      </c>
      <c r="G915" s="151">
        <f>IF(E915="","",MAX(0,Input!$C$9-B915))</f>
        <v>0</v>
      </c>
      <c r="H915" s="152">
        <f>IF(E915="","",Input!$C$3)</f>
        <v>100000</v>
      </c>
      <c r="I915" s="153">
        <f>IF(E915="","",HLOOKUP($B915,Input!$C$13:$BT$14,2))</f>
        <v>1000</v>
      </c>
      <c r="J915" s="154"/>
      <c r="K915" s="155">
        <f>IF($E915="","",INDEX(Input!$C$16:$CP$16,1,$B915))</f>
        <v>0</v>
      </c>
      <c r="L915" s="155">
        <f>IF($E915="","",Input!$C$37)</f>
        <v>1.4999999999999999E-2</v>
      </c>
      <c r="M915" s="155">
        <f t="shared" si="580"/>
        <v>1.4999999999999999E-2</v>
      </c>
      <c r="N915" s="155">
        <f t="shared" si="581"/>
        <v>1.2414877164492744E-3</v>
      </c>
      <c r="O915" s="147">
        <f>IF($E915="","",MIN(VLOOKUP(IF($B915&lt;=Input!$C$7,$B915,26),'Mortality Tables'!$A$41:$CW$67,IF($B915&lt;=Input!$C$7+1,Input!$C$4+2,$D915-Input!$C$7+2),0)*IF(B915&gt;20,Input!$C$22,1)/1000,1))</f>
        <v>1</v>
      </c>
      <c r="P915" s="147">
        <f>IF($E915="","",MIN(VLOOKUP(IF($B915&lt;=Input!$C$7,$B915,26),'Mortality Tables'!$A$12:$CW$37,IF($B915&lt;=Input!$C$7+1,Input!$C$4+2,$D915-Input!$C$7+2),0)*IF(B915&gt;20,Input!$C$22,1)/1000,1))</f>
        <v>1</v>
      </c>
      <c r="Q915" s="155">
        <f>IF($E915="","",Input!$C$21)</f>
        <v>5.0000000000000001E-3</v>
      </c>
      <c r="R915" s="159">
        <f>IF($E915="","",(1-Q915)^($F915-Input!$C$20))</f>
        <v>0.68664309318720063</v>
      </c>
      <c r="S915" s="147">
        <f t="shared" si="583"/>
        <v>0.68664309318720063</v>
      </c>
      <c r="T915" s="147">
        <f t="shared" si="584"/>
        <v>9.2172628902196574E-2</v>
      </c>
      <c r="U915" s="160">
        <f>IF($E915="","",IF($C915=12,INDEX(Input!$C$15:$CP$15,1,$B915),0))</f>
        <v>0</v>
      </c>
      <c r="V915" s="150">
        <f>IF(E915="","",IF(C915=1,IF($B915=1,Input!$C$33,Input!$C$34),0))</f>
        <v>0</v>
      </c>
      <c r="W915" s="156">
        <f>IF($E915="","",Input!$C$35)</f>
        <v>0.02</v>
      </c>
      <c r="X915" s="156">
        <f t="shared" si="582"/>
        <v>4.4158354551276693</v>
      </c>
      <c r="Y915" s="154"/>
      <c r="Z915" s="147">
        <f>IF($E915="","",VLOOKUP($D915,'Mortality Margins &amp; Grading'!$AB$5:$AF$125,3,0)*IF(Summary!$D$25="Included Margin",IF(AND($B915&gt;Input!$C$9,Summary!$D$31&lt;&gt;"Included Margin"),0,1),0))</f>
        <v>0.01</v>
      </c>
      <c r="AA915" s="147">
        <f>IF($E915="","",VLOOKUP($D915,'Mortality Margins &amp; Grading'!$AB$5:$AF$125,5,0)*IF(Summary!$D$25="Included Margin",IF(AND($B915&gt;Input!$C$9,Summary!$D$31&lt;&gt;"Included Margin"),0,1),0))</f>
        <v>5.2999999999999999E-2</v>
      </c>
      <c r="AB915" s="147">
        <f>IF($E915="","",IF(AND($B915&gt;Input!$C$9,Summary!$D$31&lt;&gt;"Included Margin"),1,IF(Summary!$D$25="Included Margin",VLOOKUP($B915,'Mortality Margins &amp; Grading'!$AI$5:$AR$125,MATCH('Mortality Margins &amp; Grading'!$AQ$4,'Mortality Margins &amp; Grading'!$AI$4:$AR$4,0),0),1)))</f>
        <v>0</v>
      </c>
      <c r="AC915" s="154"/>
      <c r="AD915" s="158">
        <f>IF(E915="","",Input!$C$48*IF(Summary!$D$30="Included Margin",IF(AND($B915&gt;Input!$C$9,Summary!$D$31&lt;&gt;"Included Margin"),0,1),0))</f>
        <v>-4.4999999999999997E-3</v>
      </c>
      <c r="AE915" s="159">
        <f>IF(E915="","",IF(Summary!$D$26="Included Margin",IF(AND($B915&gt;Input!$C$9,Summary!$D$31&lt;&gt;"Included Margin"),1,1/$R915),1))</f>
        <v>1.4563606769250184</v>
      </c>
      <c r="AF915" s="160">
        <f>IF(E915="","",IF(AND($B915&gt;=Input!$C$9,$C915=12,Summary!$D$31="Included Margin",$U915&gt;0),1/U915-1,IF($B915&gt;=Input!$C$9,0,Input!$C$45*IF(Summary!$D$27="Included Margin",1,0))))</f>
        <v>0</v>
      </c>
      <c r="AG915" s="160">
        <f>IF(E915="","",Input!$C$46*IF(Summary!$D$28="Included Margin",IF(AND($B915&gt;Input!$C$9,Summary!$D$31&lt;&gt;"Included Margin"),0,1),0))</f>
        <v>0.02</v>
      </c>
      <c r="AH915" s="158">
        <f>IF(E915="","",Input!$C$47*IF(Summary!$D$29="Included Margin",IF(AND($B915&gt;Input!$C$9,Summary!$D$31&lt;&gt;"Included Margin"),0,1),0))</f>
        <v>2.5000000000000001E-3</v>
      </c>
      <c r="AI915" s="154"/>
      <c r="AJ915" s="158">
        <f t="shared" si="604"/>
        <v>1.0499999999999999E-2</v>
      </c>
      <c r="AK915" s="155">
        <f t="shared" si="605"/>
        <v>8.7081709635938864E-4</v>
      </c>
      <c r="AL915" s="147">
        <f t="shared" si="606"/>
        <v>1</v>
      </c>
      <c r="AM915" s="147">
        <f t="shared" si="585"/>
        <v>1</v>
      </c>
      <c r="AN915" s="160">
        <f t="shared" si="607"/>
        <v>0</v>
      </c>
      <c r="AO915" s="161">
        <f t="shared" si="608"/>
        <v>0</v>
      </c>
      <c r="AP915" s="156">
        <f t="shared" si="586"/>
        <v>5.3057740455960509</v>
      </c>
      <c r="AQ915" s="152"/>
      <c r="AR915" s="162">
        <f t="shared" si="587"/>
        <v>99956.4780949915</v>
      </c>
      <c r="AS915" s="150">
        <f t="shared" si="609"/>
        <v>0</v>
      </c>
      <c r="AT915" s="163">
        <f t="shared" si="588"/>
        <v>0</v>
      </c>
      <c r="AU915" s="163">
        <f t="shared" si="589"/>
        <v>100000</v>
      </c>
      <c r="AV915" s="163">
        <f t="shared" si="610"/>
        <v>43.502955199021905</v>
      </c>
      <c r="AW915" s="163">
        <f t="shared" si="590"/>
        <v>99956.497044800984</v>
      </c>
      <c r="AX915" s="163">
        <f t="shared" si="591"/>
        <v>0</v>
      </c>
      <c r="AY915" s="164">
        <f t="shared" si="611"/>
        <v>99956.4780949915</v>
      </c>
      <c r="AZ915" s="164">
        <f>IF($E915="","",IF(OR(AND($D915=Input!$C$6,$C915=12),$AN915=1),0,-AS916+AT916+AU916-AV916-AW916-AX916+AZ916))</f>
        <v>99956.497044800984</v>
      </c>
      <c r="BA915" s="154">
        <f t="shared" si="592"/>
        <v>1.8949809484183788E-2</v>
      </c>
      <c r="BC915" s="147">
        <f t="shared" si="612"/>
        <v>1.7040063750931649E-20</v>
      </c>
      <c r="BD915" s="164">
        <f>IF(AND($C914=12,$D914=Input!$C$6),0,IF($E915="","",AT915+(AU915+BD916)/(1+$AK915)*MIN((1-AM915-AN915),1)))</f>
        <v>0</v>
      </c>
      <c r="BE915" s="164">
        <f t="shared" si="579"/>
        <v>0</v>
      </c>
      <c r="BF915" s="164">
        <f t="shared" si="613"/>
        <v>99956.497044800984</v>
      </c>
      <c r="BG915" s="164">
        <f t="shared" si="593"/>
        <v>1.7032650819632199E-15</v>
      </c>
      <c r="BH915" s="152"/>
      <c r="BI915" s="162">
        <f t="shared" si="594"/>
        <v>17563.671612268357</v>
      </c>
      <c r="BJ915" s="150">
        <f t="shared" si="595"/>
        <v>0</v>
      </c>
      <c r="BK915" s="163">
        <f t="shared" si="617"/>
        <v>0</v>
      </c>
      <c r="BL915" s="163">
        <f t="shared" si="596"/>
        <v>9217.2628902196575</v>
      </c>
      <c r="BM915" s="163">
        <f t="shared" si="618"/>
        <v>16.083523233634267</v>
      </c>
      <c r="BN915" s="163">
        <f t="shared" si="597"/>
        <v>849.05263502811272</v>
      </c>
      <c r="BO915" s="163">
        <f t="shared" si="598"/>
        <v>0</v>
      </c>
      <c r="BP915" s="164">
        <f t="shared" si="619"/>
        <v>9211.5448803104464</v>
      </c>
      <c r="BQ915" s="164">
        <f>IF($E915="","",IF(AND($D915=Input!$C$6,$C915=12),0,-BJ916+BK916+BL916-BM916-BN916-BO916+BQ916))</f>
        <v>9211.5484297299772</v>
      </c>
      <c r="BR915" s="161">
        <f t="shared" si="599"/>
        <v>0</v>
      </c>
      <c r="BT915" s="147">
        <f t="shared" si="600"/>
        <v>1.7040063750931649E-20</v>
      </c>
      <c r="BU915" s="164">
        <f>IF(AND($C914=12,$D914=Input!$C$6),0,IF($E915="","",BK915+(BL915+BU916)/(1+$AK915)*MIN((1-T915-U915),1)))</f>
        <v>15943.60239554382</v>
      </c>
      <c r="BV915" s="164">
        <f t="shared" si="601"/>
        <v>2.7168000123957324E-16</v>
      </c>
      <c r="BW915" s="164">
        <f t="shared" si="602"/>
        <v>9211.5484297299772</v>
      </c>
      <c r="BX915" s="164">
        <f t="shared" si="603"/>
        <v>1.5696537248739315E-16</v>
      </c>
    </row>
    <row r="916" spans="1:76" s="150" customFormat="1" x14ac:dyDescent="0.25">
      <c r="A916" s="150">
        <f t="shared" si="614"/>
        <v>912</v>
      </c>
      <c r="B916" s="150">
        <f t="shared" si="615"/>
        <v>76</v>
      </c>
      <c r="C916" s="150">
        <f t="shared" si="616"/>
        <v>12</v>
      </c>
      <c r="D916" s="150">
        <f>IF(E916="","",Input!$C$4+B916-1)</f>
        <v>120</v>
      </c>
      <c r="E916" s="150">
        <f>IF(OR(AND(C915=12,D915=Input!$C$6),E915=""),"",1)</f>
        <v>1</v>
      </c>
      <c r="F916" s="150">
        <f>IF(E916="","",Input!$C$8+B916-1)</f>
        <v>2093</v>
      </c>
      <c r="G916" s="151">
        <f>IF(E916="","",MAX(0,Input!$C$9-B916))</f>
        <v>0</v>
      </c>
      <c r="H916" s="152">
        <f>IF(E916="","",Input!$C$3)</f>
        <v>100000</v>
      </c>
      <c r="I916" s="153">
        <f>IF(E916="","",HLOOKUP($B916,Input!$C$13:$BT$14,2))</f>
        <v>1000</v>
      </c>
      <c r="J916" s="154"/>
      <c r="K916" s="155">
        <f>IF($E916="","",INDEX(Input!$C$16:$CP$16,1,$B916))</f>
        <v>0</v>
      </c>
      <c r="L916" s="155">
        <f>IF($E916="","",Input!$C$37)</f>
        <v>1.4999999999999999E-2</v>
      </c>
      <c r="M916" s="155">
        <f t="shared" si="580"/>
        <v>1.4999999999999999E-2</v>
      </c>
      <c r="N916" s="155">
        <f t="shared" si="581"/>
        <v>1.2414877164492744E-3</v>
      </c>
      <c r="O916" s="147">
        <f>IF($E916="","",MIN(VLOOKUP(IF($B916&lt;=Input!$C$7,$B916,26),'Mortality Tables'!$A$41:$CW$67,IF($B916&lt;=Input!$C$7+1,Input!$C$4+2,$D916-Input!$C$7+2),0)*IF(B916&gt;20,Input!$C$22,1)/1000,1))</f>
        <v>1</v>
      </c>
      <c r="P916" s="147">
        <f>IF($E916="","",MIN(VLOOKUP(IF($B916&lt;=Input!$C$7,$B916,26),'Mortality Tables'!$A$12:$CW$37,IF($B916&lt;=Input!$C$7+1,Input!$C$4+2,$D916-Input!$C$7+2),0)*IF(B916&gt;20,Input!$C$22,1)/1000,1))</f>
        <v>1</v>
      </c>
      <c r="Q916" s="155">
        <f>IF($E916="","",Input!$C$21)</f>
        <v>5.0000000000000001E-3</v>
      </c>
      <c r="R916" s="159">
        <f>IF($E916="","",(1-Q916)^($F916-Input!$C$20))</f>
        <v>0.68664309318720063</v>
      </c>
      <c r="S916" s="147">
        <f t="shared" si="583"/>
        <v>0.68664309318720063</v>
      </c>
      <c r="T916" s="147">
        <f t="shared" si="584"/>
        <v>9.2172628902196574E-2</v>
      </c>
      <c r="U916" s="160">
        <f>IF($E916="","",IF($C916=12,INDEX(Input!$C$15:$CP$15,1,$B916),0))</f>
        <v>0</v>
      </c>
      <c r="V916" s="150">
        <f>IF(E916="","",IF(C916=1,IF($B916=1,Input!$C$33,Input!$C$34),0))</f>
        <v>0</v>
      </c>
      <c r="W916" s="156">
        <f>IF($E916="","",Input!$C$35)</f>
        <v>0.02</v>
      </c>
      <c r="X916" s="156">
        <f t="shared" si="582"/>
        <v>4.4158354551276693</v>
      </c>
      <c r="Y916" s="154"/>
      <c r="Z916" s="147">
        <f>IF($E916="","",VLOOKUP($D916,'Mortality Margins &amp; Grading'!$AB$5:$AF$125,3,0)*IF(Summary!$D$25="Included Margin",IF(AND($B916&gt;Input!$C$9,Summary!$D$31&lt;&gt;"Included Margin"),0,1),0))</f>
        <v>0.01</v>
      </c>
      <c r="AA916" s="147">
        <f>IF($E916="","",VLOOKUP($D916,'Mortality Margins &amp; Grading'!$AB$5:$AF$125,5,0)*IF(Summary!$D$25="Included Margin",IF(AND($B916&gt;Input!$C$9,Summary!$D$31&lt;&gt;"Included Margin"),0,1),0))</f>
        <v>5.2999999999999999E-2</v>
      </c>
      <c r="AB916" s="147">
        <f>IF($E916="","",IF(AND($B916&gt;Input!$C$9,Summary!$D$31&lt;&gt;"Included Margin"),1,IF(Summary!$D$25="Included Margin",VLOOKUP($B916,'Mortality Margins &amp; Grading'!$AI$5:$AR$125,MATCH('Mortality Margins &amp; Grading'!$AQ$4,'Mortality Margins &amp; Grading'!$AI$4:$AR$4,0),0),1)))</f>
        <v>0</v>
      </c>
      <c r="AC916" s="154"/>
      <c r="AD916" s="158">
        <f>IF(E916="","",Input!$C$48*IF(Summary!$D$30="Included Margin",IF(AND($B916&gt;Input!$C$9,Summary!$D$31&lt;&gt;"Included Margin"),0,1),0))</f>
        <v>-4.4999999999999997E-3</v>
      </c>
      <c r="AE916" s="159">
        <f>IF(E916="","",IF(Summary!$D$26="Included Margin",IF(AND($B916&gt;Input!$C$9,Summary!$D$31&lt;&gt;"Included Margin"),1,1/$R916),1))</f>
        <v>1.4563606769250184</v>
      </c>
      <c r="AF916" s="160">
        <f>IF(E916="","",IF(AND($B916&gt;=Input!$C$9,$C916=12,Summary!$D$31="Included Margin",$U916&gt;0),1/U916-1,IF($B916&gt;=Input!$C$9,0,Input!$C$45*IF(Summary!$D$27="Included Margin",1,0))))</f>
        <v>0</v>
      </c>
      <c r="AG916" s="160">
        <f>IF(E916="","",Input!$C$46*IF(Summary!$D$28="Included Margin",IF(AND($B916&gt;Input!$C$9,Summary!$D$31&lt;&gt;"Included Margin"),0,1),0))</f>
        <v>0.02</v>
      </c>
      <c r="AH916" s="158">
        <f>IF(E916="","",Input!$C$47*IF(Summary!$D$29="Included Margin",IF(AND($B916&gt;Input!$C$9,Summary!$D$31&lt;&gt;"Included Margin"),0,1),0))</f>
        <v>2.5000000000000001E-3</v>
      </c>
      <c r="AI916" s="154"/>
      <c r="AJ916" s="158">
        <f t="shared" si="604"/>
        <v>1.0499999999999999E-2</v>
      </c>
      <c r="AK916" s="155">
        <f t="shared" si="605"/>
        <v>8.7081709635938864E-4</v>
      </c>
      <c r="AL916" s="147">
        <f t="shared" si="606"/>
        <v>1</v>
      </c>
      <c r="AM916" s="147">
        <f t="shared" si="585"/>
        <v>1</v>
      </c>
      <c r="AN916" s="160">
        <f t="shared" si="607"/>
        <v>0</v>
      </c>
      <c r="AO916" s="161">
        <f t="shared" si="608"/>
        <v>0</v>
      </c>
      <c r="AP916" s="156">
        <f t="shared" si="586"/>
        <v>5.3057740455960509</v>
      </c>
      <c r="AQ916" s="152"/>
      <c r="AR916" s="162">
        <f t="shared" si="587"/>
        <v>99956.4780949915</v>
      </c>
      <c r="AS916" s="150">
        <f t="shared" si="609"/>
        <v>0</v>
      </c>
      <c r="AT916" s="163">
        <f t="shared" si="588"/>
        <v>0</v>
      </c>
      <c r="AU916" s="163">
        <f t="shared" si="589"/>
        <v>100000</v>
      </c>
      <c r="AV916" s="163">
        <f t="shared" si="610"/>
        <v>43.502955199021905</v>
      </c>
      <c r="AW916" s="163">
        <f t="shared" si="590"/>
        <v>0</v>
      </c>
      <c r="AX916" s="163">
        <f t="shared" si="591"/>
        <v>0</v>
      </c>
      <c r="AY916" s="165">
        <f t="shared" si="611"/>
        <v>-1.8949809477838642E-2</v>
      </c>
      <c r="AZ916" s="164">
        <f>IF($E916="","",IF(OR(AND($D916=Input!$C$6,$C916=12),$AN916=1),0,-AS917+AT917+AU917-AV917-AW917-AX917+AZ917))</f>
        <v>0</v>
      </c>
      <c r="BA916" s="154">
        <f t="shared" si="592"/>
        <v>1.8949809477838642E-2</v>
      </c>
      <c r="BC916" s="147">
        <f t="shared" si="612"/>
        <v>1.5469436278347254E-20</v>
      </c>
      <c r="BD916" s="164">
        <f>IF(AND($C915=12,$D915=Input!$C$6),0,IF($E916="","",AT916+(AU916+BD917)/(1+$AK916)*MIN((1-AM916-AN916),1)))</f>
        <v>0</v>
      </c>
      <c r="BE916" s="164">
        <f t="shared" si="579"/>
        <v>0</v>
      </c>
      <c r="BF916" s="164">
        <f t="shared" si="613"/>
        <v>0</v>
      </c>
      <c r="BG916" s="164">
        <f t="shared" si="593"/>
        <v>0</v>
      </c>
      <c r="BH916" s="152"/>
      <c r="BI916" s="162">
        <f t="shared" si="594"/>
        <v>9211.5448803104446</v>
      </c>
      <c r="BJ916" s="150">
        <f t="shared" si="595"/>
        <v>0</v>
      </c>
      <c r="BK916" s="163">
        <f t="shared" si="617"/>
        <v>0</v>
      </c>
      <c r="BL916" s="163">
        <f t="shared" si="596"/>
        <v>9217.2628902196575</v>
      </c>
      <c r="BM916" s="163">
        <f t="shared" si="618"/>
        <v>5.7144604896808975</v>
      </c>
      <c r="BN916" s="163">
        <f t="shared" si="597"/>
        <v>0</v>
      </c>
      <c r="BO916" s="163">
        <f t="shared" si="598"/>
        <v>0</v>
      </c>
      <c r="BP916" s="164">
        <f t="shared" si="619"/>
        <v>-3.5494195320264765E-3</v>
      </c>
      <c r="BQ916" s="164">
        <f>IF($E916="","",IF(AND($D916=Input!$C$6,$C916=12),0,-BJ917+BK917+BL917-BM917-BN917-BO917+BQ917))</f>
        <v>0</v>
      </c>
      <c r="BR916" s="161">
        <f t="shared" si="599"/>
        <v>0</v>
      </c>
      <c r="BT916" s="147">
        <f t="shared" si="600"/>
        <v>1.5469436278347254E-20</v>
      </c>
      <c r="BU916" s="164">
        <f>IF(AND($C915=12,$D915=Input!$C$6),0,IF($E916="","",BK916+(BL916+BU917)/(1+$AK916)*MIN((1-T916-U916),1)))</f>
        <v>8360.4031563444514</v>
      </c>
      <c r="BV916" s="164">
        <f t="shared" si="601"/>
        <v>1.2933072388836375E-16</v>
      </c>
      <c r="BW916" s="164">
        <f t="shared" si="602"/>
        <v>0</v>
      </c>
      <c r="BX916" s="164">
        <f t="shared" si="603"/>
        <v>0</v>
      </c>
    </row>
    <row r="917" spans="1:76" s="150" customFormat="1" x14ac:dyDescent="0.25">
      <c r="A917" s="150" t="str">
        <f t="shared" si="614"/>
        <v/>
      </c>
      <c r="B917" s="150" t="str">
        <f t="shared" si="615"/>
        <v/>
      </c>
      <c r="C917" s="150" t="str">
        <f t="shared" si="616"/>
        <v/>
      </c>
      <c r="D917" s="150" t="str">
        <f>IF(E917="","",Input!$C$4+B917-1)</f>
        <v/>
      </c>
      <c r="E917" s="150" t="str">
        <f>IF(OR(AND(C916=12,D916=Input!$C$6),E916=""),"",1)</f>
        <v/>
      </c>
      <c r="F917" s="150" t="str">
        <f>IF(E917="","",Input!$C$8+B917-1)</f>
        <v/>
      </c>
      <c r="G917" s="151" t="str">
        <f>IF(E917="","",MAX(0,Input!$C$9-B917))</f>
        <v/>
      </c>
      <c r="H917" s="152" t="str">
        <f>IF(E917="","",Input!$C$3)</f>
        <v/>
      </c>
      <c r="I917" s="153" t="str">
        <f>IF(E917="","",HLOOKUP($B917,Input!$C$13:$BT$14,2))</f>
        <v/>
      </c>
      <c r="J917" s="154"/>
      <c r="K917" s="155" t="str">
        <f>IF($E917="","",INDEX(Input!$C$16:$CP$16,1,$B917))</f>
        <v/>
      </c>
      <c r="L917" s="155" t="str">
        <f>IF($E917="","",Input!$C$37)</f>
        <v/>
      </c>
      <c r="M917" s="155" t="str">
        <f t="shared" si="580"/>
        <v/>
      </c>
      <c r="N917" s="155" t="str">
        <f t="shared" si="581"/>
        <v/>
      </c>
      <c r="O917" s="147" t="str">
        <f>IF($E917="","",MIN(VLOOKUP(IF($B917&lt;=Input!$C$7,$B917,26),'Mortality Tables'!$A$41:$CW$67,IF($B917&lt;=Input!$C$7+1,Input!$C$4+2,$D917-Input!$C$7+2),0)*IF(B917&gt;20,Input!$C$22,1)/1000,1))</f>
        <v/>
      </c>
      <c r="P917" s="147" t="str">
        <f>IF($E917="","",MIN(VLOOKUP(IF($B917&lt;=Input!$C$7,$B917,26),'Mortality Tables'!$A$12:$CW$37,IF($B917&lt;=Input!$C$7+1,Input!$C$4+2,$D917-Input!$C$7+2),0)*IF(B917&gt;20,Input!$C$22,1)/1000,1))</f>
        <v/>
      </c>
      <c r="Q917" s="155" t="str">
        <f>IF($E917="","",Input!$C$21)</f>
        <v/>
      </c>
      <c r="R917" s="159" t="str">
        <f>IF($E917="","",(1-Q917)^($F917-Input!$C$20))</f>
        <v/>
      </c>
      <c r="S917" s="147" t="str">
        <f t="shared" si="583"/>
        <v/>
      </c>
      <c r="T917" s="147" t="str">
        <f t="shared" si="584"/>
        <v/>
      </c>
      <c r="U917" s="160" t="str">
        <f>IF($E917="","",IF($C917=12,INDEX(Input!$C$15:$CP$15,1,$B917),0))</f>
        <v/>
      </c>
      <c r="V917" s="150" t="str">
        <f>IF(E917="","",IF(C917=1,IF($B917=1,Input!$C$33,Input!$C$34),0))</f>
        <v/>
      </c>
      <c r="W917" s="156" t="str">
        <f>IF($E917="","",Input!$C$35)</f>
        <v/>
      </c>
      <c r="X917" s="156" t="str">
        <f t="shared" si="582"/>
        <v/>
      </c>
      <c r="Y917" s="154"/>
      <c r="Z917" s="147" t="str">
        <f>IF($E917="","",VLOOKUP($D917,'Mortality Margins &amp; Grading'!$AB$5:$AF$125,3,0)*IF(Summary!$D$25="Included Margin",IF(AND($B917&gt;Input!$C$9,Summary!$D$31&lt;&gt;"Included Margin"),0,1),0))</f>
        <v/>
      </c>
      <c r="AA917" s="147" t="str">
        <f>IF($E917="","",VLOOKUP($D917,'Mortality Margins &amp; Grading'!$AB$5:$AF$125,5,0)*IF(Summary!$D$25="Included Margin",IF(AND($B917&gt;Input!$C$9,Summary!$D$31&lt;&gt;"Included Margin"),0,1),0))</f>
        <v/>
      </c>
      <c r="AB917" s="147" t="str">
        <f>IF($E917="","",IF(AND($B917&gt;Input!$C$9,Summary!$D$31&lt;&gt;"Included Margin"),1,IF(Summary!$D$25="Included Margin",VLOOKUP($B917,'Mortality Margins &amp; Grading'!$AI$5:$AR$125,MATCH('Mortality Margins &amp; Grading'!$AQ$4,'Mortality Margins &amp; Grading'!$AI$4:$AR$4,0),0),1)))</f>
        <v/>
      </c>
      <c r="AC917" s="154"/>
      <c r="AD917" s="158" t="str">
        <f>IF(E917="","",Input!$C$48*IF(Summary!$D$30="Included Margin",IF(AND($B917&gt;Input!$C$9,Summary!$D$31&lt;&gt;"Included Margin"),0,1),0))</f>
        <v/>
      </c>
      <c r="AE917" s="159" t="str">
        <f>IF(E917="","",IF(Summary!$D$26="Included Margin",IF(AND($B917&gt;Input!$C$9,Summary!$D$31&lt;&gt;"Included Margin"),1,1/$R917),1))</f>
        <v/>
      </c>
      <c r="AF917" s="160" t="str">
        <f>IF(E917="","",IF(AND($B917&gt;=Input!$C$9,$C917=12,Summary!$D$31="Included Margin",$U917&gt;0),1/U917-1,IF($B917&gt;=Input!$C$9,0,Input!$C$45*IF(Summary!$D$27="Included Margin",1,0))))</f>
        <v/>
      </c>
      <c r="AG917" s="160" t="str">
        <f>IF(E917="","",Input!$C$46*IF(Summary!$D$28="Included Margin",IF(AND($B917&gt;Input!$C$9,Summary!$D$31&lt;&gt;"Included Margin"),0,1),0))</f>
        <v/>
      </c>
      <c r="AH917" s="158" t="str">
        <f>IF(E917="","",Input!$C$47*IF(Summary!$D$29="Included Margin",IF(AND($B917&gt;Input!$C$9,Summary!$D$31&lt;&gt;"Included Margin"),0,1),0))</f>
        <v/>
      </c>
      <c r="AI917" s="154"/>
      <c r="AJ917" s="158" t="str">
        <f t="shared" si="604"/>
        <v/>
      </c>
      <c r="AK917" s="155" t="str">
        <f t="shared" si="605"/>
        <v/>
      </c>
      <c r="AL917" s="147" t="str">
        <f t="shared" si="606"/>
        <v/>
      </c>
      <c r="AM917" s="147" t="str">
        <f t="shared" si="585"/>
        <v/>
      </c>
      <c r="AN917" s="160" t="str">
        <f t="shared" si="607"/>
        <v/>
      </c>
      <c r="AO917" s="161" t="str">
        <f t="shared" si="608"/>
        <v/>
      </c>
      <c r="AP917" s="156" t="str">
        <f t="shared" si="586"/>
        <v/>
      </c>
      <c r="AQ917" s="152"/>
      <c r="AR917" s="162" t="str">
        <f t="shared" si="587"/>
        <v/>
      </c>
      <c r="AS917" s="150" t="str">
        <f t="shared" si="609"/>
        <v/>
      </c>
      <c r="AT917" s="163" t="str">
        <f t="shared" si="588"/>
        <v/>
      </c>
      <c r="AU917" s="163" t="str">
        <f t="shared" si="589"/>
        <v/>
      </c>
      <c r="AV917" s="163" t="str">
        <f t="shared" si="610"/>
        <v/>
      </c>
      <c r="AW917" s="163" t="str">
        <f t="shared" si="590"/>
        <v/>
      </c>
      <c r="AX917" s="163" t="str">
        <f t="shared" si="591"/>
        <v/>
      </c>
      <c r="AY917" s="164" t="str">
        <f t="shared" ref="AY917" si="620">IF($E917="","",AR917+AS917-AT917-AU917+AV917+AW917+AX917)</f>
        <v/>
      </c>
      <c r="AZ917" s="164" t="str">
        <f>IF($E917="","",IF(OR(AND($D917=Input!$C$6,$C917=12),$AN917=1),0,-AS918+AT918+AU918-AV918-AW918-AX918+AZ918))</f>
        <v/>
      </c>
      <c r="BA917" s="154" t="str">
        <f t="shared" si="592"/>
        <v/>
      </c>
      <c r="BC917" s="147" t="str">
        <f t="shared" si="612"/>
        <v/>
      </c>
      <c r="BD917" s="164">
        <f>IF(AND($C916=12,$D916=Input!$C$6),0,IF($E917="","",AT917+(AU917+BD918)/(1+$AK917)*MIN((1-AM917-AN917),1)))</f>
        <v>0</v>
      </c>
      <c r="BE917" s="164" t="str">
        <f t="shared" si="579"/>
        <v/>
      </c>
      <c r="BF917" s="164" t="str">
        <f t="shared" si="613"/>
        <v/>
      </c>
      <c r="BG917" s="164" t="str">
        <f t="shared" si="593"/>
        <v/>
      </c>
      <c r="BH917" s="152"/>
      <c r="BI917" s="162"/>
      <c r="BJ917" s="162"/>
      <c r="BK917" s="162"/>
      <c r="BL917" s="162"/>
      <c r="BM917" s="162"/>
      <c r="BN917" s="162"/>
      <c r="BO917" s="162"/>
      <c r="BP917" s="162"/>
      <c r="BQ917" s="162"/>
      <c r="BR917" s="162"/>
      <c r="BT917" s="147" t="str">
        <f t="shared" si="600"/>
        <v/>
      </c>
      <c r="BU917" s="164">
        <f>IF(AND($C916=12,$D916=Input!$C$6),0,IF($E917="","",BK917+(BL917+BU918)/(1+$AK917)*MIN((1-T917-U917),1)))</f>
        <v>0</v>
      </c>
      <c r="BV917" s="164" t="str">
        <f t="shared" si="601"/>
        <v/>
      </c>
      <c r="BW917" s="164" t="str">
        <f t="shared" si="602"/>
        <v/>
      </c>
      <c r="BX917" s="164" t="str">
        <f t="shared" si="603"/>
        <v/>
      </c>
    </row>
    <row r="918" spans="1:76" s="150" customFormat="1" x14ac:dyDescent="0.25">
      <c r="A918" s="150" t="str">
        <f t="shared" si="614"/>
        <v/>
      </c>
      <c r="B918" s="150" t="str">
        <f t="shared" si="615"/>
        <v/>
      </c>
      <c r="C918" s="150" t="str">
        <f t="shared" si="616"/>
        <v/>
      </c>
      <c r="D918" s="150" t="str">
        <f>IF(E918="","",Input!$C$4+B918-1)</f>
        <v/>
      </c>
      <c r="E918" s="150" t="str">
        <f>IF(OR(AND(C917=12,D917=Input!$C$6),E917=""),"",1)</f>
        <v/>
      </c>
      <c r="F918" s="150" t="str">
        <f>IF(E918="","",Input!$C$8+B918-1)</f>
        <v/>
      </c>
      <c r="G918" s="151" t="str">
        <f>IF(E918="","",MAX(0,Input!$C$9-B918))</f>
        <v/>
      </c>
      <c r="H918" s="152" t="str">
        <f>IF(E918="","",Input!$C$3)</f>
        <v/>
      </c>
      <c r="I918" s="153" t="str">
        <f>IF(E918="","",HLOOKUP($B918,Input!$C$13:$BT$14,2))</f>
        <v/>
      </c>
      <c r="J918" s="154"/>
      <c r="K918" s="155" t="str">
        <f>IF($E918="","",INDEX(Input!$C$16:$CP$16,1,$B918))</f>
        <v/>
      </c>
      <c r="L918" s="155" t="str">
        <f>IF($E918="","",Input!$C$37)</f>
        <v/>
      </c>
      <c r="M918" s="155" t="str">
        <f t="shared" si="580"/>
        <v/>
      </c>
      <c r="N918" s="155" t="str">
        <f t="shared" si="581"/>
        <v/>
      </c>
      <c r="O918" s="147" t="str">
        <f>IF($E918="","",MIN(VLOOKUP(IF($B918&lt;=Input!$C$7,$B918,26),'Mortality Tables'!$A$41:$CW$67,IF($B918&lt;=Input!$C$7+1,Input!$C$4+2,$D918-Input!$C$7+2),0)*IF(B918&gt;20,Input!$C$22,1)/1000,1))</f>
        <v/>
      </c>
      <c r="P918" s="147" t="str">
        <f>IF($E918="","",MIN(VLOOKUP(IF($B918&lt;=Input!$C$7,$B918,26),'Mortality Tables'!$A$12:$CW$37,IF($B918&lt;=Input!$C$7+1,Input!$C$4+2,$D918-Input!$C$7+2),0)*IF(B918&gt;20,Input!$C$22,1)/1000,1))</f>
        <v/>
      </c>
      <c r="Q918" s="155" t="str">
        <f>IF($E918="","",Input!$C$21)</f>
        <v/>
      </c>
      <c r="R918" s="159" t="str">
        <f>IF($E918="","",(1-Q918)^($F918-Input!$C$20))</f>
        <v/>
      </c>
      <c r="S918" s="147" t="str">
        <f t="shared" si="583"/>
        <v/>
      </c>
      <c r="T918" s="147" t="str">
        <f t="shared" si="584"/>
        <v/>
      </c>
      <c r="U918" s="160" t="str">
        <f>IF($E918="","",IF($C918=12,INDEX(Input!$C$15:$CP$15,1,$B918),0))</f>
        <v/>
      </c>
      <c r="V918" s="150" t="str">
        <f>IF(E918="","",IF(C918=1,IF($B918=1,Input!$C$33,Input!$C$34),0))</f>
        <v/>
      </c>
      <c r="W918" s="156" t="str">
        <f>IF($E918="","",Input!$C$35)</f>
        <v/>
      </c>
      <c r="X918" s="156" t="str">
        <f t="shared" si="582"/>
        <v/>
      </c>
      <c r="Y918" s="154"/>
      <c r="Z918" s="147" t="str">
        <f>IF($E918="","",VLOOKUP($D918,'Mortality Margins &amp; Grading'!$AB$5:$AF$125,3,0)*IF(Summary!$D$25="Included Margin",IF(AND($B918&gt;Input!$C$9,Summary!$D$31&lt;&gt;"Included Margin"),0,1),0))</f>
        <v/>
      </c>
      <c r="AA918" s="147" t="str">
        <f>IF($E918="","",VLOOKUP($D918,'Mortality Margins &amp; Grading'!$AB$5:$AF$125,5,0)*IF(Summary!$D$25="Included Margin",IF(AND($B918&gt;Input!$C$9,Summary!$D$31&lt;&gt;"Included Margin"),0,1),0))</f>
        <v/>
      </c>
      <c r="AB918" s="147" t="str">
        <f>IF($E918="","",IF(AND($B918&gt;Input!$C$9,Summary!$D$31&lt;&gt;"Included Margin"),1,IF(Summary!$D$25="Included Margin",VLOOKUP($B918,'Mortality Margins &amp; Grading'!$AI$5:$AR$125,MATCH('Mortality Margins &amp; Grading'!$AQ$4,'Mortality Margins &amp; Grading'!$AI$4:$AR$4,0),0),1)))</f>
        <v/>
      </c>
      <c r="AC918" s="154"/>
      <c r="AD918" s="158" t="str">
        <f>IF(E918="","",Input!$C$48*IF(Summary!$D$30="Included Margin",IF(AND($B918&gt;Input!$C$9,Summary!$D$31&lt;&gt;"Included Margin"),0,1),0))</f>
        <v/>
      </c>
      <c r="AE918" s="159" t="str">
        <f>IF(E918="","",IF(Summary!$D$26="Included Margin",IF(AND($B918&gt;Input!$C$9,Summary!$D$31&lt;&gt;"Included Margin"),1,1/$R918),1))</f>
        <v/>
      </c>
      <c r="AF918" s="160" t="str">
        <f>IF(E918="","",IF(AND($B918&gt;=Input!$C$9,$C918=12,Summary!$D$31="Included Margin",$U918&gt;0),1/U918-1,IF($B918&gt;=Input!$C$9,0,Input!$C$45*IF(Summary!$D$27="Included Margin",1,0))))</f>
        <v/>
      </c>
      <c r="AG918" s="160" t="str">
        <f>IF(E918="","",Input!$C$46*IF(Summary!$D$28="Included Margin",IF(AND($B918&gt;Input!$C$9,Summary!$D$31&lt;&gt;"Included Margin"),0,1),0))</f>
        <v/>
      </c>
      <c r="AH918" s="158" t="str">
        <f>IF(E918="","",Input!$C$47*IF(Summary!$D$29="Included Margin",IF(AND($B918&gt;Input!$C$9,Summary!$D$31&lt;&gt;"Included Margin"),0,1),0))</f>
        <v/>
      </c>
      <c r="AI918" s="154"/>
      <c r="AJ918" s="158" t="str">
        <f t="shared" si="604"/>
        <v/>
      </c>
      <c r="AK918" s="155" t="str">
        <f t="shared" si="605"/>
        <v/>
      </c>
      <c r="AL918" s="147" t="str">
        <f t="shared" si="606"/>
        <v/>
      </c>
      <c r="AM918" s="147" t="str">
        <f t="shared" si="585"/>
        <v/>
      </c>
      <c r="AN918" s="160" t="str">
        <f t="shared" si="607"/>
        <v/>
      </c>
      <c r="AO918" s="161" t="str">
        <f t="shared" si="608"/>
        <v/>
      </c>
      <c r="AP918" s="156" t="str">
        <f t="shared" si="586"/>
        <v/>
      </c>
      <c r="AQ918" s="152"/>
      <c r="AR918" s="162" t="str">
        <f t="shared" si="587"/>
        <v/>
      </c>
      <c r="AS918" s="150" t="str">
        <f t="shared" si="609"/>
        <v/>
      </c>
      <c r="AT918" s="163" t="str">
        <f t="shared" si="588"/>
        <v/>
      </c>
      <c r="AU918" s="163" t="str">
        <f t="shared" si="589"/>
        <v/>
      </c>
      <c r="AV918" s="163" t="str">
        <f t="shared" si="610"/>
        <v/>
      </c>
      <c r="AW918" s="163" t="str">
        <f t="shared" si="590"/>
        <v/>
      </c>
      <c r="AX918" s="163" t="str">
        <f t="shared" si="591"/>
        <v/>
      </c>
      <c r="AY918" s="165" t="str">
        <f t="shared" si="611"/>
        <v/>
      </c>
      <c r="AZ918" s="164" t="str">
        <f>IF($E918="","",IF(OR(AND($D918=Input!$C$6,$C918=12),$AN918=1),0,-AS919+AT919+AU919-AV919-AW919-AX919+AZ919))</f>
        <v/>
      </c>
      <c r="BA918" s="154" t="str">
        <f t="shared" si="592"/>
        <v/>
      </c>
      <c r="BC918" s="147" t="str">
        <f t="shared" si="612"/>
        <v/>
      </c>
      <c r="BD918" s="164" t="str">
        <f>IF(AND($C917=12,$D917=Input!$C$6),0,IF($E918="","",AT918+(AU918+BD919)/(1+$AK918)*MIN((1-AM918-AN918),1)))</f>
        <v/>
      </c>
      <c r="BE918" s="164" t="str">
        <f t="shared" si="579"/>
        <v/>
      </c>
      <c r="BF918" s="164" t="str">
        <f t="shared" si="613"/>
        <v/>
      </c>
      <c r="BG918" s="164" t="str">
        <f t="shared" si="593"/>
        <v/>
      </c>
      <c r="BH918" s="152"/>
      <c r="BI918" s="162" t="str">
        <f t="shared" ref="BI918:BI981" si="621">IF($E918="","",(BQ918*(1-$U918)*(1-$T918)/(1+$N918)+BL918/(1+$N918/2)-BJ918+BK918))</f>
        <v/>
      </c>
      <c r="BJ918" s="150" t="str">
        <f t="shared" ref="BJ918:BJ981" si="622">IF($E918="","",AS918)</f>
        <v/>
      </c>
      <c r="BK918" s="163" t="str">
        <f t="shared" si="617"/>
        <v/>
      </c>
      <c r="BL918" s="163" t="str">
        <f t="shared" ref="BL918:BL981" si="623">IF(E918="","",$T918*$H918)</f>
        <v/>
      </c>
      <c r="BM918" s="163" t="str">
        <f t="shared" si="618"/>
        <v/>
      </c>
      <c r="BN918" s="163" t="str">
        <f t="shared" ref="BN918:BN981" si="624">IF($E918="","",BQ918*$T918)</f>
        <v/>
      </c>
      <c r="BO918" s="163" t="str">
        <f t="shared" ref="BO918:BO981" si="625">IF($E918="","",$U918*BQ918*(1-$T918))</f>
        <v/>
      </c>
      <c r="BP918" s="164" t="str">
        <f t="shared" si="619"/>
        <v/>
      </c>
      <c r="BQ918" s="164" t="str">
        <f t="shared" ref="BQ918:BQ965" si="626">IF($E918="","",IF($U918=1,0,-BJ919+BK919+BL919-BM919-BN919-BO919+BQ919))</f>
        <v/>
      </c>
      <c r="BR918" s="154" t="str">
        <f t="shared" ref="BR918:BR981" si="627">IF(E918="","",BQ918-BP918)</f>
        <v/>
      </c>
      <c r="BT918" s="147" t="str">
        <f t="shared" si="600"/>
        <v/>
      </c>
      <c r="BU918" s="164" t="str">
        <f>IF(AND($C917=12,$D917=Input!$C$6),0,IF($E918="","",BK918+(BL918+BU919)/(1+$AK918)*MIN((1-T918-U918),1)))</f>
        <v/>
      </c>
      <c r="BV918" s="164" t="str">
        <f t="shared" si="601"/>
        <v/>
      </c>
      <c r="BW918" s="164" t="str">
        <f t="shared" si="602"/>
        <v/>
      </c>
      <c r="BX918" s="164" t="str">
        <f t="shared" si="603"/>
        <v/>
      </c>
    </row>
    <row r="919" spans="1:76" s="150" customFormat="1" x14ac:dyDescent="0.25">
      <c r="A919" s="150" t="str">
        <f t="shared" si="614"/>
        <v/>
      </c>
      <c r="B919" s="150" t="str">
        <f t="shared" si="615"/>
        <v/>
      </c>
      <c r="C919" s="150" t="str">
        <f t="shared" si="616"/>
        <v/>
      </c>
      <c r="D919" s="150" t="str">
        <f>IF(E919="","",Input!$C$4+B919-1)</f>
        <v/>
      </c>
      <c r="E919" s="150" t="str">
        <f>IF(OR(AND(C918=12,D918=Input!$C$6),E918=""),"",1)</f>
        <v/>
      </c>
      <c r="F919" s="150" t="str">
        <f>IF(E919="","",Input!$C$8+B919-1)</f>
        <v/>
      </c>
      <c r="G919" s="151" t="str">
        <f>IF(E919="","",MAX(0,Input!$C$9-B919))</f>
        <v/>
      </c>
      <c r="H919" s="152" t="str">
        <f>IF(E919="","",Input!$C$3)</f>
        <v/>
      </c>
      <c r="I919" s="153" t="str">
        <f>IF(E919="","",HLOOKUP($B919,Input!$C$13:$BT$14,2))</f>
        <v/>
      </c>
      <c r="J919" s="154"/>
      <c r="K919" s="155" t="str">
        <f>IF($E919="","",INDEX(Input!$C$16:$CP$16,1,$B919))</f>
        <v/>
      </c>
      <c r="L919" s="155" t="str">
        <f>IF($E919="","",Input!$C$37)</f>
        <v/>
      </c>
      <c r="M919" s="155" t="str">
        <f t="shared" si="580"/>
        <v/>
      </c>
      <c r="N919" s="155" t="str">
        <f t="shared" si="581"/>
        <v/>
      </c>
      <c r="O919" s="147" t="str">
        <f>IF($E919="","",MIN(VLOOKUP(IF($B919&lt;=Input!$C$7,$B919,26),'Mortality Tables'!$A$41:$CW$67,IF($B919&lt;=Input!$C$7+1,Input!$C$4+2,$D919-Input!$C$7+2),0)*IF(B919&gt;20,Input!$C$22,1)/1000,1))</f>
        <v/>
      </c>
      <c r="P919" s="147" t="str">
        <f>IF($E919="","",MIN(VLOOKUP(IF($B919&lt;=Input!$C$7,$B919,26),'Mortality Tables'!$A$12:$CW$37,IF($B919&lt;=Input!$C$7+1,Input!$C$4+2,$D919-Input!$C$7+2),0)*IF(B919&gt;20,Input!$C$22,1)/1000,1))</f>
        <v/>
      </c>
      <c r="Q919" s="155" t="str">
        <f>IF($E919="","",Input!$C$21)</f>
        <v/>
      </c>
      <c r="R919" s="159" t="str">
        <f>IF($E919="","",(1-Q919)^($F919-Input!$C$20))</f>
        <v/>
      </c>
      <c r="S919" s="147" t="str">
        <f t="shared" si="583"/>
        <v/>
      </c>
      <c r="T919" s="147" t="str">
        <f t="shared" si="584"/>
        <v/>
      </c>
      <c r="U919" s="160" t="str">
        <f>IF($E919="","",IF($C919=12,INDEX(Input!$C$15:$CP$15,1,$B919),0))</f>
        <v/>
      </c>
      <c r="V919" s="150" t="str">
        <f>IF(E919="","",IF(C919=1,IF($B919=1,Input!$C$33,Input!$C$34),0))</f>
        <v/>
      </c>
      <c r="W919" s="156" t="str">
        <f>IF($E919="","",Input!$C$35)</f>
        <v/>
      </c>
      <c r="X919" s="156" t="str">
        <f t="shared" si="582"/>
        <v/>
      </c>
      <c r="Y919" s="154"/>
      <c r="Z919" s="147" t="str">
        <f>IF($E919="","",VLOOKUP($D919,'Mortality Margins &amp; Grading'!$AB$5:$AF$125,3,0)*IF(Summary!$D$25="Included Margin",IF(AND($B919&gt;Input!$C$9,Summary!$D$31&lt;&gt;"Included Margin"),0,1),0))</f>
        <v/>
      </c>
      <c r="AA919" s="147" t="str">
        <f>IF($E919="","",VLOOKUP($D919,'Mortality Margins &amp; Grading'!$AB$5:$AF$125,5,0)*IF(Summary!$D$25="Included Margin",IF(AND($B919&gt;Input!$C$9,Summary!$D$31&lt;&gt;"Included Margin"),0,1),0))</f>
        <v/>
      </c>
      <c r="AB919" s="147" t="str">
        <f>IF($E919="","",IF(AND($B919&gt;Input!$C$9,Summary!$D$31&lt;&gt;"Included Margin"),1,IF(Summary!$D$25="Included Margin",VLOOKUP($B919,'Mortality Margins &amp; Grading'!$AI$5:$AR$125,MATCH('Mortality Margins &amp; Grading'!$AQ$4,'Mortality Margins &amp; Grading'!$AI$4:$AR$4,0),0),1)))</f>
        <v/>
      </c>
      <c r="AC919" s="154"/>
      <c r="AD919" s="158" t="str">
        <f>IF(E919="","",Input!$C$48*IF(Summary!$D$30="Included Margin",IF(AND($B919&gt;Input!$C$9,Summary!$D$31&lt;&gt;"Included Margin"),0,1),0))</f>
        <v/>
      </c>
      <c r="AE919" s="159" t="str">
        <f>IF(E919="","",IF(Summary!$D$26="Included Margin",IF(AND($B919&gt;Input!$C$9,Summary!$D$31&lt;&gt;"Included Margin"),1,1/$R919),1))</f>
        <v/>
      </c>
      <c r="AF919" s="160" t="str">
        <f>IF(E919="","",IF(AND($B919&gt;=Input!$C$9,$C919=12,Summary!$D$31="Included Margin",$U919&gt;0),1/U919-1,IF($B919&gt;=Input!$C$9,0,Input!$C$45*IF(Summary!$D$27="Included Margin",1,0))))</f>
        <v/>
      </c>
      <c r="AG919" s="160" t="str">
        <f>IF(E919="","",Input!$C$46*IF(Summary!$D$28="Included Margin",IF(AND($B919&gt;Input!$C$9,Summary!$D$31&lt;&gt;"Included Margin"),0,1),0))</f>
        <v/>
      </c>
      <c r="AH919" s="158" t="str">
        <f>IF(E919="","",Input!$C$47*IF(Summary!$D$29="Included Margin",IF(AND($B919&gt;Input!$C$9,Summary!$D$31&lt;&gt;"Included Margin"),0,1),0))</f>
        <v/>
      </c>
      <c r="AI919" s="154"/>
      <c r="AJ919" s="158" t="str">
        <f t="shared" si="604"/>
        <v/>
      </c>
      <c r="AK919" s="155" t="str">
        <f t="shared" si="605"/>
        <v/>
      </c>
      <c r="AL919" s="147" t="str">
        <f t="shared" si="606"/>
        <v/>
      </c>
      <c r="AM919" s="147" t="str">
        <f t="shared" si="585"/>
        <v/>
      </c>
      <c r="AN919" s="160" t="str">
        <f t="shared" si="607"/>
        <v/>
      </c>
      <c r="AO919" s="161" t="str">
        <f t="shared" si="608"/>
        <v/>
      </c>
      <c r="AP919" s="156" t="str">
        <f t="shared" si="586"/>
        <v/>
      </c>
      <c r="AQ919" s="152"/>
      <c r="AR919" s="162" t="str">
        <f t="shared" si="587"/>
        <v/>
      </c>
      <c r="AS919" s="150" t="str">
        <f t="shared" si="609"/>
        <v/>
      </c>
      <c r="AT919" s="163" t="str">
        <f t="shared" si="588"/>
        <v/>
      </c>
      <c r="AU919" s="163" t="str">
        <f t="shared" si="589"/>
        <v/>
      </c>
      <c r="AV919" s="163" t="str">
        <f t="shared" si="610"/>
        <v/>
      </c>
      <c r="AW919" s="163" t="str">
        <f t="shared" si="590"/>
        <v/>
      </c>
      <c r="AX919" s="163" t="str">
        <f t="shared" si="591"/>
        <v/>
      </c>
      <c r="AY919" s="164" t="str">
        <f t="shared" si="611"/>
        <v/>
      </c>
      <c r="AZ919" s="164" t="str">
        <f>IF($E919="","",IF(OR(AND($D919=Input!$C$6,$C919=12),$AN919=1),0,-AS920+AT920+AU920-AV920-AW920-AX920+AZ920))</f>
        <v/>
      </c>
      <c r="BA919" s="154" t="str">
        <f t="shared" si="592"/>
        <v/>
      </c>
      <c r="BC919" s="147" t="str">
        <f t="shared" si="612"/>
        <v/>
      </c>
      <c r="BD919" s="164" t="str">
        <f>IF(AND($C918=12,$D918=Input!$C$6),0,IF($E919="","",AT919+(AU919+BD920)/(1+$AK919)*MIN((1-AM919-AN919),1)))</f>
        <v/>
      </c>
      <c r="BE919" s="164" t="str">
        <f t="shared" si="579"/>
        <v/>
      </c>
      <c r="BF919" s="164" t="str">
        <f t="shared" si="613"/>
        <v/>
      </c>
      <c r="BG919" s="164" t="str">
        <f t="shared" si="593"/>
        <v/>
      </c>
      <c r="BH919" s="152"/>
      <c r="BI919" s="162" t="str">
        <f t="shared" si="621"/>
        <v/>
      </c>
      <c r="BJ919" s="150" t="str">
        <f t="shared" si="622"/>
        <v/>
      </c>
      <c r="BK919" s="163" t="str">
        <f t="shared" si="617"/>
        <v/>
      </c>
      <c r="BL919" s="163" t="str">
        <f t="shared" si="623"/>
        <v/>
      </c>
      <c r="BM919" s="163" t="str">
        <f t="shared" si="618"/>
        <v/>
      </c>
      <c r="BN919" s="163" t="str">
        <f t="shared" si="624"/>
        <v/>
      </c>
      <c r="BO919" s="163" t="str">
        <f t="shared" si="625"/>
        <v/>
      </c>
      <c r="BP919" s="164" t="str">
        <f t="shared" si="619"/>
        <v/>
      </c>
      <c r="BQ919" s="164" t="str">
        <f t="shared" si="626"/>
        <v/>
      </c>
      <c r="BR919" s="154" t="str">
        <f t="shared" si="627"/>
        <v/>
      </c>
      <c r="BT919" s="147" t="str">
        <f t="shared" si="600"/>
        <v/>
      </c>
      <c r="BU919" s="164" t="str">
        <f>IF(AND($C918=12,$D918=Input!$C$6),0,IF($E919="","",BK919+(BL919+BU920)/(1+$AK919)*MIN((1-T919-U919),1)))</f>
        <v/>
      </c>
      <c r="BV919" s="164" t="str">
        <f t="shared" si="601"/>
        <v/>
      </c>
      <c r="BW919" s="164" t="str">
        <f t="shared" si="602"/>
        <v/>
      </c>
      <c r="BX919" s="164" t="str">
        <f t="shared" si="603"/>
        <v/>
      </c>
    </row>
    <row r="920" spans="1:76" s="150" customFormat="1" x14ac:dyDescent="0.25">
      <c r="A920" s="150" t="str">
        <f t="shared" si="614"/>
        <v/>
      </c>
      <c r="B920" s="150" t="str">
        <f t="shared" si="615"/>
        <v/>
      </c>
      <c r="C920" s="150" t="str">
        <f t="shared" si="616"/>
        <v/>
      </c>
      <c r="D920" s="150" t="str">
        <f>IF(E920="","",Input!$C$4+B920-1)</f>
        <v/>
      </c>
      <c r="E920" s="150" t="str">
        <f>IF(OR(AND(C919=12,D919=Input!$C$6),E919=""),"",1)</f>
        <v/>
      </c>
      <c r="F920" s="150" t="str">
        <f>IF(E920="","",Input!$C$8+B920-1)</f>
        <v/>
      </c>
      <c r="G920" s="151" t="str">
        <f>IF(E920="","",MAX(0,Input!$C$9-B920))</f>
        <v/>
      </c>
      <c r="H920" s="152" t="str">
        <f>IF(E920="","",Input!$C$3)</f>
        <v/>
      </c>
      <c r="I920" s="153" t="str">
        <f>IF(E920="","",HLOOKUP($B920,Input!$C$13:$BT$14,2))</f>
        <v/>
      </c>
      <c r="J920" s="154"/>
      <c r="K920" s="155" t="str">
        <f>IF($E920="","",INDEX(Input!$C$16:$CP$16,1,$B920))</f>
        <v/>
      </c>
      <c r="L920" s="155" t="str">
        <f>IF($E920="","",Input!$C$37)</f>
        <v/>
      </c>
      <c r="M920" s="155" t="str">
        <f t="shared" si="580"/>
        <v/>
      </c>
      <c r="N920" s="155" t="str">
        <f t="shared" si="581"/>
        <v/>
      </c>
      <c r="O920" s="147" t="str">
        <f>IF($E920="","",MIN(VLOOKUP(IF($B920&lt;=Input!$C$7,$B920,26),'Mortality Tables'!$A$41:$CW$67,IF($B920&lt;=Input!$C$7+1,Input!$C$4+2,$D920-Input!$C$7+2),0)*IF(B920&gt;20,Input!$C$22,1)/1000,1))</f>
        <v/>
      </c>
      <c r="P920" s="147" t="str">
        <f>IF($E920="","",MIN(VLOOKUP(IF($B920&lt;=Input!$C$7,$B920,26),'Mortality Tables'!$A$12:$CW$37,IF($B920&lt;=Input!$C$7+1,Input!$C$4+2,$D920-Input!$C$7+2),0)*IF(B920&gt;20,Input!$C$22,1)/1000,1))</f>
        <v/>
      </c>
      <c r="Q920" s="155" t="str">
        <f>IF($E920="","",Input!$C$21)</f>
        <v/>
      </c>
      <c r="R920" s="159" t="str">
        <f>IF($E920="","",(1-Q920)^($F920-Input!$C$20))</f>
        <v/>
      </c>
      <c r="S920" s="147" t="str">
        <f t="shared" si="583"/>
        <v/>
      </c>
      <c r="T920" s="147" t="str">
        <f t="shared" si="584"/>
        <v/>
      </c>
      <c r="U920" s="160" t="str">
        <f>IF($E920="","",IF($C920=12,INDEX(Input!$C$15:$CP$15,1,$B920),0))</f>
        <v/>
      </c>
      <c r="V920" s="150" t="str">
        <f>IF(E920="","",IF(C920=1,IF($B920=1,Input!$C$33,Input!$C$34),0))</f>
        <v/>
      </c>
      <c r="W920" s="156" t="str">
        <f>IF($E920="","",Input!$C$35)</f>
        <v/>
      </c>
      <c r="X920" s="156" t="str">
        <f t="shared" si="582"/>
        <v/>
      </c>
      <c r="Y920" s="154"/>
      <c r="Z920" s="147" t="str">
        <f>IF($E920="","",VLOOKUP($D920,'Mortality Margins &amp; Grading'!$AB$5:$AF$125,3,0)*IF(Summary!$D$25="Included Margin",IF(AND($B920&gt;Input!$C$9,Summary!$D$31&lt;&gt;"Included Margin"),0,1),0))</f>
        <v/>
      </c>
      <c r="AA920" s="147" t="str">
        <f>IF($E920="","",VLOOKUP($D920,'Mortality Margins &amp; Grading'!$AB$5:$AF$125,5,0)*IF(Summary!$D$25="Included Margin",IF(AND($B920&gt;Input!$C$9,Summary!$D$31&lt;&gt;"Included Margin"),0,1),0))</f>
        <v/>
      </c>
      <c r="AB920" s="147" t="str">
        <f>IF($E920="","",IF(AND($B920&gt;Input!$C$9,Summary!$D$31&lt;&gt;"Included Margin"),1,IF(Summary!$D$25="Included Margin",VLOOKUP($B920,'Mortality Margins &amp; Grading'!$AI$5:$AR$125,MATCH('Mortality Margins &amp; Grading'!$AQ$4,'Mortality Margins &amp; Grading'!$AI$4:$AR$4,0),0),1)))</f>
        <v/>
      </c>
      <c r="AC920" s="154"/>
      <c r="AD920" s="158" t="str">
        <f>IF(E920="","",Input!$C$48*IF(Summary!$D$30="Included Margin",IF(AND($B920&gt;Input!$C$9,Summary!$D$31&lt;&gt;"Included Margin"),0,1),0))</f>
        <v/>
      </c>
      <c r="AE920" s="159" t="str">
        <f>IF(E920="","",IF(Summary!$D$26="Included Margin",IF(AND($B920&gt;Input!$C$9,Summary!$D$31&lt;&gt;"Included Margin"),1,1/$R920),1))</f>
        <v/>
      </c>
      <c r="AF920" s="160" t="str">
        <f>IF(E920="","",IF(AND($B920&gt;=Input!$C$9,$C920=12,Summary!$D$31="Included Margin",$U920&gt;0),1/U920-1,IF($B920&gt;=Input!$C$9,0,Input!$C$45*IF(Summary!$D$27="Included Margin",1,0))))</f>
        <v/>
      </c>
      <c r="AG920" s="160" t="str">
        <f>IF(E920="","",Input!$C$46*IF(Summary!$D$28="Included Margin",IF(AND($B920&gt;Input!$C$9,Summary!$D$31&lt;&gt;"Included Margin"),0,1),0))</f>
        <v/>
      </c>
      <c r="AH920" s="158" t="str">
        <f>IF(E920="","",Input!$C$47*IF(Summary!$D$29="Included Margin",IF(AND($B920&gt;Input!$C$9,Summary!$D$31&lt;&gt;"Included Margin"),0,1),0))</f>
        <v/>
      </c>
      <c r="AI920" s="154"/>
      <c r="AJ920" s="158" t="str">
        <f t="shared" si="604"/>
        <v/>
      </c>
      <c r="AK920" s="155" t="str">
        <f t="shared" si="605"/>
        <v/>
      </c>
      <c r="AL920" s="147" t="str">
        <f t="shared" si="606"/>
        <v/>
      </c>
      <c r="AM920" s="147" t="str">
        <f t="shared" si="585"/>
        <v/>
      </c>
      <c r="AN920" s="160" t="str">
        <f t="shared" si="607"/>
        <v/>
      </c>
      <c r="AO920" s="161" t="str">
        <f t="shared" si="608"/>
        <v/>
      </c>
      <c r="AP920" s="156" t="str">
        <f t="shared" si="586"/>
        <v/>
      </c>
      <c r="AQ920" s="152"/>
      <c r="AR920" s="162" t="str">
        <f t="shared" si="587"/>
        <v/>
      </c>
      <c r="AS920" s="150" t="str">
        <f t="shared" si="609"/>
        <v/>
      </c>
      <c r="AT920" s="163" t="str">
        <f t="shared" si="588"/>
        <v/>
      </c>
      <c r="AU920" s="163" t="str">
        <f t="shared" si="589"/>
        <v/>
      </c>
      <c r="AV920" s="163" t="str">
        <f t="shared" si="610"/>
        <v/>
      </c>
      <c r="AW920" s="163" t="str">
        <f t="shared" si="590"/>
        <v/>
      </c>
      <c r="AX920" s="163" t="str">
        <f t="shared" si="591"/>
        <v/>
      </c>
      <c r="AY920" s="165" t="str">
        <f t="shared" si="611"/>
        <v/>
      </c>
      <c r="AZ920" s="164" t="str">
        <f>IF($E920="","",IF(OR(AND($D920=Input!$C$6,$C920=12),$AN920=1),0,-AS921+AT921+AU921-AV921-AW921-AX921+AZ921))</f>
        <v/>
      </c>
      <c r="BA920" s="154" t="str">
        <f t="shared" si="592"/>
        <v/>
      </c>
      <c r="BC920" s="147" t="str">
        <f t="shared" si="612"/>
        <v/>
      </c>
      <c r="BD920" s="164" t="str">
        <f>IF(AND($C919=12,$D919=Input!$C$6),0,IF($E920="","",AT920+(AU920+BD921)/(1+$AK920)*MIN((1-AM920-AN920),1)))</f>
        <v/>
      </c>
      <c r="BE920" s="164" t="str">
        <f t="shared" si="579"/>
        <v/>
      </c>
      <c r="BF920" s="164" t="str">
        <f t="shared" si="613"/>
        <v/>
      </c>
      <c r="BG920" s="164" t="str">
        <f t="shared" si="593"/>
        <v/>
      </c>
      <c r="BH920" s="152"/>
      <c r="BI920" s="162" t="str">
        <f t="shared" si="621"/>
        <v/>
      </c>
      <c r="BJ920" s="150" t="str">
        <f t="shared" si="622"/>
        <v/>
      </c>
      <c r="BK920" s="163" t="str">
        <f t="shared" si="617"/>
        <v/>
      </c>
      <c r="BL920" s="163" t="str">
        <f t="shared" si="623"/>
        <v/>
      </c>
      <c r="BM920" s="163" t="str">
        <f t="shared" si="618"/>
        <v/>
      </c>
      <c r="BN920" s="163" t="str">
        <f t="shared" si="624"/>
        <v/>
      </c>
      <c r="BO920" s="163" t="str">
        <f t="shared" si="625"/>
        <v/>
      </c>
      <c r="BP920" s="164" t="str">
        <f t="shared" si="619"/>
        <v/>
      </c>
      <c r="BQ920" s="164" t="str">
        <f t="shared" si="626"/>
        <v/>
      </c>
      <c r="BR920" s="154" t="str">
        <f t="shared" si="627"/>
        <v/>
      </c>
      <c r="BT920" s="147" t="str">
        <f t="shared" si="600"/>
        <v/>
      </c>
      <c r="BU920" s="164" t="str">
        <f>IF(AND($C919=12,$D919=Input!$C$6),0,IF($E920="","",BK920+(BL920+BU921)/(1+$AK920)*MIN((1-T920-U920),1)))</f>
        <v/>
      </c>
      <c r="BV920" s="164" t="str">
        <f t="shared" si="601"/>
        <v/>
      </c>
      <c r="BW920" s="164" t="str">
        <f t="shared" si="602"/>
        <v/>
      </c>
      <c r="BX920" s="164" t="str">
        <f t="shared" si="603"/>
        <v/>
      </c>
    </row>
    <row r="921" spans="1:76" s="150" customFormat="1" x14ac:dyDescent="0.25">
      <c r="A921" s="150" t="str">
        <f t="shared" si="614"/>
        <v/>
      </c>
      <c r="B921" s="150" t="str">
        <f t="shared" si="615"/>
        <v/>
      </c>
      <c r="C921" s="150" t="str">
        <f t="shared" si="616"/>
        <v/>
      </c>
      <c r="D921" s="150" t="str">
        <f>IF(E921="","",Input!$C$4+B921-1)</f>
        <v/>
      </c>
      <c r="E921" s="150" t="str">
        <f>IF(OR(AND(C920=12,D920=Input!$C$6),E920=""),"",1)</f>
        <v/>
      </c>
      <c r="F921" s="150" t="str">
        <f>IF(E921="","",Input!$C$8+B921-1)</f>
        <v/>
      </c>
      <c r="G921" s="151" t="str">
        <f>IF(E921="","",MAX(0,Input!$C$9-B921))</f>
        <v/>
      </c>
      <c r="H921" s="152" t="str">
        <f>IF(E921="","",Input!$C$3)</f>
        <v/>
      </c>
      <c r="I921" s="153" t="str">
        <f>IF(E921="","",HLOOKUP($B921,Input!$C$13:$BT$14,2))</f>
        <v/>
      </c>
      <c r="J921" s="154"/>
      <c r="K921" s="155" t="str">
        <f>IF($E921="","",INDEX(Input!$C$16:$CP$16,1,$B921))</f>
        <v/>
      </c>
      <c r="L921" s="155" t="str">
        <f>IF($E921="","",Input!$C$37)</f>
        <v/>
      </c>
      <c r="M921" s="155" t="str">
        <f t="shared" si="580"/>
        <v/>
      </c>
      <c r="N921" s="155" t="str">
        <f t="shared" si="581"/>
        <v/>
      </c>
      <c r="O921" s="147" t="str">
        <f>IF($E921="","",MIN(VLOOKUP(IF($B921&lt;=Input!$C$7,$B921,26),'Mortality Tables'!$A$41:$CW$67,IF($B921&lt;=Input!$C$7+1,Input!$C$4+2,$D921-Input!$C$7+2),0)*IF(B921&gt;20,Input!$C$22,1)/1000,1))</f>
        <v/>
      </c>
      <c r="P921" s="147" t="str">
        <f>IF($E921="","",MIN(VLOOKUP(IF($B921&lt;=Input!$C$7,$B921,26),'Mortality Tables'!$A$12:$CW$37,IF($B921&lt;=Input!$C$7+1,Input!$C$4+2,$D921-Input!$C$7+2),0)*IF(B921&gt;20,Input!$C$22,1)/1000,1))</f>
        <v/>
      </c>
      <c r="Q921" s="155" t="str">
        <f>IF($E921="","",Input!$C$21)</f>
        <v/>
      </c>
      <c r="R921" s="159" t="str">
        <f>IF($E921="","",(1-Q921)^($F921-Input!$C$20))</f>
        <v/>
      </c>
      <c r="S921" s="147" t="str">
        <f t="shared" si="583"/>
        <v/>
      </c>
      <c r="T921" s="147" t="str">
        <f t="shared" si="584"/>
        <v/>
      </c>
      <c r="U921" s="160" t="str">
        <f>IF($E921="","",IF($C921=12,INDEX(Input!$C$15:$CP$15,1,$B921),0))</f>
        <v/>
      </c>
      <c r="V921" s="150" t="str">
        <f>IF(E921="","",IF(C921=1,IF($B921=1,Input!$C$33,Input!$C$34),0))</f>
        <v/>
      </c>
      <c r="W921" s="156" t="str">
        <f>IF($E921="","",Input!$C$35)</f>
        <v/>
      </c>
      <c r="X921" s="156" t="str">
        <f t="shared" si="582"/>
        <v/>
      </c>
      <c r="Y921" s="154"/>
      <c r="Z921" s="147" t="str">
        <f>IF($E921="","",VLOOKUP($D921,'Mortality Margins &amp; Grading'!$AB$5:$AF$125,3,0)*IF(Summary!$D$25="Included Margin",IF(AND($B921&gt;Input!$C$9,Summary!$D$31&lt;&gt;"Included Margin"),0,1),0))</f>
        <v/>
      </c>
      <c r="AA921" s="147" t="str">
        <f>IF($E921="","",VLOOKUP($D921,'Mortality Margins &amp; Grading'!$AB$5:$AF$125,5,0)*IF(Summary!$D$25="Included Margin",IF(AND($B921&gt;Input!$C$9,Summary!$D$31&lt;&gt;"Included Margin"),0,1),0))</f>
        <v/>
      </c>
      <c r="AB921" s="147" t="str">
        <f>IF($E921="","",IF(AND($B921&gt;Input!$C$9,Summary!$D$31&lt;&gt;"Included Margin"),1,IF(Summary!$D$25="Included Margin",VLOOKUP($B921,'Mortality Margins &amp; Grading'!$AI$5:$AR$125,MATCH('Mortality Margins &amp; Grading'!$AQ$4,'Mortality Margins &amp; Grading'!$AI$4:$AR$4,0),0),1)))</f>
        <v/>
      </c>
      <c r="AC921" s="154"/>
      <c r="AD921" s="158" t="str">
        <f>IF(E921="","",Input!$C$48*IF(Summary!$D$30="Included Margin",IF(AND($B921&gt;Input!$C$9,Summary!$D$31&lt;&gt;"Included Margin"),0,1),0))</f>
        <v/>
      </c>
      <c r="AE921" s="159" t="str">
        <f>IF(E921="","",IF(Summary!$D$26="Included Margin",IF(AND($B921&gt;Input!$C$9,Summary!$D$31&lt;&gt;"Included Margin"),1,1/$R921),1))</f>
        <v/>
      </c>
      <c r="AF921" s="160" t="str">
        <f>IF(E921="","",IF(AND($B921&gt;=Input!$C$9,$C921=12,Summary!$D$31="Included Margin",$U921&gt;0),1/U921-1,IF($B921&gt;=Input!$C$9,0,Input!$C$45*IF(Summary!$D$27="Included Margin",1,0))))</f>
        <v/>
      </c>
      <c r="AG921" s="160" t="str">
        <f>IF(E921="","",Input!$C$46*IF(Summary!$D$28="Included Margin",IF(AND($B921&gt;Input!$C$9,Summary!$D$31&lt;&gt;"Included Margin"),0,1),0))</f>
        <v/>
      </c>
      <c r="AH921" s="158" t="str">
        <f>IF(E921="","",Input!$C$47*IF(Summary!$D$29="Included Margin",IF(AND($B921&gt;Input!$C$9,Summary!$D$31&lt;&gt;"Included Margin"),0,1),0))</f>
        <v/>
      </c>
      <c r="AI921" s="154"/>
      <c r="AJ921" s="158" t="str">
        <f t="shared" si="604"/>
        <v/>
      </c>
      <c r="AK921" s="155" t="str">
        <f t="shared" si="605"/>
        <v/>
      </c>
      <c r="AL921" s="147" t="str">
        <f t="shared" si="606"/>
        <v/>
      </c>
      <c r="AM921" s="147" t="str">
        <f t="shared" si="585"/>
        <v/>
      </c>
      <c r="AN921" s="160" t="str">
        <f t="shared" si="607"/>
        <v/>
      </c>
      <c r="AO921" s="161" t="str">
        <f t="shared" si="608"/>
        <v/>
      </c>
      <c r="AP921" s="156" t="str">
        <f t="shared" si="586"/>
        <v/>
      </c>
      <c r="AQ921" s="152"/>
      <c r="AR921" s="162" t="str">
        <f t="shared" si="587"/>
        <v/>
      </c>
      <c r="AS921" s="150" t="str">
        <f t="shared" si="609"/>
        <v/>
      </c>
      <c r="AT921" s="163" t="str">
        <f t="shared" si="588"/>
        <v/>
      </c>
      <c r="AU921" s="163" t="str">
        <f t="shared" si="589"/>
        <v/>
      </c>
      <c r="AV921" s="163" t="str">
        <f t="shared" si="610"/>
        <v/>
      </c>
      <c r="AW921" s="163" t="str">
        <f t="shared" si="590"/>
        <v/>
      </c>
      <c r="AX921" s="163" t="str">
        <f t="shared" si="591"/>
        <v/>
      </c>
      <c r="AY921" s="164" t="str">
        <f t="shared" si="611"/>
        <v/>
      </c>
      <c r="AZ921" s="164" t="str">
        <f>IF($E921="","",IF(OR(AND($D921=Input!$C$6,$C921=12),$AN921=1),0,-AS922+AT922+AU922-AV922-AW922-AX922+AZ922))</f>
        <v/>
      </c>
      <c r="BA921" s="154" t="str">
        <f t="shared" si="592"/>
        <v/>
      </c>
      <c r="BC921" s="147" t="str">
        <f t="shared" si="612"/>
        <v/>
      </c>
      <c r="BD921" s="164" t="str">
        <f>IF(AND($C920=12,$D920=Input!$C$6),0,IF($E921="","",AT921+(AU921+BD922)/(1+$AK921)*MIN((1-AM921-AN921),1)))</f>
        <v/>
      </c>
      <c r="BE921" s="164" t="str">
        <f t="shared" si="579"/>
        <v/>
      </c>
      <c r="BF921" s="164" t="str">
        <f t="shared" si="613"/>
        <v/>
      </c>
      <c r="BG921" s="164" t="str">
        <f t="shared" si="593"/>
        <v/>
      </c>
      <c r="BH921" s="152"/>
      <c r="BI921" s="162" t="str">
        <f t="shared" si="621"/>
        <v/>
      </c>
      <c r="BJ921" s="150" t="str">
        <f t="shared" si="622"/>
        <v/>
      </c>
      <c r="BK921" s="163" t="str">
        <f t="shared" si="617"/>
        <v/>
      </c>
      <c r="BL921" s="163" t="str">
        <f t="shared" si="623"/>
        <v/>
      </c>
      <c r="BM921" s="163" t="str">
        <f t="shared" si="618"/>
        <v/>
      </c>
      <c r="BN921" s="163" t="str">
        <f t="shared" si="624"/>
        <v/>
      </c>
      <c r="BO921" s="163" t="str">
        <f t="shared" si="625"/>
        <v/>
      </c>
      <c r="BP921" s="164" t="str">
        <f t="shared" si="619"/>
        <v/>
      </c>
      <c r="BQ921" s="164" t="str">
        <f t="shared" si="626"/>
        <v/>
      </c>
      <c r="BR921" s="154" t="str">
        <f t="shared" si="627"/>
        <v/>
      </c>
      <c r="BT921" s="147" t="str">
        <f t="shared" si="600"/>
        <v/>
      </c>
      <c r="BU921" s="164" t="str">
        <f>IF(AND($C920=12,$D920=Input!$C$6),0,IF($E921="","",BK921+(BL921+BU922)/(1+$AK921)*MIN((1-T921-U921),1)))</f>
        <v/>
      </c>
      <c r="BV921" s="164" t="str">
        <f t="shared" si="601"/>
        <v/>
      </c>
      <c r="BW921" s="164" t="str">
        <f t="shared" si="602"/>
        <v/>
      </c>
      <c r="BX921" s="164" t="str">
        <f t="shared" si="603"/>
        <v/>
      </c>
    </row>
    <row r="922" spans="1:76" s="150" customFormat="1" x14ac:dyDescent="0.25">
      <c r="A922" s="150" t="str">
        <f t="shared" si="614"/>
        <v/>
      </c>
      <c r="B922" s="150" t="str">
        <f t="shared" si="615"/>
        <v/>
      </c>
      <c r="C922" s="150" t="str">
        <f t="shared" si="616"/>
        <v/>
      </c>
      <c r="D922" s="150" t="str">
        <f>IF(E922="","",Input!$C$4+B922-1)</f>
        <v/>
      </c>
      <c r="E922" s="150" t="str">
        <f>IF(OR(AND(C921=12,D921=Input!$C$6),E921=""),"",1)</f>
        <v/>
      </c>
      <c r="F922" s="150" t="str">
        <f>IF(E922="","",Input!$C$8+B922-1)</f>
        <v/>
      </c>
      <c r="G922" s="151" t="str">
        <f>IF(E922="","",MAX(0,Input!$C$9-B922))</f>
        <v/>
      </c>
      <c r="H922" s="152" t="str">
        <f>IF(E922="","",Input!$C$3)</f>
        <v/>
      </c>
      <c r="I922" s="153" t="str">
        <f>IF(E922="","",HLOOKUP($B922,Input!$C$13:$BT$14,2))</f>
        <v/>
      </c>
      <c r="J922" s="154"/>
      <c r="K922" s="155" t="str">
        <f>IF($E922="","",INDEX(Input!$C$16:$CP$16,1,$B922))</f>
        <v/>
      </c>
      <c r="L922" s="155" t="str">
        <f>IF($E922="","",Input!$C$37)</f>
        <v/>
      </c>
      <c r="M922" s="155" t="str">
        <f t="shared" si="580"/>
        <v/>
      </c>
      <c r="N922" s="155" t="str">
        <f t="shared" si="581"/>
        <v/>
      </c>
      <c r="O922" s="147" t="str">
        <f>IF($E922="","",MIN(VLOOKUP(IF($B922&lt;=Input!$C$7,$B922,26),'Mortality Tables'!$A$41:$CW$67,IF($B922&lt;=Input!$C$7+1,Input!$C$4+2,$D922-Input!$C$7+2),0)*IF(B922&gt;20,Input!$C$22,1)/1000,1))</f>
        <v/>
      </c>
      <c r="P922" s="147" t="str">
        <f>IF($E922="","",MIN(VLOOKUP(IF($B922&lt;=Input!$C$7,$B922,26),'Mortality Tables'!$A$12:$CW$37,IF($B922&lt;=Input!$C$7+1,Input!$C$4+2,$D922-Input!$C$7+2),0)*IF(B922&gt;20,Input!$C$22,1)/1000,1))</f>
        <v/>
      </c>
      <c r="Q922" s="155" t="str">
        <f>IF($E922="","",Input!$C$21)</f>
        <v/>
      </c>
      <c r="R922" s="159" t="str">
        <f>IF($E922="","",(1-Q922)^($F922-Input!$C$20))</f>
        <v/>
      </c>
      <c r="S922" s="147" t="str">
        <f t="shared" si="583"/>
        <v/>
      </c>
      <c r="T922" s="147" t="str">
        <f t="shared" si="584"/>
        <v/>
      </c>
      <c r="U922" s="160" t="str">
        <f>IF($E922="","",IF($C922=12,INDEX(Input!$C$15:$CP$15,1,$B922),0))</f>
        <v/>
      </c>
      <c r="V922" s="150" t="str">
        <f>IF(E922="","",IF(C922=1,IF($B922=1,Input!$C$33,Input!$C$34),0))</f>
        <v/>
      </c>
      <c r="W922" s="156" t="str">
        <f>IF($E922="","",Input!$C$35)</f>
        <v/>
      </c>
      <c r="X922" s="156" t="str">
        <f t="shared" si="582"/>
        <v/>
      </c>
      <c r="Y922" s="154"/>
      <c r="Z922" s="147" t="str">
        <f>IF($E922="","",VLOOKUP($D922,'Mortality Margins &amp; Grading'!$AB$5:$AF$125,3,0)*IF(Summary!$D$25="Included Margin",IF(AND($B922&gt;Input!$C$9,Summary!$D$31&lt;&gt;"Included Margin"),0,1),0))</f>
        <v/>
      </c>
      <c r="AA922" s="147" t="str">
        <f>IF($E922="","",VLOOKUP($D922,'Mortality Margins &amp; Grading'!$AB$5:$AF$125,5,0)*IF(Summary!$D$25="Included Margin",IF(AND($B922&gt;Input!$C$9,Summary!$D$31&lt;&gt;"Included Margin"),0,1),0))</f>
        <v/>
      </c>
      <c r="AB922" s="147" t="str">
        <f>IF($E922="","",IF(AND($B922&gt;Input!$C$9,Summary!$D$31&lt;&gt;"Included Margin"),1,IF(Summary!$D$25="Included Margin",VLOOKUP($B922,'Mortality Margins &amp; Grading'!$AI$5:$AR$125,MATCH('Mortality Margins &amp; Grading'!$AQ$4,'Mortality Margins &amp; Grading'!$AI$4:$AR$4,0),0),1)))</f>
        <v/>
      </c>
      <c r="AC922" s="154"/>
      <c r="AD922" s="158" t="str">
        <f>IF(E922="","",Input!$C$48*IF(Summary!$D$30="Included Margin",IF(AND($B922&gt;Input!$C$9,Summary!$D$31&lt;&gt;"Included Margin"),0,1),0))</f>
        <v/>
      </c>
      <c r="AE922" s="159" t="str">
        <f>IF(E922="","",IF(Summary!$D$26="Included Margin",IF(AND($B922&gt;Input!$C$9,Summary!$D$31&lt;&gt;"Included Margin"),1,1/$R922),1))</f>
        <v/>
      </c>
      <c r="AF922" s="160" t="str">
        <f>IF(E922="","",IF(AND($B922&gt;=Input!$C$9,$C922=12,Summary!$D$31="Included Margin",$U922&gt;0),1/U922-1,IF($B922&gt;=Input!$C$9,0,Input!$C$45*IF(Summary!$D$27="Included Margin",1,0))))</f>
        <v/>
      </c>
      <c r="AG922" s="160" t="str">
        <f>IF(E922="","",Input!$C$46*IF(Summary!$D$28="Included Margin",IF(AND($B922&gt;Input!$C$9,Summary!$D$31&lt;&gt;"Included Margin"),0,1),0))</f>
        <v/>
      </c>
      <c r="AH922" s="158" t="str">
        <f>IF(E922="","",Input!$C$47*IF(Summary!$D$29="Included Margin",IF(AND($B922&gt;Input!$C$9,Summary!$D$31&lt;&gt;"Included Margin"),0,1),0))</f>
        <v/>
      </c>
      <c r="AI922" s="154"/>
      <c r="AJ922" s="158" t="str">
        <f t="shared" si="604"/>
        <v/>
      </c>
      <c r="AK922" s="155" t="str">
        <f t="shared" si="605"/>
        <v/>
      </c>
      <c r="AL922" s="147" t="str">
        <f t="shared" si="606"/>
        <v/>
      </c>
      <c r="AM922" s="147" t="str">
        <f t="shared" si="585"/>
        <v/>
      </c>
      <c r="AN922" s="160" t="str">
        <f t="shared" si="607"/>
        <v/>
      </c>
      <c r="AO922" s="161" t="str">
        <f t="shared" si="608"/>
        <v/>
      </c>
      <c r="AP922" s="156" t="str">
        <f t="shared" si="586"/>
        <v/>
      </c>
      <c r="AQ922" s="152"/>
      <c r="AR922" s="162" t="str">
        <f t="shared" si="587"/>
        <v/>
      </c>
      <c r="AS922" s="150" t="str">
        <f t="shared" si="609"/>
        <v/>
      </c>
      <c r="AT922" s="163" t="str">
        <f t="shared" si="588"/>
        <v/>
      </c>
      <c r="AU922" s="163" t="str">
        <f t="shared" si="589"/>
        <v/>
      </c>
      <c r="AV922" s="163" t="str">
        <f t="shared" si="610"/>
        <v/>
      </c>
      <c r="AW922" s="163" t="str">
        <f t="shared" si="590"/>
        <v/>
      </c>
      <c r="AX922" s="163" t="str">
        <f t="shared" si="591"/>
        <v/>
      </c>
      <c r="AY922" s="165" t="str">
        <f t="shared" si="611"/>
        <v/>
      </c>
      <c r="AZ922" s="164" t="str">
        <f>IF($E922="","",IF(OR(AND($D922=Input!$C$6,$C922=12),$AN922=1),0,-AS923+AT923+AU923-AV923-AW923-AX923+AZ923))</f>
        <v/>
      </c>
      <c r="BA922" s="154" t="str">
        <f t="shared" si="592"/>
        <v/>
      </c>
      <c r="BC922" s="147" t="str">
        <f t="shared" si="612"/>
        <v/>
      </c>
      <c r="BD922" s="164" t="str">
        <f>IF(AND($C921=12,$D921=Input!$C$6),0,IF($E922="","",AT922+(AU922+BD923)/(1+$AK922)*MIN((1-AM922-AN922),1)))</f>
        <v/>
      </c>
      <c r="BE922" s="164" t="str">
        <f t="shared" ref="BE922:BE985" si="628">IF($E922="","",BC922*BD922)</f>
        <v/>
      </c>
      <c r="BF922" s="164" t="str">
        <f t="shared" si="613"/>
        <v/>
      </c>
      <c r="BG922" s="164" t="str">
        <f t="shared" si="593"/>
        <v/>
      </c>
      <c r="BH922" s="152"/>
      <c r="BI922" s="162" t="str">
        <f t="shared" si="621"/>
        <v/>
      </c>
      <c r="BJ922" s="150" t="str">
        <f t="shared" si="622"/>
        <v/>
      </c>
      <c r="BK922" s="163" t="str">
        <f t="shared" si="617"/>
        <v/>
      </c>
      <c r="BL922" s="163" t="str">
        <f t="shared" si="623"/>
        <v/>
      </c>
      <c r="BM922" s="163" t="str">
        <f t="shared" si="618"/>
        <v/>
      </c>
      <c r="BN922" s="163" t="str">
        <f t="shared" si="624"/>
        <v/>
      </c>
      <c r="BO922" s="163" t="str">
        <f t="shared" si="625"/>
        <v/>
      </c>
      <c r="BP922" s="164" t="str">
        <f t="shared" si="619"/>
        <v/>
      </c>
      <c r="BQ922" s="164" t="str">
        <f t="shared" si="626"/>
        <v/>
      </c>
      <c r="BR922" s="154" t="str">
        <f t="shared" si="627"/>
        <v/>
      </c>
      <c r="BT922" s="147" t="str">
        <f t="shared" si="600"/>
        <v/>
      </c>
      <c r="BU922" s="164" t="str">
        <f>IF(AND($C921=12,$D921=Input!$C$6),0,IF($E922="","",BK922+(BL922+BU923)/(1+$AK922)*MIN((1-T922-U922),1)))</f>
        <v/>
      </c>
      <c r="BV922" s="164" t="str">
        <f t="shared" si="601"/>
        <v/>
      </c>
      <c r="BW922" s="164" t="str">
        <f t="shared" si="602"/>
        <v/>
      </c>
      <c r="BX922" s="164" t="str">
        <f t="shared" si="603"/>
        <v/>
      </c>
    </row>
    <row r="923" spans="1:76" s="150" customFormat="1" x14ac:dyDescent="0.25">
      <c r="A923" s="150" t="str">
        <f t="shared" si="614"/>
        <v/>
      </c>
      <c r="B923" s="150" t="str">
        <f t="shared" si="615"/>
        <v/>
      </c>
      <c r="C923" s="150" t="str">
        <f t="shared" si="616"/>
        <v/>
      </c>
      <c r="D923" s="150" t="str">
        <f>IF(E923="","",Input!$C$4+B923-1)</f>
        <v/>
      </c>
      <c r="E923" s="150" t="str">
        <f>IF(OR(AND(C922=12,D922=Input!$C$6),E922=""),"",1)</f>
        <v/>
      </c>
      <c r="F923" s="150" t="str">
        <f>IF(E923="","",Input!$C$8+B923-1)</f>
        <v/>
      </c>
      <c r="G923" s="151" t="str">
        <f>IF(E923="","",MAX(0,Input!$C$9-B923))</f>
        <v/>
      </c>
      <c r="H923" s="152" t="str">
        <f>IF(E923="","",Input!$C$3)</f>
        <v/>
      </c>
      <c r="I923" s="153" t="str">
        <f>IF(E923="","",HLOOKUP($B923,Input!$C$13:$BT$14,2))</f>
        <v/>
      </c>
      <c r="J923" s="154"/>
      <c r="K923" s="155" t="str">
        <f>IF($E923="","",INDEX(Input!$C$16:$CP$16,1,$B923))</f>
        <v/>
      </c>
      <c r="L923" s="155" t="str">
        <f>IF($E923="","",Input!$C$37)</f>
        <v/>
      </c>
      <c r="M923" s="155" t="str">
        <f t="shared" si="580"/>
        <v/>
      </c>
      <c r="N923" s="155" t="str">
        <f t="shared" si="581"/>
        <v/>
      </c>
      <c r="O923" s="147" t="str">
        <f>IF($E923="","",MIN(VLOOKUP(IF($B923&lt;=Input!$C$7,$B923,26),'Mortality Tables'!$A$41:$CW$67,IF($B923&lt;=Input!$C$7+1,Input!$C$4+2,$D923-Input!$C$7+2),0)*IF(B923&gt;20,Input!$C$22,1)/1000,1))</f>
        <v/>
      </c>
      <c r="P923" s="147" t="str">
        <f>IF($E923="","",MIN(VLOOKUP(IF($B923&lt;=Input!$C$7,$B923,26),'Mortality Tables'!$A$12:$CW$37,IF($B923&lt;=Input!$C$7+1,Input!$C$4+2,$D923-Input!$C$7+2),0)*IF(B923&gt;20,Input!$C$22,1)/1000,1))</f>
        <v/>
      </c>
      <c r="Q923" s="155" t="str">
        <f>IF($E923="","",Input!$C$21)</f>
        <v/>
      </c>
      <c r="R923" s="159" t="str">
        <f>IF($E923="","",(1-Q923)^($F923-Input!$C$20))</f>
        <v/>
      </c>
      <c r="S923" s="147" t="str">
        <f t="shared" si="583"/>
        <v/>
      </c>
      <c r="T923" s="147" t="str">
        <f t="shared" si="584"/>
        <v/>
      </c>
      <c r="U923" s="160" t="str">
        <f>IF($E923="","",IF($C923=12,INDEX(Input!$C$15:$CP$15,1,$B923),0))</f>
        <v/>
      </c>
      <c r="V923" s="150" t="str">
        <f>IF(E923="","",IF(C923=1,IF($B923=1,Input!$C$33,Input!$C$34),0))</f>
        <v/>
      </c>
      <c r="W923" s="156" t="str">
        <f>IF($E923="","",Input!$C$35)</f>
        <v/>
      </c>
      <c r="X923" s="156" t="str">
        <f t="shared" si="582"/>
        <v/>
      </c>
      <c r="Y923" s="154"/>
      <c r="Z923" s="147" t="str">
        <f>IF($E923="","",VLOOKUP($D923,'Mortality Margins &amp; Grading'!$AB$5:$AF$125,3,0)*IF(Summary!$D$25="Included Margin",IF(AND($B923&gt;Input!$C$9,Summary!$D$31&lt;&gt;"Included Margin"),0,1),0))</f>
        <v/>
      </c>
      <c r="AA923" s="147" t="str">
        <f>IF($E923="","",VLOOKUP($D923,'Mortality Margins &amp; Grading'!$AB$5:$AF$125,5,0)*IF(Summary!$D$25="Included Margin",IF(AND($B923&gt;Input!$C$9,Summary!$D$31&lt;&gt;"Included Margin"),0,1),0))</f>
        <v/>
      </c>
      <c r="AB923" s="147" t="str">
        <f>IF($E923="","",IF(AND($B923&gt;Input!$C$9,Summary!$D$31&lt;&gt;"Included Margin"),1,IF(Summary!$D$25="Included Margin",VLOOKUP($B923,'Mortality Margins &amp; Grading'!$AI$5:$AR$125,MATCH('Mortality Margins &amp; Grading'!$AQ$4,'Mortality Margins &amp; Grading'!$AI$4:$AR$4,0),0),1)))</f>
        <v/>
      </c>
      <c r="AC923" s="154"/>
      <c r="AD923" s="158" t="str">
        <f>IF(E923="","",Input!$C$48*IF(Summary!$D$30="Included Margin",IF(AND($B923&gt;Input!$C$9,Summary!$D$31&lt;&gt;"Included Margin"),0,1),0))</f>
        <v/>
      </c>
      <c r="AE923" s="159" t="str">
        <f>IF(E923="","",IF(Summary!$D$26="Included Margin",IF(AND($B923&gt;Input!$C$9,Summary!$D$31&lt;&gt;"Included Margin"),1,1/$R923),1))</f>
        <v/>
      </c>
      <c r="AF923" s="160" t="str">
        <f>IF(E923="","",IF(AND($B923&gt;=Input!$C$9,$C923=12,Summary!$D$31="Included Margin",$U923&gt;0),1/U923-1,IF($B923&gt;=Input!$C$9,0,Input!$C$45*IF(Summary!$D$27="Included Margin",1,0))))</f>
        <v/>
      </c>
      <c r="AG923" s="160" t="str">
        <f>IF(E923="","",Input!$C$46*IF(Summary!$D$28="Included Margin",IF(AND($B923&gt;Input!$C$9,Summary!$D$31&lt;&gt;"Included Margin"),0,1),0))</f>
        <v/>
      </c>
      <c r="AH923" s="158" t="str">
        <f>IF(E923="","",Input!$C$47*IF(Summary!$D$29="Included Margin",IF(AND($B923&gt;Input!$C$9,Summary!$D$31&lt;&gt;"Included Margin"),0,1),0))</f>
        <v/>
      </c>
      <c r="AI923" s="154"/>
      <c r="AJ923" s="158" t="str">
        <f t="shared" si="604"/>
        <v/>
      </c>
      <c r="AK923" s="155" t="str">
        <f t="shared" si="605"/>
        <v/>
      </c>
      <c r="AL923" s="147" t="str">
        <f t="shared" si="606"/>
        <v/>
      </c>
      <c r="AM923" s="147" t="str">
        <f t="shared" si="585"/>
        <v/>
      </c>
      <c r="AN923" s="160" t="str">
        <f t="shared" si="607"/>
        <v/>
      </c>
      <c r="AO923" s="161" t="str">
        <f t="shared" si="608"/>
        <v/>
      </c>
      <c r="AP923" s="156" t="str">
        <f t="shared" si="586"/>
        <v/>
      </c>
      <c r="AQ923" s="152"/>
      <c r="AR923" s="162" t="str">
        <f t="shared" si="587"/>
        <v/>
      </c>
      <c r="AS923" s="150" t="str">
        <f t="shared" si="609"/>
        <v/>
      </c>
      <c r="AT923" s="163" t="str">
        <f t="shared" si="588"/>
        <v/>
      </c>
      <c r="AU923" s="163" t="str">
        <f t="shared" si="589"/>
        <v/>
      </c>
      <c r="AV923" s="163" t="str">
        <f t="shared" si="610"/>
        <v/>
      </c>
      <c r="AW923" s="163" t="str">
        <f t="shared" si="590"/>
        <v/>
      </c>
      <c r="AX923" s="163" t="str">
        <f t="shared" si="591"/>
        <v/>
      </c>
      <c r="AY923" s="164" t="str">
        <f t="shared" si="611"/>
        <v/>
      </c>
      <c r="AZ923" s="164" t="str">
        <f>IF($E923="","",IF(OR(AND($D923=Input!$C$6,$C923=12),$AN923=1),0,-AS924+AT924+AU924-AV924-AW924-AX924+AZ924))</f>
        <v/>
      </c>
      <c r="BA923" s="154" t="str">
        <f t="shared" si="592"/>
        <v/>
      </c>
      <c r="BC923" s="147" t="str">
        <f t="shared" si="612"/>
        <v/>
      </c>
      <c r="BD923" s="164" t="str">
        <f>IF(AND($C922=12,$D922=Input!$C$6),0,IF($E923="","",AT923+(AU923+BD924)/(1+$AK923)*MIN((1-AM923-AN923),1)))</f>
        <v/>
      </c>
      <c r="BE923" s="164" t="str">
        <f t="shared" si="628"/>
        <v/>
      </c>
      <c r="BF923" s="164" t="str">
        <f t="shared" si="613"/>
        <v/>
      </c>
      <c r="BG923" s="164" t="str">
        <f t="shared" si="593"/>
        <v/>
      </c>
      <c r="BH923" s="152"/>
      <c r="BI923" s="162" t="str">
        <f t="shared" si="621"/>
        <v/>
      </c>
      <c r="BJ923" s="150" t="str">
        <f t="shared" si="622"/>
        <v/>
      </c>
      <c r="BK923" s="163" t="str">
        <f t="shared" si="617"/>
        <v/>
      </c>
      <c r="BL923" s="163" t="str">
        <f t="shared" si="623"/>
        <v/>
      </c>
      <c r="BM923" s="163" t="str">
        <f t="shared" si="618"/>
        <v/>
      </c>
      <c r="BN923" s="163" t="str">
        <f t="shared" si="624"/>
        <v/>
      </c>
      <c r="BO923" s="163" t="str">
        <f t="shared" si="625"/>
        <v/>
      </c>
      <c r="BP923" s="164" t="str">
        <f t="shared" si="619"/>
        <v/>
      </c>
      <c r="BQ923" s="164" t="str">
        <f t="shared" si="626"/>
        <v/>
      </c>
      <c r="BR923" s="154" t="str">
        <f t="shared" si="627"/>
        <v/>
      </c>
      <c r="BT923" s="147" t="str">
        <f t="shared" si="600"/>
        <v/>
      </c>
      <c r="BU923" s="164" t="str">
        <f>IF(AND($C922=12,$D922=Input!$C$6),0,IF($E923="","",BK923+(BL923+BU924)/(1+$AK923)*MIN((1-T923-U923),1)))</f>
        <v/>
      </c>
      <c r="BV923" s="164" t="str">
        <f t="shared" si="601"/>
        <v/>
      </c>
      <c r="BW923" s="164" t="str">
        <f t="shared" si="602"/>
        <v/>
      </c>
      <c r="BX923" s="164" t="str">
        <f t="shared" si="603"/>
        <v/>
      </c>
    </row>
    <row r="924" spans="1:76" s="150" customFormat="1" x14ac:dyDescent="0.25">
      <c r="A924" s="150" t="str">
        <f t="shared" si="614"/>
        <v/>
      </c>
      <c r="B924" s="150" t="str">
        <f t="shared" si="615"/>
        <v/>
      </c>
      <c r="C924" s="150" t="str">
        <f t="shared" si="616"/>
        <v/>
      </c>
      <c r="D924" s="150" t="str">
        <f>IF(E924="","",Input!$C$4+B924-1)</f>
        <v/>
      </c>
      <c r="E924" s="150" t="str">
        <f>IF(OR(AND(C923=12,D923=Input!$C$6),E923=""),"",1)</f>
        <v/>
      </c>
      <c r="F924" s="150" t="str">
        <f>IF(E924="","",Input!$C$8+B924-1)</f>
        <v/>
      </c>
      <c r="G924" s="151" t="str">
        <f>IF(E924="","",MAX(0,Input!$C$9-B924))</f>
        <v/>
      </c>
      <c r="H924" s="152" t="str">
        <f>IF(E924="","",Input!$C$3)</f>
        <v/>
      </c>
      <c r="I924" s="153" t="str">
        <f>IF(E924="","",HLOOKUP($B924,Input!$C$13:$BT$14,2))</f>
        <v/>
      </c>
      <c r="J924" s="154"/>
      <c r="K924" s="155" t="str">
        <f>IF($E924="","",INDEX(Input!$C$16:$CP$16,1,$B924))</f>
        <v/>
      </c>
      <c r="L924" s="155" t="str">
        <f>IF($E924="","",Input!$C$37)</f>
        <v/>
      </c>
      <c r="M924" s="155" t="str">
        <f t="shared" si="580"/>
        <v/>
      </c>
      <c r="N924" s="155" t="str">
        <f t="shared" si="581"/>
        <v/>
      </c>
      <c r="O924" s="147" t="str">
        <f>IF($E924="","",MIN(VLOOKUP(IF($B924&lt;=Input!$C$7,$B924,26),'Mortality Tables'!$A$41:$CW$67,IF($B924&lt;=Input!$C$7+1,Input!$C$4+2,$D924-Input!$C$7+2),0)*IF(B924&gt;20,Input!$C$22,1)/1000,1))</f>
        <v/>
      </c>
      <c r="P924" s="147" t="str">
        <f>IF($E924="","",MIN(VLOOKUP(IF($B924&lt;=Input!$C$7,$B924,26),'Mortality Tables'!$A$12:$CW$37,IF($B924&lt;=Input!$C$7+1,Input!$C$4+2,$D924-Input!$C$7+2),0)*IF(B924&gt;20,Input!$C$22,1)/1000,1))</f>
        <v/>
      </c>
      <c r="Q924" s="155" t="str">
        <f>IF($E924="","",Input!$C$21)</f>
        <v/>
      </c>
      <c r="R924" s="159" t="str">
        <f>IF($E924="","",(1-Q924)^($F924-Input!$C$20))</f>
        <v/>
      </c>
      <c r="S924" s="147" t="str">
        <f t="shared" si="583"/>
        <v/>
      </c>
      <c r="T924" s="147" t="str">
        <f t="shared" si="584"/>
        <v/>
      </c>
      <c r="U924" s="160" t="str">
        <f>IF($E924="","",IF($C924=12,INDEX(Input!$C$15:$CP$15,1,$B924),0))</f>
        <v/>
      </c>
      <c r="V924" s="150" t="str">
        <f>IF(E924="","",IF(C924=1,IF($B924=1,Input!$C$33,Input!$C$34),0))</f>
        <v/>
      </c>
      <c r="W924" s="156" t="str">
        <f>IF($E924="","",Input!$C$35)</f>
        <v/>
      </c>
      <c r="X924" s="156" t="str">
        <f t="shared" si="582"/>
        <v/>
      </c>
      <c r="Y924" s="154"/>
      <c r="Z924" s="147" t="str">
        <f>IF($E924="","",VLOOKUP($D924,'Mortality Margins &amp; Grading'!$AB$5:$AF$125,3,0)*IF(Summary!$D$25="Included Margin",IF(AND($B924&gt;Input!$C$9,Summary!$D$31&lt;&gt;"Included Margin"),0,1),0))</f>
        <v/>
      </c>
      <c r="AA924" s="147" t="str">
        <f>IF($E924="","",VLOOKUP($D924,'Mortality Margins &amp; Grading'!$AB$5:$AF$125,5,0)*IF(Summary!$D$25="Included Margin",IF(AND($B924&gt;Input!$C$9,Summary!$D$31&lt;&gt;"Included Margin"),0,1),0))</f>
        <v/>
      </c>
      <c r="AB924" s="147" t="str">
        <f>IF($E924="","",IF(AND($B924&gt;Input!$C$9,Summary!$D$31&lt;&gt;"Included Margin"),1,IF(Summary!$D$25="Included Margin",VLOOKUP($B924,'Mortality Margins &amp; Grading'!$AI$5:$AR$125,MATCH('Mortality Margins &amp; Grading'!$AQ$4,'Mortality Margins &amp; Grading'!$AI$4:$AR$4,0),0),1)))</f>
        <v/>
      </c>
      <c r="AC924" s="154"/>
      <c r="AD924" s="158" t="str">
        <f>IF(E924="","",Input!$C$48*IF(Summary!$D$30="Included Margin",IF(AND($B924&gt;Input!$C$9,Summary!$D$31&lt;&gt;"Included Margin"),0,1),0))</f>
        <v/>
      </c>
      <c r="AE924" s="159" t="str">
        <f>IF(E924="","",IF(Summary!$D$26="Included Margin",IF(AND($B924&gt;Input!$C$9,Summary!$D$31&lt;&gt;"Included Margin"),1,1/$R924),1))</f>
        <v/>
      </c>
      <c r="AF924" s="160" t="str">
        <f>IF(E924="","",IF(AND($B924&gt;=Input!$C$9,$C924=12,Summary!$D$31="Included Margin",$U924&gt;0),1/U924-1,IF($B924&gt;=Input!$C$9,0,Input!$C$45*IF(Summary!$D$27="Included Margin",1,0))))</f>
        <v/>
      </c>
      <c r="AG924" s="160" t="str">
        <f>IF(E924="","",Input!$C$46*IF(Summary!$D$28="Included Margin",IF(AND($B924&gt;Input!$C$9,Summary!$D$31&lt;&gt;"Included Margin"),0,1),0))</f>
        <v/>
      </c>
      <c r="AH924" s="158" t="str">
        <f>IF(E924="","",Input!$C$47*IF(Summary!$D$29="Included Margin",IF(AND($B924&gt;Input!$C$9,Summary!$D$31&lt;&gt;"Included Margin"),0,1),0))</f>
        <v/>
      </c>
      <c r="AI924" s="154"/>
      <c r="AJ924" s="158" t="str">
        <f t="shared" si="604"/>
        <v/>
      </c>
      <c r="AK924" s="155" t="str">
        <f t="shared" si="605"/>
        <v/>
      </c>
      <c r="AL924" s="147" t="str">
        <f t="shared" si="606"/>
        <v/>
      </c>
      <c r="AM924" s="147" t="str">
        <f t="shared" si="585"/>
        <v/>
      </c>
      <c r="AN924" s="160" t="str">
        <f t="shared" si="607"/>
        <v/>
      </c>
      <c r="AO924" s="161" t="str">
        <f t="shared" si="608"/>
        <v/>
      </c>
      <c r="AP924" s="156" t="str">
        <f t="shared" si="586"/>
        <v/>
      </c>
      <c r="AQ924" s="152"/>
      <c r="AR924" s="162" t="str">
        <f t="shared" si="587"/>
        <v/>
      </c>
      <c r="AS924" s="150" t="str">
        <f t="shared" si="609"/>
        <v/>
      </c>
      <c r="AT924" s="163" t="str">
        <f t="shared" si="588"/>
        <v/>
      </c>
      <c r="AU924" s="163" t="str">
        <f t="shared" si="589"/>
        <v/>
      </c>
      <c r="AV924" s="163" t="str">
        <f t="shared" si="610"/>
        <v/>
      </c>
      <c r="AW924" s="163" t="str">
        <f t="shared" si="590"/>
        <v/>
      </c>
      <c r="AX924" s="163" t="str">
        <f t="shared" si="591"/>
        <v/>
      </c>
      <c r="AY924" s="165" t="str">
        <f t="shared" si="611"/>
        <v/>
      </c>
      <c r="AZ924" s="164" t="str">
        <f>IF($E924="","",IF(OR(AND($D924=Input!$C$6,$C924=12),$AN924=1),0,-AS925+AT925+AU925-AV925-AW925-AX925+AZ925))</f>
        <v/>
      </c>
      <c r="BA924" s="154" t="str">
        <f t="shared" si="592"/>
        <v/>
      </c>
      <c r="BC924" s="147" t="str">
        <f t="shared" si="612"/>
        <v/>
      </c>
      <c r="BD924" s="164" t="str">
        <f>IF(AND($C923=12,$D923=Input!$C$6),0,IF($E924="","",AT924+(AU924+BD925)/(1+$AK924)*MIN((1-AM924-AN924),1)))</f>
        <v/>
      </c>
      <c r="BE924" s="164" t="str">
        <f t="shared" si="628"/>
        <v/>
      </c>
      <c r="BF924" s="164" t="str">
        <f t="shared" si="613"/>
        <v/>
      </c>
      <c r="BG924" s="164" t="str">
        <f t="shared" si="593"/>
        <v/>
      </c>
      <c r="BH924" s="152"/>
      <c r="BI924" s="162" t="str">
        <f t="shared" si="621"/>
        <v/>
      </c>
      <c r="BJ924" s="150" t="str">
        <f t="shared" si="622"/>
        <v/>
      </c>
      <c r="BK924" s="163" t="str">
        <f t="shared" si="617"/>
        <v/>
      </c>
      <c r="BL924" s="163" t="str">
        <f t="shared" si="623"/>
        <v/>
      </c>
      <c r="BM924" s="163" t="str">
        <f t="shared" si="618"/>
        <v/>
      </c>
      <c r="BN924" s="163" t="str">
        <f t="shared" si="624"/>
        <v/>
      </c>
      <c r="BO924" s="163" t="str">
        <f t="shared" si="625"/>
        <v/>
      </c>
      <c r="BP924" s="164" t="str">
        <f t="shared" si="619"/>
        <v/>
      </c>
      <c r="BQ924" s="164" t="str">
        <f t="shared" si="626"/>
        <v/>
      </c>
      <c r="BR924" s="154" t="str">
        <f t="shared" si="627"/>
        <v/>
      </c>
      <c r="BT924" s="147" t="str">
        <f t="shared" si="600"/>
        <v/>
      </c>
      <c r="BU924" s="164" t="str">
        <f>IF(AND($C923=12,$D923=Input!$C$6),0,IF($E924="","",BK924+(BL924+BU925)/(1+$AK924)*MIN((1-T924-U924),1)))</f>
        <v/>
      </c>
      <c r="BV924" s="164" t="str">
        <f t="shared" si="601"/>
        <v/>
      </c>
      <c r="BW924" s="164" t="str">
        <f t="shared" si="602"/>
        <v/>
      </c>
      <c r="BX924" s="164" t="str">
        <f t="shared" si="603"/>
        <v/>
      </c>
    </row>
    <row r="925" spans="1:76" s="150" customFormat="1" x14ac:dyDescent="0.25">
      <c r="A925" s="150" t="str">
        <f t="shared" si="614"/>
        <v/>
      </c>
      <c r="B925" s="150" t="str">
        <f t="shared" si="615"/>
        <v/>
      </c>
      <c r="C925" s="150" t="str">
        <f t="shared" si="616"/>
        <v/>
      </c>
      <c r="D925" s="150" t="str">
        <f>IF(E925="","",Input!$C$4+B925-1)</f>
        <v/>
      </c>
      <c r="E925" s="150" t="str">
        <f>IF(OR(AND(C924=12,D924=Input!$C$6),E924=""),"",1)</f>
        <v/>
      </c>
      <c r="F925" s="150" t="str">
        <f>IF(E925="","",Input!$C$8+B925-1)</f>
        <v/>
      </c>
      <c r="G925" s="151" t="str">
        <f>IF(E925="","",MAX(0,Input!$C$9-B925))</f>
        <v/>
      </c>
      <c r="H925" s="152" t="str">
        <f>IF(E925="","",Input!$C$3)</f>
        <v/>
      </c>
      <c r="I925" s="153" t="str">
        <f>IF(E925="","",HLOOKUP($B925,Input!$C$13:$BT$14,2))</f>
        <v/>
      </c>
      <c r="J925" s="154"/>
      <c r="K925" s="155" t="str">
        <f>IF($E925="","",INDEX(Input!$C$16:$CP$16,1,$B925))</f>
        <v/>
      </c>
      <c r="L925" s="155" t="str">
        <f>IF($E925="","",Input!$C$37)</f>
        <v/>
      </c>
      <c r="M925" s="155" t="str">
        <f t="shared" si="580"/>
        <v/>
      </c>
      <c r="N925" s="155" t="str">
        <f t="shared" si="581"/>
        <v/>
      </c>
      <c r="O925" s="147" t="str">
        <f>IF($E925="","",MIN(VLOOKUP(IF($B925&lt;=Input!$C$7,$B925,26),'Mortality Tables'!$A$41:$CW$67,IF($B925&lt;=Input!$C$7+1,Input!$C$4+2,$D925-Input!$C$7+2),0)*IF(B925&gt;20,Input!$C$22,1)/1000,1))</f>
        <v/>
      </c>
      <c r="P925" s="147" t="str">
        <f>IF($E925="","",MIN(VLOOKUP(IF($B925&lt;=Input!$C$7,$B925,26),'Mortality Tables'!$A$12:$CW$37,IF($B925&lt;=Input!$C$7+1,Input!$C$4+2,$D925-Input!$C$7+2),0)*IF(B925&gt;20,Input!$C$22,1)/1000,1))</f>
        <v/>
      </c>
      <c r="Q925" s="155" t="str">
        <f>IF($E925="","",Input!$C$21)</f>
        <v/>
      </c>
      <c r="R925" s="159" t="str">
        <f>IF($E925="","",(1-Q925)^($F925-Input!$C$20))</f>
        <v/>
      </c>
      <c r="S925" s="147" t="str">
        <f t="shared" si="583"/>
        <v/>
      </c>
      <c r="T925" s="147" t="str">
        <f t="shared" si="584"/>
        <v/>
      </c>
      <c r="U925" s="160" t="str">
        <f>IF($E925="","",IF($C925=12,INDEX(Input!$C$15:$CP$15,1,$B925),0))</f>
        <v/>
      </c>
      <c r="V925" s="150" t="str">
        <f>IF(E925="","",IF(C925=1,IF($B925=1,Input!$C$33,Input!$C$34),0))</f>
        <v/>
      </c>
      <c r="W925" s="156" t="str">
        <f>IF($E925="","",Input!$C$35)</f>
        <v/>
      </c>
      <c r="X925" s="156" t="str">
        <f t="shared" si="582"/>
        <v/>
      </c>
      <c r="Y925" s="154"/>
      <c r="Z925" s="147" t="str">
        <f>IF($E925="","",VLOOKUP($D925,'Mortality Margins &amp; Grading'!$AB$5:$AF$125,3,0)*IF(Summary!$D$25="Included Margin",IF(AND($B925&gt;Input!$C$9,Summary!$D$31&lt;&gt;"Included Margin"),0,1),0))</f>
        <v/>
      </c>
      <c r="AA925" s="147" t="str">
        <f>IF($E925="","",VLOOKUP($D925,'Mortality Margins &amp; Grading'!$AB$5:$AF$125,5,0)*IF(Summary!$D$25="Included Margin",IF(AND($B925&gt;Input!$C$9,Summary!$D$31&lt;&gt;"Included Margin"),0,1),0))</f>
        <v/>
      </c>
      <c r="AB925" s="147" t="str">
        <f>IF($E925="","",IF(AND($B925&gt;Input!$C$9,Summary!$D$31&lt;&gt;"Included Margin"),1,IF(Summary!$D$25="Included Margin",VLOOKUP($B925,'Mortality Margins &amp; Grading'!$AI$5:$AR$125,MATCH('Mortality Margins &amp; Grading'!$AQ$4,'Mortality Margins &amp; Grading'!$AI$4:$AR$4,0),0),1)))</f>
        <v/>
      </c>
      <c r="AC925" s="154"/>
      <c r="AD925" s="158" t="str">
        <f>IF(E925="","",Input!$C$48*IF(Summary!$D$30="Included Margin",IF(AND($B925&gt;Input!$C$9,Summary!$D$31&lt;&gt;"Included Margin"),0,1),0))</f>
        <v/>
      </c>
      <c r="AE925" s="159" t="str">
        <f>IF(E925="","",IF(Summary!$D$26="Included Margin",IF(AND($B925&gt;Input!$C$9,Summary!$D$31&lt;&gt;"Included Margin"),1,1/$R925),1))</f>
        <v/>
      </c>
      <c r="AF925" s="160" t="str">
        <f>IF(E925="","",IF(AND($B925&gt;=Input!$C$9,$C925=12,Summary!$D$31="Included Margin",$U925&gt;0),1/U925-1,IF($B925&gt;=Input!$C$9,0,Input!$C$45*IF(Summary!$D$27="Included Margin",1,0))))</f>
        <v/>
      </c>
      <c r="AG925" s="160" t="str">
        <f>IF(E925="","",Input!$C$46*IF(Summary!$D$28="Included Margin",IF(AND($B925&gt;Input!$C$9,Summary!$D$31&lt;&gt;"Included Margin"),0,1),0))</f>
        <v/>
      </c>
      <c r="AH925" s="158" t="str">
        <f>IF(E925="","",Input!$C$47*IF(Summary!$D$29="Included Margin",IF(AND($B925&gt;Input!$C$9,Summary!$D$31&lt;&gt;"Included Margin"),0,1),0))</f>
        <v/>
      </c>
      <c r="AI925" s="154"/>
      <c r="AJ925" s="158" t="str">
        <f t="shared" si="604"/>
        <v/>
      </c>
      <c r="AK925" s="155" t="str">
        <f t="shared" si="605"/>
        <v/>
      </c>
      <c r="AL925" s="147" t="str">
        <f t="shared" si="606"/>
        <v/>
      </c>
      <c r="AM925" s="147" t="str">
        <f t="shared" si="585"/>
        <v/>
      </c>
      <c r="AN925" s="160" t="str">
        <f t="shared" si="607"/>
        <v/>
      </c>
      <c r="AO925" s="161" t="str">
        <f t="shared" si="608"/>
        <v/>
      </c>
      <c r="AP925" s="156" t="str">
        <f t="shared" si="586"/>
        <v/>
      </c>
      <c r="AQ925" s="152"/>
      <c r="AR925" s="162" t="str">
        <f t="shared" si="587"/>
        <v/>
      </c>
      <c r="AS925" s="150" t="str">
        <f t="shared" si="609"/>
        <v/>
      </c>
      <c r="AT925" s="163" t="str">
        <f t="shared" si="588"/>
        <v/>
      </c>
      <c r="AU925" s="163" t="str">
        <f t="shared" si="589"/>
        <v/>
      </c>
      <c r="AV925" s="163" t="str">
        <f t="shared" si="610"/>
        <v/>
      </c>
      <c r="AW925" s="163" t="str">
        <f t="shared" si="590"/>
        <v/>
      </c>
      <c r="AX925" s="163" t="str">
        <f t="shared" si="591"/>
        <v/>
      </c>
      <c r="AY925" s="164" t="str">
        <f t="shared" si="611"/>
        <v/>
      </c>
      <c r="AZ925" s="164" t="str">
        <f>IF($E925="","",IF(OR(AND($D925=Input!$C$6,$C925=12),$AN925=1),0,-AS926+AT926+AU926-AV926-AW926-AX926+AZ926))</f>
        <v/>
      </c>
      <c r="BA925" s="154" t="str">
        <f t="shared" si="592"/>
        <v/>
      </c>
      <c r="BC925" s="147" t="str">
        <f t="shared" si="612"/>
        <v/>
      </c>
      <c r="BD925" s="164" t="str">
        <f>IF(AND($C924=12,$D924=Input!$C$6),0,IF($E925="","",AT925+(AU925+BD926)/(1+$AK925)*MIN((1-AM925-AN925),1)))</f>
        <v/>
      </c>
      <c r="BE925" s="164" t="str">
        <f t="shared" si="628"/>
        <v/>
      </c>
      <c r="BF925" s="164" t="str">
        <f t="shared" si="613"/>
        <v/>
      </c>
      <c r="BG925" s="164" t="str">
        <f t="shared" si="593"/>
        <v/>
      </c>
      <c r="BH925" s="152"/>
      <c r="BI925" s="162" t="str">
        <f t="shared" si="621"/>
        <v/>
      </c>
      <c r="BJ925" s="150" t="str">
        <f t="shared" si="622"/>
        <v/>
      </c>
      <c r="BK925" s="163" t="str">
        <f t="shared" si="617"/>
        <v/>
      </c>
      <c r="BL925" s="163" t="str">
        <f t="shared" si="623"/>
        <v/>
      </c>
      <c r="BM925" s="163" t="str">
        <f t="shared" si="618"/>
        <v/>
      </c>
      <c r="BN925" s="163" t="str">
        <f t="shared" si="624"/>
        <v/>
      </c>
      <c r="BO925" s="163" t="str">
        <f t="shared" si="625"/>
        <v/>
      </c>
      <c r="BP925" s="164" t="str">
        <f t="shared" si="619"/>
        <v/>
      </c>
      <c r="BQ925" s="164" t="str">
        <f t="shared" si="626"/>
        <v/>
      </c>
      <c r="BR925" s="154" t="str">
        <f t="shared" si="627"/>
        <v/>
      </c>
      <c r="BT925" s="147" t="str">
        <f t="shared" si="600"/>
        <v/>
      </c>
      <c r="BU925" s="164" t="str">
        <f>IF(AND($C924=12,$D924=Input!$C$6),0,IF($E925="","",BK925+(BL925+BU926)/(1+$AK925)*MIN((1-T925-U925),1)))</f>
        <v/>
      </c>
      <c r="BV925" s="164" t="str">
        <f t="shared" si="601"/>
        <v/>
      </c>
      <c r="BW925" s="164" t="str">
        <f t="shared" si="602"/>
        <v/>
      </c>
      <c r="BX925" s="164" t="str">
        <f t="shared" si="603"/>
        <v/>
      </c>
    </row>
    <row r="926" spans="1:76" s="150" customFormat="1" x14ac:dyDescent="0.25">
      <c r="A926" s="150" t="str">
        <f t="shared" si="614"/>
        <v/>
      </c>
      <c r="B926" s="150" t="str">
        <f t="shared" si="615"/>
        <v/>
      </c>
      <c r="C926" s="150" t="str">
        <f t="shared" si="616"/>
        <v/>
      </c>
      <c r="D926" s="150" t="str">
        <f>IF(E926="","",Input!$C$4+B926-1)</f>
        <v/>
      </c>
      <c r="E926" s="150" t="str">
        <f>IF(OR(AND(C925=12,D925=Input!$C$6),E925=""),"",1)</f>
        <v/>
      </c>
      <c r="F926" s="150" t="str">
        <f>IF(E926="","",Input!$C$8+B926-1)</f>
        <v/>
      </c>
      <c r="G926" s="151" t="str">
        <f>IF(E926="","",MAX(0,Input!$C$9-B926))</f>
        <v/>
      </c>
      <c r="H926" s="152" t="str">
        <f>IF(E926="","",Input!$C$3)</f>
        <v/>
      </c>
      <c r="I926" s="153" t="str">
        <f>IF(E926="","",HLOOKUP($B926,Input!$C$13:$BT$14,2))</f>
        <v/>
      </c>
      <c r="J926" s="154"/>
      <c r="K926" s="155" t="str">
        <f>IF($E926="","",INDEX(Input!$C$16:$CP$16,1,$B926))</f>
        <v/>
      </c>
      <c r="L926" s="155" t="str">
        <f>IF($E926="","",Input!$C$37)</f>
        <v/>
      </c>
      <c r="M926" s="155" t="str">
        <f t="shared" si="580"/>
        <v/>
      </c>
      <c r="N926" s="155" t="str">
        <f t="shared" si="581"/>
        <v/>
      </c>
      <c r="O926" s="147" t="str">
        <f>IF($E926="","",MIN(VLOOKUP(IF($B926&lt;=Input!$C$7,$B926,26),'Mortality Tables'!$A$41:$CW$67,IF($B926&lt;=Input!$C$7+1,Input!$C$4+2,$D926-Input!$C$7+2),0)*IF(B926&gt;20,Input!$C$22,1)/1000,1))</f>
        <v/>
      </c>
      <c r="P926" s="147" t="str">
        <f>IF($E926="","",MIN(VLOOKUP(IF($B926&lt;=Input!$C$7,$B926,26),'Mortality Tables'!$A$12:$CW$37,IF($B926&lt;=Input!$C$7+1,Input!$C$4+2,$D926-Input!$C$7+2),0)*IF(B926&gt;20,Input!$C$22,1)/1000,1))</f>
        <v/>
      </c>
      <c r="Q926" s="155" t="str">
        <f>IF($E926="","",Input!$C$21)</f>
        <v/>
      </c>
      <c r="R926" s="159" t="str">
        <f>IF($E926="","",(1-Q926)^($F926-Input!$C$20))</f>
        <v/>
      </c>
      <c r="S926" s="147" t="str">
        <f t="shared" si="583"/>
        <v/>
      </c>
      <c r="T926" s="147" t="str">
        <f t="shared" si="584"/>
        <v/>
      </c>
      <c r="U926" s="160" t="str">
        <f>IF($E926="","",IF($C926=12,INDEX(Input!$C$15:$CP$15,1,$B926),0))</f>
        <v/>
      </c>
      <c r="V926" s="150" t="str">
        <f>IF(E926="","",IF(C926=1,IF($B926=1,Input!$C$33,Input!$C$34),0))</f>
        <v/>
      </c>
      <c r="W926" s="156" t="str">
        <f>IF($E926="","",Input!$C$35)</f>
        <v/>
      </c>
      <c r="X926" s="156" t="str">
        <f t="shared" si="582"/>
        <v/>
      </c>
      <c r="Y926" s="154"/>
      <c r="Z926" s="147" t="str">
        <f>IF($E926="","",VLOOKUP($D926,'Mortality Margins &amp; Grading'!$AB$5:$AF$125,3,0)*IF(Summary!$D$25="Included Margin",IF(AND($B926&gt;Input!$C$9,Summary!$D$31&lt;&gt;"Included Margin"),0,1),0))</f>
        <v/>
      </c>
      <c r="AA926" s="147" t="str">
        <f>IF($E926="","",VLOOKUP($D926,'Mortality Margins &amp; Grading'!$AB$5:$AF$125,5,0)*IF(Summary!$D$25="Included Margin",IF(AND($B926&gt;Input!$C$9,Summary!$D$31&lt;&gt;"Included Margin"),0,1),0))</f>
        <v/>
      </c>
      <c r="AB926" s="147" t="str">
        <f>IF($E926="","",IF(AND($B926&gt;Input!$C$9,Summary!$D$31&lt;&gt;"Included Margin"),1,IF(Summary!$D$25="Included Margin",VLOOKUP($B926,'Mortality Margins &amp; Grading'!$AI$5:$AR$125,MATCH('Mortality Margins &amp; Grading'!$AQ$4,'Mortality Margins &amp; Grading'!$AI$4:$AR$4,0),0),1)))</f>
        <v/>
      </c>
      <c r="AC926" s="154"/>
      <c r="AD926" s="158" t="str">
        <f>IF(E926="","",Input!$C$48*IF(Summary!$D$30="Included Margin",IF(AND($B926&gt;Input!$C$9,Summary!$D$31&lt;&gt;"Included Margin"),0,1),0))</f>
        <v/>
      </c>
      <c r="AE926" s="159" t="str">
        <f>IF(E926="","",IF(Summary!$D$26="Included Margin",IF(AND($B926&gt;Input!$C$9,Summary!$D$31&lt;&gt;"Included Margin"),1,1/$R926),1))</f>
        <v/>
      </c>
      <c r="AF926" s="160" t="str">
        <f>IF(E926="","",IF(AND($B926&gt;=Input!$C$9,$C926=12,Summary!$D$31="Included Margin",$U926&gt;0),1/U926-1,IF($B926&gt;=Input!$C$9,0,Input!$C$45*IF(Summary!$D$27="Included Margin",1,0))))</f>
        <v/>
      </c>
      <c r="AG926" s="160" t="str">
        <f>IF(E926="","",Input!$C$46*IF(Summary!$D$28="Included Margin",IF(AND($B926&gt;Input!$C$9,Summary!$D$31&lt;&gt;"Included Margin"),0,1),0))</f>
        <v/>
      </c>
      <c r="AH926" s="158" t="str">
        <f>IF(E926="","",Input!$C$47*IF(Summary!$D$29="Included Margin",IF(AND($B926&gt;Input!$C$9,Summary!$D$31&lt;&gt;"Included Margin"),0,1),0))</f>
        <v/>
      </c>
      <c r="AI926" s="154"/>
      <c r="AJ926" s="158" t="str">
        <f t="shared" si="604"/>
        <v/>
      </c>
      <c r="AK926" s="155" t="str">
        <f t="shared" si="605"/>
        <v/>
      </c>
      <c r="AL926" s="147" t="str">
        <f t="shared" si="606"/>
        <v/>
      </c>
      <c r="AM926" s="147" t="str">
        <f t="shared" si="585"/>
        <v/>
      </c>
      <c r="AN926" s="160" t="str">
        <f t="shared" si="607"/>
        <v/>
      </c>
      <c r="AO926" s="161" t="str">
        <f t="shared" si="608"/>
        <v/>
      </c>
      <c r="AP926" s="156" t="str">
        <f t="shared" si="586"/>
        <v/>
      </c>
      <c r="AQ926" s="152"/>
      <c r="AR926" s="162" t="str">
        <f t="shared" si="587"/>
        <v/>
      </c>
      <c r="AS926" s="150" t="str">
        <f t="shared" si="609"/>
        <v/>
      </c>
      <c r="AT926" s="163" t="str">
        <f t="shared" si="588"/>
        <v/>
      </c>
      <c r="AU926" s="163" t="str">
        <f t="shared" si="589"/>
        <v/>
      </c>
      <c r="AV926" s="163" t="str">
        <f t="shared" si="610"/>
        <v/>
      </c>
      <c r="AW926" s="163" t="str">
        <f t="shared" si="590"/>
        <v/>
      </c>
      <c r="AX926" s="163" t="str">
        <f t="shared" si="591"/>
        <v/>
      </c>
      <c r="AY926" s="165" t="str">
        <f t="shared" si="611"/>
        <v/>
      </c>
      <c r="AZ926" s="164" t="str">
        <f>IF($E926="","",IF(OR(AND($D926=Input!$C$6,$C926=12),$AN926=1),0,-AS927+AT927+AU927-AV927-AW927-AX927+AZ927))</f>
        <v/>
      </c>
      <c r="BA926" s="154" t="str">
        <f t="shared" si="592"/>
        <v/>
      </c>
      <c r="BC926" s="147" t="str">
        <f t="shared" si="612"/>
        <v/>
      </c>
      <c r="BD926" s="164" t="str">
        <f>IF(AND($C925=12,$D925=Input!$C$6),0,IF($E926="","",AT926+(AU926+BD927)/(1+$AK926)*MIN((1-AM926-AN926),1)))</f>
        <v/>
      </c>
      <c r="BE926" s="164" t="str">
        <f t="shared" si="628"/>
        <v/>
      </c>
      <c r="BF926" s="164" t="str">
        <f t="shared" si="613"/>
        <v/>
      </c>
      <c r="BG926" s="164" t="str">
        <f t="shared" si="593"/>
        <v/>
      </c>
      <c r="BH926" s="152"/>
      <c r="BI926" s="162" t="str">
        <f t="shared" si="621"/>
        <v/>
      </c>
      <c r="BJ926" s="150" t="str">
        <f t="shared" si="622"/>
        <v/>
      </c>
      <c r="BK926" s="163" t="str">
        <f t="shared" si="617"/>
        <v/>
      </c>
      <c r="BL926" s="163" t="str">
        <f t="shared" si="623"/>
        <v/>
      </c>
      <c r="BM926" s="163" t="str">
        <f t="shared" si="618"/>
        <v/>
      </c>
      <c r="BN926" s="163" t="str">
        <f t="shared" si="624"/>
        <v/>
      </c>
      <c r="BO926" s="163" t="str">
        <f t="shared" si="625"/>
        <v/>
      </c>
      <c r="BP926" s="164" t="str">
        <f t="shared" si="619"/>
        <v/>
      </c>
      <c r="BQ926" s="164" t="str">
        <f t="shared" si="626"/>
        <v/>
      </c>
      <c r="BR926" s="154" t="str">
        <f t="shared" si="627"/>
        <v/>
      </c>
      <c r="BT926" s="147" t="str">
        <f t="shared" si="600"/>
        <v/>
      </c>
      <c r="BU926" s="164" t="str">
        <f>IF(AND($C925=12,$D925=Input!$C$6),0,IF($E926="","",BK926+(BL926+BU927)/(1+$AK926)*MIN((1-T926-U926),1)))</f>
        <v/>
      </c>
      <c r="BV926" s="164" t="str">
        <f t="shared" si="601"/>
        <v/>
      </c>
      <c r="BW926" s="164" t="str">
        <f t="shared" si="602"/>
        <v/>
      </c>
      <c r="BX926" s="164" t="str">
        <f t="shared" si="603"/>
        <v/>
      </c>
    </row>
    <row r="927" spans="1:76" s="150" customFormat="1" x14ac:dyDescent="0.25">
      <c r="A927" s="150" t="str">
        <f t="shared" si="614"/>
        <v/>
      </c>
      <c r="B927" s="150" t="str">
        <f t="shared" si="615"/>
        <v/>
      </c>
      <c r="C927" s="150" t="str">
        <f t="shared" si="616"/>
        <v/>
      </c>
      <c r="D927" s="150" t="str">
        <f>IF(E927="","",Input!$C$4+B927-1)</f>
        <v/>
      </c>
      <c r="E927" s="150" t="str">
        <f>IF(OR(AND(C926=12,D926=Input!$C$6),E926=""),"",1)</f>
        <v/>
      </c>
      <c r="F927" s="150" t="str">
        <f>IF(E927="","",Input!$C$8+B927-1)</f>
        <v/>
      </c>
      <c r="G927" s="151" t="str">
        <f>IF(E927="","",MAX(0,Input!$C$9-B927))</f>
        <v/>
      </c>
      <c r="H927" s="152" t="str">
        <f>IF(E927="","",Input!$C$3)</f>
        <v/>
      </c>
      <c r="I927" s="153" t="str">
        <f>IF(E927="","",HLOOKUP($B927,Input!$C$13:$BT$14,2))</f>
        <v/>
      </c>
      <c r="J927" s="154"/>
      <c r="K927" s="155" t="str">
        <f>IF($E927="","",INDEX(Input!$C$16:$CP$16,1,$B927))</f>
        <v/>
      </c>
      <c r="L927" s="155" t="str">
        <f>IF($E927="","",Input!$C$37)</f>
        <v/>
      </c>
      <c r="M927" s="155" t="str">
        <f t="shared" si="580"/>
        <v/>
      </c>
      <c r="N927" s="155" t="str">
        <f t="shared" si="581"/>
        <v/>
      </c>
      <c r="O927" s="147" t="str">
        <f>IF($E927="","",MIN(VLOOKUP(IF($B927&lt;=Input!$C$7,$B927,26),'Mortality Tables'!$A$41:$CW$67,IF($B927&lt;=Input!$C$7+1,Input!$C$4+2,$D927-Input!$C$7+2),0)*IF(B927&gt;20,Input!$C$22,1)/1000,1))</f>
        <v/>
      </c>
      <c r="P927" s="147" t="str">
        <f>IF($E927="","",MIN(VLOOKUP(IF($B927&lt;=Input!$C$7,$B927,26),'Mortality Tables'!$A$12:$CW$37,IF($B927&lt;=Input!$C$7+1,Input!$C$4+2,$D927-Input!$C$7+2),0)*IF(B927&gt;20,Input!$C$22,1)/1000,1))</f>
        <v/>
      </c>
      <c r="Q927" s="155" t="str">
        <f>IF($E927="","",Input!$C$21)</f>
        <v/>
      </c>
      <c r="R927" s="159" t="str">
        <f>IF($E927="","",(1-Q927)^($F927-Input!$C$20))</f>
        <v/>
      </c>
      <c r="S927" s="147" t="str">
        <f t="shared" si="583"/>
        <v/>
      </c>
      <c r="T927" s="147" t="str">
        <f t="shared" si="584"/>
        <v/>
      </c>
      <c r="U927" s="160" t="str">
        <f>IF($E927="","",IF($C927=12,INDEX(Input!$C$15:$CP$15,1,$B927),0))</f>
        <v/>
      </c>
      <c r="V927" s="150" t="str">
        <f>IF(E927="","",IF(C927=1,IF($B927=1,Input!$C$33,Input!$C$34),0))</f>
        <v/>
      </c>
      <c r="W927" s="156" t="str">
        <f>IF($E927="","",Input!$C$35)</f>
        <v/>
      </c>
      <c r="X927" s="156" t="str">
        <f t="shared" si="582"/>
        <v/>
      </c>
      <c r="Y927" s="154"/>
      <c r="Z927" s="147" t="str">
        <f>IF($E927="","",VLOOKUP($D927,'Mortality Margins &amp; Grading'!$AB$5:$AF$125,3,0)*IF(Summary!$D$25="Included Margin",IF(AND($B927&gt;Input!$C$9,Summary!$D$31&lt;&gt;"Included Margin"),0,1),0))</f>
        <v/>
      </c>
      <c r="AA927" s="147" t="str">
        <f>IF($E927="","",VLOOKUP($D927,'Mortality Margins &amp; Grading'!$AB$5:$AF$125,5,0)*IF(Summary!$D$25="Included Margin",IF(AND($B927&gt;Input!$C$9,Summary!$D$31&lt;&gt;"Included Margin"),0,1),0))</f>
        <v/>
      </c>
      <c r="AB927" s="147" t="str">
        <f>IF($E927="","",IF(AND($B927&gt;Input!$C$9,Summary!$D$31&lt;&gt;"Included Margin"),1,IF(Summary!$D$25="Included Margin",VLOOKUP($B927,'Mortality Margins &amp; Grading'!$AI$5:$AR$125,MATCH('Mortality Margins &amp; Grading'!$AQ$4,'Mortality Margins &amp; Grading'!$AI$4:$AR$4,0),0),1)))</f>
        <v/>
      </c>
      <c r="AC927" s="154"/>
      <c r="AD927" s="158" t="str">
        <f>IF(E927="","",Input!$C$48*IF(Summary!$D$30="Included Margin",IF(AND($B927&gt;Input!$C$9,Summary!$D$31&lt;&gt;"Included Margin"),0,1),0))</f>
        <v/>
      </c>
      <c r="AE927" s="159" t="str">
        <f>IF(E927="","",IF(Summary!$D$26="Included Margin",IF(AND($B927&gt;Input!$C$9,Summary!$D$31&lt;&gt;"Included Margin"),1,1/$R927),1))</f>
        <v/>
      </c>
      <c r="AF927" s="160" t="str">
        <f>IF(E927="","",IF(AND($B927&gt;=Input!$C$9,$C927=12,Summary!$D$31="Included Margin",$U927&gt;0),1/U927-1,IF($B927&gt;=Input!$C$9,0,Input!$C$45*IF(Summary!$D$27="Included Margin",1,0))))</f>
        <v/>
      </c>
      <c r="AG927" s="160" t="str">
        <f>IF(E927="","",Input!$C$46*IF(Summary!$D$28="Included Margin",IF(AND($B927&gt;Input!$C$9,Summary!$D$31&lt;&gt;"Included Margin"),0,1),0))</f>
        <v/>
      </c>
      <c r="AH927" s="158" t="str">
        <f>IF(E927="","",Input!$C$47*IF(Summary!$D$29="Included Margin",IF(AND($B927&gt;Input!$C$9,Summary!$D$31&lt;&gt;"Included Margin"),0,1),0))</f>
        <v/>
      </c>
      <c r="AI927" s="154"/>
      <c r="AJ927" s="158" t="str">
        <f t="shared" si="604"/>
        <v/>
      </c>
      <c r="AK927" s="155" t="str">
        <f t="shared" si="605"/>
        <v/>
      </c>
      <c r="AL927" s="147" t="str">
        <f t="shared" si="606"/>
        <v/>
      </c>
      <c r="AM927" s="147" t="str">
        <f t="shared" si="585"/>
        <v/>
      </c>
      <c r="AN927" s="160" t="str">
        <f t="shared" si="607"/>
        <v/>
      </c>
      <c r="AO927" s="161" t="str">
        <f t="shared" si="608"/>
        <v/>
      </c>
      <c r="AP927" s="156" t="str">
        <f t="shared" si="586"/>
        <v/>
      </c>
      <c r="AQ927" s="152"/>
      <c r="AR927" s="162" t="str">
        <f t="shared" si="587"/>
        <v/>
      </c>
      <c r="AS927" s="150" t="str">
        <f t="shared" si="609"/>
        <v/>
      </c>
      <c r="AT927" s="163" t="str">
        <f t="shared" si="588"/>
        <v/>
      </c>
      <c r="AU927" s="163" t="str">
        <f t="shared" si="589"/>
        <v/>
      </c>
      <c r="AV927" s="163" t="str">
        <f t="shared" si="610"/>
        <v/>
      </c>
      <c r="AW927" s="163" t="str">
        <f t="shared" si="590"/>
        <v/>
      </c>
      <c r="AX927" s="163" t="str">
        <f t="shared" si="591"/>
        <v/>
      </c>
      <c r="AY927" s="164" t="str">
        <f t="shared" si="611"/>
        <v/>
      </c>
      <c r="AZ927" s="164" t="str">
        <f>IF($E927="","",IF(OR(AND($D927=Input!$C$6,$C927=12),$AN927=1),0,-AS928+AT928+AU928-AV928-AW928-AX928+AZ928))</f>
        <v/>
      </c>
      <c r="BA927" s="154" t="str">
        <f t="shared" si="592"/>
        <v/>
      </c>
      <c r="BC927" s="147" t="str">
        <f t="shared" si="612"/>
        <v/>
      </c>
      <c r="BD927" s="164" t="str">
        <f>IF(AND($C926=12,$D926=Input!$C$6),0,IF($E927="","",AT927+(AU927+BD928)/(1+$AK927)*MIN((1-AM927-AN927),1)))</f>
        <v/>
      </c>
      <c r="BE927" s="164" t="str">
        <f t="shared" si="628"/>
        <v/>
      </c>
      <c r="BF927" s="164" t="str">
        <f t="shared" si="613"/>
        <v/>
      </c>
      <c r="BG927" s="164" t="str">
        <f t="shared" si="593"/>
        <v/>
      </c>
      <c r="BH927" s="152"/>
      <c r="BI927" s="162" t="str">
        <f t="shared" si="621"/>
        <v/>
      </c>
      <c r="BJ927" s="150" t="str">
        <f t="shared" si="622"/>
        <v/>
      </c>
      <c r="BK927" s="163" t="str">
        <f t="shared" si="617"/>
        <v/>
      </c>
      <c r="BL927" s="163" t="str">
        <f t="shared" si="623"/>
        <v/>
      </c>
      <c r="BM927" s="163" t="str">
        <f t="shared" si="618"/>
        <v/>
      </c>
      <c r="BN927" s="163" t="str">
        <f t="shared" si="624"/>
        <v/>
      </c>
      <c r="BO927" s="163" t="str">
        <f t="shared" si="625"/>
        <v/>
      </c>
      <c r="BP927" s="164" t="str">
        <f t="shared" si="619"/>
        <v/>
      </c>
      <c r="BQ927" s="164" t="str">
        <f t="shared" si="626"/>
        <v/>
      </c>
      <c r="BR927" s="154" t="str">
        <f t="shared" si="627"/>
        <v/>
      </c>
      <c r="BT927" s="147" t="str">
        <f t="shared" si="600"/>
        <v/>
      </c>
      <c r="BU927" s="164" t="str">
        <f>IF(AND($C926=12,$D926=Input!$C$6),0,IF($E927="","",BK927+(BL927+BU928)/(1+$AK927)*MIN((1-T927-U927),1)))</f>
        <v/>
      </c>
      <c r="BV927" s="164" t="str">
        <f t="shared" si="601"/>
        <v/>
      </c>
      <c r="BW927" s="164" t="str">
        <f t="shared" si="602"/>
        <v/>
      </c>
      <c r="BX927" s="164" t="str">
        <f t="shared" si="603"/>
        <v/>
      </c>
    </row>
    <row r="928" spans="1:76" s="150" customFormat="1" x14ac:dyDescent="0.25">
      <c r="A928" s="150" t="str">
        <f t="shared" si="614"/>
        <v/>
      </c>
      <c r="B928" s="150" t="str">
        <f t="shared" si="615"/>
        <v/>
      </c>
      <c r="C928" s="150" t="str">
        <f t="shared" si="616"/>
        <v/>
      </c>
      <c r="D928" s="150" t="str">
        <f>IF(E928="","",Input!$C$4+B928-1)</f>
        <v/>
      </c>
      <c r="E928" s="150" t="str">
        <f>IF(OR(AND(C927=12,D927=Input!$C$6),E927=""),"",1)</f>
        <v/>
      </c>
      <c r="F928" s="150" t="str">
        <f>IF(E928="","",Input!$C$8+B928-1)</f>
        <v/>
      </c>
      <c r="G928" s="151" t="str">
        <f>IF(E928="","",MAX(0,Input!$C$9-B928))</f>
        <v/>
      </c>
      <c r="H928" s="152" t="str">
        <f>IF(E928="","",Input!$C$3)</f>
        <v/>
      </c>
      <c r="I928" s="153" t="str">
        <f>IF(E928="","",HLOOKUP($B928,Input!$C$13:$BT$14,2))</f>
        <v/>
      </c>
      <c r="J928" s="154"/>
      <c r="K928" s="155" t="str">
        <f>IF($E928="","",INDEX(Input!$C$16:$CP$16,1,$B928))</f>
        <v/>
      </c>
      <c r="L928" s="155" t="str">
        <f>IF($E928="","",Input!$C$37)</f>
        <v/>
      </c>
      <c r="M928" s="155" t="str">
        <f t="shared" si="580"/>
        <v/>
      </c>
      <c r="N928" s="155" t="str">
        <f t="shared" si="581"/>
        <v/>
      </c>
      <c r="O928" s="147" t="str">
        <f>IF($E928="","",MIN(VLOOKUP(IF($B928&lt;=Input!$C$7,$B928,26),'Mortality Tables'!$A$41:$CW$67,IF($B928&lt;=Input!$C$7+1,Input!$C$4+2,$D928-Input!$C$7+2),0)*IF(B928&gt;20,Input!$C$22,1)/1000,1))</f>
        <v/>
      </c>
      <c r="P928" s="147" t="str">
        <f>IF($E928="","",MIN(VLOOKUP(IF($B928&lt;=Input!$C$7,$B928,26),'Mortality Tables'!$A$12:$CW$37,IF($B928&lt;=Input!$C$7+1,Input!$C$4+2,$D928-Input!$C$7+2),0)*IF(B928&gt;20,Input!$C$22,1)/1000,1))</f>
        <v/>
      </c>
      <c r="Q928" s="155" t="str">
        <f>IF($E928="","",Input!$C$21)</f>
        <v/>
      </c>
      <c r="R928" s="159" t="str">
        <f>IF($E928="","",(1-Q928)^($F928-Input!$C$20))</f>
        <v/>
      </c>
      <c r="S928" s="147" t="str">
        <f t="shared" si="583"/>
        <v/>
      </c>
      <c r="T928" s="147" t="str">
        <f t="shared" si="584"/>
        <v/>
      </c>
      <c r="U928" s="160" t="str">
        <f>IF($E928="","",IF($C928=12,INDEX(Input!$C$15:$CP$15,1,$B928),0))</f>
        <v/>
      </c>
      <c r="V928" s="150" t="str">
        <f>IF(E928="","",IF(C928=1,IF($B928=1,Input!$C$33,Input!$C$34),0))</f>
        <v/>
      </c>
      <c r="W928" s="156" t="str">
        <f>IF($E928="","",Input!$C$35)</f>
        <v/>
      </c>
      <c r="X928" s="156" t="str">
        <f t="shared" si="582"/>
        <v/>
      </c>
      <c r="Y928" s="154"/>
      <c r="Z928" s="147" t="str">
        <f>IF($E928="","",VLOOKUP($D928,'Mortality Margins &amp; Grading'!$AB$5:$AF$125,3,0)*IF(Summary!$D$25="Included Margin",IF(AND($B928&gt;Input!$C$9,Summary!$D$31&lt;&gt;"Included Margin"),0,1),0))</f>
        <v/>
      </c>
      <c r="AA928" s="147" t="str">
        <f>IF($E928="","",VLOOKUP($D928,'Mortality Margins &amp; Grading'!$AB$5:$AF$125,5,0)*IF(Summary!$D$25="Included Margin",IF(AND($B928&gt;Input!$C$9,Summary!$D$31&lt;&gt;"Included Margin"),0,1),0))</f>
        <v/>
      </c>
      <c r="AB928" s="147" t="str">
        <f>IF($E928="","",IF(AND($B928&gt;Input!$C$9,Summary!$D$31&lt;&gt;"Included Margin"),1,IF(Summary!$D$25="Included Margin",VLOOKUP($B928,'Mortality Margins &amp; Grading'!$AI$5:$AR$125,MATCH('Mortality Margins &amp; Grading'!$AQ$4,'Mortality Margins &amp; Grading'!$AI$4:$AR$4,0),0),1)))</f>
        <v/>
      </c>
      <c r="AC928" s="154"/>
      <c r="AD928" s="158" t="str">
        <f>IF(E928="","",Input!$C$48*IF(Summary!$D$30="Included Margin",IF(AND($B928&gt;Input!$C$9,Summary!$D$31&lt;&gt;"Included Margin"),0,1),0))</f>
        <v/>
      </c>
      <c r="AE928" s="159" t="str">
        <f>IF(E928="","",IF(Summary!$D$26="Included Margin",IF(AND($B928&gt;Input!$C$9,Summary!$D$31&lt;&gt;"Included Margin"),1,1/$R928),1))</f>
        <v/>
      </c>
      <c r="AF928" s="160" t="str">
        <f>IF(E928="","",IF(AND($B928&gt;=Input!$C$9,$C928=12,Summary!$D$31="Included Margin",$U928&gt;0),1/U928-1,IF($B928&gt;=Input!$C$9,0,Input!$C$45*IF(Summary!$D$27="Included Margin",1,0))))</f>
        <v/>
      </c>
      <c r="AG928" s="160" t="str">
        <f>IF(E928="","",Input!$C$46*IF(Summary!$D$28="Included Margin",IF(AND($B928&gt;Input!$C$9,Summary!$D$31&lt;&gt;"Included Margin"),0,1),0))</f>
        <v/>
      </c>
      <c r="AH928" s="158" t="str">
        <f>IF(E928="","",Input!$C$47*IF(Summary!$D$29="Included Margin",IF(AND($B928&gt;Input!$C$9,Summary!$D$31&lt;&gt;"Included Margin"),0,1),0))</f>
        <v/>
      </c>
      <c r="AI928" s="154"/>
      <c r="AJ928" s="158" t="str">
        <f t="shared" si="604"/>
        <v/>
      </c>
      <c r="AK928" s="155" t="str">
        <f t="shared" si="605"/>
        <v/>
      </c>
      <c r="AL928" s="147" t="str">
        <f t="shared" si="606"/>
        <v/>
      </c>
      <c r="AM928" s="147" t="str">
        <f t="shared" si="585"/>
        <v/>
      </c>
      <c r="AN928" s="160" t="str">
        <f t="shared" si="607"/>
        <v/>
      </c>
      <c r="AO928" s="161" t="str">
        <f t="shared" si="608"/>
        <v/>
      </c>
      <c r="AP928" s="156" t="str">
        <f t="shared" si="586"/>
        <v/>
      </c>
      <c r="AQ928" s="152"/>
      <c r="AR928" s="162" t="str">
        <f t="shared" si="587"/>
        <v/>
      </c>
      <c r="AS928" s="150" t="str">
        <f t="shared" si="609"/>
        <v/>
      </c>
      <c r="AT928" s="163" t="str">
        <f t="shared" si="588"/>
        <v/>
      </c>
      <c r="AU928" s="163" t="str">
        <f t="shared" si="589"/>
        <v/>
      </c>
      <c r="AV928" s="163" t="str">
        <f t="shared" si="610"/>
        <v/>
      </c>
      <c r="AW928" s="163" t="str">
        <f t="shared" si="590"/>
        <v/>
      </c>
      <c r="AX928" s="163" t="str">
        <f t="shared" si="591"/>
        <v/>
      </c>
      <c r="AY928" s="165" t="str">
        <f t="shared" si="611"/>
        <v/>
      </c>
      <c r="AZ928" s="164" t="str">
        <f>IF($E928="","",IF(OR(AND($D928=Input!$C$6,$C928=12),$AN928=1),0,-AS929+AT929+AU929-AV929-AW929-AX929+AZ929))</f>
        <v/>
      </c>
      <c r="BA928" s="154" t="str">
        <f t="shared" si="592"/>
        <v/>
      </c>
      <c r="BC928" s="147" t="str">
        <f t="shared" si="612"/>
        <v/>
      </c>
      <c r="BD928" s="164" t="str">
        <f>IF(AND($C927=12,$D927=Input!$C$6),0,IF($E928="","",AT928+(AU928+BD929)/(1+$AK928)*MIN((1-AM928-AN928),1)))</f>
        <v/>
      </c>
      <c r="BE928" s="164" t="str">
        <f t="shared" si="628"/>
        <v/>
      </c>
      <c r="BF928" s="164" t="str">
        <f t="shared" si="613"/>
        <v/>
      </c>
      <c r="BG928" s="164" t="str">
        <f t="shared" si="593"/>
        <v/>
      </c>
      <c r="BH928" s="152"/>
      <c r="BI928" s="162" t="str">
        <f t="shared" si="621"/>
        <v/>
      </c>
      <c r="BJ928" s="150" t="str">
        <f t="shared" si="622"/>
        <v/>
      </c>
      <c r="BK928" s="163" t="str">
        <f t="shared" si="617"/>
        <v/>
      </c>
      <c r="BL928" s="163" t="str">
        <f t="shared" si="623"/>
        <v/>
      </c>
      <c r="BM928" s="163" t="str">
        <f t="shared" si="618"/>
        <v/>
      </c>
      <c r="BN928" s="163" t="str">
        <f t="shared" si="624"/>
        <v/>
      </c>
      <c r="BO928" s="163" t="str">
        <f t="shared" si="625"/>
        <v/>
      </c>
      <c r="BP928" s="164" t="str">
        <f t="shared" si="619"/>
        <v/>
      </c>
      <c r="BQ928" s="164" t="str">
        <f t="shared" si="626"/>
        <v/>
      </c>
      <c r="BR928" s="154" t="str">
        <f t="shared" si="627"/>
        <v/>
      </c>
      <c r="BT928" s="147" t="str">
        <f t="shared" si="600"/>
        <v/>
      </c>
      <c r="BU928" s="164" t="str">
        <f>IF(AND($C927=12,$D927=Input!$C$6),0,IF($E928="","",BK928+(BL928+BU929)/(1+$AK928)*MIN((1-T928-U928),1)))</f>
        <v/>
      </c>
      <c r="BV928" s="164" t="str">
        <f t="shared" si="601"/>
        <v/>
      </c>
      <c r="BW928" s="164" t="str">
        <f t="shared" si="602"/>
        <v/>
      </c>
      <c r="BX928" s="164" t="str">
        <f t="shared" si="603"/>
        <v/>
      </c>
    </row>
    <row r="929" spans="1:76" s="150" customFormat="1" x14ac:dyDescent="0.25">
      <c r="A929" s="150" t="str">
        <f t="shared" si="614"/>
        <v/>
      </c>
      <c r="B929" s="150" t="str">
        <f t="shared" si="615"/>
        <v/>
      </c>
      <c r="C929" s="150" t="str">
        <f t="shared" si="616"/>
        <v/>
      </c>
      <c r="D929" s="150" t="str">
        <f>IF(E929="","",Input!$C$4+B929-1)</f>
        <v/>
      </c>
      <c r="E929" s="150" t="str">
        <f>IF(OR(AND(C928=12,D928=Input!$C$6),E928=""),"",1)</f>
        <v/>
      </c>
      <c r="F929" s="150" t="str">
        <f>IF(E929="","",Input!$C$8+B929-1)</f>
        <v/>
      </c>
      <c r="G929" s="151" t="str">
        <f>IF(E929="","",MAX(0,Input!$C$9-B929))</f>
        <v/>
      </c>
      <c r="H929" s="152" t="str">
        <f>IF(E929="","",Input!$C$3)</f>
        <v/>
      </c>
      <c r="I929" s="153" t="str">
        <f>IF(E929="","",HLOOKUP($B929,Input!$C$13:$BT$14,2))</f>
        <v/>
      </c>
      <c r="J929" s="154"/>
      <c r="K929" s="155" t="str">
        <f>IF($E929="","",INDEX(Input!$C$16:$CP$16,1,$B929))</f>
        <v/>
      </c>
      <c r="L929" s="155" t="str">
        <f>IF($E929="","",Input!$C$37)</f>
        <v/>
      </c>
      <c r="M929" s="155" t="str">
        <f t="shared" si="580"/>
        <v/>
      </c>
      <c r="N929" s="155" t="str">
        <f t="shared" si="581"/>
        <v/>
      </c>
      <c r="O929" s="147" t="str">
        <f>IF($E929="","",MIN(VLOOKUP(IF($B929&lt;=Input!$C$7,$B929,26),'Mortality Tables'!$A$41:$CW$67,IF($B929&lt;=Input!$C$7+1,Input!$C$4+2,$D929-Input!$C$7+2),0)*IF(B929&gt;20,Input!$C$22,1)/1000,1))</f>
        <v/>
      </c>
      <c r="P929" s="147" t="str">
        <f>IF($E929="","",MIN(VLOOKUP(IF($B929&lt;=Input!$C$7,$B929,26),'Mortality Tables'!$A$12:$CW$37,IF($B929&lt;=Input!$C$7+1,Input!$C$4+2,$D929-Input!$C$7+2),0)*IF(B929&gt;20,Input!$C$22,1)/1000,1))</f>
        <v/>
      </c>
      <c r="Q929" s="155" t="str">
        <f>IF($E929="","",Input!$C$21)</f>
        <v/>
      </c>
      <c r="R929" s="159" t="str">
        <f>IF($E929="","",(1-Q929)^($F929-Input!$C$20))</f>
        <v/>
      </c>
      <c r="S929" s="147" t="str">
        <f t="shared" si="583"/>
        <v/>
      </c>
      <c r="T929" s="147" t="str">
        <f t="shared" si="584"/>
        <v/>
      </c>
      <c r="U929" s="160" t="str">
        <f>IF($E929="","",IF($C929=12,INDEX(Input!$C$15:$CP$15,1,$B929),0))</f>
        <v/>
      </c>
      <c r="V929" s="150" t="str">
        <f>IF(E929="","",IF(C929=1,IF($B929=1,Input!$C$33,Input!$C$34),0))</f>
        <v/>
      </c>
      <c r="W929" s="156" t="str">
        <f>IF($E929="","",Input!$C$35)</f>
        <v/>
      </c>
      <c r="X929" s="156" t="str">
        <f t="shared" si="582"/>
        <v/>
      </c>
      <c r="Y929" s="154"/>
      <c r="Z929" s="147" t="str">
        <f>IF($E929="","",VLOOKUP($D929,'Mortality Margins &amp; Grading'!$AB$5:$AF$125,3,0)*IF(Summary!$D$25="Included Margin",IF(AND($B929&gt;Input!$C$9,Summary!$D$31&lt;&gt;"Included Margin"),0,1),0))</f>
        <v/>
      </c>
      <c r="AA929" s="147" t="str">
        <f>IF($E929="","",VLOOKUP($D929,'Mortality Margins &amp; Grading'!$AB$5:$AF$125,5,0)*IF(Summary!$D$25="Included Margin",IF(AND($B929&gt;Input!$C$9,Summary!$D$31&lt;&gt;"Included Margin"),0,1),0))</f>
        <v/>
      </c>
      <c r="AB929" s="147" t="str">
        <f>IF($E929="","",IF(AND($B929&gt;Input!$C$9,Summary!$D$31&lt;&gt;"Included Margin"),1,IF(Summary!$D$25="Included Margin",VLOOKUP($B929,'Mortality Margins &amp; Grading'!$AI$5:$AR$125,MATCH('Mortality Margins &amp; Grading'!$AQ$4,'Mortality Margins &amp; Grading'!$AI$4:$AR$4,0),0),1)))</f>
        <v/>
      </c>
      <c r="AC929" s="154"/>
      <c r="AD929" s="158" t="str">
        <f>IF(E929="","",Input!$C$48*IF(Summary!$D$30="Included Margin",IF(AND($B929&gt;Input!$C$9,Summary!$D$31&lt;&gt;"Included Margin"),0,1),0))</f>
        <v/>
      </c>
      <c r="AE929" s="159" t="str">
        <f>IF(E929="","",IF(Summary!$D$26="Included Margin",IF(AND($B929&gt;Input!$C$9,Summary!$D$31&lt;&gt;"Included Margin"),1,1/$R929),1))</f>
        <v/>
      </c>
      <c r="AF929" s="160" t="str">
        <f>IF(E929="","",IF(AND($B929&gt;=Input!$C$9,$C929=12,Summary!$D$31="Included Margin",$U929&gt;0),1/U929-1,IF($B929&gt;=Input!$C$9,0,Input!$C$45*IF(Summary!$D$27="Included Margin",1,0))))</f>
        <v/>
      </c>
      <c r="AG929" s="160" t="str">
        <f>IF(E929="","",Input!$C$46*IF(Summary!$D$28="Included Margin",IF(AND($B929&gt;Input!$C$9,Summary!$D$31&lt;&gt;"Included Margin"),0,1),0))</f>
        <v/>
      </c>
      <c r="AH929" s="158" t="str">
        <f>IF(E929="","",Input!$C$47*IF(Summary!$D$29="Included Margin",IF(AND($B929&gt;Input!$C$9,Summary!$D$31&lt;&gt;"Included Margin"),0,1),0))</f>
        <v/>
      </c>
      <c r="AI929" s="154"/>
      <c r="AJ929" s="158" t="str">
        <f t="shared" si="604"/>
        <v/>
      </c>
      <c r="AK929" s="155" t="str">
        <f t="shared" si="605"/>
        <v/>
      </c>
      <c r="AL929" s="147" t="str">
        <f t="shared" si="606"/>
        <v/>
      </c>
      <c r="AM929" s="147" t="str">
        <f t="shared" si="585"/>
        <v/>
      </c>
      <c r="AN929" s="160" t="str">
        <f t="shared" si="607"/>
        <v/>
      </c>
      <c r="AO929" s="161" t="str">
        <f t="shared" si="608"/>
        <v/>
      </c>
      <c r="AP929" s="156" t="str">
        <f t="shared" si="586"/>
        <v/>
      </c>
      <c r="AQ929" s="152"/>
      <c r="AR929" s="162" t="str">
        <f t="shared" si="587"/>
        <v/>
      </c>
      <c r="AS929" s="150" t="str">
        <f t="shared" si="609"/>
        <v/>
      </c>
      <c r="AT929" s="163" t="str">
        <f t="shared" si="588"/>
        <v/>
      </c>
      <c r="AU929" s="163" t="str">
        <f t="shared" si="589"/>
        <v/>
      </c>
      <c r="AV929" s="163" t="str">
        <f t="shared" si="610"/>
        <v/>
      </c>
      <c r="AW929" s="163" t="str">
        <f t="shared" si="590"/>
        <v/>
      </c>
      <c r="AX929" s="163" t="str">
        <f t="shared" si="591"/>
        <v/>
      </c>
      <c r="AY929" s="164" t="str">
        <f t="shared" si="611"/>
        <v/>
      </c>
      <c r="AZ929" s="164" t="str">
        <f>IF($E929="","",IF(OR(AND($D929=Input!$C$6,$C929=12),$AN929=1),0,-AS930+AT930+AU930-AV930-AW930-AX930+AZ930))</f>
        <v/>
      </c>
      <c r="BA929" s="154" t="str">
        <f t="shared" si="592"/>
        <v/>
      </c>
      <c r="BC929" s="147" t="str">
        <f t="shared" si="612"/>
        <v/>
      </c>
      <c r="BD929" s="164" t="str">
        <f>IF(AND($C928=12,$D928=Input!$C$6),0,IF($E929="","",AT929+(AU929+BD930)/(1+$AK929)*MIN((1-AM929-AN929),1)))</f>
        <v/>
      </c>
      <c r="BE929" s="164" t="str">
        <f t="shared" si="628"/>
        <v/>
      </c>
      <c r="BF929" s="164" t="str">
        <f t="shared" si="613"/>
        <v/>
      </c>
      <c r="BG929" s="164" t="str">
        <f t="shared" si="593"/>
        <v/>
      </c>
      <c r="BH929" s="152"/>
      <c r="BI929" s="162" t="str">
        <f t="shared" si="621"/>
        <v/>
      </c>
      <c r="BJ929" s="150" t="str">
        <f t="shared" si="622"/>
        <v/>
      </c>
      <c r="BK929" s="163" t="str">
        <f t="shared" si="617"/>
        <v/>
      </c>
      <c r="BL929" s="163" t="str">
        <f t="shared" si="623"/>
        <v/>
      </c>
      <c r="BM929" s="163" t="str">
        <f t="shared" si="618"/>
        <v/>
      </c>
      <c r="BN929" s="163" t="str">
        <f t="shared" si="624"/>
        <v/>
      </c>
      <c r="BO929" s="163" t="str">
        <f t="shared" si="625"/>
        <v/>
      </c>
      <c r="BP929" s="164" t="str">
        <f t="shared" si="619"/>
        <v/>
      </c>
      <c r="BQ929" s="164" t="str">
        <f t="shared" si="626"/>
        <v/>
      </c>
      <c r="BR929" s="154" t="str">
        <f t="shared" si="627"/>
        <v/>
      </c>
      <c r="BT929" s="147" t="str">
        <f t="shared" si="600"/>
        <v/>
      </c>
      <c r="BU929" s="164" t="str">
        <f>IF(AND($C928=12,$D928=Input!$C$6),0,IF($E929="","",BK929+(BL929+BU930)/(1+$AK929)*MIN((1-T929-U929),1)))</f>
        <v/>
      </c>
      <c r="BV929" s="164" t="str">
        <f t="shared" si="601"/>
        <v/>
      </c>
      <c r="BW929" s="164" t="str">
        <f t="shared" si="602"/>
        <v/>
      </c>
      <c r="BX929" s="164" t="str">
        <f t="shared" si="603"/>
        <v/>
      </c>
    </row>
    <row r="930" spans="1:76" s="150" customFormat="1" x14ac:dyDescent="0.25">
      <c r="A930" s="150" t="str">
        <f t="shared" si="614"/>
        <v/>
      </c>
      <c r="B930" s="150" t="str">
        <f t="shared" si="615"/>
        <v/>
      </c>
      <c r="C930" s="150" t="str">
        <f t="shared" si="616"/>
        <v/>
      </c>
      <c r="D930" s="150" t="str">
        <f>IF(E930="","",Input!$C$4+B930-1)</f>
        <v/>
      </c>
      <c r="E930" s="150" t="str">
        <f>IF(OR(AND(C929=12,D929=Input!$C$6),E929=""),"",1)</f>
        <v/>
      </c>
      <c r="F930" s="150" t="str">
        <f>IF(E930="","",Input!$C$8+B930-1)</f>
        <v/>
      </c>
      <c r="G930" s="151" t="str">
        <f>IF(E930="","",MAX(0,Input!$C$9-B930))</f>
        <v/>
      </c>
      <c r="H930" s="152" t="str">
        <f>IF(E930="","",Input!$C$3)</f>
        <v/>
      </c>
      <c r="I930" s="153" t="str">
        <f>IF(E930="","",HLOOKUP($B930,Input!$C$13:$BT$14,2))</f>
        <v/>
      </c>
      <c r="J930" s="154"/>
      <c r="K930" s="155" t="str">
        <f>IF($E930="","",INDEX(Input!$C$16:$CP$16,1,$B930))</f>
        <v/>
      </c>
      <c r="L930" s="155" t="str">
        <f>IF($E930="","",Input!$C$37)</f>
        <v/>
      </c>
      <c r="M930" s="155" t="str">
        <f t="shared" si="580"/>
        <v/>
      </c>
      <c r="N930" s="155" t="str">
        <f t="shared" si="581"/>
        <v/>
      </c>
      <c r="O930" s="147" t="str">
        <f>IF($E930="","",MIN(VLOOKUP(IF($B930&lt;=Input!$C$7,$B930,26),'Mortality Tables'!$A$41:$CW$67,IF($B930&lt;=Input!$C$7+1,Input!$C$4+2,$D930-Input!$C$7+2),0)*IF(B930&gt;20,Input!$C$22,1)/1000,1))</f>
        <v/>
      </c>
      <c r="P930" s="147" t="str">
        <f>IF($E930="","",MIN(VLOOKUP(IF($B930&lt;=Input!$C$7,$B930,26),'Mortality Tables'!$A$12:$CW$37,IF($B930&lt;=Input!$C$7+1,Input!$C$4+2,$D930-Input!$C$7+2),0)*IF(B930&gt;20,Input!$C$22,1)/1000,1))</f>
        <v/>
      </c>
      <c r="Q930" s="155" t="str">
        <f>IF($E930="","",Input!$C$21)</f>
        <v/>
      </c>
      <c r="R930" s="159" t="str">
        <f>IF($E930="","",(1-Q930)^($F930-Input!$C$20))</f>
        <v/>
      </c>
      <c r="S930" s="147" t="str">
        <f t="shared" si="583"/>
        <v/>
      </c>
      <c r="T930" s="147" t="str">
        <f t="shared" si="584"/>
        <v/>
      </c>
      <c r="U930" s="160" t="str">
        <f>IF($E930="","",IF($C930=12,INDEX(Input!$C$15:$CP$15,1,$B930),0))</f>
        <v/>
      </c>
      <c r="V930" s="150" t="str">
        <f>IF(E930="","",IF(C930=1,IF($B930=1,Input!$C$33,Input!$C$34),0))</f>
        <v/>
      </c>
      <c r="W930" s="156" t="str">
        <f>IF($E930="","",Input!$C$35)</f>
        <v/>
      </c>
      <c r="X930" s="156" t="str">
        <f t="shared" si="582"/>
        <v/>
      </c>
      <c r="Y930" s="154"/>
      <c r="Z930" s="147" t="str">
        <f>IF($E930="","",VLOOKUP($D930,'Mortality Margins &amp; Grading'!$AB$5:$AF$125,3,0)*IF(Summary!$D$25="Included Margin",IF(AND($B930&gt;Input!$C$9,Summary!$D$31&lt;&gt;"Included Margin"),0,1),0))</f>
        <v/>
      </c>
      <c r="AA930" s="147" t="str">
        <f>IF($E930="","",VLOOKUP($D930,'Mortality Margins &amp; Grading'!$AB$5:$AF$125,5,0)*IF(Summary!$D$25="Included Margin",IF(AND($B930&gt;Input!$C$9,Summary!$D$31&lt;&gt;"Included Margin"),0,1),0))</f>
        <v/>
      </c>
      <c r="AB930" s="147" t="str">
        <f>IF($E930="","",IF(AND($B930&gt;Input!$C$9,Summary!$D$31&lt;&gt;"Included Margin"),1,IF(Summary!$D$25="Included Margin",VLOOKUP($B930,'Mortality Margins &amp; Grading'!$AI$5:$AR$125,MATCH('Mortality Margins &amp; Grading'!$AQ$4,'Mortality Margins &amp; Grading'!$AI$4:$AR$4,0),0),1)))</f>
        <v/>
      </c>
      <c r="AC930" s="154"/>
      <c r="AD930" s="158" t="str">
        <f>IF(E930="","",Input!$C$48*IF(Summary!$D$30="Included Margin",IF(AND($B930&gt;Input!$C$9,Summary!$D$31&lt;&gt;"Included Margin"),0,1),0))</f>
        <v/>
      </c>
      <c r="AE930" s="159" t="str">
        <f>IF(E930="","",IF(Summary!$D$26="Included Margin",IF(AND($B930&gt;Input!$C$9,Summary!$D$31&lt;&gt;"Included Margin"),1,1/$R930),1))</f>
        <v/>
      </c>
      <c r="AF930" s="160" t="str">
        <f>IF(E930="","",IF(AND($B930&gt;=Input!$C$9,$C930=12,Summary!$D$31="Included Margin",$U930&gt;0),1/U930-1,IF($B930&gt;=Input!$C$9,0,Input!$C$45*IF(Summary!$D$27="Included Margin",1,0))))</f>
        <v/>
      </c>
      <c r="AG930" s="160" t="str">
        <f>IF(E930="","",Input!$C$46*IF(Summary!$D$28="Included Margin",IF(AND($B930&gt;Input!$C$9,Summary!$D$31&lt;&gt;"Included Margin"),0,1),0))</f>
        <v/>
      </c>
      <c r="AH930" s="158" t="str">
        <f>IF(E930="","",Input!$C$47*IF(Summary!$D$29="Included Margin",IF(AND($B930&gt;Input!$C$9,Summary!$D$31&lt;&gt;"Included Margin"),0,1),0))</f>
        <v/>
      </c>
      <c r="AI930" s="154"/>
      <c r="AJ930" s="158" t="str">
        <f t="shared" si="604"/>
        <v/>
      </c>
      <c r="AK930" s="155" t="str">
        <f t="shared" si="605"/>
        <v/>
      </c>
      <c r="AL930" s="147" t="str">
        <f t="shared" si="606"/>
        <v/>
      </c>
      <c r="AM930" s="147" t="str">
        <f t="shared" si="585"/>
        <v/>
      </c>
      <c r="AN930" s="160" t="str">
        <f t="shared" si="607"/>
        <v/>
      </c>
      <c r="AO930" s="161" t="str">
        <f t="shared" si="608"/>
        <v/>
      </c>
      <c r="AP930" s="156" t="str">
        <f t="shared" si="586"/>
        <v/>
      </c>
      <c r="AQ930" s="152"/>
      <c r="AR930" s="162" t="str">
        <f t="shared" si="587"/>
        <v/>
      </c>
      <c r="AS930" s="150" t="str">
        <f t="shared" si="609"/>
        <v/>
      </c>
      <c r="AT930" s="163" t="str">
        <f t="shared" si="588"/>
        <v/>
      </c>
      <c r="AU930" s="163" t="str">
        <f t="shared" si="589"/>
        <v/>
      </c>
      <c r="AV930" s="163" t="str">
        <f t="shared" si="610"/>
        <v/>
      </c>
      <c r="AW930" s="163" t="str">
        <f t="shared" si="590"/>
        <v/>
      </c>
      <c r="AX930" s="163" t="str">
        <f t="shared" si="591"/>
        <v/>
      </c>
      <c r="AY930" s="165" t="str">
        <f t="shared" si="611"/>
        <v/>
      </c>
      <c r="AZ930" s="164" t="str">
        <f>IF($E930="","",IF(OR(AND($D930=Input!$C$6,$C930=12),$AN930=1),0,-AS931+AT931+AU931-AV931-AW931-AX931+AZ931))</f>
        <v/>
      </c>
      <c r="BA930" s="154" t="str">
        <f t="shared" si="592"/>
        <v/>
      </c>
      <c r="BC930" s="147" t="str">
        <f t="shared" si="612"/>
        <v/>
      </c>
      <c r="BD930" s="164" t="str">
        <f>IF(AND($C929=12,$D929=Input!$C$6),0,IF($E930="","",AT930+(AU930+BD931)/(1+$AK930)*MIN((1-AM930-AN930),1)))</f>
        <v/>
      </c>
      <c r="BE930" s="164" t="str">
        <f t="shared" si="628"/>
        <v/>
      </c>
      <c r="BF930" s="164" t="str">
        <f t="shared" si="613"/>
        <v/>
      </c>
      <c r="BG930" s="164" t="str">
        <f t="shared" si="593"/>
        <v/>
      </c>
      <c r="BH930" s="152"/>
      <c r="BI930" s="162" t="str">
        <f t="shared" si="621"/>
        <v/>
      </c>
      <c r="BJ930" s="150" t="str">
        <f t="shared" si="622"/>
        <v/>
      </c>
      <c r="BK930" s="163" t="str">
        <f t="shared" si="617"/>
        <v/>
      </c>
      <c r="BL930" s="163" t="str">
        <f t="shared" si="623"/>
        <v/>
      </c>
      <c r="BM930" s="163" t="str">
        <f t="shared" si="618"/>
        <v/>
      </c>
      <c r="BN930" s="163" t="str">
        <f t="shared" si="624"/>
        <v/>
      </c>
      <c r="BO930" s="163" t="str">
        <f t="shared" si="625"/>
        <v/>
      </c>
      <c r="BP930" s="164" t="str">
        <f t="shared" si="619"/>
        <v/>
      </c>
      <c r="BQ930" s="164" t="str">
        <f t="shared" si="626"/>
        <v/>
      </c>
      <c r="BR930" s="154" t="str">
        <f t="shared" si="627"/>
        <v/>
      </c>
      <c r="BT930" s="147" t="str">
        <f t="shared" si="600"/>
        <v/>
      </c>
      <c r="BU930" s="164" t="str">
        <f>IF(AND($C929=12,$D929=Input!$C$6),0,IF($E930="","",BK930+(BL930+BU931)/(1+$AK930)*MIN((1-T930-U930),1)))</f>
        <v/>
      </c>
      <c r="BV930" s="164" t="str">
        <f t="shared" si="601"/>
        <v/>
      </c>
      <c r="BW930" s="164" t="str">
        <f t="shared" si="602"/>
        <v/>
      </c>
      <c r="BX930" s="164" t="str">
        <f t="shared" si="603"/>
        <v/>
      </c>
    </row>
    <row r="931" spans="1:76" s="150" customFormat="1" x14ac:dyDescent="0.25">
      <c r="A931" s="150" t="str">
        <f t="shared" si="614"/>
        <v/>
      </c>
      <c r="B931" s="150" t="str">
        <f t="shared" si="615"/>
        <v/>
      </c>
      <c r="C931" s="150" t="str">
        <f t="shared" si="616"/>
        <v/>
      </c>
      <c r="D931" s="150" t="str">
        <f>IF(E931="","",Input!$C$4+B931-1)</f>
        <v/>
      </c>
      <c r="E931" s="150" t="str">
        <f>IF(OR(AND(C930=12,D930=Input!$C$6),E930=""),"",1)</f>
        <v/>
      </c>
      <c r="F931" s="150" t="str">
        <f>IF(E931="","",Input!$C$8+B931-1)</f>
        <v/>
      </c>
      <c r="G931" s="151" t="str">
        <f>IF(E931="","",MAX(0,Input!$C$9-B931))</f>
        <v/>
      </c>
      <c r="H931" s="152" t="str">
        <f>IF(E931="","",Input!$C$3)</f>
        <v/>
      </c>
      <c r="I931" s="153" t="str">
        <f>IF(E931="","",HLOOKUP($B931,Input!$C$13:$BT$14,2))</f>
        <v/>
      </c>
      <c r="J931" s="154"/>
      <c r="K931" s="155" t="str">
        <f>IF($E931="","",INDEX(Input!$C$16:$CP$16,1,$B931))</f>
        <v/>
      </c>
      <c r="L931" s="155" t="str">
        <f>IF($E931="","",Input!$C$37)</f>
        <v/>
      </c>
      <c r="M931" s="155" t="str">
        <f t="shared" si="580"/>
        <v/>
      </c>
      <c r="N931" s="155" t="str">
        <f t="shared" si="581"/>
        <v/>
      </c>
      <c r="O931" s="147" t="str">
        <f>IF($E931="","",MIN(VLOOKUP(IF($B931&lt;=Input!$C$7,$B931,26),'Mortality Tables'!$A$41:$CW$67,IF($B931&lt;=Input!$C$7+1,Input!$C$4+2,$D931-Input!$C$7+2),0)*IF(B931&gt;20,Input!$C$22,1)/1000,1))</f>
        <v/>
      </c>
      <c r="P931" s="147" t="str">
        <f>IF($E931="","",MIN(VLOOKUP(IF($B931&lt;=Input!$C$7,$B931,26),'Mortality Tables'!$A$12:$CW$37,IF($B931&lt;=Input!$C$7+1,Input!$C$4+2,$D931-Input!$C$7+2),0)*IF(B931&gt;20,Input!$C$22,1)/1000,1))</f>
        <v/>
      </c>
      <c r="Q931" s="155" t="str">
        <f>IF($E931="","",Input!$C$21)</f>
        <v/>
      </c>
      <c r="R931" s="159" t="str">
        <f>IF($E931="","",(1-Q931)^($F931-Input!$C$20))</f>
        <v/>
      </c>
      <c r="S931" s="147" t="str">
        <f t="shared" si="583"/>
        <v/>
      </c>
      <c r="T931" s="147" t="str">
        <f t="shared" si="584"/>
        <v/>
      </c>
      <c r="U931" s="160" t="str">
        <f>IF($E931="","",IF($C931=12,INDEX(Input!$C$15:$CP$15,1,$B931),0))</f>
        <v/>
      </c>
      <c r="V931" s="150" t="str">
        <f>IF(E931="","",IF(C931=1,IF($B931=1,Input!$C$33,Input!$C$34),0))</f>
        <v/>
      </c>
      <c r="W931" s="156" t="str">
        <f>IF($E931="","",Input!$C$35)</f>
        <v/>
      </c>
      <c r="X931" s="156" t="str">
        <f t="shared" si="582"/>
        <v/>
      </c>
      <c r="Y931" s="154"/>
      <c r="Z931" s="147" t="str">
        <f>IF($E931="","",VLOOKUP($D931,'Mortality Margins &amp; Grading'!$AB$5:$AF$125,3,0)*IF(Summary!$D$25="Included Margin",IF(AND($B931&gt;Input!$C$9,Summary!$D$31&lt;&gt;"Included Margin"),0,1),0))</f>
        <v/>
      </c>
      <c r="AA931" s="147" t="str">
        <f>IF($E931="","",VLOOKUP($D931,'Mortality Margins &amp; Grading'!$AB$5:$AF$125,5,0)*IF(Summary!$D$25="Included Margin",IF(AND($B931&gt;Input!$C$9,Summary!$D$31&lt;&gt;"Included Margin"),0,1),0))</f>
        <v/>
      </c>
      <c r="AB931" s="147" t="str">
        <f>IF($E931="","",IF(AND($B931&gt;Input!$C$9,Summary!$D$31&lt;&gt;"Included Margin"),1,IF(Summary!$D$25="Included Margin",VLOOKUP($B931,'Mortality Margins &amp; Grading'!$AI$5:$AR$125,MATCH('Mortality Margins &amp; Grading'!$AQ$4,'Mortality Margins &amp; Grading'!$AI$4:$AR$4,0),0),1)))</f>
        <v/>
      </c>
      <c r="AC931" s="154"/>
      <c r="AD931" s="158" t="str">
        <f>IF(E931="","",Input!$C$48*IF(Summary!$D$30="Included Margin",IF(AND($B931&gt;Input!$C$9,Summary!$D$31&lt;&gt;"Included Margin"),0,1),0))</f>
        <v/>
      </c>
      <c r="AE931" s="159" t="str">
        <f>IF(E931="","",IF(Summary!$D$26="Included Margin",IF(AND($B931&gt;Input!$C$9,Summary!$D$31&lt;&gt;"Included Margin"),1,1/$R931),1))</f>
        <v/>
      </c>
      <c r="AF931" s="160" t="str">
        <f>IF(E931="","",IF(AND($B931&gt;=Input!$C$9,$C931=12,Summary!$D$31="Included Margin",$U931&gt;0),1/U931-1,IF($B931&gt;=Input!$C$9,0,Input!$C$45*IF(Summary!$D$27="Included Margin",1,0))))</f>
        <v/>
      </c>
      <c r="AG931" s="160" t="str">
        <f>IF(E931="","",Input!$C$46*IF(Summary!$D$28="Included Margin",IF(AND($B931&gt;Input!$C$9,Summary!$D$31&lt;&gt;"Included Margin"),0,1),0))</f>
        <v/>
      </c>
      <c r="AH931" s="158" t="str">
        <f>IF(E931="","",Input!$C$47*IF(Summary!$D$29="Included Margin",IF(AND($B931&gt;Input!$C$9,Summary!$D$31&lt;&gt;"Included Margin"),0,1),0))</f>
        <v/>
      </c>
      <c r="AI931" s="154"/>
      <c r="AJ931" s="158" t="str">
        <f t="shared" si="604"/>
        <v/>
      </c>
      <c r="AK931" s="155" t="str">
        <f t="shared" si="605"/>
        <v/>
      </c>
      <c r="AL931" s="147" t="str">
        <f t="shared" si="606"/>
        <v/>
      </c>
      <c r="AM931" s="147" t="str">
        <f t="shared" si="585"/>
        <v/>
      </c>
      <c r="AN931" s="160" t="str">
        <f t="shared" si="607"/>
        <v/>
      </c>
      <c r="AO931" s="161" t="str">
        <f t="shared" si="608"/>
        <v/>
      </c>
      <c r="AP931" s="156" t="str">
        <f t="shared" si="586"/>
        <v/>
      </c>
      <c r="AQ931" s="152"/>
      <c r="AR931" s="162" t="str">
        <f t="shared" si="587"/>
        <v/>
      </c>
      <c r="AS931" s="150" t="str">
        <f t="shared" si="609"/>
        <v/>
      </c>
      <c r="AT931" s="163" t="str">
        <f t="shared" si="588"/>
        <v/>
      </c>
      <c r="AU931" s="163" t="str">
        <f t="shared" si="589"/>
        <v/>
      </c>
      <c r="AV931" s="163" t="str">
        <f t="shared" si="610"/>
        <v/>
      </c>
      <c r="AW931" s="163" t="str">
        <f t="shared" si="590"/>
        <v/>
      </c>
      <c r="AX931" s="163" t="str">
        <f t="shared" si="591"/>
        <v/>
      </c>
      <c r="AY931" s="164" t="str">
        <f t="shared" si="611"/>
        <v/>
      </c>
      <c r="AZ931" s="164" t="str">
        <f>IF($E931="","",IF(OR(AND($D931=Input!$C$6,$C931=12),$AN931=1),0,-AS932+AT932+AU932-AV932-AW932-AX932+AZ932))</f>
        <v/>
      </c>
      <c r="BA931" s="154" t="str">
        <f t="shared" si="592"/>
        <v/>
      </c>
      <c r="BC931" s="147" t="str">
        <f t="shared" si="612"/>
        <v/>
      </c>
      <c r="BD931" s="164" t="str">
        <f>IF(AND($C930=12,$D930=Input!$C$6),0,IF($E931="","",AT931+(AU931+BD932)/(1+$AK931)*MIN((1-AM931-AN931),1)))</f>
        <v/>
      </c>
      <c r="BE931" s="164" t="str">
        <f t="shared" si="628"/>
        <v/>
      </c>
      <c r="BF931" s="164" t="str">
        <f t="shared" si="613"/>
        <v/>
      </c>
      <c r="BG931" s="164" t="str">
        <f t="shared" si="593"/>
        <v/>
      </c>
      <c r="BH931" s="152"/>
      <c r="BI931" s="162" t="str">
        <f t="shared" si="621"/>
        <v/>
      </c>
      <c r="BJ931" s="150" t="str">
        <f t="shared" si="622"/>
        <v/>
      </c>
      <c r="BK931" s="163" t="str">
        <f t="shared" si="617"/>
        <v/>
      </c>
      <c r="BL931" s="163" t="str">
        <f t="shared" si="623"/>
        <v/>
      </c>
      <c r="BM931" s="163" t="str">
        <f t="shared" si="618"/>
        <v/>
      </c>
      <c r="BN931" s="163" t="str">
        <f t="shared" si="624"/>
        <v/>
      </c>
      <c r="BO931" s="163" t="str">
        <f t="shared" si="625"/>
        <v/>
      </c>
      <c r="BP931" s="164" t="str">
        <f t="shared" si="619"/>
        <v/>
      </c>
      <c r="BQ931" s="164" t="str">
        <f t="shared" si="626"/>
        <v/>
      </c>
      <c r="BR931" s="154" t="str">
        <f t="shared" si="627"/>
        <v/>
      </c>
      <c r="BT931" s="147" t="str">
        <f t="shared" si="600"/>
        <v/>
      </c>
      <c r="BU931" s="164" t="str">
        <f>IF(AND($C930=12,$D930=Input!$C$6),0,IF($E931="","",BK931+(BL931+BU932)/(1+$AK931)*MIN((1-T931-U931),1)))</f>
        <v/>
      </c>
      <c r="BV931" s="164" t="str">
        <f t="shared" si="601"/>
        <v/>
      </c>
      <c r="BW931" s="164" t="str">
        <f t="shared" si="602"/>
        <v/>
      </c>
      <c r="BX931" s="164" t="str">
        <f t="shared" si="603"/>
        <v/>
      </c>
    </row>
    <row r="932" spans="1:76" s="150" customFormat="1" x14ac:dyDescent="0.25">
      <c r="A932" s="150" t="str">
        <f t="shared" si="614"/>
        <v/>
      </c>
      <c r="B932" s="150" t="str">
        <f t="shared" si="615"/>
        <v/>
      </c>
      <c r="C932" s="150" t="str">
        <f t="shared" si="616"/>
        <v/>
      </c>
      <c r="D932" s="150" t="str">
        <f>IF(E932="","",Input!$C$4+B932-1)</f>
        <v/>
      </c>
      <c r="E932" s="150" t="str">
        <f>IF(OR(AND(C931=12,D931=Input!$C$6),E931=""),"",1)</f>
        <v/>
      </c>
      <c r="F932" s="150" t="str">
        <f>IF(E932="","",Input!$C$8+B932-1)</f>
        <v/>
      </c>
      <c r="G932" s="151" t="str">
        <f>IF(E932="","",MAX(0,Input!$C$9-B932))</f>
        <v/>
      </c>
      <c r="H932" s="152" t="str">
        <f>IF(E932="","",Input!$C$3)</f>
        <v/>
      </c>
      <c r="I932" s="153" t="str">
        <f>IF(E932="","",HLOOKUP($B932,Input!$C$13:$BT$14,2))</f>
        <v/>
      </c>
      <c r="J932" s="154"/>
      <c r="K932" s="155" t="str">
        <f>IF($E932="","",INDEX(Input!$C$16:$CP$16,1,$B932))</f>
        <v/>
      </c>
      <c r="L932" s="155" t="str">
        <f>IF($E932="","",Input!$C$37)</f>
        <v/>
      </c>
      <c r="M932" s="155" t="str">
        <f t="shared" si="580"/>
        <v/>
      </c>
      <c r="N932" s="155" t="str">
        <f t="shared" si="581"/>
        <v/>
      </c>
      <c r="O932" s="147" t="str">
        <f>IF($E932="","",MIN(VLOOKUP(IF($B932&lt;=Input!$C$7,$B932,26),'Mortality Tables'!$A$41:$CW$67,IF($B932&lt;=Input!$C$7+1,Input!$C$4+2,$D932-Input!$C$7+2),0)*IF(B932&gt;20,Input!$C$22,1)/1000,1))</f>
        <v/>
      </c>
      <c r="P932" s="147" t="str">
        <f>IF($E932="","",MIN(VLOOKUP(IF($B932&lt;=Input!$C$7,$B932,26),'Mortality Tables'!$A$12:$CW$37,IF($B932&lt;=Input!$C$7+1,Input!$C$4+2,$D932-Input!$C$7+2),0)*IF(B932&gt;20,Input!$C$22,1)/1000,1))</f>
        <v/>
      </c>
      <c r="Q932" s="155" t="str">
        <f>IF($E932="","",Input!$C$21)</f>
        <v/>
      </c>
      <c r="R932" s="159" t="str">
        <f>IF($E932="","",(1-Q932)^($F932-Input!$C$20))</f>
        <v/>
      </c>
      <c r="S932" s="147" t="str">
        <f t="shared" si="583"/>
        <v/>
      </c>
      <c r="T932" s="147" t="str">
        <f t="shared" si="584"/>
        <v/>
      </c>
      <c r="U932" s="160" t="str">
        <f>IF($E932="","",IF($C932=12,INDEX(Input!$C$15:$CP$15,1,$B932),0))</f>
        <v/>
      </c>
      <c r="V932" s="150" t="str">
        <f>IF(E932="","",IF(C932=1,IF($B932=1,Input!$C$33,Input!$C$34),0))</f>
        <v/>
      </c>
      <c r="W932" s="156" t="str">
        <f>IF($E932="","",Input!$C$35)</f>
        <v/>
      </c>
      <c r="X932" s="156" t="str">
        <f t="shared" si="582"/>
        <v/>
      </c>
      <c r="Y932" s="154"/>
      <c r="Z932" s="147" t="str">
        <f>IF($E932="","",VLOOKUP($D932,'Mortality Margins &amp; Grading'!$AB$5:$AF$125,3,0)*IF(Summary!$D$25="Included Margin",IF(AND($B932&gt;Input!$C$9,Summary!$D$31&lt;&gt;"Included Margin"),0,1),0))</f>
        <v/>
      </c>
      <c r="AA932" s="147" t="str">
        <f>IF($E932="","",VLOOKUP($D932,'Mortality Margins &amp; Grading'!$AB$5:$AF$125,5,0)*IF(Summary!$D$25="Included Margin",IF(AND($B932&gt;Input!$C$9,Summary!$D$31&lt;&gt;"Included Margin"),0,1),0))</f>
        <v/>
      </c>
      <c r="AB932" s="147" t="str">
        <f>IF($E932="","",IF(AND($B932&gt;Input!$C$9,Summary!$D$31&lt;&gt;"Included Margin"),1,IF(Summary!$D$25="Included Margin",VLOOKUP($B932,'Mortality Margins &amp; Grading'!$AI$5:$AR$125,MATCH('Mortality Margins &amp; Grading'!$AQ$4,'Mortality Margins &amp; Grading'!$AI$4:$AR$4,0),0),1)))</f>
        <v/>
      </c>
      <c r="AC932" s="154"/>
      <c r="AD932" s="158" t="str">
        <f>IF(E932="","",Input!$C$48*IF(Summary!$D$30="Included Margin",IF(AND($B932&gt;Input!$C$9,Summary!$D$31&lt;&gt;"Included Margin"),0,1),0))</f>
        <v/>
      </c>
      <c r="AE932" s="159" t="str">
        <f>IF(E932="","",IF(Summary!$D$26="Included Margin",IF(AND($B932&gt;Input!$C$9,Summary!$D$31&lt;&gt;"Included Margin"),1,1/$R932),1))</f>
        <v/>
      </c>
      <c r="AF932" s="160" t="str">
        <f>IF(E932="","",IF(AND($B932&gt;=Input!$C$9,$C932=12,Summary!$D$31="Included Margin",$U932&gt;0),1/U932-1,IF($B932&gt;=Input!$C$9,0,Input!$C$45*IF(Summary!$D$27="Included Margin",1,0))))</f>
        <v/>
      </c>
      <c r="AG932" s="160" t="str">
        <f>IF(E932="","",Input!$C$46*IF(Summary!$D$28="Included Margin",IF(AND($B932&gt;Input!$C$9,Summary!$D$31&lt;&gt;"Included Margin"),0,1),0))</f>
        <v/>
      </c>
      <c r="AH932" s="158" t="str">
        <f>IF(E932="","",Input!$C$47*IF(Summary!$D$29="Included Margin",IF(AND($B932&gt;Input!$C$9,Summary!$D$31&lt;&gt;"Included Margin"),0,1),0))</f>
        <v/>
      </c>
      <c r="AI932" s="154"/>
      <c r="AJ932" s="158" t="str">
        <f t="shared" si="604"/>
        <v/>
      </c>
      <c r="AK932" s="155" t="str">
        <f t="shared" si="605"/>
        <v/>
      </c>
      <c r="AL932" s="147" t="str">
        <f t="shared" si="606"/>
        <v/>
      </c>
      <c r="AM932" s="147" t="str">
        <f t="shared" si="585"/>
        <v/>
      </c>
      <c r="AN932" s="160" t="str">
        <f t="shared" si="607"/>
        <v/>
      </c>
      <c r="AO932" s="161" t="str">
        <f t="shared" si="608"/>
        <v/>
      </c>
      <c r="AP932" s="156" t="str">
        <f t="shared" si="586"/>
        <v/>
      </c>
      <c r="AQ932" s="152"/>
      <c r="AR932" s="162" t="str">
        <f t="shared" si="587"/>
        <v/>
      </c>
      <c r="AS932" s="150" t="str">
        <f t="shared" si="609"/>
        <v/>
      </c>
      <c r="AT932" s="163" t="str">
        <f t="shared" si="588"/>
        <v/>
      </c>
      <c r="AU932" s="163" t="str">
        <f t="shared" si="589"/>
        <v/>
      </c>
      <c r="AV932" s="163" t="str">
        <f t="shared" si="610"/>
        <v/>
      </c>
      <c r="AW932" s="163" t="str">
        <f t="shared" si="590"/>
        <v/>
      </c>
      <c r="AX932" s="163" t="str">
        <f t="shared" si="591"/>
        <v/>
      </c>
      <c r="AY932" s="165" t="str">
        <f t="shared" si="611"/>
        <v/>
      </c>
      <c r="AZ932" s="164" t="str">
        <f>IF($E932="","",IF(OR(AND($D932=Input!$C$6,$C932=12),$AN932=1),0,-AS933+AT933+AU933-AV933-AW933-AX933+AZ933))</f>
        <v/>
      </c>
      <c r="BA932" s="154" t="str">
        <f t="shared" si="592"/>
        <v/>
      </c>
      <c r="BC932" s="147" t="str">
        <f t="shared" si="612"/>
        <v/>
      </c>
      <c r="BD932" s="164" t="str">
        <f>IF(AND($C931=12,$D931=Input!$C$6),0,IF($E932="","",AT932+(AU932+BD933)/(1+$AK932)*MIN((1-AM932-AN932),1)))</f>
        <v/>
      </c>
      <c r="BE932" s="164" t="str">
        <f t="shared" si="628"/>
        <v/>
      </c>
      <c r="BF932" s="164" t="str">
        <f t="shared" si="613"/>
        <v/>
      </c>
      <c r="BG932" s="164" t="str">
        <f t="shared" si="593"/>
        <v/>
      </c>
      <c r="BH932" s="152"/>
      <c r="BI932" s="162" t="str">
        <f t="shared" si="621"/>
        <v/>
      </c>
      <c r="BJ932" s="150" t="str">
        <f t="shared" si="622"/>
        <v/>
      </c>
      <c r="BK932" s="163" t="str">
        <f t="shared" si="617"/>
        <v/>
      </c>
      <c r="BL932" s="163" t="str">
        <f t="shared" si="623"/>
        <v/>
      </c>
      <c r="BM932" s="163" t="str">
        <f t="shared" si="618"/>
        <v/>
      </c>
      <c r="BN932" s="163" t="str">
        <f t="shared" si="624"/>
        <v/>
      </c>
      <c r="BO932" s="163" t="str">
        <f t="shared" si="625"/>
        <v/>
      </c>
      <c r="BP932" s="164" t="str">
        <f t="shared" si="619"/>
        <v/>
      </c>
      <c r="BQ932" s="164" t="str">
        <f t="shared" si="626"/>
        <v/>
      </c>
      <c r="BR932" s="154" t="str">
        <f t="shared" si="627"/>
        <v/>
      </c>
      <c r="BT932" s="147" t="str">
        <f t="shared" si="600"/>
        <v/>
      </c>
      <c r="BU932" s="164" t="str">
        <f>IF(AND($C931=12,$D931=Input!$C$6),0,IF($E932="","",BK932+(BL932+BU933)/(1+$AK932)*MIN((1-T932-U932),1)))</f>
        <v/>
      </c>
      <c r="BV932" s="164" t="str">
        <f t="shared" si="601"/>
        <v/>
      </c>
      <c r="BW932" s="164" t="str">
        <f t="shared" si="602"/>
        <v/>
      </c>
      <c r="BX932" s="164" t="str">
        <f t="shared" si="603"/>
        <v/>
      </c>
    </row>
    <row r="933" spans="1:76" s="150" customFormat="1" x14ac:dyDescent="0.25">
      <c r="A933" s="150" t="str">
        <f t="shared" si="614"/>
        <v/>
      </c>
      <c r="B933" s="150" t="str">
        <f t="shared" si="615"/>
        <v/>
      </c>
      <c r="C933" s="150" t="str">
        <f t="shared" si="616"/>
        <v/>
      </c>
      <c r="D933" s="150" t="str">
        <f>IF(E933="","",Input!$C$4+B933-1)</f>
        <v/>
      </c>
      <c r="E933" s="150" t="str">
        <f>IF(OR(AND(C932=12,D932=Input!$C$6),E932=""),"",1)</f>
        <v/>
      </c>
      <c r="F933" s="150" t="str">
        <f>IF(E933="","",Input!$C$8+B933-1)</f>
        <v/>
      </c>
      <c r="G933" s="151" t="str">
        <f>IF(E933="","",MAX(0,Input!$C$9-B933))</f>
        <v/>
      </c>
      <c r="H933" s="152" t="str">
        <f>IF(E933="","",Input!$C$3)</f>
        <v/>
      </c>
      <c r="I933" s="153" t="str">
        <f>IF(E933="","",HLOOKUP($B933,Input!$C$13:$BT$14,2))</f>
        <v/>
      </c>
      <c r="J933" s="154"/>
      <c r="K933" s="155" t="str">
        <f>IF($E933="","",INDEX(Input!$C$16:$CP$16,1,$B933))</f>
        <v/>
      </c>
      <c r="L933" s="155" t="str">
        <f>IF($E933="","",Input!$C$37)</f>
        <v/>
      </c>
      <c r="M933" s="155" t="str">
        <f t="shared" si="580"/>
        <v/>
      </c>
      <c r="N933" s="155" t="str">
        <f t="shared" si="581"/>
        <v/>
      </c>
      <c r="O933" s="147" t="str">
        <f>IF($E933="","",MIN(VLOOKUP(IF($B933&lt;=Input!$C$7,$B933,26),'Mortality Tables'!$A$41:$CW$67,IF($B933&lt;=Input!$C$7+1,Input!$C$4+2,$D933-Input!$C$7+2),0)*IF(B933&gt;20,Input!$C$22,1)/1000,1))</f>
        <v/>
      </c>
      <c r="P933" s="147" t="str">
        <f>IF($E933="","",MIN(VLOOKUP(IF($B933&lt;=Input!$C$7,$B933,26),'Mortality Tables'!$A$12:$CW$37,IF($B933&lt;=Input!$C$7+1,Input!$C$4+2,$D933-Input!$C$7+2),0)*IF(B933&gt;20,Input!$C$22,1)/1000,1))</f>
        <v/>
      </c>
      <c r="Q933" s="155" t="str">
        <f>IF($E933="","",Input!$C$21)</f>
        <v/>
      </c>
      <c r="R933" s="159" t="str">
        <f>IF($E933="","",(1-Q933)^($F933-Input!$C$20))</f>
        <v/>
      </c>
      <c r="S933" s="147" t="str">
        <f t="shared" si="583"/>
        <v/>
      </c>
      <c r="T933" s="147" t="str">
        <f t="shared" si="584"/>
        <v/>
      </c>
      <c r="U933" s="160" t="str">
        <f>IF($E933="","",IF($C933=12,INDEX(Input!$C$15:$CP$15,1,$B933),0))</f>
        <v/>
      </c>
      <c r="V933" s="150" t="str">
        <f>IF(E933="","",IF(C933=1,IF($B933=1,Input!$C$33,Input!$C$34),0))</f>
        <v/>
      </c>
      <c r="W933" s="156" t="str">
        <f>IF($E933="","",Input!$C$35)</f>
        <v/>
      </c>
      <c r="X933" s="156" t="str">
        <f t="shared" si="582"/>
        <v/>
      </c>
      <c r="Y933" s="154"/>
      <c r="Z933" s="147" t="str">
        <f>IF($E933="","",VLOOKUP($D933,'Mortality Margins &amp; Grading'!$AB$5:$AF$125,3,0)*IF(Summary!$D$25="Included Margin",IF(AND($B933&gt;Input!$C$9,Summary!$D$31&lt;&gt;"Included Margin"),0,1),0))</f>
        <v/>
      </c>
      <c r="AA933" s="147" t="str">
        <f>IF($E933="","",VLOOKUP($D933,'Mortality Margins &amp; Grading'!$AB$5:$AF$125,5,0)*IF(Summary!$D$25="Included Margin",IF(AND($B933&gt;Input!$C$9,Summary!$D$31&lt;&gt;"Included Margin"),0,1),0))</f>
        <v/>
      </c>
      <c r="AB933" s="147" t="str">
        <f>IF($E933="","",IF(AND($B933&gt;Input!$C$9,Summary!$D$31&lt;&gt;"Included Margin"),1,IF(Summary!$D$25="Included Margin",VLOOKUP($B933,'Mortality Margins &amp; Grading'!$AI$5:$AR$125,MATCH('Mortality Margins &amp; Grading'!$AQ$4,'Mortality Margins &amp; Grading'!$AI$4:$AR$4,0),0),1)))</f>
        <v/>
      </c>
      <c r="AC933" s="154"/>
      <c r="AD933" s="158" t="str">
        <f>IF(E933="","",Input!$C$48*IF(Summary!$D$30="Included Margin",IF(AND($B933&gt;Input!$C$9,Summary!$D$31&lt;&gt;"Included Margin"),0,1),0))</f>
        <v/>
      </c>
      <c r="AE933" s="159" t="str">
        <f>IF(E933="","",IF(Summary!$D$26="Included Margin",IF(AND($B933&gt;Input!$C$9,Summary!$D$31&lt;&gt;"Included Margin"),1,1/$R933),1))</f>
        <v/>
      </c>
      <c r="AF933" s="160" t="str">
        <f>IF(E933="","",IF(AND($B933&gt;=Input!$C$9,$C933=12,Summary!$D$31="Included Margin",$U933&gt;0),1/U933-1,IF($B933&gt;=Input!$C$9,0,Input!$C$45*IF(Summary!$D$27="Included Margin",1,0))))</f>
        <v/>
      </c>
      <c r="AG933" s="160" t="str">
        <f>IF(E933="","",Input!$C$46*IF(Summary!$D$28="Included Margin",IF(AND($B933&gt;Input!$C$9,Summary!$D$31&lt;&gt;"Included Margin"),0,1),0))</f>
        <v/>
      </c>
      <c r="AH933" s="158" t="str">
        <f>IF(E933="","",Input!$C$47*IF(Summary!$D$29="Included Margin",IF(AND($B933&gt;Input!$C$9,Summary!$D$31&lt;&gt;"Included Margin"),0,1),0))</f>
        <v/>
      </c>
      <c r="AI933" s="154"/>
      <c r="AJ933" s="158" t="str">
        <f t="shared" si="604"/>
        <v/>
      </c>
      <c r="AK933" s="155" t="str">
        <f t="shared" si="605"/>
        <v/>
      </c>
      <c r="AL933" s="147" t="str">
        <f t="shared" si="606"/>
        <v/>
      </c>
      <c r="AM933" s="147" t="str">
        <f t="shared" si="585"/>
        <v/>
      </c>
      <c r="AN933" s="160" t="str">
        <f t="shared" si="607"/>
        <v/>
      </c>
      <c r="AO933" s="161" t="str">
        <f t="shared" si="608"/>
        <v/>
      </c>
      <c r="AP933" s="156" t="str">
        <f t="shared" si="586"/>
        <v/>
      </c>
      <c r="AQ933" s="152"/>
      <c r="AR933" s="162" t="str">
        <f t="shared" si="587"/>
        <v/>
      </c>
      <c r="AS933" s="150" t="str">
        <f t="shared" si="609"/>
        <v/>
      </c>
      <c r="AT933" s="163" t="str">
        <f t="shared" si="588"/>
        <v/>
      </c>
      <c r="AU933" s="163" t="str">
        <f t="shared" si="589"/>
        <v/>
      </c>
      <c r="AV933" s="163" t="str">
        <f t="shared" si="610"/>
        <v/>
      </c>
      <c r="AW933" s="163" t="str">
        <f t="shared" si="590"/>
        <v/>
      </c>
      <c r="AX933" s="163" t="str">
        <f t="shared" si="591"/>
        <v/>
      </c>
      <c r="AY933" s="164" t="str">
        <f t="shared" si="611"/>
        <v/>
      </c>
      <c r="AZ933" s="164" t="str">
        <f>IF($E933="","",IF(OR(AND($D933=Input!$C$6,$C933=12),$AN933=1),0,-AS934+AT934+AU934-AV934-AW934-AX934+AZ934))</f>
        <v/>
      </c>
      <c r="BA933" s="154" t="str">
        <f t="shared" si="592"/>
        <v/>
      </c>
      <c r="BC933" s="147" t="str">
        <f t="shared" si="612"/>
        <v/>
      </c>
      <c r="BD933" s="164" t="str">
        <f>IF(AND($C932=12,$D932=Input!$C$6),0,IF($E933="","",AT933+(AU933+BD934)/(1+$AK933)*MIN((1-AM933-AN933),1)))</f>
        <v/>
      </c>
      <c r="BE933" s="164" t="str">
        <f t="shared" si="628"/>
        <v/>
      </c>
      <c r="BF933" s="164" t="str">
        <f t="shared" si="613"/>
        <v/>
      </c>
      <c r="BG933" s="164" t="str">
        <f t="shared" si="593"/>
        <v/>
      </c>
      <c r="BH933" s="152"/>
      <c r="BI933" s="162" t="str">
        <f t="shared" si="621"/>
        <v/>
      </c>
      <c r="BJ933" s="150" t="str">
        <f t="shared" si="622"/>
        <v/>
      </c>
      <c r="BK933" s="163" t="str">
        <f t="shared" si="617"/>
        <v/>
      </c>
      <c r="BL933" s="163" t="str">
        <f t="shared" si="623"/>
        <v/>
      </c>
      <c r="BM933" s="163" t="str">
        <f t="shared" si="618"/>
        <v/>
      </c>
      <c r="BN933" s="163" t="str">
        <f t="shared" si="624"/>
        <v/>
      </c>
      <c r="BO933" s="163" t="str">
        <f t="shared" si="625"/>
        <v/>
      </c>
      <c r="BP933" s="164" t="str">
        <f t="shared" si="619"/>
        <v/>
      </c>
      <c r="BQ933" s="164" t="str">
        <f t="shared" si="626"/>
        <v/>
      </c>
      <c r="BR933" s="154" t="str">
        <f t="shared" si="627"/>
        <v/>
      </c>
      <c r="BT933" s="147" t="str">
        <f t="shared" si="600"/>
        <v/>
      </c>
      <c r="BU933" s="164" t="str">
        <f>IF(AND($C932=12,$D932=Input!$C$6),0,IF($E933="","",BK933+(BL933+BU934)/(1+$AK933)*MIN((1-T933-U933),1)))</f>
        <v/>
      </c>
      <c r="BV933" s="164" t="str">
        <f t="shared" si="601"/>
        <v/>
      </c>
      <c r="BW933" s="164" t="str">
        <f t="shared" si="602"/>
        <v/>
      </c>
      <c r="BX933" s="164" t="str">
        <f t="shared" si="603"/>
        <v/>
      </c>
    </row>
    <row r="934" spans="1:76" s="150" customFormat="1" x14ac:dyDescent="0.25">
      <c r="A934" s="150" t="str">
        <f t="shared" si="614"/>
        <v/>
      </c>
      <c r="B934" s="150" t="str">
        <f t="shared" si="615"/>
        <v/>
      </c>
      <c r="C934" s="150" t="str">
        <f t="shared" si="616"/>
        <v/>
      </c>
      <c r="D934" s="150" t="str">
        <f>IF(E934="","",Input!$C$4+B934-1)</f>
        <v/>
      </c>
      <c r="E934" s="150" t="str">
        <f>IF(OR(AND(C933=12,D933=Input!$C$6),E933=""),"",1)</f>
        <v/>
      </c>
      <c r="F934" s="150" t="str">
        <f>IF(E934="","",Input!$C$8+B934-1)</f>
        <v/>
      </c>
      <c r="G934" s="151" t="str">
        <f>IF(E934="","",MAX(0,Input!$C$9-B934))</f>
        <v/>
      </c>
      <c r="H934" s="152" t="str">
        <f>IF(E934="","",Input!$C$3)</f>
        <v/>
      </c>
      <c r="I934" s="153" t="str">
        <f>IF(E934="","",HLOOKUP($B934,Input!$C$13:$BT$14,2))</f>
        <v/>
      </c>
      <c r="J934" s="154"/>
      <c r="K934" s="155" t="str">
        <f>IF($E934="","",INDEX(Input!$C$16:$CP$16,1,$B934))</f>
        <v/>
      </c>
      <c r="L934" s="155" t="str">
        <f>IF($E934="","",Input!$C$37)</f>
        <v/>
      </c>
      <c r="M934" s="155" t="str">
        <f t="shared" si="580"/>
        <v/>
      </c>
      <c r="N934" s="155" t="str">
        <f t="shared" si="581"/>
        <v/>
      </c>
      <c r="O934" s="147" t="str">
        <f>IF($E934="","",MIN(VLOOKUP(IF($B934&lt;=Input!$C$7,$B934,26),'Mortality Tables'!$A$41:$CW$67,IF($B934&lt;=Input!$C$7+1,Input!$C$4+2,$D934-Input!$C$7+2),0)*IF(B934&gt;20,Input!$C$22,1)/1000,1))</f>
        <v/>
      </c>
      <c r="P934" s="147" t="str">
        <f>IF($E934="","",MIN(VLOOKUP(IF($B934&lt;=Input!$C$7,$B934,26),'Mortality Tables'!$A$12:$CW$37,IF($B934&lt;=Input!$C$7+1,Input!$C$4+2,$D934-Input!$C$7+2),0)*IF(B934&gt;20,Input!$C$22,1)/1000,1))</f>
        <v/>
      </c>
      <c r="Q934" s="155" t="str">
        <f>IF($E934="","",Input!$C$21)</f>
        <v/>
      </c>
      <c r="R934" s="159" t="str">
        <f>IF($E934="","",(1-Q934)^($F934-Input!$C$20))</f>
        <v/>
      </c>
      <c r="S934" s="147" t="str">
        <f t="shared" si="583"/>
        <v/>
      </c>
      <c r="T934" s="147" t="str">
        <f t="shared" si="584"/>
        <v/>
      </c>
      <c r="U934" s="160" t="str">
        <f>IF($E934="","",IF($C934=12,INDEX(Input!$C$15:$CP$15,1,$B934),0))</f>
        <v/>
      </c>
      <c r="V934" s="150" t="str">
        <f>IF(E934="","",IF(C934=1,IF($B934=1,Input!$C$33,Input!$C$34),0))</f>
        <v/>
      </c>
      <c r="W934" s="156" t="str">
        <f>IF($E934="","",Input!$C$35)</f>
        <v/>
      </c>
      <c r="X934" s="156" t="str">
        <f t="shared" si="582"/>
        <v/>
      </c>
      <c r="Y934" s="154"/>
      <c r="Z934" s="147" t="str">
        <f>IF($E934="","",VLOOKUP($D934,'Mortality Margins &amp; Grading'!$AB$5:$AF$125,3,0)*IF(Summary!$D$25="Included Margin",IF(AND($B934&gt;Input!$C$9,Summary!$D$31&lt;&gt;"Included Margin"),0,1),0))</f>
        <v/>
      </c>
      <c r="AA934" s="147" t="str">
        <f>IF($E934="","",VLOOKUP($D934,'Mortality Margins &amp; Grading'!$AB$5:$AF$125,5,0)*IF(Summary!$D$25="Included Margin",IF(AND($B934&gt;Input!$C$9,Summary!$D$31&lt;&gt;"Included Margin"),0,1),0))</f>
        <v/>
      </c>
      <c r="AB934" s="147" t="str">
        <f>IF($E934="","",IF(AND($B934&gt;Input!$C$9,Summary!$D$31&lt;&gt;"Included Margin"),1,IF(Summary!$D$25="Included Margin",VLOOKUP($B934,'Mortality Margins &amp; Grading'!$AI$5:$AR$125,MATCH('Mortality Margins &amp; Grading'!$AQ$4,'Mortality Margins &amp; Grading'!$AI$4:$AR$4,0),0),1)))</f>
        <v/>
      </c>
      <c r="AC934" s="154"/>
      <c r="AD934" s="158" t="str">
        <f>IF(E934="","",Input!$C$48*IF(Summary!$D$30="Included Margin",IF(AND($B934&gt;Input!$C$9,Summary!$D$31&lt;&gt;"Included Margin"),0,1),0))</f>
        <v/>
      </c>
      <c r="AE934" s="159" t="str">
        <f>IF(E934="","",IF(Summary!$D$26="Included Margin",IF(AND($B934&gt;Input!$C$9,Summary!$D$31&lt;&gt;"Included Margin"),1,1/$R934),1))</f>
        <v/>
      </c>
      <c r="AF934" s="160" t="str">
        <f>IF(E934="","",IF(AND($B934&gt;=Input!$C$9,$C934=12,Summary!$D$31="Included Margin",$U934&gt;0),1/U934-1,IF($B934&gt;=Input!$C$9,0,Input!$C$45*IF(Summary!$D$27="Included Margin",1,0))))</f>
        <v/>
      </c>
      <c r="AG934" s="160" t="str">
        <f>IF(E934="","",Input!$C$46*IF(Summary!$D$28="Included Margin",IF(AND($B934&gt;Input!$C$9,Summary!$D$31&lt;&gt;"Included Margin"),0,1),0))</f>
        <v/>
      </c>
      <c r="AH934" s="158" t="str">
        <f>IF(E934="","",Input!$C$47*IF(Summary!$D$29="Included Margin",IF(AND($B934&gt;Input!$C$9,Summary!$D$31&lt;&gt;"Included Margin"),0,1),0))</f>
        <v/>
      </c>
      <c r="AI934" s="154"/>
      <c r="AJ934" s="158" t="str">
        <f t="shared" si="604"/>
        <v/>
      </c>
      <c r="AK934" s="155" t="str">
        <f t="shared" si="605"/>
        <v/>
      </c>
      <c r="AL934" s="147" t="str">
        <f t="shared" si="606"/>
        <v/>
      </c>
      <c r="AM934" s="147" t="str">
        <f t="shared" si="585"/>
        <v/>
      </c>
      <c r="AN934" s="160" t="str">
        <f t="shared" si="607"/>
        <v/>
      </c>
      <c r="AO934" s="161" t="str">
        <f t="shared" si="608"/>
        <v/>
      </c>
      <c r="AP934" s="156" t="str">
        <f t="shared" si="586"/>
        <v/>
      </c>
      <c r="AQ934" s="152"/>
      <c r="AR934" s="162" t="str">
        <f t="shared" si="587"/>
        <v/>
      </c>
      <c r="AS934" s="150" t="str">
        <f t="shared" si="609"/>
        <v/>
      </c>
      <c r="AT934" s="163" t="str">
        <f t="shared" si="588"/>
        <v/>
      </c>
      <c r="AU934" s="163" t="str">
        <f t="shared" si="589"/>
        <v/>
      </c>
      <c r="AV934" s="163" t="str">
        <f t="shared" si="610"/>
        <v/>
      </c>
      <c r="AW934" s="163" t="str">
        <f t="shared" si="590"/>
        <v/>
      </c>
      <c r="AX934" s="163" t="str">
        <f t="shared" si="591"/>
        <v/>
      </c>
      <c r="AY934" s="165" t="str">
        <f t="shared" si="611"/>
        <v/>
      </c>
      <c r="AZ934" s="164" t="str">
        <f>IF($E934="","",IF(OR(AND($D934=Input!$C$6,$C934=12),$AN934=1),0,-AS935+AT935+AU935-AV935-AW935-AX935+AZ935))</f>
        <v/>
      </c>
      <c r="BA934" s="154" t="str">
        <f t="shared" si="592"/>
        <v/>
      </c>
      <c r="BC934" s="147" t="str">
        <f t="shared" si="612"/>
        <v/>
      </c>
      <c r="BD934" s="164" t="str">
        <f>IF(AND($C933=12,$D933=Input!$C$6),0,IF($E934="","",AT934+(AU934+BD935)/(1+$AK934)*MIN((1-AM934-AN934),1)))</f>
        <v/>
      </c>
      <c r="BE934" s="164" t="str">
        <f t="shared" si="628"/>
        <v/>
      </c>
      <c r="BF934" s="164" t="str">
        <f t="shared" si="613"/>
        <v/>
      </c>
      <c r="BG934" s="164" t="str">
        <f t="shared" si="593"/>
        <v/>
      </c>
      <c r="BH934" s="152"/>
      <c r="BI934" s="162" t="str">
        <f t="shared" si="621"/>
        <v/>
      </c>
      <c r="BJ934" s="150" t="str">
        <f t="shared" si="622"/>
        <v/>
      </c>
      <c r="BK934" s="163" t="str">
        <f t="shared" si="617"/>
        <v/>
      </c>
      <c r="BL934" s="163" t="str">
        <f t="shared" si="623"/>
        <v/>
      </c>
      <c r="BM934" s="163" t="str">
        <f t="shared" si="618"/>
        <v/>
      </c>
      <c r="BN934" s="163" t="str">
        <f t="shared" si="624"/>
        <v/>
      </c>
      <c r="BO934" s="163" t="str">
        <f t="shared" si="625"/>
        <v/>
      </c>
      <c r="BP934" s="164" t="str">
        <f t="shared" si="619"/>
        <v/>
      </c>
      <c r="BQ934" s="164" t="str">
        <f t="shared" si="626"/>
        <v/>
      </c>
      <c r="BR934" s="154" t="str">
        <f t="shared" si="627"/>
        <v/>
      </c>
      <c r="BT934" s="147" t="str">
        <f t="shared" si="600"/>
        <v/>
      </c>
      <c r="BU934" s="164" t="str">
        <f>IF(AND($C933=12,$D933=Input!$C$6),0,IF($E934="","",BK934+(BL934+BU935)/(1+$AK934)*MIN((1-T934-U934),1)))</f>
        <v/>
      </c>
      <c r="BV934" s="164" t="str">
        <f t="shared" si="601"/>
        <v/>
      </c>
      <c r="BW934" s="164" t="str">
        <f t="shared" si="602"/>
        <v/>
      </c>
      <c r="BX934" s="164" t="str">
        <f t="shared" si="603"/>
        <v/>
      </c>
    </row>
    <row r="935" spans="1:76" s="150" customFormat="1" x14ac:dyDescent="0.25">
      <c r="A935" s="150" t="str">
        <f t="shared" si="614"/>
        <v/>
      </c>
      <c r="B935" s="150" t="str">
        <f t="shared" si="615"/>
        <v/>
      </c>
      <c r="C935" s="150" t="str">
        <f t="shared" si="616"/>
        <v/>
      </c>
      <c r="D935" s="150" t="str">
        <f>IF(E935="","",Input!$C$4+B935-1)</f>
        <v/>
      </c>
      <c r="E935" s="150" t="str">
        <f>IF(OR(AND(C934=12,D934=Input!$C$6),E934=""),"",1)</f>
        <v/>
      </c>
      <c r="F935" s="150" t="str">
        <f>IF(E935="","",Input!$C$8+B935-1)</f>
        <v/>
      </c>
      <c r="G935" s="151" t="str">
        <f>IF(E935="","",MAX(0,Input!$C$9-B935))</f>
        <v/>
      </c>
      <c r="H935" s="152" t="str">
        <f>IF(E935="","",Input!$C$3)</f>
        <v/>
      </c>
      <c r="I935" s="153" t="str">
        <f>IF(E935="","",HLOOKUP($B935,Input!$C$13:$BT$14,2))</f>
        <v/>
      </c>
      <c r="J935" s="154"/>
      <c r="K935" s="155" t="str">
        <f>IF($E935="","",INDEX(Input!$C$16:$CP$16,1,$B935))</f>
        <v/>
      </c>
      <c r="L935" s="155" t="str">
        <f>IF($E935="","",Input!$C$37)</f>
        <v/>
      </c>
      <c r="M935" s="155" t="str">
        <f t="shared" si="580"/>
        <v/>
      </c>
      <c r="N935" s="155" t="str">
        <f t="shared" si="581"/>
        <v/>
      </c>
      <c r="O935" s="147" t="str">
        <f>IF($E935="","",MIN(VLOOKUP(IF($B935&lt;=Input!$C$7,$B935,26),'Mortality Tables'!$A$41:$CW$67,IF($B935&lt;=Input!$C$7+1,Input!$C$4+2,$D935-Input!$C$7+2),0)*IF(B935&gt;20,Input!$C$22,1)/1000,1))</f>
        <v/>
      </c>
      <c r="P935" s="147" t="str">
        <f>IF($E935="","",MIN(VLOOKUP(IF($B935&lt;=Input!$C$7,$B935,26),'Mortality Tables'!$A$12:$CW$37,IF($B935&lt;=Input!$C$7+1,Input!$C$4+2,$D935-Input!$C$7+2),0)*IF(B935&gt;20,Input!$C$22,1)/1000,1))</f>
        <v/>
      </c>
      <c r="Q935" s="155" t="str">
        <f>IF($E935="","",Input!$C$21)</f>
        <v/>
      </c>
      <c r="R935" s="159" t="str">
        <f>IF($E935="","",(1-Q935)^($F935-Input!$C$20))</f>
        <v/>
      </c>
      <c r="S935" s="147" t="str">
        <f t="shared" si="583"/>
        <v/>
      </c>
      <c r="T935" s="147" t="str">
        <f t="shared" si="584"/>
        <v/>
      </c>
      <c r="U935" s="160" t="str">
        <f>IF($E935="","",IF($C935=12,INDEX(Input!$C$15:$CP$15,1,$B935),0))</f>
        <v/>
      </c>
      <c r="V935" s="150" t="str">
        <f>IF(E935="","",IF(C935=1,IF($B935=1,Input!$C$33,Input!$C$34),0))</f>
        <v/>
      </c>
      <c r="W935" s="156" t="str">
        <f>IF($E935="","",Input!$C$35)</f>
        <v/>
      </c>
      <c r="X935" s="156" t="str">
        <f t="shared" si="582"/>
        <v/>
      </c>
      <c r="Y935" s="154"/>
      <c r="Z935" s="147" t="str">
        <f>IF($E935="","",VLOOKUP($D935,'Mortality Margins &amp; Grading'!$AB$5:$AF$125,3,0)*IF(Summary!$D$25="Included Margin",IF(AND($B935&gt;Input!$C$9,Summary!$D$31&lt;&gt;"Included Margin"),0,1),0))</f>
        <v/>
      </c>
      <c r="AA935" s="147" t="str">
        <f>IF($E935="","",VLOOKUP($D935,'Mortality Margins &amp; Grading'!$AB$5:$AF$125,5,0)*IF(Summary!$D$25="Included Margin",IF(AND($B935&gt;Input!$C$9,Summary!$D$31&lt;&gt;"Included Margin"),0,1),0))</f>
        <v/>
      </c>
      <c r="AB935" s="147" t="str">
        <f>IF($E935="","",IF(AND($B935&gt;Input!$C$9,Summary!$D$31&lt;&gt;"Included Margin"),1,IF(Summary!$D$25="Included Margin",VLOOKUP($B935,'Mortality Margins &amp; Grading'!$AI$5:$AR$125,MATCH('Mortality Margins &amp; Grading'!$AQ$4,'Mortality Margins &amp; Grading'!$AI$4:$AR$4,0),0),1)))</f>
        <v/>
      </c>
      <c r="AC935" s="154"/>
      <c r="AD935" s="158" t="str">
        <f>IF(E935="","",Input!$C$48*IF(Summary!$D$30="Included Margin",IF(AND($B935&gt;Input!$C$9,Summary!$D$31&lt;&gt;"Included Margin"),0,1),0))</f>
        <v/>
      </c>
      <c r="AE935" s="159" t="str">
        <f>IF(E935="","",IF(Summary!$D$26="Included Margin",IF(AND($B935&gt;Input!$C$9,Summary!$D$31&lt;&gt;"Included Margin"),1,1/$R935),1))</f>
        <v/>
      </c>
      <c r="AF935" s="160" t="str">
        <f>IF(E935="","",IF(AND($B935&gt;=Input!$C$9,$C935=12,Summary!$D$31="Included Margin",$U935&gt;0),1/U935-1,IF($B935&gt;=Input!$C$9,0,Input!$C$45*IF(Summary!$D$27="Included Margin",1,0))))</f>
        <v/>
      </c>
      <c r="AG935" s="160" t="str">
        <f>IF(E935="","",Input!$C$46*IF(Summary!$D$28="Included Margin",IF(AND($B935&gt;Input!$C$9,Summary!$D$31&lt;&gt;"Included Margin"),0,1),0))</f>
        <v/>
      </c>
      <c r="AH935" s="158" t="str">
        <f>IF(E935="","",Input!$C$47*IF(Summary!$D$29="Included Margin",IF(AND($B935&gt;Input!$C$9,Summary!$D$31&lt;&gt;"Included Margin"),0,1),0))</f>
        <v/>
      </c>
      <c r="AI935" s="154"/>
      <c r="AJ935" s="158" t="str">
        <f t="shared" si="604"/>
        <v/>
      </c>
      <c r="AK935" s="155" t="str">
        <f t="shared" si="605"/>
        <v/>
      </c>
      <c r="AL935" s="147" t="str">
        <f t="shared" si="606"/>
        <v/>
      </c>
      <c r="AM935" s="147" t="str">
        <f t="shared" si="585"/>
        <v/>
      </c>
      <c r="AN935" s="160" t="str">
        <f t="shared" si="607"/>
        <v/>
      </c>
      <c r="AO935" s="161" t="str">
        <f t="shared" si="608"/>
        <v/>
      </c>
      <c r="AP935" s="156" t="str">
        <f t="shared" si="586"/>
        <v/>
      </c>
      <c r="AQ935" s="152"/>
      <c r="AR935" s="162" t="str">
        <f t="shared" si="587"/>
        <v/>
      </c>
      <c r="AS935" s="150" t="str">
        <f t="shared" si="609"/>
        <v/>
      </c>
      <c r="AT935" s="163" t="str">
        <f t="shared" si="588"/>
        <v/>
      </c>
      <c r="AU935" s="163" t="str">
        <f t="shared" si="589"/>
        <v/>
      </c>
      <c r="AV935" s="163" t="str">
        <f t="shared" si="610"/>
        <v/>
      </c>
      <c r="AW935" s="163" t="str">
        <f t="shared" si="590"/>
        <v/>
      </c>
      <c r="AX935" s="163" t="str">
        <f t="shared" si="591"/>
        <v/>
      </c>
      <c r="AY935" s="164" t="str">
        <f t="shared" si="611"/>
        <v/>
      </c>
      <c r="AZ935" s="164" t="str">
        <f>IF($E935="","",IF(OR(AND($D935=Input!$C$6,$C935=12),$AN935=1),0,-AS936+AT936+AU936-AV936-AW936-AX936+AZ936))</f>
        <v/>
      </c>
      <c r="BA935" s="154" t="str">
        <f t="shared" si="592"/>
        <v/>
      </c>
      <c r="BC935" s="147" t="str">
        <f t="shared" si="612"/>
        <v/>
      </c>
      <c r="BD935" s="164" t="str">
        <f>IF(AND($C934=12,$D934=Input!$C$6),0,IF($E935="","",AT935+(AU935+BD936)/(1+$AK935)*MIN((1-AM935-AN935),1)))</f>
        <v/>
      </c>
      <c r="BE935" s="164" t="str">
        <f t="shared" si="628"/>
        <v/>
      </c>
      <c r="BF935" s="164" t="str">
        <f t="shared" si="613"/>
        <v/>
      </c>
      <c r="BG935" s="164" t="str">
        <f t="shared" si="593"/>
        <v/>
      </c>
      <c r="BH935" s="152"/>
      <c r="BI935" s="162" t="str">
        <f t="shared" si="621"/>
        <v/>
      </c>
      <c r="BJ935" s="150" t="str">
        <f t="shared" si="622"/>
        <v/>
      </c>
      <c r="BK935" s="163" t="str">
        <f t="shared" si="617"/>
        <v/>
      </c>
      <c r="BL935" s="163" t="str">
        <f t="shared" si="623"/>
        <v/>
      </c>
      <c r="BM935" s="163" t="str">
        <f t="shared" si="618"/>
        <v/>
      </c>
      <c r="BN935" s="163" t="str">
        <f t="shared" si="624"/>
        <v/>
      </c>
      <c r="BO935" s="163" t="str">
        <f t="shared" si="625"/>
        <v/>
      </c>
      <c r="BP935" s="164" t="str">
        <f t="shared" si="619"/>
        <v/>
      </c>
      <c r="BQ935" s="164" t="str">
        <f t="shared" si="626"/>
        <v/>
      </c>
      <c r="BR935" s="154" t="str">
        <f t="shared" si="627"/>
        <v/>
      </c>
      <c r="BT935" s="147" t="str">
        <f t="shared" si="600"/>
        <v/>
      </c>
      <c r="BU935" s="164" t="str">
        <f>IF(AND($C934=12,$D934=Input!$C$6),0,IF($E935="","",BK935+(BL935+BU936)/(1+$AK935)*MIN((1-T935-U935),1)))</f>
        <v/>
      </c>
      <c r="BV935" s="164" t="str">
        <f t="shared" si="601"/>
        <v/>
      </c>
      <c r="BW935" s="164" t="str">
        <f t="shared" si="602"/>
        <v/>
      </c>
      <c r="BX935" s="164" t="str">
        <f t="shared" si="603"/>
        <v/>
      </c>
    </row>
    <row r="936" spans="1:76" s="150" customFormat="1" x14ac:dyDescent="0.25">
      <c r="A936" s="150" t="str">
        <f t="shared" si="614"/>
        <v/>
      </c>
      <c r="B936" s="150" t="str">
        <f t="shared" si="615"/>
        <v/>
      </c>
      <c r="C936" s="150" t="str">
        <f t="shared" si="616"/>
        <v/>
      </c>
      <c r="D936" s="150" t="str">
        <f>IF(E936="","",Input!$C$4+B936-1)</f>
        <v/>
      </c>
      <c r="E936" s="150" t="str">
        <f>IF(OR(AND(C935=12,D935=Input!$C$6),E935=""),"",1)</f>
        <v/>
      </c>
      <c r="F936" s="150" t="str">
        <f>IF(E936="","",Input!$C$8+B936-1)</f>
        <v/>
      </c>
      <c r="G936" s="151" t="str">
        <f>IF(E936="","",MAX(0,Input!$C$9-B936))</f>
        <v/>
      </c>
      <c r="H936" s="152" t="str">
        <f>IF(E936="","",Input!$C$3)</f>
        <v/>
      </c>
      <c r="I936" s="153" t="str">
        <f>IF(E936="","",HLOOKUP($B936,Input!$C$13:$BT$14,2))</f>
        <v/>
      </c>
      <c r="J936" s="154"/>
      <c r="K936" s="155" t="str">
        <f>IF($E936="","",INDEX(Input!$C$16:$CP$16,1,$B936))</f>
        <v/>
      </c>
      <c r="L936" s="155" t="str">
        <f>IF($E936="","",Input!$C$37)</f>
        <v/>
      </c>
      <c r="M936" s="155" t="str">
        <f t="shared" si="580"/>
        <v/>
      </c>
      <c r="N936" s="155" t="str">
        <f t="shared" si="581"/>
        <v/>
      </c>
      <c r="O936" s="147" t="str">
        <f>IF($E936="","",MIN(VLOOKUP(IF($B936&lt;=Input!$C$7,$B936,26),'Mortality Tables'!$A$41:$CW$67,IF($B936&lt;=Input!$C$7+1,Input!$C$4+2,$D936-Input!$C$7+2),0)*IF(B936&gt;20,Input!$C$22,1)/1000,1))</f>
        <v/>
      </c>
      <c r="P936" s="147" t="str">
        <f>IF($E936="","",MIN(VLOOKUP(IF($B936&lt;=Input!$C$7,$B936,26),'Mortality Tables'!$A$12:$CW$37,IF($B936&lt;=Input!$C$7+1,Input!$C$4+2,$D936-Input!$C$7+2),0)*IF(B936&gt;20,Input!$C$22,1)/1000,1))</f>
        <v/>
      </c>
      <c r="Q936" s="155" t="str">
        <f>IF($E936="","",Input!$C$21)</f>
        <v/>
      </c>
      <c r="R936" s="159" t="str">
        <f>IF($E936="","",(1-Q936)^($F936-Input!$C$20))</f>
        <v/>
      </c>
      <c r="S936" s="147" t="str">
        <f t="shared" si="583"/>
        <v/>
      </c>
      <c r="T936" s="147" t="str">
        <f t="shared" si="584"/>
        <v/>
      </c>
      <c r="U936" s="160" t="str">
        <f>IF($E936="","",IF($C936=12,INDEX(Input!$C$15:$CP$15,1,$B936),0))</f>
        <v/>
      </c>
      <c r="V936" s="150" t="str">
        <f>IF(E936="","",IF(C936=1,IF($B936=1,Input!$C$33,Input!$C$34),0))</f>
        <v/>
      </c>
      <c r="W936" s="156" t="str">
        <f>IF($E936="","",Input!$C$35)</f>
        <v/>
      </c>
      <c r="X936" s="156" t="str">
        <f t="shared" si="582"/>
        <v/>
      </c>
      <c r="Y936" s="154"/>
      <c r="Z936" s="147" t="str">
        <f>IF($E936="","",VLOOKUP($D936,'Mortality Margins &amp; Grading'!$AB$5:$AF$125,3,0)*IF(Summary!$D$25="Included Margin",IF(AND($B936&gt;Input!$C$9,Summary!$D$31&lt;&gt;"Included Margin"),0,1),0))</f>
        <v/>
      </c>
      <c r="AA936" s="147" t="str">
        <f>IF($E936="","",VLOOKUP($D936,'Mortality Margins &amp; Grading'!$AB$5:$AF$125,5,0)*IF(Summary!$D$25="Included Margin",IF(AND($B936&gt;Input!$C$9,Summary!$D$31&lt;&gt;"Included Margin"),0,1),0))</f>
        <v/>
      </c>
      <c r="AB936" s="147" t="str">
        <f>IF($E936="","",IF(AND($B936&gt;Input!$C$9,Summary!$D$31&lt;&gt;"Included Margin"),1,IF(Summary!$D$25="Included Margin",VLOOKUP($B936,'Mortality Margins &amp; Grading'!$AI$5:$AR$125,MATCH('Mortality Margins &amp; Grading'!$AQ$4,'Mortality Margins &amp; Grading'!$AI$4:$AR$4,0),0),1)))</f>
        <v/>
      </c>
      <c r="AC936" s="154"/>
      <c r="AD936" s="158" t="str">
        <f>IF(E936="","",Input!$C$48*IF(Summary!$D$30="Included Margin",IF(AND($B936&gt;Input!$C$9,Summary!$D$31&lt;&gt;"Included Margin"),0,1),0))</f>
        <v/>
      </c>
      <c r="AE936" s="159" t="str">
        <f>IF(E936="","",IF(Summary!$D$26="Included Margin",IF(AND($B936&gt;Input!$C$9,Summary!$D$31&lt;&gt;"Included Margin"),1,1/$R936),1))</f>
        <v/>
      </c>
      <c r="AF936" s="160" t="str">
        <f>IF(E936="","",IF(AND($B936&gt;=Input!$C$9,$C936=12,Summary!$D$31="Included Margin",$U936&gt;0),1/U936-1,IF($B936&gt;=Input!$C$9,0,Input!$C$45*IF(Summary!$D$27="Included Margin",1,0))))</f>
        <v/>
      </c>
      <c r="AG936" s="160" t="str">
        <f>IF(E936="","",Input!$C$46*IF(Summary!$D$28="Included Margin",IF(AND($B936&gt;Input!$C$9,Summary!$D$31&lt;&gt;"Included Margin"),0,1),0))</f>
        <v/>
      </c>
      <c r="AH936" s="158" t="str">
        <f>IF(E936="","",Input!$C$47*IF(Summary!$D$29="Included Margin",IF(AND($B936&gt;Input!$C$9,Summary!$D$31&lt;&gt;"Included Margin"),0,1),0))</f>
        <v/>
      </c>
      <c r="AI936" s="154"/>
      <c r="AJ936" s="158" t="str">
        <f t="shared" si="604"/>
        <v/>
      </c>
      <c r="AK936" s="155" t="str">
        <f t="shared" si="605"/>
        <v/>
      </c>
      <c r="AL936" s="147" t="str">
        <f t="shared" si="606"/>
        <v/>
      </c>
      <c r="AM936" s="147" t="str">
        <f t="shared" si="585"/>
        <v/>
      </c>
      <c r="AN936" s="160" t="str">
        <f t="shared" si="607"/>
        <v/>
      </c>
      <c r="AO936" s="161" t="str">
        <f t="shared" si="608"/>
        <v/>
      </c>
      <c r="AP936" s="156" t="str">
        <f t="shared" si="586"/>
        <v/>
      </c>
      <c r="AQ936" s="152"/>
      <c r="AR936" s="162" t="str">
        <f t="shared" si="587"/>
        <v/>
      </c>
      <c r="AS936" s="150" t="str">
        <f t="shared" si="609"/>
        <v/>
      </c>
      <c r="AT936" s="163" t="str">
        <f t="shared" si="588"/>
        <v/>
      </c>
      <c r="AU936" s="163" t="str">
        <f t="shared" si="589"/>
        <v/>
      </c>
      <c r="AV936" s="163" t="str">
        <f t="shared" si="610"/>
        <v/>
      </c>
      <c r="AW936" s="163" t="str">
        <f t="shared" si="590"/>
        <v/>
      </c>
      <c r="AX936" s="163" t="str">
        <f t="shared" si="591"/>
        <v/>
      </c>
      <c r="AY936" s="165" t="str">
        <f t="shared" si="611"/>
        <v/>
      </c>
      <c r="AZ936" s="164" t="str">
        <f>IF($E936="","",IF(OR(AND($D936=Input!$C$6,$C936=12),$AN936=1),0,-AS937+AT937+AU937-AV937-AW937-AX937+AZ937))</f>
        <v/>
      </c>
      <c r="BA936" s="154" t="str">
        <f t="shared" si="592"/>
        <v/>
      </c>
      <c r="BC936" s="147" t="str">
        <f t="shared" si="612"/>
        <v/>
      </c>
      <c r="BD936" s="164" t="str">
        <f>IF(AND($C935=12,$D935=Input!$C$6),0,IF($E936="","",AT936+(AU936+BD937)/(1+$AK936)*MIN((1-AM936-AN936),1)))</f>
        <v/>
      </c>
      <c r="BE936" s="164" t="str">
        <f t="shared" si="628"/>
        <v/>
      </c>
      <c r="BF936" s="164" t="str">
        <f t="shared" si="613"/>
        <v/>
      </c>
      <c r="BG936" s="164" t="str">
        <f t="shared" si="593"/>
        <v/>
      </c>
      <c r="BH936" s="152"/>
      <c r="BI936" s="162" t="str">
        <f t="shared" si="621"/>
        <v/>
      </c>
      <c r="BJ936" s="150" t="str">
        <f t="shared" si="622"/>
        <v/>
      </c>
      <c r="BK936" s="163" t="str">
        <f t="shared" si="617"/>
        <v/>
      </c>
      <c r="BL936" s="163" t="str">
        <f t="shared" si="623"/>
        <v/>
      </c>
      <c r="BM936" s="163" t="str">
        <f t="shared" si="618"/>
        <v/>
      </c>
      <c r="BN936" s="163" t="str">
        <f t="shared" si="624"/>
        <v/>
      </c>
      <c r="BO936" s="163" t="str">
        <f t="shared" si="625"/>
        <v/>
      </c>
      <c r="BP936" s="164" t="str">
        <f t="shared" si="619"/>
        <v/>
      </c>
      <c r="BQ936" s="164" t="str">
        <f t="shared" si="626"/>
        <v/>
      </c>
      <c r="BR936" s="154" t="str">
        <f t="shared" si="627"/>
        <v/>
      </c>
      <c r="BT936" s="147" t="str">
        <f t="shared" si="600"/>
        <v/>
      </c>
      <c r="BU936" s="164" t="str">
        <f>IF(AND($C935=12,$D935=Input!$C$6),0,IF($E936="","",BK936+(BL936+BU937)/(1+$AK936)*MIN((1-T936-U936),1)))</f>
        <v/>
      </c>
      <c r="BV936" s="164" t="str">
        <f t="shared" si="601"/>
        <v/>
      </c>
      <c r="BW936" s="164" t="str">
        <f t="shared" si="602"/>
        <v/>
      </c>
      <c r="BX936" s="164" t="str">
        <f t="shared" si="603"/>
        <v/>
      </c>
    </row>
    <row r="937" spans="1:76" s="150" customFormat="1" x14ac:dyDescent="0.25">
      <c r="A937" s="150" t="str">
        <f t="shared" si="614"/>
        <v/>
      </c>
      <c r="B937" s="150" t="str">
        <f t="shared" si="615"/>
        <v/>
      </c>
      <c r="C937" s="150" t="str">
        <f t="shared" si="616"/>
        <v/>
      </c>
      <c r="D937" s="150" t="str">
        <f>IF(E937="","",Input!$C$4+B937-1)</f>
        <v/>
      </c>
      <c r="E937" s="150" t="str">
        <f>IF(OR(AND(C936=12,D936=Input!$C$6),E936=""),"",1)</f>
        <v/>
      </c>
      <c r="F937" s="150" t="str">
        <f>IF(E937="","",Input!$C$8+B937-1)</f>
        <v/>
      </c>
      <c r="G937" s="151" t="str">
        <f>IF(E937="","",MAX(0,Input!$C$9-B937))</f>
        <v/>
      </c>
      <c r="H937" s="152" t="str">
        <f>IF(E937="","",Input!$C$3)</f>
        <v/>
      </c>
      <c r="I937" s="153" t="str">
        <f>IF(E937="","",HLOOKUP($B937,Input!$C$13:$BT$14,2))</f>
        <v/>
      </c>
      <c r="J937" s="154"/>
      <c r="K937" s="155" t="str">
        <f>IF($E937="","",INDEX(Input!$C$16:$CP$16,1,$B937))</f>
        <v/>
      </c>
      <c r="L937" s="155" t="str">
        <f>IF($E937="","",Input!$C$37)</f>
        <v/>
      </c>
      <c r="M937" s="155" t="str">
        <f t="shared" si="580"/>
        <v/>
      </c>
      <c r="N937" s="155" t="str">
        <f t="shared" si="581"/>
        <v/>
      </c>
      <c r="O937" s="147" t="str">
        <f>IF($E937="","",MIN(VLOOKUP(IF($B937&lt;=Input!$C$7,$B937,26),'Mortality Tables'!$A$41:$CW$67,IF($B937&lt;=Input!$C$7+1,Input!$C$4+2,$D937-Input!$C$7+2),0)*IF(B937&gt;20,Input!$C$22,1)/1000,1))</f>
        <v/>
      </c>
      <c r="P937" s="147" t="str">
        <f>IF($E937="","",MIN(VLOOKUP(IF($B937&lt;=Input!$C$7,$B937,26),'Mortality Tables'!$A$12:$CW$37,IF($B937&lt;=Input!$C$7+1,Input!$C$4+2,$D937-Input!$C$7+2),0)*IF(B937&gt;20,Input!$C$22,1)/1000,1))</f>
        <v/>
      </c>
      <c r="Q937" s="155" t="str">
        <f>IF($E937="","",Input!$C$21)</f>
        <v/>
      </c>
      <c r="R937" s="159" t="str">
        <f>IF($E937="","",(1-Q937)^($F937-Input!$C$20))</f>
        <v/>
      </c>
      <c r="S937" s="147" t="str">
        <f t="shared" si="583"/>
        <v/>
      </c>
      <c r="T937" s="147" t="str">
        <f t="shared" si="584"/>
        <v/>
      </c>
      <c r="U937" s="160" t="str">
        <f>IF($E937="","",IF($C937=12,INDEX(Input!$C$15:$CP$15,1,$B937),0))</f>
        <v/>
      </c>
      <c r="V937" s="150" t="str">
        <f>IF(E937="","",IF(C937=1,IF($B937=1,Input!$C$33,Input!$C$34),0))</f>
        <v/>
      </c>
      <c r="W937" s="156" t="str">
        <f>IF($E937="","",Input!$C$35)</f>
        <v/>
      </c>
      <c r="X937" s="156" t="str">
        <f t="shared" si="582"/>
        <v/>
      </c>
      <c r="Y937" s="154"/>
      <c r="Z937" s="147" t="str">
        <f>IF($E937="","",VLOOKUP($D937,'Mortality Margins &amp; Grading'!$AB$5:$AF$125,3,0)*IF(Summary!$D$25="Included Margin",IF(AND($B937&gt;Input!$C$9,Summary!$D$31&lt;&gt;"Included Margin"),0,1),0))</f>
        <v/>
      </c>
      <c r="AA937" s="147" t="str">
        <f>IF($E937="","",VLOOKUP($D937,'Mortality Margins &amp; Grading'!$AB$5:$AF$125,5,0)*IF(Summary!$D$25="Included Margin",IF(AND($B937&gt;Input!$C$9,Summary!$D$31&lt;&gt;"Included Margin"),0,1),0))</f>
        <v/>
      </c>
      <c r="AB937" s="147" t="str">
        <f>IF($E937="","",IF(AND($B937&gt;Input!$C$9,Summary!$D$31&lt;&gt;"Included Margin"),1,IF(Summary!$D$25="Included Margin",VLOOKUP($B937,'Mortality Margins &amp; Grading'!$AI$5:$AR$125,MATCH('Mortality Margins &amp; Grading'!$AQ$4,'Mortality Margins &amp; Grading'!$AI$4:$AR$4,0),0),1)))</f>
        <v/>
      </c>
      <c r="AC937" s="154"/>
      <c r="AD937" s="158" t="str">
        <f>IF(E937="","",Input!$C$48*IF(Summary!$D$30="Included Margin",IF(AND($B937&gt;Input!$C$9,Summary!$D$31&lt;&gt;"Included Margin"),0,1),0))</f>
        <v/>
      </c>
      <c r="AE937" s="159" t="str">
        <f>IF(E937="","",IF(Summary!$D$26="Included Margin",IF(AND($B937&gt;Input!$C$9,Summary!$D$31&lt;&gt;"Included Margin"),1,1/$R937),1))</f>
        <v/>
      </c>
      <c r="AF937" s="160" t="str">
        <f>IF(E937="","",IF(AND($B937&gt;=Input!$C$9,$C937=12,Summary!$D$31="Included Margin",$U937&gt;0),1/U937-1,IF($B937&gt;=Input!$C$9,0,Input!$C$45*IF(Summary!$D$27="Included Margin",1,0))))</f>
        <v/>
      </c>
      <c r="AG937" s="160" t="str">
        <f>IF(E937="","",Input!$C$46*IF(Summary!$D$28="Included Margin",IF(AND($B937&gt;Input!$C$9,Summary!$D$31&lt;&gt;"Included Margin"),0,1),0))</f>
        <v/>
      </c>
      <c r="AH937" s="158" t="str">
        <f>IF(E937="","",Input!$C$47*IF(Summary!$D$29="Included Margin",IF(AND($B937&gt;Input!$C$9,Summary!$D$31&lt;&gt;"Included Margin"),0,1),0))</f>
        <v/>
      </c>
      <c r="AI937" s="154"/>
      <c r="AJ937" s="158" t="str">
        <f t="shared" si="604"/>
        <v/>
      </c>
      <c r="AK937" s="155" t="str">
        <f t="shared" si="605"/>
        <v/>
      </c>
      <c r="AL937" s="147" t="str">
        <f t="shared" si="606"/>
        <v/>
      </c>
      <c r="AM937" s="147" t="str">
        <f t="shared" si="585"/>
        <v/>
      </c>
      <c r="AN937" s="160" t="str">
        <f t="shared" si="607"/>
        <v/>
      </c>
      <c r="AO937" s="161" t="str">
        <f t="shared" si="608"/>
        <v/>
      </c>
      <c r="AP937" s="156" t="str">
        <f t="shared" si="586"/>
        <v/>
      </c>
      <c r="AQ937" s="152"/>
      <c r="AR937" s="162" t="str">
        <f t="shared" si="587"/>
        <v/>
      </c>
      <c r="AS937" s="150" t="str">
        <f t="shared" si="609"/>
        <v/>
      </c>
      <c r="AT937" s="163" t="str">
        <f t="shared" si="588"/>
        <v/>
      </c>
      <c r="AU937" s="163" t="str">
        <f t="shared" si="589"/>
        <v/>
      </c>
      <c r="AV937" s="163" t="str">
        <f t="shared" si="610"/>
        <v/>
      </c>
      <c r="AW937" s="163" t="str">
        <f t="shared" si="590"/>
        <v/>
      </c>
      <c r="AX937" s="163" t="str">
        <f t="shared" si="591"/>
        <v/>
      </c>
      <c r="AY937" s="164" t="str">
        <f t="shared" si="611"/>
        <v/>
      </c>
      <c r="AZ937" s="164" t="str">
        <f>IF($E937="","",IF(OR(AND($D937=Input!$C$6,$C937=12),$AN937=1),0,-AS938+AT938+AU938-AV938-AW938-AX938+AZ938))</f>
        <v/>
      </c>
      <c r="BA937" s="154" t="str">
        <f t="shared" si="592"/>
        <v/>
      </c>
      <c r="BC937" s="147" t="str">
        <f t="shared" si="612"/>
        <v/>
      </c>
      <c r="BD937" s="164" t="str">
        <f>IF(AND($C936=12,$D936=Input!$C$6),0,IF($E937="","",AT937+(AU937+BD938)/(1+$AK937)*MIN((1-AM937-AN937),1)))</f>
        <v/>
      </c>
      <c r="BE937" s="164" t="str">
        <f t="shared" si="628"/>
        <v/>
      </c>
      <c r="BF937" s="164" t="str">
        <f t="shared" si="613"/>
        <v/>
      </c>
      <c r="BG937" s="164" t="str">
        <f t="shared" si="593"/>
        <v/>
      </c>
      <c r="BH937" s="152"/>
      <c r="BI937" s="162" t="str">
        <f t="shared" si="621"/>
        <v/>
      </c>
      <c r="BJ937" s="150" t="str">
        <f t="shared" si="622"/>
        <v/>
      </c>
      <c r="BK937" s="163" t="str">
        <f t="shared" si="617"/>
        <v/>
      </c>
      <c r="BL937" s="163" t="str">
        <f t="shared" si="623"/>
        <v/>
      </c>
      <c r="BM937" s="163" t="str">
        <f t="shared" si="618"/>
        <v/>
      </c>
      <c r="BN937" s="163" t="str">
        <f t="shared" si="624"/>
        <v/>
      </c>
      <c r="BO937" s="163" t="str">
        <f t="shared" si="625"/>
        <v/>
      </c>
      <c r="BP937" s="164" t="str">
        <f t="shared" si="619"/>
        <v/>
      </c>
      <c r="BQ937" s="164" t="str">
        <f t="shared" si="626"/>
        <v/>
      </c>
      <c r="BR937" s="154" t="str">
        <f t="shared" si="627"/>
        <v/>
      </c>
      <c r="BT937" s="147" t="str">
        <f t="shared" si="600"/>
        <v/>
      </c>
      <c r="BU937" s="164" t="str">
        <f>IF(AND($C936=12,$D936=Input!$C$6),0,IF($E937="","",BK937+(BL937+BU938)/(1+$AK937)*MIN((1-T937-U937),1)))</f>
        <v/>
      </c>
      <c r="BV937" s="164" t="str">
        <f t="shared" si="601"/>
        <v/>
      </c>
      <c r="BW937" s="164" t="str">
        <f t="shared" si="602"/>
        <v/>
      </c>
      <c r="BX937" s="164" t="str">
        <f t="shared" si="603"/>
        <v/>
      </c>
    </row>
    <row r="938" spans="1:76" s="150" customFormat="1" x14ac:dyDescent="0.25">
      <c r="A938" s="150" t="str">
        <f t="shared" si="614"/>
        <v/>
      </c>
      <c r="B938" s="150" t="str">
        <f t="shared" si="615"/>
        <v/>
      </c>
      <c r="C938" s="150" t="str">
        <f t="shared" si="616"/>
        <v/>
      </c>
      <c r="D938" s="150" t="str">
        <f>IF(E938="","",Input!$C$4+B938-1)</f>
        <v/>
      </c>
      <c r="E938" s="150" t="str">
        <f>IF(OR(AND(C937=12,D937=Input!$C$6),E937=""),"",1)</f>
        <v/>
      </c>
      <c r="F938" s="150" t="str">
        <f>IF(E938="","",Input!$C$8+B938-1)</f>
        <v/>
      </c>
      <c r="G938" s="151" t="str">
        <f>IF(E938="","",MAX(0,Input!$C$9-B938))</f>
        <v/>
      </c>
      <c r="H938" s="152" t="str">
        <f>IF(E938="","",Input!$C$3)</f>
        <v/>
      </c>
      <c r="I938" s="153" t="str">
        <f>IF(E938="","",HLOOKUP($B938,Input!$C$13:$BT$14,2))</f>
        <v/>
      </c>
      <c r="J938" s="154"/>
      <c r="K938" s="155" t="str">
        <f>IF($E938="","",INDEX(Input!$C$16:$CP$16,1,$B938))</f>
        <v/>
      </c>
      <c r="L938" s="155" t="str">
        <f>IF($E938="","",Input!$C$37)</f>
        <v/>
      </c>
      <c r="M938" s="155" t="str">
        <f t="shared" si="580"/>
        <v/>
      </c>
      <c r="N938" s="155" t="str">
        <f t="shared" si="581"/>
        <v/>
      </c>
      <c r="O938" s="147" t="str">
        <f>IF($E938="","",MIN(VLOOKUP(IF($B938&lt;=Input!$C$7,$B938,26),'Mortality Tables'!$A$41:$CW$67,IF($B938&lt;=Input!$C$7+1,Input!$C$4+2,$D938-Input!$C$7+2),0)*IF(B938&gt;20,Input!$C$22,1)/1000,1))</f>
        <v/>
      </c>
      <c r="P938" s="147" t="str">
        <f>IF($E938="","",MIN(VLOOKUP(IF($B938&lt;=Input!$C$7,$B938,26),'Mortality Tables'!$A$12:$CW$37,IF($B938&lt;=Input!$C$7+1,Input!$C$4+2,$D938-Input!$C$7+2),0)*IF(B938&gt;20,Input!$C$22,1)/1000,1))</f>
        <v/>
      </c>
      <c r="Q938" s="155" t="str">
        <f>IF($E938="","",Input!$C$21)</f>
        <v/>
      </c>
      <c r="R938" s="159" t="str">
        <f>IF($E938="","",(1-Q938)^($F938-Input!$C$20))</f>
        <v/>
      </c>
      <c r="S938" s="147" t="str">
        <f t="shared" si="583"/>
        <v/>
      </c>
      <c r="T938" s="147" t="str">
        <f t="shared" si="584"/>
        <v/>
      </c>
      <c r="U938" s="160" t="str">
        <f>IF($E938="","",IF($C938=12,INDEX(Input!$C$15:$CP$15,1,$B938),0))</f>
        <v/>
      </c>
      <c r="V938" s="150" t="str">
        <f>IF(E938="","",IF(C938=1,IF($B938=1,Input!$C$33,Input!$C$34),0))</f>
        <v/>
      </c>
      <c r="W938" s="156" t="str">
        <f>IF($E938="","",Input!$C$35)</f>
        <v/>
      </c>
      <c r="X938" s="156" t="str">
        <f t="shared" si="582"/>
        <v/>
      </c>
      <c r="Y938" s="154"/>
      <c r="Z938" s="147" t="str">
        <f>IF($E938="","",VLOOKUP($D938,'Mortality Margins &amp; Grading'!$AB$5:$AF$125,3,0)*IF(Summary!$D$25="Included Margin",IF(AND($B938&gt;Input!$C$9,Summary!$D$31&lt;&gt;"Included Margin"),0,1),0))</f>
        <v/>
      </c>
      <c r="AA938" s="147" t="str">
        <f>IF($E938="","",VLOOKUP($D938,'Mortality Margins &amp; Grading'!$AB$5:$AF$125,5,0)*IF(Summary!$D$25="Included Margin",IF(AND($B938&gt;Input!$C$9,Summary!$D$31&lt;&gt;"Included Margin"),0,1),0))</f>
        <v/>
      </c>
      <c r="AB938" s="147" t="str">
        <f>IF($E938="","",IF(AND($B938&gt;Input!$C$9,Summary!$D$31&lt;&gt;"Included Margin"),1,IF(Summary!$D$25="Included Margin",VLOOKUP($B938,'Mortality Margins &amp; Grading'!$AI$5:$AR$125,MATCH('Mortality Margins &amp; Grading'!$AQ$4,'Mortality Margins &amp; Grading'!$AI$4:$AR$4,0),0),1)))</f>
        <v/>
      </c>
      <c r="AC938" s="154"/>
      <c r="AD938" s="158" t="str">
        <f>IF(E938="","",Input!$C$48*IF(Summary!$D$30="Included Margin",IF(AND($B938&gt;Input!$C$9,Summary!$D$31&lt;&gt;"Included Margin"),0,1),0))</f>
        <v/>
      </c>
      <c r="AE938" s="159" t="str">
        <f>IF(E938="","",IF(Summary!$D$26="Included Margin",IF(AND($B938&gt;Input!$C$9,Summary!$D$31&lt;&gt;"Included Margin"),1,1/$R938),1))</f>
        <v/>
      </c>
      <c r="AF938" s="160" t="str">
        <f>IF(E938="","",IF(AND($B938&gt;=Input!$C$9,$C938=12,Summary!$D$31="Included Margin",$U938&gt;0),1/U938-1,IF($B938&gt;=Input!$C$9,0,Input!$C$45*IF(Summary!$D$27="Included Margin",1,0))))</f>
        <v/>
      </c>
      <c r="AG938" s="160" t="str">
        <f>IF(E938="","",Input!$C$46*IF(Summary!$D$28="Included Margin",IF(AND($B938&gt;Input!$C$9,Summary!$D$31&lt;&gt;"Included Margin"),0,1),0))</f>
        <v/>
      </c>
      <c r="AH938" s="158" t="str">
        <f>IF(E938="","",Input!$C$47*IF(Summary!$D$29="Included Margin",IF(AND($B938&gt;Input!$C$9,Summary!$D$31&lt;&gt;"Included Margin"),0,1),0))</f>
        <v/>
      </c>
      <c r="AI938" s="154"/>
      <c r="AJ938" s="158" t="str">
        <f t="shared" si="604"/>
        <v/>
      </c>
      <c r="AK938" s="155" t="str">
        <f t="shared" si="605"/>
        <v/>
      </c>
      <c r="AL938" s="147" t="str">
        <f t="shared" si="606"/>
        <v/>
      </c>
      <c r="AM938" s="147" t="str">
        <f t="shared" si="585"/>
        <v/>
      </c>
      <c r="AN938" s="160" t="str">
        <f t="shared" si="607"/>
        <v/>
      </c>
      <c r="AO938" s="161" t="str">
        <f t="shared" si="608"/>
        <v/>
      </c>
      <c r="AP938" s="156" t="str">
        <f t="shared" si="586"/>
        <v/>
      </c>
      <c r="AQ938" s="152"/>
      <c r="AR938" s="162" t="str">
        <f t="shared" si="587"/>
        <v/>
      </c>
      <c r="AS938" s="150" t="str">
        <f t="shared" si="609"/>
        <v/>
      </c>
      <c r="AT938" s="163" t="str">
        <f t="shared" si="588"/>
        <v/>
      </c>
      <c r="AU938" s="163" t="str">
        <f t="shared" si="589"/>
        <v/>
      </c>
      <c r="AV938" s="163" t="str">
        <f t="shared" si="610"/>
        <v/>
      </c>
      <c r="AW938" s="163" t="str">
        <f t="shared" si="590"/>
        <v/>
      </c>
      <c r="AX938" s="163" t="str">
        <f t="shared" si="591"/>
        <v/>
      </c>
      <c r="AY938" s="165" t="str">
        <f t="shared" si="611"/>
        <v/>
      </c>
      <c r="AZ938" s="164" t="str">
        <f>IF($E938="","",IF(OR(AND($D938=Input!$C$6,$C938=12),$AN938=1),0,-AS939+AT939+AU939-AV939-AW939-AX939+AZ939))</f>
        <v/>
      </c>
      <c r="BA938" s="154" t="str">
        <f t="shared" si="592"/>
        <v/>
      </c>
      <c r="BC938" s="147" t="str">
        <f t="shared" si="612"/>
        <v/>
      </c>
      <c r="BD938" s="164" t="str">
        <f>IF(AND($C937=12,$D937=Input!$C$6),0,IF($E938="","",AT938+(AU938+BD939)/(1+$AK938)*MIN((1-AM938-AN938),1)))</f>
        <v/>
      </c>
      <c r="BE938" s="164" t="str">
        <f t="shared" si="628"/>
        <v/>
      </c>
      <c r="BF938" s="164" t="str">
        <f t="shared" si="613"/>
        <v/>
      </c>
      <c r="BG938" s="164" t="str">
        <f t="shared" si="593"/>
        <v/>
      </c>
      <c r="BH938" s="152"/>
      <c r="BI938" s="162" t="str">
        <f t="shared" si="621"/>
        <v/>
      </c>
      <c r="BJ938" s="150" t="str">
        <f t="shared" si="622"/>
        <v/>
      </c>
      <c r="BK938" s="163" t="str">
        <f t="shared" si="617"/>
        <v/>
      </c>
      <c r="BL938" s="163" t="str">
        <f t="shared" si="623"/>
        <v/>
      </c>
      <c r="BM938" s="163" t="str">
        <f t="shared" si="618"/>
        <v/>
      </c>
      <c r="BN938" s="163" t="str">
        <f t="shared" si="624"/>
        <v/>
      </c>
      <c r="BO938" s="163" t="str">
        <f t="shared" si="625"/>
        <v/>
      </c>
      <c r="BP938" s="164" t="str">
        <f t="shared" si="619"/>
        <v/>
      </c>
      <c r="BQ938" s="164" t="str">
        <f t="shared" si="626"/>
        <v/>
      </c>
      <c r="BR938" s="154" t="str">
        <f t="shared" si="627"/>
        <v/>
      </c>
      <c r="BT938" s="147" t="str">
        <f t="shared" si="600"/>
        <v/>
      </c>
      <c r="BU938" s="164" t="str">
        <f>IF(AND($C937=12,$D937=Input!$C$6),0,IF($E938="","",BK938+(BL938+BU939)/(1+$AK938)*MIN((1-T938-U938),1)))</f>
        <v/>
      </c>
      <c r="BV938" s="164" t="str">
        <f t="shared" si="601"/>
        <v/>
      </c>
      <c r="BW938" s="164" t="str">
        <f t="shared" si="602"/>
        <v/>
      </c>
      <c r="BX938" s="164" t="str">
        <f t="shared" si="603"/>
        <v/>
      </c>
    </row>
    <row r="939" spans="1:76" s="150" customFormat="1" x14ac:dyDescent="0.25">
      <c r="A939" s="150" t="str">
        <f t="shared" si="614"/>
        <v/>
      </c>
      <c r="B939" s="150" t="str">
        <f t="shared" si="615"/>
        <v/>
      </c>
      <c r="C939" s="150" t="str">
        <f t="shared" si="616"/>
        <v/>
      </c>
      <c r="D939" s="150" t="str">
        <f>IF(E939="","",Input!$C$4+B939-1)</f>
        <v/>
      </c>
      <c r="E939" s="150" t="str">
        <f>IF(OR(AND(C938=12,D938=Input!$C$6),E938=""),"",1)</f>
        <v/>
      </c>
      <c r="F939" s="150" t="str">
        <f>IF(E939="","",Input!$C$8+B939-1)</f>
        <v/>
      </c>
      <c r="G939" s="151" t="str">
        <f>IF(E939="","",MAX(0,Input!$C$9-B939))</f>
        <v/>
      </c>
      <c r="H939" s="152" t="str">
        <f>IF(E939="","",Input!$C$3)</f>
        <v/>
      </c>
      <c r="I939" s="153" t="str">
        <f>IF(E939="","",HLOOKUP($B939,Input!$C$13:$BT$14,2))</f>
        <v/>
      </c>
      <c r="J939" s="154"/>
      <c r="K939" s="155" t="str">
        <f>IF($E939="","",INDEX(Input!$C$16:$CP$16,1,$B939))</f>
        <v/>
      </c>
      <c r="L939" s="155" t="str">
        <f>IF($E939="","",Input!$C$37)</f>
        <v/>
      </c>
      <c r="M939" s="155" t="str">
        <f t="shared" si="580"/>
        <v/>
      </c>
      <c r="N939" s="155" t="str">
        <f t="shared" si="581"/>
        <v/>
      </c>
      <c r="O939" s="147" t="str">
        <f>IF($E939="","",MIN(VLOOKUP(IF($B939&lt;=Input!$C$7,$B939,26),'Mortality Tables'!$A$41:$CW$67,IF($B939&lt;=Input!$C$7+1,Input!$C$4+2,$D939-Input!$C$7+2),0)*IF(B939&gt;20,Input!$C$22,1)/1000,1))</f>
        <v/>
      </c>
      <c r="P939" s="147" t="str">
        <f>IF($E939="","",MIN(VLOOKUP(IF($B939&lt;=Input!$C$7,$B939,26),'Mortality Tables'!$A$12:$CW$37,IF($B939&lt;=Input!$C$7+1,Input!$C$4+2,$D939-Input!$C$7+2),0)*IF(B939&gt;20,Input!$C$22,1)/1000,1))</f>
        <v/>
      </c>
      <c r="Q939" s="155" t="str">
        <f>IF($E939="","",Input!$C$21)</f>
        <v/>
      </c>
      <c r="R939" s="159" t="str">
        <f>IF($E939="","",(1-Q939)^($F939-Input!$C$20))</f>
        <v/>
      </c>
      <c r="S939" s="147" t="str">
        <f t="shared" si="583"/>
        <v/>
      </c>
      <c r="T939" s="147" t="str">
        <f t="shared" si="584"/>
        <v/>
      </c>
      <c r="U939" s="160" t="str">
        <f>IF($E939="","",IF($C939=12,INDEX(Input!$C$15:$CP$15,1,$B939),0))</f>
        <v/>
      </c>
      <c r="V939" s="150" t="str">
        <f>IF(E939="","",IF(C939=1,IF($B939=1,Input!$C$33,Input!$C$34),0))</f>
        <v/>
      </c>
      <c r="W939" s="156" t="str">
        <f>IF($E939="","",Input!$C$35)</f>
        <v/>
      </c>
      <c r="X939" s="156" t="str">
        <f t="shared" si="582"/>
        <v/>
      </c>
      <c r="Y939" s="154"/>
      <c r="Z939" s="147" t="str">
        <f>IF($E939="","",VLOOKUP($D939,'Mortality Margins &amp; Grading'!$AB$5:$AF$125,3,0)*IF(Summary!$D$25="Included Margin",IF(AND($B939&gt;Input!$C$9,Summary!$D$31&lt;&gt;"Included Margin"),0,1),0))</f>
        <v/>
      </c>
      <c r="AA939" s="147" t="str">
        <f>IF($E939="","",VLOOKUP($D939,'Mortality Margins &amp; Grading'!$AB$5:$AF$125,5,0)*IF(Summary!$D$25="Included Margin",IF(AND($B939&gt;Input!$C$9,Summary!$D$31&lt;&gt;"Included Margin"),0,1),0))</f>
        <v/>
      </c>
      <c r="AB939" s="147" t="str">
        <f>IF($E939="","",IF(AND($B939&gt;Input!$C$9,Summary!$D$31&lt;&gt;"Included Margin"),1,IF(Summary!$D$25="Included Margin",VLOOKUP($B939,'Mortality Margins &amp; Grading'!$AI$5:$AR$125,MATCH('Mortality Margins &amp; Grading'!$AQ$4,'Mortality Margins &amp; Grading'!$AI$4:$AR$4,0),0),1)))</f>
        <v/>
      </c>
      <c r="AC939" s="154"/>
      <c r="AD939" s="158" t="str">
        <f>IF(E939="","",Input!$C$48*IF(Summary!$D$30="Included Margin",IF(AND($B939&gt;Input!$C$9,Summary!$D$31&lt;&gt;"Included Margin"),0,1),0))</f>
        <v/>
      </c>
      <c r="AE939" s="159" t="str">
        <f>IF(E939="","",IF(Summary!$D$26="Included Margin",IF(AND($B939&gt;Input!$C$9,Summary!$D$31&lt;&gt;"Included Margin"),1,1/$R939),1))</f>
        <v/>
      </c>
      <c r="AF939" s="160" t="str">
        <f>IF(E939="","",IF(AND($B939&gt;=Input!$C$9,$C939=12,Summary!$D$31="Included Margin",$U939&gt;0),1/U939-1,IF($B939&gt;=Input!$C$9,0,Input!$C$45*IF(Summary!$D$27="Included Margin",1,0))))</f>
        <v/>
      </c>
      <c r="AG939" s="160" t="str">
        <f>IF(E939="","",Input!$C$46*IF(Summary!$D$28="Included Margin",IF(AND($B939&gt;Input!$C$9,Summary!$D$31&lt;&gt;"Included Margin"),0,1),0))</f>
        <v/>
      </c>
      <c r="AH939" s="158" t="str">
        <f>IF(E939="","",Input!$C$47*IF(Summary!$D$29="Included Margin",IF(AND($B939&gt;Input!$C$9,Summary!$D$31&lt;&gt;"Included Margin"),0,1),0))</f>
        <v/>
      </c>
      <c r="AI939" s="154"/>
      <c r="AJ939" s="158" t="str">
        <f t="shared" si="604"/>
        <v/>
      </c>
      <c r="AK939" s="155" t="str">
        <f t="shared" si="605"/>
        <v/>
      </c>
      <c r="AL939" s="147" t="str">
        <f t="shared" si="606"/>
        <v/>
      </c>
      <c r="AM939" s="147" t="str">
        <f t="shared" si="585"/>
        <v/>
      </c>
      <c r="AN939" s="160" t="str">
        <f t="shared" si="607"/>
        <v/>
      </c>
      <c r="AO939" s="161" t="str">
        <f t="shared" si="608"/>
        <v/>
      </c>
      <c r="AP939" s="156" t="str">
        <f t="shared" si="586"/>
        <v/>
      </c>
      <c r="AQ939" s="152"/>
      <c r="AR939" s="162" t="str">
        <f t="shared" si="587"/>
        <v/>
      </c>
      <c r="AS939" s="150" t="str">
        <f t="shared" si="609"/>
        <v/>
      </c>
      <c r="AT939" s="163" t="str">
        <f t="shared" si="588"/>
        <v/>
      </c>
      <c r="AU939" s="163" t="str">
        <f t="shared" si="589"/>
        <v/>
      </c>
      <c r="AV939" s="163" t="str">
        <f t="shared" si="610"/>
        <v/>
      </c>
      <c r="AW939" s="163" t="str">
        <f t="shared" si="590"/>
        <v/>
      </c>
      <c r="AX939" s="163" t="str">
        <f t="shared" si="591"/>
        <v/>
      </c>
      <c r="AY939" s="164" t="str">
        <f t="shared" si="611"/>
        <v/>
      </c>
      <c r="AZ939" s="164" t="str">
        <f>IF($E939="","",IF(OR(AND($D939=Input!$C$6,$C939=12),$AN939=1),0,-AS940+AT940+AU940-AV940-AW940-AX940+AZ940))</f>
        <v/>
      </c>
      <c r="BA939" s="154" t="str">
        <f t="shared" si="592"/>
        <v/>
      </c>
      <c r="BC939" s="147" t="str">
        <f t="shared" si="612"/>
        <v/>
      </c>
      <c r="BD939" s="164" t="str">
        <f>IF(AND($C938=12,$D938=Input!$C$6),0,IF($E939="","",AT939+(AU939+BD940)/(1+$AK939)*MIN((1-AM939-AN939),1)))</f>
        <v/>
      </c>
      <c r="BE939" s="164" t="str">
        <f t="shared" si="628"/>
        <v/>
      </c>
      <c r="BF939" s="164" t="str">
        <f t="shared" si="613"/>
        <v/>
      </c>
      <c r="BG939" s="164" t="str">
        <f t="shared" si="593"/>
        <v/>
      </c>
      <c r="BH939" s="152"/>
      <c r="BI939" s="162" t="str">
        <f t="shared" si="621"/>
        <v/>
      </c>
      <c r="BJ939" s="150" t="str">
        <f t="shared" si="622"/>
        <v/>
      </c>
      <c r="BK939" s="163" t="str">
        <f t="shared" si="617"/>
        <v/>
      </c>
      <c r="BL939" s="163" t="str">
        <f t="shared" si="623"/>
        <v/>
      </c>
      <c r="BM939" s="163" t="str">
        <f t="shared" si="618"/>
        <v/>
      </c>
      <c r="BN939" s="163" t="str">
        <f t="shared" si="624"/>
        <v/>
      </c>
      <c r="BO939" s="163" t="str">
        <f t="shared" si="625"/>
        <v/>
      </c>
      <c r="BP939" s="164" t="str">
        <f t="shared" si="619"/>
        <v/>
      </c>
      <c r="BQ939" s="164" t="str">
        <f t="shared" si="626"/>
        <v/>
      </c>
      <c r="BR939" s="154" t="str">
        <f t="shared" si="627"/>
        <v/>
      </c>
      <c r="BT939" s="147" t="str">
        <f t="shared" si="600"/>
        <v/>
      </c>
      <c r="BU939" s="164" t="str">
        <f>IF(AND($C938=12,$D938=Input!$C$6),0,IF($E939="","",BK939+(BL939+BU940)/(1+$AK939)*MIN((1-T939-U939),1)))</f>
        <v/>
      </c>
      <c r="BV939" s="164" t="str">
        <f t="shared" si="601"/>
        <v/>
      </c>
      <c r="BW939" s="164" t="str">
        <f t="shared" si="602"/>
        <v/>
      </c>
      <c r="BX939" s="164" t="str">
        <f t="shared" si="603"/>
        <v/>
      </c>
    </row>
    <row r="940" spans="1:76" s="150" customFormat="1" x14ac:dyDescent="0.25">
      <c r="A940" s="150" t="str">
        <f t="shared" si="614"/>
        <v/>
      </c>
      <c r="B940" s="150" t="str">
        <f t="shared" si="615"/>
        <v/>
      </c>
      <c r="C940" s="150" t="str">
        <f t="shared" si="616"/>
        <v/>
      </c>
      <c r="D940" s="150" t="str">
        <f>IF(E940="","",Input!$C$4+B940-1)</f>
        <v/>
      </c>
      <c r="E940" s="150" t="str">
        <f>IF(OR(AND(C939=12,D939=Input!$C$6),E939=""),"",1)</f>
        <v/>
      </c>
      <c r="F940" s="150" t="str">
        <f>IF(E940="","",Input!$C$8+B940-1)</f>
        <v/>
      </c>
      <c r="G940" s="151" t="str">
        <f>IF(E940="","",MAX(0,Input!$C$9-B940))</f>
        <v/>
      </c>
      <c r="H940" s="152" t="str">
        <f>IF(E940="","",Input!$C$3)</f>
        <v/>
      </c>
      <c r="I940" s="153" t="str">
        <f>IF(E940="","",HLOOKUP($B940,Input!$C$13:$BT$14,2))</f>
        <v/>
      </c>
      <c r="J940" s="154"/>
      <c r="K940" s="155" t="str">
        <f>IF($E940="","",INDEX(Input!$C$16:$CP$16,1,$B940))</f>
        <v/>
      </c>
      <c r="L940" s="155" t="str">
        <f>IF($E940="","",Input!$C$37)</f>
        <v/>
      </c>
      <c r="M940" s="155" t="str">
        <f t="shared" si="580"/>
        <v/>
      </c>
      <c r="N940" s="155" t="str">
        <f t="shared" si="581"/>
        <v/>
      </c>
      <c r="O940" s="147" t="str">
        <f>IF($E940="","",MIN(VLOOKUP(IF($B940&lt;=Input!$C$7,$B940,26),'Mortality Tables'!$A$41:$CW$67,IF($B940&lt;=Input!$C$7+1,Input!$C$4+2,$D940-Input!$C$7+2),0)*IF(B940&gt;20,Input!$C$22,1)/1000,1))</f>
        <v/>
      </c>
      <c r="P940" s="147" t="str">
        <f>IF($E940="","",MIN(VLOOKUP(IF($B940&lt;=Input!$C$7,$B940,26),'Mortality Tables'!$A$12:$CW$37,IF($B940&lt;=Input!$C$7+1,Input!$C$4+2,$D940-Input!$C$7+2),0)*IF(B940&gt;20,Input!$C$22,1)/1000,1))</f>
        <v/>
      </c>
      <c r="Q940" s="155" t="str">
        <f>IF($E940="","",Input!$C$21)</f>
        <v/>
      </c>
      <c r="R940" s="159" t="str">
        <f>IF($E940="","",(1-Q940)^($F940-Input!$C$20))</f>
        <v/>
      </c>
      <c r="S940" s="147" t="str">
        <f t="shared" si="583"/>
        <v/>
      </c>
      <c r="T940" s="147" t="str">
        <f t="shared" si="584"/>
        <v/>
      </c>
      <c r="U940" s="160" t="str">
        <f>IF($E940="","",IF($C940=12,INDEX(Input!$C$15:$CP$15,1,$B940),0))</f>
        <v/>
      </c>
      <c r="V940" s="150" t="str">
        <f>IF(E940="","",IF(C940=1,IF($B940=1,Input!$C$33,Input!$C$34),0))</f>
        <v/>
      </c>
      <c r="W940" s="156" t="str">
        <f>IF($E940="","",Input!$C$35)</f>
        <v/>
      </c>
      <c r="X940" s="156" t="str">
        <f t="shared" si="582"/>
        <v/>
      </c>
      <c r="Y940" s="154"/>
      <c r="Z940" s="147" t="str">
        <f>IF($E940="","",VLOOKUP($D940,'Mortality Margins &amp; Grading'!$AB$5:$AF$125,3,0)*IF(Summary!$D$25="Included Margin",IF(AND($B940&gt;Input!$C$9,Summary!$D$31&lt;&gt;"Included Margin"),0,1),0))</f>
        <v/>
      </c>
      <c r="AA940" s="147" t="str">
        <f>IF($E940="","",VLOOKUP($D940,'Mortality Margins &amp; Grading'!$AB$5:$AF$125,5,0)*IF(Summary!$D$25="Included Margin",IF(AND($B940&gt;Input!$C$9,Summary!$D$31&lt;&gt;"Included Margin"),0,1),0))</f>
        <v/>
      </c>
      <c r="AB940" s="147" t="str">
        <f>IF($E940="","",IF(AND($B940&gt;Input!$C$9,Summary!$D$31&lt;&gt;"Included Margin"),1,IF(Summary!$D$25="Included Margin",VLOOKUP($B940,'Mortality Margins &amp; Grading'!$AI$5:$AR$125,MATCH('Mortality Margins &amp; Grading'!$AQ$4,'Mortality Margins &amp; Grading'!$AI$4:$AR$4,0),0),1)))</f>
        <v/>
      </c>
      <c r="AC940" s="154"/>
      <c r="AD940" s="158" t="str">
        <f>IF(E940="","",Input!$C$48*IF(Summary!$D$30="Included Margin",IF(AND($B940&gt;Input!$C$9,Summary!$D$31&lt;&gt;"Included Margin"),0,1),0))</f>
        <v/>
      </c>
      <c r="AE940" s="159" t="str">
        <f>IF(E940="","",IF(Summary!$D$26="Included Margin",IF(AND($B940&gt;Input!$C$9,Summary!$D$31&lt;&gt;"Included Margin"),1,1/$R940),1))</f>
        <v/>
      </c>
      <c r="AF940" s="160" t="str">
        <f>IF(E940="","",IF(AND($B940&gt;=Input!$C$9,$C940=12,Summary!$D$31="Included Margin",$U940&gt;0),1/U940-1,IF($B940&gt;=Input!$C$9,0,Input!$C$45*IF(Summary!$D$27="Included Margin",1,0))))</f>
        <v/>
      </c>
      <c r="AG940" s="160" t="str">
        <f>IF(E940="","",Input!$C$46*IF(Summary!$D$28="Included Margin",IF(AND($B940&gt;Input!$C$9,Summary!$D$31&lt;&gt;"Included Margin"),0,1),0))</f>
        <v/>
      </c>
      <c r="AH940" s="158" t="str">
        <f>IF(E940="","",Input!$C$47*IF(Summary!$D$29="Included Margin",IF(AND($B940&gt;Input!$C$9,Summary!$D$31&lt;&gt;"Included Margin"),0,1),0))</f>
        <v/>
      </c>
      <c r="AI940" s="154"/>
      <c r="AJ940" s="158" t="str">
        <f t="shared" si="604"/>
        <v/>
      </c>
      <c r="AK940" s="155" t="str">
        <f t="shared" si="605"/>
        <v/>
      </c>
      <c r="AL940" s="147" t="str">
        <f t="shared" si="606"/>
        <v/>
      </c>
      <c r="AM940" s="147" t="str">
        <f t="shared" si="585"/>
        <v/>
      </c>
      <c r="AN940" s="160" t="str">
        <f t="shared" si="607"/>
        <v/>
      </c>
      <c r="AO940" s="161" t="str">
        <f t="shared" si="608"/>
        <v/>
      </c>
      <c r="AP940" s="156" t="str">
        <f t="shared" si="586"/>
        <v/>
      </c>
      <c r="AQ940" s="152"/>
      <c r="AR940" s="162" t="str">
        <f t="shared" si="587"/>
        <v/>
      </c>
      <c r="AS940" s="150" t="str">
        <f t="shared" si="609"/>
        <v/>
      </c>
      <c r="AT940" s="163" t="str">
        <f t="shared" si="588"/>
        <v/>
      </c>
      <c r="AU940" s="163" t="str">
        <f t="shared" si="589"/>
        <v/>
      </c>
      <c r="AV940" s="163" t="str">
        <f t="shared" si="610"/>
        <v/>
      </c>
      <c r="AW940" s="163" t="str">
        <f t="shared" si="590"/>
        <v/>
      </c>
      <c r="AX940" s="163" t="str">
        <f t="shared" si="591"/>
        <v/>
      </c>
      <c r="AY940" s="165" t="str">
        <f t="shared" si="611"/>
        <v/>
      </c>
      <c r="AZ940" s="164" t="str">
        <f>IF($E940="","",IF(OR(AND($D940=Input!$C$6,$C940=12),$AN940=1),0,-AS941+AT941+AU941-AV941-AW941-AX941+AZ941))</f>
        <v/>
      </c>
      <c r="BA940" s="154" t="str">
        <f t="shared" si="592"/>
        <v/>
      </c>
      <c r="BC940" s="147" t="str">
        <f t="shared" si="612"/>
        <v/>
      </c>
      <c r="BD940" s="164" t="str">
        <f>IF(AND($C939=12,$D939=Input!$C$6),0,IF($E940="","",AT940+(AU940+BD941)/(1+$AK940)*MIN((1-AM940-AN940),1)))</f>
        <v/>
      </c>
      <c r="BE940" s="164" t="str">
        <f t="shared" si="628"/>
        <v/>
      </c>
      <c r="BF940" s="164" t="str">
        <f t="shared" si="613"/>
        <v/>
      </c>
      <c r="BG940" s="164" t="str">
        <f t="shared" si="593"/>
        <v/>
      </c>
      <c r="BH940" s="152"/>
      <c r="BI940" s="162" t="str">
        <f t="shared" si="621"/>
        <v/>
      </c>
      <c r="BJ940" s="150" t="str">
        <f t="shared" si="622"/>
        <v/>
      </c>
      <c r="BK940" s="163" t="str">
        <f t="shared" si="617"/>
        <v/>
      </c>
      <c r="BL940" s="163" t="str">
        <f t="shared" si="623"/>
        <v/>
      </c>
      <c r="BM940" s="163" t="str">
        <f t="shared" si="618"/>
        <v/>
      </c>
      <c r="BN940" s="163" t="str">
        <f t="shared" si="624"/>
        <v/>
      </c>
      <c r="BO940" s="163" t="str">
        <f t="shared" si="625"/>
        <v/>
      </c>
      <c r="BP940" s="164" t="str">
        <f t="shared" si="619"/>
        <v/>
      </c>
      <c r="BQ940" s="164" t="str">
        <f t="shared" si="626"/>
        <v/>
      </c>
      <c r="BR940" s="154" t="str">
        <f t="shared" si="627"/>
        <v/>
      </c>
      <c r="BT940" s="147" t="str">
        <f t="shared" si="600"/>
        <v/>
      </c>
      <c r="BU940" s="164" t="str">
        <f>IF(AND($C939=12,$D939=Input!$C$6),0,IF($E940="","",BK940+(BL940+BU941)/(1+$AK940)*MIN((1-T940-U940),1)))</f>
        <v/>
      </c>
      <c r="BV940" s="164" t="str">
        <f t="shared" si="601"/>
        <v/>
      </c>
      <c r="BW940" s="164" t="str">
        <f t="shared" si="602"/>
        <v/>
      </c>
      <c r="BX940" s="164" t="str">
        <f t="shared" si="603"/>
        <v/>
      </c>
    </row>
    <row r="941" spans="1:76" s="150" customFormat="1" x14ac:dyDescent="0.25">
      <c r="A941" s="150" t="str">
        <f t="shared" si="614"/>
        <v/>
      </c>
      <c r="B941" s="150" t="str">
        <f t="shared" si="615"/>
        <v/>
      </c>
      <c r="C941" s="150" t="str">
        <f t="shared" si="616"/>
        <v/>
      </c>
      <c r="D941" s="150" t="str">
        <f>IF(E941="","",Input!$C$4+B941-1)</f>
        <v/>
      </c>
      <c r="E941" s="150" t="str">
        <f>IF(OR(AND(C940=12,D940=Input!$C$6),E940=""),"",1)</f>
        <v/>
      </c>
      <c r="F941" s="150" t="str">
        <f>IF(E941="","",Input!$C$8+B941-1)</f>
        <v/>
      </c>
      <c r="G941" s="151" t="str">
        <f>IF(E941="","",MAX(0,Input!$C$9-B941))</f>
        <v/>
      </c>
      <c r="H941" s="152" t="str">
        <f>IF(E941="","",Input!$C$3)</f>
        <v/>
      </c>
      <c r="I941" s="153" t="str">
        <f>IF(E941="","",HLOOKUP($B941,Input!$C$13:$BT$14,2))</f>
        <v/>
      </c>
      <c r="J941" s="154"/>
      <c r="K941" s="155" t="str">
        <f>IF($E941="","",INDEX(Input!$C$16:$CP$16,1,$B941))</f>
        <v/>
      </c>
      <c r="L941" s="155" t="str">
        <f>IF($E941="","",Input!$C$37)</f>
        <v/>
      </c>
      <c r="M941" s="155" t="str">
        <f t="shared" si="580"/>
        <v/>
      </c>
      <c r="N941" s="155" t="str">
        <f t="shared" si="581"/>
        <v/>
      </c>
      <c r="O941" s="147" t="str">
        <f>IF($E941="","",MIN(VLOOKUP(IF($B941&lt;=Input!$C$7,$B941,26),'Mortality Tables'!$A$41:$CW$67,IF($B941&lt;=Input!$C$7+1,Input!$C$4+2,$D941-Input!$C$7+2),0)*IF(B941&gt;20,Input!$C$22,1)/1000,1))</f>
        <v/>
      </c>
      <c r="P941" s="147" t="str">
        <f>IF($E941="","",MIN(VLOOKUP(IF($B941&lt;=Input!$C$7,$B941,26),'Mortality Tables'!$A$12:$CW$37,IF($B941&lt;=Input!$C$7+1,Input!$C$4+2,$D941-Input!$C$7+2),0)*IF(B941&gt;20,Input!$C$22,1)/1000,1))</f>
        <v/>
      </c>
      <c r="Q941" s="155" t="str">
        <f>IF($E941="","",Input!$C$21)</f>
        <v/>
      </c>
      <c r="R941" s="159" t="str">
        <f>IF($E941="","",(1-Q941)^($F941-Input!$C$20))</f>
        <v/>
      </c>
      <c r="S941" s="147" t="str">
        <f t="shared" si="583"/>
        <v/>
      </c>
      <c r="T941" s="147" t="str">
        <f t="shared" si="584"/>
        <v/>
      </c>
      <c r="U941" s="160" t="str">
        <f>IF($E941="","",IF($C941=12,INDEX(Input!$C$15:$CP$15,1,$B941),0))</f>
        <v/>
      </c>
      <c r="V941" s="150" t="str">
        <f>IF(E941="","",IF(C941=1,IF($B941=1,Input!$C$33,Input!$C$34),0))</f>
        <v/>
      </c>
      <c r="W941" s="156" t="str">
        <f>IF($E941="","",Input!$C$35)</f>
        <v/>
      </c>
      <c r="X941" s="156" t="str">
        <f t="shared" si="582"/>
        <v/>
      </c>
      <c r="Y941" s="154"/>
      <c r="Z941" s="147" t="str">
        <f>IF($E941="","",VLOOKUP($D941,'Mortality Margins &amp; Grading'!$AB$5:$AF$125,3,0)*IF(Summary!$D$25="Included Margin",IF(AND($B941&gt;Input!$C$9,Summary!$D$31&lt;&gt;"Included Margin"),0,1),0))</f>
        <v/>
      </c>
      <c r="AA941" s="147" t="str">
        <f>IF($E941="","",VLOOKUP($D941,'Mortality Margins &amp; Grading'!$AB$5:$AF$125,5,0)*IF(Summary!$D$25="Included Margin",IF(AND($B941&gt;Input!$C$9,Summary!$D$31&lt;&gt;"Included Margin"),0,1),0))</f>
        <v/>
      </c>
      <c r="AB941" s="147" t="str">
        <f>IF($E941="","",IF(AND($B941&gt;Input!$C$9,Summary!$D$31&lt;&gt;"Included Margin"),1,IF(Summary!$D$25="Included Margin",VLOOKUP($B941,'Mortality Margins &amp; Grading'!$AI$5:$AR$125,MATCH('Mortality Margins &amp; Grading'!$AQ$4,'Mortality Margins &amp; Grading'!$AI$4:$AR$4,0),0),1)))</f>
        <v/>
      </c>
      <c r="AC941" s="154"/>
      <c r="AD941" s="158" t="str">
        <f>IF(E941="","",Input!$C$48*IF(Summary!$D$30="Included Margin",IF(AND($B941&gt;Input!$C$9,Summary!$D$31&lt;&gt;"Included Margin"),0,1),0))</f>
        <v/>
      </c>
      <c r="AE941" s="159" t="str">
        <f>IF(E941="","",IF(Summary!$D$26="Included Margin",IF(AND($B941&gt;Input!$C$9,Summary!$D$31&lt;&gt;"Included Margin"),1,1/$R941),1))</f>
        <v/>
      </c>
      <c r="AF941" s="160" t="str">
        <f>IF(E941="","",IF(AND($B941&gt;=Input!$C$9,$C941=12,Summary!$D$31="Included Margin",$U941&gt;0),1/U941-1,IF($B941&gt;=Input!$C$9,0,Input!$C$45*IF(Summary!$D$27="Included Margin",1,0))))</f>
        <v/>
      </c>
      <c r="AG941" s="160" t="str">
        <f>IF(E941="","",Input!$C$46*IF(Summary!$D$28="Included Margin",IF(AND($B941&gt;Input!$C$9,Summary!$D$31&lt;&gt;"Included Margin"),0,1),0))</f>
        <v/>
      </c>
      <c r="AH941" s="158" t="str">
        <f>IF(E941="","",Input!$C$47*IF(Summary!$D$29="Included Margin",IF(AND($B941&gt;Input!$C$9,Summary!$D$31&lt;&gt;"Included Margin"),0,1),0))</f>
        <v/>
      </c>
      <c r="AI941" s="154"/>
      <c r="AJ941" s="158" t="str">
        <f t="shared" si="604"/>
        <v/>
      </c>
      <c r="AK941" s="155" t="str">
        <f t="shared" si="605"/>
        <v/>
      </c>
      <c r="AL941" s="147" t="str">
        <f t="shared" si="606"/>
        <v/>
      </c>
      <c r="AM941" s="147" t="str">
        <f t="shared" si="585"/>
        <v/>
      </c>
      <c r="AN941" s="160" t="str">
        <f t="shared" si="607"/>
        <v/>
      </c>
      <c r="AO941" s="161" t="str">
        <f t="shared" si="608"/>
        <v/>
      </c>
      <c r="AP941" s="156" t="str">
        <f t="shared" si="586"/>
        <v/>
      </c>
      <c r="AQ941" s="152"/>
      <c r="AR941" s="162" t="str">
        <f t="shared" si="587"/>
        <v/>
      </c>
      <c r="AS941" s="150" t="str">
        <f t="shared" si="609"/>
        <v/>
      </c>
      <c r="AT941" s="163" t="str">
        <f t="shared" si="588"/>
        <v/>
      </c>
      <c r="AU941" s="163" t="str">
        <f t="shared" si="589"/>
        <v/>
      </c>
      <c r="AV941" s="163" t="str">
        <f t="shared" si="610"/>
        <v/>
      </c>
      <c r="AW941" s="163" t="str">
        <f t="shared" si="590"/>
        <v/>
      </c>
      <c r="AX941" s="163" t="str">
        <f t="shared" si="591"/>
        <v/>
      </c>
      <c r="AY941" s="164" t="str">
        <f t="shared" si="611"/>
        <v/>
      </c>
      <c r="AZ941" s="164" t="str">
        <f>IF($E941="","",IF(OR(AND($D941=Input!$C$6,$C941=12),$AN941=1),0,-AS942+AT942+AU942-AV942-AW942-AX942+AZ942))</f>
        <v/>
      </c>
      <c r="BA941" s="154" t="str">
        <f t="shared" si="592"/>
        <v/>
      </c>
      <c r="BC941" s="147" t="str">
        <f t="shared" si="612"/>
        <v/>
      </c>
      <c r="BD941" s="164" t="str">
        <f>IF(AND($C940=12,$D940=Input!$C$6),0,IF($E941="","",AT941+(AU941+BD942)/(1+$AK941)*MIN((1-AM941-AN941),1)))</f>
        <v/>
      </c>
      <c r="BE941" s="164" t="str">
        <f t="shared" si="628"/>
        <v/>
      </c>
      <c r="BF941" s="164" t="str">
        <f t="shared" si="613"/>
        <v/>
      </c>
      <c r="BG941" s="164" t="str">
        <f t="shared" si="593"/>
        <v/>
      </c>
      <c r="BH941" s="152"/>
      <c r="BI941" s="162" t="str">
        <f t="shared" si="621"/>
        <v/>
      </c>
      <c r="BJ941" s="150" t="str">
        <f t="shared" si="622"/>
        <v/>
      </c>
      <c r="BK941" s="163" t="str">
        <f t="shared" si="617"/>
        <v/>
      </c>
      <c r="BL941" s="163" t="str">
        <f t="shared" si="623"/>
        <v/>
      </c>
      <c r="BM941" s="163" t="str">
        <f t="shared" si="618"/>
        <v/>
      </c>
      <c r="BN941" s="163" t="str">
        <f t="shared" si="624"/>
        <v/>
      </c>
      <c r="BO941" s="163" t="str">
        <f t="shared" si="625"/>
        <v/>
      </c>
      <c r="BP941" s="164" t="str">
        <f t="shared" si="619"/>
        <v/>
      </c>
      <c r="BQ941" s="164" t="str">
        <f t="shared" si="626"/>
        <v/>
      </c>
      <c r="BR941" s="154" t="str">
        <f t="shared" si="627"/>
        <v/>
      </c>
      <c r="BT941" s="147" t="str">
        <f t="shared" si="600"/>
        <v/>
      </c>
      <c r="BU941" s="164" t="str">
        <f>IF(AND($C940=12,$D940=Input!$C$6),0,IF($E941="","",BK941+(BL941+BU942)/(1+$AK941)*MIN((1-T941-U941),1)))</f>
        <v/>
      </c>
      <c r="BV941" s="164" t="str">
        <f t="shared" si="601"/>
        <v/>
      </c>
      <c r="BW941" s="164" t="str">
        <f t="shared" si="602"/>
        <v/>
      </c>
      <c r="BX941" s="164" t="str">
        <f t="shared" si="603"/>
        <v/>
      </c>
    </row>
    <row r="942" spans="1:76" s="150" customFormat="1" x14ac:dyDescent="0.25">
      <c r="A942" s="150" t="str">
        <f t="shared" si="614"/>
        <v/>
      </c>
      <c r="B942" s="150" t="str">
        <f t="shared" si="615"/>
        <v/>
      </c>
      <c r="C942" s="150" t="str">
        <f t="shared" si="616"/>
        <v/>
      </c>
      <c r="D942" s="150" t="str">
        <f>IF(E942="","",Input!$C$4+B942-1)</f>
        <v/>
      </c>
      <c r="E942" s="150" t="str">
        <f>IF(OR(AND(C941=12,D941=Input!$C$6),E941=""),"",1)</f>
        <v/>
      </c>
      <c r="F942" s="150" t="str">
        <f>IF(E942="","",Input!$C$8+B942-1)</f>
        <v/>
      </c>
      <c r="G942" s="151" t="str">
        <f>IF(E942="","",MAX(0,Input!$C$9-B942))</f>
        <v/>
      </c>
      <c r="H942" s="152" t="str">
        <f>IF(E942="","",Input!$C$3)</f>
        <v/>
      </c>
      <c r="I942" s="153" t="str">
        <f>IF(E942="","",HLOOKUP($B942,Input!$C$13:$BT$14,2))</f>
        <v/>
      </c>
      <c r="J942" s="154"/>
      <c r="K942" s="155" t="str">
        <f>IF($E942="","",INDEX(Input!$C$16:$CP$16,1,$B942))</f>
        <v/>
      </c>
      <c r="L942" s="155" t="str">
        <f>IF($E942="","",Input!$C$37)</f>
        <v/>
      </c>
      <c r="M942" s="155" t="str">
        <f t="shared" si="580"/>
        <v/>
      </c>
      <c r="N942" s="155" t="str">
        <f t="shared" si="581"/>
        <v/>
      </c>
      <c r="O942" s="147" t="str">
        <f>IF($E942="","",MIN(VLOOKUP(IF($B942&lt;=Input!$C$7,$B942,26),'Mortality Tables'!$A$41:$CW$67,IF($B942&lt;=Input!$C$7+1,Input!$C$4+2,$D942-Input!$C$7+2),0)*IF(B942&gt;20,Input!$C$22,1)/1000,1))</f>
        <v/>
      </c>
      <c r="P942" s="147" t="str">
        <f>IF($E942="","",MIN(VLOOKUP(IF($B942&lt;=Input!$C$7,$B942,26),'Mortality Tables'!$A$12:$CW$37,IF($B942&lt;=Input!$C$7+1,Input!$C$4+2,$D942-Input!$C$7+2),0)*IF(B942&gt;20,Input!$C$22,1)/1000,1))</f>
        <v/>
      </c>
      <c r="Q942" s="155" t="str">
        <f>IF($E942="","",Input!$C$21)</f>
        <v/>
      </c>
      <c r="R942" s="159" t="str">
        <f>IF($E942="","",(1-Q942)^($F942-Input!$C$20))</f>
        <v/>
      </c>
      <c r="S942" s="147" t="str">
        <f t="shared" si="583"/>
        <v/>
      </c>
      <c r="T942" s="147" t="str">
        <f t="shared" si="584"/>
        <v/>
      </c>
      <c r="U942" s="160" t="str">
        <f>IF($E942="","",IF($C942=12,INDEX(Input!$C$15:$CP$15,1,$B942),0))</f>
        <v/>
      </c>
      <c r="V942" s="150" t="str">
        <f>IF(E942="","",IF(C942=1,IF($B942=1,Input!$C$33,Input!$C$34),0))</f>
        <v/>
      </c>
      <c r="W942" s="156" t="str">
        <f>IF($E942="","",Input!$C$35)</f>
        <v/>
      </c>
      <c r="X942" s="156" t="str">
        <f t="shared" si="582"/>
        <v/>
      </c>
      <c r="Y942" s="154"/>
      <c r="Z942" s="147" t="str">
        <f>IF($E942="","",VLOOKUP($D942,'Mortality Margins &amp; Grading'!$AB$5:$AF$125,3,0)*IF(Summary!$D$25="Included Margin",IF(AND($B942&gt;Input!$C$9,Summary!$D$31&lt;&gt;"Included Margin"),0,1),0))</f>
        <v/>
      </c>
      <c r="AA942" s="147" t="str">
        <f>IF($E942="","",VLOOKUP($D942,'Mortality Margins &amp; Grading'!$AB$5:$AF$125,5,0)*IF(Summary!$D$25="Included Margin",IF(AND($B942&gt;Input!$C$9,Summary!$D$31&lt;&gt;"Included Margin"),0,1),0))</f>
        <v/>
      </c>
      <c r="AB942" s="147" t="str">
        <f>IF($E942="","",IF(AND($B942&gt;Input!$C$9,Summary!$D$31&lt;&gt;"Included Margin"),1,IF(Summary!$D$25="Included Margin",VLOOKUP($B942,'Mortality Margins &amp; Grading'!$AI$5:$AR$125,MATCH('Mortality Margins &amp; Grading'!$AQ$4,'Mortality Margins &amp; Grading'!$AI$4:$AR$4,0),0),1)))</f>
        <v/>
      </c>
      <c r="AC942" s="154"/>
      <c r="AD942" s="158" t="str">
        <f>IF(E942="","",Input!$C$48*IF(Summary!$D$30="Included Margin",IF(AND($B942&gt;Input!$C$9,Summary!$D$31&lt;&gt;"Included Margin"),0,1),0))</f>
        <v/>
      </c>
      <c r="AE942" s="159" t="str">
        <f>IF(E942="","",IF(Summary!$D$26="Included Margin",IF(AND($B942&gt;Input!$C$9,Summary!$D$31&lt;&gt;"Included Margin"),1,1/$R942),1))</f>
        <v/>
      </c>
      <c r="AF942" s="160" t="str">
        <f>IF(E942="","",IF(AND($B942&gt;=Input!$C$9,$C942=12,Summary!$D$31="Included Margin",$U942&gt;0),1/U942-1,IF($B942&gt;=Input!$C$9,0,Input!$C$45*IF(Summary!$D$27="Included Margin",1,0))))</f>
        <v/>
      </c>
      <c r="AG942" s="160" t="str">
        <f>IF(E942="","",Input!$C$46*IF(Summary!$D$28="Included Margin",IF(AND($B942&gt;Input!$C$9,Summary!$D$31&lt;&gt;"Included Margin"),0,1),0))</f>
        <v/>
      </c>
      <c r="AH942" s="158" t="str">
        <f>IF(E942="","",Input!$C$47*IF(Summary!$D$29="Included Margin",IF(AND($B942&gt;Input!$C$9,Summary!$D$31&lt;&gt;"Included Margin"),0,1),0))</f>
        <v/>
      </c>
      <c r="AI942" s="154"/>
      <c r="AJ942" s="158" t="str">
        <f t="shared" si="604"/>
        <v/>
      </c>
      <c r="AK942" s="155" t="str">
        <f t="shared" si="605"/>
        <v/>
      </c>
      <c r="AL942" s="147" t="str">
        <f t="shared" si="606"/>
        <v/>
      </c>
      <c r="AM942" s="147" t="str">
        <f t="shared" si="585"/>
        <v/>
      </c>
      <c r="AN942" s="160" t="str">
        <f t="shared" si="607"/>
        <v/>
      </c>
      <c r="AO942" s="161" t="str">
        <f t="shared" si="608"/>
        <v/>
      </c>
      <c r="AP942" s="156" t="str">
        <f t="shared" si="586"/>
        <v/>
      </c>
      <c r="AQ942" s="152"/>
      <c r="AR942" s="162" t="str">
        <f t="shared" si="587"/>
        <v/>
      </c>
      <c r="AS942" s="150" t="str">
        <f t="shared" si="609"/>
        <v/>
      </c>
      <c r="AT942" s="163" t="str">
        <f t="shared" si="588"/>
        <v/>
      </c>
      <c r="AU942" s="163" t="str">
        <f t="shared" si="589"/>
        <v/>
      </c>
      <c r="AV942" s="163" t="str">
        <f t="shared" si="610"/>
        <v/>
      </c>
      <c r="AW942" s="163" t="str">
        <f t="shared" si="590"/>
        <v/>
      </c>
      <c r="AX942" s="163" t="str">
        <f t="shared" si="591"/>
        <v/>
      </c>
      <c r="AY942" s="165" t="str">
        <f t="shared" si="611"/>
        <v/>
      </c>
      <c r="AZ942" s="164" t="str">
        <f>IF($E942="","",IF(OR(AND($D942=Input!$C$6,$C942=12),$AN942=1),0,-AS943+AT943+AU943-AV943-AW943-AX943+AZ943))</f>
        <v/>
      </c>
      <c r="BA942" s="154" t="str">
        <f t="shared" si="592"/>
        <v/>
      </c>
      <c r="BC942" s="147" t="str">
        <f t="shared" si="612"/>
        <v/>
      </c>
      <c r="BD942" s="164" t="str">
        <f>IF(AND($C941=12,$D941=Input!$C$6),0,IF($E942="","",AT942+(AU942+BD943)/(1+$AK942)*MIN((1-AM942-AN942),1)))</f>
        <v/>
      </c>
      <c r="BE942" s="164" t="str">
        <f t="shared" si="628"/>
        <v/>
      </c>
      <c r="BF942" s="164" t="str">
        <f t="shared" si="613"/>
        <v/>
      </c>
      <c r="BG942" s="164" t="str">
        <f t="shared" si="593"/>
        <v/>
      </c>
      <c r="BH942" s="152"/>
      <c r="BI942" s="162" t="str">
        <f t="shared" si="621"/>
        <v/>
      </c>
      <c r="BJ942" s="150" t="str">
        <f t="shared" si="622"/>
        <v/>
      </c>
      <c r="BK942" s="163" t="str">
        <f t="shared" si="617"/>
        <v/>
      </c>
      <c r="BL942" s="163" t="str">
        <f t="shared" si="623"/>
        <v/>
      </c>
      <c r="BM942" s="163" t="str">
        <f t="shared" si="618"/>
        <v/>
      </c>
      <c r="BN942" s="163" t="str">
        <f t="shared" si="624"/>
        <v/>
      </c>
      <c r="BO942" s="163" t="str">
        <f t="shared" si="625"/>
        <v/>
      </c>
      <c r="BP942" s="164" t="str">
        <f t="shared" si="619"/>
        <v/>
      </c>
      <c r="BQ942" s="164" t="str">
        <f t="shared" si="626"/>
        <v/>
      </c>
      <c r="BR942" s="154" t="str">
        <f t="shared" si="627"/>
        <v/>
      </c>
      <c r="BT942" s="147" t="str">
        <f t="shared" si="600"/>
        <v/>
      </c>
      <c r="BU942" s="164" t="str">
        <f>IF(AND($C941=12,$D941=Input!$C$6),0,IF($E942="","",BK942+(BL942+BU943)/(1+$AK942)*MIN((1-T942-U942),1)))</f>
        <v/>
      </c>
      <c r="BV942" s="164" t="str">
        <f t="shared" si="601"/>
        <v/>
      </c>
      <c r="BW942" s="164" t="str">
        <f t="shared" si="602"/>
        <v/>
      </c>
      <c r="BX942" s="164" t="str">
        <f t="shared" si="603"/>
        <v/>
      </c>
    </row>
    <row r="943" spans="1:76" s="150" customFormat="1" x14ac:dyDescent="0.25">
      <c r="A943" s="150" t="str">
        <f t="shared" si="614"/>
        <v/>
      </c>
      <c r="B943" s="150" t="str">
        <f t="shared" si="615"/>
        <v/>
      </c>
      <c r="C943" s="150" t="str">
        <f t="shared" si="616"/>
        <v/>
      </c>
      <c r="D943" s="150" t="str">
        <f>IF(E943="","",Input!$C$4+B943-1)</f>
        <v/>
      </c>
      <c r="E943" s="150" t="str">
        <f>IF(OR(AND(C942=12,D942=Input!$C$6),E942=""),"",1)</f>
        <v/>
      </c>
      <c r="F943" s="150" t="str">
        <f>IF(E943="","",Input!$C$8+B943-1)</f>
        <v/>
      </c>
      <c r="G943" s="151" t="str">
        <f>IF(E943="","",MAX(0,Input!$C$9-B943))</f>
        <v/>
      </c>
      <c r="H943" s="152" t="str">
        <f>IF(E943="","",Input!$C$3)</f>
        <v/>
      </c>
      <c r="I943" s="153" t="str">
        <f>IF(E943="","",HLOOKUP($B943,Input!$C$13:$BT$14,2))</f>
        <v/>
      </c>
      <c r="J943" s="154"/>
      <c r="K943" s="155" t="str">
        <f>IF($E943="","",INDEX(Input!$C$16:$CP$16,1,$B943))</f>
        <v/>
      </c>
      <c r="L943" s="155" t="str">
        <f>IF($E943="","",Input!$C$37)</f>
        <v/>
      </c>
      <c r="M943" s="155" t="str">
        <f t="shared" si="580"/>
        <v/>
      </c>
      <c r="N943" s="155" t="str">
        <f t="shared" si="581"/>
        <v/>
      </c>
      <c r="O943" s="147" t="str">
        <f>IF($E943="","",MIN(VLOOKUP(IF($B943&lt;=Input!$C$7,$B943,26),'Mortality Tables'!$A$41:$CW$67,IF($B943&lt;=Input!$C$7+1,Input!$C$4+2,$D943-Input!$C$7+2),0)*IF(B943&gt;20,Input!$C$22,1)/1000,1))</f>
        <v/>
      </c>
      <c r="P943" s="147" t="str">
        <f>IF($E943="","",MIN(VLOOKUP(IF($B943&lt;=Input!$C$7,$B943,26),'Mortality Tables'!$A$12:$CW$37,IF($B943&lt;=Input!$C$7+1,Input!$C$4+2,$D943-Input!$C$7+2),0)*IF(B943&gt;20,Input!$C$22,1)/1000,1))</f>
        <v/>
      </c>
      <c r="Q943" s="155" t="str">
        <f>IF($E943="","",Input!$C$21)</f>
        <v/>
      </c>
      <c r="R943" s="159" t="str">
        <f>IF($E943="","",(1-Q943)^($F943-Input!$C$20))</f>
        <v/>
      </c>
      <c r="S943" s="147" t="str">
        <f t="shared" si="583"/>
        <v/>
      </c>
      <c r="T943" s="147" t="str">
        <f t="shared" si="584"/>
        <v/>
      </c>
      <c r="U943" s="160" t="str">
        <f>IF($E943="","",IF($C943=12,INDEX(Input!$C$15:$CP$15,1,$B943),0))</f>
        <v/>
      </c>
      <c r="V943" s="150" t="str">
        <f>IF(E943="","",IF(C943=1,IF($B943=1,Input!$C$33,Input!$C$34),0))</f>
        <v/>
      </c>
      <c r="W943" s="156" t="str">
        <f>IF($E943="","",Input!$C$35)</f>
        <v/>
      </c>
      <c r="X943" s="156" t="str">
        <f t="shared" si="582"/>
        <v/>
      </c>
      <c r="Y943" s="154"/>
      <c r="Z943" s="147" t="str">
        <f>IF($E943="","",VLOOKUP($D943,'Mortality Margins &amp; Grading'!$AB$5:$AF$125,3,0)*IF(Summary!$D$25="Included Margin",IF(AND($B943&gt;Input!$C$9,Summary!$D$31&lt;&gt;"Included Margin"),0,1),0))</f>
        <v/>
      </c>
      <c r="AA943" s="147" t="str">
        <f>IF($E943="","",VLOOKUP($D943,'Mortality Margins &amp; Grading'!$AB$5:$AF$125,5,0)*IF(Summary!$D$25="Included Margin",IF(AND($B943&gt;Input!$C$9,Summary!$D$31&lt;&gt;"Included Margin"),0,1),0))</f>
        <v/>
      </c>
      <c r="AB943" s="147" t="str">
        <f>IF($E943="","",IF(AND($B943&gt;Input!$C$9,Summary!$D$31&lt;&gt;"Included Margin"),1,IF(Summary!$D$25="Included Margin",VLOOKUP($B943,'Mortality Margins &amp; Grading'!$AI$5:$AR$125,MATCH('Mortality Margins &amp; Grading'!$AQ$4,'Mortality Margins &amp; Grading'!$AI$4:$AR$4,0),0),1)))</f>
        <v/>
      </c>
      <c r="AC943" s="154"/>
      <c r="AD943" s="158" t="str">
        <f>IF(E943="","",Input!$C$48*IF(Summary!$D$30="Included Margin",IF(AND($B943&gt;Input!$C$9,Summary!$D$31&lt;&gt;"Included Margin"),0,1),0))</f>
        <v/>
      </c>
      <c r="AE943" s="159" t="str">
        <f>IF(E943="","",IF(Summary!$D$26="Included Margin",IF(AND($B943&gt;Input!$C$9,Summary!$D$31&lt;&gt;"Included Margin"),1,1/$R943),1))</f>
        <v/>
      </c>
      <c r="AF943" s="160" t="str">
        <f>IF(E943="","",IF(AND($B943&gt;=Input!$C$9,$C943=12,Summary!$D$31="Included Margin",$U943&gt;0),1/U943-1,IF($B943&gt;=Input!$C$9,0,Input!$C$45*IF(Summary!$D$27="Included Margin",1,0))))</f>
        <v/>
      </c>
      <c r="AG943" s="160" t="str">
        <f>IF(E943="","",Input!$C$46*IF(Summary!$D$28="Included Margin",IF(AND($B943&gt;Input!$C$9,Summary!$D$31&lt;&gt;"Included Margin"),0,1),0))</f>
        <v/>
      </c>
      <c r="AH943" s="158" t="str">
        <f>IF(E943="","",Input!$C$47*IF(Summary!$D$29="Included Margin",IF(AND($B943&gt;Input!$C$9,Summary!$D$31&lt;&gt;"Included Margin"),0,1),0))</f>
        <v/>
      </c>
      <c r="AI943" s="154"/>
      <c r="AJ943" s="158" t="str">
        <f t="shared" si="604"/>
        <v/>
      </c>
      <c r="AK943" s="155" t="str">
        <f t="shared" si="605"/>
        <v/>
      </c>
      <c r="AL943" s="147" t="str">
        <f t="shared" si="606"/>
        <v/>
      </c>
      <c r="AM943" s="147" t="str">
        <f t="shared" si="585"/>
        <v/>
      </c>
      <c r="AN943" s="160" t="str">
        <f t="shared" si="607"/>
        <v/>
      </c>
      <c r="AO943" s="161" t="str">
        <f t="shared" si="608"/>
        <v/>
      </c>
      <c r="AP943" s="156" t="str">
        <f t="shared" si="586"/>
        <v/>
      </c>
      <c r="AQ943" s="152"/>
      <c r="AR943" s="162" t="str">
        <f t="shared" si="587"/>
        <v/>
      </c>
      <c r="AS943" s="150" t="str">
        <f t="shared" si="609"/>
        <v/>
      </c>
      <c r="AT943" s="163" t="str">
        <f t="shared" si="588"/>
        <v/>
      </c>
      <c r="AU943" s="163" t="str">
        <f t="shared" si="589"/>
        <v/>
      </c>
      <c r="AV943" s="163" t="str">
        <f t="shared" si="610"/>
        <v/>
      </c>
      <c r="AW943" s="163" t="str">
        <f t="shared" si="590"/>
        <v/>
      </c>
      <c r="AX943" s="163" t="str">
        <f t="shared" si="591"/>
        <v/>
      </c>
      <c r="AY943" s="164" t="str">
        <f t="shared" si="611"/>
        <v/>
      </c>
      <c r="AZ943" s="164" t="str">
        <f>IF($E943="","",IF(OR(AND($D943=Input!$C$6,$C943=12),$AN943=1),0,-AS944+AT944+AU944-AV944-AW944-AX944+AZ944))</f>
        <v/>
      </c>
      <c r="BA943" s="154" t="str">
        <f t="shared" si="592"/>
        <v/>
      </c>
      <c r="BC943" s="147" t="str">
        <f t="shared" si="612"/>
        <v/>
      </c>
      <c r="BD943" s="164" t="str">
        <f>IF(AND($C942=12,$D942=Input!$C$6),0,IF($E943="","",AT943+(AU943+BD944)/(1+$AK943)*MIN((1-AM943-AN943),1)))</f>
        <v/>
      </c>
      <c r="BE943" s="164" t="str">
        <f t="shared" si="628"/>
        <v/>
      </c>
      <c r="BF943" s="164" t="str">
        <f t="shared" si="613"/>
        <v/>
      </c>
      <c r="BG943" s="164" t="str">
        <f t="shared" si="593"/>
        <v/>
      </c>
      <c r="BH943" s="152"/>
      <c r="BI943" s="162" t="str">
        <f t="shared" si="621"/>
        <v/>
      </c>
      <c r="BJ943" s="150" t="str">
        <f t="shared" si="622"/>
        <v/>
      </c>
      <c r="BK943" s="163" t="str">
        <f t="shared" si="617"/>
        <v/>
      </c>
      <c r="BL943" s="163" t="str">
        <f t="shared" si="623"/>
        <v/>
      </c>
      <c r="BM943" s="163" t="str">
        <f t="shared" si="618"/>
        <v/>
      </c>
      <c r="BN943" s="163" t="str">
        <f t="shared" si="624"/>
        <v/>
      </c>
      <c r="BO943" s="163" t="str">
        <f t="shared" si="625"/>
        <v/>
      </c>
      <c r="BP943" s="164" t="str">
        <f t="shared" si="619"/>
        <v/>
      </c>
      <c r="BQ943" s="164" t="str">
        <f t="shared" si="626"/>
        <v/>
      </c>
      <c r="BR943" s="154" t="str">
        <f t="shared" si="627"/>
        <v/>
      </c>
      <c r="BT943" s="147" t="str">
        <f t="shared" si="600"/>
        <v/>
      </c>
      <c r="BU943" s="164" t="str">
        <f>IF(AND($C942=12,$D942=Input!$C$6),0,IF($E943="","",BK943+(BL943+BU944)/(1+$AK943)*MIN((1-T943-U943),1)))</f>
        <v/>
      </c>
      <c r="BV943" s="164" t="str">
        <f t="shared" si="601"/>
        <v/>
      </c>
      <c r="BW943" s="164" t="str">
        <f t="shared" si="602"/>
        <v/>
      </c>
      <c r="BX943" s="164" t="str">
        <f t="shared" si="603"/>
        <v/>
      </c>
    </row>
    <row r="944" spans="1:76" s="150" customFormat="1" x14ac:dyDescent="0.25">
      <c r="A944" s="150" t="str">
        <f t="shared" si="614"/>
        <v/>
      </c>
      <c r="B944" s="150" t="str">
        <f t="shared" si="615"/>
        <v/>
      </c>
      <c r="C944" s="150" t="str">
        <f t="shared" si="616"/>
        <v/>
      </c>
      <c r="D944" s="150" t="str">
        <f>IF(E944="","",Input!$C$4+B944-1)</f>
        <v/>
      </c>
      <c r="E944" s="150" t="str">
        <f>IF(OR(AND(C943=12,D943=Input!$C$6),E943=""),"",1)</f>
        <v/>
      </c>
      <c r="F944" s="150" t="str">
        <f>IF(E944="","",Input!$C$8+B944-1)</f>
        <v/>
      </c>
      <c r="G944" s="151" t="str">
        <f>IF(E944="","",MAX(0,Input!$C$9-B944))</f>
        <v/>
      </c>
      <c r="H944" s="152" t="str">
        <f>IF(E944="","",Input!$C$3)</f>
        <v/>
      </c>
      <c r="I944" s="153" t="str">
        <f>IF(E944="","",HLOOKUP($B944,Input!$C$13:$BT$14,2))</f>
        <v/>
      </c>
      <c r="J944" s="154"/>
      <c r="K944" s="155" t="str">
        <f>IF($E944="","",INDEX(Input!$C$16:$CP$16,1,$B944))</f>
        <v/>
      </c>
      <c r="L944" s="155" t="str">
        <f>IF($E944="","",Input!$C$37)</f>
        <v/>
      </c>
      <c r="M944" s="155" t="str">
        <f t="shared" si="580"/>
        <v/>
      </c>
      <c r="N944" s="155" t="str">
        <f t="shared" si="581"/>
        <v/>
      </c>
      <c r="O944" s="147" t="str">
        <f>IF($E944="","",MIN(VLOOKUP(IF($B944&lt;=Input!$C$7,$B944,26),'Mortality Tables'!$A$41:$CW$67,IF($B944&lt;=Input!$C$7+1,Input!$C$4+2,$D944-Input!$C$7+2),0)*IF(B944&gt;20,Input!$C$22,1)/1000,1))</f>
        <v/>
      </c>
      <c r="P944" s="147" t="str">
        <f>IF($E944="","",MIN(VLOOKUP(IF($B944&lt;=Input!$C$7,$B944,26),'Mortality Tables'!$A$12:$CW$37,IF($B944&lt;=Input!$C$7+1,Input!$C$4+2,$D944-Input!$C$7+2),0)*IF(B944&gt;20,Input!$C$22,1)/1000,1))</f>
        <v/>
      </c>
      <c r="Q944" s="155" t="str">
        <f>IF($E944="","",Input!$C$21)</f>
        <v/>
      </c>
      <c r="R944" s="159" t="str">
        <f>IF($E944="","",(1-Q944)^($F944-Input!$C$20))</f>
        <v/>
      </c>
      <c r="S944" s="147" t="str">
        <f t="shared" si="583"/>
        <v/>
      </c>
      <c r="T944" s="147" t="str">
        <f t="shared" si="584"/>
        <v/>
      </c>
      <c r="U944" s="160" t="str">
        <f>IF($E944="","",IF($C944=12,INDEX(Input!$C$15:$CP$15,1,$B944),0))</f>
        <v/>
      </c>
      <c r="V944" s="150" t="str">
        <f>IF(E944="","",IF(C944=1,IF($B944=1,Input!$C$33,Input!$C$34),0))</f>
        <v/>
      </c>
      <c r="W944" s="156" t="str">
        <f>IF($E944="","",Input!$C$35)</f>
        <v/>
      </c>
      <c r="X944" s="156" t="str">
        <f t="shared" si="582"/>
        <v/>
      </c>
      <c r="Y944" s="154"/>
      <c r="Z944" s="147" t="str">
        <f>IF($E944="","",VLOOKUP($D944,'Mortality Margins &amp; Grading'!$AB$5:$AF$125,3,0)*IF(Summary!$D$25="Included Margin",IF(AND($B944&gt;Input!$C$9,Summary!$D$31&lt;&gt;"Included Margin"),0,1),0))</f>
        <v/>
      </c>
      <c r="AA944" s="147" t="str">
        <f>IF($E944="","",VLOOKUP($D944,'Mortality Margins &amp; Grading'!$AB$5:$AF$125,5,0)*IF(Summary!$D$25="Included Margin",IF(AND($B944&gt;Input!$C$9,Summary!$D$31&lt;&gt;"Included Margin"),0,1),0))</f>
        <v/>
      </c>
      <c r="AB944" s="147" t="str">
        <f>IF($E944="","",IF(AND($B944&gt;Input!$C$9,Summary!$D$31&lt;&gt;"Included Margin"),1,IF(Summary!$D$25="Included Margin",VLOOKUP($B944,'Mortality Margins &amp; Grading'!$AI$5:$AR$125,MATCH('Mortality Margins &amp; Grading'!$AQ$4,'Mortality Margins &amp; Grading'!$AI$4:$AR$4,0),0),1)))</f>
        <v/>
      </c>
      <c r="AC944" s="154"/>
      <c r="AD944" s="158" t="str">
        <f>IF(E944="","",Input!$C$48*IF(Summary!$D$30="Included Margin",IF(AND($B944&gt;Input!$C$9,Summary!$D$31&lt;&gt;"Included Margin"),0,1),0))</f>
        <v/>
      </c>
      <c r="AE944" s="159" t="str">
        <f>IF(E944="","",IF(Summary!$D$26="Included Margin",IF(AND($B944&gt;Input!$C$9,Summary!$D$31&lt;&gt;"Included Margin"),1,1/$R944),1))</f>
        <v/>
      </c>
      <c r="AF944" s="160" t="str">
        <f>IF(E944="","",IF(AND($B944&gt;=Input!$C$9,$C944=12,Summary!$D$31="Included Margin",$U944&gt;0),1/U944-1,IF($B944&gt;=Input!$C$9,0,Input!$C$45*IF(Summary!$D$27="Included Margin",1,0))))</f>
        <v/>
      </c>
      <c r="AG944" s="160" t="str">
        <f>IF(E944="","",Input!$C$46*IF(Summary!$D$28="Included Margin",IF(AND($B944&gt;Input!$C$9,Summary!$D$31&lt;&gt;"Included Margin"),0,1),0))</f>
        <v/>
      </c>
      <c r="AH944" s="158" t="str">
        <f>IF(E944="","",Input!$C$47*IF(Summary!$D$29="Included Margin",IF(AND($B944&gt;Input!$C$9,Summary!$D$31&lt;&gt;"Included Margin"),0,1),0))</f>
        <v/>
      </c>
      <c r="AI944" s="154"/>
      <c r="AJ944" s="158" t="str">
        <f t="shared" si="604"/>
        <v/>
      </c>
      <c r="AK944" s="155" t="str">
        <f t="shared" si="605"/>
        <v/>
      </c>
      <c r="AL944" s="147" t="str">
        <f t="shared" si="606"/>
        <v/>
      </c>
      <c r="AM944" s="147" t="str">
        <f t="shared" si="585"/>
        <v/>
      </c>
      <c r="AN944" s="160" t="str">
        <f t="shared" si="607"/>
        <v/>
      </c>
      <c r="AO944" s="161" t="str">
        <f t="shared" si="608"/>
        <v/>
      </c>
      <c r="AP944" s="156" t="str">
        <f t="shared" si="586"/>
        <v/>
      </c>
      <c r="AQ944" s="152"/>
      <c r="AR944" s="162" t="str">
        <f t="shared" si="587"/>
        <v/>
      </c>
      <c r="AS944" s="150" t="str">
        <f t="shared" si="609"/>
        <v/>
      </c>
      <c r="AT944" s="163" t="str">
        <f t="shared" si="588"/>
        <v/>
      </c>
      <c r="AU944" s="163" t="str">
        <f t="shared" si="589"/>
        <v/>
      </c>
      <c r="AV944" s="163" t="str">
        <f t="shared" si="610"/>
        <v/>
      </c>
      <c r="AW944" s="163" t="str">
        <f t="shared" si="590"/>
        <v/>
      </c>
      <c r="AX944" s="163" t="str">
        <f t="shared" si="591"/>
        <v/>
      </c>
      <c r="AY944" s="165" t="str">
        <f t="shared" si="611"/>
        <v/>
      </c>
      <c r="AZ944" s="164" t="str">
        <f>IF($E944="","",IF(OR(AND($D944=Input!$C$6,$C944=12),$AN944=1),0,-AS945+AT945+AU945-AV945-AW945-AX945+AZ945))</f>
        <v/>
      </c>
      <c r="BA944" s="154" t="str">
        <f t="shared" si="592"/>
        <v/>
      </c>
      <c r="BC944" s="147" t="str">
        <f t="shared" si="612"/>
        <v/>
      </c>
      <c r="BD944" s="164" t="str">
        <f>IF(AND($C943=12,$D943=Input!$C$6),0,IF($E944="","",AT944+(AU944+BD945)/(1+$AK944)*MIN((1-AM944-AN944),1)))</f>
        <v/>
      </c>
      <c r="BE944" s="164" t="str">
        <f t="shared" si="628"/>
        <v/>
      </c>
      <c r="BF944" s="164" t="str">
        <f t="shared" si="613"/>
        <v/>
      </c>
      <c r="BG944" s="164" t="str">
        <f t="shared" si="593"/>
        <v/>
      </c>
      <c r="BH944" s="152"/>
      <c r="BI944" s="162" t="str">
        <f t="shared" si="621"/>
        <v/>
      </c>
      <c r="BJ944" s="150" t="str">
        <f t="shared" si="622"/>
        <v/>
      </c>
      <c r="BK944" s="163" t="str">
        <f t="shared" si="617"/>
        <v/>
      </c>
      <c r="BL944" s="163" t="str">
        <f t="shared" si="623"/>
        <v/>
      </c>
      <c r="BM944" s="163" t="str">
        <f t="shared" si="618"/>
        <v/>
      </c>
      <c r="BN944" s="163" t="str">
        <f t="shared" si="624"/>
        <v/>
      </c>
      <c r="BO944" s="163" t="str">
        <f t="shared" si="625"/>
        <v/>
      </c>
      <c r="BP944" s="164" t="str">
        <f t="shared" si="619"/>
        <v/>
      </c>
      <c r="BQ944" s="164" t="str">
        <f t="shared" si="626"/>
        <v/>
      </c>
      <c r="BR944" s="154" t="str">
        <f t="shared" si="627"/>
        <v/>
      </c>
      <c r="BT944" s="147" t="str">
        <f t="shared" si="600"/>
        <v/>
      </c>
      <c r="BU944" s="164" t="str">
        <f>IF(AND($C943=12,$D943=Input!$C$6),0,IF($E944="","",BK944+(BL944+BU945)/(1+$AK944)*MIN((1-T944-U944),1)))</f>
        <v/>
      </c>
      <c r="BV944" s="164" t="str">
        <f t="shared" si="601"/>
        <v/>
      </c>
      <c r="BW944" s="164" t="str">
        <f t="shared" si="602"/>
        <v/>
      </c>
      <c r="BX944" s="164" t="str">
        <f t="shared" si="603"/>
        <v/>
      </c>
    </row>
    <row r="945" spans="1:76" s="150" customFormat="1" x14ac:dyDescent="0.25">
      <c r="A945" s="150" t="str">
        <f t="shared" si="614"/>
        <v/>
      </c>
      <c r="B945" s="150" t="str">
        <f t="shared" si="615"/>
        <v/>
      </c>
      <c r="C945" s="150" t="str">
        <f t="shared" si="616"/>
        <v/>
      </c>
      <c r="D945" s="150" t="str">
        <f>IF(E945="","",Input!$C$4+B945-1)</f>
        <v/>
      </c>
      <c r="E945" s="150" t="str">
        <f>IF(OR(AND(C944=12,D944=Input!$C$6),E944=""),"",1)</f>
        <v/>
      </c>
      <c r="F945" s="150" t="str">
        <f>IF(E945="","",Input!$C$8+B945-1)</f>
        <v/>
      </c>
      <c r="G945" s="151" t="str">
        <f>IF(E945="","",MAX(0,Input!$C$9-B945))</f>
        <v/>
      </c>
      <c r="H945" s="152" t="str">
        <f>IF(E945="","",Input!$C$3)</f>
        <v/>
      </c>
      <c r="I945" s="153" t="str">
        <f>IF(E945="","",HLOOKUP($B945,Input!$C$13:$BT$14,2))</f>
        <v/>
      </c>
      <c r="J945" s="154"/>
      <c r="K945" s="155" t="str">
        <f>IF($E945="","",INDEX(Input!$C$16:$CP$16,1,$B945))</f>
        <v/>
      </c>
      <c r="L945" s="155" t="str">
        <f>IF($E945="","",Input!$C$37)</f>
        <v/>
      </c>
      <c r="M945" s="155" t="str">
        <f t="shared" si="580"/>
        <v/>
      </c>
      <c r="N945" s="155" t="str">
        <f t="shared" si="581"/>
        <v/>
      </c>
      <c r="O945" s="147" t="str">
        <f>IF($E945="","",MIN(VLOOKUP(IF($B945&lt;=Input!$C$7,$B945,26),'Mortality Tables'!$A$41:$CW$67,IF($B945&lt;=Input!$C$7+1,Input!$C$4+2,$D945-Input!$C$7+2),0)*IF(B945&gt;20,Input!$C$22,1)/1000,1))</f>
        <v/>
      </c>
      <c r="P945" s="147" t="str">
        <f>IF($E945="","",MIN(VLOOKUP(IF($B945&lt;=Input!$C$7,$B945,26),'Mortality Tables'!$A$12:$CW$37,IF($B945&lt;=Input!$C$7+1,Input!$C$4+2,$D945-Input!$C$7+2),0)*IF(B945&gt;20,Input!$C$22,1)/1000,1))</f>
        <v/>
      </c>
      <c r="Q945" s="155" t="str">
        <f>IF($E945="","",Input!$C$21)</f>
        <v/>
      </c>
      <c r="R945" s="159" t="str">
        <f>IF($E945="","",(1-Q945)^($F945-Input!$C$20))</f>
        <v/>
      </c>
      <c r="S945" s="147" t="str">
        <f t="shared" si="583"/>
        <v/>
      </c>
      <c r="T945" s="147" t="str">
        <f t="shared" si="584"/>
        <v/>
      </c>
      <c r="U945" s="160" t="str">
        <f>IF($E945="","",IF($C945=12,INDEX(Input!$C$15:$CP$15,1,$B945),0))</f>
        <v/>
      </c>
      <c r="V945" s="150" t="str">
        <f>IF(E945="","",IF(C945=1,IF($B945=1,Input!$C$33,Input!$C$34),0))</f>
        <v/>
      </c>
      <c r="W945" s="156" t="str">
        <f>IF($E945="","",Input!$C$35)</f>
        <v/>
      </c>
      <c r="X945" s="156" t="str">
        <f t="shared" si="582"/>
        <v/>
      </c>
      <c r="Y945" s="154"/>
      <c r="Z945" s="147" t="str">
        <f>IF($E945="","",VLOOKUP($D945,'Mortality Margins &amp; Grading'!$AB$5:$AF$125,3,0)*IF(Summary!$D$25="Included Margin",IF(AND($B945&gt;Input!$C$9,Summary!$D$31&lt;&gt;"Included Margin"),0,1),0))</f>
        <v/>
      </c>
      <c r="AA945" s="147" t="str">
        <f>IF($E945="","",VLOOKUP($D945,'Mortality Margins &amp; Grading'!$AB$5:$AF$125,5,0)*IF(Summary!$D$25="Included Margin",IF(AND($B945&gt;Input!$C$9,Summary!$D$31&lt;&gt;"Included Margin"),0,1),0))</f>
        <v/>
      </c>
      <c r="AB945" s="147" t="str">
        <f>IF($E945="","",IF(AND($B945&gt;Input!$C$9,Summary!$D$31&lt;&gt;"Included Margin"),1,IF(Summary!$D$25="Included Margin",VLOOKUP($B945,'Mortality Margins &amp; Grading'!$AI$5:$AR$125,MATCH('Mortality Margins &amp; Grading'!$AQ$4,'Mortality Margins &amp; Grading'!$AI$4:$AR$4,0),0),1)))</f>
        <v/>
      </c>
      <c r="AC945" s="154"/>
      <c r="AD945" s="158" t="str">
        <f>IF(E945="","",Input!$C$48*IF(Summary!$D$30="Included Margin",IF(AND($B945&gt;Input!$C$9,Summary!$D$31&lt;&gt;"Included Margin"),0,1),0))</f>
        <v/>
      </c>
      <c r="AE945" s="159" t="str">
        <f>IF(E945="","",IF(Summary!$D$26="Included Margin",IF(AND($B945&gt;Input!$C$9,Summary!$D$31&lt;&gt;"Included Margin"),1,1/$R945),1))</f>
        <v/>
      </c>
      <c r="AF945" s="160" t="str">
        <f>IF(E945="","",IF(AND($B945&gt;=Input!$C$9,$C945=12,Summary!$D$31="Included Margin",$U945&gt;0),1/U945-1,IF($B945&gt;=Input!$C$9,0,Input!$C$45*IF(Summary!$D$27="Included Margin",1,0))))</f>
        <v/>
      </c>
      <c r="AG945" s="160" t="str">
        <f>IF(E945="","",Input!$C$46*IF(Summary!$D$28="Included Margin",IF(AND($B945&gt;Input!$C$9,Summary!$D$31&lt;&gt;"Included Margin"),0,1),0))</f>
        <v/>
      </c>
      <c r="AH945" s="158" t="str">
        <f>IF(E945="","",Input!$C$47*IF(Summary!$D$29="Included Margin",IF(AND($B945&gt;Input!$C$9,Summary!$D$31&lt;&gt;"Included Margin"),0,1),0))</f>
        <v/>
      </c>
      <c r="AI945" s="154"/>
      <c r="AJ945" s="158" t="str">
        <f t="shared" si="604"/>
        <v/>
      </c>
      <c r="AK945" s="155" t="str">
        <f t="shared" si="605"/>
        <v/>
      </c>
      <c r="AL945" s="147" t="str">
        <f t="shared" si="606"/>
        <v/>
      </c>
      <c r="AM945" s="147" t="str">
        <f t="shared" si="585"/>
        <v/>
      </c>
      <c r="AN945" s="160" t="str">
        <f t="shared" si="607"/>
        <v/>
      </c>
      <c r="AO945" s="161" t="str">
        <f t="shared" si="608"/>
        <v/>
      </c>
      <c r="AP945" s="156" t="str">
        <f t="shared" si="586"/>
        <v/>
      </c>
      <c r="AQ945" s="152"/>
      <c r="AR945" s="162" t="str">
        <f t="shared" si="587"/>
        <v/>
      </c>
      <c r="AS945" s="150" t="str">
        <f t="shared" si="609"/>
        <v/>
      </c>
      <c r="AT945" s="163" t="str">
        <f t="shared" si="588"/>
        <v/>
      </c>
      <c r="AU945" s="163" t="str">
        <f t="shared" si="589"/>
        <v/>
      </c>
      <c r="AV945" s="163" t="str">
        <f t="shared" si="610"/>
        <v/>
      </c>
      <c r="AW945" s="163" t="str">
        <f t="shared" si="590"/>
        <v/>
      </c>
      <c r="AX945" s="163" t="str">
        <f t="shared" si="591"/>
        <v/>
      </c>
      <c r="AY945" s="164" t="str">
        <f t="shared" si="611"/>
        <v/>
      </c>
      <c r="AZ945" s="164" t="str">
        <f>IF($E945="","",IF(OR(AND($D945=Input!$C$6,$C945=12),$AN945=1),0,-AS946+AT946+AU946-AV946-AW946-AX946+AZ946))</f>
        <v/>
      </c>
      <c r="BA945" s="154" t="str">
        <f t="shared" si="592"/>
        <v/>
      </c>
      <c r="BC945" s="147" t="str">
        <f t="shared" si="612"/>
        <v/>
      </c>
      <c r="BD945" s="164" t="str">
        <f>IF(AND($C944=12,$D944=Input!$C$6),0,IF($E945="","",AT945+(AU945+BD946)/(1+$AK945)*MIN((1-AM945-AN945),1)))</f>
        <v/>
      </c>
      <c r="BE945" s="164" t="str">
        <f t="shared" si="628"/>
        <v/>
      </c>
      <c r="BF945" s="164" t="str">
        <f t="shared" si="613"/>
        <v/>
      </c>
      <c r="BG945" s="164" t="str">
        <f t="shared" si="593"/>
        <v/>
      </c>
      <c r="BH945" s="152"/>
      <c r="BI945" s="162" t="str">
        <f t="shared" si="621"/>
        <v/>
      </c>
      <c r="BJ945" s="150" t="str">
        <f t="shared" si="622"/>
        <v/>
      </c>
      <c r="BK945" s="163" t="str">
        <f t="shared" si="617"/>
        <v/>
      </c>
      <c r="BL945" s="163" t="str">
        <f t="shared" si="623"/>
        <v/>
      </c>
      <c r="BM945" s="163" t="str">
        <f t="shared" si="618"/>
        <v/>
      </c>
      <c r="BN945" s="163" t="str">
        <f t="shared" si="624"/>
        <v/>
      </c>
      <c r="BO945" s="163" t="str">
        <f t="shared" si="625"/>
        <v/>
      </c>
      <c r="BP945" s="164" t="str">
        <f t="shared" si="619"/>
        <v/>
      </c>
      <c r="BQ945" s="164" t="str">
        <f t="shared" si="626"/>
        <v/>
      </c>
      <c r="BR945" s="154" t="str">
        <f t="shared" si="627"/>
        <v/>
      </c>
      <c r="BT945" s="147" t="str">
        <f t="shared" si="600"/>
        <v/>
      </c>
      <c r="BU945" s="164" t="str">
        <f>IF(AND($C944=12,$D944=Input!$C$6),0,IF($E945="","",BK945+(BL945+BU946)/(1+$AK945)*MIN((1-T945-U945),1)))</f>
        <v/>
      </c>
      <c r="BV945" s="164" t="str">
        <f t="shared" si="601"/>
        <v/>
      </c>
      <c r="BW945" s="164" t="str">
        <f t="shared" si="602"/>
        <v/>
      </c>
      <c r="BX945" s="164" t="str">
        <f t="shared" si="603"/>
        <v/>
      </c>
    </row>
    <row r="946" spans="1:76" s="150" customFormat="1" x14ac:dyDescent="0.25">
      <c r="A946" s="150" t="str">
        <f t="shared" si="614"/>
        <v/>
      </c>
      <c r="B946" s="150" t="str">
        <f t="shared" si="615"/>
        <v/>
      </c>
      <c r="C946" s="150" t="str">
        <f t="shared" si="616"/>
        <v/>
      </c>
      <c r="D946" s="150" t="str">
        <f>IF(E946="","",Input!$C$4+B946-1)</f>
        <v/>
      </c>
      <c r="E946" s="150" t="str">
        <f>IF(OR(AND(C945=12,D945=Input!$C$6),E945=""),"",1)</f>
        <v/>
      </c>
      <c r="F946" s="150" t="str">
        <f>IF(E946="","",Input!$C$8+B946-1)</f>
        <v/>
      </c>
      <c r="G946" s="151" t="str">
        <f>IF(E946="","",MAX(0,Input!$C$9-B946))</f>
        <v/>
      </c>
      <c r="H946" s="152" t="str">
        <f>IF(E946="","",Input!$C$3)</f>
        <v/>
      </c>
      <c r="I946" s="153" t="str">
        <f>IF(E946="","",HLOOKUP($B946,Input!$C$13:$BT$14,2))</f>
        <v/>
      </c>
      <c r="J946" s="154"/>
      <c r="K946" s="155" t="str">
        <f>IF($E946="","",INDEX(Input!$C$16:$CP$16,1,$B946))</f>
        <v/>
      </c>
      <c r="L946" s="155" t="str">
        <f>IF($E946="","",Input!$C$37)</f>
        <v/>
      </c>
      <c r="M946" s="155" t="str">
        <f t="shared" si="580"/>
        <v/>
      </c>
      <c r="N946" s="155" t="str">
        <f t="shared" si="581"/>
        <v/>
      </c>
      <c r="O946" s="147" t="str">
        <f>IF($E946="","",MIN(VLOOKUP(IF($B946&lt;=Input!$C$7,$B946,26),'Mortality Tables'!$A$41:$CW$67,IF($B946&lt;=Input!$C$7+1,Input!$C$4+2,$D946-Input!$C$7+2),0)*IF(B946&gt;20,Input!$C$22,1)/1000,1))</f>
        <v/>
      </c>
      <c r="P946" s="147" t="str">
        <f>IF($E946="","",MIN(VLOOKUP(IF($B946&lt;=Input!$C$7,$B946,26),'Mortality Tables'!$A$12:$CW$37,IF($B946&lt;=Input!$C$7+1,Input!$C$4+2,$D946-Input!$C$7+2),0)*IF(B946&gt;20,Input!$C$22,1)/1000,1))</f>
        <v/>
      </c>
      <c r="Q946" s="155" t="str">
        <f>IF($E946="","",Input!$C$21)</f>
        <v/>
      </c>
      <c r="R946" s="159" t="str">
        <f>IF($E946="","",(1-Q946)^($F946-Input!$C$20))</f>
        <v/>
      </c>
      <c r="S946" s="147" t="str">
        <f t="shared" si="583"/>
        <v/>
      </c>
      <c r="T946" s="147" t="str">
        <f t="shared" si="584"/>
        <v/>
      </c>
      <c r="U946" s="160" t="str">
        <f>IF($E946="","",IF($C946=12,INDEX(Input!$C$15:$CP$15,1,$B946),0))</f>
        <v/>
      </c>
      <c r="V946" s="150" t="str">
        <f>IF(E946="","",IF(C946=1,IF($B946=1,Input!$C$33,Input!$C$34),0))</f>
        <v/>
      </c>
      <c r="W946" s="156" t="str">
        <f>IF($E946="","",Input!$C$35)</f>
        <v/>
      </c>
      <c r="X946" s="156" t="str">
        <f t="shared" si="582"/>
        <v/>
      </c>
      <c r="Y946" s="154"/>
      <c r="Z946" s="147" t="str">
        <f>IF($E946="","",VLOOKUP($D946,'Mortality Margins &amp; Grading'!$AB$5:$AF$125,3,0)*IF(Summary!$D$25="Included Margin",IF(AND($B946&gt;Input!$C$9,Summary!$D$31&lt;&gt;"Included Margin"),0,1),0))</f>
        <v/>
      </c>
      <c r="AA946" s="147" t="str">
        <f>IF($E946="","",VLOOKUP($D946,'Mortality Margins &amp; Grading'!$AB$5:$AF$125,5,0)*IF(Summary!$D$25="Included Margin",IF(AND($B946&gt;Input!$C$9,Summary!$D$31&lt;&gt;"Included Margin"),0,1),0))</f>
        <v/>
      </c>
      <c r="AB946" s="147" t="str">
        <f>IF($E946="","",IF(AND($B946&gt;Input!$C$9,Summary!$D$31&lt;&gt;"Included Margin"),1,IF(Summary!$D$25="Included Margin",VLOOKUP($B946,'Mortality Margins &amp; Grading'!$AI$5:$AR$125,MATCH('Mortality Margins &amp; Grading'!$AQ$4,'Mortality Margins &amp; Grading'!$AI$4:$AR$4,0),0),1)))</f>
        <v/>
      </c>
      <c r="AC946" s="154"/>
      <c r="AD946" s="158" t="str">
        <f>IF(E946="","",Input!$C$48*IF(Summary!$D$30="Included Margin",IF(AND($B946&gt;Input!$C$9,Summary!$D$31&lt;&gt;"Included Margin"),0,1),0))</f>
        <v/>
      </c>
      <c r="AE946" s="159" t="str">
        <f>IF(E946="","",IF(Summary!$D$26="Included Margin",IF(AND($B946&gt;Input!$C$9,Summary!$D$31&lt;&gt;"Included Margin"),1,1/$R946),1))</f>
        <v/>
      </c>
      <c r="AF946" s="160" t="str">
        <f>IF(E946="","",IF(AND($B946&gt;=Input!$C$9,$C946=12,Summary!$D$31="Included Margin",$U946&gt;0),1/U946-1,IF($B946&gt;=Input!$C$9,0,Input!$C$45*IF(Summary!$D$27="Included Margin",1,0))))</f>
        <v/>
      </c>
      <c r="AG946" s="160" t="str">
        <f>IF(E946="","",Input!$C$46*IF(Summary!$D$28="Included Margin",IF(AND($B946&gt;Input!$C$9,Summary!$D$31&lt;&gt;"Included Margin"),0,1),0))</f>
        <v/>
      </c>
      <c r="AH946" s="158" t="str">
        <f>IF(E946="","",Input!$C$47*IF(Summary!$D$29="Included Margin",IF(AND($B946&gt;Input!$C$9,Summary!$D$31&lt;&gt;"Included Margin"),0,1),0))</f>
        <v/>
      </c>
      <c r="AI946" s="154"/>
      <c r="AJ946" s="158" t="str">
        <f t="shared" si="604"/>
        <v/>
      </c>
      <c r="AK946" s="155" t="str">
        <f t="shared" si="605"/>
        <v/>
      </c>
      <c r="AL946" s="147" t="str">
        <f t="shared" si="606"/>
        <v/>
      </c>
      <c r="AM946" s="147" t="str">
        <f t="shared" si="585"/>
        <v/>
      </c>
      <c r="AN946" s="160" t="str">
        <f t="shared" si="607"/>
        <v/>
      </c>
      <c r="AO946" s="161" t="str">
        <f t="shared" si="608"/>
        <v/>
      </c>
      <c r="AP946" s="156" t="str">
        <f t="shared" si="586"/>
        <v/>
      </c>
      <c r="AQ946" s="152"/>
      <c r="AR946" s="162" t="str">
        <f t="shared" si="587"/>
        <v/>
      </c>
      <c r="AS946" s="150" t="str">
        <f t="shared" si="609"/>
        <v/>
      </c>
      <c r="AT946" s="163" t="str">
        <f t="shared" si="588"/>
        <v/>
      </c>
      <c r="AU946" s="163" t="str">
        <f t="shared" si="589"/>
        <v/>
      </c>
      <c r="AV946" s="163" t="str">
        <f t="shared" si="610"/>
        <v/>
      </c>
      <c r="AW946" s="163" t="str">
        <f t="shared" si="590"/>
        <v/>
      </c>
      <c r="AX946" s="163" t="str">
        <f t="shared" si="591"/>
        <v/>
      </c>
      <c r="AY946" s="165" t="str">
        <f t="shared" si="611"/>
        <v/>
      </c>
      <c r="AZ946" s="164" t="str">
        <f>IF($E946="","",IF(OR(AND($D946=Input!$C$6,$C946=12),$AN946=1),0,-AS947+AT947+AU947-AV947-AW947-AX947+AZ947))</f>
        <v/>
      </c>
      <c r="BA946" s="154" t="str">
        <f t="shared" si="592"/>
        <v/>
      </c>
      <c r="BC946" s="147" t="str">
        <f t="shared" si="612"/>
        <v/>
      </c>
      <c r="BD946" s="164" t="str">
        <f>IF(AND($C945=12,$D945=Input!$C$6),0,IF($E946="","",AT946+(AU946+BD947)/(1+$AK946)*MIN((1-AM946-AN946),1)))</f>
        <v/>
      </c>
      <c r="BE946" s="164" t="str">
        <f t="shared" si="628"/>
        <v/>
      </c>
      <c r="BF946" s="164" t="str">
        <f t="shared" si="613"/>
        <v/>
      </c>
      <c r="BG946" s="164" t="str">
        <f t="shared" si="593"/>
        <v/>
      </c>
      <c r="BH946" s="152"/>
      <c r="BI946" s="162" t="str">
        <f t="shared" si="621"/>
        <v/>
      </c>
      <c r="BJ946" s="150" t="str">
        <f t="shared" si="622"/>
        <v/>
      </c>
      <c r="BK946" s="163" t="str">
        <f t="shared" si="617"/>
        <v/>
      </c>
      <c r="BL946" s="163" t="str">
        <f t="shared" si="623"/>
        <v/>
      </c>
      <c r="BM946" s="163" t="str">
        <f t="shared" si="618"/>
        <v/>
      </c>
      <c r="BN946" s="163" t="str">
        <f t="shared" si="624"/>
        <v/>
      </c>
      <c r="BO946" s="163" t="str">
        <f t="shared" si="625"/>
        <v/>
      </c>
      <c r="BP946" s="164" t="str">
        <f t="shared" si="619"/>
        <v/>
      </c>
      <c r="BQ946" s="164" t="str">
        <f t="shared" si="626"/>
        <v/>
      </c>
      <c r="BR946" s="154" t="str">
        <f t="shared" si="627"/>
        <v/>
      </c>
      <c r="BT946" s="147" t="str">
        <f t="shared" si="600"/>
        <v/>
      </c>
      <c r="BU946" s="164" t="str">
        <f>IF(AND($C945=12,$D945=Input!$C$6),0,IF($E946="","",BK946+(BL946+BU947)/(1+$AK946)*MIN((1-T946-U946),1)))</f>
        <v/>
      </c>
      <c r="BV946" s="164" t="str">
        <f t="shared" si="601"/>
        <v/>
      </c>
      <c r="BW946" s="164" t="str">
        <f t="shared" si="602"/>
        <v/>
      </c>
      <c r="BX946" s="164" t="str">
        <f t="shared" si="603"/>
        <v/>
      </c>
    </row>
    <row r="947" spans="1:76" s="150" customFormat="1" x14ac:dyDescent="0.25">
      <c r="A947" s="150" t="str">
        <f t="shared" si="614"/>
        <v/>
      </c>
      <c r="B947" s="150" t="str">
        <f t="shared" si="615"/>
        <v/>
      </c>
      <c r="C947" s="150" t="str">
        <f t="shared" si="616"/>
        <v/>
      </c>
      <c r="D947" s="150" t="str">
        <f>IF(E947="","",Input!$C$4+B947-1)</f>
        <v/>
      </c>
      <c r="E947" s="150" t="str">
        <f>IF(OR(AND(C946=12,D946=Input!$C$6),E946=""),"",1)</f>
        <v/>
      </c>
      <c r="F947" s="150" t="str">
        <f>IF(E947="","",Input!$C$8+B947-1)</f>
        <v/>
      </c>
      <c r="G947" s="151" t="str">
        <f>IF(E947="","",MAX(0,Input!$C$9-B947))</f>
        <v/>
      </c>
      <c r="H947" s="152" t="str">
        <f>IF(E947="","",Input!$C$3)</f>
        <v/>
      </c>
      <c r="I947" s="153" t="str">
        <f>IF(E947="","",HLOOKUP($B947,Input!$C$13:$BT$14,2))</f>
        <v/>
      </c>
      <c r="J947" s="154"/>
      <c r="K947" s="155" t="str">
        <f>IF($E947="","",INDEX(Input!$C$16:$CP$16,1,$B947))</f>
        <v/>
      </c>
      <c r="L947" s="155" t="str">
        <f>IF($E947="","",Input!$C$37)</f>
        <v/>
      </c>
      <c r="M947" s="155" t="str">
        <f t="shared" si="580"/>
        <v/>
      </c>
      <c r="N947" s="155" t="str">
        <f t="shared" si="581"/>
        <v/>
      </c>
      <c r="O947" s="147" t="str">
        <f>IF($E947="","",MIN(VLOOKUP(IF($B947&lt;=Input!$C$7,$B947,26),'Mortality Tables'!$A$41:$CW$67,IF($B947&lt;=Input!$C$7+1,Input!$C$4+2,$D947-Input!$C$7+2),0)*IF(B947&gt;20,Input!$C$22,1)/1000,1))</f>
        <v/>
      </c>
      <c r="P947" s="147" t="str">
        <f>IF($E947="","",MIN(VLOOKUP(IF($B947&lt;=Input!$C$7,$B947,26),'Mortality Tables'!$A$12:$CW$37,IF($B947&lt;=Input!$C$7+1,Input!$C$4+2,$D947-Input!$C$7+2),0)*IF(B947&gt;20,Input!$C$22,1)/1000,1))</f>
        <v/>
      </c>
      <c r="Q947" s="155" t="str">
        <f>IF($E947="","",Input!$C$21)</f>
        <v/>
      </c>
      <c r="R947" s="159" t="str">
        <f>IF($E947="","",(1-Q947)^($F947-Input!$C$20))</f>
        <v/>
      </c>
      <c r="S947" s="147" t="str">
        <f t="shared" si="583"/>
        <v/>
      </c>
      <c r="T947" s="147" t="str">
        <f t="shared" si="584"/>
        <v/>
      </c>
      <c r="U947" s="160" t="str">
        <f>IF($E947="","",IF($C947=12,INDEX(Input!$C$15:$CP$15,1,$B947),0))</f>
        <v/>
      </c>
      <c r="V947" s="150" t="str">
        <f>IF(E947="","",IF(C947=1,IF($B947=1,Input!$C$33,Input!$C$34),0))</f>
        <v/>
      </c>
      <c r="W947" s="156" t="str">
        <f>IF($E947="","",Input!$C$35)</f>
        <v/>
      </c>
      <c r="X947" s="156" t="str">
        <f t="shared" si="582"/>
        <v/>
      </c>
      <c r="Y947" s="154"/>
      <c r="Z947" s="147" t="str">
        <f>IF($E947="","",VLOOKUP($D947,'Mortality Margins &amp; Grading'!$AB$5:$AF$125,3,0)*IF(Summary!$D$25="Included Margin",IF(AND($B947&gt;Input!$C$9,Summary!$D$31&lt;&gt;"Included Margin"),0,1),0))</f>
        <v/>
      </c>
      <c r="AA947" s="147" t="str">
        <f>IF($E947="","",VLOOKUP($D947,'Mortality Margins &amp; Grading'!$AB$5:$AF$125,5,0)*IF(Summary!$D$25="Included Margin",IF(AND($B947&gt;Input!$C$9,Summary!$D$31&lt;&gt;"Included Margin"),0,1),0))</f>
        <v/>
      </c>
      <c r="AB947" s="147" t="str">
        <f>IF($E947="","",IF(AND($B947&gt;Input!$C$9,Summary!$D$31&lt;&gt;"Included Margin"),1,IF(Summary!$D$25="Included Margin",VLOOKUP($B947,'Mortality Margins &amp; Grading'!$AI$5:$AR$125,MATCH('Mortality Margins &amp; Grading'!$AQ$4,'Mortality Margins &amp; Grading'!$AI$4:$AR$4,0),0),1)))</f>
        <v/>
      </c>
      <c r="AC947" s="154"/>
      <c r="AD947" s="158" t="str">
        <f>IF(E947="","",Input!$C$48*IF(Summary!$D$30="Included Margin",IF(AND($B947&gt;Input!$C$9,Summary!$D$31&lt;&gt;"Included Margin"),0,1),0))</f>
        <v/>
      </c>
      <c r="AE947" s="159" t="str">
        <f>IF(E947="","",IF(Summary!$D$26="Included Margin",IF(AND($B947&gt;Input!$C$9,Summary!$D$31&lt;&gt;"Included Margin"),1,1/$R947),1))</f>
        <v/>
      </c>
      <c r="AF947" s="160" t="str">
        <f>IF(E947="","",IF(AND($B947&gt;=Input!$C$9,$C947=12,Summary!$D$31="Included Margin",$U947&gt;0),1/U947-1,IF($B947&gt;=Input!$C$9,0,Input!$C$45*IF(Summary!$D$27="Included Margin",1,0))))</f>
        <v/>
      </c>
      <c r="AG947" s="160" t="str">
        <f>IF(E947="","",Input!$C$46*IF(Summary!$D$28="Included Margin",IF(AND($B947&gt;Input!$C$9,Summary!$D$31&lt;&gt;"Included Margin"),0,1),0))</f>
        <v/>
      </c>
      <c r="AH947" s="158" t="str">
        <f>IF(E947="","",Input!$C$47*IF(Summary!$D$29="Included Margin",IF(AND($B947&gt;Input!$C$9,Summary!$D$31&lt;&gt;"Included Margin"),0,1),0))</f>
        <v/>
      </c>
      <c r="AI947" s="154"/>
      <c r="AJ947" s="158" t="str">
        <f t="shared" si="604"/>
        <v/>
      </c>
      <c r="AK947" s="155" t="str">
        <f t="shared" si="605"/>
        <v/>
      </c>
      <c r="AL947" s="147" t="str">
        <f t="shared" si="606"/>
        <v/>
      </c>
      <c r="AM947" s="147" t="str">
        <f t="shared" si="585"/>
        <v/>
      </c>
      <c r="AN947" s="160" t="str">
        <f t="shared" si="607"/>
        <v/>
      </c>
      <c r="AO947" s="161" t="str">
        <f t="shared" si="608"/>
        <v/>
      </c>
      <c r="AP947" s="156" t="str">
        <f t="shared" si="586"/>
        <v/>
      </c>
      <c r="AQ947" s="152"/>
      <c r="AR947" s="162" t="str">
        <f t="shared" si="587"/>
        <v/>
      </c>
      <c r="AS947" s="150" t="str">
        <f t="shared" si="609"/>
        <v/>
      </c>
      <c r="AT947" s="163" t="str">
        <f t="shared" si="588"/>
        <v/>
      </c>
      <c r="AU947" s="163" t="str">
        <f t="shared" si="589"/>
        <v/>
      </c>
      <c r="AV947" s="163" t="str">
        <f t="shared" si="610"/>
        <v/>
      </c>
      <c r="AW947" s="163" t="str">
        <f t="shared" si="590"/>
        <v/>
      </c>
      <c r="AX947" s="163" t="str">
        <f t="shared" si="591"/>
        <v/>
      </c>
      <c r="AY947" s="164" t="str">
        <f t="shared" si="611"/>
        <v/>
      </c>
      <c r="AZ947" s="164" t="str">
        <f>IF($E947="","",IF(OR(AND($D947=Input!$C$6,$C947=12),$AN947=1),0,-AS948+AT948+AU948-AV948-AW948-AX948+AZ948))</f>
        <v/>
      </c>
      <c r="BA947" s="154" t="str">
        <f t="shared" si="592"/>
        <v/>
      </c>
      <c r="BC947" s="147" t="str">
        <f t="shared" si="612"/>
        <v/>
      </c>
      <c r="BD947" s="164" t="str">
        <f>IF(AND($C946=12,$D946=Input!$C$6),0,IF($E947="","",AT947+(AU947+BD948)/(1+$AK947)*MIN((1-AM947-AN947),1)))</f>
        <v/>
      </c>
      <c r="BE947" s="164" t="str">
        <f t="shared" si="628"/>
        <v/>
      </c>
      <c r="BF947" s="164" t="str">
        <f t="shared" si="613"/>
        <v/>
      </c>
      <c r="BG947" s="164" t="str">
        <f t="shared" si="593"/>
        <v/>
      </c>
      <c r="BH947" s="152"/>
      <c r="BI947" s="162" t="str">
        <f t="shared" si="621"/>
        <v/>
      </c>
      <c r="BJ947" s="150" t="str">
        <f t="shared" si="622"/>
        <v/>
      </c>
      <c r="BK947" s="163" t="str">
        <f t="shared" si="617"/>
        <v/>
      </c>
      <c r="BL947" s="163" t="str">
        <f t="shared" si="623"/>
        <v/>
      </c>
      <c r="BM947" s="163" t="str">
        <f t="shared" si="618"/>
        <v/>
      </c>
      <c r="BN947" s="163" t="str">
        <f t="shared" si="624"/>
        <v/>
      </c>
      <c r="BO947" s="163" t="str">
        <f t="shared" si="625"/>
        <v/>
      </c>
      <c r="BP947" s="164" t="str">
        <f t="shared" si="619"/>
        <v/>
      </c>
      <c r="BQ947" s="164" t="str">
        <f t="shared" si="626"/>
        <v/>
      </c>
      <c r="BR947" s="154" t="str">
        <f t="shared" si="627"/>
        <v/>
      </c>
      <c r="BT947" s="147" t="str">
        <f t="shared" si="600"/>
        <v/>
      </c>
      <c r="BU947" s="164" t="str">
        <f>IF(AND($C946=12,$D946=Input!$C$6),0,IF($E947="","",BK947+(BL947+BU948)/(1+$AK947)*MIN((1-T947-U947),1)))</f>
        <v/>
      </c>
      <c r="BV947" s="164" t="str">
        <f t="shared" si="601"/>
        <v/>
      </c>
      <c r="BW947" s="164" t="str">
        <f t="shared" si="602"/>
        <v/>
      </c>
      <c r="BX947" s="164" t="str">
        <f t="shared" si="603"/>
        <v/>
      </c>
    </row>
    <row r="948" spans="1:76" s="150" customFormat="1" x14ac:dyDescent="0.25">
      <c r="A948" s="150" t="str">
        <f t="shared" si="614"/>
        <v/>
      </c>
      <c r="B948" s="150" t="str">
        <f t="shared" si="615"/>
        <v/>
      </c>
      <c r="C948" s="150" t="str">
        <f t="shared" si="616"/>
        <v/>
      </c>
      <c r="D948" s="150" t="str">
        <f>IF(E948="","",Input!$C$4+B948-1)</f>
        <v/>
      </c>
      <c r="E948" s="150" t="str">
        <f>IF(OR(AND(C947=12,D947=Input!$C$6),E947=""),"",1)</f>
        <v/>
      </c>
      <c r="F948" s="150" t="str">
        <f>IF(E948="","",Input!$C$8+B948-1)</f>
        <v/>
      </c>
      <c r="G948" s="151" t="str">
        <f>IF(E948="","",MAX(0,Input!$C$9-B948))</f>
        <v/>
      </c>
      <c r="H948" s="152" t="str">
        <f>IF(E948="","",Input!$C$3)</f>
        <v/>
      </c>
      <c r="I948" s="153" t="str">
        <f>IF(E948="","",HLOOKUP($B948,Input!$C$13:$BT$14,2))</f>
        <v/>
      </c>
      <c r="J948" s="154"/>
      <c r="K948" s="155" t="str">
        <f>IF($E948="","",INDEX(Input!$C$16:$CP$16,1,$B948))</f>
        <v/>
      </c>
      <c r="L948" s="155" t="str">
        <f>IF($E948="","",Input!$C$37)</f>
        <v/>
      </c>
      <c r="M948" s="155" t="str">
        <f t="shared" si="580"/>
        <v/>
      </c>
      <c r="N948" s="155" t="str">
        <f t="shared" si="581"/>
        <v/>
      </c>
      <c r="O948" s="147" t="str">
        <f>IF($E948="","",MIN(VLOOKUP(IF($B948&lt;=Input!$C$7,$B948,26),'Mortality Tables'!$A$41:$CW$67,IF($B948&lt;=Input!$C$7+1,Input!$C$4+2,$D948-Input!$C$7+2),0)*IF(B948&gt;20,Input!$C$22,1)/1000,1))</f>
        <v/>
      </c>
      <c r="P948" s="147" t="str">
        <f>IF($E948="","",MIN(VLOOKUP(IF($B948&lt;=Input!$C$7,$B948,26),'Mortality Tables'!$A$12:$CW$37,IF($B948&lt;=Input!$C$7+1,Input!$C$4+2,$D948-Input!$C$7+2),0)*IF(B948&gt;20,Input!$C$22,1)/1000,1))</f>
        <v/>
      </c>
      <c r="Q948" s="155" t="str">
        <f>IF($E948="","",Input!$C$21)</f>
        <v/>
      </c>
      <c r="R948" s="159" t="str">
        <f>IF($E948="","",(1-Q948)^($F948-Input!$C$20))</f>
        <v/>
      </c>
      <c r="S948" s="147" t="str">
        <f t="shared" si="583"/>
        <v/>
      </c>
      <c r="T948" s="147" t="str">
        <f t="shared" si="584"/>
        <v/>
      </c>
      <c r="U948" s="160" t="str">
        <f>IF($E948="","",IF($C948=12,INDEX(Input!$C$15:$CP$15,1,$B948),0))</f>
        <v/>
      </c>
      <c r="V948" s="150" t="str">
        <f>IF(E948="","",IF(C948=1,IF($B948=1,Input!$C$33,Input!$C$34),0))</f>
        <v/>
      </c>
      <c r="W948" s="156" t="str">
        <f>IF($E948="","",Input!$C$35)</f>
        <v/>
      </c>
      <c r="X948" s="156" t="str">
        <f t="shared" si="582"/>
        <v/>
      </c>
      <c r="Y948" s="154"/>
      <c r="Z948" s="147" t="str">
        <f>IF($E948="","",VLOOKUP($D948,'Mortality Margins &amp; Grading'!$AB$5:$AF$125,3,0)*IF(Summary!$D$25="Included Margin",IF(AND($B948&gt;Input!$C$9,Summary!$D$31&lt;&gt;"Included Margin"),0,1),0))</f>
        <v/>
      </c>
      <c r="AA948" s="147" t="str">
        <f>IF($E948="","",VLOOKUP($D948,'Mortality Margins &amp; Grading'!$AB$5:$AF$125,5,0)*IF(Summary!$D$25="Included Margin",IF(AND($B948&gt;Input!$C$9,Summary!$D$31&lt;&gt;"Included Margin"),0,1),0))</f>
        <v/>
      </c>
      <c r="AB948" s="147" t="str">
        <f>IF($E948="","",IF(AND($B948&gt;Input!$C$9,Summary!$D$31&lt;&gt;"Included Margin"),1,IF(Summary!$D$25="Included Margin",VLOOKUP($B948,'Mortality Margins &amp; Grading'!$AI$5:$AR$125,MATCH('Mortality Margins &amp; Grading'!$AQ$4,'Mortality Margins &amp; Grading'!$AI$4:$AR$4,0),0),1)))</f>
        <v/>
      </c>
      <c r="AC948" s="154"/>
      <c r="AD948" s="158" t="str">
        <f>IF(E948="","",Input!$C$48*IF(Summary!$D$30="Included Margin",IF(AND($B948&gt;Input!$C$9,Summary!$D$31&lt;&gt;"Included Margin"),0,1),0))</f>
        <v/>
      </c>
      <c r="AE948" s="159" t="str">
        <f>IF(E948="","",IF(Summary!$D$26="Included Margin",IF(AND($B948&gt;Input!$C$9,Summary!$D$31&lt;&gt;"Included Margin"),1,1/$R948),1))</f>
        <v/>
      </c>
      <c r="AF948" s="160" t="str">
        <f>IF(E948="","",IF(AND($B948&gt;=Input!$C$9,$C948=12,Summary!$D$31="Included Margin",$U948&gt;0),1/U948-1,IF($B948&gt;=Input!$C$9,0,Input!$C$45*IF(Summary!$D$27="Included Margin",1,0))))</f>
        <v/>
      </c>
      <c r="AG948" s="160" t="str">
        <f>IF(E948="","",Input!$C$46*IF(Summary!$D$28="Included Margin",IF(AND($B948&gt;Input!$C$9,Summary!$D$31&lt;&gt;"Included Margin"),0,1),0))</f>
        <v/>
      </c>
      <c r="AH948" s="158" t="str">
        <f>IF(E948="","",Input!$C$47*IF(Summary!$D$29="Included Margin",IF(AND($B948&gt;Input!$C$9,Summary!$D$31&lt;&gt;"Included Margin"),0,1),0))</f>
        <v/>
      </c>
      <c r="AI948" s="154"/>
      <c r="AJ948" s="158" t="str">
        <f t="shared" si="604"/>
        <v/>
      </c>
      <c r="AK948" s="155" t="str">
        <f t="shared" si="605"/>
        <v/>
      </c>
      <c r="AL948" s="147" t="str">
        <f t="shared" si="606"/>
        <v/>
      </c>
      <c r="AM948" s="147" t="str">
        <f t="shared" si="585"/>
        <v/>
      </c>
      <c r="AN948" s="160" t="str">
        <f t="shared" si="607"/>
        <v/>
      </c>
      <c r="AO948" s="161" t="str">
        <f t="shared" si="608"/>
        <v/>
      </c>
      <c r="AP948" s="156" t="str">
        <f t="shared" si="586"/>
        <v/>
      </c>
      <c r="AQ948" s="152"/>
      <c r="AR948" s="162" t="str">
        <f t="shared" si="587"/>
        <v/>
      </c>
      <c r="AS948" s="150" t="str">
        <f t="shared" si="609"/>
        <v/>
      </c>
      <c r="AT948" s="163" t="str">
        <f t="shared" si="588"/>
        <v/>
      </c>
      <c r="AU948" s="163" t="str">
        <f t="shared" si="589"/>
        <v/>
      </c>
      <c r="AV948" s="163" t="str">
        <f t="shared" si="610"/>
        <v/>
      </c>
      <c r="AW948" s="163" t="str">
        <f t="shared" si="590"/>
        <v/>
      </c>
      <c r="AX948" s="163" t="str">
        <f t="shared" si="591"/>
        <v/>
      </c>
      <c r="AY948" s="165" t="str">
        <f t="shared" si="611"/>
        <v/>
      </c>
      <c r="AZ948" s="164" t="str">
        <f>IF($E948="","",IF(OR(AND($D948=Input!$C$6,$C948=12),$AN948=1),0,-AS949+AT949+AU949-AV949-AW949-AX949+AZ949))</f>
        <v/>
      </c>
      <c r="BA948" s="154" t="str">
        <f t="shared" si="592"/>
        <v/>
      </c>
      <c r="BC948" s="147" t="str">
        <f t="shared" si="612"/>
        <v/>
      </c>
      <c r="BD948" s="164" t="str">
        <f>IF(AND($C947=12,$D947=Input!$C$6),0,IF($E948="","",AT948+(AU948+BD949)/(1+$AK948)*MIN((1-AM948-AN948),1)))</f>
        <v/>
      </c>
      <c r="BE948" s="164" t="str">
        <f t="shared" si="628"/>
        <v/>
      </c>
      <c r="BF948" s="164" t="str">
        <f t="shared" si="613"/>
        <v/>
      </c>
      <c r="BG948" s="164" t="str">
        <f t="shared" si="593"/>
        <v/>
      </c>
      <c r="BH948" s="152"/>
      <c r="BI948" s="162" t="str">
        <f t="shared" si="621"/>
        <v/>
      </c>
      <c r="BJ948" s="150" t="str">
        <f t="shared" si="622"/>
        <v/>
      </c>
      <c r="BK948" s="163" t="str">
        <f t="shared" si="617"/>
        <v/>
      </c>
      <c r="BL948" s="163" t="str">
        <f t="shared" si="623"/>
        <v/>
      </c>
      <c r="BM948" s="163" t="str">
        <f t="shared" si="618"/>
        <v/>
      </c>
      <c r="BN948" s="163" t="str">
        <f t="shared" si="624"/>
        <v/>
      </c>
      <c r="BO948" s="163" t="str">
        <f t="shared" si="625"/>
        <v/>
      </c>
      <c r="BP948" s="164" t="str">
        <f t="shared" si="619"/>
        <v/>
      </c>
      <c r="BQ948" s="164" t="str">
        <f t="shared" si="626"/>
        <v/>
      </c>
      <c r="BR948" s="154" t="str">
        <f t="shared" si="627"/>
        <v/>
      </c>
      <c r="BT948" s="147" t="str">
        <f t="shared" si="600"/>
        <v/>
      </c>
      <c r="BU948" s="164" t="str">
        <f>IF(AND($C947=12,$D947=Input!$C$6),0,IF($E948="","",BK948+(BL948+BU949)/(1+$AK948)*MIN((1-T948-U948),1)))</f>
        <v/>
      </c>
      <c r="BV948" s="164" t="str">
        <f t="shared" si="601"/>
        <v/>
      </c>
      <c r="BW948" s="164" t="str">
        <f t="shared" si="602"/>
        <v/>
      </c>
      <c r="BX948" s="164" t="str">
        <f t="shared" si="603"/>
        <v/>
      </c>
    </row>
    <row r="949" spans="1:76" s="150" customFormat="1" x14ac:dyDescent="0.25">
      <c r="A949" s="150" t="str">
        <f t="shared" si="614"/>
        <v/>
      </c>
      <c r="B949" s="150" t="str">
        <f t="shared" si="615"/>
        <v/>
      </c>
      <c r="C949" s="150" t="str">
        <f t="shared" si="616"/>
        <v/>
      </c>
      <c r="D949" s="150" t="str">
        <f>IF(E949="","",Input!$C$4+B949-1)</f>
        <v/>
      </c>
      <c r="E949" s="150" t="str">
        <f>IF(OR(AND(C948=12,D948=Input!$C$6),E948=""),"",1)</f>
        <v/>
      </c>
      <c r="F949" s="150" t="str">
        <f>IF(E949="","",Input!$C$8+B949-1)</f>
        <v/>
      </c>
      <c r="G949" s="151" t="str">
        <f>IF(E949="","",MAX(0,Input!$C$9-B949))</f>
        <v/>
      </c>
      <c r="H949" s="152" t="str">
        <f>IF(E949="","",Input!$C$3)</f>
        <v/>
      </c>
      <c r="I949" s="153" t="str">
        <f>IF(E949="","",HLOOKUP($B949,Input!$C$13:$BT$14,2))</f>
        <v/>
      </c>
      <c r="J949" s="154"/>
      <c r="K949" s="155" t="str">
        <f>IF($E949="","",INDEX(Input!$C$16:$CP$16,1,$B949))</f>
        <v/>
      </c>
      <c r="L949" s="155" t="str">
        <f>IF($E949="","",Input!$C$37)</f>
        <v/>
      </c>
      <c r="M949" s="155" t="str">
        <f t="shared" ref="M949:M1012" si="629">IF($E949="","",K949+L949)</f>
        <v/>
      </c>
      <c r="N949" s="155" t="str">
        <f t="shared" ref="N949:N1012" si="630">IF($E949="","",(1+M949)^(1/12)-1)</f>
        <v/>
      </c>
      <c r="O949" s="147" t="str">
        <f>IF($E949="","",MIN(VLOOKUP(IF($B949&lt;=Input!$C$7,$B949,26),'Mortality Tables'!$A$41:$CW$67,IF($B949&lt;=Input!$C$7+1,Input!$C$4+2,$D949-Input!$C$7+2),0)*IF(B949&gt;20,Input!$C$22,1)/1000,1))</f>
        <v/>
      </c>
      <c r="P949" s="147" t="str">
        <f>IF($E949="","",MIN(VLOOKUP(IF($B949&lt;=Input!$C$7,$B949,26),'Mortality Tables'!$A$12:$CW$37,IF($B949&lt;=Input!$C$7+1,Input!$C$4+2,$D949-Input!$C$7+2),0)*IF(B949&gt;20,Input!$C$22,1)/1000,1))</f>
        <v/>
      </c>
      <c r="Q949" s="155" t="str">
        <f>IF($E949="","",Input!$C$21)</f>
        <v/>
      </c>
      <c r="R949" s="159" t="str">
        <f>IF($E949="","",(1-Q949)^($F949-Input!$C$20))</f>
        <v/>
      </c>
      <c r="S949" s="147" t="str">
        <f t="shared" si="583"/>
        <v/>
      </c>
      <c r="T949" s="147" t="str">
        <f t="shared" si="584"/>
        <v/>
      </c>
      <c r="U949" s="160" t="str">
        <f>IF($E949="","",IF($C949=12,INDEX(Input!$C$15:$CP$15,1,$B949),0))</f>
        <v/>
      </c>
      <c r="V949" s="150" t="str">
        <f>IF(E949="","",IF(C949=1,IF($B949=1,Input!$C$33,Input!$C$34),0))</f>
        <v/>
      </c>
      <c r="W949" s="156" t="str">
        <f>IF($E949="","",Input!$C$35)</f>
        <v/>
      </c>
      <c r="X949" s="156" t="str">
        <f t="shared" ref="X949:X1012" si="631">IF($E949="","",IF(B949=1,1,IF(C949=1,(1+W949)*X948,X948)))</f>
        <v/>
      </c>
      <c r="Y949" s="154"/>
      <c r="Z949" s="147" t="str">
        <f>IF($E949="","",VLOOKUP($D949,'Mortality Margins &amp; Grading'!$AB$5:$AF$125,3,0)*IF(Summary!$D$25="Included Margin",IF(AND($B949&gt;Input!$C$9,Summary!$D$31&lt;&gt;"Included Margin"),0,1),0))</f>
        <v/>
      </c>
      <c r="AA949" s="147" t="str">
        <f>IF($E949="","",VLOOKUP($D949,'Mortality Margins &amp; Grading'!$AB$5:$AF$125,5,0)*IF(Summary!$D$25="Included Margin",IF(AND($B949&gt;Input!$C$9,Summary!$D$31&lt;&gt;"Included Margin"),0,1),0))</f>
        <v/>
      </c>
      <c r="AB949" s="147" t="str">
        <f>IF($E949="","",IF(AND($B949&gt;Input!$C$9,Summary!$D$31&lt;&gt;"Included Margin"),1,IF(Summary!$D$25="Included Margin",VLOOKUP($B949,'Mortality Margins &amp; Grading'!$AI$5:$AR$125,MATCH('Mortality Margins &amp; Grading'!$AQ$4,'Mortality Margins &amp; Grading'!$AI$4:$AR$4,0),0),1)))</f>
        <v/>
      </c>
      <c r="AC949" s="154"/>
      <c r="AD949" s="158" t="str">
        <f>IF(E949="","",Input!$C$48*IF(Summary!$D$30="Included Margin",IF(AND($B949&gt;Input!$C$9,Summary!$D$31&lt;&gt;"Included Margin"),0,1),0))</f>
        <v/>
      </c>
      <c r="AE949" s="159" t="str">
        <f>IF(E949="","",IF(Summary!$D$26="Included Margin",IF(AND($B949&gt;Input!$C$9,Summary!$D$31&lt;&gt;"Included Margin"),1,1/$R949),1))</f>
        <v/>
      </c>
      <c r="AF949" s="160" t="str">
        <f>IF(E949="","",IF(AND($B949&gt;=Input!$C$9,$C949=12,Summary!$D$31="Included Margin",$U949&gt;0),1/U949-1,IF($B949&gt;=Input!$C$9,0,Input!$C$45*IF(Summary!$D$27="Included Margin",1,0))))</f>
        <v/>
      </c>
      <c r="AG949" s="160" t="str">
        <f>IF(E949="","",Input!$C$46*IF(Summary!$D$28="Included Margin",IF(AND($B949&gt;Input!$C$9,Summary!$D$31&lt;&gt;"Included Margin"),0,1),0))</f>
        <v/>
      </c>
      <c r="AH949" s="158" t="str">
        <f>IF(E949="","",Input!$C$47*IF(Summary!$D$29="Included Margin",IF(AND($B949&gt;Input!$C$9,Summary!$D$31&lt;&gt;"Included Margin"),0,1),0))</f>
        <v/>
      </c>
      <c r="AI949" s="154"/>
      <c r="AJ949" s="158" t="str">
        <f t="shared" si="604"/>
        <v/>
      </c>
      <c r="AK949" s="155" t="str">
        <f t="shared" si="605"/>
        <v/>
      </c>
      <c r="AL949" s="147" t="str">
        <f t="shared" si="606"/>
        <v/>
      </c>
      <c r="AM949" s="147" t="str">
        <f t="shared" si="585"/>
        <v/>
      </c>
      <c r="AN949" s="160" t="str">
        <f t="shared" si="607"/>
        <v/>
      </c>
      <c r="AO949" s="161" t="str">
        <f t="shared" si="608"/>
        <v/>
      </c>
      <c r="AP949" s="156" t="str">
        <f t="shared" si="586"/>
        <v/>
      </c>
      <c r="AQ949" s="152"/>
      <c r="AR949" s="162" t="str">
        <f t="shared" si="587"/>
        <v/>
      </c>
      <c r="AS949" s="150" t="str">
        <f t="shared" si="609"/>
        <v/>
      </c>
      <c r="AT949" s="163" t="str">
        <f t="shared" si="588"/>
        <v/>
      </c>
      <c r="AU949" s="163" t="str">
        <f t="shared" si="589"/>
        <v/>
      </c>
      <c r="AV949" s="163" t="str">
        <f t="shared" si="610"/>
        <v/>
      </c>
      <c r="AW949" s="163" t="str">
        <f t="shared" si="590"/>
        <v/>
      </c>
      <c r="AX949" s="163" t="str">
        <f t="shared" si="591"/>
        <v/>
      </c>
      <c r="AY949" s="164" t="str">
        <f t="shared" si="611"/>
        <v/>
      </c>
      <c r="AZ949" s="164" t="str">
        <f>IF($E949="","",IF(OR(AND($D949=Input!$C$6,$C949=12),$AN949=1),0,-AS950+AT950+AU950-AV950-AW950-AX950+AZ950))</f>
        <v/>
      </c>
      <c r="BA949" s="154" t="str">
        <f t="shared" si="592"/>
        <v/>
      </c>
      <c r="BC949" s="147" t="str">
        <f t="shared" si="612"/>
        <v/>
      </c>
      <c r="BD949" s="164" t="str">
        <f>IF(AND($C948=12,$D948=Input!$C$6),0,IF($E949="","",AT949+(AU949+BD950)/(1+$AK949)*MIN((1-AM949-AN949),1)))</f>
        <v/>
      </c>
      <c r="BE949" s="164" t="str">
        <f t="shared" si="628"/>
        <v/>
      </c>
      <c r="BF949" s="164" t="str">
        <f t="shared" si="613"/>
        <v/>
      </c>
      <c r="BG949" s="164" t="str">
        <f t="shared" si="593"/>
        <v/>
      </c>
      <c r="BH949" s="152"/>
      <c r="BI949" s="162" t="str">
        <f t="shared" si="621"/>
        <v/>
      </c>
      <c r="BJ949" s="150" t="str">
        <f t="shared" si="622"/>
        <v/>
      </c>
      <c r="BK949" s="163" t="str">
        <f t="shared" si="617"/>
        <v/>
      </c>
      <c r="BL949" s="163" t="str">
        <f t="shared" si="623"/>
        <v/>
      </c>
      <c r="BM949" s="163" t="str">
        <f t="shared" si="618"/>
        <v/>
      </c>
      <c r="BN949" s="163" t="str">
        <f t="shared" si="624"/>
        <v/>
      </c>
      <c r="BO949" s="163" t="str">
        <f t="shared" si="625"/>
        <v/>
      </c>
      <c r="BP949" s="164" t="str">
        <f t="shared" si="619"/>
        <v/>
      </c>
      <c r="BQ949" s="164" t="str">
        <f t="shared" si="626"/>
        <v/>
      </c>
      <c r="BR949" s="154" t="str">
        <f t="shared" si="627"/>
        <v/>
      </c>
      <c r="BT949" s="147" t="str">
        <f t="shared" si="600"/>
        <v/>
      </c>
      <c r="BU949" s="164" t="str">
        <f>IF(AND($C948=12,$D948=Input!$C$6),0,IF($E949="","",BK949+(BL949+BU950)/(1+$AK949)*MIN((1-T949-U949),1)))</f>
        <v/>
      </c>
      <c r="BV949" s="164" t="str">
        <f t="shared" si="601"/>
        <v/>
      </c>
      <c r="BW949" s="164" t="str">
        <f t="shared" si="602"/>
        <v/>
      </c>
      <c r="BX949" s="164" t="str">
        <f t="shared" si="603"/>
        <v/>
      </c>
    </row>
    <row r="950" spans="1:76" s="150" customFormat="1" x14ac:dyDescent="0.25">
      <c r="A950" s="150" t="str">
        <f t="shared" si="614"/>
        <v/>
      </c>
      <c r="B950" s="150" t="str">
        <f t="shared" si="615"/>
        <v/>
      </c>
      <c r="C950" s="150" t="str">
        <f t="shared" si="616"/>
        <v/>
      </c>
      <c r="D950" s="150" t="str">
        <f>IF(E950="","",Input!$C$4+B950-1)</f>
        <v/>
      </c>
      <c r="E950" s="150" t="str">
        <f>IF(OR(AND(C949=12,D949=Input!$C$6),E949=""),"",1)</f>
        <v/>
      </c>
      <c r="F950" s="150" t="str">
        <f>IF(E950="","",Input!$C$8+B950-1)</f>
        <v/>
      </c>
      <c r="G950" s="151" t="str">
        <f>IF(E950="","",MAX(0,Input!$C$9-B950))</f>
        <v/>
      </c>
      <c r="H950" s="152" t="str">
        <f>IF(E950="","",Input!$C$3)</f>
        <v/>
      </c>
      <c r="I950" s="153" t="str">
        <f>IF(E950="","",HLOOKUP($B950,Input!$C$13:$BT$14,2))</f>
        <v/>
      </c>
      <c r="J950" s="154"/>
      <c r="K950" s="155" t="str">
        <f>IF($E950="","",INDEX(Input!$C$16:$CP$16,1,$B950))</f>
        <v/>
      </c>
      <c r="L950" s="155" t="str">
        <f>IF($E950="","",Input!$C$37)</f>
        <v/>
      </c>
      <c r="M950" s="155" t="str">
        <f t="shared" si="629"/>
        <v/>
      </c>
      <c r="N950" s="155" t="str">
        <f t="shared" si="630"/>
        <v/>
      </c>
      <c r="O950" s="147" t="str">
        <f>IF($E950="","",MIN(VLOOKUP(IF($B950&lt;=Input!$C$7,$B950,26),'Mortality Tables'!$A$41:$CW$67,IF($B950&lt;=Input!$C$7+1,Input!$C$4+2,$D950-Input!$C$7+2),0)*IF(B950&gt;20,Input!$C$22,1)/1000,1))</f>
        <v/>
      </c>
      <c r="P950" s="147" t="str">
        <f>IF($E950="","",MIN(VLOOKUP(IF($B950&lt;=Input!$C$7,$B950,26),'Mortality Tables'!$A$12:$CW$37,IF($B950&lt;=Input!$C$7+1,Input!$C$4+2,$D950-Input!$C$7+2),0)*IF(B950&gt;20,Input!$C$22,1)/1000,1))</f>
        <v/>
      </c>
      <c r="Q950" s="155" t="str">
        <f>IF($E950="","",Input!$C$21)</f>
        <v/>
      </c>
      <c r="R950" s="159" t="str">
        <f>IF($E950="","",(1-Q950)^($F950-Input!$C$20))</f>
        <v/>
      </c>
      <c r="S950" s="147" t="str">
        <f t="shared" si="583"/>
        <v/>
      </c>
      <c r="T950" s="147" t="str">
        <f t="shared" si="584"/>
        <v/>
      </c>
      <c r="U950" s="160" t="str">
        <f>IF($E950="","",IF($C950=12,INDEX(Input!$C$15:$CP$15,1,$B950),0))</f>
        <v/>
      </c>
      <c r="V950" s="150" t="str">
        <f>IF(E950="","",IF(C950=1,IF($B950=1,Input!$C$33,Input!$C$34),0))</f>
        <v/>
      </c>
      <c r="W950" s="156" t="str">
        <f>IF($E950="","",Input!$C$35)</f>
        <v/>
      </c>
      <c r="X950" s="156" t="str">
        <f t="shared" si="631"/>
        <v/>
      </c>
      <c r="Y950" s="154"/>
      <c r="Z950" s="147" t="str">
        <f>IF($E950="","",VLOOKUP($D950,'Mortality Margins &amp; Grading'!$AB$5:$AF$125,3,0)*IF(Summary!$D$25="Included Margin",IF(AND($B950&gt;Input!$C$9,Summary!$D$31&lt;&gt;"Included Margin"),0,1),0))</f>
        <v/>
      </c>
      <c r="AA950" s="147" t="str">
        <f>IF($E950="","",VLOOKUP($D950,'Mortality Margins &amp; Grading'!$AB$5:$AF$125,5,0)*IF(Summary!$D$25="Included Margin",IF(AND($B950&gt;Input!$C$9,Summary!$D$31&lt;&gt;"Included Margin"),0,1),0))</f>
        <v/>
      </c>
      <c r="AB950" s="147" t="str">
        <f>IF($E950="","",IF(AND($B950&gt;Input!$C$9,Summary!$D$31&lt;&gt;"Included Margin"),1,IF(Summary!$D$25="Included Margin",VLOOKUP($B950,'Mortality Margins &amp; Grading'!$AI$5:$AR$125,MATCH('Mortality Margins &amp; Grading'!$AQ$4,'Mortality Margins &amp; Grading'!$AI$4:$AR$4,0),0),1)))</f>
        <v/>
      </c>
      <c r="AC950" s="154"/>
      <c r="AD950" s="158" t="str">
        <f>IF(E950="","",Input!$C$48*IF(Summary!$D$30="Included Margin",IF(AND($B950&gt;Input!$C$9,Summary!$D$31&lt;&gt;"Included Margin"),0,1),0))</f>
        <v/>
      </c>
      <c r="AE950" s="159" t="str">
        <f>IF(E950="","",IF(Summary!$D$26="Included Margin",IF(AND($B950&gt;Input!$C$9,Summary!$D$31&lt;&gt;"Included Margin"),1,1/$R950),1))</f>
        <v/>
      </c>
      <c r="AF950" s="160" t="str">
        <f>IF(E950="","",IF(AND($B950&gt;=Input!$C$9,$C950=12,Summary!$D$31="Included Margin",$U950&gt;0),1/U950-1,IF($B950&gt;=Input!$C$9,0,Input!$C$45*IF(Summary!$D$27="Included Margin",1,0))))</f>
        <v/>
      </c>
      <c r="AG950" s="160" t="str">
        <f>IF(E950="","",Input!$C$46*IF(Summary!$D$28="Included Margin",IF(AND($B950&gt;Input!$C$9,Summary!$D$31&lt;&gt;"Included Margin"),0,1),0))</f>
        <v/>
      </c>
      <c r="AH950" s="158" t="str">
        <f>IF(E950="","",Input!$C$47*IF(Summary!$D$29="Included Margin",IF(AND($B950&gt;Input!$C$9,Summary!$D$31&lt;&gt;"Included Margin"),0,1),0))</f>
        <v/>
      </c>
      <c r="AI950" s="154"/>
      <c r="AJ950" s="158" t="str">
        <f t="shared" si="604"/>
        <v/>
      </c>
      <c r="AK950" s="155" t="str">
        <f t="shared" si="605"/>
        <v/>
      </c>
      <c r="AL950" s="147" t="str">
        <f t="shared" si="606"/>
        <v/>
      </c>
      <c r="AM950" s="147" t="str">
        <f t="shared" si="585"/>
        <v/>
      </c>
      <c r="AN950" s="160" t="str">
        <f t="shared" si="607"/>
        <v/>
      </c>
      <c r="AO950" s="161" t="str">
        <f t="shared" si="608"/>
        <v/>
      </c>
      <c r="AP950" s="156" t="str">
        <f t="shared" si="586"/>
        <v/>
      </c>
      <c r="AQ950" s="152"/>
      <c r="AR950" s="162" t="str">
        <f t="shared" si="587"/>
        <v/>
      </c>
      <c r="AS950" s="150" t="str">
        <f t="shared" si="609"/>
        <v/>
      </c>
      <c r="AT950" s="163" t="str">
        <f t="shared" si="588"/>
        <v/>
      </c>
      <c r="AU950" s="163" t="str">
        <f t="shared" si="589"/>
        <v/>
      </c>
      <c r="AV950" s="163" t="str">
        <f t="shared" si="610"/>
        <v/>
      </c>
      <c r="AW950" s="163" t="str">
        <f t="shared" si="590"/>
        <v/>
      </c>
      <c r="AX950" s="163" t="str">
        <f t="shared" si="591"/>
        <v/>
      </c>
      <c r="AY950" s="165" t="str">
        <f t="shared" si="611"/>
        <v/>
      </c>
      <c r="AZ950" s="164" t="str">
        <f>IF($E950="","",IF(OR(AND($D950=Input!$C$6,$C950=12),$AN950=1),0,-AS951+AT951+AU951-AV951-AW951-AX951+AZ951))</f>
        <v/>
      </c>
      <c r="BA950" s="154" t="str">
        <f t="shared" si="592"/>
        <v/>
      </c>
      <c r="BC950" s="147" t="str">
        <f t="shared" si="612"/>
        <v/>
      </c>
      <c r="BD950" s="164" t="str">
        <f>IF(AND($C949=12,$D949=Input!$C$6),0,IF($E950="","",AT950+(AU950+BD951)/(1+$AK950)*MIN((1-AM950-AN950),1)))</f>
        <v/>
      </c>
      <c r="BE950" s="164" t="str">
        <f t="shared" si="628"/>
        <v/>
      </c>
      <c r="BF950" s="164" t="str">
        <f t="shared" si="613"/>
        <v/>
      </c>
      <c r="BG950" s="164" t="str">
        <f t="shared" si="593"/>
        <v/>
      </c>
      <c r="BH950" s="152"/>
      <c r="BI950" s="162" t="str">
        <f t="shared" si="621"/>
        <v/>
      </c>
      <c r="BJ950" s="150" t="str">
        <f t="shared" si="622"/>
        <v/>
      </c>
      <c r="BK950" s="163" t="str">
        <f t="shared" si="617"/>
        <v/>
      </c>
      <c r="BL950" s="163" t="str">
        <f t="shared" si="623"/>
        <v/>
      </c>
      <c r="BM950" s="163" t="str">
        <f t="shared" si="618"/>
        <v/>
      </c>
      <c r="BN950" s="163" t="str">
        <f t="shared" si="624"/>
        <v/>
      </c>
      <c r="BO950" s="163" t="str">
        <f t="shared" si="625"/>
        <v/>
      </c>
      <c r="BP950" s="164" t="str">
        <f t="shared" si="619"/>
        <v/>
      </c>
      <c r="BQ950" s="164" t="str">
        <f t="shared" si="626"/>
        <v/>
      </c>
      <c r="BR950" s="154" t="str">
        <f t="shared" si="627"/>
        <v/>
      </c>
      <c r="BT950" s="147" t="str">
        <f t="shared" si="600"/>
        <v/>
      </c>
      <c r="BU950" s="164" t="str">
        <f>IF(AND($C949=12,$D949=Input!$C$6),0,IF($E950="","",BK950+(BL950+BU951)/(1+$AK950)*MIN((1-T950-U950),1)))</f>
        <v/>
      </c>
      <c r="BV950" s="164" t="str">
        <f t="shared" si="601"/>
        <v/>
      </c>
      <c r="BW950" s="164" t="str">
        <f t="shared" si="602"/>
        <v/>
      </c>
      <c r="BX950" s="164" t="str">
        <f t="shared" si="603"/>
        <v/>
      </c>
    </row>
    <row r="951" spans="1:76" s="150" customFormat="1" x14ac:dyDescent="0.25">
      <c r="A951" s="150" t="str">
        <f t="shared" si="614"/>
        <v/>
      </c>
      <c r="B951" s="150" t="str">
        <f t="shared" si="615"/>
        <v/>
      </c>
      <c r="C951" s="150" t="str">
        <f t="shared" si="616"/>
        <v/>
      </c>
      <c r="D951" s="150" t="str">
        <f>IF(E951="","",Input!$C$4+B951-1)</f>
        <v/>
      </c>
      <c r="E951" s="150" t="str">
        <f>IF(OR(AND(C950=12,D950=Input!$C$6),E950=""),"",1)</f>
        <v/>
      </c>
      <c r="F951" s="150" t="str">
        <f>IF(E951="","",Input!$C$8+B951-1)</f>
        <v/>
      </c>
      <c r="G951" s="151" t="str">
        <f>IF(E951="","",MAX(0,Input!$C$9-B951))</f>
        <v/>
      </c>
      <c r="H951" s="152" t="str">
        <f>IF(E951="","",Input!$C$3)</f>
        <v/>
      </c>
      <c r="I951" s="153" t="str">
        <f>IF(E951="","",HLOOKUP($B951,Input!$C$13:$BT$14,2))</f>
        <v/>
      </c>
      <c r="J951" s="154"/>
      <c r="K951" s="155" t="str">
        <f>IF($E951="","",INDEX(Input!$C$16:$CP$16,1,$B951))</f>
        <v/>
      </c>
      <c r="L951" s="155" t="str">
        <f>IF($E951="","",Input!$C$37)</f>
        <v/>
      </c>
      <c r="M951" s="155" t="str">
        <f t="shared" si="629"/>
        <v/>
      </c>
      <c r="N951" s="155" t="str">
        <f t="shared" si="630"/>
        <v/>
      </c>
      <c r="O951" s="147" t="str">
        <f>IF($E951="","",MIN(VLOOKUP(IF($B951&lt;=Input!$C$7,$B951,26),'Mortality Tables'!$A$41:$CW$67,IF($B951&lt;=Input!$C$7+1,Input!$C$4+2,$D951-Input!$C$7+2),0)*IF(B951&gt;20,Input!$C$22,1)/1000,1))</f>
        <v/>
      </c>
      <c r="P951" s="147" t="str">
        <f>IF($E951="","",MIN(VLOOKUP(IF($B951&lt;=Input!$C$7,$B951,26),'Mortality Tables'!$A$12:$CW$37,IF($B951&lt;=Input!$C$7+1,Input!$C$4+2,$D951-Input!$C$7+2),0)*IF(B951&gt;20,Input!$C$22,1)/1000,1))</f>
        <v/>
      </c>
      <c r="Q951" s="155" t="str">
        <f>IF($E951="","",Input!$C$21)</f>
        <v/>
      </c>
      <c r="R951" s="159" t="str">
        <f>IF($E951="","",(1-Q951)^($F951-Input!$C$20))</f>
        <v/>
      </c>
      <c r="S951" s="147" t="str">
        <f t="shared" si="583"/>
        <v/>
      </c>
      <c r="T951" s="147" t="str">
        <f t="shared" si="584"/>
        <v/>
      </c>
      <c r="U951" s="160" t="str">
        <f>IF($E951="","",IF($C951=12,INDEX(Input!$C$15:$CP$15,1,$B951),0))</f>
        <v/>
      </c>
      <c r="V951" s="150" t="str">
        <f>IF(E951="","",IF(C951=1,IF($B951=1,Input!$C$33,Input!$C$34),0))</f>
        <v/>
      </c>
      <c r="W951" s="156" t="str">
        <f>IF($E951="","",Input!$C$35)</f>
        <v/>
      </c>
      <c r="X951" s="156" t="str">
        <f t="shared" si="631"/>
        <v/>
      </c>
      <c r="Y951" s="154"/>
      <c r="Z951" s="147" t="str">
        <f>IF($E951="","",VLOOKUP($D951,'Mortality Margins &amp; Grading'!$AB$5:$AF$125,3,0)*IF(Summary!$D$25="Included Margin",IF(AND($B951&gt;Input!$C$9,Summary!$D$31&lt;&gt;"Included Margin"),0,1),0))</f>
        <v/>
      </c>
      <c r="AA951" s="147" t="str">
        <f>IF($E951="","",VLOOKUP($D951,'Mortality Margins &amp; Grading'!$AB$5:$AF$125,5,0)*IF(Summary!$D$25="Included Margin",IF(AND($B951&gt;Input!$C$9,Summary!$D$31&lt;&gt;"Included Margin"),0,1),0))</f>
        <v/>
      </c>
      <c r="AB951" s="147" t="str">
        <f>IF($E951="","",IF(AND($B951&gt;Input!$C$9,Summary!$D$31&lt;&gt;"Included Margin"),1,IF(Summary!$D$25="Included Margin",VLOOKUP($B951,'Mortality Margins &amp; Grading'!$AI$5:$AR$125,MATCH('Mortality Margins &amp; Grading'!$AQ$4,'Mortality Margins &amp; Grading'!$AI$4:$AR$4,0),0),1)))</f>
        <v/>
      </c>
      <c r="AC951" s="154"/>
      <c r="AD951" s="158" t="str">
        <f>IF(E951="","",Input!$C$48*IF(Summary!$D$30="Included Margin",IF(AND($B951&gt;Input!$C$9,Summary!$D$31&lt;&gt;"Included Margin"),0,1),0))</f>
        <v/>
      </c>
      <c r="AE951" s="159" t="str">
        <f>IF(E951="","",IF(Summary!$D$26="Included Margin",IF(AND($B951&gt;Input!$C$9,Summary!$D$31&lt;&gt;"Included Margin"),1,1/$R951),1))</f>
        <v/>
      </c>
      <c r="AF951" s="160" t="str">
        <f>IF(E951="","",IF(AND($B951&gt;=Input!$C$9,$C951=12,Summary!$D$31="Included Margin",$U951&gt;0),1/U951-1,IF($B951&gt;=Input!$C$9,0,Input!$C$45*IF(Summary!$D$27="Included Margin",1,0))))</f>
        <v/>
      </c>
      <c r="AG951" s="160" t="str">
        <f>IF(E951="","",Input!$C$46*IF(Summary!$D$28="Included Margin",IF(AND($B951&gt;Input!$C$9,Summary!$D$31&lt;&gt;"Included Margin"),0,1),0))</f>
        <v/>
      </c>
      <c r="AH951" s="158" t="str">
        <f>IF(E951="","",Input!$C$47*IF(Summary!$D$29="Included Margin",IF(AND($B951&gt;Input!$C$9,Summary!$D$31&lt;&gt;"Included Margin"),0,1),0))</f>
        <v/>
      </c>
      <c r="AI951" s="154"/>
      <c r="AJ951" s="158" t="str">
        <f t="shared" si="604"/>
        <v/>
      </c>
      <c r="AK951" s="155" t="str">
        <f t="shared" si="605"/>
        <v/>
      </c>
      <c r="AL951" s="147" t="str">
        <f t="shared" si="606"/>
        <v/>
      </c>
      <c r="AM951" s="147" t="str">
        <f t="shared" si="585"/>
        <v/>
      </c>
      <c r="AN951" s="160" t="str">
        <f t="shared" si="607"/>
        <v/>
      </c>
      <c r="AO951" s="161" t="str">
        <f t="shared" si="608"/>
        <v/>
      </c>
      <c r="AP951" s="156" t="str">
        <f t="shared" si="586"/>
        <v/>
      </c>
      <c r="AQ951" s="152"/>
      <c r="AR951" s="162" t="str">
        <f t="shared" si="587"/>
        <v/>
      </c>
      <c r="AS951" s="150" t="str">
        <f t="shared" si="609"/>
        <v/>
      </c>
      <c r="AT951" s="163" t="str">
        <f t="shared" si="588"/>
        <v/>
      </c>
      <c r="AU951" s="163" t="str">
        <f t="shared" si="589"/>
        <v/>
      </c>
      <c r="AV951" s="163" t="str">
        <f t="shared" si="610"/>
        <v/>
      </c>
      <c r="AW951" s="163" t="str">
        <f t="shared" si="590"/>
        <v/>
      </c>
      <c r="AX951" s="163" t="str">
        <f t="shared" si="591"/>
        <v/>
      </c>
      <c r="AY951" s="164" t="str">
        <f t="shared" si="611"/>
        <v/>
      </c>
      <c r="AZ951" s="164" t="str">
        <f>IF($E951="","",IF(OR(AND($D951=Input!$C$6,$C951=12),$AN951=1),0,-AS952+AT952+AU952-AV952-AW952-AX952+AZ952))</f>
        <v/>
      </c>
      <c r="BA951" s="154" t="str">
        <f t="shared" si="592"/>
        <v/>
      </c>
      <c r="BC951" s="147" t="str">
        <f t="shared" si="612"/>
        <v/>
      </c>
      <c r="BD951" s="164" t="str">
        <f>IF(AND($C950=12,$D950=Input!$C$6),0,IF($E951="","",AT951+(AU951+BD952)/(1+$AK951)*MIN((1-AM951-AN951),1)))</f>
        <v/>
      </c>
      <c r="BE951" s="164" t="str">
        <f t="shared" si="628"/>
        <v/>
      </c>
      <c r="BF951" s="164" t="str">
        <f t="shared" si="613"/>
        <v/>
      </c>
      <c r="BG951" s="164" t="str">
        <f t="shared" si="593"/>
        <v/>
      </c>
      <c r="BH951" s="152"/>
      <c r="BI951" s="162" t="str">
        <f t="shared" si="621"/>
        <v/>
      </c>
      <c r="BJ951" s="150" t="str">
        <f t="shared" si="622"/>
        <v/>
      </c>
      <c r="BK951" s="163" t="str">
        <f t="shared" si="617"/>
        <v/>
      </c>
      <c r="BL951" s="163" t="str">
        <f t="shared" si="623"/>
        <v/>
      </c>
      <c r="BM951" s="163" t="str">
        <f t="shared" si="618"/>
        <v/>
      </c>
      <c r="BN951" s="163" t="str">
        <f t="shared" si="624"/>
        <v/>
      </c>
      <c r="BO951" s="163" t="str">
        <f t="shared" si="625"/>
        <v/>
      </c>
      <c r="BP951" s="164" t="str">
        <f t="shared" si="619"/>
        <v/>
      </c>
      <c r="BQ951" s="164" t="str">
        <f t="shared" si="626"/>
        <v/>
      </c>
      <c r="BR951" s="154" t="str">
        <f t="shared" si="627"/>
        <v/>
      </c>
      <c r="BT951" s="147" t="str">
        <f t="shared" si="600"/>
        <v/>
      </c>
      <c r="BU951" s="164" t="str">
        <f>IF(AND($C950=12,$D950=Input!$C$6),0,IF($E951="","",BK951+(BL951+BU952)/(1+$AK951)*MIN((1-T951-U951),1)))</f>
        <v/>
      </c>
      <c r="BV951" s="164" t="str">
        <f t="shared" si="601"/>
        <v/>
      </c>
      <c r="BW951" s="164" t="str">
        <f t="shared" si="602"/>
        <v/>
      </c>
      <c r="BX951" s="164" t="str">
        <f t="shared" si="603"/>
        <v/>
      </c>
    </row>
    <row r="952" spans="1:76" s="150" customFormat="1" x14ac:dyDescent="0.25">
      <c r="A952" s="150" t="str">
        <f t="shared" si="614"/>
        <v/>
      </c>
      <c r="B952" s="150" t="str">
        <f t="shared" si="615"/>
        <v/>
      </c>
      <c r="C952" s="150" t="str">
        <f t="shared" si="616"/>
        <v/>
      </c>
      <c r="D952" s="150" t="str">
        <f>IF(E952="","",Input!$C$4+B952-1)</f>
        <v/>
      </c>
      <c r="E952" s="150" t="str">
        <f>IF(OR(AND(C951=12,D951=Input!$C$6),E951=""),"",1)</f>
        <v/>
      </c>
      <c r="F952" s="150" t="str">
        <f>IF(E952="","",Input!$C$8+B952-1)</f>
        <v/>
      </c>
      <c r="G952" s="151" t="str">
        <f>IF(E952="","",MAX(0,Input!$C$9-B952))</f>
        <v/>
      </c>
      <c r="H952" s="152" t="str">
        <f>IF(E952="","",Input!$C$3)</f>
        <v/>
      </c>
      <c r="I952" s="153" t="str">
        <f>IF(E952="","",HLOOKUP($B952,Input!$C$13:$BT$14,2))</f>
        <v/>
      </c>
      <c r="J952" s="154"/>
      <c r="K952" s="155" t="str">
        <f>IF($E952="","",INDEX(Input!$C$16:$CP$16,1,$B952))</f>
        <v/>
      </c>
      <c r="L952" s="155" t="str">
        <f>IF($E952="","",Input!$C$37)</f>
        <v/>
      </c>
      <c r="M952" s="155" t="str">
        <f t="shared" si="629"/>
        <v/>
      </c>
      <c r="N952" s="155" t="str">
        <f t="shared" si="630"/>
        <v/>
      </c>
      <c r="O952" s="147" t="str">
        <f>IF($E952="","",MIN(VLOOKUP(IF($B952&lt;=Input!$C$7,$B952,26),'Mortality Tables'!$A$41:$CW$67,IF($B952&lt;=Input!$C$7+1,Input!$C$4+2,$D952-Input!$C$7+2),0)*IF(B952&gt;20,Input!$C$22,1)/1000,1))</f>
        <v/>
      </c>
      <c r="P952" s="147" t="str">
        <f>IF($E952="","",MIN(VLOOKUP(IF($B952&lt;=Input!$C$7,$B952,26),'Mortality Tables'!$A$12:$CW$37,IF($B952&lt;=Input!$C$7+1,Input!$C$4+2,$D952-Input!$C$7+2),0)*IF(B952&gt;20,Input!$C$22,1)/1000,1))</f>
        <v/>
      </c>
      <c r="Q952" s="155" t="str">
        <f>IF($E952="","",Input!$C$21)</f>
        <v/>
      </c>
      <c r="R952" s="159" t="str">
        <f>IF($E952="","",(1-Q952)^($F952-Input!$C$20))</f>
        <v/>
      </c>
      <c r="S952" s="147" t="str">
        <f t="shared" si="583"/>
        <v/>
      </c>
      <c r="T952" s="147" t="str">
        <f t="shared" si="584"/>
        <v/>
      </c>
      <c r="U952" s="160" t="str">
        <f>IF($E952="","",IF($C952=12,INDEX(Input!$C$15:$CP$15,1,$B952),0))</f>
        <v/>
      </c>
      <c r="V952" s="150" t="str">
        <f>IF(E952="","",IF(C952=1,IF($B952=1,Input!$C$33,Input!$C$34),0))</f>
        <v/>
      </c>
      <c r="W952" s="156" t="str">
        <f>IF($E952="","",Input!$C$35)</f>
        <v/>
      </c>
      <c r="X952" s="156" t="str">
        <f t="shared" si="631"/>
        <v/>
      </c>
      <c r="Y952" s="154"/>
      <c r="Z952" s="147" t="str">
        <f>IF($E952="","",VLOOKUP($D952,'Mortality Margins &amp; Grading'!$AB$5:$AF$125,3,0)*IF(Summary!$D$25="Included Margin",IF(AND($B952&gt;Input!$C$9,Summary!$D$31&lt;&gt;"Included Margin"),0,1),0))</f>
        <v/>
      </c>
      <c r="AA952" s="147" t="str">
        <f>IF($E952="","",VLOOKUP($D952,'Mortality Margins &amp; Grading'!$AB$5:$AF$125,5,0)*IF(Summary!$D$25="Included Margin",IF(AND($B952&gt;Input!$C$9,Summary!$D$31&lt;&gt;"Included Margin"),0,1),0))</f>
        <v/>
      </c>
      <c r="AB952" s="147" t="str">
        <f>IF($E952="","",IF(AND($B952&gt;Input!$C$9,Summary!$D$31&lt;&gt;"Included Margin"),1,IF(Summary!$D$25="Included Margin",VLOOKUP($B952,'Mortality Margins &amp; Grading'!$AI$5:$AR$125,MATCH('Mortality Margins &amp; Grading'!$AQ$4,'Mortality Margins &amp; Grading'!$AI$4:$AR$4,0),0),1)))</f>
        <v/>
      </c>
      <c r="AC952" s="154"/>
      <c r="AD952" s="158" t="str">
        <f>IF(E952="","",Input!$C$48*IF(Summary!$D$30="Included Margin",IF(AND($B952&gt;Input!$C$9,Summary!$D$31&lt;&gt;"Included Margin"),0,1),0))</f>
        <v/>
      </c>
      <c r="AE952" s="159" t="str">
        <f>IF(E952="","",IF(Summary!$D$26="Included Margin",IF(AND($B952&gt;Input!$C$9,Summary!$D$31&lt;&gt;"Included Margin"),1,1/$R952),1))</f>
        <v/>
      </c>
      <c r="AF952" s="160" t="str">
        <f>IF(E952="","",IF(AND($B952&gt;=Input!$C$9,$C952=12,Summary!$D$31="Included Margin",$U952&gt;0),1/U952-1,IF($B952&gt;=Input!$C$9,0,Input!$C$45*IF(Summary!$D$27="Included Margin",1,0))))</f>
        <v/>
      </c>
      <c r="AG952" s="160" t="str">
        <f>IF(E952="","",Input!$C$46*IF(Summary!$D$28="Included Margin",IF(AND($B952&gt;Input!$C$9,Summary!$D$31&lt;&gt;"Included Margin"),0,1),0))</f>
        <v/>
      </c>
      <c r="AH952" s="158" t="str">
        <f>IF(E952="","",Input!$C$47*IF(Summary!$D$29="Included Margin",IF(AND($B952&gt;Input!$C$9,Summary!$D$31&lt;&gt;"Included Margin"),0,1),0))</f>
        <v/>
      </c>
      <c r="AI952" s="154"/>
      <c r="AJ952" s="158" t="str">
        <f t="shared" si="604"/>
        <v/>
      </c>
      <c r="AK952" s="155" t="str">
        <f t="shared" si="605"/>
        <v/>
      </c>
      <c r="AL952" s="147" t="str">
        <f t="shared" si="606"/>
        <v/>
      </c>
      <c r="AM952" s="147" t="str">
        <f t="shared" si="585"/>
        <v/>
      </c>
      <c r="AN952" s="160" t="str">
        <f t="shared" si="607"/>
        <v/>
      </c>
      <c r="AO952" s="161" t="str">
        <f t="shared" si="608"/>
        <v/>
      </c>
      <c r="AP952" s="156" t="str">
        <f t="shared" si="586"/>
        <v/>
      </c>
      <c r="AQ952" s="152"/>
      <c r="AR952" s="162" t="str">
        <f t="shared" si="587"/>
        <v/>
      </c>
      <c r="AS952" s="150" t="str">
        <f t="shared" si="609"/>
        <v/>
      </c>
      <c r="AT952" s="163" t="str">
        <f t="shared" si="588"/>
        <v/>
      </c>
      <c r="AU952" s="163" t="str">
        <f t="shared" si="589"/>
        <v/>
      </c>
      <c r="AV952" s="163" t="str">
        <f t="shared" si="610"/>
        <v/>
      </c>
      <c r="AW952" s="163" t="str">
        <f t="shared" si="590"/>
        <v/>
      </c>
      <c r="AX952" s="163" t="str">
        <f t="shared" si="591"/>
        <v/>
      </c>
      <c r="AY952" s="165" t="str">
        <f t="shared" si="611"/>
        <v/>
      </c>
      <c r="AZ952" s="164" t="str">
        <f>IF($E952="","",IF(OR(AND($D952=Input!$C$6,$C952=12),$AN952=1),0,-AS953+AT953+AU953-AV953-AW953-AX953+AZ953))</f>
        <v/>
      </c>
      <c r="BA952" s="154" t="str">
        <f t="shared" si="592"/>
        <v/>
      </c>
      <c r="BC952" s="147" t="str">
        <f t="shared" si="612"/>
        <v/>
      </c>
      <c r="BD952" s="164" t="str">
        <f>IF(AND($C951=12,$D951=Input!$C$6),0,IF($E952="","",AT952+(AU952+BD953)/(1+$AK952)*MIN((1-AM952-AN952),1)))</f>
        <v/>
      </c>
      <c r="BE952" s="164" t="str">
        <f t="shared" si="628"/>
        <v/>
      </c>
      <c r="BF952" s="164" t="str">
        <f t="shared" si="613"/>
        <v/>
      </c>
      <c r="BG952" s="164" t="str">
        <f t="shared" si="593"/>
        <v/>
      </c>
      <c r="BH952" s="152"/>
      <c r="BI952" s="162" t="str">
        <f t="shared" si="621"/>
        <v/>
      </c>
      <c r="BJ952" s="150" t="str">
        <f t="shared" si="622"/>
        <v/>
      </c>
      <c r="BK952" s="163" t="str">
        <f t="shared" si="617"/>
        <v/>
      </c>
      <c r="BL952" s="163" t="str">
        <f t="shared" si="623"/>
        <v/>
      </c>
      <c r="BM952" s="163" t="str">
        <f t="shared" si="618"/>
        <v/>
      </c>
      <c r="BN952" s="163" t="str">
        <f t="shared" si="624"/>
        <v/>
      </c>
      <c r="BO952" s="163" t="str">
        <f t="shared" si="625"/>
        <v/>
      </c>
      <c r="BP952" s="164" t="str">
        <f t="shared" si="619"/>
        <v/>
      </c>
      <c r="BQ952" s="164" t="str">
        <f t="shared" si="626"/>
        <v/>
      </c>
      <c r="BR952" s="154" t="str">
        <f t="shared" si="627"/>
        <v/>
      </c>
      <c r="BT952" s="147" t="str">
        <f t="shared" si="600"/>
        <v/>
      </c>
      <c r="BU952" s="164" t="str">
        <f>IF(AND($C951=12,$D951=Input!$C$6),0,IF($E952="","",BK952+(BL952+BU953)/(1+$AK952)*MIN((1-T952-U952),1)))</f>
        <v/>
      </c>
      <c r="BV952" s="164" t="str">
        <f t="shared" si="601"/>
        <v/>
      </c>
      <c r="BW952" s="164" t="str">
        <f t="shared" si="602"/>
        <v/>
      </c>
      <c r="BX952" s="164" t="str">
        <f t="shared" si="603"/>
        <v/>
      </c>
    </row>
    <row r="953" spans="1:76" s="150" customFormat="1" x14ac:dyDescent="0.25">
      <c r="A953" s="150" t="str">
        <f t="shared" si="614"/>
        <v/>
      </c>
      <c r="B953" s="150" t="str">
        <f t="shared" si="615"/>
        <v/>
      </c>
      <c r="C953" s="150" t="str">
        <f t="shared" si="616"/>
        <v/>
      </c>
      <c r="D953" s="150" t="str">
        <f>IF(E953="","",Input!$C$4+B953-1)</f>
        <v/>
      </c>
      <c r="E953" s="150" t="str">
        <f>IF(OR(AND(C952=12,D952=Input!$C$6),E952=""),"",1)</f>
        <v/>
      </c>
      <c r="F953" s="150" t="str">
        <f>IF(E953="","",Input!$C$8+B953-1)</f>
        <v/>
      </c>
      <c r="G953" s="151" t="str">
        <f>IF(E953="","",MAX(0,Input!$C$9-B953))</f>
        <v/>
      </c>
      <c r="H953" s="152" t="str">
        <f>IF(E953="","",Input!$C$3)</f>
        <v/>
      </c>
      <c r="I953" s="153" t="str">
        <f>IF(E953="","",HLOOKUP($B953,Input!$C$13:$BT$14,2))</f>
        <v/>
      </c>
      <c r="J953" s="154"/>
      <c r="K953" s="155" t="str">
        <f>IF($E953="","",INDEX(Input!$C$16:$CP$16,1,$B953))</f>
        <v/>
      </c>
      <c r="L953" s="155" t="str">
        <f>IF($E953="","",Input!$C$37)</f>
        <v/>
      </c>
      <c r="M953" s="155" t="str">
        <f t="shared" si="629"/>
        <v/>
      </c>
      <c r="N953" s="155" t="str">
        <f t="shared" si="630"/>
        <v/>
      </c>
      <c r="O953" s="147" t="str">
        <f>IF($E953="","",MIN(VLOOKUP(IF($B953&lt;=Input!$C$7,$B953,26),'Mortality Tables'!$A$41:$CW$67,IF($B953&lt;=Input!$C$7+1,Input!$C$4+2,$D953-Input!$C$7+2),0)*IF(B953&gt;20,Input!$C$22,1)/1000,1))</f>
        <v/>
      </c>
      <c r="P953" s="147" t="str">
        <f>IF($E953="","",MIN(VLOOKUP(IF($B953&lt;=Input!$C$7,$B953,26),'Mortality Tables'!$A$12:$CW$37,IF($B953&lt;=Input!$C$7+1,Input!$C$4+2,$D953-Input!$C$7+2),0)*IF(B953&gt;20,Input!$C$22,1)/1000,1))</f>
        <v/>
      </c>
      <c r="Q953" s="155" t="str">
        <f>IF($E953="","",Input!$C$21)</f>
        <v/>
      </c>
      <c r="R953" s="159" t="str">
        <f>IF($E953="","",(1-Q953)^($F953-Input!$C$20))</f>
        <v/>
      </c>
      <c r="S953" s="147" t="str">
        <f t="shared" si="583"/>
        <v/>
      </c>
      <c r="T953" s="147" t="str">
        <f t="shared" si="584"/>
        <v/>
      </c>
      <c r="U953" s="160" t="str">
        <f>IF($E953="","",IF($C953=12,INDEX(Input!$C$15:$CP$15,1,$B953),0))</f>
        <v/>
      </c>
      <c r="V953" s="150" t="str">
        <f>IF(E953="","",IF(C953=1,IF($B953=1,Input!$C$33,Input!$C$34),0))</f>
        <v/>
      </c>
      <c r="W953" s="156" t="str">
        <f>IF($E953="","",Input!$C$35)</f>
        <v/>
      </c>
      <c r="X953" s="156" t="str">
        <f t="shared" si="631"/>
        <v/>
      </c>
      <c r="Y953" s="154"/>
      <c r="Z953" s="147" t="str">
        <f>IF($E953="","",VLOOKUP($D953,'Mortality Margins &amp; Grading'!$AB$5:$AF$125,3,0)*IF(Summary!$D$25="Included Margin",IF(AND($B953&gt;Input!$C$9,Summary!$D$31&lt;&gt;"Included Margin"),0,1),0))</f>
        <v/>
      </c>
      <c r="AA953" s="147" t="str">
        <f>IF($E953="","",VLOOKUP($D953,'Mortality Margins &amp; Grading'!$AB$5:$AF$125,5,0)*IF(Summary!$D$25="Included Margin",IF(AND($B953&gt;Input!$C$9,Summary!$D$31&lt;&gt;"Included Margin"),0,1),0))</f>
        <v/>
      </c>
      <c r="AB953" s="147" t="str">
        <f>IF($E953="","",IF(AND($B953&gt;Input!$C$9,Summary!$D$31&lt;&gt;"Included Margin"),1,IF(Summary!$D$25="Included Margin",VLOOKUP($B953,'Mortality Margins &amp; Grading'!$AI$5:$AR$125,MATCH('Mortality Margins &amp; Grading'!$AQ$4,'Mortality Margins &amp; Grading'!$AI$4:$AR$4,0),0),1)))</f>
        <v/>
      </c>
      <c r="AC953" s="154"/>
      <c r="AD953" s="158" t="str">
        <f>IF(E953="","",Input!$C$48*IF(Summary!$D$30="Included Margin",IF(AND($B953&gt;Input!$C$9,Summary!$D$31&lt;&gt;"Included Margin"),0,1),0))</f>
        <v/>
      </c>
      <c r="AE953" s="159" t="str">
        <f>IF(E953="","",IF(Summary!$D$26="Included Margin",IF(AND($B953&gt;Input!$C$9,Summary!$D$31&lt;&gt;"Included Margin"),1,1/$R953),1))</f>
        <v/>
      </c>
      <c r="AF953" s="160" t="str">
        <f>IF(E953="","",IF(AND($B953&gt;=Input!$C$9,$C953=12,Summary!$D$31="Included Margin",$U953&gt;0),1/U953-1,IF($B953&gt;=Input!$C$9,0,Input!$C$45*IF(Summary!$D$27="Included Margin",1,0))))</f>
        <v/>
      </c>
      <c r="AG953" s="160" t="str">
        <f>IF(E953="","",Input!$C$46*IF(Summary!$D$28="Included Margin",IF(AND($B953&gt;Input!$C$9,Summary!$D$31&lt;&gt;"Included Margin"),0,1),0))</f>
        <v/>
      </c>
      <c r="AH953" s="158" t="str">
        <f>IF(E953="","",Input!$C$47*IF(Summary!$D$29="Included Margin",IF(AND($B953&gt;Input!$C$9,Summary!$D$31&lt;&gt;"Included Margin"),0,1),0))</f>
        <v/>
      </c>
      <c r="AI953" s="154"/>
      <c r="AJ953" s="158" t="str">
        <f t="shared" si="604"/>
        <v/>
      </c>
      <c r="AK953" s="155" t="str">
        <f t="shared" si="605"/>
        <v/>
      </c>
      <c r="AL953" s="147" t="str">
        <f t="shared" si="606"/>
        <v/>
      </c>
      <c r="AM953" s="147" t="str">
        <f t="shared" si="585"/>
        <v/>
      </c>
      <c r="AN953" s="160" t="str">
        <f t="shared" si="607"/>
        <v/>
      </c>
      <c r="AO953" s="161" t="str">
        <f t="shared" si="608"/>
        <v/>
      </c>
      <c r="AP953" s="156" t="str">
        <f t="shared" si="586"/>
        <v/>
      </c>
      <c r="AQ953" s="152"/>
      <c r="AR953" s="162" t="str">
        <f t="shared" si="587"/>
        <v/>
      </c>
      <c r="AS953" s="150" t="str">
        <f t="shared" si="609"/>
        <v/>
      </c>
      <c r="AT953" s="163" t="str">
        <f t="shared" si="588"/>
        <v/>
      </c>
      <c r="AU953" s="163" t="str">
        <f t="shared" si="589"/>
        <v/>
      </c>
      <c r="AV953" s="163" t="str">
        <f t="shared" si="610"/>
        <v/>
      </c>
      <c r="AW953" s="163" t="str">
        <f t="shared" si="590"/>
        <v/>
      </c>
      <c r="AX953" s="163" t="str">
        <f t="shared" si="591"/>
        <v/>
      </c>
      <c r="AY953" s="164" t="str">
        <f t="shared" si="611"/>
        <v/>
      </c>
      <c r="AZ953" s="164" t="str">
        <f>IF($E953="","",IF(OR(AND($D953=Input!$C$6,$C953=12),$AN953=1),0,-AS954+AT954+AU954-AV954-AW954-AX954+AZ954))</f>
        <v/>
      </c>
      <c r="BA953" s="154" t="str">
        <f t="shared" si="592"/>
        <v/>
      </c>
      <c r="BC953" s="147" t="str">
        <f t="shared" si="612"/>
        <v/>
      </c>
      <c r="BD953" s="164" t="str">
        <f>IF(AND($C952=12,$D952=Input!$C$6),0,IF($E953="","",AT953+(AU953+BD954)/(1+$AK953)*MIN((1-AM953-AN953),1)))</f>
        <v/>
      </c>
      <c r="BE953" s="164" t="str">
        <f t="shared" si="628"/>
        <v/>
      </c>
      <c r="BF953" s="164" t="str">
        <f t="shared" si="613"/>
        <v/>
      </c>
      <c r="BG953" s="164" t="str">
        <f t="shared" si="593"/>
        <v/>
      </c>
      <c r="BH953" s="152"/>
      <c r="BI953" s="162" t="str">
        <f t="shared" si="621"/>
        <v/>
      </c>
      <c r="BJ953" s="150" t="str">
        <f t="shared" si="622"/>
        <v/>
      </c>
      <c r="BK953" s="163" t="str">
        <f t="shared" si="617"/>
        <v/>
      </c>
      <c r="BL953" s="163" t="str">
        <f t="shared" si="623"/>
        <v/>
      </c>
      <c r="BM953" s="163" t="str">
        <f t="shared" si="618"/>
        <v/>
      </c>
      <c r="BN953" s="163" t="str">
        <f t="shared" si="624"/>
        <v/>
      </c>
      <c r="BO953" s="163" t="str">
        <f t="shared" si="625"/>
        <v/>
      </c>
      <c r="BP953" s="164" t="str">
        <f t="shared" si="619"/>
        <v/>
      </c>
      <c r="BQ953" s="164" t="str">
        <f t="shared" si="626"/>
        <v/>
      </c>
      <c r="BR953" s="154" t="str">
        <f t="shared" si="627"/>
        <v/>
      </c>
      <c r="BT953" s="147" t="str">
        <f t="shared" si="600"/>
        <v/>
      </c>
      <c r="BU953" s="164" t="str">
        <f>IF(AND($C952=12,$D952=Input!$C$6),0,IF($E953="","",BK953+(BL953+BU954)/(1+$AK953)*MIN((1-T953-U953),1)))</f>
        <v/>
      </c>
      <c r="BV953" s="164" t="str">
        <f t="shared" si="601"/>
        <v/>
      </c>
      <c r="BW953" s="164" t="str">
        <f t="shared" si="602"/>
        <v/>
      </c>
      <c r="BX953" s="164" t="str">
        <f t="shared" si="603"/>
        <v/>
      </c>
    </row>
    <row r="954" spans="1:76" s="150" customFormat="1" x14ac:dyDescent="0.25">
      <c r="A954" s="150" t="str">
        <f t="shared" si="614"/>
        <v/>
      </c>
      <c r="B954" s="150" t="str">
        <f t="shared" si="615"/>
        <v/>
      </c>
      <c r="C954" s="150" t="str">
        <f t="shared" si="616"/>
        <v/>
      </c>
      <c r="D954" s="150" t="str">
        <f>IF(E954="","",Input!$C$4+B954-1)</f>
        <v/>
      </c>
      <c r="E954" s="150" t="str">
        <f>IF(OR(AND(C953=12,D953=Input!$C$6),E953=""),"",1)</f>
        <v/>
      </c>
      <c r="F954" s="150" t="str">
        <f>IF(E954="","",Input!$C$8+B954-1)</f>
        <v/>
      </c>
      <c r="G954" s="151" t="str">
        <f>IF(E954="","",MAX(0,Input!$C$9-B954))</f>
        <v/>
      </c>
      <c r="H954" s="152" t="str">
        <f>IF(E954="","",Input!$C$3)</f>
        <v/>
      </c>
      <c r="I954" s="153" t="str">
        <f>IF(E954="","",HLOOKUP($B954,Input!$C$13:$BT$14,2))</f>
        <v/>
      </c>
      <c r="J954" s="154"/>
      <c r="K954" s="155" t="str">
        <f>IF($E954="","",INDEX(Input!$C$16:$CP$16,1,$B954))</f>
        <v/>
      </c>
      <c r="L954" s="155" t="str">
        <f>IF($E954="","",Input!$C$37)</f>
        <v/>
      </c>
      <c r="M954" s="155" t="str">
        <f t="shared" si="629"/>
        <v/>
      </c>
      <c r="N954" s="155" t="str">
        <f t="shared" si="630"/>
        <v/>
      </c>
      <c r="O954" s="147" t="str">
        <f>IF($E954="","",MIN(VLOOKUP(IF($B954&lt;=Input!$C$7,$B954,26),'Mortality Tables'!$A$41:$CW$67,IF($B954&lt;=Input!$C$7+1,Input!$C$4+2,$D954-Input!$C$7+2),0)*IF(B954&gt;20,Input!$C$22,1)/1000,1))</f>
        <v/>
      </c>
      <c r="P954" s="147" t="str">
        <f>IF($E954="","",MIN(VLOOKUP(IF($B954&lt;=Input!$C$7,$B954,26),'Mortality Tables'!$A$12:$CW$37,IF($B954&lt;=Input!$C$7+1,Input!$C$4+2,$D954-Input!$C$7+2),0)*IF(B954&gt;20,Input!$C$22,1)/1000,1))</f>
        <v/>
      </c>
      <c r="Q954" s="155" t="str">
        <f>IF($E954="","",Input!$C$21)</f>
        <v/>
      </c>
      <c r="R954" s="159" t="str">
        <f>IF($E954="","",(1-Q954)^($F954-Input!$C$20))</f>
        <v/>
      </c>
      <c r="S954" s="147" t="str">
        <f t="shared" si="583"/>
        <v/>
      </c>
      <c r="T954" s="147" t="str">
        <f t="shared" si="584"/>
        <v/>
      </c>
      <c r="U954" s="160" t="str">
        <f>IF($E954="","",IF($C954=12,INDEX(Input!$C$15:$CP$15,1,$B954),0))</f>
        <v/>
      </c>
      <c r="V954" s="150" t="str">
        <f>IF(E954="","",IF(C954=1,IF($B954=1,Input!$C$33,Input!$C$34),0))</f>
        <v/>
      </c>
      <c r="W954" s="156" t="str">
        <f>IF($E954="","",Input!$C$35)</f>
        <v/>
      </c>
      <c r="X954" s="156" t="str">
        <f t="shared" si="631"/>
        <v/>
      </c>
      <c r="Y954" s="154"/>
      <c r="Z954" s="147" t="str">
        <f>IF($E954="","",VLOOKUP($D954,'Mortality Margins &amp; Grading'!$AB$5:$AF$125,3,0)*IF(Summary!$D$25="Included Margin",IF(AND($B954&gt;Input!$C$9,Summary!$D$31&lt;&gt;"Included Margin"),0,1),0))</f>
        <v/>
      </c>
      <c r="AA954" s="147" t="str">
        <f>IF($E954="","",VLOOKUP($D954,'Mortality Margins &amp; Grading'!$AB$5:$AF$125,5,0)*IF(Summary!$D$25="Included Margin",IF(AND($B954&gt;Input!$C$9,Summary!$D$31&lt;&gt;"Included Margin"),0,1),0))</f>
        <v/>
      </c>
      <c r="AB954" s="147" t="str">
        <f>IF($E954="","",IF(AND($B954&gt;Input!$C$9,Summary!$D$31&lt;&gt;"Included Margin"),1,IF(Summary!$D$25="Included Margin",VLOOKUP($B954,'Mortality Margins &amp; Grading'!$AI$5:$AR$125,MATCH('Mortality Margins &amp; Grading'!$AQ$4,'Mortality Margins &amp; Grading'!$AI$4:$AR$4,0),0),1)))</f>
        <v/>
      </c>
      <c r="AC954" s="154"/>
      <c r="AD954" s="158" t="str">
        <f>IF(E954="","",Input!$C$48*IF(Summary!$D$30="Included Margin",IF(AND($B954&gt;Input!$C$9,Summary!$D$31&lt;&gt;"Included Margin"),0,1),0))</f>
        <v/>
      </c>
      <c r="AE954" s="159" t="str">
        <f>IF(E954="","",IF(Summary!$D$26="Included Margin",IF(AND($B954&gt;Input!$C$9,Summary!$D$31&lt;&gt;"Included Margin"),1,1/$R954),1))</f>
        <v/>
      </c>
      <c r="AF954" s="160" t="str">
        <f>IF(E954="","",IF(AND($B954&gt;=Input!$C$9,$C954=12,Summary!$D$31="Included Margin",$U954&gt;0),1/U954-1,IF($B954&gt;=Input!$C$9,0,Input!$C$45*IF(Summary!$D$27="Included Margin",1,0))))</f>
        <v/>
      </c>
      <c r="AG954" s="160" t="str">
        <f>IF(E954="","",Input!$C$46*IF(Summary!$D$28="Included Margin",IF(AND($B954&gt;Input!$C$9,Summary!$D$31&lt;&gt;"Included Margin"),0,1),0))</f>
        <v/>
      </c>
      <c r="AH954" s="158" t="str">
        <f>IF(E954="","",Input!$C$47*IF(Summary!$D$29="Included Margin",IF(AND($B954&gt;Input!$C$9,Summary!$D$31&lt;&gt;"Included Margin"),0,1),0))</f>
        <v/>
      </c>
      <c r="AI954" s="154"/>
      <c r="AJ954" s="158" t="str">
        <f t="shared" si="604"/>
        <v/>
      </c>
      <c r="AK954" s="155" t="str">
        <f t="shared" si="605"/>
        <v/>
      </c>
      <c r="AL954" s="147" t="str">
        <f t="shared" si="606"/>
        <v/>
      </c>
      <c r="AM954" s="147" t="str">
        <f t="shared" si="585"/>
        <v/>
      </c>
      <c r="AN954" s="160" t="str">
        <f t="shared" si="607"/>
        <v/>
      </c>
      <c r="AO954" s="161" t="str">
        <f t="shared" si="608"/>
        <v/>
      </c>
      <c r="AP954" s="156" t="str">
        <f t="shared" si="586"/>
        <v/>
      </c>
      <c r="AQ954" s="152"/>
      <c r="AR954" s="162" t="str">
        <f t="shared" si="587"/>
        <v/>
      </c>
      <c r="AS954" s="150" t="str">
        <f t="shared" si="609"/>
        <v/>
      </c>
      <c r="AT954" s="163" t="str">
        <f t="shared" si="588"/>
        <v/>
      </c>
      <c r="AU954" s="163" t="str">
        <f t="shared" si="589"/>
        <v/>
      </c>
      <c r="AV954" s="163" t="str">
        <f t="shared" si="610"/>
        <v/>
      </c>
      <c r="AW954" s="163" t="str">
        <f t="shared" si="590"/>
        <v/>
      </c>
      <c r="AX954" s="163" t="str">
        <f t="shared" si="591"/>
        <v/>
      </c>
      <c r="AY954" s="165" t="str">
        <f t="shared" si="611"/>
        <v/>
      </c>
      <c r="AZ954" s="164" t="str">
        <f>IF($E954="","",IF(OR(AND($D954=Input!$C$6,$C954=12),$AN954=1),0,-AS955+AT955+AU955-AV955-AW955-AX955+AZ955))</f>
        <v/>
      </c>
      <c r="BA954" s="154" t="str">
        <f t="shared" si="592"/>
        <v/>
      </c>
      <c r="BC954" s="147" t="str">
        <f t="shared" si="612"/>
        <v/>
      </c>
      <c r="BD954" s="164" t="str">
        <f>IF(AND($C953=12,$D953=Input!$C$6),0,IF($E954="","",AT954+(AU954+BD955)/(1+$AK954)*MIN((1-AM954-AN954),1)))</f>
        <v/>
      </c>
      <c r="BE954" s="164" t="str">
        <f t="shared" si="628"/>
        <v/>
      </c>
      <c r="BF954" s="164" t="str">
        <f t="shared" si="613"/>
        <v/>
      </c>
      <c r="BG954" s="164" t="str">
        <f t="shared" si="593"/>
        <v/>
      </c>
      <c r="BH954" s="152"/>
      <c r="BI954" s="162" t="str">
        <f t="shared" si="621"/>
        <v/>
      </c>
      <c r="BJ954" s="150" t="str">
        <f t="shared" si="622"/>
        <v/>
      </c>
      <c r="BK954" s="163" t="str">
        <f t="shared" si="617"/>
        <v/>
      </c>
      <c r="BL954" s="163" t="str">
        <f t="shared" si="623"/>
        <v/>
      </c>
      <c r="BM954" s="163" t="str">
        <f t="shared" si="618"/>
        <v/>
      </c>
      <c r="BN954" s="163" t="str">
        <f t="shared" si="624"/>
        <v/>
      </c>
      <c r="BO954" s="163" t="str">
        <f t="shared" si="625"/>
        <v/>
      </c>
      <c r="BP954" s="164" t="str">
        <f t="shared" si="619"/>
        <v/>
      </c>
      <c r="BQ954" s="164" t="str">
        <f t="shared" si="626"/>
        <v/>
      </c>
      <c r="BR954" s="154" t="str">
        <f t="shared" si="627"/>
        <v/>
      </c>
      <c r="BT954" s="147" t="str">
        <f t="shared" si="600"/>
        <v/>
      </c>
      <c r="BU954" s="164" t="str">
        <f>IF(AND($C953=12,$D953=Input!$C$6),0,IF($E954="","",BK954+(BL954+BU955)/(1+$AK954)*MIN((1-T954-U954),1)))</f>
        <v/>
      </c>
      <c r="BV954" s="164" t="str">
        <f t="shared" si="601"/>
        <v/>
      </c>
      <c r="BW954" s="164" t="str">
        <f t="shared" si="602"/>
        <v/>
      </c>
      <c r="BX954" s="164" t="str">
        <f t="shared" si="603"/>
        <v/>
      </c>
    </row>
    <row r="955" spans="1:76" s="150" customFormat="1" x14ac:dyDescent="0.25">
      <c r="A955" s="150" t="str">
        <f t="shared" si="614"/>
        <v/>
      </c>
      <c r="B955" s="150" t="str">
        <f t="shared" si="615"/>
        <v/>
      </c>
      <c r="C955" s="150" t="str">
        <f t="shared" si="616"/>
        <v/>
      </c>
      <c r="D955" s="150" t="str">
        <f>IF(E955="","",Input!$C$4+B955-1)</f>
        <v/>
      </c>
      <c r="E955" s="150" t="str">
        <f>IF(OR(AND(C954=12,D954=Input!$C$6),E954=""),"",1)</f>
        <v/>
      </c>
      <c r="F955" s="150" t="str">
        <f>IF(E955="","",Input!$C$8+B955-1)</f>
        <v/>
      </c>
      <c r="G955" s="151" t="str">
        <f>IF(E955="","",MAX(0,Input!$C$9-B955))</f>
        <v/>
      </c>
      <c r="H955" s="152" t="str">
        <f>IF(E955="","",Input!$C$3)</f>
        <v/>
      </c>
      <c r="I955" s="153" t="str">
        <f>IF(E955="","",HLOOKUP($B955,Input!$C$13:$BT$14,2))</f>
        <v/>
      </c>
      <c r="J955" s="154"/>
      <c r="K955" s="155" t="str">
        <f>IF($E955="","",INDEX(Input!$C$16:$CP$16,1,$B955))</f>
        <v/>
      </c>
      <c r="L955" s="155" t="str">
        <f>IF($E955="","",Input!$C$37)</f>
        <v/>
      </c>
      <c r="M955" s="155" t="str">
        <f t="shared" si="629"/>
        <v/>
      </c>
      <c r="N955" s="155" t="str">
        <f t="shared" si="630"/>
        <v/>
      </c>
      <c r="O955" s="147" t="str">
        <f>IF($E955="","",MIN(VLOOKUP(IF($B955&lt;=Input!$C$7,$B955,26),'Mortality Tables'!$A$41:$CW$67,IF($B955&lt;=Input!$C$7+1,Input!$C$4+2,$D955-Input!$C$7+2),0)*IF(B955&gt;20,Input!$C$22,1)/1000,1))</f>
        <v/>
      </c>
      <c r="P955" s="147" t="str">
        <f>IF($E955="","",MIN(VLOOKUP(IF($B955&lt;=Input!$C$7,$B955,26),'Mortality Tables'!$A$12:$CW$37,IF($B955&lt;=Input!$C$7+1,Input!$C$4+2,$D955-Input!$C$7+2),0)*IF(B955&gt;20,Input!$C$22,1)/1000,1))</f>
        <v/>
      </c>
      <c r="Q955" s="155" t="str">
        <f>IF($E955="","",Input!$C$21)</f>
        <v/>
      </c>
      <c r="R955" s="159" t="str">
        <f>IF($E955="","",(1-Q955)^($F955-Input!$C$20))</f>
        <v/>
      </c>
      <c r="S955" s="147" t="str">
        <f t="shared" si="583"/>
        <v/>
      </c>
      <c r="T955" s="147" t="str">
        <f t="shared" si="584"/>
        <v/>
      </c>
      <c r="U955" s="160" t="str">
        <f>IF($E955="","",IF($C955=12,INDEX(Input!$C$15:$CP$15,1,$B955),0))</f>
        <v/>
      </c>
      <c r="V955" s="150" t="str">
        <f>IF(E955="","",IF(C955=1,IF($B955=1,Input!$C$33,Input!$C$34),0))</f>
        <v/>
      </c>
      <c r="W955" s="156" t="str">
        <f>IF($E955="","",Input!$C$35)</f>
        <v/>
      </c>
      <c r="X955" s="156" t="str">
        <f t="shared" si="631"/>
        <v/>
      </c>
      <c r="Y955" s="154"/>
      <c r="Z955" s="147" t="str">
        <f>IF($E955="","",VLOOKUP($D955,'Mortality Margins &amp; Grading'!$AB$5:$AF$125,3,0)*IF(Summary!$D$25="Included Margin",IF(AND($B955&gt;Input!$C$9,Summary!$D$31&lt;&gt;"Included Margin"),0,1),0))</f>
        <v/>
      </c>
      <c r="AA955" s="147" t="str">
        <f>IF($E955="","",VLOOKUP($D955,'Mortality Margins &amp; Grading'!$AB$5:$AF$125,5,0)*IF(Summary!$D$25="Included Margin",IF(AND($B955&gt;Input!$C$9,Summary!$D$31&lt;&gt;"Included Margin"),0,1),0))</f>
        <v/>
      </c>
      <c r="AB955" s="147" t="str">
        <f>IF($E955="","",IF(AND($B955&gt;Input!$C$9,Summary!$D$31&lt;&gt;"Included Margin"),1,IF(Summary!$D$25="Included Margin",VLOOKUP($B955,'Mortality Margins &amp; Grading'!$AI$5:$AR$125,MATCH('Mortality Margins &amp; Grading'!$AQ$4,'Mortality Margins &amp; Grading'!$AI$4:$AR$4,0),0),1)))</f>
        <v/>
      </c>
      <c r="AC955" s="154"/>
      <c r="AD955" s="158" t="str">
        <f>IF(E955="","",Input!$C$48*IF(Summary!$D$30="Included Margin",IF(AND($B955&gt;Input!$C$9,Summary!$D$31&lt;&gt;"Included Margin"),0,1),0))</f>
        <v/>
      </c>
      <c r="AE955" s="159" t="str">
        <f>IF(E955="","",IF(Summary!$D$26="Included Margin",IF(AND($B955&gt;Input!$C$9,Summary!$D$31&lt;&gt;"Included Margin"),1,1/$R955),1))</f>
        <v/>
      </c>
      <c r="AF955" s="160" t="str">
        <f>IF(E955="","",IF(AND($B955&gt;=Input!$C$9,$C955=12,Summary!$D$31="Included Margin",$U955&gt;0),1/U955-1,IF($B955&gt;=Input!$C$9,0,Input!$C$45*IF(Summary!$D$27="Included Margin",1,0))))</f>
        <v/>
      </c>
      <c r="AG955" s="160" t="str">
        <f>IF(E955="","",Input!$C$46*IF(Summary!$D$28="Included Margin",IF(AND($B955&gt;Input!$C$9,Summary!$D$31&lt;&gt;"Included Margin"),0,1),0))</f>
        <v/>
      </c>
      <c r="AH955" s="158" t="str">
        <f>IF(E955="","",Input!$C$47*IF(Summary!$D$29="Included Margin",IF(AND($B955&gt;Input!$C$9,Summary!$D$31&lt;&gt;"Included Margin"),0,1),0))</f>
        <v/>
      </c>
      <c r="AI955" s="154"/>
      <c r="AJ955" s="158" t="str">
        <f t="shared" si="604"/>
        <v/>
      </c>
      <c r="AK955" s="155" t="str">
        <f t="shared" si="605"/>
        <v/>
      </c>
      <c r="AL955" s="147" t="str">
        <f t="shared" si="606"/>
        <v/>
      </c>
      <c r="AM955" s="147" t="str">
        <f t="shared" si="585"/>
        <v/>
      </c>
      <c r="AN955" s="160" t="str">
        <f t="shared" si="607"/>
        <v/>
      </c>
      <c r="AO955" s="161" t="str">
        <f t="shared" si="608"/>
        <v/>
      </c>
      <c r="AP955" s="156" t="str">
        <f t="shared" si="586"/>
        <v/>
      </c>
      <c r="AQ955" s="152"/>
      <c r="AR955" s="162" t="str">
        <f t="shared" si="587"/>
        <v/>
      </c>
      <c r="AS955" s="150" t="str">
        <f t="shared" si="609"/>
        <v/>
      </c>
      <c r="AT955" s="163" t="str">
        <f t="shared" si="588"/>
        <v/>
      </c>
      <c r="AU955" s="163" t="str">
        <f t="shared" si="589"/>
        <v/>
      </c>
      <c r="AV955" s="163" t="str">
        <f t="shared" si="610"/>
        <v/>
      </c>
      <c r="AW955" s="163" t="str">
        <f t="shared" si="590"/>
        <v/>
      </c>
      <c r="AX955" s="163" t="str">
        <f t="shared" si="591"/>
        <v/>
      </c>
      <c r="AY955" s="164" t="str">
        <f t="shared" si="611"/>
        <v/>
      </c>
      <c r="AZ955" s="164" t="str">
        <f>IF($E955="","",IF(OR(AND($D955=Input!$C$6,$C955=12),$AN955=1),0,-AS956+AT956+AU956-AV956-AW956-AX956+AZ956))</f>
        <v/>
      </c>
      <c r="BA955" s="154" t="str">
        <f t="shared" si="592"/>
        <v/>
      </c>
      <c r="BC955" s="147" t="str">
        <f t="shared" si="612"/>
        <v/>
      </c>
      <c r="BD955" s="164" t="str">
        <f>IF(AND($C954=12,$D954=Input!$C$6),0,IF($E955="","",AT955+(AU955+BD956)/(1+$AK955)*MIN((1-AM955-AN955),1)))</f>
        <v/>
      </c>
      <c r="BE955" s="164" t="str">
        <f t="shared" si="628"/>
        <v/>
      </c>
      <c r="BF955" s="164" t="str">
        <f t="shared" si="613"/>
        <v/>
      </c>
      <c r="BG955" s="164" t="str">
        <f t="shared" si="593"/>
        <v/>
      </c>
      <c r="BH955" s="152"/>
      <c r="BI955" s="162" t="str">
        <f t="shared" si="621"/>
        <v/>
      </c>
      <c r="BJ955" s="150" t="str">
        <f t="shared" si="622"/>
        <v/>
      </c>
      <c r="BK955" s="163" t="str">
        <f t="shared" si="617"/>
        <v/>
      </c>
      <c r="BL955" s="163" t="str">
        <f t="shared" si="623"/>
        <v/>
      </c>
      <c r="BM955" s="163" t="str">
        <f t="shared" si="618"/>
        <v/>
      </c>
      <c r="BN955" s="163" t="str">
        <f t="shared" si="624"/>
        <v/>
      </c>
      <c r="BO955" s="163" t="str">
        <f t="shared" si="625"/>
        <v/>
      </c>
      <c r="BP955" s="164" t="str">
        <f t="shared" si="619"/>
        <v/>
      </c>
      <c r="BQ955" s="164" t="str">
        <f t="shared" si="626"/>
        <v/>
      </c>
      <c r="BR955" s="154" t="str">
        <f t="shared" si="627"/>
        <v/>
      </c>
      <c r="BT955" s="147" t="str">
        <f t="shared" si="600"/>
        <v/>
      </c>
      <c r="BU955" s="164" t="str">
        <f>IF(AND($C954=12,$D954=Input!$C$6),0,IF($E955="","",BK955+(BL955+BU956)/(1+$AK955)*MIN((1-T955-U955),1)))</f>
        <v/>
      </c>
      <c r="BV955" s="164" t="str">
        <f t="shared" si="601"/>
        <v/>
      </c>
      <c r="BW955" s="164" t="str">
        <f t="shared" si="602"/>
        <v/>
      </c>
      <c r="BX955" s="164" t="str">
        <f t="shared" si="603"/>
        <v/>
      </c>
    </row>
    <row r="956" spans="1:76" s="150" customFormat="1" x14ac:dyDescent="0.25">
      <c r="A956" s="150" t="str">
        <f t="shared" si="614"/>
        <v/>
      </c>
      <c r="B956" s="150" t="str">
        <f t="shared" si="615"/>
        <v/>
      </c>
      <c r="C956" s="150" t="str">
        <f t="shared" si="616"/>
        <v/>
      </c>
      <c r="D956" s="150" t="str">
        <f>IF(E956="","",Input!$C$4+B956-1)</f>
        <v/>
      </c>
      <c r="E956" s="150" t="str">
        <f>IF(OR(AND(C955=12,D955=Input!$C$6),E955=""),"",1)</f>
        <v/>
      </c>
      <c r="F956" s="150" t="str">
        <f>IF(E956="","",Input!$C$8+B956-1)</f>
        <v/>
      </c>
      <c r="G956" s="151" t="str">
        <f>IF(E956="","",MAX(0,Input!$C$9-B956))</f>
        <v/>
      </c>
      <c r="H956" s="152" t="str">
        <f>IF(E956="","",Input!$C$3)</f>
        <v/>
      </c>
      <c r="I956" s="153" t="str">
        <f>IF(E956="","",HLOOKUP($B956,Input!$C$13:$BT$14,2))</f>
        <v/>
      </c>
      <c r="J956" s="154"/>
      <c r="K956" s="155" t="str">
        <f>IF($E956="","",INDEX(Input!$C$16:$CP$16,1,$B956))</f>
        <v/>
      </c>
      <c r="L956" s="155" t="str">
        <f>IF($E956="","",Input!$C$37)</f>
        <v/>
      </c>
      <c r="M956" s="155" t="str">
        <f t="shared" si="629"/>
        <v/>
      </c>
      <c r="N956" s="155" t="str">
        <f t="shared" si="630"/>
        <v/>
      </c>
      <c r="O956" s="147" t="str">
        <f>IF($E956="","",MIN(VLOOKUP(IF($B956&lt;=Input!$C$7,$B956,26),'Mortality Tables'!$A$41:$CW$67,IF($B956&lt;=Input!$C$7+1,Input!$C$4+2,$D956-Input!$C$7+2),0)*IF(B956&gt;20,Input!$C$22,1)/1000,1))</f>
        <v/>
      </c>
      <c r="P956" s="147" t="str">
        <f>IF($E956="","",MIN(VLOOKUP(IF($B956&lt;=Input!$C$7,$B956,26),'Mortality Tables'!$A$12:$CW$37,IF($B956&lt;=Input!$C$7+1,Input!$C$4+2,$D956-Input!$C$7+2),0)*IF(B956&gt;20,Input!$C$22,1)/1000,1))</f>
        <v/>
      </c>
      <c r="Q956" s="155" t="str">
        <f>IF($E956="","",Input!$C$21)</f>
        <v/>
      </c>
      <c r="R956" s="159" t="str">
        <f>IF($E956="","",(1-Q956)^($F956-Input!$C$20))</f>
        <v/>
      </c>
      <c r="S956" s="147" t="str">
        <f t="shared" si="583"/>
        <v/>
      </c>
      <c r="T956" s="147" t="str">
        <f t="shared" si="584"/>
        <v/>
      </c>
      <c r="U956" s="160" t="str">
        <f>IF($E956="","",IF($C956=12,INDEX(Input!$C$15:$CP$15,1,$B956),0))</f>
        <v/>
      </c>
      <c r="V956" s="150" t="str">
        <f>IF(E956="","",IF(C956=1,IF($B956=1,Input!$C$33,Input!$C$34),0))</f>
        <v/>
      </c>
      <c r="W956" s="156" t="str">
        <f>IF($E956="","",Input!$C$35)</f>
        <v/>
      </c>
      <c r="X956" s="156" t="str">
        <f t="shared" si="631"/>
        <v/>
      </c>
      <c r="Y956" s="154"/>
      <c r="Z956" s="147" t="str">
        <f>IF($E956="","",VLOOKUP($D956,'Mortality Margins &amp; Grading'!$AB$5:$AF$125,3,0)*IF(Summary!$D$25="Included Margin",IF(AND($B956&gt;Input!$C$9,Summary!$D$31&lt;&gt;"Included Margin"),0,1),0))</f>
        <v/>
      </c>
      <c r="AA956" s="147" t="str">
        <f>IF($E956="","",VLOOKUP($D956,'Mortality Margins &amp; Grading'!$AB$5:$AF$125,5,0)*IF(Summary!$D$25="Included Margin",IF(AND($B956&gt;Input!$C$9,Summary!$D$31&lt;&gt;"Included Margin"),0,1),0))</f>
        <v/>
      </c>
      <c r="AB956" s="147" t="str">
        <f>IF($E956="","",IF(AND($B956&gt;Input!$C$9,Summary!$D$31&lt;&gt;"Included Margin"),1,IF(Summary!$D$25="Included Margin",VLOOKUP($B956,'Mortality Margins &amp; Grading'!$AI$5:$AR$125,MATCH('Mortality Margins &amp; Grading'!$AQ$4,'Mortality Margins &amp; Grading'!$AI$4:$AR$4,0),0),1)))</f>
        <v/>
      </c>
      <c r="AC956" s="154"/>
      <c r="AD956" s="158" t="str">
        <f>IF(E956="","",Input!$C$48*IF(Summary!$D$30="Included Margin",IF(AND($B956&gt;Input!$C$9,Summary!$D$31&lt;&gt;"Included Margin"),0,1),0))</f>
        <v/>
      </c>
      <c r="AE956" s="159" t="str">
        <f>IF(E956="","",IF(Summary!$D$26="Included Margin",IF(AND($B956&gt;Input!$C$9,Summary!$D$31&lt;&gt;"Included Margin"),1,1/$R956),1))</f>
        <v/>
      </c>
      <c r="AF956" s="160" t="str">
        <f>IF(E956="","",IF(AND($B956&gt;=Input!$C$9,$C956=12,Summary!$D$31="Included Margin",$U956&gt;0),1/U956-1,IF($B956&gt;=Input!$C$9,0,Input!$C$45*IF(Summary!$D$27="Included Margin",1,0))))</f>
        <v/>
      </c>
      <c r="AG956" s="160" t="str">
        <f>IF(E956="","",Input!$C$46*IF(Summary!$D$28="Included Margin",IF(AND($B956&gt;Input!$C$9,Summary!$D$31&lt;&gt;"Included Margin"),0,1),0))</f>
        <v/>
      </c>
      <c r="AH956" s="158" t="str">
        <f>IF(E956="","",Input!$C$47*IF(Summary!$D$29="Included Margin",IF(AND($B956&gt;Input!$C$9,Summary!$D$31&lt;&gt;"Included Margin"),0,1),0))</f>
        <v/>
      </c>
      <c r="AI956" s="154"/>
      <c r="AJ956" s="158" t="str">
        <f t="shared" si="604"/>
        <v/>
      </c>
      <c r="AK956" s="155" t="str">
        <f t="shared" si="605"/>
        <v/>
      </c>
      <c r="AL956" s="147" t="str">
        <f t="shared" si="606"/>
        <v/>
      </c>
      <c r="AM956" s="147" t="str">
        <f t="shared" si="585"/>
        <v/>
      </c>
      <c r="AN956" s="160" t="str">
        <f t="shared" si="607"/>
        <v/>
      </c>
      <c r="AO956" s="161" t="str">
        <f t="shared" si="608"/>
        <v/>
      </c>
      <c r="AP956" s="156" t="str">
        <f t="shared" si="586"/>
        <v/>
      </c>
      <c r="AQ956" s="152"/>
      <c r="AR956" s="162" t="str">
        <f t="shared" si="587"/>
        <v/>
      </c>
      <c r="AS956" s="150" t="str">
        <f t="shared" si="609"/>
        <v/>
      </c>
      <c r="AT956" s="163" t="str">
        <f t="shared" si="588"/>
        <v/>
      </c>
      <c r="AU956" s="163" t="str">
        <f t="shared" si="589"/>
        <v/>
      </c>
      <c r="AV956" s="163" t="str">
        <f t="shared" si="610"/>
        <v/>
      </c>
      <c r="AW956" s="163" t="str">
        <f t="shared" si="590"/>
        <v/>
      </c>
      <c r="AX956" s="163" t="str">
        <f t="shared" si="591"/>
        <v/>
      </c>
      <c r="AY956" s="165" t="str">
        <f t="shared" si="611"/>
        <v/>
      </c>
      <c r="AZ956" s="164" t="str">
        <f>IF($E956="","",IF(OR(AND($D956=Input!$C$6,$C956=12),$AN956=1),0,-AS957+AT957+AU957-AV957-AW957-AX957+AZ957))</f>
        <v/>
      </c>
      <c r="BA956" s="154" t="str">
        <f t="shared" si="592"/>
        <v/>
      </c>
      <c r="BC956" s="147" t="str">
        <f t="shared" si="612"/>
        <v/>
      </c>
      <c r="BD956" s="164" t="str">
        <f>IF(AND($C955=12,$D955=Input!$C$6),0,IF($E956="","",AT956+(AU956+BD957)/(1+$AK956)*MIN((1-AM956-AN956),1)))</f>
        <v/>
      </c>
      <c r="BE956" s="164" t="str">
        <f t="shared" si="628"/>
        <v/>
      </c>
      <c r="BF956" s="164" t="str">
        <f t="shared" si="613"/>
        <v/>
      </c>
      <c r="BG956" s="164" t="str">
        <f t="shared" si="593"/>
        <v/>
      </c>
      <c r="BH956" s="152"/>
      <c r="BI956" s="162" t="str">
        <f t="shared" si="621"/>
        <v/>
      </c>
      <c r="BJ956" s="150" t="str">
        <f t="shared" si="622"/>
        <v/>
      </c>
      <c r="BK956" s="163" t="str">
        <f t="shared" si="617"/>
        <v/>
      </c>
      <c r="BL956" s="163" t="str">
        <f t="shared" si="623"/>
        <v/>
      </c>
      <c r="BM956" s="163" t="str">
        <f t="shared" si="618"/>
        <v/>
      </c>
      <c r="BN956" s="163" t="str">
        <f t="shared" si="624"/>
        <v/>
      </c>
      <c r="BO956" s="163" t="str">
        <f t="shared" si="625"/>
        <v/>
      </c>
      <c r="BP956" s="164" t="str">
        <f t="shared" si="619"/>
        <v/>
      </c>
      <c r="BQ956" s="164" t="str">
        <f t="shared" si="626"/>
        <v/>
      </c>
      <c r="BR956" s="154" t="str">
        <f t="shared" si="627"/>
        <v/>
      </c>
      <c r="BT956" s="147" t="str">
        <f t="shared" si="600"/>
        <v/>
      </c>
      <c r="BU956" s="164" t="str">
        <f>IF(AND($C955=12,$D955=Input!$C$6),0,IF($E956="","",BK956+(BL956+BU957)/(1+$AK956)*MIN((1-T956-U956),1)))</f>
        <v/>
      </c>
      <c r="BV956" s="164" t="str">
        <f t="shared" si="601"/>
        <v/>
      </c>
      <c r="BW956" s="164" t="str">
        <f t="shared" si="602"/>
        <v/>
      </c>
      <c r="BX956" s="164" t="str">
        <f t="shared" si="603"/>
        <v/>
      </c>
    </row>
    <row r="957" spans="1:76" s="150" customFormat="1" x14ac:dyDescent="0.25">
      <c r="A957" s="150" t="str">
        <f t="shared" si="614"/>
        <v/>
      </c>
      <c r="B957" s="150" t="str">
        <f t="shared" si="615"/>
        <v/>
      </c>
      <c r="C957" s="150" t="str">
        <f t="shared" si="616"/>
        <v/>
      </c>
      <c r="D957" s="150" t="str">
        <f>IF(E957="","",Input!$C$4+B957-1)</f>
        <v/>
      </c>
      <c r="E957" s="150" t="str">
        <f>IF(OR(AND(C956=12,D956=Input!$C$6),E956=""),"",1)</f>
        <v/>
      </c>
      <c r="F957" s="150" t="str">
        <f>IF(E957="","",Input!$C$8+B957-1)</f>
        <v/>
      </c>
      <c r="G957" s="151" t="str">
        <f>IF(E957="","",MAX(0,Input!$C$9-B957))</f>
        <v/>
      </c>
      <c r="H957" s="152" t="str">
        <f>IF(E957="","",Input!$C$3)</f>
        <v/>
      </c>
      <c r="I957" s="153" t="str">
        <f>IF(E957="","",HLOOKUP($B957,Input!$C$13:$BT$14,2))</f>
        <v/>
      </c>
      <c r="J957" s="154"/>
      <c r="K957" s="155" t="str">
        <f>IF($E957="","",INDEX(Input!$C$16:$CP$16,1,$B957))</f>
        <v/>
      </c>
      <c r="L957" s="155" t="str">
        <f>IF($E957="","",Input!$C$37)</f>
        <v/>
      </c>
      <c r="M957" s="155" t="str">
        <f t="shared" si="629"/>
        <v/>
      </c>
      <c r="N957" s="155" t="str">
        <f t="shared" si="630"/>
        <v/>
      </c>
      <c r="O957" s="147" t="str">
        <f>IF($E957="","",MIN(VLOOKUP(IF($B957&lt;=Input!$C$7,$B957,26),'Mortality Tables'!$A$41:$CW$67,IF($B957&lt;=Input!$C$7+1,Input!$C$4+2,$D957-Input!$C$7+2),0)*IF(B957&gt;20,Input!$C$22,1)/1000,1))</f>
        <v/>
      </c>
      <c r="P957" s="147" t="str">
        <f>IF($E957="","",MIN(VLOOKUP(IF($B957&lt;=Input!$C$7,$B957,26),'Mortality Tables'!$A$12:$CW$37,IF($B957&lt;=Input!$C$7+1,Input!$C$4+2,$D957-Input!$C$7+2),0)*IF(B957&gt;20,Input!$C$22,1)/1000,1))</f>
        <v/>
      </c>
      <c r="Q957" s="155" t="str">
        <f>IF($E957="","",Input!$C$21)</f>
        <v/>
      </c>
      <c r="R957" s="159" t="str">
        <f>IF($E957="","",(1-Q957)^($F957-Input!$C$20))</f>
        <v/>
      </c>
      <c r="S957" s="147" t="str">
        <f t="shared" si="583"/>
        <v/>
      </c>
      <c r="T957" s="147" t="str">
        <f t="shared" si="584"/>
        <v/>
      </c>
      <c r="U957" s="160" t="str">
        <f>IF($E957="","",IF($C957=12,INDEX(Input!$C$15:$CP$15,1,$B957),0))</f>
        <v/>
      </c>
      <c r="V957" s="150" t="str">
        <f>IF(E957="","",IF(C957=1,IF($B957=1,Input!$C$33,Input!$C$34),0))</f>
        <v/>
      </c>
      <c r="W957" s="156" t="str">
        <f>IF($E957="","",Input!$C$35)</f>
        <v/>
      </c>
      <c r="X957" s="156" t="str">
        <f t="shared" si="631"/>
        <v/>
      </c>
      <c r="Y957" s="154"/>
      <c r="Z957" s="147" t="str">
        <f>IF($E957="","",VLOOKUP($D957,'Mortality Margins &amp; Grading'!$AB$5:$AF$125,3,0)*IF(Summary!$D$25="Included Margin",IF(AND($B957&gt;Input!$C$9,Summary!$D$31&lt;&gt;"Included Margin"),0,1),0))</f>
        <v/>
      </c>
      <c r="AA957" s="147" t="str">
        <f>IF($E957="","",VLOOKUP($D957,'Mortality Margins &amp; Grading'!$AB$5:$AF$125,5,0)*IF(Summary!$D$25="Included Margin",IF(AND($B957&gt;Input!$C$9,Summary!$D$31&lt;&gt;"Included Margin"),0,1),0))</f>
        <v/>
      </c>
      <c r="AB957" s="147" t="str">
        <f>IF($E957="","",IF(AND($B957&gt;Input!$C$9,Summary!$D$31&lt;&gt;"Included Margin"),1,IF(Summary!$D$25="Included Margin",VLOOKUP($B957,'Mortality Margins &amp; Grading'!$AI$5:$AR$125,MATCH('Mortality Margins &amp; Grading'!$AQ$4,'Mortality Margins &amp; Grading'!$AI$4:$AR$4,0),0),1)))</f>
        <v/>
      </c>
      <c r="AC957" s="154"/>
      <c r="AD957" s="158" t="str">
        <f>IF(E957="","",Input!$C$48*IF(Summary!$D$30="Included Margin",IF(AND($B957&gt;Input!$C$9,Summary!$D$31&lt;&gt;"Included Margin"),0,1),0))</f>
        <v/>
      </c>
      <c r="AE957" s="159" t="str">
        <f>IF(E957="","",IF(Summary!$D$26="Included Margin",IF(AND($B957&gt;Input!$C$9,Summary!$D$31&lt;&gt;"Included Margin"),1,1/$R957),1))</f>
        <v/>
      </c>
      <c r="AF957" s="160" t="str">
        <f>IF(E957="","",IF(AND($B957&gt;=Input!$C$9,$C957=12,Summary!$D$31="Included Margin",$U957&gt;0),1/U957-1,IF($B957&gt;=Input!$C$9,0,Input!$C$45*IF(Summary!$D$27="Included Margin",1,0))))</f>
        <v/>
      </c>
      <c r="AG957" s="160" t="str">
        <f>IF(E957="","",Input!$C$46*IF(Summary!$D$28="Included Margin",IF(AND($B957&gt;Input!$C$9,Summary!$D$31&lt;&gt;"Included Margin"),0,1),0))</f>
        <v/>
      </c>
      <c r="AH957" s="158" t="str">
        <f>IF(E957="","",Input!$C$47*IF(Summary!$D$29="Included Margin",IF(AND($B957&gt;Input!$C$9,Summary!$D$31&lt;&gt;"Included Margin"),0,1),0))</f>
        <v/>
      </c>
      <c r="AI957" s="154"/>
      <c r="AJ957" s="158" t="str">
        <f t="shared" si="604"/>
        <v/>
      </c>
      <c r="AK957" s="155" t="str">
        <f t="shared" si="605"/>
        <v/>
      </c>
      <c r="AL957" s="147" t="str">
        <f t="shared" si="606"/>
        <v/>
      </c>
      <c r="AM957" s="147" t="str">
        <f t="shared" si="585"/>
        <v/>
      </c>
      <c r="AN957" s="160" t="str">
        <f t="shared" si="607"/>
        <v/>
      </c>
      <c r="AO957" s="161" t="str">
        <f t="shared" si="608"/>
        <v/>
      </c>
      <c r="AP957" s="156" t="str">
        <f t="shared" si="586"/>
        <v/>
      </c>
      <c r="AQ957" s="152"/>
      <c r="AR957" s="162" t="str">
        <f t="shared" si="587"/>
        <v/>
      </c>
      <c r="AS957" s="150" t="str">
        <f t="shared" si="609"/>
        <v/>
      </c>
      <c r="AT957" s="163" t="str">
        <f t="shared" si="588"/>
        <v/>
      </c>
      <c r="AU957" s="163" t="str">
        <f t="shared" si="589"/>
        <v/>
      </c>
      <c r="AV957" s="163" t="str">
        <f t="shared" si="610"/>
        <v/>
      </c>
      <c r="AW957" s="163" t="str">
        <f t="shared" si="590"/>
        <v/>
      </c>
      <c r="AX957" s="163" t="str">
        <f t="shared" si="591"/>
        <v/>
      </c>
      <c r="AY957" s="164" t="str">
        <f t="shared" si="611"/>
        <v/>
      </c>
      <c r="AZ957" s="164" t="str">
        <f>IF($E957="","",IF(OR(AND($D957=Input!$C$6,$C957=12),$AN957=1),0,-AS958+AT958+AU958-AV958-AW958-AX958+AZ958))</f>
        <v/>
      </c>
      <c r="BA957" s="154" t="str">
        <f t="shared" si="592"/>
        <v/>
      </c>
      <c r="BC957" s="147" t="str">
        <f t="shared" si="612"/>
        <v/>
      </c>
      <c r="BD957" s="164" t="str">
        <f>IF(AND($C956=12,$D956=Input!$C$6),0,IF($E957="","",AT957+(AU957+BD958)/(1+$AK957)*MIN((1-AM957-AN957),1)))</f>
        <v/>
      </c>
      <c r="BE957" s="164" t="str">
        <f t="shared" si="628"/>
        <v/>
      </c>
      <c r="BF957" s="164" t="str">
        <f t="shared" si="613"/>
        <v/>
      </c>
      <c r="BG957" s="164" t="str">
        <f t="shared" si="593"/>
        <v/>
      </c>
      <c r="BH957" s="152"/>
      <c r="BI957" s="162" t="str">
        <f t="shared" si="621"/>
        <v/>
      </c>
      <c r="BJ957" s="150" t="str">
        <f t="shared" si="622"/>
        <v/>
      </c>
      <c r="BK957" s="163" t="str">
        <f t="shared" si="617"/>
        <v/>
      </c>
      <c r="BL957" s="163" t="str">
        <f t="shared" si="623"/>
        <v/>
      </c>
      <c r="BM957" s="163" t="str">
        <f t="shared" si="618"/>
        <v/>
      </c>
      <c r="BN957" s="163" t="str">
        <f t="shared" si="624"/>
        <v/>
      </c>
      <c r="BO957" s="163" t="str">
        <f t="shared" si="625"/>
        <v/>
      </c>
      <c r="BP957" s="164" t="str">
        <f t="shared" si="619"/>
        <v/>
      </c>
      <c r="BQ957" s="164" t="str">
        <f t="shared" si="626"/>
        <v/>
      </c>
      <c r="BR957" s="154" t="str">
        <f t="shared" si="627"/>
        <v/>
      </c>
      <c r="BT957" s="147" t="str">
        <f t="shared" si="600"/>
        <v/>
      </c>
      <c r="BU957" s="164" t="str">
        <f>IF(AND($C956=12,$D956=Input!$C$6),0,IF($E957="","",BK957+(BL957+BU958)/(1+$AK957)*MIN((1-T957-U957),1)))</f>
        <v/>
      </c>
      <c r="BV957" s="164" t="str">
        <f t="shared" si="601"/>
        <v/>
      </c>
      <c r="BW957" s="164" t="str">
        <f t="shared" si="602"/>
        <v/>
      </c>
      <c r="BX957" s="164" t="str">
        <f t="shared" si="603"/>
        <v/>
      </c>
    </row>
    <row r="958" spans="1:76" s="150" customFormat="1" x14ac:dyDescent="0.25">
      <c r="A958" s="150" t="str">
        <f t="shared" si="614"/>
        <v/>
      </c>
      <c r="B958" s="150" t="str">
        <f t="shared" si="615"/>
        <v/>
      </c>
      <c r="C958" s="150" t="str">
        <f t="shared" si="616"/>
        <v/>
      </c>
      <c r="D958" s="150" t="str">
        <f>IF(E958="","",Input!$C$4+B958-1)</f>
        <v/>
      </c>
      <c r="E958" s="150" t="str">
        <f>IF(OR(AND(C957=12,D957=Input!$C$6),E957=""),"",1)</f>
        <v/>
      </c>
      <c r="F958" s="150" t="str">
        <f>IF(E958="","",Input!$C$8+B958-1)</f>
        <v/>
      </c>
      <c r="G958" s="151" t="str">
        <f>IF(E958="","",MAX(0,Input!$C$9-B958))</f>
        <v/>
      </c>
      <c r="H958" s="152" t="str">
        <f>IF(E958="","",Input!$C$3)</f>
        <v/>
      </c>
      <c r="I958" s="153" t="str">
        <f>IF(E958="","",HLOOKUP($B958,Input!$C$13:$BT$14,2))</f>
        <v/>
      </c>
      <c r="J958" s="154"/>
      <c r="K958" s="155" t="str">
        <f>IF($E958="","",INDEX(Input!$C$16:$CP$16,1,$B958))</f>
        <v/>
      </c>
      <c r="L958" s="155" t="str">
        <f>IF($E958="","",Input!$C$37)</f>
        <v/>
      </c>
      <c r="M958" s="155" t="str">
        <f t="shared" si="629"/>
        <v/>
      </c>
      <c r="N958" s="155" t="str">
        <f t="shared" si="630"/>
        <v/>
      </c>
      <c r="O958" s="147" t="str">
        <f>IF($E958="","",MIN(VLOOKUP(IF($B958&lt;=Input!$C$7,$B958,26),'Mortality Tables'!$A$41:$CW$67,IF($B958&lt;=Input!$C$7+1,Input!$C$4+2,$D958-Input!$C$7+2),0)*IF(B958&gt;20,Input!$C$22,1)/1000,1))</f>
        <v/>
      </c>
      <c r="P958" s="147" t="str">
        <f>IF($E958="","",MIN(VLOOKUP(IF($B958&lt;=Input!$C$7,$B958,26),'Mortality Tables'!$A$12:$CW$37,IF($B958&lt;=Input!$C$7+1,Input!$C$4+2,$D958-Input!$C$7+2),0)*IF(B958&gt;20,Input!$C$22,1)/1000,1))</f>
        <v/>
      </c>
      <c r="Q958" s="155" t="str">
        <f>IF($E958="","",Input!$C$21)</f>
        <v/>
      </c>
      <c r="R958" s="159" t="str">
        <f>IF($E958="","",(1-Q958)^($F958-Input!$C$20))</f>
        <v/>
      </c>
      <c r="S958" s="147" t="str">
        <f t="shared" si="583"/>
        <v/>
      </c>
      <c r="T958" s="147" t="str">
        <f t="shared" si="584"/>
        <v/>
      </c>
      <c r="U958" s="160" t="str">
        <f>IF($E958="","",IF($C958=12,INDEX(Input!$C$15:$CP$15,1,$B958),0))</f>
        <v/>
      </c>
      <c r="V958" s="150" t="str">
        <f>IF(E958="","",IF(C958=1,IF($B958=1,Input!$C$33,Input!$C$34),0))</f>
        <v/>
      </c>
      <c r="W958" s="156" t="str">
        <f>IF($E958="","",Input!$C$35)</f>
        <v/>
      </c>
      <c r="X958" s="156" t="str">
        <f t="shared" si="631"/>
        <v/>
      </c>
      <c r="Y958" s="154"/>
      <c r="Z958" s="147" t="str">
        <f>IF($E958="","",VLOOKUP($D958,'Mortality Margins &amp; Grading'!$AB$5:$AF$125,3,0)*IF(Summary!$D$25="Included Margin",IF(AND($B958&gt;Input!$C$9,Summary!$D$31&lt;&gt;"Included Margin"),0,1),0))</f>
        <v/>
      </c>
      <c r="AA958" s="147" t="str">
        <f>IF($E958="","",VLOOKUP($D958,'Mortality Margins &amp; Grading'!$AB$5:$AF$125,5,0)*IF(Summary!$D$25="Included Margin",IF(AND($B958&gt;Input!$C$9,Summary!$D$31&lt;&gt;"Included Margin"),0,1),0))</f>
        <v/>
      </c>
      <c r="AB958" s="147" t="str">
        <f>IF($E958="","",IF(AND($B958&gt;Input!$C$9,Summary!$D$31&lt;&gt;"Included Margin"),1,IF(Summary!$D$25="Included Margin",VLOOKUP($B958,'Mortality Margins &amp; Grading'!$AI$5:$AR$125,MATCH('Mortality Margins &amp; Grading'!$AQ$4,'Mortality Margins &amp; Grading'!$AI$4:$AR$4,0),0),1)))</f>
        <v/>
      </c>
      <c r="AC958" s="154"/>
      <c r="AD958" s="158" t="str">
        <f>IF(E958="","",Input!$C$48*IF(Summary!$D$30="Included Margin",IF(AND($B958&gt;Input!$C$9,Summary!$D$31&lt;&gt;"Included Margin"),0,1),0))</f>
        <v/>
      </c>
      <c r="AE958" s="159" t="str">
        <f>IF(E958="","",IF(Summary!$D$26="Included Margin",IF(AND($B958&gt;Input!$C$9,Summary!$D$31&lt;&gt;"Included Margin"),1,1/$R958),1))</f>
        <v/>
      </c>
      <c r="AF958" s="160" t="str">
        <f>IF(E958="","",IF(AND($B958&gt;=Input!$C$9,$C958=12,Summary!$D$31="Included Margin",$U958&gt;0),1/U958-1,IF($B958&gt;=Input!$C$9,0,Input!$C$45*IF(Summary!$D$27="Included Margin",1,0))))</f>
        <v/>
      </c>
      <c r="AG958" s="160" t="str">
        <f>IF(E958="","",Input!$C$46*IF(Summary!$D$28="Included Margin",IF(AND($B958&gt;Input!$C$9,Summary!$D$31&lt;&gt;"Included Margin"),0,1),0))</f>
        <v/>
      </c>
      <c r="AH958" s="158" t="str">
        <f>IF(E958="","",Input!$C$47*IF(Summary!$D$29="Included Margin",IF(AND($B958&gt;Input!$C$9,Summary!$D$31&lt;&gt;"Included Margin"),0,1),0))</f>
        <v/>
      </c>
      <c r="AI958" s="154"/>
      <c r="AJ958" s="158" t="str">
        <f t="shared" si="604"/>
        <v/>
      </c>
      <c r="AK958" s="155" t="str">
        <f t="shared" si="605"/>
        <v/>
      </c>
      <c r="AL958" s="147" t="str">
        <f t="shared" si="606"/>
        <v/>
      </c>
      <c r="AM958" s="147" t="str">
        <f t="shared" si="585"/>
        <v/>
      </c>
      <c r="AN958" s="160" t="str">
        <f t="shared" si="607"/>
        <v/>
      </c>
      <c r="AO958" s="161" t="str">
        <f t="shared" si="608"/>
        <v/>
      </c>
      <c r="AP958" s="156" t="str">
        <f t="shared" si="586"/>
        <v/>
      </c>
      <c r="AQ958" s="152"/>
      <c r="AR958" s="162" t="str">
        <f t="shared" si="587"/>
        <v/>
      </c>
      <c r="AS958" s="150" t="str">
        <f t="shared" si="609"/>
        <v/>
      </c>
      <c r="AT958" s="163" t="str">
        <f t="shared" si="588"/>
        <v/>
      </c>
      <c r="AU958" s="163" t="str">
        <f t="shared" si="589"/>
        <v/>
      </c>
      <c r="AV958" s="163" t="str">
        <f t="shared" si="610"/>
        <v/>
      </c>
      <c r="AW958" s="163" t="str">
        <f t="shared" si="590"/>
        <v/>
      </c>
      <c r="AX958" s="163" t="str">
        <f t="shared" si="591"/>
        <v/>
      </c>
      <c r="AY958" s="165" t="str">
        <f t="shared" si="611"/>
        <v/>
      </c>
      <c r="AZ958" s="164" t="str">
        <f>IF($E958="","",IF(OR(AND($D958=Input!$C$6,$C958=12),$AN958=1),0,-AS959+AT959+AU959-AV959-AW959-AX959+AZ959))</f>
        <v/>
      </c>
      <c r="BA958" s="154" t="str">
        <f t="shared" si="592"/>
        <v/>
      </c>
      <c r="BC958" s="147" t="str">
        <f t="shared" si="612"/>
        <v/>
      </c>
      <c r="BD958" s="164" t="str">
        <f>IF(AND($C957=12,$D957=Input!$C$6),0,IF($E958="","",AT958+(AU958+BD959)/(1+$AK958)*MIN((1-AM958-AN958),1)))</f>
        <v/>
      </c>
      <c r="BE958" s="164" t="str">
        <f t="shared" si="628"/>
        <v/>
      </c>
      <c r="BF958" s="164" t="str">
        <f t="shared" si="613"/>
        <v/>
      </c>
      <c r="BG958" s="164" t="str">
        <f t="shared" si="593"/>
        <v/>
      </c>
      <c r="BH958" s="152"/>
      <c r="BI958" s="162" t="str">
        <f t="shared" si="621"/>
        <v/>
      </c>
      <c r="BJ958" s="150" t="str">
        <f t="shared" si="622"/>
        <v/>
      </c>
      <c r="BK958" s="163" t="str">
        <f t="shared" si="617"/>
        <v/>
      </c>
      <c r="BL958" s="163" t="str">
        <f t="shared" si="623"/>
        <v/>
      </c>
      <c r="BM958" s="163" t="str">
        <f t="shared" si="618"/>
        <v/>
      </c>
      <c r="BN958" s="163" t="str">
        <f t="shared" si="624"/>
        <v/>
      </c>
      <c r="BO958" s="163" t="str">
        <f t="shared" si="625"/>
        <v/>
      </c>
      <c r="BP958" s="164" t="str">
        <f t="shared" si="619"/>
        <v/>
      </c>
      <c r="BQ958" s="164" t="str">
        <f t="shared" si="626"/>
        <v/>
      </c>
      <c r="BR958" s="154" t="str">
        <f t="shared" si="627"/>
        <v/>
      </c>
      <c r="BT958" s="147" t="str">
        <f t="shared" si="600"/>
        <v/>
      </c>
      <c r="BU958" s="164" t="str">
        <f>IF(AND($C957=12,$D957=Input!$C$6),0,IF($E958="","",BK958+(BL958+BU959)/(1+$AK958)*MIN((1-T958-U958),1)))</f>
        <v/>
      </c>
      <c r="BV958" s="164" t="str">
        <f t="shared" si="601"/>
        <v/>
      </c>
      <c r="BW958" s="164" t="str">
        <f t="shared" si="602"/>
        <v/>
      </c>
      <c r="BX958" s="164" t="str">
        <f t="shared" si="603"/>
        <v/>
      </c>
    </row>
    <row r="959" spans="1:76" s="150" customFormat="1" x14ac:dyDescent="0.25">
      <c r="A959" s="150" t="str">
        <f t="shared" si="614"/>
        <v/>
      </c>
      <c r="B959" s="150" t="str">
        <f t="shared" si="615"/>
        <v/>
      </c>
      <c r="C959" s="150" t="str">
        <f t="shared" si="616"/>
        <v/>
      </c>
      <c r="D959" s="150" t="str">
        <f>IF(E959="","",Input!$C$4+B959-1)</f>
        <v/>
      </c>
      <c r="E959" s="150" t="str">
        <f>IF(OR(AND(C958=12,D958=Input!$C$6),E958=""),"",1)</f>
        <v/>
      </c>
      <c r="F959" s="150" t="str">
        <f>IF(E959="","",Input!$C$8+B959-1)</f>
        <v/>
      </c>
      <c r="G959" s="151" t="str">
        <f>IF(E959="","",MAX(0,Input!$C$9-B959))</f>
        <v/>
      </c>
      <c r="H959" s="152" t="str">
        <f>IF(E959="","",Input!$C$3)</f>
        <v/>
      </c>
      <c r="I959" s="153" t="str">
        <f>IF(E959="","",HLOOKUP($B959,Input!$C$13:$BT$14,2))</f>
        <v/>
      </c>
      <c r="J959" s="154"/>
      <c r="K959" s="155" t="str">
        <f>IF($E959="","",INDEX(Input!$C$16:$CP$16,1,$B959))</f>
        <v/>
      </c>
      <c r="L959" s="155" t="str">
        <f>IF($E959="","",Input!$C$37)</f>
        <v/>
      </c>
      <c r="M959" s="155" t="str">
        <f t="shared" si="629"/>
        <v/>
      </c>
      <c r="N959" s="155" t="str">
        <f t="shared" si="630"/>
        <v/>
      </c>
      <c r="O959" s="147" t="str">
        <f>IF($E959="","",MIN(VLOOKUP(IF($B959&lt;=Input!$C$7,$B959,26),'Mortality Tables'!$A$41:$CW$67,IF($B959&lt;=Input!$C$7+1,Input!$C$4+2,$D959-Input!$C$7+2),0)*IF(B959&gt;20,Input!$C$22,1)/1000,1))</f>
        <v/>
      </c>
      <c r="P959" s="147" t="str">
        <f>IF($E959="","",MIN(VLOOKUP(IF($B959&lt;=Input!$C$7,$B959,26),'Mortality Tables'!$A$12:$CW$37,IF($B959&lt;=Input!$C$7+1,Input!$C$4+2,$D959-Input!$C$7+2),0)*IF(B959&gt;20,Input!$C$22,1)/1000,1))</f>
        <v/>
      </c>
      <c r="Q959" s="155" t="str">
        <f>IF($E959="","",Input!$C$21)</f>
        <v/>
      </c>
      <c r="R959" s="159" t="str">
        <f>IF($E959="","",(1-Q959)^($F959-Input!$C$20))</f>
        <v/>
      </c>
      <c r="S959" s="147" t="str">
        <f t="shared" si="583"/>
        <v/>
      </c>
      <c r="T959" s="147" t="str">
        <f t="shared" si="584"/>
        <v/>
      </c>
      <c r="U959" s="160" t="str">
        <f>IF($E959="","",IF($C959=12,INDEX(Input!$C$15:$CP$15,1,$B959),0))</f>
        <v/>
      </c>
      <c r="V959" s="150" t="str">
        <f>IF(E959="","",IF(C959=1,IF($B959=1,Input!$C$33,Input!$C$34),0))</f>
        <v/>
      </c>
      <c r="W959" s="156" t="str">
        <f>IF($E959="","",Input!$C$35)</f>
        <v/>
      </c>
      <c r="X959" s="156" t="str">
        <f t="shared" si="631"/>
        <v/>
      </c>
      <c r="Y959" s="154"/>
      <c r="Z959" s="147" t="str">
        <f>IF($E959="","",VLOOKUP($D959,'Mortality Margins &amp; Grading'!$AB$5:$AF$125,3,0)*IF(Summary!$D$25="Included Margin",IF(AND($B959&gt;Input!$C$9,Summary!$D$31&lt;&gt;"Included Margin"),0,1),0))</f>
        <v/>
      </c>
      <c r="AA959" s="147" t="str">
        <f>IF($E959="","",VLOOKUP($D959,'Mortality Margins &amp; Grading'!$AB$5:$AF$125,5,0)*IF(Summary!$D$25="Included Margin",IF(AND($B959&gt;Input!$C$9,Summary!$D$31&lt;&gt;"Included Margin"),0,1),0))</f>
        <v/>
      </c>
      <c r="AB959" s="147" t="str">
        <f>IF($E959="","",IF(AND($B959&gt;Input!$C$9,Summary!$D$31&lt;&gt;"Included Margin"),1,IF(Summary!$D$25="Included Margin",VLOOKUP($B959,'Mortality Margins &amp; Grading'!$AI$5:$AR$125,MATCH('Mortality Margins &amp; Grading'!$AQ$4,'Mortality Margins &amp; Grading'!$AI$4:$AR$4,0),0),1)))</f>
        <v/>
      </c>
      <c r="AC959" s="154"/>
      <c r="AD959" s="158" t="str">
        <f>IF(E959="","",Input!$C$48*IF(Summary!$D$30="Included Margin",IF(AND($B959&gt;Input!$C$9,Summary!$D$31&lt;&gt;"Included Margin"),0,1),0))</f>
        <v/>
      </c>
      <c r="AE959" s="159" t="str">
        <f>IF(E959="","",IF(Summary!$D$26="Included Margin",IF(AND($B959&gt;Input!$C$9,Summary!$D$31&lt;&gt;"Included Margin"),1,1/$R959),1))</f>
        <v/>
      </c>
      <c r="AF959" s="160" t="str">
        <f>IF(E959="","",IF(AND($B959&gt;=Input!$C$9,$C959=12,Summary!$D$31="Included Margin",$U959&gt;0),1/U959-1,IF($B959&gt;=Input!$C$9,0,Input!$C$45*IF(Summary!$D$27="Included Margin",1,0))))</f>
        <v/>
      </c>
      <c r="AG959" s="160" t="str">
        <f>IF(E959="","",Input!$C$46*IF(Summary!$D$28="Included Margin",IF(AND($B959&gt;Input!$C$9,Summary!$D$31&lt;&gt;"Included Margin"),0,1),0))</f>
        <v/>
      </c>
      <c r="AH959" s="158" t="str">
        <f>IF(E959="","",Input!$C$47*IF(Summary!$D$29="Included Margin",IF(AND($B959&gt;Input!$C$9,Summary!$D$31&lt;&gt;"Included Margin"),0,1),0))</f>
        <v/>
      </c>
      <c r="AI959" s="154"/>
      <c r="AJ959" s="158" t="str">
        <f t="shared" si="604"/>
        <v/>
      </c>
      <c r="AK959" s="155" t="str">
        <f t="shared" si="605"/>
        <v/>
      </c>
      <c r="AL959" s="147" t="str">
        <f t="shared" si="606"/>
        <v/>
      </c>
      <c r="AM959" s="147" t="str">
        <f t="shared" si="585"/>
        <v/>
      </c>
      <c r="AN959" s="160" t="str">
        <f t="shared" si="607"/>
        <v/>
      </c>
      <c r="AO959" s="161" t="str">
        <f t="shared" si="608"/>
        <v/>
      </c>
      <c r="AP959" s="156" t="str">
        <f t="shared" si="586"/>
        <v/>
      </c>
      <c r="AQ959" s="152"/>
      <c r="AR959" s="162" t="str">
        <f t="shared" si="587"/>
        <v/>
      </c>
      <c r="AS959" s="150" t="str">
        <f t="shared" si="609"/>
        <v/>
      </c>
      <c r="AT959" s="163" t="str">
        <f t="shared" si="588"/>
        <v/>
      </c>
      <c r="AU959" s="163" t="str">
        <f t="shared" si="589"/>
        <v/>
      </c>
      <c r="AV959" s="163" t="str">
        <f t="shared" si="610"/>
        <v/>
      </c>
      <c r="AW959" s="163" t="str">
        <f t="shared" si="590"/>
        <v/>
      </c>
      <c r="AX959" s="163" t="str">
        <f t="shared" si="591"/>
        <v/>
      </c>
      <c r="AY959" s="164" t="str">
        <f t="shared" si="611"/>
        <v/>
      </c>
      <c r="AZ959" s="164" t="str">
        <f>IF($E959="","",IF(OR(AND($D959=Input!$C$6,$C959=12),$AN959=1),0,-AS960+AT960+AU960-AV960-AW960-AX960+AZ960))</f>
        <v/>
      </c>
      <c r="BA959" s="154" t="str">
        <f t="shared" si="592"/>
        <v/>
      </c>
      <c r="BC959" s="147" t="str">
        <f t="shared" si="612"/>
        <v/>
      </c>
      <c r="BD959" s="164" t="str">
        <f>IF(AND($C958=12,$D958=Input!$C$6),0,IF($E959="","",AT959+(AU959+BD960)/(1+$AK959)*MIN((1-AM959-AN959),1)))</f>
        <v/>
      </c>
      <c r="BE959" s="164" t="str">
        <f t="shared" si="628"/>
        <v/>
      </c>
      <c r="BF959" s="164" t="str">
        <f t="shared" si="613"/>
        <v/>
      </c>
      <c r="BG959" s="164" t="str">
        <f t="shared" si="593"/>
        <v/>
      </c>
      <c r="BH959" s="152"/>
      <c r="BI959" s="162" t="str">
        <f t="shared" si="621"/>
        <v/>
      </c>
      <c r="BJ959" s="150" t="str">
        <f t="shared" si="622"/>
        <v/>
      </c>
      <c r="BK959" s="163" t="str">
        <f t="shared" si="617"/>
        <v/>
      </c>
      <c r="BL959" s="163" t="str">
        <f t="shared" si="623"/>
        <v/>
      </c>
      <c r="BM959" s="163" t="str">
        <f t="shared" si="618"/>
        <v/>
      </c>
      <c r="BN959" s="163" t="str">
        <f t="shared" si="624"/>
        <v/>
      </c>
      <c r="BO959" s="163" t="str">
        <f t="shared" si="625"/>
        <v/>
      </c>
      <c r="BP959" s="164" t="str">
        <f t="shared" si="619"/>
        <v/>
      </c>
      <c r="BQ959" s="164" t="str">
        <f t="shared" si="626"/>
        <v/>
      </c>
      <c r="BR959" s="154" t="str">
        <f t="shared" si="627"/>
        <v/>
      </c>
      <c r="BT959" s="147" t="str">
        <f t="shared" si="600"/>
        <v/>
      </c>
      <c r="BU959" s="164" t="str">
        <f>IF(AND($C958=12,$D958=Input!$C$6),0,IF($E959="","",BK959+(BL959+BU960)/(1+$AK959)*MIN((1-T959-U959),1)))</f>
        <v/>
      </c>
      <c r="BV959" s="164" t="str">
        <f t="shared" si="601"/>
        <v/>
      </c>
      <c r="BW959" s="164" t="str">
        <f t="shared" si="602"/>
        <v/>
      </c>
      <c r="BX959" s="164" t="str">
        <f t="shared" si="603"/>
        <v/>
      </c>
    </row>
    <row r="960" spans="1:76" s="150" customFormat="1" x14ac:dyDescent="0.25">
      <c r="A960" s="150" t="str">
        <f t="shared" si="614"/>
        <v/>
      </c>
      <c r="B960" s="150" t="str">
        <f t="shared" si="615"/>
        <v/>
      </c>
      <c r="C960" s="150" t="str">
        <f t="shared" si="616"/>
        <v/>
      </c>
      <c r="D960" s="150" t="str">
        <f>IF(E960="","",Input!$C$4+B960-1)</f>
        <v/>
      </c>
      <c r="E960" s="150" t="str">
        <f>IF(OR(AND(C959=12,D959=Input!$C$6),E959=""),"",1)</f>
        <v/>
      </c>
      <c r="F960" s="150" t="str">
        <f>IF(E960="","",Input!$C$8+B960-1)</f>
        <v/>
      </c>
      <c r="G960" s="151" t="str">
        <f>IF(E960="","",MAX(0,Input!$C$9-B960))</f>
        <v/>
      </c>
      <c r="H960" s="152" t="str">
        <f>IF(E960="","",Input!$C$3)</f>
        <v/>
      </c>
      <c r="I960" s="153" t="str">
        <f>IF(E960="","",HLOOKUP($B960,Input!$C$13:$BT$14,2))</f>
        <v/>
      </c>
      <c r="J960" s="154"/>
      <c r="K960" s="155" t="str">
        <f>IF($E960="","",INDEX(Input!$C$16:$CP$16,1,$B960))</f>
        <v/>
      </c>
      <c r="L960" s="155" t="str">
        <f>IF($E960="","",Input!$C$37)</f>
        <v/>
      </c>
      <c r="M960" s="155" t="str">
        <f t="shared" si="629"/>
        <v/>
      </c>
      <c r="N960" s="155" t="str">
        <f t="shared" si="630"/>
        <v/>
      </c>
      <c r="O960" s="147" t="str">
        <f>IF($E960="","",MIN(VLOOKUP(IF($B960&lt;=Input!$C$7,$B960,26),'Mortality Tables'!$A$41:$CW$67,IF($B960&lt;=Input!$C$7+1,Input!$C$4+2,$D960-Input!$C$7+2),0)*IF(B960&gt;20,Input!$C$22,1)/1000,1))</f>
        <v/>
      </c>
      <c r="P960" s="147" t="str">
        <f>IF($E960="","",MIN(VLOOKUP(IF($B960&lt;=Input!$C$7,$B960,26),'Mortality Tables'!$A$12:$CW$37,IF($B960&lt;=Input!$C$7+1,Input!$C$4+2,$D960-Input!$C$7+2),0)*IF(B960&gt;20,Input!$C$22,1)/1000,1))</f>
        <v/>
      </c>
      <c r="Q960" s="155" t="str">
        <f>IF($E960="","",Input!$C$21)</f>
        <v/>
      </c>
      <c r="R960" s="159" t="str">
        <f>IF($E960="","",(1-Q960)^($F960-Input!$C$20))</f>
        <v/>
      </c>
      <c r="S960" s="147" t="str">
        <f t="shared" si="583"/>
        <v/>
      </c>
      <c r="T960" s="147" t="str">
        <f t="shared" si="584"/>
        <v/>
      </c>
      <c r="U960" s="160" t="str">
        <f>IF($E960="","",IF($C960=12,INDEX(Input!$C$15:$CP$15,1,$B960),0))</f>
        <v/>
      </c>
      <c r="V960" s="150" t="str">
        <f>IF(E960="","",IF(C960=1,IF($B960=1,Input!$C$33,Input!$C$34),0))</f>
        <v/>
      </c>
      <c r="W960" s="156" t="str">
        <f>IF($E960="","",Input!$C$35)</f>
        <v/>
      </c>
      <c r="X960" s="156" t="str">
        <f t="shared" si="631"/>
        <v/>
      </c>
      <c r="Y960" s="154"/>
      <c r="Z960" s="147" t="str">
        <f>IF($E960="","",VLOOKUP($D960,'Mortality Margins &amp; Grading'!$AB$5:$AF$125,3,0)*IF(Summary!$D$25="Included Margin",IF(AND($B960&gt;Input!$C$9,Summary!$D$31&lt;&gt;"Included Margin"),0,1),0))</f>
        <v/>
      </c>
      <c r="AA960" s="147" t="str">
        <f>IF($E960="","",VLOOKUP($D960,'Mortality Margins &amp; Grading'!$AB$5:$AF$125,5,0)*IF(Summary!$D$25="Included Margin",IF(AND($B960&gt;Input!$C$9,Summary!$D$31&lt;&gt;"Included Margin"),0,1),0))</f>
        <v/>
      </c>
      <c r="AB960" s="147" t="str">
        <f>IF($E960="","",IF(AND($B960&gt;Input!$C$9,Summary!$D$31&lt;&gt;"Included Margin"),1,IF(Summary!$D$25="Included Margin",VLOOKUP($B960,'Mortality Margins &amp; Grading'!$AI$5:$AR$125,MATCH('Mortality Margins &amp; Grading'!$AQ$4,'Mortality Margins &amp; Grading'!$AI$4:$AR$4,0),0),1)))</f>
        <v/>
      </c>
      <c r="AC960" s="154"/>
      <c r="AD960" s="158" t="str">
        <f>IF(E960="","",Input!$C$48*IF(Summary!$D$30="Included Margin",IF(AND($B960&gt;Input!$C$9,Summary!$D$31&lt;&gt;"Included Margin"),0,1),0))</f>
        <v/>
      </c>
      <c r="AE960" s="159" t="str">
        <f>IF(E960="","",IF(Summary!$D$26="Included Margin",IF(AND($B960&gt;Input!$C$9,Summary!$D$31&lt;&gt;"Included Margin"),1,1/$R960),1))</f>
        <v/>
      </c>
      <c r="AF960" s="160" t="str">
        <f>IF(E960="","",IF(AND($B960&gt;=Input!$C$9,$C960=12,Summary!$D$31="Included Margin",$U960&gt;0),1/U960-1,IF($B960&gt;=Input!$C$9,0,Input!$C$45*IF(Summary!$D$27="Included Margin",1,0))))</f>
        <v/>
      </c>
      <c r="AG960" s="160" t="str">
        <f>IF(E960="","",Input!$C$46*IF(Summary!$D$28="Included Margin",IF(AND($B960&gt;Input!$C$9,Summary!$D$31&lt;&gt;"Included Margin"),0,1),0))</f>
        <v/>
      </c>
      <c r="AH960" s="158" t="str">
        <f>IF(E960="","",Input!$C$47*IF(Summary!$D$29="Included Margin",IF(AND($B960&gt;Input!$C$9,Summary!$D$31&lt;&gt;"Included Margin"),0,1),0))</f>
        <v/>
      </c>
      <c r="AI960" s="154"/>
      <c r="AJ960" s="158" t="str">
        <f t="shared" si="604"/>
        <v/>
      </c>
      <c r="AK960" s="155" t="str">
        <f t="shared" si="605"/>
        <v/>
      </c>
      <c r="AL960" s="147" t="str">
        <f t="shared" si="606"/>
        <v/>
      </c>
      <c r="AM960" s="147" t="str">
        <f t="shared" si="585"/>
        <v/>
      </c>
      <c r="AN960" s="160" t="str">
        <f t="shared" si="607"/>
        <v/>
      </c>
      <c r="AO960" s="161" t="str">
        <f t="shared" si="608"/>
        <v/>
      </c>
      <c r="AP960" s="156" t="str">
        <f t="shared" si="586"/>
        <v/>
      </c>
      <c r="AQ960" s="152"/>
      <c r="AR960" s="162" t="str">
        <f t="shared" si="587"/>
        <v/>
      </c>
      <c r="AS960" s="150" t="str">
        <f t="shared" si="609"/>
        <v/>
      </c>
      <c r="AT960" s="163" t="str">
        <f t="shared" si="588"/>
        <v/>
      </c>
      <c r="AU960" s="163" t="str">
        <f t="shared" si="589"/>
        <v/>
      </c>
      <c r="AV960" s="163" t="str">
        <f t="shared" si="610"/>
        <v/>
      </c>
      <c r="AW960" s="163" t="str">
        <f t="shared" si="590"/>
        <v/>
      </c>
      <c r="AX960" s="163" t="str">
        <f t="shared" si="591"/>
        <v/>
      </c>
      <c r="AY960" s="165" t="str">
        <f t="shared" si="611"/>
        <v/>
      </c>
      <c r="AZ960" s="164" t="str">
        <f>IF($E960="","",IF(OR(AND($D960=Input!$C$6,$C960=12),$AN960=1),0,-AS961+AT961+AU961-AV961-AW961-AX961+AZ961))</f>
        <v/>
      </c>
      <c r="BA960" s="154" t="str">
        <f t="shared" si="592"/>
        <v/>
      </c>
      <c r="BC960" s="147" t="str">
        <f t="shared" si="612"/>
        <v/>
      </c>
      <c r="BD960" s="164" t="str">
        <f>IF(AND($C959=12,$D959=Input!$C$6),0,IF($E960="","",AT960+(AU960+BD961)/(1+$AK960)*MIN((1-AM960-AN960),1)))</f>
        <v/>
      </c>
      <c r="BE960" s="164" t="str">
        <f t="shared" si="628"/>
        <v/>
      </c>
      <c r="BF960" s="164" t="str">
        <f t="shared" si="613"/>
        <v/>
      </c>
      <c r="BG960" s="164" t="str">
        <f t="shared" si="593"/>
        <v/>
      </c>
      <c r="BH960" s="152"/>
      <c r="BI960" s="162" t="str">
        <f t="shared" si="621"/>
        <v/>
      </c>
      <c r="BJ960" s="150" t="str">
        <f t="shared" si="622"/>
        <v/>
      </c>
      <c r="BK960" s="163" t="str">
        <f t="shared" si="617"/>
        <v/>
      </c>
      <c r="BL960" s="163" t="str">
        <f t="shared" si="623"/>
        <v/>
      </c>
      <c r="BM960" s="163" t="str">
        <f t="shared" si="618"/>
        <v/>
      </c>
      <c r="BN960" s="163" t="str">
        <f t="shared" si="624"/>
        <v/>
      </c>
      <c r="BO960" s="163" t="str">
        <f t="shared" si="625"/>
        <v/>
      </c>
      <c r="BP960" s="164" t="str">
        <f t="shared" si="619"/>
        <v/>
      </c>
      <c r="BQ960" s="164" t="str">
        <f t="shared" si="626"/>
        <v/>
      </c>
      <c r="BR960" s="154" t="str">
        <f t="shared" si="627"/>
        <v/>
      </c>
      <c r="BT960" s="147" t="str">
        <f t="shared" si="600"/>
        <v/>
      </c>
      <c r="BU960" s="164" t="str">
        <f>IF(AND($C959=12,$D959=Input!$C$6),0,IF($E960="","",BK960+(BL960+BU961)/(1+$AK960)*MIN((1-T960-U960),1)))</f>
        <v/>
      </c>
      <c r="BV960" s="164" t="str">
        <f t="shared" si="601"/>
        <v/>
      </c>
      <c r="BW960" s="164" t="str">
        <f t="shared" si="602"/>
        <v/>
      </c>
      <c r="BX960" s="164" t="str">
        <f t="shared" si="603"/>
        <v/>
      </c>
    </row>
    <row r="961" spans="1:76" s="150" customFormat="1" x14ac:dyDescent="0.25">
      <c r="A961" s="150" t="str">
        <f t="shared" si="614"/>
        <v/>
      </c>
      <c r="B961" s="150" t="str">
        <f t="shared" si="615"/>
        <v/>
      </c>
      <c r="C961" s="150" t="str">
        <f t="shared" si="616"/>
        <v/>
      </c>
      <c r="D961" s="150" t="str">
        <f>IF(E961="","",Input!$C$4+B961-1)</f>
        <v/>
      </c>
      <c r="E961" s="150" t="str">
        <f>IF(OR(AND(C960=12,D960=Input!$C$6),E960=""),"",1)</f>
        <v/>
      </c>
      <c r="F961" s="150" t="str">
        <f>IF(E961="","",Input!$C$8+B961-1)</f>
        <v/>
      </c>
      <c r="G961" s="151" t="str">
        <f>IF(E961="","",MAX(0,Input!$C$9-B961))</f>
        <v/>
      </c>
      <c r="H961" s="152" t="str">
        <f>IF(E961="","",Input!$C$3)</f>
        <v/>
      </c>
      <c r="I961" s="153" t="str">
        <f>IF(E961="","",HLOOKUP($B961,Input!$C$13:$BT$14,2))</f>
        <v/>
      </c>
      <c r="J961" s="154"/>
      <c r="K961" s="155" t="str">
        <f>IF($E961="","",INDEX(Input!$C$16:$CP$16,1,$B961))</f>
        <v/>
      </c>
      <c r="L961" s="155" t="str">
        <f>IF($E961="","",Input!$C$37)</f>
        <v/>
      </c>
      <c r="M961" s="155" t="str">
        <f t="shared" si="629"/>
        <v/>
      </c>
      <c r="N961" s="155" t="str">
        <f t="shared" si="630"/>
        <v/>
      </c>
      <c r="O961" s="147" t="str">
        <f>IF($E961="","",MIN(VLOOKUP(IF($B961&lt;=Input!$C$7,$B961,26),'Mortality Tables'!$A$41:$CW$67,IF($B961&lt;=Input!$C$7+1,Input!$C$4+2,$D961-Input!$C$7+2),0)*IF(B961&gt;20,Input!$C$22,1)/1000,1))</f>
        <v/>
      </c>
      <c r="P961" s="147" t="str">
        <f>IF($E961="","",MIN(VLOOKUP(IF($B961&lt;=Input!$C$7,$B961,26),'Mortality Tables'!$A$12:$CW$37,IF($B961&lt;=Input!$C$7+1,Input!$C$4+2,$D961-Input!$C$7+2),0)*IF(B961&gt;20,Input!$C$22,1)/1000,1))</f>
        <v/>
      </c>
      <c r="Q961" s="155" t="str">
        <f>IF($E961="","",Input!$C$21)</f>
        <v/>
      </c>
      <c r="R961" s="159" t="str">
        <f>IF($E961="","",(1-Q961)^($F961-Input!$C$20))</f>
        <v/>
      </c>
      <c r="S961" s="147" t="str">
        <f t="shared" si="583"/>
        <v/>
      </c>
      <c r="T961" s="147" t="str">
        <f t="shared" si="584"/>
        <v/>
      </c>
      <c r="U961" s="160" t="str">
        <f>IF($E961="","",IF($C961=12,INDEX(Input!$C$15:$CP$15,1,$B961),0))</f>
        <v/>
      </c>
      <c r="V961" s="150" t="str">
        <f>IF(E961="","",IF(C961=1,IF($B961=1,Input!$C$33,Input!$C$34),0))</f>
        <v/>
      </c>
      <c r="W961" s="156" t="str">
        <f>IF($E961="","",Input!$C$35)</f>
        <v/>
      </c>
      <c r="X961" s="156" t="str">
        <f t="shared" si="631"/>
        <v/>
      </c>
      <c r="Y961" s="154"/>
      <c r="Z961" s="147" t="str">
        <f>IF($E961="","",VLOOKUP($D961,'Mortality Margins &amp; Grading'!$AB$5:$AF$125,3,0)*IF(Summary!$D$25="Included Margin",IF(AND($B961&gt;Input!$C$9,Summary!$D$31&lt;&gt;"Included Margin"),0,1),0))</f>
        <v/>
      </c>
      <c r="AA961" s="147" t="str">
        <f>IF($E961="","",VLOOKUP($D961,'Mortality Margins &amp; Grading'!$AB$5:$AF$125,5,0)*IF(Summary!$D$25="Included Margin",IF(AND($B961&gt;Input!$C$9,Summary!$D$31&lt;&gt;"Included Margin"),0,1),0))</f>
        <v/>
      </c>
      <c r="AB961" s="147" t="str">
        <f>IF($E961="","",IF(AND($B961&gt;Input!$C$9,Summary!$D$31&lt;&gt;"Included Margin"),1,IF(Summary!$D$25="Included Margin",VLOOKUP($B961,'Mortality Margins &amp; Grading'!$AI$5:$AR$125,MATCH('Mortality Margins &amp; Grading'!$AQ$4,'Mortality Margins &amp; Grading'!$AI$4:$AR$4,0),0),1)))</f>
        <v/>
      </c>
      <c r="AC961" s="154"/>
      <c r="AD961" s="158" t="str">
        <f>IF(E961="","",Input!$C$48*IF(Summary!$D$30="Included Margin",IF(AND($B961&gt;Input!$C$9,Summary!$D$31&lt;&gt;"Included Margin"),0,1),0))</f>
        <v/>
      </c>
      <c r="AE961" s="159" t="str">
        <f>IF(E961="","",IF(Summary!$D$26="Included Margin",IF(AND($B961&gt;Input!$C$9,Summary!$D$31&lt;&gt;"Included Margin"),1,1/$R961),1))</f>
        <v/>
      </c>
      <c r="AF961" s="160" t="str">
        <f>IF(E961="","",IF(AND($B961&gt;=Input!$C$9,$C961=12,Summary!$D$31="Included Margin",$U961&gt;0),1/U961-1,IF($B961&gt;=Input!$C$9,0,Input!$C$45*IF(Summary!$D$27="Included Margin",1,0))))</f>
        <v/>
      </c>
      <c r="AG961" s="160" t="str">
        <f>IF(E961="","",Input!$C$46*IF(Summary!$D$28="Included Margin",IF(AND($B961&gt;Input!$C$9,Summary!$D$31&lt;&gt;"Included Margin"),0,1),0))</f>
        <v/>
      </c>
      <c r="AH961" s="158" t="str">
        <f>IF(E961="","",Input!$C$47*IF(Summary!$D$29="Included Margin",IF(AND($B961&gt;Input!$C$9,Summary!$D$31&lt;&gt;"Included Margin"),0,1),0))</f>
        <v/>
      </c>
      <c r="AI961" s="154"/>
      <c r="AJ961" s="158" t="str">
        <f t="shared" si="604"/>
        <v/>
      </c>
      <c r="AK961" s="155" t="str">
        <f t="shared" si="605"/>
        <v/>
      </c>
      <c r="AL961" s="147" t="str">
        <f t="shared" si="606"/>
        <v/>
      </c>
      <c r="AM961" s="147" t="str">
        <f t="shared" si="585"/>
        <v/>
      </c>
      <c r="AN961" s="160" t="str">
        <f t="shared" si="607"/>
        <v/>
      </c>
      <c r="AO961" s="161" t="str">
        <f t="shared" si="608"/>
        <v/>
      </c>
      <c r="AP961" s="156" t="str">
        <f t="shared" si="586"/>
        <v/>
      </c>
      <c r="AQ961" s="152"/>
      <c r="AR961" s="162" t="str">
        <f t="shared" si="587"/>
        <v/>
      </c>
      <c r="AS961" s="150" t="str">
        <f t="shared" si="609"/>
        <v/>
      </c>
      <c r="AT961" s="163" t="str">
        <f t="shared" si="588"/>
        <v/>
      </c>
      <c r="AU961" s="163" t="str">
        <f t="shared" si="589"/>
        <v/>
      </c>
      <c r="AV961" s="163" t="str">
        <f t="shared" si="610"/>
        <v/>
      </c>
      <c r="AW961" s="163" t="str">
        <f t="shared" si="590"/>
        <v/>
      </c>
      <c r="AX961" s="163" t="str">
        <f t="shared" si="591"/>
        <v/>
      </c>
      <c r="AY961" s="164" t="str">
        <f t="shared" si="611"/>
        <v/>
      </c>
      <c r="AZ961" s="164" t="str">
        <f>IF($E961="","",IF(OR(AND($D961=Input!$C$6,$C961=12),$AN961=1),0,-AS962+AT962+AU962-AV962-AW962-AX962+AZ962))</f>
        <v/>
      </c>
      <c r="BA961" s="154" t="str">
        <f t="shared" si="592"/>
        <v/>
      </c>
      <c r="BC961" s="147" t="str">
        <f t="shared" si="612"/>
        <v/>
      </c>
      <c r="BD961" s="164" t="str">
        <f>IF(AND($C960=12,$D960=Input!$C$6),0,IF($E961="","",AT961+(AU961+BD962)/(1+$AK961)*MIN((1-AM961-AN961),1)))</f>
        <v/>
      </c>
      <c r="BE961" s="164" t="str">
        <f t="shared" si="628"/>
        <v/>
      </c>
      <c r="BF961" s="164" t="str">
        <f t="shared" si="613"/>
        <v/>
      </c>
      <c r="BG961" s="164" t="str">
        <f t="shared" si="593"/>
        <v/>
      </c>
      <c r="BH961" s="152"/>
      <c r="BI961" s="162" t="str">
        <f t="shared" si="621"/>
        <v/>
      </c>
      <c r="BJ961" s="150" t="str">
        <f t="shared" si="622"/>
        <v/>
      </c>
      <c r="BK961" s="163" t="str">
        <f t="shared" si="617"/>
        <v/>
      </c>
      <c r="BL961" s="163" t="str">
        <f t="shared" si="623"/>
        <v/>
      </c>
      <c r="BM961" s="163" t="str">
        <f t="shared" si="618"/>
        <v/>
      </c>
      <c r="BN961" s="163" t="str">
        <f t="shared" si="624"/>
        <v/>
      </c>
      <c r="BO961" s="163" t="str">
        <f t="shared" si="625"/>
        <v/>
      </c>
      <c r="BP961" s="164" t="str">
        <f t="shared" si="619"/>
        <v/>
      </c>
      <c r="BQ961" s="164" t="str">
        <f t="shared" si="626"/>
        <v/>
      </c>
      <c r="BR961" s="154" t="str">
        <f t="shared" si="627"/>
        <v/>
      </c>
      <c r="BT961" s="147" t="str">
        <f t="shared" si="600"/>
        <v/>
      </c>
      <c r="BU961" s="164" t="str">
        <f>IF(AND($C960=12,$D960=Input!$C$6),0,IF($E961="","",BK961+(BL961+BU962)/(1+$AK961)*MIN((1-T961-U961),1)))</f>
        <v/>
      </c>
      <c r="BV961" s="164" t="str">
        <f t="shared" si="601"/>
        <v/>
      </c>
      <c r="BW961" s="164" t="str">
        <f t="shared" si="602"/>
        <v/>
      </c>
      <c r="BX961" s="164" t="str">
        <f t="shared" si="603"/>
        <v/>
      </c>
    </row>
    <row r="962" spans="1:76" s="150" customFormat="1" x14ac:dyDescent="0.25">
      <c r="A962" s="150" t="str">
        <f t="shared" si="614"/>
        <v/>
      </c>
      <c r="B962" s="150" t="str">
        <f t="shared" si="615"/>
        <v/>
      </c>
      <c r="C962" s="150" t="str">
        <f t="shared" si="616"/>
        <v/>
      </c>
      <c r="D962" s="150" t="str">
        <f>IF(E962="","",Input!$C$4+B962-1)</f>
        <v/>
      </c>
      <c r="E962" s="150" t="str">
        <f>IF(OR(AND(C961=12,D961=Input!$C$6),E961=""),"",1)</f>
        <v/>
      </c>
      <c r="F962" s="150" t="str">
        <f>IF(E962="","",Input!$C$8+B962-1)</f>
        <v/>
      </c>
      <c r="G962" s="151" t="str">
        <f>IF(E962="","",MAX(0,Input!$C$9-B962))</f>
        <v/>
      </c>
      <c r="H962" s="152" t="str">
        <f>IF(E962="","",Input!$C$3)</f>
        <v/>
      </c>
      <c r="I962" s="153" t="str">
        <f>IF(E962="","",HLOOKUP($B962,Input!$C$13:$BT$14,2))</f>
        <v/>
      </c>
      <c r="J962" s="154"/>
      <c r="K962" s="155" t="str">
        <f>IF($E962="","",INDEX(Input!$C$16:$CP$16,1,$B962))</f>
        <v/>
      </c>
      <c r="L962" s="155" t="str">
        <f>IF($E962="","",Input!$C$37)</f>
        <v/>
      </c>
      <c r="M962" s="155" t="str">
        <f t="shared" si="629"/>
        <v/>
      </c>
      <c r="N962" s="155" t="str">
        <f t="shared" si="630"/>
        <v/>
      </c>
      <c r="O962" s="147" t="str">
        <f>IF($E962="","",MIN(VLOOKUP(IF($B962&lt;=Input!$C$7,$B962,26),'Mortality Tables'!$A$41:$CW$67,IF($B962&lt;=Input!$C$7+1,Input!$C$4+2,$D962-Input!$C$7+2),0)*IF(B962&gt;20,Input!$C$22,1)/1000,1))</f>
        <v/>
      </c>
      <c r="P962" s="147" t="str">
        <f>IF($E962="","",MIN(VLOOKUP(IF($B962&lt;=Input!$C$7,$B962,26),'Mortality Tables'!$A$12:$CW$37,IF($B962&lt;=Input!$C$7+1,Input!$C$4+2,$D962-Input!$C$7+2),0)*IF(B962&gt;20,Input!$C$22,1)/1000,1))</f>
        <v/>
      </c>
      <c r="Q962" s="155" t="str">
        <f>IF($E962="","",Input!$C$21)</f>
        <v/>
      </c>
      <c r="R962" s="159" t="str">
        <f>IF($E962="","",(1-Q962)^($F962-Input!$C$20))</f>
        <v/>
      </c>
      <c r="S962" s="147" t="str">
        <f t="shared" si="583"/>
        <v/>
      </c>
      <c r="T962" s="147" t="str">
        <f t="shared" si="584"/>
        <v/>
      </c>
      <c r="U962" s="160" t="str">
        <f>IF($E962="","",IF($C962=12,INDEX(Input!$C$15:$CP$15,1,$B962),0))</f>
        <v/>
      </c>
      <c r="V962" s="150" t="str">
        <f>IF(E962="","",IF(C962=1,IF($B962=1,Input!$C$33,Input!$C$34),0))</f>
        <v/>
      </c>
      <c r="W962" s="156" t="str">
        <f>IF($E962="","",Input!$C$35)</f>
        <v/>
      </c>
      <c r="X962" s="156" t="str">
        <f t="shared" si="631"/>
        <v/>
      </c>
      <c r="Y962" s="154"/>
      <c r="Z962" s="147" t="str">
        <f>IF($E962="","",VLOOKUP($D962,'Mortality Margins &amp; Grading'!$AB$5:$AF$125,3,0)*IF(Summary!$D$25="Included Margin",IF(AND($B962&gt;Input!$C$9,Summary!$D$31&lt;&gt;"Included Margin"),0,1),0))</f>
        <v/>
      </c>
      <c r="AA962" s="147" t="str">
        <f>IF($E962="","",VLOOKUP($D962,'Mortality Margins &amp; Grading'!$AB$5:$AF$125,5,0)*IF(Summary!$D$25="Included Margin",IF(AND($B962&gt;Input!$C$9,Summary!$D$31&lt;&gt;"Included Margin"),0,1),0))</f>
        <v/>
      </c>
      <c r="AB962" s="147" t="str">
        <f>IF($E962="","",IF(AND($B962&gt;Input!$C$9,Summary!$D$31&lt;&gt;"Included Margin"),1,IF(Summary!$D$25="Included Margin",VLOOKUP($B962,'Mortality Margins &amp; Grading'!$AI$5:$AR$125,MATCH('Mortality Margins &amp; Grading'!$AQ$4,'Mortality Margins &amp; Grading'!$AI$4:$AR$4,0),0),1)))</f>
        <v/>
      </c>
      <c r="AC962" s="154"/>
      <c r="AD962" s="158" t="str">
        <f>IF(E962="","",Input!$C$48*IF(Summary!$D$30="Included Margin",IF(AND($B962&gt;Input!$C$9,Summary!$D$31&lt;&gt;"Included Margin"),0,1),0))</f>
        <v/>
      </c>
      <c r="AE962" s="159" t="str">
        <f>IF(E962="","",IF(Summary!$D$26="Included Margin",IF(AND($B962&gt;Input!$C$9,Summary!$D$31&lt;&gt;"Included Margin"),1,1/$R962),1))</f>
        <v/>
      </c>
      <c r="AF962" s="160" t="str">
        <f>IF(E962="","",IF(AND($B962&gt;=Input!$C$9,$C962=12,Summary!$D$31="Included Margin",$U962&gt;0),1/U962-1,IF($B962&gt;=Input!$C$9,0,Input!$C$45*IF(Summary!$D$27="Included Margin",1,0))))</f>
        <v/>
      </c>
      <c r="AG962" s="160" t="str">
        <f>IF(E962="","",Input!$C$46*IF(Summary!$D$28="Included Margin",IF(AND($B962&gt;Input!$C$9,Summary!$D$31&lt;&gt;"Included Margin"),0,1),0))</f>
        <v/>
      </c>
      <c r="AH962" s="158" t="str">
        <f>IF(E962="","",Input!$C$47*IF(Summary!$D$29="Included Margin",IF(AND($B962&gt;Input!$C$9,Summary!$D$31&lt;&gt;"Included Margin"),0,1),0))</f>
        <v/>
      </c>
      <c r="AI962" s="154"/>
      <c r="AJ962" s="158" t="str">
        <f t="shared" si="604"/>
        <v/>
      </c>
      <c r="AK962" s="155" t="str">
        <f t="shared" si="605"/>
        <v/>
      </c>
      <c r="AL962" s="147" t="str">
        <f t="shared" si="606"/>
        <v/>
      </c>
      <c r="AM962" s="147" t="str">
        <f t="shared" si="585"/>
        <v/>
      </c>
      <c r="AN962" s="160" t="str">
        <f t="shared" si="607"/>
        <v/>
      </c>
      <c r="AO962" s="161" t="str">
        <f t="shared" si="608"/>
        <v/>
      </c>
      <c r="AP962" s="156" t="str">
        <f t="shared" si="586"/>
        <v/>
      </c>
      <c r="AQ962" s="152"/>
      <c r="AR962" s="162" t="str">
        <f t="shared" si="587"/>
        <v/>
      </c>
      <c r="AS962" s="150" t="str">
        <f t="shared" si="609"/>
        <v/>
      </c>
      <c r="AT962" s="163" t="str">
        <f t="shared" si="588"/>
        <v/>
      </c>
      <c r="AU962" s="163" t="str">
        <f t="shared" si="589"/>
        <v/>
      </c>
      <c r="AV962" s="163" t="str">
        <f t="shared" si="610"/>
        <v/>
      </c>
      <c r="AW962" s="163" t="str">
        <f t="shared" si="590"/>
        <v/>
      </c>
      <c r="AX962" s="163" t="str">
        <f t="shared" si="591"/>
        <v/>
      </c>
      <c r="AY962" s="165" t="str">
        <f t="shared" si="611"/>
        <v/>
      </c>
      <c r="AZ962" s="164" t="str">
        <f>IF($E962="","",IF(OR(AND($D962=Input!$C$6,$C962=12),$AN962=1),0,-AS963+AT963+AU963-AV963-AW963-AX963+AZ963))</f>
        <v/>
      </c>
      <c r="BA962" s="154" t="str">
        <f t="shared" si="592"/>
        <v/>
      </c>
      <c r="BC962" s="147" t="str">
        <f t="shared" si="612"/>
        <v/>
      </c>
      <c r="BD962" s="164" t="str">
        <f>IF(AND($C961=12,$D961=Input!$C$6),0,IF($E962="","",AT962+(AU962+BD963)/(1+$AK962)*MIN((1-AM962-AN962),1)))</f>
        <v/>
      </c>
      <c r="BE962" s="164" t="str">
        <f t="shared" si="628"/>
        <v/>
      </c>
      <c r="BF962" s="164" t="str">
        <f t="shared" si="613"/>
        <v/>
      </c>
      <c r="BG962" s="164" t="str">
        <f t="shared" si="593"/>
        <v/>
      </c>
      <c r="BH962" s="152"/>
      <c r="BI962" s="162" t="str">
        <f t="shared" si="621"/>
        <v/>
      </c>
      <c r="BJ962" s="150" t="str">
        <f t="shared" si="622"/>
        <v/>
      </c>
      <c r="BK962" s="163" t="str">
        <f t="shared" si="617"/>
        <v/>
      </c>
      <c r="BL962" s="163" t="str">
        <f t="shared" si="623"/>
        <v/>
      </c>
      <c r="BM962" s="163" t="str">
        <f t="shared" si="618"/>
        <v/>
      </c>
      <c r="BN962" s="163" t="str">
        <f t="shared" si="624"/>
        <v/>
      </c>
      <c r="BO962" s="163" t="str">
        <f t="shared" si="625"/>
        <v/>
      </c>
      <c r="BP962" s="164" t="str">
        <f t="shared" si="619"/>
        <v/>
      </c>
      <c r="BQ962" s="164" t="str">
        <f t="shared" si="626"/>
        <v/>
      </c>
      <c r="BR962" s="154" t="str">
        <f t="shared" si="627"/>
        <v/>
      </c>
      <c r="BT962" s="147" t="str">
        <f t="shared" si="600"/>
        <v/>
      </c>
      <c r="BU962" s="164" t="str">
        <f>IF(AND($C961=12,$D961=Input!$C$6),0,IF($E962="","",BK962+(BL962+BU963)/(1+$AK962)*MIN((1-T962-U962),1)))</f>
        <v/>
      </c>
      <c r="BV962" s="164" t="str">
        <f t="shared" si="601"/>
        <v/>
      </c>
      <c r="BW962" s="164" t="str">
        <f t="shared" si="602"/>
        <v/>
      </c>
      <c r="BX962" s="164" t="str">
        <f t="shared" si="603"/>
        <v/>
      </c>
    </row>
    <row r="963" spans="1:76" s="150" customFormat="1" x14ac:dyDescent="0.25">
      <c r="A963" s="150" t="str">
        <f t="shared" si="614"/>
        <v/>
      </c>
      <c r="B963" s="150" t="str">
        <f t="shared" si="615"/>
        <v/>
      </c>
      <c r="C963" s="150" t="str">
        <f t="shared" si="616"/>
        <v/>
      </c>
      <c r="D963" s="150" t="str">
        <f>IF(E963="","",Input!$C$4+B963-1)</f>
        <v/>
      </c>
      <c r="E963" s="150" t="str">
        <f>IF(OR(AND(C962=12,D962=Input!$C$6),E962=""),"",1)</f>
        <v/>
      </c>
      <c r="F963" s="150" t="str">
        <f>IF(E963="","",Input!$C$8+B963-1)</f>
        <v/>
      </c>
      <c r="G963" s="151" t="str">
        <f>IF(E963="","",MAX(0,Input!$C$9-B963))</f>
        <v/>
      </c>
      <c r="H963" s="152" t="str">
        <f>IF(E963="","",Input!$C$3)</f>
        <v/>
      </c>
      <c r="I963" s="153" t="str">
        <f>IF(E963="","",HLOOKUP($B963,Input!$C$13:$BT$14,2))</f>
        <v/>
      </c>
      <c r="J963" s="154"/>
      <c r="K963" s="155" t="str">
        <f>IF($E963="","",INDEX(Input!$C$16:$CP$16,1,$B963))</f>
        <v/>
      </c>
      <c r="L963" s="155" t="str">
        <f>IF($E963="","",Input!$C$37)</f>
        <v/>
      </c>
      <c r="M963" s="155" t="str">
        <f t="shared" si="629"/>
        <v/>
      </c>
      <c r="N963" s="155" t="str">
        <f t="shared" si="630"/>
        <v/>
      </c>
      <c r="O963" s="147" t="str">
        <f>IF($E963="","",MIN(VLOOKUP(IF($B963&lt;=Input!$C$7,$B963,26),'Mortality Tables'!$A$41:$CW$67,IF($B963&lt;=Input!$C$7+1,Input!$C$4+2,$D963-Input!$C$7+2),0)*IF(B963&gt;20,Input!$C$22,1)/1000,1))</f>
        <v/>
      </c>
      <c r="P963" s="147" t="str">
        <f>IF($E963="","",MIN(VLOOKUP(IF($B963&lt;=Input!$C$7,$B963,26),'Mortality Tables'!$A$12:$CW$37,IF($B963&lt;=Input!$C$7+1,Input!$C$4+2,$D963-Input!$C$7+2),0)*IF(B963&gt;20,Input!$C$22,1)/1000,1))</f>
        <v/>
      </c>
      <c r="Q963" s="155" t="str">
        <f>IF($E963="","",Input!$C$21)</f>
        <v/>
      </c>
      <c r="R963" s="159" t="str">
        <f>IF($E963="","",(1-Q963)^($F963-Input!$C$20))</f>
        <v/>
      </c>
      <c r="S963" s="147" t="str">
        <f t="shared" si="583"/>
        <v/>
      </c>
      <c r="T963" s="147" t="str">
        <f t="shared" si="584"/>
        <v/>
      </c>
      <c r="U963" s="160" t="str">
        <f>IF($E963="","",IF($C963=12,INDEX(Input!$C$15:$CP$15,1,$B963),0))</f>
        <v/>
      </c>
      <c r="V963" s="150" t="str">
        <f>IF(E963="","",IF(C963=1,IF($B963=1,Input!$C$33,Input!$C$34),0))</f>
        <v/>
      </c>
      <c r="W963" s="156" t="str">
        <f>IF($E963="","",Input!$C$35)</f>
        <v/>
      </c>
      <c r="X963" s="156" t="str">
        <f t="shared" si="631"/>
        <v/>
      </c>
      <c r="Y963" s="154"/>
      <c r="Z963" s="147" t="str">
        <f>IF($E963="","",VLOOKUP($D963,'Mortality Margins &amp; Grading'!$AB$5:$AF$125,3,0)*IF(Summary!$D$25="Included Margin",IF(AND($B963&gt;Input!$C$9,Summary!$D$31&lt;&gt;"Included Margin"),0,1),0))</f>
        <v/>
      </c>
      <c r="AA963" s="147" t="str">
        <f>IF($E963="","",VLOOKUP($D963,'Mortality Margins &amp; Grading'!$AB$5:$AF$125,5,0)*IF(Summary!$D$25="Included Margin",IF(AND($B963&gt;Input!$C$9,Summary!$D$31&lt;&gt;"Included Margin"),0,1),0))</f>
        <v/>
      </c>
      <c r="AB963" s="147" t="str">
        <f>IF($E963="","",IF(AND($B963&gt;Input!$C$9,Summary!$D$31&lt;&gt;"Included Margin"),1,IF(Summary!$D$25="Included Margin",VLOOKUP($B963,'Mortality Margins &amp; Grading'!$AI$5:$AR$125,MATCH('Mortality Margins &amp; Grading'!$AQ$4,'Mortality Margins &amp; Grading'!$AI$4:$AR$4,0),0),1)))</f>
        <v/>
      </c>
      <c r="AC963" s="154"/>
      <c r="AD963" s="158" t="str">
        <f>IF(E963="","",Input!$C$48*IF(Summary!$D$30="Included Margin",IF(AND($B963&gt;Input!$C$9,Summary!$D$31&lt;&gt;"Included Margin"),0,1),0))</f>
        <v/>
      </c>
      <c r="AE963" s="159" t="str">
        <f>IF(E963="","",IF(Summary!$D$26="Included Margin",IF(AND($B963&gt;Input!$C$9,Summary!$D$31&lt;&gt;"Included Margin"),1,1/$R963),1))</f>
        <v/>
      </c>
      <c r="AF963" s="160" t="str">
        <f>IF(E963="","",IF(AND($B963&gt;=Input!$C$9,$C963=12,Summary!$D$31="Included Margin",$U963&gt;0),1/U963-1,IF($B963&gt;=Input!$C$9,0,Input!$C$45*IF(Summary!$D$27="Included Margin",1,0))))</f>
        <v/>
      </c>
      <c r="AG963" s="160" t="str">
        <f>IF(E963="","",Input!$C$46*IF(Summary!$D$28="Included Margin",IF(AND($B963&gt;Input!$C$9,Summary!$D$31&lt;&gt;"Included Margin"),0,1),0))</f>
        <v/>
      </c>
      <c r="AH963" s="158" t="str">
        <f>IF(E963="","",Input!$C$47*IF(Summary!$D$29="Included Margin",IF(AND($B963&gt;Input!$C$9,Summary!$D$31&lt;&gt;"Included Margin"),0,1),0))</f>
        <v/>
      </c>
      <c r="AI963" s="154"/>
      <c r="AJ963" s="158" t="str">
        <f t="shared" si="604"/>
        <v/>
      </c>
      <c r="AK963" s="155" t="str">
        <f t="shared" si="605"/>
        <v/>
      </c>
      <c r="AL963" s="147" t="str">
        <f t="shared" si="606"/>
        <v/>
      </c>
      <c r="AM963" s="147" t="str">
        <f t="shared" si="585"/>
        <v/>
      </c>
      <c r="AN963" s="160" t="str">
        <f t="shared" si="607"/>
        <v/>
      </c>
      <c r="AO963" s="161" t="str">
        <f t="shared" si="608"/>
        <v/>
      </c>
      <c r="AP963" s="156" t="str">
        <f t="shared" si="586"/>
        <v/>
      </c>
      <c r="AQ963" s="152"/>
      <c r="AR963" s="162" t="str">
        <f t="shared" si="587"/>
        <v/>
      </c>
      <c r="AS963" s="150" t="str">
        <f t="shared" si="609"/>
        <v/>
      </c>
      <c r="AT963" s="163" t="str">
        <f t="shared" si="588"/>
        <v/>
      </c>
      <c r="AU963" s="163" t="str">
        <f t="shared" si="589"/>
        <v/>
      </c>
      <c r="AV963" s="163" t="str">
        <f t="shared" si="610"/>
        <v/>
      </c>
      <c r="AW963" s="163" t="str">
        <f t="shared" si="590"/>
        <v/>
      </c>
      <c r="AX963" s="163" t="str">
        <f t="shared" si="591"/>
        <v/>
      </c>
      <c r="AY963" s="164" t="str">
        <f t="shared" si="611"/>
        <v/>
      </c>
      <c r="AZ963" s="164" t="str">
        <f>IF($E963="","",IF(OR(AND($D963=Input!$C$6,$C963=12),$AN963=1),0,-AS964+AT964+AU964-AV964-AW964-AX964+AZ964))</f>
        <v/>
      </c>
      <c r="BA963" s="154" t="str">
        <f t="shared" si="592"/>
        <v/>
      </c>
      <c r="BC963" s="147" t="str">
        <f t="shared" si="612"/>
        <v/>
      </c>
      <c r="BD963" s="164" t="str">
        <f>IF(AND($C962=12,$D962=Input!$C$6),0,IF($E963="","",AT963+(AU963+BD964)/(1+$AK963)*MIN((1-AM963-AN963),1)))</f>
        <v/>
      </c>
      <c r="BE963" s="164" t="str">
        <f t="shared" si="628"/>
        <v/>
      </c>
      <c r="BF963" s="164" t="str">
        <f t="shared" si="613"/>
        <v/>
      </c>
      <c r="BG963" s="164" t="str">
        <f t="shared" si="593"/>
        <v/>
      </c>
      <c r="BH963" s="152"/>
      <c r="BI963" s="162" t="str">
        <f t="shared" si="621"/>
        <v/>
      </c>
      <c r="BJ963" s="150" t="str">
        <f t="shared" si="622"/>
        <v/>
      </c>
      <c r="BK963" s="163" t="str">
        <f t="shared" si="617"/>
        <v/>
      </c>
      <c r="BL963" s="163" t="str">
        <f t="shared" si="623"/>
        <v/>
      </c>
      <c r="BM963" s="163" t="str">
        <f t="shared" si="618"/>
        <v/>
      </c>
      <c r="BN963" s="163" t="str">
        <f t="shared" si="624"/>
        <v/>
      </c>
      <c r="BO963" s="163" t="str">
        <f t="shared" si="625"/>
        <v/>
      </c>
      <c r="BP963" s="164" t="str">
        <f t="shared" si="619"/>
        <v/>
      </c>
      <c r="BQ963" s="164" t="str">
        <f t="shared" si="626"/>
        <v/>
      </c>
      <c r="BR963" s="154" t="str">
        <f t="shared" si="627"/>
        <v/>
      </c>
      <c r="BT963" s="147" t="str">
        <f t="shared" si="600"/>
        <v/>
      </c>
      <c r="BU963" s="164" t="str">
        <f>IF(AND($C962=12,$D962=Input!$C$6),0,IF($E963="","",BK963+(BL963+BU964)/(1+$AK963)*MIN((1-T963-U963),1)))</f>
        <v/>
      </c>
      <c r="BV963" s="164" t="str">
        <f t="shared" si="601"/>
        <v/>
      </c>
      <c r="BW963" s="164" t="str">
        <f t="shared" si="602"/>
        <v/>
      </c>
      <c r="BX963" s="164" t="str">
        <f t="shared" si="603"/>
        <v/>
      </c>
    </row>
    <row r="964" spans="1:76" s="150" customFormat="1" x14ac:dyDescent="0.25">
      <c r="A964" s="150" t="str">
        <f t="shared" si="614"/>
        <v/>
      </c>
      <c r="B964" s="150" t="str">
        <f t="shared" si="615"/>
        <v/>
      </c>
      <c r="C964" s="150" t="str">
        <f t="shared" si="616"/>
        <v/>
      </c>
      <c r="D964" s="150" t="str">
        <f>IF(E964="","",Input!$C$4+B964-1)</f>
        <v/>
      </c>
      <c r="E964" s="150" t="str">
        <f>IF(OR(AND(C963=12,D963=Input!$C$6),E963=""),"",1)</f>
        <v/>
      </c>
      <c r="F964" s="150" t="str">
        <f>IF(E964="","",Input!$C$8+B964-1)</f>
        <v/>
      </c>
      <c r="G964" s="151" t="str">
        <f>IF(E964="","",MAX(0,Input!$C$9-B964))</f>
        <v/>
      </c>
      <c r="H964" s="152" t="str">
        <f>IF(E964="","",Input!$C$3)</f>
        <v/>
      </c>
      <c r="I964" s="153" t="str">
        <f>IF(E964="","",HLOOKUP($B964,Input!$C$13:$BT$14,2))</f>
        <v/>
      </c>
      <c r="J964" s="154"/>
      <c r="K964" s="155" t="str">
        <f>IF($E964="","",INDEX(Input!$C$16:$CP$16,1,$B964))</f>
        <v/>
      </c>
      <c r="L964" s="155" t="str">
        <f>IF($E964="","",Input!$C$37)</f>
        <v/>
      </c>
      <c r="M964" s="155" t="str">
        <f t="shared" si="629"/>
        <v/>
      </c>
      <c r="N964" s="155" t="str">
        <f t="shared" si="630"/>
        <v/>
      </c>
      <c r="O964" s="147" t="str">
        <f>IF($E964="","",MIN(VLOOKUP(IF($B964&lt;=Input!$C$7,$B964,26),'Mortality Tables'!$A$41:$CW$67,IF($B964&lt;=Input!$C$7+1,Input!$C$4+2,$D964-Input!$C$7+2),0)*IF(B964&gt;20,Input!$C$22,1)/1000,1))</f>
        <v/>
      </c>
      <c r="P964" s="147" t="str">
        <f>IF($E964="","",MIN(VLOOKUP(IF($B964&lt;=Input!$C$7,$B964,26),'Mortality Tables'!$A$12:$CW$37,IF($B964&lt;=Input!$C$7+1,Input!$C$4+2,$D964-Input!$C$7+2),0)*IF(B964&gt;20,Input!$C$22,1)/1000,1))</f>
        <v/>
      </c>
      <c r="Q964" s="155" t="str">
        <f>IF($E964="","",Input!$C$21)</f>
        <v/>
      </c>
      <c r="R964" s="159" t="str">
        <f>IF($E964="","",(1-Q964)^($F964-Input!$C$20))</f>
        <v/>
      </c>
      <c r="S964" s="147" t="str">
        <f t="shared" si="583"/>
        <v/>
      </c>
      <c r="T964" s="147" t="str">
        <f t="shared" si="584"/>
        <v/>
      </c>
      <c r="U964" s="160" t="str">
        <f>IF($E964="","",IF($C964=12,INDEX(Input!$C$15:$CP$15,1,$B964),0))</f>
        <v/>
      </c>
      <c r="V964" s="150" t="str">
        <f>IF(E964="","",IF(C964=1,IF($B964=1,Input!$C$33,Input!$C$34),0))</f>
        <v/>
      </c>
      <c r="W964" s="156" t="str">
        <f>IF($E964="","",Input!$C$35)</f>
        <v/>
      </c>
      <c r="X964" s="156" t="str">
        <f t="shared" si="631"/>
        <v/>
      </c>
      <c r="Y964" s="154"/>
      <c r="Z964" s="147" t="str">
        <f>IF($E964="","",VLOOKUP($D964,'Mortality Margins &amp; Grading'!$AB$5:$AF$125,3,0)*IF(Summary!$D$25="Included Margin",IF(AND($B964&gt;Input!$C$9,Summary!$D$31&lt;&gt;"Included Margin"),0,1),0))</f>
        <v/>
      </c>
      <c r="AA964" s="147" t="str">
        <f>IF($E964="","",VLOOKUP($D964,'Mortality Margins &amp; Grading'!$AB$5:$AF$125,5,0)*IF(Summary!$D$25="Included Margin",IF(AND($B964&gt;Input!$C$9,Summary!$D$31&lt;&gt;"Included Margin"),0,1),0))</f>
        <v/>
      </c>
      <c r="AB964" s="147" t="str">
        <f>IF($E964="","",IF(AND($B964&gt;Input!$C$9,Summary!$D$31&lt;&gt;"Included Margin"),1,IF(Summary!$D$25="Included Margin",VLOOKUP($B964,'Mortality Margins &amp; Grading'!$AI$5:$AR$125,MATCH('Mortality Margins &amp; Grading'!$AQ$4,'Mortality Margins &amp; Grading'!$AI$4:$AR$4,0),0),1)))</f>
        <v/>
      </c>
      <c r="AC964" s="154"/>
      <c r="AD964" s="158" t="str">
        <f>IF(E964="","",Input!$C$48*IF(Summary!$D$30="Included Margin",IF(AND($B964&gt;Input!$C$9,Summary!$D$31&lt;&gt;"Included Margin"),0,1),0))</f>
        <v/>
      </c>
      <c r="AE964" s="159" t="str">
        <f>IF(E964="","",IF(Summary!$D$26="Included Margin",IF(AND($B964&gt;Input!$C$9,Summary!$D$31&lt;&gt;"Included Margin"),1,1/$R964),1))</f>
        <v/>
      </c>
      <c r="AF964" s="160" t="str">
        <f>IF(E964="","",IF(AND($B964&gt;=Input!$C$9,$C964=12,Summary!$D$31="Included Margin",$U964&gt;0),1/U964-1,IF($B964&gt;=Input!$C$9,0,Input!$C$45*IF(Summary!$D$27="Included Margin",1,0))))</f>
        <v/>
      </c>
      <c r="AG964" s="160" t="str">
        <f>IF(E964="","",Input!$C$46*IF(Summary!$D$28="Included Margin",IF(AND($B964&gt;Input!$C$9,Summary!$D$31&lt;&gt;"Included Margin"),0,1),0))</f>
        <v/>
      </c>
      <c r="AH964" s="158" t="str">
        <f>IF(E964="","",Input!$C$47*IF(Summary!$D$29="Included Margin",IF(AND($B964&gt;Input!$C$9,Summary!$D$31&lt;&gt;"Included Margin"),0,1),0))</f>
        <v/>
      </c>
      <c r="AI964" s="154"/>
      <c r="AJ964" s="158" t="str">
        <f t="shared" si="604"/>
        <v/>
      </c>
      <c r="AK964" s="155" t="str">
        <f t="shared" si="605"/>
        <v/>
      </c>
      <c r="AL964" s="147" t="str">
        <f t="shared" si="606"/>
        <v/>
      </c>
      <c r="AM964" s="147" t="str">
        <f t="shared" si="585"/>
        <v/>
      </c>
      <c r="AN964" s="160" t="str">
        <f t="shared" si="607"/>
        <v/>
      </c>
      <c r="AO964" s="161" t="str">
        <f t="shared" si="608"/>
        <v/>
      </c>
      <c r="AP964" s="156" t="str">
        <f t="shared" si="586"/>
        <v/>
      </c>
      <c r="AQ964" s="152"/>
      <c r="AR964" s="162" t="str">
        <f t="shared" si="587"/>
        <v/>
      </c>
      <c r="AS964" s="150" t="str">
        <f t="shared" si="609"/>
        <v/>
      </c>
      <c r="AT964" s="163" t="str">
        <f t="shared" si="588"/>
        <v/>
      </c>
      <c r="AU964" s="163" t="str">
        <f t="shared" si="589"/>
        <v/>
      </c>
      <c r="AV964" s="163" t="str">
        <f t="shared" si="610"/>
        <v/>
      </c>
      <c r="AW964" s="163" t="str">
        <f t="shared" si="590"/>
        <v/>
      </c>
      <c r="AX964" s="163" t="str">
        <f t="shared" si="591"/>
        <v/>
      </c>
      <c r="AY964" s="165" t="str">
        <f t="shared" si="611"/>
        <v/>
      </c>
      <c r="AZ964" s="164" t="str">
        <f>IF($E964="","",IF(OR(AND($D964=Input!$C$6,$C964=12),$AN964=1),0,-AS965+AT965+AU965-AV965-AW965-AX965+AZ965))</f>
        <v/>
      </c>
      <c r="BA964" s="154" t="str">
        <f t="shared" si="592"/>
        <v/>
      </c>
      <c r="BC964" s="147" t="str">
        <f t="shared" si="612"/>
        <v/>
      </c>
      <c r="BD964" s="164" t="str">
        <f>IF(AND($C963=12,$D963=Input!$C$6),0,IF($E964="","",AT964+(AU964+BD965)/(1+$AK964)*MIN((1-AM964-AN964),1)))</f>
        <v/>
      </c>
      <c r="BE964" s="164" t="str">
        <f t="shared" si="628"/>
        <v/>
      </c>
      <c r="BF964" s="164" t="str">
        <f t="shared" si="613"/>
        <v/>
      </c>
      <c r="BG964" s="164" t="str">
        <f t="shared" si="593"/>
        <v/>
      </c>
      <c r="BH964" s="152"/>
      <c r="BI964" s="162" t="str">
        <f t="shared" si="621"/>
        <v/>
      </c>
      <c r="BJ964" s="150" t="str">
        <f t="shared" si="622"/>
        <v/>
      </c>
      <c r="BK964" s="163" t="str">
        <f t="shared" si="617"/>
        <v/>
      </c>
      <c r="BL964" s="163" t="str">
        <f t="shared" si="623"/>
        <v/>
      </c>
      <c r="BM964" s="163" t="str">
        <f t="shared" si="618"/>
        <v/>
      </c>
      <c r="BN964" s="163" t="str">
        <f t="shared" si="624"/>
        <v/>
      </c>
      <c r="BO964" s="163" t="str">
        <f t="shared" si="625"/>
        <v/>
      </c>
      <c r="BP964" s="164" t="str">
        <f t="shared" si="619"/>
        <v/>
      </c>
      <c r="BQ964" s="164" t="str">
        <f t="shared" si="626"/>
        <v/>
      </c>
      <c r="BR964" s="154" t="str">
        <f t="shared" si="627"/>
        <v/>
      </c>
      <c r="BT964" s="147" t="str">
        <f t="shared" si="600"/>
        <v/>
      </c>
      <c r="BU964" s="164" t="str">
        <f>IF(AND($C963=12,$D963=Input!$C$6),0,IF($E964="","",BK964+(BL964+BU965)/(1+$AK964)*MIN((1-T964-U964),1)))</f>
        <v/>
      </c>
      <c r="BV964" s="164" t="str">
        <f t="shared" si="601"/>
        <v/>
      </c>
      <c r="BW964" s="164" t="str">
        <f t="shared" si="602"/>
        <v/>
      </c>
      <c r="BX964" s="164" t="str">
        <f t="shared" si="603"/>
        <v/>
      </c>
    </row>
    <row r="965" spans="1:76" s="150" customFormat="1" x14ac:dyDescent="0.25">
      <c r="A965" s="150" t="str">
        <f t="shared" si="614"/>
        <v/>
      </c>
      <c r="B965" s="150" t="str">
        <f t="shared" si="615"/>
        <v/>
      </c>
      <c r="C965" s="150" t="str">
        <f t="shared" si="616"/>
        <v/>
      </c>
      <c r="D965" s="150" t="str">
        <f>IF(E965="","",Input!$C$4+B965-1)</f>
        <v/>
      </c>
      <c r="E965" s="150" t="str">
        <f>IF(OR(AND(C964=12,D964=Input!$C$6),E964=""),"",1)</f>
        <v/>
      </c>
      <c r="F965" s="150" t="str">
        <f>IF(E965="","",Input!$C$8+B965-1)</f>
        <v/>
      </c>
      <c r="G965" s="151" t="str">
        <f>IF(E965="","",MAX(0,Input!$C$9-B965))</f>
        <v/>
      </c>
      <c r="H965" s="152" t="str">
        <f>IF(E965="","",Input!$C$3)</f>
        <v/>
      </c>
      <c r="I965" s="153" t="str">
        <f>IF(E965="","",HLOOKUP($B965,Input!$C$13:$BT$14,2))</f>
        <v/>
      </c>
      <c r="J965" s="154"/>
      <c r="K965" s="155" t="str">
        <f>IF($E965="","",INDEX(Input!$C$16:$CP$16,1,$B965))</f>
        <v/>
      </c>
      <c r="L965" s="155" t="str">
        <f>IF($E965="","",Input!$C$37)</f>
        <v/>
      </c>
      <c r="M965" s="155" t="str">
        <f t="shared" si="629"/>
        <v/>
      </c>
      <c r="N965" s="155" t="str">
        <f t="shared" si="630"/>
        <v/>
      </c>
      <c r="O965" s="147" t="str">
        <f>IF($E965="","",MIN(VLOOKUP(IF($B965&lt;=Input!$C$7,$B965,26),'Mortality Tables'!$A$41:$CW$67,IF($B965&lt;=Input!$C$7+1,Input!$C$4+2,$D965-Input!$C$7+2),0)*IF(B965&gt;20,Input!$C$22,1)/1000,1))</f>
        <v/>
      </c>
      <c r="P965" s="147" t="str">
        <f>IF($E965="","",MIN(VLOOKUP(IF($B965&lt;=Input!$C$7,$B965,26),'Mortality Tables'!$A$12:$CW$37,IF($B965&lt;=Input!$C$7+1,Input!$C$4+2,$D965-Input!$C$7+2),0)*IF(B965&gt;20,Input!$C$22,1)/1000,1))</f>
        <v/>
      </c>
      <c r="Q965" s="155" t="str">
        <f>IF($E965="","",Input!$C$21)</f>
        <v/>
      </c>
      <c r="R965" s="159" t="str">
        <f>IF($E965="","",(1-Q965)^($F965-Input!$C$20))</f>
        <v/>
      </c>
      <c r="S965" s="147" t="str">
        <f t="shared" ref="S965:S1028" si="632">IF($E965="","",MIN(O965*R965,1))</f>
        <v/>
      </c>
      <c r="T965" s="147" t="str">
        <f t="shared" ref="T965:T1028" si="633">IF($E965="","",1-(1-S965)^(1/12))</f>
        <v/>
      </c>
      <c r="U965" s="160" t="str">
        <f>IF($E965="","",IF($C965=12,INDEX(Input!$C$15:$CP$15,1,$B965),0))</f>
        <v/>
      </c>
      <c r="V965" s="150" t="str">
        <f>IF(E965="","",IF(C965=1,IF($B965=1,Input!$C$33,Input!$C$34),0))</f>
        <v/>
      </c>
      <c r="W965" s="156" t="str">
        <f>IF($E965="","",Input!$C$35)</f>
        <v/>
      </c>
      <c r="X965" s="156" t="str">
        <f t="shared" si="631"/>
        <v/>
      </c>
      <c r="Y965" s="154"/>
      <c r="Z965" s="147" t="str">
        <f>IF($E965="","",VLOOKUP($D965,'Mortality Margins &amp; Grading'!$AB$5:$AF$125,3,0)*IF(Summary!$D$25="Included Margin",IF(AND($B965&gt;Input!$C$9,Summary!$D$31&lt;&gt;"Included Margin"),0,1),0))</f>
        <v/>
      </c>
      <c r="AA965" s="147" t="str">
        <f>IF($E965="","",VLOOKUP($D965,'Mortality Margins &amp; Grading'!$AB$5:$AF$125,5,0)*IF(Summary!$D$25="Included Margin",IF(AND($B965&gt;Input!$C$9,Summary!$D$31&lt;&gt;"Included Margin"),0,1),0))</f>
        <v/>
      </c>
      <c r="AB965" s="147" t="str">
        <f>IF($E965="","",IF(AND($B965&gt;Input!$C$9,Summary!$D$31&lt;&gt;"Included Margin"),1,IF(Summary!$D$25="Included Margin",VLOOKUP($B965,'Mortality Margins &amp; Grading'!$AI$5:$AR$125,MATCH('Mortality Margins &amp; Grading'!$AQ$4,'Mortality Margins &amp; Grading'!$AI$4:$AR$4,0),0),1)))</f>
        <v/>
      </c>
      <c r="AC965" s="154"/>
      <c r="AD965" s="158" t="str">
        <f>IF(E965="","",Input!$C$48*IF(Summary!$D$30="Included Margin",IF(AND($B965&gt;Input!$C$9,Summary!$D$31&lt;&gt;"Included Margin"),0,1),0))</f>
        <v/>
      </c>
      <c r="AE965" s="159" t="str">
        <f>IF(E965="","",IF(Summary!$D$26="Included Margin",IF(AND($B965&gt;Input!$C$9,Summary!$D$31&lt;&gt;"Included Margin"),1,1/$R965),1))</f>
        <v/>
      </c>
      <c r="AF965" s="160" t="str">
        <f>IF(E965="","",IF(AND($B965&gt;=Input!$C$9,$C965=12,Summary!$D$31="Included Margin",$U965&gt;0),1/U965-1,IF($B965&gt;=Input!$C$9,0,Input!$C$45*IF(Summary!$D$27="Included Margin",1,0))))</f>
        <v/>
      </c>
      <c r="AG965" s="160" t="str">
        <f>IF(E965="","",Input!$C$46*IF(Summary!$D$28="Included Margin",IF(AND($B965&gt;Input!$C$9,Summary!$D$31&lt;&gt;"Included Margin"),0,1),0))</f>
        <v/>
      </c>
      <c r="AH965" s="158" t="str">
        <f>IF(E965="","",Input!$C$47*IF(Summary!$D$29="Included Margin",IF(AND($B965&gt;Input!$C$9,Summary!$D$31&lt;&gt;"Included Margin"),0,1),0))</f>
        <v/>
      </c>
      <c r="AI965" s="154"/>
      <c r="AJ965" s="158" t="str">
        <f t="shared" si="604"/>
        <v/>
      </c>
      <c r="AK965" s="155" t="str">
        <f t="shared" si="605"/>
        <v/>
      </c>
      <c r="AL965" s="147" t="str">
        <f t="shared" si="606"/>
        <v/>
      </c>
      <c r="AM965" s="147" t="str">
        <f t="shared" ref="AM965:AM1028" si="634">IF($E965="","",1-(1-AL965)^(1/12))</f>
        <v/>
      </c>
      <c r="AN965" s="160" t="str">
        <f t="shared" si="607"/>
        <v/>
      </c>
      <c r="AO965" s="161" t="str">
        <f t="shared" si="608"/>
        <v/>
      </c>
      <c r="AP965" s="156" t="str">
        <f t="shared" ref="AP965:AP1028" si="635">IF($E965="","",IF(B965=1,1,IF(C965=1,(1+$W965+$AH965)*AP964,AP964)))</f>
        <v/>
      </c>
      <c r="AQ965" s="152"/>
      <c r="AR965" s="162" t="str">
        <f t="shared" ref="AR965:AR1028" si="636">IF($E965="","",(AZ965*(1-$AN965)*(1-$AM965)/(1+$AK965)+AU965/(1+$AK965/2)-AS965+AT965))</f>
        <v/>
      </c>
      <c r="AS965" s="150" t="str">
        <f t="shared" si="609"/>
        <v/>
      </c>
      <c r="AT965" s="163" t="str">
        <f t="shared" ref="AT965:AT1028" si="637">IF($E965="","",$AO965*$AP965)</f>
        <v/>
      </c>
      <c r="AU965" s="163" t="str">
        <f t="shared" ref="AU965:AU1028" si="638">IF($E965="","",$AM965*$H965)</f>
        <v/>
      </c>
      <c r="AV965" s="163" t="str">
        <f t="shared" si="610"/>
        <v/>
      </c>
      <c r="AW965" s="163" t="str">
        <f t="shared" ref="AW965:AW1028" si="639">IF($E965="","",AZ965*$AM965)</f>
        <v/>
      </c>
      <c r="AX965" s="163" t="str">
        <f t="shared" ref="AX965:AX1028" si="640">IF($E965="","",$AN965*AZ965*(1-$AM965))</f>
        <v/>
      </c>
      <c r="AY965" s="164" t="str">
        <f t="shared" si="611"/>
        <v/>
      </c>
      <c r="AZ965" s="164" t="str">
        <f>IF($E965="","",IF(OR(AND($D965=Input!$C$6,$C965=12),$AN965=1),0,-AS966+AT966+AU966-AV966-AW966-AX966+AZ966))</f>
        <v/>
      </c>
      <c r="BA965" s="154" t="str">
        <f t="shared" ref="BA965:BA1028" si="641">IF(E965="","",AZ965-AY965)</f>
        <v/>
      </c>
      <c r="BC965" s="147" t="str">
        <f t="shared" si="612"/>
        <v/>
      </c>
      <c r="BD965" s="164" t="str">
        <f>IF(AND($C964=12,$D964=Input!$C$6),0,IF($E965="","",AT965+(AU965+BD966)/(1+$AK965)*MIN((1-AM965-AN965),1)))</f>
        <v/>
      </c>
      <c r="BE965" s="164" t="str">
        <f t="shared" si="628"/>
        <v/>
      </c>
      <c r="BF965" s="164" t="str">
        <f t="shared" si="613"/>
        <v/>
      </c>
      <c r="BG965" s="164" t="str">
        <f t="shared" ref="BG965:BG1028" si="642">IF($E965="","",BC965*BF965)</f>
        <v/>
      </c>
      <c r="BH965" s="152"/>
      <c r="BI965" s="162" t="str">
        <f t="shared" si="621"/>
        <v/>
      </c>
      <c r="BJ965" s="150" t="str">
        <f t="shared" si="622"/>
        <v/>
      </c>
      <c r="BK965" s="163" t="str">
        <f t="shared" si="617"/>
        <v/>
      </c>
      <c r="BL965" s="163" t="str">
        <f t="shared" si="623"/>
        <v/>
      </c>
      <c r="BM965" s="163" t="str">
        <f t="shared" si="618"/>
        <v/>
      </c>
      <c r="BN965" s="163" t="str">
        <f t="shared" si="624"/>
        <v/>
      </c>
      <c r="BO965" s="163" t="str">
        <f t="shared" si="625"/>
        <v/>
      </c>
      <c r="BP965" s="164" t="str">
        <f t="shared" si="619"/>
        <v/>
      </c>
      <c r="BQ965" s="164" t="str">
        <f t="shared" si="626"/>
        <v/>
      </c>
      <c r="BR965" s="154" t="str">
        <f t="shared" si="627"/>
        <v/>
      </c>
      <c r="BT965" s="147" t="str">
        <f t="shared" ref="BT965:BT1028" si="643">IF(E965="","",BC965)</f>
        <v/>
      </c>
      <c r="BU965" s="164" t="str">
        <f>IF(AND($C964=12,$D964=Input!$C$6),0,IF($E965="","",BK965+(BL965+BU966)/(1+$AK965)*MIN((1-T965-U965),1)))</f>
        <v/>
      </c>
      <c r="BV965" s="164" t="str">
        <f t="shared" ref="BV965:BV1028" si="644">IF(E965="","",BT965*BU965)</f>
        <v/>
      </c>
      <c r="BW965" s="164" t="str">
        <f t="shared" ref="BW965:BW1028" si="645">IF(E965="","",BQ965)</f>
        <v/>
      </c>
      <c r="BX965" s="164" t="str">
        <f t="shared" ref="BX965:BX1028" si="646">IF(E965="","",BT965*BW965)</f>
        <v/>
      </c>
    </row>
    <row r="966" spans="1:76" s="150" customFormat="1" x14ac:dyDescent="0.25">
      <c r="A966" s="150" t="str">
        <f t="shared" si="614"/>
        <v/>
      </c>
      <c r="B966" s="150" t="str">
        <f t="shared" si="615"/>
        <v/>
      </c>
      <c r="C966" s="150" t="str">
        <f t="shared" si="616"/>
        <v/>
      </c>
      <c r="D966" s="150" t="str">
        <f>IF(E966="","",Input!$C$4+B966-1)</f>
        <v/>
      </c>
      <c r="E966" s="150" t="str">
        <f>IF(OR(AND(C965=12,D965=Input!$C$6),E965=""),"",1)</f>
        <v/>
      </c>
      <c r="F966" s="150" t="str">
        <f>IF(E966="","",Input!$C$8+B966-1)</f>
        <v/>
      </c>
      <c r="G966" s="151" t="str">
        <f>IF(E966="","",MAX(0,Input!$C$9-B966))</f>
        <v/>
      </c>
      <c r="H966" s="152" t="str">
        <f>IF(E966="","",Input!$C$3)</f>
        <v/>
      </c>
      <c r="I966" s="153" t="str">
        <f>IF(E966="","",HLOOKUP($B966,Input!$C$13:$BT$14,2))</f>
        <v/>
      </c>
      <c r="J966" s="154"/>
      <c r="K966" s="155" t="str">
        <f>IF($E966="","",INDEX(Input!$C$16:$CP$16,1,$B966))</f>
        <v/>
      </c>
      <c r="L966" s="155" t="str">
        <f>IF($E966="","",Input!$C$37)</f>
        <v/>
      </c>
      <c r="M966" s="155" t="str">
        <f t="shared" si="629"/>
        <v/>
      </c>
      <c r="N966" s="155" t="str">
        <f t="shared" si="630"/>
        <v/>
      </c>
      <c r="O966" s="147" t="str">
        <f>IF($E966="","",MIN(VLOOKUP(IF($B966&lt;=Input!$C$7,$B966,26),'Mortality Tables'!$A$41:$CW$67,IF($B966&lt;=Input!$C$7+1,Input!$C$4+2,$D966-Input!$C$7+2),0)*IF(B966&gt;20,Input!$C$22,1)/1000,1))</f>
        <v/>
      </c>
      <c r="P966" s="147" t="str">
        <f>IF($E966="","",MIN(VLOOKUP(IF($B966&lt;=Input!$C$7,$B966,26),'Mortality Tables'!$A$12:$CW$37,IF($B966&lt;=Input!$C$7+1,Input!$C$4+2,$D966-Input!$C$7+2),0)*IF(B966&gt;20,Input!$C$22,1)/1000,1))</f>
        <v/>
      </c>
      <c r="Q966" s="155" t="str">
        <f>IF($E966="","",Input!$C$21)</f>
        <v/>
      </c>
      <c r="R966" s="159" t="str">
        <f>IF($E966="","",(1-Q966)^($F966-Input!$C$20))</f>
        <v/>
      </c>
      <c r="S966" s="147" t="str">
        <f t="shared" si="632"/>
        <v/>
      </c>
      <c r="T966" s="147" t="str">
        <f t="shared" si="633"/>
        <v/>
      </c>
      <c r="U966" s="160" t="str">
        <f>IF($E966="","",IF($C966=12,INDEX(Input!$C$15:$CP$15,1,$B966),0))</f>
        <v/>
      </c>
      <c r="V966" s="150" t="str">
        <f>IF(E966="","",IF(C966=1,IF($B966=1,Input!$C$33,Input!$C$34),0))</f>
        <v/>
      </c>
      <c r="W966" s="156" t="str">
        <f>IF($E966="","",Input!$C$35)</f>
        <v/>
      </c>
      <c r="X966" s="156" t="str">
        <f t="shared" si="631"/>
        <v/>
      </c>
      <c r="Y966" s="154"/>
      <c r="Z966" s="147" t="str">
        <f>IF($E966="","",VLOOKUP($D966,'Mortality Margins &amp; Grading'!$AB$5:$AF$125,3,0)*IF(Summary!$D$25="Included Margin",IF(AND($B966&gt;Input!$C$9,Summary!$D$31&lt;&gt;"Included Margin"),0,1),0))</f>
        <v/>
      </c>
      <c r="AA966" s="147" t="str">
        <f>IF($E966="","",VLOOKUP($D966,'Mortality Margins &amp; Grading'!$AB$5:$AF$125,5,0)*IF(Summary!$D$25="Included Margin",IF(AND($B966&gt;Input!$C$9,Summary!$D$31&lt;&gt;"Included Margin"),0,1),0))</f>
        <v/>
      </c>
      <c r="AB966" s="147" t="str">
        <f>IF($E966="","",IF(AND($B966&gt;Input!$C$9,Summary!$D$31&lt;&gt;"Included Margin"),1,IF(Summary!$D$25="Included Margin",VLOOKUP($B966,'Mortality Margins &amp; Grading'!$AI$5:$AR$125,MATCH('Mortality Margins &amp; Grading'!$AQ$4,'Mortality Margins &amp; Grading'!$AI$4:$AR$4,0),0),1)))</f>
        <v/>
      </c>
      <c r="AC966" s="154"/>
      <c r="AD966" s="158" t="str">
        <f>IF(E966="","",Input!$C$48*IF(Summary!$D$30="Included Margin",IF(AND($B966&gt;Input!$C$9,Summary!$D$31&lt;&gt;"Included Margin"),0,1),0))</f>
        <v/>
      </c>
      <c r="AE966" s="159" t="str">
        <f>IF(E966="","",IF(Summary!$D$26="Included Margin",IF(AND($B966&gt;Input!$C$9,Summary!$D$31&lt;&gt;"Included Margin"),1,1/$R966),1))</f>
        <v/>
      </c>
      <c r="AF966" s="160" t="str">
        <f>IF(E966="","",IF(AND($B966&gt;=Input!$C$9,$C966=12,Summary!$D$31="Included Margin",$U966&gt;0),1/U966-1,IF($B966&gt;=Input!$C$9,0,Input!$C$45*IF(Summary!$D$27="Included Margin",1,0))))</f>
        <v/>
      </c>
      <c r="AG966" s="160" t="str">
        <f>IF(E966="","",Input!$C$46*IF(Summary!$D$28="Included Margin",IF(AND($B966&gt;Input!$C$9,Summary!$D$31&lt;&gt;"Included Margin"),0,1),0))</f>
        <v/>
      </c>
      <c r="AH966" s="158" t="str">
        <f>IF(E966="","",Input!$C$47*IF(Summary!$D$29="Included Margin",IF(AND($B966&gt;Input!$C$9,Summary!$D$31&lt;&gt;"Included Margin"),0,1),0))</f>
        <v/>
      </c>
      <c r="AI966" s="154"/>
      <c r="AJ966" s="158" t="str">
        <f t="shared" ref="AJ966:AJ1029" si="647">IF(E966="","",M966+AD966)</f>
        <v/>
      </c>
      <c r="AK966" s="155" t="str">
        <f t="shared" ref="AK966:AK1029" si="648">IF(E966="","",(1+AJ966)^(1/12)-1)</f>
        <v/>
      </c>
      <c r="AL966" s="147" t="str">
        <f t="shared" ref="AL966:AL1029" si="649">IF($E966="","",MIN(($O966*(1+$Z966)*$AB966+$P966*(1+$AA966)*(1-$AB966))*R966*AE966,1))</f>
        <v/>
      </c>
      <c r="AM966" s="147" t="str">
        <f t="shared" si="634"/>
        <v/>
      </c>
      <c r="AN966" s="160" t="str">
        <f t="shared" ref="AN966:AN1029" si="650">IF(E966="","",IF(U966=1,1,(1+AF966)*U966))</f>
        <v/>
      </c>
      <c r="AO966" s="161" t="str">
        <f t="shared" ref="AO966:AO1029" si="651">IF($E966="","",(1+$AG966)*$V966)</f>
        <v/>
      </c>
      <c r="AP966" s="156" t="str">
        <f t="shared" si="635"/>
        <v/>
      </c>
      <c r="AQ966" s="152"/>
      <c r="AR966" s="162" t="str">
        <f t="shared" si="636"/>
        <v/>
      </c>
      <c r="AS966" s="150" t="str">
        <f t="shared" ref="AS966:AS1029" si="652">IF($E966="","",IF($C966=1,$I966*$H966/1000,0))</f>
        <v/>
      </c>
      <c r="AT966" s="163" t="str">
        <f t="shared" si="637"/>
        <v/>
      </c>
      <c r="AU966" s="163" t="str">
        <f t="shared" si="638"/>
        <v/>
      </c>
      <c r="AV966" s="163" t="str">
        <f t="shared" ref="AV966:AV1029" si="653">IF($E966="","",(AR966+AS966-AT966-AU966/2)*$AK966)</f>
        <v/>
      </c>
      <c r="AW966" s="163" t="str">
        <f t="shared" si="639"/>
        <v/>
      </c>
      <c r="AX966" s="163" t="str">
        <f t="shared" si="640"/>
        <v/>
      </c>
      <c r="AY966" s="165" t="str">
        <f t="shared" ref="AY966:AY1029" si="654">IF($E966="","",AR966+AS966-AT966-AU966+AV966+AW966+AX966)</f>
        <v/>
      </c>
      <c r="AZ966" s="164" t="str">
        <f>IF($E966="","",IF(OR(AND($D966=Input!$C$6,$C966=12),$AN966=1),0,-AS967+AT967+AU967-AV967-AW967-AX967+AZ967))</f>
        <v/>
      </c>
      <c r="BA966" s="154" t="str">
        <f t="shared" si="641"/>
        <v/>
      </c>
      <c r="BC966" s="147" t="str">
        <f t="shared" ref="BC966:BC1029" si="655">IF($E966="","",MIN(1,(1-T966-U966))*BC965)</f>
        <v/>
      </c>
      <c r="BD966" s="164" t="str">
        <f>IF(AND($C965=12,$D965=Input!$C$6),0,IF($E966="","",AT966+(AU966+BD967)/(1+$AK966)*MIN((1-AM966-AN966),1)))</f>
        <v/>
      </c>
      <c r="BE966" s="164" t="str">
        <f t="shared" si="628"/>
        <v/>
      </c>
      <c r="BF966" s="164" t="str">
        <f t="shared" ref="BF966:BF1029" si="656">IF($E966="","",AZ966)</f>
        <v/>
      </c>
      <c r="BG966" s="164" t="str">
        <f t="shared" si="642"/>
        <v/>
      </c>
      <c r="BH966" s="152"/>
      <c r="BI966" s="162" t="str">
        <f t="shared" si="621"/>
        <v/>
      </c>
      <c r="BJ966" s="150" t="str">
        <f t="shared" si="622"/>
        <v/>
      </c>
      <c r="BK966" s="163" t="str">
        <f t="shared" si="617"/>
        <v/>
      </c>
      <c r="BL966" s="163" t="str">
        <f t="shared" si="623"/>
        <v/>
      </c>
      <c r="BM966" s="163" t="str">
        <f t="shared" si="618"/>
        <v/>
      </c>
      <c r="BN966" s="163" t="str">
        <f t="shared" si="624"/>
        <v/>
      </c>
      <c r="BO966" s="163" t="str">
        <f t="shared" si="625"/>
        <v/>
      </c>
      <c r="BP966" s="164" t="str">
        <f t="shared" si="619"/>
        <v/>
      </c>
      <c r="BQ966" s="164" t="str">
        <f t="shared" ref="BQ966:BQ1029" si="657">IF($E966="","",IF($U966=1,0,-BJ967+BK967+BL967-BM967-BN967-BO967+BQ967))</f>
        <v/>
      </c>
      <c r="BR966" s="154" t="str">
        <f t="shared" si="627"/>
        <v/>
      </c>
      <c r="BT966" s="147" t="str">
        <f t="shared" si="643"/>
        <v/>
      </c>
      <c r="BU966" s="164" t="str">
        <f>IF(AND($C965=12,$D965=Input!$C$6),0,IF($E966="","",BK966+(BL966+BU967)/(1+$AK966)*MIN((1-T966-U966),1)))</f>
        <v/>
      </c>
      <c r="BV966" s="164" t="str">
        <f t="shared" si="644"/>
        <v/>
      </c>
      <c r="BW966" s="164" t="str">
        <f t="shared" si="645"/>
        <v/>
      </c>
      <c r="BX966" s="164" t="str">
        <f t="shared" si="646"/>
        <v/>
      </c>
    </row>
    <row r="967" spans="1:76" s="150" customFormat="1" x14ac:dyDescent="0.25">
      <c r="A967" s="150" t="str">
        <f t="shared" ref="A967:A1030" si="658">IF(E967="","",A966+1)</f>
        <v/>
      </c>
      <c r="B967" s="150" t="str">
        <f t="shared" ref="B967:B1030" si="659">IF(E967="","",IF(C966+1&gt;12,B966+1,B966))</f>
        <v/>
      </c>
      <c r="C967" s="150" t="str">
        <f t="shared" ref="C967:C1030" si="660">IF(E967="","",IF(C966+1&gt;12,1,C966+1))</f>
        <v/>
      </c>
      <c r="D967" s="150" t="str">
        <f>IF(E967="","",Input!$C$4+B967-1)</f>
        <v/>
      </c>
      <c r="E967" s="150" t="str">
        <f>IF(OR(AND(C966=12,D966=Input!$C$6),E966=""),"",1)</f>
        <v/>
      </c>
      <c r="F967" s="150" t="str">
        <f>IF(E967="","",Input!$C$8+B967-1)</f>
        <v/>
      </c>
      <c r="G967" s="151" t="str">
        <f>IF(E967="","",MAX(0,Input!$C$9-B967))</f>
        <v/>
      </c>
      <c r="H967" s="152" t="str">
        <f>IF(E967="","",Input!$C$3)</f>
        <v/>
      </c>
      <c r="I967" s="153" t="str">
        <f>IF(E967="","",HLOOKUP($B967,Input!$C$13:$BT$14,2))</f>
        <v/>
      </c>
      <c r="J967" s="154"/>
      <c r="K967" s="155" t="str">
        <f>IF($E967="","",INDEX(Input!$C$16:$CP$16,1,$B967))</f>
        <v/>
      </c>
      <c r="L967" s="155" t="str">
        <f>IF($E967="","",Input!$C$37)</f>
        <v/>
      </c>
      <c r="M967" s="155" t="str">
        <f t="shared" si="629"/>
        <v/>
      </c>
      <c r="N967" s="155" t="str">
        <f t="shared" si="630"/>
        <v/>
      </c>
      <c r="O967" s="147" t="str">
        <f>IF($E967="","",MIN(VLOOKUP(IF($B967&lt;=Input!$C$7,$B967,26),'Mortality Tables'!$A$41:$CW$67,IF($B967&lt;=Input!$C$7+1,Input!$C$4+2,$D967-Input!$C$7+2),0)*IF(B967&gt;20,Input!$C$22,1)/1000,1))</f>
        <v/>
      </c>
      <c r="P967" s="147" t="str">
        <f>IF($E967="","",MIN(VLOOKUP(IF($B967&lt;=Input!$C$7,$B967,26),'Mortality Tables'!$A$12:$CW$37,IF($B967&lt;=Input!$C$7+1,Input!$C$4+2,$D967-Input!$C$7+2),0)*IF(B967&gt;20,Input!$C$22,1)/1000,1))</f>
        <v/>
      </c>
      <c r="Q967" s="155" t="str">
        <f>IF($E967="","",Input!$C$21)</f>
        <v/>
      </c>
      <c r="R967" s="159" t="str">
        <f>IF($E967="","",(1-Q967)^($F967-Input!$C$20))</f>
        <v/>
      </c>
      <c r="S967" s="147" t="str">
        <f t="shared" si="632"/>
        <v/>
      </c>
      <c r="T967" s="147" t="str">
        <f t="shared" si="633"/>
        <v/>
      </c>
      <c r="U967" s="160" t="str">
        <f>IF($E967="","",IF($C967=12,INDEX(Input!$C$15:$CP$15,1,$B967),0))</f>
        <v/>
      </c>
      <c r="V967" s="150" t="str">
        <f>IF(E967="","",IF(C967=1,IF($B967=1,Input!$C$33,Input!$C$34),0))</f>
        <v/>
      </c>
      <c r="W967" s="156" t="str">
        <f>IF($E967="","",Input!$C$35)</f>
        <v/>
      </c>
      <c r="X967" s="156" t="str">
        <f t="shared" si="631"/>
        <v/>
      </c>
      <c r="Y967" s="154"/>
      <c r="Z967" s="147" t="str">
        <f>IF($E967="","",VLOOKUP($D967,'Mortality Margins &amp; Grading'!$AB$5:$AF$125,3,0)*IF(Summary!$D$25="Included Margin",IF(AND($B967&gt;Input!$C$9,Summary!$D$31&lt;&gt;"Included Margin"),0,1),0))</f>
        <v/>
      </c>
      <c r="AA967" s="147" t="str">
        <f>IF($E967="","",VLOOKUP($D967,'Mortality Margins &amp; Grading'!$AB$5:$AF$125,5,0)*IF(Summary!$D$25="Included Margin",IF(AND($B967&gt;Input!$C$9,Summary!$D$31&lt;&gt;"Included Margin"),0,1),0))</f>
        <v/>
      </c>
      <c r="AB967" s="147" t="str">
        <f>IF($E967="","",IF(AND($B967&gt;Input!$C$9,Summary!$D$31&lt;&gt;"Included Margin"),1,IF(Summary!$D$25="Included Margin",VLOOKUP($B967,'Mortality Margins &amp; Grading'!$AI$5:$AR$125,MATCH('Mortality Margins &amp; Grading'!$AQ$4,'Mortality Margins &amp; Grading'!$AI$4:$AR$4,0),0),1)))</f>
        <v/>
      </c>
      <c r="AC967" s="154"/>
      <c r="AD967" s="158" t="str">
        <f>IF(E967="","",Input!$C$48*IF(Summary!$D$30="Included Margin",IF(AND($B967&gt;Input!$C$9,Summary!$D$31&lt;&gt;"Included Margin"),0,1),0))</f>
        <v/>
      </c>
      <c r="AE967" s="159" t="str">
        <f>IF(E967="","",IF(Summary!$D$26="Included Margin",IF(AND($B967&gt;Input!$C$9,Summary!$D$31&lt;&gt;"Included Margin"),1,1/$R967),1))</f>
        <v/>
      </c>
      <c r="AF967" s="160" t="str">
        <f>IF(E967="","",IF(AND($B967&gt;=Input!$C$9,$C967=12,Summary!$D$31="Included Margin",$U967&gt;0),1/U967-1,IF($B967&gt;=Input!$C$9,0,Input!$C$45*IF(Summary!$D$27="Included Margin",1,0))))</f>
        <v/>
      </c>
      <c r="AG967" s="160" t="str">
        <f>IF(E967="","",Input!$C$46*IF(Summary!$D$28="Included Margin",IF(AND($B967&gt;Input!$C$9,Summary!$D$31&lt;&gt;"Included Margin"),0,1),0))</f>
        <v/>
      </c>
      <c r="AH967" s="158" t="str">
        <f>IF(E967="","",Input!$C$47*IF(Summary!$D$29="Included Margin",IF(AND($B967&gt;Input!$C$9,Summary!$D$31&lt;&gt;"Included Margin"),0,1),0))</f>
        <v/>
      </c>
      <c r="AI967" s="154"/>
      <c r="AJ967" s="158" t="str">
        <f t="shared" si="647"/>
        <v/>
      </c>
      <c r="AK967" s="155" t="str">
        <f t="shared" si="648"/>
        <v/>
      </c>
      <c r="AL967" s="147" t="str">
        <f t="shared" si="649"/>
        <v/>
      </c>
      <c r="AM967" s="147" t="str">
        <f t="shared" si="634"/>
        <v/>
      </c>
      <c r="AN967" s="160" t="str">
        <f t="shared" si="650"/>
        <v/>
      </c>
      <c r="AO967" s="161" t="str">
        <f t="shared" si="651"/>
        <v/>
      </c>
      <c r="AP967" s="156" t="str">
        <f t="shared" si="635"/>
        <v/>
      </c>
      <c r="AQ967" s="152"/>
      <c r="AR967" s="162" t="str">
        <f t="shared" si="636"/>
        <v/>
      </c>
      <c r="AS967" s="150" t="str">
        <f t="shared" si="652"/>
        <v/>
      </c>
      <c r="AT967" s="163" t="str">
        <f t="shared" si="637"/>
        <v/>
      </c>
      <c r="AU967" s="163" t="str">
        <f t="shared" si="638"/>
        <v/>
      </c>
      <c r="AV967" s="163" t="str">
        <f t="shared" si="653"/>
        <v/>
      </c>
      <c r="AW967" s="163" t="str">
        <f t="shared" si="639"/>
        <v/>
      </c>
      <c r="AX967" s="163" t="str">
        <f t="shared" si="640"/>
        <v/>
      </c>
      <c r="AY967" s="164" t="str">
        <f t="shared" si="654"/>
        <v/>
      </c>
      <c r="AZ967" s="164" t="str">
        <f>IF($E967="","",IF(OR(AND($D967=Input!$C$6,$C967=12),$AN967=1),0,-AS968+AT968+AU968-AV968-AW968-AX968+AZ968))</f>
        <v/>
      </c>
      <c r="BA967" s="154" t="str">
        <f t="shared" si="641"/>
        <v/>
      </c>
      <c r="BC967" s="147" t="str">
        <f t="shared" si="655"/>
        <v/>
      </c>
      <c r="BD967" s="164" t="str">
        <f>IF(AND($C966=12,$D966=Input!$C$6),0,IF($E967="","",AT967+(AU967+BD968)/(1+$AK967)*MIN((1-AM967-AN967),1)))</f>
        <v/>
      </c>
      <c r="BE967" s="164" t="str">
        <f t="shared" si="628"/>
        <v/>
      </c>
      <c r="BF967" s="164" t="str">
        <f t="shared" si="656"/>
        <v/>
      </c>
      <c r="BG967" s="164" t="str">
        <f t="shared" si="642"/>
        <v/>
      </c>
      <c r="BH967" s="152"/>
      <c r="BI967" s="162" t="str">
        <f t="shared" si="621"/>
        <v/>
      </c>
      <c r="BJ967" s="150" t="str">
        <f t="shared" si="622"/>
        <v/>
      </c>
      <c r="BK967" s="163" t="str">
        <f t="shared" ref="BK967:BK1030" si="661">IF($E967="","",$V967*$X967)</f>
        <v/>
      </c>
      <c r="BL967" s="163" t="str">
        <f t="shared" si="623"/>
        <v/>
      </c>
      <c r="BM967" s="163" t="str">
        <f t="shared" ref="BM967:BM1030" si="662">IF($E967="","",(BI967+BJ967-BK967-BL967/2)*$N967)</f>
        <v/>
      </c>
      <c r="BN967" s="163" t="str">
        <f t="shared" si="624"/>
        <v/>
      </c>
      <c r="BO967" s="163" t="str">
        <f t="shared" si="625"/>
        <v/>
      </c>
      <c r="BP967" s="164" t="str">
        <f t="shared" ref="BP967:BP1030" si="663">IF($E967="","",BI967+BJ967-BK967-BL967+BM967+BN967+BO967)</f>
        <v/>
      </c>
      <c r="BQ967" s="164" t="str">
        <f t="shared" si="657"/>
        <v/>
      </c>
      <c r="BR967" s="154" t="str">
        <f t="shared" si="627"/>
        <v/>
      </c>
      <c r="BT967" s="147" t="str">
        <f t="shared" si="643"/>
        <v/>
      </c>
      <c r="BU967" s="164" t="str">
        <f>IF(AND($C966=12,$D966=Input!$C$6),0,IF($E967="","",BK967+(BL967+BU968)/(1+$AK967)*MIN((1-T967-U967),1)))</f>
        <v/>
      </c>
      <c r="BV967" s="164" t="str">
        <f t="shared" si="644"/>
        <v/>
      </c>
      <c r="BW967" s="164" t="str">
        <f t="shared" si="645"/>
        <v/>
      </c>
      <c r="BX967" s="164" t="str">
        <f t="shared" si="646"/>
        <v/>
      </c>
    </row>
    <row r="968" spans="1:76" s="150" customFormat="1" x14ac:dyDescent="0.25">
      <c r="A968" s="150" t="str">
        <f t="shared" si="658"/>
        <v/>
      </c>
      <c r="B968" s="150" t="str">
        <f t="shared" si="659"/>
        <v/>
      </c>
      <c r="C968" s="150" t="str">
        <f t="shared" si="660"/>
        <v/>
      </c>
      <c r="D968" s="150" t="str">
        <f>IF(E968="","",Input!$C$4+B968-1)</f>
        <v/>
      </c>
      <c r="E968" s="150" t="str">
        <f>IF(OR(AND(C967=12,D967=Input!$C$6),E967=""),"",1)</f>
        <v/>
      </c>
      <c r="F968" s="150" t="str">
        <f>IF(E968="","",Input!$C$8+B968-1)</f>
        <v/>
      </c>
      <c r="G968" s="151" t="str">
        <f>IF(E968="","",MAX(0,Input!$C$9-B968))</f>
        <v/>
      </c>
      <c r="H968" s="152" t="str">
        <f>IF(E968="","",Input!$C$3)</f>
        <v/>
      </c>
      <c r="I968" s="153" t="str">
        <f>IF(E968="","",HLOOKUP($B968,Input!$C$13:$BT$14,2))</f>
        <v/>
      </c>
      <c r="J968" s="154"/>
      <c r="K968" s="155" t="str">
        <f>IF($E968="","",INDEX(Input!$C$16:$CP$16,1,$B968))</f>
        <v/>
      </c>
      <c r="L968" s="155" t="str">
        <f>IF($E968="","",Input!$C$37)</f>
        <v/>
      </c>
      <c r="M968" s="155" t="str">
        <f t="shared" si="629"/>
        <v/>
      </c>
      <c r="N968" s="155" t="str">
        <f t="shared" si="630"/>
        <v/>
      </c>
      <c r="O968" s="147" t="str">
        <f>IF($E968="","",MIN(VLOOKUP(IF($B968&lt;=Input!$C$7,$B968,26),'Mortality Tables'!$A$41:$CW$67,IF($B968&lt;=Input!$C$7+1,Input!$C$4+2,$D968-Input!$C$7+2),0)*IF(B968&gt;20,Input!$C$22,1)/1000,1))</f>
        <v/>
      </c>
      <c r="P968" s="147" t="str">
        <f>IF($E968="","",MIN(VLOOKUP(IF($B968&lt;=Input!$C$7,$B968,26),'Mortality Tables'!$A$12:$CW$37,IF($B968&lt;=Input!$C$7+1,Input!$C$4+2,$D968-Input!$C$7+2),0)*IF(B968&gt;20,Input!$C$22,1)/1000,1))</f>
        <v/>
      </c>
      <c r="Q968" s="155" t="str">
        <f>IF($E968="","",Input!$C$21)</f>
        <v/>
      </c>
      <c r="R968" s="159" t="str">
        <f>IF($E968="","",(1-Q968)^($F968-Input!$C$20))</f>
        <v/>
      </c>
      <c r="S968" s="147" t="str">
        <f t="shared" si="632"/>
        <v/>
      </c>
      <c r="T968" s="147" t="str">
        <f t="shared" si="633"/>
        <v/>
      </c>
      <c r="U968" s="160" t="str">
        <f>IF($E968="","",IF($C968=12,INDEX(Input!$C$15:$CP$15,1,$B968),0))</f>
        <v/>
      </c>
      <c r="V968" s="150" t="str">
        <f>IF(E968="","",IF(C968=1,IF($B968=1,Input!$C$33,Input!$C$34),0))</f>
        <v/>
      </c>
      <c r="W968" s="156" t="str">
        <f>IF($E968="","",Input!$C$35)</f>
        <v/>
      </c>
      <c r="X968" s="156" t="str">
        <f t="shared" si="631"/>
        <v/>
      </c>
      <c r="Y968" s="154"/>
      <c r="Z968" s="147" t="str">
        <f>IF($E968="","",VLOOKUP($D968,'Mortality Margins &amp; Grading'!$AB$5:$AF$125,3,0)*IF(Summary!$D$25="Included Margin",IF(AND($B968&gt;Input!$C$9,Summary!$D$31&lt;&gt;"Included Margin"),0,1),0))</f>
        <v/>
      </c>
      <c r="AA968" s="147" t="str">
        <f>IF($E968="","",VLOOKUP($D968,'Mortality Margins &amp; Grading'!$AB$5:$AF$125,5,0)*IF(Summary!$D$25="Included Margin",IF(AND($B968&gt;Input!$C$9,Summary!$D$31&lt;&gt;"Included Margin"),0,1),0))</f>
        <v/>
      </c>
      <c r="AB968" s="147" t="str">
        <f>IF($E968="","",IF(AND($B968&gt;Input!$C$9,Summary!$D$31&lt;&gt;"Included Margin"),1,IF(Summary!$D$25="Included Margin",VLOOKUP($B968,'Mortality Margins &amp; Grading'!$AI$5:$AR$125,MATCH('Mortality Margins &amp; Grading'!$AQ$4,'Mortality Margins &amp; Grading'!$AI$4:$AR$4,0),0),1)))</f>
        <v/>
      </c>
      <c r="AC968" s="154"/>
      <c r="AD968" s="158" t="str">
        <f>IF(E968="","",Input!$C$48*IF(Summary!$D$30="Included Margin",IF(AND($B968&gt;Input!$C$9,Summary!$D$31&lt;&gt;"Included Margin"),0,1),0))</f>
        <v/>
      </c>
      <c r="AE968" s="159" t="str">
        <f>IF(E968="","",IF(Summary!$D$26="Included Margin",IF(AND($B968&gt;Input!$C$9,Summary!$D$31&lt;&gt;"Included Margin"),1,1/$R968),1))</f>
        <v/>
      </c>
      <c r="AF968" s="160" t="str">
        <f>IF(E968="","",IF(AND($B968&gt;=Input!$C$9,$C968=12,Summary!$D$31="Included Margin",$U968&gt;0),1/U968-1,IF($B968&gt;=Input!$C$9,0,Input!$C$45*IF(Summary!$D$27="Included Margin",1,0))))</f>
        <v/>
      </c>
      <c r="AG968" s="160" t="str">
        <f>IF(E968="","",Input!$C$46*IF(Summary!$D$28="Included Margin",IF(AND($B968&gt;Input!$C$9,Summary!$D$31&lt;&gt;"Included Margin"),0,1),0))</f>
        <v/>
      </c>
      <c r="AH968" s="158" t="str">
        <f>IF(E968="","",Input!$C$47*IF(Summary!$D$29="Included Margin",IF(AND($B968&gt;Input!$C$9,Summary!$D$31&lt;&gt;"Included Margin"),0,1),0))</f>
        <v/>
      </c>
      <c r="AI968" s="154"/>
      <c r="AJ968" s="158" t="str">
        <f t="shared" si="647"/>
        <v/>
      </c>
      <c r="AK968" s="155" t="str">
        <f t="shared" si="648"/>
        <v/>
      </c>
      <c r="AL968" s="147" t="str">
        <f t="shared" si="649"/>
        <v/>
      </c>
      <c r="AM968" s="147" t="str">
        <f t="shared" si="634"/>
        <v/>
      </c>
      <c r="AN968" s="160" t="str">
        <f t="shared" si="650"/>
        <v/>
      </c>
      <c r="AO968" s="161" t="str">
        <f t="shared" si="651"/>
        <v/>
      </c>
      <c r="AP968" s="156" t="str">
        <f t="shared" si="635"/>
        <v/>
      </c>
      <c r="AQ968" s="152"/>
      <c r="AR968" s="162" t="str">
        <f t="shared" si="636"/>
        <v/>
      </c>
      <c r="AS968" s="150" t="str">
        <f t="shared" si="652"/>
        <v/>
      </c>
      <c r="AT968" s="163" t="str">
        <f t="shared" si="637"/>
        <v/>
      </c>
      <c r="AU968" s="163" t="str">
        <f t="shared" si="638"/>
        <v/>
      </c>
      <c r="AV968" s="163" t="str">
        <f t="shared" si="653"/>
        <v/>
      </c>
      <c r="AW968" s="163" t="str">
        <f t="shared" si="639"/>
        <v/>
      </c>
      <c r="AX968" s="163" t="str">
        <f t="shared" si="640"/>
        <v/>
      </c>
      <c r="AY968" s="165" t="str">
        <f t="shared" si="654"/>
        <v/>
      </c>
      <c r="AZ968" s="164" t="str">
        <f>IF($E968="","",IF(OR(AND($D968=Input!$C$6,$C968=12),$AN968=1),0,-AS969+AT969+AU969-AV969-AW969-AX969+AZ969))</f>
        <v/>
      </c>
      <c r="BA968" s="154" t="str">
        <f t="shared" si="641"/>
        <v/>
      </c>
      <c r="BC968" s="147" t="str">
        <f t="shared" si="655"/>
        <v/>
      </c>
      <c r="BD968" s="164" t="str">
        <f>IF(AND($C967=12,$D967=Input!$C$6),0,IF($E968="","",AT968+(AU968+BD969)/(1+$AK968)*MIN((1-AM968-AN968),1)))</f>
        <v/>
      </c>
      <c r="BE968" s="164" t="str">
        <f t="shared" si="628"/>
        <v/>
      </c>
      <c r="BF968" s="164" t="str">
        <f t="shared" si="656"/>
        <v/>
      </c>
      <c r="BG968" s="164" t="str">
        <f t="shared" si="642"/>
        <v/>
      </c>
      <c r="BH968" s="152"/>
      <c r="BI968" s="162" t="str">
        <f t="shared" si="621"/>
        <v/>
      </c>
      <c r="BJ968" s="150" t="str">
        <f t="shared" si="622"/>
        <v/>
      </c>
      <c r="BK968" s="163" t="str">
        <f t="shared" si="661"/>
        <v/>
      </c>
      <c r="BL968" s="163" t="str">
        <f t="shared" si="623"/>
        <v/>
      </c>
      <c r="BM968" s="163" t="str">
        <f t="shared" si="662"/>
        <v/>
      </c>
      <c r="BN968" s="163" t="str">
        <f t="shared" si="624"/>
        <v/>
      </c>
      <c r="BO968" s="163" t="str">
        <f t="shared" si="625"/>
        <v/>
      </c>
      <c r="BP968" s="164" t="str">
        <f t="shared" si="663"/>
        <v/>
      </c>
      <c r="BQ968" s="164" t="str">
        <f t="shared" si="657"/>
        <v/>
      </c>
      <c r="BR968" s="154" t="str">
        <f t="shared" si="627"/>
        <v/>
      </c>
      <c r="BT968" s="147" t="str">
        <f t="shared" si="643"/>
        <v/>
      </c>
      <c r="BU968" s="164" t="str">
        <f>IF(AND($C967=12,$D967=Input!$C$6),0,IF($E968="","",BK968+(BL968+BU969)/(1+$AK968)*MIN((1-T968-U968),1)))</f>
        <v/>
      </c>
      <c r="BV968" s="164" t="str">
        <f t="shared" si="644"/>
        <v/>
      </c>
      <c r="BW968" s="164" t="str">
        <f t="shared" si="645"/>
        <v/>
      </c>
      <c r="BX968" s="164" t="str">
        <f t="shared" si="646"/>
        <v/>
      </c>
    </row>
    <row r="969" spans="1:76" s="150" customFormat="1" x14ac:dyDescent="0.25">
      <c r="A969" s="150" t="str">
        <f t="shared" si="658"/>
        <v/>
      </c>
      <c r="B969" s="150" t="str">
        <f t="shared" si="659"/>
        <v/>
      </c>
      <c r="C969" s="150" t="str">
        <f t="shared" si="660"/>
        <v/>
      </c>
      <c r="D969" s="150" t="str">
        <f>IF(E969="","",Input!$C$4+B969-1)</f>
        <v/>
      </c>
      <c r="E969" s="150" t="str">
        <f>IF(OR(AND(C968=12,D968=Input!$C$6),E968=""),"",1)</f>
        <v/>
      </c>
      <c r="F969" s="150" t="str">
        <f>IF(E969="","",Input!$C$8+B969-1)</f>
        <v/>
      </c>
      <c r="G969" s="151" t="str">
        <f>IF(E969="","",MAX(0,Input!$C$9-B969))</f>
        <v/>
      </c>
      <c r="H969" s="152" t="str">
        <f>IF(E969="","",Input!$C$3)</f>
        <v/>
      </c>
      <c r="I969" s="153" t="str">
        <f>IF(E969="","",HLOOKUP($B969,Input!$C$13:$BT$14,2))</f>
        <v/>
      </c>
      <c r="J969" s="154"/>
      <c r="K969" s="155" t="str">
        <f>IF($E969="","",INDEX(Input!$C$16:$CP$16,1,$B969))</f>
        <v/>
      </c>
      <c r="L969" s="155" t="str">
        <f>IF($E969="","",Input!$C$37)</f>
        <v/>
      </c>
      <c r="M969" s="155" t="str">
        <f t="shared" si="629"/>
        <v/>
      </c>
      <c r="N969" s="155" t="str">
        <f t="shared" si="630"/>
        <v/>
      </c>
      <c r="O969" s="147" t="str">
        <f>IF($E969="","",MIN(VLOOKUP(IF($B969&lt;=Input!$C$7,$B969,26),'Mortality Tables'!$A$41:$CW$67,IF($B969&lt;=Input!$C$7+1,Input!$C$4+2,$D969-Input!$C$7+2),0)*IF(B969&gt;20,Input!$C$22,1)/1000,1))</f>
        <v/>
      </c>
      <c r="P969" s="147" t="str">
        <f>IF($E969="","",MIN(VLOOKUP(IF($B969&lt;=Input!$C$7,$B969,26),'Mortality Tables'!$A$12:$CW$37,IF($B969&lt;=Input!$C$7+1,Input!$C$4+2,$D969-Input!$C$7+2),0)*IF(B969&gt;20,Input!$C$22,1)/1000,1))</f>
        <v/>
      </c>
      <c r="Q969" s="155" t="str">
        <f>IF($E969="","",Input!$C$21)</f>
        <v/>
      </c>
      <c r="R969" s="159" t="str">
        <f>IF($E969="","",(1-Q969)^($F969-Input!$C$20))</f>
        <v/>
      </c>
      <c r="S969" s="147" t="str">
        <f t="shared" si="632"/>
        <v/>
      </c>
      <c r="T969" s="147" t="str">
        <f t="shared" si="633"/>
        <v/>
      </c>
      <c r="U969" s="160" t="str">
        <f>IF($E969="","",IF($C969=12,INDEX(Input!$C$15:$CP$15,1,$B969),0))</f>
        <v/>
      </c>
      <c r="V969" s="150" t="str">
        <f>IF(E969="","",IF(C969=1,IF($B969=1,Input!$C$33,Input!$C$34),0))</f>
        <v/>
      </c>
      <c r="W969" s="156" t="str">
        <f>IF($E969="","",Input!$C$35)</f>
        <v/>
      </c>
      <c r="X969" s="156" t="str">
        <f t="shared" si="631"/>
        <v/>
      </c>
      <c r="Y969" s="154"/>
      <c r="Z969" s="147" t="str">
        <f>IF($E969="","",VLOOKUP($D969,'Mortality Margins &amp; Grading'!$AB$5:$AF$125,3,0)*IF(Summary!$D$25="Included Margin",IF(AND($B969&gt;Input!$C$9,Summary!$D$31&lt;&gt;"Included Margin"),0,1),0))</f>
        <v/>
      </c>
      <c r="AA969" s="147" t="str">
        <f>IF($E969="","",VLOOKUP($D969,'Mortality Margins &amp; Grading'!$AB$5:$AF$125,5,0)*IF(Summary!$D$25="Included Margin",IF(AND($B969&gt;Input!$C$9,Summary!$D$31&lt;&gt;"Included Margin"),0,1),0))</f>
        <v/>
      </c>
      <c r="AB969" s="147" t="str">
        <f>IF($E969="","",IF(AND($B969&gt;Input!$C$9,Summary!$D$31&lt;&gt;"Included Margin"),1,IF(Summary!$D$25="Included Margin",VLOOKUP($B969,'Mortality Margins &amp; Grading'!$AI$5:$AR$125,MATCH('Mortality Margins &amp; Grading'!$AQ$4,'Mortality Margins &amp; Grading'!$AI$4:$AR$4,0),0),1)))</f>
        <v/>
      </c>
      <c r="AC969" s="154"/>
      <c r="AD969" s="158" t="str">
        <f>IF(E969="","",Input!$C$48*IF(Summary!$D$30="Included Margin",IF(AND($B969&gt;Input!$C$9,Summary!$D$31&lt;&gt;"Included Margin"),0,1),0))</f>
        <v/>
      </c>
      <c r="AE969" s="159" t="str">
        <f>IF(E969="","",IF(Summary!$D$26="Included Margin",IF(AND($B969&gt;Input!$C$9,Summary!$D$31&lt;&gt;"Included Margin"),1,1/$R969),1))</f>
        <v/>
      </c>
      <c r="AF969" s="160" t="str">
        <f>IF(E969="","",IF(AND($B969&gt;=Input!$C$9,$C969=12,Summary!$D$31="Included Margin",$U969&gt;0),1/U969-1,IF($B969&gt;=Input!$C$9,0,Input!$C$45*IF(Summary!$D$27="Included Margin",1,0))))</f>
        <v/>
      </c>
      <c r="AG969" s="160" t="str">
        <f>IF(E969="","",Input!$C$46*IF(Summary!$D$28="Included Margin",IF(AND($B969&gt;Input!$C$9,Summary!$D$31&lt;&gt;"Included Margin"),0,1),0))</f>
        <v/>
      </c>
      <c r="AH969" s="158" t="str">
        <f>IF(E969="","",Input!$C$47*IF(Summary!$D$29="Included Margin",IF(AND($B969&gt;Input!$C$9,Summary!$D$31&lt;&gt;"Included Margin"),0,1),0))</f>
        <v/>
      </c>
      <c r="AI969" s="154"/>
      <c r="AJ969" s="158" t="str">
        <f t="shared" si="647"/>
        <v/>
      </c>
      <c r="AK969" s="155" t="str">
        <f t="shared" si="648"/>
        <v/>
      </c>
      <c r="AL969" s="147" t="str">
        <f t="shared" si="649"/>
        <v/>
      </c>
      <c r="AM969" s="147" t="str">
        <f t="shared" si="634"/>
        <v/>
      </c>
      <c r="AN969" s="160" t="str">
        <f t="shared" si="650"/>
        <v/>
      </c>
      <c r="AO969" s="161" t="str">
        <f t="shared" si="651"/>
        <v/>
      </c>
      <c r="AP969" s="156" t="str">
        <f t="shared" si="635"/>
        <v/>
      </c>
      <c r="AQ969" s="152"/>
      <c r="AR969" s="162" t="str">
        <f t="shared" si="636"/>
        <v/>
      </c>
      <c r="AS969" s="150" t="str">
        <f t="shared" si="652"/>
        <v/>
      </c>
      <c r="AT969" s="163" t="str">
        <f t="shared" si="637"/>
        <v/>
      </c>
      <c r="AU969" s="163" t="str">
        <f t="shared" si="638"/>
        <v/>
      </c>
      <c r="AV969" s="163" t="str">
        <f t="shared" si="653"/>
        <v/>
      </c>
      <c r="AW969" s="163" t="str">
        <f t="shared" si="639"/>
        <v/>
      </c>
      <c r="AX969" s="163" t="str">
        <f t="shared" si="640"/>
        <v/>
      </c>
      <c r="AY969" s="164" t="str">
        <f t="shared" si="654"/>
        <v/>
      </c>
      <c r="AZ969" s="164" t="str">
        <f>IF($E969="","",IF(OR(AND($D969=Input!$C$6,$C969=12),$AN969=1),0,-AS970+AT970+AU970-AV970-AW970-AX970+AZ970))</f>
        <v/>
      </c>
      <c r="BA969" s="154" t="str">
        <f t="shared" si="641"/>
        <v/>
      </c>
      <c r="BC969" s="147" t="str">
        <f t="shared" si="655"/>
        <v/>
      </c>
      <c r="BD969" s="164" t="str">
        <f>IF(AND($C968=12,$D968=Input!$C$6),0,IF($E969="","",AT969+(AU969+BD970)/(1+$AK969)*MIN((1-AM969-AN969),1)))</f>
        <v/>
      </c>
      <c r="BE969" s="164" t="str">
        <f t="shared" si="628"/>
        <v/>
      </c>
      <c r="BF969" s="164" t="str">
        <f t="shared" si="656"/>
        <v/>
      </c>
      <c r="BG969" s="164" t="str">
        <f t="shared" si="642"/>
        <v/>
      </c>
      <c r="BH969" s="152"/>
      <c r="BI969" s="162" t="str">
        <f t="shared" si="621"/>
        <v/>
      </c>
      <c r="BJ969" s="150" t="str">
        <f t="shared" si="622"/>
        <v/>
      </c>
      <c r="BK969" s="163" t="str">
        <f t="shared" si="661"/>
        <v/>
      </c>
      <c r="BL969" s="163" t="str">
        <f t="shared" si="623"/>
        <v/>
      </c>
      <c r="BM969" s="163" t="str">
        <f t="shared" si="662"/>
        <v/>
      </c>
      <c r="BN969" s="163" t="str">
        <f t="shared" si="624"/>
        <v/>
      </c>
      <c r="BO969" s="163" t="str">
        <f t="shared" si="625"/>
        <v/>
      </c>
      <c r="BP969" s="164" t="str">
        <f t="shared" si="663"/>
        <v/>
      </c>
      <c r="BQ969" s="164" t="str">
        <f t="shared" si="657"/>
        <v/>
      </c>
      <c r="BR969" s="154" t="str">
        <f t="shared" si="627"/>
        <v/>
      </c>
      <c r="BT969" s="147" t="str">
        <f t="shared" si="643"/>
        <v/>
      </c>
      <c r="BU969" s="164" t="str">
        <f>IF(AND($C968=12,$D968=Input!$C$6),0,IF($E969="","",BK969+(BL969+BU970)/(1+$AK969)*MIN((1-T969-U969),1)))</f>
        <v/>
      </c>
      <c r="BV969" s="164" t="str">
        <f t="shared" si="644"/>
        <v/>
      </c>
      <c r="BW969" s="164" t="str">
        <f t="shared" si="645"/>
        <v/>
      </c>
      <c r="BX969" s="164" t="str">
        <f t="shared" si="646"/>
        <v/>
      </c>
    </row>
    <row r="970" spans="1:76" s="150" customFormat="1" x14ac:dyDescent="0.25">
      <c r="A970" s="150" t="str">
        <f t="shared" si="658"/>
        <v/>
      </c>
      <c r="B970" s="150" t="str">
        <f t="shared" si="659"/>
        <v/>
      </c>
      <c r="C970" s="150" t="str">
        <f t="shared" si="660"/>
        <v/>
      </c>
      <c r="D970" s="150" t="str">
        <f>IF(E970="","",Input!$C$4+B970-1)</f>
        <v/>
      </c>
      <c r="E970" s="150" t="str">
        <f>IF(OR(AND(C969=12,D969=Input!$C$6),E969=""),"",1)</f>
        <v/>
      </c>
      <c r="F970" s="150" t="str">
        <f>IF(E970="","",Input!$C$8+B970-1)</f>
        <v/>
      </c>
      <c r="G970" s="151" t="str">
        <f>IF(E970="","",MAX(0,Input!$C$9-B970))</f>
        <v/>
      </c>
      <c r="H970" s="152" t="str">
        <f>IF(E970="","",Input!$C$3)</f>
        <v/>
      </c>
      <c r="I970" s="153" t="str">
        <f>IF(E970="","",HLOOKUP($B970,Input!$C$13:$BT$14,2))</f>
        <v/>
      </c>
      <c r="J970" s="154"/>
      <c r="K970" s="155" t="str">
        <f>IF($E970="","",INDEX(Input!$C$16:$CP$16,1,$B970))</f>
        <v/>
      </c>
      <c r="L970" s="155" t="str">
        <f>IF($E970="","",Input!$C$37)</f>
        <v/>
      </c>
      <c r="M970" s="155" t="str">
        <f t="shared" si="629"/>
        <v/>
      </c>
      <c r="N970" s="155" t="str">
        <f t="shared" si="630"/>
        <v/>
      </c>
      <c r="O970" s="147" t="str">
        <f>IF($E970="","",MIN(VLOOKUP(IF($B970&lt;=Input!$C$7,$B970,26),'Mortality Tables'!$A$41:$CW$67,IF($B970&lt;=Input!$C$7+1,Input!$C$4+2,$D970-Input!$C$7+2),0)*IF(B970&gt;20,Input!$C$22,1)/1000,1))</f>
        <v/>
      </c>
      <c r="P970" s="147" t="str">
        <f>IF($E970="","",MIN(VLOOKUP(IF($B970&lt;=Input!$C$7,$B970,26),'Mortality Tables'!$A$12:$CW$37,IF($B970&lt;=Input!$C$7+1,Input!$C$4+2,$D970-Input!$C$7+2),0)*IF(B970&gt;20,Input!$C$22,1)/1000,1))</f>
        <v/>
      </c>
      <c r="Q970" s="155" t="str">
        <f>IF($E970="","",Input!$C$21)</f>
        <v/>
      </c>
      <c r="R970" s="159" t="str">
        <f>IF($E970="","",(1-Q970)^($F970-Input!$C$20))</f>
        <v/>
      </c>
      <c r="S970" s="147" t="str">
        <f t="shared" si="632"/>
        <v/>
      </c>
      <c r="T970" s="147" t="str">
        <f t="shared" si="633"/>
        <v/>
      </c>
      <c r="U970" s="160" t="str">
        <f>IF($E970="","",IF($C970=12,INDEX(Input!$C$15:$CP$15,1,$B970),0))</f>
        <v/>
      </c>
      <c r="V970" s="150" t="str">
        <f>IF(E970="","",IF(C970=1,IF($B970=1,Input!$C$33,Input!$C$34),0))</f>
        <v/>
      </c>
      <c r="W970" s="156" t="str">
        <f>IF($E970="","",Input!$C$35)</f>
        <v/>
      </c>
      <c r="X970" s="156" t="str">
        <f t="shared" si="631"/>
        <v/>
      </c>
      <c r="Y970" s="154"/>
      <c r="Z970" s="147" t="str">
        <f>IF($E970="","",VLOOKUP($D970,'Mortality Margins &amp; Grading'!$AB$5:$AF$125,3,0)*IF(Summary!$D$25="Included Margin",IF(AND($B970&gt;Input!$C$9,Summary!$D$31&lt;&gt;"Included Margin"),0,1),0))</f>
        <v/>
      </c>
      <c r="AA970" s="147" t="str">
        <f>IF($E970="","",VLOOKUP($D970,'Mortality Margins &amp; Grading'!$AB$5:$AF$125,5,0)*IF(Summary!$D$25="Included Margin",IF(AND($B970&gt;Input!$C$9,Summary!$D$31&lt;&gt;"Included Margin"),0,1),0))</f>
        <v/>
      </c>
      <c r="AB970" s="147" t="str">
        <f>IF($E970="","",IF(AND($B970&gt;Input!$C$9,Summary!$D$31&lt;&gt;"Included Margin"),1,IF(Summary!$D$25="Included Margin",VLOOKUP($B970,'Mortality Margins &amp; Grading'!$AI$5:$AR$125,MATCH('Mortality Margins &amp; Grading'!$AQ$4,'Mortality Margins &amp; Grading'!$AI$4:$AR$4,0),0),1)))</f>
        <v/>
      </c>
      <c r="AC970" s="154"/>
      <c r="AD970" s="158" t="str">
        <f>IF(E970="","",Input!$C$48*IF(Summary!$D$30="Included Margin",IF(AND($B970&gt;Input!$C$9,Summary!$D$31&lt;&gt;"Included Margin"),0,1),0))</f>
        <v/>
      </c>
      <c r="AE970" s="159" t="str">
        <f>IF(E970="","",IF(Summary!$D$26="Included Margin",IF(AND($B970&gt;Input!$C$9,Summary!$D$31&lt;&gt;"Included Margin"),1,1/$R970),1))</f>
        <v/>
      </c>
      <c r="AF970" s="160" t="str">
        <f>IF(E970="","",IF(AND($B970&gt;=Input!$C$9,$C970=12,Summary!$D$31="Included Margin",$U970&gt;0),1/U970-1,IF($B970&gt;=Input!$C$9,0,Input!$C$45*IF(Summary!$D$27="Included Margin",1,0))))</f>
        <v/>
      </c>
      <c r="AG970" s="160" t="str">
        <f>IF(E970="","",Input!$C$46*IF(Summary!$D$28="Included Margin",IF(AND($B970&gt;Input!$C$9,Summary!$D$31&lt;&gt;"Included Margin"),0,1),0))</f>
        <v/>
      </c>
      <c r="AH970" s="158" t="str">
        <f>IF(E970="","",Input!$C$47*IF(Summary!$D$29="Included Margin",IF(AND($B970&gt;Input!$C$9,Summary!$D$31&lt;&gt;"Included Margin"),0,1),0))</f>
        <v/>
      </c>
      <c r="AI970" s="154"/>
      <c r="AJ970" s="158" t="str">
        <f t="shared" si="647"/>
        <v/>
      </c>
      <c r="AK970" s="155" t="str">
        <f t="shared" si="648"/>
        <v/>
      </c>
      <c r="AL970" s="147" t="str">
        <f t="shared" si="649"/>
        <v/>
      </c>
      <c r="AM970" s="147" t="str">
        <f t="shared" si="634"/>
        <v/>
      </c>
      <c r="AN970" s="160" t="str">
        <f t="shared" si="650"/>
        <v/>
      </c>
      <c r="AO970" s="161" t="str">
        <f t="shared" si="651"/>
        <v/>
      </c>
      <c r="AP970" s="156" t="str">
        <f t="shared" si="635"/>
        <v/>
      </c>
      <c r="AQ970" s="152"/>
      <c r="AR970" s="162" t="str">
        <f t="shared" si="636"/>
        <v/>
      </c>
      <c r="AS970" s="150" t="str">
        <f t="shared" si="652"/>
        <v/>
      </c>
      <c r="AT970" s="163" t="str">
        <f t="shared" si="637"/>
        <v/>
      </c>
      <c r="AU970" s="163" t="str">
        <f t="shared" si="638"/>
        <v/>
      </c>
      <c r="AV970" s="163" t="str">
        <f t="shared" si="653"/>
        <v/>
      </c>
      <c r="AW970" s="163" t="str">
        <f t="shared" si="639"/>
        <v/>
      </c>
      <c r="AX970" s="163" t="str">
        <f t="shared" si="640"/>
        <v/>
      </c>
      <c r="AY970" s="165" t="str">
        <f t="shared" si="654"/>
        <v/>
      </c>
      <c r="AZ970" s="164" t="str">
        <f>IF($E970="","",IF(OR(AND($D970=Input!$C$6,$C970=12),$AN970=1),0,-AS971+AT971+AU971-AV971-AW971-AX971+AZ971))</f>
        <v/>
      </c>
      <c r="BA970" s="154" t="str">
        <f t="shared" si="641"/>
        <v/>
      </c>
      <c r="BC970" s="147" t="str">
        <f t="shared" si="655"/>
        <v/>
      </c>
      <c r="BD970" s="164" t="str">
        <f>IF(AND($C969=12,$D969=Input!$C$6),0,IF($E970="","",AT970+(AU970+BD971)/(1+$AK970)*MIN((1-AM970-AN970),1)))</f>
        <v/>
      </c>
      <c r="BE970" s="164" t="str">
        <f t="shared" si="628"/>
        <v/>
      </c>
      <c r="BF970" s="164" t="str">
        <f t="shared" si="656"/>
        <v/>
      </c>
      <c r="BG970" s="164" t="str">
        <f t="shared" si="642"/>
        <v/>
      </c>
      <c r="BH970" s="152"/>
      <c r="BI970" s="162" t="str">
        <f t="shared" si="621"/>
        <v/>
      </c>
      <c r="BJ970" s="150" t="str">
        <f t="shared" si="622"/>
        <v/>
      </c>
      <c r="BK970" s="163" t="str">
        <f t="shared" si="661"/>
        <v/>
      </c>
      <c r="BL970" s="163" t="str">
        <f t="shared" si="623"/>
        <v/>
      </c>
      <c r="BM970" s="163" t="str">
        <f t="shared" si="662"/>
        <v/>
      </c>
      <c r="BN970" s="163" t="str">
        <f t="shared" si="624"/>
        <v/>
      </c>
      <c r="BO970" s="163" t="str">
        <f t="shared" si="625"/>
        <v/>
      </c>
      <c r="BP970" s="164" t="str">
        <f t="shared" si="663"/>
        <v/>
      </c>
      <c r="BQ970" s="164" t="str">
        <f t="shared" si="657"/>
        <v/>
      </c>
      <c r="BR970" s="154" t="str">
        <f t="shared" si="627"/>
        <v/>
      </c>
      <c r="BT970" s="147" t="str">
        <f t="shared" si="643"/>
        <v/>
      </c>
      <c r="BU970" s="164" t="str">
        <f>IF(AND($C969=12,$D969=Input!$C$6),0,IF($E970="","",BK970+(BL970+BU971)/(1+$AK970)*MIN((1-T970-U970),1)))</f>
        <v/>
      </c>
      <c r="BV970" s="164" t="str">
        <f t="shared" si="644"/>
        <v/>
      </c>
      <c r="BW970" s="164" t="str">
        <f t="shared" si="645"/>
        <v/>
      </c>
      <c r="BX970" s="164" t="str">
        <f t="shared" si="646"/>
        <v/>
      </c>
    </row>
    <row r="971" spans="1:76" s="150" customFormat="1" x14ac:dyDescent="0.25">
      <c r="A971" s="150" t="str">
        <f t="shared" si="658"/>
        <v/>
      </c>
      <c r="B971" s="150" t="str">
        <f t="shared" si="659"/>
        <v/>
      </c>
      <c r="C971" s="150" t="str">
        <f t="shared" si="660"/>
        <v/>
      </c>
      <c r="D971" s="150" t="str">
        <f>IF(E971="","",Input!$C$4+B971-1)</f>
        <v/>
      </c>
      <c r="E971" s="150" t="str">
        <f>IF(OR(AND(C970=12,D970=Input!$C$6),E970=""),"",1)</f>
        <v/>
      </c>
      <c r="F971" s="150" t="str">
        <f>IF(E971="","",Input!$C$8+B971-1)</f>
        <v/>
      </c>
      <c r="G971" s="151" t="str">
        <f>IF(E971="","",MAX(0,Input!$C$9-B971))</f>
        <v/>
      </c>
      <c r="H971" s="152" t="str">
        <f>IF(E971="","",Input!$C$3)</f>
        <v/>
      </c>
      <c r="I971" s="153" t="str">
        <f>IF(E971="","",HLOOKUP($B971,Input!$C$13:$BT$14,2))</f>
        <v/>
      </c>
      <c r="J971" s="154"/>
      <c r="K971" s="155" t="str">
        <f>IF($E971="","",INDEX(Input!$C$16:$CP$16,1,$B971))</f>
        <v/>
      </c>
      <c r="L971" s="155" t="str">
        <f>IF($E971="","",Input!$C$37)</f>
        <v/>
      </c>
      <c r="M971" s="155" t="str">
        <f t="shared" si="629"/>
        <v/>
      </c>
      <c r="N971" s="155" t="str">
        <f t="shared" si="630"/>
        <v/>
      </c>
      <c r="O971" s="147" t="str">
        <f>IF($E971="","",MIN(VLOOKUP(IF($B971&lt;=Input!$C$7,$B971,26),'Mortality Tables'!$A$41:$CW$67,IF($B971&lt;=Input!$C$7+1,Input!$C$4+2,$D971-Input!$C$7+2),0)*IF(B971&gt;20,Input!$C$22,1)/1000,1))</f>
        <v/>
      </c>
      <c r="P971" s="147" t="str">
        <f>IF($E971="","",MIN(VLOOKUP(IF($B971&lt;=Input!$C$7,$B971,26),'Mortality Tables'!$A$12:$CW$37,IF($B971&lt;=Input!$C$7+1,Input!$C$4+2,$D971-Input!$C$7+2),0)*IF(B971&gt;20,Input!$C$22,1)/1000,1))</f>
        <v/>
      </c>
      <c r="Q971" s="155" t="str">
        <f>IF($E971="","",Input!$C$21)</f>
        <v/>
      </c>
      <c r="R971" s="159" t="str">
        <f>IF($E971="","",(1-Q971)^($F971-Input!$C$20))</f>
        <v/>
      </c>
      <c r="S971" s="147" t="str">
        <f t="shared" si="632"/>
        <v/>
      </c>
      <c r="T971" s="147" t="str">
        <f t="shared" si="633"/>
        <v/>
      </c>
      <c r="U971" s="160" t="str">
        <f>IF($E971="","",IF($C971=12,INDEX(Input!$C$15:$CP$15,1,$B971),0))</f>
        <v/>
      </c>
      <c r="V971" s="150" t="str">
        <f>IF(E971="","",IF(C971=1,IF($B971=1,Input!$C$33,Input!$C$34),0))</f>
        <v/>
      </c>
      <c r="W971" s="156" t="str">
        <f>IF($E971="","",Input!$C$35)</f>
        <v/>
      </c>
      <c r="X971" s="156" t="str">
        <f t="shared" si="631"/>
        <v/>
      </c>
      <c r="Y971" s="154"/>
      <c r="Z971" s="147" t="str">
        <f>IF($E971="","",VLOOKUP($D971,'Mortality Margins &amp; Grading'!$AB$5:$AF$125,3,0)*IF(Summary!$D$25="Included Margin",IF(AND($B971&gt;Input!$C$9,Summary!$D$31&lt;&gt;"Included Margin"),0,1),0))</f>
        <v/>
      </c>
      <c r="AA971" s="147" t="str">
        <f>IF($E971="","",VLOOKUP($D971,'Mortality Margins &amp; Grading'!$AB$5:$AF$125,5,0)*IF(Summary!$D$25="Included Margin",IF(AND($B971&gt;Input!$C$9,Summary!$D$31&lt;&gt;"Included Margin"),0,1),0))</f>
        <v/>
      </c>
      <c r="AB971" s="147" t="str">
        <f>IF($E971="","",IF(AND($B971&gt;Input!$C$9,Summary!$D$31&lt;&gt;"Included Margin"),1,IF(Summary!$D$25="Included Margin",VLOOKUP($B971,'Mortality Margins &amp; Grading'!$AI$5:$AR$125,MATCH('Mortality Margins &amp; Grading'!$AQ$4,'Mortality Margins &amp; Grading'!$AI$4:$AR$4,0),0),1)))</f>
        <v/>
      </c>
      <c r="AC971" s="154"/>
      <c r="AD971" s="158" t="str">
        <f>IF(E971="","",Input!$C$48*IF(Summary!$D$30="Included Margin",IF(AND($B971&gt;Input!$C$9,Summary!$D$31&lt;&gt;"Included Margin"),0,1),0))</f>
        <v/>
      </c>
      <c r="AE971" s="159" t="str">
        <f>IF(E971="","",IF(Summary!$D$26="Included Margin",IF(AND($B971&gt;Input!$C$9,Summary!$D$31&lt;&gt;"Included Margin"),1,1/$R971),1))</f>
        <v/>
      </c>
      <c r="AF971" s="160" t="str">
        <f>IF(E971="","",IF(AND($B971&gt;=Input!$C$9,$C971=12,Summary!$D$31="Included Margin",$U971&gt;0),1/U971-1,IF($B971&gt;=Input!$C$9,0,Input!$C$45*IF(Summary!$D$27="Included Margin",1,0))))</f>
        <v/>
      </c>
      <c r="AG971" s="160" t="str">
        <f>IF(E971="","",Input!$C$46*IF(Summary!$D$28="Included Margin",IF(AND($B971&gt;Input!$C$9,Summary!$D$31&lt;&gt;"Included Margin"),0,1),0))</f>
        <v/>
      </c>
      <c r="AH971" s="158" t="str">
        <f>IF(E971="","",Input!$C$47*IF(Summary!$D$29="Included Margin",IF(AND($B971&gt;Input!$C$9,Summary!$D$31&lt;&gt;"Included Margin"),0,1),0))</f>
        <v/>
      </c>
      <c r="AI971" s="154"/>
      <c r="AJ971" s="158" t="str">
        <f t="shared" si="647"/>
        <v/>
      </c>
      <c r="AK971" s="155" t="str">
        <f t="shared" si="648"/>
        <v/>
      </c>
      <c r="AL971" s="147" t="str">
        <f t="shared" si="649"/>
        <v/>
      </c>
      <c r="AM971" s="147" t="str">
        <f t="shared" si="634"/>
        <v/>
      </c>
      <c r="AN971" s="160" t="str">
        <f t="shared" si="650"/>
        <v/>
      </c>
      <c r="AO971" s="161" t="str">
        <f t="shared" si="651"/>
        <v/>
      </c>
      <c r="AP971" s="156" t="str">
        <f t="shared" si="635"/>
        <v/>
      </c>
      <c r="AQ971" s="152"/>
      <c r="AR971" s="162" t="str">
        <f t="shared" si="636"/>
        <v/>
      </c>
      <c r="AS971" s="150" t="str">
        <f t="shared" si="652"/>
        <v/>
      </c>
      <c r="AT971" s="163" t="str">
        <f t="shared" si="637"/>
        <v/>
      </c>
      <c r="AU971" s="163" t="str">
        <f t="shared" si="638"/>
        <v/>
      </c>
      <c r="AV971" s="163" t="str">
        <f t="shared" si="653"/>
        <v/>
      </c>
      <c r="AW971" s="163" t="str">
        <f t="shared" si="639"/>
        <v/>
      </c>
      <c r="AX971" s="163" t="str">
        <f t="shared" si="640"/>
        <v/>
      </c>
      <c r="AY971" s="164" t="str">
        <f t="shared" si="654"/>
        <v/>
      </c>
      <c r="AZ971" s="164" t="str">
        <f>IF($E971="","",IF(OR(AND($D971=Input!$C$6,$C971=12),$AN971=1),0,-AS972+AT972+AU972-AV972-AW972-AX972+AZ972))</f>
        <v/>
      </c>
      <c r="BA971" s="154" t="str">
        <f t="shared" si="641"/>
        <v/>
      </c>
      <c r="BC971" s="147" t="str">
        <f t="shared" si="655"/>
        <v/>
      </c>
      <c r="BD971" s="164" t="str">
        <f>IF(AND($C970=12,$D970=Input!$C$6),0,IF($E971="","",AT971+(AU971+BD972)/(1+$AK971)*MIN((1-AM971-AN971),1)))</f>
        <v/>
      </c>
      <c r="BE971" s="164" t="str">
        <f t="shared" si="628"/>
        <v/>
      </c>
      <c r="BF971" s="164" t="str">
        <f t="shared" si="656"/>
        <v/>
      </c>
      <c r="BG971" s="164" t="str">
        <f t="shared" si="642"/>
        <v/>
      </c>
      <c r="BH971" s="152"/>
      <c r="BI971" s="162" t="str">
        <f t="shared" si="621"/>
        <v/>
      </c>
      <c r="BJ971" s="150" t="str">
        <f t="shared" si="622"/>
        <v/>
      </c>
      <c r="BK971" s="163" t="str">
        <f t="shared" si="661"/>
        <v/>
      </c>
      <c r="BL971" s="163" t="str">
        <f t="shared" si="623"/>
        <v/>
      </c>
      <c r="BM971" s="163" t="str">
        <f t="shared" si="662"/>
        <v/>
      </c>
      <c r="BN971" s="163" t="str">
        <f t="shared" si="624"/>
        <v/>
      </c>
      <c r="BO971" s="163" t="str">
        <f t="shared" si="625"/>
        <v/>
      </c>
      <c r="BP971" s="164" t="str">
        <f t="shared" si="663"/>
        <v/>
      </c>
      <c r="BQ971" s="164" t="str">
        <f t="shared" si="657"/>
        <v/>
      </c>
      <c r="BR971" s="154" t="str">
        <f t="shared" si="627"/>
        <v/>
      </c>
      <c r="BT971" s="147" t="str">
        <f t="shared" si="643"/>
        <v/>
      </c>
      <c r="BU971" s="164" t="str">
        <f>IF(AND($C970=12,$D970=Input!$C$6),0,IF($E971="","",BK971+(BL971+BU972)/(1+$AK971)*MIN((1-T971-U971),1)))</f>
        <v/>
      </c>
      <c r="BV971" s="164" t="str">
        <f t="shared" si="644"/>
        <v/>
      </c>
      <c r="BW971" s="164" t="str">
        <f t="shared" si="645"/>
        <v/>
      </c>
      <c r="BX971" s="164" t="str">
        <f t="shared" si="646"/>
        <v/>
      </c>
    </row>
    <row r="972" spans="1:76" s="150" customFormat="1" x14ac:dyDescent="0.25">
      <c r="A972" s="150" t="str">
        <f t="shared" si="658"/>
        <v/>
      </c>
      <c r="B972" s="150" t="str">
        <f t="shared" si="659"/>
        <v/>
      </c>
      <c r="C972" s="150" t="str">
        <f t="shared" si="660"/>
        <v/>
      </c>
      <c r="D972" s="150" t="str">
        <f>IF(E972="","",Input!$C$4+B972-1)</f>
        <v/>
      </c>
      <c r="E972" s="150" t="str">
        <f>IF(OR(AND(C971=12,D971=Input!$C$6),E971=""),"",1)</f>
        <v/>
      </c>
      <c r="F972" s="150" t="str">
        <f>IF(E972="","",Input!$C$8+B972-1)</f>
        <v/>
      </c>
      <c r="G972" s="151" t="str">
        <f>IF(E972="","",MAX(0,Input!$C$9-B972))</f>
        <v/>
      </c>
      <c r="H972" s="152" t="str">
        <f>IF(E972="","",Input!$C$3)</f>
        <v/>
      </c>
      <c r="I972" s="153" t="str">
        <f>IF(E972="","",HLOOKUP($B972,Input!$C$13:$BT$14,2))</f>
        <v/>
      </c>
      <c r="J972" s="154"/>
      <c r="K972" s="155" t="str">
        <f>IF($E972="","",INDEX(Input!$C$16:$CP$16,1,$B972))</f>
        <v/>
      </c>
      <c r="L972" s="155" t="str">
        <f>IF($E972="","",Input!$C$37)</f>
        <v/>
      </c>
      <c r="M972" s="155" t="str">
        <f t="shared" si="629"/>
        <v/>
      </c>
      <c r="N972" s="155" t="str">
        <f t="shared" si="630"/>
        <v/>
      </c>
      <c r="O972" s="147" t="str">
        <f>IF($E972="","",MIN(VLOOKUP(IF($B972&lt;=Input!$C$7,$B972,26),'Mortality Tables'!$A$41:$CW$67,IF($B972&lt;=Input!$C$7+1,Input!$C$4+2,$D972-Input!$C$7+2),0)*IF(B972&gt;20,Input!$C$22,1)/1000,1))</f>
        <v/>
      </c>
      <c r="P972" s="147" t="str">
        <f>IF($E972="","",MIN(VLOOKUP(IF($B972&lt;=Input!$C$7,$B972,26),'Mortality Tables'!$A$12:$CW$37,IF($B972&lt;=Input!$C$7+1,Input!$C$4+2,$D972-Input!$C$7+2),0)*IF(B972&gt;20,Input!$C$22,1)/1000,1))</f>
        <v/>
      </c>
      <c r="Q972" s="155" t="str">
        <f>IF($E972="","",Input!$C$21)</f>
        <v/>
      </c>
      <c r="R972" s="159" t="str">
        <f>IF($E972="","",(1-Q972)^($F972-Input!$C$20))</f>
        <v/>
      </c>
      <c r="S972" s="147" t="str">
        <f t="shared" si="632"/>
        <v/>
      </c>
      <c r="T972" s="147" t="str">
        <f t="shared" si="633"/>
        <v/>
      </c>
      <c r="U972" s="160" t="str">
        <f>IF($E972="","",IF($C972=12,INDEX(Input!$C$15:$CP$15,1,$B972),0))</f>
        <v/>
      </c>
      <c r="V972" s="150" t="str">
        <f>IF(E972="","",IF(C972=1,IF($B972=1,Input!$C$33,Input!$C$34),0))</f>
        <v/>
      </c>
      <c r="W972" s="156" t="str">
        <f>IF($E972="","",Input!$C$35)</f>
        <v/>
      </c>
      <c r="X972" s="156" t="str">
        <f t="shared" si="631"/>
        <v/>
      </c>
      <c r="Y972" s="154"/>
      <c r="Z972" s="147" t="str">
        <f>IF($E972="","",VLOOKUP($D972,'Mortality Margins &amp; Grading'!$AB$5:$AF$125,3,0)*IF(Summary!$D$25="Included Margin",IF(AND($B972&gt;Input!$C$9,Summary!$D$31&lt;&gt;"Included Margin"),0,1),0))</f>
        <v/>
      </c>
      <c r="AA972" s="147" t="str">
        <f>IF($E972="","",VLOOKUP($D972,'Mortality Margins &amp; Grading'!$AB$5:$AF$125,5,0)*IF(Summary!$D$25="Included Margin",IF(AND($B972&gt;Input!$C$9,Summary!$D$31&lt;&gt;"Included Margin"),0,1),0))</f>
        <v/>
      </c>
      <c r="AB972" s="147" t="str">
        <f>IF($E972="","",IF(AND($B972&gt;Input!$C$9,Summary!$D$31&lt;&gt;"Included Margin"),1,IF(Summary!$D$25="Included Margin",VLOOKUP($B972,'Mortality Margins &amp; Grading'!$AI$5:$AR$125,MATCH('Mortality Margins &amp; Grading'!$AQ$4,'Mortality Margins &amp; Grading'!$AI$4:$AR$4,0),0),1)))</f>
        <v/>
      </c>
      <c r="AC972" s="154"/>
      <c r="AD972" s="158" t="str">
        <f>IF(E972="","",Input!$C$48*IF(Summary!$D$30="Included Margin",IF(AND($B972&gt;Input!$C$9,Summary!$D$31&lt;&gt;"Included Margin"),0,1),0))</f>
        <v/>
      </c>
      <c r="AE972" s="159" t="str">
        <f>IF(E972="","",IF(Summary!$D$26="Included Margin",IF(AND($B972&gt;Input!$C$9,Summary!$D$31&lt;&gt;"Included Margin"),1,1/$R972),1))</f>
        <v/>
      </c>
      <c r="AF972" s="160" t="str">
        <f>IF(E972="","",IF(AND($B972&gt;=Input!$C$9,$C972=12,Summary!$D$31="Included Margin",$U972&gt;0),1/U972-1,IF($B972&gt;=Input!$C$9,0,Input!$C$45*IF(Summary!$D$27="Included Margin",1,0))))</f>
        <v/>
      </c>
      <c r="AG972" s="160" t="str">
        <f>IF(E972="","",Input!$C$46*IF(Summary!$D$28="Included Margin",IF(AND($B972&gt;Input!$C$9,Summary!$D$31&lt;&gt;"Included Margin"),0,1),0))</f>
        <v/>
      </c>
      <c r="AH972" s="158" t="str">
        <f>IF(E972="","",Input!$C$47*IF(Summary!$D$29="Included Margin",IF(AND($B972&gt;Input!$C$9,Summary!$D$31&lt;&gt;"Included Margin"),0,1),0))</f>
        <v/>
      </c>
      <c r="AI972" s="154"/>
      <c r="AJ972" s="158" t="str">
        <f t="shared" si="647"/>
        <v/>
      </c>
      <c r="AK972" s="155" t="str">
        <f t="shared" si="648"/>
        <v/>
      </c>
      <c r="AL972" s="147" t="str">
        <f t="shared" si="649"/>
        <v/>
      </c>
      <c r="AM972" s="147" t="str">
        <f t="shared" si="634"/>
        <v/>
      </c>
      <c r="AN972" s="160" t="str">
        <f t="shared" si="650"/>
        <v/>
      </c>
      <c r="AO972" s="161" t="str">
        <f t="shared" si="651"/>
        <v/>
      </c>
      <c r="AP972" s="156" t="str">
        <f t="shared" si="635"/>
        <v/>
      </c>
      <c r="AQ972" s="152"/>
      <c r="AR972" s="162" t="str">
        <f t="shared" si="636"/>
        <v/>
      </c>
      <c r="AS972" s="150" t="str">
        <f t="shared" si="652"/>
        <v/>
      </c>
      <c r="AT972" s="163" t="str">
        <f t="shared" si="637"/>
        <v/>
      </c>
      <c r="AU972" s="163" t="str">
        <f t="shared" si="638"/>
        <v/>
      </c>
      <c r="AV972" s="163" t="str">
        <f t="shared" si="653"/>
        <v/>
      </c>
      <c r="AW972" s="163" t="str">
        <f t="shared" si="639"/>
        <v/>
      </c>
      <c r="AX972" s="163" t="str">
        <f t="shared" si="640"/>
        <v/>
      </c>
      <c r="AY972" s="165" t="str">
        <f t="shared" si="654"/>
        <v/>
      </c>
      <c r="AZ972" s="164" t="str">
        <f>IF($E972="","",IF(OR(AND($D972=Input!$C$6,$C972=12),$AN972=1),0,-AS973+AT973+AU973-AV973-AW973-AX973+AZ973))</f>
        <v/>
      </c>
      <c r="BA972" s="154" t="str">
        <f t="shared" si="641"/>
        <v/>
      </c>
      <c r="BC972" s="147" t="str">
        <f t="shared" si="655"/>
        <v/>
      </c>
      <c r="BD972" s="164" t="str">
        <f>IF(AND($C971=12,$D971=Input!$C$6),0,IF($E972="","",AT972+(AU972+BD973)/(1+$AK972)*MIN((1-AM972-AN972),1)))</f>
        <v/>
      </c>
      <c r="BE972" s="164" t="str">
        <f t="shared" si="628"/>
        <v/>
      </c>
      <c r="BF972" s="164" t="str">
        <f t="shared" si="656"/>
        <v/>
      </c>
      <c r="BG972" s="164" t="str">
        <f t="shared" si="642"/>
        <v/>
      </c>
      <c r="BH972" s="152"/>
      <c r="BI972" s="162" t="str">
        <f t="shared" si="621"/>
        <v/>
      </c>
      <c r="BJ972" s="150" t="str">
        <f t="shared" si="622"/>
        <v/>
      </c>
      <c r="BK972" s="163" t="str">
        <f t="shared" si="661"/>
        <v/>
      </c>
      <c r="BL972" s="163" t="str">
        <f t="shared" si="623"/>
        <v/>
      </c>
      <c r="BM972" s="163" t="str">
        <f t="shared" si="662"/>
        <v/>
      </c>
      <c r="BN972" s="163" t="str">
        <f t="shared" si="624"/>
        <v/>
      </c>
      <c r="BO972" s="163" t="str">
        <f t="shared" si="625"/>
        <v/>
      </c>
      <c r="BP972" s="164" t="str">
        <f t="shared" si="663"/>
        <v/>
      </c>
      <c r="BQ972" s="164" t="str">
        <f t="shared" si="657"/>
        <v/>
      </c>
      <c r="BR972" s="154" t="str">
        <f t="shared" si="627"/>
        <v/>
      </c>
      <c r="BT972" s="147" t="str">
        <f t="shared" si="643"/>
        <v/>
      </c>
      <c r="BU972" s="164" t="str">
        <f>IF(AND($C971=12,$D971=Input!$C$6),0,IF($E972="","",BK972+(BL972+BU973)/(1+$AK972)*MIN((1-T972-U972),1)))</f>
        <v/>
      </c>
      <c r="BV972" s="164" t="str">
        <f t="shared" si="644"/>
        <v/>
      </c>
      <c r="BW972" s="164" t="str">
        <f t="shared" si="645"/>
        <v/>
      </c>
      <c r="BX972" s="164" t="str">
        <f t="shared" si="646"/>
        <v/>
      </c>
    </row>
    <row r="973" spans="1:76" s="150" customFormat="1" x14ac:dyDescent="0.25">
      <c r="A973" s="150" t="str">
        <f t="shared" si="658"/>
        <v/>
      </c>
      <c r="B973" s="150" t="str">
        <f t="shared" si="659"/>
        <v/>
      </c>
      <c r="C973" s="150" t="str">
        <f t="shared" si="660"/>
        <v/>
      </c>
      <c r="D973" s="150" t="str">
        <f>IF(E973="","",Input!$C$4+B973-1)</f>
        <v/>
      </c>
      <c r="E973" s="150" t="str">
        <f>IF(OR(AND(C972=12,D972=Input!$C$6),E972=""),"",1)</f>
        <v/>
      </c>
      <c r="F973" s="150" t="str">
        <f>IF(E973="","",Input!$C$8+B973-1)</f>
        <v/>
      </c>
      <c r="G973" s="151" t="str">
        <f>IF(E973="","",MAX(0,Input!$C$9-B973))</f>
        <v/>
      </c>
      <c r="H973" s="152" t="str">
        <f>IF(E973="","",Input!$C$3)</f>
        <v/>
      </c>
      <c r="I973" s="153" t="str">
        <f>IF(E973="","",HLOOKUP($B973,Input!$C$13:$BT$14,2))</f>
        <v/>
      </c>
      <c r="J973" s="154"/>
      <c r="K973" s="155" t="str">
        <f>IF($E973="","",INDEX(Input!$C$16:$CP$16,1,$B973))</f>
        <v/>
      </c>
      <c r="L973" s="155" t="str">
        <f>IF($E973="","",Input!$C$37)</f>
        <v/>
      </c>
      <c r="M973" s="155" t="str">
        <f t="shared" si="629"/>
        <v/>
      </c>
      <c r="N973" s="155" t="str">
        <f t="shared" si="630"/>
        <v/>
      </c>
      <c r="O973" s="147" t="str">
        <f>IF($E973="","",MIN(VLOOKUP(IF($B973&lt;=Input!$C$7,$B973,26),'Mortality Tables'!$A$41:$CW$67,IF($B973&lt;=Input!$C$7+1,Input!$C$4+2,$D973-Input!$C$7+2),0)*IF(B973&gt;20,Input!$C$22,1)/1000,1))</f>
        <v/>
      </c>
      <c r="P973" s="147" t="str">
        <f>IF($E973="","",MIN(VLOOKUP(IF($B973&lt;=Input!$C$7,$B973,26),'Mortality Tables'!$A$12:$CW$37,IF($B973&lt;=Input!$C$7+1,Input!$C$4+2,$D973-Input!$C$7+2),0)*IF(B973&gt;20,Input!$C$22,1)/1000,1))</f>
        <v/>
      </c>
      <c r="Q973" s="155" t="str">
        <f>IF($E973="","",Input!$C$21)</f>
        <v/>
      </c>
      <c r="R973" s="159" t="str">
        <f>IF($E973="","",(1-Q973)^($F973-Input!$C$20))</f>
        <v/>
      </c>
      <c r="S973" s="147" t="str">
        <f t="shared" si="632"/>
        <v/>
      </c>
      <c r="T973" s="147" t="str">
        <f t="shared" si="633"/>
        <v/>
      </c>
      <c r="U973" s="160" t="str">
        <f>IF($E973="","",IF($C973=12,INDEX(Input!$C$15:$CP$15,1,$B973),0))</f>
        <v/>
      </c>
      <c r="V973" s="150" t="str">
        <f>IF(E973="","",IF(C973=1,IF($B973=1,Input!$C$33,Input!$C$34),0))</f>
        <v/>
      </c>
      <c r="W973" s="156" t="str">
        <f>IF($E973="","",Input!$C$35)</f>
        <v/>
      </c>
      <c r="X973" s="156" t="str">
        <f t="shared" si="631"/>
        <v/>
      </c>
      <c r="Y973" s="154"/>
      <c r="Z973" s="147" t="str">
        <f>IF($E973="","",VLOOKUP($D973,'Mortality Margins &amp; Grading'!$AB$5:$AF$125,3,0)*IF(Summary!$D$25="Included Margin",IF(AND($B973&gt;Input!$C$9,Summary!$D$31&lt;&gt;"Included Margin"),0,1),0))</f>
        <v/>
      </c>
      <c r="AA973" s="147" t="str">
        <f>IF($E973="","",VLOOKUP($D973,'Mortality Margins &amp; Grading'!$AB$5:$AF$125,5,0)*IF(Summary!$D$25="Included Margin",IF(AND($B973&gt;Input!$C$9,Summary!$D$31&lt;&gt;"Included Margin"),0,1),0))</f>
        <v/>
      </c>
      <c r="AB973" s="147" t="str">
        <f>IF($E973="","",IF(AND($B973&gt;Input!$C$9,Summary!$D$31&lt;&gt;"Included Margin"),1,IF(Summary!$D$25="Included Margin",VLOOKUP($B973,'Mortality Margins &amp; Grading'!$AI$5:$AR$125,MATCH('Mortality Margins &amp; Grading'!$AQ$4,'Mortality Margins &amp; Grading'!$AI$4:$AR$4,0),0),1)))</f>
        <v/>
      </c>
      <c r="AC973" s="154"/>
      <c r="AD973" s="158" t="str">
        <f>IF(E973="","",Input!$C$48*IF(Summary!$D$30="Included Margin",IF(AND($B973&gt;Input!$C$9,Summary!$D$31&lt;&gt;"Included Margin"),0,1),0))</f>
        <v/>
      </c>
      <c r="AE973" s="159" t="str">
        <f>IF(E973="","",IF(Summary!$D$26="Included Margin",IF(AND($B973&gt;Input!$C$9,Summary!$D$31&lt;&gt;"Included Margin"),1,1/$R973),1))</f>
        <v/>
      </c>
      <c r="AF973" s="160" t="str">
        <f>IF(E973="","",IF(AND($B973&gt;=Input!$C$9,$C973=12,Summary!$D$31="Included Margin",$U973&gt;0),1/U973-1,IF($B973&gt;=Input!$C$9,0,Input!$C$45*IF(Summary!$D$27="Included Margin",1,0))))</f>
        <v/>
      </c>
      <c r="AG973" s="160" t="str">
        <f>IF(E973="","",Input!$C$46*IF(Summary!$D$28="Included Margin",IF(AND($B973&gt;Input!$C$9,Summary!$D$31&lt;&gt;"Included Margin"),0,1),0))</f>
        <v/>
      </c>
      <c r="AH973" s="158" t="str">
        <f>IF(E973="","",Input!$C$47*IF(Summary!$D$29="Included Margin",IF(AND($B973&gt;Input!$C$9,Summary!$D$31&lt;&gt;"Included Margin"),0,1),0))</f>
        <v/>
      </c>
      <c r="AI973" s="154"/>
      <c r="AJ973" s="158" t="str">
        <f t="shared" si="647"/>
        <v/>
      </c>
      <c r="AK973" s="155" t="str">
        <f t="shared" si="648"/>
        <v/>
      </c>
      <c r="AL973" s="147" t="str">
        <f t="shared" si="649"/>
        <v/>
      </c>
      <c r="AM973" s="147" t="str">
        <f t="shared" si="634"/>
        <v/>
      </c>
      <c r="AN973" s="160" t="str">
        <f t="shared" si="650"/>
        <v/>
      </c>
      <c r="AO973" s="161" t="str">
        <f t="shared" si="651"/>
        <v/>
      </c>
      <c r="AP973" s="156" t="str">
        <f t="shared" si="635"/>
        <v/>
      </c>
      <c r="AQ973" s="152"/>
      <c r="AR973" s="162" t="str">
        <f t="shared" si="636"/>
        <v/>
      </c>
      <c r="AS973" s="150" t="str">
        <f t="shared" si="652"/>
        <v/>
      </c>
      <c r="AT973" s="163" t="str">
        <f t="shared" si="637"/>
        <v/>
      </c>
      <c r="AU973" s="163" t="str">
        <f t="shared" si="638"/>
        <v/>
      </c>
      <c r="AV973" s="163" t="str">
        <f t="shared" si="653"/>
        <v/>
      </c>
      <c r="AW973" s="163" t="str">
        <f t="shared" si="639"/>
        <v/>
      </c>
      <c r="AX973" s="163" t="str">
        <f t="shared" si="640"/>
        <v/>
      </c>
      <c r="AY973" s="164" t="str">
        <f t="shared" si="654"/>
        <v/>
      </c>
      <c r="AZ973" s="164" t="str">
        <f>IF($E973="","",IF(OR(AND($D973=Input!$C$6,$C973=12),$AN973=1),0,-AS974+AT974+AU974-AV974-AW974-AX974+AZ974))</f>
        <v/>
      </c>
      <c r="BA973" s="154" t="str">
        <f t="shared" si="641"/>
        <v/>
      </c>
      <c r="BC973" s="147" t="str">
        <f t="shared" si="655"/>
        <v/>
      </c>
      <c r="BD973" s="164" t="str">
        <f>IF(AND($C972=12,$D972=Input!$C$6),0,IF($E973="","",AT973+(AU973+BD974)/(1+$AK973)*MIN((1-AM973-AN973),1)))</f>
        <v/>
      </c>
      <c r="BE973" s="164" t="str">
        <f t="shared" si="628"/>
        <v/>
      </c>
      <c r="BF973" s="164" t="str">
        <f t="shared" si="656"/>
        <v/>
      </c>
      <c r="BG973" s="164" t="str">
        <f t="shared" si="642"/>
        <v/>
      </c>
      <c r="BH973" s="152"/>
      <c r="BI973" s="162" t="str">
        <f t="shared" si="621"/>
        <v/>
      </c>
      <c r="BJ973" s="150" t="str">
        <f t="shared" si="622"/>
        <v/>
      </c>
      <c r="BK973" s="163" t="str">
        <f t="shared" si="661"/>
        <v/>
      </c>
      <c r="BL973" s="163" t="str">
        <f t="shared" si="623"/>
        <v/>
      </c>
      <c r="BM973" s="163" t="str">
        <f t="shared" si="662"/>
        <v/>
      </c>
      <c r="BN973" s="163" t="str">
        <f t="shared" si="624"/>
        <v/>
      </c>
      <c r="BO973" s="163" t="str">
        <f t="shared" si="625"/>
        <v/>
      </c>
      <c r="BP973" s="164" t="str">
        <f t="shared" si="663"/>
        <v/>
      </c>
      <c r="BQ973" s="164" t="str">
        <f t="shared" si="657"/>
        <v/>
      </c>
      <c r="BR973" s="154" t="str">
        <f t="shared" si="627"/>
        <v/>
      </c>
      <c r="BT973" s="147" t="str">
        <f t="shared" si="643"/>
        <v/>
      </c>
      <c r="BU973" s="164" t="str">
        <f>IF(AND($C972=12,$D972=Input!$C$6),0,IF($E973="","",BK973+(BL973+BU974)/(1+$AK973)*MIN((1-T973-U973),1)))</f>
        <v/>
      </c>
      <c r="BV973" s="164" t="str">
        <f t="shared" si="644"/>
        <v/>
      </c>
      <c r="BW973" s="164" t="str">
        <f t="shared" si="645"/>
        <v/>
      </c>
      <c r="BX973" s="164" t="str">
        <f t="shared" si="646"/>
        <v/>
      </c>
    </row>
    <row r="974" spans="1:76" s="150" customFormat="1" x14ac:dyDescent="0.25">
      <c r="A974" s="150" t="str">
        <f t="shared" si="658"/>
        <v/>
      </c>
      <c r="B974" s="150" t="str">
        <f t="shared" si="659"/>
        <v/>
      </c>
      <c r="C974" s="150" t="str">
        <f t="shared" si="660"/>
        <v/>
      </c>
      <c r="D974" s="150" t="str">
        <f>IF(E974="","",Input!$C$4+B974-1)</f>
        <v/>
      </c>
      <c r="E974" s="150" t="str">
        <f>IF(OR(AND(C973=12,D973=Input!$C$6),E973=""),"",1)</f>
        <v/>
      </c>
      <c r="F974" s="150" t="str">
        <f>IF(E974="","",Input!$C$8+B974-1)</f>
        <v/>
      </c>
      <c r="G974" s="151" t="str">
        <f>IF(E974="","",MAX(0,Input!$C$9-B974))</f>
        <v/>
      </c>
      <c r="H974" s="152" t="str">
        <f>IF(E974="","",Input!$C$3)</f>
        <v/>
      </c>
      <c r="I974" s="153" t="str">
        <f>IF(E974="","",HLOOKUP($B974,Input!$C$13:$BT$14,2))</f>
        <v/>
      </c>
      <c r="J974" s="154"/>
      <c r="K974" s="155" t="str">
        <f>IF($E974="","",INDEX(Input!$C$16:$CP$16,1,$B974))</f>
        <v/>
      </c>
      <c r="L974" s="155" t="str">
        <f>IF($E974="","",Input!$C$37)</f>
        <v/>
      </c>
      <c r="M974" s="155" t="str">
        <f t="shared" si="629"/>
        <v/>
      </c>
      <c r="N974" s="155" t="str">
        <f t="shared" si="630"/>
        <v/>
      </c>
      <c r="O974" s="147" t="str">
        <f>IF($E974="","",MIN(VLOOKUP(IF($B974&lt;=Input!$C$7,$B974,26),'Mortality Tables'!$A$41:$CW$67,IF($B974&lt;=Input!$C$7+1,Input!$C$4+2,$D974-Input!$C$7+2),0)*IF(B974&gt;20,Input!$C$22,1)/1000,1))</f>
        <v/>
      </c>
      <c r="P974" s="147" t="str">
        <f>IF($E974="","",MIN(VLOOKUP(IF($B974&lt;=Input!$C$7,$B974,26),'Mortality Tables'!$A$12:$CW$37,IF($B974&lt;=Input!$C$7+1,Input!$C$4+2,$D974-Input!$C$7+2),0)*IF(B974&gt;20,Input!$C$22,1)/1000,1))</f>
        <v/>
      </c>
      <c r="Q974" s="155" t="str">
        <f>IF($E974="","",Input!$C$21)</f>
        <v/>
      </c>
      <c r="R974" s="159" t="str">
        <f>IF($E974="","",(1-Q974)^($F974-Input!$C$20))</f>
        <v/>
      </c>
      <c r="S974" s="147" t="str">
        <f t="shared" si="632"/>
        <v/>
      </c>
      <c r="T974" s="147" t="str">
        <f t="shared" si="633"/>
        <v/>
      </c>
      <c r="U974" s="160" t="str">
        <f>IF($E974="","",IF($C974=12,INDEX(Input!$C$15:$CP$15,1,$B974),0))</f>
        <v/>
      </c>
      <c r="V974" s="150" t="str">
        <f>IF(E974="","",IF(C974=1,IF($B974=1,Input!$C$33,Input!$C$34),0))</f>
        <v/>
      </c>
      <c r="W974" s="156" t="str">
        <f>IF($E974="","",Input!$C$35)</f>
        <v/>
      </c>
      <c r="X974" s="156" t="str">
        <f t="shared" si="631"/>
        <v/>
      </c>
      <c r="Y974" s="154"/>
      <c r="Z974" s="147" t="str">
        <f>IF($E974="","",VLOOKUP($D974,'Mortality Margins &amp; Grading'!$AB$5:$AF$125,3,0)*IF(Summary!$D$25="Included Margin",IF(AND($B974&gt;Input!$C$9,Summary!$D$31&lt;&gt;"Included Margin"),0,1),0))</f>
        <v/>
      </c>
      <c r="AA974" s="147" t="str">
        <f>IF($E974="","",VLOOKUP($D974,'Mortality Margins &amp; Grading'!$AB$5:$AF$125,5,0)*IF(Summary!$D$25="Included Margin",IF(AND($B974&gt;Input!$C$9,Summary!$D$31&lt;&gt;"Included Margin"),0,1),0))</f>
        <v/>
      </c>
      <c r="AB974" s="147" t="str">
        <f>IF($E974="","",IF(AND($B974&gt;Input!$C$9,Summary!$D$31&lt;&gt;"Included Margin"),1,IF(Summary!$D$25="Included Margin",VLOOKUP($B974,'Mortality Margins &amp; Grading'!$AI$5:$AR$125,MATCH('Mortality Margins &amp; Grading'!$AQ$4,'Mortality Margins &amp; Grading'!$AI$4:$AR$4,0),0),1)))</f>
        <v/>
      </c>
      <c r="AC974" s="154"/>
      <c r="AD974" s="158" t="str">
        <f>IF(E974="","",Input!$C$48*IF(Summary!$D$30="Included Margin",IF(AND($B974&gt;Input!$C$9,Summary!$D$31&lt;&gt;"Included Margin"),0,1),0))</f>
        <v/>
      </c>
      <c r="AE974" s="159" t="str">
        <f>IF(E974="","",IF(Summary!$D$26="Included Margin",IF(AND($B974&gt;Input!$C$9,Summary!$D$31&lt;&gt;"Included Margin"),1,1/$R974),1))</f>
        <v/>
      </c>
      <c r="AF974" s="160" t="str">
        <f>IF(E974="","",IF(AND($B974&gt;=Input!$C$9,$C974=12,Summary!$D$31="Included Margin",$U974&gt;0),1/U974-1,IF($B974&gt;=Input!$C$9,0,Input!$C$45*IF(Summary!$D$27="Included Margin",1,0))))</f>
        <v/>
      </c>
      <c r="AG974" s="160" t="str">
        <f>IF(E974="","",Input!$C$46*IF(Summary!$D$28="Included Margin",IF(AND($B974&gt;Input!$C$9,Summary!$D$31&lt;&gt;"Included Margin"),0,1),0))</f>
        <v/>
      </c>
      <c r="AH974" s="158" t="str">
        <f>IF(E974="","",Input!$C$47*IF(Summary!$D$29="Included Margin",IF(AND($B974&gt;Input!$C$9,Summary!$D$31&lt;&gt;"Included Margin"),0,1),0))</f>
        <v/>
      </c>
      <c r="AI974" s="154"/>
      <c r="AJ974" s="158" t="str">
        <f t="shared" si="647"/>
        <v/>
      </c>
      <c r="AK974" s="155" t="str">
        <f t="shared" si="648"/>
        <v/>
      </c>
      <c r="AL974" s="147" t="str">
        <f t="shared" si="649"/>
        <v/>
      </c>
      <c r="AM974" s="147" t="str">
        <f t="shared" si="634"/>
        <v/>
      </c>
      <c r="AN974" s="160" t="str">
        <f t="shared" si="650"/>
        <v/>
      </c>
      <c r="AO974" s="161" t="str">
        <f t="shared" si="651"/>
        <v/>
      </c>
      <c r="AP974" s="156" t="str">
        <f t="shared" si="635"/>
        <v/>
      </c>
      <c r="AQ974" s="152"/>
      <c r="AR974" s="162" t="str">
        <f t="shared" si="636"/>
        <v/>
      </c>
      <c r="AS974" s="150" t="str">
        <f t="shared" si="652"/>
        <v/>
      </c>
      <c r="AT974" s="163" t="str">
        <f t="shared" si="637"/>
        <v/>
      </c>
      <c r="AU974" s="163" t="str">
        <f t="shared" si="638"/>
        <v/>
      </c>
      <c r="AV974" s="163" t="str">
        <f t="shared" si="653"/>
        <v/>
      </c>
      <c r="AW974" s="163" t="str">
        <f t="shared" si="639"/>
        <v/>
      </c>
      <c r="AX974" s="163" t="str">
        <f t="shared" si="640"/>
        <v/>
      </c>
      <c r="AY974" s="165" t="str">
        <f t="shared" si="654"/>
        <v/>
      </c>
      <c r="AZ974" s="164" t="str">
        <f>IF($E974="","",IF(OR(AND($D974=Input!$C$6,$C974=12),$AN974=1),0,-AS975+AT975+AU975-AV975-AW975-AX975+AZ975))</f>
        <v/>
      </c>
      <c r="BA974" s="154" t="str">
        <f t="shared" si="641"/>
        <v/>
      </c>
      <c r="BC974" s="147" t="str">
        <f t="shared" si="655"/>
        <v/>
      </c>
      <c r="BD974" s="164" t="str">
        <f>IF(AND($C973=12,$D973=Input!$C$6),0,IF($E974="","",AT974+(AU974+BD975)/(1+$AK974)*MIN((1-AM974-AN974),1)))</f>
        <v/>
      </c>
      <c r="BE974" s="164" t="str">
        <f t="shared" si="628"/>
        <v/>
      </c>
      <c r="BF974" s="164" t="str">
        <f t="shared" si="656"/>
        <v/>
      </c>
      <c r="BG974" s="164" t="str">
        <f t="shared" si="642"/>
        <v/>
      </c>
      <c r="BH974" s="152"/>
      <c r="BI974" s="162" t="str">
        <f t="shared" si="621"/>
        <v/>
      </c>
      <c r="BJ974" s="150" t="str">
        <f t="shared" si="622"/>
        <v/>
      </c>
      <c r="BK974" s="163" t="str">
        <f t="shared" si="661"/>
        <v/>
      </c>
      <c r="BL974" s="163" t="str">
        <f t="shared" si="623"/>
        <v/>
      </c>
      <c r="BM974" s="163" t="str">
        <f t="shared" si="662"/>
        <v/>
      </c>
      <c r="BN974" s="163" t="str">
        <f t="shared" si="624"/>
        <v/>
      </c>
      <c r="BO974" s="163" t="str">
        <f t="shared" si="625"/>
        <v/>
      </c>
      <c r="BP974" s="164" t="str">
        <f t="shared" si="663"/>
        <v/>
      </c>
      <c r="BQ974" s="164" t="str">
        <f t="shared" si="657"/>
        <v/>
      </c>
      <c r="BR974" s="154" t="str">
        <f t="shared" si="627"/>
        <v/>
      </c>
      <c r="BT974" s="147" t="str">
        <f t="shared" si="643"/>
        <v/>
      </c>
      <c r="BU974" s="164" t="str">
        <f>IF(AND($C973=12,$D973=Input!$C$6),0,IF($E974="","",BK974+(BL974+BU975)/(1+$AK974)*MIN((1-T974-U974),1)))</f>
        <v/>
      </c>
      <c r="BV974" s="164" t="str">
        <f t="shared" si="644"/>
        <v/>
      </c>
      <c r="BW974" s="164" t="str">
        <f t="shared" si="645"/>
        <v/>
      </c>
      <c r="BX974" s="164" t="str">
        <f t="shared" si="646"/>
        <v/>
      </c>
    </row>
    <row r="975" spans="1:76" s="150" customFormat="1" x14ac:dyDescent="0.25">
      <c r="A975" s="150" t="str">
        <f t="shared" si="658"/>
        <v/>
      </c>
      <c r="B975" s="150" t="str">
        <f t="shared" si="659"/>
        <v/>
      </c>
      <c r="C975" s="150" t="str">
        <f t="shared" si="660"/>
        <v/>
      </c>
      <c r="D975" s="150" t="str">
        <f>IF(E975="","",Input!$C$4+B975-1)</f>
        <v/>
      </c>
      <c r="E975" s="150" t="str">
        <f>IF(OR(AND(C974=12,D974=Input!$C$6),E974=""),"",1)</f>
        <v/>
      </c>
      <c r="F975" s="150" t="str">
        <f>IF(E975="","",Input!$C$8+B975-1)</f>
        <v/>
      </c>
      <c r="G975" s="151" t="str">
        <f>IF(E975="","",MAX(0,Input!$C$9-B975))</f>
        <v/>
      </c>
      <c r="H975" s="152" t="str">
        <f>IF(E975="","",Input!$C$3)</f>
        <v/>
      </c>
      <c r="I975" s="153" t="str">
        <f>IF(E975="","",HLOOKUP($B975,Input!$C$13:$BT$14,2))</f>
        <v/>
      </c>
      <c r="J975" s="154"/>
      <c r="K975" s="155" t="str">
        <f>IF($E975="","",INDEX(Input!$C$16:$CP$16,1,$B975))</f>
        <v/>
      </c>
      <c r="L975" s="155" t="str">
        <f>IF($E975="","",Input!$C$37)</f>
        <v/>
      </c>
      <c r="M975" s="155" t="str">
        <f t="shared" si="629"/>
        <v/>
      </c>
      <c r="N975" s="155" t="str">
        <f t="shared" si="630"/>
        <v/>
      </c>
      <c r="O975" s="147" t="str">
        <f>IF($E975="","",MIN(VLOOKUP(IF($B975&lt;=Input!$C$7,$B975,26),'Mortality Tables'!$A$41:$CW$67,IF($B975&lt;=Input!$C$7+1,Input!$C$4+2,$D975-Input!$C$7+2),0)*IF(B975&gt;20,Input!$C$22,1)/1000,1))</f>
        <v/>
      </c>
      <c r="P975" s="147" t="str">
        <f>IF($E975="","",MIN(VLOOKUP(IF($B975&lt;=Input!$C$7,$B975,26),'Mortality Tables'!$A$12:$CW$37,IF($B975&lt;=Input!$C$7+1,Input!$C$4+2,$D975-Input!$C$7+2),0)*IF(B975&gt;20,Input!$C$22,1)/1000,1))</f>
        <v/>
      </c>
      <c r="Q975" s="155" t="str">
        <f>IF($E975="","",Input!$C$21)</f>
        <v/>
      </c>
      <c r="R975" s="159" t="str">
        <f>IF($E975="","",(1-Q975)^($F975-Input!$C$20))</f>
        <v/>
      </c>
      <c r="S975" s="147" t="str">
        <f t="shared" si="632"/>
        <v/>
      </c>
      <c r="T975" s="147" t="str">
        <f t="shared" si="633"/>
        <v/>
      </c>
      <c r="U975" s="160" t="str">
        <f>IF($E975="","",IF($C975=12,INDEX(Input!$C$15:$CP$15,1,$B975),0))</f>
        <v/>
      </c>
      <c r="V975" s="150" t="str">
        <f>IF(E975="","",IF(C975=1,IF($B975=1,Input!$C$33,Input!$C$34),0))</f>
        <v/>
      </c>
      <c r="W975" s="156" t="str">
        <f>IF($E975="","",Input!$C$35)</f>
        <v/>
      </c>
      <c r="X975" s="156" t="str">
        <f t="shared" si="631"/>
        <v/>
      </c>
      <c r="Y975" s="154"/>
      <c r="Z975" s="147" t="str">
        <f>IF($E975="","",VLOOKUP($D975,'Mortality Margins &amp; Grading'!$AB$5:$AF$125,3,0)*IF(Summary!$D$25="Included Margin",IF(AND($B975&gt;Input!$C$9,Summary!$D$31&lt;&gt;"Included Margin"),0,1),0))</f>
        <v/>
      </c>
      <c r="AA975" s="147" t="str">
        <f>IF($E975="","",VLOOKUP($D975,'Mortality Margins &amp; Grading'!$AB$5:$AF$125,5,0)*IF(Summary!$D$25="Included Margin",IF(AND($B975&gt;Input!$C$9,Summary!$D$31&lt;&gt;"Included Margin"),0,1),0))</f>
        <v/>
      </c>
      <c r="AB975" s="147" t="str">
        <f>IF($E975="","",IF(AND($B975&gt;Input!$C$9,Summary!$D$31&lt;&gt;"Included Margin"),1,IF(Summary!$D$25="Included Margin",VLOOKUP($B975,'Mortality Margins &amp; Grading'!$AI$5:$AR$125,MATCH('Mortality Margins &amp; Grading'!$AQ$4,'Mortality Margins &amp; Grading'!$AI$4:$AR$4,0),0),1)))</f>
        <v/>
      </c>
      <c r="AC975" s="154"/>
      <c r="AD975" s="158" t="str">
        <f>IF(E975="","",Input!$C$48*IF(Summary!$D$30="Included Margin",IF(AND($B975&gt;Input!$C$9,Summary!$D$31&lt;&gt;"Included Margin"),0,1),0))</f>
        <v/>
      </c>
      <c r="AE975" s="159" t="str">
        <f>IF(E975="","",IF(Summary!$D$26="Included Margin",IF(AND($B975&gt;Input!$C$9,Summary!$D$31&lt;&gt;"Included Margin"),1,1/$R975),1))</f>
        <v/>
      </c>
      <c r="AF975" s="160" t="str">
        <f>IF(E975="","",IF(AND($B975&gt;=Input!$C$9,$C975=12,Summary!$D$31="Included Margin",$U975&gt;0),1/U975-1,IF($B975&gt;=Input!$C$9,0,Input!$C$45*IF(Summary!$D$27="Included Margin",1,0))))</f>
        <v/>
      </c>
      <c r="AG975" s="160" t="str">
        <f>IF(E975="","",Input!$C$46*IF(Summary!$D$28="Included Margin",IF(AND($B975&gt;Input!$C$9,Summary!$D$31&lt;&gt;"Included Margin"),0,1),0))</f>
        <v/>
      </c>
      <c r="AH975" s="158" t="str">
        <f>IF(E975="","",Input!$C$47*IF(Summary!$D$29="Included Margin",IF(AND($B975&gt;Input!$C$9,Summary!$D$31&lt;&gt;"Included Margin"),0,1),0))</f>
        <v/>
      </c>
      <c r="AI975" s="154"/>
      <c r="AJ975" s="158" t="str">
        <f t="shared" si="647"/>
        <v/>
      </c>
      <c r="AK975" s="155" t="str">
        <f t="shared" si="648"/>
        <v/>
      </c>
      <c r="AL975" s="147" t="str">
        <f t="shared" si="649"/>
        <v/>
      </c>
      <c r="AM975" s="147" t="str">
        <f t="shared" si="634"/>
        <v/>
      </c>
      <c r="AN975" s="160" t="str">
        <f t="shared" si="650"/>
        <v/>
      </c>
      <c r="AO975" s="161" t="str">
        <f t="shared" si="651"/>
        <v/>
      </c>
      <c r="AP975" s="156" t="str">
        <f t="shared" si="635"/>
        <v/>
      </c>
      <c r="AQ975" s="152"/>
      <c r="AR975" s="162" t="str">
        <f t="shared" si="636"/>
        <v/>
      </c>
      <c r="AS975" s="150" t="str">
        <f t="shared" si="652"/>
        <v/>
      </c>
      <c r="AT975" s="163" t="str">
        <f t="shared" si="637"/>
        <v/>
      </c>
      <c r="AU975" s="163" t="str">
        <f t="shared" si="638"/>
        <v/>
      </c>
      <c r="AV975" s="163" t="str">
        <f t="shared" si="653"/>
        <v/>
      </c>
      <c r="AW975" s="163" t="str">
        <f t="shared" si="639"/>
        <v/>
      </c>
      <c r="AX975" s="163" t="str">
        <f t="shared" si="640"/>
        <v/>
      </c>
      <c r="AY975" s="164" t="str">
        <f t="shared" si="654"/>
        <v/>
      </c>
      <c r="AZ975" s="164" t="str">
        <f>IF($E975="","",IF(OR(AND($D975=Input!$C$6,$C975=12),$AN975=1),0,-AS976+AT976+AU976-AV976-AW976-AX976+AZ976))</f>
        <v/>
      </c>
      <c r="BA975" s="154" t="str">
        <f t="shared" si="641"/>
        <v/>
      </c>
      <c r="BC975" s="147" t="str">
        <f t="shared" si="655"/>
        <v/>
      </c>
      <c r="BD975" s="164" t="str">
        <f>IF(AND($C974=12,$D974=Input!$C$6),0,IF($E975="","",AT975+(AU975+BD976)/(1+$AK975)*MIN((1-AM975-AN975),1)))</f>
        <v/>
      </c>
      <c r="BE975" s="164" t="str">
        <f t="shared" si="628"/>
        <v/>
      </c>
      <c r="BF975" s="164" t="str">
        <f t="shared" si="656"/>
        <v/>
      </c>
      <c r="BG975" s="164" t="str">
        <f t="shared" si="642"/>
        <v/>
      </c>
      <c r="BH975" s="152"/>
      <c r="BI975" s="162" t="str">
        <f t="shared" si="621"/>
        <v/>
      </c>
      <c r="BJ975" s="150" t="str">
        <f t="shared" si="622"/>
        <v/>
      </c>
      <c r="BK975" s="163" t="str">
        <f t="shared" si="661"/>
        <v/>
      </c>
      <c r="BL975" s="163" t="str">
        <f t="shared" si="623"/>
        <v/>
      </c>
      <c r="BM975" s="163" t="str">
        <f t="shared" si="662"/>
        <v/>
      </c>
      <c r="BN975" s="163" t="str">
        <f t="shared" si="624"/>
        <v/>
      </c>
      <c r="BO975" s="163" t="str">
        <f t="shared" si="625"/>
        <v/>
      </c>
      <c r="BP975" s="164" t="str">
        <f t="shared" si="663"/>
        <v/>
      </c>
      <c r="BQ975" s="164" t="str">
        <f t="shared" si="657"/>
        <v/>
      </c>
      <c r="BR975" s="154" t="str">
        <f t="shared" si="627"/>
        <v/>
      </c>
      <c r="BT975" s="147" t="str">
        <f t="shared" si="643"/>
        <v/>
      </c>
      <c r="BU975" s="164" t="str">
        <f>IF(AND($C974=12,$D974=Input!$C$6),0,IF($E975="","",BK975+(BL975+BU976)/(1+$AK975)*MIN((1-T975-U975),1)))</f>
        <v/>
      </c>
      <c r="BV975" s="164" t="str">
        <f t="shared" si="644"/>
        <v/>
      </c>
      <c r="BW975" s="164" t="str">
        <f t="shared" si="645"/>
        <v/>
      </c>
      <c r="BX975" s="164" t="str">
        <f t="shared" si="646"/>
        <v/>
      </c>
    </row>
    <row r="976" spans="1:76" s="150" customFormat="1" x14ac:dyDescent="0.25">
      <c r="A976" s="150" t="str">
        <f t="shared" si="658"/>
        <v/>
      </c>
      <c r="B976" s="150" t="str">
        <f t="shared" si="659"/>
        <v/>
      </c>
      <c r="C976" s="150" t="str">
        <f t="shared" si="660"/>
        <v/>
      </c>
      <c r="D976" s="150" t="str">
        <f>IF(E976="","",Input!$C$4+B976-1)</f>
        <v/>
      </c>
      <c r="E976" s="150" t="str">
        <f>IF(OR(AND(C975=12,D975=Input!$C$6),E975=""),"",1)</f>
        <v/>
      </c>
      <c r="F976" s="150" t="str">
        <f>IF(E976="","",Input!$C$8+B976-1)</f>
        <v/>
      </c>
      <c r="G976" s="151" t="str">
        <f>IF(E976="","",MAX(0,Input!$C$9-B976))</f>
        <v/>
      </c>
      <c r="H976" s="152" t="str">
        <f>IF(E976="","",Input!$C$3)</f>
        <v/>
      </c>
      <c r="I976" s="153" t="str">
        <f>IF(E976="","",HLOOKUP($B976,Input!$C$13:$BT$14,2))</f>
        <v/>
      </c>
      <c r="J976" s="154"/>
      <c r="K976" s="155" t="str">
        <f>IF($E976="","",INDEX(Input!$C$16:$CP$16,1,$B976))</f>
        <v/>
      </c>
      <c r="L976" s="155" t="str">
        <f>IF($E976="","",Input!$C$37)</f>
        <v/>
      </c>
      <c r="M976" s="155" t="str">
        <f t="shared" si="629"/>
        <v/>
      </c>
      <c r="N976" s="155" t="str">
        <f t="shared" si="630"/>
        <v/>
      </c>
      <c r="O976" s="147" t="str">
        <f>IF($E976="","",MIN(VLOOKUP(IF($B976&lt;=Input!$C$7,$B976,26),'Mortality Tables'!$A$41:$CW$67,IF($B976&lt;=Input!$C$7+1,Input!$C$4+2,$D976-Input!$C$7+2),0)*IF(B976&gt;20,Input!$C$22,1)/1000,1))</f>
        <v/>
      </c>
      <c r="P976" s="147" t="str">
        <f>IF($E976="","",MIN(VLOOKUP(IF($B976&lt;=Input!$C$7,$B976,26),'Mortality Tables'!$A$12:$CW$37,IF($B976&lt;=Input!$C$7+1,Input!$C$4+2,$D976-Input!$C$7+2),0)*IF(B976&gt;20,Input!$C$22,1)/1000,1))</f>
        <v/>
      </c>
      <c r="Q976" s="155" t="str">
        <f>IF($E976="","",Input!$C$21)</f>
        <v/>
      </c>
      <c r="R976" s="159" t="str">
        <f>IF($E976="","",(1-Q976)^($F976-Input!$C$20))</f>
        <v/>
      </c>
      <c r="S976" s="147" t="str">
        <f t="shared" si="632"/>
        <v/>
      </c>
      <c r="T976" s="147" t="str">
        <f t="shared" si="633"/>
        <v/>
      </c>
      <c r="U976" s="160" t="str">
        <f>IF($E976="","",IF($C976=12,INDEX(Input!$C$15:$CP$15,1,$B976),0))</f>
        <v/>
      </c>
      <c r="V976" s="150" t="str">
        <f>IF(E976="","",IF(C976=1,IF($B976=1,Input!$C$33,Input!$C$34),0))</f>
        <v/>
      </c>
      <c r="W976" s="156" t="str">
        <f>IF($E976="","",Input!$C$35)</f>
        <v/>
      </c>
      <c r="X976" s="156" t="str">
        <f t="shared" si="631"/>
        <v/>
      </c>
      <c r="Y976" s="154"/>
      <c r="Z976" s="147" t="str">
        <f>IF($E976="","",VLOOKUP($D976,'Mortality Margins &amp; Grading'!$AB$5:$AF$125,3,0)*IF(Summary!$D$25="Included Margin",IF(AND($B976&gt;Input!$C$9,Summary!$D$31&lt;&gt;"Included Margin"),0,1),0))</f>
        <v/>
      </c>
      <c r="AA976" s="147" t="str">
        <f>IF($E976="","",VLOOKUP($D976,'Mortality Margins &amp; Grading'!$AB$5:$AF$125,5,0)*IF(Summary!$D$25="Included Margin",IF(AND($B976&gt;Input!$C$9,Summary!$D$31&lt;&gt;"Included Margin"),0,1),0))</f>
        <v/>
      </c>
      <c r="AB976" s="147" t="str">
        <f>IF($E976="","",IF(AND($B976&gt;Input!$C$9,Summary!$D$31&lt;&gt;"Included Margin"),1,IF(Summary!$D$25="Included Margin",VLOOKUP($B976,'Mortality Margins &amp; Grading'!$AI$5:$AR$125,MATCH('Mortality Margins &amp; Grading'!$AQ$4,'Mortality Margins &amp; Grading'!$AI$4:$AR$4,0),0),1)))</f>
        <v/>
      </c>
      <c r="AC976" s="154"/>
      <c r="AD976" s="158" t="str">
        <f>IF(E976="","",Input!$C$48*IF(Summary!$D$30="Included Margin",IF(AND($B976&gt;Input!$C$9,Summary!$D$31&lt;&gt;"Included Margin"),0,1),0))</f>
        <v/>
      </c>
      <c r="AE976" s="159" t="str">
        <f>IF(E976="","",IF(Summary!$D$26="Included Margin",IF(AND($B976&gt;Input!$C$9,Summary!$D$31&lt;&gt;"Included Margin"),1,1/$R976),1))</f>
        <v/>
      </c>
      <c r="AF976" s="160" t="str">
        <f>IF(E976="","",IF(AND($B976&gt;=Input!$C$9,$C976=12,Summary!$D$31="Included Margin",$U976&gt;0),1/U976-1,IF($B976&gt;=Input!$C$9,0,Input!$C$45*IF(Summary!$D$27="Included Margin",1,0))))</f>
        <v/>
      </c>
      <c r="AG976" s="160" t="str">
        <f>IF(E976="","",Input!$C$46*IF(Summary!$D$28="Included Margin",IF(AND($B976&gt;Input!$C$9,Summary!$D$31&lt;&gt;"Included Margin"),0,1),0))</f>
        <v/>
      </c>
      <c r="AH976" s="158" t="str">
        <f>IF(E976="","",Input!$C$47*IF(Summary!$D$29="Included Margin",IF(AND($B976&gt;Input!$C$9,Summary!$D$31&lt;&gt;"Included Margin"),0,1),0))</f>
        <v/>
      </c>
      <c r="AI976" s="154"/>
      <c r="AJ976" s="158" t="str">
        <f t="shared" si="647"/>
        <v/>
      </c>
      <c r="AK976" s="155" t="str">
        <f t="shared" si="648"/>
        <v/>
      </c>
      <c r="AL976" s="147" t="str">
        <f t="shared" si="649"/>
        <v/>
      </c>
      <c r="AM976" s="147" t="str">
        <f t="shared" si="634"/>
        <v/>
      </c>
      <c r="AN976" s="160" t="str">
        <f t="shared" si="650"/>
        <v/>
      </c>
      <c r="AO976" s="161" t="str">
        <f t="shared" si="651"/>
        <v/>
      </c>
      <c r="AP976" s="156" t="str">
        <f t="shared" si="635"/>
        <v/>
      </c>
      <c r="AQ976" s="152"/>
      <c r="AR976" s="162" t="str">
        <f t="shared" si="636"/>
        <v/>
      </c>
      <c r="AS976" s="150" t="str">
        <f t="shared" si="652"/>
        <v/>
      </c>
      <c r="AT976" s="163" t="str">
        <f t="shared" si="637"/>
        <v/>
      </c>
      <c r="AU976" s="163" t="str">
        <f t="shared" si="638"/>
        <v/>
      </c>
      <c r="AV976" s="163" t="str">
        <f t="shared" si="653"/>
        <v/>
      </c>
      <c r="AW976" s="163" t="str">
        <f t="shared" si="639"/>
        <v/>
      </c>
      <c r="AX976" s="163" t="str">
        <f t="shared" si="640"/>
        <v/>
      </c>
      <c r="AY976" s="165" t="str">
        <f t="shared" si="654"/>
        <v/>
      </c>
      <c r="AZ976" s="164" t="str">
        <f>IF($E976="","",IF(OR(AND($D976=Input!$C$6,$C976=12),$AN976=1),0,-AS977+AT977+AU977-AV977-AW977-AX977+AZ977))</f>
        <v/>
      </c>
      <c r="BA976" s="154" t="str">
        <f t="shared" si="641"/>
        <v/>
      </c>
      <c r="BC976" s="147" t="str">
        <f t="shared" si="655"/>
        <v/>
      </c>
      <c r="BD976" s="164" t="str">
        <f>IF(AND($C975=12,$D975=Input!$C$6),0,IF($E976="","",AT976+(AU976+BD977)/(1+$AK976)*MIN((1-AM976-AN976),1)))</f>
        <v/>
      </c>
      <c r="BE976" s="164" t="str">
        <f t="shared" si="628"/>
        <v/>
      </c>
      <c r="BF976" s="164" t="str">
        <f t="shared" si="656"/>
        <v/>
      </c>
      <c r="BG976" s="164" t="str">
        <f t="shared" si="642"/>
        <v/>
      </c>
      <c r="BH976" s="152"/>
      <c r="BI976" s="162" t="str">
        <f t="shared" si="621"/>
        <v/>
      </c>
      <c r="BJ976" s="150" t="str">
        <f t="shared" si="622"/>
        <v/>
      </c>
      <c r="BK976" s="163" t="str">
        <f t="shared" si="661"/>
        <v/>
      </c>
      <c r="BL976" s="163" t="str">
        <f t="shared" si="623"/>
        <v/>
      </c>
      <c r="BM976" s="163" t="str">
        <f t="shared" si="662"/>
        <v/>
      </c>
      <c r="BN976" s="163" t="str">
        <f t="shared" si="624"/>
        <v/>
      </c>
      <c r="BO976" s="163" t="str">
        <f t="shared" si="625"/>
        <v/>
      </c>
      <c r="BP976" s="164" t="str">
        <f t="shared" si="663"/>
        <v/>
      </c>
      <c r="BQ976" s="164" t="str">
        <f t="shared" si="657"/>
        <v/>
      </c>
      <c r="BR976" s="154" t="str">
        <f t="shared" si="627"/>
        <v/>
      </c>
      <c r="BT976" s="147" t="str">
        <f t="shared" si="643"/>
        <v/>
      </c>
      <c r="BU976" s="164" t="str">
        <f>IF(AND($C975=12,$D975=Input!$C$6),0,IF($E976="","",BK976+(BL976+BU977)/(1+$AK976)*MIN((1-T976-U976),1)))</f>
        <v/>
      </c>
      <c r="BV976" s="164" t="str">
        <f t="shared" si="644"/>
        <v/>
      </c>
      <c r="BW976" s="164" t="str">
        <f t="shared" si="645"/>
        <v/>
      </c>
      <c r="BX976" s="164" t="str">
        <f t="shared" si="646"/>
        <v/>
      </c>
    </row>
    <row r="977" spans="1:76" s="150" customFormat="1" x14ac:dyDescent="0.25">
      <c r="A977" s="150" t="str">
        <f t="shared" si="658"/>
        <v/>
      </c>
      <c r="B977" s="150" t="str">
        <f t="shared" si="659"/>
        <v/>
      </c>
      <c r="C977" s="150" t="str">
        <f t="shared" si="660"/>
        <v/>
      </c>
      <c r="D977" s="150" t="str">
        <f>IF(E977="","",Input!$C$4+B977-1)</f>
        <v/>
      </c>
      <c r="E977" s="150" t="str">
        <f>IF(OR(AND(C976=12,D976=Input!$C$6),E976=""),"",1)</f>
        <v/>
      </c>
      <c r="F977" s="150" t="str">
        <f>IF(E977="","",Input!$C$8+B977-1)</f>
        <v/>
      </c>
      <c r="G977" s="151" t="str">
        <f>IF(E977="","",MAX(0,Input!$C$9-B977))</f>
        <v/>
      </c>
      <c r="H977" s="152" t="str">
        <f>IF(E977="","",Input!$C$3)</f>
        <v/>
      </c>
      <c r="I977" s="153" t="str">
        <f>IF(E977="","",HLOOKUP($B977,Input!$C$13:$BT$14,2))</f>
        <v/>
      </c>
      <c r="J977" s="154"/>
      <c r="K977" s="155" t="str">
        <f>IF($E977="","",INDEX(Input!$C$16:$CP$16,1,$B977))</f>
        <v/>
      </c>
      <c r="L977" s="155" t="str">
        <f>IF($E977="","",Input!$C$37)</f>
        <v/>
      </c>
      <c r="M977" s="155" t="str">
        <f t="shared" si="629"/>
        <v/>
      </c>
      <c r="N977" s="155" t="str">
        <f t="shared" si="630"/>
        <v/>
      </c>
      <c r="O977" s="147" t="str">
        <f>IF($E977="","",MIN(VLOOKUP(IF($B977&lt;=Input!$C$7,$B977,26),'Mortality Tables'!$A$41:$CW$67,IF($B977&lt;=Input!$C$7+1,Input!$C$4+2,$D977-Input!$C$7+2),0)*IF(B977&gt;20,Input!$C$22,1)/1000,1))</f>
        <v/>
      </c>
      <c r="P977" s="147" t="str">
        <f>IF($E977="","",MIN(VLOOKUP(IF($B977&lt;=Input!$C$7,$B977,26),'Mortality Tables'!$A$12:$CW$37,IF($B977&lt;=Input!$C$7+1,Input!$C$4+2,$D977-Input!$C$7+2),0)*IF(B977&gt;20,Input!$C$22,1)/1000,1))</f>
        <v/>
      </c>
      <c r="Q977" s="155" t="str">
        <f>IF($E977="","",Input!$C$21)</f>
        <v/>
      </c>
      <c r="R977" s="159" t="str">
        <f>IF($E977="","",(1-Q977)^($F977-Input!$C$20))</f>
        <v/>
      </c>
      <c r="S977" s="147" t="str">
        <f t="shared" si="632"/>
        <v/>
      </c>
      <c r="T977" s="147" t="str">
        <f t="shared" si="633"/>
        <v/>
      </c>
      <c r="U977" s="160" t="str">
        <f>IF($E977="","",IF($C977=12,INDEX(Input!$C$15:$CP$15,1,$B977),0))</f>
        <v/>
      </c>
      <c r="V977" s="150" t="str">
        <f>IF(E977="","",IF(C977=1,IF($B977=1,Input!$C$33,Input!$C$34),0))</f>
        <v/>
      </c>
      <c r="W977" s="156" t="str">
        <f>IF($E977="","",Input!$C$35)</f>
        <v/>
      </c>
      <c r="X977" s="156" t="str">
        <f t="shared" si="631"/>
        <v/>
      </c>
      <c r="Y977" s="154"/>
      <c r="Z977" s="147" t="str">
        <f>IF($E977="","",VLOOKUP($D977,'Mortality Margins &amp; Grading'!$AB$5:$AF$125,3,0)*IF(Summary!$D$25="Included Margin",IF(AND($B977&gt;Input!$C$9,Summary!$D$31&lt;&gt;"Included Margin"),0,1),0))</f>
        <v/>
      </c>
      <c r="AA977" s="147" t="str">
        <f>IF($E977="","",VLOOKUP($D977,'Mortality Margins &amp; Grading'!$AB$5:$AF$125,5,0)*IF(Summary!$D$25="Included Margin",IF(AND($B977&gt;Input!$C$9,Summary!$D$31&lt;&gt;"Included Margin"),0,1),0))</f>
        <v/>
      </c>
      <c r="AB977" s="147" t="str">
        <f>IF($E977="","",IF(AND($B977&gt;Input!$C$9,Summary!$D$31&lt;&gt;"Included Margin"),1,IF(Summary!$D$25="Included Margin",VLOOKUP($B977,'Mortality Margins &amp; Grading'!$AI$5:$AR$125,MATCH('Mortality Margins &amp; Grading'!$AQ$4,'Mortality Margins &amp; Grading'!$AI$4:$AR$4,0),0),1)))</f>
        <v/>
      </c>
      <c r="AC977" s="154"/>
      <c r="AD977" s="158" t="str">
        <f>IF(E977="","",Input!$C$48*IF(Summary!$D$30="Included Margin",IF(AND($B977&gt;Input!$C$9,Summary!$D$31&lt;&gt;"Included Margin"),0,1),0))</f>
        <v/>
      </c>
      <c r="AE977" s="159" t="str">
        <f>IF(E977="","",IF(Summary!$D$26="Included Margin",IF(AND($B977&gt;Input!$C$9,Summary!$D$31&lt;&gt;"Included Margin"),1,1/$R977),1))</f>
        <v/>
      </c>
      <c r="AF977" s="160" t="str">
        <f>IF(E977="","",IF(AND($B977&gt;=Input!$C$9,$C977=12,Summary!$D$31="Included Margin",$U977&gt;0),1/U977-1,IF($B977&gt;=Input!$C$9,0,Input!$C$45*IF(Summary!$D$27="Included Margin",1,0))))</f>
        <v/>
      </c>
      <c r="AG977" s="160" t="str">
        <f>IF(E977="","",Input!$C$46*IF(Summary!$D$28="Included Margin",IF(AND($B977&gt;Input!$C$9,Summary!$D$31&lt;&gt;"Included Margin"),0,1),0))</f>
        <v/>
      </c>
      <c r="AH977" s="158" t="str">
        <f>IF(E977="","",Input!$C$47*IF(Summary!$D$29="Included Margin",IF(AND($B977&gt;Input!$C$9,Summary!$D$31&lt;&gt;"Included Margin"),0,1),0))</f>
        <v/>
      </c>
      <c r="AI977" s="154"/>
      <c r="AJ977" s="158" t="str">
        <f t="shared" si="647"/>
        <v/>
      </c>
      <c r="AK977" s="155" t="str">
        <f t="shared" si="648"/>
        <v/>
      </c>
      <c r="AL977" s="147" t="str">
        <f t="shared" si="649"/>
        <v/>
      </c>
      <c r="AM977" s="147" t="str">
        <f t="shared" si="634"/>
        <v/>
      </c>
      <c r="AN977" s="160" t="str">
        <f t="shared" si="650"/>
        <v/>
      </c>
      <c r="AO977" s="161" t="str">
        <f t="shared" si="651"/>
        <v/>
      </c>
      <c r="AP977" s="156" t="str">
        <f t="shared" si="635"/>
        <v/>
      </c>
      <c r="AQ977" s="152"/>
      <c r="AR977" s="162" t="str">
        <f t="shared" si="636"/>
        <v/>
      </c>
      <c r="AS977" s="150" t="str">
        <f t="shared" si="652"/>
        <v/>
      </c>
      <c r="AT977" s="163" t="str">
        <f t="shared" si="637"/>
        <v/>
      </c>
      <c r="AU977" s="163" t="str">
        <f t="shared" si="638"/>
        <v/>
      </c>
      <c r="AV977" s="163" t="str">
        <f t="shared" si="653"/>
        <v/>
      </c>
      <c r="AW977" s="163" t="str">
        <f t="shared" si="639"/>
        <v/>
      </c>
      <c r="AX977" s="163" t="str">
        <f t="shared" si="640"/>
        <v/>
      </c>
      <c r="AY977" s="164" t="str">
        <f t="shared" si="654"/>
        <v/>
      </c>
      <c r="AZ977" s="164" t="str">
        <f>IF($E977="","",IF(OR(AND($D977=Input!$C$6,$C977=12),$AN977=1),0,-AS978+AT978+AU978-AV978-AW978-AX978+AZ978))</f>
        <v/>
      </c>
      <c r="BA977" s="154" t="str">
        <f t="shared" si="641"/>
        <v/>
      </c>
      <c r="BC977" s="147" t="str">
        <f t="shared" si="655"/>
        <v/>
      </c>
      <c r="BD977" s="164" t="str">
        <f>IF(AND($C976=12,$D976=Input!$C$6),0,IF($E977="","",AT977+(AU977+BD978)/(1+$AK977)*MIN((1-AM977-AN977),1)))</f>
        <v/>
      </c>
      <c r="BE977" s="164" t="str">
        <f t="shared" si="628"/>
        <v/>
      </c>
      <c r="BF977" s="164" t="str">
        <f t="shared" si="656"/>
        <v/>
      </c>
      <c r="BG977" s="164" t="str">
        <f t="shared" si="642"/>
        <v/>
      </c>
      <c r="BH977" s="152"/>
      <c r="BI977" s="162" t="str">
        <f t="shared" si="621"/>
        <v/>
      </c>
      <c r="BJ977" s="150" t="str">
        <f t="shared" si="622"/>
        <v/>
      </c>
      <c r="BK977" s="163" t="str">
        <f t="shared" si="661"/>
        <v/>
      </c>
      <c r="BL977" s="163" t="str">
        <f t="shared" si="623"/>
        <v/>
      </c>
      <c r="BM977" s="163" t="str">
        <f t="shared" si="662"/>
        <v/>
      </c>
      <c r="BN977" s="163" t="str">
        <f t="shared" si="624"/>
        <v/>
      </c>
      <c r="BO977" s="163" t="str">
        <f t="shared" si="625"/>
        <v/>
      </c>
      <c r="BP977" s="164" t="str">
        <f t="shared" si="663"/>
        <v/>
      </c>
      <c r="BQ977" s="164" t="str">
        <f t="shared" si="657"/>
        <v/>
      </c>
      <c r="BR977" s="154" t="str">
        <f t="shared" si="627"/>
        <v/>
      </c>
      <c r="BT977" s="147" t="str">
        <f t="shared" si="643"/>
        <v/>
      </c>
      <c r="BU977" s="164" t="str">
        <f>IF(AND($C976=12,$D976=Input!$C$6),0,IF($E977="","",BK977+(BL977+BU978)/(1+$AK977)*MIN((1-T977-U977),1)))</f>
        <v/>
      </c>
      <c r="BV977" s="164" t="str">
        <f t="shared" si="644"/>
        <v/>
      </c>
      <c r="BW977" s="164" t="str">
        <f t="shared" si="645"/>
        <v/>
      </c>
      <c r="BX977" s="164" t="str">
        <f t="shared" si="646"/>
        <v/>
      </c>
    </row>
    <row r="978" spans="1:76" s="150" customFormat="1" x14ac:dyDescent="0.25">
      <c r="A978" s="150" t="str">
        <f t="shared" si="658"/>
        <v/>
      </c>
      <c r="B978" s="150" t="str">
        <f t="shared" si="659"/>
        <v/>
      </c>
      <c r="C978" s="150" t="str">
        <f t="shared" si="660"/>
        <v/>
      </c>
      <c r="D978" s="150" t="str">
        <f>IF(E978="","",Input!$C$4+B978-1)</f>
        <v/>
      </c>
      <c r="E978" s="150" t="str">
        <f>IF(OR(AND(C977=12,D977=Input!$C$6),E977=""),"",1)</f>
        <v/>
      </c>
      <c r="F978" s="150" t="str">
        <f>IF(E978="","",Input!$C$8+B978-1)</f>
        <v/>
      </c>
      <c r="G978" s="151" t="str">
        <f>IF(E978="","",MAX(0,Input!$C$9-B978))</f>
        <v/>
      </c>
      <c r="H978" s="152" t="str">
        <f>IF(E978="","",Input!$C$3)</f>
        <v/>
      </c>
      <c r="I978" s="153" t="str">
        <f>IF(E978="","",HLOOKUP($B978,Input!$C$13:$BT$14,2))</f>
        <v/>
      </c>
      <c r="J978" s="154"/>
      <c r="K978" s="155" t="str">
        <f>IF($E978="","",INDEX(Input!$C$16:$CP$16,1,$B978))</f>
        <v/>
      </c>
      <c r="L978" s="155" t="str">
        <f>IF($E978="","",Input!$C$37)</f>
        <v/>
      </c>
      <c r="M978" s="155" t="str">
        <f t="shared" si="629"/>
        <v/>
      </c>
      <c r="N978" s="155" t="str">
        <f t="shared" si="630"/>
        <v/>
      </c>
      <c r="O978" s="147" t="str">
        <f>IF($E978="","",MIN(VLOOKUP(IF($B978&lt;=Input!$C$7,$B978,26),'Mortality Tables'!$A$41:$CW$67,IF($B978&lt;=Input!$C$7+1,Input!$C$4+2,$D978-Input!$C$7+2),0)*IF(B978&gt;20,Input!$C$22,1)/1000,1))</f>
        <v/>
      </c>
      <c r="P978" s="147" t="str">
        <f>IF($E978="","",MIN(VLOOKUP(IF($B978&lt;=Input!$C$7,$B978,26),'Mortality Tables'!$A$12:$CW$37,IF($B978&lt;=Input!$C$7+1,Input!$C$4+2,$D978-Input!$C$7+2),0)*IF(B978&gt;20,Input!$C$22,1)/1000,1))</f>
        <v/>
      </c>
      <c r="Q978" s="155" t="str">
        <f>IF($E978="","",Input!$C$21)</f>
        <v/>
      </c>
      <c r="R978" s="159" t="str">
        <f>IF($E978="","",(1-Q978)^($F978-Input!$C$20))</f>
        <v/>
      </c>
      <c r="S978" s="147" t="str">
        <f t="shared" si="632"/>
        <v/>
      </c>
      <c r="T978" s="147" t="str">
        <f t="shared" si="633"/>
        <v/>
      </c>
      <c r="U978" s="160" t="str">
        <f>IF($E978="","",IF($C978=12,INDEX(Input!$C$15:$CP$15,1,$B978),0))</f>
        <v/>
      </c>
      <c r="V978" s="150" t="str">
        <f>IF(E978="","",IF(C978=1,IF($B978=1,Input!$C$33,Input!$C$34),0))</f>
        <v/>
      </c>
      <c r="W978" s="156" t="str">
        <f>IF($E978="","",Input!$C$35)</f>
        <v/>
      </c>
      <c r="X978" s="156" t="str">
        <f t="shared" si="631"/>
        <v/>
      </c>
      <c r="Y978" s="154"/>
      <c r="Z978" s="147" t="str">
        <f>IF($E978="","",VLOOKUP($D978,'Mortality Margins &amp; Grading'!$AB$5:$AF$125,3,0)*IF(Summary!$D$25="Included Margin",IF(AND($B978&gt;Input!$C$9,Summary!$D$31&lt;&gt;"Included Margin"),0,1),0))</f>
        <v/>
      </c>
      <c r="AA978" s="147" t="str">
        <f>IF($E978="","",VLOOKUP($D978,'Mortality Margins &amp; Grading'!$AB$5:$AF$125,5,0)*IF(Summary!$D$25="Included Margin",IF(AND($B978&gt;Input!$C$9,Summary!$D$31&lt;&gt;"Included Margin"),0,1),0))</f>
        <v/>
      </c>
      <c r="AB978" s="147" t="str">
        <f>IF($E978="","",IF(AND($B978&gt;Input!$C$9,Summary!$D$31&lt;&gt;"Included Margin"),1,IF(Summary!$D$25="Included Margin",VLOOKUP($B978,'Mortality Margins &amp; Grading'!$AI$5:$AR$125,MATCH('Mortality Margins &amp; Grading'!$AQ$4,'Mortality Margins &amp; Grading'!$AI$4:$AR$4,0),0),1)))</f>
        <v/>
      </c>
      <c r="AC978" s="154"/>
      <c r="AD978" s="158" t="str">
        <f>IF(E978="","",Input!$C$48*IF(Summary!$D$30="Included Margin",IF(AND($B978&gt;Input!$C$9,Summary!$D$31&lt;&gt;"Included Margin"),0,1),0))</f>
        <v/>
      </c>
      <c r="AE978" s="159" t="str">
        <f>IF(E978="","",IF(Summary!$D$26="Included Margin",IF(AND($B978&gt;Input!$C$9,Summary!$D$31&lt;&gt;"Included Margin"),1,1/$R978),1))</f>
        <v/>
      </c>
      <c r="AF978" s="160" t="str">
        <f>IF(E978="","",IF(AND($B978&gt;=Input!$C$9,$C978=12,Summary!$D$31="Included Margin",$U978&gt;0),1/U978-1,IF($B978&gt;=Input!$C$9,0,Input!$C$45*IF(Summary!$D$27="Included Margin",1,0))))</f>
        <v/>
      </c>
      <c r="AG978" s="160" t="str">
        <f>IF(E978="","",Input!$C$46*IF(Summary!$D$28="Included Margin",IF(AND($B978&gt;Input!$C$9,Summary!$D$31&lt;&gt;"Included Margin"),0,1),0))</f>
        <v/>
      </c>
      <c r="AH978" s="158" t="str">
        <f>IF(E978="","",Input!$C$47*IF(Summary!$D$29="Included Margin",IF(AND($B978&gt;Input!$C$9,Summary!$D$31&lt;&gt;"Included Margin"),0,1),0))</f>
        <v/>
      </c>
      <c r="AI978" s="154"/>
      <c r="AJ978" s="158" t="str">
        <f t="shared" si="647"/>
        <v/>
      </c>
      <c r="AK978" s="155" t="str">
        <f t="shared" si="648"/>
        <v/>
      </c>
      <c r="AL978" s="147" t="str">
        <f t="shared" si="649"/>
        <v/>
      </c>
      <c r="AM978" s="147" t="str">
        <f t="shared" si="634"/>
        <v/>
      </c>
      <c r="AN978" s="160" t="str">
        <f t="shared" si="650"/>
        <v/>
      </c>
      <c r="AO978" s="161" t="str">
        <f t="shared" si="651"/>
        <v/>
      </c>
      <c r="AP978" s="156" t="str">
        <f t="shared" si="635"/>
        <v/>
      </c>
      <c r="AQ978" s="152"/>
      <c r="AR978" s="162" t="str">
        <f t="shared" si="636"/>
        <v/>
      </c>
      <c r="AS978" s="150" t="str">
        <f t="shared" si="652"/>
        <v/>
      </c>
      <c r="AT978" s="163" t="str">
        <f t="shared" si="637"/>
        <v/>
      </c>
      <c r="AU978" s="163" t="str">
        <f t="shared" si="638"/>
        <v/>
      </c>
      <c r="AV978" s="163" t="str">
        <f t="shared" si="653"/>
        <v/>
      </c>
      <c r="AW978" s="163" t="str">
        <f t="shared" si="639"/>
        <v/>
      </c>
      <c r="AX978" s="163" t="str">
        <f t="shared" si="640"/>
        <v/>
      </c>
      <c r="AY978" s="165" t="str">
        <f t="shared" si="654"/>
        <v/>
      </c>
      <c r="AZ978" s="164" t="str">
        <f>IF($E978="","",IF(OR(AND($D978=Input!$C$6,$C978=12),$AN978=1),0,-AS979+AT979+AU979-AV979-AW979-AX979+AZ979))</f>
        <v/>
      </c>
      <c r="BA978" s="154" t="str">
        <f t="shared" si="641"/>
        <v/>
      </c>
      <c r="BC978" s="147" t="str">
        <f t="shared" si="655"/>
        <v/>
      </c>
      <c r="BD978" s="164" t="str">
        <f>IF(AND($C977=12,$D977=Input!$C$6),0,IF($E978="","",AT978+(AU978+BD979)/(1+$AK978)*MIN((1-AM978-AN978),1)))</f>
        <v/>
      </c>
      <c r="BE978" s="164" t="str">
        <f t="shared" si="628"/>
        <v/>
      </c>
      <c r="BF978" s="164" t="str">
        <f t="shared" si="656"/>
        <v/>
      </c>
      <c r="BG978" s="164" t="str">
        <f t="shared" si="642"/>
        <v/>
      </c>
      <c r="BH978" s="152"/>
      <c r="BI978" s="162" t="str">
        <f t="shared" si="621"/>
        <v/>
      </c>
      <c r="BJ978" s="150" t="str">
        <f t="shared" si="622"/>
        <v/>
      </c>
      <c r="BK978" s="163" t="str">
        <f t="shared" si="661"/>
        <v/>
      </c>
      <c r="BL978" s="163" t="str">
        <f t="shared" si="623"/>
        <v/>
      </c>
      <c r="BM978" s="163" t="str">
        <f t="shared" si="662"/>
        <v/>
      </c>
      <c r="BN978" s="163" t="str">
        <f t="shared" si="624"/>
        <v/>
      </c>
      <c r="BO978" s="163" t="str">
        <f t="shared" si="625"/>
        <v/>
      </c>
      <c r="BP978" s="164" t="str">
        <f t="shared" si="663"/>
        <v/>
      </c>
      <c r="BQ978" s="164" t="str">
        <f t="shared" si="657"/>
        <v/>
      </c>
      <c r="BR978" s="154" t="str">
        <f t="shared" si="627"/>
        <v/>
      </c>
      <c r="BT978" s="147" t="str">
        <f t="shared" si="643"/>
        <v/>
      </c>
      <c r="BU978" s="164" t="str">
        <f>IF(AND($C977=12,$D977=Input!$C$6),0,IF($E978="","",BK978+(BL978+BU979)/(1+$AK978)*MIN((1-T978-U978),1)))</f>
        <v/>
      </c>
      <c r="BV978" s="164" t="str">
        <f t="shared" si="644"/>
        <v/>
      </c>
      <c r="BW978" s="164" t="str">
        <f t="shared" si="645"/>
        <v/>
      </c>
      <c r="BX978" s="164" t="str">
        <f t="shared" si="646"/>
        <v/>
      </c>
    </row>
    <row r="979" spans="1:76" s="150" customFormat="1" x14ac:dyDescent="0.25">
      <c r="A979" s="150" t="str">
        <f t="shared" si="658"/>
        <v/>
      </c>
      <c r="B979" s="150" t="str">
        <f t="shared" si="659"/>
        <v/>
      </c>
      <c r="C979" s="150" t="str">
        <f t="shared" si="660"/>
        <v/>
      </c>
      <c r="D979" s="150" t="str">
        <f>IF(E979="","",Input!$C$4+B979-1)</f>
        <v/>
      </c>
      <c r="E979" s="150" t="str">
        <f>IF(OR(AND(C978=12,D978=Input!$C$6),E978=""),"",1)</f>
        <v/>
      </c>
      <c r="F979" s="150" t="str">
        <f>IF(E979="","",Input!$C$8+B979-1)</f>
        <v/>
      </c>
      <c r="G979" s="151" t="str">
        <f>IF(E979="","",MAX(0,Input!$C$9-B979))</f>
        <v/>
      </c>
      <c r="H979" s="152" t="str">
        <f>IF(E979="","",Input!$C$3)</f>
        <v/>
      </c>
      <c r="I979" s="153" t="str">
        <f>IF(E979="","",HLOOKUP($B979,Input!$C$13:$BT$14,2))</f>
        <v/>
      </c>
      <c r="J979" s="154"/>
      <c r="K979" s="155" t="str">
        <f>IF($E979="","",INDEX(Input!$C$16:$CP$16,1,$B979))</f>
        <v/>
      </c>
      <c r="L979" s="155" t="str">
        <f>IF($E979="","",Input!$C$37)</f>
        <v/>
      </c>
      <c r="M979" s="155" t="str">
        <f t="shared" si="629"/>
        <v/>
      </c>
      <c r="N979" s="155" t="str">
        <f t="shared" si="630"/>
        <v/>
      </c>
      <c r="O979" s="147" t="str">
        <f>IF($E979="","",MIN(VLOOKUP(IF($B979&lt;=Input!$C$7,$B979,26),'Mortality Tables'!$A$41:$CW$67,IF($B979&lt;=Input!$C$7+1,Input!$C$4+2,$D979-Input!$C$7+2),0)*IF(B979&gt;20,Input!$C$22,1)/1000,1))</f>
        <v/>
      </c>
      <c r="P979" s="147" t="str">
        <f>IF($E979="","",MIN(VLOOKUP(IF($B979&lt;=Input!$C$7,$B979,26),'Mortality Tables'!$A$12:$CW$37,IF($B979&lt;=Input!$C$7+1,Input!$C$4+2,$D979-Input!$C$7+2),0)*IF(B979&gt;20,Input!$C$22,1)/1000,1))</f>
        <v/>
      </c>
      <c r="Q979" s="155" t="str">
        <f>IF($E979="","",Input!$C$21)</f>
        <v/>
      </c>
      <c r="R979" s="159" t="str">
        <f>IF($E979="","",(1-Q979)^($F979-Input!$C$20))</f>
        <v/>
      </c>
      <c r="S979" s="147" t="str">
        <f t="shared" si="632"/>
        <v/>
      </c>
      <c r="T979" s="147" t="str">
        <f t="shared" si="633"/>
        <v/>
      </c>
      <c r="U979" s="160" t="str">
        <f>IF($E979="","",IF($C979=12,INDEX(Input!$C$15:$CP$15,1,$B979),0))</f>
        <v/>
      </c>
      <c r="V979" s="150" t="str">
        <f>IF(E979="","",IF(C979=1,IF($B979=1,Input!$C$33,Input!$C$34),0))</f>
        <v/>
      </c>
      <c r="W979" s="156" t="str">
        <f>IF($E979="","",Input!$C$35)</f>
        <v/>
      </c>
      <c r="X979" s="156" t="str">
        <f t="shared" si="631"/>
        <v/>
      </c>
      <c r="Y979" s="154"/>
      <c r="Z979" s="147" t="str">
        <f>IF($E979="","",VLOOKUP($D979,'Mortality Margins &amp; Grading'!$AB$5:$AF$125,3,0)*IF(Summary!$D$25="Included Margin",IF(AND($B979&gt;Input!$C$9,Summary!$D$31&lt;&gt;"Included Margin"),0,1),0))</f>
        <v/>
      </c>
      <c r="AA979" s="147" t="str">
        <f>IF($E979="","",VLOOKUP($D979,'Mortality Margins &amp; Grading'!$AB$5:$AF$125,5,0)*IF(Summary!$D$25="Included Margin",IF(AND($B979&gt;Input!$C$9,Summary!$D$31&lt;&gt;"Included Margin"),0,1),0))</f>
        <v/>
      </c>
      <c r="AB979" s="147" t="str">
        <f>IF($E979="","",IF(AND($B979&gt;Input!$C$9,Summary!$D$31&lt;&gt;"Included Margin"),1,IF(Summary!$D$25="Included Margin",VLOOKUP($B979,'Mortality Margins &amp; Grading'!$AI$5:$AR$125,MATCH('Mortality Margins &amp; Grading'!$AQ$4,'Mortality Margins &amp; Grading'!$AI$4:$AR$4,0),0),1)))</f>
        <v/>
      </c>
      <c r="AC979" s="154"/>
      <c r="AD979" s="158" t="str">
        <f>IF(E979="","",Input!$C$48*IF(Summary!$D$30="Included Margin",IF(AND($B979&gt;Input!$C$9,Summary!$D$31&lt;&gt;"Included Margin"),0,1),0))</f>
        <v/>
      </c>
      <c r="AE979" s="159" t="str">
        <f>IF(E979="","",IF(Summary!$D$26="Included Margin",IF(AND($B979&gt;Input!$C$9,Summary!$D$31&lt;&gt;"Included Margin"),1,1/$R979),1))</f>
        <v/>
      </c>
      <c r="AF979" s="160" t="str">
        <f>IF(E979="","",IF(AND($B979&gt;=Input!$C$9,$C979=12,Summary!$D$31="Included Margin",$U979&gt;0),1/U979-1,IF($B979&gt;=Input!$C$9,0,Input!$C$45*IF(Summary!$D$27="Included Margin",1,0))))</f>
        <v/>
      </c>
      <c r="AG979" s="160" t="str">
        <f>IF(E979="","",Input!$C$46*IF(Summary!$D$28="Included Margin",IF(AND($B979&gt;Input!$C$9,Summary!$D$31&lt;&gt;"Included Margin"),0,1),0))</f>
        <v/>
      </c>
      <c r="AH979" s="158" t="str">
        <f>IF(E979="","",Input!$C$47*IF(Summary!$D$29="Included Margin",IF(AND($B979&gt;Input!$C$9,Summary!$D$31&lt;&gt;"Included Margin"),0,1),0))</f>
        <v/>
      </c>
      <c r="AI979" s="154"/>
      <c r="AJ979" s="158" t="str">
        <f t="shared" si="647"/>
        <v/>
      </c>
      <c r="AK979" s="155" t="str">
        <f t="shared" si="648"/>
        <v/>
      </c>
      <c r="AL979" s="147" t="str">
        <f t="shared" si="649"/>
        <v/>
      </c>
      <c r="AM979" s="147" t="str">
        <f t="shared" si="634"/>
        <v/>
      </c>
      <c r="AN979" s="160" t="str">
        <f t="shared" si="650"/>
        <v/>
      </c>
      <c r="AO979" s="161" t="str">
        <f t="shared" si="651"/>
        <v/>
      </c>
      <c r="AP979" s="156" t="str">
        <f t="shared" si="635"/>
        <v/>
      </c>
      <c r="AQ979" s="152"/>
      <c r="AR979" s="162" t="str">
        <f t="shared" si="636"/>
        <v/>
      </c>
      <c r="AS979" s="150" t="str">
        <f t="shared" si="652"/>
        <v/>
      </c>
      <c r="AT979" s="163" t="str">
        <f t="shared" si="637"/>
        <v/>
      </c>
      <c r="AU979" s="163" t="str">
        <f t="shared" si="638"/>
        <v/>
      </c>
      <c r="AV979" s="163" t="str">
        <f t="shared" si="653"/>
        <v/>
      </c>
      <c r="AW979" s="163" t="str">
        <f t="shared" si="639"/>
        <v/>
      </c>
      <c r="AX979" s="163" t="str">
        <f t="shared" si="640"/>
        <v/>
      </c>
      <c r="AY979" s="164" t="str">
        <f t="shared" si="654"/>
        <v/>
      </c>
      <c r="AZ979" s="164" t="str">
        <f>IF($E979="","",IF(OR(AND($D979=Input!$C$6,$C979=12),$AN979=1),0,-AS980+AT980+AU980-AV980-AW980-AX980+AZ980))</f>
        <v/>
      </c>
      <c r="BA979" s="154" t="str">
        <f t="shared" si="641"/>
        <v/>
      </c>
      <c r="BC979" s="147" t="str">
        <f t="shared" si="655"/>
        <v/>
      </c>
      <c r="BD979" s="164" t="str">
        <f>IF(AND($C978=12,$D978=Input!$C$6),0,IF($E979="","",AT979+(AU979+BD980)/(1+$AK979)*MIN((1-AM979-AN979),1)))</f>
        <v/>
      </c>
      <c r="BE979" s="164" t="str">
        <f t="shared" si="628"/>
        <v/>
      </c>
      <c r="BF979" s="164" t="str">
        <f t="shared" si="656"/>
        <v/>
      </c>
      <c r="BG979" s="164" t="str">
        <f t="shared" si="642"/>
        <v/>
      </c>
      <c r="BH979" s="152"/>
      <c r="BI979" s="162" t="str">
        <f t="shared" si="621"/>
        <v/>
      </c>
      <c r="BJ979" s="150" t="str">
        <f t="shared" si="622"/>
        <v/>
      </c>
      <c r="BK979" s="163" t="str">
        <f t="shared" si="661"/>
        <v/>
      </c>
      <c r="BL979" s="163" t="str">
        <f t="shared" si="623"/>
        <v/>
      </c>
      <c r="BM979" s="163" t="str">
        <f t="shared" si="662"/>
        <v/>
      </c>
      <c r="BN979" s="163" t="str">
        <f t="shared" si="624"/>
        <v/>
      </c>
      <c r="BO979" s="163" t="str">
        <f t="shared" si="625"/>
        <v/>
      </c>
      <c r="BP979" s="164" t="str">
        <f t="shared" si="663"/>
        <v/>
      </c>
      <c r="BQ979" s="164" t="str">
        <f t="shared" si="657"/>
        <v/>
      </c>
      <c r="BR979" s="154" t="str">
        <f t="shared" si="627"/>
        <v/>
      </c>
      <c r="BT979" s="147" t="str">
        <f t="shared" si="643"/>
        <v/>
      </c>
      <c r="BU979" s="164" t="str">
        <f>IF(AND($C978=12,$D978=Input!$C$6),0,IF($E979="","",BK979+(BL979+BU980)/(1+$AK979)*MIN((1-T979-U979),1)))</f>
        <v/>
      </c>
      <c r="BV979" s="164" t="str">
        <f t="shared" si="644"/>
        <v/>
      </c>
      <c r="BW979" s="164" t="str">
        <f t="shared" si="645"/>
        <v/>
      </c>
      <c r="BX979" s="164" t="str">
        <f t="shared" si="646"/>
        <v/>
      </c>
    </row>
    <row r="980" spans="1:76" s="150" customFormat="1" x14ac:dyDescent="0.25">
      <c r="A980" s="150" t="str">
        <f t="shared" si="658"/>
        <v/>
      </c>
      <c r="B980" s="150" t="str">
        <f t="shared" si="659"/>
        <v/>
      </c>
      <c r="C980" s="150" t="str">
        <f t="shared" si="660"/>
        <v/>
      </c>
      <c r="D980" s="150" t="str">
        <f>IF(E980="","",Input!$C$4+B980-1)</f>
        <v/>
      </c>
      <c r="E980" s="150" t="str">
        <f>IF(OR(AND(C979=12,D979=Input!$C$6),E979=""),"",1)</f>
        <v/>
      </c>
      <c r="F980" s="150" t="str">
        <f>IF(E980="","",Input!$C$8+B980-1)</f>
        <v/>
      </c>
      <c r="G980" s="151" t="str">
        <f>IF(E980="","",MAX(0,Input!$C$9-B980))</f>
        <v/>
      </c>
      <c r="H980" s="152" t="str">
        <f>IF(E980="","",Input!$C$3)</f>
        <v/>
      </c>
      <c r="I980" s="153" t="str">
        <f>IF(E980="","",HLOOKUP($B980,Input!$C$13:$BT$14,2))</f>
        <v/>
      </c>
      <c r="J980" s="154"/>
      <c r="K980" s="155" t="str">
        <f>IF($E980="","",INDEX(Input!$C$16:$CP$16,1,$B980))</f>
        <v/>
      </c>
      <c r="L980" s="155" t="str">
        <f>IF($E980="","",Input!$C$37)</f>
        <v/>
      </c>
      <c r="M980" s="155" t="str">
        <f t="shared" si="629"/>
        <v/>
      </c>
      <c r="N980" s="155" t="str">
        <f t="shared" si="630"/>
        <v/>
      </c>
      <c r="O980" s="147" t="str">
        <f>IF($E980="","",MIN(VLOOKUP(IF($B980&lt;=Input!$C$7,$B980,26),'Mortality Tables'!$A$41:$CW$67,IF($B980&lt;=Input!$C$7+1,Input!$C$4+2,$D980-Input!$C$7+2),0)*IF(B980&gt;20,Input!$C$22,1)/1000,1))</f>
        <v/>
      </c>
      <c r="P980" s="147" t="str">
        <f>IF($E980="","",MIN(VLOOKUP(IF($B980&lt;=Input!$C$7,$B980,26),'Mortality Tables'!$A$12:$CW$37,IF($B980&lt;=Input!$C$7+1,Input!$C$4+2,$D980-Input!$C$7+2),0)*IF(B980&gt;20,Input!$C$22,1)/1000,1))</f>
        <v/>
      </c>
      <c r="Q980" s="155" t="str">
        <f>IF($E980="","",Input!$C$21)</f>
        <v/>
      </c>
      <c r="R980" s="159" t="str">
        <f>IF($E980="","",(1-Q980)^($F980-Input!$C$20))</f>
        <v/>
      </c>
      <c r="S980" s="147" t="str">
        <f t="shared" si="632"/>
        <v/>
      </c>
      <c r="T980" s="147" t="str">
        <f t="shared" si="633"/>
        <v/>
      </c>
      <c r="U980" s="160" t="str">
        <f>IF($E980="","",IF($C980=12,INDEX(Input!$C$15:$CP$15,1,$B980),0))</f>
        <v/>
      </c>
      <c r="V980" s="150" t="str">
        <f>IF(E980="","",IF(C980=1,IF($B980=1,Input!$C$33,Input!$C$34),0))</f>
        <v/>
      </c>
      <c r="W980" s="156" t="str">
        <f>IF($E980="","",Input!$C$35)</f>
        <v/>
      </c>
      <c r="X980" s="156" t="str">
        <f t="shared" si="631"/>
        <v/>
      </c>
      <c r="Y980" s="154"/>
      <c r="Z980" s="147" t="str">
        <f>IF($E980="","",VLOOKUP($D980,'Mortality Margins &amp; Grading'!$AB$5:$AF$125,3,0)*IF(Summary!$D$25="Included Margin",IF(AND($B980&gt;Input!$C$9,Summary!$D$31&lt;&gt;"Included Margin"),0,1),0))</f>
        <v/>
      </c>
      <c r="AA980" s="147" t="str">
        <f>IF($E980="","",VLOOKUP($D980,'Mortality Margins &amp; Grading'!$AB$5:$AF$125,5,0)*IF(Summary!$D$25="Included Margin",IF(AND($B980&gt;Input!$C$9,Summary!$D$31&lt;&gt;"Included Margin"),0,1),0))</f>
        <v/>
      </c>
      <c r="AB980" s="147" t="str">
        <f>IF($E980="","",IF(AND($B980&gt;Input!$C$9,Summary!$D$31&lt;&gt;"Included Margin"),1,IF(Summary!$D$25="Included Margin",VLOOKUP($B980,'Mortality Margins &amp; Grading'!$AI$5:$AR$125,MATCH('Mortality Margins &amp; Grading'!$AQ$4,'Mortality Margins &amp; Grading'!$AI$4:$AR$4,0),0),1)))</f>
        <v/>
      </c>
      <c r="AC980" s="154"/>
      <c r="AD980" s="158" t="str">
        <f>IF(E980="","",Input!$C$48*IF(Summary!$D$30="Included Margin",IF(AND($B980&gt;Input!$C$9,Summary!$D$31&lt;&gt;"Included Margin"),0,1),0))</f>
        <v/>
      </c>
      <c r="AE980" s="159" t="str">
        <f>IF(E980="","",IF(Summary!$D$26="Included Margin",IF(AND($B980&gt;Input!$C$9,Summary!$D$31&lt;&gt;"Included Margin"),1,1/$R980),1))</f>
        <v/>
      </c>
      <c r="AF980" s="160" t="str">
        <f>IF(E980="","",IF(AND($B980&gt;=Input!$C$9,$C980=12,Summary!$D$31="Included Margin",$U980&gt;0),1/U980-1,IF($B980&gt;=Input!$C$9,0,Input!$C$45*IF(Summary!$D$27="Included Margin",1,0))))</f>
        <v/>
      </c>
      <c r="AG980" s="160" t="str">
        <f>IF(E980="","",Input!$C$46*IF(Summary!$D$28="Included Margin",IF(AND($B980&gt;Input!$C$9,Summary!$D$31&lt;&gt;"Included Margin"),0,1),0))</f>
        <v/>
      </c>
      <c r="AH980" s="158" t="str">
        <f>IF(E980="","",Input!$C$47*IF(Summary!$D$29="Included Margin",IF(AND($B980&gt;Input!$C$9,Summary!$D$31&lt;&gt;"Included Margin"),0,1),0))</f>
        <v/>
      </c>
      <c r="AI980" s="154"/>
      <c r="AJ980" s="158" t="str">
        <f t="shared" si="647"/>
        <v/>
      </c>
      <c r="AK980" s="155" t="str">
        <f t="shared" si="648"/>
        <v/>
      </c>
      <c r="AL980" s="147" t="str">
        <f t="shared" si="649"/>
        <v/>
      </c>
      <c r="AM980" s="147" t="str">
        <f t="shared" si="634"/>
        <v/>
      </c>
      <c r="AN980" s="160" t="str">
        <f t="shared" si="650"/>
        <v/>
      </c>
      <c r="AO980" s="161" t="str">
        <f t="shared" si="651"/>
        <v/>
      </c>
      <c r="AP980" s="156" t="str">
        <f t="shared" si="635"/>
        <v/>
      </c>
      <c r="AQ980" s="152"/>
      <c r="AR980" s="162" t="str">
        <f t="shared" si="636"/>
        <v/>
      </c>
      <c r="AS980" s="150" t="str">
        <f t="shared" si="652"/>
        <v/>
      </c>
      <c r="AT980" s="163" t="str">
        <f t="shared" si="637"/>
        <v/>
      </c>
      <c r="AU980" s="163" t="str">
        <f t="shared" si="638"/>
        <v/>
      </c>
      <c r="AV980" s="163" t="str">
        <f t="shared" si="653"/>
        <v/>
      </c>
      <c r="AW980" s="163" t="str">
        <f t="shared" si="639"/>
        <v/>
      </c>
      <c r="AX980" s="163" t="str">
        <f t="shared" si="640"/>
        <v/>
      </c>
      <c r="AY980" s="165" t="str">
        <f t="shared" si="654"/>
        <v/>
      </c>
      <c r="AZ980" s="164" t="str">
        <f>IF($E980="","",IF(OR(AND($D980=Input!$C$6,$C980=12),$AN980=1),0,-AS981+AT981+AU981-AV981-AW981-AX981+AZ981))</f>
        <v/>
      </c>
      <c r="BA980" s="154" t="str">
        <f t="shared" si="641"/>
        <v/>
      </c>
      <c r="BC980" s="147" t="str">
        <f t="shared" si="655"/>
        <v/>
      </c>
      <c r="BD980" s="164" t="str">
        <f>IF(AND($C979=12,$D979=Input!$C$6),0,IF($E980="","",AT980+(AU980+BD981)/(1+$AK980)*MIN((1-AM980-AN980),1)))</f>
        <v/>
      </c>
      <c r="BE980" s="164" t="str">
        <f t="shared" si="628"/>
        <v/>
      </c>
      <c r="BF980" s="164" t="str">
        <f t="shared" si="656"/>
        <v/>
      </c>
      <c r="BG980" s="164" t="str">
        <f t="shared" si="642"/>
        <v/>
      </c>
      <c r="BH980" s="152"/>
      <c r="BI980" s="162" t="str">
        <f t="shared" si="621"/>
        <v/>
      </c>
      <c r="BJ980" s="150" t="str">
        <f t="shared" si="622"/>
        <v/>
      </c>
      <c r="BK980" s="163" t="str">
        <f t="shared" si="661"/>
        <v/>
      </c>
      <c r="BL980" s="163" t="str">
        <f t="shared" si="623"/>
        <v/>
      </c>
      <c r="BM980" s="163" t="str">
        <f t="shared" si="662"/>
        <v/>
      </c>
      <c r="BN980" s="163" t="str">
        <f t="shared" si="624"/>
        <v/>
      </c>
      <c r="BO980" s="163" t="str">
        <f t="shared" si="625"/>
        <v/>
      </c>
      <c r="BP980" s="164" t="str">
        <f t="shared" si="663"/>
        <v/>
      </c>
      <c r="BQ980" s="164" t="str">
        <f t="shared" si="657"/>
        <v/>
      </c>
      <c r="BR980" s="154" t="str">
        <f t="shared" si="627"/>
        <v/>
      </c>
      <c r="BT980" s="147" t="str">
        <f t="shared" si="643"/>
        <v/>
      </c>
      <c r="BU980" s="164" t="str">
        <f>IF(AND($C979=12,$D979=Input!$C$6),0,IF($E980="","",BK980+(BL980+BU981)/(1+$AK980)*MIN((1-T980-U980),1)))</f>
        <v/>
      </c>
      <c r="BV980" s="164" t="str">
        <f t="shared" si="644"/>
        <v/>
      </c>
      <c r="BW980" s="164" t="str">
        <f t="shared" si="645"/>
        <v/>
      </c>
      <c r="BX980" s="164" t="str">
        <f t="shared" si="646"/>
        <v/>
      </c>
    </row>
    <row r="981" spans="1:76" s="150" customFormat="1" x14ac:dyDescent="0.25">
      <c r="A981" s="150" t="str">
        <f t="shared" si="658"/>
        <v/>
      </c>
      <c r="B981" s="150" t="str">
        <f t="shared" si="659"/>
        <v/>
      </c>
      <c r="C981" s="150" t="str">
        <f t="shared" si="660"/>
        <v/>
      </c>
      <c r="D981" s="150" t="str">
        <f>IF(E981="","",Input!$C$4+B981-1)</f>
        <v/>
      </c>
      <c r="E981" s="150" t="str">
        <f>IF(OR(AND(C980=12,D980=Input!$C$6),E980=""),"",1)</f>
        <v/>
      </c>
      <c r="F981" s="150" t="str">
        <f>IF(E981="","",Input!$C$8+B981-1)</f>
        <v/>
      </c>
      <c r="G981" s="151" t="str">
        <f>IF(E981="","",MAX(0,Input!$C$9-B981))</f>
        <v/>
      </c>
      <c r="H981" s="152" t="str">
        <f>IF(E981="","",Input!$C$3)</f>
        <v/>
      </c>
      <c r="I981" s="153" t="str">
        <f>IF(E981="","",HLOOKUP($B981,Input!$C$13:$BT$14,2))</f>
        <v/>
      </c>
      <c r="J981" s="154"/>
      <c r="K981" s="155" t="str">
        <f>IF($E981="","",INDEX(Input!$C$16:$CP$16,1,$B981))</f>
        <v/>
      </c>
      <c r="L981" s="155" t="str">
        <f>IF($E981="","",Input!$C$37)</f>
        <v/>
      </c>
      <c r="M981" s="155" t="str">
        <f t="shared" si="629"/>
        <v/>
      </c>
      <c r="N981" s="155" t="str">
        <f t="shared" si="630"/>
        <v/>
      </c>
      <c r="O981" s="147" t="str">
        <f>IF($E981="","",MIN(VLOOKUP(IF($B981&lt;=Input!$C$7,$B981,26),'Mortality Tables'!$A$41:$CW$67,IF($B981&lt;=Input!$C$7+1,Input!$C$4+2,$D981-Input!$C$7+2),0)*IF(B981&gt;20,Input!$C$22,1)/1000,1))</f>
        <v/>
      </c>
      <c r="P981" s="147" t="str">
        <f>IF($E981="","",MIN(VLOOKUP(IF($B981&lt;=Input!$C$7,$B981,26),'Mortality Tables'!$A$12:$CW$37,IF($B981&lt;=Input!$C$7+1,Input!$C$4+2,$D981-Input!$C$7+2),0)*IF(B981&gt;20,Input!$C$22,1)/1000,1))</f>
        <v/>
      </c>
      <c r="Q981" s="155" t="str">
        <f>IF($E981="","",Input!$C$21)</f>
        <v/>
      </c>
      <c r="R981" s="159" t="str">
        <f>IF($E981="","",(1-Q981)^($F981-Input!$C$20))</f>
        <v/>
      </c>
      <c r="S981" s="147" t="str">
        <f t="shared" si="632"/>
        <v/>
      </c>
      <c r="T981" s="147" t="str">
        <f t="shared" si="633"/>
        <v/>
      </c>
      <c r="U981" s="160" t="str">
        <f>IF($E981="","",IF($C981=12,INDEX(Input!$C$15:$CP$15,1,$B981),0))</f>
        <v/>
      </c>
      <c r="V981" s="150" t="str">
        <f>IF(E981="","",IF(C981=1,IF($B981=1,Input!$C$33,Input!$C$34),0))</f>
        <v/>
      </c>
      <c r="W981" s="156" t="str">
        <f>IF($E981="","",Input!$C$35)</f>
        <v/>
      </c>
      <c r="X981" s="156" t="str">
        <f t="shared" si="631"/>
        <v/>
      </c>
      <c r="Y981" s="154"/>
      <c r="Z981" s="147" t="str">
        <f>IF($E981="","",VLOOKUP($D981,'Mortality Margins &amp; Grading'!$AB$5:$AF$125,3,0)*IF(Summary!$D$25="Included Margin",IF(AND($B981&gt;Input!$C$9,Summary!$D$31&lt;&gt;"Included Margin"),0,1),0))</f>
        <v/>
      </c>
      <c r="AA981" s="147" t="str">
        <f>IF($E981="","",VLOOKUP($D981,'Mortality Margins &amp; Grading'!$AB$5:$AF$125,5,0)*IF(Summary!$D$25="Included Margin",IF(AND($B981&gt;Input!$C$9,Summary!$D$31&lt;&gt;"Included Margin"),0,1),0))</f>
        <v/>
      </c>
      <c r="AB981" s="147" t="str">
        <f>IF($E981="","",IF(AND($B981&gt;Input!$C$9,Summary!$D$31&lt;&gt;"Included Margin"),1,IF(Summary!$D$25="Included Margin",VLOOKUP($B981,'Mortality Margins &amp; Grading'!$AI$5:$AR$125,MATCH('Mortality Margins &amp; Grading'!$AQ$4,'Mortality Margins &amp; Grading'!$AI$4:$AR$4,0),0),1)))</f>
        <v/>
      </c>
      <c r="AC981" s="154"/>
      <c r="AD981" s="158" t="str">
        <f>IF(E981="","",Input!$C$48*IF(Summary!$D$30="Included Margin",IF(AND($B981&gt;Input!$C$9,Summary!$D$31&lt;&gt;"Included Margin"),0,1),0))</f>
        <v/>
      </c>
      <c r="AE981" s="159" t="str">
        <f>IF(E981="","",IF(Summary!$D$26="Included Margin",IF(AND($B981&gt;Input!$C$9,Summary!$D$31&lt;&gt;"Included Margin"),1,1/$R981),1))</f>
        <v/>
      </c>
      <c r="AF981" s="160" t="str">
        <f>IF(E981="","",IF(AND($B981&gt;=Input!$C$9,$C981=12,Summary!$D$31="Included Margin",$U981&gt;0),1/U981-1,IF($B981&gt;=Input!$C$9,0,Input!$C$45*IF(Summary!$D$27="Included Margin",1,0))))</f>
        <v/>
      </c>
      <c r="AG981" s="160" t="str">
        <f>IF(E981="","",Input!$C$46*IF(Summary!$D$28="Included Margin",IF(AND($B981&gt;Input!$C$9,Summary!$D$31&lt;&gt;"Included Margin"),0,1),0))</f>
        <v/>
      </c>
      <c r="AH981" s="158" t="str">
        <f>IF(E981="","",Input!$C$47*IF(Summary!$D$29="Included Margin",IF(AND($B981&gt;Input!$C$9,Summary!$D$31&lt;&gt;"Included Margin"),0,1),0))</f>
        <v/>
      </c>
      <c r="AI981" s="154"/>
      <c r="AJ981" s="158" t="str">
        <f t="shared" si="647"/>
        <v/>
      </c>
      <c r="AK981" s="155" t="str">
        <f t="shared" si="648"/>
        <v/>
      </c>
      <c r="AL981" s="147" t="str">
        <f t="shared" si="649"/>
        <v/>
      </c>
      <c r="AM981" s="147" t="str">
        <f t="shared" si="634"/>
        <v/>
      </c>
      <c r="AN981" s="160" t="str">
        <f t="shared" si="650"/>
        <v/>
      </c>
      <c r="AO981" s="161" t="str">
        <f t="shared" si="651"/>
        <v/>
      </c>
      <c r="AP981" s="156" t="str">
        <f t="shared" si="635"/>
        <v/>
      </c>
      <c r="AQ981" s="152"/>
      <c r="AR981" s="162" t="str">
        <f t="shared" si="636"/>
        <v/>
      </c>
      <c r="AS981" s="150" t="str">
        <f t="shared" si="652"/>
        <v/>
      </c>
      <c r="AT981" s="163" t="str">
        <f t="shared" si="637"/>
        <v/>
      </c>
      <c r="AU981" s="163" t="str">
        <f t="shared" si="638"/>
        <v/>
      </c>
      <c r="AV981" s="163" t="str">
        <f t="shared" si="653"/>
        <v/>
      </c>
      <c r="AW981" s="163" t="str">
        <f t="shared" si="639"/>
        <v/>
      </c>
      <c r="AX981" s="163" t="str">
        <f t="shared" si="640"/>
        <v/>
      </c>
      <c r="AY981" s="164" t="str">
        <f t="shared" si="654"/>
        <v/>
      </c>
      <c r="AZ981" s="164" t="str">
        <f>IF($E981="","",IF(OR(AND($D981=Input!$C$6,$C981=12),$AN981=1),0,-AS982+AT982+AU982-AV982-AW982-AX982+AZ982))</f>
        <v/>
      </c>
      <c r="BA981" s="154" t="str">
        <f t="shared" si="641"/>
        <v/>
      </c>
      <c r="BC981" s="147" t="str">
        <f t="shared" si="655"/>
        <v/>
      </c>
      <c r="BD981" s="164" t="str">
        <f>IF(AND($C980=12,$D980=Input!$C$6),0,IF($E981="","",AT981+(AU981+BD982)/(1+$AK981)*MIN((1-AM981-AN981),1)))</f>
        <v/>
      </c>
      <c r="BE981" s="164" t="str">
        <f t="shared" si="628"/>
        <v/>
      </c>
      <c r="BF981" s="164" t="str">
        <f t="shared" si="656"/>
        <v/>
      </c>
      <c r="BG981" s="164" t="str">
        <f t="shared" si="642"/>
        <v/>
      </c>
      <c r="BH981" s="152"/>
      <c r="BI981" s="162" t="str">
        <f t="shared" si="621"/>
        <v/>
      </c>
      <c r="BJ981" s="150" t="str">
        <f t="shared" si="622"/>
        <v/>
      </c>
      <c r="BK981" s="163" t="str">
        <f t="shared" si="661"/>
        <v/>
      </c>
      <c r="BL981" s="163" t="str">
        <f t="shared" si="623"/>
        <v/>
      </c>
      <c r="BM981" s="163" t="str">
        <f t="shared" si="662"/>
        <v/>
      </c>
      <c r="BN981" s="163" t="str">
        <f t="shared" si="624"/>
        <v/>
      </c>
      <c r="BO981" s="163" t="str">
        <f t="shared" si="625"/>
        <v/>
      </c>
      <c r="BP981" s="164" t="str">
        <f t="shared" si="663"/>
        <v/>
      </c>
      <c r="BQ981" s="164" t="str">
        <f t="shared" si="657"/>
        <v/>
      </c>
      <c r="BR981" s="154" t="str">
        <f t="shared" si="627"/>
        <v/>
      </c>
      <c r="BT981" s="147" t="str">
        <f t="shared" si="643"/>
        <v/>
      </c>
      <c r="BU981" s="164" t="str">
        <f>IF(AND($C980=12,$D980=Input!$C$6),0,IF($E981="","",BK981+(BL981+BU982)/(1+$AK981)*MIN((1-T981-U981),1)))</f>
        <v/>
      </c>
      <c r="BV981" s="164" t="str">
        <f t="shared" si="644"/>
        <v/>
      </c>
      <c r="BW981" s="164" t="str">
        <f t="shared" si="645"/>
        <v/>
      </c>
      <c r="BX981" s="164" t="str">
        <f t="shared" si="646"/>
        <v/>
      </c>
    </row>
    <row r="982" spans="1:76" s="150" customFormat="1" x14ac:dyDescent="0.25">
      <c r="A982" s="150" t="str">
        <f t="shared" si="658"/>
        <v/>
      </c>
      <c r="B982" s="150" t="str">
        <f t="shared" si="659"/>
        <v/>
      </c>
      <c r="C982" s="150" t="str">
        <f t="shared" si="660"/>
        <v/>
      </c>
      <c r="D982" s="150" t="str">
        <f>IF(E982="","",Input!$C$4+B982-1)</f>
        <v/>
      </c>
      <c r="E982" s="150" t="str">
        <f>IF(OR(AND(C981=12,D981=Input!$C$6),E981=""),"",1)</f>
        <v/>
      </c>
      <c r="F982" s="150" t="str">
        <f>IF(E982="","",Input!$C$8+B982-1)</f>
        <v/>
      </c>
      <c r="G982" s="151" t="str">
        <f>IF(E982="","",MAX(0,Input!$C$9-B982))</f>
        <v/>
      </c>
      <c r="H982" s="152" t="str">
        <f>IF(E982="","",Input!$C$3)</f>
        <v/>
      </c>
      <c r="I982" s="153" t="str">
        <f>IF(E982="","",HLOOKUP($B982,Input!$C$13:$BT$14,2))</f>
        <v/>
      </c>
      <c r="J982" s="154"/>
      <c r="K982" s="155" t="str">
        <f>IF($E982="","",INDEX(Input!$C$16:$CP$16,1,$B982))</f>
        <v/>
      </c>
      <c r="L982" s="155" t="str">
        <f>IF($E982="","",Input!$C$37)</f>
        <v/>
      </c>
      <c r="M982" s="155" t="str">
        <f t="shared" si="629"/>
        <v/>
      </c>
      <c r="N982" s="155" t="str">
        <f t="shared" si="630"/>
        <v/>
      </c>
      <c r="O982" s="147" t="str">
        <f>IF($E982="","",MIN(VLOOKUP(IF($B982&lt;=Input!$C$7,$B982,26),'Mortality Tables'!$A$41:$CW$67,IF($B982&lt;=Input!$C$7+1,Input!$C$4+2,$D982-Input!$C$7+2),0)*IF(B982&gt;20,Input!$C$22,1)/1000,1))</f>
        <v/>
      </c>
      <c r="P982" s="147" t="str">
        <f>IF($E982="","",MIN(VLOOKUP(IF($B982&lt;=Input!$C$7,$B982,26),'Mortality Tables'!$A$12:$CW$37,IF($B982&lt;=Input!$C$7+1,Input!$C$4+2,$D982-Input!$C$7+2),0)*IF(B982&gt;20,Input!$C$22,1)/1000,1))</f>
        <v/>
      </c>
      <c r="Q982" s="155" t="str">
        <f>IF($E982="","",Input!$C$21)</f>
        <v/>
      </c>
      <c r="R982" s="159" t="str">
        <f>IF($E982="","",(1-Q982)^($F982-Input!$C$20))</f>
        <v/>
      </c>
      <c r="S982" s="147" t="str">
        <f t="shared" si="632"/>
        <v/>
      </c>
      <c r="T982" s="147" t="str">
        <f t="shared" si="633"/>
        <v/>
      </c>
      <c r="U982" s="160" t="str">
        <f>IF($E982="","",IF($C982=12,INDEX(Input!$C$15:$CP$15,1,$B982),0))</f>
        <v/>
      </c>
      <c r="V982" s="150" t="str">
        <f>IF(E982="","",IF(C982=1,IF($B982=1,Input!$C$33,Input!$C$34),0))</f>
        <v/>
      </c>
      <c r="W982" s="156" t="str">
        <f>IF($E982="","",Input!$C$35)</f>
        <v/>
      </c>
      <c r="X982" s="156" t="str">
        <f t="shared" si="631"/>
        <v/>
      </c>
      <c r="Y982" s="154"/>
      <c r="Z982" s="147" t="str">
        <f>IF($E982="","",VLOOKUP($D982,'Mortality Margins &amp; Grading'!$AB$5:$AF$125,3,0)*IF(Summary!$D$25="Included Margin",IF(AND($B982&gt;Input!$C$9,Summary!$D$31&lt;&gt;"Included Margin"),0,1),0))</f>
        <v/>
      </c>
      <c r="AA982" s="147" t="str">
        <f>IF($E982="","",VLOOKUP($D982,'Mortality Margins &amp; Grading'!$AB$5:$AF$125,5,0)*IF(Summary!$D$25="Included Margin",IF(AND($B982&gt;Input!$C$9,Summary!$D$31&lt;&gt;"Included Margin"),0,1),0))</f>
        <v/>
      </c>
      <c r="AB982" s="147" t="str">
        <f>IF($E982="","",IF(AND($B982&gt;Input!$C$9,Summary!$D$31&lt;&gt;"Included Margin"),1,IF(Summary!$D$25="Included Margin",VLOOKUP($B982,'Mortality Margins &amp; Grading'!$AI$5:$AR$125,MATCH('Mortality Margins &amp; Grading'!$AQ$4,'Mortality Margins &amp; Grading'!$AI$4:$AR$4,0),0),1)))</f>
        <v/>
      </c>
      <c r="AC982" s="154"/>
      <c r="AD982" s="158" t="str">
        <f>IF(E982="","",Input!$C$48*IF(Summary!$D$30="Included Margin",IF(AND($B982&gt;Input!$C$9,Summary!$D$31&lt;&gt;"Included Margin"),0,1),0))</f>
        <v/>
      </c>
      <c r="AE982" s="159" t="str">
        <f>IF(E982="","",IF(Summary!$D$26="Included Margin",IF(AND($B982&gt;Input!$C$9,Summary!$D$31&lt;&gt;"Included Margin"),1,1/$R982),1))</f>
        <v/>
      </c>
      <c r="AF982" s="160" t="str">
        <f>IF(E982="","",IF(AND($B982&gt;=Input!$C$9,$C982=12,Summary!$D$31="Included Margin",$U982&gt;0),1/U982-1,IF($B982&gt;=Input!$C$9,0,Input!$C$45*IF(Summary!$D$27="Included Margin",1,0))))</f>
        <v/>
      </c>
      <c r="AG982" s="160" t="str">
        <f>IF(E982="","",Input!$C$46*IF(Summary!$D$28="Included Margin",IF(AND($B982&gt;Input!$C$9,Summary!$D$31&lt;&gt;"Included Margin"),0,1),0))</f>
        <v/>
      </c>
      <c r="AH982" s="158" t="str">
        <f>IF(E982="","",Input!$C$47*IF(Summary!$D$29="Included Margin",IF(AND($B982&gt;Input!$C$9,Summary!$D$31&lt;&gt;"Included Margin"),0,1),0))</f>
        <v/>
      </c>
      <c r="AI982" s="154"/>
      <c r="AJ982" s="158" t="str">
        <f t="shared" si="647"/>
        <v/>
      </c>
      <c r="AK982" s="155" t="str">
        <f t="shared" si="648"/>
        <v/>
      </c>
      <c r="AL982" s="147" t="str">
        <f t="shared" si="649"/>
        <v/>
      </c>
      <c r="AM982" s="147" t="str">
        <f t="shared" si="634"/>
        <v/>
      </c>
      <c r="AN982" s="160" t="str">
        <f t="shared" si="650"/>
        <v/>
      </c>
      <c r="AO982" s="161" t="str">
        <f t="shared" si="651"/>
        <v/>
      </c>
      <c r="AP982" s="156" t="str">
        <f t="shared" si="635"/>
        <v/>
      </c>
      <c r="AQ982" s="152"/>
      <c r="AR982" s="162" t="str">
        <f t="shared" si="636"/>
        <v/>
      </c>
      <c r="AS982" s="150" t="str">
        <f t="shared" si="652"/>
        <v/>
      </c>
      <c r="AT982" s="163" t="str">
        <f t="shared" si="637"/>
        <v/>
      </c>
      <c r="AU982" s="163" t="str">
        <f t="shared" si="638"/>
        <v/>
      </c>
      <c r="AV982" s="163" t="str">
        <f t="shared" si="653"/>
        <v/>
      </c>
      <c r="AW982" s="163" t="str">
        <f t="shared" si="639"/>
        <v/>
      </c>
      <c r="AX982" s="163" t="str">
        <f t="shared" si="640"/>
        <v/>
      </c>
      <c r="AY982" s="165" t="str">
        <f t="shared" si="654"/>
        <v/>
      </c>
      <c r="AZ982" s="164" t="str">
        <f>IF($E982="","",IF(OR(AND($D982=Input!$C$6,$C982=12),$AN982=1),0,-AS983+AT983+AU983-AV983-AW983-AX983+AZ983))</f>
        <v/>
      </c>
      <c r="BA982" s="154" t="str">
        <f t="shared" si="641"/>
        <v/>
      </c>
      <c r="BC982" s="147" t="str">
        <f t="shared" si="655"/>
        <v/>
      </c>
      <c r="BD982" s="164" t="str">
        <f>IF(AND($C981=12,$D981=Input!$C$6),0,IF($E982="","",AT982+(AU982+BD983)/(1+$AK982)*MIN((1-AM982-AN982),1)))</f>
        <v/>
      </c>
      <c r="BE982" s="164" t="str">
        <f t="shared" si="628"/>
        <v/>
      </c>
      <c r="BF982" s="164" t="str">
        <f t="shared" si="656"/>
        <v/>
      </c>
      <c r="BG982" s="164" t="str">
        <f t="shared" si="642"/>
        <v/>
      </c>
      <c r="BH982" s="152"/>
      <c r="BI982" s="162" t="str">
        <f t="shared" ref="BI982:BI1045" si="664">IF($E982="","",(BQ982*(1-$U982)*(1-$T982)/(1+$N982)+BL982/(1+$N982/2)-BJ982+BK982))</f>
        <v/>
      </c>
      <c r="BJ982" s="150" t="str">
        <f t="shared" ref="BJ982:BJ1045" si="665">IF($E982="","",AS982)</f>
        <v/>
      </c>
      <c r="BK982" s="163" t="str">
        <f t="shared" si="661"/>
        <v/>
      </c>
      <c r="BL982" s="163" t="str">
        <f t="shared" ref="BL982:BL1045" si="666">IF(E982="","",$T982*$H982)</f>
        <v/>
      </c>
      <c r="BM982" s="163" t="str">
        <f t="shared" si="662"/>
        <v/>
      </c>
      <c r="BN982" s="163" t="str">
        <f t="shared" ref="BN982:BN1045" si="667">IF($E982="","",BQ982*$T982)</f>
        <v/>
      </c>
      <c r="BO982" s="163" t="str">
        <f t="shared" ref="BO982:BO1045" si="668">IF($E982="","",$U982*BQ982*(1-$T982))</f>
        <v/>
      </c>
      <c r="BP982" s="164" t="str">
        <f t="shared" si="663"/>
        <v/>
      </c>
      <c r="BQ982" s="164" t="str">
        <f t="shared" si="657"/>
        <v/>
      </c>
      <c r="BR982" s="154" t="str">
        <f t="shared" ref="BR982:BR1045" si="669">IF(E982="","",BQ982-BP982)</f>
        <v/>
      </c>
      <c r="BT982" s="147" t="str">
        <f t="shared" si="643"/>
        <v/>
      </c>
      <c r="BU982" s="164" t="str">
        <f>IF(AND($C981=12,$D981=Input!$C$6),0,IF($E982="","",BK982+(BL982+BU983)/(1+$AK982)*MIN((1-T982-U982),1)))</f>
        <v/>
      </c>
      <c r="BV982" s="164" t="str">
        <f t="shared" si="644"/>
        <v/>
      </c>
      <c r="BW982" s="164" t="str">
        <f t="shared" si="645"/>
        <v/>
      </c>
      <c r="BX982" s="164" t="str">
        <f t="shared" si="646"/>
        <v/>
      </c>
    </row>
    <row r="983" spans="1:76" s="150" customFormat="1" x14ac:dyDescent="0.25">
      <c r="A983" s="150" t="str">
        <f t="shared" si="658"/>
        <v/>
      </c>
      <c r="B983" s="150" t="str">
        <f t="shared" si="659"/>
        <v/>
      </c>
      <c r="C983" s="150" t="str">
        <f t="shared" si="660"/>
        <v/>
      </c>
      <c r="D983" s="150" t="str">
        <f>IF(E983="","",Input!$C$4+B983-1)</f>
        <v/>
      </c>
      <c r="E983" s="150" t="str">
        <f>IF(OR(AND(C982=12,D982=Input!$C$6),E982=""),"",1)</f>
        <v/>
      </c>
      <c r="F983" s="150" t="str">
        <f>IF(E983="","",Input!$C$8+B983-1)</f>
        <v/>
      </c>
      <c r="G983" s="151" t="str">
        <f>IF(E983="","",MAX(0,Input!$C$9-B983))</f>
        <v/>
      </c>
      <c r="H983" s="152" t="str">
        <f>IF(E983="","",Input!$C$3)</f>
        <v/>
      </c>
      <c r="I983" s="153" t="str">
        <f>IF(E983="","",HLOOKUP($B983,Input!$C$13:$BT$14,2))</f>
        <v/>
      </c>
      <c r="J983" s="154"/>
      <c r="K983" s="155" t="str">
        <f>IF($E983="","",INDEX(Input!$C$16:$CP$16,1,$B983))</f>
        <v/>
      </c>
      <c r="L983" s="155" t="str">
        <f>IF($E983="","",Input!$C$37)</f>
        <v/>
      </c>
      <c r="M983" s="155" t="str">
        <f t="shared" si="629"/>
        <v/>
      </c>
      <c r="N983" s="155" t="str">
        <f t="shared" si="630"/>
        <v/>
      </c>
      <c r="O983" s="147" t="str">
        <f>IF($E983="","",MIN(VLOOKUP(IF($B983&lt;=Input!$C$7,$B983,26),'Mortality Tables'!$A$41:$CW$67,IF($B983&lt;=Input!$C$7+1,Input!$C$4+2,$D983-Input!$C$7+2),0)*IF(B983&gt;20,Input!$C$22,1)/1000,1))</f>
        <v/>
      </c>
      <c r="P983" s="147" t="str">
        <f>IF($E983="","",MIN(VLOOKUP(IF($B983&lt;=Input!$C$7,$B983,26),'Mortality Tables'!$A$12:$CW$37,IF($B983&lt;=Input!$C$7+1,Input!$C$4+2,$D983-Input!$C$7+2),0)*IF(B983&gt;20,Input!$C$22,1)/1000,1))</f>
        <v/>
      </c>
      <c r="Q983" s="155" t="str">
        <f>IF($E983="","",Input!$C$21)</f>
        <v/>
      </c>
      <c r="R983" s="159" t="str">
        <f>IF($E983="","",(1-Q983)^($F983-Input!$C$20))</f>
        <v/>
      </c>
      <c r="S983" s="147" t="str">
        <f t="shared" si="632"/>
        <v/>
      </c>
      <c r="T983" s="147" t="str">
        <f t="shared" si="633"/>
        <v/>
      </c>
      <c r="U983" s="160" t="str">
        <f>IF($E983="","",IF($C983=12,INDEX(Input!$C$15:$CP$15,1,$B983),0))</f>
        <v/>
      </c>
      <c r="V983" s="150" t="str">
        <f>IF(E983="","",IF(C983=1,IF($B983=1,Input!$C$33,Input!$C$34),0))</f>
        <v/>
      </c>
      <c r="W983" s="156" t="str">
        <f>IF($E983="","",Input!$C$35)</f>
        <v/>
      </c>
      <c r="X983" s="156" t="str">
        <f t="shared" si="631"/>
        <v/>
      </c>
      <c r="Y983" s="154"/>
      <c r="Z983" s="147" t="str">
        <f>IF($E983="","",VLOOKUP($D983,'Mortality Margins &amp; Grading'!$AB$5:$AF$125,3,0)*IF(Summary!$D$25="Included Margin",IF(AND($B983&gt;Input!$C$9,Summary!$D$31&lt;&gt;"Included Margin"),0,1),0))</f>
        <v/>
      </c>
      <c r="AA983" s="147" t="str">
        <f>IF($E983="","",VLOOKUP($D983,'Mortality Margins &amp; Grading'!$AB$5:$AF$125,5,0)*IF(Summary!$D$25="Included Margin",IF(AND($B983&gt;Input!$C$9,Summary!$D$31&lt;&gt;"Included Margin"),0,1),0))</f>
        <v/>
      </c>
      <c r="AB983" s="147" t="str">
        <f>IF($E983="","",IF(AND($B983&gt;Input!$C$9,Summary!$D$31&lt;&gt;"Included Margin"),1,IF(Summary!$D$25="Included Margin",VLOOKUP($B983,'Mortality Margins &amp; Grading'!$AI$5:$AR$125,MATCH('Mortality Margins &amp; Grading'!$AQ$4,'Mortality Margins &amp; Grading'!$AI$4:$AR$4,0),0),1)))</f>
        <v/>
      </c>
      <c r="AC983" s="154"/>
      <c r="AD983" s="158" t="str">
        <f>IF(E983="","",Input!$C$48*IF(Summary!$D$30="Included Margin",IF(AND($B983&gt;Input!$C$9,Summary!$D$31&lt;&gt;"Included Margin"),0,1),0))</f>
        <v/>
      </c>
      <c r="AE983" s="159" t="str">
        <f>IF(E983="","",IF(Summary!$D$26="Included Margin",IF(AND($B983&gt;Input!$C$9,Summary!$D$31&lt;&gt;"Included Margin"),1,1/$R983),1))</f>
        <v/>
      </c>
      <c r="AF983" s="160" t="str">
        <f>IF(E983="","",IF(AND($B983&gt;=Input!$C$9,$C983=12,Summary!$D$31="Included Margin",$U983&gt;0),1/U983-1,IF($B983&gt;=Input!$C$9,0,Input!$C$45*IF(Summary!$D$27="Included Margin",1,0))))</f>
        <v/>
      </c>
      <c r="AG983" s="160" t="str">
        <f>IF(E983="","",Input!$C$46*IF(Summary!$D$28="Included Margin",IF(AND($B983&gt;Input!$C$9,Summary!$D$31&lt;&gt;"Included Margin"),0,1),0))</f>
        <v/>
      </c>
      <c r="AH983" s="158" t="str">
        <f>IF(E983="","",Input!$C$47*IF(Summary!$D$29="Included Margin",IF(AND($B983&gt;Input!$C$9,Summary!$D$31&lt;&gt;"Included Margin"),0,1),0))</f>
        <v/>
      </c>
      <c r="AI983" s="154"/>
      <c r="AJ983" s="158" t="str">
        <f t="shared" si="647"/>
        <v/>
      </c>
      <c r="AK983" s="155" t="str">
        <f t="shared" si="648"/>
        <v/>
      </c>
      <c r="AL983" s="147" t="str">
        <f t="shared" si="649"/>
        <v/>
      </c>
      <c r="AM983" s="147" t="str">
        <f t="shared" si="634"/>
        <v/>
      </c>
      <c r="AN983" s="160" t="str">
        <f t="shared" si="650"/>
        <v/>
      </c>
      <c r="AO983" s="161" t="str">
        <f t="shared" si="651"/>
        <v/>
      </c>
      <c r="AP983" s="156" t="str">
        <f t="shared" si="635"/>
        <v/>
      </c>
      <c r="AQ983" s="152"/>
      <c r="AR983" s="162" t="str">
        <f t="shared" si="636"/>
        <v/>
      </c>
      <c r="AS983" s="150" t="str">
        <f t="shared" si="652"/>
        <v/>
      </c>
      <c r="AT983" s="163" t="str">
        <f t="shared" si="637"/>
        <v/>
      </c>
      <c r="AU983" s="163" t="str">
        <f t="shared" si="638"/>
        <v/>
      </c>
      <c r="AV983" s="163" t="str">
        <f t="shared" si="653"/>
        <v/>
      </c>
      <c r="AW983" s="163" t="str">
        <f t="shared" si="639"/>
        <v/>
      </c>
      <c r="AX983" s="163" t="str">
        <f t="shared" si="640"/>
        <v/>
      </c>
      <c r="AY983" s="164" t="str">
        <f t="shared" si="654"/>
        <v/>
      </c>
      <c r="AZ983" s="164" t="str">
        <f>IF($E983="","",IF(OR(AND($D983=Input!$C$6,$C983=12),$AN983=1),0,-AS984+AT984+AU984-AV984-AW984-AX984+AZ984))</f>
        <v/>
      </c>
      <c r="BA983" s="154" t="str">
        <f t="shared" si="641"/>
        <v/>
      </c>
      <c r="BC983" s="147" t="str">
        <f t="shared" si="655"/>
        <v/>
      </c>
      <c r="BD983" s="164" t="str">
        <f>IF(AND($C982=12,$D982=Input!$C$6),0,IF($E983="","",AT983+(AU983+BD984)/(1+$AK983)*MIN((1-AM983-AN983),1)))</f>
        <v/>
      </c>
      <c r="BE983" s="164" t="str">
        <f t="shared" si="628"/>
        <v/>
      </c>
      <c r="BF983" s="164" t="str">
        <f t="shared" si="656"/>
        <v/>
      </c>
      <c r="BG983" s="164" t="str">
        <f t="shared" si="642"/>
        <v/>
      </c>
      <c r="BH983" s="152"/>
      <c r="BI983" s="162" t="str">
        <f t="shared" si="664"/>
        <v/>
      </c>
      <c r="BJ983" s="150" t="str">
        <f t="shared" si="665"/>
        <v/>
      </c>
      <c r="BK983" s="163" t="str">
        <f t="shared" si="661"/>
        <v/>
      </c>
      <c r="BL983" s="163" t="str">
        <f t="shared" si="666"/>
        <v/>
      </c>
      <c r="BM983" s="163" t="str">
        <f t="shared" si="662"/>
        <v/>
      </c>
      <c r="BN983" s="163" t="str">
        <f t="shared" si="667"/>
        <v/>
      </c>
      <c r="BO983" s="163" t="str">
        <f t="shared" si="668"/>
        <v/>
      </c>
      <c r="BP983" s="164" t="str">
        <f t="shared" si="663"/>
        <v/>
      </c>
      <c r="BQ983" s="164" t="str">
        <f t="shared" si="657"/>
        <v/>
      </c>
      <c r="BR983" s="154" t="str">
        <f t="shared" si="669"/>
        <v/>
      </c>
      <c r="BT983" s="147" t="str">
        <f t="shared" si="643"/>
        <v/>
      </c>
      <c r="BU983" s="164" t="str">
        <f>IF(AND($C982=12,$D982=Input!$C$6),0,IF($E983="","",BK983+(BL983+BU984)/(1+$AK983)*MIN((1-T983-U983),1)))</f>
        <v/>
      </c>
      <c r="BV983" s="164" t="str">
        <f t="shared" si="644"/>
        <v/>
      </c>
      <c r="BW983" s="164" t="str">
        <f t="shared" si="645"/>
        <v/>
      </c>
      <c r="BX983" s="164" t="str">
        <f t="shared" si="646"/>
        <v/>
      </c>
    </row>
    <row r="984" spans="1:76" s="150" customFormat="1" x14ac:dyDescent="0.25">
      <c r="A984" s="150" t="str">
        <f t="shared" si="658"/>
        <v/>
      </c>
      <c r="B984" s="150" t="str">
        <f t="shared" si="659"/>
        <v/>
      </c>
      <c r="C984" s="150" t="str">
        <f t="shared" si="660"/>
        <v/>
      </c>
      <c r="D984" s="150" t="str">
        <f>IF(E984="","",Input!$C$4+B984-1)</f>
        <v/>
      </c>
      <c r="E984" s="150" t="str">
        <f>IF(OR(AND(C983=12,D983=Input!$C$6),E983=""),"",1)</f>
        <v/>
      </c>
      <c r="F984" s="150" t="str">
        <f>IF(E984="","",Input!$C$8+B984-1)</f>
        <v/>
      </c>
      <c r="G984" s="151" t="str">
        <f>IF(E984="","",MAX(0,Input!$C$9-B984))</f>
        <v/>
      </c>
      <c r="H984" s="152" t="str">
        <f>IF(E984="","",Input!$C$3)</f>
        <v/>
      </c>
      <c r="I984" s="153" t="str">
        <f>IF(E984="","",HLOOKUP($B984,Input!$C$13:$BT$14,2))</f>
        <v/>
      </c>
      <c r="J984" s="154"/>
      <c r="K984" s="155" t="str">
        <f>IF($E984="","",INDEX(Input!$C$16:$CP$16,1,$B984))</f>
        <v/>
      </c>
      <c r="L984" s="155" t="str">
        <f>IF($E984="","",Input!$C$37)</f>
        <v/>
      </c>
      <c r="M984" s="155" t="str">
        <f t="shared" si="629"/>
        <v/>
      </c>
      <c r="N984" s="155" t="str">
        <f t="shared" si="630"/>
        <v/>
      </c>
      <c r="O984" s="147" t="str">
        <f>IF($E984="","",MIN(VLOOKUP(IF($B984&lt;=Input!$C$7,$B984,26),'Mortality Tables'!$A$41:$CW$67,IF($B984&lt;=Input!$C$7+1,Input!$C$4+2,$D984-Input!$C$7+2),0)*IF(B984&gt;20,Input!$C$22,1)/1000,1))</f>
        <v/>
      </c>
      <c r="P984" s="147" t="str">
        <f>IF($E984="","",MIN(VLOOKUP(IF($B984&lt;=Input!$C$7,$B984,26),'Mortality Tables'!$A$12:$CW$37,IF($B984&lt;=Input!$C$7+1,Input!$C$4+2,$D984-Input!$C$7+2),0)*IF(B984&gt;20,Input!$C$22,1)/1000,1))</f>
        <v/>
      </c>
      <c r="Q984" s="155" t="str">
        <f>IF($E984="","",Input!$C$21)</f>
        <v/>
      </c>
      <c r="R984" s="159" t="str">
        <f>IF($E984="","",(1-Q984)^($F984-Input!$C$20))</f>
        <v/>
      </c>
      <c r="S984" s="147" t="str">
        <f t="shared" si="632"/>
        <v/>
      </c>
      <c r="T984" s="147" t="str">
        <f t="shared" si="633"/>
        <v/>
      </c>
      <c r="U984" s="160" t="str">
        <f>IF($E984="","",IF($C984=12,INDEX(Input!$C$15:$CP$15,1,$B984),0))</f>
        <v/>
      </c>
      <c r="V984" s="150" t="str">
        <f>IF(E984="","",IF(C984=1,IF($B984=1,Input!$C$33,Input!$C$34),0))</f>
        <v/>
      </c>
      <c r="W984" s="156" t="str">
        <f>IF($E984="","",Input!$C$35)</f>
        <v/>
      </c>
      <c r="X984" s="156" t="str">
        <f t="shared" si="631"/>
        <v/>
      </c>
      <c r="Y984" s="154"/>
      <c r="Z984" s="147" t="str">
        <f>IF($E984="","",VLOOKUP($D984,'Mortality Margins &amp; Grading'!$AB$5:$AF$125,3,0)*IF(Summary!$D$25="Included Margin",IF(AND($B984&gt;Input!$C$9,Summary!$D$31&lt;&gt;"Included Margin"),0,1),0))</f>
        <v/>
      </c>
      <c r="AA984" s="147" t="str">
        <f>IF($E984="","",VLOOKUP($D984,'Mortality Margins &amp; Grading'!$AB$5:$AF$125,5,0)*IF(Summary!$D$25="Included Margin",IF(AND($B984&gt;Input!$C$9,Summary!$D$31&lt;&gt;"Included Margin"),0,1),0))</f>
        <v/>
      </c>
      <c r="AB984" s="147" t="str">
        <f>IF($E984="","",IF(AND($B984&gt;Input!$C$9,Summary!$D$31&lt;&gt;"Included Margin"),1,IF(Summary!$D$25="Included Margin",VLOOKUP($B984,'Mortality Margins &amp; Grading'!$AI$5:$AR$125,MATCH('Mortality Margins &amp; Grading'!$AQ$4,'Mortality Margins &amp; Grading'!$AI$4:$AR$4,0),0),1)))</f>
        <v/>
      </c>
      <c r="AC984" s="154"/>
      <c r="AD984" s="158" t="str">
        <f>IF(E984="","",Input!$C$48*IF(Summary!$D$30="Included Margin",IF(AND($B984&gt;Input!$C$9,Summary!$D$31&lt;&gt;"Included Margin"),0,1),0))</f>
        <v/>
      </c>
      <c r="AE984" s="159" t="str">
        <f>IF(E984="","",IF(Summary!$D$26="Included Margin",IF(AND($B984&gt;Input!$C$9,Summary!$D$31&lt;&gt;"Included Margin"),1,1/$R984),1))</f>
        <v/>
      </c>
      <c r="AF984" s="160" t="str">
        <f>IF(E984="","",IF(AND($B984&gt;=Input!$C$9,$C984=12,Summary!$D$31="Included Margin",$U984&gt;0),1/U984-1,IF($B984&gt;=Input!$C$9,0,Input!$C$45*IF(Summary!$D$27="Included Margin",1,0))))</f>
        <v/>
      </c>
      <c r="AG984" s="160" t="str">
        <f>IF(E984="","",Input!$C$46*IF(Summary!$D$28="Included Margin",IF(AND($B984&gt;Input!$C$9,Summary!$D$31&lt;&gt;"Included Margin"),0,1),0))</f>
        <v/>
      </c>
      <c r="AH984" s="158" t="str">
        <f>IF(E984="","",Input!$C$47*IF(Summary!$D$29="Included Margin",IF(AND($B984&gt;Input!$C$9,Summary!$D$31&lt;&gt;"Included Margin"),0,1),0))</f>
        <v/>
      </c>
      <c r="AI984" s="154"/>
      <c r="AJ984" s="158" t="str">
        <f t="shared" si="647"/>
        <v/>
      </c>
      <c r="AK984" s="155" t="str">
        <f t="shared" si="648"/>
        <v/>
      </c>
      <c r="AL984" s="147" t="str">
        <f t="shared" si="649"/>
        <v/>
      </c>
      <c r="AM984" s="147" t="str">
        <f t="shared" si="634"/>
        <v/>
      </c>
      <c r="AN984" s="160" t="str">
        <f t="shared" si="650"/>
        <v/>
      </c>
      <c r="AO984" s="161" t="str">
        <f t="shared" si="651"/>
        <v/>
      </c>
      <c r="AP984" s="156" t="str">
        <f t="shared" si="635"/>
        <v/>
      </c>
      <c r="AQ984" s="152"/>
      <c r="AR984" s="162" t="str">
        <f t="shared" si="636"/>
        <v/>
      </c>
      <c r="AS984" s="150" t="str">
        <f t="shared" si="652"/>
        <v/>
      </c>
      <c r="AT984" s="163" t="str">
        <f t="shared" si="637"/>
        <v/>
      </c>
      <c r="AU984" s="163" t="str">
        <f t="shared" si="638"/>
        <v/>
      </c>
      <c r="AV984" s="163" t="str">
        <f t="shared" si="653"/>
        <v/>
      </c>
      <c r="AW984" s="163" t="str">
        <f t="shared" si="639"/>
        <v/>
      </c>
      <c r="AX984" s="163" t="str">
        <f t="shared" si="640"/>
        <v/>
      </c>
      <c r="AY984" s="165" t="str">
        <f t="shared" si="654"/>
        <v/>
      </c>
      <c r="AZ984" s="164" t="str">
        <f>IF($E984="","",IF(OR(AND($D984=Input!$C$6,$C984=12),$AN984=1),0,-AS985+AT985+AU985-AV985-AW985-AX985+AZ985))</f>
        <v/>
      </c>
      <c r="BA984" s="154" t="str">
        <f t="shared" si="641"/>
        <v/>
      </c>
      <c r="BC984" s="147" t="str">
        <f t="shared" si="655"/>
        <v/>
      </c>
      <c r="BD984" s="164" t="str">
        <f>IF(AND($C983=12,$D983=Input!$C$6),0,IF($E984="","",AT984+(AU984+BD985)/(1+$AK984)*MIN((1-AM984-AN984),1)))</f>
        <v/>
      </c>
      <c r="BE984" s="164" t="str">
        <f t="shared" si="628"/>
        <v/>
      </c>
      <c r="BF984" s="164" t="str">
        <f t="shared" si="656"/>
        <v/>
      </c>
      <c r="BG984" s="164" t="str">
        <f t="shared" si="642"/>
        <v/>
      </c>
      <c r="BH984" s="152"/>
      <c r="BI984" s="162" t="str">
        <f t="shared" si="664"/>
        <v/>
      </c>
      <c r="BJ984" s="150" t="str">
        <f t="shared" si="665"/>
        <v/>
      </c>
      <c r="BK984" s="163" t="str">
        <f t="shared" si="661"/>
        <v/>
      </c>
      <c r="BL984" s="163" t="str">
        <f t="shared" si="666"/>
        <v/>
      </c>
      <c r="BM984" s="163" t="str">
        <f t="shared" si="662"/>
        <v/>
      </c>
      <c r="BN984" s="163" t="str">
        <f t="shared" si="667"/>
        <v/>
      </c>
      <c r="BO984" s="163" t="str">
        <f t="shared" si="668"/>
        <v/>
      </c>
      <c r="BP984" s="164" t="str">
        <f t="shared" si="663"/>
        <v/>
      </c>
      <c r="BQ984" s="164" t="str">
        <f t="shared" si="657"/>
        <v/>
      </c>
      <c r="BR984" s="154" t="str">
        <f t="shared" si="669"/>
        <v/>
      </c>
      <c r="BT984" s="147" t="str">
        <f t="shared" si="643"/>
        <v/>
      </c>
      <c r="BU984" s="164" t="str">
        <f>IF(AND($C983=12,$D983=Input!$C$6),0,IF($E984="","",BK984+(BL984+BU985)/(1+$AK984)*MIN((1-T984-U984),1)))</f>
        <v/>
      </c>
      <c r="BV984" s="164" t="str">
        <f t="shared" si="644"/>
        <v/>
      </c>
      <c r="BW984" s="164" t="str">
        <f t="shared" si="645"/>
        <v/>
      </c>
      <c r="BX984" s="164" t="str">
        <f t="shared" si="646"/>
        <v/>
      </c>
    </row>
    <row r="985" spans="1:76" s="150" customFormat="1" x14ac:dyDescent="0.25">
      <c r="A985" s="150" t="str">
        <f t="shared" si="658"/>
        <v/>
      </c>
      <c r="B985" s="150" t="str">
        <f t="shared" si="659"/>
        <v/>
      </c>
      <c r="C985" s="150" t="str">
        <f t="shared" si="660"/>
        <v/>
      </c>
      <c r="D985" s="150" t="str">
        <f>IF(E985="","",Input!$C$4+B985-1)</f>
        <v/>
      </c>
      <c r="E985" s="150" t="str">
        <f>IF(OR(AND(C984=12,D984=Input!$C$6),E984=""),"",1)</f>
        <v/>
      </c>
      <c r="F985" s="150" t="str">
        <f>IF(E985="","",Input!$C$8+B985-1)</f>
        <v/>
      </c>
      <c r="G985" s="151" t="str">
        <f>IF(E985="","",MAX(0,Input!$C$9-B985))</f>
        <v/>
      </c>
      <c r="H985" s="152" t="str">
        <f>IF(E985="","",Input!$C$3)</f>
        <v/>
      </c>
      <c r="I985" s="153" t="str">
        <f>IF(E985="","",HLOOKUP($B985,Input!$C$13:$BT$14,2))</f>
        <v/>
      </c>
      <c r="J985" s="154"/>
      <c r="K985" s="155" t="str">
        <f>IF($E985="","",INDEX(Input!$C$16:$CP$16,1,$B985))</f>
        <v/>
      </c>
      <c r="L985" s="155" t="str">
        <f>IF($E985="","",Input!$C$37)</f>
        <v/>
      </c>
      <c r="M985" s="155" t="str">
        <f t="shared" si="629"/>
        <v/>
      </c>
      <c r="N985" s="155" t="str">
        <f t="shared" si="630"/>
        <v/>
      </c>
      <c r="O985" s="147" t="str">
        <f>IF($E985="","",MIN(VLOOKUP(IF($B985&lt;=Input!$C$7,$B985,26),'Mortality Tables'!$A$41:$CW$67,IF($B985&lt;=Input!$C$7+1,Input!$C$4+2,$D985-Input!$C$7+2),0)*IF(B985&gt;20,Input!$C$22,1)/1000,1))</f>
        <v/>
      </c>
      <c r="P985" s="147" t="str">
        <f>IF($E985="","",MIN(VLOOKUP(IF($B985&lt;=Input!$C$7,$B985,26),'Mortality Tables'!$A$12:$CW$37,IF($B985&lt;=Input!$C$7+1,Input!$C$4+2,$D985-Input!$C$7+2),0)*IF(B985&gt;20,Input!$C$22,1)/1000,1))</f>
        <v/>
      </c>
      <c r="Q985" s="155" t="str">
        <f>IF($E985="","",Input!$C$21)</f>
        <v/>
      </c>
      <c r="R985" s="159" t="str">
        <f>IF($E985="","",(1-Q985)^($F985-Input!$C$20))</f>
        <v/>
      </c>
      <c r="S985" s="147" t="str">
        <f t="shared" si="632"/>
        <v/>
      </c>
      <c r="T985" s="147" t="str">
        <f t="shared" si="633"/>
        <v/>
      </c>
      <c r="U985" s="160" t="str">
        <f>IF($E985="","",IF($C985=12,INDEX(Input!$C$15:$CP$15,1,$B985),0))</f>
        <v/>
      </c>
      <c r="V985" s="150" t="str">
        <f>IF(E985="","",IF(C985=1,IF($B985=1,Input!$C$33,Input!$C$34),0))</f>
        <v/>
      </c>
      <c r="W985" s="156" t="str">
        <f>IF($E985="","",Input!$C$35)</f>
        <v/>
      </c>
      <c r="X985" s="156" t="str">
        <f t="shared" si="631"/>
        <v/>
      </c>
      <c r="Y985" s="154"/>
      <c r="Z985" s="147" t="str">
        <f>IF($E985="","",VLOOKUP($D985,'Mortality Margins &amp; Grading'!$AB$5:$AF$125,3,0)*IF(Summary!$D$25="Included Margin",IF(AND($B985&gt;Input!$C$9,Summary!$D$31&lt;&gt;"Included Margin"),0,1),0))</f>
        <v/>
      </c>
      <c r="AA985" s="147" t="str">
        <f>IF($E985="","",VLOOKUP($D985,'Mortality Margins &amp; Grading'!$AB$5:$AF$125,5,0)*IF(Summary!$D$25="Included Margin",IF(AND($B985&gt;Input!$C$9,Summary!$D$31&lt;&gt;"Included Margin"),0,1),0))</f>
        <v/>
      </c>
      <c r="AB985" s="147" t="str">
        <f>IF($E985="","",IF(AND($B985&gt;Input!$C$9,Summary!$D$31&lt;&gt;"Included Margin"),1,IF(Summary!$D$25="Included Margin",VLOOKUP($B985,'Mortality Margins &amp; Grading'!$AI$5:$AR$125,MATCH('Mortality Margins &amp; Grading'!$AQ$4,'Mortality Margins &amp; Grading'!$AI$4:$AR$4,0),0),1)))</f>
        <v/>
      </c>
      <c r="AC985" s="154"/>
      <c r="AD985" s="158" t="str">
        <f>IF(E985="","",Input!$C$48*IF(Summary!$D$30="Included Margin",IF(AND($B985&gt;Input!$C$9,Summary!$D$31&lt;&gt;"Included Margin"),0,1),0))</f>
        <v/>
      </c>
      <c r="AE985" s="159" t="str">
        <f>IF(E985="","",IF(Summary!$D$26="Included Margin",IF(AND($B985&gt;Input!$C$9,Summary!$D$31&lt;&gt;"Included Margin"),1,1/$R985),1))</f>
        <v/>
      </c>
      <c r="AF985" s="160" t="str">
        <f>IF(E985="","",IF(AND($B985&gt;=Input!$C$9,$C985=12,Summary!$D$31="Included Margin",$U985&gt;0),1/U985-1,IF($B985&gt;=Input!$C$9,0,Input!$C$45*IF(Summary!$D$27="Included Margin",1,0))))</f>
        <v/>
      </c>
      <c r="AG985" s="160" t="str">
        <f>IF(E985="","",Input!$C$46*IF(Summary!$D$28="Included Margin",IF(AND($B985&gt;Input!$C$9,Summary!$D$31&lt;&gt;"Included Margin"),0,1),0))</f>
        <v/>
      </c>
      <c r="AH985" s="158" t="str">
        <f>IF(E985="","",Input!$C$47*IF(Summary!$D$29="Included Margin",IF(AND($B985&gt;Input!$C$9,Summary!$D$31&lt;&gt;"Included Margin"),0,1),0))</f>
        <v/>
      </c>
      <c r="AI985" s="154"/>
      <c r="AJ985" s="158" t="str">
        <f t="shared" si="647"/>
        <v/>
      </c>
      <c r="AK985" s="155" t="str">
        <f t="shared" si="648"/>
        <v/>
      </c>
      <c r="AL985" s="147" t="str">
        <f t="shared" si="649"/>
        <v/>
      </c>
      <c r="AM985" s="147" t="str">
        <f t="shared" si="634"/>
        <v/>
      </c>
      <c r="AN985" s="160" t="str">
        <f t="shared" si="650"/>
        <v/>
      </c>
      <c r="AO985" s="161" t="str">
        <f t="shared" si="651"/>
        <v/>
      </c>
      <c r="AP985" s="156" t="str">
        <f t="shared" si="635"/>
        <v/>
      </c>
      <c r="AQ985" s="152"/>
      <c r="AR985" s="162" t="str">
        <f t="shared" si="636"/>
        <v/>
      </c>
      <c r="AS985" s="150" t="str">
        <f t="shared" si="652"/>
        <v/>
      </c>
      <c r="AT985" s="163" t="str">
        <f t="shared" si="637"/>
        <v/>
      </c>
      <c r="AU985" s="163" t="str">
        <f t="shared" si="638"/>
        <v/>
      </c>
      <c r="AV985" s="163" t="str">
        <f t="shared" si="653"/>
        <v/>
      </c>
      <c r="AW985" s="163" t="str">
        <f t="shared" si="639"/>
        <v/>
      </c>
      <c r="AX985" s="163" t="str">
        <f t="shared" si="640"/>
        <v/>
      </c>
      <c r="AY985" s="164" t="str">
        <f t="shared" si="654"/>
        <v/>
      </c>
      <c r="AZ985" s="164" t="str">
        <f>IF($E985="","",IF(OR(AND($D985=Input!$C$6,$C985=12),$AN985=1),0,-AS986+AT986+AU986-AV986-AW986-AX986+AZ986))</f>
        <v/>
      </c>
      <c r="BA985" s="154" t="str">
        <f t="shared" si="641"/>
        <v/>
      </c>
      <c r="BC985" s="147" t="str">
        <f t="shared" si="655"/>
        <v/>
      </c>
      <c r="BD985" s="164" t="str">
        <f>IF(AND($C984=12,$D984=Input!$C$6),0,IF($E985="","",AT985+(AU985+BD986)/(1+$AK985)*MIN((1-AM985-AN985),1)))</f>
        <v/>
      </c>
      <c r="BE985" s="164" t="str">
        <f t="shared" si="628"/>
        <v/>
      </c>
      <c r="BF985" s="164" t="str">
        <f t="shared" si="656"/>
        <v/>
      </c>
      <c r="BG985" s="164" t="str">
        <f t="shared" si="642"/>
        <v/>
      </c>
      <c r="BH985" s="152"/>
      <c r="BI985" s="162" t="str">
        <f t="shared" si="664"/>
        <v/>
      </c>
      <c r="BJ985" s="150" t="str">
        <f t="shared" si="665"/>
        <v/>
      </c>
      <c r="BK985" s="163" t="str">
        <f t="shared" si="661"/>
        <v/>
      </c>
      <c r="BL985" s="163" t="str">
        <f t="shared" si="666"/>
        <v/>
      </c>
      <c r="BM985" s="163" t="str">
        <f t="shared" si="662"/>
        <v/>
      </c>
      <c r="BN985" s="163" t="str">
        <f t="shared" si="667"/>
        <v/>
      </c>
      <c r="BO985" s="163" t="str">
        <f t="shared" si="668"/>
        <v/>
      </c>
      <c r="BP985" s="164" t="str">
        <f t="shared" si="663"/>
        <v/>
      </c>
      <c r="BQ985" s="164" t="str">
        <f t="shared" si="657"/>
        <v/>
      </c>
      <c r="BR985" s="154" t="str">
        <f t="shared" si="669"/>
        <v/>
      </c>
      <c r="BT985" s="147" t="str">
        <f t="shared" si="643"/>
        <v/>
      </c>
      <c r="BU985" s="164" t="str">
        <f>IF(AND($C984=12,$D984=Input!$C$6),0,IF($E985="","",BK985+(BL985+BU986)/(1+$AK985)*MIN((1-T985-U985),1)))</f>
        <v/>
      </c>
      <c r="BV985" s="164" t="str">
        <f t="shared" si="644"/>
        <v/>
      </c>
      <c r="BW985" s="164" t="str">
        <f t="shared" si="645"/>
        <v/>
      </c>
      <c r="BX985" s="164" t="str">
        <f t="shared" si="646"/>
        <v/>
      </c>
    </row>
    <row r="986" spans="1:76" s="150" customFormat="1" x14ac:dyDescent="0.25">
      <c r="A986" s="150" t="str">
        <f t="shared" si="658"/>
        <v/>
      </c>
      <c r="B986" s="150" t="str">
        <f t="shared" si="659"/>
        <v/>
      </c>
      <c r="C986" s="150" t="str">
        <f t="shared" si="660"/>
        <v/>
      </c>
      <c r="D986" s="150" t="str">
        <f>IF(E986="","",Input!$C$4+B986-1)</f>
        <v/>
      </c>
      <c r="E986" s="150" t="str">
        <f>IF(OR(AND(C985=12,D985=Input!$C$6),E985=""),"",1)</f>
        <v/>
      </c>
      <c r="F986" s="150" t="str">
        <f>IF(E986="","",Input!$C$8+B986-1)</f>
        <v/>
      </c>
      <c r="G986" s="151" t="str">
        <f>IF(E986="","",MAX(0,Input!$C$9-B986))</f>
        <v/>
      </c>
      <c r="H986" s="152" t="str">
        <f>IF(E986="","",Input!$C$3)</f>
        <v/>
      </c>
      <c r="I986" s="153" t="str">
        <f>IF(E986="","",HLOOKUP($B986,Input!$C$13:$BT$14,2))</f>
        <v/>
      </c>
      <c r="J986" s="154"/>
      <c r="K986" s="155" t="str">
        <f>IF($E986="","",INDEX(Input!$C$16:$CP$16,1,$B986))</f>
        <v/>
      </c>
      <c r="L986" s="155" t="str">
        <f>IF($E986="","",Input!$C$37)</f>
        <v/>
      </c>
      <c r="M986" s="155" t="str">
        <f t="shared" si="629"/>
        <v/>
      </c>
      <c r="N986" s="155" t="str">
        <f t="shared" si="630"/>
        <v/>
      </c>
      <c r="O986" s="147" t="str">
        <f>IF($E986="","",MIN(VLOOKUP(IF($B986&lt;=Input!$C$7,$B986,26),'Mortality Tables'!$A$41:$CW$67,IF($B986&lt;=Input!$C$7+1,Input!$C$4+2,$D986-Input!$C$7+2),0)*IF(B986&gt;20,Input!$C$22,1)/1000,1))</f>
        <v/>
      </c>
      <c r="P986" s="147" t="str">
        <f>IF($E986="","",MIN(VLOOKUP(IF($B986&lt;=Input!$C$7,$B986,26),'Mortality Tables'!$A$12:$CW$37,IF($B986&lt;=Input!$C$7+1,Input!$C$4+2,$D986-Input!$C$7+2),0)*IF(B986&gt;20,Input!$C$22,1)/1000,1))</f>
        <v/>
      </c>
      <c r="Q986" s="155" t="str">
        <f>IF($E986="","",Input!$C$21)</f>
        <v/>
      </c>
      <c r="R986" s="159" t="str">
        <f>IF($E986="","",(1-Q986)^($F986-Input!$C$20))</f>
        <v/>
      </c>
      <c r="S986" s="147" t="str">
        <f t="shared" si="632"/>
        <v/>
      </c>
      <c r="T986" s="147" t="str">
        <f t="shared" si="633"/>
        <v/>
      </c>
      <c r="U986" s="160" t="str">
        <f>IF($E986="","",IF($C986=12,INDEX(Input!$C$15:$CP$15,1,$B986),0))</f>
        <v/>
      </c>
      <c r="V986" s="150" t="str">
        <f>IF(E986="","",IF(C986=1,IF($B986=1,Input!$C$33,Input!$C$34),0))</f>
        <v/>
      </c>
      <c r="W986" s="156" t="str">
        <f>IF($E986="","",Input!$C$35)</f>
        <v/>
      </c>
      <c r="X986" s="156" t="str">
        <f t="shared" si="631"/>
        <v/>
      </c>
      <c r="Y986" s="154"/>
      <c r="Z986" s="147" t="str">
        <f>IF($E986="","",VLOOKUP($D986,'Mortality Margins &amp; Grading'!$AB$5:$AF$125,3,0)*IF(Summary!$D$25="Included Margin",IF(AND($B986&gt;Input!$C$9,Summary!$D$31&lt;&gt;"Included Margin"),0,1),0))</f>
        <v/>
      </c>
      <c r="AA986" s="147" t="str">
        <f>IF($E986="","",VLOOKUP($D986,'Mortality Margins &amp; Grading'!$AB$5:$AF$125,5,0)*IF(Summary!$D$25="Included Margin",IF(AND($B986&gt;Input!$C$9,Summary!$D$31&lt;&gt;"Included Margin"),0,1),0))</f>
        <v/>
      </c>
      <c r="AB986" s="147" t="str">
        <f>IF($E986="","",IF(AND($B986&gt;Input!$C$9,Summary!$D$31&lt;&gt;"Included Margin"),1,IF(Summary!$D$25="Included Margin",VLOOKUP($B986,'Mortality Margins &amp; Grading'!$AI$5:$AR$125,MATCH('Mortality Margins &amp; Grading'!$AQ$4,'Mortality Margins &amp; Grading'!$AI$4:$AR$4,0),0),1)))</f>
        <v/>
      </c>
      <c r="AC986" s="154"/>
      <c r="AD986" s="158" t="str">
        <f>IF(E986="","",Input!$C$48*IF(Summary!$D$30="Included Margin",IF(AND($B986&gt;Input!$C$9,Summary!$D$31&lt;&gt;"Included Margin"),0,1),0))</f>
        <v/>
      </c>
      <c r="AE986" s="159" t="str">
        <f>IF(E986="","",IF(Summary!$D$26="Included Margin",IF(AND($B986&gt;Input!$C$9,Summary!$D$31&lt;&gt;"Included Margin"),1,1/$R986),1))</f>
        <v/>
      </c>
      <c r="AF986" s="160" t="str">
        <f>IF(E986="","",IF(AND($B986&gt;=Input!$C$9,$C986=12,Summary!$D$31="Included Margin",$U986&gt;0),1/U986-1,IF($B986&gt;=Input!$C$9,0,Input!$C$45*IF(Summary!$D$27="Included Margin",1,0))))</f>
        <v/>
      </c>
      <c r="AG986" s="160" t="str">
        <f>IF(E986="","",Input!$C$46*IF(Summary!$D$28="Included Margin",IF(AND($B986&gt;Input!$C$9,Summary!$D$31&lt;&gt;"Included Margin"),0,1),0))</f>
        <v/>
      </c>
      <c r="AH986" s="158" t="str">
        <f>IF(E986="","",Input!$C$47*IF(Summary!$D$29="Included Margin",IF(AND($B986&gt;Input!$C$9,Summary!$D$31&lt;&gt;"Included Margin"),0,1),0))</f>
        <v/>
      </c>
      <c r="AI986" s="154"/>
      <c r="AJ986" s="158" t="str">
        <f t="shared" si="647"/>
        <v/>
      </c>
      <c r="AK986" s="155" t="str">
        <f t="shared" si="648"/>
        <v/>
      </c>
      <c r="AL986" s="147" t="str">
        <f t="shared" si="649"/>
        <v/>
      </c>
      <c r="AM986" s="147" t="str">
        <f t="shared" si="634"/>
        <v/>
      </c>
      <c r="AN986" s="160" t="str">
        <f t="shared" si="650"/>
        <v/>
      </c>
      <c r="AO986" s="161" t="str">
        <f t="shared" si="651"/>
        <v/>
      </c>
      <c r="AP986" s="156" t="str">
        <f t="shared" si="635"/>
        <v/>
      </c>
      <c r="AQ986" s="152"/>
      <c r="AR986" s="162" t="str">
        <f t="shared" si="636"/>
        <v/>
      </c>
      <c r="AS986" s="150" t="str">
        <f t="shared" si="652"/>
        <v/>
      </c>
      <c r="AT986" s="163" t="str">
        <f t="shared" si="637"/>
        <v/>
      </c>
      <c r="AU986" s="163" t="str">
        <f t="shared" si="638"/>
        <v/>
      </c>
      <c r="AV986" s="163" t="str">
        <f t="shared" si="653"/>
        <v/>
      </c>
      <c r="AW986" s="163" t="str">
        <f t="shared" si="639"/>
        <v/>
      </c>
      <c r="AX986" s="163" t="str">
        <f t="shared" si="640"/>
        <v/>
      </c>
      <c r="AY986" s="165" t="str">
        <f t="shared" si="654"/>
        <v/>
      </c>
      <c r="AZ986" s="164" t="str">
        <f>IF($E986="","",IF(OR(AND($D986=Input!$C$6,$C986=12),$AN986=1),0,-AS987+AT987+AU987-AV987-AW987-AX987+AZ987))</f>
        <v/>
      </c>
      <c r="BA986" s="154" t="str">
        <f t="shared" si="641"/>
        <v/>
      </c>
      <c r="BC986" s="147" t="str">
        <f t="shared" si="655"/>
        <v/>
      </c>
      <c r="BD986" s="164" t="str">
        <f>IF(AND($C985=12,$D985=Input!$C$6),0,IF($E986="","",AT986+(AU986+BD987)/(1+$AK986)*MIN((1-AM986-AN986),1)))</f>
        <v/>
      </c>
      <c r="BE986" s="164" t="str">
        <f t="shared" ref="BE986:BE1049" si="670">IF($E986="","",BC986*BD986)</f>
        <v/>
      </c>
      <c r="BF986" s="164" t="str">
        <f t="shared" si="656"/>
        <v/>
      </c>
      <c r="BG986" s="164" t="str">
        <f t="shared" si="642"/>
        <v/>
      </c>
      <c r="BH986" s="152"/>
      <c r="BI986" s="162" t="str">
        <f t="shared" si="664"/>
        <v/>
      </c>
      <c r="BJ986" s="150" t="str">
        <f t="shared" si="665"/>
        <v/>
      </c>
      <c r="BK986" s="163" t="str">
        <f t="shared" si="661"/>
        <v/>
      </c>
      <c r="BL986" s="163" t="str">
        <f t="shared" si="666"/>
        <v/>
      </c>
      <c r="BM986" s="163" t="str">
        <f t="shared" si="662"/>
        <v/>
      </c>
      <c r="BN986" s="163" t="str">
        <f t="shared" si="667"/>
        <v/>
      </c>
      <c r="BO986" s="163" t="str">
        <f t="shared" si="668"/>
        <v/>
      </c>
      <c r="BP986" s="164" t="str">
        <f t="shared" si="663"/>
        <v/>
      </c>
      <c r="BQ986" s="164" t="str">
        <f t="shared" si="657"/>
        <v/>
      </c>
      <c r="BR986" s="154" t="str">
        <f t="shared" si="669"/>
        <v/>
      </c>
      <c r="BT986" s="147" t="str">
        <f t="shared" si="643"/>
        <v/>
      </c>
      <c r="BU986" s="164" t="str">
        <f>IF(AND($C985=12,$D985=Input!$C$6),0,IF($E986="","",BK986+(BL986+BU987)/(1+$AK986)*MIN((1-T986-U986),1)))</f>
        <v/>
      </c>
      <c r="BV986" s="164" t="str">
        <f t="shared" si="644"/>
        <v/>
      </c>
      <c r="BW986" s="164" t="str">
        <f t="shared" si="645"/>
        <v/>
      </c>
      <c r="BX986" s="164" t="str">
        <f t="shared" si="646"/>
        <v/>
      </c>
    </row>
    <row r="987" spans="1:76" s="150" customFormat="1" x14ac:dyDescent="0.25">
      <c r="A987" s="150" t="str">
        <f t="shared" si="658"/>
        <v/>
      </c>
      <c r="B987" s="150" t="str">
        <f t="shared" si="659"/>
        <v/>
      </c>
      <c r="C987" s="150" t="str">
        <f t="shared" si="660"/>
        <v/>
      </c>
      <c r="D987" s="150" t="str">
        <f>IF(E987="","",Input!$C$4+B987-1)</f>
        <v/>
      </c>
      <c r="E987" s="150" t="str">
        <f>IF(OR(AND(C986=12,D986=Input!$C$6),E986=""),"",1)</f>
        <v/>
      </c>
      <c r="F987" s="150" t="str">
        <f>IF(E987="","",Input!$C$8+B987-1)</f>
        <v/>
      </c>
      <c r="G987" s="151" t="str">
        <f>IF(E987="","",MAX(0,Input!$C$9-B987))</f>
        <v/>
      </c>
      <c r="H987" s="152" t="str">
        <f>IF(E987="","",Input!$C$3)</f>
        <v/>
      </c>
      <c r="I987" s="153" t="str">
        <f>IF(E987="","",HLOOKUP($B987,Input!$C$13:$BT$14,2))</f>
        <v/>
      </c>
      <c r="J987" s="154"/>
      <c r="K987" s="155" t="str">
        <f>IF($E987="","",INDEX(Input!$C$16:$CP$16,1,$B987))</f>
        <v/>
      </c>
      <c r="L987" s="155" t="str">
        <f>IF($E987="","",Input!$C$37)</f>
        <v/>
      </c>
      <c r="M987" s="155" t="str">
        <f t="shared" si="629"/>
        <v/>
      </c>
      <c r="N987" s="155" t="str">
        <f t="shared" si="630"/>
        <v/>
      </c>
      <c r="O987" s="147" t="str">
        <f>IF($E987="","",MIN(VLOOKUP(IF($B987&lt;=Input!$C$7,$B987,26),'Mortality Tables'!$A$41:$CW$67,IF($B987&lt;=Input!$C$7+1,Input!$C$4+2,$D987-Input!$C$7+2),0)*IF(B987&gt;20,Input!$C$22,1)/1000,1))</f>
        <v/>
      </c>
      <c r="P987" s="147" t="str">
        <f>IF($E987="","",MIN(VLOOKUP(IF($B987&lt;=Input!$C$7,$B987,26),'Mortality Tables'!$A$12:$CW$37,IF($B987&lt;=Input!$C$7+1,Input!$C$4+2,$D987-Input!$C$7+2),0)*IF(B987&gt;20,Input!$C$22,1)/1000,1))</f>
        <v/>
      </c>
      <c r="Q987" s="155" t="str">
        <f>IF($E987="","",Input!$C$21)</f>
        <v/>
      </c>
      <c r="R987" s="159" t="str">
        <f>IF($E987="","",(1-Q987)^($F987-Input!$C$20))</f>
        <v/>
      </c>
      <c r="S987" s="147" t="str">
        <f t="shared" si="632"/>
        <v/>
      </c>
      <c r="T987" s="147" t="str">
        <f t="shared" si="633"/>
        <v/>
      </c>
      <c r="U987" s="160" t="str">
        <f>IF($E987="","",IF($C987=12,INDEX(Input!$C$15:$CP$15,1,$B987),0))</f>
        <v/>
      </c>
      <c r="V987" s="150" t="str">
        <f>IF(E987="","",IF(C987=1,IF($B987=1,Input!$C$33,Input!$C$34),0))</f>
        <v/>
      </c>
      <c r="W987" s="156" t="str">
        <f>IF($E987="","",Input!$C$35)</f>
        <v/>
      </c>
      <c r="X987" s="156" t="str">
        <f t="shared" si="631"/>
        <v/>
      </c>
      <c r="Y987" s="154"/>
      <c r="Z987" s="147" t="str">
        <f>IF($E987="","",VLOOKUP($D987,'Mortality Margins &amp; Grading'!$AB$5:$AF$125,3,0)*IF(Summary!$D$25="Included Margin",IF(AND($B987&gt;Input!$C$9,Summary!$D$31&lt;&gt;"Included Margin"),0,1),0))</f>
        <v/>
      </c>
      <c r="AA987" s="147" t="str">
        <f>IF($E987="","",VLOOKUP($D987,'Mortality Margins &amp; Grading'!$AB$5:$AF$125,5,0)*IF(Summary!$D$25="Included Margin",IF(AND($B987&gt;Input!$C$9,Summary!$D$31&lt;&gt;"Included Margin"),0,1),0))</f>
        <v/>
      </c>
      <c r="AB987" s="147" t="str">
        <f>IF($E987="","",IF(AND($B987&gt;Input!$C$9,Summary!$D$31&lt;&gt;"Included Margin"),1,IF(Summary!$D$25="Included Margin",VLOOKUP($B987,'Mortality Margins &amp; Grading'!$AI$5:$AR$125,MATCH('Mortality Margins &amp; Grading'!$AQ$4,'Mortality Margins &amp; Grading'!$AI$4:$AR$4,0),0),1)))</f>
        <v/>
      </c>
      <c r="AC987" s="154"/>
      <c r="AD987" s="158" t="str">
        <f>IF(E987="","",Input!$C$48*IF(Summary!$D$30="Included Margin",IF(AND($B987&gt;Input!$C$9,Summary!$D$31&lt;&gt;"Included Margin"),0,1),0))</f>
        <v/>
      </c>
      <c r="AE987" s="159" t="str">
        <f>IF(E987="","",IF(Summary!$D$26="Included Margin",IF(AND($B987&gt;Input!$C$9,Summary!$D$31&lt;&gt;"Included Margin"),1,1/$R987),1))</f>
        <v/>
      </c>
      <c r="AF987" s="160" t="str">
        <f>IF(E987="","",IF(AND($B987&gt;=Input!$C$9,$C987=12,Summary!$D$31="Included Margin",$U987&gt;0),1/U987-1,IF($B987&gt;=Input!$C$9,0,Input!$C$45*IF(Summary!$D$27="Included Margin",1,0))))</f>
        <v/>
      </c>
      <c r="AG987" s="160" t="str">
        <f>IF(E987="","",Input!$C$46*IF(Summary!$D$28="Included Margin",IF(AND($B987&gt;Input!$C$9,Summary!$D$31&lt;&gt;"Included Margin"),0,1),0))</f>
        <v/>
      </c>
      <c r="AH987" s="158" t="str">
        <f>IF(E987="","",Input!$C$47*IF(Summary!$D$29="Included Margin",IF(AND($B987&gt;Input!$C$9,Summary!$D$31&lt;&gt;"Included Margin"),0,1),0))</f>
        <v/>
      </c>
      <c r="AI987" s="154"/>
      <c r="AJ987" s="158" t="str">
        <f t="shared" si="647"/>
        <v/>
      </c>
      <c r="AK987" s="155" t="str">
        <f t="shared" si="648"/>
        <v/>
      </c>
      <c r="AL987" s="147" t="str">
        <f t="shared" si="649"/>
        <v/>
      </c>
      <c r="AM987" s="147" t="str">
        <f t="shared" si="634"/>
        <v/>
      </c>
      <c r="AN987" s="160" t="str">
        <f t="shared" si="650"/>
        <v/>
      </c>
      <c r="AO987" s="161" t="str">
        <f t="shared" si="651"/>
        <v/>
      </c>
      <c r="AP987" s="156" t="str">
        <f t="shared" si="635"/>
        <v/>
      </c>
      <c r="AQ987" s="152"/>
      <c r="AR987" s="162" t="str">
        <f t="shared" si="636"/>
        <v/>
      </c>
      <c r="AS987" s="150" t="str">
        <f t="shared" si="652"/>
        <v/>
      </c>
      <c r="AT987" s="163" t="str">
        <f t="shared" si="637"/>
        <v/>
      </c>
      <c r="AU987" s="163" t="str">
        <f t="shared" si="638"/>
        <v/>
      </c>
      <c r="AV987" s="163" t="str">
        <f t="shared" si="653"/>
        <v/>
      </c>
      <c r="AW987" s="163" t="str">
        <f t="shared" si="639"/>
        <v/>
      </c>
      <c r="AX987" s="163" t="str">
        <f t="shared" si="640"/>
        <v/>
      </c>
      <c r="AY987" s="164" t="str">
        <f t="shared" si="654"/>
        <v/>
      </c>
      <c r="AZ987" s="164" t="str">
        <f>IF($E987="","",IF(OR(AND($D987=Input!$C$6,$C987=12),$AN987=1),0,-AS988+AT988+AU988-AV988-AW988-AX988+AZ988))</f>
        <v/>
      </c>
      <c r="BA987" s="154" t="str">
        <f t="shared" si="641"/>
        <v/>
      </c>
      <c r="BC987" s="147" t="str">
        <f t="shared" si="655"/>
        <v/>
      </c>
      <c r="BD987" s="164" t="str">
        <f>IF(AND($C986=12,$D986=Input!$C$6),0,IF($E987="","",AT987+(AU987+BD988)/(1+$AK987)*MIN((1-AM987-AN987),1)))</f>
        <v/>
      </c>
      <c r="BE987" s="164" t="str">
        <f t="shared" si="670"/>
        <v/>
      </c>
      <c r="BF987" s="164" t="str">
        <f t="shared" si="656"/>
        <v/>
      </c>
      <c r="BG987" s="164" t="str">
        <f t="shared" si="642"/>
        <v/>
      </c>
      <c r="BH987" s="152"/>
      <c r="BI987" s="162" t="str">
        <f t="shared" si="664"/>
        <v/>
      </c>
      <c r="BJ987" s="150" t="str">
        <f t="shared" si="665"/>
        <v/>
      </c>
      <c r="BK987" s="163" t="str">
        <f t="shared" si="661"/>
        <v/>
      </c>
      <c r="BL987" s="163" t="str">
        <f t="shared" si="666"/>
        <v/>
      </c>
      <c r="BM987" s="163" t="str">
        <f t="shared" si="662"/>
        <v/>
      </c>
      <c r="BN987" s="163" t="str">
        <f t="shared" si="667"/>
        <v/>
      </c>
      <c r="BO987" s="163" t="str">
        <f t="shared" si="668"/>
        <v/>
      </c>
      <c r="BP987" s="164" t="str">
        <f t="shared" si="663"/>
        <v/>
      </c>
      <c r="BQ987" s="164" t="str">
        <f t="shared" si="657"/>
        <v/>
      </c>
      <c r="BR987" s="154" t="str">
        <f t="shared" si="669"/>
        <v/>
      </c>
      <c r="BT987" s="147" t="str">
        <f t="shared" si="643"/>
        <v/>
      </c>
      <c r="BU987" s="164" t="str">
        <f>IF(AND($C986=12,$D986=Input!$C$6),0,IF($E987="","",BK987+(BL987+BU988)/(1+$AK987)*MIN((1-T987-U987),1)))</f>
        <v/>
      </c>
      <c r="BV987" s="164" t="str">
        <f t="shared" si="644"/>
        <v/>
      </c>
      <c r="BW987" s="164" t="str">
        <f t="shared" si="645"/>
        <v/>
      </c>
      <c r="BX987" s="164" t="str">
        <f t="shared" si="646"/>
        <v/>
      </c>
    </row>
    <row r="988" spans="1:76" s="150" customFormat="1" x14ac:dyDescent="0.25">
      <c r="A988" s="150" t="str">
        <f t="shared" si="658"/>
        <v/>
      </c>
      <c r="B988" s="150" t="str">
        <f t="shared" si="659"/>
        <v/>
      </c>
      <c r="C988" s="150" t="str">
        <f t="shared" si="660"/>
        <v/>
      </c>
      <c r="D988" s="150" t="str">
        <f>IF(E988="","",Input!$C$4+B988-1)</f>
        <v/>
      </c>
      <c r="E988" s="150" t="str">
        <f>IF(OR(AND(C987=12,D987=Input!$C$6),E987=""),"",1)</f>
        <v/>
      </c>
      <c r="F988" s="150" t="str">
        <f>IF(E988="","",Input!$C$8+B988-1)</f>
        <v/>
      </c>
      <c r="G988" s="151" t="str">
        <f>IF(E988="","",MAX(0,Input!$C$9-B988))</f>
        <v/>
      </c>
      <c r="H988" s="152" t="str">
        <f>IF(E988="","",Input!$C$3)</f>
        <v/>
      </c>
      <c r="I988" s="153" t="str">
        <f>IF(E988="","",HLOOKUP($B988,Input!$C$13:$BT$14,2))</f>
        <v/>
      </c>
      <c r="J988" s="154"/>
      <c r="K988" s="155" t="str">
        <f>IF($E988="","",INDEX(Input!$C$16:$CP$16,1,$B988))</f>
        <v/>
      </c>
      <c r="L988" s="155" t="str">
        <f>IF($E988="","",Input!$C$37)</f>
        <v/>
      </c>
      <c r="M988" s="155" t="str">
        <f t="shared" si="629"/>
        <v/>
      </c>
      <c r="N988" s="155" t="str">
        <f t="shared" si="630"/>
        <v/>
      </c>
      <c r="O988" s="147" t="str">
        <f>IF($E988="","",MIN(VLOOKUP(IF($B988&lt;=Input!$C$7,$B988,26),'Mortality Tables'!$A$41:$CW$67,IF($B988&lt;=Input!$C$7+1,Input!$C$4+2,$D988-Input!$C$7+2),0)*IF(B988&gt;20,Input!$C$22,1)/1000,1))</f>
        <v/>
      </c>
      <c r="P988" s="147" t="str">
        <f>IF($E988="","",MIN(VLOOKUP(IF($B988&lt;=Input!$C$7,$B988,26),'Mortality Tables'!$A$12:$CW$37,IF($B988&lt;=Input!$C$7+1,Input!$C$4+2,$D988-Input!$C$7+2),0)*IF(B988&gt;20,Input!$C$22,1)/1000,1))</f>
        <v/>
      </c>
      <c r="Q988" s="155" t="str">
        <f>IF($E988="","",Input!$C$21)</f>
        <v/>
      </c>
      <c r="R988" s="159" t="str">
        <f>IF($E988="","",(1-Q988)^($F988-Input!$C$20))</f>
        <v/>
      </c>
      <c r="S988" s="147" t="str">
        <f t="shared" si="632"/>
        <v/>
      </c>
      <c r="T988" s="147" t="str">
        <f t="shared" si="633"/>
        <v/>
      </c>
      <c r="U988" s="160" t="str">
        <f>IF($E988="","",IF($C988=12,INDEX(Input!$C$15:$CP$15,1,$B988),0))</f>
        <v/>
      </c>
      <c r="V988" s="150" t="str">
        <f>IF(E988="","",IF(C988=1,IF($B988=1,Input!$C$33,Input!$C$34),0))</f>
        <v/>
      </c>
      <c r="W988" s="156" t="str">
        <f>IF($E988="","",Input!$C$35)</f>
        <v/>
      </c>
      <c r="X988" s="156" t="str">
        <f t="shared" si="631"/>
        <v/>
      </c>
      <c r="Y988" s="154"/>
      <c r="Z988" s="147" t="str">
        <f>IF($E988="","",VLOOKUP($D988,'Mortality Margins &amp; Grading'!$AB$5:$AF$125,3,0)*IF(Summary!$D$25="Included Margin",IF(AND($B988&gt;Input!$C$9,Summary!$D$31&lt;&gt;"Included Margin"),0,1),0))</f>
        <v/>
      </c>
      <c r="AA988" s="147" t="str">
        <f>IF($E988="","",VLOOKUP($D988,'Mortality Margins &amp; Grading'!$AB$5:$AF$125,5,0)*IF(Summary!$D$25="Included Margin",IF(AND($B988&gt;Input!$C$9,Summary!$D$31&lt;&gt;"Included Margin"),0,1),0))</f>
        <v/>
      </c>
      <c r="AB988" s="147" t="str">
        <f>IF($E988="","",IF(AND($B988&gt;Input!$C$9,Summary!$D$31&lt;&gt;"Included Margin"),1,IF(Summary!$D$25="Included Margin",VLOOKUP($B988,'Mortality Margins &amp; Grading'!$AI$5:$AR$125,MATCH('Mortality Margins &amp; Grading'!$AQ$4,'Mortality Margins &amp; Grading'!$AI$4:$AR$4,0),0),1)))</f>
        <v/>
      </c>
      <c r="AC988" s="154"/>
      <c r="AD988" s="158" t="str">
        <f>IF(E988="","",Input!$C$48*IF(Summary!$D$30="Included Margin",IF(AND($B988&gt;Input!$C$9,Summary!$D$31&lt;&gt;"Included Margin"),0,1),0))</f>
        <v/>
      </c>
      <c r="AE988" s="159" t="str">
        <f>IF(E988="","",IF(Summary!$D$26="Included Margin",IF(AND($B988&gt;Input!$C$9,Summary!$D$31&lt;&gt;"Included Margin"),1,1/$R988),1))</f>
        <v/>
      </c>
      <c r="AF988" s="160" t="str">
        <f>IF(E988="","",IF(AND($B988&gt;=Input!$C$9,$C988=12,Summary!$D$31="Included Margin",$U988&gt;0),1/U988-1,IF($B988&gt;=Input!$C$9,0,Input!$C$45*IF(Summary!$D$27="Included Margin",1,0))))</f>
        <v/>
      </c>
      <c r="AG988" s="160" t="str">
        <f>IF(E988="","",Input!$C$46*IF(Summary!$D$28="Included Margin",IF(AND($B988&gt;Input!$C$9,Summary!$D$31&lt;&gt;"Included Margin"),0,1),0))</f>
        <v/>
      </c>
      <c r="AH988" s="158" t="str">
        <f>IF(E988="","",Input!$C$47*IF(Summary!$D$29="Included Margin",IF(AND($B988&gt;Input!$C$9,Summary!$D$31&lt;&gt;"Included Margin"),0,1),0))</f>
        <v/>
      </c>
      <c r="AI988" s="154"/>
      <c r="AJ988" s="158" t="str">
        <f t="shared" si="647"/>
        <v/>
      </c>
      <c r="AK988" s="155" t="str">
        <f t="shared" si="648"/>
        <v/>
      </c>
      <c r="AL988" s="147" t="str">
        <f t="shared" si="649"/>
        <v/>
      </c>
      <c r="AM988" s="147" t="str">
        <f t="shared" si="634"/>
        <v/>
      </c>
      <c r="AN988" s="160" t="str">
        <f t="shared" si="650"/>
        <v/>
      </c>
      <c r="AO988" s="161" t="str">
        <f t="shared" si="651"/>
        <v/>
      </c>
      <c r="AP988" s="156" t="str">
        <f t="shared" si="635"/>
        <v/>
      </c>
      <c r="AQ988" s="152"/>
      <c r="AR988" s="162" t="str">
        <f t="shared" si="636"/>
        <v/>
      </c>
      <c r="AS988" s="150" t="str">
        <f t="shared" si="652"/>
        <v/>
      </c>
      <c r="AT988" s="163" t="str">
        <f t="shared" si="637"/>
        <v/>
      </c>
      <c r="AU988" s="163" t="str">
        <f t="shared" si="638"/>
        <v/>
      </c>
      <c r="AV988" s="163" t="str">
        <f t="shared" si="653"/>
        <v/>
      </c>
      <c r="AW988" s="163" t="str">
        <f t="shared" si="639"/>
        <v/>
      </c>
      <c r="AX988" s="163" t="str">
        <f t="shared" si="640"/>
        <v/>
      </c>
      <c r="AY988" s="165" t="str">
        <f t="shared" si="654"/>
        <v/>
      </c>
      <c r="AZ988" s="164" t="str">
        <f>IF($E988="","",IF(OR(AND($D988=Input!$C$6,$C988=12),$AN988=1),0,-AS989+AT989+AU989-AV989-AW989-AX989+AZ989))</f>
        <v/>
      </c>
      <c r="BA988" s="154" t="str">
        <f t="shared" si="641"/>
        <v/>
      </c>
      <c r="BC988" s="147" t="str">
        <f t="shared" si="655"/>
        <v/>
      </c>
      <c r="BD988" s="164" t="str">
        <f>IF(AND($C987=12,$D987=Input!$C$6),0,IF($E988="","",AT988+(AU988+BD989)/(1+$AK988)*MIN((1-AM988-AN988),1)))</f>
        <v/>
      </c>
      <c r="BE988" s="164" t="str">
        <f t="shared" si="670"/>
        <v/>
      </c>
      <c r="BF988" s="164" t="str">
        <f t="shared" si="656"/>
        <v/>
      </c>
      <c r="BG988" s="164" t="str">
        <f t="shared" si="642"/>
        <v/>
      </c>
      <c r="BH988" s="152"/>
      <c r="BI988" s="162" t="str">
        <f t="shared" si="664"/>
        <v/>
      </c>
      <c r="BJ988" s="150" t="str">
        <f t="shared" si="665"/>
        <v/>
      </c>
      <c r="BK988" s="163" t="str">
        <f t="shared" si="661"/>
        <v/>
      </c>
      <c r="BL988" s="163" t="str">
        <f t="shared" si="666"/>
        <v/>
      </c>
      <c r="BM988" s="163" t="str">
        <f t="shared" si="662"/>
        <v/>
      </c>
      <c r="BN988" s="163" t="str">
        <f t="shared" si="667"/>
        <v/>
      </c>
      <c r="BO988" s="163" t="str">
        <f t="shared" si="668"/>
        <v/>
      </c>
      <c r="BP988" s="164" t="str">
        <f t="shared" si="663"/>
        <v/>
      </c>
      <c r="BQ988" s="164" t="str">
        <f t="shared" si="657"/>
        <v/>
      </c>
      <c r="BR988" s="154" t="str">
        <f t="shared" si="669"/>
        <v/>
      </c>
      <c r="BT988" s="147" t="str">
        <f t="shared" si="643"/>
        <v/>
      </c>
      <c r="BU988" s="164" t="str">
        <f>IF(AND($C987=12,$D987=Input!$C$6),0,IF($E988="","",BK988+(BL988+BU989)/(1+$AK988)*MIN((1-T988-U988),1)))</f>
        <v/>
      </c>
      <c r="BV988" s="164" t="str">
        <f t="shared" si="644"/>
        <v/>
      </c>
      <c r="BW988" s="164" t="str">
        <f t="shared" si="645"/>
        <v/>
      </c>
      <c r="BX988" s="164" t="str">
        <f t="shared" si="646"/>
        <v/>
      </c>
    </row>
    <row r="989" spans="1:76" s="150" customFormat="1" x14ac:dyDescent="0.25">
      <c r="A989" s="150" t="str">
        <f t="shared" si="658"/>
        <v/>
      </c>
      <c r="B989" s="150" t="str">
        <f t="shared" si="659"/>
        <v/>
      </c>
      <c r="C989" s="150" t="str">
        <f t="shared" si="660"/>
        <v/>
      </c>
      <c r="D989" s="150" t="str">
        <f>IF(E989="","",Input!$C$4+B989-1)</f>
        <v/>
      </c>
      <c r="E989" s="150" t="str">
        <f>IF(OR(AND(C988=12,D988=Input!$C$6),E988=""),"",1)</f>
        <v/>
      </c>
      <c r="F989" s="150" t="str">
        <f>IF(E989="","",Input!$C$8+B989-1)</f>
        <v/>
      </c>
      <c r="G989" s="151" t="str">
        <f>IF(E989="","",MAX(0,Input!$C$9-B989))</f>
        <v/>
      </c>
      <c r="H989" s="152" t="str">
        <f>IF(E989="","",Input!$C$3)</f>
        <v/>
      </c>
      <c r="I989" s="153" t="str">
        <f>IF(E989="","",HLOOKUP($B989,Input!$C$13:$BT$14,2))</f>
        <v/>
      </c>
      <c r="J989" s="154"/>
      <c r="K989" s="155" t="str">
        <f>IF($E989="","",INDEX(Input!$C$16:$CP$16,1,$B989))</f>
        <v/>
      </c>
      <c r="L989" s="155" t="str">
        <f>IF($E989="","",Input!$C$37)</f>
        <v/>
      </c>
      <c r="M989" s="155" t="str">
        <f t="shared" si="629"/>
        <v/>
      </c>
      <c r="N989" s="155" t="str">
        <f t="shared" si="630"/>
        <v/>
      </c>
      <c r="O989" s="147" t="str">
        <f>IF($E989="","",MIN(VLOOKUP(IF($B989&lt;=Input!$C$7,$B989,26),'Mortality Tables'!$A$41:$CW$67,IF($B989&lt;=Input!$C$7+1,Input!$C$4+2,$D989-Input!$C$7+2),0)*IF(B989&gt;20,Input!$C$22,1)/1000,1))</f>
        <v/>
      </c>
      <c r="P989" s="147" t="str">
        <f>IF($E989="","",MIN(VLOOKUP(IF($B989&lt;=Input!$C$7,$B989,26),'Mortality Tables'!$A$12:$CW$37,IF($B989&lt;=Input!$C$7+1,Input!$C$4+2,$D989-Input!$C$7+2),0)*IF(B989&gt;20,Input!$C$22,1)/1000,1))</f>
        <v/>
      </c>
      <c r="Q989" s="155" t="str">
        <f>IF($E989="","",Input!$C$21)</f>
        <v/>
      </c>
      <c r="R989" s="159" t="str">
        <f>IF($E989="","",(1-Q989)^($F989-Input!$C$20))</f>
        <v/>
      </c>
      <c r="S989" s="147" t="str">
        <f t="shared" si="632"/>
        <v/>
      </c>
      <c r="T989" s="147" t="str">
        <f t="shared" si="633"/>
        <v/>
      </c>
      <c r="U989" s="160" t="str">
        <f>IF($E989="","",IF($C989=12,INDEX(Input!$C$15:$CP$15,1,$B989),0))</f>
        <v/>
      </c>
      <c r="V989" s="150" t="str">
        <f>IF(E989="","",IF(C989=1,IF($B989=1,Input!$C$33,Input!$C$34),0))</f>
        <v/>
      </c>
      <c r="W989" s="156" t="str">
        <f>IF($E989="","",Input!$C$35)</f>
        <v/>
      </c>
      <c r="X989" s="156" t="str">
        <f t="shared" si="631"/>
        <v/>
      </c>
      <c r="Y989" s="154"/>
      <c r="Z989" s="147" t="str">
        <f>IF($E989="","",VLOOKUP($D989,'Mortality Margins &amp; Grading'!$AB$5:$AF$125,3,0)*IF(Summary!$D$25="Included Margin",IF(AND($B989&gt;Input!$C$9,Summary!$D$31&lt;&gt;"Included Margin"),0,1),0))</f>
        <v/>
      </c>
      <c r="AA989" s="147" t="str">
        <f>IF($E989="","",VLOOKUP($D989,'Mortality Margins &amp; Grading'!$AB$5:$AF$125,5,0)*IF(Summary!$D$25="Included Margin",IF(AND($B989&gt;Input!$C$9,Summary!$D$31&lt;&gt;"Included Margin"),0,1),0))</f>
        <v/>
      </c>
      <c r="AB989" s="147" t="str">
        <f>IF($E989="","",IF(AND($B989&gt;Input!$C$9,Summary!$D$31&lt;&gt;"Included Margin"),1,IF(Summary!$D$25="Included Margin",VLOOKUP($B989,'Mortality Margins &amp; Grading'!$AI$5:$AR$125,MATCH('Mortality Margins &amp; Grading'!$AQ$4,'Mortality Margins &amp; Grading'!$AI$4:$AR$4,0),0),1)))</f>
        <v/>
      </c>
      <c r="AC989" s="154"/>
      <c r="AD989" s="158" t="str">
        <f>IF(E989="","",Input!$C$48*IF(Summary!$D$30="Included Margin",IF(AND($B989&gt;Input!$C$9,Summary!$D$31&lt;&gt;"Included Margin"),0,1),0))</f>
        <v/>
      </c>
      <c r="AE989" s="159" t="str">
        <f>IF(E989="","",IF(Summary!$D$26="Included Margin",IF(AND($B989&gt;Input!$C$9,Summary!$D$31&lt;&gt;"Included Margin"),1,1/$R989),1))</f>
        <v/>
      </c>
      <c r="AF989" s="160" t="str">
        <f>IF(E989="","",IF(AND($B989&gt;=Input!$C$9,$C989=12,Summary!$D$31="Included Margin",$U989&gt;0),1/U989-1,IF($B989&gt;=Input!$C$9,0,Input!$C$45*IF(Summary!$D$27="Included Margin",1,0))))</f>
        <v/>
      </c>
      <c r="AG989" s="160" t="str">
        <f>IF(E989="","",Input!$C$46*IF(Summary!$D$28="Included Margin",IF(AND($B989&gt;Input!$C$9,Summary!$D$31&lt;&gt;"Included Margin"),0,1),0))</f>
        <v/>
      </c>
      <c r="AH989" s="158" t="str">
        <f>IF(E989="","",Input!$C$47*IF(Summary!$D$29="Included Margin",IF(AND($B989&gt;Input!$C$9,Summary!$D$31&lt;&gt;"Included Margin"),0,1),0))</f>
        <v/>
      </c>
      <c r="AI989" s="154"/>
      <c r="AJ989" s="158" t="str">
        <f t="shared" si="647"/>
        <v/>
      </c>
      <c r="AK989" s="155" t="str">
        <f t="shared" si="648"/>
        <v/>
      </c>
      <c r="AL989" s="147" t="str">
        <f t="shared" si="649"/>
        <v/>
      </c>
      <c r="AM989" s="147" t="str">
        <f t="shared" si="634"/>
        <v/>
      </c>
      <c r="AN989" s="160" t="str">
        <f t="shared" si="650"/>
        <v/>
      </c>
      <c r="AO989" s="161" t="str">
        <f t="shared" si="651"/>
        <v/>
      </c>
      <c r="AP989" s="156" t="str">
        <f t="shared" si="635"/>
        <v/>
      </c>
      <c r="AQ989" s="152"/>
      <c r="AR989" s="162" t="str">
        <f t="shared" si="636"/>
        <v/>
      </c>
      <c r="AS989" s="150" t="str">
        <f t="shared" si="652"/>
        <v/>
      </c>
      <c r="AT989" s="163" t="str">
        <f t="shared" si="637"/>
        <v/>
      </c>
      <c r="AU989" s="163" t="str">
        <f t="shared" si="638"/>
        <v/>
      </c>
      <c r="AV989" s="163" t="str">
        <f t="shared" si="653"/>
        <v/>
      </c>
      <c r="AW989" s="163" t="str">
        <f t="shared" si="639"/>
        <v/>
      </c>
      <c r="AX989" s="163" t="str">
        <f t="shared" si="640"/>
        <v/>
      </c>
      <c r="AY989" s="164" t="str">
        <f t="shared" si="654"/>
        <v/>
      </c>
      <c r="AZ989" s="164" t="str">
        <f>IF($E989="","",IF(OR(AND($D989=Input!$C$6,$C989=12),$AN989=1),0,-AS990+AT990+AU990-AV990-AW990-AX990+AZ990))</f>
        <v/>
      </c>
      <c r="BA989" s="154" t="str">
        <f t="shared" si="641"/>
        <v/>
      </c>
      <c r="BC989" s="147" t="str">
        <f t="shared" si="655"/>
        <v/>
      </c>
      <c r="BD989" s="164" t="str">
        <f>IF(AND($C988=12,$D988=Input!$C$6),0,IF($E989="","",AT989+(AU989+BD990)/(1+$AK989)*MIN((1-AM989-AN989),1)))</f>
        <v/>
      </c>
      <c r="BE989" s="164" t="str">
        <f t="shared" si="670"/>
        <v/>
      </c>
      <c r="BF989" s="164" t="str">
        <f t="shared" si="656"/>
        <v/>
      </c>
      <c r="BG989" s="164" t="str">
        <f t="shared" si="642"/>
        <v/>
      </c>
      <c r="BH989" s="152"/>
      <c r="BI989" s="162" t="str">
        <f t="shared" si="664"/>
        <v/>
      </c>
      <c r="BJ989" s="150" t="str">
        <f t="shared" si="665"/>
        <v/>
      </c>
      <c r="BK989" s="163" t="str">
        <f t="shared" si="661"/>
        <v/>
      </c>
      <c r="BL989" s="163" t="str">
        <f t="shared" si="666"/>
        <v/>
      </c>
      <c r="BM989" s="163" t="str">
        <f t="shared" si="662"/>
        <v/>
      </c>
      <c r="BN989" s="163" t="str">
        <f t="shared" si="667"/>
        <v/>
      </c>
      <c r="BO989" s="163" t="str">
        <f t="shared" si="668"/>
        <v/>
      </c>
      <c r="BP989" s="164" t="str">
        <f t="shared" si="663"/>
        <v/>
      </c>
      <c r="BQ989" s="164" t="str">
        <f t="shared" si="657"/>
        <v/>
      </c>
      <c r="BR989" s="154" t="str">
        <f t="shared" si="669"/>
        <v/>
      </c>
      <c r="BT989" s="147" t="str">
        <f t="shared" si="643"/>
        <v/>
      </c>
      <c r="BU989" s="164" t="str">
        <f>IF(AND($C988=12,$D988=Input!$C$6),0,IF($E989="","",BK989+(BL989+BU990)/(1+$AK989)*MIN((1-T989-U989),1)))</f>
        <v/>
      </c>
      <c r="BV989" s="164" t="str">
        <f t="shared" si="644"/>
        <v/>
      </c>
      <c r="BW989" s="164" t="str">
        <f t="shared" si="645"/>
        <v/>
      </c>
      <c r="BX989" s="164" t="str">
        <f t="shared" si="646"/>
        <v/>
      </c>
    </row>
    <row r="990" spans="1:76" s="150" customFormat="1" x14ac:dyDescent="0.25">
      <c r="A990" s="150" t="str">
        <f t="shared" si="658"/>
        <v/>
      </c>
      <c r="B990" s="150" t="str">
        <f t="shared" si="659"/>
        <v/>
      </c>
      <c r="C990" s="150" t="str">
        <f t="shared" si="660"/>
        <v/>
      </c>
      <c r="D990" s="150" t="str">
        <f>IF(E990="","",Input!$C$4+B990-1)</f>
        <v/>
      </c>
      <c r="E990" s="150" t="str">
        <f>IF(OR(AND(C989=12,D989=Input!$C$6),E989=""),"",1)</f>
        <v/>
      </c>
      <c r="F990" s="150" t="str">
        <f>IF(E990="","",Input!$C$8+B990-1)</f>
        <v/>
      </c>
      <c r="G990" s="151" t="str">
        <f>IF(E990="","",MAX(0,Input!$C$9-B990))</f>
        <v/>
      </c>
      <c r="H990" s="152" t="str">
        <f>IF(E990="","",Input!$C$3)</f>
        <v/>
      </c>
      <c r="I990" s="153" t="str">
        <f>IF(E990="","",HLOOKUP($B990,Input!$C$13:$BT$14,2))</f>
        <v/>
      </c>
      <c r="J990" s="154"/>
      <c r="K990" s="155" t="str">
        <f>IF($E990="","",INDEX(Input!$C$16:$CP$16,1,$B990))</f>
        <v/>
      </c>
      <c r="L990" s="155" t="str">
        <f>IF($E990="","",Input!$C$37)</f>
        <v/>
      </c>
      <c r="M990" s="155" t="str">
        <f t="shared" si="629"/>
        <v/>
      </c>
      <c r="N990" s="155" t="str">
        <f t="shared" si="630"/>
        <v/>
      </c>
      <c r="O990" s="147" t="str">
        <f>IF($E990="","",MIN(VLOOKUP(IF($B990&lt;=Input!$C$7,$B990,26),'Mortality Tables'!$A$41:$CW$67,IF($B990&lt;=Input!$C$7+1,Input!$C$4+2,$D990-Input!$C$7+2),0)*IF(B990&gt;20,Input!$C$22,1)/1000,1))</f>
        <v/>
      </c>
      <c r="P990" s="147" t="str">
        <f>IF($E990="","",MIN(VLOOKUP(IF($B990&lt;=Input!$C$7,$B990,26),'Mortality Tables'!$A$12:$CW$37,IF($B990&lt;=Input!$C$7+1,Input!$C$4+2,$D990-Input!$C$7+2),0)*IF(B990&gt;20,Input!$C$22,1)/1000,1))</f>
        <v/>
      </c>
      <c r="Q990" s="155" t="str">
        <f>IF($E990="","",Input!$C$21)</f>
        <v/>
      </c>
      <c r="R990" s="159" t="str">
        <f>IF($E990="","",(1-Q990)^($F990-Input!$C$20))</f>
        <v/>
      </c>
      <c r="S990" s="147" t="str">
        <f t="shared" si="632"/>
        <v/>
      </c>
      <c r="T990" s="147" t="str">
        <f t="shared" si="633"/>
        <v/>
      </c>
      <c r="U990" s="160" t="str">
        <f>IF($E990="","",IF($C990=12,INDEX(Input!$C$15:$CP$15,1,$B990),0))</f>
        <v/>
      </c>
      <c r="V990" s="150" t="str">
        <f>IF(E990="","",IF(C990=1,IF($B990=1,Input!$C$33,Input!$C$34),0))</f>
        <v/>
      </c>
      <c r="W990" s="156" t="str">
        <f>IF($E990="","",Input!$C$35)</f>
        <v/>
      </c>
      <c r="X990" s="156" t="str">
        <f t="shared" si="631"/>
        <v/>
      </c>
      <c r="Y990" s="154"/>
      <c r="Z990" s="147" t="str">
        <f>IF($E990="","",VLOOKUP($D990,'Mortality Margins &amp; Grading'!$AB$5:$AF$125,3,0)*IF(Summary!$D$25="Included Margin",IF(AND($B990&gt;Input!$C$9,Summary!$D$31&lt;&gt;"Included Margin"),0,1),0))</f>
        <v/>
      </c>
      <c r="AA990" s="147" t="str">
        <f>IF($E990="","",VLOOKUP($D990,'Mortality Margins &amp; Grading'!$AB$5:$AF$125,5,0)*IF(Summary!$D$25="Included Margin",IF(AND($B990&gt;Input!$C$9,Summary!$D$31&lt;&gt;"Included Margin"),0,1),0))</f>
        <v/>
      </c>
      <c r="AB990" s="147" t="str">
        <f>IF($E990="","",IF(AND($B990&gt;Input!$C$9,Summary!$D$31&lt;&gt;"Included Margin"),1,IF(Summary!$D$25="Included Margin",VLOOKUP($B990,'Mortality Margins &amp; Grading'!$AI$5:$AR$125,MATCH('Mortality Margins &amp; Grading'!$AQ$4,'Mortality Margins &amp; Grading'!$AI$4:$AR$4,0),0),1)))</f>
        <v/>
      </c>
      <c r="AC990" s="154"/>
      <c r="AD990" s="158" t="str">
        <f>IF(E990="","",Input!$C$48*IF(Summary!$D$30="Included Margin",IF(AND($B990&gt;Input!$C$9,Summary!$D$31&lt;&gt;"Included Margin"),0,1),0))</f>
        <v/>
      </c>
      <c r="AE990" s="159" t="str">
        <f>IF(E990="","",IF(Summary!$D$26="Included Margin",IF(AND($B990&gt;Input!$C$9,Summary!$D$31&lt;&gt;"Included Margin"),1,1/$R990),1))</f>
        <v/>
      </c>
      <c r="AF990" s="160" t="str">
        <f>IF(E990="","",IF(AND($B990&gt;=Input!$C$9,$C990=12,Summary!$D$31="Included Margin",$U990&gt;0),1/U990-1,IF($B990&gt;=Input!$C$9,0,Input!$C$45*IF(Summary!$D$27="Included Margin",1,0))))</f>
        <v/>
      </c>
      <c r="AG990" s="160" t="str">
        <f>IF(E990="","",Input!$C$46*IF(Summary!$D$28="Included Margin",IF(AND($B990&gt;Input!$C$9,Summary!$D$31&lt;&gt;"Included Margin"),0,1),0))</f>
        <v/>
      </c>
      <c r="AH990" s="158" t="str">
        <f>IF(E990="","",Input!$C$47*IF(Summary!$D$29="Included Margin",IF(AND($B990&gt;Input!$C$9,Summary!$D$31&lt;&gt;"Included Margin"),0,1),0))</f>
        <v/>
      </c>
      <c r="AI990" s="154"/>
      <c r="AJ990" s="158" t="str">
        <f t="shared" si="647"/>
        <v/>
      </c>
      <c r="AK990" s="155" t="str">
        <f t="shared" si="648"/>
        <v/>
      </c>
      <c r="AL990" s="147" t="str">
        <f t="shared" si="649"/>
        <v/>
      </c>
      <c r="AM990" s="147" t="str">
        <f t="shared" si="634"/>
        <v/>
      </c>
      <c r="AN990" s="160" t="str">
        <f t="shared" si="650"/>
        <v/>
      </c>
      <c r="AO990" s="161" t="str">
        <f t="shared" si="651"/>
        <v/>
      </c>
      <c r="AP990" s="156" t="str">
        <f t="shared" si="635"/>
        <v/>
      </c>
      <c r="AQ990" s="152"/>
      <c r="AR990" s="162" t="str">
        <f t="shared" si="636"/>
        <v/>
      </c>
      <c r="AS990" s="150" t="str">
        <f t="shared" si="652"/>
        <v/>
      </c>
      <c r="AT990" s="163" t="str">
        <f t="shared" si="637"/>
        <v/>
      </c>
      <c r="AU990" s="163" t="str">
        <f t="shared" si="638"/>
        <v/>
      </c>
      <c r="AV990" s="163" t="str">
        <f t="shared" si="653"/>
        <v/>
      </c>
      <c r="AW990" s="163" t="str">
        <f t="shared" si="639"/>
        <v/>
      </c>
      <c r="AX990" s="163" t="str">
        <f t="shared" si="640"/>
        <v/>
      </c>
      <c r="AY990" s="165" t="str">
        <f t="shared" si="654"/>
        <v/>
      </c>
      <c r="AZ990" s="164" t="str">
        <f>IF($E990="","",IF(OR(AND($D990=Input!$C$6,$C990=12),$AN990=1),0,-AS991+AT991+AU991-AV991-AW991-AX991+AZ991))</f>
        <v/>
      </c>
      <c r="BA990" s="154" t="str">
        <f t="shared" si="641"/>
        <v/>
      </c>
      <c r="BC990" s="147" t="str">
        <f t="shared" si="655"/>
        <v/>
      </c>
      <c r="BD990" s="164" t="str">
        <f>IF(AND($C989=12,$D989=Input!$C$6),0,IF($E990="","",AT990+(AU990+BD991)/(1+$AK990)*MIN((1-AM990-AN990),1)))</f>
        <v/>
      </c>
      <c r="BE990" s="164" t="str">
        <f t="shared" si="670"/>
        <v/>
      </c>
      <c r="BF990" s="164" t="str">
        <f t="shared" si="656"/>
        <v/>
      </c>
      <c r="BG990" s="164" t="str">
        <f t="shared" si="642"/>
        <v/>
      </c>
      <c r="BH990" s="152"/>
      <c r="BI990" s="162" t="str">
        <f t="shared" si="664"/>
        <v/>
      </c>
      <c r="BJ990" s="150" t="str">
        <f t="shared" si="665"/>
        <v/>
      </c>
      <c r="BK990" s="163" t="str">
        <f t="shared" si="661"/>
        <v/>
      </c>
      <c r="BL990" s="163" t="str">
        <f t="shared" si="666"/>
        <v/>
      </c>
      <c r="BM990" s="163" t="str">
        <f t="shared" si="662"/>
        <v/>
      </c>
      <c r="BN990" s="163" t="str">
        <f t="shared" si="667"/>
        <v/>
      </c>
      <c r="BO990" s="163" t="str">
        <f t="shared" si="668"/>
        <v/>
      </c>
      <c r="BP990" s="164" t="str">
        <f t="shared" si="663"/>
        <v/>
      </c>
      <c r="BQ990" s="164" t="str">
        <f t="shared" si="657"/>
        <v/>
      </c>
      <c r="BR990" s="154" t="str">
        <f t="shared" si="669"/>
        <v/>
      </c>
      <c r="BT990" s="147" t="str">
        <f t="shared" si="643"/>
        <v/>
      </c>
      <c r="BU990" s="164" t="str">
        <f>IF(AND($C989=12,$D989=Input!$C$6),0,IF($E990="","",BK990+(BL990+BU991)/(1+$AK990)*MIN((1-T990-U990),1)))</f>
        <v/>
      </c>
      <c r="BV990" s="164" t="str">
        <f t="shared" si="644"/>
        <v/>
      </c>
      <c r="BW990" s="164" t="str">
        <f t="shared" si="645"/>
        <v/>
      </c>
      <c r="BX990" s="164" t="str">
        <f t="shared" si="646"/>
        <v/>
      </c>
    </row>
    <row r="991" spans="1:76" s="150" customFormat="1" x14ac:dyDescent="0.25">
      <c r="A991" s="150" t="str">
        <f t="shared" si="658"/>
        <v/>
      </c>
      <c r="B991" s="150" t="str">
        <f t="shared" si="659"/>
        <v/>
      </c>
      <c r="C991" s="150" t="str">
        <f t="shared" si="660"/>
        <v/>
      </c>
      <c r="D991" s="150" t="str">
        <f>IF(E991="","",Input!$C$4+B991-1)</f>
        <v/>
      </c>
      <c r="E991" s="150" t="str">
        <f>IF(OR(AND(C990=12,D990=Input!$C$6),E990=""),"",1)</f>
        <v/>
      </c>
      <c r="F991" s="150" t="str">
        <f>IF(E991="","",Input!$C$8+B991-1)</f>
        <v/>
      </c>
      <c r="G991" s="151" t="str">
        <f>IF(E991="","",MAX(0,Input!$C$9-B991))</f>
        <v/>
      </c>
      <c r="H991" s="152" t="str">
        <f>IF(E991="","",Input!$C$3)</f>
        <v/>
      </c>
      <c r="I991" s="153" t="str">
        <f>IF(E991="","",HLOOKUP($B991,Input!$C$13:$BT$14,2))</f>
        <v/>
      </c>
      <c r="J991" s="154"/>
      <c r="K991" s="155" t="str">
        <f>IF($E991="","",INDEX(Input!$C$16:$CP$16,1,$B991))</f>
        <v/>
      </c>
      <c r="L991" s="155" t="str">
        <f>IF($E991="","",Input!$C$37)</f>
        <v/>
      </c>
      <c r="M991" s="155" t="str">
        <f t="shared" si="629"/>
        <v/>
      </c>
      <c r="N991" s="155" t="str">
        <f t="shared" si="630"/>
        <v/>
      </c>
      <c r="O991" s="147" t="str">
        <f>IF($E991="","",MIN(VLOOKUP(IF($B991&lt;=Input!$C$7,$B991,26),'Mortality Tables'!$A$41:$CW$67,IF($B991&lt;=Input!$C$7+1,Input!$C$4+2,$D991-Input!$C$7+2),0)*IF(B991&gt;20,Input!$C$22,1)/1000,1))</f>
        <v/>
      </c>
      <c r="P991" s="147" t="str">
        <f>IF($E991="","",MIN(VLOOKUP(IF($B991&lt;=Input!$C$7,$B991,26),'Mortality Tables'!$A$12:$CW$37,IF($B991&lt;=Input!$C$7+1,Input!$C$4+2,$D991-Input!$C$7+2),0)*IF(B991&gt;20,Input!$C$22,1)/1000,1))</f>
        <v/>
      </c>
      <c r="Q991" s="155" t="str">
        <f>IF($E991="","",Input!$C$21)</f>
        <v/>
      </c>
      <c r="R991" s="159" t="str">
        <f>IF($E991="","",(1-Q991)^($F991-Input!$C$20))</f>
        <v/>
      </c>
      <c r="S991" s="147" t="str">
        <f t="shared" si="632"/>
        <v/>
      </c>
      <c r="T991" s="147" t="str">
        <f t="shared" si="633"/>
        <v/>
      </c>
      <c r="U991" s="160" t="str">
        <f>IF($E991="","",IF($C991=12,INDEX(Input!$C$15:$CP$15,1,$B991),0))</f>
        <v/>
      </c>
      <c r="V991" s="150" t="str">
        <f>IF(E991="","",IF(C991=1,IF($B991=1,Input!$C$33,Input!$C$34),0))</f>
        <v/>
      </c>
      <c r="W991" s="156" t="str">
        <f>IF($E991="","",Input!$C$35)</f>
        <v/>
      </c>
      <c r="X991" s="156" t="str">
        <f t="shared" si="631"/>
        <v/>
      </c>
      <c r="Y991" s="154"/>
      <c r="Z991" s="147" t="str">
        <f>IF($E991="","",VLOOKUP($D991,'Mortality Margins &amp; Grading'!$AB$5:$AF$125,3,0)*IF(Summary!$D$25="Included Margin",IF(AND($B991&gt;Input!$C$9,Summary!$D$31&lt;&gt;"Included Margin"),0,1),0))</f>
        <v/>
      </c>
      <c r="AA991" s="147" t="str">
        <f>IF($E991="","",VLOOKUP($D991,'Mortality Margins &amp; Grading'!$AB$5:$AF$125,5,0)*IF(Summary!$D$25="Included Margin",IF(AND($B991&gt;Input!$C$9,Summary!$D$31&lt;&gt;"Included Margin"),0,1),0))</f>
        <v/>
      </c>
      <c r="AB991" s="147" t="str">
        <f>IF($E991="","",IF(AND($B991&gt;Input!$C$9,Summary!$D$31&lt;&gt;"Included Margin"),1,IF(Summary!$D$25="Included Margin",VLOOKUP($B991,'Mortality Margins &amp; Grading'!$AI$5:$AR$125,MATCH('Mortality Margins &amp; Grading'!$AQ$4,'Mortality Margins &amp; Grading'!$AI$4:$AR$4,0),0),1)))</f>
        <v/>
      </c>
      <c r="AC991" s="154"/>
      <c r="AD991" s="158" t="str">
        <f>IF(E991="","",Input!$C$48*IF(Summary!$D$30="Included Margin",IF(AND($B991&gt;Input!$C$9,Summary!$D$31&lt;&gt;"Included Margin"),0,1),0))</f>
        <v/>
      </c>
      <c r="AE991" s="159" t="str">
        <f>IF(E991="","",IF(Summary!$D$26="Included Margin",IF(AND($B991&gt;Input!$C$9,Summary!$D$31&lt;&gt;"Included Margin"),1,1/$R991),1))</f>
        <v/>
      </c>
      <c r="AF991" s="160" t="str">
        <f>IF(E991="","",IF(AND($B991&gt;=Input!$C$9,$C991=12,Summary!$D$31="Included Margin",$U991&gt;0),1/U991-1,IF($B991&gt;=Input!$C$9,0,Input!$C$45*IF(Summary!$D$27="Included Margin",1,0))))</f>
        <v/>
      </c>
      <c r="AG991" s="160" t="str">
        <f>IF(E991="","",Input!$C$46*IF(Summary!$D$28="Included Margin",IF(AND($B991&gt;Input!$C$9,Summary!$D$31&lt;&gt;"Included Margin"),0,1),0))</f>
        <v/>
      </c>
      <c r="AH991" s="158" t="str">
        <f>IF(E991="","",Input!$C$47*IF(Summary!$D$29="Included Margin",IF(AND($B991&gt;Input!$C$9,Summary!$D$31&lt;&gt;"Included Margin"),0,1),0))</f>
        <v/>
      </c>
      <c r="AI991" s="154"/>
      <c r="AJ991" s="158" t="str">
        <f t="shared" si="647"/>
        <v/>
      </c>
      <c r="AK991" s="155" t="str">
        <f t="shared" si="648"/>
        <v/>
      </c>
      <c r="AL991" s="147" t="str">
        <f t="shared" si="649"/>
        <v/>
      </c>
      <c r="AM991" s="147" t="str">
        <f t="shared" si="634"/>
        <v/>
      </c>
      <c r="AN991" s="160" t="str">
        <f t="shared" si="650"/>
        <v/>
      </c>
      <c r="AO991" s="161" t="str">
        <f t="shared" si="651"/>
        <v/>
      </c>
      <c r="AP991" s="156" t="str">
        <f t="shared" si="635"/>
        <v/>
      </c>
      <c r="AQ991" s="152"/>
      <c r="AR991" s="162" t="str">
        <f t="shared" si="636"/>
        <v/>
      </c>
      <c r="AS991" s="150" t="str">
        <f t="shared" si="652"/>
        <v/>
      </c>
      <c r="AT991" s="163" t="str">
        <f t="shared" si="637"/>
        <v/>
      </c>
      <c r="AU991" s="163" t="str">
        <f t="shared" si="638"/>
        <v/>
      </c>
      <c r="AV991" s="163" t="str">
        <f t="shared" si="653"/>
        <v/>
      </c>
      <c r="AW991" s="163" t="str">
        <f t="shared" si="639"/>
        <v/>
      </c>
      <c r="AX991" s="163" t="str">
        <f t="shared" si="640"/>
        <v/>
      </c>
      <c r="AY991" s="164" t="str">
        <f t="shared" si="654"/>
        <v/>
      </c>
      <c r="AZ991" s="164" t="str">
        <f>IF($E991="","",IF(OR(AND($D991=Input!$C$6,$C991=12),$AN991=1),0,-AS992+AT992+AU992-AV992-AW992-AX992+AZ992))</f>
        <v/>
      </c>
      <c r="BA991" s="154" t="str">
        <f t="shared" si="641"/>
        <v/>
      </c>
      <c r="BC991" s="147" t="str">
        <f t="shared" si="655"/>
        <v/>
      </c>
      <c r="BD991" s="164" t="str">
        <f>IF(AND($C990=12,$D990=Input!$C$6),0,IF($E991="","",AT991+(AU991+BD992)/(1+$AK991)*MIN((1-AM991-AN991),1)))</f>
        <v/>
      </c>
      <c r="BE991" s="164" t="str">
        <f t="shared" si="670"/>
        <v/>
      </c>
      <c r="BF991" s="164" t="str">
        <f t="shared" si="656"/>
        <v/>
      </c>
      <c r="BG991" s="164" t="str">
        <f t="shared" si="642"/>
        <v/>
      </c>
      <c r="BH991" s="152"/>
      <c r="BI991" s="162" t="str">
        <f t="shared" si="664"/>
        <v/>
      </c>
      <c r="BJ991" s="150" t="str">
        <f t="shared" si="665"/>
        <v/>
      </c>
      <c r="BK991" s="163" t="str">
        <f t="shared" si="661"/>
        <v/>
      </c>
      <c r="BL991" s="163" t="str">
        <f t="shared" si="666"/>
        <v/>
      </c>
      <c r="BM991" s="163" t="str">
        <f t="shared" si="662"/>
        <v/>
      </c>
      <c r="BN991" s="163" t="str">
        <f t="shared" si="667"/>
        <v/>
      </c>
      <c r="BO991" s="163" t="str">
        <f t="shared" si="668"/>
        <v/>
      </c>
      <c r="BP991" s="164" t="str">
        <f t="shared" si="663"/>
        <v/>
      </c>
      <c r="BQ991" s="164" t="str">
        <f t="shared" si="657"/>
        <v/>
      </c>
      <c r="BR991" s="154" t="str">
        <f t="shared" si="669"/>
        <v/>
      </c>
      <c r="BT991" s="147" t="str">
        <f t="shared" si="643"/>
        <v/>
      </c>
      <c r="BU991" s="164" t="str">
        <f>IF(AND($C990=12,$D990=Input!$C$6),0,IF($E991="","",BK991+(BL991+BU992)/(1+$AK991)*MIN((1-T991-U991),1)))</f>
        <v/>
      </c>
      <c r="BV991" s="164" t="str">
        <f t="shared" si="644"/>
        <v/>
      </c>
      <c r="BW991" s="164" t="str">
        <f t="shared" si="645"/>
        <v/>
      </c>
      <c r="BX991" s="164" t="str">
        <f t="shared" si="646"/>
        <v/>
      </c>
    </row>
    <row r="992" spans="1:76" s="150" customFormat="1" x14ac:dyDescent="0.25">
      <c r="A992" s="150" t="str">
        <f t="shared" si="658"/>
        <v/>
      </c>
      <c r="B992" s="150" t="str">
        <f t="shared" si="659"/>
        <v/>
      </c>
      <c r="C992" s="150" t="str">
        <f t="shared" si="660"/>
        <v/>
      </c>
      <c r="D992" s="150" t="str">
        <f>IF(E992="","",Input!$C$4+B992-1)</f>
        <v/>
      </c>
      <c r="E992" s="150" t="str">
        <f>IF(OR(AND(C991=12,D991=Input!$C$6),E991=""),"",1)</f>
        <v/>
      </c>
      <c r="F992" s="150" t="str">
        <f>IF(E992="","",Input!$C$8+B992-1)</f>
        <v/>
      </c>
      <c r="G992" s="151" t="str">
        <f>IF(E992="","",MAX(0,Input!$C$9-B992))</f>
        <v/>
      </c>
      <c r="H992" s="152" t="str">
        <f>IF(E992="","",Input!$C$3)</f>
        <v/>
      </c>
      <c r="I992" s="153" t="str">
        <f>IF(E992="","",HLOOKUP($B992,Input!$C$13:$BT$14,2))</f>
        <v/>
      </c>
      <c r="J992" s="154"/>
      <c r="K992" s="155" t="str">
        <f>IF($E992="","",INDEX(Input!$C$16:$CP$16,1,$B992))</f>
        <v/>
      </c>
      <c r="L992" s="155" t="str">
        <f>IF($E992="","",Input!$C$37)</f>
        <v/>
      </c>
      <c r="M992" s="155" t="str">
        <f t="shared" si="629"/>
        <v/>
      </c>
      <c r="N992" s="155" t="str">
        <f t="shared" si="630"/>
        <v/>
      </c>
      <c r="O992" s="147" t="str">
        <f>IF($E992="","",MIN(VLOOKUP(IF($B992&lt;=Input!$C$7,$B992,26),'Mortality Tables'!$A$41:$CW$67,IF($B992&lt;=Input!$C$7+1,Input!$C$4+2,$D992-Input!$C$7+2),0)*IF(B992&gt;20,Input!$C$22,1)/1000,1))</f>
        <v/>
      </c>
      <c r="P992" s="147" t="str">
        <f>IF($E992="","",MIN(VLOOKUP(IF($B992&lt;=Input!$C$7,$B992,26),'Mortality Tables'!$A$12:$CW$37,IF($B992&lt;=Input!$C$7+1,Input!$C$4+2,$D992-Input!$C$7+2),0)*IF(B992&gt;20,Input!$C$22,1)/1000,1))</f>
        <v/>
      </c>
      <c r="Q992" s="155" t="str">
        <f>IF($E992="","",Input!$C$21)</f>
        <v/>
      </c>
      <c r="R992" s="159" t="str">
        <f>IF($E992="","",(1-Q992)^($F992-Input!$C$20))</f>
        <v/>
      </c>
      <c r="S992" s="147" t="str">
        <f t="shared" si="632"/>
        <v/>
      </c>
      <c r="T992" s="147" t="str">
        <f t="shared" si="633"/>
        <v/>
      </c>
      <c r="U992" s="160" t="str">
        <f>IF($E992="","",IF($C992=12,INDEX(Input!$C$15:$CP$15,1,$B992),0))</f>
        <v/>
      </c>
      <c r="V992" s="150" t="str">
        <f>IF(E992="","",IF(C992=1,IF($B992=1,Input!$C$33,Input!$C$34),0))</f>
        <v/>
      </c>
      <c r="W992" s="156" t="str">
        <f>IF($E992="","",Input!$C$35)</f>
        <v/>
      </c>
      <c r="X992" s="156" t="str">
        <f t="shared" si="631"/>
        <v/>
      </c>
      <c r="Y992" s="154"/>
      <c r="Z992" s="147" t="str">
        <f>IF($E992="","",VLOOKUP($D992,'Mortality Margins &amp; Grading'!$AB$5:$AF$125,3,0)*IF(Summary!$D$25="Included Margin",IF(AND($B992&gt;Input!$C$9,Summary!$D$31&lt;&gt;"Included Margin"),0,1),0))</f>
        <v/>
      </c>
      <c r="AA992" s="147" t="str">
        <f>IF($E992="","",VLOOKUP($D992,'Mortality Margins &amp; Grading'!$AB$5:$AF$125,5,0)*IF(Summary!$D$25="Included Margin",IF(AND($B992&gt;Input!$C$9,Summary!$D$31&lt;&gt;"Included Margin"),0,1),0))</f>
        <v/>
      </c>
      <c r="AB992" s="147" t="str">
        <f>IF($E992="","",IF(AND($B992&gt;Input!$C$9,Summary!$D$31&lt;&gt;"Included Margin"),1,IF(Summary!$D$25="Included Margin",VLOOKUP($B992,'Mortality Margins &amp; Grading'!$AI$5:$AR$125,MATCH('Mortality Margins &amp; Grading'!$AQ$4,'Mortality Margins &amp; Grading'!$AI$4:$AR$4,0),0),1)))</f>
        <v/>
      </c>
      <c r="AC992" s="154"/>
      <c r="AD992" s="158" t="str">
        <f>IF(E992="","",Input!$C$48*IF(Summary!$D$30="Included Margin",IF(AND($B992&gt;Input!$C$9,Summary!$D$31&lt;&gt;"Included Margin"),0,1),0))</f>
        <v/>
      </c>
      <c r="AE992" s="159" t="str">
        <f>IF(E992="","",IF(Summary!$D$26="Included Margin",IF(AND($B992&gt;Input!$C$9,Summary!$D$31&lt;&gt;"Included Margin"),1,1/$R992),1))</f>
        <v/>
      </c>
      <c r="AF992" s="160" t="str">
        <f>IF(E992="","",IF(AND($B992&gt;=Input!$C$9,$C992=12,Summary!$D$31="Included Margin",$U992&gt;0),1/U992-1,IF($B992&gt;=Input!$C$9,0,Input!$C$45*IF(Summary!$D$27="Included Margin",1,0))))</f>
        <v/>
      </c>
      <c r="AG992" s="160" t="str">
        <f>IF(E992="","",Input!$C$46*IF(Summary!$D$28="Included Margin",IF(AND($B992&gt;Input!$C$9,Summary!$D$31&lt;&gt;"Included Margin"),0,1),0))</f>
        <v/>
      </c>
      <c r="AH992" s="158" t="str">
        <f>IF(E992="","",Input!$C$47*IF(Summary!$D$29="Included Margin",IF(AND($B992&gt;Input!$C$9,Summary!$D$31&lt;&gt;"Included Margin"),0,1),0))</f>
        <v/>
      </c>
      <c r="AI992" s="154"/>
      <c r="AJ992" s="158" t="str">
        <f t="shared" si="647"/>
        <v/>
      </c>
      <c r="AK992" s="155" t="str">
        <f t="shared" si="648"/>
        <v/>
      </c>
      <c r="AL992" s="147" t="str">
        <f t="shared" si="649"/>
        <v/>
      </c>
      <c r="AM992" s="147" t="str">
        <f t="shared" si="634"/>
        <v/>
      </c>
      <c r="AN992" s="160" t="str">
        <f t="shared" si="650"/>
        <v/>
      </c>
      <c r="AO992" s="161" t="str">
        <f t="shared" si="651"/>
        <v/>
      </c>
      <c r="AP992" s="156" t="str">
        <f t="shared" si="635"/>
        <v/>
      </c>
      <c r="AQ992" s="152"/>
      <c r="AR992" s="162" t="str">
        <f t="shared" si="636"/>
        <v/>
      </c>
      <c r="AS992" s="150" t="str">
        <f t="shared" si="652"/>
        <v/>
      </c>
      <c r="AT992" s="163" t="str">
        <f t="shared" si="637"/>
        <v/>
      </c>
      <c r="AU992" s="163" t="str">
        <f t="shared" si="638"/>
        <v/>
      </c>
      <c r="AV992" s="163" t="str">
        <f t="shared" si="653"/>
        <v/>
      </c>
      <c r="AW992" s="163" t="str">
        <f t="shared" si="639"/>
        <v/>
      </c>
      <c r="AX992" s="163" t="str">
        <f t="shared" si="640"/>
        <v/>
      </c>
      <c r="AY992" s="165" t="str">
        <f t="shared" si="654"/>
        <v/>
      </c>
      <c r="AZ992" s="164" t="str">
        <f>IF($E992="","",IF(OR(AND($D992=Input!$C$6,$C992=12),$AN992=1),0,-AS993+AT993+AU993-AV993-AW993-AX993+AZ993))</f>
        <v/>
      </c>
      <c r="BA992" s="154" t="str">
        <f t="shared" si="641"/>
        <v/>
      </c>
      <c r="BC992" s="147" t="str">
        <f t="shared" si="655"/>
        <v/>
      </c>
      <c r="BD992" s="164" t="str">
        <f>IF(AND($C991=12,$D991=Input!$C$6),0,IF($E992="","",AT992+(AU992+BD993)/(1+$AK992)*MIN((1-AM992-AN992),1)))</f>
        <v/>
      </c>
      <c r="BE992" s="164" t="str">
        <f t="shared" si="670"/>
        <v/>
      </c>
      <c r="BF992" s="164" t="str">
        <f t="shared" si="656"/>
        <v/>
      </c>
      <c r="BG992" s="164" t="str">
        <f t="shared" si="642"/>
        <v/>
      </c>
      <c r="BH992" s="152"/>
      <c r="BI992" s="162" t="str">
        <f t="shared" si="664"/>
        <v/>
      </c>
      <c r="BJ992" s="150" t="str">
        <f t="shared" si="665"/>
        <v/>
      </c>
      <c r="BK992" s="163" t="str">
        <f t="shared" si="661"/>
        <v/>
      </c>
      <c r="BL992" s="163" t="str">
        <f t="shared" si="666"/>
        <v/>
      </c>
      <c r="BM992" s="163" t="str">
        <f t="shared" si="662"/>
        <v/>
      </c>
      <c r="BN992" s="163" t="str">
        <f t="shared" si="667"/>
        <v/>
      </c>
      <c r="BO992" s="163" t="str">
        <f t="shared" si="668"/>
        <v/>
      </c>
      <c r="BP992" s="164" t="str">
        <f t="shared" si="663"/>
        <v/>
      </c>
      <c r="BQ992" s="164" t="str">
        <f t="shared" si="657"/>
        <v/>
      </c>
      <c r="BR992" s="154" t="str">
        <f t="shared" si="669"/>
        <v/>
      </c>
      <c r="BT992" s="147" t="str">
        <f t="shared" si="643"/>
        <v/>
      </c>
      <c r="BU992" s="164" t="str">
        <f>IF(AND($C991=12,$D991=Input!$C$6),0,IF($E992="","",BK992+(BL992+BU993)/(1+$AK992)*MIN((1-T992-U992),1)))</f>
        <v/>
      </c>
      <c r="BV992" s="164" t="str">
        <f t="shared" si="644"/>
        <v/>
      </c>
      <c r="BW992" s="164" t="str">
        <f t="shared" si="645"/>
        <v/>
      </c>
      <c r="BX992" s="164" t="str">
        <f t="shared" si="646"/>
        <v/>
      </c>
    </row>
    <row r="993" spans="1:76" s="150" customFormat="1" x14ac:dyDescent="0.25">
      <c r="A993" s="150" t="str">
        <f t="shared" si="658"/>
        <v/>
      </c>
      <c r="B993" s="150" t="str">
        <f t="shared" si="659"/>
        <v/>
      </c>
      <c r="C993" s="150" t="str">
        <f t="shared" si="660"/>
        <v/>
      </c>
      <c r="D993" s="150" t="str">
        <f>IF(E993="","",Input!$C$4+B993-1)</f>
        <v/>
      </c>
      <c r="E993" s="150" t="str">
        <f>IF(OR(AND(C992=12,D992=Input!$C$6),E992=""),"",1)</f>
        <v/>
      </c>
      <c r="F993" s="150" t="str">
        <f>IF(E993="","",Input!$C$8+B993-1)</f>
        <v/>
      </c>
      <c r="G993" s="151" t="str">
        <f>IF(E993="","",MAX(0,Input!$C$9-B993))</f>
        <v/>
      </c>
      <c r="H993" s="152" t="str">
        <f>IF(E993="","",Input!$C$3)</f>
        <v/>
      </c>
      <c r="I993" s="153" t="str">
        <f>IF(E993="","",HLOOKUP($B993,Input!$C$13:$BT$14,2))</f>
        <v/>
      </c>
      <c r="J993" s="154"/>
      <c r="K993" s="155" t="str">
        <f>IF($E993="","",INDEX(Input!$C$16:$CP$16,1,$B993))</f>
        <v/>
      </c>
      <c r="L993" s="155" t="str">
        <f>IF($E993="","",Input!$C$37)</f>
        <v/>
      </c>
      <c r="M993" s="155" t="str">
        <f t="shared" si="629"/>
        <v/>
      </c>
      <c r="N993" s="155" t="str">
        <f t="shared" si="630"/>
        <v/>
      </c>
      <c r="O993" s="147" t="str">
        <f>IF($E993="","",MIN(VLOOKUP(IF($B993&lt;=Input!$C$7,$B993,26),'Mortality Tables'!$A$41:$CW$67,IF($B993&lt;=Input!$C$7+1,Input!$C$4+2,$D993-Input!$C$7+2),0)*IF(B993&gt;20,Input!$C$22,1)/1000,1))</f>
        <v/>
      </c>
      <c r="P993" s="147" t="str">
        <f>IF($E993="","",MIN(VLOOKUP(IF($B993&lt;=Input!$C$7,$B993,26),'Mortality Tables'!$A$12:$CW$37,IF($B993&lt;=Input!$C$7+1,Input!$C$4+2,$D993-Input!$C$7+2),0)*IF(B993&gt;20,Input!$C$22,1)/1000,1))</f>
        <v/>
      </c>
      <c r="Q993" s="155" t="str">
        <f>IF($E993="","",Input!$C$21)</f>
        <v/>
      </c>
      <c r="R993" s="159" t="str">
        <f>IF($E993="","",(1-Q993)^($F993-Input!$C$20))</f>
        <v/>
      </c>
      <c r="S993" s="147" t="str">
        <f t="shared" si="632"/>
        <v/>
      </c>
      <c r="T993" s="147" t="str">
        <f t="shared" si="633"/>
        <v/>
      </c>
      <c r="U993" s="160" t="str">
        <f>IF($E993="","",IF($C993=12,INDEX(Input!$C$15:$CP$15,1,$B993),0))</f>
        <v/>
      </c>
      <c r="V993" s="150" t="str">
        <f>IF(E993="","",IF(C993=1,IF($B993=1,Input!$C$33,Input!$C$34),0))</f>
        <v/>
      </c>
      <c r="W993" s="156" t="str">
        <f>IF($E993="","",Input!$C$35)</f>
        <v/>
      </c>
      <c r="X993" s="156" t="str">
        <f t="shared" si="631"/>
        <v/>
      </c>
      <c r="Y993" s="154"/>
      <c r="Z993" s="147" t="str">
        <f>IF($E993="","",VLOOKUP($D993,'Mortality Margins &amp; Grading'!$AB$5:$AF$125,3,0)*IF(Summary!$D$25="Included Margin",IF(AND($B993&gt;Input!$C$9,Summary!$D$31&lt;&gt;"Included Margin"),0,1),0))</f>
        <v/>
      </c>
      <c r="AA993" s="147" t="str">
        <f>IF($E993="","",VLOOKUP($D993,'Mortality Margins &amp; Grading'!$AB$5:$AF$125,5,0)*IF(Summary!$D$25="Included Margin",IF(AND($B993&gt;Input!$C$9,Summary!$D$31&lt;&gt;"Included Margin"),0,1),0))</f>
        <v/>
      </c>
      <c r="AB993" s="147" t="str">
        <f>IF($E993="","",IF(AND($B993&gt;Input!$C$9,Summary!$D$31&lt;&gt;"Included Margin"),1,IF(Summary!$D$25="Included Margin",VLOOKUP($B993,'Mortality Margins &amp; Grading'!$AI$5:$AR$125,MATCH('Mortality Margins &amp; Grading'!$AQ$4,'Mortality Margins &amp; Grading'!$AI$4:$AR$4,0),0),1)))</f>
        <v/>
      </c>
      <c r="AC993" s="154"/>
      <c r="AD993" s="158" t="str">
        <f>IF(E993="","",Input!$C$48*IF(Summary!$D$30="Included Margin",IF(AND($B993&gt;Input!$C$9,Summary!$D$31&lt;&gt;"Included Margin"),0,1),0))</f>
        <v/>
      </c>
      <c r="AE993" s="159" t="str">
        <f>IF(E993="","",IF(Summary!$D$26="Included Margin",IF(AND($B993&gt;Input!$C$9,Summary!$D$31&lt;&gt;"Included Margin"),1,1/$R993),1))</f>
        <v/>
      </c>
      <c r="AF993" s="160" t="str">
        <f>IF(E993="","",IF(AND($B993&gt;=Input!$C$9,$C993=12,Summary!$D$31="Included Margin",$U993&gt;0),1/U993-1,IF($B993&gt;=Input!$C$9,0,Input!$C$45*IF(Summary!$D$27="Included Margin",1,0))))</f>
        <v/>
      </c>
      <c r="AG993" s="160" t="str">
        <f>IF(E993="","",Input!$C$46*IF(Summary!$D$28="Included Margin",IF(AND($B993&gt;Input!$C$9,Summary!$D$31&lt;&gt;"Included Margin"),0,1),0))</f>
        <v/>
      </c>
      <c r="AH993" s="158" t="str">
        <f>IF(E993="","",Input!$C$47*IF(Summary!$D$29="Included Margin",IF(AND($B993&gt;Input!$C$9,Summary!$D$31&lt;&gt;"Included Margin"),0,1),0))</f>
        <v/>
      </c>
      <c r="AI993" s="154"/>
      <c r="AJ993" s="158" t="str">
        <f t="shared" si="647"/>
        <v/>
      </c>
      <c r="AK993" s="155" t="str">
        <f t="shared" si="648"/>
        <v/>
      </c>
      <c r="AL993" s="147" t="str">
        <f t="shared" si="649"/>
        <v/>
      </c>
      <c r="AM993" s="147" t="str">
        <f t="shared" si="634"/>
        <v/>
      </c>
      <c r="AN993" s="160" t="str">
        <f t="shared" si="650"/>
        <v/>
      </c>
      <c r="AO993" s="161" t="str">
        <f t="shared" si="651"/>
        <v/>
      </c>
      <c r="AP993" s="156" t="str">
        <f t="shared" si="635"/>
        <v/>
      </c>
      <c r="AQ993" s="152"/>
      <c r="AR993" s="162" t="str">
        <f t="shared" si="636"/>
        <v/>
      </c>
      <c r="AS993" s="150" t="str">
        <f t="shared" si="652"/>
        <v/>
      </c>
      <c r="AT993" s="163" t="str">
        <f t="shared" si="637"/>
        <v/>
      </c>
      <c r="AU993" s="163" t="str">
        <f t="shared" si="638"/>
        <v/>
      </c>
      <c r="AV993" s="163" t="str">
        <f t="shared" si="653"/>
        <v/>
      </c>
      <c r="AW993" s="163" t="str">
        <f t="shared" si="639"/>
        <v/>
      </c>
      <c r="AX993" s="163" t="str">
        <f t="shared" si="640"/>
        <v/>
      </c>
      <c r="AY993" s="164" t="str">
        <f t="shared" si="654"/>
        <v/>
      </c>
      <c r="AZ993" s="164" t="str">
        <f>IF($E993="","",IF(OR(AND($D993=Input!$C$6,$C993=12),$AN993=1),0,-AS994+AT994+AU994-AV994-AW994-AX994+AZ994))</f>
        <v/>
      </c>
      <c r="BA993" s="154" t="str">
        <f t="shared" si="641"/>
        <v/>
      </c>
      <c r="BC993" s="147" t="str">
        <f t="shared" si="655"/>
        <v/>
      </c>
      <c r="BD993" s="164" t="str">
        <f>IF(AND($C992=12,$D992=Input!$C$6),0,IF($E993="","",AT993+(AU993+BD994)/(1+$AK993)*MIN((1-AM993-AN993),1)))</f>
        <v/>
      </c>
      <c r="BE993" s="164" t="str">
        <f t="shared" si="670"/>
        <v/>
      </c>
      <c r="BF993" s="164" t="str">
        <f t="shared" si="656"/>
        <v/>
      </c>
      <c r="BG993" s="164" t="str">
        <f t="shared" si="642"/>
        <v/>
      </c>
      <c r="BH993" s="152"/>
      <c r="BI993" s="162" t="str">
        <f t="shared" si="664"/>
        <v/>
      </c>
      <c r="BJ993" s="150" t="str">
        <f t="shared" si="665"/>
        <v/>
      </c>
      <c r="BK993" s="163" t="str">
        <f t="shared" si="661"/>
        <v/>
      </c>
      <c r="BL993" s="163" t="str">
        <f t="shared" si="666"/>
        <v/>
      </c>
      <c r="BM993" s="163" t="str">
        <f t="shared" si="662"/>
        <v/>
      </c>
      <c r="BN993" s="163" t="str">
        <f t="shared" si="667"/>
        <v/>
      </c>
      <c r="BO993" s="163" t="str">
        <f t="shared" si="668"/>
        <v/>
      </c>
      <c r="BP993" s="164" t="str">
        <f t="shared" si="663"/>
        <v/>
      </c>
      <c r="BQ993" s="164" t="str">
        <f t="shared" si="657"/>
        <v/>
      </c>
      <c r="BR993" s="154" t="str">
        <f t="shared" si="669"/>
        <v/>
      </c>
      <c r="BT993" s="147" t="str">
        <f t="shared" si="643"/>
        <v/>
      </c>
      <c r="BU993" s="164" t="str">
        <f>IF(AND($C992=12,$D992=Input!$C$6),0,IF($E993="","",BK993+(BL993+BU994)/(1+$AK993)*MIN((1-T993-U993),1)))</f>
        <v/>
      </c>
      <c r="BV993" s="164" t="str">
        <f t="shared" si="644"/>
        <v/>
      </c>
      <c r="BW993" s="164" t="str">
        <f t="shared" si="645"/>
        <v/>
      </c>
      <c r="BX993" s="164" t="str">
        <f t="shared" si="646"/>
        <v/>
      </c>
    </row>
    <row r="994" spans="1:76" s="150" customFormat="1" x14ac:dyDescent="0.25">
      <c r="A994" s="150" t="str">
        <f t="shared" si="658"/>
        <v/>
      </c>
      <c r="B994" s="150" t="str">
        <f t="shared" si="659"/>
        <v/>
      </c>
      <c r="C994" s="150" t="str">
        <f t="shared" si="660"/>
        <v/>
      </c>
      <c r="D994" s="150" t="str">
        <f>IF(E994="","",Input!$C$4+B994-1)</f>
        <v/>
      </c>
      <c r="E994" s="150" t="str">
        <f>IF(OR(AND(C993=12,D993=Input!$C$6),E993=""),"",1)</f>
        <v/>
      </c>
      <c r="F994" s="150" t="str">
        <f>IF(E994="","",Input!$C$8+B994-1)</f>
        <v/>
      </c>
      <c r="G994" s="151" t="str">
        <f>IF(E994="","",MAX(0,Input!$C$9-B994))</f>
        <v/>
      </c>
      <c r="H994" s="152" t="str">
        <f>IF(E994="","",Input!$C$3)</f>
        <v/>
      </c>
      <c r="I994" s="153" t="str">
        <f>IF(E994="","",HLOOKUP($B994,Input!$C$13:$BT$14,2))</f>
        <v/>
      </c>
      <c r="J994" s="154"/>
      <c r="K994" s="155" t="str">
        <f>IF($E994="","",INDEX(Input!$C$16:$CP$16,1,$B994))</f>
        <v/>
      </c>
      <c r="L994" s="155" t="str">
        <f>IF($E994="","",Input!$C$37)</f>
        <v/>
      </c>
      <c r="M994" s="155" t="str">
        <f t="shared" si="629"/>
        <v/>
      </c>
      <c r="N994" s="155" t="str">
        <f t="shared" si="630"/>
        <v/>
      </c>
      <c r="O994" s="147" t="str">
        <f>IF($E994="","",MIN(VLOOKUP(IF($B994&lt;=Input!$C$7,$B994,26),'Mortality Tables'!$A$41:$CW$67,IF($B994&lt;=Input!$C$7+1,Input!$C$4+2,$D994-Input!$C$7+2),0)*IF(B994&gt;20,Input!$C$22,1)/1000,1))</f>
        <v/>
      </c>
      <c r="P994" s="147" t="str">
        <f>IF($E994="","",MIN(VLOOKUP(IF($B994&lt;=Input!$C$7,$B994,26),'Mortality Tables'!$A$12:$CW$37,IF($B994&lt;=Input!$C$7+1,Input!$C$4+2,$D994-Input!$C$7+2),0)*IF(B994&gt;20,Input!$C$22,1)/1000,1))</f>
        <v/>
      </c>
      <c r="Q994" s="155" t="str">
        <f>IF($E994="","",Input!$C$21)</f>
        <v/>
      </c>
      <c r="R994" s="159" t="str">
        <f>IF($E994="","",(1-Q994)^($F994-Input!$C$20))</f>
        <v/>
      </c>
      <c r="S994" s="147" t="str">
        <f t="shared" si="632"/>
        <v/>
      </c>
      <c r="T994" s="147" t="str">
        <f t="shared" si="633"/>
        <v/>
      </c>
      <c r="U994" s="160" t="str">
        <f>IF($E994="","",IF($C994=12,INDEX(Input!$C$15:$CP$15,1,$B994),0))</f>
        <v/>
      </c>
      <c r="V994" s="150" t="str">
        <f>IF(E994="","",IF(C994=1,IF($B994=1,Input!$C$33,Input!$C$34),0))</f>
        <v/>
      </c>
      <c r="W994" s="156" t="str">
        <f>IF($E994="","",Input!$C$35)</f>
        <v/>
      </c>
      <c r="X994" s="156" t="str">
        <f t="shared" si="631"/>
        <v/>
      </c>
      <c r="Y994" s="154"/>
      <c r="Z994" s="147" t="str">
        <f>IF($E994="","",VLOOKUP($D994,'Mortality Margins &amp; Grading'!$AB$5:$AF$125,3,0)*IF(Summary!$D$25="Included Margin",IF(AND($B994&gt;Input!$C$9,Summary!$D$31&lt;&gt;"Included Margin"),0,1),0))</f>
        <v/>
      </c>
      <c r="AA994" s="147" t="str">
        <f>IF($E994="","",VLOOKUP($D994,'Mortality Margins &amp; Grading'!$AB$5:$AF$125,5,0)*IF(Summary!$D$25="Included Margin",IF(AND($B994&gt;Input!$C$9,Summary!$D$31&lt;&gt;"Included Margin"),0,1),0))</f>
        <v/>
      </c>
      <c r="AB994" s="147" t="str">
        <f>IF($E994="","",IF(AND($B994&gt;Input!$C$9,Summary!$D$31&lt;&gt;"Included Margin"),1,IF(Summary!$D$25="Included Margin",VLOOKUP($B994,'Mortality Margins &amp; Grading'!$AI$5:$AR$125,MATCH('Mortality Margins &amp; Grading'!$AQ$4,'Mortality Margins &amp; Grading'!$AI$4:$AR$4,0),0),1)))</f>
        <v/>
      </c>
      <c r="AC994" s="154"/>
      <c r="AD994" s="158" t="str">
        <f>IF(E994="","",Input!$C$48*IF(Summary!$D$30="Included Margin",IF(AND($B994&gt;Input!$C$9,Summary!$D$31&lt;&gt;"Included Margin"),0,1),0))</f>
        <v/>
      </c>
      <c r="AE994" s="159" t="str">
        <f>IF(E994="","",IF(Summary!$D$26="Included Margin",IF(AND($B994&gt;Input!$C$9,Summary!$D$31&lt;&gt;"Included Margin"),1,1/$R994),1))</f>
        <v/>
      </c>
      <c r="AF994" s="160" t="str">
        <f>IF(E994="","",IF(AND($B994&gt;=Input!$C$9,$C994=12,Summary!$D$31="Included Margin",$U994&gt;0),1/U994-1,IF($B994&gt;=Input!$C$9,0,Input!$C$45*IF(Summary!$D$27="Included Margin",1,0))))</f>
        <v/>
      </c>
      <c r="AG994" s="160" t="str">
        <f>IF(E994="","",Input!$C$46*IF(Summary!$D$28="Included Margin",IF(AND($B994&gt;Input!$C$9,Summary!$D$31&lt;&gt;"Included Margin"),0,1),0))</f>
        <v/>
      </c>
      <c r="AH994" s="158" t="str">
        <f>IF(E994="","",Input!$C$47*IF(Summary!$D$29="Included Margin",IF(AND($B994&gt;Input!$C$9,Summary!$D$31&lt;&gt;"Included Margin"),0,1),0))</f>
        <v/>
      </c>
      <c r="AI994" s="154"/>
      <c r="AJ994" s="158" t="str">
        <f t="shared" si="647"/>
        <v/>
      </c>
      <c r="AK994" s="155" t="str">
        <f t="shared" si="648"/>
        <v/>
      </c>
      <c r="AL994" s="147" t="str">
        <f t="shared" si="649"/>
        <v/>
      </c>
      <c r="AM994" s="147" t="str">
        <f t="shared" si="634"/>
        <v/>
      </c>
      <c r="AN994" s="160" t="str">
        <f t="shared" si="650"/>
        <v/>
      </c>
      <c r="AO994" s="161" t="str">
        <f t="shared" si="651"/>
        <v/>
      </c>
      <c r="AP994" s="156" t="str">
        <f t="shared" si="635"/>
        <v/>
      </c>
      <c r="AQ994" s="152"/>
      <c r="AR994" s="162" t="str">
        <f t="shared" si="636"/>
        <v/>
      </c>
      <c r="AS994" s="150" t="str">
        <f t="shared" si="652"/>
        <v/>
      </c>
      <c r="AT994" s="163" t="str">
        <f t="shared" si="637"/>
        <v/>
      </c>
      <c r="AU994" s="163" t="str">
        <f t="shared" si="638"/>
        <v/>
      </c>
      <c r="AV994" s="163" t="str">
        <f t="shared" si="653"/>
        <v/>
      </c>
      <c r="AW994" s="163" t="str">
        <f t="shared" si="639"/>
        <v/>
      </c>
      <c r="AX994" s="163" t="str">
        <f t="shared" si="640"/>
        <v/>
      </c>
      <c r="AY994" s="165" t="str">
        <f t="shared" si="654"/>
        <v/>
      </c>
      <c r="AZ994" s="164" t="str">
        <f>IF($E994="","",IF(OR(AND($D994=Input!$C$6,$C994=12),$AN994=1),0,-AS995+AT995+AU995-AV995-AW995-AX995+AZ995))</f>
        <v/>
      </c>
      <c r="BA994" s="154" t="str">
        <f t="shared" si="641"/>
        <v/>
      </c>
      <c r="BC994" s="147" t="str">
        <f t="shared" si="655"/>
        <v/>
      </c>
      <c r="BD994" s="164" t="str">
        <f>IF(AND($C993=12,$D993=Input!$C$6),0,IF($E994="","",AT994+(AU994+BD995)/(1+$AK994)*MIN((1-AM994-AN994),1)))</f>
        <v/>
      </c>
      <c r="BE994" s="164" t="str">
        <f t="shared" si="670"/>
        <v/>
      </c>
      <c r="BF994" s="164" t="str">
        <f t="shared" si="656"/>
        <v/>
      </c>
      <c r="BG994" s="164" t="str">
        <f t="shared" si="642"/>
        <v/>
      </c>
      <c r="BH994" s="152"/>
      <c r="BI994" s="162" t="str">
        <f t="shared" si="664"/>
        <v/>
      </c>
      <c r="BJ994" s="150" t="str">
        <f t="shared" si="665"/>
        <v/>
      </c>
      <c r="BK994" s="163" t="str">
        <f t="shared" si="661"/>
        <v/>
      </c>
      <c r="BL994" s="163" t="str">
        <f t="shared" si="666"/>
        <v/>
      </c>
      <c r="BM994" s="163" t="str">
        <f t="shared" si="662"/>
        <v/>
      </c>
      <c r="BN994" s="163" t="str">
        <f t="shared" si="667"/>
        <v/>
      </c>
      <c r="BO994" s="163" t="str">
        <f t="shared" si="668"/>
        <v/>
      </c>
      <c r="BP994" s="164" t="str">
        <f t="shared" si="663"/>
        <v/>
      </c>
      <c r="BQ994" s="164" t="str">
        <f t="shared" si="657"/>
        <v/>
      </c>
      <c r="BR994" s="154" t="str">
        <f t="shared" si="669"/>
        <v/>
      </c>
      <c r="BT994" s="147" t="str">
        <f t="shared" si="643"/>
        <v/>
      </c>
      <c r="BU994" s="164" t="str">
        <f>IF(AND($C993=12,$D993=Input!$C$6),0,IF($E994="","",BK994+(BL994+BU995)/(1+$AK994)*MIN((1-T994-U994),1)))</f>
        <v/>
      </c>
      <c r="BV994" s="164" t="str">
        <f t="shared" si="644"/>
        <v/>
      </c>
      <c r="BW994" s="164" t="str">
        <f t="shared" si="645"/>
        <v/>
      </c>
      <c r="BX994" s="164" t="str">
        <f t="shared" si="646"/>
        <v/>
      </c>
    </row>
    <row r="995" spans="1:76" s="150" customFormat="1" x14ac:dyDescent="0.25">
      <c r="A995" s="150" t="str">
        <f t="shared" si="658"/>
        <v/>
      </c>
      <c r="B995" s="150" t="str">
        <f t="shared" si="659"/>
        <v/>
      </c>
      <c r="C995" s="150" t="str">
        <f t="shared" si="660"/>
        <v/>
      </c>
      <c r="D995" s="150" t="str">
        <f>IF(E995="","",Input!$C$4+B995-1)</f>
        <v/>
      </c>
      <c r="E995" s="150" t="str">
        <f>IF(OR(AND(C994=12,D994=Input!$C$6),E994=""),"",1)</f>
        <v/>
      </c>
      <c r="F995" s="150" t="str">
        <f>IF(E995="","",Input!$C$8+B995-1)</f>
        <v/>
      </c>
      <c r="G995" s="151" t="str">
        <f>IF(E995="","",MAX(0,Input!$C$9-B995))</f>
        <v/>
      </c>
      <c r="H995" s="152" t="str">
        <f>IF(E995="","",Input!$C$3)</f>
        <v/>
      </c>
      <c r="I995" s="153" t="str">
        <f>IF(E995="","",HLOOKUP($B995,Input!$C$13:$BT$14,2))</f>
        <v/>
      </c>
      <c r="J995" s="154"/>
      <c r="K995" s="155" t="str">
        <f>IF($E995="","",INDEX(Input!$C$16:$CP$16,1,$B995))</f>
        <v/>
      </c>
      <c r="L995" s="155" t="str">
        <f>IF($E995="","",Input!$C$37)</f>
        <v/>
      </c>
      <c r="M995" s="155" t="str">
        <f t="shared" si="629"/>
        <v/>
      </c>
      <c r="N995" s="155" t="str">
        <f t="shared" si="630"/>
        <v/>
      </c>
      <c r="O995" s="147" t="str">
        <f>IF($E995="","",MIN(VLOOKUP(IF($B995&lt;=Input!$C$7,$B995,26),'Mortality Tables'!$A$41:$CW$67,IF($B995&lt;=Input!$C$7+1,Input!$C$4+2,$D995-Input!$C$7+2),0)*IF(B995&gt;20,Input!$C$22,1)/1000,1))</f>
        <v/>
      </c>
      <c r="P995" s="147" t="str">
        <f>IF($E995="","",MIN(VLOOKUP(IF($B995&lt;=Input!$C$7,$B995,26),'Mortality Tables'!$A$12:$CW$37,IF($B995&lt;=Input!$C$7+1,Input!$C$4+2,$D995-Input!$C$7+2),0)*IF(B995&gt;20,Input!$C$22,1)/1000,1))</f>
        <v/>
      </c>
      <c r="Q995" s="155" t="str">
        <f>IF($E995="","",Input!$C$21)</f>
        <v/>
      </c>
      <c r="R995" s="159" t="str">
        <f>IF($E995="","",(1-Q995)^($F995-Input!$C$20))</f>
        <v/>
      </c>
      <c r="S995" s="147" t="str">
        <f t="shared" si="632"/>
        <v/>
      </c>
      <c r="T995" s="147" t="str">
        <f t="shared" si="633"/>
        <v/>
      </c>
      <c r="U995" s="160" t="str">
        <f>IF($E995="","",IF($C995=12,INDEX(Input!$C$15:$CP$15,1,$B995),0))</f>
        <v/>
      </c>
      <c r="V995" s="150" t="str">
        <f>IF(E995="","",IF(C995=1,IF($B995=1,Input!$C$33,Input!$C$34),0))</f>
        <v/>
      </c>
      <c r="W995" s="156" t="str">
        <f>IF($E995="","",Input!$C$35)</f>
        <v/>
      </c>
      <c r="X995" s="156" t="str">
        <f t="shared" si="631"/>
        <v/>
      </c>
      <c r="Y995" s="154"/>
      <c r="Z995" s="147" t="str">
        <f>IF($E995="","",VLOOKUP($D995,'Mortality Margins &amp; Grading'!$AB$5:$AF$125,3,0)*IF(Summary!$D$25="Included Margin",IF(AND($B995&gt;Input!$C$9,Summary!$D$31&lt;&gt;"Included Margin"),0,1),0))</f>
        <v/>
      </c>
      <c r="AA995" s="147" t="str">
        <f>IF($E995="","",VLOOKUP($D995,'Mortality Margins &amp; Grading'!$AB$5:$AF$125,5,0)*IF(Summary!$D$25="Included Margin",IF(AND($B995&gt;Input!$C$9,Summary!$D$31&lt;&gt;"Included Margin"),0,1),0))</f>
        <v/>
      </c>
      <c r="AB995" s="147" t="str">
        <f>IF($E995="","",IF(AND($B995&gt;Input!$C$9,Summary!$D$31&lt;&gt;"Included Margin"),1,IF(Summary!$D$25="Included Margin",VLOOKUP($B995,'Mortality Margins &amp; Grading'!$AI$5:$AR$125,MATCH('Mortality Margins &amp; Grading'!$AQ$4,'Mortality Margins &amp; Grading'!$AI$4:$AR$4,0),0),1)))</f>
        <v/>
      </c>
      <c r="AC995" s="154"/>
      <c r="AD995" s="158" t="str">
        <f>IF(E995="","",Input!$C$48*IF(Summary!$D$30="Included Margin",IF(AND($B995&gt;Input!$C$9,Summary!$D$31&lt;&gt;"Included Margin"),0,1),0))</f>
        <v/>
      </c>
      <c r="AE995" s="159" t="str">
        <f>IF(E995="","",IF(Summary!$D$26="Included Margin",IF(AND($B995&gt;Input!$C$9,Summary!$D$31&lt;&gt;"Included Margin"),1,1/$R995),1))</f>
        <v/>
      </c>
      <c r="AF995" s="160" t="str">
        <f>IF(E995="","",IF(AND($B995&gt;=Input!$C$9,$C995=12,Summary!$D$31="Included Margin",$U995&gt;0),1/U995-1,IF($B995&gt;=Input!$C$9,0,Input!$C$45*IF(Summary!$D$27="Included Margin",1,0))))</f>
        <v/>
      </c>
      <c r="AG995" s="160" t="str">
        <f>IF(E995="","",Input!$C$46*IF(Summary!$D$28="Included Margin",IF(AND($B995&gt;Input!$C$9,Summary!$D$31&lt;&gt;"Included Margin"),0,1),0))</f>
        <v/>
      </c>
      <c r="AH995" s="158" t="str">
        <f>IF(E995="","",Input!$C$47*IF(Summary!$D$29="Included Margin",IF(AND($B995&gt;Input!$C$9,Summary!$D$31&lt;&gt;"Included Margin"),0,1),0))</f>
        <v/>
      </c>
      <c r="AI995" s="154"/>
      <c r="AJ995" s="158" t="str">
        <f t="shared" si="647"/>
        <v/>
      </c>
      <c r="AK995" s="155" t="str">
        <f t="shared" si="648"/>
        <v/>
      </c>
      <c r="AL995" s="147" t="str">
        <f t="shared" si="649"/>
        <v/>
      </c>
      <c r="AM995" s="147" t="str">
        <f t="shared" si="634"/>
        <v/>
      </c>
      <c r="AN995" s="160" t="str">
        <f t="shared" si="650"/>
        <v/>
      </c>
      <c r="AO995" s="161" t="str">
        <f t="shared" si="651"/>
        <v/>
      </c>
      <c r="AP995" s="156" t="str">
        <f t="shared" si="635"/>
        <v/>
      </c>
      <c r="AQ995" s="152"/>
      <c r="AR995" s="162" t="str">
        <f t="shared" si="636"/>
        <v/>
      </c>
      <c r="AS995" s="150" t="str">
        <f t="shared" si="652"/>
        <v/>
      </c>
      <c r="AT995" s="163" t="str">
        <f t="shared" si="637"/>
        <v/>
      </c>
      <c r="AU995" s="163" t="str">
        <f t="shared" si="638"/>
        <v/>
      </c>
      <c r="AV995" s="163" t="str">
        <f t="shared" si="653"/>
        <v/>
      </c>
      <c r="AW995" s="163" t="str">
        <f t="shared" si="639"/>
        <v/>
      </c>
      <c r="AX995" s="163" t="str">
        <f t="shared" si="640"/>
        <v/>
      </c>
      <c r="AY995" s="164" t="str">
        <f t="shared" si="654"/>
        <v/>
      </c>
      <c r="AZ995" s="164" t="str">
        <f>IF($E995="","",IF(OR(AND($D995=Input!$C$6,$C995=12),$AN995=1),0,-AS996+AT996+AU996-AV996-AW996-AX996+AZ996))</f>
        <v/>
      </c>
      <c r="BA995" s="154" t="str">
        <f t="shared" si="641"/>
        <v/>
      </c>
      <c r="BC995" s="147" t="str">
        <f t="shared" si="655"/>
        <v/>
      </c>
      <c r="BD995" s="164" t="str">
        <f>IF(AND($C994=12,$D994=Input!$C$6),0,IF($E995="","",AT995+(AU995+BD996)/(1+$AK995)*MIN((1-AM995-AN995),1)))</f>
        <v/>
      </c>
      <c r="BE995" s="164" t="str">
        <f t="shared" si="670"/>
        <v/>
      </c>
      <c r="BF995" s="164" t="str">
        <f t="shared" si="656"/>
        <v/>
      </c>
      <c r="BG995" s="164" t="str">
        <f t="shared" si="642"/>
        <v/>
      </c>
      <c r="BH995" s="152"/>
      <c r="BI995" s="162" t="str">
        <f t="shared" si="664"/>
        <v/>
      </c>
      <c r="BJ995" s="150" t="str">
        <f t="shared" si="665"/>
        <v/>
      </c>
      <c r="BK995" s="163" t="str">
        <f t="shared" si="661"/>
        <v/>
      </c>
      <c r="BL995" s="163" t="str">
        <f t="shared" si="666"/>
        <v/>
      </c>
      <c r="BM995" s="163" t="str">
        <f t="shared" si="662"/>
        <v/>
      </c>
      <c r="BN995" s="163" t="str">
        <f t="shared" si="667"/>
        <v/>
      </c>
      <c r="BO995" s="163" t="str">
        <f t="shared" si="668"/>
        <v/>
      </c>
      <c r="BP995" s="164" t="str">
        <f t="shared" si="663"/>
        <v/>
      </c>
      <c r="BQ995" s="164" t="str">
        <f t="shared" si="657"/>
        <v/>
      </c>
      <c r="BR995" s="154" t="str">
        <f t="shared" si="669"/>
        <v/>
      </c>
      <c r="BT995" s="147" t="str">
        <f t="shared" si="643"/>
        <v/>
      </c>
      <c r="BU995" s="164" t="str">
        <f>IF(AND($C994=12,$D994=Input!$C$6),0,IF($E995="","",BK995+(BL995+BU996)/(1+$AK995)*MIN((1-T995-U995),1)))</f>
        <v/>
      </c>
      <c r="BV995" s="164" t="str">
        <f t="shared" si="644"/>
        <v/>
      </c>
      <c r="BW995" s="164" t="str">
        <f t="shared" si="645"/>
        <v/>
      </c>
      <c r="BX995" s="164" t="str">
        <f t="shared" si="646"/>
        <v/>
      </c>
    </row>
    <row r="996" spans="1:76" s="150" customFormat="1" x14ac:dyDescent="0.25">
      <c r="A996" s="150" t="str">
        <f t="shared" si="658"/>
        <v/>
      </c>
      <c r="B996" s="150" t="str">
        <f t="shared" si="659"/>
        <v/>
      </c>
      <c r="C996" s="150" t="str">
        <f t="shared" si="660"/>
        <v/>
      </c>
      <c r="D996" s="150" t="str">
        <f>IF(E996="","",Input!$C$4+B996-1)</f>
        <v/>
      </c>
      <c r="E996" s="150" t="str">
        <f>IF(OR(AND(C995=12,D995=Input!$C$6),E995=""),"",1)</f>
        <v/>
      </c>
      <c r="F996" s="150" t="str">
        <f>IF(E996="","",Input!$C$8+B996-1)</f>
        <v/>
      </c>
      <c r="G996" s="151" t="str">
        <f>IF(E996="","",MAX(0,Input!$C$9-B996))</f>
        <v/>
      </c>
      <c r="H996" s="152" t="str">
        <f>IF(E996="","",Input!$C$3)</f>
        <v/>
      </c>
      <c r="I996" s="153" t="str">
        <f>IF(E996="","",HLOOKUP($B996,Input!$C$13:$BT$14,2))</f>
        <v/>
      </c>
      <c r="J996" s="154"/>
      <c r="K996" s="155" t="str">
        <f>IF($E996="","",INDEX(Input!$C$16:$CP$16,1,$B996))</f>
        <v/>
      </c>
      <c r="L996" s="155" t="str">
        <f>IF($E996="","",Input!$C$37)</f>
        <v/>
      </c>
      <c r="M996" s="155" t="str">
        <f t="shared" si="629"/>
        <v/>
      </c>
      <c r="N996" s="155" t="str">
        <f t="shared" si="630"/>
        <v/>
      </c>
      <c r="O996" s="147" t="str">
        <f>IF($E996="","",MIN(VLOOKUP(IF($B996&lt;=Input!$C$7,$B996,26),'Mortality Tables'!$A$41:$CW$67,IF($B996&lt;=Input!$C$7+1,Input!$C$4+2,$D996-Input!$C$7+2),0)*IF(B996&gt;20,Input!$C$22,1)/1000,1))</f>
        <v/>
      </c>
      <c r="P996" s="147" t="str">
        <f>IF($E996="","",MIN(VLOOKUP(IF($B996&lt;=Input!$C$7,$B996,26),'Mortality Tables'!$A$12:$CW$37,IF($B996&lt;=Input!$C$7+1,Input!$C$4+2,$D996-Input!$C$7+2),0)*IF(B996&gt;20,Input!$C$22,1)/1000,1))</f>
        <v/>
      </c>
      <c r="Q996" s="155" t="str">
        <f>IF($E996="","",Input!$C$21)</f>
        <v/>
      </c>
      <c r="R996" s="159" t="str">
        <f>IF($E996="","",(1-Q996)^($F996-Input!$C$20))</f>
        <v/>
      </c>
      <c r="S996" s="147" t="str">
        <f t="shared" si="632"/>
        <v/>
      </c>
      <c r="T996" s="147" t="str">
        <f t="shared" si="633"/>
        <v/>
      </c>
      <c r="U996" s="160" t="str">
        <f>IF($E996="","",IF($C996=12,INDEX(Input!$C$15:$CP$15,1,$B996),0))</f>
        <v/>
      </c>
      <c r="V996" s="150" t="str">
        <f>IF(E996="","",IF(C996=1,IF($B996=1,Input!$C$33,Input!$C$34),0))</f>
        <v/>
      </c>
      <c r="W996" s="156" t="str">
        <f>IF($E996="","",Input!$C$35)</f>
        <v/>
      </c>
      <c r="X996" s="156" t="str">
        <f t="shared" si="631"/>
        <v/>
      </c>
      <c r="Y996" s="154"/>
      <c r="Z996" s="147" t="str">
        <f>IF($E996="","",VLOOKUP($D996,'Mortality Margins &amp; Grading'!$AB$5:$AF$125,3,0)*IF(Summary!$D$25="Included Margin",IF(AND($B996&gt;Input!$C$9,Summary!$D$31&lt;&gt;"Included Margin"),0,1),0))</f>
        <v/>
      </c>
      <c r="AA996" s="147" t="str">
        <f>IF($E996="","",VLOOKUP($D996,'Mortality Margins &amp; Grading'!$AB$5:$AF$125,5,0)*IF(Summary!$D$25="Included Margin",IF(AND($B996&gt;Input!$C$9,Summary!$D$31&lt;&gt;"Included Margin"),0,1),0))</f>
        <v/>
      </c>
      <c r="AB996" s="147" t="str">
        <f>IF($E996="","",IF(AND($B996&gt;Input!$C$9,Summary!$D$31&lt;&gt;"Included Margin"),1,IF(Summary!$D$25="Included Margin",VLOOKUP($B996,'Mortality Margins &amp; Grading'!$AI$5:$AR$125,MATCH('Mortality Margins &amp; Grading'!$AQ$4,'Mortality Margins &amp; Grading'!$AI$4:$AR$4,0),0),1)))</f>
        <v/>
      </c>
      <c r="AC996" s="154"/>
      <c r="AD996" s="158" t="str">
        <f>IF(E996="","",Input!$C$48*IF(Summary!$D$30="Included Margin",IF(AND($B996&gt;Input!$C$9,Summary!$D$31&lt;&gt;"Included Margin"),0,1),0))</f>
        <v/>
      </c>
      <c r="AE996" s="159" t="str">
        <f>IF(E996="","",IF(Summary!$D$26="Included Margin",IF(AND($B996&gt;Input!$C$9,Summary!$D$31&lt;&gt;"Included Margin"),1,1/$R996),1))</f>
        <v/>
      </c>
      <c r="AF996" s="160" t="str">
        <f>IF(E996="","",IF(AND($B996&gt;=Input!$C$9,$C996=12,Summary!$D$31="Included Margin",$U996&gt;0),1/U996-1,IF($B996&gt;=Input!$C$9,0,Input!$C$45*IF(Summary!$D$27="Included Margin",1,0))))</f>
        <v/>
      </c>
      <c r="AG996" s="160" t="str">
        <f>IF(E996="","",Input!$C$46*IF(Summary!$D$28="Included Margin",IF(AND($B996&gt;Input!$C$9,Summary!$D$31&lt;&gt;"Included Margin"),0,1),0))</f>
        <v/>
      </c>
      <c r="AH996" s="158" t="str">
        <f>IF(E996="","",Input!$C$47*IF(Summary!$D$29="Included Margin",IF(AND($B996&gt;Input!$C$9,Summary!$D$31&lt;&gt;"Included Margin"),0,1),0))</f>
        <v/>
      </c>
      <c r="AI996" s="154"/>
      <c r="AJ996" s="158" t="str">
        <f t="shared" si="647"/>
        <v/>
      </c>
      <c r="AK996" s="155" t="str">
        <f t="shared" si="648"/>
        <v/>
      </c>
      <c r="AL996" s="147" t="str">
        <f t="shared" si="649"/>
        <v/>
      </c>
      <c r="AM996" s="147" t="str">
        <f t="shared" si="634"/>
        <v/>
      </c>
      <c r="AN996" s="160" t="str">
        <f t="shared" si="650"/>
        <v/>
      </c>
      <c r="AO996" s="161" t="str">
        <f t="shared" si="651"/>
        <v/>
      </c>
      <c r="AP996" s="156" t="str">
        <f t="shared" si="635"/>
        <v/>
      </c>
      <c r="AQ996" s="152"/>
      <c r="AR996" s="162" t="str">
        <f t="shared" si="636"/>
        <v/>
      </c>
      <c r="AS996" s="150" t="str">
        <f t="shared" si="652"/>
        <v/>
      </c>
      <c r="AT996" s="163" t="str">
        <f t="shared" si="637"/>
        <v/>
      </c>
      <c r="AU996" s="163" t="str">
        <f t="shared" si="638"/>
        <v/>
      </c>
      <c r="AV996" s="163" t="str">
        <f t="shared" si="653"/>
        <v/>
      </c>
      <c r="AW996" s="163" t="str">
        <f t="shared" si="639"/>
        <v/>
      </c>
      <c r="AX996" s="163" t="str">
        <f t="shared" si="640"/>
        <v/>
      </c>
      <c r="AY996" s="165" t="str">
        <f t="shared" si="654"/>
        <v/>
      </c>
      <c r="AZ996" s="164" t="str">
        <f>IF($E996="","",IF(OR(AND($D996=Input!$C$6,$C996=12),$AN996=1),0,-AS997+AT997+AU997-AV997-AW997-AX997+AZ997))</f>
        <v/>
      </c>
      <c r="BA996" s="154" t="str">
        <f t="shared" si="641"/>
        <v/>
      </c>
      <c r="BC996" s="147" t="str">
        <f t="shared" si="655"/>
        <v/>
      </c>
      <c r="BD996" s="164" t="str">
        <f>IF(AND($C995=12,$D995=Input!$C$6),0,IF($E996="","",AT996+(AU996+BD997)/(1+$AK996)*MIN((1-AM996-AN996),1)))</f>
        <v/>
      </c>
      <c r="BE996" s="164" t="str">
        <f t="shared" si="670"/>
        <v/>
      </c>
      <c r="BF996" s="164" t="str">
        <f t="shared" si="656"/>
        <v/>
      </c>
      <c r="BG996" s="164" t="str">
        <f t="shared" si="642"/>
        <v/>
      </c>
      <c r="BH996" s="152"/>
      <c r="BI996" s="162" t="str">
        <f t="shared" si="664"/>
        <v/>
      </c>
      <c r="BJ996" s="150" t="str">
        <f t="shared" si="665"/>
        <v/>
      </c>
      <c r="BK996" s="163" t="str">
        <f t="shared" si="661"/>
        <v/>
      </c>
      <c r="BL996" s="163" t="str">
        <f t="shared" si="666"/>
        <v/>
      </c>
      <c r="BM996" s="163" t="str">
        <f t="shared" si="662"/>
        <v/>
      </c>
      <c r="BN996" s="163" t="str">
        <f t="shared" si="667"/>
        <v/>
      </c>
      <c r="BO996" s="163" t="str">
        <f t="shared" si="668"/>
        <v/>
      </c>
      <c r="BP996" s="164" t="str">
        <f t="shared" si="663"/>
        <v/>
      </c>
      <c r="BQ996" s="164" t="str">
        <f t="shared" si="657"/>
        <v/>
      </c>
      <c r="BR996" s="154" t="str">
        <f t="shared" si="669"/>
        <v/>
      </c>
      <c r="BT996" s="147" t="str">
        <f t="shared" si="643"/>
        <v/>
      </c>
      <c r="BU996" s="164" t="str">
        <f>IF(AND($C995=12,$D995=Input!$C$6),0,IF($E996="","",BK996+(BL996+BU997)/(1+$AK996)*MIN((1-T996-U996),1)))</f>
        <v/>
      </c>
      <c r="BV996" s="164" t="str">
        <f t="shared" si="644"/>
        <v/>
      </c>
      <c r="BW996" s="164" t="str">
        <f t="shared" si="645"/>
        <v/>
      </c>
      <c r="BX996" s="164" t="str">
        <f t="shared" si="646"/>
        <v/>
      </c>
    </row>
    <row r="997" spans="1:76" s="150" customFormat="1" x14ac:dyDescent="0.25">
      <c r="A997" s="150" t="str">
        <f t="shared" si="658"/>
        <v/>
      </c>
      <c r="B997" s="150" t="str">
        <f t="shared" si="659"/>
        <v/>
      </c>
      <c r="C997" s="150" t="str">
        <f t="shared" si="660"/>
        <v/>
      </c>
      <c r="D997" s="150" t="str">
        <f>IF(E997="","",Input!$C$4+B997-1)</f>
        <v/>
      </c>
      <c r="E997" s="150" t="str">
        <f>IF(OR(AND(C996=12,D996=Input!$C$6),E996=""),"",1)</f>
        <v/>
      </c>
      <c r="F997" s="150" t="str">
        <f>IF(E997="","",Input!$C$8+B997-1)</f>
        <v/>
      </c>
      <c r="G997" s="151" t="str">
        <f>IF(E997="","",MAX(0,Input!$C$9-B997))</f>
        <v/>
      </c>
      <c r="H997" s="152" t="str">
        <f>IF(E997="","",Input!$C$3)</f>
        <v/>
      </c>
      <c r="I997" s="153" t="str">
        <f>IF(E997="","",HLOOKUP($B997,Input!$C$13:$BT$14,2))</f>
        <v/>
      </c>
      <c r="J997" s="154"/>
      <c r="K997" s="155" t="str">
        <f>IF($E997="","",INDEX(Input!$C$16:$CP$16,1,$B997))</f>
        <v/>
      </c>
      <c r="L997" s="155" t="str">
        <f>IF($E997="","",Input!$C$37)</f>
        <v/>
      </c>
      <c r="M997" s="155" t="str">
        <f t="shared" si="629"/>
        <v/>
      </c>
      <c r="N997" s="155" t="str">
        <f t="shared" si="630"/>
        <v/>
      </c>
      <c r="O997" s="147" t="str">
        <f>IF($E997="","",MIN(VLOOKUP(IF($B997&lt;=Input!$C$7,$B997,26),'Mortality Tables'!$A$41:$CW$67,IF($B997&lt;=Input!$C$7+1,Input!$C$4+2,$D997-Input!$C$7+2),0)*IF(B997&gt;20,Input!$C$22,1)/1000,1))</f>
        <v/>
      </c>
      <c r="P997" s="147" t="str">
        <f>IF($E997="","",MIN(VLOOKUP(IF($B997&lt;=Input!$C$7,$B997,26),'Mortality Tables'!$A$12:$CW$37,IF($B997&lt;=Input!$C$7+1,Input!$C$4+2,$D997-Input!$C$7+2),0)*IF(B997&gt;20,Input!$C$22,1)/1000,1))</f>
        <v/>
      </c>
      <c r="Q997" s="155" t="str">
        <f>IF($E997="","",Input!$C$21)</f>
        <v/>
      </c>
      <c r="R997" s="159" t="str">
        <f>IF($E997="","",(1-Q997)^($F997-Input!$C$20))</f>
        <v/>
      </c>
      <c r="S997" s="147" t="str">
        <f t="shared" si="632"/>
        <v/>
      </c>
      <c r="T997" s="147" t="str">
        <f t="shared" si="633"/>
        <v/>
      </c>
      <c r="U997" s="160" t="str">
        <f>IF($E997="","",IF($C997=12,INDEX(Input!$C$15:$CP$15,1,$B997),0))</f>
        <v/>
      </c>
      <c r="V997" s="150" t="str">
        <f>IF(E997="","",IF(C997=1,IF($B997=1,Input!$C$33,Input!$C$34),0))</f>
        <v/>
      </c>
      <c r="W997" s="156" t="str">
        <f>IF($E997="","",Input!$C$35)</f>
        <v/>
      </c>
      <c r="X997" s="156" t="str">
        <f t="shared" si="631"/>
        <v/>
      </c>
      <c r="Y997" s="154"/>
      <c r="Z997" s="147" t="str">
        <f>IF($E997="","",VLOOKUP($D997,'Mortality Margins &amp; Grading'!$AB$5:$AF$125,3,0)*IF(Summary!$D$25="Included Margin",IF(AND($B997&gt;Input!$C$9,Summary!$D$31&lt;&gt;"Included Margin"),0,1),0))</f>
        <v/>
      </c>
      <c r="AA997" s="147" t="str">
        <f>IF($E997="","",VLOOKUP($D997,'Mortality Margins &amp; Grading'!$AB$5:$AF$125,5,0)*IF(Summary!$D$25="Included Margin",IF(AND($B997&gt;Input!$C$9,Summary!$D$31&lt;&gt;"Included Margin"),0,1),0))</f>
        <v/>
      </c>
      <c r="AB997" s="147" t="str">
        <f>IF($E997="","",IF(AND($B997&gt;Input!$C$9,Summary!$D$31&lt;&gt;"Included Margin"),1,IF(Summary!$D$25="Included Margin",VLOOKUP($B997,'Mortality Margins &amp; Grading'!$AI$5:$AR$125,MATCH('Mortality Margins &amp; Grading'!$AQ$4,'Mortality Margins &amp; Grading'!$AI$4:$AR$4,0),0),1)))</f>
        <v/>
      </c>
      <c r="AC997" s="154"/>
      <c r="AD997" s="158" t="str">
        <f>IF(E997="","",Input!$C$48*IF(Summary!$D$30="Included Margin",IF(AND($B997&gt;Input!$C$9,Summary!$D$31&lt;&gt;"Included Margin"),0,1),0))</f>
        <v/>
      </c>
      <c r="AE997" s="159" t="str">
        <f>IF(E997="","",IF(Summary!$D$26="Included Margin",IF(AND($B997&gt;Input!$C$9,Summary!$D$31&lt;&gt;"Included Margin"),1,1/$R997),1))</f>
        <v/>
      </c>
      <c r="AF997" s="160" t="str">
        <f>IF(E997="","",IF(AND($B997&gt;=Input!$C$9,$C997=12,Summary!$D$31="Included Margin",$U997&gt;0),1/U997-1,IF($B997&gt;=Input!$C$9,0,Input!$C$45*IF(Summary!$D$27="Included Margin",1,0))))</f>
        <v/>
      </c>
      <c r="AG997" s="160" t="str">
        <f>IF(E997="","",Input!$C$46*IF(Summary!$D$28="Included Margin",IF(AND($B997&gt;Input!$C$9,Summary!$D$31&lt;&gt;"Included Margin"),0,1),0))</f>
        <v/>
      </c>
      <c r="AH997" s="158" t="str">
        <f>IF(E997="","",Input!$C$47*IF(Summary!$D$29="Included Margin",IF(AND($B997&gt;Input!$C$9,Summary!$D$31&lt;&gt;"Included Margin"),0,1),0))</f>
        <v/>
      </c>
      <c r="AI997" s="154"/>
      <c r="AJ997" s="158" t="str">
        <f t="shared" si="647"/>
        <v/>
      </c>
      <c r="AK997" s="155" t="str">
        <f t="shared" si="648"/>
        <v/>
      </c>
      <c r="AL997" s="147" t="str">
        <f t="shared" si="649"/>
        <v/>
      </c>
      <c r="AM997" s="147" t="str">
        <f t="shared" si="634"/>
        <v/>
      </c>
      <c r="AN997" s="160" t="str">
        <f t="shared" si="650"/>
        <v/>
      </c>
      <c r="AO997" s="161" t="str">
        <f t="shared" si="651"/>
        <v/>
      </c>
      <c r="AP997" s="156" t="str">
        <f t="shared" si="635"/>
        <v/>
      </c>
      <c r="AQ997" s="152"/>
      <c r="AR997" s="162" t="str">
        <f t="shared" si="636"/>
        <v/>
      </c>
      <c r="AS997" s="150" t="str">
        <f t="shared" si="652"/>
        <v/>
      </c>
      <c r="AT997" s="163" t="str">
        <f t="shared" si="637"/>
        <v/>
      </c>
      <c r="AU997" s="163" t="str">
        <f t="shared" si="638"/>
        <v/>
      </c>
      <c r="AV997" s="163" t="str">
        <f t="shared" si="653"/>
        <v/>
      </c>
      <c r="AW997" s="163" t="str">
        <f t="shared" si="639"/>
        <v/>
      </c>
      <c r="AX997" s="163" t="str">
        <f t="shared" si="640"/>
        <v/>
      </c>
      <c r="AY997" s="164" t="str">
        <f t="shared" si="654"/>
        <v/>
      </c>
      <c r="AZ997" s="164" t="str">
        <f>IF($E997="","",IF(OR(AND($D997=Input!$C$6,$C997=12),$AN997=1),0,-AS998+AT998+AU998-AV998-AW998-AX998+AZ998))</f>
        <v/>
      </c>
      <c r="BA997" s="154" t="str">
        <f t="shared" si="641"/>
        <v/>
      </c>
      <c r="BC997" s="147" t="str">
        <f t="shared" si="655"/>
        <v/>
      </c>
      <c r="BD997" s="164" t="str">
        <f>IF(AND($C996=12,$D996=Input!$C$6),0,IF($E997="","",AT997+(AU997+BD998)/(1+$AK997)*MIN((1-AM997-AN997),1)))</f>
        <v/>
      </c>
      <c r="BE997" s="164" t="str">
        <f t="shared" si="670"/>
        <v/>
      </c>
      <c r="BF997" s="164" t="str">
        <f t="shared" si="656"/>
        <v/>
      </c>
      <c r="BG997" s="164" t="str">
        <f t="shared" si="642"/>
        <v/>
      </c>
      <c r="BH997" s="152"/>
      <c r="BI997" s="162" t="str">
        <f t="shared" si="664"/>
        <v/>
      </c>
      <c r="BJ997" s="150" t="str">
        <f t="shared" si="665"/>
        <v/>
      </c>
      <c r="BK997" s="163" t="str">
        <f t="shared" si="661"/>
        <v/>
      </c>
      <c r="BL997" s="163" t="str">
        <f t="shared" si="666"/>
        <v/>
      </c>
      <c r="BM997" s="163" t="str">
        <f t="shared" si="662"/>
        <v/>
      </c>
      <c r="BN997" s="163" t="str">
        <f t="shared" si="667"/>
        <v/>
      </c>
      <c r="BO997" s="163" t="str">
        <f t="shared" si="668"/>
        <v/>
      </c>
      <c r="BP997" s="164" t="str">
        <f t="shared" si="663"/>
        <v/>
      </c>
      <c r="BQ997" s="164" t="str">
        <f t="shared" si="657"/>
        <v/>
      </c>
      <c r="BR997" s="154" t="str">
        <f t="shared" si="669"/>
        <v/>
      </c>
      <c r="BT997" s="147" t="str">
        <f t="shared" si="643"/>
        <v/>
      </c>
      <c r="BU997" s="164" t="str">
        <f>IF(AND($C996=12,$D996=Input!$C$6),0,IF($E997="","",BK997+(BL997+BU998)/(1+$AK997)*MIN((1-T997-U997),1)))</f>
        <v/>
      </c>
      <c r="BV997" s="164" t="str">
        <f t="shared" si="644"/>
        <v/>
      </c>
      <c r="BW997" s="164" t="str">
        <f t="shared" si="645"/>
        <v/>
      </c>
      <c r="BX997" s="164" t="str">
        <f t="shared" si="646"/>
        <v/>
      </c>
    </row>
    <row r="998" spans="1:76" s="150" customFormat="1" x14ac:dyDescent="0.25">
      <c r="A998" s="150" t="str">
        <f t="shared" si="658"/>
        <v/>
      </c>
      <c r="B998" s="150" t="str">
        <f t="shared" si="659"/>
        <v/>
      </c>
      <c r="C998" s="150" t="str">
        <f t="shared" si="660"/>
        <v/>
      </c>
      <c r="D998" s="150" t="str">
        <f>IF(E998="","",Input!$C$4+B998-1)</f>
        <v/>
      </c>
      <c r="E998" s="150" t="str">
        <f>IF(OR(AND(C997=12,D997=Input!$C$6),E997=""),"",1)</f>
        <v/>
      </c>
      <c r="F998" s="150" t="str">
        <f>IF(E998="","",Input!$C$8+B998-1)</f>
        <v/>
      </c>
      <c r="G998" s="151" t="str">
        <f>IF(E998="","",MAX(0,Input!$C$9-B998))</f>
        <v/>
      </c>
      <c r="H998" s="152" t="str">
        <f>IF(E998="","",Input!$C$3)</f>
        <v/>
      </c>
      <c r="I998" s="153" t="str">
        <f>IF(E998="","",HLOOKUP($B998,Input!$C$13:$BT$14,2))</f>
        <v/>
      </c>
      <c r="J998" s="154"/>
      <c r="K998" s="155" t="str">
        <f>IF($E998="","",INDEX(Input!$C$16:$CP$16,1,$B998))</f>
        <v/>
      </c>
      <c r="L998" s="155" t="str">
        <f>IF($E998="","",Input!$C$37)</f>
        <v/>
      </c>
      <c r="M998" s="155" t="str">
        <f t="shared" si="629"/>
        <v/>
      </c>
      <c r="N998" s="155" t="str">
        <f t="shared" si="630"/>
        <v/>
      </c>
      <c r="O998" s="147" t="str">
        <f>IF($E998="","",MIN(VLOOKUP(IF($B998&lt;=Input!$C$7,$B998,26),'Mortality Tables'!$A$41:$CW$67,IF($B998&lt;=Input!$C$7+1,Input!$C$4+2,$D998-Input!$C$7+2),0)*IF(B998&gt;20,Input!$C$22,1)/1000,1))</f>
        <v/>
      </c>
      <c r="P998" s="147" t="str">
        <f>IF($E998="","",MIN(VLOOKUP(IF($B998&lt;=Input!$C$7,$B998,26),'Mortality Tables'!$A$12:$CW$37,IF($B998&lt;=Input!$C$7+1,Input!$C$4+2,$D998-Input!$C$7+2),0)*IF(B998&gt;20,Input!$C$22,1)/1000,1))</f>
        <v/>
      </c>
      <c r="Q998" s="155" t="str">
        <f>IF($E998="","",Input!$C$21)</f>
        <v/>
      </c>
      <c r="R998" s="159" t="str">
        <f>IF($E998="","",(1-Q998)^($F998-Input!$C$20))</f>
        <v/>
      </c>
      <c r="S998" s="147" t="str">
        <f t="shared" si="632"/>
        <v/>
      </c>
      <c r="T998" s="147" t="str">
        <f t="shared" si="633"/>
        <v/>
      </c>
      <c r="U998" s="160" t="str">
        <f>IF($E998="","",IF($C998=12,INDEX(Input!$C$15:$CP$15,1,$B998),0))</f>
        <v/>
      </c>
      <c r="V998" s="150" t="str">
        <f>IF(E998="","",IF(C998=1,IF($B998=1,Input!$C$33,Input!$C$34),0))</f>
        <v/>
      </c>
      <c r="W998" s="156" t="str">
        <f>IF($E998="","",Input!$C$35)</f>
        <v/>
      </c>
      <c r="X998" s="156" t="str">
        <f t="shared" si="631"/>
        <v/>
      </c>
      <c r="Y998" s="154"/>
      <c r="Z998" s="147" t="str">
        <f>IF($E998="","",VLOOKUP($D998,'Mortality Margins &amp; Grading'!$AB$5:$AF$125,3,0)*IF(Summary!$D$25="Included Margin",IF(AND($B998&gt;Input!$C$9,Summary!$D$31&lt;&gt;"Included Margin"),0,1),0))</f>
        <v/>
      </c>
      <c r="AA998" s="147" t="str">
        <f>IF($E998="","",VLOOKUP($D998,'Mortality Margins &amp; Grading'!$AB$5:$AF$125,5,0)*IF(Summary!$D$25="Included Margin",IF(AND($B998&gt;Input!$C$9,Summary!$D$31&lt;&gt;"Included Margin"),0,1),0))</f>
        <v/>
      </c>
      <c r="AB998" s="147" t="str">
        <f>IF($E998="","",IF(AND($B998&gt;Input!$C$9,Summary!$D$31&lt;&gt;"Included Margin"),1,IF(Summary!$D$25="Included Margin",VLOOKUP($B998,'Mortality Margins &amp; Grading'!$AI$5:$AR$125,MATCH('Mortality Margins &amp; Grading'!$AQ$4,'Mortality Margins &amp; Grading'!$AI$4:$AR$4,0),0),1)))</f>
        <v/>
      </c>
      <c r="AC998" s="154"/>
      <c r="AD998" s="158" t="str">
        <f>IF(E998="","",Input!$C$48*IF(Summary!$D$30="Included Margin",IF(AND($B998&gt;Input!$C$9,Summary!$D$31&lt;&gt;"Included Margin"),0,1),0))</f>
        <v/>
      </c>
      <c r="AE998" s="159" t="str">
        <f>IF(E998="","",IF(Summary!$D$26="Included Margin",IF(AND($B998&gt;Input!$C$9,Summary!$D$31&lt;&gt;"Included Margin"),1,1/$R998),1))</f>
        <v/>
      </c>
      <c r="AF998" s="160" t="str">
        <f>IF(E998="","",IF(AND($B998&gt;=Input!$C$9,$C998=12,Summary!$D$31="Included Margin",$U998&gt;0),1/U998-1,IF($B998&gt;=Input!$C$9,0,Input!$C$45*IF(Summary!$D$27="Included Margin",1,0))))</f>
        <v/>
      </c>
      <c r="AG998" s="160" t="str">
        <f>IF(E998="","",Input!$C$46*IF(Summary!$D$28="Included Margin",IF(AND($B998&gt;Input!$C$9,Summary!$D$31&lt;&gt;"Included Margin"),0,1),0))</f>
        <v/>
      </c>
      <c r="AH998" s="158" t="str">
        <f>IF(E998="","",Input!$C$47*IF(Summary!$D$29="Included Margin",IF(AND($B998&gt;Input!$C$9,Summary!$D$31&lt;&gt;"Included Margin"),0,1),0))</f>
        <v/>
      </c>
      <c r="AI998" s="154"/>
      <c r="AJ998" s="158" t="str">
        <f t="shared" si="647"/>
        <v/>
      </c>
      <c r="AK998" s="155" t="str">
        <f t="shared" si="648"/>
        <v/>
      </c>
      <c r="AL998" s="147" t="str">
        <f t="shared" si="649"/>
        <v/>
      </c>
      <c r="AM998" s="147" t="str">
        <f t="shared" si="634"/>
        <v/>
      </c>
      <c r="AN998" s="160" t="str">
        <f t="shared" si="650"/>
        <v/>
      </c>
      <c r="AO998" s="161" t="str">
        <f t="shared" si="651"/>
        <v/>
      </c>
      <c r="AP998" s="156" t="str">
        <f t="shared" si="635"/>
        <v/>
      </c>
      <c r="AQ998" s="152"/>
      <c r="AR998" s="162" t="str">
        <f t="shared" si="636"/>
        <v/>
      </c>
      <c r="AS998" s="150" t="str">
        <f t="shared" si="652"/>
        <v/>
      </c>
      <c r="AT998" s="163" t="str">
        <f t="shared" si="637"/>
        <v/>
      </c>
      <c r="AU998" s="163" t="str">
        <f t="shared" si="638"/>
        <v/>
      </c>
      <c r="AV998" s="163" t="str">
        <f t="shared" si="653"/>
        <v/>
      </c>
      <c r="AW998" s="163" t="str">
        <f t="shared" si="639"/>
        <v/>
      </c>
      <c r="AX998" s="163" t="str">
        <f t="shared" si="640"/>
        <v/>
      </c>
      <c r="AY998" s="165" t="str">
        <f t="shared" si="654"/>
        <v/>
      </c>
      <c r="AZ998" s="164" t="str">
        <f>IF($E998="","",IF(OR(AND($D998=Input!$C$6,$C998=12),$AN998=1),0,-AS999+AT999+AU999-AV999-AW999-AX999+AZ999))</f>
        <v/>
      </c>
      <c r="BA998" s="154" t="str">
        <f t="shared" si="641"/>
        <v/>
      </c>
      <c r="BC998" s="147" t="str">
        <f t="shared" si="655"/>
        <v/>
      </c>
      <c r="BD998" s="164" t="str">
        <f>IF(AND($C997=12,$D997=Input!$C$6),0,IF($E998="","",AT998+(AU998+BD999)/(1+$AK998)*MIN((1-AM998-AN998),1)))</f>
        <v/>
      </c>
      <c r="BE998" s="164" t="str">
        <f t="shared" si="670"/>
        <v/>
      </c>
      <c r="BF998" s="164" t="str">
        <f t="shared" si="656"/>
        <v/>
      </c>
      <c r="BG998" s="164" t="str">
        <f t="shared" si="642"/>
        <v/>
      </c>
      <c r="BH998" s="152"/>
      <c r="BI998" s="162" t="str">
        <f t="shared" si="664"/>
        <v/>
      </c>
      <c r="BJ998" s="150" t="str">
        <f t="shared" si="665"/>
        <v/>
      </c>
      <c r="BK998" s="163" t="str">
        <f t="shared" si="661"/>
        <v/>
      </c>
      <c r="BL998" s="163" t="str">
        <f t="shared" si="666"/>
        <v/>
      </c>
      <c r="BM998" s="163" t="str">
        <f t="shared" si="662"/>
        <v/>
      </c>
      <c r="BN998" s="163" t="str">
        <f t="shared" si="667"/>
        <v/>
      </c>
      <c r="BO998" s="163" t="str">
        <f t="shared" si="668"/>
        <v/>
      </c>
      <c r="BP998" s="164" t="str">
        <f t="shared" si="663"/>
        <v/>
      </c>
      <c r="BQ998" s="164" t="str">
        <f t="shared" si="657"/>
        <v/>
      </c>
      <c r="BR998" s="154" t="str">
        <f t="shared" si="669"/>
        <v/>
      </c>
      <c r="BT998" s="147" t="str">
        <f t="shared" si="643"/>
        <v/>
      </c>
      <c r="BU998" s="164" t="str">
        <f>IF(AND($C997=12,$D997=Input!$C$6),0,IF($E998="","",BK998+(BL998+BU999)/(1+$AK998)*MIN((1-T998-U998),1)))</f>
        <v/>
      </c>
      <c r="BV998" s="164" t="str">
        <f t="shared" si="644"/>
        <v/>
      </c>
      <c r="BW998" s="164" t="str">
        <f t="shared" si="645"/>
        <v/>
      </c>
      <c r="BX998" s="164" t="str">
        <f t="shared" si="646"/>
        <v/>
      </c>
    </row>
    <row r="999" spans="1:76" s="150" customFormat="1" x14ac:dyDescent="0.25">
      <c r="A999" s="150" t="str">
        <f t="shared" si="658"/>
        <v/>
      </c>
      <c r="B999" s="150" t="str">
        <f t="shared" si="659"/>
        <v/>
      </c>
      <c r="C999" s="150" t="str">
        <f t="shared" si="660"/>
        <v/>
      </c>
      <c r="D999" s="150" t="str">
        <f>IF(E999="","",Input!$C$4+B999-1)</f>
        <v/>
      </c>
      <c r="E999" s="150" t="str">
        <f>IF(OR(AND(C998=12,D998=Input!$C$6),E998=""),"",1)</f>
        <v/>
      </c>
      <c r="F999" s="150" t="str">
        <f>IF(E999="","",Input!$C$8+B999-1)</f>
        <v/>
      </c>
      <c r="G999" s="151" t="str">
        <f>IF(E999="","",MAX(0,Input!$C$9-B999))</f>
        <v/>
      </c>
      <c r="H999" s="152" t="str">
        <f>IF(E999="","",Input!$C$3)</f>
        <v/>
      </c>
      <c r="I999" s="153" t="str">
        <f>IF(E999="","",HLOOKUP($B999,Input!$C$13:$BT$14,2))</f>
        <v/>
      </c>
      <c r="J999" s="154"/>
      <c r="K999" s="155" t="str">
        <f>IF($E999="","",INDEX(Input!$C$16:$CP$16,1,$B999))</f>
        <v/>
      </c>
      <c r="L999" s="155" t="str">
        <f>IF($E999="","",Input!$C$37)</f>
        <v/>
      </c>
      <c r="M999" s="155" t="str">
        <f t="shared" si="629"/>
        <v/>
      </c>
      <c r="N999" s="155" t="str">
        <f t="shared" si="630"/>
        <v/>
      </c>
      <c r="O999" s="147" t="str">
        <f>IF($E999="","",MIN(VLOOKUP(IF($B999&lt;=Input!$C$7,$B999,26),'Mortality Tables'!$A$41:$CW$67,IF($B999&lt;=Input!$C$7+1,Input!$C$4+2,$D999-Input!$C$7+2),0)*IF(B999&gt;20,Input!$C$22,1)/1000,1))</f>
        <v/>
      </c>
      <c r="P999" s="147" t="str">
        <f>IF($E999="","",MIN(VLOOKUP(IF($B999&lt;=Input!$C$7,$B999,26),'Mortality Tables'!$A$12:$CW$37,IF($B999&lt;=Input!$C$7+1,Input!$C$4+2,$D999-Input!$C$7+2),0)*IF(B999&gt;20,Input!$C$22,1)/1000,1))</f>
        <v/>
      </c>
      <c r="Q999" s="155" t="str">
        <f>IF($E999="","",Input!$C$21)</f>
        <v/>
      </c>
      <c r="R999" s="159" t="str">
        <f>IF($E999="","",(1-Q999)^($F999-Input!$C$20))</f>
        <v/>
      </c>
      <c r="S999" s="147" t="str">
        <f t="shared" si="632"/>
        <v/>
      </c>
      <c r="T999" s="147" t="str">
        <f t="shared" si="633"/>
        <v/>
      </c>
      <c r="U999" s="160" t="str">
        <f>IF($E999="","",IF($C999=12,INDEX(Input!$C$15:$CP$15,1,$B999),0))</f>
        <v/>
      </c>
      <c r="V999" s="150" t="str">
        <f>IF(E999="","",IF(C999=1,IF($B999=1,Input!$C$33,Input!$C$34),0))</f>
        <v/>
      </c>
      <c r="W999" s="156" t="str">
        <f>IF($E999="","",Input!$C$35)</f>
        <v/>
      </c>
      <c r="X999" s="156" t="str">
        <f t="shared" si="631"/>
        <v/>
      </c>
      <c r="Y999" s="154"/>
      <c r="Z999" s="147" t="str">
        <f>IF($E999="","",VLOOKUP($D999,'Mortality Margins &amp; Grading'!$AB$5:$AF$125,3,0)*IF(Summary!$D$25="Included Margin",IF(AND($B999&gt;Input!$C$9,Summary!$D$31&lt;&gt;"Included Margin"),0,1),0))</f>
        <v/>
      </c>
      <c r="AA999" s="147" t="str">
        <f>IF($E999="","",VLOOKUP($D999,'Mortality Margins &amp; Grading'!$AB$5:$AF$125,5,0)*IF(Summary!$D$25="Included Margin",IF(AND($B999&gt;Input!$C$9,Summary!$D$31&lt;&gt;"Included Margin"),0,1),0))</f>
        <v/>
      </c>
      <c r="AB999" s="147" t="str">
        <f>IF($E999="","",IF(AND($B999&gt;Input!$C$9,Summary!$D$31&lt;&gt;"Included Margin"),1,IF(Summary!$D$25="Included Margin",VLOOKUP($B999,'Mortality Margins &amp; Grading'!$AI$5:$AR$125,MATCH('Mortality Margins &amp; Grading'!$AQ$4,'Mortality Margins &amp; Grading'!$AI$4:$AR$4,0),0),1)))</f>
        <v/>
      </c>
      <c r="AC999" s="154"/>
      <c r="AD999" s="158" t="str">
        <f>IF(E999="","",Input!$C$48*IF(Summary!$D$30="Included Margin",IF(AND($B999&gt;Input!$C$9,Summary!$D$31&lt;&gt;"Included Margin"),0,1),0))</f>
        <v/>
      </c>
      <c r="AE999" s="159" t="str">
        <f>IF(E999="","",IF(Summary!$D$26="Included Margin",IF(AND($B999&gt;Input!$C$9,Summary!$D$31&lt;&gt;"Included Margin"),1,1/$R999),1))</f>
        <v/>
      </c>
      <c r="AF999" s="160" t="str">
        <f>IF(E999="","",IF(AND($B999&gt;=Input!$C$9,$C999=12,Summary!$D$31="Included Margin",$U999&gt;0),1/U999-1,IF($B999&gt;=Input!$C$9,0,Input!$C$45*IF(Summary!$D$27="Included Margin",1,0))))</f>
        <v/>
      </c>
      <c r="AG999" s="160" t="str">
        <f>IF(E999="","",Input!$C$46*IF(Summary!$D$28="Included Margin",IF(AND($B999&gt;Input!$C$9,Summary!$D$31&lt;&gt;"Included Margin"),0,1),0))</f>
        <v/>
      </c>
      <c r="AH999" s="158" t="str">
        <f>IF(E999="","",Input!$C$47*IF(Summary!$D$29="Included Margin",IF(AND($B999&gt;Input!$C$9,Summary!$D$31&lt;&gt;"Included Margin"),0,1),0))</f>
        <v/>
      </c>
      <c r="AI999" s="154"/>
      <c r="AJ999" s="158" t="str">
        <f t="shared" si="647"/>
        <v/>
      </c>
      <c r="AK999" s="155" t="str">
        <f t="shared" si="648"/>
        <v/>
      </c>
      <c r="AL999" s="147" t="str">
        <f t="shared" si="649"/>
        <v/>
      </c>
      <c r="AM999" s="147" t="str">
        <f t="shared" si="634"/>
        <v/>
      </c>
      <c r="AN999" s="160" t="str">
        <f t="shared" si="650"/>
        <v/>
      </c>
      <c r="AO999" s="161" t="str">
        <f t="shared" si="651"/>
        <v/>
      </c>
      <c r="AP999" s="156" t="str">
        <f t="shared" si="635"/>
        <v/>
      </c>
      <c r="AQ999" s="152"/>
      <c r="AR999" s="162" t="str">
        <f t="shared" si="636"/>
        <v/>
      </c>
      <c r="AS999" s="150" t="str">
        <f t="shared" si="652"/>
        <v/>
      </c>
      <c r="AT999" s="163" t="str">
        <f t="shared" si="637"/>
        <v/>
      </c>
      <c r="AU999" s="163" t="str">
        <f t="shared" si="638"/>
        <v/>
      </c>
      <c r="AV999" s="163" t="str">
        <f t="shared" si="653"/>
        <v/>
      </c>
      <c r="AW999" s="163" t="str">
        <f t="shared" si="639"/>
        <v/>
      </c>
      <c r="AX999" s="163" t="str">
        <f t="shared" si="640"/>
        <v/>
      </c>
      <c r="AY999" s="164" t="str">
        <f t="shared" si="654"/>
        <v/>
      </c>
      <c r="AZ999" s="164" t="str">
        <f>IF($E999="","",IF(OR(AND($D999=Input!$C$6,$C999=12),$AN999=1),0,-AS1000+AT1000+AU1000-AV1000-AW1000-AX1000+AZ1000))</f>
        <v/>
      </c>
      <c r="BA999" s="154" t="str">
        <f t="shared" si="641"/>
        <v/>
      </c>
      <c r="BC999" s="147" t="str">
        <f t="shared" si="655"/>
        <v/>
      </c>
      <c r="BD999" s="164" t="str">
        <f>IF(AND($C998=12,$D998=Input!$C$6),0,IF($E999="","",AT999+(AU999+BD1000)/(1+$AK999)*MIN((1-AM999-AN999),1)))</f>
        <v/>
      </c>
      <c r="BE999" s="164" t="str">
        <f t="shared" si="670"/>
        <v/>
      </c>
      <c r="BF999" s="164" t="str">
        <f t="shared" si="656"/>
        <v/>
      </c>
      <c r="BG999" s="164" t="str">
        <f t="shared" si="642"/>
        <v/>
      </c>
      <c r="BH999" s="152"/>
      <c r="BI999" s="162" t="str">
        <f t="shared" si="664"/>
        <v/>
      </c>
      <c r="BJ999" s="150" t="str">
        <f t="shared" si="665"/>
        <v/>
      </c>
      <c r="BK999" s="163" t="str">
        <f t="shared" si="661"/>
        <v/>
      </c>
      <c r="BL999" s="163" t="str">
        <f t="shared" si="666"/>
        <v/>
      </c>
      <c r="BM999" s="163" t="str">
        <f t="shared" si="662"/>
        <v/>
      </c>
      <c r="BN999" s="163" t="str">
        <f t="shared" si="667"/>
        <v/>
      </c>
      <c r="BO999" s="163" t="str">
        <f t="shared" si="668"/>
        <v/>
      </c>
      <c r="BP999" s="164" t="str">
        <f t="shared" si="663"/>
        <v/>
      </c>
      <c r="BQ999" s="164" t="str">
        <f t="shared" si="657"/>
        <v/>
      </c>
      <c r="BR999" s="154" t="str">
        <f t="shared" si="669"/>
        <v/>
      </c>
      <c r="BT999" s="147" t="str">
        <f t="shared" si="643"/>
        <v/>
      </c>
      <c r="BU999" s="164" t="str">
        <f>IF(AND($C998=12,$D998=Input!$C$6),0,IF($E999="","",BK999+(BL999+BU1000)/(1+$AK999)*MIN((1-T999-U999),1)))</f>
        <v/>
      </c>
      <c r="BV999" s="164" t="str">
        <f t="shared" si="644"/>
        <v/>
      </c>
      <c r="BW999" s="164" t="str">
        <f t="shared" si="645"/>
        <v/>
      </c>
      <c r="BX999" s="164" t="str">
        <f t="shared" si="646"/>
        <v/>
      </c>
    </row>
    <row r="1000" spans="1:76" s="150" customFormat="1" x14ac:dyDescent="0.25">
      <c r="A1000" s="150" t="str">
        <f t="shared" si="658"/>
        <v/>
      </c>
      <c r="B1000" s="150" t="str">
        <f t="shared" si="659"/>
        <v/>
      </c>
      <c r="C1000" s="150" t="str">
        <f t="shared" si="660"/>
        <v/>
      </c>
      <c r="D1000" s="150" t="str">
        <f>IF(E1000="","",Input!$C$4+B1000-1)</f>
        <v/>
      </c>
      <c r="E1000" s="150" t="str">
        <f>IF(OR(AND(C999=12,D999=Input!$C$6),E999=""),"",1)</f>
        <v/>
      </c>
      <c r="F1000" s="150" t="str">
        <f>IF(E1000="","",Input!$C$8+B1000-1)</f>
        <v/>
      </c>
      <c r="G1000" s="151" t="str">
        <f>IF(E1000="","",MAX(0,Input!$C$9-B1000))</f>
        <v/>
      </c>
      <c r="H1000" s="152" t="str">
        <f>IF(E1000="","",Input!$C$3)</f>
        <v/>
      </c>
      <c r="I1000" s="153" t="str">
        <f>IF(E1000="","",HLOOKUP($B1000,Input!$C$13:$BT$14,2))</f>
        <v/>
      </c>
      <c r="J1000" s="154"/>
      <c r="K1000" s="155" t="str">
        <f>IF($E1000="","",INDEX(Input!$C$16:$CP$16,1,$B1000))</f>
        <v/>
      </c>
      <c r="L1000" s="155" t="str">
        <f>IF($E1000="","",Input!$C$37)</f>
        <v/>
      </c>
      <c r="M1000" s="155" t="str">
        <f t="shared" si="629"/>
        <v/>
      </c>
      <c r="N1000" s="155" t="str">
        <f t="shared" si="630"/>
        <v/>
      </c>
      <c r="O1000" s="147" t="str">
        <f>IF($E1000="","",MIN(VLOOKUP(IF($B1000&lt;=Input!$C$7,$B1000,26),'Mortality Tables'!$A$41:$CW$67,IF($B1000&lt;=Input!$C$7+1,Input!$C$4+2,$D1000-Input!$C$7+2),0)*IF(B1000&gt;20,Input!$C$22,1)/1000,1))</f>
        <v/>
      </c>
      <c r="P1000" s="147" t="str">
        <f>IF($E1000="","",MIN(VLOOKUP(IF($B1000&lt;=Input!$C$7,$B1000,26),'Mortality Tables'!$A$12:$CW$37,IF($B1000&lt;=Input!$C$7+1,Input!$C$4+2,$D1000-Input!$C$7+2),0)*IF(B1000&gt;20,Input!$C$22,1)/1000,1))</f>
        <v/>
      </c>
      <c r="Q1000" s="155" t="str">
        <f>IF($E1000="","",Input!$C$21)</f>
        <v/>
      </c>
      <c r="R1000" s="159" t="str">
        <f>IF($E1000="","",(1-Q1000)^($F1000-Input!$C$20))</f>
        <v/>
      </c>
      <c r="S1000" s="147" t="str">
        <f t="shared" si="632"/>
        <v/>
      </c>
      <c r="T1000" s="147" t="str">
        <f t="shared" si="633"/>
        <v/>
      </c>
      <c r="U1000" s="160" t="str">
        <f>IF($E1000="","",IF($C1000=12,INDEX(Input!$C$15:$CP$15,1,$B1000),0))</f>
        <v/>
      </c>
      <c r="V1000" s="150" t="str">
        <f>IF(E1000="","",IF(C1000=1,IF($B1000=1,Input!$C$33,Input!$C$34),0))</f>
        <v/>
      </c>
      <c r="W1000" s="156" t="str">
        <f>IF($E1000="","",Input!$C$35)</f>
        <v/>
      </c>
      <c r="X1000" s="156" t="str">
        <f t="shared" si="631"/>
        <v/>
      </c>
      <c r="Y1000" s="154"/>
      <c r="Z1000" s="147" t="str">
        <f>IF($E1000="","",VLOOKUP($D1000,'Mortality Margins &amp; Grading'!$AB$5:$AF$125,3,0)*IF(Summary!$D$25="Included Margin",IF(AND($B1000&gt;Input!$C$9,Summary!$D$31&lt;&gt;"Included Margin"),0,1),0))</f>
        <v/>
      </c>
      <c r="AA1000" s="147" t="str">
        <f>IF($E1000="","",VLOOKUP($D1000,'Mortality Margins &amp; Grading'!$AB$5:$AF$125,5,0)*IF(Summary!$D$25="Included Margin",IF(AND($B1000&gt;Input!$C$9,Summary!$D$31&lt;&gt;"Included Margin"),0,1),0))</f>
        <v/>
      </c>
      <c r="AB1000" s="147" t="str">
        <f>IF($E1000="","",IF(AND($B1000&gt;Input!$C$9,Summary!$D$31&lt;&gt;"Included Margin"),1,IF(Summary!$D$25="Included Margin",VLOOKUP($B1000,'Mortality Margins &amp; Grading'!$AI$5:$AR$125,MATCH('Mortality Margins &amp; Grading'!$AQ$4,'Mortality Margins &amp; Grading'!$AI$4:$AR$4,0),0),1)))</f>
        <v/>
      </c>
      <c r="AC1000" s="154"/>
      <c r="AD1000" s="158" t="str">
        <f>IF(E1000="","",Input!$C$48*IF(Summary!$D$30="Included Margin",IF(AND($B1000&gt;Input!$C$9,Summary!$D$31&lt;&gt;"Included Margin"),0,1),0))</f>
        <v/>
      </c>
      <c r="AE1000" s="159" t="str">
        <f>IF(E1000="","",IF(Summary!$D$26="Included Margin",IF(AND($B1000&gt;Input!$C$9,Summary!$D$31&lt;&gt;"Included Margin"),1,1/$R1000),1))</f>
        <v/>
      </c>
      <c r="AF1000" s="160" t="str">
        <f>IF(E1000="","",IF(AND($B1000&gt;=Input!$C$9,$C1000=12,Summary!$D$31="Included Margin",$U1000&gt;0),1/U1000-1,IF($B1000&gt;=Input!$C$9,0,Input!$C$45*IF(Summary!$D$27="Included Margin",1,0))))</f>
        <v/>
      </c>
      <c r="AG1000" s="160" t="str">
        <f>IF(E1000="","",Input!$C$46*IF(Summary!$D$28="Included Margin",IF(AND($B1000&gt;Input!$C$9,Summary!$D$31&lt;&gt;"Included Margin"),0,1),0))</f>
        <v/>
      </c>
      <c r="AH1000" s="158" t="str">
        <f>IF(E1000="","",Input!$C$47*IF(Summary!$D$29="Included Margin",IF(AND($B1000&gt;Input!$C$9,Summary!$D$31&lt;&gt;"Included Margin"),0,1),0))</f>
        <v/>
      </c>
      <c r="AI1000" s="154"/>
      <c r="AJ1000" s="158" t="str">
        <f t="shared" si="647"/>
        <v/>
      </c>
      <c r="AK1000" s="155" t="str">
        <f t="shared" si="648"/>
        <v/>
      </c>
      <c r="AL1000" s="147" t="str">
        <f t="shared" si="649"/>
        <v/>
      </c>
      <c r="AM1000" s="147" t="str">
        <f t="shared" si="634"/>
        <v/>
      </c>
      <c r="AN1000" s="160" t="str">
        <f t="shared" si="650"/>
        <v/>
      </c>
      <c r="AO1000" s="161" t="str">
        <f t="shared" si="651"/>
        <v/>
      </c>
      <c r="AP1000" s="156" t="str">
        <f t="shared" si="635"/>
        <v/>
      </c>
      <c r="AQ1000" s="152"/>
      <c r="AR1000" s="162" t="str">
        <f t="shared" si="636"/>
        <v/>
      </c>
      <c r="AS1000" s="150" t="str">
        <f t="shared" si="652"/>
        <v/>
      </c>
      <c r="AT1000" s="163" t="str">
        <f t="shared" si="637"/>
        <v/>
      </c>
      <c r="AU1000" s="163" t="str">
        <f t="shared" si="638"/>
        <v/>
      </c>
      <c r="AV1000" s="163" t="str">
        <f t="shared" si="653"/>
        <v/>
      </c>
      <c r="AW1000" s="163" t="str">
        <f t="shared" si="639"/>
        <v/>
      </c>
      <c r="AX1000" s="163" t="str">
        <f t="shared" si="640"/>
        <v/>
      </c>
      <c r="AY1000" s="165" t="str">
        <f t="shared" si="654"/>
        <v/>
      </c>
      <c r="AZ1000" s="164" t="str">
        <f>IF($E1000="","",IF(OR(AND($D1000=Input!$C$6,$C1000=12),$AN1000=1),0,-AS1001+AT1001+AU1001-AV1001-AW1001-AX1001+AZ1001))</f>
        <v/>
      </c>
      <c r="BA1000" s="154" t="str">
        <f t="shared" si="641"/>
        <v/>
      </c>
      <c r="BC1000" s="147" t="str">
        <f t="shared" si="655"/>
        <v/>
      </c>
      <c r="BD1000" s="164" t="str">
        <f>IF(AND($C999=12,$D999=Input!$C$6),0,IF($E1000="","",AT1000+(AU1000+BD1001)/(1+$AK1000)*MIN((1-AM1000-AN1000),1)))</f>
        <v/>
      </c>
      <c r="BE1000" s="164" t="str">
        <f t="shared" si="670"/>
        <v/>
      </c>
      <c r="BF1000" s="164" t="str">
        <f t="shared" si="656"/>
        <v/>
      </c>
      <c r="BG1000" s="164" t="str">
        <f t="shared" si="642"/>
        <v/>
      </c>
      <c r="BH1000" s="152"/>
      <c r="BI1000" s="162" t="str">
        <f t="shared" si="664"/>
        <v/>
      </c>
      <c r="BJ1000" s="150" t="str">
        <f t="shared" si="665"/>
        <v/>
      </c>
      <c r="BK1000" s="163" t="str">
        <f t="shared" si="661"/>
        <v/>
      </c>
      <c r="BL1000" s="163" t="str">
        <f t="shared" si="666"/>
        <v/>
      </c>
      <c r="BM1000" s="163" t="str">
        <f t="shared" si="662"/>
        <v/>
      </c>
      <c r="BN1000" s="163" t="str">
        <f t="shared" si="667"/>
        <v/>
      </c>
      <c r="BO1000" s="163" t="str">
        <f t="shared" si="668"/>
        <v/>
      </c>
      <c r="BP1000" s="164" t="str">
        <f t="shared" si="663"/>
        <v/>
      </c>
      <c r="BQ1000" s="164" t="str">
        <f t="shared" si="657"/>
        <v/>
      </c>
      <c r="BR1000" s="154" t="str">
        <f t="shared" si="669"/>
        <v/>
      </c>
      <c r="BT1000" s="147" t="str">
        <f t="shared" si="643"/>
        <v/>
      </c>
      <c r="BU1000" s="164" t="str">
        <f>IF(AND($C999=12,$D999=Input!$C$6),0,IF($E1000="","",BK1000+(BL1000+BU1001)/(1+$AK1000)*MIN((1-T1000-U1000),1)))</f>
        <v/>
      </c>
      <c r="BV1000" s="164" t="str">
        <f t="shared" si="644"/>
        <v/>
      </c>
      <c r="BW1000" s="164" t="str">
        <f t="shared" si="645"/>
        <v/>
      </c>
      <c r="BX1000" s="164" t="str">
        <f t="shared" si="646"/>
        <v/>
      </c>
    </row>
    <row r="1001" spans="1:76" s="150" customFormat="1" x14ac:dyDescent="0.25">
      <c r="A1001" s="150" t="str">
        <f t="shared" si="658"/>
        <v/>
      </c>
      <c r="B1001" s="150" t="str">
        <f t="shared" si="659"/>
        <v/>
      </c>
      <c r="C1001" s="150" t="str">
        <f t="shared" si="660"/>
        <v/>
      </c>
      <c r="D1001" s="150" t="str">
        <f>IF(E1001="","",Input!$C$4+B1001-1)</f>
        <v/>
      </c>
      <c r="E1001" s="150" t="str">
        <f>IF(OR(AND(C1000=12,D1000=Input!$C$6),E1000=""),"",1)</f>
        <v/>
      </c>
      <c r="F1001" s="150" t="str">
        <f>IF(E1001="","",Input!$C$8+B1001-1)</f>
        <v/>
      </c>
      <c r="G1001" s="151" t="str">
        <f>IF(E1001="","",MAX(0,Input!$C$9-B1001))</f>
        <v/>
      </c>
      <c r="H1001" s="152" t="str">
        <f>IF(E1001="","",Input!$C$3)</f>
        <v/>
      </c>
      <c r="I1001" s="153" t="str">
        <f>IF(E1001="","",HLOOKUP($B1001,Input!$C$13:$BT$14,2))</f>
        <v/>
      </c>
      <c r="J1001" s="154"/>
      <c r="K1001" s="155" t="str">
        <f>IF($E1001="","",INDEX(Input!$C$16:$CP$16,1,$B1001))</f>
        <v/>
      </c>
      <c r="L1001" s="155" t="str">
        <f>IF($E1001="","",Input!$C$37)</f>
        <v/>
      </c>
      <c r="M1001" s="155" t="str">
        <f t="shared" si="629"/>
        <v/>
      </c>
      <c r="N1001" s="155" t="str">
        <f t="shared" si="630"/>
        <v/>
      </c>
      <c r="O1001" s="147" t="str">
        <f>IF($E1001="","",MIN(VLOOKUP(IF($B1001&lt;=Input!$C$7,$B1001,26),'Mortality Tables'!$A$41:$CW$67,IF($B1001&lt;=Input!$C$7+1,Input!$C$4+2,$D1001-Input!$C$7+2),0)*IF(B1001&gt;20,Input!$C$22,1)/1000,1))</f>
        <v/>
      </c>
      <c r="P1001" s="147" t="str">
        <f>IF($E1001="","",MIN(VLOOKUP(IF($B1001&lt;=Input!$C$7,$B1001,26),'Mortality Tables'!$A$12:$CW$37,IF($B1001&lt;=Input!$C$7+1,Input!$C$4+2,$D1001-Input!$C$7+2),0)*IF(B1001&gt;20,Input!$C$22,1)/1000,1))</f>
        <v/>
      </c>
      <c r="Q1001" s="155" t="str">
        <f>IF($E1001="","",Input!$C$21)</f>
        <v/>
      </c>
      <c r="R1001" s="159" t="str">
        <f>IF($E1001="","",(1-Q1001)^($F1001-Input!$C$20))</f>
        <v/>
      </c>
      <c r="S1001" s="147" t="str">
        <f t="shared" si="632"/>
        <v/>
      </c>
      <c r="T1001" s="147" t="str">
        <f t="shared" si="633"/>
        <v/>
      </c>
      <c r="U1001" s="160" t="str">
        <f>IF($E1001="","",IF($C1001=12,INDEX(Input!$C$15:$CP$15,1,$B1001),0))</f>
        <v/>
      </c>
      <c r="V1001" s="150" t="str">
        <f>IF(E1001="","",IF(C1001=1,IF($B1001=1,Input!$C$33,Input!$C$34),0))</f>
        <v/>
      </c>
      <c r="W1001" s="156" t="str">
        <f>IF($E1001="","",Input!$C$35)</f>
        <v/>
      </c>
      <c r="X1001" s="156" t="str">
        <f t="shared" si="631"/>
        <v/>
      </c>
      <c r="Y1001" s="154"/>
      <c r="Z1001" s="147" t="str">
        <f>IF($E1001="","",VLOOKUP($D1001,'Mortality Margins &amp; Grading'!$AB$5:$AF$125,3,0)*IF(Summary!$D$25="Included Margin",IF(AND($B1001&gt;Input!$C$9,Summary!$D$31&lt;&gt;"Included Margin"),0,1),0))</f>
        <v/>
      </c>
      <c r="AA1001" s="147" t="str">
        <f>IF($E1001="","",VLOOKUP($D1001,'Mortality Margins &amp; Grading'!$AB$5:$AF$125,5,0)*IF(Summary!$D$25="Included Margin",IF(AND($B1001&gt;Input!$C$9,Summary!$D$31&lt;&gt;"Included Margin"),0,1),0))</f>
        <v/>
      </c>
      <c r="AB1001" s="147" t="str">
        <f>IF($E1001="","",IF(AND($B1001&gt;Input!$C$9,Summary!$D$31&lt;&gt;"Included Margin"),1,IF(Summary!$D$25="Included Margin",VLOOKUP($B1001,'Mortality Margins &amp; Grading'!$AI$5:$AR$125,MATCH('Mortality Margins &amp; Grading'!$AQ$4,'Mortality Margins &amp; Grading'!$AI$4:$AR$4,0),0),1)))</f>
        <v/>
      </c>
      <c r="AC1001" s="154"/>
      <c r="AD1001" s="158" t="str">
        <f>IF(E1001="","",Input!$C$48*IF(Summary!$D$30="Included Margin",IF(AND($B1001&gt;Input!$C$9,Summary!$D$31&lt;&gt;"Included Margin"),0,1),0))</f>
        <v/>
      </c>
      <c r="AE1001" s="159" t="str">
        <f>IF(E1001="","",IF(Summary!$D$26="Included Margin",IF(AND($B1001&gt;Input!$C$9,Summary!$D$31&lt;&gt;"Included Margin"),1,1/$R1001),1))</f>
        <v/>
      </c>
      <c r="AF1001" s="160" t="str">
        <f>IF(E1001="","",IF(AND($B1001&gt;=Input!$C$9,$C1001=12,Summary!$D$31="Included Margin",$U1001&gt;0),1/U1001-1,IF($B1001&gt;=Input!$C$9,0,Input!$C$45*IF(Summary!$D$27="Included Margin",1,0))))</f>
        <v/>
      </c>
      <c r="AG1001" s="160" t="str">
        <f>IF(E1001="","",Input!$C$46*IF(Summary!$D$28="Included Margin",IF(AND($B1001&gt;Input!$C$9,Summary!$D$31&lt;&gt;"Included Margin"),0,1),0))</f>
        <v/>
      </c>
      <c r="AH1001" s="158" t="str">
        <f>IF(E1001="","",Input!$C$47*IF(Summary!$D$29="Included Margin",IF(AND($B1001&gt;Input!$C$9,Summary!$D$31&lt;&gt;"Included Margin"),0,1),0))</f>
        <v/>
      </c>
      <c r="AI1001" s="154"/>
      <c r="AJ1001" s="158" t="str">
        <f t="shared" si="647"/>
        <v/>
      </c>
      <c r="AK1001" s="155" t="str">
        <f t="shared" si="648"/>
        <v/>
      </c>
      <c r="AL1001" s="147" t="str">
        <f t="shared" si="649"/>
        <v/>
      </c>
      <c r="AM1001" s="147" t="str">
        <f t="shared" si="634"/>
        <v/>
      </c>
      <c r="AN1001" s="160" t="str">
        <f t="shared" si="650"/>
        <v/>
      </c>
      <c r="AO1001" s="161" t="str">
        <f t="shared" si="651"/>
        <v/>
      </c>
      <c r="AP1001" s="156" t="str">
        <f t="shared" si="635"/>
        <v/>
      </c>
      <c r="AQ1001" s="152"/>
      <c r="AR1001" s="162" t="str">
        <f t="shared" si="636"/>
        <v/>
      </c>
      <c r="AS1001" s="150" t="str">
        <f t="shared" si="652"/>
        <v/>
      </c>
      <c r="AT1001" s="163" t="str">
        <f t="shared" si="637"/>
        <v/>
      </c>
      <c r="AU1001" s="163" t="str">
        <f t="shared" si="638"/>
        <v/>
      </c>
      <c r="AV1001" s="163" t="str">
        <f t="shared" si="653"/>
        <v/>
      </c>
      <c r="AW1001" s="163" t="str">
        <f t="shared" si="639"/>
        <v/>
      </c>
      <c r="AX1001" s="163" t="str">
        <f t="shared" si="640"/>
        <v/>
      </c>
      <c r="AY1001" s="164" t="str">
        <f t="shared" si="654"/>
        <v/>
      </c>
      <c r="AZ1001" s="164" t="str">
        <f>IF($E1001="","",IF(OR(AND($D1001=Input!$C$6,$C1001=12),$AN1001=1),0,-AS1002+AT1002+AU1002-AV1002-AW1002-AX1002+AZ1002))</f>
        <v/>
      </c>
      <c r="BA1001" s="154" t="str">
        <f t="shared" si="641"/>
        <v/>
      </c>
      <c r="BC1001" s="147" t="str">
        <f t="shared" si="655"/>
        <v/>
      </c>
      <c r="BD1001" s="164" t="str">
        <f>IF(AND($C1000=12,$D1000=Input!$C$6),0,IF($E1001="","",AT1001+(AU1001+BD1002)/(1+$AK1001)*MIN((1-AM1001-AN1001),1)))</f>
        <v/>
      </c>
      <c r="BE1001" s="164" t="str">
        <f t="shared" si="670"/>
        <v/>
      </c>
      <c r="BF1001" s="164" t="str">
        <f t="shared" si="656"/>
        <v/>
      </c>
      <c r="BG1001" s="164" t="str">
        <f t="shared" si="642"/>
        <v/>
      </c>
      <c r="BH1001" s="152"/>
      <c r="BI1001" s="162" t="str">
        <f t="shared" si="664"/>
        <v/>
      </c>
      <c r="BJ1001" s="150" t="str">
        <f t="shared" si="665"/>
        <v/>
      </c>
      <c r="BK1001" s="163" t="str">
        <f t="shared" si="661"/>
        <v/>
      </c>
      <c r="BL1001" s="163" t="str">
        <f t="shared" si="666"/>
        <v/>
      </c>
      <c r="BM1001" s="163" t="str">
        <f t="shared" si="662"/>
        <v/>
      </c>
      <c r="BN1001" s="163" t="str">
        <f t="shared" si="667"/>
        <v/>
      </c>
      <c r="BO1001" s="163" t="str">
        <f t="shared" si="668"/>
        <v/>
      </c>
      <c r="BP1001" s="164" t="str">
        <f t="shared" si="663"/>
        <v/>
      </c>
      <c r="BQ1001" s="164" t="str">
        <f t="shared" si="657"/>
        <v/>
      </c>
      <c r="BR1001" s="154" t="str">
        <f t="shared" si="669"/>
        <v/>
      </c>
      <c r="BT1001" s="147" t="str">
        <f t="shared" si="643"/>
        <v/>
      </c>
      <c r="BU1001" s="164" t="str">
        <f>IF(AND($C1000=12,$D1000=Input!$C$6),0,IF($E1001="","",BK1001+(BL1001+BU1002)/(1+$AK1001)*MIN((1-T1001-U1001),1)))</f>
        <v/>
      </c>
      <c r="BV1001" s="164" t="str">
        <f t="shared" si="644"/>
        <v/>
      </c>
      <c r="BW1001" s="164" t="str">
        <f t="shared" si="645"/>
        <v/>
      </c>
      <c r="BX1001" s="164" t="str">
        <f t="shared" si="646"/>
        <v/>
      </c>
    </row>
    <row r="1002" spans="1:76" s="150" customFormat="1" x14ac:dyDescent="0.25">
      <c r="A1002" s="150" t="str">
        <f t="shared" si="658"/>
        <v/>
      </c>
      <c r="B1002" s="150" t="str">
        <f t="shared" si="659"/>
        <v/>
      </c>
      <c r="C1002" s="150" t="str">
        <f t="shared" si="660"/>
        <v/>
      </c>
      <c r="D1002" s="150" t="str">
        <f>IF(E1002="","",Input!$C$4+B1002-1)</f>
        <v/>
      </c>
      <c r="E1002" s="150" t="str">
        <f>IF(OR(AND(C1001=12,D1001=Input!$C$6),E1001=""),"",1)</f>
        <v/>
      </c>
      <c r="F1002" s="150" t="str">
        <f>IF(E1002="","",Input!$C$8+B1002-1)</f>
        <v/>
      </c>
      <c r="G1002" s="151" t="str">
        <f>IF(E1002="","",MAX(0,Input!$C$9-B1002))</f>
        <v/>
      </c>
      <c r="H1002" s="152" t="str">
        <f>IF(E1002="","",Input!$C$3)</f>
        <v/>
      </c>
      <c r="I1002" s="153" t="str">
        <f>IF(E1002="","",HLOOKUP($B1002,Input!$C$13:$BT$14,2))</f>
        <v/>
      </c>
      <c r="J1002" s="154"/>
      <c r="K1002" s="155" t="str">
        <f>IF($E1002="","",INDEX(Input!$C$16:$CP$16,1,$B1002))</f>
        <v/>
      </c>
      <c r="L1002" s="155" t="str">
        <f>IF($E1002="","",Input!$C$37)</f>
        <v/>
      </c>
      <c r="M1002" s="155" t="str">
        <f t="shared" si="629"/>
        <v/>
      </c>
      <c r="N1002" s="155" t="str">
        <f t="shared" si="630"/>
        <v/>
      </c>
      <c r="O1002" s="147" t="str">
        <f>IF($E1002="","",MIN(VLOOKUP(IF($B1002&lt;=Input!$C$7,$B1002,26),'Mortality Tables'!$A$41:$CW$67,IF($B1002&lt;=Input!$C$7+1,Input!$C$4+2,$D1002-Input!$C$7+2),0)*IF(B1002&gt;20,Input!$C$22,1)/1000,1))</f>
        <v/>
      </c>
      <c r="P1002" s="147" t="str">
        <f>IF($E1002="","",MIN(VLOOKUP(IF($B1002&lt;=Input!$C$7,$B1002,26),'Mortality Tables'!$A$12:$CW$37,IF($B1002&lt;=Input!$C$7+1,Input!$C$4+2,$D1002-Input!$C$7+2),0)*IF(B1002&gt;20,Input!$C$22,1)/1000,1))</f>
        <v/>
      </c>
      <c r="Q1002" s="155" t="str">
        <f>IF($E1002="","",Input!$C$21)</f>
        <v/>
      </c>
      <c r="R1002" s="159" t="str">
        <f>IF($E1002="","",(1-Q1002)^($F1002-Input!$C$20))</f>
        <v/>
      </c>
      <c r="S1002" s="147" t="str">
        <f t="shared" si="632"/>
        <v/>
      </c>
      <c r="T1002" s="147" t="str">
        <f t="shared" si="633"/>
        <v/>
      </c>
      <c r="U1002" s="160" t="str">
        <f>IF($E1002="","",IF($C1002=12,INDEX(Input!$C$15:$CP$15,1,$B1002),0))</f>
        <v/>
      </c>
      <c r="V1002" s="150" t="str">
        <f>IF(E1002="","",IF(C1002=1,IF($B1002=1,Input!$C$33,Input!$C$34),0))</f>
        <v/>
      </c>
      <c r="W1002" s="156" t="str">
        <f>IF($E1002="","",Input!$C$35)</f>
        <v/>
      </c>
      <c r="X1002" s="156" t="str">
        <f t="shared" si="631"/>
        <v/>
      </c>
      <c r="Y1002" s="154"/>
      <c r="Z1002" s="147" t="str">
        <f>IF($E1002="","",VLOOKUP($D1002,'Mortality Margins &amp; Grading'!$AB$5:$AF$125,3,0)*IF(Summary!$D$25="Included Margin",IF(AND($B1002&gt;Input!$C$9,Summary!$D$31&lt;&gt;"Included Margin"),0,1),0))</f>
        <v/>
      </c>
      <c r="AA1002" s="147" t="str">
        <f>IF($E1002="","",VLOOKUP($D1002,'Mortality Margins &amp; Grading'!$AB$5:$AF$125,5,0)*IF(Summary!$D$25="Included Margin",IF(AND($B1002&gt;Input!$C$9,Summary!$D$31&lt;&gt;"Included Margin"),0,1),0))</f>
        <v/>
      </c>
      <c r="AB1002" s="147" t="str">
        <f>IF($E1002="","",IF(AND($B1002&gt;Input!$C$9,Summary!$D$31&lt;&gt;"Included Margin"),1,IF(Summary!$D$25="Included Margin",VLOOKUP($B1002,'Mortality Margins &amp; Grading'!$AI$5:$AR$125,MATCH('Mortality Margins &amp; Grading'!$AQ$4,'Mortality Margins &amp; Grading'!$AI$4:$AR$4,0),0),1)))</f>
        <v/>
      </c>
      <c r="AC1002" s="154"/>
      <c r="AD1002" s="158" t="str">
        <f>IF(E1002="","",Input!$C$48*IF(Summary!$D$30="Included Margin",IF(AND($B1002&gt;Input!$C$9,Summary!$D$31&lt;&gt;"Included Margin"),0,1),0))</f>
        <v/>
      </c>
      <c r="AE1002" s="159" t="str">
        <f>IF(E1002="","",IF(Summary!$D$26="Included Margin",IF(AND($B1002&gt;Input!$C$9,Summary!$D$31&lt;&gt;"Included Margin"),1,1/$R1002),1))</f>
        <v/>
      </c>
      <c r="AF1002" s="160" t="str">
        <f>IF(E1002="","",IF(AND($B1002&gt;=Input!$C$9,$C1002=12,Summary!$D$31="Included Margin",$U1002&gt;0),1/U1002-1,IF($B1002&gt;=Input!$C$9,0,Input!$C$45*IF(Summary!$D$27="Included Margin",1,0))))</f>
        <v/>
      </c>
      <c r="AG1002" s="160" t="str">
        <f>IF(E1002="","",Input!$C$46*IF(Summary!$D$28="Included Margin",IF(AND($B1002&gt;Input!$C$9,Summary!$D$31&lt;&gt;"Included Margin"),0,1),0))</f>
        <v/>
      </c>
      <c r="AH1002" s="158" t="str">
        <f>IF(E1002="","",Input!$C$47*IF(Summary!$D$29="Included Margin",IF(AND($B1002&gt;Input!$C$9,Summary!$D$31&lt;&gt;"Included Margin"),0,1),0))</f>
        <v/>
      </c>
      <c r="AI1002" s="154"/>
      <c r="AJ1002" s="158" t="str">
        <f t="shared" si="647"/>
        <v/>
      </c>
      <c r="AK1002" s="155" t="str">
        <f t="shared" si="648"/>
        <v/>
      </c>
      <c r="AL1002" s="147" t="str">
        <f t="shared" si="649"/>
        <v/>
      </c>
      <c r="AM1002" s="147" t="str">
        <f t="shared" si="634"/>
        <v/>
      </c>
      <c r="AN1002" s="160" t="str">
        <f t="shared" si="650"/>
        <v/>
      </c>
      <c r="AO1002" s="161" t="str">
        <f t="shared" si="651"/>
        <v/>
      </c>
      <c r="AP1002" s="156" t="str">
        <f t="shared" si="635"/>
        <v/>
      </c>
      <c r="AQ1002" s="152"/>
      <c r="AR1002" s="162" t="str">
        <f t="shared" si="636"/>
        <v/>
      </c>
      <c r="AS1002" s="150" t="str">
        <f t="shared" si="652"/>
        <v/>
      </c>
      <c r="AT1002" s="163" t="str">
        <f t="shared" si="637"/>
        <v/>
      </c>
      <c r="AU1002" s="163" t="str">
        <f t="shared" si="638"/>
        <v/>
      </c>
      <c r="AV1002" s="163" t="str">
        <f t="shared" si="653"/>
        <v/>
      </c>
      <c r="AW1002" s="163" t="str">
        <f t="shared" si="639"/>
        <v/>
      </c>
      <c r="AX1002" s="163" t="str">
        <f t="shared" si="640"/>
        <v/>
      </c>
      <c r="AY1002" s="165" t="str">
        <f t="shared" si="654"/>
        <v/>
      </c>
      <c r="AZ1002" s="164" t="str">
        <f>IF($E1002="","",IF(OR(AND($D1002=Input!$C$6,$C1002=12),$AN1002=1),0,-AS1003+AT1003+AU1003-AV1003-AW1003-AX1003+AZ1003))</f>
        <v/>
      </c>
      <c r="BA1002" s="154" t="str">
        <f t="shared" si="641"/>
        <v/>
      </c>
      <c r="BC1002" s="147" t="str">
        <f t="shared" si="655"/>
        <v/>
      </c>
      <c r="BD1002" s="164" t="str">
        <f>IF(AND($C1001=12,$D1001=Input!$C$6),0,IF($E1002="","",AT1002+(AU1002+BD1003)/(1+$AK1002)*MIN((1-AM1002-AN1002),1)))</f>
        <v/>
      </c>
      <c r="BE1002" s="164" t="str">
        <f t="shared" si="670"/>
        <v/>
      </c>
      <c r="BF1002" s="164" t="str">
        <f t="shared" si="656"/>
        <v/>
      </c>
      <c r="BG1002" s="164" t="str">
        <f t="shared" si="642"/>
        <v/>
      </c>
      <c r="BH1002" s="152"/>
      <c r="BI1002" s="162" t="str">
        <f t="shared" si="664"/>
        <v/>
      </c>
      <c r="BJ1002" s="150" t="str">
        <f t="shared" si="665"/>
        <v/>
      </c>
      <c r="BK1002" s="163" t="str">
        <f t="shared" si="661"/>
        <v/>
      </c>
      <c r="BL1002" s="163" t="str">
        <f t="shared" si="666"/>
        <v/>
      </c>
      <c r="BM1002" s="163" t="str">
        <f t="shared" si="662"/>
        <v/>
      </c>
      <c r="BN1002" s="163" t="str">
        <f t="shared" si="667"/>
        <v/>
      </c>
      <c r="BO1002" s="163" t="str">
        <f t="shared" si="668"/>
        <v/>
      </c>
      <c r="BP1002" s="164" t="str">
        <f t="shared" si="663"/>
        <v/>
      </c>
      <c r="BQ1002" s="164" t="str">
        <f t="shared" si="657"/>
        <v/>
      </c>
      <c r="BR1002" s="154" t="str">
        <f t="shared" si="669"/>
        <v/>
      </c>
      <c r="BT1002" s="147" t="str">
        <f t="shared" si="643"/>
        <v/>
      </c>
      <c r="BU1002" s="164" t="str">
        <f>IF(AND($C1001=12,$D1001=Input!$C$6),0,IF($E1002="","",BK1002+(BL1002+BU1003)/(1+$AK1002)*MIN((1-T1002-U1002),1)))</f>
        <v/>
      </c>
      <c r="BV1002" s="164" t="str">
        <f t="shared" si="644"/>
        <v/>
      </c>
      <c r="BW1002" s="164" t="str">
        <f t="shared" si="645"/>
        <v/>
      </c>
      <c r="BX1002" s="164" t="str">
        <f t="shared" si="646"/>
        <v/>
      </c>
    </row>
    <row r="1003" spans="1:76" s="150" customFormat="1" x14ac:dyDescent="0.25">
      <c r="A1003" s="150" t="str">
        <f t="shared" si="658"/>
        <v/>
      </c>
      <c r="B1003" s="150" t="str">
        <f t="shared" si="659"/>
        <v/>
      </c>
      <c r="C1003" s="150" t="str">
        <f t="shared" si="660"/>
        <v/>
      </c>
      <c r="D1003" s="150" t="str">
        <f>IF(E1003="","",Input!$C$4+B1003-1)</f>
        <v/>
      </c>
      <c r="E1003" s="150" t="str">
        <f>IF(OR(AND(C1002=12,D1002=Input!$C$6),E1002=""),"",1)</f>
        <v/>
      </c>
      <c r="F1003" s="150" t="str">
        <f>IF(E1003="","",Input!$C$8+B1003-1)</f>
        <v/>
      </c>
      <c r="G1003" s="151" t="str">
        <f>IF(E1003="","",MAX(0,Input!$C$9-B1003))</f>
        <v/>
      </c>
      <c r="H1003" s="152" t="str">
        <f>IF(E1003="","",Input!$C$3)</f>
        <v/>
      </c>
      <c r="I1003" s="153" t="str">
        <f>IF(E1003="","",HLOOKUP($B1003,Input!$C$13:$BT$14,2))</f>
        <v/>
      </c>
      <c r="J1003" s="154"/>
      <c r="K1003" s="155" t="str">
        <f>IF($E1003="","",INDEX(Input!$C$16:$CP$16,1,$B1003))</f>
        <v/>
      </c>
      <c r="L1003" s="155" t="str">
        <f>IF($E1003="","",Input!$C$37)</f>
        <v/>
      </c>
      <c r="M1003" s="155" t="str">
        <f t="shared" si="629"/>
        <v/>
      </c>
      <c r="N1003" s="155" t="str">
        <f t="shared" si="630"/>
        <v/>
      </c>
      <c r="O1003" s="147" t="str">
        <f>IF($E1003="","",MIN(VLOOKUP(IF($B1003&lt;=Input!$C$7,$B1003,26),'Mortality Tables'!$A$41:$CW$67,IF($B1003&lt;=Input!$C$7+1,Input!$C$4+2,$D1003-Input!$C$7+2),0)*IF(B1003&gt;20,Input!$C$22,1)/1000,1))</f>
        <v/>
      </c>
      <c r="P1003" s="147" t="str">
        <f>IF($E1003="","",MIN(VLOOKUP(IF($B1003&lt;=Input!$C$7,$B1003,26),'Mortality Tables'!$A$12:$CW$37,IF($B1003&lt;=Input!$C$7+1,Input!$C$4+2,$D1003-Input!$C$7+2),0)*IF(B1003&gt;20,Input!$C$22,1)/1000,1))</f>
        <v/>
      </c>
      <c r="Q1003" s="155" t="str">
        <f>IF($E1003="","",Input!$C$21)</f>
        <v/>
      </c>
      <c r="R1003" s="159" t="str">
        <f>IF($E1003="","",(1-Q1003)^($F1003-Input!$C$20))</f>
        <v/>
      </c>
      <c r="S1003" s="147" t="str">
        <f t="shared" si="632"/>
        <v/>
      </c>
      <c r="T1003" s="147" t="str">
        <f t="shared" si="633"/>
        <v/>
      </c>
      <c r="U1003" s="160" t="str">
        <f>IF($E1003="","",IF($C1003=12,INDEX(Input!$C$15:$CP$15,1,$B1003),0))</f>
        <v/>
      </c>
      <c r="V1003" s="150" t="str">
        <f>IF(E1003="","",IF(C1003=1,IF($B1003=1,Input!$C$33,Input!$C$34),0))</f>
        <v/>
      </c>
      <c r="W1003" s="156" t="str">
        <f>IF($E1003="","",Input!$C$35)</f>
        <v/>
      </c>
      <c r="X1003" s="156" t="str">
        <f t="shared" si="631"/>
        <v/>
      </c>
      <c r="Y1003" s="154"/>
      <c r="Z1003" s="147" t="str">
        <f>IF($E1003="","",VLOOKUP($D1003,'Mortality Margins &amp; Grading'!$AB$5:$AF$125,3,0)*IF(Summary!$D$25="Included Margin",IF(AND($B1003&gt;Input!$C$9,Summary!$D$31&lt;&gt;"Included Margin"),0,1),0))</f>
        <v/>
      </c>
      <c r="AA1003" s="147" t="str">
        <f>IF($E1003="","",VLOOKUP($D1003,'Mortality Margins &amp; Grading'!$AB$5:$AF$125,5,0)*IF(Summary!$D$25="Included Margin",IF(AND($B1003&gt;Input!$C$9,Summary!$D$31&lt;&gt;"Included Margin"),0,1),0))</f>
        <v/>
      </c>
      <c r="AB1003" s="147" t="str">
        <f>IF($E1003="","",IF(AND($B1003&gt;Input!$C$9,Summary!$D$31&lt;&gt;"Included Margin"),1,IF(Summary!$D$25="Included Margin",VLOOKUP($B1003,'Mortality Margins &amp; Grading'!$AI$5:$AR$125,MATCH('Mortality Margins &amp; Grading'!$AQ$4,'Mortality Margins &amp; Grading'!$AI$4:$AR$4,0),0),1)))</f>
        <v/>
      </c>
      <c r="AC1003" s="154"/>
      <c r="AD1003" s="158" t="str">
        <f>IF(E1003="","",Input!$C$48*IF(Summary!$D$30="Included Margin",IF(AND($B1003&gt;Input!$C$9,Summary!$D$31&lt;&gt;"Included Margin"),0,1),0))</f>
        <v/>
      </c>
      <c r="AE1003" s="159" t="str">
        <f>IF(E1003="","",IF(Summary!$D$26="Included Margin",IF(AND($B1003&gt;Input!$C$9,Summary!$D$31&lt;&gt;"Included Margin"),1,1/$R1003),1))</f>
        <v/>
      </c>
      <c r="AF1003" s="160" t="str">
        <f>IF(E1003="","",IF(AND($B1003&gt;=Input!$C$9,$C1003=12,Summary!$D$31="Included Margin",$U1003&gt;0),1/U1003-1,IF($B1003&gt;=Input!$C$9,0,Input!$C$45*IF(Summary!$D$27="Included Margin",1,0))))</f>
        <v/>
      </c>
      <c r="AG1003" s="160" t="str">
        <f>IF(E1003="","",Input!$C$46*IF(Summary!$D$28="Included Margin",IF(AND($B1003&gt;Input!$C$9,Summary!$D$31&lt;&gt;"Included Margin"),0,1),0))</f>
        <v/>
      </c>
      <c r="AH1003" s="158" t="str">
        <f>IF(E1003="","",Input!$C$47*IF(Summary!$D$29="Included Margin",IF(AND($B1003&gt;Input!$C$9,Summary!$D$31&lt;&gt;"Included Margin"),0,1),0))</f>
        <v/>
      </c>
      <c r="AI1003" s="154"/>
      <c r="AJ1003" s="158" t="str">
        <f t="shared" si="647"/>
        <v/>
      </c>
      <c r="AK1003" s="155" t="str">
        <f t="shared" si="648"/>
        <v/>
      </c>
      <c r="AL1003" s="147" t="str">
        <f t="shared" si="649"/>
        <v/>
      </c>
      <c r="AM1003" s="147" t="str">
        <f t="shared" si="634"/>
        <v/>
      </c>
      <c r="AN1003" s="160" t="str">
        <f t="shared" si="650"/>
        <v/>
      </c>
      <c r="AO1003" s="161" t="str">
        <f t="shared" si="651"/>
        <v/>
      </c>
      <c r="AP1003" s="156" t="str">
        <f t="shared" si="635"/>
        <v/>
      </c>
      <c r="AQ1003" s="152"/>
      <c r="AR1003" s="162" t="str">
        <f t="shared" si="636"/>
        <v/>
      </c>
      <c r="AS1003" s="150" t="str">
        <f t="shared" si="652"/>
        <v/>
      </c>
      <c r="AT1003" s="163" t="str">
        <f t="shared" si="637"/>
        <v/>
      </c>
      <c r="AU1003" s="163" t="str">
        <f t="shared" si="638"/>
        <v/>
      </c>
      <c r="AV1003" s="163" t="str">
        <f t="shared" si="653"/>
        <v/>
      </c>
      <c r="AW1003" s="163" t="str">
        <f t="shared" si="639"/>
        <v/>
      </c>
      <c r="AX1003" s="163" t="str">
        <f t="shared" si="640"/>
        <v/>
      </c>
      <c r="AY1003" s="164" t="str">
        <f t="shared" si="654"/>
        <v/>
      </c>
      <c r="AZ1003" s="164" t="str">
        <f>IF($E1003="","",IF(OR(AND($D1003=Input!$C$6,$C1003=12),$AN1003=1),0,-AS1004+AT1004+AU1004-AV1004-AW1004-AX1004+AZ1004))</f>
        <v/>
      </c>
      <c r="BA1003" s="154" t="str">
        <f t="shared" si="641"/>
        <v/>
      </c>
      <c r="BC1003" s="147" t="str">
        <f t="shared" si="655"/>
        <v/>
      </c>
      <c r="BD1003" s="164" t="str">
        <f>IF(AND($C1002=12,$D1002=Input!$C$6),0,IF($E1003="","",AT1003+(AU1003+BD1004)/(1+$AK1003)*MIN((1-AM1003-AN1003),1)))</f>
        <v/>
      </c>
      <c r="BE1003" s="164" t="str">
        <f t="shared" si="670"/>
        <v/>
      </c>
      <c r="BF1003" s="164" t="str">
        <f t="shared" si="656"/>
        <v/>
      </c>
      <c r="BG1003" s="164" t="str">
        <f t="shared" si="642"/>
        <v/>
      </c>
      <c r="BH1003" s="152"/>
      <c r="BI1003" s="162" t="str">
        <f t="shared" si="664"/>
        <v/>
      </c>
      <c r="BJ1003" s="150" t="str">
        <f t="shared" si="665"/>
        <v/>
      </c>
      <c r="BK1003" s="163" t="str">
        <f t="shared" si="661"/>
        <v/>
      </c>
      <c r="BL1003" s="163" t="str">
        <f t="shared" si="666"/>
        <v/>
      </c>
      <c r="BM1003" s="163" t="str">
        <f t="shared" si="662"/>
        <v/>
      </c>
      <c r="BN1003" s="163" t="str">
        <f t="shared" si="667"/>
        <v/>
      </c>
      <c r="BO1003" s="163" t="str">
        <f t="shared" si="668"/>
        <v/>
      </c>
      <c r="BP1003" s="164" t="str">
        <f t="shared" si="663"/>
        <v/>
      </c>
      <c r="BQ1003" s="164" t="str">
        <f t="shared" si="657"/>
        <v/>
      </c>
      <c r="BR1003" s="154" t="str">
        <f t="shared" si="669"/>
        <v/>
      </c>
      <c r="BT1003" s="147" t="str">
        <f t="shared" si="643"/>
        <v/>
      </c>
      <c r="BU1003" s="164" t="str">
        <f>IF(AND($C1002=12,$D1002=Input!$C$6),0,IF($E1003="","",BK1003+(BL1003+BU1004)/(1+$AK1003)*MIN((1-T1003-U1003),1)))</f>
        <v/>
      </c>
      <c r="BV1003" s="164" t="str">
        <f t="shared" si="644"/>
        <v/>
      </c>
      <c r="BW1003" s="164" t="str">
        <f t="shared" si="645"/>
        <v/>
      </c>
      <c r="BX1003" s="164" t="str">
        <f t="shared" si="646"/>
        <v/>
      </c>
    </row>
    <row r="1004" spans="1:76" s="150" customFormat="1" x14ac:dyDescent="0.25">
      <c r="A1004" s="150" t="str">
        <f t="shared" si="658"/>
        <v/>
      </c>
      <c r="B1004" s="150" t="str">
        <f t="shared" si="659"/>
        <v/>
      </c>
      <c r="C1004" s="150" t="str">
        <f t="shared" si="660"/>
        <v/>
      </c>
      <c r="D1004" s="150" t="str">
        <f>IF(E1004="","",Input!$C$4+B1004-1)</f>
        <v/>
      </c>
      <c r="E1004" s="150" t="str">
        <f>IF(OR(AND(C1003=12,D1003=Input!$C$6),E1003=""),"",1)</f>
        <v/>
      </c>
      <c r="F1004" s="150" t="str">
        <f>IF(E1004="","",Input!$C$8+B1004-1)</f>
        <v/>
      </c>
      <c r="G1004" s="151" t="str">
        <f>IF(E1004="","",MAX(0,Input!$C$9-B1004))</f>
        <v/>
      </c>
      <c r="H1004" s="152" t="str">
        <f>IF(E1004="","",Input!$C$3)</f>
        <v/>
      </c>
      <c r="I1004" s="153" t="str">
        <f>IF(E1004="","",HLOOKUP($B1004,Input!$C$13:$BT$14,2))</f>
        <v/>
      </c>
      <c r="J1004" s="154"/>
      <c r="K1004" s="155" t="str">
        <f>IF($E1004="","",INDEX(Input!$C$16:$CP$16,1,$B1004))</f>
        <v/>
      </c>
      <c r="L1004" s="155" t="str">
        <f>IF($E1004="","",Input!$C$37)</f>
        <v/>
      </c>
      <c r="M1004" s="155" t="str">
        <f t="shared" si="629"/>
        <v/>
      </c>
      <c r="N1004" s="155" t="str">
        <f t="shared" si="630"/>
        <v/>
      </c>
      <c r="O1004" s="147" t="str">
        <f>IF($E1004="","",MIN(VLOOKUP(IF($B1004&lt;=Input!$C$7,$B1004,26),'Mortality Tables'!$A$41:$CW$67,IF($B1004&lt;=Input!$C$7+1,Input!$C$4+2,$D1004-Input!$C$7+2),0)*IF(B1004&gt;20,Input!$C$22,1)/1000,1))</f>
        <v/>
      </c>
      <c r="P1004" s="147" t="str">
        <f>IF($E1004="","",MIN(VLOOKUP(IF($B1004&lt;=Input!$C$7,$B1004,26),'Mortality Tables'!$A$12:$CW$37,IF($B1004&lt;=Input!$C$7+1,Input!$C$4+2,$D1004-Input!$C$7+2),0)*IF(B1004&gt;20,Input!$C$22,1)/1000,1))</f>
        <v/>
      </c>
      <c r="Q1004" s="155" t="str">
        <f>IF($E1004="","",Input!$C$21)</f>
        <v/>
      </c>
      <c r="R1004" s="159" t="str">
        <f>IF($E1004="","",(1-Q1004)^($F1004-Input!$C$20))</f>
        <v/>
      </c>
      <c r="S1004" s="147" t="str">
        <f t="shared" si="632"/>
        <v/>
      </c>
      <c r="T1004" s="147" t="str">
        <f t="shared" si="633"/>
        <v/>
      </c>
      <c r="U1004" s="160" t="str">
        <f>IF($E1004="","",IF($C1004=12,INDEX(Input!$C$15:$CP$15,1,$B1004),0))</f>
        <v/>
      </c>
      <c r="V1004" s="150" t="str">
        <f>IF(E1004="","",IF(C1004=1,IF($B1004=1,Input!$C$33,Input!$C$34),0))</f>
        <v/>
      </c>
      <c r="W1004" s="156" t="str">
        <f>IF($E1004="","",Input!$C$35)</f>
        <v/>
      </c>
      <c r="X1004" s="156" t="str">
        <f t="shared" si="631"/>
        <v/>
      </c>
      <c r="Y1004" s="154"/>
      <c r="Z1004" s="147" t="str">
        <f>IF($E1004="","",VLOOKUP($D1004,'Mortality Margins &amp; Grading'!$AB$5:$AF$125,3,0)*IF(Summary!$D$25="Included Margin",IF(AND($B1004&gt;Input!$C$9,Summary!$D$31&lt;&gt;"Included Margin"),0,1),0))</f>
        <v/>
      </c>
      <c r="AA1004" s="147" t="str">
        <f>IF($E1004="","",VLOOKUP($D1004,'Mortality Margins &amp; Grading'!$AB$5:$AF$125,5,0)*IF(Summary!$D$25="Included Margin",IF(AND($B1004&gt;Input!$C$9,Summary!$D$31&lt;&gt;"Included Margin"),0,1),0))</f>
        <v/>
      </c>
      <c r="AB1004" s="147" t="str">
        <f>IF($E1004="","",IF(AND($B1004&gt;Input!$C$9,Summary!$D$31&lt;&gt;"Included Margin"),1,IF(Summary!$D$25="Included Margin",VLOOKUP($B1004,'Mortality Margins &amp; Grading'!$AI$5:$AR$125,MATCH('Mortality Margins &amp; Grading'!$AQ$4,'Mortality Margins &amp; Grading'!$AI$4:$AR$4,0),0),1)))</f>
        <v/>
      </c>
      <c r="AC1004" s="154"/>
      <c r="AD1004" s="158" t="str">
        <f>IF(E1004="","",Input!$C$48*IF(Summary!$D$30="Included Margin",IF(AND($B1004&gt;Input!$C$9,Summary!$D$31&lt;&gt;"Included Margin"),0,1),0))</f>
        <v/>
      </c>
      <c r="AE1004" s="159" t="str">
        <f>IF(E1004="","",IF(Summary!$D$26="Included Margin",IF(AND($B1004&gt;Input!$C$9,Summary!$D$31&lt;&gt;"Included Margin"),1,1/$R1004),1))</f>
        <v/>
      </c>
      <c r="AF1004" s="160" t="str">
        <f>IF(E1004="","",IF(AND($B1004&gt;=Input!$C$9,$C1004=12,Summary!$D$31="Included Margin",$U1004&gt;0),1/U1004-1,IF($B1004&gt;=Input!$C$9,0,Input!$C$45*IF(Summary!$D$27="Included Margin",1,0))))</f>
        <v/>
      </c>
      <c r="AG1004" s="160" t="str">
        <f>IF(E1004="","",Input!$C$46*IF(Summary!$D$28="Included Margin",IF(AND($B1004&gt;Input!$C$9,Summary!$D$31&lt;&gt;"Included Margin"),0,1),0))</f>
        <v/>
      </c>
      <c r="AH1004" s="158" t="str">
        <f>IF(E1004="","",Input!$C$47*IF(Summary!$D$29="Included Margin",IF(AND($B1004&gt;Input!$C$9,Summary!$D$31&lt;&gt;"Included Margin"),0,1),0))</f>
        <v/>
      </c>
      <c r="AI1004" s="154"/>
      <c r="AJ1004" s="158" t="str">
        <f t="shared" si="647"/>
        <v/>
      </c>
      <c r="AK1004" s="155" t="str">
        <f t="shared" si="648"/>
        <v/>
      </c>
      <c r="AL1004" s="147" t="str">
        <f t="shared" si="649"/>
        <v/>
      </c>
      <c r="AM1004" s="147" t="str">
        <f t="shared" si="634"/>
        <v/>
      </c>
      <c r="AN1004" s="160" t="str">
        <f t="shared" si="650"/>
        <v/>
      </c>
      <c r="AO1004" s="161" t="str">
        <f t="shared" si="651"/>
        <v/>
      </c>
      <c r="AP1004" s="156" t="str">
        <f t="shared" si="635"/>
        <v/>
      </c>
      <c r="AQ1004" s="152"/>
      <c r="AR1004" s="162" t="str">
        <f t="shared" si="636"/>
        <v/>
      </c>
      <c r="AS1004" s="150" t="str">
        <f t="shared" si="652"/>
        <v/>
      </c>
      <c r="AT1004" s="163" t="str">
        <f t="shared" si="637"/>
        <v/>
      </c>
      <c r="AU1004" s="163" t="str">
        <f t="shared" si="638"/>
        <v/>
      </c>
      <c r="AV1004" s="163" t="str">
        <f t="shared" si="653"/>
        <v/>
      </c>
      <c r="AW1004" s="163" t="str">
        <f t="shared" si="639"/>
        <v/>
      </c>
      <c r="AX1004" s="163" t="str">
        <f t="shared" si="640"/>
        <v/>
      </c>
      <c r="AY1004" s="165" t="str">
        <f t="shared" si="654"/>
        <v/>
      </c>
      <c r="AZ1004" s="164" t="str">
        <f>IF($E1004="","",IF(OR(AND($D1004=Input!$C$6,$C1004=12),$AN1004=1),0,-AS1005+AT1005+AU1005-AV1005-AW1005-AX1005+AZ1005))</f>
        <v/>
      </c>
      <c r="BA1004" s="154" t="str">
        <f t="shared" si="641"/>
        <v/>
      </c>
      <c r="BC1004" s="147" t="str">
        <f t="shared" si="655"/>
        <v/>
      </c>
      <c r="BD1004" s="164" t="str">
        <f>IF(AND($C1003=12,$D1003=Input!$C$6),0,IF($E1004="","",AT1004+(AU1004+BD1005)/(1+$AK1004)*MIN((1-AM1004-AN1004),1)))</f>
        <v/>
      </c>
      <c r="BE1004" s="164" t="str">
        <f t="shared" si="670"/>
        <v/>
      </c>
      <c r="BF1004" s="164" t="str">
        <f t="shared" si="656"/>
        <v/>
      </c>
      <c r="BG1004" s="164" t="str">
        <f t="shared" si="642"/>
        <v/>
      </c>
      <c r="BH1004" s="152"/>
      <c r="BI1004" s="162" t="str">
        <f t="shared" si="664"/>
        <v/>
      </c>
      <c r="BJ1004" s="150" t="str">
        <f t="shared" si="665"/>
        <v/>
      </c>
      <c r="BK1004" s="163" t="str">
        <f t="shared" si="661"/>
        <v/>
      </c>
      <c r="BL1004" s="163" t="str">
        <f t="shared" si="666"/>
        <v/>
      </c>
      <c r="BM1004" s="163" t="str">
        <f t="shared" si="662"/>
        <v/>
      </c>
      <c r="BN1004" s="163" t="str">
        <f t="shared" si="667"/>
        <v/>
      </c>
      <c r="BO1004" s="163" t="str">
        <f t="shared" si="668"/>
        <v/>
      </c>
      <c r="BP1004" s="164" t="str">
        <f t="shared" si="663"/>
        <v/>
      </c>
      <c r="BQ1004" s="164" t="str">
        <f t="shared" si="657"/>
        <v/>
      </c>
      <c r="BR1004" s="154" t="str">
        <f t="shared" si="669"/>
        <v/>
      </c>
      <c r="BT1004" s="147" t="str">
        <f t="shared" si="643"/>
        <v/>
      </c>
      <c r="BU1004" s="164" t="str">
        <f>IF(AND($C1003=12,$D1003=Input!$C$6),0,IF($E1004="","",BK1004+(BL1004+BU1005)/(1+$AK1004)*MIN((1-T1004-U1004),1)))</f>
        <v/>
      </c>
      <c r="BV1004" s="164" t="str">
        <f t="shared" si="644"/>
        <v/>
      </c>
      <c r="BW1004" s="164" t="str">
        <f t="shared" si="645"/>
        <v/>
      </c>
      <c r="BX1004" s="164" t="str">
        <f t="shared" si="646"/>
        <v/>
      </c>
    </row>
    <row r="1005" spans="1:76" s="150" customFormat="1" x14ac:dyDescent="0.25">
      <c r="A1005" s="150" t="str">
        <f t="shared" si="658"/>
        <v/>
      </c>
      <c r="B1005" s="150" t="str">
        <f t="shared" si="659"/>
        <v/>
      </c>
      <c r="C1005" s="150" t="str">
        <f t="shared" si="660"/>
        <v/>
      </c>
      <c r="D1005" s="150" t="str">
        <f>IF(E1005="","",Input!$C$4+B1005-1)</f>
        <v/>
      </c>
      <c r="E1005" s="150" t="str">
        <f>IF(OR(AND(C1004=12,D1004=Input!$C$6),E1004=""),"",1)</f>
        <v/>
      </c>
      <c r="F1005" s="150" t="str">
        <f>IF(E1005="","",Input!$C$8+B1005-1)</f>
        <v/>
      </c>
      <c r="G1005" s="151" t="str">
        <f>IF(E1005="","",MAX(0,Input!$C$9-B1005))</f>
        <v/>
      </c>
      <c r="H1005" s="152" t="str">
        <f>IF(E1005="","",Input!$C$3)</f>
        <v/>
      </c>
      <c r="I1005" s="153" t="str">
        <f>IF(E1005="","",HLOOKUP($B1005,Input!$C$13:$BT$14,2))</f>
        <v/>
      </c>
      <c r="J1005" s="154"/>
      <c r="K1005" s="155" t="str">
        <f>IF($E1005="","",INDEX(Input!$C$16:$CP$16,1,$B1005))</f>
        <v/>
      </c>
      <c r="L1005" s="155" t="str">
        <f>IF($E1005="","",Input!$C$37)</f>
        <v/>
      </c>
      <c r="M1005" s="155" t="str">
        <f t="shared" si="629"/>
        <v/>
      </c>
      <c r="N1005" s="155" t="str">
        <f t="shared" si="630"/>
        <v/>
      </c>
      <c r="O1005" s="147" t="str">
        <f>IF($E1005="","",MIN(VLOOKUP(IF($B1005&lt;=Input!$C$7,$B1005,26),'Mortality Tables'!$A$41:$CW$67,IF($B1005&lt;=Input!$C$7+1,Input!$C$4+2,$D1005-Input!$C$7+2),0)*IF(B1005&gt;20,Input!$C$22,1)/1000,1))</f>
        <v/>
      </c>
      <c r="P1005" s="147" t="str">
        <f>IF($E1005="","",MIN(VLOOKUP(IF($B1005&lt;=Input!$C$7,$B1005,26),'Mortality Tables'!$A$12:$CW$37,IF($B1005&lt;=Input!$C$7+1,Input!$C$4+2,$D1005-Input!$C$7+2),0)*IF(B1005&gt;20,Input!$C$22,1)/1000,1))</f>
        <v/>
      </c>
      <c r="Q1005" s="155" t="str">
        <f>IF($E1005="","",Input!$C$21)</f>
        <v/>
      </c>
      <c r="R1005" s="159" t="str">
        <f>IF($E1005="","",(1-Q1005)^($F1005-Input!$C$20))</f>
        <v/>
      </c>
      <c r="S1005" s="147" t="str">
        <f t="shared" si="632"/>
        <v/>
      </c>
      <c r="T1005" s="147" t="str">
        <f t="shared" si="633"/>
        <v/>
      </c>
      <c r="U1005" s="160" t="str">
        <f>IF($E1005="","",IF($C1005=12,INDEX(Input!$C$15:$CP$15,1,$B1005),0))</f>
        <v/>
      </c>
      <c r="V1005" s="150" t="str">
        <f>IF(E1005="","",IF(C1005=1,IF($B1005=1,Input!$C$33,Input!$C$34),0))</f>
        <v/>
      </c>
      <c r="W1005" s="156" t="str">
        <f>IF($E1005="","",Input!$C$35)</f>
        <v/>
      </c>
      <c r="X1005" s="156" t="str">
        <f t="shared" si="631"/>
        <v/>
      </c>
      <c r="Y1005" s="154"/>
      <c r="Z1005" s="147" t="str">
        <f>IF($E1005="","",VLOOKUP($D1005,'Mortality Margins &amp; Grading'!$AB$5:$AF$125,3,0)*IF(Summary!$D$25="Included Margin",IF(AND($B1005&gt;Input!$C$9,Summary!$D$31&lt;&gt;"Included Margin"),0,1),0))</f>
        <v/>
      </c>
      <c r="AA1005" s="147" t="str">
        <f>IF($E1005="","",VLOOKUP($D1005,'Mortality Margins &amp; Grading'!$AB$5:$AF$125,5,0)*IF(Summary!$D$25="Included Margin",IF(AND($B1005&gt;Input!$C$9,Summary!$D$31&lt;&gt;"Included Margin"),0,1),0))</f>
        <v/>
      </c>
      <c r="AB1005" s="147" t="str">
        <f>IF($E1005="","",IF(AND($B1005&gt;Input!$C$9,Summary!$D$31&lt;&gt;"Included Margin"),1,IF(Summary!$D$25="Included Margin",VLOOKUP($B1005,'Mortality Margins &amp; Grading'!$AI$5:$AR$125,MATCH('Mortality Margins &amp; Grading'!$AQ$4,'Mortality Margins &amp; Grading'!$AI$4:$AR$4,0),0),1)))</f>
        <v/>
      </c>
      <c r="AC1005" s="154"/>
      <c r="AD1005" s="158" t="str">
        <f>IF(E1005="","",Input!$C$48*IF(Summary!$D$30="Included Margin",IF(AND($B1005&gt;Input!$C$9,Summary!$D$31&lt;&gt;"Included Margin"),0,1),0))</f>
        <v/>
      </c>
      <c r="AE1005" s="159" t="str">
        <f>IF(E1005="","",IF(Summary!$D$26="Included Margin",IF(AND($B1005&gt;Input!$C$9,Summary!$D$31&lt;&gt;"Included Margin"),1,1/$R1005),1))</f>
        <v/>
      </c>
      <c r="AF1005" s="160" t="str">
        <f>IF(E1005="","",IF(AND($B1005&gt;=Input!$C$9,$C1005=12,Summary!$D$31="Included Margin",$U1005&gt;0),1/U1005-1,IF($B1005&gt;=Input!$C$9,0,Input!$C$45*IF(Summary!$D$27="Included Margin",1,0))))</f>
        <v/>
      </c>
      <c r="AG1005" s="160" t="str">
        <f>IF(E1005="","",Input!$C$46*IF(Summary!$D$28="Included Margin",IF(AND($B1005&gt;Input!$C$9,Summary!$D$31&lt;&gt;"Included Margin"),0,1),0))</f>
        <v/>
      </c>
      <c r="AH1005" s="158" t="str">
        <f>IF(E1005="","",Input!$C$47*IF(Summary!$D$29="Included Margin",IF(AND($B1005&gt;Input!$C$9,Summary!$D$31&lt;&gt;"Included Margin"),0,1),0))</f>
        <v/>
      </c>
      <c r="AI1005" s="154"/>
      <c r="AJ1005" s="158" t="str">
        <f t="shared" si="647"/>
        <v/>
      </c>
      <c r="AK1005" s="155" t="str">
        <f t="shared" si="648"/>
        <v/>
      </c>
      <c r="AL1005" s="147" t="str">
        <f t="shared" si="649"/>
        <v/>
      </c>
      <c r="AM1005" s="147" t="str">
        <f t="shared" si="634"/>
        <v/>
      </c>
      <c r="AN1005" s="160" t="str">
        <f t="shared" si="650"/>
        <v/>
      </c>
      <c r="AO1005" s="161" t="str">
        <f t="shared" si="651"/>
        <v/>
      </c>
      <c r="AP1005" s="156" t="str">
        <f t="shared" si="635"/>
        <v/>
      </c>
      <c r="AQ1005" s="152"/>
      <c r="AR1005" s="162" t="str">
        <f t="shared" si="636"/>
        <v/>
      </c>
      <c r="AS1005" s="150" t="str">
        <f t="shared" si="652"/>
        <v/>
      </c>
      <c r="AT1005" s="163" t="str">
        <f t="shared" si="637"/>
        <v/>
      </c>
      <c r="AU1005" s="163" t="str">
        <f t="shared" si="638"/>
        <v/>
      </c>
      <c r="AV1005" s="163" t="str">
        <f t="shared" si="653"/>
        <v/>
      </c>
      <c r="AW1005" s="163" t="str">
        <f t="shared" si="639"/>
        <v/>
      </c>
      <c r="AX1005" s="163" t="str">
        <f t="shared" si="640"/>
        <v/>
      </c>
      <c r="AY1005" s="164" t="str">
        <f t="shared" si="654"/>
        <v/>
      </c>
      <c r="AZ1005" s="164" t="str">
        <f>IF($E1005="","",IF(OR(AND($D1005=Input!$C$6,$C1005=12),$AN1005=1),0,-AS1006+AT1006+AU1006-AV1006-AW1006-AX1006+AZ1006))</f>
        <v/>
      </c>
      <c r="BA1005" s="154" t="str">
        <f t="shared" si="641"/>
        <v/>
      </c>
      <c r="BC1005" s="147" t="str">
        <f t="shared" si="655"/>
        <v/>
      </c>
      <c r="BD1005" s="164" t="str">
        <f>IF(AND($C1004=12,$D1004=Input!$C$6),0,IF($E1005="","",AT1005+(AU1005+BD1006)/(1+$AK1005)*MIN((1-AM1005-AN1005),1)))</f>
        <v/>
      </c>
      <c r="BE1005" s="164" t="str">
        <f t="shared" si="670"/>
        <v/>
      </c>
      <c r="BF1005" s="164" t="str">
        <f t="shared" si="656"/>
        <v/>
      </c>
      <c r="BG1005" s="164" t="str">
        <f t="shared" si="642"/>
        <v/>
      </c>
      <c r="BH1005" s="152"/>
      <c r="BI1005" s="162" t="str">
        <f t="shared" si="664"/>
        <v/>
      </c>
      <c r="BJ1005" s="150" t="str">
        <f t="shared" si="665"/>
        <v/>
      </c>
      <c r="BK1005" s="163" t="str">
        <f t="shared" si="661"/>
        <v/>
      </c>
      <c r="BL1005" s="163" t="str">
        <f t="shared" si="666"/>
        <v/>
      </c>
      <c r="BM1005" s="163" t="str">
        <f t="shared" si="662"/>
        <v/>
      </c>
      <c r="BN1005" s="163" t="str">
        <f t="shared" si="667"/>
        <v/>
      </c>
      <c r="BO1005" s="163" t="str">
        <f t="shared" si="668"/>
        <v/>
      </c>
      <c r="BP1005" s="164" t="str">
        <f t="shared" si="663"/>
        <v/>
      </c>
      <c r="BQ1005" s="164" t="str">
        <f t="shared" si="657"/>
        <v/>
      </c>
      <c r="BR1005" s="154" t="str">
        <f t="shared" si="669"/>
        <v/>
      </c>
      <c r="BT1005" s="147" t="str">
        <f t="shared" si="643"/>
        <v/>
      </c>
      <c r="BU1005" s="164" t="str">
        <f>IF(AND($C1004=12,$D1004=Input!$C$6),0,IF($E1005="","",BK1005+(BL1005+BU1006)/(1+$AK1005)*MIN((1-T1005-U1005),1)))</f>
        <v/>
      </c>
      <c r="BV1005" s="164" t="str">
        <f t="shared" si="644"/>
        <v/>
      </c>
      <c r="BW1005" s="164" t="str">
        <f t="shared" si="645"/>
        <v/>
      </c>
      <c r="BX1005" s="164" t="str">
        <f t="shared" si="646"/>
        <v/>
      </c>
    </row>
    <row r="1006" spans="1:76" s="150" customFormat="1" x14ac:dyDescent="0.25">
      <c r="A1006" s="150" t="str">
        <f t="shared" si="658"/>
        <v/>
      </c>
      <c r="B1006" s="150" t="str">
        <f t="shared" si="659"/>
        <v/>
      </c>
      <c r="C1006" s="150" t="str">
        <f t="shared" si="660"/>
        <v/>
      </c>
      <c r="D1006" s="150" t="str">
        <f>IF(E1006="","",Input!$C$4+B1006-1)</f>
        <v/>
      </c>
      <c r="E1006" s="150" t="str">
        <f>IF(OR(AND(C1005=12,D1005=Input!$C$6),E1005=""),"",1)</f>
        <v/>
      </c>
      <c r="F1006" s="150" t="str">
        <f>IF(E1006="","",Input!$C$8+B1006-1)</f>
        <v/>
      </c>
      <c r="G1006" s="151" t="str">
        <f>IF(E1006="","",MAX(0,Input!$C$9-B1006))</f>
        <v/>
      </c>
      <c r="H1006" s="152" t="str">
        <f>IF(E1006="","",Input!$C$3)</f>
        <v/>
      </c>
      <c r="I1006" s="153" t="str">
        <f>IF(E1006="","",HLOOKUP($B1006,Input!$C$13:$BT$14,2))</f>
        <v/>
      </c>
      <c r="J1006" s="154"/>
      <c r="K1006" s="155" t="str">
        <f>IF($E1006="","",INDEX(Input!$C$16:$CP$16,1,$B1006))</f>
        <v/>
      </c>
      <c r="L1006" s="155" t="str">
        <f>IF($E1006="","",Input!$C$37)</f>
        <v/>
      </c>
      <c r="M1006" s="155" t="str">
        <f t="shared" si="629"/>
        <v/>
      </c>
      <c r="N1006" s="155" t="str">
        <f t="shared" si="630"/>
        <v/>
      </c>
      <c r="O1006" s="147" t="str">
        <f>IF($E1006="","",MIN(VLOOKUP(IF($B1006&lt;=Input!$C$7,$B1006,26),'Mortality Tables'!$A$41:$CW$67,IF($B1006&lt;=Input!$C$7+1,Input!$C$4+2,$D1006-Input!$C$7+2),0)*IF(B1006&gt;20,Input!$C$22,1)/1000,1))</f>
        <v/>
      </c>
      <c r="P1006" s="147" t="str">
        <f>IF($E1006="","",MIN(VLOOKUP(IF($B1006&lt;=Input!$C$7,$B1006,26),'Mortality Tables'!$A$12:$CW$37,IF($B1006&lt;=Input!$C$7+1,Input!$C$4+2,$D1006-Input!$C$7+2),0)*IF(B1006&gt;20,Input!$C$22,1)/1000,1))</f>
        <v/>
      </c>
      <c r="Q1006" s="155" t="str">
        <f>IF($E1006="","",Input!$C$21)</f>
        <v/>
      </c>
      <c r="R1006" s="159" t="str">
        <f>IF($E1006="","",(1-Q1006)^($F1006-Input!$C$20))</f>
        <v/>
      </c>
      <c r="S1006" s="147" t="str">
        <f t="shared" si="632"/>
        <v/>
      </c>
      <c r="T1006" s="147" t="str">
        <f t="shared" si="633"/>
        <v/>
      </c>
      <c r="U1006" s="160" t="str">
        <f>IF($E1006="","",IF($C1006=12,INDEX(Input!$C$15:$CP$15,1,$B1006),0))</f>
        <v/>
      </c>
      <c r="V1006" s="150" t="str">
        <f>IF(E1006="","",IF(C1006=1,IF($B1006=1,Input!$C$33,Input!$C$34),0))</f>
        <v/>
      </c>
      <c r="W1006" s="156" t="str">
        <f>IF($E1006="","",Input!$C$35)</f>
        <v/>
      </c>
      <c r="X1006" s="156" t="str">
        <f t="shared" si="631"/>
        <v/>
      </c>
      <c r="Y1006" s="154"/>
      <c r="Z1006" s="147" t="str">
        <f>IF($E1006="","",VLOOKUP($D1006,'Mortality Margins &amp; Grading'!$AB$5:$AF$125,3,0)*IF(Summary!$D$25="Included Margin",IF(AND($B1006&gt;Input!$C$9,Summary!$D$31&lt;&gt;"Included Margin"),0,1),0))</f>
        <v/>
      </c>
      <c r="AA1006" s="147" t="str">
        <f>IF($E1006="","",VLOOKUP($D1006,'Mortality Margins &amp; Grading'!$AB$5:$AF$125,5,0)*IF(Summary!$D$25="Included Margin",IF(AND($B1006&gt;Input!$C$9,Summary!$D$31&lt;&gt;"Included Margin"),0,1),0))</f>
        <v/>
      </c>
      <c r="AB1006" s="147" t="str">
        <f>IF($E1006="","",IF(AND($B1006&gt;Input!$C$9,Summary!$D$31&lt;&gt;"Included Margin"),1,IF(Summary!$D$25="Included Margin",VLOOKUP($B1006,'Mortality Margins &amp; Grading'!$AI$5:$AR$125,MATCH('Mortality Margins &amp; Grading'!$AQ$4,'Mortality Margins &amp; Grading'!$AI$4:$AR$4,0),0),1)))</f>
        <v/>
      </c>
      <c r="AC1006" s="154"/>
      <c r="AD1006" s="158" t="str">
        <f>IF(E1006="","",Input!$C$48*IF(Summary!$D$30="Included Margin",IF(AND($B1006&gt;Input!$C$9,Summary!$D$31&lt;&gt;"Included Margin"),0,1),0))</f>
        <v/>
      </c>
      <c r="AE1006" s="159" t="str">
        <f>IF(E1006="","",IF(Summary!$D$26="Included Margin",IF(AND($B1006&gt;Input!$C$9,Summary!$D$31&lt;&gt;"Included Margin"),1,1/$R1006),1))</f>
        <v/>
      </c>
      <c r="AF1006" s="160" t="str">
        <f>IF(E1006="","",IF(AND($B1006&gt;=Input!$C$9,$C1006=12,Summary!$D$31="Included Margin",$U1006&gt;0),1/U1006-1,IF($B1006&gt;=Input!$C$9,0,Input!$C$45*IF(Summary!$D$27="Included Margin",1,0))))</f>
        <v/>
      </c>
      <c r="AG1006" s="160" t="str">
        <f>IF(E1006="","",Input!$C$46*IF(Summary!$D$28="Included Margin",IF(AND($B1006&gt;Input!$C$9,Summary!$D$31&lt;&gt;"Included Margin"),0,1),0))</f>
        <v/>
      </c>
      <c r="AH1006" s="158" t="str">
        <f>IF(E1006="","",Input!$C$47*IF(Summary!$D$29="Included Margin",IF(AND($B1006&gt;Input!$C$9,Summary!$D$31&lt;&gt;"Included Margin"),0,1),0))</f>
        <v/>
      </c>
      <c r="AI1006" s="154"/>
      <c r="AJ1006" s="158" t="str">
        <f t="shared" si="647"/>
        <v/>
      </c>
      <c r="AK1006" s="155" t="str">
        <f t="shared" si="648"/>
        <v/>
      </c>
      <c r="AL1006" s="147" t="str">
        <f t="shared" si="649"/>
        <v/>
      </c>
      <c r="AM1006" s="147" t="str">
        <f t="shared" si="634"/>
        <v/>
      </c>
      <c r="AN1006" s="160" t="str">
        <f t="shared" si="650"/>
        <v/>
      </c>
      <c r="AO1006" s="161" t="str">
        <f t="shared" si="651"/>
        <v/>
      </c>
      <c r="AP1006" s="156" t="str">
        <f t="shared" si="635"/>
        <v/>
      </c>
      <c r="AQ1006" s="152"/>
      <c r="AR1006" s="162" t="str">
        <f t="shared" si="636"/>
        <v/>
      </c>
      <c r="AS1006" s="150" t="str">
        <f t="shared" si="652"/>
        <v/>
      </c>
      <c r="AT1006" s="163" t="str">
        <f t="shared" si="637"/>
        <v/>
      </c>
      <c r="AU1006" s="163" t="str">
        <f t="shared" si="638"/>
        <v/>
      </c>
      <c r="AV1006" s="163" t="str">
        <f t="shared" si="653"/>
        <v/>
      </c>
      <c r="AW1006" s="163" t="str">
        <f t="shared" si="639"/>
        <v/>
      </c>
      <c r="AX1006" s="163" t="str">
        <f t="shared" si="640"/>
        <v/>
      </c>
      <c r="AY1006" s="165" t="str">
        <f t="shared" si="654"/>
        <v/>
      </c>
      <c r="AZ1006" s="164" t="str">
        <f>IF($E1006="","",IF(OR(AND($D1006=Input!$C$6,$C1006=12),$AN1006=1),0,-AS1007+AT1007+AU1007-AV1007-AW1007-AX1007+AZ1007))</f>
        <v/>
      </c>
      <c r="BA1006" s="154" t="str">
        <f t="shared" si="641"/>
        <v/>
      </c>
      <c r="BC1006" s="147" t="str">
        <f t="shared" si="655"/>
        <v/>
      </c>
      <c r="BD1006" s="164" t="str">
        <f>IF(AND($C1005=12,$D1005=Input!$C$6),0,IF($E1006="","",AT1006+(AU1006+BD1007)/(1+$AK1006)*MIN((1-AM1006-AN1006),1)))</f>
        <v/>
      </c>
      <c r="BE1006" s="164" t="str">
        <f t="shared" si="670"/>
        <v/>
      </c>
      <c r="BF1006" s="164" t="str">
        <f t="shared" si="656"/>
        <v/>
      </c>
      <c r="BG1006" s="164" t="str">
        <f t="shared" si="642"/>
        <v/>
      </c>
      <c r="BH1006" s="152"/>
      <c r="BI1006" s="162" t="str">
        <f t="shared" si="664"/>
        <v/>
      </c>
      <c r="BJ1006" s="150" t="str">
        <f t="shared" si="665"/>
        <v/>
      </c>
      <c r="BK1006" s="163" t="str">
        <f t="shared" si="661"/>
        <v/>
      </c>
      <c r="BL1006" s="163" t="str">
        <f t="shared" si="666"/>
        <v/>
      </c>
      <c r="BM1006" s="163" t="str">
        <f t="shared" si="662"/>
        <v/>
      </c>
      <c r="BN1006" s="163" t="str">
        <f t="shared" si="667"/>
        <v/>
      </c>
      <c r="BO1006" s="163" t="str">
        <f t="shared" si="668"/>
        <v/>
      </c>
      <c r="BP1006" s="164" t="str">
        <f t="shared" si="663"/>
        <v/>
      </c>
      <c r="BQ1006" s="164" t="str">
        <f t="shared" si="657"/>
        <v/>
      </c>
      <c r="BR1006" s="154" t="str">
        <f t="shared" si="669"/>
        <v/>
      </c>
      <c r="BT1006" s="147" t="str">
        <f t="shared" si="643"/>
        <v/>
      </c>
      <c r="BU1006" s="164" t="str">
        <f>IF(AND($C1005=12,$D1005=Input!$C$6),0,IF($E1006="","",BK1006+(BL1006+BU1007)/(1+$AK1006)*MIN((1-T1006-U1006),1)))</f>
        <v/>
      </c>
      <c r="BV1006" s="164" t="str">
        <f t="shared" si="644"/>
        <v/>
      </c>
      <c r="BW1006" s="164" t="str">
        <f t="shared" si="645"/>
        <v/>
      </c>
      <c r="BX1006" s="164" t="str">
        <f t="shared" si="646"/>
        <v/>
      </c>
    </row>
    <row r="1007" spans="1:76" s="150" customFormat="1" x14ac:dyDescent="0.25">
      <c r="A1007" s="150" t="str">
        <f t="shared" si="658"/>
        <v/>
      </c>
      <c r="B1007" s="150" t="str">
        <f t="shared" si="659"/>
        <v/>
      </c>
      <c r="C1007" s="150" t="str">
        <f t="shared" si="660"/>
        <v/>
      </c>
      <c r="D1007" s="150" t="str">
        <f>IF(E1007="","",Input!$C$4+B1007-1)</f>
        <v/>
      </c>
      <c r="E1007" s="150" t="str">
        <f>IF(OR(AND(C1006=12,D1006=Input!$C$6),E1006=""),"",1)</f>
        <v/>
      </c>
      <c r="F1007" s="150" t="str">
        <f>IF(E1007="","",Input!$C$8+B1007-1)</f>
        <v/>
      </c>
      <c r="G1007" s="151" t="str">
        <f>IF(E1007="","",MAX(0,Input!$C$9-B1007))</f>
        <v/>
      </c>
      <c r="H1007" s="152" t="str">
        <f>IF(E1007="","",Input!$C$3)</f>
        <v/>
      </c>
      <c r="I1007" s="153" t="str">
        <f>IF(E1007="","",HLOOKUP($B1007,Input!$C$13:$BT$14,2))</f>
        <v/>
      </c>
      <c r="J1007" s="154"/>
      <c r="K1007" s="155" t="str">
        <f>IF($E1007="","",INDEX(Input!$C$16:$CP$16,1,$B1007))</f>
        <v/>
      </c>
      <c r="L1007" s="155" t="str">
        <f>IF($E1007="","",Input!$C$37)</f>
        <v/>
      </c>
      <c r="M1007" s="155" t="str">
        <f t="shared" si="629"/>
        <v/>
      </c>
      <c r="N1007" s="155" t="str">
        <f t="shared" si="630"/>
        <v/>
      </c>
      <c r="O1007" s="147" t="str">
        <f>IF($E1007="","",MIN(VLOOKUP(IF($B1007&lt;=Input!$C$7,$B1007,26),'Mortality Tables'!$A$41:$CW$67,IF($B1007&lt;=Input!$C$7+1,Input!$C$4+2,$D1007-Input!$C$7+2),0)*IF(B1007&gt;20,Input!$C$22,1)/1000,1))</f>
        <v/>
      </c>
      <c r="P1007" s="147" t="str">
        <f>IF($E1007="","",MIN(VLOOKUP(IF($B1007&lt;=Input!$C$7,$B1007,26),'Mortality Tables'!$A$12:$CW$37,IF($B1007&lt;=Input!$C$7+1,Input!$C$4+2,$D1007-Input!$C$7+2),0)*IF(B1007&gt;20,Input!$C$22,1)/1000,1))</f>
        <v/>
      </c>
      <c r="Q1007" s="155" t="str">
        <f>IF($E1007="","",Input!$C$21)</f>
        <v/>
      </c>
      <c r="R1007" s="159" t="str">
        <f>IF($E1007="","",(1-Q1007)^($F1007-Input!$C$20))</f>
        <v/>
      </c>
      <c r="S1007" s="147" t="str">
        <f t="shared" si="632"/>
        <v/>
      </c>
      <c r="T1007" s="147" t="str">
        <f t="shared" si="633"/>
        <v/>
      </c>
      <c r="U1007" s="160" t="str">
        <f>IF($E1007="","",IF($C1007=12,INDEX(Input!$C$15:$CP$15,1,$B1007),0))</f>
        <v/>
      </c>
      <c r="V1007" s="150" t="str">
        <f>IF(E1007="","",IF(C1007=1,IF($B1007=1,Input!$C$33,Input!$C$34),0))</f>
        <v/>
      </c>
      <c r="W1007" s="156" t="str">
        <f>IF($E1007="","",Input!$C$35)</f>
        <v/>
      </c>
      <c r="X1007" s="156" t="str">
        <f t="shared" si="631"/>
        <v/>
      </c>
      <c r="Y1007" s="154"/>
      <c r="Z1007" s="147" t="str">
        <f>IF($E1007="","",VLOOKUP($D1007,'Mortality Margins &amp; Grading'!$AB$5:$AF$125,3,0)*IF(Summary!$D$25="Included Margin",IF(AND($B1007&gt;Input!$C$9,Summary!$D$31&lt;&gt;"Included Margin"),0,1),0))</f>
        <v/>
      </c>
      <c r="AA1007" s="147" t="str">
        <f>IF($E1007="","",VLOOKUP($D1007,'Mortality Margins &amp; Grading'!$AB$5:$AF$125,5,0)*IF(Summary!$D$25="Included Margin",IF(AND($B1007&gt;Input!$C$9,Summary!$D$31&lt;&gt;"Included Margin"),0,1),0))</f>
        <v/>
      </c>
      <c r="AB1007" s="147" t="str">
        <f>IF($E1007="","",IF(AND($B1007&gt;Input!$C$9,Summary!$D$31&lt;&gt;"Included Margin"),1,IF(Summary!$D$25="Included Margin",VLOOKUP($B1007,'Mortality Margins &amp; Grading'!$AI$5:$AR$125,MATCH('Mortality Margins &amp; Grading'!$AQ$4,'Mortality Margins &amp; Grading'!$AI$4:$AR$4,0),0),1)))</f>
        <v/>
      </c>
      <c r="AC1007" s="154"/>
      <c r="AD1007" s="158" t="str">
        <f>IF(E1007="","",Input!$C$48*IF(Summary!$D$30="Included Margin",IF(AND($B1007&gt;Input!$C$9,Summary!$D$31&lt;&gt;"Included Margin"),0,1),0))</f>
        <v/>
      </c>
      <c r="AE1007" s="159" t="str">
        <f>IF(E1007="","",IF(Summary!$D$26="Included Margin",IF(AND($B1007&gt;Input!$C$9,Summary!$D$31&lt;&gt;"Included Margin"),1,1/$R1007),1))</f>
        <v/>
      </c>
      <c r="AF1007" s="160" t="str">
        <f>IF(E1007="","",IF(AND($B1007&gt;=Input!$C$9,$C1007=12,Summary!$D$31="Included Margin",$U1007&gt;0),1/U1007-1,IF($B1007&gt;=Input!$C$9,0,Input!$C$45*IF(Summary!$D$27="Included Margin",1,0))))</f>
        <v/>
      </c>
      <c r="AG1007" s="160" t="str">
        <f>IF(E1007="","",Input!$C$46*IF(Summary!$D$28="Included Margin",IF(AND($B1007&gt;Input!$C$9,Summary!$D$31&lt;&gt;"Included Margin"),0,1),0))</f>
        <v/>
      </c>
      <c r="AH1007" s="158" t="str">
        <f>IF(E1007="","",Input!$C$47*IF(Summary!$D$29="Included Margin",IF(AND($B1007&gt;Input!$C$9,Summary!$D$31&lt;&gt;"Included Margin"),0,1),0))</f>
        <v/>
      </c>
      <c r="AI1007" s="154"/>
      <c r="AJ1007" s="158" t="str">
        <f t="shared" si="647"/>
        <v/>
      </c>
      <c r="AK1007" s="155" t="str">
        <f t="shared" si="648"/>
        <v/>
      </c>
      <c r="AL1007" s="147" t="str">
        <f t="shared" si="649"/>
        <v/>
      </c>
      <c r="AM1007" s="147" t="str">
        <f t="shared" si="634"/>
        <v/>
      </c>
      <c r="AN1007" s="160" t="str">
        <f t="shared" si="650"/>
        <v/>
      </c>
      <c r="AO1007" s="161" t="str">
        <f t="shared" si="651"/>
        <v/>
      </c>
      <c r="AP1007" s="156" t="str">
        <f t="shared" si="635"/>
        <v/>
      </c>
      <c r="AQ1007" s="152"/>
      <c r="AR1007" s="162" t="str">
        <f t="shared" si="636"/>
        <v/>
      </c>
      <c r="AS1007" s="150" t="str">
        <f t="shared" si="652"/>
        <v/>
      </c>
      <c r="AT1007" s="163" t="str">
        <f t="shared" si="637"/>
        <v/>
      </c>
      <c r="AU1007" s="163" t="str">
        <f t="shared" si="638"/>
        <v/>
      </c>
      <c r="AV1007" s="163" t="str">
        <f t="shared" si="653"/>
        <v/>
      </c>
      <c r="AW1007" s="163" t="str">
        <f t="shared" si="639"/>
        <v/>
      </c>
      <c r="AX1007" s="163" t="str">
        <f t="shared" si="640"/>
        <v/>
      </c>
      <c r="AY1007" s="164" t="str">
        <f t="shared" si="654"/>
        <v/>
      </c>
      <c r="AZ1007" s="164" t="str">
        <f>IF($E1007="","",IF(OR(AND($D1007=Input!$C$6,$C1007=12),$AN1007=1),0,-AS1008+AT1008+AU1008-AV1008-AW1008-AX1008+AZ1008))</f>
        <v/>
      </c>
      <c r="BA1007" s="154" t="str">
        <f t="shared" si="641"/>
        <v/>
      </c>
      <c r="BC1007" s="147" t="str">
        <f t="shared" si="655"/>
        <v/>
      </c>
      <c r="BD1007" s="164" t="str">
        <f>IF(AND($C1006=12,$D1006=Input!$C$6),0,IF($E1007="","",AT1007+(AU1007+BD1008)/(1+$AK1007)*MIN((1-AM1007-AN1007),1)))</f>
        <v/>
      </c>
      <c r="BE1007" s="164" t="str">
        <f t="shared" si="670"/>
        <v/>
      </c>
      <c r="BF1007" s="164" t="str">
        <f t="shared" si="656"/>
        <v/>
      </c>
      <c r="BG1007" s="164" t="str">
        <f t="shared" si="642"/>
        <v/>
      </c>
      <c r="BH1007" s="152"/>
      <c r="BI1007" s="162" t="str">
        <f t="shared" si="664"/>
        <v/>
      </c>
      <c r="BJ1007" s="150" t="str">
        <f t="shared" si="665"/>
        <v/>
      </c>
      <c r="BK1007" s="163" t="str">
        <f t="shared" si="661"/>
        <v/>
      </c>
      <c r="BL1007" s="163" t="str">
        <f t="shared" si="666"/>
        <v/>
      </c>
      <c r="BM1007" s="163" t="str">
        <f t="shared" si="662"/>
        <v/>
      </c>
      <c r="BN1007" s="163" t="str">
        <f t="shared" si="667"/>
        <v/>
      </c>
      <c r="BO1007" s="163" t="str">
        <f t="shared" si="668"/>
        <v/>
      </c>
      <c r="BP1007" s="164" t="str">
        <f t="shared" si="663"/>
        <v/>
      </c>
      <c r="BQ1007" s="164" t="str">
        <f t="shared" si="657"/>
        <v/>
      </c>
      <c r="BR1007" s="154" t="str">
        <f t="shared" si="669"/>
        <v/>
      </c>
      <c r="BT1007" s="147" t="str">
        <f t="shared" si="643"/>
        <v/>
      </c>
      <c r="BU1007" s="164" t="str">
        <f>IF(AND($C1006=12,$D1006=Input!$C$6),0,IF($E1007="","",BK1007+(BL1007+BU1008)/(1+$AK1007)*MIN((1-T1007-U1007),1)))</f>
        <v/>
      </c>
      <c r="BV1007" s="164" t="str">
        <f t="shared" si="644"/>
        <v/>
      </c>
      <c r="BW1007" s="164" t="str">
        <f t="shared" si="645"/>
        <v/>
      </c>
      <c r="BX1007" s="164" t="str">
        <f t="shared" si="646"/>
        <v/>
      </c>
    </row>
    <row r="1008" spans="1:76" s="150" customFormat="1" x14ac:dyDescent="0.25">
      <c r="A1008" s="150" t="str">
        <f t="shared" si="658"/>
        <v/>
      </c>
      <c r="B1008" s="150" t="str">
        <f t="shared" si="659"/>
        <v/>
      </c>
      <c r="C1008" s="150" t="str">
        <f t="shared" si="660"/>
        <v/>
      </c>
      <c r="D1008" s="150" t="str">
        <f>IF(E1008="","",Input!$C$4+B1008-1)</f>
        <v/>
      </c>
      <c r="E1008" s="150" t="str">
        <f>IF(OR(AND(C1007=12,D1007=Input!$C$6),E1007=""),"",1)</f>
        <v/>
      </c>
      <c r="F1008" s="150" t="str">
        <f>IF(E1008="","",Input!$C$8+B1008-1)</f>
        <v/>
      </c>
      <c r="G1008" s="151" t="str">
        <f>IF(E1008="","",MAX(0,Input!$C$9-B1008))</f>
        <v/>
      </c>
      <c r="H1008" s="152" t="str">
        <f>IF(E1008="","",Input!$C$3)</f>
        <v/>
      </c>
      <c r="I1008" s="153" t="str">
        <f>IF(E1008="","",HLOOKUP($B1008,Input!$C$13:$BT$14,2))</f>
        <v/>
      </c>
      <c r="J1008" s="154"/>
      <c r="K1008" s="155" t="str">
        <f>IF($E1008="","",INDEX(Input!$C$16:$CP$16,1,$B1008))</f>
        <v/>
      </c>
      <c r="L1008" s="155" t="str">
        <f>IF($E1008="","",Input!$C$37)</f>
        <v/>
      </c>
      <c r="M1008" s="155" t="str">
        <f t="shared" si="629"/>
        <v/>
      </c>
      <c r="N1008" s="155" t="str">
        <f t="shared" si="630"/>
        <v/>
      </c>
      <c r="O1008" s="147" t="str">
        <f>IF($E1008="","",MIN(VLOOKUP(IF($B1008&lt;=Input!$C$7,$B1008,26),'Mortality Tables'!$A$41:$CW$67,IF($B1008&lt;=Input!$C$7+1,Input!$C$4+2,$D1008-Input!$C$7+2),0)*IF(B1008&gt;20,Input!$C$22,1)/1000,1))</f>
        <v/>
      </c>
      <c r="P1008" s="147" t="str">
        <f>IF($E1008="","",MIN(VLOOKUP(IF($B1008&lt;=Input!$C$7,$B1008,26),'Mortality Tables'!$A$12:$CW$37,IF($B1008&lt;=Input!$C$7+1,Input!$C$4+2,$D1008-Input!$C$7+2),0)*IF(B1008&gt;20,Input!$C$22,1)/1000,1))</f>
        <v/>
      </c>
      <c r="Q1008" s="155" t="str">
        <f>IF($E1008="","",Input!$C$21)</f>
        <v/>
      </c>
      <c r="R1008" s="159" t="str">
        <f>IF($E1008="","",(1-Q1008)^($F1008-Input!$C$20))</f>
        <v/>
      </c>
      <c r="S1008" s="147" t="str">
        <f t="shared" si="632"/>
        <v/>
      </c>
      <c r="T1008" s="147" t="str">
        <f t="shared" si="633"/>
        <v/>
      </c>
      <c r="U1008" s="160" t="str">
        <f>IF($E1008="","",IF($C1008=12,INDEX(Input!$C$15:$CP$15,1,$B1008),0))</f>
        <v/>
      </c>
      <c r="V1008" s="150" t="str">
        <f>IF(E1008="","",IF(C1008=1,IF($B1008=1,Input!$C$33,Input!$C$34),0))</f>
        <v/>
      </c>
      <c r="W1008" s="156" t="str">
        <f>IF($E1008="","",Input!$C$35)</f>
        <v/>
      </c>
      <c r="X1008" s="156" t="str">
        <f t="shared" si="631"/>
        <v/>
      </c>
      <c r="Y1008" s="154"/>
      <c r="Z1008" s="147" t="str">
        <f>IF($E1008="","",VLOOKUP($D1008,'Mortality Margins &amp; Grading'!$AB$5:$AF$125,3,0)*IF(Summary!$D$25="Included Margin",IF(AND($B1008&gt;Input!$C$9,Summary!$D$31&lt;&gt;"Included Margin"),0,1),0))</f>
        <v/>
      </c>
      <c r="AA1008" s="147" t="str">
        <f>IF($E1008="","",VLOOKUP($D1008,'Mortality Margins &amp; Grading'!$AB$5:$AF$125,5,0)*IF(Summary!$D$25="Included Margin",IF(AND($B1008&gt;Input!$C$9,Summary!$D$31&lt;&gt;"Included Margin"),0,1),0))</f>
        <v/>
      </c>
      <c r="AB1008" s="147" t="str">
        <f>IF($E1008="","",IF(AND($B1008&gt;Input!$C$9,Summary!$D$31&lt;&gt;"Included Margin"),1,IF(Summary!$D$25="Included Margin",VLOOKUP($B1008,'Mortality Margins &amp; Grading'!$AI$5:$AR$125,MATCH('Mortality Margins &amp; Grading'!$AQ$4,'Mortality Margins &amp; Grading'!$AI$4:$AR$4,0),0),1)))</f>
        <v/>
      </c>
      <c r="AC1008" s="154"/>
      <c r="AD1008" s="158" t="str">
        <f>IF(E1008="","",Input!$C$48*IF(Summary!$D$30="Included Margin",IF(AND($B1008&gt;Input!$C$9,Summary!$D$31&lt;&gt;"Included Margin"),0,1),0))</f>
        <v/>
      </c>
      <c r="AE1008" s="159" t="str">
        <f>IF(E1008="","",IF(Summary!$D$26="Included Margin",IF(AND($B1008&gt;Input!$C$9,Summary!$D$31&lt;&gt;"Included Margin"),1,1/$R1008),1))</f>
        <v/>
      </c>
      <c r="AF1008" s="160" t="str">
        <f>IF(E1008="","",IF(AND($B1008&gt;=Input!$C$9,$C1008=12,Summary!$D$31="Included Margin",$U1008&gt;0),1/U1008-1,IF($B1008&gt;=Input!$C$9,0,Input!$C$45*IF(Summary!$D$27="Included Margin",1,0))))</f>
        <v/>
      </c>
      <c r="AG1008" s="160" t="str">
        <f>IF(E1008="","",Input!$C$46*IF(Summary!$D$28="Included Margin",IF(AND($B1008&gt;Input!$C$9,Summary!$D$31&lt;&gt;"Included Margin"),0,1),0))</f>
        <v/>
      </c>
      <c r="AH1008" s="158" t="str">
        <f>IF(E1008="","",Input!$C$47*IF(Summary!$D$29="Included Margin",IF(AND($B1008&gt;Input!$C$9,Summary!$D$31&lt;&gt;"Included Margin"),0,1),0))</f>
        <v/>
      </c>
      <c r="AI1008" s="154"/>
      <c r="AJ1008" s="158" t="str">
        <f t="shared" si="647"/>
        <v/>
      </c>
      <c r="AK1008" s="155" t="str">
        <f t="shared" si="648"/>
        <v/>
      </c>
      <c r="AL1008" s="147" t="str">
        <f t="shared" si="649"/>
        <v/>
      </c>
      <c r="AM1008" s="147" t="str">
        <f t="shared" si="634"/>
        <v/>
      </c>
      <c r="AN1008" s="160" t="str">
        <f t="shared" si="650"/>
        <v/>
      </c>
      <c r="AO1008" s="161" t="str">
        <f t="shared" si="651"/>
        <v/>
      </c>
      <c r="AP1008" s="156" t="str">
        <f t="shared" si="635"/>
        <v/>
      </c>
      <c r="AQ1008" s="152"/>
      <c r="AR1008" s="162" t="str">
        <f t="shared" si="636"/>
        <v/>
      </c>
      <c r="AS1008" s="150" t="str">
        <f t="shared" si="652"/>
        <v/>
      </c>
      <c r="AT1008" s="163" t="str">
        <f t="shared" si="637"/>
        <v/>
      </c>
      <c r="AU1008" s="163" t="str">
        <f t="shared" si="638"/>
        <v/>
      </c>
      <c r="AV1008" s="163" t="str">
        <f t="shared" si="653"/>
        <v/>
      </c>
      <c r="AW1008" s="163" t="str">
        <f t="shared" si="639"/>
        <v/>
      </c>
      <c r="AX1008" s="163" t="str">
        <f t="shared" si="640"/>
        <v/>
      </c>
      <c r="AY1008" s="165" t="str">
        <f t="shared" si="654"/>
        <v/>
      </c>
      <c r="AZ1008" s="164" t="str">
        <f>IF($E1008="","",IF(OR(AND($D1008=Input!$C$6,$C1008=12),$AN1008=1),0,-AS1009+AT1009+AU1009-AV1009-AW1009-AX1009+AZ1009))</f>
        <v/>
      </c>
      <c r="BA1008" s="154" t="str">
        <f t="shared" si="641"/>
        <v/>
      </c>
      <c r="BC1008" s="147" t="str">
        <f t="shared" si="655"/>
        <v/>
      </c>
      <c r="BD1008" s="164" t="str">
        <f>IF(AND($C1007=12,$D1007=Input!$C$6),0,IF($E1008="","",AT1008+(AU1008+BD1009)/(1+$AK1008)*MIN((1-AM1008-AN1008),1)))</f>
        <v/>
      </c>
      <c r="BE1008" s="164" t="str">
        <f t="shared" si="670"/>
        <v/>
      </c>
      <c r="BF1008" s="164" t="str">
        <f t="shared" si="656"/>
        <v/>
      </c>
      <c r="BG1008" s="164" t="str">
        <f t="shared" si="642"/>
        <v/>
      </c>
      <c r="BH1008" s="152"/>
      <c r="BI1008" s="162" t="str">
        <f t="shared" si="664"/>
        <v/>
      </c>
      <c r="BJ1008" s="150" t="str">
        <f t="shared" si="665"/>
        <v/>
      </c>
      <c r="BK1008" s="163" t="str">
        <f t="shared" si="661"/>
        <v/>
      </c>
      <c r="BL1008" s="163" t="str">
        <f t="shared" si="666"/>
        <v/>
      </c>
      <c r="BM1008" s="163" t="str">
        <f t="shared" si="662"/>
        <v/>
      </c>
      <c r="BN1008" s="163" t="str">
        <f t="shared" si="667"/>
        <v/>
      </c>
      <c r="BO1008" s="163" t="str">
        <f t="shared" si="668"/>
        <v/>
      </c>
      <c r="BP1008" s="164" t="str">
        <f t="shared" si="663"/>
        <v/>
      </c>
      <c r="BQ1008" s="164" t="str">
        <f t="shared" si="657"/>
        <v/>
      </c>
      <c r="BR1008" s="154" t="str">
        <f t="shared" si="669"/>
        <v/>
      </c>
      <c r="BT1008" s="147" t="str">
        <f t="shared" si="643"/>
        <v/>
      </c>
      <c r="BU1008" s="164" t="str">
        <f>IF(AND($C1007=12,$D1007=Input!$C$6),0,IF($E1008="","",BK1008+(BL1008+BU1009)/(1+$AK1008)*MIN((1-T1008-U1008),1)))</f>
        <v/>
      </c>
      <c r="BV1008" s="164" t="str">
        <f t="shared" si="644"/>
        <v/>
      </c>
      <c r="BW1008" s="164" t="str">
        <f t="shared" si="645"/>
        <v/>
      </c>
      <c r="BX1008" s="164" t="str">
        <f t="shared" si="646"/>
        <v/>
      </c>
    </row>
    <row r="1009" spans="1:76" s="150" customFormat="1" x14ac:dyDescent="0.25">
      <c r="A1009" s="150" t="str">
        <f t="shared" si="658"/>
        <v/>
      </c>
      <c r="B1009" s="150" t="str">
        <f t="shared" si="659"/>
        <v/>
      </c>
      <c r="C1009" s="150" t="str">
        <f t="shared" si="660"/>
        <v/>
      </c>
      <c r="D1009" s="150" t="str">
        <f>IF(E1009="","",Input!$C$4+B1009-1)</f>
        <v/>
      </c>
      <c r="E1009" s="150" t="str">
        <f>IF(OR(AND(C1008=12,D1008=Input!$C$6),E1008=""),"",1)</f>
        <v/>
      </c>
      <c r="F1009" s="150" t="str">
        <f>IF(E1009="","",Input!$C$8+B1009-1)</f>
        <v/>
      </c>
      <c r="G1009" s="151" t="str">
        <f>IF(E1009="","",MAX(0,Input!$C$9-B1009))</f>
        <v/>
      </c>
      <c r="H1009" s="152" t="str">
        <f>IF(E1009="","",Input!$C$3)</f>
        <v/>
      </c>
      <c r="I1009" s="153" t="str">
        <f>IF(E1009="","",HLOOKUP($B1009,Input!$C$13:$BT$14,2))</f>
        <v/>
      </c>
      <c r="J1009" s="154"/>
      <c r="K1009" s="155" t="str">
        <f>IF($E1009="","",INDEX(Input!$C$16:$CP$16,1,$B1009))</f>
        <v/>
      </c>
      <c r="L1009" s="155" t="str">
        <f>IF($E1009="","",Input!$C$37)</f>
        <v/>
      </c>
      <c r="M1009" s="155" t="str">
        <f t="shared" si="629"/>
        <v/>
      </c>
      <c r="N1009" s="155" t="str">
        <f t="shared" si="630"/>
        <v/>
      </c>
      <c r="O1009" s="147" t="str">
        <f>IF($E1009="","",MIN(VLOOKUP(IF($B1009&lt;=Input!$C$7,$B1009,26),'Mortality Tables'!$A$41:$CW$67,IF($B1009&lt;=Input!$C$7+1,Input!$C$4+2,$D1009-Input!$C$7+2),0)*IF(B1009&gt;20,Input!$C$22,1)/1000,1))</f>
        <v/>
      </c>
      <c r="P1009" s="147" t="str">
        <f>IF($E1009="","",MIN(VLOOKUP(IF($B1009&lt;=Input!$C$7,$B1009,26),'Mortality Tables'!$A$12:$CW$37,IF($B1009&lt;=Input!$C$7+1,Input!$C$4+2,$D1009-Input!$C$7+2),0)*IF(B1009&gt;20,Input!$C$22,1)/1000,1))</f>
        <v/>
      </c>
      <c r="Q1009" s="155" t="str">
        <f>IF($E1009="","",Input!$C$21)</f>
        <v/>
      </c>
      <c r="R1009" s="159" t="str">
        <f>IF($E1009="","",(1-Q1009)^($F1009-Input!$C$20))</f>
        <v/>
      </c>
      <c r="S1009" s="147" t="str">
        <f t="shared" si="632"/>
        <v/>
      </c>
      <c r="T1009" s="147" t="str">
        <f t="shared" si="633"/>
        <v/>
      </c>
      <c r="U1009" s="160" t="str">
        <f>IF($E1009="","",IF($C1009=12,INDEX(Input!$C$15:$CP$15,1,$B1009),0))</f>
        <v/>
      </c>
      <c r="V1009" s="150" t="str">
        <f>IF(E1009="","",IF(C1009=1,IF($B1009=1,Input!$C$33,Input!$C$34),0))</f>
        <v/>
      </c>
      <c r="W1009" s="156" t="str">
        <f>IF($E1009="","",Input!$C$35)</f>
        <v/>
      </c>
      <c r="X1009" s="156" t="str">
        <f t="shared" si="631"/>
        <v/>
      </c>
      <c r="Y1009" s="154"/>
      <c r="Z1009" s="147" t="str">
        <f>IF($E1009="","",VLOOKUP($D1009,'Mortality Margins &amp; Grading'!$AB$5:$AF$125,3,0)*IF(Summary!$D$25="Included Margin",IF(AND($B1009&gt;Input!$C$9,Summary!$D$31&lt;&gt;"Included Margin"),0,1),0))</f>
        <v/>
      </c>
      <c r="AA1009" s="147" t="str">
        <f>IF($E1009="","",VLOOKUP($D1009,'Mortality Margins &amp; Grading'!$AB$5:$AF$125,5,0)*IF(Summary!$D$25="Included Margin",IF(AND($B1009&gt;Input!$C$9,Summary!$D$31&lt;&gt;"Included Margin"),0,1),0))</f>
        <v/>
      </c>
      <c r="AB1009" s="147" t="str">
        <f>IF($E1009="","",IF(AND($B1009&gt;Input!$C$9,Summary!$D$31&lt;&gt;"Included Margin"),1,IF(Summary!$D$25="Included Margin",VLOOKUP($B1009,'Mortality Margins &amp; Grading'!$AI$5:$AR$125,MATCH('Mortality Margins &amp; Grading'!$AQ$4,'Mortality Margins &amp; Grading'!$AI$4:$AR$4,0),0),1)))</f>
        <v/>
      </c>
      <c r="AC1009" s="154"/>
      <c r="AD1009" s="158" t="str">
        <f>IF(E1009="","",Input!$C$48*IF(Summary!$D$30="Included Margin",IF(AND($B1009&gt;Input!$C$9,Summary!$D$31&lt;&gt;"Included Margin"),0,1),0))</f>
        <v/>
      </c>
      <c r="AE1009" s="159" t="str">
        <f>IF(E1009="","",IF(Summary!$D$26="Included Margin",IF(AND($B1009&gt;Input!$C$9,Summary!$D$31&lt;&gt;"Included Margin"),1,1/$R1009),1))</f>
        <v/>
      </c>
      <c r="AF1009" s="160" t="str">
        <f>IF(E1009="","",IF(AND($B1009&gt;=Input!$C$9,$C1009=12,Summary!$D$31="Included Margin",$U1009&gt;0),1/U1009-1,IF($B1009&gt;=Input!$C$9,0,Input!$C$45*IF(Summary!$D$27="Included Margin",1,0))))</f>
        <v/>
      </c>
      <c r="AG1009" s="160" t="str">
        <f>IF(E1009="","",Input!$C$46*IF(Summary!$D$28="Included Margin",IF(AND($B1009&gt;Input!$C$9,Summary!$D$31&lt;&gt;"Included Margin"),0,1),0))</f>
        <v/>
      </c>
      <c r="AH1009" s="158" t="str">
        <f>IF(E1009="","",Input!$C$47*IF(Summary!$D$29="Included Margin",IF(AND($B1009&gt;Input!$C$9,Summary!$D$31&lt;&gt;"Included Margin"),0,1),0))</f>
        <v/>
      </c>
      <c r="AI1009" s="154"/>
      <c r="AJ1009" s="158" t="str">
        <f t="shared" si="647"/>
        <v/>
      </c>
      <c r="AK1009" s="155" t="str">
        <f t="shared" si="648"/>
        <v/>
      </c>
      <c r="AL1009" s="147" t="str">
        <f t="shared" si="649"/>
        <v/>
      </c>
      <c r="AM1009" s="147" t="str">
        <f t="shared" si="634"/>
        <v/>
      </c>
      <c r="AN1009" s="160" t="str">
        <f t="shared" si="650"/>
        <v/>
      </c>
      <c r="AO1009" s="161" t="str">
        <f t="shared" si="651"/>
        <v/>
      </c>
      <c r="AP1009" s="156" t="str">
        <f t="shared" si="635"/>
        <v/>
      </c>
      <c r="AQ1009" s="152"/>
      <c r="AR1009" s="162" t="str">
        <f t="shared" si="636"/>
        <v/>
      </c>
      <c r="AS1009" s="150" t="str">
        <f t="shared" si="652"/>
        <v/>
      </c>
      <c r="AT1009" s="163" t="str">
        <f t="shared" si="637"/>
        <v/>
      </c>
      <c r="AU1009" s="163" t="str">
        <f t="shared" si="638"/>
        <v/>
      </c>
      <c r="AV1009" s="163" t="str">
        <f t="shared" si="653"/>
        <v/>
      </c>
      <c r="AW1009" s="163" t="str">
        <f t="shared" si="639"/>
        <v/>
      </c>
      <c r="AX1009" s="163" t="str">
        <f t="shared" si="640"/>
        <v/>
      </c>
      <c r="AY1009" s="164" t="str">
        <f t="shared" si="654"/>
        <v/>
      </c>
      <c r="AZ1009" s="164" t="str">
        <f>IF($E1009="","",IF(OR(AND($D1009=Input!$C$6,$C1009=12),$AN1009=1),0,-AS1010+AT1010+AU1010-AV1010-AW1010-AX1010+AZ1010))</f>
        <v/>
      </c>
      <c r="BA1009" s="154" t="str">
        <f t="shared" si="641"/>
        <v/>
      </c>
      <c r="BC1009" s="147" t="str">
        <f t="shared" si="655"/>
        <v/>
      </c>
      <c r="BD1009" s="164" t="str">
        <f>IF(AND($C1008=12,$D1008=Input!$C$6),0,IF($E1009="","",AT1009+(AU1009+BD1010)/(1+$AK1009)*MIN((1-AM1009-AN1009),1)))</f>
        <v/>
      </c>
      <c r="BE1009" s="164" t="str">
        <f t="shared" si="670"/>
        <v/>
      </c>
      <c r="BF1009" s="164" t="str">
        <f t="shared" si="656"/>
        <v/>
      </c>
      <c r="BG1009" s="164" t="str">
        <f t="shared" si="642"/>
        <v/>
      </c>
      <c r="BH1009" s="152"/>
      <c r="BI1009" s="162" t="str">
        <f t="shared" si="664"/>
        <v/>
      </c>
      <c r="BJ1009" s="150" t="str">
        <f t="shared" si="665"/>
        <v/>
      </c>
      <c r="BK1009" s="163" t="str">
        <f t="shared" si="661"/>
        <v/>
      </c>
      <c r="BL1009" s="163" t="str">
        <f t="shared" si="666"/>
        <v/>
      </c>
      <c r="BM1009" s="163" t="str">
        <f t="shared" si="662"/>
        <v/>
      </c>
      <c r="BN1009" s="163" t="str">
        <f t="shared" si="667"/>
        <v/>
      </c>
      <c r="BO1009" s="163" t="str">
        <f t="shared" si="668"/>
        <v/>
      </c>
      <c r="BP1009" s="164" t="str">
        <f t="shared" si="663"/>
        <v/>
      </c>
      <c r="BQ1009" s="164" t="str">
        <f t="shared" si="657"/>
        <v/>
      </c>
      <c r="BR1009" s="154" t="str">
        <f t="shared" si="669"/>
        <v/>
      </c>
      <c r="BT1009" s="147" t="str">
        <f t="shared" si="643"/>
        <v/>
      </c>
      <c r="BU1009" s="164" t="str">
        <f>IF(AND($C1008=12,$D1008=Input!$C$6),0,IF($E1009="","",BK1009+(BL1009+BU1010)/(1+$AK1009)*MIN((1-T1009-U1009),1)))</f>
        <v/>
      </c>
      <c r="BV1009" s="164" t="str">
        <f t="shared" si="644"/>
        <v/>
      </c>
      <c r="BW1009" s="164" t="str">
        <f t="shared" si="645"/>
        <v/>
      </c>
      <c r="BX1009" s="164" t="str">
        <f t="shared" si="646"/>
        <v/>
      </c>
    </row>
    <row r="1010" spans="1:76" s="150" customFormat="1" x14ac:dyDescent="0.25">
      <c r="A1010" s="150" t="str">
        <f t="shared" si="658"/>
        <v/>
      </c>
      <c r="B1010" s="150" t="str">
        <f t="shared" si="659"/>
        <v/>
      </c>
      <c r="C1010" s="150" t="str">
        <f t="shared" si="660"/>
        <v/>
      </c>
      <c r="D1010" s="150" t="str">
        <f>IF(E1010="","",Input!$C$4+B1010-1)</f>
        <v/>
      </c>
      <c r="E1010" s="150" t="str">
        <f>IF(OR(AND(C1009=12,D1009=Input!$C$6),E1009=""),"",1)</f>
        <v/>
      </c>
      <c r="F1010" s="150" t="str">
        <f>IF(E1010="","",Input!$C$8+B1010-1)</f>
        <v/>
      </c>
      <c r="G1010" s="151" t="str">
        <f>IF(E1010="","",MAX(0,Input!$C$9-B1010))</f>
        <v/>
      </c>
      <c r="H1010" s="152" t="str">
        <f>IF(E1010="","",Input!$C$3)</f>
        <v/>
      </c>
      <c r="I1010" s="153" t="str">
        <f>IF(E1010="","",HLOOKUP($B1010,Input!$C$13:$BT$14,2))</f>
        <v/>
      </c>
      <c r="J1010" s="154"/>
      <c r="K1010" s="155" t="str">
        <f>IF($E1010="","",INDEX(Input!$C$16:$CP$16,1,$B1010))</f>
        <v/>
      </c>
      <c r="L1010" s="155" t="str">
        <f>IF($E1010="","",Input!$C$37)</f>
        <v/>
      </c>
      <c r="M1010" s="155" t="str">
        <f t="shared" si="629"/>
        <v/>
      </c>
      <c r="N1010" s="155" t="str">
        <f t="shared" si="630"/>
        <v/>
      </c>
      <c r="O1010" s="147" t="str">
        <f>IF($E1010="","",MIN(VLOOKUP(IF($B1010&lt;=Input!$C$7,$B1010,26),'Mortality Tables'!$A$41:$CW$67,IF($B1010&lt;=Input!$C$7+1,Input!$C$4+2,$D1010-Input!$C$7+2),0)*IF(B1010&gt;20,Input!$C$22,1)/1000,1))</f>
        <v/>
      </c>
      <c r="P1010" s="147" t="str">
        <f>IF($E1010="","",MIN(VLOOKUP(IF($B1010&lt;=Input!$C$7,$B1010,26),'Mortality Tables'!$A$12:$CW$37,IF($B1010&lt;=Input!$C$7+1,Input!$C$4+2,$D1010-Input!$C$7+2),0)*IF(B1010&gt;20,Input!$C$22,1)/1000,1))</f>
        <v/>
      </c>
      <c r="Q1010" s="155" t="str">
        <f>IF($E1010="","",Input!$C$21)</f>
        <v/>
      </c>
      <c r="R1010" s="159" t="str">
        <f>IF($E1010="","",(1-Q1010)^($F1010-Input!$C$20))</f>
        <v/>
      </c>
      <c r="S1010" s="147" t="str">
        <f t="shared" si="632"/>
        <v/>
      </c>
      <c r="T1010" s="147" t="str">
        <f t="shared" si="633"/>
        <v/>
      </c>
      <c r="U1010" s="160" t="str">
        <f>IF($E1010="","",IF($C1010=12,INDEX(Input!$C$15:$CP$15,1,$B1010),0))</f>
        <v/>
      </c>
      <c r="V1010" s="150" t="str">
        <f>IF(E1010="","",IF(C1010=1,IF($B1010=1,Input!$C$33,Input!$C$34),0))</f>
        <v/>
      </c>
      <c r="W1010" s="156" t="str">
        <f>IF($E1010="","",Input!$C$35)</f>
        <v/>
      </c>
      <c r="X1010" s="156" t="str">
        <f t="shared" si="631"/>
        <v/>
      </c>
      <c r="Y1010" s="154"/>
      <c r="Z1010" s="147" t="str">
        <f>IF($E1010="","",VLOOKUP($D1010,'Mortality Margins &amp; Grading'!$AB$5:$AF$125,3,0)*IF(Summary!$D$25="Included Margin",IF(AND($B1010&gt;Input!$C$9,Summary!$D$31&lt;&gt;"Included Margin"),0,1),0))</f>
        <v/>
      </c>
      <c r="AA1010" s="147" t="str">
        <f>IF($E1010="","",VLOOKUP($D1010,'Mortality Margins &amp; Grading'!$AB$5:$AF$125,5,0)*IF(Summary!$D$25="Included Margin",IF(AND($B1010&gt;Input!$C$9,Summary!$D$31&lt;&gt;"Included Margin"),0,1),0))</f>
        <v/>
      </c>
      <c r="AB1010" s="147" t="str">
        <f>IF($E1010="","",IF(AND($B1010&gt;Input!$C$9,Summary!$D$31&lt;&gt;"Included Margin"),1,IF(Summary!$D$25="Included Margin",VLOOKUP($B1010,'Mortality Margins &amp; Grading'!$AI$5:$AR$125,MATCH('Mortality Margins &amp; Grading'!$AQ$4,'Mortality Margins &amp; Grading'!$AI$4:$AR$4,0),0),1)))</f>
        <v/>
      </c>
      <c r="AC1010" s="154"/>
      <c r="AD1010" s="158" t="str">
        <f>IF(E1010="","",Input!$C$48*IF(Summary!$D$30="Included Margin",IF(AND($B1010&gt;Input!$C$9,Summary!$D$31&lt;&gt;"Included Margin"),0,1),0))</f>
        <v/>
      </c>
      <c r="AE1010" s="159" t="str">
        <f>IF(E1010="","",IF(Summary!$D$26="Included Margin",IF(AND($B1010&gt;Input!$C$9,Summary!$D$31&lt;&gt;"Included Margin"),1,1/$R1010),1))</f>
        <v/>
      </c>
      <c r="AF1010" s="160" t="str">
        <f>IF(E1010="","",IF(AND($B1010&gt;=Input!$C$9,$C1010=12,Summary!$D$31="Included Margin",$U1010&gt;0),1/U1010-1,IF($B1010&gt;=Input!$C$9,0,Input!$C$45*IF(Summary!$D$27="Included Margin",1,0))))</f>
        <v/>
      </c>
      <c r="AG1010" s="160" t="str">
        <f>IF(E1010="","",Input!$C$46*IF(Summary!$D$28="Included Margin",IF(AND($B1010&gt;Input!$C$9,Summary!$D$31&lt;&gt;"Included Margin"),0,1),0))</f>
        <v/>
      </c>
      <c r="AH1010" s="158" t="str">
        <f>IF(E1010="","",Input!$C$47*IF(Summary!$D$29="Included Margin",IF(AND($B1010&gt;Input!$C$9,Summary!$D$31&lt;&gt;"Included Margin"),0,1),0))</f>
        <v/>
      </c>
      <c r="AI1010" s="154"/>
      <c r="AJ1010" s="158" t="str">
        <f t="shared" si="647"/>
        <v/>
      </c>
      <c r="AK1010" s="155" t="str">
        <f t="shared" si="648"/>
        <v/>
      </c>
      <c r="AL1010" s="147" t="str">
        <f t="shared" si="649"/>
        <v/>
      </c>
      <c r="AM1010" s="147" t="str">
        <f t="shared" si="634"/>
        <v/>
      </c>
      <c r="AN1010" s="160" t="str">
        <f t="shared" si="650"/>
        <v/>
      </c>
      <c r="AO1010" s="161" t="str">
        <f t="shared" si="651"/>
        <v/>
      </c>
      <c r="AP1010" s="156" t="str">
        <f t="shared" si="635"/>
        <v/>
      </c>
      <c r="AQ1010" s="152"/>
      <c r="AR1010" s="162" t="str">
        <f t="shared" si="636"/>
        <v/>
      </c>
      <c r="AS1010" s="150" t="str">
        <f t="shared" si="652"/>
        <v/>
      </c>
      <c r="AT1010" s="163" t="str">
        <f t="shared" si="637"/>
        <v/>
      </c>
      <c r="AU1010" s="163" t="str">
        <f t="shared" si="638"/>
        <v/>
      </c>
      <c r="AV1010" s="163" t="str">
        <f t="shared" si="653"/>
        <v/>
      </c>
      <c r="AW1010" s="163" t="str">
        <f t="shared" si="639"/>
        <v/>
      </c>
      <c r="AX1010" s="163" t="str">
        <f t="shared" si="640"/>
        <v/>
      </c>
      <c r="AY1010" s="165" t="str">
        <f t="shared" si="654"/>
        <v/>
      </c>
      <c r="AZ1010" s="164" t="str">
        <f>IF($E1010="","",IF(OR(AND($D1010=Input!$C$6,$C1010=12),$AN1010=1),0,-AS1011+AT1011+AU1011-AV1011-AW1011-AX1011+AZ1011))</f>
        <v/>
      </c>
      <c r="BA1010" s="154" t="str">
        <f t="shared" si="641"/>
        <v/>
      </c>
      <c r="BC1010" s="147" t="str">
        <f t="shared" si="655"/>
        <v/>
      </c>
      <c r="BD1010" s="164" t="str">
        <f>IF(AND($C1009=12,$D1009=Input!$C$6),0,IF($E1010="","",AT1010+(AU1010+BD1011)/(1+$AK1010)*MIN((1-AM1010-AN1010),1)))</f>
        <v/>
      </c>
      <c r="BE1010" s="164" t="str">
        <f t="shared" si="670"/>
        <v/>
      </c>
      <c r="BF1010" s="164" t="str">
        <f t="shared" si="656"/>
        <v/>
      </c>
      <c r="BG1010" s="164" t="str">
        <f t="shared" si="642"/>
        <v/>
      </c>
      <c r="BH1010" s="152"/>
      <c r="BI1010" s="162" t="str">
        <f t="shared" si="664"/>
        <v/>
      </c>
      <c r="BJ1010" s="150" t="str">
        <f t="shared" si="665"/>
        <v/>
      </c>
      <c r="BK1010" s="163" t="str">
        <f t="shared" si="661"/>
        <v/>
      </c>
      <c r="BL1010" s="163" t="str">
        <f t="shared" si="666"/>
        <v/>
      </c>
      <c r="BM1010" s="163" t="str">
        <f t="shared" si="662"/>
        <v/>
      </c>
      <c r="BN1010" s="163" t="str">
        <f t="shared" si="667"/>
        <v/>
      </c>
      <c r="BO1010" s="163" t="str">
        <f t="shared" si="668"/>
        <v/>
      </c>
      <c r="BP1010" s="164" t="str">
        <f t="shared" si="663"/>
        <v/>
      </c>
      <c r="BQ1010" s="164" t="str">
        <f t="shared" si="657"/>
        <v/>
      </c>
      <c r="BR1010" s="154" t="str">
        <f t="shared" si="669"/>
        <v/>
      </c>
      <c r="BT1010" s="147" t="str">
        <f t="shared" si="643"/>
        <v/>
      </c>
      <c r="BU1010" s="164" t="str">
        <f>IF(AND($C1009=12,$D1009=Input!$C$6),0,IF($E1010="","",BK1010+(BL1010+BU1011)/(1+$AK1010)*MIN((1-T1010-U1010),1)))</f>
        <v/>
      </c>
      <c r="BV1010" s="164" t="str">
        <f t="shared" si="644"/>
        <v/>
      </c>
      <c r="BW1010" s="164" t="str">
        <f t="shared" si="645"/>
        <v/>
      </c>
      <c r="BX1010" s="164" t="str">
        <f t="shared" si="646"/>
        <v/>
      </c>
    </row>
    <row r="1011" spans="1:76" s="150" customFormat="1" x14ac:dyDescent="0.25">
      <c r="A1011" s="150" t="str">
        <f t="shared" si="658"/>
        <v/>
      </c>
      <c r="B1011" s="150" t="str">
        <f t="shared" si="659"/>
        <v/>
      </c>
      <c r="C1011" s="150" t="str">
        <f t="shared" si="660"/>
        <v/>
      </c>
      <c r="D1011" s="150" t="str">
        <f>IF(E1011="","",Input!$C$4+B1011-1)</f>
        <v/>
      </c>
      <c r="E1011" s="150" t="str">
        <f>IF(OR(AND(C1010=12,D1010=Input!$C$6),E1010=""),"",1)</f>
        <v/>
      </c>
      <c r="F1011" s="150" t="str">
        <f>IF(E1011="","",Input!$C$8+B1011-1)</f>
        <v/>
      </c>
      <c r="G1011" s="151" t="str">
        <f>IF(E1011="","",MAX(0,Input!$C$9-B1011))</f>
        <v/>
      </c>
      <c r="H1011" s="152" t="str">
        <f>IF(E1011="","",Input!$C$3)</f>
        <v/>
      </c>
      <c r="I1011" s="153" t="str">
        <f>IF(E1011="","",HLOOKUP($B1011,Input!$C$13:$BT$14,2))</f>
        <v/>
      </c>
      <c r="J1011" s="154"/>
      <c r="K1011" s="155" t="str">
        <f>IF($E1011="","",INDEX(Input!$C$16:$CP$16,1,$B1011))</f>
        <v/>
      </c>
      <c r="L1011" s="155" t="str">
        <f>IF($E1011="","",Input!$C$37)</f>
        <v/>
      </c>
      <c r="M1011" s="155" t="str">
        <f t="shared" si="629"/>
        <v/>
      </c>
      <c r="N1011" s="155" t="str">
        <f t="shared" si="630"/>
        <v/>
      </c>
      <c r="O1011" s="147" t="str">
        <f>IF($E1011="","",MIN(VLOOKUP(IF($B1011&lt;=Input!$C$7,$B1011,26),'Mortality Tables'!$A$41:$CW$67,IF($B1011&lt;=Input!$C$7+1,Input!$C$4+2,$D1011-Input!$C$7+2),0)*IF(B1011&gt;20,Input!$C$22,1)/1000,1))</f>
        <v/>
      </c>
      <c r="P1011" s="147" t="str">
        <f>IF($E1011="","",MIN(VLOOKUP(IF($B1011&lt;=Input!$C$7,$B1011,26),'Mortality Tables'!$A$12:$CW$37,IF($B1011&lt;=Input!$C$7+1,Input!$C$4+2,$D1011-Input!$C$7+2),0)*IF(B1011&gt;20,Input!$C$22,1)/1000,1))</f>
        <v/>
      </c>
      <c r="Q1011" s="155" t="str">
        <f>IF($E1011="","",Input!$C$21)</f>
        <v/>
      </c>
      <c r="R1011" s="159" t="str">
        <f>IF($E1011="","",(1-Q1011)^($F1011-Input!$C$20))</f>
        <v/>
      </c>
      <c r="S1011" s="147" t="str">
        <f t="shared" si="632"/>
        <v/>
      </c>
      <c r="T1011" s="147" t="str">
        <f t="shared" si="633"/>
        <v/>
      </c>
      <c r="U1011" s="160" t="str">
        <f>IF($E1011="","",IF($C1011=12,INDEX(Input!$C$15:$CP$15,1,$B1011),0))</f>
        <v/>
      </c>
      <c r="V1011" s="150" t="str">
        <f>IF(E1011="","",IF(C1011=1,IF($B1011=1,Input!$C$33,Input!$C$34),0))</f>
        <v/>
      </c>
      <c r="W1011" s="156" t="str">
        <f>IF($E1011="","",Input!$C$35)</f>
        <v/>
      </c>
      <c r="X1011" s="156" t="str">
        <f t="shared" si="631"/>
        <v/>
      </c>
      <c r="Y1011" s="154"/>
      <c r="Z1011" s="147" t="str">
        <f>IF($E1011="","",VLOOKUP($D1011,'Mortality Margins &amp; Grading'!$AB$5:$AF$125,3,0)*IF(Summary!$D$25="Included Margin",IF(AND($B1011&gt;Input!$C$9,Summary!$D$31&lt;&gt;"Included Margin"),0,1),0))</f>
        <v/>
      </c>
      <c r="AA1011" s="147" t="str">
        <f>IF($E1011="","",VLOOKUP($D1011,'Mortality Margins &amp; Grading'!$AB$5:$AF$125,5,0)*IF(Summary!$D$25="Included Margin",IF(AND($B1011&gt;Input!$C$9,Summary!$D$31&lt;&gt;"Included Margin"),0,1),0))</f>
        <v/>
      </c>
      <c r="AB1011" s="147" t="str">
        <f>IF($E1011="","",IF(AND($B1011&gt;Input!$C$9,Summary!$D$31&lt;&gt;"Included Margin"),1,IF(Summary!$D$25="Included Margin",VLOOKUP($B1011,'Mortality Margins &amp; Grading'!$AI$5:$AR$125,MATCH('Mortality Margins &amp; Grading'!$AQ$4,'Mortality Margins &amp; Grading'!$AI$4:$AR$4,0),0),1)))</f>
        <v/>
      </c>
      <c r="AC1011" s="154"/>
      <c r="AD1011" s="158" t="str">
        <f>IF(E1011="","",Input!$C$48*IF(Summary!$D$30="Included Margin",IF(AND($B1011&gt;Input!$C$9,Summary!$D$31&lt;&gt;"Included Margin"),0,1),0))</f>
        <v/>
      </c>
      <c r="AE1011" s="159" t="str">
        <f>IF(E1011="","",IF(Summary!$D$26="Included Margin",IF(AND($B1011&gt;Input!$C$9,Summary!$D$31&lt;&gt;"Included Margin"),1,1/$R1011),1))</f>
        <v/>
      </c>
      <c r="AF1011" s="160" t="str">
        <f>IF(E1011="","",IF(AND($B1011&gt;=Input!$C$9,$C1011=12,Summary!$D$31="Included Margin",$U1011&gt;0),1/U1011-1,IF($B1011&gt;=Input!$C$9,0,Input!$C$45*IF(Summary!$D$27="Included Margin",1,0))))</f>
        <v/>
      </c>
      <c r="AG1011" s="160" t="str">
        <f>IF(E1011="","",Input!$C$46*IF(Summary!$D$28="Included Margin",IF(AND($B1011&gt;Input!$C$9,Summary!$D$31&lt;&gt;"Included Margin"),0,1),0))</f>
        <v/>
      </c>
      <c r="AH1011" s="158" t="str">
        <f>IF(E1011="","",Input!$C$47*IF(Summary!$D$29="Included Margin",IF(AND($B1011&gt;Input!$C$9,Summary!$D$31&lt;&gt;"Included Margin"),0,1),0))</f>
        <v/>
      </c>
      <c r="AI1011" s="154"/>
      <c r="AJ1011" s="158" t="str">
        <f t="shared" si="647"/>
        <v/>
      </c>
      <c r="AK1011" s="155" t="str">
        <f t="shared" si="648"/>
        <v/>
      </c>
      <c r="AL1011" s="147" t="str">
        <f t="shared" si="649"/>
        <v/>
      </c>
      <c r="AM1011" s="147" t="str">
        <f t="shared" si="634"/>
        <v/>
      </c>
      <c r="AN1011" s="160" t="str">
        <f t="shared" si="650"/>
        <v/>
      </c>
      <c r="AO1011" s="161" t="str">
        <f t="shared" si="651"/>
        <v/>
      </c>
      <c r="AP1011" s="156" t="str">
        <f t="shared" si="635"/>
        <v/>
      </c>
      <c r="AQ1011" s="152"/>
      <c r="AR1011" s="162" t="str">
        <f t="shared" si="636"/>
        <v/>
      </c>
      <c r="AS1011" s="150" t="str">
        <f t="shared" si="652"/>
        <v/>
      </c>
      <c r="AT1011" s="163" t="str">
        <f t="shared" si="637"/>
        <v/>
      </c>
      <c r="AU1011" s="163" t="str">
        <f t="shared" si="638"/>
        <v/>
      </c>
      <c r="AV1011" s="163" t="str">
        <f t="shared" si="653"/>
        <v/>
      </c>
      <c r="AW1011" s="163" t="str">
        <f t="shared" si="639"/>
        <v/>
      </c>
      <c r="AX1011" s="163" t="str">
        <f t="shared" si="640"/>
        <v/>
      </c>
      <c r="AY1011" s="164" t="str">
        <f t="shared" si="654"/>
        <v/>
      </c>
      <c r="AZ1011" s="164" t="str">
        <f>IF($E1011="","",IF(OR(AND($D1011=Input!$C$6,$C1011=12),$AN1011=1),0,-AS1012+AT1012+AU1012-AV1012-AW1012-AX1012+AZ1012))</f>
        <v/>
      </c>
      <c r="BA1011" s="154" t="str">
        <f t="shared" si="641"/>
        <v/>
      </c>
      <c r="BC1011" s="147" t="str">
        <f t="shared" si="655"/>
        <v/>
      </c>
      <c r="BD1011" s="164" t="str">
        <f>IF(AND($C1010=12,$D1010=Input!$C$6),0,IF($E1011="","",AT1011+(AU1011+BD1012)/(1+$AK1011)*MIN((1-AM1011-AN1011),1)))</f>
        <v/>
      </c>
      <c r="BE1011" s="164" t="str">
        <f t="shared" si="670"/>
        <v/>
      </c>
      <c r="BF1011" s="164" t="str">
        <f t="shared" si="656"/>
        <v/>
      </c>
      <c r="BG1011" s="164" t="str">
        <f t="shared" si="642"/>
        <v/>
      </c>
      <c r="BH1011" s="152"/>
      <c r="BI1011" s="162" t="str">
        <f t="shared" si="664"/>
        <v/>
      </c>
      <c r="BJ1011" s="150" t="str">
        <f t="shared" si="665"/>
        <v/>
      </c>
      <c r="BK1011" s="163" t="str">
        <f t="shared" si="661"/>
        <v/>
      </c>
      <c r="BL1011" s="163" t="str">
        <f t="shared" si="666"/>
        <v/>
      </c>
      <c r="BM1011" s="163" t="str">
        <f t="shared" si="662"/>
        <v/>
      </c>
      <c r="BN1011" s="163" t="str">
        <f t="shared" si="667"/>
        <v/>
      </c>
      <c r="BO1011" s="163" t="str">
        <f t="shared" si="668"/>
        <v/>
      </c>
      <c r="BP1011" s="164" t="str">
        <f t="shared" si="663"/>
        <v/>
      </c>
      <c r="BQ1011" s="164" t="str">
        <f t="shared" si="657"/>
        <v/>
      </c>
      <c r="BR1011" s="154" t="str">
        <f t="shared" si="669"/>
        <v/>
      </c>
      <c r="BT1011" s="147" t="str">
        <f t="shared" si="643"/>
        <v/>
      </c>
      <c r="BU1011" s="164" t="str">
        <f>IF(AND($C1010=12,$D1010=Input!$C$6),0,IF($E1011="","",BK1011+(BL1011+BU1012)/(1+$AK1011)*MIN((1-T1011-U1011),1)))</f>
        <v/>
      </c>
      <c r="BV1011" s="164" t="str">
        <f t="shared" si="644"/>
        <v/>
      </c>
      <c r="BW1011" s="164" t="str">
        <f t="shared" si="645"/>
        <v/>
      </c>
      <c r="BX1011" s="164" t="str">
        <f t="shared" si="646"/>
        <v/>
      </c>
    </row>
    <row r="1012" spans="1:76" s="150" customFormat="1" x14ac:dyDescent="0.25">
      <c r="A1012" s="150" t="str">
        <f t="shared" si="658"/>
        <v/>
      </c>
      <c r="B1012" s="150" t="str">
        <f t="shared" si="659"/>
        <v/>
      </c>
      <c r="C1012" s="150" t="str">
        <f t="shared" si="660"/>
        <v/>
      </c>
      <c r="D1012" s="150" t="str">
        <f>IF(E1012="","",Input!$C$4+B1012-1)</f>
        <v/>
      </c>
      <c r="E1012" s="150" t="str">
        <f>IF(OR(AND(C1011=12,D1011=Input!$C$6),E1011=""),"",1)</f>
        <v/>
      </c>
      <c r="F1012" s="150" t="str">
        <f>IF(E1012="","",Input!$C$8+B1012-1)</f>
        <v/>
      </c>
      <c r="G1012" s="151" t="str">
        <f>IF(E1012="","",MAX(0,Input!$C$9-B1012))</f>
        <v/>
      </c>
      <c r="H1012" s="152" t="str">
        <f>IF(E1012="","",Input!$C$3)</f>
        <v/>
      </c>
      <c r="I1012" s="153" t="str">
        <f>IF(E1012="","",HLOOKUP($B1012,Input!$C$13:$BT$14,2))</f>
        <v/>
      </c>
      <c r="J1012" s="154"/>
      <c r="K1012" s="155" t="str">
        <f>IF($E1012="","",INDEX(Input!$C$16:$CP$16,1,$B1012))</f>
        <v/>
      </c>
      <c r="L1012" s="155" t="str">
        <f>IF($E1012="","",Input!$C$37)</f>
        <v/>
      </c>
      <c r="M1012" s="155" t="str">
        <f t="shared" si="629"/>
        <v/>
      </c>
      <c r="N1012" s="155" t="str">
        <f t="shared" si="630"/>
        <v/>
      </c>
      <c r="O1012" s="147" t="str">
        <f>IF($E1012="","",MIN(VLOOKUP(IF($B1012&lt;=Input!$C$7,$B1012,26),'Mortality Tables'!$A$41:$CW$67,IF($B1012&lt;=Input!$C$7+1,Input!$C$4+2,$D1012-Input!$C$7+2),0)*IF(B1012&gt;20,Input!$C$22,1)/1000,1))</f>
        <v/>
      </c>
      <c r="P1012" s="147" t="str">
        <f>IF($E1012="","",MIN(VLOOKUP(IF($B1012&lt;=Input!$C$7,$B1012,26),'Mortality Tables'!$A$12:$CW$37,IF($B1012&lt;=Input!$C$7+1,Input!$C$4+2,$D1012-Input!$C$7+2),0)*IF(B1012&gt;20,Input!$C$22,1)/1000,1))</f>
        <v/>
      </c>
      <c r="Q1012" s="155" t="str">
        <f>IF($E1012="","",Input!$C$21)</f>
        <v/>
      </c>
      <c r="R1012" s="159" t="str">
        <f>IF($E1012="","",(1-Q1012)^($F1012-Input!$C$20))</f>
        <v/>
      </c>
      <c r="S1012" s="147" t="str">
        <f t="shared" si="632"/>
        <v/>
      </c>
      <c r="T1012" s="147" t="str">
        <f t="shared" si="633"/>
        <v/>
      </c>
      <c r="U1012" s="160" t="str">
        <f>IF($E1012="","",IF($C1012=12,INDEX(Input!$C$15:$CP$15,1,$B1012),0))</f>
        <v/>
      </c>
      <c r="V1012" s="150" t="str">
        <f>IF(E1012="","",IF(C1012=1,IF($B1012=1,Input!$C$33,Input!$C$34),0))</f>
        <v/>
      </c>
      <c r="W1012" s="156" t="str">
        <f>IF($E1012="","",Input!$C$35)</f>
        <v/>
      </c>
      <c r="X1012" s="156" t="str">
        <f t="shared" si="631"/>
        <v/>
      </c>
      <c r="Y1012" s="154"/>
      <c r="Z1012" s="147" t="str">
        <f>IF($E1012="","",VLOOKUP($D1012,'Mortality Margins &amp; Grading'!$AB$5:$AF$125,3,0)*IF(Summary!$D$25="Included Margin",IF(AND($B1012&gt;Input!$C$9,Summary!$D$31&lt;&gt;"Included Margin"),0,1),0))</f>
        <v/>
      </c>
      <c r="AA1012" s="147" t="str">
        <f>IF($E1012="","",VLOOKUP($D1012,'Mortality Margins &amp; Grading'!$AB$5:$AF$125,5,0)*IF(Summary!$D$25="Included Margin",IF(AND($B1012&gt;Input!$C$9,Summary!$D$31&lt;&gt;"Included Margin"),0,1),0))</f>
        <v/>
      </c>
      <c r="AB1012" s="147" t="str">
        <f>IF($E1012="","",IF(AND($B1012&gt;Input!$C$9,Summary!$D$31&lt;&gt;"Included Margin"),1,IF(Summary!$D$25="Included Margin",VLOOKUP($B1012,'Mortality Margins &amp; Grading'!$AI$5:$AR$125,MATCH('Mortality Margins &amp; Grading'!$AQ$4,'Mortality Margins &amp; Grading'!$AI$4:$AR$4,0),0),1)))</f>
        <v/>
      </c>
      <c r="AC1012" s="154"/>
      <c r="AD1012" s="158" t="str">
        <f>IF(E1012="","",Input!$C$48*IF(Summary!$D$30="Included Margin",IF(AND($B1012&gt;Input!$C$9,Summary!$D$31&lt;&gt;"Included Margin"),0,1),0))</f>
        <v/>
      </c>
      <c r="AE1012" s="159" t="str">
        <f>IF(E1012="","",IF(Summary!$D$26="Included Margin",IF(AND($B1012&gt;Input!$C$9,Summary!$D$31&lt;&gt;"Included Margin"),1,1/$R1012),1))</f>
        <v/>
      </c>
      <c r="AF1012" s="160" t="str">
        <f>IF(E1012="","",IF(AND($B1012&gt;=Input!$C$9,$C1012=12,Summary!$D$31="Included Margin",$U1012&gt;0),1/U1012-1,IF($B1012&gt;=Input!$C$9,0,Input!$C$45*IF(Summary!$D$27="Included Margin",1,0))))</f>
        <v/>
      </c>
      <c r="AG1012" s="160" t="str">
        <f>IF(E1012="","",Input!$C$46*IF(Summary!$D$28="Included Margin",IF(AND($B1012&gt;Input!$C$9,Summary!$D$31&lt;&gt;"Included Margin"),0,1),0))</f>
        <v/>
      </c>
      <c r="AH1012" s="158" t="str">
        <f>IF(E1012="","",Input!$C$47*IF(Summary!$D$29="Included Margin",IF(AND($B1012&gt;Input!$C$9,Summary!$D$31&lt;&gt;"Included Margin"),0,1),0))</f>
        <v/>
      </c>
      <c r="AI1012" s="154"/>
      <c r="AJ1012" s="158" t="str">
        <f t="shared" si="647"/>
        <v/>
      </c>
      <c r="AK1012" s="155" t="str">
        <f t="shared" si="648"/>
        <v/>
      </c>
      <c r="AL1012" s="147" t="str">
        <f t="shared" si="649"/>
        <v/>
      </c>
      <c r="AM1012" s="147" t="str">
        <f t="shared" si="634"/>
        <v/>
      </c>
      <c r="AN1012" s="160" t="str">
        <f t="shared" si="650"/>
        <v/>
      </c>
      <c r="AO1012" s="161" t="str">
        <f t="shared" si="651"/>
        <v/>
      </c>
      <c r="AP1012" s="156" t="str">
        <f t="shared" si="635"/>
        <v/>
      </c>
      <c r="AQ1012" s="152"/>
      <c r="AR1012" s="162" t="str">
        <f t="shared" si="636"/>
        <v/>
      </c>
      <c r="AS1012" s="150" t="str">
        <f t="shared" si="652"/>
        <v/>
      </c>
      <c r="AT1012" s="163" t="str">
        <f t="shared" si="637"/>
        <v/>
      </c>
      <c r="AU1012" s="163" t="str">
        <f t="shared" si="638"/>
        <v/>
      </c>
      <c r="AV1012" s="163" t="str">
        <f t="shared" si="653"/>
        <v/>
      </c>
      <c r="AW1012" s="163" t="str">
        <f t="shared" si="639"/>
        <v/>
      </c>
      <c r="AX1012" s="163" t="str">
        <f t="shared" si="640"/>
        <v/>
      </c>
      <c r="AY1012" s="165" t="str">
        <f t="shared" si="654"/>
        <v/>
      </c>
      <c r="AZ1012" s="164" t="str">
        <f>IF($E1012="","",IF(OR(AND($D1012=Input!$C$6,$C1012=12),$AN1012=1),0,-AS1013+AT1013+AU1013-AV1013-AW1013-AX1013+AZ1013))</f>
        <v/>
      </c>
      <c r="BA1012" s="154" t="str">
        <f t="shared" si="641"/>
        <v/>
      </c>
      <c r="BC1012" s="147" t="str">
        <f t="shared" si="655"/>
        <v/>
      </c>
      <c r="BD1012" s="164" t="str">
        <f>IF(AND($C1011=12,$D1011=Input!$C$6),0,IF($E1012="","",AT1012+(AU1012+BD1013)/(1+$AK1012)*MIN((1-AM1012-AN1012),1)))</f>
        <v/>
      </c>
      <c r="BE1012" s="164" t="str">
        <f t="shared" si="670"/>
        <v/>
      </c>
      <c r="BF1012" s="164" t="str">
        <f t="shared" si="656"/>
        <v/>
      </c>
      <c r="BG1012" s="164" t="str">
        <f t="shared" si="642"/>
        <v/>
      </c>
      <c r="BH1012" s="152"/>
      <c r="BI1012" s="162" t="str">
        <f t="shared" si="664"/>
        <v/>
      </c>
      <c r="BJ1012" s="150" t="str">
        <f t="shared" si="665"/>
        <v/>
      </c>
      <c r="BK1012" s="163" t="str">
        <f t="shared" si="661"/>
        <v/>
      </c>
      <c r="BL1012" s="163" t="str">
        <f t="shared" si="666"/>
        <v/>
      </c>
      <c r="BM1012" s="163" t="str">
        <f t="shared" si="662"/>
        <v/>
      </c>
      <c r="BN1012" s="163" t="str">
        <f t="shared" si="667"/>
        <v/>
      </c>
      <c r="BO1012" s="163" t="str">
        <f t="shared" si="668"/>
        <v/>
      </c>
      <c r="BP1012" s="164" t="str">
        <f t="shared" si="663"/>
        <v/>
      </c>
      <c r="BQ1012" s="164" t="str">
        <f t="shared" si="657"/>
        <v/>
      </c>
      <c r="BR1012" s="154" t="str">
        <f t="shared" si="669"/>
        <v/>
      </c>
      <c r="BT1012" s="147" t="str">
        <f t="shared" si="643"/>
        <v/>
      </c>
      <c r="BU1012" s="164" t="str">
        <f>IF(AND($C1011=12,$D1011=Input!$C$6),0,IF($E1012="","",BK1012+(BL1012+BU1013)/(1+$AK1012)*MIN((1-T1012-U1012),1)))</f>
        <v/>
      </c>
      <c r="BV1012" s="164" t="str">
        <f t="shared" si="644"/>
        <v/>
      </c>
      <c r="BW1012" s="164" t="str">
        <f t="shared" si="645"/>
        <v/>
      </c>
      <c r="BX1012" s="164" t="str">
        <f t="shared" si="646"/>
        <v/>
      </c>
    </row>
    <row r="1013" spans="1:76" s="150" customFormat="1" x14ac:dyDescent="0.25">
      <c r="A1013" s="150" t="str">
        <f t="shared" si="658"/>
        <v/>
      </c>
      <c r="B1013" s="150" t="str">
        <f t="shared" si="659"/>
        <v/>
      </c>
      <c r="C1013" s="150" t="str">
        <f t="shared" si="660"/>
        <v/>
      </c>
      <c r="D1013" s="150" t="str">
        <f>IF(E1013="","",Input!$C$4+B1013-1)</f>
        <v/>
      </c>
      <c r="E1013" s="150" t="str">
        <f>IF(OR(AND(C1012=12,D1012=Input!$C$6),E1012=""),"",1)</f>
        <v/>
      </c>
      <c r="F1013" s="150" t="str">
        <f>IF(E1013="","",Input!$C$8+B1013-1)</f>
        <v/>
      </c>
      <c r="G1013" s="151" t="str">
        <f>IF(E1013="","",MAX(0,Input!$C$9-B1013))</f>
        <v/>
      </c>
      <c r="H1013" s="152" t="str">
        <f>IF(E1013="","",Input!$C$3)</f>
        <v/>
      </c>
      <c r="I1013" s="153" t="str">
        <f>IF(E1013="","",HLOOKUP($B1013,Input!$C$13:$BT$14,2))</f>
        <v/>
      </c>
      <c r="J1013" s="154"/>
      <c r="K1013" s="155" t="str">
        <f>IF($E1013="","",INDEX(Input!$C$16:$CP$16,1,$B1013))</f>
        <v/>
      </c>
      <c r="L1013" s="155" t="str">
        <f>IF($E1013="","",Input!$C$37)</f>
        <v/>
      </c>
      <c r="M1013" s="155" t="str">
        <f t="shared" ref="M1013:M1076" si="671">IF($E1013="","",K1013+L1013)</f>
        <v/>
      </c>
      <c r="N1013" s="155" t="str">
        <f t="shared" ref="N1013:N1076" si="672">IF($E1013="","",(1+M1013)^(1/12)-1)</f>
        <v/>
      </c>
      <c r="O1013" s="147" t="str">
        <f>IF($E1013="","",MIN(VLOOKUP(IF($B1013&lt;=Input!$C$7,$B1013,26),'Mortality Tables'!$A$41:$CW$67,IF($B1013&lt;=Input!$C$7+1,Input!$C$4+2,$D1013-Input!$C$7+2),0)*IF(B1013&gt;20,Input!$C$22,1)/1000,1))</f>
        <v/>
      </c>
      <c r="P1013" s="147" t="str">
        <f>IF($E1013="","",MIN(VLOOKUP(IF($B1013&lt;=Input!$C$7,$B1013,26),'Mortality Tables'!$A$12:$CW$37,IF($B1013&lt;=Input!$C$7+1,Input!$C$4+2,$D1013-Input!$C$7+2),0)*IF(B1013&gt;20,Input!$C$22,1)/1000,1))</f>
        <v/>
      </c>
      <c r="Q1013" s="155" t="str">
        <f>IF($E1013="","",Input!$C$21)</f>
        <v/>
      </c>
      <c r="R1013" s="159" t="str">
        <f>IF($E1013="","",(1-Q1013)^($F1013-Input!$C$20))</f>
        <v/>
      </c>
      <c r="S1013" s="147" t="str">
        <f t="shared" si="632"/>
        <v/>
      </c>
      <c r="T1013" s="147" t="str">
        <f t="shared" si="633"/>
        <v/>
      </c>
      <c r="U1013" s="160" t="str">
        <f>IF($E1013="","",IF($C1013=12,INDEX(Input!$C$15:$CP$15,1,$B1013),0))</f>
        <v/>
      </c>
      <c r="V1013" s="150" t="str">
        <f>IF(E1013="","",IF(C1013=1,IF($B1013=1,Input!$C$33,Input!$C$34),0))</f>
        <v/>
      </c>
      <c r="W1013" s="156" t="str">
        <f>IF($E1013="","",Input!$C$35)</f>
        <v/>
      </c>
      <c r="X1013" s="156" t="str">
        <f t="shared" ref="X1013:X1076" si="673">IF($E1013="","",IF(B1013=1,1,IF(C1013=1,(1+W1013)*X1012,X1012)))</f>
        <v/>
      </c>
      <c r="Y1013" s="154"/>
      <c r="Z1013" s="147" t="str">
        <f>IF($E1013="","",VLOOKUP($D1013,'Mortality Margins &amp; Grading'!$AB$5:$AF$125,3,0)*IF(Summary!$D$25="Included Margin",IF(AND($B1013&gt;Input!$C$9,Summary!$D$31&lt;&gt;"Included Margin"),0,1),0))</f>
        <v/>
      </c>
      <c r="AA1013" s="147" t="str">
        <f>IF($E1013="","",VLOOKUP($D1013,'Mortality Margins &amp; Grading'!$AB$5:$AF$125,5,0)*IF(Summary!$D$25="Included Margin",IF(AND($B1013&gt;Input!$C$9,Summary!$D$31&lt;&gt;"Included Margin"),0,1),0))</f>
        <v/>
      </c>
      <c r="AB1013" s="147" t="str">
        <f>IF($E1013="","",IF(AND($B1013&gt;Input!$C$9,Summary!$D$31&lt;&gt;"Included Margin"),1,IF(Summary!$D$25="Included Margin",VLOOKUP($B1013,'Mortality Margins &amp; Grading'!$AI$5:$AR$125,MATCH('Mortality Margins &amp; Grading'!$AQ$4,'Mortality Margins &amp; Grading'!$AI$4:$AR$4,0),0),1)))</f>
        <v/>
      </c>
      <c r="AC1013" s="154"/>
      <c r="AD1013" s="158" t="str">
        <f>IF(E1013="","",Input!$C$48*IF(Summary!$D$30="Included Margin",IF(AND($B1013&gt;Input!$C$9,Summary!$D$31&lt;&gt;"Included Margin"),0,1),0))</f>
        <v/>
      </c>
      <c r="AE1013" s="159" t="str">
        <f>IF(E1013="","",IF(Summary!$D$26="Included Margin",IF(AND($B1013&gt;Input!$C$9,Summary!$D$31&lt;&gt;"Included Margin"),1,1/$R1013),1))</f>
        <v/>
      </c>
      <c r="AF1013" s="160" t="str">
        <f>IF(E1013="","",IF(AND($B1013&gt;=Input!$C$9,$C1013=12,Summary!$D$31="Included Margin",$U1013&gt;0),1/U1013-1,IF($B1013&gt;=Input!$C$9,0,Input!$C$45*IF(Summary!$D$27="Included Margin",1,0))))</f>
        <v/>
      </c>
      <c r="AG1013" s="160" t="str">
        <f>IF(E1013="","",Input!$C$46*IF(Summary!$D$28="Included Margin",IF(AND($B1013&gt;Input!$C$9,Summary!$D$31&lt;&gt;"Included Margin"),0,1),0))</f>
        <v/>
      </c>
      <c r="AH1013" s="158" t="str">
        <f>IF(E1013="","",Input!$C$47*IF(Summary!$D$29="Included Margin",IF(AND($B1013&gt;Input!$C$9,Summary!$D$31&lt;&gt;"Included Margin"),0,1),0))</f>
        <v/>
      </c>
      <c r="AI1013" s="154"/>
      <c r="AJ1013" s="158" t="str">
        <f t="shared" si="647"/>
        <v/>
      </c>
      <c r="AK1013" s="155" t="str">
        <f t="shared" si="648"/>
        <v/>
      </c>
      <c r="AL1013" s="147" t="str">
        <f t="shared" si="649"/>
        <v/>
      </c>
      <c r="AM1013" s="147" t="str">
        <f t="shared" si="634"/>
        <v/>
      </c>
      <c r="AN1013" s="160" t="str">
        <f t="shared" si="650"/>
        <v/>
      </c>
      <c r="AO1013" s="161" t="str">
        <f t="shared" si="651"/>
        <v/>
      </c>
      <c r="AP1013" s="156" t="str">
        <f t="shared" si="635"/>
        <v/>
      </c>
      <c r="AQ1013" s="152"/>
      <c r="AR1013" s="162" t="str">
        <f t="shared" si="636"/>
        <v/>
      </c>
      <c r="AS1013" s="150" t="str">
        <f t="shared" si="652"/>
        <v/>
      </c>
      <c r="AT1013" s="163" t="str">
        <f t="shared" si="637"/>
        <v/>
      </c>
      <c r="AU1013" s="163" t="str">
        <f t="shared" si="638"/>
        <v/>
      </c>
      <c r="AV1013" s="163" t="str">
        <f t="shared" si="653"/>
        <v/>
      </c>
      <c r="AW1013" s="163" t="str">
        <f t="shared" si="639"/>
        <v/>
      </c>
      <c r="AX1013" s="163" t="str">
        <f t="shared" si="640"/>
        <v/>
      </c>
      <c r="AY1013" s="164" t="str">
        <f t="shared" si="654"/>
        <v/>
      </c>
      <c r="AZ1013" s="164" t="str">
        <f>IF($E1013="","",IF(OR(AND($D1013=Input!$C$6,$C1013=12),$AN1013=1),0,-AS1014+AT1014+AU1014-AV1014-AW1014-AX1014+AZ1014))</f>
        <v/>
      </c>
      <c r="BA1013" s="154" t="str">
        <f t="shared" si="641"/>
        <v/>
      </c>
      <c r="BC1013" s="147" t="str">
        <f t="shared" si="655"/>
        <v/>
      </c>
      <c r="BD1013" s="164" t="str">
        <f>IF(AND($C1012=12,$D1012=Input!$C$6),0,IF($E1013="","",AT1013+(AU1013+BD1014)/(1+$AK1013)*MIN((1-AM1013-AN1013),1)))</f>
        <v/>
      </c>
      <c r="BE1013" s="164" t="str">
        <f t="shared" si="670"/>
        <v/>
      </c>
      <c r="BF1013" s="164" t="str">
        <f t="shared" si="656"/>
        <v/>
      </c>
      <c r="BG1013" s="164" t="str">
        <f t="shared" si="642"/>
        <v/>
      </c>
      <c r="BH1013" s="152"/>
      <c r="BI1013" s="162" t="str">
        <f t="shared" si="664"/>
        <v/>
      </c>
      <c r="BJ1013" s="150" t="str">
        <f t="shared" si="665"/>
        <v/>
      </c>
      <c r="BK1013" s="163" t="str">
        <f t="shared" si="661"/>
        <v/>
      </c>
      <c r="BL1013" s="163" t="str">
        <f t="shared" si="666"/>
        <v/>
      </c>
      <c r="BM1013" s="163" t="str">
        <f t="shared" si="662"/>
        <v/>
      </c>
      <c r="BN1013" s="163" t="str">
        <f t="shared" si="667"/>
        <v/>
      </c>
      <c r="BO1013" s="163" t="str">
        <f t="shared" si="668"/>
        <v/>
      </c>
      <c r="BP1013" s="164" t="str">
        <f t="shared" si="663"/>
        <v/>
      </c>
      <c r="BQ1013" s="164" t="str">
        <f t="shared" si="657"/>
        <v/>
      </c>
      <c r="BR1013" s="154" t="str">
        <f t="shared" si="669"/>
        <v/>
      </c>
      <c r="BT1013" s="147" t="str">
        <f t="shared" si="643"/>
        <v/>
      </c>
      <c r="BU1013" s="164" t="str">
        <f>IF(AND($C1012=12,$D1012=Input!$C$6),0,IF($E1013="","",BK1013+(BL1013+BU1014)/(1+$AK1013)*MIN((1-T1013-U1013),1)))</f>
        <v/>
      </c>
      <c r="BV1013" s="164" t="str">
        <f t="shared" si="644"/>
        <v/>
      </c>
      <c r="BW1013" s="164" t="str">
        <f t="shared" si="645"/>
        <v/>
      </c>
      <c r="BX1013" s="164" t="str">
        <f t="shared" si="646"/>
        <v/>
      </c>
    </row>
    <row r="1014" spans="1:76" s="150" customFormat="1" x14ac:dyDescent="0.25">
      <c r="A1014" s="150" t="str">
        <f t="shared" si="658"/>
        <v/>
      </c>
      <c r="B1014" s="150" t="str">
        <f t="shared" si="659"/>
        <v/>
      </c>
      <c r="C1014" s="150" t="str">
        <f t="shared" si="660"/>
        <v/>
      </c>
      <c r="D1014" s="150" t="str">
        <f>IF(E1014="","",Input!$C$4+B1014-1)</f>
        <v/>
      </c>
      <c r="E1014" s="150" t="str">
        <f>IF(OR(AND(C1013=12,D1013=Input!$C$6),E1013=""),"",1)</f>
        <v/>
      </c>
      <c r="F1014" s="150" t="str">
        <f>IF(E1014="","",Input!$C$8+B1014-1)</f>
        <v/>
      </c>
      <c r="G1014" s="151" t="str">
        <f>IF(E1014="","",MAX(0,Input!$C$9-B1014))</f>
        <v/>
      </c>
      <c r="H1014" s="152" t="str">
        <f>IF(E1014="","",Input!$C$3)</f>
        <v/>
      </c>
      <c r="I1014" s="153" t="str">
        <f>IF(E1014="","",HLOOKUP($B1014,Input!$C$13:$BT$14,2))</f>
        <v/>
      </c>
      <c r="J1014" s="154"/>
      <c r="K1014" s="155" t="str">
        <f>IF($E1014="","",INDEX(Input!$C$16:$CP$16,1,$B1014))</f>
        <v/>
      </c>
      <c r="L1014" s="155" t="str">
        <f>IF($E1014="","",Input!$C$37)</f>
        <v/>
      </c>
      <c r="M1014" s="155" t="str">
        <f t="shared" si="671"/>
        <v/>
      </c>
      <c r="N1014" s="155" t="str">
        <f t="shared" si="672"/>
        <v/>
      </c>
      <c r="O1014" s="147" t="str">
        <f>IF($E1014="","",MIN(VLOOKUP(IF($B1014&lt;=Input!$C$7,$B1014,26),'Mortality Tables'!$A$41:$CW$67,IF($B1014&lt;=Input!$C$7+1,Input!$C$4+2,$D1014-Input!$C$7+2),0)*IF(B1014&gt;20,Input!$C$22,1)/1000,1))</f>
        <v/>
      </c>
      <c r="P1014" s="147" t="str">
        <f>IF($E1014="","",MIN(VLOOKUP(IF($B1014&lt;=Input!$C$7,$B1014,26),'Mortality Tables'!$A$12:$CW$37,IF($B1014&lt;=Input!$C$7+1,Input!$C$4+2,$D1014-Input!$C$7+2),0)*IF(B1014&gt;20,Input!$C$22,1)/1000,1))</f>
        <v/>
      </c>
      <c r="Q1014" s="155" t="str">
        <f>IF($E1014="","",Input!$C$21)</f>
        <v/>
      </c>
      <c r="R1014" s="159" t="str">
        <f>IF($E1014="","",(1-Q1014)^($F1014-Input!$C$20))</f>
        <v/>
      </c>
      <c r="S1014" s="147" t="str">
        <f t="shared" si="632"/>
        <v/>
      </c>
      <c r="T1014" s="147" t="str">
        <f t="shared" si="633"/>
        <v/>
      </c>
      <c r="U1014" s="160" t="str">
        <f>IF($E1014="","",IF($C1014=12,INDEX(Input!$C$15:$CP$15,1,$B1014),0))</f>
        <v/>
      </c>
      <c r="V1014" s="150" t="str">
        <f>IF(E1014="","",IF(C1014=1,IF($B1014=1,Input!$C$33,Input!$C$34),0))</f>
        <v/>
      </c>
      <c r="W1014" s="156" t="str">
        <f>IF($E1014="","",Input!$C$35)</f>
        <v/>
      </c>
      <c r="X1014" s="156" t="str">
        <f t="shared" si="673"/>
        <v/>
      </c>
      <c r="Y1014" s="154"/>
      <c r="Z1014" s="147" t="str">
        <f>IF($E1014="","",VLOOKUP($D1014,'Mortality Margins &amp; Grading'!$AB$5:$AF$125,3,0)*IF(Summary!$D$25="Included Margin",IF(AND($B1014&gt;Input!$C$9,Summary!$D$31&lt;&gt;"Included Margin"),0,1),0))</f>
        <v/>
      </c>
      <c r="AA1014" s="147" t="str">
        <f>IF($E1014="","",VLOOKUP($D1014,'Mortality Margins &amp; Grading'!$AB$5:$AF$125,5,0)*IF(Summary!$D$25="Included Margin",IF(AND($B1014&gt;Input!$C$9,Summary!$D$31&lt;&gt;"Included Margin"),0,1),0))</f>
        <v/>
      </c>
      <c r="AB1014" s="147" t="str">
        <f>IF($E1014="","",IF(AND($B1014&gt;Input!$C$9,Summary!$D$31&lt;&gt;"Included Margin"),1,IF(Summary!$D$25="Included Margin",VLOOKUP($B1014,'Mortality Margins &amp; Grading'!$AI$5:$AR$125,MATCH('Mortality Margins &amp; Grading'!$AQ$4,'Mortality Margins &amp; Grading'!$AI$4:$AR$4,0),0),1)))</f>
        <v/>
      </c>
      <c r="AC1014" s="154"/>
      <c r="AD1014" s="158" t="str">
        <f>IF(E1014="","",Input!$C$48*IF(Summary!$D$30="Included Margin",IF(AND($B1014&gt;Input!$C$9,Summary!$D$31&lt;&gt;"Included Margin"),0,1),0))</f>
        <v/>
      </c>
      <c r="AE1014" s="159" t="str">
        <f>IF(E1014="","",IF(Summary!$D$26="Included Margin",IF(AND($B1014&gt;Input!$C$9,Summary!$D$31&lt;&gt;"Included Margin"),1,1/$R1014),1))</f>
        <v/>
      </c>
      <c r="AF1014" s="160" t="str">
        <f>IF(E1014="","",IF(AND($B1014&gt;=Input!$C$9,$C1014=12,Summary!$D$31="Included Margin",$U1014&gt;0),1/U1014-1,IF($B1014&gt;=Input!$C$9,0,Input!$C$45*IF(Summary!$D$27="Included Margin",1,0))))</f>
        <v/>
      </c>
      <c r="AG1014" s="160" t="str">
        <f>IF(E1014="","",Input!$C$46*IF(Summary!$D$28="Included Margin",IF(AND($B1014&gt;Input!$C$9,Summary!$D$31&lt;&gt;"Included Margin"),0,1),0))</f>
        <v/>
      </c>
      <c r="AH1014" s="158" t="str">
        <f>IF(E1014="","",Input!$C$47*IF(Summary!$D$29="Included Margin",IF(AND($B1014&gt;Input!$C$9,Summary!$D$31&lt;&gt;"Included Margin"),0,1),0))</f>
        <v/>
      </c>
      <c r="AI1014" s="154"/>
      <c r="AJ1014" s="158" t="str">
        <f t="shared" si="647"/>
        <v/>
      </c>
      <c r="AK1014" s="155" t="str">
        <f t="shared" si="648"/>
        <v/>
      </c>
      <c r="AL1014" s="147" t="str">
        <f t="shared" si="649"/>
        <v/>
      </c>
      <c r="AM1014" s="147" t="str">
        <f t="shared" si="634"/>
        <v/>
      </c>
      <c r="AN1014" s="160" t="str">
        <f t="shared" si="650"/>
        <v/>
      </c>
      <c r="AO1014" s="161" t="str">
        <f t="shared" si="651"/>
        <v/>
      </c>
      <c r="AP1014" s="156" t="str">
        <f t="shared" si="635"/>
        <v/>
      </c>
      <c r="AQ1014" s="152"/>
      <c r="AR1014" s="162" t="str">
        <f t="shared" si="636"/>
        <v/>
      </c>
      <c r="AS1014" s="150" t="str">
        <f t="shared" si="652"/>
        <v/>
      </c>
      <c r="AT1014" s="163" t="str">
        <f t="shared" si="637"/>
        <v/>
      </c>
      <c r="AU1014" s="163" t="str">
        <f t="shared" si="638"/>
        <v/>
      </c>
      <c r="AV1014" s="163" t="str">
        <f t="shared" si="653"/>
        <v/>
      </c>
      <c r="AW1014" s="163" t="str">
        <f t="shared" si="639"/>
        <v/>
      </c>
      <c r="AX1014" s="163" t="str">
        <f t="shared" si="640"/>
        <v/>
      </c>
      <c r="AY1014" s="165" t="str">
        <f t="shared" si="654"/>
        <v/>
      </c>
      <c r="AZ1014" s="164" t="str">
        <f>IF($E1014="","",IF(OR(AND($D1014=Input!$C$6,$C1014=12),$AN1014=1),0,-AS1015+AT1015+AU1015-AV1015-AW1015-AX1015+AZ1015))</f>
        <v/>
      </c>
      <c r="BA1014" s="154" t="str">
        <f t="shared" si="641"/>
        <v/>
      </c>
      <c r="BC1014" s="147" t="str">
        <f t="shared" si="655"/>
        <v/>
      </c>
      <c r="BD1014" s="164" t="str">
        <f>IF(AND($C1013=12,$D1013=Input!$C$6),0,IF($E1014="","",AT1014+(AU1014+BD1015)/(1+$AK1014)*MIN((1-AM1014-AN1014),1)))</f>
        <v/>
      </c>
      <c r="BE1014" s="164" t="str">
        <f t="shared" si="670"/>
        <v/>
      </c>
      <c r="BF1014" s="164" t="str">
        <f t="shared" si="656"/>
        <v/>
      </c>
      <c r="BG1014" s="164" t="str">
        <f t="shared" si="642"/>
        <v/>
      </c>
      <c r="BH1014" s="152"/>
      <c r="BI1014" s="162" t="str">
        <f t="shared" si="664"/>
        <v/>
      </c>
      <c r="BJ1014" s="150" t="str">
        <f t="shared" si="665"/>
        <v/>
      </c>
      <c r="BK1014" s="163" t="str">
        <f t="shared" si="661"/>
        <v/>
      </c>
      <c r="BL1014" s="163" t="str">
        <f t="shared" si="666"/>
        <v/>
      </c>
      <c r="BM1014" s="163" t="str">
        <f t="shared" si="662"/>
        <v/>
      </c>
      <c r="BN1014" s="163" t="str">
        <f t="shared" si="667"/>
        <v/>
      </c>
      <c r="BO1014" s="163" t="str">
        <f t="shared" si="668"/>
        <v/>
      </c>
      <c r="BP1014" s="164" t="str">
        <f t="shared" si="663"/>
        <v/>
      </c>
      <c r="BQ1014" s="164" t="str">
        <f t="shared" si="657"/>
        <v/>
      </c>
      <c r="BR1014" s="154" t="str">
        <f t="shared" si="669"/>
        <v/>
      </c>
      <c r="BT1014" s="147" t="str">
        <f t="shared" si="643"/>
        <v/>
      </c>
      <c r="BU1014" s="164" t="str">
        <f>IF(AND($C1013=12,$D1013=Input!$C$6),0,IF($E1014="","",BK1014+(BL1014+BU1015)/(1+$AK1014)*MIN((1-T1014-U1014),1)))</f>
        <v/>
      </c>
      <c r="BV1014" s="164" t="str">
        <f t="shared" si="644"/>
        <v/>
      </c>
      <c r="BW1014" s="164" t="str">
        <f t="shared" si="645"/>
        <v/>
      </c>
      <c r="BX1014" s="164" t="str">
        <f t="shared" si="646"/>
        <v/>
      </c>
    </row>
    <row r="1015" spans="1:76" s="150" customFormat="1" x14ac:dyDescent="0.25">
      <c r="A1015" s="150" t="str">
        <f t="shared" si="658"/>
        <v/>
      </c>
      <c r="B1015" s="150" t="str">
        <f t="shared" si="659"/>
        <v/>
      </c>
      <c r="C1015" s="150" t="str">
        <f t="shared" si="660"/>
        <v/>
      </c>
      <c r="D1015" s="150" t="str">
        <f>IF(E1015="","",Input!$C$4+B1015-1)</f>
        <v/>
      </c>
      <c r="E1015" s="150" t="str">
        <f>IF(OR(AND(C1014=12,D1014=Input!$C$6),E1014=""),"",1)</f>
        <v/>
      </c>
      <c r="F1015" s="150" t="str">
        <f>IF(E1015="","",Input!$C$8+B1015-1)</f>
        <v/>
      </c>
      <c r="G1015" s="151" t="str">
        <f>IF(E1015="","",MAX(0,Input!$C$9-B1015))</f>
        <v/>
      </c>
      <c r="H1015" s="152" t="str">
        <f>IF(E1015="","",Input!$C$3)</f>
        <v/>
      </c>
      <c r="I1015" s="153" t="str">
        <f>IF(E1015="","",HLOOKUP($B1015,Input!$C$13:$BT$14,2))</f>
        <v/>
      </c>
      <c r="J1015" s="154"/>
      <c r="K1015" s="155" t="str">
        <f>IF($E1015="","",INDEX(Input!$C$16:$CP$16,1,$B1015))</f>
        <v/>
      </c>
      <c r="L1015" s="155" t="str">
        <f>IF($E1015="","",Input!$C$37)</f>
        <v/>
      </c>
      <c r="M1015" s="155" t="str">
        <f t="shared" si="671"/>
        <v/>
      </c>
      <c r="N1015" s="155" t="str">
        <f t="shared" si="672"/>
        <v/>
      </c>
      <c r="O1015" s="147" t="str">
        <f>IF($E1015="","",MIN(VLOOKUP(IF($B1015&lt;=Input!$C$7,$B1015,26),'Mortality Tables'!$A$41:$CW$67,IF($B1015&lt;=Input!$C$7+1,Input!$C$4+2,$D1015-Input!$C$7+2),0)*IF(B1015&gt;20,Input!$C$22,1)/1000,1))</f>
        <v/>
      </c>
      <c r="P1015" s="147" t="str">
        <f>IF($E1015="","",MIN(VLOOKUP(IF($B1015&lt;=Input!$C$7,$B1015,26),'Mortality Tables'!$A$12:$CW$37,IF($B1015&lt;=Input!$C$7+1,Input!$C$4+2,$D1015-Input!$C$7+2),0)*IF(B1015&gt;20,Input!$C$22,1)/1000,1))</f>
        <v/>
      </c>
      <c r="Q1015" s="155" t="str">
        <f>IF($E1015="","",Input!$C$21)</f>
        <v/>
      </c>
      <c r="R1015" s="159" t="str">
        <f>IF($E1015="","",(1-Q1015)^($F1015-Input!$C$20))</f>
        <v/>
      </c>
      <c r="S1015" s="147" t="str">
        <f t="shared" si="632"/>
        <v/>
      </c>
      <c r="T1015" s="147" t="str">
        <f t="shared" si="633"/>
        <v/>
      </c>
      <c r="U1015" s="160" t="str">
        <f>IF($E1015="","",IF($C1015=12,INDEX(Input!$C$15:$CP$15,1,$B1015),0))</f>
        <v/>
      </c>
      <c r="V1015" s="150" t="str">
        <f>IF(E1015="","",IF(C1015=1,IF($B1015=1,Input!$C$33,Input!$C$34),0))</f>
        <v/>
      </c>
      <c r="W1015" s="156" t="str">
        <f>IF($E1015="","",Input!$C$35)</f>
        <v/>
      </c>
      <c r="X1015" s="156" t="str">
        <f t="shared" si="673"/>
        <v/>
      </c>
      <c r="Y1015" s="154"/>
      <c r="Z1015" s="147" t="str">
        <f>IF($E1015="","",VLOOKUP($D1015,'Mortality Margins &amp; Grading'!$AB$5:$AF$125,3,0)*IF(Summary!$D$25="Included Margin",IF(AND($B1015&gt;Input!$C$9,Summary!$D$31&lt;&gt;"Included Margin"),0,1),0))</f>
        <v/>
      </c>
      <c r="AA1015" s="147" t="str">
        <f>IF($E1015="","",VLOOKUP($D1015,'Mortality Margins &amp; Grading'!$AB$5:$AF$125,5,0)*IF(Summary!$D$25="Included Margin",IF(AND($B1015&gt;Input!$C$9,Summary!$D$31&lt;&gt;"Included Margin"),0,1),0))</f>
        <v/>
      </c>
      <c r="AB1015" s="147" t="str">
        <f>IF($E1015="","",IF(AND($B1015&gt;Input!$C$9,Summary!$D$31&lt;&gt;"Included Margin"),1,IF(Summary!$D$25="Included Margin",VLOOKUP($B1015,'Mortality Margins &amp; Grading'!$AI$5:$AR$125,MATCH('Mortality Margins &amp; Grading'!$AQ$4,'Mortality Margins &amp; Grading'!$AI$4:$AR$4,0),0),1)))</f>
        <v/>
      </c>
      <c r="AC1015" s="154"/>
      <c r="AD1015" s="158" t="str">
        <f>IF(E1015="","",Input!$C$48*IF(Summary!$D$30="Included Margin",IF(AND($B1015&gt;Input!$C$9,Summary!$D$31&lt;&gt;"Included Margin"),0,1),0))</f>
        <v/>
      </c>
      <c r="AE1015" s="159" t="str">
        <f>IF(E1015="","",IF(Summary!$D$26="Included Margin",IF(AND($B1015&gt;Input!$C$9,Summary!$D$31&lt;&gt;"Included Margin"),1,1/$R1015),1))</f>
        <v/>
      </c>
      <c r="AF1015" s="160" t="str">
        <f>IF(E1015="","",IF(AND($B1015&gt;=Input!$C$9,$C1015=12,Summary!$D$31="Included Margin",$U1015&gt;0),1/U1015-1,IF($B1015&gt;=Input!$C$9,0,Input!$C$45*IF(Summary!$D$27="Included Margin",1,0))))</f>
        <v/>
      </c>
      <c r="AG1015" s="160" t="str">
        <f>IF(E1015="","",Input!$C$46*IF(Summary!$D$28="Included Margin",IF(AND($B1015&gt;Input!$C$9,Summary!$D$31&lt;&gt;"Included Margin"),0,1),0))</f>
        <v/>
      </c>
      <c r="AH1015" s="158" t="str">
        <f>IF(E1015="","",Input!$C$47*IF(Summary!$D$29="Included Margin",IF(AND($B1015&gt;Input!$C$9,Summary!$D$31&lt;&gt;"Included Margin"),0,1),0))</f>
        <v/>
      </c>
      <c r="AI1015" s="154"/>
      <c r="AJ1015" s="158" t="str">
        <f t="shared" si="647"/>
        <v/>
      </c>
      <c r="AK1015" s="155" t="str">
        <f t="shared" si="648"/>
        <v/>
      </c>
      <c r="AL1015" s="147" t="str">
        <f t="shared" si="649"/>
        <v/>
      </c>
      <c r="AM1015" s="147" t="str">
        <f t="shared" si="634"/>
        <v/>
      </c>
      <c r="AN1015" s="160" t="str">
        <f t="shared" si="650"/>
        <v/>
      </c>
      <c r="AO1015" s="161" t="str">
        <f t="shared" si="651"/>
        <v/>
      </c>
      <c r="AP1015" s="156" t="str">
        <f t="shared" si="635"/>
        <v/>
      </c>
      <c r="AQ1015" s="152"/>
      <c r="AR1015" s="162" t="str">
        <f t="shared" si="636"/>
        <v/>
      </c>
      <c r="AS1015" s="150" t="str">
        <f t="shared" si="652"/>
        <v/>
      </c>
      <c r="AT1015" s="163" t="str">
        <f t="shared" si="637"/>
        <v/>
      </c>
      <c r="AU1015" s="163" t="str">
        <f t="shared" si="638"/>
        <v/>
      </c>
      <c r="AV1015" s="163" t="str">
        <f t="shared" si="653"/>
        <v/>
      </c>
      <c r="AW1015" s="163" t="str">
        <f t="shared" si="639"/>
        <v/>
      </c>
      <c r="AX1015" s="163" t="str">
        <f t="shared" si="640"/>
        <v/>
      </c>
      <c r="AY1015" s="164" t="str">
        <f t="shared" si="654"/>
        <v/>
      </c>
      <c r="AZ1015" s="164" t="str">
        <f>IF($E1015="","",IF(OR(AND($D1015=Input!$C$6,$C1015=12),$AN1015=1),0,-AS1016+AT1016+AU1016-AV1016-AW1016-AX1016+AZ1016))</f>
        <v/>
      </c>
      <c r="BA1015" s="154" t="str">
        <f t="shared" si="641"/>
        <v/>
      </c>
      <c r="BC1015" s="147" t="str">
        <f t="shared" si="655"/>
        <v/>
      </c>
      <c r="BD1015" s="164" t="str">
        <f>IF(AND($C1014=12,$D1014=Input!$C$6),0,IF($E1015="","",AT1015+(AU1015+BD1016)/(1+$AK1015)*MIN((1-AM1015-AN1015),1)))</f>
        <v/>
      </c>
      <c r="BE1015" s="164" t="str">
        <f t="shared" si="670"/>
        <v/>
      </c>
      <c r="BF1015" s="164" t="str">
        <f t="shared" si="656"/>
        <v/>
      </c>
      <c r="BG1015" s="164" t="str">
        <f t="shared" si="642"/>
        <v/>
      </c>
      <c r="BH1015" s="152"/>
      <c r="BI1015" s="162" t="str">
        <f t="shared" si="664"/>
        <v/>
      </c>
      <c r="BJ1015" s="150" t="str">
        <f t="shared" si="665"/>
        <v/>
      </c>
      <c r="BK1015" s="163" t="str">
        <f t="shared" si="661"/>
        <v/>
      </c>
      <c r="BL1015" s="163" t="str">
        <f t="shared" si="666"/>
        <v/>
      </c>
      <c r="BM1015" s="163" t="str">
        <f t="shared" si="662"/>
        <v/>
      </c>
      <c r="BN1015" s="163" t="str">
        <f t="shared" si="667"/>
        <v/>
      </c>
      <c r="BO1015" s="163" t="str">
        <f t="shared" si="668"/>
        <v/>
      </c>
      <c r="BP1015" s="164" t="str">
        <f t="shared" si="663"/>
        <v/>
      </c>
      <c r="BQ1015" s="164" t="str">
        <f t="shared" si="657"/>
        <v/>
      </c>
      <c r="BR1015" s="154" t="str">
        <f t="shared" si="669"/>
        <v/>
      </c>
      <c r="BT1015" s="147" t="str">
        <f t="shared" si="643"/>
        <v/>
      </c>
      <c r="BU1015" s="164" t="str">
        <f>IF(AND($C1014=12,$D1014=Input!$C$6),0,IF($E1015="","",BK1015+(BL1015+BU1016)/(1+$AK1015)*MIN((1-T1015-U1015),1)))</f>
        <v/>
      </c>
      <c r="BV1015" s="164" t="str">
        <f t="shared" si="644"/>
        <v/>
      </c>
      <c r="BW1015" s="164" t="str">
        <f t="shared" si="645"/>
        <v/>
      </c>
      <c r="BX1015" s="164" t="str">
        <f t="shared" si="646"/>
        <v/>
      </c>
    </row>
    <row r="1016" spans="1:76" s="150" customFormat="1" x14ac:dyDescent="0.25">
      <c r="A1016" s="150" t="str">
        <f t="shared" si="658"/>
        <v/>
      </c>
      <c r="B1016" s="150" t="str">
        <f t="shared" si="659"/>
        <v/>
      </c>
      <c r="C1016" s="150" t="str">
        <f t="shared" si="660"/>
        <v/>
      </c>
      <c r="D1016" s="150" t="str">
        <f>IF(E1016="","",Input!$C$4+B1016-1)</f>
        <v/>
      </c>
      <c r="E1016" s="150" t="str">
        <f>IF(OR(AND(C1015=12,D1015=Input!$C$6),E1015=""),"",1)</f>
        <v/>
      </c>
      <c r="F1016" s="150" t="str">
        <f>IF(E1016="","",Input!$C$8+B1016-1)</f>
        <v/>
      </c>
      <c r="G1016" s="151" t="str">
        <f>IF(E1016="","",MAX(0,Input!$C$9-B1016))</f>
        <v/>
      </c>
      <c r="H1016" s="152" t="str">
        <f>IF(E1016="","",Input!$C$3)</f>
        <v/>
      </c>
      <c r="I1016" s="153" t="str">
        <f>IF(E1016="","",HLOOKUP($B1016,Input!$C$13:$BT$14,2))</f>
        <v/>
      </c>
      <c r="J1016" s="154"/>
      <c r="K1016" s="155" t="str">
        <f>IF($E1016="","",INDEX(Input!$C$16:$CP$16,1,$B1016))</f>
        <v/>
      </c>
      <c r="L1016" s="155" t="str">
        <f>IF($E1016="","",Input!$C$37)</f>
        <v/>
      </c>
      <c r="M1016" s="155" t="str">
        <f t="shared" si="671"/>
        <v/>
      </c>
      <c r="N1016" s="155" t="str">
        <f t="shared" si="672"/>
        <v/>
      </c>
      <c r="O1016" s="147" t="str">
        <f>IF($E1016="","",MIN(VLOOKUP(IF($B1016&lt;=Input!$C$7,$B1016,26),'Mortality Tables'!$A$41:$CW$67,IF($B1016&lt;=Input!$C$7+1,Input!$C$4+2,$D1016-Input!$C$7+2),0)*IF(B1016&gt;20,Input!$C$22,1)/1000,1))</f>
        <v/>
      </c>
      <c r="P1016" s="147" t="str">
        <f>IF($E1016="","",MIN(VLOOKUP(IF($B1016&lt;=Input!$C$7,$B1016,26),'Mortality Tables'!$A$12:$CW$37,IF($B1016&lt;=Input!$C$7+1,Input!$C$4+2,$D1016-Input!$C$7+2),0)*IF(B1016&gt;20,Input!$C$22,1)/1000,1))</f>
        <v/>
      </c>
      <c r="Q1016" s="155" t="str">
        <f>IF($E1016="","",Input!$C$21)</f>
        <v/>
      </c>
      <c r="R1016" s="159" t="str">
        <f>IF($E1016="","",(1-Q1016)^($F1016-Input!$C$20))</f>
        <v/>
      </c>
      <c r="S1016" s="147" t="str">
        <f t="shared" si="632"/>
        <v/>
      </c>
      <c r="T1016" s="147" t="str">
        <f t="shared" si="633"/>
        <v/>
      </c>
      <c r="U1016" s="160" t="str">
        <f>IF($E1016="","",IF($C1016=12,INDEX(Input!$C$15:$CP$15,1,$B1016),0))</f>
        <v/>
      </c>
      <c r="V1016" s="150" t="str">
        <f>IF(E1016="","",IF(C1016=1,IF($B1016=1,Input!$C$33,Input!$C$34),0))</f>
        <v/>
      </c>
      <c r="W1016" s="156" t="str">
        <f>IF($E1016="","",Input!$C$35)</f>
        <v/>
      </c>
      <c r="X1016" s="156" t="str">
        <f t="shared" si="673"/>
        <v/>
      </c>
      <c r="Y1016" s="154"/>
      <c r="Z1016" s="147" t="str">
        <f>IF($E1016="","",VLOOKUP($D1016,'Mortality Margins &amp; Grading'!$AB$5:$AF$125,3,0)*IF(Summary!$D$25="Included Margin",IF(AND($B1016&gt;Input!$C$9,Summary!$D$31&lt;&gt;"Included Margin"),0,1),0))</f>
        <v/>
      </c>
      <c r="AA1016" s="147" t="str">
        <f>IF($E1016="","",VLOOKUP($D1016,'Mortality Margins &amp; Grading'!$AB$5:$AF$125,5,0)*IF(Summary!$D$25="Included Margin",IF(AND($B1016&gt;Input!$C$9,Summary!$D$31&lt;&gt;"Included Margin"),0,1),0))</f>
        <v/>
      </c>
      <c r="AB1016" s="147" t="str">
        <f>IF($E1016="","",IF(AND($B1016&gt;Input!$C$9,Summary!$D$31&lt;&gt;"Included Margin"),1,IF(Summary!$D$25="Included Margin",VLOOKUP($B1016,'Mortality Margins &amp; Grading'!$AI$5:$AR$125,MATCH('Mortality Margins &amp; Grading'!$AQ$4,'Mortality Margins &amp; Grading'!$AI$4:$AR$4,0),0),1)))</f>
        <v/>
      </c>
      <c r="AC1016" s="154"/>
      <c r="AD1016" s="158" t="str">
        <f>IF(E1016="","",Input!$C$48*IF(Summary!$D$30="Included Margin",IF(AND($B1016&gt;Input!$C$9,Summary!$D$31&lt;&gt;"Included Margin"),0,1),0))</f>
        <v/>
      </c>
      <c r="AE1016" s="159" t="str">
        <f>IF(E1016="","",IF(Summary!$D$26="Included Margin",IF(AND($B1016&gt;Input!$C$9,Summary!$D$31&lt;&gt;"Included Margin"),1,1/$R1016),1))</f>
        <v/>
      </c>
      <c r="AF1016" s="160" t="str">
        <f>IF(E1016="","",IF(AND($B1016&gt;=Input!$C$9,$C1016=12,Summary!$D$31="Included Margin",$U1016&gt;0),1/U1016-1,IF($B1016&gt;=Input!$C$9,0,Input!$C$45*IF(Summary!$D$27="Included Margin",1,0))))</f>
        <v/>
      </c>
      <c r="AG1016" s="160" t="str">
        <f>IF(E1016="","",Input!$C$46*IF(Summary!$D$28="Included Margin",IF(AND($B1016&gt;Input!$C$9,Summary!$D$31&lt;&gt;"Included Margin"),0,1),0))</f>
        <v/>
      </c>
      <c r="AH1016" s="158" t="str">
        <f>IF(E1016="","",Input!$C$47*IF(Summary!$D$29="Included Margin",IF(AND($B1016&gt;Input!$C$9,Summary!$D$31&lt;&gt;"Included Margin"),0,1),0))</f>
        <v/>
      </c>
      <c r="AI1016" s="154"/>
      <c r="AJ1016" s="158" t="str">
        <f t="shared" si="647"/>
        <v/>
      </c>
      <c r="AK1016" s="155" t="str">
        <f t="shared" si="648"/>
        <v/>
      </c>
      <c r="AL1016" s="147" t="str">
        <f t="shared" si="649"/>
        <v/>
      </c>
      <c r="AM1016" s="147" t="str">
        <f t="shared" si="634"/>
        <v/>
      </c>
      <c r="AN1016" s="160" t="str">
        <f t="shared" si="650"/>
        <v/>
      </c>
      <c r="AO1016" s="161" t="str">
        <f t="shared" si="651"/>
        <v/>
      </c>
      <c r="AP1016" s="156" t="str">
        <f t="shared" si="635"/>
        <v/>
      </c>
      <c r="AQ1016" s="152"/>
      <c r="AR1016" s="162" t="str">
        <f t="shared" si="636"/>
        <v/>
      </c>
      <c r="AS1016" s="150" t="str">
        <f t="shared" si="652"/>
        <v/>
      </c>
      <c r="AT1016" s="163" t="str">
        <f t="shared" si="637"/>
        <v/>
      </c>
      <c r="AU1016" s="163" t="str">
        <f t="shared" si="638"/>
        <v/>
      </c>
      <c r="AV1016" s="163" t="str">
        <f t="shared" si="653"/>
        <v/>
      </c>
      <c r="AW1016" s="163" t="str">
        <f t="shared" si="639"/>
        <v/>
      </c>
      <c r="AX1016" s="163" t="str">
        <f t="shared" si="640"/>
        <v/>
      </c>
      <c r="AY1016" s="165" t="str">
        <f t="shared" si="654"/>
        <v/>
      </c>
      <c r="AZ1016" s="164" t="str">
        <f>IF($E1016="","",IF(OR(AND($D1016=Input!$C$6,$C1016=12),$AN1016=1),0,-AS1017+AT1017+AU1017-AV1017-AW1017-AX1017+AZ1017))</f>
        <v/>
      </c>
      <c r="BA1016" s="154" t="str">
        <f t="shared" si="641"/>
        <v/>
      </c>
      <c r="BC1016" s="147" t="str">
        <f t="shared" si="655"/>
        <v/>
      </c>
      <c r="BD1016" s="164" t="str">
        <f>IF(AND($C1015=12,$D1015=Input!$C$6),0,IF($E1016="","",AT1016+(AU1016+BD1017)/(1+$AK1016)*MIN((1-AM1016-AN1016),1)))</f>
        <v/>
      </c>
      <c r="BE1016" s="164" t="str">
        <f t="shared" si="670"/>
        <v/>
      </c>
      <c r="BF1016" s="164" t="str">
        <f t="shared" si="656"/>
        <v/>
      </c>
      <c r="BG1016" s="164" t="str">
        <f t="shared" si="642"/>
        <v/>
      </c>
      <c r="BH1016" s="152"/>
      <c r="BI1016" s="162" t="str">
        <f t="shared" si="664"/>
        <v/>
      </c>
      <c r="BJ1016" s="150" t="str">
        <f t="shared" si="665"/>
        <v/>
      </c>
      <c r="BK1016" s="163" t="str">
        <f t="shared" si="661"/>
        <v/>
      </c>
      <c r="BL1016" s="163" t="str">
        <f t="shared" si="666"/>
        <v/>
      </c>
      <c r="BM1016" s="163" t="str">
        <f t="shared" si="662"/>
        <v/>
      </c>
      <c r="BN1016" s="163" t="str">
        <f t="shared" si="667"/>
        <v/>
      </c>
      <c r="BO1016" s="163" t="str">
        <f t="shared" si="668"/>
        <v/>
      </c>
      <c r="BP1016" s="164" t="str">
        <f t="shared" si="663"/>
        <v/>
      </c>
      <c r="BQ1016" s="164" t="str">
        <f t="shared" si="657"/>
        <v/>
      </c>
      <c r="BR1016" s="154" t="str">
        <f t="shared" si="669"/>
        <v/>
      </c>
      <c r="BT1016" s="147" t="str">
        <f t="shared" si="643"/>
        <v/>
      </c>
      <c r="BU1016" s="164" t="str">
        <f>IF(AND($C1015=12,$D1015=Input!$C$6),0,IF($E1016="","",BK1016+(BL1016+BU1017)/(1+$AK1016)*MIN((1-T1016-U1016),1)))</f>
        <v/>
      </c>
      <c r="BV1016" s="164" t="str">
        <f t="shared" si="644"/>
        <v/>
      </c>
      <c r="BW1016" s="164" t="str">
        <f t="shared" si="645"/>
        <v/>
      </c>
      <c r="BX1016" s="164" t="str">
        <f t="shared" si="646"/>
        <v/>
      </c>
    </row>
    <row r="1017" spans="1:76" s="150" customFormat="1" x14ac:dyDescent="0.25">
      <c r="A1017" s="150" t="str">
        <f t="shared" si="658"/>
        <v/>
      </c>
      <c r="B1017" s="150" t="str">
        <f t="shared" si="659"/>
        <v/>
      </c>
      <c r="C1017" s="150" t="str">
        <f t="shared" si="660"/>
        <v/>
      </c>
      <c r="D1017" s="150" t="str">
        <f>IF(E1017="","",Input!$C$4+B1017-1)</f>
        <v/>
      </c>
      <c r="E1017" s="150" t="str">
        <f>IF(OR(AND(C1016=12,D1016=Input!$C$6),E1016=""),"",1)</f>
        <v/>
      </c>
      <c r="F1017" s="150" t="str">
        <f>IF(E1017="","",Input!$C$8+B1017-1)</f>
        <v/>
      </c>
      <c r="G1017" s="151" t="str">
        <f>IF(E1017="","",MAX(0,Input!$C$9-B1017))</f>
        <v/>
      </c>
      <c r="H1017" s="152" t="str">
        <f>IF(E1017="","",Input!$C$3)</f>
        <v/>
      </c>
      <c r="I1017" s="153" t="str">
        <f>IF(E1017="","",HLOOKUP($B1017,Input!$C$13:$BT$14,2))</f>
        <v/>
      </c>
      <c r="J1017" s="154"/>
      <c r="K1017" s="155" t="str">
        <f>IF($E1017="","",INDEX(Input!$C$16:$CP$16,1,$B1017))</f>
        <v/>
      </c>
      <c r="L1017" s="155" t="str">
        <f>IF($E1017="","",Input!$C$37)</f>
        <v/>
      </c>
      <c r="M1017" s="155" t="str">
        <f t="shared" si="671"/>
        <v/>
      </c>
      <c r="N1017" s="155" t="str">
        <f t="shared" si="672"/>
        <v/>
      </c>
      <c r="O1017" s="147" t="str">
        <f>IF($E1017="","",MIN(VLOOKUP(IF($B1017&lt;=Input!$C$7,$B1017,26),'Mortality Tables'!$A$41:$CW$67,IF($B1017&lt;=Input!$C$7+1,Input!$C$4+2,$D1017-Input!$C$7+2),0)*IF(B1017&gt;20,Input!$C$22,1)/1000,1))</f>
        <v/>
      </c>
      <c r="P1017" s="147" t="str">
        <f>IF($E1017="","",MIN(VLOOKUP(IF($B1017&lt;=Input!$C$7,$B1017,26),'Mortality Tables'!$A$12:$CW$37,IF($B1017&lt;=Input!$C$7+1,Input!$C$4+2,$D1017-Input!$C$7+2),0)*IF(B1017&gt;20,Input!$C$22,1)/1000,1))</f>
        <v/>
      </c>
      <c r="Q1017" s="155" t="str">
        <f>IF($E1017="","",Input!$C$21)</f>
        <v/>
      </c>
      <c r="R1017" s="159" t="str">
        <f>IF($E1017="","",(1-Q1017)^($F1017-Input!$C$20))</f>
        <v/>
      </c>
      <c r="S1017" s="147" t="str">
        <f t="shared" si="632"/>
        <v/>
      </c>
      <c r="T1017" s="147" t="str">
        <f t="shared" si="633"/>
        <v/>
      </c>
      <c r="U1017" s="160" t="str">
        <f>IF($E1017="","",IF($C1017=12,INDEX(Input!$C$15:$CP$15,1,$B1017),0))</f>
        <v/>
      </c>
      <c r="V1017" s="150" t="str">
        <f>IF(E1017="","",IF(C1017=1,IF($B1017=1,Input!$C$33,Input!$C$34),0))</f>
        <v/>
      </c>
      <c r="W1017" s="156" t="str">
        <f>IF($E1017="","",Input!$C$35)</f>
        <v/>
      </c>
      <c r="X1017" s="156" t="str">
        <f t="shared" si="673"/>
        <v/>
      </c>
      <c r="Y1017" s="154"/>
      <c r="Z1017" s="147" t="str">
        <f>IF($E1017="","",VLOOKUP($D1017,'Mortality Margins &amp; Grading'!$AB$5:$AF$125,3,0)*IF(Summary!$D$25="Included Margin",IF(AND($B1017&gt;Input!$C$9,Summary!$D$31&lt;&gt;"Included Margin"),0,1),0))</f>
        <v/>
      </c>
      <c r="AA1017" s="147" t="str">
        <f>IF($E1017="","",VLOOKUP($D1017,'Mortality Margins &amp; Grading'!$AB$5:$AF$125,5,0)*IF(Summary!$D$25="Included Margin",IF(AND($B1017&gt;Input!$C$9,Summary!$D$31&lt;&gt;"Included Margin"),0,1),0))</f>
        <v/>
      </c>
      <c r="AB1017" s="147" t="str">
        <f>IF($E1017="","",IF(AND($B1017&gt;Input!$C$9,Summary!$D$31&lt;&gt;"Included Margin"),1,IF(Summary!$D$25="Included Margin",VLOOKUP($B1017,'Mortality Margins &amp; Grading'!$AI$5:$AR$125,MATCH('Mortality Margins &amp; Grading'!$AQ$4,'Mortality Margins &amp; Grading'!$AI$4:$AR$4,0),0),1)))</f>
        <v/>
      </c>
      <c r="AC1017" s="154"/>
      <c r="AD1017" s="158" t="str">
        <f>IF(E1017="","",Input!$C$48*IF(Summary!$D$30="Included Margin",IF(AND($B1017&gt;Input!$C$9,Summary!$D$31&lt;&gt;"Included Margin"),0,1),0))</f>
        <v/>
      </c>
      <c r="AE1017" s="159" t="str">
        <f>IF(E1017="","",IF(Summary!$D$26="Included Margin",IF(AND($B1017&gt;Input!$C$9,Summary!$D$31&lt;&gt;"Included Margin"),1,1/$R1017),1))</f>
        <v/>
      </c>
      <c r="AF1017" s="160" t="str">
        <f>IF(E1017="","",IF(AND($B1017&gt;=Input!$C$9,$C1017=12,Summary!$D$31="Included Margin",$U1017&gt;0),1/U1017-1,IF($B1017&gt;=Input!$C$9,0,Input!$C$45*IF(Summary!$D$27="Included Margin",1,0))))</f>
        <v/>
      </c>
      <c r="AG1017" s="160" t="str">
        <f>IF(E1017="","",Input!$C$46*IF(Summary!$D$28="Included Margin",IF(AND($B1017&gt;Input!$C$9,Summary!$D$31&lt;&gt;"Included Margin"),0,1),0))</f>
        <v/>
      </c>
      <c r="AH1017" s="158" t="str">
        <f>IF(E1017="","",Input!$C$47*IF(Summary!$D$29="Included Margin",IF(AND($B1017&gt;Input!$C$9,Summary!$D$31&lt;&gt;"Included Margin"),0,1),0))</f>
        <v/>
      </c>
      <c r="AI1017" s="154"/>
      <c r="AJ1017" s="158" t="str">
        <f t="shared" si="647"/>
        <v/>
      </c>
      <c r="AK1017" s="155" t="str">
        <f t="shared" si="648"/>
        <v/>
      </c>
      <c r="AL1017" s="147" t="str">
        <f t="shared" si="649"/>
        <v/>
      </c>
      <c r="AM1017" s="147" t="str">
        <f t="shared" si="634"/>
        <v/>
      </c>
      <c r="AN1017" s="160" t="str">
        <f t="shared" si="650"/>
        <v/>
      </c>
      <c r="AO1017" s="161" t="str">
        <f t="shared" si="651"/>
        <v/>
      </c>
      <c r="AP1017" s="156" t="str">
        <f t="shared" si="635"/>
        <v/>
      </c>
      <c r="AQ1017" s="152"/>
      <c r="AR1017" s="162" t="str">
        <f t="shared" si="636"/>
        <v/>
      </c>
      <c r="AS1017" s="150" t="str">
        <f t="shared" si="652"/>
        <v/>
      </c>
      <c r="AT1017" s="163" t="str">
        <f t="shared" si="637"/>
        <v/>
      </c>
      <c r="AU1017" s="163" t="str">
        <f t="shared" si="638"/>
        <v/>
      </c>
      <c r="AV1017" s="163" t="str">
        <f t="shared" si="653"/>
        <v/>
      </c>
      <c r="AW1017" s="163" t="str">
        <f t="shared" si="639"/>
        <v/>
      </c>
      <c r="AX1017" s="163" t="str">
        <f t="shared" si="640"/>
        <v/>
      </c>
      <c r="AY1017" s="164" t="str">
        <f t="shared" si="654"/>
        <v/>
      </c>
      <c r="AZ1017" s="164" t="str">
        <f>IF($E1017="","",IF(OR(AND($D1017=Input!$C$6,$C1017=12),$AN1017=1),0,-AS1018+AT1018+AU1018-AV1018-AW1018-AX1018+AZ1018))</f>
        <v/>
      </c>
      <c r="BA1017" s="154" t="str">
        <f t="shared" si="641"/>
        <v/>
      </c>
      <c r="BC1017" s="147" t="str">
        <f t="shared" si="655"/>
        <v/>
      </c>
      <c r="BD1017" s="164" t="str">
        <f>IF(AND($C1016=12,$D1016=Input!$C$6),0,IF($E1017="","",AT1017+(AU1017+BD1018)/(1+$AK1017)*MIN((1-AM1017-AN1017),1)))</f>
        <v/>
      </c>
      <c r="BE1017" s="164" t="str">
        <f t="shared" si="670"/>
        <v/>
      </c>
      <c r="BF1017" s="164" t="str">
        <f t="shared" si="656"/>
        <v/>
      </c>
      <c r="BG1017" s="164" t="str">
        <f t="shared" si="642"/>
        <v/>
      </c>
      <c r="BH1017" s="152"/>
      <c r="BI1017" s="162" t="str">
        <f t="shared" si="664"/>
        <v/>
      </c>
      <c r="BJ1017" s="150" t="str">
        <f t="shared" si="665"/>
        <v/>
      </c>
      <c r="BK1017" s="163" t="str">
        <f t="shared" si="661"/>
        <v/>
      </c>
      <c r="BL1017" s="163" t="str">
        <f t="shared" si="666"/>
        <v/>
      </c>
      <c r="BM1017" s="163" t="str">
        <f t="shared" si="662"/>
        <v/>
      </c>
      <c r="BN1017" s="163" t="str">
        <f t="shared" si="667"/>
        <v/>
      </c>
      <c r="BO1017" s="163" t="str">
        <f t="shared" si="668"/>
        <v/>
      </c>
      <c r="BP1017" s="164" t="str">
        <f t="shared" si="663"/>
        <v/>
      </c>
      <c r="BQ1017" s="164" t="str">
        <f t="shared" si="657"/>
        <v/>
      </c>
      <c r="BR1017" s="154" t="str">
        <f t="shared" si="669"/>
        <v/>
      </c>
      <c r="BT1017" s="147" t="str">
        <f t="shared" si="643"/>
        <v/>
      </c>
      <c r="BU1017" s="164" t="str">
        <f>IF(AND($C1016=12,$D1016=Input!$C$6),0,IF($E1017="","",BK1017+(BL1017+BU1018)/(1+$AK1017)*MIN((1-T1017-U1017),1)))</f>
        <v/>
      </c>
      <c r="BV1017" s="164" t="str">
        <f t="shared" si="644"/>
        <v/>
      </c>
      <c r="BW1017" s="164" t="str">
        <f t="shared" si="645"/>
        <v/>
      </c>
      <c r="BX1017" s="164" t="str">
        <f t="shared" si="646"/>
        <v/>
      </c>
    </row>
    <row r="1018" spans="1:76" s="150" customFormat="1" x14ac:dyDescent="0.25">
      <c r="A1018" s="150" t="str">
        <f t="shared" si="658"/>
        <v/>
      </c>
      <c r="B1018" s="150" t="str">
        <f t="shared" si="659"/>
        <v/>
      </c>
      <c r="C1018" s="150" t="str">
        <f t="shared" si="660"/>
        <v/>
      </c>
      <c r="D1018" s="150" t="str">
        <f>IF(E1018="","",Input!$C$4+B1018-1)</f>
        <v/>
      </c>
      <c r="E1018" s="150" t="str">
        <f>IF(OR(AND(C1017=12,D1017=Input!$C$6),E1017=""),"",1)</f>
        <v/>
      </c>
      <c r="F1018" s="150" t="str">
        <f>IF(E1018="","",Input!$C$8+B1018-1)</f>
        <v/>
      </c>
      <c r="G1018" s="151" t="str">
        <f>IF(E1018="","",MAX(0,Input!$C$9-B1018))</f>
        <v/>
      </c>
      <c r="H1018" s="152" t="str">
        <f>IF(E1018="","",Input!$C$3)</f>
        <v/>
      </c>
      <c r="I1018" s="153" t="str">
        <f>IF(E1018="","",HLOOKUP($B1018,Input!$C$13:$BT$14,2))</f>
        <v/>
      </c>
      <c r="J1018" s="154"/>
      <c r="K1018" s="155" t="str">
        <f>IF($E1018="","",INDEX(Input!$C$16:$CP$16,1,$B1018))</f>
        <v/>
      </c>
      <c r="L1018" s="155" t="str">
        <f>IF($E1018="","",Input!$C$37)</f>
        <v/>
      </c>
      <c r="M1018" s="155" t="str">
        <f t="shared" si="671"/>
        <v/>
      </c>
      <c r="N1018" s="155" t="str">
        <f t="shared" si="672"/>
        <v/>
      </c>
      <c r="O1018" s="147" t="str">
        <f>IF($E1018="","",MIN(VLOOKUP(IF($B1018&lt;=Input!$C$7,$B1018,26),'Mortality Tables'!$A$41:$CW$67,IF($B1018&lt;=Input!$C$7+1,Input!$C$4+2,$D1018-Input!$C$7+2),0)*IF(B1018&gt;20,Input!$C$22,1)/1000,1))</f>
        <v/>
      </c>
      <c r="P1018" s="147" t="str">
        <f>IF($E1018="","",MIN(VLOOKUP(IF($B1018&lt;=Input!$C$7,$B1018,26),'Mortality Tables'!$A$12:$CW$37,IF($B1018&lt;=Input!$C$7+1,Input!$C$4+2,$D1018-Input!$C$7+2),0)*IF(B1018&gt;20,Input!$C$22,1)/1000,1))</f>
        <v/>
      </c>
      <c r="Q1018" s="155" t="str">
        <f>IF($E1018="","",Input!$C$21)</f>
        <v/>
      </c>
      <c r="R1018" s="159" t="str">
        <f>IF($E1018="","",(1-Q1018)^($F1018-Input!$C$20))</f>
        <v/>
      </c>
      <c r="S1018" s="147" t="str">
        <f t="shared" si="632"/>
        <v/>
      </c>
      <c r="T1018" s="147" t="str">
        <f t="shared" si="633"/>
        <v/>
      </c>
      <c r="U1018" s="160" t="str">
        <f>IF($E1018="","",IF($C1018=12,INDEX(Input!$C$15:$CP$15,1,$B1018),0))</f>
        <v/>
      </c>
      <c r="V1018" s="150" t="str">
        <f>IF(E1018="","",IF(C1018=1,IF($B1018=1,Input!$C$33,Input!$C$34),0))</f>
        <v/>
      </c>
      <c r="W1018" s="156" t="str">
        <f>IF($E1018="","",Input!$C$35)</f>
        <v/>
      </c>
      <c r="X1018" s="156" t="str">
        <f t="shared" si="673"/>
        <v/>
      </c>
      <c r="Y1018" s="154"/>
      <c r="Z1018" s="147" t="str">
        <f>IF($E1018="","",VLOOKUP($D1018,'Mortality Margins &amp; Grading'!$AB$5:$AF$125,3,0)*IF(Summary!$D$25="Included Margin",IF(AND($B1018&gt;Input!$C$9,Summary!$D$31&lt;&gt;"Included Margin"),0,1),0))</f>
        <v/>
      </c>
      <c r="AA1018" s="147" t="str">
        <f>IF($E1018="","",VLOOKUP($D1018,'Mortality Margins &amp; Grading'!$AB$5:$AF$125,5,0)*IF(Summary!$D$25="Included Margin",IF(AND($B1018&gt;Input!$C$9,Summary!$D$31&lt;&gt;"Included Margin"),0,1),0))</f>
        <v/>
      </c>
      <c r="AB1018" s="147" t="str">
        <f>IF($E1018="","",IF(AND($B1018&gt;Input!$C$9,Summary!$D$31&lt;&gt;"Included Margin"),1,IF(Summary!$D$25="Included Margin",VLOOKUP($B1018,'Mortality Margins &amp; Grading'!$AI$5:$AR$125,MATCH('Mortality Margins &amp; Grading'!$AQ$4,'Mortality Margins &amp; Grading'!$AI$4:$AR$4,0),0),1)))</f>
        <v/>
      </c>
      <c r="AC1018" s="154"/>
      <c r="AD1018" s="158" t="str">
        <f>IF(E1018="","",Input!$C$48*IF(Summary!$D$30="Included Margin",IF(AND($B1018&gt;Input!$C$9,Summary!$D$31&lt;&gt;"Included Margin"),0,1),0))</f>
        <v/>
      </c>
      <c r="AE1018" s="159" t="str">
        <f>IF(E1018="","",IF(Summary!$D$26="Included Margin",IF(AND($B1018&gt;Input!$C$9,Summary!$D$31&lt;&gt;"Included Margin"),1,1/$R1018),1))</f>
        <v/>
      </c>
      <c r="AF1018" s="160" t="str">
        <f>IF(E1018="","",IF(AND($B1018&gt;=Input!$C$9,$C1018=12,Summary!$D$31="Included Margin",$U1018&gt;0),1/U1018-1,IF($B1018&gt;=Input!$C$9,0,Input!$C$45*IF(Summary!$D$27="Included Margin",1,0))))</f>
        <v/>
      </c>
      <c r="AG1018" s="160" t="str">
        <f>IF(E1018="","",Input!$C$46*IF(Summary!$D$28="Included Margin",IF(AND($B1018&gt;Input!$C$9,Summary!$D$31&lt;&gt;"Included Margin"),0,1),0))</f>
        <v/>
      </c>
      <c r="AH1018" s="158" t="str">
        <f>IF(E1018="","",Input!$C$47*IF(Summary!$D$29="Included Margin",IF(AND($B1018&gt;Input!$C$9,Summary!$D$31&lt;&gt;"Included Margin"),0,1),0))</f>
        <v/>
      </c>
      <c r="AI1018" s="154"/>
      <c r="AJ1018" s="158" t="str">
        <f t="shared" si="647"/>
        <v/>
      </c>
      <c r="AK1018" s="155" t="str">
        <f t="shared" si="648"/>
        <v/>
      </c>
      <c r="AL1018" s="147" t="str">
        <f t="shared" si="649"/>
        <v/>
      </c>
      <c r="AM1018" s="147" t="str">
        <f t="shared" si="634"/>
        <v/>
      </c>
      <c r="AN1018" s="160" t="str">
        <f t="shared" si="650"/>
        <v/>
      </c>
      <c r="AO1018" s="161" t="str">
        <f t="shared" si="651"/>
        <v/>
      </c>
      <c r="AP1018" s="156" t="str">
        <f t="shared" si="635"/>
        <v/>
      </c>
      <c r="AQ1018" s="152"/>
      <c r="AR1018" s="162" t="str">
        <f t="shared" si="636"/>
        <v/>
      </c>
      <c r="AS1018" s="150" t="str">
        <f t="shared" si="652"/>
        <v/>
      </c>
      <c r="AT1018" s="163" t="str">
        <f t="shared" si="637"/>
        <v/>
      </c>
      <c r="AU1018" s="163" t="str">
        <f t="shared" si="638"/>
        <v/>
      </c>
      <c r="AV1018" s="163" t="str">
        <f t="shared" si="653"/>
        <v/>
      </c>
      <c r="AW1018" s="163" t="str">
        <f t="shared" si="639"/>
        <v/>
      </c>
      <c r="AX1018" s="163" t="str">
        <f t="shared" si="640"/>
        <v/>
      </c>
      <c r="AY1018" s="165" t="str">
        <f t="shared" si="654"/>
        <v/>
      </c>
      <c r="AZ1018" s="164" t="str">
        <f>IF($E1018="","",IF(OR(AND($D1018=Input!$C$6,$C1018=12),$AN1018=1),0,-AS1019+AT1019+AU1019-AV1019-AW1019-AX1019+AZ1019))</f>
        <v/>
      </c>
      <c r="BA1018" s="154" t="str">
        <f t="shared" si="641"/>
        <v/>
      </c>
      <c r="BC1018" s="147" t="str">
        <f t="shared" si="655"/>
        <v/>
      </c>
      <c r="BD1018" s="164" t="str">
        <f>IF(AND($C1017=12,$D1017=Input!$C$6),0,IF($E1018="","",AT1018+(AU1018+BD1019)/(1+$AK1018)*MIN((1-AM1018-AN1018),1)))</f>
        <v/>
      </c>
      <c r="BE1018" s="164" t="str">
        <f t="shared" si="670"/>
        <v/>
      </c>
      <c r="BF1018" s="164" t="str">
        <f t="shared" si="656"/>
        <v/>
      </c>
      <c r="BG1018" s="164" t="str">
        <f t="shared" si="642"/>
        <v/>
      </c>
      <c r="BH1018" s="152"/>
      <c r="BI1018" s="162" t="str">
        <f t="shared" si="664"/>
        <v/>
      </c>
      <c r="BJ1018" s="150" t="str">
        <f t="shared" si="665"/>
        <v/>
      </c>
      <c r="BK1018" s="163" t="str">
        <f t="shared" si="661"/>
        <v/>
      </c>
      <c r="BL1018" s="163" t="str">
        <f t="shared" si="666"/>
        <v/>
      </c>
      <c r="BM1018" s="163" t="str">
        <f t="shared" si="662"/>
        <v/>
      </c>
      <c r="BN1018" s="163" t="str">
        <f t="shared" si="667"/>
        <v/>
      </c>
      <c r="BO1018" s="163" t="str">
        <f t="shared" si="668"/>
        <v/>
      </c>
      <c r="BP1018" s="164" t="str">
        <f t="shared" si="663"/>
        <v/>
      </c>
      <c r="BQ1018" s="164" t="str">
        <f t="shared" si="657"/>
        <v/>
      </c>
      <c r="BR1018" s="154" t="str">
        <f t="shared" si="669"/>
        <v/>
      </c>
      <c r="BT1018" s="147" t="str">
        <f t="shared" si="643"/>
        <v/>
      </c>
      <c r="BU1018" s="164" t="str">
        <f>IF(AND($C1017=12,$D1017=Input!$C$6),0,IF($E1018="","",BK1018+(BL1018+BU1019)/(1+$AK1018)*MIN((1-T1018-U1018),1)))</f>
        <v/>
      </c>
      <c r="BV1018" s="164" t="str">
        <f t="shared" si="644"/>
        <v/>
      </c>
      <c r="BW1018" s="164" t="str">
        <f t="shared" si="645"/>
        <v/>
      </c>
      <c r="BX1018" s="164" t="str">
        <f t="shared" si="646"/>
        <v/>
      </c>
    </row>
    <row r="1019" spans="1:76" s="150" customFormat="1" x14ac:dyDescent="0.25">
      <c r="A1019" s="150" t="str">
        <f t="shared" si="658"/>
        <v/>
      </c>
      <c r="B1019" s="150" t="str">
        <f t="shared" si="659"/>
        <v/>
      </c>
      <c r="C1019" s="150" t="str">
        <f t="shared" si="660"/>
        <v/>
      </c>
      <c r="D1019" s="150" t="str">
        <f>IF(E1019="","",Input!$C$4+B1019-1)</f>
        <v/>
      </c>
      <c r="E1019" s="150" t="str">
        <f>IF(OR(AND(C1018=12,D1018=Input!$C$6),E1018=""),"",1)</f>
        <v/>
      </c>
      <c r="F1019" s="150" t="str">
        <f>IF(E1019="","",Input!$C$8+B1019-1)</f>
        <v/>
      </c>
      <c r="G1019" s="151" t="str">
        <f>IF(E1019="","",MAX(0,Input!$C$9-B1019))</f>
        <v/>
      </c>
      <c r="H1019" s="152" t="str">
        <f>IF(E1019="","",Input!$C$3)</f>
        <v/>
      </c>
      <c r="I1019" s="153" t="str">
        <f>IF(E1019="","",HLOOKUP($B1019,Input!$C$13:$BT$14,2))</f>
        <v/>
      </c>
      <c r="J1019" s="154"/>
      <c r="K1019" s="155" t="str">
        <f>IF($E1019="","",INDEX(Input!$C$16:$CP$16,1,$B1019))</f>
        <v/>
      </c>
      <c r="L1019" s="155" t="str">
        <f>IF($E1019="","",Input!$C$37)</f>
        <v/>
      </c>
      <c r="M1019" s="155" t="str">
        <f t="shared" si="671"/>
        <v/>
      </c>
      <c r="N1019" s="155" t="str">
        <f t="shared" si="672"/>
        <v/>
      </c>
      <c r="O1019" s="147" t="str">
        <f>IF($E1019="","",MIN(VLOOKUP(IF($B1019&lt;=Input!$C$7,$B1019,26),'Mortality Tables'!$A$41:$CW$67,IF($B1019&lt;=Input!$C$7+1,Input!$C$4+2,$D1019-Input!$C$7+2),0)*IF(B1019&gt;20,Input!$C$22,1)/1000,1))</f>
        <v/>
      </c>
      <c r="P1019" s="147" t="str">
        <f>IF($E1019="","",MIN(VLOOKUP(IF($B1019&lt;=Input!$C$7,$B1019,26),'Mortality Tables'!$A$12:$CW$37,IF($B1019&lt;=Input!$C$7+1,Input!$C$4+2,$D1019-Input!$C$7+2),0)*IF(B1019&gt;20,Input!$C$22,1)/1000,1))</f>
        <v/>
      </c>
      <c r="Q1019" s="155" t="str">
        <f>IF($E1019="","",Input!$C$21)</f>
        <v/>
      </c>
      <c r="R1019" s="159" t="str">
        <f>IF($E1019="","",(1-Q1019)^($F1019-Input!$C$20))</f>
        <v/>
      </c>
      <c r="S1019" s="147" t="str">
        <f t="shared" si="632"/>
        <v/>
      </c>
      <c r="T1019" s="147" t="str">
        <f t="shared" si="633"/>
        <v/>
      </c>
      <c r="U1019" s="160" t="str">
        <f>IF($E1019="","",IF($C1019=12,INDEX(Input!$C$15:$CP$15,1,$B1019),0))</f>
        <v/>
      </c>
      <c r="V1019" s="150" t="str">
        <f>IF(E1019="","",IF(C1019=1,IF($B1019=1,Input!$C$33,Input!$C$34),0))</f>
        <v/>
      </c>
      <c r="W1019" s="156" t="str">
        <f>IF($E1019="","",Input!$C$35)</f>
        <v/>
      </c>
      <c r="X1019" s="156" t="str">
        <f t="shared" si="673"/>
        <v/>
      </c>
      <c r="Y1019" s="154"/>
      <c r="Z1019" s="147" t="str">
        <f>IF($E1019="","",VLOOKUP($D1019,'Mortality Margins &amp; Grading'!$AB$5:$AF$125,3,0)*IF(Summary!$D$25="Included Margin",IF(AND($B1019&gt;Input!$C$9,Summary!$D$31&lt;&gt;"Included Margin"),0,1),0))</f>
        <v/>
      </c>
      <c r="AA1019" s="147" t="str">
        <f>IF($E1019="","",VLOOKUP($D1019,'Mortality Margins &amp; Grading'!$AB$5:$AF$125,5,0)*IF(Summary!$D$25="Included Margin",IF(AND($B1019&gt;Input!$C$9,Summary!$D$31&lt;&gt;"Included Margin"),0,1),0))</f>
        <v/>
      </c>
      <c r="AB1019" s="147" t="str">
        <f>IF($E1019="","",IF(AND($B1019&gt;Input!$C$9,Summary!$D$31&lt;&gt;"Included Margin"),1,IF(Summary!$D$25="Included Margin",VLOOKUP($B1019,'Mortality Margins &amp; Grading'!$AI$5:$AR$125,MATCH('Mortality Margins &amp; Grading'!$AQ$4,'Mortality Margins &amp; Grading'!$AI$4:$AR$4,0),0),1)))</f>
        <v/>
      </c>
      <c r="AC1019" s="154"/>
      <c r="AD1019" s="158" t="str">
        <f>IF(E1019="","",Input!$C$48*IF(Summary!$D$30="Included Margin",IF(AND($B1019&gt;Input!$C$9,Summary!$D$31&lt;&gt;"Included Margin"),0,1),0))</f>
        <v/>
      </c>
      <c r="AE1019" s="159" t="str">
        <f>IF(E1019="","",IF(Summary!$D$26="Included Margin",IF(AND($B1019&gt;Input!$C$9,Summary!$D$31&lt;&gt;"Included Margin"),1,1/$R1019),1))</f>
        <v/>
      </c>
      <c r="AF1019" s="160" t="str">
        <f>IF(E1019="","",IF(AND($B1019&gt;=Input!$C$9,$C1019=12,Summary!$D$31="Included Margin",$U1019&gt;0),1/U1019-1,IF($B1019&gt;=Input!$C$9,0,Input!$C$45*IF(Summary!$D$27="Included Margin",1,0))))</f>
        <v/>
      </c>
      <c r="AG1019" s="160" t="str">
        <f>IF(E1019="","",Input!$C$46*IF(Summary!$D$28="Included Margin",IF(AND($B1019&gt;Input!$C$9,Summary!$D$31&lt;&gt;"Included Margin"),0,1),0))</f>
        <v/>
      </c>
      <c r="AH1019" s="158" t="str">
        <f>IF(E1019="","",Input!$C$47*IF(Summary!$D$29="Included Margin",IF(AND($B1019&gt;Input!$C$9,Summary!$D$31&lt;&gt;"Included Margin"),0,1),0))</f>
        <v/>
      </c>
      <c r="AI1019" s="154"/>
      <c r="AJ1019" s="158" t="str">
        <f t="shared" si="647"/>
        <v/>
      </c>
      <c r="AK1019" s="155" t="str">
        <f t="shared" si="648"/>
        <v/>
      </c>
      <c r="AL1019" s="147" t="str">
        <f t="shared" si="649"/>
        <v/>
      </c>
      <c r="AM1019" s="147" t="str">
        <f t="shared" si="634"/>
        <v/>
      </c>
      <c r="AN1019" s="160" t="str">
        <f t="shared" si="650"/>
        <v/>
      </c>
      <c r="AO1019" s="161" t="str">
        <f t="shared" si="651"/>
        <v/>
      </c>
      <c r="AP1019" s="156" t="str">
        <f t="shared" si="635"/>
        <v/>
      </c>
      <c r="AQ1019" s="152"/>
      <c r="AR1019" s="162" t="str">
        <f t="shared" si="636"/>
        <v/>
      </c>
      <c r="AS1019" s="150" t="str">
        <f t="shared" si="652"/>
        <v/>
      </c>
      <c r="AT1019" s="163" t="str">
        <f t="shared" si="637"/>
        <v/>
      </c>
      <c r="AU1019" s="163" t="str">
        <f t="shared" si="638"/>
        <v/>
      </c>
      <c r="AV1019" s="163" t="str">
        <f t="shared" si="653"/>
        <v/>
      </c>
      <c r="AW1019" s="163" t="str">
        <f t="shared" si="639"/>
        <v/>
      </c>
      <c r="AX1019" s="163" t="str">
        <f t="shared" si="640"/>
        <v/>
      </c>
      <c r="AY1019" s="164" t="str">
        <f t="shared" si="654"/>
        <v/>
      </c>
      <c r="AZ1019" s="164" t="str">
        <f>IF($E1019="","",IF(OR(AND($D1019=Input!$C$6,$C1019=12),$AN1019=1),0,-AS1020+AT1020+AU1020-AV1020-AW1020-AX1020+AZ1020))</f>
        <v/>
      </c>
      <c r="BA1019" s="154" t="str">
        <f t="shared" si="641"/>
        <v/>
      </c>
      <c r="BC1019" s="147" t="str">
        <f t="shared" si="655"/>
        <v/>
      </c>
      <c r="BD1019" s="164" t="str">
        <f>IF(AND($C1018=12,$D1018=Input!$C$6),0,IF($E1019="","",AT1019+(AU1019+BD1020)/(1+$AK1019)*MIN((1-AM1019-AN1019),1)))</f>
        <v/>
      </c>
      <c r="BE1019" s="164" t="str">
        <f t="shared" si="670"/>
        <v/>
      </c>
      <c r="BF1019" s="164" t="str">
        <f t="shared" si="656"/>
        <v/>
      </c>
      <c r="BG1019" s="164" t="str">
        <f t="shared" si="642"/>
        <v/>
      </c>
      <c r="BH1019" s="152"/>
      <c r="BI1019" s="162" t="str">
        <f t="shared" si="664"/>
        <v/>
      </c>
      <c r="BJ1019" s="150" t="str">
        <f t="shared" si="665"/>
        <v/>
      </c>
      <c r="BK1019" s="163" t="str">
        <f t="shared" si="661"/>
        <v/>
      </c>
      <c r="BL1019" s="163" t="str">
        <f t="shared" si="666"/>
        <v/>
      </c>
      <c r="BM1019" s="163" t="str">
        <f t="shared" si="662"/>
        <v/>
      </c>
      <c r="BN1019" s="163" t="str">
        <f t="shared" si="667"/>
        <v/>
      </c>
      <c r="BO1019" s="163" t="str">
        <f t="shared" si="668"/>
        <v/>
      </c>
      <c r="BP1019" s="164" t="str">
        <f t="shared" si="663"/>
        <v/>
      </c>
      <c r="BQ1019" s="164" t="str">
        <f t="shared" si="657"/>
        <v/>
      </c>
      <c r="BR1019" s="154" t="str">
        <f t="shared" si="669"/>
        <v/>
      </c>
      <c r="BT1019" s="147" t="str">
        <f t="shared" si="643"/>
        <v/>
      </c>
      <c r="BU1019" s="164" t="str">
        <f>IF(AND($C1018=12,$D1018=Input!$C$6),0,IF($E1019="","",BK1019+(BL1019+BU1020)/(1+$AK1019)*MIN((1-T1019-U1019),1)))</f>
        <v/>
      </c>
      <c r="BV1019" s="164" t="str">
        <f t="shared" si="644"/>
        <v/>
      </c>
      <c r="BW1019" s="164" t="str">
        <f t="shared" si="645"/>
        <v/>
      </c>
      <c r="BX1019" s="164" t="str">
        <f t="shared" si="646"/>
        <v/>
      </c>
    </row>
    <row r="1020" spans="1:76" s="150" customFormat="1" x14ac:dyDescent="0.25">
      <c r="A1020" s="150" t="str">
        <f t="shared" si="658"/>
        <v/>
      </c>
      <c r="B1020" s="150" t="str">
        <f t="shared" si="659"/>
        <v/>
      </c>
      <c r="C1020" s="150" t="str">
        <f t="shared" si="660"/>
        <v/>
      </c>
      <c r="D1020" s="150" t="str">
        <f>IF(E1020="","",Input!$C$4+B1020-1)</f>
        <v/>
      </c>
      <c r="E1020" s="150" t="str">
        <f>IF(OR(AND(C1019=12,D1019=Input!$C$6),E1019=""),"",1)</f>
        <v/>
      </c>
      <c r="F1020" s="150" t="str">
        <f>IF(E1020="","",Input!$C$8+B1020-1)</f>
        <v/>
      </c>
      <c r="G1020" s="151" t="str">
        <f>IF(E1020="","",MAX(0,Input!$C$9-B1020))</f>
        <v/>
      </c>
      <c r="H1020" s="152" t="str">
        <f>IF(E1020="","",Input!$C$3)</f>
        <v/>
      </c>
      <c r="I1020" s="153" t="str">
        <f>IF(E1020="","",HLOOKUP($B1020,Input!$C$13:$BT$14,2))</f>
        <v/>
      </c>
      <c r="J1020" s="154"/>
      <c r="K1020" s="155" t="str">
        <f>IF($E1020="","",INDEX(Input!$C$16:$CP$16,1,$B1020))</f>
        <v/>
      </c>
      <c r="L1020" s="155" t="str">
        <f>IF($E1020="","",Input!$C$37)</f>
        <v/>
      </c>
      <c r="M1020" s="155" t="str">
        <f t="shared" si="671"/>
        <v/>
      </c>
      <c r="N1020" s="155" t="str">
        <f t="shared" si="672"/>
        <v/>
      </c>
      <c r="O1020" s="147" t="str">
        <f>IF($E1020="","",MIN(VLOOKUP(IF($B1020&lt;=Input!$C$7,$B1020,26),'Mortality Tables'!$A$41:$CW$67,IF($B1020&lt;=Input!$C$7+1,Input!$C$4+2,$D1020-Input!$C$7+2),0)*IF(B1020&gt;20,Input!$C$22,1)/1000,1))</f>
        <v/>
      </c>
      <c r="P1020" s="147" t="str">
        <f>IF($E1020="","",MIN(VLOOKUP(IF($B1020&lt;=Input!$C$7,$B1020,26),'Mortality Tables'!$A$12:$CW$37,IF($B1020&lt;=Input!$C$7+1,Input!$C$4+2,$D1020-Input!$C$7+2),0)*IF(B1020&gt;20,Input!$C$22,1)/1000,1))</f>
        <v/>
      </c>
      <c r="Q1020" s="155" t="str">
        <f>IF($E1020="","",Input!$C$21)</f>
        <v/>
      </c>
      <c r="R1020" s="159" t="str">
        <f>IF($E1020="","",(1-Q1020)^($F1020-Input!$C$20))</f>
        <v/>
      </c>
      <c r="S1020" s="147" t="str">
        <f t="shared" si="632"/>
        <v/>
      </c>
      <c r="T1020" s="147" t="str">
        <f t="shared" si="633"/>
        <v/>
      </c>
      <c r="U1020" s="160" t="str">
        <f>IF($E1020="","",IF($C1020=12,INDEX(Input!$C$15:$CP$15,1,$B1020),0))</f>
        <v/>
      </c>
      <c r="V1020" s="150" t="str">
        <f>IF(E1020="","",IF(C1020=1,IF($B1020=1,Input!$C$33,Input!$C$34),0))</f>
        <v/>
      </c>
      <c r="W1020" s="156" t="str">
        <f>IF($E1020="","",Input!$C$35)</f>
        <v/>
      </c>
      <c r="X1020" s="156" t="str">
        <f t="shared" si="673"/>
        <v/>
      </c>
      <c r="Y1020" s="154"/>
      <c r="Z1020" s="147" t="str">
        <f>IF($E1020="","",VLOOKUP($D1020,'Mortality Margins &amp; Grading'!$AB$5:$AF$125,3,0)*IF(Summary!$D$25="Included Margin",IF(AND($B1020&gt;Input!$C$9,Summary!$D$31&lt;&gt;"Included Margin"),0,1),0))</f>
        <v/>
      </c>
      <c r="AA1020" s="147" t="str">
        <f>IF($E1020="","",VLOOKUP($D1020,'Mortality Margins &amp; Grading'!$AB$5:$AF$125,5,0)*IF(Summary!$D$25="Included Margin",IF(AND($B1020&gt;Input!$C$9,Summary!$D$31&lt;&gt;"Included Margin"),0,1),0))</f>
        <v/>
      </c>
      <c r="AB1020" s="147" t="str">
        <f>IF($E1020="","",IF(AND($B1020&gt;Input!$C$9,Summary!$D$31&lt;&gt;"Included Margin"),1,IF(Summary!$D$25="Included Margin",VLOOKUP($B1020,'Mortality Margins &amp; Grading'!$AI$5:$AR$125,MATCH('Mortality Margins &amp; Grading'!$AQ$4,'Mortality Margins &amp; Grading'!$AI$4:$AR$4,0),0),1)))</f>
        <v/>
      </c>
      <c r="AC1020" s="154"/>
      <c r="AD1020" s="158" t="str">
        <f>IF(E1020="","",Input!$C$48*IF(Summary!$D$30="Included Margin",IF(AND($B1020&gt;Input!$C$9,Summary!$D$31&lt;&gt;"Included Margin"),0,1),0))</f>
        <v/>
      </c>
      <c r="AE1020" s="159" t="str">
        <f>IF(E1020="","",IF(Summary!$D$26="Included Margin",IF(AND($B1020&gt;Input!$C$9,Summary!$D$31&lt;&gt;"Included Margin"),1,1/$R1020),1))</f>
        <v/>
      </c>
      <c r="AF1020" s="160" t="str">
        <f>IF(E1020="","",IF(AND($B1020&gt;=Input!$C$9,$C1020=12,Summary!$D$31="Included Margin",$U1020&gt;0),1/U1020-1,IF($B1020&gt;=Input!$C$9,0,Input!$C$45*IF(Summary!$D$27="Included Margin",1,0))))</f>
        <v/>
      </c>
      <c r="AG1020" s="160" t="str">
        <f>IF(E1020="","",Input!$C$46*IF(Summary!$D$28="Included Margin",IF(AND($B1020&gt;Input!$C$9,Summary!$D$31&lt;&gt;"Included Margin"),0,1),0))</f>
        <v/>
      </c>
      <c r="AH1020" s="158" t="str">
        <f>IF(E1020="","",Input!$C$47*IF(Summary!$D$29="Included Margin",IF(AND($B1020&gt;Input!$C$9,Summary!$D$31&lt;&gt;"Included Margin"),0,1),0))</f>
        <v/>
      </c>
      <c r="AI1020" s="154"/>
      <c r="AJ1020" s="158" t="str">
        <f t="shared" si="647"/>
        <v/>
      </c>
      <c r="AK1020" s="155" t="str">
        <f t="shared" si="648"/>
        <v/>
      </c>
      <c r="AL1020" s="147" t="str">
        <f t="shared" si="649"/>
        <v/>
      </c>
      <c r="AM1020" s="147" t="str">
        <f t="shared" si="634"/>
        <v/>
      </c>
      <c r="AN1020" s="160" t="str">
        <f t="shared" si="650"/>
        <v/>
      </c>
      <c r="AO1020" s="161" t="str">
        <f t="shared" si="651"/>
        <v/>
      </c>
      <c r="AP1020" s="156" t="str">
        <f t="shared" si="635"/>
        <v/>
      </c>
      <c r="AQ1020" s="152"/>
      <c r="AR1020" s="162" t="str">
        <f t="shared" si="636"/>
        <v/>
      </c>
      <c r="AS1020" s="150" t="str">
        <f t="shared" si="652"/>
        <v/>
      </c>
      <c r="AT1020" s="163" t="str">
        <f t="shared" si="637"/>
        <v/>
      </c>
      <c r="AU1020" s="163" t="str">
        <f t="shared" si="638"/>
        <v/>
      </c>
      <c r="AV1020" s="163" t="str">
        <f t="shared" si="653"/>
        <v/>
      </c>
      <c r="AW1020" s="163" t="str">
        <f t="shared" si="639"/>
        <v/>
      </c>
      <c r="AX1020" s="163" t="str">
        <f t="shared" si="640"/>
        <v/>
      </c>
      <c r="AY1020" s="165" t="str">
        <f t="shared" si="654"/>
        <v/>
      </c>
      <c r="AZ1020" s="164" t="str">
        <f>IF($E1020="","",IF(OR(AND($D1020=Input!$C$6,$C1020=12),$AN1020=1),0,-AS1021+AT1021+AU1021-AV1021-AW1021-AX1021+AZ1021))</f>
        <v/>
      </c>
      <c r="BA1020" s="154" t="str">
        <f t="shared" si="641"/>
        <v/>
      </c>
      <c r="BC1020" s="147" t="str">
        <f t="shared" si="655"/>
        <v/>
      </c>
      <c r="BD1020" s="164" t="str">
        <f>IF(AND($C1019=12,$D1019=Input!$C$6),0,IF($E1020="","",AT1020+(AU1020+BD1021)/(1+$AK1020)*MIN((1-AM1020-AN1020),1)))</f>
        <v/>
      </c>
      <c r="BE1020" s="164" t="str">
        <f t="shared" si="670"/>
        <v/>
      </c>
      <c r="BF1020" s="164" t="str">
        <f t="shared" si="656"/>
        <v/>
      </c>
      <c r="BG1020" s="164" t="str">
        <f t="shared" si="642"/>
        <v/>
      </c>
      <c r="BH1020" s="152"/>
      <c r="BI1020" s="162" t="str">
        <f t="shared" si="664"/>
        <v/>
      </c>
      <c r="BJ1020" s="150" t="str">
        <f t="shared" si="665"/>
        <v/>
      </c>
      <c r="BK1020" s="163" t="str">
        <f t="shared" si="661"/>
        <v/>
      </c>
      <c r="BL1020" s="163" t="str">
        <f t="shared" si="666"/>
        <v/>
      </c>
      <c r="BM1020" s="163" t="str">
        <f t="shared" si="662"/>
        <v/>
      </c>
      <c r="BN1020" s="163" t="str">
        <f t="shared" si="667"/>
        <v/>
      </c>
      <c r="BO1020" s="163" t="str">
        <f t="shared" si="668"/>
        <v/>
      </c>
      <c r="BP1020" s="164" t="str">
        <f t="shared" si="663"/>
        <v/>
      </c>
      <c r="BQ1020" s="164" t="str">
        <f t="shared" si="657"/>
        <v/>
      </c>
      <c r="BR1020" s="154" t="str">
        <f t="shared" si="669"/>
        <v/>
      </c>
      <c r="BT1020" s="147" t="str">
        <f t="shared" si="643"/>
        <v/>
      </c>
      <c r="BU1020" s="164" t="str">
        <f>IF(AND($C1019=12,$D1019=Input!$C$6),0,IF($E1020="","",BK1020+(BL1020+BU1021)/(1+$AK1020)*MIN((1-T1020-U1020),1)))</f>
        <v/>
      </c>
      <c r="BV1020" s="164" t="str">
        <f t="shared" si="644"/>
        <v/>
      </c>
      <c r="BW1020" s="164" t="str">
        <f t="shared" si="645"/>
        <v/>
      </c>
      <c r="BX1020" s="164" t="str">
        <f t="shared" si="646"/>
        <v/>
      </c>
    </row>
    <row r="1021" spans="1:76" s="150" customFormat="1" x14ac:dyDescent="0.25">
      <c r="A1021" s="150" t="str">
        <f t="shared" si="658"/>
        <v/>
      </c>
      <c r="B1021" s="150" t="str">
        <f t="shared" si="659"/>
        <v/>
      </c>
      <c r="C1021" s="150" t="str">
        <f t="shared" si="660"/>
        <v/>
      </c>
      <c r="D1021" s="150" t="str">
        <f>IF(E1021="","",Input!$C$4+B1021-1)</f>
        <v/>
      </c>
      <c r="E1021" s="150" t="str">
        <f>IF(OR(AND(C1020=12,D1020=Input!$C$6),E1020=""),"",1)</f>
        <v/>
      </c>
      <c r="F1021" s="150" t="str">
        <f>IF(E1021="","",Input!$C$8+B1021-1)</f>
        <v/>
      </c>
      <c r="G1021" s="151" t="str">
        <f>IF(E1021="","",MAX(0,Input!$C$9-B1021))</f>
        <v/>
      </c>
      <c r="H1021" s="152" t="str">
        <f>IF(E1021="","",Input!$C$3)</f>
        <v/>
      </c>
      <c r="I1021" s="153" t="str">
        <f>IF(E1021="","",HLOOKUP($B1021,Input!$C$13:$BT$14,2))</f>
        <v/>
      </c>
      <c r="J1021" s="154"/>
      <c r="K1021" s="155" t="str">
        <f>IF($E1021="","",INDEX(Input!$C$16:$CP$16,1,$B1021))</f>
        <v/>
      </c>
      <c r="L1021" s="155" t="str">
        <f>IF($E1021="","",Input!$C$37)</f>
        <v/>
      </c>
      <c r="M1021" s="155" t="str">
        <f t="shared" si="671"/>
        <v/>
      </c>
      <c r="N1021" s="155" t="str">
        <f t="shared" si="672"/>
        <v/>
      </c>
      <c r="O1021" s="147" t="str">
        <f>IF($E1021="","",MIN(VLOOKUP(IF($B1021&lt;=Input!$C$7,$B1021,26),'Mortality Tables'!$A$41:$CW$67,IF($B1021&lt;=Input!$C$7+1,Input!$C$4+2,$D1021-Input!$C$7+2),0)*IF(B1021&gt;20,Input!$C$22,1)/1000,1))</f>
        <v/>
      </c>
      <c r="P1021" s="147" t="str">
        <f>IF($E1021="","",MIN(VLOOKUP(IF($B1021&lt;=Input!$C$7,$B1021,26),'Mortality Tables'!$A$12:$CW$37,IF($B1021&lt;=Input!$C$7+1,Input!$C$4+2,$D1021-Input!$C$7+2),0)*IF(B1021&gt;20,Input!$C$22,1)/1000,1))</f>
        <v/>
      </c>
      <c r="Q1021" s="155" t="str">
        <f>IF($E1021="","",Input!$C$21)</f>
        <v/>
      </c>
      <c r="R1021" s="159" t="str">
        <f>IF($E1021="","",(1-Q1021)^($F1021-Input!$C$20))</f>
        <v/>
      </c>
      <c r="S1021" s="147" t="str">
        <f t="shared" si="632"/>
        <v/>
      </c>
      <c r="T1021" s="147" t="str">
        <f t="shared" si="633"/>
        <v/>
      </c>
      <c r="U1021" s="160" t="str">
        <f>IF($E1021="","",IF($C1021=12,INDEX(Input!$C$15:$CP$15,1,$B1021),0))</f>
        <v/>
      </c>
      <c r="V1021" s="150" t="str">
        <f>IF(E1021="","",IF(C1021=1,IF($B1021=1,Input!$C$33,Input!$C$34),0))</f>
        <v/>
      </c>
      <c r="W1021" s="156" t="str">
        <f>IF($E1021="","",Input!$C$35)</f>
        <v/>
      </c>
      <c r="X1021" s="156" t="str">
        <f t="shared" si="673"/>
        <v/>
      </c>
      <c r="Y1021" s="154"/>
      <c r="Z1021" s="147" t="str">
        <f>IF($E1021="","",VLOOKUP($D1021,'Mortality Margins &amp; Grading'!$AB$5:$AF$125,3,0)*IF(Summary!$D$25="Included Margin",IF(AND($B1021&gt;Input!$C$9,Summary!$D$31&lt;&gt;"Included Margin"),0,1),0))</f>
        <v/>
      </c>
      <c r="AA1021" s="147" t="str">
        <f>IF($E1021="","",VLOOKUP($D1021,'Mortality Margins &amp; Grading'!$AB$5:$AF$125,5,0)*IF(Summary!$D$25="Included Margin",IF(AND($B1021&gt;Input!$C$9,Summary!$D$31&lt;&gt;"Included Margin"),0,1),0))</f>
        <v/>
      </c>
      <c r="AB1021" s="147" t="str">
        <f>IF($E1021="","",IF(AND($B1021&gt;Input!$C$9,Summary!$D$31&lt;&gt;"Included Margin"),1,IF(Summary!$D$25="Included Margin",VLOOKUP($B1021,'Mortality Margins &amp; Grading'!$AI$5:$AR$125,MATCH('Mortality Margins &amp; Grading'!$AQ$4,'Mortality Margins &amp; Grading'!$AI$4:$AR$4,0),0),1)))</f>
        <v/>
      </c>
      <c r="AC1021" s="154"/>
      <c r="AD1021" s="158" t="str">
        <f>IF(E1021="","",Input!$C$48*IF(Summary!$D$30="Included Margin",IF(AND($B1021&gt;Input!$C$9,Summary!$D$31&lt;&gt;"Included Margin"),0,1),0))</f>
        <v/>
      </c>
      <c r="AE1021" s="159" t="str">
        <f>IF(E1021="","",IF(Summary!$D$26="Included Margin",IF(AND($B1021&gt;Input!$C$9,Summary!$D$31&lt;&gt;"Included Margin"),1,1/$R1021),1))</f>
        <v/>
      </c>
      <c r="AF1021" s="160" t="str">
        <f>IF(E1021="","",IF(AND($B1021&gt;=Input!$C$9,$C1021=12,Summary!$D$31="Included Margin",$U1021&gt;0),1/U1021-1,IF($B1021&gt;=Input!$C$9,0,Input!$C$45*IF(Summary!$D$27="Included Margin",1,0))))</f>
        <v/>
      </c>
      <c r="AG1021" s="160" t="str">
        <f>IF(E1021="","",Input!$C$46*IF(Summary!$D$28="Included Margin",IF(AND($B1021&gt;Input!$C$9,Summary!$D$31&lt;&gt;"Included Margin"),0,1),0))</f>
        <v/>
      </c>
      <c r="AH1021" s="158" t="str">
        <f>IF(E1021="","",Input!$C$47*IF(Summary!$D$29="Included Margin",IF(AND($B1021&gt;Input!$C$9,Summary!$D$31&lt;&gt;"Included Margin"),0,1),0))</f>
        <v/>
      </c>
      <c r="AI1021" s="154"/>
      <c r="AJ1021" s="158" t="str">
        <f t="shared" si="647"/>
        <v/>
      </c>
      <c r="AK1021" s="155" t="str">
        <f t="shared" si="648"/>
        <v/>
      </c>
      <c r="AL1021" s="147" t="str">
        <f t="shared" si="649"/>
        <v/>
      </c>
      <c r="AM1021" s="147" t="str">
        <f t="shared" si="634"/>
        <v/>
      </c>
      <c r="AN1021" s="160" t="str">
        <f t="shared" si="650"/>
        <v/>
      </c>
      <c r="AO1021" s="161" t="str">
        <f t="shared" si="651"/>
        <v/>
      </c>
      <c r="AP1021" s="156" t="str">
        <f t="shared" si="635"/>
        <v/>
      </c>
      <c r="AQ1021" s="152"/>
      <c r="AR1021" s="162" t="str">
        <f t="shared" si="636"/>
        <v/>
      </c>
      <c r="AS1021" s="150" t="str">
        <f t="shared" si="652"/>
        <v/>
      </c>
      <c r="AT1021" s="163" t="str">
        <f t="shared" si="637"/>
        <v/>
      </c>
      <c r="AU1021" s="163" t="str">
        <f t="shared" si="638"/>
        <v/>
      </c>
      <c r="AV1021" s="163" t="str">
        <f t="shared" si="653"/>
        <v/>
      </c>
      <c r="AW1021" s="163" t="str">
        <f t="shared" si="639"/>
        <v/>
      </c>
      <c r="AX1021" s="163" t="str">
        <f t="shared" si="640"/>
        <v/>
      </c>
      <c r="AY1021" s="164" t="str">
        <f t="shared" si="654"/>
        <v/>
      </c>
      <c r="AZ1021" s="164" t="str">
        <f>IF($E1021="","",IF(OR(AND($D1021=Input!$C$6,$C1021=12),$AN1021=1),0,-AS1022+AT1022+AU1022-AV1022-AW1022-AX1022+AZ1022))</f>
        <v/>
      </c>
      <c r="BA1021" s="154" t="str">
        <f t="shared" si="641"/>
        <v/>
      </c>
      <c r="BC1021" s="147" t="str">
        <f t="shared" si="655"/>
        <v/>
      </c>
      <c r="BD1021" s="164" t="str">
        <f>IF(AND($C1020=12,$D1020=Input!$C$6),0,IF($E1021="","",AT1021+(AU1021+BD1022)/(1+$AK1021)*MIN((1-AM1021-AN1021),1)))</f>
        <v/>
      </c>
      <c r="BE1021" s="164" t="str">
        <f t="shared" si="670"/>
        <v/>
      </c>
      <c r="BF1021" s="164" t="str">
        <f t="shared" si="656"/>
        <v/>
      </c>
      <c r="BG1021" s="164" t="str">
        <f t="shared" si="642"/>
        <v/>
      </c>
      <c r="BH1021" s="152"/>
      <c r="BI1021" s="162" t="str">
        <f t="shared" si="664"/>
        <v/>
      </c>
      <c r="BJ1021" s="150" t="str">
        <f t="shared" si="665"/>
        <v/>
      </c>
      <c r="BK1021" s="163" t="str">
        <f t="shared" si="661"/>
        <v/>
      </c>
      <c r="BL1021" s="163" t="str">
        <f t="shared" si="666"/>
        <v/>
      </c>
      <c r="BM1021" s="163" t="str">
        <f t="shared" si="662"/>
        <v/>
      </c>
      <c r="BN1021" s="163" t="str">
        <f t="shared" si="667"/>
        <v/>
      </c>
      <c r="BO1021" s="163" t="str">
        <f t="shared" si="668"/>
        <v/>
      </c>
      <c r="BP1021" s="164" t="str">
        <f t="shared" si="663"/>
        <v/>
      </c>
      <c r="BQ1021" s="164" t="str">
        <f t="shared" si="657"/>
        <v/>
      </c>
      <c r="BR1021" s="154" t="str">
        <f t="shared" si="669"/>
        <v/>
      </c>
      <c r="BT1021" s="147" t="str">
        <f t="shared" si="643"/>
        <v/>
      </c>
      <c r="BU1021" s="164" t="str">
        <f>IF(AND($C1020=12,$D1020=Input!$C$6),0,IF($E1021="","",BK1021+(BL1021+BU1022)/(1+$AK1021)*MIN((1-T1021-U1021),1)))</f>
        <v/>
      </c>
      <c r="BV1021" s="164" t="str">
        <f t="shared" si="644"/>
        <v/>
      </c>
      <c r="BW1021" s="164" t="str">
        <f t="shared" si="645"/>
        <v/>
      </c>
      <c r="BX1021" s="164" t="str">
        <f t="shared" si="646"/>
        <v/>
      </c>
    </row>
    <row r="1022" spans="1:76" s="150" customFormat="1" x14ac:dyDescent="0.25">
      <c r="A1022" s="150" t="str">
        <f t="shared" si="658"/>
        <v/>
      </c>
      <c r="B1022" s="150" t="str">
        <f t="shared" si="659"/>
        <v/>
      </c>
      <c r="C1022" s="150" t="str">
        <f t="shared" si="660"/>
        <v/>
      </c>
      <c r="D1022" s="150" t="str">
        <f>IF(E1022="","",Input!$C$4+B1022-1)</f>
        <v/>
      </c>
      <c r="E1022" s="150" t="str">
        <f>IF(OR(AND(C1021=12,D1021=Input!$C$6),E1021=""),"",1)</f>
        <v/>
      </c>
      <c r="F1022" s="150" t="str">
        <f>IF(E1022="","",Input!$C$8+B1022-1)</f>
        <v/>
      </c>
      <c r="G1022" s="151" t="str">
        <f>IF(E1022="","",MAX(0,Input!$C$9-B1022))</f>
        <v/>
      </c>
      <c r="H1022" s="152" t="str">
        <f>IF(E1022="","",Input!$C$3)</f>
        <v/>
      </c>
      <c r="I1022" s="153" t="str">
        <f>IF(E1022="","",HLOOKUP($B1022,Input!$C$13:$BT$14,2))</f>
        <v/>
      </c>
      <c r="J1022" s="154"/>
      <c r="K1022" s="155" t="str">
        <f>IF($E1022="","",INDEX(Input!$C$16:$CP$16,1,$B1022))</f>
        <v/>
      </c>
      <c r="L1022" s="155" t="str">
        <f>IF($E1022="","",Input!$C$37)</f>
        <v/>
      </c>
      <c r="M1022" s="155" t="str">
        <f t="shared" si="671"/>
        <v/>
      </c>
      <c r="N1022" s="155" t="str">
        <f t="shared" si="672"/>
        <v/>
      </c>
      <c r="O1022" s="147" t="str">
        <f>IF($E1022="","",MIN(VLOOKUP(IF($B1022&lt;=Input!$C$7,$B1022,26),'Mortality Tables'!$A$41:$CW$67,IF($B1022&lt;=Input!$C$7+1,Input!$C$4+2,$D1022-Input!$C$7+2),0)*IF(B1022&gt;20,Input!$C$22,1)/1000,1))</f>
        <v/>
      </c>
      <c r="P1022" s="147" t="str">
        <f>IF($E1022="","",MIN(VLOOKUP(IF($B1022&lt;=Input!$C$7,$B1022,26),'Mortality Tables'!$A$12:$CW$37,IF($B1022&lt;=Input!$C$7+1,Input!$C$4+2,$D1022-Input!$C$7+2),0)*IF(B1022&gt;20,Input!$C$22,1)/1000,1))</f>
        <v/>
      </c>
      <c r="Q1022" s="155" t="str">
        <f>IF($E1022="","",Input!$C$21)</f>
        <v/>
      </c>
      <c r="R1022" s="159" t="str">
        <f>IF($E1022="","",(1-Q1022)^($F1022-Input!$C$20))</f>
        <v/>
      </c>
      <c r="S1022" s="147" t="str">
        <f t="shared" si="632"/>
        <v/>
      </c>
      <c r="T1022" s="147" t="str">
        <f t="shared" si="633"/>
        <v/>
      </c>
      <c r="U1022" s="160" t="str">
        <f>IF($E1022="","",IF($C1022=12,INDEX(Input!$C$15:$CP$15,1,$B1022),0))</f>
        <v/>
      </c>
      <c r="V1022" s="150" t="str">
        <f>IF(E1022="","",IF(C1022=1,IF($B1022=1,Input!$C$33,Input!$C$34),0))</f>
        <v/>
      </c>
      <c r="W1022" s="156" t="str">
        <f>IF($E1022="","",Input!$C$35)</f>
        <v/>
      </c>
      <c r="X1022" s="156" t="str">
        <f t="shared" si="673"/>
        <v/>
      </c>
      <c r="Y1022" s="154"/>
      <c r="Z1022" s="147" t="str">
        <f>IF($E1022="","",VLOOKUP($D1022,'Mortality Margins &amp; Grading'!$AB$5:$AF$125,3,0)*IF(Summary!$D$25="Included Margin",IF(AND($B1022&gt;Input!$C$9,Summary!$D$31&lt;&gt;"Included Margin"),0,1),0))</f>
        <v/>
      </c>
      <c r="AA1022" s="147" t="str">
        <f>IF($E1022="","",VLOOKUP($D1022,'Mortality Margins &amp; Grading'!$AB$5:$AF$125,5,0)*IF(Summary!$D$25="Included Margin",IF(AND($B1022&gt;Input!$C$9,Summary!$D$31&lt;&gt;"Included Margin"),0,1),0))</f>
        <v/>
      </c>
      <c r="AB1022" s="147" t="str">
        <f>IF($E1022="","",IF(AND($B1022&gt;Input!$C$9,Summary!$D$31&lt;&gt;"Included Margin"),1,IF(Summary!$D$25="Included Margin",VLOOKUP($B1022,'Mortality Margins &amp; Grading'!$AI$5:$AR$125,MATCH('Mortality Margins &amp; Grading'!$AQ$4,'Mortality Margins &amp; Grading'!$AI$4:$AR$4,0),0),1)))</f>
        <v/>
      </c>
      <c r="AC1022" s="154"/>
      <c r="AD1022" s="158" t="str">
        <f>IF(E1022="","",Input!$C$48*IF(Summary!$D$30="Included Margin",IF(AND($B1022&gt;Input!$C$9,Summary!$D$31&lt;&gt;"Included Margin"),0,1),0))</f>
        <v/>
      </c>
      <c r="AE1022" s="159" t="str">
        <f>IF(E1022="","",IF(Summary!$D$26="Included Margin",IF(AND($B1022&gt;Input!$C$9,Summary!$D$31&lt;&gt;"Included Margin"),1,1/$R1022),1))</f>
        <v/>
      </c>
      <c r="AF1022" s="160" t="str">
        <f>IF(E1022="","",IF(AND($B1022&gt;=Input!$C$9,$C1022=12,Summary!$D$31="Included Margin",$U1022&gt;0),1/U1022-1,IF($B1022&gt;=Input!$C$9,0,Input!$C$45*IF(Summary!$D$27="Included Margin",1,0))))</f>
        <v/>
      </c>
      <c r="AG1022" s="160" t="str">
        <f>IF(E1022="","",Input!$C$46*IF(Summary!$D$28="Included Margin",IF(AND($B1022&gt;Input!$C$9,Summary!$D$31&lt;&gt;"Included Margin"),0,1),0))</f>
        <v/>
      </c>
      <c r="AH1022" s="158" t="str">
        <f>IF(E1022="","",Input!$C$47*IF(Summary!$D$29="Included Margin",IF(AND($B1022&gt;Input!$C$9,Summary!$D$31&lt;&gt;"Included Margin"),0,1),0))</f>
        <v/>
      </c>
      <c r="AI1022" s="154"/>
      <c r="AJ1022" s="158" t="str">
        <f t="shared" si="647"/>
        <v/>
      </c>
      <c r="AK1022" s="155" t="str">
        <f t="shared" si="648"/>
        <v/>
      </c>
      <c r="AL1022" s="147" t="str">
        <f t="shared" si="649"/>
        <v/>
      </c>
      <c r="AM1022" s="147" t="str">
        <f t="shared" si="634"/>
        <v/>
      </c>
      <c r="AN1022" s="160" t="str">
        <f t="shared" si="650"/>
        <v/>
      </c>
      <c r="AO1022" s="161" t="str">
        <f t="shared" si="651"/>
        <v/>
      </c>
      <c r="AP1022" s="156" t="str">
        <f t="shared" si="635"/>
        <v/>
      </c>
      <c r="AQ1022" s="152"/>
      <c r="AR1022" s="162" t="str">
        <f t="shared" si="636"/>
        <v/>
      </c>
      <c r="AS1022" s="150" t="str">
        <f t="shared" si="652"/>
        <v/>
      </c>
      <c r="AT1022" s="163" t="str">
        <f t="shared" si="637"/>
        <v/>
      </c>
      <c r="AU1022" s="163" t="str">
        <f t="shared" si="638"/>
        <v/>
      </c>
      <c r="AV1022" s="163" t="str">
        <f t="shared" si="653"/>
        <v/>
      </c>
      <c r="AW1022" s="163" t="str">
        <f t="shared" si="639"/>
        <v/>
      </c>
      <c r="AX1022" s="163" t="str">
        <f t="shared" si="640"/>
        <v/>
      </c>
      <c r="AY1022" s="165" t="str">
        <f t="shared" si="654"/>
        <v/>
      </c>
      <c r="AZ1022" s="164" t="str">
        <f>IF($E1022="","",IF(OR(AND($D1022=Input!$C$6,$C1022=12),$AN1022=1),0,-AS1023+AT1023+AU1023-AV1023-AW1023-AX1023+AZ1023))</f>
        <v/>
      </c>
      <c r="BA1022" s="154" t="str">
        <f t="shared" si="641"/>
        <v/>
      </c>
      <c r="BC1022" s="147" t="str">
        <f t="shared" si="655"/>
        <v/>
      </c>
      <c r="BD1022" s="164" t="str">
        <f>IF(AND($C1021=12,$D1021=Input!$C$6),0,IF($E1022="","",AT1022+(AU1022+BD1023)/(1+$AK1022)*MIN((1-AM1022-AN1022),1)))</f>
        <v/>
      </c>
      <c r="BE1022" s="164" t="str">
        <f t="shared" si="670"/>
        <v/>
      </c>
      <c r="BF1022" s="164" t="str">
        <f t="shared" si="656"/>
        <v/>
      </c>
      <c r="BG1022" s="164" t="str">
        <f t="shared" si="642"/>
        <v/>
      </c>
      <c r="BH1022" s="152"/>
      <c r="BI1022" s="162" t="str">
        <f t="shared" si="664"/>
        <v/>
      </c>
      <c r="BJ1022" s="150" t="str">
        <f t="shared" si="665"/>
        <v/>
      </c>
      <c r="BK1022" s="163" t="str">
        <f t="shared" si="661"/>
        <v/>
      </c>
      <c r="BL1022" s="163" t="str">
        <f t="shared" si="666"/>
        <v/>
      </c>
      <c r="BM1022" s="163" t="str">
        <f t="shared" si="662"/>
        <v/>
      </c>
      <c r="BN1022" s="163" t="str">
        <f t="shared" si="667"/>
        <v/>
      </c>
      <c r="BO1022" s="163" t="str">
        <f t="shared" si="668"/>
        <v/>
      </c>
      <c r="BP1022" s="164" t="str">
        <f t="shared" si="663"/>
        <v/>
      </c>
      <c r="BQ1022" s="164" t="str">
        <f t="shared" si="657"/>
        <v/>
      </c>
      <c r="BR1022" s="154" t="str">
        <f t="shared" si="669"/>
        <v/>
      </c>
      <c r="BT1022" s="147" t="str">
        <f t="shared" si="643"/>
        <v/>
      </c>
      <c r="BU1022" s="164" t="str">
        <f>IF(AND($C1021=12,$D1021=Input!$C$6),0,IF($E1022="","",BK1022+(BL1022+BU1023)/(1+$AK1022)*MIN((1-T1022-U1022),1)))</f>
        <v/>
      </c>
      <c r="BV1022" s="164" t="str">
        <f t="shared" si="644"/>
        <v/>
      </c>
      <c r="BW1022" s="164" t="str">
        <f t="shared" si="645"/>
        <v/>
      </c>
      <c r="BX1022" s="164" t="str">
        <f t="shared" si="646"/>
        <v/>
      </c>
    </row>
    <row r="1023" spans="1:76" s="150" customFormat="1" x14ac:dyDescent="0.25">
      <c r="A1023" s="150" t="str">
        <f t="shared" si="658"/>
        <v/>
      </c>
      <c r="B1023" s="150" t="str">
        <f t="shared" si="659"/>
        <v/>
      </c>
      <c r="C1023" s="150" t="str">
        <f t="shared" si="660"/>
        <v/>
      </c>
      <c r="D1023" s="150" t="str">
        <f>IF(E1023="","",Input!$C$4+B1023-1)</f>
        <v/>
      </c>
      <c r="E1023" s="150" t="str">
        <f>IF(OR(AND(C1022=12,D1022=Input!$C$6),E1022=""),"",1)</f>
        <v/>
      </c>
      <c r="F1023" s="150" t="str">
        <f>IF(E1023="","",Input!$C$8+B1023-1)</f>
        <v/>
      </c>
      <c r="G1023" s="151" t="str">
        <f>IF(E1023="","",MAX(0,Input!$C$9-B1023))</f>
        <v/>
      </c>
      <c r="H1023" s="152" t="str">
        <f>IF(E1023="","",Input!$C$3)</f>
        <v/>
      </c>
      <c r="I1023" s="153" t="str">
        <f>IF(E1023="","",HLOOKUP($B1023,Input!$C$13:$BT$14,2))</f>
        <v/>
      </c>
      <c r="J1023" s="154"/>
      <c r="K1023" s="155" t="str">
        <f>IF($E1023="","",INDEX(Input!$C$16:$CP$16,1,$B1023))</f>
        <v/>
      </c>
      <c r="L1023" s="155" t="str">
        <f>IF($E1023="","",Input!$C$37)</f>
        <v/>
      </c>
      <c r="M1023" s="155" t="str">
        <f t="shared" si="671"/>
        <v/>
      </c>
      <c r="N1023" s="155" t="str">
        <f t="shared" si="672"/>
        <v/>
      </c>
      <c r="O1023" s="147" t="str">
        <f>IF($E1023="","",MIN(VLOOKUP(IF($B1023&lt;=Input!$C$7,$B1023,26),'Mortality Tables'!$A$41:$CW$67,IF($B1023&lt;=Input!$C$7+1,Input!$C$4+2,$D1023-Input!$C$7+2),0)*IF(B1023&gt;20,Input!$C$22,1)/1000,1))</f>
        <v/>
      </c>
      <c r="P1023" s="147" t="str">
        <f>IF($E1023="","",MIN(VLOOKUP(IF($B1023&lt;=Input!$C$7,$B1023,26),'Mortality Tables'!$A$12:$CW$37,IF($B1023&lt;=Input!$C$7+1,Input!$C$4+2,$D1023-Input!$C$7+2),0)*IF(B1023&gt;20,Input!$C$22,1)/1000,1))</f>
        <v/>
      </c>
      <c r="Q1023" s="155" t="str">
        <f>IF($E1023="","",Input!$C$21)</f>
        <v/>
      </c>
      <c r="R1023" s="159" t="str">
        <f>IF($E1023="","",(1-Q1023)^($F1023-Input!$C$20))</f>
        <v/>
      </c>
      <c r="S1023" s="147" t="str">
        <f t="shared" si="632"/>
        <v/>
      </c>
      <c r="T1023" s="147" t="str">
        <f t="shared" si="633"/>
        <v/>
      </c>
      <c r="U1023" s="160" t="str">
        <f>IF($E1023="","",IF($C1023=12,INDEX(Input!$C$15:$CP$15,1,$B1023),0))</f>
        <v/>
      </c>
      <c r="V1023" s="150" t="str">
        <f>IF(E1023="","",IF(C1023=1,IF($B1023=1,Input!$C$33,Input!$C$34),0))</f>
        <v/>
      </c>
      <c r="W1023" s="156" t="str">
        <f>IF($E1023="","",Input!$C$35)</f>
        <v/>
      </c>
      <c r="X1023" s="156" t="str">
        <f t="shared" si="673"/>
        <v/>
      </c>
      <c r="Y1023" s="154"/>
      <c r="Z1023" s="147" t="str">
        <f>IF($E1023="","",VLOOKUP($D1023,'Mortality Margins &amp; Grading'!$AB$5:$AF$125,3,0)*IF(Summary!$D$25="Included Margin",IF(AND($B1023&gt;Input!$C$9,Summary!$D$31&lt;&gt;"Included Margin"),0,1),0))</f>
        <v/>
      </c>
      <c r="AA1023" s="147" t="str">
        <f>IF($E1023="","",VLOOKUP($D1023,'Mortality Margins &amp; Grading'!$AB$5:$AF$125,5,0)*IF(Summary!$D$25="Included Margin",IF(AND($B1023&gt;Input!$C$9,Summary!$D$31&lt;&gt;"Included Margin"),0,1),0))</f>
        <v/>
      </c>
      <c r="AB1023" s="147" t="str">
        <f>IF($E1023="","",IF(AND($B1023&gt;Input!$C$9,Summary!$D$31&lt;&gt;"Included Margin"),1,IF(Summary!$D$25="Included Margin",VLOOKUP($B1023,'Mortality Margins &amp; Grading'!$AI$5:$AR$125,MATCH('Mortality Margins &amp; Grading'!$AQ$4,'Mortality Margins &amp; Grading'!$AI$4:$AR$4,0),0),1)))</f>
        <v/>
      </c>
      <c r="AC1023" s="154"/>
      <c r="AD1023" s="158" t="str">
        <f>IF(E1023="","",Input!$C$48*IF(Summary!$D$30="Included Margin",IF(AND($B1023&gt;Input!$C$9,Summary!$D$31&lt;&gt;"Included Margin"),0,1),0))</f>
        <v/>
      </c>
      <c r="AE1023" s="159" t="str">
        <f>IF(E1023="","",IF(Summary!$D$26="Included Margin",IF(AND($B1023&gt;Input!$C$9,Summary!$D$31&lt;&gt;"Included Margin"),1,1/$R1023),1))</f>
        <v/>
      </c>
      <c r="AF1023" s="160" t="str">
        <f>IF(E1023="","",IF(AND($B1023&gt;=Input!$C$9,$C1023=12,Summary!$D$31="Included Margin",$U1023&gt;0),1/U1023-1,IF($B1023&gt;=Input!$C$9,0,Input!$C$45*IF(Summary!$D$27="Included Margin",1,0))))</f>
        <v/>
      </c>
      <c r="AG1023" s="160" t="str">
        <f>IF(E1023="","",Input!$C$46*IF(Summary!$D$28="Included Margin",IF(AND($B1023&gt;Input!$C$9,Summary!$D$31&lt;&gt;"Included Margin"),0,1),0))</f>
        <v/>
      </c>
      <c r="AH1023" s="158" t="str">
        <f>IF(E1023="","",Input!$C$47*IF(Summary!$D$29="Included Margin",IF(AND($B1023&gt;Input!$C$9,Summary!$D$31&lt;&gt;"Included Margin"),0,1),0))</f>
        <v/>
      </c>
      <c r="AI1023" s="154"/>
      <c r="AJ1023" s="158" t="str">
        <f t="shared" si="647"/>
        <v/>
      </c>
      <c r="AK1023" s="155" t="str">
        <f t="shared" si="648"/>
        <v/>
      </c>
      <c r="AL1023" s="147" t="str">
        <f t="shared" si="649"/>
        <v/>
      </c>
      <c r="AM1023" s="147" t="str">
        <f t="shared" si="634"/>
        <v/>
      </c>
      <c r="AN1023" s="160" t="str">
        <f t="shared" si="650"/>
        <v/>
      </c>
      <c r="AO1023" s="161" t="str">
        <f t="shared" si="651"/>
        <v/>
      </c>
      <c r="AP1023" s="156" t="str">
        <f t="shared" si="635"/>
        <v/>
      </c>
      <c r="AQ1023" s="152"/>
      <c r="AR1023" s="162" t="str">
        <f t="shared" si="636"/>
        <v/>
      </c>
      <c r="AS1023" s="150" t="str">
        <f t="shared" si="652"/>
        <v/>
      </c>
      <c r="AT1023" s="163" t="str">
        <f t="shared" si="637"/>
        <v/>
      </c>
      <c r="AU1023" s="163" t="str">
        <f t="shared" si="638"/>
        <v/>
      </c>
      <c r="AV1023" s="163" t="str">
        <f t="shared" si="653"/>
        <v/>
      </c>
      <c r="AW1023" s="163" t="str">
        <f t="shared" si="639"/>
        <v/>
      </c>
      <c r="AX1023" s="163" t="str">
        <f t="shared" si="640"/>
        <v/>
      </c>
      <c r="AY1023" s="164" t="str">
        <f t="shared" si="654"/>
        <v/>
      </c>
      <c r="AZ1023" s="164" t="str">
        <f>IF($E1023="","",IF(OR(AND($D1023=Input!$C$6,$C1023=12),$AN1023=1),0,-AS1024+AT1024+AU1024-AV1024-AW1024-AX1024+AZ1024))</f>
        <v/>
      </c>
      <c r="BA1023" s="154" t="str">
        <f t="shared" si="641"/>
        <v/>
      </c>
      <c r="BC1023" s="147" t="str">
        <f t="shared" si="655"/>
        <v/>
      </c>
      <c r="BD1023" s="164" t="str">
        <f>IF(AND($C1022=12,$D1022=Input!$C$6),0,IF($E1023="","",AT1023+(AU1023+BD1024)/(1+$AK1023)*MIN((1-AM1023-AN1023),1)))</f>
        <v/>
      </c>
      <c r="BE1023" s="164" t="str">
        <f t="shared" si="670"/>
        <v/>
      </c>
      <c r="BF1023" s="164" t="str">
        <f t="shared" si="656"/>
        <v/>
      </c>
      <c r="BG1023" s="164" t="str">
        <f t="shared" si="642"/>
        <v/>
      </c>
      <c r="BH1023" s="152"/>
      <c r="BI1023" s="162" t="str">
        <f t="shared" si="664"/>
        <v/>
      </c>
      <c r="BJ1023" s="150" t="str">
        <f t="shared" si="665"/>
        <v/>
      </c>
      <c r="BK1023" s="163" t="str">
        <f t="shared" si="661"/>
        <v/>
      </c>
      <c r="BL1023" s="163" t="str">
        <f t="shared" si="666"/>
        <v/>
      </c>
      <c r="BM1023" s="163" t="str">
        <f t="shared" si="662"/>
        <v/>
      </c>
      <c r="BN1023" s="163" t="str">
        <f t="shared" si="667"/>
        <v/>
      </c>
      <c r="BO1023" s="163" t="str">
        <f t="shared" si="668"/>
        <v/>
      </c>
      <c r="BP1023" s="164" t="str">
        <f t="shared" si="663"/>
        <v/>
      </c>
      <c r="BQ1023" s="164" t="str">
        <f t="shared" si="657"/>
        <v/>
      </c>
      <c r="BR1023" s="154" t="str">
        <f t="shared" si="669"/>
        <v/>
      </c>
      <c r="BT1023" s="147" t="str">
        <f t="shared" si="643"/>
        <v/>
      </c>
      <c r="BU1023" s="164" t="str">
        <f>IF(AND($C1022=12,$D1022=Input!$C$6),0,IF($E1023="","",BK1023+(BL1023+BU1024)/(1+$AK1023)*MIN((1-T1023-U1023),1)))</f>
        <v/>
      </c>
      <c r="BV1023" s="164" t="str">
        <f t="shared" si="644"/>
        <v/>
      </c>
      <c r="BW1023" s="164" t="str">
        <f t="shared" si="645"/>
        <v/>
      </c>
      <c r="BX1023" s="164" t="str">
        <f t="shared" si="646"/>
        <v/>
      </c>
    </row>
    <row r="1024" spans="1:76" s="150" customFormat="1" x14ac:dyDescent="0.25">
      <c r="A1024" s="150" t="str">
        <f t="shared" si="658"/>
        <v/>
      </c>
      <c r="B1024" s="150" t="str">
        <f t="shared" si="659"/>
        <v/>
      </c>
      <c r="C1024" s="150" t="str">
        <f t="shared" si="660"/>
        <v/>
      </c>
      <c r="D1024" s="150" t="str">
        <f>IF(E1024="","",Input!$C$4+B1024-1)</f>
        <v/>
      </c>
      <c r="E1024" s="150" t="str">
        <f>IF(OR(AND(C1023=12,D1023=Input!$C$6),E1023=""),"",1)</f>
        <v/>
      </c>
      <c r="F1024" s="150" t="str">
        <f>IF(E1024="","",Input!$C$8+B1024-1)</f>
        <v/>
      </c>
      <c r="G1024" s="151" t="str">
        <f>IF(E1024="","",MAX(0,Input!$C$9-B1024))</f>
        <v/>
      </c>
      <c r="H1024" s="152" t="str">
        <f>IF(E1024="","",Input!$C$3)</f>
        <v/>
      </c>
      <c r="I1024" s="153" t="str">
        <f>IF(E1024="","",HLOOKUP($B1024,Input!$C$13:$BT$14,2))</f>
        <v/>
      </c>
      <c r="J1024" s="154"/>
      <c r="K1024" s="155" t="str">
        <f>IF($E1024="","",INDEX(Input!$C$16:$CP$16,1,$B1024))</f>
        <v/>
      </c>
      <c r="L1024" s="155" t="str">
        <f>IF($E1024="","",Input!$C$37)</f>
        <v/>
      </c>
      <c r="M1024" s="155" t="str">
        <f t="shared" si="671"/>
        <v/>
      </c>
      <c r="N1024" s="155" t="str">
        <f t="shared" si="672"/>
        <v/>
      </c>
      <c r="O1024" s="147" t="str">
        <f>IF($E1024="","",MIN(VLOOKUP(IF($B1024&lt;=Input!$C$7,$B1024,26),'Mortality Tables'!$A$41:$CW$67,IF($B1024&lt;=Input!$C$7+1,Input!$C$4+2,$D1024-Input!$C$7+2),0)*IF(B1024&gt;20,Input!$C$22,1)/1000,1))</f>
        <v/>
      </c>
      <c r="P1024" s="147" t="str">
        <f>IF($E1024="","",MIN(VLOOKUP(IF($B1024&lt;=Input!$C$7,$B1024,26),'Mortality Tables'!$A$12:$CW$37,IF($B1024&lt;=Input!$C$7+1,Input!$C$4+2,$D1024-Input!$C$7+2),0)*IF(B1024&gt;20,Input!$C$22,1)/1000,1))</f>
        <v/>
      </c>
      <c r="Q1024" s="155" t="str">
        <f>IF($E1024="","",Input!$C$21)</f>
        <v/>
      </c>
      <c r="R1024" s="159" t="str">
        <f>IF($E1024="","",(1-Q1024)^($F1024-Input!$C$20))</f>
        <v/>
      </c>
      <c r="S1024" s="147" t="str">
        <f t="shared" si="632"/>
        <v/>
      </c>
      <c r="T1024" s="147" t="str">
        <f t="shared" si="633"/>
        <v/>
      </c>
      <c r="U1024" s="160" t="str">
        <f>IF($E1024="","",IF($C1024=12,INDEX(Input!$C$15:$CP$15,1,$B1024),0))</f>
        <v/>
      </c>
      <c r="V1024" s="150" t="str">
        <f>IF(E1024="","",IF(C1024=1,IF($B1024=1,Input!$C$33,Input!$C$34),0))</f>
        <v/>
      </c>
      <c r="W1024" s="156" t="str">
        <f>IF($E1024="","",Input!$C$35)</f>
        <v/>
      </c>
      <c r="X1024" s="156" t="str">
        <f t="shared" si="673"/>
        <v/>
      </c>
      <c r="Y1024" s="154"/>
      <c r="Z1024" s="147" t="str">
        <f>IF($E1024="","",VLOOKUP($D1024,'Mortality Margins &amp; Grading'!$AB$5:$AF$125,3,0)*IF(Summary!$D$25="Included Margin",IF(AND($B1024&gt;Input!$C$9,Summary!$D$31&lt;&gt;"Included Margin"),0,1),0))</f>
        <v/>
      </c>
      <c r="AA1024" s="147" t="str">
        <f>IF($E1024="","",VLOOKUP($D1024,'Mortality Margins &amp; Grading'!$AB$5:$AF$125,5,0)*IF(Summary!$D$25="Included Margin",IF(AND($B1024&gt;Input!$C$9,Summary!$D$31&lt;&gt;"Included Margin"),0,1),0))</f>
        <v/>
      </c>
      <c r="AB1024" s="147" t="str">
        <f>IF($E1024="","",IF(AND($B1024&gt;Input!$C$9,Summary!$D$31&lt;&gt;"Included Margin"),1,IF(Summary!$D$25="Included Margin",VLOOKUP($B1024,'Mortality Margins &amp; Grading'!$AI$5:$AR$125,MATCH('Mortality Margins &amp; Grading'!$AQ$4,'Mortality Margins &amp; Grading'!$AI$4:$AR$4,0),0),1)))</f>
        <v/>
      </c>
      <c r="AC1024" s="154"/>
      <c r="AD1024" s="158" t="str">
        <f>IF(E1024="","",Input!$C$48*IF(Summary!$D$30="Included Margin",IF(AND($B1024&gt;Input!$C$9,Summary!$D$31&lt;&gt;"Included Margin"),0,1),0))</f>
        <v/>
      </c>
      <c r="AE1024" s="159" t="str">
        <f>IF(E1024="","",IF(Summary!$D$26="Included Margin",IF(AND($B1024&gt;Input!$C$9,Summary!$D$31&lt;&gt;"Included Margin"),1,1/$R1024),1))</f>
        <v/>
      </c>
      <c r="AF1024" s="160" t="str">
        <f>IF(E1024="","",IF(AND($B1024&gt;=Input!$C$9,$C1024=12,Summary!$D$31="Included Margin",$U1024&gt;0),1/U1024-1,IF($B1024&gt;=Input!$C$9,0,Input!$C$45*IF(Summary!$D$27="Included Margin",1,0))))</f>
        <v/>
      </c>
      <c r="AG1024" s="160" t="str">
        <f>IF(E1024="","",Input!$C$46*IF(Summary!$D$28="Included Margin",IF(AND($B1024&gt;Input!$C$9,Summary!$D$31&lt;&gt;"Included Margin"),0,1),0))</f>
        <v/>
      </c>
      <c r="AH1024" s="158" t="str">
        <f>IF(E1024="","",Input!$C$47*IF(Summary!$D$29="Included Margin",IF(AND($B1024&gt;Input!$C$9,Summary!$D$31&lt;&gt;"Included Margin"),0,1),0))</f>
        <v/>
      </c>
      <c r="AI1024" s="154"/>
      <c r="AJ1024" s="158" t="str">
        <f t="shared" si="647"/>
        <v/>
      </c>
      <c r="AK1024" s="155" t="str">
        <f t="shared" si="648"/>
        <v/>
      </c>
      <c r="AL1024" s="147" t="str">
        <f t="shared" si="649"/>
        <v/>
      </c>
      <c r="AM1024" s="147" t="str">
        <f t="shared" si="634"/>
        <v/>
      </c>
      <c r="AN1024" s="160" t="str">
        <f t="shared" si="650"/>
        <v/>
      </c>
      <c r="AO1024" s="161" t="str">
        <f t="shared" si="651"/>
        <v/>
      </c>
      <c r="AP1024" s="156" t="str">
        <f t="shared" si="635"/>
        <v/>
      </c>
      <c r="AQ1024" s="152"/>
      <c r="AR1024" s="162" t="str">
        <f t="shared" si="636"/>
        <v/>
      </c>
      <c r="AS1024" s="150" t="str">
        <f t="shared" si="652"/>
        <v/>
      </c>
      <c r="AT1024" s="163" t="str">
        <f t="shared" si="637"/>
        <v/>
      </c>
      <c r="AU1024" s="163" t="str">
        <f t="shared" si="638"/>
        <v/>
      </c>
      <c r="AV1024" s="163" t="str">
        <f t="shared" si="653"/>
        <v/>
      </c>
      <c r="AW1024" s="163" t="str">
        <f t="shared" si="639"/>
        <v/>
      </c>
      <c r="AX1024" s="163" t="str">
        <f t="shared" si="640"/>
        <v/>
      </c>
      <c r="AY1024" s="165" t="str">
        <f t="shared" si="654"/>
        <v/>
      </c>
      <c r="AZ1024" s="164" t="str">
        <f>IF($E1024="","",IF(OR(AND($D1024=Input!$C$6,$C1024=12),$AN1024=1),0,-AS1025+AT1025+AU1025-AV1025-AW1025-AX1025+AZ1025))</f>
        <v/>
      </c>
      <c r="BA1024" s="154" t="str">
        <f t="shared" si="641"/>
        <v/>
      </c>
      <c r="BC1024" s="147" t="str">
        <f t="shared" si="655"/>
        <v/>
      </c>
      <c r="BD1024" s="164" t="str">
        <f>IF(AND($C1023=12,$D1023=Input!$C$6),0,IF($E1024="","",AT1024+(AU1024+BD1025)/(1+$AK1024)*MIN((1-AM1024-AN1024),1)))</f>
        <v/>
      </c>
      <c r="BE1024" s="164" t="str">
        <f t="shared" si="670"/>
        <v/>
      </c>
      <c r="BF1024" s="164" t="str">
        <f t="shared" si="656"/>
        <v/>
      </c>
      <c r="BG1024" s="164" t="str">
        <f t="shared" si="642"/>
        <v/>
      </c>
      <c r="BH1024" s="152"/>
      <c r="BI1024" s="162" t="str">
        <f t="shared" si="664"/>
        <v/>
      </c>
      <c r="BJ1024" s="150" t="str">
        <f t="shared" si="665"/>
        <v/>
      </c>
      <c r="BK1024" s="163" t="str">
        <f t="shared" si="661"/>
        <v/>
      </c>
      <c r="BL1024" s="163" t="str">
        <f t="shared" si="666"/>
        <v/>
      </c>
      <c r="BM1024" s="163" t="str">
        <f t="shared" si="662"/>
        <v/>
      </c>
      <c r="BN1024" s="163" t="str">
        <f t="shared" si="667"/>
        <v/>
      </c>
      <c r="BO1024" s="163" t="str">
        <f t="shared" si="668"/>
        <v/>
      </c>
      <c r="BP1024" s="164" t="str">
        <f t="shared" si="663"/>
        <v/>
      </c>
      <c r="BQ1024" s="164" t="str">
        <f t="shared" si="657"/>
        <v/>
      </c>
      <c r="BR1024" s="154" t="str">
        <f t="shared" si="669"/>
        <v/>
      </c>
      <c r="BT1024" s="147" t="str">
        <f t="shared" si="643"/>
        <v/>
      </c>
      <c r="BU1024" s="164" t="str">
        <f>IF(AND($C1023=12,$D1023=Input!$C$6),0,IF($E1024="","",BK1024+(BL1024+BU1025)/(1+$AK1024)*MIN((1-T1024-U1024),1)))</f>
        <v/>
      </c>
      <c r="BV1024" s="164" t="str">
        <f t="shared" si="644"/>
        <v/>
      </c>
      <c r="BW1024" s="164" t="str">
        <f t="shared" si="645"/>
        <v/>
      </c>
      <c r="BX1024" s="164" t="str">
        <f t="shared" si="646"/>
        <v/>
      </c>
    </row>
    <row r="1025" spans="1:76" s="150" customFormat="1" x14ac:dyDescent="0.25">
      <c r="A1025" s="150" t="str">
        <f t="shared" si="658"/>
        <v/>
      </c>
      <c r="B1025" s="150" t="str">
        <f t="shared" si="659"/>
        <v/>
      </c>
      <c r="C1025" s="150" t="str">
        <f t="shared" si="660"/>
        <v/>
      </c>
      <c r="D1025" s="150" t="str">
        <f>IF(E1025="","",Input!$C$4+B1025-1)</f>
        <v/>
      </c>
      <c r="E1025" s="150" t="str">
        <f>IF(OR(AND(C1024=12,D1024=Input!$C$6),E1024=""),"",1)</f>
        <v/>
      </c>
      <c r="F1025" s="150" t="str">
        <f>IF(E1025="","",Input!$C$8+B1025-1)</f>
        <v/>
      </c>
      <c r="G1025" s="151" t="str">
        <f>IF(E1025="","",MAX(0,Input!$C$9-B1025))</f>
        <v/>
      </c>
      <c r="H1025" s="152" t="str">
        <f>IF(E1025="","",Input!$C$3)</f>
        <v/>
      </c>
      <c r="I1025" s="153" t="str">
        <f>IF(E1025="","",HLOOKUP($B1025,Input!$C$13:$BT$14,2))</f>
        <v/>
      </c>
      <c r="J1025" s="154"/>
      <c r="K1025" s="155" t="str">
        <f>IF($E1025="","",INDEX(Input!$C$16:$CP$16,1,$B1025))</f>
        <v/>
      </c>
      <c r="L1025" s="155" t="str">
        <f>IF($E1025="","",Input!$C$37)</f>
        <v/>
      </c>
      <c r="M1025" s="155" t="str">
        <f t="shared" si="671"/>
        <v/>
      </c>
      <c r="N1025" s="155" t="str">
        <f t="shared" si="672"/>
        <v/>
      </c>
      <c r="O1025" s="147" t="str">
        <f>IF($E1025="","",MIN(VLOOKUP(IF($B1025&lt;=Input!$C$7,$B1025,26),'Mortality Tables'!$A$41:$CW$67,IF($B1025&lt;=Input!$C$7+1,Input!$C$4+2,$D1025-Input!$C$7+2),0)*IF(B1025&gt;20,Input!$C$22,1)/1000,1))</f>
        <v/>
      </c>
      <c r="P1025" s="147" t="str">
        <f>IF($E1025="","",MIN(VLOOKUP(IF($B1025&lt;=Input!$C$7,$B1025,26),'Mortality Tables'!$A$12:$CW$37,IF($B1025&lt;=Input!$C$7+1,Input!$C$4+2,$D1025-Input!$C$7+2),0)*IF(B1025&gt;20,Input!$C$22,1)/1000,1))</f>
        <v/>
      </c>
      <c r="Q1025" s="155" t="str">
        <f>IF($E1025="","",Input!$C$21)</f>
        <v/>
      </c>
      <c r="R1025" s="159" t="str">
        <f>IF($E1025="","",(1-Q1025)^($F1025-Input!$C$20))</f>
        <v/>
      </c>
      <c r="S1025" s="147" t="str">
        <f t="shared" si="632"/>
        <v/>
      </c>
      <c r="T1025" s="147" t="str">
        <f t="shared" si="633"/>
        <v/>
      </c>
      <c r="U1025" s="160" t="str">
        <f>IF($E1025="","",IF($C1025=12,INDEX(Input!$C$15:$CP$15,1,$B1025),0))</f>
        <v/>
      </c>
      <c r="V1025" s="150" t="str">
        <f>IF(E1025="","",IF(C1025=1,IF($B1025=1,Input!$C$33,Input!$C$34),0))</f>
        <v/>
      </c>
      <c r="W1025" s="156" t="str">
        <f>IF($E1025="","",Input!$C$35)</f>
        <v/>
      </c>
      <c r="X1025" s="156" t="str">
        <f t="shared" si="673"/>
        <v/>
      </c>
      <c r="Y1025" s="154"/>
      <c r="Z1025" s="147" t="str">
        <f>IF($E1025="","",VLOOKUP($D1025,'Mortality Margins &amp; Grading'!$AB$5:$AF$125,3,0)*IF(Summary!$D$25="Included Margin",IF(AND($B1025&gt;Input!$C$9,Summary!$D$31&lt;&gt;"Included Margin"),0,1),0))</f>
        <v/>
      </c>
      <c r="AA1025" s="147" t="str">
        <f>IF($E1025="","",VLOOKUP($D1025,'Mortality Margins &amp; Grading'!$AB$5:$AF$125,5,0)*IF(Summary!$D$25="Included Margin",IF(AND($B1025&gt;Input!$C$9,Summary!$D$31&lt;&gt;"Included Margin"),0,1),0))</f>
        <v/>
      </c>
      <c r="AB1025" s="147" t="str">
        <f>IF($E1025="","",IF(AND($B1025&gt;Input!$C$9,Summary!$D$31&lt;&gt;"Included Margin"),1,IF(Summary!$D$25="Included Margin",VLOOKUP($B1025,'Mortality Margins &amp; Grading'!$AI$5:$AR$125,MATCH('Mortality Margins &amp; Grading'!$AQ$4,'Mortality Margins &amp; Grading'!$AI$4:$AR$4,0),0),1)))</f>
        <v/>
      </c>
      <c r="AC1025" s="154"/>
      <c r="AD1025" s="158" t="str">
        <f>IF(E1025="","",Input!$C$48*IF(Summary!$D$30="Included Margin",IF(AND($B1025&gt;Input!$C$9,Summary!$D$31&lt;&gt;"Included Margin"),0,1),0))</f>
        <v/>
      </c>
      <c r="AE1025" s="159" t="str">
        <f>IF(E1025="","",IF(Summary!$D$26="Included Margin",IF(AND($B1025&gt;Input!$C$9,Summary!$D$31&lt;&gt;"Included Margin"),1,1/$R1025),1))</f>
        <v/>
      </c>
      <c r="AF1025" s="160" t="str">
        <f>IF(E1025="","",IF(AND($B1025&gt;=Input!$C$9,$C1025=12,Summary!$D$31="Included Margin",$U1025&gt;0),1/U1025-1,IF($B1025&gt;=Input!$C$9,0,Input!$C$45*IF(Summary!$D$27="Included Margin",1,0))))</f>
        <v/>
      </c>
      <c r="AG1025" s="160" t="str">
        <f>IF(E1025="","",Input!$C$46*IF(Summary!$D$28="Included Margin",IF(AND($B1025&gt;Input!$C$9,Summary!$D$31&lt;&gt;"Included Margin"),0,1),0))</f>
        <v/>
      </c>
      <c r="AH1025" s="158" t="str">
        <f>IF(E1025="","",Input!$C$47*IF(Summary!$D$29="Included Margin",IF(AND($B1025&gt;Input!$C$9,Summary!$D$31&lt;&gt;"Included Margin"),0,1),0))</f>
        <v/>
      </c>
      <c r="AI1025" s="154"/>
      <c r="AJ1025" s="158" t="str">
        <f t="shared" si="647"/>
        <v/>
      </c>
      <c r="AK1025" s="155" t="str">
        <f t="shared" si="648"/>
        <v/>
      </c>
      <c r="AL1025" s="147" t="str">
        <f t="shared" si="649"/>
        <v/>
      </c>
      <c r="AM1025" s="147" t="str">
        <f t="shared" si="634"/>
        <v/>
      </c>
      <c r="AN1025" s="160" t="str">
        <f t="shared" si="650"/>
        <v/>
      </c>
      <c r="AO1025" s="161" t="str">
        <f t="shared" si="651"/>
        <v/>
      </c>
      <c r="AP1025" s="156" t="str">
        <f t="shared" si="635"/>
        <v/>
      </c>
      <c r="AQ1025" s="152"/>
      <c r="AR1025" s="162" t="str">
        <f t="shared" si="636"/>
        <v/>
      </c>
      <c r="AS1025" s="150" t="str">
        <f t="shared" si="652"/>
        <v/>
      </c>
      <c r="AT1025" s="163" t="str">
        <f t="shared" si="637"/>
        <v/>
      </c>
      <c r="AU1025" s="163" t="str">
        <f t="shared" si="638"/>
        <v/>
      </c>
      <c r="AV1025" s="163" t="str">
        <f t="shared" si="653"/>
        <v/>
      </c>
      <c r="AW1025" s="163" t="str">
        <f t="shared" si="639"/>
        <v/>
      </c>
      <c r="AX1025" s="163" t="str">
        <f t="shared" si="640"/>
        <v/>
      </c>
      <c r="AY1025" s="164" t="str">
        <f t="shared" si="654"/>
        <v/>
      </c>
      <c r="AZ1025" s="164" t="str">
        <f>IF($E1025="","",IF(OR(AND($D1025=Input!$C$6,$C1025=12),$AN1025=1),0,-AS1026+AT1026+AU1026-AV1026-AW1026-AX1026+AZ1026))</f>
        <v/>
      </c>
      <c r="BA1025" s="154" t="str">
        <f t="shared" si="641"/>
        <v/>
      </c>
      <c r="BC1025" s="147" t="str">
        <f t="shared" si="655"/>
        <v/>
      </c>
      <c r="BD1025" s="164" t="str">
        <f>IF(AND($C1024=12,$D1024=Input!$C$6),0,IF($E1025="","",AT1025+(AU1025+BD1026)/(1+$AK1025)*MIN((1-AM1025-AN1025),1)))</f>
        <v/>
      </c>
      <c r="BE1025" s="164" t="str">
        <f t="shared" si="670"/>
        <v/>
      </c>
      <c r="BF1025" s="164" t="str">
        <f t="shared" si="656"/>
        <v/>
      </c>
      <c r="BG1025" s="164" t="str">
        <f t="shared" si="642"/>
        <v/>
      </c>
      <c r="BH1025" s="152"/>
      <c r="BI1025" s="162" t="str">
        <f t="shared" si="664"/>
        <v/>
      </c>
      <c r="BJ1025" s="150" t="str">
        <f t="shared" si="665"/>
        <v/>
      </c>
      <c r="BK1025" s="163" t="str">
        <f t="shared" si="661"/>
        <v/>
      </c>
      <c r="BL1025" s="163" t="str">
        <f t="shared" si="666"/>
        <v/>
      </c>
      <c r="BM1025" s="163" t="str">
        <f t="shared" si="662"/>
        <v/>
      </c>
      <c r="BN1025" s="163" t="str">
        <f t="shared" si="667"/>
        <v/>
      </c>
      <c r="BO1025" s="163" t="str">
        <f t="shared" si="668"/>
        <v/>
      </c>
      <c r="BP1025" s="164" t="str">
        <f t="shared" si="663"/>
        <v/>
      </c>
      <c r="BQ1025" s="164" t="str">
        <f t="shared" si="657"/>
        <v/>
      </c>
      <c r="BR1025" s="154" t="str">
        <f t="shared" si="669"/>
        <v/>
      </c>
      <c r="BT1025" s="147" t="str">
        <f t="shared" si="643"/>
        <v/>
      </c>
      <c r="BU1025" s="164" t="str">
        <f>IF(AND($C1024=12,$D1024=Input!$C$6),0,IF($E1025="","",BK1025+(BL1025+BU1026)/(1+$AK1025)*MIN((1-T1025-U1025),1)))</f>
        <v/>
      </c>
      <c r="BV1025" s="164" t="str">
        <f t="shared" si="644"/>
        <v/>
      </c>
      <c r="BW1025" s="164" t="str">
        <f t="shared" si="645"/>
        <v/>
      </c>
      <c r="BX1025" s="164" t="str">
        <f t="shared" si="646"/>
        <v/>
      </c>
    </row>
    <row r="1026" spans="1:76" s="150" customFormat="1" x14ac:dyDescent="0.25">
      <c r="A1026" s="150" t="str">
        <f t="shared" si="658"/>
        <v/>
      </c>
      <c r="B1026" s="150" t="str">
        <f t="shared" si="659"/>
        <v/>
      </c>
      <c r="C1026" s="150" t="str">
        <f t="shared" si="660"/>
        <v/>
      </c>
      <c r="D1026" s="150" t="str">
        <f>IF(E1026="","",Input!$C$4+B1026-1)</f>
        <v/>
      </c>
      <c r="E1026" s="150" t="str">
        <f>IF(OR(AND(C1025=12,D1025=Input!$C$6),E1025=""),"",1)</f>
        <v/>
      </c>
      <c r="F1026" s="150" t="str">
        <f>IF(E1026="","",Input!$C$8+B1026-1)</f>
        <v/>
      </c>
      <c r="G1026" s="151" t="str">
        <f>IF(E1026="","",MAX(0,Input!$C$9-B1026))</f>
        <v/>
      </c>
      <c r="H1026" s="152" t="str">
        <f>IF(E1026="","",Input!$C$3)</f>
        <v/>
      </c>
      <c r="I1026" s="153" t="str">
        <f>IF(E1026="","",HLOOKUP($B1026,Input!$C$13:$BT$14,2))</f>
        <v/>
      </c>
      <c r="J1026" s="154"/>
      <c r="K1026" s="155" t="str">
        <f>IF($E1026="","",INDEX(Input!$C$16:$CP$16,1,$B1026))</f>
        <v/>
      </c>
      <c r="L1026" s="155" t="str">
        <f>IF($E1026="","",Input!$C$37)</f>
        <v/>
      </c>
      <c r="M1026" s="155" t="str">
        <f t="shared" si="671"/>
        <v/>
      </c>
      <c r="N1026" s="155" t="str">
        <f t="shared" si="672"/>
        <v/>
      </c>
      <c r="O1026" s="147" t="str">
        <f>IF($E1026="","",MIN(VLOOKUP(IF($B1026&lt;=Input!$C$7,$B1026,26),'Mortality Tables'!$A$41:$CW$67,IF($B1026&lt;=Input!$C$7+1,Input!$C$4+2,$D1026-Input!$C$7+2),0)*IF(B1026&gt;20,Input!$C$22,1)/1000,1))</f>
        <v/>
      </c>
      <c r="P1026" s="147" t="str">
        <f>IF($E1026="","",MIN(VLOOKUP(IF($B1026&lt;=Input!$C$7,$B1026,26),'Mortality Tables'!$A$12:$CW$37,IF($B1026&lt;=Input!$C$7+1,Input!$C$4+2,$D1026-Input!$C$7+2),0)*IF(B1026&gt;20,Input!$C$22,1)/1000,1))</f>
        <v/>
      </c>
      <c r="Q1026" s="155" t="str">
        <f>IF($E1026="","",Input!$C$21)</f>
        <v/>
      </c>
      <c r="R1026" s="159" t="str">
        <f>IF($E1026="","",(1-Q1026)^($F1026-Input!$C$20))</f>
        <v/>
      </c>
      <c r="S1026" s="147" t="str">
        <f t="shared" si="632"/>
        <v/>
      </c>
      <c r="T1026" s="147" t="str">
        <f t="shared" si="633"/>
        <v/>
      </c>
      <c r="U1026" s="160" t="str">
        <f>IF($E1026="","",IF($C1026=12,INDEX(Input!$C$15:$CP$15,1,$B1026),0))</f>
        <v/>
      </c>
      <c r="V1026" s="150" t="str">
        <f>IF(E1026="","",IF(C1026=1,IF($B1026=1,Input!$C$33,Input!$C$34),0))</f>
        <v/>
      </c>
      <c r="W1026" s="156" t="str">
        <f>IF($E1026="","",Input!$C$35)</f>
        <v/>
      </c>
      <c r="X1026" s="156" t="str">
        <f t="shared" si="673"/>
        <v/>
      </c>
      <c r="Y1026" s="154"/>
      <c r="Z1026" s="147" t="str">
        <f>IF($E1026="","",VLOOKUP($D1026,'Mortality Margins &amp; Grading'!$AB$5:$AF$125,3,0)*IF(Summary!$D$25="Included Margin",IF(AND($B1026&gt;Input!$C$9,Summary!$D$31&lt;&gt;"Included Margin"),0,1),0))</f>
        <v/>
      </c>
      <c r="AA1026" s="147" t="str">
        <f>IF($E1026="","",VLOOKUP($D1026,'Mortality Margins &amp; Grading'!$AB$5:$AF$125,5,0)*IF(Summary!$D$25="Included Margin",IF(AND($B1026&gt;Input!$C$9,Summary!$D$31&lt;&gt;"Included Margin"),0,1),0))</f>
        <v/>
      </c>
      <c r="AB1026" s="147" t="str">
        <f>IF($E1026="","",IF(AND($B1026&gt;Input!$C$9,Summary!$D$31&lt;&gt;"Included Margin"),1,IF(Summary!$D$25="Included Margin",VLOOKUP($B1026,'Mortality Margins &amp; Grading'!$AI$5:$AR$125,MATCH('Mortality Margins &amp; Grading'!$AQ$4,'Mortality Margins &amp; Grading'!$AI$4:$AR$4,0),0),1)))</f>
        <v/>
      </c>
      <c r="AC1026" s="154"/>
      <c r="AD1026" s="158" t="str">
        <f>IF(E1026="","",Input!$C$48*IF(Summary!$D$30="Included Margin",IF(AND($B1026&gt;Input!$C$9,Summary!$D$31&lt;&gt;"Included Margin"),0,1),0))</f>
        <v/>
      </c>
      <c r="AE1026" s="159" t="str">
        <f>IF(E1026="","",IF(Summary!$D$26="Included Margin",IF(AND($B1026&gt;Input!$C$9,Summary!$D$31&lt;&gt;"Included Margin"),1,1/$R1026),1))</f>
        <v/>
      </c>
      <c r="AF1026" s="160" t="str">
        <f>IF(E1026="","",IF(AND($B1026&gt;=Input!$C$9,$C1026=12,Summary!$D$31="Included Margin",$U1026&gt;0),1/U1026-1,IF($B1026&gt;=Input!$C$9,0,Input!$C$45*IF(Summary!$D$27="Included Margin",1,0))))</f>
        <v/>
      </c>
      <c r="AG1026" s="160" t="str">
        <f>IF(E1026="","",Input!$C$46*IF(Summary!$D$28="Included Margin",IF(AND($B1026&gt;Input!$C$9,Summary!$D$31&lt;&gt;"Included Margin"),0,1),0))</f>
        <v/>
      </c>
      <c r="AH1026" s="158" t="str">
        <f>IF(E1026="","",Input!$C$47*IF(Summary!$D$29="Included Margin",IF(AND($B1026&gt;Input!$C$9,Summary!$D$31&lt;&gt;"Included Margin"),0,1),0))</f>
        <v/>
      </c>
      <c r="AI1026" s="154"/>
      <c r="AJ1026" s="158" t="str">
        <f t="shared" si="647"/>
        <v/>
      </c>
      <c r="AK1026" s="155" t="str">
        <f t="shared" si="648"/>
        <v/>
      </c>
      <c r="AL1026" s="147" t="str">
        <f t="shared" si="649"/>
        <v/>
      </c>
      <c r="AM1026" s="147" t="str">
        <f t="shared" si="634"/>
        <v/>
      </c>
      <c r="AN1026" s="160" t="str">
        <f t="shared" si="650"/>
        <v/>
      </c>
      <c r="AO1026" s="161" t="str">
        <f t="shared" si="651"/>
        <v/>
      </c>
      <c r="AP1026" s="156" t="str">
        <f t="shared" si="635"/>
        <v/>
      </c>
      <c r="AQ1026" s="152"/>
      <c r="AR1026" s="162" t="str">
        <f t="shared" si="636"/>
        <v/>
      </c>
      <c r="AS1026" s="150" t="str">
        <f t="shared" si="652"/>
        <v/>
      </c>
      <c r="AT1026" s="163" t="str">
        <f t="shared" si="637"/>
        <v/>
      </c>
      <c r="AU1026" s="163" t="str">
        <f t="shared" si="638"/>
        <v/>
      </c>
      <c r="AV1026" s="163" t="str">
        <f t="shared" si="653"/>
        <v/>
      </c>
      <c r="AW1026" s="163" t="str">
        <f t="shared" si="639"/>
        <v/>
      </c>
      <c r="AX1026" s="163" t="str">
        <f t="shared" si="640"/>
        <v/>
      </c>
      <c r="AY1026" s="165" t="str">
        <f t="shared" si="654"/>
        <v/>
      </c>
      <c r="AZ1026" s="164" t="str">
        <f>IF($E1026="","",IF(OR(AND($D1026=Input!$C$6,$C1026=12),$AN1026=1),0,-AS1027+AT1027+AU1027-AV1027-AW1027-AX1027+AZ1027))</f>
        <v/>
      </c>
      <c r="BA1026" s="154" t="str">
        <f t="shared" si="641"/>
        <v/>
      </c>
      <c r="BC1026" s="147" t="str">
        <f t="shared" si="655"/>
        <v/>
      </c>
      <c r="BD1026" s="164" t="str">
        <f>IF(AND($C1025=12,$D1025=Input!$C$6),0,IF($E1026="","",AT1026+(AU1026+BD1027)/(1+$AK1026)*MIN((1-AM1026-AN1026),1)))</f>
        <v/>
      </c>
      <c r="BE1026" s="164" t="str">
        <f t="shared" si="670"/>
        <v/>
      </c>
      <c r="BF1026" s="164" t="str">
        <f t="shared" si="656"/>
        <v/>
      </c>
      <c r="BG1026" s="164" t="str">
        <f t="shared" si="642"/>
        <v/>
      </c>
      <c r="BH1026" s="152"/>
      <c r="BI1026" s="162" t="str">
        <f t="shared" si="664"/>
        <v/>
      </c>
      <c r="BJ1026" s="150" t="str">
        <f t="shared" si="665"/>
        <v/>
      </c>
      <c r="BK1026" s="163" t="str">
        <f t="shared" si="661"/>
        <v/>
      </c>
      <c r="BL1026" s="163" t="str">
        <f t="shared" si="666"/>
        <v/>
      </c>
      <c r="BM1026" s="163" t="str">
        <f t="shared" si="662"/>
        <v/>
      </c>
      <c r="BN1026" s="163" t="str">
        <f t="shared" si="667"/>
        <v/>
      </c>
      <c r="BO1026" s="163" t="str">
        <f t="shared" si="668"/>
        <v/>
      </c>
      <c r="BP1026" s="164" t="str">
        <f t="shared" si="663"/>
        <v/>
      </c>
      <c r="BQ1026" s="164" t="str">
        <f t="shared" si="657"/>
        <v/>
      </c>
      <c r="BR1026" s="154" t="str">
        <f t="shared" si="669"/>
        <v/>
      </c>
      <c r="BT1026" s="147" t="str">
        <f t="shared" si="643"/>
        <v/>
      </c>
      <c r="BU1026" s="164" t="str">
        <f>IF(AND($C1025=12,$D1025=Input!$C$6),0,IF($E1026="","",BK1026+(BL1026+BU1027)/(1+$AK1026)*MIN((1-T1026-U1026),1)))</f>
        <v/>
      </c>
      <c r="BV1026" s="164" t="str">
        <f t="shared" si="644"/>
        <v/>
      </c>
      <c r="BW1026" s="164" t="str">
        <f t="shared" si="645"/>
        <v/>
      </c>
      <c r="BX1026" s="164" t="str">
        <f t="shared" si="646"/>
        <v/>
      </c>
    </row>
    <row r="1027" spans="1:76" s="150" customFormat="1" x14ac:dyDescent="0.25">
      <c r="A1027" s="150" t="str">
        <f t="shared" si="658"/>
        <v/>
      </c>
      <c r="B1027" s="150" t="str">
        <f t="shared" si="659"/>
        <v/>
      </c>
      <c r="C1027" s="150" t="str">
        <f t="shared" si="660"/>
        <v/>
      </c>
      <c r="D1027" s="150" t="str">
        <f>IF(E1027="","",Input!$C$4+B1027-1)</f>
        <v/>
      </c>
      <c r="E1027" s="150" t="str">
        <f>IF(OR(AND(C1026=12,D1026=Input!$C$6),E1026=""),"",1)</f>
        <v/>
      </c>
      <c r="F1027" s="150" t="str">
        <f>IF(E1027="","",Input!$C$8+B1027-1)</f>
        <v/>
      </c>
      <c r="G1027" s="151" t="str">
        <f>IF(E1027="","",MAX(0,Input!$C$9-B1027))</f>
        <v/>
      </c>
      <c r="H1027" s="152" t="str">
        <f>IF(E1027="","",Input!$C$3)</f>
        <v/>
      </c>
      <c r="I1027" s="153" t="str">
        <f>IF(E1027="","",HLOOKUP($B1027,Input!$C$13:$BT$14,2))</f>
        <v/>
      </c>
      <c r="J1027" s="154"/>
      <c r="K1027" s="155" t="str">
        <f>IF($E1027="","",INDEX(Input!$C$16:$CP$16,1,$B1027))</f>
        <v/>
      </c>
      <c r="L1027" s="155" t="str">
        <f>IF($E1027="","",Input!$C$37)</f>
        <v/>
      </c>
      <c r="M1027" s="155" t="str">
        <f t="shared" si="671"/>
        <v/>
      </c>
      <c r="N1027" s="155" t="str">
        <f t="shared" si="672"/>
        <v/>
      </c>
      <c r="O1027" s="147" t="str">
        <f>IF($E1027="","",MIN(VLOOKUP(IF($B1027&lt;=Input!$C$7,$B1027,26),'Mortality Tables'!$A$41:$CW$67,IF($B1027&lt;=Input!$C$7+1,Input!$C$4+2,$D1027-Input!$C$7+2),0)*IF(B1027&gt;20,Input!$C$22,1)/1000,1))</f>
        <v/>
      </c>
      <c r="P1027" s="147" t="str">
        <f>IF($E1027="","",MIN(VLOOKUP(IF($B1027&lt;=Input!$C$7,$B1027,26),'Mortality Tables'!$A$12:$CW$37,IF($B1027&lt;=Input!$C$7+1,Input!$C$4+2,$D1027-Input!$C$7+2),0)*IF(B1027&gt;20,Input!$C$22,1)/1000,1))</f>
        <v/>
      </c>
      <c r="Q1027" s="155" t="str">
        <f>IF($E1027="","",Input!$C$21)</f>
        <v/>
      </c>
      <c r="R1027" s="159" t="str">
        <f>IF($E1027="","",(1-Q1027)^($F1027-Input!$C$20))</f>
        <v/>
      </c>
      <c r="S1027" s="147" t="str">
        <f t="shared" si="632"/>
        <v/>
      </c>
      <c r="T1027" s="147" t="str">
        <f t="shared" si="633"/>
        <v/>
      </c>
      <c r="U1027" s="160" t="str">
        <f>IF($E1027="","",IF($C1027=12,INDEX(Input!$C$15:$CP$15,1,$B1027),0))</f>
        <v/>
      </c>
      <c r="V1027" s="150" t="str">
        <f>IF(E1027="","",IF(C1027=1,IF($B1027=1,Input!$C$33,Input!$C$34),0))</f>
        <v/>
      </c>
      <c r="W1027" s="156" t="str">
        <f>IF($E1027="","",Input!$C$35)</f>
        <v/>
      </c>
      <c r="X1027" s="156" t="str">
        <f t="shared" si="673"/>
        <v/>
      </c>
      <c r="Y1027" s="154"/>
      <c r="Z1027" s="147" t="str">
        <f>IF($E1027="","",VLOOKUP($D1027,'Mortality Margins &amp; Grading'!$AB$5:$AF$125,3,0)*IF(Summary!$D$25="Included Margin",IF(AND($B1027&gt;Input!$C$9,Summary!$D$31&lt;&gt;"Included Margin"),0,1),0))</f>
        <v/>
      </c>
      <c r="AA1027" s="147" t="str">
        <f>IF($E1027="","",VLOOKUP($D1027,'Mortality Margins &amp; Grading'!$AB$5:$AF$125,5,0)*IF(Summary!$D$25="Included Margin",IF(AND($B1027&gt;Input!$C$9,Summary!$D$31&lt;&gt;"Included Margin"),0,1),0))</f>
        <v/>
      </c>
      <c r="AB1027" s="147" t="str">
        <f>IF($E1027="","",IF(AND($B1027&gt;Input!$C$9,Summary!$D$31&lt;&gt;"Included Margin"),1,IF(Summary!$D$25="Included Margin",VLOOKUP($B1027,'Mortality Margins &amp; Grading'!$AI$5:$AR$125,MATCH('Mortality Margins &amp; Grading'!$AQ$4,'Mortality Margins &amp; Grading'!$AI$4:$AR$4,0),0),1)))</f>
        <v/>
      </c>
      <c r="AC1027" s="154"/>
      <c r="AD1027" s="158" t="str">
        <f>IF(E1027="","",Input!$C$48*IF(Summary!$D$30="Included Margin",IF(AND($B1027&gt;Input!$C$9,Summary!$D$31&lt;&gt;"Included Margin"),0,1),0))</f>
        <v/>
      </c>
      <c r="AE1027" s="159" t="str">
        <f>IF(E1027="","",IF(Summary!$D$26="Included Margin",IF(AND($B1027&gt;Input!$C$9,Summary!$D$31&lt;&gt;"Included Margin"),1,1/$R1027),1))</f>
        <v/>
      </c>
      <c r="AF1027" s="160" t="str">
        <f>IF(E1027="","",IF(AND($B1027&gt;=Input!$C$9,$C1027=12,Summary!$D$31="Included Margin",$U1027&gt;0),1/U1027-1,IF($B1027&gt;=Input!$C$9,0,Input!$C$45*IF(Summary!$D$27="Included Margin",1,0))))</f>
        <v/>
      </c>
      <c r="AG1027" s="160" t="str">
        <f>IF(E1027="","",Input!$C$46*IF(Summary!$D$28="Included Margin",IF(AND($B1027&gt;Input!$C$9,Summary!$D$31&lt;&gt;"Included Margin"),0,1),0))</f>
        <v/>
      </c>
      <c r="AH1027" s="158" t="str">
        <f>IF(E1027="","",Input!$C$47*IF(Summary!$D$29="Included Margin",IF(AND($B1027&gt;Input!$C$9,Summary!$D$31&lt;&gt;"Included Margin"),0,1),0))</f>
        <v/>
      </c>
      <c r="AI1027" s="154"/>
      <c r="AJ1027" s="158" t="str">
        <f t="shared" si="647"/>
        <v/>
      </c>
      <c r="AK1027" s="155" t="str">
        <f t="shared" si="648"/>
        <v/>
      </c>
      <c r="AL1027" s="147" t="str">
        <f t="shared" si="649"/>
        <v/>
      </c>
      <c r="AM1027" s="147" t="str">
        <f t="shared" si="634"/>
        <v/>
      </c>
      <c r="AN1027" s="160" t="str">
        <f t="shared" si="650"/>
        <v/>
      </c>
      <c r="AO1027" s="161" t="str">
        <f t="shared" si="651"/>
        <v/>
      </c>
      <c r="AP1027" s="156" t="str">
        <f t="shared" si="635"/>
        <v/>
      </c>
      <c r="AQ1027" s="152"/>
      <c r="AR1027" s="162" t="str">
        <f t="shared" si="636"/>
        <v/>
      </c>
      <c r="AS1027" s="150" t="str">
        <f t="shared" si="652"/>
        <v/>
      </c>
      <c r="AT1027" s="163" t="str">
        <f t="shared" si="637"/>
        <v/>
      </c>
      <c r="AU1027" s="163" t="str">
        <f t="shared" si="638"/>
        <v/>
      </c>
      <c r="AV1027" s="163" t="str">
        <f t="shared" si="653"/>
        <v/>
      </c>
      <c r="AW1027" s="163" t="str">
        <f t="shared" si="639"/>
        <v/>
      </c>
      <c r="AX1027" s="163" t="str">
        <f t="shared" si="640"/>
        <v/>
      </c>
      <c r="AY1027" s="164" t="str">
        <f t="shared" si="654"/>
        <v/>
      </c>
      <c r="AZ1027" s="164" t="str">
        <f>IF($E1027="","",IF(OR(AND($D1027=Input!$C$6,$C1027=12),$AN1027=1),0,-AS1028+AT1028+AU1028-AV1028-AW1028-AX1028+AZ1028))</f>
        <v/>
      </c>
      <c r="BA1027" s="154" t="str">
        <f t="shared" si="641"/>
        <v/>
      </c>
      <c r="BC1027" s="147" t="str">
        <f t="shared" si="655"/>
        <v/>
      </c>
      <c r="BD1027" s="164" t="str">
        <f>IF(AND($C1026=12,$D1026=Input!$C$6),0,IF($E1027="","",AT1027+(AU1027+BD1028)/(1+$AK1027)*MIN((1-AM1027-AN1027),1)))</f>
        <v/>
      </c>
      <c r="BE1027" s="164" t="str">
        <f t="shared" si="670"/>
        <v/>
      </c>
      <c r="BF1027" s="164" t="str">
        <f t="shared" si="656"/>
        <v/>
      </c>
      <c r="BG1027" s="164" t="str">
        <f t="shared" si="642"/>
        <v/>
      </c>
      <c r="BH1027" s="152"/>
      <c r="BI1027" s="162" t="str">
        <f t="shared" si="664"/>
        <v/>
      </c>
      <c r="BJ1027" s="150" t="str">
        <f t="shared" si="665"/>
        <v/>
      </c>
      <c r="BK1027" s="163" t="str">
        <f t="shared" si="661"/>
        <v/>
      </c>
      <c r="BL1027" s="163" t="str">
        <f t="shared" si="666"/>
        <v/>
      </c>
      <c r="BM1027" s="163" t="str">
        <f t="shared" si="662"/>
        <v/>
      </c>
      <c r="BN1027" s="163" t="str">
        <f t="shared" si="667"/>
        <v/>
      </c>
      <c r="BO1027" s="163" t="str">
        <f t="shared" si="668"/>
        <v/>
      </c>
      <c r="BP1027" s="164" t="str">
        <f t="shared" si="663"/>
        <v/>
      </c>
      <c r="BQ1027" s="164" t="str">
        <f t="shared" si="657"/>
        <v/>
      </c>
      <c r="BR1027" s="154" t="str">
        <f t="shared" si="669"/>
        <v/>
      </c>
      <c r="BT1027" s="147" t="str">
        <f t="shared" si="643"/>
        <v/>
      </c>
      <c r="BU1027" s="164" t="str">
        <f>IF(AND($C1026=12,$D1026=Input!$C$6),0,IF($E1027="","",BK1027+(BL1027+BU1028)/(1+$AK1027)*MIN((1-T1027-U1027),1)))</f>
        <v/>
      </c>
      <c r="BV1027" s="164" t="str">
        <f t="shared" si="644"/>
        <v/>
      </c>
      <c r="BW1027" s="164" t="str">
        <f t="shared" si="645"/>
        <v/>
      </c>
      <c r="BX1027" s="164" t="str">
        <f t="shared" si="646"/>
        <v/>
      </c>
    </row>
    <row r="1028" spans="1:76" s="150" customFormat="1" x14ac:dyDescent="0.25">
      <c r="A1028" s="150" t="str">
        <f t="shared" si="658"/>
        <v/>
      </c>
      <c r="B1028" s="150" t="str">
        <f t="shared" si="659"/>
        <v/>
      </c>
      <c r="C1028" s="150" t="str">
        <f t="shared" si="660"/>
        <v/>
      </c>
      <c r="D1028" s="150" t="str">
        <f>IF(E1028="","",Input!$C$4+B1028-1)</f>
        <v/>
      </c>
      <c r="E1028" s="150" t="str">
        <f>IF(OR(AND(C1027=12,D1027=Input!$C$6),E1027=""),"",1)</f>
        <v/>
      </c>
      <c r="F1028" s="150" t="str">
        <f>IF(E1028="","",Input!$C$8+B1028-1)</f>
        <v/>
      </c>
      <c r="G1028" s="151" t="str">
        <f>IF(E1028="","",MAX(0,Input!$C$9-B1028))</f>
        <v/>
      </c>
      <c r="H1028" s="152" t="str">
        <f>IF(E1028="","",Input!$C$3)</f>
        <v/>
      </c>
      <c r="I1028" s="153" t="str">
        <f>IF(E1028="","",HLOOKUP($B1028,Input!$C$13:$BT$14,2))</f>
        <v/>
      </c>
      <c r="J1028" s="154"/>
      <c r="K1028" s="155" t="str">
        <f>IF($E1028="","",INDEX(Input!$C$16:$CP$16,1,$B1028))</f>
        <v/>
      </c>
      <c r="L1028" s="155" t="str">
        <f>IF($E1028="","",Input!$C$37)</f>
        <v/>
      </c>
      <c r="M1028" s="155" t="str">
        <f t="shared" si="671"/>
        <v/>
      </c>
      <c r="N1028" s="155" t="str">
        <f t="shared" si="672"/>
        <v/>
      </c>
      <c r="O1028" s="147" t="str">
        <f>IF($E1028="","",MIN(VLOOKUP(IF($B1028&lt;=Input!$C$7,$B1028,26),'Mortality Tables'!$A$41:$CW$67,IF($B1028&lt;=Input!$C$7+1,Input!$C$4+2,$D1028-Input!$C$7+2),0)*IF(B1028&gt;20,Input!$C$22,1)/1000,1))</f>
        <v/>
      </c>
      <c r="P1028" s="147" t="str">
        <f>IF($E1028="","",MIN(VLOOKUP(IF($B1028&lt;=Input!$C$7,$B1028,26),'Mortality Tables'!$A$12:$CW$37,IF($B1028&lt;=Input!$C$7+1,Input!$C$4+2,$D1028-Input!$C$7+2),0)*IF(B1028&gt;20,Input!$C$22,1)/1000,1))</f>
        <v/>
      </c>
      <c r="Q1028" s="155" t="str">
        <f>IF($E1028="","",Input!$C$21)</f>
        <v/>
      </c>
      <c r="R1028" s="159" t="str">
        <f>IF($E1028="","",(1-Q1028)^($F1028-Input!$C$20))</f>
        <v/>
      </c>
      <c r="S1028" s="147" t="str">
        <f t="shared" si="632"/>
        <v/>
      </c>
      <c r="T1028" s="147" t="str">
        <f t="shared" si="633"/>
        <v/>
      </c>
      <c r="U1028" s="160" t="str">
        <f>IF($E1028="","",IF($C1028=12,INDEX(Input!$C$15:$CP$15,1,$B1028),0))</f>
        <v/>
      </c>
      <c r="V1028" s="150" t="str">
        <f>IF(E1028="","",IF(C1028=1,IF($B1028=1,Input!$C$33,Input!$C$34),0))</f>
        <v/>
      </c>
      <c r="W1028" s="156" t="str">
        <f>IF($E1028="","",Input!$C$35)</f>
        <v/>
      </c>
      <c r="X1028" s="156" t="str">
        <f t="shared" si="673"/>
        <v/>
      </c>
      <c r="Y1028" s="154"/>
      <c r="Z1028" s="147" t="str">
        <f>IF($E1028="","",VLOOKUP($D1028,'Mortality Margins &amp; Grading'!$AB$5:$AF$125,3,0)*IF(Summary!$D$25="Included Margin",IF(AND($B1028&gt;Input!$C$9,Summary!$D$31&lt;&gt;"Included Margin"),0,1),0))</f>
        <v/>
      </c>
      <c r="AA1028" s="147" t="str">
        <f>IF($E1028="","",VLOOKUP($D1028,'Mortality Margins &amp; Grading'!$AB$5:$AF$125,5,0)*IF(Summary!$D$25="Included Margin",IF(AND($B1028&gt;Input!$C$9,Summary!$D$31&lt;&gt;"Included Margin"),0,1),0))</f>
        <v/>
      </c>
      <c r="AB1028" s="147" t="str">
        <f>IF($E1028="","",IF(AND($B1028&gt;Input!$C$9,Summary!$D$31&lt;&gt;"Included Margin"),1,IF(Summary!$D$25="Included Margin",VLOOKUP($B1028,'Mortality Margins &amp; Grading'!$AI$5:$AR$125,MATCH('Mortality Margins &amp; Grading'!$AQ$4,'Mortality Margins &amp; Grading'!$AI$4:$AR$4,0),0),1)))</f>
        <v/>
      </c>
      <c r="AC1028" s="154"/>
      <c r="AD1028" s="158" t="str">
        <f>IF(E1028="","",Input!$C$48*IF(Summary!$D$30="Included Margin",IF(AND($B1028&gt;Input!$C$9,Summary!$D$31&lt;&gt;"Included Margin"),0,1),0))</f>
        <v/>
      </c>
      <c r="AE1028" s="159" t="str">
        <f>IF(E1028="","",IF(Summary!$D$26="Included Margin",IF(AND($B1028&gt;Input!$C$9,Summary!$D$31&lt;&gt;"Included Margin"),1,1/$R1028),1))</f>
        <v/>
      </c>
      <c r="AF1028" s="160" t="str">
        <f>IF(E1028="","",IF(AND($B1028&gt;=Input!$C$9,$C1028=12,Summary!$D$31="Included Margin",$U1028&gt;0),1/U1028-1,IF($B1028&gt;=Input!$C$9,0,Input!$C$45*IF(Summary!$D$27="Included Margin",1,0))))</f>
        <v/>
      </c>
      <c r="AG1028" s="160" t="str">
        <f>IF(E1028="","",Input!$C$46*IF(Summary!$D$28="Included Margin",IF(AND($B1028&gt;Input!$C$9,Summary!$D$31&lt;&gt;"Included Margin"),0,1),0))</f>
        <v/>
      </c>
      <c r="AH1028" s="158" t="str">
        <f>IF(E1028="","",Input!$C$47*IF(Summary!$D$29="Included Margin",IF(AND($B1028&gt;Input!$C$9,Summary!$D$31&lt;&gt;"Included Margin"),0,1),0))</f>
        <v/>
      </c>
      <c r="AI1028" s="154"/>
      <c r="AJ1028" s="158" t="str">
        <f t="shared" si="647"/>
        <v/>
      </c>
      <c r="AK1028" s="155" t="str">
        <f t="shared" si="648"/>
        <v/>
      </c>
      <c r="AL1028" s="147" t="str">
        <f t="shared" si="649"/>
        <v/>
      </c>
      <c r="AM1028" s="147" t="str">
        <f t="shared" si="634"/>
        <v/>
      </c>
      <c r="AN1028" s="160" t="str">
        <f t="shared" si="650"/>
        <v/>
      </c>
      <c r="AO1028" s="161" t="str">
        <f t="shared" si="651"/>
        <v/>
      </c>
      <c r="AP1028" s="156" t="str">
        <f t="shared" si="635"/>
        <v/>
      </c>
      <c r="AQ1028" s="152"/>
      <c r="AR1028" s="162" t="str">
        <f t="shared" si="636"/>
        <v/>
      </c>
      <c r="AS1028" s="150" t="str">
        <f t="shared" si="652"/>
        <v/>
      </c>
      <c r="AT1028" s="163" t="str">
        <f t="shared" si="637"/>
        <v/>
      </c>
      <c r="AU1028" s="163" t="str">
        <f t="shared" si="638"/>
        <v/>
      </c>
      <c r="AV1028" s="163" t="str">
        <f t="shared" si="653"/>
        <v/>
      </c>
      <c r="AW1028" s="163" t="str">
        <f t="shared" si="639"/>
        <v/>
      </c>
      <c r="AX1028" s="163" t="str">
        <f t="shared" si="640"/>
        <v/>
      </c>
      <c r="AY1028" s="165" t="str">
        <f t="shared" si="654"/>
        <v/>
      </c>
      <c r="AZ1028" s="164" t="str">
        <f>IF($E1028="","",IF(OR(AND($D1028=Input!$C$6,$C1028=12),$AN1028=1),0,-AS1029+AT1029+AU1029-AV1029-AW1029-AX1029+AZ1029))</f>
        <v/>
      </c>
      <c r="BA1028" s="154" t="str">
        <f t="shared" si="641"/>
        <v/>
      </c>
      <c r="BC1028" s="147" t="str">
        <f t="shared" si="655"/>
        <v/>
      </c>
      <c r="BD1028" s="164" t="str">
        <f>IF(AND($C1027=12,$D1027=Input!$C$6),0,IF($E1028="","",AT1028+(AU1028+BD1029)/(1+$AK1028)*MIN((1-AM1028-AN1028),1)))</f>
        <v/>
      </c>
      <c r="BE1028" s="164" t="str">
        <f t="shared" si="670"/>
        <v/>
      </c>
      <c r="BF1028" s="164" t="str">
        <f t="shared" si="656"/>
        <v/>
      </c>
      <c r="BG1028" s="164" t="str">
        <f t="shared" si="642"/>
        <v/>
      </c>
      <c r="BH1028" s="152"/>
      <c r="BI1028" s="162" t="str">
        <f t="shared" si="664"/>
        <v/>
      </c>
      <c r="BJ1028" s="150" t="str">
        <f t="shared" si="665"/>
        <v/>
      </c>
      <c r="BK1028" s="163" t="str">
        <f t="shared" si="661"/>
        <v/>
      </c>
      <c r="BL1028" s="163" t="str">
        <f t="shared" si="666"/>
        <v/>
      </c>
      <c r="BM1028" s="163" t="str">
        <f t="shared" si="662"/>
        <v/>
      </c>
      <c r="BN1028" s="163" t="str">
        <f t="shared" si="667"/>
        <v/>
      </c>
      <c r="BO1028" s="163" t="str">
        <f t="shared" si="668"/>
        <v/>
      </c>
      <c r="BP1028" s="164" t="str">
        <f t="shared" si="663"/>
        <v/>
      </c>
      <c r="BQ1028" s="164" t="str">
        <f t="shared" si="657"/>
        <v/>
      </c>
      <c r="BR1028" s="154" t="str">
        <f t="shared" si="669"/>
        <v/>
      </c>
      <c r="BT1028" s="147" t="str">
        <f t="shared" si="643"/>
        <v/>
      </c>
      <c r="BU1028" s="164" t="str">
        <f>IF(AND($C1027=12,$D1027=Input!$C$6),0,IF($E1028="","",BK1028+(BL1028+BU1029)/(1+$AK1028)*MIN((1-T1028-U1028),1)))</f>
        <v/>
      </c>
      <c r="BV1028" s="164" t="str">
        <f t="shared" si="644"/>
        <v/>
      </c>
      <c r="BW1028" s="164" t="str">
        <f t="shared" si="645"/>
        <v/>
      </c>
      <c r="BX1028" s="164" t="str">
        <f t="shared" si="646"/>
        <v/>
      </c>
    </row>
    <row r="1029" spans="1:76" s="150" customFormat="1" x14ac:dyDescent="0.25">
      <c r="A1029" s="150" t="str">
        <f t="shared" si="658"/>
        <v/>
      </c>
      <c r="B1029" s="150" t="str">
        <f t="shared" si="659"/>
        <v/>
      </c>
      <c r="C1029" s="150" t="str">
        <f t="shared" si="660"/>
        <v/>
      </c>
      <c r="D1029" s="150" t="str">
        <f>IF(E1029="","",Input!$C$4+B1029-1)</f>
        <v/>
      </c>
      <c r="E1029" s="150" t="str">
        <f>IF(OR(AND(C1028=12,D1028=Input!$C$6),E1028=""),"",1)</f>
        <v/>
      </c>
      <c r="F1029" s="150" t="str">
        <f>IF(E1029="","",Input!$C$8+B1029-1)</f>
        <v/>
      </c>
      <c r="G1029" s="151" t="str">
        <f>IF(E1029="","",MAX(0,Input!$C$9-B1029))</f>
        <v/>
      </c>
      <c r="H1029" s="152" t="str">
        <f>IF(E1029="","",Input!$C$3)</f>
        <v/>
      </c>
      <c r="I1029" s="153" t="str">
        <f>IF(E1029="","",HLOOKUP($B1029,Input!$C$13:$BT$14,2))</f>
        <v/>
      </c>
      <c r="J1029" s="154"/>
      <c r="K1029" s="155" t="str">
        <f>IF($E1029="","",INDEX(Input!$C$16:$CP$16,1,$B1029))</f>
        <v/>
      </c>
      <c r="L1029" s="155" t="str">
        <f>IF($E1029="","",Input!$C$37)</f>
        <v/>
      </c>
      <c r="M1029" s="155" t="str">
        <f t="shared" si="671"/>
        <v/>
      </c>
      <c r="N1029" s="155" t="str">
        <f t="shared" si="672"/>
        <v/>
      </c>
      <c r="O1029" s="147" t="str">
        <f>IF($E1029="","",MIN(VLOOKUP(IF($B1029&lt;=Input!$C$7,$B1029,26),'Mortality Tables'!$A$41:$CW$67,IF($B1029&lt;=Input!$C$7+1,Input!$C$4+2,$D1029-Input!$C$7+2),0)*IF(B1029&gt;20,Input!$C$22,1)/1000,1))</f>
        <v/>
      </c>
      <c r="P1029" s="147" t="str">
        <f>IF($E1029="","",MIN(VLOOKUP(IF($B1029&lt;=Input!$C$7,$B1029,26),'Mortality Tables'!$A$12:$CW$37,IF($B1029&lt;=Input!$C$7+1,Input!$C$4+2,$D1029-Input!$C$7+2),0)*IF(B1029&gt;20,Input!$C$22,1)/1000,1))</f>
        <v/>
      </c>
      <c r="Q1029" s="155" t="str">
        <f>IF($E1029="","",Input!$C$21)</f>
        <v/>
      </c>
      <c r="R1029" s="159" t="str">
        <f>IF($E1029="","",(1-Q1029)^($F1029-Input!$C$20))</f>
        <v/>
      </c>
      <c r="S1029" s="147" t="str">
        <f t="shared" ref="S1029:S1092" si="674">IF($E1029="","",MIN(O1029*R1029,1))</f>
        <v/>
      </c>
      <c r="T1029" s="147" t="str">
        <f t="shared" ref="T1029:T1092" si="675">IF($E1029="","",1-(1-S1029)^(1/12))</f>
        <v/>
      </c>
      <c r="U1029" s="160" t="str">
        <f>IF($E1029="","",IF($C1029=12,INDEX(Input!$C$15:$CP$15,1,$B1029),0))</f>
        <v/>
      </c>
      <c r="V1029" s="150" t="str">
        <f>IF(E1029="","",IF(C1029=1,IF($B1029=1,Input!$C$33,Input!$C$34),0))</f>
        <v/>
      </c>
      <c r="W1029" s="156" t="str">
        <f>IF($E1029="","",Input!$C$35)</f>
        <v/>
      </c>
      <c r="X1029" s="156" t="str">
        <f t="shared" si="673"/>
        <v/>
      </c>
      <c r="Y1029" s="154"/>
      <c r="Z1029" s="147" t="str">
        <f>IF($E1029="","",VLOOKUP($D1029,'Mortality Margins &amp; Grading'!$AB$5:$AF$125,3,0)*IF(Summary!$D$25="Included Margin",IF(AND($B1029&gt;Input!$C$9,Summary!$D$31&lt;&gt;"Included Margin"),0,1),0))</f>
        <v/>
      </c>
      <c r="AA1029" s="147" t="str">
        <f>IF($E1029="","",VLOOKUP($D1029,'Mortality Margins &amp; Grading'!$AB$5:$AF$125,5,0)*IF(Summary!$D$25="Included Margin",IF(AND($B1029&gt;Input!$C$9,Summary!$D$31&lt;&gt;"Included Margin"),0,1),0))</f>
        <v/>
      </c>
      <c r="AB1029" s="147" t="str">
        <f>IF($E1029="","",IF(AND($B1029&gt;Input!$C$9,Summary!$D$31&lt;&gt;"Included Margin"),1,IF(Summary!$D$25="Included Margin",VLOOKUP($B1029,'Mortality Margins &amp; Grading'!$AI$5:$AR$125,MATCH('Mortality Margins &amp; Grading'!$AQ$4,'Mortality Margins &amp; Grading'!$AI$4:$AR$4,0),0),1)))</f>
        <v/>
      </c>
      <c r="AC1029" s="154"/>
      <c r="AD1029" s="158" t="str">
        <f>IF(E1029="","",Input!$C$48*IF(Summary!$D$30="Included Margin",IF(AND($B1029&gt;Input!$C$9,Summary!$D$31&lt;&gt;"Included Margin"),0,1),0))</f>
        <v/>
      </c>
      <c r="AE1029" s="159" t="str">
        <f>IF(E1029="","",IF(Summary!$D$26="Included Margin",IF(AND($B1029&gt;Input!$C$9,Summary!$D$31&lt;&gt;"Included Margin"),1,1/$R1029),1))</f>
        <v/>
      </c>
      <c r="AF1029" s="160" t="str">
        <f>IF(E1029="","",IF(AND($B1029&gt;=Input!$C$9,$C1029=12,Summary!$D$31="Included Margin",$U1029&gt;0),1/U1029-1,IF($B1029&gt;=Input!$C$9,0,Input!$C$45*IF(Summary!$D$27="Included Margin",1,0))))</f>
        <v/>
      </c>
      <c r="AG1029" s="160" t="str">
        <f>IF(E1029="","",Input!$C$46*IF(Summary!$D$28="Included Margin",IF(AND($B1029&gt;Input!$C$9,Summary!$D$31&lt;&gt;"Included Margin"),0,1),0))</f>
        <v/>
      </c>
      <c r="AH1029" s="158" t="str">
        <f>IF(E1029="","",Input!$C$47*IF(Summary!$D$29="Included Margin",IF(AND($B1029&gt;Input!$C$9,Summary!$D$31&lt;&gt;"Included Margin"),0,1),0))</f>
        <v/>
      </c>
      <c r="AI1029" s="154"/>
      <c r="AJ1029" s="158" t="str">
        <f t="shared" si="647"/>
        <v/>
      </c>
      <c r="AK1029" s="155" t="str">
        <f t="shared" si="648"/>
        <v/>
      </c>
      <c r="AL1029" s="147" t="str">
        <f t="shared" si="649"/>
        <v/>
      </c>
      <c r="AM1029" s="147" t="str">
        <f t="shared" ref="AM1029:AM1092" si="676">IF($E1029="","",1-(1-AL1029)^(1/12))</f>
        <v/>
      </c>
      <c r="AN1029" s="160" t="str">
        <f t="shared" si="650"/>
        <v/>
      </c>
      <c r="AO1029" s="161" t="str">
        <f t="shared" si="651"/>
        <v/>
      </c>
      <c r="AP1029" s="156" t="str">
        <f t="shared" ref="AP1029:AP1092" si="677">IF($E1029="","",IF(B1029=1,1,IF(C1029=1,(1+$W1029+$AH1029)*AP1028,AP1028)))</f>
        <v/>
      </c>
      <c r="AQ1029" s="152"/>
      <c r="AR1029" s="162" t="str">
        <f t="shared" ref="AR1029:AR1092" si="678">IF($E1029="","",(AZ1029*(1-$AN1029)*(1-$AM1029)/(1+$AK1029)+AU1029/(1+$AK1029/2)-AS1029+AT1029))</f>
        <v/>
      </c>
      <c r="AS1029" s="150" t="str">
        <f t="shared" si="652"/>
        <v/>
      </c>
      <c r="AT1029" s="163" t="str">
        <f t="shared" ref="AT1029:AT1092" si="679">IF($E1029="","",$AO1029*$AP1029)</f>
        <v/>
      </c>
      <c r="AU1029" s="163" t="str">
        <f t="shared" ref="AU1029:AU1092" si="680">IF($E1029="","",$AM1029*$H1029)</f>
        <v/>
      </c>
      <c r="AV1029" s="163" t="str">
        <f t="shared" si="653"/>
        <v/>
      </c>
      <c r="AW1029" s="163" t="str">
        <f t="shared" ref="AW1029:AW1092" si="681">IF($E1029="","",AZ1029*$AM1029)</f>
        <v/>
      </c>
      <c r="AX1029" s="163" t="str">
        <f t="shared" ref="AX1029:AX1092" si="682">IF($E1029="","",$AN1029*AZ1029*(1-$AM1029))</f>
        <v/>
      </c>
      <c r="AY1029" s="164" t="str">
        <f t="shared" si="654"/>
        <v/>
      </c>
      <c r="AZ1029" s="164" t="str">
        <f>IF($E1029="","",IF(OR(AND($D1029=Input!$C$6,$C1029=12),$AN1029=1),0,-AS1030+AT1030+AU1030-AV1030-AW1030-AX1030+AZ1030))</f>
        <v/>
      </c>
      <c r="BA1029" s="154" t="str">
        <f t="shared" ref="BA1029:BA1092" si="683">IF(E1029="","",AZ1029-AY1029)</f>
        <v/>
      </c>
      <c r="BC1029" s="147" t="str">
        <f t="shared" si="655"/>
        <v/>
      </c>
      <c r="BD1029" s="164" t="str">
        <f>IF(AND($C1028=12,$D1028=Input!$C$6),0,IF($E1029="","",AT1029+(AU1029+BD1030)/(1+$AK1029)*MIN((1-AM1029-AN1029),1)))</f>
        <v/>
      </c>
      <c r="BE1029" s="164" t="str">
        <f t="shared" si="670"/>
        <v/>
      </c>
      <c r="BF1029" s="164" t="str">
        <f t="shared" si="656"/>
        <v/>
      </c>
      <c r="BG1029" s="164" t="str">
        <f t="shared" ref="BG1029:BG1092" si="684">IF($E1029="","",BC1029*BF1029)</f>
        <v/>
      </c>
      <c r="BH1029" s="152"/>
      <c r="BI1029" s="162" t="str">
        <f t="shared" si="664"/>
        <v/>
      </c>
      <c r="BJ1029" s="150" t="str">
        <f t="shared" si="665"/>
        <v/>
      </c>
      <c r="BK1029" s="163" t="str">
        <f t="shared" si="661"/>
        <v/>
      </c>
      <c r="BL1029" s="163" t="str">
        <f t="shared" si="666"/>
        <v/>
      </c>
      <c r="BM1029" s="163" t="str">
        <f t="shared" si="662"/>
        <v/>
      </c>
      <c r="BN1029" s="163" t="str">
        <f t="shared" si="667"/>
        <v/>
      </c>
      <c r="BO1029" s="163" t="str">
        <f t="shared" si="668"/>
        <v/>
      </c>
      <c r="BP1029" s="164" t="str">
        <f t="shared" si="663"/>
        <v/>
      </c>
      <c r="BQ1029" s="164" t="str">
        <f t="shared" si="657"/>
        <v/>
      </c>
      <c r="BR1029" s="154" t="str">
        <f t="shared" si="669"/>
        <v/>
      </c>
      <c r="BT1029" s="147" t="str">
        <f t="shared" ref="BT1029:BT1092" si="685">IF(E1029="","",BC1029)</f>
        <v/>
      </c>
      <c r="BU1029" s="164" t="str">
        <f>IF(AND($C1028=12,$D1028=Input!$C$6),0,IF($E1029="","",BK1029+(BL1029+BU1030)/(1+$AK1029)*MIN((1-T1029-U1029),1)))</f>
        <v/>
      </c>
      <c r="BV1029" s="164" t="str">
        <f t="shared" ref="BV1029:BV1092" si="686">IF(E1029="","",BT1029*BU1029)</f>
        <v/>
      </c>
      <c r="BW1029" s="164" t="str">
        <f t="shared" ref="BW1029:BW1092" si="687">IF(E1029="","",BQ1029)</f>
        <v/>
      </c>
      <c r="BX1029" s="164" t="str">
        <f t="shared" ref="BX1029:BX1092" si="688">IF(E1029="","",BT1029*BW1029)</f>
        <v/>
      </c>
    </row>
    <row r="1030" spans="1:76" s="150" customFormat="1" x14ac:dyDescent="0.25">
      <c r="A1030" s="150" t="str">
        <f t="shared" si="658"/>
        <v/>
      </c>
      <c r="B1030" s="150" t="str">
        <f t="shared" si="659"/>
        <v/>
      </c>
      <c r="C1030" s="150" t="str">
        <f t="shared" si="660"/>
        <v/>
      </c>
      <c r="D1030" s="150" t="str">
        <f>IF(E1030="","",Input!$C$4+B1030-1)</f>
        <v/>
      </c>
      <c r="E1030" s="150" t="str">
        <f>IF(OR(AND(C1029=12,D1029=Input!$C$6),E1029=""),"",1)</f>
        <v/>
      </c>
      <c r="F1030" s="150" t="str">
        <f>IF(E1030="","",Input!$C$8+B1030-1)</f>
        <v/>
      </c>
      <c r="G1030" s="151" t="str">
        <f>IF(E1030="","",MAX(0,Input!$C$9-B1030))</f>
        <v/>
      </c>
      <c r="H1030" s="152" t="str">
        <f>IF(E1030="","",Input!$C$3)</f>
        <v/>
      </c>
      <c r="I1030" s="153" t="str">
        <f>IF(E1030="","",HLOOKUP($B1030,Input!$C$13:$BT$14,2))</f>
        <v/>
      </c>
      <c r="J1030" s="154"/>
      <c r="K1030" s="155" t="str">
        <f>IF($E1030="","",INDEX(Input!$C$16:$CP$16,1,$B1030))</f>
        <v/>
      </c>
      <c r="L1030" s="155" t="str">
        <f>IF($E1030="","",Input!$C$37)</f>
        <v/>
      </c>
      <c r="M1030" s="155" t="str">
        <f t="shared" si="671"/>
        <v/>
      </c>
      <c r="N1030" s="155" t="str">
        <f t="shared" si="672"/>
        <v/>
      </c>
      <c r="O1030" s="147" t="str">
        <f>IF($E1030="","",MIN(VLOOKUP(IF($B1030&lt;=Input!$C$7,$B1030,26),'Mortality Tables'!$A$41:$CW$67,IF($B1030&lt;=Input!$C$7+1,Input!$C$4+2,$D1030-Input!$C$7+2),0)*IF(B1030&gt;20,Input!$C$22,1)/1000,1))</f>
        <v/>
      </c>
      <c r="P1030" s="147" t="str">
        <f>IF($E1030="","",MIN(VLOOKUP(IF($B1030&lt;=Input!$C$7,$B1030,26),'Mortality Tables'!$A$12:$CW$37,IF($B1030&lt;=Input!$C$7+1,Input!$C$4+2,$D1030-Input!$C$7+2),0)*IF(B1030&gt;20,Input!$C$22,1)/1000,1))</f>
        <v/>
      </c>
      <c r="Q1030" s="155" t="str">
        <f>IF($E1030="","",Input!$C$21)</f>
        <v/>
      </c>
      <c r="R1030" s="159" t="str">
        <f>IF($E1030="","",(1-Q1030)^($F1030-Input!$C$20))</f>
        <v/>
      </c>
      <c r="S1030" s="147" t="str">
        <f t="shared" si="674"/>
        <v/>
      </c>
      <c r="T1030" s="147" t="str">
        <f t="shared" si="675"/>
        <v/>
      </c>
      <c r="U1030" s="160" t="str">
        <f>IF($E1030="","",IF($C1030=12,INDEX(Input!$C$15:$CP$15,1,$B1030),0))</f>
        <v/>
      </c>
      <c r="V1030" s="150" t="str">
        <f>IF(E1030="","",IF(C1030=1,IF($B1030=1,Input!$C$33,Input!$C$34),0))</f>
        <v/>
      </c>
      <c r="W1030" s="156" t="str">
        <f>IF($E1030="","",Input!$C$35)</f>
        <v/>
      </c>
      <c r="X1030" s="156" t="str">
        <f t="shared" si="673"/>
        <v/>
      </c>
      <c r="Y1030" s="154"/>
      <c r="Z1030" s="147" t="str">
        <f>IF($E1030="","",VLOOKUP($D1030,'Mortality Margins &amp; Grading'!$AB$5:$AF$125,3,0)*IF(Summary!$D$25="Included Margin",IF(AND($B1030&gt;Input!$C$9,Summary!$D$31&lt;&gt;"Included Margin"),0,1),0))</f>
        <v/>
      </c>
      <c r="AA1030" s="147" t="str">
        <f>IF($E1030="","",VLOOKUP($D1030,'Mortality Margins &amp; Grading'!$AB$5:$AF$125,5,0)*IF(Summary!$D$25="Included Margin",IF(AND($B1030&gt;Input!$C$9,Summary!$D$31&lt;&gt;"Included Margin"),0,1),0))</f>
        <v/>
      </c>
      <c r="AB1030" s="147" t="str">
        <f>IF($E1030="","",IF(AND($B1030&gt;Input!$C$9,Summary!$D$31&lt;&gt;"Included Margin"),1,IF(Summary!$D$25="Included Margin",VLOOKUP($B1030,'Mortality Margins &amp; Grading'!$AI$5:$AR$125,MATCH('Mortality Margins &amp; Grading'!$AQ$4,'Mortality Margins &amp; Grading'!$AI$4:$AR$4,0),0),1)))</f>
        <v/>
      </c>
      <c r="AC1030" s="154"/>
      <c r="AD1030" s="158" t="str">
        <f>IF(E1030="","",Input!$C$48*IF(Summary!$D$30="Included Margin",IF(AND($B1030&gt;Input!$C$9,Summary!$D$31&lt;&gt;"Included Margin"),0,1),0))</f>
        <v/>
      </c>
      <c r="AE1030" s="159" t="str">
        <f>IF(E1030="","",IF(Summary!$D$26="Included Margin",IF(AND($B1030&gt;Input!$C$9,Summary!$D$31&lt;&gt;"Included Margin"),1,1/$R1030),1))</f>
        <v/>
      </c>
      <c r="AF1030" s="160" t="str">
        <f>IF(E1030="","",IF(AND($B1030&gt;=Input!$C$9,$C1030=12,Summary!$D$31="Included Margin",$U1030&gt;0),1/U1030-1,IF($B1030&gt;=Input!$C$9,0,Input!$C$45*IF(Summary!$D$27="Included Margin",1,0))))</f>
        <v/>
      </c>
      <c r="AG1030" s="160" t="str">
        <f>IF(E1030="","",Input!$C$46*IF(Summary!$D$28="Included Margin",IF(AND($B1030&gt;Input!$C$9,Summary!$D$31&lt;&gt;"Included Margin"),0,1),0))</f>
        <v/>
      </c>
      <c r="AH1030" s="158" t="str">
        <f>IF(E1030="","",Input!$C$47*IF(Summary!$D$29="Included Margin",IF(AND($B1030&gt;Input!$C$9,Summary!$D$31&lt;&gt;"Included Margin"),0,1),0))</f>
        <v/>
      </c>
      <c r="AI1030" s="154"/>
      <c r="AJ1030" s="158" t="str">
        <f t="shared" ref="AJ1030:AJ1093" si="689">IF(E1030="","",M1030+AD1030)</f>
        <v/>
      </c>
      <c r="AK1030" s="155" t="str">
        <f t="shared" ref="AK1030:AK1093" si="690">IF(E1030="","",(1+AJ1030)^(1/12)-1)</f>
        <v/>
      </c>
      <c r="AL1030" s="147" t="str">
        <f t="shared" ref="AL1030:AL1093" si="691">IF($E1030="","",MIN(($O1030*(1+$Z1030)*$AB1030+$P1030*(1+$AA1030)*(1-$AB1030))*R1030*AE1030,1))</f>
        <v/>
      </c>
      <c r="AM1030" s="147" t="str">
        <f t="shared" si="676"/>
        <v/>
      </c>
      <c r="AN1030" s="160" t="str">
        <f t="shared" ref="AN1030:AN1093" si="692">IF(E1030="","",IF(U1030=1,1,(1+AF1030)*U1030))</f>
        <v/>
      </c>
      <c r="AO1030" s="161" t="str">
        <f t="shared" ref="AO1030:AO1093" si="693">IF($E1030="","",(1+$AG1030)*$V1030)</f>
        <v/>
      </c>
      <c r="AP1030" s="156" t="str">
        <f t="shared" si="677"/>
        <v/>
      </c>
      <c r="AQ1030" s="152"/>
      <c r="AR1030" s="162" t="str">
        <f t="shared" si="678"/>
        <v/>
      </c>
      <c r="AS1030" s="150" t="str">
        <f t="shared" ref="AS1030:AS1093" si="694">IF($E1030="","",IF($C1030=1,$I1030*$H1030/1000,0))</f>
        <v/>
      </c>
      <c r="AT1030" s="163" t="str">
        <f t="shared" si="679"/>
        <v/>
      </c>
      <c r="AU1030" s="163" t="str">
        <f t="shared" si="680"/>
        <v/>
      </c>
      <c r="AV1030" s="163" t="str">
        <f t="shared" ref="AV1030:AV1093" si="695">IF($E1030="","",(AR1030+AS1030-AT1030-AU1030/2)*$AK1030)</f>
        <v/>
      </c>
      <c r="AW1030" s="163" t="str">
        <f t="shared" si="681"/>
        <v/>
      </c>
      <c r="AX1030" s="163" t="str">
        <f t="shared" si="682"/>
        <v/>
      </c>
      <c r="AY1030" s="165" t="str">
        <f t="shared" ref="AY1030:AY1093" si="696">IF($E1030="","",AR1030+AS1030-AT1030-AU1030+AV1030+AW1030+AX1030)</f>
        <v/>
      </c>
      <c r="AZ1030" s="164" t="str">
        <f>IF($E1030="","",IF(OR(AND($D1030=Input!$C$6,$C1030=12),$AN1030=1),0,-AS1031+AT1031+AU1031-AV1031-AW1031-AX1031+AZ1031))</f>
        <v/>
      </c>
      <c r="BA1030" s="154" t="str">
        <f t="shared" si="683"/>
        <v/>
      </c>
      <c r="BC1030" s="147" t="str">
        <f t="shared" ref="BC1030:BC1093" si="697">IF($E1030="","",MIN(1,(1-T1030-U1030))*BC1029)</f>
        <v/>
      </c>
      <c r="BD1030" s="164" t="str">
        <f>IF(AND($C1029=12,$D1029=Input!$C$6),0,IF($E1030="","",AT1030+(AU1030+BD1031)/(1+$AK1030)*MIN((1-AM1030-AN1030),1)))</f>
        <v/>
      </c>
      <c r="BE1030" s="164" t="str">
        <f t="shared" si="670"/>
        <v/>
      </c>
      <c r="BF1030" s="164" t="str">
        <f t="shared" ref="BF1030:BF1093" si="698">IF($E1030="","",AZ1030)</f>
        <v/>
      </c>
      <c r="BG1030" s="164" t="str">
        <f t="shared" si="684"/>
        <v/>
      </c>
      <c r="BH1030" s="152"/>
      <c r="BI1030" s="162" t="str">
        <f t="shared" si="664"/>
        <v/>
      </c>
      <c r="BJ1030" s="150" t="str">
        <f t="shared" si="665"/>
        <v/>
      </c>
      <c r="BK1030" s="163" t="str">
        <f t="shared" si="661"/>
        <v/>
      </c>
      <c r="BL1030" s="163" t="str">
        <f t="shared" si="666"/>
        <v/>
      </c>
      <c r="BM1030" s="163" t="str">
        <f t="shared" si="662"/>
        <v/>
      </c>
      <c r="BN1030" s="163" t="str">
        <f t="shared" si="667"/>
        <v/>
      </c>
      <c r="BO1030" s="163" t="str">
        <f t="shared" si="668"/>
        <v/>
      </c>
      <c r="BP1030" s="164" t="str">
        <f t="shared" si="663"/>
        <v/>
      </c>
      <c r="BQ1030" s="164" t="str">
        <f t="shared" ref="BQ1030:BQ1093" si="699">IF($E1030="","",IF($U1030=1,0,-BJ1031+BK1031+BL1031-BM1031-BN1031-BO1031+BQ1031))</f>
        <v/>
      </c>
      <c r="BR1030" s="154" t="str">
        <f t="shared" si="669"/>
        <v/>
      </c>
      <c r="BT1030" s="147" t="str">
        <f t="shared" si="685"/>
        <v/>
      </c>
      <c r="BU1030" s="164" t="str">
        <f>IF(AND($C1029=12,$D1029=Input!$C$6),0,IF($E1030="","",BK1030+(BL1030+BU1031)/(1+$AK1030)*MIN((1-T1030-U1030),1)))</f>
        <v/>
      </c>
      <c r="BV1030" s="164" t="str">
        <f t="shared" si="686"/>
        <v/>
      </c>
      <c r="BW1030" s="164" t="str">
        <f t="shared" si="687"/>
        <v/>
      </c>
      <c r="BX1030" s="164" t="str">
        <f t="shared" si="688"/>
        <v/>
      </c>
    </row>
    <row r="1031" spans="1:76" s="150" customFormat="1" x14ac:dyDescent="0.25">
      <c r="A1031" s="150" t="str">
        <f t="shared" ref="A1031:A1094" si="700">IF(E1031="","",A1030+1)</f>
        <v/>
      </c>
      <c r="B1031" s="150" t="str">
        <f t="shared" ref="B1031:B1094" si="701">IF(E1031="","",IF(C1030+1&gt;12,B1030+1,B1030))</f>
        <v/>
      </c>
      <c r="C1031" s="150" t="str">
        <f t="shared" ref="C1031:C1094" si="702">IF(E1031="","",IF(C1030+1&gt;12,1,C1030+1))</f>
        <v/>
      </c>
      <c r="D1031" s="150" t="str">
        <f>IF(E1031="","",Input!$C$4+B1031-1)</f>
        <v/>
      </c>
      <c r="E1031" s="150" t="str">
        <f>IF(OR(AND(C1030=12,D1030=Input!$C$6),E1030=""),"",1)</f>
        <v/>
      </c>
      <c r="F1031" s="150" t="str">
        <f>IF(E1031="","",Input!$C$8+B1031-1)</f>
        <v/>
      </c>
      <c r="G1031" s="151" t="str">
        <f>IF(E1031="","",MAX(0,Input!$C$9-B1031))</f>
        <v/>
      </c>
      <c r="H1031" s="152" t="str">
        <f>IF(E1031="","",Input!$C$3)</f>
        <v/>
      </c>
      <c r="I1031" s="153" t="str">
        <f>IF(E1031="","",HLOOKUP($B1031,Input!$C$13:$BT$14,2))</f>
        <v/>
      </c>
      <c r="J1031" s="154"/>
      <c r="K1031" s="155" t="str">
        <f>IF($E1031="","",INDEX(Input!$C$16:$CP$16,1,$B1031))</f>
        <v/>
      </c>
      <c r="L1031" s="155" t="str">
        <f>IF($E1031="","",Input!$C$37)</f>
        <v/>
      </c>
      <c r="M1031" s="155" t="str">
        <f t="shared" si="671"/>
        <v/>
      </c>
      <c r="N1031" s="155" t="str">
        <f t="shared" si="672"/>
        <v/>
      </c>
      <c r="O1031" s="147" t="str">
        <f>IF($E1031="","",MIN(VLOOKUP(IF($B1031&lt;=Input!$C$7,$B1031,26),'Mortality Tables'!$A$41:$CW$67,IF($B1031&lt;=Input!$C$7+1,Input!$C$4+2,$D1031-Input!$C$7+2),0)*IF(B1031&gt;20,Input!$C$22,1)/1000,1))</f>
        <v/>
      </c>
      <c r="P1031" s="147" t="str">
        <f>IF($E1031="","",MIN(VLOOKUP(IF($B1031&lt;=Input!$C$7,$B1031,26),'Mortality Tables'!$A$12:$CW$37,IF($B1031&lt;=Input!$C$7+1,Input!$C$4+2,$D1031-Input!$C$7+2),0)*IF(B1031&gt;20,Input!$C$22,1)/1000,1))</f>
        <v/>
      </c>
      <c r="Q1031" s="155" t="str">
        <f>IF($E1031="","",Input!$C$21)</f>
        <v/>
      </c>
      <c r="R1031" s="159" t="str">
        <f>IF($E1031="","",(1-Q1031)^($F1031-Input!$C$20))</f>
        <v/>
      </c>
      <c r="S1031" s="147" t="str">
        <f t="shared" si="674"/>
        <v/>
      </c>
      <c r="T1031" s="147" t="str">
        <f t="shared" si="675"/>
        <v/>
      </c>
      <c r="U1031" s="160" t="str">
        <f>IF($E1031="","",IF($C1031=12,INDEX(Input!$C$15:$CP$15,1,$B1031),0))</f>
        <v/>
      </c>
      <c r="V1031" s="150" t="str">
        <f>IF(E1031="","",IF(C1031=1,IF($B1031=1,Input!$C$33,Input!$C$34),0))</f>
        <v/>
      </c>
      <c r="W1031" s="156" t="str">
        <f>IF($E1031="","",Input!$C$35)</f>
        <v/>
      </c>
      <c r="X1031" s="156" t="str">
        <f t="shared" si="673"/>
        <v/>
      </c>
      <c r="Y1031" s="154"/>
      <c r="Z1031" s="147" t="str">
        <f>IF($E1031="","",VLOOKUP($D1031,'Mortality Margins &amp; Grading'!$AB$5:$AF$125,3,0)*IF(Summary!$D$25="Included Margin",IF(AND($B1031&gt;Input!$C$9,Summary!$D$31&lt;&gt;"Included Margin"),0,1),0))</f>
        <v/>
      </c>
      <c r="AA1031" s="147" t="str">
        <f>IF($E1031="","",VLOOKUP($D1031,'Mortality Margins &amp; Grading'!$AB$5:$AF$125,5,0)*IF(Summary!$D$25="Included Margin",IF(AND($B1031&gt;Input!$C$9,Summary!$D$31&lt;&gt;"Included Margin"),0,1),0))</f>
        <v/>
      </c>
      <c r="AB1031" s="147" t="str">
        <f>IF($E1031="","",IF(AND($B1031&gt;Input!$C$9,Summary!$D$31&lt;&gt;"Included Margin"),1,IF(Summary!$D$25="Included Margin",VLOOKUP($B1031,'Mortality Margins &amp; Grading'!$AI$5:$AR$125,MATCH('Mortality Margins &amp; Grading'!$AQ$4,'Mortality Margins &amp; Grading'!$AI$4:$AR$4,0),0),1)))</f>
        <v/>
      </c>
      <c r="AC1031" s="154"/>
      <c r="AD1031" s="158" t="str">
        <f>IF(E1031="","",Input!$C$48*IF(Summary!$D$30="Included Margin",IF(AND($B1031&gt;Input!$C$9,Summary!$D$31&lt;&gt;"Included Margin"),0,1),0))</f>
        <v/>
      </c>
      <c r="AE1031" s="159" t="str">
        <f>IF(E1031="","",IF(Summary!$D$26="Included Margin",IF(AND($B1031&gt;Input!$C$9,Summary!$D$31&lt;&gt;"Included Margin"),1,1/$R1031),1))</f>
        <v/>
      </c>
      <c r="AF1031" s="160" t="str">
        <f>IF(E1031="","",IF(AND($B1031&gt;=Input!$C$9,$C1031=12,Summary!$D$31="Included Margin",$U1031&gt;0),1/U1031-1,IF($B1031&gt;=Input!$C$9,0,Input!$C$45*IF(Summary!$D$27="Included Margin",1,0))))</f>
        <v/>
      </c>
      <c r="AG1031" s="160" t="str">
        <f>IF(E1031="","",Input!$C$46*IF(Summary!$D$28="Included Margin",IF(AND($B1031&gt;Input!$C$9,Summary!$D$31&lt;&gt;"Included Margin"),0,1),0))</f>
        <v/>
      </c>
      <c r="AH1031" s="158" t="str">
        <f>IF(E1031="","",Input!$C$47*IF(Summary!$D$29="Included Margin",IF(AND($B1031&gt;Input!$C$9,Summary!$D$31&lt;&gt;"Included Margin"),0,1),0))</f>
        <v/>
      </c>
      <c r="AI1031" s="154"/>
      <c r="AJ1031" s="158" t="str">
        <f t="shared" si="689"/>
        <v/>
      </c>
      <c r="AK1031" s="155" t="str">
        <f t="shared" si="690"/>
        <v/>
      </c>
      <c r="AL1031" s="147" t="str">
        <f t="shared" si="691"/>
        <v/>
      </c>
      <c r="AM1031" s="147" t="str">
        <f t="shared" si="676"/>
        <v/>
      </c>
      <c r="AN1031" s="160" t="str">
        <f t="shared" si="692"/>
        <v/>
      </c>
      <c r="AO1031" s="161" t="str">
        <f t="shared" si="693"/>
        <v/>
      </c>
      <c r="AP1031" s="156" t="str">
        <f t="shared" si="677"/>
        <v/>
      </c>
      <c r="AQ1031" s="152"/>
      <c r="AR1031" s="162" t="str">
        <f t="shared" si="678"/>
        <v/>
      </c>
      <c r="AS1031" s="150" t="str">
        <f t="shared" si="694"/>
        <v/>
      </c>
      <c r="AT1031" s="163" t="str">
        <f t="shared" si="679"/>
        <v/>
      </c>
      <c r="AU1031" s="163" t="str">
        <f t="shared" si="680"/>
        <v/>
      </c>
      <c r="AV1031" s="163" t="str">
        <f t="shared" si="695"/>
        <v/>
      </c>
      <c r="AW1031" s="163" t="str">
        <f t="shared" si="681"/>
        <v/>
      </c>
      <c r="AX1031" s="163" t="str">
        <f t="shared" si="682"/>
        <v/>
      </c>
      <c r="AY1031" s="164" t="str">
        <f t="shared" si="696"/>
        <v/>
      </c>
      <c r="AZ1031" s="164" t="str">
        <f>IF($E1031="","",IF(OR(AND($D1031=Input!$C$6,$C1031=12),$AN1031=1),0,-AS1032+AT1032+AU1032-AV1032-AW1032-AX1032+AZ1032))</f>
        <v/>
      </c>
      <c r="BA1031" s="154" t="str">
        <f t="shared" si="683"/>
        <v/>
      </c>
      <c r="BC1031" s="147" t="str">
        <f t="shared" si="697"/>
        <v/>
      </c>
      <c r="BD1031" s="164" t="str">
        <f>IF(AND($C1030=12,$D1030=Input!$C$6),0,IF($E1031="","",AT1031+(AU1031+BD1032)/(1+$AK1031)*MIN((1-AM1031-AN1031),1)))</f>
        <v/>
      </c>
      <c r="BE1031" s="164" t="str">
        <f t="shared" si="670"/>
        <v/>
      </c>
      <c r="BF1031" s="164" t="str">
        <f t="shared" si="698"/>
        <v/>
      </c>
      <c r="BG1031" s="164" t="str">
        <f t="shared" si="684"/>
        <v/>
      </c>
      <c r="BH1031" s="152"/>
      <c r="BI1031" s="162" t="str">
        <f t="shared" si="664"/>
        <v/>
      </c>
      <c r="BJ1031" s="150" t="str">
        <f t="shared" si="665"/>
        <v/>
      </c>
      <c r="BK1031" s="163" t="str">
        <f t="shared" ref="BK1031:BK1094" si="703">IF($E1031="","",$V1031*$X1031)</f>
        <v/>
      </c>
      <c r="BL1031" s="163" t="str">
        <f t="shared" si="666"/>
        <v/>
      </c>
      <c r="BM1031" s="163" t="str">
        <f t="shared" ref="BM1031:BM1094" si="704">IF($E1031="","",(BI1031+BJ1031-BK1031-BL1031/2)*$N1031)</f>
        <v/>
      </c>
      <c r="BN1031" s="163" t="str">
        <f t="shared" si="667"/>
        <v/>
      </c>
      <c r="BO1031" s="163" t="str">
        <f t="shared" si="668"/>
        <v/>
      </c>
      <c r="BP1031" s="164" t="str">
        <f t="shared" ref="BP1031:BP1094" si="705">IF($E1031="","",BI1031+BJ1031-BK1031-BL1031+BM1031+BN1031+BO1031)</f>
        <v/>
      </c>
      <c r="BQ1031" s="164" t="str">
        <f t="shared" si="699"/>
        <v/>
      </c>
      <c r="BR1031" s="154" t="str">
        <f t="shared" si="669"/>
        <v/>
      </c>
      <c r="BT1031" s="147" t="str">
        <f t="shared" si="685"/>
        <v/>
      </c>
      <c r="BU1031" s="164" t="str">
        <f>IF(AND($C1030=12,$D1030=Input!$C$6),0,IF($E1031="","",BK1031+(BL1031+BU1032)/(1+$AK1031)*MIN((1-T1031-U1031),1)))</f>
        <v/>
      </c>
      <c r="BV1031" s="164" t="str">
        <f t="shared" si="686"/>
        <v/>
      </c>
      <c r="BW1031" s="164" t="str">
        <f t="shared" si="687"/>
        <v/>
      </c>
      <c r="BX1031" s="164" t="str">
        <f t="shared" si="688"/>
        <v/>
      </c>
    </row>
    <row r="1032" spans="1:76" s="150" customFormat="1" x14ac:dyDescent="0.25">
      <c r="A1032" s="150" t="str">
        <f t="shared" si="700"/>
        <v/>
      </c>
      <c r="B1032" s="150" t="str">
        <f t="shared" si="701"/>
        <v/>
      </c>
      <c r="C1032" s="150" t="str">
        <f t="shared" si="702"/>
        <v/>
      </c>
      <c r="D1032" s="150" t="str">
        <f>IF(E1032="","",Input!$C$4+B1032-1)</f>
        <v/>
      </c>
      <c r="E1032" s="150" t="str">
        <f>IF(OR(AND(C1031=12,D1031=Input!$C$6),E1031=""),"",1)</f>
        <v/>
      </c>
      <c r="F1032" s="150" t="str">
        <f>IF(E1032="","",Input!$C$8+B1032-1)</f>
        <v/>
      </c>
      <c r="G1032" s="151" t="str">
        <f>IF(E1032="","",MAX(0,Input!$C$9-B1032))</f>
        <v/>
      </c>
      <c r="H1032" s="152" t="str">
        <f>IF(E1032="","",Input!$C$3)</f>
        <v/>
      </c>
      <c r="I1032" s="153" t="str">
        <f>IF(E1032="","",HLOOKUP($B1032,Input!$C$13:$BT$14,2))</f>
        <v/>
      </c>
      <c r="J1032" s="154"/>
      <c r="K1032" s="155" t="str">
        <f>IF($E1032="","",INDEX(Input!$C$16:$CP$16,1,$B1032))</f>
        <v/>
      </c>
      <c r="L1032" s="155" t="str">
        <f>IF($E1032="","",Input!$C$37)</f>
        <v/>
      </c>
      <c r="M1032" s="155" t="str">
        <f t="shared" si="671"/>
        <v/>
      </c>
      <c r="N1032" s="155" t="str">
        <f t="shared" si="672"/>
        <v/>
      </c>
      <c r="O1032" s="147" t="str">
        <f>IF($E1032="","",MIN(VLOOKUP(IF($B1032&lt;=Input!$C$7,$B1032,26),'Mortality Tables'!$A$41:$CW$67,IF($B1032&lt;=Input!$C$7+1,Input!$C$4+2,$D1032-Input!$C$7+2),0)*IF(B1032&gt;20,Input!$C$22,1)/1000,1))</f>
        <v/>
      </c>
      <c r="P1032" s="147" t="str">
        <f>IF($E1032="","",MIN(VLOOKUP(IF($B1032&lt;=Input!$C$7,$B1032,26),'Mortality Tables'!$A$12:$CW$37,IF($B1032&lt;=Input!$C$7+1,Input!$C$4+2,$D1032-Input!$C$7+2),0)*IF(B1032&gt;20,Input!$C$22,1)/1000,1))</f>
        <v/>
      </c>
      <c r="Q1032" s="155" t="str">
        <f>IF($E1032="","",Input!$C$21)</f>
        <v/>
      </c>
      <c r="R1032" s="159" t="str">
        <f>IF($E1032="","",(1-Q1032)^($F1032-Input!$C$20))</f>
        <v/>
      </c>
      <c r="S1032" s="147" t="str">
        <f t="shared" si="674"/>
        <v/>
      </c>
      <c r="T1032" s="147" t="str">
        <f t="shared" si="675"/>
        <v/>
      </c>
      <c r="U1032" s="160" t="str">
        <f>IF($E1032="","",IF($C1032=12,INDEX(Input!$C$15:$CP$15,1,$B1032),0))</f>
        <v/>
      </c>
      <c r="V1032" s="150" t="str">
        <f>IF(E1032="","",IF(C1032=1,IF($B1032=1,Input!$C$33,Input!$C$34),0))</f>
        <v/>
      </c>
      <c r="W1032" s="156" t="str">
        <f>IF($E1032="","",Input!$C$35)</f>
        <v/>
      </c>
      <c r="X1032" s="156" t="str">
        <f t="shared" si="673"/>
        <v/>
      </c>
      <c r="Y1032" s="154"/>
      <c r="Z1032" s="147" t="str">
        <f>IF($E1032="","",VLOOKUP($D1032,'Mortality Margins &amp; Grading'!$AB$5:$AF$125,3,0)*IF(Summary!$D$25="Included Margin",IF(AND($B1032&gt;Input!$C$9,Summary!$D$31&lt;&gt;"Included Margin"),0,1),0))</f>
        <v/>
      </c>
      <c r="AA1032" s="147" t="str">
        <f>IF($E1032="","",VLOOKUP($D1032,'Mortality Margins &amp; Grading'!$AB$5:$AF$125,5,0)*IF(Summary!$D$25="Included Margin",IF(AND($B1032&gt;Input!$C$9,Summary!$D$31&lt;&gt;"Included Margin"),0,1),0))</f>
        <v/>
      </c>
      <c r="AB1032" s="147" t="str">
        <f>IF($E1032="","",IF(AND($B1032&gt;Input!$C$9,Summary!$D$31&lt;&gt;"Included Margin"),1,IF(Summary!$D$25="Included Margin",VLOOKUP($B1032,'Mortality Margins &amp; Grading'!$AI$5:$AR$125,MATCH('Mortality Margins &amp; Grading'!$AQ$4,'Mortality Margins &amp; Grading'!$AI$4:$AR$4,0),0),1)))</f>
        <v/>
      </c>
      <c r="AC1032" s="154"/>
      <c r="AD1032" s="158" t="str">
        <f>IF(E1032="","",Input!$C$48*IF(Summary!$D$30="Included Margin",IF(AND($B1032&gt;Input!$C$9,Summary!$D$31&lt;&gt;"Included Margin"),0,1),0))</f>
        <v/>
      </c>
      <c r="AE1032" s="159" t="str">
        <f>IF(E1032="","",IF(Summary!$D$26="Included Margin",IF(AND($B1032&gt;Input!$C$9,Summary!$D$31&lt;&gt;"Included Margin"),1,1/$R1032),1))</f>
        <v/>
      </c>
      <c r="AF1032" s="160" t="str">
        <f>IF(E1032="","",IF(AND($B1032&gt;=Input!$C$9,$C1032=12,Summary!$D$31="Included Margin",$U1032&gt;0),1/U1032-1,IF($B1032&gt;=Input!$C$9,0,Input!$C$45*IF(Summary!$D$27="Included Margin",1,0))))</f>
        <v/>
      </c>
      <c r="AG1032" s="160" t="str">
        <f>IF(E1032="","",Input!$C$46*IF(Summary!$D$28="Included Margin",IF(AND($B1032&gt;Input!$C$9,Summary!$D$31&lt;&gt;"Included Margin"),0,1),0))</f>
        <v/>
      </c>
      <c r="AH1032" s="158" t="str">
        <f>IF(E1032="","",Input!$C$47*IF(Summary!$D$29="Included Margin",IF(AND($B1032&gt;Input!$C$9,Summary!$D$31&lt;&gt;"Included Margin"),0,1),0))</f>
        <v/>
      </c>
      <c r="AI1032" s="154"/>
      <c r="AJ1032" s="158" t="str">
        <f t="shared" si="689"/>
        <v/>
      </c>
      <c r="AK1032" s="155" t="str">
        <f t="shared" si="690"/>
        <v/>
      </c>
      <c r="AL1032" s="147" t="str">
        <f t="shared" si="691"/>
        <v/>
      </c>
      <c r="AM1032" s="147" t="str">
        <f t="shared" si="676"/>
        <v/>
      </c>
      <c r="AN1032" s="160" t="str">
        <f t="shared" si="692"/>
        <v/>
      </c>
      <c r="AO1032" s="161" t="str">
        <f t="shared" si="693"/>
        <v/>
      </c>
      <c r="AP1032" s="156" t="str">
        <f t="shared" si="677"/>
        <v/>
      </c>
      <c r="AQ1032" s="152"/>
      <c r="AR1032" s="162" t="str">
        <f t="shared" si="678"/>
        <v/>
      </c>
      <c r="AS1032" s="150" t="str">
        <f t="shared" si="694"/>
        <v/>
      </c>
      <c r="AT1032" s="163" t="str">
        <f t="shared" si="679"/>
        <v/>
      </c>
      <c r="AU1032" s="163" t="str">
        <f t="shared" si="680"/>
        <v/>
      </c>
      <c r="AV1032" s="163" t="str">
        <f t="shared" si="695"/>
        <v/>
      </c>
      <c r="AW1032" s="163" t="str">
        <f t="shared" si="681"/>
        <v/>
      </c>
      <c r="AX1032" s="163" t="str">
        <f t="shared" si="682"/>
        <v/>
      </c>
      <c r="AY1032" s="165" t="str">
        <f t="shared" si="696"/>
        <v/>
      </c>
      <c r="AZ1032" s="164" t="str">
        <f>IF($E1032="","",IF(OR(AND($D1032=Input!$C$6,$C1032=12),$AN1032=1),0,-AS1033+AT1033+AU1033-AV1033-AW1033-AX1033+AZ1033))</f>
        <v/>
      </c>
      <c r="BA1032" s="154" t="str">
        <f t="shared" si="683"/>
        <v/>
      </c>
      <c r="BC1032" s="147" t="str">
        <f t="shared" si="697"/>
        <v/>
      </c>
      <c r="BD1032" s="164" t="str">
        <f>IF(AND($C1031=12,$D1031=Input!$C$6),0,IF($E1032="","",AT1032+(AU1032+BD1033)/(1+$AK1032)*MIN((1-AM1032-AN1032),1)))</f>
        <v/>
      </c>
      <c r="BE1032" s="164" t="str">
        <f t="shared" si="670"/>
        <v/>
      </c>
      <c r="BF1032" s="164" t="str">
        <f t="shared" si="698"/>
        <v/>
      </c>
      <c r="BG1032" s="164" t="str">
        <f t="shared" si="684"/>
        <v/>
      </c>
      <c r="BH1032" s="152"/>
      <c r="BI1032" s="162" t="str">
        <f t="shared" si="664"/>
        <v/>
      </c>
      <c r="BJ1032" s="150" t="str">
        <f t="shared" si="665"/>
        <v/>
      </c>
      <c r="BK1032" s="163" t="str">
        <f t="shared" si="703"/>
        <v/>
      </c>
      <c r="BL1032" s="163" t="str">
        <f t="shared" si="666"/>
        <v/>
      </c>
      <c r="BM1032" s="163" t="str">
        <f t="shared" si="704"/>
        <v/>
      </c>
      <c r="BN1032" s="163" t="str">
        <f t="shared" si="667"/>
        <v/>
      </c>
      <c r="BO1032" s="163" t="str">
        <f t="shared" si="668"/>
        <v/>
      </c>
      <c r="BP1032" s="164" t="str">
        <f t="shared" si="705"/>
        <v/>
      </c>
      <c r="BQ1032" s="164" t="str">
        <f t="shared" si="699"/>
        <v/>
      </c>
      <c r="BR1032" s="154" t="str">
        <f t="shared" si="669"/>
        <v/>
      </c>
      <c r="BT1032" s="147" t="str">
        <f t="shared" si="685"/>
        <v/>
      </c>
      <c r="BU1032" s="164" t="str">
        <f>IF(AND($C1031=12,$D1031=Input!$C$6),0,IF($E1032="","",BK1032+(BL1032+BU1033)/(1+$AK1032)*MIN((1-T1032-U1032),1)))</f>
        <v/>
      </c>
      <c r="BV1032" s="164" t="str">
        <f t="shared" si="686"/>
        <v/>
      </c>
      <c r="BW1032" s="164" t="str">
        <f t="shared" si="687"/>
        <v/>
      </c>
      <c r="BX1032" s="164" t="str">
        <f t="shared" si="688"/>
        <v/>
      </c>
    </row>
    <row r="1033" spans="1:76" s="150" customFormat="1" x14ac:dyDescent="0.25">
      <c r="A1033" s="150" t="str">
        <f t="shared" si="700"/>
        <v/>
      </c>
      <c r="B1033" s="150" t="str">
        <f t="shared" si="701"/>
        <v/>
      </c>
      <c r="C1033" s="150" t="str">
        <f t="shared" si="702"/>
        <v/>
      </c>
      <c r="D1033" s="150" t="str">
        <f>IF(E1033="","",Input!$C$4+B1033-1)</f>
        <v/>
      </c>
      <c r="E1033" s="150" t="str">
        <f>IF(OR(AND(C1032=12,D1032=Input!$C$6),E1032=""),"",1)</f>
        <v/>
      </c>
      <c r="F1033" s="150" t="str">
        <f>IF(E1033="","",Input!$C$8+B1033-1)</f>
        <v/>
      </c>
      <c r="G1033" s="151" t="str">
        <f>IF(E1033="","",MAX(0,Input!$C$9-B1033))</f>
        <v/>
      </c>
      <c r="H1033" s="152" t="str">
        <f>IF(E1033="","",Input!$C$3)</f>
        <v/>
      </c>
      <c r="I1033" s="153" t="str">
        <f>IF(E1033="","",HLOOKUP($B1033,Input!$C$13:$BT$14,2))</f>
        <v/>
      </c>
      <c r="J1033" s="154"/>
      <c r="K1033" s="155" t="str">
        <f>IF($E1033="","",INDEX(Input!$C$16:$CP$16,1,$B1033))</f>
        <v/>
      </c>
      <c r="L1033" s="155" t="str">
        <f>IF($E1033="","",Input!$C$37)</f>
        <v/>
      </c>
      <c r="M1033" s="155" t="str">
        <f t="shared" si="671"/>
        <v/>
      </c>
      <c r="N1033" s="155" t="str">
        <f t="shared" si="672"/>
        <v/>
      </c>
      <c r="O1033" s="147" t="str">
        <f>IF($E1033="","",MIN(VLOOKUP(IF($B1033&lt;=Input!$C$7,$B1033,26),'Mortality Tables'!$A$41:$CW$67,IF($B1033&lt;=Input!$C$7+1,Input!$C$4+2,$D1033-Input!$C$7+2),0)*IF(B1033&gt;20,Input!$C$22,1)/1000,1))</f>
        <v/>
      </c>
      <c r="P1033" s="147" t="str">
        <f>IF($E1033="","",MIN(VLOOKUP(IF($B1033&lt;=Input!$C$7,$B1033,26),'Mortality Tables'!$A$12:$CW$37,IF($B1033&lt;=Input!$C$7+1,Input!$C$4+2,$D1033-Input!$C$7+2),0)*IF(B1033&gt;20,Input!$C$22,1)/1000,1))</f>
        <v/>
      </c>
      <c r="Q1033" s="155" t="str">
        <f>IF($E1033="","",Input!$C$21)</f>
        <v/>
      </c>
      <c r="R1033" s="159" t="str">
        <f>IF($E1033="","",(1-Q1033)^($F1033-Input!$C$20))</f>
        <v/>
      </c>
      <c r="S1033" s="147" t="str">
        <f t="shared" si="674"/>
        <v/>
      </c>
      <c r="T1033" s="147" t="str">
        <f t="shared" si="675"/>
        <v/>
      </c>
      <c r="U1033" s="160" t="str">
        <f>IF($E1033="","",IF($C1033=12,INDEX(Input!$C$15:$CP$15,1,$B1033),0))</f>
        <v/>
      </c>
      <c r="V1033" s="150" t="str">
        <f>IF(E1033="","",IF(C1033=1,IF($B1033=1,Input!$C$33,Input!$C$34),0))</f>
        <v/>
      </c>
      <c r="W1033" s="156" t="str">
        <f>IF($E1033="","",Input!$C$35)</f>
        <v/>
      </c>
      <c r="X1033" s="156" t="str">
        <f t="shared" si="673"/>
        <v/>
      </c>
      <c r="Y1033" s="154"/>
      <c r="Z1033" s="147" t="str">
        <f>IF($E1033="","",VLOOKUP($D1033,'Mortality Margins &amp; Grading'!$AB$5:$AF$125,3,0)*IF(Summary!$D$25="Included Margin",IF(AND($B1033&gt;Input!$C$9,Summary!$D$31&lt;&gt;"Included Margin"),0,1),0))</f>
        <v/>
      </c>
      <c r="AA1033" s="147" t="str">
        <f>IF($E1033="","",VLOOKUP($D1033,'Mortality Margins &amp; Grading'!$AB$5:$AF$125,5,0)*IF(Summary!$D$25="Included Margin",IF(AND($B1033&gt;Input!$C$9,Summary!$D$31&lt;&gt;"Included Margin"),0,1),0))</f>
        <v/>
      </c>
      <c r="AB1033" s="147" t="str">
        <f>IF($E1033="","",IF(AND($B1033&gt;Input!$C$9,Summary!$D$31&lt;&gt;"Included Margin"),1,IF(Summary!$D$25="Included Margin",VLOOKUP($B1033,'Mortality Margins &amp; Grading'!$AI$5:$AR$125,MATCH('Mortality Margins &amp; Grading'!$AQ$4,'Mortality Margins &amp; Grading'!$AI$4:$AR$4,0),0),1)))</f>
        <v/>
      </c>
      <c r="AC1033" s="154"/>
      <c r="AD1033" s="158" t="str">
        <f>IF(E1033="","",Input!$C$48*IF(Summary!$D$30="Included Margin",IF(AND($B1033&gt;Input!$C$9,Summary!$D$31&lt;&gt;"Included Margin"),0,1),0))</f>
        <v/>
      </c>
      <c r="AE1033" s="159" t="str">
        <f>IF(E1033="","",IF(Summary!$D$26="Included Margin",IF(AND($B1033&gt;Input!$C$9,Summary!$D$31&lt;&gt;"Included Margin"),1,1/$R1033),1))</f>
        <v/>
      </c>
      <c r="AF1033" s="160" t="str">
        <f>IF(E1033="","",IF(AND($B1033&gt;=Input!$C$9,$C1033=12,Summary!$D$31="Included Margin",$U1033&gt;0),1/U1033-1,IF($B1033&gt;=Input!$C$9,0,Input!$C$45*IF(Summary!$D$27="Included Margin",1,0))))</f>
        <v/>
      </c>
      <c r="AG1033" s="160" t="str">
        <f>IF(E1033="","",Input!$C$46*IF(Summary!$D$28="Included Margin",IF(AND($B1033&gt;Input!$C$9,Summary!$D$31&lt;&gt;"Included Margin"),0,1),0))</f>
        <v/>
      </c>
      <c r="AH1033" s="158" t="str">
        <f>IF(E1033="","",Input!$C$47*IF(Summary!$D$29="Included Margin",IF(AND($B1033&gt;Input!$C$9,Summary!$D$31&lt;&gt;"Included Margin"),0,1),0))</f>
        <v/>
      </c>
      <c r="AI1033" s="154"/>
      <c r="AJ1033" s="158" t="str">
        <f t="shared" si="689"/>
        <v/>
      </c>
      <c r="AK1033" s="155" t="str">
        <f t="shared" si="690"/>
        <v/>
      </c>
      <c r="AL1033" s="147" t="str">
        <f t="shared" si="691"/>
        <v/>
      </c>
      <c r="AM1033" s="147" t="str">
        <f t="shared" si="676"/>
        <v/>
      </c>
      <c r="AN1033" s="160" t="str">
        <f t="shared" si="692"/>
        <v/>
      </c>
      <c r="AO1033" s="161" t="str">
        <f t="shared" si="693"/>
        <v/>
      </c>
      <c r="AP1033" s="156" t="str">
        <f t="shared" si="677"/>
        <v/>
      </c>
      <c r="AQ1033" s="152"/>
      <c r="AR1033" s="162" t="str">
        <f t="shared" si="678"/>
        <v/>
      </c>
      <c r="AS1033" s="150" t="str">
        <f t="shared" si="694"/>
        <v/>
      </c>
      <c r="AT1033" s="163" t="str">
        <f t="shared" si="679"/>
        <v/>
      </c>
      <c r="AU1033" s="163" t="str">
        <f t="shared" si="680"/>
        <v/>
      </c>
      <c r="AV1033" s="163" t="str">
        <f t="shared" si="695"/>
        <v/>
      </c>
      <c r="AW1033" s="163" t="str">
        <f t="shared" si="681"/>
        <v/>
      </c>
      <c r="AX1033" s="163" t="str">
        <f t="shared" si="682"/>
        <v/>
      </c>
      <c r="AY1033" s="164" t="str">
        <f t="shared" si="696"/>
        <v/>
      </c>
      <c r="AZ1033" s="164" t="str">
        <f>IF($E1033="","",IF(OR(AND($D1033=Input!$C$6,$C1033=12),$AN1033=1),0,-AS1034+AT1034+AU1034-AV1034-AW1034-AX1034+AZ1034))</f>
        <v/>
      </c>
      <c r="BA1033" s="154" t="str">
        <f t="shared" si="683"/>
        <v/>
      </c>
      <c r="BC1033" s="147" t="str">
        <f t="shared" si="697"/>
        <v/>
      </c>
      <c r="BD1033" s="164" t="str">
        <f>IF(AND($C1032=12,$D1032=Input!$C$6),0,IF($E1033="","",AT1033+(AU1033+BD1034)/(1+$AK1033)*MIN((1-AM1033-AN1033),1)))</f>
        <v/>
      </c>
      <c r="BE1033" s="164" t="str">
        <f t="shared" si="670"/>
        <v/>
      </c>
      <c r="BF1033" s="164" t="str">
        <f t="shared" si="698"/>
        <v/>
      </c>
      <c r="BG1033" s="164" t="str">
        <f t="shared" si="684"/>
        <v/>
      </c>
      <c r="BH1033" s="152"/>
      <c r="BI1033" s="162" t="str">
        <f t="shared" si="664"/>
        <v/>
      </c>
      <c r="BJ1033" s="150" t="str">
        <f t="shared" si="665"/>
        <v/>
      </c>
      <c r="BK1033" s="163" t="str">
        <f t="shared" si="703"/>
        <v/>
      </c>
      <c r="BL1033" s="163" t="str">
        <f t="shared" si="666"/>
        <v/>
      </c>
      <c r="BM1033" s="163" t="str">
        <f t="shared" si="704"/>
        <v/>
      </c>
      <c r="BN1033" s="163" t="str">
        <f t="shared" si="667"/>
        <v/>
      </c>
      <c r="BO1033" s="163" t="str">
        <f t="shared" si="668"/>
        <v/>
      </c>
      <c r="BP1033" s="164" t="str">
        <f t="shared" si="705"/>
        <v/>
      </c>
      <c r="BQ1033" s="164" t="str">
        <f t="shared" si="699"/>
        <v/>
      </c>
      <c r="BR1033" s="154" t="str">
        <f t="shared" si="669"/>
        <v/>
      </c>
      <c r="BT1033" s="147" t="str">
        <f t="shared" si="685"/>
        <v/>
      </c>
      <c r="BU1033" s="164" t="str">
        <f>IF(AND($C1032=12,$D1032=Input!$C$6),0,IF($E1033="","",BK1033+(BL1033+BU1034)/(1+$AK1033)*MIN((1-T1033-U1033),1)))</f>
        <v/>
      </c>
      <c r="BV1033" s="164" t="str">
        <f t="shared" si="686"/>
        <v/>
      </c>
      <c r="BW1033" s="164" t="str">
        <f t="shared" si="687"/>
        <v/>
      </c>
      <c r="BX1033" s="164" t="str">
        <f t="shared" si="688"/>
        <v/>
      </c>
    </row>
    <row r="1034" spans="1:76" s="150" customFormat="1" x14ac:dyDescent="0.25">
      <c r="A1034" s="150" t="str">
        <f t="shared" si="700"/>
        <v/>
      </c>
      <c r="B1034" s="150" t="str">
        <f t="shared" si="701"/>
        <v/>
      </c>
      <c r="C1034" s="150" t="str">
        <f t="shared" si="702"/>
        <v/>
      </c>
      <c r="D1034" s="150" t="str">
        <f>IF(E1034="","",Input!$C$4+B1034-1)</f>
        <v/>
      </c>
      <c r="E1034" s="150" t="str">
        <f>IF(OR(AND(C1033=12,D1033=Input!$C$6),E1033=""),"",1)</f>
        <v/>
      </c>
      <c r="F1034" s="150" t="str">
        <f>IF(E1034="","",Input!$C$8+B1034-1)</f>
        <v/>
      </c>
      <c r="G1034" s="151" t="str">
        <f>IF(E1034="","",MAX(0,Input!$C$9-B1034))</f>
        <v/>
      </c>
      <c r="H1034" s="152" t="str">
        <f>IF(E1034="","",Input!$C$3)</f>
        <v/>
      </c>
      <c r="I1034" s="153" t="str">
        <f>IF(E1034="","",HLOOKUP($B1034,Input!$C$13:$BT$14,2))</f>
        <v/>
      </c>
      <c r="J1034" s="154"/>
      <c r="K1034" s="155" t="str">
        <f>IF($E1034="","",INDEX(Input!$C$16:$CP$16,1,$B1034))</f>
        <v/>
      </c>
      <c r="L1034" s="155" t="str">
        <f>IF($E1034="","",Input!$C$37)</f>
        <v/>
      </c>
      <c r="M1034" s="155" t="str">
        <f t="shared" si="671"/>
        <v/>
      </c>
      <c r="N1034" s="155" t="str">
        <f t="shared" si="672"/>
        <v/>
      </c>
      <c r="O1034" s="147" t="str">
        <f>IF($E1034="","",MIN(VLOOKUP(IF($B1034&lt;=Input!$C$7,$B1034,26),'Mortality Tables'!$A$41:$CW$67,IF($B1034&lt;=Input!$C$7+1,Input!$C$4+2,$D1034-Input!$C$7+2),0)*IF(B1034&gt;20,Input!$C$22,1)/1000,1))</f>
        <v/>
      </c>
      <c r="P1034" s="147" t="str">
        <f>IF($E1034="","",MIN(VLOOKUP(IF($B1034&lt;=Input!$C$7,$B1034,26),'Mortality Tables'!$A$12:$CW$37,IF($B1034&lt;=Input!$C$7+1,Input!$C$4+2,$D1034-Input!$C$7+2),0)*IF(B1034&gt;20,Input!$C$22,1)/1000,1))</f>
        <v/>
      </c>
      <c r="Q1034" s="155" t="str">
        <f>IF($E1034="","",Input!$C$21)</f>
        <v/>
      </c>
      <c r="R1034" s="159" t="str">
        <f>IF($E1034="","",(1-Q1034)^($F1034-Input!$C$20))</f>
        <v/>
      </c>
      <c r="S1034" s="147" t="str">
        <f t="shared" si="674"/>
        <v/>
      </c>
      <c r="T1034" s="147" t="str">
        <f t="shared" si="675"/>
        <v/>
      </c>
      <c r="U1034" s="160" t="str">
        <f>IF($E1034="","",IF($C1034=12,INDEX(Input!$C$15:$CP$15,1,$B1034),0))</f>
        <v/>
      </c>
      <c r="V1034" s="150" t="str">
        <f>IF(E1034="","",IF(C1034=1,IF($B1034=1,Input!$C$33,Input!$C$34),0))</f>
        <v/>
      </c>
      <c r="W1034" s="156" t="str">
        <f>IF($E1034="","",Input!$C$35)</f>
        <v/>
      </c>
      <c r="X1034" s="156" t="str">
        <f t="shared" si="673"/>
        <v/>
      </c>
      <c r="Y1034" s="154"/>
      <c r="Z1034" s="147" t="str">
        <f>IF($E1034="","",VLOOKUP($D1034,'Mortality Margins &amp; Grading'!$AB$5:$AF$125,3,0)*IF(Summary!$D$25="Included Margin",IF(AND($B1034&gt;Input!$C$9,Summary!$D$31&lt;&gt;"Included Margin"),0,1),0))</f>
        <v/>
      </c>
      <c r="AA1034" s="147" t="str">
        <f>IF($E1034="","",VLOOKUP($D1034,'Mortality Margins &amp; Grading'!$AB$5:$AF$125,5,0)*IF(Summary!$D$25="Included Margin",IF(AND($B1034&gt;Input!$C$9,Summary!$D$31&lt;&gt;"Included Margin"),0,1),0))</f>
        <v/>
      </c>
      <c r="AB1034" s="147" t="str">
        <f>IF($E1034="","",IF(AND($B1034&gt;Input!$C$9,Summary!$D$31&lt;&gt;"Included Margin"),1,IF(Summary!$D$25="Included Margin",VLOOKUP($B1034,'Mortality Margins &amp; Grading'!$AI$5:$AR$125,MATCH('Mortality Margins &amp; Grading'!$AQ$4,'Mortality Margins &amp; Grading'!$AI$4:$AR$4,0),0),1)))</f>
        <v/>
      </c>
      <c r="AC1034" s="154"/>
      <c r="AD1034" s="158" t="str">
        <f>IF(E1034="","",Input!$C$48*IF(Summary!$D$30="Included Margin",IF(AND($B1034&gt;Input!$C$9,Summary!$D$31&lt;&gt;"Included Margin"),0,1),0))</f>
        <v/>
      </c>
      <c r="AE1034" s="159" t="str">
        <f>IF(E1034="","",IF(Summary!$D$26="Included Margin",IF(AND($B1034&gt;Input!$C$9,Summary!$D$31&lt;&gt;"Included Margin"),1,1/$R1034),1))</f>
        <v/>
      </c>
      <c r="AF1034" s="160" t="str">
        <f>IF(E1034="","",IF(AND($B1034&gt;=Input!$C$9,$C1034=12,Summary!$D$31="Included Margin",$U1034&gt;0),1/U1034-1,IF($B1034&gt;=Input!$C$9,0,Input!$C$45*IF(Summary!$D$27="Included Margin",1,0))))</f>
        <v/>
      </c>
      <c r="AG1034" s="160" t="str">
        <f>IF(E1034="","",Input!$C$46*IF(Summary!$D$28="Included Margin",IF(AND($B1034&gt;Input!$C$9,Summary!$D$31&lt;&gt;"Included Margin"),0,1),0))</f>
        <v/>
      </c>
      <c r="AH1034" s="158" t="str">
        <f>IF(E1034="","",Input!$C$47*IF(Summary!$D$29="Included Margin",IF(AND($B1034&gt;Input!$C$9,Summary!$D$31&lt;&gt;"Included Margin"),0,1),0))</f>
        <v/>
      </c>
      <c r="AI1034" s="154"/>
      <c r="AJ1034" s="158" t="str">
        <f t="shared" si="689"/>
        <v/>
      </c>
      <c r="AK1034" s="155" t="str">
        <f t="shared" si="690"/>
        <v/>
      </c>
      <c r="AL1034" s="147" t="str">
        <f t="shared" si="691"/>
        <v/>
      </c>
      <c r="AM1034" s="147" t="str">
        <f t="shared" si="676"/>
        <v/>
      </c>
      <c r="AN1034" s="160" t="str">
        <f t="shared" si="692"/>
        <v/>
      </c>
      <c r="AO1034" s="161" t="str">
        <f t="shared" si="693"/>
        <v/>
      </c>
      <c r="AP1034" s="156" t="str">
        <f t="shared" si="677"/>
        <v/>
      </c>
      <c r="AQ1034" s="152"/>
      <c r="AR1034" s="162" t="str">
        <f t="shared" si="678"/>
        <v/>
      </c>
      <c r="AS1034" s="150" t="str">
        <f t="shared" si="694"/>
        <v/>
      </c>
      <c r="AT1034" s="163" t="str">
        <f t="shared" si="679"/>
        <v/>
      </c>
      <c r="AU1034" s="163" t="str">
        <f t="shared" si="680"/>
        <v/>
      </c>
      <c r="AV1034" s="163" t="str">
        <f t="shared" si="695"/>
        <v/>
      </c>
      <c r="AW1034" s="163" t="str">
        <f t="shared" si="681"/>
        <v/>
      </c>
      <c r="AX1034" s="163" t="str">
        <f t="shared" si="682"/>
        <v/>
      </c>
      <c r="AY1034" s="165" t="str">
        <f t="shared" si="696"/>
        <v/>
      </c>
      <c r="AZ1034" s="164" t="str">
        <f>IF($E1034="","",IF(OR(AND($D1034=Input!$C$6,$C1034=12),$AN1034=1),0,-AS1035+AT1035+AU1035-AV1035-AW1035-AX1035+AZ1035))</f>
        <v/>
      </c>
      <c r="BA1034" s="154" t="str">
        <f t="shared" si="683"/>
        <v/>
      </c>
      <c r="BC1034" s="147" t="str">
        <f t="shared" si="697"/>
        <v/>
      </c>
      <c r="BD1034" s="164" t="str">
        <f>IF(AND($C1033=12,$D1033=Input!$C$6),0,IF($E1034="","",AT1034+(AU1034+BD1035)/(1+$AK1034)*MIN((1-AM1034-AN1034),1)))</f>
        <v/>
      </c>
      <c r="BE1034" s="164" t="str">
        <f t="shared" si="670"/>
        <v/>
      </c>
      <c r="BF1034" s="164" t="str">
        <f t="shared" si="698"/>
        <v/>
      </c>
      <c r="BG1034" s="164" t="str">
        <f t="shared" si="684"/>
        <v/>
      </c>
      <c r="BH1034" s="152"/>
      <c r="BI1034" s="162" t="str">
        <f t="shared" si="664"/>
        <v/>
      </c>
      <c r="BJ1034" s="150" t="str">
        <f t="shared" si="665"/>
        <v/>
      </c>
      <c r="BK1034" s="163" t="str">
        <f t="shared" si="703"/>
        <v/>
      </c>
      <c r="BL1034" s="163" t="str">
        <f t="shared" si="666"/>
        <v/>
      </c>
      <c r="BM1034" s="163" t="str">
        <f t="shared" si="704"/>
        <v/>
      </c>
      <c r="BN1034" s="163" t="str">
        <f t="shared" si="667"/>
        <v/>
      </c>
      <c r="BO1034" s="163" t="str">
        <f t="shared" si="668"/>
        <v/>
      </c>
      <c r="BP1034" s="164" t="str">
        <f t="shared" si="705"/>
        <v/>
      </c>
      <c r="BQ1034" s="164" t="str">
        <f t="shared" si="699"/>
        <v/>
      </c>
      <c r="BR1034" s="154" t="str">
        <f t="shared" si="669"/>
        <v/>
      </c>
      <c r="BT1034" s="147" t="str">
        <f t="shared" si="685"/>
        <v/>
      </c>
      <c r="BU1034" s="164" t="str">
        <f>IF(AND($C1033=12,$D1033=Input!$C$6),0,IF($E1034="","",BK1034+(BL1034+BU1035)/(1+$AK1034)*MIN((1-T1034-U1034),1)))</f>
        <v/>
      </c>
      <c r="BV1034" s="164" t="str">
        <f t="shared" si="686"/>
        <v/>
      </c>
      <c r="BW1034" s="164" t="str">
        <f t="shared" si="687"/>
        <v/>
      </c>
      <c r="BX1034" s="164" t="str">
        <f t="shared" si="688"/>
        <v/>
      </c>
    </row>
    <row r="1035" spans="1:76" s="150" customFormat="1" x14ac:dyDescent="0.25">
      <c r="A1035" s="150" t="str">
        <f t="shared" si="700"/>
        <v/>
      </c>
      <c r="B1035" s="150" t="str">
        <f t="shared" si="701"/>
        <v/>
      </c>
      <c r="C1035" s="150" t="str">
        <f t="shared" si="702"/>
        <v/>
      </c>
      <c r="D1035" s="150" t="str">
        <f>IF(E1035="","",Input!$C$4+B1035-1)</f>
        <v/>
      </c>
      <c r="E1035" s="150" t="str">
        <f>IF(OR(AND(C1034=12,D1034=Input!$C$6),E1034=""),"",1)</f>
        <v/>
      </c>
      <c r="F1035" s="150" t="str">
        <f>IF(E1035="","",Input!$C$8+B1035-1)</f>
        <v/>
      </c>
      <c r="G1035" s="151" t="str">
        <f>IF(E1035="","",MAX(0,Input!$C$9-B1035))</f>
        <v/>
      </c>
      <c r="H1035" s="152" t="str">
        <f>IF(E1035="","",Input!$C$3)</f>
        <v/>
      </c>
      <c r="I1035" s="153" t="str">
        <f>IF(E1035="","",HLOOKUP($B1035,Input!$C$13:$BT$14,2))</f>
        <v/>
      </c>
      <c r="J1035" s="154"/>
      <c r="K1035" s="155" t="str">
        <f>IF($E1035="","",INDEX(Input!$C$16:$CP$16,1,$B1035))</f>
        <v/>
      </c>
      <c r="L1035" s="155" t="str">
        <f>IF($E1035="","",Input!$C$37)</f>
        <v/>
      </c>
      <c r="M1035" s="155" t="str">
        <f t="shared" si="671"/>
        <v/>
      </c>
      <c r="N1035" s="155" t="str">
        <f t="shared" si="672"/>
        <v/>
      </c>
      <c r="O1035" s="147" t="str">
        <f>IF($E1035="","",MIN(VLOOKUP(IF($B1035&lt;=Input!$C$7,$B1035,26),'Mortality Tables'!$A$41:$CW$67,IF($B1035&lt;=Input!$C$7+1,Input!$C$4+2,$D1035-Input!$C$7+2),0)*IF(B1035&gt;20,Input!$C$22,1)/1000,1))</f>
        <v/>
      </c>
      <c r="P1035" s="147" t="str">
        <f>IF($E1035="","",MIN(VLOOKUP(IF($B1035&lt;=Input!$C$7,$B1035,26),'Mortality Tables'!$A$12:$CW$37,IF($B1035&lt;=Input!$C$7+1,Input!$C$4+2,$D1035-Input!$C$7+2),0)*IF(B1035&gt;20,Input!$C$22,1)/1000,1))</f>
        <v/>
      </c>
      <c r="Q1035" s="155" t="str">
        <f>IF($E1035="","",Input!$C$21)</f>
        <v/>
      </c>
      <c r="R1035" s="159" t="str">
        <f>IF($E1035="","",(1-Q1035)^($F1035-Input!$C$20))</f>
        <v/>
      </c>
      <c r="S1035" s="147" t="str">
        <f t="shared" si="674"/>
        <v/>
      </c>
      <c r="T1035" s="147" t="str">
        <f t="shared" si="675"/>
        <v/>
      </c>
      <c r="U1035" s="160" t="str">
        <f>IF($E1035="","",IF($C1035=12,INDEX(Input!$C$15:$CP$15,1,$B1035),0))</f>
        <v/>
      </c>
      <c r="V1035" s="150" t="str">
        <f>IF(E1035="","",IF(C1035=1,IF($B1035=1,Input!$C$33,Input!$C$34),0))</f>
        <v/>
      </c>
      <c r="W1035" s="156" t="str">
        <f>IF($E1035="","",Input!$C$35)</f>
        <v/>
      </c>
      <c r="X1035" s="156" t="str">
        <f t="shared" si="673"/>
        <v/>
      </c>
      <c r="Y1035" s="154"/>
      <c r="Z1035" s="147" t="str">
        <f>IF($E1035="","",VLOOKUP($D1035,'Mortality Margins &amp; Grading'!$AB$5:$AF$125,3,0)*IF(Summary!$D$25="Included Margin",IF(AND($B1035&gt;Input!$C$9,Summary!$D$31&lt;&gt;"Included Margin"),0,1),0))</f>
        <v/>
      </c>
      <c r="AA1035" s="147" t="str">
        <f>IF($E1035="","",VLOOKUP($D1035,'Mortality Margins &amp; Grading'!$AB$5:$AF$125,5,0)*IF(Summary!$D$25="Included Margin",IF(AND($B1035&gt;Input!$C$9,Summary!$D$31&lt;&gt;"Included Margin"),0,1),0))</f>
        <v/>
      </c>
      <c r="AB1035" s="147" t="str">
        <f>IF($E1035="","",IF(AND($B1035&gt;Input!$C$9,Summary!$D$31&lt;&gt;"Included Margin"),1,IF(Summary!$D$25="Included Margin",VLOOKUP($B1035,'Mortality Margins &amp; Grading'!$AI$5:$AR$125,MATCH('Mortality Margins &amp; Grading'!$AQ$4,'Mortality Margins &amp; Grading'!$AI$4:$AR$4,0),0),1)))</f>
        <v/>
      </c>
      <c r="AC1035" s="154"/>
      <c r="AD1035" s="158" t="str">
        <f>IF(E1035="","",Input!$C$48*IF(Summary!$D$30="Included Margin",IF(AND($B1035&gt;Input!$C$9,Summary!$D$31&lt;&gt;"Included Margin"),0,1),0))</f>
        <v/>
      </c>
      <c r="AE1035" s="159" t="str">
        <f>IF(E1035="","",IF(Summary!$D$26="Included Margin",IF(AND($B1035&gt;Input!$C$9,Summary!$D$31&lt;&gt;"Included Margin"),1,1/$R1035),1))</f>
        <v/>
      </c>
      <c r="AF1035" s="160" t="str">
        <f>IF(E1035="","",IF(AND($B1035&gt;=Input!$C$9,$C1035=12,Summary!$D$31="Included Margin",$U1035&gt;0),1/U1035-1,IF($B1035&gt;=Input!$C$9,0,Input!$C$45*IF(Summary!$D$27="Included Margin",1,0))))</f>
        <v/>
      </c>
      <c r="AG1035" s="160" t="str">
        <f>IF(E1035="","",Input!$C$46*IF(Summary!$D$28="Included Margin",IF(AND($B1035&gt;Input!$C$9,Summary!$D$31&lt;&gt;"Included Margin"),0,1),0))</f>
        <v/>
      </c>
      <c r="AH1035" s="158" t="str">
        <f>IF(E1035="","",Input!$C$47*IF(Summary!$D$29="Included Margin",IF(AND($B1035&gt;Input!$C$9,Summary!$D$31&lt;&gt;"Included Margin"),0,1),0))</f>
        <v/>
      </c>
      <c r="AI1035" s="154"/>
      <c r="AJ1035" s="158" t="str">
        <f t="shared" si="689"/>
        <v/>
      </c>
      <c r="AK1035" s="155" t="str">
        <f t="shared" si="690"/>
        <v/>
      </c>
      <c r="AL1035" s="147" t="str">
        <f t="shared" si="691"/>
        <v/>
      </c>
      <c r="AM1035" s="147" t="str">
        <f t="shared" si="676"/>
        <v/>
      </c>
      <c r="AN1035" s="160" t="str">
        <f t="shared" si="692"/>
        <v/>
      </c>
      <c r="AO1035" s="161" t="str">
        <f t="shared" si="693"/>
        <v/>
      </c>
      <c r="AP1035" s="156" t="str">
        <f t="shared" si="677"/>
        <v/>
      </c>
      <c r="AQ1035" s="152"/>
      <c r="AR1035" s="162" t="str">
        <f t="shared" si="678"/>
        <v/>
      </c>
      <c r="AS1035" s="150" t="str">
        <f t="shared" si="694"/>
        <v/>
      </c>
      <c r="AT1035" s="163" t="str">
        <f t="shared" si="679"/>
        <v/>
      </c>
      <c r="AU1035" s="163" t="str">
        <f t="shared" si="680"/>
        <v/>
      </c>
      <c r="AV1035" s="163" t="str">
        <f t="shared" si="695"/>
        <v/>
      </c>
      <c r="AW1035" s="163" t="str">
        <f t="shared" si="681"/>
        <v/>
      </c>
      <c r="AX1035" s="163" t="str">
        <f t="shared" si="682"/>
        <v/>
      </c>
      <c r="AY1035" s="164" t="str">
        <f t="shared" si="696"/>
        <v/>
      </c>
      <c r="AZ1035" s="164" t="str">
        <f>IF($E1035="","",IF(OR(AND($D1035=Input!$C$6,$C1035=12),$AN1035=1),0,-AS1036+AT1036+AU1036-AV1036-AW1036-AX1036+AZ1036))</f>
        <v/>
      </c>
      <c r="BA1035" s="154" t="str">
        <f t="shared" si="683"/>
        <v/>
      </c>
      <c r="BC1035" s="147" t="str">
        <f t="shared" si="697"/>
        <v/>
      </c>
      <c r="BD1035" s="164" t="str">
        <f>IF(AND($C1034=12,$D1034=Input!$C$6),0,IF($E1035="","",AT1035+(AU1035+BD1036)/(1+$AK1035)*MIN((1-AM1035-AN1035),1)))</f>
        <v/>
      </c>
      <c r="BE1035" s="164" t="str">
        <f t="shared" si="670"/>
        <v/>
      </c>
      <c r="BF1035" s="164" t="str">
        <f t="shared" si="698"/>
        <v/>
      </c>
      <c r="BG1035" s="164" t="str">
        <f t="shared" si="684"/>
        <v/>
      </c>
      <c r="BH1035" s="152"/>
      <c r="BI1035" s="162" t="str">
        <f t="shared" si="664"/>
        <v/>
      </c>
      <c r="BJ1035" s="150" t="str">
        <f t="shared" si="665"/>
        <v/>
      </c>
      <c r="BK1035" s="163" t="str">
        <f t="shared" si="703"/>
        <v/>
      </c>
      <c r="BL1035" s="163" t="str">
        <f t="shared" si="666"/>
        <v/>
      </c>
      <c r="BM1035" s="163" t="str">
        <f t="shared" si="704"/>
        <v/>
      </c>
      <c r="BN1035" s="163" t="str">
        <f t="shared" si="667"/>
        <v/>
      </c>
      <c r="BO1035" s="163" t="str">
        <f t="shared" si="668"/>
        <v/>
      </c>
      <c r="BP1035" s="164" t="str">
        <f t="shared" si="705"/>
        <v/>
      </c>
      <c r="BQ1035" s="164" t="str">
        <f t="shared" si="699"/>
        <v/>
      </c>
      <c r="BR1035" s="154" t="str">
        <f t="shared" si="669"/>
        <v/>
      </c>
      <c r="BT1035" s="147" t="str">
        <f t="shared" si="685"/>
        <v/>
      </c>
      <c r="BU1035" s="164" t="str">
        <f>IF(AND($C1034=12,$D1034=Input!$C$6),0,IF($E1035="","",BK1035+(BL1035+BU1036)/(1+$AK1035)*MIN((1-T1035-U1035),1)))</f>
        <v/>
      </c>
      <c r="BV1035" s="164" t="str">
        <f t="shared" si="686"/>
        <v/>
      </c>
      <c r="BW1035" s="164" t="str">
        <f t="shared" si="687"/>
        <v/>
      </c>
      <c r="BX1035" s="164" t="str">
        <f t="shared" si="688"/>
        <v/>
      </c>
    </row>
    <row r="1036" spans="1:76" s="150" customFormat="1" x14ac:dyDescent="0.25">
      <c r="A1036" s="150" t="str">
        <f t="shared" si="700"/>
        <v/>
      </c>
      <c r="B1036" s="150" t="str">
        <f t="shared" si="701"/>
        <v/>
      </c>
      <c r="C1036" s="150" t="str">
        <f t="shared" si="702"/>
        <v/>
      </c>
      <c r="D1036" s="150" t="str">
        <f>IF(E1036="","",Input!$C$4+B1036-1)</f>
        <v/>
      </c>
      <c r="E1036" s="150" t="str">
        <f>IF(OR(AND(C1035=12,D1035=Input!$C$6),E1035=""),"",1)</f>
        <v/>
      </c>
      <c r="F1036" s="150" t="str">
        <f>IF(E1036="","",Input!$C$8+B1036-1)</f>
        <v/>
      </c>
      <c r="G1036" s="151" t="str">
        <f>IF(E1036="","",MAX(0,Input!$C$9-B1036))</f>
        <v/>
      </c>
      <c r="H1036" s="152" t="str">
        <f>IF(E1036="","",Input!$C$3)</f>
        <v/>
      </c>
      <c r="I1036" s="153" t="str">
        <f>IF(E1036="","",HLOOKUP($B1036,Input!$C$13:$BT$14,2))</f>
        <v/>
      </c>
      <c r="J1036" s="154"/>
      <c r="K1036" s="155" t="str">
        <f>IF($E1036="","",INDEX(Input!$C$16:$CP$16,1,$B1036))</f>
        <v/>
      </c>
      <c r="L1036" s="155" t="str">
        <f>IF($E1036="","",Input!$C$37)</f>
        <v/>
      </c>
      <c r="M1036" s="155" t="str">
        <f t="shared" si="671"/>
        <v/>
      </c>
      <c r="N1036" s="155" t="str">
        <f t="shared" si="672"/>
        <v/>
      </c>
      <c r="O1036" s="147" t="str">
        <f>IF($E1036="","",MIN(VLOOKUP(IF($B1036&lt;=Input!$C$7,$B1036,26),'Mortality Tables'!$A$41:$CW$67,IF($B1036&lt;=Input!$C$7+1,Input!$C$4+2,$D1036-Input!$C$7+2),0)*IF(B1036&gt;20,Input!$C$22,1)/1000,1))</f>
        <v/>
      </c>
      <c r="P1036" s="147" t="str">
        <f>IF($E1036="","",MIN(VLOOKUP(IF($B1036&lt;=Input!$C$7,$B1036,26),'Mortality Tables'!$A$12:$CW$37,IF($B1036&lt;=Input!$C$7+1,Input!$C$4+2,$D1036-Input!$C$7+2),0)*IF(B1036&gt;20,Input!$C$22,1)/1000,1))</f>
        <v/>
      </c>
      <c r="Q1036" s="155" t="str">
        <f>IF($E1036="","",Input!$C$21)</f>
        <v/>
      </c>
      <c r="R1036" s="159" t="str">
        <f>IF($E1036="","",(1-Q1036)^($F1036-Input!$C$20))</f>
        <v/>
      </c>
      <c r="S1036" s="147" t="str">
        <f t="shared" si="674"/>
        <v/>
      </c>
      <c r="T1036" s="147" t="str">
        <f t="shared" si="675"/>
        <v/>
      </c>
      <c r="U1036" s="160" t="str">
        <f>IF($E1036="","",IF($C1036=12,INDEX(Input!$C$15:$CP$15,1,$B1036),0))</f>
        <v/>
      </c>
      <c r="V1036" s="150" t="str">
        <f>IF(E1036="","",IF(C1036=1,IF($B1036=1,Input!$C$33,Input!$C$34),0))</f>
        <v/>
      </c>
      <c r="W1036" s="156" t="str">
        <f>IF($E1036="","",Input!$C$35)</f>
        <v/>
      </c>
      <c r="X1036" s="156" t="str">
        <f t="shared" si="673"/>
        <v/>
      </c>
      <c r="Y1036" s="154"/>
      <c r="Z1036" s="147" t="str">
        <f>IF($E1036="","",VLOOKUP($D1036,'Mortality Margins &amp; Grading'!$AB$5:$AF$125,3,0)*IF(Summary!$D$25="Included Margin",IF(AND($B1036&gt;Input!$C$9,Summary!$D$31&lt;&gt;"Included Margin"),0,1),0))</f>
        <v/>
      </c>
      <c r="AA1036" s="147" t="str">
        <f>IF($E1036="","",VLOOKUP($D1036,'Mortality Margins &amp; Grading'!$AB$5:$AF$125,5,0)*IF(Summary!$D$25="Included Margin",IF(AND($B1036&gt;Input!$C$9,Summary!$D$31&lt;&gt;"Included Margin"),0,1),0))</f>
        <v/>
      </c>
      <c r="AB1036" s="147" t="str">
        <f>IF($E1036="","",IF(AND($B1036&gt;Input!$C$9,Summary!$D$31&lt;&gt;"Included Margin"),1,IF(Summary!$D$25="Included Margin",VLOOKUP($B1036,'Mortality Margins &amp; Grading'!$AI$5:$AR$125,MATCH('Mortality Margins &amp; Grading'!$AQ$4,'Mortality Margins &amp; Grading'!$AI$4:$AR$4,0),0),1)))</f>
        <v/>
      </c>
      <c r="AC1036" s="154"/>
      <c r="AD1036" s="158" t="str">
        <f>IF(E1036="","",Input!$C$48*IF(Summary!$D$30="Included Margin",IF(AND($B1036&gt;Input!$C$9,Summary!$D$31&lt;&gt;"Included Margin"),0,1),0))</f>
        <v/>
      </c>
      <c r="AE1036" s="159" t="str">
        <f>IF(E1036="","",IF(Summary!$D$26="Included Margin",IF(AND($B1036&gt;Input!$C$9,Summary!$D$31&lt;&gt;"Included Margin"),1,1/$R1036),1))</f>
        <v/>
      </c>
      <c r="AF1036" s="160" t="str">
        <f>IF(E1036="","",IF(AND($B1036&gt;=Input!$C$9,$C1036=12,Summary!$D$31="Included Margin",$U1036&gt;0),1/U1036-1,IF($B1036&gt;=Input!$C$9,0,Input!$C$45*IF(Summary!$D$27="Included Margin",1,0))))</f>
        <v/>
      </c>
      <c r="AG1036" s="160" t="str">
        <f>IF(E1036="","",Input!$C$46*IF(Summary!$D$28="Included Margin",IF(AND($B1036&gt;Input!$C$9,Summary!$D$31&lt;&gt;"Included Margin"),0,1),0))</f>
        <v/>
      </c>
      <c r="AH1036" s="158" t="str">
        <f>IF(E1036="","",Input!$C$47*IF(Summary!$D$29="Included Margin",IF(AND($B1036&gt;Input!$C$9,Summary!$D$31&lt;&gt;"Included Margin"),0,1),0))</f>
        <v/>
      </c>
      <c r="AI1036" s="154"/>
      <c r="AJ1036" s="158" t="str">
        <f t="shared" si="689"/>
        <v/>
      </c>
      <c r="AK1036" s="155" t="str">
        <f t="shared" si="690"/>
        <v/>
      </c>
      <c r="AL1036" s="147" t="str">
        <f t="shared" si="691"/>
        <v/>
      </c>
      <c r="AM1036" s="147" t="str">
        <f t="shared" si="676"/>
        <v/>
      </c>
      <c r="AN1036" s="160" t="str">
        <f t="shared" si="692"/>
        <v/>
      </c>
      <c r="AO1036" s="161" t="str">
        <f t="shared" si="693"/>
        <v/>
      </c>
      <c r="AP1036" s="156" t="str">
        <f t="shared" si="677"/>
        <v/>
      </c>
      <c r="AQ1036" s="152"/>
      <c r="AR1036" s="162" t="str">
        <f t="shared" si="678"/>
        <v/>
      </c>
      <c r="AS1036" s="150" t="str">
        <f t="shared" si="694"/>
        <v/>
      </c>
      <c r="AT1036" s="163" t="str">
        <f t="shared" si="679"/>
        <v/>
      </c>
      <c r="AU1036" s="163" t="str">
        <f t="shared" si="680"/>
        <v/>
      </c>
      <c r="AV1036" s="163" t="str">
        <f t="shared" si="695"/>
        <v/>
      </c>
      <c r="AW1036" s="163" t="str">
        <f t="shared" si="681"/>
        <v/>
      </c>
      <c r="AX1036" s="163" t="str">
        <f t="shared" si="682"/>
        <v/>
      </c>
      <c r="AY1036" s="165" t="str">
        <f t="shared" si="696"/>
        <v/>
      </c>
      <c r="AZ1036" s="164" t="str">
        <f>IF($E1036="","",IF(OR(AND($D1036=Input!$C$6,$C1036=12),$AN1036=1),0,-AS1037+AT1037+AU1037-AV1037-AW1037-AX1037+AZ1037))</f>
        <v/>
      </c>
      <c r="BA1036" s="154" t="str">
        <f t="shared" si="683"/>
        <v/>
      </c>
      <c r="BC1036" s="147" t="str">
        <f t="shared" si="697"/>
        <v/>
      </c>
      <c r="BD1036" s="164" t="str">
        <f>IF(AND($C1035=12,$D1035=Input!$C$6),0,IF($E1036="","",AT1036+(AU1036+BD1037)/(1+$AK1036)*MIN((1-AM1036-AN1036),1)))</f>
        <v/>
      </c>
      <c r="BE1036" s="164" t="str">
        <f t="shared" si="670"/>
        <v/>
      </c>
      <c r="BF1036" s="164" t="str">
        <f t="shared" si="698"/>
        <v/>
      </c>
      <c r="BG1036" s="164" t="str">
        <f t="shared" si="684"/>
        <v/>
      </c>
      <c r="BH1036" s="152"/>
      <c r="BI1036" s="162" t="str">
        <f t="shared" si="664"/>
        <v/>
      </c>
      <c r="BJ1036" s="150" t="str">
        <f t="shared" si="665"/>
        <v/>
      </c>
      <c r="BK1036" s="163" t="str">
        <f t="shared" si="703"/>
        <v/>
      </c>
      <c r="BL1036" s="163" t="str">
        <f t="shared" si="666"/>
        <v/>
      </c>
      <c r="BM1036" s="163" t="str">
        <f t="shared" si="704"/>
        <v/>
      </c>
      <c r="BN1036" s="163" t="str">
        <f t="shared" si="667"/>
        <v/>
      </c>
      <c r="BO1036" s="163" t="str">
        <f t="shared" si="668"/>
        <v/>
      </c>
      <c r="BP1036" s="164" t="str">
        <f t="shared" si="705"/>
        <v/>
      </c>
      <c r="BQ1036" s="164" t="str">
        <f t="shared" si="699"/>
        <v/>
      </c>
      <c r="BR1036" s="154" t="str">
        <f t="shared" si="669"/>
        <v/>
      </c>
      <c r="BT1036" s="147" t="str">
        <f t="shared" si="685"/>
        <v/>
      </c>
      <c r="BU1036" s="164" t="str">
        <f>IF(AND($C1035=12,$D1035=Input!$C$6),0,IF($E1036="","",BK1036+(BL1036+BU1037)/(1+$AK1036)*MIN((1-T1036-U1036),1)))</f>
        <v/>
      </c>
      <c r="BV1036" s="164" t="str">
        <f t="shared" si="686"/>
        <v/>
      </c>
      <c r="BW1036" s="164" t="str">
        <f t="shared" si="687"/>
        <v/>
      </c>
      <c r="BX1036" s="164" t="str">
        <f t="shared" si="688"/>
        <v/>
      </c>
    </row>
    <row r="1037" spans="1:76" s="150" customFormat="1" x14ac:dyDescent="0.25">
      <c r="A1037" s="150" t="str">
        <f t="shared" si="700"/>
        <v/>
      </c>
      <c r="B1037" s="150" t="str">
        <f t="shared" si="701"/>
        <v/>
      </c>
      <c r="C1037" s="150" t="str">
        <f t="shared" si="702"/>
        <v/>
      </c>
      <c r="D1037" s="150" t="str">
        <f>IF(E1037="","",Input!$C$4+B1037-1)</f>
        <v/>
      </c>
      <c r="E1037" s="150" t="str">
        <f>IF(OR(AND(C1036=12,D1036=Input!$C$6),E1036=""),"",1)</f>
        <v/>
      </c>
      <c r="F1037" s="150" t="str">
        <f>IF(E1037="","",Input!$C$8+B1037-1)</f>
        <v/>
      </c>
      <c r="G1037" s="151" t="str">
        <f>IF(E1037="","",MAX(0,Input!$C$9-B1037))</f>
        <v/>
      </c>
      <c r="H1037" s="152" t="str">
        <f>IF(E1037="","",Input!$C$3)</f>
        <v/>
      </c>
      <c r="I1037" s="153" t="str">
        <f>IF(E1037="","",HLOOKUP($B1037,Input!$C$13:$BT$14,2))</f>
        <v/>
      </c>
      <c r="J1037" s="154"/>
      <c r="K1037" s="155" t="str">
        <f>IF($E1037="","",INDEX(Input!$C$16:$CP$16,1,$B1037))</f>
        <v/>
      </c>
      <c r="L1037" s="155" t="str">
        <f>IF($E1037="","",Input!$C$37)</f>
        <v/>
      </c>
      <c r="M1037" s="155" t="str">
        <f t="shared" si="671"/>
        <v/>
      </c>
      <c r="N1037" s="155" t="str">
        <f t="shared" si="672"/>
        <v/>
      </c>
      <c r="O1037" s="147" t="str">
        <f>IF($E1037="","",MIN(VLOOKUP(IF($B1037&lt;=Input!$C$7,$B1037,26),'Mortality Tables'!$A$41:$CW$67,IF($B1037&lt;=Input!$C$7+1,Input!$C$4+2,$D1037-Input!$C$7+2),0)*IF(B1037&gt;20,Input!$C$22,1)/1000,1))</f>
        <v/>
      </c>
      <c r="P1037" s="147" t="str">
        <f>IF($E1037="","",MIN(VLOOKUP(IF($B1037&lt;=Input!$C$7,$B1037,26),'Mortality Tables'!$A$12:$CW$37,IF($B1037&lt;=Input!$C$7+1,Input!$C$4+2,$D1037-Input!$C$7+2),0)*IF(B1037&gt;20,Input!$C$22,1)/1000,1))</f>
        <v/>
      </c>
      <c r="Q1037" s="155" t="str">
        <f>IF($E1037="","",Input!$C$21)</f>
        <v/>
      </c>
      <c r="R1037" s="159" t="str">
        <f>IF($E1037="","",(1-Q1037)^($F1037-Input!$C$20))</f>
        <v/>
      </c>
      <c r="S1037" s="147" t="str">
        <f t="shared" si="674"/>
        <v/>
      </c>
      <c r="T1037" s="147" t="str">
        <f t="shared" si="675"/>
        <v/>
      </c>
      <c r="U1037" s="160" t="str">
        <f>IF($E1037="","",IF($C1037=12,INDEX(Input!$C$15:$CP$15,1,$B1037),0))</f>
        <v/>
      </c>
      <c r="V1037" s="150" t="str">
        <f>IF(E1037="","",IF(C1037=1,IF($B1037=1,Input!$C$33,Input!$C$34),0))</f>
        <v/>
      </c>
      <c r="W1037" s="156" t="str">
        <f>IF($E1037="","",Input!$C$35)</f>
        <v/>
      </c>
      <c r="X1037" s="156" t="str">
        <f t="shared" si="673"/>
        <v/>
      </c>
      <c r="Y1037" s="154"/>
      <c r="Z1037" s="147" t="str">
        <f>IF($E1037="","",VLOOKUP($D1037,'Mortality Margins &amp; Grading'!$AB$5:$AF$125,3,0)*IF(Summary!$D$25="Included Margin",IF(AND($B1037&gt;Input!$C$9,Summary!$D$31&lt;&gt;"Included Margin"),0,1),0))</f>
        <v/>
      </c>
      <c r="AA1037" s="147" t="str">
        <f>IF($E1037="","",VLOOKUP($D1037,'Mortality Margins &amp; Grading'!$AB$5:$AF$125,5,0)*IF(Summary!$D$25="Included Margin",IF(AND($B1037&gt;Input!$C$9,Summary!$D$31&lt;&gt;"Included Margin"),0,1),0))</f>
        <v/>
      </c>
      <c r="AB1037" s="147" t="str">
        <f>IF($E1037="","",IF(AND($B1037&gt;Input!$C$9,Summary!$D$31&lt;&gt;"Included Margin"),1,IF(Summary!$D$25="Included Margin",VLOOKUP($B1037,'Mortality Margins &amp; Grading'!$AI$5:$AR$125,MATCH('Mortality Margins &amp; Grading'!$AQ$4,'Mortality Margins &amp; Grading'!$AI$4:$AR$4,0),0),1)))</f>
        <v/>
      </c>
      <c r="AC1037" s="154"/>
      <c r="AD1037" s="158" t="str">
        <f>IF(E1037="","",Input!$C$48*IF(Summary!$D$30="Included Margin",IF(AND($B1037&gt;Input!$C$9,Summary!$D$31&lt;&gt;"Included Margin"),0,1),0))</f>
        <v/>
      </c>
      <c r="AE1037" s="159" t="str">
        <f>IF(E1037="","",IF(Summary!$D$26="Included Margin",IF(AND($B1037&gt;Input!$C$9,Summary!$D$31&lt;&gt;"Included Margin"),1,1/$R1037),1))</f>
        <v/>
      </c>
      <c r="AF1037" s="160" t="str">
        <f>IF(E1037="","",IF(AND($B1037&gt;=Input!$C$9,$C1037=12,Summary!$D$31="Included Margin",$U1037&gt;0),1/U1037-1,IF($B1037&gt;=Input!$C$9,0,Input!$C$45*IF(Summary!$D$27="Included Margin",1,0))))</f>
        <v/>
      </c>
      <c r="AG1037" s="160" t="str">
        <f>IF(E1037="","",Input!$C$46*IF(Summary!$D$28="Included Margin",IF(AND($B1037&gt;Input!$C$9,Summary!$D$31&lt;&gt;"Included Margin"),0,1),0))</f>
        <v/>
      </c>
      <c r="AH1037" s="158" t="str">
        <f>IF(E1037="","",Input!$C$47*IF(Summary!$D$29="Included Margin",IF(AND($B1037&gt;Input!$C$9,Summary!$D$31&lt;&gt;"Included Margin"),0,1),0))</f>
        <v/>
      </c>
      <c r="AI1037" s="154"/>
      <c r="AJ1037" s="158" t="str">
        <f t="shared" si="689"/>
        <v/>
      </c>
      <c r="AK1037" s="155" t="str">
        <f t="shared" si="690"/>
        <v/>
      </c>
      <c r="AL1037" s="147" t="str">
        <f t="shared" si="691"/>
        <v/>
      </c>
      <c r="AM1037" s="147" t="str">
        <f t="shared" si="676"/>
        <v/>
      </c>
      <c r="AN1037" s="160" t="str">
        <f t="shared" si="692"/>
        <v/>
      </c>
      <c r="AO1037" s="161" t="str">
        <f t="shared" si="693"/>
        <v/>
      </c>
      <c r="AP1037" s="156" t="str">
        <f t="shared" si="677"/>
        <v/>
      </c>
      <c r="AQ1037" s="152"/>
      <c r="AR1037" s="162" t="str">
        <f t="shared" si="678"/>
        <v/>
      </c>
      <c r="AS1037" s="150" t="str">
        <f t="shared" si="694"/>
        <v/>
      </c>
      <c r="AT1037" s="163" t="str">
        <f t="shared" si="679"/>
        <v/>
      </c>
      <c r="AU1037" s="163" t="str">
        <f t="shared" si="680"/>
        <v/>
      </c>
      <c r="AV1037" s="163" t="str">
        <f t="shared" si="695"/>
        <v/>
      </c>
      <c r="AW1037" s="163" t="str">
        <f t="shared" si="681"/>
        <v/>
      </c>
      <c r="AX1037" s="163" t="str">
        <f t="shared" si="682"/>
        <v/>
      </c>
      <c r="AY1037" s="164" t="str">
        <f t="shared" si="696"/>
        <v/>
      </c>
      <c r="AZ1037" s="164" t="str">
        <f>IF($E1037="","",IF(OR(AND($D1037=Input!$C$6,$C1037=12),$AN1037=1),0,-AS1038+AT1038+AU1038-AV1038-AW1038-AX1038+AZ1038))</f>
        <v/>
      </c>
      <c r="BA1037" s="154" t="str">
        <f t="shared" si="683"/>
        <v/>
      </c>
      <c r="BC1037" s="147" t="str">
        <f t="shared" si="697"/>
        <v/>
      </c>
      <c r="BD1037" s="164" t="str">
        <f>IF(AND($C1036=12,$D1036=Input!$C$6),0,IF($E1037="","",AT1037+(AU1037+BD1038)/(1+$AK1037)*MIN((1-AM1037-AN1037),1)))</f>
        <v/>
      </c>
      <c r="BE1037" s="164" t="str">
        <f t="shared" si="670"/>
        <v/>
      </c>
      <c r="BF1037" s="164" t="str">
        <f t="shared" si="698"/>
        <v/>
      </c>
      <c r="BG1037" s="164" t="str">
        <f t="shared" si="684"/>
        <v/>
      </c>
      <c r="BH1037" s="152"/>
      <c r="BI1037" s="162" t="str">
        <f t="shared" si="664"/>
        <v/>
      </c>
      <c r="BJ1037" s="150" t="str">
        <f t="shared" si="665"/>
        <v/>
      </c>
      <c r="BK1037" s="163" t="str">
        <f t="shared" si="703"/>
        <v/>
      </c>
      <c r="BL1037" s="163" t="str">
        <f t="shared" si="666"/>
        <v/>
      </c>
      <c r="BM1037" s="163" t="str">
        <f t="shared" si="704"/>
        <v/>
      </c>
      <c r="BN1037" s="163" t="str">
        <f t="shared" si="667"/>
        <v/>
      </c>
      <c r="BO1037" s="163" t="str">
        <f t="shared" si="668"/>
        <v/>
      </c>
      <c r="BP1037" s="164" t="str">
        <f t="shared" si="705"/>
        <v/>
      </c>
      <c r="BQ1037" s="164" t="str">
        <f t="shared" si="699"/>
        <v/>
      </c>
      <c r="BR1037" s="154" t="str">
        <f t="shared" si="669"/>
        <v/>
      </c>
      <c r="BT1037" s="147" t="str">
        <f t="shared" si="685"/>
        <v/>
      </c>
      <c r="BU1037" s="164" t="str">
        <f>IF(AND($C1036=12,$D1036=Input!$C$6),0,IF($E1037="","",BK1037+(BL1037+BU1038)/(1+$AK1037)*MIN((1-T1037-U1037),1)))</f>
        <v/>
      </c>
      <c r="BV1037" s="164" t="str">
        <f t="shared" si="686"/>
        <v/>
      </c>
      <c r="BW1037" s="164" t="str">
        <f t="shared" si="687"/>
        <v/>
      </c>
      <c r="BX1037" s="164" t="str">
        <f t="shared" si="688"/>
        <v/>
      </c>
    </row>
    <row r="1038" spans="1:76" s="150" customFormat="1" x14ac:dyDescent="0.25">
      <c r="A1038" s="150" t="str">
        <f t="shared" si="700"/>
        <v/>
      </c>
      <c r="B1038" s="150" t="str">
        <f t="shared" si="701"/>
        <v/>
      </c>
      <c r="C1038" s="150" t="str">
        <f t="shared" si="702"/>
        <v/>
      </c>
      <c r="D1038" s="150" t="str">
        <f>IF(E1038="","",Input!$C$4+B1038-1)</f>
        <v/>
      </c>
      <c r="E1038" s="150" t="str">
        <f>IF(OR(AND(C1037=12,D1037=Input!$C$6),E1037=""),"",1)</f>
        <v/>
      </c>
      <c r="F1038" s="150" t="str">
        <f>IF(E1038="","",Input!$C$8+B1038-1)</f>
        <v/>
      </c>
      <c r="G1038" s="151" t="str">
        <f>IF(E1038="","",MAX(0,Input!$C$9-B1038))</f>
        <v/>
      </c>
      <c r="H1038" s="152" t="str">
        <f>IF(E1038="","",Input!$C$3)</f>
        <v/>
      </c>
      <c r="I1038" s="153" t="str">
        <f>IF(E1038="","",HLOOKUP($B1038,Input!$C$13:$BT$14,2))</f>
        <v/>
      </c>
      <c r="J1038" s="154"/>
      <c r="K1038" s="155" t="str">
        <f>IF($E1038="","",INDEX(Input!$C$16:$CP$16,1,$B1038))</f>
        <v/>
      </c>
      <c r="L1038" s="155" t="str">
        <f>IF($E1038="","",Input!$C$37)</f>
        <v/>
      </c>
      <c r="M1038" s="155" t="str">
        <f t="shared" si="671"/>
        <v/>
      </c>
      <c r="N1038" s="155" t="str">
        <f t="shared" si="672"/>
        <v/>
      </c>
      <c r="O1038" s="147" t="str">
        <f>IF($E1038="","",MIN(VLOOKUP(IF($B1038&lt;=Input!$C$7,$B1038,26),'Mortality Tables'!$A$41:$CW$67,IF($B1038&lt;=Input!$C$7+1,Input!$C$4+2,$D1038-Input!$C$7+2),0)*IF(B1038&gt;20,Input!$C$22,1)/1000,1))</f>
        <v/>
      </c>
      <c r="P1038" s="147" t="str">
        <f>IF($E1038="","",MIN(VLOOKUP(IF($B1038&lt;=Input!$C$7,$B1038,26),'Mortality Tables'!$A$12:$CW$37,IF($B1038&lt;=Input!$C$7+1,Input!$C$4+2,$D1038-Input!$C$7+2),0)*IF(B1038&gt;20,Input!$C$22,1)/1000,1))</f>
        <v/>
      </c>
      <c r="Q1038" s="155" t="str">
        <f>IF($E1038="","",Input!$C$21)</f>
        <v/>
      </c>
      <c r="R1038" s="159" t="str">
        <f>IF($E1038="","",(1-Q1038)^($F1038-Input!$C$20))</f>
        <v/>
      </c>
      <c r="S1038" s="147" t="str">
        <f t="shared" si="674"/>
        <v/>
      </c>
      <c r="T1038" s="147" t="str">
        <f t="shared" si="675"/>
        <v/>
      </c>
      <c r="U1038" s="160" t="str">
        <f>IF($E1038="","",IF($C1038=12,INDEX(Input!$C$15:$CP$15,1,$B1038),0))</f>
        <v/>
      </c>
      <c r="V1038" s="150" t="str">
        <f>IF(E1038="","",IF(C1038=1,IF($B1038=1,Input!$C$33,Input!$C$34),0))</f>
        <v/>
      </c>
      <c r="W1038" s="156" t="str">
        <f>IF($E1038="","",Input!$C$35)</f>
        <v/>
      </c>
      <c r="X1038" s="156" t="str">
        <f t="shared" si="673"/>
        <v/>
      </c>
      <c r="Y1038" s="154"/>
      <c r="Z1038" s="147" t="str">
        <f>IF($E1038="","",VLOOKUP($D1038,'Mortality Margins &amp; Grading'!$AB$5:$AF$125,3,0)*IF(Summary!$D$25="Included Margin",IF(AND($B1038&gt;Input!$C$9,Summary!$D$31&lt;&gt;"Included Margin"),0,1),0))</f>
        <v/>
      </c>
      <c r="AA1038" s="147" t="str">
        <f>IF($E1038="","",VLOOKUP($D1038,'Mortality Margins &amp; Grading'!$AB$5:$AF$125,5,0)*IF(Summary!$D$25="Included Margin",IF(AND($B1038&gt;Input!$C$9,Summary!$D$31&lt;&gt;"Included Margin"),0,1),0))</f>
        <v/>
      </c>
      <c r="AB1038" s="147" t="str">
        <f>IF($E1038="","",IF(AND($B1038&gt;Input!$C$9,Summary!$D$31&lt;&gt;"Included Margin"),1,IF(Summary!$D$25="Included Margin",VLOOKUP($B1038,'Mortality Margins &amp; Grading'!$AI$5:$AR$125,MATCH('Mortality Margins &amp; Grading'!$AQ$4,'Mortality Margins &amp; Grading'!$AI$4:$AR$4,0),0),1)))</f>
        <v/>
      </c>
      <c r="AC1038" s="154"/>
      <c r="AD1038" s="158" t="str">
        <f>IF(E1038="","",Input!$C$48*IF(Summary!$D$30="Included Margin",IF(AND($B1038&gt;Input!$C$9,Summary!$D$31&lt;&gt;"Included Margin"),0,1),0))</f>
        <v/>
      </c>
      <c r="AE1038" s="159" t="str">
        <f>IF(E1038="","",IF(Summary!$D$26="Included Margin",IF(AND($B1038&gt;Input!$C$9,Summary!$D$31&lt;&gt;"Included Margin"),1,1/$R1038),1))</f>
        <v/>
      </c>
      <c r="AF1038" s="160" t="str">
        <f>IF(E1038="","",IF(AND($B1038&gt;=Input!$C$9,$C1038=12,Summary!$D$31="Included Margin",$U1038&gt;0),1/U1038-1,IF($B1038&gt;=Input!$C$9,0,Input!$C$45*IF(Summary!$D$27="Included Margin",1,0))))</f>
        <v/>
      </c>
      <c r="AG1038" s="160" t="str">
        <f>IF(E1038="","",Input!$C$46*IF(Summary!$D$28="Included Margin",IF(AND($B1038&gt;Input!$C$9,Summary!$D$31&lt;&gt;"Included Margin"),0,1),0))</f>
        <v/>
      </c>
      <c r="AH1038" s="158" t="str">
        <f>IF(E1038="","",Input!$C$47*IF(Summary!$D$29="Included Margin",IF(AND($B1038&gt;Input!$C$9,Summary!$D$31&lt;&gt;"Included Margin"),0,1),0))</f>
        <v/>
      </c>
      <c r="AI1038" s="154"/>
      <c r="AJ1038" s="158" t="str">
        <f t="shared" si="689"/>
        <v/>
      </c>
      <c r="AK1038" s="155" t="str">
        <f t="shared" si="690"/>
        <v/>
      </c>
      <c r="AL1038" s="147" t="str">
        <f t="shared" si="691"/>
        <v/>
      </c>
      <c r="AM1038" s="147" t="str">
        <f t="shared" si="676"/>
        <v/>
      </c>
      <c r="AN1038" s="160" t="str">
        <f t="shared" si="692"/>
        <v/>
      </c>
      <c r="AO1038" s="161" t="str">
        <f t="shared" si="693"/>
        <v/>
      </c>
      <c r="AP1038" s="156" t="str">
        <f t="shared" si="677"/>
        <v/>
      </c>
      <c r="AQ1038" s="152"/>
      <c r="AR1038" s="162" t="str">
        <f t="shared" si="678"/>
        <v/>
      </c>
      <c r="AS1038" s="150" t="str">
        <f t="shared" si="694"/>
        <v/>
      </c>
      <c r="AT1038" s="163" t="str">
        <f t="shared" si="679"/>
        <v/>
      </c>
      <c r="AU1038" s="163" t="str">
        <f t="shared" si="680"/>
        <v/>
      </c>
      <c r="AV1038" s="163" t="str">
        <f t="shared" si="695"/>
        <v/>
      </c>
      <c r="AW1038" s="163" t="str">
        <f t="shared" si="681"/>
        <v/>
      </c>
      <c r="AX1038" s="163" t="str">
        <f t="shared" si="682"/>
        <v/>
      </c>
      <c r="AY1038" s="165" t="str">
        <f t="shared" si="696"/>
        <v/>
      </c>
      <c r="AZ1038" s="164" t="str">
        <f>IF($E1038="","",IF(OR(AND($D1038=Input!$C$6,$C1038=12),$AN1038=1),0,-AS1039+AT1039+AU1039-AV1039-AW1039-AX1039+AZ1039))</f>
        <v/>
      </c>
      <c r="BA1038" s="154" t="str">
        <f t="shared" si="683"/>
        <v/>
      </c>
      <c r="BC1038" s="147" t="str">
        <f t="shared" si="697"/>
        <v/>
      </c>
      <c r="BD1038" s="164" t="str">
        <f>IF(AND($C1037=12,$D1037=Input!$C$6),0,IF($E1038="","",AT1038+(AU1038+BD1039)/(1+$AK1038)*MIN((1-AM1038-AN1038),1)))</f>
        <v/>
      </c>
      <c r="BE1038" s="164" t="str">
        <f t="shared" si="670"/>
        <v/>
      </c>
      <c r="BF1038" s="164" t="str">
        <f t="shared" si="698"/>
        <v/>
      </c>
      <c r="BG1038" s="164" t="str">
        <f t="shared" si="684"/>
        <v/>
      </c>
      <c r="BH1038" s="152"/>
      <c r="BI1038" s="162" t="str">
        <f t="shared" si="664"/>
        <v/>
      </c>
      <c r="BJ1038" s="150" t="str">
        <f t="shared" si="665"/>
        <v/>
      </c>
      <c r="BK1038" s="163" t="str">
        <f t="shared" si="703"/>
        <v/>
      </c>
      <c r="BL1038" s="163" t="str">
        <f t="shared" si="666"/>
        <v/>
      </c>
      <c r="BM1038" s="163" t="str">
        <f t="shared" si="704"/>
        <v/>
      </c>
      <c r="BN1038" s="163" t="str">
        <f t="shared" si="667"/>
        <v/>
      </c>
      <c r="BO1038" s="163" t="str">
        <f t="shared" si="668"/>
        <v/>
      </c>
      <c r="BP1038" s="164" t="str">
        <f t="shared" si="705"/>
        <v/>
      </c>
      <c r="BQ1038" s="164" t="str">
        <f t="shared" si="699"/>
        <v/>
      </c>
      <c r="BR1038" s="154" t="str">
        <f t="shared" si="669"/>
        <v/>
      </c>
      <c r="BT1038" s="147" t="str">
        <f t="shared" si="685"/>
        <v/>
      </c>
      <c r="BU1038" s="164" t="str">
        <f>IF(AND($C1037=12,$D1037=Input!$C$6),0,IF($E1038="","",BK1038+(BL1038+BU1039)/(1+$AK1038)*MIN((1-T1038-U1038),1)))</f>
        <v/>
      </c>
      <c r="BV1038" s="164" t="str">
        <f t="shared" si="686"/>
        <v/>
      </c>
      <c r="BW1038" s="164" t="str">
        <f t="shared" si="687"/>
        <v/>
      </c>
      <c r="BX1038" s="164" t="str">
        <f t="shared" si="688"/>
        <v/>
      </c>
    </row>
    <row r="1039" spans="1:76" s="150" customFormat="1" x14ac:dyDescent="0.25">
      <c r="A1039" s="150" t="str">
        <f t="shared" si="700"/>
        <v/>
      </c>
      <c r="B1039" s="150" t="str">
        <f t="shared" si="701"/>
        <v/>
      </c>
      <c r="C1039" s="150" t="str">
        <f t="shared" si="702"/>
        <v/>
      </c>
      <c r="D1039" s="150" t="str">
        <f>IF(E1039="","",Input!$C$4+B1039-1)</f>
        <v/>
      </c>
      <c r="E1039" s="150" t="str">
        <f>IF(OR(AND(C1038=12,D1038=Input!$C$6),E1038=""),"",1)</f>
        <v/>
      </c>
      <c r="F1039" s="150" t="str">
        <f>IF(E1039="","",Input!$C$8+B1039-1)</f>
        <v/>
      </c>
      <c r="G1039" s="151" t="str">
        <f>IF(E1039="","",MAX(0,Input!$C$9-B1039))</f>
        <v/>
      </c>
      <c r="H1039" s="152" t="str">
        <f>IF(E1039="","",Input!$C$3)</f>
        <v/>
      </c>
      <c r="I1039" s="153" t="str">
        <f>IF(E1039="","",HLOOKUP($B1039,Input!$C$13:$BT$14,2))</f>
        <v/>
      </c>
      <c r="J1039" s="154"/>
      <c r="K1039" s="155" t="str">
        <f>IF($E1039="","",INDEX(Input!$C$16:$CP$16,1,$B1039))</f>
        <v/>
      </c>
      <c r="L1039" s="155" t="str">
        <f>IF($E1039="","",Input!$C$37)</f>
        <v/>
      </c>
      <c r="M1039" s="155" t="str">
        <f t="shared" si="671"/>
        <v/>
      </c>
      <c r="N1039" s="155" t="str">
        <f t="shared" si="672"/>
        <v/>
      </c>
      <c r="O1039" s="147" t="str">
        <f>IF($E1039="","",MIN(VLOOKUP(IF($B1039&lt;=Input!$C$7,$B1039,26),'Mortality Tables'!$A$41:$CW$67,IF($B1039&lt;=Input!$C$7+1,Input!$C$4+2,$D1039-Input!$C$7+2),0)*IF(B1039&gt;20,Input!$C$22,1)/1000,1))</f>
        <v/>
      </c>
      <c r="P1039" s="147" t="str">
        <f>IF($E1039="","",MIN(VLOOKUP(IF($B1039&lt;=Input!$C$7,$B1039,26),'Mortality Tables'!$A$12:$CW$37,IF($B1039&lt;=Input!$C$7+1,Input!$C$4+2,$D1039-Input!$C$7+2),0)*IF(B1039&gt;20,Input!$C$22,1)/1000,1))</f>
        <v/>
      </c>
      <c r="Q1039" s="155" t="str">
        <f>IF($E1039="","",Input!$C$21)</f>
        <v/>
      </c>
      <c r="R1039" s="159" t="str">
        <f>IF($E1039="","",(1-Q1039)^($F1039-Input!$C$20))</f>
        <v/>
      </c>
      <c r="S1039" s="147" t="str">
        <f t="shared" si="674"/>
        <v/>
      </c>
      <c r="T1039" s="147" t="str">
        <f t="shared" si="675"/>
        <v/>
      </c>
      <c r="U1039" s="160" t="str">
        <f>IF($E1039="","",IF($C1039=12,INDEX(Input!$C$15:$CP$15,1,$B1039),0))</f>
        <v/>
      </c>
      <c r="V1039" s="150" t="str">
        <f>IF(E1039="","",IF(C1039=1,IF($B1039=1,Input!$C$33,Input!$C$34),0))</f>
        <v/>
      </c>
      <c r="W1039" s="156" t="str">
        <f>IF($E1039="","",Input!$C$35)</f>
        <v/>
      </c>
      <c r="X1039" s="156" t="str">
        <f t="shared" si="673"/>
        <v/>
      </c>
      <c r="Y1039" s="154"/>
      <c r="Z1039" s="147" t="str">
        <f>IF($E1039="","",VLOOKUP($D1039,'Mortality Margins &amp; Grading'!$AB$5:$AF$125,3,0)*IF(Summary!$D$25="Included Margin",IF(AND($B1039&gt;Input!$C$9,Summary!$D$31&lt;&gt;"Included Margin"),0,1),0))</f>
        <v/>
      </c>
      <c r="AA1039" s="147" t="str">
        <f>IF($E1039="","",VLOOKUP($D1039,'Mortality Margins &amp; Grading'!$AB$5:$AF$125,5,0)*IF(Summary!$D$25="Included Margin",IF(AND($B1039&gt;Input!$C$9,Summary!$D$31&lt;&gt;"Included Margin"),0,1),0))</f>
        <v/>
      </c>
      <c r="AB1039" s="147" t="str">
        <f>IF($E1039="","",IF(AND($B1039&gt;Input!$C$9,Summary!$D$31&lt;&gt;"Included Margin"),1,IF(Summary!$D$25="Included Margin",VLOOKUP($B1039,'Mortality Margins &amp; Grading'!$AI$5:$AR$125,MATCH('Mortality Margins &amp; Grading'!$AQ$4,'Mortality Margins &amp; Grading'!$AI$4:$AR$4,0),0),1)))</f>
        <v/>
      </c>
      <c r="AC1039" s="154"/>
      <c r="AD1039" s="158" t="str">
        <f>IF(E1039="","",Input!$C$48*IF(Summary!$D$30="Included Margin",IF(AND($B1039&gt;Input!$C$9,Summary!$D$31&lt;&gt;"Included Margin"),0,1),0))</f>
        <v/>
      </c>
      <c r="AE1039" s="159" t="str">
        <f>IF(E1039="","",IF(Summary!$D$26="Included Margin",IF(AND($B1039&gt;Input!$C$9,Summary!$D$31&lt;&gt;"Included Margin"),1,1/$R1039),1))</f>
        <v/>
      </c>
      <c r="AF1039" s="160" t="str">
        <f>IF(E1039="","",IF(AND($B1039&gt;=Input!$C$9,$C1039=12,Summary!$D$31="Included Margin",$U1039&gt;0),1/U1039-1,IF($B1039&gt;=Input!$C$9,0,Input!$C$45*IF(Summary!$D$27="Included Margin",1,0))))</f>
        <v/>
      </c>
      <c r="AG1039" s="160" t="str">
        <f>IF(E1039="","",Input!$C$46*IF(Summary!$D$28="Included Margin",IF(AND($B1039&gt;Input!$C$9,Summary!$D$31&lt;&gt;"Included Margin"),0,1),0))</f>
        <v/>
      </c>
      <c r="AH1039" s="158" t="str">
        <f>IF(E1039="","",Input!$C$47*IF(Summary!$D$29="Included Margin",IF(AND($B1039&gt;Input!$C$9,Summary!$D$31&lt;&gt;"Included Margin"),0,1),0))</f>
        <v/>
      </c>
      <c r="AI1039" s="154"/>
      <c r="AJ1039" s="158" t="str">
        <f t="shared" si="689"/>
        <v/>
      </c>
      <c r="AK1039" s="155" t="str">
        <f t="shared" si="690"/>
        <v/>
      </c>
      <c r="AL1039" s="147" t="str">
        <f t="shared" si="691"/>
        <v/>
      </c>
      <c r="AM1039" s="147" t="str">
        <f t="shared" si="676"/>
        <v/>
      </c>
      <c r="AN1039" s="160" t="str">
        <f t="shared" si="692"/>
        <v/>
      </c>
      <c r="AO1039" s="161" t="str">
        <f t="shared" si="693"/>
        <v/>
      </c>
      <c r="AP1039" s="156" t="str">
        <f t="shared" si="677"/>
        <v/>
      </c>
      <c r="AQ1039" s="152"/>
      <c r="AR1039" s="162" t="str">
        <f t="shared" si="678"/>
        <v/>
      </c>
      <c r="AS1039" s="150" t="str">
        <f t="shared" si="694"/>
        <v/>
      </c>
      <c r="AT1039" s="163" t="str">
        <f t="shared" si="679"/>
        <v/>
      </c>
      <c r="AU1039" s="163" t="str">
        <f t="shared" si="680"/>
        <v/>
      </c>
      <c r="AV1039" s="163" t="str">
        <f t="shared" si="695"/>
        <v/>
      </c>
      <c r="AW1039" s="163" t="str">
        <f t="shared" si="681"/>
        <v/>
      </c>
      <c r="AX1039" s="163" t="str">
        <f t="shared" si="682"/>
        <v/>
      </c>
      <c r="AY1039" s="164" t="str">
        <f t="shared" si="696"/>
        <v/>
      </c>
      <c r="AZ1039" s="164" t="str">
        <f>IF($E1039="","",IF(OR(AND($D1039=Input!$C$6,$C1039=12),$AN1039=1),0,-AS1040+AT1040+AU1040-AV1040-AW1040-AX1040+AZ1040))</f>
        <v/>
      </c>
      <c r="BA1039" s="154" t="str">
        <f t="shared" si="683"/>
        <v/>
      </c>
      <c r="BC1039" s="147" t="str">
        <f t="shared" si="697"/>
        <v/>
      </c>
      <c r="BD1039" s="164" t="str">
        <f>IF(AND($C1038=12,$D1038=Input!$C$6),0,IF($E1039="","",AT1039+(AU1039+BD1040)/(1+$AK1039)*MIN((1-AM1039-AN1039),1)))</f>
        <v/>
      </c>
      <c r="BE1039" s="164" t="str">
        <f t="shared" si="670"/>
        <v/>
      </c>
      <c r="BF1039" s="164" t="str">
        <f t="shared" si="698"/>
        <v/>
      </c>
      <c r="BG1039" s="164" t="str">
        <f t="shared" si="684"/>
        <v/>
      </c>
      <c r="BH1039" s="152"/>
      <c r="BI1039" s="162" t="str">
        <f t="shared" si="664"/>
        <v/>
      </c>
      <c r="BJ1039" s="150" t="str">
        <f t="shared" si="665"/>
        <v/>
      </c>
      <c r="BK1039" s="163" t="str">
        <f t="shared" si="703"/>
        <v/>
      </c>
      <c r="BL1039" s="163" t="str">
        <f t="shared" si="666"/>
        <v/>
      </c>
      <c r="BM1039" s="163" t="str">
        <f t="shared" si="704"/>
        <v/>
      </c>
      <c r="BN1039" s="163" t="str">
        <f t="shared" si="667"/>
        <v/>
      </c>
      <c r="BO1039" s="163" t="str">
        <f t="shared" si="668"/>
        <v/>
      </c>
      <c r="BP1039" s="164" t="str">
        <f t="shared" si="705"/>
        <v/>
      </c>
      <c r="BQ1039" s="164" t="str">
        <f t="shared" si="699"/>
        <v/>
      </c>
      <c r="BR1039" s="154" t="str">
        <f t="shared" si="669"/>
        <v/>
      </c>
      <c r="BT1039" s="147" t="str">
        <f t="shared" si="685"/>
        <v/>
      </c>
      <c r="BU1039" s="164" t="str">
        <f>IF(AND($C1038=12,$D1038=Input!$C$6),0,IF($E1039="","",BK1039+(BL1039+BU1040)/(1+$AK1039)*MIN((1-T1039-U1039),1)))</f>
        <v/>
      </c>
      <c r="BV1039" s="164" t="str">
        <f t="shared" si="686"/>
        <v/>
      </c>
      <c r="BW1039" s="164" t="str">
        <f t="shared" si="687"/>
        <v/>
      </c>
      <c r="BX1039" s="164" t="str">
        <f t="shared" si="688"/>
        <v/>
      </c>
    </row>
    <row r="1040" spans="1:76" s="150" customFormat="1" x14ac:dyDescent="0.25">
      <c r="A1040" s="150" t="str">
        <f t="shared" si="700"/>
        <v/>
      </c>
      <c r="B1040" s="150" t="str">
        <f t="shared" si="701"/>
        <v/>
      </c>
      <c r="C1040" s="150" t="str">
        <f t="shared" si="702"/>
        <v/>
      </c>
      <c r="D1040" s="150" t="str">
        <f>IF(E1040="","",Input!$C$4+B1040-1)</f>
        <v/>
      </c>
      <c r="E1040" s="150" t="str">
        <f>IF(OR(AND(C1039=12,D1039=Input!$C$6),E1039=""),"",1)</f>
        <v/>
      </c>
      <c r="F1040" s="150" t="str">
        <f>IF(E1040="","",Input!$C$8+B1040-1)</f>
        <v/>
      </c>
      <c r="G1040" s="151" t="str">
        <f>IF(E1040="","",MAX(0,Input!$C$9-B1040))</f>
        <v/>
      </c>
      <c r="H1040" s="152" t="str">
        <f>IF(E1040="","",Input!$C$3)</f>
        <v/>
      </c>
      <c r="I1040" s="153" t="str">
        <f>IF(E1040="","",HLOOKUP($B1040,Input!$C$13:$BT$14,2))</f>
        <v/>
      </c>
      <c r="J1040" s="154"/>
      <c r="K1040" s="155" t="str">
        <f>IF($E1040="","",INDEX(Input!$C$16:$CP$16,1,$B1040))</f>
        <v/>
      </c>
      <c r="L1040" s="155" t="str">
        <f>IF($E1040="","",Input!$C$37)</f>
        <v/>
      </c>
      <c r="M1040" s="155" t="str">
        <f t="shared" si="671"/>
        <v/>
      </c>
      <c r="N1040" s="155" t="str">
        <f t="shared" si="672"/>
        <v/>
      </c>
      <c r="O1040" s="147" t="str">
        <f>IF($E1040="","",MIN(VLOOKUP(IF($B1040&lt;=Input!$C$7,$B1040,26),'Mortality Tables'!$A$41:$CW$67,IF($B1040&lt;=Input!$C$7+1,Input!$C$4+2,$D1040-Input!$C$7+2),0)*IF(B1040&gt;20,Input!$C$22,1)/1000,1))</f>
        <v/>
      </c>
      <c r="P1040" s="147" t="str">
        <f>IF($E1040="","",MIN(VLOOKUP(IF($B1040&lt;=Input!$C$7,$B1040,26),'Mortality Tables'!$A$12:$CW$37,IF($B1040&lt;=Input!$C$7+1,Input!$C$4+2,$D1040-Input!$C$7+2),0)*IF(B1040&gt;20,Input!$C$22,1)/1000,1))</f>
        <v/>
      </c>
      <c r="Q1040" s="155" t="str">
        <f>IF($E1040="","",Input!$C$21)</f>
        <v/>
      </c>
      <c r="R1040" s="159" t="str">
        <f>IF($E1040="","",(1-Q1040)^($F1040-Input!$C$20))</f>
        <v/>
      </c>
      <c r="S1040" s="147" t="str">
        <f t="shared" si="674"/>
        <v/>
      </c>
      <c r="T1040" s="147" t="str">
        <f t="shared" si="675"/>
        <v/>
      </c>
      <c r="U1040" s="160" t="str">
        <f>IF($E1040="","",IF($C1040=12,INDEX(Input!$C$15:$CP$15,1,$B1040),0))</f>
        <v/>
      </c>
      <c r="V1040" s="150" t="str">
        <f>IF(E1040="","",IF(C1040=1,IF($B1040=1,Input!$C$33,Input!$C$34),0))</f>
        <v/>
      </c>
      <c r="W1040" s="156" t="str">
        <f>IF($E1040="","",Input!$C$35)</f>
        <v/>
      </c>
      <c r="X1040" s="156" t="str">
        <f t="shared" si="673"/>
        <v/>
      </c>
      <c r="Y1040" s="154"/>
      <c r="Z1040" s="147" t="str">
        <f>IF($E1040="","",VLOOKUP($D1040,'Mortality Margins &amp; Grading'!$AB$5:$AF$125,3,0)*IF(Summary!$D$25="Included Margin",IF(AND($B1040&gt;Input!$C$9,Summary!$D$31&lt;&gt;"Included Margin"),0,1),0))</f>
        <v/>
      </c>
      <c r="AA1040" s="147" t="str">
        <f>IF($E1040="","",VLOOKUP($D1040,'Mortality Margins &amp; Grading'!$AB$5:$AF$125,5,0)*IF(Summary!$D$25="Included Margin",IF(AND($B1040&gt;Input!$C$9,Summary!$D$31&lt;&gt;"Included Margin"),0,1),0))</f>
        <v/>
      </c>
      <c r="AB1040" s="147" t="str">
        <f>IF($E1040="","",IF(AND($B1040&gt;Input!$C$9,Summary!$D$31&lt;&gt;"Included Margin"),1,IF(Summary!$D$25="Included Margin",VLOOKUP($B1040,'Mortality Margins &amp; Grading'!$AI$5:$AR$125,MATCH('Mortality Margins &amp; Grading'!$AQ$4,'Mortality Margins &amp; Grading'!$AI$4:$AR$4,0),0),1)))</f>
        <v/>
      </c>
      <c r="AC1040" s="154"/>
      <c r="AD1040" s="158" t="str">
        <f>IF(E1040="","",Input!$C$48*IF(Summary!$D$30="Included Margin",IF(AND($B1040&gt;Input!$C$9,Summary!$D$31&lt;&gt;"Included Margin"),0,1),0))</f>
        <v/>
      </c>
      <c r="AE1040" s="159" t="str">
        <f>IF(E1040="","",IF(Summary!$D$26="Included Margin",IF(AND($B1040&gt;Input!$C$9,Summary!$D$31&lt;&gt;"Included Margin"),1,1/$R1040),1))</f>
        <v/>
      </c>
      <c r="AF1040" s="160" t="str">
        <f>IF(E1040="","",IF(AND($B1040&gt;=Input!$C$9,$C1040=12,Summary!$D$31="Included Margin",$U1040&gt;0),1/U1040-1,IF($B1040&gt;=Input!$C$9,0,Input!$C$45*IF(Summary!$D$27="Included Margin",1,0))))</f>
        <v/>
      </c>
      <c r="AG1040" s="160" t="str">
        <f>IF(E1040="","",Input!$C$46*IF(Summary!$D$28="Included Margin",IF(AND($B1040&gt;Input!$C$9,Summary!$D$31&lt;&gt;"Included Margin"),0,1),0))</f>
        <v/>
      </c>
      <c r="AH1040" s="158" t="str">
        <f>IF(E1040="","",Input!$C$47*IF(Summary!$D$29="Included Margin",IF(AND($B1040&gt;Input!$C$9,Summary!$D$31&lt;&gt;"Included Margin"),0,1),0))</f>
        <v/>
      </c>
      <c r="AI1040" s="154"/>
      <c r="AJ1040" s="158" t="str">
        <f t="shared" si="689"/>
        <v/>
      </c>
      <c r="AK1040" s="155" t="str">
        <f t="shared" si="690"/>
        <v/>
      </c>
      <c r="AL1040" s="147" t="str">
        <f t="shared" si="691"/>
        <v/>
      </c>
      <c r="AM1040" s="147" t="str">
        <f t="shared" si="676"/>
        <v/>
      </c>
      <c r="AN1040" s="160" t="str">
        <f t="shared" si="692"/>
        <v/>
      </c>
      <c r="AO1040" s="161" t="str">
        <f t="shared" si="693"/>
        <v/>
      </c>
      <c r="AP1040" s="156" t="str">
        <f t="shared" si="677"/>
        <v/>
      </c>
      <c r="AQ1040" s="152"/>
      <c r="AR1040" s="162" t="str">
        <f t="shared" si="678"/>
        <v/>
      </c>
      <c r="AS1040" s="150" t="str">
        <f t="shared" si="694"/>
        <v/>
      </c>
      <c r="AT1040" s="163" t="str">
        <f t="shared" si="679"/>
        <v/>
      </c>
      <c r="AU1040" s="163" t="str">
        <f t="shared" si="680"/>
        <v/>
      </c>
      <c r="AV1040" s="163" t="str">
        <f t="shared" si="695"/>
        <v/>
      </c>
      <c r="AW1040" s="163" t="str">
        <f t="shared" si="681"/>
        <v/>
      </c>
      <c r="AX1040" s="163" t="str">
        <f t="shared" si="682"/>
        <v/>
      </c>
      <c r="AY1040" s="165" t="str">
        <f t="shared" si="696"/>
        <v/>
      </c>
      <c r="AZ1040" s="164" t="str">
        <f>IF($E1040="","",IF(OR(AND($D1040=Input!$C$6,$C1040=12),$AN1040=1),0,-AS1041+AT1041+AU1041-AV1041-AW1041-AX1041+AZ1041))</f>
        <v/>
      </c>
      <c r="BA1040" s="154" t="str">
        <f t="shared" si="683"/>
        <v/>
      </c>
      <c r="BC1040" s="147" t="str">
        <f t="shared" si="697"/>
        <v/>
      </c>
      <c r="BD1040" s="164" t="str">
        <f>IF(AND($C1039=12,$D1039=Input!$C$6),0,IF($E1040="","",AT1040+(AU1040+BD1041)/(1+$AK1040)*MIN((1-AM1040-AN1040),1)))</f>
        <v/>
      </c>
      <c r="BE1040" s="164" t="str">
        <f t="shared" si="670"/>
        <v/>
      </c>
      <c r="BF1040" s="164" t="str">
        <f t="shared" si="698"/>
        <v/>
      </c>
      <c r="BG1040" s="164" t="str">
        <f t="shared" si="684"/>
        <v/>
      </c>
      <c r="BH1040" s="152"/>
      <c r="BI1040" s="162" t="str">
        <f t="shared" si="664"/>
        <v/>
      </c>
      <c r="BJ1040" s="150" t="str">
        <f t="shared" si="665"/>
        <v/>
      </c>
      <c r="BK1040" s="163" t="str">
        <f t="shared" si="703"/>
        <v/>
      </c>
      <c r="BL1040" s="163" t="str">
        <f t="shared" si="666"/>
        <v/>
      </c>
      <c r="BM1040" s="163" t="str">
        <f t="shared" si="704"/>
        <v/>
      </c>
      <c r="BN1040" s="163" t="str">
        <f t="shared" si="667"/>
        <v/>
      </c>
      <c r="BO1040" s="163" t="str">
        <f t="shared" si="668"/>
        <v/>
      </c>
      <c r="BP1040" s="164" t="str">
        <f t="shared" si="705"/>
        <v/>
      </c>
      <c r="BQ1040" s="164" t="str">
        <f t="shared" si="699"/>
        <v/>
      </c>
      <c r="BR1040" s="154" t="str">
        <f t="shared" si="669"/>
        <v/>
      </c>
      <c r="BT1040" s="147" t="str">
        <f t="shared" si="685"/>
        <v/>
      </c>
      <c r="BU1040" s="164" t="str">
        <f>IF(AND($C1039=12,$D1039=Input!$C$6),0,IF($E1040="","",BK1040+(BL1040+BU1041)/(1+$AK1040)*MIN((1-T1040-U1040),1)))</f>
        <v/>
      </c>
      <c r="BV1040" s="164" t="str">
        <f t="shared" si="686"/>
        <v/>
      </c>
      <c r="BW1040" s="164" t="str">
        <f t="shared" si="687"/>
        <v/>
      </c>
      <c r="BX1040" s="164" t="str">
        <f t="shared" si="688"/>
        <v/>
      </c>
    </row>
    <row r="1041" spans="1:76" s="150" customFormat="1" x14ac:dyDescent="0.25">
      <c r="A1041" s="150" t="str">
        <f t="shared" si="700"/>
        <v/>
      </c>
      <c r="B1041" s="150" t="str">
        <f t="shared" si="701"/>
        <v/>
      </c>
      <c r="C1041" s="150" t="str">
        <f t="shared" si="702"/>
        <v/>
      </c>
      <c r="D1041" s="150" t="str">
        <f>IF(E1041="","",Input!$C$4+B1041-1)</f>
        <v/>
      </c>
      <c r="E1041" s="150" t="str">
        <f>IF(OR(AND(C1040=12,D1040=Input!$C$6),E1040=""),"",1)</f>
        <v/>
      </c>
      <c r="F1041" s="150" t="str">
        <f>IF(E1041="","",Input!$C$8+B1041-1)</f>
        <v/>
      </c>
      <c r="G1041" s="151" t="str">
        <f>IF(E1041="","",MAX(0,Input!$C$9-B1041))</f>
        <v/>
      </c>
      <c r="H1041" s="152" t="str">
        <f>IF(E1041="","",Input!$C$3)</f>
        <v/>
      </c>
      <c r="I1041" s="153" t="str">
        <f>IF(E1041="","",HLOOKUP($B1041,Input!$C$13:$BT$14,2))</f>
        <v/>
      </c>
      <c r="J1041" s="154"/>
      <c r="K1041" s="155" t="str">
        <f>IF($E1041="","",INDEX(Input!$C$16:$CP$16,1,$B1041))</f>
        <v/>
      </c>
      <c r="L1041" s="155" t="str">
        <f>IF($E1041="","",Input!$C$37)</f>
        <v/>
      </c>
      <c r="M1041" s="155" t="str">
        <f t="shared" si="671"/>
        <v/>
      </c>
      <c r="N1041" s="155" t="str">
        <f t="shared" si="672"/>
        <v/>
      </c>
      <c r="O1041" s="147" t="str">
        <f>IF($E1041="","",MIN(VLOOKUP(IF($B1041&lt;=Input!$C$7,$B1041,26),'Mortality Tables'!$A$41:$CW$67,IF($B1041&lt;=Input!$C$7+1,Input!$C$4+2,$D1041-Input!$C$7+2),0)*IF(B1041&gt;20,Input!$C$22,1)/1000,1))</f>
        <v/>
      </c>
      <c r="P1041" s="147" t="str">
        <f>IF($E1041="","",MIN(VLOOKUP(IF($B1041&lt;=Input!$C$7,$B1041,26),'Mortality Tables'!$A$12:$CW$37,IF($B1041&lt;=Input!$C$7+1,Input!$C$4+2,$D1041-Input!$C$7+2),0)*IF(B1041&gt;20,Input!$C$22,1)/1000,1))</f>
        <v/>
      </c>
      <c r="Q1041" s="155" t="str">
        <f>IF($E1041="","",Input!$C$21)</f>
        <v/>
      </c>
      <c r="R1041" s="159" t="str">
        <f>IF($E1041="","",(1-Q1041)^($F1041-Input!$C$20))</f>
        <v/>
      </c>
      <c r="S1041" s="147" t="str">
        <f t="shared" si="674"/>
        <v/>
      </c>
      <c r="T1041" s="147" t="str">
        <f t="shared" si="675"/>
        <v/>
      </c>
      <c r="U1041" s="160" t="str">
        <f>IF($E1041="","",IF($C1041=12,INDEX(Input!$C$15:$CP$15,1,$B1041),0))</f>
        <v/>
      </c>
      <c r="V1041" s="150" t="str">
        <f>IF(E1041="","",IF(C1041=1,IF($B1041=1,Input!$C$33,Input!$C$34),0))</f>
        <v/>
      </c>
      <c r="W1041" s="156" t="str">
        <f>IF($E1041="","",Input!$C$35)</f>
        <v/>
      </c>
      <c r="X1041" s="156" t="str">
        <f t="shared" si="673"/>
        <v/>
      </c>
      <c r="Y1041" s="154"/>
      <c r="Z1041" s="147" t="str">
        <f>IF($E1041="","",VLOOKUP($D1041,'Mortality Margins &amp; Grading'!$AB$5:$AF$125,3,0)*IF(Summary!$D$25="Included Margin",IF(AND($B1041&gt;Input!$C$9,Summary!$D$31&lt;&gt;"Included Margin"),0,1),0))</f>
        <v/>
      </c>
      <c r="AA1041" s="147" t="str">
        <f>IF($E1041="","",VLOOKUP($D1041,'Mortality Margins &amp; Grading'!$AB$5:$AF$125,5,0)*IF(Summary!$D$25="Included Margin",IF(AND($B1041&gt;Input!$C$9,Summary!$D$31&lt;&gt;"Included Margin"),0,1),0))</f>
        <v/>
      </c>
      <c r="AB1041" s="147" t="str">
        <f>IF($E1041="","",IF(AND($B1041&gt;Input!$C$9,Summary!$D$31&lt;&gt;"Included Margin"),1,IF(Summary!$D$25="Included Margin",VLOOKUP($B1041,'Mortality Margins &amp; Grading'!$AI$5:$AR$125,MATCH('Mortality Margins &amp; Grading'!$AQ$4,'Mortality Margins &amp; Grading'!$AI$4:$AR$4,0),0),1)))</f>
        <v/>
      </c>
      <c r="AC1041" s="154"/>
      <c r="AD1041" s="158" t="str">
        <f>IF(E1041="","",Input!$C$48*IF(Summary!$D$30="Included Margin",IF(AND($B1041&gt;Input!$C$9,Summary!$D$31&lt;&gt;"Included Margin"),0,1),0))</f>
        <v/>
      </c>
      <c r="AE1041" s="159" t="str">
        <f>IF(E1041="","",IF(Summary!$D$26="Included Margin",IF(AND($B1041&gt;Input!$C$9,Summary!$D$31&lt;&gt;"Included Margin"),1,1/$R1041),1))</f>
        <v/>
      </c>
      <c r="AF1041" s="160" t="str">
        <f>IF(E1041="","",IF(AND($B1041&gt;=Input!$C$9,$C1041=12,Summary!$D$31="Included Margin",$U1041&gt;0),1/U1041-1,IF($B1041&gt;=Input!$C$9,0,Input!$C$45*IF(Summary!$D$27="Included Margin",1,0))))</f>
        <v/>
      </c>
      <c r="AG1041" s="160" t="str">
        <f>IF(E1041="","",Input!$C$46*IF(Summary!$D$28="Included Margin",IF(AND($B1041&gt;Input!$C$9,Summary!$D$31&lt;&gt;"Included Margin"),0,1),0))</f>
        <v/>
      </c>
      <c r="AH1041" s="158" t="str">
        <f>IF(E1041="","",Input!$C$47*IF(Summary!$D$29="Included Margin",IF(AND($B1041&gt;Input!$C$9,Summary!$D$31&lt;&gt;"Included Margin"),0,1),0))</f>
        <v/>
      </c>
      <c r="AI1041" s="154"/>
      <c r="AJ1041" s="158" t="str">
        <f t="shared" si="689"/>
        <v/>
      </c>
      <c r="AK1041" s="155" t="str">
        <f t="shared" si="690"/>
        <v/>
      </c>
      <c r="AL1041" s="147" t="str">
        <f t="shared" si="691"/>
        <v/>
      </c>
      <c r="AM1041" s="147" t="str">
        <f t="shared" si="676"/>
        <v/>
      </c>
      <c r="AN1041" s="160" t="str">
        <f t="shared" si="692"/>
        <v/>
      </c>
      <c r="AO1041" s="161" t="str">
        <f t="shared" si="693"/>
        <v/>
      </c>
      <c r="AP1041" s="156" t="str">
        <f t="shared" si="677"/>
        <v/>
      </c>
      <c r="AQ1041" s="152"/>
      <c r="AR1041" s="162" t="str">
        <f t="shared" si="678"/>
        <v/>
      </c>
      <c r="AS1041" s="150" t="str">
        <f t="shared" si="694"/>
        <v/>
      </c>
      <c r="AT1041" s="163" t="str">
        <f t="shared" si="679"/>
        <v/>
      </c>
      <c r="AU1041" s="163" t="str">
        <f t="shared" si="680"/>
        <v/>
      </c>
      <c r="AV1041" s="163" t="str">
        <f t="shared" si="695"/>
        <v/>
      </c>
      <c r="AW1041" s="163" t="str">
        <f t="shared" si="681"/>
        <v/>
      </c>
      <c r="AX1041" s="163" t="str">
        <f t="shared" si="682"/>
        <v/>
      </c>
      <c r="AY1041" s="164" t="str">
        <f t="shared" si="696"/>
        <v/>
      </c>
      <c r="AZ1041" s="164" t="str">
        <f>IF($E1041="","",IF(OR(AND($D1041=Input!$C$6,$C1041=12),$AN1041=1),0,-AS1042+AT1042+AU1042-AV1042-AW1042-AX1042+AZ1042))</f>
        <v/>
      </c>
      <c r="BA1041" s="154" t="str">
        <f t="shared" si="683"/>
        <v/>
      </c>
      <c r="BC1041" s="147" t="str">
        <f t="shared" si="697"/>
        <v/>
      </c>
      <c r="BD1041" s="164" t="str">
        <f>IF(AND($C1040=12,$D1040=Input!$C$6),0,IF($E1041="","",AT1041+(AU1041+BD1042)/(1+$AK1041)*MIN((1-AM1041-AN1041),1)))</f>
        <v/>
      </c>
      <c r="BE1041" s="164" t="str">
        <f t="shared" si="670"/>
        <v/>
      </c>
      <c r="BF1041" s="164" t="str">
        <f t="shared" si="698"/>
        <v/>
      </c>
      <c r="BG1041" s="164" t="str">
        <f t="shared" si="684"/>
        <v/>
      </c>
      <c r="BH1041" s="152"/>
      <c r="BI1041" s="162" t="str">
        <f t="shared" si="664"/>
        <v/>
      </c>
      <c r="BJ1041" s="150" t="str">
        <f t="shared" si="665"/>
        <v/>
      </c>
      <c r="BK1041" s="163" t="str">
        <f t="shared" si="703"/>
        <v/>
      </c>
      <c r="BL1041" s="163" t="str">
        <f t="shared" si="666"/>
        <v/>
      </c>
      <c r="BM1041" s="163" t="str">
        <f t="shared" si="704"/>
        <v/>
      </c>
      <c r="BN1041" s="163" t="str">
        <f t="shared" si="667"/>
        <v/>
      </c>
      <c r="BO1041" s="163" t="str">
        <f t="shared" si="668"/>
        <v/>
      </c>
      <c r="BP1041" s="164" t="str">
        <f t="shared" si="705"/>
        <v/>
      </c>
      <c r="BQ1041" s="164" t="str">
        <f t="shared" si="699"/>
        <v/>
      </c>
      <c r="BR1041" s="154" t="str">
        <f t="shared" si="669"/>
        <v/>
      </c>
      <c r="BT1041" s="147" t="str">
        <f t="shared" si="685"/>
        <v/>
      </c>
      <c r="BU1041" s="164" t="str">
        <f>IF(AND($C1040=12,$D1040=Input!$C$6),0,IF($E1041="","",BK1041+(BL1041+BU1042)/(1+$AK1041)*MIN((1-T1041-U1041),1)))</f>
        <v/>
      </c>
      <c r="BV1041" s="164" t="str">
        <f t="shared" si="686"/>
        <v/>
      </c>
      <c r="BW1041" s="164" t="str">
        <f t="shared" si="687"/>
        <v/>
      </c>
      <c r="BX1041" s="164" t="str">
        <f t="shared" si="688"/>
        <v/>
      </c>
    </row>
    <row r="1042" spans="1:76" s="150" customFormat="1" x14ac:dyDescent="0.25">
      <c r="A1042" s="150" t="str">
        <f t="shared" si="700"/>
        <v/>
      </c>
      <c r="B1042" s="150" t="str">
        <f t="shared" si="701"/>
        <v/>
      </c>
      <c r="C1042" s="150" t="str">
        <f t="shared" si="702"/>
        <v/>
      </c>
      <c r="D1042" s="150" t="str">
        <f>IF(E1042="","",Input!$C$4+B1042-1)</f>
        <v/>
      </c>
      <c r="E1042" s="150" t="str">
        <f>IF(OR(AND(C1041=12,D1041=Input!$C$6),E1041=""),"",1)</f>
        <v/>
      </c>
      <c r="F1042" s="150" t="str">
        <f>IF(E1042="","",Input!$C$8+B1042-1)</f>
        <v/>
      </c>
      <c r="G1042" s="151" t="str">
        <f>IF(E1042="","",MAX(0,Input!$C$9-B1042))</f>
        <v/>
      </c>
      <c r="H1042" s="152" t="str">
        <f>IF(E1042="","",Input!$C$3)</f>
        <v/>
      </c>
      <c r="I1042" s="153" t="str">
        <f>IF(E1042="","",HLOOKUP($B1042,Input!$C$13:$BT$14,2))</f>
        <v/>
      </c>
      <c r="J1042" s="154"/>
      <c r="K1042" s="155" t="str">
        <f>IF($E1042="","",INDEX(Input!$C$16:$CP$16,1,$B1042))</f>
        <v/>
      </c>
      <c r="L1042" s="155" t="str">
        <f>IF($E1042="","",Input!$C$37)</f>
        <v/>
      </c>
      <c r="M1042" s="155" t="str">
        <f t="shared" si="671"/>
        <v/>
      </c>
      <c r="N1042" s="155" t="str">
        <f t="shared" si="672"/>
        <v/>
      </c>
      <c r="O1042" s="147" t="str">
        <f>IF($E1042="","",MIN(VLOOKUP(IF($B1042&lt;=Input!$C$7,$B1042,26),'Mortality Tables'!$A$41:$CW$67,IF($B1042&lt;=Input!$C$7+1,Input!$C$4+2,$D1042-Input!$C$7+2),0)*IF(B1042&gt;20,Input!$C$22,1)/1000,1))</f>
        <v/>
      </c>
      <c r="P1042" s="147" t="str">
        <f>IF($E1042="","",MIN(VLOOKUP(IF($B1042&lt;=Input!$C$7,$B1042,26),'Mortality Tables'!$A$12:$CW$37,IF($B1042&lt;=Input!$C$7+1,Input!$C$4+2,$D1042-Input!$C$7+2),0)*IF(B1042&gt;20,Input!$C$22,1)/1000,1))</f>
        <v/>
      </c>
      <c r="Q1042" s="155" t="str">
        <f>IF($E1042="","",Input!$C$21)</f>
        <v/>
      </c>
      <c r="R1042" s="159" t="str">
        <f>IF($E1042="","",(1-Q1042)^($F1042-Input!$C$20))</f>
        <v/>
      </c>
      <c r="S1042" s="147" t="str">
        <f t="shared" si="674"/>
        <v/>
      </c>
      <c r="T1042" s="147" t="str">
        <f t="shared" si="675"/>
        <v/>
      </c>
      <c r="U1042" s="160" t="str">
        <f>IF($E1042="","",IF($C1042=12,INDEX(Input!$C$15:$CP$15,1,$B1042),0))</f>
        <v/>
      </c>
      <c r="V1042" s="150" t="str">
        <f>IF(E1042="","",IF(C1042=1,IF($B1042=1,Input!$C$33,Input!$C$34),0))</f>
        <v/>
      </c>
      <c r="W1042" s="156" t="str">
        <f>IF($E1042="","",Input!$C$35)</f>
        <v/>
      </c>
      <c r="X1042" s="156" t="str">
        <f t="shared" si="673"/>
        <v/>
      </c>
      <c r="Y1042" s="154"/>
      <c r="Z1042" s="147" t="str">
        <f>IF($E1042="","",VLOOKUP($D1042,'Mortality Margins &amp; Grading'!$AB$5:$AF$125,3,0)*IF(Summary!$D$25="Included Margin",IF(AND($B1042&gt;Input!$C$9,Summary!$D$31&lt;&gt;"Included Margin"),0,1),0))</f>
        <v/>
      </c>
      <c r="AA1042" s="147" t="str">
        <f>IF($E1042="","",VLOOKUP($D1042,'Mortality Margins &amp; Grading'!$AB$5:$AF$125,5,0)*IF(Summary!$D$25="Included Margin",IF(AND($B1042&gt;Input!$C$9,Summary!$D$31&lt;&gt;"Included Margin"),0,1),0))</f>
        <v/>
      </c>
      <c r="AB1042" s="147" t="str">
        <f>IF($E1042="","",IF(AND($B1042&gt;Input!$C$9,Summary!$D$31&lt;&gt;"Included Margin"),1,IF(Summary!$D$25="Included Margin",VLOOKUP($B1042,'Mortality Margins &amp; Grading'!$AI$5:$AR$125,MATCH('Mortality Margins &amp; Grading'!$AQ$4,'Mortality Margins &amp; Grading'!$AI$4:$AR$4,0),0),1)))</f>
        <v/>
      </c>
      <c r="AC1042" s="154"/>
      <c r="AD1042" s="158" t="str">
        <f>IF(E1042="","",Input!$C$48*IF(Summary!$D$30="Included Margin",IF(AND($B1042&gt;Input!$C$9,Summary!$D$31&lt;&gt;"Included Margin"),0,1),0))</f>
        <v/>
      </c>
      <c r="AE1042" s="159" t="str">
        <f>IF(E1042="","",IF(Summary!$D$26="Included Margin",IF(AND($B1042&gt;Input!$C$9,Summary!$D$31&lt;&gt;"Included Margin"),1,1/$R1042),1))</f>
        <v/>
      </c>
      <c r="AF1042" s="160" t="str">
        <f>IF(E1042="","",IF(AND($B1042&gt;=Input!$C$9,$C1042=12,Summary!$D$31="Included Margin",$U1042&gt;0),1/U1042-1,IF($B1042&gt;=Input!$C$9,0,Input!$C$45*IF(Summary!$D$27="Included Margin",1,0))))</f>
        <v/>
      </c>
      <c r="AG1042" s="160" t="str">
        <f>IF(E1042="","",Input!$C$46*IF(Summary!$D$28="Included Margin",IF(AND($B1042&gt;Input!$C$9,Summary!$D$31&lt;&gt;"Included Margin"),0,1),0))</f>
        <v/>
      </c>
      <c r="AH1042" s="158" t="str">
        <f>IF(E1042="","",Input!$C$47*IF(Summary!$D$29="Included Margin",IF(AND($B1042&gt;Input!$C$9,Summary!$D$31&lt;&gt;"Included Margin"),0,1),0))</f>
        <v/>
      </c>
      <c r="AI1042" s="154"/>
      <c r="AJ1042" s="158" t="str">
        <f t="shared" si="689"/>
        <v/>
      </c>
      <c r="AK1042" s="155" t="str">
        <f t="shared" si="690"/>
        <v/>
      </c>
      <c r="AL1042" s="147" t="str">
        <f t="shared" si="691"/>
        <v/>
      </c>
      <c r="AM1042" s="147" t="str">
        <f t="shared" si="676"/>
        <v/>
      </c>
      <c r="AN1042" s="160" t="str">
        <f t="shared" si="692"/>
        <v/>
      </c>
      <c r="AO1042" s="161" t="str">
        <f t="shared" si="693"/>
        <v/>
      </c>
      <c r="AP1042" s="156" t="str">
        <f t="shared" si="677"/>
        <v/>
      </c>
      <c r="AQ1042" s="152"/>
      <c r="AR1042" s="162" t="str">
        <f t="shared" si="678"/>
        <v/>
      </c>
      <c r="AS1042" s="150" t="str">
        <f t="shared" si="694"/>
        <v/>
      </c>
      <c r="AT1042" s="163" t="str">
        <f t="shared" si="679"/>
        <v/>
      </c>
      <c r="AU1042" s="163" t="str">
        <f t="shared" si="680"/>
        <v/>
      </c>
      <c r="AV1042" s="163" t="str">
        <f t="shared" si="695"/>
        <v/>
      </c>
      <c r="AW1042" s="163" t="str">
        <f t="shared" si="681"/>
        <v/>
      </c>
      <c r="AX1042" s="163" t="str">
        <f t="shared" si="682"/>
        <v/>
      </c>
      <c r="AY1042" s="165" t="str">
        <f t="shared" si="696"/>
        <v/>
      </c>
      <c r="AZ1042" s="164" t="str">
        <f>IF($E1042="","",IF(OR(AND($D1042=Input!$C$6,$C1042=12),$AN1042=1),0,-AS1043+AT1043+AU1043-AV1043-AW1043-AX1043+AZ1043))</f>
        <v/>
      </c>
      <c r="BA1042" s="154" t="str">
        <f t="shared" si="683"/>
        <v/>
      </c>
      <c r="BC1042" s="147" t="str">
        <f t="shared" si="697"/>
        <v/>
      </c>
      <c r="BD1042" s="164" t="str">
        <f>IF(AND($C1041=12,$D1041=Input!$C$6),0,IF($E1042="","",AT1042+(AU1042+BD1043)/(1+$AK1042)*MIN((1-AM1042-AN1042),1)))</f>
        <v/>
      </c>
      <c r="BE1042" s="164" t="str">
        <f t="shared" si="670"/>
        <v/>
      </c>
      <c r="BF1042" s="164" t="str">
        <f t="shared" si="698"/>
        <v/>
      </c>
      <c r="BG1042" s="164" t="str">
        <f t="shared" si="684"/>
        <v/>
      </c>
      <c r="BH1042" s="152"/>
      <c r="BI1042" s="162" t="str">
        <f t="shared" si="664"/>
        <v/>
      </c>
      <c r="BJ1042" s="150" t="str">
        <f t="shared" si="665"/>
        <v/>
      </c>
      <c r="BK1042" s="163" t="str">
        <f t="shared" si="703"/>
        <v/>
      </c>
      <c r="BL1042" s="163" t="str">
        <f t="shared" si="666"/>
        <v/>
      </c>
      <c r="BM1042" s="163" t="str">
        <f t="shared" si="704"/>
        <v/>
      </c>
      <c r="BN1042" s="163" t="str">
        <f t="shared" si="667"/>
        <v/>
      </c>
      <c r="BO1042" s="163" t="str">
        <f t="shared" si="668"/>
        <v/>
      </c>
      <c r="BP1042" s="164" t="str">
        <f t="shared" si="705"/>
        <v/>
      </c>
      <c r="BQ1042" s="164" t="str">
        <f t="shared" si="699"/>
        <v/>
      </c>
      <c r="BR1042" s="154" t="str">
        <f t="shared" si="669"/>
        <v/>
      </c>
      <c r="BT1042" s="147" t="str">
        <f t="shared" si="685"/>
        <v/>
      </c>
      <c r="BU1042" s="164" t="str">
        <f>IF(AND($C1041=12,$D1041=Input!$C$6),0,IF($E1042="","",BK1042+(BL1042+BU1043)/(1+$AK1042)*MIN((1-T1042-U1042),1)))</f>
        <v/>
      </c>
      <c r="BV1042" s="164" t="str">
        <f t="shared" si="686"/>
        <v/>
      </c>
      <c r="BW1042" s="164" t="str">
        <f t="shared" si="687"/>
        <v/>
      </c>
      <c r="BX1042" s="164" t="str">
        <f t="shared" si="688"/>
        <v/>
      </c>
    </row>
    <row r="1043" spans="1:76" s="150" customFormat="1" x14ac:dyDescent="0.25">
      <c r="A1043" s="150" t="str">
        <f t="shared" si="700"/>
        <v/>
      </c>
      <c r="B1043" s="150" t="str">
        <f t="shared" si="701"/>
        <v/>
      </c>
      <c r="C1043" s="150" t="str">
        <f t="shared" si="702"/>
        <v/>
      </c>
      <c r="D1043" s="150" t="str">
        <f>IF(E1043="","",Input!$C$4+B1043-1)</f>
        <v/>
      </c>
      <c r="E1043" s="150" t="str">
        <f>IF(OR(AND(C1042=12,D1042=Input!$C$6),E1042=""),"",1)</f>
        <v/>
      </c>
      <c r="F1043" s="150" t="str">
        <f>IF(E1043="","",Input!$C$8+B1043-1)</f>
        <v/>
      </c>
      <c r="G1043" s="151" t="str">
        <f>IF(E1043="","",MAX(0,Input!$C$9-B1043))</f>
        <v/>
      </c>
      <c r="H1043" s="152" t="str">
        <f>IF(E1043="","",Input!$C$3)</f>
        <v/>
      </c>
      <c r="I1043" s="153" t="str">
        <f>IF(E1043="","",HLOOKUP($B1043,Input!$C$13:$BT$14,2))</f>
        <v/>
      </c>
      <c r="J1043" s="154"/>
      <c r="K1043" s="155" t="str">
        <f>IF($E1043="","",INDEX(Input!$C$16:$CP$16,1,$B1043))</f>
        <v/>
      </c>
      <c r="L1043" s="155" t="str">
        <f>IF($E1043="","",Input!$C$37)</f>
        <v/>
      </c>
      <c r="M1043" s="155" t="str">
        <f t="shared" si="671"/>
        <v/>
      </c>
      <c r="N1043" s="155" t="str">
        <f t="shared" si="672"/>
        <v/>
      </c>
      <c r="O1043" s="147" t="str">
        <f>IF($E1043="","",MIN(VLOOKUP(IF($B1043&lt;=Input!$C$7,$B1043,26),'Mortality Tables'!$A$41:$CW$67,IF($B1043&lt;=Input!$C$7+1,Input!$C$4+2,$D1043-Input!$C$7+2),0)*IF(B1043&gt;20,Input!$C$22,1)/1000,1))</f>
        <v/>
      </c>
      <c r="P1043" s="147" t="str">
        <f>IF($E1043="","",MIN(VLOOKUP(IF($B1043&lt;=Input!$C$7,$B1043,26),'Mortality Tables'!$A$12:$CW$37,IF($B1043&lt;=Input!$C$7+1,Input!$C$4+2,$D1043-Input!$C$7+2),0)*IF(B1043&gt;20,Input!$C$22,1)/1000,1))</f>
        <v/>
      </c>
      <c r="Q1043" s="155" t="str">
        <f>IF($E1043="","",Input!$C$21)</f>
        <v/>
      </c>
      <c r="R1043" s="159" t="str">
        <f>IF($E1043="","",(1-Q1043)^($F1043-Input!$C$20))</f>
        <v/>
      </c>
      <c r="S1043" s="147" t="str">
        <f t="shared" si="674"/>
        <v/>
      </c>
      <c r="T1043" s="147" t="str">
        <f t="shared" si="675"/>
        <v/>
      </c>
      <c r="U1043" s="160" t="str">
        <f>IF($E1043="","",IF($C1043=12,INDEX(Input!$C$15:$CP$15,1,$B1043),0))</f>
        <v/>
      </c>
      <c r="V1043" s="150" t="str">
        <f>IF(E1043="","",IF(C1043=1,IF($B1043=1,Input!$C$33,Input!$C$34),0))</f>
        <v/>
      </c>
      <c r="W1043" s="156" t="str">
        <f>IF($E1043="","",Input!$C$35)</f>
        <v/>
      </c>
      <c r="X1043" s="156" t="str">
        <f t="shared" si="673"/>
        <v/>
      </c>
      <c r="Y1043" s="154"/>
      <c r="Z1043" s="147" t="str">
        <f>IF($E1043="","",VLOOKUP($D1043,'Mortality Margins &amp; Grading'!$AB$5:$AF$125,3,0)*IF(Summary!$D$25="Included Margin",IF(AND($B1043&gt;Input!$C$9,Summary!$D$31&lt;&gt;"Included Margin"),0,1),0))</f>
        <v/>
      </c>
      <c r="AA1043" s="147" t="str">
        <f>IF($E1043="","",VLOOKUP($D1043,'Mortality Margins &amp; Grading'!$AB$5:$AF$125,5,0)*IF(Summary!$D$25="Included Margin",IF(AND($B1043&gt;Input!$C$9,Summary!$D$31&lt;&gt;"Included Margin"),0,1),0))</f>
        <v/>
      </c>
      <c r="AB1043" s="147" t="str">
        <f>IF($E1043="","",IF(AND($B1043&gt;Input!$C$9,Summary!$D$31&lt;&gt;"Included Margin"),1,IF(Summary!$D$25="Included Margin",VLOOKUP($B1043,'Mortality Margins &amp; Grading'!$AI$5:$AR$125,MATCH('Mortality Margins &amp; Grading'!$AQ$4,'Mortality Margins &amp; Grading'!$AI$4:$AR$4,0),0),1)))</f>
        <v/>
      </c>
      <c r="AC1043" s="154"/>
      <c r="AD1043" s="158" t="str">
        <f>IF(E1043="","",Input!$C$48*IF(Summary!$D$30="Included Margin",IF(AND($B1043&gt;Input!$C$9,Summary!$D$31&lt;&gt;"Included Margin"),0,1),0))</f>
        <v/>
      </c>
      <c r="AE1043" s="159" t="str">
        <f>IF(E1043="","",IF(Summary!$D$26="Included Margin",IF(AND($B1043&gt;Input!$C$9,Summary!$D$31&lt;&gt;"Included Margin"),1,1/$R1043),1))</f>
        <v/>
      </c>
      <c r="AF1043" s="160" t="str">
        <f>IF(E1043="","",IF(AND($B1043&gt;=Input!$C$9,$C1043=12,Summary!$D$31="Included Margin",$U1043&gt;0),1/U1043-1,IF($B1043&gt;=Input!$C$9,0,Input!$C$45*IF(Summary!$D$27="Included Margin",1,0))))</f>
        <v/>
      </c>
      <c r="AG1043" s="160" t="str">
        <f>IF(E1043="","",Input!$C$46*IF(Summary!$D$28="Included Margin",IF(AND($B1043&gt;Input!$C$9,Summary!$D$31&lt;&gt;"Included Margin"),0,1),0))</f>
        <v/>
      </c>
      <c r="AH1043" s="158" t="str">
        <f>IF(E1043="","",Input!$C$47*IF(Summary!$D$29="Included Margin",IF(AND($B1043&gt;Input!$C$9,Summary!$D$31&lt;&gt;"Included Margin"),0,1),0))</f>
        <v/>
      </c>
      <c r="AI1043" s="154"/>
      <c r="AJ1043" s="158" t="str">
        <f t="shared" si="689"/>
        <v/>
      </c>
      <c r="AK1043" s="155" t="str">
        <f t="shared" si="690"/>
        <v/>
      </c>
      <c r="AL1043" s="147" t="str">
        <f t="shared" si="691"/>
        <v/>
      </c>
      <c r="AM1043" s="147" t="str">
        <f t="shared" si="676"/>
        <v/>
      </c>
      <c r="AN1043" s="160" t="str">
        <f t="shared" si="692"/>
        <v/>
      </c>
      <c r="AO1043" s="161" t="str">
        <f t="shared" si="693"/>
        <v/>
      </c>
      <c r="AP1043" s="156" t="str">
        <f t="shared" si="677"/>
        <v/>
      </c>
      <c r="AQ1043" s="152"/>
      <c r="AR1043" s="162" t="str">
        <f t="shared" si="678"/>
        <v/>
      </c>
      <c r="AS1043" s="150" t="str">
        <f t="shared" si="694"/>
        <v/>
      </c>
      <c r="AT1043" s="163" t="str">
        <f t="shared" si="679"/>
        <v/>
      </c>
      <c r="AU1043" s="163" t="str">
        <f t="shared" si="680"/>
        <v/>
      </c>
      <c r="AV1043" s="163" t="str">
        <f t="shared" si="695"/>
        <v/>
      </c>
      <c r="AW1043" s="163" t="str">
        <f t="shared" si="681"/>
        <v/>
      </c>
      <c r="AX1043" s="163" t="str">
        <f t="shared" si="682"/>
        <v/>
      </c>
      <c r="AY1043" s="164" t="str">
        <f t="shared" si="696"/>
        <v/>
      </c>
      <c r="AZ1043" s="164" t="str">
        <f>IF($E1043="","",IF(OR(AND($D1043=Input!$C$6,$C1043=12),$AN1043=1),0,-AS1044+AT1044+AU1044-AV1044-AW1044-AX1044+AZ1044))</f>
        <v/>
      </c>
      <c r="BA1043" s="154" t="str">
        <f t="shared" si="683"/>
        <v/>
      </c>
      <c r="BC1043" s="147" t="str">
        <f t="shared" si="697"/>
        <v/>
      </c>
      <c r="BD1043" s="164" t="str">
        <f>IF(AND($C1042=12,$D1042=Input!$C$6),0,IF($E1043="","",AT1043+(AU1043+BD1044)/(1+$AK1043)*MIN((1-AM1043-AN1043),1)))</f>
        <v/>
      </c>
      <c r="BE1043" s="164" t="str">
        <f t="shared" si="670"/>
        <v/>
      </c>
      <c r="BF1043" s="164" t="str">
        <f t="shared" si="698"/>
        <v/>
      </c>
      <c r="BG1043" s="164" t="str">
        <f t="shared" si="684"/>
        <v/>
      </c>
      <c r="BH1043" s="152"/>
      <c r="BI1043" s="162" t="str">
        <f t="shared" si="664"/>
        <v/>
      </c>
      <c r="BJ1043" s="150" t="str">
        <f t="shared" si="665"/>
        <v/>
      </c>
      <c r="BK1043" s="163" t="str">
        <f t="shared" si="703"/>
        <v/>
      </c>
      <c r="BL1043" s="163" t="str">
        <f t="shared" si="666"/>
        <v/>
      </c>
      <c r="BM1043" s="163" t="str">
        <f t="shared" si="704"/>
        <v/>
      </c>
      <c r="BN1043" s="163" t="str">
        <f t="shared" si="667"/>
        <v/>
      </c>
      <c r="BO1043" s="163" t="str">
        <f t="shared" si="668"/>
        <v/>
      </c>
      <c r="BP1043" s="164" t="str">
        <f t="shared" si="705"/>
        <v/>
      </c>
      <c r="BQ1043" s="164" t="str">
        <f t="shared" si="699"/>
        <v/>
      </c>
      <c r="BR1043" s="154" t="str">
        <f t="shared" si="669"/>
        <v/>
      </c>
      <c r="BT1043" s="147" t="str">
        <f t="shared" si="685"/>
        <v/>
      </c>
      <c r="BU1043" s="164" t="str">
        <f>IF(AND($C1042=12,$D1042=Input!$C$6),0,IF($E1043="","",BK1043+(BL1043+BU1044)/(1+$AK1043)*MIN((1-T1043-U1043),1)))</f>
        <v/>
      </c>
      <c r="BV1043" s="164" t="str">
        <f t="shared" si="686"/>
        <v/>
      </c>
      <c r="BW1043" s="164" t="str">
        <f t="shared" si="687"/>
        <v/>
      </c>
      <c r="BX1043" s="164" t="str">
        <f t="shared" si="688"/>
        <v/>
      </c>
    </row>
    <row r="1044" spans="1:76" s="150" customFormat="1" x14ac:dyDescent="0.25">
      <c r="A1044" s="150" t="str">
        <f t="shared" si="700"/>
        <v/>
      </c>
      <c r="B1044" s="150" t="str">
        <f t="shared" si="701"/>
        <v/>
      </c>
      <c r="C1044" s="150" t="str">
        <f t="shared" si="702"/>
        <v/>
      </c>
      <c r="D1044" s="150" t="str">
        <f>IF(E1044="","",Input!$C$4+B1044-1)</f>
        <v/>
      </c>
      <c r="E1044" s="150" t="str">
        <f>IF(OR(AND(C1043=12,D1043=Input!$C$6),E1043=""),"",1)</f>
        <v/>
      </c>
      <c r="F1044" s="150" t="str">
        <f>IF(E1044="","",Input!$C$8+B1044-1)</f>
        <v/>
      </c>
      <c r="G1044" s="151" t="str">
        <f>IF(E1044="","",MAX(0,Input!$C$9-B1044))</f>
        <v/>
      </c>
      <c r="H1044" s="152" t="str">
        <f>IF(E1044="","",Input!$C$3)</f>
        <v/>
      </c>
      <c r="I1044" s="153" t="str">
        <f>IF(E1044="","",HLOOKUP($B1044,Input!$C$13:$BT$14,2))</f>
        <v/>
      </c>
      <c r="J1044" s="154"/>
      <c r="K1044" s="155" t="str">
        <f>IF($E1044="","",INDEX(Input!$C$16:$CP$16,1,$B1044))</f>
        <v/>
      </c>
      <c r="L1044" s="155" t="str">
        <f>IF($E1044="","",Input!$C$37)</f>
        <v/>
      </c>
      <c r="M1044" s="155" t="str">
        <f t="shared" si="671"/>
        <v/>
      </c>
      <c r="N1044" s="155" t="str">
        <f t="shared" si="672"/>
        <v/>
      </c>
      <c r="O1044" s="147" t="str">
        <f>IF($E1044="","",MIN(VLOOKUP(IF($B1044&lt;=Input!$C$7,$B1044,26),'Mortality Tables'!$A$41:$CW$67,IF($B1044&lt;=Input!$C$7+1,Input!$C$4+2,$D1044-Input!$C$7+2),0)*IF(B1044&gt;20,Input!$C$22,1)/1000,1))</f>
        <v/>
      </c>
      <c r="P1044" s="147" t="str">
        <f>IF($E1044="","",MIN(VLOOKUP(IF($B1044&lt;=Input!$C$7,$B1044,26),'Mortality Tables'!$A$12:$CW$37,IF($B1044&lt;=Input!$C$7+1,Input!$C$4+2,$D1044-Input!$C$7+2),0)*IF(B1044&gt;20,Input!$C$22,1)/1000,1))</f>
        <v/>
      </c>
      <c r="Q1044" s="155" t="str">
        <f>IF($E1044="","",Input!$C$21)</f>
        <v/>
      </c>
      <c r="R1044" s="159" t="str">
        <f>IF($E1044="","",(1-Q1044)^($F1044-Input!$C$20))</f>
        <v/>
      </c>
      <c r="S1044" s="147" t="str">
        <f t="shared" si="674"/>
        <v/>
      </c>
      <c r="T1044" s="147" t="str">
        <f t="shared" si="675"/>
        <v/>
      </c>
      <c r="U1044" s="160" t="str">
        <f>IF($E1044="","",IF($C1044=12,INDEX(Input!$C$15:$CP$15,1,$B1044),0))</f>
        <v/>
      </c>
      <c r="V1044" s="150" t="str">
        <f>IF(E1044="","",IF(C1044=1,IF($B1044=1,Input!$C$33,Input!$C$34),0))</f>
        <v/>
      </c>
      <c r="W1044" s="156" t="str">
        <f>IF($E1044="","",Input!$C$35)</f>
        <v/>
      </c>
      <c r="X1044" s="156" t="str">
        <f t="shared" si="673"/>
        <v/>
      </c>
      <c r="Y1044" s="154"/>
      <c r="Z1044" s="147" t="str">
        <f>IF($E1044="","",VLOOKUP($D1044,'Mortality Margins &amp; Grading'!$AB$5:$AF$125,3,0)*IF(Summary!$D$25="Included Margin",IF(AND($B1044&gt;Input!$C$9,Summary!$D$31&lt;&gt;"Included Margin"),0,1),0))</f>
        <v/>
      </c>
      <c r="AA1044" s="147" t="str">
        <f>IF($E1044="","",VLOOKUP($D1044,'Mortality Margins &amp; Grading'!$AB$5:$AF$125,5,0)*IF(Summary!$D$25="Included Margin",IF(AND($B1044&gt;Input!$C$9,Summary!$D$31&lt;&gt;"Included Margin"),0,1),0))</f>
        <v/>
      </c>
      <c r="AB1044" s="147" t="str">
        <f>IF($E1044="","",IF(AND($B1044&gt;Input!$C$9,Summary!$D$31&lt;&gt;"Included Margin"),1,IF(Summary!$D$25="Included Margin",VLOOKUP($B1044,'Mortality Margins &amp; Grading'!$AI$5:$AR$125,MATCH('Mortality Margins &amp; Grading'!$AQ$4,'Mortality Margins &amp; Grading'!$AI$4:$AR$4,0),0),1)))</f>
        <v/>
      </c>
      <c r="AC1044" s="154"/>
      <c r="AD1044" s="158" t="str">
        <f>IF(E1044="","",Input!$C$48*IF(Summary!$D$30="Included Margin",IF(AND($B1044&gt;Input!$C$9,Summary!$D$31&lt;&gt;"Included Margin"),0,1),0))</f>
        <v/>
      </c>
      <c r="AE1044" s="159" t="str">
        <f>IF(E1044="","",IF(Summary!$D$26="Included Margin",IF(AND($B1044&gt;Input!$C$9,Summary!$D$31&lt;&gt;"Included Margin"),1,1/$R1044),1))</f>
        <v/>
      </c>
      <c r="AF1044" s="160" t="str">
        <f>IF(E1044="","",IF(AND($B1044&gt;=Input!$C$9,$C1044=12,Summary!$D$31="Included Margin",$U1044&gt;0),1/U1044-1,IF($B1044&gt;=Input!$C$9,0,Input!$C$45*IF(Summary!$D$27="Included Margin",1,0))))</f>
        <v/>
      </c>
      <c r="AG1044" s="160" t="str">
        <f>IF(E1044="","",Input!$C$46*IF(Summary!$D$28="Included Margin",IF(AND($B1044&gt;Input!$C$9,Summary!$D$31&lt;&gt;"Included Margin"),0,1),0))</f>
        <v/>
      </c>
      <c r="AH1044" s="158" t="str">
        <f>IF(E1044="","",Input!$C$47*IF(Summary!$D$29="Included Margin",IF(AND($B1044&gt;Input!$C$9,Summary!$D$31&lt;&gt;"Included Margin"),0,1),0))</f>
        <v/>
      </c>
      <c r="AI1044" s="154"/>
      <c r="AJ1044" s="158" t="str">
        <f t="shared" si="689"/>
        <v/>
      </c>
      <c r="AK1044" s="155" t="str">
        <f t="shared" si="690"/>
        <v/>
      </c>
      <c r="AL1044" s="147" t="str">
        <f t="shared" si="691"/>
        <v/>
      </c>
      <c r="AM1044" s="147" t="str">
        <f t="shared" si="676"/>
        <v/>
      </c>
      <c r="AN1044" s="160" t="str">
        <f t="shared" si="692"/>
        <v/>
      </c>
      <c r="AO1044" s="161" t="str">
        <f t="shared" si="693"/>
        <v/>
      </c>
      <c r="AP1044" s="156" t="str">
        <f t="shared" si="677"/>
        <v/>
      </c>
      <c r="AQ1044" s="152"/>
      <c r="AR1044" s="162" t="str">
        <f t="shared" si="678"/>
        <v/>
      </c>
      <c r="AS1044" s="150" t="str">
        <f t="shared" si="694"/>
        <v/>
      </c>
      <c r="AT1044" s="163" t="str">
        <f t="shared" si="679"/>
        <v/>
      </c>
      <c r="AU1044" s="163" t="str">
        <f t="shared" si="680"/>
        <v/>
      </c>
      <c r="AV1044" s="163" t="str">
        <f t="shared" si="695"/>
        <v/>
      </c>
      <c r="AW1044" s="163" t="str">
        <f t="shared" si="681"/>
        <v/>
      </c>
      <c r="AX1044" s="163" t="str">
        <f t="shared" si="682"/>
        <v/>
      </c>
      <c r="AY1044" s="165" t="str">
        <f t="shared" si="696"/>
        <v/>
      </c>
      <c r="AZ1044" s="164" t="str">
        <f>IF($E1044="","",IF(OR(AND($D1044=Input!$C$6,$C1044=12),$AN1044=1),0,-AS1045+AT1045+AU1045-AV1045-AW1045-AX1045+AZ1045))</f>
        <v/>
      </c>
      <c r="BA1044" s="154" t="str">
        <f t="shared" si="683"/>
        <v/>
      </c>
      <c r="BC1044" s="147" t="str">
        <f t="shared" si="697"/>
        <v/>
      </c>
      <c r="BD1044" s="164" t="str">
        <f>IF(AND($C1043=12,$D1043=Input!$C$6),0,IF($E1044="","",AT1044+(AU1044+BD1045)/(1+$AK1044)*MIN((1-AM1044-AN1044),1)))</f>
        <v/>
      </c>
      <c r="BE1044" s="164" t="str">
        <f t="shared" si="670"/>
        <v/>
      </c>
      <c r="BF1044" s="164" t="str">
        <f t="shared" si="698"/>
        <v/>
      </c>
      <c r="BG1044" s="164" t="str">
        <f t="shared" si="684"/>
        <v/>
      </c>
      <c r="BH1044" s="152"/>
      <c r="BI1044" s="162" t="str">
        <f t="shared" si="664"/>
        <v/>
      </c>
      <c r="BJ1044" s="150" t="str">
        <f t="shared" si="665"/>
        <v/>
      </c>
      <c r="BK1044" s="163" t="str">
        <f t="shared" si="703"/>
        <v/>
      </c>
      <c r="BL1044" s="163" t="str">
        <f t="shared" si="666"/>
        <v/>
      </c>
      <c r="BM1044" s="163" t="str">
        <f t="shared" si="704"/>
        <v/>
      </c>
      <c r="BN1044" s="163" t="str">
        <f t="shared" si="667"/>
        <v/>
      </c>
      <c r="BO1044" s="163" t="str">
        <f t="shared" si="668"/>
        <v/>
      </c>
      <c r="BP1044" s="164" t="str">
        <f t="shared" si="705"/>
        <v/>
      </c>
      <c r="BQ1044" s="164" t="str">
        <f t="shared" si="699"/>
        <v/>
      </c>
      <c r="BR1044" s="154" t="str">
        <f t="shared" si="669"/>
        <v/>
      </c>
      <c r="BT1044" s="147" t="str">
        <f t="shared" si="685"/>
        <v/>
      </c>
      <c r="BU1044" s="164" t="str">
        <f>IF(AND($C1043=12,$D1043=Input!$C$6),0,IF($E1044="","",BK1044+(BL1044+BU1045)/(1+$AK1044)*MIN((1-T1044-U1044),1)))</f>
        <v/>
      </c>
      <c r="BV1044" s="164" t="str">
        <f t="shared" si="686"/>
        <v/>
      </c>
      <c r="BW1044" s="164" t="str">
        <f t="shared" si="687"/>
        <v/>
      </c>
      <c r="BX1044" s="164" t="str">
        <f t="shared" si="688"/>
        <v/>
      </c>
    </row>
    <row r="1045" spans="1:76" s="150" customFormat="1" x14ac:dyDescent="0.25">
      <c r="A1045" s="150" t="str">
        <f t="shared" si="700"/>
        <v/>
      </c>
      <c r="B1045" s="150" t="str">
        <f t="shared" si="701"/>
        <v/>
      </c>
      <c r="C1045" s="150" t="str">
        <f t="shared" si="702"/>
        <v/>
      </c>
      <c r="D1045" s="150" t="str">
        <f>IF(E1045="","",Input!$C$4+B1045-1)</f>
        <v/>
      </c>
      <c r="E1045" s="150" t="str">
        <f>IF(OR(AND(C1044=12,D1044=Input!$C$6),E1044=""),"",1)</f>
        <v/>
      </c>
      <c r="F1045" s="150" t="str">
        <f>IF(E1045="","",Input!$C$8+B1045-1)</f>
        <v/>
      </c>
      <c r="G1045" s="151" t="str">
        <f>IF(E1045="","",MAX(0,Input!$C$9-B1045))</f>
        <v/>
      </c>
      <c r="H1045" s="152" t="str">
        <f>IF(E1045="","",Input!$C$3)</f>
        <v/>
      </c>
      <c r="I1045" s="153" t="str">
        <f>IF(E1045="","",HLOOKUP($B1045,Input!$C$13:$BT$14,2))</f>
        <v/>
      </c>
      <c r="J1045" s="154"/>
      <c r="K1045" s="155" t="str">
        <f>IF($E1045="","",INDEX(Input!$C$16:$CP$16,1,$B1045))</f>
        <v/>
      </c>
      <c r="L1045" s="155" t="str">
        <f>IF($E1045="","",Input!$C$37)</f>
        <v/>
      </c>
      <c r="M1045" s="155" t="str">
        <f t="shared" si="671"/>
        <v/>
      </c>
      <c r="N1045" s="155" t="str">
        <f t="shared" si="672"/>
        <v/>
      </c>
      <c r="O1045" s="147" t="str">
        <f>IF($E1045="","",MIN(VLOOKUP(IF($B1045&lt;=Input!$C$7,$B1045,26),'Mortality Tables'!$A$41:$CW$67,IF($B1045&lt;=Input!$C$7+1,Input!$C$4+2,$D1045-Input!$C$7+2),0)*IF(B1045&gt;20,Input!$C$22,1)/1000,1))</f>
        <v/>
      </c>
      <c r="P1045" s="147" t="str">
        <f>IF($E1045="","",MIN(VLOOKUP(IF($B1045&lt;=Input!$C$7,$B1045,26),'Mortality Tables'!$A$12:$CW$37,IF($B1045&lt;=Input!$C$7+1,Input!$C$4+2,$D1045-Input!$C$7+2),0)*IF(B1045&gt;20,Input!$C$22,1)/1000,1))</f>
        <v/>
      </c>
      <c r="Q1045" s="155" t="str">
        <f>IF($E1045="","",Input!$C$21)</f>
        <v/>
      </c>
      <c r="R1045" s="159" t="str">
        <f>IF($E1045="","",(1-Q1045)^($F1045-Input!$C$20))</f>
        <v/>
      </c>
      <c r="S1045" s="147" t="str">
        <f t="shared" si="674"/>
        <v/>
      </c>
      <c r="T1045" s="147" t="str">
        <f t="shared" si="675"/>
        <v/>
      </c>
      <c r="U1045" s="160" t="str">
        <f>IF($E1045="","",IF($C1045=12,INDEX(Input!$C$15:$CP$15,1,$B1045),0))</f>
        <v/>
      </c>
      <c r="V1045" s="150" t="str">
        <f>IF(E1045="","",IF(C1045=1,IF($B1045=1,Input!$C$33,Input!$C$34),0))</f>
        <v/>
      </c>
      <c r="W1045" s="156" t="str">
        <f>IF($E1045="","",Input!$C$35)</f>
        <v/>
      </c>
      <c r="X1045" s="156" t="str">
        <f t="shared" si="673"/>
        <v/>
      </c>
      <c r="Y1045" s="154"/>
      <c r="Z1045" s="147" t="str">
        <f>IF($E1045="","",VLOOKUP($D1045,'Mortality Margins &amp; Grading'!$AB$5:$AF$125,3,0)*IF(Summary!$D$25="Included Margin",IF(AND($B1045&gt;Input!$C$9,Summary!$D$31&lt;&gt;"Included Margin"),0,1),0))</f>
        <v/>
      </c>
      <c r="AA1045" s="147" t="str">
        <f>IF($E1045="","",VLOOKUP($D1045,'Mortality Margins &amp; Grading'!$AB$5:$AF$125,5,0)*IF(Summary!$D$25="Included Margin",IF(AND($B1045&gt;Input!$C$9,Summary!$D$31&lt;&gt;"Included Margin"),0,1),0))</f>
        <v/>
      </c>
      <c r="AB1045" s="147" t="str">
        <f>IF($E1045="","",IF(AND($B1045&gt;Input!$C$9,Summary!$D$31&lt;&gt;"Included Margin"),1,IF(Summary!$D$25="Included Margin",VLOOKUP($B1045,'Mortality Margins &amp; Grading'!$AI$5:$AR$125,MATCH('Mortality Margins &amp; Grading'!$AQ$4,'Mortality Margins &amp; Grading'!$AI$4:$AR$4,0),0),1)))</f>
        <v/>
      </c>
      <c r="AC1045" s="154"/>
      <c r="AD1045" s="158" t="str">
        <f>IF(E1045="","",Input!$C$48*IF(Summary!$D$30="Included Margin",IF(AND($B1045&gt;Input!$C$9,Summary!$D$31&lt;&gt;"Included Margin"),0,1),0))</f>
        <v/>
      </c>
      <c r="AE1045" s="159" t="str">
        <f>IF(E1045="","",IF(Summary!$D$26="Included Margin",IF(AND($B1045&gt;Input!$C$9,Summary!$D$31&lt;&gt;"Included Margin"),1,1/$R1045),1))</f>
        <v/>
      </c>
      <c r="AF1045" s="160" t="str">
        <f>IF(E1045="","",IF(AND($B1045&gt;=Input!$C$9,$C1045=12,Summary!$D$31="Included Margin",$U1045&gt;0),1/U1045-1,IF($B1045&gt;=Input!$C$9,0,Input!$C$45*IF(Summary!$D$27="Included Margin",1,0))))</f>
        <v/>
      </c>
      <c r="AG1045" s="160" t="str">
        <f>IF(E1045="","",Input!$C$46*IF(Summary!$D$28="Included Margin",IF(AND($B1045&gt;Input!$C$9,Summary!$D$31&lt;&gt;"Included Margin"),0,1),0))</f>
        <v/>
      </c>
      <c r="AH1045" s="158" t="str">
        <f>IF(E1045="","",Input!$C$47*IF(Summary!$D$29="Included Margin",IF(AND($B1045&gt;Input!$C$9,Summary!$D$31&lt;&gt;"Included Margin"),0,1),0))</f>
        <v/>
      </c>
      <c r="AI1045" s="154"/>
      <c r="AJ1045" s="158" t="str">
        <f t="shared" si="689"/>
        <v/>
      </c>
      <c r="AK1045" s="155" t="str">
        <f t="shared" si="690"/>
        <v/>
      </c>
      <c r="AL1045" s="147" t="str">
        <f t="shared" si="691"/>
        <v/>
      </c>
      <c r="AM1045" s="147" t="str">
        <f t="shared" si="676"/>
        <v/>
      </c>
      <c r="AN1045" s="160" t="str">
        <f t="shared" si="692"/>
        <v/>
      </c>
      <c r="AO1045" s="161" t="str">
        <f t="shared" si="693"/>
        <v/>
      </c>
      <c r="AP1045" s="156" t="str">
        <f t="shared" si="677"/>
        <v/>
      </c>
      <c r="AQ1045" s="152"/>
      <c r="AR1045" s="162" t="str">
        <f t="shared" si="678"/>
        <v/>
      </c>
      <c r="AS1045" s="150" t="str">
        <f t="shared" si="694"/>
        <v/>
      </c>
      <c r="AT1045" s="163" t="str">
        <f t="shared" si="679"/>
        <v/>
      </c>
      <c r="AU1045" s="163" t="str">
        <f t="shared" si="680"/>
        <v/>
      </c>
      <c r="AV1045" s="163" t="str">
        <f t="shared" si="695"/>
        <v/>
      </c>
      <c r="AW1045" s="163" t="str">
        <f t="shared" si="681"/>
        <v/>
      </c>
      <c r="AX1045" s="163" t="str">
        <f t="shared" si="682"/>
        <v/>
      </c>
      <c r="AY1045" s="164" t="str">
        <f t="shared" si="696"/>
        <v/>
      </c>
      <c r="AZ1045" s="164" t="str">
        <f>IF($E1045="","",IF(OR(AND($D1045=Input!$C$6,$C1045=12),$AN1045=1),0,-AS1046+AT1046+AU1046-AV1046-AW1046-AX1046+AZ1046))</f>
        <v/>
      </c>
      <c r="BA1045" s="154" t="str">
        <f t="shared" si="683"/>
        <v/>
      </c>
      <c r="BC1045" s="147" t="str">
        <f t="shared" si="697"/>
        <v/>
      </c>
      <c r="BD1045" s="164" t="str">
        <f>IF(AND($C1044=12,$D1044=Input!$C$6),0,IF($E1045="","",AT1045+(AU1045+BD1046)/(1+$AK1045)*MIN((1-AM1045-AN1045),1)))</f>
        <v/>
      </c>
      <c r="BE1045" s="164" t="str">
        <f t="shared" si="670"/>
        <v/>
      </c>
      <c r="BF1045" s="164" t="str">
        <f t="shared" si="698"/>
        <v/>
      </c>
      <c r="BG1045" s="164" t="str">
        <f t="shared" si="684"/>
        <v/>
      </c>
      <c r="BH1045" s="152"/>
      <c r="BI1045" s="162" t="str">
        <f t="shared" si="664"/>
        <v/>
      </c>
      <c r="BJ1045" s="150" t="str">
        <f t="shared" si="665"/>
        <v/>
      </c>
      <c r="BK1045" s="163" t="str">
        <f t="shared" si="703"/>
        <v/>
      </c>
      <c r="BL1045" s="163" t="str">
        <f t="shared" si="666"/>
        <v/>
      </c>
      <c r="BM1045" s="163" t="str">
        <f t="shared" si="704"/>
        <v/>
      </c>
      <c r="BN1045" s="163" t="str">
        <f t="shared" si="667"/>
        <v/>
      </c>
      <c r="BO1045" s="163" t="str">
        <f t="shared" si="668"/>
        <v/>
      </c>
      <c r="BP1045" s="164" t="str">
        <f t="shared" si="705"/>
        <v/>
      </c>
      <c r="BQ1045" s="164" t="str">
        <f t="shared" si="699"/>
        <v/>
      </c>
      <c r="BR1045" s="154" t="str">
        <f t="shared" si="669"/>
        <v/>
      </c>
      <c r="BT1045" s="147" t="str">
        <f t="shared" si="685"/>
        <v/>
      </c>
      <c r="BU1045" s="164" t="str">
        <f>IF(AND($C1044=12,$D1044=Input!$C$6),0,IF($E1045="","",BK1045+(BL1045+BU1046)/(1+$AK1045)*MIN((1-T1045-U1045),1)))</f>
        <v/>
      </c>
      <c r="BV1045" s="164" t="str">
        <f t="shared" si="686"/>
        <v/>
      </c>
      <c r="BW1045" s="164" t="str">
        <f t="shared" si="687"/>
        <v/>
      </c>
      <c r="BX1045" s="164" t="str">
        <f t="shared" si="688"/>
        <v/>
      </c>
    </row>
    <row r="1046" spans="1:76" s="150" customFormat="1" x14ac:dyDescent="0.25">
      <c r="A1046" s="150" t="str">
        <f t="shared" si="700"/>
        <v/>
      </c>
      <c r="B1046" s="150" t="str">
        <f t="shared" si="701"/>
        <v/>
      </c>
      <c r="C1046" s="150" t="str">
        <f t="shared" si="702"/>
        <v/>
      </c>
      <c r="D1046" s="150" t="str">
        <f>IF(E1046="","",Input!$C$4+B1046-1)</f>
        <v/>
      </c>
      <c r="E1046" s="150" t="str">
        <f>IF(OR(AND(C1045=12,D1045=Input!$C$6),E1045=""),"",1)</f>
        <v/>
      </c>
      <c r="F1046" s="150" t="str">
        <f>IF(E1046="","",Input!$C$8+B1046-1)</f>
        <v/>
      </c>
      <c r="G1046" s="151" t="str">
        <f>IF(E1046="","",MAX(0,Input!$C$9-B1046))</f>
        <v/>
      </c>
      <c r="H1046" s="152" t="str">
        <f>IF(E1046="","",Input!$C$3)</f>
        <v/>
      </c>
      <c r="I1046" s="153" t="str">
        <f>IF(E1046="","",HLOOKUP($B1046,Input!$C$13:$BT$14,2))</f>
        <v/>
      </c>
      <c r="J1046" s="154"/>
      <c r="K1046" s="155" t="str">
        <f>IF($E1046="","",INDEX(Input!$C$16:$CP$16,1,$B1046))</f>
        <v/>
      </c>
      <c r="L1046" s="155" t="str">
        <f>IF($E1046="","",Input!$C$37)</f>
        <v/>
      </c>
      <c r="M1046" s="155" t="str">
        <f t="shared" si="671"/>
        <v/>
      </c>
      <c r="N1046" s="155" t="str">
        <f t="shared" si="672"/>
        <v/>
      </c>
      <c r="O1046" s="147" t="str">
        <f>IF($E1046="","",MIN(VLOOKUP(IF($B1046&lt;=Input!$C$7,$B1046,26),'Mortality Tables'!$A$41:$CW$67,IF($B1046&lt;=Input!$C$7+1,Input!$C$4+2,$D1046-Input!$C$7+2),0)*IF(B1046&gt;20,Input!$C$22,1)/1000,1))</f>
        <v/>
      </c>
      <c r="P1046" s="147" t="str">
        <f>IF($E1046="","",MIN(VLOOKUP(IF($B1046&lt;=Input!$C$7,$B1046,26),'Mortality Tables'!$A$12:$CW$37,IF($B1046&lt;=Input!$C$7+1,Input!$C$4+2,$D1046-Input!$C$7+2),0)*IF(B1046&gt;20,Input!$C$22,1)/1000,1))</f>
        <v/>
      </c>
      <c r="Q1046" s="155" t="str">
        <f>IF($E1046="","",Input!$C$21)</f>
        <v/>
      </c>
      <c r="R1046" s="159" t="str">
        <f>IF($E1046="","",(1-Q1046)^($F1046-Input!$C$20))</f>
        <v/>
      </c>
      <c r="S1046" s="147" t="str">
        <f t="shared" si="674"/>
        <v/>
      </c>
      <c r="T1046" s="147" t="str">
        <f t="shared" si="675"/>
        <v/>
      </c>
      <c r="U1046" s="160" t="str">
        <f>IF($E1046="","",IF($C1046=12,INDEX(Input!$C$15:$CP$15,1,$B1046),0))</f>
        <v/>
      </c>
      <c r="V1046" s="150" t="str">
        <f>IF(E1046="","",IF(C1046=1,IF($B1046=1,Input!$C$33,Input!$C$34),0))</f>
        <v/>
      </c>
      <c r="W1046" s="156" t="str">
        <f>IF($E1046="","",Input!$C$35)</f>
        <v/>
      </c>
      <c r="X1046" s="156" t="str">
        <f t="shared" si="673"/>
        <v/>
      </c>
      <c r="Y1046" s="154"/>
      <c r="Z1046" s="147" t="str">
        <f>IF($E1046="","",VLOOKUP($D1046,'Mortality Margins &amp; Grading'!$AB$5:$AF$125,3,0)*IF(Summary!$D$25="Included Margin",IF(AND($B1046&gt;Input!$C$9,Summary!$D$31&lt;&gt;"Included Margin"),0,1),0))</f>
        <v/>
      </c>
      <c r="AA1046" s="147" t="str">
        <f>IF($E1046="","",VLOOKUP($D1046,'Mortality Margins &amp; Grading'!$AB$5:$AF$125,5,0)*IF(Summary!$D$25="Included Margin",IF(AND($B1046&gt;Input!$C$9,Summary!$D$31&lt;&gt;"Included Margin"),0,1),0))</f>
        <v/>
      </c>
      <c r="AB1046" s="147" t="str">
        <f>IF($E1046="","",IF(AND($B1046&gt;Input!$C$9,Summary!$D$31&lt;&gt;"Included Margin"),1,IF(Summary!$D$25="Included Margin",VLOOKUP($B1046,'Mortality Margins &amp; Grading'!$AI$5:$AR$125,MATCH('Mortality Margins &amp; Grading'!$AQ$4,'Mortality Margins &amp; Grading'!$AI$4:$AR$4,0),0),1)))</f>
        <v/>
      </c>
      <c r="AC1046" s="154"/>
      <c r="AD1046" s="158" t="str">
        <f>IF(E1046="","",Input!$C$48*IF(Summary!$D$30="Included Margin",IF(AND($B1046&gt;Input!$C$9,Summary!$D$31&lt;&gt;"Included Margin"),0,1),0))</f>
        <v/>
      </c>
      <c r="AE1046" s="159" t="str">
        <f>IF(E1046="","",IF(Summary!$D$26="Included Margin",IF(AND($B1046&gt;Input!$C$9,Summary!$D$31&lt;&gt;"Included Margin"),1,1/$R1046),1))</f>
        <v/>
      </c>
      <c r="AF1046" s="160" t="str">
        <f>IF(E1046="","",IF(AND($B1046&gt;=Input!$C$9,$C1046=12,Summary!$D$31="Included Margin",$U1046&gt;0),1/U1046-1,IF($B1046&gt;=Input!$C$9,0,Input!$C$45*IF(Summary!$D$27="Included Margin",1,0))))</f>
        <v/>
      </c>
      <c r="AG1046" s="160" t="str">
        <f>IF(E1046="","",Input!$C$46*IF(Summary!$D$28="Included Margin",IF(AND($B1046&gt;Input!$C$9,Summary!$D$31&lt;&gt;"Included Margin"),0,1),0))</f>
        <v/>
      </c>
      <c r="AH1046" s="158" t="str">
        <f>IF(E1046="","",Input!$C$47*IF(Summary!$D$29="Included Margin",IF(AND($B1046&gt;Input!$C$9,Summary!$D$31&lt;&gt;"Included Margin"),0,1),0))</f>
        <v/>
      </c>
      <c r="AI1046" s="154"/>
      <c r="AJ1046" s="158" t="str">
        <f t="shared" si="689"/>
        <v/>
      </c>
      <c r="AK1046" s="155" t="str">
        <f t="shared" si="690"/>
        <v/>
      </c>
      <c r="AL1046" s="147" t="str">
        <f t="shared" si="691"/>
        <v/>
      </c>
      <c r="AM1046" s="147" t="str">
        <f t="shared" si="676"/>
        <v/>
      </c>
      <c r="AN1046" s="160" t="str">
        <f t="shared" si="692"/>
        <v/>
      </c>
      <c r="AO1046" s="161" t="str">
        <f t="shared" si="693"/>
        <v/>
      </c>
      <c r="AP1046" s="156" t="str">
        <f t="shared" si="677"/>
        <v/>
      </c>
      <c r="AQ1046" s="152"/>
      <c r="AR1046" s="162" t="str">
        <f t="shared" si="678"/>
        <v/>
      </c>
      <c r="AS1046" s="150" t="str">
        <f t="shared" si="694"/>
        <v/>
      </c>
      <c r="AT1046" s="163" t="str">
        <f t="shared" si="679"/>
        <v/>
      </c>
      <c r="AU1046" s="163" t="str">
        <f t="shared" si="680"/>
        <v/>
      </c>
      <c r="AV1046" s="163" t="str">
        <f t="shared" si="695"/>
        <v/>
      </c>
      <c r="AW1046" s="163" t="str">
        <f t="shared" si="681"/>
        <v/>
      </c>
      <c r="AX1046" s="163" t="str">
        <f t="shared" si="682"/>
        <v/>
      </c>
      <c r="AY1046" s="165" t="str">
        <f t="shared" si="696"/>
        <v/>
      </c>
      <c r="AZ1046" s="164" t="str">
        <f>IF($E1046="","",IF(OR(AND($D1046=Input!$C$6,$C1046=12),$AN1046=1),0,-AS1047+AT1047+AU1047-AV1047-AW1047-AX1047+AZ1047))</f>
        <v/>
      </c>
      <c r="BA1046" s="154" t="str">
        <f t="shared" si="683"/>
        <v/>
      </c>
      <c r="BC1046" s="147" t="str">
        <f t="shared" si="697"/>
        <v/>
      </c>
      <c r="BD1046" s="164" t="str">
        <f>IF(AND($C1045=12,$D1045=Input!$C$6),0,IF($E1046="","",AT1046+(AU1046+BD1047)/(1+$AK1046)*MIN((1-AM1046-AN1046),1)))</f>
        <v/>
      </c>
      <c r="BE1046" s="164" t="str">
        <f t="shared" si="670"/>
        <v/>
      </c>
      <c r="BF1046" s="164" t="str">
        <f t="shared" si="698"/>
        <v/>
      </c>
      <c r="BG1046" s="164" t="str">
        <f t="shared" si="684"/>
        <v/>
      </c>
      <c r="BH1046" s="152"/>
      <c r="BI1046" s="162" t="str">
        <f t="shared" ref="BI1046:BI1109" si="706">IF($E1046="","",(BQ1046*(1-$U1046)*(1-$T1046)/(1+$N1046)+BL1046/(1+$N1046/2)-BJ1046+BK1046))</f>
        <v/>
      </c>
      <c r="BJ1046" s="150" t="str">
        <f t="shared" ref="BJ1046:BJ1109" si="707">IF($E1046="","",AS1046)</f>
        <v/>
      </c>
      <c r="BK1046" s="163" t="str">
        <f t="shared" si="703"/>
        <v/>
      </c>
      <c r="BL1046" s="163" t="str">
        <f t="shared" ref="BL1046:BL1109" si="708">IF(E1046="","",$T1046*$H1046)</f>
        <v/>
      </c>
      <c r="BM1046" s="163" t="str">
        <f t="shared" si="704"/>
        <v/>
      </c>
      <c r="BN1046" s="163" t="str">
        <f t="shared" ref="BN1046:BN1109" si="709">IF($E1046="","",BQ1046*$T1046)</f>
        <v/>
      </c>
      <c r="BO1046" s="163" t="str">
        <f t="shared" ref="BO1046:BO1109" si="710">IF($E1046="","",$U1046*BQ1046*(1-$T1046))</f>
        <v/>
      </c>
      <c r="BP1046" s="164" t="str">
        <f t="shared" si="705"/>
        <v/>
      </c>
      <c r="BQ1046" s="164" t="str">
        <f t="shared" si="699"/>
        <v/>
      </c>
      <c r="BR1046" s="154" t="str">
        <f t="shared" ref="BR1046:BR1109" si="711">IF(E1046="","",BQ1046-BP1046)</f>
        <v/>
      </c>
      <c r="BT1046" s="147" t="str">
        <f t="shared" si="685"/>
        <v/>
      </c>
      <c r="BU1046" s="164" t="str">
        <f>IF(AND($C1045=12,$D1045=Input!$C$6),0,IF($E1046="","",BK1046+(BL1046+BU1047)/(1+$AK1046)*MIN((1-T1046-U1046),1)))</f>
        <v/>
      </c>
      <c r="BV1046" s="164" t="str">
        <f t="shared" si="686"/>
        <v/>
      </c>
      <c r="BW1046" s="164" t="str">
        <f t="shared" si="687"/>
        <v/>
      </c>
      <c r="BX1046" s="164" t="str">
        <f t="shared" si="688"/>
        <v/>
      </c>
    </row>
    <row r="1047" spans="1:76" s="150" customFormat="1" x14ac:dyDescent="0.25">
      <c r="A1047" s="150" t="str">
        <f t="shared" si="700"/>
        <v/>
      </c>
      <c r="B1047" s="150" t="str">
        <f t="shared" si="701"/>
        <v/>
      </c>
      <c r="C1047" s="150" t="str">
        <f t="shared" si="702"/>
        <v/>
      </c>
      <c r="D1047" s="150" t="str">
        <f>IF(E1047="","",Input!$C$4+B1047-1)</f>
        <v/>
      </c>
      <c r="E1047" s="150" t="str">
        <f>IF(OR(AND(C1046=12,D1046=Input!$C$6),E1046=""),"",1)</f>
        <v/>
      </c>
      <c r="F1047" s="150" t="str">
        <f>IF(E1047="","",Input!$C$8+B1047-1)</f>
        <v/>
      </c>
      <c r="G1047" s="151" t="str">
        <f>IF(E1047="","",MAX(0,Input!$C$9-B1047))</f>
        <v/>
      </c>
      <c r="H1047" s="152" t="str">
        <f>IF(E1047="","",Input!$C$3)</f>
        <v/>
      </c>
      <c r="I1047" s="153" t="str">
        <f>IF(E1047="","",HLOOKUP($B1047,Input!$C$13:$BT$14,2))</f>
        <v/>
      </c>
      <c r="J1047" s="154"/>
      <c r="K1047" s="155" t="str">
        <f>IF($E1047="","",INDEX(Input!$C$16:$CP$16,1,$B1047))</f>
        <v/>
      </c>
      <c r="L1047" s="155" t="str">
        <f>IF($E1047="","",Input!$C$37)</f>
        <v/>
      </c>
      <c r="M1047" s="155" t="str">
        <f t="shared" si="671"/>
        <v/>
      </c>
      <c r="N1047" s="155" t="str">
        <f t="shared" si="672"/>
        <v/>
      </c>
      <c r="O1047" s="147" t="str">
        <f>IF($E1047="","",MIN(VLOOKUP(IF($B1047&lt;=Input!$C$7,$B1047,26),'Mortality Tables'!$A$41:$CW$67,IF($B1047&lt;=Input!$C$7+1,Input!$C$4+2,$D1047-Input!$C$7+2),0)*IF(B1047&gt;20,Input!$C$22,1)/1000,1))</f>
        <v/>
      </c>
      <c r="P1047" s="147" t="str">
        <f>IF($E1047="","",MIN(VLOOKUP(IF($B1047&lt;=Input!$C$7,$B1047,26),'Mortality Tables'!$A$12:$CW$37,IF($B1047&lt;=Input!$C$7+1,Input!$C$4+2,$D1047-Input!$C$7+2),0)*IF(B1047&gt;20,Input!$C$22,1)/1000,1))</f>
        <v/>
      </c>
      <c r="Q1047" s="155" t="str">
        <f>IF($E1047="","",Input!$C$21)</f>
        <v/>
      </c>
      <c r="R1047" s="159" t="str">
        <f>IF($E1047="","",(1-Q1047)^($F1047-Input!$C$20))</f>
        <v/>
      </c>
      <c r="S1047" s="147" t="str">
        <f t="shared" si="674"/>
        <v/>
      </c>
      <c r="T1047" s="147" t="str">
        <f t="shared" si="675"/>
        <v/>
      </c>
      <c r="U1047" s="160" t="str">
        <f>IF($E1047="","",IF($C1047=12,INDEX(Input!$C$15:$CP$15,1,$B1047),0))</f>
        <v/>
      </c>
      <c r="V1047" s="150" t="str">
        <f>IF(E1047="","",IF(C1047=1,IF($B1047=1,Input!$C$33,Input!$C$34),0))</f>
        <v/>
      </c>
      <c r="W1047" s="156" t="str">
        <f>IF($E1047="","",Input!$C$35)</f>
        <v/>
      </c>
      <c r="X1047" s="156" t="str">
        <f t="shared" si="673"/>
        <v/>
      </c>
      <c r="Y1047" s="154"/>
      <c r="Z1047" s="147" t="str">
        <f>IF($E1047="","",VLOOKUP($D1047,'Mortality Margins &amp; Grading'!$AB$5:$AF$125,3,0)*IF(Summary!$D$25="Included Margin",IF(AND($B1047&gt;Input!$C$9,Summary!$D$31&lt;&gt;"Included Margin"),0,1),0))</f>
        <v/>
      </c>
      <c r="AA1047" s="147" t="str">
        <f>IF($E1047="","",VLOOKUP($D1047,'Mortality Margins &amp; Grading'!$AB$5:$AF$125,5,0)*IF(Summary!$D$25="Included Margin",IF(AND($B1047&gt;Input!$C$9,Summary!$D$31&lt;&gt;"Included Margin"),0,1),0))</f>
        <v/>
      </c>
      <c r="AB1047" s="147" t="str">
        <f>IF($E1047="","",IF(AND($B1047&gt;Input!$C$9,Summary!$D$31&lt;&gt;"Included Margin"),1,IF(Summary!$D$25="Included Margin",VLOOKUP($B1047,'Mortality Margins &amp; Grading'!$AI$5:$AR$125,MATCH('Mortality Margins &amp; Grading'!$AQ$4,'Mortality Margins &amp; Grading'!$AI$4:$AR$4,0),0),1)))</f>
        <v/>
      </c>
      <c r="AC1047" s="154"/>
      <c r="AD1047" s="158" t="str">
        <f>IF(E1047="","",Input!$C$48*IF(Summary!$D$30="Included Margin",IF(AND($B1047&gt;Input!$C$9,Summary!$D$31&lt;&gt;"Included Margin"),0,1),0))</f>
        <v/>
      </c>
      <c r="AE1047" s="159" t="str">
        <f>IF(E1047="","",IF(Summary!$D$26="Included Margin",IF(AND($B1047&gt;Input!$C$9,Summary!$D$31&lt;&gt;"Included Margin"),1,1/$R1047),1))</f>
        <v/>
      </c>
      <c r="AF1047" s="160" t="str">
        <f>IF(E1047="","",IF(AND($B1047&gt;=Input!$C$9,$C1047=12,Summary!$D$31="Included Margin",$U1047&gt;0),1/U1047-1,IF($B1047&gt;=Input!$C$9,0,Input!$C$45*IF(Summary!$D$27="Included Margin",1,0))))</f>
        <v/>
      </c>
      <c r="AG1047" s="160" t="str">
        <f>IF(E1047="","",Input!$C$46*IF(Summary!$D$28="Included Margin",IF(AND($B1047&gt;Input!$C$9,Summary!$D$31&lt;&gt;"Included Margin"),0,1),0))</f>
        <v/>
      </c>
      <c r="AH1047" s="158" t="str">
        <f>IF(E1047="","",Input!$C$47*IF(Summary!$D$29="Included Margin",IF(AND($B1047&gt;Input!$C$9,Summary!$D$31&lt;&gt;"Included Margin"),0,1),0))</f>
        <v/>
      </c>
      <c r="AI1047" s="154"/>
      <c r="AJ1047" s="158" t="str">
        <f t="shared" si="689"/>
        <v/>
      </c>
      <c r="AK1047" s="155" t="str">
        <f t="shared" si="690"/>
        <v/>
      </c>
      <c r="AL1047" s="147" t="str">
        <f t="shared" si="691"/>
        <v/>
      </c>
      <c r="AM1047" s="147" t="str">
        <f t="shared" si="676"/>
        <v/>
      </c>
      <c r="AN1047" s="160" t="str">
        <f t="shared" si="692"/>
        <v/>
      </c>
      <c r="AO1047" s="161" t="str">
        <f t="shared" si="693"/>
        <v/>
      </c>
      <c r="AP1047" s="156" t="str">
        <f t="shared" si="677"/>
        <v/>
      </c>
      <c r="AQ1047" s="152"/>
      <c r="AR1047" s="162" t="str">
        <f t="shared" si="678"/>
        <v/>
      </c>
      <c r="AS1047" s="150" t="str">
        <f t="shared" si="694"/>
        <v/>
      </c>
      <c r="AT1047" s="163" t="str">
        <f t="shared" si="679"/>
        <v/>
      </c>
      <c r="AU1047" s="163" t="str">
        <f t="shared" si="680"/>
        <v/>
      </c>
      <c r="AV1047" s="163" t="str">
        <f t="shared" si="695"/>
        <v/>
      </c>
      <c r="AW1047" s="163" t="str">
        <f t="shared" si="681"/>
        <v/>
      </c>
      <c r="AX1047" s="163" t="str">
        <f t="shared" si="682"/>
        <v/>
      </c>
      <c r="AY1047" s="164" t="str">
        <f t="shared" si="696"/>
        <v/>
      </c>
      <c r="AZ1047" s="164" t="str">
        <f>IF($E1047="","",IF(OR(AND($D1047=Input!$C$6,$C1047=12),$AN1047=1),0,-AS1048+AT1048+AU1048-AV1048-AW1048-AX1048+AZ1048))</f>
        <v/>
      </c>
      <c r="BA1047" s="154" t="str">
        <f t="shared" si="683"/>
        <v/>
      </c>
      <c r="BC1047" s="147" t="str">
        <f t="shared" si="697"/>
        <v/>
      </c>
      <c r="BD1047" s="164" t="str">
        <f>IF(AND($C1046=12,$D1046=Input!$C$6),0,IF($E1047="","",AT1047+(AU1047+BD1048)/(1+$AK1047)*MIN((1-AM1047-AN1047),1)))</f>
        <v/>
      </c>
      <c r="BE1047" s="164" t="str">
        <f t="shared" si="670"/>
        <v/>
      </c>
      <c r="BF1047" s="164" t="str">
        <f t="shared" si="698"/>
        <v/>
      </c>
      <c r="BG1047" s="164" t="str">
        <f t="shared" si="684"/>
        <v/>
      </c>
      <c r="BH1047" s="152"/>
      <c r="BI1047" s="162" t="str">
        <f t="shared" si="706"/>
        <v/>
      </c>
      <c r="BJ1047" s="150" t="str">
        <f t="shared" si="707"/>
        <v/>
      </c>
      <c r="BK1047" s="163" t="str">
        <f t="shared" si="703"/>
        <v/>
      </c>
      <c r="BL1047" s="163" t="str">
        <f t="shared" si="708"/>
        <v/>
      </c>
      <c r="BM1047" s="163" t="str">
        <f t="shared" si="704"/>
        <v/>
      </c>
      <c r="BN1047" s="163" t="str">
        <f t="shared" si="709"/>
        <v/>
      </c>
      <c r="BO1047" s="163" t="str">
        <f t="shared" si="710"/>
        <v/>
      </c>
      <c r="BP1047" s="164" t="str">
        <f t="shared" si="705"/>
        <v/>
      </c>
      <c r="BQ1047" s="164" t="str">
        <f t="shared" si="699"/>
        <v/>
      </c>
      <c r="BR1047" s="154" t="str">
        <f t="shared" si="711"/>
        <v/>
      </c>
      <c r="BT1047" s="147" t="str">
        <f t="shared" si="685"/>
        <v/>
      </c>
      <c r="BU1047" s="164" t="str">
        <f>IF(AND($C1046=12,$D1046=Input!$C$6),0,IF($E1047="","",BK1047+(BL1047+BU1048)/(1+$AK1047)*MIN((1-T1047-U1047),1)))</f>
        <v/>
      </c>
      <c r="BV1047" s="164" t="str">
        <f t="shared" si="686"/>
        <v/>
      </c>
      <c r="BW1047" s="164" t="str">
        <f t="shared" si="687"/>
        <v/>
      </c>
      <c r="BX1047" s="164" t="str">
        <f t="shared" si="688"/>
        <v/>
      </c>
    </row>
    <row r="1048" spans="1:76" s="150" customFormat="1" x14ac:dyDescent="0.25">
      <c r="A1048" s="150" t="str">
        <f t="shared" si="700"/>
        <v/>
      </c>
      <c r="B1048" s="150" t="str">
        <f t="shared" si="701"/>
        <v/>
      </c>
      <c r="C1048" s="150" t="str">
        <f t="shared" si="702"/>
        <v/>
      </c>
      <c r="D1048" s="150" t="str">
        <f>IF(E1048="","",Input!$C$4+B1048-1)</f>
        <v/>
      </c>
      <c r="E1048" s="150" t="str">
        <f>IF(OR(AND(C1047=12,D1047=Input!$C$6),E1047=""),"",1)</f>
        <v/>
      </c>
      <c r="F1048" s="150" t="str">
        <f>IF(E1048="","",Input!$C$8+B1048-1)</f>
        <v/>
      </c>
      <c r="G1048" s="151" t="str">
        <f>IF(E1048="","",MAX(0,Input!$C$9-B1048))</f>
        <v/>
      </c>
      <c r="H1048" s="152" t="str">
        <f>IF(E1048="","",Input!$C$3)</f>
        <v/>
      </c>
      <c r="I1048" s="153" t="str">
        <f>IF(E1048="","",HLOOKUP($B1048,Input!$C$13:$BT$14,2))</f>
        <v/>
      </c>
      <c r="J1048" s="154"/>
      <c r="K1048" s="155" t="str">
        <f>IF($E1048="","",INDEX(Input!$C$16:$CP$16,1,$B1048))</f>
        <v/>
      </c>
      <c r="L1048" s="155" t="str">
        <f>IF($E1048="","",Input!$C$37)</f>
        <v/>
      </c>
      <c r="M1048" s="155" t="str">
        <f t="shared" si="671"/>
        <v/>
      </c>
      <c r="N1048" s="155" t="str">
        <f t="shared" si="672"/>
        <v/>
      </c>
      <c r="O1048" s="147" t="str">
        <f>IF($E1048="","",MIN(VLOOKUP(IF($B1048&lt;=Input!$C$7,$B1048,26),'Mortality Tables'!$A$41:$CW$67,IF($B1048&lt;=Input!$C$7+1,Input!$C$4+2,$D1048-Input!$C$7+2),0)*IF(B1048&gt;20,Input!$C$22,1)/1000,1))</f>
        <v/>
      </c>
      <c r="P1048" s="147" t="str">
        <f>IF($E1048="","",MIN(VLOOKUP(IF($B1048&lt;=Input!$C$7,$B1048,26),'Mortality Tables'!$A$12:$CW$37,IF($B1048&lt;=Input!$C$7+1,Input!$C$4+2,$D1048-Input!$C$7+2),0)*IF(B1048&gt;20,Input!$C$22,1)/1000,1))</f>
        <v/>
      </c>
      <c r="Q1048" s="155" t="str">
        <f>IF($E1048="","",Input!$C$21)</f>
        <v/>
      </c>
      <c r="R1048" s="159" t="str">
        <f>IF($E1048="","",(1-Q1048)^($F1048-Input!$C$20))</f>
        <v/>
      </c>
      <c r="S1048" s="147" t="str">
        <f t="shared" si="674"/>
        <v/>
      </c>
      <c r="T1048" s="147" t="str">
        <f t="shared" si="675"/>
        <v/>
      </c>
      <c r="U1048" s="160" t="str">
        <f>IF($E1048="","",IF($C1048=12,INDEX(Input!$C$15:$CP$15,1,$B1048),0))</f>
        <v/>
      </c>
      <c r="V1048" s="150" t="str">
        <f>IF(E1048="","",IF(C1048=1,IF($B1048=1,Input!$C$33,Input!$C$34),0))</f>
        <v/>
      </c>
      <c r="W1048" s="156" t="str">
        <f>IF($E1048="","",Input!$C$35)</f>
        <v/>
      </c>
      <c r="X1048" s="156" t="str">
        <f t="shared" si="673"/>
        <v/>
      </c>
      <c r="Y1048" s="154"/>
      <c r="Z1048" s="147" t="str">
        <f>IF($E1048="","",VLOOKUP($D1048,'Mortality Margins &amp; Grading'!$AB$5:$AF$125,3,0)*IF(Summary!$D$25="Included Margin",IF(AND($B1048&gt;Input!$C$9,Summary!$D$31&lt;&gt;"Included Margin"),0,1),0))</f>
        <v/>
      </c>
      <c r="AA1048" s="147" t="str">
        <f>IF($E1048="","",VLOOKUP($D1048,'Mortality Margins &amp; Grading'!$AB$5:$AF$125,5,0)*IF(Summary!$D$25="Included Margin",IF(AND($B1048&gt;Input!$C$9,Summary!$D$31&lt;&gt;"Included Margin"),0,1),0))</f>
        <v/>
      </c>
      <c r="AB1048" s="147" t="str">
        <f>IF($E1048="","",IF(AND($B1048&gt;Input!$C$9,Summary!$D$31&lt;&gt;"Included Margin"),1,IF(Summary!$D$25="Included Margin",VLOOKUP($B1048,'Mortality Margins &amp; Grading'!$AI$5:$AR$125,MATCH('Mortality Margins &amp; Grading'!$AQ$4,'Mortality Margins &amp; Grading'!$AI$4:$AR$4,0),0),1)))</f>
        <v/>
      </c>
      <c r="AC1048" s="154"/>
      <c r="AD1048" s="158" t="str">
        <f>IF(E1048="","",Input!$C$48*IF(Summary!$D$30="Included Margin",IF(AND($B1048&gt;Input!$C$9,Summary!$D$31&lt;&gt;"Included Margin"),0,1),0))</f>
        <v/>
      </c>
      <c r="AE1048" s="159" t="str">
        <f>IF(E1048="","",IF(Summary!$D$26="Included Margin",IF(AND($B1048&gt;Input!$C$9,Summary!$D$31&lt;&gt;"Included Margin"),1,1/$R1048),1))</f>
        <v/>
      </c>
      <c r="AF1048" s="160" t="str">
        <f>IF(E1048="","",IF(AND($B1048&gt;=Input!$C$9,$C1048=12,Summary!$D$31="Included Margin",$U1048&gt;0),1/U1048-1,IF($B1048&gt;=Input!$C$9,0,Input!$C$45*IF(Summary!$D$27="Included Margin",1,0))))</f>
        <v/>
      </c>
      <c r="AG1048" s="160" t="str">
        <f>IF(E1048="","",Input!$C$46*IF(Summary!$D$28="Included Margin",IF(AND($B1048&gt;Input!$C$9,Summary!$D$31&lt;&gt;"Included Margin"),0,1),0))</f>
        <v/>
      </c>
      <c r="AH1048" s="158" t="str">
        <f>IF(E1048="","",Input!$C$47*IF(Summary!$D$29="Included Margin",IF(AND($B1048&gt;Input!$C$9,Summary!$D$31&lt;&gt;"Included Margin"),0,1),0))</f>
        <v/>
      </c>
      <c r="AI1048" s="154"/>
      <c r="AJ1048" s="158" t="str">
        <f t="shared" si="689"/>
        <v/>
      </c>
      <c r="AK1048" s="155" t="str">
        <f t="shared" si="690"/>
        <v/>
      </c>
      <c r="AL1048" s="147" t="str">
        <f t="shared" si="691"/>
        <v/>
      </c>
      <c r="AM1048" s="147" t="str">
        <f t="shared" si="676"/>
        <v/>
      </c>
      <c r="AN1048" s="160" t="str">
        <f t="shared" si="692"/>
        <v/>
      </c>
      <c r="AO1048" s="161" t="str">
        <f t="shared" si="693"/>
        <v/>
      </c>
      <c r="AP1048" s="156" t="str">
        <f t="shared" si="677"/>
        <v/>
      </c>
      <c r="AQ1048" s="152"/>
      <c r="AR1048" s="162" t="str">
        <f t="shared" si="678"/>
        <v/>
      </c>
      <c r="AS1048" s="150" t="str">
        <f t="shared" si="694"/>
        <v/>
      </c>
      <c r="AT1048" s="163" t="str">
        <f t="shared" si="679"/>
        <v/>
      </c>
      <c r="AU1048" s="163" t="str">
        <f t="shared" si="680"/>
        <v/>
      </c>
      <c r="AV1048" s="163" t="str">
        <f t="shared" si="695"/>
        <v/>
      </c>
      <c r="AW1048" s="163" t="str">
        <f t="shared" si="681"/>
        <v/>
      </c>
      <c r="AX1048" s="163" t="str">
        <f t="shared" si="682"/>
        <v/>
      </c>
      <c r="AY1048" s="165" t="str">
        <f t="shared" si="696"/>
        <v/>
      </c>
      <c r="AZ1048" s="164" t="str">
        <f>IF($E1048="","",IF(OR(AND($D1048=Input!$C$6,$C1048=12),$AN1048=1),0,-AS1049+AT1049+AU1049-AV1049-AW1049-AX1049+AZ1049))</f>
        <v/>
      </c>
      <c r="BA1048" s="154" t="str">
        <f t="shared" si="683"/>
        <v/>
      </c>
      <c r="BC1048" s="147" t="str">
        <f t="shared" si="697"/>
        <v/>
      </c>
      <c r="BD1048" s="164" t="str">
        <f>IF(AND($C1047=12,$D1047=Input!$C$6),0,IF($E1048="","",AT1048+(AU1048+BD1049)/(1+$AK1048)*MIN((1-AM1048-AN1048),1)))</f>
        <v/>
      </c>
      <c r="BE1048" s="164" t="str">
        <f t="shared" si="670"/>
        <v/>
      </c>
      <c r="BF1048" s="164" t="str">
        <f t="shared" si="698"/>
        <v/>
      </c>
      <c r="BG1048" s="164" t="str">
        <f t="shared" si="684"/>
        <v/>
      </c>
      <c r="BH1048" s="152"/>
      <c r="BI1048" s="162" t="str">
        <f t="shared" si="706"/>
        <v/>
      </c>
      <c r="BJ1048" s="150" t="str">
        <f t="shared" si="707"/>
        <v/>
      </c>
      <c r="BK1048" s="163" t="str">
        <f t="shared" si="703"/>
        <v/>
      </c>
      <c r="BL1048" s="163" t="str">
        <f t="shared" si="708"/>
        <v/>
      </c>
      <c r="BM1048" s="163" t="str">
        <f t="shared" si="704"/>
        <v/>
      </c>
      <c r="BN1048" s="163" t="str">
        <f t="shared" si="709"/>
        <v/>
      </c>
      <c r="BO1048" s="163" t="str">
        <f t="shared" si="710"/>
        <v/>
      </c>
      <c r="BP1048" s="164" t="str">
        <f t="shared" si="705"/>
        <v/>
      </c>
      <c r="BQ1048" s="164" t="str">
        <f t="shared" si="699"/>
        <v/>
      </c>
      <c r="BR1048" s="154" t="str">
        <f t="shared" si="711"/>
        <v/>
      </c>
      <c r="BT1048" s="147" t="str">
        <f t="shared" si="685"/>
        <v/>
      </c>
      <c r="BU1048" s="164" t="str">
        <f>IF(AND($C1047=12,$D1047=Input!$C$6),0,IF($E1048="","",BK1048+(BL1048+BU1049)/(1+$AK1048)*MIN((1-T1048-U1048),1)))</f>
        <v/>
      </c>
      <c r="BV1048" s="164" t="str">
        <f t="shared" si="686"/>
        <v/>
      </c>
      <c r="BW1048" s="164" t="str">
        <f t="shared" si="687"/>
        <v/>
      </c>
      <c r="BX1048" s="164" t="str">
        <f t="shared" si="688"/>
        <v/>
      </c>
    </row>
    <row r="1049" spans="1:76" s="150" customFormat="1" x14ac:dyDescent="0.25">
      <c r="A1049" s="150" t="str">
        <f t="shared" si="700"/>
        <v/>
      </c>
      <c r="B1049" s="150" t="str">
        <f t="shared" si="701"/>
        <v/>
      </c>
      <c r="C1049" s="150" t="str">
        <f t="shared" si="702"/>
        <v/>
      </c>
      <c r="D1049" s="150" t="str">
        <f>IF(E1049="","",Input!$C$4+B1049-1)</f>
        <v/>
      </c>
      <c r="E1049" s="150" t="str">
        <f>IF(OR(AND(C1048=12,D1048=Input!$C$6),E1048=""),"",1)</f>
        <v/>
      </c>
      <c r="F1049" s="150" t="str">
        <f>IF(E1049="","",Input!$C$8+B1049-1)</f>
        <v/>
      </c>
      <c r="G1049" s="151" t="str">
        <f>IF(E1049="","",MAX(0,Input!$C$9-B1049))</f>
        <v/>
      </c>
      <c r="H1049" s="152" t="str">
        <f>IF(E1049="","",Input!$C$3)</f>
        <v/>
      </c>
      <c r="I1049" s="153" t="str">
        <f>IF(E1049="","",HLOOKUP($B1049,Input!$C$13:$BT$14,2))</f>
        <v/>
      </c>
      <c r="J1049" s="154"/>
      <c r="K1049" s="155" t="str">
        <f>IF($E1049="","",INDEX(Input!$C$16:$CP$16,1,$B1049))</f>
        <v/>
      </c>
      <c r="L1049" s="155" t="str">
        <f>IF($E1049="","",Input!$C$37)</f>
        <v/>
      </c>
      <c r="M1049" s="155" t="str">
        <f t="shared" si="671"/>
        <v/>
      </c>
      <c r="N1049" s="155" t="str">
        <f t="shared" si="672"/>
        <v/>
      </c>
      <c r="O1049" s="147" t="str">
        <f>IF($E1049="","",MIN(VLOOKUP(IF($B1049&lt;=Input!$C$7,$B1049,26),'Mortality Tables'!$A$41:$CW$67,IF($B1049&lt;=Input!$C$7+1,Input!$C$4+2,$D1049-Input!$C$7+2),0)*IF(B1049&gt;20,Input!$C$22,1)/1000,1))</f>
        <v/>
      </c>
      <c r="P1049" s="147" t="str">
        <f>IF($E1049="","",MIN(VLOOKUP(IF($B1049&lt;=Input!$C$7,$B1049,26),'Mortality Tables'!$A$12:$CW$37,IF($B1049&lt;=Input!$C$7+1,Input!$C$4+2,$D1049-Input!$C$7+2),0)*IF(B1049&gt;20,Input!$C$22,1)/1000,1))</f>
        <v/>
      </c>
      <c r="Q1049" s="155" t="str">
        <f>IF($E1049="","",Input!$C$21)</f>
        <v/>
      </c>
      <c r="R1049" s="159" t="str">
        <f>IF($E1049="","",(1-Q1049)^($F1049-Input!$C$20))</f>
        <v/>
      </c>
      <c r="S1049" s="147" t="str">
        <f t="shared" si="674"/>
        <v/>
      </c>
      <c r="T1049" s="147" t="str">
        <f t="shared" si="675"/>
        <v/>
      </c>
      <c r="U1049" s="160" t="str">
        <f>IF($E1049="","",IF($C1049=12,INDEX(Input!$C$15:$CP$15,1,$B1049),0))</f>
        <v/>
      </c>
      <c r="V1049" s="150" t="str">
        <f>IF(E1049="","",IF(C1049=1,IF($B1049=1,Input!$C$33,Input!$C$34),0))</f>
        <v/>
      </c>
      <c r="W1049" s="156" t="str">
        <f>IF($E1049="","",Input!$C$35)</f>
        <v/>
      </c>
      <c r="X1049" s="156" t="str">
        <f t="shared" si="673"/>
        <v/>
      </c>
      <c r="Y1049" s="154"/>
      <c r="Z1049" s="147" t="str">
        <f>IF($E1049="","",VLOOKUP($D1049,'Mortality Margins &amp; Grading'!$AB$5:$AF$125,3,0)*IF(Summary!$D$25="Included Margin",IF(AND($B1049&gt;Input!$C$9,Summary!$D$31&lt;&gt;"Included Margin"),0,1),0))</f>
        <v/>
      </c>
      <c r="AA1049" s="147" t="str">
        <f>IF($E1049="","",VLOOKUP($D1049,'Mortality Margins &amp; Grading'!$AB$5:$AF$125,5,0)*IF(Summary!$D$25="Included Margin",IF(AND($B1049&gt;Input!$C$9,Summary!$D$31&lt;&gt;"Included Margin"),0,1),0))</f>
        <v/>
      </c>
      <c r="AB1049" s="147" t="str">
        <f>IF($E1049="","",IF(AND($B1049&gt;Input!$C$9,Summary!$D$31&lt;&gt;"Included Margin"),1,IF(Summary!$D$25="Included Margin",VLOOKUP($B1049,'Mortality Margins &amp; Grading'!$AI$5:$AR$125,MATCH('Mortality Margins &amp; Grading'!$AQ$4,'Mortality Margins &amp; Grading'!$AI$4:$AR$4,0),0),1)))</f>
        <v/>
      </c>
      <c r="AC1049" s="154"/>
      <c r="AD1049" s="158" t="str">
        <f>IF(E1049="","",Input!$C$48*IF(Summary!$D$30="Included Margin",IF(AND($B1049&gt;Input!$C$9,Summary!$D$31&lt;&gt;"Included Margin"),0,1),0))</f>
        <v/>
      </c>
      <c r="AE1049" s="159" t="str">
        <f>IF(E1049="","",IF(Summary!$D$26="Included Margin",IF(AND($B1049&gt;Input!$C$9,Summary!$D$31&lt;&gt;"Included Margin"),1,1/$R1049),1))</f>
        <v/>
      </c>
      <c r="AF1049" s="160" t="str">
        <f>IF(E1049="","",IF(AND($B1049&gt;=Input!$C$9,$C1049=12,Summary!$D$31="Included Margin",$U1049&gt;0),1/U1049-1,IF($B1049&gt;=Input!$C$9,0,Input!$C$45*IF(Summary!$D$27="Included Margin",1,0))))</f>
        <v/>
      </c>
      <c r="AG1049" s="160" t="str">
        <f>IF(E1049="","",Input!$C$46*IF(Summary!$D$28="Included Margin",IF(AND($B1049&gt;Input!$C$9,Summary!$D$31&lt;&gt;"Included Margin"),0,1),0))</f>
        <v/>
      </c>
      <c r="AH1049" s="158" t="str">
        <f>IF(E1049="","",Input!$C$47*IF(Summary!$D$29="Included Margin",IF(AND($B1049&gt;Input!$C$9,Summary!$D$31&lt;&gt;"Included Margin"),0,1),0))</f>
        <v/>
      </c>
      <c r="AI1049" s="154"/>
      <c r="AJ1049" s="158" t="str">
        <f t="shared" si="689"/>
        <v/>
      </c>
      <c r="AK1049" s="155" t="str">
        <f t="shared" si="690"/>
        <v/>
      </c>
      <c r="AL1049" s="147" t="str">
        <f t="shared" si="691"/>
        <v/>
      </c>
      <c r="AM1049" s="147" t="str">
        <f t="shared" si="676"/>
        <v/>
      </c>
      <c r="AN1049" s="160" t="str">
        <f t="shared" si="692"/>
        <v/>
      </c>
      <c r="AO1049" s="161" t="str">
        <f t="shared" si="693"/>
        <v/>
      </c>
      <c r="AP1049" s="156" t="str">
        <f t="shared" si="677"/>
        <v/>
      </c>
      <c r="AQ1049" s="152"/>
      <c r="AR1049" s="162" t="str">
        <f t="shared" si="678"/>
        <v/>
      </c>
      <c r="AS1049" s="150" t="str">
        <f t="shared" si="694"/>
        <v/>
      </c>
      <c r="AT1049" s="163" t="str">
        <f t="shared" si="679"/>
        <v/>
      </c>
      <c r="AU1049" s="163" t="str">
        <f t="shared" si="680"/>
        <v/>
      </c>
      <c r="AV1049" s="163" t="str">
        <f t="shared" si="695"/>
        <v/>
      </c>
      <c r="AW1049" s="163" t="str">
        <f t="shared" si="681"/>
        <v/>
      </c>
      <c r="AX1049" s="163" t="str">
        <f t="shared" si="682"/>
        <v/>
      </c>
      <c r="AY1049" s="164" t="str">
        <f t="shared" si="696"/>
        <v/>
      </c>
      <c r="AZ1049" s="164" t="str">
        <f>IF($E1049="","",IF(OR(AND($D1049=Input!$C$6,$C1049=12),$AN1049=1),0,-AS1050+AT1050+AU1050-AV1050-AW1050-AX1050+AZ1050))</f>
        <v/>
      </c>
      <c r="BA1049" s="154" t="str">
        <f t="shared" si="683"/>
        <v/>
      </c>
      <c r="BC1049" s="147" t="str">
        <f t="shared" si="697"/>
        <v/>
      </c>
      <c r="BD1049" s="164" t="str">
        <f>IF(AND($C1048=12,$D1048=Input!$C$6),0,IF($E1049="","",AT1049+(AU1049+BD1050)/(1+$AK1049)*MIN((1-AM1049-AN1049),1)))</f>
        <v/>
      </c>
      <c r="BE1049" s="164" t="str">
        <f t="shared" si="670"/>
        <v/>
      </c>
      <c r="BF1049" s="164" t="str">
        <f t="shared" si="698"/>
        <v/>
      </c>
      <c r="BG1049" s="164" t="str">
        <f t="shared" si="684"/>
        <v/>
      </c>
      <c r="BH1049" s="152"/>
      <c r="BI1049" s="162" t="str">
        <f t="shared" si="706"/>
        <v/>
      </c>
      <c r="BJ1049" s="150" t="str">
        <f t="shared" si="707"/>
        <v/>
      </c>
      <c r="BK1049" s="163" t="str">
        <f t="shared" si="703"/>
        <v/>
      </c>
      <c r="BL1049" s="163" t="str">
        <f t="shared" si="708"/>
        <v/>
      </c>
      <c r="BM1049" s="163" t="str">
        <f t="shared" si="704"/>
        <v/>
      </c>
      <c r="BN1049" s="163" t="str">
        <f t="shared" si="709"/>
        <v/>
      </c>
      <c r="BO1049" s="163" t="str">
        <f t="shared" si="710"/>
        <v/>
      </c>
      <c r="BP1049" s="164" t="str">
        <f t="shared" si="705"/>
        <v/>
      </c>
      <c r="BQ1049" s="164" t="str">
        <f t="shared" si="699"/>
        <v/>
      </c>
      <c r="BR1049" s="154" t="str">
        <f t="shared" si="711"/>
        <v/>
      </c>
      <c r="BT1049" s="147" t="str">
        <f t="shared" si="685"/>
        <v/>
      </c>
      <c r="BU1049" s="164" t="str">
        <f>IF(AND($C1048=12,$D1048=Input!$C$6),0,IF($E1049="","",BK1049+(BL1049+BU1050)/(1+$AK1049)*MIN((1-T1049-U1049),1)))</f>
        <v/>
      </c>
      <c r="BV1049" s="164" t="str">
        <f t="shared" si="686"/>
        <v/>
      </c>
      <c r="BW1049" s="164" t="str">
        <f t="shared" si="687"/>
        <v/>
      </c>
      <c r="BX1049" s="164" t="str">
        <f t="shared" si="688"/>
        <v/>
      </c>
    </row>
    <row r="1050" spans="1:76" s="150" customFormat="1" x14ac:dyDescent="0.25">
      <c r="A1050" s="150" t="str">
        <f t="shared" si="700"/>
        <v/>
      </c>
      <c r="B1050" s="150" t="str">
        <f t="shared" si="701"/>
        <v/>
      </c>
      <c r="C1050" s="150" t="str">
        <f t="shared" si="702"/>
        <v/>
      </c>
      <c r="D1050" s="150" t="str">
        <f>IF(E1050="","",Input!$C$4+B1050-1)</f>
        <v/>
      </c>
      <c r="E1050" s="150" t="str">
        <f>IF(OR(AND(C1049=12,D1049=Input!$C$6),E1049=""),"",1)</f>
        <v/>
      </c>
      <c r="F1050" s="150" t="str">
        <f>IF(E1050="","",Input!$C$8+B1050-1)</f>
        <v/>
      </c>
      <c r="G1050" s="151" t="str">
        <f>IF(E1050="","",MAX(0,Input!$C$9-B1050))</f>
        <v/>
      </c>
      <c r="H1050" s="152" t="str">
        <f>IF(E1050="","",Input!$C$3)</f>
        <v/>
      </c>
      <c r="I1050" s="153" t="str">
        <f>IF(E1050="","",HLOOKUP($B1050,Input!$C$13:$BT$14,2))</f>
        <v/>
      </c>
      <c r="J1050" s="154"/>
      <c r="K1050" s="155" t="str">
        <f>IF($E1050="","",INDEX(Input!$C$16:$CP$16,1,$B1050))</f>
        <v/>
      </c>
      <c r="L1050" s="155" t="str">
        <f>IF($E1050="","",Input!$C$37)</f>
        <v/>
      </c>
      <c r="M1050" s="155" t="str">
        <f t="shared" si="671"/>
        <v/>
      </c>
      <c r="N1050" s="155" t="str">
        <f t="shared" si="672"/>
        <v/>
      </c>
      <c r="O1050" s="147" t="str">
        <f>IF($E1050="","",MIN(VLOOKUP(IF($B1050&lt;=Input!$C$7,$B1050,26),'Mortality Tables'!$A$41:$CW$67,IF($B1050&lt;=Input!$C$7+1,Input!$C$4+2,$D1050-Input!$C$7+2),0)*IF(B1050&gt;20,Input!$C$22,1)/1000,1))</f>
        <v/>
      </c>
      <c r="P1050" s="147" t="str">
        <f>IF($E1050="","",MIN(VLOOKUP(IF($B1050&lt;=Input!$C$7,$B1050,26),'Mortality Tables'!$A$12:$CW$37,IF($B1050&lt;=Input!$C$7+1,Input!$C$4+2,$D1050-Input!$C$7+2),0)*IF(B1050&gt;20,Input!$C$22,1)/1000,1))</f>
        <v/>
      </c>
      <c r="Q1050" s="155" t="str">
        <f>IF($E1050="","",Input!$C$21)</f>
        <v/>
      </c>
      <c r="R1050" s="159" t="str">
        <f>IF($E1050="","",(1-Q1050)^($F1050-Input!$C$20))</f>
        <v/>
      </c>
      <c r="S1050" s="147" t="str">
        <f t="shared" si="674"/>
        <v/>
      </c>
      <c r="T1050" s="147" t="str">
        <f t="shared" si="675"/>
        <v/>
      </c>
      <c r="U1050" s="160" t="str">
        <f>IF($E1050="","",IF($C1050=12,INDEX(Input!$C$15:$CP$15,1,$B1050),0))</f>
        <v/>
      </c>
      <c r="V1050" s="150" t="str">
        <f>IF(E1050="","",IF(C1050=1,IF($B1050=1,Input!$C$33,Input!$C$34),0))</f>
        <v/>
      </c>
      <c r="W1050" s="156" t="str">
        <f>IF($E1050="","",Input!$C$35)</f>
        <v/>
      </c>
      <c r="X1050" s="156" t="str">
        <f t="shared" si="673"/>
        <v/>
      </c>
      <c r="Y1050" s="154"/>
      <c r="Z1050" s="147" t="str">
        <f>IF($E1050="","",VLOOKUP($D1050,'Mortality Margins &amp; Grading'!$AB$5:$AF$125,3,0)*IF(Summary!$D$25="Included Margin",IF(AND($B1050&gt;Input!$C$9,Summary!$D$31&lt;&gt;"Included Margin"),0,1),0))</f>
        <v/>
      </c>
      <c r="AA1050" s="147" t="str">
        <f>IF($E1050="","",VLOOKUP($D1050,'Mortality Margins &amp; Grading'!$AB$5:$AF$125,5,0)*IF(Summary!$D$25="Included Margin",IF(AND($B1050&gt;Input!$C$9,Summary!$D$31&lt;&gt;"Included Margin"),0,1),0))</f>
        <v/>
      </c>
      <c r="AB1050" s="147" t="str">
        <f>IF($E1050="","",IF(AND($B1050&gt;Input!$C$9,Summary!$D$31&lt;&gt;"Included Margin"),1,IF(Summary!$D$25="Included Margin",VLOOKUP($B1050,'Mortality Margins &amp; Grading'!$AI$5:$AR$125,MATCH('Mortality Margins &amp; Grading'!$AQ$4,'Mortality Margins &amp; Grading'!$AI$4:$AR$4,0),0),1)))</f>
        <v/>
      </c>
      <c r="AC1050" s="154"/>
      <c r="AD1050" s="158" t="str">
        <f>IF(E1050="","",Input!$C$48*IF(Summary!$D$30="Included Margin",IF(AND($B1050&gt;Input!$C$9,Summary!$D$31&lt;&gt;"Included Margin"),0,1),0))</f>
        <v/>
      </c>
      <c r="AE1050" s="159" t="str">
        <f>IF(E1050="","",IF(Summary!$D$26="Included Margin",IF(AND($B1050&gt;Input!$C$9,Summary!$D$31&lt;&gt;"Included Margin"),1,1/$R1050),1))</f>
        <v/>
      </c>
      <c r="AF1050" s="160" t="str">
        <f>IF(E1050="","",IF(AND($B1050&gt;=Input!$C$9,$C1050=12,Summary!$D$31="Included Margin",$U1050&gt;0),1/U1050-1,IF($B1050&gt;=Input!$C$9,0,Input!$C$45*IF(Summary!$D$27="Included Margin",1,0))))</f>
        <v/>
      </c>
      <c r="AG1050" s="160" t="str">
        <f>IF(E1050="","",Input!$C$46*IF(Summary!$D$28="Included Margin",IF(AND($B1050&gt;Input!$C$9,Summary!$D$31&lt;&gt;"Included Margin"),0,1),0))</f>
        <v/>
      </c>
      <c r="AH1050" s="158" t="str">
        <f>IF(E1050="","",Input!$C$47*IF(Summary!$D$29="Included Margin",IF(AND($B1050&gt;Input!$C$9,Summary!$D$31&lt;&gt;"Included Margin"),0,1),0))</f>
        <v/>
      </c>
      <c r="AI1050" s="154"/>
      <c r="AJ1050" s="158" t="str">
        <f t="shared" si="689"/>
        <v/>
      </c>
      <c r="AK1050" s="155" t="str">
        <f t="shared" si="690"/>
        <v/>
      </c>
      <c r="AL1050" s="147" t="str">
        <f t="shared" si="691"/>
        <v/>
      </c>
      <c r="AM1050" s="147" t="str">
        <f t="shared" si="676"/>
        <v/>
      </c>
      <c r="AN1050" s="160" t="str">
        <f t="shared" si="692"/>
        <v/>
      </c>
      <c r="AO1050" s="161" t="str">
        <f t="shared" si="693"/>
        <v/>
      </c>
      <c r="AP1050" s="156" t="str">
        <f t="shared" si="677"/>
        <v/>
      </c>
      <c r="AQ1050" s="152"/>
      <c r="AR1050" s="162" t="str">
        <f t="shared" si="678"/>
        <v/>
      </c>
      <c r="AS1050" s="150" t="str">
        <f t="shared" si="694"/>
        <v/>
      </c>
      <c r="AT1050" s="163" t="str">
        <f t="shared" si="679"/>
        <v/>
      </c>
      <c r="AU1050" s="163" t="str">
        <f t="shared" si="680"/>
        <v/>
      </c>
      <c r="AV1050" s="163" t="str">
        <f t="shared" si="695"/>
        <v/>
      </c>
      <c r="AW1050" s="163" t="str">
        <f t="shared" si="681"/>
        <v/>
      </c>
      <c r="AX1050" s="163" t="str">
        <f t="shared" si="682"/>
        <v/>
      </c>
      <c r="AY1050" s="165" t="str">
        <f t="shared" si="696"/>
        <v/>
      </c>
      <c r="AZ1050" s="164" t="str">
        <f>IF($E1050="","",IF(OR(AND($D1050=Input!$C$6,$C1050=12),$AN1050=1),0,-AS1051+AT1051+AU1051-AV1051-AW1051-AX1051+AZ1051))</f>
        <v/>
      </c>
      <c r="BA1050" s="154" t="str">
        <f t="shared" si="683"/>
        <v/>
      </c>
      <c r="BC1050" s="147" t="str">
        <f t="shared" si="697"/>
        <v/>
      </c>
      <c r="BD1050" s="164" t="str">
        <f>IF(AND($C1049=12,$D1049=Input!$C$6),0,IF($E1050="","",AT1050+(AU1050+BD1051)/(1+$AK1050)*MIN((1-AM1050-AN1050),1)))</f>
        <v/>
      </c>
      <c r="BE1050" s="164" t="str">
        <f t="shared" ref="BE1050:BE1113" si="712">IF($E1050="","",BC1050*BD1050)</f>
        <v/>
      </c>
      <c r="BF1050" s="164" t="str">
        <f t="shared" si="698"/>
        <v/>
      </c>
      <c r="BG1050" s="164" t="str">
        <f t="shared" si="684"/>
        <v/>
      </c>
      <c r="BH1050" s="152"/>
      <c r="BI1050" s="162" t="str">
        <f t="shared" si="706"/>
        <v/>
      </c>
      <c r="BJ1050" s="150" t="str">
        <f t="shared" si="707"/>
        <v/>
      </c>
      <c r="BK1050" s="163" t="str">
        <f t="shared" si="703"/>
        <v/>
      </c>
      <c r="BL1050" s="163" t="str">
        <f t="shared" si="708"/>
        <v/>
      </c>
      <c r="BM1050" s="163" t="str">
        <f t="shared" si="704"/>
        <v/>
      </c>
      <c r="BN1050" s="163" t="str">
        <f t="shared" si="709"/>
        <v/>
      </c>
      <c r="BO1050" s="163" t="str">
        <f t="shared" si="710"/>
        <v/>
      </c>
      <c r="BP1050" s="164" t="str">
        <f t="shared" si="705"/>
        <v/>
      </c>
      <c r="BQ1050" s="164" t="str">
        <f t="shared" si="699"/>
        <v/>
      </c>
      <c r="BR1050" s="154" t="str">
        <f t="shared" si="711"/>
        <v/>
      </c>
      <c r="BT1050" s="147" t="str">
        <f t="shared" si="685"/>
        <v/>
      </c>
      <c r="BU1050" s="164" t="str">
        <f>IF(AND($C1049=12,$D1049=Input!$C$6),0,IF($E1050="","",BK1050+(BL1050+BU1051)/(1+$AK1050)*MIN((1-T1050-U1050),1)))</f>
        <v/>
      </c>
      <c r="BV1050" s="164" t="str">
        <f t="shared" si="686"/>
        <v/>
      </c>
      <c r="BW1050" s="164" t="str">
        <f t="shared" si="687"/>
        <v/>
      </c>
      <c r="BX1050" s="164" t="str">
        <f t="shared" si="688"/>
        <v/>
      </c>
    </row>
    <row r="1051" spans="1:76" s="150" customFormat="1" x14ac:dyDescent="0.25">
      <c r="A1051" s="150" t="str">
        <f t="shared" si="700"/>
        <v/>
      </c>
      <c r="B1051" s="150" t="str">
        <f t="shared" si="701"/>
        <v/>
      </c>
      <c r="C1051" s="150" t="str">
        <f t="shared" si="702"/>
        <v/>
      </c>
      <c r="D1051" s="150" t="str">
        <f>IF(E1051="","",Input!$C$4+B1051-1)</f>
        <v/>
      </c>
      <c r="E1051" s="150" t="str">
        <f>IF(OR(AND(C1050=12,D1050=Input!$C$6),E1050=""),"",1)</f>
        <v/>
      </c>
      <c r="F1051" s="150" t="str">
        <f>IF(E1051="","",Input!$C$8+B1051-1)</f>
        <v/>
      </c>
      <c r="G1051" s="151" t="str">
        <f>IF(E1051="","",MAX(0,Input!$C$9-B1051))</f>
        <v/>
      </c>
      <c r="H1051" s="152" t="str">
        <f>IF(E1051="","",Input!$C$3)</f>
        <v/>
      </c>
      <c r="I1051" s="153" t="str">
        <f>IF(E1051="","",HLOOKUP($B1051,Input!$C$13:$BT$14,2))</f>
        <v/>
      </c>
      <c r="J1051" s="154"/>
      <c r="K1051" s="155" t="str">
        <f>IF($E1051="","",INDEX(Input!$C$16:$CP$16,1,$B1051))</f>
        <v/>
      </c>
      <c r="L1051" s="155" t="str">
        <f>IF($E1051="","",Input!$C$37)</f>
        <v/>
      </c>
      <c r="M1051" s="155" t="str">
        <f t="shared" si="671"/>
        <v/>
      </c>
      <c r="N1051" s="155" t="str">
        <f t="shared" si="672"/>
        <v/>
      </c>
      <c r="O1051" s="147" t="str">
        <f>IF($E1051="","",MIN(VLOOKUP(IF($B1051&lt;=Input!$C$7,$B1051,26),'Mortality Tables'!$A$41:$CW$67,IF($B1051&lt;=Input!$C$7+1,Input!$C$4+2,$D1051-Input!$C$7+2),0)*IF(B1051&gt;20,Input!$C$22,1)/1000,1))</f>
        <v/>
      </c>
      <c r="P1051" s="147" t="str">
        <f>IF($E1051="","",MIN(VLOOKUP(IF($B1051&lt;=Input!$C$7,$B1051,26),'Mortality Tables'!$A$12:$CW$37,IF($B1051&lt;=Input!$C$7+1,Input!$C$4+2,$D1051-Input!$C$7+2),0)*IF(B1051&gt;20,Input!$C$22,1)/1000,1))</f>
        <v/>
      </c>
      <c r="Q1051" s="155" t="str">
        <f>IF($E1051="","",Input!$C$21)</f>
        <v/>
      </c>
      <c r="R1051" s="159" t="str">
        <f>IF($E1051="","",(1-Q1051)^($F1051-Input!$C$20))</f>
        <v/>
      </c>
      <c r="S1051" s="147" t="str">
        <f t="shared" si="674"/>
        <v/>
      </c>
      <c r="T1051" s="147" t="str">
        <f t="shared" si="675"/>
        <v/>
      </c>
      <c r="U1051" s="160" t="str">
        <f>IF($E1051="","",IF($C1051=12,INDEX(Input!$C$15:$CP$15,1,$B1051),0))</f>
        <v/>
      </c>
      <c r="V1051" s="150" t="str">
        <f>IF(E1051="","",IF(C1051=1,IF($B1051=1,Input!$C$33,Input!$C$34),0))</f>
        <v/>
      </c>
      <c r="W1051" s="156" t="str">
        <f>IF($E1051="","",Input!$C$35)</f>
        <v/>
      </c>
      <c r="X1051" s="156" t="str">
        <f t="shared" si="673"/>
        <v/>
      </c>
      <c r="Y1051" s="154"/>
      <c r="Z1051" s="147" t="str">
        <f>IF($E1051="","",VLOOKUP($D1051,'Mortality Margins &amp; Grading'!$AB$5:$AF$125,3,0)*IF(Summary!$D$25="Included Margin",IF(AND($B1051&gt;Input!$C$9,Summary!$D$31&lt;&gt;"Included Margin"),0,1),0))</f>
        <v/>
      </c>
      <c r="AA1051" s="147" t="str">
        <f>IF($E1051="","",VLOOKUP($D1051,'Mortality Margins &amp; Grading'!$AB$5:$AF$125,5,0)*IF(Summary!$D$25="Included Margin",IF(AND($B1051&gt;Input!$C$9,Summary!$D$31&lt;&gt;"Included Margin"),0,1),0))</f>
        <v/>
      </c>
      <c r="AB1051" s="147" t="str">
        <f>IF($E1051="","",IF(AND($B1051&gt;Input!$C$9,Summary!$D$31&lt;&gt;"Included Margin"),1,IF(Summary!$D$25="Included Margin",VLOOKUP($B1051,'Mortality Margins &amp; Grading'!$AI$5:$AR$125,MATCH('Mortality Margins &amp; Grading'!$AQ$4,'Mortality Margins &amp; Grading'!$AI$4:$AR$4,0),0),1)))</f>
        <v/>
      </c>
      <c r="AC1051" s="154"/>
      <c r="AD1051" s="158" t="str">
        <f>IF(E1051="","",Input!$C$48*IF(Summary!$D$30="Included Margin",IF(AND($B1051&gt;Input!$C$9,Summary!$D$31&lt;&gt;"Included Margin"),0,1),0))</f>
        <v/>
      </c>
      <c r="AE1051" s="159" t="str">
        <f>IF(E1051="","",IF(Summary!$D$26="Included Margin",IF(AND($B1051&gt;Input!$C$9,Summary!$D$31&lt;&gt;"Included Margin"),1,1/$R1051),1))</f>
        <v/>
      </c>
      <c r="AF1051" s="160" t="str">
        <f>IF(E1051="","",IF(AND($B1051&gt;=Input!$C$9,$C1051=12,Summary!$D$31="Included Margin",$U1051&gt;0),1/U1051-1,IF($B1051&gt;=Input!$C$9,0,Input!$C$45*IF(Summary!$D$27="Included Margin",1,0))))</f>
        <v/>
      </c>
      <c r="AG1051" s="160" t="str">
        <f>IF(E1051="","",Input!$C$46*IF(Summary!$D$28="Included Margin",IF(AND($B1051&gt;Input!$C$9,Summary!$D$31&lt;&gt;"Included Margin"),0,1),0))</f>
        <v/>
      </c>
      <c r="AH1051" s="158" t="str">
        <f>IF(E1051="","",Input!$C$47*IF(Summary!$D$29="Included Margin",IF(AND($B1051&gt;Input!$C$9,Summary!$D$31&lt;&gt;"Included Margin"),0,1),0))</f>
        <v/>
      </c>
      <c r="AI1051" s="154"/>
      <c r="AJ1051" s="158" t="str">
        <f t="shared" si="689"/>
        <v/>
      </c>
      <c r="AK1051" s="155" t="str">
        <f t="shared" si="690"/>
        <v/>
      </c>
      <c r="AL1051" s="147" t="str">
        <f t="shared" si="691"/>
        <v/>
      </c>
      <c r="AM1051" s="147" t="str">
        <f t="shared" si="676"/>
        <v/>
      </c>
      <c r="AN1051" s="160" t="str">
        <f t="shared" si="692"/>
        <v/>
      </c>
      <c r="AO1051" s="161" t="str">
        <f t="shared" si="693"/>
        <v/>
      </c>
      <c r="AP1051" s="156" t="str">
        <f t="shared" si="677"/>
        <v/>
      </c>
      <c r="AQ1051" s="152"/>
      <c r="AR1051" s="162" t="str">
        <f t="shared" si="678"/>
        <v/>
      </c>
      <c r="AS1051" s="150" t="str">
        <f t="shared" si="694"/>
        <v/>
      </c>
      <c r="AT1051" s="163" t="str">
        <f t="shared" si="679"/>
        <v/>
      </c>
      <c r="AU1051" s="163" t="str">
        <f t="shared" si="680"/>
        <v/>
      </c>
      <c r="AV1051" s="163" t="str">
        <f t="shared" si="695"/>
        <v/>
      </c>
      <c r="AW1051" s="163" t="str">
        <f t="shared" si="681"/>
        <v/>
      </c>
      <c r="AX1051" s="163" t="str">
        <f t="shared" si="682"/>
        <v/>
      </c>
      <c r="AY1051" s="164" t="str">
        <f t="shared" si="696"/>
        <v/>
      </c>
      <c r="AZ1051" s="164" t="str">
        <f>IF($E1051="","",IF(OR(AND($D1051=Input!$C$6,$C1051=12),$AN1051=1),0,-AS1052+AT1052+AU1052-AV1052-AW1052-AX1052+AZ1052))</f>
        <v/>
      </c>
      <c r="BA1051" s="154" t="str">
        <f t="shared" si="683"/>
        <v/>
      </c>
      <c r="BC1051" s="147" t="str">
        <f t="shared" si="697"/>
        <v/>
      </c>
      <c r="BD1051" s="164" t="str">
        <f>IF(AND($C1050=12,$D1050=Input!$C$6),0,IF($E1051="","",AT1051+(AU1051+BD1052)/(1+$AK1051)*MIN((1-AM1051-AN1051),1)))</f>
        <v/>
      </c>
      <c r="BE1051" s="164" t="str">
        <f t="shared" si="712"/>
        <v/>
      </c>
      <c r="BF1051" s="164" t="str">
        <f t="shared" si="698"/>
        <v/>
      </c>
      <c r="BG1051" s="164" t="str">
        <f t="shared" si="684"/>
        <v/>
      </c>
      <c r="BH1051" s="152"/>
      <c r="BI1051" s="162" t="str">
        <f t="shared" si="706"/>
        <v/>
      </c>
      <c r="BJ1051" s="150" t="str">
        <f t="shared" si="707"/>
        <v/>
      </c>
      <c r="BK1051" s="163" t="str">
        <f t="shared" si="703"/>
        <v/>
      </c>
      <c r="BL1051" s="163" t="str">
        <f t="shared" si="708"/>
        <v/>
      </c>
      <c r="BM1051" s="163" t="str">
        <f t="shared" si="704"/>
        <v/>
      </c>
      <c r="BN1051" s="163" t="str">
        <f t="shared" si="709"/>
        <v/>
      </c>
      <c r="BO1051" s="163" t="str">
        <f t="shared" si="710"/>
        <v/>
      </c>
      <c r="BP1051" s="164" t="str">
        <f t="shared" si="705"/>
        <v/>
      </c>
      <c r="BQ1051" s="164" t="str">
        <f t="shared" si="699"/>
        <v/>
      </c>
      <c r="BR1051" s="154" t="str">
        <f t="shared" si="711"/>
        <v/>
      </c>
      <c r="BT1051" s="147" t="str">
        <f t="shared" si="685"/>
        <v/>
      </c>
      <c r="BU1051" s="164" t="str">
        <f>IF(AND($C1050=12,$D1050=Input!$C$6),0,IF($E1051="","",BK1051+(BL1051+BU1052)/(1+$AK1051)*MIN((1-T1051-U1051),1)))</f>
        <v/>
      </c>
      <c r="BV1051" s="164" t="str">
        <f t="shared" si="686"/>
        <v/>
      </c>
      <c r="BW1051" s="164" t="str">
        <f t="shared" si="687"/>
        <v/>
      </c>
      <c r="BX1051" s="164" t="str">
        <f t="shared" si="688"/>
        <v/>
      </c>
    </row>
    <row r="1052" spans="1:76" s="150" customFormat="1" x14ac:dyDescent="0.25">
      <c r="A1052" s="150" t="str">
        <f t="shared" si="700"/>
        <v/>
      </c>
      <c r="B1052" s="150" t="str">
        <f t="shared" si="701"/>
        <v/>
      </c>
      <c r="C1052" s="150" t="str">
        <f t="shared" si="702"/>
        <v/>
      </c>
      <c r="D1052" s="150" t="str">
        <f>IF(E1052="","",Input!$C$4+B1052-1)</f>
        <v/>
      </c>
      <c r="E1052" s="150" t="str">
        <f>IF(OR(AND(C1051=12,D1051=Input!$C$6),E1051=""),"",1)</f>
        <v/>
      </c>
      <c r="F1052" s="150" t="str">
        <f>IF(E1052="","",Input!$C$8+B1052-1)</f>
        <v/>
      </c>
      <c r="G1052" s="151" t="str">
        <f>IF(E1052="","",MAX(0,Input!$C$9-B1052))</f>
        <v/>
      </c>
      <c r="H1052" s="152" t="str">
        <f>IF(E1052="","",Input!$C$3)</f>
        <v/>
      </c>
      <c r="I1052" s="153" t="str">
        <f>IF(E1052="","",HLOOKUP($B1052,Input!$C$13:$BT$14,2))</f>
        <v/>
      </c>
      <c r="J1052" s="154"/>
      <c r="K1052" s="155" t="str">
        <f>IF($E1052="","",INDEX(Input!$C$16:$CP$16,1,$B1052))</f>
        <v/>
      </c>
      <c r="L1052" s="155" t="str">
        <f>IF($E1052="","",Input!$C$37)</f>
        <v/>
      </c>
      <c r="M1052" s="155" t="str">
        <f t="shared" si="671"/>
        <v/>
      </c>
      <c r="N1052" s="155" t="str">
        <f t="shared" si="672"/>
        <v/>
      </c>
      <c r="O1052" s="147" t="str">
        <f>IF($E1052="","",MIN(VLOOKUP(IF($B1052&lt;=Input!$C$7,$B1052,26),'Mortality Tables'!$A$41:$CW$67,IF($B1052&lt;=Input!$C$7+1,Input!$C$4+2,$D1052-Input!$C$7+2),0)*IF(B1052&gt;20,Input!$C$22,1)/1000,1))</f>
        <v/>
      </c>
      <c r="P1052" s="147" t="str">
        <f>IF($E1052="","",MIN(VLOOKUP(IF($B1052&lt;=Input!$C$7,$B1052,26),'Mortality Tables'!$A$12:$CW$37,IF($B1052&lt;=Input!$C$7+1,Input!$C$4+2,$D1052-Input!$C$7+2),0)*IF(B1052&gt;20,Input!$C$22,1)/1000,1))</f>
        <v/>
      </c>
      <c r="Q1052" s="155" t="str">
        <f>IF($E1052="","",Input!$C$21)</f>
        <v/>
      </c>
      <c r="R1052" s="159" t="str">
        <f>IF($E1052="","",(1-Q1052)^($F1052-Input!$C$20))</f>
        <v/>
      </c>
      <c r="S1052" s="147" t="str">
        <f t="shared" si="674"/>
        <v/>
      </c>
      <c r="T1052" s="147" t="str">
        <f t="shared" si="675"/>
        <v/>
      </c>
      <c r="U1052" s="160" t="str">
        <f>IF($E1052="","",IF($C1052=12,INDEX(Input!$C$15:$CP$15,1,$B1052),0))</f>
        <v/>
      </c>
      <c r="V1052" s="150" t="str">
        <f>IF(E1052="","",IF(C1052=1,IF($B1052=1,Input!$C$33,Input!$C$34),0))</f>
        <v/>
      </c>
      <c r="W1052" s="156" t="str">
        <f>IF($E1052="","",Input!$C$35)</f>
        <v/>
      </c>
      <c r="X1052" s="156" t="str">
        <f t="shared" si="673"/>
        <v/>
      </c>
      <c r="Y1052" s="154"/>
      <c r="Z1052" s="147" t="str">
        <f>IF($E1052="","",VLOOKUP($D1052,'Mortality Margins &amp; Grading'!$AB$5:$AF$125,3,0)*IF(Summary!$D$25="Included Margin",IF(AND($B1052&gt;Input!$C$9,Summary!$D$31&lt;&gt;"Included Margin"),0,1),0))</f>
        <v/>
      </c>
      <c r="AA1052" s="147" t="str">
        <f>IF($E1052="","",VLOOKUP($D1052,'Mortality Margins &amp; Grading'!$AB$5:$AF$125,5,0)*IF(Summary!$D$25="Included Margin",IF(AND($B1052&gt;Input!$C$9,Summary!$D$31&lt;&gt;"Included Margin"),0,1),0))</f>
        <v/>
      </c>
      <c r="AB1052" s="147" t="str">
        <f>IF($E1052="","",IF(AND($B1052&gt;Input!$C$9,Summary!$D$31&lt;&gt;"Included Margin"),1,IF(Summary!$D$25="Included Margin",VLOOKUP($B1052,'Mortality Margins &amp; Grading'!$AI$5:$AR$125,MATCH('Mortality Margins &amp; Grading'!$AQ$4,'Mortality Margins &amp; Grading'!$AI$4:$AR$4,0),0),1)))</f>
        <v/>
      </c>
      <c r="AC1052" s="154"/>
      <c r="AD1052" s="158" t="str">
        <f>IF(E1052="","",Input!$C$48*IF(Summary!$D$30="Included Margin",IF(AND($B1052&gt;Input!$C$9,Summary!$D$31&lt;&gt;"Included Margin"),0,1),0))</f>
        <v/>
      </c>
      <c r="AE1052" s="159" t="str">
        <f>IF(E1052="","",IF(Summary!$D$26="Included Margin",IF(AND($B1052&gt;Input!$C$9,Summary!$D$31&lt;&gt;"Included Margin"),1,1/$R1052),1))</f>
        <v/>
      </c>
      <c r="AF1052" s="160" t="str">
        <f>IF(E1052="","",IF(AND($B1052&gt;=Input!$C$9,$C1052=12,Summary!$D$31="Included Margin",$U1052&gt;0),1/U1052-1,IF($B1052&gt;=Input!$C$9,0,Input!$C$45*IF(Summary!$D$27="Included Margin",1,0))))</f>
        <v/>
      </c>
      <c r="AG1052" s="160" t="str">
        <f>IF(E1052="","",Input!$C$46*IF(Summary!$D$28="Included Margin",IF(AND($B1052&gt;Input!$C$9,Summary!$D$31&lt;&gt;"Included Margin"),0,1),0))</f>
        <v/>
      </c>
      <c r="AH1052" s="158" t="str">
        <f>IF(E1052="","",Input!$C$47*IF(Summary!$D$29="Included Margin",IF(AND($B1052&gt;Input!$C$9,Summary!$D$31&lt;&gt;"Included Margin"),0,1),0))</f>
        <v/>
      </c>
      <c r="AI1052" s="154"/>
      <c r="AJ1052" s="158" t="str">
        <f t="shared" si="689"/>
        <v/>
      </c>
      <c r="AK1052" s="155" t="str">
        <f t="shared" si="690"/>
        <v/>
      </c>
      <c r="AL1052" s="147" t="str">
        <f t="shared" si="691"/>
        <v/>
      </c>
      <c r="AM1052" s="147" t="str">
        <f t="shared" si="676"/>
        <v/>
      </c>
      <c r="AN1052" s="160" t="str">
        <f t="shared" si="692"/>
        <v/>
      </c>
      <c r="AO1052" s="161" t="str">
        <f t="shared" si="693"/>
        <v/>
      </c>
      <c r="AP1052" s="156" t="str">
        <f t="shared" si="677"/>
        <v/>
      </c>
      <c r="AQ1052" s="152"/>
      <c r="AR1052" s="162" t="str">
        <f t="shared" si="678"/>
        <v/>
      </c>
      <c r="AS1052" s="150" t="str">
        <f t="shared" si="694"/>
        <v/>
      </c>
      <c r="AT1052" s="163" t="str">
        <f t="shared" si="679"/>
        <v/>
      </c>
      <c r="AU1052" s="163" t="str">
        <f t="shared" si="680"/>
        <v/>
      </c>
      <c r="AV1052" s="163" t="str">
        <f t="shared" si="695"/>
        <v/>
      </c>
      <c r="AW1052" s="163" t="str">
        <f t="shared" si="681"/>
        <v/>
      </c>
      <c r="AX1052" s="163" t="str">
        <f t="shared" si="682"/>
        <v/>
      </c>
      <c r="AY1052" s="165" t="str">
        <f t="shared" si="696"/>
        <v/>
      </c>
      <c r="AZ1052" s="164" t="str">
        <f>IF($E1052="","",IF(OR(AND($D1052=Input!$C$6,$C1052=12),$AN1052=1),0,-AS1053+AT1053+AU1053-AV1053-AW1053-AX1053+AZ1053))</f>
        <v/>
      </c>
      <c r="BA1052" s="154" t="str">
        <f t="shared" si="683"/>
        <v/>
      </c>
      <c r="BC1052" s="147" t="str">
        <f t="shared" si="697"/>
        <v/>
      </c>
      <c r="BD1052" s="164" t="str">
        <f>IF(AND($C1051=12,$D1051=Input!$C$6),0,IF($E1052="","",AT1052+(AU1052+BD1053)/(1+$AK1052)*MIN((1-AM1052-AN1052),1)))</f>
        <v/>
      </c>
      <c r="BE1052" s="164" t="str">
        <f t="shared" si="712"/>
        <v/>
      </c>
      <c r="BF1052" s="164" t="str">
        <f t="shared" si="698"/>
        <v/>
      </c>
      <c r="BG1052" s="164" t="str">
        <f t="shared" si="684"/>
        <v/>
      </c>
      <c r="BH1052" s="152"/>
      <c r="BI1052" s="162" t="str">
        <f t="shared" si="706"/>
        <v/>
      </c>
      <c r="BJ1052" s="150" t="str">
        <f t="shared" si="707"/>
        <v/>
      </c>
      <c r="BK1052" s="163" t="str">
        <f t="shared" si="703"/>
        <v/>
      </c>
      <c r="BL1052" s="163" t="str">
        <f t="shared" si="708"/>
        <v/>
      </c>
      <c r="BM1052" s="163" t="str">
        <f t="shared" si="704"/>
        <v/>
      </c>
      <c r="BN1052" s="163" t="str">
        <f t="shared" si="709"/>
        <v/>
      </c>
      <c r="BO1052" s="163" t="str">
        <f t="shared" si="710"/>
        <v/>
      </c>
      <c r="BP1052" s="164" t="str">
        <f t="shared" si="705"/>
        <v/>
      </c>
      <c r="BQ1052" s="164" t="str">
        <f t="shared" si="699"/>
        <v/>
      </c>
      <c r="BR1052" s="154" t="str">
        <f t="shared" si="711"/>
        <v/>
      </c>
      <c r="BT1052" s="147" t="str">
        <f t="shared" si="685"/>
        <v/>
      </c>
      <c r="BU1052" s="164" t="str">
        <f>IF(AND($C1051=12,$D1051=Input!$C$6),0,IF($E1052="","",BK1052+(BL1052+BU1053)/(1+$AK1052)*MIN((1-T1052-U1052),1)))</f>
        <v/>
      </c>
      <c r="BV1052" s="164" t="str">
        <f t="shared" si="686"/>
        <v/>
      </c>
      <c r="BW1052" s="164" t="str">
        <f t="shared" si="687"/>
        <v/>
      </c>
      <c r="BX1052" s="164" t="str">
        <f t="shared" si="688"/>
        <v/>
      </c>
    </row>
    <row r="1053" spans="1:76" s="150" customFormat="1" x14ac:dyDescent="0.25">
      <c r="A1053" s="150" t="str">
        <f t="shared" si="700"/>
        <v/>
      </c>
      <c r="B1053" s="150" t="str">
        <f t="shared" si="701"/>
        <v/>
      </c>
      <c r="C1053" s="150" t="str">
        <f t="shared" si="702"/>
        <v/>
      </c>
      <c r="D1053" s="150" t="str">
        <f>IF(E1053="","",Input!$C$4+B1053-1)</f>
        <v/>
      </c>
      <c r="E1053" s="150" t="str">
        <f>IF(OR(AND(C1052=12,D1052=Input!$C$6),E1052=""),"",1)</f>
        <v/>
      </c>
      <c r="F1053" s="150" t="str">
        <f>IF(E1053="","",Input!$C$8+B1053-1)</f>
        <v/>
      </c>
      <c r="G1053" s="151" t="str">
        <f>IF(E1053="","",MAX(0,Input!$C$9-B1053))</f>
        <v/>
      </c>
      <c r="H1053" s="152" t="str">
        <f>IF(E1053="","",Input!$C$3)</f>
        <v/>
      </c>
      <c r="I1053" s="153" t="str">
        <f>IF(E1053="","",HLOOKUP($B1053,Input!$C$13:$BT$14,2))</f>
        <v/>
      </c>
      <c r="J1053" s="154"/>
      <c r="K1053" s="155" t="str">
        <f>IF($E1053="","",INDEX(Input!$C$16:$CP$16,1,$B1053))</f>
        <v/>
      </c>
      <c r="L1053" s="155" t="str">
        <f>IF($E1053="","",Input!$C$37)</f>
        <v/>
      </c>
      <c r="M1053" s="155" t="str">
        <f t="shared" si="671"/>
        <v/>
      </c>
      <c r="N1053" s="155" t="str">
        <f t="shared" si="672"/>
        <v/>
      </c>
      <c r="O1053" s="147" t="str">
        <f>IF($E1053="","",MIN(VLOOKUP(IF($B1053&lt;=Input!$C$7,$B1053,26),'Mortality Tables'!$A$41:$CW$67,IF($B1053&lt;=Input!$C$7+1,Input!$C$4+2,$D1053-Input!$C$7+2),0)*IF(B1053&gt;20,Input!$C$22,1)/1000,1))</f>
        <v/>
      </c>
      <c r="P1053" s="147" t="str">
        <f>IF($E1053="","",MIN(VLOOKUP(IF($B1053&lt;=Input!$C$7,$B1053,26),'Mortality Tables'!$A$12:$CW$37,IF($B1053&lt;=Input!$C$7+1,Input!$C$4+2,$D1053-Input!$C$7+2),0)*IF(B1053&gt;20,Input!$C$22,1)/1000,1))</f>
        <v/>
      </c>
      <c r="Q1053" s="155" t="str">
        <f>IF($E1053="","",Input!$C$21)</f>
        <v/>
      </c>
      <c r="R1053" s="159" t="str">
        <f>IF($E1053="","",(1-Q1053)^($F1053-Input!$C$20))</f>
        <v/>
      </c>
      <c r="S1053" s="147" t="str">
        <f t="shared" si="674"/>
        <v/>
      </c>
      <c r="T1053" s="147" t="str">
        <f t="shared" si="675"/>
        <v/>
      </c>
      <c r="U1053" s="160" t="str">
        <f>IF($E1053="","",IF($C1053=12,INDEX(Input!$C$15:$CP$15,1,$B1053),0))</f>
        <v/>
      </c>
      <c r="V1053" s="150" t="str">
        <f>IF(E1053="","",IF(C1053=1,IF($B1053=1,Input!$C$33,Input!$C$34),0))</f>
        <v/>
      </c>
      <c r="W1053" s="156" t="str">
        <f>IF($E1053="","",Input!$C$35)</f>
        <v/>
      </c>
      <c r="X1053" s="156" t="str">
        <f t="shared" si="673"/>
        <v/>
      </c>
      <c r="Y1053" s="154"/>
      <c r="Z1053" s="147" t="str">
        <f>IF($E1053="","",VLOOKUP($D1053,'Mortality Margins &amp; Grading'!$AB$5:$AF$125,3,0)*IF(Summary!$D$25="Included Margin",IF(AND($B1053&gt;Input!$C$9,Summary!$D$31&lt;&gt;"Included Margin"),0,1),0))</f>
        <v/>
      </c>
      <c r="AA1053" s="147" t="str">
        <f>IF($E1053="","",VLOOKUP($D1053,'Mortality Margins &amp; Grading'!$AB$5:$AF$125,5,0)*IF(Summary!$D$25="Included Margin",IF(AND($B1053&gt;Input!$C$9,Summary!$D$31&lt;&gt;"Included Margin"),0,1),0))</f>
        <v/>
      </c>
      <c r="AB1053" s="147" t="str">
        <f>IF($E1053="","",IF(AND($B1053&gt;Input!$C$9,Summary!$D$31&lt;&gt;"Included Margin"),1,IF(Summary!$D$25="Included Margin",VLOOKUP($B1053,'Mortality Margins &amp; Grading'!$AI$5:$AR$125,MATCH('Mortality Margins &amp; Grading'!$AQ$4,'Mortality Margins &amp; Grading'!$AI$4:$AR$4,0),0),1)))</f>
        <v/>
      </c>
      <c r="AC1053" s="154"/>
      <c r="AD1053" s="158" t="str">
        <f>IF(E1053="","",Input!$C$48*IF(Summary!$D$30="Included Margin",IF(AND($B1053&gt;Input!$C$9,Summary!$D$31&lt;&gt;"Included Margin"),0,1),0))</f>
        <v/>
      </c>
      <c r="AE1053" s="159" t="str">
        <f>IF(E1053="","",IF(Summary!$D$26="Included Margin",IF(AND($B1053&gt;Input!$C$9,Summary!$D$31&lt;&gt;"Included Margin"),1,1/$R1053),1))</f>
        <v/>
      </c>
      <c r="AF1053" s="160" t="str">
        <f>IF(E1053="","",IF(AND($B1053&gt;=Input!$C$9,$C1053=12,Summary!$D$31="Included Margin",$U1053&gt;0),1/U1053-1,IF($B1053&gt;=Input!$C$9,0,Input!$C$45*IF(Summary!$D$27="Included Margin",1,0))))</f>
        <v/>
      </c>
      <c r="AG1053" s="160" t="str">
        <f>IF(E1053="","",Input!$C$46*IF(Summary!$D$28="Included Margin",IF(AND($B1053&gt;Input!$C$9,Summary!$D$31&lt;&gt;"Included Margin"),0,1),0))</f>
        <v/>
      </c>
      <c r="AH1053" s="158" t="str">
        <f>IF(E1053="","",Input!$C$47*IF(Summary!$D$29="Included Margin",IF(AND($B1053&gt;Input!$C$9,Summary!$D$31&lt;&gt;"Included Margin"),0,1),0))</f>
        <v/>
      </c>
      <c r="AI1053" s="154"/>
      <c r="AJ1053" s="158" t="str">
        <f t="shared" si="689"/>
        <v/>
      </c>
      <c r="AK1053" s="155" t="str">
        <f t="shared" si="690"/>
        <v/>
      </c>
      <c r="AL1053" s="147" t="str">
        <f t="shared" si="691"/>
        <v/>
      </c>
      <c r="AM1053" s="147" t="str">
        <f t="shared" si="676"/>
        <v/>
      </c>
      <c r="AN1053" s="160" t="str">
        <f t="shared" si="692"/>
        <v/>
      </c>
      <c r="AO1053" s="161" t="str">
        <f t="shared" si="693"/>
        <v/>
      </c>
      <c r="AP1053" s="156" t="str">
        <f t="shared" si="677"/>
        <v/>
      </c>
      <c r="AQ1053" s="152"/>
      <c r="AR1053" s="162" t="str">
        <f t="shared" si="678"/>
        <v/>
      </c>
      <c r="AS1053" s="150" t="str">
        <f t="shared" si="694"/>
        <v/>
      </c>
      <c r="AT1053" s="163" t="str">
        <f t="shared" si="679"/>
        <v/>
      </c>
      <c r="AU1053" s="163" t="str">
        <f t="shared" si="680"/>
        <v/>
      </c>
      <c r="AV1053" s="163" t="str">
        <f t="shared" si="695"/>
        <v/>
      </c>
      <c r="AW1053" s="163" t="str">
        <f t="shared" si="681"/>
        <v/>
      </c>
      <c r="AX1053" s="163" t="str">
        <f t="shared" si="682"/>
        <v/>
      </c>
      <c r="AY1053" s="164" t="str">
        <f t="shared" si="696"/>
        <v/>
      </c>
      <c r="AZ1053" s="164" t="str">
        <f>IF($E1053="","",IF(OR(AND($D1053=Input!$C$6,$C1053=12),$AN1053=1),0,-AS1054+AT1054+AU1054-AV1054-AW1054-AX1054+AZ1054))</f>
        <v/>
      </c>
      <c r="BA1053" s="154" t="str">
        <f t="shared" si="683"/>
        <v/>
      </c>
      <c r="BC1053" s="147" t="str">
        <f t="shared" si="697"/>
        <v/>
      </c>
      <c r="BD1053" s="164" t="str">
        <f>IF(AND($C1052=12,$D1052=Input!$C$6),0,IF($E1053="","",AT1053+(AU1053+BD1054)/(1+$AK1053)*MIN((1-AM1053-AN1053),1)))</f>
        <v/>
      </c>
      <c r="BE1053" s="164" t="str">
        <f t="shared" si="712"/>
        <v/>
      </c>
      <c r="BF1053" s="164" t="str">
        <f t="shared" si="698"/>
        <v/>
      </c>
      <c r="BG1053" s="164" t="str">
        <f t="shared" si="684"/>
        <v/>
      </c>
      <c r="BH1053" s="152"/>
      <c r="BI1053" s="162" t="str">
        <f t="shared" si="706"/>
        <v/>
      </c>
      <c r="BJ1053" s="150" t="str">
        <f t="shared" si="707"/>
        <v/>
      </c>
      <c r="BK1053" s="163" t="str">
        <f t="shared" si="703"/>
        <v/>
      </c>
      <c r="BL1053" s="163" t="str">
        <f t="shared" si="708"/>
        <v/>
      </c>
      <c r="BM1053" s="163" t="str">
        <f t="shared" si="704"/>
        <v/>
      </c>
      <c r="BN1053" s="163" t="str">
        <f t="shared" si="709"/>
        <v/>
      </c>
      <c r="BO1053" s="163" t="str">
        <f t="shared" si="710"/>
        <v/>
      </c>
      <c r="BP1053" s="164" t="str">
        <f t="shared" si="705"/>
        <v/>
      </c>
      <c r="BQ1053" s="164" t="str">
        <f t="shared" si="699"/>
        <v/>
      </c>
      <c r="BR1053" s="154" t="str">
        <f t="shared" si="711"/>
        <v/>
      </c>
      <c r="BT1053" s="147" t="str">
        <f t="shared" si="685"/>
        <v/>
      </c>
      <c r="BU1053" s="164" t="str">
        <f>IF(AND($C1052=12,$D1052=Input!$C$6),0,IF($E1053="","",BK1053+(BL1053+BU1054)/(1+$AK1053)*MIN((1-T1053-U1053),1)))</f>
        <v/>
      </c>
      <c r="BV1053" s="164" t="str">
        <f t="shared" si="686"/>
        <v/>
      </c>
      <c r="BW1053" s="164" t="str">
        <f t="shared" si="687"/>
        <v/>
      </c>
      <c r="BX1053" s="164" t="str">
        <f t="shared" si="688"/>
        <v/>
      </c>
    </row>
    <row r="1054" spans="1:76" s="150" customFormat="1" x14ac:dyDescent="0.25">
      <c r="A1054" s="150" t="str">
        <f t="shared" si="700"/>
        <v/>
      </c>
      <c r="B1054" s="150" t="str">
        <f t="shared" si="701"/>
        <v/>
      </c>
      <c r="C1054" s="150" t="str">
        <f t="shared" si="702"/>
        <v/>
      </c>
      <c r="D1054" s="150" t="str">
        <f>IF(E1054="","",Input!$C$4+B1054-1)</f>
        <v/>
      </c>
      <c r="E1054" s="150" t="str">
        <f>IF(OR(AND(C1053=12,D1053=Input!$C$6),E1053=""),"",1)</f>
        <v/>
      </c>
      <c r="F1054" s="150" t="str">
        <f>IF(E1054="","",Input!$C$8+B1054-1)</f>
        <v/>
      </c>
      <c r="G1054" s="151" t="str">
        <f>IF(E1054="","",MAX(0,Input!$C$9-B1054))</f>
        <v/>
      </c>
      <c r="H1054" s="152" t="str">
        <f>IF(E1054="","",Input!$C$3)</f>
        <v/>
      </c>
      <c r="I1054" s="153" t="str">
        <f>IF(E1054="","",HLOOKUP($B1054,Input!$C$13:$BT$14,2))</f>
        <v/>
      </c>
      <c r="J1054" s="154"/>
      <c r="K1054" s="155" t="str">
        <f>IF($E1054="","",INDEX(Input!$C$16:$CP$16,1,$B1054))</f>
        <v/>
      </c>
      <c r="L1054" s="155" t="str">
        <f>IF($E1054="","",Input!$C$37)</f>
        <v/>
      </c>
      <c r="M1054" s="155" t="str">
        <f t="shared" si="671"/>
        <v/>
      </c>
      <c r="N1054" s="155" t="str">
        <f t="shared" si="672"/>
        <v/>
      </c>
      <c r="O1054" s="147" t="str">
        <f>IF($E1054="","",MIN(VLOOKUP(IF($B1054&lt;=Input!$C$7,$B1054,26),'Mortality Tables'!$A$41:$CW$67,IF($B1054&lt;=Input!$C$7+1,Input!$C$4+2,$D1054-Input!$C$7+2),0)*IF(B1054&gt;20,Input!$C$22,1)/1000,1))</f>
        <v/>
      </c>
      <c r="P1054" s="147" t="str">
        <f>IF($E1054="","",MIN(VLOOKUP(IF($B1054&lt;=Input!$C$7,$B1054,26),'Mortality Tables'!$A$12:$CW$37,IF($B1054&lt;=Input!$C$7+1,Input!$C$4+2,$D1054-Input!$C$7+2),0)*IF(B1054&gt;20,Input!$C$22,1)/1000,1))</f>
        <v/>
      </c>
      <c r="Q1054" s="155" t="str">
        <f>IF($E1054="","",Input!$C$21)</f>
        <v/>
      </c>
      <c r="R1054" s="159" t="str">
        <f>IF($E1054="","",(1-Q1054)^($F1054-Input!$C$20))</f>
        <v/>
      </c>
      <c r="S1054" s="147" t="str">
        <f t="shared" si="674"/>
        <v/>
      </c>
      <c r="T1054" s="147" t="str">
        <f t="shared" si="675"/>
        <v/>
      </c>
      <c r="U1054" s="160" t="str">
        <f>IF($E1054="","",IF($C1054=12,INDEX(Input!$C$15:$CP$15,1,$B1054),0))</f>
        <v/>
      </c>
      <c r="V1054" s="150" t="str">
        <f>IF(E1054="","",IF(C1054=1,IF($B1054=1,Input!$C$33,Input!$C$34),0))</f>
        <v/>
      </c>
      <c r="W1054" s="156" t="str">
        <f>IF($E1054="","",Input!$C$35)</f>
        <v/>
      </c>
      <c r="X1054" s="156" t="str">
        <f t="shared" si="673"/>
        <v/>
      </c>
      <c r="Y1054" s="154"/>
      <c r="Z1054" s="147" t="str">
        <f>IF($E1054="","",VLOOKUP($D1054,'Mortality Margins &amp; Grading'!$AB$5:$AF$125,3,0)*IF(Summary!$D$25="Included Margin",IF(AND($B1054&gt;Input!$C$9,Summary!$D$31&lt;&gt;"Included Margin"),0,1),0))</f>
        <v/>
      </c>
      <c r="AA1054" s="147" t="str">
        <f>IF($E1054="","",VLOOKUP($D1054,'Mortality Margins &amp; Grading'!$AB$5:$AF$125,5,0)*IF(Summary!$D$25="Included Margin",IF(AND($B1054&gt;Input!$C$9,Summary!$D$31&lt;&gt;"Included Margin"),0,1),0))</f>
        <v/>
      </c>
      <c r="AB1054" s="147" t="str">
        <f>IF($E1054="","",IF(AND($B1054&gt;Input!$C$9,Summary!$D$31&lt;&gt;"Included Margin"),1,IF(Summary!$D$25="Included Margin",VLOOKUP($B1054,'Mortality Margins &amp; Grading'!$AI$5:$AR$125,MATCH('Mortality Margins &amp; Grading'!$AQ$4,'Mortality Margins &amp; Grading'!$AI$4:$AR$4,0),0),1)))</f>
        <v/>
      </c>
      <c r="AC1054" s="154"/>
      <c r="AD1054" s="158" t="str">
        <f>IF(E1054="","",Input!$C$48*IF(Summary!$D$30="Included Margin",IF(AND($B1054&gt;Input!$C$9,Summary!$D$31&lt;&gt;"Included Margin"),0,1),0))</f>
        <v/>
      </c>
      <c r="AE1054" s="159" t="str">
        <f>IF(E1054="","",IF(Summary!$D$26="Included Margin",IF(AND($B1054&gt;Input!$C$9,Summary!$D$31&lt;&gt;"Included Margin"),1,1/$R1054),1))</f>
        <v/>
      </c>
      <c r="AF1054" s="160" t="str">
        <f>IF(E1054="","",IF(AND($B1054&gt;=Input!$C$9,$C1054=12,Summary!$D$31="Included Margin",$U1054&gt;0),1/U1054-1,IF($B1054&gt;=Input!$C$9,0,Input!$C$45*IF(Summary!$D$27="Included Margin",1,0))))</f>
        <v/>
      </c>
      <c r="AG1054" s="160" t="str">
        <f>IF(E1054="","",Input!$C$46*IF(Summary!$D$28="Included Margin",IF(AND($B1054&gt;Input!$C$9,Summary!$D$31&lt;&gt;"Included Margin"),0,1),0))</f>
        <v/>
      </c>
      <c r="AH1054" s="158" t="str">
        <f>IF(E1054="","",Input!$C$47*IF(Summary!$D$29="Included Margin",IF(AND($B1054&gt;Input!$C$9,Summary!$D$31&lt;&gt;"Included Margin"),0,1),0))</f>
        <v/>
      </c>
      <c r="AI1054" s="154"/>
      <c r="AJ1054" s="158" t="str">
        <f t="shared" si="689"/>
        <v/>
      </c>
      <c r="AK1054" s="155" t="str">
        <f t="shared" si="690"/>
        <v/>
      </c>
      <c r="AL1054" s="147" t="str">
        <f t="shared" si="691"/>
        <v/>
      </c>
      <c r="AM1054" s="147" t="str">
        <f t="shared" si="676"/>
        <v/>
      </c>
      <c r="AN1054" s="160" t="str">
        <f t="shared" si="692"/>
        <v/>
      </c>
      <c r="AO1054" s="161" t="str">
        <f t="shared" si="693"/>
        <v/>
      </c>
      <c r="AP1054" s="156" t="str">
        <f t="shared" si="677"/>
        <v/>
      </c>
      <c r="AQ1054" s="152"/>
      <c r="AR1054" s="162" t="str">
        <f t="shared" si="678"/>
        <v/>
      </c>
      <c r="AS1054" s="150" t="str">
        <f t="shared" si="694"/>
        <v/>
      </c>
      <c r="AT1054" s="163" t="str">
        <f t="shared" si="679"/>
        <v/>
      </c>
      <c r="AU1054" s="163" t="str">
        <f t="shared" si="680"/>
        <v/>
      </c>
      <c r="AV1054" s="163" t="str">
        <f t="shared" si="695"/>
        <v/>
      </c>
      <c r="AW1054" s="163" t="str">
        <f t="shared" si="681"/>
        <v/>
      </c>
      <c r="AX1054" s="163" t="str">
        <f t="shared" si="682"/>
        <v/>
      </c>
      <c r="AY1054" s="165" t="str">
        <f t="shared" si="696"/>
        <v/>
      </c>
      <c r="AZ1054" s="164" t="str">
        <f>IF($E1054="","",IF(OR(AND($D1054=Input!$C$6,$C1054=12),$AN1054=1),0,-AS1055+AT1055+AU1055-AV1055-AW1055-AX1055+AZ1055))</f>
        <v/>
      </c>
      <c r="BA1054" s="154" t="str">
        <f t="shared" si="683"/>
        <v/>
      </c>
      <c r="BC1054" s="147" t="str">
        <f t="shared" si="697"/>
        <v/>
      </c>
      <c r="BD1054" s="164" t="str">
        <f>IF(AND($C1053=12,$D1053=Input!$C$6),0,IF($E1054="","",AT1054+(AU1054+BD1055)/(1+$AK1054)*MIN((1-AM1054-AN1054),1)))</f>
        <v/>
      </c>
      <c r="BE1054" s="164" t="str">
        <f t="shared" si="712"/>
        <v/>
      </c>
      <c r="BF1054" s="164" t="str">
        <f t="shared" si="698"/>
        <v/>
      </c>
      <c r="BG1054" s="164" t="str">
        <f t="shared" si="684"/>
        <v/>
      </c>
      <c r="BH1054" s="152"/>
      <c r="BI1054" s="162" t="str">
        <f t="shared" si="706"/>
        <v/>
      </c>
      <c r="BJ1054" s="150" t="str">
        <f t="shared" si="707"/>
        <v/>
      </c>
      <c r="BK1054" s="163" t="str">
        <f t="shared" si="703"/>
        <v/>
      </c>
      <c r="BL1054" s="163" t="str">
        <f t="shared" si="708"/>
        <v/>
      </c>
      <c r="BM1054" s="163" t="str">
        <f t="shared" si="704"/>
        <v/>
      </c>
      <c r="BN1054" s="163" t="str">
        <f t="shared" si="709"/>
        <v/>
      </c>
      <c r="BO1054" s="163" t="str">
        <f t="shared" si="710"/>
        <v/>
      </c>
      <c r="BP1054" s="164" t="str">
        <f t="shared" si="705"/>
        <v/>
      </c>
      <c r="BQ1054" s="164" t="str">
        <f t="shared" si="699"/>
        <v/>
      </c>
      <c r="BR1054" s="154" t="str">
        <f t="shared" si="711"/>
        <v/>
      </c>
      <c r="BT1054" s="147" t="str">
        <f t="shared" si="685"/>
        <v/>
      </c>
      <c r="BU1054" s="164" t="str">
        <f>IF(AND($C1053=12,$D1053=Input!$C$6),0,IF($E1054="","",BK1054+(BL1054+BU1055)/(1+$AK1054)*MIN((1-T1054-U1054),1)))</f>
        <v/>
      </c>
      <c r="BV1054" s="164" t="str">
        <f t="shared" si="686"/>
        <v/>
      </c>
      <c r="BW1054" s="164" t="str">
        <f t="shared" si="687"/>
        <v/>
      </c>
      <c r="BX1054" s="164" t="str">
        <f t="shared" si="688"/>
        <v/>
      </c>
    </row>
    <row r="1055" spans="1:76" s="150" customFormat="1" x14ac:dyDescent="0.25">
      <c r="A1055" s="150" t="str">
        <f t="shared" si="700"/>
        <v/>
      </c>
      <c r="B1055" s="150" t="str">
        <f t="shared" si="701"/>
        <v/>
      </c>
      <c r="C1055" s="150" t="str">
        <f t="shared" si="702"/>
        <v/>
      </c>
      <c r="D1055" s="150" t="str">
        <f>IF(E1055="","",Input!$C$4+B1055-1)</f>
        <v/>
      </c>
      <c r="E1055" s="150" t="str">
        <f>IF(OR(AND(C1054=12,D1054=Input!$C$6),E1054=""),"",1)</f>
        <v/>
      </c>
      <c r="F1055" s="150" t="str">
        <f>IF(E1055="","",Input!$C$8+B1055-1)</f>
        <v/>
      </c>
      <c r="G1055" s="151" t="str">
        <f>IF(E1055="","",MAX(0,Input!$C$9-B1055))</f>
        <v/>
      </c>
      <c r="H1055" s="152" t="str">
        <f>IF(E1055="","",Input!$C$3)</f>
        <v/>
      </c>
      <c r="I1055" s="153" t="str">
        <f>IF(E1055="","",HLOOKUP($B1055,Input!$C$13:$BT$14,2))</f>
        <v/>
      </c>
      <c r="J1055" s="154"/>
      <c r="K1055" s="155" t="str">
        <f>IF($E1055="","",INDEX(Input!$C$16:$CP$16,1,$B1055))</f>
        <v/>
      </c>
      <c r="L1055" s="155" t="str">
        <f>IF($E1055="","",Input!$C$37)</f>
        <v/>
      </c>
      <c r="M1055" s="155" t="str">
        <f t="shared" si="671"/>
        <v/>
      </c>
      <c r="N1055" s="155" t="str">
        <f t="shared" si="672"/>
        <v/>
      </c>
      <c r="O1055" s="147" t="str">
        <f>IF($E1055="","",MIN(VLOOKUP(IF($B1055&lt;=Input!$C$7,$B1055,26),'Mortality Tables'!$A$41:$CW$67,IF($B1055&lt;=Input!$C$7+1,Input!$C$4+2,$D1055-Input!$C$7+2),0)*IF(B1055&gt;20,Input!$C$22,1)/1000,1))</f>
        <v/>
      </c>
      <c r="P1055" s="147" t="str">
        <f>IF($E1055="","",MIN(VLOOKUP(IF($B1055&lt;=Input!$C$7,$B1055,26),'Mortality Tables'!$A$12:$CW$37,IF($B1055&lt;=Input!$C$7+1,Input!$C$4+2,$D1055-Input!$C$7+2),0)*IF(B1055&gt;20,Input!$C$22,1)/1000,1))</f>
        <v/>
      </c>
      <c r="Q1055" s="155" t="str">
        <f>IF($E1055="","",Input!$C$21)</f>
        <v/>
      </c>
      <c r="R1055" s="159" t="str">
        <f>IF($E1055="","",(1-Q1055)^($F1055-Input!$C$20))</f>
        <v/>
      </c>
      <c r="S1055" s="147" t="str">
        <f t="shared" si="674"/>
        <v/>
      </c>
      <c r="T1055" s="147" t="str">
        <f t="shared" si="675"/>
        <v/>
      </c>
      <c r="U1055" s="160" t="str">
        <f>IF($E1055="","",IF($C1055=12,INDEX(Input!$C$15:$CP$15,1,$B1055),0))</f>
        <v/>
      </c>
      <c r="V1055" s="150" t="str">
        <f>IF(E1055="","",IF(C1055=1,IF($B1055=1,Input!$C$33,Input!$C$34),0))</f>
        <v/>
      </c>
      <c r="W1055" s="156" t="str">
        <f>IF($E1055="","",Input!$C$35)</f>
        <v/>
      </c>
      <c r="X1055" s="156" t="str">
        <f t="shared" si="673"/>
        <v/>
      </c>
      <c r="Y1055" s="154"/>
      <c r="Z1055" s="147" t="str">
        <f>IF($E1055="","",VLOOKUP($D1055,'Mortality Margins &amp; Grading'!$AB$5:$AF$125,3,0)*IF(Summary!$D$25="Included Margin",IF(AND($B1055&gt;Input!$C$9,Summary!$D$31&lt;&gt;"Included Margin"),0,1),0))</f>
        <v/>
      </c>
      <c r="AA1055" s="147" t="str">
        <f>IF($E1055="","",VLOOKUP($D1055,'Mortality Margins &amp; Grading'!$AB$5:$AF$125,5,0)*IF(Summary!$D$25="Included Margin",IF(AND($B1055&gt;Input!$C$9,Summary!$D$31&lt;&gt;"Included Margin"),0,1),0))</f>
        <v/>
      </c>
      <c r="AB1055" s="147" t="str">
        <f>IF($E1055="","",IF(AND($B1055&gt;Input!$C$9,Summary!$D$31&lt;&gt;"Included Margin"),1,IF(Summary!$D$25="Included Margin",VLOOKUP($B1055,'Mortality Margins &amp; Grading'!$AI$5:$AR$125,MATCH('Mortality Margins &amp; Grading'!$AQ$4,'Mortality Margins &amp; Grading'!$AI$4:$AR$4,0),0),1)))</f>
        <v/>
      </c>
      <c r="AC1055" s="154"/>
      <c r="AD1055" s="158" t="str">
        <f>IF(E1055="","",Input!$C$48*IF(Summary!$D$30="Included Margin",IF(AND($B1055&gt;Input!$C$9,Summary!$D$31&lt;&gt;"Included Margin"),0,1),0))</f>
        <v/>
      </c>
      <c r="AE1055" s="159" t="str">
        <f>IF(E1055="","",IF(Summary!$D$26="Included Margin",IF(AND($B1055&gt;Input!$C$9,Summary!$D$31&lt;&gt;"Included Margin"),1,1/$R1055),1))</f>
        <v/>
      </c>
      <c r="AF1055" s="160" t="str">
        <f>IF(E1055="","",IF(AND($B1055&gt;=Input!$C$9,$C1055=12,Summary!$D$31="Included Margin",$U1055&gt;0),1/U1055-1,IF($B1055&gt;=Input!$C$9,0,Input!$C$45*IF(Summary!$D$27="Included Margin",1,0))))</f>
        <v/>
      </c>
      <c r="AG1055" s="160" t="str">
        <f>IF(E1055="","",Input!$C$46*IF(Summary!$D$28="Included Margin",IF(AND($B1055&gt;Input!$C$9,Summary!$D$31&lt;&gt;"Included Margin"),0,1),0))</f>
        <v/>
      </c>
      <c r="AH1055" s="158" t="str">
        <f>IF(E1055="","",Input!$C$47*IF(Summary!$D$29="Included Margin",IF(AND($B1055&gt;Input!$C$9,Summary!$D$31&lt;&gt;"Included Margin"),0,1),0))</f>
        <v/>
      </c>
      <c r="AI1055" s="154"/>
      <c r="AJ1055" s="158" t="str">
        <f t="shared" si="689"/>
        <v/>
      </c>
      <c r="AK1055" s="155" t="str">
        <f t="shared" si="690"/>
        <v/>
      </c>
      <c r="AL1055" s="147" t="str">
        <f t="shared" si="691"/>
        <v/>
      </c>
      <c r="AM1055" s="147" t="str">
        <f t="shared" si="676"/>
        <v/>
      </c>
      <c r="AN1055" s="160" t="str">
        <f t="shared" si="692"/>
        <v/>
      </c>
      <c r="AO1055" s="161" t="str">
        <f t="shared" si="693"/>
        <v/>
      </c>
      <c r="AP1055" s="156" t="str">
        <f t="shared" si="677"/>
        <v/>
      </c>
      <c r="AQ1055" s="152"/>
      <c r="AR1055" s="162" t="str">
        <f t="shared" si="678"/>
        <v/>
      </c>
      <c r="AS1055" s="150" t="str">
        <f t="shared" si="694"/>
        <v/>
      </c>
      <c r="AT1055" s="163" t="str">
        <f t="shared" si="679"/>
        <v/>
      </c>
      <c r="AU1055" s="163" t="str">
        <f t="shared" si="680"/>
        <v/>
      </c>
      <c r="AV1055" s="163" t="str">
        <f t="shared" si="695"/>
        <v/>
      </c>
      <c r="AW1055" s="163" t="str">
        <f t="shared" si="681"/>
        <v/>
      </c>
      <c r="AX1055" s="163" t="str">
        <f t="shared" si="682"/>
        <v/>
      </c>
      <c r="AY1055" s="164" t="str">
        <f t="shared" si="696"/>
        <v/>
      </c>
      <c r="AZ1055" s="164" t="str">
        <f>IF($E1055="","",IF(OR(AND($D1055=Input!$C$6,$C1055=12),$AN1055=1),0,-AS1056+AT1056+AU1056-AV1056-AW1056-AX1056+AZ1056))</f>
        <v/>
      </c>
      <c r="BA1055" s="154" t="str">
        <f t="shared" si="683"/>
        <v/>
      </c>
      <c r="BC1055" s="147" t="str">
        <f t="shared" si="697"/>
        <v/>
      </c>
      <c r="BD1055" s="164" t="str">
        <f>IF(AND($C1054=12,$D1054=Input!$C$6),0,IF($E1055="","",AT1055+(AU1055+BD1056)/(1+$AK1055)*MIN((1-AM1055-AN1055),1)))</f>
        <v/>
      </c>
      <c r="BE1055" s="164" t="str">
        <f t="shared" si="712"/>
        <v/>
      </c>
      <c r="BF1055" s="164" t="str">
        <f t="shared" si="698"/>
        <v/>
      </c>
      <c r="BG1055" s="164" t="str">
        <f t="shared" si="684"/>
        <v/>
      </c>
      <c r="BH1055" s="152"/>
      <c r="BI1055" s="162" t="str">
        <f t="shared" si="706"/>
        <v/>
      </c>
      <c r="BJ1055" s="150" t="str">
        <f t="shared" si="707"/>
        <v/>
      </c>
      <c r="BK1055" s="163" t="str">
        <f t="shared" si="703"/>
        <v/>
      </c>
      <c r="BL1055" s="163" t="str">
        <f t="shared" si="708"/>
        <v/>
      </c>
      <c r="BM1055" s="163" t="str">
        <f t="shared" si="704"/>
        <v/>
      </c>
      <c r="BN1055" s="163" t="str">
        <f t="shared" si="709"/>
        <v/>
      </c>
      <c r="BO1055" s="163" t="str">
        <f t="shared" si="710"/>
        <v/>
      </c>
      <c r="BP1055" s="164" t="str">
        <f t="shared" si="705"/>
        <v/>
      </c>
      <c r="BQ1055" s="164" t="str">
        <f t="shared" si="699"/>
        <v/>
      </c>
      <c r="BR1055" s="154" t="str">
        <f t="shared" si="711"/>
        <v/>
      </c>
      <c r="BT1055" s="147" t="str">
        <f t="shared" si="685"/>
        <v/>
      </c>
      <c r="BU1055" s="164" t="str">
        <f>IF(AND($C1054=12,$D1054=Input!$C$6),0,IF($E1055="","",BK1055+(BL1055+BU1056)/(1+$AK1055)*MIN((1-T1055-U1055),1)))</f>
        <v/>
      </c>
      <c r="BV1055" s="164" t="str">
        <f t="shared" si="686"/>
        <v/>
      </c>
      <c r="BW1055" s="164" t="str">
        <f t="shared" si="687"/>
        <v/>
      </c>
      <c r="BX1055" s="164" t="str">
        <f t="shared" si="688"/>
        <v/>
      </c>
    </row>
    <row r="1056" spans="1:76" s="150" customFormat="1" x14ac:dyDescent="0.25">
      <c r="A1056" s="150" t="str">
        <f t="shared" si="700"/>
        <v/>
      </c>
      <c r="B1056" s="150" t="str">
        <f t="shared" si="701"/>
        <v/>
      </c>
      <c r="C1056" s="150" t="str">
        <f t="shared" si="702"/>
        <v/>
      </c>
      <c r="D1056" s="150" t="str">
        <f>IF(E1056="","",Input!$C$4+B1056-1)</f>
        <v/>
      </c>
      <c r="E1056" s="150" t="str">
        <f>IF(OR(AND(C1055=12,D1055=Input!$C$6),E1055=""),"",1)</f>
        <v/>
      </c>
      <c r="F1056" s="150" t="str">
        <f>IF(E1056="","",Input!$C$8+B1056-1)</f>
        <v/>
      </c>
      <c r="G1056" s="151" t="str">
        <f>IF(E1056="","",MAX(0,Input!$C$9-B1056))</f>
        <v/>
      </c>
      <c r="H1056" s="152" t="str">
        <f>IF(E1056="","",Input!$C$3)</f>
        <v/>
      </c>
      <c r="I1056" s="153" t="str">
        <f>IF(E1056="","",HLOOKUP($B1056,Input!$C$13:$BT$14,2))</f>
        <v/>
      </c>
      <c r="J1056" s="154"/>
      <c r="K1056" s="155" t="str">
        <f>IF($E1056="","",INDEX(Input!$C$16:$CP$16,1,$B1056))</f>
        <v/>
      </c>
      <c r="L1056" s="155" t="str">
        <f>IF($E1056="","",Input!$C$37)</f>
        <v/>
      </c>
      <c r="M1056" s="155" t="str">
        <f t="shared" si="671"/>
        <v/>
      </c>
      <c r="N1056" s="155" t="str">
        <f t="shared" si="672"/>
        <v/>
      </c>
      <c r="O1056" s="147" t="str">
        <f>IF($E1056="","",MIN(VLOOKUP(IF($B1056&lt;=Input!$C$7,$B1056,26),'Mortality Tables'!$A$41:$CW$67,IF($B1056&lt;=Input!$C$7+1,Input!$C$4+2,$D1056-Input!$C$7+2),0)*IF(B1056&gt;20,Input!$C$22,1)/1000,1))</f>
        <v/>
      </c>
      <c r="P1056" s="147" t="str">
        <f>IF($E1056="","",MIN(VLOOKUP(IF($B1056&lt;=Input!$C$7,$B1056,26),'Mortality Tables'!$A$12:$CW$37,IF($B1056&lt;=Input!$C$7+1,Input!$C$4+2,$D1056-Input!$C$7+2),0)*IF(B1056&gt;20,Input!$C$22,1)/1000,1))</f>
        <v/>
      </c>
      <c r="Q1056" s="155" t="str">
        <f>IF($E1056="","",Input!$C$21)</f>
        <v/>
      </c>
      <c r="R1056" s="159" t="str">
        <f>IF($E1056="","",(1-Q1056)^($F1056-Input!$C$20))</f>
        <v/>
      </c>
      <c r="S1056" s="147" t="str">
        <f t="shared" si="674"/>
        <v/>
      </c>
      <c r="T1056" s="147" t="str">
        <f t="shared" si="675"/>
        <v/>
      </c>
      <c r="U1056" s="160" t="str">
        <f>IF($E1056="","",IF($C1056=12,INDEX(Input!$C$15:$CP$15,1,$B1056),0))</f>
        <v/>
      </c>
      <c r="V1056" s="150" t="str">
        <f>IF(E1056="","",IF(C1056=1,IF($B1056=1,Input!$C$33,Input!$C$34),0))</f>
        <v/>
      </c>
      <c r="W1056" s="156" t="str">
        <f>IF($E1056="","",Input!$C$35)</f>
        <v/>
      </c>
      <c r="X1056" s="156" t="str">
        <f t="shared" si="673"/>
        <v/>
      </c>
      <c r="Y1056" s="154"/>
      <c r="Z1056" s="147" t="str">
        <f>IF($E1056="","",VLOOKUP($D1056,'Mortality Margins &amp; Grading'!$AB$5:$AF$125,3,0)*IF(Summary!$D$25="Included Margin",IF(AND($B1056&gt;Input!$C$9,Summary!$D$31&lt;&gt;"Included Margin"),0,1),0))</f>
        <v/>
      </c>
      <c r="AA1056" s="147" t="str">
        <f>IF($E1056="","",VLOOKUP($D1056,'Mortality Margins &amp; Grading'!$AB$5:$AF$125,5,0)*IF(Summary!$D$25="Included Margin",IF(AND($B1056&gt;Input!$C$9,Summary!$D$31&lt;&gt;"Included Margin"),0,1),0))</f>
        <v/>
      </c>
      <c r="AB1056" s="147" t="str">
        <f>IF($E1056="","",IF(AND($B1056&gt;Input!$C$9,Summary!$D$31&lt;&gt;"Included Margin"),1,IF(Summary!$D$25="Included Margin",VLOOKUP($B1056,'Mortality Margins &amp; Grading'!$AI$5:$AR$125,MATCH('Mortality Margins &amp; Grading'!$AQ$4,'Mortality Margins &amp; Grading'!$AI$4:$AR$4,0),0),1)))</f>
        <v/>
      </c>
      <c r="AC1056" s="154"/>
      <c r="AD1056" s="158" t="str">
        <f>IF(E1056="","",Input!$C$48*IF(Summary!$D$30="Included Margin",IF(AND($B1056&gt;Input!$C$9,Summary!$D$31&lt;&gt;"Included Margin"),0,1),0))</f>
        <v/>
      </c>
      <c r="AE1056" s="159" t="str">
        <f>IF(E1056="","",IF(Summary!$D$26="Included Margin",IF(AND($B1056&gt;Input!$C$9,Summary!$D$31&lt;&gt;"Included Margin"),1,1/$R1056),1))</f>
        <v/>
      </c>
      <c r="AF1056" s="160" t="str">
        <f>IF(E1056="","",IF(AND($B1056&gt;=Input!$C$9,$C1056=12,Summary!$D$31="Included Margin",$U1056&gt;0),1/U1056-1,IF($B1056&gt;=Input!$C$9,0,Input!$C$45*IF(Summary!$D$27="Included Margin",1,0))))</f>
        <v/>
      </c>
      <c r="AG1056" s="160" t="str">
        <f>IF(E1056="","",Input!$C$46*IF(Summary!$D$28="Included Margin",IF(AND($B1056&gt;Input!$C$9,Summary!$D$31&lt;&gt;"Included Margin"),0,1),0))</f>
        <v/>
      </c>
      <c r="AH1056" s="158" t="str">
        <f>IF(E1056="","",Input!$C$47*IF(Summary!$D$29="Included Margin",IF(AND($B1056&gt;Input!$C$9,Summary!$D$31&lt;&gt;"Included Margin"),0,1),0))</f>
        <v/>
      </c>
      <c r="AI1056" s="154"/>
      <c r="AJ1056" s="158" t="str">
        <f t="shared" si="689"/>
        <v/>
      </c>
      <c r="AK1056" s="155" t="str">
        <f t="shared" si="690"/>
        <v/>
      </c>
      <c r="AL1056" s="147" t="str">
        <f t="shared" si="691"/>
        <v/>
      </c>
      <c r="AM1056" s="147" t="str">
        <f t="shared" si="676"/>
        <v/>
      </c>
      <c r="AN1056" s="160" t="str">
        <f t="shared" si="692"/>
        <v/>
      </c>
      <c r="AO1056" s="161" t="str">
        <f t="shared" si="693"/>
        <v/>
      </c>
      <c r="AP1056" s="156" t="str">
        <f t="shared" si="677"/>
        <v/>
      </c>
      <c r="AQ1056" s="152"/>
      <c r="AR1056" s="162" t="str">
        <f t="shared" si="678"/>
        <v/>
      </c>
      <c r="AS1056" s="150" t="str">
        <f t="shared" si="694"/>
        <v/>
      </c>
      <c r="AT1056" s="163" t="str">
        <f t="shared" si="679"/>
        <v/>
      </c>
      <c r="AU1056" s="163" t="str">
        <f t="shared" si="680"/>
        <v/>
      </c>
      <c r="AV1056" s="163" t="str">
        <f t="shared" si="695"/>
        <v/>
      </c>
      <c r="AW1056" s="163" t="str">
        <f t="shared" si="681"/>
        <v/>
      </c>
      <c r="AX1056" s="163" t="str">
        <f t="shared" si="682"/>
        <v/>
      </c>
      <c r="AY1056" s="165" t="str">
        <f t="shared" si="696"/>
        <v/>
      </c>
      <c r="AZ1056" s="164" t="str">
        <f>IF($E1056="","",IF(OR(AND($D1056=Input!$C$6,$C1056=12),$AN1056=1),0,-AS1057+AT1057+AU1057-AV1057-AW1057-AX1057+AZ1057))</f>
        <v/>
      </c>
      <c r="BA1056" s="154" t="str">
        <f t="shared" si="683"/>
        <v/>
      </c>
      <c r="BC1056" s="147" t="str">
        <f t="shared" si="697"/>
        <v/>
      </c>
      <c r="BD1056" s="164" t="str">
        <f>IF(AND($C1055=12,$D1055=Input!$C$6),0,IF($E1056="","",AT1056+(AU1056+BD1057)/(1+$AK1056)*MIN((1-AM1056-AN1056),1)))</f>
        <v/>
      </c>
      <c r="BE1056" s="164" t="str">
        <f t="shared" si="712"/>
        <v/>
      </c>
      <c r="BF1056" s="164" t="str">
        <f t="shared" si="698"/>
        <v/>
      </c>
      <c r="BG1056" s="164" t="str">
        <f t="shared" si="684"/>
        <v/>
      </c>
      <c r="BH1056" s="152"/>
      <c r="BI1056" s="162" t="str">
        <f t="shared" si="706"/>
        <v/>
      </c>
      <c r="BJ1056" s="150" t="str">
        <f t="shared" si="707"/>
        <v/>
      </c>
      <c r="BK1056" s="163" t="str">
        <f t="shared" si="703"/>
        <v/>
      </c>
      <c r="BL1056" s="163" t="str">
        <f t="shared" si="708"/>
        <v/>
      </c>
      <c r="BM1056" s="163" t="str">
        <f t="shared" si="704"/>
        <v/>
      </c>
      <c r="BN1056" s="163" t="str">
        <f t="shared" si="709"/>
        <v/>
      </c>
      <c r="BO1056" s="163" t="str">
        <f t="shared" si="710"/>
        <v/>
      </c>
      <c r="BP1056" s="164" t="str">
        <f t="shared" si="705"/>
        <v/>
      </c>
      <c r="BQ1056" s="164" t="str">
        <f t="shared" si="699"/>
        <v/>
      </c>
      <c r="BR1056" s="154" t="str">
        <f t="shared" si="711"/>
        <v/>
      </c>
      <c r="BT1056" s="147" t="str">
        <f t="shared" si="685"/>
        <v/>
      </c>
      <c r="BU1056" s="164" t="str">
        <f>IF(AND($C1055=12,$D1055=Input!$C$6),0,IF($E1056="","",BK1056+(BL1056+BU1057)/(1+$AK1056)*MIN((1-T1056-U1056),1)))</f>
        <v/>
      </c>
      <c r="BV1056" s="164" t="str">
        <f t="shared" si="686"/>
        <v/>
      </c>
      <c r="BW1056" s="164" t="str">
        <f t="shared" si="687"/>
        <v/>
      </c>
      <c r="BX1056" s="164" t="str">
        <f t="shared" si="688"/>
        <v/>
      </c>
    </row>
    <row r="1057" spans="1:76" s="150" customFormat="1" x14ac:dyDescent="0.25">
      <c r="A1057" s="150" t="str">
        <f t="shared" si="700"/>
        <v/>
      </c>
      <c r="B1057" s="150" t="str">
        <f t="shared" si="701"/>
        <v/>
      </c>
      <c r="C1057" s="150" t="str">
        <f t="shared" si="702"/>
        <v/>
      </c>
      <c r="D1057" s="150" t="str">
        <f>IF(E1057="","",Input!$C$4+B1057-1)</f>
        <v/>
      </c>
      <c r="E1057" s="150" t="str">
        <f>IF(OR(AND(C1056=12,D1056=Input!$C$6),E1056=""),"",1)</f>
        <v/>
      </c>
      <c r="F1057" s="150" t="str">
        <f>IF(E1057="","",Input!$C$8+B1057-1)</f>
        <v/>
      </c>
      <c r="G1057" s="151" t="str">
        <f>IF(E1057="","",MAX(0,Input!$C$9-B1057))</f>
        <v/>
      </c>
      <c r="H1057" s="152" t="str">
        <f>IF(E1057="","",Input!$C$3)</f>
        <v/>
      </c>
      <c r="I1057" s="153" t="str">
        <f>IF(E1057="","",HLOOKUP($B1057,Input!$C$13:$BT$14,2))</f>
        <v/>
      </c>
      <c r="J1057" s="154"/>
      <c r="K1057" s="155" t="str">
        <f>IF($E1057="","",INDEX(Input!$C$16:$CP$16,1,$B1057))</f>
        <v/>
      </c>
      <c r="L1057" s="155" t="str">
        <f>IF($E1057="","",Input!$C$37)</f>
        <v/>
      </c>
      <c r="M1057" s="155" t="str">
        <f t="shared" si="671"/>
        <v/>
      </c>
      <c r="N1057" s="155" t="str">
        <f t="shared" si="672"/>
        <v/>
      </c>
      <c r="O1057" s="147" t="str">
        <f>IF($E1057="","",MIN(VLOOKUP(IF($B1057&lt;=Input!$C$7,$B1057,26),'Mortality Tables'!$A$41:$CW$67,IF($B1057&lt;=Input!$C$7+1,Input!$C$4+2,$D1057-Input!$C$7+2),0)*IF(B1057&gt;20,Input!$C$22,1)/1000,1))</f>
        <v/>
      </c>
      <c r="P1057" s="147" t="str">
        <f>IF($E1057="","",MIN(VLOOKUP(IF($B1057&lt;=Input!$C$7,$B1057,26),'Mortality Tables'!$A$12:$CW$37,IF($B1057&lt;=Input!$C$7+1,Input!$C$4+2,$D1057-Input!$C$7+2),0)*IF(B1057&gt;20,Input!$C$22,1)/1000,1))</f>
        <v/>
      </c>
      <c r="Q1057" s="155" t="str">
        <f>IF($E1057="","",Input!$C$21)</f>
        <v/>
      </c>
      <c r="R1057" s="159" t="str">
        <f>IF($E1057="","",(1-Q1057)^($F1057-Input!$C$20))</f>
        <v/>
      </c>
      <c r="S1057" s="147" t="str">
        <f t="shared" si="674"/>
        <v/>
      </c>
      <c r="T1057" s="147" t="str">
        <f t="shared" si="675"/>
        <v/>
      </c>
      <c r="U1057" s="160" t="str">
        <f>IF($E1057="","",IF($C1057=12,INDEX(Input!$C$15:$CP$15,1,$B1057),0))</f>
        <v/>
      </c>
      <c r="V1057" s="150" t="str">
        <f>IF(E1057="","",IF(C1057=1,IF($B1057=1,Input!$C$33,Input!$C$34),0))</f>
        <v/>
      </c>
      <c r="W1057" s="156" t="str">
        <f>IF($E1057="","",Input!$C$35)</f>
        <v/>
      </c>
      <c r="X1057" s="156" t="str">
        <f t="shared" si="673"/>
        <v/>
      </c>
      <c r="Y1057" s="154"/>
      <c r="Z1057" s="147" t="str">
        <f>IF($E1057="","",VLOOKUP($D1057,'Mortality Margins &amp; Grading'!$AB$5:$AF$125,3,0)*IF(Summary!$D$25="Included Margin",IF(AND($B1057&gt;Input!$C$9,Summary!$D$31&lt;&gt;"Included Margin"),0,1),0))</f>
        <v/>
      </c>
      <c r="AA1057" s="147" t="str">
        <f>IF($E1057="","",VLOOKUP($D1057,'Mortality Margins &amp; Grading'!$AB$5:$AF$125,5,0)*IF(Summary!$D$25="Included Margin",IF(AND($B1057&gt;Input!$C$9,Summary!$D$31&lt;&gt;"Included Margin"),0,1),0))</f>
        <v/>
      </c>
      <c r="AB1057" s="147" t="str">
        <f>IF($E1057="","",IF(AND($B1057&gt;Input!$C$9,Summary!$D$31&lt;&gt;"Included Margin"),1,IF(Summary!$D$25="Included Margin",VLOOKUP($B1057,'Mortality Margins &amp; Grading'!$AI$5:$AR$125,MATCH('Mortality Margins &amp; Grading'!$AQ$4,'Mortality Margins &amp; Grading'!$AI$4:$AR$4,0),0),1)))</f>
        <v/>
      </c>
      <c r="AC1057" s="154"/>
      <c r="AD1057" s="158" t="str">
        <f>IF(E1057="","",Input!$C$48*IF(Summary!$D$30="Included Margin",IF(AND($B1057&gt;Input!$C$9,Summary!$D$31&lt;&gt;"Included Margin"),0,1),0))</f>
        <v/>
      </c>
      <c r="AE1057" s="159" t="str">
        <f>IF(E1057="","",IF(Summary!$D$26="Included Margin",IF(AND($B1057&gt;Input!$C$9,Summary!$D$31&lt;&gt;"Included Margin"),1,1/$R1057),1))</f>
        <v/>
      </c>
      <c r="AF1057" s="160" t="str">
        <f>IF(E1057="","",IF(AND($B1057&gt;=Input!$C$9,$C1057=12,Summary!$D$31="Included Margin",$U1057&gt;0),1/U1057-1,IF($B1057&gt;=Input!$C$9,0,Input!$C$45*IF(Summary!$D$27="Included Margin",1,0))))</f>
        <v/>
      </c>
      <c r="AG1057" s="160" t="str">
        <f>IF(E1057="","",Input!$C$46*IF(Summary!$D$28="Included Margin",IF(AND($B1057&gt;Input!$C$9,Summary!$D$31&lt;&gt;"Included Margin"),0,1),0))</f>
        <v/>
      </c>
      <c r="AH1057" s="158" t="str">
        <f>IF(E1057="","",Input!$C$47*IF(Summary!$D$29="Included Margin",IF(AND($B1057&gt;Input!$C$9,Summary!$D$31&lt;&gt;"Included Margin"),0,1),0))</f>
        <v/>
      </c>
      <c r="AI1057" s="154"/>
      <c r="AJ1057" s="158" t="str">
        <f t="shared" si="689"/>
        <v/>
      </c>
      <c r="AK1057" s="155" t="str">
        <f t="shared" si="690"/>
        <v/>
      </c>
      <c r="AL1057" s="147" t="str">
        <f t="shared" si="691"/>
        <v/>
      </c>
      <c r="AM1057" s="147" t="str">
        <f t="shared" si="676"/>
        <v/>
      </c>
      <c r="AN1057" s="160" t="str">
        <f t="shared" si="692"/>
        <v/>
      </c>
      <c r="AO1057" s="161" t="str">
        <f t="shared" si="693"/>
        <v/>
      </c>
      <c r="AP1057" s="156" t="str">
        <f t="shared" si="677"/>
        <v/>
      </c>
      <c r="AQ1057" s="152"/>
      <c r="AR1057" s="162" t="str">
        <f t="shared" si="678"/>
        <v/>
      </c>
      <c r="AS1057" s="150" t="str">
        <f t="shared" si="694"/>
        <v/>
      </c>
      <c r="AT1057" s="163" t="str">
        <f t="shared" si="679"/>
        <v/>
      </c>
      <c r="AU1057" s="163" t="str">
        <f t="shared" si="680"/>
        <v/>
      </c>
      <c r="AV1057" s="163" t="str">
        <f t="shared" si="695"/>
        <v/>
      </c>
      <c r="AW1057" s="163" t="str">
        <f t="shared" si="681"/>
        <v/>
      </c>
      <c r="AX1057" s="163" t="str">
        <f t="shared" si="682"/>
        <v/>
      </c>
      <c r="AY1057" s="164" t="str">
        <f t="shared" si="696"/>
        <v/>
      </c>
      <c r="AZ1057" s="164" t="str">
        <f>IF($E1057="","",IF(OR(AND($D1057=Input!$C$6,$C1057=12),$AN1057=1),0,-AS1058+AT1058+AU1058-AV1058-AW1058-AX1058+AZ1058))</f>
        <v/>
      </c>
      <c r="BA1057" s="154" t="str">
        <f t="shared" si="683"/>
        <v/>
      </c>
      <c r="BC1057" s="147" t="str">
        <f t="shared" si="697"/>
        <v/>
      </c>
      <c r="BD1057" s="164" t="str">
        <f>IF(AND($C1056=12,$D1056=Input!$C$6),0,IF($E1057="","",AT1057+(AU1057+BD1058)/(1+$AK1057)*MIN((1-AM1057-AN1057),1)))</f>
        <v/>
      </c>
      <c r="BE1057" s="164" t="str">
        <f t="shared" si="712"/>
        <v/>
      </c>
      <c r="BF1057" s="164" t="str">
        <f t="shared" si="698"/>
        <v/>
      </c>
      <c r="BG1057" s="164" t="str">
        <f t="shared" si="684"/>
        <v/>
      </c>
      <c r="BH1057" s="152"/>
      <c r="BI1057" s="162" t="str">
        <f t="shared" si="706"/>
        <v/>
      </c>
      <c r="BJ1057" s="150" t="str">
        <f t="shared" si="707"/>
        <v/>
      </c>
      <c r="BK1057" s="163" t="str">
        <f t="shared" si="703"/>
        <v/>
      </c>
      <c r="BL1057" s="163" t="str">
        <f t="shared" si="708"/>
        <v/>
      </c>
      <c r="BM1057" s="163" t="str">
        <f t="shared" si="704"/>
        <v/>
      </c>
      <c r="BN1057" s="163" t="str">
        <f t="shared" si="709"/>
        <v/>
      </c>
      <c r="BO1057" s="163" t="str">
        <f t="shared" si="710"/>
        <v/>
      </c>
      <c r="BP1057" s="164" t="str">
        <f t="shared" si="705"/>
        <v/>
      </c>
      <c r="BQ1057" s="164" t="str">
        <f t="shared" si="699"/>
        <v/>
      </c>
      <c r="BR1057" s="154" t="str">
        <f t="shared" si="711"/>
        <v/>
      </c>
      <c r="BT1057" s="147" t="str">
        <f t="shared" si="685"/>
        <v/>
      </c>
      <c r="BU1057" s="164" t="str">
        <f>IF(AND($C1056=12,$D1056=Input!$C$6),0,IF($E1057="","",BK1057+(BL1057+BU1058)/(1+$AK1057)*MIN((1-T1057-U1057),1)))</f>
        <v/>
      </c>
      <c r="BV1057" s="164" t="str">
        <f t="shared" si="686"/>
        <v/>
      </c>
      <c r="BW1057" s="164" t="str">
        <f t="shared" si="687"/>
        <v/>
      </c>
      <c r="BX1057" s="164" t="str">
        <f t="shared" si="688"/>
        <v/>
      </c>
    </row>
    <row r="1058" spans="1:76" s="150" customFormat="1" x14ac:dyDescent="0.25">
      <c r="A1058" s="150" t="str">
        <f t="shared" si="700"/>
        <v/>
      </c>
      <c r="B1058" s="150" t="str">
        <f t="shared" si="701"/>
        <v/>
      </c>
      <c r="C1058" s="150" t="str">
        <f t="shared" si="702"/>
        <v/>
      </c>
      <c r="D1058" s="150" t="str">
        <f>IF(E1058="","",Input!$C$4+B1058-1)</f>
        <v/>
      </c>
      <c r="E1058" s="150" t="str">
        <f>IF(OR(AND(C1057=12,D1057=Input!$C$6),E1057=""),"",1)</f>
        <v/>
      </c>
      <c r="F1058" s="150" t="str">
        <f>IF(E1058="","",Input!$C$8+B1058-1)</f>
        <v/>
      </c>
      <c r="G1058" s="151" t="str">
        <f>IF(E1058="","",MAX(0,Input!$C$9-B1058))</f>
        <v/>
      </c>
      <c r="H1058" s="152" t="str">
        <f>IF(E1058="","",Input!$C$3)</f>
        <v/>
      </c>
      <c r="I1058" s="153" t="str">
        <f>IF(E1058="","",HLOOKUP($B1058,Input!$C$13:$BT$14,2))</f>
        <v/>
      </c>
      <c r="J1058" s="154"/>
      <c r="K1058" s="155" t="str">
        <f>IF($E1058="","",INDEX(Input!$C$16:$CP$16,1,$B1058))</f>
        <v/>
      </c>
      <c r="L1058" s="155" t="str">
        <f>IF($E1058="","",Input!$C$37)</f>
        <v/>
      </c>
      <c r="M1058" s="155" t="str">
        <f t="shared" si="671"/>
        <v/>
      </c>
      <c r="N1058" s="155" t="str">
        <f t="shared" si="672"/>
        <v/>
      </c>
      <c r="O1058" s="147" t="str">
        <f>IF($E1058="","",MIN(VLOOKUP(IF($B1058&lt;=Input!$C$7,$B1058,26),'Mortality Tables'!$A$41:$CW$67,IF($B1058&lt;=Input!$C$7+1,Input!$C$4+2,$D1058-Input!$C$7+2),0)*IF(B1058&gt;20,Input!$C$22,1)/1000,1))</f>
        <v/>
      </c>
      <c r="P1058" s="147" t="str">
        <f>IF($E1058="","",MIN(VLOOKUP(IF($B1058&lt;=Input!$C$7,$B1058,26),'Mortality Tables'!$A$12:$CW$37,IF($B1058&lt;=Input!$C$7+1,Input!$C$4+2,$D1058-Input!$C$7+2),0)*IF(B1058&gt;20,Input!$C$22,1)/1000,1))</f>
        <v/>
      </c>
      <c r="Q1058" s="155" t="str">
        <f>IF($E1058="","",Input!$C$21)</f>
        <v/>
      </c>
      <c r="R1058" s="159" t="str">
        <f>IF($E1058="","",(1-Q1058)^($F1058-Input!$C$20))</f>
        <v/>
      </c>
      <c r="S1058" s="147" t="str">
        <f t="shared" si="674"/>
        <v/>
      </c>
      <c r="T1058" s="147" t="str">
        <f t="shared" si="675"/>
        <v/>
      </c>
      <c r="U1058" s="160" t="str">
        <f>IF($E1058="","",IF($C1058=12,INDEX(Input!$C$15:$CP$15,1,$B1058),0))</f>
        <v/>
      </c>
      <c r="V1058" s="150" t="str">
        <f>IF(E1058="","",IF(C1058=1,IF($B1058=1,Input!$C$33,Input!$C$34),0))</f>
        <v/>
      </c>
      <c r="W1058" s="156" t="str">
        <f>IF($E1058="","",Input!$C$35)</f>
        <v/>
      </c>
      <c r="X1058" s="156" t="str">
        <f t="shared" si="673"/>
        <v/>
      </c>
      <c r="Y1058" s="154"/>
      <c r="Z1058" s="147" t="str">
        <f>IF($E1058="","",VLOOKUP($D1058,'Mortality Margins &amp; Grading'!$AB$5:$AF$125,3,0)*IF(Summary!$D$25="Included Margin",IF(AND($B1058&gt;Input!$C$9,Summary!$D$31&lt;&gt;"Included Margin"),0,1),0))</f>
        <v/>
      </c>
      <c r="AA1058" s="147" t="str">
        <f>IF($E1058="","",VLOOKUP($D1058,'Mortality Margins &amp; Grading'!$AB$5:$AF$125,5,0)*IF(Summary!$D$25="Included Margin",IF(AND($B1058&gt;Input!$C$9,Summary!$D$31&lt;&gt;"Included Margin"),0,1),0))</f>
        <v/>
      </c>
      <c r="AB1058" s="147" t="str">
        <f>IF($E1058="","",IF(AND($B1058&gt;Input!$C$9,Summary!$D$31&lt;&gt;"Included Margin"),1,IF(Summary!$D$25="Included Margin",VLOOKUP($B1058,'Mortality Margins &amp; Grading'!$AI$5:$AR$125,MATCH('Mortality Margins &amp; Grading'!$AQ$4,'Mortality Margins &amp; Grading'!$AI$4:$AR$4,0),0),1)))</f>
        <v/>
      </c>
      <c r="AC1058" s="154"/>
      <c r="AD1058" s="158" t="str">
        <f>IF(E1058="","",Input!$C$48*IF(Summary!$D$30="Included Margin",IF(AND($B1058&gt;Input!$C$9,Summary!$D$31&lt;&gt;"Included Margin"),0,1),0))</f>
        <v/>
      </c>
      <c r="AE1058" s="159" t="str">
        <f>IF(E1058="","",IF(Summary!$D$26="Included Margin",IF(AND($B1058&gt;Input!$C$9,Summary!$D$31&lt;&gt;"Included Margin"),1,1/$R1058),1))</f>
        <v/>
      </c>
      <c r="AF1058" s="160" t="str">
        <f>IF(E1058="","",IF(AND($B1058&gt;=Input!$C$9,$C1058=12,Summary!$D$31="Included Margin",$U1058&gt;0),1/U1058-1,IF($B1058&gt;=Input!$C$9,0,Input!$C$45*IF(Summary!$D$27="Included Margin",1,0))))</f>
        <v/>
      </c>
      <c r="AG1058" s="160" t="str">
        <f>IF(E1058="","",Input!$C$46*IF(Summary!$D$28="Included Margin",IF(AND($B1058&gt;Input!$C$9,Summary!$D$31&lt;&gt;"Included Margin"),0,1),0))</f>
        <v/>
      </c>
      <c r="AH1058" s="158" t="str">
        <f>IF(E1058="","",Input!$C$47*IF(Summary!$D$29="Included Margin",IF(AND($B1058&gt;Input!$C$9,Summary!$D$31&lt;&gt;"Included Margin"),0,1),0))</f>
        <v/>
      </c>
      <c r="AI1058" s="154"/>
      <c r="AJ1058" s="158" t="str">
        <f t="shared" si="689"/>
        <v/>
      </c>
      <c r="AK1058" s="155" t="str">
        <f t="shared" si="690"/>
        <v/>
      </c>
      <c r="AL1058" s="147" t="str">
        <f t="shared" si="691"/>
        <v/>
      </c>
      <c r="AM1058" s="147" t="str">
        <f t="shared" si="676"/>
        <v/>
      </c>
      <c r="AN1058" s="160" t="str">
        <f t="shared" si="692"/>
        <v/>
      </c>
      <c r="AO1058" s="161" t="str">
        <f t="shared" si="693"/>
        <v/>
      </c>
      <c r="AP1058" s="156" t="str">
        <f t="shared" si="677"/>
        <v/>
      </c>
      <c r="AQ1058" s="152"/>
      <c r="AR1058" s="162" t="str">
        <f t="shared" si="678"/>
        <v/>
      </c>
      <c r="AS1058" s="150" t="str">
        <f t="shared" si="694"/>
        <v/>
      </c>
      <c r="AT1058" s="163" t="str">
        <f t="shared" si="679"/>
        <v/>
      </c>
      <c r="AU1058" s="163" t="str">
        <f t="shared" si="680"/>
        <v/>
      </c>
      <c r="AV1058" s="163" t="str">
        <f t="shared" si="695"/>
        <v/>
      </c>
      <c r="AW1058" s="163" t="str">
        <f t="shared" si="681"/>
        <v/>
      </c>
      <c r="AX1058" s="163" t="str">
        <f t="shared" si="682"/>
        <v/>
      </c>
      <c r="AY1058" s="165" t="str">
        <f t="shared" si="696"/>
        <v/>
      </c>
      <c r="AZ1058" s="164" t="str">
        <f>IF($E1058="","",IF(OR(AND($D1058=Input!$C$6,$C1058=12),$AN1058=1),0,-AS1059+AT1059+AU1059-AV1059-AW1059-AX1059+AZ1059))</f>
        <v/>
      </c>
      <c r="BA1058" s="154" t="str">
        <f t="shared" si="683"/>
        <v/>
      </c>
      <c r="BC1058" s="147" t="str">
        <f t="shared" si="697"/>
        <v/>
      </c>
      <c r="BD1058" s="164" t="str">
        <f>IF(AND($C1057=12,$D1057=Input!$C$6),0,IF($E1058="","",AT1058+(AU1058+BD1059)/(1+$AK1058)*MIN((1-AM1058-AN1058),1)))</f>
        <v/>
      </c>
      <c r="BE1058" s="164" t="str">
        <f t="shared" si="712"/>
        <v/>
      </c>
      <c r="BF1058" s="164" t="str">
        <f t="shared" si="698"/>
        <v/>
      </c>
      <c r="BG1058" s="164" t="str">
        <f t="shared" si="684"/>
        <v/>
      </c>
      <c r="BH1058" s="152"/>
      <c r="BI1058" s="162" t="str">
        <f t="shared" si="706"/>
        <v/>
      </c>
      <c r="BJ1058" s="150" t="str">
        <f t="shared" si="707"/>
        <v/>
      </c>
      <c r="BK1058" s="163" t="str">
        <f t="shared" si="703"/>
        <v/>
      </c>
      <c r="BL1058" s="163" t="str">
        <f t="shared" si="708"/>
        <v/>
      </c>
      <c r="BM1058" s="163" t="str">
        <f t="shared" si="704"/>
        <v/>
      </c>
      <c r="BN1058" s="163" t="str">
        <f t="shared" si="709"/>
        <v/>
      </c>
      <c r="BO1058" s="163" t="str">
        <f t="shared" si="710"/>
        <v/>
      </c>
      <c r="BP1058" s="164" t="str">
        <f t="shared" si="705"/>
        <v/>
      </c>
      <c r="BQ1058" s="164" t="str">
        <f t="shared" si="699"/>
        <v/>
      </c>
      <c r="BR1058" s="154" t="str">
        <f t="shared" si="711"/>
        <v/>
      </c>
      <c r="BT1058" s="147" t="str">
        <f t="shared" si="685"/>
        <v/>
      </c>
      <c r="BU1058" s="164" t="str">
        <f>IF(AND($C1057=12,$D1057=Input!$C$6),0,IF($E1058="","",BK1058+(BL1058+BU1059)/(1+$AK1058)*MIN((1-T1058-U1058),1)))</f>
        <v/>
      </c>
      <c r="BV1058" s="164" t="str">
        <f t="shared" si="686"/>
        <v/>
      </c>
      <c r="BW1058" s="164" t="str">
        <f t="shared" si="687"/>
        <v/>
      </c>
      <c r="BX1058" s="164" t="str">
        <f t="shared" si="688"/>
        <v/>
      </c>
    </row>
    <row r="1059" spans="1:76" s="150" customFormat="1" x14ac:dyDescent="0.25">
      <c r="A1059" s="150" t="str">
        <f t="shared" si="700"/>
        <v/>
      </c>
      <c r="B1059" s="150" t="str">
        <f t="shared" si="701"/>
        <v/>
      </c>
      <c r="C1059" s="150" t="str">
        <f t="shared" si="702"/>
        <v/>
      </c>
      <c r="D1059" s="150" t="str">
        <f>IF(E1059="","",Input!$C$4+B1059-1)</f>
        <v/>
      </c>
      <c r="E1059" s="150" t="str">
        <f>IF(OR(AND(C1058=12,D1058=Input!$C$6),E1058=""),"",1)</f>
        <v/>
      </c>
      <c r="F1059" s="150" t="str">
        <f>IF(E1059="","",Input!$C$8+B1059-1)</f>
        <v/>
      </c>
      <c r="G1059" s="151" t="str">
        <f>IF(E1059="","",MAX(0,Input!$C$9-B1059))</f>
        <v/>
      </c>
      <c r="H1059" s="152" t="str">
        <f>IF(E1059="","",Input!$C$3)</f>
        <v/>
      </c>
      <c r="I1059" s="153" t="str">
        <f>IF(E1059="","",HLOOKUP($B1059,Input!$C$13:$BT$14,2))</f>
        <v/>
      </c>
      <c r="J1059" s="154"/>
      <c r="K1059" s="155" t="str">
        <f>IF($E1059="","",INDEX(Input!$C$16:$CP$16,1,$B1059))</f>
        <v/>
      </c>
      <c r="L1059" s="155" t="str">
        <f>IF($E1059="","",Input!$C$37)</f>
        <v/>
      </c>
      <c r="M1059" s="155" t="str">
        <f t="shared" si="671"/>
        <v/>
      </c>
      <c r="N1059" s="155" t="str">
        <f t="shared" si="672"/>
        <v/>
      </c>
      <c r="O1059" s="147" t="str">
        <f>IF($E1059="","",MIN(VLOOKUP(IF($B1059&lt;=Input!$C$7,$B1059,26),'Mortality Tables'!$A$41:$CW$67,IF($B1059&lt;=Input!$C$7+1,Input!$C$4+2,$D1059-Input!$C$7+2),0)*IF(B1059&gt;20,Input!$C$22,1)/1000,1))</f>
        <v/>
      </c>
      <c r="P1059" s="147" t="str">
        <f>IF($E1059="","",MIN(VLOOKUP(IF($B1059&lt;=Input!$C$7,$B1059,26),'Mortality Tables'!$A$12:$CW$37,IF($B1059&lt;=Input!$C$7+1,Input!$C$4+2,$D1059-Input!$C$7+2),0)*IF(B1059&gt;20,Input!$C$22,1)/1000,1))</f>
        <v/>
      </c>
      <c r="Q1059" s="155" t="str">
        <f>IF($E1059="","",Input!$C$21)</f>
        <v/>
      </c>
      <c r="R1059" s="159" t="str">
        <f>IF($E1059="","",(1-Q1059)^($F1059-Input!$C$20))</f>
        <v/>
      </c>
      <c r="S1059" s="147" t="str">
        <f t="shared" si="674"/>
        <v/>
      </c>
      <c r="T1059" s="147" t="str">
        <f t="shared" si="675"/>
        <v/>
      </c>
      <c r="U1059" s="160" t="str">
        <f>IF($E1059="","",IF($C1059=12,INDEX(Input!$C$15:$CP$15,1,$B1059),0))</f>
        <v/>
      </c>
      <c r="V1059" s="150" t="str">
        <f>IF(E1059="","",IF(C1059=1,IF($B1059=1,Input!$C$33,Input!$C$34),0))</f>
        <v/>
      </c>
      <c r="W1059" s="156" t="str">
        <f>IF($E1059="","",Input!$C$35)</f>
        <v/>
      </c>
      <c r="X1059" s="156" t="str">
        <f t="shared" si="673"/>
        <v/>
      </c>
      <c r="Y1059" s="154"/>
      <c r="Z1059" s="147" t="str">
        <f>IF($E1059="","",VLOOKUP($D1059,'Mortality Margins &amp; Grading'!$AB$5:$AF$125,3,0)*IF(Summary!$D$25="Included Margin",IF(AND($B1059&gt;Input!$C$9,Summary!$D$31&lt;&gt;"Included Margin"),0,1),0))</f>
        <v/>
      </c>
      <c r="AA1059" s="147" t="str">
        <f>IF($E1059="","",VLOOKUP($D1059,'Mortality Margins &amp; Grading'!$AB$5:$AF$125,5,0)*IF(Summary!$D$25="Included Margin",IF(AND($B1059&gt;Input!$C$9,Summary!$D$31&lt;&gt;"Included Margin"),0,1),0))</f>
        <v/>
      </c>
      <c r="AB1059" s="147" t="str">
        <f>IF($E1059="","",IF(AND($B1059&gt;Input!$C$9,Summary!$D$31&lt;&gt;"Included Margin"),1,IF(Summary!$D$25="Included Margin",VLOOKUP($B1059,'Mortality Margins &amp; Grading'!$AI$5:$AR$125,MATCH('Mortality Margins &amp; Grading'!$AQ$4,'Mortality Margins &amp; Grading'!$AI$4:$AR$4,0),0),1)))</f>
        <v/>
      </c>
      <c r="AC1059" s="154"/>
      <c r="AD1059" s="158" t="str">
        <f>IF(E1059="","",Input!$C$48*IF(Summary!$D$30="Included Margin",IF(AND($B1059&gt;Input!$C$9,Summary!$D$31&lt;&gt;"Included Margin"),0,1),0))</f>
        <v/>
      </c>
      <c r="AE1059" s="159" t="str">
        <f>IF(E1059="","",IF(Summary!$D$26="Included Margin",IF(AND($B1059&gt;Input!$C$9,Summary!$D$31&lt;&gt;"Included Margin"),1,1/$R1059),1))</f>
        <v/>
      </c>
      <c r="AF1059" s="160" t="str">
        <f>IF(E1059="","",IF(AND($B1059&gt;=Input!$C$9,$C1059=12,Summary!$D$31="Included Margin",$U1059&gt;0),1/U1059-1,IF($B1059&gt;=Input!$C$9,0,Input!$C$45*IF(Summary!$D$27="Included Margin",1,0))))</f>
        <v/>
      </c>
      <c r="AG1059" s="160" t="str">
        <f>IF(E1059="","",Input!$C$46*IF(Summary!$D$28="Included Margin",IF(AND($B1059&gt;Input!$C$9,Summary!$D$31&lt;&gt;"Included Margin"),0,1),0))</f>
        <v/>
      </c>
      <c r="AH1059" s="158" t="str">
        <f>IF(E1059="","",Input!$C$47*IF(Summary!$D$29="Included Margin",IF(AND($B1059&gt;Input!$C$9,Summary!$D$31&lt;&gt;"Included Margin"),0,1),0))</f>
        <v/>
      </c>
      <c r="AI1059" s="154"/>
      <c r="AJ1059" s="158" t="str">
        <f t="shared" si="689"/>
        <v/>
      </c>
      <c r="AK1059" s="155" t="str">
        <f t="shared" si="690"/>
        <v/>
      </c>
      <c r="AL1059" s="147" t="str">
        <f t="shared" si="691"/>
        <v/>
      </c>
      <c r="AM1059" s="147" t="str">
        <f t="shared" si="676"/>
        <v/>
      </c>
      <c r="AN1059" s="160" t="str">
        <f t="shared" si="692"/>
        <v/>
      </c>
      <c r="AO1059" s="161" t="str">
        <f t="shared" si="693"/>
        <v/>
      </c>
      <c r="AP1059" s="156" t="str">
        <f t="shared" si="677"/>
        <v/>
      </c>
      <c r="AQ1059" s="152"/>
      <c r="AR1059" s="162" t="str">
        <f t="shared" si="678"/>
        <v/>
      </c>
      <c r="AS1059" s="150" t="str">
        <f t="shared" si="694"/>
        <v/>
      </c>
      <c r="AT1059" s="163" t="str">
        <f t="shared" si="679"/>
        <v/>
      </c>
      <c r="AU1059" s="163" t="str">
        <f t="shared" si="680"/>
        <v/>
      </c>
      <c r="AV1059" s="163" t="str">
        <f t="shared" si="695"/>
        <v/>
      </c>
      <c r="AW1059" s="163" t="str">
        <f t="shared" si="681"/>
        <v/>
      </c>
      <c r="AX1059" s="163" t="str">
        <f t="shared" si="682"/>
        <v/>
      </c>
      <c r="AY1059" s="164" t="str">
        <f t="shared" si="696"/>
        <v/>
      </c>
      <c r="AZ1059" s="164" t="str">
        <f>IF($E1059="","",IF(OR(AND($D1059=Input!$C$6,$C1059=12),$AN1059=1),0,-AS1060+AT1060+AU1060-AV1060-AW1060-AX1060+AZ1060))</f>
        <v/>
      </c>
      <c r="BA1059" s="154" t="str">
        <f t="shared" si="683"/>
        <v/>
      </c>
      <c r="BC1059" s="147" t="str">
        <f t="shared" si="697"/>
        <v/>
      </c>
      <c r="BD1059" s="164" t="str">
        <f>IF(AND($C1058=12,$D1058=Input!$C$6),0,IF($E1059="","",AT1059+(AU1059+BD1060)/(1+$AK1059)*MIN((1-AM1059-AN1059),1)))</f>
        <v/>
      </c>
      <c r="BE1059" s="164" t="str">
        <f t="shared" si="712"/>
        <v/>
      </c>
      <c r="BF1059" s="164" t="str">
        <f t="shared" si="698"/>
        <v/>
      </c>
      <c r="BG1059" s="164" t="str">
        <f t="shared" si="684"/>
        <v/>
      </c>
      <c r="BH1059" s="152"/>
      <c r="BI1059" s="162" t="str">
        <f t="shared" si="706"/>
        <v/>
      </c>
      <c r="BJ1059" s="150" t="str">
        <f t="shared" si="707"/>
        <v/>
      </c>
      <c r="BK1059" s="163" t="str">
        <f t="shared" si="703"/>
        <v/>
      </c>
      <c r="BL1059" s="163" t="str">
        <f t="shared" si="708"/>
        <v/>
      </c>
      <c r="BM1059" s="163" t="str">
        <f t="shared" si="704"/>
        <v/>
      </c>
      <c r="BN1059" s="163" t="str">
        <f t="shared" si="709"/>
        <v/>
      </c>
      <c r="BO1059" s="163" t="str">
        <f t="shared" si="710"/>
        <v/>
      </c>
      <c r="BP1059" s="164" t="str">
        <f t="shared" si="705"/>
        <v/>
      </c>
      <c r="BQ1059" s="164" t="str">
        <f t="shared" si="699"/>
        <v/>
      </c>
      <c r="BR1059" s="154" t="str">
        <f t="shared" si="711"/>
        <v/>
      </c>
      <c r="BT1059" s="147" t="str">
        <f t="shared" si="685"/>
        <v/>
      </c>
      <c r="BU1059" s="164" t="str">
        <f>IF(AND($C1058=12,$D1058=Input!$C$6),0,IF($E1059="","",BK1059+(BL1059+BU1060)/(1+$AK1059)*MIN((1-T1059-U1059),1)))</f>
        <v/>
      </c>
      <c r="BV1059" s="164" t="str">
        <f t="shared" si="686"/>
        <v/>
      </c>
      <c r="BW1059" s="164" t="str">
        <f t="shared" si="687"/>
        <v/>
      </c>
      <c r="BX1059" s="164" t="str">
        <f t="shared" si="688"/>
        <v/>
      </c>
    </row>
    <row r="1060" spans="1:76" s="150" customFormat="1" x14ac:dyDescent="0.25">
      <c r="A1060" s="150" t="str">
        <f t="shared" si="700"/>
        <v/>
      </c>
      <c r="B1060" s="150" t="str">
        <f t="shared" si="701"/>
        <v/>
      </c>
      <c r="C1060" s="150" t="str">
        <f t="shared" si="702"/>
        <v/>
      </c>
      <c r="D1060" s="150" t="str">
        <f>IF(E1060="","",Input!$C$4+B1060-1)</f>
        <v/>
      </c>
      <c r="E1060" s="150" t="str">
        <f>IF(OR(AND(C1059=12,D1059=Input!$C$6),E1059=""),"",1)</f>
        <v/>
      </c>
      <c r="F1060" s="150" t="str">
        <f>IF(E1060="","",Input!$C$8+B1060-1)</f>
        <v/>
      </c>
      <c r="G1060" s="151" t="str">
        <f>IF(E1060="","",MAX(0,Input!$C$9-B1060))</f>
        <v/>
      </c>
      <c r="H1060" s="152" t="str">
        <f>IF(E1060="","",Input!$C$3)</f>
        <v/>
      </c>
      <c r="I1060" s="153" t="str">
        <f>IF(E1060="","",HLOOKUP($B1060,Input!$C$13:$BT$14,2))</f>
        <v/>
      </c>
      <c r="J1060" s="154"/>
      <c r="K1060" s="155" t="str">
        <f>IF($E1060="","",INDEX(Input!$C$16:$CP$16,1,$B1060))</f>
        <v/>
      </c>
      <c r="L1060" s="155" t="str">
        <f>IF($E1060="","",Input!$C$37)</f>
        <v/>
      </c>
      <c r="M1060" s="155" t="str">
        <f t="shared" si="671"/>
        <v/>
      </c>
      <c r="N1060" s="155" t="str">
        <f t="shared" si="672"/>
        <v/>
      </c>
      <c r="O1060" s="147" t="str">
        <f>IF($E1060="","",MIN(VLOOKUP(IF($B1060&lt;=Input!$C$7,$B1060,26),'Mortality Tables'!$A$41:$CW$67,IF($B1060&lt;=Input!$C$7+1,Input!$C$4+2,$D1060-Input!$C$7+2),0)*IF(B1060&gt;20,Input!$C$22,1)/1000,1))</f>
        <v/>
      </c>
      <c r="P1060" s="147" t="str">
        <f>IF($E1060="","",MIN(VLOOKUP(IF($B1060&lt;=Input!$C$7,$B1060,26),'Mortality Tables'!$A$12:$CW$37,IF($B1060&lt;=Input!$C$7+1,Input!$C$4+2,$D1060-Input!$C$7+2),0)*IF(B1060&gt;20,Input!$C$22,1)/1000,1))</f>
        <v/>
      </c>
      <c r="Q1060" s="155" t="str">
        <f>IF($E1060="","",Input!$C$21)</f>
        <v/>
      </c>
      <c r="R1060" s="159" t="str">
        <f>IF($E1060="","",(1-Q1060)^($F1060-Input!$C$20))</f>
        <v/>
      </c>
      <c r="S1060" s="147" t="str">
        <f t="shared" si="674"/>
        <v/>
      </c>
      <c r="T1060" s="147" t="str">
        <f t="shared" si="675"/>
        <v/>
      </c>
      <c r="U1060" s="160" t="str">
        <f>IF($E1060="","",IF($C1060=12,INDEX(Input!$C$15:$CP$15,1,$B1060),0))</f>
        <v/>
      </c>
      <c r="V1060" s="150" t="str">
        <f>IF(E1060="","",IF(C1060=1,IF($B1060=1,Input!$C$33,Input!$C$34),0))</f>
        <v/>
      </c>
      <c r="W1060" s="156" t="str">
        <f>IF($E1060="","",Input!$C$35)</f>
        <v/>
      </c>
      <c r="X1060" s="156" t="str">
        <f t="shared" si="673"/>
        <v/>
      </c>
      <c r="Y1060" s="154"/>
      <c r="Z1060" s="147" t="str">
        <f>IF($E1060="","",VLOOKUP($D1060,'Mortality Margins &amp; Grading'!$AB$5:$AF$125,3,0)*IF(Summary!$D$25="Included Margin",IF(AND($B1060&gt;Input!$C$9,Summary!$D$31&lt;&gt;"Included Margin"),0,1),0))</f>
        <v/>
      </c>
      <c r="AA1060" s="147" t="str">
        <f>IF($E1060="","",VLOOKUP($D1060,'Mortality Margins &amp; Grading'!$AB$5:$AF$125,5,0)*IF(Summary!$D$25="Included Margin",IF(AND($B1060&gt;Input!$C$9,Summary!$D$31&lt;&gt;"Included Margin"),0,1),0))</f>
        <v/>
      </c>
      <c r="AB1060" s="147" t="str">
        <f>IF($E1060="","",IF(AND($B1060&gt;Input!$C$9,Summary!$D$31&lt;&gt;"Included Margin"),1,IF(Summary!$D$25="Included Margin",VLOOKUP($B1060,'Mortality Margins &amp; Grading'!$AI$5:$AR$125,MATCH('Mortality Margins &amp; Grading'!$AQ$4,'Mortality Margins &amp; Grading'!$AI$4:$AR$4,0),0),1)))</f>
        <v/>
      </c>
      <c r="AC1060" s="154"/>
      <c r="AD1060" s="158" t="str">
        <f>IF(E1060="","",Input!$C$48*IF(Summary!$D$30="Included Margin",IF(AND($B1060&gt;Input!$C$9,Summary!$D$31&lt;&gt;"Included Margin"),0,1),0))</f>
        <v/>
      </c>
      <c r="AE1060" s="159" t="str">
        <f>IF(E1060="","",IF(Summary!$D$26="Included Margin",IF(AND($B1060&gt;Input!$C$9,Summary!$D$31&lt;&gt;"Included Margin"),1,1/$R1060),1))</f>
        <v/>
      </c>
      <c r="AF1060" s="160" t="str">
        <f>IF(E1060="","",IF(AND($B1060&gt;=Input!$C$9,$C1060=12,Summary!$D$31="Included Margin",$U1060&gt;0),1/U1060-1,IF($B1060&gt;=Input!$C$9,0,Input!$C$45*IF(Summary!$D$27="Included Margin",1,0))))</f>
        <v/>
      </c>
      <c r="AG1060" s="160" t="str">
        <f>IF(E1060="","",Input!$C$46*IF(Summary!$D$28="Included Margin",IF(AND($B1060&gt;Input!$C$9,Summary!$D$31&lt;&gt;"Included Margin"),0,1),0))</f>
        <v/>
      </c>
      <c r="AH1060" s="158" t="str">
        <f>IF(E1060="","",Input!$C$47*IF(Summary!$D$29="Included Margin",IF(AND($B1060&gt;Input!$C$9,Summary!$D$31&lt;&gt;"Included Margin"),0,1),0))</f>
        <v/>
      </c>
      <c r="AI1060" s="154"/>
      <c r="AJ1060" s="158" t="str">
        <f t="shared" si="689"/>
        <v/>
      </c>
      <c r="AK1060" s="155" t="str">
        <f t="shared" si="690"/>
        <v/>
      </c>
      <c r="AL1060" s="147" t="str">
        <f t="shared" si="691"/>
        <v/>
      </c>
      <c r="AM1060" s="147" t="str">
        <f t="shared" si="676"/>
        <v/>
      </c>
      <c r="AN1060" s="160" t="str">
        <f t="shared" si="692"/>
        <v/>
      </c>
      <c r="AO1060" s="161" t="str">
        <f t="shared" si="693"/>
        <v/>
      </c>
      <c r="AP1060" s="156" t="str">
        <f t="shared" si="677"/>
        <v/>
      </c>
      <c r="AQ1060" s="152"/>
      <c r="AR1060" s="162" t="str">
        <f t="shared" si="678"/>
        <v/>
      </c>
      <c r="AS1060" s="150" t="str">
        <f t="shared" si="694"/>
        <v/>
      </c>
      <c r="AT1060" s="163" t="str">
        <f t="shared" si="679"/>
        <v/>
      </c>
      <c r="AU1060" s="163" t="str">
        <f t="shared" si="680"/>
        <v/>
      </c>
      <c r="AV1060" s="163" t="str">
        <f t="shared" si="695"/>
        <v/>
      </c>
      <c r="AW1060" s="163" t="str">
        <f t="shared" si="681"/>
        <v/>
      </c>
      <c r="AX1060" s="163" t="str">
        <f t="shared" si="682"/>
        <v/>
      </c>
      <c r="AY1060" s="165" t="str">
        <f t="shared" si="696"/>
        <v/>
      </c>
      <c r="AZ1060" s="164" t="str">
        <f>IF($E1060="","",IF(OR(AND($D1060=Input!$C$6,$C1060=12),$AN1060=1),0,-AS1061+AT1061+AU1061-AV1061-AW1061-AX1061+AZ1061))</f>
        <v/>
      </c>
      <c r="BA1060" s="154" t="str">
        <f t="shared" si="683"/>
        <v/>
      </c>
      <c r="BC1060" s="147" t="str">
        <f t="shared" si="697"/>
        <v/>
      </c>
      <c r="BD1060" s="164" t="str">
        <f>IF(AND($C1059=12,$D1059=Input!$C$6),0,IF($E1060="","",AT1060+(AU1060+BD1061)/(1+$AK1060)*MIN((1-AM1060-AN1060),1)))</f>
        <v/>
      </c>
      <c r="BE1060" s="164" t="str">
        <f t="shared" si="712"/>
        <v/>
      </c>
      <c r="BF1060" s="164" t="str">
        <f t="shared" si="698"/>
        <v/>
      </c>
      <c r="BG1060" s="164" t="str">
        <f t="shared" si="684"/>
        <v/>
      </c>
      <c r="BH1060" s="152"/>
      <c r="BI1060" s="162" t="str">
        <f t="shared" si="706"/>
        <v/>
      </c>
      <c r="BJ1060" s="150" t="str">
        <f t="shared" si="707"/>
        <v/>
      </c>
      <c r="BK1060" s="163" t="str">
        <f t="shared" si="703"/>
        <v/>
      </c>
      <c r="BL1060" s="163" t="str">
        <f t="shared" si="708"/>
        <v/>
      </c>
      <c r="BM1060" s="163" t="str">
        <f t="shared" si="704"/>
        <v/>
      </c>
      <c r="BN1060" s="163" t="str">
        <f t="shared" si="709"/>
        <v/>
      </c>
      <c r="BO1060" s="163" t="str">
        <f t="shared" si="710"/>
        <v/>
      </c>
      <c r="BP1060" s="164" t="str">
        <f t="shared" si="705"/>
        <v/>
      </c>
      <c r="BQ1060" s="164" t="str">
        <f t="shared" si="699"/>
        <v/>
      </c>
      <c r="BR1060" s="154" t="str">
        <f t="shared" si="711"/>
        <v/>
      </c>
      <c r="BT1060" s="147" t="str">
        <f t="shared" si="685"/>
        <v/>
      </c>
      <c r="BU1060" s="164" t="str">
        <f>IF(AND($C1059=12,$D1059=Input!$C$6),0,IF($E1060="","",BK1060+(BL1060+BU1061)/(1+$AK1060)*MIN((1-T1060-U1060),1)))</f>
        <v/>
      </c>
      <c r="BV1060" s="164" t="str">
        <f t="shared" si="686"/>
        <v/>
      </c>
      <c r="BW1060" s="164" t="str">
        <f t="shared" si="687"/>
        <v/>
      </c>
      <c r="BX1060" s="164" t="str">
        <f t="shared" si="688"/>
        <v/>
      </c>
    </row>
    <row r="1061" spans="1:76" s="150" customFormat="1" x14ac:dyDescent="0.25">
      <c r="A1061" s="150" t="str">
        <f t="shared" si="700"/>
        <v/>
      </c>
      <c r="B1061" s="150" t="str">
        <f t="shared" si="701"/>
        <v/>
      </c>
      <c r="C1061" s="150" t="str">
        <f t="shared" si="702"/>
        <v/>
      </c>
      <c r="D1061" s="150" t="str">
        <f>IF(E1061="","",Input!$C$4+B1061-1)</f>
        <v/>
      </c>
      <c r="E1061" s="150" t="str">
        <f>IF(OR(AND(C1060=12,D1060=Input!$C$6),E1060=""),"",1)</f>
        <v/>
      </c>
      <c r="F1061" s="150" t="str">
        <f>IF(E1061="","",Input!$C$8+B1061-1)</f>
        <v/>
      </c>
      <c r="G1061" s="151" t="str">
        <f>IF(E1061="","",MAX(0,Input!$C$9-B1061))</f>
        <v/>
      </c>
      <c r="H1061" s="152" t="str">
        <f>IF(E1061="","",Input!$C$3)</f>
        <v/>
      </c>
      <c r="I1061" s="153" t="str">
        <f>IF(E1061="","",HLOOKUP($B1061,Input!$C$13:$BT$14,2))</f>
        <v/>
      </c>
      <c r="J1061" s="154"/>
      <c r="K1061" s="155" t="str">
        <f>IF($E1061="","",INDEX(Input!$C$16:$CP$16,1,$B1061))</f>
        <v/>
      </c>
      <c r="L1061" s="155" t="str">
        <f>IF($E1061="","",Input!$C$37)</f>
        <v/>
      </c>
      <c r="M1061" s="155" t="str">
        <f t="shared" si="671"/>
        <v/>
      </c>
      <c r="N1061" s="155" t="str">
        <f t="shared" si="672"/>
        <v/>
      </c>
      <c r="O1061" s="147" t="str">
        <f>IF($E1061="","",MIN(VLOOKUP(IF($B1061&lt;=Input!$C$7,$B1061,26),'Mortality Tables'!$A$41:$CW$67,IF($B1061&lt;=Input!$C$7+1,Input!$C$4+2,$D1061-Input!$C$7+2),0)*IF(B1061&gt;20,Input!$C$22,1)/1000,1))</f>
        <v/>
      </c>
      <c r="P1061" s="147" t="str">
        <f>IF($E1061="","",MIN(VLOOKUP(IF($B1061&lt;=Input!$C$7,$B1061,26),'Mortality Tables'!$A$12:$CW$37,IF($B1061&lt;=Input!$C$7+1,Input!$C$4+2,$D1061-Input!$C$7+2),0)*IF(B1061&gt;20,Input!$C$22,1)/1000,1))</f>
        <v/>
      </c>
      <c r="Q1061" s="155" t="str">
        <f>IF($E1061="","",Input!$C$21)</f>
        <v/>
      </c>
      <c r="R1061" s="159" t="str">
        <f>IF($E1061="","",(1-Q1061)^($F1061-Input!$C$20))</f>
        <v/>
      </c>
      <c r="S1061" s="147" t="str">
        <f t="shared" si="674"/>
        <v/>
      </c>
      <c r="T1061" s="147" t="str">
        <f t="shared" si="675"/>
        <v/>
      </c>
      <c r="U1061" s="160" t="str">
        <f>IF($E1061="","",IF($C1061=12,INDEX(Input!$C$15:$CP$15,1,$B1061),0))</f>
        <v/>
      </c>
      <c r="V1061" s="150" t="str">
        <f>IF(E1061="","",IF(C1061=1,IF($B1061=1,Input!$C$33,Input!$C$34),0))</f>
        <v/>
      </c>
      <c r="W1061" s="156" t="str">
        <f>IF($E1061="","",Input!$C$35)</f>
        <v/>
      </c>
      <c r="X1061" s="156" t="str">
        <f t="shared" si="673"/>
        <v/>
      </c>
      <c r="Y1061" s="154"/>
      <c r="Z1061" s="147" t="str">
        <f>IF($E1061="","",VLOOKUP($D1061,'Mortality Margins &amp; Grading'!$AB$5:$AF$125,3,0)*IF(Summary!$D$25="Included Margin",IF(AND($B1061&gt;Input!$C$9,Summary!$D$31&lt;&gt;"Included Margin"),0,1),0))</f>
        <v/>
      </c>
      <c r="AA1061" s="147" t="str">
        <f>IF($E1061="","",VLOOKUP($D1061,'Mortality Margins &amp; Grading'!$AB$5:$AF$125,5,0)*IF(Summary!$D$25="Included Margin",IF(AND($B1061&gt;Input!$C$9,Summary!$D$31&lt;&gt;"Included Margin"),0,1),0))</f>
        <v/>
      </c>
      <c r="AB1061" s="147" t="str">
        <f>IF($E1061="","",IF(AND($B1061&gt;Input!$C$9,Summary!$D$31&lt;&gt;"Included Margin"),1,IF(Summary!$D$25="Included Margin",VLOOKUP($B1061,'Mortality Margins &amp; Grading'!$AI$5:$AR$125,MATCH('Mortality Margins &amp; Grading'!$AQ$4,'Mortality Margins &amp; Grading'!$AI$4:$AR$4,0),0),1)))</f>
        <v/>
      </c>
      <c r="AC1061" s="154"/>
      <c r="AD1061" s="158" t="str">
        <f>IF(E1061="","",Input!$C$48*IF(Summary!$D$30="Included Margin",IF(AND($B1061&gt;Input!$C$9,Summary!$D$31&lt;&gt;"Included Margin"),0,1),0))</f>
        <v/>
      </c>
      <c r="AE1061" s="159" t="str">
        <f>IF(E1061="","",IF(Summary!$D$26="Included Margin",IF(AND($B1061&gt;Input!$C$9,Summary!$D$31&lt;&gt;"Included Margin"),1,1/$R1061),1))</f>
        <v/>
      </c>
      <c r="AF1061" s="160" t="str">
        <f>IF(E1061="","",IF(AND($B1061&gt;=Input!$C$9,$C1061=12,Summary!$D$31="Included Margin",$U1061&gt;0),1/U1061-1,IF($B1061&gt;=Input!$C$9,0,Input!$C$45*IF(Summary!$D$27="Included Margin",1,0))))</f>
        <v/>
      </c>
      <c r="AG1061" s="160" t="str">
        <f>IF(E1061="","",Input!$C$46*IF(Summary!$D$28="Included Margin",IF(AND($B1061&gt;Input!$C$9,Summary!$D$31&lt;&gt;"Included Margin"),0,1),0))</f>
        <v/>
      </c>
      <c r="AH1061" s="158" t="str">
        <f>IF(E1061="","",Input!$C$47*IF(Summary!$D$29="Included Margin",IF(AND($B1061&gt;Input!$C$9,Summary!$D$31&lt;&gt;"Included Margin"),0,1),0))</f>
        <v/>
      </c>
      <c r="AI1061" s="154"/>
      <c r="AJ1061" s="158" t="str">
        <f t="shared" si="689"/>
        <v/>
      </c>
      <c r="AK1061" s="155" t="str">
        <f t="shared" si="690"/>
        <v/>
      </c>
      <c r="AL1061" s="147" t="str">
        <f t="shared" si="691"/>
        <v/>
      </c>
      <c r="AM1061" s="147" t="str">
        <f t="shared" si="676"/>
        <v/>
      </c>
      <c r="AN1061" s="160" t="str">
        <f t="shared" si="692"/>
        <v/>
      </c>
      <c r="AO1061" s="161" t="str">
        <f t="shared" si="693"/>
        <v/>
      </c>
      <c r="AP1061" s="156" t="str">
        <f t="shared" si="677"/>
        <v/>
      </c>
      <c r="AQ1061" s="152"/>
      <c r="AR1061" s="162" t="str">
        <f t="shared" si="678"/>
        <v/>
      </c>
      <c r="AS1061" s="150" t="str">
        <f t="shared" si="694"/>
        <v/>
      </c>
      <c r="AT1061" s="163" t="str">
        <f t="shared" si="679"/>
        <v/>
      </c>
      <c r="AU1061" s="163" t="str">
        <f t="shared" si="680"/>
        <v/>
      </c>
      <c r="AV1061" s="163" t="str">
        <f t="shared" si="695"/>
        <v/>
      </c>
      <c r="AW1061" s="163" t="str">
        <f t="shared" si="681"/>
        <v/>
      </c>
      <c r="AX1061" s="163" t="str">
        <f t="shared" si="682"/>
        <v/>
      </c>
      <c r="AY1061" s="164" t="str">
        <f t="shared" si="696"/>
        <v/>
      </c>
      <c r="AZ1061" s="164" t="str">
        <f>IF($E1061="","",IF(OR(AND($D1061=Input!$C$6,$C1061=12),$AN1061=1),0,-AS1062+AT1062+AU1062-AV1062-AW1062-AX1062+AZ1062))</f>
        <v/>
      </c>
      <c r="BA1061" s="154" t="str">
        <f t="shared" si="683"/>
        <v/>
      </c>
      <c r="BC1061" s="147" t="str">
        <f t="shared" si="697"/>
        <v/>
      </c>
      <c r="BD1061" s="164" t="str">
        <f>IF(AND($C1060=12,$D1060=Input!$C$6),0,IF($E1061="","",AT1061+(AU1061+BD1062)/(1+$AK1061)*MIN((1-AM1061-AN1061),1)))</f>
        <v/>
      </c>
      <c r="BE1061" s="164" t="str">
        <f t="shared" si="712"/>
        <v/>
      </c>
      <c r="BF1061" s="164" t="str">
        <f t="shared" si="698"/>
        <v/>
      </c>
      <c r="BG1061" s="164" t="str">
        <f t="shared" si="684"/>
        <v/>
      </c>
      <c r="BH1061" s="152"/>
      <c r="BI1061" s="162" t="str">
        <f t="shared" si="706"/>
        <v/>
      </c>
      <c r="BJ1061" s="150" t="str">
        <f t="shared" si="707"/>
        <v/>
      </c>
      <c r="BK1061" s="163" t="str">
        <f t="shared" si="703"/>
        <v/>
      </c>
      <c r="BL1061" s="163" t="str">
        <f t="shared" si="708"/>
        <v/>
      </c>
      <c r="BM1061" s="163" t="str">
        <f t="shared" si="704"/>
        <v/>
      </c>
      <c r="BN1061" s="163" t="str">
        <f t="shared" si="709"/>
        <v/>
      </c>
      <c r="BO1061" s="163" t="str">
        <f t="shared" si="710"/>
        <v/>
      </c>
      <c r="BP1061" s="164" t="str">
        <f t="shared" si="705"/>
        <v/>
      </c>
      <c r="BQ1061" s="164" t="str">
        <f t="shared" si="699"/>
        <v/>
      </c>
      <c r="BR1061" s="154" t="str">
        <f t="shared" si="711"/>
        <v/>
      </c>
      <c r="BT1061" s="147" t="str">
        <f t="shared" si="685"/>
        <v/>
      </c>
      <c r="BU1061" s="164" t="str">
        <f>IF(AND($C1060=12,$D1060=Input!$C$6),0,IF($E1061="","",BK1061+(BL1061+BU1062)/(1+$AK1061)*MIN((1-T1061-U1061),1)))</f>
        <v/>
      </c>
      <c r="BV1061" s="164" t="str">
        <f t="shared" si="686"/>
        <v/>
      </c>
      <c r="BW1061" s="164" t="str">
        <f t="shared" si="687"/>
        <v/>
      </c>
      <c r="BX1061" s="164" t="str">
        <f t="shared" si="688"/>
        <v/>
      </c>
    </row>
    <row r="1062" spans="1:76" s="150" customFormat="1" x14ac:dyDescent="0.25">
      <c r="A1062" s="150" t="str">
        <f t="shared" si="700"/>
        <v/>
      </c>
      <c r="B1062" s="150" t="str">
        <f t="shared" si="701"/>
        <v/>
      </c>
      <c r="C1062" s="150" t="str">
        <f t="shared" si="702"/>
        <v/>
      </c>
      <c r="D1062" s="150" t="str">
        <f>IF(E1062="","",Input!$C$4+B1062-1)</f>
        <v/>
      </c>
      <c r="E1062" s="150" t="str">
        <f>IF(OR(AND(C1061=12,D1061=Input!$C$6),E1061=""),"",1)</f>
        <v/>
      </c>
      <c r="F1062" s="150" t="str">
        <f>IF(E1062="","",Input!$C$8+B1062-1)</f>
        <v/>
      </c>
      <c r="G1062" s="151" t="str">
        <f>IF(E1062="","",MAX(0,Input!$C$9-B1062))</f>
        <v/>
      </c>
      <c r="H1062" s="152" t="str">
        <f>IF(E1062="","",Input!$C$3)</f>
        <v/>
      </c>
      <c r="I1062" s="153" t="str">
        <f>IF(E1062="","",HLOOKUP($B1062,Input!$C$13:$BT$14,2))</f>
        <v/>
      </c>
      <c r="J1062" s="154"/>
      <c r="K1062" s="155" t="str">
        <f>IF($E1062="","",INDEX(Input!$C$16:$CP$16,1,$B1062))</f>
        <v/>
      </c>
      <c r="L1062" s="155" t="str">
        <f>IF($E1062="","",Input!$C$37)</f>
        <v/>
      </c>
      <c r="M1062" s="155" t="str">
        <f t="shared" si="671"/>
        <v/>
      </c>
      <c r="N1062" s="155" t="str">
        <f t="shared" si="672"/>
        <v/>
      </c>
      <c r="O1062" s="147" t="str">
        <f>IF($E1062="","",MIN(VLOOKUP(IF($B1062&lt;=Input!$C$7,$B1062,26),'Mortality Tables'!$A$41:$CW$67,IF($B1062&lt;=Input!$C$7+1,Input!$C$4+2,$D1062-Input!$C$7+2),0)*IF(B1062&gt;20,Input!$C$22,1)/1000,1))</f>
        <v/>
      </c>
      <c r="P1062" s="147" t="str">
        <f>IF($E1062="","",MIN(VLOOKUP(IF($B1062&lt;=Input!$C$7,$B1062,26),'Mortality Tables'!$A$12:$CW$37,IF($B1062&lt;=Input!$C$7+1,Input!$C$4+2,$D1062-Input!$C$7+2),0)*IF(B1062&gt;20,Input!$C$22,1)/1000,1))</f>
        <v/>
      </c>
      <c r="Q1062" s="155" t="str">
        <f>IF($E1062="","",Input!$C$21)</f>
        <v/>
      </c>
      <c r="R1062" s="159" t="str">
        <f>IF($E1062="","",(1-Q1062)^($F1062-Input!$C$20))</f>
        <v/>
      </c>
      <c r="S1062" s="147" t="str">
        <f t="shared" si="674"/>
        <v/>
      </c>
      <c r="T1062" s="147" t="str">
        <f t="shared" si="675"/>
        <v/>
      </c>
      <c r="U1062" s="160" t="str">
        <f>IF($E1062="","",IF($C1062=12,INDEX(Input!$C$15:$CP$15,1,$B1062),0))</f>
        <v/>
      </c>
      <c r="V1062" s="150" t="str">
        <f>IF(E1062="","",IF(C1062=1,IF($B1062=1,Input!$C$33,Input!$C$34),0))</f>
        <v/>
      </c>
      <c r="W1062" s="156" t="str">
        <f>IF($E1062="","",Input!$C$35)</f>
        <v/>
      </c>
      <c r="X1062" s="156" t="str">
        <f t="shared" si="673"/>
        <v/>
      </c>
      <c r="Y1062" s="154"/>
      <c r="Z1062" s="147" t="str">
        <f>IF($E1062="","",VLOOKUP($D1062,'Mortality Margins &amp; Grading'!$AB$5:$AF$125,3,0)*IF(Summary!$D$25="Included Margin",IF(AND($B1062&gt;Input!$C$9,Summary!$D$31&lt;&gt;"Included Margin"),0,1),0))</f>
        <v/>
      </c>
      <c r="AA1062" s="147" t="str">
        <f>IF($E1062="","",VLOOKUP($D1062,'Mortality Margins &amp; Grading'!$AB$5:$AF$125,5,0)*IF(Summary!$D$25="Included Margin",IF(AND($B1062&gt;Input!$C$9,Summary!$D$31&lt;&gt;"Included Margin"),0,1),0))</f>
        <v/>
      </c>
      <c r="AB1062" s="147" t="str">
        <f>IF($E1062="","",IF(AND($B1062&gt;Input!$C$9,Summary!$D$31&lt;&gt;"Included Margin"),1,IF(Summary!$D$25="Included Margin",VLOOKUP($B1062,'Mortality Margins &amp; Grading'!$AI$5:$AR$125,MATCH('Mortality Margins &amp; Grading'!$AQ$4,'Mortality Margins &amp; Grading'!$AI$4:$AR$4,0),0),1)))</f>
        <v/>
      </c>
      <c r="AC1062" s="154"/>
      <c r="AD1062" s="158" t="str">
        <f>IF(E1062="","",Input!$C$48*IF(Summary!$D$30="Included Margin",IF(AND($B1062&gt;Input!$C$9,Summary!$D$31&lt;&gt;"Included Margin"),0,1),0))</f>
        <v/>
      </c>
      <c r="AE1062" s="159" t="str">
        <f>IF(E1062="","",IF(Summary!$D$26="Included Margin",IF(AND($B1062&gt;Input!$C$9,Summary!$D$31&lt;&gt;"Included Margin"),1,1/$R1062),1))</f>
        <v/>
      </c>
      <c r="AF1062" s="160" t="str">
        <f>IF(E1062="","",IF(AND($B1062&gt;=Input!$C$9,$C1062=12,Summary!$D$31="Included Margin",$U1062&gt;0),1/U1062-1,IF($B1062&gt;=Input!$C$9,0,Input!$C$45*IF(Summary!$D$27="Included Margin",1,0))))</f>
        <v/>
      </c>
      <c r="AG1062" s="160" t="str">
        <f>IF(E1062="","",Input!$C$46*IF(Summary!$D$28="Included Margin",IF(AND($B1062&gt;Input!$C$9,Summary!$D$31&lt;&gt;"Included Margin"),0,1),0))</f>
        <v/>
      </c>
      <c r="AH1062" s="158" t="str">
        <f>IF(E1062="","",Input!$C$47*IF(Summary!$D$29="Included Margin",IF(AND($B1062&gt;Input!$C$9,Summary!$D$31&lt;&gt;"Included Margin"),0,1),0))</f>
        <v/>
      </c>
      <c r="AI1062" s="154"/>
      <c r="AJ1062" s="158" t="str">
        <f t="shared" si="689"/>
        <v/>
      </c>
      <c r="AK1062" s="155" t="str">
        <f t="shared" si="690"/>
        <v/>
      </c>
      <c r="AL1062" s="147" t="str">
        <f t="shared" si="691"/>
        <v/>
      </c>
      <c r="AM1062" s="147" t="str">
        <f t="shared" si="676"/>
        <v/>
      </c>
      <c r="AN1062" s="160" t="str">
        <f t="shared" si="692"/>
        <v/>
      </c>
      <c r="AO1062" s="161" t="str">
        <f t="shared" si="693"/>
        <v/>
      </c>
      <c r="AP1062" s="156" t="str">
        <f t="shared" si="677"/>
        <v/>
      </c>
      <c r="AQ1062" s="152"/>
      <c r="AR1062" s="162" t="str">
        <f t="shared" si="678"/>
        <v/>
      </c>
      <c r="AS1062" s="150" t="str">
        <f t="shared" si="694"/>
        <v/>
      </c>
      <c r="AT1062" s="163" t="str">
        <f t="shared" si="679"/>
        <v/>
      </c>
      <c r="AU1062" s="163" t="str">
        <f t="shared" si="680"/>
        <v/>
      </c>
      <c r="AV1062" s="163" t="str">
        <f t="shared" si="695"/>
        <v/>
      </c>
      <c r="AW1062" s="163" t="str">
        <f t="shared" si="681"/>
        <v/>
      </c>
      <c r="AX1062" s="163" t="str">
        <f t="shared" si="682"/>
        <v/>
      </c>
      <c r="AY1062" s="165" t="str">
        <f t="shared" si="696"/>
        <v/>
      </c>
      <c r="AZ1062" s="164" t="str">
        <f>IF($E1062="","",IF(OR(AND($D1062=Input!$C$6,$C1062=12),$AN1062=1),0,-AS1063+AT1063+AU1063-AV1063-AW1063-AX1063+AZ1063))</f>
        <v/>
      </c>
      <c r="BA1062" s="154" t="str">
        <f t="shared" si="683"/>
        <v/>
      </c>
      <c r="BC1062" s="147" t="str">
        <f t="shared" si="697"/>
        <v/>
      </c>
      <c r="BD1062" s="164" t="str">
        <f>IF(AND($C1061=12,$D1061=Input!$C$6),0,IF($E1062="","",AT1062+(AU1062+BD1063)/(1+$AK1062)*MIN((1-AM1062-AN1062),1)))</f>
        <v/>
      </c>
      <c r="BE1062" s="164" t="str">
        <f t="shared" si="712"/>
        <v/>
      </c>
      <c r="BF1062" s="164" t="str">
        <f t="shared" si="698"/>
        <v/>
      </c>
      <c r="BG1062" s="164" t="str">
        <f t="shared" si="684"/>
        <v/>
      </c>
      <c r="BH1062" s="152"/>
      <c r="BI1062" s="162" t="str">
        <f t="shared" si="706"/>
        <v/>
      </c>
      <c r="BJ1062" s="150" t="str">
        <f t="shared" si="707"/>
        <v/>
      </c>
      <c r="BK1062" s="163" t="str">
        <f t="shared" si="703"/>
        <v/>
      </c>
      <c r="BL1062" s="163" t="str">
        <f t="shared" si="708"/>
        <v/>
      </c>
      <c r="BM1062" s="163" t="str">
        <f t="shared" si="704"/>
        <v/>
      </c>
      <c r="BN1062" s="163" t="str">
        <f t="shared" si="709"/>
        <v/>
      </c>
      <c r="BO1062" s="163" t="str">
        <f t="shared" si="710"/>
        <v/>
      </c>
      <c r="BP1062" s="164" t="str">
        <f t="shared" si="705"/>
        <v/>
      </c>
      <c r="BQ1062" s="164" t="str">
        <f t="shared" si="699"/>
        <v/>
      </c>
      <c r="BR1062" s="154" t="str">
        <f t="shared" si="711"/>
        <v/>
      </c>
      <c r="BT1062" s="147" t="str">
        <f t="shared" si="685"/>
        <v/>
      </c>
      <c r="BU1062" s="164" t="str">
        <f>IF(AND($C1061=12,$D1061=Input!$C$6),0,IF($E1062="","",BK1062+(BL1062+BU1063)/(1+$AK1062)*MIN((1-T1062-U1062),1)))</f>
        <v/>
      </c>
      <c r="BV1062" s="164" t="str">
        <f t="shared" si="686"/>
        <v/>
      </c>
      <c r="BW1062" s="164" t="str">
        <f t="shared" si="687"/>
        <v/>
      </c>
      <c r="BX1062" s="164" t="str">
        <f t="shared" si="688"/>
        <v/>
      </c>
    </row>
    <row r="1063" spans="1:76" s="150" customFormat="1" x14ac:dyDescent="0.25">
      <c r="A1063" s="150" t="str">
        <f t="shared" si="700"/>
        <v/>
      </c>
      <c r="B1063" s="150" t="str">
        <f t="shared" si="701"/>
        <v/>
      </c>
      <c r="C1063" s="150" t="str">
        <f t="shared" si="702"/>
        <v/>
      </c>
      <c r="D1063" s="150" t="str">
        <f>IF(E1063="","",Input!$C$4+B1063-1)</f>
        <v/>
      </c>
      <c r="E1063" s="150" t="str">
        <f>IF(OR(AND(C1062=12,D1062=Input!$C$6),E1062=""),"",1)</f>
        <v/>
      </c>
      <c r="F1063" s="150" t="str">
        <f>IF(E1063="","",Input!$C$8+B1063-1)</f>
        <v/>
      </c>
      <c r="G1063" s="151" t="str">
        <f>IF(E1063="","",MAX(0,Input!$C$9-B1063))</f>
        <v/>
      </c>
      <c r="H1063" s="152" t="str">
        <f>IF(E1063="","",Input!$C$3)</f>
        <v/>
      </c>
      <c r="I1063" s="153" t="str">
        <f>IF(E1063="","",HLOOKUP($B1063,Input!$C$13:$BT$14,2))</f>
        <v/>
      </c>
      <c r="J1063" s="154"/>
      <c r="K1063" s="155" t="str">
        <f>IF($E1063="","",INDEX(Input!$C$16:$CP$16,1,$B1063))</f>
        <v/>
      </c>
      <c r="L1063" s="155" t="str">
        <f>IF($E1063="","",Input!$C$37)</f>
        <v/>
      </c>
      <c r="M1063" s="155" t="str">
        <f t="shared" si="671"/>
        <v/>
      </c>
      <c r="N1063" s="155" t="str">
        <f t="shared" si="672"/>
        <v/>
      </c>
      <c r="O1063" s="147" t="str">
        <f>IF($E1063="","",MIN(VLOOKUP(IF($B1063&lt;=Input!$C$7,$B1063,26),'Mortality Tables'!$A$41:$CW$67,IF($B1063&lt;=Input!$C$7+1,Input!$C$4+2,$D1063-Input!$C$7+2),0)*IF(B1063&gt;20,Input!$C$22,1)/1000,1))</f>
        <v/>
      </c>
      <c r="P1063" s="147" t="str">
        <f>IF($E1063="","",MIN(VLOOKUP(IF($B1063&lt;=Input!$C$7,$B1063,26),'Mortality Tables'!$A$12:$CW$37,IF($B1063&lt;=Input!$C$7+1,Input!$C$4+2,$D1063-Input!$C$7+2),0)*IF(B1063&gt;20,Input!$C$22,1)/1000,1))</f>
        <v/>
      </c>
      <c r="Q1063" s="155" t="str">
        <f>IF($E1063="","",Input!$C$21)</f>
        <v/>
      </c>
      <c r="R1063" s="159" t="str">
        <f>IF($E1063="","",(1-Q1063)^($F1063-Input!$C$20))</f>
        <v/>
      </c>
      <c r="S1063" s="147" t="str">
        <f t="shared" si="674"/>
        <v/>
      </c>
      <c r="T1063" s="147" t="str">
        <f t="shared" si="675"/>
        <v/>
      </c>
      <c r="U1063" s="160" t="str">
        <f>IF($E1063="","",IF($C1063=12,INDEX(Input!$C$15:$CP$15,1,$B1063),0))</f>
        <v/>
      </c>
      <c r="V1063" s="150" t="str">
        <f>IF(E1063="","",IF(C1063=1,IF($B1063=1,Input!$C$33,Input!$C$34),0))</f>
        <v/>
      </c>
      <c r="W1063" s="156" t="str">
        <f>IF($E1063="","",Input!$C$35)</f>
        <v/>
      </c>
      <c r="X1063" s="156" t="str">
        <f t="shared" si="673"/>
        <v/>
      </c>
      <c r="Y1063" s="154"/>
      <c r="Z1063" s="147" t="str">
        <f>IF($E1063="","",VLOOKUP($D1063,'Mortality Margins &amp; Grading'!$AB$5:$AF$125,3,0)*IF(Summary!$D$25="Included Margin",IF(AND($B1063&gt;Input!$C$9,Summary!$D$31&lt;&gt;"Included Margin"),0,1),0))</f>
        <v/>
      </c>
      <c r="AA1063" s="147" t="str">
        <f>IF($E1063="","",VLOOKUP($D1063,'Mortality Margins &amp; Grading'!$AB$5:$AF$125,5,0)*IF(Summary!$D$25="Included Margin",IF(AND($B1063&gt;Input!$C$9,Summary!$D$31&lt;&gt;"Included Margin"),0,1),0))</f>
        <v/>
      </c>
      <c r="AB1063" s="147" t="str">
        <f>IF($E1063="","",IF(AND($B1063&gt;Input!$C$9,Summary!$D$31&lt;&gt;"Included Margin"),1,IF(Summary!$D$25="Included Margin",VLOOKUP($B1063,'Mortality Margins &amp; Grading'!$AI$5:$AR$125,MATCH('Mortality Margins &amp; Grading'!$AQ$4,'Mortality Margins &amp; Grading'!$AI$4:$AR$4,0),0),1)))</f>
        <v/>
      </c>
      <c r="AC1063" s="154"/>
      <c r="AD1063" s="158" t="str">
        <f>IF(E1063="","",Input!$C$48*IF(Summary!$D$30="Included Margin",IF(AND($B1063&gt;Input!$C$9,Summary!$D$31&lt;&gt;"Included Margin"),0,1),0))</f>
        <v/>
      </c>
      <c r="AE1063" s="159" t="str">
        <f>IF(E1063="","",IF(Summary!$D$26="Included Margin",IF(AND($B1063&gt;Input!$C$9,Summary!$D$31&lt;&gt;"Included Margin"),1,1/$R1063),1))</f>
        <v/>
      </c>
      <c r="AF1063" s="160" t="str">
        <f>IF(E1063="","",IF(AND($B1063&gt;=Input!$C$9,$C1063=12,Summary!$D$31="Included Margin",$U1063&gt;0),1/U1063-1,IF($B1063&gt;=Input!$C$9,0,Input!$C$45*IF(Summary!$D$27="Included Margin",1,0))))</f>
        <v/>
      </c>
      <c r="AG1063" s="160" t="str">
        <f>IF(E1063="","",Input!$C$46*IF(Summary!$D$28="Included Margin",IF(AND($B1063&gt;Input!$C$9,Summary!$D$31&lt;&gt;"Included Margin"),0,1),0))</f>
        <v/>
      </c>
      <c r="AH1063" s="158" t="str">
        <f>IF(E1063="","",Input!$C$47*IF(Summary!$D$29="Included Margin",IF(AND($B1063&gt;Input!$C$9,Summary!$D$31&lt;&gt;"Included Margin"),0,1),0))</f>
        <v/>
      </c>
      <c r="AI1063" s="154"/>
      <c r="AJ1063" s="158" t="str">
        <f t="shared" si="689"/>
        <v/>
      </c>
      <c r="AK1063" s="155" t="str">
        <f t="shared" si="690"/>
        <v/>
      </c>
      <c r="AL1063" s="147" t="str">
        <f t="shared" si="691"/>
        <v/>
      </c>
      <c r="AM1063" s="147" t="str">
        <f t="shared" si="676"/>
        <v/>
      </c>
      <c r="AN1063" s="160" t="str">
        <f t="shared" si="692"/>
        <v/>
      </c>
      <c r="AO1063" s="161" t="str">
        <f t="shared" si="693"/>
        <v/>
      </c>
      <c r="AP1063" s="156" t="str">
        <f t="shared" si="677"/>
        <v/>
      </c>
      <c r="AQ1063" s="152"/>
      <c r="AR1063" s="162" t="str">
        <f t="shared" si="678"/>
        <v/>
      </c>
      <c r="AS1063" s="150" t="str">
        <f t="shared" si="694"/>
        <v/>
      </c>
      <c r="AT1063" s="163" t="str">
        <f t="shared" si="679"/>
        <v/>
      </c>
      <c r="AU1063" s="163" t="str">
        <f t="shared" si="680"/>
        <v/>
      </c>
      <c r="AV1063" s="163" t="str">
        <f t="shared" si="695"/>
        <v/>
      </c>
      <c r="AW1063" s="163" t="str">
        <f t="shared" si="681"/>
        <v/>
      </c>
      <c r="AX1063" s="163" t="str">
        <f t="shared" si="682"/>
        <v/>
      </c>
      <c r="AY1063" s="164" t="str">
        <f t="shared" si="696"/>
        <v/>
      </c>
      <c r="AZ1063" s="164" t="str">
        <f>IF($E1063="","",IF(OR(AND($D1063=Input!$C$6,$C1063=12),$AN1063=1),0,-AS1064+AT1064+AU1064-AV1064-AW1064-AX1064+AZ1064))</f>
        <v/>
      </c>
      <c r="BA1063" s="154" t="str">
        <f t="shared" si="683"/>
        <v/>
      </c>
      <c r="BC1063" s="147" t="str">
        <f t="shared" si="697"/>
        <v/>
      </c>
      <c r="BD1063" s="164" t="str">
        <f>IF(AND($C1062=12,$D1062=Input!$C$6),0,IF($E1063="","",AT1063+(AU1063+BD1064)/(1+$AK1063)*MIN((1-AM1063-AN1063),1)))</f>
        <v/>
      </c>
      <c r="BE1063" s="164" t="str">
        <f t="shared" si="712"/>
        <v/>
      </c>
      <c r="BF1063" s="164" t="str">
        <f t="shared" si="698"/>
        <v/>
      </c>
      <c r="BG1063" s="164" t="str">
        <f t="shared" si="684"/>
        <v/>
      </c>
      <c r="BH1063" s="152"/>
      <c r="BI1063" s="162" t="str">
        <f t="shared" si="706"/>
        <v/>
      </c>
      <c r="BJ1063" s="150" t="str">
        <f t="shared" si="707"/>
        <v/>
      </c>
      <c r="BK1063" s="163" t="str">
        <f t="shared" si="703"/>
        <v/>
      </c>
      <c r="BL1063" s="163" t="str">
        <f t="shared" si="708"/>
        <v/>
      </c>
      <c r="BM1063" s="163" t="str">
        <f t="shared" si="704"/>
        <v/>
      </c>
      <c r="BN1063" s="163" t="str">
        <f t="shared" si="709"/>
        <v/>
      </c>
      <c r="BO1063" s="163" t="str">
        <f t="shared" si="710"/>
        <v/>
      </c>
      <c r="BP1063" s="164" t="str">
        <f t="shared" si="705"/>
        <v/>
      </c>
      <c r="BQ1063" s="164" t="str">
        <f t="shared" si="699"/>
        <v/>
      </c>
      <c r="BR1063" s="154" t="str">
        <f t="shared" si="711"/>
        <v/>
      </c>
      <c r="BT1063" s="147" t="str">
        <f t="shared" si="685"/>
        <v/>
      </c>
      <c r="BU1063" s="164" t="str">
        <f>IF(AND($C1062=12,$D1062=Input!$C$6),0,IF($E1063="","",BK1063+(BL1063+BU1064)/(1+$AK1063)*MIN((1-T1063-U1063),1)))</f>
        <v/>
      </c>
      <c r="BV1063" s="164" t="str">
        <f t="shared" si="686"/>
        <v/>
      </c>
      <c r="BW1063" s="164" t="str">
        <f t="shared" si="687"/>
        <v/>
      </c>
      <c r="BX1063" s="164" t="str">
        <f t="shared" si="688"/>
        <v/>
      </c>
    </row>
    <row r="1064" spans="1:76" s="150" customFormat="1" x14ac:dyDescent="0.25">
      <c r="A1064" s="150" t="str">
        <f t="shared" si="700"/>
        <v/>
      </c>
      <c r="B1064" s="150" t="str">
        <f t="shared" si="701"/>
        <v/>
      </c>
      <c r="C1064" s="150" t="str">
        <f t="shared" si="702"/>
        <v/>
      </c>
      <c r="D1064" s="150" t="str">
        <f>IF(E1064="","",Input!$C$4+B1064-1)</f>
        <v/>
      </c>
      <c r="E1064" s="150" t="str">
        <f>IF(OR(AND(C1063=12,D1063=Input!$C$6),E1063=""),"",1)</f>
        <v/>
      </c>
      <c r="F1064" s="150" t="str">
        <f>IF(E1064="","",Input!$C$8+B1064-1)</f>
        <v/>
      </c>
      <c r="G1064" s="151" t="str">
        <f>IF(E1064="","",MAX(0,Input!$C$9-B1064))</f>
        <v/>
      </c>
      <c r="H1064" s="152" t="str">
        <f>IF(E1064="","",Input!$C$3)</f>
        <v/>
      </c>
      <c r="I1064" s="153" t="str">
        <f>IF(E1064="","",HLOOKUP($B1064,Input!$C$13:$BT$14,2))</f>
        <v/>
      </c>
      <c r="J1064" s="154"/>
      <c r="K1064" s="155" t="str">
        <f>IF($E1064="","",INDEX(Input!$C$16:$CP$16,1,$B1064))</f>
        <v/>
      </c>
      <c r="L1064" s="155" t="str">
        <f>IF($E1064="","",Input!$C$37)</f>
        <v/>
      </c>
      <c r="M1064" s="155" t="str">
        <f t="shared" si="671"/>
        <v/>
      </c>
      <c r="N1064" s="155" t="str">
        <f t="shared" si="672"/>
        <v/>
      </c>
      <c r="O1064" s="147" t="str">
        <f>IF($E1064="","",MIN(VLOOKUP(IF($B1064&lt;=Input!$C$7,$B1064,26),'Mortality Tables'!$A$41:$CW$67,IF($B1064&lt;=Input!$C$7+1,Input!$C$4+2,$D1064-Input!$C$7+2),0)*IF(B1064&gt;20,Input!$C$22,1)/1000,1))</f>
        <v/>
      </c>
      <c r="P1064" s="147" t="str">
        <f>IF($E1064="","",MIN(VLOOKUP(IF($B1064&lt;=Input!$C$7,$B1064,26),'Mortality Tables'!$A$12:$CW$37,IF($B1064&lt;=Input!$C$7+1,Input!$C$4+2,$D1064-Input!$C$7+2),0)*IF(B1064&gt;20,Input!$C$22,1)/1000,1))</f>
        <v/>
      </c>
      <c r="Q1064" s="155" t="str">
        <f>IF($E1064="","",Input!$C$21)</f>
        <v/>
      </c>
      <c r="R1064" s="159" t="str">
        <f>IF($E1064="","",(1-Q1064)^($F1064-Input!$C$20))</f>
        <v/>
      </c>
      <c r="S1064" s="147" t="str">
        <f t="shared" si="674"/>
        <v/>
      </c>
      <c r="T1064" s="147" t="str">
        <f t="shared" si="675"/>
        <v/>
      </c>
      <c r="U1064" s="160" t="str">
        <f>IF($E1064="","",IF($C1064=12,INDEX(Input!$C$15:$CP$15,1,$B1064),0))</f>
        <v/>
      </c>
      <c r="V1064" s="150" t="str">
        <f>IF(E1064="","",IF(C1064=1,IF($B1064=1,Input!$C$33,Input!$C$34),0))</f>
        <v/>
      </c>
      <c r="W1064" s="156" t="str">
        <f>IF($E1064="","",Input!$C$35)</f>
        <v/>
      </c>
      <c r="X1064" s="156" t="str">
        <f t="shared" si="673"/>
        <v/>
      </c>
      <c r="Y1064" s="154"/>
      <c r="Z1064" s="147" t="str">
        <f>IF($E1064="","",VLOOKUP($D1064,'Mortality Margins &amp; Grading'!$AB$5:$AF$125,3,0)*IF(Summary!$D$25="Included Margin",IF(AND($B1064&gt;Input!$C$9,Summary!$D$31&lt;&gt;"Included Margin"),0,1),0))</f>
        <v/>
      </c>
      <c r="AA1064" s="147" t="str">
        <f>IF($E1064="","",VLOOKUP($D1064,'Mortality Margins &amp; Grading'!$AB$5:$AF$125,5,0)*IF(Summary!$D$25="Included Margin",IF(AND($B1064&gt;Input!$C$9,Summary!$D$31&lt;&gt;"Included Margin"),0,1),0))</f>
        <v/>
      </c>
      <c r="AB1064" s="147" t="str">
        <f>IF($E1064="","",IF(AND($B1064&gt;Input!$C$9,Summary!$D$31&lt;&gt;"Included Margin"),1,IF(Summary!$D$25="Included Margin",VLOOKUP($B1064,'Mortality Margins &amp; Grading'!$AI$5:$AR$125,MATCH('Mortality Margins &amp; Grading'!$AQ$4,'Mortality Margins &amp; Grading'!$AI$4:$AR$4,0),0),1)))</f>
        <v/>
      </c>
      <c r="AC1064" s="154"/>
      <c r="AD1064" s="158" t="str">
        <f>IF(E1064="","",Input!$C$48*IF(Summary!$D$30="Included Margin",IF(AND($B1064&gt;Input!$C$9,Summary!$D$31&lt;&gt;"Included Margin"),0,1),0))</f>
        <v/>
      </c>
      <c r="AE1064" s="159" t="str">
        <f>IF(E1064="","",IF(Summary!$D$26="Included Margin",IF(AND($B1064&gt;Input!$C$9,Summary!$D$31&lt;&gt;"Included Margin"),1,1/$R1064),1))</f>
        <v/>
      </c>
      <c r="AF1064" s="160" t="str">
        <f>IF(E1064="","",IF(AND($B1064&gt;=Input!$C$9,$C1064=12,Summary!$D$31="Included Margin",$U1064&gt;0),1/U1064-1,IF($B1064&gt;=Input!$C$9,0,Input!$C$45*IF(Summary!$D$27="Included Margin",1,0))))</f>
        <v/>
      </c>
      <c r="AG1064" s="160" t="str">
        <f>IF(E1064="","",Input!$C$46*IF(Summary!$D$28="Included Margin",IF(AND($B1064&gt;Input!$C$9,Summary!$D$31&lt;&gt;"Included Margin"),0,1),0))</f>
        <v/>
      </c>
      <c r="AH1064" s="158" t="str">
        <f>IF(E1064="","",Input!$C$47*IF(Summary!$D$29="Included Margin",IF(AND($B1064&gt;Input!$C$9,Summary!$D$31&lt;&gt;"Included Margin"),0,1),0))</f>
        <v/>
      </c>
      <c r="AI1064" s="154"/>
      <c r="AJ1064" s="158" t="str">
        <f t="shared" si="689"/>
        <v/>
      </c>
      <c r="AK1064" s="155" t="str">
        <f t="shared" si="690"/>
        <v/>
      </c>
      <c r="AL1064" s="147" t="str">
        <f t="shared" si="691"/>
        <v/>
      </c>
      <c r="AM1064" s="147" t="str">
        <f t="shared" si="676"/>
        <v/>
      </c>
      <c r="AN1064" s="160" t="str">
        <f t="shared" si="692"/>
        <v/>
      </c>
      <c r="AO1064" s="161" t="str">
        <f t="shared" si="693"/>
        <v/>
      </c>
      <c r="AP1064" s="156" t="str">
        <f t="shared" si="677"/>
        <v/>
      </c>
      <c r="AQ1064" s="152"/>
      <c r="AR1064" s="162" t="str">
        <f t="shared" si="678"/>
        <v/>
      </c>
      <c r="AS1064" s="150" t="str">
        <f t="shared" si="694"/>
        <v/>
      </c>
      <c r="AT1064" s="163" t="str">
        <f t="shared" si="679"/>
        <v/>
      </c>
      <c r="AU1064" s="163" t="str">
        <f t="shared" si="680"/>
        <v/>
      </c>
      <c r="AV1064" s="163" t="str">
        <f t="shared" si="695"/>
        <v/>
      </c>
      <c r="AW1064" s="163" t="str">
        <f t="shared" si="681"/>
        <v/>
      </c>
      <c r="AX1064" s="163" t="str">
        <f t="shared" si="682"/>
        <v/>
      </c>
      <c r="AY1064" s="165" t="str">
        <f t="shared" si="696"/>
        <v/>
      </c>
      <c r="AZ1064" s="164" t="str">
        <f>IF($E1064="","",IF(OR(AND($D1064=Input!$C$6,$C1064=12),$AN1064=1),0,-AS1065+AT1065+AU1065-AV1065-AW1065-AX1065+AZ1065))</f>
        <v/>
      </c>
      <c r="BA1064" s="154" t="str">
        <f t="shared" si="683"/>
        <v/>
      </c>
      <c r="BC1064" s="147" t="str">
        <f t="shared" si="697"/>
        <v/>
      </c>
      <c r="BD1064" s="164" t="str">
        <f>IF(AND($C1063=12,$D1063=Input!$C$6),0,IF($E1064="","",AT1064+(AU1064+BD1065)/(1+$AK1064)*MIN((1-AM1064-AN1064),1)))</f>
        <v/>
      </c>
      <c r="BE1064" s="164" t="str">
        <f t="shared" si="712"/>
        <v/>
      </c>
      <c r="BF1064" s="164" t="str">
        <f t="shared" si="698"/>
        <v/>
      </c>
      <c r="BG1064" s="164" t="str">
        <f t="shared" si="684"/>
        <v/>
      </c>
      <c r="BH1064" s="152"/>
      <c r="BI1064" s="162" t="str">
        <f t="shared" si="706"/>
        <v/>
      </c>
      <c r="BJ1064" s="150" t="str">
        <f t="shared" si="707"/>
        <v/>
      </c>
      <c r="BK1064" s="163" t="str">
        <f t="shared" si="703"/>
        <v/>
      </c>
      <c r="BL1064" s="163" t="str">
        <f t="shared" si="708"/>
        <v/>
      </c>
      <c r="BM1064" s="163" t="str">
        <f t="shared" si="704"/>
        <v/>
      </c>
      <c r="BN1064" s="163" t="str">
        <f t="shared" si="709"/>
        <v/>
      </c>
      <c r="BO1064" s="163" t="str">
        <f t="shared" si="710"/>
        <v/>
      </c>
      <c r="BP1064" s="164" t="str">
        <f t="shared" si="705"/>
        <v/>
      </c>
      <c r="BQ1064" s="164" t="str">
        <f t="shared" si="699"/>
        <v/>
      </c>
      <c r="BR1064" s="154" t="str">
        <f t="shared" si="711"/>
        <v/>
      </c>
      <c r="BT1064" s="147" t="str">
        <f t="shared" si="685"/>
        <v/>
      </c>
      <c r="BU1064" s="164" t="str">
        <f>IF(AND($C1063=12,$D1063=Input!$C$6),0,IF($E1064="","",BK1064+(BL1064+BU1065)/(1+$AK1064)*MIN((1-T1064-U1064),1)))</f>
        <v/>
      </c>
      <c r="BV1064" s="164" t="str">
        <f t="shared" si="686"/>
        <v/>
      </c>
      <c r="BW1064" s="164" t="str">
        <f t="shared" si="687"/>
        <v/>
      </c>
      <c r="BX1064" s="164" t="str">
        <f t="shared" si="688"/>
        <v/>
      </c>
    </row>
    <row r="1065" spans="1:76" s="150" customFormat="1" x14ac:dyDescent="0.25">
      <c r="A1065" s="150" t="str">
        <f t="shared" si="700"/>
        <v/>
      </c>
      <c r="B1065" s="150" t="str">
        <f t="shared" si="701"/>
        <v/>
      </c>
      <c r="C1065" s="150" t="str">
        <f t="shared" si="702"/>
        <v/>
      </c>
      <c r="D1065" s="150" t="str">
        <f>IF(E1065="","",Input!$C$4+B1065-1)</f>
        <v/>
      </c>
      <c r="E1065" s="150" t="str">
        <f>IF(OR(AND(C1064=12,D1064=Input!$C$6),E1064=""),"",1)</f>
        <v/>
      </c>
      <c r="F1065" s="150" t="str">
        <f>IF(E1065="","",Input!$C$8+B1065-1)</f>
        <v/>
      </c>
      <c r="G1065" s="151" t="str">
        <f>IF(E1065="","",MAX(0,Input!$C$9-B1065))</f>
        <v/>
      </c>
      <c r="H1065" s="152" t="str">
        <f>IF(E1065="","",Input!$C$3)</f>
        <v/>
      </c>
      <c r="I1065" s="153" t="str">
        <f>IF(E1065="","",HLOOKUP($B1065,Input!$C$13:$BT$14,2))</f>
        <v/>
      </c>
      <c r="J1065" s="154"/>
      <c r="K1065" s="155" t="str">
        <f>IF($E1065="","",INDEX(Input!$C$16:$CP$16,1,$B1065))</f>
        <v/>
      </c>
      <c r="L1065" s="155" t="str">
        <f>IF($E1065="","",Input!$C$37)</f>
        <v/>
      </c>
      <c r="M1065" s="155" t="str">
        <f t="shared" si="671"/>
        <v/>
      </c>
      <c r="N1065" s="155" t="str">
        <f t="shared" si="672"/>
        <v/>
      </c>
      <c r="O1065" s="147" t="str">
        <f>IF($E1065="","",MIN(VLOOKUP(IF($B1065&lt;=Input!$C$7,$B1065,26),'Mortality Tables'!$A$41:$CW$67,IF($B1065&lt;=Input!$C$7+1,Input!$C$4+2,$D1065-Input!$C$7+2),0)*IF(B1065&gt;20,Input!$C$22,1)/1000,1))</f>
        <v/>
      </c>
      <c r="P1065" s="147" t="str">
        <f>IF($E1065="","",MIN(VLOOKUP(IF($B1065&lt;=Input!$C$7,$B1065,26),'Mortality Tables'!$A$12:$CW$37,IF($B1065&lt;=Input!$C$7+1,Input!$C$4+2,$D1065-Input!$C$7+2),0)*IF(B1065&gt;20,Input!$C$22,1)/1000,1))</f>
        <v/>
      </c>
      <c r="Q1065" s="155" t="str">
        <f>IF($E1065="","",Input!$C$21)</f>
        <v/>
      </c>
      <c r="R1065" s="159" t="str">
        <f>IF($E1065="","",(1-Q1065)^($F1065-Input!$C$20))</f>
        <v/>
      </c>
      <c r="S1065" s="147" t="str">
        <f t="shared" si="674"/>
        <v/>
      </c>
      <c r="T1065" s="147" t="str">
        <f t="shared" si="675"/>
        <v/>
      </c>
      <c r="U1065" s="160" t="str">
        <f>IF($E1065="","",IF($C1065=12,INDEX(Input!$C$15:$CP$15,1,$B1065),0))</f>
        <v/>
      </c>
      <c r="V1065" s="150" t="str">
        <f>IF(E1065="","",IF(C1065=1,IF($B1065=1,Input!$C$33,Input!$C$34),0))</f>
        <v/>
      </c>
      <c r="W1065" s="156" t="str">
        <f>IF($E1065="","",Input!$C$35)</f>
        <v/>
      </c>
      <c r="X1065" s="156" t="str">
        <f t="shared" si="673"/>
        <v/>
      </c>
      <c r="Y1065" s="154"/>
      <c r="Z1065" s="147" t="str">
        <f>IF($E1065="","",VLOOKUP($D1065,'Mortality Margins &amp; Grading'!$AB$5:$AF$125,3,0)*IF(Summary!$D$25="Included Margin",IF(AND($B1065&gt;Input!$C$9,Summary!$D$31&lt;&gt;"Included Margin"),0,1),0))</f>
        <v/>
      </c>
      <c r="AA1065" s="147" t="str">
        <f>IF($E1065="","",VLOOKUP($D1065,'Mortality Margins &amp; Grading'!$AB$5:$AF$125,5,0)*IF(Summary!$D$25="Included Margin",IF(AND($B1065&gt;Input!$C$9,Summary!$D$31&lt;&gt;"Included Margin"),0,1),0))</f>
        <v/>
      </c>
      <c r="AB1065" s="147" t="str">
        <f>IF($E1065="","",IF(AND($B1065&gt;Input!$C$9,Summary!$D$31&lt;&gt;"Included Margin"),1,IF(Summary!$D$25="Included Margin",VLOOKUP($B1065,'Mortality Margins &amp; Grading'!$AI$5:$AR$125,MATCH('Mortality Margins &amp; Grading'!$AQ$4,'Mortality Margins &amp; Grading'!$AI$4:$AR$4,0),0),1)))</f>
        <v/>
      </c>
      <c r="AC1065" s="154"/>
      <c r="AD1065" s="158" t="str">
        <f>IF(E1065="","",Input!$C$48*IF(Summary!$D$30="Included Margin",IF(AND($B1065&gt;Input!$C$9,Summary!$D$31&lt;&gt;"Included Margin"),0,1),0))</f>
        <v/>
      </c>
      <c r="AE1065" s="159" t="str">
        <f>IF(E1065="","",IF(Summary!$D$26="Included Margin",IF(AND($B1065&gt;Input!$C$9,Summary!$D$31&lt;&gt;"Included Margin"),1,1/$R1065),1))</f>
        <v/>
      </c>
      <c r="AF1065" s="160" t="str">
        <f>IF(E1065="","",IF(AND($B1065&gt;=Input!$C$9,$C1065=12,Summary!$D$31="Included Margin",$U1065&gt;0),1/U1065-1,IF($B1065&gt;=Input!$C$9,0,Input!$C$45*IF(Summary!$D$27="Included Margin",1,0))))</f>
        <v/>
      </c>
      <c r="AG1065" s="160" t="str">
        <f>IF(E1065="","",Input!$C$46*IF(Summary!$D$28="Included Margin",IF(AND($B1065&gt;Input!$C$9,Summary!$D$31&lt;&gt;"Included Margin"),0,1),0))</f>
        <v/>
      </c>
      <c r="AH1065" s="158" t="str">
        <f>IF(E1065="","",Input!$C$47*IF(Summary!$D$29="Included Margin",IF(AND($B1065&gt;Input!$C$9,Summary!$D$31&lt;&gt;"Included Margin"),0,1),0))</f>
        <v/>
      </c>
      <c r="AI1065" s="154"/>
      <c r="AJ1065" s="158" t="str">
        <f t="shared" si="689"/>
        <v/>
      </c>
      <c r="AK1065" s="155" t="str">
        <f t="shared" si="690"/>
        <v/>
      </c>
      <c r="AL1065" s="147" t="str">
        <f t="shared" si="691"/>
        <v/>
      </c>
      <c r="AM1065" s="147" t="str">
        <f t="shared" si="676"/>
        <v/>
      </c>
      <c r="AN1065" s="160" t="str">
        <f t="shared" si="692"/>
        <v/>
      </c>
      <c r="AO1065" s="161" t="str">
        <f t="shared" si="693"/>
        <v/>
      </c>
      <c r="AP1065" s="156" t="str">
        <f t="shared" si="677"/>
        <v/>
      </c>
      <c r="AQ1065" s="152"/>
      <c r="AR1065" s="162" t="str">
        <f t="shared" si="678"/>
        <v/>
      </c>
      <c r="AS1065" s="150" t="str">
        <f t="shared" si="694"/>
        <v/>
      </c>
      <c r="AT1065" s="163" t="str">
        <f t="shared" si="679"/>
        <v/>
      </c>
      <c r="AU1065" s="163" t="str">
        <f t="shared" si="680"/>
        <v/>
      </c>
      <c r="AV1065" s="163" t="str">
        <f t="shared" si="695"/>
        <v/>
      </c>
      <c r="AW1065" s="163" t="str">
        <f t="shared" si="681"/>
        <v/>
      </c>
      <c r="AX1065" s="163" t="str">
        <f t="shared" si="682"/>
        <v/>
      </c>
      <c r="AY1065" s="164" t="str">
        <f t="shared" si="696"/>
        <v/>
      </c>
      <c r="AZ1065" s="164" t="str">
        <f>IF($E1065="","",IF(OR(AND($D1065=Input!$C$6,$C1065=12),$AN1065=1),0,-AS1066+AT1066+AU1066-AV1066-AW1066-AX1066+AZ1066))</f>
        <v/>
      </c>
      <c r="BA1065" s="154" t="str">
        <f t="shared" si="683"/>
        <v/>
      </c>
      <c r="BC1065" s="147" t="str">
        <f t="shared" si="697"/>
        <v/>
      </c>
      <c r="BD1065" s="164" t="str">
        <f>IF(AND($C1064=12,$D1064=Input!$C$6),0,IF($E1065="","",AT1065+(AU1065+BD1066)/(1+$AK1065)*MIN((1-AM1065-AN1065),1)))</f>
        <v/>
      </c>
      <c r="BE1065" s="164" t="str">
        <f t="shared" si="712"/>
        <v/>
      </c>
      <c r="BF1065" s="164" t="str">
        <f t="shared" si="698"/>
        <v/>
      </c>
      <c r="BG1065" s="164" t="str">
        <f t="shared" si="684"/>
        <v/>
      </c>
      <c r="BH1065" s="152"/>
      <c r="BI1065" s="162" t="str">
        <f t="shared" si="706"/>
        <v/>
      </c>
      <c r="BJ1065" s="150" t="str">
        <f t="shared" si="707"/>
        <v/>
      </c>
      <c r="BK1065" s="163" t="str">
        <f t="shared" si="703"/>
        <v/>
      </c>
      <c r="BL1065" s="163" t="str">
        <f t="shared" si="708"/>
        <v/>
      </c>
      <c r="BM1065" s="163" t="str">
        <f t="shared" si="704"/>
        <v/>
      </c>
      <c r="BN1065" s="163" t="str">
        <f t="shared" si="709"/>
        <v/>
      </c>
      <c r="BO1065" s="163" t="str">
        <f t="shared" si="710"/>
        <v/>
      </c>
      <c r="BP1065" s="164" t="str">
        <f t="shared" si="705"/>
        <v/>
      </c>
      <c r="BQ1065" s="164" t="str">
        <f t="shared" si="699"/>
        <v/>
      </c>
      <c r="BR1065" s="154" t="str">
        <f t="shared" si="711"/>
        <v/>
      </c>
      <c r="BT1065" s="147" t="str">
        <f t="shared" si="685"/>
        <v/>
      </c>
      <c r="BU1065" s="164" t="str">
        <f>IF(AND($C1064=12,$D1064=Input!$C$6),0,IF($E1065="","",BK1065+(BL1065+BU1066)/(1+$AK1065)*MIN((1-T1065-U1065),1)))</f>
        <v/>
      </c>
      <c r="BV1065" s="164" t="str">
        <f t="shared" si="686"/>
        <v/>
      </c>
      <c r="BW1065" s="164" t="str">
        <f t="shared" si="687"/>
        <v/>
      </c>
      <c r="BX1065" s="164" t="str">
        <f t="shared" si="688"/>
        <v/>
      </c>
    </row>
    <row r="1066" spans="1:76" s="150" customFormat="1" x14ac:dyDescent="0.25">
      <c r="A1066" s="150" t="str">
        <f t="shared" si="700"/>
        <v/>
      </c>
      <c r="B1066" s="150" t="str">
        <f t="shared" si="701"/>
        <v/>
      </c>
      <c r="C1066" s="150" t="str">
        <f t="shared" si="702"/>
        <v/>
      </c>
      <c r="D1066" s="150" t="str">
        <f>IF(E1066="","",Input!$C$4+B1066-1)</f>
        <v/>
      </c>
      <c r="E1066" s="150" t="str">
        <f>IF(OR(AND(C1065=12,D1065=Input!$C$6),E1065=""),"",1)</f>
        <v/>
      </c>
      <c r="F1066" s="150" t="str">
        <f>IF(E1066="","",Input!$C$8+B1066-1)</f>
        <v/>
      </c>
      <c r="G1066" s="151" t="str">
        <f>IF(E1066="","",MAX(0,Input!$C$9-B1066))</f>
        <v/>
      </c>
      <c r="H1066" s="152" t="str">
        <f>IF(E1066="","",Input!$C$3)</f>
        <v/>
      </c>
      <c r="I1066" s="153" t="str">
        <f>IF(E1066="","",HLOOKUP($B1066,Input!$C$13:$BT$14,2))</f>
        <v/>
      </c>
      <c r="J1066" s="154"/>
      <c r="K1066" s="155" t="str">
        <f>IF($E1066="","",INDEX(Input!$C$16:$CP$16,1,$B1066))</f>
        <v/>
      </c>
      <c r="L1066" s="155" t="str">
        <f>IF($E1066="","",Input!$C$37)</f>
        <v/>
      </c>
      <c r="M1066" s="155" t="str">
        <f t="shared" si="671"/>
        <v/>
      </c>
      <c r="N1066" s="155" t="str">
        <f t="shared" si="672"/>
        <v/>
      </c>
      <c r="O1066" s="147" t="str">
        <f>IF($E1066="","",MIN(VLOOKUP(IF($B1066&lt;=Input!$C$7,$B1066,26),'Mortality Tables'!$A$41:$CW$67,IF($B1066&lt;=Input!$C$7+1,Input!$C$4+2,$D1066-Input!$C$7+2),0)*IF(B1066&gt;20,Input!$C$22,1)/1000,1))</f>
        <v/>
      </c>
      <c r="P1066" s="147" t="str">
        <f>IF($E1066="","",MIN(VLOOKUP(IF($B1066&lt;=Input!$C$7,$B1066,26),'Mortality Tables'!$A$12:$CW$37,IF($B1066&lt;=Input!$C$7+1,Input!$C$4+2,$D1066-Input!$C$7+2),0)*IF(B1066&gt;20,Input!$C$22,1)/1000,1))</f>
        <v/>
      </c>
      <c r="Q1066" s="155" t="str">
        <f>IF($E1066="","",Input!$C$21)</f>
        <v/>
      </c>
      <c r="R1066" s="159" t="str">
        <f>IF($E1066="","",(1-Q1066)^($F1066-Input!$C$20))</f>
        <v/>
      </c>
      <c r="S1066" s="147" t="str">
        <f t="shared" si="674"/>
        <v/>
      </c>
      <c r="T1066" s="147" t="str">
        <f t="shared" si="675"/>
        <v/>
      </c>
      <c r="U1066" s="160" t="str">
        <f>IF($E1066="","",IF($C1066=12,INDEX(Input!$C$15:$CP$15,1,$B1066),0))</f>
        <v/>
      </c>
      <c r="V1066" s="150" t="str">
        <f>IF(E1066="","",IF(C1066=1,IF($B1066=1,Input!$C$33,Input!$C$34),0))</f>
        <v/>
      </c>
      <c r="W1066" s="156" t="str">
        <f>IF($E1066="","",Input!$C$35)</f>
        <v/>
      </c>
      <c r="X1066" s="156" t="str">
        <f t="shared" si="673"/>
        <v/>
      </c>
      <c r="Y1066" s="154"/>
      <c r="Z1066" s="147" t="str">
        <f>IF($E1066="","",VLOOKUP($D1066,'Mortality Margins &amp; Grading'!$AB$5:$AF$125,3,0)*IF(Summary!$D$25="Included Margin",IF(AND($B1066&gt;Input!$C$9,Summary!$D$31&lt;&gt;"Included Margin"),0,1),0))</f>
        <v/>
      </c>
      <c r="AA1066" s="147" t="str">
        <f>IF($E1066="","",VLOOKUP($D1066,'Mortality Margins &amp; Grading'!$AB$5:$AF$125,5,0)*IF(Summary!$D$25="Included Margin",IF(AND($B1066&gt;Input!$C$9,Summary!$D$31&lt;&gt;"Included Margin"),0,1),0))</f>
        <v/>
      </c>
      <c r="AB1066" s="147" t="str">
        <f>IF($E1066="","",IF(AND($B1066&gt;Input!$C$9,Summary!$D$31&lt;&gt;"Included Margin"),1,IF(Summary!$D$25="Included Margin",VLOOKUP($B1066,'Mortality Margins &amp; Grading'!$AI$5:$AR$125,MATCH('Mortality Margins &amp; Grading'!$AQ$4,'Mortality Margins &amp; Grading'!$AI$4:$AR$4,0),0),1)))</f>
        <v/>
      </c>
      <c r="AC1066" s="154"/>
      <c r="AD1066" s="158" t="str">
        <f>IF(E1066="","",Input!$C$48*IF(Summary!$D$30="Included Margin",IF(AND($B1066&gt;Input!$C$9,Summary!$D$31&lt;&gt;"Included Margin"),0,1),0))</f>
        <v/>
      </c>
      <c r="AE1066" s="159" t="str">
        <f>IF(E1066="","",IF(Summary!$D$26="Included Margin",IF(AND($B1066&gt;Input!$C$9,Summary!$D$31&lt;&gt;"Included Margin"),1,1/$R1066),1))</f>
        <v/>
      </c>
      <c r="AF1066" s="160" t="str">
        <f>IF(E1066="","",IF(AND($B1066&gt;=Input!$C$9,$C1066=12,Summary!$D$31="Included Margin",$U1066&gt;0),1/U1066-1,IF($B1066&gt;=Input!$C$9,0,Input!$C$45*IF(Summary!$D$27="Included Margin",1,0))))</f>
        <v/>
      </c>
      <c r="AG1066" s="160" t="str">
        <f>IF(E1066="","",Input!$C$46*IF(Summary!$D$28="Included Margin",IF(AND($B1066&gt;Input!$C$9,Summary!$D$31&lt;&gt;"Included Margin"),0,1),0))</f>
        <v/>
      </c>
      <c r="AH1066" s="158" t="str">
        <f>IF(E1066="","",Input!$C$47*IF(Summary!$D$29="Included Margin",IF(AND($B1066&gt;Input!$C$9,Summary!$D$31&lt;&gt;"Included Margin"),0,1),0))</f>
        <v/>
      </c>
      <c r="AI1066" s="154"/>
      <c r="AJ1066" s="158" t="str">
        <f t="shared" si="689"/>
        <v/>
      </c>
      <c r="AK1066" s="155" t="str">
        <f t="shared" si="690"/>
        <v/>
      </c>
      <c r="AL1066" s="147" t="str">
        <f t="shared" si="691"/>
        <v/>
      </c>
      <c r="AM1066" s="147" t="str">
        <f t="shared" si="676"/>
        <v/>
      </c>
      <c r="AN1066" s="160" t="str">
        <f t="shared" si="692"/>
        <v/>
      </c>
      <c r="AO1066" s="161" t="str">
        <f t="shared" si="693"/>
        <v/>
      </c>
      <c r="AP1066" s="156" t="str">
        <f t="shared" si="677"/>
        <v/>
      </c>
      <c r="AQ1066" s="152"/>
      <c r="AR1066" s="162" t="str">
        <f t="shared" si="678"/>
        <v/>
      </c>
      <c r="AS1066" s="150" t="str">
        <f t="shared" si="694"/>
        <v/>
      </c>
      <c r="AT1066" s="163" t="str">
        <f t="shared" si="679"/>
        <v/>
      </c>
      <c r="AU1066" s="163" t="str">
        <f t="shared" si="680"/>
        <v/>
      </c>
      <c r="AV1066" s="163" t="str">
        <f t="shared" si="695"/>
        <v/>
      </c>
      <c r="AW1066" s="163" t="str">
        <f t="shared" si="681"/>
        <v/>
      </c>
      <c r="AX1066" s="163" t="str">
        <f t="shared" si="682"/>
        <v/>
      </c>
      <c r="AY1066" s="165" t="str">
        <f t="shared" si="696"/>
        <v/>
      </c>
      <c r="AZ1066" s="164" t="str">
        <f>IF($E1066="","",IF(OR(AND($D1066=Input!$C$6,$C1066=12),$AN1066=1),0,-AS1067+AT1067+AU1067-AV1067-AW1067-AX1067+AZ1067))</f>
        <v/>
      </c>
      <c r="BA1066" s="154" t="str">
        <f t="shared" si="683"/>
        <v/>
      </c>
      <c r="BC1066" s="147" t="str">
        <f t="shared" si="697"/>
        <v/>
      </c>
      <c r="BD1066" s="164" t="str">
        <f>IF(AND($C1065=12,$D1065=Input!$C$6),0,IF($E1066="","",AT1066+(AU1066+BD1067)/(1+$AK1066)*MIN((1-AM1066-AN1066),1)))</f>
        <v/>
      </c>
      <c r="BE1066" s="164" t="str">
        <f t="shared" si="712"/>
        <v/>
      </c>
      <c r="BF1066" s="164" t="str">
        <f t="shared" si="698"/>
        <v/>
      </c>
      <c r="BG1066" s="164" t="str">
        <f t="shared" si="684"/>
        <v/>
      </c>
      <c r="BH1066" s="152"/>
      <c r="BI1066" s="162" t="str">
        <f t="shared" si="706"/>
        <v/>
      </c>
      <c r="BJ1066" s="150" t="str">
        <f t="shared" si="707"/>
        <v/>
      </c>
      <c r="BK1066" s="163" t="str">
        <f t="shared" si="703"/>
        <v/>
      </c>
      <c r="BL1066" s="163" t="str">
        <f t="shared" si="708"/>
        <v/>
      </c>
      <c r="BM1066" s="163" t="str">
        <f t="shared" si="704"/>
        <v/>
      </c>
      <c r="BN1066" s="163" t="str">
        <f t="shared" si="709"/>
        <v/>
      </c>
      <c r="BO1066" s="163" t="str">
        <f t="shared" si="710"/>
        <v/>
      </c>
      <c r="BP1066" s="164" t="str">
        <f t="shared" si="705"/>
        <v/>
      </c>
      <c r="BQ1066" s="164" t="str">
        <f t="shared" si="699"/>
        <v/>
      </c>
      <c r="BR1066" s="154" t="str">
        <f t="shared" si="711"/>
        <v/>
      </c>
      <c r="BT1066" s="147" t="str">
        <f t="shared" si="685"/>
        <v/>
      </c>
      <c r="BU1066" s="164" t="str">
        <f>IF(AND($C1065=12,$D1065=Input!$C$6),0,IF($E1066="","",BK1066+(BL1066+BU1067)/(1+$AK1066)*MIN((1-T1066-U1066),1)))</f>
        <v/>
      </c>
      <c r="BV1066" s="164" t="str">
        <f t="shared" si="686"/>
        <v/>
      </c>
      <c r="BW1066" s="164" t="str">
        <f t="shared" si="687"/>
        <v/>
      </c>
      <c r="BX1066" s="164" t="str">
        <f t="shared" si="688"/>
        <v/>
      </c>
    </row>
    <row r="1067" spans="1:76" s="150" customFormat="1" x14ac:dyDescent="0.25">
      <c r="A1067" s="150" t="str">
        <f t="shared" si="700"/>
        <v/>
      </c>
      <c r="B1067" s="150" t="str">
        <f t="shared" si="701"/>
        <v/>
      </c>
      <c r="C1067" s="150" t="str">
        <f t="shared" si="702"/>
        <v/>
      </c>
      <c r="D1067" s="150" t="str">
        <f>IF(E1067="","",Input!$C$4+B1067-1)</f>
        <v/>
      </c>
      <c r="E1067" s="150" t="str">
        <f>IF(OR(AND(C1066=12,D1066=Input!$C$6),E1066=""),"",1)</f>
        <v/>
      </c>
      <c r="F1067" s="150" t="str">
        <f>IF(E1067="","",Input!$C$8+B1067-1)</f>
        <v/>
      </c>
      <c r="G1067" s="151" t="str">
        <f>IF(E1067="","",MAX(0,Input!$C$9-B1067))</f>
        <v/>
      </c>
      <c r="H1067" s="152" t="str">
        <f>IF(E1067="","",Input!$C$3)</f>
        <v/>
      </c>
      <c r="I1067" s="153" t="str">
        <f>IF(E1067="","",HLOOKUP($B1067,Input!$C$13:$BT$14,2))</f>
        <v/>
      </c>
      <c r="J1067" s="154"/>
      <c r="K1067" s="155" t="str">
        <f>IF($E1067="","",INDEX(Input!$C$16:$CP$16,1,$B1067))</f>
        <v/>
      </c>
      <c r="L1067" s="155" t="str">
        <f>IF($E1067="","",Input!$C$37)</f>
        <v/>
      </c>
      <c r="M1067" s="155" t="str">
        <f t="shared" si="671"/>
        <v/>
      </c>
      <c r="N1067" s="155" t="str">
        <f t="shared" si="672"/>
        <v/>
      </c>
      <c r="O1067" s="147" t="str">
        <f>IF($E1067="","",MIN(VLOOKUP(IF($B1067&lt;=Input!$C$7,$B1067,26),'Mortality Tables'!$A$41:$CW$67,IF($B1067&lt;=Input!$C$7+1,Input!$C$4+2,$D1067-Input!$C$7+2),0)*IF(B1067&gt;20,Input!$C$22,1)/1000,1))</f>
        <v/>
      </c>
      <c r="P1067" s="147" t="str">
        <f>IF($E1067="","",MIN(VLOOKUP(IF($B1067&lt;=Input!$C$7,$B1067,26),'Mortality Tables'!$A$12:$CW$37,IF($B1067&lt;=Input!$C$7+1,Input!$C$4+2,$D1067-Input!$C$7+2),0)*IF(B1067&gt;20,Input!$C$22,1)/1000,1))</f>
        <v/>
      </c>
      <c r="Q1067" s="155" t="str">
        <f>IF($E1067="","",Input!$C$21)</f>
        <v/>
      </c>
      <c r="R1067" s="159" t="str">
        <f>IF($E1067="","",(1-Q1067)^($F1067-Input!$C$20))</f>
        <v/>
      </c>
      <c r="S1067" s="147" t="str">
        <f t="shared" si="674"/>
        <v/>
      </c>
      <c r="T1067" s="147" t="str">
        <f t="shared" si="675"/>
        <v/>
      </c>
      <c r="U1067" s="160" t="str">
        <f>IF($E1067="","",IF($C1067=12,INDEX(Input!$C$15:$CP$15,1,$B1067),0))</f>
        <v/>
      </c>
      <c r="V1067" s="150" t="str">
        <f>IF(E1067="","",IF(C1067=1,IF($B1067=1,Input!$C$33,Input!$C$34),0))</f>
        <v/>
      </c>
      <c r="W1067" s="156" t="str">
        <f>IF($E1067="","",Input!$C$35)</f>
        <v/>
      </c>
      <c r="X1067" s="156" t="str">
        <f t="shared" si="673"/>
        <v/>
      </c>
      <c r="Y1067" s="154"/>
      <c r="Z1067" s="147" t="str">
        <f>IF($E1067="","",VLOOKUP($D1067,'Mortality Margins &amp; Grading'!$AB$5:$AF$125,3,0)*IF(Summary!$D$25="Included Margin",IF(AND($B1067&gt;Input!$C$9,Summary!$D$31&lt;&gt;"Included Margin"),0,1),0))</f>
        <v/>
      </c>
      <c r="AA1067" s="147" t="str">
        <f>IF($E1067="","",VLOOKUP($D1067,'Mortality Margins &amp; Grading'!$AB$5:$AF$125,5,0)*IF(Summary!$D$25="Included Margin",IF(AND($B1067&gt;Input!$C$9,Summary!$D$31&lt;&gt;"Included Margin"),0,1),0))</f>
        <v/>
      </c>
      <c r="AB1067" s="147" t="str">
        <f>IF($E1067="","",IF(AND($B1067&gt;Input!$C$9,Summary!$D$31&lt;&gt;"Included Margin"),1,IF(Summary!$D$25="Included Margin",VLOOKUP($B1067,'Mortality Margins &amp; Grading'!$AI$5:$AR$125,MATCH('Mortality Margins &amp; Grading'!$AQ$4,'Mortality Margins &amp; Grading'!$AI$4:$AR$4,0),0),1)))</f>
        <v/>
      </c>
      <c r="AC1067" s="154"/>
      <c r="AD1067" s="158" t="str">
        <f>IF(E1067="","",Input!$C$48*IF(Summary!$D$30="Included Margin",IF(AND($B1067&gt;Input!$C$9,Summary!$D$31&lt;&gt;"Included Margin"),0,1),0))</f>
        <v/>
      </c>
      <c r="AE1067" s="159" t="str">
        <f>IF(E1067="","",IF(Summary!$D$26="Included Margin",IF(AND($B1067&gt;Input!$C$9,Summary!$D$31&lt;&gt;"Included Margin"),1,1/$R1067),1))</f>
        <v/>
      </c>
      <c r="AF1067" s="160" t="str">
        <f>IF(E1067="","",IF(AND($B1067&gt;=Input!$C$9,$C1067=12,Summary!$D$31="Included Margin",$U1067&gt;0),1/U1067-1,IF($B1067&gt;=Input!$C$9,0,Input!$C$45*IF(Summary!$D$27="Included Margin",1,0))))</f>
        <v/>
      </c>
      <c r="AG1067" s="160" t="str">
        <f>IF(E1067="","",Input!$C$46*IF(Summary!$D$28="Included Margin",IF(AND($B1067&gt;Input!$C$9,Summary!$D$31&lt;&gt;"Included Margin"),0,1),0))</f>
        <v/>
      </c>
      <c r="AH1067" s="158" t="str">
        <f>IF(E1067="","",Input!$C$47*IF(Summary!$D$29="Included Margin",IF(AND($B1067&gt;Input!$C$9,Summary!$D$31&lt;&gt;"Included Margin"),0,1),0))</f>
        <v/>
      </c>
      <c r="AI1067" s="154"/>
      <c r="AJ1067" s="158" t="str">
        <f t="shared" si="689"/>
        <v/>
      </c>
      <c r="AK1067" s="155" t="str">
        <f t="shared" si="690"/>
        <v/>
      </c>
      <c r="AL1067" s="147" t="str">
        <f t="shared" si="691"/>
        <v/>
      </c>
      <c r="AM1067" s="147" t="str">
        <f t="shared" si="676"/>
        <v/>
      </c>
      <c r="AN1067" s="160" t="str">
        <f t="shared" si="692"/>
        <v/>
      </c>
      <c r="AO1067" s="161" t="str">
        <f t="shared" si="693"/>
        <v/>
      </c>
      <c r="AP1067" s="156" t="str">
        <f t="shared" si="677"/>
        <v/>
      </c>
      <c r="AQ1067" s="152"/>
      <c r="AR1067" s="162" t="str">
        <f t="shared" si="678"/>
        <v/>
      </c>
      <c r="AS1067" s="150" t="str">
        <f t="shared" si="694"/>
        <v/>
      </c>
      <c r="AT1067" s="163" t="str">
        <f t="shared" si="679"/>
        <v/>
      </c>
      <c r="AU1067" s="163" t="str">
        <f t="shared" si="680"/>
        <v/>
      </c>
      <c r="AV1067" s="163" t="str">
        <f t="shared" si="695"/>
        <v/>
      </c>
      <c r="AW1067" s="163" t="str">
        <f t="shared" si="681"/>
        <v/>
      </c>
      <c r="AX1067" s="163" t="str">
        <f t="shared" si="682"/>
        <v/>
      </c>
      <c r="AY1067" s="164" t="str">
        <f t="shared" si="696"/>
        <v/>
      </c>
      <c r="AZ1067" s="164" t="str">
        <f>IF($E1067="","",IF(OR(AND($D1067=Input!$C$6,$C1067=12),$AN1067=1),0,-AS1068+AT1068+AU1068-AV1068-AW1068-AX1068+AZ1068))</f>
        <v/>
      </c>
      <c r="BA1067" s="154" t="str">
        <f t="shared" si="683"/>
        <v/>
      </c>
      <c r="BC1067" s="147" t="str">
        <f t="shared" si="697"/>
        <v/>
      </c>
      <c r="BD1067" s="164" t="str">
        <f>IF(AND($C1066=12,$D1066=Input!$C$6),0,IF($E1067="","",AT1067+(AU1067+BD1068)/(1+$AK1067)*MIN((1-AM1067-AN1067),1)))</f>
        <v/>
      </c>
      <c r="BE1067" s="164" t="str">
        <f t="shared" si="712"/>
        <v/>
      </c>
      <c r="BF1067" s="164" t="str">
        <f t="shared" si="698"/>
        <v/>
      </c>
      <c r="BG1067" s="164" t="str">
        <f t="shared" si="684"/>
        <v/>
      </c>
      <c r="BH1067" s="152"/>
      <c r="BI1067" s="162" t="str">
        <f t="shared" si="706"/>
        <v/>
      </c>
      <c r="BJ1067" s="150" t="str">
        <f t="shared" si="707"/>
        <v/>
      </c>
      <c r="BK1067" s="163" t="str">
        <f t="shared" si="703"/>
        <v/>
      </c>
      <c r="BL1067" s="163" t="str">
        <f t="shared" si="708"/>
        <v/>
      </c>
      <c r="BM1067" s="163" t="str">
        <f t="shared" si="704"/>
        <v/>
      </c>
      <c r="BN1067" s="163" t="str">
        <f t="shared" si="709"/>
        <v/>
      </c>
      <c r="BO1067" s="163" t="str">
        <f t="shared" si="710"/>
        <v/>
      </c>
      <c r="BP1067" s="164" t="str">
        <f t="shared" si="705"/>
        <v/>
      </c>
      <c r="BQ1067" s="164" t="str">
        <f t="shared" si="699"/>
        <v/>
      </c>
      <c r="BR1067" s="154" t="str">
        <f t="shared" si="711"/>
        <v/>
      </c>
      <c r="BT1067" s="147" t="str">
        <f t="shared" si="685"/>
        <v/>
      </c>
      <c r="BU1067" s="164" t="str">
        <f>IF(AND($C1066=12,$D1066=Input!$C$6),0,IF($E1067="","",BK1067+(BL1067+BU1068)/(1+$AK1067)*MIN((1-T1067-U1067),1)))</f>
        <v/>
      </c>
      <c r="BV1067" s="164" t="str">
        <f t="shared" si="686"/>
        <v/>
      </c>
      <c r="BW1067" s="164" t="str">
        <f t="shared" si="687"/>
        <v/>
      </c>
      <c r="BX1067" s="164" t="str">
        <f t="shared" si="688"/>
        <v/>
      </c>
    </row>
    <row r="1068" spans="1:76" s="150" customFormat="1" x14ac:dyDescent="0.25">
      <c r="A1068" s="150" t="str">
        <f t="shared" si="700"/>
        <v/>
      </c>
      <c r="B1068" s="150" t="str">
        <f t="shared" si="701"/>
        <v/>
      </c>
      <c r="C1068" s="150" t="str">
        <f t="shared" si="702"/>
        <v/>
      </c>
      <c r="D1068" s="150" t="str">
        <f>IF(E1068="","",Input!$C$4+B1068-1)</f>
        <v/>
      </c>
      <c r="E1068" s="150" t="str">
        <f>IF(OR(AND(C1067=12,D1067=Input!$C$6),E1067=""),"",1)</f>
        <v/>
      </c>
      <c r="F1068" s="150" t="str">
        <f>IF(E1068="","",Input!$C$8+B1068-1)</f>
        <v/>
      </c>
      <c r="G1068" s="151" t="str">
        <f>IF(E1068="","",MAX(0,Input!$C$9-B1068))</f>
        <v/>
      </c>
      <c r="H1068" s="152" t="str">
        <f>IF(E1068="","",Input!$C$3)</f>
        <v/>
      </c>
      <c r="I1068" s="153" t="str">
        <f>IF(E1068="","",HLOOKUP($B1068,Input!$C$13:$BT$14,2))</f>
        <v/>
      </c>
      <c r="J1068" s="154"/>
      <c r="K1068" s="155" t="str">
        <f>IF($E1068="","",INDEX(Input!$C$16:$CP$16,1,$B1068))</f>
        <v/>
      </c>
      <c r="L1068" s="155" t="str">
        <f>IF($E1068="","",Input!$C$37)</f>
        <v/>
      </c>
      <c r="M1068" s="155" t="str">
        <f t="shared" si="671"/>
        <v/>
      </c>
      <c r="N1068" s="155" t="str">
        <f t="shared" si="672"/>
        <v/>
      </c>
      <c r="O1068" s="147" t="str">
        <f>IF($E1068="","",MIN(VLOOKUP(IF($B1068&lt;=Input!$C$7,$B1068,26),'Mortality Tables'!$A$41:$CW$67,IF($B1068&lt;=Input!$C$7+1,Input!$C$4+2,$D1068-Input!$C$7+2),0)*IF(B1068&gt;20,Input!$C$22,1)/1000,1))</f>
        <v/>
      </c>
      <c r="P1068" s="147" t="str">
        <f>IF($E1068="","",MIN(VLOOKUP(IF($B1068&lt;=Input!$C$7,$B1068,26),'Mortality Tables'!$A$12:$CW$37,IF($B1068&lt;=Input!$C$7+1,Input!$C$4+2,$D1068-Input!$C$7+2),0)*IF(B1068&gt;20,Input!$C$22,1)/1000,1))</f>
        <v/>
      </c>
      <c r="Q1068" s="155" t="str">
        <f>IF($E1068="","",Input!$C$21)</f>
        <v/>
      </c>
      <c r="R1068" s="159" t="str">
        <f>IF($E1068="","",(1-Q1068)^($F1068-Input!$C$20))</f>
        <v/>
      </c>
      <c r="S1068" s="147" t="str">
        <f t="shared" si="674"/>
        <v/>
      </c>
      <c r="T1068" s="147" t="str">
        <f t="shared" si="675"/>
        <v/>
      </c>
      <c r="U1068" s="160" t="str">
        <f>IF($E1068="","",IF($C1068=12,INDEX(Input!$C$15:$CP$15,1,$B1068),0))</f>
        <v/>
      </c>
      <c r="V1068" s="150" t="str">
        <f>IF(E1068="","",IF(C1068=1,IF($B1068=1,Input!$C$33,Input!$C$34),0))</f>
        <v/>
      </c>
      <c r="W1068" s="156" t="str">
        <f>IF($E1068="","",Input!$C$35)</f>
        <v/>
      </c>
      <c r="X1068" s="156" t="str">
        <f t="shared" si="673"/>
        <v/>
      </c>
      <c r="Y1068" s="154"/>
      <c r="Z1068" s="147" t="str">
        <f>IF($E1068="","",VLOOKUP($D1068,'Mortality Margins &amp; Grading'!$AB$5:$AF$125,3,0)*IF(Summary!$D$25="Included Margin",IF(AND($B1068&gt;Input!$C$9,Summary!$D$31&lt;&gt;"Included Margin"),0,1),0))</f>
        <v/>
      </c>
      <c r="AA1068" s="147" t="str">
        <f>IF($E1068="","",VLOOKUP($D1068,'Mortality Margins &amp; Grading'!$AB$5:$AF$125,5,0)*IF(Summary!$D$25="Included Margin",IF(AND($B1068&gt;Input!$C$9,Summary!$D$31&lt;&gt;"Included Margin"),0,1),0))</f>
        <v/>
      </c>
      <c r="AB1068" s="147" t="str">
        <f>IF($E1068="","",IF(AND($B1068&gt;Input!$C$9,Summary!$D$31&lt;&gt;"Included Margin"),1,IF(Summary!$D$25="Included Margin",VLOOKUP($B1068,'Mortality Margins &amp; Grading'!$AI$5:$AR$125,MATCH('Mortality Margins &amp; Grading'!$AQ$4,'Mortality Margins &amp; Grading'!$AI$4:$AR$4,0),0),1)))</f>
        <v/>
      </c>
      <c r="AC1068" s="154"/>
      <c r="AD1068" s="158" t="str">
        <f>IF(E1068="","",Input!$C$48*IF(Summary!$D$30="Included Margin",IF(AND($B1068&gt;Input!$C$9,Summary!$D$31&lt;&gt;"Included Margin"),0,1),0))</f>
        <v/>
      </c>
      <c r="AE1068" s="159" t="str">
        <f>IF(E1068="","",IF(Summary!$D$26="Included Margin",IF(AND($B1068&gt;Input!$C$9,Summary!$D$31&lt;&gt;"Included Margin"),1,1/$R1068),1))</f>
        <v/>
      </c>
      <c r="AF1068" s="160" t="str">
        <f>IF(E1068="","",IF(AND($B1068&gt;=Input!$C$9,$C1068=12,Summary!$D$31="Included Margin",$U1068&gt;0),1/U1068-1,IF($B1068&gt;=Input!$C$9,0,Input!$C$45*IF(Summary!$D$27="Included Margin",1,0))))</f>
        <v/>
      </c>
      <c r="AG1068" s="160" t="str">
        <f>IF(E1068="","",Input!$C$46*IF(Summary!$D$28="Included Margin",IF(AND($B1068&gt;Input!$C$9,Summary!$D$31&lt;&gt;"Included Margin"),0,1),0))</f>
        <v/>
      </c>
      <c r="AH1068" s="158" t="str">
        <f>IF(E1068="","",Input!$C$47*IF(Summary!$D$29="Included Margin",IF(AND($B1068&gt;Input!$C$9,Summary!$D$31&lt;&gt;"Included Margin"),0,1),0))</f>
        <v/>
      </c>
      <c r="AI1068" s="154"/>
      <c r="AJ1068" s="158" t="str">
        <f t="shared" si="689"/>
        <v/>
      </c>
      <c r="AK1068" s="155" t="str">
        <f t="shared" si="690"/>
        <v/>
      </c>
      <c r="AL1068" s="147" t="str">
        <f t="shared" si="691"/>
        <v/>
      </c>
      <c r="AM1068" s="147" t="str">
        <f t="shared" si="676"/>
        <v/>
      </c>
      <c r="AN1068" s="160" t="str">
        <f t="shared" si="692"/>
        <v/>
      </c>
      <c r="AO1068" s="161" t="str">
        <f t="shared" si="693"/>
        <v/>
      </c>
      <c r="AP1068" s="156" t="str">
        <f t="shared" si="677"/>
        <v/>
      </c>
      <c r="AQ1068" s="152"/>
      <c r="AR1068" s="162" t="str">
        <f t="shared" si="678"/>
        <v/>
      </c>
      <c r="AS1068" s="150" t="str">
        <f t="shared" si="694"/>
        <v/>
      </c>
      <c r="AT1068" s="163" t="str">
        <f t="shared" si="679"/>
        <v/>
      </c>
      <c r="AU1068" s="163" t="str">
        <f t="shared" si="680"/>
        <v/>
      </c>
      <c r="AV1068" s="163" t="str">
        <f t="shared" si="695"/>
        <v/>
      </c>
      <c r="AW1068" s="163" t="str">
        <f t="shared" si="681"/>
        <v/>
      </c>
      <c r="AX1068" s="163" t="str">
        <f t="shared" si="682"/>
        <v/>
      </c>
      <c r="AY1068" s="165" t="str">
        <f t="shared" si="696"/>
        <v/>
      </c>
      <c r="AZ1068" s="164" t="str">
        <f>IF($E1068="","",IF(OR(AND($D1068=Input!$C$6,$C1068=12),$AN1068=1),0,-AS1069+AT1069+AU1069-AV1069-AW1069-AX1069+AZ1069))</f>
        <v/>
      </c>
      <c r="BA1068" s="154" t="str">
        <f t="shared" si="683"/>
        <v/>
      </c>
      <c r="BC1068" s="147" t="str">
        <f t="shared" si="697"/>
        <v/>
      </c>
      <c r="BD1068" s="164" t="str">
        <f>IF(AND($C1067=12,$D1067=Input!$C$6),0,IF($E1068="","",AT1068+(AU1068+BD1069)/(1+$AK1068)*MIN((1-AM1068-AN1068),1)))</f>
        <v/>
      </c>
      <c r="BE1068" s="164" t="str">
        <f t="shared" si="712"/>
        <v/>
      </c>
      <c r="BF1068" s="164" t="str">
        <f t="shared" si="698"/>
        <v/>
      </c>
      <c r="BG1068" s="164" t="str">
        <f t="shared" si="684"/>
        <v/>
      </c>
      <c r="BH1068" s="152"/>
      <c r="BI1068" s="162" t="str">
        <f t="shared" si="706"/>
        <v/>
      </c>
      <c r="BJ1068" s="150" t="str">
        <f t="shared" si="707"/>
        <v/>
      </c>
      <c r="BK1068" s="163" t="str">
        <f t="shared" si="703"/>
        <v/>
      </c>
      <c r="BL1068" s="163" t="str">
        <f t="shared" si="708"/>
        <v/>
      </c>
      <c r="BM1068" s="163" t="str">
        <f t="shared" si="704"/>
        <v/>
      </c>
      <c r="BN1068" s="163" t="str">
        <f t="shared" si="709"/>
        <v/>
      </c>
      <c r="BO1068" s="163" t="str">
        <f t="shared" si="710"/>
        <v/>
      </c>
      <c r="BP1068" s="164" t="str">
        <f t="shared" si="705"/>
        <v/>
      </c>
      <c r="BQ1068" s="164" t="str">
        <f t="shared" si="699"/>
        <v/>
      </c>
      <c r="BR1068" s="154" t="str">
        <f t="shared" si="711"/>
        <v/>
      </c>
      <c r="BT1068" s="147" t="str">
        <f t="shared" si="685"/>
        <v/>
      </c>
      <c r="BU1068" s="164" t="str">
        <f>IF(AND($C1067=12,$D1067=Input!$C$6),0,IF($E1068="","",BK1068+(BL1068+BU1069)/(1+$AK1068)*MIN((1-T1068-U1068),1)))</f>
        <v/>
      </c>
      <c r="BV1068" s="164" t="str">
        <f t="shared" si="686"/>
        <v/>
      </c>
      <c r="BW1068" s="164" t="str">
        <f t="shared" si="687"/>
        <v/>
      </c>
      <c r="BX1068" s="164" t="str">
        <f t="shared" si="688"/>
        <v/>
      </c>
    </row>
    <row r="1069" spans="1:76" s="150" customFormat="1" x14ac:dyDescent="0.25">
      <c r="A1069" s="150" t="str">
        <f t="shared" si="700"/>
        <v/>
      </c>
      <c r="B1069" s="150" t="str">
        <f t="shared" si="701"/>
        <v/>
      </c>
      <c r="C1069" s="150" t="str">
        <f t="shared" si="702"/>
        <v/>
      </c>
      <c r="D1069" s="150" t="str">
        <f>IF(E1069="","",Input!$C$4+B1069-1)</f>
        <v/>
      </c>
      <c r="E1069" s="150" t="str">
        <f>IF(OR(AND(C1068=12,D1068=Input!$C$6),E1068=""),"",1)</f>
        <v/>
      </c>
      <c r="F1069" s="150" t="str">
        <f>IF(E1069="","",Input!$C$8+B1069-1)</f>
        <v/>
      </c>
      <c r="G1069" s="151" t="str">
        <f>IF(E1069="","",MAX(0,Input!$C$9-B1069))</f>
        <v/>
      </c>
      <c r="H1069" s="152" t="str">
        <f>IF(E1069="","",Input!$C$3)</f>
        <v/>
      </c>
      <c r="I1069" s="153" t="str">
        <f>IF(E1069="","",HLOOKUP($B1069,Input!$C$13:$BT$14,2))</f>
        <v/>
      </c>
      <c r="J1069" s="154"/>
      <c r="K1069" s="155" t="str">
        <f>IF($E1069="","",INDEX(Input!$C$16:$CP$16,1,$B1069))</f>
        <v/>
      </c>
      <c r="L1069" s="155" t="str">
        <f>IF($E1069="","",Input!$C$37)</f>
        <v/>
      </c>
      <c r="M1069" s="155" t="str">
        <f t="shared" si="671"/>
        <v/>
      </c>
      <c r="N1069" s="155" t="str">
        <f t="shared" si="672"/>
        <v/>
      </c>
      <c r="O1069" s="147" t="str">
        <f>IF($E1069="","",MIN(VLOOKUP(IF($B1069&lt;=Input!$C$7,$B1069,26),'Mortality Tables'!$A$41:$CW$67,IF($B1069&lt;=Input!$C$7+1,Input!$C$4+2,$D1069-Input!$C$7+2),0)*IF(B1069&gt;20,Input!$C$22,1)/1000,1))</f>
        <v/>
      </c>
      <c r="P1069" s="147" t="str">
        <f>IF($E1069="","",MIN(VLOOKUP(IF($B1069&lt;=Input!$C$7,$B1069,26),'Mortality Tables'!$A$12:$CW$37,IF($B1069&lt;=Input!$C$7+1,Input!$C$4+2,$D1069-Input!$C$7+2),0)*IF(B1069&gt;20,Input!$C$22,1)/1000,1))</f>
        <v/>
      </c>
      <c r="Q1069" s="155" t="str">
        <f>IF($E1069="","",Input!$C$21)</f>
        <v/>
      </c>
      <c r="R1069" s="159" t="str">
        <f>IF($E1069="","",(1-Q1069)^($F1069-Input!$C$20))</f>
        <v/>
      </c>
      <c r="S1069" s="147" t="str">
        <f t="shared" si="674"/>
        <v/>
      </c>
      <c r="T1069" s="147" t="str">
        <f t="shared" si="675"/>
        <v/>
      </c>
      <c r="U1069" s="160" t="str">
        <f>IF($E1069="","",IF($C1069=12,INDEX(Input!$C$15:$CP$15,1,$B1069),0))</f>
        <v/>
      </c>
      <c r="V1069" s="150" t="str">
        <f>IF(E1069="","",IF(C1069=1,IF($B1069=1,Input!$C$33,Input!$C$34),0))</f>
        <v/>
      </c>
      <c r="W1069" s="156" t="str">
        <f>IF($E1069="","",Input!$C$35)</f>
        <v/>
      </c>
      <c r="X1069" s="156" t="str">
        <f t="shared" si="673"/>
        <v/>
      </c>
      <c r="Y1069" s="154"/>
      <c r="Z1069" s="147" t="str">
        <f>IF($E1069="","",VLOOKUP($D1069,'Mortality Margins &amp; Grading'!$AB$5:$AF$125,3,0)*IF(Summary!$D$25="Included Margin",IF(AND($B1069&gt;Input!$C$9,Summary!$D$31&lt;&gt;"Included Margin"),0,1),0))</f>
        <v/>
      </c>
      <c r="AA1069" s="147" t="str">
        <f>IF($E1069="","",VLOOKUP($D1069,'Mortality Margins &amp; Grading'!$AB$5:$AF$125,5,0)*IF(Summary!$D$25="Included Margin",IF(AND($B1069&gt;Input!$C$9,Summary!$D$31&lt;&gt;"Included Margin"),0,1),0))</f>
        <v/>
      </c>
      <c r="AB1069" s="147" t="str">
        <f>IF($E1069="","",IF(AND($B1069&gt;Input!$C$9,Summary!$D$31&lt;&gt;"Included Margin"),1,IF(Summary!$D$25="Included Margin",VLOOKUP($B1069,'Mortality Margins &amp; Grading'!$AI$5:$AR$125,MATCH('Mortality Margins &amp; Grading'!$AQ$4,'Mortality Margins &amp; Grading'!$AI$4:$AR$4,0),0),1)))</f>
        <v/>
      </c>
      <c r="AC1069" s="154"/>
      <c r="AD1069" s="158" t="str">
        <f>IF(E1069="","",Input!$C$48*IF(Summary!$D$30="Included Margin",IF(AND($B1069&gt;Input!$C$9,Summary!$D$31&lt;&gt;"Included Margin"),0,1),0))</f>
        <v/>
      </c>
      <c r="AE1069" s="159" t="str">
        <f>IF(E1069="","",IF(Summary!$D$26="Included Margin",IF(AND($B1069&gt;Input!$C$9,Summary!$D$31&lt;&gt;"Included Margin"),1,1/$R1069),1))</f>
        <v/>
      </c>
      <c r="AF1069" s="160" t="str">
        <f>IF(E1069="","",IF(AND($B1069&gt;=Input!$C$9,$C1069=12,Summary!$D$31="Included Margin",$U1069&gt;0),1/U1069-1,IF($B1069&gt;=Input!$C$9,0,Input!$C$45*IF(Summary!$D$27="Included Margin",1,0))))</f>
        <v/>
      </c>
      <c r="AG1069" s="160" t="str">
        <f>IF(E1069="","",Input!$C$46*IF(Summary!$D$28="Included Margin",IF(AND($B1069&gt;Input!$C$9,Summary!$D$31&lt;&gt;"Included Margin"),0,1),0))</f>
        <v/>
      </c>
      <c r="AH1069" s="158" t="str">
        <f>IF(E1069="","",Input!$C$47*IF(Summary!$D$29="Included Margin",IF(AND($B1069&gt;Input!$C$9,Summary!$D$31&lt;&gt;"Included Margin"),0,1),0))</f>
        <v/>
      </c>
      <c r="AI1069" s="154"/>
      <c r="AJ1069" s="158" t="str">
        <f t="shared" si="689"/>
        <v/>
      </c>
      <c r="AK1069" s="155" t="str">
        <f t="shared" si="690"/>
        <v/>
      </c>
      <c r="AL1069" s="147" t="str">
        <f t="shared" si="691"/>
        <v/>
      </c>
      <c r="AM1069" s="147" t="str">
        <f t="shared" si="676"/>
        <v/>
      </c>
      <c r="AN1069" s="160" t="str">
        <f t="shared" si="692"/>
        <v/>
      </c>
      <c r="AO1069" s="161" t="str">
        <f t="shared" si="693"/>
        <v/>
      </c>
      <c r="AP1069" s="156" t="str">
        <f t="shared" si="677"/>
        <v/>
      </c>
      <c r="AQ1069" s="152"/>
      <c r="AR1069" s="162" t="str">
        <f t="shared" si="678"/>
        <v/>
      </c>
      <c r="AS1069" s="150" t="str">
        <f t="shared" si="694"/>
        <v/>
      </c>
      <c r="AT1069" s="163" t="str">
        <f t="shared" si="679"/>
        <v/>
      </c>
      <c r="AU1069" s="163" t="str">
        <f t="shared" si="680"/>
        <v/>
      </c>
      <c r="AV1069" s="163" t="str">
        <f t="shared" si="695"/>
        <v/>
      </c>
      <c r="AW1069" s="163" t="str">
        <f t="shared" si="681"/>
        <v/>
      </c>
      <c r="AX1069" s="163" t="str">
        <f t="shared" si="682"/>
        <v/>
      </c>
      <c r="AY1069" s="164" t="str">
        <f t="shared" si="696"/>
        <v/>
      </c>
      <c r="AZ1069" s="164" t="str">
        <f>IF($E1069="","",IF(OR(AND($D1069=Input!$C$6,$C1069=12),$AN1069=1),0,-AS1070+AT1070+AU1070-AV1070-AW1070-AX1070+AZ1070))</f>
        <v/>
      </c>
      <c r="BA1069" s="154" t="str">
        <f t="shared" si="683"/>
        <v/>
      </c>
      <c r="BC1069" s="147" t="str">
        <f t="shared" si="697"/>
        <v/>
      </c>
      <c r="BD1069" s="164" t="str">
        <f>IF(AND($C1068=12,$D1068=Input!$C$6),0,IF($E1069="","",AT1069+(AU1069+BD1070)/(1+$AK1069)*MIN((1-AM1069-AN1069),1)))</f>
        <v/>
      </c>
      <c r="BE1069" s="164" t="str">
        <f t="shared" si="712"/>
        <v/>
      </c>
      <c r="BF1069" s="164" t="str">
        <f t="shared" si="698"/>
        <v/>
      </c>
      <c r="BG1069" s="164" t="str">
        <f t="shared" si="684"/>
        <v/>
      </c>
      <c r="BH1069" s="152"/>
      <c r="BI1069" s="162" t="str">
        <f t="shared" si="706"/>
        <v/>
      </c>
      <c r="BJ1069" s="150" t="str">
        <f t="shared" si="707"/>
        <v/>
      </c>
      <c r="BK1069" s="163" t="str">
        <f t="shared" si="703"/>
        <v/>
      </c>
      <c r="BL1069" s="163" t="str">
        <f t="shared" si="708"/>
        <v/>
      </c>
      <c r="BM1069" s="163" t="str">
        <f t="shared" si="704"/>
        <v/>
      </c>
      <c r="BN1069" s="163" t="str">
        <f t="shared" si="709"/>
        <v/>
      </c>
      <c r="BO1069" s="163" t="str">
        <f t="shared" si="710"/>
        <v/>
      </c>
      <c r="BP1069" s="164" t="str">
        <f t="shared" si="705"/>
        <v/>
      </c>
      <c r="BQ1069" s="164" t="str">
        <f t="shared" si="699"/>
        <v/>
      </c>
      <c r="BR1069" s="154" t="str">
        <f t="shared" si="711"/>
        <v/>
      </c>
      <c r="BT1069" s="147" t="str">
        <f t="shared" si="685"/>
        <v/>
      </c>
      <c r="BU1069" s="164" t="str">
        <f>IF(AND($C1068=12,$D1068=Input!$C$6),0,IF($E1069="","",BK1069+(BL1069+BU1070)/(1+$AK1069)*MIN((1-T1069-U1069),1)))</f>
        <v/>
      </c>
      <c r="BV1069" s="164" t="str">
        <f t="shared" si="686"/>
        <v/>
      </c>
      <c r="BW1069" s="164" t="str">
        <f t="shared" si="687"/>
        <v/>
      </c>
      <c r="BX1069" s="164" t="str">
        <f t="shared" si="688"/>
        <v/>
      </c>
    </row>
    <row r="1070" spans="1:76" s="150" customFormat="1" x14ac:dyDescent="0.25">
      <c r="A1070" s="150" t="str">
        <f t="shared" si="700"/>
        <v/>
      </c>
      <c r="B1070" s="150" t="str">
        <f t="shared" si="701"/>
        <v/>
      </c>
      <c r="C1070" s="150" t="str">
        <f t="shared" si="702"/>
        <v/>
      </c>
      <c r="D1070" s="150" t="str">
        <f>IF(E1070="","",Input!$C$4+B1070-1)</f>
        <v/>
      </c>
      <c r="E1070" s="150" t="str">
        <f>IF(OR(AND(C1069=12,D1069=Input!$C$6),E1069=""),"",1)</f>
        <v/>
      </c>
      <c r="F1070" s="150" t="str">
        <f>IF(E1070="","",Input!$C$8+B1070-1)</f>
        <v/>
      </c>
      <c r="G1070" s="151" t="str">
        <f>IF(E1070="","",MAX(0,Input!$C$9-B1070))</f>
        <v/>
      </c>
      <c r="H1070" s="152" t="str">
        <f>IF(E1070="","",Input!$C$3)</f>
        <v/>
      </c>
      <c r="I1070" s="153" t="str">
        <f>IF(E1070="","",HLOOKUP($B1070,Input!$C$13:$BT$14,2))</f>
        <v/>
      </c>
      <c r="J1070" s="154"/>
      <c r="K1070" s="155" t="str">
        <f>IF($E1070="","",INDEX(Input!$C$16:$CP$16,1,$B1070))</f>
        <v/>
      </c>
      <c r="L1070" s="155" t="str">
        <f>IF($E1070="","",Input!$C$37)</f>
        <v/>
      </c>
      <c r="M1070" s="155" t="str">
        <f t="shared" si="671"/>
        <v/>
      </c>
      <c r="N1070" s="155" t="str">
        <f t="shared" si="672"/>
        <v/>
      </c>
      <c r="O1070" s="147" t="str">
        <f>IF($E1070="","",MIN(VLOOKUP(IF($B1070&lt;=Input!$C$7,$B1070,26),'Mortality Tables'!$A$41:$CW$67,IF($B1070&lt;=Input!$C$7+1,Input!$C$4+2,$D1070-Input!$C$7+2),0)*IF(B1070&gt;20,Input!$C$22,1)/1000,1))</f>
        <v/>
      </c>
      <c r="P1070" s="147" t="str">
        <f>IF($E1070="","",MIN(VLOOKUP(IF($B1070&lt;=Input!$C$7,$B1070,26),'Mortality Tables'!$A$12:$CW$37,IF($B1070&lt;=Input!$C$7+1,Input!$C$4+2,$D1070-Input!$C$7+2),0)*IF(B1070&gt;20,Input!$C$22,1)/1000,1))</f>
        <v/>
      </c>
      <c r="Q1070" s="155" t="str">
        <f>IF($E1070="","",Input!$C$21)</f>
        <v/>
      </c>
      <c r="R1070" s="159" t="str">
        <f>IF($E1070="","",(1-Q1070)^($F1070-Input!$C$20))</f>
        <v/>
      </c>
      <c r="S1070" s="147" t="str">
        <f t="shared" si="674"/>
        <v/>
      </c>
      <c r="T1070" s="147" t="str">
        <f t="shared" si="675"/>
        <v/>
      </c>
      <c r="U1070" s="160" t="str">
        <f>IF($E1070="","",IF($C1070=12,INDEX(Input!$C$15:$CP$15,1,$B1070),0))</f>
        <v/>
      </c>
      <c r="V1070" s="150" t="str">
        <f>IF(E1070="","",IF(C1070=1,IF($B1070=1,Input!$C$33,Input!$C$34),0))</f>
        <v/>
      </c>
      <c r="W1070" s="156" t="str">
        <f>IF($E1070="","",Input!$C$35)</f>
        <v/>
      </c>
      <c r="X1070" s="156" t="str">
        <f t="shared" si="673"/>
        <v/>
      </c>
      <c r="Y1070" s="154"/>
      <c r="Z1070" s="147" t="str">
        <f>IF($E1070="","",VLOOKUP($D1070,'Mortality Margins &amp; Grading'!$AB$5:$AF$125,3,0)*IF(Summary!$D$25="Included Margin",IF(AND($B1070&gt;Input!$C$9,Summary!$D$31&lt;&gt;"Included Margin"),0,1),0))</f>
        <v/>
      </c>
      <c r="AA1070" s="147" t="str">
        <f>IF($E1070="","",VLOOKUP($D1070,'Mortality Margins &amp; Grading'!$AB$5:$AF$125,5,0)*IF(Summary!$D$25="Included Margin",IF(AND($B1070&gt;Input!$C$9,Summary!$D$31&lt;&gt;"Included Margin"),0,1),0))</f>
        <v/>
      </c>
      <c r="AB1070" s="147" t="str">
        <f>IF($E1070="","",IF(AND($B1070&gt;Input!$C$9,Summary!$D$31&lt;&gt;"Included Margin"),1,IF(Summary!$D$25="Included Margin",VLOOKUP($B1070,'Mortality Margins &amp; Grading'!$AI$5:$AR$125,MATCH('Mortality Margins &amp; Grading'!$AQ$4,'Mortality Margins &amp; Grading'!$AI$4:$AR$4,0),0),1)))</f>
        <v/>
      </c>
      <c r="AC1070" s="154"/>
      <c r="AD1070" s="158" t="str">
        <f>IF(E1070="","",Input!$C$48*IF(Summary!$D$30="Included Margin",IF(AND($B1070&gt;Input!$C$9,Summary!$D$31&lt;&gt;"Included Margin"),0,1),0))</f>
        <v/>
      </c>
      <c r="AE1070" s="159" t="str">
        <f>IF(E1070="","",IF(Summary!$D$26="Included Margin",IF(AND($B1070&gt;Input!$C$9,Summary!$D$31&lt;&gt;"Included Margin"),1,1/$R1070),1))</f>
        <v/>
      </c>
      <c r="AF1070" s="160" t="str">
        <f>IF(E1070="","",IF(AND($B1070&gt;=Input!$C$9,$C1070=12,Summary!$D$31="Included Margin",$U1070&gt;0),1/U1070-1,IF($B1070&gt;=Input!$C$9,0,Input!$C$45*IF(Summary!$D$27="Included Margin",1,0))))</f>
        <v/>
      </c>
      <c r="AG1070" s="160" t="str">
        <f>IF(E1070="","",Input!$C$46*IF(Summary!$D$28="Included Margin",IF(AND($B1070&gt;Input!$C$9,Summary!$D$31&lt;&gt;"Included Margin"),0,1),0))</f>
        <v/>
      </c>
      <c r="AH1070" s="158" t="str">
        <f>IF(E1070="","",Input!$C$47*IF(Summary!$D$29="Included Margin",IF(AND($B1070&gt;Input!$C$9,Summary!$D$31&lt;&gt;"Included Margin"),0,1),0))</f>
        <v/>
      </c>
      <c r="AI1070" s="154"/>
      <c r="AJ1070" s="158" t="str">
        <f t="shared" si="689"/>
        <v/>
      </c>
      <c r="AK1070" s="155" t="str">
        <f t="shared" si="690"/>
        <v/>
      </c>
      <c r="AL1070" s="147" t="str">
        <f t="shared" si="691"/>
        <v/>
      </c>
      <c r="AM1070" s="147" t="str">
        <f t="shared" si="676"/>
        <v/>
      </c>
      <c r="AN1070" s="160" t="str">
        <f t="shared" si="692"/>
        <v/>
      </c>
      <c r="AO1070" s="161" t="str">
        <f t="shared" si="693"/>
        <v/>
      </c>
      <c r="AP1070" s="156" t="str">
        <f t="shared" si="677"/>
        <v/>
      </c>
      <c r="AQ1070" s="152"/>
      <c r="AR1070" s="162" t="str">
        <f t="shared" si="678"/>
        <v/>
      </c>
      <c r="AS1070" s="150" t="str">
        <f t="shared" si="694"/>
        <v/>
      </c>
      <c r="AT1070" s="163" t="str">
        <f t="shared" si="679"/>
        <v/>
      </c>
      <c r="AU1070" s="163" t="str">
        <f t="shared" si="680"/>
        <v/>
      </c>
      <c r="AV1070" s="163" t="str">
        <f t="shared" si="695"/>
        <v/>
      </c>
      <c r="AW1070" s="163" t="str">
        <f t="shared" si="681"/>
        <v/>
      </c>
      <c r="AX1070" s="163" t="str">
        <f t="shared" si="682"/>
        <v/>
      </c>
      <c r="AY1070" s="165" t="str">
        <f t="shared" si="696"/>
        <v/>
      </c>
      <c r="AZ1070" s="164" t="str">
        <f>IF($E1070="","",IF(OR(AND($D1070=Input!$C$6,$C1070=12),$AN1070=1),0,-AS1071+AT1071+AU1071-AV1071-AW1071-AX1071+AZ1071))</f>
        <v/>
      </c>
      <c r="BA1070" s="154" t="str">
        <f t="shared" si="683"/>
        <v/>
      </c>
      <c r="BC1070" s="147" t="str">
        <f t="shared" si="697"/>
        <v/>
      </c>
      <c r="BD1070" s="164" t="str">
        <f>IF(AND($C1069=12,$D1069=Input!$C$6),0,IF($E1070="","",AT1070+(AU1070+BD1071)/(1+$AK1070)*MIN((1-AM1070-AN1070),1)))</f>
        <v/>
      </c>
      <c r="BE1070" s="164" t="str">
        <f t="shared" si="712"/>
        <v/>
      </c>
      <c r="BF1070" s="164" t="str">
        <f t="shared" si="698"/>
        <v/>
      </c>
      <c r="BG1070" s="164" t="str">
        <f t="shared" si="684"/>
        <v/>
      </c>
      <c r="BH1070" s="152"/>
      <c r="BI1070" s="162" t="str">
        <f t="shared" si="706"/>
        <v/>
      </c>
      <c r="BJ1070" s="150" t="str">
        <f t="shared" si="707"/>
        <v/>
      </c>
      <c r="BK1070" s="163" t="str">
        <f t="shared" si="703"/>
        <v/>
      </c>
      <c r="BL1070" s="163" t="str">
        <f t="shared" si="708"/>
        <v/>
      </c>
      <c r="BM1070" s="163" t="str">
        <f t="shared" si="704"/>
        <v/>
      </c>
      <c r="BN1070" s="163" t="str">
        <f t="shared" si="709"/>
        <v/>
      </c>
      <c r="BO1070" s="163" t="str">
        <f t="shared" si="710"/>
        <v/>
      </c>
      <c r="BP1070" s="164" t="str">
        <f t="shared" si="705"/>
        <v/>
      </c>
      <c r="BQ1070" s="164" t="str">
        <f t="shared" si="699"/>
        <v/>
      </c>
      <c r="BR1070" s="154" t="str">
        <f t="shared" si="711"/>
        <v/>
      </c>
      <c r="BT1070" s="147" t="str">
        <f t="shared" si="685"/>
        <v/>
      </c>
      <c r="BU1070" s="164" t="str">
        <f>IF(AND($C1069=12,$D1069=Input!$C$6),0,IF($E1070="","",BK1070+(BL1070+BU1071)/(1+$AK1070)*MIN((1-T1070-U1070),1)))</f>
        <v/>
      </c>
      <c r="BV1070" s="164" t="str">
        <f t="shared" si="686"/>
        <v/>
      </c>
      <c r="BW1070" s="164" t="str">
        <f t="shared" si="687"/>
        <v/>
      </c>
      <c r="BX1070" s="164" t="str">
        <f t="shared" si="688"/>
        <v/>
      </c>
    </row>
    <row r="1071" spans="1:76" s="150" customFormat="1" x14ac:dyDescent="0.25">
      <c r="A1071" s="150" t="str">
        <f t="shared" si="700"/>
        <v/>
      </c>
      <c r="B1071" s="150" t="str">
        <f t="shared" si="701"/>
        <v/>
      </c>
      <c r="C1071" s="150" t="str">
        <f t="shared" si="702"/>
        <v/>
      </c>
      <c r="D1071" s="150" t="str">
        <f>IF(E1071="","",Input!$C$4+B1071-1)</f>
        <v/>
      </c>
      <c r="E1071" s="150" t="str">
        <f>IF(OR(AND(C1070=12,D1070=Input!$C$6),E1070=""),"",1)</f>
        <v/>
      </c>
      <c r="F1071" s="150" t="str">
        <f>IF(E1071="","",Input!$C$8+B1071-1)</f>
        <v/>
      </c>
      <c r="G1071" s="151" t="str">
        <f>IF(E1071="","",MAX(0,Input!$C$9-B1071))</f>
        <v/>
      </c>
      <c r="H1071" s="152" t="str">
        <f>IF(E1071="","",Input!$C$3)</f>
        <v/>
      </c>
      <c r="I1071" s="153" t="str">
        <f>IF(E1071="","",HLOOKUP($B1071,Input!$C$13:$BT$14,2))</f>
        <v/>
      </c>
      <c r="J1071" s="154"/>
      <c r="K1071" s="155" t="str">
        <f>IF($E1071="","",INDEX(Input!$C$16:$CP$16,1,$B1071))</f>
        <v/>
      </c>
      <c r="L1071" s="155" t="str">
        <f>IF($E1071="","",Input!$C$37)</f>
        <v/>
      </c>
      <c r="M1071" s="155" t="str">
        <f t="shared" si="671"/>
        <v/>
      </c>
      <c r="N1071" s="155" t="str">
        <f t="shared" si="672"/>
        <v/>
      </c>
      <c r="O1071" s="147" t="str">
        <f>IF($E1071="","",MIN(VLOOKUP(IF($B1071&lt;=Input!$C$7,$B1071,26),'Mortality Tables'!$A$41:$CW$67,IF($B1071&lt;=Input!$C$7+1,Input!$C$4+2,$D1071-Input!$C$7+2),0)*IF(B1071&gt;20,Input!$C$22,1)/1000,1))</f>
        <v/>
      </c>
      <c r="P1071" s="147" t="str">
        <f>IF($E1071="","",MIN(VLOOKUP(IF($B1071&lt;=Input!$C$7,$B1071,26),'Mortality Tables'!$A$12:$CW$37,IF($B1071&lt;=Input!$C$7+1,Input!$C$4+2,$D1071-Input!$C$7+2),0)*IF(B1071&gt;20,Input!$C$22,1)/1000,1))</f>
        <v/>
      </c>
      <c r="Q1071" s="155" t="str">
        <f>IF($E1071="","",Input!$C$21)</f>
        <v/>
      </c>
      <c r="R1071" s="159" t="str">
        <f>IF($E1071="","",(1-Q1071)^($F1071-Input!$C$20))</f>
        <v/>
      </c>
      <c r="S1071" s="147" t="str">
        <f t="shared" si="674"/>
        <v/>
      </c>
      <c r="T1071" s="147" t="str">
        <f t="shared" si="675"/>
        <v/>
      </c>
      <c r="U1071" s="160" t="str">
        <f>IF($E1071="","",IF($C1071=12,INDEX(Input!$C$15:$CP$15,1,$B1071),0))</f>
        <v/>
      </c>
      <c r="V1071" s="150" t="str">
        <f>IF(E1071="","",IF(C1071=1,IF($B1071=1,Input!$C$33,Input!$C$34),0))</f>
        <v/>
      </c>
      <c r="W1071" s="156" t="str">
        <f>IF($E1071="","",Input!$C$35)</f>
        <v/>
      </c>
      <c r="X1071" s="156" t="str">
        <f t="shared" si="673"/>
        <v/>
      </c>
      <c r="Y1071" s="154"/>
      <c r="Z1071" s="147" t="str">
        <f>IF($E1071="","",VLOOKUP($D1071,'Mortality Margins &amp; Grading'!$AB$5:$AF$125,3,0)*IF(Summary!$D$25="Included Margin",IF(AND($B1071&gt;Input!$C$9,Summary!$D$31&lt;&gt;"Included Margin"),0,1),0))</f>
        <v/>
      </c>
      <c r="AA1071" s="147" t="str">
        <f>IF($E1071="","",VLOOKUP($D1071,'Mortality Margins &amp; Grading'!$AB$5:$AF$125,5,0)*IF(Summary!$D$25="Included Margin",IF(AND($B1071&gt;Input!$C$9,Summary!$D$31&lt;&gt;"Included Margin"),0,1),0))</f>
        <v/>
      </c>
      <c r="AB1071" s="147" t="str">
        <f>IF($E1071="","",IF(AND($B1071&gt;Input!$C$9,Summary!$D$31&lt;&gt;"Included Margin"),1,IF(Summary!$D$25="Included Margin",VLOOKUP($B1071,'Mortality Margins &amp; Grading'!$AI$5:$AR$125,MATCH('Mortality Margins &amp; Grading'!$AQ$4,'Mortality Margins &amp; Grading'!$AI$4:$AR$4,0),0),1)))</f>
        <v/>
      </c>
      <c r="AC1071" s="154"/>
      <c r="AD1071" s="158" t="str">
        <f>IF(E1071="","",Input!$C$48*IF(Summary!$D$30="Included Margin",IF(AND($B1071&gt;Input!$C$9,Summary!$D$31&lt;&gt;"Included Margin"),0,1),0))</f>
        <v/>
      </c>
      <c r="AE1071" s="159" t="str">
        <f>IF(E1071="","",IF(Summary!$D$26="Included Margin",IF(AND($B1071&gt;Input!$C$9,Summary!$D$31&lt;&gt;"Included Margin"),1,1/$R1071),1))</f>
        <v/>
      </c>
      <c r="AF1071" s="160" t="str">
        <f>IF(E1071="","",IF(AND($B1071&gt;=Input!$C$9,$C1071=12,Summary!$D$31="Included Margin",$U1071&gt;0),1/U1071-1,IF($B1071&gt;=Input!$C$9,0,Input!$C$45*IF(Summary!$D$27="Included Margin",1,0))))</f>
        <v/>
      </c>
      <c r="AG1071" s="160" t="str">
        <f>IF(E1071="","",Input!$C$46*IF(Summary!$D$28="Included Margin",IF(AND($B1071&gt;Input!$C$9,Summary!$D$31&lt;&gt;"Included Margin"),0,1),0))</f>
        <v/>
      </c>
      <c r="AH1071" s="158" t="str">
        <f>IF(E1071="","",Input!$C$47*IF(Summary!$D$29="Included Margin",IF(AND($B1071&gt;Input!$C$9,Summary!$D$31&lt;&gt;"Included Margin"),0,1),0))</f>
        <v/>
      </c>
      <c r="AI1071" s="154"/>
      <c r="AJ1071" s="158" t="str">
        <f t="shared" si="689"/>
        <v/>
      </c>
      <c r="AK1071" s="155" t="str">
        <f t="shared" si="690"/>
        <v/>
      </c>
      <c r="AL1071" s="147" t="str">
        <f t="shared" si="691"/>
        <v/>
      </c>
      <c r="AM1071" s="147" t="str">
        <f t="shared" si="676"/>
        <v/>
      </c>
      <c r="AN1071" s="160" t="str">
        <f t="shared" si="692"/>
        <v/>
      </c>
      <c r="AO1071" s="161" t="str">
        <f t="shared" si="693"/>
        <v/>
      </c>
      <c r="AP1071" s="156" t="str">
        <f t="shared" si="677"/>
        <v/>
      </c>
      <c r="AQ1071" s="152"/>
      <c r="AR1071" s="162" t="str">
        <f t="shared" si="678"/>
        <v/>
      </c>
      <c r="AS1071" s="150" t="str">
        <f t="shared" si="694"/>
        <v/>
      </c>
      <c r="AT1071" s="163" t="str">
        <f t="shared" si="679"/>
        <v/>
      </c>
      <c r="AU1071" s="163" t="str">
        <f t="shared" si="680"/>
        <v/>
      </c>
      <c r="AV1071" s="163" t="str">
        <f t="shared" si="695"/>
        <v/>
      </c>
      <c r="AW1071" s="163" t="str">
        <f t="shared" si="681"/>
        <v/>
      </c>
      <c r="AX1071" s="163" t="str">
        <f t="shared" si="682"/>
        <v/>
      </c>
      <c r="AY1071" s="164" t="str">
        <f t="shared" si="696"/>
        <v/>
      </c>
      <c r="AZ1071" s="164" t="str">
        <f>IF($E1071="","",IF(OR(AND($D1071=Input!$C$6,$C1071=12),$AN1071=1),0,-AS1072+AT1072+AU1072-AV1072-AW1072-AX1072+AZ1072))</f>
        <v/>
      </c>
      <c r="BA1071" s="154" t="str">
        <f t="shared" si="683"/>
        <v/>
      </c>
      <c r="BC1071" s="147" t="str">
        <f t="shared" si="697"/>
        <v/>
      </c>
      <c r="BD1071" s="164" t="str">
        <f>IF(AND($C1070=12,$D1070=Input!$C$6),0,IF($E1071="","",AT1071+(AU1071+BD1072)/(1+$AK1071)*MIN((1-AM1071-AN1071),1)))</f>
        <v/>
      </c>
      <c r="BE1071" s="164" t="str">
        <f t="shared" si="712"/>
        <v/>
      </c>
      <c r="BF1071" s="164" t="str">
        <f t="shared" si="698"/>
        <v/>
      </c>
      <c r="BG1071" s="164" t="str">
        <f t="shared" si="684"/>
        <v/>
      </c>
      <c r="BH1071" s="152"/>
      <c r="BI1071" s="162" t="str">
        <f t="shared" si="706"/>
        <v/>
      </c>
      <c r="BJ1071" s="150" t="str">
        <f t="shared" si="707"/>
        <v/>
      </c>
      <c r="BK1071" s="163" t="str">
        <f t="shared" si="703"/>
        <v/>
      </c>
      <c r="BL1071" s="163" t="str">
        <f t="shared" si="708"/>
        <v/>
      </c>
      <c r="BM1071" s="163" t="str">
        <f t="shared" si="704"/>
        <v/>
      </c>
      <c r="BN1071" s="163" t="str">
        <f t="shared" si="709"/>
        <v/>
      </c>
      <c r="BO1071" s="163" t="str">
        <f t="shared" si="710"/>
        <v/>
      </c>
      <c r="BP1071" s="164" t="str">
        <f t="shared" si="705"/>
        <v/>
      </c>
      <c r="BQ1071" s="164" t="str">
        <f t="shared" si="699"/>
        <v/>
      </c>
      <c r="BR1071" s="154" t="str">
        <f t="shared" si="711"/>
        <v/>
      </c>
      <c r="BT1071" s="147" t="str">
        <f t="shared" si="685"/>
        <v/>
      </c>
      <c r="BU1071" s="164" t="str">
        <f>IF(AND($C1070=12,$D1070=Input!$C$6),0,IF($E1071="","",BK1071+(BL1071+BU1072)/(1+$AK1071)*MIN((1-T1071-U1071),1)))</f>
        <v/>
      </c>
      <c r="BV1071" s="164" t="str">
        <f t="shared" si="686"/>
        <v/>
      </c>
      <c r="BW1071" s="164" t="str">
        <f t="shared" si="687"/>
        <v/>
      </c>
      <c r="BX1071" s="164" t="str">
        <f t="shared" si="688"/>
        <v/>
      </c>
    </row>
    <row r="1072" spans="1:76" s="150" customFormat="1" x14ac:dyDescent="0.25">
      <c r="A1072" s="150" t="str">
        <f t="shared" si="700"/>
        <v/>
      </c>
      <c r="B1072" s="150" t="str">
        <f t="shared" si="701"/>
        <v/>
      </c>
      <c r="C1072" s="150" t="str">
        <f t="shared" si="702"/>
        <v/>
      </c>
      <c r="D1072" s="150" t="str">
        <f>IF(E1072="","",Input!$C$4+B1072-1)</f>
        <v/>
      </c>
      <c r="E1072" s="150" t="str">
        <f>IF(OR(AND(C1071=12,D1071=Input!$C$6),E1071=""),"",1)</f>
        <v/>
      </c>
      <c r="F1072" s="150" t="str">
        <f>IF(E1072="","",Input!$C$8+B1072-1)</f>
        <v/>
      </c>
      <c r="G1072" s="151" t="str">
        <f>IF(E1072="","",MAX(0,Input!$C$9-B1072))</f>
        <v/>
      </c>
      <c r="H1072" s="152" t="str">
        <f>IF(E1072="","",Input!$C$3)</f>
        <v/>
      </c>
      <c r="I1072" s="153" t="str">
        <f>IF(E1072="","",HLOOKUP($B1072,Input!$C$13:$BT$14,2))</f>
        <v/>
      </c>
      <c r="J1072" s="154"/>
      <c r="K1072" s="155" t="str">
        <f>IF($E1072="","",INDEX(Input!$C$16:$CP$16,1,$B1072))</f>
        <v/>
      </c>
      <c r="L1072" s="155" t="str">
        <f>IF($E1072="","",Input!$C$37)</f>
        <v/>
      </c>
      <c r="M1072" s="155" t="str">
        <f t="shared" si="671"/>
        <v/>
      </c>
      <c r="N1072" s="155" t="str">
        <f t="shared" si="672"/>
        <v/>
      </c>
      <c r="O1072" s="147" t="str">
        <f>IF($E1072="","",MIN(VLOOKUP(IF($B1072&lt;=Input!$C$7,$B1072,26),'Mortality Tables'!$A$41:$CW$67,IF($B1072&lt;=Input!$C$7+1,Input!$C$4+2,$D1072-Input!$C$7+2),0)*IF(B1072&gt;20,Input!$C$22,1)/1000,1))</f>
        <v/>
      </c>
      <c r="P1072" s="147" t="str">
        <f>IF($E1072="","",MIN(VLOOKUP(IF($B1072&lt;=Input!$C$7,$B1072,26),'Mortality Tables'!$A$12:$CW$37,IF($B1072&lt;=Input!$C$7+1,Input!$C$4+2,$D1072-Input!$C$7+2),0)*IF(B1072&gt;20,Input!$C$22,1)/1000,1))</f>
        <v/>
      </c>
      <c r="Q1072" s="155" t="str">
        <f>IF($E1072="","",Input!$C$21)</f>
        <v/>
      </c>
      <c r="R1072" s="159" t="str">
        <f>IF($E1072="","",(1-Q1072)^($F1072-Input!$C$20))</f>
        <v/>
      </c>
      <c r="S1072" s="147" t="str">
        <f t="shared" si="674"/>
        <v/>
      </c>
      <c r="T1072" s="147" t="str">
        <f t="shared" si="675"/>
        <v/>
      </c>
      <c r="U1072" s="160" t="str">
        <f>IF($E1072="","",IF($C1072=12,INDEX(Input!$C$15:$CP$15,1,$B1072),0))</f>
        <v/>
      </c>
      <c r="V1072" s="150" t="str">
        <f>IF(E1072="","",IF(C1072=1,IF($B1072=1,Input!$C$33,Input!$C$34),0))</f>
        <v/>
      </c>
      <c r="W1072" s="156" t="str">
        <f>IF($E1072="","",Input!$C$35)</f>
        <v/>
      </c>
      <c r="X1072" s="156" t="str">
        <f t="shared" si="673"/>
        <v/>
      </c>
      <c r="Y1072" s="154"/>
      <c r="Z1072" s="147" t="str">
        <f>IF($E1072="","",VLOOKUP($D1072,'Mortality Margins &amp; Grading'!$AB$5:$AF$125,3,0)*IF(Summary!$D$25="Included Margin",IF(AND($B1072&gt;Input!$C$9,Summary!$D$31&lt;&gt;"Included Margin"),0,1),0))</f>
        <v/>
      </c>
      <c r="AA1072" s="147" t="str">
        <f>IF($E1072="","",VLOOKUP($D1072,'Mortality Margins &amp; Grading'!$AB$5:$AF$125,5,0)*IF(Summary!$D$25="Included Margin",IF(AND($B1072&gt;Input!$C$9,Summary!$D$31&lt;&gt;"Included Margin"),0,1),0))</f>
        <v/>
      </c>
      <c r="AB1072" s="147" t="str">
        <f>IF($E1072="","",IF(AND($B1072&gt;Input!$C$9,Summary!$D$31&lt;&gt;"Included Margin"),1,IF(Summary!$D$25="Included Margin",VLOOKUP($B1072,'Mortality Margins &amp; Grading'!$AI$5:$AR$125,MATCH('Mortality Margins &amp; Grading'!$AQ$4,'Mortality Margins &amp; Grading'!$AI$4:$AR$4,0),0),1)))</f>
        <v/>
      </c>
      <c r="AC1072" s="154"/>
      <c r="AD1072" s="158" t="str">
        <f>IF(E1072="","",Input!$C$48*IF(Summary!$D$30="Included Margin",IF(AND($B1072&gt;Input!$C$9,Summary!$D$31&lt;&gt;"Included Margin"),0,1),0))</f>
        <v/>
      </c>
      <c r="AE1072" s="159" t="str">
        <f>IF(E1072="","",IF(Summary!$D$26="Included Margin",IF(AND($B1072&gt;Input!$C$9,Summary!$D$31&lt;&gt;"Included Margin"),1,1/$R1072),1))</f>
        <v/>
      </c>
      <c r="AF1072" s="160" t="str">
        <f>IF(E1072="","",IF(AND($B1072&gt;=Input!$C$9,$C1072=12,Summary!$D$31="Included Margin",$U1072&gt;0),1/U1072-1,IF($B1072&gt;=Input!$C$9,0,Input!$C$45*IF(Summary!$D$27="Included Margin",1,0))))</f>
        <v/>
      </c>
      <c r="AG1072" s="160" t="str">
        <f>IF(E1072="","",Input!$C$46*IF(Summary!$D$28="Included Margin",IF(AND($B1072&gt;Input!$C$9,Summary!$D$31&lt;&gt;"Included Margin"),0,1),0))</f>
        <v/>
      </c>
      <c r="AH1072" s="158" t="str">
        <f>IF(E1072="","",Input!$C$47*IF(Summary!$D$29="Included Margin",IF(AND($B1072&gt;Input!$C$9,Summary!$D$31&lt;&gt;"Included Margin"),0,1),0))</f>
        <v/>
      </c>
      <c r="AI1072" s="154"/>
      <c r="AJ1072" s="158" t="str">
        <f t="shared" si="689"/>
        <v/>
      </c>
      <c r="AK1072" s="155" t="str">
        <f t="shared" si="690"/>
        <v/>
      </c>
      <c r="AL1072" s="147" t="str">
        <f t="shared" si="691"/>
        <v/>
      </c>
      <c r="AM1072" s="147" t="str">
        <f t="shared" si="676"/>
        <v/>
      </c>
      <c r="AN1072" s="160" t="str">
        <f t="shared" si="692"/>
        <v/>
      </c>
      <c r="AO1072" s="161" t="str">
        <f t="shared" si="693"/>
        <v/>
      </c>
      <c r="AP1072" s="156" t="str">
        <f t="shared" si="677"/>
        <v/>
      </c>
      <c r="AQ1072" s="152"/>
      <c r="AR1072" s="162" t="str">
        <f t="shared" si="678"/>
        <v/>
      </c>
      <c r="AS1072" s="150" t="str">
        <f t="shared" si="694"/>
        <v/>
      </c>
      <c r="AT1072" s="163" t="str">
        <f t="shared" si="679"/>
        <v/>
      </c>
      <c r="AU1072" s="163" t="str">
        <f t="shared" si="680"/>
        <v/>
      </c>
      <c r="AV1072" s="163" t="str">
        <f t="shared" si="695"/>
        <v/>
      </c>
      <c r="AW1072" s="163" t="str">
        <f t="shared" si="681"/>
        <v/>
      </c>
      <c r="AX1072" s="163" t="str">
        <f t="shared" si="682"/>
        <v/>
      </c>
      <c r="AY1072" s="165" t="str">
        <f t="shared" si="696"/>
        <v/>
      </c>
      <c r="AZ1072" s="164" t="str">
        <f>IF($E1072="","",IF(OR(AND($D1072=Input!$C$6,$C1072=12),$AN1072=1),0,-AS1073+AT1073+AU1073-AV1073-AW1073-AX1073+AZ1073))</f>
        <v/>
      </c>
      <c r="BA1072" s="154" t="str">
        <f t="shared" si="683"/>
        <v/>
      </c>
      <c r="BC1072" s="147" t="str">
        <f t="shared" si="697"/>
        <v/>
      </c>
      <c r="BD1072" s="164" t="str">
        <f>IF(AND($C1071=12,$D1071=Input!$C$6),0,IF($E1072="","",AT1072+(AU1072+BD1073)/(1+$AK1072)*MIN((1-AM1072-AN1072),1)))</f>
        <v/>
      </c>
      <c r="BE1072" s="164" t="str">
        <f t="shared" si="712"/>
        <v/>
      </c>
      <c r="BF1072" s="164" t="str">
        <f t="shared" si="698"/>
        <v/>
      </c>
      <c r="BG1072" s="164" t="str">
        <f t="shared" si="684"/>
        <v/>
      </c>
      <c r="BH1072" s="152"/>
      <c r="BI1072" s="162" t="str">
        <f t="shared" si="706"/>
        <v/>
      </c>
      <c r="BJ1072" s="150" t="str">
        <f t="shared" si="707"/>
        <v/>
      </c>
      <c r="BK1072" s="163" t="str">
        <f t="shared" si="703"/>
        <v/>
      </c>
      <c r="BL1072" s="163" t="str">
        <f t="shared" si="708"/>
        <v/>
      </c>
      <c r="BM1072" s="163" t="str">
        <f t="shared" si="704"/>
        <v/>
      </c>
      <c r="BN1072" s="163" t="str">
        <f t="shared" si="709"/>
        <v/>
      </c>
      <c r="BO1072" s="163" t="str">
        <f t="shared" si="710"/>
        <v/>
      </c>
      <c r="BP1072" s="164" t="str">
        <f t="shared" si="705"/>
        <v/>
      </c>
      <c r="BQ1072" s="164" t="str">
        <f t="shared" si="699"/>
        <v/>
      </c>
      <c r="BR1072" s="154" t="str">
        <f t="shared" si="711"/>
        <v/>
      </c>
      <c r="BT1072" s="147" t="str">
        <f t="shared" si="685"/>
        <v/>
      </c>
      <c r="BU1072" s="164" t="str">
        <f>IF(AND($C1071=12,$D1071=Input!$C$6),0,IF($E1072="","",BK1072+(BL1072+BU1073)/(1+$AK1072)*MIN((1-T1072-U1072),1)))</f>
        <v/>
      </c>
      <c r="BV1072" s="164" t="str">
        <f t="shared" si="686"/>
        <v/>
      </c>
      <c r="BW1072" s="164" t="str">
        <f t="shared" si="687"/>
        <v/>
      </c>
      <c r="BX1072" s="164" t="str">
        <f t="shared" si="688"/>
        <v/>
      </c>
    </row>
    <row r="1073" spans="1:76" s="150" customFormat="1" x14ac:dyDescent="0.25">
      <c r="A1073" s="150" t="str">
        <f t="shared" si="700"/>
        <v/>
      </c>
      <c r="B1073" s="150" t="str">
        <f t="shared" si="701"/>
        <v/>
      </c>
      <c r="C1073" s="150" t="str">
        <f t="shared" si="702"/>
        <v/>
      </c>
      <c r="D1073" s="150" t="str">
        <f>IF(E1073="","",Input!$C$4+B1073-1)</f>
        <v/>
      </c>
      <c r="E1073" s="150" t="str">
        <f>IF(OR(AND(C1072=12,D1072=Input!$C$6),E1072=""),"",1)</f>
        <v/>
      </c>
      <c r="F1073" s="150" t="str">
        <f>IF(E1073="","",Input!$C$8+B1073-1)</f>
        <v/>
      </c>
      <c r="G1073" s="151" t="str">
        <f>IF(E1073="","",MAX(0,Input!$C$9-B1073))</f>
        <v/>
      </c>
      <c r="H1073" s="152" t="str">
        <f>IF(E1073="","",Input!$C$3)</f>
        <v/>
      </c>
      <c r="I1073" s="153" t="str">
        <f>IF(E1073="","",HLOOKUP($B1073,Input!$C$13:$BT$14,2))</f>
        <v/>
      </c>
      <c r="J1073" s="154"/>
      <c r="K1073" s="155" t="str">
        <f>IF($E1073="","",INDEX(Input!$C$16:$CP$16,1,$B1073))</f>
        <v/>
      </c>
      <c r="L1073" s="155" t="str">
        <f>IF($E1073="","",Input!$C$37)</f>
        <v/>
      </c>
      <c r="M1073" s="155" t="str">
        <f t="shared" si="671"/>
        <v/>
      </c>
      <c r="N1073" s="155" t="str">
        <f t="shared" si="672"/>
        <v/>
      </c>
      <c r="O1073" s="147" t="str">
        <f>IF($E1073="","",MIN(VLOOKUP(IF($B1073&lt;=Input!$C$7,$B1073,26),'Mortality Tables'!$A$41:$CW$67,IF($B1073&lt;=Input!$C$7+1,Input!$C$4+2,$D1073-Input!$C$7+2),0)*IF(B1073&gt;20,Input!$C$22,1)/1000,1))</f>
        <v/>
      </c>
      <c r="P1073" s="147" t="str">
        <f>IF($E1073="","",MIN(VLOOKUP(IF($B1073&lt;=Input!$C$7,$B1073,26),'Mortality Tables'!$A$12:$CW$37,IF($B1073&lt;=Input!$C$7+1,Input!$C$4+2,$D1073-Input!$C$7+2),0)*IF(B1073&gt;20,Input!$C$22,1)/1000,1))</f>
        <v/>
      </c>
      <c r="Q1073" s="155" t="str">
        <f>IF($E1073="","",Input!$C$21)</f>
        <v/>
      </c>
      <c r="R1073" s="159" t="str">
        <f>IF($E1073="","",(1-Q1073)^($F1073-Input!$C$20))</f>
        <v/>
      </c>
      <c r="S1073" s="147" t="str">
        <f t="shared" si="674"/>
        <v/>
      </c>
      <c r="T1073" s="147" t="str">
        <f t="shared" si="675"/>
        <v/>
      </c>
      <c r="U1073" s="160" t="str">
        <f>IF($E1073="","",IF($C1073=12,INDEX(Input!$C$15:$CP$15,1,$B1073),0))</f>
        <v/>
      </c>
      <c r="V1073" s="150" t="str">
        <f>IF(E1073="","",IF(C1073=1,IF($B1073=1,Input!$C$33,Input!$C$34),0))</f>
        <v/>
      </c>
      <c r="W1073" s="156" t="str">
        <f>IF($E1073="","",Input!$C$35)</f>
        <v/>
      </c>
      <c r="X1073" s="156" t="str">
        <f t="shared" si="673"/>
        <v/>
      </c>
      <c r="Y1073" s="154"/>
      <c r="Z1073" s="147" t="str">
        <f>IF($E1073="","",VLOOKUP($D1073,'Mortality Margins &amp; Grading'!$AB$5:$AF$125,3,0)*IF(Summary!$D$25="Included Margin",IF(AND($B1073&gt;Input!$C$9,Summary!$D$31&lt;&gt;"Included Margin"),0,1),0))</f>
        <v/>
      </c>
      <c r="AA1073" s="147" t="str">
        <f>IF($E1073="","",VLOOKUP($D1073,'Mortality Margins &amp; Grading'!$AB$5:$AF$125,5,0)*IF(Summary!$D$25="Included Margin",IF(AND($B1073&gt;Input!$C$9,Summary!$D$31&lt;&gt;"Included Margin"),0,1),0))</f>
        <v/>
      </c>
      <c r="AB1073" s="147" t="str">
        <f>IF($E1073="","",IF(AND($B1073&gt;Input!$C$9,Summary!$D$31&lt;&gt;"Included Margin"),1,IF(Summary!$D$25="Included Margin",VLOOKUP($B1073,'Mortality Margins &amp; Grading'!$AI$5:$AR$125,MATCH('Mortality Margins &amp; Grading'!$AQ$4,'Mortality Margins &amp; Grading'!$AI$4:$AR$4,0),0),1)))</f>
        <v/>
      </c>
      <c r="AC1073" s="154"/>
      <c r="AD1073" s="158" t="str">
        <f>IF(E1073="","",Input!$C$48*IF(Summary!$D$30="Included Margin",IF(AND($B1073&gt;Input!$C$9,Summary!$D$31&lt;&gt;"Included Margin"),0,1),0))</f>
        <v/>
      </c>
      <c r="AE1073" s="159" t="str">
        <f>IF(E1073="","",IF(Summary!$D$26="Included Margin",IF(AND($B1073&gt;Input!$C$9,Summary!$D$31&lt;&gt;"Included Margin"),1,1/$R1073),1))</f>
        <v/>
      </c>
      <c r="AF1073" s="160" t="str">
        <f>IF(E1073="","",IF(AND($B1073&gt;=Input!$C$9,$C1073=12,Summary!$D$31="Included Margin",$U1073&gt;0),1/U1073-1,IF($B1073&gt;=Input!$C$9,0,Input!$C$45*IF(Summary!$D$27="Included Margin",1,0))))</f>
        <v/>
      </c>
      <c r="AG1073" s="160" t="str">
        <f>IF(E1073="","",Input!$C$46*IF(Summary!$D$28="Included Margin",IF(AND($B1073&gt;Input!$C$9,Summary!$D$31&lt;&gt;"Included Margin"),0,1),0))</f>
        <v/>
      </c>
      <c r="AH1073" s="158" t="str">
        <f>IF(E1073="","",Input!$C$47*IF(Summary!$D$29="Included Margin",IF(AND($B1073&gt;Input!$C$9,Summary!$D$31&lt;&gt;"Included Margin"),0,1),0))</f>
        <v/>
      </c>
      <c r="AI1073" s="154"/>
      <c r="AJ1073" s="158" t="str">
        <f t="shared" si="689"/>
        <v/>
      </c>
      <c r="AK1073" s="155" t="str">
        <f t="shared" si="690"/>
        <v/>
      </c>
      <c r="AL1073" s="147" t="str">
        <f t="shared" si="691"/>
        <v/>
      </c>
      <c r="AM1073" s="147" t="str">
        <f t="shared" si="676"/>
        <v/>
      </c>
      <c r="AN1073" s="160" t="str">
        <f t="shared" si="692"/>
        <v/>
      </c>
      <c r="AO1073" s="161" t="str">
        <f t="shared" si="693"/>
        <v/>
      </c>
      <c r="AP1073" s="156" t="str">
        <f t="shared" si="677"/>
        <v/>
      </c>
      <c r="AQ1073" s="152"/>
      <c r="AR1073" s="162" t="str">
        <f t="shared" si="678"/>
        <v/>
      </c>
      <c r="AS1073" s="150" t="str">
        <f t="shared" si="694"/>
        <v/>
      </c>
      <c r="AT1073" s="163" t="str">
        <f t="shared" si="679"/>
        <v/>
      </c>
      <c r="AU1073" s="163" t="str">
        <f t="shared" si="680"/>
        <v/>
      </c>
      <c r="AV1073" s="163" t="str">
        <f t="shared" si="695"/>
        <v/>
      </c>
      <c r="AW1073" s="163" t="str">
        <f t="shared" si="681"/>
        <v/>
      </c>
      <c r="AX1073" s="163" t="str">
        <f t="shared" si="682"/>
        <v/>
      </c>
      <c r="AY1073" s="164" t="str">
        <f t="shared" si="696"/>
        <v/>
      </c>
      <c r="AZ1073" s="164" t="str">
        <f>IF($E1073="","",IF(OR(AND($D1073=Input!$C$6,$C1073=12),$AN1073=1),0,-AS1074+AT1074+AU1074-AV1074-AW1074-AX1074+AZ1074))</f>
        <v/>
      </c>
      <c r="BA1073" s="154" t="str">
        <f t="shared" si="683"/>
        <v/>
      </c>
      <c r="BC1073" s="147" t="str">
        <f t="shared" si="697"/>
        <v/>
      </c>
      <c r="BD1073" s="164" t="str">
        <f>IF(AND($C1072=12,$D1072=Input!$C$6),0,IF($E1073="","",AT1073+(AU1073+BD1074)/(1+$AK1073)*MIN((1-AM1073-AN1073),1)))</f>
        <v/>
      </c>
      <c r="BE1073" s="164" t="str">
        <f t="shared" si="712"/>
        <v/>
      </c>
      <c r="BF1073" s="164" t="str">
        <f t="shared" si="698"/>
        <v/>
      </c>
      <c r="BG1073" s="164" t="str">
        <f t="shared" si="684"/>
        <v/>
      </c>
      <c r="BH1073" s="152"/>
      <c r="BI1073" s="162" t="str">
        <f t="shared" si="706"/>
        <v/>
      </c>
      <c r="BJ1073" s="150" t="str">
        <f t="shared" si="707"/>
        <v/>
      </c>
      <c r="BK1073" s="163" t="str">
        <f t="shared" si="703"/>
        <v/>
      </c>
      <c r="BL1073" s="163" t="str">
        <f t="shared" si="708"/>
        <v/>
      </c>
      <c r="BM1073" s="163" t="str">
        <f t="shared" si="704"/>
        <v/>
      </c>
      <c r="BN1073" s="163" t="str">
        <f t="shared" si="709"/>
        <v/>
      </c>
      <c r="BO1073" s="163" t="str">
        <f t="shared" si="710"/>
        <v/>
      </c>
      <c r="BP1073" s="164" t="str">
        <f t="shared" si="705"/>
        <v/>
      </c>
      <c r="BQ1073" s="164" t="str">
        <f t="shared" si="699"/>
        <v/>
      </c>
      <c r="BR1073" s="154" t="str">
        <f t="shared" si="711"/>
        <v/>
      </c>
      <c r="BT1073" s="147" t="str">
        <f t="shared" si="685"/>
        <v/>
      </c>
      <c r="BU1073" s="164" t="str">
        <f>IF(AND($C1072=12,$D1072=Input!$C$6),0,IF($E1073="","",BK1073+(BL1073+BU1074)/(1+$AK1073)*MIN((1-T1073-U1073),1)))</f>
        <v/>
      </c>
      <c r="BV1073" s="164" t="str">
        <f t="shared" si="686"/>
        <v/>
      </c>
      <c r="BW1073" s="164" t="str">
        <f t="shared" si="687"/>
        <v/>
      </c>
      <c r="BX1073" s="164" t="str">
        <f t="shared" si="688"/>
        <v/>
      </c>
    </row>
    <row r="1074" spans="1:76" s="150" customFormat="1" x14ac:dyDescent="0.25">
      <c r="A1074" s="150" t="str">
        <f t="shared" si="700"/>
        <v/>
      </c>
      <c r="B1074" s="150" t="str">
        <f t="shared" si="701"/>
        <v/>
      </c>
      <c r="C1074" s="150" t="str">
        <f t="shared" si="702"/>
        <v/>
      </c>
      <c r="D1074" s="150" t="str">
        <f>IF(E1074="","",Input!$C$4+B1074-1)</f>
        <v/>
      </c>
      <c r="E1074" s="150" t="str">
        <f>IF(OR(AND(C1073=12,D1073=Input!$C$6),E1073=""),"",1)</f>
        <v/>
      </c>
      <c r="F1074" s="150" t="str">
        <f>IF(E1074="","",Input!$C$8+B1074-1)</f>
        <v/>
      </c>
      <c r="G1074" s="151" t="str">
        <f>IF(E1074="","",MAX(0,Input!$C$9-B1074))</f>
        <v/>
      </c>
      <c r="H1074" s="152" t="str">
        <f>IF(E1074="","",Input!$C$3)</f>
        <v/>
      </c>
      <c r="I1074" s="153" t="str">
        <f>IF(E1074="","",HLOOKUP($B1074,Input!$C$13:$BT$14,2))</f>
        <v/>
      </c>
      <c r="J1074" s="154"/>
      <c r="K1074" s="155" t="str">
        <f>IF($E1074="","",INDEX(Input!$C$16:$CP$16,1,$B1074))</f>
        <v/>
      </c>
      <c r="L1074" s="155" t="str">
        <f>IF($E1074="","",Input!$C$37)</f>
        <v/>
      </c>
      <c r="M1074" s="155" t="str">
        <f t="shared" si="671"/>
        <v/>
      </c>
      <c r="N1074" s="155" t="str">
        <f t="shared" si="672"/>
        <v/>
      </c>
      <c r="O1074" s="147" t="str">
        <f>IF($E1074="","",MIN(VLOOKUP(IF($B1074&lt;=Input!$C$7,$B1074,26),'Mortality Tables'!$A$41:$CW$67,IF($B1074&lt;=Input!$C$7+1,Input!$C$4+2,$D1074-Input!$C$7+2),0)*IF(B1074&gt;20,Input!$C$22,1)/1000,1))</f>
        <v/>
      </c>
      <c r="P1074" s="147" t="str">
        <f>IF($E1074="","",MIN(VLOOKUP(IF($B1074&lt;=Input!$C$7,$B1074,26),'Mortality Tables'!$A$12:$CW$37,IF($B1074&lt;=Input!$C$7+1,Input!$C$4+2,$D1074-Input!$C$7+2),0)*IF(B1074&gt;20,Input!$C$22,1)/1000,1))</f>
        <v/>
      </c>
      <c r="Q1074" s="155" t="str">
        <f>IF($E1074="","",Input!$C$21)</f>
        <v/>
      </c>
      <c r="R1074" s="159" t="str">
        <f>IF($E1074="","",(1-Q1074)^($F1074-Input!$C$20))</f>
        <v/>
      </c>
      <c r="S1074" s="147" t="str">
        <f t="shared" si="674"/>
        <v/>
      </c>
      <c r="T1074" s="147" t="str">
        <f t="shared" si="675"/>
        <v/>
      </c>
      <c r="U1074" s="160" t="str">
        <f>IF($E1074="","",IF($C1074=12,INDEX(Input!$C$15:$CP$15,1,$B1074),0))</f>
        <v/>
      </c>
      <c r="V1074" s="150" t="str">
        <f>IF(E1074="","",IF(C1074=1,IF($B1074=1,Input!$C$33,Input!$C$34),0))</f>
        <v/>
      </c>
      <c r="W1074" s="156" t="str">
        <f>IF($E1074="","",Input!$C$35)</f>
        <v/>
      </c>
      <c r="X1074" s="156" t="str">
        <f t="shared" si="673"/>
        <v/>
      </c>
      <c r="Y1074" s="154"/>
      <c r="Z1074" s="147" t="str">
        <f>IF($E1074="","",VLOOKUP($D1074,'Mortality Margins &amp; Grading'!$AB$5:$AF$125,3,0)*IF(Summary!$D$25="Included Margin",IF(AND($B1074&gt;Input!$C$9,Summary!$D$31&lt;&gt;"Included Margin"),0,1),0))</f>
        <v/>
      </c>
      <c r="AA1074" s="147" t="str">
        <f>IF($E1074="","",VLOOKUP($D1074,'Mortality Margins &amp; Grading'!$AB$5:$AF$125,5,0)*IF(Summary!$D$25="Included Margin",IF(AND($B1074&gt;Input!$C$9,Summary!$D$31&lt;&gt;"Included Margin"),0,1),0))</f>
        <v/>
      </c>
      <c r="AB1074" s="147" t="str">
        <f>IF($E1074="","",IF(AND($B1074&gt;Input!$C$9,Summary!$D$31&lt;&gt;"Included Margin"),1,IF(Summary!$D$25="Included Margin",VLOOKUP($B1074,'Mortality Margins &amp; Grading'!$AI$5:$AR$125,MATCH('Mortality Margins &amp; Grading'!$AQ$4,'Mortality Margins &amp; Grading'!$AI$4:$AR$4,0),0),1)))</f>
        <v/>
      </c>
      <c r="AC1074" s="154"/>
      <c r="AD1074" s="158" t="str">
        <f>IF(E1074="","",Input!$C$48*IF(Summary!$D$30="Included Margin",IF(AND($B1074&gt;Input!$C$9,Summary!$D$31&lt;&gt;"Included Margin"),0,1),0))</f>
        <v/>
      </c>
      <c r="AE1074" s="159" t="str">
        <f>IF(E1074="","",IF(Summary!$D$26="Included Margin",IF(AND($B1074&gt;Input!$C$9,Summary!$D$31&lt;&gt;"Included Margin"),1,1/$R1074),1))</f>
        <v/>
      </c>
      <c r="AF1074" s="160" t="str">
        <f>IF(E1074="","",IF(AND($B1074&gt;=Input!$C$9,$C1074=12,Summary!$D$31="Included Margin",$U1074&gt;0),1/U1074-1,IF($B1074&gt;=Input!$C$9,0,Input!$C$45*IF(Summary!$D$27="Included Margin",1,0))))</f>
        <v/>
      </c>
      <c r="AG1074" s="160" t="str">
        <f>IF(E1074="","",Input!$C$46*IF(Summary!$D$28="Included Margin",IF(AND($B1074&gt;Input!$C$9,Summary!$D$31&lt;&gt;"Included Margin"),0,1),0))</f>
        <v/>
      </c>
      <c r="AH1074" s="158" t="str">
        <f>IF(E1074="","",Input!$C$47*IF(Summary!$D$29="Included Margin",IF(AND($B1074&gt;Input!$C$9,Summary!$D$31&lt;&gt;"Included Margin"),0,1),0))</f>
        <v/>
      </c>
      <c r="AI1074" s="154"/>
      <c r="AJ1074" s="158" t="str">
        <f t="shared" si="689"/>
        <v/>
      </c>
      <c r="AK1074" s="155" t="str">
        <f t="shared" si="690"/>
        <v/>
      </c>
      <c r="AL1074" s="147" t="str">
        <f t="shared" si="691"/>
        <v/>
      </c>
      <c r="AM1074" s="147" t="str">
        <f t="shared" si="676"/>
        <v/>
      </c>
      <c r="AN1074" s="160" t="str">
        <f t="shared" si="692"/>
        <v/>
      </c>
      <c r="AO1074" s="161" t="str">
        <f t="shared" si="693"/>
        <v/>
      </c>
      <c r="AP1074" s="156" t="str">
        <f t="shared" si="677"/>
        <v/>
      </c>
      <c r="AQ1074" s="152"/>
      <c r="AR1074" s="162" t="str">
        <f t="shared" si="678"/>
        <v/>
      </c>
      <c r="AS1074" s="150" t="str">
        <f t="shared" si="694"/>
        <v/>
      </c>
      <c r="AT1074" s="163" t="str">
        <f t="shared" si="679"/>
        <v/>
      </c>
      <c r="AU1074" s="163" t="str">
        <f t="shared" si="680"/>
        <v/>
      </c>
      <c r="AV1074" s="163" t="str">
        <f t="shared" si="695"/>
        <v/>
      </c>
      <c r="AW1074" s="163" t="str">
        <f t="shared" si="681"/>
        <v/>
      </c>
      <c r="AX1074" s="163" t="str">
        <f t="shared" si="682"/>
        <v/>
      </c>
      <c r="AY1074" s="165" t="str">
        <f t="shared" si="696"/>
        <v/>
      </c>
      <c r="AZ1074" s="164" t="str">
        <f>IF($E1074="","",IF(OR(AND($D1074=Input!$C$6,$C1074=12),$AN1074=1),0,-AS1075+AT1075+AU1075-AV1075-AW1075-AX1075+AZ1075))</f>
        <v/>
      </c>
      <c r="BA1074" s="154" t="str">
        <f t="shared" si="683"/>
        <v/>
      </c>
      <c r="BC1074" s="147" t="str">
        <f t="shared" si="697"/>
        <v/>
      </c>
      <c r="BD1074" s="164" t="str">
        <f>IF(AND($C1073=12,$D1073=Input!$C$6),0,IF($E1074="","",AT1074+(AU1074+BD1075)/(1+$AK1074)*MIN((1-AM1074-AN1074),1)))</f>
        <v/>
      </c>
      <c r="BE1074" s="164" t="str">
        <f t="shared" si="712"/>
        <v/>
      </c>
      <c r="BF1074" s="164" t="str">
        <f t="shared" si="698"/>
        <v/>
      </c>
      <c r="BG1074" s="164" t="str">
        <f t="shared" si="684"/>
        <v/>
      </c>
      <c r="BH1074" s="152"/>
      <c r="BI1074" s="162" t="str">
        <f t="shared" si="706"/>
        <v/>
      </c>
      <c r="BJ1074" s="150" t="str">
        <f t="shared" si="707"/>
        <v/>
      </c>
      <c r="BK1074" s="163" t="str">
        <f t="shared" si="703"/>
        <v/>
      </c>
      <c r="BL1074" s="163" t="str">
        <f t="shared" si="708"/>
        <v/>
      </c>
      <c r="BM1074" s="163" t="str">
        <f t="shared" si="704"/>
        <v/>
      </c>
      <c r="BN1074" s="163" t="str">
        <f t="shared" si="709"/>
        <v/>
      </c>
      <c r="BO1074" s="163" t="str">
        <f t="shared" si="710"/>
        <v/>
      </c>
      <c r="BP1074" s="164" t="str">
        <f t="shared" si="705"/>
        <v/>
      </c>
      <c r="BQ1074" s="164" t="str">
        <f t="shared" si="699"/>
        <v/>
      </c>
      <c r="BR1074" s="154" t="str">
        <f t="shared" si="711"/>
        <v/>
      </c>
      <c r="BT1074" s="147" t="str">
        <f t="shared" si="685"/>
        <v/>
      </c>
      <c r="BU1074" s="164" t="str">
        <f>IF(AND($C1073=12,$D1073=Input!$C$6),0,IF($E1074="","",BK1074+(BL1074+BU1075)/(1+$AK1074)*MIN((1-T1074-U1074),1)))</f>
        <v/>
      </c>
      <c r="BV1074" s="164" t="str">
        <f t="shared" si="686"/>
        <v/>
      </c>
      <c r="BW1074" s="164" t="str">
        <f t="shared" si="687"/>
        <v/>
      </c>
      <c r="BX1074" s="164" t="str">
        <f t="shared" si="688"/>
        <v/>
      </c>
    </row>
    <row r="1075" spans="1:76" s="150" customFormat="1" x14ac:dyDescent="0.25">
      <c r="A1075" s="150" t="str">
        <f t="shared" si="700"/>
        <v/>
      </c>
      <c r="B1075" s="150" t="str">
        <f t="shared" si="701"/>
        <v/>
      </c>
      <c r="C1075" s="150" t="str">
        <f t="shared" si="702"/>
        <v/>
      </c>
      <c r="D1075" s="150" t="str">
        <f>IF(E1075="","",Input!$C$4+B1075-1)</f>
        <v/>
      </c>
      <c r="E1075" s="150" t="str">
        <f>IF(OR(AND(C1074=12,D1074=Input!$C$6),E1074=""),"",1)</f>
        <v/>
      </c>
      <c r="F1075" s="150" t="str">
        <f>IF(E1075="","",Input!$C$8+B1075-1)</f>
        <v/>
      </c>
      <c r="G1075" s="151" t="str">
        <f>IF(E1075="","",MAX(0,Input!$C$9-B1075))</f>
        <v/>
      </c>
      <c r="H1075" s="152" t="str">
        <f>IF(E1075="","",Input!$C$3)</f>
        <v/>
      </c>
      <c r="I1075" s="153" t="str">
        <f>IF(E1075="","",HLOOKUP($B1075,Input!$C$13:$BT$14,2))</f>
        <v/>
      </c>
      <c r="J1075" s="154"/>
      <c r="K1075" s="155" t="str">
        <f>IF($E1075="","",INDEX(Input!$C$16:$CP$16,1,$B1075))</f>
        <v/>
      </c>
      <c r="L1075" s="155" t="str">
        <f>IF($E1075="","",Input!$C$37)</f>
        <v/>
      </c>
      <c r="M1075" s="155" t="str">
        <f t="shared" si="671"/>
        <v/>
      </c>
      <c r="N1075" s="155" t="str">
        <f t="shared" si="672"/>
        <v/>
      </c>
      <c r="O1075" s="147" t="str">
        <f>IF($E1075="","",MIN(VLOOKUP(IF($B1075&lt;=Input!$C$7,$B1075,26),'Mortality Tables'!$A$41:$CW$67,IF($B1075&lt;=Input!$C$7+1,Input!$C$4+2,$D1075-Input!$C$7+2),0)*IF(B1075&gt;20,Input!$C$22,1)/1000,1))</f>
        <v/>
      </c>
      <c r="P1075" s="147" t="str">
        <f>IF($E1075="","",MIN(VLOOKUP(IF($B1075&lt;=Input!$C$7,$B1075,26),'Mortality Tables'!$A$12:$CW$37,IF($B1075&lt;=Input!$C$7+1,Input!$C$4+2,$D1075-Input!$C$7+2),0)*IF(B1075&gt;20,Input!$C$22,1)/1000,1))</f>
        <v/>
      </c>
      <c r="Q1075" s="155" t="str">
        <f>IF($E1075="","",Input!$C$21)</f>
        <v/>
      </c>
      <c r="R1075" s="159" t="str">
        <f>IF($E1075="","",(1-Q1075)^($F1075-Input!$C$20))</f>
        <v/>
      </c>
      <c r="S1075" s="147" t="str">
        <f t="shared" si="674"/>
        <v/>
      </c>
      <c r="T1075" s="147" t="str">
        <f t="shared" si="675"/>
        <v/>
      </c>
      <c r="U1075" s="160" t="str">
        <f>IF($E1075="","",IF($C1075=12,INDEX(Input!$C$15:$CP$15,1,$B1075),0))</f>
        <v/>
      </c>
      <c r="V1075" s="150" t="str">
        <f>IF(E1075="","",IF(C1075=1,IF($B1075=1,Input!$C$33,Input!$C$34),0))</f>
        <v/>
      </c>
      <c r="W1075" s="156" t="str">
        <f>IF($E1075="","",Input!$C$35)</f>
        <v/>
      </c>
      <c r="X1075" s="156" t="str">
        <f t="shared" si="673"/>
        <v/>
      </c>
      <c r="Y1075" s="154"/>
      <c r="Z1075" s="147" t="str">
        <f>IF($E1075="","",VLOOKUP($D1075,'Mortality Margins &amp; Grading'!$AB$5:$AF$125,3,0)*IF(Summary!$D$25="Included Margin",IF(AND($B1075&gt;Input!$C$9,Summary!$D$31&lt;&gt;"Included Margin"),0,1),0))</f>
        <v/>
      </c>
      <c r="AA1075" s="147" t="str">
        <f>IF($E1075="","",VLOOKUP($D1075,'Mortality Margins &amp; Grading'!$AB$5:$AF$125,5,0)*IF(Summary!$D$25="Included Margin",IF(AND($B1075&gt;Input!$C$9,Summary!$D$31&lt;&gt;"Included Margin"),0,1),0))</f>
        <v/>
      </c>
      <c r="AB1075" s="147" t="str">
        <f>IF($E1075="","",IF(AND($B1075&gt;Input!$C$9,Summary!$D$31&lt;&gt;"Included Margin"),1,IF(Summary!$D$25="Included Margin",VLOOKUP($B1075,'Mortality Margins &amp; Grading'!$AI$5:$AR$125,MATCH('Mortality Margins &amp; Grading'!$AQ$4,'Mortality Margins &amp; Grading'!$AI$4:$AR$4,0),0),1)))</f>
        <v/>
      </c>
      <c r="AC1075" s="154"/>
      <c r="AD1075" s="158" t="str">
        <f>IF(E1075="","",Input!$C$48*IF(Summary!$D$30="Included Margin",IF(AND($B1075&gt;Input!$C$9,Summary!$D$31&lt;&gt;"Included Margin"),0,1),0))</f>
        <v/>
      </c>
      <c r="AE1075" s="159" t="str">
        <f>IF(E1075="","",IF(Summary!$D$26="Included Margin",IF(AND($B1075&gt;Input!$C$9,Summary!$D$31&lt;&gt;"Included Margin"),1,1/$R1075),1))</f>
        <v/>
      </c>
      <c r="AF1075" s="160" t="str">
        <f>IF(E1075="","",IF(AND($B1075&gt;=Input!$C$9,$C1075=12,Summary!$D$31="Included Margin",$U1075&gt;0),1/U1075-1,IF($B1075&gt;=Input!$C$9,0,Input!$C$45*IF(Summary!$D$27="Included Margin",1,0))))</f>
        <v/>
      </c>
      <c r="AG1075" s="160" t="str">
        <f>IF(E1075="","",Input!$C$46*IF(Summary!$D$28="Included Margin",IF(AND($B1075&gt;Input!$C$9,Summary!$D$31&lt;&gt;"Included Margin"),0,1),0))</f>
        <v/>
      </c>
      <c r="AH1075" s="158" t="str">
        <f>IF(E1075="","",Input!$C$47*IF(Summary!$D$29="Included Margin",IF(AND($B1075&gt;Input!$C$9,Summary!$D$31&lt;&gt;"Included Margin"),0,1),0))</f>
        <v/>
      </c>
      <c r="AI1075" s="154"/>
      <c r="AJ1075" s="158" t="str">
        <f t="shared" si="689"/>
        <v/>
      </c>
      <c r="AK1075" s="155" t="str">
        <f t="shared" si="690"/>
        <v/>
      </c>
      <c r="AL1075" s="147" t="str">
        <f t="shared" si="691"/>
        <v/>
      </c>
      <c r="AM1075" s="147" t="str">
        <f t="shared" si="676"/>
        <v/>
      </c>
      <c r="AN1075" s="160" t="str">
        <f t="shared" si="692"/>
        <v/>
      </c>
      <c r="AO1075" s="161" t="str">
        <f t="shared" si="693"/>
        <v/>
      </c>
      <c r="AP1075" s="156" t="str">
        <f t="shared" si="677"/>
        <v/>
      </c>
      <c r="AQ1075" s="152"/>
      <c r="AR1075" s="162" t="str">
        <f t="shared" si="678"/>
        <v/>
      </c>
      <c r="AS1075" s="150" t="str">
        <f t="shared" si="694"/>
        <v/>
      </c>
      <c r="AT1075" s="163" t="str">
        <f t="shared" si="679"/>
        <v/>
      </c>
      <c r="AU1075" s="163" t="str">
        <f t="shared" si="680"/>
        <v/>
      </c>
      <c r="AV1075" s="163" t="str">
        <f t="shared" si="695"/>
        <v/>
      </c>
      <c r="AW1075" s="163" t="str">
        <f t="shared" si="681"/>
        <v/>
      </c>
      <c r="AX1075" s="163" t="str">
        <f t="shared" si="682"/>
        <v/>
      </c>
      <c r="AY1075" s="164" t="str">
        <f t="shared" si="696"/>
        <v/>
      </c>
      <c r="AZ1075" s="164" t="str">
        <f>IF($E1075="","",IF(OR(AND($D1075=Input!$C$6,$C1075=12),$AN1075=1),0,-AS1076+AT1076+AU1076-AV1076-AW1076-AX1076+AZ1076))</f>
        <v/>
      </c>
      <c r="BA1075" s="154" t="str">
        <f t="shared" si="683"/>
        <v/>
      </c>
      <c r="BC1075" s="147" t="str">
        <f t="shared" si="697"/>
        <v/>
      </c>
      <c r="BD1075" s="164" t="str">
        <f>IF(AND($C1074=12,$D1074=Input!$C$6),0,IF($E1075="","",AT1075+(AU1075+BD1076)/(1+$AK1075)*MIN((1-AM1075-AN1075),1)))</f>
        <v/>
      </c>
      <c r="BE1075" s="164" t="str">
        <f t="shared" si="712"/>
        <v/>
      </c>
      <c r="BF1075" s="164" t="str">
        <f t="shared" si="698"/>
        <v/>
      </c>
      <c r="BG1075" s="164" t="str">
        <f t="shared" si="684"/>
        <v/>
      </c>
      <c r="BH1075" s="152"/>
      <c r="BI1075" s="162" t="str">
        <f t="shared" si="706"/>
        <v/>
      </c>
      <c r="BJ1075" s="150" t="str">
        <f t="shared" si="707"/>
        <v/>
      </c>
      <c r="BK1075" s="163" t="str">
        <f t="shared" si="703"/>
        <v/>
      </c>
      <c r="BL1075" s="163" t="str">
        <f t="shared" si="708"/>
        <v/>
      </c>
      <c r="BM1075" s="163" t="str">
        <f t="shared" si="704"/>
        <v/>
      </c>
      <c r="BN1075" s="163" t="str">
        <f t="shared" si="709"/>
        <v/>
      </c>
      <c r="BO1075" s="163" t="str">
        <f t="shared" si="710"/>
        <v/>
      </c>
      <c r="BP1075" s="164" t="str">
        <f t="shared" si="705"/>
        <v/>
      </c>
      <c r="BQ1075" s="164" t="str">
        <f t="shared" si="699"/>
        <v/>
      </c>
      <c r="BR1075" s="154" t="str">
        <f t="shared" si="711"/>
        <v/>
      </c>
      <c r="BT1075" s="147" t="str">
        <f t="shared" si="685"/>
        <v/>
      </c>
      <c r="BU1075" s="164" t="str">
        <f>IF(AND($C1074=12,$D1074=Input!$C$6),0,IF($E1075="","",BK1075+(BL1075+BU1076)/(1+$AK1075)*MIN((1-T1075-U1075),1)))</f>
        <v/>
      </c>
      <c r="BV1075" s="164" t="str">
        <f t="shared" si="686"/>
        <v/>
      </c>
      <c r="BW1075" s="164" t="str">
        <f t="shared" si="687"/>
        <v/>
      </c>
      <c r="BX1075" s="164" t="str">
        <f t="shared" si="688"/>
        <v/>
      </c>
    </row>
    <row r="1076" spans="1:76" s="150" customFormat="1" x14ac:dyDescent="0.25">
      <c r="A1076" s="150" t="str">
        <f t="shared" si="700"/>
        <v/>
      </c>
      <c r="B1076" s="150" t="str">
        <f t="shared" si="701"/>
        <v/>
      </c>
      <c r="C1076" s="150" t="str">
        <f t="shared" si="702"/>
        <v/>
      </c>
      <c r="D1076" s="150" t="str">
        <f>IF(E1076="","",Input!$C$4+B1076-1)</f>
        <v/>
      </c>
      <c r="E1076" s="150" t="str">
        <f>IF(OR(AND(C1075=12,D1075=Input!$C$6),E1075=""),"",1)</f>
        <v/>
      </c>
      <c r="F1076" s="150" t="str">
        <f>IF(E1076="","",Input!$C$8+B1076-1)</f>
        <v/>
      </c>
      <c r="G1076" s="151" t="str">
        <f>IF(E1076="","",MAX(0,Input!$C$9-B1076))</f>
        <v/>
      </c>
      <c r="H1076" s="152" t="str">
        <f>IF(E1076="","",Input!$C$3)</f>
        <v/>
      </c>
      <c r="I1076" s="153" t="str">
        <f>IF(E1076="","",HLOOKUP($B1076,Input!$C$13:$BT$14,2))</f>
        <v/>
      </c>
      <c r="J1076" s="154"/>
      <c r="K1076" s="155" t="str">
        <f>IF($E1076="","",INDEX(Input!$C$16:$CP$16,1,$B1076))</f>
        <v/>
      </c>
      <c r="L1076" s="155" t="str">
        <f>IF($E1076="","",Input!$C$37)</f>
        <v/>
      </c>
      <c r="M1076" s="155" t="str">
        <f t="shared" si="671"/>
        <v/>
      </c>
      <c r="N1076" s="155" t="str">
        <f t="shared" si="672"/>
        <v/>
      </c>
      <c r="O1076" s="147" t="str">
        <f>IF($E1076="","",MIN(VLOOKUP(IF($B1076&lt;=Input!$C$7,$B1076,26),'Mortality Tables'!$A$41:$CW$67,IF($B1076&lt;=Input!$C$7+1,Input!$C$4+2,$D1076-Input!$C$7+2),0)*IF(B1076&gt;20,Input!$C$22,1)/1000,1))</f>
        <v/>
      </c>
      <c r="P1076" s="147" t="str">
        <f>IF($E1076="","",MIN(VLOOKUP(IF($B1076&lt;=Input!$C$7,$B1076,26),'Mortality Tables'!$A$12:$CW$37,IF($B1076&lt;=Input!$C$7+1,Input!$C$4+2,$D1076-Input!$C$7+2),0)*IF(B1076&gt;20,Input!$C$22,1)/1000,1))</f>
        <v/>
      </c>
      <c r="Q1076" s="155" t="str">
        <f>IF($E1076="","",Input!$C$21)</f>
        <v/>
      </c>
      <c r="R1076" s="159" t="str">
        <f>IF($E1076="","",(1-Q1076)^($F1076-Input!$C$20))</f>
        <v/>
      </c>
      <c r="S1076" s="147" t="str">
        <f t="shared" si="674"/>
        <v/>
      </c>
      <c r="T1076" s="147" t="str">
        <f t="shared" si="675"/>
        <v/>
      </c>
      <c r="U1076" s="160" t="str">
        <f>IF($E1076="","",IF($C1076=12,INDEX(Input!$C$15:$CP$15,1,$B1076),0))</f>
        <v/>
      </c>
      <c r="V1076" s="150" t="str">
        <f>IF(E1076="","",IF(C1076=1,IF($B1076=1,Input!$C$33,Input!$C$34),0))</f>
        <v/>
      </c>
      <c r="W1076" s="156" t="str">
        <f>IF($E1076="","",Input!$C$35)</f>
        <v/>
      </c>
      <c r="X1076" s="156" t="str">
        <f t="shared" si="673"/>
        <v/>
      </c>
      <c r="Y1076" s="154"/>
      <c r="Z1076" s="147" t="str">
        <f>IF($E1076="","",VLOOKUP($D1076,'Mortality Margins &amp; Grading'!$AB$5:$AF$125,3,0)*IF(Summary!$D$25="Included Margin",IF(AND($B1076&gt;Input!$C$9,Summary!$D$31&lt;&gt;"Included Margin"),0,1),0))</f>
        <v/>
      </c>
      <c r="AA1076" s="147" t="str">
        <f>IF($E1076="","",VLOOKUP($D1076,'Mortality Margins &amp; Grading'!$AB$5:$AF$125,5,0)*IF(Summary!$D$25="Included Margin",IF(AND($B1076&gt;Input!$C$9,Summary!$D$31&lt;&gt;"Included Margin"),0,1),0))</f>
        <v/>
      </c>
      <c r="AB1076" s="147" t="str">
        <f>IF($E1076="","",IF(AND($B1076&gt;Input!$C$9,Summary!$D$31&lt;&gt;"Included Margin"),1,IF(Summary!$D$25="Included Margin",VLOOKUP($B1076,'Mortality Margins &amp; Grading'!$AI$5:$AR$125,MATCH('Mortality Margins &amp; Grading'!$AQ$4,'Mortality Margins &amp; Grading'!$AI$4:$AR$4,0),0),1)))</f>
        <v/>
      </c>
      <c r="AC1076" s="154"/>
      <c r="AD1076" s="158" t="str">
        <f>IF(E1076="","",Input!$C$48*IF(Summary!$D$30="Included Margin",IF(AND($B1076&gt;Input!$C$9,Summary!$D$31&lt;&gt;"Included Margin"),0,1),0))</f>
        <v/>
      </c>
      <c r="AE1076" s="159" t="str">
        <f>IF(E1076="","",IF(Summary!$D$26="Included Margin",IF(AND($B1076&gt;Input!$C$9,Summary!$D$31&lt;&gt;"Included Margin"),1,1/$R1076),1))</f>
        <v/>
      </c>
      <c r="AF1076" s="160" t="str">
        <f>IF(E1076="","",IF(AND($B1076&gt;=Input!$C$9,$C1076=12,Summary!$D$31="Included Margin",$U1076&gt;0),1/U1076-1,IF($B1076&gt;=Input!$C$9,0,Input!$C$45*IF(Summary!$D$27="Included Margin",1,0))))</f>
        <v/>
      </c>
      <c r="AG1076" s="160" t="str">
        <f>IF(E1076="","",Input!$C$46*IF(Summary!$D$28="Included Margin",IF(AND($B1076&gt;Input!$C$9,Summary!$D$31&lt;&gt;"Included Margin"),0,1),0))</f>
        <v/>
      </c>
      <c r="AH1076" s="158" t="str">
        <f>IF(E1076="","",Input!$C$47*IF(Summary!$D$29="Included Margin",IF(AND($B1076&gt;Input!$C$9,Summary!$D$31&lt;&gt;"Included Margin"),0,1),0))</f>
        <v/>
      </c>
      <c r="AI1076" s="154"/>
      <c r="AJ1076" s="158" t="str">
        <f t="shared" si="689"/>
        <v/>
      </c>
      <c r="AK1076" s="155" t="str">
        <f t="shared" si="690"/>
        <v/>
      </c>
      <c r="AL1076" s="147" t="str">
        <f t="shared" si="691"/>
        <v/>
      </c>
      <c r="AM1076" s="147" t="str">
        <f t="shared" si="676"/>
        <v/>
      </c>
      <c r="AN1076" s="160" t="str">
        <f t="shared" si="692"/>
        <v/>
      </c>
      <c r="AO1076" s="161" t="str">
        <f t="shared" si="693"/>
        <v/>
      </c>
      <c r="AP1076" s="156" t="str">
        <f t="shared" si="677"/>
        <v/>
      </c>
      <c r="AQ1076" s="152"/>
      <c r="AR1076" s="162" t="str">
        <f t="shared" si="678"/>
        <v/>
      </c>
      <c r="AS1076" s="150" t="str">
        <f t="shared" si="694"/>
        <v/>
      </c>
      <c r="AT1076" s="163" t="str">
        <f t="shared" si="679"/>
        <v/>
      </c>
      <c r="AU1076" s="163" t="str">
        <f t="shared" si="680"/>
        <v/>
      </c>
      <c r="AV1076" s="163" t="str">
        <f t="shared" si="695"/>
        <v/>
      </c>
      <c r="AW1076" s="163" t="str">
        <f t="shared" si="681"/>
        <v/>
      </c>
      <c r="AX1076" s="163" t="str">
        <f t="shared" si="682"/>
        <v/>
      </c>
      <c r="AY1076" s="165" t="str">
        <f t="shared" si="696"/>
        <v/>
      </c>
      <c r="AZ1076" s="164" t="str">
        <f>IF($E1076="","",IF(OR(AND($D1076=Input!$C$6,$C1076=12),$AN1076=1),0,-AS1077+AT1077+AU1077-AV1077-AW1077-AX1077+AZ1077))</f>
        <v/>
      </c>
      <c r="BA1076" s="154" t="str">
        <f t="shared" si="683"/>
        <v/>
      </c>
      <c r="BC1076" s="147" t="str">
        <f t="shared" si="697"/>
        <v/>
      </c>
      <c r="BD1076" s="164" t="str">
        <f>IF(AND($C1075=12,$D1075=Input!$C$6),0,IF($E1076="","",AT1076+(AU1076+BD1077)/(1+$AK1076)*MIN((1-AM1076-AN1076),1)))</f>
        <v/>
      </c>
      <c r="BE1076" s="164" t="str">
        <f t="shared" si="712"/>
        <v/>
      </c>
      <c r="BF1076" s="164" t="str">
        <f t="shared" si="698"/>
        <v/>
      </c>
      <c r="BG1076" s="164" t="str">
        <f t="shared" si="684"/>
        <v/>
      </c>
      <c r="BH1076" s="152"/>
      <c r="BI1076" s="162" t="str">
        <f t="shared" si="706"/>
        <v/>
      </c>
      <c r="BJ1076" s="150" t="str">
        <f t="shared" si="707"/>
        <v/>
      </c>
      <c r="BK1076" s="163" t="str">
        <f t="shared" si="703"/>
        <v/>
      </c>
      <c r="BL1076" s="163" t="str">
        <f t="shared" si="708"/>
        <v/>
      </c>
      <c r="BM1076" s="163" t="str">
        <f t="shared" si="704"/>
        <v/>
      </c>
      <c r="BN1076" s="163" t="str">
        <f t="shared" si="709"/>
        <v/>
      </c>
      <c r="BO1076" s="163" t="str">
        <f t="shared" si="710"/>
        <v/>
      </c>
      <c r="BP1076" s="164" t="str">
        <f t="shared" si="705"/>
        <v/>
      </c>
      <c r="BQ1076" s="164" t="str">
        <f t="shared" si="699"/>
        <v/>
      </c>
      <c r="BR1076" s="154" t="str">
        <f t="shared" si="711"/>
        <v/>
      </c>
      <c r="BT1076" s="147" t="str">
        <f t="shared" si="685"/>
        <v/>
      </c>
      <c r="BU1076" s="164" t="str">
        <f>IF(AND($C1075=12,$D1075=Input!$C$6),0,IF($E1076="","",BK1076+(BL1076+BU1077)/(1+$AK1076)*MIN((1-T1076-U1076),1)))</f>
        <v/>
      </c>
      <c r="BV1076" s="164" t="str">
        <f t="shared" si="686"/>
        <v/>
      </c>
      <c r="BW1076" s="164" t="str">
        <f t="shared" si="687"/>
        <v/>
      </c>
      <c r="BX1076" s="164" t="str">
        <f t="shared" si="688"/>
        <v/>
      </c>
    </row>
    <row r="1077" spans="1:76" s="150" customFormat="1" x14ac:dyDescent="0.25">
      <c r="A1077" s="150" t="str">
        <f t="shared" si="700"/>
        <v/>
      </c>
      <c r="B1077" s="150" t="str">
        <f t="shared" si="701"/>
        <v/>
      </c>
      <c r="C1077" s="150" t="str">
        <f t="shared" si="702"/>
        <v/>
      </c>
      <c r="D1077" s="150" t="str">
        <f>IF(E1077="","",Input!$C$4+B1077-1)</f>
        <v/>
      </c>
      <c r="E1077" s="150" t="str">
        <f>IF(OR(AND(C1076=12,D1076=Input!$C$6),E1076=""),"",1)</f>
        <v/>
      </c>
      <c r="F1077" s="150" t="str">
        <f>IF(E1077="","",Input!$C$8+B1077-1)</f>
        <v/>
      </c>
      <c r="G1077" s="151" t="str">
        <f>IF(E1077="","",MAX(0,Input!$C$9-B1077))</f>
        <v/>
      </c>
      <c r="H1077" s="152" t="str">
        <f>IF(E1077="","",Input!$C$3)</f>
        <v/>
      </c>
      <c r="I1077" s="153" t="str">
        <f>IF(E1077="","",HLOOKUP($B1077,Input!$C$13:$BT$14,2))</f>
        <v/>
      </c>
      <c r="J1077" s="154"/>
      <c r="K1077" s="155" t="str">
        <f>IF($E1077="","",INDEX(Input!$C$16:$CP$16,1,$B1077))</f>
        <v/>
      </c>
      <c r="L1077" s="155" t="str">
        <f>IF($E1077="","",Input!$C$37)</f>
        <v/>
      </c>
      <c r="M1077" s="155" t="str">
        <f t="shared" ref="M1077:M1140" si="713">IF($E1077="","",K1077+L1077)</f>
        <v/>
      </c>
      <c r="N1077" s="155" t="str">
        <f t="shared" ref="N1077:N1140" si="714">IF($E1077="","",(1+M1077)^(1/12)-1)</f>
        <v/>
      </c>
      <c r="O1077" s="147" t="str">
        <f>IF($E1077="","",MIN(VLOOKUP(IF($B1077&lt;=Input!$C$7,$B1077,26),'Mortality Tables'!$A$41:$CW$67,IF($B1077&lt;=Input!$C$7+1,Input!$C$4+2,$D1077-Input!$C$7+2),0)*IF(B1077&gt;20,Input!$C$22,1)/1000,1))</f>
        <v/>
      </c>
      <c r="P1077" s="147" t="str">
        <f>IF($E1077="","",MIN(VLOOKUP(IF($B1077&lt;=Input!$C$7,$B1077,26),'Mortality Tables'!$A$12:$CW$37,IF($B1077&lt;=Input!$C$7+1,Input!$C$4+2,$D1077-Input!$C$7+2),0)*IF(B1077&gt;20,Input!$C$22,1)/1000,1))</f>
        <v/>
      </c>
      <c r="Q1077" s="155" t="str">
        <f>IF($E1077="","",Input!$C$21)</f>
        <v/>
      </c>
      <c r="R1077" s="159" t="str">
        <f>IF($E1077="","",(1-Q1077)^($F1077-Input!$C$20))</f>
        <v/>
      </c>
      <c r="S1077" s="147" t="str">
        <f t="shared" si="674"/>
        <v/>
      </c>
      <c r="T1077" s="147" t="str">
        <f t="shared" si="675"/>
        <v/>
      </c>
      <c r="U1077" s="160" t="str">
        <f>IF($E1077="","",IF($C1077=12,INDEX(Input!$C$15:$CP$15,1,$B1077),0))</f>
        <v/>
      </c>
      <c r="V1077" s="150" t="str">
        <f>IF(E1077="","",IF(C1077=1,IF($B1077=1,Input!$C$33,Input!$C$34),0))</f>
        <v/>
      </c>
      <c r="W1077" s="156" t="str">
        <f>IF($E1077="","",Input!$C$35)</f>
        <v/>
      </c>
      <c r="X1077" s="156" t="str">
        <f t="shared" ref="X1077:X1140" si="715">IF($E1077="","",IF(B1077=1,1,IF(C1077=1,(1+W1077)*X1076,X1076)))</f>
        <v/>
      </c>
      <c r="Y1077" s="154"/>
      <c r="Z1077" s="147" t="str">
        <f>IF($E1077="","",VLOOKUP($D1077,'Mortality Margins &amp; Grading'!$AB$5:$AF$125,3,0)*IF(Summary!$D$25="Included Margin",IF(AND($B1077&gt;Input!$C$9,Summary!$D$31&lt;&gt;"Included Margin"),0,1),0))</f>
        <v/>
      </c>
      <c r="AA1077" s="147" t="str">
        <f>IF($E1077="","",VLOOKUP($D1077,'Mortality Margins &amp; Grading'!$AB$5:$AF$125,5,0)*IF(Summary!$D$25="Included Margin",IF(AND($B1077&gt;Input!$C$9,Summary!$D$31&lt;&gt;"Included Margin"),0,1),0))</f>
        <v/>
      </c>
      <c r="AB1077" s="147" t="str">
        <f>IF($E1077="","",IF(AND($B1077&gt;Input!$C$9,Summary!$D$31&lt;&gt;"Included Margin"),1,IF(Summary!$D$25="Included Margin",VLOOKUP($B1077,'Mortality Margins &amp; Grading'!$AI$5:$AR$125,MATCH('Mortality Margins &amp; Grading'!$AQ$4,'Mortality Margins &amp; Grading'!$AI$4:$AR$4,0),0),1)))</f>
        <v/>
      </c>
      <c r="AC1077" s="154"/>
      <c r="AD1077" s="158" t="str">
        <f>IF(E1077="","",Input!$C$48*IF(Summary!$D$30="Included Margin",IF(AND($B1077&gt;Input!$C$9,Summary!$D$31&lt;&gt;"Included Margin"),0,1),0))</f>
        <v/>
      </c>
      <c r="AE1077" s="159" t="str">
        <f>IF(E1077="","",IF(Summary!$D$26="Included Margin",IF(AND($B1077&gt;Input!$C$9,Summary!$D$31&lt;&gt;"Included Margin"),1,1/$R1077),1))</f>
        <v/>
      </c>
      <c r="AF1077" s="160" t="str">
        <f>IF(E1077="","",IF(AND($B1077&gt;=Input!$C$9,$C1077=12,Summary!$D$31="Included Margin",$U1077&gt;0),1/U1077-1,IF($B1077&gt;=Input!$C$9,0,Input!$C$45*IF(Summary!$D$27="Included Margin",1,0))))</f>
        <v/>
      </c>
      <c r="AG1077" s="160" t="str">
        <f>IF(E1077="","",Input!$C$46*IF(Summary!$D$28="Included Margin",IF(AND($B1077&gt;Input!$C$9,Summary!$D$31&lt;&gt;"Included Margin"),0,1),0))</f>
        <v/>
      </c>
      <c r="AH1077" s="158" t="str">
        <f>IF(E1077="","",Input!$C$47*IF(Summary!$D$29="Included Margin",IF(AND($B1077&gt;Input!$C$9,Summary!$D$31&lt;&gt;"Included Margin"),0,1),0))</f>
        <v/>
      </c>
      <c r="AI1077" s="154"/>
      <c r="AJ1077" s="158" t="str">
        <f t="shared" si="689"/>
        <v/>
      </c>
      <c r="AK1077" s="155" t="str">
        <f t="shared" si="690"/>
        <v/>
      </c>
      <c r="AL1077" s="147" t="str">
        <f t="shared" si="691"/>
        <v/>
      </c>
      <c r="AM1077" s="147" t="str">
        <f t="shared" si="676"/>
        <v/>
      </c>
      <c r="AN1077" s="160" t="str">
        <f t="shared" si="692"/>
        <v/>
      </c>
      <c r="AO1077" s="161" t="str">
        <f t="shared" si="693"/>
        <v/>
      </c>
      <c r="AP1077" s="156" t="str">
        <f t="shared" si="677"/>
        <v/>
      </c>
      <c r="AQ1077" s="152"/>
      <c r="AR1077" s="162" t="str">
        <f t="shared" si="678"/>
        <v/>
      </c>
      <c r="AS1077" s="150" t="str">
        <f t="shared" si="694"/>
        <v/>
      </c>
      <c r="AT1077" s="163" t="str">
        <f t="shared" si="679"/>
        <v/>
      </c>
      <c r="AU1077" s="163" t="str">
        <f t="shared" si="680"/>
        <v/>
      </c>
      <c r="AV1077" s="163" t="str">
        <f t="shared" si="695"/>
        <v/>
      </c>
      <c r="AW1077" s="163" t="str">
        <f t="shared" si="681"/>
        <v/>
      </c>
      <c r="AX1077" s="163" t="str">
        <f t="shared" si="682"/>
        <v/>
      </c>
      <c r="AY1077" s="164" t="str">
        <f t="shared" si="696"/>
        <v/>
      </c>
      <c r="AZ1077" s="164" t="str">
        <f>IF($E1077="","",IF(OR(AND($D1077=Input!$C$6,$C1077=12),$AN1077=1),0,-AS1078+AT1078+AU1078-AV1078-AW1078-AX1078+AZ1078))</f>
        <v/>
      </c>
      <c r="BA1077" s="154" t="str">
        <f t="shared" si="683"/>
        <v/>
      </c>
      <c r="BC1077" s="147" t="str">
        <f t="shared" si="697"/>
        <v/>
      </c>
      <c r="BD1077" s="164" t="str">
        <f>IF(AND($C1076=12,$D1076=Input!$C$6),0,IF($E1077="","",AT1077+(AU1077+BD1078)/(1+$AK1077)*MIN((1-AM1077-AN1077),1)))</f>
        <v/>
      </c>
      <c r="BE1077" s="164" t="str">
        <f t="shared" si="712"/>
        <v/>
      </c>
      <c r="BF1077" s="164" t="str">
        <f t="shared" si="698"/>
        <v/>
      </c>
      <c r="BG1077" s="164" t="str">
        <f t="shared" si="684"/>
        <v/>
      </c>
      <c r="BH1077" s="152"/>
      <c r="BI1077" s="162" t="str">
        <f t="shared" si="706"/>
        <v/>
      </c>
      <c r="BJ1077" s="150" t="str">
        <f t="shared" si="707"/>
        <v/>
      </c>
      <c r="BK1077" s="163" t="str">
        <f t="shared" si="703"/>
        <v/>
      </c>
      <c r="BL1077" s="163" t="str">
        <f t="shared" si="708"/>
        <v/>
      </c>
      <c r="BM1077" s="163" t="str">
        <f t="shared" si="704"/>
        <v/>
      </c>
      <c r="BN1077" s="163" t="str">
        <f t="shared" si="709"/>
        <v/>
      </c>
      <c r="BO1077" s="163" t="str">
        <f t="shared" si="710"/>
        <v/>
      </c>
      <c r="BP1077" s="164" t="str">
        <f t="shared" si="705"/>
        <v/>
      </c>
      <c r="BQ1077" s="164" t="str">
        <f t="shared" si="699"/>
        <v/>
      </c>
      <c r="BR1077" s="154" t="str">
        <f t="shared" si="711"/>
        <v/>
      </c>
      <c r="BT1077" s="147" t="str">
        <f t="shared" si="685"/>
        <v/>
      </c>
      <c r="BU1077" s="164" t="str">
        <f>IF(AND($C1076=12,$D1076=Input!$C$6),0,IF($E1077="","",BK1077+(BL1077+BU1078)/(1+$AK1077)*MIN((1-T1077-U1077),1)))</f>
        <v/>
      </c>
      <c r="BV1077" s="164" t="str">
        <f t="shared" si="686"/>
        <v/>
      </c>
      <c r="BW1077" s="164" t="str">
        <f t="shared" si="687"/>
        <v/>
      </c>
      <c r="BX1077" s="164" t="str">
        <f t="shared" si="688"/>
        <v/>
      </c>
    </row>
    <row r="1078" spans="1:76" s="150" customFormat="1" x14ac:dyDescent="0.25">
      <c r="A1078" s="150" t="str">
        <f t="shared" si="700"/>
        <v/>
      </c>
      <c r="B1078" s="150" t="str">
        <f t="shared" si="701"/>
        <v/>
      </c>
      <c r="C1078" s="150" t="str">
        <f t="shared" si="702"/>
        <v/>
      </c>
      <c r="D1078" s="150" t="str">
        <f>IF(E1078="","",Input!$C$4+B1078-1)</f>
        <v/>
      </c>
      <c r="E1078" s="150" t="str">
        <f>IF(OR(AND(C1077=12,D1077=Input!$C$6),E1077=""),"",1)</f>
        <v/>
      </c>
      <c r="F1078" s="150" t="str">
        <f>IF(E1078="","",Input!$C$8+B1078-1)</f>
        <v/>
      </c>
      <c r="G1078" s="151" t="str">
        <f>IF(E1078="","",MAX(0,Input!$C$9-B1078))</f>
        <v/>
      </c>
      <c r="H1078" s="152" t="str">
        <f>IF(E1078="","",Input!$C$3)</f>
        <v/>
      </c>
      <c r="I1078" s="153" t="str">
        <f>IF(E1078="","",HLOOKUP($B1078,Input!$C$13:$BT$14,2))</f>
        <v/>
      </c>
      <c r="J1078" s="154"/>
      <c r="K1078" s="155" t="str">
        <f>IF($E1078="","",INDEX(Input!$C$16:$CP$16,1,$B1078))</f>
        <v/>
      </c>
      <c r="L1078" s="155" t="str">
        <f>IF($E1078="","",Input!$C$37)</f>
        <v/>
      </c>
      <c r="M1078" s="155" t="str">
        <f t="shared" si="713"/>
        <v/>
      </c>
      <c r="N1078" s="155" t="str">
        <f t="shared" si="714"/>
        <v/>
      </c>
      <c r="O1078" s="147" t="str">
        <f>IF($E1078="","",MIN(VLOOKUP(IF($B1078&lt;=Input!$C$7,$B1078,26),'Mortality Tables'!$A$41:$CW$67,IF($B1078&lt;=Input!$C$7+1,Input!$C$4+2,$D1078-Input!$C$7+2),0)*IF(B1078&gt;20,Input!$C$22,1)/1000,1))</f>
        <v/>
      </c>
      <c r="P1078" s="147" t="str">
        <f>IF($E1078="","",MIN(VLOOKUP(IF($B1078&lt;=Input!$C$7,$B1078,26),'Mortality Tables'!$A$12:$CW$37,IF($B1078&lt;=Input!$C$7+1,Input!$C$4+2,$D1078-Input!$C$7+2),0)*IF(B1078&gt;20,Input!$C$22,1)/1000,1))</f>
        <v/>
      </c>
      <c r="Q1078" s="155" t="str">
        <f>IF($E1078="","",Input!$C$21)</f>
        <v/>
      </c>
      <c r="R1078" s="159" t="str">
        <f>IF($E1078="","",(1-Q1078)^($F1078-Input!$C$20))</f>
        <v/>
      </c>
      <c r="S1078" s="147" t="str">
        <f t="shared" si="674"/>
        <v/>
      </c>
      <c r="T1078" s="147" t="str">
        <f t="shared" si="675"/>
        <v/>
      </c>
      <c r="U1078" s="160" t="str">
        <f>IF($E1078="","",IF($C1078=12,INDEX(Input!$C$15:$CP$15,1,$B1078),0))</f>
        <v/>
      </c>
      <c r="V1078" s="150" t="str">
        <f>IF(E1078="","",IF(C1078=1,IF($B1078=1,Input!$C$33,Input!$C$34),0))</f>
        <v/>
      </c>
      <c r="W1078" s="156" t="str">
        <f>IF($E1078="","",Input!$C$35)</f>
        <v/>
      </c>
      <c r="X1078" s="156" t="str">
        <f t="shared" si="715"/>
        <v/>
      </c>
      <c r="Y1078" s="154"/>
      <c r="Z1078" s="147" t="str">
        <f>IF($E1078="","",VLOOKUP($D1078,'Mortality Margins &amp; Grading'!$AB$5:$AF$125,3,0)*IF(Summary!$D$25="Included Margin",IF(AND($B1078&gt;Input!$C$9,Summary!$D$31&lt;&gt;"Included Margin"),0,1),0))</f>
        <v/>
      </c>
      <c r="AA1078" s="147" t="str">
        <f>IF($E1078="","",VLOOKUP($D1078,'Mortality Margins &amp; Grading'!$AB$5:$AF$125,5,0)*IF(Summary!$D$25="Included Margin",IF(AND($B1078&gt;Input!$C$9,Summary!$D$31&lt;&gt;"Included Margin"),0,1),0))</f>
        <v/>
      </c>
      <c r="AB1078" s="147" t="str">
        <f>IF($E1078="","",IF(AND($B1078&gt;Input!$C$9,Summary!$D$31&lt;&gt;"Included Margin"),1,IF(Summary!$D$25="Included Margin",VLOOKUP($B1078,'Mortality Margins &amp; Grading'!$AI$5:$AR$125,MATCH('Mortality Margins &amp; Grading'!$AQ$4,'Mortality Margins &amp; Grading'!$AI$4:$AR$4,0),0),1)))</f>
        <v/>
      </c>
      <c r="AC1078" s="154"/>
      <c r="AD1078" s="158" t="str">
        <f>IF(E1078="","",Input!$C$48*IF(Summary!$D$30="Included Margin",IF(AND($B1078&gt;Input!$C$9,Summary!$D$31&lt;&gt;"Included Margin"),0,1),0))</f>
        <v/>
      </c>
      <c r="AE1078" s="159" t="str">
        <f>IF(E1078="","",IF(Summary!$D$26="Included Margin",IF(AND($B1078&gt;Input!$C$9,Summary!$D$31&lt;&gt;"Included Margin"),1,1/$R1078),1))</f>
        <v/>
      </c>
      <c r="AF1078" s="160" t="str">
        <f>IF(E1078="","",IF(AND($B1078&gt;=Input!$C$9,$C1078=12,Summary!$D$31="Included Margin",$U1078&gt;0),1/U1078-1,IF($B1078&gt;=Input!$C$9,0,Input!$C$45*IF(Summary!$D$27="Included Margin",1,0))))</f>
        <v/>
      </c>
      <c r="AG1078" s="160" t="str">
        <f>IF(E1078="","",Input!$C$46*IF(Summary!$D$28="Included Margin",IF(AND($B1078&gt;Input!$C$9,Summary!$D$31&lt;&gt;"Included Margin"),0,1),0))</f>
        <v/>
      </c>
      <c r="AH1078" s="158" t="str">
        <f>IF(E1078="","",Input!$C$47*IF(Summary!$D$29="Included Margin",IF(AND($B1078&gt;Input!$C$9,Summary!$D$31&lt;&gt;"Included Margin"),0,1),0))</f>
        <v/>
      </c>
      <c r="AI1078" s="154"/>
      <c r="AJ1078" s="158" t="str">
        <f t="shared" si="689"/>
        <v/>
      </c>
      <c r="AK1078" s="155" t="str">
        <f t="shared" si="690"/>
        <v/>
      </c>
      <c r="AL1078" s="147" t="str">
        <f t="shared" si="691"/>
        <v/>
      </c>
      <c r="AM1078" s="147" t="str">
        <f t="shared" si="676"/>
        <v/>
      </c>
      <c r="AN1078" s="160" t="str">
        <f t="shared" si="692"/>
        <v/>
      </c>
      <c r="AO1078" s="161" t="str">
        <f t="shared" si="693"/>
        <v/>
      </c>
      <c r="AP1078" s="156" t="str">
        <f t="shared" si="677"/>
        <v/>
      </c>
      <c r="AQ1078" s="152"/>
      <c r="AR1078" s="162" t="str">
        <f t="shared" si="678"/>
        <v/>
      </c>
      <c r="AS1078" s="150" t="str">
        <f t="shared" si="694"/>
        <v/>
      </c>
      <c r="AT1078" s="163" t="str">
        <f t="shared" si="679"/>
        <v/>
      </c>
      <c r="AU1078" s="163" t="str">
        <f t="shared" si="680"/>
        <v/>
      </c>
      <c r="AV1078" s="163" t="str">
        <f t="shared" si="695"/>
        <v/>
      </c>
      <c r="AW1078" s="163" t="str">
        <f t="shared" si="681"/>
        <v/>
      </c>
      <c r="AX1078" s="163" t="str">
        <f t="shared" si="682"/>
        <v/>
      </c>
      <c r="AY1078" s="165" t="str">
        <f t="shared" si="696"/>
        <v/>
      </c>
      <c r="AZ1078" s="164" t="str">
        <f>IF($E1078="","",IF(OR(AND($D1078=Input!$C$6,$C1078=12),$AN1078=1),0,-AS1079+AT1079+AU1079-AV1079-AW1079-AX1079+AZ1079))</f>
        <v/>
      </c>
      <c r="BA1078" s="154" t="str">
        <f t="shared" si="683"/>
        <v/>
      </c>
      <c r="BC1078" s="147" t="str">
        <f t="shared" si="697"/>
        <v/>
      </c>
      <c r="BD1078" s="164" t="str">
        <f>IF(AND($C1077=12,$D1077=Input!$C$6),0,IF($E1078="","",AT1078+(AU1078+BD1079)/(1+$AK1078)*MIN((1-AM1078-AN1078),1)))</f>
        <v/>
      </c>
      <c r="BE1078" s="164" t="str">
        <f t="shared" si="712"/>
        <v/>
      </c>
      <c r="BF1078" s="164" t="str">
        <f t="shared" si="698"/>
        <v/>
      </c>
      <c r="BG1078" s="164" t="str">
        <f t="shared" si="684"/>
        <v/>
      </c>
      <c r="BH1078" s="152"/>
      <c r="BI1078" s="162" t="str">
        <f t="shared" si="706"/>
        <v/>
      </c>
      <c r="BJ1078" s="150" t="str">
        <f t="shared" si="707"/>
        <v/>
      </c>
      <c r="BK1078" s="163" t="str">
        <f t="shared" si="703"/>
        <v/>
      </c>
      <c r="BL1078" s="163" t="str">
        <f t="shared" si="708"/>
        <v/>
      </c>
      <c r="BM1078" s="163" t="str">
        <f t="shared" si="704"/>
        <v/>
      </c>
      <c r="BN1078" s="163" t="str">
        <f t="shared" si="709"/>
        <v/>
      </c>
      <c r="BO1078" s="163" t="str">
        <f t="shared" si="710"/>
        <v/>
      </c>
      <c r="BP1078" s="164" t="str">
        <f t="shared" si="705"/>
        <v/>
      </c>
      <c r="BQ1078" s="164" t="str">
        <f t="shared" si="699"/>
        <v/>
      </c>
      <c r="BR1078" s="154" t="str">
        <f t="shared" si="711"/>
        <v/>
      </c>
      <c r="BT1078" s="147" t="str">
        <f t="shared" si="685"/>
        <v/>
      </c>
      <c r="BU1078" s="164" t="str">
        <f>IF(AND($C1077=12,$D1077=Input!$C$6),0,IF($E1078="","",BK1078+(BL1078+BU1079)/(1+$AK1078)*MIN((1-T1078-U1078),1)))</f>
        <v/>
      </c>
      <c r="BV1078" s="164" t="str">
        <f t="shared" si="686"/>
        <v/>
      </c>
      <c r="BW1078" s="164" t="str">
        <f t="shared" si="687"/>
        <v/>
      </c>
      <c r="BX1078" s="164" t="str">
        <f t="shared" si="688"/>
        <v/>
      </c>
    </row>
    <row r="1079" spans="1:76" s="150" customFormat="1" x14ac:dyDescent="0.25">
      <c r="A1079" s="150" t="str">
        <f t="shared" si="700"/>
        <v/>
      </c>
      <c r="B1079" s="150" t="str">
        <f t="shared" si="701"/>
        <v/>
      </c>
      <c r="C1079" s="150" t="str">
        <f t="shared" si="702"/>
        <v/>
      </c>
      <c r="D1079" s="150" t="str">
        <f>IF(E1079="","",Input!$C$4+B1079-1)</f>
        <v/>
      </c>
      <c r="E1079" s="150" t="str">
        <f>IF(OR(AND(C1078=12,D1078=Input!$C$6),E1078=""),"",1)</f>
        <v/>
      </c>
      <c r="F1079" s="150" t="str">
        <f>IF(E1079="","",Input!$C$8+B1079-1)</f>
        <v/>
      </c>
      <c r="G1079" s="151" t="str">
        <f>IF(E1079="","",MAX(0,Input!$C$9-B1079))</f>
        <v/>
      </c>
      <c r="H1079" s="152" t="str">
        <f>IF(E1079="","",Input!$C$3)</f>
        <v/>
      </c>
      <c r="I1079" s="153" t="str">
        <f>IF(E1079="","",HLOOKUP($B1079,Input!$C$13:$BT$14,2))</f>
        <v/>
      </c>
      <c r="J1079" s="154"/>
      <c r="K1079" s="155" t="str">
        <f>IF($E1079="","",INDEX(Input!$C$16:$CP$16,1,$B1079))</f>
        <v/>
      </c>
      <c r="L1079" s="155" t="str">
        <f>IF($E1079="","",Input!$C$37)</f>
        <v/>
      </c>
      <c r="M1079" s="155" t="str">
        <f t="shared" si="713"/>
        <v/>
      </c>
      <c r="N1079" s="155" t="str">
        <f t="shared" si="714"/>
        <v/>
      </c>
      <c r="O1079" s="147" t="str">
        <f>IF($E1079="","",MIN(VLOOKUP(IF($B1079&lt;=Input!$C$7,$B1079,26),'Mortality Tables'!$A$41:$CW$67,IF($B1079&lt;=Input!$C$7+1,Input!$C$4+2,$D1079-Input!$C$7+2),0)*IF(B1079&gt;20,Input!$C$22,1)/1000,1))</f>
        <v/>
      </c>
      <c r="P1079" s="147" t="str">
        <f>IF($E1079="","",MIN(VLOOKUP(IF($B1079&lt;=Input!$C$7,$B1079,26),'Mortality Tables'!$A$12:$CW$37,IF($B1079&lt;=Input!$C$7+1,Input!$C$4+2,$D1079-Input!$C$7+2),0)*IF(B1079&gt;20,Input!$C$22,1)/1000,1))</f>
        <v/>
      </c>
      <c r="Q1079" s="155" t="str">
        <f>IF($E1079="","",Input!$C$21)</f>
        <v/>
      </c>
      <c r="R1079" s="159" t="str">
        <f>IF($E1079="","",(1-Q1079)^($F1079-Input!$C$20))</f>
        <v/>
      </c>
      <c r="S1079" s="147" t="str">
        <f t="shared" si="674"/>
        <v/>
      </c>
      <c r="T1079" s="147" t="str">
        <f t="shared" si="675"/>
        <v/>
      </c>
      <c r="U1079" s="160" t="str">
        <f>IF($E1079="","",IF($C1079=12,INDEX(Input!$C$15:$CP$15,1,$B1079),0))</f>
        <v/>
      </c>
      <c r="V1079" s="150" t="str">
        <f>IF(E1079="","",IF(C1079=1,IF($B1079=1,Input!$C$33,Input!$C$34),0))</f>
        <v/>
      </c>
      <c r="W1079" s="156" t="str">
        <f>IF($E1079="","",Input!$C$35)</f>
        <v/>
      </c>
      <c r="X1079" s="156" t="str">
        <f t="shared" si="715"/>
        <v/>
      </c>
      <c r="Y1079" s="154"/>
      <c r="Z1079" s="147" t="str">
        <f>IF($E1079="","",VLOOKUP($D1079,'Mortality Margins &amp; Grading'!$AB$5:$AF$125,3,0)*IF(Summary!$D$25="Included Margin",IF(AND($B1079&gt;Input!$C$9,Summary!$D$31&lt;&gt;"Included Margin"),0,1),0))</f>
        <v/>
      </c>
      <c r="AA1079" s="147" t="str">
        <f>IF($E1079="","",VLOOKUP($D1079,'Mortality Margins &amp; Grading'!$AB$5:$AF$125,5,0)*IF(Summary!$D$25="Included Margin",IF(AND($B1079&gt;Input!$C$9,Summary!$D$31&lt;&gt;"Included Margin"),0,1),0))</f>
        <v/>
      </c>
      <c r="AB1079" s="147" t="str">
        <f>IF($E1079="","",IF(AND($B1079&gt;Input!$C$9,Summary!$D$31&lt;&gt;"Included Margin"),1,IF(Summary!$D$25="Included Margin",VLOOKUP($B1079,'Mortality Margins &amp; Grading'!$AI$5:$AR$125,MATCH('Mortality Margins &amp; Grading'!$AQ$4,'Mortality Margins &amp; Grading'!$AI$4:$AR$4,0),0),1)))</f>
        <v/>
      </c>
      <c r="AC1079" s="154"/>
      <c r="AD1079" s="158" t="str">
        <f>IF(E1079="","",Input!$C$48*IF(Summary!$D$30="Included Margin",IF(AND($B1079&gt;Input!$C$9,Summary!$D$31&lt;&gt;"Included Margin"),0,1),0))</f>
        <v/>
      </c>
      <c r="AE1079" s="159" t="str">
        <f>IF(E1079="","",IF(Summary!$D$26="Included Margin",IF(AND($B1079&gt;Input!$C$9,Summary!$D$31&lt;&gt;"Included Margin"),1,1/$R1079),1))</f>
        <v/>
      </c>
      <c r="AF1079" s="160" t="str">
        <f>IF(E1079="","",IF(AND($B1079&gt;=Input!$C$9,$C1079=12,Summary!$D$31="Included Margin",$U1079&gt;0),1/U1079-1,IF($B1079&gt;=Input!$C$9,0,Input!$C$45*IF(Summary!$D$27="Included Margin",1,0))))</f>
        <v/>
      </c>
      <c r="AG1079" s="160" t="str">
        <f>IF(E1079="","",Input!$C$46*IF(Summary!$D$28="Included Margin",IF(AND($B1079&gt;Input!$C$9,Summary!$D$31&lt;&gt;"Included Margin"),0,1),0))</f>
        <v/>
      </c>
      <c r="AH1079" s="158" t="str">
        <f>IF(E1079="","",Input!$C$47*IF(Summary!$D$29="Included Margin",IF(AND($B1079&gt;Input!$C$9,Summary!$D$31&lt;&gt;"Included Margin"),0,1),0))</f>
        <v/>
      </c>
      <c r="AI1079" s="154"/>
      <c r="AJ1079" s="158" t="str">
        <f t="shared" si="689"/>
        <v/>
      </c>
      <c r="AK1079" s="155" t="str">
        <f t="shared" si="690"/>
        <v/>
      </c>
      <c r="AL1079" s="147" t="str">
        <f t="shared" si="691"/>
        <v/>
      </c>
      <c r="AM1079" s="147" t="str">
        <f t="shared" si="676"/>
        <v/>
      </c>
      <c r="AN1079" s="160" t="str">
        <f t="shared" si="692"/>
        <v/>
      </c>
      <c r="AO1079" s="161" t="str">
        <f t="shared" si="693"/>
        <v/>
      </c>
      <c r="AP1079" s="156" t="str">
        <f t="shared" si="677"/>
        <v/>
      </c>
      <c r="AQ1079" s="152"/>
      <c r="AR1079" s="162" t="str">
        <f t="shared" si="678"/>
        <v/>
      </c>
      <c r="AS1079" s="150" t="str">
        <f t="shared" si="694"/>
        <v/>
      </c>
      <c r="AT1079" s="163" t="str">
        <f t="shared" si="679"/>
        <v/>
      </c>
      <c r="AU1079" s="163" t="str">
        <f t="shared" si="680"/>
        <v/>
      </c>
      <c r="AV1079" s="163" t="str">
        <f t="shared" si="695"/>
        <v/>
      </c>
      <c r="AW1079" s="163" t="str">
        <f t="shared" si="681"/>
        <v/>
      </c>
      <c r="AX1079" s="163" t="str">
        <f t="shared" si="682"/>
        <v/>
      </c>
      <c r="AY1079" s="164" t="str">
        <f t="shared" si="696"/>
        <v/>
      </c>
      <c r="AZ1079" s="164" t="str">
        <f>IF($E1079="","",IF(OR(AND($D1079=Input!$C$6,$C1079=12),$AN1079=1),0,-AS1080+AT1080+AU1080-AV1080-AW1080-AX1080+AZ1080))</f>
        <v/>
      </c>
      <c r="BA1079" s="154" t="str">
        <f t="shared" si="683"/>
        <v/>
      </c>
      <c r="BC1079" s="147" t="str">
        <f t="shared" si="697"/>
        <v/>
      </c>
      <c r="BD1079" s="164" t="str">
        <f>IF(AND($C1078=12,$D1078=Input!$C$6),0,IF($E1079="","",AT1079+(AU1079+BD1080)/(1+$AK1079)*MIN((1-AM1079-AN1079),1)))</f>
        <v/>
      </c>
      <c r="BE1079" s="164" t="str">
        <f t="shared" si="712"/>
        <v/>
      </c>
      <c r="BF1079" s="164" t="str">
        <f t="shared" si="698"/>
        <v/>
      </c>
      <c r="BG1079" s="164" t="str">
        <f t="shared" si="684"/>
        <v/>
      </c>
      <c r="BH1079" s="152"/>
      <c r="BI1079" s="162" t="str">
        <f t="shared" si="706"/>
        <v/>
      </c>
      <c r="BJ1079" s="150" t="str">
        <f t="shared" si="707"/>
        <v/>
      </c>
      <c r="BK1079" s="163" t="str">
        <f t="shared" si="703"/>
        <v/>
      </c>
      <c r="BL1079" s="163" t="str">
        <f t="shared" si="708"/>
        <v/>
      </c>
      <c r="BM1079" s="163" t="str">
        <f t="shared" si="704"/>
        <v/>
      </c>
      <c r="BN1079" s="163" t="str">
        <f t="shared" si="709"/>
        <v/>
      </c>
      <c r="BO1079" s="163" t="str">
        <f t="shared" si="710"/>
        <v/>
      </c>
      <c r="BP1079" s="164" t="str">
        <f t="shared" si="705"/>
        <v/>
      </c>
      <c r="BQ1079" s="164" t="str">
        <f t="shared" si="699"/>
        <v/>
      </c>
      <c r="BR1079" s="154" t="str">
        <f t="shared" si="711"/>
        <v/>
      </c>
      <c r="BT1079" s="147" t="str">
        <f t="shared" si="685"/>
        <v/>
      </c>
      <c r="BU1079" s="164" t="str">
        <f>IF(AND($C1078=12,$D1078=Input!$C$6),0,IF($E1079="","",BK1079+(BL1079+BU1080)/(1+$AK1079)*MIN((1-T1079-U1079),1)))</f>
        <v/>
      </c>
      <c r="BV1079" s="164" t="str">
        <f t="shared" si="686"/>
        <v/>
      </c>
      <c r="BW1079" s="164" t="str">
        <f t="shared" si="687"/>
        <v/>
      </c>
      <c r="BX1079" s="164" t="str">
        <f t="shared" si="688"/>
        <v/>
      </c>
    </row>
    <row r="1080" spans="1:76" s="150" customFormat="1" x14ac:dyDescent="0.25">
      <c r="A1080" s="150" t="str">
        <f t="shared" si="700"/>
        <v/>
      </c>
      <c r="B1080" s="150" t="str">
        <f t="shared" si="701"/>
        <v/>
      </c>
      <c r="C1080" s="150" t="str">
        <f t="shared" si="702"/>
        <v/>
      </c>
      <c r="D1080" s="150" t="str">
        <f>IF(E1080="","",Input!$C$4+B1080-1)</f>
        <v/>
      </c>
      <c r="E1080" s="150" t="str">
        <f>IF(OR(AND(C1079=12,D1079=Input!$C$6),E1079=""),"",1)</f>
        <v/>
      </c>
      <c r="F1080" s="150" t="str">
        <f>IF(E1080="","",Input!$C$8+B1080-1)</f>
        <v/>
      </c>
      <c r="G1080" s="151" t="str">
        <f>IF(E1080="","",MAX(0,Input!$C$9-B1080))</f>
        <v/>
      </c>
      <c r="H1080" s="152" t="str">
        <f>IF(E1080="","",Input!$C$3)</f>
        <v/>
      </c>
      <c r="I1080" s="153" t="str">
        <f>IF(E1080="","",HLOOKUP($B1080,Input!$C$13:$BT$14,2))</f>
        <v/>
      </c>
      <c r="J1080" s="154"/>
      <c r="K1080" s="155" t="str">
        <f>IF($E1080="","",INDEX(Input!$C$16:$CP$16,1,$B1080))</f>
        <v/>
      </c>
      <c r="L1080" s="155" t="str">
        <f>IF($E1080="","",Input!$C$37)</f>
        <v/>
      </c>
      <c r="M1080" s="155" t="str">
        <f t="shared" si="713"/>
        <v/>
      </c>
      <c r="N1080" s="155" t="str">
        <f t="shared" si="714"/>
        <v/>
      </c>
      <c r="O1080" s="147" t="str">
        <f>IF($E1080="","",MIN(VLOOKUP(IF($B1080&lt;=Input!$C$7,$B1080,26),'Mortality Tables'!$A$41:$CW$67,IF($B1080&lt;=Input!$C$7+1,Input!$C$4+2,$D1080-Input!$C$7+2),0)*IF(B1080&gt;20,Input!$C$22,1)/1000,1))</f>
        <v/>
      </c>
      <c r="P1080" s="147" t="str">
        <f>IF($E1080="","",MIN(VLOOKUP(IF($B1080&lt;=Input!$C$7,$B1080,26),'Mortality Tables'!$A$12:$CW$37,IF($B1080&lt;=Input!$C$7+1,Input!$C$4+2,$D1080-Input!$C$7+2),0)*IF(B1080&gt;20,Input!$C$22,1)/1000,1))</f>
        <v/>
      </c>
      <c r="Q1080" s="155" t="str">
        <f>IF($E1080="","",Input!$C$21)</f>
        <v/>
      </c>
      <c r="R1080" s="159" t="str">
        <f>IF($E1080="","",(1-Q1080)^($F1080-Input!$C$20))</f>
        <v/>
      </c>
      <c r="S1080" s="147" t="str">
        <f t="shared" si="674"/>
        <v/>
      </c>
      <c r="T1080" s="147" t="str">
        <f t="shared" si="675"/>
        <v/>
      </c>
      <c r="U1080" s="160" t="str">
        <f>IF($E1080="","",IF($C1080=12,INDEX(Input!$C$15:$CP$15,1,$B1080),0))</f>
        <v/>
      </c>
      <c r="V1080" s="150" t="str">
        <f>IF(E1080="","",IF(C1080=1,IF($B1080=1,Input!$C$33,Input!$C$34),0))</f>
        <v/>
      </c>
      <c r="W1080" s="156" t="str">
        <f>IF($E1080="","",Input!$C$35)</f>
        <v/>
      </c>
      <c r="X1080" s="156" t="str">
        <f t="shared" si="715"/>
        <v/>
      </c>
      <c r="Y1080" s="154"/>
      <c r="Z1080" s="147" t="str">
        <f>IF($E1080="","",VLOOKUP($D1080,'Mortality Margins &amp; Grading'!$AB$5:$AF$125,3,0)*IF(Summary!$D$25="Included Margin",IF(AND($B1080&gt;Input!$C$9,Summary!$D$31&lt;&gt;"Included Margin"),0,1),0))</f>
        <v/>
      </c>
      <c r="AA1080" s="147" t="str">
        <f>IF($E1080="","",VLOOKUP($D1080,'Mortality Margins &amp; Grading'!$AB$5:$AF$125,5,0)*IF(Summary!$D$25="Included Margin",IF(AND($B1080&gt;Input!$C$9,Summary!$D$31&lt;&gt;"Included Margin"),0,1),0))</f>
        <v/>
      </c>
      <c r="AB1080" s="147" t="str">
        <f>IF($E1080="","",IF(AND($B1080&gt;Input!$C$9,Summary!$D$31&lt;&gt;"Included Margin"),1,IF(Summary!$D$25="Included Margin",VLOOKUP($B1080,'Mortality Margins &amp; Grading'!$AI$5:$AR$125,MATCH('Mortality Margins &amp; Grading'!$AQ$4,'Mortality Margins &amp; Grading'!$AI$4:$AR$4,0),0),1)))</f>
        <v/>
      </c>
      <c r="AC1080" s="154"/>
      <c r="AD1080" s="158" t="str">
        <f>IF(E1080="","",Input!$C$48*IF(Summary!$D$30="Included Margin",IF(AND($B1080&gt;Input!$C$9,Summary!$D$31&lt;&gt;"Included Margin"),0,1),0))</f>
        <v/>
      </c>
      <c r="AE1080" s="159" t="str">
        <f>IF(E1080="","",IF(Summary!$D$26="Included Margin",IF(AND($B1080&gt;Input!$C$9,Summary!$D$31&lt;&gt;"Included Margin"),1,1/$R1080),1))</f>
        <v/>
      </c>
      <c r="AF1080" s="160" t="str">
        <f>IF(E1080="","",IF(AND($B1080&gt;=Input!$C$9,$C1080=12,Summary!$D$31="Included Margin",$U1080&gt;0),1/U1080-1,IF($B1080&gt;=Input!$C$9,0,Input!$C$45*IF(Summary!$D$27="Included Margin",1,0))))</f>
        <v/>
      </c>
      <c r="AG1080" s="160" t="str">
        <f>IF(E1080="","",Input!$C$46*IF(Summary!$D$28="Included Margin",IF(AND($B1080&gt;Input!$C$9,Summary!$D$31&lt;&gt;"Included Margin"),0,1),0))</f>
        <v/>
      </c>
      <c r="AH1080" s="158" t="str">
        <f>IF(E1080="","",Input!$C$47*IF(Summary!$D$29="Included Margin",IF(AND($B1080&gt;Input!$C$9,Summary!$D$31&lt;&gt;"Included Margin"),0,1),0))</f>
        <v/>
      </c>
      <c r="AI1080" s="154"/>
      <c r="AJ1080" s="158" t="str">
        <f t="shared" si="689"/>
        <v/>
      </c>
      <c r="AK1080" s="155" t="str">
        <f t="shared" si="690"/>
        <v/>
      </c>
      <c r="AL1080" s="147" t="str">
        <f t="shared" si="691"/>
        <v/>
      </c>
      <c r="AM1080" s="147" t="str">
        <f t="shared" si="676"/>
        <v/>
      </c>
      <c r="AN1080" s="160" t="str">
        <f t="shared" si="692"/>
        <v/>
      </c>
      <c r="AO1080" s="161" t="str">
        <f t="shared" si="693"/>
        <v/>
      </c>
      <c r="AP1080" s="156" t="str">
        <f t="shared" si="677"/>
        <v/>
      </c>
      <c r="AQ1080" s="152"/>
      <c r="AR1080" s="162" t="str">
        <f t="shared" si="678"/>
        <v/>
      </c>
      <c r="AS1080" s="150" t="str">
        <f t="shared" si="694"/>
        <v/>
      </c>
      <c r="AT1080" s="163" t="str">
        <f t="shared" si="679"/>
        <v/>
      </c>
      <c r="AU1080" s="163" t="str">
        <f t="shared" si="680"/>
        <v/>
      </c>
      <c r="AV1080" s="163" t="str">
        <f t="shared" si="695"/>
        <v/>
      </c>
      <c r="AW1080" s="163" t="str">
        <f t="shared" si="681"/>
        <v/>
      </c>
      <c r="AX1080" s="163" t="str">
        <f t="shared" si="682"/>
        <v/>
      </c>
      <c r="AY1080" s="165" t="str">
        <f t="shared" si="696"/>
        <v/>
      </c>
      <c r="AZ1080" s="164" t="str">
        <f>IF($E1080="","",IF(OR(AND($D1080=Input!$C$6,$C1080=12),$AN1080=1),0,-AS1081+AT1081+AU1081-AV1081-AW1081-AX1081+AZ1081))</f>
        <v/>
      </c>
      <c r="BA1080" s="154" t="str">
        <f t="shared" si="683"/>
        <v/>
      </c>
      <c r="BC1080" s="147" t="str">
        <f t="shared" si="697"/>
        <v/>
      </c>
      <c r="BD1080" s="164" t="str">
        <f>IF(AND($C1079=12,$D1079=Input!$C$6),0,IF($E1080="","",AT1080+(AU1080+BD1081)/(1+$AK1080)*MIN((1-AM1080-AN1080),1)))</f>
        <v/>
      </c>
      <c r="BE1080" s="164" t="str">
        <f t="shared" si="712"/>
        <v/>
      </c>
      <c r="BF1080" s="164" t="str">
        <f t="shared" si="698"/>
        <v/>
      </c>
      <c r="BG1080" s="164" t="str">
        <f t="shared" si="684"/>
        <v/>
      </c>
      <c r="BH1080" s="152"/>
      <c r="BI1080" s="162" t="str">
        <f t="shared" si="706"/>
        <v/>
      </c>
      <c r="BJ1080" s="150" t="str">
        <f t="shared" si="707"/>
        <v/>
      </c>
      <c r="BK1080" s="163" t="str">
        <f t="shared" si="703"/>
        <v/>
      </c>
      <c r="BL1080" s="163" t="str">
        <f t="shared" si="708"/>
        <v/>
      </c>
      <c r="BM1080" s="163" t="str">
        <f t="shared" si="704"/>
        <v/>
      </c>
      <c r="BN1080" s="163" t="str">
        <f t="shared" si="709"/>
        <v/>
      </c>
      <c r="BO1080" s="163" t="str">
        <f t="shared" si="710"/>
        <v/>
      </c>
      <c r="BP1080" s="164" t="str">
        <f t="shared" si="705"/>
        <v/>
      </c>
      <c r="BQ1080" s="164" t="str">
        <f t="shared" si="699"/>
        <v/>
      </c>
      <c r="BR1080" s="154" t="str">
        <f t="shared" si="711"/>
        <v/>
      </c>
      <c r="BT1080" s="147" t="str">
        <f t="shared" si="685"/>
        <v/>
      </c>
      <c r="BU1080" s="164" t="str">
        <f>IF(AND($C1079=12,$D1079=Input!$C$6),0,IF($E1080="","",BK1080+(BL1080+BU1081)/(1+$AK1080)*MIN((1-T1080-U1080),1)))</f>
        <v/>
      </c>
      <c r="BV1080" s="164" t="str">
        <f t="shared" si="686"/>
        <v/>
      </c>
      <c r="BW1080" s="164" t="str">
        <f t="shared" si="687"/>
        <v/>
      </c>
      <c r="BX1080" s="164" t="str">
        <f t="shared" si="688"/>
        <v/>
      </c>
    </row>
    <row r="1081" spans="1:76" s="150" customFormat="1" x14ac:dyDescent="0.25">
      <c r="A1081" s="150" t="str">
        <f t="shared" si="700"/>
        <v/>
      </c>
      <c r="B1081" s="150" t="str">
        <f t="shared" si="701"/>
        <v/>
      </c>
      <c r="C1081" s="150" t="str">
        <f t="shared" si="702"/>
        <v/>
      </c>
      <c r="D1081" s="150" t="str">
        <f>IF(E1081="","",Input!$C$4+B1081-1)</f>
        <v/>
      </c>
      <c r="E1081" s="150" t="str">
        <f>IF(OR(AND(C1080=12,D1080=Input!$C$6),E1080=""),"",1)</f>
        <v/>
      </c>
      <c r="F1081" s="150" t="str">
        <f>IF(E1081="","",Input!$C$8+B1081-1)</f>
        <v/>
      </c>
      <c r="G1081" s="151" t="str">
        <f>IF(E1081="","",MAX(0,Input!$C$9-B1081))</f>
        <v/>
      </c>
      <c r="H1081" s="152" t="str">
        <f>IF(E1081="","",Input!$C$3)</f>
        <v/>
      </c>
      <c r="I1081" s="153" t="str">
        <f>IF(E1081="","",HLOOKUP($B1081,Input!$C$13:$BT$14,2))</f>
        <v/>
      </c>
      <c r="J1081" s="154"/>
      <c r="K1081" s="155" t="str">
        <f>IF($E1081="","",INDEX(Input!$C$16:$CP$16,1,$B1081))</f>
        <v/>
      </c>
      <c r="L1081" s="155" t="str">
        <f>IF($E1081="","",Input!$C$37)</f>
        <v/>
      </c>
      <c r="M1081" s="155" t="str">
        <f t="shared" si="713"/>
        <v/>
      </c>
      <c r="N1081" s="155" t="str">
        <f t="shared" si="714"/>
        <v/>
      </c>
      <c r="O1081" s="147" t="str">
        <f>IF($E1081="","",MIN(VLOOKUP(IF($B1081&lt;=Input!$C$7,$B1081,26),'Mortality Tables'!$A$41:$CW$67,IF($B1081&lt;=Input!$C$7+1,Input!$C$4+2,$D1081-Input!$C$7+2),0)*IF(B1081&gt;20,Input!$C$22,1)/1000,1))</f>
        <v/>
      </c>
      <c r="P1081" s="147" t="str">
        <f>IF($E1081="","",MIN(VLOOKUP(IF($B1081&lt;=Input!$C$7,$B1081,26),'Mortality Tables'!$A$12:$CW$37,IF($B1081&lt;=Input!$C$7+1,Input!$C$4+2,$D1081-Input!$C$7+2),0)*IF(B1081&gt;20,Input!$C$22,1)/1000,1))</f>
        <v/>
      </c>
      <c r="Q1081" s="155" t="str">
        <f>IF($E1081="","",Input!$C$21)</f>
        <v/>
      </c>
      <c r="R1081" s="159" t="str">
        <f>IF($E1081="","",(1-Q1081)^($F1081-Input!$C$20))</f>
        <v/>
      </c>
      <c r="S1081" s="147" t="str">
        <f t="shared" si="674"/>
        <v/>
      </c>
      <c r="T1081" s="147" t="str">
        <f t="shared" si="675"/>
        <v/>
      </c>
      <c r="U1081" s="160" t="str">
        <f>IF($E1081="","",IF($C1081=12,INDEX(Input!$C$15:$CP$15,1,$B1081),0))</f>
        <v/>
      </c>
      <c r="V1081" s="150" t="str">
        <f>IF(E1081="","",IF(C1081=1,IF($B1081=1,Input!$C$33,Input!$C$34),0))</f>
        <v/>
      </c>
      <c r="W1081" s="156" t="str">
        <f>IF($E1081="","",Input!$C$35)</f>
        <v/>
      </c>
      <c r="X1081" s="156" t="str">
        <f t="shared" si="715"/>
        <v/>
      </c>
      <c r="Y1081" s="154"/>
      <c r="Z1081" s="147" t="str">
        <f>IF($E1081="","",VLOOKUP($D1081,'Mortality Margins &amp; Grading'!$AB$5:$AF$125,3,0)*IF(Summary!$D$25="Included Margin",IF(AND($B1081&gt;Input!$C$9,Summary!$D$31&lt;&gt;"Included Margin"),0,1),0))</f>
        <v/>
      </c>
      <c r="AA1081" s="147" t="str">
        <f>IF($E1081="","",VLOOKUP($D1081,'Mortality Margins &amp; Grading'!$AB$5:$AF$125,5,0)*IF(Summary!$D$25="Included Margin",IF(AND($B1081&gt;Input!$C$9,Summary!$D$31&lt;&gt;"Included Margin"),0,1),0))</f>
        <v/>
      </c>
      <c r="AB1081" s="147" t="str">
        <f>IF($E1081="","",IF(AND($B1081&gt;Input!$C$9,Summary!$D$31&lt;&gt;"Included Margin"),1,IF(Summary!$D$25="Included Margin",VLOOKUP($B1081,'Mortality Margins &amp; Grading'!$AI$5:$AR$125,MATCH('Mortality Margins &amp; Grading'!$AQ$4,'Mortality Margins &amp; Grading'!$AI$4:$AR$4,0),0),1)))</f>
        <v/>
      </c>
      <c r="AC1081" s="154"/>
      <c r="AD1081" s="158" t="str">
        <f>IF(E1081="","",Input!$C$48*IF(Summary!$D$30="Included Margin",IF(AND($B1081&gt;Input!$C$9,Summary!$D$31&lt;&gt;"Included Margin"),0,1),0))</f>
        <v/>
      </c>
      <c r="AE1081" s="159" t="str">
        <f>IF(E1081="","",IF(Summary!$D$26="Included Margin",IF(AND($B1081&gt;Input!$C$9,Summary!$D$31&lt;&gt;"Included Margin"),1,1/$R1081),1))</f>
        <v/>
      </c>
      <c r="AF1081" s="160" t="str">
        <f>IF(E1081="","",IF(AND($B1081&gt;=Input!$C$9,$C1081=12,Summary!$D$31="Included Margin",$U1081&gt;0),1/U1081-1,IF($B1081&gt;=Input!$C$9,0,Input!$C$45*IF(Summary!$D$27="Included Margin",1,0))))</f>
        <v/>
      </c>
      <c r="AG1081" s="160" t="str">
        <f>IF(E1081="","",Input!$C$46*IF(Summary!$D$28="Included Margin",IF(AND($B1081&gt;Input!$C$9,Summary!$D$31&lt;&gt;"Included Margin"),0,1),0))</f>
        <v/>
      </c>
      <c r="AH1081" s="158" t="str">
        <f>IF(E1081="","",Input!$C$47*IF(Summary!$D$29="Included Margin",IF(AND($B1081&gt;Input!$C$9,Summary!$D$31&lt;&gt;"Included Margin"),0,1),0))</f>
        <v/>
      </c>
      <c r="AI1081" s="154"/>
      <c r="AJ1081" s="158" t="str">
        <f t="shared" si="689"/>
        <v/>
      </c>
      <c r="AK1081" s="155" t="str">
        <f t="shared" si="690"/>
        <v/>
      </c>
      <c r="AL1081" s="147" t="str">
        <f t="shared" si="691"/>
        <v/>
      </c>
      <c r="AM1081" s="147" t="str">
        <f t="shared" si="676"/>
        <v/>
      </c>
      <c r="AN1081" s="160" t="str">
        <f t="shared" si="692"/>
        <v/>
      </c>
      <c r="AO1081" s="161" t="str">
        <f t="shared" si="693"/>
        <v/>
      </c>
      <c r="AP1081" s="156" t="str">
        <f t="shared" si="677"/>
        <v/>
      </c>
      <c r="AQ1081" s="152"/>
      <c r="AR1081" s="162" t="str">
        <f t="shared" si="678"/>
        <v/>
      </c>
      <c r="AS1081" s="150" t="str">
        <f t="shared" si="694"/>
        <v/>
      </c>
      <c r="AT1081" s="163" t="str">
        <f t="shared" si="679"/>
        <v/>
      </c>
      <c r="AU1081" s="163" t="str">
        <f t="shared" si="680"/>
        <v/>
      </c>
      <c r="AV1081" s="163" t="str">
        <f t="shared" si="695"/>
        <v/>
      </c>
      <c r="AW1081" s="163" t="str">
        <f t="shared" si="681"/>
        <v/>
      </c>
      <c r="AX1081" s="163" t="str">
        <f t="shared" si="682"/>
        <v/>
      </c>
      <c r="AY1081" s="164" t="str">
        <f t="shared" si="696"/>
        <v/>
      </c>
      <c r="AZ1081" s="164" t="str">
        <f>IF($E1081="","",IF(OR(AND($D1081=Input!$C$6,$C1081=12),$AN1081=1),0,-AS1082+AT1082+AU1082-AV1082-AW1082-AX1082+AZ1082))</f>
        <v/>
      </c>
      <c r="BA1081" s="154" t="str">
        <f t="shared" si="683"/>
        <v/>
      </c>
      <c r="BC1081" s="147" t="str">
        <f t="shared" si="697"/>
        <v/>
      </c>
      <c r="BD1081" s="164" t="str">
        <f>IF(AND($C1080=12,$D1080=Input!$C$6),0,IF($E1081="","",AT1081+(AU1081+BD1082)/(1+$AK1081)*MIN((1-AM1081-AN1081),1)))</f>
        <v/>
      </c>
      <c r="BE1081" s="164" t="str">
        <f t="shared" si="712"/>
        <v/>
      </c>
      <c r="BF1081" s="164" t="str">
        <f t="shared" si="698"/>
        <v/>
      </c>
      <c r="BG1081" s="164" t="str">
        <f t="shared" si="684"/>
        <v/>
      </c>
      <c r="BH1081" s="152"/>
      <c r="BI1081" s="162" t="str">
        <f t="shared" si="706"/>
        <v/>
      </c>
      <c r="BJ1081" s="150" t="str">
        <f t="shared" si="707"/>
        <v/>
      </c>
      <c r="BK1081" s="163" t="str">
        <f t="shared" si="703"/>
        <v/>
      </c>
      <c r="BL1081" s="163" t="str">
        <f t="shared" si="708"/>
        <v/>
      </c>
      <c r="BM1081" s="163" t="str">
        <f t="shared" si="704"/>
        <v/>
      </c>
      <c r="BN1081" s="163" t="str">
        <f t="shared" si="709"/>
        <v/>
      </c>
      <c r="BO1081" s="163" t="str">
        <f t="shared" si="710"/>
        <v/>
      </c>
      <c r="BP1081" s="164" t="str">
        <f t="shared" si="705"/>
        <v/>
      </c>
      <c r="BQ1081" s="164" t="str">
        <f t="shared" si="699"/>
        <v/>
      </c>
      <c r="BR1081" s="154" t="str">
        <f t="shared" si="711"/>
        <v/>
      </c>
      <c r="BT1081" s="147" t="str">
        <f t="shared" si="685"/>
        <v/>
      </c>
      <c r="BU1081" s="164" t="str">
        <f>IF(AND($C1080=12,$D1080=Input!$C$6),0,IF($E1081="","",BK1081+(BL1081+BU1082)/(1+$AK1081)*MIN((1-T1081-U1081),1)))</f>
        <v/>
      </c>
      <c r="BV1081" s="164" t="str">
        <f t="shared" si="686"/>
        <v/>
      </c>
      <c r="BW1081" s="164" t="str">
        <f t="shared" si="687"/>
        <v/>
      </c>
      <c r="BX1081" s="164" t="str">
        <f t="shared" si="688"/>
        <v/>
      </c>
    </row>
    <row r="1082" spans="1:76" s="150" customFormat="1" x14ac:dyDescent="0.25">
      <c r="A1082" s="150" t="str">
        <f t="shared" si="700"/>
        <v/>
      </c>
      <c r="B1082" s="150" t="str">
        <f t="shared" si="701"/>
        <v/>
      </c>
      <c r="C1082" s="150" t="str">
        <f t="shared" si="702"/>
        <v/>
      </c>
      <c r="D1082" s="150" t="str">
        <f>IF(E1082="","",Input!$C$4+B1082-1)</f>
        <v/>
      </c>
      <c r="E1082" s="150" t="str">
        <f>IF(OR(AND(C1081=12,D1081=Input!$C$6),E1081=""),"",1)</f>
        <v/>
      </c>
      <c r="F1082" s="150" t="str">
        <f>IF(E1082="","",Input!$C$8+B1082-1)</f>
        <v/>
      </c>
      <c r="G1082" s="151" t="str">
        <f>IF(E1082="","",MAX(0,Input!$C$9-B1082))</f>
        <v/>
      </c>
      <c r="H1082" s="152" t="str">
        <f>IF(E1082="","",Input!$C$3)</f>
        <v/>
      </c>
      <c r="I1082" s="153" t="str">
        <f>IF(E1082="","",HLOOKUP($B1082,Input!$C$13:$BT$14,2))</f>
        <v/>
      </c>
      <c r="J1082" s="154"/>
      <c r="K1082" s="155" t="str">
        <f>IF($E1082="","",INDEX(Input!$C$16:$CP$16,1,$B1082))</f>
        <v/>
      </c>
      <c r="L1082" s="155" t="str">
        <f>IF($E1082="","",Input!$C$37)</f>
        <v/>
      </c>
      <c r="M1082" s="155" t="str">
        <f t="shared" si="713"/>
        <v/>
      </c>
      <c r="N1082" s="155" t="str">
        <f t="shared" si="714"/>
        <v/>
      </c>
      <c r="O1082" s="147" t="str">
        <f>IF($E1082="","",MIN(VLOOKUP(IF($B1082&lt;=Input!$C$7,$B1082,26),'Mortality Tables'!$A$41:$CW$67,IF($B1082&lt;=Input!$C$7+1,Input!$C$4+2,$D1082-Input!$C$7+2),0)*IF(B1082&gt;20,Input!$C$22,1)/1000,1))</f>
        <v/>
      </c>
      <c r="P1082" s="147" t="str">
        <f>IF($E1082="","",MIN(VLOOKUP(IF($B1082&lt;=Input!$C$7,$B1082,26),'Mortality Tables'!$A$12:$CW$37,IF($B1082&lt;=Input!$C$7+1,Input!$C$4+2,$D1082-Input!$C$7+2),0)*IF(B1082&gt;20,Input!$C$22,1)/1000,1))</f>
        <v/>
      </c>
      <c r="Q1082" s="155" t="str">
        <f>IF($E1082="","",Input!$C$21)</f>
        <v/>
      </c>
      <c r="R1082" s="159" t="str">
        <f>IF($E1082="","",(1-Q1082)^($F1082-Input!$C$20))</f>
        <v/>
      </c>
      <c r="S1082" s="147" t="str">
        <f t="shared" si="674"/>
        <v/>
      </c>
      <c r="T1082" s="147" t="str">
        <f t="shared" si="675"/>
        <v/>
      </c>
      <c r="U1082" s="160" t="str">
        <f>IF($E1082="","",IF($C1082=12,INDEX(Input!$C$15:$CP$15,1,$B1082),0))</f>
        <v/>
      </c>
      <c r="V1082" s="150" t="str">
        <f>IF(E1082="","",IF(C1082=1,IF($B1082=1,Input!$C$33,Input!$C$34),0))</f>
        <v/>
      </c>
      <c r="W1082" s="156" t="str">
        <f>IF($E1082="","",Input!$C$35)</f>
        <v/>
      </c>
      <c r="X1082" s="156" t="str">
        <f t="shared" si="715"/>
        <v/>
      </c>
      <c r="Y1082" s="154"/>
      <c r="Z1082" s="147" t="str">
        <f>IF($E1082="","",VLOOKUP($D1082,'Mortality Margins &amp; Grading'!$AB$5:$AF$125,3,0)*IF(Summary!$D$25="Included Margin",IF(AND($B1082&gt;Input!$C$9,Summary!$D$31&lt;&gt;"Included Margin"),0,1),0))</f>
        <v/>
      </c>
      <c r="AA1082" s="147" t="str">
        <f>IF($E1082="","",VLOOKUP($D1082,'Mortality Margins &amp; Grading'!$AB$5:$AF$125,5,0)*IF(Summary!$D$25="Included Margin",IF(AND($B1082&gt;Input!$C$9,Summary!$D$31&lt;&gt;"Included Margin"),0,1),0))</f>
        <v/>
      </c>
      <c r="AB1082" s="147" t="str">
        <f>IF($E1082="","",IF(AND($B1082&gt;Input!$C$9,Summary!$D$31&lt;&gt;"Included Margin"),1,IF(Summary!$D$25="Included Margin",VLOOKUP($B1082,'Mortality Margins &amp; Grading'!$AI$5:$AR$125,MATCH('Mortality Margins &amp; Grading'!$AQ$4,'Mortality Margins &amp; Grading'!$AI$4:$AR$4,0),0),1)))</f>
        <v/>
      </c>
      <c r="AC1082" s="154"/>
      <c r="AD1082" s="158" t="str">
        <f>IF(E1082="","",Input!$C$48*IF(Summary!$D$30="Included Margin",IF(AND($B1082&gt;Input!$C$9,Summary!$D$31&lt;&gt;"Included Margin"),0,1),0))</f>
        <v/>
      </c>
      <c r="AE1082" s="159" t="str">
        <f>IF(E1082="","",IF(Summary!$D$26="Included Margin",IF(AND($B1082&gt;Input!$C$9,Summary!$D$31&lt;&gt;"Included Margin"),1,1/$R1082),1))</f>
        <v/>
      </c>
      <c r="AF1082" s="160" t="str">
        <f>IF(E1082="","",IF(AND($B1082&gt;=Input!$C$9,$C1082=12,Summary!$D$31="Included Margin",$U1082&gt;0),1/U1082-1,IF($B1082&gt;=Input!$C$9,0,Input!$C$45*IF(Summary!$D$27="Included Margin",1,0))))</f>
        <v/>
      </c>
      <c r="AG1082" s="160" t="str">
        <f>IF(E1082="","",Input!$C$46*IF(Summary!$D$28="Included Margin",IF(AND($B1082&gt;Input!$C$9,Summary!$D$31&lt;&gt;"Included Margin"),0,1),0))</f>
        <v/>
      </c>
      <c r="AH1082" s="158" t="str">
        <f>IF(E1082="","",Input!$C$47*IF(Summary!$D$29="Included Margin",IF(AND($B1082&gt;Input!$C$9,Summary!$D$31&lt;&gt;"Included Margin"),0,1),0))</f>
        <v/>
      </c>
      <c r="AI1082" s="154"/>
      <c r="AJ1082" s="158" t="str">
        <f t="shared" si="689"/>
        <v/>
      </c>
      <c r="AK1082" s="155" t="str">
        <f t="shared" si="690"/>
        <v/>
      </c>
      <c r="AL1082" s="147" t="str">
        <f t="shared" si="691"/>
        <v/>
      </c>
      <c r="AM1082" s="147" t="str">
        <f t="shared" si="676"/>
        <v/>
      </c>
      <c r="AN1082" s="160" t="str">
        <f t="shared" si="692"/>
        <v/>
      </c>
      <c r="AO1082" s="161" t="str">
        <f t="shared" si="693"/>
        <v/>
      </c>
      <c r="AP1082" s="156" t="str">
        <f t="shared" si="677"/>
        <v/>
      </c>
      <c r="AQ1082" s="152"/>
      <c r="AR1082" s="162" t="str">
        <f t="shared" si="678"/>
        <v/>
      </c>
      <c r="AS1082" s="150" t="str">
        <f t="shared" si="694"/>
        <v/>
      </c>
      <c r="AT1082" s="163" t="str">
        <f t="shared" si="679"/>
        <v/>
      </c>
      <c r="AU1082" s="163" t="str">
        <f t="shared" si="680"/>
        <v/>
      </c>
      <c r="AV1082" s="163" t="str">
        <f t="shared" si="695"/>
        <v/>
      </c>
      <c r="AW1082" s="163" t="str">
        <f t="shared" si="681"/>
        <v/>
      </c>
      <c r="AX1082" s="163" t="str">
        <f t="shared" si="682"/>
        <v/>
      </c>
      <c r="AY1082" s="165" t="str">
        <f t="shared" si="696"/>
        <v/>
      </c>
      <c r="AZ1082" s="164" t="str">
        <f>IF($E1082="","",IF(OR(AND($D1082=Input!$C$6,$C1082=12),$AN1082=1),0,-AS1083+AT1083+AU1083-AV1083-AW1083-AX1083+AZ1083))</f>
        <v/>
      </c>
      <c r="BA1082" s="154" t="str">
        <f t="shared" si="683"/>
        <v/>
      </c>
      <c r="BC1082" s="147" t="str">
        <f t="shared" si="697"/>
        <v/>
      </c>
      <c r="BD1082" s="164" t="str">
        <f>IF(AND($C1081=12,$D1081=Input!$C$6),0,IF($E1082="","",AT1082+(AU1082+BD1083)/(1+$AK1082)*MIN((1-AM1082-AN1082),1)))</f>
        <v/>
      </c>
      <c r="BE1082" s="164" t="str">
        <f t="shared" si="712"/>
        <v/>
      </c>
      <c r="BF1082" s="164" t="str">
        <f t="shared" si="698"/>
        <v/>
      </c>
      <c r="BG1082" s="164" t="str">
        <f t="shared" si="684"/>
        <v/>
      </c>
      <c r="BH1082" s="152"/>
      <c r="BI1082" s="162" t="str">
        <f t="shared" si="706"/>
        <v/>
      </c>
      <c r="BJ1082" s="150" t="str">
        <f t="shared" si="707"/>
        <v/>
      </c>
      <c r="BK1082" s="163" t="str">
        <f t="shared" si="703"/>
        <v/>
      </c>
      <c r="BL1082" s="163" t="str">
        <f t="shared" si="708"/>
        <v/>
      </c>
      <c r="BM1082" s="163" t="str">
        <f t="shared" si="704"/>
        <v/>
      </c>
      <c r="BN1082" s="163" t="str">
        <f t="shared" si="709"/>
        <v/>
      </c>
      <c r="BO1082" s="163" t="str">
        <f t="shared" si="710"/>
        <v/>
      </c>
      <c r="BP1082" s="164" t="str">
        <f t="shared" si="705"/>
        <v/>
      </c>
      <c r="BQ1082" s="164" t="str">
        <f t="shared" si="699"/>
        <v/>
      </c>
      <c r="BR1082" s="154" t="str">
        <f t="shared" si="711"/>
        <v/>
      </c>
      <c r="BT1082" s="147" t="str">
        <f t="shared" si="685"/>
        <v/>
      </c>
      <c r="BU1082" s="164" t="str">
        <f>IF(AND($C1081=12,$D1081=Input!$C$6),0,IF($E1082="","",BK1082+(BL1082+BU1083)/(1+$AK1082)*MIN((1-T1082-U1082),1)))</f>
        <v/>
      </c>
      <c r="BV1082" s="164" t="str">
        <f t="shared" si="686"/>
        <v/>
      </c>
      <c r="BW1082" s="164" t="str">
        <f t="shared" si="687"/>
        <v/>
      </c>
      <c r="BX1082" s="164" t="str">
        <f t="shared" si="688"/>
        <v/>
      </c>
    </row>
    <row r="1083" spans="1:76" s="150" customFormat="1" x14ac:dyDescent="0.25">
      <c r="A1083" s="150" t="str">
        <f t="shared" si="700"/>
        <v/>
      </c>
      <c r="B1083" s="150" t="str">
        <f t="shared" si="701"/>
        <v/>
      </c>
      <c r="C1083" s="150" t="str">
        <f t="shared" si="702"/>
        <v/>
      </c>
      <c r="D1083" s="150" t="str">
        <f>IF(E1083="","",Input!$C$4+B1083-1)</f>
        <v/>
      </c>
      <c r="E1083" s="150" t="str">
        <f>IF(OR(AND(C1082=12,D1082=Input!$C$6),E1082=""),"",1)</f>
        <v/>
      </c>
      <c r="F1083" s="150" t="str">
        <f>IF(E1083="","",Input!$C$8+B1083-1)</f>
        <v/>
      </c>
      <c r="G1083" s="151" t="str">
        <f>IF(E1083="","",MAX(0,Input!$C$9-B1083))</f>
        <v/>
      </c>
      <c r="H1083" s="152" t="str">
        <f>IF(E1083="","",Input!$C$3)</f>
        <v/>
      </c>
      <c r="I1083" s="153" t="str">
        <f>IF(E1083="","",HLOOKUP($B1083,Input!$C$13:$BT$14,2))</f>
        <v/>
      </c>
      <c r="J1083" s="154"/>
      <c r="K1083" s="155" t="str">
        <f>IF($E1083="","",INDEX(Input!$C$16:$CP$16,1,$B1083))</f>
        <v/>
      </c>
      <c r="L1083" s="155" t="str">
        <f>IF($E1083="","",Input!$C$37)</f>
        <v/>
      </c>
      <c r="M1083" s="155" t="str">
        <f t="shared" si="713"/>
        <v/>
      </c>
      <c r="N1083" s="155" t="str">
        <f t="shared" si="714"/>
        <v/>
      </c>
      <c r="O1083" s="147" t="str">
        <f>IF($E1083="","",MIN(VLOOKUP(IF($B1083&lt;=Input!$C$7,$B1083,26),'Mortality Tables'!$A$41:$CW$67,IF($B1083&lt;=Input!$C$7+1,Input!$C$4+2,$D1083-Input!$C$7+2),0)*IF(B1083&gt;20,Input!$C$22,1)/1000,1))</f>
        <v/>
      </c>
      <c r="P1083" s="147" t="str">
        <f>IF($E1083="","",MIN(VLOOKUP(IF($B1083&lt;=Input!$C$7,$B1083,26),'Mortality Tables'!$A$12:$CW$37,IF($B1083&lt;=Input!$C$7+1,Input!$C$4+2,$D1083-Input!$C$7+2),0)*IF(B1083&gt;20,Input!$C$22,1)/1000,1))</f>
        <v/>
      </c>
      <c r="Q1083" s="155" t="str">
        <f>IF($E1083="","",Input!$C$21)</f>
        <v/>
      </c>
      <c r="R1083" s="159" t="str">
        <f>IF($E1083="","",(1-Q1083)^($F1083-Input!$C$20))</f>
        <v/>
      </c>
      <c r="S1083" s="147" t="str">
        <f t="shared" si="674"/>
        <v/>
      </c>
      <c r="T1083" s="147" t="str">
        <f t="shared" si="675"/>
        <v/>
      </c>
      <c r="U1083" s="160" t="str">
        <f>IF($E1083="","",IF($C1083=12,INDEX(Input!$C$15:$CP$15,1,$B1083),0))</f>
        <v/>
      </c>
      <c r="V1083" s="150" t="str">
        <f>IF(E1083="","",IF(C1083=1,IF($B1083=1,Input!$C$33,Input!$C$34),0))</f>
        <v/>
      </c>
      <c r="W1083" s="156" t="str">
        <f>IF($E1083="","",Input!$C$35)</f>
        <v/>
      </c>
      <c r="X1083" s="156" t="str">
        <f t="shared" si="715"/>
        <v/>
      </c>
      <c r="Y1083" s="154"/>
      <c r="Z1083" s="147" t="str">
        <f>IF($E1083="","",VLOOKUP($D1083,'Mortality Margins &amp; Grading'!$AB$5:$AF$125,3,0)*IF(Summary!$D$25="Included Margin",IF(AND($B1083&gt;Input!$C$9,Summary!$D$31&lt;&gt;"Included Margin"),0,1),0))</f>
        <v/>
      </c>
      <c r="AA1083" s="147" t="str">
        <f>IF($E1083="","",VLOOKUP($D1083,'Mortality Margins &amp; Grading'!$AB$5:$AF$125,5,0)*IF(Summary!$D$25="Included Margin",IF(AND($B1083&gt;Input!$C$9,Summary!$D$31&lt;&gt;"Included Margin"),0,1),0))</f>
        <v/>
      </c>
      <c r="AB1083" s="147" t="str">
        <f>IF($E1083="","",IF(AND($B1083&gt;Input!$C$9,Summary!$D$31&lt;&gt;"Included Margin"),1,IF(Summary!$D$25="Included Margin",VLOOKUP($B1083,'Mortality Margins &amp; Grading'!$AI$5:$AR$125,MATCH('Mortality Margins &amp; Grading'!$AQ$4,'Mortality Margins &amp; Grading'!$AI$4:$AR$4,0),0),1)))</f>
        <v/>
      </c>
      <c r="AC1083" s="154"/>
      <c r="AD1083" s="158" t="str">
        <f>IF(E1083="","",Input!$C$48*IF(Summary!$D$30="Included Margin",IF(AND($B1083&gt;Input!$C$9,Summary!$D$31&lt;&gt;"Included Margin"),0,1),0))</f>
        <v/>
      </c>
      <c r="AE1083" s="159" t="str">
        <f>IF(E1083="","",IF(Summary!$D$26="Included Margin",IF(AND($B1083&gt;Input!$C$9,Summary!$D$31&lt;&gt;"Included Margin"),1,1/$R1083),1))</f>
        <v/>
      </c>
      <c r="AF1083" s="160" t="str">
        <f>IF(E1083="","",IF(AND($B1083&gt;=Input!$C$9,$C1083=12,Summary!$D$31="Included Margin",$U1083&gt;0),1/U1083-1,IF($B1083&gt;=Input!$C$9,0,Input!$C$45*IF(Summary!$D$27="Included Margin",1,0))))</f>
        <v/>
      </c>
      <c r="AG1083" s="160" t="str">
        <f>IF(E1083="","",Input!$C$46*IF(Summary!$D$28="Included Margin",IF(AND($B1083&gt;Input!$C$9,Summary!$D$31&lt;&gt;"Included Margin"),0,1),0))</f>
        <v/>
      </c>
      <c r="AH1083" s="158" t="str">
        <f>IF(E1083="","",Input!$C$47*IF(Summary!$D$29="Included Margin",IF(AND($B1083&gt;Input!$C$9,Summary!$D$31&lt;&gt;"Included Margin"),0,1),0))</f>
        <v/>
      </c>
      <c r="AI1083" s="154"/>
      <c r="AJ1083" s="158" t="str">
        <f t="shared" si="689"/>
        <v/>
      </c>
      <c r="AK1083" s="155" t="str">
        <f t="shared" si="690"/>
        <v/>
      </c>
      <c r="AL1083" s="147" t="str">
        <f t="shared" si="691"/>
        <v/>
      </c>
      <c r="AM1083" s="147" t="str">
        <f t="shared" si="676"/>
        <v/>
      </c>
      <c r="AN1083" s="160" t="str">
        <f t="shared" si="692"/>
        <v/>
      </c>
      <c r="AO1083" s="161" t="str">
        <f t="shared" si="693"/>
        <v/>
      </c>
      <c r="AP1083" s="156" t="str">
        <f t="shared" si="677"/>
        <v/>
      </c>
      <c r="AQ1083" s="152"/>
      <c r="AR1083" s="162" t="str">
        <f t="shared" si="678"/>
        <v/>
      </c>
      <c r="AS1083" s="150" t="str">
        <f t="shared" si="694"/>
        <v/>
      </c>
      <c r="AT1083" s="163" t="str">
        <f t="shared" si="679"/>
        <v/>
      </c>
      <c r="AU1083" s="163" t="str">
        <f t="shared" si="680"/>
        <v/>
      </c>
      <c r="AV1083" s="163" t="str">
        <f t="shared" si="695"/>
        <v/>
      </c>
      <c r="AW1083" s="163" t="str">
        <f t="shared" si="681"/>
        <v/>
      </c>
      <c r="AX1083" s="163" t="str">
        <f t="shared" si="682"/>
        <v/>
      </c>
      <c r="AY1083" s="164" t="str">
        <f t="shared" si="696"/>
        <v/>
      </c>
      <c r="AZ1083" s="164" t="str">
        <f>IF($E1083="","",IF(OR(AND($D1083=Input!$C$6,$C1083=12),$AN1083=1),0,-AS1084+AT1084+AU1084-AV1084-AW1084-AX1084+AZ1084))</f>
        <v/>
      </c>
      <c r="BA1083" s="154" t="str">
        <f t="shared" si="683"/>
        <v/>
      </c>
      <c r="BC1083" s="147" t="str">
        <f t="shared" si="697"/>
        <v/>
      </c>
      <c r="BD1083" s="164" t="str">
        <f>IF(AND($C1082=12,$D1082=Input!$C$6),0,IF($E1083="","",AT1083+(AU1083+BD1084)/(1+$AK1083)*MIN((1-AM1083-AN1083),1)))</f>
        <v/>
      </c>
      <c r="BE1083" s="164" t="str">
        <f t="shared" si="712"/>
        <v/>
      </c>
      <c r="BF1083" s="164" t="str">
        <f t="shared" si="698"/>
        <v/>
      </c>
      <c r="BG1083" s="164" t="str">
        <f t="shared" si="684"/>
        <v/>
      </c>
      <c r="BH1083" s="152"/>
      <c r="BI1083" s="162" t="str">
        <f t="shared" si="706"/>
        <v/>
      </c>
      <c r="BJ1083" s="150" t="str">
        <f t="shared" si="707"/>
        <v/>
      </c>
      <c r="BK1083" s="163" t="str">
        <f t="shared" si="703"/>
        <v/>
      </c>
      <c r="BL1083" s="163" t="str">
        <f t="shared" si="708"/>
        <v/>
      </c>
      <c r="BM1083" s="163" t="str">
        <f t="shared" si="704"/>
        <v/>
      </c>
      <c r="BN1083" s="163" t="str">
        <f t="shared" si="709"/>
        <v/>
      </c>
      <c r="BO1083" s="163" t="str">
        <f t="shared" si="710"/>
        <v/>
      </c>
      <c r="BP1083" s="164" t="str">
        <f t="shared" si="705"/>
        <v/>
      </c>
      <c r="BQ1083" s="164" t="str">
        <f t="shared" si="699"/>
        <v/>
      </c>
      <c r="BR1083" s="154" t="str">
        <f t="shared" si="711"/>
        <v/>
      </c>
      <c r="BT1083" s="147" t="str">
        <f t="shared" si="685"/>
        <v/>
      </c>
      <c r="BU1083" s="164" t="str">
        <f>IF(AND($C1082=12,$D1082=Input!$C$6),0,IF($E1083="","",BK1083+(BL1083+BU1084)/(1+$AK1083)*MIN((1-T1083-U1083),1)))</f>
        <v/>
      </c>
      <c r="BV1083" s="164" t="str">
        <f t="shared" si="686"/>
        <v/>
      </c>
      <c r="BW1083" s="164" t="str">
        <f t="shared" si="687"/>
        <v/>
      </c>
      <c r="BX1083" s="164" t="str">
        <f t="shared" si="688"/>
        <v/>
      </c>
    </row>
    <row r="1084" spans="1:76" s="150" customFormat="1" x14ac:dyDescent="0.25">
      <c r="A1084" s="150" t="str">
        <f t="shared" si="700"/>
        <v/>
      </c>
      <c r="B1084" s="150" t="str">
        <f t="shared" si="701"/>
        <v/>
      </c>
      <c r="C1084" s="150" t="str">
        <f t="shared" si="702"/>
        <v/>
      </c>
      <c r="D1084" s="150" t="str">
        <f>IF(E1084="","",Input!$C$4+B1084-1)</f>
        <v/>
      </c>
      <c r="E1084" s="150" t="str">
        <f>IF(OR(AND(C1083=12,D1083=Input!$C$6),E1083=""),"",1)</f>
        <v/>
      </c>
      <c r="F1084" s="150" t="str">
        <f>IF(E1084="","",Input!$C$8+B1084-1)</f>
        <v/>
      </c>
      <c r="G1084" s="151" t="str">
        <f>IF(E1084="","",MAX(0,Input!$C$9-B1084))</f>
        <v/>
      </c>
      <c r="H1084" s="152" t="str">
        <f>IF(E1084="","",Input!$C$3)</f>
        <v/>
      </c>
      <c r="I1084" s="153" t="str">
        <f>IF(E1084="","",HLOOKUP($B1084,Input!$C$13:$BT$14,2))</f>
        <v/>
      </c>
      <c r="J1084" s="154"/>
      <c r="K1084" s="155" t="str">
        <f>IF($E1084="","",INDEX(Input!$C$16:$CP$16,1,$B1084))</f>
        <v/>
      </c>
      <c r="L1084" s="155" t="str">
        <f>IF($E1084="","",Input!$C$37)</f>
        <v/>
      </c>
      <c r="M1084" s="155" t="str">
        <f t="shared" si="713"/>
        <v/>
      </c>
      <c r="N1084" s="155" t="str">
        <f t="shared" si="714"/>
        <v/>
      </c>
      <c r="O1084" s="147" t="str">
        <f>IF($E1084="","",MIN(VLOOKUP(IF($B1084&lt;=Input!$C$7,$B1084,26),'Mortality Tables'!$A$41:$CW$67,IF($B1084&lt;=Input!$C$7+1,Input!$C$4+2,$D1084-Input!$C$7+2),0)*IF(B1084&gt;20,Input!$C$22,1)/1000,1))</f>
        <v/>
      </c>
      <c r="P1084" s="147" t="str">
        <f>IF($E1084="","",MIN(VLOOKUP(IF($B1084&lt;=Input!$C$7,$B1084,26),'Mortality Tables'!$A$12:$CW$37,IF($B1084&lt;=Input!$C$7+1,Input!$C$4+2,$D1084-Input!$C$7+2),0)*IF(B1084&gt;20,Input!$C$22,1)/1000,1))</f>
        <v/>
      </c>
      <c r="Q1084" s="155" t="str">
        <f>IF($E1084="","",Input!$C$21)</f>
        <v/>
      </c>
      <c r="R1084" s="159" t="str">
        <f>IF($E1084="","",(1-Q1084)^($F1084-Input!$C$20))</f>
        <v/>
      </c>
      <c r="S1084" s="147" t="str">
        <f t="shared" si="674"/>
        <v/>
      </c>
      <c r="T1084" s="147" t="str">
        <f t="shared" si="675"/>
        <v/>
      </c>
      <c r="U1084" s="160" t="str">
        <f>IF($E1084="","",IF($C1084=12,INDEX(Input!$C$15:$CP$15,1,$B1084),0))</f>
        <v/>
      </c>
      <c r="V1084" s="150" t="str">
        <f>IF(E1084="","",IF(C1084=1,IF($B1084=1,Input!$C$33,Input!$C$34),0))</f>
        <v/>
      </c>
      <c r="W1084" s="156" t="str">
        <f>IF($E1084="","",Input!$C$35)</f>
        <v/>
      </c>
      <c r="X1084" s="156" t="str">
        <f t="shared" si="715"/>
        <v/>
      </c>
      <c r="Y1084" s="154"/>
      <c r="Z1084" s="147" t="str">
        <f>IF($E1084="","",VLOOKUP($D1084,'Mortality Margins &amp; Grading'!$AB$5:$AF$125,3,0)*IF(Summary!$D$25="Included Margin",IF(AND($B1084&gt;Input!$C$9,Summary!$D$31&lt;&gt;"Included Margin"),0,1),0))</f>
        <v/>
      </c>
      <c r="AA1084" s="147" t="str">
        <f>IF($E1084="","",VLOOKUP($D1084,'Mortality Margins &amp; Grading'!$AB$5:$AF$125,5,0)*IF(Summary!$D$25="Included Margin",IF(AND($B1084&gt;Input!$C$9,Summary!$D$31&lt;&gt;"Included Margin"),0,1),0))</f>
        <v/>
      </c>
      <c r="AB1084" s="147" t="str">
        <f>IF($E1084="","",IF(AND($B1084&gt;Input!$C$9,Summary!$D$31&lt;&gt;"Included Margin"),1,IF(Summary!$D$25="Included Margin",VLOOKUP($B1084,'Mortality Margins &amp; Grading'!$AI$5:$AR$125,MATCH('Mortality Margins &amp; Grading'!$AQ$4,'Mortality Margins &amp; Grading'!$AI$4:$AR$4,0),0),1)))</f>
        <v/>
      </c>
      <c r="AC1084" s="154"/>
      <c r="AD1084" s="158" t="str">
        <f>IF(E1084="","",Input!$C$48*IF(Summary!$D$30="Included Margin",IF(AND($B1084&gt;Input!$C$9,Summary!$D$31&lt;&gt;"Included Margin"),0,1),0))</f>
        <v/>
      </c>
      <c r="AE1084" s="159" t="str">
        <f>IF(E1084="","",IF(Summary!$D$26="Included Margin",IF(AND($B1084&gt;Input!$C$9,Summary!$D$31&lt;&gt;"Included Margin"),1,1/$R1084),1))</f>
        <v/>
      </c>
      <c r="AF1084" s="160" t="str">
        <f>IF(E1084="","",IF(AND($B1084&gt;=Input!$C$9,$C1084=12,Summary!$D$31="Included Margin",$U1084&gt;0),1/U1084-1,IF($B1084&gt;=Input!$C$9,0,Input!$C$45*IF(Summary!$D$27="Included Margin",1,0))))</f>
        <v/>
      </c>
      <c r="AG1084" s="160" t="str">
        <f>IF(E1084="","",Input!$C$46*IF(Summary!$D$28="Included Margin",IF(AND($B1084&gt;Input!$C$9,Summary!$D$31&lt;&gt;"Included Margin"),0,1),0))</f>
        <v/>
      </c>
      <c r="AH1084" s="158" t="str">
        <f>IF(E1084="","",Input!$C$47*IF(Summary!$D$29="Included Margin",IF(AND($B1084&gt;Input!$C$9,Summary!$D$31&lt;&gt;"Included Margin"),0,1),0))</f>
        <v/>
      </c>
      <c r="AI1084" s="154"/>
      <c r="AJ1084" s="158" t="str">
        <f t="shared" si="689"/>
        <v/>
      </c>
      <c r="AK1084" s="155" t="str">
        <f t="shared" si="690"/>
        <v/>
      </c>
      <c r="AL1084" s="147" t="str">
        <f t="shared" si="691"/>
        <v/>
      </c>
      <c r="AM1084" s="147" t="str">
        <f t="shared" si="676"/>
        <v/>
      </c>
      <c r="AN1084" s="160" t="str">
        <f t="shared" si="692"/>
        <v/>
      </c>
      <c r="AO1084" s="161" t="str">
        <f t="shared" si="693"/>
        <v/>
      </c>
      <c r="AP1084" s="156" t="str">
        <f t="shared" si="677"/>
        <v/>
      </c>
      <c r="AQ1084" s="152"/>
      <c r="AR1084" s="162" t="str">
        <f t="shared" si="678"/>
        <v/>
      </c>
      <c r="AS1084" s="150" t="str">
        <f t="shared" si="694"/>
        <v/>
      </c>
      <c r="AT1084" s="163" t="str">
        <f t="shared" si="679"/>
        <v/>
      </c>
      <c r="AU1084" s="163" t="str">
        <f t="shared" si="680"/>
        <v/>
      </c>
      <c r="AV1084" s="163" t="str">
        <f t="shared" si="695"/>
        <v/>
      </c>
      <c r="AW1084" s="163" t="str">
        <f t="shared" si="681"/>
        <v/>
      </c>
      <c r="AX1084" s="163" t="str">
        <f t="shared" si="682"/>
        <v/>
      </c>
      <c r="AY1084" s="165" t="str">
        <f t="shared" si="696"/>
        <v/>
      </c>
      <c r="AZ1084" s="164" t="str">
        <f>IF($E1084="","",IF(OR(AND($D1084=Input!$C$6,$C1084=12),$AN1084=1),0,-AS1085+AT1085+AU1085-AV1085-AW1085-AX1085+AZ1085))</f>
        <v/>
      </c>
      <c r="BA1084" s="154" t="str">
        <f t="shared" si="683"/>
        <v/>
      </c>
      <c r="BC1084" s="147" t="str">
        <f t="shared" si="697"/>
        <v/>
      </c>
      <c r="BD1084" s="164" t="str">
        <f>IF(AND($C1083=12,$D1083=Input!$C$6),0,IF($E1084="","",AT1084+(AU1084+BD1085)/(1+$AK1084)*MIN((1-AM1084-AN1084),1)))</f>
        <v/>
      </c>
      <c r="BE1084" s="164" t="str">
        <f t="shared" si="712"/>
        <v/>
      </c>
      <c r="BF1084" s="164" t="str">
        <f t="shared" si="698"/>
        <v/>
      </c>
      <c r="BG1084" s="164" t="str">
        <f t="shared" si="684"/>
        <v/>
      </c>
      <c r="BH1084" s="152"/>
      <c r="BI1084" s="162" t="str">
        <f t="shared" si="706"/>
        <v/>
      </c>
      <c r="BJ1084" s="150" t="str">
        <f t="shared" si="707"/>
        <v/>
      </c>
      <c r="BK1084" s="163" t="str">
        <f t="shared" si="703"/>
        <v/>
      </c>
      <c r="BL1084" s="163" t="str">
        <f t="shared" si="708"/>
        <v/>
      </c>
      <c r="BM1084" s="163" t="str">
        <f t="shared" si="704"/>
        <v/>
      </c>
      <c r="BN1084" s="163" t="str">
        <f t="shared" si="709"/>
        <v/>
      </c>
      <c r="BO1084" s="163" t="str">
        <f t="shared" si="710"/>
        <v/>
      </c>
      <c r="BP1084" s="164" t="str">
        <f t="shared" si="705"/>
        <v/>
      </c>
      <c r="BQ1084" s="164" t="str">
        <f t="shared" si="699"/>
        <v/>
      </c>
      <c r="BR1084" s="154" t="str">
        <f t="shared" si="711"/>
        <v/>
      </c>
      <c r="BT1084" s="147" t="str">
        <f t="shared" si="685"/>
        <v/>
      </c>
      <c r="BU1084" s="164" t="str">
        <f>IF(AND($C1083=12,$D1083=Input!$C$6),0,IF($E1084="","",BK1084+(BL1084+BU1085)/(1+$AK1084)*MIN((1-T1084-U1084),1)))</f>
        <v/>
      </c>
      <c r="BV1084" s="164" t="str">
        <f t="shared" si="686"/>
        <v/>
      </c>
      <c r="BW1084" s="164" t="str">
        <f t="shared" si="687"/>
        <v/>
      </c>
      <c r="BX1084" s="164" t="str">
        <f t="shared" si="688"/>
        <v/>
      </c>
    </row>
    <row r="1085" spans="1:76" s="150" customFormat="1" x14ac:dyDescent="0.25">
      <c r="A1085" s="150" t="str">
        <f t="shared" si="700"/>
        <v/>
      </c>
      <c r="B1085" s="150" t="str">
        <f t="shared" si="701"/>
        <v/>
      </c>
      <c r="C1085" s="150" t="str">
        <f t="shared" si="702"/>
        <v/>
      </c>
      <c r="D1085" s="150" t="str">
        <f>IF(E1085="","",Input!$C$4+B1085-1)</f>
        <v/>
      </c>
      <c r="E1085" s="150" t="str">
        <f>IF(OR(AND(C1084=12,D1084=Input!$C$6),E1084=""),"",1)</f>
        <v/>
      </c>
      <c r="F1085" s="150" t="str">
        <f>IF(E1085="","",Input!$C$8+B1085-1)</f>
        <v/>
      </c>
      <c r="G1085" s="151" t="str">
        <f>IF(E1085="","",MAX(0,Input!$C$9-B1085))</f>
        <v/>
      </c>
      <c r="H1085" s="152" t="str">
        <f>IF(E1085="","",Input!$C$3)</f>
        <v/>
      </c>
      <c r="I1085" s="153" t="str">
        <f>IF(E1085="","",HLOOKUP($B1085,Input!$C$13:$BT$14,2))</f>
        <v/>
      </c>
      <c r="J1085" s="154"/>
      <c r="K1085" s="155" t="str">
        <f>IF($E1085="","",INDEX(Input!$C$16:$CP$16,1,$B1085))</f>
        <v/>
      </c>
      <c r="L1085" s="155" t="str">
        <f>IF($E1085="","",Input!$C$37)</f>
        <v/>
      </c>
      <c r="M1085" s="155" t="str">
        <f t="shared" si="713"/>
        <v/>
      </c>
      <c r="N1085" s="155" t="str">
        <f t="shared" si="714"/>
        <v/>
      </c>
      <c r="O1085" s="147" t="str">
        <f>IF($E1085="","",MIN(VLOOKUP(IF($B1085&lt;=Input!$C$7,$B1085,26),'Mortality Tables'!$A$41:$CW$67,IF($B1085&lt;=Input!$C$7+1,Input!$C$4+2,$D1085-Input!$C$7+2),0)*IF(B1085&gt;20,Input!$C$22,1)/1000,1))</f>
        <v/>
      </c>
      <c r="P1085" s="147" t="str">
        <f>IF($E1085="","",MIN(VLOOKUP(IF($B1085&lt;=Input!$C$7,$B1085,26),'Mortality Tables'!$A$12:$CW$37,IF($B1085&lt;=Input!$C$7+1,Input!$C$4+2,$D1085-Input!$C$7+2),0)*IF(B1085&gt;20,Input!$C$22,1)/1000,1))</f>
        <v/>
      </c>
      <c r="Q1085" s="155" t="str">
        <f>IF($E1085="","",Input!$C$21)</f>
        <v/>
      </c>
      <c r="R1085" s="159" t="str">
        <f>IF($E1085="","",(1-Q1085)^($F1085-Input!$C$20))</f>
        <v/>
      </c>
      <c r="S1085" s="147" t="str">
        <f t="shared" si="674"/>
        <v/>
      </c>
      <c r="T1085" s="147" t="str">
        <f t="shared" si="675"/>
        <v/>
      </c>
      <c r="U1085" s="160" t="str">
        <f>IF($E1085="","",IF($C1085=12,INDEX(Input!$C$15:$CP$15,1,$B1085),0))</f>
        <v/>
      </c>
      <c r="V1085" s="150" t="str">
        <f>IF(E1085="","",IF(C1085=1,IF($B1085=1,Input!$C$33,Input!$C$34),0))</f>
        <v/>
      </c>
      <c r="W1085" s="156" t="str">
        <f>IF($E1085="","",Input!$C$35)</f>
        <v/>
      </c>
      <c r="X1085" s="156" t="str">
        <f t="shared" si="715"/>
        <v/>
      </c>
      <c r="Y1085" s="154"/>
      <c r="Z1085" s="147" t="str">
        <f>IF($E1085="","",VLOOKUP($D1085,'Mortality Margins &amp; Grading'!$AB$5:$AF$125,3,0)*IF(Summary!$D$25="Included Margin",IF(AND($B1085&gt;Input!$C$9,Summary!$D$31&lt;&gt;"Included Margin"),0,1),0))</f>
        <v/>
      </c>
      <c r="AA1085" s="147" t="str">
        <f>IF($E1085="","",VLOOKUP($D1085,'Mortality Margins &amp; Grading'!$AB$5:$AF$125,5,0)*IF(Summary!$D$25="Included Margin",IF(AND($B1085&gt;Input!$C$9,Summary!$D$31&lt;&gt;"Included Margin"),0,1),0))</f>
        <v/>
      </c>
      <c r="AB1085" s="147" t="str">
        <f>IF($E1085="","",IF(AND($B1085&gt;Input!$C$9,Summary!$D$31&lt;&gt;"Included Margin"),1,IF(Summary!$D$25="Included Margin",VLOOKUP($B1085,'Mortality Margins &amp; Grading'!$AI$5:$AR$125,MATCH('Mortality Margins &amp; Grading'!$AQ$4,'Mortality Margins &amp; Grading'!$AI$4:$AR$4,0),0),1)))</f>
        <v/>
      </c>
      <c r="AC1085" s="154"/>
      <c r="AD1085" s="158" t="str">
        <f>IF(E1085="","",Input!$C$48*IF(Summary!$D$30="Included Margin",IF(AND($B1085&gt;Input!$C$9,Summary!$D$31&lt;&gt;"Included Margin"),0,1),0))</f>
        <v/>
      </c>
      <c r="AE1085" s="159" t="str">
        <f>IF(E1085="","",IF(Summary!$D$26="Included Margin",IF(AND($B1085&gt;Input!$C$9,Summary!$D$31&lt;&gt;"Included Margin"),1,1/$R1085),1))</f>
        <v/>
      </c>
      <c r="AF1085" s="160" t="str">
        <f>IF(E1085="","",IF(AND($B1085&gt;=Input!$C$9,$C1085=12,Summary!$D$31="Included Margin",$U1085&gt;0),1/U1085-1,IF($B1085&gt;=Input!$C$9,0,Input!$C$45*IF(Summary!$D$27="Included Margin",1,0))))</f>
        <v/>
      </c>
      <c r="AG1085" s="160" t="str">
        <f>IF(E1085="","",Input!$C$46*IF(Summary!$D$28="Included Margin",IF(AND($B1085&gt;Input!$C$9,Summary!$D$31&lt;&gt;"Included Margin"),0,1),0))</f>
        <v/>
      </c>
      <c r="AH1085" s="158" t="str">
        <f>IF(E1085="","",Input!$C$47*IF(Summary!$D$29="Included Margin",IF(AND($B1085&gt;Input!$C$9,Summary!$D$31&lt;&gt;"Included Margin"),0,1),0))</f>
        <v/>
      </c>
      <c r="AI1085" s="154"/>
      <c r="AJ1085" s="158" t="str">
        <f t="shared" si="689"/>
        <v/>
      </c>
      <c r="AK1085" s="155" t="str">
        <f t="shared" si="690"/>
        <v/>
      </c>
      <c r="AL1085" s="147" t="str">
        <f t="shared" si="691"/>
        <v/>
      </c>
      <c r="AM1085" s="147" t="str">
        <f t="shared" si="676"/>
        <v/>
      </c>
      <c r="AN1085" s="160" t="str">
        <f t="shared" si="692"/>
        <v/>
      </c>
      <c r="AO1085" s="161" t="str">
        <f t="shared" si="693"/>
        <v/>
      </c>
      <c r="AP1085" s="156" t="str">
        <f t="shared" si="677"/>
        <v/>
      </c>
      <c r="AQ1085" s="152"/>
      <c r="AR1085" s="162" t="str">
        <f t="shared" si="678"/>
        <v/>
      </c>
      <c r="AS1085" s="150" t="str">
        <f t="shared" si="694"/>
        <v/>
      </c>
      <c r="AT1085" s="163" t="str">
        <f t="shared" si="679"/>
        <v/>
      </c>
      <c r="AU1085" s="163" t="str">
        <f t="shared" si="680"/>
        <v/>
      </c>
      <c r="AV1085" s="163" t="str">
        <f t="shared" si="695"/>
        <v/>
      </c>
      <c r="AW1085" s="163" t="str">
        <f t="shared" si="681"/>
        <v/>
      </c>
      <c r="AX1085" s="163" t="str">
        <f t="shared" si="682"/>
        <v/>
      </c>
      <c r="AY1085" s="164" t="str">
        <f t="shared" si="696"/>
        <v/>
      </c>
      <c r="AZ1085" s="164" t="str">
        <f>IF($E1085="","",IF(OR(AND($D1085=Input!$C$6,$C1085=12),$AN1085=1),0,-AS1086+AT1086+AU1086-AV1086-AW1086-AX1086+AZ1086))</f>
        <v/>
      </c>
      <c r="BA1085" s="154" t="str">
        <f t="shared" si="683"/>
        <v/>
      </c>
      <c r="BC1085" s="147" t="str">
        <f t="shared" si="697"/>
        <v/>
      </c>
      <c r="BD1085" s="164" t="str">
        <f>IF(AND($C1084=12,$D1084=Input!$C$6),0,IF($E1085="","",AT1085+(AU1085+BD1086)/(1+$AK1085)*MIN((1-AM1085-AN1085),1)))</f>
        <v/>
      </c>
      <c r="BE1085" s="164" t="str">
        <f t="shared" si="712"/>
        <v/>
      </c>
      <c r="BF1085" s="164" t="str">
        <f t="shared" si="698"/>
        <v/>
      </c>
      <c r="BG1085" s="164" t="str">
        <f t="shared" si="684"/>
        <v/>
      </c>
      <c r="BH1085" s="152"/>
      <c r="BI1085" s="162" t="str">
        <f t="shared" si="706"/>
        <v/>
      </c>
      <c r="BJ1085" s="150" t="str">
        <f t="shared" si="707"/>
        <v/>
      </c>
      <c r="BK1085" s="163" t="str">
        <f t="shared" si="703"/>
        <v/>
      </c>
      <c r="BL1085" s="163" t="str">
        <f t="shared" si="708"/>
        <v/>
      </c>
      <c r="BM1085" s="163" t="str">
        <f t="shared" si="704"/>
        <v/>
      </c>
      <c r="BN1085" s="163" t="str">
        <f t="shared" si="709"/>
        <v/>
      </c>
      <c r="BO1085" s="163" t="str">
        <f t="shared" si="710"/>
        <v/>
      </c>
      <c r="BP1085" s="164" t="str">
        <f t="shared" si="705"/>
        <v/>
      </c>
      <c r="BQ1085" s="164" t="str">
        <f t="shared" si="699"/>
        <v/>
      </c>
      <c r="BR1085" s="154" t="str">
        <f t="shared" si="711"/>
        <v/>
      </c>
      <c r="BT1085" s="147" t="str">
        <f t="shared" si="685"/>
        <v/>
      </c>
      <c r="BU1085" s="164" t="str">
        <f>IF(AND($C1084=12,$D1084=Input!$C$6),0,IF($E1085="","",BK1085+(BL1085+BU1086)/(1+$AK1085)*MIN((1-T1085-U1085),1)))</f>
        <v/>
      </c>
      <c r="BV1085" s="164" t="str">
        <f t="shared" si="686"/>
        <v/>
      </c>
      <c r="BW1085" s="164" t="str">
        <f t="shared" si="687"/>
        <v/>
      </c>
      <c r="BX1085" s="164" t="str">
        <f t="shared" si="688"/>
        <v/>
      </c>
    </row>
    <row r="1086" spans="1:76" s="150" customFormat="1" x14ac:dyDescent="0.25">
      <c r="A1086" s="150" t="str">
        <f t="shared" si="700"/>
        <v/>
      </c>
      <c r="B1086" s="150" t="str">
        <f t="shared" si="701"/>
        <v/>
      </c>
      <c r="C1086" s="150" t="str">
        <f t="shared" si="702"/>
        <v/>
      </c>
      <c r="D1086" s="150" t="str">
        <f>IF(E1086="","",Input!$C$4+B1086-1)</f>
        <v/>
      </c>
      <c r="E1086" s="150" t="str">
        <f>IF(OR(AND(C1085=12,D1085=Input!$C$6),E1085=""),"",1)</f>
        <v/>
      </c>
      <c r="F1086" s="150" t="str">
        <f>IF(E1086="","",Input!$C$8+B1086-1)</f>
        <v/>
      </c>
      <c r="G1086" s="151" t="str">
        <f>IF(E1086="","",MAX(0,Input!$C$9-B1086))</f>
        <v/>
      </c>
      <c r="H1086" s="152" t="str">
        <f>IF(E1086="","",Input!$C$3)</f>
        <v/>
      </c>
      <c r="I1086" s="153" t="str">
        <f>IF(E1086="","",HLOOKUP($B1086,Input!$C$13:$BT$14,2))</f>
        <v/>
      </c>
      <c r="J1086" s="154"/>
      <c r="K1086" s="155" t="str">
        <f>IF($E1086="","",INDEX(Input!$C$16:$CP$16,1,$B1086))</f>
        <v/>
      </c>
      <c r="L1086" s="155" t="str">
        <f>IF($E1086="","",Input!$C$37)</f>
        <v/>
      </c>
      <c r="M1086" s="155" t="str">
        <f t="shared" si="713"/>
        <v/>
      </c>
      <c r="N1086" s="155" t="str">
        <f t="shared" si="714"/>
        <v/>
      </c>
      <c r="O1086" s="147" t="str">
        <f>IF($E1086="","",MIN(VLOOKUP(IF($B1086&lt;=Input!$C$7,$B1086,26),'Mortality Tables'!$A$41:$CW$67,IF($B1086&lt;=Input!$C$7+1,Input!$C$4+2,$D1086-Input!$C$7+2),0)*IF(B1086&gt;20,Input!$C$22,1)/1000,1))</f>
        <v/>
      </c>
      <c r="P1086" s="147" t="str">
        <f>IF($E1086="","",MIN(VLOOKUP(IF($B1086&lt;=Input!$C$7,$B1086,26),'Mortality Tables'!$A$12:$CW$37,IF($B1086&lt;=Input!$C$7+1,Input!$C$4+2,$D1086-Input!$C$7+2),0)*IF(B1086&gt;20,Input!$C$22,1)/1000,1))</f>
        <v/>
      </c>
      <c r="Q1086" s="155" t="str">
        <f>IF($E1086="","",Input!$C$21)</f>
        <v/>
      </c>
      <c r="R1086" s="159" t="str">
        <f>IF($E1086="","",(1-Q1086)^($F1086-Input!$C$20))</f>
        <v/>
      </c>
      <c r="S1086" s="147" t="str">
        <f t="shared" si="674"/>
        <v/>
      </c>
      <c r="T1086" s="147" t="str">
        <f t="shared" si="675"/>
        <v/>
      </c>
      <c r="U1086" s="160" t="str">
        <f>IF($E1086="","",IF($C1086=12,INDEX(Input!$C$15:$CP$15,1,$B1086),0))</f>
        <v/>
      </c>
      <c r="V1086" s="150" t="str">
        <f>IF(E1086="","",IF(C1086=1,IF($B1086=1,Input!$C$33,Input!$C$34),0))</f>
        <v/>
      </c>
      <c r="W1086" s="156" t="str">
        <f>IF($E1086="","",Input!$C$35)</f>
        <v/>
      </c>
      <c r="X1086" s="156" t="str">
        <f t="shared" si="715"/>
        <v/>
      </c>
      <c r="Y1086" s="154"/>
      <c r="Z1086" s="147" t="str">
        <f>IF($E1086="","",VLOOKUP($D1086,'Mortality Margins &amp; Grading'!$AB$5:$AF$125,3,0)*IF(Summary!$D$25="Included Margin",IF(AND($B1086&gt;Input!$C$9,Summary!$D$31&lt;&gt;"Included Margin"),0,1),0))</f>
        <v/>
      </c>
      <c r="AA1086" s="147" t="str">
        <f>IF($E1086="","",VLOOKUP($D1086,'Mortality Margins &amp; Grading'!$AB$5:$AF$125,5,0)*IF(Summary!$D$25="Included Margin",IF(AND($B1086&gt;Input!$C$9,Summary!$D$31&lt;&gt;"Included Margin"),0,1),0))</f>
        <v/>
      </c>
      <c r="AB1086" s="147" t="str">
        <f>IF($E1086="","",IF(AND($B1086&gt;Input!$C$9,Summary!$D$31&lt;&gt;"Included Margin"),1,IF(Summary!$D$25="Included Margin",VLOOKUP($B1086,'Mortality Margins &amp; Grading'!$AI$5:$AR$125,MATCH('Mortality Margins &amp; Grading'!$AQ$4,'Mortality Margins &amp; Grading'!$AI$4:$AR$4,0),0),1)))</f>
        <v/>
      </c>
      <c r="AC1086" s="154"/>
      <c r="AD1086" s="158" t="str">
        <f>IF(E1086="","",Input!$C$48*IF(Summary!$D$30="Included Margin",IF(AND($B1086&gt;Input!$C$9,Summary!$D$31&lt;&gt;"Included Margin"),0,1),0))</f>
        <v/>
      </c>
      <c r="AE1086" s="159" t="str">
        <f>IF(E1086="","",IF(Summary!$D$26="Included Margin",IF(AND($B1086&gt;Input!$C$9,Summary!$D$31&lt;&gt;"Included Margin"),1,1/$R1086),1))</f>
        <v/>
      </c>
      <c r="AF1086" s="160" t="str">
        <f>IF(E1086="","",IF(AND($B1086&gt;=Input!$C$9,$C1086=12,Summary!$D$31="Included Margin",$U1086&gt;0),1/U1086-1,IF($B1086&gt;=Input!$C$9,0,Input!$C$45*IF(Summary!$D$27="Included Margin",1,0))))</f>
        <v/>
      </c>
      <c r="AG1086" s="160" t="str">
        <f>IF(E1086="","",Input!$C$46*IF(Summary!$D$28="Included Margin",IF(AND($B1086&gt;Input!$C$9,Summary!$D$31&lt;&gt;"Included Margin"),0,1),0))</f>
        <v/>
      </c>
      <c r="AH1086" s="158" t="str">
        <f>IF(E1086="","",Input!$C$47*IF(Summary!$D$29="Included Margin",IF(AND($B1086&gt;Input!$C$9,Summary!$D$31&lt;&gt;"Included Margin"),0,1),0))</f>
        <v/>
      </c>
      <c r="AI1086" s="154"/>
      <c r="AJ1086" s="158" t="str">
        <f t="shared" si="689"/>
        <v/>
      </c>
      <c r="AK1086" s="155" t="str">
        <f t="shared" si="690"/>
        <v/>
      </c>
      <c r="AL1086" s="147" t="str">
        <f t="shared" si="691"/>
        <v/>
      </c>
      <c r="AM1086" s="147" t="str">
        <f t="shared" si="676"/>
        <v/>
      </c>
      <c r="AN1086" s="160" t="str">
        <f t="shared" si="692"/>
        <v/>
      </c>
      <c r="AO1086" s="161" t="str">
        <f t="shared" si="693"/>
        <v/>
      </c>
      <c r="AP1086" s="156" t="str">
        <f t="shared" si="677"/>
        <v/>
      </c>
      <c r="AQ1086" s="152"/>
      <c r="AR1086" s="162" t="str">
        <f t="shared" si="678"/>
        <v/>
      </c>
      <c r="AS1086" s="150" t="str">
        <f t="shared" si="694"/>
        <v/>
      </c>
      <c r="AT1086" s="163" t="str">
        <f t="shared" si="679"/>
        <v/>
      </c>
      <c r="AU1086" s="163" t="str">
        <f t="shared" si="680"/>
        <v/>
      </c>
      <c r="AV1086" s="163" t="str">
        <f t="shared" si="695"/>
        <v/>
      </c>
      <c r="AW1086" s="163" t="str">
        <f t="shared" si="681"/>
        <v/>
      </c>
      <c r="AX1086" s="163" t="str">
        <f t="shared" si="682"/>
        <v/>
      </c>
      <c r="AY1086" s="165" t="str">
        <f t="shared" si="696"/>
        <v/>
      </c>
      <c r="AZ1086" s="164" t="str">
        <f>IF($E1086="","",IF(OR(AND($D1086=Input!$C$6,$C1086=12),$AN1086=1),0,-AS1087+AT1087+AU1087-AV1087-AW1087-AX1087+AZ1087))</f>
        <v/>
      </c>
      <c r="BA1086" s="154" t="str">
        <f t="shared" si="683"/>
        <v/>
      </c>
      <c r="BC1086" s="147" t="str">
        <f t="shared" si="697"/>
        <v/>
      </c>
      <c r="BD1086" s="164" t="str">
        <f>IF(AND($C1085=12,$D1085=Input!$C$6),0,IF($E1086="","",AT1086+(AU1086+BD1087)/(1+$AK1086)*MIN((1-AM1086-AN1086),1)))</f>
        <v/>
      </c>
      <c r="BE1086" s="164" t="str">
        <f t="shared" si="712"/>
        <v/>
      </c>
      <c r="BF1086" s="164" t="str">
        <f t="shared" si="698"/>
        <v/>
      </c>
      <c r="BG1086" s="164" t="str">
        <f t="shared" si="684"/>
        <v/>
      </c>
      <c r="BH1086" s="152"/>
      <c r="BI1086" s="162" t="str">
        <f t="shared" si="706"/>
        <v/>
      </c>
      <c r="BJ1086" s="150" t="str">
        <f t="shared" si="707"/>
        <v/>
      </c>
      <c r="BK1086" s="163" t="str">
        <f t="shared" si="703"/>
        <v/>
      </c>
      <c r="BL1086" s="163" t="str">
        <f t="shared" si="708"/>
        <v/>
      </c>
      <c r="BM1086" s="163" t="str">
        <f t="shared" si="704"/>
        <v/>
      </c>
      <c r="BN1086" s="163" t="str">
        <f t="shared" si="709"/>
        <v/>
      </c>
      <c r="BO1086" s="163" t="str">
        <f t="shared" si="710"/>
        <v/>
      </c>
      <c r="BP1086" s="164" t="str">
        <f t="shared" si="705"/>
        <v/>
      </c>
      <c r="BQ1086" s="164" t="str">
        <f t="shared" si="699"/>
        <v/>
      </c>
      <c r="BR1086" s="154" t="str">
        <f t="shared" si="711"/>
        <v/>
      </c>
      <c r="BT1086" s="147" t="str">
        <f t="shared" si="685"/>
        <v/>
      </c>
      <c r="BU1086" s="164" t="str">
        <f>IF(AND($C1085=12,$D1085=Input!$C$6),0,IF($E1086="","",BK1086+(BL1086+BU1087)/(1+$AK1086)*MIN((1-T1086-U1086),1)))</f>
        <v/>
      </c>
      <c r="BV1086" s="164" t="str">
        <f t="shared" si="686"/>
        <v/>
      </c>
      <c r="BW1086" s="164" t="str">
        <f t="shared" si="687"/>
        <v/>
      </c>
      <c r="BX1086" s="164" t="str">
        <f t="shared" si="688"/>
        <v/>
      </c>
    </row>
    <row r="1087" spans="1:76" s="150" customFormat="1" x14ac:dyDescent="0.25">
      <c r="A1087" s="150" t="str">
        <f t="shared" si="700"/>
        <v/>
      </c>
      <c r="B1087" s="150" t="str">
        <f t="shared" si="701"/>
        <v/>
      </c>
      <c r="C1087" s="150" t="str">
        <f t="shared" si="702"/>
        <v/>
      </c>
      <c r="D1087" s="150" t="str">
        <f>IF(E1087="","",Input!$C$4+B1087-1)</f>
        <v/>
      </c>
      <c r="E1087" s="150" t="str">
        <f>IF(OR(AND(C1086=12,D1086=Input!$C$6),E1086=""),"",1)</f>
        <v/>
      </c>
      <c r="F1087" s="150" t="str">
        <f>IF(E1087="","",Input!$C$8+B1087-1)</f>
        <v/>
      </c>
      <c r="G1087" s="151" t="str">
        <f>IF(E1087="","",MAX(0,Input!$C$9-B1087))</f>
        <v/>
      </c>
      <c r="H1087" s="152" t="str">
        <f>IF(E1087="","",Input!$C$3)</f>
        <v/>
      </c>
      <c r="I1087" s="153" t="str">
        <f>IF(E1087="","",HLOOKUP($B1087,Input!$C$13:$BT$14,2))</f>
        <v/>
      </c>
      <c r="J1087" s="154"/>
      <c r="K1087" s="155" t="str">
        <f>IF($E1087="","",INDEX(Input!$C$16:$CP$16,1,$B1087))</f>
        <v/>
      </c>
      <c r="L1087" s="155" t="str">
        <f>IF($E1087="","",Input!$C$37)</f>
        <v/>
      </c>
      <c r="M1087" s="155" t="str">
        <f t="shared" si="713"/>
        <v/>
      </c>
      <c r="N1087" s="155" t="str">
        <f t="shared" si="714"/>
        <v/>
      </c>
      <c r="O1087" s="147" t="str">
        <f>IF($E1087="","",MIN(VLOOKUP(IF($B1087&lt;=Input!$C$7,$B1087,26),'Mortality Tables'!$A$41:$CW$67,IF($B1087&lt;=Input!$C$7+1,Input!$C$4+2,$D1087-Input!$C$7+2),0)*IF(B1087&gt;20,Input!$C$22,1)/1000,1))</f>
        <v/>
      </c>
      <c r="P1087" s="147" t="str">
        <f>IF($E1087="","",MIN(VLOOKUP(IF($B1087&lt;=Input!$C$7,$B1087,26),'Mortality Tables'!$A$12:$CW$37,IF($B1087&lt;=Input!$C$7+1,Input!$C$4+2,$D1087-Input!$C$7+2),0)*IF(B1087&gt;20,Input!$C$22,1)/1000,1))</f>
        <v/>
      </c>
      <c r="Q1087" s="155" t="str">
        <f>IF($E1087="","",Input!$C$21)</f>
        <v/>
      </c>
      <c r="R1087" s="159" t="str">
        <f>IF($E1087="","",(1-Q1087)^($F1087-Input!$C$20))</f>
        <v/>
      </c>
      <c r="S1087" s="147" t="str">
        <f t="shared" si="674"/>
        <v/>
      </c>
      <c r="T1087" s="147" t="str">
        <f t="shared" si="675"/>
        <v/>
      </c>
      <c r="U1087" s="160" t="str">
        <f>IF($E1087="","",IF($C1087=12,INDEX(Input!$C$15:$CP$15,1,$B1087),0))</f>
        <v/>
      </c>
      <c r="V1087" s="150" t="str">
        <f>IF(E1087="","",IF(C1087=1,IF($B1087=1,Input!$C$33,Input!$C$34),0))</f>
        <v/>
      </c>
      <c r="W1087" s="156" t="str">
        <f>IF($E1087="","",Input!$C$35)</f>
        <v/>
      </c>
      <c r="X1087" s="156" t="str">
        <f t="shared" si="715"/>
        <v/>
      </c>
      <c r="Y1087" s="154"/>
      <c r="Z1087" s="147" t="str">
        <f>IF($E1087="","",VLOOKUP($D1087,'Mortality Margins &amp; Grading'!$AB$5:$AF$125,3,0)*IF(Summary!$D$25="Included Margin",IF(AND($B1087&gt;Input!$C$9,Summary!$D$31&lt;&gt;"Included Margin"),0,1),0))</f>
        <v/>
      </c>
      <c r="AA1087" s="147" t="str">
        <f>IF($E1087="","",VLOOKUP($D1087,'Mortality Margins &amp; Grading'!$AB$5:$AF$125,5,0)*IF(Summary!$D$25="Included Margin",IF(AND($B1087&gt;Input!$C$9,Summary!$D$31&lt;&gt;"Included Margin"),0,1),0))</f>
        <v/>
      </c>
      <c r="AB1087" s="147" t="str">
        <f>IF($E1087="","",IF(AND($B1087&gt;Input!$C$9,Summary!$D$31&lt;&gt;"Included Margin"),1,IF(Summary!$D$25="Included Margin",VLOOKUP($B1087,'Mortality Margins &amp; Grading'!$AI$5:$AR$125,MATCH('Mortality Margins &amp; Grading'!$AQ$4,'Mortality Margins &amp; Grading'!$AI$4:$AR$4,0),0),1)))</f>
        <v/>
      </c>
      <c r="AC1087" s="154"/>
      <c r="AD1087" s="158" t="str">
        <f>IF(E1087="","",Input!$C$48*IF(Summary!$D$30="Included Margin",IF(AND($B1087&gt;Input!$C$9,Summary!$D$31&lt;&gt;"Included Margin"),0,1),0))</f>
        <v/>
      </c>
      <c r="AE1087" s="159" t="str">
        <f>IF(E1087="","",IF(Summary!$D$26="Included Margin",IF(AND($B1087&gt;Input!$C$9,Summary!$D$31&lt;&gt;"Included Margin"),1,1/$R1087),1))</f>
        <v/>
      </c>
      <c r="AF1087" s="160" t="str">
        <f>IF(E1087="","",IF(AND($B1087&gt;=Input!$C$9,$C1087=12,Summary!$D$31="Included Margin",$U1087&gt;0),1/U1087-1,IF($B1087&gt;=Input!$C$9,0,Input!$C$45*IF(Summary!$D$27="Included Margin",1,0))))</f>
        <v/>
      </c>
      <c r="AG1087" s="160" t="str">
        <f>IF(E1087="","",Input!$C$46*IF(Summary!$D$28="Included Margin",IF(AND($B1087&gt;Input!$C$9,Summary!$D$31&lt;&gt;"Included Margin"),0,1),0))</f>
        <v/>
      </c>
      <c r="AH1087" s="158" t="str">
        <f>IF(E1087="","",Input!$C$47*IF(Summary!$D$29="Included Margin",IF(AND($B1087&gt;Input!$C$9,Summary!$D$31&lt;&gt;"Included Margin"),0,1),0))</f>
        <v/>
      </c>
      <c r="AI1087" s="154"/>
      <c r="AJ1087" s="158" t="str">
        <f t="shared" si="689"/>
        <v/>
      </c>
      <c r="AK1087" s="155" t="str">
        <f t="shared" si="690"/>
        <v/>
      </c>
      <c r="AL1087" s="147" t="str">
        <f t="shared" si="691"/>
        <v/>
      </c>
      <c r="AM1087" s="147" t="str">
        <f t="shared" si="676"/>
        <v/>
      </c>
      <c r="AN1087" s="160" t="str">
        <f t="shared" si="692"/>
        <v/>
      </c>
      <c r="AO1087" s="161" t="str">
        <f t="shared" si="693"/>
        <v/>
      </c>
      <c r="AP1087" s="156" t="str">
        <f t="shared" si="677"/>
        <v/>
      </c>
      <c r="AQ1087" s="152"/>
      <c r="AR1087" s="162" t="str">
        <f t="shared" si="678"/>
        <v/>
      </c>
      <c r="AS1087" s="150" t="str">
        <f t="shared" si="694"/>
        <v/>
      </c>
      <c r="AT1087" s="163" t="str">
        <f t="shared" si="679"/>
        <v/>
      </c>
      <c r="AU1087" s="163" t="str">
        <f t="shared" si="680"/>
        <v/>
      </c>
      <c r="AV1087" s="163" t="str">
        <f t="shared" si="695"/>
        <v/>
      </c>
      <c r="AW1087" s="163" t="str">
        <f t="shared" si="681"/>
        <v/>
      </c>
      <c r="AX1087" s="163" t="str">
        <f t="shared" si="682"/>
        <v/>
      </c>
      <c r="AY1087" s="164" t="str">
        <f t="shared" si="696"/>
        <v/>
      </c>
      <c r="AZ1087" s="164" t="str">
        <f>IF($E1087="","",IF(OR(AND($D1087=Input!$C$6,$C1087=12),$AN1087=1),0,-AS1088+AT1088+AU1088-AV1088-AW1088-AX1088+AZ1088))</f>
        <v/>
      </c>
      <c r="BA1087" s="154" t="str">
        <f t="shared" si="683"/>
        <v/>
      </c>
      <c r="BC1087" s="147" t="str">
        <f t="shared" si="697"/>
        <v/>
      </c>
      <c r="BD1087" s="164" t="str">
        <f>IF(AND($C1086=12,$D1086=Input!$C$6),0,IF($E1087="","",AT1087+(AU1087+BD1088)/(1+$AK1087)*MIN((1-AM1087-AN1087),1)))</f>
        <v/>
      </c>
      <c r="BE1087" s="164" t="str">
        <f t="shared" si="712"/>
        <v/>
      </c>
      <c r="BF1087" s="164" t="str">
        <f t="shared" si="698"/>
        <v/>
      </c>
      <c r="BG1087" s="164" t="str">
        <f t="shared" si="684"/>
        <v/>
      </c>
      <c r="BH1087" s="152"/>
      <c r="BI1087" s="162" t="str">
        <f t="shared" si="706"/>
        <v/>
      </c>
      <c r="BJ1087" s="150" t="str">
        <f t="shared" si="707"/>
        <v/>
      </c>
      <c r="BK1087" s="163" t="str">
        <f t="shared" si="703"/>
        <v/>
      </c>
      <c r="BL1087" s="163" t="str">
        <f t="shared" si="708"/>
        <v/>
      </c>
      <c r="BM1087" s="163" t="str">
        <f t="shared" si="704"/>
        <v/>
      </c>
      <c r="BN1087" s="163" t="str">
        <f t="shared" si="709"/>
        <v/>
      </c>
      <c r="BO1087" s="163" t="str">
        <f t="shared" si="710"/>
        <v/>
      </c>
      <c r="BP1087" s="164" t="str">
        <f t="shared" si="705"/>
        <v/>
      </c>
      <c r="BQ1087" s="164" t="str">
        <f t="shared" si="699"/>
        <v/>
      </c>
      <c r="BR1087" s="154" t="str">
        <f t="shared" si="711"/>
        <v/>
      </c>
      <c r="BT1087" s="147" t="str">
        <f t="shared" si="685"/>
        <v/>
      </c>
      <c r="BU1087" s="164" t="str">
        <f>IF(AND($C1086=12,$D1086=Input!$C$6),0,IF($E1087="","",BK1087+(BL1087+BU1088)/(1+$AK1087)*MIN((1-T1087-U1087),1)))</f>
        <v/>
      </c>
      <c r="BV1087" s="164" t="str">
        <f t="shared" si="686"/>
        <v/>
      </c>
      <c r="BW1087" s="164" t="str">
        <f t="shared" si="687"/>
        <v/>
      </c>
      <c r="BX1087" s="164" t="str">
        <f t="shared" si="688"/>
        <v/>
      </c>
    </row>
    <row r="1088" spans="1:76" s="150" customFormat="1" x14ac:dyDescent="0.25">
      <c r="A1088" s="150" t="str">
        <f t="shared" si="700"/>
        <v/>
      </c>
      <c r="B1088" s="150" t="str">
        <f t="shared" si="701"/>
        <v/>
      </c>
      <c r="C1088" s="150" t="str">
        <f t="shared" si="702"/>
        <v/>
      </c>
      <c r="D1088" s="150" t="str">
        <f>IF(E1088="","",Input!$C$4+B1088-1)</f>
        <v/>
      </c>
      <c r="E1088" s="150" t="str">
        <f>IF(OR(AND(C1087=12,D1087=Input!$C$6),E1087=""),"",1)</f>
        <v/>
      </c>
      <c r="F1088" s="150" t="str">
        <f>IF(E1088="","",Input!$C$8+B1088-1)</f>
        <v/>
      </c>
      <c r="G1088" s="151" t="str">
        <f>IF(E1088="","",MAX(0,Input!$C$9-B1088))</f>
        <v/>
      </c>
      <c r="H1088" s="152" t="str">
        <f>IF(E1088="","",Input!$C$3)</f>
        <v/>
      </c>
      <c r="I1088" s="153" t="str">
        <f>IF(E1088="","",HLOOKUP($B1088,Input!$C$13:$BT$14,2))</f>
        <v/>
      </c>
      <c r="J1088" s="154"/>
      <c r="K1088" s="155" t="str">
        <f>IF($E1088="","",INDEX(Input!$C$16:$CP$16,1,$B1088))</f>
        <v/>
      </c>
      <c r="L1088" s="155" t="str">
        <f>IF($E1088="","",Input!$C$37)</f>
        <v/>
      </c>
      <c r="M1088" s="155" t="str">
        <f t="shared" si="713"/>
        <v/>
      </c>
      <c r="N1088" s="155" t="str">
        <f t="shared" si="714"/>
        <v/>
      </c>
      <c r="O1088" s="147" t="str">
        <f>IF($E1088="","",MIN(VLOOKUP(IF($B1088&lt;=Input!$C$7,$B1088,26),'Mortality Tables'!$A$41:$CW$67,IF($B1088&lt;=Input!$C$7+1,Input!$C$4+2,$D1088-Input!$C$7+2),0)*IF(B1088&gt;20,Input!$C$22,1)/1000,1))</f>
        <v/>
      </c>
      <c r="P1088" s="147" t="str">
        <f>IF($E1088="","",MIN(VLOOKUP(IF($B1088&lt;=Input!$C$7,$B1088,26),'Mortality Tables'!$A$12:$CW$37,IF($B1088&lt;=Input!$C$7+1,Input!$C$4+2,$D1088-Input!$C$7+2),0)*IF(B1088&gt;20,Input!$C$22,1)/1000,1))</f>
        <v/>
      </c>
      <c r="Q1088" s="155" t="str">
        <f>IF($E1088="","",Input!$C$21)</f>
        <v/>
      </c>
      <c r="R1088" s="159" t="str">
        <f>IF($E1088="","",(1-Q1088)^($F1088-Input!$C$20))</f>
        <v/>
      </c>
      <c r="S1088" s="147" t="str">
        <f t="shared" si="674"/>
        <v/>
      </c>
      <c r="T1088" s="147" t="str">
        <f t="shared" si="675"/>
        <v/>
      </c>
      <c r="U1088" s="160" t="str">
        <f>IF($E1088="","",IF($C1088=12,INDEX(Input!$C$15:$CP$15,1,$B1088),0))</f>
        <v/>
      </c>
      <c r="V1088" s="150" t="str">
        <f>IF(E1088="","",IF(C1088=1,IF($B1088=1,Input!$C$33,Input!$C$34),0))</f>
        <v/>
      </c>
      <c r="W1088" s="156" t="str">
        <f>IF($E1088="","",Input!$C$35)</f>
        <v/>
      </c>
      <c r="X1088" s="156" t="str">
        <f t="shared" si="715"/>
        <v/>
      </c>
      <c r="Y1088" s="154"/>
      <c r="Z1088" s="147" t="str">
        <f>IF($E1088="","",VLOOKUP($D1088,'Mortality Margins &amp; Grading'!$AB$5:$AF$125,3,0)*IF(Summary!$D$25="Included Margin",IF(AND($B1088&gt;Input!$C$9,Summary!$D$31&lt;&gt;"Included Margin"),0,1),0))</f>
        <v/>
      </c>
      <c r="AA1088" s="147" t="str">
        <f>IF($E1088="","",VLOOKUP($D1088,'Mortality Margins &amp; Grading'!$AB$5:$AF$125,5,0)*IF(Summary!$D$25="Included Margin",IF(AND($B1088&gt;Input!$C$9,Summary!$D$31&lt;&gt;"Included Margin"),0,1),0))</f>
        <v/>
      </c>
      <c r="AB1088" s="147" t="str">
        <f>IF($E1088="","",IF(AND($B1088&gt;Input!$C$9,Summary!$D$31&lt;&gt;"Included Margin"),1,IF(Summary!$D$25="Included Margin",VLOOKUP($B1088,'Mortality Margins &amp; Grading'!$AI$5:$AR$125,MATCH('Mortality Margins &amp; Grading'!$AQ$4,'Mortality Margins &amp; Grading'!$AI$4:$AR$4,0),0),1)))</f>
        <v/>
      </c>
      <c r="AC1088" s="154"/>
      <c r="AD1088" s="158" t="str">
        <f>IF(E1088="","",Input!$C$48*IF(Summary!$D$30="Included Margin",IF(AND($B1088&gt;Input!$C$9,Summary!$D$31&lt;&gt;"Included Margin"),0,1),0))</f>
        <v/>
      </c>
      <c r="AE1088" s="159" t="str">
        <f>IF(E1088="","",IF(Summary!$D$26="Included Margin",IF(AND($B1088&gt;Input!$C$9,Summary!$D$31&lt;&gt;"Included Margin"),1,1/$R1088),1))</f>
        <v/>
      </c>
      <c r="AF1088" s="160" t="str">
        <f>IF(E1088="","",IF(AND($B1088&gt;=Input!$C$9,$C1088=12,Summary!$D$31="Included Margin",$U1088&gt;0),1/U1088-1,IF($B1088&gt;=Input!$C$9,0,Input!$C$45*IF(Summary!$D$27="Included Margin",1,0))))</f>
        <v/>
      </c>
      <c r="AG1088" s="160" t="str">
        <f>IF(E1088="","",Input!$C$46*IF(Summary!$D$28="Included Margin",IF(AND($B1088&gt;Input!$C$9,Summary!$D$31&lt;&gt;"Included Margin"),0,1),0))</f>
        <v/>
      </c>
      <c r="AH1088" s="158" t="str">
        <f>IF(E1088="","",Input!$C$47*IF(Summary!$D$29="Included Margin",IF(AND($B1088&gt;Input!$C$9,Summary!$D$31&lt;&gt;"Included Margin"),0,1),0))</f>
        <v/>
      </c>
      <c r="AI1088" s="154"/>
      <c r="AJ1088" s="158" t="str">
        <f t="shared" si="689"/>
        <v/>
      </c>
      <c r="AK1088" s="155" t="str">
        <f t="shared" si="690"/>
        <v/>
      </c>
      <c r="AL1088" s="147" t="str">
        <f t="shared" si="691"/>
        <v/>
      </c>
      <c r="AM1088" s="147" t="str">
        <f t="shared" si="676"/>
        <v/>
      </c>
      <c r="AN1088" s="160" t="str">
        <f t="shared" si="692"/>
        <v/>
      </c>
      <c r="AO1088" s="161" t="str">
        <f t="shared" si="693"/>
        <v/>
      </c>
      <c r="AP1088" s="156" t="str">
        <f t="shared" si="677"/>
        <v/>
      </c>
      <c r="AQ1088" s="152"/>
      <c r="AR1088" s="162" t="str">
        <f t="shared" si="678"/>
        <v/>
      </c>
      <c r="AS1088" s="150" t="str">
        <f t="shared" si="694"/>
        <v/>
      </c>
      <c r="AT1088" s="163" t="str">
        <f t="shared" si="679"/>
        <v/>
      </c>
      <c r="AU1088" s="163" t="str">
        <f t="shared" si="680"/>
        <v/>
      </c>
      <c r="AV1088" s="163" t="str">
        <f t="shared" si="695"/>
        <v/>
      </c>
      <c r="AW1088" s="163" t="str">
        <f t="shared" si="681"/>
        <v/>
      </c>
      <c r="AX1088" s="163" t="str">
        <f t="shared" si="682"/>
        <v/>
      </c>
      <c r="AY1088" s="165" t="str">
        <f t="shared" si="696"/>
        <v/>
      </c>
      <c r="AZ1088" s="164" t="str">
        <f>IF($E1088="","",IF(OR(AND($D1088=Input!$C$6,$C1088=12),$AN1088=1),0,-AS1089+AT1089+AU1089-AV1089-AW1089-AX1089+AZ1089))</f>
        <v/>
      </c>
      <c r="BA1088" s="154" t="str">
        <f t="shared" si="683"/>
        <v/>
      </c>
      <c r="BC1088" s="147" t="str">
        <f t="shared" si="697"/>
        <v/>
      </c>
      <c r="BD1088" s="164" t="str">
        <f>IF(AND($C1087=12,$D1087=Input!$C$6),0,IF($E1088="","",AT1088+(AU1088+BD1089)/(1+$AK1088)*MIN((1-AM1088-AN1088),1)))</f>
        <v/>
      </c>
      <c r="BE1088" s="164" t="str">
        <f t="shared" si="712"/>
        <v/>
      </c>
      <c r="BF1088" s="164" t="str">
        <f t="shared" si="698"/>
        <v/>
      </c>
      <c r="BG1088" s="164" t="str">
        <f t="shared" si="684"/>
        <v/>
      </c>
      <c r="BH1088" s="152"/>
      <c r="BI1088" s="162" t="str">
        <f t="shared" si="706"/>
        <v/>
      </c>
      <c r="BJ1088" s="150" t="str">
        <f t="shared" si="707"/>
        <v/>
      </c>
      <c r="BK1088" s="163" t="str">
        <f t="shared" si="703"/>
        <v/>
      </c>
      <c r="BL1088" s="163" t="str">
        <f t="shared" si="708"/>
        <v/>
      </c>
      <c r="BM1088" s="163" t="str">
        <f t="shared" si="704"/>
        <v/>
      </c>
      <c r="BN1088" s="163" t="str">
        <f t="shared" si="709"/>
        <v/>
      </c>
      <c r="BO1088" s="163" t="str">
        <f t="shared" si="710"/>
        <v/>
      </c>
      <c r="BP1088" s="164" t="str">
        <f t="shared" si="705"/>
        <v/>
      </c>
      <c r="BQ1088" s="164" t="str">
        <f t="shared" si="699"/>
        <v/>
      </c>
      <c r="BR1088" s="154" t="str">
        <f t="shared" si="711"/>
        <v/>
      </c>
      <c r="BT1088" s="147" t="str">
        <f t="shared" si="685"/>
        <v/>
      </c>
      <c r="BU1088" s="164" t="str">
        <f>IF(AND($C1087=12,$D1087=Input!$C$6),0,IF($E1088="","",BK1088+(BL1088+BU1089)/(1+$AK1088)*MIN((1-T1088-U1088),1)))</f>
        <v/>
      </c>
      <c r="BV1088" s="164" t="str">
        <f t="shared" si="686"/>
        <v/>
      </c>
      <c r="BW1088" s="164" t="str">
        <f t="shared" si="687"/>
        <v/>
      </c>
      <c r="BX1088" s="164" t="str">
        <f t="shared" si="688"/>
        <v/>
      </c>
    </row>
    <row r="1089" spans="1:76" s="150" customFormat="1" x14ac:dyDescent="0.25">
      <c r="A1089" s="150" t="str">
        <f t="shared" si="700"/>
        <v/>
      </c>
      <c r="B1089" s="150" t="str">
        <f t="shared" si="701"/>
        <v/>
      </c>
      <c r="C1089" s="150" t="str">
        <f t="shared" si="702"/>
        <v/>
      </c>
      <c r="D1089" s="150" t="str">
        <f>IF(E1089="","",Input!$C$4+B1089-1)</f>
        <v/>
      </c>
      <c r="E1089" s="150" t="str">
        <f>IF(OR(AND(C1088=12,D1088=Input!$C$6),E1088=""),"",1)</f>
        <v/>
      </c>
      <c r="F1089" s="150" t="str">
        <f>IF(E1089="","",Input!$C$8+B1089-1)</f>
        <v/>
      </c>
      <c r="G1089" s="151" t="str">
        <f>IF(E1089="","",MAX(0,Input!$C$9-B1089))</f>
        <v/>
      </c>
      <c r="H1089" s="152" t="str">
        <f>IF(E1089="","",Input!$C$3)</f>
        <v/>
      </c>
      <c r="I1089" s="153" t="str">
        <f>IF(E1089="","",HLOOKUP($B1089,Input!$C$13:$BT$14,2))</f>
        <v/>
      </c>
      <c r="J1089" s="154"/>
      <c r="K1089" s="155" t="str">
        <f>IF($E1089="","",INDEX(Input!$C$16:$CP$16,1,$B1089))</f>
        <v/>
      </c>
      <c r="L1089" s="155" t="str">
        <f>IF($E1089="","",Input!$C$37)</f>
        <v/>
      </c>
      <c r="M1089" s="155" t="str">
        <f t="shared" si="713"/>
        <v/>
      </c>
      <c r="N1089" s="155" t="str">
        <f t="shared" si="714"/>
        <v/>
      </c>
      <c r="O1089" s="147" t="str">
        <f>IF($E1089="","",MIN(VLOOKUP(IF($B1089&lt;=Input!$C$7,$B1089,26),'Mortality Tables'!$A$41:$CW$67,IF($B1089&lt;=Input!$C$7+1,Input!$C$4+2,$D1089-Input!$C$7+2),0)*IF(B1089&gt;20,Input!$C$22,1)/1000,1))</f>
        <v/>
      </c>
      <c r="P1089" s="147" t="str">
        <f>IF($E1089="","",MIN(VLOOKUP(IF($B1089&lt;=Input!$C$7,$B1089,26),'Mortality Tables'!$A$12:$CW$37,IF($B1089&lt;=Input!$C$7+1,Input!$C$4+2,$D1089-Input!$C$7+2),0)*IF(B1089&gt;20,Input!$C$22,1)/1000,1))</f>
        <v/>
      </c>
      <c r="Q1089" s="155" t="str">
        <f>IF($E1089="","",Input!$C$21)</f>
        <v/>
      </c>
      <c r="R1089" s="159" t="str">
        <f>IF($E1089="","",(1-Q1089)^($F1089-Input!$C$20))</f>
        <v/>
      </c>
      <c r="S1089" s="147" t="str">
        <f t="shared" si="674"/>
        <v/>
      </c>
      <c r="T1089" s="147" t="str">
        <f t="shared" si="675"/>
        <v/>
      </c>
      <c r="U1089" s="160" t="str">
        <f>IF($E1089="","",IF($C1089=12,INDEX(Input!$C$15:$CP$15,1,$B1089),0))</f>
        <v/>
      </c>
      <c r="V1089" s="150" t="str">
        <f>IF(E1089="","",IF(C1089=1,IF($B1089=1,Input!$C$33,Input!$C$34),0))</f>
        <v/>
      </c>
      <c r="W1089" s="156" t="str">
        <f>IF($E1089="","",Input!$C$35)</f>
        <v/>
      </c>
      <c r="X1089" s="156" t="str">
        <f t="shared" si="715"/>
        <v/>
      </c>
      <c r="Y1089" s="154"/>
      <c r="Z1089" s="147" t="str">
        <f>IF($E1089="","",VLOOKUP($D1089,'Mortality Margins &amp; Grading'!$AB$5:$AF$125,3,0)*IF(Summary!$D$25="Included Margin",IF(AND($B1089&gt;Input!$C$9,Summary!$D$31&lt;&gt;"Included Margin"),0,1),0))</f>
        <v/>
      </c>
      <c r="AA1089" s="147" t="str">
        <f>IF($E1089="","",VLOOKUP($D1089,'Mortality Margins &amp; Grading'!$AB$5:$AF$125,5,0)*IF(Summary!$D$25="Included Margin",IF(AND($B1089&gt;Input!$C$9,Summary!$D$31&lt;&gt;"Included Margin"),0,1),0))</f>
        <v/>
      </c>
      <c r="AB1089" s="147" t="str">
        <f>IF($E1089="","",IF(AND($B1089&gt;Input!$C$9,Summary!$D$31&lt;&gt;"Included Margin"),1,IF(Summary!$D$25="Included Margin",VLOOKUP($B1089,'Mortality Margins &amp; Grading'!$AI$5:$AR$125,MATCH('Mortality Margins &amp; Grading'!$AQ$4,'Mortality Margins &amp; Grading'!$AI$4:$AR$4,0),0),1)))</f>
        <v/>
      </c>
      <c r="AC1089" s="154"/>
      <c r="AD1089" s="158" t="str">
        <f>IF(E1089="","",Input!$C$48*IF(Summary!$D$30="Included Margin",IF(AND($B1089&gt;Input!$C$9,Summary!$D$31&lt;&gt;"Included Margin"),0,1),0))</f>
        <v/>
      </c>
      <c r="AE1089" s="159" t="str">
        <f>IF(E1089="","",IF(Summary!$D$26="Included Margin",IF(AND($B1089&gt;Input!$C$9,Summary!$D$31&lt;&gt;"Included Margin"),1,1/$R1089),1))</f>
        <v/>
      </c>
      <c r="AF1089" s="160" t="str">
        <f>IF(E1089="","",IF(AND($B1089&gt;=Input!$C$9,$C1089=12,Summary!$D$31="Included Margin",$U1089&gt;0),1/U1089-1,IF($B1089&gt;=Input!$C$9,0,Input!$C$45*IF(Summary!$D$27="Included Margin",1,0))))</f>
        <v/>
      </c>
      <c r="AG1089" s="160" t="str">
        <f>IF(E1089="","",Input!$C$46*IF(Summary!$D$28="Included Margin",IF(AND($B1089&gt;Input!$C$9,Summary!$D$31&lt;&gt;"Included Margin"),0,1),0))</f>
        <v/>
      </c>
      <c r="AH1089" s="158" t="str">
        <f>IF(E1089="","",Input!$C$47*IF(Summary!$D$29="Included Margin",IF(AND($B1089&gt;Input!$C$9,Summary!$D$31&lt;&gt;"Included Margin"),0,1),0))</f>
        <v/>
      </c>
      <c r="AI1089" s="154"/>
      <c r="AJ1089" s="158" t="str">
        <f t="shared" si="689"/>
        <v/>
      </c>
      <c r="AK1089" s="155" t="str">
        <f t="shared" si="690"/>
        <v/>
      </c>
      <c r="AL1089" s="147" t="str">
        <f t="shared" si="691"/>
        <v/>
      </c>
      <c r="AM1089" s="147" t="str">
        <f t="shared" si="676"/>
        <v/>
      </c>
      <c r="AN1089" s="160" t="str">
        <f t="shared" si="692"/>
        <v/>
      </c>
      <c r="AO1089" s="161" t="str">
        <f t="shared" si="693"/>
        <v/>
      </c>
      <c r="AP1089" s="156" t="str">
        <f t="shared" si="677"/>
        <v/>
      </c>
      <c r="AQ1089" s="152"/>
      <c r="AR1089" s="162" t="str">
        <f t="shared" si="678"/>
        <v/>
      </c>
      <c r="AS1089" s="150" t="str">
        <f t="shared" si="694"/>
        <v/>
      </c>
      <c r="AT1089" s="163" t="str">
        <f t="shared" si="679"/>
        <v/>
      </c>
      <c r="AU1089" s="163" t="str">
        <f t="shared" si="680"/>
        <v/>
      </c>
      <c r="AV1089" s="163" t="str">
        <f t="shared" si="695"/>
        <v/>
      </c>
      <c r="AW1089" s="163" t="str">
        <f t="shared" si="681"/>
        <v/>
      </c>
      <c r="AX1089" s="163" t="str">
        <f t="shared" si="682"/>
        <v/>
      </c>
      <c r="AY1089" s="164" t="str">
        <f t="shared" si="696"/>
        <v/>
      </c>
      <c r="AZ1089" s="164" t="str">
        <f>IF($E1089="","",IF(OR(AND($D1089=Input!$C$6,$C1089=12),$AN1089=1),0,-AS1090+AT1090+AU1090-AV1090-AW1090-AX1090+AZ1090))</f>
        <v/>
      </c>
      <c r="BA1089" s="154" t="str">
        <f t="shared" si="683"/>
        <v/>
      </c>
      <c r="BC1089" s="147" t="str">
        <f t="shared" si="697"/>
        <v/>
      </c>
      <c r="BD1089" s="164" t="str">
        <f>IF(AND($C1088=12,$D1088=Input!$C$6),0,IF($E1089="","",AT1089+(AU1089+BD1090)/(1+$AK1089)*MIN((1-AM1089-AN1089),1)))</f>
        <v/>
      </c>
      <c r="BE1089" s="164" t="str">
        <f t="shared" si="712"/>
        <v/>
      </c>
      <c r="BF1089" s="164" t="str">
        <f t="shared" si="698"/>
        <v/>
      </c>
      <c r="BG1089" s="164" t="str">
        <f t="shared" si="684"/>
        <v/>
      </c>
      <c r="BH1089" s="152"/>
      <c r="BI1089" s="162" t="str">
        <f t="shared" si="706"/>
        <v/>
      </c>
      <c r="BJ1089" s="150" t="str">
        <f t="shared" si="707"/>
        <v/>
      </c>
      <c r="BK1089" s="163" t="str">
        <f t="shared" si="703"/>
        <v/>
      </c>
      <c r="BL1089" s="163" t="str">
        <f t="shared" si="708"/>
        <v/>
      </c>
      <c r="BM1089" s="163" t="str">
        <f t="shared" si="704"/>
        <v/>
      </c>
      <c r="BN1089" s="163" t="str">
        <f t="shared" si="709"/>
        <v/>
      </c>
      <c r="BO1089" s="163" t="str">
        <f t="shared" si="710"/>
        <v/>
      </c>
      <c r="BP1089" s="164" t="str">
        <f t="shared" si="705"/>
        <v/>
      </c>
      <c r="BQ1089" s="164" t="str">
        <f t="shared" si="699"/>
        <v/>
      </c>
      <c r="BR1089" s="154" t="str">
        <f t="shared" si="711"/>
        <v/>
      </c>
      <c r="BT1089" s="147" t="str">
        <f t="shared" si="685"/>
        <v/>
      </c>
      <c r="BU1089" s="164" t="str">
        <f>IF(AND($C1088=12,$D1088=Input!$C$6),0,IF($E1089="","",BK1089+(BL1089+BU1090)/(1+$AK1089)*MIN((1-T1089-U1089),1)))</f>
        <v/>
      </c>
      <c r="BV1089" s="164" t="str">
        <f t="shared" si="686"/>
        <v/>
      </c>
      <c r="BW1089" s="164" t="str">
        <f t="shared" si="687"/>
        <v/>
      </c>
      <c r="BX1089" s="164" t="str">
        <f t="shared" si="688"/>
        <v/>
      </c>
    </row>
    <row r="1090" spans="1:76" s="150" customFormat="1" x14ac:dyDescent="0.25">
      <c r="A1090" s="150" t="str">
        <f t="shared" si="700"/>
        <v/>
      </c>
      <c r="B1090" s="150" t="str">
        <f t="shared" si="701"/>
        <v/>
      </c>
      <c r="C1090" s="150" t="str">
        <f t="shared" si="702"/>
        <v/>
      </c>
      <c r="D1090" s="150" t="str">
        <f>IF(E1090="","",Input!$C$4+B1090-1)</f>
        <v/>
      </c>
      <c r="E1090" s="150" t="str">
        <f>IF(OR(AND(C1089=12,D1089=Input!$C$6),E1089=""),"",1)</f>
        <v/>
      </c>
      <c r="F1090" s="150" t="str">
        <f>IF(E1090="","",Input!$C$8+B1090-1)</f>
        <v/>
      </c>
      <c r="G1090" s="151" t="str">
        <f>IF(E1090="","",MAX(0,Input!$C$9-B1090))</f>
        <v/>
      </c>
      <c r="H1090" s="152" t="str">
        <f>IF(E1090="","",Input!$C$3)</f>
        <v/>
      </c>
      <c r="I1090" s="153" t="str">
        <f>IF(E1090="","",HLOOKUP($B1090,Input!$C$13:$BT$14,2))</f>
        <v/>
      </c>
      <c r="J1090" s="154"/>
      <c r="K1090" s="155" t="str">
        <f>IF($E1090="","",INDEX(Input!$C$16:$CP$16,1,$B1090))</f>
        <v/>
      </c>
      <c r="L1090" s="155" t="str">
        <f>IF($E1090="","",Input!$C$37)</f>
        <v/>
      </c>
      <c r="M1090" s="155" t="str">
        <f t="shared" si="713"/>
        <v/>
      </c>
      <c r="N1090" s="155" t="str">
        <f t="shared" si="714"/>
        <v/>
      </c>
      <c r="O1090" s="147" t="str">
        <f>IF($E1090="","",MIN(VLOOKUP(IF($B1090&lt;=Input!$C$7,$B1090,26),'Mortality Tables'!$A$41:$CW$67,IF($B1090&lt;=Input!$C$7+1,Input!$C$4+2,$D1090-Input!$C$7+2),0)*IF(B1090&gt;20,Input!$C$22,1)/1000,1))</f>
        <v/>
      </c>
      <c r="P1090" s="147" t="str">
        <f>IF($E1090="","",MIN(VLOOKUP(IF($B1090&lt;=Input!$C$7,$B1090,26),'Mortality Tables'!$A$12:$CW$37,IF($B1090&lt;=Input!$C$7+1,Input!$C$4+2,$D1090-Input!$C$7+2),0)*IF(B1090&gt;20,Input!$C$22,1)/1000,1))</f>
        <v/>
      </c>
      <c r="Q1090" s="155" t="str">
        <f>IF($E1090="","",Input!$C$21)</f>
        <v/>
      </c>
      <c r="R1090" s="159" t="str">
        <f>IF($E1090="","",(1-Q1090)^($F1090-Input!$C$20))</f>
        <v/>
      </c>
      <c r="S1090" s="147" t="str">
        <f t="shared" si="674"/>
        <v/>
      </c>
      <c r="T1090" s="147" t="str">
        <f t="shared" si="675"/>
        <v/>
      </c>
      <c r="U1090" s="160" t="str">
        <f>IF($E1090="","",IF($C1090=12,INDEX(Input!$C$15:$CP$15,1,$B1090),0))</f>
        <v/>
      </c>
      <c r="V1090" s="150" t="str">
        <f>IF(E1090="","",IF(C1090=1,IF($B1090=1,Input!$C$33,Input!$C$34),0))</f>
        <v/>
      </c>
      <c r="W1090" s="156" t="str">
        <f>IF($E1090="","",Input!$C$35)</f>
        <v/>
      </c>
      <c r="X1090" s="156" t="str">
        <f t="shared" si="715"/>
        <v/>
      </c>
      <c r="Y1090" s="154"/>
      <c r="Z1090" s="147" t="str">
        <f>IF($E1090="","",VLOOKUP($D1090,'Mortality Margins &amp; Grading'!$AB$5:$AF$125,3,0)*IF(Summary!$D$25="Included Margin",IF(AND($B1090&gt;Input!$C$9,Summary!$D$31&lt;&gt;"Included Margin"),0,1),0))</f>
        <v/>
      </c>
      <c r="AA1090" s="147" t="str">
        <f>IF($E1090="","",VLOOKUP($D1090,'Mortality Margins &amp; Grading'!$AB$5:$AF$125,5,0)*IF(Summary!$D$25="Included Margin",IF(AND($B1090&gt;Input!$C$9,Summary!$D$31&lt;&gt;"Included Margin"),0,1),0))</f>
        <v/>
      </c>
      <c r="AB1090" s="147" t="str">
        <f>IF($E1090="","",IF(AND($B1090&gt;Input!$C$9,Summary!$D$31&lt;&gt;"Included Margin"),1,IF(Summary!$D$25="Included Margin",VLOOKUP($B1090,'Mortality Margins &amp; Grading'!$AI$5:$AR$125,MATCH('Mortality Margins &amp; Grading'!$AQ$4,'Mortality Margins &amp; Grading'!$AI$4:$AR$4,0),0),1)))</f>
        <v/>
      </c>
      <c r="AC1090" s="154"/>
      <c r="AD1090" s="158" t="str">
        <f>IF(E1090="","",Input!$C$48*IF(Summary!$D$30="Included Margin",IF(AND($B1090&gt;Input!$C$9,Summary!$D$31&lt;&gt;"Included Margin"),0,1),0))</f>
        <v/>
      </c>
      <c r="AE1090" s="159" t="str">
        <f>IF(E1090="","",IF(Summary!$D$26="Included Margin",IF(AND($B1090&gt;Input!$C$9,Summary!$D$31&lt;&gt;"Included Margin"),1,1/$R1090),1))</f>
        <v/>
      </c>
      <c r="AF1090" s="160" t="str">
        <f>IF(E1090="","",IF(AND($B1090&gt;=Input!$C$9,$C1090=12,Summary!$D$31="Included Margin",$U1090&gt;0),1/U1090-1,IF($B1090&gt;=Input!$C$9,0,Input!$C$45*IF(Summary!$D$27="Included Margin",1,0))))</f>
        <v/>
      </c>
      <c r="AG1090" s="160" t="str">
        <f>IF(E1090="","",Input!$C$46*IF(Summary!$D$28="Included Margin",IF(AND($B1090&gt;Input!$C$9,Summary!$D$31&lt;&gt;"Included Margin"),0,1),0))</f>
        <v/>
      </c>
      <c r="AH1090" s="158" t="str">
        <f>IF(E1090="","",Input!$C$47*IF(Summary!$D$29="Included Margin",IF(AND($B1090&gt;Input!$C$9,Summary!$D$31&lt;&gt;"Included Margin"),0,1),0))</f>
        <v/>
      </c>
      <c r="AI1090" s="154"/>
      <c r="AJ1090" s="158" t="str">
        <f t="shared" si="689"/>
        <v/>
      </c>
      <c r="AK1090" s="155" t="str">
        <f t="shared" si="690"/>
        <v/>
      </c>
      <c r="AL1090" s="147" t="str">
        <f t="shared" si="691"/>
        <v/>
      </c>
      <c r="AM1090" s="147" t="str">
        <f t="shared" si="676"/>
        <v/>
      </c>
      <c r="AN1090" s="160" t="str">
        <f t="shared" si="692"/>
        <v/>
      </c>
      <c r="AO1090" s="161" t="str">
        <f t="shared" si="693"/>
        <v/>
      </c>
      <c r="AP1090" s="156" t="str">
        <f t="shared" si="677"/>
        <v/>
      </c>
      <c r="AQ1090" s="152"/>
      <c r="AR1090" s="162" t="str">
        <f t="shared" si="678"/>
        <v/>
      </c>
      <c r="AS1090" s="150" t="str">
        <f t="shared" si="694"/>
        <v/>
      </c>
      <c r="AT1090" s="163" t="str">
        <f t="shared" si="679"/>
        <v/>
      </c>
      <c r="AU1090" s="163" t="str">
        <f t="shared" si="680"/>
        <v/>
      </c>
      <c r="AV1090" s="163" t="str">
        <f t="shared" si="695"/>
        <v/>
      </c>
      <c r="AW1090" s="163" t="str">
        <f t="shared" si="681"/>
        <v/>
      </c>
      <c r="AX1090" s="163" t="str">
        <f t="shared" si="682"/>
        <v/>
      </c>
      <c r="AY1090" s="165" t="str">
        <f t="shared" si="696"/>
        <v/>
      </c>
      <c r="AZ1090" s="164" t="str">
        <f>IF($E1090="","",IF(OR(AND($D1090=Input!$C$6,$C1090=12),$AN1090=1),0,-AS1091+AT1091+AU1091-AV1091-AW1091-AX1091+AZ1091))</f>
        <v/>
      </c>
      <c r="BA1090" s="154" t="str">
        <f t="shared" si="683"/>
        <v/>
      </c>
      <c r="BC1090" s="147" t="str">
        <f t="shared" si="697"/>
        <v/>
      </c>
      <c r="BD1090" s="164" t="str">
        <f>IF(AND($C1089=12,$D1089=Input!$C$6),0,IF($E1090="","",AT1090+(AU1090+BD1091)/(1+$AK1090)*MIN((1-AM1090-AN1090),1)))</f>
        <v/>
      </c>
      <c r="BE1090" s="164" t="str">
        <f t="shared" si="712"/>
        <v/>
      </c>
      <c r="BF1090" s="164" t="str">
        <f t="shared" si="698"/>
        <v/>
      </c>
      <c r="BG1090" s="164" t="str">
        <f t="shared" si="684"/>
        <v/>
      </c>
      <c r="BH1090" s="152"/>
      <c r="BI1090" s="162" t="str">
        <f t="shared" si="706"/>
        <v/>
      </c>
      <c r="BJ1090" s="150" t="str">
        <f t="shared" si="707"/>
        <v/>
      </c>
      <c r="BK1090" s="163" t="str">
        <f t="shared" si="703"/>
        <v/>
      </c>
      <c r="BL1090" s="163" t="str">
        <f t="shared" si="708"/>
        <v/>
      </c>
      <c r="BM1090" s="163" t="str">
        <f t="shared" si="704"/>
        <v/>
      </c>
      <c r="BN1090" s="163" t="str">
        <f t="shared" si="709"/>
        <v/>
      </c>
      <c r="BO1090" s="163" t="str">
        <f t="shared" si="710"/>
        <v/>
      </c>
      <c r="BP1090" s="164" t="str">
        <f t="shared" si="705"/>
        <v/>
      </c>
      <c r="BQ1090" s="164" t="str">
        <f t="shared" si="699"/>
        <v/>
      </c>
      <c r="BR1090" s="154" t="str">
        <f t="shared" si="711"/>
        <v/>
      </c>
      <c r="BT1090" s="147" t="str">
        <f t="shared" si="685"/>
        <v/>
      </c>
      <c r="BU1090" s="164" t="str">
        <f>IF(AND($C1089=12,$D1089=Input!$C$6),0,IF($E1090="","",BK1090+(BL1090+BU1091)/(1+$AK1090)*MIN((1-T1090-U1090),1)))</f>
        <v/>
      </c>
      <c r="BV1090" s="164" t="str">
        <f t="shared" si="686"/>
        <v/>
      </c>
      <c r="BW1090" s="164" t="str">
        <f t="shared" si="687"/>
        <v/>
      </c>
      <c r="BX1090" s="164" t="str">
        <f t="shared" si="688"/>
        <v/>
      </c>
    </row>
    <row r="1091" spans="1:76" s="150" customFormat="1" x14ac:dyDescent="0.25">
      <c r="A1091" s="150" t="str">
        <f t="shared" si="700"/>
        <v/>
      </c>
      <c r="B1091" s="150" t="str">
        <f t="shared" si="701"/>
        <v/>
      </c>
      <c r="C1091" s="150" t="str">
        <f t="shared" si="702"/>
        <v/>
      </c>
      <c r="D1091" s="150" t="str">
        <f>IF(E1091="","",Input!$C$4+B1091-1)</f>
        <v/>
      </c>
      <c r="E1091" s="150" t="str">
        <f>IF(OR(AND(C1090=12,D1090=Input!$C$6),E1090=""),"",1)</f>
        <v/>
      </c>
      <c r="F1091" s="150" t="str">
        <f>IF(E1091="","",Input!$C$8+B1091-1)</f>
        <v/>
      </c>
      <c r="G1091" s="151" t="str">
        <f>IF(E1091="","",MAX(0,Input!$C$9-B1091))</f>
        <v/>
      </c>
      <c r="H1091" s="152" t="str">
        <f>IF(E1091="","",Input!$C$3)</f>
        <v/>
      </c>
      <c r="I1091" s="153" t="str">
        <f>IF(E1091="","",HLOOKUP($B1091,Input!$C$13:$BT$14,2))</f>
        <v/>
      </c>
      <c r="J1091" s="154"/>
      <c r="K1091" s="155" t="str">
        <f>IF($E1091="","",INDEX(Input!$C$16:$CP$16,1,$B1091))</f>
        <v/>
      </c>
      <c r="L1091" s="155" t="str">
        <f>IF($E1091="","",Input!$C$37)</f>
        <v/>
      </c>
      <c r="M1091" s="155" t="str">
        <f t="shared" si="713"/>
        <v/>
      </c>
      <c r="N1091" s="155" t="str">
        <f t="shared" si="714"/>
        <v/>
      </c>
      <c r="O1091" s="147" t="str">
        <f>IF($E1091="","",MIN(VLOOKUP(IF($B1091&lt;=Input!$C$7,$B1091,26),'Mortality Tables'!$A$41:$CW$67,IF($B1091&lt;=Input!$C$7+1,Input!$C$4+2,$D1091-Input!$C$7+2),0)*IF(B1091&gt;20,Input!$C$22,1)/1000,1))</f>
        <v/>
      </c>
      <c r="P1091" s="147" t="str">
        <f>IF($E1091="","",MIN(VLOOKUP(IF($B1091&lt;=Input!$C$7,$B1091,26),'Mortality Tables'!$A$12:$CW$37,IF($B1091&lt;=Input!$C$7+1,Input!$C$4+2,$D1091-Input!$C$7+2),0)*IF(B1091&gt;20,Input!$C$22,1)/1000,1))</f>
        <v/>
      </c>
      <c r="Q1091" s="155" t="str">
        <f>IF($E1091="","",Input!$C$21)</f>
        <v/>
      </c>
      <c r="R1091" s="159" t="str">
        <f>IF($E1091="","",(1-Q1091)^($F1091-Input!$C$20))</f>
        <v/>
      </c>
      <c r="S1091" s="147" t="str">
        <f t="shared" si="674"/>
        <v/>
      </c>
      <c r="T1091" s="147" t="str">
        <f t="shared" si="675"/>
        <v/>
      </c>
      <c r="U1091" s="160" t="str">
        <f>IF($E1091="","",IF($C1091=12,INDEX(Input!$C$15:$CP$15,1,$B1091),0))</f>
        <v/>
      </c>
      <c r="V1091" s="150" t="str">
        <f>IF(E1091="","",IF(C1091=1,IF($B1091=1,Input!$C$33,Input!$C$34),0))</f>
        <v/>
      </c>
      <c r="W1091" s="156" t="str">
        <f>IF($E1091="","",Input!$C$35)</f>
        <v/>
      </c>
      <c r="X1091" s="156" t="str">
        <f t="shared" si="715"/>
        <v/>
      </c>
      <c r="Y1091" s="154"/>
      <c r="Z1091" s="147" t="str">
        <f>IF($E1091="","",VLOOKUP($D1091,'Mortality Margins &amp; Grading'!$AB$5:$AF$125,3,0)*IF(Summary!$D$25="Included Margin",IF(AND($B1091&gt;Input!$C$9,Summary!$D$31&lt;&gt;"Included Margin"),0,1),0))</f>
        <v/>
      </c>
      <c r="AA1091" s="147" t="str">
        <f>IF($E1091="","",VLOOKUP($D1091,'Mortality Margins &amp; Grading'!$AB$5:$AF$125,5,0)*IF(Summary!$D$25="Included Margin",IF(AND($B1091&gt;Input!$C$9,Summary!$D$31&lt;&gt;"Included Margin"),0,1),0))</f>
        <v/>
      </c>
      <c r="AB1091" s="147" t="str">
        <f>IF($E1091="","",IF(AND($B1091&gt;Input!$C$9,Summary!$D$31&lt;&gt;"Included Margin"),1,IF(Summary!$D$25="Included Margin",VLOOKUP($B1091,'Mortality Margins &amp; Grading'!$AI$5:$AR$125,MATCH('Mortality Margins &amp; Grading'!$AQ$4,'Mortality Margins &amp; Grading'!$AI$4:$AR$4,0),0),1)))</f>
        <v/>
      </c>
      <c r="AC1091" s="154"/>
      <c r="AD1091" s="158" t="str">
        <f>IF(E1091="","",Input!$C$48*IF(Summary!$D$30="Included Margin",IF(AND($B1091&gt;Input!$C$9,Summary!$D$31&lt;&gt;"Included Margin"),0,1),0))</f>
        <v/>
      </c>
      <c r="AE1091" s="159" t="str">
        <f>IF(E1091="","",IF(Summary!$D$26="Included Margin",IF(AND($B1091&gt;Input!$C$9,Summary!$D$31&lt;&gt;"Included Margin"),1,1/$R1091),1))</f>
        <v/>
      </c>
      <c r="AF1091" s="160" t="str">
        <f>IF(E1091="","",IF(AND($B1091&gt;=Input!$C$9,$C1091=12,Summary!$D$31="Included Margin",$U1091&gt;0),1/U1091-1,IF($B1091&gt;=Input!$C$9,0,Input!$C$45*IF(Summary!$D$27="Included Margin",1,0))))</f>
        <v/>
      </c>
      <c r="AG1091" s="160" t="str">
        <f>IF(E1091="","",Input!$C$46*IF(Summary!$D$28="Included Margin",IF(AND($B1091&gt;Input!$C$9,Summary!$D$31&lt;&gt;"Included Margin"),0,1),0))</f>
        <v/>
      </c>
      <c r="AH1091" s="158" t="str">
        <f>IF(E1091="","",Input!$C$47*IF(Summary!$D$29="Included Margin",IF(AND($B1091&gt;Input!$C$9,Summary!$D$31&lt;&gt;"Included Margin"),0,1),0))</f>
        <v/>
      </c>
      <c r="AI1091" s="154"/>
      <c r="AJ1091" s="158" t="str">
        <f t="shared" si="689"/>
        <v/>
      </c>
      <c r="AK1091" s="155" t="str">
        <f t="shared" si="690"/>
        <v/>
      </c>
      <c r="AL1091" s="147" t="str">
        <f t="shared" si="691"/>
        <v/>
      </c>
      <c r="AM1091" s="147" t="str">
        <f t="shared" si="676"/>
        <v/>
      </c>
      <c r="AN1091" s="160" t="str">
        <f t="shared" si="692"/>
        <v/>
      </c>
      <c r="AO1091" s="161" t="str">
        <f t="shared" si="693"/>
        <v/>
      </c>
      <c r="AP1091" s="156" t="str">
        <f t="shared" si="677"/>
        <v/>
      </c>
      <c r="AQ1091" s="152"/>
      <c r="AR1091" s="162" t="str">
        <f t="shared" si="678"/>
        <v/>
      </c>
      <c r="AS1091" s="150" t="str">
        <f t="shared" si="694"/>
        <v/>
      </c>
      <c r="AT1091" s="163" t="str">
        <f t="shared" si="679"/>
        <v/>
      </c>
      <c r="AU1091" s="163" t="str">
        <f t="shared" si="680"/>
        <v/>
      </c>
      <c r="AV1091" s="163" t="str">
        <f t="shared" si="695"/>
        <v/>
      </c>
      <c r="AW1091" s="163" t="str">
        <f t="shared" si="681"/>
        <v/>
      </c>
      <c r="AX1091" s="163" t="str">
        <f t="shared" si="682"/>
        <v/>
      </c>
      <c r="AY1091" s="164" t="str">
        <f t="shared" si="696"/>
        <v/>
      </c>
      <c r="AZ1091" s="164" t="str">
        <f>IF($E1091="","",IF(OR(AND($D1091=Input!$C$6,$C1091=12),$AN1091=1),0,-AS1092+AT1092+AU1092-AV1092-AW1092-AX1092+AZ1092))</f>
        <v/>
      </c>
      <c r="BA1091" s="154" t="str">
        <f t="shared" si="683"/>
        <v/>
      </c>
      <c r="BC1091" s="147" t="str">
        <f t="shared" si="697"/>
        <v/>
      </c>
      <c r="BD1091" s="164" t="str">
        <f>IF(AND($C1090=12,$D1090=Input!$C$6),0,IF($E1091="","",AT1091+(AU1091+BD1092)/(1+$AK1091)*MIN((1-AM1091-AN1091),1)))</f>
        <v/>
      </c>
      <c r="BE1091" s="164" t="str">
        <f t="shared" si="712"/>
        <v/>
      </c>
      <c r="BF1091" s="164" t="str">
        <f t="shared" si="698"/>
        <v/>
      </c>
      <c r="BG1091" s="164" t="str">
        <f t="shared" si="684"/>
        <v/>
      </c>
      <c r="BH1091" s="152"/>
      <c r="BI1091" s="162" t="str">
        <f t="shared" si="706"/>
        <v/>
      </c>
      <c r="BJ1091" s="150" t="str">
        <f t="shared" si="707"/>
        <v/>
      </c>
      <c r="BK1091" s="163" t="str">
        <f t="shared" si="703"/>
        <v/>
      </c>
      <c r="BL1091" s="163" t="str">
        <f t="shared" si="708"/>
        <v/>
      </c>
      <c r="BM1091" s="163" t="str">
        <f t="shared" si="704"/>
        <v/>
      </c>
      <c r="BN1091" s="163" t="str">
        <f t="shared" si="709"/>
        <v/>
      </c>
      <c r="BO1091" s="163" t="str">
        <f t="shared" si="710"/>
        <v/>
      </c>
      <c r="BP1091" s="164" t="str">
        <f t="shared" si="705"/>
        <v/>
      </c>
      <c r="BQ1091" s="164" t="str">
        <f t="shared" si="699"/>
        <v/>
      </c>
      <c r="BR1091" s="154" t="str">
        <f t="shared" si="711"/>
        <v/>
      </c>
      <c r="BT1091" s="147" t="str">
        <f t="shared" si="685"/>
        <v/>
      </c>
      <c r="BU1091" s="164" t="str">
        <f>IF(AND($C1090=12,$D1090=Input!$C$6),0,IF($E1091="","",BK1091+(BL1091+BU1092)/(1+$AK1091)*MIN((1-T1091-U1091),1)))</f>
        <v/>
      </c>
      <c r="BV1091" s="164" t="str">
        <f t="shared" si="686"/>
        <v/>
      </c>
      <c r="BW1091" s="164" t="str">
        <f t="shared" si="687"/>
        <v/>
      </c>
      <c r="BX1091" s="164" t="str">
        <f t="shared" si="688"/>
        <v/>
      </c>
    </row>
    <row r="1092" spans="1:76" s="150" customFormat="1" x14ac:dyDescent="0.25">
      <c r="A1092" s="150" t="str">
        <f t="shared" si="700"/>
        <v/>
      </c>
      <c r="B1092" s="150" t="str">
        <f t="shared" si="701"/>
        <v/>
      </c>
      <c r="C1092" s="150" t="str">
        <f t="shared" si="702"/>
        <v/>
      </c>
      <c r="D1092" s="150" t="str">
        <f>IF(E1092="","",Input!$C$4+B1092-1)</f>
        <v/>
      </c>
      <c r="E1092" s="150" t="str">
        <f>IF(OR(AND(C1091=12,D1091=Input!$C$6),E1091=""),"",1)</f>
        <v/>
      </c>
      <c r="F1092" s="150" t="str">
        <f>IF(E1092="","",Input!$C$8+B1092-1)</f>
        <v/>
      </c>
      <c r="G1092" s="151" t="str">
        <f>IF(E1092="","",MAX(0,Input!$C$9-B1092))</f>
        <v/>
      </c>
      <c r="H1092" s="152" t="str">
        <f>IF(E1092="","",Input!$C$3)</f>
        <v/>
      </c>
      <c r="I1092" s="153" t="str">
        <f>IF(E1092="","",HLOOKUP($B1092,Input!$C$13:$BT$14,2))</f>
        <v/>
      </c>
      <c r="J1092" s="154"/>
      <c r="K1092" s="155" t="str">
        <f>IF($E1092="","",INDEX(Input!$C$16:$CP$16,1,$B1092))</f>
        <v/>
      </c>
      <c r="L1092" s="155" t="str">
        <f>IF($E1092="","",Input!$C$37)</f>
        <v/>
      </c>
      <c r="M1092" s="155" t="str">
        <f t="shared" si="713"/>
        <v/>
      </c>
      <c r="N1092" s="155" t="str">
        <f t="shared" si="714"/>
        <v/>
      </c>
      <c r="O1092" s="147" t="str">
        <f>IF($E1092="","",MIN(VLOOKUP(IF($B1092&lt;=Input!$C$7,$B1092,26),'Mortality Tables'!$A$41:$CW$67,IF($B1092&lt;=Input!$C$7+1,Input!$C$4+2,$D1092-Input!$C$7+2),0)*IF(B1092&gt;20,Input!$C$22,1)/1000,1))</f>
        <v/>
      </c>
      <c r="P1092" s="147" t="str">
        <f>IF($E1092="","",MIN(VLOOKUP(IF($B1092&lt;=Input!$C$7,$B1092,26),'Mortality Tables'!$A$12:$CW$37,IF($B1092&lt;=Input!$C$7+1,Input!$C$4+2,$D1092-Input!$C$7+2),0)*IF(B1092&gt;20,Input!$C$22,1)/1000,1))</f>
        <v/>
      </c>
      <c r="Q1092" s="155" t="str">
        <f>IF($E1092="","",Input!$C$21)</f>
        <v/>
      </c>
      <c r="R1092" s="159" t="str">
        <f>IF($E1092="","",(1-Q1092)^($F1092-Input!$C$20))</f>
        <v/>
      </c>
      <c r="S1092" s="147" t="str">
        <f t="shared" si="674"/>
        <v/>
      </c>
      <c r="T1092" s="147" t="str">
        <f t="shared" si="675"/>
        <v/>
      </c>
      <c r="U1092" s="160" t="str">
        <f>IF($E1092="","",IF($C1092=12,INDEX(Input!$C$15:$CP$15,1,$B1092),0))</f>
        <v/>
      </c>
      <c r="V1092" s="150" t="str">
        <f>IF(E1092="","",IF(C1092=1,IF($B1092=1,Input!$C$33,Input!$C$34),0))</f>
        <v/>
      </c>
      <c r="W1092" s="156" t="str">
        <f>IF($E1092="","",Input!$C$35)</f>
        <v/>
      </c>
      <c r="X1092" s="156" t="str">
        <f t="shared" si="715"/>
        <v/>
      </c>
      <c r="Y1092" s="154"/>
      <c r="Z1092" s="147" t="str">
        <f>IF($E1092="","",VLOOKUP($D1092,'Mortality Margins &amp; Grading'!$AB$5:$AF$125,3,0)*IF(Summary!$D$25="Included Margin",IF(AND($B1092&gt;Input!$C$9,Summary!$D$31&lt;&gt;"Included Margin"),0,1),0))</f>
        <v/>
      </c>
      <c r="AA1092" s="147" t="str">
        <f>IF($E1092="","",VLOOKUP($D1092,'Mortality Margins &amp; Grading'!$AB$5:$AF$125,5,0)*IF(Summary!$D$25="Included Margin",IF(AND($B1092&gt;Input!$C$9,Summary!$D$31&lt;&gt;"Included Margin"),0,1),0))</f>
        <v/>
      </c>
      <c r="AB1092" s="147" t="str">
        <f>IF($E1092="","",IF(AND($B1092&gt;Input!$C$9,Summary!$D$31&lt;&gt;"Included Margin"),1,IF(Summary!$D$25="Included Margin",VLOOKUP($B1092,'Mortality Margins &amp; Grading'!$AI$5:$AR$125,MATCH('Mortality Margins &amp; Grading'!$AQ$4,'Mortality Margins &amp; Grading'!$AI$4:$AR$4,0),0),1)))</f>
        <v/>
      </c>
      <c r="AC1092" s="154"/>
      <c r="AD1092" s="158" t="str">
        <f>IF(E1092="","",Input!$C$48*IF(Summary!$D$30="Included Margin",IF(AND($B1092&gt;Input!$C$9,Summary!$D$31&lt;&gt;"Included Margin"),0,1),0))</f>
        <v/>
      </c>
      <c r="AE1092" s="159" t="str">
        <f>IF(E1092="","",IF(Summary!$D$26="Included Margin",IF(AND($B1092&gt;Input!$C$9,Summary!$D$31&lt;&gt;"Included Margin"),1,1/$R1092),1))</f>
        <v/>
      </c>
      <c r="AF1092" s="160" t="str">
        <f>IF(E1092="","",IF(AND($B1092&gt;=Input!$C$9,$C1092=12,Summary!$D$31="Included Margin",$U1092&gt;0),1/U1092-1,IF($B1092&gt;=Input!$C$9,0,Input!$C$45*IF(Summary!$D$27="Included Margin",1,0))))</f>
        <v/>
      </c>
      <c r="AG1092" s="160" t="str">
        <f>IF(E1092="","",Input!$C$46*IF(Summary!$D$28="Included Margin",IF(AND($B1092&gt;Input!$C$9,Summary!$D$31&lt;&gt;"Included Margin"),0,1),0))</f>
        <v/>
      </c>
      <c r="AH1092" s="158" t="str">
        <f>IF(E1092="","",Input!$C$47*IF(Summary!$D$29="Included Margin",IF(AND($B1092&gt;Input!$C$9,Summary!$D$31&lt;&gt;"Included Margin"),0,1),0))</f>
        <v/>
      </c>
      <c r="AI1092" s="154"/>
      <c r="AJ1092" s="158" t="str">
        <f t="shared" si="689"/>
        <v/>
      </c>
      <c r="AK1092" s="155" t="str">
        <f t="shared" si="690"/>
        <v/>
      </c>
      <c r="AL1092" s="147" t="str">
        <f t="shared" si="691"/>
        <v/>
      </c>
      <c r="AM1092" s="147" t="str">
        <f t="shared" si="676"/>
        <v/>
      </c>
      <c r="AN1092" s="160" t="str">
        <f t="shared" si="692"/>
        <v/>
      </c>
      <c r="AO1092" s="161" t="str">
        <f t="shared" si="693"/>
        <v/>
      </c>
      <c r="AP1092" s="156" t="str">
        <f t="shared" si="677"/>
        <v/>
      </c>
      <c r="AQ1092" s="152"/>
      <c r="AR1092" s="162" t="str">
        <f t="shared" si="678"/>
        <v/>
      </c>
      <c r="AS1092" s="150" t="str">
        <f t="shared" si="694"/>
        <v/>
      </c>
      <c r="AT1092" s="163" t="str">
        <f t="shared" si="679"/>
        <v/>
      </c>
      <c r="AU1092" s="163" t="str">
        <f t="shared" si="680"/>
        <v/>
      </c>
      <c r="AV1092" s="163" t="str">
        <f t="shared" si="695"/>
        <v/>
      </c>
      <c r="AW1092" s="163" t="str">
        <f t="shared" si="681"/>
        <v/>
      </c>
      <c r="AX1092" s="163" t="str">
        <f t="shared" si="682"/>
        <v/>
      </c>
      <c r="AY1092" s="165" t="str">
        <f t="shared" si="696"/>
        <v/>
      </c>
      <c r="AZ1092" s="164" t="str">
        <f>IF($E1092="","",IF(OR(AND($D1092=Input!$C$6,$C1092=12),$AN1092=1),0,-AS1093+AT1093+AU1093-AV1093-AW1093-AX1093+AZ1093))</f>
        <v/>
      </c>
      <c r="BA1092" s="154" t="str">
        <f t="shared" si="683"/>
        <v/>
      </c>
      <c r="BC1092" s="147" t="str">
        <f t="shared" si="697"/>
        <v/>
      </c>
      <c r="BD1092" s="164" t="str">
        <f>IF(AND($C1091=12,$D1091=Input!$C$6),0,IF($E1092="","",AT1092+(AU1092+BD1093)/(1+$AK1092)*MIN((1-AM1092-AN1092),1)))</f>
        <v/>
      </c>
      <c r="BE1092" s="164" t="str">
        <f t="shared" si="712"/>
        <v/>
      </c>
      <c r="BF1092" s="164" t="str">
        <f t="shared" si="698"/>
        <v/>
      </c>
      <c r="BG1092" s="164" t="str">
        <f t="shared" si="684"/>
        <v/>
      </c>
      <c r="BH1092" s="152"/>
      <c r="BI1092" s="162" t="str">
        <f t="shared" si="706"/>
        <v/>
      </c>
      <c r="BJ1092" s="150" t="str">
        <f t="shared" si="707"/>
        <v/>
      </c>
      <c r="BK1092" s="163" t="str">
        <f t="shared" si="703"/>
        <v/>
      </c>
      <c r="BL1092" s="163" t="str">
        <f t="shared" si="708"/>
        <v/>
      </c>
      <c r="BM1092" s="163" t="str">
        <f t="shared" si="704"/>
        <v/>
      </c>
      <c r="BN1092" s="163" t="str">
        <f t="shared" si="709"/>
        <v/>
      </c>
      <c r="BO1092" s="163" t="str">
        <f t="shared" si="710"/>
        <v/>
      </c>
      <c r="BP1092" s="164" t="str">
        <f t="shared" si="705"/>
        <v/>
      </c>
      <c r="BQ1092" s="164" t="str">
        <f t="shared" si="699"/>
        <v/>
      </c>
      <c r="BR1092" s="154" t="str">
        <f t="shared" si="711"/>
        <v/>
      </c>
      <c r="BT1092" s="147" t="str">
        <f t="shared" si="685"/>
        <v/>
      </c>
      <c r="BU1092" s="164" t="str">
        <f>IF(AND($C1091=12,$D1091=Input!$C$6),0,IF($E1092="","",BK1092+(BL1092+BU1093)/(1+$AK1092)*MIN((1-T1092-U1092),1)))</f>
        <v/>
      </c>
      <c r="BV1092" s="164" t="str">
        <f t="shared" si="686"/>
        <v/>
      </c>
      <c r="BW1092" s="164" t="str">
        <f t="shared" si="687"/>
        <v/>
      </c>
      <c r="BX1092" s="164" t="str">
        <f t="shared" si="688"/>
        <v/>
      </c>
    </row>
    <row r="1093" spans="1:76" s="150" customFormat="1" x14ac:dyDescent="0.25">
      <c r="A1093" s="150" t="str">
        <f t="shared" si="700"/>
        <v/>
      </c>
      <c r="B1093" s="150" t="str">
        <f t="shared" si="701"/>
        <v/>
      </c>
      <c r="C1093" s="150" t="str">
        <f t="shared" si="702"/>
        <v/>
      </c>
      <c r="D1093" s="150" t="str">
        <f>IF(E1093="","",Input!$C$4+B1093-1)</f>
        <v/>
      </c>
      <c r="E1093" s="150" t="str">
        <f>IF(OR(AND(C1092=12,D1092=Input!$C$6),E1092=""),"",1)</f>
        <v/>
      </c>
      <c r="F1093" s="150" t="str">
        <f>IF(E1093="","",Input!$C$8+B1093-1)</f>
        <v/>
      </c>
      <c r="G1093" s="151" t="str">
        <f>IF(E1093="","",MAX(0,Input!$C$9-B1093))</f>
        <v/>
      </c>
      <c r="H1093" s="152" t="str">
        <f>IF(E1093="","",Input!$C$3)</f>
        <v/>
      </c>
      <c r="I1093" s="153" t="str">
        <f>IF(E1093="","",HLOOKUP($B1093,Input!$C$13:$BT$14,2))</f>
        <v/>
      </c>
      <c r="J1093" s="154"/>
      <c r="K1093" s="155" t="str">
        <f>IF($E1093="","",INDEX(Input!$C$16:$CP$16,1,$B1093))</f>
        <v/>
      </c>
      <c r="L1093" s="155" t="str">
        <f>IF($E1093="","",Input!$C$37)</f>
        <v/>
      </c>
      <c r="M1093" s="155" t="str">
        <f t="shared" si="713"/>
        <v/>
      </c>
      <c r="N1093" s="155" t="str">
        <f t="shared" si="714"/>
        <v/>
      </c>
      <c r="O1093" s="147" t="str">
        <f>IF($E1093="","",MIN(VLOOKUP(IF($B1093&lt;=Input!$C$7,$B1093,26),'Mortality Tables'!$A$41:$CW$67,IF($B1093&lt;=Input!$C$7+1,Input!$C$4+2,$D1093-Input!$C$7+2),0)*IF(B1093&gt;20,Input!$C$22,1)/1000,1))</f>
        <v/>
      </c>
      <c r="P1093" s="147" t="str">
        <f>IF($E1093="","",MIN(VLOOKUP(IF($B1093&lt;=Input!$C$7,$B1093,26),'Mortality Tables'!$A$12:$CW$37,IF($B1093&lt;=Input!$C$7+1,Input!$C$4+2,$D1093-Input!$C$7+2),0)*IF(B1093&gt;20,Input!$C$22,1)/1000,1))</f>
        <v/>
      </c>
      <c r="Q1093" s="155" t="str">
        <f>IF($E1093="","",Input!$C$21)</f>
        <v/>
      </c>
      <c r="R1093" s="159" t="str">
        <f>IF($E1093="","",(1-Q1093)^($F1093-Input!$C$20))</f>
        <v/>
      </c>
      <c r="S1093" s="147" t="str">
        <f t="shared" ref="S1093:S1156" si="716">IF($E1093="","",MIN(O1093*R1093,1))</f>
        <v/>
      </c>
      <c r="T1093" s="147" t="str">
        <f t="shared" ref="T1093:T1156" si="717">IF($E1093="","",1-(1-S1093)^(1/12))</f>
        <v/>
      </c>
      <c r="U1093" s="160" t="str">
        <f>IF($E1093="","",IF($C1093=12,INDEX(Input!$C$15:$CP$15,1,$B1093),0))</f>
        <v/>
      </c>
      <c r="V1093" s="150" t="str">
        <f>IF(E1093="","",IF(C1093=1,IF($B1093=1,Input!$C$33,Input!$C$34),0))</f>
        <v/>
      </c>
      <c r="W1093" s="156" t="str">
        <f>IF($E1093="","",Input!$C$35)</f>
        <v/>
      </c>
      <c r="X1093" s="156" t="str">
        <f t="shared" si="715"/>
        <v/>
      </c>
      <c r="Y1093" s="154"/>
      <c r="Z1093" s="147" t="str">
        <f>IF($E1093="","",VLOOKUP($D1093,'Mortality Margins &amp; Grading'!$AB$5:$AF$125,3,0)*IF(Summary!$D$25="Included Margin",IF(AND($B1093&gt;Input!$C$9,Summary!$D$31&lt;&gt;"Included Margin"),0,1),0))</f>
        <v/>
      </c>
      <c r="AA1093" s="147" t="str">
        <f>IF($E1093="","",VLOOKUP($D1093,'Mortality Margins &amp; Grading'!$AB$5:$AF$125,5,0)*IF(Summary!$D$25="Included Margin",IF(AND($B1093&gt;Input!$C$9,Summary!$D$31&lt;&gt;"Included Margin"),0,1),0))</f>
        <v/>
      </c>
      <c r="AB1093" s="147" t="str">
        <f>IF($E1093="","",IF(AND($B1093&gt;Input!$C$9,Summary!$D$31&lt;&gt;"Included Margin"),1,IF(Summary!$D$25="Included Margin",VLOOKUP($B1093,'Mortality Margins &amp; Grading'!$AI$5:$AR$125,MATCH('Mortality Margins &amp; Grading'!$AQ$4,'Mortality Margins &amp; Grading'!$AI$4:$AR$4,0),0),1)))</f>
        <v/>
      </c>
      <c r="AC1093" s="154"/>
      <c r="AD1093" s="158" t="str">
        <f>IF(E1093="","",Input!$C$48*IF(Summary!$D$30="Included Margin",IF(AND($B1093&gt;Input!$C$9,Summary!$D$31&lt;&gt;"Included Margin"),0,1),0))</f>
        <v/>
      </c>
      <c r="AE1093" s="159" t="str">
        <f>IF(E1093="","",IF(Summary!$D$26="Included Margin",IF(AND($B1093&gt;Input!$C$9,Summary!$D$31&lt;&gt;"Included Margin"),1,1/$R1093),1))</f>
        <v/>
      </c>
      <c r="AF1093" s="160" t="str">
        <f>IF(E1093="","",IF(AND($B1093&gt;=Input!$C$9,$C1093=12,Summary!$D$31="Included Margin",$U1093&gt;0),1/U1093-1,IF($B1093&gt;=Input!$C$9,0,Input!$C$45*IF(Summary!$D$27="Included Margin",1,0))))</f>
        <v/>
      </c>
      <c r="AG1093" s="160" t="str">
        <f>IF(E1093="","",Input!$C$46*IF(Summary!$D$28="Included Margin",IF(AND($B1093&gt;Input!$C$9,Summary!$D$31&lt;&gt;"Included Margin"),0,1),0))</f>
        <v/>
      </c>
      <c r="AH1093" s="158" t="str">
        <f>IF(E1093="","",Input!$C$47*IF(Summary!$D$29="Included Margin",IF(AND($B1093&gt;Input!$C$9,Summary!$D$31&lt;&gt;"Included Margin"),0,1),0))</f>
        <v/>
      </c>
      <c r="AI1093" s="154"/>
      <c r="AJ1093" s="158" t="str">
        <f t="shared" si="689"/>
        <v/>
      </c>
      <c r="AK1093" s="155" t="str">
        <f t="shared" si="690"/>
        <v/>
      </c>
      <c r="AL1093" s="147" t="str">
        <f t="shared" si="691"/>
        <v/>
      </c>
      <c r="AM1093" s="147" t="str">
        <f t="shared" ref="AM1093:AM1156" si="718">IF($E1093="","",1-(1-AL1093)^(1/12))</f>
        <v/>
      </c>
      <c r="AN1093" s="160" t="str">
        <f t="shared" si="692"/>
        <v/>
      </c>
      <c r="AO1093" s="161" t="str">
        <f t="shared" si="693"/>
        <v/>
      </c>
      <c r="AP1093" s="156" t="str">
        <f t="shared" ref="AP1093:AP1156" si="719">IF($E1093="","",IF(B1093=1,1,IF(C1093=1,(1+$W1093+$AH1093)*AP1092,AP1092)))</f>
        <v/>
      </c>
      <c r="AQ1093" s="152"/>
      <c r="AR1093" s="162" t="str">
        <f t="shared" ref="AR1093:AR1156" si="720">IF($E1093="","",(AZ1093*(1-$AN1093)*(1-$AM1093)/(1+$AK1093)+AU1093/(1+$AK1093/2)-AS1093+AT1093))</f>
        <v/>
      </c>
      <c r="AS1093" s="150" t="str">
        <f t="shared" si="694"/>
        <v/>
      </c>
      <c r="AT1093" s="163" t="str">
        <f t="shared" ref="AT1093:AT1156" si="721">IF($E1093="","",$AO1093*$AP1093)</f>
        <v/>
      </c>
      <c r="AU1093" s="163" t="str">
        <f t="shared" ref="AU1093:AU1156" si="722">IF($E1093="","",$AM1093*$H1093)</f>
        <v/>
      </c>
      <c r="AV1093" s="163" t="str">
        <f t="shared" si="695"/>
        <v/>
      </c>
      <c r="AW1093" s="163" t="str">
        <f t="shared" ref="AW1093:AW1156" si="723">IF($E1093="","",AZ1093*$AM1093)</f>
        <v/>
      </c>
      <c r="AX1093" s="163" t="str">
        <f t="shared" ref="AX1093:AX1156" si="724">IF($E1093="","",$AN1093*AZ1093*(1-$AM1093))</f>
        <v/>
      </c>
      <c r="AY1093" s="164" t="str">
        <f t="shared" si="696"/>
        <v/>
      </c>
      <c r="AZ1093" s="164" t="str">
        <f>IF($E1093="","",IF(OR(AND($D1093=Input!$C$6,$C1093=12),$AN1093=1),0,-AS1094+AT1094+AU1094-AV1094-AW1094-AX1094+AZ1094))</f>
        <v/>
      </c>
      <c r="BA1093" s="154" t="str">
        <f t="shared" ref="BA1093:BA1156" si="725">IF(E1093="","",AZ1093-AY1093)</f>
        <v/>
      </c>
      <c r="BC1093" s="147" t="str">
        <f t="shared" si="697"/>
        <v/>
      </c>
      <c r="BD1093" s="164" t="str">
        <f>IF(AND($C1092=12,$D1092=Input!$C$6),0,IF($E1093="","",AT1093+(AU1093+BD1094)/(1+$AK1093)*MIN((1-AM1093-AN1093),1)))</f>
        <v/>
      </c>
      <c r="BE1093" s="164" t="str">
        <f t="shared" si="712"/>
        <v/>
      </c>
      <c r="BF1093" s="164" t="str">
        <f t="shared" si="698"/>
        <v/>
      </c>
      <c r="BG1093" s="164" t="str">
        <f t="shared" ref="BG1093:BG1152" si="726">IF($E1093="","",BC1093*BF1093)</f>
        <v/>
      </c>
      <c r="BH1093" s="152"/>
      <c r="BI1093" s="162" t="str">
        <f t="shared" si="706"/>
        <v/>
      </c>
      <c r="BJ1093" s="150" t="str">
        <f t="shared" si="707"/>
        <v/>
      </c>
      <c r="BK1093" s="163" t="str">
        <f t="shared" si="703"/>
        <v/>
      </c>
      <c r="BL1093" s="163" t="str">
        <f t="shared" si="708"/>
        <v/>
      </c>
      <c r="BM1093" s="163" t="str">
        <f t="shared" si="704"/>
        <v/>
      </c>
      <c r="BN1093" s="163" t="str">
        <f t="shared" si="709"/>
        <v/>
      </c>
      <c r="BO1093" s="163" t="str">
        <f t="shared" si="710"/>
        <v/>
      </c>
      <c r="BP1093" s="164" t="str">
        <f t="shared" si="705"/>
        <v/>
      </c>
      <c r="BQ1093" s="164" t="str">
        <f t="shared" si="699"/>
        <v/>
      </c>
      <c r="BR1093" s="154" t="str">
        <f t="shared" si="711"/>
        <v/>
      </c>
      <c r="BT1093" s="147" t="str">
        <f t="shared" ref="BT1093:BT1152" si="727">IF(E1093="","",BC1093)</f>
        <v/>
      </c>
      <c r="BU1093" s="164" t="str">
        <f>IF(AND($C1092=12,$D1092=Input!$C$6),0,IF($E1093="","",BK1093+(BL1093+BU1094)/(1+$AK1093)*MIN((1-T1093-U1093),1)))</f>
        <v/>
      </c>
      <c r="BV1093" s="164" t="str">
        <f t="shared" ref="BV1093:BV1152" si="728">IF(E1093="","",BT1093*BU1093)</f>
        <v/>
      </c>
      <c r="BW1093" s="164" t="str">
        <f t="shared" ref="BW1093:BW1152" si="729">IF(E1093="","",BQ1093)</f>
        <v/>
      </c>
      <c r="BX1093" s="164" t="str">
        <f t="shared" ref="BX1093:BX1152" si="730">IF(E1093="","",BT1093*BW1093)</f>
        <v/>
      </c>
    </row>
    <row r="1094" spans="1:76" s="150" customFormat="1" x14ac:dyDescent="0.25">
      <c r="A1094" s="150" t="str">
        <f t="shared" si="700"/>
        <v/>
      </c>
      <c r="B1094" s="150" t="str">
        <f t="shared" si="701"/>
        <v/>
      </c>
      <c r="C1094" s="150" t="str">
        <f t="shared" si="702"/>
        <v/>
      </c>
      <c r="D1094" s="150" t="str">
        <f>IF(E1094="","",Input!$C$4+B1094-1)</f>
        <v/>
      </c>
      <c r="E1094" s="150" t="str">
        <f>IF(OR(AND(C1093=12,D1093=Input!$C$6),E1093=""),"",1)</f>
        <v/>
      </c>
      <c r="F1094" s="150" t="str">
        <f>IF(E1094="","",Input!$C$8+B1094-1)</f>
        <v/>
      </c>
      <c r="G1094" s="151" t="str">
        <f>IF(E1094="","",MAX(0,Input!$C$9-B1094))</f>
        <v/>
      </c>
      <c r="H1094" s="152" t="str">
        <f>IF(E1094="","",Input!$C$3)</f>
        <v/>
      </c>
      <c r="I1094" s="153" t="str">
        <f>IF(E1094="","",HLOOKUP($B1094,Input!$C$13:$BT$14,2))</f>
        <v/>
      </c>
      <c r="J1094" s="154"/>
      <c r="K1094" s="155" t="str">
        <f>IF($E1094="","",INDEX(Input!$C$16:$CP$16,1,$B1094))</f>
        <v/>
      </c>
      <c r="L1094" s="155" t="str">
        <f>IF($E1094="","",Input!$C$37)</f>
        <v/>
      </c>
      <c r="M1094" s="155" t="str">
        <f t="shared" si="713"/>
        <v/>
      </c>
      <c r="N1094" s="155" t="str">
        <f t="shared" si="714"/>
        <v/>
      </c>
      <c r="O1094" s="147" t="str">
        <f>IF($E1094="","",MIN(VLOOKUP(IF($B1094&lt;=Input!$C$7,$B1094,26),'Mortality Tables'!$A$41:$CW$67,IF($B1094&lt;=Input!$C$7+1,Input!$C$4+2,$D1094-Input!$C$7+2),0)*IF(B1094&gt;20,Input!$C$22,1)/1000,1))</f>
        <v/>
      </c>
      <c r="P1094" s="147" t="str">
        <f>IF($E1094="","",MIN(VLOOKUP(IF($B1094&lt;=Input!$C$7,$B1094,26),'Mortality Tables'!$A$12:$CW$37,IF($B1094&lt;=Input!$C$7+1,Input!$C$4+2,$D1094-Input!$C$7+2),0)*IF(B1094&gt;20,Input!$C$22,1)/1000,1))</f>
        <v/>
      </c>
      <c r="Q1094" s="155" t="str">
        <f>IF($E1094="","",Input!$C$21)</f>
        <v/>
      </c>
      <c r="R1094" s="159" t="str">
        <f>IF($E1094="","",(1-Q1094)^($F1094-Input!$C$20))</f>
        <v/>
      </c>
      <c r="S1094" s="147" t="str">
        <f t="shared" si="716"/>
        <v/>
      </c>
      <c r="T1094" s="147" t="str">
        <f t="shared" si="717"/>
        <v/>
      </c>
      <c r="U1094" s="160" t="str">
        <f>IF($E1094="","",IF($C1094=12,INDEX(Input!$C$15:$CP$15,1,$B1094),0))</f>
        <v/>
      </c>
      <c r="V1094" s="150" t="str">
        <f>IF(E1094="","",IF(C1094=1,IF($B1094=1,Input!$C$33,Input!$C$34),0))</f>
        <v/>
      </c>
      <c r="W1094" s="156" t="str">
        <f>IF($E1094="","",Input!$C$35)</f>
        <v/>
      </c>
      <c r="X1094" s="156" t="str">
        <f t="shared" si="715"/>
        <v/>
      </c>
      <c r="Y1094" s="154"/>
      <c r="Z1094" s="147" t="str">
        <f>IF($E1094="","",VLOOKUP($D1094,'Mortality Margins &amp; Grading'!$AB$5:$AF$125,3,0)*IF(Summary!$D$25="Included Margin",IF(AND($B1094&gt;Input!$C$9,Summary!$D$31&lt;&gt;"Included Margin"),0,1),0))</f>
        <v/>
      </c>
      <c r="AA1094" s="147" t="str">
        <f>IF($E1094="","",VLOOKUP($D1094,'Mortality Margins &amp; Grading'!$AB$5:$AF$125,5,0)*IF(Summary!$D$25="Included Margin",IF(AND($B1094&gt;Input!$C$9,Summary!$D$31&lt;&gt;"Included Margin"),0,1),0))</f>
        <v/>
      </c>
      <c r="AB1094" s="147" t="str">
        <f>IF($E1094="","",IF(AND($B1094&gt;Input!$C$9,Summary!$D$31&lt;&gt;"Included Margin"),1,IF(Summary!$D$25="Included Margin",VLOOKUP($B1094,'Mortality Margins &amp; Grading'!$AI$5:$AR$125,MATCH('Mortality Margins &amp; Grading'!$AQ$4,'Mortality Margins &amp; Grading'!$AI$4:$AR$4,0),0),1)))</f>
        <v/>
      </c>
      <c r="AC1094" s="154"/>
      <c r="AD1094" s="158" t="str">
        <f>IF(E1094="","",Input!$C$48*IF(Summary!$D$30="Included Margin",IF(AND($B1094&gt;Input!$C$9,Summary!$D$31&lt;&gt;"Included Margin"),0,1),0))</f>
        <v/>
      </c>
      <c r="AE1094" s="159" t="str">
        <f>IF(E1094="","",IF(Summary!$D$26="Included Margin",IF(AND($B1094&gt;Input!$C$9,Summary!$D$31&lt;&gt;"Included Margin"),1,1/$R1094),1))</f>
        <v/>
      </c>
      <c r="AF1094" s="160" t="str">
        <f>IF(E1094="","",IF(AND($B1094&gt;=Input!$C$9,$C1094=12,Summary!$D$31="Included Margin",$U1094&gt;0),1/U1094-1,IF($B1094&gt;=Input!$C$9,0,Input!$C$45*IF(Summary!$D$27="Included Margin",1,0))))</f>
        <v/>
      </c>
      <c r="AG1094" s="160" t="str">
        <f>IF(E1094="","",Input!$C$46*IF(Summary!$D$28="Included Margin",IF(AND($B1094&gt;Input!$C$9,Summary!$D$31&lt;&gt;"Included Margin"),0,1),0))</f>
        <v/>
      </c>
      <c r="AH1094" s="158" t="str">
        <f>IF(E1094="","",Input!$C$47*IF(Summary!$D$29="Included Margin",IF(AND($B1094&gt;Input!$C$9,Summary!$D$31&lt;&gt;"Included Margin"),0,1),0))</f>
        <v/>
      </c>
      <c r="AI1094" s="154"/>
      <c r="AJ1094" s="158" t="str">
        <f t="shared" ref="AJ1094:AJ1157" si="731">IF(E1094="","",M1094+AD1094)</f>
        <v/>
      </c>
      <c r="AK1094" s="155" t="str">
        <f t="shared" ref="AK1094:AK1157" si="732">IF(E1094="","",(1+AJ1094)^(1/12)-1)</f>
        <v/>
      </c>
      <c r="AL1094" s="147" t="str">
        <f t="shared" ref="AL1094:AL1157" si="733">IF($E1094="","",MIN(($O1094*(1+$Z1094)*$AB1094+$P1094*(1+$AA1094)*(1-$AB1094))*R1094*AE1094,1))</f>
        <v/>
      </c>
      <c r="AM1094" s="147" t="str">
        <f t="shared" si="718"/>
        <v/>
      </c>
      <c r="AN1094" s="160" t="str">
        <f t="shared" ref="AN1094:AN1157" si="734">IF(E1094="","",IF(U1094=1,1,(1+AF1094)*U1094))</f>
        <v/>
      </c>
      <c r="AO1094" s="161" t="str">
        <f t="shared" ref="AO1094:AO1157" si="735">IF($E1094="","",(1+$AG1094)*$V1094)</f>
        <v/>
      </c>
      <c r="AP1094" s="156" t="str">
        <f t="shared" si="719"/>
        <v/>
      </c>
      <c r="AQ1094" s="152"/>
      <c r="AR1094" s="162" t="str">
        <f t="shared" si="720"/>
        <v/>
      </c>
      <c r="AS1094" s="150" t="str">
        <f t="shared" ref="AS1094:AS1157" si="736">IF($E1094="","",IF($C1094=1,$I1094*$H1094/1000,0))</f>
        <v/>
      </c>
      <c r="AT1094" s="163" t="str">
        <f t="shared" si="721"/>
        <v/>
      </c>
      <c r="AU1094" s="163" t="str">
        <f t="shared" si="722"/>
        <v/>
      </c>
      <c r="AV1094" s="163" t="str">
        <f t="shared" ref="AV1094:AV1157" si="737">IF($E1094="","",(AR1094+AS1094-AT1094-AU1094/2)*$AK1094)</f>
        <v/>
      </c>
      <c r="AW1094" s="163" t="str">
        <f t="shared" si="723"/>
        <v/>
      </c>
      <c r="AX1094" s="163" t="str">
        <f t="shared" si="724"/>
        <v/>
      </c>
      <c r="AY1094" s="165" t="str">
        <f t="shared" ref="AY1094:AY1157" si="738">IF($E1094="","",AR1094+AS1094-AT1094-AU1094+AV1094+AW1094+AX1094)</f>
        <v/>
      </c>
      <c r="AZ1094" s="164" t="str">
        <f>IF($E1094="","",IF(OR(AND($D1094=Input!$C$6,$C1094=12),$AN1094=1),0,-AS1095+AT1095+AU1095-AV1095-AW1095-AX1095+AZ1095))</f>
        <v/>
      </c>
      <c r="BA1094" s="154" t="str">
        <f t="shared" si="725"/>
        <v/>
      </c>
      <c r="BC1094" s="147" t="str">
        <f t="shared" ref="BC1094:BC1157" si="739">IF($E1094="","",MIN(1,(1-T1094-U1094))*BC1093)</f>
        <v/>
      </c>
      <c r="BD1094" s="164" t="str">
        <f>IF(AND($C1093=12,$D1093=Input!$C$6),0,IF($E1094="","",AT1094+(AU1094+BD1095)/(1+$AK1094)*MIN((1-AM1094-AN1094),1)))</f>
        <v/>
      </c>
      <c r="BE1094" s="164" t="str">
        <f t="shared" si="712"/>
        <v/>
      </c>
      <c r="BF1094" s="164" t="str">
        <f t="shared" ref="BF1094:BF1152" si="740">IF($E1094="","",AZ1094)</f>
        <v/>
      </c>
      <c r="BG1094" s="164" t="str">
        <f t="shared" si="726"/>
        <v/>
      </c>
      <c r="BH1094" s="152"/>
      <c r="BI1094" s="162" t="str">
        <f t="shared" si="706"/>
        <v/>
      </c>
      <c r="BJ1094" s="150" t="str">
        <f t="shared" si="707"/>
        <v/>
      </c>
      <c r="BK1094" s="163" t="str">
        <f t="shared" si="703"/>
        <v/>
      </c>
      <c r="BL1094" s="163" t="str">
        <f t="shared" si="708"/>
        <v/>
      </c>
      <c r="BM1094" s="163" t="str">
        <f t="shared" si="704"/>
        <v/>
      </c>
      <c r="BN1094" s="163" t="str">
        <f t="shared" si="709"/>
        <v/>
      </c>
      <c r="BO1094" s="163" t="str">
        <f t="shared" si="710"/>
        <v/>
      </c>
      <c r="BP1094" s="164" t="str">
        <f t="shared" si="705"/>
        <v/>
      </c>
      <c r="BQ1094" s="164" t="str">
        <f t="shared" ref="BQ1094:BQ1157" si="741">IF($E1094="","",IF($U1094=1,0,-BJ1095+BK1095+BL1095-BM1095-BN1095-BO1095+BQ1095))</f>
        <v/>
      </c>
      <c r="BR1094" s="154" t="str">
        <f t="shared" si="711"/>
        <v/>
      </c>
      <c r="BT1094" s="147" t="str">
        <f t="shared" si="727"/>
        <v/>
      </c>
      <c r="BU1094" s="164" t="str">
        <f>IF(AND($C1093=12,$D1093=Input!$C$6),0,IF($E1094="","",BK1094+(BL1094+BU1095)/(1+$AK1094)*MIN((1-T1094-U1094),1)))</f>
        <v/>
      </c>
      <c r="BV1094" s="164" t="str">
        <f t="shared" si="728"/>
        <v/>
      </c>
      <c r="BW1094" s="164" t="str">
        <f t="shared" si="729"/>
        <v/>
      </c>
      <c r="BX1094" s="164" t="str">
        <f t="shared" si="730"/>
        <v/>
      </c>
    </row>
    <row r="1095" spans="1:76" s="150" customFormat="1" x14ac:dyDescent="0.25">
      <c r="A1095" s="150" t="str">
        <f t="shared" ref="A1095:A1158" si="742">IF(E1095="","",A1094+1)</f>
        <v/>
      </c>
      <c r="B1095" s="150" t="str">
        <f t="shared" ref="B1095:B1158" si="743">IF(E1095="","",IF(C1094+1&gt;12,B1094+1,B1094))</f>
        <v/>
      </c>
      <c r="C1095" s="150" t="str">
        <f t="shared" ref="C1095:C1158" si="744">IF(E1095="","",IF(C1094+1&gt;12,1,C1094+1))</f>
        <v/>
      </c>
      <c r="D1095" s="150" t="str">
        <f>IF(E1095="","",Input!$C$4+B1095-1)</f>
        <v/>
      </c>
      <c r="E1095" s="150" t="str">
        <f>IF(OR(AND(C1094=12,D1094=Input!$C$6),E1094=""),"",1)</f>
        <v/>
      </c>
      <c r="F1095" s="150" t="str">
        <f>IF(E1095="","",Input!$C$8+B1095-1)</f>
        <v/>
      </c>
      <c r="G1095" s="151" t="str">
        <f>IF(E1095="","",MAX(0,Input!$C$9-B1095))</f>
        <v/>
      </c>
      <c r="H1095" s="152" t="str">
        <f>IF(E1095="","",Input!$C$3)</f>
        <v/>
      </c>
      <c r="I1095" s="153" t="str">
        <f>IF(E1095="","",HLOOKUP($B1095,Input!$C$13:$BT$14,2))</f>
        <v/>
      </c>
      <c r="J1095" s="154"/>
      <c r="K1095" s="155" t="str">
        <f>IF($E1095="","",INDEX(Input!$C$16:$CP$16,1,$B1095))</f>
        <v/>
      </c>
      <c r="L1095" s="155" t="str">
        <f>IF($E1095="","",Input!$C$37)</f>
        <v/>
      </c>
      <c r="M1095" s="155" t="str">
        <f t="shared" si="713"/>
        <v/>
      </c>
      <c r="N1095" s="155" t="str">
        <f t="shared" si="714"/>
        <v/>
      </c>
      <c r="O1095" s="147" t="str">
        <f>IF($E1095="","",MIN(VLOOKUP(IF($B1095&lt;=Input!$C$7,$B1095,26),'Mortality Tables'!$A$41:$CW$67,IF($B1095&lt;=Input!$C$7+1,Input!$C$4+2,$D1095-Input!$C$7+2),0)*IF(B1095&gt;20,Input!$C$22,1)/1000,1))</f>
        <v/>
      </c>
      <c r="P1095" s="147" t="str">
        <f>IF($E1095="","",MIN(VLOOKUP(IF($B1095&lt;=Input!$C$7,$B1095,26),'Mortality Tables'!$A$12:$CW$37,IF($B1095&lt;=Input!$C$7+1,Input!$C$4+2,$D1095-Input!$C$7+2),0)*IF(B1095&gt;20,Input!$C$22,1)/1000,1))</f>
        <v/>
      </c>
      <c r="Q1095" s="155" t="str">
        <f>IF($E1095="","",Input!$C$21)</f>
        <v/>
      </c>
      <c r="R1095" s="159" t="str">
        <f>IF($E1095="","",(1-Q1095)^($F1095-Input!$C$20))</f>
        <v/>
      </c>
      <c r="S1095" s="147" t="str">
        <f t="shared" si="716"/>
        <v/>
      </c>
      <c r="T1095" s="147" t="str">
        <f t="shared" si="717"/>
        <v/>
      </c>
      <c r="U1095" s="160" t="str">
        <f>IF($E1095="","",IF($C1095=12,INDEX(Input!$C$15:$CP$15,1,$B1095),0))</f>
        <v/>
      </c>
      <c r="V1095" s="150" t="str">
        <f>IF(E1095="","",IF(C1095=1,IF($B1095=1,Input!$C$33,Input!$C$34),0))</f>
        <v/>
      </c>
      <c r="W1095" s="156" t="str">
        <f>IF($E1095="","",Input!$C$35)</f>
        <v/>
      </c>
      <c r="X1095" s="156" t="str">
        <f t="shared" si="715"/>
        <v/>
      </c>
      <c r="Y1095" s="154"/>
      <c r="Z1095" s="147" t="str">
        <f>IF($E1095="","",VLOOKUP($D1095,'Mortality Margins &amp; Grading'!$AB$5:$AF$125,3,0)*IF(Summary!$D$25="Included Margin",IF(AND($B1095&gt;Input!$C$9,Summary!$D$31&lt;&gt;"Included Margin"),0,1),0))</f>
        <v/>
      </c>
      <c r="AA1095" s="147" t="str">
        <f>IF($E1095="","",VLOOKUP($D1095,'Mortality Margins &amp; Grading'!$AB$5:$AF$125,5,0)*IF(Summary!$D$25="Included Margin",IF(AND($B1095&gt;Input!$C$9,Summary!$D$31&lt;&gt;"Included Margin"),0,1),0))</f>
        <v/>
      </c>
      <c r="AB1095" s="147" t="str">
        <f>IF($E1095="","",IF(AND($B1095&gt;Input!$C$9,Summary!$D$31&lt;&gt;"Included Margin"),1,IF(Summary!$D$25="Included Margin",VLOOKUP($B1095,'Mortality Margins &amp; Grading'!$AI$5:$AR$125,MATCH('Mortality Margins &amp; Grading'!$AQ$4,'Mortality Margins &amp; Grading'!$AI$4:$AR$4,0),0),1)))</f>
        <v/>
      </c>
      <c r="AC1095" s="154"/>
      <c r="AD1095" s="158" t="str">
        <f>IF(E1095="","",Input!$C$48*IF(Summary!$D$30="Included Margin",IF(AND($B1095&gt;Input!$C$9,Summary!$D$31&lt;&gt;"Included Margin"),0,1),0))</f>
        <v/>
      </c>
      <c r="AE1095" s="159" t="str">
        <f>IF(E1095="","",IF(Summary!$D$26="Included Margin",IF(AND($B1095&gt;Input!$C$9,Summary!$D$31&lt;&gt;"Included Margin"),1,1/$R1095),1))</f>
        <v/>
      </c>
      <c r="AF1095" s="160" t="str">
        <f>IF(E1095="","",IF(AND($B1095&gt;=Input!$C$9,$C1095=12,Summary!$D$31="Included Margin",$U1095&gt;0),1/U1095-1,IF($B1095&gt;=Input!$C$9,0,Input!$C$45*IF(Summary!$D$27="Included Margin",1,0))))</f>
        <v/>
      </c>
      <c r="AG1095" s="160" t="str">
        <f>IF(E1095="","",Input!$C$46*IF(Summary!$D$28="Included Margin",IF(AND($B1095&gt;Input!$C$9,Summary!$D$31&lt;&gt;"Included Margin"),0,1),0))</f>
        <v/>
      </c>
      <c r="AH1095" s="158" t="str">
        <f>IF(E1095="","",Input!$C$47*IF(Summary!$D$29="Included Margin",IF(AND($B1095&gt;Input!$C$9,Summary!$D$31&lt;&gt;"Included Margin"),0,1),0))</f>
        <v/>
      </c>
      <c r="AI1095" s="154"/>
      <c r="AJ1095" s="158" t="str">
        <f t="shared" si="731"/>
        <v/>
      </c>
      <c r="AK1095" s="155" t="str">
        <f t="shared" si="732"/>
        <v/>
      </c>
      <c r="AL1095" s="147" t="str">
        <f t="shared" si="733"/>
        <v/>
      </c>
      <c r="AM1095" s="147" t="str">
        <f t="shared" si="718"/>
        <v/>
      </c>
      <c r="AN1095" s="160" t="str">
        <f t="shared" si="734"/>
        <v/>
      </c>
      <c r="AO1095" s="161" t="str">
        <f t="shared" si="735"/>
        <v/>
      </c>
      <c r="AP1095" s="156" t="str">
        <f t="shared" si="719"/>
        <v/>
      </c>
      <c r="AQ1095" s="152"/>
      <c r="AR1095" s="162" t="str">
        <f t="shared" si="720"/>
        <v/>
      </c>
      <c r="AS1095" s="150" t="str">
        <f t="shared" si="736"/>
        <v/>
      </c>
      <c r="AT1095" s="163" t="str">
        <f t="shared" si="721"/>
        <v/>
      </c>
      <c r="AU1095" s="163" t="str">
        <f t="shared" si="722"/>
        <v/>
      </c>
      <c r="AV1095" s="163" t="str">
        <f t="shared" si="737"/>
        <v/>
      </c>
      <c r="AW1095" s="163" t="str">
        <f t="shared" si="723"/>
        <v/>
      </c>
      <c r="AX1095" s="163" t="str">
        <f t="shared" si="724"/>
        <v/>
      </c>
      <c r="AY1095" s="164" t="str">
        <f t="shared" si="738"/>
        <v/>
      </c>
      <c r="AZ1095" s="164" t="str">
        <f>IF($E1095="","",IF(OR(AND($D1095=Input!$C$6,$C1095=12),$AN1095=1),0,-AS1096+AT1096+AU1096-AV1096-AW1096-AX1096+AZ1096))</f>
        <v/>
      </c>
      <c r="BA1095" s="154" t="str">
        <f t="shared" si="725"/>
        <v/>
      </c>
      <c r="BC1095" s="147" t="str">
        <f t="shared" si="739"/>
        <v/>
      </c>
      <c r="BD1095" s="164" t="str">
        <f>IF(AND($C1094=12,$D1094=Input!$C$6),0,IF($E1095="","",AT1095+(AU1095+BD1096)/(1+$AK1095)*MIN((1-AM1095-AN1095),1)))</f>
        <v/>
      </c>
      <c r="BE1095" s="164" t="str">
        <f t="shared" si="712"/>
        <v/>
      </c>
      <c r="BF1095" s="164" t="str">
        <f t="shared" si="740"/>
        <v/>
      </c>
      <c r="BG1095" s="164" t="str">
        <f t="shared" si="726"/>
        <v/>
      </c>
      <c r="BH1095" s="152"/>
      <c r="BI1095" s="162" t="str">
        <f t="shared" si="706"/>
        <v/>
      </c>
      <c r="BJ1095" s="150" t="str">
        <f t="shared" si="707"/>
        <v/>
      </c>
      <c r="BK1095" s="163" t="str">
        <f t="shared" ref="BK1095:BK1158" si="745">IF($E1095="","",$V1095*$X1095)</f>
        <v/>
      </c>
      <c r="BL1095" s="163" t="str">
        <f t="shared" si="708"/>
        <v/>
      </c>
      <c r="BM1095" s="163" t="str">
        <f t="shared" ref="BM1095:BM1158" si="746">IF($E1095="","",(BI1095+BJ1095-BK1095-BL1095/2)*$N1095)</f>
        <v/>
      </c>
      <c r="BN1095" s="163" t="str">
        <f t="shared" si="709"/>
        <v/>
      </c>
      <c r="BO1095" s="163" t="str">
        <f t="shared" si="710"/>
        <v/>
      </c>
      <c r="BP1095" s="164" t="str">
        <f t="shared" ref="BP1095:BP1158" si="747">IF($E1095="","",BI1095+BJ1095-BK1095-BL1095+BM1095+BN1095+BO1095)</f>
        <v/>
      </c>
      <c r="BQ1095" s="164" t="str">
        <f t="shared" si="741"/>
        <v/>
      </c>
      <c r="BR1095" s="154" t="str">
        <f t="shared" si="711"/>
        <v/>
      </c>
      <c r="BT1095" s="147" t="str">
        <f t="shared" si="727"/>
        <v/>
      </c>
      <c r="BU1095" s="164" t="str">
        <f>IF(AND($C1094=12,$D1094=Input!$C$6),0,IF($E1095="","",BK1095+(BL1095+BU1096)/(1+$AK1095)*MIN((1-T1095-U1095),1)))</f>
        <v/>
      </c>
      <c r="BV1095" s="164" t="str">
        <f t="shared" si="728"/>
        <v/>
      </c>
      <c r="BW1095" s="164" t="str">
        <f t="shared" si="729"/>
        <v/>
      </c>
      <c r="BX1095" s="164" t="str">
        <f t="shared" si="730"/>
        <v/>
      </c>
    </row>
    <row r="1096" spans="1:76" s="150" customFormat="1" x14ac:dyDescent="0.25">
      <c r="A1096" s="150" t="str">
        <f t="shared" si="742"/>
        <v/>
      </c>
      <c r="B1096" s="150" t="str">
        <f t="shared" si="743"/>
        <v/>
      </c>
      <c r="C1096" s="150" t="str">
        <f t="shared" si="744"/>
        <v/>
      </c>
      <c r="D1096" s="150" t="str">
        <f>IF(E1096="","",Input!$C$4+B1096-1)</f>
        <v/>
      </c>
      <c r="E1096" s="150" t="str">
        <f>IF(OR(AND(C1095=12,D1095=Input!$C$6),E1095=""),"",1)</f>
        <v/>
      </c>
      <c r="F1096" s="150" t="str">
        <f>IF(E1096="","",Input!$C$8+B1096-1)</f>
        <v/>
      </c>
      <c r="G1096" s="151" t="str">
        <f>IF(E1096="","",MAX(0,Input!$C$9-B1096))</f>
        <v/>
      </c>
      <c r="H1096" s="152" t="str">
        <f>IF(E1096="","",Input!$C$3)</f>
        <v/>
      </c>
      <c r="I1096" s="153" t="str">
        <f>IF(E1096="","",HLOOKUP($B1096,Input!$C$13:$BT$14,2))</f>
        <v/>
      </c>
      <c r="J1096" s="154"/>
      <c r="K1096" s="155" t="str">
        <f>IF($E1096="","",INDEX(Input!$C$16:$CP$16,1,$B1096))</f>
        <v/>
      </c>
      <c r="L1096" s="155" t="str">
        <f>IF($E1096="","",Input!$C$37)</f>
        <v/>
      </c>
      <c r="M1096" s="155" t="str">
        <f t="shared" si="713"/>
        <v/>
      </c>
      <c r="N1096" s="155" t="str">
        <f t="shared" si="714"/>
        <v/>
      </c>
      <c r="O1096" s="147" t="str">
        <f>IF($E1096="","",MIN(VLOOKUP(IF($B1096&lt;=Input!$C$7,$B1096,26),'Mortality Tables'!$A$41:$CW$67,IF($B1096&lt;=Input!$C$7+1,Input!$C$4+2,$D1096-Input!$C$7+2),0)*IF(B1096&gt;20,Input!$C$22,1)/1000,1))</f>
        <v/>
      </c>
      <c r="P1096" s="147" t="str">
        <f>IF($E1096="","",MIN(VLOOKUP(IF($B1096&lt;=Input!$C$7,$B1096,26),'Mortality Tables'!$A$12:$CW$37,IF($B1096&lt;=Input!$C$7+1,Input!$C$4+2,$D1096-Input!$C$7+2),0)*IF(B1096&gt;20,Input!$C$22,1)/1000,1))</f>
        <v/>
      </c>
      <c r="Q1096" s="155" t="str">
        <f>IF($E1096="","",Input!$C$21)</f>
        <v/>
      </c>
      <c r="R1096" s="159" t="str">
        <f>IF($E1096="","",(1-Q1096)^($F1096-Input!$C$20))</f>
        <v/>
      </c>
      <c r="S1096" s="147" t="str">
        <f t="shared" si="716"/>
        <v/>
      </c>
      <c r="T1096" s="147" t="str">
        <f t="shared" si="717"/>
        <v/>
      </c>
      <c r="U1096" s="160" t="str">
        <f>IF($E1096="","",IF($C1096=12,INDEX(Input!$C$15:$CP$15,1,$B1096),0))</f>
        <v/>
      </c>
      <c r="V1096" s="150" t="str">
        <f>IF(E1096="","",IF(C1096=1,IF($B1096=1,Input!$C$33,Input!$C$34),0))</f>
        <v/>
      </c>
      <c r="W1096" s="156" t="str">
        <f>IF($E1096="","",Input!$C$35)</f>
        <v/>
      </c>
      <c r="X1096" s="156" t="str">
        <f t="shared" si="715"/>
        <v/>
      </c>
      <c r="Y1096" s="154"/>
      <c r="Z1096" s="147" t="str">
        <f>IF($E1096="","",VLOOKUP($D1096,'Mortality Margins &amp; Grading'!$AB$5:$AF$125,3,0)*IF(Summary!$D$25="Included Margin",IF(AND($B1096&gt;Input!$C$9,Summary!$D$31&lt;&gt;"Included Margin"),0,1),0))</f>
        <v/>
      </c>
      <c r="AA1096" s="147" t="str">
        <f>IF($E1096="","",VLOOKUP($D1096,'Mortality Margins &amp; Grading'!$AB$5:$AF$125,5,0)*IF(Summary!$D$25="Included Margin",IF(AND($B1096&gt;Input!$C$9,Summary!$D$31&lt;&gt;"Included Margin"),0,1),0))</f>
        <v/>
      </c>
      <c r="AB1096" s="147" t="str">
        <f>IF($E1096="","",IF(AND($B1096&gt;Input!$C$9,Summary!$D$31&lt;&gt;"Included Margin"),1,IF(Summary!$D$25="Included Margin",VLOOKUP($B1096,'Mortality Margins &amp; Grading'!$AI$5:$AR$125,MATCH('Mortality Margins &amp; Grading'!$AQ$4,'Mortality Margins &amp; Grading'!$AI$4:$AR$4,0),0),1)))</f>
        <v/>
      </c>
      <c r="AC1096" s="154"/>
      <c r="AD1096" s="158" t="str">
        <f>IF(E1096="","",Input!$C$48*IF(Summary!$D$30="Included Margin",IF(AND($B1096&gt;Input!$C$9,Summary!$D$31&lt;&gt;"Included Margin"),0,1),0))</f>
        <v/>
      </c>
      <c r="AE1096" s="159" t="str">
        <f>IF(E1096="","",IF(Summary!$D$26="Included Margin",IF(AND($B1096&gt;Input!$C$9,Summary!$D$31&lt;&gt;"Included Margin"),1,1/$R1096),1))</f>
        <v/>
      </c>
      <c r="AF1096" s="160" t="str">
        <f>IF(E1096="","",IF(AND($B1096&gt;=Input!$C$9,$C1096=12,Summary!$D$31="Included Margin",$U1096&gt;0),1/U1096-1,IF($B1096&gt;=Input!$C$9,0,Input!$C$45*IF(Summary!$D$27="Included Margin",1,0))))</f>
        <v/>
      </c>
      <c r="AG1096" s="160" t="str">
        <f>IF(E1096="","",Input!$C$46*IF(Summary!$D$28="Included Margin",IF(AND($B1096&gt;Input!$C$9,Summary!$D$31&lt;&gt;"Included Margin"),0,1),0))</f>
        <v/>
      </c>
      <c r="AH1096" s="158" t="str">
        <f>IF(E1096="","",Input!$C$47*IF(Summary!$D$29="Included Margin",IF(AND($B1096&gt;Input!$C$9,Summary!$D$31&lt;&gt;"Included Margin"),0,1),0))</f>
        <v/>
      </c>
      <c r="AI1096" s="154"/>
      <c r="AJ1096" s="158" t="str">
        <f t="shared" si="731"/>
        <v/>
      </c>
      <c r="AK1096" s="155" t="str">
        <f t="shared" si="732"/>
        <v/>
      </c>
      <c r="AL1096" s="147" t="str">
        <f t="shared" si="733"/>
        <v/>
      </c>
      <c r="AM1096" s="147" t="str">
        <f t="shared" si="718"/>
        <v/>
      </c>
      <c r="AN1096" s="160" t="str">
        <f t="shared" si="734"/>
        <v/>
      </c>
      <c r="AO1096" s="161" t="str">
        <f t="shared" si="735"/>
        <v/>
      </c>
      <c r="AP1096" s="156" t="str">
        <f t="shared" si="719"/>
        <v/>
      </c>
      <c r="AQ1096" s="152"/>
      <c r="AR1096" s="162" t="str">
        <f t="shared" si="720"/>
        <v/>
      </c>
      <c r="AS1096" s="150" t="str">
        <f t="shared" si="736"/>
        <v/>
      </c>
      <c r="AT1096" s="163" t="str">
        <f t="shared" si="721"/>
        <v/>
      </c>
      <c r="AU1096" s="163" t="str">
        <f t="shared" si="722"/>
        <v/>
      </c>
      <c r="AV1096" s="163" t="str">
        <f t="shared" si="737"/>
        <v/>
      </c>
      <c r="AW1096" s="163" t="str">
        <f t="shared" si="723"/>
        <v/>
      </c>
      <c r="AX1096" s="163" t="str">
        <f t="shared" si="724"/>
        <v/>
      </c>
      <c r="AY1096" s="165" t="str">
        <f t="shared" si="738"/>
        <v/>
      </c>
      <c r="AZ1096" s="164" t="str">
        <f>IF($E1096="","",IF(OR(AND($D1096=Input!$C$6,$C1096=12),$AN1096=1),0,-AS1097+AT1097+AU1097-AV1097-AW1097-AX1097+AZ1097))</f>
        <v/>
      </c>
      <c r="BA1096" s="154" t="str">
        <f t="shared" si="725"/>
        <v/>
      </c>
      <c r="BC1096" s="147" t="str">
        <f t="shared" si="739"/>
        <v/>
      </c>
      <c r="BD1096" s="164" t="str">
        <f>IF(AND($C1095=12,$D1095=Input!$C$6),0,IF($E1096="","",AT1096+(AU1096+BD1097)/(1+$AK1096)*MIN((1-AM1096-AN1096),1)))</f>
        <v/>
      </c>
      <c r="BE1096" s="164" t="str">
        <f t="shared" si="712"/>
        <v/>
      </c>
      <c r="BF1096" s="164" t="str">
        <f t="shared" si="740"/>
        <v/>
      </c>
      <c r="BG1096" s="164" t="str">
        <f t="shared" si="726"/>
        <v/>
      </c>
      <c r="BH1096" s="152"/>
      <c r="BI1096" s="162" t="str">
        <f t="shared" si="706"/>
        <v/>
      </c>
      <c r="BJ1096" s="150" t="str">
        <f t="shared" si="707"/>
        <v/>
      </c>
      <c r="BK1096" s="163" t="str">
        <f t="shared" si="745"/>
        <v/>
      </c>
      <c r="BL1096" s="163" t="str">
        <f t="shared" si="708"/>
        <v/>
      </c>
      <c r="BM1096" s="163" t="str">
        <f t="shared" si="746"/>
        <v/>
      </c>
      <c r="BN1096" s="163" t="str">
        <f t="shared" si="709"/>
        <v/>
      </c>
      <c r="BO1096" s="163" t="str">
        <f t="shared" si="710"/>
        <v/>
      </c>
      <c r="BP1096" s="164" t="str">
        <f t="shared" si="747"/>
        <v/>
      </c>
      <c r="BQ1096" s="164" t="str">
        <f t="shared" si="741"/>
        <v/>
      </c>
      <c r="BR1096" s="154" t="str">
        <f t="shared" si="711"/>
        <v/>
      </c>
      <c r="BT1096" s="147" t="str">
        <f t="shared" si="727"/>
        <v/>
      </c>
      <c r="BU1096" s="164" t="str">
        <f>IF(AND($C1095=12,$D1095=Input!$C$6),0,IF($E1096="","",BK1096+(BL1096+BU1097)/(1+$AK1096)*MIN((1-T1096-U1096),1)))</f>
        <v/>
      </c>
      <c r="BV1096" s="164" t="str">
        <f t="shared" si="728"/>
        <v/>
      </c>
      <c r="BW1096" s="164" t="str">
        <f t="shared" si="729"/>
        <v/>
      </c>
      <c r="BX1096" s="164" t="str">
        <f t="shared" si="730"/>
        <v/>
      </c>
    </row>
    <row r="1097" spans="1:76" s="150" customFormat="1" x14ac:dyDescent="0.25">
      <c r="A1097" s="150" t="str">
        <f t="shared" si="742"/>
        <v/>
      </c>
      <c r="B1097" s="150" t="str">
        <f t="shared" si="743"/>
        <v/>
      </c>
      <c r="C1097" s="150" t="str">
        <f t="shared" si="744"/>
        <v/>
      </c>
      <c r="D1097" s="150" t="str">
        <f>IF(E1097="","",Input!$C$4+B1097-1)</f>
        <v/>
      </c>
      <c r="E1097" s="150" t="str">
        <f>IF(OR(AND(C1096=12,D1096=Input!$C$6),E1096=""),"",1)</f>
        <v/>
      </c>
      <c r="F1097" s="150" t="str">
        <f>IF(E1097="","",Input!$C$8+B1097-1)</f>
        <v/>
      </c>
      <c r="G1097" s="151" t="str">
        <f>IF(E1097="","",MAX(0,Input!$C$9-B1097))</f>
        <v/>
      </c>
      <c r="H1097" s="152" t="str">
        <f>IF(E1097="","",Input!$C$3)</f>
        <v/>
      </c>
      <c r="I1097" s="153" t="str">
        <f>IF(E1097="","",HLOOKUP($B1097,Input!$C$13:$BT$14,2))</f>
        <v/>
      </c>
      <c r="J1097" s="154"/>
      <c r="K1097" s="155" t="str">
        <f>IF($E1097="","",INDEX(Input!$C$16:$CP$16,1,$B1097))</f>
        <v/>
      </c>
      <c r="L1097" s="155" t="str">
        <f>IF($E1097="","",Input!$C$37)</f>
        <v/>
      </c>
      <c r="M1097" s="155" t="str">
        <f t="shared" si="713"/>
        <v/>
      </c>
      <c r="N1097" s="155" t="str">
        <f t="shared" si="714"/>
        <v/>
      </c>
      <c r="O1097" s="147" t="str">
        <f>IF($E1097="","",MIN(VLOOKUP(IF($B1097&lt;=Input!$C$7,$B1097,26),'Mortality Tables'!$A$41:$CW$67,IF($B1097&lt;=Input!$C$7+1,Input!$C$4+2,$D1097-Input!$C$7+2),0)*IF(B1097&gt;20,Input!$C$22,1)/1000,1))</f>
        <v/>
      </c>
      <c r="P1097" s="147" t="str">
        <f>IF($E1097="","",MIN(VLOOKUP(IF($B1097&lt;=Input!$C$7,$B1097,26),'Mortality Tables'!$A$12:$CW$37,IF($B1097&lt;=Input!$C$7+1,Input!$C$4+2,$D1097-Input!$C$7+2),0)*IF(B1097&gt;20,Input!$C$22,1)/1000,1))</f>
        <v/>
      </c>
      <c r="Q1097" s="155" t="str">
        <f>IF($E1097="","",Input!$C$21)</f>
        <v/>
      </c>
      <c r="R1097" s="159" t="str">
        <f>IF($E1097="","",(1-Q1097)^($F1097-Input!$C$20))</f>
        <v/>
      </c>
      <c r="S1097" s="147" t="str">
        <f t="shared" si="716"/>
        <v/>
      </c>
      <c r="T1097" s="147" t="str">
        <f t="shared" si="717"/>
        <v/>
      </c>
      <c r="U1097" s="160" t="str">
        <f>IF($E1097="","",IF($C1097=12,INDEX(Input!$C$15:$CP$15,1,$B1097),0))</f>
        <v/>
      </c>
      <c r="V1097" s="150" t="str">
        <f>IF(E1097="","",IF(C1097=1,IF($B1097=1,Input!$C$33,Input!$C$34),0))</f>
        <v/>
      </c>
      <c r="W1097" s="156" t="str">
        <f>IF($E1097="","",Input!$C$35)</f>
        <v/>
      </c>
      <c r="X1097" s="156" t="str">
        <f t="shared" si="715"/>
        <v/>
      </c>
      <c r="Y1097" s="154"/>
      <c r="Z1097" s="147" t="str">
        <f>IF($E1097="","",VLOOKUP($D1097,'Mortality Margins &amp; Grading'!$AB$5:$AF$125,3,0)*IF(Summary!$D$25="Included Margin",IF(AND($B1097&gt;Input!$C$9,Summary!$D$31&lt;&gt;"Included Margin"),0,1),0))</f>
        <v/>
      </c>
      <c r="AA1097" s="147" t="str">
        <f>IF($E1097="","",VLOOKUP($D1097,'Mortality Margins &amp; Grading'!$AB$5:$AF$125,5,0)*IF(Summary!$D$25="Included Margin",IF(AND($B1097&gt;Input!$C$9,Summary!$D$31&lt;&gt;"Included Margin"),0,1),0))</f>
        <v/>
      </c>
      <c r="AB1097" s="147" t="str">
        <f>IF($E1097="","",IF(AND($B1097&gt;Input!$C$9,Summary!$D$31&lt;&gt;"Included Margin"),1,IF(Summary!$D$25="Included Margin",VLOOKUP($B1097,'Mortality Margins &amp; Grading'!$AI$5:$AR$125,MATCH('Mortality Margins &amp; Grading'!$AQ$4,'Mortality Margins &amp; Grading'!$AI$4:$AR$4,0),0),1)))</f>
        <v/>
      </c>
      <c r="AC1097" s="154"/>
      <c r="AD1097" s="158" t="str">
        <f>IF(E1097="","",Input!$C$48*IF(Summary!$D$30="Included Margin",IF(AND($B1097&gt;Input!$C$9,Summary!$D$31&lt;&gt;"Included Margin"),0,1),0))</f>
        <v/>
      </c>
      <c r="AE1097" s="159" t="str">
        <f>IF(E1097="","",IF(Summary!$D$26="Included Margin",IF(AND($B1097&gt;Input!$C$9,Summary!$D$31&lt;&gt;"Included Margin"),1,1/$R1097),1))</f>
        <v/>
      </c>
      <c r="AF1097" s="160" t="str">
        <f>IF(E1097="","",IF(AND($B1097&gt;=Input!$C$9,$C1097=12,Summary!$D$31="Included Margin",$U1097&gt;0),1/U1097-1,IF($B1097&gt;=Input!$C$9,0,Input!$C$45*IF(Summary!$D$27="Included Margin",1,0))))</f>
        <v/>
      </c>
      <c r="AG1097" s="160" t="str">
        <f>IF(E1097="","",Input!$C$46*IF(Summary!$D$28="Included Margin",IF(AND($B1097&gt;Input!$C$9,Summary!$D$31&lt;&gt;"Included Margin"),0,1),0))</f>
        <v/>
      </c>
      <c r="AH1097" s="158" t="str">
        <f>IF(E1097="","",Input!$C$47*IF(Summary!$D$29="Included Margin",IF(AND($B1097&gt;Input!$C$9,Summary!$D$31&lt;&gt;"Included Margin"),0,1),0))</f>
        <v/>
      </c>
      <c r="AI1097" s="154"/>
      <c r="AJ1097" s="158" t="str">
        <f t="shared" si="731"/>
        <v/>
      </c>
      <c r="AK1097" s="155" t="str">
        <f t="shared" si="732"/>
        <v/>
      </c>
      <c r="AL1097" s="147" t="str">
        <f t="shared" si="733"/>
        <v/>
      </c>
      <c r="AM1097" s="147" t="str">
        <f t="shared" si="718"/>
        <v/>
      </c>
      <c r="AN1097" s="160" t="str">
        <f t="shared" si="734"/>
        <v/>
      </c>
      <c r="AO1097" s="161" t="str">
        <f t="shared" si="735"/>
        <v/>
      </c>
      <c r="AP1097" s="156" t="str">
        <f t="shared" si="719"/>
        <v/>
      </c>
      <c r="AQ1097" s="152"/>
      <c r="AR1097" s="162" t="str">
        <f t="shared" si="720"/>
        <v/>
      </c>
      <c r="AS1097" s="150" t="str">
        <f t="shared" si="736"/>
        <v/>
      </c>
      <c r="AT1097" s="163" t="str">
        <f t="shared" si="721"/>
        <v/>
      </c>
      <c r="AU1097" s="163" t="str">
        <f t="shared" si="722"/>
        <v/>
      </c>
      <c r="AV1097" s="163" t="str">
        <f t="shared" si="737"/>
        <v/>
      </c>
      <c r="AW1097" s="163" t="str">
        <f t="shared" si="723"/>
        <v/>
      </c>
      <c r="AX1097" s="163" t="str">
        <f t="shared" si="724"/>
        <v/>
      </c>
      <c r="AY1097" s="164" t="str">
        <f t="shared" si="738"/>
        <v/>
      </c>
      <c r="AZ1097" s="164" t="str">
        <f>IF($E1097="","",IF(OR(AND($D1097=Input!$C$6,$C1097=12),$AN1097=1),0,-AS1098+AT1098+AU1098-AV1098-AW1098-AX1098+AZ1098))</f>
        <v/>
      </c>
      <c r="BA1097" s="154" t="str">
        <f t="shared" si="725"/>
        <v/>
      </c>
      <c r="BC1097" s="147" t="str">
        <f t="shared" si="739"/>
        <v/>
      </c>
      <c r="BD1097" s="164" t="str">
        <f>IF(AND($C1096=12,$D1096=Input!$C$6),0,IF($E1097="","",AT1097+(AU1097+BD1098)/(1+$AK1097)*MIN((1-AM1097-AN1097),1)))</f>
        <v/>
      </c>
      <c r="BE1097" s="164" t="str">
        <f t="shared" si="712"/>
        <v/>
      </c>
      <c r="BF1097" s="164" t="str">
        <f t="shared" si="740"/>
        <v/>
      </c>
      <c r="BG1097" s="164" t="str">
        <f t="shared" si="726"/>
        <v/>
      </c>
      <c r="BH1097" s="152"/>
      <c r="BI1097" s="162" t="str">
        <f t="shared" si="706"/>
        <v/>
      </c>
      <c r="BJ1097" s="150" t="str">
        <f t="shared" si="707"/>
        <v/>
      </c>
      <c r="BK1097" s="163" t="str">
        <f t="shared" si="745"/>
        <v/>
      </c>
      <c r="BL1097" s="163" t="str">
        <f t="shared" si="708"/>
        <v/>
      </c>
      <c r="BM1097" s="163" t="str">
        <f t="shared" si="746"/>
        <v/>
      </c>
      <c r="BN1097" s="163" t="str">
        <f t="shared" si="709"/>
        <v/>
      </c>
      <c r="BO1097" s="163" t="str">
        <f t="shared" si="710"/>
        <v/>
      </c>
      <c r="BP1097" s="164" t="str">
        <f t="shared" si="747"/>
        <v/>
      </c>
      <c r="BQ1097" s="164" t="str">
        <f t="shared" si="741"/>
        <v/>
      </c>
      <c r="BR1097" s="154" t="str">
        <f t="shared" si="711"/>
        <v/>
      </c>
      <c r="BT1097" s="147" t="str">
        <f t="shared" si="727"/>
        <v/>
      </c>
      <c r="BU1097" s="164" t="str">
        <f>IF(AND($C1096=12,$D1096=Input!$C$6),0,IF($E1097="","",BK1097+(BL1097+BU1098)/(1+$AK1097)*MIN((1-T1097-U1097),1)))</f>
        <v/>
      </c>
      <c r="BV1097" s="164" t="str">
        <f t="shared" si="728"/>
        <v/>
      </c>
      <c r="BW1097" s="164" t="str">
        <f t="shared" si="729"/>
        <v/>
      </c>
      <c r="BX1097" s="164" t="str">
        <f t="shared" si="730"/>
        <v/>
      </c>
    </row>
    <row r="1098" spans="1:76" s="150" customFormat="1" x14ac:dyDescent="0.25">
      <c r="A1098" s="150" t="str">
        <f t="shared" si="742"/>
        <v/>
      </c>
      <c r="B1098" s="150" t="str">
        <f t="shared" si="743"/>
        <v/>
      </c>
      <c r="C1098" s="150" t="str">
        <f t="shared" si="744"/>
        <v/>
      </c>
      <c r="D1098" s="150" t="str">
        <f>IF(E1098="","",Input!$C$4+B1098-1)</f>
        <v/>
      </c>
      <c r="E1098" s="150" t="str">
        <f>IF(OR(AND(C1097=12,D1097=Input!$C$6),E1097=""),"",1)</f>
        <v/>
      </c>
      <c r="F1098" s="150" t="str">
        <f>IF(E1098="","",Input!$C$8+B1098-1)</f>
        <v/>
      </c>
      <c r="G1098" s="151" t="str">
        <f>IF(E1098="","",MAX(0,Input!$C$9-B1098))</f>
        <v/>
      </c>
      <c r="H1098" s="152" t="str">
        <f>IF(E1098="","",Input!$C$3)</f>
        <v/>
      </c>
      <c r="I1098" s="153" t="str">
        <f>IF(E1098="","",HLOOKUP($B1098,Input!$C$13:$BT$14,2))</f>
        <v/>
      </c>
      <c r="J1098" s="154"/>
      <c r="K1098" s="155" t="str">
        <f>IF($E1098="","",INDEX(Input!$C$16:$CP$16,1,$B1098))</f>
        <v/>
      </c>
      <c r="L1098" s="155" t="str">
        <f>IF($E1098="","",Input!$C$37)</f>
        <v/>
      </c>
      <c r="M1098" s="155" t="str">
        <f t="shared" si="713"/>
        <v/>
      </c>
      <c r="N1098" s="155" t="str">
        <f t="shared" si="714"/>
        <v/>
      </c>
      <c r="O1098" s="147" t="str">
        <f>IF($E1098="","",MIN(VLOOKUP(IF($B1098&lt;=Input!$C$7,$B1098,26),'Mortality Tables'!$A$41:$CW$67,IF($B1098&lt;=Input!$C$7+1,Input!$C$4+2,$D1098-Input!$C$7+2),0)*IF(B1098&gt;20,Input!$C$22,1)/1000,1))</f>
        <v/>
      </c>
      <c r="P1098" s="147" t="str">
        <f>IF($E1098="","",MIN(VLOOKUP(IF($B1098&lt;=Input!$C$7,$B1098,26),'Mortality Tables'!$A$12:$CW$37,IF($B1098&lt;=Input!$C$7+1,Input!$C$4+2,$D1098-Input!$C$7+2),0)*IF(B1098&gt;20,Input!$C$22,1)/1000,1))</f>
        <v/>
      </c>
      <c r="Q1098" s="155" t="str">
        <f>IF($E1098="","",Input!$C$21)</f>
        <v/>
      </c>
      <c r="R1098" s="159" t="str">
        <f>IF($E1098="","",(1-Q1098)^($F1098-Input!$C$20))</f>
        <v/>
      </c>
      <c r="S1098" s="147" t="str">
        <f t="shared" si="716"/>
        <v/>
      </c>
      <c r="T1098" s="147" t="str">
        <f t="shared" si="717"/>
        <v/>
      </c>
      <c r="U1098" s="160" t="str">
        <f>IF($E1098="","",IF($C1098=12,INDEX(Input!$C$15:$CP$15,1,$B1098),0))</f>
        <v/>
      </c>
      <c r="V1098" s="150" t="str">
        <f>IF(E1098="","",IF(C1098=1,IF($B1098=1,Input!$C$33,Input!$C$34),0))</f>
        <v/>
      </c>
      <c r="W1098" s="156" t="str">
        <f>IF($E1098="","",Input!$C$35)</f>
        <v/>
      </c>
      <c r="X1098" s="156" t="str">
        <f t="shared" si="715"/>
        <v/>
      </c>
      <c r="Y1098" s="154"/>
      <c r="Z1098" s="147" t="str">
        <f>IF($E1098="","",VLOOKUP($D1098,'Mortality Margins &amp; Grading'!$AB$5:$AF$125,3,0)*IF(Summary!$D$25="Included Margin",IF(AND($B1098&gt;Input!$C$9,Summary!$D$31&lt;&gt;"Included Margin"),0,1),0))</f>
        <v/>
      </c>
      <c r="AA1098" s="147" t="str">
        <f>IF($E1098="","",VLOOKUP($D1098,'Mortality Margins &amp; Grading'!$AB$5:$AF$125,5,0)*IF(Summary!$D$25="Included Margin",IF(AND($B1098&gt;Input!$C$9,Summary!$D$31&lt;&gt;"Included Margin"),0,1),0))</f>
        <v/>
      </c>
      <c r="AB1098" s="147" t="str">
        <f>IF($E1098="","",IF(AND($B1098&gt;Input!$C$9,Summary!$D$31&lt;&gt;"Included Margin"),1,IF(Summary!$D$25="Included Margin",VLOOKUP($B1098,'Mortality Margins &amp; Grading'!$AI$5:$AR$125,MATCH('Mortality Margins &amp; Grading'!$AQ$4,'Mortality Margins &amp; Grading'!$AI$4:$AR$4,0),0),1)))</f>
        <v/>
      </c>
      <c r="AC1098" s="154"/>
      <c r="AD1098" s="158" t="str">
        <f>IF(E1098="","",Input!$C$48*IF(Summary!$D$30="Included Margin",IF(AND($B1098&gt;Input!$C$9,Summary!$D$31&lt;&gt;"Included Margin"),0,1),0))</f>
        <v/>
      </c>
      <c r="AE1098" s="159" t="str">
        <f>IF(E1098="","",IF(Summary!$D$26="Included Margin",IF(AND($B1098&gt;Input!$C$9,Summary!$D$31&lt;&gt;"Included Margin"),1,1/$R1098),1))</f>
        <v/>
      </c>
      <c r="AF1098" s="160" t="str">
        <f>IF(E1098="","",IF(AND($B1098&gt;=Input!$C$9,$C1098=12,Summary!$D$31="Included Margin",$U1098&gt;0),1/U1098-1,IF($B1098&gt;=Input!$C$9,0,Input!$C$45*IF(Summary!$D$27="Included Margin",1,0))))</f>
        <v/>
      </c>
      <c r="AG1098" s="160" t="str">
        <f>IF(E1098="","",Input!$C$46*IF(Summary!$D$28="Included Margin",IF(AND($B1098&gt;Input!$C$9,Summary!$D$31&lt;&gt;"Included Margin"),0,1),0))</f>
        <v/>
      </c>
      <c r="AH1098" s="158" t="str">
        <f>IF(E1098="","",Input!$C$47*IF(Summary!$D$29="Included Margin",IF(AND($B1098&gt;Input!$C$9,Summary!$D$31&lt;&gt;"Included Margin"),0,1),0))</f>
        <v/>
      </c>
      <c r="AI1098" s="154"/>
      <c r="AJ1098" s="158" t="str">
        <f t="shared" si="731"/>
        <v/>
      </c>
      <c r="AK1098" s="155" t="str">
        <f t="shared" si="732"/>
        <v/>
      </c>
      <c r="AL1098" s="147" t="str">
        <f t="shared" si="733"/>
        <v/>
      </c>
      <c r="AM1098" s="147" t="str">
        <f t="shared" si="718"/>
        <v/>
      </c>
      <c r="AN1098" s="160" t="str">
        <f t="shared" si="734"/>
        <v/>
      </c>
      <c r="AO1098" s="161" t="str">
        <f t="shared" si="735"/>
        <v/>
      </c>
      <c r="AP1098" s="156" t="str">
        <f t="shared" si="719"/>
        <v/>
      </c>
      <c r="AQ1098" s="152"/>
      <c r="AR1098" s="162" t="str">
        <f t="shared" si="720"/>
        <v/>
      </c>
      <c r="AS1098" s="150" t="str">
        <f t="shared" si="736"/>
        <v/>
      </c>
      <c r="AT1098" s="163" t="str">
        <f t="shared" si="721"/>
        <v/>
      </c>
      <c r="AU1098" s="163" t="str">
        <f t="shared" si="722"/>
        <v/>
      </c>
      <c r="AV1098" s="163" t="str">
        <f t="shared" si="737"/>
        <v/>
      </c>
      <c r="AW1098" s="163" t="str">
        <f t="shared" si="723"/>
        <v/>
      </c>
      <c r="AX1098" s="163" t="str">
        <f t="shared" si="724"/>
        <v/>
      </c>
      <c r="AY1098" s="165" t="str">
        <f t="shared" si="738"/>
        <v/>
      </c>
      <c r="AZ1098" s="164" t="str">
        <f>IF($E1098="","",IF(OR(AND($D1098=Input!$C$6,$C1098=12),$AN1098=1),0,-AS1099+AT1099+AU1099-AV1099-AW1099-AX1099+AZ1099))</f>
        <v/>
      </c>
      <c r="BA1098" s="154" t="str">
        <f t="shared" si="725"/>
        <v/>
      </c>
      <c r="BC1098" s="147" t="str">
        <f t="shared" si="739"/>
        <v/>
      </c>
      <c r="BD1098" s="164" t="str">
        <f>IF(AND($C1097=12,$D1097=Input!$C$6),0,IF($E1098="","",AT1098+(AU1098+BD1099)/(1+$AK1098)*MIN((1-AM1098-AN1098),1)))</f>
        <v/>
      </c>
      <c r="BE1098" s="164" t="str">
        <f t="shared" si="712"/>
        <v/>
      </c>
      <c r="BF1098" s="164" t="str">
        <f t="shared" si="740"/>
        <v/>
      </c>
      <c r="BG1098" s="164" t="str">
        <f t="shared" si="726"/>
        <v/>
      </c>
      <c r="BH1098" s="152"/>
      <c r="BI1098" s="162" t="str">
        <f t="shared" si="706"/>
        <v/>
      </c>
      <c r="BJ1098" s="150" t="str">
        <f t="shared" si="707"/>
        <v/>
      </c>
      <c r="BK1098" s="163" t="str">
        <f t="shared" si="745"/>
        <v/>
      </c>
      <c r="BL1098" s="163" t="str">
        <f t="shared" si="708"/>
        <v/>
      </c>
      <c r="BM1098" s="163" t="str">
        <f t="shared" si="746"/>
        <v/>
      </c>
      <c r="BN1098" s="163" t="str">
        <f t="shared" si="709"/>
        <v/>
      </c>
      <c r="BO1098" s="163" t="str">
        <f t="shared" si="710"/>
        <v/>
      </c>
      <c r="BP1098" s="164" t="str">
        <f t="shared" si="747"/>
        <v/>
      </c>
      <c r="BQ1098" s="164" t="str">
        <f t="shared" si="741"/>
        <v/>
      </c>
      <c r="BR1098" s="154" t="str">
        <f t="shared" si="711"/>
        <v/>
      </c>
      <c r="BT1098" s="147" t="str">
        <f t="shared" si="727"/>
        <v/>
      </c>
      <c r="BU1098" s="164" t="str">
        <f>IF(AND($C1097=12,$D1097=Input!$C$6),0,IF($E1098="","",BK1098+(BL1098+BU1099)/(1+$AK1098)*MIN((1-T1098-U1098),1)))</f>
        <v/>
      </c>
      <c r="BV1098" s="164" t="str">
        <f t="shared" si="728"/>
        <v/>
      </c>
      <c r="BW1098" s="164" t="str">
        <f t="shared" si="729"/>
        <v/>
      </c>
      <c r="BX1098" s="164" t="str">
        <f t="shared" si="730"/>
        <v/>
      </c>
    </row>
    <row r="1099" spans="1:76" s="150" customFormat="1" x14ac:dyDescent="0.25">
      <c r="A1099" s="150" t="str">
        <f t="shared" si="742"/>
        <v/>
      </c>
      <c r="B1099" s="150" t="str">
        <f t="shared" si="743"/>
        <v/>
      </c>
      <c r="C1099" s="150" t="str">
        <f t="shared" si="744"/>
        <v/>
      </c>
      <c r="D1099" s="150" t="str">
        <f>IF(E1099="","",Input!$C$4+B1099-1)</f>
        <v/>
      </c>
      <c r="E1099" s="150" t="str">
        <f>IF(OR(AND(C1098=12,D1098=Input!$C$6),E1098=""),"",1)</f>
        <v/>
      </c>
      <c r="F1099" s="150" t="str">
        <f>IF(E1099="","",Input!$C$8+B1099-1)</f>
        <v/>
      </c>
      <c r="G1099" s="151" t="str">
        <f>IF(E1099="","",MAX(0,Input!$C$9-B1099))</f>
        <v/>
      </c>
      <c r="H1099" s="152" t="str">
        <f>IF(E1099="","",Input!$C$3)</f>
        <v/>
      </c>
      <c r="I1099" s="153" t="str">
        <f>IF(E1099="","",HLOOKUP($B1099,Input!$C$13:$BT$14,2))</f>
        <v/>
      </c>
      <c r="J1099" s="154"/>
      <c r="K1099" s="155" t="str">
        <f>IF($E1099="","",INDEX(Input!$C$16:$CP$16,1,$B1099))</f>
        <v/>
      </c>
      <c r="L1099" s="155" t="str">
        <f>IF($E1099="","",Input!$C$37)</f>
        <v/>
      </c>
      <c r="M1099" s="155" t="str">
        <f t="shared" si="713"/>
        <v/>
      </c>
      <c r="N1099" s="155" t="str">
        <f t="shared" si="714"/>
        <v/>
      </c>
      <c r="O1099" s="147" t="str">
        <f>IF($E1099="","",MIN(VLOOKUP(IF($B1099&lt;=Input!$C$7,$B1099,26),'Mortality Tables'!$A$41:$CW$67,IF($B1099&lt;=Input!$C$7+1,Input!$C$4+2,$D1099-Input!$C$7+2),0)*IF(B1099&gt;20,Input!$C$22,1)/1000,1))</f>
        <v/>
      </c>
      <c r="P1099" s="147" t="str">
        <f>IF($E1099="","",MIN(VLOOKUP(IF($B1099&lt;=Input!$C$7,$B1099,26),'Mortality Tables'!$A$12:$CW$37,IF($B1099&lt;=Input!$C$7+1,Input!$C$4+2,$D1099-Input!$C$7+2),0)*IF(B1099&gt;20,Input!$C$22,1)/1000,1))</f>
        <v/>
      </c>
      <c r="Q1099" s="155" t="str">
        <f>IF($E1099="","",Input!$C$21)</f>
        <v/>
      </c>
      <c r="R1099" s="159" t="str">
        <f>IF($E1099="","",(1-Q1099)^($F1099-Input!$C$20))</f>
        <v/>
      </c>
      <c r="S1099" s="147" t="str">
        <f t="shared" si="716"/>
        <v/>
      </c>
      <c r="T1099" s="147" t="str">
        <f t="shared" si="717"/>
        <v/>
      </c>
      <c r="U1099" s="160" t="str">
        <f>IF($E1099="","",IF($C1099=12,INDEX(Input!$C$15:$CP$15,1,$B1099),0))</f>
        <v/>
      </c>
      <c r="V1099" s="150" t="str">
        <f>IF(E1099="","",IF(C1099=1,IF($B1099=1,Input!$C$33,Input!$C$34),0))</f>
        <v/>
      </c>
      <c r="W1099" s="156" t="str">
        <f>IF($E1099="","",Input!$C$35)</f>
        <v/>
      </c>
      <c r="X1099" s="156" t="str">
        <f t="shared" si="715"/>
        <v/>
      </c>
      <c r="Y1099" s="154"/>
      <c r="Z1099" s="147" t="str">
        <f>IF($E1099="","",VLOOKUP($D1099,'Mortality Margins &amp; Grading'!$AB$5:$AF$125,3,0)*IF(Summary!$D$25="Included Margin",IF(AND($B1099&gt;Input!$C$9,Summary!$D$31&lt;&gt;"Included Margin"),0,1),0))</f>
        <v/>
      </c>
      <c r="AA1099" s="147" t="str">
        <f>IF($E1099="","",VLOOKUP($D1099,'Mortality Margins &amp; Grading'!$AB$5:$AF$125,5,0)*IF(Summary!$D$25="Included Margin",IF(AND($B1099&gt;Input!$C$9,Summary!$D$31&lt;&gt;"Included Margin"),0,1),0))</f>
        <v/>
      </c>
      <c r="AB1099" s="147" t="str">
        <f>IF($E1099="","",IF(AND($B1099&gt;Input!$C$9,Summary!$D$31&lt;&gt;"Included Margin"),1,IF(Summary!$D$25="Included Margin",VLOOKUP($B1099,'Mortality Margins &amp; Grading'!$AI$5:$AR$125,MATCH('Mortality Margins &amp; Grading'!$AQ$4,'Mortality Margins &amp; Grading'!$AI$4:$AR$4,0),0),1)))</f>
        <v/>
      </c>
      <c r="AC1099" s="154"/>
      <c r="AD1099" s="158" t="str">
        <f>IF(E1099="","",Input!$C$48*IF(Summary!$D$30="Included Margin",IF(AND($B1099&gt;Input!$C$9,Summary!$D$31&lt;&gt;"Included Margin"),0,1),0))</f>
        <v/>
      </c>
      <c r="AE1099" s="159" t="str">
        <f>IF(E1099="","",IF(Summary!$D$26="Included Margin",IF(AND($B1099&gt;Input!$C$9,Summary!$D$31&lt;&gt;"Included Margin"),1,1/$R1099),1))</f>
        <v/>
      </c>
      <c r="AF1099" s="160" t="str">
        <f>IF(E1099="","",IF(AND($B1099&gt;=Input!$C$9,$C1099=12,Summary!$D$31="Included Margin",$U1099&gt;0),1/U1099-1,IF($B1099&gt;=Input!$C$9,0,Input!$C$45*IF(Summary!$D$27="Included Margin",1,0))))</f>
        <v/>
      </c>
      <c r="AG1099" s="160" t="str">
        <f>IF(E1099="","",Input!$C$46*IF(Summary!$D$28="Included Margin",IF(AND($B1099&gt;Input!$C$9,Summary!$D$31&lt;&gt;"Included Margin"),0,1),0))</f>
        <v/>
      </c>
      <c r="AH1099" s="158" t="str">
        <f>IF(E1099="","",Input!$C$47*IF(Summary!$D$29="Included Margin",IF(AND($B1099&gt;Input!$C$9,Summary!$D$31&lt;&gt;"Included Margin"),0,1),0))</f>
        <v/>
      </c>
      <c r="AI1099" s="154"/>
      <c r="AJ1099" s="158" t="str">
        <f t="shared" si="731"/>
        <v/>
      </c>
      <c r="AK1099" s="155" t="str">
        <f t="shared" si="732"/>
        <v/>
      </c>
      <c r="AL1099" s="147" t="str">
        <f t="shared" si="733"/>
        <v/>
      </c>
      <c r="AM1099" s="147" t="str">
        <f t="shared" si="718"/>
        <v/>
      </c>
      <c r="AN1099" s="160" t="str">
        <f t="shared" si="734"/>
        <v/>
      </c>
      <c r="AO1099" s="161" t="str">
        <f t="shared" si="735"/>
        <v/>
      </c>
      <c r="AP1099" s="156" t="str">
        <f t="shared" si="719"/>
        <v/>
      </c>
      <c r="AQ1099" s="152"/>
      <c r="AR1099" s="162" t="str">
        <f t="shared" si="720"/>
        <v/>
      </c>
      <c r="AS1099" s="150" t="str">
        <f t="shared" si="736"/>
        <v/>
      </c>
      <c r="AT1099" s="163" t="str">
        <f t="shared" si="721"/>
        <v/>
      </c>
      <c r="AU1099" s="163" t="str">
        <f t="shared" si="722"/>
        <v/>
      </c>
      <c r="AV1099" s="163" t="str">
        <f t="shared" si="737"/>
        <v/>
      </c>
      <c r="AW1099" s="163" t="str">
        <f t="shared" si="723"/>
        <v/>
      </c>
      <c r="AX1099" s="163" t="str">
        <f t="shared" si="724"/>
        <v/>
      </c>
      <c r="AY1099" s="164" t="str">
        <f t="shared" si="738"/>
        <v/>
      </c>
      <c r="AZ1099" s="164" t="str">
        <f>IF($E1099="","",IF(OR(AND($D1099=Input!$C$6,$C1099=12),$AN1099=1),0,-AS1100+AT1100+AU1100-AV1100-AW1100-AX1100+AZ1100))</f>
        <v/>
      </c>
      <c r="BA1099" s="154" t="str">
        <f t="shared" si="725"/>
        <v/>
      </c>
      <c r="BC1099" s="147" t="str">
        <f t="shared" si="739"/>
        <v/>
      </c>
      <c r="BD1099" s="164" t="str">
        <f>IF(AND($C1098=12,$D1098=Input!$C$6),0,IF($E1099="","",AT1099+(AU1099+BD1100)/(1+$AK1099)*MIN((1-AM1099-AN1099),1)))</f>
        <v/>
      </c>
      <c r="BE1099" s="164" t="str">
        <f t="shared" si="712"/>
        <v/>
      </c>
      <c r="BF1099" s="164" t="str">
        <f t="shared" si="740"/>
        <v/>
      </c>
      <c r="BG1099" s="164" t="str">
        <f t="shared" si="726"/>
        <v/>
      </c>
      <c r="BH1099" s="152"/>
      <c r="BI1099" s="162" t="str">
        <f t="shared" si="706"/>
        <v/>
      </c>
      <c r="BJ1099" s="150" t="str">
        <f t="shared" si="707"/>
        <v/>
      </c>
      <c r="BK1099" s="163" t="str">
        <f t="shared" si="745"/>
        <v/>
      </c>
      <c r="BL1099" s="163" t="str">
        <f t="shared" si="708"/>
        <v/>
      </c>
      <c r="BM1099" s="163" t="str">
        <f t="shared" si="746"/>
        <v/>
      </c>
      <c r="BN1099" s="163" t="str">
        <f t="shared" si="709"/>
        <v/>
      </c>
      <c r="BO1099" s="163" t="str">
        <f t="shared" si="710"/>
        <v/>
      </c>
      <c r="BP1099" s="164" t="str">
        <f t="shared" si="747"/>
        <v/>
      </c>
      <c r="BQ1099" s="164" t="str">
        <f t="shared" si="741"/>
        <v/>
      </c>
      <c r="BR1099" s="154" t="str">
        <f t="shared" si="711"/>
        <v/>
      </c>
      <c r="BT1099" s="147" t="str">
        <f t="shared" si="727"/>
        <v/>
      </c>
      <c r="BU1099" s="164" t="str">
        <f>IF(AND($C1098=12,$D1098=Input!$C$6),0,IF($E1099="","",BK1099+(BL1099+BU1100)/(1+$AK1099)*MIN((1-T1099-U1099),1)))</f>
        <v/>
      </c>
      <c r="BV1099" s="164" t="str">
        <f t="shared" si="728"/>
        <v/>
      </c>
      <c r="BW1099" s="164" t="str">
        <f t="shared" si="729"/>
        <v/>
      </c>
      <c r="BX1099" s="164" t="str">
        <f t="shared" si="730"/>
        <v/>
      </c>
    </row>
    <row r="1100" spans="1:76" s="150" customFormat="1" x14ac:dyDescent="0.25">
      <c r="A1100" s="150" t="str">
        <f t="shared" si="742"/>
        <v/>
      </c>
      <c r="B1100" s="150" t="str">
        <f t="shared" si="743"/>
        <v/>
      </c>
      <c r="C1100" s="150" t="str">
        <f t="shared" si="744"/>
        <v/>
      </c>
      <c r="D1100" s="150" t="str">
        <f>IF(E1100="","",Input!$C$4+B1100-1)</f>
        <v/>
      </c>
      <c r="E1100" s="150" t="str">
        <f>IF(OR(AND(C1099=12,D1099=Input!$C$6),E1099=""),"",1)</f>
        <v/>
      </c>
      <c r="F1100" s="150" t="str">
        <f>IF(E1100="","",Input!$C$8+B1100-1)</f>
        <v/>
      </c>
      <c r="G1100" s="151" t="str">
        <f>IF(E1100="","",MAX(0,Input!$C$9-B1100))</f>
        <v/>
      </c>
      <c r="H1100" s="152" t="str">
        <f>IF(E1100="","",Input!$C$3)</f>
        <v/>
      </c>
      <c r="I1100" s="153" t="str">
        <f>IF(E1100="","",HLOOKUP($B1100,Input!$C$13:$BT$14,2))</f>
        <v/>
      </c>
      <c r="J1100" s="154"/>
      <c r="K1100" s="155" t="str">
        <f>IF($E1100="","",INDEX(Input!$C$16:$CP$16,1,$B1100))</f>
        <v/>
      </c>
      <c r="L1100" s="155" t="str">
        <f>IF($E1100="","",Input!$C$37)</f>
        <v/>
      </c>
      <c r="M1100" s="155" t="str">
        <f t="shared" si="713"/>
        <v/>
      </c>
      <c r="N1100" s="155" t="str">
        <f t="shared" si="714"/>
        <v/>
      </c>
      <c r="O1100" s="147" t="str">
        <f>IF($E1100="","",MIN(VLOOKUP(IF($B1100&lt;=Input!$C$7,$B1100,26),'Mortality Tables'!$A$41:$CW$67,IF($B1100&lt;=Input!$C$7+1,Input!$C$4+2,$D1100-Input!$C$7+2),0)*IF(B1100&gt;20,Input!$C$22,1)/1000,1))</f>
        <v/>
      </c>
      <c r="P1100" s="147" t="str">
        <f>IF($E1100="","",MIN(VLOOKUP(IF($B1100&lt;=Input!$C$7,$B1100,26),'Mortality Tables'!$A$12:$CW$37,IF($B1100&lt;=Input!$C$7+1,Input!$C$4+2,$D1100-Input!$C$7+2),0)*IF(B1100&gt;20,Input!$C$22,1)/1000,1))</f>
        <v/>
      </c>
      <c r="Q1100" s="155" t="str">
        <f>IF($E1100="","",Input!$C$21)</f>
        <v/>
      </c>
      <c r="R1100" s="159" t="str">
        <f>IF($E1100="","",(1-Q1100)^($F1100-Input!$C$20))</f>
        <v/>
      </c>
      <c r="S1100" s="147" t="str">
        <f t="shared" si="716"/>
        <v/>
      </c>
      <c r="T1100" s="147" t="str">
        <f t="shared" si="717"/>
        <v/>
      </c>
      <c r="U1100" s="160" t="str">
        <f>IF($E1100="","",IF($C1100=12,INDEX(Input!$C$15:$CP$15,1,$B1100),0))</f>
        <v/>
      </c>
      <c r="V1100" s="150" t="str">
        <f>IF(E1100="","",IF(C1100=1,IF($B1100=1,Input!$C$33,Input!$C$34),0))</f>
        <v/>
      </c>
      <c r="W1100" s="156" t="str">
        <f>IF($E1100="","",Input!$C$35)</f>
        <v/>
      </c>
      <c r="X1100" s="156" t="str">
        <f t="shared" si="715"/>
        <v/>
      </c>
      <c r="Y1100" s="154"/>
      <c r="Z1100" s="147" t="str">
        <f>IF($E1100="","",VLOOKUP($D1100,'Mortality Margins &amp; Grading'!$AB$5:$AF$125,3,0)*IF(Summary!$D$25="Included Margin",IF(AND($B1100&gt;Input!$C$9,Summary!$D$31&lt;&gt;"Included Margin"),0,1),0))</f>
        <v/>
      </c>
      <c r="AA1100" s="147" t="str">
        <f>IF($E1100="","",VLOOKUP($D1100,'Mortality Margins &amp; Grading'!$AB$5:$AF$125,5,0)*IF(Summary!$D$25="Included Margin",IF(AND($B1100&gt;Input!$C$9,Summary!$D$31&lt;&gt;"Included Margin"),0,1),0))</f>
        <v/>
      </c>
      <c r="AB1100" s="147" t="str">
        <f>IF($E1100="","",IF(AND($B1100&gt;Input!$C$9,Summary!$D$31&lt;&gt;"Included Margin"),1,IF(Summary!$D$25="Included Margin",VLOOKUP($B1100,'Mortality Margins &amp; Grading'!$AI$5:$AR$125,MATCH('Mortality Margins &amp; Grading'!$AQ$4,'Mortality Margins &amp; Grading'!$AI$4:$AR$4,0),0),1)))</f>
        <v/>
      </c>
      <c r="AC1100" s="154"/>
      <c r="AD1100" s="158" t="str">
        <f>IF(E1100="","",Input!$C$48*IF(Summary!$D$30="Included Margin",IF(AND($B1100&gt;Input!$C$9,Summary!$D$31&lt;&gt;"Included Margin"),0,1),0))</f>
        <v/>
      </c>
      <c r="AE1100" s="159" t="str">
        <f>IF(E1100="","",IF(Summary!$D$26="Included Margin",IF(AND($B1100&gt;Input!$C$9,Summary!$D$31&lt;&gt;"Included Margin"),1,1/$R1100),1))</f>
        <v/>
      </c>
      <c r="AF1100" s="160" t="str">
        <f>IF(E1100="","",IF(AND($B1100&gt;=Input!$C$9,$C1100=12,Summary!$D$31="Included Margin",$U1100&gt;0),1/U1100-1,IF($B1100&gt;=Input!$C$9,0,Input!$C$45*IF(Summary!$D$27="Included Margin",1,0))))</f>
        <v/>
      </c>
      <c r="AG1100" s="160" t="str">
        <f>IF(E1100="","",Input!$C$46*IF(Summary!$D$28="Included Margin",IF(AND($B1100&gt;Input!$C$9,Summary!$D$31&lt;&gt;"Included Margin"),0,1),0))</f>
        <v/>
      </c>
      <c r="AH1100" s="158" t="str">
        <f>IF(E1100="","",Input!$C$47*IF(Summary!$D$29="Included Margin",IF(AND($B1100&gt;Input!$C$9,Summary!$D$31&lt;&gt;"Included Margin"),0,1),0))</f>
        <v/>
      </c>
      <c r="AI1100" s="154"/>
      <c r="AJ1100" s="158" t="str">
        <f t="shared" si="731"/>
        <v/>
      </c>
      <c r="AK1100" s="155" t="str">
        <f t="shared" si="732"/>
        <v/>
      </c>
      <c r="AL1100" s="147" t="str">
        <f t="shared" si="733"/>
        <v/>
      </c>
      <c r="AM1100" s="147" t="str">
        <f t="shared" si="718"/>
        <v/>
      </c>
      <c r="AN1100" s="160" t="str">
        <f t="shared" si="734"/>
        <v/>
      </c>
      <c r="AO1100" s="161" t="str">
        <f t="shared" si="735"/>
        <v/>
      </c>
      <c r="AP1100" s="156" t="str">
        <f t="shared" si="719"/>
        <v/>
      </c>
      <c r="AQ1100" s="152"/>
      <c r="AR1100" s="162" t="str">
        <f t="shared" si="720"/>
        <v/>
      </c>
      <c r="AS1100" s="150" t="str">
        <f t="shared" si="736"/>
        <v/>
      </c>
      <c r="AT1100" s="163" t="str">
        <f t="shared" si="721"/>
        <v/>
      </c>
      <c r="AU1100" s="163" t="str">
        <f t="shared" si="722"/>
        <v/>
      </c>
      <c r="AV1100" s="163" t="str">
        <f t="shared" si="737"/>
        <v/>
      </c>
      <c r="AW1100" s="163" t="str">
        <f t="shared" si="723"/>
        <v/>
      </c>
      <c r="AX1100" s="163" t="str">
        <f t="shared" si="724"/>
        <v/>
      </c>
      <c r="AY1100" s="165" t="str">
        <f t="shared" si="738"/>
        <v/>
      </c>
      <c r="AZ1100" s="164" t="str">
        <f>IF($E1100="","",IF(OR(AND($D1100=Input!$C$6,$C1100=12),$AN1100=1),0,-AS1101+AT1101+AU1101-AV1101-AW1101-AX1101+AZ1101))</f>
        <v/>
      </c>
      <c r="BA1100" s="154" t="str">
        <f t="shared" si="725"/>
        <v/>
      </c>
      <c r="BC1100" s="147" t="str">
        <f t="shared" si="739"/>
        <v/>
      </c>
      <c r="BD1100" s="164" t="str">
        <f>IF(AND($C1099=12,$D1099=Input!$C$6),0,IF($E1100="","",AT1100+(AU1100+BD1101)/(1+$AK1100)*MIN((1-AM1100-AN1100),1)))</f>
        <v/>
      </c>
      <c r="BE1100" s="164" t="str">
        <f t="shared" si="712"/>
        <v/>
      </c>
      <c r="BF1100" s="164" t="str">
        <f t="shared" si="740"/>
        <v/>
      </c>
      <c r="BG1100" s="164" t="str">
        <f t="shared" si="726"/>
        <v/>
      </c>
      <c r="BH1100" s="152"/>
      <c r="BI1100" s="162" t="str">
        <f t="shared" si="706"/>
        <v/>
      </c>
      <c r="BJ1100" s="150" t="str">
        <f t="shared" si="707"/>
        <v/>
      </c>
      <c r="BK1100" s="163" t="str">
        <f t="shared" si="745"/>
        <v/>
      </c>
      <c r="BL1100" s="163" t="str">
        <f t="shared" si="708"/>
        <v/>
      </c>
      <c r="BM1100" s="163" t="str">
        <f t="shared" si="746"/>
        <v/>
      </c>
      <c r="BN1100" s="163" t="str">
        <f t="shared" si="709"/>
        <v/>
      </c>
      <c r="BO1100" s="163" t="str">
        <f t="shared" si="710"/>
        <v/>
      </c>
      <c r="BP1100" s="164" t="str">
        <f t="shared" si="747"/>
        <v/>
      </c>
      <c r="BQ1100" s="164" t="str">
        <f t="shared" si="741"/>
        <v/>
      </c>
      <c r="BR1100" s="154" t="str">
        <f t="shared" si="711"/>
        <v/>
      </c>
      <c r="BT1100" s="147" t="str">
        <f t="shared" si="727"/>
        <v/>
      </c>
      <c r="BU1100" s="164" t="str">
        <f>IF(AND($C1099=12,$D1099=Input!$C$6),0,IF($E1100="","",BK1100+(BL1100+BU1101)/(1+$AK1100)*MIN((1-T1100-U1100),1)))</f>
        <v/>
      </c>
      <c r="BV1100" s="164" t="str">
        <f t="shared" si="728"/>
        <v/>
      </c>
      <c r="BW1100" s="164" t="str">
        <f t="shared" si="729"/>
        <v/>
      </c>
      <c r="BX1100" s="164" t="str">
        <f t="shared" si="730"/>
        <v/>
      </c>
    </row>
    <row r="1101" spans="1:76" s="150" customFormat="1" x14ac:dyDescent="0.25">
      <c r="A1101" s="150" t="str">
        <f t="shared" si="742"/>
        <v/>
      </c>
      <c r="B1101" s="150" t="str">
        <f t="shared" si="743"/>
        <v/>
      </c>
      <c r="C1101" s="150" t="str">
        <f t="shared" si="744"/>
        <v/>
      </c>
      <c r="D1101" s="150" t="str">
        <f>IF(E1101="","",Input!$C$4+B1101-1)</f>
        <v/>
      </c>
      <c r="E1101" s="150" t="str">
        <f>IF(OR(AND(C1100=12,D1100=Input!$C$6),E1100=""),"",1)</f>
        <v/>
      </c>
      <c r="F1101" s="150" t="str">
        <f>IF(E1101="","",Input!$C$8+B1101-1)</f>
        <v/>
      </c>
      <c r="G1101" s="151" t="str">
        <f>IF(E1101="","",MAX(0,Input!$C$9-B1101))</f>
        <v/>
      </c>
      <c r="H1101" s="152" t="str">
        <f>IF(E1101="","",Input!$C$3)</f>
        <v/>
      </c>
      <c r="I1101" s="153" t="str">
        <f>IF(E1101="","",HLOOKUP($B1101,Input!$C$13:$BT$14,2))</f>
        <v/>
      </c>
      <c r="J1101" s="154"/>
      <c r="K1101" s="155" t="str">
        <f>IF($E1101="","",INDEX(Input!$C$16:$CP$16,1,$B1101))</f>
        <v/>
      </c>
      <c r="L1101" s="155" t="str">
        <f>IF($E1101="","",Input!$C$37)</f>
        <v/>
      </c>
      <c r="M1101" s="155" t="str">
        <f t="shared" si="713"/>
        <v/>
      </c>
      <c r="N1101" s="155" t="str">
        <f t="shared" si="714"/>
        <v/>
      </c>
      <c r="O1101" s="147" t="str">
        <f>IF($E1101="","",MIN(VLOOKUP(IF($B1101&lt;=Input!$C$7,$B1101,26),'Mortality Tables'!$A$41:$CW$67,IF($B1101&lt;=Input!$C$7+1,Input!$C$4+2,$D1101-Input!$C$7+2),0)*IF(B1101&gt;20,Input!$C$22,1)/1000,1))</f>
        <v/>
      </c>
      <c r="P1101" s="147" t="str">
        <f>IF($E1101="","",MIN(VLOOKUP(IF($B1101&lt;=Input!$C$7,$B1101,26),'Mortality Tables'!$A$12:$CW$37,IF($B1101&lt;=Input!$C$7+1,Input!$C$4+2,$D1101-Input!$C$7+2),0)*IF(B1101&gt;20,Input!$C$22,1)/1000,1))</f>
        <v/>
      </c>
      <c r="Q1101" s="155" t="str">
        <f>IF($E1101="","",Input!$C$21)</f>
        <v/>
      </c>
      <c r="R1101" s="159" t="str">
        <f>IF($E1101="","",(1-Q1101)^($F1101-Input!$C$20))</f>
        <v/>
      </c>
      <c r="S1101" s="147" t="str">
        <f t="shared" si="716"/>
        <v/>
      </c>
      <c r="T1101" s="147" t="str">
        <f t="shared" si="717"/>
        <v/>
      </c>
      <c r="U1101" s="160" t="str">
        <f>IF($E1101="","",IF($C1101=12,INDEX(Input!$C$15:$CP$15,1,$B1101),0))</f>
        <v/>
      </c>
      <c r="V1101" s="150" t="str">
        <f>IF(E1101="","",IF(C1101=1,IF($B1101=1,Input!$C$33,Input!$C$34),0))</f>
        <v/>
      </c>
      <c r="W1101" s="156" t="str">
        <f>IF($E1101="","",Input!$C$35)</f>
        <v/>
      </c>
      <c r="X1101" s="156" t="str">
        <f t="shared" si="715"/>
        <v/>
      </c>
      <c r="Y1101" s="154"/>
      <c r="Z1101" s="147" t="str">
        <f>IF($E1101="","",VLOOKUP($D1101,'Mortality Margins &amp; Grading'!$AB$5:$AF$125,3,0)*IF(Summary!$D$25="Included Margin",IF(AND($B1101&gt;Input!$C$9,Summary!$D$31&lt;&gt;"Included Margin"),0,1),0))</f>
        <v/>
      </c>
      <c r="AA1101" s="147" t="str">
        <f>IF($E1101="","",VLOOKUP($D1101,'Mortality Margins &amp; Grading'!$AB$5:$AF$125,5,0)*IF(Summary!$D$25="Included Margin",IF(AND($B1101&gt;Input!$C$9,Summary!$D$31&lt;&gt;"Included Margin"),0,1),0))</f>
        <v/>
      </c>
      <c r="AB1101" s="147" t="str">
        <f>IF($E1101="","",IF(AND($B1101&gt;Input!$C$9,Summary!$D$31&lt;&gt;"Included Margin"),1,IF(Summary!$D$25="Included Margin",VLOOKUP($B1101,'Mortality Margins &amp; Grading'!$AI$5:$AR$125,MATCH('Mortality Margins &amp; Grading'!$AQ$4,'Mortality Margins &amp; Grading'!$AI$4:$AR$4,0),0),1)))</f>
        <v/>
      </c>
      <c r="AC1101" s="154"/>
      <c r="AD1101" s="158" t="str">
        <f>IF(E1101="","",Input!$C$48*IF(Summary!$D$30="Included Margin",IF(AND($B1101&gt;Input!$C$9,Summary!$D$31&lt;&gt;"Included Margin"),0,1),0))</f>
        <v/>
      </c>
      <c r="AE1101" s="159" t="str">
        <f>IF(E1101="","",IF(Summary!$D$26="Included Margin",IF(AND($B1101&gt;Input!$C$9,Summary!$D$31&lt;&gt;"Included Margin"),1,1/$R1101),1))</f>
        <v/>
      </c>
      <c r="AF1101" s="160" t="str">
        <f>IF(E1101="","",IF(AND($B1101&gt;=Input!$C$9,$C1101=12,Summary!$D$31="Included Margin",$U1101&gt;0),1/U1101-1,IF($B1101&gt;=Input!$C$9,0,Input!$C$45*IF(Summary!$D$27="Included Margin",1,0))))</f>
        <v/>
      </c>
      <c r="AG1101" s="160" t="str">
        <f>IF(E1101="","",Input!$C$46*IF(Summary!$D$28="Included Margin",IF(AND($B1101&gt;Input!$C$9,Summary!$D$31&lt;&gt;"Included Margin"),0,1),0))</f>
        <v/>
      </c>
      <c r="AH1101" s="158" t="str">
        <f>IF(E1101="","",Input!$C$47*IF(Summary!$D$29="Included Margin",IF(AND($B1101&gt;Input!$C$9,Summary!$D$31&lt;&gt;"Included Margin"),0,1),0))</f>
        <v/>
      </c>
      <c r="AI1101" s="154"/>
      <c r="AJ1101" s="158" t="str">
        <f t="shared" si="731"/>
        <v/>
      </c>
      <c r="AK1101" s="155" t="str">
        <f t="shared" si="732"/>
        <v/>
      </c>
      <c r="AL1101" s="147" t="str">
        <f t="shared" si="733"/>
        <v/>
      </c>
      <c r="AM1101" s="147" t="str">
        <f t="shared" si="718"/>
        <v/>
      </c>
      <c r="AN1101" s="160" t="str">
        <f t="shared" si="734"/>
        <v/>
      </c>
      <c r="AO1101" s="161" t="str">
        <f t="shared" si="735"/>
        <v/>
      </c>
      <c r="AP1101" s="156" t="str">
        <f t="shared" si="719"/>
        <v/>
      </c>
      <c r="AQ1101" s="152"/>
      <c r="AR1101" s="162" t="str">
        <f t="shared" si="720"/>
        <v/>
      </c>
      <c r="AS1101" s="150" t="str">
        <f t="shared" si="736"/>
        <v/>
      </c>
      <c r="AT1101" s="163" t="str">
        <f t="shared" si="721"/>
        <v/>
      </c>
      <c r="AU1101" s="163" t="str">
        <f t="shared" si="722"/>
        <v/>
      </c>
      <c r="AV1101" s="163" t="str">
        <f t="shared" si="737"/>
        <v/>
      </c>
      <c r="AW1101" s="163" t="str">
        <f t="shared" si="723"/>
        <v/>
      </c>
      <c r="AX1101" s="163" t="str">
        <f t="shared" si="724"/>
        <v/>
      </c>
      <c r="AY1101" s="164" t="str">
        <f t="shared" si="738"/>
        <v/>
      </c>
      <c r="AZ1101" s="164" t="str">
        <f>IF($E1101="","",IF(OR(AND($D1101=Input!$C$6,$C1101=12),$AN1101=1),0,-AS1102+AT1102+AU1102-AV1102-AW1102-AX1102+AZ1102))</f>
        <v/>
      </c>
      <c r="BA1101" s="154" t="str">
        <f t="shared" si="725"/>
        <v/>
      </c>
      <c r="BC1101" s="147" t="str">
        <f t="shared" si="739"/>
        <v/>
      </c>
      <c r="BD1101" s="164" t="str">
        <f>IF(AND($C1100=12,$D1100=Input!$C$6),0,IF($E1101="","",AT1101+(AU1101+BD1102)/(1+$AK1101)*MIN((1-AM1101-AN1101),1)))</f>
        <v/>
      </c>
      <c r="BE1101" s="164" t="str">
        <f t="shared" si="712"/>
        <v/>
      </c>
      <c r="BF1101" s="164" t="str">
        <f t="shared" si="740"/>
        <v/>
      </c>
      <c r="BG1101" s="164" t="str">
        <f t="shared" si="726"/>
        <v/>
      </c>
      <c r="BH1101" s="152"/>
      <c r="BI1101" s="162" t="str">
        <f t="shared" si="706"/>
        <v/>
      </c>
      <c r="BJ1101" s="150" t="str">
        <f t="shared" si="707"/>
        <v/>
      </c>
      <c r="BK1101" s="163" t="str">
        <f t="shared" si="745"/>
        <v/>
      </c>
      <c r="BL1101" s="163" t="str">
        <f t="shared" si="708"/>
        <v/>
      </c>
      <c r="BM1101" s="163" t="str">
        <f t="shared" si="746"/>
        <v/>
      </c>
      <c r="BN1101" s="163" t="str">
        <f t="shared" si="709"/>
        <v/>
      </c>
      <c r="BO1101" s="163" t="str">
        <f t="shared" si="710"/>
        <v/>
      </c>
      <c r="BP1101" s="164" t="str">
        <f t="shared" si="747"/>
        <v/>
      </c>
      <c r="BQ1101" s="164" t="str">
        <f t="shared" si="741"/>
        <v/>
      </c>
      <c r="BR1101" s="154" t="str">
        <f t="shared" si="711"/>
        <v/>
      </c>
      <c r="BT1101" s="147" t="str">
        <f t="shared" si="727"/>
        <v/>
      </c>
      <c r="BU1101" s="164" t="str">
        <f>IF(AND($C1100=12,$D1100=Input!$C$6),0,IF($E1101="","",BK1101+(BL1101+BU1102)/(1+$AK1101)*MIN((1-T1101-U1101),1)))</f>
        <v/>
      </c>
      <c r="BV1101" s="164" t="str">
        <f t="shared" si="728"/>
        <v/>
      </c>
      <c r="BW1101" s="164" t="str">
        <f t="shared" si="729"/>
        <v/>
      </c>
      <c r="BX1101" s="164" t="str">
        <f t="shared" si="730"/>
        <v/>
      </c>
    </row>
    <row r="1102" spans="1:76" s="150" customFormat="1" x14ac:dyDescent="0.25">
      <c r="A1102" s="150" t="str">
        <f t="shared" si="742"/>
        <v/>
      </c>
      <c r="B1102" s="150" t="str">
        <f t="shared" si="743"/>
        <v/>
      </c>
      <c r="C1102" s="150" t="str">
        <f t="shared" si="744"/>
        <v/>
      </c>
      <c r="D1102" s="150" t="str">
        <f>IF(E1102="","",Input!$C$4+B1102-1)</f>
        <v/>
      </c>
      <c r="E1102" s="150" t="str">
        <f>IF(OR(AND(C1101=12,D1101=Input!$C$6),E1101=""),"",1)</f>
        <v/>
      </c>
      <c r="F1102" s="150" t="str">
        <f>IF(E1102="","",Input!$C$8+B1102-1)</f>
        <v/>
      </c>
      <c r="G1102" s="151" t="str">
        <f>IF(E1102="","",MAX(0,Input!$C$9-B1102))</f>
        <v/>
      </c>
      <c r="H1102" s="152" t="str">
        <f>IF(E1102="","",Input!$C$3)</f>
        <v/>
      </c>
      <c r="I1102" s="153" t="str">
        <f>IF(E1102="","",HLOOKUP($B1102,Input!$C$13:$BT$14,2))</f>
        <v/>
      </c>
      <c r="J1102" s="154"/>
      <c r="K1102" s="155" t="str">
        <f>IF($E1102="","",INDEX(Input!$C$16:$CP$16,1,$B1102))</f>
        <v/>
      </c>
      <c r="L1102" s="155" t="str">
        <f>IF($E1102="","",Input!$C$37)</f>
        <v/>
      </c>
      <c r="M1102" s="155" t="str">
        <f t="shared" si="713"/>
        <v/>
      </c>
      <c r="N1102" s="155" t="str">
        <f t="shared" si="714"/>
        <v/>
      </c>
      <c r="O1102" s="147" t="str">
        <f>IF($E1102="","",MIN(VLOOKUP(IF($B1102&lt;=Input!$C$7,$B1102,26),'Mortality Tables'!$A$41:$CW$67,IF($B1102&lt;=Input!$C$7+1,Input!$C$4+2,$D1102-Input!$C$7+2),0)*IF(B1102&gt;20,Input!$C$22,1)/1000,1))</f>
        <v/>
      </c>
      <c r="P1102" s="147" t="str">
        <f>IF($E1102="","",MIN(VLOOKUP(IF($B1102&lt;=Input!$C$7,$B1102,26),'Mortality Tables'!$A$12:$CW$37,IF($B1102&lt;=Input!$C$7+1,Input!$C$4+2,$D1102-Input!$C$7+2),0)*IF(B1102&gt;20,Input!$C$22,1)/1000,1))</f>
        <v/>
      </c>
      <c r="Q1102" s="155" t="str">
        <f>IF($E1102="","",Input!$C$21)</f>
        <v/>
      </c>
      <c r="R1102" s="159" t="str">
        <f>IF($E1102="","",(1-Q1102)^($F1102-Input!$C$20))</f>
        <v/>
      </c>
      <c r="S1102" s="147" t="str">
        <f t="shared" si="716"/>
        <v/>
      </c>
      <c r="T1102" s="147" t="str">
        <f t="shared" si="717"/>
        <v/>
      </c>
      <c r="U1102" s="160" t="str">
        <f>IF($E1102="","",IF($C1102=12,INDEX(Input!$C$15:$CP$15,1,$B1102),0))</f>
        <v/>
      </c>
      <c r="V1102" s="150" t="str">
        <f>IF(E1102="","",IF(C1102=1,IF($B1102=1,Input!$C$33,Input!$C$34),0))</f>
        <v/>
      </c>
      <c r="W1102" s="156" t="str">
        <f>IF($E1102="","",Input!$C$35)</f>
        <v/>
      </c>
      <c r="X1102" s="156" t="str">
        <f t="shared" si="715"/>
        <v/>
      </c>
      <c r="Y1102" s="154"/>
      <c r="Z1102" s="147" t="str">
        <f>IF($E1102="","",VLOOKUP($D1102,'Mortality Margins &amp; Grading'!$AB$5:$AF$125,3,0)*IF(Summary!$D$25="Included Margin",IF(AND($B1102&gt;Input!$C$9,Summary!$D$31&lt;&gt;"Included Margin"),0,1),0))</f>
        <v/>
      </c>
      <c r="AA1102" s="147" t="str">
        <f>IF($E1102="","",VLOOKUP($D1102,'Mortality Margins &amp; Grading'!$AB$5:$AF$125,5,0)*IF(Summary!$D$25="Included Margin",IF(AND($B1102&gt;Input!$C$9,Summary!$D$31&lt;&gt;"Included Margin"),0,1),0))</f>
        <v/>
      </c>
      <c r="AB1102" s="147" t="str">
        <f>IF($E1102="","",IF(AND($B1102&gt;Input!$C$9,Summary!$D$31&lt;&gt;"Included Margin"),1,IF(Summary!$D$25="Included Margin",VLOOKUP($B1102,'Mortality Margins &amp; Grading'!$AI$5:$AR$125,MATCH('Mortality Margins &amp; Grading'!$AQ$4,'Mortality Margins &amp; Grading'!$AI$4:$AR$4,0),0),1)))</f>
        <v/>
      </c>
      <c r="AC1102" s="154"/>
      <c r="AD1102" s="158" t="str">
        <f>IF(E1102="","",Input!$C$48*IF(Summary!$D$30="Included Margin",IF(AND($B1102&gt;Input!$C$9,Summary!$D$31&lt;&gt;"Included Margin"),0,1),0))</f>
        <v/>
      </c>
      <c r="AE1102" s="159" t="str">
        <f>IF(E1102="","",IF(Summary!$D$26="Included Margin",IF(AND($B1102&gt;Input!$C$9,Summary!$D$31&lt;&gt;"Included Margin"),1,1/$R1102),1))</f>
        <v/>
      </c>
      <c r="AF1102" s="160" t="str">
        <f>IF(E1102="","",IF(AND($B1102&gt;=Input!$C$9,$C1102=12,Summary!$D$31="Included Margin",$U1102&gt;0),1/U1102-1,IF($B1102&gt;=Input!$C$9,0,Input!$C$45*IF(Summary!$D$27="Included Margin",1,0))))</f>
        <v/>
      </c>
      <c r="AG1102" s="160" t="str">
        <f>IF(E1102="","",Input!$C$46*IF(Summary!$D$28="Included Margin",IF(AND($B1102&gt;Input!$C$9,Summary!$D$31&lt;&gt;"Included Margin"),0,1),0))</f>
        <v/>
      </c>
      <c r="AH1102" s="158" t="str">
        <f>IF(E1102="","",Input!$C$47*IF(Summary!$D$29="Included Margin",IF(AND($B1102&gt;Input!$C$9,Summary!$D$31&lt;&gt;"Included Margin"),0,1),0))</f>
        <v/>
      </c>
      <c r="AI1102" s="154"/>
      <c r="AJ1102" s="158" t="str">
        <f t="shared" si="731"/>
        <v/>
      </c>
      <c r="AK1102" s="155" t="str">
        <f t="shared" si="732"/>
        <v/>
      </c>
      <c r="AL1102" s="147" t="str">
        <f t="shared" si="733"/>
        <v/>
      </c>
      <c r="AM1102" s="147" t="str">
        <f t="shared" si="718"/>
        <v/>
      </c>
      <c r="AN1102" s="160" t="str">
        <f t="shared" si="734"/>
        <v/>
      </c>
      <c r="AO1102" s="161" t="str">
        <f t="shared" si="735"/>
        <v/>
      </c>
      <c r="AP1102" s="156" t="str">
        <f t="shared" si="719"/>
        <v/>
      </c>
      <c r="AQ1102" s="152"/>
      <c r="AR1102" s="162" t="str">
        <f t="shared" si="720"/>
        <v/>
      </c>
      <c r="AS1102" s="150" t="str">
        <f t="shared" si="736"/>
        <v/>
      </c>
      <c r="AT1102" s="163" t="str">
        <f t="shared" si="721"/>
        <v/>
      </c>
      <c r="AU1102" s="163" t="str">
        <f t="shared" si="722"/>
        <v/>
      </c>
      <c r="AV1102" s="163" t="str">
        <f t="shared" si="737"/>
        <v/>
      </c>
      <c r="AW1102" s="163" t="str">
        <f t="shared" si="723"/>
        <v/>
      </c>
      <c r="AX1102" s="163" t="str">
        <f t="shared" si="724"/>
        <v/>
      </c>
      <c r="AY1102" s="165" t="str">
        <f t="shared" si="738"/>
        <v/>
      </c>
      <c r="AZ1102" s="164" t="str">
        <f>IF($E1102="","",IF(OR(AND($D1102=Input!$C$6,$C1102=12),$AN1102=1),0,-AS1103+AT1103+AU1103-AV1103-AW1103-AX1103+AZ1103))</f>
        <v/>
      </c>
      <c r="BA1102" s="154" t="str">
        <f t="shared" si="725"/>
        <v/>
      </c>
      <c r="BC1102" s="147" t="str">
        <f t="shared" si="739"/>
        <v/>
      </c>
      <c r="BD1102" s="164" t="str">
        <f>IF(AND($C1101=12,$D1101=Input!$C$6),0,IF($E1102="","",AT1102+(AU1102+BD1103)/(1+$AK1102)*MIN((1-AM1102-AN1102),1)))</f>
        <v/>
      </c>
      <c r="BE1102" s="164" t="str">
        <f t="shared" si="712"/>
        <v/>
      </c>
      <c r="BF1102" s="164" t="str">
        <f t="shared" si="740"/>
        <v/>
      </c>
      <c r="BG1102" s="164" t="str">
        <f t="shared" si="726"/>
        <v/>
      </c>
      <c r="BH1102" s="152"/>
      <c r="BI1102" s="162" t="str">
        <f t="shared" si="706"/>
        <v/>
      </c>
      <c r="BJ1102" s="150" t="str">
        <f t="shared" si="707"/>
        <v/>
      </c>
      <c r="BK1102" s="163" t="str">
        <f t="shared" si="745"/>
        <v/>
      </c>
      <c r="BL1102" s="163" t="str">
        <f t="shared" si="708"/>
        <v/>
      </c>
      <c r="BM1102" s="163" t="str">
        <f t="shared" si="746"/>
        <v/>
      </c>
      <c r="BN1102" s="163" t="str">
        <f t="shared" si="709"/>
        <v/>
      </c>
      <c r="BO1102" s="163" t="str">
        <f t="shared" si="710"/>
        <v/>
      </c>
      <c r="BP1102" s="164" t="str">
        <f t="shared" si="747"/>
        <v/>
      </c>
      <c r="BQ1102" s="164" t="str">
        <f t="shared" si="741"/>
        <v/>
      </c>
      <c r="BR1102" s="154" t="str">
        <f t="shared" si="711"/>
        <v/>
      </c>
      <c r="BT1102" s="147" t="str">
        <f t="shared" si="727"/>
        <v/>
      </c>
      <c r="BU1102" s="164" t="str">
        <f>IF(AND($C1101=12,$D1101=Input!$C$6),0,IF($E1102="","",BK1102+(BL1102+BU1103)/(1+$AK1102)*MIN((1-T1102-U1102),1)))</f>
        <v/>
      </c>
      <c r="BV1102" s="164" t="str">
        <f t="shared" si="728"/>
        <v/>
      </c>
      <c r="BW1102" s="164" t="str">
        <f t="shared" si="729"/>
        <v/>
      </c>
      <c r="BX1102" s="164" t="str">
        <f t="shared" si="730"/>
        <v/>
      </c>
    </row>
    <row r="1103" spans="1:76" s="150" customFormat="1" x14ac:dyDescent="0.25">
      <c r="A1103" s="150" t="str">
        <f t="shared" si="742"/>
        <v/>
      </c>
      <c r="B1103" s="150" t="str">
        <f t="shared" si="743"/>
        <v/>
      </c>
      <c r="C1103" s="150" t="str">
        <f t="shared" si="744"/>
        <v/>
      </c>
      <c r="D1103" s="150" t="str">
        <f>IF(E1103="","",Input!$C$4+B1103-1)</f>
        <v/>
      </c>
      <c r="E1103" s="150" t="str">
        <f>IF(OR(AND(C1102=12,D1102=Input!$C$6),E1102=""),"",1)</f>
        <v/>
      </c>
      <c r="F1103" s="150" t="str">
        <f>IF(E1103="","",Input!$C$8+B1103-1)</f>
        <v/>
      </c>
      <c r="G1103" s="151" t="str">
        <f>IF(E1103="","",MAX(0,Input!$C$9-B1103))</f>
        <v/>
      </c>
      <c r="H1103" s="152" t="str">
        <f>IF(E1103="","",Input!$C$3)</f>
        <v/>
      </c>
      <c r="I1103" s="153" t="str">
        <f>IF(E1103="","",HLOOKUP($B1103,Input!$C$13:$BT$14,2))</f>
        <v/>
      </c>
      <c r="J1103" s="154"/>
      <c r="K1103" s="155" t="str">
        <f>IF($E1103="","",INDEX(Input!$C$16:$CP$16,1,$B1103))</f>
        <v/>
      </c>
      <c r="L1103" s="155" t="str">
        <f>IF($E1103="","",Input!$C$37)</f>
        <v/>
      </c>
      <c r="M1103" s="155" t="str">
        <f t="shared" si="713"/>
        <v/>
      </c>
      <c r="N1103" s="155" t="str">
        <f t="shared" si="714"/>
        <v/>
      </c>
      <c r="O1103" s="147" t="str">
        <f>IF($E1103="","",MIN(VLOOKUP(IF($B1103&lt;=Input!$C$7,$B1103,26),'Mortality Tables'!$A$41:$CW$67,IF($B1103&lt;=Input!$C$7+1,Input!$C$4+2,$D1103-Input!$C$7+2),0)*IF(B1103&gt;20,Input!$C$22,1)/1000,1))</f>
        <v/>
      </c>
      <c r="P1103" s="147" t="str">
        <f>IF($E1103="","",MIN(VLOOKUP(IF($B1103&lt;=Input!$C$7,$B1103,26),'Mortality Tables'!$A$12:$CW$37,IF($B1103&lt;=Input!$C$7+1,Input!$C$4+2,$D1103-Input!$C$7+2),0)*IF(B1103&gt;20,Input!$C$22,1)/1000,1))</f>
        <v/>
      </c>
      <c r="Q1103" s="155" t="str">
        <f>IF($E1103="","",Input!$C$21)</f>
        <v/>
      </c>
      <c r="R1103" s="159" t="str">
        <f>IF($E1103="","",(1-Q1103)^($F1103-Input!$C$20))</f>
        <v/>
      </c>
      <c r="S1103" s="147" t="str">
        <f t="shared" si="716"/>
        <v/>
      </c>
      <c r="T1103" s="147" t="str">
        <f t="shared" si="717"/>
        <v/>
      </c>
      <c r="U1103" s="160" t="str">
        <f>IF($E1103="","",IF($C1103=12,INDEX(Input!$C$15:$CP$15,1,$B1103),0))</f>
        <v/>
      </c>
      <c r="V1103" s="150" t="str">
        <f>IF(E1103="","",IF(C1103=1,IF($B1103=1,Input!$C$33,Input!$C$34),0))</f>
        <v/>
      </c>
      <c r="W1103" s="156" t="str">
        <f>IF($E1103="","",Input!$C$35)</f>
        <v/>
      </c>
      <c r="X1103" s="156" t="str">
        <f t="shared" si="715"/>
        <v/>
      </c>
      <c r="Y1103" s="154"/>
      <c r="Z1103" s="147" t="str">
        <f>IF($E1103="","",VLOOKUP($D1103,'Mortality Margins &amp; Grading'!$AB$5:$AF$125,3,0)*IF(Summary!$D$25="Included Margin",IF(AND($B1103&gt;Input!$C$9,Summary!$D$31&lt;&gt;"Included Margin"),0,1),0))</f>
        <v/>
      </c>
      <c r="AA1103" s="147" t="str">
        <f>IF($E1103="","",VLOOKUP($D1103,'Mortality Margins &amp; Grading'!$AB$5:$AF$125,5,0)*IF(Summary!$D$25="Included Margin",IF(AND($B1103&gt;Input!$C$9,Summary!$D$31&lt;&gt;"Included Margin"),0,1),0))</f>
        <v/>
      </c>
      <c r="AB1103" s="147" t="str">
        <f>IF($E1103="","",IF(AND($B1103&gt;Input!$C$9,Summary!$D$31&lt;&gt;"Included Margin"),1,IF(Summary!$D$25="Included Margin",VLOOKUP($B1103,'Mortality Margins &amp; Grading'!$AI$5:$AR$125,MATCH('Mortality Margins &amp; Grading'!$AQ$4,'Mortality Margins &amp; Grading'!$AI$4:$AR$4,0),0),1)))</f>
        <v/>
      </c>
      <c r="AC1103" s="154"/>
      <c r="AD1103" s="158" t="str">
        <f>IF(E1103="","",Input!$C$48*IF(Summary!$D$30="Included Margin",IF(AND($B1103&gt;Input!$C$9,Summary!$D$31&lt;&gt;"Included Margin"),0,1),0))</f>
        <v/>
      </c>
      <c r="AE1103" s="159" t="str">
        <f>IF(E1103="","",IF(Summary!$D$26="Included Margin",IF(AND($B1103&gt;Input!$C$9,Summary!$D$31&lt;&gt;"Included Margin"),1,1/$R1103),1))</f>
        <v/>
      </c>
      <c r="AF1103" s="160" t="str">
        <f>IF(E1103="","",IF(AND($B1103&gt;=Input!$C$9,$C1103=12,Summary!$D$31="Included Margin",$U1103&gt;0),1/U1103-1,IF($B1103&gt;=Input!$C$9,0,Input!$C$45*IF(Summary!$D$27="Included Margin",1,0))))</f>
        <v/>
      </c>
      <c r="AG1103" s="160" t="str">
        <f>IF(E1103="","",Input!$C$46*IF(Summary!$D$28="Included Margin",IF(AND($B1103&gt;Input!$C$9,Summary!$D$31&lt;&gt;"Included Margin"),0,1),0))</f>
        <v/>
      </c>
      <c r="AH1103" s="158" t="str">
        <f>IF(E1103="","",Input!$C$47*IF(Summary!$D$29="Included Margin",IF(AND($B1103&gt;Input!$C$9,Summary!$D$31&lt;&gt;"Included Margin"),0,1),0))</f>
        <v/>
      </c>
      <c r="AI1103" s="154"/>
      <c r="AJ1103" s="158" t="str">
        <f t="shared" si="731"/>
        <v/>
      </c>
      <c r="AK1103" s="155" t="str">
        <f t="shared" si="732"/>
        <v/>
      </c>
      <c r="AL1103" s="147" t="str">
        <f t="shared" si="733"/>
        <v/>
      </c>
      <c r="AM1103" s="147" t="str">
        <f t="shared" si="718"/>
        <v/>
      </c>
      <c r="AN1103" s="160" t="str">
        <f t="shared" si="734"/>
        <v/>
      </c>
      <c r="AO1103" s="161" t="str">
        <f t="shared" si="735"/>
        <v/>
      </c>
      <c r="AP1103" s="156" t="str">
        <f t="shared" si="719"/>
        <v/>
      </c>
      <c r="AQ1103" s="152"/>
      <c r="AR1103" s="162" t="str">
        <f t="shared" si="720"/>
        <v/>
      </c>
      <c r="AS1103" s="150" t="str">
        <f t="shared" si="736"/>
        <v/>
      </c>
      <c r="AT1103" s="163" t="str">
        <f t="shared" si="721"/>
        <v/>
      </c>
      <c r="AU1103" s="163" t="str">
        <f t="shared" si="722"/>
        <v/>
      </c>
      <c r="AV1103" s="163" t="str">
        <f t="shared" si="737"/>
        <v/>
      </c>
      <c r="AW1103" s="163" t="str">
        <f t="shared" si="723"/>
        <v/>
      </c>
      <c r="AX1103" s="163" t="str">
        <f t="shared" si="724"/>
        <v/>
      </c>
      <c r="AY1103" s="164" t="str">
        <f t="shared" si="738"/>
        <v/>
      </c>
      <c r="AZ1103" s="164" t="str">
        <f>IF($E1103="","",IF(OR(AND($D1103=Input!$C$6,$C1103=12),$AN1103=1),0,-AS1104+AT1104+AU1104-AV1104-AW1104-AX1104+AZ1104))</f>
        <v/>
      </c>
      <c r="BA1103" s="154" t="str">
        <f t="shared" si="725"/>
        <v/>
      </c>
      <c r="BC1103" s="147" t="str">
        <f t="shared" si="739"/>
        <v/>
      </c>
      <c r="BD1103" s="164" t="str">
        <f>IF(AND($C1102=12,$D1102=Input!$C$6),0,IF($E1103="","",AT1103+(AU1103+BD1104)/(1+$AK1103)*MIN((1-AM1103-AN1103),1)))</f>
        <v/>
      </c>
      <c r="BE1103" s="164" t="str">
        <f t="shared" si="712"/>
        <v/>
      </c>
      <c r="BF1103" s="164" t="str">
        <f t="shared" si="740"/>
        <v/>
      </c>
      <c r="BG1103" s="164" t="str">
        <f t="shared" si="726"/>
        <v/>
      </c>
      <c r="BH1103" s="152"/>
      <c r="BI1103" s="162" t="str">
        <f t="shared" si="706"/>
        <v/>
      </c>
      <c r="BJ1103" s="150" t="str">
        <f t="shared" si="707"/>
        <v/>
      </c>
      <c r="BK1103" s="163" t="str">
        <f t="shared" si="745"/>
        <v/>
      </c>
      <c r="BL1103" s="163" t="str">
        <f t="shared" si="708"/>
        <v/>
      </c>
      <c r="BM1103" s="163" t="str">
        <f t="shared" si="746"/>
        <v/>
      </c>
      <c r="BN1103" s="163" t="str">
        <f t="shared" si="709"/>
        <v/>
      </c>
      <c r="BO1103" s="163" t="str">
        <f t="shared" si="710"/>
        <v/>
      </c>
      <c r="BP1103" s="164" t="str">
        <f t="shared" si="747"/>
        <v/>
      </c>
      <c r="BQ1103" s="164" t="str">
        <f t="shared" si="741"/>
        <v/>
      </c>
      <c r="BR1103" s="154" t="str">
        <f t="shared" si="711"/>
        <v/>
      </c>
      <c r="BT1103" s="147" t="str">
        <f t="shared" si="727"/>
        <v/>
      </c>
      <c r="BU1103" s="164" t="str">
        <f>IF(AND($C1102=12,$D1102=Input!$C$6),0,IF($E1103="","",BK1103+(BL1103+BU1104)/(1+$AK1103)*MIN((1-T1103-U1103),1)))</f>
        <v/>
      </c>
      <c r="BV1103" s="164" t="str">
        <f t="shared" si="728"/>
        <v/>
      </c>
      <c r="BW1103" s="164" t="str">
        <f t="shared" si="729"/>
        <v/>
      </c>
      <c r="BX1103" s="164" t="str">
        <f t="shared" si="730"/>
        <v/>
      </c>
    </row>
    <row r="1104" spans="1:76" s="150" customFormat="1" x14ac:dyDescent="0.25">
      <c r="A1104" s="150" t="str">
        <f t="shared" si="742"/>
        <v/>
      </c>
      <c r="B1104" s="150" t="str">
        <f t="shared" si="743"/>
        <v/>
      </c>
      <c r="C1104" s="150" t="str">
        <f t="shared" si="744"/>
        <v/>
      </c>
      <c r="D1104" s="150" t="str">
        <f>IF(E1104="","",Input!$C$4+B1104-1)</f>
        <v/>
      </c>
      <c r="E1104" s="150" t="str">
        <f>IF(OR(AND(C1103=12,D1103=Input!$C$6),E1103=""),"",1)</f>
        <v/>
      </c>
      <c r="F1104" s="150" t="str">
        <f>IF(E1104="","",Input!$C$8+B1104-1)</f>
        <v/>
      </c>
      <c r="G1104" s="151" t="str">
        <f>IF(E1104="","",MAX(0,Input!$C$9-B1104))</f>
        <v/>
      </c>
      <c r="H1104" s="152" t="str">
        <f>IF(E1104="","",Input!$C$3)</f>
        <v/>
      </c>
      <c r="I1104" s="153" t="str">
        <f>IF(E1104="","",HLOOKUP($B1104,Input!$C$13:$BT$14,2))</f>
        <v/>
      </c>
      <c r="J1104" s="154"/>
      <c r="K1104" s="155" t="str">
        <f>IF($E1104="","",INDEX(Input!$C$16:$CP$16,1,$B1104))</f>
        <v/>
      </c>
      <c r="L1104" s="155" t="str">
        <f>IF($E1104="","",Input!$C$37)</f>
        <v/>
      </c>
      <c r="M1104" s="155" t="str">
        <f t="shared" si="713"/>
        <v/>
      </c>
      <c r="N1104" s="155" t="str">
        <f t="shared" si="714"/>
        <v/>
      </c>
      <c r="O1104" s="147" t="str">
        <f>IF($E1104="","",MIN(VLOOKUP(IF($B1104&lt;=Input!$C$7,$B1104,26),'Mortality Tables'!$A$41:$CW$67,IF($B1104&lt;=Input!$C$7+1,Input!$C$4+2,$D1104-Input!$C$7+2),0)*IF(B1104&gt;20,Input!$C$22,1)/1000,1))</f>
        <v/>
      </c>
      <c r="P1104" s="147" t="str">
        <f>IF($E1104="","",MIN(VLOOKUP(IF($B1104&lt;=Input!$C$7,$B1104,26),'Mortality Tables'!$A$12:$CW$37,IF($B1104&lt;=Input!$C$7+1,Input!$C$4+2,$D1104-Input!$C$7+2),0)*IF(B1104&gt;20,Input!$C$22,1)/1000,1))</f>
        <v/>
      </c>
      <c r="Q1104" s="155" t="str">
        <f>IF($E1104="","",Input!$C$21)</f>
        <v/>
      </c>
      <c r="R1104" s="159" t="str">
        <f>IF($E1104="","",(1-Q1104)^($F1104-Input!$C$20))</f>
        <v/>
      </c>
      <c r="S1104" s="147" t="str">
        <f t="shared" si="716"/>
        <v/>
      </c>
      <c r="T1104" s="147" t="str">
        <f t="shared" si="717"/>
        <v/>
      </c>
      <c r="U1104" s="160" t="str">
        <f>IF($E1104="","",IF($C1104=12,INDEX(Input!$C$15:$CP$15,1,$B1104),0))</f>
        <v/>
      </c>
      <c r="V1104" s="150" t="str">
        <f>IF(E1104="","",IF(C1104=1,IF($B1104=1,Input!$C$33,Input!$C$34),0))</f>
        <v/>
      </c>
      <c r="W1104" s="156" t="str">
        <f>IF($E1104="","",Input!$C$35)</f>
        <v/>
      </c>
      <c r="X1104" s="156" t="str">
        <f t="shared" si="715"/>
        <v/>
      </c>
      <c r="Y1104" s="154"/>
      <c r="Z1104" s="147" t="str">
        <f>IF($E1104="","",VLOOKUP($D1104,'Mortality Margins &amp; Grading'!$AB$5:$AF$125,3,0)*IF(Summary!$D$25="Included Margin",IF(AND($B1104&gt;Input!$C$9,Summary!$D$31&lt;&gt;"Included Margin"),0,1),0))</f>
        <v/>
      </c>
      <c r="AA1104" s="147" t="str">
        <f>IF($E1104="","",VLOOKUP($D1104,'Mortality Margins &amp; Grading'!$AB$5:$AF$125,5,0)*IF(Summary!$D$25="Included Margin",IF(AND($B1104&gt;Input!$C$9,Summary!$D$31&lt;&gt;"Included Margin"),0,1),0))</f>
        <v/>
      </c>
      <c r="AB1104" s="147" t="str">
        <f>IF($E1104="","",IF(AND($B1104&gt;Input!$C$9,Summary!$D$31&lt;&gt;"Included Margin"),1,IF(Summary!$D$25="Included Margin",VLOOKUP($B1104,'Mortality Margins &amp; Grading'!$AI$5:$AR$125,MATCH('Mortality Margins &amp; Grading'!$AQ$4,'Mortality Margins &amp; Grading'!$AI$4:$AR$4,0),0),1)))</f>
        <v/>
      </c>
      <c r="AC1104" s="154"/>
      <c r="AD1104" s="158" t="str">
        <f>IF(E1104="","",Input!$C$48*IF(Summary!$D$30="Included Margin",IF(AND($B1104&gt;Input!$C$9,Summary!$D$31&lt;&gt;"Included Margin"),0,1),0))</f>
        <v/>
      </c>
      <c r="AE1104" s="159" t="str">
        <f>IF(E1104="","",IF(Summary!$D$26="Included Margin",IF(AND($B1104&gt;Input!$C$9,Summary!$D$31&lt;&gt;"Included Margin"),1,1/$R1104),1))</f>
        <v/>
      </c>
      <c r="AF1104" s="160" t="str">
        <f>IF(E1104="","",IF(AND($B1104&gt;=Input!$C$9,$C1104=12,Summary!$D$31="Included Margin",$U1104&gt;0),1/U1104-1,IF($B1104&gt;=Input!$C$9,0,Input!$C$45*IF(Summary!$D$27="Included Margin",1,0))))</f>
        <v/>
      </c>
      <c r="AG1104" s="160" t="str">
        <f>IF(E1104="","",Input!$C$46*IF(Summary!$D$28="Included Margin",IF(AND($B1104&gt;Input!$C$9,Summary!$D$31&lt;&gt;"Included Margin"),0,1),0))</f>
        <v/>
      </c>
      <c r="AH1104" s="158" t="str">
        <f>IF(E1104="","",Input!$C$47*IF(Summary!$D$29="Included Margin",IF(AND($B1104&gt;Input!$C$9,Summary!$D$31&lt;&gt;"Included Margin"),0,1),0))</f>
        <v/>
      </c>
      <c r="AI1104" s="154"/>
      <c r="AJ1104" s="158" t="str">
        <f t="shared" si="731"/>
        <v/>
      </c>
      <c r="AK1104" s="155" t="str">
        <f t="shared" si="732"/>
        <v/>
      </c>
      <c r="AL1104" s="147" t="str">
        <f t="shared" si="733"/>
        <v/>
      </c>
      <c r="AM1104" s="147" t="str">
        <f t="shared" si="718"/>
        <v/>
      </c>
      <c r="AN1104" s="160" t="str">
        <f t="shared" si="734"/>
        <v/>
      </c>
      <c r="AO1104" s="161" t="str">
        <f t="shared" si="735"/>
        <v/>
      </c>
      <c r="AP1104" s="156" t="str">
        <f t="shared" si="719"/>
        <v/>
      </c>
      <c r="AQ1104" s="152"/>
      <c r="AR1104" s="162" t="str">
        <f t="shared" si="720"/>
        <v/>
      </c>
      <c r="AS1104" s="150" t="str">
        <f t="shared" si="736"/>
        <v/>
      </c>
      <c r="AT1104" s="163" t="str">
        <f t="shared" si="721"/>
        <v/>
      </c>
      <c r="AU1104" s="163" t="str">
        <f t="shared" si="722"/>
        <v/>
      </c>
      <c r="AV1104" s="163" t="str">
        <f t="shared" si="737"/>
        <v/>
      </c>
      <c r="AW1104" s="163" t="str">
        <f t="shared" si="723"/>
        <v/>
      </c>
      <c r="AX1104" s="163" t="str">
        <f t="shared" si="724"/>
        <v/>
      </c>
      <c r="AY1104" s="165" t="str">
        <f t="shared" si="738"/>
        <v/>
      </c>
      <c r="AZ1104" s="164" t="str">
        <f>IF($E1104="","",IF(OR(AND($D1104=Input!$C$6,$C1104=12),$AN1104=1),0,-AS1105+AT1105+AU1105-AV1105-AW1105-AX1105+AZ1105))</f>
        <v/>
      </c>
      <c r="BA1104" s="154" t="str">
        <f t="shared" si="725"/>
        <v/>
      </c>
      <c r="BC1104" s="147" t="str">
        <f t="shared" si="739"/>
        <v/>
      </c>
      <c r="BD1104" s="164" t="str">
        <f>IF(AND($C1103=12,$D1103=Input!$C$6),0,IF($E1104="","",AT1104+(AU1104+BD1105)/(1+$AK1104)*MIN((1-AM1104-AN1104),1)))</f>
        <v/>
      </c>
      <c r="BE1104" s="164" t="str">
        <f t="shared" si="712"/>
        <v/>
      </c>
      <c r="BF1104" s="164" t="str">
        <f t="shared" si="740"/>
        <v/>
      </c>
      <c r="BG1104" s="164" t="str">
        <f t="shared" si="726"/>
        <v/>
      </c>
      <c r="BH1104" s="152"/>
      <c r="BI1104" s="162" t="str">
        <f t="shared" si="706"/>
        <v/>
      </c>
      <c r="BJ1104" s="150" t="str">
        <f t="shared" si="707"/>
        <v/>
      </c>
      <c r="BK1104" s="163" t="str">
        <f t="shared" si="745"/>
        <v/>
      </c>
      <c r="BL1104" s="163" t="str">
        <f t="shared" si="708"/>
        <v/>
      </c>
      <c r="BM1104" s="163" t="str">
        <f t="shared" si="746"/>
        <v/>
      </c>
      <c r="BN1104" s="163" t="str">
        <f t="shared" si="709"/>
        <v/>
      </c>
      <c r="BO1104" s="163" t="str">
        <f t="shared" si="710"/>
        <v/>
      </c>
      <c r="BP1104" s="164" t="str">
        <f t="shared" si="747"/>
        <v/>
      </c>
      <c r="BQ1104" s="164" t="str">
        <f t="shared" si="741"/>
        <v/>
      </c>
      <c r="BR1104" s="154" t="str">
        <f t="shared" si="711"/>
        <v/>
      </c>
      <c r="BT1104" s="147" t="str">
        <f t="shared" si="727"/>
        <v/>
      </c>
      <c r="BU1104" s="164" t="str">
        <f>IF(AND($C1103=12,$D1103=Input!$C$6),0,IF($E1104="","",BK1104+(BL1104+BU1105)/(1+$AK1104)*MIN((1-T1104-U1104),1)))</f>
        <v/>
      </c>
      <c r="BV1104" s="164" t="str">
        <f t="shared" si="728"/>
        <v/>
      </c>
      <c r="BW1104" s="164" t="str">
        <f t="shared" si="729"/>
        <v/>
      </c>
      <c r="BX1104" s="164" t="str">
        <f t="shared" si="730"/>
        <v/>
      </c>
    </row>
    <row r="1105" spans="1:76" s="150" customFormat="1" x14ac:dyDescent="0.25">
      <c r="A1105" s="150" t="str">
        <f t="shared" si="742"/>
        <v/>
      </c>
      <c r="B1105" s="150" t="str">
        <f t="shared" si="743"/>
        <v/>
      </c>
      <c r="C1105" s="150" t="str">
        <f t="shared" si="744"/>
        <v/>
      </c>
      <c r="D1105" s="150" t="str">
        <f>IF(E1105="","",Input!$C$4+B1105-1)</f>
        <v/>
      </c>
      <c r="E1105" s="150" t="str">
        <f>IF(OR(AND(C1104=12,D1104=Input!$C$6),E1104=""),"",1)</f>
        <v/>
      </c>
      <c r="F1105" s="150" t="str">
        <f>IF(E1105="","",Input!$C$8+B1105-1)</f>
        <v/>
      </c>
      <c r="G1105" s="151" t="str">
        <f>IF(E1105="","",MAX(0,Input!$C$9-B1105))</f>
        <v/>
      </c>
      <c r="H1105" s="152" t="str">
        <f>IF(E1105="","",Input!$C$3)</f>
        <v/>
      </c>
      <c r="I1105" s="153" t="str">
        <f>IF(E1105="","",HLOOKUP($B1105,Input!$C$13:$BT$14,2))</f>
        <v/>
      </c>
      <c r="J1105" s="154"/>
      <c r="K1105" s="155" t="str">
        <f>IF($E1105="","",INDEX(Input!$C$16:$CP$16,1,$B1105))</f>
        <v/>
      </c>
      <c r="L1105" s="155" t="str">
        <f>IF($E1105="","",Input!$C$37)</f>
        <v/>
      </c>
      <c r="M1105" s="155" t="str">
        <f t="shared" si="713"/>
        <v/>
      </c>
      <c r="N1105" s="155" t="str">
        <f t="shared" si="714"/>
        <v/>
      </c>
      <c r="O1105" s="147" t="str">
        <f>IF($E1105="","",MIN(VLOOKUP(IF($B1105&lt;=Input!$C$7,$B1105,26),'Mortality Tables'!$A$41:$CW$67,IF($B1105&lt;=Input!$C$7+1,Input!$C$4+2,$D1105-Input!$C$7+2),0)*IF(B1105&gt;20,Input!$C$22,1)/1000,1))</f>
        <v/>
      </c>
      <c r="P1105" s="147" t="str">
        <f>IF($E1105="","",MIN(VLOOKUP(IF($B1105&lt;=Input!$C$7,$B1105,26),'Mortality Tables'!$A$12:$CW$37,IF($B1105&lt;=Input!$C$7+1,Input!$C$4+2,$D1105-Input!$C$7+2),0)*IF(B1105&gt;20,Input!$C$22,1)/1000,1))</f>
        <v/>
      </c>
      <c r="Q1105" s="155" t="str">
        <f>IF($E1105="","",Input!$C$21)</f>
        <v/>
      </c>
      <c r="R1105" s="159" t="str">
        <f>IF($E1105="","",(1-Q1105)^($F1105-Input!$C$20))</f>
        <v/>
      </c>
      <c r="S1105" s="147" t="str">
        <f t="shared" si="716"/>
        <v/>
      </c>
      <c r="T1105" s="147" t="str">
        <f t="shared" si="717"/>
        <v/>
      </c>
      <c r="U1105" s="160" t="str">
        <f>IF($E1105="","",IF($C1105=12,INDEX(Input!$C$15:$CP$15,1,$B1105),0))</f>
        <v/>
      </c>
      <c r="V1105" s="150" t="str">
        <f>IF(E1105="","",IF(C1105=1,IF($B1105=1,Input!$C$33,Input!$C$34),0))</f>
        <v/>
      </c>
      <c r="W1105" s="156" t="str">
        <f>IF($E1105="","",Input!$C$35)</f>
        <v/>
      </c>
      <c r="X1105" s="156" t="str">
        <f t="shared" si="715"/>
        <v/>
      </c>
      <c r="Y1105" s="154"/>
      <c r="Z1105" s="147" t="str">
        <f>IF($E1105="","",VLOOKUP($D1105,'Mortality Margins &amp; Grading'!$AB$5:$AF$125,3,0)*IF(Summary!$D$25="Included Margin",IF(AND($B1105&gt;Input!$C$9,Summary!$D$31&lt;&gt;"Included Margin"),0,1),0))</f>
        <v/>
      </c>
      <c r="AA1105" s="147" t="str">
        <f>IF($E1105="","",VLOOKUP($D1105,'Mortality Margins &amp; Grading'!$AB$5:$AF$125,5,0)*IF(Summary!$D$25="Included Margin",IF(AND($B1105&gt;Input!$C$9,Summary!$D$31&lt;&gt;"Included Margin"),0,1),0))</f>
        <v/>
      </c>
      <c r="AB1105" s="147" t="str">
        <f>IF($E1105="","",IF(AND($B1105&gt;Input!$C$9,Summary!$D$31&lt;&gt;"Included Margin"),1,IF(Summary!$D$25="Included Margin",VLOOKUP($B1105,'Mortality Margins &amp; Grading'!$AI$5:$AR$125,MATCH('Mortality Margins &amp; Grading'!$AQ$4,'Mortality Margins &amp; Grading'!$AI$4:$AR$4,0),0),1)))</f>
        <v/>
      </c>
      <c r="AC1105" s="154"/>
      <c r="AD1105" s="158" t="str">
        <f>IF(E1105="","",Input!$C$48*IF(Summary!$D$30="Included Margin",IF(AND($B1105&gt;Input!$C$9,Summary!$D$31&lt;&gt;"Included Margin"),0,1),0))</f>
        <v/>
      </c>
      <c r="AE1105" s="159" t="str">
        <f>IF(E1105="","",IF(Summary!$D$26="Included Margin",IF(AND($B1105&gt;Input!$C$9,Summary!$D$31&lt;&gt;"Included Margin"),1,1/$R1105),1))</f>
        <v/>
      </c>
      <c r="AF1105" s="160" t="str">
        <f>IF(E1105="","",IF(AND($B1105&gt;=Input!$C$9,$C1105=12,Summary!$D$31="Included Margin",$U1105&gt;0),1/U1105-1,IF($B1105&gt;=Input!$C$9,0,Input!$C$45*IF(Summary!$D$27="Included Margin",1,0))))</f>
        <v/>
      </c>
      <c r="AG1105" s="160" t="str">
        <f>IF(E1105="","",Input!$C$46*IF(Summary!$D$28="Included Margin",IF(AND($B1105&gt;Input!$C$9,Summary!$D$31&lt;&gt;"Included Margin"),0,1),0))</f>
        <v/>
      </c>
      <c r="AH1105" s="158" t="str">
        <f>IF(E1105="","",Input!$C$47*IF(Summary!$D$29="Included Margin",IF(AND($B1105&gt;Input!$C$9,Summary!$D$31&lt;&gt;"Included Margin"),0,1),0))</f>
        <v/>
      </c>
      <c r="AI1105" s="154"/>
      <c r="AJ1105" s="158" t="str">
        <f t="shared" si="731"/>
        <v/>
      </c>
      <c r="AK1105" s="155" t="str">
        <f t="shared" si="732"/>
        <v/>
      </c>
      <c r="AL1105" s="147" t="str">
        <f t="shared" si="733"/>
        <v/>
      </c>
      <c r="AM1105" s="147" t="str">
        <f t="shared" si="718"/>
        <v/>
      </c>
      <c r="AN1105" s="160" t="str">
        <f t="shared" si="734"/>
        <v/>
      </c>
      <c r="AO1105" s="161" t="str">
        <f t="shared" si="735"/>
        <v/>
      </c>
      <c r="AP1105" s="156" t="str">
        <f t="shared" si="719"/>
        <v/>
      </c>
      <c r="AQ1105" s="152"/>
      <c r="AR1105" s="162" t="str">
        <f t="shared" si="720"/>
        <v/>
      </c>
      <c r="AS1105" s="150" t="str">
        <f t="shared" si="736"/>
        <v/>
      </c>
      <c r="AT1105" s="163" t="str">
        <f t="shared" si="721"/>
        <v/>
      </c>
      <c r="AU1105" s="163" t="str">
        <f t="shared" si="722"/>
        <v/>
      </c>
      <c r="AV1105" s="163" t="str">
        <f t="shared" si="737"/>
        <v/>
      </c>
      <c r="AW1105" s="163" t="str">
        <f t="shared" si="723"/>
        <v/>
      </c>
      <c r="AX1105" s="163" t="str">
        <f t="shared" si="724"/>
        <v/>
      </c>
      <c r="AY1105" s="164" t="str">
        <f t="shared" si="738"/>
        <v/>
      </c>
      <c r="AZ1105" s="164" t="str">
        <f>IF($E1105="","",IF(OR(AND($D1105=Input!$C$6,$C1105=12),$AN1105=1),0,-AS1106+AT1106+AU1106-AV1106-AW1106-AX1106+AZ1106))</f>
        <v/>
      </c>
      <c r="BA1105" s="154" t="str">
        <f t="shared" si="725"/>
        <v/>
      </c>
      <c r="BC1105" s="147" t="str">
        <f t="shared" si="739"/>
        <v/>
      </c>
      <c r="BD1105" s="164" t="str">
        <f>IF(AND($C1104=12,$D1104=Input!$C$6),0,IF($E1105="","",AT1105+(AU1105+BD1106)/(1+$AK1105)*MIN((1-AM1105-AN1105),1)))</f>
        <v/>
      </c>
      <c r="BE1105" s="164" t="str">
        <f t="shared" si="712"/>
        <v/>
      </c>
      <c r="BF1105" s="164" t="str">
        <f t="shared" si="740"/>
        <v/>
      </c>
      <c r="BG1105" s="164" t="str">
        <f t="shared" si="726"/>
        <v/>
      </c>
      <c r="BH1105" s="152"/>
      <c r="BI1105" s="162" t="str">
        <f t="shared" si="706"/>
        <v/>
      </c>
      <c r="BJ1105" s="150" t="str">
        <f t="shared" si="707"/>
        <v/>
      </c>
      <c r="BK1105" s="163" t="str">
        <f t="shared" si="745"/>
        <v/>
      </c>
      <c r="BL1105" s="163" t="str">
        <f t="shared" si="708"/>
        <v/>
      </c>
      <c r="BM1105" s="163" t="str">
        <f t="shared" si="746"/>
        <v/>
      </c>
      <c r="BN1105" s="163" t="str">
        <f t="shared" si="709"/>
        <v/>
      </c>
      <c r="BO1105" s="163" t="str">
        <f t="shared" si="710"/>
        <v/>
      </c>
      <c r="BP1105" s="164" t="str">
        <f t="shared" si="747"/>
        <v/>
      </c>
      <c r="BQ1105" s="164" t="str">
        <f t="shared" si="741"/>
        <v/>
      </c>
      <c r="BR1105" s="154" t="str">
        <f t="shared" si="711"/>
        <v/>
      </c>
      <c r="BT1105" s="147" t="str">
        <f t="shared" si="727"/>
        <v/>
      </c>
      <c r="BU1105" s="164" t="str">
        <f>IF(AND($C1104=12,$D1104=Input!$C$6),0,IF($E1105="","",BK1105+(BL1105+BU1106)/(1+$AK1105)*MIN((1-T1105-U1105),1)))</f>
        <v/>
      </c>
      <c r="BV1105" s="164" t="str">
        <f t="shared" si="728"/>
        <v/>
      </c>
      <c r="BW1105" s="164" t="str">
        <f t="shared" si="729"/>
        <v/>
      </c>
      <c r="BX1105" s="164" t="str">
        <f t="shared" si="730"/>
        <v/>
      </c>
    </row>
    <row r="1106" spans="1:76" s="150" customFormat="1" x14ac:dyDescent="0.25">
      <c r="A1106" s="150" t="str">
        <f t="shared" si="742"/>
        <v/>
      </c>
      <c r="B1106" s="150" t="str">
        <f t="shared" si="743"/>
        <v/>
      </c>
      <c r="C1106" s="150" t="str">
        <f t="shared" si="744"/>
        <v/>
      </c>
      <c r="D1106" s="150" t="str">
        <f>IF(E1106="","",Input!$C$4+B1106-1)</f>
        <v/>
      </c>
      <c r="E1106" s="150" t="str">
        <f>IF(OR(AND(C1105=12,D1105=Input!$C$6),E1105=""),"",1)</f>
        <v/>
      </c>
      <c r="F1106" s="150" t="str">
        <f>IF(E1106="","",Input!$C$8+B1106-1)</f>
        <v/>
      </c>
      <c r="G1106" s="151" t="str">
        <f>IF(E1106="","",MAX(0,Input!$C$9-B1106))</f>
        <v/>
      </c>
      <c r="H1106" s="152" t="str">
        <f>IF(E1106="","",Input!$C$3)</f>
        <v/>
      </c>
      <c r="I1106" s="153" t="str">
        <f>IF(E1106="","",HLOOKUP($B1106,Input!$C$13:$BT$14,2))</f>
        <v/>
      </c>
      <c r="J1106" s="154"/>
      <c r="K1106" s="155" t="str">
        <f>IF($E1106="","",INDEX(Input!$C$16:$CP$16,1,$B1106))</f>
        <v/>
      </c>
      <c r="L1106" s="155" t="str">
        <f>IF($E1106="","",Input!$C$37)</f>
        <v/>
      </c>
      <c r="M1106" s="155" t="str">
        <f t="shared" si="713"/>
        <v/>
      </c>
      <c r="N1106" s="155" t="str">
        <f t="shared" si="714"/>
        <v/>
      </c>
      <c r="O1106" s="147" t="str">
        <f>IF($E1106="","",MIN(VLOOKUP(IF($B1106&lt;=Input!$C$7,$B1106,26),'Mortality Tables'!$A$41:$CW$67,IF($B1106&lt;=Input!$C$7+1,Input!$C$4+2,$D1106-Input!$C$7+2),0)*IF(B1106&gt;20,Input!$C$22,1)/1000,1))</f>
        <v/>
      </c>
      <c r="P1106" s="147" t="str">
        <f>IF($E1106="","",MIN(VLOOKUP(IF($B1106&lt;=Input!$C$7,$B1106,26),'Mortality Tables'!$A$12:$CW$37,IF($B1106&lt;=Input!$C$7+1,Input!$C$4+2,$D1106-Input!$C$7+2),0)*IF(B1106&gt;20,Input!$C$22,1)/1000,1))</f>
        <v/>
      </c>
      <c r="Q1106" s="155" t="str">
        <f>IF($E1106="","",Input!$C$21)</f>
        <v/>
      </c>
      <c r="R1106" s="159" t="str">
        <f>IF($E1106="","",(1-Q1106)^($F1106-Input!$C$20))</f>
        <v/>
      </c>
      <c r="S1106" s="147" t="str">
        <f t="shared" si="716"/>
        <v/>
      </c>
      <c r="T1106" s="147" t="str">
        <f t="shared" si="717"/>
        <v/>
      </c>
      <c r="U1106" s="160" t="str">
        <f>IF($E1106="","",IF($C1106=12,INDEX(Input!$C$15:$CP$15,1,$B1106),0))</f>
        <v/>
      </c>
      <c r="V1106" s="150" t="str">
        <f>IF(E1106="","",IF(C1106=1,IF($B1106=1,Input!$C$33,Input!$C$34),0))</f>
        <v/>
      </c>
      <c r="W1106" s="156" t="str">
        <f>IF($E1106="","",Input!$C$35)</f>
        <v/>
      </c>
      <c r="X1106" s="156" t="str">
        <f t="shared" si="715"/>
        <v/>
      </c>
      <c r="Y1106" s="154"/>
      <c r="Z1106" s="147" t="str">
        <f>IF($E1106="","",VLOOKUP($D1106,'Mortality Margins &amp; Grading'!$AB$5:$AF$125,3,0)*IF(Summary!$D$25="Included Margin",IF(AND($B1106&gt;Input!$C$9,Summary!$D$31&lt;&gt;"Included Margin"),0,1),0))</f>
        <v/>
      </c>
      <c r="AA1106" s="147" t="str">
        <f>IF($E1106="","",VLOOKUP($D1106,'Mortality Margins &amp; Grading'!$AB$5:$AF$125,5,0)*IF(Summary!$D$25="Included Margin",IF(AND($B1106&gt;Input!$C$9,Summary!$D$31&lt;&gt;"Included Margin"),0,1),0))</f>
        <v/>
      </c>
      <c r="AB1106" s="147" t="str">
        <f>IF($E1106="","",IF(AND($B1106&gt;Input!$C$9,Summary!$D$31&lt;&gt;"Included Margin"),1,IF(Summary!$D$25="Included Margin",VLOOKUP($B1106,'Mortality Margins &amp; Grading'!$AI$5:$AR$125,MATCH('Mortality Margins &amp; Grading'!$AQ$4,'Mortality Margins &amp; Grading'!$AI$4:$AR$4,0),0),1)))</f>
        <v/>
      </c>
      <c r="AC1106" s="154"/>
      <c r="AD1106" s="158" t="str">
        <f>IF(E1106="","",Input!$C$48*IF(Summary!$D$30="Included Margin",IF(AND($B1106&gt;Input!$C$9,Summary!$D$31&lt;&gt;"Included Margin"),0,1),0))</f>
        <v/>
      </c>
      <c r="AE1106" s="159" t="str">
        <f>IF(E1106="","",IF(Summary!$D$26="Included Margin",IF(AND($B1106&gt;Input!$C$9,Summary!$D$31&lt;&gt;"Included Margin"),1,1/$R1106),1))</f>
        <v/>
      </c>
      <c r="AF1106" s="160" t="str">
        <f>IF(E1106="","",IF(AND($B1106&gt;=Input!$C$9,$C1106=12,Summary!$D$31="Included Margin",$U1106&gt;0),1/U1106-1,IF($B1106&gt;=Input!$C$9,0,Input!$C$45*IF(Summary!$D$27="Included Margin",1,0))))</f>
        <v/>
      </c>
      <c r="AG1106" s="160" t="str">
        <f>IF(E1106="","",Input!$C$46*IF(Summary!$D$28="Included Margin",IF(AND($B1106&gt;Input!$C$9,Summary!$D$31&lt;&gt;"Included Margin"),0,1),0))</f>
        <v/>
      </c>
      <c r="AH1106" s="158" t="str">
        <f>IF(E1106="","",Input!$C$47*IF(Summary!$D$29="Included Margin",IF(AND($B1106&gt;Input!$C$9,Summary!$D$31&lt;&gt;"Included Margin"),0,1),0))</f>
        <v/>
      </c>
      <c r="AI1106" s="154"/>
      <c r="AJ1106" s="158" t="str">
        <f t="shared" si="731"/>
        <v/>
      </c>
      <c r="AK1106" s="155" t="str">
        <f t="shared" si="732"/>
        <v/>
      </c>
      <c r="AL1106" s="147" t="str">
        <f t="shared" si="733"/>
        <v/>
      </c>
      <c r="AM1106" s="147" t="str">
        <f t="shared" si="718"/>
        <v/>
      </c>
      <c r="AN1106" s="160" t="str">
        <f t="shared" si="734"/>
        <v/>
      </c>
      <c r="AO1106" s="161" t="str">
        <f t="shared" si="735"/>
        <v/>
      </c>
      <c r="AP1106" s="156" t="str">
        <f t="shared" si="719"/>
        <v/>
      </c>
      <c r="AQ1106" s="152"/>
      <c r="AR1106" s="162" t="str">
        <f t="shared" si="720"/>
        <v/>
      </c>
      <c r="AS1106" s="150" t="str">
        <f t="shared" si="736"/>
        <v/>
      </c>
      <c r="AT1106" s="163" t="str">
        <f t="shared" si="721"/>
        <v/>
      </c>
      <c r="AU1106" s="163" t="str">
        <f t="shared" si="722"/>
        <v/>
      </c>
      <c r="AV1106" s="163" t="str">
        <f t="shared" si="737"/>
        <v/>
      </c>
      <c r="AW1106" s="163" t="str">
        <f t="shared" si="723"/>
        <v/>
      </c>
      <c r="AX1106" s="163" t="str">
        <f t="shared" si="724"/>
        <v/>
      </c>
      <c r="AY1106" s="165" t="str">
        <f t="shared" si="738"/>
        <v/>
      </c>
      <c r="AZ1106" s="164" t="str">
        <f>IF($E1106="","",IF(OR(AND($D1106=Input!$C$6,$C1106=12),$AN1106=1),0,-AS1107+AT1107+AU1107-AV1107-AW1107-AX1107+AZ1107))</f>
        <v/>
      </c>
      <c r="BA1106" s="154" t="str">
        <f t="shared" si="725"/>
        <v/>
      </c>
      <c r="BC1106" s="147" t="str">
        <f t="shared" si="739"/>
        <v/>
      </c>
      <c r="BD1106" s="164" t="str">
        <f>IF(AND($C1105=12,$D1105=Input!$C$6),0,IF($E1106="","",AT1106+(AU1106+BD1107)/(1+$AK1106)*MIN((1-AM1106-AN1106),1)))</f>
        <v/>
      </c>
      <c r="BE1106" s="164" t="str">
        <f t="shared" si="712"/>
        <v/>
      </c>
      <c r="BF1106" s="164" t="str">
        <f t="shared" si="740"/>
        <v/>
      </c>
      <c r="BG1106" s="164" t="str">
        <f t="shared" si="726"/>
        <v/>
      </c>
      <c r="BH1106" s="152"/>
      <c r="BI1106" s="162" t="str">
        <f t="shared" si="706"/>
        <v/>
      </c>
      <c r="BJ1106" s="150" t="str">
        <f t="shared" si="707"/>
        <v/>
      </c>
      <c r="BK1106" s="163" t="str">
        <f t="shared" si="745"/>
        <v/>
      </c>
      <c r="BL1106" s="163" t="str">
        <f t="shared" si="708"/>
        <v/>
      </c>
      <c r="BM1106" s="163" t="str">
        <f t="shared" si="746"/>
        <v/>
      </c>
      <c r="BN1106" s="163" t="str">
        <f t="shared" si="709"/>
        <v/>
      </c>
      <c r="BO1106" s="163" t="str">
        <f t="shared" si="710"/>
        <v/>
      </c>
      <c r="BP1106" s="164" t="str">
        <f t="shared" si="747"/>
        <v/>
      </c>
      <c r="BQ1106" s="164" t="str">
        <f t="shared" si="741"/>
        <v/>
      </c>
      <c r="BR1106" s="154" t="str">
        <f t="shared" si="711"/>
        <v/>
      </c>
      <c r="BT1106" s="147" t="str">
        <f t="shared" si="727"/>
        <v/>
      </c>
      <c r="BU1106" s="164" t="str">
        <f>IF(AND($C1105=12,$D1105=Input!$C$6),0,IF($E1106="","",BK1106+(BL1106+BU1107)/(1+$AK1106)*MIN((1-T1106-U1106),1)))</f>
        <v/>
      </c>
      <c r="BV1106" s="164" t="str">
        <f t="shared" si="728"/>
        <v/>
      </c>
      <c r="BW1106" s="164" t="str">
        <f t="shared" si="729"/>
        <v/>
      </c>
      <c r="BX1106" s="164" t="str">
        <f t="shared" si="730"/>
        <v/>
      </c>
    </row>
    <row r="1107" spans="1:76" s="150" customFormat="1" x14ac:dyDescent="0.25">
      <c r="A1107" s="150" t="str">
        <f t="shared" si="742"/>
        <v/>
      </c>
      <c r="B1107" s="150" t="str">
        <f t="shared" si="743"/>
        <v/>
      </c>
      <c r="C1107" s="150" t="str">
        <f t="shared" si="744"/>
        <v/>
      </c>
      <c r="D1107" s="150" t="str">
        <f>IF(E1107="","",Input!$C$4+B1107-1)</f>
        <v/>
      </c>
      <c r="E1107" s="150" t="str">
        <f>IF(OR(AND(C1106=12,D1106=Input!$C$6),E1106=""),"",1)</f>
        <v/>
      </c>
      <c r="F1107" s="150" t="str">
        <f>IF(E1107="","",Input!$C$8+B1107-1)</f>
        <v/>
      </c>
      <c r="G1107" s="151" t="str">
        <f>IF(E1107="","",MAX(0,Input!$C$9-B1107))</f>
        <v/>
      </c>
      <c r="H1107" s="152" t="str">
        <f>IF(E1107="","",Input!$C$3)</f>
        <v/>
      </c>
      <c r="I1107" s="153" t="str">
        <f>IF(E1107="","",HLOOKUP($B1107,Input!$C$13:$BT$14,2))</f>
        <v/>
      </c>
      <c r="J1107" s="154"/>
      <c r="K1107" s="155" t="str">
        <f>IF($E1107="","",INDEX(Input!$C$16:$CP$16,1,$B1107))</f>
        <v/>
      </c>
      <c r="L1107" s="155" t="str">
        <f>IF($E1107="","",Input!$C$37)</f>
        <v/>
      </c>
      <c r="M1107" s="155" t="str">
        <f t="shared" si="713"/>
        <v/>
      </c>
      <c r="N1107" s="155" t="str">
        <f t="shared" si="714"/>
        <v/>
      </c>
      <c r="O1107" s="147" t="str">
        <f>IF($E1107="","",MIN(VLOOKUP(IF($B1107&lt;=Input!$C$7,$B1107,26),'Mortality Tables'!$A$41:$CW$67,IF($B1107&lt;=Input!$C$7+1,Input!$C$4+2,$D1107-Input!$C$7+2),0)*IF(B1107&gt;20,Input!$C$22,1)/1000,1))</f>
        <v/>
      </c>
      <c r="P1107" s="147" t="str">
        <f>IF($E1107="","",MIN(VLOOKUP(IF($B1107&lt;=Input!$C$7,$B1107,26),'Mortality Tables'!$A$12:$CW$37,IF($B1107&lt;=Input!$C$7+1,Input!$C$4+2,$D1107-Input!$C$7+2),0)*IF(B1107&gt;20,Input!$C$22,1)/1000,1))</f>
        <v/>
      </c>
      <c r="Q1107" s="155" t="str">
        <f>IF($E1107="","",Input!$C$21)</f>
        <v/>
      </c>
      <c r="R1107" s="159" t="str">
        <f>IF($E1107="","",(1-Q1107)^($F1107-Input!$C$20))</f>
        <v/>
      </c>
      <c r="S1107" s="147" t="str">
        <f t="shared" si="716"/>
        <v/>
      </c>
      <c r="T1107" s="147" t="str">
        <f t="shared" si="717"/>
        <v/>
      </c>
      <c r="U1107" s="160" t="str">
        <f>IF($E1107="","",IF($C1107=12,INDEX(Input!$C$15:$CP$15,1,$B1107),0))</f>
        <v/>
      </c>
      <c r="V1107" s="150" t="str">
        <f>IF(E1107="","",IF(C1107=1,IF($B1107=1,Input!$C$33,Input!$C$34),0))</f>
        <v/>
      </c>
      <c r="W1107" s="156" t="str">
        <f>IF($E1107="","",Input!$C$35)</f>
        <v/>
      </c>
      <c r="X1107" s="156" t="str">
        <f t="shared" si="715"/>
        <v/>
      </c>
      <c r="Y1107" s="154"/>
      <c r="Z1107" s="147" t="str">
        <f>IF($E1107="","",VLOOKUP($D1107,'Mortality Margins &amp; Grading'!$AB$5:$AF$125,3,0)*IF(Summary!$D$25="Included Margin",IF(AND($B1107&gt;Input!$C$9,Summary!$D$31&lt;&gt;"Included Margin"),0,1),0))</f>
        <v/>
      </c>
      <c r="AA1107" s="147" t="str">
        <f>IF($E1107="","",VLOOKUP($D1107,'Mortality Margins &amp; Grading'!$AB$5:$AF$125,5,0)*IF(Summary!$D$25="Included Margin",IF(AND($B1107&gt;Input!$C$9,Summary!$D$31&lt;&gt;"Included Margin"),0,1),0))</f>
        <v/>
      </c>
      <c r="AB1107" s="147" t="str">
        <f>IF($E1107="","",IF(AND($B1107&gt;Input!$C$9,Summary!$D$31&lt;&gt;"Included Margin"),1,IF(Summary!$D$25="Included Margin",VLOOKUP($B1107,'Mortality Margins &amp; Grading'!$AI$5:$AR$125,MATCH('Mortality Margins &amp; Grading'!$AQ$4,'Mortality Margins &amp; Grading'!$AI$4:$AR$4,0),0),1)))</f>
        <v/>
      </c>
      <c r="AC1107" s="154"/>
      <c r="AD1107" s="158" t="str">
        <f>IF(E1107="","",Input!$C$48*IF(Summary!$D$30="Included Margin",IF(AND($B1107&gt;Input!$C$9,Summary!$D$31&lt;&gt;"Included Margin"),0,1),0))</f>
        <v/>
      </c>
      <c r="AE1107" s="159" t="str">
        <f>IF(E1107="","",IF(Summary!$D$26="Included Margin",IF(AND($B1107&gt;Input!$C$9,Summary!$D$31&lt;&gt;"Included Margin"),1,1/$R1107),1))</f>
        <v/>
      </c>
      <c r="AF1107" s="160" t="str">
        <f>IF(E1107="","",IF(AND($B1107&gt;=Input!$C$9,$C1107=12,Summary!$D$31="Included Margin",$U1107&gt;0),1/U1107-1,IF($B1107&gt;=Input!$C$9,0,Input!$C$45*IF(Summary!$D$27="Included Margin",1,0))))</f>
        <v/>
      </c>
      <c r="AG1107" s="160" t="str">
        <f>IF(E1107="","",Input!$C$46*IF(Summary!$D$28="Included Margin",IF(AND($B1107&gt;Input!$C$9,Summary!$D$31&lt;&gt;"Included Margin"),0,1),0))</f>
        <v/>
      </c>
      <c r="AH1107" s="158" t="str">
        <f>IF(E1107="","",Input!$C$47*IF(Summary!$D$29="Included Margin",IF(AND($B1107&gt;Input!$C$9,Summary!$D$31&lt;&gt;"Included Margin"),0,1),0))</f>
        <v/>
      </c>
      <c r="AI1107" s="154"/>
      <c r="AJ1107" s="158" t="str">
        <f t="shared" si="731"/>
        <v/>
      </c>
      <c r="AK1107" s="155" t="str">
        <f t="shared" si="732"/>
        <v/>
      </c>
      <c r="AL1107" s="147" t="str">
        <f t="shared" si="733"/>
        <v/>
      </c>
      <c r="AM1107" s="147" t="str">
        <f t="shared" si="718"/>
        <v/>
      </c>
      <c r="AN1107" s="160" t="str">
        <f t="shared" si="734"/>
        <v/>
      </c>
      <c r="AO1107" s="161" t="str">
        <f t="shared" si="735"/>
        <v/>
      </c>
      <c r="AP1107" s="156" t="str">
        <f t="shared" si="719"/>
        <v/>
      </c>
      <c r="AQ1107" s="152"/>
      <c r="AR1107" s="162" t="str">
        <f t="shared" si="720"/>
        <v/>
      </c>
      <c r="AS1107" s="150" t="str">
        <f t="shared" si="736"/>
        <v/>
      </c>
      <c r="AT1107" s="163" t="str">
        <f t="shared" si="721"/>
        <v/>
      </c>
      <c r="AU1107" s="163" t="str">
        <f t="shared" si="722"/>
        <v/>
      </c>
      <c r="AV1107" s="163" t="str">
        <f t="shared" si="737"/>
        <v/>
      </c>
      <c r="AW1107" s="163" t="str">
        <f t="shared" si="723"/>
        <v/>
      </c>
      <c r="AX1107" s="163" t="str">
        <f t="shared" si="724"/>
        <v/>
      </c>
      <c r="AY1107" s="164" t="str">
        <f t="shared" si="738"/>
        <v/>
      </c>
      <c r="AZ1107" s="164" t="str">
        <f>IF($E1107="","",IF(OR(AND($D1107=Input!$C$6,$C1107=12),$AN1107=1),0,-AS1108+AT1108+AU1108-AV1108-AW1108-AX1108+AZ1108))</f>
        <v/>
      </c>
      <c r="BA1107" s="154" t="str">
        <f t="shared" si="725"/>
        <v/>
      </c>
      <c r="BC1107" s="147" t="str">
        <f t="shared" si="739"/>
        <v/>
      </c>
      <c r="BD1107" s="164" t="str">
        <f>IF(AND($C1106=12,$D1106=Input!$C$6),0,IF($E1107="","",AT1107+(AU1107+BD1108)/(1+$AK1107)*MIN((1-AM1107-AN1107),1)))</f>
        <v/>
      </c>
      <c r="BE1107" s="164" t="str">
        <f t="shared" si="712"/>
        <v/>
      </c>
      <c r="BF1107" s="164" t="str">
        <f t="shared" si="740"/>
        <v/>
      </c>
      <c r="BG1107" s="164" t="str">
        <f t="shared" si="726"/>
        <v/>
      </c>
      <c r="BH1107" s="152"/>
      <c r="BI1107" s="162" t="str">
        <f t="shared" si="706"/>
        <v/>
      </c>
      <c r="BJ1107" s="150" t="str">
        <f t="shared" si="707"/>
        <v/>
      </c>
      <c r="BK1107" s="163" t="str">
        <f t="shared" si="745"/>
        <v/>
      </c>
      <c r="BL1107" s="163" t="str">
        <f t="shared" si="708"/>
        <v/>
      </c>
      <c r="BM1107" s="163" t="str">
        <f t="shared" si="746"/>
        <v/>
      </c>
      <c r="BN1107" s="163" t="str">
        <f t="shared" si="709"/>
        <v/>
      </c>
      <c r="BO1107" s="163" t="str">
        <f t="shared" si="710"/>
        <v/>
      </c>
      <c r="BP1107" s="164" t="str">
        <f t="shared" si="747"/>
        <v/>
      </c>
      <c r="BQ1107" s="164" t="str">
        <f t="shared" si="741"/>
        <v/>
      </c>
      <c r="BR1107" s="154" t="str">
        <f t="shared" si="711"/>
        <v/>
      </c>
      <c r="BT1107" s="147" t="str">
        <f t="shared" si="727"/>
        <v/>
      </c>
      <c r="BU1107" s="164" t="str">
        <f>IF(AND($C1106=12,$D1106=Input!$C$6),0,IF($E1107="","",BK1107+(BL1107+BU1108)/(1+$AK1107)*MIN((1-T1107-U1107),1)))</f>
        <v/>
      </c>
      <c r="BV1107" s="164" t="str">
        <f t="shared" si="728"/>
        <v/>
      </c>
      <c r="BW1107" s="164" t="str">
        <f t="shared" si="729"/>
        <v/>
      </c>
      <c r="BX1107" s="164" t="str">
        <f t="shared" si="730"/>
        <v/>
      </c>
    </row>
    <row r="1108" spans="1:76" s="150" customFormat="1" x14ac:dyDescent="0.25">
      <c r="A1108" s="150" t="str">
        <f t="shared" si="742"/>
        <v/>
      </c>
      <c r="B1108" s="150" t="str">
        <f t="shared" si="743"/>
        <v/>
      </c>
      <c r="C1108" s="150" t="str">
        <f t="shared" si="744"/>
        <v/>
      </c>
      <c r="D1108" s="150" t="str">
        <f>IF(E1108="","",Input!$C$4+B1108-1)</f>
        <v/>
      </c>
      <c r="E1108" s="150" t="str">
        <f>IF(OR(AND(C1107=12,D1107=Input!$C$6),E1107=""),"",1)</f>
        <v/>
      </c>
      <c r="F1108" s="150" t="str">
        <f>IF(E1108="","",Input!$C$8+B1108-1)</f>
        <v/>
      </c>
      <c r="G1108" s="151" t="str">
        <f>IF(E1108="","",MAX(0,Input!$C$9-B1108))</f>
        <v/>
      </c>
      <c r="H1108" s="152" t="str">
        <f>IF(E1108="","",Input!$C$3)</f>
        <v/>
      </c>
      <c r="I1108" s="153" t="str">
        <f>IF(E1108="","",HLOOKUP($B1108,Input!$C$13:$BT$14,2))</f>
        <v/>
      </c>
      <c r="J1108" s="154"/>
      <c r="K1108" s="155" t="str">
        <f>IF($E1108="","",INDEX(Input!$C$16:$CP$16,1,$B1108))</f>
        <v/>
      </c>
      <c r="L1108" s="155" t="str">
        <f>IF($E1108="","",Input!$C$37)</f>
        <v/>
      </c>
      <c r="M1108" s="155" t="str">
        <f t="shared" si="713"/>
        <v/>
      </c>
      <c r="N1108" s="155" t="str">
        <f t="shared" si="714"/>
        <v/>
      </c>
      <c r="O1108" s="147" t="str">
        <f>IF($E1108="","",MIN(VLOOKUP(IF($B1108&lt;=Input!$C$7,$B1108,26),'Mortality Tables'!$A$41:$CW$67,IF($B1108&lt;=Input!$C$7+1,Input!$C$4+2,$D1108-Input!$C$7+2),0)*IF(B1108&gt;20,Input!$C$22,1)/1000,1))</f>
        <v/>
      </c>
      <c r="P1108" s="147" t="str">
        <f>IF($E1108="","",MIN(VLOOKUP(IF($B1108&lt;=Input!$C$7,$B1108,26),'Mortality Tables'!$A$12:$CW$37,IF($B1108&lt;=Input!$C$7+1,Input!$C$4+2,$D1108-Input!$C$7+2),0)*IF(B1108&gt;20,Input!$C$22,1)/1000,1))</f>
        <v/>
      </c>
      <c r="Q1108" s="155" t="str">
        <f>IF($E1108="","",Input!$C$21)</f>
        <v/>
      </c>
      <c r="R1108" s="159" t="str">
        <f>IF($E1108="","",(1-Q1108)^($F1108-Input!$C$20))</f>
        <v/>
      </c>
      <c r="S1108" s="147" t="str">
        <f t="shared" si="716"/>
        <v/>
      </c>
      <c r="T1108" s="147" t="str">
        <f t="shared" si="717"/>
        <v/>
      </c>
      <c r="U1108" s="160" t="str">
        <f>IF($E1108="","",IF($C1108=12,INDEX(Input!$C$15:$CP$15,1,$B1108),0))</f>
        <v/>
      </c>
      <c r="V1108" s="150" t="str">
        <f>IF(E1108="","",IF(C1108=1,IF($B1108=1,Input!$C$33,Input!$C$34),0))</f>
        <v/>
      </c>
      <c r="W1108" s="156" t="str">
        <f>IF($E1108="","",Input!$C$35)</f>
        <v/>
      </c>
      <c r="X1108" s="156" t="str">
        <f t="shared" si="715"/>
        <v/>
      </c>
      <c r="Y1108" s="154"/>
      <c r="Z1108" s="147" t="str">
        <f>IF($E1108="","",VLOOKUP($D1108,'Mortality Margins &amp; Grading'!$AB$5:$AF$125,3,0)*IF(Summary!$D$25="Included Margin",IF(AND($B1108&gt;Input!$C$9,Summary!$D$31&lt;&gt;"Included Margin"),0,1),0))</f>
        <v/>
      </c>
      <c r="AA1108" s="147" t="str">
        <f>IF($E1108="","",VLOOKUP($D1108,'Mortality Margins &amp; Grading'!$AB$5:$AF$125,5,0)*IF(Summary!$D$25="Included Margin",IF(AND($B1108&gt;Input!$C$9,Summary!$D$31&lt;&gt;"Included Margin"),0,1),0))</f>
        <v/>
      </c>
      <c r="AB1108" s="147" t="str">
        <f>IF($E1108="","",IF(AND($B1108&gt;Input!$C$9,Summary!$D$31&lt;&gt;"Included Margin"),1,IF(Summary!$D$25="Included Margin",VLOOKUP($B1108,'Mortality Margins &amp; Grading'!$AI$5:$AR$125,MATCH('Mortality Margins &amp; Grading'!$AQ$4,'Mortality Margins &amp; Grading'!$AI$4:$AR$4,0),0),1)))</f>
        <v/>
      </c>
      <c r="AC1108" s="154"/>
      <c r="AD1108" s="158" t="str">
        <f>IF(E1108="","",Input!$C$48*IF(Summary!$D$30="Included Margin",IF(AND($B1108&gt;Input!$C$9,Summary!$D$31&lt;&gt;"Included Margin"),0,1),0))</f>
        <v/>
      </c>
      <c r="AE1108" s="159" t="str">
        <f>IF(E1108="","",IF(Summary!$D$26="Included Margin",IF(AND($B1108&gt;Input!$C$9,Summary!$D$31&lt;&gt;"Included Margin"),1,1/$R1108),1))</f>
        <v/>
      </c>
      <c r="AF1108" s="160" t="str">
        <f>IF(E1108="","",IF(AND($B1108&gt;=Input!$C$9,$C1108=12,Summary!$D$31="Included Margin",$U1108&gt;0),1/U1108-1,IF($B1108&gt;=Input!$C$9,0,Input!$C$45*IF(Summary!$D$27="Included Margin",1,0))))</f>
        <v/>
      </c>
      <c r="AG1108" s="160" t="str">
        <f>IF(E1108="","",Input!$C$46*IF(Summary!$D$28="Included Margin",IF(AND($B1108&gt;Input!$C$9,Summary!$D$31&lt;&gt;"Included Margin"),0,1),0))</f>
        <v/>
      </c>
      <c r="AH1108" s="158" t="str">
        <f>IF(E1108="","",Input!$C$47*IF(Summary!$D$29="Included Margin",IF(AND($B1108&gt;Input!$C$9,Summary!$D$31&lt;&gt;"Included Margin"),0,1),0))</f>
        <v/>
      </c>
      <c r="AI1108" s="154"/>
      <c r="AJ1108" s="158" t="str">
        <f t="shared" si="731"/>
        <v/>
      </c>
      <c r="AK1108" s="155" t="str">
        <f t="shared" si="732"/>
        <v/>
      </c>
      <c r="AL1108" s="147" t="str">
        <f t="shared" si="733"/>
        <v/>
      </c>
      <c r="AM1108" s="147" t="str">
        <f t="shared" si="718"/>
        <v/>
      </c>
      <c r="AN1108" s="160" t="str">
        <f t="shared" si="734"/>
        <v/>
      </c>
      <c r="AO1108" s="161" t="str">
        <f t="shared" si="735"/>
        <v/>
      </c>
      <c r="AP1108" s="156" t="str">
        <f t="shared" si="719"/>
        <v/>
      </c>
      <c r="AQ1108" s="152"/>
      <c r="AR1108" s="162" t="str">
        <f t="shared" si="720"/>
        <v/>
      </c>
      <c r="AS1108" s="150" t="str">
        <f t="shared" si="736"/>
        <v/>
      </c>
      <c r="AT1108" s="163" t="str">
        <f t="shared" si="721"/>
        <v/>
      </c>
      <c r="AU1108" s="163" t="str">
        <f t="shared" si="722"/>
        <v/>
      </c>
      <c r="AV1108" s="163" t="str">
        <f t="shared" si="737"/>
        <v/>
      </c>
      <c r="AW1108" s="163" t="str">
        <f t="shared" si="723"/>
        <v/>
      </c>
      <c r="AX1108" s="163" t="str">
        <f t="shared" si="724"/>
        <v/>
      </c>
      <c r="AY1108" s="165" t="str">
        <f t="shared" si="738"/>
        <v/>
      </c>
      <c r="AZ1108" s="164" t="str">
        <f>IF($E1108="","",IF(OR(AND($D1108=Input!$C$6,$C1108=12),$AN1108=1),0,-AS1109+AT1109+AU1109-AV1109-AW1109-AX1109+AZ1109))</f>
        <v/>
      </c>
      <c r="BA1108" s="154" t="str">
        <f t="shared" si="725"/>
        <v/>
      </c>
      <c r="BC1108" s="147" t="str">
        <f t="shared" si="739"/>
        <v/>
      </c>
      <c r="BD1108" s="164" t="str">
        <f>IF(AND($C1107=12,$D1107=Input!$C$6),0,IF($E1108="","",AT1108+(AU1108+BD1109)/(1+$AK1108)*MIN((1-AM1108-AN1108),1)))</f>
        <v/>
      </c>
      <c r="BE1108" s="164" t="str">
        <f t="shared" si="712"/>
        <v/>
      </c>
      <c r="BF1108" s="164" t="str">
        <f t="shared" si="740"/>
        <v/>
      </c>
      <c r="BG1108" s="164" t="str">
        <f t="shared" si="726"/>
        <v/>
      </c>
      <c r="BH1108" s="152"/>
      <c r="BI1108" s="162" t="str">
        <f t="shared" si="706"/>
        <v/>
      </c>
      <c r="BJ1108" s="150" t="str">
        <f t="shared" si="707"/>
        <v/>
      </c>
      <c r="BK1108" s="163" t="str">
        <f t="shared" si="745"/>
        <v/>
      </c>
      <c r="BL1108" s="163" t="str">
        <f t="shared" si="708"/>
        <v/>
      </c>
      <c r="BM1108" s="163" t="str">
        <f t="shared" si="746"/>
        <v/>
      </c>
      <c r="BN1108" s="163" t="str">
        <f t="shared" si="709"/>
        <v/>
      </c>
      <c r="BO1108" s="163" t="str">
        <f t="shared" si="710"/>
        <v/>
      </c>
      <c r="BP1108" s="164" t="str">
        <f t="shared" si="747"/>
        <v/>
      </c>
      <c r="BQ1108" s="164" t="str">
        <f t="shared" si="741"/>
        <v/>
      </c>
      <c r="BR1108" s="154" t="str">
        <f t="shared" si="711"/>
        <v/>
      </c>
      <c r="BT1108" s="147" t="str">
        <f t="shared" si="727"/>
        <v/>
      </c>
      <c r="BU1108" s="164" t="str">
        <f>IF(AND($C1107=12,$D1107=Input!$C$6),0,IF($E1108="","",BK1108+(BL1108+BU1109)/(1+$AK1108)*MIN((1-T1108-U1108),1)))</f>
        <v/>
      </c>
      <c r="BV1108" s="164" t="str">
        <f t="shared" si="728"/>
        <v/>
      </c>
      <c r="BW1108" s="164" t="str">
        <f t="shared" si="729"/>
        <v/>
      </c>
      <c r="BX1108" s="164" t="str">
        <f t="shared" si="730"/>
        <v/>
      </c>
    </row>
    <row r="1109" spans="1:76" s="150" customFormat="1" x14ac:dyDescent="0.25">
      <c r="A1109" s="150" t="str">
        <f t="shared" si="742"/>
        <v/>
      </c>
      <c r="B1109" s="150" t="str">
        <f t="shared" si="743"/>
        <v/>
      </c>
      <c r="C1109" s="150" t="str">
        <f t="shared" si="744"/>
        <v/>
      </c>
      <c r="D1109" s="150" t="str">
        <f>IF(E1109="","",Input!$C$4+B1109-1)</f>
        <v/>
      </c>
      <c r="E1109" s="150" t="str">
        <f>IF(OR(AND(C1108=12,D1108=Input!$C$6),E1108=""),"",1)</f>
        <v/>
      </c>
      <c r="F1109" s="150" t="str">
        <f>IF(E1109="","",Input!$C$8+B1109-1)</f>
        <v/>
      </c>
      <c r="G1109" s="151" t="str">
        <f>IF(E1109="","",MAX(0,Input!$C$9-B1109))</f>
        <v/>
      </c>
      <c r="H1109" s="152" t="str">
        <f>IF(E1109="","",Input!$C$3)</f>
        <v/>
      </c>
      <c r="I1109" s="153" t="str">
        <f>IF(E1109="","",HLOOKUP($B1109,Input!$C$13:$BT$14,2))</f>
        <v/>
      </c>
      <c r="J1109" s="154"/>
      <c r="K1109" s="155" t="str">
        <f>IF($E1109="","",INDEX(Input!$C$16:$CP$16,1,$B1109))</f>
        <v/>
      </c>
      <c r="L1109" s="155" t="str">
        <f>IF($E1109="","",Input!$C$37)</f>
        <v/>
      </c>
      <c r="M1109" s="155" t="str">
        <f t="shared" si="713"/>
        <v/>
      </c>
      <c r="N1109" s="155" t="str">
        <f t="shared" si="714"/>
        <v/>
      </c>
      <c r="O1109" s="147" t="str">
        <f>IF($E1109="","",MIN(VLOOKUP(IF($B1109&lt;=Input!$C$7,$B1109,26),'Mortality Tables'!$A$41:$CW$67,IF($B1109&lt;=Input!$C$7+1,Input!$C$4+2,$D1109-Input!$C$7+2),0)*IF(B1109&gt;20,Input!$C$22,1)/1000,1))</f>
        <v/>
      </c>
      <c r="P1109" s="147" t="str">
        <f>IF($E1109="","",MIN(VLOOKUP(IF($B1109&lt;=Input!$C$7,$B1109,26),'Mortality Tables'!$A$12:$CW$37,IF($B1109&lt;=Input!$C$7+1,Input!$C$4+2,$D1109-Input!$C$7+2),0)*IF(B1109&gt;20,Input!$C$22,1)/1000,1))</f>
        <v/>
      </c>
      <c r="Q1109" s="155" t="str">
        <f>IF($E1109="","",Input!$C$21)</f>
        <v/>
      </c>
      <c r="R1109" s="159" t="str">
        <f>IF($E1109="","",(1-Q1109)^($F1109-Input!$C$20))</f>
        <v/>
      </c>
      <c r="S1109" s="147" t="str">
        <f t="shared" si="716"/>
        <v/>
      </c>
      <c r="T1109" s="147" t="str">
        <f t="shared" si="717"/>
        <v/>
      </c>
      <c r="U1109" s="160" t="str">
        <f>IF($E1109="","",IF($C1109=12,INDEX(Input!$C$15:$CP$15,1,$B1109),0))</f>
        <v/>
      </c>
      <c r="V1109" s="150" t="str">
        <f>IF(E1109="","",IF(C1109=1,IF($B1109=1,Input!$C$33,Input!$C$34),0))</f>
        <v/>
      </c>
      <c r="W1109" s="156" t="str">
        <f>IF($E1109="","",Input!$C$35)</f>
        <v/>
      </c>
      <c r="X1109" s="156" t="str">
        <f t="shared" si="715"/>
        <v/>
      </c>
      <c r="Y1109" s="154"/>
      <c r="Z1109" s="147" t="str">
        <f>IF($E1109="","",VLOOKUP($D1109,'Mortality Margins &amp; Grading'!$AB$5:$AF$125,3,0)*IF(Summary!$D$25="Included Margin",IF(AND($B1109&gt;Input!$C$9,Summary!$D$31&lt;&gt;"Included Margin"),0,1),0))</f>
        <v/>
      </c>
      <c r="AA1109" s="147" t="str">
        <f>IF($E1109="","",VLOOKUP($D1109,'Mortality Margins &amp; Grading'!$AB$5:$AF$125,5,0)*IF(Summary!$D$25="Included Margin",IF(AND($B1109&gt;Input!$C$9,Summary!$D$31&lt;&gt;"Included Margin"),0,1),0))</f>
        <v/>
      </c>
      <c r="AB1109" s="147" t="str">
        <f>IF($E1109="","",IF(AND($B1109&gt;Input!$C$9,Summary!$D$31&lt;&gt;"Included Margin"),1,IF(Summary!$D$25="Included Margin",VLOOKUP($B1109,'Mortality Margins &amp; Grading'!$AI$5:$AR$125,MATCH('Mortality Margins &amp; Grading'!$AQ$4,'Mortality Margins &amp; Grading'!$AI$4:$AR$4,0),0),1)))</f>
        <v/>
      </c>
      <c r="AC1109" s="154"/>
      <c r="AD1109" s="158" t="str">
        <f>IF(E1109="","",Input!$C$48*IF(Summary!$D$30="Included Margin",IF(AND($B1109&gt;Input!$C$9,Summary!$D$31&lt;&gt;"Included Margin"),0,1),0))</f>
        <v/>
      </c>
      <c r="AE1109" s="159" t="str">
        <f>IF(E1109="","",IF(Summary!$D$26="Included Margin",IF(AND($B1109&gt;Input!$C$9,Summary!$D$31&lt;&gt;"Included Margin"),1,1/$R1109),1))</f>
        <v/>
      </c>
      <c r="AF1109" s="160" t="str">
        <f>IF(E1109="","",IF(AND($B1109&gt;=Input!$C$9,$C1109=12,Summary!$D$31="Included Margin",$U1109&gt;0),1/U1109-1,IF($B1109&gt;=Input!$C$9,0,Input!$C$45*IF(Summary!$D$27="Included Margin",1,0))))</f>
        <v/>
      </c>
      <c r="AG1109" s="160" t="str">
        <f>IF(E1109="","",Input!$C$46*IF(Summary!$D$28="Included Margin",IF(AND($B1109&gt;Input!$C$9,Summary!$D$31&lt;&gt;"Included Margin"),0,1),0))</f>
        <v/>
      </c>
      <c r="AH1109" s="158" t="str">
        <f>IF(E1109="","",Input!$C$47*IF(Summary!$D$29="Included Margin",IF(AND($B1109&gt;Input!$C$9,Summary!$D$31&lt;&gt;"Included Margin"),0,1),0))</f>
        <v/>
      </c>
      <c r="AI1109" s="154"/>
      <c r="AJ1109" s="158" t="str">
        <f t="shared" si="731"/>
        <v/>
      </c>
      <c r="AK1109" s="155" t="str">
        <f t="shared" si="732"/>
        <v/>
      </c>
      <c r="AL1109" s="147" t="str">
        <f t="shared" si="733"/>
        <v/>
      </c>
      <c r="AM1109" s="147" t="str">
        <f t="shared" si="718"/>
        <v/>
      </c>
      <c r="AN1109" s="160" t="str">
        <f t="shared" si="734"/>
        <v/>
      </c>
      <c r="AO1109" s="161" t="str">
        <f t="shared" si="735"/>
        <v/>
      </c>
      <c r="AP1109" s="156" t="str">
        <f t="shared" si="719"/>
        <v/>
      </c>
      <c r="AQ1109" s="152"/>
      <c r="AR1109" s="162" t="str">
        <f t="shared" si="720"/>
        <v/>
      </c>
      <c r="AS1109" s="150" t="str">
        <f t="shared" si="736"/>
        <v/>
      </c>
      <c r="AT1109" s="163" t="str">
        <f t="shared" si="721"/>
        <v/>
      </c>
      <c r="AU1109" s="163" t="str">
        <f t="shared" si="722"/>
        <v/>
      </c>
      <c r="AV1109" s="163" t="str">
        <f t="shared" si="737"/>
        <v/>
      </c>
      <c r="AW1109" s="163" t="str">
        <f t="shared" si="723"/>
        <v/>
      </c>
      <c r="AX1109" s="163" t="str">
        <f t="shared" si="724"/>
        <v/>
      </c>
      <c r="AY1109" s="164" t="str">
        <f t="shared" si="738"/>
        <v/>
      </c>
      <c r="AZ1109" s="164" t="str">
        <f>IF($E1109="","",IF(OR(AND($D1109=Input!$C$6,$C1109=12),$AN1109=1),0,-AS1110+AT1110+AU1110-AV1110-AW1110-AX1110+AZ1110))</f>
        <v/>
      </c>
      <c r="BA1109" s="154" t="str">
        <f t="shared" si="725"/>
        <v/>
      </c>
      <c r="BC1109" s="147" t="str">
        <f t="shared" si="739"/>
        <v/>
      </c>
      <c r="BD1109" s="164" t="str">
        <f>IF(AND($C1108=12,$D1108=Input!$C$6),0,IF($E1109="","",AT1109+(AU1109+BD1110)/(1+$AK1109)*MIN((1-AM1109-AN1109),1)))</f>
        <v/>
      </c>
      <c r="BE1109" s="164" t="str">
        <f t="shared" si="712"/>
        <v/>
      </c>
      <c r="BF1109" s="164" t="str">
        <f t="shared" si="740"/>
        <v/>
      </c>
      <c r="BG1109" s="164" t="str">
        <f t="shared" si="726"/>
        <v/>
      </c>
      <c r="BH1109" s="152"/>
      <c r="BI1109" s="162" t="str">
        <f t="shared" si="706"/>
        <v/>
      </c>
      <c r="BJ1109" s="150" t="str">
        <f t="shared" si="707"/>
        <v/>
      </c>
      <c r="BK1109" s="163" t="str">
        <f t="shared" si="745"/>
        <v/>
      </c>
      <c r="BL1109" s="163" t="str">
        <f t="shared" si="708"/>
        <v/>
      </c>
      <c r="BM1109" s="163" t="str">
        <f t="shared" si="746"/>
        <v/>
      </c>
      <c r="BN1109" s="163" t="str">
        <f t="shared" si="709"/>
        <v/>
      </c>
      <c r="BO1109" s="163" t="str">
        <f t="shared" si="710"/>
        <v/>
      </c>
      <c r="BP1109" s="164" t="str">
        <f t="shared" si="747"/>
        <v/>
      </c>
      <c r="BQ1109" s="164" t="str">
        <f t="shared" si="741"/>
        <v/>
      </c>
      <c r="BR1109" s="154" t="str">
        <f t="shared" si="711"/>
        <v/>
      </c>
      <c r="BT1109" s="147" t="str">
        <f t="shared" si="727"/>
        <v/>
      </c>
      <c r="BU1109" s="164" t="str">
        <f>IF(AND($C1108=12,$D1108=Input!$C$6),0,IF($E1109="","",BK1109+(BL1109+BU1110)/(1+$AK1109)*MIN((1-T1109-U1109),1)))</f>
        <v/>
      </c>
      <c r="BV1109" s="164" t="str">
        <f t="shared" si="728"/>
        <v/>
      </c>
      <c r="BW1109" s="164" t="str">
        <f t="shared" si="729"/>
        <v/>
      </c>
      <c r="BX1109" s="164" t="str">
        <f t="shared" si="730"/>
        <v/>
      </c>
    </row>
    <row r="1110" spans="1:76" s="150" customFormat="1" x14ac:dyDescent="0.25">
      <c r="A1110" s="150" t="str">
        <f t="shared" si="742"/>
        <v/>
      </c>
      <c r="B1110" s="150" t="str">
        <f t="shared" si="743"/>
        <v/>
      </c>
      <c r="C1110" s="150" t="str">
        <f t="shared" si="744"/>
        <v/>
      </c>
      <c r="D1110" s="150" t="str">
        <f>IF(E1110="","",Input!$C$4+B1110-1)</f>
        <v/>
      </c>
      <c r="E1110" s="150" t="str">
        <f>IF(OR(AND(C1109=12,D1109=Input!$C$6),E1109=""),"",1)</f>
        <v/>
      </c>
      <c r="F1110" s="150" t="str">
        <f>IF(E1110="","",Input!$C$8+B1110-1)</f>
        <v/>
      </c>
      <c r="G1110" s="151" t="str">
        <f>IF(E1110="","",MAX(0,Input!$C$9-B1110))</f>
        <v/>
      </c>
      <c r="H1110" s="152" t="str">
        <f>IF(E1110="","",Input!$C$3)</f>
        <v/>
      </c>
      <c r="I1110" s="153" t="str">
        <f>IF(E1110="","",HLOOKUP($B1110,Input!$C$13:$BT$14,2))</f>
        <v/>
      </c>
      <c r="J1110" s="154"/>
      <c r="K1110" s="155" t="str">
        <f>IF($E1110="","",INDEX(Input!$C$16:$CP$16,1,$B1110))</f>
        <v/>
      </c>
      <c r="L1110" s="155" t="str">
        <f>IF($E1110="","",Input!$C$37)</f>
        <v/>
      </c>
      <c r="M1110" s="155" t="str">
        <f t="shared" si="713"/>
        <v/>
      </c>
      <c r="N1110" s="155" t="str">
        <f t="shared" si="714"/>
        <v/>
      </c>
      <c r="O1110" s="147" t="str">
        <f>IF($E1110="","",MIN(VLOOKUP(IF($B1110&lt;=Input!$C$7,$B1110,26),'Mortality Tables'!$A$41:$CW$67,IF($B1110&lt;=Input!$C$7+1,Input!$C$4+2,$D1110-Input!$C$7+2),0)*IF(B1110&gt;20,Input!$C$22,1)/1000,1))</f>
        <v/>
      </c>
      <c r="P1110" s="147" t="str">
        <f>IF($E1110="","",MIN(VLOOKUP(IF($B1110&lt;=Input!$C$7,$B1110,26),'Mortality Tables'!$A$12:$CW$37,IF($B1110&lt;=Input!$C$7+1,Input!$C$4+2,$D1110-Input!$C$7+2),0)*IF(B1110&gt;20,Input!$C$22,1)/1000,1))</f>
        <v/>
      </c>
      <c r="Q1110" s="155" t="str">
        <f>IF($E1110="","",Input!$C$21)</f>
        <v/>
      </c>
      <c r="R1110" s="159" t="str">
        <f>IF($E1110="","",(1-Q1110)^($F1110-Input!$C$20))</f>
        <v/>
      </c>
      <c r="S1110" s="147" t="str">
        <f t="shared" si="716"/>
        <v/>
      </c>
      <c r="T1110" s="147" t="str">
        <f t="shared" si="717"/>
        <v/>
      </c>
      <c r="U1110" s="160" t="str">
        <f>IF($E1110="","",IF($C1110=12,INDEX(Input!$C$15:$CP$15,1,$B1110),0))</f>
        <v/>
      </c>
      <c r="V1110" s="150" t="str">
        <f>IF(E1110="","",IF(C1110=1,IF($B1110=1,Input!$C$33,Input!$C$34),0))</f>
        <v/>
      </c>
      <c r="W1110" s="156" t="str">
        <f>IF($E1110="","",Input!$C$35)</f>
        <v/>
      </c>
      <c r="X1110" s="156" t="str">
        <f t="shared" si="715"/>
        <v/>
      </c>
      <c r="Y1110" s="154"/>
      <c r="Z1110" s="147" t="str">
        <f>IF($E1110="","",VLOOKUP($D1110,'Mortality Margins &amp; Grading'!$AB$5:$AF$125,3,0)*IF(Summary!$D$25="Included Margin",IF(AND($B1110&gt;Input!$C$9,Summary!$D$31&lt;&gt;"Included Margin"),0,1),0))</f>
        <v/>
      </c>
      <c r="AA1110" s="147" t="str">
        <f>IF($E1110="","",VLOOKUP($D1110,'Mortality Margins &amp; Grading'!$AB$5:$AF$125,5,0)*IF(Summary!$D$25="Included Margin",IF(AND($B1110&gt;Input!$C$9,Summary!$D$31&lt;&gt;"Included Margin"),0,1),0))</f>
        <v/>
      </c>
      <c r="AB1110" s="147" t="str">
        <f>IF($E1110="","",IF(AND($B1110&gt;Input!$C$9,Summary!$D$31&lt;&gt;"Included Margin"),1,IF(Summary!$D$25="Included Margin",VLOOKUP($B1110,'Mortality Margins &amp; Grading'!$AI$5:$AR$125,MATCH('Mortality Margins &amp; Grading'!$AQ$4,'Mortality Margins &amp; Grading'!$AI$4:$AR$4,0),0),1)))</f>
        <v/>
      </c>
      <c r="AC1110" s="154"/>
      <c r="AD1110" s="158" t="str">
        <f>IF(E1110="","",Input!$C$48*IF(Summary!$D$30="Included Margin",IF(AND($B1110&gt;Input!$C$9,Summary!$D$31&lt;&gt;"Included Margin"),0,1),0))</f>
        <v/>
      </c>
      <c r="AE1110" s="159" t="str">
        <f>IF(E1110="","",IF(Summary!$D$26="Included Margin",IF(AND($B1110&gt;Input!$C$9,Summary!$D$31&lt;&gt;"Included Margin"),1,1/$R1110),1))</f>
        <v/>
      </c>
      <c r="AF1110" s="160" t="str">
        <f>IF(E1110="","",IF(AND($B1110&gt;=Input!$C$9,$C1110=12,Summary!$D$31="Included Margin",$U1110&gt;0),1/U1110-1,IF($B1110&gt;=Input!$C$9,0,Input!$C$45*IF(Summary!$D$27="Included Margin",1,0))))</f>
        <v/>
      </c>
      <c r="AG1110" s="160" t="str">
        <f>IF(E1110="","",Input!$C$46*IF(Summary!$D$28="Included Margin",IF(AND($B1110&gt;Input!$C$9,Summary!$D$31&lt;&gt;"Included Margin"),0,1),0))</f>
        <v/>
      </c>
      <c r="AH1110" s="158" t="str">
        <f>IF(E1110="","",Input!$C$47*IF(Summary!$D$29="Included Margin",IF(AND($B1110&gt;Input!$C$9,Summary!$D$31&lt;&gt;"Included Margin"),0,1),0))</f>
        <v/>
      </c>
      <c r="AI1110" s="154"/>
      <c r="AJ1110" s="158" t="str">
        <f t="shared" si="731"/>
        <v/>
      </c>
      <c r="AK1110" s="155" t="str">
        <f t="shared" si="732"/>
        <v/>
      </c>
      <c r="AL1110" s="147" t="str">
        <f t="shared" si="733"/>
        <v/>
      </c>
      <c r="AM1110" s="147" t="str">
        <f t="shared" si="718"/>
        <v/>
      </c>
      <c r="AN1110" s="160" t="str">
        <f t="shared" si="734"/>
        <v/>
      </c>
      <c r="AO1110" s="161" t="str">
        <f t="shared" si="735"/>
        <v/>
      </c>
      <c r="AP1110" s="156" t="str">
        <f t="shared" si="719"/>
        <v/>
      </c>
      <c r="AQ1110" s="152"/>
      <c r="AR1110" s="162" t="str">
        <f t="shared" si="720"/>
        <v/>
      </c>
      <c r="AS1110" s="150" t="str">
        <f t="shared" si="736"/>
        <v/>
      </c>
      <c r="AT1110" s="163" t="str">
        <f t="shared" si="721"/>
        <v/>
      </c>
      <c r="AU1110" s="163" t="str">
        <f t="shared" si="722"/>
        <v/>
      </c>
      <c r="AV1110" s="163" t="str">
        <f t="shared" si="737"/>
        <v/>
      </c>
      <c r="AW1110" s="163" t="str">
        <f t="shared" si="723"/>
        <v/>
      </c>
      <c r="AX1110" s="163" t="str">
        <f t="shared" si="724"/>
        <v/>
      </c>
      <c r="AY1110" s="165" t="str">
        <f t="shared" si="738"/>
        <v/>
      </c>
      <c r="AZ1110" s="164" t="str">
        <f>IF($E1110="","",IF(OR(AND($D1110=Input!$C$6,$C1110=12),$AN1110=1),0,-AS1111+AT1111+AU1111-AV1111-AW1111-AX1111+AZ1111))</f>
        <v/>
      </c>
      <c r="BA1110" s="154" t="str">
        <f t="shared" si="725"/>
        <v/>
      </c>
      <c r="BC1110" s="147" t="str">
        <f t="shared" si="739"/>
        <v/>
      </c>
      <c r="BD1110" s="164" t="str">
        <f>IF(AND($C1109=12,$D1109=Input!$C$6),0,IF($E1110="","",AT1110+(AU1110+BD1111)/(1+$AK1110)*MIN((1-AM1110-AN1110),1)))</f>
        <v/>
      </c>
      <c r="BE1110" s="164" t="str">
        <f t="shared" si="712"/>
        <v/>
      </c>
      <c r="BF1110" s="164" t="str">
        <f t="shared" si="740"/>
        <v/>
      </c>
      <c r="BG1110" s="164" t="str">
        <f t="shared" si="726"/>
        <v/>
      </c>
      <c r="BH1110" s="152"/>
      <c r="BI1110" s="162" t="str">
        <f t="shared" ref="BI1110:BI1173" si="748">IF($E1110="","",(BQ1110*(1-$U1110)*(1-$T1110)/(1+$N1110)+BL1110/(1+$N1110/2)-BJ1110+BK1110))</f>
        <v/>
      </c>
      <c r="BJ1110" s="150" t="str">
        <f t="shared" ref="BJ1110:BJ1173" si="749">IF($E1110="","",AS1110)</f>
        <v/>
      </c>
      <c r="BK1110" s="163" t="str">
        <f t="shared" si="745"/>
        <v/>
      </c>
      <c r="BL1110" s="163" t="str">
        <f t="shared" ref="BL1110:BL1173" si="750">IF(E1110="","",$T1110*$H1110)</f>
        <v/>
      </c>
      <c r="BM1110" s="163" t="str">
        <f t="shared" si="746"/>
        <v/>
      </c>
      <c r="BN1110" s="163" t="str">
        <f t="shared" ref="BN1110:BN1173" si="751">IF($E1110="","",BQ1110*$T1110)</f>
        <v/>
      </c>
      <c r="BO1110" s="163" t="str">
        <f t="shared" ref="BO1110:BO1173" si="752">IF($E1110="","",$U1110*BQ1110*(1-$T1110))</f>
        <v/>
      </c>
      <c r="BP1110" s="164" t="str">
        <f t="shared" si="747"/>
        <v/>
      </c>
      <c r="BQ1110" s="164" t="str">
        <f t="shared" si="741"/>
        <v/>
      </c>
      <c r="BR1110" s="154" t="str">
        <f t="shared" ref="BR1110:BR1173" si="753">IF(E1110="","",BQ1110-BP1110)</f>
        <v/>
      </c>
      <c r="BT1110" s="147" t="str">
        <f t="shared" si="727"/>
        <v/>
      </c>
      <c r="BU1110" s="164" t="str">
        <f>IF(AND($C1109=12,$D1109=Input!$C$6),0,IF($E1110="","",BK1110+(BL1110+BU1111)/(1+$AK1110)*MIN((1-T1110-U1110),1)))</f>
        <v/>
      </c>
      <c r="BV1110" s="164" t="str">
        <f t="shared" si="728"/>
        <v/>
      </c>
      <c r="BW1110" s="164" t="str">
        <f t="shared" si="729"/>
        <v/>
      </c>
      <c r="BX1110" s="164" t="str">
        <f t="shared" si="730"/>
        <v/>
      </c>
    </row>
    <row r="1111" spans="1:76" s="150" customFormat="1" x14ac:dyDescent="0.25">
      <c r="A1111" s="150" t="str">
        <f t="shared" si="742"/>
        <v/>
      </c>
      <c r="B1111" s="150" t="str">
        <f t="shared" si="743"/>
        <v/>
      </c>
      <c r="C1111" s="150" t="str">
        <f t="shared" si="744"/>
        <v/>
      </c>
      <c r="D1111" s="150" t="str">
        <f>IF(E1111="","",Input!$C$4+B1111-1)</f>
        <v/>
      </c>
      <c r="E1111" s="150" t="str">
        <f>IF(OR(AND(C1110=12,D1110=Input!$C$6),E1110=""),"",1)</f>
        <v/>
      </c>
      <c r="F1111" s="150" t="str">
        <f>IF(E1111="","",Input!$C$8+B1111-1)</f>
        <v/>
      </c>
      <c r="G1111" s="151" t="str">
        <f>IF(E1111="","",MAX(0,Input!$C$9-B1111))</f>
        <v/>
      </c>
      <c r="H1111" s="152" t="str">
        <f>IF(E1111="","",Input!$C$3)</f>
        <v/>
      </c>
      <c r="I1111" s="153" t="str">
        <f>IF(E1111="","",HLOOKUP($B1111,Input!$C$13:$BT$14,2))</f>
        <v/>
      </c>
      <c r="J1111" s="154"/>
      <c r="K1111" s="155" t="str">
        <f>IF($E1111="","",INDEX(Input!$C$16:$CP$16,1,$B1111))</f>
        <v/>
      </c>
      <c r="L1111" s="155" t="str">
        <f>IF($E1111="","",Input!$C$37)</f>
        <v/>
      </c>
      <c r="M1111" s="155" t="str">
        <f t="shared" si="713"/>
        <v/>
      </c>
      <c r="N1111" s="155" t="str">
        <f t="shared" si="714"/>
        <v/>
      </c>
      <c r="O1111" s="147" t="str">
        <f>IF($E1111="","",MIN(VLOOKUP(IF($B1111&lt;=Input!$C$7,$B1111,26),'Mortality Tables'!$A$41:$CW$67,IF($B1111&lt;=Input!$C$7+1,Input!$C$4+2,$D1111-Input!$C$7+2),0)*IF(B1111&gt;20,Input!$C$22,1)/1000,1))</f>
        <v/>
      </c>
      <c r="P1111" s="147" t="str">
        <f>IF($E1111="","",MIN(VLOOKUP(IF($B1111&lt;=Input!$C$7,$B1111,26),'Mortality Tables'!$A$12:$CW$37,IF($B1111&lt;=Input!$C$7+1,Input!$C$4+2,$D1111-Input!$C$7+2),0)*IF(B1111&gt;20,Input!$C$22,1)/1000,1))</f>
        <v/>
      </c>
      <c r="Q1111" s="155" t="str">
        <f>IF($E1111="","",Input!$C$21)</f>
        <v/>
      </c>
      <c r="R1111" s="159" t="str">
        <f>IF($E1111="","",(1-Q1111)^($F1111-Input!$C$20))</f>
        <v/>
      </c>
      <c r="S1111" s="147" t="str">
        <f t="shared" si="716"/>
        <v/>
      </c>
      <c r="T1111" s="147" t="str">
        <f t="shared" si="717"/>
        <v/>
      </c>
      <c r="U1111" s="160" t="str">
        <f>IF($E1111="","",IF($C1111=12,INDEX(Input!$C$15:$CP$15,1,$B1111),0))</f>
        <v/>
      </c>
      <c r="V1111" s="150" t="str">
        <f>IF(E1111="","",IF(C1111=1,IF($B1111=1,Input!$C$33,Input!$C$34),0))</f>
        <v/>
      </c>
      <c r="W1111" s="156" t="str">
        <f>IF($E1111="","",Input!$C$35)</f>
        <v/>
      </c>
      <c r="X1111" s="156" t="str">
        <f t="shared" si="715"/>
        <v/>
      </c>
      <c r="Y1111" s="154"/>
      <c r="Z1111" s="147" t="str">
        <f>IF($E1111="","",VLOOKUP($D1111,'Mortality Margins &amp; Grading'!$AB$5:$AF$125,3,0)*IF(Summary!$D$25="Included Margin",IF(AND($B1111&gt;Input!$C$9,Summary!$D$31&lt;&gt;"Included Margin"),0,1),0))</f>
        <v/>
      </c>
      <c r="AA1111" s="147" t="str">
        <f>IF($E1111="","",VLOOKUP($D1111,'Mortality Margins &amp; Grading'!$AB$5:$AF$125,5,0)*IF(Summary!$D$25="Included Margin",IF(AND($B1111&gt;Input!$C$9,Summary!$D$31&lt;&gt;"Included Margin"),0,1),0))</f>
        <v/>
      </c>
      <c r="AB1111" s="147" t="str">
        <f>IF($E1111="","",IF(AND($B1111&gt;Input!$C$9,Summary!$D$31&lt;&gt;"Included Margin"),1,IF(Summary!$D$25="Included Margin",VLOOKUP($B1111,'Mortality Margins &amp; Grading'!$AI$5:$AR$125,MATCH('Mortality Margins &amp; Grading'!$AQ$4,'Mortality Margins &amp; Grading'!$AI$4:$AR$4,0),0),1)))</f>
        <v/>
      </c>
      <c r="AC1111" s="154"/>
      <c r="AD1111" s="158" t="str">
        <f>IF(E1111="","",Input!$C$48*IF(Summary!$D$30="Included Margin",IF(AND($B1111&gt;Input!$C$9,Summary!$D$31&lt;&gt;"Included Margin"),0,1),0))</f>
        <v/>
      </c>
      <c r="AE1111" s="159" t="str">
        <f>IF(E1111="","",IF(Summary!$D$26="Included Margin",IF(AND($B1111&gt;Input!$C$9,Summary!$D$31&lt;&gt;"Included Margin"),1,1/$R1111),1))</f>
        <v/>
      </c>
      <c r="AF1111" s="160" t="str">
        <f>IF(E1111="","",IF(AND($B1111&gt;=Input!$C$9,$C1111=12,Summary!$D$31="Included Margin",$U1111&gt;0),1/U1111-1,IF($B1111&gt;=Input!$C$9,0,Input!$C$45*IF(Summary!$D$27="Included Margin",1,0))))</f>
        <v/>
      </c>
      <c r="AG1111" s="160" t="str">
        <f>IF(E1111="","",Input!$C$46*IF(Summary!$D$28="Included Margin",IF(AND($B1111&gt;Input!$C$9,Summary!$D$31&lt;&gt;"Included Margin"),0,1),0))</f>
        <v/>
      </c>
      <c r="AH1111" s="158" t="str">
        <f>IF(E1111="","",Input!$C$47*IF(Summary!$D$29="Included Margin",IF(AND($B1111&gt;Input!$C$9,Summary!$D$31&lt;&gt;"Included Margin"),0,1),0))</f>
        <v/>
      </c>
      <c r="AI1111" s="154"/>
      <c r="AJ1111" s="158" t="str">
        <f t="shared" si="731"/>
        <v/>
      </c>
      <c r="AK1111" s="155" t="str">
        <f t="shared" si="732"/>
        <v/>
      </c>
      <c r="AL1111" s="147" t="str">
        <f t="shared" si="733"/>
        <v/>
      </c>
      <c r="AM1111" s="147" t="str">
        <f t="shared" si="718"/>
        <v/>
      </c>
      <c r="AN1111" s="160" t="str">
        <f t="shared" si="734"/>
        <v/>
      </c>
      <c r="AO1111" s="161" t="str">
        <f t="shared" si="735"/>
        <v/>
      </c>
      <c r="AP1111" s="156" t="str">
        <f t="shared" si="719"/>
        <v/>
      </c>
      <c r="AQ1111" s="152"/>
      <c r="AR1111" s="162" t="str">
        <f t="shared" si="720"/>
        <v/>
      </c>
      <c r="AS1111" s="150" t="str">
        <f t="shared" si="736"/>
        <v/>
      </c>
      <c r="AT1111" s="163" t="str">
        <f t="shared" si="721"/>
        <v/>
      </c>
      <c r="AU1111" s="163" t="str">
        <f t="shared" si="722"/>
        <v/>
      </c>
      <c r="AV1111" s="163" t="str">
        <f t="shared" si="737"/>
        <v/>
      </c>
      <c r="AW1111" s="163" t="str">
        <f t="shared" si="723"/>
        <v/>
      </c>
      <c r="AX1111" s="163" t="str">
        <f t="shared" si="724"/>
        <v/>
      </c>
      <c r="AY1111" s="164" t="str">
        <f t="shared" si="738"/>
        <v/>
      </c>
      <c r="AZ1111" s="164" t="str">
        <f>IF($E1111="","",IF(OR(AND($D1111=Input!$C$6,$C1111=12),$AN1111=1),0,-AS1112+AT1112+AU1112-AV1112-AW1112-AX1112+AZ1112))</f>
        <v/>
      </c>
      <c r="BA1111" s="154" t="str">
        <f t="shared" si="725"/>
        <v/>
      </c>
      <c r="BC1111" s="147" t="str">
        <f t="shared" si="739"/>
        <v/>
      </c>
      <c r="BD1111" s="164" t="str">
        <f>IF(AND($C1110=12,$D1110=Input!$C$6),0,IF($E1111="","",AT1111+(AU1111+BD1112)/(1+$AK1111)*MIN((1-AM1111-AN1111),1)))</f>
        <v/>
      </c>
      <c r="BE1111" s="164" t="str">
        <f t="shared" si="712"/>
        <v/>
      </c>
      <c r="BF1111" s="164" t="str">
        <f t="shared" si="740"/>
        <v/>
      </c>
      <c r="BG1111" s="164" t="str">
        <f t="shared" si="726"/>
        <v/>
      </c>
      <c r="BH1111" s="152"/>
      <c r="BI1111" s="162" t="str">
        <f t="shared" si="748"/>
        <v/>
      </c>
      <c r="BJ1111" s="150" t="str">
        <f t="shared" si="749"/>
        <v/>
      </c>
      <c r="BK1111" s="163" t="str">
        <f t="shared" si="745"/>
        <v/>
      </c>
      <c r="BL1111" s="163" t="str">
        <f t="shared" si="750"/>
        <v/>
      </c>
      <c r="BM1111" s="163" t="str">
        <f t="shared" si="746"/>
        <v/>
      </c>
      <c r="BN1111" s="163" t="str">
        <f t="shared" si="751"/>
        <v/>
      </c>
      <c r="BO1111" s="163" t="str">
        <f t="shared" si="752"/>
        <v/>
      </c>
      <c r="BP1111" s="164" t="str">
        <f t="shared" si="747"/>
        <v/>
      </c>
      <c r="BQ1111" s="164" t="str">
        <f t="shared" si="741"/>
        <v/>
      </c>
      <c r="BR1111" s="154" t="str">
        <f t="shared" si="753"/>
        <v/>
      </c>
      <c r="BT1111" s="147" t="str">
        <f t="shared" si="727"/>
        <v/>
      </c>
      <c r="BU1111" s="164" t="str">
        <f>IF(AND($C1110=12,$D1110=Input!$C$6),0,IF($E1111="","",BK1111+(BL1111+BU1112)/(1+$AK1111)*MIN((1-T1111-U1111),1)))</f>
        <v/>
      </c>
      <c r="BV1111" s="164" t="str">
        <f t="shared" si="728"/>
        <v/>
      </c>
      <c r="BW1111" s="164" t="str">
        <f t="shared" si="729"/>
        <v/>
      </c>
      <c r="BX1111" s="164" t="str">
        <f t="shared" si="730"/>
        <v/>
      </c>
    </row>
    <row r="1112" spans="1:76" s="150" customFormat="1" x14ac:dyDescent="0.25">
      <c r="A1112" s="150" t="str">
        <f t="shared" si="742"/>
        <v/>
      </c>
      <c r="B1112" s="150" t="str">
        <f t="shared" si="743"/>
        <v/>
      </c>
      <c r="C1112" s="150" t="str">
        <f t="shared" si="744"/>
        <v/>
      </c>
      <c r="D1112" s="150" t="str">
        <f>IF(E1112="","",Input!$C$4+B1112-1)</f>
        <v/>
      </c>
      <c r="E1112" s="150" t="str">
        <f>IF(OR(AND(C1111=12,D1111=Input!$C$6),E1111=""),"",1)</f>
        <v/>
      </c>
      <c r="F1112" s="150" t="str">
        <f>IF(E1112="","",Input!$C$8+B1112-1)</f>
        <v/>
      </c>
      <c r="G1112" s="151" t="str">
        <f>IF(E1112="","",MAX(0,Input!$C$9-B1112))</f>
        <v/>
      </c>
      <c r="H1112" s="152" t="str">
        <f>IF(E1112="","",Input!$C$3)</f>
        <v/>
      </c>
      <c r="I1112" s="153" t="str">
        <f>IF(E1112="","",HLOOKUP($B1112,Input!$C$13:$BT$14,2))</f>
        <v/>
      </c>
      <c r="J1112" s="154"/>
      <c r="K1112" s="155" t="str">
        <f>IF($E1112="","",INDEX(Input!$C$16:$CP$16,1,$B1112))</f>
        <v/>
      </c>
      <c r="L1112" s="155" t="str">
        <f>IF($E1112="","",Input!$C$37)</f>
        <v/>
      </c>
      <c r="M1112" s="155" t="str">
        <f t="shared" si="713"/>
        <v/>
      </c>
      <c r="N1112" s="155" t="str">
        <f t="shared" si="714"/>
        <v/>
      </c>
      <c r="O1112" s="147" t="str">
        <f>IF($E1112="","",MIN(VLOOKUP(IF($B1112&lt;=Input!$C$7,$B1112,26),'Mortality Tables'!$A$41:$CW$67,IF($B1112&lt;=Input!$C$7+1,Input!$C$4+2,$D1112-Input!$C$7+2),0)*IF(B1112&gt;20,Input!$C$22,1)/1000,1))</f>
        <v/>
      </c>
      <c r="P1112" s="147" t="str">
        <f>IF($E1112="","",MIN(VLOOKUP(IF($B1112&lt;=Input!$C$7,$B1112,26),'Mortality Tables'!$A$12:$CW$37,IF($B1112&lt;=Input!$C$7+1,Input!$C$4+2,$D1112-Input!$C$7+2),0)*IF(B1112&gt;20,Input!$C$22,1)/1000,1))</f>
        <v/>
      </c>
      <c r="Q1112" s="155" t="str">
        <f>IF($E1112="","",Input!$C$21)</f>
        <v/>
      </c>
      <c r="R1112" s="159" t="str">
        <f>IF($E1112="","",(1-Q1112)^($F1112-Input!$C$20))</f>
        <v/>
      </c>
      <c r="S1112" s="147" t="str">
        <f t="shared" si="716"/>
        <v/>
      </c>
      <c r="T1112" s="147" t="str">
        <f t="shared" si="717"/>
        <v/>
      </c>
      <c r="U1112" s="160" t="str">
        <f>IF($E1112="","",IF($C1112=12,INDEX(Input!$C$15:$CP$15,1,$B1112),0))</f>
        <v/>
      </c>
      <c r="V1112" s="150" t="str">
        <f>IF(E1112="","",IF(C1112=1,IF($B1112=1,Input!$C$33,Input!$C$34),0))</f>
        <v/>
      </c>
      <c r="W1112" s="156" t="str">
        <f>IF($E1112="","",Input!$C$35)</f>
        <v/>
      </c>
      <c r="X1112" s="156" t="str">
        <f t="shared" si="715"/>
        <v/>
      </c>
      <c r="Y1112" s="154"/>
      <c r="Z1112" s="147" t="str">
        <f>IF($E1112="","",VLOOKUP($D1112,'Mortality Margins &amp; Grading'!$AB$5:$AF$125,3,0)*IF(Summary!$D$25="Included Margin",IF(AND($B1112&gt;Input!$C$9,Summary!$D$31&lt;&gt;"Included Margin"),0,1),0))</f>
        <v/>
      </c>
      <c r="AA1112" s="147" t="str">
        <f>IF($E1112="","",VLOOKUP($D1112,'Mortality Margins &amp; Grading'!$AB$5:$AF$125,5,0)*IF(Summary!$D$25="Included Margin",IF(AND($B1112&gt;Input!$C$9,Summary!$D$31&lt;&gt;"Included Margin"),0,1),0))</f>
        <v/>
      </c>
      <c r="AB1112" s="147" t="str">
        <f>IF($E1112="","",IF(AND($B1112&gt;Input!$C$9,Summary!$D$31&lt;&gt;"Included Margin"),1,IF(Summary!$D$25="Included Margin",VLOOKUP($B1112,'Mortality Margins &amp; Grading'!$AI$5:$AR$125,MATCH('Mortality Margins &amp; Grading'!$AQ$4,'Mortality Margins &amp; Grading'!$AI$4:$AR$4,0),0),1)))</f>
        <v/>
      </c>
      <c r="AC1112" s="154"/>
      <c r="AD1112" s="158" t="str">
        <f>IF(E1112="","",Input!$C$48*IF(Summary!$D$30="Included Margin",IF(AND($B1112&gt;Input!$C$9,Summary!$D$31&lt;&gt;"Included Margin"),0,1),0))</f>
        <v/>
      </c>
      <c r="AE1112" s="159" t="str">
        <f>IF(E1112="","",IF(Summary!$D$26="Included Margin",IF(AND($B1112&gt;Input!$C$9,Summary!$D$31&lt;&gt;"Included Margin"),1,1/$R1112),1))</f>
        <v/>
      </c>
      <c r="AF1112" s="160" t="str">
        <f>IF(E1112="","",IF(AND($B1112&gt;=Input!$C$9,$C1112=12,Summary!$D$31="Included Margin",$U1112&gt;0),1/U1112-1,IF($B1112&gt;=Input!$C$9,0,Input!$C$45*IF(Summary!$D$27="Included Margin",1,0))))</f>
        <v/>
      </c>
      <c r="AG1112" s="160" t="str">
        <f>IF(E1112="","",Input!$C$46*IF(Summary!$D$28="Included Margin",IF(AND($B1112&gt;Input!$C$9,Summary!$D$31&lt;&gt;"Included Margin"),0,1),0))</f>
        <v/>
      </c>
      <c r="AH1112" s="158" t="str">
        <f>IF(E1112="","",Input!$C$47*IF(Summary!$D$29="Included Margin",IF(AND($B1112&gt;Input!$C$9,Summary!$D$31&lt;&gt;"Included Margin"),0,1),0))</f>
        <v/>
      </c>
      <c r="AI1112" s="154"/>
      <c r="AJ1112" s="158" t="str">
        <f t="shared" si="731"/>
        <v/>
      </c>
      <c r="AK1112" s="155" t="str">
        <f t="shared" si="732"/>
        <v/>
      </c>
      <c r="AL1112" s="147" t="str">
        <f t="shared" si="733"/>
        <v/>
      </c>
      <c r="AM1112" s="147" t="str">
        <f t="shared" si="718"/>
        <v/>
      </c>
      <c r="AN1112" s="160" t="str">
        <f t="shared" si="734"/>
        <v/>
      </c>
      <c r="AO1112" s="161" t="str">
        <f t="shared" si="735"/>
        <v/>
      </c>
      <c r="AP1112" s="156" t="str">
        <f t="shared" si="719"/>
        <v/>
      </c>
      <c r="AQ1112" s="152"/>
      <c r="AR1112" s="162" t="str">
        <f t="shared" si="720"/>
        <v/>
      </c>
      <c r="AS1112" s="150" t="str">
        <f t="shared" si="736"/>
        <v/>
      </c>
      <c r="AT1112" s="163" t="str">
        <f t="shared" si="721"/>
        <v/>
      </c>
      <c r="AU1112" s="163" t="str">
        <f t="shared" si="722"/>
        <v/>
      </c>
      <c r="AV1112" s="163" t="str">
        <f t="shared" si="737"/>
        <v/>
      </c>
      <c r="AW1112" s="163" t="str">
        <f t="shared" si="723"/>
        <v/>
      </c>
      <c r="AX1112" s="163" t="str">
        <f t="shared" si="724"/>
        <v/>
      </c>
      <c r="AY1112" s="165" t="str">
        <f t="shared" si="738"/>
        <v/>
      </c>
      <c r="AZ1112" s="164" t="str">
        <f>IF($E1112="","",IF(OR(AND($D1112=Input!$C$6,$C1112=12),$AN1112=1),0,-AS1113+AT1113+AU1113-AV1113-AW1113-AX1113+AZ1113))</f>
        <v/>
      </c>
      <c r="BA1112" s="154" t="str">
        <f t="shared" si="725"/>
        <v/>
      </c>
      <c r="BC1112" s="147" t="str">
        <f t="shared" si="739"/>
        <v/>
      </c>
      <c r="BD1112" s="164" t="str">
        <f>IF(AND($C1111=12,$D1111=Input!$C$6),0,IF($E1112="","",AT1112+(AU1112+BD1113)/(1+$AK1112)*MIN((1-AM1112-AN1112),1)))</f>
        <v/>
      </c>
      <c r="BE1112" s="164" t="str">
        <f t="shared" si="712"/>
        <v/>
      </c>
      <c r="BF1112" s="164" t="str">
        <f t="shared" si="740"/>
        <v/>
      </c>
      <c r="BG1112" s="164" t="str">
        <f t="shared" si="726"/>
        <v/>
      </c>
      <c r="BH1112" s="152"/>
      <c r="BI1112" s="162" t="str">
        <f t="shared" si="748"/>
        <v/>
      </c>
      <c r="BJ1112" s="150" t="str">
        <f t="shared" si="749"/>
        <v/>
      </c>
      <c r="BK1112" s="163" t="str">
        <f t="shared" si="745"/>
        <v/>
      </c>
      <c r="BL1112" s="163" t="str">
        <f t="shared" si="750"/>
        <v/>
      </c>
      <c r="BM1112" s="163" t="str">
        <f t="shared" si="746"/>
        <v/>
      </c>
      <c r="BN1112" s="163" t="str">
        <f t="shared" si="751"/>
        <v/>
      </c>
      <c r="BO1112" s="163" t="str">
        <f t="shared" si="752"/>
        <v/>
      </c>
      <c r="BP1112" s="164" t="str">
        <f t="shared" si="747"/>
        <v/>
      </c>
      <c r="BQ1112" s="164" t="str">
        <f t="shared" si="741"/>
        <v/>
      </c>
      <c r="BR1112" s="154" t="str">
        <f t="shared" si="753"/>
        <v/>
      </c>
      <c r="BT1112" s="147" t="str">
        <f t="shared" si="727"/>
        <v/>
      </c>
      <c r="BU1112" s="164" t="str">
        <f>IF(AND($C1111=12,$D1111=Input!$C$6),0,IF($E1112="","",BK1112+(BL1112+BU1113)/(1+$AK1112)*MIN((1-T1112-U1112),1)))</f>
        <v/>
      </c>
      <c r="BV1112" s="164" t="str">
        <f t="shared" si="728"/>
        <v/>
      </c>
      <c r="BW1112" s="164" t="str">
        <f t="shared" si="729"/>
        <v/>
      </c>
      <c r="BX1112" s="164" t="str">
        <f t="shared" si="730"/>
        <v/>
      </c>
    </row>
    <row r="1113" spans="1:76" s="150" customFormat="1" x14ac:dyDescent="0.25">
      <c r="A1113" s="150" t="str">
        <f t="shared" si="742"/>
        <v/>
      </c>
      <c r="B1113" s="150" t="str">
        <f t="shared" si="743"/>
        <v/>
      </c>
      <c r="C1113" s="150" t="str">
        <f t="shared" si="744"/>
        <v/>
      </c>
      <c r="D1113" s="150" t="str">
        <f>IF(E1113="","",Input!$C$4+B1113-1)</f>
        <v/>
      </c>
      <c r="E1113" s="150" t="str">
        <f>IF(OR(AND(C1112=12,D1112=Input!$C$6),E1112=""),"",1)</f>
        <v/>
      </c>
      <c r="F1113" s="150" t="str">
        <f>IF(E1113="","",Input!$C$8+B1113-1)</f>
        <v/>
      </c>
      <c r="G1113" s="151" t="str">
        <f>IF(E1113="","",MAX(0,Input!$C$9-B1113))</f>
        <v/>
      </c>
      <c r="H1113" s="152" t="str">
        <f>IF(E1113="","",Input!$C$3)</f>
        <v/>
      </c>
      <c r="I1113" s="153" t="str">
        <f>IF(E1113="","",HLOOKUP($B1113,Input!$C$13:$BT$14,2))</f>
        <v/>
      </c>
      <c r="J1113" s="154"/>
      <c r="K1113" s="155" t="str">
        <f>IF($E1113="","",INDEX(Input!$C$16:$CP$16,1,$B1113))</f>
        <v/>
      </c>
      <c r="L1113" s="155" t="str">
        <f>IF($E1113="","",Input!$C$37)</f>
        <v/>
      </c>
      <c r="M1113" s="155" t="str">
        <f t="shared" si="713"/>
        <v/>
      </c>
      <c r="N1113" s="155" t="str">
        <f t="shared" si="714"/>
        <v/>
      </c>
      <c r="O1113" s="147" t="str">
        <f>IF($E1113="","",MIN(VLOOKUP(IF($B1113&lt;=Input!$C$7,$B1113,26),'Mortality Tables'!$A$41:$CW$67,IF($B1113&lt;=Input!$C$7+1,Input!$C$4+2,$D1113-Input!$C$7+2),0)*IF(B1113&gt;20,Input!$C$22,1)/1000,1))</f>
        <v/>
      </c>
      <c r="P1113" s="147" t="str">
        <f>IF($E1113="","",MIN(VLOOKUP(IF($B1113&lt;=Input!$C$7,$B1113,26),'Mortality Tables'!$A$12:$CW$37,IF($B1113&lt;=Input!$C$7+1,Input!$C$4+2,$D1113-Input!$C$7+2),0)*IF(B1113&gt;20,Input!$C$22,1)/1000,1))</f>
        <v/>
      </c>
      <c r="Q1113" s="155" t="str">
        <f>IF($E1113="","",Input!$C$21)</f>
        <v/>
      </c>
      <c r="R1113" s="159" t="str">
        <f>IF($E1113="","",(1-Q1113)^($F1113-Input!$C$20))</f>
        <v/>
      </c>
      <c r="S1113" s="147" t="str">
        <f t="shared" si="716"/>
        <v/>
      </c>
      <c r="T1113" s="147" t="str">
        <f t="shared" si="717"/>
        <v/>
      </c>
      <c r="U1113" s="160" t="str">
        <f>IF($E1113="","",IF($C1113=12,INDEX(Input!$C$15:$CP$15,1,$B1113),0))</f>
        <v/>
      </c>
      <c r="V1113" s="150" t="str">
        <f>IF(E1113="","",IF(C1113=1,IF($B1113=1,Input!$C$33,Input!$C$34),0))</f>
        <v/>
      </c>
      <c r="W1113" s="156" t="str">
        <f>IF($E1113="","",Input!$C$35)</f>
        <v/>
      </c>
      <c r="X1113" s="156" t="str">
        <f t="shared" si="715"/>
        <v/>
      </c>
      <c r="Y1113" s="154"/>
      <c r="Z1113" s="147" t="str">
        <f>IF($E1113="","",VLOOKUP($D1113,'Mortality Margins &amp; Grading'!$AB$5:$AF$125,3,0)*IF(Summary!$D$25="Included Margin",IF(AND($B1113&gt;Input!$C$9,Summary!$D$31&lt;&gt;"Included Margin"),0,1),0))</f>
        <v/>
      </c>
      <c r="AA1113" s="147" t="str">
        <f>IF($E1113="","",VLOOKUP($D1113,'Mortality Margins &amp; Grading'!$AB$5:$AF$125,5,0)*IF(Summary!$D$25="Included Margin",IF(AND($B1113&gt;Input!$C$9,Summary!$D$31&lt;&gt;"Included Margin"),0,1),0))</f>
        <v/>
      </c>
      <c r="AB1113" s="147" t="str">
        <f>IF($E1113="","",IF(AND($B1113&gt;Input!$C$9,Summary!$D$31&lt;&gt;"Included Margin"),1,IF(Summary!$D$25="Included Margin",VLOOKUP($B1113,'Mortality Margins &amp; Grading'!$AI$5:$AR$125,MATCH('Mortality Margins &amp; Grading'!$AQ$4,'Mortality Margins &amp; Grading'!$AI$4:$AR$4,0),0),1)))</f>
        <v/>
      </c>
      <c r="AC1113" s="154"/>
      <c r="AD1113" s="158" t="str">
        <f>IF(E1113="","",Input!$C$48*IF(Summary!$D$30="Included Margin",IF(AND($B1113&gt;Input!$C$9,Summary!$D$31&lt;&gt;"Included Margin"),0,1),0))</f>
        <v/>
      </c>
      <c r="AE1113" s="159" t="str">
        <f>IF(E1113="","",IF(Summary!$D$26="Included Margin",IF(AND($B1113&gt;Input!$C$9,Summary!$D$31&lt;&gt;"Included Margin"),1,1/$R1113),1))</f>
        <v/>
      </c>
      <c r="AF1113" s="160" t="str">
        <f>IF(E1113="","",IF(AND($B1113&gt;=Input!$C$9,$C1113=12,Summary!$D$31="Included Margin",$U1113&gt;0),1/U1113-1,IF($B1113&gt;=Input!$C$9,0,Input!$C$45*IF(Summary!$D$27="Included Margin",1,0))))</f>
        <v/>
      </c>
      <c r="AG1113" s="160" t="str">
        <f>IF(E1113="","",Input!$C$46*IF(Summary!$D$28="Included Margin",IF(AND($B1113&gt;Input!$C$9,Summary!$D$31&lt;&gt;"Included Margin"),0,1),0))</f>
        <v/>
      </c>
      <c r="AH1113" s="158" t="str">
        <f>IF(E1113="","",Input!$C$47*IF(Summary!$D$29="Included Margin",IF(AND($B1113&gt;Input!$C$9,Summary!$D$31&lt;&gt;"Included Margin"),0,1),0))</f>
        <v/>
      </c>
      <c r="AI1113" s="154"/>
      <c r="AJ1113" s="158" t="str">
        <f t="shared" si="731"/>
        <v/>
      </c>
      <c r="AK1113" s="155" t="str">
        <f t="shared" si="732"/>
        <v/>
      </c>
      <c r="AL1113" s="147" t="str">
        <f t="shared" si="733"/>
        <v/>
      </c>
      <c r="AM1113" s="147" t="str">
        <f t="shared" si="718"/>
        <v/>
      </c>
      <c r="AN1113" s="160" t="str">
        <f t="shared" si="734"/>
        <v/>
      </c>
      <c r="AO1113" s="161" t="str">
        <f t="shared" si="735"/>
        <v/>
      </c>
      <c r="AP1113" s="156" t="str">
        <f t="shared" si="719"/>
        <v/>
      </c>
      <c r="AQ1113" s="152"/>
      <c r="AR1113" s="162" t="str">
        <f t="shared" si="720"/>
        <v/>
      </c>
      <c r="AS1113" s="150" t="str">
        <f t="shared" si="736"/>
        <v/>
      </c>
      <c r="AT1113" s="163" t="str">
        <f t="shared" si="721"/>
        <v/>
      </c>
      <c r="AU1113" s="163" t="str">
        <f t="shared" si="722"/>
        <v/>
      </c>
      <c r="AV1113" s="163" t="str">
        <f t="shared" si="737"/>
        <v/>
      </c>
      <c r="AW1113" s="163" t="str">
        <f t="shared" si="723"/>
        <v/>
      </c>
      <c r="AX1113" s="163" t="str">
        <f t="shared" si="724"/>
        <v/>
      </c>
      <c r="AY1113" s="164" t="str">
        <f t="shared" si="738"/>
        <v/>
      </c>
      <c r="AZ1113" s="164" t="str">
        <f>IF($E1113="","",IF(OR(AND($D1113=Input!$C$6,$C1113=12),$AN1113=1),0,-AS1114+AT1114+AU1114-AV1114-AW1114-AX1114+AZ1114))</f>
        <v/>
      </c>
      <c r="BA1113" s="154" t="str">
        <f t="shared" si="725"/>
        <v/>
      </c>
      <c r="BC1113" s="147" t="str">
        <f t="shared" si="739"/>
        <v/>
      </c>
      <c r="BD1113" s="164" t="str">
        <f>IF(AND($C1112=12,$D1112=Input!$C$6),0,IF($E1113="","",AT1113+(AU1113+BD1114)/(1+$AK1113)*MIN((1-AM1113-AN1113),1)))</f>
        <v/>
      </c>
      <c r="BE1113" s="164" t="str">
        <f t="shared" si="712"/>
        <v/>
      </c>
      <c r="BF1113" s="164" t="str">
        <f t="shared" si="740"/>
        <v/>
      </c>
      <c r="BG1113" s="164" t="str">
        <f t="shared" si="726"/>
        <v/>
      </c>
      <c r="BH1113" s="152"/>
      <c r="BI1113" s="162" t="str">
        <f t="shared" si="748"/>
        <v/>
      </c>
      <c r="BJ1113" s="150" t="str">
        <f t="shared" si="749"/>
        <v/>
      </c>
      <c r="BK1113" s="163" t="str">
        <f t="shared" si="745"/>
        <v/>
      </c>
      <c r="BL1113" s="163" t="str">
        <f t="shared" si="750"/>
        <v/>
      </c>
      <c r="BM1113" s="163" t="str">
        <f t="shared" si="746"/>
        <v/>
      </c>
      <c r="BN1113" s="163" t="str">
        <f t="shared" si="751"/>
        <v/>
      </c>
      <c r="BO1113" s="163" t="str">
        <f t="shared" si="752"/>
        <v/>
      </c>
      <c r="BP1113" s="164" t="str">
        <f t="shared" si="747"/>
        <v/>
      </c>
      <c r="BQ1113" s="164" t="str">
        <f t="shared" si="741"/>
        <v/>
      </c>
      <c r="BR1113" s="154" t="str">
        <f t="shared" si="753"/>
        <v/>
      </c>
      <c r="BT1113" s="147" t="str">
        <f t="shared" si="727"/>
        <v/>
      </c>
      <c r="BU1113" s="164" t="str">
        <f>IF(AND($C1112=12,$D1112=Input!$C$6),0,IF($E1113="","",BK1113+(BL1113+BU1114)/(1+$AK1113)*MIN((1-T1113-U1113),1)))</f>
        <v/>
      </c>
      <c r="BV1113" s="164" t="str">
        <f t="shared" si="728"/>
        <v/>
      </c>
      <c r="BW1113" s="164" t="str">
        <f t="shared" si="729"/>
        <v/>
      </c>
      <c r="BX1113" s="164" t="str">
        <f t="shared" si="730"/>
        <v/>
      </c>
    </row>
    <row r="1114" spans="1:76" s="150" customFormat="1" x14ac:dyDescent="0.25">
      <c r="A1114" s="150" t="str">
        <f t="shared" si="742"/>
        <v/>
      </c>
      <c r="B1114" s="150" t="str">
        <f t="shared" si="743"/>
        <v/>
      </c>
      <c r="C1114" s="150" t="str">
        <f t="shared" si="744"/>
        <v/>
      </c>
      <c r="D1114" s="150" t="str">
        <f>IF(E1114="","",Input!$C$4+B1114-1)</f>
        <v/>
      </c>
      <c r="E1114" s="150" t="str">
        <f>IF(OR(AND(C1113=12,D1113=Input!$C$6),E1113=""),"",1)</f>
        <v/>
      </c>
      <c r="F1114" s="150" t="str">
        <f>IF(E1114="","",Input!$C$8+B1114-1)</f>
        <v/>
      </c>
      <c r="G1114" s="151" t="str">
        <f>IF(E1114="","",MAX(0,Input!$C$9-B1114))</f>
        <v/>
      </c>
      <c r="H1114" s="152" t="str">
        <f>IF(E1114="","",Input!$C$3)</f>
        <v/>
      </c>
      <c r="I1114" s="153" t="str">
        <f>IF(E1114="","",HLOOKUP($B1114,Input!$C$13:$BT$14,2))</f>
        <v/>
      </c>
      <c r="J1114" s="154"/>
      <c r="K1114" s="155" t="str">
        <f>IF($E1114="","",INDEX(Input!$C$16:$CP$16,1,$B1114))</f>
        <v/>
      </c>
      <c r="L1114" s="155" t="str">
        <f>IF($E1114="","",Input!$C$37)</f>
        <v/>
      </c>
      <c r="M1114" s="155" t="str">
        <f t="shared" si="713"/>
        <v/>
      </c>
      <c r="N1114" s="155" t="str">
        <f t="shared" si="714"/>
        <v/>
      </c>
      <c r="O1114" s="147" t="str">
        <f>IF($E1114="","",MIN(VLOOKUP(IF($B1114&lt;=Input!$C$7,$B1114,26),'Mortality Tables'!$A$41:$CW$67,IF($B1114&lt;=Input!$C$7+1,Input!$C$4+2,$D1114-Input!$C$7+2),0)*IF(B1114&gt;20,Input!$C$22,1)/1000,1))</f>
        <v/>
      </c>
      <c r="P1114" s="147" t="str">
        <f>IF($E1114="","",MIN(VLOOKUP(IF($B1114&lt;=Input!$C$7,$B1114,26),'Mortality Tables'!$A$12:$CW$37,IF($B1114&lt;=Input!$C$7+1,Input!$C$4+2,$D1114-Input!$C$7+2),0)*IF(B1114&gt;20,Input!$C$22,1)/1000,1))</f>
        <v/>
      </c>
      <c r="Q1114" s="155" t="str">
        <f>IF($E1114="","",Input!$C$21)</f>
        <v/>
      </c>
      <c r="R1114" s="159" t="str">
        <f>IF($E1114="","",(1-Q1114)^($F1114-Input!$C$20))</f>
        <v/>
      </c>
      <c r="S1114" s="147" t="str">
        <f t="shared" si="716"/>
        <v/>
      </c>
      <c r="T1114" s="147" t="str">
        <f t="shared" si="717"/>
        <v/>
      </c>
      <c r="U1114" s="160" t="str">
        <f>IF($E1114="","",IF($C1114=12,INDEX(Input!$C$15:$CP$15,1,$B1114),0))</f>
        <v/>
      </c>
      <c r="V1114" s="150" t="str">
        <f>IF(E1114="","",IF(C1114=1,IF($B1114=1,Input!$C$33,Input!$C$34),0))</f>
        <v/>
      </c>
      <c r="W1114" s="156" t="str">
        <f>IF($E1114="","",Input!$C$35)</f>
        <v/>
      </c>
      <c r="X1114" s="156" t="str">
        <f t="shared" si="715"/>
        <v/>
      </c>
      <c r="Y1114" s="154"/>
      <c r="Z1114" s="147" t="str">
        <f>IF($E1114="","",VLOOKUP($D1114,'Mortality Margins &amp; Grading'!$AB$5:$AF$125,3,0)*IF(Summary!$D$25="Included Margin",IF(AND($B1114&gt;Input!$C$9,Summary!$D$31&lt;&gt;"Included Margin"),0,1),0))</f>
        <v/>
      </c>
      <c r="AA1114" s="147" t="str">
        <f>IF($E1114="","",VLOOKUP($D1114,'Mortality Margins &amp; Grading'!$AB$5:$AF$125,5,0)*IF(Summary!$D$25="Included Margin",IF(AND($B1114&gt;Input!$C$9,Summary!$D$31&lt;&gt;"Included Margin"),0,1),0))</f>
        <v/>
      </c>
      <c r="AB1114" s="147" t="str">
        <f>IF($E1114="","",IF(AND($B1114&gt;Input!$C$9,Summary!$D$31&lt;&gt;"Included Margin"),1,IF(Summary!$D$25="Included Margin",VLOOKUP($B1114,'Mortality Margins &amp; Grading'!$AI$5:$AR$125,MATCH('Mortality Margins &amp; Grading'!$AQ$4,'Mortality Margins &amp; Grading'!$AI$4:$AR$4,0),0),1)))</f>
        <v/>
      </c>
      <c r="AC1114" s="154"/>
      <c r="AD1114" s="158" t="str">
        <f>IF(E1114="","",Input!$C$48*IF(Summary!$D$30="Included Margin",IF(AND($B1114&gt;Input!$C$9,Summary!$D$31&lt;&gt;"Included Margin"),0,1),0))</f>
        <v/>
      </c>
      <c r="AE1114" s="159" t="str">
        <f>IF(E1114="","",IF(Summary!$D$26="Included Margin",IF(AND($B1114&gt;Input!$C$9,Summary!$D$31&lt;&gt;"Included Margin"),1,1/$R1114),1))</f>
        <v/>
      </c>
      <c r="AF1114" s="160" t="str">
        <f>IF(E1114="","",IF(AND($B1114&gt;=Input!$C$9,$C1114=12,Summary!$D$31="Included Margin",$U1114&gt;0),1/U1114-1,IF($B1114&gt;=Input!$C$9,0,Input!$C$45*IF(Summary!$D$27="Included Margin",1,0))))</f>
        <v/>
      </c>
      <c r="AG1114" s="160" t="str">
        <f>IF(E1114="","",Input!$C$46*IF(Summary!$D$28="Included Margin",IF(AND($B1114&gt;Input!$C$9,Summary!$D$31&lt;&gt;"Included Margin"),0,1),0))</f>
        <v/>
      </c>
      <c r="AH1114" s="158" t="str">
        <f>IF(E1114="","",Input!$C$47*IF(Summary!$D$29="Included Margin",IF(AND($B1114&gt;Input!$C$9,Summary!$D$31&lt;&gt;"Included Margin"),0,1),0))</f>
        <v/>
      </c>
      <c r="AI1114" s="154"/>
      <c r="AJ1114" s="158" t="str">
        <f t="shared" si="731"/>
        <v/>
      </c>
      <c r="AK1114" s="155" t="str">
        <f t="shared" si="732"/>
        <v/>
      </c>
      <c r="AL1114" s="147" t="str">
        <f t="shared" si="733"/>
        <v/>
      </c>
      <c r="AM1114" s="147" t="str">
        <f t="shared" si="718"/>
        <v/>
      </c>
      <c r="AN1114" s="160" t="str">
        <f t="shared" si="734"/>
        <v/>
      </c>
      <c r="AO1114" s="161" t="str">
        <f t="shared" si="735"/>
        <v/>
      </c>
      <c r="AP1114" s="156" t="str">
        <f t="shared" si="719"/>
        <v/>
      </c>
      <c r="AQ1114" s="152"/>
      <c r="AR1114" s="162" t="str">
        <f t="shared" si="720"/>
        <v/>
      </c>
      <c r="AS1114" s="150" t="str">
        <f t="shared" si="736"/>
        <v/>
      </c>
      <c r="AT1114" s="163" t="str">
        <f t="shared" si="721"/>
        <v/>
      </c>
      <c r="AU1114" s="163" t="str">
        <f t="shared" si="722"/>
        <v/>
      </c>
      <c r="AV1114" s="163" t="str">
        <f t="shared" si="737"/>
        <v/>
      </c>
      <c r="AW1114" s="163" t="str">
        <f t="shared" si="723"/>
        <v/>
      </c>
      <c r="AX1114" s="163" t="str">
        <f t="shared" si="724"/>
        <v/>
      </c>
      <c r="AY1114" s="165" t="str">
        <f t="shared" si="738"/>
        <v/>
      </c>
      <c r="AZ1114" s="164" t="str">
        <f>IF($E1114="","",IF(OR(AND($D1114=Input!$C$6,$C1114=12),$AN1114=1),0,-AS1115+AT1115+AU1115-AV1115-AW1115-AX1115+AZ1115))</f>
        <v/>
      </c>
      <c r="BA1114" s="154" t="str">
        <f t="shared" si="725"/>
        <v/>
      </c>
      <c r="BC1114" s="147" t="str">
        <f t="shared" si="739"/>
        <v/>
      </c>
      <c r="BD1114" s="164" t="str">
        <f>IF(AND($C1113=12,$D1113=Input!$C$6),0,IF($E1114="","",AT1114+(AU1114+BD1115)/(1+$AK1114)*MIN((1-AM1114-AN1114),1)))</f>
        <v/>
      </c>
      <c r="BE1114" s="164" t="str">
        <f t="shared" ref="BE1114:BE1152" si="754">IF($E1114="","",BC1114*BD1114)</f>
        <v/>
      </c>
      <c r="BF1114" s="164" t="str">
        <f t="shared" si="740"/>
        <v/>
      </c>
      <c r="BG1114" s="164" t="str">
        <f t="shared" si="726"/>
        <v/>
      </c>
      <c r="BH1114" s="152"/>
      <c r="BI1114" s="162" t="str">
        <f t="shared" si="748"/>
        <v/>
      </c>
      <c r="BJ1114" s="150" t="str">
        <f t="shared" si="749"/>
        <v/>
      </c>
      <c r="BK1114" s="163" t="str">
        <f t="shared" si="745"/>
        <v/>
      </c>
      <c r="BL1114" s="163" t="str">
        <f t="shared" si="750"/>
        <v/>
      </c>
      <c r="BM1114" s="163" t="str">
        <f t="shared" si="746"/>
        <v/>
      </c>
      <c r="BN1114" s="163" t="str">
        <f t="shared" si="751"/>
        <v/>
      </c>
      <c r="BO1114" s="163" t="str">
        <f t="shared" si="752"/>
        <v/>
      </c>
      <c r="BP1114" s="164" t="str">
        <f t="shared" si="747"/>
        <v/>
      </c>
      <c r="BQ1114" s="164" t="str">
        <f t="shared" si="741"/>
        <v/>
      </c>
      <c r="BR1114" s="154" t="str">
        <f t="shared" si="753"/>
        <v/>
      </c>
      <c r="BT1114" s="147" t="str">
        <f t="shared" si="727"/>
        <v/>
      </c>
      <c r="BU1114" s="164" t="str">
        <f>IF(AND($C1113=12,$D1113=Input!$C$6),0,IF($E1114="","",BK1114+(BL1114+BU1115)/(1+$AK1114)*MIN((1-T1114-U1114),1)))</f>
        <v/>
      </c>
      <c r="BV1114" s="164" t="str">
        <f t="shared" si="728"/>
        <v/>
      </c>
      <c r="BW1114" s="164" t="str">
        <f t="shared" si="729"/>
        <v/>
      </c>
      <c r="BX1114" s="164" t="str">
        <f t="shared" si="730"/>
        <v/>
      </c>
    </row>
    <row r="1115" spans="1:76" s="150" customFormat="1" x14ac:dyDescent="0.25">
      <c r="A1115" s="150" t="str">
        <f t="shared" si="742"/>
        <v/>
      </c>
      <c r="B1115" s="150" t="str">
        <f t="shared" si="743"/>
        <v/>
      </c>
      <c r="C1115" s="150" t="str">
        <f t="shared" si="744"/>
        <v/>
      </c>
      <c r="D1115" s="150" t="str">
        <f>IF(E1115="","",Input!$C$4+B1115-1)</f>
        <v/>
      </c>
      <c r="E1115" s="150" t="str">
        <f>IF(OR(AND(C1114=12,D1114=Input!$C$6),E1114=""),"",1)</f>
        <v/>
      </c>
      <c r="F1115" s="150" t="str">
        <f>IF(E1115="","",Input!$C$8+B1115-1)</f>
        <v/>
      </c>
      <c r="G1115" s="151" t="str">
        <f>IF(E1115="","",MAX(0,Input!$C$9-B1115))</f>
        <v/>
      </c>
      <c r="H1115" s="152" t="str">
        <f>IF(E1115="","",Input!$C$3)</f>
        <v/>
      </c>
      <c r="I1115" s="153" t="str">
        <f>IF(E1115="","",HLOOKUP($B1115,Input!$C$13:$BT$14,2))</f>
        <v/>
      </c>
      <c r="J1115" s="154"/>
      <c r="K1115" s="155" t="str">
        <f>IF($E1115="","",INDEX(Input!$C$16:$CP$16,1,$B1115))</f>
        <v/>
      </c>
      <c r="L1115" s="155" t="str">
        <f>IF($E1115="","",Input!$C$37)</f>
        <v/>
      </c>
      <c r="M1115" s="155" t="str">
        <f t="shared" si="713"/>
        <v/>
      </c>
      <c r="N1115" s="155" t="str">
        <f t="shared" si="714"/>
        <v/>
      </c>
      <c r="O1115" s="147" t="str">
        <f>IF($E1115="","",MIN(VLOOKUP(IF($B1115&lt;=Input!$C$7,$B1115,26),'Mortality Tables'!$A$41:$CW$67,IF($B1115&lt;=Input!$C$7+1,Input!$C$4+2,$D1115-Input!$C$7+2),0)*IF(B1115&gt;20,Input!$C$22,1)/1000,1))</f>
        <v/>
      </c>
      <c r="P1115" s="147" t="str">
        <f>IF($E1115="","",MIN(VLOOKUP(IF($B1115&lt;=Input!$C$7,$B1115,26),'Mortality Tables'!$A$12:$CW$37,IF($B1115&lt;=Input!$C$7+1,Input!$C$4+2,$D1115-Input!$C$7+2),0)*IF(B1115&gt;20,Input!$C$22,1)/1000,1))</f>
        <v/>
      </c>
      <c r="Q1115" s="155" t="str">
        <f>IF($E1115="","",Input!$C$21)</f>
        <v/>
      </c>
      <c r="R1115" s="159" t="str">
        <f>IF($E1115="","",(1-Q1115)^($F1115-Input!$C$20))</f>
        <v/>
      </c>
      <c r="S1115" s="147" t="str">
        <f t="shared" si="716"/>
        <v/>
      </c>
      <c r="T1115" s="147" t="str">
        <f t="shared" si="717"/>
        <v/>
      </c>
      <c r="U1115" s="160" t="str">
        <f>IF($E1115="","",IF($C1115=12,INDEX(Input!$C$15:$CP$15,1,$B1115),0))</f>
        <v/>
      </c>
      <c r="V1115" s="150" t="str">
        <f>IF(E1115="","",IF(C1115=1,IF($B1115=1,Input!$C$33,Input!$C$34),0))</f>
        <v/>
      </c>
      <c r="W1115" s="156" t="str">
        <f>IF($E1115="","",Input!$C$35)</f>
        <v/>
      </c>
      <c r="X1115" s="156" t="str">
        <f t="shared" si="715"/>
        <v/>
      </c>
      <c r="Y1115" s="154"/>
      <c r="Z1115" s="147" t="str">
        <f>IF($E1115="","",VLOOKUP($D1115,'Mortality Margins &amp; Grading'!$AB$5:$AF$125,3,0)*IF(Summary!$D$25="Included Margin",IF(AND($B1115&gt;Input!$C$9,Summary!$D$31&lt;&gt;"Included Margin"),0,1),0))</f>
        <v/>
      </c>
      <c r="AA1115" s="147" t="str">
        <f>IF($E1115="","",VLOOKUP($D1115,'Mortality Margins &amp; Grading'!$AB$5:$AF$125,5,0)*IF(Summary!$D$25="Included Margin",IF(AND($B1115&gt;Input!$C$9,Summary!$D$31&lt;&gt;"Included Margin"),0,1),0))</f>
        <v/>
      </c>
      <c r="AB1115" s="147" t="str">
        <f>IF($E1115="","",IF(AND($B1115&gt;Input!$C$9,Summary!$D$31&lt;&gt;"Included Margin"),1,IF(Summary!$D$25="Included Margin",VLOOKUP($B1115,'Mortality Margins &amp; Grading'!$AI$5:$AR$125,MATCH('Mortality Margins &amp; Grading'!$AQ$4,'Mortality Margins &amp; Grading'!$AI$4:$AR$4,0),0),1)))</f>
        <v/>
      </c>
      <c r="AC1115" s="154"/>
      <c r="AD1115" s="158" t="str">
        <f>IF(E1115="","",Input!$C$48*IF(Summary!$D$30="Included Margin",IF(AND($B1115&gt;Input!$C$9,Summary!$D$31&lt;&gt;"Included Margin"),0,1),0))</f>
        <v/>
      </c>
      <c r="AE1115" s="159" t="str">
        <f>IF(E1115="","",IF(Summary!$D$26="Included Margin",IF(AND($B1115&gt;Input!$C$9,Summary!$D$31&lt;&gt;"Included Margin"),1,1/$R1115),1))</f>
        <v/>
      </c>
      <c r="AF1115" s="160" t="str">
        <f>IF(E1115="","",IF(AND($B1115&gt;=Input!$C$9,$C1115=12,Summary!$D$31="Included Margin",$U1115&gt;0),1/U1115-1,IF($B1115&gt;=Input!$C$9,0,Input!$C$45*IF(Summary!$D$27="Included Margin",1,0))))</f>
        <v/>
      </c>
      <c r="AG1115" s="160" t="str">
        <f>IF(E1115="","",Input!$C$46*IF(Summary!$D$28="Included Margin",IF(AND($B1115&gt;Input!$C$9,Summary!$D$31&lt;&gt;"Included Margin"),0,1),0))</f>
        <v/>
      </c>
      <c r="AH1115" s="158" t="str">
        <f>IF(E1115="","",Input!$C$47*IF(Summary!$D$29="Included Margin",IF(AND($B1115&gt;Input!$C$9,Summary!$D$31&lt;&gt;"Included Margin"),0,1),0))</f>
        <v/>
      </c>
      <c r="AI1115" s="154"/>
      <c r="AJ1115" s="158" t="str">
        <f t="shared" si="731"/>
        <v/>
      </c>
      <c r="AK1115" s="155" t="str">
        <f t="shared" si="732"/>
        <v/>
      </c>
      <c r="AL1115" s="147" t="str">
        <f t="shared" si="733"/>
        <v/>
      </c>
      <c r="AM1115" s="147" t="str">
        <f t="shared" si="718"/>
        <v/>
      </c>
      <c r="AN1115" s="160" t="str">
        <f t="shared" si="734"/>
        <v/>
      </c>
      <c r="AO1115" s="161" t="str">
        <f t="shared" si="735"/>
        <v/>
      </c>
      <c r="AP1115" s="156" t="str">
        <f t="shared" si="719"/>
        <v/>
      </c>
      <c r="AQ1115" s="152"/>
      <c r="AR1115" s="162" t="str">
        <f t="shared" si="720"/>
        <v/>
      </c>
      <c r="AS1115" s="150" t="str">
        <f t="shared" si="736"/>
        <v/>
      </c>
      <c r="AT1115" s="163" t="str">
        <f t="shared" si="721"/>
        <v/>
      </c>
      <c r="AU1115" s="163" t="str">
        <f t="shared" si="722"/>
        <v/>
      </c>
      <c r="AV1115" s="163" t="str">
        <f t="shared" si="737"/>
        <v/>
      </c>
      <c r="AW1115" s="163" t="str">
        <f t="shared" si="723"/>
        <v/>
      </c>
      <c r="AX1115" s="163" t="str">
        <f t="shared" si="724"/>
        <v/>
      </c>
      <c r="AY1115" s="164" t="str">
        <f t="shared" si="738"/>
        <v/>
      </c>
      <c r="AZ1115" s="164" t="str">
        <f>IF($E1115="","",IF(OR(AND($D1115=Input!$C$6,$C1115=12),$AN1115=1),0,-AS1116+AT1116+AU1116-AV1116-AW1116-AX1116+AZ1116))</f>
        <v/>
      </c>
      <c r="BA1115" s="154" t="str">
        <f t="shared" si="725"/>
        <v/>
      </c>
      <c r="BC1115" s="147" t="str">
        <f t="shared" si="739"/>
        <v/>
      </c>
      <c r="BD1115" s="164" t="str">
        <f>IF(AND($C1114=12,$D1114=Input!$C$6),0,IF($E1115="","",AT1115+(AU1115+BD1116)/(1+$AK1115)*MIN((1-AM1115-AN1115),1)))</f>
        <v/>
      </c>
      <c r="BE1115" s="164" t="str">
        <f t="shared" si="754"/>
        <v/>
      </c>
      <c r="BF1115" s="164" t="str">
        <f t="shared" si="740"/>
        <v/>
      </c>
      <c r="BG1115" s="164" t="str">
        <f t="shared" si="726"/>
        <v/>
      </c>
      <c r="BH1115" s="152"/>
      <c r="BI1115" s="162" t="str">
        <f t="shared" si="748"/>
        <v/>
      </c>
      <c r="BJ1115" s="150" t="str">
        <f t="shared" si="749"/>
        <v/>
      </c>
      <c r="BK1115" s="163" t="str">
        <f t="shared" si="745"/>
        <v/>
      </c>
      <c r="BL1115" s="163" t="str">
        <f t="shared" si="750"/>
        <v/>
      </c>
      <c r="BM1115" s="163" t="str">
        <f t="shared" si="746"/>
        <v/>
      </c>
      <c r="BN1115" s="163" t="str">
        <f t="shared" si="751"/>
        <v/>
      </c>
      <c r="BO1115" s="163" t="str">
        <f t="shared" si="752"/>
        <v/>
      </c>
      <c r="BP1115" s="164" t="str">
        <f t="shared" si="747"/>
        <v/>
      </c>
      <c r="BQ1115" s="164" t="str">
        <f t="shared" si="741"/>
        <v/>
      </c>
      <c r="BR1115" s="154" t="str">
        <f t="shared" si="753"/>
        <v/>
      </c>
      <c r="BT1115" s="147" t="str">
        <f t="shared" si="727"/>
        <v/>
      </c>
      <c r="BU1115" s="164" t="str">
        <f>IF(AND($C1114=12,$D1114=Input!$C$6),0,IF($E1115="","",BK1115+(BL1115+BU1116)/(1+$AK1115)*MIN((1-T1115-U1115),1)))</f>
        <v/>
      </c>
      <c r="BV1115" s="164" t="str">
        <f t="shared" si="728"/>
        <v/>
      </c>
      <c r="BW1115" s="164" t="str">
        <f t="shared" si="729"/>
        <v/>
      </c>
      <c r="BX1115" s="164" t="str">
        <f t="shared" si="730"/>
        <v/>
      </c>
    </row>
    <row r="1116" spans="1:76" s="150" customFormat="1" x14ac:dyDescent="0.25">
      <c r="A1116" s="150" t="str">
        <f t="shared" si="742"/>
        <v/>
      </c>
      <c r="B1116" s="150" t="str">
        <f t="shared" si="743"/>
        <v/>
      </c>
      <c r="C1116" s="150" t="str">
        <f t="shared" si="744"/>
        <v/>
      </c>
      <c r="D1116" s="150" t="str">
        <f>IF(E1116="","",Input!$C$4+B1116-1)</f>
        <v/>
      </c>
      <c r="E1116" s="150" t="str">
        <f>IF(OR(AND(C1115=12,D1115=Input!$C$6),E1115=""),"",1)</f>
        <v/>
      </c>
      <c r="F1116" s="150" t="str">
        <f>IF(E1116="","",Input!$C$8+B1116-1)</f>
        <v/>
      </c>
      <c r="G1116" s="151" t="str">
        <f>IF(E1116="","",MAX(0,Input!$C$9-B1116))</f>
        <v/>
      </c>
      <c r="H1116" s="152" t="str">
        <f>IF(E1116="","",Input!$C$3)</f>
        <v/>
      </c>
      <c r="I1116" s="153" t="str">
        <f>IF(E1116="","",HLOOKUP($B1116,Input!$C$13:$BT$14,2))</f>
        <v/>
      </c>
      <c r="J1116" s="154"/>
      <c r="K1116" s="155" t="str">
        <f>IF($E1116="","",INDEX(Input!$C$16:$CP$16,1,$B1116))</f>
        <v/>
      </c>
      <c r="L1116" s="155" t="str">
        <f>IF($E1116="","",Input!$C$37)</f>
        <v/>
      </c>
      <c r="M1116" s="155" t="str">
        <f t="shared" si="713"/>
        <v/>
      </c>
      <c r="N1116" s="155" t="str">
        <f t="shared" si="714"/>
        <v/>
      </c>
      <c r="O1116" s="147" t="str">
        <f>IF($E1116="","",MIN(VLOOKUP(IF($B1116&lt;=Input!$C$7,$B1116,26),'Mortality Tables'!$A$41:$CW$67,IF($B1116&lt;=Input!$C$7+1,Input!$C$4+2,$D1116-Input!$C$7+2),0)*IF(B1116&gt;20,Input!$C$22,1)/1000,1))</f>
        <v/>
      </c>
      <c r="P1116" s="147" t="str">
        <f>IF($E1116="","",MIN(VLOOKUP(IF($B1116&lt;=Input!$C$7,$B1116,26),'Mortality Tables'!$A$12:$CW$37,IF($B1116&lt;=Input!$C$7+1,Input!$C$4+2,$D1116-Input!$C$7+2),0)*IF(B1116&gt;20,Input!$C$22,1)/1000,1))</f>
        <v/>
      </c>
      <c r="Q1116" s="155" t="str">
        <f>IF($E1116="","",Input!$C$21)</f>
        <v/>
      </c>
      <c r="R1116" s="159" t="str">
        <f>IF($E1116="","",(1-Q1116)^($F1116-Input!$C$20))</f>
        <v/>
      </c>
      <c r="S1116" s="147" t="str">
        <f t="shared" si="716"/>
        <v/>
      </c>
      <c r="T1116" s="147" t="str">
        <f t="shared" si="717"/>
        <v/>
      </c>
      <c r="U1116" s="160" t="str">
        <f>IF($E1116="","",IF($C1116=12,INDEX(Input!$C$15:$CP$15,1,$B1116),0))</f>
        <v/>
      </c>
      <c r="V1116" s="150" t="str">
        <f>IF(E1116="","",IF(C1116=1,IF($B1116=1,Input!$C$33,Input!$C$34),0))</f>
        <v/>
      </c>
      <c r="W1116" s="156" t="str">
        <f>IF($E1116="","",Input!$C$35)</f>
        <v/>
      </c>
      <c r="X1116" s="156" t="str">
        <f t="shared" si="715"/>
        <v/>
      </c>
      <c r="Y1116" s="154"/>
      <c r="Z1116" s="147" t="str">
        <f>IF($E1116="","",VLOOKUP($D1116,'Mortality Margins &amp; Grading'!$AB$5:$AF$125,3,0)*IF(Summary!$D$25="Included Margin",IF(AND($B1116&gt;Input!$C$9,Summary!$D$31&lt;&gt;"Included Margin"),0,1),0))</f>
        <v/>
      </c>
      <c r="AA1116" s="147" t="str">
        <f>IF($E1116="","",VLOOKUP($D1116,'Mortality Margins &amp; Grading'!$AB$5:$AF$125,5,0)*IF(Summary!$D$25="Included Margin",IF(AND($B1116&gt;Input!$C$9,Summary!$D$31&lt;&gt;"Included Margin"),0,1),0))</f>
        <v/>
      </c>
      <c r="AB1116" s="147" t="str">
        <f>IF($E1116="","",IF(AND($B1116&gt;Input!$C$9,Summary!$D$31&lt;&gt;"Included Margin"),1,IF(Summary!$D$25="Included Margin",VLOOKUP($B1116,'Mortality Margins &amp; Grading'!$AI$5:$AR$125,MATCH('Mortality Margins &amp; Grading'!$AQ$4,'Mortality Margins &amp; Grading'!$AI$4:$AR$4,0),0),1)))</f>
        <v/>
      </c>
      <c r="AC1116" s="154"/>
      <c r="AD1116" s="158" t="str">
        <f>IF(E1116="","",Input!$C$48*IF(Summary!$D$30="Included Margin",IF(AND($B1116&gt;Input!$C$9,Summary!$D$31&lt;&gt;"Included Margin"),0,1),0))</f>
        <v/>
      </c>
      <c r="AE1116" s="159" t="str">
        <f>IF(E1116="","",IF(Summary!$D$26="Included Margin",IF(AND($B1116&gt;Input!$C$9,Summary!$D$31&lt;&gt;"Included Margin"),1,1/$R1116),1))</f>
        <v/>
      </c>
      <c r="AF1116" s="160" t="str">
        <f>IF(E1116="","",IF(AND($B1116&gt;=Input!$C$9,$C1116=12,Summary!$D$31="Included Margin",$U1116&gt;0),1/U1116-1,IF($B1116&gt;=Input!$C$9,0,Input!$C$45*IF(Summary!$D$27="Included Margin",1,0))))</f>
        <v/>
      </c>
      <c r="AG1116" s="160" t="str">
        <f>IF(E1116="","",Input!$C$46*IF(Summary!$D$28="Included Margin",IF(AND($B1116&gt;Input!$C$9,Summary!$D$31&lt;&gt;"Included Margin"),0,1),0))</f>
        <v/>
      </c>
      <c r="AH1116" s="158" t="str">
        <f>IF(E1116="","",Input!$C$47*IF(Summary!$D$29="Included Margin",IF(AND($B1116&gt;Input!$C$9,Summary!$D$31&lt;&gt;"Included Margin"),0,1),0))</f>
        <v/>
      </c>
      <c r="AI1116" s="154"/>
      <c r="AJ1116" s="158" t="str">
        <f t="shared" si="731"/>
        <v/>
      </c>
      <c r="AK1116" s="155" t="str">
        <f t="shared" si="732"/>
        <v/>
      </c>
      <c r="AL1116" s="147" t="str">
        <f t="shared" si="733"/>
        <v/>
      </c>
      <c r="AM1116" s="147" t="str">
        <f t="shared" si="718"/>
        <v/>
      </c>
      <c r="AN1116" s="160" t="str">
        <f t="shared" si="734"/>
        <v/>
      </c>
      <c r="AO1116" s="161" t="str">
        <f t="shared" si="735"/>
        <v/>
      </c>
      <c r="AP1116" s="156" t="str">
        <f t="shared" si="719"/>
        <v/>
      </c>
      <c r="AQ1116" s="152"/>
      <c r="AR1116" s="162" t="str">
        <f t="shared" si="720"/>
        <v/>
      </c>
      <c r="AS1116" s="150" t="str">
        <f t="shared" si="736"/>
        <v/>
      </c>
      <c r="AT1116" s="163" t="str">
        <f t="shared" si="721"/>
        <v/>
      </c>
      <c r="AU1116" s="163" t="str">
        <f t="shared" si="722"/>
        <v/>
      </c>
      <c r="AV1116" s="163" t="str">
        <f t="shared" si="737"/>
        <v/>
      </c>
      <c r="AW1116" s="163" t="str">
        <f t="shared" si="723"/>
        <v/>
      </c>
      <c r="AX1116" s="163" t="str">
        <f t="shared" si="724"/>
        <v/>
      </c>
      <c r="AY1116" s="165" t="str">
        <f t="shared" si="738"/>
        <v/>
      </c>
      <c r="AZ1116" s="164" t="str">
        <f>IF($E1116="","",IF(OR(AND($D1116=Input!$C$6,$C1116=12),$AN1116=1),0,-AS1117+AT1117+AU1117-AV1117-AW1117-AX1117+AZ1117))</f>
        <v/>
      </c>
      <c r="BA1116" s="154" t="str">
        <f t="shared" si="725"/>
        <v/>
      </c>
      <c r="BC1116" s="147" t="str">
        <f t="shared" si="739"/>
        <v/>
      </c>
      <c r="BD1116" s="164" t="str">
        <f>IF(AND($C1115=12,$D1115=Input!$C$6),0,IF($E1116="","",AT1116+(AU1116+BD1117)/(1+$AK1116)*MIN((1-AM1116-AN1116),1)))</f>
        <v/>
      </c>
      <c r="BE1116" s="164" t="str">
        <f t="shared" si="754"/>
        <v/>
      </c>
      <c r="BF1116" s="164" t="str">
        <f t="shared" si="740"/>
        <v/>
      </c>
      <c r="BG1116" s="164" t="str">
        <f t="shared" si="726"/>
        <v/>
      </c>
      <c r="BH1116" s="152"/>
      <c r="BI1116" s="162" t="str">
        <f t="shared" si="748"/>
        <v/>
      </c>
      <c r="BJ1116" s="150" t="str">
        <f t="shared" si="749"/>
        <v/>
      </c>
      <c r="BK1116" s="163" t="str">
        <f t="shared" si="745"/>
        <v/>
      </c>
      <c r="BL1116" s="163" t="str">
        <f t="shared" si="750"/>
        <v/>
      </c>
      <c r="BM1116" s="163" t="str">
        <f t="shared" si="746"/>
        <v/>
      </c>
      <c r="BN1116" s="163" t="str">
        <f t="shared" si="751"/>
        <v/>
      </c>
      <c r="BO1116" s="163" t="str">
        <f t="shared" si="752"/>
        <v/>
      </c>
      <c r="BP1116" s="164" t="str">
        <f t="shared" si="747"/>
        <v/>
      </c>
      <c r="BQ1116" s="164" t="str">
        <f t="shared" si="741"/>
        <v/>
      </c>
      <c r="BR1116" s="154" t="str">
        <f t="shared" si="753"/>
        <v/>
      </c>
      <c r="BT1116" s="147" t="str">
        <f t="shared" si="727"/>
        <v/>
      </c>
      <c r="BU1116" s="164" t="str">
        <f>IF(AND($C1115=12,$D1115=Input!$C$6),0,IF($E1116="","",BK1116+(BL1116+BU1117)/(1+$AK1116)*MIN((1-T1116-U1116),1)))</f>
        <v/>
      </c>
      <c r="BV1116" s="164" t="str">
        <f t="shared" si="728"/>
        <v/>
      </c>
      <c r="BW1116" s="164" t="str">
        <f t="shared" si="729"/>
        <v/>
      </c>
      <c r="BX1116" s="164" t="str">
        <f t="shared" si="730"/>
        <v/>
      </c>
    </row>
    <row r="1117" spans="1:76" s="150" customFormat="1" x14ac:dyDescent="0.25">
      <c r="A1117" s="150" t="str">
        <f t="shared" si="742"/>
        <v/>
      </c>
      <c r="B1117" s="150" t="str">
        <f t="shared" si="743"/>
        <v/>
      </c>
      <c r="C1117" s="150" t="str">
        <f t="shared" si="744"/>
        <v/>
      </c>
      <c r="D1117" s="150" t="str">
        <f>IF(E1117="","",Input!$C$4+B1117-1)</f>
        <v/>
      </c>
      <c r="E1117" s="150" t="str">
        <f>IF(OR(AND(C1116=12,D1116=Input!$C$6),E1116=""),"",1)</f>
        <v/>
      </c>
      <c r="F1117" s="150" t="str">
        <f>IF(E1117="","",Input!$C$8+B1117-1)</f>
        <v/>
      </c>
      <c r="G1117" s="151" t="str">
        <f>IF(E1117="","",MAX(0,Input!$C$9-B1117))</f>
        <v/>
      </c>
      <c r="H1117" s="152" t="str">
        <f>IF(E1117="","",Input!$C$3)</f>
        <v/>
      </c>
      <c r="I1117" s="153" t="str">
        <f>IF(E1117="","",HLOOKUP($B1117,Input!$C$13:$BT$14,2))</f>
        <v/>
      </c>
      <c r="J1117" s="154"/>
      <c r="K1117" s="155" t="str">
        <f>IF($E1117="","",INDEX(Input!$C$16:$CP$16,1,$B1117))</f>
        <v/>
      </c>
      <c r="L1117" s="155" t="str">
        <f>IF($E1117="","",Input!$C$37)</f>
        <v/>
      </c>
      <c r="M1117" s="155" t="str">
        <f t="shared" si="713"/>
        <v/>
      </c>
      <c r="N1117" s="155" t="str">
        <f t="shared" si="714"/>
        <v/>
      </c>
      <c r="O1117" s="147" t="str">
        <f>IF($E1117="","",MIN(VLOOKUP(IF($B1117&lt;=Input!$C$7,$B1117,26),'Mortality Tables'!$A$41:$CW$67,IF($B1117&lt;=Input!$C$7+1,Input!$C$4+2,$D1117-Input!$C$7+2),0)*IF(B1117&gt;20,Input!$C$22,1)/1000,1))</f>
        <v/>
      </c>
      <c r="P1117" s="147" t="str">
        <f>IF($E1117="","",MIN(VLOOKUP(IF($B1117&lt;=Input!$C$7,$B1117,26),'Mortality Tables'!$A$12:$CW$37,IF($B1117&lt;=Input!$C$7+1,Input!$C$4+2,$D1117-Input!$C$7+2),0)*IF(B1117&gt;20,Input!$C$22,1)/1000,1))</f>
        <v/>
      </c>
      <c r="Q1117" s="155" t="str">
        <f>IF($E1117="","",Input!$C$21)</f>
        <v/>
      </c>
      <c r="R1117" s="159" t="str">
        <f>IF($E1117="","",(1-Q1117)^($F1117-Input!$C$20))</f>
        <v/>
      </c>
      <c r="S1117" s="147" t="str">
        <f t="shared" si="716"/>
        <v/>
      </c>
      <c r="T1117" s="147" t="str">
        <f t="shared" si="717"/>
        <v/>
      </c>
      <c r="U1117" s="160" t="str">
        <f>IF($E1117="","",IF($C1117=12,INDEX(Input!$C$15:$CP$15,1,$B1117),0))</f>
        <v/>
      </c>
      <c r="V1117" s="150" t="str">
        <f>IF(E1117="","",IF(C1117=1,IF($B1117=1,Input!$C$33,Input!$C$34),0))</f>
        <v/>
      </c>
      <c r="W1117" s="156" t="str">
        <f>IF($E1117="","",Input!$C$35)</f>
        <v/>
      </c>
      <c r="X1117" s="156" t="str">
        <f t="shared" si="715"/>
        <v/>
      </c>
      <c r="Y1117" s="154"/>
      <c r="Z1117" s="147" t="str">
        <f>IF($E1117="","",VLOOKUP($D1117,'Mortality Margins &amp; Grading'!$AB$5:$AF$125,3,0)*IF(Summary!$D$25="Included Margin",IF(AND($B1117&gt;Input!$C$9,Summary!$D$31&lt;&gt;"Included Margin"),0,1),0))</f>
        <v/>
      </c>
      <c r="AA1117" s="147" t="str">
        <f>IF($E1117="","",VLOOKUP($D1117,'Mortality Margins &amp; Grading'!$AB$5:$AF$125,5,0)*IF(Summary!$D$25="Included Margin",IF(AND($B1117&gt;Input!$C$9,Summary!$D$31&lt;&gt;"Included Margin"),0,1),0))</f>
        <v/>
      </c>
      <c r="AB1117" s="147" t="str">
        <f>IF($E1117="","",IF(AND($B1117&gt;Input!$C$9,Summary!$D$31&lt;&gt;"Included Margin"),1,IF(Summary!$D$25="Included Margin",VLOOKUP($B1117,'Mortality Margins &amp; Grading'!$AI$5:$AR$125,MATCH('Mortality Margins &amp; Grading'!$AQ$4,'Mortality Margins &amp; Grading'!$AI$4:$AR$4,0),0),1)))</f>
        <v/>
      </c>
      <c r="AC1117" s="154"/>
      <c r="AD1117" s="158" t="str">
        <f>IF(E1117="","",Input!$C$48*IF(Summary!$D$30="Included Margin",IF(AND($B1117&gt;Input!$C$9,Summary!$D$31&lt;&gt;"Included Margin"),0,1),0))</f>
        <v/>
      </c>
      <c r="AE1117" s="159" t="str">
        <f>IF(E1117="","",IF(Summary!$D$26="Included Margin",IF(AND($B1117&gt;Input!$C$9,Summary!$D$31&lt;&gt;"Included Margin"),1,1/$R1117),1))</f>
        <v/>
      </c>
      <c r="AF1117" s="160" t="str">
        <f>IF(E1117="","",IF(AND($B1117&gt;=Input!$C$9,$C1117=12,Summary!$D$31="Included Margin",$U1117&gt;0),1/U1117-1,IF($B1117&gt;=Input!$C$9,0,Input!$C$45*IF(Summary!$D$27="Included Margin",1,0))))</f>
        <v/>
      </c>
      <c r="AG1117" s="160" t="str">
        <f>IF(E1117="","",Input!$C$46*IF(Summary!$D$28="Included Margin",IF(AND($B1117&gt;Input!$C$9,Summary!$D$31&lt;&gt;"Included Margin"),0,1),0))</f>
        <v/>
      </c>
      <c r="AH1117" s="158" t="str">
        <f>IF(E1117="","",Input!$C$47*IF(Summary!$D$29="Included Margin",IF(AND($B1117&gt;Input!$C$9,Summary!$D$31&lt;&gt;"Included Margin"),0,1),0))</f>
        <v/>
      </c>
      <c r="AI1117" s="154"/>
      <c r="AJ1117" s="158" t="str">
        <f t="shared" si="731"/>
        <v/>
      </c>
      <c r="AK1117" s="155" t="str">
        <f t="shared" si="732"/>
        <v/>
      </c>
      <c r="AL1117" s="147" t="str">
        <f t="shared" si="733"/>
        <v/>
      </c>
      <c r="AM1117" s="147" t="str">
        <f t="shared" si="718"/>
        <v/>
      </c>
      <c r="AN1117" s="160" t="str">
        <f t="shared" si="734"/>
        <v/>
      </c>
      <c r="AO1117" s="161" t="str">
        <f t="shared" si="735"/>
        <v/>
      </c>
      <c r="AP1117" s="156" t="str">
        <f t="shared" si="719"/>
        <v/>
      </c>
      <c r="AQ1117" s="152"/>
      <c r="AR1117" s="162" t="str">
        <f t="shared" si="720"/>
        <v/>
      </c>
      <c r="AS1117" s="150" t="str">
        <f t="shared" si="736"/>
        <v/>
      </c>
      <c r="AT1117" s="163" t="str">
        <f t="shared" si="721"/>
        <v/>
      </c>
      <c r="AU1117" s="163" t="str">
        <f t="shared" si="722"/>
        <v/>
      </c>
      <c r="AV1117" s="163" t="str">
        <f t="shared" si="737"/>
        <v/>
      </c>
      <c r="AW1117" s="163" t="str">
        <f t="shared" si="723"/>
        <v/>
      </c>
      <c r="AX1117" s="163" t="str">
        <f t="shared" si="724"/>
        <v/>
      </c>
      <c r="AY1117" s="164" t="str">
        <f t="shared" si="738"/>
        <v/>
      </c>
      <c r="AZ1117" s="164" t="str">
        <f>IF($E1117="","",IF(OR(AND($D1117=Input!$C$6,$C1117=12),$AN1117=1),0,-AS1118+AT1118+AU1118-AV1118-AW1118-AX1118+AZ1118))</f>
        <v/>
      </c>
      <c r="BA1117" s="154" t="str">
        <f t="shared" si="725"/>
        <v/>
      </c>
      <c r="BC1117" s="147" t="str">
        <f t="shared" si="739"/>
        <v/>
      </c>
      <c r="BD1117" s="164" t="str">
        <f>IF(AND($C1116=12,$D1116=Input!$C$6),0,IF($E1117="","",AT1117+(AU1117+BD1118)/(1+$AK1117)*MIN((1-AM1117-AN1117),1)))</f>
        <v/>
      </c>
      <c r="BE1117" s="164" t="str">
        <f t="shared" si="754"/>
        <v/>
      </c>
      <c r="BF1117" s="164" t="str">
        <f t="shared" si="740"/>
        <v/>
      </c>
      <c r="BG1117" s="164" t="str">
        <f t="shared" si="726"/>
        <v/>
      </c>
      <c r="BH1117" s="152"/>
      <c r="BI1117" s="162" t="str">
        <f t="shared" si="748"/>
        <v/>
      </c>
      <c r="BJ1117" s="150" t="str">
        <f t="shared" si="749"/>
        <v/>
      </c>
      <c r="BK1117" s="163" t="str">
        <f t="shared" si="745"/>
        <v/>
      </c>
      <c r="BL1117" s="163" t="str">
        <f t="shared" si="750"/>
        <v/>
      </c>
      <c r="BM1117" s="163" t="str">
        <f t="shared" si="746"/>
        <v/>
      </c>
      <c r="BN1117" s="163" t="str">
        <f t="shared" si="751"/>
        <v/>
      </c>
      <c r="BO1117" s="163" t="str">
        <f t="shared" si="752"/>
        <v/>
      </c>
      <c r="BP1117" s="164" t="str">
        <f t="shared" si="747"/>
        <v/>
      </c>
      <c r="BQ1117" s="164" t="str">
        <f t="shared" si="741"/>
        <v/>
      </c>
      <c r="BR1117" s="154" t="str">
        <f t="shared" si="753"/>
        <v/>
      </c>
      <c r="BT1117" s="147" t="str">
        <f t="shared" si="727"/>
        <v/>
      </c>
      <c r="BU1117" s="164" t="str">
        <f>IF(AND($C1116=12,$D1116=Input!$C$6),0,IF($E1117="","",BK1117+(BL1117+BU1118)/(1+$AK1117)*MIN((1-T1117-U1117),1)))</f>
        <v/>
      </c>
      <c r="BV1117" s="164" t="str">
        <f t="shared" si="728"/>
        <v/>
      </c>
      <c r="BW1117" s="164" t="str">
        <f t="shared" si="729"/>
        <v/>
      </c>
      <c r="BX1117" s="164" t="str">
        <f t="shared" si="730"/>
        <v/>
      </c>
    </row>
    <row r="1118" spans="1:76" s="150" customFormat="1" x14ac:dyDescent="0.25">
      <c r="A1118" s="150" t="str">
        <f t="shared" si="742"/>
        <v/>
      </c>
      <c r="B1118" s="150" t="str">
        <f t="shared" si="743"/>
        <v/>
      </c>
      <c r="C1118" s="150" t="str">
        <f t="shared" si="744"/>
        <v/>
      </c>
      <c r="D1118" s="150" t="str">
        <f>IF(E1118="","",Input!$C$4+B1118-1)</f>
        <v/>
      </c>
      <c r="E1118" s="150" t="str">
        <f>IF(OR(AND(C1117=12,D1117=Input!$C$6),E1117=""),"",1)</f>
        <v/>
      </c>
      <c r="F1118" s="150" t="str">
        <f>IF(E1118="","",Input!$C$8+B1118-1)</f>
        <v/>
      </c>
      <c r="G1118" s="151" t="str">
        <f>IF(E1118="","",MAX(0,Input!$C$9-B1118))</f>
        <v/>
      </c>
      <c r="H1118" s="152" t="str">
        <f>IF(E1118="","",Input!$C$3)</f>
        <v/>
      </c>
      <c r="I1118" s="153" t="str">
        <f>IF(E1118="","",HLOOKUP($B1118,Input!$C$13:$BT$14,2))</f>
        <v/>
      </c>
      <c r="J1118" s="154"/>
      <c r="K1118" s="155" t="str">
        <f>IF($E1118="","",INDEX(Input!$C$16:$CP$16,1,$B1118))</f>
        <v/>
      </c>
      <c r="L1118" s="155" t="str">
        <f>IF($E1118="","",Input!$C$37)</f>
        <v/>
      </c>
      <c r="M1118" s="155" t="str">
        <f t="shared" si="713"/>
        <v/>
      </c>
      <c r="N1118" s="155" t="str">
        <f t="shared" si="714"/>
        <v/>
      </c>
      <c r="O1118" s="147" t="str">
        <f>IF($E1118="","",MIN(VLOOKUP(IF($B1118&lt;=Input!$C$7,$B1118,26),'Mortality Tables'!$A$41:$CW$67,IF($B1118&lt;=Input!$C$7+1,Input!$C$4+2,$D1118-Input!$C$7+2),0)*IF(B1118&gt;20,Input!$C$22,1)/1000,1))</f>
        <v/>
      </c>
      <c r="P1118" s="147" t="str">
        <f>IF($E1118="","",MIN(VLOOKUP(IF($B1118&lt;=Input!$C$7,$B1118,26),'Mortality Tables'!$A$12:$CW$37,IF($B1118&lt;=Input!$C$7+1,Input!$C$4+2,$D1118-Input!$C$7+2),0)*IF(B1118&gt;20,Input!$C$22,1)/1000,1))</f>
        <v/>
      </c>
      <c r="Q1118" s="155" t="str">
        <f>IF($E1118="","",Input!$C$21)</f>
        <v/>
      </c>
      <c r="R1118" s="159" t="str">
        <f>IF($E1118="","",(1-Q1118)^($F1118-Input!$C$20))</f>
        <v/>
      </c>
      <c r="S1118" s="147" t="str">
        <f t="shared" si="716"/>
        <v/>
      </c>
      <c r="T1118" s="147" t="str">
        <f t="shared" si="717"/>
        <v/>
      </c>
      <c r="U1118" s="160" t="str">
        <f>IF($E1118="","",IF($C1118=12,INDEX(Input!$C$15:$CP$15,1,$B1118),0))</f>
        <v/>
      </c>
      <c r="V1118" s="150" t="str">
        <f>IF(E1118="","",IF(C1118=1,IF($B1118=1,Input!$C$33,Input!$C$34),0))</f>
        <v/>
      </c>
      <c r="W1118" s="156" t="str">
        <f>IF($E1118="","",Input!$C$35)</f>
        <v/>
      </c>
      <c r="X1118" s="156" t="str">
        <f t="shared" si="715"/>
        <v/>
      </c>
      <c r="Y1118" s="154"/>
      <c r="Z1118" s="147" t="str">
        <f>IF($E1118="","",VLOOKUP($D1118,'Mortality Margins &amp; Grading'!$AB$5:$AF$125,3,0)*IF(Summary!$D$25="Included Margin",IF(AND($B1118&gt;Input!$C$9,Summary!$D$31&lt;&gt;"Included Margin"),0,1),0))</f>
        <v/>
      </c>
      <c r="AA1118" s="147" t="str">
        <f>IF($E1118="","",VLOOKUP($D1118,'Mortality Margins &amp; Grading'!$AB$5:$AF$125,5,0)*IF(Summary!$D$25="Included Margin",IF(AND($B1118&gt;Input!$C$9,Summary!$D$31&lt;&gt;"Included Margin"),0,1),0))</f>
        <v/>
      </c>
      <c r="AB1118" s="147" t="str">
        <f>IF($E1118="","",IF(AND($B1118&gt;Input!$C$9,Summary!$D$31&lt;&gt;"Included Margin"),1,IF(Summary!$D$25="Included Margin",VLOOKUP($B1118,'Mortality Margins &amp; Grading'!$AI$5:$AR$125,MATCH('Mortality Margins &amp; Grading'!$AQ$4,'Mortality Margins &amp; Grading'!$AI$4:$AR$4,0),0),1)))</f>
        <v/>
      </c>
      <c r="AC1118" s="154"/>
      <c r="AD1118" s="158" t="str">
        <f>IF(E1118="","",Input!$C$48*IF(Summary!$D$30="Included Margin",IF(AND($B1118&gt;Input!$C$9,Summary!$D$31&lt;&gt;"Included Margin"),0,1),0))</f>
        <v/>
      </c>
      <c r="AE1118" s="159" t="str">
        <f>IF(E1118="","",IF(Summary!$D$26="Included Margin",IF(AND($B1118&gt;Input!$C$9,Summary!$D$31&lt;&gt;"Included Margin"),1,1/$R1118),1))</f>
        <v/>
      </c>
      <c r="AF1118" s="160" t="str">
        <f>IF(E1118="","",IF(AND($B1118&gt;=Input!$C$9,$C1118=12,Summary!$D$31="Included Margin",$U1118&gt;0),1/U1118-1,IF($B1118&gt;=Input!$C$9,0,Input!$C$45*IF(Summary!$D$27="Included Margin",1,0))))</f>
        <v/>
      </c>
      <c r="AG1118" s="160" t="str">
        <f>IF(E1118="","",Input!$C$46*IF(Summary!$D$28="Included Margin",IF(AND($B1118&gt;Input!$C$9,Summary!$D$31&lt;&gt;"Included Margin"),0,1),0))</f>
        <v/>
      </c>
      <c r="AH1118" s="158" t="str">
        <f>IF(E1118="","",Input!$C$47*IF(Summary!$D$29="Included Margin",IF(AND($B1118&gt;Input!$C$9,Summary!$D$31&lt;&gt;"Included Margin"),0,1),0))</f>
        <v/>
      </c>
      <c r="AI1118" s="154"/>
      <c r="AJ1118" s="158" t="str">
        <f t="shared" si="731"/>
        <v/>
      </c>
      <c r="AK1118" s="155" t="str">
        <f t="shared" si="732"/>
        <v/>
      </c>
      <c r="AL1118" s="147" t="str">
        <f t="shared" si="733"/>
        <v/>
      </c>
      <c r="AM1118" s="147" t="str">
        <f t="shared" si="718"/>
        <v/>
      </c>
      <c r="AN1118" s="160" t="str">
        <f t="shared" si="734"/>
        <v/>
      </c>
      <c r="AO1118" s="161" t="str">
        <f t="shared" si="735"/>
        <v/>
      </c>
      <c r="AP1118" s="156" t="str">
        <f t="shared" si="719"/>
        <v/>
      </c>
      <c r="AQ1118" s="152"/>
      <c r="AR1118" s="162" t="str">
        <f t="shared" si="720"/>
        <v/>
      </c>
      <c r="AS1118" s="150" t="str">
        <f t="shared" si="736"/>
        <v/>
      </c>
      <c r="AT1118" s="163" t="str">
        <f t="shared" si="721"/>
        <v/>
      </c>
      <c r="AU1118" s="163" t="str">
        <f t="shared" si="722"/>
        <v/>
      </c>
      <c r="AV1118" s="163" t="str">
        <f t="shared" si="737"/>
        <v/>
      </c>
      <c r="AW1118" s="163" t="str">
        <f t="shared" si="723"/>
        <v/>
      </c>
      <c r="AX1118" s="163" t="str">
        <f t="shared" si="724"/>
        <v/>
      </c>
      <c r="AY1118" s="165" t="str">
        <f t="shared" si="738"/>
        <v/>
      </c>
      <c r="AZ1118" s="164" t="str">
        <f>IF($E1118="","",IF(OR(AND($D1118=Input!$C$6,$C1118=12),$AN1118=1),0,-AS1119+AT1119+AU1119-AV1119-AW1119-AX1119+AZ1119))</f>
        <v/>
      </c>
      <c r="BA1118" s="154" t="str">
        <f t="shared" si="725"/>
        <v/>
      </c>
      <c r="BC1118" s="147" t="str">
        <f t="shared" si="739"/>
        <v/>
      </c>
      <c r="BD1118" s="164" t="str">
        <f>IF(AND($C1117=12,$D1117=Input!$C$6),0,IF($E1118="","",AT1118+(AU1118+BD1119)/(1+$AK1118)*MIN((1-AM1118-AN1118),1)))</f>
        <v/>
      </c>
      <c r="BE1118" s="164" t="str">
        <f t="shared" si="754"/>
        <v/>
      </c>
      <c r="BF1118" s="164" t="str">
        <f t="shared" si="740"/>
        <v/>
      </c>
      <c r="BG1118" s="164" t="str">
        <f t="shared" si="726"/>
        <v/>
      </c>
      <c r="BH1118" s="152"/>
      <c r="BI1118" s="162" t="str">
        <f t="shared" si="748"/>
        <v/>
      </c>
      <c r="BJ1118" s="150" t="str">
        <f t="shared" si="749"/>
        <v/>
      </c>
      <c r="BK1118" s="163" t="str">
        <f t="shared" si="745"/>
        <v/>
      </c>
      <c r="BL1118" s="163" t="str">
        <f t="shared" si="750"/>
        <v/>
      </c>
      <c r="BM1118" s="163" t="str">
        <f t="shared" si="746"/>
        <v/>
      </c>
      <c r="BN1118" s="163" t="str">
        <f t="shared" si="751"/>
        <v/>
      </c>
      <c r="BO1118" s="163" t="str">
        <f t="shared" si="752"/>
        <v/>
      </c>
      <c r="BP1118" s="164" t="str">
        <f t="shared" si="747"/>
        <v/>
      </c>
      <c r="BQ1118" s="164" t="str">
        <f t="shared" si="741"/>
        <v/>
      </c>
      <c r="BR1118" s="154" t="str">
        <f t="shared" si="753"/>
        <v/>
      </c>
      <c r="BT1118" s="147" t="str">
        <f t="shared" si="727"/>
        <v/>
      </c>
      <c r="BU1118" s="164" t="str">
        <f>IF(AND($C1117=12,$D1117=Input!$C$6),0,IF($E1118="","",BK1118+(BL1118+BU1119)/(1+$AK1118)*MIN((1-T1118-U1118),1)))</f>
        <v/>
      </c>
      <c r="BV1118" s="164" t="str">
        <f t="shared" si="728"/>
        <v/>
      </c>
      <c r="BW1118" s="164" t="str">
        <f t="shared" si="729"/>
        <v/>
      </c>
      <c r="BX1118" s="164" t="str">
        <f t="shared" si="730"/>
        <v/>
      </c>
    </row>
    <row r="1119" spans="1:76" s="150" customFormat="1" x14ac:dyDescent="0.25">
      <c r="A1119" s="150" t="str">
        <f t="shared" si="742"/>
        <v/>
      </c>
      <c r="B1119" s="150" t="str">
        <f t="shared" si="743"/>
        <v/>
      </c>
      <c r="C1119" s="150" t="str">
        <f t="shared" si="744"/>
        <v/>
      </c>
      <c r="D1119" s="150" t="str">
        <f>IF(E1119="","",Input!$C$4+B1119-1)</f>
        <v/>
      </c>
      <c r="E1119" s="150" t="str">
        <f>IF(OR(AND(C1118=12,D1118=Input!$C$6),E1118=""),"",1)</f>
        <v/>
      </c>
      <c r="F1119" s="150" t="str">
        <f>IF(E1119="","",Input!$C$8+B1119-1)</f>
        <v/>
      </c>
      <c r="G1119" s="151" t="str">
        <f>IF(E1119="","",MAX(0,Input!$C$9-B1119))</f>
        <v/>
      </c>
      <c r="H1119" s="152" t="str">
        <f>IF(E1119="","",Input!$C$3)</f>
        <v/>
      </c>
      <c r="I1119" s="153" t="str">
        <f>IF(E1119="","",HLOOKUP($B1119,Input!$C$13:$BT$14,2))</f>
        <v/>
      </c>
      <c r="J1119" s="154"/>
      <c r="K1119" s="155" t="str">
        <f>IF($E1119="","",INDEX(Input!$C$16:$CP$16,1,$B1119))</f>
        <v/>
      </c>
      <c r="L1119" s="155" t="str">
        <f>IF($E1119="","",Input!$C$37)</f>
        <v/>
      </c>
      <c r="M1119" s="155" t="str">
        <f t="shared" si="713"/>
        <v/>
      </c>
      <c r="N1119" s="155" t="str">
        <f t="shared" si="714"/>
        <v/>
      </c>
      <c r="O1119" s="147" t="str">
        <f>IF($E1119="","",MIN(VLOOKUP(IF($B1119&lt;=Input!$C$7,$B1119,26),'Mortality Tables'!$A$41:$CW$67,IF($B1119&lt;=Input!$C$7+1,Input!$C$4+2,$D1119-Input!$C$7+2),0)*IF(B1119&gt;20,Input!$C$22,1)/1000,1))</f>
        <v/>
      </c>
      <c r="P1119" s="147" t="str">
        <f>IF($E1119="","",MIN(VLOOKUP(IF($B1119&lt;=Input!$C$7,$B1119,26),'Mortality Tables'!$A$12:$CW$37,IF($B1119&lt;=Input!$C$7+1,Input!$C$4+2,$D1119-Input!$C$7+2),0)*IF(B1119&gt;20,Input!$C$22,1)/1000,1))</f>
        <v/>
      </c>
      <c r="Q1119" s="155" t="str">
        <f>IF($E1119="","",Input!$C$21)</f>
        <v/>
      </c>
      <c r="R1119" s="159" t="str">
        <f>IF($E1119="","",(1-Q1119)^($F1119-Input!$C$20))</f>
        <v/>
      </c>
      <c r="S1119" s="147" t="str">
        <f t="shared" si="716"/>
        <v/>
      </c>
      <c r="T1119" s="147" t="str">
        <f t="shared" si="717"/>
        <v/>
      </c>
      <c r="U1119" s="160" t="str">
        <f>IF($E1119="","",IF($C1119=12,INDEX(Input!$C$15:$CP$15,1,$B1119),0))</f>
        <v/>
      </c>
      <c r="V1119" s="150" t="str">
        <f>IF(E1119="","",IF(C1119=1,IF($B1119=1,Input!$C$33,Input!$C$34),0))</f>
        <v/>
      </c>
      <c r="W1119" s="156" t="str">
        <f>IF($E1119="","",Input!$C$35)</f>
        <v/>
      </c>
      <c r="X1119" s="156" t="str">
        <f t="shared" si="715"/>
        <v/>
      </c>
      <c r="Y1119" s="154"/>
      <c r="Z1119" s="147" t="str">
        <f>IF($E1119="","",VLOOKUP($D1119,'Mortality Margins &amp; Grading'!$AB$5:$AF$125,3,0)*IF(Summary!$D$25="Included Margin",IF(AND($B1119&gt;Input!$C$9,Summary!$D$31&lt;&gt;"Included Margin"),0,1),0))</f>
        <v/>
      </c>
      <c r="AA1119" s="147" t="str">
        <f>IF($E1119="","",VLOOKUP($D1119,'Mortality Margins &amp; Grading'!$AB$5:$AF$125,5,0)*IF(Summary!$D$25="Included Margin",IF(AND($B1119&gt;Input!$C$9,Summary!$D$31&lt;&gt;"Included Margin"),0,1),0))</f>
        <v/>
      </c>
      <c r="AB1119" s="147" t="str">
        <f>IF($E1119="","",IF(AND($B1119&gt;Input!$C$9,Summary!$D$31&lt;&gt;"Included Margin"),1,IF(Summary!$D$25="Included Margin",VLOOKUP($B1119,'Mortality Margins &amp; Grading'!$AI$5:$AR$125,MATCH('Mortality Margins &amp; Grading'!$AQ$4,'Mortality Margins &amp; Grading'!$AI$4:$AR$4,0),0),1)))</f>
        <v/>
      </c>
      <c r="AC1119" s="154"/>
      <c r="AD1119" s="158" t="str">
        <f>IF(E1119="","",Input!$C$48*IF(Summary!$D$30="Included Margin",IF(AND($B1119&gt;Input!$C$9,Summary!$D$31&lt;&gt;"Included Margin"),0,1),0))</f>
        <v/>
      </c>
      <c r="AE1119" s="159" t="str">
        <f>IF(E1119="","",IF(Summary!$D$26="Included Margin",IF(AND($B1119&gt;Input!$C$9,Summary!$D$31&lt;&gt;"Included Margin"),1,1/$R1119),1))</f>
        <v/>
      </c>
      <c r="AF1119" s="160" t="str">
        <f>IF(E1119="","",IF(AND($B1119&gt;=Input!$C$9,$C1119=12,Summary!$D$31="Included Margin",$U1119&gt;0),1/U1119-1,IF($B1119&gt;=Input!$C$9,0,Input!$C$45*IF(Summary!$D$27="Included Margin",1,0))))</f>
        <v/>
      </c>
      <c r="AG1119" s="160" t="str">
        <f>IF(E1119="","",Input!$C$46*IF(Summary!$D$28="Included Margin",IF(AND($B1119&gt;Input!$C$9,Summary!$D$31&lt;&gt;"Included Margin"),0,1),0))</f>
        <v/>
      </c>
      <c r="AH1119" s="158" t="str">
        <f>IF(E1119="","",Input!$C$47*IF(Summary!$D$29="Included Margin",IF(AND($B1119&gt;Input!$C$9,Summary!$D$31&lt;&gt;"Included Margin"),0,1),0))</f>
        <v/>
      </c>
      <c r="AI1119" s="154"/>
      <c r="AJ1119" s="158" t="str">
        <f t="shared" si="731"/>
        <v/>
      </c>
      <c r="AK1119" s="155" t="str">
        <f t="shared" si="732"/>
        <v/>
      </c>
      <c r="AL1119" s="147" t="str">
        <f t="shared" si="733"/>
        <v/>
      </c>
      <c r="AM1119" s="147" t="str">
        <f t="shared" si="718"/>
        <v/>
      </c>
      <c r="AN1119" s="160" t="str">
        <f t="shared" si="734"/>
        <v/>
      </c>
      <c r="AO1119" s="161" t="str">
        <f t="shared" si="735"/>
        <v/>
      </c>
      <c r="AP1119" s="156" t="str">
        <f t="shared" si="719"/>
        <v/>
      </c>
      <c r="AQ1119" s="152"/>
      <c r="AR1119" s="162" t="str">
        <f t="shared" si="720"/>
        <v/>
      </c>
      <c r="AS1119" s="150" t="str">
        <f t="shared" si="736"/>
        <v/>
      </c>
      <c r="AT1119" s="163" t="str">
        <f t="shared" si="721"/>
        <v/>
      </c>
      <c r="AU1119" s="163" t="str">
        <f t="shared" si="722"/>
        <v/>
      </c>
      <c r="AV1119" s="163" t="str">
        <f t="shared" si="737"/>
        <v/>
      </c>
      <c r="AW1119" s="163" t="str">
        <f t="shared" si="723"/>
        <v/>
      </c>
      <c r="AX1119" s="163" t="str">
        <f t="shared" si="724"/>
        <v/>
      </c>
      <c r="AY1119" s="164" t="str">
        <f t="shared" si="738"/>
        <v/>
      </c>
      <c r="AZ1119" s="164" t="str">
        <f>IF($E1119="","",IF(OR(AND($D1119=Input!$C$6,$C1119=12),$AN1119=1),0,-AS1120+AT1120+AU1120-AV1120-AW1120-AX1120+AZ1120))</f>
        <v/>
      </c>
      <c r="BA1119" s="154" t="str">
        <f t="shared" si="725"/>
        <v/>
      </c>
      <c r="BC1119" s="147" t="str">
        <f t="shared" si="739"/>
        <v/>
      </c>
      <c r="BD1119" s="164" t="str">
        <f>IF(AND($C1118=12,$D1118=Input!$C$6),0,IF($E1119="","",AT1119+(AU1119+BD1120)/(1+$AK1119)*MIN((1-AM1119-AN1119),1)))</f>
        <v/>
      </c>
      <c r="BE1119" s="164" t="str">
        <f t="shared" si="754"/>
        <v/>
      </c>
      <c r="BF1119" s="164" t="str">
        <f t="shared" si="740"/>
        <v/>
      </c>
      <c r="BG1119" s="164" t="str">
        <f t="shared" si="726"/>
        <v/>
      </c>
      <c r="BH1119" s="152"/>
      <c r="BI1119" s="162" t="str">
        <f t="shared" si="748"/>
        <v/>
      </c>
      <c r="BJ1119" s="150" t="str">
        <f t="shared" si="749"/>
        <v/>
      </c>
      <c r="BK1119" s="163" t="str">
        <f t="shared" si="745"/>
        <v/>
      </c>
      <c r="BL1119" s="163" t="str">
        <f t="shared" si="750"/>
        <v/>
      </c>
      <c r="BM1119" s="163" t="str">
        <f t="shared" si="746"/>
        <v/>
      </c>
      <c r="BN1119" s="163" t="str">
        <f t="shared" si="751"/>
        <v/>
      </c>
      <c r="BO1119" s="163" t="str">
        <f t="shared" si="752"/>
        <v/>
      </c>
      <c r="BP1119" s="164" t="str">
        <f t="shared" si="747"/>
        <v/>
      </c>
      <c r="BQ1119" s="164" t="str">
        <f t="shared" si="741"/>
        <v/>
      </c>
      <c r="BR1119" s="154" t="str">
        <f t="shared" si="753"/>
        <v/>
      </c>
      <c r="BT1119" s="147" t="str">
        <f t="shared" si="727"/>
        <v/>
      </c>
      <c r="BU1119" s="164" t="str">
        <f>IF(AND($C1118=12,$D1118=Input!$C$6),0,IF($E1119="","",BK1119+(BL1119+BU1120)/(1+$AK1119)*MIN((1-T1119-U1119),1)))</f>
        <v/>
      </c>
      <c r="BV1119" s="164" t="str">
        <f t="shared" si="728"/>
        <v/>
      </c>
      <c r="BW1119" s="164" t="str">
        <f t="shared" si="729"/>
        <v/>
      </c>
      <c r="BX1119" s="164" t="str">
        <f t="shared" si="730"/>
        <v/>
      </c>
    </row>
    <row r="1120" spans="1:76" s="150" customFormat="1" x14ac:dyDescent="0.25">
      <c r="A1120" s="150" t="str">
        <f t="shared" si="742"/>
        <v/>
      </c>
      <c r="B1120" s="150" t="str">
        <f t="shared" si="743"/>
        <v/>
      </c>
      <c r="C1120" s="150" t="str">
        <f t="shared" si="744"/>
        <v/>
      </c>
      <c r="D1120" s="150" t="str">
        <f>IF(E1120="","",Input!$C$4+B1120-1)</f>
        <v/>
      </c>
      <c r="E1120" s="150" t="str">
        <f>IF(OR(AND(C1119=12,D1119=Input!$C$6),E1119=""),"",1)</f>
        <v/>
      </c>
      <c r="F1120" s="150" t="str">
        <f>IF(E1120="","",Input!$C$8+B1120-1)</f>
        <v/>
      </c>
      <c r="G1120" s="151" t="str">
        <f>IF(E1120="","",MAX(0,Input!$C$9-B1120))</f>
        <v/>
      </c>
      <c r="H1120" s="152" t="str">
        <f>IF(E1120="","",Input!$C$3)</f>
        <v/>
      </c>
      <c r="I1120" s="153" t="str">
        <f>IF(E1120="","",HLOOKUP($B1120,Input!$C$13:$BT$14,2))</f>
        <v/>
      </c>
      <c r="J1120" s="154"/>
      <c r="K1120" s="155" t="str">
        <f>IF($E1120="","",INDEX(Input!$C$16:$CP$16,1,$B1120))</f>
        <v/>
      </c>
      <c r="L1120" s="155" t="str">
        <f>IF($E1120="","",Input!$C$37)</f>
        <v/>
      </c>
      <c r="M1120" s="155" t="str">
        <f t="shared" si="713"/>
        <v/>
      </c>
      <c r="N1120" s="155" t="str">
        <f t="shared" si="714"/>
        <v/>
      </c>
      <c r="O1120" s="147" t="str">
        <f>IF($E1120="","",MIN(VLOOKUP(IF($B1120&lt;=Input!$C$7,$B1120,26),'Mortality Tables'!$A$41:$CW$67,IF($B1120&lt;=Input!$C$7+1,Input!$C$4+2,$D1120-Input!$C$7+2),0)*IF(B1120&gt;20,Input!$C$22,1)/1000,1))</f>
        <v/>
      </c>
      <c r="P1120" s="147" t="str">
        <f>IF($E1120="","",MIN(VLOOKUP(IF($B1120&lt;=Input!$C$7,$B1120,26),'Mortality Tables'!$A$12:$CW$37,IF($B1120&lt;=Input!$C$7+1,Input!$C$4+2,$D1120-Input!$C$7+2),0)*IF(B1120&gt;20,Input!$C$22,1)/1000,1))</f>
        <v/>
      </c>
      <c r="Q1120" s="155" t="str">
        <f>IF($E1120="","",Input!$C$21)</f>
        <v/>
      </c>
      <c r="R1120" s="159" t="str">
        <f>IF($E1120="","",(1-Q1120)^($F1120-Input!$C$20))</f>
        <v/>
      </c>
      <c r="S1120" s="147" t="str">
        <f t="shared" si="716"/>
        <v/>
      </c>
      <c r="T1120" s="147" t="str">
        <f t="shared" si="717"/>
        <v/>
      </c>
      <c r="U1120" s="160" t="str">
        <f>IF($E1120="","",IF($C1120=12,INDEX(Input!$C$15:$CP$15,1,$B1120),0))</f>
        <v/>
      </c>
      <c r="V1120" s="150" t="str">
        <f>IF(E1120="","",IF(C1120=1,IF($B1120=1,Input!$C$33,Input!$C$34),0))</f>
        <v/>
      </c>
      <c r="W1120" s="156" t="str">
        <f>IF($E1120="","",Input!$C$35)</f>
        <v/>
      </c>
      <c r="X1120" s="156" t="str">
        <f t="shared" si="715"/>
        <v/>
      </c>
      <c r="Y1120" s="154"/>
      <c r="Z1120" s="147" t="str">
        <f>IF($E1120="","",VLOOKUP($D1120,'Mortality Margins &amp; Grading'!$AB$5:$AF$125,3,0)*IF(Summary!$D$25="Included Margin",IF(AND($B1120&gt;Input!$C$9,Summary!$D$31&lt;&gt;"Included Margin"),0,1),0))</f>
        <v/>
      </c>
      <c r="AA1120" s="147" t="str">
        <f>IF($E1120="","",VLOOKUP($D1120,'Mortality Margins &amp; Grading'!$AB$5:$AF$125,5,0)*IF(Summary!$D$25="Included Margin",IF(AND($B1120&gt;Input!$C$9,Summary!$D$31&lt;&gt;"Included Margin"),0,1),0))</f>
        <v/>
      </c>
      <c r="AB1120" s="147" t="str">
        <f>IF($E1120="","",IF(AND($B1120&gt;Input!$C$9,Summary!$D$31&lt;&gt;"Included Margin"),1,IF(Summary!$D$25="Included Margin",VLOOKUP($B1120,'Mortality Margins &amp; Grading'!$AI$5:$AR$125,MATCH('Mortality Margins &amp; Grading'!$AQ$4,'Mortality Margins &amp; Grading'!$AI$4:$AR$4,0),0),1)))</f>
        <v/>
      </c>
      <c r="AC1120" s="154"/>
      <c r="AD1120" s="158" t="str">
        <f>IF(E1120="","",Input!$C$48*IF(Summary!$D$30="Included Margin",IF(AND($B1120&gt;Input!$C$9,Summary!$D$31&lt;&gt;"Included Margin"),0,1),0))</f>
        <v/>
      </c>
      <c r="AE1120" s="159" t="str">
        <f>IF(E1120="","",IF(Summary!$D$26="Included Margin",IF(AND($B1120&gt;Input!$C$9,Summary!$D$31&lt;&gt;"Included Margin"),1,1/$R1120),1))</f>
        <v/>
      </c>
      <c r="AF1120" s="160" t="str">
        <f>IF(E1120="","",IF(AND($B1120&gt;=Input!$C$9,$C1120=12,Summary!$D$31="Included Margin",$U1120&gt;0),1/U1120-1,IF($B1120&gt;=Input!$C$9,0,Input!$C$45*IF(Summary!$D$27="Included Margin",1,0))))</f>
        <v/>
      </c>
      <c r="AG1120" s="160" t="str">
        <f>IF(E1120="","",Input!$C$46*IF(Summary!$D$28="Included Margin",IF(AND($B1120&gt;Input!$C$9,Summary!$D$31&lt;&gt;"Included Margin"),0,1),0))</f>
        <v/>
      </c>
      <c r="AH1120" s="158" t="str">
        <f>IF(E1120="","",Input!$C$47*IF(Summary!$D$29="Included Margin",IF(AND($B1120&gt;Input!$C$9,Summary!$D$31&lt;&gt;"Included Margin"),0,1),0))</f>
        <v/>
      </c>
      <c r="AI1120" s="154"/>
      <c r="AJ1120" s="158" t="str">
        <f t="shared" si="731"/>
        <v/>
      </c>
      <c r="AK1120" s="155" t="str">
        <f t="shared" si="732"/>
        <v/>
      </c>
      <c r="AL1120" s="147" t="str">
        <f t="shared" si="733"/>
        <v/>
      </c>
      <c r="AM1120" s="147" t="str">
        <f t="shared" si="718"/>
        <v/>
      </c>
      <c r="AN1120" s="160" t="str">
        <f t="shared" si="734"/>
        <v/>
      </c>
      <c r="AO1120" s="161" t="str">
        <f t="shared" si="735"/>
        <v/>
      </c>
      <c r="AP1120" s="156" t="str">
        <f t="shared" si="719"/>
        <v/>
      </c>
      <c r="AQ1120" s="152"/>
      <c r="AR1120" s="162" t="str">
        <f t="shared" si="720"/>
        <v/>
      </c>
      <c r="AS1120" s="150" t="str">
        <f t="shared" si="736"/>
        <v/>
      </c>
      <c r="AT1120" s="163" t="str">
        <f t="shared" si="721"/>
        <v/>
      </c>
      <c r="AU1120" s="163" t="str">
        <f t="shared" si="722"/>
        <v/>
      </c>
      <c r="AV1120" s="163" t="str">
        <f t="shared" si="737"/>
        <v/>
      </c>
      <c r="AW1120" s="163" t="str">
        <f t="shared" si="723"/>
        <v/>
      </c>
      <c r="AX1120" s="163" t="str">
        <f t="shared" si="724"/>
        <v/>
      </c>
      <c r="AY1120" s="165" t="str">
        <f t="shared" si="738"/>
        <v/>
      </c>
      <c r="AZ1120" s="164" t="str">
        <f>IF($E1120="","",IF(OR(AND($D1120=Input!$C$6,$C1120=12),$AN1120=1),0,-AS1121+AT1121+AU1121-AV1121-AW1121-AX1121+AZ1121))</f>
        <v/>
      </c>
      <c r="BA1120" s="154" t="str">
        <f t="shared" si="725"/>
        <v/>
      </c>
      <c r="BC1120" s="147" t="str">
        <f t="shared" si="739"/>
        <v/>
      </c>
      <c r="BD1120" s="164" t="str">
        <f>IF(AND($C1119=12,$D1119=Input!$C$6),0,IF($E1120="","",AT1120+(AU1120+BD1121)/(1+$AK1120)*MIN((1-AM1120-AN1120),1)))</f>
        <v/>
      </c>
      <c r="BE1120" s="164" t="str">
        <f t="shared" si="754"/>
        <v/>
      </c>
      <c r="BF1120" s="164" t="str">
        <f t="shared" si="740"/>
        <v/>
      </c>
      <c r="BG1120" s="164" t="str">
        <f t="shared" si="726"/>
        <v/>
      </c>
      <c r="BH1120" s="152"/>
      <c r="BI1120" s="162" t="str">
        <f t="shared" si="748"/>
        <v/>
      </c>
      <c r="BJ1120" s="150" t="str">
        <f t="shared" si="749"/>
        <v/>
      </c>
      <c r="BK1120" s="163" t="str">
        <f t="shared" si="745"/>
        <v/>
      </c>
      <c r="BL1120" s="163" t="str">
        <f t="shared" si="750"/>
        <v/>
      </c>
      <c r="BM1120" s="163" t="str">
        <f t="shared" si="746"/>
        <v/>
      </c>
      <c r="BN1120" s="163" t="str">
        <f t="shared" si="751"/>
        <v/>
      </c>
      <c r="BO1120" s="163" t="str">
        <f t="shared" si="752"/>
        <v/>
      </c>
      <c r="BP1120" s="164" t="str">
        <f t="shared" si="747"/>
        <v/>
      </c>
      <c r="BQ1120" s="164" t="str">
        <f t="shared" si="741"/>
        <v/>
      </c>
      <c r="BR1120" s="154" t="str">
        <f t="shared" si="753"/>
        <v/>
      </c>
      <c r="BT1120" s="147" t="str">
        <f t="shared" si="727"/>
        <v/>
      </c>
      <c r="BU1120" s="164" t="str">
        <f>IF(AND($C1119=12,$D1119=Input!$C$6),0,IF($E1120="","",BK1120+(BL1120+BU1121)/(1+$AK1120)*MIN((1-T1120-U1120),1)))</f>
        <v/>
      </c>
      <c r="BV1120" s="164" t="str">
        <f t="shared" si="728"/>
        <v/>
      </c>
      <c r="BW1120" s="164" t="str">
        <f t="shared" si="729"/>
        <v/>
      </c>
      <c r="BX1120" s="164" t="str">
        <f t="shared" si="730"/>
        <v/>
      </c>
    </row>
    <row r="1121" spans="1:76" s="150" customFormat="1" x14ac:dyDescent="0.25">
      <c r="A1121" s="150" t="str">
        <f t="shared" si="742"/>
        <v/>
      </c>
      <c r="B1121" s="150" t="str">
        <f t="shared" si="743"/>
        <v/>
      </c>
      <c r="C1121" s="150" t="str">
        <f t="shared" si="744"/>
        <v/>
      </c>
      <c r="D1121" s="150" t="str">
        <f>IF(E1121="","",Input!$C$4+B1121-1)</f>
        <v/>
      </c>
      <c r="E1121" s="150" t="str">
        <f>IF(OR(AND(C1120=12,D1120=Input!$C$6),E1120=""),"",1)</f>
        <v/>
      </c>
      <c r="F1121" s="150" t="str">
        <f>IF(E1121="","",Input!$C$8+B1121-1)</f>
        <v/>
      </c>
      <c r="G1121" s="151" t="str">
        <f>IF(E1121="","",MAX(0,Input!$C$9-B1121))</f>
        <v/>
      </c>
      <c r="H1121" s="152" t="str">
        <f>IF(E1121="","",Input!$C$3)</f>
        <v/>
      </c>
      <c r="I1121" s="153" t="str">
        <f>IF(E1121="","",HLOOKUP($B1121,Input!$C$13:$BT$14,2))</f>
        <v/>
      </c>
      <c r="J1121" s="154"/>
      <c r="K1121" s="155" t="str">
        <f>IF($E1121="","",INDEX(Input!$C$16:$CP$16,1,$B1121))</f>
        <v/>
      </c>
      <c r="L1121" s="155" t="str">
        <f>IF($E1121="","",Input!$C$37)</f>
        <v/>
      </c>
      <c r="M1121" s="155" t="str">
        <f t="shared" si="713"/>
        <v/>
      </c>
      <c r="N1121" s="155" t="str">
        <f t="shared" si="714"/>
        <v/>
      </c>
      <c r="O1121" s="147" t="str">
        <f>IF($E1121="","",MIN(VLOOKUP(IF($B1121&lt;=Input!$C$7,$B1121,26),'Mortality Tables'!$A$41:$CW$67,IF($B1121&lt;=Input!$C$7+1,Input!$C$4+2,$D1121-Input!$C$7+2),0)*IF(B1121&gt;20,Input!$C$22,1)/1000,1))</f>
        <v/>
      </c>
      <c r="P1121" s="147" t="str">
        <f>IF($E1121="","",MIN(VLOOKUP(IF($B1121&lt;=Input!$C$7,$B1121,26),'Mortality Tables'!$A$12:$CW$37,IF($B1121&lt;=Input!$C$7+1,Input!$C$4+2,$D1121-Input!$C$7+2),0)*IF(B1121&gt;20,Input!$C$22,1)/1000,1))</f>
        <v/>
      </c>
      <c r="Q1121" s="155" t="str">
        <f>IF($E1121="","",Input!$C$21)</f>
        <v/>
      </c>
      <c r="R1121" s="159" t="str">
        <f>IF($E1121="","",(1-Q1121)^($F1121-Input!$C$20))</f>
        <v/>
      </c>
      <c r="S1121" s="147" t="str">
        <f t="shared" si="716"/>
        <v/>
      </c>
      <c r="T1121" s="147" t="str">
        <f t="shared" si="717"/>
        <v/>
      </c>
      <c r="U1121" s="160" t="str">
        <f>IF($E1121="","",IF($C1121=12,INDEX(Input!$C$15:$CP$15,1,$B1121),0))</f>
        <v/>
      </c>
      <c r="V1121" s="150" t="str">
        <f>IF(E1121="","",IF(C1121=1,IF($B1121=1,Input!$C$33,Input!$C$34),0))</f>
        <v/>
      </c>
      <c r="W1121" s="156" t="str">
        <f>IF($E1121="","",Input!$C$35)</f>
        <v/>
      </c>
      <c r="X1121" s="156" t="str">
        <f t="shared" si="715"/>
        <v/>
      </c>
      <c r="Y1121" s="154"/>
      <c r="Z1121" s="147" t="str">
        <f>IF($E1121="","",VLOOKUP($D1121,'Mortality Margins &amp; Grading'!$AB$5:$AF$125,3,0)*IF(Summary!$D$25="Included Margin",IF(AND($B1121&gt;Input!$C$9,Summary!$D$31&lt;&gt;"Included Margin"),0,1),0))</f>
        <v/>
      </c>
      <c r="AA1121" s="147" t="str">
        <f>IF($E1121="","",VLOOKUP($D1121,'Mortality Margins &amp; Grading'!$AB$5:$AF$125,5,0)*IF(Summary!$D$25="Included Margin",IF(AND($B1121&gt;Input!$C$9,Summary!$D$31&lt;&gt;"Included Margin"),0,1),0))</f>
        <v/>
      </c>
      <c r="AB1121" s="147" t="str">
        <f>IF($E1121="","",IF(AND($B1121&gt;Input!$C$9,Summary!$D$31&lt;&gt;"Included Margin"),1,IF(Summary!$D$25="Included Margin",VLOOKUP($B1121,'Mortality Margins &amp; Grading'!$AI$5:$AR$125,MATCH('Mortality Margins &amp; Grading'!$AQ$4,'Mortality Margins &amp; Grading'!$AI$4:$AR$4,0),0),1)))</f>
        <v/>
      </c>
      <c r="AC1121" s="154"/>
      <c r="AD1121" s="158" t="str">
        <f>IF(E1121="","",Input!$C$48*IF(Summary!$D$30="Included Margin",IF(AND($B1121&gt;Input!$C$9,Summary!$D$31&lt;&gt;"Included Margin"),0,1),0))</f>
        <v/>
      </c>
      <c r="AE1121" s="159" t="str">
        <f>IF(E1121="","",IF(Summary!$D$26="Included Margin",IF(AND($B1121&gt;Input!$C$9,Summary!$D$31&lt;&gt;"Included Margin"),1,1/$R1121),1))</f>
        <v/>
      </c>
      <c r="AF1121" s="160" t="str">
        <f>IF(E1121="","",IF(AND($B1121&gt;=Input!$C$9,$C1121=12,Summary!$D$31="Included Margin",$U1121&gt;0),1/U1121-1,IF($B1121&gt;=Input!$C$9,0,Input!$C$45*IF(Summary!$D$27="Included Margin",1,0))))</f>
        <v/>
      </c>
      <c r="AG1121" s="160" t="str">
        <f>IF(E1121="","",Input!$C$46*IF(Summary!$D$28="Included Margin",IF(AND($B1121&gt;Input!$C$9,Summary!$D$31&lt;&gt;"Included Margin"),0,1),0))</f>
        <v/>
      </c>
      <c r="AH1121" s="158" t="str">
        <f>IF(E1121="","",Input!$C$47*IF(Summary!$D$29="Included Margin",IF(AND($B1121&gt;Input!$C$9,Summary!$D$31&lt;&gt;"Included Margin"),0,1),0))</f>
        <v/>
      </c>
      <c r="AI1121" s="154"/>
      <c r="AJ1121" s="158" t="str">
        <f t="shared" si="731"/>
        <v/>
      </c>
      <c r="AK1121" s="155" t="str">
        <f t="shared" si="732"/>
        <v/>
      </c>
      <c r="AL1121" s="147" t="str">
        <f t="shared" si="733"/>
        <v/>
      </c>
      <c r="AM1121" s="147" t="str">
        <f t="shared" si="718"/>
        <v/>
      </c>
      <c r="AN1121" s="160" t="str">
        <f t="shared" si="734"/>
        <v/>
      </c>
      <c r="AO1121" s="161" t="str">
        <f t="shared" si="735"/>
        <v/>
      </c>
      <c r="AP1121" s="156" t="str">
        <f t="shared" si="719"/>
        <v/>
      </c>
      <c r="AQ1121" s="152"/>
      <c r="AR1121" s="162" t="str">
        <f t="shared" si="720"/>
        <v/>
      </c>
      <c r="AS1121" s="150" t="str">
        <f t="shared" si="736"/>
        <v/>
      </c>
      <c r="AT1121" s="163" t="str">
        <f t="shared" si="721"/>
        <v/>
      </c>
      <c r="AU1121" s="163" t="str">
        <f t="shared" si="722"/>
        <v/>
      </c>
      <c r="AV1121" s="163" t="str">
        <f t="shared" si="737"/>
        <v/>
      </c>
      <c r="AW1121" s="163" t="str">
        <f t="shared" si="723"/>
        <v/>
      </c>
      <c r="AX1121" s="163" t="str">
        <f t="shared" si="724"/>
        <v/>
      </c>
      <c r="AY1121" s="164" t="str">
        <f t="shared" si="738"/>
        <v/>
      </c>
      <c r="AZ1121" s="164" t="str">
        <f>IF($E1121="","",IF(OR(AND($D1121=Input!$C$6,$C1121=12),$AN1121=1),0,-AS1122+AT1122+AU1122-AV1122-AW1122-AX1122+AZ1122))</f>
        <v/>
      </c>
      <c r="BA1121" s="154" t="str">
        <f t="shared" si="725"/>
        <v/>
      </c>
      <c r="BC1121" s="147" t="str">
        <f t="shared" si="739"/>
        <v/>
      </c>
      <c r="BD1121" s="164" t="str">
        <f>IF(AND($C1120=12,$D1120=Input!$C$6),0,IF($E1121="","",AT1121+(AU1121+BD1122)/(1+$AK1121)*MIN((1-AM1121-AN1121),1)))</f>
        <v/>
      </c>
      <c r="BE1121" s="164" t="str">
        <f t="shared" si="754"/>
        <v/>
      </c>
      <c r="BF1121" s="164" t="str">
        <f t="shared" si="740"/>
        <v/>
      </c>
      <c r="BG1121" s="164" t="str">
        <f t="shared" si="726"/>
        <v/>
      </c>
      <c r="BH1121" s="152"/>
      <c r="BI1121" s="162" t="str">
        <f t="shared" si="748"/>
        <v/>
      </c>
      <c r="BJ1121" s="150" t="str">
        <f t="shared" si="749"/>
        <v/>
      </c>
      <c r="BK1121" s="163" t="str">
        <f t="shared" si="745"/>
        <v/>
      </c>
      <c r="BL1121" s="163" t="str">
        <f t="shared" si="750"/>
        <v/>
      </c>
      <c r="BM1121" s="163" t="str">
        <f t="shared" si="746"/>
        <v/>
      </c>
      <c r="BN1121" s="163" t="str">
        <f t="shared" si="751"/>
        <v/>
      </c>
      <c r="BO1121" s="163" t="str">
        <f t="shared" si="752"/>
        <v/>
      </c>
      <c r="BP1121" s="164" t="str">
        <f t="shared" si="747"/>
        <v/>
      </c>
      <c r="BQ1121" s="164" t="str">
        <f t="shared" si="741"/>
        <v/>
      </c>
      <c r="BR1121" s="154" t="str">
        <f t="shared" si="753"/>
        <v/>
      </c>
      <c r="BT1121" s="147" t="str">
        <f t="shared" si="727"/>
        <v/>
      </c>
      <c r="BU1121" s="164" t="str">
        <f>IF(AND($C1120=12,$D1120=Input!$C$6),0,IF($E1121="","",BK1121+(BL1121+BU1122)/(1+$AK1121)*MIN((1-T1121-U1121),1)))</f>
        <v/>
      </c>
      <c r="BV1121" s="164" t="str">
        <f t="shared" si="728"/>
        <v/>
      </c>
      <c r="BW1121" s="164" t="str">
        <f t="shared" si="729"/>
        <v/>
      </c>
      <c r="BX1121" s="164" t="str">
        <f t="shared" si="730"/>
        <v/>
      </c>
    </row>
    <row r="1122" spans="1:76" s="150" customFormat="1" x14ac:dyDescent="0.25">
      <c r="A1122" s="150" t="str">
        <f t="shared" si="742"/>
        <v/>
      </c>
      <c r="B1122" s="150" t="str">
        <f t="shared" si="743"/>
        <v/>
      </c>
      <c r="C1122" s="150" t="str">
        <f t="shared" si="744"/>
        <v/>
      </c>
      <c r="D1122" s="150" t="str">
        <f>IF(E1122="","",Input!$C$4+B1122-1)</f>
        <v/>
      </c>
      <c r="E1122" s="150" t="str">
        <f>IF(OR(AND(C1121=12,D1121=Input!$C$6),E1121=""),"",1)</f>
        <v/>
      </c>
      <c r="F1122" s="150" t="str">
        <f>IF(E1122="","",Input!$C$8+B1122-1)</f>
        <v/>
      </c>
      <c r="G1122" s="151" t="str">
        <f>IF(E1122="","",MAX(0,Input!$C$9-B1122))</f>
        <v/>
      </c>
      <c r="H1122" s="152" t="str">
        <f>IF(E1122="","",Input!$C$3)</f>
        <v/>
      </c>
      <c r="I1122" s="153" t="str">
        <f>IF(E1122="","",HLOOKUP($B1122,Input!$C$13:$BT$14,2))</f>
        <v/>
      </c>
      <c r="J1122" s="154"/>
      <c r="K1122" s="155" t="str">
        <f>IF($E1122="","",INDEX(Input!$C$16:$CP$16,1,$B1122))</f>
        <v/>
      </c>
      <c r="L1122" s="155" t="str">
        <f>IF($E1122="","",Input!$C$37)</f>
        <v/>
      </c>
      <c r="M1122" s="155" t="str">
        <f t="shared" si="713"/>
        <v/>
      </c>
      <c r="N1122" s="155" t="str">
        <f t="shared" si="714"/>
        <v/>
      </c>
      <c r="O1122" s="147" t="str">
        <f>IF($E1122="","",MIN(VLOOKUP(IF($B1122&lt;=Input!$C$7,$B1122,26),'Mortality Tables'!$A$41:$CW$67,IF($B1122&lt;=Input!$C$7+1,Input!$C$4+2,$D1122-Input!$C$7+2),0)*IF(B1122&gt;20,Input!$C$22,1)/1000,1))</f>
        <v/>
      </c>
      <c r="P1122" s="147" t="str">
        <f>IF($E1122="","",MIN(VLOOKUP(IF($B1122&lt;=Input!$C$7,$B1122,26),'Mortality Tables'!$A$12:$CW$37,IF($B1122&lt;=Input!$C$7+1,Input!$C$4+2,$D1122-Input!$C$7+2),0)*IF(B1122&gt;20,Input!$C$22,1)/1000,1))</f>
        <v/>
      </c>
      <c r="Q1122" s="155" t="str">
        <f>IF($E1122="","",Input!$C$21)</f>
        <v/>
      </c>
      <c r="R1122" s="159" t="str">
        <f>IF($E1122="","",(1-Q1122)^($F1122-Input!$C$20))</f>
        <v/>
      </c>
      <c r="S1122" s="147" t="str">
        <f t="shared" si="716"/>
        <v/>
      </c>
      <c r="T1122" s="147" t="str">
        <f t="shared" si="717"/>
        <v/>
      </c>
      <c r="U1122" s="160" t="str">
        <f>IF($E1122="","",IF($C1122=12,INDEX(Input!$C$15:$CP$15,1,$B1122),0))</f>
        <v/>
      </c>
      <c r="V1122" s="150" t="str">
        <f>IF(E1122="","",IF(C1122=1,IF($B1122=1,Input!$C$33,Input!$C$34),0))</f>
        <v/>
      </c>
      <c r="W1122" s="156" t="str">
        <f>IF($E1122="","",Input!$C$35)</f>
        <v/>
      </c>
      <c r="X1122" s="156" t="str">
        <f t="shared" si="715"/>
        <v/>
      </c>
      <c r="Y1122" s="154"/>
      <c r="Z1122" s="147" t="str">
        <f>IF($E1122="","",VLOOKUP($D1122,'Mortality Margins &amp; Grading'!$AB$5:$AF$125,3,0)*IF(Summary!$D$25="Included Margin",IF(AND($B1122&gt;Input!$C$9,Summary!$D$31&lt;&gt;"Included Margin"),0,1),0))</f>
        <v/>
      </c>
      <c r="AA1122" s="147" t="str">
        <f>IF($E1122="","",VLOOKUP($D1122,'Mortality Margins &amp; Grading'!$AB$5:$AF$125,5,0)*IF(Summary!$D$25="Included Margin",IF(AND($B1122&gt;Input!$C$9,Summary!$D$31&lt;&gt;"Included Margin"),0,1),0))</f>
        <v/>
      </c>
      <c r="AB1122" s="147" t="str">
        <f>IF($E1122="","",IF(AND($B1122&gt;Input!$C$9,Summary!$D$31&lt;&gt;"Included Margin"),1,IF(Summary!$D$25="Included Margin",VLOOKUP($B1122,'Mortality Margins &amp; Grading'!$AI$5:$AR$125,MATCH('Mortality Margins &amp; Grading'!$AQ$4,'Mortality Margins &amp; Grading'!$AI$4:$AR$4,0),0),1)))</f>
        <v/>
      </c>
      <c r="AC1122" s="154"/>
      <c r="AD1122" s="158" t="str">
        <f>IF(E1122="","",Input!$C$48*IF(Summary!$D$30="Included Margin",IF(AND($B1122&gt;Input!$C$9,Summary!$D$31&lt;&gt;"Included Margin"),0,1),0))</f>
        <v/>
      </c>
      <c r="AE1122" s="159" t="str">
        <f>IF(E1122="","",IF(Summary!$D$26="Included Margin",IF(AND($B1122&gt;Input!$C$9,Summary!$D$31&lt;&gt;"Included Margin"),1,1/$R1122),1))</f>
        <v/>
      </c>
      <c r="AF1122" s="160" t="str">
        <f>IF(E1122="","",IF(AND($B1122&gt;=Input!$C$9,$C1122=12,Summary!$D$31="Included Margin",$U1122&gt;0),1/U1122-1,IF($B1122&gt;=Input!$C$9,0,Input!$C$45*IF(Summary!$D$27="Included Margin",1,0))))</f>
        <v/>
      </c>
      <c r="AG1122" s="160" t="str">
        <f>IF(E1122="","",Input!$C$46*IF(Summary!$D$28="Included Margin",IF(AND($B1122&gt;Input!$C$9,Summary!$D$31&lt;&gt;"Included Margin"),0,1),0))</f>
        <v/>
      </c>
      <c r="AH1122" s="158" t="str">
        <f>IF(E1122="","",Input!$C$47*IF(Summary!$D$29="Included Margin",IF(AND($B1122&gt;Input!$C$9,Summary!$D$31&lt;&gt;"Included Margin"),0,1),0))</f>
        <v/>
      </c>
      <c r="AI1122" s="154"/>
      <c r="AJ1122" s="158" t="str">
        <f t="shared" si="731"/>
        <v/>
      </c>
      <c r="AK1122" s="155" t="str">
        <f t="shared" si="732"/>
        <v/>
      </c>
      <c r="AL1122" s="147" t="str">
        <f t="shared" si="733"/>
        <v/>
      </c>
      <c r="AM1122" s="147" t="str">
        <f t="shared" si="718"/>
        <v/>
      </c>
      <c r="AN1122" s="160" t="str">
        <f t="shared" si="734"/>
        <v/>
      </c>
      <c r="AO1122" s="161" t="str">
        <f t="shared" si="735"/>
        <v/>
      </c>
      <c r="AP1122" s="156" t="str">
        <f t="shared" si="719"/>
        <v/>
      </c>
      <c r="AQ1122" s="152"/>
      <c r="AR1122" s="162" t="str">
        <f t="shared" si="720"/>
        <v/>
      </c>
      <c r="AS1122" s="150" t="str">
        <f t="shared" si="736"/>
        <v/>
      </c>
      <c r="AT1122" s="163" t="str">
        <f t="shared" si="721"/>
        <v/>
      </c>
      <c r="AU1122" s="163" t="str">
        <f t="shared" si="722"/>
        <v/>
      </c>
      <c r="AV1122" s="163" t="str">
        <f t="shared" si="737"/>
        <v/>
      </c>
      <c r="AW1122" s="163" t="str">
        <f t="shared" si="723"/>
        <v/>
      </c>
      <c r="AX1122" s="163" t="str">
        <f t="shared" si="724"/>
        <v/>
      </c>
      <c r="AY1122" s="165" t="str">
        <f t="shared" si="738"/>
        <v/>
      </c>
      <c r="AZ1122" s="164" t="str">
        <f>IF($E1122="","",IF(OR(AND($D1122=Input!$C$6,$C1122=12),$AN1122=1),0,-AS1123+AT1123+AU1123-AV1123-AW1123-AX1123+AZ1123))</f>
        <v/>
      </c>
      <c r="BA1122" s="154" t="str">
        <f t="shared" si="725"/>
        <v/>
      </c>
      <c r="BC1122" s="147" t="str">
        <f t="shared" si="739"/>
        <v/>
      </c>
      <c r="BD1122" s="164" t="str">
        <f>IF(AND($C1121=12,$D1121=Input!$C$6),0,IF($E1122="","",AT1122+(AU1122+BD1123)/(1+$AK1122)*MIN((1-AM1122-AN1122),1)))</f>
        <v/>
      </c>
      <c r="BE1122" s="164" t="str">
        <f t="shared" si="754"/>
        <v/>
      </c>
      <c r="BF1122" s="164" t="str">
        <f t="shared" si="740"/>
        <v/>
      </c>
      <c r="BG1122" s="164" t="str">
        <f t="shared" si="726"/>
        <v/>
      </c>
      <c r="BH1122" s="152"/>
      <c r="BI1122" s="162" t="str">
        <f t="shared" si="748"/>
        <v/>
      </c>
      <c r="BJ1122" s="150" t="str">
        <f t="shared" si="749"/>
        <v/>
      </c>
      <c r="BK1122" s="163" t="str">
        <f t="shared" si="745"/>
        <v/>
      </c>
      <c r="BL1122" s="163" t="str">
        <f t="shared" si="750"/>
        <v/>
      </c>
      <c r="BM1122" s="163" t="str">
        <f t="shared" si="746"/>
        <v/>
      </c>
      <c r="BN1122" s="163" t="str">
        <f t="shared" si="751"/>
        <v/>
      </c>
      <c r="BO1122" s="163" t="str">
        <f t="shared" si="752"/>
        <v/>
      </c>
      <c r="BP1122" s="164" t="str">
        <f t="shared" si="747"/>
        <v/>
      </c>
      <c r="BQ1122" s="164" t="str">
        <f t="shared" si="741"/>
        <v/>
      </c>
      <c r="BR1122" s="154" t="str">
        <f t="shared" si="753"/>
        <v/>
      </c>
      <c r="BT1122" s="147" t="str">
        <f t="shared" si="727"/>
        <v/>
      </c>
      <c r="BU1122" s="164" t="str">
        <f>IF(AND($C1121=12,$D1121=Input!$C$6),0,IF($E1122="","",BK1122+(BL1122+BU1123)/(1+$AK1122)*MIN((1-T1122-U1122),1)))</f>
        <v/>
      </c>
      <c r="BV1122" s="164" t="str">
        <f t="shared" si="728"/>
        <v/>
      </c>
      <c r="BW1122" s="164" t="str">
        <f t="shared" si="729"/>
        <v/>
      </c>
      <c r="BX1122" s="164" t="str">
        <f t="shared" si="730"/>
        <v/>
      </c>
    </row>
    <row r="1123" spans="1:76" s="150" customFormat="1" x14ac:dyDescent="0.25">
      <c r="A1123" s="150" t="str">
        <f t="shared" si="742"/>
        <v/>
      </c>
      <c r="B1123" s="150" t="str">
        <f t="shared" si="743"/>
        <v/>
      </c>
      <c r="C1123" s="150" t="str">
        <f t="shared" si="744"/>
        <v/>
      </c>
      <c r="D1123" s="150" t="str">
        <f>IF(E1123="","",Input!$C$4+B1123-1)</f>
        <v/>
      </c>
      <c r="E1123" s="150" t="str">
        <f>IF(OR(AND(C1122=12,D1122=Input!$C$6),E1122=""),"",1)</f>
        <v/>
      </c>
      <c r="F1123" s="150" t="str">
        <f>IF(E1123="","",Input!$C$8+B1123-1)</f>
        <v/>
      </c>
      <c r="G1123" s="151" t="str">
        <f>IF(E1123="","",MAX(0,Input!$C$9-B1123))</f>
        <v/>
      </c>
      <c r="H1123" s="152" t="str">
        <f>IF(E1123="","",Input!$C$3)</f>
        <v/>
      </c>
      <c r="I1123" s="153" t="str">
        <f>IF(E1123="","",HLOOKUP($B1123,Input!$C$13:$BT$14,2))</f>
        <v/>
      </c>
      <c r="J1123" s="154"/>
      <c r="K1123" s="155" t="str">
        <f>IF($E1123="","",INDEX(Input!$C$16:$CP$16,1,$B1123))</f>
        <v/>
      </c>
      <c r="L1123" s="155" t="str">
        <f>IF($E1123="","",Input!$C$37)</f>
        <v/>
      </c>
      <c r="M1123" s="155" t="str">
        <f t="shared" si="713"/>
        <v/>
      </c>
      <c r="N1123" s="155" t="str">
        <f t="shared" si="714"/>
        <v/>
      </c>
      <c r="O1123" s="147" t="str">
        <f>IF($E1123="","",MIN(VLOOKUP(IF($B1123&lt;=Input!$C$7,$B1123,26),'Mortality Tables'!$A$41:$CW$67,IF($B1123&lt;=Input!$C$7+1,Input!$C$4+2,$D1123-Input!$C$7+2),0)*IF(B1123&gt;20,Input!$C$22,1)/1000,1))</f>
        <v/>
      </c>
      <c r="P1123" s="147" t="str">
        <f>IF($E1123="","",MIN(VLOOKUP(IF($B1123&lt;=Input!$C$7,$B1123,26),'Mortality Tables'!$A$12:$CW$37,IF($B1123&lt;=Input!$C$7+1,Input!$C$4+2,$D1123-Input!$C$7+2),0)*IF(B1123&gt;20,Input!$C$22,1)/1000,1))</f>
        <v/>
      </c>
      <c r="Q1123" s="155" t="str">
        <f>IF($E1123="","",Input!$C$21)</f>
        <v/>
      </c>
      <c r="R1123" s="159" t="str">
        <f>IF($E1123="","",(1-Q1123)^($F1123-Input!$C$20))</f>
        <v/>
      </c>
      <c r="S1123" s="147" t="str">
        <f t="shared" si="716"/>
        <v/>
      </c>
      <c r="T1123" s="147" t="str">
        <f t="shared" si="717"/>
        <v/>
      </c>
      <c r="U1123" s="160" t="str">
        <f>IF($E1123="","",IF($C1123=12,INDEX(Input!$C$15:$CP$15,1,$B1123),0))</f>
        <v/>
      </c>
      <c r="V1123" s="150" t="str">
        <f>IF(E1123="","",IF(C1123=1,IF($B1123=1,Input!$C$33,Input!$C$34),0))</f>
        <v/>
      </c>
      <c r="W1123" s="156" t="str">
        <f>IF($E1123="","",Input!$C$35)</f>
        <v/>
      </c>
      <c r="X1123" s="156" t="str">
        <f t="shared" si="715"/>
        <v/>
      </c>
      <c r="Y1123" s="154"/>
      <c r="Z1123" s="147" t="str">
        <f>IF($E1123="","",VLOOKUP($D1123,'Mortality Margins &amp; Grading'!$AB$5:$AF$125,3,0)*IF(Summary!$D$25="Included Margin",IF(AND($B1123&gt;Input!$C$9,Summary!$D$31&lt;&gt;"Included Margin"),0,1),0))</f>
        <v/>
      </c>
      <c r="AA1123" s="147" t="str">
        <f>IF($E1123="","",VLOOKUP($D1123,'Mortality Margins &amp; Grading'!$AB$5:$AF$125,5,0)*IF(Summary!$D$25="Included Margin",IF(AND($B1123&gt;Input!$C$9,Summary!$D$31&lt;&gt;"Included Margin"),0,1),0))</f>
        <v/>
      </c>
      <c r="AB1123" s="147" t="str">
        <f>IF($E1123="","",IF(AND($B1123&gt;Input!$C$9,Summary!$D$31&lt;&gt;"Included Margin"),1,IF(Summary!$D$25="Included Margin",VLOOKUP($B1123,'Mortality Margins &amp; Grading'!$AI$5:$AR$125,MATCH('Mortality Margins &amp; Grading'!$AQ$4,'Mortality Margins &amp; Grading'!$AI$4:$AR$4,0),0),1)))</f>
        <v/>
      </c>
      <c r="AC1123" s="154"/>
      <c r="AD1123" s="158" t="str">
        <f>IF(E1123="","",Input!$C$48*IF(Summary!$D$30="Included Margin",IF(AND($B1123&gt;Input!$C$9,Summary!$D$31&lt;&gt;"Included Margin"),0,1),0))</f>
        <v/>
      </c>
      <c r="AE1123" s="159" t="str">
        <f>IF(E1123="","",IF(Summary!$D$26="Included Margin",IF(AND($B1123&gt;Input!$C$9,Summary!$D$31&lt;&gt;"Included Margin"),1,1/$R1123),1))</f>
        <v/>
      </c>
      <c r="AF1123" s="160" t="str">
        <f>IF(E1123="","",IF(AND($B1123&gt;=Input!$C$9,$C1123=12,Summary!$D$31="Included Margin",$U1123&gt;0),1/U1123-1,IF($B1123&gt;=Input!$C$9,0,Input!$C$45*IF(Summary!$D$27="Included Margin",1,0))))</f>
        <v/>
      </c>
      <c r="AG1123" s="160" t="str">
        <f>IF(E1123="","",Input!$C$46*IF(Summary!$D$28="Included Margin",IF(AND($B1123&gt;Input!$C$9,Summary!$D$31&lt;&gt;"Included Margin"),0,1),0))</f>
        <v/>
      </c>
      <c r="AH1123" s="158" t="str">
        <f>IF(E1123="","",Input!$C$47*IF(Summary!$D$29="Included Margin",IF(AND($B1123&gt;Input!$C$9,Summary!$D$31&lt;&gt;"Included Margin"),0,1),0))</f>
        <v/>
      </c>
      <c r="AI1123" s="154"/>
      <c r="AJ1123" s="158" t="str">
        <f t="shared" si="731"/>
        <v/>
      </c>
      <c r="AK1123" s="155" t="str">
        <f t="shared" si="732"/>
        <v/>
      </c>
      <c r="AL1123" s="147" t="str">
        <f t="shared" si="733"/>
        <v/>
      </c>
      <c r="AM1123" s="147" t="str">
        <f t="shared" si="718"/>
        <v/>
      </c>
      <c r="AN1123" s="160" t="str">
        <f t="shared" si="734"/>
        <v/>
      </c>
      <c r="AO1123" s="161" t="str">
        <f t="shared" si="735"/>
        <v/>
      </c>
      <c r="AP1123" s="156" t="str">
        <f t="shared" si="719"/>
        <v/>
      </c>
      <c r="AQ1123" s="152"/>
      <c r="AR1123" s="162" t="str">
        <f t="shared" si="720"/>
        <v/>
      </c>
      <c r="AS1123" s="150" t="str">
        <f t="shared" si="736"/>
        <v/>
      </c>
      <c r="AT1123" s="163" t="str">
        <f t="shared" si="721"/>
        <v/>
      </c>
      <c r="AU1123" s="163" t="str">
        <f t="shared" si="722"/>
        <v/>
      </c>
      <c r="AV1123" s="163" t="str">
        <f t="shared" si="737"/>
        <v/>
      </c>
      <c r="AW1123" s="163" t="str">
        <f t="shared" si="723"/>
        <v/>
      </c>
      <c r="AX1123" s="163" t="str">
        <f t="shared" si="724"/>
        <v/>
      </c>
      <c r="AY1123" s="164" t="str">
        <f t="shared" si="738"/>
        <v/>
      </c>
      <c r="AZ1123" s="164" t="str">
        <f>IF($E1123="","",IF(OR(AND($D1123=Input!$C$6,$C1123=12),$AN1123=1),0,-AS1124+AT1124+AU1124-AV1124-AW1124-AX1124+AZ1124))</f>
        <v/>
      </c>
      <c r="BA1123" s="154" t="str">
        <f t="shared" si="725"/>
        <v/>
      </c>
      <c r="BC1123" s="147" t="str">
        <f t="shared" si="739"/>
        <v/>
      </c>
      <c r="BD1123" s="164" t="str">
        <f>IF(AND($C1122=12,$D1122=Input!$C$6),0,IF($E1123="","",AT1123+(AU1123+BD1124)/(1+$AK1123)*MIN((1-AM1123-AN1123),1)))</f>
        <v/>
      </c>
      <c r="BE1123" s="164" t="str">
        <f t="shared" si="754"/>
        <v/>
      </c>
      <c r="BF1123" s="164" t="str">
        <f t="shared" si="740"/>
        <v/>
      </c>
      <c r="BG1123" s="164" t="str">
        <f t="shared" si="726"/>
        <v/>
      </c>
      <c r="BH1123" s="152"/>
      <c r="BI1123" s="162" t="str">
        <f t="shared" si="748"/>
        <v/>
      </c>
      <c r="BJ1123" s="150" t="str">
        <f t="shared" si="749"/>
        <v/>
      </c>
      <c r="BK1123" s="163" t="str">
        <f t="shared" si="745"/>
        <v/>
      </c>
      <c r="BL1123" s="163" t="str">
        <f t="shared" si="750"/>
        <v/>
      </c>
      <c r="BM1123" s="163" t="str">
        <f t="shared" si="746"/>
        <v/>
      </c>
      <c r="BN1123" s="163" t="str">
        <f t="shared" si="751"/>
        <v/>
      </c>
      <c r="BO1123" s="163" t="str">
        <f t="shared" si="752"/>
        <v/>
      </c>
      <c r="BP1123" s="164" t="str">
        <f t="shared" si="747"/>
        <v/>
      </c>
      <c r="BQ1123" s="164" t="str">
        <f t="shared" si="741"/>
        <v/>
      </c>
      <c r="BR1123" s="154" t="str">
        <f t="shared" si="753"/>
        <v/>
      </c>
      <c r="BT1123" s="147" t="str">
        <f t="shared" si="727"/>
        <v/>
      </c>
      <c r="BU1123" s="164" t="str">
        <f>IF(AND($C1122=12,$D1122=Input!$C$6),0,IF($E1123="","",BK1123+(BL1123+BU1124)/(1+$AK1123)*MIN((1-T1123-U1123),1)))</f>
        <v/>
      </c>
      <c r="BV1123" s="164" t="str">
        <f t="shared" si="728"/>
        <v/>
      </c>
      <c r="BW1123" s="164" t="str">
        <f t="shared" si="729"/>
        <v/>
      </c>
      <c r="BX1123" s="164" t="str">
        <f t="shared" si="730"/>
        <v/>
      </c>
    </row>
    <row r="1124" spans="1:76" s="150" customFormat="1" x14ac:dyDescent="0.25">
      <c r="A1124" s="150" t="str">
        <f t="shared" si="742"/>
        <v/>
      </c>
      <c r="B1124" s="150" t="str">
        <f t="shared" si="743"/>
        <v/>
      </c>
      <c r="C1124" s="150" t="str">
        <f t="shared" si="744"/>
        <v/>
      </c>
      <c r="D1124" s="150" t="str">
        <f>IF(E1124="","",Input!$C$4+B1124-1)</f>
        <v/>
      </c>
      <c r="E1124" s="150" t="str">
        <f>IF(OR(AND(C1123=12,D1123=Input!$C$6),E1123=""),"",1)</f>
        <v/>
      </c>
      <c r="F1124" s="150" t="str">
        <f>IF(E1124="","",Input!$C$8+B1124-1)</f>
        <v/>
      </c>
      <c r="G1124" s="151" t="str">
        <f>IF(E1124="","",MAX(0,Input!$C$9-B1124))</f>
        <v/>
      </c>
      <c r="H1124" s="152" t="str">
        <f>IF(E1124="","",Input!$C$3)</f>
        <v/>
      </c>
      <c r="I1124" s="153" t="str">
        <f>IF(E1124="","",HLOOKUP($B1124,Input!$C$13:$BT$14,2))</f>
        <v/>
      </c>
      <c r="J1124" s="154"/>
      <c r="K1124" s="155" t="str">
        <f>IF($E1124="","",INDEX(Input!$C$16:$CP$16,1,$B1124))</f>
        <v/>
      </c>
      <c r="L1124" s="155" t="str">
        <f>IF($E1124="","",Input!$C$37)</f>
        <v/>
      </c>
      <c r="M1124" s="155" t="str">
        <f t="shared" si="713"/>
        <v/>
      </c>
      <c r="N1124" s="155" t="str">
        <f t="shared" si="714"/>
        <v/>
      </c>
      <c r="O1124" s="147" t="str">
        <f>IF($E1124="","",MIN(VLOOKUP(IF($B1124&lt;=Input!$C$7,$B1124,26),'Mortality Tables'!$A$41:$CW$67,IF($B1124&lt;=Input!$C$7+1,Input!$C$4+2,$D1124-Input!$C$7+2),0)*IF(B1124&gt;20,Input!$C$22,1)/1000,1))</f>
        <v/>
      </c>
      <c r="P1124" s="147" t="str">
        <f>IF($E1124="","",MIN(VLOOKUP(IF($B1124&lt;=Input!$C$7,$B1124,26),'Mortality Tables'!$A$12:$CW$37,IF($B1124&lt;=Input!$C$7+1,Input!$C$4+2,$D1124-Input!$C$7+2),0)*IF(B1124&gt;20,Input!$C$22,1)/1000,1))</f>
        <v/>
      </c>
      <c r="Q1124" s="155" t="str">
        <f>IF($E1124="","",Input!$C$21)</f>
        <v/>
      </c>
      <c r="R1124" s="159" t="str">
        <f>IF($E1124="","",(1-Q1124)^($F1124-Input!$C$20))</f>
        <v/>
      </c>
      <c r="S1124" s="147" t="str">
        <f t="shared" si="716"/>
        <v/>
      </c>
      <c r="T1124" s="147" t="str">
        <f t="shared" si="717"/>
        <v/>
      </c>
      <c r="U1124" s="160" t="str">
        <f>IF($E1124="","",IF($C1124=12,INDEX(Input!$C$15:$CP$15,1,$B1124),0))</f>
        <v/>
      </c>
      <c r="V1124" s="150" t="str">
        <f>IF(E1124="","",IF(C1124=1,IF($B1124=1,Input!$C$33,Input!$C$34),0))</f>
        <v/>
      </c>
      <c r="W1124" s="156" t="str">
        <f>IF($E1124="","",Input!$C$35)</f>
        <v/>
      </c>
      <c r="X1124" s="156" t="str">
        <f t="shared" si="715"/>
        <v/>
      </c>
      <c r="Y1124" s="154"/>
      <c r="Z1124" s="147" t="str">
        <f>IF($E1124="","",VLOOKUP($D1124,'Mortality Margins &amp; Grading'!$AB$5:$AF$125,3,0)*IF(Summary!$D$25="Included Margin",IF(AND($B1124&gt;Input!$C$9,Summary!$D$31&lt;&gt;"Included Margin"),0,1),0))</f>
        <v/>
      </c>
      <c r="AA1124" s="147" t="str">
        <f>IF($E1124="","",VLOOKUP($D1124,'Mortality Margins &amp; Grading'!$AB$5:$AF$125,5,0)*IF(Summary!$D$25="Included Margin",IF(AND($B1124&gt;Input!$C$9,Summary!$D$31&lt;&gt;"Included Margin"),0,1),0))</f>
        <v/>
      </c>
      <c r="AB1124" s="147" t="str">
        <f>IF($E1124="","",IF(AND($B1124&gt;Input!$C$9,Summary!$D$31&lt;&gt;"Included Margin"),1,IF(Summary!$D$25="Included Margin",VLOOKUP($B1124,'Mortality Margins &amp; Grading'!$AI$5:$AR$125,MATCH('Mortality Margins &amp; Grading'!$AQ$4,'Mortality Margins &amp; Grading'!$AI$4:$AR$4,0),0),1)))</f>
        <v/>
      </c>
      <c r="AC1124" s="154"/>
      <c r="AD1124" s="158" t="str">
        <f>IF(E1124="","",Input!$C$48*IF(Summary!$D$30="Included Margin",IF(AND($B1124&gt;Input!$C$9,Summary!$D$31&lt;&gt;"Included Margin"),0,1),0))</f>
        <v/>
      </c>
      <c r="AE1124" s="159" t="str">
        <f>IF(E1124="","",IF(Summary!$D$26="Included Margin",IF(AND($B1124&gt;Input!$C$9,Summary!$D$31&lt;&gt;"Included Margin"),1,1/$R1124),1))</f>
        <v/>
      </c>
      <c r="AF1124" s="160" t="str">
        <f>IF(E1124="","",IF(AND($B1124&gt;=Input!$C$9,$C1124=12,Summary!$D$31="Included Margin",$U1124&gt;0),1/U1124-1,IF($B1124&gt;=Input!$C$9,0,Input!$C$45*IF(Summary!$D$27="Included Margin",1,0))))</f>
        <v/>
      </c>
      <c r="AG1124" s="160" t="str">
        <f>IF(E1124="","",Input!$C$46*IF(Summary!$D$28="Included Margin",IF(AND($B1124&gt;Input!$C$9,Summary!$D$31&lt;&gt;"Included Margin"),0,1),0))</f>
        <v/>
      </c>
      <c r="AH1124" s="158" t="str">
        <f>IF(E1124="","",Input!$C$47*IF(Summary!$D$29="Included Margin",IF(AND($B1124&gt;Input!$C$9,Summary!$D$31&lt;&gt;"Included Margin"),0,1),0))</f>
        <v/>
      </c>
      <c r="AI1124" s="154"/>
      <c r="AJ1124" s="158" t="str">
        <f t="shared" si="731"/>
        <v/>
      </c>
      <c r="AK1124" s="155" t="str">
        <f t="shared" si="732"/>
        <v/>
      </c>
      <c r="AL1124" s="147" t="str">
        <f t="shared" si="733"/>
        <v/>
      </c>
      <c r="AM1124" s="147" t="str">
        <f t="shared" si="718"/>
        <v/>
      </c>
      <c r="AN1124" s="160" t="str">
        <f t="shared" si="734"/>
        <v/>
      </c>
      <c r="AO1124" s="161" t="str">
        <f t="shared" si="735"/>
        <v/>
      </c>
      <c r="AP1124" s="156" t="str">
        <f t="shared" si="719"/>
        <v/>
      </c>
      <c r="AQ1124" s="152"/>
      <c r="AR1124" s="162" t="str">
        <f t="shared" si="720"/>
        <v/>
      </c>
      <c r="AS1124" s="150" t="str">
        <f t="shared" si="736"/>
        <v/>
      </c>
      <c r="AT1124" s="163" t="str">
        <f t="shared" si="721"/>
        <v/>
      </c>
      <c r="AU1124" s="163" t="str">
        <f t="shared" si="722"/>
        <v/>
      </c>
      <c r="AV1124" s="163" t="str">
        <f t="shared" si="737"/>
        <v/>
      </c>
      <c r="AW1124" s="163" t="str">
        <f t="shared" si="723"/>
        <v/>
      </c>
      <c r="AX1124" s="163" t="str">
        <f t="shared" si="724"/>
        <v/>
      </c>
      <c r="AY1124" s="165" t="str">
        <f t="shared" si="738"/>
        <v/>
      </c>
      <c r="AZ1124" s="164" t="str">
        <f>IF($E1124="","",IF(OR(AND($D1124=Input!$C$6,$C1124=12),$AN1124=1),0,-AS1125+AT1125+AU1125-AV1125-AW1125-AX1125+AZ1125))</f>
        <v/>
      </c>
      <c r="BA1124" s="154" t="str">
        <f t="shared" si="725"/>
        <v/>
      </c>
      <c r="BC1124" s="147" t="str">
        <f t="shared" si="739"/>
        <v/>
      </c>
      <c r="BD1124" s="164" t="str">
        <f>IF(AND($C1123=12,$D1123=Input!$C$6),0,IF($E1124="","",AT1124+(AU1124+BD1125)/(1+$AK1124)*MIN((1-AM1124-AN1124),1)))</f>
        <v/>
      </c>
      <c r="BE1124" s="164" t="str">
        <f t="shared" si="754"/>
        <v/>
      </c>
      <c r="BF1124" s="164" t="str">
        <f t="shared" si="740"/>
        <v/>
      </c>
      <c r="BG1124" s="164" t="str">
        <f t="shared" si="726"/>
        <v/>
      </c>
      <c r="BH1124" s="152"/>
      <c r="BI1124" s="162" t="str">
        <f t="shared" si="748"/>
        <v/>
      </c>
      <c r="BJ1124" s="150" t="str">
        <f t="shared" si="749"/>
        <v/>
      </c>
      <c r="BK1124" s="163" t="str">
        <f t="shared" si="745"/>
        <v/>
      </c>
      <c r="BL1124" s="163" t="str">
        <f t="shared" si="750"/>
        <v/>
      </c>
      <c r="BM1124" s="163" t="str">
        <f t="shared" si="746"/>
        <v/>
      </c>
      <c r="BN1124" s="163" t="str">
        <f t="shared" si="751"/>
        <v/>
      </c>
      <c r="BO1124" s="163" t="str">
        <f t="shared" si="752"/>
        <v/>
      </c>
      <c r="BP1124" s="164" t="str">
        <f t="shared" si="747"/>
        <v/>
      </c>
      <c r="BQ1124" s="164" t="str">
        <f t="shared" si="741"/>
        <v/>
      </c>
      <c r="BR1124" s="154" t="str">
        <f t="shared" si="753"/>
        <v/>
      </c>
      <c r="BT1124" s="147" t="str">
        <f t="shared" si="727"/>
        <v/>
      </c>
      <c r="BU1124" s="164" t="str">
        <f>IF(AND($C1123=12,$D1123=Input!$C$6),0,IF($E1124="","",BK1124+(BL1124+BU1125)/(1+$AK1124)*MIN((1-T1124-U1124),1)))</f>
        <v/>
      </c>
      <c r="BV1124" s="164" t="str">
        <f t="shared" si="728"/>
        <v/>
      </c>
      <c r="BW1124" s="164" t="str">
        <f t="shared" si="729"/>
        <v/>
      </c>
      <c r="BX1124" s="164" t="str">
        <f t="shared" si="730"/>
        <v/>
      </c>
    </row>
    <row r="1125" spans="1:76" s="150" customFormat="1" x14ac:dyDescent="0.25">
      <c r="A1125" s="150" t="str">
        <f t="shared" si="742"/>
        <v/>
      </c>
      <c r="B1125" s="150" t="str">
        <f t="shared" si="743"/>
        <v/>
      </c>
      <c r="C1125" s="150" t="str">
        <f t="shared" si="744"/>
        <v/>
      </c>
      <c r="D1125" s="150" t="str">
        <f>IF(E1125="","",Input!$C$4+B1125-1)</f>
        <v/>
      </c>
      <c r="E1125" s="150" t="str">
        <f>IF(OR(AND(C1124=12,D1124=Input!$C$6),E1124=""),"",1)</f>
        <v/>
      </c>
      <c r="F1125" s="150" t="str">
        <f>IF(E1125="","",Input!$C$8+B1125-1)</f>
        <v/>
      </c>
      <c r="G1125" s="151" t="str">
        <f>IF(E1125="","",MAX(0,Input!$C$9-B1125))</f>
        <v/>
      </c>
      <c r="H1125" s="152" t="str">
        <f>IF(E1125="","",Input!$C$3)</f>
        <v/>
      </c>
      <c r="I1125" s="153" t="str">
        <f>IF(E1125="","",HLOOKUP($B1125,Input!$C$13:$BT$14,2))</f>
        <v/>
      </c>
      <c r="J1125" s="154"/>
      <c r="K1125" s="155" t="str">
        <f>IF($E1125="","",INDEX(Input!$C$16:$CP$16,1,$B1125))</f>
        <v/>
      </c>
      <c r="L1125" s="155" t="str">
        <f>IF($E1125="","",Input!$C$37)</f>
        <v/>
      </c>
      <c r="M1125" s="155" t="str">
        <f t="shared" si="713"/>
        <v/>
      </c>
      <c r="N1125" s="155" t="str">
        <f t="shared" si="714"/>
        <v/>
      </c>
      <c r="O1125" s="147" t="str">
        <f>IF($E1125="","",MIN(VLOOKUP(IF($B1125&lt;=Input!$C$7,$B1125,26),'Mortality Tables'!$A$41:$CW$67,IF($B1125&lt;=Input!$C$7+1,Input!$C$4+2,$D1125-Input!$C$7+2),0)*IF(B1125&gt;20,Input!$C$22,1)/1000,1))</f>
        <v/>
      </c>
      <c r="P1125" s="147" t="str">
        <f>IF($E1125="","",MIN(VLOOKUP(IF($B1125&lt;=Input!$C$7,$B1125,26),'Mortality Tables'!$A$12:$CW$37,IF($B1125&lt;=Input!$C$7+1,Input!$C$4+2,$D1125-Input!$C$7+2),0)*IF(B1125&gt;20,Input!$C$22,1)/1000,1))</f>
        <v/>
      </c>
      <c r="Q1125" s="155" t="str">
        <f>IF($E1125="","",Input!$C$21)</f>
        <v/>
      </c>
      <c r="R1125" s="159" t="str">
        <f>IF($E1125="","",(1-Q1125)^($F1125-Input!$C$20))</f>
        <v/>
      </c>
      <c r="S1125" s="147" t="str">
        <f t="shared" si="716"/>
        <v/>
      </c>
      <c r="T1125" s="147" t="str">
        <f t="shared" si="717"/>
        <v/>
      </c>
      <c r="U1125" s="160" t="str">
        <f>IF($E1125="","",IF($C1125=12,INDEX(Input!$C$15:$CP$15,1,$B1125),0))</f>
        <v/>
      </c>
      <c r="V1125" s="150" t="str">
        <f>IF(E1125="","",IF(C1125=1,IF($B1125=1,Input!$C$33,Input!$C$34),0))</f>
        <v/>
      </c>
      <c r="W1125" s="156" t="str">
        <f>IF($E1125="","",Input!$C$35)</f>
        <v/>
      </c>
      <c r="X1125" s="156" t="str">
        <f t="shared" si="715"/>
        <v/>
      </c>
      <c r="Y1125" s="154"/>
      <c r="Z1125" s="147" t="str">
        <f>IF($E1125="","",VLOOKUP($D1125,'Mortality Margins &amp; Grading'!$AB$5:$AF$125,3,0)*IF(Summary!$D$25="Included Margin",IF(AND($B1125&gt;Input!$C$9,Summary!$D$31&lt;&gt;"Included Margin"),0,1),0))</f>
        <v/>
      </c>
      <c r="AA1125" s="147" t="str">
        <f>IF($E1125="","",VLOOKUP($D1125,'Mortality Margins &amp; Grading'!$AB$5:$AF$125,5,0)*IF(Summary!$D$25="Included Margin",IF(AND($B1125&gt;Input!$C$9,Summary!$D$31&lt;&gt;"Included Margin"),0,1),0))</f>
        <v/>
      </c>
      <c r="AB1125" s="147" t="str">
        <f>IF($E1125="","",IF(AND($B1125&gt;Input!$C$9,Summary!$D$31&lt;&gt;"Included Margin"),1,IF(Summary!$D$25="Included Margin",VLOOKUP($B1125,'Mortality Margins &amp; Grading'!$AI$5:$AR$125,MATCH('Mortality Margins &amp; Grading'!$AQ$4,'Mortality Margins &amp; Grading'!$AI$4:$AR$4,0),0),1)))</f>
        <v/>
      </c>
      <c r="AC1125" s="154"/>
      <c r="AD1125" s="158" t="str">
        <f>IF(E1125="","",Input!$C$48*IF(Summary!$D$30="Included Margin",IF(AND($B1125&gt;Input!$C$9,Summary!$D$31&lt;&gt;"Included Margin"),0,1),0))</f>
        <v/>
      </c>
      <c r="AE1125" s="159" t="str">
        <f>IF(E1125="","",IF(Summary!$D$26="Included Margin",IF(AND($B1125&gt;Input!$C$9,Summary!$D$31&lt;&gt;"Included Margin"),1,1/$R1125),1))</f>
        <v/>
      </c>
      <c r="AF1125" s="160" t="str">
        <f>IF(E1125="","",IF(AND($B1125&gt;=Input!$C$9,$C1125=12,Summary!$D$31="Included Margin",$U1125&gt;0),1/U1125-1,IF($B1125&gt;=Input!$C$9,0,Input!$C$45*IF(Summary!$D$27="Included Margin",1,0))))</f>
        <v/>
      </c>
      <c r="AG1125" s="160" t="str">
        <f>IF(E1125="","",Input!$C$46*IF(Summary!$D$28="Included Margin",IF(AND($B1125&gt;Input!$C$9,Summary!$D$31&lt;&gt;"Included Margin"),0,1),0))</f>
        <v/>
      </c>
      <c r="AH1125" s="158" t="str">
        <f>IF(E1125="","",Input!$C$47*IF(Summary!$D$29="Included Margin",IF(AND($B1125&gt;Input!$C$9,Summary!$D$31&lt;&gt;"Included Margin"),0,1),0))</f>
        <v/>
      </c>
      <c r="AI1125" s="154"/>
      <c r="AJ1125" s="158" t="str">
        <f t="shared" si="731"/>
        <v/>
      </c>
      <c r="AK1125" s="155" t="str">
        <f t="shared" si="732"/>
        <v/>
      </c>
      <c r="AL1125" s="147" t="str">
        <f t="shared" si="733"/>
        <v/>
      </c>
      <c r="AM1125" s="147" t="str">
        <f t="shared" si="718"/>
        <v/>
      </c>
      <c r="AN1125" s="160" t="str">
        <f t="shared" si="734"/>
        <v/>
      </c>
      <c r="AO1125" s="161" t="str">
        <f t="shared" si="735"/>
        <v/>
      </c>
      <c r="AP1125" s="156" t="str">
        <f t="shared" si="719"/>
        <v/>
      </c>
      <c r="AQ1125" s="152"/>
      <c r="AR1125" s="162" t="str">
        <f t="shared" si="720"/>
        <v/>
      </c>
      <c r="AS1125" s="150" t="str">
        <f t="shared" si="736"/>
        <v/>
      </c>
      <c r="AT1125" s="163" t="str">
        <f t="shared" si="721"/>
        <v/>
      </c>
      <c r="AU1125" s="163" t="str">
        <f t="shared" si="722"/>
        <v/>
      </c>
      <c r="AV1125" s="163" t="str">
        <f t="shared" si="737"/>
        <v/>
      </c>
      <c r="AW1125" s="163" t="str">
        <f t="shared" si="723"/>
        <v/>
      </c>
      <c r="AX1125" s="163" t="str">
        <f t="shared" si="724"/>
        <v/>
      </c>
      <c r="AY1125" s="164" t="str">
        <f t="shared" si="738"/>
        <v/>
      </c>
      <c r="AZ1125" s="164" t="str">
        <f>IF($E1125="","",IF(OR(AND($D1125=Input!$C$6,$C1125=12),$AN1125=1),0,-AS1126+AT1126+AU1126-AV1126-AW1126-AX1126+AZ1126))</f>
        <v/>
      </c>
      <c r="BA1125" s="154" t="str">
        <f t="shared" si="725"/>
        <v/>
      </c>
      <c r="BC1125" s="147" t="str">
        <f t="shared" si="739"/>
        <v/>
      </c>
      <c r="BD1125" s="164" t="str">
        <f>IF(AND($C1124=12,$D1124=Input!$C$6),0,IF($E1125="","",AT1125+(AU1125+BD1126)/(1+$AK1125)*MIN((1-AM1125-AN1125),1)))</f>
        <v/>
      </c>
      <c r="BE1125" s="164" t="str">
        <f t="shared" si="754"/>
        <v/>
      </c>
      <c r="BF1125" s="164" t="str">
        <f t="shared" si="740"/>
        <v/>
      </c>
      <c r="BG1125" s="164" t="str">
        <f t="shared" si="726"/>
        <v/>
      </c>
      <c r="BH1125" s="152"/>
      <c r="BI1125" s="162" t="str">
        <f t="shared" si="748"/>
        <v/>
      </c>
      <c r="BJ1125" s="150" t="str">
        <f t="shared" si="749"/>
        <v/>
      </c>
      <c r="BK1125" s="163" t="str">
        <f t="shared" si="745"/>
        <v/>
      </c>
      <c r="BL1125" s="163" t="str">
        <f t="shared" si="750"/>
        <v/>
      </c>
      <c r="BM1125" s="163" t="str">
        <f t="shared" si="746"/>
        <v/>
      </c>
      <c r="BN1125" s="163" t="str">
        <f t="shared" si="751"/>
        <v/>
      </c>
      <c r="BO1125" s="163" t="str">
        <f t="shared" si="752"/>
        <v/>
      </c>
      <c r="BP1125" s="164" t="str">
        <f t="shared" si="747"/>
        <v/>
      </c>
      <c r="BQ1125" s="164" t="str">
        <f t="shared" si="741"/>
        <v/>
      </c>
      <c r="BR1125" s="154" t="str">
        <f t="shared" si="753"/>
        <v/>
      </c>
      <c r="BT1125" s="147" t="str">
        <f t="shared" si="727"/>
        <v/>
      </c>
      <c r="BU1125" s="164" t="str">
        <f>IF(AND($C1124=12,$D1124=Input!$C$6),0,IF($E1125="","",BK1125+(BL1125+BU1126)/(1+$AK1125)*MIN((1-T1125-U1125),1)))</f>
        <v/>
      </c>
      <c r="BV1125" s="164" t="str">
        <f t="shared" si="728"/>
        <v/>
      </c>
      <c r="BW1125" s="164" t="str">
        <f t="shared" si="729"/>
        <v/>
      </c>
      <c r="BX1125" s="164" t="str">
        <f t="shared" si="730"/>
        <v/>
      </c>
    </row>
    <row r="1126" spans="1:76" s="150" customFormat="1" x14ac:dyDescent="0.25">
      <c r="A1126" s="150" t="str">
        <f t="shared" si="742"/>
        <v/>
      </c>
      <c r="B1126" s="150" t="str">
        <f t="shared" si="743"/>
        <v/>
      </c>
      <c r="C1126" s="150" t="str">
        <f t="shared" si="744"/>
        <v/>
      </c>
      <c r="D1126" s="150" t="str">
        <f>IF(E1126="","",Input!$C$4+B1126-1)</f>
        <v/>
      </c>
      <c r="E1126" s="150" t="str">
        <f>IF(OR(AND(C1125=12,D1125=Input!$C$6),E1125=""),"",1)</f>
        <v/>
      </c>
      <c r="F1126" s="150" t="str">
        <f>IF(E1126="","",Input!$C$8+B1126-1)</f>
        <v/>
      </c>
      <c r="G1126" s="151" t="str">
        <f>IF(E1126="","",MAX(0,Input!$C$9-B1126))</f>
        <v/>
      </c>
      <c r="H1126" s="152" t="str">
        <f>IF(E1126="","",Input!$C$3)</f>
        <v/>
      </c>
      <c r="I1126" s="153" t="str">
        <f>IF(E1126="","",HLOOKUP($B1126,Input!$C$13:$BT$14,2))</f>
        <v/>
      </c>
      <c r="J1126" s="154"/>
      <c r="K1126" s="155" t="str">
        <f>IF($E1126="","",INDEX(Input!$C$16:$CP$16,1,$B1126))</f>
        <v/>
      </c>
      <c r="L1126" s="155" t="str">
        <f>IF($E1126="","",Input!$C$37)</f>
        <v/>
      </c>
      <c r="M1126" s="155" t="str">
        <f t="shared" si="713"/>
        <v/>
      </c>
      <c r="N1126" s="155" t="str">
        <f t="shared" si="714"/>
        <v/>
      </c>
      <c r="O1126" s="147" t="str">
        <f>IF($E1126="","",MIN(VLOOKUP(IF($B1126&lt;=Input!$C$7,$B1126,26),'Mortality Tables'!$A$41:$CW$67,IF($B1126&lt;=Input!$C$7+1,Input!$C$4+2,$D1126-Input!$C$7+2),0)*IF(B1126&gt;20,Input!$C$22,1)/1000,1))</f>
        <v/>
      </c>
      <c r="P1126" s="147" t="str">
        <f>IF($E1126="","",MIN(VLOOKUP(IF($B1126&lt;=Input!$C$7,$B1126,26),'Mortality Tables'!$A$12:$CW$37,IF($B1126&lt;=Input!$C$7+1,Input!$C$4+2,$D1126-Input!$C$7+2),0)*IF(B1126&gt;20,Input!$C$22,1)/1000,1))</f>
        <v/>
      </c>
      <c r="Q1126" s="155" t="str">
        <f>IF($E1126="","",Input!$C$21)</f>
        <v/>
      </c>
      <c r="R1126" s="159" t="str">
        <f>IF($E1126="","",(1-Q1126)^($F1126-Input!$C$20))</f>
        <v/>
      </c>
      <c r="S1126" s="147" t="str">
        <f t="shared" si="716"/>
        <v/>
      </c>
      <c r="T1126" s="147" t="str">
        <f t="shared" si="717"/>
        <v/>
      </c>
      <c r="U1126" s="160" t="str">
        <f>IF($E1126="","",IF($C1126=12,INDEX(Input!$C$15:$CP$15,1,$B1126),0))</f>
        <v/>
      </c>
      <c r="V1126" s="150" t="str">
        <f>IF(E1126="","",IF(C1126=1,IF($B1126=1,Input!$C$33,Input!$C$34),0))</f>
        <v/>
      </c>
      <c r="W1126" s="156" t="str">
        <f>IF($E1126="","",Input!$C$35)</f>
        <v/>
      </c>
      <c r="X1126" s="156" t="str">
        <f t="shared" si="715"/>
        <v/>
      </c>
      <c r="Y1126" s="154"/>
      <c r="Z1126" s="147" t="str">
        <f>IF($E1126="","",VLOOKUP($D1126,'Mortality Margins &amp; Grading'!$AB$5:$AF$125,3,0)*IF(Summary!$D$25="Included Margin",IF(AND($B1126&gt;Input!$C$9,Summary!$D$31&lt;&gt;"Included Margin"),0,1),0))</f>
        <v/>
      </c>
      <c r="AA1126" s="147" t="str">
        <f>IF($E1126="","",VLOOKUP($D1126,'Mortality Margins &amp; Grading'!$AB$5:$AF$125,5,0)*IF(Summary!$D$25="Included Margin",IF(AND($B1126&gt;Input!$C$9,Summary!$D$31&lt;&gt;"Included Margin"),0,1),0))</f>
        <v/>
      </c>
      <c r="AB1126" s="147" t="str">
        <f>IF($E1126="","",IF(AND($B1126&gt;Input!$C$9,Summary!$D$31&lt;&gt;"Included Margin"),1,IF(Summary!$D$25="Included Margin",VLOOKUP($B1126,'Mortality Margins &amp; Grading'!$AI$5:$AR$125,MATCH('Mortality Margins &amp; Grading'!$AQ$4,'Mortality Margins &amp; Grading'!$AI$4:$AR$4,0),0),1)))</f>
        <v/>
      </c>
      <c r="AC1126" s="154"/>
      <c r="AD1126" s="158" t="str">
        <f>IF(E1126="","",Input!$C$48*IF(Summary!$D$30="Included Margin",IF(AND($B1126&gt;Input!$C$9,Summary!$D$31&lt;&gt;"Included Margin"),0,1),0))</f>
        <v/>
      </c>
      <c r="AE1126" s="159" t="str">
        <f>IF(E1126="","",IF(Summary!$D$26="Included Margin",IF(AND($B1126&gt;Input!$C$9,Summary!$D$31&lt;&gt;"Included Margin"),1,1/$R1126),1))</f>
        <v/>
      </c>
      <c r="AF1126" s="160" t="str">
        <f>IF(E1126="","",IF(AND($B1126&gt;=Input!$C$9,$C1126=12,Summary!$D$31="Included Margin",$U1126&gt;0),1/U1126-1,IF($B1126&gt;=Input!$C$9,0,Input!$C$45*IF(Summary!$D$27="Included Margin",1,0))))</f>
        <v/>
      </c>
      <c r="AG1126" s="160" t="str">
        <f>IF(E1126="","",Input!$C$46*IF(Summary!$D$28="Included Margin",IF(AND($B1126&gt;Input!$C$9,Summary!$D$31&lt;&gt;"Included Margin"),0,1),0))</f>
        <v/>
      </c>
      <c r="AH1126" s="158" t="str">
        <f>IF(E1126="","",Input!$C$47*IF(Summary!$D$29="Included Margin",IF(AND($B1126&gt;Input!$C$9,Summary!$D$31&lt;&gt;"Included Margin"),0,1),0))</f>
        <v/>
      </c>
      <c r="AI1126" s="154"/>
      <c r="AJ1126" s="158" t="str">
        <f t="shared" si="731"/>
        <v/>
      </c>
      <c r="AK1126" s="155" t="str">
        <f t="shared" si="732"/>
        <v/>
      </c>
      <c r="AL1126" s="147" t="str">
        <f t="shared" si="733"/>
        <v/>
      </c>
      <c r="AM1126" s="147" t="str">
        <f t="shared" si="718"/>
        <v/>
      </c>
      <c r="AN1126" s="160" t="str">
        <f t="shared" si="734"/>
        <v/>
      </c>
      <c r="AO1126" s="161" t="str">
        <f t="shared" si="735"/>
        <v/>
      </c>
      <c r="AP1126" s="156" t="str">
        <f t="shared" si="719"/>
        <v/>
      </c>
      <c r="AQ1126" s="152"/>
      <c r="AR1126" s="162" t="str">
        <f t="shared" si="720"/>
        <v/>
      </c>
      <c r="AS1126" s="150" t="str">
        <f t="shared" si="736"/>
        <v/>
      </c>
      <c r="AT1126" s="163" t="str">
        <f t="shared" si="721"/>
        <v/>
      </c>
      <c r="AU1126" s="163" t="str">
        <f t="shared" si="722"/>
        <v/>
      </c>
      <c r="AV1126" s="163" t="str">
        <f t="shared" si="737"/>
        <v/>
      </c>
      <c r="AW1126" s="163" t="str">
        <f t="shared" si="723"/>
        <v/>
      </c>
      <c r="AX1126" s="163" t="str">
        <f t="shared" si="724"/>
        <v/>
      </c>
      <c r="AY1126" s="165" t="str">
        <f t="shared" si="738"/>
        <v/>
      </c>
      <c r="AZ1126" s="164" t="str">
        <f>IF($E1126="","",IF(OR(AND($D1126=Input!$C$6,$C1126=12),$AN1126=1),0,-AS1127+AT1127+AU1127-AV1127-AW1127-AX1127+AZ1127))</f>
        <v/>
      </c>
      <c r="BA1126" s="154" t="str">
        <f t="shared" si="725"/>
        <v/>
      </c>
      <c r="BC1126" s="147" t="str">
        <f t="shared" si="739"/>
        <v/>
      </c>
      <c r="BD1126" s="164" t="str">
        <f>IF(AND($C1125=12,$D1125=Input!$C$6),0,IF($E1126="","",AT1126+(AU1126+BD1127)/(1+$AK1126)*MIN((1-AM1126-AN1126),1)))</f>
        <v/>
      </c>
      <c r="BE1126" s="164" t="str">
        <f t="shared" si="754"/>
        <v/>
      </c>
      <c r="BF1126" s="164" t="str">
        <f t="shared" si="740"/>
        <v/>
      </c>
      <c r="BG1126" s="164" t="str">
        <f t="shared" si="726"/>
        <v/>
      </c>
      <c r="BH1126" s="152"/>
      <c r="BI1126" s="162" t="str">
        <f t="shared" si="748"/>
        <v/>
      </c>
      <c r="BJ1126" s="150" t="str">
        <f t="shared" si="749"/>
        <v/>
      </c>
      <c r="BK1126" s="163" t="str">
        <f t="shared" si="745"/>
        <v/>
      </c>
      <c r="BL1126" s="163" t="str">
        <f t="shared" si="750"/>
        <v/>
      </c>
      <c r="BM1126" s="163" t="str">
        <f t="shared" si="746"/>
        <v/>
      </c>
      <c r="BN1126" s="163" t="str">
        <f t="shared" si="751"/>
        <v/>
      </c>
      <c r="BO1126" s="163" t="str">
        <f t="shared" si="752"/>
        <v/>
      </c>
      <c r="BP1126" s="164" t="str">
        <f t="shared" si="747"/>
        <v/>
      </c>
      <c r="BQ1126" s="164" t="str">
        <f t="shared" si="741"/>
        <v/>
      </c>
      <c r="BR1126" s="154" t="str">
        <f t="shared" si="753"/>
        <v/>
      </c>
      <c r="BT1126" s="147" t="str">
        <f t="shared" si="727"/>
        <v/>
      </c>
      <c r="BU1126" s="164" t="str">
        <f>IF(AND($C1125=12,$D1125=Input!$C$6),0,IF($E1126="","",BK1126+(BL1126+BU1127)/(1+$AK1126)*MIN((1-T1126-U1126),1)))</f>
        <v/>
      </c>
      <c r="BV1126" s="164" t="str">
        <f t="shared" si="728"/>
        <v/>
      </c>
      <c r="BW1126" s="164" t="str">
        <f t="shared" si="729"/>
        <v/>
      </c>
      <c r="BX1126" s="164" t="str">
        <f t="shared" si="730"/>
        <v/>
      </c>
    </row>
    <row r="1127" spans="1:76" s="150" customFormat="1" x14ac:dyDescent="0.25">
      <c r="A1127" s="150" t="str">
        <f t="shared" si="742"/>
        <v/>
      </c>
      <c r="B1127" s="150" t="str">
        <f t="shared" si="743"/>
        <v/>
      </c>
      <c r="C1127" s="150" t="str">
        <f t="shared" si="744"/>
        <v/>
      </c>
      <c r="D1127" s="150" t="str">
        <f>IF(E1127="","",Input!$C$4+B1127-1)</f>
        <v/>
      </c>
      <c r="E1127" s="150" t="str">
        <f>IF(OR(AND(C1126=12,D1126=Input!$C$6),E1126=""),"",1)</f>
        <v/>
      </c>
      <c r="F1127" s="150" t="str">
        <f>IF(E1127="","",Input!$C$8+B1127-1)</f>
        <v/>
      </c>
      <c r="G1127" s="151" t="str">
        <f>IF(E1127="","",MAX(0,Input!$C$9-B1127))</f>
        <v/>
      </c>
      <c r="H1127" s="152" t="str">
        <f>IF(E1127="","",Input!$C$3)</f>
        <v/>
      </c>
      <c r="I1127" s="153" t="str">
        <f>IF(E1127="","",HLOOKUP($B1127,Input!$C$13:$BT$14,2))</f>
        <v/>
      </c>
      <c r="J1127" s="154"/>
      <c r="K1127" s="155" t="str">
        <f>IF($E1127="","",INDEX(Input!$C$16:$CP$16,1,$B1127))</f>
        <v/>
      </c>
      <c r="L1127" s="155" t="str">
        <f>IF($E1127="","",Input!$C$37)</f>
        <v/>
      </c>
      <c r="M1127" s="155" t="str">
        <f t="shared" si="713"/>
        <v/>
      </c>
      <c r="N1127" s="155" t="str">
        <f t="shared" si="714"/>
        <v/>
      </c>
      <c r="O1127" s="147" t="str">
        <f>IF($E1127="","",MIN(VLOOKUP(IF($B1127&lt;=Input!$C$7,$B1127,26),'Mortality Tables'!$A$41:$CW$67,IF($B1127&lt;=Input!$C$7+1,Input!$C$4+2,$D1127-Input!$C$7+2),0)*IF(B1127&gt;20,Input!$C$22,1)/1000,1))</f>
        <v/>
      </c>
      <c r="P1127" s="147" t="str">
        <f>IF($E1127="","",MIN(VLOOKUP(IF($B1127&lt;=Input!$C$7,$B1127,26),'Mortality Tables'!$A$12:$CW$37,IF($B1127&lt;=Input!$C$7+1,Input!$C$4+2,$D1127-Input!$C$7+2),0)*IF(B1127&gt;20,Input!$C$22,1)/1000,1))</f>
        <v/>
      </c>
      <c r="Q1127" s="155" t="str">
        <f>IF($E1127="","",Input!$C$21)</f>
        <v/>
      </c>
      <c r="R1127" s="159" t="str">
        <f>IF($E1127="","",(1-Q1127)^($F1127-Input!$C$20))</f>
        <v/>
      </c>
      <c r="S1127" s="147" t="str">
        <f t="shared" si="716"/>
        <v/>
      </c>
      <c r="T1127" s="147" t="str">
        <f t="shared" si="717"/>
        <v/>
      </c>
      <c r="U1127" s="160" t="str">
        <f>IF($E1127="","",IF($C1127=12,INDEX(Input!$C$15:$CP$15,1,$B1127),0))</f>
        <v/>
      </c>
      <c r="V1127" s="150" t="str">
        <f>IF(E1127="","",IF(C1127=1,IF($B1127=1,Input!$C$33,Input!$C$34),0))</f>
        <v/>
      </c>
      <c r="W1127" s="156" t="str">
        <f>IF($E1127="","",Input!$C$35)</f>
        <v/>
      </c>
      <c r="X1127" s="156" t="str">
        <f t="shared" si="715"/>
        <v/>
      </c>
      <c r="Y1127" s="154"/>
      <c r="Z1127" s="147" t="str">
        <f>IF($E1127="","",VLOOKUP($D1127,'Mortality Margins &amp; Grading'!$AB$5:$AF$125,3,0)*IF(Summary!$D$25="Included Margin",IF(AND($B1127&gt;Input!$C$9,Summary!$D$31&lt;&gt;"Included Margin"),0,1),0))</f>
        <v/>
      </c>
      <c r="AA1127" s="147" t="str">
        <f>IF($E1127="","",VLOOKUP($D1127,'Mortality Margins &amp; Grading'!$AB$5:$AF$125,5,0)*IF(Summary!$D$25="Included Margin",IF(AND($B1127&gt;Input!$C$9,Summary!$D$31&lt;&gt;"Included Margin"),0,1),0))</f>
        <v/>
      </c>
      <c r="AB1127" s="147" t="str">
        <f>IF($E1127="","",IF(AND($B1127&gt;Input!$C$9,Summary!$D$31&lt;&gt;"Included Margin"),1,IF(Summary!$D$25="Included Margin",VLOOKUP($B1127,'Mortality Margins &amp; Grading'!$AI$5:$AR$125,MATCH('Mortality Margins &amp; Grading'!$AQ$4,'Mortality Margins &amp; Grading'!$AI$4:$AR$4,0),0),1)))</f>
        <v/>
      </c>
      <c r="AC1127" s="154"/>
      <c r="AD1127" s="158" t="str">
        <f>IF(E1127="","",Input!$C$48*IF(Summary!$D$30="Included Margin",IF(AND($B1127&gt;Input!$C$9,Summary!$D$31&lt;&gt;"Included Margin"),0,1),0))</f>
        <v/>
      </c>
      <c r="AE1127" s="159" t="str">
        <f>IF(E1127="","",IF(Summary!$D$26="Included Margin",IF(AND($B1127&gt;Input!$C$9,Summary!$D$31&lt;&gt;"Included Margin"),1,1/$R1127),1))</f>
        <v/>
      </c>
      <c r="AF1127" s="160" t="str">
        <f>IF(E1127="","",IF(AND($B1127&gt;=Input!$C$9,$C1127=12,Summary!$D$31="Included Margin",$U1127&gt;0),1/U1127-1,IF($B1127&gt;=Input!$C$9,0,Input!$C$45*IF(Summary!$D$27="Included Margin",1,0))))</f>
        <v/>
      </c>
      <c r="AG1127" s="160" t="str">
        <f>IF(E1127="","",Input!$C$46*IF(Summary!$D$28="Included Margin",IF(AND($B1127&gt;Input!$C$9,Summary!$D$31&lt;&gt;"Included Margin"),0,1),0))</f>
        <v/>
      </c>
      <c r="AH1127" s="158" t="str">
        <f>IF(E1127="","",Input!$C$47*IF(Summary!$D$29="Included Margin",IF(AND($B1127&gt;Input!$C$9,Summary!$D$31&lt;&gt;"Included Margin"),0,1),0))</f>
        <v/>
      </c>
      <c r="AI1127" s="154"/>
      <c r="AJ1127" s="158" t="str">
        <f t="shared" si="731"/>
        <v/>
      </c>
      <c r="AK1127" s="155" t="str">
        <f t="shared" si="732"/>
        <v/>
      </c>
      <c r="AL1127" s="147" t="str">
        <f t="shared" si="733"/>
        <v/>
      </c>
      <c r="AM1127" s="147" t="str">
        <f t="shared" si="718"/>
        <v/>
      </c>
      <c r="AN1127" s="160" t="str">
        <f t="shared" si="734"/>
        <v/>
      </c>
      <c r="AO1127" s="161" t="str">
        <f t="shared" si="735"/>
        <v/>
      </c>
      <c r="AP1127" s="156" t="str">
        <f t="shared" si="719"/>
        <v/>
      </c>
      <c r="AQ1127" s="152"/>
      <c r="AR1127" s="162" t="str">
        <f t="shared" si="720"/>
        <v/>
      </c>
      <c r="AS1127" s="150" t="str">
        <f t="shared" si="736"/>
        <v/>
      </c>
      <c r="AT1127" s="163" t="str">
        <f t="shared" si="721"/>
        <v/>
      </c>
      <c r="AU1127" s="163" t="str">
        <f t="shared" si="722"/>
        <v/>
      </c>
      <c r="AV1127" s="163" t="str">
        <f t="shared" si="737"/>
        <v/>
      </c>
      <c r="AW1127" s="163" t="str">
        <f t="shared" si="723"/>
        <v/>
      </c>
      <c r="AX1127" s="163" t="str">
        <f t="shared" si="724"/>
        <v/>
      </c>
      <c r="AY1127" s="164" t="str">
        <f t="shared" si="738"/>
        <v/>
      </c>
      <c r="AZ1127" s="164" t="str">
        <f>IF($E1127="","",IF(OR(AND($D1127=Input!$C$6,$C1127=12),$AN1127=1),0,-AS1128+AT1128+AU1128-AV1128-AW1128-AX1128+AZ1128))</f>
        <v/>
      </c>
      <c r="BA1127" s="154" t="str">
        <f t="shared" si="725"/>
        <v/>
      </c>
      <c r="BC1127" s="147" t="str">
        <f t="shared" si="739"/>
        <v/>
      </c>
      <c r="BD1127" s="164" t="str">
        <f>IF(AND($C1126=12,$D1126=Input!$C$6),0,IF($E1127="","",AT1127+(AU1127+BD1128)/(1+$AK1127)*MIN((1-AM1127-AN1127),1)))</f>
        <v/>
      </c>
      <c r="BE1127" s="164" t="str">
        <f t="shared" si="754"/>
        <v/>
      </c>
      <c r="BF1127" s="164" t="str">
        <f t="shared" si="740"/>
        <v/>
      </c>
      <c r="BG1127" s="164" t="str">
        <f t="shared" si="726"/>
        <v/>
      </c>
      <c r="BH1127" s="152"/>
      <c r="BI1127" s="162" t="str">
        <f t="shared" si="748"/>
        <v/>
      </c>
      <c r="BJ1127" s="150" t="str">
        <f t="shared" si="749"/>
        <v/>
      </c>
      <c r="BK1127" s="163" t="str">
        <f t="shared" si="745"/>
        <v/>
      </c>
      <c r="BL1127" s="163" t="str">
        <f t="shared" si="750"/>
        <v/>
      </c>
      <c r="BM1127" s="163" t="str">
        <f t="shared" si="746"/>
        <v/>
      </c>
      <c r="BN1127" s="163" t="str">
        <f t="shared" si="751"/>
        <v/>
      </c>
      <c r="BO1127" s="163" t="str">
        <f t="shared" si="752"/>
        <v/>
      </c>
      <c r="BP1127" s="164" t="str">
        <f t="shared" si="747"/>
        <v/>
      </c>
      <c r="BQ1127" s="164" t="str">
        <f t="shared" si="741"/>
        <v/>
      </c>
      <c r="BR1127" s="154" t="str">
        <f t="shared" si="753"/>
        <v/>
      </c>
      <c r="BT1127" s="147" t="str">
        <f t="shared" si="727"/>
        <v/>
      </c>
      <c r="BU1127" s="164" t="str">
        <f>IF(AND($C1126=12,$D1126=Input!$C$6),0,IF($E1127="","",BK1127+(BL1127+BU1128)/(1+$AK1127)*MIN((1-T1127-U1127),1)))</f>
        <v/>
      </c>
      <c r="BV1127" s="164" t="str">
        <f t="shared" si="728"/>
        <v/>
      </c>
      <c r="BW1127" s="164" t="str">
        <f t="shared" si="729"/>
        <v/>
      </c>
      <c r="BX1127" s="164" t="str">
        <f t="shared" si="730"/>
        <v/>
      </c>
    </row>
    <row r="1128" spans="1:76" s="150" customFormat="1" x14ac:dyDescent="0.25">
      <c r="A1128" s="150" t="str">
        <f t="shared" si="742"/>
        <v/>
      </c>
      <c r="B1128" s="150" t="str">
        <f t="shared" si="743"/>
        <v/>
      </c>
      <c r="C1128" s="150" t="str">
        <f t="shared" si="744"/>
        <v/>
      </c>
      <c r="D1128" s="150" t="str">
        <f>IF(E1128="","",Input!$C$4+B1128-1)</f>
        <v/>
      </c>
      <c r="E1128" s="150" t="str">
        <f>IF(OR(AND(C1127=12,D1127=Input!$C$6),E1127=""),"",1)</f>
        <v/>
      </c>
      <c r="F1128" s="150" t="str">
        <f>IF(E1128="","",Input!$C$8+B1128-1)</f>
        <v/>
      </c>
      <c r="G1128" s="151" t="str">
        <f>IF(E1128="","",MAX(0,Input!$C$9-B1128))</f>
        <v/>
      </c>
      <c r="H1128" s="152" t="str">
        <f>IF(E1128="","",Input!$C$3)</f>
        <v/>
      </c>
      <c r="I1128" s="153" t="str">
        <f>IF(E1128="","",HLOOKUP($B1128,Input!$C$13:$BT$14,2))</f>
        <v/>
      </c>
      <c r="J1128" s="154"/>
      <c r="K1128" s="155" t="str">
        <f>IF($E1128="","",INDEX(Input!$C$16:$CP$16,1,$B1128))</f>
        <v/>
      </c>
      <c r="L1128" s="155" t="str">
        <f>IF($E1128="","",Input!$C$37)</f>
        <v/>
      </c>
      <c r="M1128" s="155" t="str">
        <f t="shared" si="713"/>
        <v/>
      </c>
      <c r="N1128" s="155" t="str">
        <f t="shared" si="714"/>
        <v/>
      </c>
      <c r="O1128" s="147" t="str">
        <f>IF($E1128="","",MIN(VLOOKUP(IF($B1128&lt;=Input!$C$7,$B1128,26),'Mortality Tables'!$A$41:$CW$67,IF($B1128&lt;=Input!$C$7+1,Input!$C$4+2,$D1128-Input!$C$7+2),0)*IF(B1128&gt;20,Input!$C$22,1)/1000,1))</f>
        <v/>
      </c>
      <c r="P1128" s="147" t="str">
        <f>IF($E1128="","",MIN(VLOOKUP(IF($B1128&lt;=Input!$C$7,$B1128,26),'Mortality Tables'!$A$12:$CW$37,IF($B1128&lt;=Input!$C$7+1,Input!$C$4+2,$D1128-Input!$C$7+2),0)*IF(B1128&gt;20,Input!$C$22,1)/1000,1))</f>
        <v/>
      </c>
      <c r="Q1128" s="155" t="str">
        <f>IF($E1128="","",Input!$C$21)</f>
        <v/>
      </c>
      <c r="R1128" s="159" t="str">
        <f>IF($E1128="","",(1-Q1128)^($F1128-Input!$C$20))</f>
        <v/>
      </c>
      <c r="S1128" s="147" t="str">
        <f t="shared" si="716"/>
        <v/>
      </c>
      <c r="T1128" s="147" t="str">
        <f t="shared" si="717"/>
        <v/>
      </c>
      <c r="U1128" s="160" t="str">
        <f>IF($E1128="","",IF($C1128=12,INDEX(Input!$C$15:$CP$15,1,$B1128),0))</f>
        <v/>
      </c>
      <c r="V1128" s="150" t="str">
        <f>IF(E1128="","",IF(C1128=1,IF($B1128=1,Input!$C$33,Input!$C$34),0))</f>
        <v/>
      </c>
      <c r="W1128" s="156" t="str">
        <f>IF($E1128="","",Input!$C$35)</f>
        <v/>
      </c>
      <c r="X1128" s="156" t="str">
        <f t="shared" si="715"/>
        <v/>
      </c>
      <c r="Y1128" s="154"/>
      <c r="Z1128" s="147" t="str">
        <f>IF($E1128="","",VLOOKUP($D1128,'Mortality Margins &amp; Grading'!$AB$5:$AF$125,3,0)*IF(Summary!$D$25="Included Margin",IF(AND($B1128&gt;Input!$C$9,Summary!$D$31&lt;&gt;"Included Margin"),0,1),0))</f>
        <v/>
      </c>
      <c r="AA1128" s="147" t="str">
        <f>IF($E1128="","",VLOOKUP($D1128,'Mortality Margins &amp; Grading'!$AB$5:$AF$125,5,0)*IF(Summary!$D$25="Included Margin",IF(AND($B1128&gt;Input!$C$9,Summary!$D$31&lt;&gt;"Included Margin"),0,1),0))</f>
        <v/>
      </c>
      <c r="AB1128" s="147" t="str">
        <f>IF($E1128="","",IF(AND($B1128&gt;Input!$C$9,Summary!$D$31&lt;&gt;"Included Margin"),1,IF(Summary!$D$25="Included Margin",VLOOKUP($B1128,'Mortality Margins &amp; Grading'!$AI$5:$AR$125,MATCH('Mortality Margins &amp; Grading'!$AQ$4,'Mortality Margins &amp; Grading'!$AI$4:$AR$4,0),0),1)))</f>
        <v/>
      </c>
      <c r="AC1128" s="154"/>
      <c r="AD1128" s="158" t="str">
        <f>IF(E1128="","",Input!$C$48*IF(Summary!$D$30="Included Margin",IF(AND($B1128&gt;Input!$C$9,Summary!$D$31&lt;&gt;"Included Margin"),0,1),0))</f>
        <v/>
      </c>
      <c r="AE1128" s="159" t="str">
        <f>IF(E1128="","",IF(Summary!$D$26="Included Margin",IF(AND($B1128&gt;Input!$C$9,Summary!$D$31&lt;&gt;"Included Margin"),1,1/$R1128),1))</f>
        <v/>
      </c>
      <c r="AF1128" s="160" t="str">
        <f>IF(E1128="","",IF(AND($B1128&gt;=Input!$C$9,$C1128=12,Summary!$D$31="Included Margin",$U1128&gt;0),1/U1128-1,IF($B1128&gt;=Input!$C$9,0,Input!$C$45*IF(Summary!$D$27="Included Margin",1,0))))</f>
        <v/>
      </c>
      <c r="AG1128" s="160" t="str">
        <f>IF(E1128="","",Input!$C$46*IF(Summary!$D$28="Included Margin",IF(AND($B1128&gt;Input!$C$9,Summary!$D$31&lt;&gt;"Included Margin"),0,1),0))</f>
        <v/>
      </c>
      <c r="AH1128" s="158" t="str">
        <f>IF(E1128="","",Input!$C$47*IF(Summary!$D$29="Included Margin",IF(AND($B1128&gt;Input!$C$9,Summary!$D$31&lt;&gt;"Included Margin"),0,1),0))</f>
        <v/>
      </c>
      <c r="AI1128" s="154"/>
      <c r="AJ1128" s="158" t="str">
        <f t="shared" si="731"/>
        <v/>
      </c>
      <c r="AK1128" s="155" t="str">
        <f t="shared" si="732"/>
        <v/>
      </c>
      <c r="AL1128" s="147" t="str">
        <f t="shared" si="733"/>
        <v/>
      </c>
      <c r="AM1128" s="147" t="str">
        <f t="shared" si="718"/>
        <v/>
      </c>
      <c r="AN1128" s="160" t="str">
        <f t="shared" si="734"/>
        <v/>
      </c>
      <c r="AO1128" s="161" t="str">
        <f t="shared" si="735"/>
        <v/>
      </c>
      <c r="AP1128" s="156" t="str">
        <f t="shared" si="719"/>
        <v/>
      </c>
      <c r="AQ1128" s="152"/>
      <c r="AR1128" s="162" t="str">
        <f t="shared" si="720"/>
        <v/>
      </c>
      <c r="AS1128" s="150" t="str">
        <f t="shared" si="736"/>
        <v/>
      </c>
      <c r="AT1128" s="163" t="str">
        <f t="shared" si="721"/>
        <v/>
      </c>
      <c r="AU1128" s="163" t="str">
        <f t="shared" si="722"/>
        <v/>
      </c>
      <c r="AV1128" s="163" t="str">
        <f t="shared" si="737"/>
        <v/>
      </c>
      <c r="AW1128" s="163" t="str">
        <f t="shared" si="723"/>
        <v/>
      </c>
      <c r="AX1128" s="163" t="str">
        <f t="shared" si="724"/>
        <v/>
      </c>
      <c r="AY1128" s="165" t="str">
        <f t="shared" si="738"/>
        <v/>
      </c>
      <c r="AZ1128" s="164" t="str">
        <f>IF($E1128="","",IF(OR(AND($D1128=Input!$C$6,$C1128=12),$AN1128=1),0,-AS1129+AT1129+AU1129-AV1129-AW1129-AX1129+AZ1129))</f>
        <v/>
      </c>
      <c r="BA1128" s="154" t="str">
        <f t="shared" si="725"/>
        <v/>
      </c>
      <c r="BC1128" s="147" t="str">
        <f t="shared" si="739"/>
        <v/>
      </c>
      <c r="BD1128" s="164" t="str">
        <f>IF(AND($C1127=12,$D1127=Input!$C$6),0,IF($E1128="","",AT1128+(AU1128+BD1129)/(1+$AK1128)*MIN((1-AM1128-AN1128),1)))</f>
        <v/>
      </c>
      <c r="BE1128" s="164" t="str">
        <f t="shared" si="754"/>
        <v/>
      </c>
      <c r="BF1128" s="164" t="str">
        <f t="shared" si="740"/>
        <v/>
      </c>
      <c r="BG1128" s="164" t="str">
        <f t="shared" si="726"/>
        <v/>
      </c>
      <c r="BH1128" s="152"/>
      <c r="BI1128" s="162" t="str">
        <f t="shared" si="748"/>
        <v/>
      </c>
      <c r="BJ1128" s="150" t="str">
        <f t="shared" si="749"/>
        <v/>
      </c>
      <c r="BK1128" s="163" t="str">
        <f t="shared" si="745"/>
        <v/>
      </c>
      <c r="BL1128" s="163" t="str">
        <f t="shared" si="750"/>
        <v/>
      </c>
      <c r="BM1128" s="163" t="str">
        <f t="shared" si="746"/>
        <v/>
      </c>
      <c r="BN1128" s="163" t="str">
        <f t="shared" si="751"/>
        <v/>
      </c>
      <c r="BO1128" s="163" t="str">
        <f t="shared" si="752"/>
        <v/>
      </c>
      <c r="BP1128" s="164" t="str">
        <f t="shared" si="747"/>
        <v/>
      </c>
      <c r="BQ1128" s="164" t="str">
        <f t="shared" si="741"/>
        <v/>
      </c>
      <c r="BR1128" s="154" t="str">
        <f t="shared" si="753"/>
        <v/>
      </c>
      <c r="BT1128" s="147" t="str">
        <f t="shared" si="727"/>
        <v/>
      </c>
      <c r="BU1128" s="164" t="str">
        <f>IF(AND($C1127=12,$D1127=Input!$C$6),0,IF($E1128="","",BK1128+(BL1128+BU1129)/(1+$AK1128)*MIN((1-T1128-U1128),1)))</f>
        <v/>
      </c>
      <c r="BV1128" s="164" t="str">
        <f t="shared" si="728"/>
        <v/>
      </c>
      <c r="BW1128" s="164" t="str">
        <f t="shared" si="729"/>
        <v/>
      </c>
      <c r="BX1128" s="164" t="str">
        <f t="shared" si="730"/>
        <v/>
      </c>
    </row>
    <row r="1129" spans="1:76" s="150" customFormat="1" x14ac:dyDescent="0.25">
      <c r="A1129" s="150" t="str">
        <f t="shared" si="742"/>
        <v/>
      </c>
      <c r="B1129" s="150" t="str">
        <f t="shared" si="743"/>
        <v/>
      </c>
      <c r="C1129" s="150" t="str">
        <f t="shared" si="744"/>
        <v/>
      </c>
      <c r="D1129" s="150" t="str">
        <f>IF(E1129="","",Input!$C$4+B1129-1)</f>
        <v/>
      </c>
      <c r="E1129" s="150" t="str">
        <f>IF(OR(AND(C1128=12,D1128=Input!$C$6),E1128=""),"",1)</f>
        <v/>
      </c>
      <c r="F1129" s="150" t="str">
        <f>IF(E1129="","",Input!$C$8+B1129-1)</f>
        <v/>
      </c>
      <c r="G1129" s="151" t="str">
        <f>IF(E1129="","",MAX(0,Input!$C$9-B1129))</f>
        <v/>
      </c>
      <c r="H1129" s="152" t="str">
        <f>IF(E1129="","",Input!$C$3)</f>
        <v/>
      </c>
      <c r="I1129" s="153" t="str">
        <f>IF(E1129="","",HLOOKUP($B1129,Input!$C$13:$BT$14,2))</f>
        <v/>
      </c>
      <c r="J1129" s="154"/>
      <c r="K1129" s="155" t="str">
        <f>IF($E1129="","",INDEX(Input!$C$16:$CP$16,1,$B1129))</f>
        <v/>
      </c>
      <c r="L1129" s="155" t="str">
        <f>IF($E1129="","",Input!$C$37)</f>
        <v/>
      </c>
      <c r="M1129" s="155" t="str">
        <f t="shared" si="713"/>
        <v/>
      </c>
      <c r="N1129" s="155" t="str">
        <f t="shared" si="714"/>
        <v/>
      </c>
      <c r="O1129" s="147" t="str">
        <f>IF($E1129="","",MIN(VLOOKUP(IF($B1129&lt;=Input!$C$7,$B1129,26),'Mortality Tables'!$A$41:$CW$67,IF($B1129&lt;=Input!$C$7+1,Input!$C$4+2,$D1129-Input!$C$7+2),0)*IF(B1129&gt;20,Input!$C$22,1)/1000,1))</f>
        <v/>
      </c>
      <c r="P1129" s="147" t="str">
        <f>IF($E1129="","",MIN(VLOOKUP(IF($B1129&lt;=Input!$C$7,$B1129,26),'Mortality Tables'!$A$12:$CW$37,IF($B1129&lt;=Input!$C$7+1,Input!$C$4+2,$D1129-Input!$C$7+2),0)*IF(B1129&gt;20,Input!$C$22,1)/1000,1))</f>
        <v/>
      </c>
      <c r="Q1129" s="155" t="str">
        <f>IF($E1129="","",Input!$C$21)</f>
        <v/>
      </c>
      <c r="R1129" s="159" t="str">
        <f>IF($E1129="","",(1-Q1129)^($F1129-Input!$C$20))</f>
        <v/>
      </c>
      <c r="S1129" s="147" t="str">
        <f t="shared" si="716"/>
        <v/>
      </c>
      <c r="T1129" s="147" t="str">
        <f t="shared" si="717"/>
        <v/>
      </c>
      <c r="U1129" s="160" t="str">
        <f>IF($E1129="","",IF($C1129=12,INDEX(Input!$C$15:$CP$15,1,$B1129),0))</f>
        <v/>
      </c>
      <c r="V1129" s="150" t="str">
        <f>IF(E1129="","",IF(C1129=1,IF($B1129=1,Input!$C$33,Input!$C$34),0))</f>
        <v/>
      </c>
      <c r="W1129" s="156" t="str">
        <f>IF($E1129="","",Input!$C$35)</f>
        <v/>
      </c>
      <c r="X1129" s="156" t="str">
        <f t="shared" si="715"/>
        <v/>
      </c>
      <c r="Y1129" s="154"/>
      <c r="Z1129" s="147" t="str">
        <f>IF($E1129="","",VLOOKUP($D1129,'Mortality Margins &amp; Grading'!$AB$5:$AF$125,3,0)*IF(Summary!$D$25="Included Margin",IF(AND($B1129&gt;Input!$C$9,Summary!$D$31&lt;&gt;"Included Margin"),0,1),0))</f>
        <v/>
      </c>
      <c r="AA1129" s="147" t="str">
        <f>IF($E1129="","",VLOOKUP($D1129,'Mortality Margins &amp; Grading'!$AB$5:$AF$125,5,0)*IF(Summary!$D$25="Included Margin",IF(AND($B1129&gt;Input!$C$9,Summary!$D$31&lt;&gt;"Included Margin"),0,1),0))</f>
        <v/>
      </c>
      <c r="AB1129" s="147" t="str">
        <f>IF($E1129="","",IF(AND($B1129&gt;Input!$C$9,Summary!$D$31&lt;&gt;"Included Margin"),1,IF(Summary!$D$25="Included Margin",VLOOKUP($B1129,'Mortality Margins &amp; Grading'!$AI$5:$AR$125,MATCH('Mortality Margins &amp; Grading'!$AQ$4,'Mortality Margins &amp; Grading'!$AI$4:$AR$4,0),0),1)))</f>
        <v/>
      </c>
      <c r="AC1129" s="154"/>
      <c r="AD1129" s="158" t="str">
        <f>IF(E1129="","",Input!$C$48*IF(Summary!$D$30="Included Margin",IF(AND($B1129&gt;Input!$C$9,Summary!$D$31&lt;&gt;"Included Margin"),0,1),0))</f>
        <v/>
      </c>
      <c r="AE1129" s="159" t="str">
        <f>IF(E1129="","",IF(Summary!$D$26="Included Margin",IF(AND($B1129&gt;Input!$C$9,Summary!$D$31&lt;&gt;"Included Margin"),1,1/$R1129),1))</f>
        <v/>
      </c>
      <c r="AF1129" s="160" t="str">
        <f>IF(E1129="","",IF(AND($B1129&gt;=Input!$C$9,$C1129=12,Summary!$D$31="Included Margin",$U1129&gt;0),1/U1129-1,IF($B1129&gt;=Input!$C$9,0,Input!$C$45*IF(Summary!$D$27="Included Margin",1,0))))</f>
        <v/>
      </c>
      <c r="AG1129" s="160" t="str">
        <f>IF(E1129="","",Input!$C$46*IF(Summary!$D$28="Included Margin",IF(AND($B1129&gt;Input!$C$9,Summary!$D$31&lt;&gt;"Included Margin"),0,1),0))</f>
        <v/>
      </c>
      <c r="AH1129" s="158" t="str">
        <f>IF(E1129="","",Input!$C$47*IF(Summary!$D$29="Included Margin",IF(AND($B1129&gt;Input!$C$9,Summary!$D$31&lt;&gt;"Included Margin"),0,1),0))</f>
        <v/>
      </c>
      <c r="AI1129" s="154"/>
      <c r="AJ1129" s="158" t="str">
        <f t="shared" si="731"/>
        <v/>
      </c>
      <c r="AK1129" s="155" t="str">
        <f t="shared" si="732"/>
        <v/>
      </c>
      <c r="AL1129" s="147" t="str">
        <f t="shared" si="733"/>
        <v/>
      </c>
      <c r="AM1129" s="147" t="str">
        <f t="shared" si="718"/>
        <v/>
      </c>
      <c r="AN1129" s="160" t="str">
        <f t="shared" si="734"/>
        <v/>
      </c>
      <c r="AO1129" s="161" t="str">
        <f t="shared" si="735"/>
        <v/>
      </c>
      <c r="AP1129" s="156" t="str">
        <f t="shared" si="719"/>
        <v/>
      </c>
      <c r="AQ1129" s="152"/>
      <c r="AR1129" s="162" t="str">
        <f t="shared" si="720"/>
        <v/>
      </c>
      <c r="AS1129" s="150" t="str">
        <f t="shared" si="736"/>
        <v/>
      </c>
      <c r="AT1129" s="163" t="str">
        <f t="shared" si="721"/>
        <v/>
      </c>
      <c r="AU1129" s="163" t="str">
        <f t="shared" si="722"/>
        <v/>
      </c>
      <c r="AV1129" s="163" t="str">
        <f t="shared" si="737"/>
        <v/>
      </c>
      <c r="AW1129" s="163" t="str">
        <f t="shared" si="723"/>
        <v/>
      </c>
      <c r="AX1129" s="163" t="str">
        <f t="shared" si="724"/>
        <v/>
      </c>
      <c r="AY1129" s="164" t="str">
        <f t="shared" si="738"/>
        <v/>
      </c>
      <c r="AZ1129" s="164" t="str">
        <f>IF($E1129="","",IF(OR(AND($D1129=Input!$C$6,$C1129=12),$AN1129=1),0,-AS1130+AT1130+AU1130-AV1130-AW1130-AX1130+AZ1130))</f>
        <v/>
      </c>
      <c r="BA1129" s="154" t="str">
        <f t="shared" si="725"/>
        <v/>
      </c>
      <c r="BC1129" s="147" t="str">
        <f t="shared" si="739"/>
        <v/>
      </c>
      <c r="BD1129" s="164" t="str">
        <f>IF(AND($C1128=12,$D1128=Input!$C$6),0,IF($E1129="","",AT1129+(AU1129+BD1130)/(1+$AK1129)*MIN((1-AM1129-AN1129),1)))</f>
        <v/>
      </c>
      <c r="BE1129" s="164" t="str">
        <f t="shared" si="754"/>
        <v/>
      </c>
      <c r="BF1129" s="164" t="str">
        <f t="shared" si="740"/>
        <v/>
      </c>
      <c r="BG1129" s="164" t="str">
        <f t="shared" si="726"/>
        <v/>
      </c>
      <c r="BH1129" s="152"/>
      <c r="BI1129" s="162" t="str">
        <f t="shared" si="748"/>
        <v/>
      </c>
      <c r="BJ1129" s="150" t="str">
        <f t="shared" si="749"/>
        <v/>
      </c>
      <c r="BK1129" s="163" t="str">
        <f t="shared" si="745"/>
        <v/>
      </c>
      <c r="BL1129" s="163" t="str">
        <f t="shared" si="750"/>
        <v/>
      </c>
      <c r="BM1129" s="163" t="str">
        <f t="shared" si="746"/>
        <v/>
      </c>
      <c r="BN1129" s="163" t="str">
        <f t="shared" si="751"/>
        <v/>
      </c>
      <c r="BO1129" s="163" t="str">
        <f t="shared" si="752"/>
        <v/>
      </c>
      <c r="BP1129" s="164" t="str">
        <f t="shared" si="747"/>
        <v/>
      </c>
      <c r="BQ1129" s="164" t="str">
        <f t="shared" si="741"/>
        <v/>
      </c>
      <c r="BR1129" s="154" t="str">
        <f t="shared" si="753"/>
        <v/>
      </c>
      <c r="BT1129" s="147" t="str">
        <f t="shared" si="727"/>
        <v/>
      </c>
      <c r="BU1129" s="164" t="str">
        <f>IF(AND($C1128=12,$D1128=Input!$C$6),0,IF($E1129="","",BK1129+(BL1129+BU1130)/(1+$AK1129)*MIN((1-T1129-U1129),1)))</f>
        <v/>
      </c>
      <c r="BV1129" s="164" t="str">
        <f t="shared" si="728"/>
        <v/>
      </c>
      <c r="BW1129" s="164" t="str">
        <f t="shared" si="729"/>
        <v/>
      </c>
      <c r="BX1129" s="164" t="str">
        <f t="shared" si="730"/>
        <v/>
      </c>
    </row>
    <row r="1130" spans="1:76" s="150" customFormat="1" x14ac:dyDescent="0.25">
      <c r="A1130" s="150" t="str">
        <f t="shared" si="742"/>
        <v/>
      </c>
      <c r="B1130" s="150" t="str">
        <f t="shared" si="743"/>
        <v/>
      </c>
      <c r="C1130" s="150" t="str">
        <f t="shared" si="744"/>
        <v/>
      </c>
      <c r="D1130" s="150" t="str">
        <f>IF(E1130="","",Input!$C$4+B1130-1)</f>
        <v/>
      </c>
      <c r="E1130" s="150" t="str">
        <f>IF(OR(AND(C1129=12,D1129=Input!$C$6),E1129=""),"",1)</f>
        <v/>
      </c>
      <c r="F1130" s="150" t="str">
        <f>IF(E1130="","",Input!$C$8+B1130-1)</f>
        <v/>
      </c>
      <c r="G1130" s="151" t="str">
        <f>IF(E1130="","",MAX(0,Input!$C$9-B1130))</f>
        <v/>
      </c>
      <c r="H1130" s="152" t="str">
        <f>IF(E1130="","",Input!$C$3)</f>
        <v/>
      </c>
      <c r="I1130" s="153" t="str">
        <f>IF(E1130="","",HLOOKUP($B1130,Input!$C$13:$BT$14,2))</f>
        <v/>
      </c>
      <c r="J1130" s="154"/>
      <c r="K1130" s="155" t="str">
        <f>IF($E1130="","",INDEX(Input!$C$16:$CP$16,1,$B1130))</f>
        <v/>
      </c>
      <c r="L1130" s="155" t="str">
        <f>IF($E1130="","",Input!$C$37)</f>
        <v/>
      </c>
      <c r="M1130" s="155" t="str">
        <f t="shared" si="713"/>
        <v/>
      </c>
      <c r="N1130" s="155" t="str">
        <f t="shared" si="714"/>
        <v/>
      </c>
      <c r="O1130" s="147" t="str">
        <f>IF($E1130="","",MIN(VLOOKUP(IF($B1130&lt;=Input!$C$7,$B1130,26),'Mortality Tables'!$A$41:$CW$67,IF($B1130&lt;=Input!$C$7+1,Input!$C$4+2,$D1130-Input!$C$7+2),0)*IF(B1130&gt;20,Input!$C$22,1)/1000,1))</f>
        <v/>
      </c>
      <c r="P1130" s="147" t="str">
        <f>IF($E1130="","",MIN(VLOOKUP(IF($B1130&lt;=Input!$C$7,$B1130,26),'Mortality Tables'!$A$12:$CW$37,IF($B1130&lt;=Input!$C$7+1,Input!$C$4+2,$D1130-Input!$C$7+2),0)*IF(B1130&gt;20,Input!$C$22,1)/1000,1))</f>
        <v/>
      </c>
      <c r="Q1130" s="155" t="str">
        <f>IF($E1130="","",Input!$C$21)</f>
        <v/>
      </c>
      <c r="R1130" s="159" t="str">
        <f>IF($E1130="","",(1-Q1130)^($F1130-Input!$C$20))</f>
        <v/>
      </c>
      <c r="S1130" s="147" t="str">
        <f t="shared" si="716"/>
        <v/>
      </c>
      <c r="T1130" s="147" t="str">
        <f t="shared" si="717"/>
        <v/>
      </c>
      <c r="U1130" s="160" t="str">
        <f>IF($E1130="","",IF($C1130=12,INDEX(Input!$C$15:$CP$15,1,$B1130),0))</f>
        <v/>
      </c>
      <c r="V1130" s="150" t="str">
        <f>IF(E1130="","",IF(C1130=1,IF($B1130=1,Input!$C$33,Input!$C$34),0))</f>
        <v/>
      </c>
      <c r="W1130" s="156" t="str">
        <f>IF($E1130="","",Input!$C$35)</f>
        <v/>
      </c>
      <c r="X1130" s="156" t="str">
        <f t="shared" si="715"/>
        <v/>
      </c>
      <c r="Y1130" s="154"/>
      <c r="Z1130" s="147" t="str">
        <f>IF($E1130="","",VLOOKUP($D1130,'Mortality Margins &amp; Grading'!$AB$5:$AF$125,3,0)*IF(Summary!$D$25="Included Margin",IF(AND($B1130&gt;Input!$C$9,Summary!$D$31&lt;&gt;"Included Margin"),0,1),0))</f>
        <v/>
      </c>
      <c r="AA1130" s="147" t="str">
        <f>IF($E1130="","",VLOOKUP($D1130,'Mortality Margins &amp; Grading'!$AB$5:$AF$125,5,0)*IF(Summary!$D$25="Included Margin",IF(AND($B1130&gt;Input!$C$9,Summary!$D$31&lt;&gt;"Included Margin"),0,1),0))</f>
        <v/>
      </c>
      <c r="AB1130" s="147" t="str">
        <f>IF($E1130="","",IF(AND($B1130&gt;Input!$C$9,Summary!$D$31&lt;&gt;"Included Margin"),1,IF(Summary!$D$25="Included Margin",VLOOKUP($B1130,'Mortality Margins &amp; Grading'!$AI$5:$AR$125,MATCH('Mortality Margins &amp; Grading'!$AQ$4,'Mortality Margins &amp; Grading'!$AI$4:$AR$4,0),0),1)))</f>
        <v/>
      </c>
      <c r="AC1130" s="154"/>
      <c r="AD1130" s="158" t="str">
        <f>IF(E1130="","",Input!$C$48*IF(Summary!$D$30="Included Margin",IF(AND($B1130&gt;Input!$C$9,Summary!$D$31&lt;&gt;"Included Margin"),0,1),0))</f>
        <v/>
      </c>
      <c r="AE1130" s="159" t="str">
        <f>IF(E1130="","",IF(Summary!$D$26="Included Margin",IF(AND($B1130&gt;Input!$C$9,Summary!$D$31&lt;&gt;"Included Margin"),1,1/$R1130),1))</f>
        <v/>
      </c>
      <c r="AF1130" s="160" t="str">
        <f>IF(E1130="","",IF(AND($B1130&gt;=Input!$C$9,$C1130=12,Summary!$D$31="Included Margin",$U1130&gt;0),1/U1130-1,IF($B1130&gt;=Input!$C$9,0,Input!$C$45*IF(Summary!$D$27="Included Margin",1,0))))</f>
        <v/>
      </c>
      <c r="AG1130" s="160" t="str">
        <f>IF(E1130="","",Input!$C$46*IF(Summary!$D$28="Included Margin",IF(AND($B1130&gt;Input!$C$9,Summary!$D$31&lt;&gt;"Included Margin"),0,1),0))</f>
        <v/>
      </c>
      <c r="AH1130" s="158" t="str">
        <f>IF(E1130="","",Input!$C$47*IF(Summary!$D$29="Included Margin",IF(AND($B1130&gt;Input!$C$9,Summary!$D$31&lt;&gt;"Included Margin"),0,1),0))</f>
        <v/>
      </c>
      <c r="AI1130" s="154"/>
      <c r="AJ1130" s="158" t="str">
        <f t="shared" si="731"/>
        <v/>
      </c>
      <c r="AK1130" s="155" t="str">
        <f t="shared" si="732"/>
        <v/>
      </c>
      <c r="AL1130" s="147" t="str">
        <f t="shared" si="733"/>
        <v/>
      </c>
      <c r="AM1130" s="147" t="str">
        <f t="shared" si="718"/>
        <v/>
      </c>
      <c r="AN1130" s="160" t="str">
        <f t="shared" si="734"/>
        <v/>
      </c>
      <c r="AO1130" s="161" t="str">
        <f t="shared" si="735"/>
        <v/>
      </c>
      <c r="AP1130" s="156" t="str">
        <f t="shared" si="719"/>
        <v/>
      </c>
      <c r="AQ1130" s="152"/>
      <c r="AR1130" s="162" t="str">
        <f t="shared" si="720"/>
        <v/>
      </c>
      <c r="AS1130" s="150" t="str">
        <f t="shared" si="736"/>
        <v/>
      </c>
      <c r="AT1130" s="163" t="str">
        <f t="shared" si="721"/>
        <v/>
      </c>
      <c r="AU1130" s="163" t="str">
        <f t="shared" si="722"/>
        <v/>
      </c>
      <c r="AV1130" s="163" t="str">
        <f t="shared" si="737"/>
        <v/>
      </c>
      <c r="AW1130" s="163" t="str">
        <f t="shared" si="723"/>
        <v/>
      </c>
      <c r="AX1130" s="163" t="str">
        <f t="shared" si="724"/>
        <v/>
      </c>
      <c r="AY1130" s="165" t="str">
        <f t="shared" si="738"/>
        <v/>
      </c>
      <c r="AZ1130" s="164" t="str">
        <f>IF($E1130="","",IF(OR(AND($D1130=Input!$C$6,$C1130=12),$AN1130=1),0,-AS1131+AT1131+AU1131-AV1131-AW1131-AX1131+AZ1131))</f>
        <v/>
      </c>
      <c r="BA1130" s="154" t="str">
        <f t="shared" si="725"/>
        <v/>
      </c>
      <c r="BC1130" s="147" t="str">
        <f t="shared" si="739"/>
        <v/>
      </c>
      <c r="BD1130" s="164" t="str">
        <f>IF(AND($C1129=12,$D1129=Input!$C$6),0,IF($E1130="","",AT1130+(AU1130+BD1131)/(1+$AK1130)*MIN((1-AM1130-AN1130),1)))</f>
        <v/>
      </c>
      <c r="BE1130" s="164" t="str">
        <f t="shared" si="754"/>
        <v/>
      </c>
      <c r="BF1130" s="164" t="str">
        <f t="shared" si="740"/>
        <v/>
      </c>
      <c r="BG1130" s="164" t="str">
        <f t="shared" si="726"/>
        <v/>
      </c>
      <c r="BH1130" s="152"/>
      <c r="BI1130" s="162" t="str">
        <f t="shared" si="748"/>
        <v/>
      </c>
      <c r="BJ1130" s="150" t="str">
        <f t="shared" si="749"/>
        <v/>
      </c>
      <c r="BK1130" s="163" t="str">
        <f t="shared" si="745"/>
        <v/>
      </c>
      <c r="BL1130" s="163" t="str">
        <f t="shared" si="750"/>
        <v/>
      </c>
      <c r="BM1130" s="163" t="str">
        <f t="shared" si="746"/>
        <v/>
      </c>
      <c r="BN1130" s="163" t="str">
        <f t="shared" si="751"/>
        <v/>
      </c>
      <c r="BO1130" s="163" t="str">
        <f t="shared" si="752"/>
        <v/>
      </c>
      <c r="BP1130" s="164" t="str">
        <f t="shared" si="747"/>
        <v/>
      </c>
      <c r="BQ1130" s="164" t="str">
        <f t="shared" si="741"/>
        <v/>
      </c>
      <c r="BR1130" s="154" t="str">
        <f t="shared" si="753"/>
        <v/>
      </c>
      <c r="BT1130" s="147" t="str">
        <f t="shared" si="727"/>
        <v/>
      </c>
      <c r="BU1130" s="164" t="str">
        <f>IF(AND($C1129=12,$D1129=Input!$C$6),0,IF($E1130="","",BK1130+(BL1130+BU1131)/(1+$AK1130)*MIN((1-T1130-U1130),1)))</f>
        <v/>
      </c>
      <c r="BV1130" s="164" t="str">
        <f t="shared" si="728"/>
        <v/>
      </c>
      <c r="BW1130" s="164" t="str">
        <f t="shared" si="729"/>
        <v/>
      </c>
      <c r="BX1130" s="164" t="str">
        <f t="shared" si="730"/>
        <v/>
      </c>
    </row>
    <row r="1131" spans="1:76" s="150" customFormat="1" x14ac:dyDescent="0.25">
      <c r="A1131" s="150" t="str">
        <f t="shared" si="742"/>
        <v/>
      </c>
      <c r="B1131" s="150" t="str">
        <f t="shared" si="743"/>
        <v/>
      </c>
      <c r="C1131" s="150" t="str">
        <f t="shared" si="744"/>
        <v/>
      </c>
      <c r="D1131" s="150" t="str">
        <f>IF(E1131="","",Input!$C$4+B1131-1)</f>
        <v/>
      </c>
      <c r="E1131" s="150" t="str">
        <f>IF(OR(AND(C1130=12,D1130=Input!$C$6),E1130=""),"",1)</f>
        <v/>
      </c>
      <c r="F1131" s="150" t="str">
        <f>IF(E1131="","",Input!$C$8+B1131-1)</f>
        <v/>
      </c>
      <c r="G1131" s="151" t="str">
        <f>IF(E1131="","",MAX(0,Input!$C$9-B1131))</f>
        <v/>
      </c>
      <c r="H1131" s="152" t="str">
        <f>IF(E1131="","",Input!$C$3)</f>
        <v/>
      </c>
      <c r="I1131" s="153" t="str">
        <f>IF(E1131="","",HLOOKUP($B1131,Input!$C$13:$BT$14,2))</f>
        <v/>
      </c>
      <c r="J1131" s="154"/>
      <c r="K1131" s="155" t="str">
        <f>IF($E1131="","",INDEX(Input!$C$16:$CP$16,1,$B1131))</f>
        <v/>
      </c>
      <c r="L1131" s="155" t="str">
        <f>IF($E1131="","",Input!$C$37)</f>
        <v/>
      </c>
      <c r="M1131" s="155" t="str">
        <f t="shared" si="713"/>
        <v/>
      </c>
      <c r="N1131" s="155" t="str">
        <f t="shared" si="714"/>
        <v/>
      </c>
      <c r="O1131" s="147" t="str">
        <f>IF($E1131="","",MIN(VLOOKUP(IF($B1131&lt;=Input!$C$7,$B1131,26),'Mortality Tables'!$A$41:$CW$67,IF($B1131&lt;=Input!$C$7+1,Input!$C$4+2,$D1131-Input!$C$7+2),0)*IF(B1131&gt;20,Input!$C$22,1)/1000,1))</f>
        <v/>
      </c>
      <c r="P1131" s="147" t="str">
        <f>IF($E1131="","",MIN(VLOOKUP(IF($B1131&lt;=Input!$C$7,$B1131,26),'Mortality Tables'!$A$12:$CW$37,IF($B1131&lt;=Input!$C$7+1,Input!$C$4+2,$D1131-Input!$C$7+2),0)*IF(B1131&gt;20,Input!$C$22,1)/1000,1))</f>
        <v/>
      </c>
      <c r="Q1131" s="155" t="str">
        <f>IF($E1131="","",Input!$C$21)</f>
        <v/>
      </c>
      <c r="R1131" s="159" t="str">
        <f>IF($E1131="","",(1-Q1131)^($F1131-Input!$C$20))</f>
        <v/>
      </c>
      <c r="S1131" s="147" t="str">
        <f t="shared" si="716"/>
        <v/>
      </c>
      <c r="T1131" s="147" t="str">
        <f t="shared" si="717"/>
        <v/>
      </c>
      <c r="U1131" s="160" t="str">
        <f>IF($E1131="","",IF($C1131=12,INDEX(Input!$C$15:$CP$15,1,$B1131),0))</f>
        <v/>
      </c>
      <c r="V1131" s="150" t="str">
        <f>IF(E1131="","",IF(C1131=1,IF($B1131=1,Input!$C$33,Input!$C$34),0))</f>
        <v/>
      </c>
      <c r="W1131" s="156" t="str">
        <f>IF($E1131="","",Input!$C$35)</f>
        <v/>
      </c>
      <c r="X1131" s="156" t="str">
        <f t="shared" si="715"/>
        <v/>
      </c>
      <c r="Y1131" s="154"/>
      <c r="Z1131" s="147" t="str">
        <f>IF($E1131="","",VLOOKUP($D1131,'Mortality Margins &amp; Grading'!$AB$5:$AF$125,3,0)*IF(Summary!$D$25="Included Margin",IF(AND($B1131&gt;Input!$C$9,Summary!$D$31&lt;&gt;"Included Margin"),0,1),0))</f>
        <v/>
      </c>
      <c r="AA1131" s="147" t="str">
        <f>IF($E1131="","",VLOOKUP($D1131,'Mortality Margins &amp; Grading'!$AB$5:$AF$125,5,0)*IF(Summary!$D$25="Included Margin",IF(AND($B1131&gt;Input!$C$9,Summary!$D$31&lt;&gt;"Included Margin"),0,1),0))</f>
        <v/>
      </c>
      <c r="AB1131" s="147" t="str">
        <f>IF($E1131="","",IF(AND($B1131&gt;Input!$C$9,Summary!$D$31&lt;&gt;"Included Margin"),1,IF(Summary!$D$25="Included Margin",VLOOKUP($B1131,'Mortality Margins &amp; Grading'!$AI$5:$AR$125,MATCH('Mortality Margins &amp; Grading'!$AQ$4,'Mortality Margins &amp; Grading'!$AI$4:$AR$4,0),0),1)))</f>
        <v/>
      </c>
      <c r="AC1131" s="154"/>
      <c r="AD1131" s="158" t="str">
        <f>IF(E1131="","",Input!$C$48*IF(Summary!$D$30="Included Margin",IF(AND($B1131&gt;Input!$C$9,Summary!$D$31&lt;&gt;"Included Margin"),0,1),0))</f>
        <v/>
      </c>
      <c r="AE1131" s="159" t="str">
        <f>IF(E1131="","",IF(Summary!$D$26="Included Margin",IF(AND($B1131&gt;Input!$C$9,Summary!$D$31&lt;&gt;"Included Margin"),1,1/$R1131),1))</f>
        <v/>
      </c>
      <c r="AF1131" s="160" t="str">
        <f>IF(E1131="","",IF(AND($B1131&gt;=Input!$C$9,$C1131=12,Summary!$D$31="Included Margin",$U1131&gt;0),1/U1131-1,IF($B1131&gt;=Input!$C$9,0,Input!$C$45*IF(Summary!$D$27="Included Margin",1,0))))</f>
        <v/>
      </c>
      <c r="AG1131" s="160" t="str">
        <f>IF(E1131="","",Input!$C$46*IF(Summary!$D$28="Included Margin",IF(AND($B1131&gt;Input!$C$9,Summary!$D$31&lt;&gt;"Included Margin"),0,1),0))</f>
        <v/>
      </c>
      <c r="AH1131" s="158" t="str">
        <f>IF(E1131="","",Input!$C$47*IF(Summary!$D$29="Included Margin",IF(AND($B1131&gt;Input!$C$9,Summary!$D$31&lt;&gt;"Included Margin"),0,1),0))</f>
        <v/>
      </c>
      <c r="AI1131" s="154"/>
      <c r="AJ1131" s="158" t="str">
        <f t="shared" si="731"/>
        <v/>
      </c>
      <c r="AK1131" s="155" t="str">
        <f t="shared" si="732"/>
        <v/>
      </c>
      <c r="AL1131" s="147" t="str">
        <f t="shared" si="733"/>
        <v/>
      </c>
      <c r="AM1131" s="147" t="str">
        <f t="shared" si="718"/>
        <v/>
      </c>
      <c r="AN1131" s="160" t="str">
        <f t="shared" si="734"/>
        <v/>
      </c>
      <c r="AO1131" s="161" t="str">
        <f t="shared" si="735"/>
        <v/>
      </c>
      <c r="AP1131" s="156" t="str">
        <f t="shared" si="719"/>
        <v/>
      </c>
      <c r="AQ1131" s="152"/>
      <c r="AR1131" s="162" t="str">
        <f t="shared" si="720"/>
        <v/>
      </c>
      <c r="AS1131" s="150" t="str">
        <f t="shared" si="736"/>
        <v/>
      </c>
      <c r="AT1131" s="163" t="str">
        <f t="shared" si="721"/>
        <v/>
      </c>
      <c r="AU1131" s="163" t="str">
        <f t="shared" si="722"/>
        <v/>
      </c>
      <c r="AV1131" s="163" t="str">
        <f t="shared" si="737"/>
        <v/>
      </c>
      <c r="AW1131" s="163" t="str">
        <f t="shared" si="723"/>
        <v/>
      </c>
      <c r="AX1131" s="163" t="str">
        <f t="shared" si="724"/>
        <v/>
      </c>
      <c r="AY1131" s="164" t="str">
        <f t="shared" si="738"/>
        <v/>
      </c>
      <c r="AZ1131" s="164" t="str">
        <f>IF($E1131="","",IF(OR(AND($D1131=Input!$C$6,$C1131=12),$AN1131=1),0,-AS1132+AT1132+AU1132-AV1132-AW1132-AX1132+AZ1132))</f>
        <v/>
      </c>
      <c r="BA1131" s="154" t="str">
        <f t="shared" si="725"/>
        <v/>
      </c>
      <c r="BC1131" s="147" t="str">
        <f t="shared" si="739"/>
        <v/>
      </c>
      <c r="BD1131" s="164" t="str">
        <f>IF(AND($C1130=12,$D1130=Input!$C$6),0,IF($E1131="","",AT1131+(AU1131+BD1132)/(1+$AK1131)*MIN((1-AM1131-AN1131),1)))</f>
        <v/>
      </c>
      <c r="BE1131" s="164" t="str">
        <f t="shared" si="754"/>
        <v/>
      </c>
      <c r="BF1131" s="164" t="str">
        <f t="shared" si="740"/>
        <v/>
      </c>
      <c r="BG1131" s="164" t="str">
        <f t="shared" si="726"/>
        <v/>
      </c>
      <c r="BH1131" s="152"/>
      <c r="BI1131" s="162" t="str">
        <f t="shared" si="748"/>
        <v/>
      </c>
      <c r="BJ1131" s="150" t="str">
        <f t="shared" si="749"/>
        <v/>
      </c>
      <c r="BK1131" s="163" t="str">
        <f t="shared" si="745"/>
        <v/>
      </c>
      <c r="BL1131" s="163" t="str">
        <f t="shared" si="750"/>
        <v/>
      </c>
      <c r="BM1131" s="163" t="str">
        <f t="shared" si="746"/>
        <v/>
      </c>
      <c r="BN1131" s="163" t="str">
        <f t="shared" si="751"/>
        <v/>
      </c>
      <c r="BO1131" s="163" t="str">
        <f t="shared" si="752"/>
        <v/>
      </c>
      <c r="BP1131" s="164" t="str">
        <f t="shared" si="747"/>
        <v/>
      </c>
      <c r="BQ1131" s="164" t="str">
        <f t="shared" si="741"/>
        <v/>
      </c>
      <c r="BR1131" s="154" t="str">
        <f t="shared" si="753"/>
        <v/>
      </c>
      <c r="BT1131" s="147" t="str">
        <f t="shared" si="727"/>
        <v/>
      </c>
      <c r="BU1131" s="164" t="str">
        <f>IF(AND($C1130=12,$D1130=Input!$C$6),0,IF($E1131="","",BK1131+(BL1131+BU1132)/(1+$AK1131)*MIN((1-T1131-U1131),1)))</f>
        <v/>
      </c>
      <c r="BV1131" s="164" t="str">
        <f t="shared" si="728"/>
        <v/>
      </c>
      <c r="BW1131" s="164" t="str">
        <f t="shared" si="729"/>
        <v/>
      </c>
      <c r="BX1131" s="164" t="str">
        <f t="shared" si="730"/>
        <v/>
      </c>
    </row>
    <row r="1132" spans="1:76" s="150" customFormat="1" x14ac:dyDescent="0.25">
      <c r="A1132" s="150" t="str">
        <f t="shared" si="742"/>
        <v/>
      </c>
      <c r="B1132" s="150" t="str">
        <f t="shared" si="743"/>
        <v/>
      </c>
      <c r="C1132" s="150" t="str">
        <f t="shared" si="744"/>
        <v/>
      </c>
      <c r="D1132" s="150" t="str">
        <f>IF(E1132="","",Input!$C$4+B1132-1)</f>
        <v/>
      </c>
      <c r="E1132" s="150" t="str">
        <f>IF(OR(AND(C1131=12,D1131=Input!$C$6),E1131=""),"",1)</f>
        <v/>
      </c>
      <c r="F1132" s="150" t="str">
        <f>IF(E1132="","",Input!$C$8+B1132-1)</f>
        <v/>
      </c>
      <c r="G1132" s="151" t="str">
        <f>IF(E1132="","",MAX(0,Input!$C$9-B1132))</f>
        <v/>
      </c>
      <c r="H1132" s="152" t="str">
        <f>IF(E1132="","",Input!$C$3)</f>
        <v/>
      </c>
      <c r="I1132" s="153" t="str">
        <f>IF(E1132="","",HLOOKUP($B1132,Input!$C$13:$BT$14,2))</f>
        <v/>
      </c>
      <c r="J1132" s="154"/>
      <c r="K1132" s="155" t="str">
        <f>IF($E1132="","",INDEX(Input!$C$16:$CP$16,1,$B1132))</f>
        <v/>
      </c>
      <c r="L1132" s="155" t="str">
        <f>IF($E1132="","",Input!$C$37)</f>
        <v/>
      </c>
      <c r="M1132" s="155" t="str">
        <f t="shared" si="713"/>
        <v/>
      </c>
      <c r="N1132" s="155" t="str">
        <f t="shared" si="714"/>
        <v/>
      </c>
      <c r="O1132" s="147" t="str">
        <f>IF($E1132="","",MIN(VLOOKUP(IF($B1132&lt;=Input!$C$7,$B1132,26),'Mortality Tables'!$A$41:$CW$67,IF($B1132&lt;=Input!$C$7+1,Input!$C$4+2,$D1132-Input!$C$7+2),0)*IF(B1132&gt;20,Input!$C$22,1)/1000,1))</f>
        <v/>
      </c>
      <c r="P1132" s="147" t="str">
        <f>IF($E1132="","",MIN(VLOOKUP(IF($B1132&lt;=Input!$C$7,$B1132,26),'Mortality Tables'!$A$12:$CW$37,IF($B1132&lt;=Input!$C$7+1,Input!$C$4+2,$D1132-Input!$C$7+2),0)*IF(B1132&gt;20,Input!$C$22,1)/1000,1))</f>
        <v/>
      </c>
      <c r="Q1132" s="155" t="str">
        <f>IF($E1132="","",Input!$C$21)</f>
        <v/>
      </c>
      <c r="R1132" s="159" t="str">
        <f>IF($E1132="","",(1-Q1132)^($F1132-Input!$C$20))</f>
        <v/>
      </c>
      <c r="S1132" s="147" t="str">
        <f t="shared" si="716"/>
        <v/>
      </c>
      <c r="T1132" s="147" t="str">
        <f t="shared" si="717"/>
        <v/>
      </c>
      <c r="U1132" s="160" t="str">
        <f>IF($E1132="","",IF($C1132=12,INDEX(Input!$C$15:$CP$15,1,$B1132),0))</f>
        <v/>
      </c>
      <c r="V1132" s="150" t="str">
        <f>IF(E1132="","",IF(C1132=1,IF($B1132=1,Input!$C$33,Input!$C$34),0))</f>
        <v/>
      </c>
      <c r="W1132" s="156" t="str">
        <f>IF($E1132="","",Input!$C$35)</f>
        <v/>
      </c>
      <c r="X1132" s="156" t="str">
        <f t="shared" si="715"/>
        <v/>
      </c>
      <c r="Y1132" s="154"/>
      <c r="Z1132" s="147" t="str">
        <f>IF($E1132="","",VLOOKUP($D1132,'Mortality Margins &amp; Grading'!$AB$5:$AF$125,3,0)*IF(Summary!$D$25="Included Margin",IF(AND($B1132&gt;Input!$C$9,Summary!$D$31&lt;&gt;"Included Margin"),0,1),0))</f>
        <v/>
      </c>
      <c r="AA1132" s="147" t="str">
        <f>IF($E1132="","",VLOOKUP($D1132,'Mortality Margins &amp; Grading'!$AB$5:$AF$125,5,0)*IF(Summary!$D$25="Included Margin",IF(AND($B1132&gt;Input!$C$9,Summary!$D$31&lt;&gt;"Included Margin"),0,1),0))</f>
        <v/>
      </c>
      <c r="AB1132" s="147" t="str">
        <f>IF($E1132="","",IF(AND($B1132&gt;Input!$C$9,Summary!$D$31&lt;&gt;"Included Margin"),1,IF(Summary!$D$25="Included Margin",VLOOKUP($B1132,'Mortality Margins &amp; Grading'!$AI$5:$AR$125,MATCH('Mortality Margins &amp; Grading'!$AQ$4,'Mortality Margins &amp; Grading'!$AI$4:$AR$4,0),0),1)))</f>
        <v/>
      </c>
      <c r="AC1132" s="154"/>
      <c r="AD1132" s="158" t="str">
        <f>IF(E1132="","",Input!$C$48*IF(Summary!$D$30="Included Margin",IF(AND($B1132&gt;Input!$C$9,Summary!$D$31&lt;&gt;"Included Margin"),0,1),0))</f>
        <v/>
      </c>
      <c r="AE1132" s="159" t="str">
        <f>IF(E1132="","",IF(Summary!$D$26="Included Margin",IF(AND($B1132&gt;Input!$C$9,Summary!$D$31&lt;&gt;"Included Margin"),1,1/$R1132),1))</f>
        <v/>
      </c>
      <c r="AF1132" s="160" t="str">
        <f>IF(E1132="","",IF(AND($B1132&gt;=Input!$C$9,$C1132=12,Summary!$D$31="Included Margin",$U1132&gt;0),1/U1132-1,IF($B1132&gt;=Input!$C$9,0,Input!$C$45*IF(Summary!$D$27="Included Margin",1,0))))</f>
        <v/>
      </c>
      <c r="AG1132" s="160" t="str">
        <f>IF(E1132="","",Input!$C$46*IF(Summary!$D$28="Included Margin",IF(AND($B1132&gt;Input!$C$9,Summary!$D$31&lt;&gt;"Included Margin"),0,1),0))</f>
        <v/>
      </c>
      <c r="AH1132" s="158" t="str">
        <f>IF(E1132="","",Input!$C$47*IF(Summary!$D$29="Included Margin",IF(AND($B1132&gt;Input!$C$9,Summary!$D$31&lt;&gt;"Included Margin"),0,1),0))</f>
        <v/>
      </c>
      <c r="AI1132" s="154"/>
      <c r="AJ1132" s="158" t="str">
        <f t="shared" si="731"/>
        <v/>
      </c>
      <c r="AK1132" s="155" t="str">
        <f t="shared" si="732"/>
        <v/>
      </c>
      <c r="AL1132" s="147" t="str">
        <f t="shared" si="733"/>
        <v/>
      </c>
      <c r="AM1132" s="147" t="str">
        <f t="shared" si="718"/>
        <v/>
      </c>
      <c r="AN1132" s="160" t="str">
        <f t="shared" si="734"/>
        <v/>
      </c>
      <c r="AO1132" s="161" t="str">
        <f t="shared" si="735"/>
        <v/>
      </c>
      <c r="AP1132" s="156" t="str">
        <f t="shared" si="719"/>
        <v/>
      </c>
      <c r="AQ1132" s="152"/>
      <c r="AR1132" s="162" t="str">
        <f t="shared" si="720"/>
        <v/>
      </c>
      <c r="AS1132" s="150" t="str">
        <f t="shared" si="736"/>
        <v/>
      </c>
      <c r="AT1132" s="163" t="str">
        <f t="shared" si="721"/>
        <v/>
      </c>
      <c r="AU1132" s="163" t="str">
        <f t="shared" si="722"/>
        <v/>
      </c>
      <c r="AV1132" s="163" t="str">
        <f t="shared" si="737"/>
        <v/>
      </c>
      <c r="AW1132" s="163" t="str">
        <f t="shared" si="723"/>
        <v/>
      </c>
      <c r="AX1132" s="163" t="str">
        <f t="shared" si="724"/>
        <v/>
      </c>
      <c r="AY1132" s="165" t="str">
        <f t="shared" si="738"/>
        <v/>
      </c>
      <c r="AZ1132" s="164" t="str">
        <f>IF($E1132="","",IF(OR(AND($D1132=Input!$C$6,$C1132=12),$AN1132=1),0,-AS1133+AT1133+AU1133-AV1133-AW1133-AX1133+AZ1133))</f>
        <v/>
      </c>
      <c r="BA1132" s="154" t="str">
        <f t="shared" si="725"/>
        <v/>
      </c>
      <c r="BC1132" s="147" t="str">
        <f t="shared" si="739"/>
        <v/>
      </c>
      <c r="BD1132" s="164" t="str">
        <f>IF(AND($C1131=12,$D1131=Input!$C$6),0,IF($E1132="","",AT1132+(AU1132+BD1133)/(1+$AK1132)*MIN((1-AM1132-AN1132),1)))</f>
        <v/>
      </c>
      <c r="BE1132" s="164" t="str">
        <f t="shared" si="754"/>
        <v/>
      </c>
      <c r="BF1132" s="164" t="str">
        <f t="shared" si="740"/>
        <v/>
      </c>
      <c r="BG1132" s="164" t="str">
        <f t="shared" si="726"/>
        <v/>
      </c>
      <c r="BH1132" s="152"/>
      <c r="BI1132" s="162" t="str">
        <f t="shared" si="748"/>
        <v/>
      </c>
      <c r="BJ1132" s="150" t="str">
        <f t="shared" si="749"/>
        <v/>
      </c>
      <c r="BK1132" s="163" t="str">
        <f t="shared" si="745"/>
        <v/>
      </c>
      <c r="BL1132" s="163" t="str">
        <f t="shared" si="750"/>
        <v/>
      </c>
      <c r="BM1132" s="163" t="str">
        <f t="shared" si="746"/>
        <v/>
      </c>
      <c r="BN1132" s="163" t="str">
        <f t="shared" si="751"/>
        <v/>
      </c>
      <c r="BO1132" s="163" t="str">
        <f t="shared" si="752"/>
        <v/>
      </c>
      <c r="BP1132" s="164" t="str">
        <f t="shared" si="747"/>
        <v/>
      </c>
      <c r="BQ1132" s="164" t="str">
        <f t="shared" si="741"/>
        <v/>
      </c>
      <c r="BR1132" s="154" t="str">
        <f t="shared" si="753"/>
        <v/>
      </c>
      <c r="BT1132" s="147" t="str">
        <f t="shared" si="727"/>
        <v/>
      </c>
      <c r="BU1132" s="164" t="str">
        <f>IF(AND($C1131=12,$D1131=Input!$C$6),0,IF($E1132="","",BK1132+(BL1132+BU1133)/(1+$AK1132)*MIN((1-T1132-U1132),1)))</f>
        <v/>
      </c>
      <c r="BV1132" s="164" t="str">
        <f t="shared" si="728"/>
        <v/>
      </c>
      <c r="BW1132" s="164" t="str">
        <f t="shared" si="729"/>
        <v/>
      </c>
      <c r="BX1132" s="164" t="str">
        <f t="shared" si="730"/>
        <v/>
      </c>
    </row>
    <row r="1133" spans="1:76" s="150" customFormat="1" x14ac:dyDescent="0.25">
      <c r="A1133" s="150" t="str">
        <f t="shared" si="742"/>
        <v/>
      </c>
      <c r="B1133" s="150" t="str">
        <f t="shared" si="743"/>
        <v/>
      </c>
      <c r="C1133" s="150" t="str">
        <f t="shared" si="744"/>
        <v/>
      </c>
      <c r="D1133" s="150" t="str">
        <f>IF(E1133="","",Input!$C$4+B1133-1)</f>
        <v/>
      </c>
      <c r="E1133" s="150" t="str">
        <f>IF(OR(AND(C1132=12,D1132=Input!$C$6),E1132=""),"",1)</f>
        <v/>
      </c>
      <c r="F1133" s="150" t="str">
        <f>IF(E1133="","",Input!$C$8+B1133-1)</f>
        <v/>
      </c>
      <c r="G1133" s="151" t="str">
        <f>IF(E1133="","",MAX(0,Input!$C$9-B1133))</f>
        <v/>
      </c>
      <c r="H1133" s="152" t="str">
        <f>IF(E1133="","",Input!$C$3)</f>
        <v/>
      </c>
      <c r="I1133" s="153" t="str">
        <f>IF(E1133="","",HLOOKUP($B1133,Input!$C$13:$BT$14,2))</f>
        <v/>
      </c>
      <c r="J1133" s="154"/>
      <c r="K1133" s="155" t="str">
        <f>IF($E1133="","",INDEX(Input!$C$16:$CP$16,1,$B1133))</f>
        <v/>
      </c>
      <c r="L1133" s="155" t="str">
        <f>IF($E1133="","",Input!$C$37)</f>
        <v/>
      </c>
      <c r="M1133" s="155" t="str">
        <f t="shared" si="713"/>
        <v/>
      </c>
      <c r="N1133" s="155" t="str">
        <f t="shared" si="714"/>
        <v/>
      </c>
      <c r="O1133" s="147" t="str">
        <f>IF($E1133="","",MIN(VLOOKUP(IF($B1133&lt;=Input!$C$7,$B1133,26),'Mortality Tables'!$A$41:$CW$67,IF($B1133&lt;=Input!$C$7+1,Input!$C$4+2,$D1133-Input!$C$7+2),0)*IF(B1133&gt;20,Input!$C$22,1)/1000,1))</f>
        <v/>
      </c>
      <c r="P1133" s="147" t="str">
        <f>IF($E1133="","",MIN(VLOOKUP(IF($B1133&lt;=Input!$C$7,$B1133,26),'Mortality Tables'!$A$12:$CW$37,IF($B1133&lt;=Input!$C$7+1,Input!$C$4+2,$D1133-Input!$C$7+2),0)*IF(B1133&gt;20,Input!$C$22,1)/1000,1))</f>
        <v/>
      </c>
      <c r="Q1133" s="155" t="str">
        <f>IF($E1133="","",Input!$C$21)</f>
        <v/>
      </c>
      <c r="R1133" s="159" t="str">
        <f>IF($E1133="","",(1-Q1133)^($F1133-Input!$C$20))</f>
        <v/>
      </c>
      <c r="S1133" s="147" t="str">
        <f t="shared" si="716"/>
        <v/>
      </c>
      <c r="T1133" s="147" t="str">
        <f t="shared" si="717"/>
        <v/>
      </c>
      <c r="U1133" s="160" t="str">
        <f>IF($E1133="","",IF($C1133=12,INDEX(Input!$C$15:$CP$15,1,$B1133),0))</f>
        <v/>
      </c>
      <c r="V1133" s="150" t="str">
        <f>IF(E1133="","",IF(C1133=1,IF($B1133=1,Input!$C$33,Input!$C$34),0))</f>
        <v/>
      </c>
      <c r="W1133" s="156" t="str">
        <f>IF($E1133="","",Input!$C$35)</f>
        <v/>
      </c>
      <c r="X1133" s="156" t="str">
        <f t="shared" si="715"/>
        <v/>
      </c>
      <c r="Y1133" s="154"/>
      <c r="Z1133" s="147" t="str">
        <f>IF($E1133="","",VLOOKUP($D1133,'Mortality Margins &amp; Grading'!$AB$5:$AF$125,3,0)*IF(Summary!$D$25="Included Margin",IF(AND($B1133&gt;Input!$C$9,Summary!$D$31&lt;&gt;"Included Margin"),0,1),0))</f>
        <v/>
      </c>
      <c r="AA1133" s="147" t="str">
        <f>IF($E1133="","",VLOOKUP($D1133,'Mortality Margins &amp; Grading'!$AB$5:$AF$125,5,0)*IF(Summary!$D$25="Included Margin",IF(AND($B1133&gt;Input!$C$9,Summary!$D$31&lt;&gt;"Included Margin"),0,1),0))</f>
        <v/>
      </c>
      <c r="AB1133" s="147" t="str">
        <f>IF($E1133="","",IF(AND($B1133&gt;Input!$C$9,Summary!$D$31&lt;&gt;"Included Margin"),1,IF(Summary!$D$25="Included Margin",VLOOKUP($B1133,'Mortality Margins &amp; Grading'!$AI$5:$AR$125,MATCH('Mortality Margins &amp; Grading'!$AQ$4,'Mortality Margins &amp; Grading'!$AI$4:$AR$4,0),0),1)))</f>
        <v/>
      </c>
      <c r="AC1133" s="154"/>
      <c r="AD1133" s="158" t="str">
        <f>IF(E1133="","",Input!$C$48*IF(Summary!$D$30="Included Margin",IF(AND($B1133&gt;Input!$C$9,Summary!$D$31&lt;&gt;"Included Margin"),0,1),0))</f>
        <v/>
      </c>
      <c r="AE1133" s="159" t="str">
        <f>IF(E1133="","",IF(Summary!$D$26="Included Margin",IF(AND($B1133&gt;Input!$C$9,Summary!$D$31&lt;&gt;"Included Margin"),1,1/$R1133),1))</f>
        <v/>
      </c>
      <c r="AF1133" s="160" t="str">
        <f>IF(E1133="","",IF(AND($B1133&gt;=Input!$C$9,$C1133=12,Summary!$D$31="Included Margin",$U1133&gt;0),1/U1133-1,IF($B1133&gt;=Input!$C$9,0,Input!$C$45*IF(Summary!$D$27="Included Margin",1,0))))</f>
        <v/>
      </c>
      <c r="AG1133" s="160" t="str">
        <f>IF(E1133="","",Input!$C$46*IF(Summary!$D$28="Included Margin",IF(AND($B1133&gt;Input!$C$9,Summary!$D$31&lt;&gt;"Included Margin"),0,1),0))</f>
        <v/>
      </c>
      <c r="AH1133" s="158" t="str">
        <f>IF(E1133="","",Input!$C$47*IF(Summary!$D$29="Included Margin",IF(AND($B1133&gt;Input!$C$9,Summary!$D$31&lt;&gt;"Included Margin"),0,1),0))</f>
        <v/>
      </c>
      <c r="AI1133" s="154"/>
      <c r="AJ1133" s="158" t="str">
        <f t="shared" si="731"/>
        <v/>
      </c>
      <c r="AK1133" s="155" t="str">
        <f t="shared" si="732"/>
        <v/>
      </c>
      <c r="AL1133" s="147" t="str">
        <f t="shared" si="733"/>
        <v/>
      </c>
      <c r="AM1133" s="147" t="str">
        <f t="shared" si="718"/>
        <v/>
      </c>
      <c r="AN1133" s="160" t="str">
        <f t="shared" si="734"/>
        <v/>
      </c>
      <c r="AO1133" s="161" t="str">
        <f t="shared" si="735"/>
        <v/>
      </c>
      <c r="AP1133" s="156" t="str">
        <f t="shared" si="719"/>
        <v/>
      </c>
      <c r="AQ1133" s="152"/>
      <c r="AR1133" s="162" t="str">
        <f t="shared" si="720"/>
        <v/>
      </c>
      <c r="AS1133" s="150" t="str">
        <f t="shared" si="736"/>
        <v/>
      </c>
      <c r="AT1133" s="163" t="str">
        <f t="shared" si="721"/>
        <v/>
      </c>
      <c r="AU1133" s="163" t="str">
        <f t="shared" si="722"/>
        <v/>
      </c>
      <c r="AV1133" s="163" t="str">
        <f t="shared" si="737"/>
        <v/>
      </c>
      <c r="AW1133" s="163" t="str">
        <f t="shared" si="723"/>
        <v/>
      </c>
      <c r="AX1133" s="163" t="str">
        <f t="shared" si="724"/>
        <v/>
      </c>
      <c r="AY1133" s="164" t="str">
        <f t="shared" si="738"/>
        <v/>
      </c>
      <c r="AZ1133" s="164" t="str">
        <f>IF($E1133="","",IF(OR(AND($D1133=Input!$C$6,$C1133=12),$AN1133=1),0,-AS1134+AT1134+AU1134-AV1134-AW1134-AX1134+AZ1134))</f>
        <v/>
      </c>
      <c r="BA1133" s="154" t="str">
        <f t="shared" si="725"/>
        <v/>
      </c>
      <c r="BC1133" s="147" t="str">
        <f t="shared" si="739"/>
        <v/>
      </c>
      <c r="BD1133" s="164" t="str">
        <f>IF(AND($C1132=12,$D1132=Input!$C$6),0,IF($E1133="","",AT1133+(AU1133+BD1134)/(1+$AK1133)*MIN((1-AM1133-AN1133),1)))</f>
        <v/>
      </c>
      <c r="BE1133" s="164" t="str">
        <f t="shared" si="754"/>
        <v/>
      </c>
      <c r="BF1133" s="164" t="str">
        <f t="shared" si="740"/>
        <v/>
      </c>
      <c r="BG1133" s="164" t="str">
        <f t="shared" si="726"/>
        <v/>
      </c>
      <c r="BH1133" s="152"/>
      <c r="BI1133" s="162" t="str">
        <f t="shared" si="748"/>
        <v/>
      </c>
      <c r="BJ1133" s="150" t="str">
        <f t="shared" si="749"/>
        <v/>
      </c>
      <c r="BK1133" s="163" t="str">
        <f t="shared" si="745"/>
        <v/>
      </c>
      <c r="BL1133" s="163" t="str">
        <f t="shared" si="750"/>
        <v/>
      </c>
      <c r="BM1133" s="163" t="str">
        <f t="shared" si="746"/>
        <v/>
      </c>
      <c r="BN1133" s="163" t="str">
        <f t="shared" si="751"/>
        <v/>
      </c>
      <c r="BO1133" s="163" t="str">
        <f t="shared" si="752"/>
        <v/>
      </c>
      <c r="BP1133" s="164" t="str">
        <f t="shared" si="747"/>
        <v/>
      </c>
      <c r="BQ1133" s="164" t="str">
        <f t="shared" si="741"/>
        <v/>
      </c>
      <c r="BR1133" s="154" t="str">
        <f t="shared" si="753"/>
        <v/>
      </c>
      <c r="BT1133" s="147" t="str">
        <f t="shared" si="727"/>
        <v/>
      </c>
      <c r="BU1133" s="164" t="str">
        <f>IF(AND($C1132=12,$D1132=Input!$C$6),0,IF($E1133="","",BK1133+(BL1133+BU1134)/(1+$AK1133)*MIN((1-T1133-U1133),1)))</f>
        <v/>
      </c>
      <c r="BV1133" s="164" t="str">
        <f t="shared" si="728"/>
        <v/>
      </c>
      <c r="BW1133" s="164" t="str">
        <f t="shared" si="729"/>
        <v/>
      </c>
      <c r="BX1133" s="164" t="str">
        <f t="shared" si="730"/>
        <v/>
      </c>
    </row>
    <row r="1134" spans="1:76" s="150" customFormat="1" x14ac:dyDescent="0.25">
      <c r="A1134" s="150" t="str">
        <f t="shared" si="742"/>
        <v/>
      </c>
      <c r="B1134" s="150" t="str">
        <f t="shared" si="743"/>
        <v/>
      </c>
      <c r="C1134" s="150" t="str">
        <f t="shared" si="744"/>
        <v/>
      </c>
      <c r="D1134" s="150" t="str">
        <f>IF(E1134="","",Input!$C$4+B1134-1)</f>
        <v/>
      </c>
      <c r="E1134" s="150" t="str">
        <f>IF(OR(AND(C1133=12,D1133=Input!$C$6),E1133=""),"",1)</f>
        <v/>
      </c>
      <c r="F1134" s="150" t="str">
        <f>IF(E1134="","",Input!$C$8+B1134-1)</f>
        <v/>
      </c>
      <c r="G1134" s="151" t="str">
        <f>IF(E1134="","",MAX(0,Input!$C$9-B1134))</f>
        <v/>
      </c>
      <c r="H1134" s="152" t="str">
        <f>IF(E1134="","",Input!$C$3)</f>
        <v/>
      </c>
      <c r="I1134" s="153" t="str">
        <f>IF(E1134="","",HLOOKUP($B1134,Input!$C$13:$BT$14,2))</f>
        <v/>
      </c>
      <c r="J1134" s="154"/>
      <c r="K1134" s="155" t="str">
        <f>IF($E1134="","",INDEX(Input!$C$16:$CP$16,1,$B1134))</f>
        <v/>
      </c>
      <c r="L1134" s="155" t="str">
        <f>IF($E1134="","",Input!$C$37)</f>
        <v/>
      </c>
      <c r="M1134" s="155" t="str">
        <f t="shared" si="713"/>
        <v/>
      </c>
      <c r="N1134" s="155" t="str">
        <f t="shared" si="714"/>
        <v/>
      </c>
      <c r="O1134" s="147" t="str">
        <f>IF($E1134="","",MIN(VLOOKUP(IF($B1134&lt;=Input!$C$7,$B1134,26),'Mortality Tables'!$A$41:$CW$67,IF($B1134&lt;=Input!$C$7+1,Input!$C$4+2,$D1134-Input!$C$7+2),0)*IF(B1134&gt;20,Input!$C$22,1)/1000,1))</f>
        <v/>
      </c>
      <c r="P1134" s="147" t="str">
        <f>IF($E1134="","",MIN(VLOOKUP(IF($B1134&lt;=Input!$C$7,$B1134,26),'Mortality Tables'!$A$12:$CW$37,IF($B1134&lt;=Input!$C$7+1,Input!$C$4+2,$D1134-Input!$C$7+2),0)*IF(B1134&gt;20,Input!$C$22,1)/1000,1))</f>
        <v/>
      </c>
      <c r="Q1134" s="155" t="str">
        <f>IF($E1134="","",Input!$C$21)</f>
        <v/>
      </c>
      <c r="R1134" s="159" t="str">
        <f>IF($E1134="","",(1-Q1134)^($F1134-Input!$C$20))</f>
        <v/>
      </c>
      <c r="S1134" s="147" t="str">
        <f t="shared" si="716"/>
        <v/>
      </c>
      <c r="T1134" s="147" t="str">
        <f t="shared" si="717"/>
        <v/>
      </c>
      <c r="U1134" s="160" t="str">
        <f>IF($E1134="","",IF($C1134=12,INDEX(Input!$C$15:$CP$15,1,$B1134),0))</f>
        <v/>
      </c>
      <c r="V1134" s="150" t="str">
        <f>IF(E1134="","",IF(C1134=1,IF($B1134=1,Input!$C$33,Input!$C$34),0))</f>
        <v/>
      </c>
      <c r="W1134" s="156" t="str">
        <f>IF($E1134="","",Input!$C$35)</f>
        <v/>
      </c>
      <c r="X1134" s="156" t="str">
        <f t="shared" si="715"/>
        <v/>
      </c>
      <c r="Y1134" s="154"/>
      <c r="Z1134" s="147" t="str">
        <f>IF($E1134="","",VLOOKUP($D1134,'Mortality Margins &amp; Grading'!$AB$5:$AF$125,3,0)*IF(Summary!$D$25="Included Margin",IF(AND($B1134&gt;Input!$C$9,Summary!$D$31&lt;&gt;"Included Margin"),0,1),0))</f>
        <v/>
      </c>
      <c r="AA1134" s="147" t="str">
        <f>IF($E1134="","",VLOOKUP($D1134,'Mortality Margins &amp; Grading'!$AB$5:$AF$125,5,0)*IF(Summary!$D$25="Included Margin",IF(AND($B1134&gt;Input!$C$9,Summary!$D$31&lt;&gt;"Included Margin"),0,1),0))</f>
        <v/>
      </c>
      <c r="AB1134" s="147" t="str">
        <f>IF($E1134="","",IF(AND($B1134&gt;Input!$C$9,Summary!$D$31&lt;&gt;"Included Margin"),1,IF(Summary!$D$25="Included Margin",VLOOKUP($B1134,'Mortality Margins &amp; Grading'!$AI$5:$AR$125,MATCH('Mortality Margins &amp; Grading'!$AQ$4,'Mortality Margins &amp; Grading'!$AI$4:$AR$4,0),0),1)))</f>
        <v/>
      </c>
      <c r="AC1134" s="154"/>
      <c r="AD1134" s="158" t="str">
        <f>IF(E1134="","",Input!$C$48*IF(Summary!$D$30="Included Margin",IF(AND($B1134&gt;Input!$C$9,Summary!$D$31&lt;&gt;"Included Margin"),0,1),0))</f>
        <v/>
      </c>
      <c r="AE1134" s="159" t="str">
        <f>IF(E1134="","",IF(Summary!$D$26="Included Margin",IF(AND($B1134&gt;Input!$C$9,Summary!$D$31&lt;&gt;"Included Margin"),1,1/$R1134),1))</f>
        <v/>
      </c>
      <c r="AF1134" s="160" t="str">
        <f>IF(E1134="","",IF(AND($B1134&gt;=Input!$C$9,$C1134=12,Summary!$D$31="Included Margin",$U1134&gt;0),1/U1134-1,IF($B1134&gt;=Input!$C$9,0,Input!$C$45*IF(Summary!$D$27="Included Margin",1,0))))</f>
        <v/>
      </c>
      <c r="AG1134" s="160" t="str">
        <f>IF(E1134="","",Input!$C$46*IF(Summary!$D$28="Included Margin",IF(AND($B1134&gt;Input!$C$9,Summary!$D$31&lt;&gt;"Included Margin"),0,1),0))</f>
        <v/>
      </c>
      <c r="AH1134" s="158" t="str">
        <f>IF(E1134="","",Input!$C$47*IF(Summary!$D$29="Included Margin",IF(AND($B1134&gt;Input!$C$9,Summary!$D$31&lt;&gt;"Included Margin"),0,1),0))</f>
        <v/>
      </c>
      <c r="AI1134" s="154"/>
      <c r="AJ1134" s="158" t="str">
        <f t="shared" si="731"/>
        <v/>
      </c>
      <c r="AK1134" s="155" t="str">
        <f t="shared" si="732"/>
        <v/>
      </c>
      <c r="AL1134" s="147" t="str">
        <f t="shared" si="733"/>
        <v/>
      </c>
      <c r="AM1134" s="147" t="str">
        <f t="shared" si="718"/>
        <v/>
      </c>
      <c r="AN1134" s="160" t="str">
        <f t="shared" si="734"/>
        <v/>
      </c>
      <c r="AO1134" s="161" t="str">
        <f t="shared" si="735"/>
        <v/>
      </c>
      <c r="AP1134" s="156" t="str">
        <f t="shared" si="719"/>
        <v/>
      </c>
      <c r="AQ1134" s="152"/>
      <c r="AR1134" s="162" t="str">
        <f t="shared" si="720"/>
        <v/>
      </c>
      <c r="AS1134" s="150" t="str">
        <f t="shared" si="736"/>
        <v/>
      </c>
      <c r="AT1134" s="163" t="str">
        <f t="shared" si="721"/>
        <v/>
      </c>
      <c r="AU1134" s="163" t="str">
        <f t="shared" si="722"/>
        <v/>
      </c>
      <c r="AV1134" s="163" t="str">
        <f t="shared" si="737"/>
        <v/>
      </c>
      <c r="AW1134" s="163" t="str">
        <f t="shared" si="723"/>
        <v/>
      </c>
      <c r="AX1134" s="163" t="str">
        <f t="shared" si="724"/>
        <v/>
      </c>
      <c r="AY1134" s="165" t="str">
        <f t="shared" si="738"/>
        <v/>
      </c>
      <c r="AZ1134" s="164" t="str">
        <f>IF($E1134="","",IF(OR(AND($D1134=Input!$C$6,$C1134=12),$AN1134=1),0,-AS1135+AT1135+AU1135-AV1135-AW1135-AX1135+AZ1135))</f>
        <v/>
      </c>
      <c r="BA1134" s="154" t="str">
        <f t="shared" si="725"/>
        <v/>
      </c>
      <c r="BC1134" s="147" t="str">
        <f t="shared" si="739"/>
        <v/>
      </c>
      <c r="BD1134" s="164" t="str">
        <f>IF(AND($C1133=12,$D1133=Input!$C$6),0,IF($E1134="","",AT1134+(AU1134+BD1135)/(1+$AK1134)*MIN((1-AM1134-AN1134),1)))</f>
        <v/>
      </c>
      <c r="BE1134" s="164" t="str">
        <f t="shared" si="754"/>
        <v/>
      </c>
      <c r="BF1134" s="164" t="str">
        <f t="shared" si="740"/>
        <v/>
      </c>
      <c r="BG1134" s="164" t="str">
        <f t="shared" si="726"/>
        <v/>
      </c>
      <c r="BH1134" s="152"/>
      <c r="BI1134" s="162" t="str">
        <f t="shared" si="748"/>
        <v/>
      </c>
      <c r="BJ1134" s="150" t="str">
        <f t="shared" si="749"/>
        <v/>
      </c>
      <c r="BK1134" s="163" t="str">
        <f t="shared" si="745"/>
        <v/>
      </c>
      <c r="BL1134" s="163" t="str">
        <f t="shared" si="750"/>
        <v/>
      </c>
      <c r="BM1134" s="163" t="str">
        <f t="shared" si="746"/>
        <v/>
      </c>
      <c r="BN1134" s="163" t="str">
        <f t="shared" si="751"/>
        <v/>
      </c>
      <c r="BO1134" s="163" t="str">
        <f t="shared" si="752"/>
        <v/>
      </c>
      <c r="BP1134" s="164" t="str">
        <f t="shared" si="747"/>
        <v/>
      </c>
      <c r="BQ1134" s="164" t="str">
        <f t="shared" si="741"/>
        <v/>
      </c>
      <c r="BR1134" s="154" t="str">
        <f t="shared" si="753"/>
        <v/>
      </c>
      <c r="BT1134" s="147" t="str">
        <f t="shared" si="727"/>
        <v/>
      </c>
      <c r="BU1134" s="164" t="str">
        <f>IF(AND($C1133=12,$D1133=Input!$C$6),0,IF($E1134="","",BK1134+(BL1134+BU1135)/(1+$AK1134)*MIN((1-T1134-U1134),1)))</f>
        <v/>
      </c>
      <c r="BV1134" s="164" t="str">
        <f t="shared" si="728"/>
        <v/>
      </c>
      <c r="BW1134" s="164" t="str">
        <f t="shared" si="729"/>
        <v/>
      </c>
      <c r="BX1134" s="164" t="str">
        <f t="shared" si="730"/>
        <v/>
      </c>
    </row>
    <row r="1135" spans="1:76" s="150" customFormat="1" x14ac:dyDescent="0.25">
      <c r="A1135" s="150" t="str">
        <f t="shared" si="742"/>
        <v/>
      </c>
      <c r="B1135" s="150" t="str">
        <f t="shared" si="743"/>
        <v/>
      </c>
      <c r="C1135" s="150" t="str">
        <f t="shared" si="744"/>
        <v/>
      </c>
      <c r="D1135" s="150" t="str">
        <f>IF(E1135="","",Input!$C$4+B1135-1)</f>
        <v/>
      </c>
      <c r="E1135" s="150" t="str">
        <f>IF(OR(AND(C1134=12,D1134=Input!$C$6),E1134=""),"",1)</f>
        <v/>
      </c>
      <c r="F1135" s="150" t="str">
        <f>IF(E1135="","",Input!$C$8+B1135-1)</f>
        <v/>
      </c>
      <c r="G1135" s="151" t="str">
        <f>IF(E1135="","",MAX(0,Input!$C$9-B1135))</f>
        <v/>
      </c>
      <c r="H1135" s="152" t="str">
        <f>IF(E1135="","",Input!$C$3)</f>
        <v/>
      </c>
      <c r="I1135" s="153" t="str">
        <f>IF(E1135="","",HLOOKUP($B1135,Input!$C$13:$BT$14,2))</f>
        <v/>
      </c>
      <c r="J1135" s="154"/>
      <c r="K1135" s="155" t="str">
        <f>IF($E1135="","",INDEX(Input!$C$16:$CP$16,1,$B1135))</f>
        <v/>
      </c>
      <c r="L1135" s="155" t="str">
        <f>IF($E1135="","",Input!$C$37)</f>
        <v/>
      </c>
      <c r="M1135" s="155" t="str">
        <f t="shared" si="713"/>
        <v/>
      </c>
      <c r="N1135" s="155" t="str">
        <f t="shared" si="714"/>
        <v/>
      </c>
      <c r="O1135" s="147" t="str">
        <f>IF($E1135="","",MIN(VLOOKUP(IF($B1135&lt;=Input!$C$7,$B1135,26),'Mortality Tables'!$A$41:$CW$67,IF($B1135&lt;=Input!$C$7+1,Input!$C$4+2,$D1135-Input!$C$7+2),0)*IF(B1135&gt;20,Input!$C$22,1)/1000,1))</f>
        <v/>
      </c>
      <c r="P1135" s="147" t="str">
        <f>IF($E1135="","",MIN(VLOOKUP(IF($B1135&lt;=Input!$C$7,$B1135,26),'Mortality Tables'!$A$12:$CW$37,IF($B1135&lt;=Input!$C$7+1,Input!$C$4+2,$D1135-Input!$C$7+2),0)*IF(B1135&gt;20,Input!$C$22,1)/1000,1))</f>
        <v/>
      </c>
      <c r="Q1135" s="155" t="str">
        <f>IF($E1135="","",Input!$C$21)</f>
        <v/>
      </c>
      <c r="R1135" s="159" t="str">
        <f>IF($E1135="","",(1-Q1135)^($F1135-Input!$C$20))</f>
        <v/>
      </c>
      <c r="S1135" s="147" t="str">
        <f t="shared" si="716"/>
        <v/>
      </c>
      <c r="T1135" s="147" t="str">
        <f t="shared" si="717"/>
        <v/>
      </c>
      <c r="U1135" s="160" t="str">
        <f>IF($E1135="","",IF($C1135=12,INDEX(Input!$C$15:$CP$15,1,$B1135),0))</f>
        <v/>
      </c>
      <c r="V1135" s="150" t="str">
        <f>IF(E1135="","",IF(C1135=1,IF($B1135=1,Input!$C$33,Input!$C$34),0))</f>
        <v/>
      </c>
      <c r="W1135" s="156" t="str">
        <f>IF($E1135="","",Input!$C$35)</f>
        <v/>
      </c>
      <c r="X1135" s="156" t="str">
        <f t="shared" si="715"/>
        <v/>
      </c>
      <c r="Y1135" s="154"/>
      <c r="Z1135" s="147" t="str">
        <f>IF($E1135="","",VLOOKUP($D1135,'Mortality Margins &amp; Grading'!$AB$5:$AF$125,3,0)*IF(Summary!$D$25="Included Margin",IF(AND($B1135&gt;Input!$C$9,Summary!$D$31&lt;&gt;"Included Margin"),0,1),0))</f>
        <v/>
      </c>
      <c r="AA1135" s="147" t="str">
        <f>IF($E1135="","",VLOOKUP($D1135,'Mortality Margins &amp; Grading'!$AB$5:$AF$125,5,0)*IF(Summary!$D$25="Included Margin",IF(AND($B1135&gt;Input!$C$9,Summary!$D$31&lt;&gt;"Included Margin"),0,1),0))</f>
        <v/>
      </c>
      <c r="AB1135" s="147" t="str">
        <f>IF($E1135="","",IF(AND($B1135&gt;Input!$C$9,Summary!$D$31&lt;&gt;"Included Margin"),1,IF(Summary!$D$25="Included Margin",VLOOKUP($B1135,'Mortality Margins &amp; Grading'!$AI$5:$AR$125,MATCH('Mortality Margins &amp; Grading'!$AQ$4,'Mortality Margins &amp; Grading'!$AI$4:$AR$4,0),0),1)))</f>
        <v/>
      </c>
      <c r="AC1135" s="154"/>
      <c r="AD1135" s="158" t="str">
        <f>IF(E1135="","",Input!$C$48*IF(Summary!$D$30="Included Margin",IF(AND($B1135&gt;Input!$C$9,Summary!$D$31&lt;&gt;"Included Margin"),0,1),0))</f>
        <v/>
      </c>
      <c r="AE1135" s="159" t="str">
        <f>IF(E1135="","",IF(Summary!$D$26="Included Margin",IF(AND($B1135&gt;Input!$C$9,Summary!$D$31&lt;&gt;"Included Margin"),1,1/$R1135),1))</f>
        <v/>
      </c>
      <c r="AF1135" s="160" t="str">
        <f>IF(E1135="","",IF(AND($B1135&gt;=Input!$C$9,$C1135=12,Summary!$D$31="Included Margin",$U1135&gt;0),1/U1135-1,IF($B1135&gt;=Input!$C$9,0,Input!$C$45*IF(Summary!$D$27="Included Margin",1,0))))</f>
        <v/>
      </c>
      <c r="AG1135" s="160" t="str">
        <f>IF(E1135="","",Input!$C$46*IF(Summary!$D$28="Included Margin",IF(AND($B1135&gt;Input!$C$9,Summary!$D$31&lt;&gt;"Included Margin"),0,1),0))</f>
        <v/>
      </c>
      <c r="AH1135" s="158" t="str">
        <f>IF(E1135="","",Input!$C$47*IF(Summary!$D$29="Included Margin",IF(AND($B1135&gt;Input!$C$9,Summary!$D$31&lt;&gt;"Included Margin"),0,1),0))</f>
        <v/>
      </c>
      <c r="AI1135" s="154"/>
      <c r="AJ1135" s="158" t="str">
        <f t="shared" si="731"/>
        <v/>
      </c>
      <c r="AK1135" s="155" t="str">
        <f t="shared" si="732"/>
        <v/>
      </c>
      <c r="AL1135" s="147" t="str">
        <f t="shared" si="733"/>
        <v/>
      </c>
      <c r="AM1135" s="147" t="str">
        <f t="shared" si="718"/>
        <v/>
      </c>
      <c r="AN1135" s="160" t="str">
        <f t="shared" si="734"/>
        <v/>
      </c>
      <c r="AO1135" s="161" t="str">
        <f t="shared" si="735"/>
        <v/>
      </c>
      <c r="AP1135" s="156" t="str">
        <f t="shared" si="719"/>
        <v/>
      </c>
      <c r="AQ1135" s="152"/>
      <c r="AR1135" s="162" t="str">
        <f t="shared" si="720"/>
        <v/>
      </c>
      <c r="AS1135" s="150" t="str">
        <f t="shared" si="736"/>
        <v/>
      </c>
      <c r="AT1135" s="163" t="str">
        <f t="shared" si="721"/>
        <v/>
      </c>
      <c r="AU1135" s="163" t="str">
        <f t="shared" si="722"/>
        <v/>
      </c>
      <c r="AV1135" s="163" t="str">
        <f t="shared" si="737"/>
        <v/>
      </c>
      <c r="AW1135" s="163" t="str">
        <f t="shared" si="723"/>
        <v/>
      </c>
      <c r="AX1135" s="163" t="str">
        <f t="shared" si="724"/>
        <v/>
      </c>
      <c r="AY1135" s="164" t="str">
        <f t="shared" si="738"/>
        <v/>
      </c>
      <c r="AZ1135" s="164" t="str">
        <f>IF($E1135="","",IF(OR(AND($D1135=Input!$C$6,$C1135=12),$AN1135=1),0,-AS1136+AT1136+AU1136-AV1136-AW1136-AX1136+AZ1136))</f>
        <v/>
      </c>
      <c r="BA1135" s="154" t="str">
        <f t="shared" si="725"/>
        <v/>
      </c>
      <c r="BC1135" s="147" t="str">
        <f t="shared" si="739"/>
        <v/>
      </c>
      <c r="BD1135" s="164" t="str">
        <f>IF(AND($C1134=12,$D1134=Input!$C$6),0,IF($E1135="","",AT1135+(AU1135+BD1136)/(1+$AK1135)*MIN((1-AM1135-AN1135),1)))</f>
        <v/>
      </c>
      <c r="BE1135" s="164" t="str">
        <f t="shared" si="754"/>
        <v/>
      </c>
      <c r="BF1135" s="164" t="str">
        <f t="shared" si="740"/>
        <v/>
      </c>
      <c r="BG1135" s="164" t="str">
        <f t="shared" si="726"/>
        <v/>
      </c>
      <c r="BH1135" s="152"/>
      <c r="BI1135" s="162" t="str">
        <f t="shared" si="748"/>
        <v/>
      </c>
      <c r="BJ1135" s="150" t="str">
        <f t="shared" si="749"/>
        <v/>
      </c>
      <c r="BK1135" s="163" t="str">
        <f t="shared" si="745"/>
        <v/>
      </c>
      <c r="BL1135" s="163" t="str">
        <f t="shared" si="750"/>
        <v/>
      </c>
      <c r="BM1135" s="163" t="str">
        <f t="shared" si="746"/>
        <v/>
      </c>
      <c r="BN1135" s="163" t="str">
        <f t="shared" si="751"/>
        <v/>
      </c>
      <c r="BO1135" s="163" t="str">
        <f t="shared" si="752"/>
        <v/>
      </c>
      <c r="BP1135" s="164" t="str">
        <f t="shared" si="747"/>
        <v/>
      </c>
      <c r="BQ1135" s="164" t="str">
        <f t="shared" si="741"/>
        <v/>
      </c>
      <c r="BR1135" s="154" t="str">
        <f t="shared" si="753"/>
        <v/>
      </c>
      <c r="BT1135" s="147" t="str">
        <f t="shared" si="727"/>
        <v/>
      </c>
      <c r="BU1135" s="164" t="str">
        <f>IF(AND($C1134=12,$D1134=Input!$C$6),0,IF($E1135="","",BK1135+(BL1135+BU1136)/(1+$AK1135)*MIN((1-T1135-U1135),1)))</f>
        <v/>
      </c>
      <c r="BV1135" s="164" t="str">
        <f t="shared" si="728"/>
        <v/>
      </c>
      <c r="BW1135" s="164" t="str">
        <f t="shared" si="729"/>
        <v/>
      </c>
      <c r="BX1135" s="164" t="str">
        <f t="shared" si="730"/>
        <v/>
      </c>
    </row>
    <row r="1136" spans="1:76" s="150" customFormat="1" x14ac:dyDescent="0.25">
      <c r="A1136" s="150" t="str">
        <f t="shared" si="742"/>
        <v/>
      </c>
      <c r="B1136" s="150" t="str">
        <f t="shared" si="743"/>
        <v/>
      </c>
      <c r="C1136" s="150" t="str">
        <f t="shared" si="744"/>
        <v/>
      </c>
      <c r="D1136" s="150" t="str">
        <f>IF(E1136="","",Input!$C$4+B1136-1)</f>
        <v/>
      </c>
      <c r="E1136" s="150" t="str">
        <f>IF(OR(AND(C1135=12,D1135=Input!$C$6),E1135=""),"",1)</f>
        <v/>
      </c>
      <c r="F1136" s="150" t="str">
        <f>IF(E1136="","",Input!$C$8+B1136-1)</f>
        <v/>
      </c>
      <c r="G1136" s="151" t="str">
        <f>IF(E1136="","",MAX(0,Input!$C$9-B1136))</f>
        <v/>
      </c>
      <c r="H1136" s="152" t="str">
        <f>IF(E1136="","",Input!$C$3)</f>
        <v/>
      </c>
      <c r="I1136" s="153" t="str">
        <f>IF(E1136="","",HLOOKUP($B1136,Input!$C$13:$BT$14,2))</f>
        <v/>
      </c>
      <c r="J1136" s="154"/>
      <c r="K1136" s="155" t="str">
        <f>IF($E1136="","",INDEX(Input!$C$16:$CP$16,1,$B1136))</f>
        <v/>
      </c>
      <c r="L1136" s="155" t="str">
        <f>IF($E1136="","",Input!$C$37)</f>
        <v/>
      </c>
      <c r="M1136" s="155" t="str">
        <f t="shared" si="713"/>
        <v/>
      </c>
      <c r="N1136" s="155" t="str">
        <f t="shared" si="714"/>
        <v/>
      </c>
      <c r="O1136" s="147" t="str">
        <f>IF($E1136="","",MIN(VLOOKUP(IF($B1136&lt;=Input!$C$7,$B1136,26),'Mortality Tables'!$A$41:$CW$67,IF($B1136&lt;=Input!$C$7+1,Input!$C$4+2,$D1136-Input!$C$7+2),0)*IF(B1136&gt;20,Input!$C$22,1)/1000,1))</f>
        <v/>
      </c>
      <c r="P1136" s="147" t="str">
        <f>IF($E1136="","",MIN(VLOOKUP(IF($B1136&lt;=Input!$C$7,$B1136,26),'Mortality Tables'!$A$12:$CW$37,IF($B1136&lt;=Input!$C$7+1,Input!$C$4+2,$D1136-Input!$C$7+2),0)*IF(B1136&gt;20,Input!$C$22,1)/1000,1))</f>
        <v/>
      </c>
      <c r="Q1136" s="155" t="str">
        <f>IF($E1136="","",Input!$C$21)</f>
        <v/>
      </c>
      <c r="R1136" s="159" t="str">
        <f>IF($E1136="","",(1-Q1136)^($F1136-Input!$C$20))</f>
        <v/>
      </c>
      <c r="S1136" s="147" t="str">
        <f t="shared" si="716"/>
        <v/>
      </c>
      <c r="T1136" s="147" t="str">
        <f t="shared" si="717"/>
        <v/>
      </c>
      <c r="U1136" s="160" t="str">
        <f>IF($E1136="","",IF($C1136=12,INDEX(Input!$C$15:$CP$15,1,$B1136),0))</f>
        <v/>
      </c>
      <c r="V1136" s="150" t="str">
        <f>IF(E1136="","",IF(C1136=1,IF($B1136=1,Input!$C$33,Input!$C$34),0))</f>
        <v/>
      </c>
      <c r="W1136" s="156" t="str">
        <f>IF($E1136="","",Input!$C$35)</f>
        <v/>
      </c>
      <c r="X1136" s="156" t="str">
        <f t="shared" si="715"/>
        <v/>
      </c>
      <c r="Y1136" s="154"/>
      <c r="Z1136" s="147" t="str">
        <f>IF($E1136="","",VLOOKUP($D1136,'Mortality Margins &amp; Grading'!$AB$5:$AF$125,3,0)*IF(Summary!$D$25="Included Margin",IF(AND($B1136&gt;Input!$C$9,Summary!$D$31&lt;&gt;"Included Margin"),0,1),0))</f>
        <v/>
      </c>
      <c r="AA1136" s="147" t="str">
        <f>IF($E1136="","",VLOOKUP($D1136,'Mortality Margins &amp; Grading'!$AB$5:$AF$125,5,0)*IF(Summary!$D$25="Included Margin",IF(AND($B1136&gt;Input!$C$9,Summary!$D$31&lt;&gt;"Included Margin"),0,1),0))</f>
        <v/>
      </c>
      <c r="AB1136" s="147" t="str">
        <f>IF($E1136="","",IF(AND($B1136&gt;Input!$C$9,Summary!$D$31&lt;&gt;"Included Margin"),1,IF(Summary!$D$25="Included Margin",VLOOKUP($B1136,'Mortality Margins &amp; Grading'!$AI$5:$AR$125,MATCH('Mortality Margins &amp; Grading'!$AQ$4,'Mortality Margins &amp; Grading'!$AI$4:$AR$4,0),0),1)))</f>
        <v/>
      </c>
      <c r="AC1136" s="154"/>
      <c r="AD1136" s="158" t="str">
        <f>IF(E1136="","",Input!$C$48*IF(Summary!$D$30="Included Margin",IF(AND($B1136&gt;Input!$C$9,Summary!$D$31&lt;&gt;"Included Margin"),0,1),0))</f>
        <v/>
      </c>
      <c r="AE1136" s="159" t="str">
        <f>IF(E1136="","",IF(Summary!$D$26="Included Margin",IF(AND($B1136&gt;Input!$C$9,Summary!$D$31&lt;&gt;"Included Margin"),1,1/$R1136),1))</f>
        <v/>
      </c>
      <c r="AF1136" s="160" t="str">
        <f>IF(E1136="","",IF(AND($B1136&gt;=Input!$C$9,$C1136=12,Summary!$D$31="Included Margin",$U1136&gt;0),1/U1136-1,IF($B1136&gt;=Input!$C$9,0,Input!$C$45*IF(Summary!$D$27="Included Margin",1,0))))</f>
        <v/>
      </c>
      <c r="AG1136" s="160" t="str">
        <f>IF(E1136="","",Input!$C$46*IF(Summary!$D$28="Included Margin",IF(AND($B1136&gt;Input!$C$9,Summary!$D$31&lt;&gt;"Included Margin"),0,1),0))</f>
        <v/>
      </c>
      <c r="AH1136" s="158" t="str">
        <f>IF(E1136="","",Input!$C$47*IF(Summary!$D$29="Included Margin",IF(AND($B1136&gt;Input!$C$9,Summary!$D$31&lt;&gt;"Included Margin"),0,1),0))</f>
        <v/>
      </c>
      <c r="AI1136" s="154"/>
      <c r="AJ1136" s="158" t="str">
        <f t="shared" si="731"/>
        <v/>
      </c>
      <c r="AK1136" s="155" t="str">
        <f t="shared" si="732"/>
        <v/>
      </c>
      <c r="AL1136" s="147" t="str">
        <f t="shared" si="733"/>
        <v/>
      </c>
      <c r="AM1136" s="147" t="str">
        <f t="shared" si="718"/>
        <v/>
      </c>
      <c r="AN1136" s="160" t="str">
        <f t="shared" si="734"/>
        <v/>
      </c>
      <c r="AO1136" s="161" t="str">
        <f t="shared" si="735"/>
        <v/>
      </c>
      <c r="AP1136" s="156" t="str">
        <f t="shared" si="719"/>
        <v/>
      </c>
      <c r="AQ1136" s="152"/>
      <c r="AR1136" s="162" t="str">
        <f t="shared" si="720"/>
        <v/>
      </c>
      <c r="AS1136" s="150" t="str">
        <f t="shared" si="736"/>
        <v/>
      </c>
      <c r="AT1136" s="163" t="str">
        <f t="shared" si="721"/>
        <v/>
      </c>
      <c r="AU1136" s="163" t="str">
        <f t="shared" si="722"/>
        <v/>
      </c>
      <c r="AV1136" s="163" t="str">
        <f t="shared" si="737"/>
        <v/>
      </c>
      <c r="AW1136" s="163" t="str">
        <f t="shared" si="723"/>
        <v/>
      </c>
      <c r="AX1136" s="163" t="str">
        <f t="shared" si="724"/>
        <v/>
      </c>
      <c r="AY1136" s="165" t="str">
        <f t="shared" si="738"/>
        <v/>
      </c>
      <c r="AZ1136" s="164" t="str">
        <f>IF($E1136="","",IF(OR(AND($D1136=Input!$C$6,$C1136=12),$AN1136=1),0,-AS1137+AT1137+AU1137-AV1137-AW1137-AX1137+AZ1137))</f>
        <v/>
      </c>
      <c r="BA1136" s="154" t="str">
        <f t="shared" si="725"/>
        <v/>
      </c>
      <c r="BC1136" s="147" t="str">
        <f t="shared" si="739"/>
        <v/>
      </c>
      <c r="BD1136" s="164" t="str">
        <f>IF(AND($C1135=12,$D1135=Input!$C$6),0,IF($E1136="","",AT1136+(AU1136+BD1137)/(1+$AK1136)*MIN((1-AM1136-AN1136),1)))</f>
        <v/>
      </c>
      <c r="BE1136" s="164" t="str">
        <f t="shared" si="754"/>
        <v/>
      </c>
      <c r="BF1136" s="164" t="str">
        <f t="shared" si="740"/>
        <v/>
      </c>
      <c r="BG1136" s="164" t="str">
        <f t="shared" si="726"/>
        <v/>
      </c>
      <c r="BH1136" s="152"/>
      <c r="BI1136" s="162" t="str">
        <f t="shared" si="748"/>
        <v/>
      </c>
      <c r="BJ1136" s="150" t="str">
        <f t="shared" si="749"/>
        <v/>
      </c>
      <c r="BK1136" s="163" t="str">
        <f t="shared" si="745"/>
        <v/>
      </c>
      <c r="BL1136" s="163" t="str">
        <f t="shared" si="750"/>
        <v/>
      </c>
      <c r="BM1136" s="163" t="str">
        <f t="shared" si="746"/>
        <v/>
      </c>
      <c r="BN1136" s="163" t="str">
        <f t="shared" si="751"/>
        <v/>
      </c>
      <c r="BO1136" s="163" t="str">
        <f t="shared" si="752"/>
        <v/>
      </c>
      <c r="BP1136" s="164" t="str">
        <f t="shared" si="747"/>
        <v/>
      </c>
      <c r="BQ1136" s="164" t="str">
        <f t="shared" si="741"/>
        <v/>
      </c>
      <c r="BR1136" s="154" t="str">
        <f t="shared" si="753"/>
        <v/>
      </c>
      <c r="BT1136" s="147" t="str">
        <f t="shared" si="727"/>
        <v/>
      </c>
      <c r="BU1136" s="164" t="str">
        <f>IF(AND($C1135=12,$D1135=Input!$C$6),0,IF($E1136="","",BK1136+(BL1136+BU1137)/(1+$AK1136)*MIN((1-T1136-U1136),1)))</f>
        <v/>
      </c>
      <c r="BV1136" s="164" t="str">
        <f t="shared" si="728"/>
        <v/>
      </c>
      <c r="BW1136" s="164" t="str">
        <f t="shared" si="729"/>
        <v/>
      </c>
      <c r="BX1136" s="164" t="str">
        <f t="shared" si="730"/>
        <v/>
      </c>
    </row>
    <row r="1137" spans="1:76" s="150" customFormat="1" x14ac:dyDescent="0.25">
      <c r="A1137" s="150" t="str">
        <f t="shared" si="742"/>
        <v/>
      </c>
      <c r="B1137" s="150" t="str">
        <f t="shared" si="743"/>
        <v/>
      </c>
      <c r="C1137" s="150" t="str">
        <f t="shared" si="744"/>
        <v/>
      </c>
      <c r="D1137" s="150" t="str">
        <f>IF(E1137="","",Input!$C$4+B1137-1)</f>
        <v/>
      </c>
      <c r="E1137" s="150" t="str">
        <f>IF(OR(AND(C1136=12,D1136=Input!$C$6),E1136=""),"",1)</f>
        <v/>
      </c>
      <c r="F1137" s="150" t="str">
        <f>IF(E1137="","",Input!$C$8+B1137-1)</f>
        <v/>
      </c>
      <c r="G1137" s="151" t="str">
        <f>IF(E1137="","",MAX(0,Input!$C$9-B1137))</f>
        <v/>
      </c>
      <c r="H1137" s="152" t="str">
        <f>IF(E1137="","",Input!$C$3)</f>
        <v/>
      </c>
      <c r="I1137" s="153" t="str">
        <f>IF(E1137="","",HLOOKUP($B1137,Input!$C$13:$BT$14,2))</f>
        <v/>
      </c>
      <c r="J1137" s="154"/>
      <c r="K1137" s="155" t="str">
        <f>IF($E1137="","",INDEX(Input!$C$16:$CP$16,1,$B1137))</f>
        <v/>
      </c>
      <c r="L1137" s="155" t="str">
        <f>IF($E1137="","",Input!$C$37)</f>
        <v/>
      </c>
      <c r="M1137" s="155" t="str">
        <f t="shared" si="713"/>
        <v/>
      </c>
      <c r="N1137" s="155" t="str">
        <f t="shared" si="714"/>
        <v/>
      </c>
      <c r="O1137" s="147" t="str">
        <f>IF($E1137="","",MIN(VLOOKUP(IF($B1137&lt;=Input!$C$7,$B1137,26),'Mortality Tables'!$A$41:$CW$67,IF($B1137&lt;=Input!$C$7+1,Input!$C$4+2,$D1137-Input!$C$7+2),0)*IF(B1137&gt;20,Input!$C$22,1)/1000,1))</f>
        <v/>
      </c>
      <c r="P1137" s="147" t="str">
        <f>IF($E1137="","",MIN(VLOOKUP(IF($B1137&lt;=Input!$C$7,$B1137,26),'Mortality Tables'!$A$12:$CW$37,IF($B1137&lt;=Input!$C$7+1,Input!$C$4+2,$D1137-Input!$C$7+2),0)*IF(B1137&gt;20,Input!$C$22,1)/1000,1))</f>
        <v/>
      </c>
      <c r="Q1137" s="155" t="str">
        <f>IF($E1137="","",Input!$C$21)</f>
        <v/>
      </c>
      <c r="R1137" s="159" t="str">
        <f>IF($E1137="","",(1-Q1137)^($F1137-Input!$C$20))</f>
        <v/>
      </c>
      <c r="S1137" s="147" t="str">
        <f t="shared" si="716"/>
        <v/>
      </c>
      <c r="T1137" s="147" t="str">
        <f t="shared" si="717"/>
        <v/>
      </c>
      <c r="U1137" s="160" t="str">
        <f>IF($E1137="","",IF($C1137=12,INDEX(Input!$C$15:$CP$15,1,$B1137),0))</f>
        <v/>
      </c>
      <c r="V1137" s="150" t="str">
        <f>IF(E1137="","",IF(C1137=1,IF($B1137=1,Input!$C$33,Input!$C$34),0))</f>
        <v/>
      </c>
      <c r="W1137" s="156" t="str">
        <f>IF($E1137="","",Input!$C$35)</f>
        <v/>
      </c>
      <c r="X1137" s="156" t="str">
        <f t="shared" si="715"/>
        <v/>
      </c>
      <c r="Y1137" s="154"/>
      <c r="Z1137" s="147" t="str">
        <f>IF($E1137="","",VLOOKUP($D1137,'Mortality Margins &amp; Grading'!$AB$5:$AF$125,3,0)*IF(Summary!$D$25="Included Margin",IF(AND($B1137&gt;Input!$C$9,Summary!$D$31&lt;&gt;"Included Margin"),0,1),0))</f>
        <v/>
      </c>
      <c r="AA1137" s="147" t="str">
        <f>IF($E1137="","",VLOOKUP($D1137,'Mortality Margins &amp; Grading'!$AB$5:$AF$125,5,0)*IF(Summary!$D$25="Included Margin",IF(AND($B1137&gt;Input!$C$9,Summary!$D$31&lt;&gt;"Included Margin"),0,1),0))</f>
        <v/>
      </c>
      <c r="AB1137" s="147" t="str">
        <f>IF($E1137="","",IF(AND($B1137&gt;Input!$C$9,Summary!$D$31&lt;&gt;"Included Margin"),1,IF(Summary!$D$25="Included Margin",VLOOKUP($B1137,'Mortality Margins &amp; Grading'!$AI$5:$AR$125,MATCH('Mortality Margins &amp; Grading'!$AQ$4,'Mortality Margins &amp; Grading'!$AI$4:$AR$4,0),0),1)))</f>
        <v/>
      </c>
      <c r="AC1137" s="154"/>
      <c r="AD1137" s="158" t="str">
        <f>IF(E1137="","",Input!$C$48*IF(Summary!$D$30="Included Margin",IF(AND($B1137&gt;Input!$C$9,Summary!$D$31&lt;&gt;"Included Margin"),0,1),0))</f>
        <v/>
      </c>
      <c r="AE1137" s="159" t="str">
        <f>IF(E1137="","",IF(Summary!$D$26="Included Margin",IF(AND($B1137&gt;Input!$C$9,Summary!$D$31&lt;&gt;"Included Margin"),1,1/$R1137),1))</f>
        <v/>
      </c>
      <c r="AF1137" s="160" t="str">
        <f>IF(E1137="","",IF(AND($B1137&gt;=Input!$C$9,$C1137=12,Summary!$D$31="Included Margin",$U1137&gt;0),1/U1137-1,IF($B1137&gt;=Input!$C$9,0,Input!$C$45*IF(Summary!$D$27="Included Margin",1,0))))</f>
        <v/>
      </c>
      <c r="AG1137" s="160" t="str">
        <f>IF(E1137="","",Input!$C$46*IF(Summary!$D$28="Included Margin",IF(AND($B1137&gt;Input!$C$9,Summary!$D$31&lt;&gt;"Included Margin"),0,1),0))</f>
        <v/>
      </c>
      <c r="AH1137" s="158" t="str">
        <f>IF(E1137="","",Input!$C$47*IF(Summary!$D$29="Included Margin",IF(AND($B1137&gt;Input!$C$9,Summary!$D$31&lt;&gt;"Included Margin"),0,1),0))</f>
        <v/>
      </c>
      <c r="AI1137" s="154"/>
      <c r="AJ1137" s="158" t="str">
        <f t="shared" si="731"/>
        <v/>
      </c>
      <c r="AK1137" s="155" t="str">
        <f t="shared" si="732"/>
        <v/>
      </c>
      <c r="AL1137" s="147" t="str">
        <f t="shared" si="733"/>
        <v/>
      </c>
      <c r="AM1137" s="147" t="str">
        <f t="shared" si="718"/>
        <v/>
      </c>
      <c r="AN1137" s="160" t="str">
        <f t="shared" si="734"/>
        <v/>
      </c>
      <c r="AO1137" s="161" t="str">
        <f t="shared" si="735"/>
        <v/>
      </c>
      <c r="AP1137" s="156" t="str">
        <f t="shared" si="719"/>
        <v/>
      </c>
      <c r="AQ1137" s="152"/>
      <c r="AR1137" s="162" t="str">
        <f t="shared" si="720"/>
        <v/>
      </c>
      <c r="AS1137" s="150" t="str">
        <f t="shared" si="736"/>
        <v/>
      </c>
      <c r="AT1137" s="163" t="str">
        <f t="shared" si="721"/>
        <v/>
      </c>
      <c r="AU1137" s="163" t="str">
        <f t="shared" si="722"/>
        <v/>
      </c>
      <c r="AV1137" s="163" t="str">
        <f t="shared" si="737"/>
        <v/>
      </c>
      <c r="AW1137" s="163" t="str">
        <f t="shared" si="723"/>
        <v/>
      </c>
      <c r="AX1137" s="163" t="str">
        <f t="shared" si="724"/>
        <v/>
      </c>
      <c r="AY1137" s="164" t="str">
        <f t="shared" si="738"/>
        <v/>
      </c>
      <c r="AZ1137" s="164" t="str">
        <f>IF($E1137="","",IF(OR(AND($D1137=Input!$C$6,$C1137=12),$AN1137=1),0,-AS1138+AT1138+AU1138-AV1138-AW1138-AX1138+AZ1138))</f>
        <v/>
      </c>
      <c r="BA1137" s="154" t="str">
        <f t="shared" si="725"/>
        <v/>
      </c>
      <c r="BC1137" s="147" t="str">
        <f t="shared" si="739"/>
        <v/>
      </c>
      <c r="BD1137" s="164" t="str">
        <f>IF(AND($C1136=12,$D1136=Input!$C$6),0,IF($E1137="","",AT1137+(AU1137+BD1138)/(1+$AK1137)*MIN((1-AM1137-AN1137),1)))</f>
        <v/>
      </c>
      <c r="BE1137" s="164" t="str">
        <f t="shared" si="754"/>
        <v/>
      </c>
      <c r="BF1137" s="164" t="str">
        <f t="shared" si="740"/>
        <v/>
      </c>
      <c r="BG1137" s="164" t="str">
        <f t="shared" si="726"/>
        <v/>
      </c>
      <c r="BH1137" s="152"/>
      <c r="BI1137" s="162" t="str">
        <f t="shared" si="748"/>
        <v/>
      </c>
      <c r="BJ1137" s="150" t="str">
        <f t="shared" si="749"/>
        <v/>
      </c>
      <c r="BK1137" s="163" t="str">
        <f t="shared" si="745"/>
        <v/>
      </c>
      <c r="BL1137" s="163" t="str">
        <f t="shared" si="750"/>
        <v/>
      </c>
      <c r="BM1137" s="163" t="str">
        <f t="shared" si="746"/>
        <v/>
      </c>
      <c r="BN1137" s="163" t="str">
        <f t="shared" si="751"/>
        <v/>
      </c>
      <c r="BO1137" s="163" t="str">
        <f t="shared" si="752"/>
        <v/>
      </c>
      <c r="BP1137" s="164" t="str">
        <f t="shared" si="747"/>
        <v/>
      </c>
      <c r="BQ1137" s="164" t="str">
        <f t="shared" si="741"/>
        <v/>
      </c>
      <c r="BR1137" s="154" t="str">
        <f t="shared" si="753"/>
        <v/>
      </c>
      <c r="BT1137" s="147" t="str">
        <f t="shared" si="727"/>
        <v/>
      </c>
      <c r="BU1137" s="164" t="str">
        <f>IF(AND($C1136=12,$D1136=Input!$C$6),0,IF($E1137="","",BK1137+(BL1137+BU1138)/(1+$AK1137)*MIN((1-T1137-U1137),1)))</f>
        <v/>
      </c>
      <c r="BV1137" s="164" t="str">
        <f t="shared" si="728"/>
        <v/>
      </c>
      <c r="BW1137" s="164" t="str">
        <f t="shared" si="729"/>
        <v/>
      </c>
      <c r="BX1137" s="164" t="str">
        <f t="shared" si="730"/>
        <v/>
      </c>
    </row>
    <row r="1138" spans="1:76" s="150" customFormat="1" x14ac:dyDescent="0.25">
      <c r="A1138" s="150" t="str">
        <f t="shared" si="742"/>
        <v/>
      </c>
      <c r="B1138" s="150" t="str">
        <f t="shared" si="743"/>
        <v/>
      </c>
      <c r="C1138" s="150" t="str">
        <f t="shared" si="744"/>
        <v/>
      </c>
      <c r="D1138" s="150" t="str">
        <f>IF(E1138="","",Input!$C$4+B1138-1)</f>
        <v/>
      </c>
      <c r="E1138" s="150" t="str">
        <f>IF(OR(AND(C1137=12,D1137=Input!$C$6),E1137=""),"",1)</f>
        <v/>
      </c>
      <c r="F1138" s="150" t="str">
        <f>IF(E1138="","",Input!$C$8+B1138-1)</f>
        <v/>
      </c>
      <c r="G1138" s="151" t="str">
        <f>IF(E1138="","",MAX(0,Input!$C$9-B1138))</f>
        <v/>
      </c>
      <c r="H1138" s="152" t="str">
        <f>IF(E1138="","",Input!$C$3)</f>
        <v/>
      </c>
      <c r="I1138" s="153" t="str">
        <f>IF(E1138="","",HLOOKUP($B1138,Input!$C$13:$BT$14,2))</f>
        <v/>
      </c>
      <c r="J1138" s="154"/>
      <c r="K1138" s="155" t="str">
        <f>IF($E1138="","",INDEX(Input!$C$16:$CP$16,1,$B1138))</f>
        <v/>
      </c>
      <c r="L1138" s="155" t="str">
        <f>IF($E1138="","",Input!$C$37)</f>
        <v/>
      </c>
      <c r="M1138" s="155" t="str">
        <f t="shared" si="713"/>
        <v/>
      </c>
      <c r="N1138" s="155" t="str">
        <f t="shared" si="714"/>
        <v/>
      </c>
      <c r="O1138" s="147" t="str">
        <f>IF($E1138="","",MIN(VLOOKUP(IF($B1138&lt;=Input!$C$7,$B1138,26),'Mortality Tables'!$A$41:$CW$67,IF($B1138&lt;=Input!$C$7+1,Input!$C$4+2,$D1138-Input!$C$7+2),0)*IF(B1138&gt;20,Input!$C$22,1)/1000,1))</f>
        <v/>
      </c>
      <c r="P1138" s="147" t="str">
        <f>IF($E1138="","",MIN(VLOOKUP(IF($B1138&lt;=Input!$C$7,$B1138,26),'Mortality Tables'!$A$12:$CW$37,IF($B1138&lt;=Input!$C$7+1,Input!$C$4+2,$D1138-Input!$C$7+2),0)*IF(B1138&gt;20,Input!$C$22,1)/1000,1))</f>
        <v/>
      </c>
      <c r="Q1138" s="155" t="str">
        <f>IF($E1138="","",Input!$C$21)</f>
        <v/>
      </c>
      <c r="R1138" s="159" t="str">
        <f>IF($E1138="","",(1-Q1138)^($F1138-Input!$C$20))</f>
        <v/>
      </c>
      <c r="S1138" s="147" t="str">
        <f t="shared" si="716"/>
        <v/>
      </c>
      <c r="T1138" s="147" t="str">
        <f t="shared" si="717"/>
        <v/>
      </c>
      <c r="U1138" s="160" t="str">
        <f>IF($E1138="","",IF($C1138=12,INDEX(Input!$C$15:$CP$15,1,$B1138),0))</f>
        <v/>
      </c>
      <c r="V1138" s="150" t="str">
        <f>IF(E1138="","",IF(C1138=1,IF($B1138=1,Input!$C$33,Input!$C$34),0))</f>
        <v/>
      </c>
      <c r="W1138" s="156" t="str">
        <f>IF($E1138="","",Input!$C$35)</f>
        <v/>
      </c>
      <c r="X1138" s="156" t="str">
        <f t="shared" si="715"/>
        <v/>
      </c>
      <c r="Y1138" s="154"/>
      <c r="Z1138" s="147" t="str">
        <f>IF($E1138="","",VLOOKUP($D1138,'Mortality Margins &amp; Grading'!$AB$5:$AF$125,3,0)*IF(Summary!$D$25="Included Margin",IF(AND($B1138&gt;Input!$C$9,Summary!$D$31&lt;&gt;"Included Margin"),0,1),0))</f>
        <v/>
      </c>
      <c r="AA1138" s="147" t="str">
        <f>IF($E1138="","",VLOOKUP($D1138,'Mortality Margins &amp; Grading'!$AB$5:$AF$125,5,0)*IF(Summary!$D$25="Included Margin",IF(AND($B1138&gt;Input!$C$9,Summary!$D$31&lt;&gt;"Included Margin"),0,1),0))</f>
        <v/>
      </c>
      <c r="AB1138" s="147" t="str">
        <f>IF($E1138="","",IF(AND($B1138&gt;Input!$C$9,Summary!$D$31&lt;&gt;"Included Margin"),1,IF(Summary!$D$25="Included Margin",VLOOKUP($B1138,'Mortality Margins &amp; Grading'!$AI$5:$AR$125,MATCH('Mortality Margins &amp; Grading'!$AQ$4,'Mortality Margins &amp; Grading'!$AI$4:$AR$4,0),0),1)))</f>
        <v/>
      </c>
      <c r="AC1138" s="154"/>
      <c r="AD1138" s="158" t="str">
        <f>IF(E1138="","",Input!$C$48*IF(Summary!$D$30="Included Margin",IF(AND($B1138&gt;Input!$C$9,Summary!$D$31&lt;&gt;"Included Margin"),0,1),0))</f>
        <v/>
      </c>
      <c r="AE1138" s="159" t="str">
        <f>IF(E1138="","",IF(Summary!$D$26="Included Margin",IF(AND($B1138&gt;Input!$C$9,Summary!$D$31&lt;&gt;"Included Margin"),1,1/$R1138),1))</f>
        <v/>
      </c>
      <c r="AF1138" s="160" t="str">
        <f>IF(E1138="","",IF(AND($B1138&gt;=Input!$C$9,$C1138=12,Summary!$D$31="Included Margin",$U1138&gt;0),1/U1138-1,IF($B1138&gt;=Input!$C$9,0,Input!$C$45*IF(Summary!$D$27="Included Margin",1,0))))</f>
        <v/>
      </c>
      <c r="AG1138" s="160" t="str">
        <f>IF(E1138="","",Input!$C$46*IF(Summary!$D$28="Included Margin",IF(AND($B1138&gt;Input!$C$9,Summary!$D$31&lt;&gt;"Included Margin"),0,1),0))</f>
        <v/>
      </c>
      <c r="AH1138" s="158" t="str">
        <f>IF(E1138="","",Input!$C$47*IF(Summary!$D$29="Included Margin",IF(AND($B1138&gt;Input!$C$9,Summary!$D$31&lt;&gt;"Included Margin"),0,1),0))</f>
        <v/>
      </c>
      <c r="AI1138" s="154"/>
      <c r="AJ1138" s="158" t="str">
        <f t="shared" si="731"/>
        <v/>
      </c>
      <c r="AK1138" s="155" t="str">
        <f t="shared" si="732"/>
        <v/>
      </c>
      <c r="AL1138" s="147" t="str">
        <f t="shared" si="733"/>
        <v/>
      </c>
      <c r="AM1138" s="147" t="str">
        <f t="shared" si="718"/>
        <v/>
      </c>
      <c r="AN1138" s="160" t="str">
        <f t="shared" si="734"/>
        <v/>
      </c>
      <c r="AO1138" s="161" t="str">
        <f t="shared" si="735"/>
        <v/>
      </c>
      <c r="AP1138" s="156" t="str">
        <f t="shared" si="719"/>
        <v/>
      </c>
      <c r="AQ1138" s="152"/>
      <c r="AR1138" s="162" t="str">
        <f t="shared" si="720"/>
        <v/>
      </c>
      <c r="AS1138" s="150" t="str">
        <f t="shared" si="736"/>
        <v/>
      </c>
      <c r="AT1138" s="163" t="str">
        <f t="shared" si="721"/>
        <v/>
      </c>
      <c r="AU1138" s="163" t="str">
        <f t="shared" si="722"/>
        <v/>
      </c>
      <c r="AV1138" s="163" t="str">
        <f t="shared" si="737"/>
        <v/>
      </c>
      <c r="AW1138" s="163" t="str">
        <f t="shared" si="723"/>
        <v/>
      </c>
      <c r="AX1138" s="163" t="str">
        <f t="shared" si="724"/>
        <v/>
      </c>
      <c r="AY1138" s="165" t="str">
        <f t="shared" si="738"/>
        <v/>
      </c>
      <c r="AZ1138" s="164" t="str">
        <f>IF($E1138="","",IF(OR(AND($D1138=Input!$C$6,$C1138=12),$AN1138=1),0,-AS1139+AT1139+AU1139-AV1139-AW1139-AX1139+AZ1139))</f>
        <v/>
      </c>
      <c r="BA1138" s="154" t="str">
        <f t="shared" si="725"/>
        <v/>
      </c>
      <c r="BC1138" s="147" t="str">
        <f t="shared" si="739"/>
        <v/>
      </c>
      <c r="BD1138" s="164" t="str">
        <f>IF(AND($C1137=12,$D1137=Input!$C$6),0,IF($E1138="","",AT1138+(AU1138+BD1139)/(1+$AK1138)*MIN((1-AM1138-AN1138),1)))</f>
        <v/>
      </c>
      <c r="BE1138" s="164" t="str">
        <f t="shared" si="754"/>
        <v/>
      </c>
      <c r="BF1138" s="164" t="str">
        <f t="shared" si="740"/>
        <v/>
      </c>
      <c r="BG1138" s="164" t="str">
        <f t="shared" si="726"/>
        <v/>
      </c>
      <c r="BH1138" s="152"/>
      <c r="BI1138" s="162" t="str">
        <f t="shared" si="748"/>
        <v/>
      </c>
      <c r="BJ1138" s="150" t="str">
        <f t="shared" si="749"/>
        <v/>
      </c>
      <c r="BK1138" s="163" t="str">
        <f t="shared" si="745"/>
        <v/>
      </c>
      <c r="BL1138" s="163" t="str">
        <f t="shared" si="750"/>
        <v/>
      </c>
      <c r="BM1138" s="163" t="str">
        <f t="shared" si="746"/>
        <v/>
      </c>
      <c r="BN1138" s="163" t="str">
        <f t="shared" si="751"/>
        <v/>
      </c>
      <c r="BO1138" s="163" t="str">
        <f t="shared" si="752"/>
        <v/>
      </c>
      <c r="BP1138" s="164" t="str">
        <f t="shared" si="747"/>
        <v/>
      </c>
      <c r="BQ1138" s="164" t="str">
        <f t="shared" si="741"/>
        <v/>
      </c>
      <c r="BR1138" s="154" t="str">
        <f t="shared" si="753"/>
        <v/>
      </c>
      <c r="BT1138" s="147" t="str">
        <f t="shared" si="727"/>
        <v/>
      </c>
      <c r="BU1138" s="164" t="str">
        <f>IF(AND($C1137=12,$D1137=Input!$C$6),0,IF($E1138="","",BK1138+(BL1138+BU1139)/(1+$AK1138)*MIN((1-T1138-U1138),1)))</f>
        <v/>
      </c>
      <c r="BV1138" s="164" t="str">
        <f t="shared" si="728"/>
        <v/>
      </c>
      <c r="BW1138" s="164" t="str">
        <f t="shared" si="729"/>
        <v/>
      </c>
      <c r="BX1138" s="164" t="str">
        <f t="shared" si="730"/>
        <v/>
      </c>
    </row>
    <row r="1139" spans="1:76" s="150" customFormat="1" x14ac:dyDescent="0.25">
      <c r="A1139" s="150" t="str">
        <f t="shared" si="742"/>
        <v/>
      </c>
      <c r="B1139" s="150" t="str">
        <f t="shared" si="743"/>
        <v/>
      </c>
      <c r="C1139" s="150" t="str">
        <f t="shared" si="744"/>
        <v/>
      </c>
      <c r="D1139" s="150" t="str">
        <f>IF(E1139="","",Input!$C$4+B1139-1)</f>
        <v/>
      </c>
      <c r="E1139" s="150" t="str">
        <f>IF(OR(AND(C1138=12,D1138=Input!$C$6),E1138=""),"",1)</f>
        <v/>
      </c>
      <c r="F1139" s="150" t="str">
        <f>IF(E1139="","",Input!$C$8+B1139-1)</f>
        <v/>
      </c>
      <c r="G1139" s="151" t="str">
        <f>IF(E1139="","",MAX(0,Input!$C$9-B1139))</f>
        <v/>
      </c>
      <c r="H1139" s="152" t="str">
        <f>IF(E1139="","",Input!$C$3)</f>
        <v/>
      </c>
      <c r="I1139" s="153" t="str">
        <f>IF(E1139="","",HLOOKUP($B1139,Input!$C$13:$BT$14,2))</f>
        <v/>
      </c>
      <c r="J1139" s="154"/>
      <c r="K1139" s="155" t="str">
        <f>IF($E1139="","",INDEX(Input!$C$16:$CP$16,1,$B1139))</f>
        <v/>
      </c>
      <c r="L1139" s="155" t="str">
        <f>IF($E1139="","",Input!$C$37)</f>
        <v/>
      </c>
      <c r="M1139" s="155" t="str">
        <f t="shared" si="713"/>
        <v/>
      </c>
      <c r="N1139" s="155" t="str">
        <f t="shared" si="714"/>
        <v/>
      </c>
      <c r="O1139" s="147" t="str">
        <f>IF($E1139="","",MIN(VLOOKUP(IF($B1139&lt;=Input!$C$7,$B1139,26),'Mortality Tables'!$A$41:$CW$67,IF($B1139&lt;=Input!$C$7+1,Input!$C$4+2,$D1139-Input!$C$7+2),0)*IF(B1139&gt;20,Input!$C$22,1)/1000,1))</f>
        <v/>
      </c>
      <c r="P1139" s="147" t="str">
        <f>IF($E1139="","",MIN(VLOOKUP(IF($B1139&lt;=Input!$C$7,$B1139,26),'Mortality Tables'!$A$12:$CW$37,IF($B1139&lt;=Input!$C$7+1,Input!$C$4+2,$D1139-Input!$C$7+2),0)*IF(B1139&gt;20,Input!$C$22,1)/1000,1))</f>
        <v/>
      </c>
      <c r="Q1139" s="155" t="str">
        <f>IF($E1139="","",Input!$C$21)</f>
        <v/>
      </c>
      <c r="R1139" s="159" t="str">
        <f>IF($E1139="","",(1-Q1139)^($F1139-Input!$C$20))</f>
        <v/>
      </c>
      <c r="S1139" s="147" t="str">
        <f t="shared" si="716"/>
        <v/>
      </c>
      <c r="T1139" s="147" t="str">
        <f t="shared" si="717"/>
        <v/>
      </c>
      <c r="U1139" s="160" t="str">
        <f>IF($E1139="","",IF($C1139=12,INDEX(Input!$C$15:$CP$15,1,$B1139),0))</f>
        <v/>
      </c>
      <c r="V1139" s="150" t="str">
        <f>IF(E1139="","",IF(C1139=1,IF($B1139=1,Input!$C$33,Input!$C$34),0))</f>
        <v/>
      </c>
      <c r="W1139" s="156" t="str">
        <f>IF($E1139="","",Input!$C$35)</f>
        <v/>
      </c>
      <c r="X1139" s="156" t="str">
        <f t="shared" si="715"/>
        <v/>
      </c>
      <c r="Y1139" s="154"/>
      <c r="Z1139" s="147" t="str">
        <f>IF($E1139="","",VLOOKUP($D1139,'Mortality Margins &amp; Grading'!$AB$5:$AF$125,3,0)*IF(Summary!$D$25="Included Margin",IF(AND($B1139&gt;Input!$C$9,Summary!$D$31&lt;&gt;"Included Margin"),0,1),0))</f>
        <v/>
      </c>
      <c r="AA1139" s="147" t="str">
        <f>IF($E1139="","",VLOOKUP($D1139,'Mortality Margins &amp; Grading'!$AB$5:$AF$125,5,0)*IF(Summary!$D$25="Included Margin",IF(AND($B1139&gt;Input!$C$9,Summary!$D$31&lt;&gt;"Included Margin"),0,1),0))</f>
        <v/>
      </c>
      <c r="AB1139" s="147" t="str">
        <f>IF($E1139="","",IF(AND($B1139&gt;Input!$C$9,Summary!$D$31&lt;&gt;"Included Margin"),1,IF(Summary!$D$25="Included Margin",VLOOKUP($B1139,'Mortality Margins &amp; Grading'!$AI$5:$AR$125,MATCH('Mortality Margins &amp; Grading'!$AQ$4,'Mortality Margins &amp; Grading'!$AI$4:$AR$4,0),0),1)))</f>
        <v/>
      </c>
      <c r="AC1139" s="154"/>
      <c r="AD1139" s="158" t="str">
        <f>IF(E1139="","",Input!$C$48*IF(Summary!$D$30="Included Margin",IF(AND($B1139&gt;Input!$C$9,Summary!$D$31&lt;&gt;"Included Margin"),0,1),0))</f>
        <v/>
      </c>
      <c r="AE1139" s="159" t="str">
        <f>IF(E1139="","",IF(Summary!$D$26="Included Margin",IF(AND($B1139&gt;Input!$C$9,Summary!$D$31&lt;&gt;"Included Margin"),1,1/$R1139),1))</f>
        <v/>
      </c>
      <c r="AF1139" s="160" t="str">
        <f>IF(E1139="","",IF(AND($B1139&gt;=Input!$C$9,$C1139=12,Summary!$D$31="Included Margin",$U1139&gt;0),1/U1139-1,IF($B1139&gt;=Input!$C$9,0,Input!$C$45*IF(Summary!$D$27="Included Margin",1,0))))</f>
        <v/>
      </c>
      <c r="AG1139" s="160" t="str">
        <f>IF(E1139="","",Input!$C$46*IF(Summary!$D$28="Included Margin",IF(AND($B1139&gt;Input!$C$9,Summary!$D$31&lt;&gt;"Included Margin"),0,1),0))</f>
        <v/>
      </c>
      <c r="AH1139" s="158" t="str">
        <f>IF(E1139="","",Input!$C$47*IF(Summary!$D$29="Included Margin",IF(AND($B1139&gt;Input!$C$9,Summary!$D$31&lt;&gt;"Included Margin"),0,1),0))</f>
        <v/>
      </c>
      <c r="AI1139" s="154"/>
      <c r="AJ1139" s="158" t="str">
        <f t="shared" si="731"/>
        <v/>
      </c>
      <c r="AK1139" s="155" t="str">
        <f t="shared" si="732"/>
        <v/>
      </c>
      <c r="AL1139" s="147" t="str">
        <f t="shared" si="733"/>
        <v/>
      </c>
      <c r="AM1139" s="147" t="str">
        <f t="shared" si="718"/>
        <v/>
      </c>
      <c r="AN1139" s="160" t="str">
        <f t="shared" si="734"/>
        <v/>
      </c>
      <c r="AO1139" s="161" t="str">
        <f t="shared" si="735"/>
        <v/>
      </c>
      <c r="AP1139" s="156" t="str">
        <f t="shared" si="719"/>
        <v/>
      </c>
      <c r="AQ1139" s="152"/>
      <c r="AR1139" s="162" t="str">
        <f t="shared" si="720"/>
        <v/>
      </c>
      <c r="AS1139" s="150" t="str">
        <f t="shared" si="736"/>
        <v/>
      </c>
      <c r="AT1139" s="163" t="str">
        <f t="shared" si="721"/>
        <v/>
      </c>
      <c r="AU1139" s="163" t="str">
        <f t="shared" si="722"/>
        <v/>
      </c>
      <c r="AV1139" s="163" t="str">
        <f t="shared" si="737"/>
        <v/>
      </c>
      <c r="AW1139" s="163" t="str">
        <f t="shared" si="723"/>
        <v/>
      </c>
      <c r="AX1139" s="163" t="str">
        <f t="shared" si="724"/>
        <v/>
      </c>
      <c r="AY1139" s="164" t="str">
        <f t="shared" si="738"/>
        <v/>
      </c>
      <c r="AZ1139" s="164" t="str">
        <f>IF($E1139="","",IF(OR(AND($D1139=Input!$C$6,$C1139=12),$AN1139=1),0,-AS1140+AT1140+AU1140-AV1140-AW1140-AX1140+AZ1140))</f>
        <v/>
      </c>
      <c r="BA1139" s="154" t="str">
        <f t="shared" si="725"/>
        <v/>
      </c>
      <c r="BC1139" s="147" t="str">
        <f t="shared" si="739"/>
        <v/>
      </c>
      <c r="BD1139" s="164" t="str">
        <f>IF(AND($C1138=12,$D1138=Input!$C$6),0,IF($E1139="","",AT1139+(AU1139+BD1140)/(1+$AK1139)*MIN((1-AM1139-AN1139),1)))</f>
        <v/>
      </c>
      <c r="BE1139" s="164" t="str">
        <f t="shared" si="754"/>
        <v/>
      </c>
      <c r="BF1139" s="164" t="str">
        <f t="shared" si="740"/>
        <v/>
      </c>
      <c r="BG1139" s="164" t="str">
        <f t="shared" si="726"/>
        <v/>
      </c>
      <c r="BH1139" s="152"/>
      <c r="BI1139" s="162" t="str">
        <f t="shared" si="748"/>
        <v/>
      </c>
      <c r="BJ1139" s="150" t="str">
        <f t="shared" si="749"/>
        <v/>
      </c>
      <c r="BK1139" s="163" t="str">
        <f t="shared" si="745"/>
        <v/>
      </c>
      <c r="BL1139" s="163" t="str">
        <f t="shared" si="750"/>
        <v/>
      </c>
      <c r="BM1139" s="163" t="str">
        <f t="shared" si="746"/>
        <v/>
      </c>
      <c r="BN1139" s="163" t="str">
        <f t="shared" si="751"/>
        <v/>
      </c>
      <c r="BO1139" s="163" t="str">
        <f t="shared" si="752"/>
        <v/>
      </c>
      <c r="BP1139" s="164" t="str">
        <f t="shared" si="747"/>
        <v/>
      </c>
      <c r="BQ1139" s="164" t="str">
        <f t="shared" si="741"/>
        <v/>
      </c>
      <c r="BR1139" s="154" t="str">
        <f t="shared" si="753"/>
        <v/>
      </c>
      <c r="BT1139" s="147" t="str">
        <f t="shared" si="727"/>
        <v/>
      </c>
      <c r="BU1139" s="164" t="str">
        <f>IF(AND($C1138=12,$D1138=Input!$C$6),0,IF($E1139="","",BK1139+(BL1139+BU1140)/(1+$AK1139)*MIN((1-T1139-U1139),1)))</f>
        <v/>
      </c>
      <c r="BV1139" s="164" t="str">
        <f t="shared" si="728"/>
        <v/>
      </c>
      <c r="BW1139" s="164" t="str">
        <f t="shared" si="729"/>
        <v/>
      </c>
      <c r="BX1139" s="164" t="str">
        <f t="shared" si="730"/>
        <v/>
      </c>
    </row>
    <row r="1140" spans="1:76" s="150" customFormat="1" x14ac:dyDescent="0.25">
      <c r="A1140" s="150" t="str">
        <f t="shared" si="742"/>
        <v/>
      </c>
      <c r="B1140" s="150" t="str">
        <f t="shared" si="743"/>
        <v/>
      </c>
      <c r="C1140" s="150" t="str">
        <f t="shared" si="744"/>
        <v/>
      </c>
      <c r="D1140" s="150" t="str">
        <f>IF(E1140="","",Input!$C$4+B1140-1)</f>
        <v/>
      </c>
      <c r="E1140" s="150" t="str">
        <f>IF(OR(AND(C1139=12,D1139=Input!$C$6),E1139=""),"",1)</f>
        <v/>
      </c>
      <c r="F1140" s="150" t="str">
        <f>IF(E1140="","",Input!$C$8+B1140-1)</f>
        <v/>
      </c>
      <c r="G1140" s="151" t="str">
        <f>IF(E1140="","",MAX(0,Input!$C$9-B1140))</f>
        <v/>
      </c>
      <c r="H1140" s="152" t="str">
        <f>IF(E1140="","",Input!$C$3)</f>
        <v/>
      </c>
      <c r="I1140" s="153" t="str">
        <f>IF(E1140="","",HLOOKUP($B1140,Input!$C$13:$BT$14,2))</f>
        <v/>
      </c>
      <c r="J1140" s="154"/>
      <c r="K1140" s="155" t="str">
        <f>IF($E1140="","",INDEX(Input!$C$16:$CP$16,1,$B1140))</f>
        <v/>
      </c>
      <c r="L1140" s="155" t="str">
        <f>IF($E1140="","",Input!$C$37)</f>
        <v/>
      </c>
      <c r="M1140" s="155" t="str">
        <f t="shared" si="713"/>
        <v/>
      </c>
      <c r="N1140" s="155" t="str">
        <f t="shared" si="714"/>
        <v/>
      </c>
      <c r="O1140" s="147" t="str">
        <f>IF($E1140="","",MIN(VLOOKUP(IF($B1140&lt;=Input!$C$7,$B1140,26),'Mortality Tables'!$A$41:$CW$67,IF($B1140&lt;=Input!$C$7+1,Input!$C$4+2,$D1140-Input!$C$7+2),0)*IF(B1140&gt;20,Input!$C$22,1)/1000,1))</f>
        <v/>
      </c>
      <c r="P1140" s="147" t="str">
        <f>IF($E1140="","",MIN(VLOOKUP(IF($B1140&lt;=Input!$C$7,$B1140,26),'Mortality Tables'!$A$12:$CW$37,IF($B1140&lt;=Input!$C$7+1,Input!$C$4+2,$D1140-Input!$C$7+2),0)*IF(B1140&gt;20,Input!$C$22,1)/1000,1))</f>
        <v/>
      </c>
      <c r="Q1140" s="155" t="str">
        <f>IF($E1140="","",Input!$C$21)</f>
        <v/>
      </c>
      <c r="R1140" s="159" t="str">
        <f>IF($E1140="","",(1-Q1140)^($F1140-Input!$C$20))</f>
        <v/>
      </c>
      <c r="S1140" s="147" t="str">
        <f t="shared" si="716"/>
        <v/>
      </c>
      <c r="T1140" s="147" t="str">
        <f t="shared" si="717"/>
        <v/>
      </c>
      <c r="U1140" s="160" t="str">
        <f>IF($E1140="","",IF($C1140=12,INDEX(Input!$C$15:$CP$15,1,$B1140),0))</f>
        <v/>
      </c>
      <c r="V1140" s="150" t="str">
        <f>IF(E1140="","",IF(C1140=1,IF($B1140=1,Input!$C$33,Input!$C$34),0))</f>
        <v/>
      </c>
      <c r="W1140" s="156" t="str">
        <f>IF($E1140="","",Input!$C$35)</f>
        <v/>
      </c>
      <c r="X1140" s="156" t="str">
        <f t="shared" si="715"/>
        <v/>
      </c>
      <c r="Y1140" s="154"/>
      <c r="Z1140" s="147" t="str">
        <f>IF($E1140="","",VLOOKUP($D1140,'Mortality Margins &amp; Grading'!$AB$5:$AF$125,3,0)*IF(Summary!$D$25="Included Margin",IF(AND($B1140&gt;Input!$C$9,Summary!$D$31&lt;&gt;"Included Margin"),0,1),0))</f>
        <v/>
      </c>
      <c r="AA1140" s="147" t="str">
        <f>IF($E1140="","",VLOOKUP($D1140,'Mortality Margins &amp; Grading'!$AB$5:$AF$125,5,0)*IF(Summary!$D$25="Included Margin",IF(AND($B1140&gt;Input!$C$9,Summary!$D$31&lt;&gt;"Included Margin"),0,1),0))</f>
        <v/>
      </c>
      <c r="AB1140" s="147" t="str">
        <f>IF($E1140="","",IF(AND($B1140&gt;Input!$C$9,Summary!$D$31&lt;&gt;"Included Margin"),1,IF(Summary!$D$25="Included Margin",VLOOKUP($B1140,'Mortality Margins &amp; Grading'!$AI$5:$AR$125,MATCH('Mortality Margins &amp; Grading'!$AQ$4,'Mortality Margins &amp; Grading'!$AI$4:$AR$4,0),0),1)))</f>
        <v/>
      </c>
      <c r="AC1140" s="154"/>
      <c r="AD1140" s="158" t="str">
        <f>IF(E1140="","",Input!$C$48*IF(Summary!$D$30="Included Margin",IF(AND($B1140&gt;Input!$C$9,Summary!$D$31&lt;&gt;"Included Margin"),0,1),0))</f>
        <v/>
      </c>
      <c r="AE1140" s="159" t="str">
        <f>IF(E1140="","",IF(Summary!$D$26="Included Margin",IF(AND($B1140&gt;Input!$C$9,Summary!$D$31&lt;&gt;"Included Margin"),1,1/$R1140),1))</f>
        <v/>
      </c>
      <c r="AF1140" s="160" t="str">
        <f>IF(E1140="","",IF(AND($B1140&gt;=Input!$C$9,$C1140=12,Summary!$D$31="Included Margin",$U1140&gt;0),1/U1140-1,IF($B1140&gt;=Input!$C$9,0,Input!$C$45*IF(Summary!$D$27="Included Margin",1,0))))</f>
        <v/>
      </c>
      <c r="AG1140" s="160" t="str">
        <f>IF(E1140="","",Input!$C$46*IF(Summary!$D$28="Included Margin",IF(AND($B1140&gt;Input!$C$9,Summary!$D$31&lt;&gt;"Included Margin"),0,1),0))</f>
        <v/>
      </c>
      <c r="AH1140" s="158" t="str">
        <f>IF(E1140="","",Input!$C$47*IF(Summary!$D$29="Included Margin",IF(AND($B1140&gt;Input!$C$9,Summary!$D$31&lt;&gt;"Included Margin"),0,1),0))</f>
        <v/>
      </c>
      <c r="AI1140" s="154"/>
      <c r="AJ1140" s="158" t="str">
        <f t="shared" si="731"/>
        <v/>
      </c>
      <c r="AK1140" s="155" t="str">
        <f t="shared" si="732"/>
        <v/>
      </c>
      <c r="AL1140" s="147" t="str">
        <f t="shared" si="733"/>
        <v/>
      </c>
      <c r="AM1140" s="147" t="str">
        <f t="shared" si="718"/>
        <v/>
      </c>
      <c r="AN1140" s="160" t="str">
        <f t="shared" si="734"/>
        <v/>
      </c>
      <c r="AO1140" s="161" t="str">
        <f t="shared" si="735"/>
        <v/>
      </c>
      <c r="AP1140" s="156" t="str">
        <f t="shared" si="719"/>
        <v/>
      </c>
      <c r="AQ1140" s="152"/>
      <c r="AR1140" s="162" t="str">
        <f t="shared" si="720"/>
        <v/>
      </c>
      <c r="AS1140" s="150" t="str">
        <f t="shared" si="736"/>
        <v/>
      </c>
      <c r="AT1140" s="163" t="str">
        <f t="shared" si="721"/>
        <v/>
      </c>
      <c r="AU1140" s="163" t="str">
        <f t="shared" si="722"/>
        <v/>
      </c>
      <c r="AV1140" s="163" t="str">
        <f t="shared" si="737"/>
        <v/>
      </c>
      <c r="AW1140" s="163" t="str">
        <f t="shared" si="723"/>
        <v/>
      </c>
      <c r="AX1140" s="163" t="str">
        <f t="shared" si="724"/>
        <v/>
      </c>
      <c r="AY1140" s="165" t="str">
        <f t="shared" si="738"/>
        <v/>
      </c>
      <c r="AZ1140" s="164" t="str">
        <f>IF($E1140="","",IF(OR(AND($D1140=Input!$C$6,$C1140=12),$AN1140=1),0,-AS1141+AT1141+AU1141-AV1141-AW1141-AX1141+AZ1141))</f>
        <v/>
      </c>
      <c r="BA1140" s="154" t="str">
        <f t="shared" si="725"/>
        <v/>
      </c>
      <c r="BC1140" s="147" t="str">
        <f t="shared" si="739"/>
        <v/>
      </c>
      <c r="BD1140" s="164" t="str">
        <f>IF(AND($C1139=12,$D1139=Input!$C$6),0,IF($E1140="","",AT1140+(AU1140+BD1141)/(1+$AK1140)*MIN((1-AM1140-AN1140),1)))</f>
        <v/>
      </c>
      <c r="BE1140" s="164" t="str">
        <f t="shared" si="754"/>
        <v/>
      </c>
      <c r="BF1140" s="164" t="str">
        <f t="shared" si="740"/>
        <v/>
      </c>
      <c r="BG1140" s="164" t="str">
        <f t="shared" si="726"/>
        <v/>
      </c>
      <c r="BH1140" s="152"/>
      <c r="BI1140" s="162" t="str">
        <f t="shared" si="748"/>
        <v/>
      </c>
      <c r="BJ1140" s="150" t="str">
        <f t="shared" si="749"/>
        <v/>
      </c>
      <c r="BK1140" s="163" t="str">
        <f t="shared" si="745"/>
        <v/>
      </c>
      <c r="BL1140" s="163" t="str">
        <f t="shared" si="750"/>
        <v/>
      </c>
      <c r="BM1140" s="163" t="str">
        <f t="shared" si="746"/>
        <v/>
      </c>
      <c r="BN1140" s="163" t="str">
        <f t="shared" si="751"/>
        <v/>
      </c>
      <c r="BO1140" s="163" t="str">
        <f t="shared" si="752"/>
        <v/>
      </c>
      <c r="BP1140" s="164" t="str">
        <f t="shared" si="747"/>
        <v/>
      </c>
      <c r="BQ1140" s="164" t="str">
        <f t="shared" si="741"/>
        <v/>
      </c>
      <c r="BR1140" s="154" t="str">
        <f t="shared" si="753"/>
        <v/>
      </c>
      <c r="BT1140" s="147" t="str">
        <f t="shared" si="727"/>
        <v/>
      </c>
      <c r="BU1140" s="164" t="str">
        <f>IF(AND($C1139=12,$D1139=Input!$C$6),0,IF($E1140="","",BK1140+(BL1140+BU1141)/(1+$AK1140)*MIN((1-T1140-U1140),1)))</f>
        <v/>
      </c>
      <c r="BV1140" s="164" t="str">
        <f t="shared" si="728"/>
        <v/>
      </c>
      <c r="BW1140" s="164" t="str">
        <f t="shared" si="729"/>
        <v/>
      </c>
      <c r="BX1140" s="164" t="str">
        <f t="shared" si="730"/>
        <v/>
      </c>
    </row>
    <row r="1141" spans="1:76" s="150" customFormat="1" x14ac:dyDescent="0.25">
      <c r="A1141" s="150" t="str">
        <f t="shared" si="742"/>
        <v/>
      </c>
      <c r="B1141" s="150" t="str">
        <f t="shared" si="743"/>
        <v/>
      </c>
      <c r="C1141" s="150" t="str">
        <f t="shared" si="744"/>
        <v/>
      </c>
      <c r="D1141" s="150" t="str">
        <f>IF(E1141="","",Input!$C$4+B1141-1)</f>
        <v/>
      </c>
      <c r="E1141" s="150" t="str">
        <f>IF(OR(AND(C1140=12,D1140=Input!$C$6),E1140=""),"",1)</f>
        <v/>
      </c>
      <c r="F1141" s="150" t="str">
        <f>IF(E1141="","",Input!$C$8+B1141-1)</f>
        <v/>
      </c>
      <c r="G1141" s="151" t="str">
        <f>IF(E1141="","",MAX(0,Input!$C$9-B1141))</f>
        <v/>
      </c>
      <c r="H1141" s="152" t="str">
        <f>IF(E1141="","",Input!$C$3)</f>
        <v/>
      </c>
      <c r="I1141" s="153" t="str">
        <f>IF(E1141="","",HLOOKUP($B1141,Input!$C$13:$BT$14,2))</f>
        <v/>
      </c>
      <c r="J1141" s="154"/>
      <c r="K1141" s="155" t="str">
        <f>IF($E1141="","",INDEX(Input!$C$16:$CP$16,1,$B1141))</f>
        <v/>
      </c>
      <c r="L1141" s="155" t="str">
        <f>IF($E1141="","",Input!$C$37)</f>
        <v/>
      </c>
      <c r="M1141" s="155" t="str">
        <f t="shared" ref="M1141:M1152" si="755">IF($E1141="","",K1141+L1141)</f>
        <v/>
      </c>
      <c r="N1141" s="155" t="str">
        <f t="shared" ref="N1141:N1152" si="756">IF($E1141="","",(1+M1141)^(1/12)-1)</f>
        <v/>
      </c>
      <c r="O1141" s="147" t="str">
        <f>IF($E1141="","",MIN(VLOOKUP(IF($B1141&lt;=Input!$C$7,$B1141,26),'Mortality Tables'!$A$41:$CW$67,IF($B1141&lt;=Input!$C$7+1,Input!$C$4+2,$D1141-Input!$C$7+2),0)*IF(B1141&gt;20,Input!$C$22,1)/1000,1))</f>
        <v/>
      </c>
      <c r="P1141" s="147" t="str">
        <f>IF($E1141="","",MIN(VLOOKUP(IF($B1141&lt;=Input!$C$7,$B1141,26),'Mortality Tables'!$A$12:$CW$37,IF($B1141&lt;=Input!$C$7+1,Input!$C$4+2,$D1141-Input!$C$7+2),0)*IF(B1141&gt;20,Input!$C$22,1)/1000,1))</f>
        <v/>
      </c>
      <c r="Q1141" s="155" t="str">
        <f>IF($E1141="","",Input!$C$21)</f>
        <v/>
      </c>
      <c r="R1141" s="159" t="str">
        <f>IF($E1141="","",(1-Q1141)^($F1141-Input!$C$20))</f>
        <v/>
      </c>
      <c r="S1141" s="147" t="str">
        <f t="shared" si="716"/>
        <v/>
      </c>
      <c r="T1141" s="147" t="str">
        <f t="shared" si="717"/>
        <v/>
      </c>
      <c r="U1141" s="160" t="str">
        <f>IF($E1141="","",IF($C1141=12,INDEX(Input!$C$15:$CP$15,1,$B1141),0))</f>
        <v/>
      </c>
      <c r="V1141" s="150" t="str">
        <f>IF(E1141="","",IF(C1141=1,IF($B1141=1,Input!$C$33,Input!$C$34),0))</f>
        <v/>
      </c>
      <c r="W1141" s="156" t="str">
        <f>IF($E1141="","",Input!$C$35)</f>
        <v/>
      </c>
      <c r="X1141" s="156" t="str">
        <f t="shared" ref="X1141:X1152" si="757">IF($E1141="","",IF(B1141=1,1,IF(C1141=1,(1+W1141)*X1140,X1140)))</f>
        <v/>
      </c>
      <c r="Y1141" s="154"/>
      <c r="Z1141" s="147" t="str">
        <f>IF($E1141="","",VLOOKUP($D1141,'Mortality Margins &amp; Grading'!$AB$5:$AF$125,3,0)*IF(Summary!$D$25="Included Margin",IF(AND($B1141&gt;Input!$C$9,Summary!$D$31&lt;&gt;"Included Margin"),0,1),0))</f>
        <v/>
      </c>
      <c r="AA1141" s="147" t="str">
        <f>IF($E1141="","",VLOOKUP($D1141,'Mortality Margins &amp; Grading'!$AB$5:$AF$125,5,0)*IF(Summary!$D$25="Included Margin",IF(AND($B1141&gt;Input!$C$9,Summary!$D$31&lt;&gt;"Included Margin"),0,1),0))</f>
        <v/>
      </c>
      <c r="AB1141" s="147" t="str">
        <f>IF($E1141="","",IF(AND($B1141&gt;Input!$C$9,Summary!$D$31&lt;&gt;"Included Margin"),1,IF(Summary!$D$25="Included Margin",VLOOKUP($B1141,'Mortality Margins &amp; Grading'!$AI$5:$AR$125,MATCH('Mortality Margins &amp; Grading'!$AQ$4,'Mortality Margins &amp; Grading'!$AI$4:$AR$4,0),0),1)))</f>
        <v/>
      </c>
      <c r="AC1141" s="154"/>
      <c r="AD1141" s="158" t="str">
        <f>IF(E1141="","",Input!$C$48*IF(Summary!$D$30="Included Margin",IF(AND($B1141&gt;Input!$C$9,Summary!$D$31&lt;&gt;"Included Margin"),0,1),0))</f>
        <v/>
      </c>
      <c r="AE1141" s="159" t="str">
        <f>IF(E1141="","",IF(Summary!$D$26="Included Margin",IF(AND($B1141&gt;Input!$C$9,Summary!$D$31&lt;&gt;"Included Margin"),1,1/$R1141),1))</f>
        <v/>
      </c>
      <c r="AF1141" s="160" t="str">
        <f>IF(E1141="","",IF(AND($B1141&gt;=Input!$C$9,$C1141=12,Summary!$D$31="Included Margin",$U1141&gt;0),1/U1141-1,IF($B1141&gt;=Input!$C$9,0,Input!$C$45*IF(Summary!$D$27="Included Margin",1,0))))</f>
        <v/>
      </c>
      <c r="AG1141" s="160" t="str">
        <f>IF(E1141="","",Input!$C$46*IF(Summary!$D$28="Included Margin",IF(AND($B1141&gt;Input!$C$9,Summary!$D$31&lt;&gt;"Included Margin"),0,1),0))</f>
        <v/>
      </c>
      <c r="AH1141" s="158" t="str">
        <f>IF(E1141="","",Input!$C$47*IF(Summary!$D$29="Included Margin",IF(AND($B1141&gt;Input!$C$9,Summary!$D$31&lt;&gt;"Included Margin"),0,1),0))</f>
        <v/>
      </c>
      <c r="AI1141" s="154"/>
      <c r="AJ1141" s="158" t="str">
        <f t="shared" si="731"/>
        <v/>
      </c>
      <c r="AK1141" s="155" t="str">
        <f t="shared" si="732"/>
        <v/>
      </c>
      <c r="AL1141" s="147" t="str">
        <f t="shared" si="733"/>
        <v/>
      </c>
      <c r="AM1141" s="147" t="str">
        <f t="shared" si="718"/>
        <v/>
      </c>
      <c r="AN1141" s="160" t="str">
        <f t="shared" si="734"/>
        <v/>
      </c>
      <c r="AO1141" s="161" t="str">
        <f t="shared" si="735"/>
        <v/>
      </c>
      <c r="AP1141" s="156" t="str">
        <f t="shared" si="719"/>
        <v/>
      </c>
      <c r="AQ1141" s="152"/>
      <c r="AR1141" s="162" t="str">
        <f t="shared" si="720"/>
        <v/>
      </c>
      <c r="AS1141" s="150" t="str">
        <f t="shared" si="736"/>
        <v/>
      </c>
      <c r="AT1141" s="163" t="str">
        <f t="shared" si="721"/>
        <v/>
      </c>
      <c r="AU1141" s="163" t="str">
        <f t="shared" si="722"/>
        <v/>
      </c>
      <c r="AV1141" s="163" t="str">
        <f t="shared" si="737"/>
        <v/>
      </c>
      <c r="AW1141" s="163" t="str">
        <f t="shared" si="723"/>
        <v/>
      </c>
      <c r="AX1141" s="163" t="str">
        <f t="shared" si="724"/>
        <v/>
      </c>
      <c r="AY1141" s="164" t="str">
        <f t="shared" si="738"/>
        <v/>
      </c>
      <c r="AZ1141" s="164" t="str">
        <f>IF($E1141="","",IF(OR(AND($D1141=Input!$C$6,$C1141=12),$AN1141=1),0,-AS1142+AT1142+AU1142-AV1142-AW1142-AX1142+AZ1142))</f>
        <v/>
      </c>
      <c r="BA1141" s="154" t="str">
        <f t="shared" si="725"/>
        <v/>
      </c>
      <c r="BC1141" s="147" t="str">
        <f t="shared" si="739"/>
        <v/>
      </c>
      <c r="BD1141" s="164" t="str">
        <f>IF(AND($C1140=12,$D1140=Input!$C$6),0,IF($E1141="","",AT1141+(AU1141+BD1142)/(1+$AK1141)*MIN((1-AM1141-AN1141),1)))</f>
        <v/>
      </c>
      <c r="BE1141" s="164" t="str">
        <f t="shared" si="754"/>
        <v/>
      </c>
      <c r="BF1141" s="164" t="str">
        <f t="shared" si="740"/>
        <v/>
      </c>
      <c r="BG1141" s="164" t="str">
        <f t="shared" si="726"/>
        <v/>
      </c>
      <c r="BH1141" s="152"/>
      <c r="BI1141" s="162" t="str">
        <f t="shared" si="748"/>
        <v/>
      </c>
      <c r="BJ1141" s="150" t="str">
        <f t="shared" si="749"/>
        <v/>
      </c>
      <c r="BK1141" s="163" t="str">
        <f t="shared" si="745"/>
        <v/>
      </c>
      <c r="BL1141" s="163" t="str">
        <f t="shared" si="750"/>
        <v/>
      </c>
      <c r="BM1141" s="163" t="str">
        <f t="shared" si="746"/>
        <v/>
      </c>
      <c r="BN1141" s="163" t="str">
        <f t="shared" si="751"/>
        <v/>
      </c>
      <c r="BO1141" s="163" t="str">
        <f t="shared" si="752"/>
        <v/>
      </c>
      <c r="BP1141" s="164" t="str">
        <f t="shared" si="747"/>
        <v/>
      </c>
      <c r="BQ1141" s="164" t="str">
        <f t="shared" si="741"/>
        <v/>
      </c>
      <c r="BR1141" s="154" t="str">
        <f t="shared" si="753"/>
        <v/>
      </c>
      <c r="BT1141" s="147" t="str">
        <f t="shared" si="727"/>
        <v/>
      </c>
      <c r="BU1141" s="164" t="str">
        <f>IF(AND($C1140=12,$D1140=Input!$C$6),0,IF($E1141="","",BK1141+(BL1141+BU1142)/(1+$AK1141)*MIN((1-T1141-U1141),1)))</f>
        <v/>
      </c>
      <c r="BV1141" s="164" t="str">
        <f t="shared" si="728"/>
        <v/>
      </c>
      <c r="BW1141" s="164" t="str">
        <f t="shared" si="729"/>
        <v/>
      </c>
      <c r="BX1141" s="164" t="str">
        <f t="shared" si="730"/>
        <v/>
      </c>
    </row>
    <row r="1142" spans="1:76" s="150" customFormat="1" x14ac:dyDescent="0.25">
      <c r="A1142" s="150" t="str">
        <f t="shared" si="742"/>
        <v/>
      </c>
      <c r="B1142" s="150" t="str">
        <f t="shared" si="743"/>
        <v/>
      </c>
      <c r="C1142" s="150" t="str">
        <f t="shared" si="744"/>
        <v/>
      </c>
      <c r="D1142" s="150" t="str">
        <f>IF(E1142="","",Input!$C$4+B1142-1)</f>
        <v/>
      </c>
      <c r="E1142" s="150" t="str">
        <f>IF(OR(AND(C1141=12,D1141=Input!$C$6),E1141=""),"",1)</f>
        <v/>
      </c>
      <c r="F1142" s="150" t="str">
        <f>IF(E1142="","",Input!$C$8+B1142-1)</f>
        <v/>
      </c>
      <c r="G1142" s="151" t="str">
        <f>IF(E1142="","",MAX(0,Input!$C$9-B1142))</f>
        <v/>
      </c>
      <c r="H1142" s="152" t="str">
        <f>IF(E1142="","",Input!$C$3)</f>
        <v/>
      </c>
      <c r="I1142" s="153" t="str">
        <f>IF(E1142="","",HLOOKUP($B1142,Input!$C$13:$BT$14,2))</f>
        <v/>
      </c>
      <c r="J1142" s="154"/>
      <c r="K1142" s="155" t="str">
        <f>IF($E1142="","",INDEX(Input!$C$16:$CP$16,1,$B1142))</f>
        <v/>
      </c>
      <c r="L1142" s="155" t="str">
        <f>IF($E1142="","",Input!$C$37)</f>
        <v/>
      </c>
      <c r="M1142" s="155" t="str">
        <f t="shared" si="755"/>
        <v/>
      </c>
      <c r="N1142" s="155" t="str">
        <f t="shared" si="756"/>
        <v/>
      </c>
      <c r="O1142" s="147" t="str">
        <f>IF($E1142="","",MIN(VLOOKUP(IF($B1142&lt;=Input!$C$7,$B1142,26),'Mortality Tables'!$A$41:$CW$67,IF($B1142&lt;=Input!$C$7+1,Input!$C$4+2,$D1142-Input!$C$7+2),0)*IF(B1142&gt;20,Input!$C$22,1)/1000,1))</f>
        <v/>
      </c>
      <c r="P1142" s="147" t="str">
        <f>IF($E1142="","",MIN(VLOOKUP(IF($B1142&lt;=Input!$C$7,$B1142,26),'Mortality Tables'!$A$12:$CW$37,IF($B1142&lt;=Input!$C$7+1,Input!$C$4+2,$D1142-Input!$C$7+2),0)*IF(B1142&gt;20,Input!$C$22,1)/1000,1))</f>
        <v/>
      </c>
      <c r="Q1142" s="155" t="str">
        <f>IF($E1142="","",Input!$C$21)</f>
        <v/>
      </c>
      <c r="R1142" s="159" t="str">
        <f>IF($E1142="","",(1-Q1142)^($F1142-Input!$C$20))</f>
        <v/>
      </c>
      <c r="S1142" s="147" t="str">
        <f t="shared" si="716"/>
        <v/>
      </c>
      <c r="T1142" s="147" t="str">
        <f t="shared" si="717"/>
        <v/>
      </c>
      <c r="U1142" s="160" t="str">
        <f>IF($E1142="","",IF($C1142=12,INDEX(Input!$C$15:$CP$15,1,$B1142),0))</f>
        <v/>
      </c>
      <c r="V1142" s="150" t="str">
        <f>IF(E1142="","",IF(C1142=1,IF($B1142=1,Input!$C$33,Input!$C$34),0))</f>
        <v/>
      </c>
      <c r="W1142" s="156" t="str">
        <f>IF($E1142="","",Input!$C$35)</f>
        <v/>
      </c>
      <c r="X1142" s="156" t="str">
        <f t="shared" si="757"/>
        <v/>
      </c>
      <c r="Y1142" s="154"/>
      <c r="Z1142" s="147" t="str">
        <f>IF($E1142="","",VLOOKUP($D1142,'Mortality Margins &amp; Grading'!$AB$5:$AF$125,3,0)*IF(Summary!$D$25="Included Margin",IF(AND($B1142&gt;Input!$C$9,Summary!$D$31&lt;&gt;"Included Margin"),0,1),0))</f>
        <v/>
      </c>
      <c r="AA1142" s="147" t="str">
        <f>IF($E1142="","",VLOOKUP($D1142,'Mortality Margins &amp; Grading'!$AB$5:$AF$125,5,0)*IF(Summary!$D$25="Included Margin",IF(AND($B1142&gt;Input!$C$9,Summary!$D$31&lt;&gt;"Included Margin"),0,1),0))</f>
        <v/>
      </c>
      <c r="AB1142" s="147" t="str">
        <f>IF($E1142="","",IF(AND($B1142&gt;Input!$C$9,Summary!$D$31&lt;&gt;"Included Margin"),1,IF(Summary!$D$25="Included Margin",VLOOKUP($B1142,'Mortality Margins &amp; Grading'!$AI$5:$AR$125,MATCH('Mortality Margins &amp; Grading'!$AQ$4,'Mortality Margins &amp; Grading'!$AI$4:$AR$4,0),0),1)))</f>
        <v/>
      </c>
      <c r="AC1142" s="154"/>
      <c r="AD1142" s="158" t="str">
        <f>IF(E1142="","",Input!$C$48*IF(Summary!$D$30="Included Margin",IF(AND($B1142&gt;Input!$C$9,Summary!$D$31&lt;&gt;"Included Margin"),0,1),0))</f>
        <v/>
      </c>
      <c r="AE1142" s="159" t="str">
        <f>IF(E1142="","",IF(Summary!$D$26="Included Margin",IF(AND($B1142&gt;Input!$C$9,Summary!$D$31&lt;&gt;"Included Margin"),1,1/$R1142),1))</f>
        <v/>
      </c>
      <c r="AF1142" s="160" t="str">
        <f>IF(E1142="","",IF(AND($B1142&gt;=Input!$C$9,$C1142=12,Summary!$D$31="Included Margin",$U1142&gt;0),1/U1142-1,IF($B1142&gt;=Input!$C$9,0,Input!$C$45*IF(Summary!$D$27="Included Margin",1,0))))</f>
        <v/>
      </c>
      <c r="AG1142" s="160" t="str">
        <f>IF(E1142="","",Input!$C$46*IF(Summary!$D$28="Included Margin",IF(AND($B1142&gt;Input!$C$9,Summary!$D$31&lt;&gt;"Included Margin"),0,1),0))</f>
        <v/>
      </c>
      <c r="AH1142" s="158" t="str">
        <f>IF(E1142="","",Input!$C$47*IF(Summary!$D$29="Included Margin",IF(AND($B1142&gt;Input!$C$9,Summary!$D$31&lt;&gt;"Included Margin"),0,1),0))</f>
        <v/>
      </c>
      <c r="AI1142" s="154"/>
      <c r="AJ1142" s="158" t="str">
        <f t="shared" si="731"/>
        <v/>
      </c>
      <c r="AK1142" s="155" t="str">
        <f t="shared" si="732"/>
        <v/>
      </c>
      <c r="AL1142" s="147" t="str">
        <f t="shared" si="733"/>
        <v/>
      </c>
      <c r="AM1142" s="147" t="str">
        <f t="shared" si="718"/>
        <v/>
      </c>
      <c r="AN1142" s="160" t="str">
        <f t="shared" si="734"/>
        <v/>
      </c>
      <c r="AO1142" s="161" t="str">
        <f t="shared" si="735"/>
        <v/>
      </c>
      <c r="AP1142" s="156" t="str">
        <f t="shared" si="719"/>
        <v/>
      </c>
      <c r="AQ1142" s="152"/>
      <c r="AR1142" s="162" t="str">
        <f t="shared" si="720"/>
        <v/>
      </c>
      <c r="AS1142" s="150" t="str">
        <f t="shared" si="736"/>
        <v/>
      </c>
      <c r="AT1142" s="163" t="str">
        <f t="shared" si="721"/>
        <v/>
      </c>
      <c r="AU1142" s="163" t="str">
        <f t="shared" si="722"/>
        <v/>
      </c>
      <c r="AV1142" s="163" t="str">
        <f t="shared" si="737"/>
        <v/>
      </c>
      <c r="AW1142" s="163" t="str">
        <f t="shared" si="723"/>
        <v/>
      </c>
      <c r="AX1142" s="163" t="str">
        <f t="shared" si="724"/>
        <v/>
      </c>
      <c r="AY1142" s="165" t="str">
        <f t="shared" si="738"/>
        <v/>
      </c>
      <c r="AZ1142" s="164" t="str">
        <f>IF($E1142="","",IF(OR(AND($D1142=Input!$C$6,$C1142=12),$AN1142=1),0,-AS1143+AT1143+AU1143-AV1143-AW1143-AX1143+AZ1143))</f>
        <v/>
      </c>
      <c r="BA1142" s="154" t="str">
        <f t="shared" si="725"/>
        <v/>
      </c>
      <c r="BC1142" s="147" t="str">
        <f t="shared" si="739"/>
        <v/>
      </c>
      <c r="BD1142" s="164" t="str">
        <f>IF(AND($C1141=12,$D1141=Input!$C$6),0,IF($E1142="","",AT1142+(AU1142+BD1143)/(1+$AK1142)*MIN((1-AM1142-AN1142),1)))</f>
        <v/>
      </c>
      <c r="BE1142" s="164" t="str">
        <f t="shared" si="754"/>
        <v/>
      </c>
      <c r="BF1142" s="164" t="str">
        <f t="shared" si="740"/>
        <v/>
      </c>
      <c r="BG1142" s="164" t="str">
        <f t="shared" si="726"/>
        <v/>
      </c>
      <c r="BH1142" s="152"/>
      <c r="BI1142" s="162" t="str">
        <f t="shared" si="748"/>
        <v/>
      </c>
      <c r="BJ1142" s="150" t="str">
        <f t="shared" si="749"/>
        <v/>
      </c>
      <c r="BK1142" s="163" t="str">
        <f t="shared" si="745"/>
        <v/>
      </c>
      <c r="BL1142" s="163" t="str">
        <f t="shared" si="750"/>
        <v/>
      </c>
      <c r="BM1142" s="163" t="str">
        <f t="shared" si="746"/>
        <v/>
      </c>
      <c r="BN1142" s="163" t="str">
        <f t="shared" si="751"/>
        <v/>
      </c>
      <c r="BO1142" s="163" t="str">
        <f t="shared" si="752"/>
        <v/>
      </c>
      <c r="BP1142" s="164" t="str">
        <f t="shared" si="747"/>
        <v/>
      </c>
      <c r="BQ1142" s="164" t="str">
        <f t="shared" si="741"/>
        <v/>
      </c>
      <c r="BR1142" s="154" t="str">
        <f t="shared" si="753"/>
        <v/>
      </c>
      <c r="BT1142" s="147" t="str">
        <f t="shared" si="727"/>
        <v/>
      </c>
      <c r="BU1142" s="164" t="str">
        <f>IF(AND($C1141=12,$D1141=Input!$C$6),0,IF($E1142="","",BK1142+(BL1142+BU1143)/(1+$AK1142)*MIN((1-T1142-U1142),1)))</f>
        <v/>
      </c>
      <c r="BV1142" s="164" t="str">
        <f t="shared" si="728"/>
        <v/>
      </c>
      <c r="BW1142" s="164" t="str">
        <f t="shared" si="729"/>
        <v/>
      </c>
      <c r="BX1142" s="164" t="str">
        <f t="shared" si="730"/>
        <v/>
      </c>
    </row>
    <row r="1143" spans="1:76" s="150" customFormat="1" x14ac:dyDescent="0.25">
      <c r="A1143" s="150" t="str">
        <f t="shared" si="742"/>
        <v/>
      </c>
      <c r="B1143" s="150" t="str">
        <f t="shared" si="743"/>
        <v/>
      </c>
      <c r="C1143" s="150" t="str">
        <f t="shared" si="744"/>
        <v/>
      </c>
      <c r="D1143" s="150" t="str">
        <f>IF(E1143="","",Input!$C$4+B1143-1)</f>
        <v/>
      </c>
      <c r="E1143" s="150" t="str">
        <f>IF(OR(AND(C1142=12,D1142=Input!$C$6),E1142=""),"",1)</f>
        <v/>
      </c>
      <c r="F1143" s="150" t="str">
        <f>IF(E1143="","",Input!$C$8+B1143-1)</f>
        <v/>
      </c>
      <c r="G1143" s="151" t="str">
        <f>IF(E1143="","",MAX(0,Input!$C$9-B1143))</f>
        <v/>
      </c>
      <c r="H1143" s="152" t="str">
        <f>IF(E1143="","",Input!$C$3)</f>
        <v/>
      </c>
      <c r="I1143" s="153" t="str">
        <f>IF(E1143="","",HLOOKUP($B1143,Input!$C$13:$BT$14,2))</f>
        <v/>
      </c>
      <c r="J1143" s="154"/>
      <c r="K1143" s="155" t="str">
        <f>IF($E1143="","",INDEX(Input!$C$16:$CP$16,1,$B1143))</f>
        <v/>
      </c>
      <c r="L1143" s="155" t="str">
        <f>IF($E1143="","",Input!$C$37)</f>
        <v/>
      </c>
      <c r="M1143" s="155" t="str">
        <f t="shared" si="755"/>
        <v/>
      </c>
      <c r="N1143" s="155" t="str">
        <f t="shared" si="756"/>
        <v/>
      </c>
      <c r="O1143" s="147" t="str">
        <f>IF($E1143="","",MIN(VLOOKUP(IF($B1143&lt;=Input!$C$7,$B1143,26),'Mortality Tables'!$A$41:$CW$67,IF($B1143&lt;=Input!$C$7+1,Input!$C$4+2,$D1143-Input!$C$7+2),0)*IF(B1143&gt;20,Input!$C$22,1)/1000,1))</f>
        <v/>
      </c>
      <c r="P1143" s="147" t="str">
        <f>IF($E1143="","",MIN(VLOOKUP(IF($B1143&lt;=Input!$C$7,$B1143,26),'Mortality Tables'!$A$12:$CW$37,IF($B1143&lt;=Input!$C$7+1,Input!$C$4+2,$D1143-Input!$C$7+2),0)*IF(B1143&gt;20,Input!$C$22,1)/1000,1))</f>
        <v/>
      </c>
      <c r="Q1143" s="155" t="str">
        <f>IF($E1143="","",Input!$C$21)</f>
        <v/>
      </c>
      <c r="R1143" s="159" t="str">
        <f>IF($E1143="","",(1-Q1143)^($F1143-Input!$C$20))</f>
        <v/>
      </c>
      <c r="S1143" s="147" t="str">
        <f t="shared" si="716"/>
        <v/>
      </c>
      <c r="T1143" s="147" t="str">
        <f t="shared" si="717"/>
        <v/>
      </c>
      <c r="U1143" s="160" t="str">
        <f>IF($E1143="","",IF($C1143=12,INDEX(Input!$C$15:$CP$15,1,$B1143),0))</f>
        <v/>
      </c>
      <c r="V1143" s="150" t="str">
        <f>IF(E1143="","",IF(C1143=1,IF($B1143=1,Input!$C$33,Input!$C$34),0))</f>
        <v/>
      </c>
      <c r="W1143" s="156" t="str">
        <f>IF($E1143="","",Input!$C$35)</f>
        <v/>
      </c>
      <c r="X1143" s="156" t="str">
        <f t="shared" si="757"/>
        <v/>
      </c>
      <c r="Y1143" s="154"/>
      <c r="Z1143" s="147" t="str">
        <f>IF($E1143="","",VLOOKUP($D1143,'Mortality Margins &amp; Grading'!$AB$5:$AF$125,3,0)*IF(Summary!$D$25="Included Margin",IF(AND($B1143&gt;Input!$C$9,Summary!$D$31&lt;&gt;"Included Margin"),0,1),0))</f>
        <v/>
      </c>
      <c r="AA1143" s="147" t="str">
        <f>IF($E1143="","",VLOOKUP($D1143,'Mortality Margins &amp; Grading'!$AB$5:$AF$125,5,0)*IF(Summary!$D$25="Included Margin",IF(AND($B1143&gt;Input!$C$9,Summary!$D$31&lt;&gt;"Included Margin"),0,1),0))</f>
        <v/>
      </c>
      <c r="AB1143" s="147" t="str">
        <f>IF($E1143="","",IF(AND($B1143&gt;Input!$C$9,Summary!$D$31&lt;&gt;"Included Margin"),1,IF(Summary!$D$25="Included Margin",VLOOKUP($B1143,'Mortality Margins &amp; Grading'!$AI$5:$AR$125,MATCH('Mortality Margins &amp; Grading'!$AQ$4,'Mortality Margins &amp; Grading'!$AI$4:$AR$4,0),0),1)))</f>
        <v/>
      </c>
      <c r="AC1143" s="154"/>
      <c r="AD1143" s="158" t="str">
        <f>IF(E1143="","",Input!$C$48*IF(Summary!$D$30="Included Margin",IF(AND($B1143&gt;Input!$C$9,Summary!$D$31&lt;&gt;"Included Margin"),0,1),0))</f>
        <v/>
      </c>
      <c r="AE1143" s="159" t="str">
        <f>IF(E1143="","",IF(Summary!$D$26="Included Margin",IF(AND($B1143&gt;Input!$C$9,Summary!$D$31&lt;&gt;"Included Margin"),1,1/$R1143),1))</f>
        <v/>
      </c>
      <c r="AF1143" s="160" t="str">
        <f>IF(E1143="","",IF(AND($B1143&gt;=Input!$C$9,$C1143=12,Summary!$D$31="Included Margin",$U1143&gt;0),1/U1143-1,IF($B1143&gt;=Input!$C$9,0,Input!$C$45*IF(Summary!$D$27="Included Margin",1,0))))</f>
        <v/>
      </c>
      <c r="AG1143" s="160" t="str">
        <f>IF(E1143="","",Input!$C$46*IF(Summary!$D$28="Included Margin",IF(AND($B1143&gt;Input!$C$9,Summary!$D$31&lt;&gt;"Included Margin"),0,1),0))</f>
        <v/>
      </c>
      <c r="AH1143" s="158" t="str">
        <f>IF(E1143="","",Input!$C$47*IF(Summary!$D$29="Included Margin",IF(AND($B1143&gt;Input!$C$9,Summary!$D$31&lt;&gt;"Included Margin"),0,1),0))</f>
        <v/>
      </c>
      <c r="AI1143" s="154"/>
      <c r="AJ1143" s="158" t="str">
        <f t="shared" si="731"/>
        <v/>
      </c>
      <c r="AK1143" s="155" t="str">
        <f t="shared" si="732"/>
        <v/>
      </c>
      <c r="AL1143" s="147" t="str">
        <f t="shared" si="733"/>
        <v/>
      </c>
      <c r="AM1143" s="147" t="str">
        <f t="shared" si="718"/>
        <v/>
      </c>
      <c r="AN1143" s="160" t="str">
        <f t="shared" si="734"/>
        <v/>
      </c>
      <c r="AO1143" s="161" t="str">
        <f t="shared" si="735"/>
        <v/>
      </c>
      <c r="AP1143" s="156" t="str">
        <f t="shared" si="719"/>
        <v/>
      </c>
      <c r="AQ1143" s="152"/>
      <c r="AR1143" s="162" t="str">
        <f t="shared" si="720"/>
        <v/>
      </c>
      <c r="AS1143" s="150" t="str">
        <f t="shared" si="736"/>
        <v/>
      </c>
      <c r="AT1143" s="163" t="str">
        <f t="shared" si="721"/>
        <v/>
      </c>
      <c r="AU1143" s="163" t="str">
        <f t="shared" si="722"/>
        <v/>
      </c>
      <c r="AV1143" s="163" t="str">
        <f t="shared" si="737"/>
        <v/>
      </c>
      <c r="AW1143" s="163" t="str">
        <f t="shared" si="723"/>
        <v/>
      </c>
      <c r="AX1143" s="163" t="str">
        <f t="shared" si="724"/>
        <v/>
      </c>
      <c r="AY1143" s="164" t="str">
        <f t="shared" si="738"/>
        <v/>
      </c>
      <c r="AZ1143" s="164" t="str">
        <f>IF($E1143="","",IF(OR(AND($D1143=Input!$C$6,$C1143=12),$AN1143=1),0,-AS1144+AT1144+AU1144-AV1144-AW1144-AX1144+AZ1144))</f>
        <v/>
      </c>
      <c r="BA1143" s="154" t="str">
        <f t="shared" si="725"/>
        <v/>
      </c>
      <c r="BC1143" s="147" t="str">
        <f t="shared" si="739"/>
        <v/>
      </c>
      <c r="BD1143" s="164" t="str">
        <f>IF(AND($C1142=12,$D1142=Input!$C$6),0,IF($E1143="","",AT1143+(AU1143+BD1144)/(1+$AK1143)*MIN((1-AM1143-AN1143),1)))</f>
        <v/>
      </c>
      <c r="BE1143" s="164" t="str">
        <f t="shared" si="754"/>
        <v/>
      </c>
      <c r="BF1143" s="164" t="str">
        <f t="shared" si="740"/>
        <v/>
      </c>
      <c r="BG1143" s="164" t="str">
        <f t="shared" si="726"/>
        <v/>
      </c>
      <c r="BH1143" s="152"/>
      <c r="BI1143" s="162" t="str">
        <f t="shared" si="748"/>
        <v/>
      </c>
      <c r="BJ1143" s="150" t="str">
        <f t="shared" si="749"/>
        <v/>
      </c>
      <c r="BK1143" s="163" t="str">
        <f t="shared" si="745"/>
        <v/>
      </c>
      <c r="BL1143" s="163" t="str">
        <f t="shared" si="750"/>
        <v/>
      </c>
      <c r="BM1143" s="163" t="str">
        <f t="shared" si="746"/>
        <v/>
      </c>
      <c r="BN1143" s="163" t="str">
        <f t="shared" si="751"/>
        <v/>
      </c>
      <c r="BO1143" s="163" t="str">
        <f t="shared" si="752"/>
        <v/>
      </c>
      <c r="BP1143" s="164" t="str">
        <f t="shared" si="747"/>
        <v/>
      </c>
      <c r="BQ1143" s="164" t="str">
        <f t="shared" si="741"/>
        <v/>
      </c>
      <c r="BR1143" s="154" t="str">
        <f t="shared" si="753"/>
        <v/>
      </c>
      <c r="BT1143" s="147" t="str">
        <f t="shared" si="727"/>
        <v/>
      </c>
      <c r="BU1143" s="164" t="str">
        <f>IF(AND($C1142=12,$D1142=Input!$C$6),0,IF($E1143="","",BK1143+(BL1143+BU1144)/(1+$AK1143)*MIN((1-T1143-U1143),1)))</f>
        <v/>
      </c>
      <c r="BV1143" s="164" t="str">
        <f t="shared" si="728"/>
        <v/>
      </c>
      <c r="BW1143" s="164" t="str">
        <f t="shared" si="729"/>
        <v/>
      </c>
      <c r="BX1143" s="164" t="str">
        <f t="shared" si="730"/>
        <v/>
      </c>
    </row>
    <row r="1144" spans="1:76" s="150" customFormat="1" x14ac:dyDescent="0.25">
      <c r="A1144" s="150" t="str">
        <f t="shared" si="742"/>
        <v/>
      </c>
      <c r="B1144" s="150" t="str">
        <f t="shared" si="743"/>
        <v/>
      </c>
      <c r="C1144" s="150" t="str">
        <f t="shared" si="744"/>
        <v/>
      </c>
      <c r="D1144" s="150" t="str">
        <f>IF(E1144="","",Input!$C$4+B1144-1)</f>
        <v/>
      </c>
      <c r="E1144" s="150" t="str">
        <f>IF(OR(AND(C1143=12,D1143=Input!$C$6),E1143=""),"",1)</f>
        <v/>
      </c>
      <c r="F1144" s="150" t="str">
        <f>IF(E1144="","",Input!$C$8+B1144-1)</f>
        <v/>
      </c>
      <c r="G1144" s="151" t="str">
        <f>IF(E1144="","",MAX(0,Input!$C$9-B1144))</f>
        <v/>
      </c>
      <c r="H1144" s="152" t="str">
        <f>IF(E1144="","",Input!$C$3)</f>
        <v/>
      </c>
      <c r="I1144" s="153" t="str">
        <f>IF(E1144="","",HLOOKUP($B1144,Input!$C$13:$BT$14,2))</f>
        <v/>
      </c>
      <c r="J1144" s="154"/>
      <c r="K1144" s="155" t="str">
        <f>IF($E1144="","",INDEX(Input!$C$16:$CP$16,1,$B1144))</f>
        <v/>
      </c>
      <c r="L1144" s="155" t="str">
        <f>IF($E1144="","",Input!$C$37)</f>
        <v/>
      </c>
      <c r="M1144" s="155" t="str">
        <f t="shared" si="755"/>
        <v/>
      </c>
      <c r="N1144" s="155" t="str">
        <f t="shared" si="756"/>
        <v/>
      </c>
      <c r="O1144" s="147" t="str">
        <f>IF($E1144="","",MIN(VLOOKUP(IF($B1144&lt;=Input!$C$7,$B1144,26),'Mortality Tables'!$A$41:$CW$67,IF($B1144&lt;=Input!$C$7+1,Input!$C$4+2,$D1144-Input!$C$7+2),0)*IF(B1144&gt;20,Input!$C$22,1)/1000,1))</f>
        <v/>
      </c>
      <c r="P1144" s="147" t="str">
        <f>IF($E1144="","",MIN(VLOOKUP(IF($B1144&lt;=Input!$C$7,$B1144,26),'Mortality Tables'!$A$12:$CW$37,IF($B1144&lt;=Input!$C$7+1,Input!$C$4+2,$D1144-Input!$C$7+2),0)*IF(B1144&gt;20,Input!$C$22,1)/1000,1))</f>
        <v/>
      </c>
      <c r="Q1144" s="155" t="str">
        <f>IF($E1144="","",Input!$C$21)</f>
        <v/>
      </c>
      <c r="R1144" s="159" t="str">
        <f>IF($E1144="","",(1-Q1144)^($F1144-Input!$C$20))</f>
        <v/>
      </c>
      <c r="S1144" s="147" t="str">
        <f t="shared" si="716"/>
        <v/>
      </c>
      <c r="T1144" s="147" t="str">
        <f t="shared" si="717"/>
        <v/>
      </c>
      <c r="U1144" s="160" t="str">
        <f>IF($E1144="","",IF($C1144=12,INDEX(Input!$C$15:$CP$15,1,$B1144),0))</f>
        <v/>
      </c>
      <c r="V1144" s="150" t="str">
        <f>IF(E1144="","",IF(C1144=1,IF($B1144=1,Input!$C$33,Input!$C$34),0))</f>
        <v/>
      </c>
      <c r="W1144" s="156" t="str">
        <f>IF($E1144="","",Input!$C$35)</f>
        <v/>
      </c>
      <c r="X1144" s="156" t="str">
        <f t="shared" si="757"/>
        <v/>
      </c>
      <c r="Y1144" s="154"/>
      <c r="Z1144" s="147" t="str">
        <f>IF($E1144="","",VLOOKUP($D1144,'Mortality Margins &amp; Grading'!$AB$5:$AF$125,3,0)*IF(Summary!$D$25="Included Margin",IF(AND($B1144&gt;Input!$C$9,Summary!$D$31&lt;&gt;"Included Margin"),0,1),0))</f>
        <v/>
      </c>
      <c r="AA1144" s="147" t="str">
        <f>IF($E1144="","",VLOOKUP($D1144,'Mortality Margins &amp; Grading'!$AB$5:$AF$125,5,0)*IF(Summary!$D$25="Included Margin",IF(AND($B1144&gt;Input!$C$9,Summary!$D$31&lt;&gt;"Included Margin"),0,1),0))</f>
        <v/>
      </c>
      <c r="AB1144" s="147" t="str">
        <f>IF($E1144="","",IF(AND($B1144&gt;Input!$C$9,Summary!$D$31&lt;&gt;"Included Margin"),1,IF(Summary!$D$25="Included Margin",VLOOKUP($B1144,'Mortality Margins &amp; Grading'!$AI$5:$AR$125,MATCH('Mortality Margins &amp; Grading'!$AQ$4,'Mortality Margins &amp; Grading'!$AI$4:$AR$4,0),0),1)))</f>
        <v/>
      </c>
      <c r="AC1144" s="154"/>
      <c r="AD1144" s="158" t="str">
        <f>IF(E1144="","",Input!$C$48*IF(Summary!$D$30="Included Margin",IF(AND($B1144&gt;Input!$C$9,Summary!$D$31&lt;&gt;"Included Margin"),0,1),0))</f>
        <v/>
      </c>
      <c r="AE1144" s="159" t="str">
        <f>IF(E1144="","",IF(Summary!$D$26="Included Margin",IF(AND($B1144&gt;Input!$C$9,Summary!$D$31&lt;&gt;"Included Margin"),1,1/$R1144),1))</f>
        <v/>
      </c>
      <c r="AF1144" s="160" t="str">
        <f>IF(E1144="","",IF(AND($B1144&gt;=Input!$C$9,$C1144=12,Summary!$D$31="Included Margin",$U1144&gt;0),1/U1144-1,IF($B1144&gt;=Input!$C$9,0,Input!$C$45*IF(Summary!$D$27="Included Margin",1,0))))</f>
        <v/>
      </c>
      <c r="AG1144" s="160" t="str">
        <f>IF(E1144="","",Input!$C$46*IF(Summary!$D$28="Included Margin",IF(AND($B1144&gt;Input!$C$9,Summary!$D$31&lt;&gt;"Included Margin"),0,1),0))</f>
        <v/>
      </c>
      <c r="AH1144" s="158" t="str">
        <f>IF(E1144="","",Input!$C$47*IF(Summary!$D$29="Included Margin",IF(AND($B1144&gt;Input!$C$9,Summary!$D$31&lt;&gt;"Included Margin"),0,1),0))</f>
        <v/>
      </c>
      <c r="AI1144" s="154"/>
      <c r="AJ1144" s="158" t="str">
        <f t="shared" si="731"/>
        <v/>
      </c>
      <c r="AK1144" s="155" t="str">
        <f t="shared" si="732"/>
        <v/>
      </c>
      <c r="AL1144" s="147" t="str">
        <f t="shared" si="733"/>
        <v/>
      </c>
      <c r="AM1144" s="147" t="str">
        <f t="shared" si="718"/>
        <v/>
      </c>
      <c r="AN1144" s="160" t="str">
        <f t="shared" si="734"/>
        <v/>
      </c>
      <c r="AO1144" s="161" t="str">
        <f t="shared" si="735"/>
        <v/>
      </c>
      <c r="AP1144" s="156" t="str">
        <f t="shared" si="719"/>
        <v/>
      </c>
      <c r="AQ1144" s="152"/>
      <c r="AR1144" s="162" t="str">
        <f t="shared" si="720"/>
        <v/>
      </c>
      <c r="AS1144" s="150" t="str">
        <f t="shared" si="736"/>
        <v/>
      </c>
      <c r="AT1144" s="163" t="str">
        <f t="shared" si="721"/>
        <v/>
      </c>
      <c r="AU1144" s="163" t="str">
        <f t="shared" si="722"/>
        <v/>
      </c>
      <c r="AV1144" s="163" t="str">
        <f t="shared" si="737"/>
        <v/>
      </c>
      <c r="AW1144" s="163" t="str">
        <f t="shared" si="723"/>
        <v/>
      </c>
      <c r="AX1144" s="163" t="str">
        <f t="shared" si="724"/>
        <v/>
      </c>
      <c r="AY1144" s="165" t="str">
        <f t="shared" si="738"/>
        <v/>
      </c>
      <c r="AZ1144" s="164" t="str">
        <f>IF($E1144="","",IF(OR(AND($D1144=Input!$C$6,$C1144=12),$AN1144=1),0,-AS1145+AT1145+AU1145-AV1145-AW1145-AX1145+AZ1145))</f>
        <v/>
      </c>
      <c r="BA1144" s="154" t="str">
        <f t="shared" si="725"/>
        <v/>
      </c>
      <c r="BC1144" s="147" t="str">
        <f t="shared" si="739"/>
        <v/>
      </c>
      <c r="BD1144" s="164" t="str">
        <f>IF(AND($C1143=12,$D1143=Input!$C$6),0,IF($E1144="","",AT1144+(AU1144+BD1145)/(1+$AK1144)*MIN((1-AM1144-AN1144),1)))</f>
        <v/>
      </c>
      <c r="BE1144" s="164" t="str">
        <f t="shared" si="754"/>
        <v/>
      </c>
      <c r="BF1144" s="164" t="str">
        <f t="shared" si="740"/>
        <v/>
      </c>
      <c r="BG1144" s="164" t="str">
        <f t="shared" si="726"/>
        <v/>
      </c>
      <c r="BH1144" s="152"/>
      <c r="BI1144" s="162" t="str">
        <f t="shared" si="748"/>
        <v/>
      </c>
      <c r="BJ1144" s="150" t="str">
        <f t="shared" si="749"/>
        <v/>
      </c>
      <c r="BK1144" s="163" t="str">
        <f t="shared" si="745"/>
        <v/>
      </c>
      <c r="BL1144" s="163" t="str">
        <f t="shared" si="750"/>
        <v/>
      </c>
      <c r="BM1144" s="163" t="str">
        <f t="shared" si="746"/>
        <v/>
      </c>
      <c r="BN1144" s="163" t="str">
        <f t="shared" si="751"/>
        <v/>
      </c>
      <c r="BO1144" s="163" t="str">
        <f t="shared" si="752"/>
        <v/>
      </c>
      <c r="BP1144" s="164" t="str">
        <f t="shared" si="747"/>
        <v/>
      </c>
      <c r="BQ1144" s="164" t="str">
        <f t="shared" si="741"/>
        <v/>
      </c>
      <c r="BR1144" s="154" t="str">
        <f t="shared" si="753"/>
        <v/>
      </c>
      <c r="BT1144" s="147" t="str">
        <f t="shared" si="727"/>
        <v/>
      </c>
      <c r="BU1144" s="164" t="str">
        <f>IF(AND($C1143=12,$D1143=Input!$C$6),0,IF($E1144="","",BK1144+(BL1144+BU1145)/(1+$AK1144)*MIN((1-T1144-U1144),1)))</f>
        <v/>
      </c>
      <c r="BV1144" s="164" t="str">
        <f t="shared" si="728"/>
        <v/>
      </c>
      <c r="BW1144" s="164" t="str">
        <f t="shared" si="729"/>
        <v/>
      </c>
      <c r="BX1144" s="164" t="str">
        <f t="shared" si="730"/>
        <v/>
      </c>
    </row>
    <row r="1145" spans="1:76" s="150" customFormat="1" x14ac:dyDescent="0.25">
      <c r="A1145" s="150" t="str">
        <f t="shared" si="742"/>
        <v/>
      </c>
      <c r="B1145" s="150" t="str">
        <f t="shared" si="743"/>
        <v/>
      </c>
      <c r="C1145" s="150" t="str">
        <f t="shared" si="744"/>
        <v/>
      </c>
      <c r="D1145" s="150" t="str">
        <f>IF(E1145="","",Input!$C$4+B1145-1)</f>
        <v/>
      </c>
      <c r="E1145" s="150" t="str">
        <f>IF(OR(AND(C1144=12,D1144=Input!$C$6),E1144=""),"",1)</f>
        <v/>
      </c>
      <c r="F1145" s="150" t="str">
        <f>IF(E1145="","",Input!$C$8+B1145-1)</f>
        <v/>
      </c>
      <c r="G1145" s="151" t="str">
        <f>IF(E1145="","",MAX(0,Input!$C$9-B1145))</f>
        <v/>
      </c>
      <c r="H1145" s="152" t="str">
        <f>IF(E1145="","",Input!$C$3)</f>
        <v/>
      </c>
      <c r="I1145" s="153" t="str">
        <f>IF(E1145="","",HLOOKUP($B1145,Input!$C$13:$BT$14,2))</f>
        <v/>
      </c>
      <c r="J1145" s="154"/>
      <c r="K1145" s="155" t="str">
        <f>IF($E1145="","",INDEX(Input!$C$16:$CP$16,1,$B1145))</f>
        <v/>
      </c>
      <c r="L1145" s="155" t="str">
        <f>IF($E1145="","",Input!$C$37)</f>
        <v/>
      </c>
      <c r="M1145" s="155" t="str">
        <f t="shared" si="755"/>
        <v/>
      </c>
      <c r="N1145" s="155" t="str">
        <f t="shared" si="756"/>
        <v/>
      </c>
      <c r="O1145" s="147" t="str">
        <f>IF($E1145="","",MIN(VLOOKUP(IF($B1145&lt;=Input!$C$7,$B1145,26),'Mortality Tables'!$A$41:$CW$67,IF($B1145&lt;=Input!$C$7+1,Input!$C$4+2,$D1145-Input!$C$7+2),0)*IF(B1145&gt;20,Input!$C$22,1)/1000,1))</f>
        <v/>
      </c>
      <c r="P1145" s="147" t="str">
        <f>IF($E1145="","",MIN(VLOOKUP(IF($B1145&lt;=Input!$C$7,$B1145,26),'Mortality Tables'!$A$12:$CW$37,IF($B1145&lt;=Input!$C$7+1,Input!$C$4+2,$D1145-Input!$C$7+2),0)*IF(B1145&gt;20,Input!$C$22,1)/1000,1))</f>
        <v/>
      </c>
      <c r="Q1145" s="155" t="str">
        <f>IF($E1145="","",Input!$C$21)</f>
        <v/>
      </c>
      <c r="R1145" s="159" t="str">
        <f>IF($E1145="","",(1-Q1145)^($F1145-Input!$C$20))</f>
        <v/>
      </c>
      <c r="S1145" s="147" t="str">
        <f t="shared" si="716"/>
        <v/>
      </c>
      <c r="T1145" s="147" t="str">
        <f t="shared" si="717"/>
        <v/>
      </c>
      <c r="U1145" s="160" t="str">
        <f>IF($E1145="","",IF($C1145=12,INDEX(Input!$C$15:$CP$15,1,$B1145),0))</f>
        <v/>
      </c>
      <c r="V1145" s="150" t="str">
        <f>IF(E1145="","",IF(C1145=1,IF($B1145=1,Input!$C$33,Input!$C$34),0))</f>
        <v/>
      </c>
      <c r="W1145" s="156" t="str">
        <f>IF($E1145="","",Input!$C$35)</f>
        <v/>
      </c>
      <c r="X1145" s="156" t="str">
        <f t="shared" si="757"/>
        <v/>
      </c>
      <c r="Y1145" s="154"/>
      <c r="Z1145" s="147" t="str">
        <f>IF($E1145="","",VLOOKUP($D1145,'Mortality Margins &amp; Grading'!$AB$5:$AF$125,3,0)*IF(Summary!$D$25="Included Margin",IF(AND($B1145&gt;Input!$C$9,Summary!$D$31&lt;&gt;"Included Margin"),0,1),0))</f>
        <v/>
      </c>
      <c r="AA1145" s="147" t="str">
        <f>IF($E1145="","",VLOOKUP($D1145,'Mortality Margins &amp; Grading'!$AB$5:$AF$125,5,0)*IF(Summary!$D$25="Included Margin",IF(AND($B1145&gt;Input!$C$9,Summary!$D$31&lt;&gt;"Included Margin"),0,1),0))</f>
        <v/>
      </c>
      <c r="AB1145" s="147" t="str">
        <f>IF($E1145="","",IF(AND($B1145&gt;Input!$C$9,Summary!$D$31&lt;&gt;"Included Margin"),1,IF(Summary!$D$25="Included Margin",VLOOKUP($B1145,'Mortality Margins &amp; Grading'!$AI$5:$AR$125,MATCH('Mortality Margins &amp; Grading'!$AQ$4,'Mortality Margins &amp; Grading'!$AI$4:$AR$4,0),0),1)))</f>
        <v/>
      </c>
      <c r="AC1145" s="154"/>
      <c r="AD1145" s="158" t="str">
        <f>IF(E1145="","",Input!$C$48*IF(Summary!$D$30="Included Margin",IF(AND($B1145&gt;Input!$C$9,Summary!$D$31&lt;&gt;"Included Margin"),0,1),0))</f>
        <v/>
      </c>
      <c r="AE1145" s="159" t="str">
        <f>IF(E1145="","",IF(Summary!$D$26="Included Margin",IF(AND($B1145&gt;Input!$C$9,Summary!$D$31&lt;&gt;"Included Margin"),1,1/$R1145),1))</f>
        <v/>
      </c>
      <c r="AF1145" s="160" t="str">
        <f>IF(E1145="","",IF(AND($B1145&gt;=Input!$C$9,$C1145=12,Summary!$D$31="Included Margin",$U1145&gt;0),1/U1145-1,IF($B1145&gt;=Input!$C$9,0,Input!$C$45*IF(Summary!$D$27="Included Margin",1,0))))</f>
        <v/>
      </c>
      <c r="AG1145" s="160" t="str">
        <f>IF(E1145="","",Input!$C$46*IF(Summary!$D$28="Included Margin",IF(AND($B1145&gt;Input!$C$9,Summary!$D$31&lt;&gt;"Included Margin"),0,1),0))</f>
        <v/>
      </c>
      <c r="AH1145" s="158" t="str">
        <f>IF(E1145="","",Input!$C$47*IF(Summary!$D$29="Included Margin",IF(AND($B1145&gt;Input!$C$9,Summary!$D$31&lt;&gt;"Included Margin"),0,1),0))</f>
        <v/>
      </c>
      <c r="AI1145" s="154"/>
      <c r="AJ1145" s="158" t="str">
        <f t="shared" si="731"/>
        <v/>
      </c>
      <c r="AK1145" s="155" t="str">
        <f t="shared" si="732"/>
        <v/>
      </c>
      <c r="AL1145" s="147" t="str">
        <f t="shared" si="733"/>
        <v/>
      </c>
      <c r="AM1145" s="147" t="str">
        <f t="shared" si="718"/>
        <v/>
      </c>
      <c r="AN1145" s="160" t="str">
        <f t="shared" si="734"/>
        <v/>
      </c>
      <c r="AO1145" s="161" t="str">
        <f t="shared" si="735"/>
        <v/>
      </c>
      <c r="AP1145" s="156" t="str">
        <f t="shared" si="719"/>
        <v/>
      </c>
      <c r="AQ1145" s="152"/>
      <c r="AR1145" s="162" t="str">
        <f t="shared" si="720"/>
        <v/>
      </c>
      <c r="AS1145" s="150" t="str">
        <f t="shared" si="736"/>
        <v/>
      </c>
      <c r="AT1145" s="163" t="str">
        <f t="shared" si="721"/>
        <v/>
      </c>
      <c r="AU1145" s="163" t="str">
        <f t="shared" si="722"/>
        <v/>
      </c>
      <c r="AV1145" s="163" t="str">
        <f t="shared" si="737"/>
        <v/>
      </c>
      <c r="AW1145" s="163" t="str">
        <f t="shared" si="723"/>
        <v/>
      </c>
      <c r="AX1145" s="163" t="str">
        <f t="shared" si="724"/>
        <v/>
      </c>
      <c r="AY1145" s="164" t="str">
        <f t="shared" si="738"/>
        <v/>
      </c>
      <c r="AZ1145" s="164" t="str">
        <f>IF($E1145="","",IF(OR(AND($D1145=Input!$C$6,$C1145=12),$AN1145=1),0,-AS1146+AT1146+AU1146-AV1146-AW1146-AX1146+AZ1146))</f>
        <v/>
      </c>
      <c r="BA1145" s="154" t="str">
        <f t="shared" si="725"/>
        <v/>
      </c>
      <c r="BC1145" s="147" t="str">
        <f t="shared" si="739"/>
        <v/>
      </c>
      <c r="BD1145" s="164" t="str">
        <f>IF(AND($C1144=12,$D1144=Input!$C$6),0,IF($E1145="","",AT1145+(AU1145+BD1146)/(1+$AK1145)*MIN((1-AM1145-AN1145),1)))</f>
        <v/>
      </c>
      <c r="BE1145" s="164" t="str">
        <f t="shared" si="754"/>
        <v/>
      </c>
      <c r="BF1145" s="164" t="str">
        <f t="shared" si="740"/>
        <v/>
      </c>
      <c r="BG1145" s="164" t="str">
        <f t="shared" si="726"/>
        <v/>
      </c>
      <c r="BH1145" s="152"/>
      <c r="BI1145" s="162" t="str">
        <f t="shared" si="748"/>
        <v/>
      </c>
      <c r="BJ1145" s="150" t="str">
        <f t="shared" si="749"/>
        <v/>
      </c>
      <c r="BK1145" s="163" t="str">
        <f t="shared" si="745"/>
        <v/>
      </c>
      <c r="BL1145" s="163" t="str">
        <f t="shared" si="750"/>
        <v/>
      </c>
      <c r="BM1145" s="163" t="str">
        <f t="shared" si="746"/>
        <v/>
      </c>
      <c r="BN1145" s="163" t="str">
        <f t="shared" si="751"/>
        <v/>
      </c>
      <c r="BO1145" s="163" t="str">
        <f t="shared" si="752"/>
        <v/>
      </c>
      <c r="BP1145" s="164" t="str">
        <f t="shared" si="747"/>
        <v/>
      </c>
      <c r="BQ1145" s="164" t="str">
        <f t="shared" si="741"/>
        <v/>
      </c>
      <c r="BR1145" s="154" t="str">
        <f t="shared" si="753"/>
        <v/>
      </c>
      <c r="BT1145" s="147" t="str">
        <f t="shared" si="727"/>
        <v/>
      </c>
      <c r="BU1145" s="164" t="str">
        <f>IF(AND($C1144=12,$D1144=Input!$C$6),0,IF($E1145="","",BK1145+(BL1145+BU1146)/(1+$AK1145)*MIN((1-T1145-U1145),1)))</f>
        <v/>
      </c>
      <c r="BV1145" s="164" t="str">
        <f t="shared" si="728"/>
        <v/>
      </c>
      <c r="BW1145" s="164" t="str">
        <f t="shared" si="729"/>
        <v/>
      </c>
      <c r="BX1145" s="164" t="str">
        <f t="shared" si="730"/>
        <v/>
      </c>
    </row>
    <row r="1146" spans="1:76" s="150" customFormat="1" x14ac:dyDescent="0.25">
      <c r="A1146" s="150" t="str">
        <f t="shared" si="742"/>
        <v/>
      </c>
      <c r="B1146" s="150" t="str">
        <f t="shared" si="743"/>
        <v/>
      </c>
      <c r="C1146" s="150" t="str">
        <f t="shared" si="744"/>
        <v/>
      </c>
      <c r="D1146" s="150" t="str">
        <f>IF(E1146="","",Input!$C$4+B1146-1)</f>
        <v/>
      </c>
      <c r="E1146" s="150" t="str">
        <f>IF(OR(AND(C1145=12,D1145=Input!$C$6),E1145=""),"",1)</f>
        <v/>
      </c>
      <c r="F1146" s="150" t="str">
        <f>IF(E1146="","",Input!$C$8+B1146-1)</f>
        <v/>
      </c>
      <c r="G1146" s="151" t="str">
        <f>IF(E1146="","",MAX(0,Input!$C$9-B1146))</f>
        <v/>
      </c>
      <c r="H1146" s="152" t="str">
        <f>IF(E1146="","",Input!$C$3)</f>
        <v/>
      </c>
      <c r="I1146" s="153" t="str">
        <f>IF(E1146="","",HLOOKUP($B1146,Input!$C$13:$BT$14,2))</f>
        <v/>
      </c>
      <c r="J1146" s="154"/>
      <c r="K1146" s="155" t="str">
        <f>IF($E1146="","",INDEX(Input!$C$16:$CP$16,1,$B1146))</f>
        <v/>
      </c>
      <c r="L1146" s="155" t="str">
        <f>IF($E1146="","",Input!$C$37)</f>
        <v/>
      </c>
      <c r="M1146" s="155" t="str">
        <f t="shared" si="755"/>
        <v/>
      </c>
      <c r="N1146" s="155" t="str">
        <f t="shared" si="756"/>
        <v/>
      </c>
      <c r="O1146" s="147" t="str">
        <f>IF($E1146="","",MIN(VLOOKUP(IF($B1146&lt;=Input!$C$7,$B1146,26),'Mortality Tables'!$A$41:$CW$67,IF($B1146&lt;=Input!$C$7+1,Input!$C$4+2,$D1146-Input!$C$7+2),0)*IF(B1146&gt;20,Input!$C$22,1)/1000,1))</f>
        <v/>
      </c>
      <c r="P1146" s="147" t="str">
        <f>IF($E1146="","",MIN(VLOOKUP(IF($B1146&lt;=Input!$C$7,$B1146,26),'Mortality Tables'!$A$12:$CW$37,IF($B1146&lt;=Input!$C$7+1,Input!$C$4+2,$D1146-Input!$C$7+2),0)*IF(B1146&gt;20,Input!$C$22,1)/1000,1))</f>
        <v/>
      </c>
      <c r="Q1146" s="155" t="str">
        <f>IF($E1146="","",Input!$C$21)</f>
        <v/>
      </c>
      <c r="R1146" s="159" t="str">
        <f>IF($E1146="","",(1-Q1146)^($F1146-Input!$C$20))</f>
        <v/>
      </c>
      <c r="S1146" s="147" t="str">
        <f t="shared" si="716"/>
        <v/>
      </c>
      <c r="T1146" s="147" t="str">
        <f t="shared" si="717"/>
        <v/>
      </c>
      <c r="U1146" s="160" t="str">
        <f>IF($E1146="","",IF($C1146=12,INDEX(Input!$C$15:$CP$15,1,$B1146),0))</f>
        <v/>
      </c>
      <c r="V1146" s="150" t="str">
        <f>IF(E1146="","",IF(C1146=1,IF($B1146=1,Input!$C$33,Input!$C$34),0))</f>
        <v/>
      </c>
      <c r="W1146" s="156" t="str">
        <f>IF($E1146="","",Input!$C$35)</f>
        <v/>
      </c>
      <c r="X1146" s="156" t="str">
        <f t="shared" si="757"/>
        <v/>
      </c>
      <c r="Y1146" s="154"/>
      <c r="Z1146" s="147" t="str">
        <f>IF($E1146="","",VLOOKUP($D1146,'Mortality Margins &amp; Grading'!$AB$5:$AF$125,3,0)*IF(Summary!$D$25="Included Margin",IF(AND($B1146&gt;Input!$C$9,Summary!$D$31&lt;&gt;"Included Margin"),0,1),0))</f>
        <v/>
      </c>
      <c r="AA1146" s="147" t="str">
        <f>IF($E1146="","",VLOOKUP($D1146,'Mortality Margins &amp; Grading'!$AB$5:$AF$125,5,0)*IF(Summary!$D$25="Included Margin",IF(AND($B1146&gt;Input!$C$9,Summary!$D$31&lt;&gt;"Included Margin"),0,1),0))</f>
        <v/>
      </c>
      <c r="AB1146" s="147" t="str">
        <f>IF($E1146="","",IF(AND($B1146&gt;Input!$C$9,Summary!$D$31&lt;&gt;"Included Margin"),1,IF(Summary!$D$25="Included Margin",VLOOKUP($B1146,'Mortality Margins &amp; Grading'!$AI$5:$AR$125,MATCH('Mortality Margins &amp; Grading'!$AQ$4,'Mortality Margins &amp; Grading'!$AI$4:$AR$4,0),0),1)))</f>
        <v/>
      </c>
      <c r="AC1146" s="154"/>
      <c r="AD1146" s="158" t="str">
        <f>IF(E1146="","",Input!$C$48*IF(Summary!$D$30="Included Margin",IF(AND($B1146&gt;Input!$C$9,Summary!$D$31&lt;&gt;"Included Margin"),0,1),0))</f>
        <v/>
      </c>
      <c r="AE1146" s="159" t="str">
        <f>IF(E1146="","",IF(Summary!$D$26="Included Margin",IF(AND($B1146&gt;Input!$C$9,Summary!$D$31&lt;&gt;"Included Margin"),1,1/$R1146),1))</f>
        <v/>
      </c>
      <c r="AF1146" s="160" t="str">
        <f>IF(E1146="","",IF(AND($B1146&gt;=Input!$C$9,$C1146=12,Summary!$D$31="Included Margin",$U1146&gt;0),1/U1146-1,IF($B1146&gt;=Input!$C$9,0,Input!$C$45*IF(Summary!$D$27="Included Margin",1,0))))</f>
        <v/>
      </c>
      <c r="AG1146" s="160" t="str">
        <f>IF(E1146="","",Input!$C$46*IF(Summary!$D$28="Included Margin",IF(AND($B1146&gt;Input!$C$9,Summary!$D$31&lt;&gt;"Included Margin"),0,1),0))</f>
        <v/>
      </c>
      <c r="AH1146" s="158" t="str">
        <f>IF(E1146="","",Input!$C$47*IF(Summary!$D$29="Included Margin",IF(AND($B1146&gt;Input!$C$9,Summary!$D$31&lt;&gt;"Included Margin"),0,1),0))</f>
        <v/>
      </c>
      <c r="AI1146" s="154"/>
      <c r="AJ1146" s="158" t="str">
        <f t="shared" si="731"/>
        <v/>
      </c>
      <c r="AK1146" s="155" t="str">
        <f t="shared" si="732"/>
        <v/>
      </c>
      <c r="AL1146" s="147" t="str">
        <f t="shared" si="733"/>
        <v/>
      </c>
      <c r="AM1146" s="147" t="str">
        <f t="shared" si="718"/>
        <v/>
      </c>
      <c r="AN1146" s="160" t="str">
        <f t="shared" si="734"/>
        <v/>
      </c>
      <c r="AO1146" s="161" t="str">
        <f t="shared" si="735"/>
        <v/>
      </c>
      <c r="AP1146" s="156" t="str">
        <f t="shared" si="719"/>
        <v/>
      </c>
      <c r="AQ1146" s="152"/>
      <c r="AR1146" s="162" t="str">
        <f t="shared" si="720"/>
        <v/>
      </c>
      <c r="AS1146" s="150" t="str">
        <f t="shared" si="736"/>
        <v/>
      </c>
      <c r="AT1146" s="163" t="str">
        <f t="shared" si="721"/>
        <v/>
      </c>
      <c r="AU1146" s="163" t="str">
        <f t="shared" si="722"/>
        <v/>
      </c>
      <c r="AV1146" s="163" t="str">
        <f t="shared" si="737"/>
        <v/>
      </c>
      <c r="AW1146" s="163" t="str">
        <f t="shared" si="723"/>
        <v/>
      </c>
      <c r="AX1146" s="163" t="str">
        <f t="shared" si="724"/>
        <v/>
      </c>
      <c r="AY1146" s="165" t="str">
        <f t="shared" si="738"/>
        <v/>
      </c>
      <c r="AZ1146" s="164" t="str">
        <f>IF($E1146="","",IF(OR(AND($D1146=Input!$C$6,$C1146=12),$AN1146=1),0,-AS1147+AT1147+AU1147-AV1147-AW1147-AX1147+AZ1147))</f>
        <v/>
      </c>
      <c r="BA1146" s="154" t="str">
        <f t="shared" si="725"/>
        <v/>
      </c>
      <c r="BC1146" s="147" t="str">
        <f t="shared" si="739"/>
        <v/>
      </c>
      <c r="BD1146" s="164" t="str">
        <f>IF(AND($C1145=12,$D1145=Input!$C$6),0,IF($E1146="","",AT1146+(AU1146+BD1147)/(1+$AK1146)*MIN((1-AM1146-AN1146),1)))</f>
        <v/>
      </c>
      <c r="BE1146" s="164" t="str">
        <f t="shared" si="754"/>
        <v/>
      </c>
      <c r="BF1146" s="164" t="str">
        <f t="shared" si="740"/>
        <v/>
      </c>
      <c r="BG1146" s="164" t="str">
        <f t="shared" si="726"/>
        <v/>
      </c>
      <c r="BH1146" s="152"/>
      <c r="BI1146" s="162" t="str">
        <f t="shared" si="748"/>
        <v/>
      </c>
      <c r="BJ1146" s="150" t="str">
        <f t="shared" si="749"/>
        <v/>
      </c>
      <c r="BK1146" s="163" t="str">
        <f t="shared" si="745"/>
        <v/>
      </c>
      <c r="BL1146" s="163" t="str">
        <f t="shared" si="750"/>
        <v/>
      </c>
      <c r="BM1146" s="163" t="str">
        <f t="shared" si="746"/>
        <v/>
      </c>
      <c r="BN1146" s="163" t="str">
        <f t="shared" si="751"/>
        <v/>
      </c>
      <c r="BO1146" s="163" t="str">
        <f t="shared" si="752"/>
        <v/>
      </c>
      <c r="BP1146" s="164" t="str">
        <f t="shared" si="747"/>
        <v/>
      </c>
      <c r="BQ1146" s="164" t="str">
        <f t="shared" si="741"/>
        <v/>
      </c>
      <c r="BR1146" s="154" t="str">
        <f t="shared" si="753"/>
        <v/>
      </c>
      <c r="BT1146" s="147" t="str">
        <f t="shared" si="727"/>
        <v/>
      </c>
      <c r="BU1146" s="164" t="str">
        <f>IF(AND($C1145=12,$D1145=Input!$C$6),0,IF($E1146="","",BK1146+(BL1146+BU1147)/(1+$AK1146)*MIN((1-T1146-U1146),1)))</f>
        <v/>
      </c>
      <c r="BV1146" s="164" t="str">
        <f t="shared" si="728"/>
        <v/>
      </c>
      <c r="BW1146" s="164" t="str">
        <f t="shared" si="729"/>
        <v/>
      </c>
      <c r="BX1146" s="164" t="str">
        <f t="shared" si="730"/>
        <v/>
      </c>
    </row>
    <row r="1147" spans="1:76" s="150" customFormat="1" x14ac:dyDescent="0.25">
      <c r="A1147" s="150" t="str">
        <f t="shared" si="742"/>
        <v/>
      </c>
      <c r="B1147" s="150" t="str">
        <f t="shared" si="743"/>
        <v/>
      </c>
      <c r="C1147" s="150" t="str">
        <f t="shared" si="744"/>
        <v/>
      </c>
      <c r="D1147" s="150" t="str">
        <f>IF(E1147="","",Input!$C$4+B1147-1)</f>
        <v/>
      </c>
      <c r="E1147" s="150" t="str">
        <f>IF(OR(AND(C1146=12,D1146=Input!$C$6),E1146=""),"",1)</f>
        <v/>
      </c>
      <c r="F1147" s="150" t="str">
        <f>IF(E1147="","",Input!$C$8+B1147-1)</f>
        <v/>
      </c>
      <c r="G1147" s="151" t="str">
        <f>IF(E1147="","",MAX(0,Input!$C$9-B1147))</f>
        <v/>
      </c>
      <c r="H1147" s="152" t="str">
        <f>IF(E1147="","",Input!$C$3)</f>
        <v/>
      </c>
      <c r="I1147" s="153" t="str">
        <f>IF(E1147="","",HLOOKUP($B1147,Input!$C$13:$BT$14,2))</f>
        <v/>
      </c>
      <c r="J1147" s="154"/>
      <c r="K1147" s="155" t="str">
        <f>IF($E1147="","",INDEX(Input!$C$16:$CP$16,1,$B1147))</f>
        <v/>
      </c>
      <c r="L1147" s="155" t="str">
        <f>IF($E1147="","",Input!$C$37)</f>
        <v/>
      </c>
      <c r="M1147" s="155" t="str">
        <f t="shared" si="755"/>
        <v/>
      </c>
      <c r="N1147" s="155" t="str">
        <f t="shared" si="756"/>
        <v/>
      </c>
      <c r="O1147" s="147" t="str">
        <f>IF($E1147="","",MIN(VLOOKUP(IF($B1147&lt;=Input!$C$7,$B1147,26),'Mortality Tables'!$A$41:$CW$67,IF($B1147&lt;=Input!$C$7+1,Input!$C$4+2,$D1147-Input!$C$7+2),0)*IF(B1147&gt;20,Input!$C$22,1)/1000,1))</f>
        <v/>
      </c>
      <c r="P1147" s="147" t="str">
        <f>IF($E1147="","",MIN(VLOOKUP(IF($B1147&lt;=Input!$C$7,$B1147,26),'Mortality Tables'!$A$12:$CW$37,IF($B1147&lt;=Input!$C$7+1,Input!$C$4+2,$D1147-Input!$C$7+2),0)*IF(B1147&gt;20,Input!$C$22,1)/1000,1))</f>
        <v/>
      </c>
      <c r="Q1147" s="155" t="str">
        <f>IF($E1147="","",Input!$C$21)</f>
        <v/>
      </c>
      <c r="R1147" s="159" t="str">
        <f>IF($E1147="","",(1-Q1147)^($F1147-Input!$C$20))</f>
        <v/>
      </c>
      <c r="S1147" s="147" t="str">
        <f t="shared" si="716"/>
        <v/>
      </c>
      <c r="T1147" s="147" t="str">
        <f t="shared" si="717"/>
        <v/>
      </c>
      <c r="U1147" s="160" t="str">
        <f>IF($E1147="","",IF($C1147=12,INDEX(Input!$C$15:$CP$15,1,$B1147),0))</f>
        <v/>
      </c>
      <c r="V1147" s="150" t="str">
        <f>IF(E1147="","",IF(C1147=1,IF($B1147=1,Input!$C$33,Input!$C$34),0))</f>
        <v/>
      </c>
      <c r="W1147" s="156" t="str">
        <f>IF($E1147="","",Input!$C$35)</f>
        <v/>
      </c>
      <c r="X1147" s="156" t="str">
        <f t="shared" si="757"/>
        <v/>
      </c>
      <c r="Y1147" s="154"/>
      <c r="Z1147" s="147" t="str">
        <f>IF($E1147="","",VLOOKUP($D1147,'Mortality Margins &amp; Grading'!$AB$5:$AF$125,3,0)*IF(Summary!$D$25="Included Margin",IF(AND($B1147&gt;Input!$C$9,Summary!$D$31&lt;&gt;"Included Margin"),0,1),0))</f>
        <v/>
      </c>
      <c r="AA1147" s="147" t="str">
        <f>IF($E1147="","",VLOOKUP($D1147,'Mortality Margins &amp; Grading'!$AB$5:$AF$125,5,0)*IF(Summary!$D$25="Included Margin",IF(AND($B1147&gt;Input!$C$9,Summary!$D$31&lt;&gt;"Included Margin"),0,1),0))</f>
        <v/>
      </c>
      <c r="AB1147" s="147" t="str">
        <f>IF($E1147="","",IF(AND($B1147&gt;Input!$C$9,Summary!$D$31&lt;&gt;"Included Margin"),1,IF(Summary!$D$25="Included Margin",VLOOKUP($B1147,'Mortality Margins &amp; Grading'!$AI$5:$AR$125,MATCH('Mortality Margins &amp; Grading'!$AQ$4,'Mortality Margins &amp; Grading'!$AI$4:$AR$4,0),0),1)))</f>
        <v/>
      </c>
      <c r="AC1147" s="154"/>
      <c r="AD1147" s="158" t="str">
        <f>IF(E1147="","",Input!$C$48*IF(Summary!$D$30="Included Margin",IF(AND($B1147&gt;Input!$C$9,Summary!$D$31&lt;&gt;"Included Margin"),0,1),0))</f>
        <v/>
      </c>
      <c r="AE1147" s="159" t="str">
        <f>IF(E1147="","",IF(Summary!$D$26="Included Margin",IF(AND($B1147&gt;Input!$C$9,Summary!$D$31&lt;&gt;"Included Margin"),1,1/$R1147),1))</f>
        <v/>
      </c>
      <c r="AF1147" s="160" t="str">
        <f>IF(E1147="","",IF(AND($B1147&gt;=Input!$C$9,$C1147=12,Summary!$D$31="Included Margin",$U1147&gt;0),1/U1147-1,IF($B1147&gt;=Input!$C$9,0,Input!$C$45*IF(Summary!$D$27="Included Margin",1,0))))</f>
        <v/>
      </c>
      <c r="AG1147" s="160" t="str">
        <f>IF(E1147="","",Input!$C$46*IF(Summary!$D$28="Included Margin",IF(AND($B1147&gt;Input!$C$9,Summary!$D$31&lt;&gt;"Included Margin"),0,1),0))</f>
        <v/>
      </c>
      <c r="AH1147" s="158" t="str">
        <f>IF(E1147="","",Input!$C$47*IF(Summary!$D$29="Included Margin",IF(AND($B1147&gt;Input!$C$9,Summary!$D$31&lt;&gt;"Included Margin"),0,1),0))</f>
        <v/>
      </c>
      <c r="AI1147" s="154"/>
      <c r="AJ1147" s="158" t="str">
        <f t="shared" si="731"/>
        <v/>
      </c>
      <c r="AK1147" s="155" t="str">
        <f t="shared" si="732"/>
        <v/>
      </c>
      <c r="AL1147" s="147" t="str">
        <f t="shared" si="733"/>
        <v/>
      </c>
      <c r="AM1147" s="147" t="str">
        <f t="shared" si="718"/>
        <v/>
      </c>
      <c r="AN1147" s="160" t="str">
        <f t="shared" si="734"/>
        <v/>
      </c>
      <c r="AO1147" s="161" t="str">
        <f t="shared" si="735"/>
        <v/>
      </c>
      <c r="AP1147" s="156" t="str">
        <f t="shared" si="719"/>
        <v/>
      </c>
      <c r="AQ1147" s="152"/>
      <c r="AR1147" s="162" t="str">
        <f t="shared" si="720"/>
        <v/>
      </c>
      <c r="AS1147" s="150" t="str">
        <f t="shared" si="736"/>
        <v/>
      </c>
      <c r="AT1147" s="163" t="str">
        <f t="shared" si="721"/>
        <v/>
      </c>
      <c r="AU1147" s="163" t="str">
        <f t="shared" si="722"/>
        <v/>
      </c>
      <c r="AV1147" s="163" t="str">
        <f t="shared" si="737"/>
        <v/>
      </c>
      <c r="AW1147" s="163" t="str">
        <f t="shared" si="723"/>
        <v/>
      </c>
      <c r="AX1147" s="163" t="str">
        <f t="shared" si="724"/>
        <v/>
      </c>
      <c r="AY1147" s="164" t="str">
        <f t="shared" si="738"/>
        <v/>
      </c>
      <c r="AZ1147" s="164" t="str">
        <f>IF($E1147="","",IF(OR(AND($D1147=Input!$C$6,$C1147=12),$AN1147=1),0,-AS1148+AT1148+AU1148-AV1148-AW1148-AX1148+AZ1148))</f>
        <v/>
      </c>
      <c r="BA1147" s="154" t="str">
        <f t="shared" si="725"/>
        <v/>
      </c>
      <c r="BC1147" s="147" t="str">
        <f t="shared" si="739"/>
        <v/>
      </c>
      <c r="BD1147" s="164" t="str">
        <f>IF(AND($C1146=12,$D1146=Input!$C$6),0,IF($E1147="","",AT1147+(AU1147+BD1148)/(1+$AK1147)*MIN((1-AM1147-AN1147),1)))</f>
        <v/>
      </c>
      <c r="BE1147" s="164" t="str">
        <f t="shared" si="754"/>
        <v/>
      </c>
      <c r="BF1147" s="164" t="str">
        <f t="shared" si="740"/>
        <v/>
      </c>
      <c r="BG1147" s="164" t="str">
        <f t="shared" si="726"/>
        <v/>
      </c>
      <c r="BH1147" s="152"/>
      <c r="BI1147" s="162" t="str">
        <f t="shared" si="748"/>
        <v/>
      </c>
      <c r="BJ1147" s="150" t="str">
        <f t="shared" si="749"/>
        <v/>
      </c>
      <c r="BK1147" s="163" t="str">
        <f t="shared" si="745"/>
        <v/>
      </c>
      <c r="BL1147" s="163" t="str">
        <f t="shared" si="750"/>
        <v/>
      </c>
      <c r="BM1147" s="163" t="str">
        <f t="shared" si="746"/>
        <v/>
      </c>
      <c r="BN1147" s="163" t="str">
        <f t="shared" si="751"/>
        <v/>
      </c>
      <c r="BO1147" s="163" t="str">
        <f t="shared" si="752"/>
        <v/>
      </c>
      <c r="BP1147" s="164" t="str">
        <f t="shared" si="747"/>
        <v/>
      </c>
      <c r="BQ1147" s="164" t="str">
        <f t="shared" si="741"/>
        <v/>
      </c>
      <c r="BR1147" s="154" t="str">
        <f t="shared" si="753"/>
        <v/>
      </c>
      <c r="BT1147" s="147" t="str">
        <f t="shared" si="727"/>
        <v/>
      </c>
      <c r="BU1147" s="164" t="str">
        <f>IF(AND($C1146=12,$D1146=Input!$C$6),0,IF($E1147="","",BK1147+(BL1147+BU1148)/(1+$AK1147)*MIN((1-T1147-U1147),1)))</f>
        <v/>
      </c>
      <c r="BV1147" s="164" t="str">
        <f t="shared" si="728"/>
        <v/>
      </c>
      <c r="BW1147" s="164" t="str">
        <f t="shared" si="729"/>
        <v/>
      </c>
      <c r="BX1147" s="164" t="str">
        <f t="shared" si="730"/>
        <v/>
      </c>
    </row>
    <row r="1148" spans="1:76" s="150" customFormat="1" x14ac:dyDescent="0.25">
      <c r="A1148" s="150" t="str">
        <f t="shared" si="742"/>
        <v/>
      </c>
      <c r="B1148" s="150" t="str">
        <f t="shared" si="743"/>
        <v/>
      </c>
      <c r="C1148" s="150" t="str">
        <f t="shared" si="744"/>
        <v/>
      </c>
      <c r="D1148" s="150" t="str">
        <f>IF(E1148="","",Input!$C$4+B1148-1)</f>
        <v/>
      </c>
      <c r="E1148" s="150" t="str">
        <f>IF(OR(AND(C1147=12,D1147=Input!$C$6),E1147=""),"",1)</f>
        <v/>
      </c>
      <c r="F1148" s="150" t="str">
        <f>IF(E1148="","",Input!$C$8+B1148-1)</f>
        <v/>
      </c>
      <c r="G1148" s="151" t="str">
        <f>IF(E1148="","",MAX(0,Input!$C$9-B1148))</f>
        <v/>
      </c>
      <c r="H1148" s="152" t="str">
        <f>IF(E1148="","",Input!$C$3)</f>
        <v/>
      </c>
      <c r="I1148" s="153" t="str">
        <f>IF(E1148="","",HLOOKUP($B1148,Input!$C$13:$BT$14,2))</f>
        <v/>
      </c>
      <c r="J1148" s="154"/>
      <c r="K1148" s="155" t="str">
        <f>IF($E1148="","",INDEX(Input!$C$16:$CP$16,1,$B1148))</f>
        <v/>
      </c>
      <c r="L1148" s="155" t="str">
        <f>IF($E1148="","",Input!$C$37)</f>
        <v/>
      </c>
      <c r="M1148" s="155" t="str">
        <f t="shared" si="755"/>
        <v/>
      </c>
      <c r="N1148" s="155" t="str">
        <f t="shared" si="756"/>
        <v/>
      </c>
      <c r="O1148" s="147" t="str">
        <f>IF($E1148="","",MIN(VLOOKUP(IF($B1148&lt;=Input!$C$7,$B1148,26),'Mortality Tables'!$A$41:$CW$67,IF($B1148&lt;=Input!$C$7+1,Input!$C$4+2,$D1148-Input!$C$7+2),0)*IF(B1148&gt;20,Input!$C$22,1)/1000,1))</f>
        <v/>
      </c>
      <c r="P1148" s="147" t="str">
        <f>IF($E1148="","",MIN(VLOOKUP(IF($B1148&lt;=Input!$C$7,$B1148,26),'Mortality Tables'!$A$12:$CW$37,IF($B1148&lt;=Input!$C$7+1,Input!$C$4+2,$D1148-Input!$C$7+2),0)*IF(B1148&gt;20,Input!$C$22,1)/1000,1))</f>
        <v/>
      </c>
      <c r="Q1148" s="155" t="str">
        <f>IF($E1148="","",Input!$C$21)</f>
        <v/>
      </c>
      <c r="R1148" s="159" t="str">
        <f>IF($E1148="","",(1-Q1148)^($F1148-Input!$C$20))</f>
        <v/>
      </c>
      <c r="S1148" s="147" t="str">
        <f t="shared" si="716"/>
        <v/>
      </c>
      <c r="T1148" s="147" t="str">
        <f t="shared" si="717"/>
        <v/>
      </c>
      <c r="U1148" s="160" t="str">
        <f>IF($E1148="","",IF($C1148=12,INDEX(Input!$C$15:$CP$15,1,$B1148),0))</f>
        <v/>
      </c>
      <c r="V1148" s="150" t="str">
        <f>IF(E1148="","",IF(C1148=1,IF($B1148=1,Input!$C$33,Input!$C$34),0))</f>
        <v/>
      </c>
      <c r="W1148" s="156" t="str">
        <f>IF($E1148="","",Input!$C$35)</f>
        <v/>
      </c>
      <c r="X1148" s="156" t="str">
        <f t="shared" si="757"/>
        <v/>
      </c>
      <c r="Y1148" s="154"/>
      <c r="Z1148" s="147" t="str">
        <f>IF($E1148="","",VLOOKUP($D1148,'Mortality Margins &amp; Grading'!$AB$5:$AF$125,3,0)*IF(Summary!$D$25="Included Margin",IF(AND($B1148&gt;Input!$C$9,Summary!$D$31&lt;&gt;"Included Margin"),0,1),0))</f>
        <v/>
      </c>
      <c r="AA1148" s="147" t="str">
        <f>IF($E1148="","",VLOOKUP($D1148,'Mortality Margins &amp; Grading'!$AB$5:$AF$125,5,0)*IF(Summary!$D$25="Included Margin",IF(AND($B1148&gt;Input!$C$9,Summary!$D$31&lt;&gt;"Included Margin"),0,1),0))</f>
        <v/>
      </c>
      <c r="AB1148" s="147" t="str">
        <f>IF($E1148="","",IF(AND($B1148&gt;Input!$C$9,Summary!$D$31&lt;&gt;"Included Margin"),1,IF(Summary!$D$25="Included Margin",VLOOKUP($B1148,'Mortality Margins &amp; Grading'!$AI$5:$AR$125,MATCH('Mortality Margins &amp; Grading'!$AQ$4,'Mortality Margins &amp; Grading'!$AI$4:$AR$4,0),0),1)))</f>
        <v/>
      </c>
      <c r="AC1148" s="154"/>
      <c r="AD1148" s="158" t="str">
        <f>IF(E1148="","",Input!$C$48*IF(Summary!$D$30="Included Margin",IF(AND($B1148&gt;Input!$C$9,Summary!$D$31&lt;&gt;"Included Margin"),0,1),0))</f>
        <v/>
      </c>
      <c r="AE1148" s="159" t="str">
        <f>IF(E1148="","",IF(Summary!$D$26="Included Margin",IF(AND($B1148&gt;Input!$C$9,Summary!$D$31&lt;&gt;"Included Margin"),1,1/$R1148),1))</f>
        <v/>
      </c>
      <c r="AF1148" s="160" t="str">
        <f>IF(E1148="","",IF(AND($B1148&gt;=Input!$C$9,$C1148=12,Summary!$D$31="Included Margin",$U1148&gt;0),1/U1148-1,IF($B1148&gt;=Input!$C$9,0,Input!$C$45*IF(Summary!$D$27="Included Margin",1,0))))</f>
        <v/>
      </c>
      <c r="AG1148" s="160" t="str">
        <f>IF(E1148="","",Input!$C$46*IF(Summary!$D$28="Included Margin",IF(AND($B1148&gt;Input!$C$9,Summary!$D$31&lt;&gt;"Included Margin"),0,1),0))</f>
        <v/>
      </c>
      <c r="AH1148" s="158" t="str">
        <f>IF(E1148="","",Input!$C$47*IF(Summary!$D$29="Included Margin",IF(AND($B1148&gt;Input!$C$9,Summary!$D$31&lt;&gt;"Included Margin"),0,1),0))</f>
        <v/>
      </c>
      <c r="AI1148" s="154"/>
      <c r="AJ1148" s="158" t="str">
        <f t="shared" si="731"/>
        <v/>
      </c>
      <c r="AK1148" s="155" t="str">
        <f t="shared" si="732"/>
        <v/>
      </c>
      <c r="AL1148" s="147" t="str">
        <f t="shared" si="733"/>
        <v/>
      </c>
      <c r="AM1148" s="147" t="str">
        <f t="shared" si="718"/>
        <v/>
      </c>
      <c r="AN1148" s="160" t="str">
        <f t="shared" si="734"/>
        <v/>
      </c>
      <c r="AO1148" s="161" t="str">
        <f t="shared" si="735"/>
        <v/>
      </c>
      <c r="AP1148" s="156" t="str">
        <f t="shared" si="719"/>
        <v/>
      </c>
      <c r="AQ1148" s="152"/>
      <c r="AR1148" s="162" t="str">
        <f t="shared" si="720"/>
        <v/>
      </c>
      <c r="AS1148" s="150" t="str">
        <f t="shared" si="736"/>
        <v/>
      </c>
      <c r="AT1148" s="163" t="str">
        <f t="shared" si="721"/>
        <v/>
      </c>
      <c r="AU1148" s="163" t="str">
        <f t="shared" si="722"/>
        <v/>
      </c>
      <c r="AV1148" s="163" t="str">
        <f t="shared" si="737"/>
        <v/>
      </c>
      <c r="AW1148" s="163" t="str">
        <f t="shared" si="723"/>
        <v/>
      </c>
      <c r="AX1148" s="163" t="str">
        <f t="shared" si="724"/>
        <v/>
      </c>
      <c r="AY1148" s="165" t="str">
        <f t="shared" si="738"/>
        <v/>
      </c>
      <c r="AZ1148" s="164" t="str">
        <f>IF($E1148="","",IF(OR(AND($D1148=Input!$C$6,$C1148=12),$AN1148=1),0,-AS1149+AT1149+AU1149-AV1149-AW1149-AX1149+AZ1149))</f>
        <v/>
      </c>
      <c r="BA1148" s="154" t="str">
        <f t="shared" si="725"/>
        <v/>
      </c>
      <c r="BC1148" s="147" t="str">
        <f t="shared" si="739"/>
        <v/>
      </c>
      <c r="BD1148" s="164" t="str">
        <f>IF(AND($C1147=12,$D1147=Input!$C$6),0,IF($E1148="","",AT1148+(AU1148+BD1149)/(1+$AK1148)*MIN((1-AM1148-AN1148),1)))</f>
        <v/>
      </c>
      <c r="BE1148" s="164" t="str">
        <f t="shared" si="754"/>
        <v/>
      </c>
      <c r="BF1148" s="164" t="str">
        <f t="shared" si="740"/>
        <v/>
      </c>
      <c r="BG1148" s="164" t="str">
        <f t="shared" si="726"/>
        <v/>
      </c>
      <c r="BH1148" s="152"/>
      <c r="BI1148" s="162" t="str">
        <f t="shared" si="748"/>
        <v/>
      </c>
      <c r="BJ1148" s="150" t="str">
        <f t="shared" si="749"/>
        <v/>
      </c>
      <c r="BK1148" s="163" t="str">
        <f t="shared" si="745"/>
        <v/>
      </c>
      <c r="BL1148" s="163" t="str">
        <f t="shared" si="750"/>
        <v/>
      </c>
      <c r="BM1148" s="163" t="str">
        <f t="shared" si="746"/>
        <v/>
      </c>
      <c r="BN1148" s="163" t="str">
        <f t="shared" si="751"/>
        <v/>
      </c>
      <c r="BO1148" s="163" t="str">
        <f t="shared" si="752"/>
        <v/>
      </c>
      <c r="BP1148" s="164" t="str">
        <f t="shared" si="747"/>
        <v/>
      </c>
      <c r="BQ1148" s="164" t="str">
        <f t="shared" si="741"/>
        <v/>
      </c>
      <c r="BR1148" s="154" t="str">
        <f t="shared" si="753"/>
        <v/>
      </c>
      <c r="BT1148" s="147" t="str">
        <f t="shared" si="727"/>
        <v/>
      </c>
      <c r="BU1148" s="164" t="str">
        <f>IF(AND($C1147=12,$D1147=Input!$C$6),0,IF($E1148="","",BK1148+(BL1148+BU1149)/(1+$AK1148)*MIN((1-T1148-U1148),1)))</f>
        <v/>
      </c>
      <c r="BV1148" s="164" t="str">
        <f t="shared" si="728"/>
        <v/>
      </c>
      <c r="BW1148" s="164" t="str">
        <f t="shared" si="729"/>
        <v/>
      </c>
      <c r="BX1148" s="164" t="str">
        <f t="shared" si="730"/>
        <v/>
      </c>
    </row>
    <row r="1149" spans="1:76" s="150" customFormat="1" x14ac:dyDescent="0.25">
      <c r="A1149" s="150" t="str">
        <f t="shared" si="742"/>
        <v/>
      </c>
      <c r="B1149" s="150" t="str">
        <f t="shared" si="743"/>
        <v/>
      </c>
      <c r="C1149" s="150" t="str">
        <f t="shared" si="744"/>
        <v/>
      </c>
      <c r="D1149" s="150" t="str">
        <f>IF(E1149="","",Input!$C$4+B1149-1)</f>
        <v/>
      </c>
      <c r="E1149" s="150" t="str">
        <f>IF(OR(AND(C1148=12,D1148=Input!$C$6),E1148=""),"",1)</f>
        <v/>
      </c>
      <c r="F1149" s="150" t="str">
        <f>IF(E1149="","",Input!$C$8+B1149-1)</f>
        <v/>
      </c>
      <c r="G1149" s="151" t="str">
        <f>IF(E1149="","",MAX(0,Input!$C$9-B1149))</f>
        <v/>
      </c>
      <c r="H1149" s="152" t="str">
        <f>IF(E1149="","",Input!$C$3)</f>
        <v/>
      </c>
      <c r="I1149" s="153" t="str">
        <f>IF(E1149="","",HLOOKUP($B1149,Input!$C$13:$BT$14,2))</f>
        <v/>
      </c>
      <c r="J1149" s="154"/>
      <c r="K1149" s="155" t="str">
        <f>IF($E1149="","",INDEX(Input!$C$16:$CP$16,1,$B1149))</f>
        <v/>
      </c>
      <c r="L1149" s="155" t="str">
        <f>IF($E1149="","",Input!$C$37)</f>
        <v/>
      </c>
      <c r="M1149" s="155" t="str">
        <f t="shared" si="755"/>
        <v/>
      </c>
      <c r="N1149" s="155" t="str">
        <f t="shared" si="756"/>
        <v/>
      </c>
      <c r="O1149" s="147" t="str">
        <f>IF($E1149="","",MIN(VLOOKUP(IF($B1149&lt;=Input!$C$7,$B1149,26),'Mortality Tables'!$A$41:$CW$67,IF($B1149&lt;=Input!$C$7+1,Input!$C$4+2,$D1149-Input!$C$7+2),0)*IF(B1149&gt;20,Input!$C$22,1)/1000,1))</f>
        <v/>
      </c>
      <c r="P1149" s="147" t="str">
        <f>IF($E1149="","",MIN(VLOOKUP(IF($B1149&lt;=Input!$C$7,$B1149,26),'Mortality Tables'!$A$12:$CW$37,IF($B1149&lt;=Input!$C$7+1,Input!$C$4+2,$D1149-Input!$C$7+2),0)*IF(B1149&gt;20,Input!$C$22,1)/1000,1))</f>
        <v/>
      </c>
      <c r="Q1149" s="155" t="str">
        <f>IF($E1149="","",Input!$C$21)</f>
        <v/>
      </c>
      <c r="R1149" s="159" t="str">
        <f>IF($E1149="","",(1-Q1149)^($F1149-Input!$C$20))</f>
        <v/>
      </c>
      <c r="S1149" s="147" t="str">
        <f t="shared" si="716"/>
        <v/>
      </c>
      <c r="T1149" s="147" t="str">
        <f t="shared" si="717"/>
        <v/>
      </c>
      <c r="U1149" s="160" t="str">
        <f>IF($E1149="","",IF($C1149=12,INDEX(Input!$C$15:$CP$15,1,$B1149),0))</f>
        <v/>
      </c>
      <c r="V1149" s="150" t="str">
        <f>IF(E1149="","",IF(C1149=1,IF($B1149=1,Input!$C$33,Input!$C$34),0))</f>
        <v/>
      </c>
      <c r="W1149" s="156" t="str">
        <f>IF($E1149="","",Input!$C$35)</f>
        <v/>
      </c>
      <c r="X1149" s="156" t="str">
        <f t="shared" si="757"/>
        <v/>
      </c>
      <c r="Y1149" s="154"/>
      <c r="Z1149" s="147" t="str">
        <f>IF($E1149="","",VLOOKUP($D1149,'Mortality Margins &amp; Grading'!$AB$5:$AF$125,3,0)*IF(Summary!$D$25="Included Margin",IF(AND($B1149&gt;Input!$C$9,Summary!$D$31&lt;&gt;"Included Margin"),0,1),0))</f>
        <v/>
      </c>
      <c r="AA1149" s="147" t="str">
        <f>IF($E1149="","",VLOOKUP($D1149,'Mortality Margins &amp; Grading'!$AB$5:$AF$125,5,0)*IF(Summary!$D$25="Included Margin",IF(AND($B1149&gt;Input!$C$9,Summary!$D$31&lt;&gt;"Included Margin"),0,1),0))</f>
        <v/>
      </c>
      <c r="AB1149" s="147" t="str">
        <f>IF($E1149="","",IF(AND($B1149&gt;Input!$C$9,Summary!$D$31&lt;&gt;"Included Margin"),1,IF(Summary!$D$25="Included Margin",VLOOKUP($B1149,'Mortality Margins &amp; Grading'!$AI$5:$AR$125,MATCH('Mortality Margins &amp; Grading'!$AQ$4,'Mortality Margins &amp; Grading'!$AI$4:$AR$4,0),0),1)))</f>
        <v/>
      </c>
      <c r="AC1149" s="154"/>
      <c r="AD1149" s="158" t="str">
        <f>IF(E1149="","",Input!$C$48*IF(Summary!$D$30="Included Margin",IF(AND($B1149&gt;Input!$C$9,Summary!$D$31&lt;&gt;"Included Margin"),0,1),0))</f>
        <v/>
      </c>
      <c r="AE1149" s="159" t="str">
        <f>IF(E1149="","",IF(Summary!$D$26="Included Margin",IF(AND($B1149&gt;Input!$C$9,Summary!$D$31&lt;&gt;"Included Margin"),1,1/$R1149),1))</f>
        <v/>
      </c>
      <c r="AF1149" s="160" t="str">
        <f>IF(E1149="","",IF(AND($B1149&gt;=Input!$C$9,$C1149=12,Summary!$D$31="Included Margin",$U1149&gt;0),1/U1149-1,IF($B1149&gt;=Input!$C$9,0,Input!$C$45*IF(Summary!$D$27="Included Margin",1,0))))</f>
        <v/>
      </c>
      <c r="AG1149" s="160" t="str">
        <f>IF(E1149="","",Input!$C$46*IF(Summary!$D$28="Included Margin",IF(AND($B1149&gt;Input!$C$9,Summary!$D$31&lt;&gt;"Included Margin"),0,1),0))</f>
        <v/>
      </c>
      <c r="AH1149" s="158" t="str">
        <f>IF(E1149="","",Input!$C$47*IF(Summary!$D$29="Included Margin",IF(AND($B1149&gt;Input!$C$9,Summary!$D$31&lt;&gt;"Included Margin"),0,1),0))</f>
        <v/>
      </c>
      <c r="AI1149" s="154"/>
      <c r="AJ1149" s="158" t="str">
        <f t="shared" si="731"/>
        <v/>
      </c>
      <c r="AK1149" s="155" t="str">
        <f t="shared" si="732"/>
        <v/>
      </c>
      <c r="AL1149" s="147" t="str">
        <f t="shared" si="733"/>
        <v/>
      </c>
      <c r="AM1149" s="147" t="str">
        <f t="shared" si="718"/>
        <v/>
      </c>
      <c r="AN1149" s="160" t="str">
        <f t="shared" si="734"/>
        <v/>
      </c>
      <c r="AO1149" s="161" t="str">
        <f t="shared" si="735"/>
        <v/>
      </c>
      <c r="AP1149" s="156" t="str">
        <f t="shared" si="719"/>
        <v/>
      </c>
      <c r="AQ1149" s="152"/>
      <c r="AR1149" s="162" t="str">
        <f t="shared" si="720"/>
        <v/>
      </c>
      <c r="AS1149" s="150" t="str">
        <f t="shared" si="736"/>
        <v/>
      </c>
      <c r="AT1149" s="163" t="str">
        <f t="shared" si="721"/>
        <v/>
      </c>
      <c r="AU1149" s="163" t="str">
        <f t="shared" si="722"/>
        <v/>
      </c>
      <c r="AV1149" s="163" t="str">
        <f t="shared" si="737"/>
        <v/>
      </c>
      <c r="AW1149" s="163" t="str">
        <f t="shared" si="723"/>
        <v/>
      </c>
      <c r="AX1149" s="163" t="str">
        <f t="shared" si="724"/>
        <v/>
      </c>
      <c r="AY1149" s="164" t="str">
        <f t="shared" si="738"/>
        <v/>
      </c>
      <c r="AZ1149" s="164" t="str">
        <f>IF($E1149="","",IF(OR(AND($D1149=Input!$C$6,$C1149=12),$AN1149=1),0,-AS1150+AT1150+AU1150-AV1150-AW1150-AX1150+AZ1150))</f>
        <v/>
      </c>
      <c r="BA1149" s="154" t="str">
        <f t="shared" si="725"/>
        <v/>
      </c>
      <c r="BC1149" s="147" t="str">
        <f t="shared" si="739"/>
        <v/>
      </c>
      <c r="BD1149" s="164" t="str">
        <f>IF(AND($C1148=12,$D1148=Input!$C$6),0,IF($E1149="","",AT1149+(AU1149+BD1150)/(1+$AK1149)*MIN((1-AM1149-AN1149),1)))</f>
        <v/>
      </c>
      <c r="BE1149" s="164" t="str">
        <f t="shared" si="754"/>
        <v/>
      </c>
      <c r="BF1149" s="164" t="str">
        <f t="shared" si="740"/>
        <v/>
      </c>
      <c r="BG1149" s="164" t="str">
        <f t="shared" si="726"/>
        <v/>
      </c>
      <c r="BH1149" s="152"/>
      <c r="BI1149" s="162" t="str">
        <f t="shared" si="748"/>
        <v/>
      </c>
      <c r="BJ1149" s="150" t="str">
        <f t="shared" si="749"/>
        <v/>
      </c>
      <c r="BK1149" s="163" t="str">
        <f t="shared" si="745"/>
        <v/>
      </c>
      <c r="BL1149" s="163" t="str">
        <f t="shared" si="750"/>
        <v/>
      </c>
      <c r="BM1149" s="163" t="str">
        <f t="shared" si="746"/>
        <v/>
      </c>
      <c r="BN1149" s="163" t="str">
        <f t="shared" si="751"/>
        <v/>
      </c>
      <c r="BO1149" s="163" t="str">
        <f t="shared" si="752"/>
        <v/>
      </c>
      <c r="BP1149" s="164" t="str">
        <f t="shared" si="747"/>
        <v/>
      </c>
      <c r="BQ1149" s="164" t="str">
        <f t="shared" si="741"/>
        <v/>
      </c>
      <c r="BR1149" s="154" t="str">
        <f t="shared" si="753"/>
        <v/>
      </c>
      <c r="BT1149" s="147" t="str">
        <f t="shared" si="727"/>
        <v/>
      </c>
      <c r="BU1149" s="164" t="str">
        <f>IF(AND($C1148=12,$D1148=Input!$C$6),0,IF($E1149="","",BK1149+(BL1149+BU1150)/(1+$AK1149)*MIN((1-T1149-U1149),1)))</f>
        <v/>
      </c>
      <c r="BV1149" s="164" t="str">
        <f t="shared" si="728"/>
        <v/>
      </c>
      <c r="BW1149" s="164" t="str">
        <f t="shared" si="729"/>
        <v/>
      </c>
      <c r="BX1149" s="164" t="str">
        <f t="shared" si="730"/>
        <v/>
      </c>
    </row>
    <row r="1150" spans="1:76" s="150" customFormat="1" x14ac:dyDescent="0.25">
      <c r="A1150" s="150" t="str">
        <f t="shared" si="742"/>
        <v/>
      </c>
      <c r="B1150" s="150" t="str">
        <f t="shared" si="743"/>
        <v/>
      </c>
      <c r="C1150" s="150" t="str">
        <f t="shared" si="744"/>
        <v/>
      </c>
      <c r="D1150" s="150" t="str">
        <f>IF(E1150="","",Input!$C$4+B1150-1)</f>
        <v/>
      </c>
      <c r="E1150" s="150" t="str">
        <f>IF(OR(AND(C1149=12,D1149=Input!$C$6),E1149=""),"",1)</f>
        <v/>
      </c>
      <c r="F1150" s="150" t="str">
        <f>IF(E1150="","",Input!$C$8+B1150-1)</f>
        <v/>
      </c>
      <c r="G1150" s="151" t="str">
        <f>IF(E1150="","",MAX(0,Input!$C$9-B1150))</f>
        <v/>
      </c>
      <c r="H1150" s="152" t="str">
        <f>IF(E1150="","",Input!$C$3)</f>
        <v/>
      </c>
      <c r="I1150" s="153" t="str">
        <f>IF(E1150="","",HLOOKUP($B1150,Input!$C$13:$BT$14,2))</f>
        <v/>
      </c>
      <c r="J1150" s="154"/>
      <c r="K1150" s="155" t="str">
        <f>IF($E1150="","",INDEX(Input!$C$16:$CP$16,1,$B1150))</f>
        <v/>
      </c>
      <c r="L1150" s="155" t="str">
        <f>IF($E1150="","",Input!$C$37)</f>
        <v/>
      </c>
      <c r="M1150" s="155" t="str">
        <f t="shared" si="755"/>
        <v/>
      </c>
      <c r="N1150" s="155" t="str">
        <f t="shared" si="756"/>
        <v/>
      </c>
      <c r="O1150" s="147" t="str">
        <f>IF($E1150="","",MIN(VLOOKUP(IF($B1150&lt;=Input!$C$7,$B1150,26),'Mortality Tables'!$A$41:$CW$67,IF($B1150&lt;=Input!$C$7+1,Input!$C$4+2,$D1150-Input!$C$7+2),0)*IF(B1150&gt;20,Input!$C$22,1)/1000,1))</f>
        <v/>
      </c>
      <c r="P1150" s="147" t="str">
        <f>IF($E1150="","",MIN(VLOOKUP(IF($B1150&lt;=Input!$C$7,$B1150,26),'Mortality Tables'!$A$12:$CW$37,IF($B1150&lt;=Input!$C$7+1,Input!$C$4+2,$D1150-Input!$C$7+2),0)*IF(B1150&gt;20,Input!$C$22,1)/1000,1))</f>
        <v/>
      </c>
      <c r="Q1150" s="155" t="str">
        <f>IF($E1150="","",Input!$C$21)</f>
        <v/>
      </c>
      <c r="R1150" s="159" t="str">
        <f>IF($E1150="","",(1-Q1150)^($F1150-Input!$C$20))</f>
        <v/>
      </c>
      <c r="S1150" s="147" t="str">
        <f t="shared" si="716"/>
        <v/>
      </c>
      <c r="T1150" s="147" t="str">
        <f t="shared" si="717"/>
        <v/>
      </c>
      <c r="U1150" s="160" t="str">
        <f>IF($E1150="","",IF($C1150=12,INDEX(Input!$C$15:$CP$15,1,$B1150),0))</f>
        <v/>
      </c>
      <c r="V1150" s="150" t="str">
        <f>IF(E1150="","",IF(C1150=1,IF($B1150=1,Input!$C$33,Input!$C$34),0))</f>
        <v/>
      </c>
      <c r="W1150" s="156" t="str">
        <f>IF($E1150="","",Input!$C$35)</f>
        <v/>
      </c>
      <c r="X1150" s="156" t="str">
        <f t="shared" si="757"/>
        <v/>
      </c>
      <c r="Y1150" s="154"/>
      <c r="Z1150" s="147" t="str">
        <f>IF($E1150="","",VLOOKUP($D1150,'Mortality Margins &amp; Grading'!$AB$5:$AF$125,3,0)*IF(Summary!$D$25="Included Margin",IF(AND($B1150&gt;Input!$C$9,Summary!$D$31&lt;&gt;"Included Margin"),0,1),0))</f>
        <v/>
      </c>
      <c r="AA1150" s="147" t="str">
        <f>IF($E1150="","",VLOOKUP($D1150,'Mortality Margins &amp; Grading'!$AB$5:$AF$125,5,0)*IF(Summary!$D$25="Included Margin",IF(AND($B1150&gt;Input!$C$9,Summary!$D$31&lt;&gt;"Included Margin"),0,1),0))</f>
        <v/>
      </c>
      <c r="AB1150" s="147" t="str">
        <f>IF($E1150="","",IF(AND($B1150&gt;Input!$C$9,Summary!$D$31&lt;&gt;"Included Margin"),1,IF(Summary!$D$25="Included Margin",VLOOKUP($B1150,'Mortality Margins &amp; Grading'!$AI$5:$AR$125,MATCH('Mortality Margins &amp; Grading'!$AQ$4,'Mortality Margins &amp; Grading'!$AI$4:$AR$4,0),0),1)))</f>
        <v/>
      </c>
      <c r="AC1150" s="154"/>
      <c r="AD1150" s="158" t="str">
        <f>IF(E1150="","",Input!$C$48*IF(Summary!$D$30="Included Margin",IF(AND($B1150&gt;Input!$C$9,Summary!$D$31&lt;&gt;"Included Margin"),0,1),0))</f>
        <v/>
      </c>
      <c r="AE1150" s="159" t="str">
        <f>IF(E1150="","",IF(Summary!$D$26="Included Margin",IF(AND($B1150&gt;Input!$C$9,Summary!$D$31&lt;&gt;"Included Margin"),1,1/$R1150),1))</f>
        <v/>
      </c>
      <c r="AF1150" s="160" t="str">
        <f>IF(E1150="","",IF(AND($B1150&gt;=Input!$C$9,$C1150=12,Summary!$D$31="Included Margin",$U1150&gt;0),1/U1150-1,IF($B1150&gt;=Input!$C$9,0,Input!$C$45*IF(Summary!$D$27="Included Margin",1,0))))</f>
        <v/>
      </c>
      <c r="AG1150" s="160" t="str">
        <f>IF(E1150="","",Input!$C$46*IF(Summary!$D$28="Included Margin",IF(AND($B1150&gt;Input!$C$9,Summary!$D$31&lt;&gt;"Included Margin"),0,1),0))</f>
        <v/>
      </c>
      <c r="AH1150" s="158" t="str">
        <f>IF(E1150="","",Input!$C$47*IF(Summary!$D$29="Included Margin",IF(AND($B1150&gt;Input!$C$9,Summary!$D$31&lt;&gt;"Included Margin"),0,1),0))</f>
        <v/>
      </c>
      <c r="AI1150" s="154"/>
      <c r="AJ1150" s="158" t="str">
        <f t="shared" si="731"/>
        <v/>
      </c>
      <c r="AK1150" s="155" t="str">
        <f t="shared" si="732"/>
        <v/>
      </c>
      <c r="AL1150" s="147" t="str">
        <f t="shared" si="733"/>
        <v/>
      </c>
      <c r="AM1150" s="147" t="str">
        <f t="shared" si="718"/>
        <v/>
      </c>
      <c r="AN1150" s="160" t="str">
        <f t="shared" si="734"/>
        <v/>
      </c>
      <c r="AO1150" s="161" t="str">
        <f t="shared" si="735"/>
        <v/>
      </c>
      <c r="AP1150" s="156" t="str">
        <f t="shared" si="719"/>
        <v/>
      </c>
      <c r="AQ1150" s="152"/>
      <c r="AR1150" s="162" t="str">
        <f t="shared" si="720"/>
        <v/>
      </c>
      <c r="AS1150" s="150" t="str">
        <f t="shared" si="736"/>
        <v/>
      </c>
      <c r="AT1150" s="163" t="str">
        <f t="shared" si="721"/>
        <v/>
      </c>
      <c r="AU1150" s="163" t="str">
        <f t="shared" si="722"/>
        <v/>
      </c>
      <c r="AV1150" s="163" t="str">
        <f t="shared" si="737"/>
        <v/>
      </c>
      <c r="AW1150" s="163" t="str">
        <f t="shared" si="723"/>
        <v/>
      </c>
      <c r="AX1150" s="163" t="str">
        <f t="shared" si="724"/>
        <v/>
      </c>
      <c r="AY1150" s="165" t="str">
        <f t="shared" si="738"/>
        <v/>
      </c>
      <c r="AZ1150" s="164" t="str">
        <f>IF($E1150="","",IF(OR(AND($D1150=Input!$C$6,$C1150=12),$AN1150=1),0,-AS1151+AT1151+AU1151-AV1151-AW1151-AX1151+AZ1151))</f>
        <v/>
      </c>
      <c r="BA1150" s="154" t="str">
        <f t="shared" si="725"/>
        <v/>
      </c>
      <c r="BC1150" s="147" t="str">
        <f t="shared" si="739"/>
        <v/>
      </c>
      <c r="BD1150" s="164" t="str">
        <f>IF(AND($C1149=12,$D1149=Input!$C$6),0,IF($E1150="","",AT1150+(AU1150+BD1151)/(1+$AK1150)*MIN((1-AM1150-AN1150),1)))</f>
        <v/>
      </c>
      <c r="BE1150" s="164" t="str">
        <f t="shared" si="754"/>
        <v/>
      </c>
      <c r="BF1150" s="164" t="str">
        <f t="shared" si="740"/>
        <v/>
      </c>
      <c r="BG1150" s="164" t="str">
        <f t="shared" si="726"/>
        <v/>
      </c>
      <c r="BH1150" s="152"/>
      <c r="BI1150" s="162" t="str">
        <f t="shared" si="748"/>
        <v/>
      </c>
      <c r="BJ1150" s="150" t="str">
        <f t="shared" si="749"/>
        <v/>
      </c>
      <c r="BK1150" s="163" t="str">
        <f t="shared" si="745"/>
        <v/>
      </c>
      <c r="BL1150" s="163" t="str">
        <f t="shared" si="750"/>
        <v/>
      </c>
      <c r="BM1150" s="163" t="str">
        <f t="shared" si="746"/>
        <v/>
      </c>
      <c r="BN1150" s="163" t="str">
        <f t="shared" si="751"/>
        <v/>
      </c>
      <c r="BO1150" s="163" t="str">
        <f t="shared" si="752"/>
        <v/>
      </c>
      <c r="BP1150" s="164" t="str">
        <f t="shared" si="747"/>
        <v/>
      </c>
      <c r="BQ1150" s="164" t="str">
        <f t="shared" si="741"/>
        <v/>
      </c>
      <c r="BR1150" s="154" t="str">
        <f t="shared" si="753"/>
        <v/>
      </c>
      <c r="BT1150" s="147" t="str">
        <f t="shared" si="727"/>
        <v/>
      </c>
      <c r="BU1150" s="164" t="str">
        <f>IF(AND($C1149=12,$D1149=Input!$C$6),0,IF($E1150="","",BK1150+(BL1150+BU1151)/(1+$AK1150)*MIN((1-T1150-U1150),1)))</f>
        <v/>
      </c>
      <c r="BV1150" s="164" t="str">
        <f t="shared" si="728"/>
        <v/>
      </c>
      <c r="BW1150" s="164" t="str">
        <f t="shared" si="729"/>
        <v/>
      </c>
      <c r="BX1150" s="164" t="str">
        <f t="shared" si="730"/>
        <v/>
      </c>
    </row>
    <row r="1151" spans="1:76" s="150" customFormat="1" x14ac:dyDescent="0.25">
      <c r="A1151" s="150" t="str">
        <f t="shared" si="742"/>
        <v/>
      </c>
      <c r="B1151" s="150" t="str">
        <f t="shared" si="743"/>
        <v/>
      </c>
      <c r="C1151" s="150" t="str">
        <f t="shared" si="744"/>
        <v/>
      </c>
      <c r="D1151" s="150" t="str">
        <f>IF(E1151="","",Input!$C$4+B1151-1)</f>
        <v/>
      </c>
      <c r="E1151" s="150" t="str">
        <f>IF(OR(AND(C1150=12,D1150=Input!$C$6),E1150=""),"",1)</f>
        <v/>
      </c>
      <c r="F1151" s="150" t="str">
        <f>IF(E1151="","",Input!$C$8+B1151-1)</f>
        <v/>
      </c>
      <c r="G1151" s="151" t="str">
        <f>IF(E1151="","",MAX(0,Input!$C$9-B1151))</f>
        <v/>
      </c>
      <c r="H1151" s="152" t="str">
        <f>IF(E1151="","",Input!$C$3)</f>
        <v/>
      </c>
      <c r="I1151" s="153" t="str">
        <f>IF(E1151="","",HLOOKUP($B1151,Input!$C$13:$BT$14,2))</f>
        <v/>
      </c>
      <c r="J1151" s="154"/>
      <c r="K1151" s="155" t="str">
        <f>IF($E1151="","",INDEX(Input!$C$16:$CP$16,1,$B1151))</f>
        <v/>
      </c>
      <c r="L1151" s="155" t="str">
        <f>IF($E1151="","",Input!$C$37)</f>
        <v/>
      </c>
      <c r="M1151" s="155" t="str">
        <f t="shared" si="755"/>
        <v/>
      </c>
      <c r="N1151" s="155" t="str">
        <f t="shared" si="756"/>
        <v/>
      </c>
      <c r="O1151" s="147" t="str">
        <f>IF($E1151="","",MIN(VLOOKUP(IF($B1151&lt;=Input!$C$7,$B1151,26),'Mortality Tables'!$A$41:$CW$67,IF($B1151&lt;=Input!$C$7+1,Input!$C$4+2,$D1151-Input!$C$7+2),0)*IF(B1151&gt;20,Input!$C$22,1)/1000,1))</f>
        <v/>
      </c>
      <c r="P1151" s="147" t="str">
        <f>IF($E1151="","",MIN(VLOOKUP(IF($B1151&lt;=Input!$C$7,$B1151,26),'Mortality Tables'!$A$12:$CW$37,IF($B1151&lt;=Input!$C$7+1,Input!$C$4+2,$D1151-Input!$C$7+2),0)*IF(B1151&gt;20,Input!$C$22,1)/1000,1))</f>
        <v/>
      </c>
      <c r="Q1151" s="155" t="str">
        <f>IF($E1151="","",Input!$C$21)</f>
        <v/>
      </c>
      <c r="R1151" s="159" t="str">
        <f>IF($E1151="","",(1-Q1151)^($F1151-Input!$C$20))</f>
        <v/>
      </c>
      <c r="S1151" s="147" t="str">
        <f t="shared" si="716"/>
        <v/>
      </c>
      <c r="T1151" s="147" t="str">
        <f t="shared" si="717"/>
        <v/>
      </c>
      <c r="U1151" s="160" t="str">
        <f>IF($E1151="","",IF($C1151=12,INDEX(Input!$C$15:$CP$15,1,$B1151),0))</f>
        <v/>
      </c>
      <c r="V1151" s="150" t="str">
        <f>IF(E1151="","",IF(C1151=1,IF($B1151=1,Input!$C$33,Input!$C$34),0))</f>
        <v/>
      </c>
      <c r="W1151" s="156" t="str">
        <f>IF($E1151="","",Input!$C$35)</f>
        <v/>
      </c>
      <c r="X1151" s="156" t="str">
        <f t="shared" si="757"/>
        <v/>
      </c>
      <c r="Y1151" s="154"/>
      <c r="Z1151" s="147" t="str">
        <f>IF($E1151="","",VLOOKUP($D1151,'Mortality Margins &amp; Grading'!$AB$5:$AF$125,3,0)*IF(Summary!$D$25="Included Margin",IF(AND($B1151&gt;Input!$C$9,Summary!$D$31&lt;&gt;"Included Margin"),0,1),0))</f>
        <v/>
      </c>
      <c r="AA1151" s="147" t="str">
        <f>IF($E1151="","",VLOOKUP($D1151,'Mortality Margins &amp; Grading'!$AB$5:$AF$125,5,0)*IF(Summary!$D$25="Included Margin",IF(AND($B1151&gt;Input!$C$9,Summary!$D$31&lt;&gt;"Included Margin"),0,1),0))</f>
        <v/>
      </c>
      <c r="AB1151" s="147" t="str">
        <f>IF($E1151="","",IF(AND($B1151&gt;Input!$C$9,Summary!$D$31&lt;&gt;"Included Margin"),1,IF(Summary!$D$25="Included Margin",VLOOKUP($B1151,'Mortality Margins &amp; Grading'!$AI$5:$AR$125,MATCH('Mortality Margins &amp; Grading'!$AQ$4,'Mortality Margins &amp; Grading'!$AI$4:$AR$4,0),0),1)))</f>
        <v/>
      </c>
      <c r="AC1151" s="154"/>
      <c r="AD1151" s="158" t="str">
        <f>IF(E1151="","",Input!$C$48*IF(Summary!$D$30="Included Margin",IF(AND($B1151&gt;Input!$C$9,Summary!$D$31&lt;&gt;"Included Margin"),0,1),0))</f>
        <v/>
      </c>
      <c r="AE1151" s="159" t="str">
        <f>IF(E1151="","",IF(Summary!$D$26="Included Margin",IF(AND($B1151&gt;Input!$C$9,Summary!$D$31&lt;&gt;"Included Margin"),1,1/$R1151),1))</f>
        <v/>
      </c>
      <c r="AF1151" s="160" t="str">
        <f>IF(E1151="","",IF(AND($B1151&gt;=Input!$C$9,$C1151=12,Summary!$D$31="Included Margin",$U1151&gt;0),1/U1151-1,IF($B1151&gt;=Input!$C$9,0,Input!$C$45*IF(Summary!$D$27="Included Margin",1,0))))</f>
        <v/>
      </c>
      <c r="AG1151" s="160" t="str">
        <f>IF(E1151="","",Input!$C$46*IF(Summary!$D$28="Included Margin",IF(AND($B1151&gt;Input!$C$9,Summary!$D$31&lt;&gt;"Included Margin"),0,1),0))</f>
        <v/>
      </c>
      <c r="AH1151" s="158" t="str">
        <f>IF(E1151="","",Input!$C$47*IF(Summary!$D$29="Included Margin",IF(AND($B1151&gt;Input!$C$9,Summary!$D$31&lt;&gt;"Included Margin"),0,1),0))</f>
        <v/>
      </c>
      <c r="AI1151" s="154"/>
      <c r="AJ1151" s="158" t="str">
        <f t="shared" si="731"/>
        <v/>
      </c>
      <c r="AK1151" s="155" t="str">
        <f t="shared" si="732"/>
        <v/>
      </c>
      <c r="AL1151" s="147" t="str">
        <f t="shared" si="733"/>
        <v/>
      </c>
      <c r="AM1151" s="147" t="str">
        <f t="shared" si="718"/>
        <v/>
      </c>
      <c r="AN1151" s="160" t="str">
        <f t="shared" si="734"/>
        <v/>
      </c>
      <c r="AO1151" s="161" t="str">
        <f t="shared" si="735"/>
        <v/>
      </c>
      <c r="AP1151" s="156" t="str">
        <f t="shared" si="719"/>
        <v/>
      </c>
      <c r="AQ1151" s="152"/>
      <c r="AR1151" s="162" t="str">
        <f t="shared" si="720"/>
        <v/>
      </c>
      <c r="AS1151" s="150" t="str">
        <f t="shared" si="736"/>
        <v/>
      </c>
      <c r="AT1151" s="163" t="str">
        <f t="shared" si="721"/>
        <v/>
      </c>
      <c r="AU1151" s="163" t="str">
        <f t="shared" si="722"/>
        <v/>
      </c>
      <c r="AV1151" s="163" t="str">
        <f t="shared" si="737"/>
        <v/>
      </c>
      <c r="AW1151" s="163" t="str">
        <f t="shared" si="723"/>
        <v/>
      </c>
      <c r="AX1151" s="163" t="str">
        <f t="shared" si="724"/>
        <v/>
      </c>
      <c r="AY1151" s="164" t="str">
        <f t="shared" si="738"/>
        <v/>
      </c>
      <c r="AZ1151" s="164" t="str">
        <f>IF($E1151="","",IF(OR(AND($D1151=Input!$C$6,$C1151=12),$AN1151=1),0,-AS1152+AT1152+AU1152-AV1152-AW1152-AX1152+AZ1152))</f>
        <v/>
      </c>
      <c r="BA1151" s="154" t="str">
        <f t="shared" si="725"/>
        <v/>
      </c>
      <c r="BC1151" s="147" t="str">
        <f t="shared" si="739"/>
        <v/>
      </c>
      <c r="BD1151" s="164" t="str">
        <f>IF(AND($C1150=12,$D1150=Input!$C$6),0,IF($E1151="","",AT1151+(AU1151+BD1152)/(1+$AK1151)*MIN((1-AM1151-AN1151),1)))</f>
        <v/>
      </c>
      <c r="BE1151" s="164" t="str">
        <f t="shared" si="754"/>
        <v/>
      </c>
      <c r="BF1151" s="164" t="str">
        <f t="shared" si="740"/>
        <v/>
      </c>
      <c r="BG1151" s="164" t="str">
        <f t="shared" si="726"/>
        <v/>
      </c>
      <c r="BH1151" s="152"/>
      <c r="BI1151" s="162" t="str">
        <f t="shared" si="748"/>
        <v/>
      </c>
      <c r="BJ1151" s="150" t="str">
        <f t="shared" si="749"/>
        <v/>
      </c>
      <c r="BK1151" s="163" t="str">
        <f t="shared" si="745"/>
        <v/>
      </c>
      <c r="BL1151" s="163" t="str">
        <f t="shared" si="750"/>
        <v/>
      </c>
      <c r="BM1151" s="163" t="str">
        <f t="shared" si="746"/>
        <v/>
      </c>
      <c r="BN1151" s="163" t="str">
        <f t="shared" si="751"/>
        <v/>
      </c>
      <c r="BO1151" s="163" t="str">
        <f t="shared" si="752"/>
        <v/>
      </c>
      <c r="BP1151" s="164" t="str">
        <f t="shared" si="747"/>
        <v/>
      </c>
      <c r="BQ1151" s="164" t="str">
        <f t="shared" si="741"/>
        <v/>
      </c>
      <c r="BR1151" s="154" t="str">
        <f t="shared" si="753"/>
        <v/>
      </c>
      <c r="BT1151" s="147" t="str">
        <f t="shared" si="727"/>
        <v/>
      </c>
      <c r="BU1151" s="164" t="str">
        <f>IF(AND($C1150=12,$D1150=Input!$C$6),0,IF($E1151="","",BK1151+(BL1151+BU1152)/(1+$AK1151)*MIN((1-T1151-U1151),1)))</f>
        <v/>
      </c>
      <c r="BV1151" s="164" t="str">
        <f t="shared" si="728"/>
        <v/>
      </c>
      <c r="BW1151" s="164" t="str">
        <f t="shared" si="729"/>
        <v/>
      </c>
      <c r="BX1151" s="164" t="str">
        <f t="shared" si="730"/>
        <v/>
      </c>
    </row>
    <row r="1152" spans="1:76" s="150" customFormat="1" x14ac:dyDescent="0.25">
      <c r="A1152" s="150" t="str">
        <f t="shared" si="742"/>
        <v/>
      </c>
      <c r="B1152" s="150" t="str">
        <f t="shared" si="743"/>
        <v/>
      </c>
      <c r="C1152" s="150" t="str">
        <f t="shared" si="744"/>
        <v/>
      </c>
      <c r="D1152" s="150" t="str">
        <f>IF(E1152="","",Input!$C$4+B1152-1)</f>
        <v/>
      </c>
      <c r="E1152" s="150" t="str">
        <f>IF(OR(AND(C1151=12,D1151=Input!$C$6),E1151=""),"",1)</f>
        <v/>
      </c>
      <c r="F1152" s="150" t="str">
        <f>IF(E1152="","",Input!$C$8+B1152-1)</f>
        <v/>
      </c>
      <c r="G1152" s="151" t="str">
        <f>IF(E1152="","",MAX(0,Input!$C$9-B1152))</f>
        <v/>
      </c>
      <c r="H1152" s="152" t="str">
        <f>IF(E1152="","",Input!$C$3)</f>
        <v/>
      </c>
      <c r="I1152" s="153" t="str">
        <f>IF(E1152="","",HLOOKUP($B1152,Input!$C$13:$BT$14,2))</f>
        <v/>
      </c>
      <c r="J1152" s="154"/>
      <c r="K1152" s="155" t="str">
        <f>IF($E1152="","",INDEX(Input!$C$16:$CP$16,1,$B1152))</f>
        <v/>
      </c>
      <c r="L1152" s="155" t="str">
        <f>IF($E1152="","",Input!$C$37)</f>
        <v/>
      </c>
      <c r="M1152" s="155" t="str">
        <f t="shared" si="755"/>
        <v/>
      </c>
      <c r="N1152" s="155" t="str">
        <f t="shared" si="756"/>
        <v/>
      </c>
      <c r="O1152" s="147" t="str">
        <f>IF($E1152="","",MIN(VLOOKUP(IF($B1152&lt;=Input!$C$7,$B1152,26),'Mortality Tables'!$A$41:$CW$67,IF($B1152&lt;=Input!$C$7+1,Input!$C$4+2,$D1152-Input!$C$7+2),0)*IF(B1152&gt;20,Input!$C$22,1)/1000,1))</f>
        <v/>
      </c>
      <c r="P1152" s="147" t="str">
        <f>IF($E1152="","",MIN(VLOOKUP(IF($B1152&lt;=Input!$C$7,$B1152,26),'Mortality Tables'!$A$12:$CW$37,IF($B1152&lt;=Input!$C$7+1,Input!$C$4+2,$D1152-Input!$C$7+2),0)*IF(B1152&gt;20,Input!$C$22,1)/1000,1))</f>
        <v/>
      </c>
      <c r="Q1152" s="155" t="str">
        <f>IF($E1152="","",Input!$C$21)</f>
        <v/>
      </c>
      <c r="R1152" s="159" t="str">
        <f>IF($E1152="","",(1-Q1152)^($F1152-Input!$C$20))</f>
        <v/>
      </c>
      <c r="S1152" s="147" t="str">
        <f t="shared" si="716"/>
        <v/>
      </c>
      <c r="T1152" s="147" t="str">
        <f t="shared" si="717"/>
        <v/>
      </c>
      <c r="U1152" s="160" t="str">
        <f>IF($E1152="","",IF($C1152=12,INDEX(Input!$C$15:$CP$15,1,$B1152),0))</f>
        <v/>
      </c>
      <c r="V1152" s="150" t="str">
        <f>IF(E1152="","",IF(C1152=1,IF($B1152=1,Input!$C$33,Input!$C$34),0))</f>
        <v/>
      </c>
      <c r="W1152" s="156" t="str">
        <f>IF($E1152="","",Input!$C$35)</f>
        <v/>
      </c>
      <c r="X1152" s="156" t="str">
        <f t="shared" si="757"/>
        <v/>
      </c>
      <c r="Y1152" s="154"/>
      <c r="Z1152" s="147" t="str">
        <f>IF($E1152="","",VLOOKUP($D1152,'Mortality Margins &amp; Grading'!$AB$5:$AF$125,3,0)*IF(Summary!$D$25="Included Margin",IF(AND($B1152&gt;Input!$C$9,Summary!$D$31&lt;&gt;"Included Margin"),0,1),0))</f>
        <v/>
      </c>
      <c r="AA1152" s="147" t="str">
        <f>IF($E1152="","",VLOOKUP($D1152,'Mortality Margins &amp; Grading'!$AB$5:$AF$125,5,0)*IF(Summary!$D$25="Included Margin",IF(AND($B1152&gt;Input!$C$9,Summary!$D$31&lt;&gt;"Included Margin"),0,1),0))</f>
        <v/>
      </c>
      <c r="AB1152" s="147" t="str">
        <f>IF($E1152="","",IF(AND($B1152&gt;Input!$C$9,Summary!$D$31&lt;&gt;"Included Margin"),1,IF(Summary!$D$25="Included Margin",VLOOKUP($B1152,'Mortality Margins &amp; Grading'!$AI$5:$AR$125,MATCH('Mortality Margins &amp; Grading'!$AQ$4,'Mortality Margins &amp; Grading'!$AI$4:$AR$4,0),0),1)))</f>
        <v/>
      </c>
      <c r="AC1152" s="154"/>
      <c r="AD1152" s="158" t="str">
        <f>IF(E1152="","",Input!$C$48*IF(Summary!$D$30="Included Margin",IF(AND($B1152&gt;Input!$C$9,Summary!$D$31&lt;&gt;"Included Margin"),0,1),0))</f>
        <v/>
      </c>
      <c r="AE1152" s="159" t="str">
        <f>IF(E1152="","",IF(Summary!$D$26="Included Margin",IF(AND($B1152&gt;Input!$C$9,Summary!$D$31&lt;&gt;"Included Margin"),1,1/$R1152),1))</f>
        <v/>
      </c>
      <c r="AF1152" s="160" t="str">
        <f>IF(E1152="","",IF(AND($B1152&gt;=Input!$C$9,$C1152=12,Summary!$D$31="Included Margin",$U1152&gt;0),1/U1152-1,IF($B1152&gt;=Input!$C$9,0,Input!$C$45*IF(Summary!$D$27="Included Margin",1,0))))</f>
        <v/>
      </c>
      <c r="AG1152" s="160" t="str">
        <f>IF(E1152="","",Input!$C$46*IF(Summary!$D$28="Included Margin",IF(AND($B1152&gt;Input!$C$9,Summary!$D$31&lt;&gt;"Included Margin"),0,1),0))</f>
        <v/>
      </c>
      <c r="AH1152" s="158" t="str">
        <f>IF(E1152="","",Input!$C$47*IF(Summary!$D$29="Included Margin",IF(AND($B1152&gt;Input!$C$9,Summary!$D$31&lt;&gt;"Included Margin"),0,1),0))</f>
        <v/>
      </c>
      <c r="AI1152" s="154"/>
      <c r="AJ1152" s="158" t="str">
        <f t="shared" si="731"/>
        <v/>
      </c>
      <c r="AK1152" s="155" t="str">
        <f t="shared" si="732"/>
        <v/>
      </c>
      <c r="AL1152" s="147" t="str">
        <f t="shared" si="733"/>
        <v/>
      </c>
      <c r="AM1152" s="147" t="str">
        <f t="shared" si="718"/>
        <v/>
      </c>
      <c r="AN1152" s="160" t="str">
        <f t="shared" si="734"/>
        <v/>
      </c>
      <c r="AO1152" s="161" t="str">
        <f t="shared" si="735"/>
        <v/>
      </c>
      <c r="AP1152" s="156" t="str">
        <f t="shared" si="719"/>
        <v/>
      </c>
      <c r="AQ1152" s="152"/>
      <c r="AR1152" s="162" t="str">
        <f t="shared" si="720"/>
        <v/>
      </c>
      <c r="AS1152" s="150" t="str">
        <f t="shared" si="736"/>
        <v/>
      </c>
      <c r="AT1152" s="163" t="str">
        <f t="shared" si="721"/>
        <v/>
      </c>
      <c r="AU1152" s="163" t="str">
        <f t="shared" si="722"/>
        <v/>
      </c>
      <c r="AV1152" s="163" t="str">
        <f t="shared" si="737"/>
        <v/>
      </c>
      <c r="AW1152" s="163" t="str">
        <f t="shared" si="723"/>
        <v/>
      </c>
      <c r="AX1152" s="163" t="str">
        <f t="shared" si="724"/>
        <v/>
      </c>
      <c r="AY1152" s="165" t="str">
        <f t="shared" si="738"/>
        <v/>
      </c>
      <c r="AZ1152" s="164" t="str">
        <f>IF($E1152="","",IF(OR(AND($D1152=Input!$C$6,$C1152=12),$AN1152=1),0,-AS1153+AT1153+AU1153-AV1153-AW1153-AX1153+AZ1153))</f>
        <v/>
      </c>
      <c r="BA1152" s="154" t="str">
        <f t="shared" si="725"/>
        <v/>
      </c>
      <c r="BC1152" s="147" t="str">
        <f t="shared" si="739"/>
        <v/>
      </c>
      <c r="BD1152" s="164" t="str">
        <f>IF(AND($C1151=12,$D1151=Input!$C$6),0,IF($E1152="","",AT1152+(AU1152+BD1153)/(1+$AK1152)*MIN((1-AM1152-AN1152),1)))</f>
        <v/>
      </c>
      <c r="BE1152" s="164" t="str">
        <f t="shared" si="754"/>
        <v/>
      </c>
      <c r="BF1152" s="164" t="str">
        <f t="shared" si="740"/>
        <v/>
      </c>
      <c r="BG1152" s="164" t="str">
        <f t="shared" si="726"/>
        <v/>
      </c>
      <c r="BH1152" s="152"/>
      <c r="BI1152" s="162" t="str">
        <f t="shared" si="748"/>
        <v/>
      </c>
      <c r="BJ1152" s="150" t="str">
        <f t="shared" si="749"/>
        <v/>
      </c>
      <c r="BK1152" s="163" t="str">
        <f t="shared" si="745"/>
        <v/>
      </c>
      <c r="BL1152" s="163" t="str">
        <f t="shared" si="750"/>
        <v/>
      </c>
      <c r="BM1152" s="163" t="str">
        <f t="shared" si="746"/>
        <v/>
      </c>
      <c r="BN1152" s="163" t="str">
        <f t="shared" si="751"/>
        <v/>
      </c>
      <c r="BO1152" s="163" t="str">
        <f t="shared" si="752"/>
        <v/>
      </c>
      <c r="BP1152" s="164" t="str">
        <f t="shared" si="747"/>
        <v/>
      </c>
      <c r="BQ1152" s="164" t="str">
        <f t="shared" si="741"/>
        <v/>
      </c>
      <c r="BR1152" s="154" t="str">
        <f t="shared" si="753"/>
        <v/>
      </c>
      <c r="BT1152" s="147" t="str">
        <f t="shared" si="727"/>
        <v/>
      </c>
      <c r="BU1152" s="164" t="str">
        <f>IF(AND($C1151=12,$D1151=Input!$C$6),0,IF($E1152="","",BK1152+(BL1152+BU1153)/(1+$AK1152)*MIN((1-T1152-U1152),1)))</f>
        <v/>
      </c>
      <c r="BV1152" s="164" t="str">
        <f t="shared" si="728"/>
        <v/>
      </c>
      <c r="BW1152" s="164" t="str">
        <f t="shared" si="729"/>
        <v/>
      </c>
      <c r="BX1152" s="164" t="str">
        <f t="shared" si="730"/>
        <v/>
      </c>
    </row>
    <row r="1153" spans="1:72" s="150" customFormat="1" x14ac:dyDescent="0.25">
      <c r="A1153" s="150" t="str">
        <f t="shared" si="742"/>
        <v/>
      </c>
      <c r="B1153" s="150" t="str">
        <f t="shared" si="743"/>
        <v/>
      </c>
      <c r="C1153" s="150" t="str">
        <f t="shared" si="744"/>
        <v/>
      </c>
      <c r="D1153" s="150" t="str">
        <f>IF(E1153="","",Input!$C$4+B1153-1)</f>
        <v/>
      </c>
      <c r="E1153" s="150" t="str">
        <f>IF(OR(AND(C1152=12,D1152=Input!$C$6),E1152=""),"",1)</f>
        <v/>
      </c>
      <c r="G1153" s="151" t="str">
        <f>IF(E1153="","",MAX(0,Input!$C$9-B1153))</f>
        <v/>
      </c>
      <c r="H1153" s="152" t="str">
        <f>IF(E1153="","",Input!$C$3)</f>
        <v/>
      </c>
      <c r="I1153" s="153" t="str">
        <f>IF(E1153="","",HLOOKUP($B1153,Input!$C$13:$BT$14,2))</f>
        <v/>
      </c>
      <c r="J1153" s="154"/>
      <c r="K1153" s="150" t="str">
        <f>IF($E1153="","",INDEX(Input!$C$16:$CP$16,1,$B1153))</f>
        <v/>
      </c>
      <c r="L1153" s="150" t="str">
        <f>IF($E1153="","",Input!$C$37)</f>
        <v/>
      </c>
      <c r="M1153" s="150" t="str">
        <f t="shared" ref="M1153:M1157" si="758">IF($E1153="","",K1153+L1153)</f>
        <v/>
      </c>
      <c r="N1153" s="150" t="str">
        <f t="shared" ref="N1153:N1157" si="759">IF($E1153="","",(1+M1153)^(1/12)-1)</f>
        <v/>
      </c>
      <c r="O1153" s="147" t="str">
        <f>IF($E1153="","",MIN(VLOOKUP(IF($B1153&lt;=Input!$C$7,$B1153,26),'Mortality Tables'!$A$41:$CW$67,IF($B1153&lt;=Input!$C$7+1,Input!$C$4+2,$D1153-Input!$C$7+2),0)*IF(B1153&gt;20,Input!$C$22,1)/1000,1))</f>
        <v/>
      </c>
      <c r="P1153" s="147" t="str">
        <f>IF($E1153="","",MIN(VLOOKUP(IF($B1153&lt;=Input!$C$7,$B1153,26),'Mortality Tables'!$A$12:$CW$37,IF($B1153&lt;=Input!$C$7+1,Input!$C$4+2,$D1153-Input!$C$7+2),0)*IF(B1153&gt;20,Input!$C$22,1)/1000,1))</f>
        <v/>
      </c>
      <c r="Q1153" s="155" t="str">
        <f>IF($E1153="","",Input!$C$21)</f>
        <v/>
      </c>
      <c r="R1153" s="159" t="str">
        <f>IF($E1153="","",(1-Q1153)^($F1153-Input!$C$20))</f>
        <v/>
      </c>
      <c r="S1153" s="147" t="str">
        <f t="shared" si="716"/>
        <v/>
      </c>
      <c r="T1153" s="147" t="str">
        <f t="shared" si="717"/>
        <v/>
      </c>
      <c r="U1153" s="160" t="str">
        <f>IF($E1153="","",IF($C1153=12,INDEX(Input!$C$15:$CP$15,1,$B1153),0))</f>
        <v/>
      </c>
      <c r="V1153" s="150" t="str">
        <f>IF(E1153="","",IF(C1153=1,IF($B1153=1,Input!$C$33,Input!$C$34),0))</f>
        <v/>
      </c>
      <c r="W1153" s="156" t="str">
        <f>IF($E1153="","",Input!$C$35)</f>
        <v/>
      </c>
      <c r="X1153" s="156" t="str">
        <f t="shared" ref="X1153:X1156" si="760">IF($E1153="","",IF(B1153=1,1,IF(C1153=1,(1+W1153)*X1152,X1152)))</f>
        <v/>
      </c>
      <c r="Y1153" s="154"/>
      <c r="Z1153" s="147" t="str">
        <f>IF($E1153="","",VLOOKUP($D1153,'Mortality Margins &amp; Grading'!$AB$5:$AF$125,3,0)*IF(Summary!$D$25="Included Margin",IF(AND($B1153&gt;Input!$C$9,Summary!$D$31&lt;&gt;"Included Margin"),0,1),0))</f>
        <v/>
      </c>
      <c r="AA1153" s="147" t="str">
        <f>IF($E1153="","",VLOOKUP($D1153,'Mortality Margins &amp; Grading'!$AB$5:$AF$125,5,0)*IF(Summary!$D$25="Included Margin",IF(AND($B1153&gt;Input!$C$9,Summary!$D$31&lt;&gt;"Included Margin"),0,1),0))</f>
        <v/>
      </c>
      <c r="AB1153" s="147" t="str">
        <f>IF($E1153="","",IF(AND($B1153&gt;Input!$C$9,Summary!$D$31&lt;&gt;"Included Margin"),1,IF(Summary!$D$25="Included Margin",VLOOKUP($B1153,'Mortality Margins &amp; Grading'!$AI$5:$AR$125,MATCH('Mortality Margins &amp; Grading'!$AQ$4,'Mortality Margins &amp; Grading'!$AI$4:$AR$4,0),0),1)))</f>
        <v/>
      </c>
      <c r="AC1153" s="154"/>
      <c r="AD1153" s="158" t="str">
        <f>IF(E1153="","",Input!$C$48*IF(Summary!$D$30="Included Margin",IF(AND($B1153&gt;Input!$C$9,Summary!$D$31&lt;&gt;"Included Margin"),0,1),0))</f>
        <v/>
      </c>
      <c r="AE1153" s="159" t="str">
        <f>IF(E1153="","",IF(Summary!$D$26="Included Margin",IF(AND($B1153&gt;Input!$C$9,Summary!$D$31&lt;&gt;"Included Margin"),1,1/$R1153),1))</f>
        <v/>
      </c>
      <c r="AF1153" s="160" t="str">
        <f>IF(E1153="","",IF(AND($B1153&gt;=Input!$C$9,$C1153=12,Summary!$D$31="Included Margin",$U1153&gt;0),1/U1153-1,IF($B1153&gt;=Input!$C$9,0,Input!$C$45*IF(Summary!$D$27="Included Margin",1,0))))</f>
        <v/>
      </c>
      <c r="AG1153" s="160" t="str">
        <f>IF(E1153="","",Input!$C$46*IF(Summary!$D$28="Included Margin",IF(AND($B1153&gt;Input!$C$9,Summary!$D$31&lt;&gt;"Included Margin"),0,1),0))</f>
        <v/>
      </c>
      <c r="AH1153" s="158" t="str">
        <f>IF(E1153="","",Input!$C$47*IF(Summary!$D$29="Included Margin",IF(AND($B1153&gt;Input!$C$9,Summary!$D$31&lt;&gt;"Included Margin"),0,1),0))</f>
        <v/>
      </c>
      <c r="AI1153" s="154"/>
      <c r="AJ1153" s="158" t="str">
        <f t="shared" si="731"/>
        <v/>
      </c>
      <c r="AK1153" s="150" t="str">
        <f t="shared" si="732"/>
        <v/>
      </c>
      <c r="AL1153" s="147" t="str">
        <f t="shared" si="733"/>
        <v/>
      </c>
      <c r="AM1153" s="147" t="str">
        <f t="shared" si="718"/>
        <v/>
      </c>
      <c r="AN1153" s="160" t="str">
        <f t="shared" si="734"/>
        <v/>
      </c>
      <c r="AO1153" s="161" t="str">
        <f t="shared" si="735"/>
        <v/>
      </c>
      <c r="AP1153" s="156" t="str">
        <f t="shared" si="719"/>
        <v/>
      </c>
      <c r="AQ1153" s="152"/>
      <c r="AR1153" s="162" t="str">
        <f t="shared" si="720"/>
        <v/>
      </c>
      <c r="AS1153" s="150" t="str">
        <f t="shared" si="736"/>
        <v/>
      </c>
      <c r="AT1153" s="163" t="str">
        <f t="shared" si="721"/>
        <v/>
      </c>
      <c r="AU1153" s="163" t="str">
        <f t="shared" si="722"/>
        <v/>
      </c>
      <c r="AV1153" s="163" t="str">
        <f t="shared" si="737"/>
        <v/>
      </c>
      <c r="AW1153" s="163" t="str">
        <f t="shared" si="723"/>
        <v/>
      </c>
      <c r="AX1153" s="163" t="str">
        <f t="shared" si="724"/>
        <v/>
      </c>
      <c r="AY1153" s="150" t="str">
        <f t="shared" si="738"/>
        <v/>
      </c>
      <c r="AZ1153" s="150" t="str">
        <f>IF($E1153="","",IF(OR(AND($D1153=Input!$C$6,$C1153=12),$AN1153=1),0,-AS1154+AT1154+AU1154-AV1154-AW1154-AX1154+AZ1154))</f>
        <v/>
      </c>
      <c r="BA1153" s="154" t="str">
        <f t="shared" si="725"/>
        <v/>
      </c>
      <c r="BC1153" s="147" t="str">
        <f t="shared" si="739"/>
        <v/>
      </c>
      <c r="BD1153" s="164" t="str">
        <f>IF(AND($C1152=12,$D1152=Input!$C$6),0,IF($E1153="","",AT1153+(AU1153+BD1154)/(1+$AK1153)*MIN((1-AM1153-AN1153),1)))</f>
        <v/>
      </c>
      <c r="BH1153" s="152"/>
      <c r="BI1153" s="162" t="str">
        <f t="shared" si="748"/>
        <v/>
      </c>
      <c r="BJ1153" s="150" t="str">
        <f t="shared" si="749"/>
        <v/>
      </c>
      <c r="BK1153" s="163" t="str">
        <f t="shared" si="745"/>
        <v/>
      </c>
      <c r="BL1153" s="163" t="str">
        <f t="shared" si="750"/>
        <v/>
      </c>
      <c r="BM1153" s="163" t="str">
        <f t="shared" si="746"/>
        <v/>
      </c>
      <c r="BN1153" s="163" t="str">
        <f t="shared" si="751"/>
        <v/>
      </c>
      <c r="BO1153" s="163" t="str">
        <f t="shared" si="752"/>
        <v/>
      </c>
      <c r="BP1153" s="150" t="str">
        <f t="shared" si="747"/>
        <v/>
      </c>
      <c r="BQ1153" s="150" t="str">
        <f t="shared" si="741"/>
        <v/>
      </c>
      <c r="BR1153" s="154" t="str">
        <f t="shared" si="753"/>
        <v/>
      </c>
      <c r="BT1153" s="147"/>
    </row>
    <row r="1154" spans="1:72" s="150" customFormat="1" x14ac:dyDescent="0.25">
      <c r="A1154" s="150" t="str">
        <f t="shared" si="742"/>
        <v/>
      </c>
      <c r="B1154" s="150" t="str">
        <f t="shared" si="743"/>
        <v/>
      </c>
      <c r="C1154" s="150" t="str">
        <f t="shared" si="744"/>
        <v/>
      </c>
      <c r="D1154" s="150" t="str">
        <f>IF(E1154="","",Input!$C$4+B1154-1)</f>
        <v/>
      </c>
      <c r="E1154" s="150" t="str">
        <f>IF(OR(AND(C1153=12,D1153=Input!$C$6),E1153=""),"",1)</f>
        <v/>
      </c>
      <c r="G1154" s="151" t="str">
        <f>IF(E1154="","",MAX(0,Input!$C$9-B1154))</f>
        <v/>
      </c>
      <c r="H1154" s="152" t="str">
        <f>IF(E1154="","",Input!$C$3)</f>
        <v/>
      </c>
      <c r="I1154" s="153" t="str">
        <f>IF(E1154="","",HLOOKUP($B1154,Input!$C$13:$BT$14,2))</f>
        <v/>
      </c>
      <c r="J1154" s="154"/>
      <c r="K1154" s="150" t="str">
        <f>IF($E1154="","",INDEX(Input!$C$16:$CP$16,1,$B1154))</f>
        <v/>
      </c>
      <c r="L1154" s="150" t="str">
        <f>IF($E1154="","",Input!$C$37)</f>
        <v/>
      </c>
      <c r="M1154" s="150" t="str">
        <f t="shared" si="758"/>
        <v/>
      </c>
      <c r="N1154" s="150" t="str">
        <f t="shared" si="759"/>
        <v/>
      </c>
      <c r="O1154" s="147" t="str">
        <f>IF($E1154="","",MIN(VLOOKUP(IF($B1154&lt;=Input!$C$7,$B1154,26),'Mortality Tables'!$A$41:$CW$67,IF($B1154&lt;=Input!$C$7+1,Input!$C$4+2,$D1154-Input!$C$7+2),0)*IF(B1154&gt;20,Input!$C$22,1)/1000,1))</f>
        <v/>
      </c>
      <c r="P1154" s="147" t="str">
        <f>IF($E1154="","",MIN(VLOOKUP(IF($B1154&lt;=Input!$C$7,$B1154,26),'Mortality Tables'!$A$12:$CW$37,IF($B1154&lt;=Input!$C$7+1,Input!$C$4+2,$D1154-Input!$C$7+2),0)*IF(B1154&gt;20,Input!$C$22,1)/1000,1))</f>
        <v/>
      </c>
      <c r="Q1154" s="155" t="str">
        <f>IF($E1154="","",Input!$C$21)</f>
        <v/>
      </c>
      <c r="R1154" s="159" t="str">
        <f>IF($E1154="","",(1-Q1154)^($F1154-Input!$C$20))</f>
        <v/>
      </c>
      <c r="S1154" s="147" t="str">
        <f t="shared" si="716"/>
        <v/>
      </c>
      <c r="T1154" s="147" t="str">
        <f t="shared" si="717"/>
        <v/>
      </c>
      <c r="U1154" s="160" t="str">
        <f>IF($E1154="","",IF($C1154=12,INDEX(Input!$C$15:$CP$15,1,$B1154),0))</f>
        <v/>
      </c>
      <c r="V1154" s="150" t="str">
        <f>IF(E1154="","",IF(C1154=1,IF($B1154=1,Input!$C$33,Input!$C$34),0))</f>
        <v/>
      </c>
      <c r="W1154" s="156" t="str">
        <f>IF($E1154="","",Input!$C$35)</f>
        <v/>
      </c>
      <c r="X1154" s="156" t="str">
        <f t="shared" si="760"/>
        <v/>
      </c>
      <c r="Y1154" s="154"/>
      <c r="Z1154" s="147" t="str">
        <f>IF($E1154="","",VLOOKUP($D1154,'Mortality Margins &amp; Grading'!$AB$5:$AF$125,3,0)*IF(Summary!$D$25="Included Margin",IF(AND($B1154&gt;Input!$C$9,Summary!$D$31&lt;&gt;"Included Margin"),0,1),0))</f>
        <v/>
      </c>
      <c r="AA1154" s="147" t="str">
        <f>IF($E1154="","",VLOOKUP($D1154,'Mortality Margins &amp; Grading'!$AB$5:$AF$125,5,0)*IF(Summary!$D$25="Included Margin",IF(AND($B1154&gt;Input!$C$9,Summary!$D$31&lt;&gt;"Included Margin"),0,1),0))</f>
        <v/>
      </c>
      <c r="AB1154" s="147" t="str">
        <f>IF($E1154="","",IF(AND($B1154&gt;Input!$C$9,Summary!$D$31&lt;&gt;"Included Margin"),1,IF(Summary!$D$25="Included Margin",VLOOKUP($B1154,'Mortality Margins &amp; Grading'!$AI$5:$AR$125,MATCH('Mortality Margins &amp; Grading'!$AQ$4,'Mortality Margins &amp; Grading'!$AI$4:$AR$4,0),0),1)))</f>
        <v/>
      </c>
      <c r="AC1154" s="154"/>
      <c r="AD1154" s="158" t="str">
        <f>IF(E1154="","",Input!$C$48*IF(Summary!$D$30="Included Margin",IF(AND($B1154&gt;Input!$C$9,Summary!$D$31&lt;&gt;"Included Margin"),0,1),0))</f>
        <v/>
      </c>
      <c r="AE1154" s="159" t="str">
        <f>IF(E1154="","",IF(Summary!$D$26="Included Margin",IF(AND($B1154&gt;Input!$C$9,Summary!$D$31&lt;&gt;"Included Margin"),1,1/$R1154),1))</f>
        <v/>
      </c>
      <c r="AF1154" s="160" t="str">
        <f>IF(E1154="","",IF(AND($B1154&gt;=Input!$C$9,$C1154=12,Summary!$D$31="Included Margin",$U1154&gt;0),1/U1154-1,IF($B1154&gt;=Input!$C$9,0,Input!$C$45*IF(Summary!$D$27="Included Margin",1,0))))</f>
        <v/>
      </c>
      <c r="AG1154" s="160" t="str">
        <f>IF(E1154="","",Input!$C$46*IF(Summary!$D$28="Included Margin",IF(AND($B1154&gt;Input!$C$9,Summary!$D$31&lt;&gt;"Included Margin"),0,1),0))</f>
        <v/>
      </c>
      <c r="AH1154" s="158" t="str">
        <f>IF(E1154="","",Input!$C$47*IF(Summary!$D$29="Included Margin",IF(AND($B1154&gt;Input!$C$9,Summary!$D$31&lt;&gt;"Included Margin"),0,1),0))</f>
        <v/>
      </c>
      <c r="AI1154" s="154"/>
      <c r="AJ1154" s="158" t="str">
        <f t="shared" si="731"/>
        <v/>
      </c>
      <c r="AK1154" s="150" t="str">
        <f t="shared" si="732"/>
        <v/>
      </c>
      <c r="AL1154" s="147" t="str">
        <f t="shared" si="733"/>
        <v/>
      </c>
      <c r="AM1154" s="147" t="str">
        <f t="shared" si="718"/>
        <v/>
      </c>
      <c r="AN1154" s="160" t="str">
        <f t="shared" si="734"/>
        <v/>
      </c>
      <c r="AO1154" s="161" t="str">
        <f t="shared" si="735"/>
        <v/>
      </c>
      <c r="AP1154" s="156" t="str">
        <f t="shared" si="719"/>
        <v/>
      </c>
      <c r="AQ1154" s="152"/>
      <c r="AR1154" s="162" t="str">
        <f t="shared" si="720"/>
        <v/>
      </c>
      <c r="AS1154" s="150" t="str">
        <f t="shared" si="736"/>
        <v/>
      </c>
      <c r="AT1154" s="163" t="str">
        <f t="shared" si="721"/>
        <v/>
      </c>
      <c r="AU1154" s="163" t="str">
        <f t="shared" si="722"/>
        <v/>
      </c>
      <c r="AV1154" s="163" t="str">
        <f t="shared" si="737"/>
        <v/>
      </c>
      <c r="AW1154" s="163" t="str">
        <f t="shared" si="723"/>
        <v/>
      </c>
      <c r="AX1154" s="163" t="str">
        <f t="shared" si="724"/>
        <v/>
      </c>
      <c r="AY1154" s="150" t="str">
        <f t="shared" si="738"/>
        <v/>
      </c>
      <c r="AZ1154" s="150" t="str">
        <f>IF($E1154="","",IF(OR(AND($D1154=Input!$C$6,$C1154=12),$AN1154=1),0,-AS1155+AT1155+AU1155-AV1155-AW1155-AX1155+AZ1155))</f>
        <v/>
      </c>
      <c r="BA1154" s="154" t="str">
        <f t="shared" si="725"/>
        <v/>
      </c>
      <c r="BC1154" s="147" t="str">
        <f t="shared" si="739"/>
        <v/>
      </c>
      <c r="BD1154" s="164" t="str">
        <f>IF(AND($C1153=12,$D1153=Input!$C$6),0,IF($E1154="","",AT1154+(AU1154+BD1155)/(1+$AK1154)*MIN((1-AM1154-AN1154),1)))</f>
        <v/>
      </c>
      <c r="BH1154" s="152"/>
      <c r="BI1154" s="162" t="str">
        <f t="shared" si="748"/>
        <v/>
      </c>
      <c r="BJ1154" s="150" t="str">
        <f t="shared" si="749"/>
        <v/>
      </c>
      <c r="BK1154" s="163" t="str">
        <f t="shared" si="745"/>
        <v/>
      </c>
      <c r="BL1154" s="163" t="str">
        <f t="shared" si="750"/>
        <v/>
      </c>
      <c r="BM1154" s="163" t="str">
        <f t="shared" si="746"/>
        <v/>
      </c>
      <c r="BN1154" s="163" t="str">
        <f t="shared" si="751"/>
        <v/>
      </c>
      <c r="BO1154" s="163" t="str">
        <f t="shared" si="752"/>
        <v/>
      </c>
      <c r="BP1154" s="150" t="str">
        <f t="shared" si="747"/>
        <v/>
      </c>
      <c r="BQ1154" s="150" t="str">
        <f t="shared" si="741"/>
        <v/>
      </c>
      <c r="BR1154" s="154" t="str">
        <f t="shared" si="753"/>
        <v/>
      </c>
      <c r="BT1154" s="147"/>
    </row>
    <row r="1155" spans="1:72" s="150" customFormat="1" x14ac:dyDescent="0.25">
      <c r="A1155" s="150" t="str">
        <f t="shared" si="742"/>
        <v/>
      </c>
      <c r="B1155" s="150" t="str">
        <f t="shared" si="743"/>
        <v/>
      </c>
      <c r="C1155" s="150" t="str">
        <f t="shared" si="744"/>
        <v/>
      </c>
      <c r="D1155" s="150" t="str">
        <f>IF(E1155="","",Input!$C$4+B1155-1)</f>
        <v/>
      </c>
      <c r="E1155" s="150" t="str">
        <f>IF(OR(AND(C1154=12,D1154=Input!$C$6),E1154=""),"",1)</f>
        <v/>
      </c>
      <c r="G1155" s="151" t="str">
        <f>IF(E1155="","",MAX(0,Input!$C$9-B1155))</f>
        <v/>
      </c>
      <c r="H1155" s="152" t="str">
        <f>IF(E1155="","",Input!$C$3)</f>
        <v/>
      </c>
      <c r="I1155" s="153" t="str">
        <f>IF(E1155="","",HLOOKUP($B1155,Input!$C$13:$BT$14,2))</f>
        <v/>
      </c>
      <c r="J1155" s="154"/>
      <c r="K1155" s="150" t="str">
        <f>IF($E1155="","",INDEX(Input!$C$16:$CP$16,1,$B1155))</f>
        <v/>
      </c>
      <c r="L1155" s="150" t="str">
        <f>IF($E1155="","",Input!$C$37)</f>
        <v/>
      </c>
      <c r="M1155" s="150" t="str">
        <f t="shared" si="758"/>
        <v/>
      </c>
      <c r="N1155" s="150" t="str">
        <f t="shared" si="759"/>
        <v/>
      </c>
      <c r="O1155" s="147" t="str">
        <f>IF($E1155="","",MIN(VLOOKUP(IF($B1155&lt;=Input!$C$7,$B1155,26),'Mortality Tables'!$A$41:$CW$67,IF($B1155&lt;=Input!$C$7+1,Input!$C$4+2,$D1155-Input!$C$7+2),0)*IF(B1155&gt;20,Input!$C$22,1)/1000,1))</f>
        <v/>
      </c>
      <c r="P1155" s="147" t="str">
        <f>IF($E1155="","",MIN(VLOOKUP(IF($B1155&lt;=Input!$C$7,$B1155,26),'Mortality Tables'!$A$12:$CW$37,IF($B1155&lt;=Input!$C$7+1,Input!$C$4+2,$D1155-Input!$C$7+2),0)*IF(B1155&gt;20,Input!$C$22,1)/1000,1))</f>
        <v/>
      </c>
      <c r="Q1155" s="155" t="str">
        <f>IF($E1155="","",Input!$C$21)</f>
        <v/>
      </c>
      <c r="R1155" s="159" t="str">
        <f>IF($E1155="","",(1-Q1155)^($F1155-Input!$C$20))</f>
        <v/>
      </c>
      <c r="S1155" s="147" t="str">
        <f t="shared" si="716"/>
        <v/>
      </c>
      <c r="T1155" s="147" t="str">
        <f t="shared" si="717"/>
        <v/>
      </c>
      <c r="U1155" s="160" t="str">
        <f>IF($E1155="","",IF($C1155=12,INDEX(Input!$C$15:$CP$15,1,$B1155),0))</f>
        <v/>
      </c>
      <c r="V1155" s="150" t="str">
        <f>IF(E1155="","",IF(C1155=1,IF($B1155=1,Input!$C$33,Input!$C$34),0))</f>
        <v/>
      </c>
      <c r="W1155" s="156" t="str">
        <f>IF($E1155="","",Input!$C$35)</f>
        <v/>
      </c>
      <c r="X1155" s="156" t="str">
        <f t="shared" si="760"/>
        <v/>
      </c>
      <c r="Y1155" s="154"/>
      <c r="Z1155" s="147" t="str">
        <f>IF($E1155="","",VLOOKUP($D1155,'Mortality Margins &amp; Grading'!$AB$5:$AF$125,3,0)*IF(Summary!$D$25="Included Margin",IF(AND($B1155&gt;Input!$C$9,Summary!$D$31&lt;&gt;"Included Margin"),0,1),0))</f>
        <v/>
      </c>
      <c r="AA1155" s="147" t="str">
        <f>IF($E1155="","",VLOOKUP($D1155,'Mortality Margins &amp; Grading'!$AB$5:$AF$125,5,0)*IF(Summary!$D$25="Included Margin",IF(AND($B1155&gt;Input!$C$9,Summary!$D$31&lt;&gt;"Included Margin"),0,1),0))</f>
        <v/>
      </c>
      <c r="AB1155" s="147" t="str">
        <f>IF($E1155="","",IF(AND($B1155&gt;Input!$C$9,Summary!$D$31&lt;&gt;"Included Margin"),1,IF(Summary!$D$25="Included Margin",VLOOKUP($B1155,'Mortality Margins &amp; Grading'!$AI$5:$AR$125,MATCH('Mortality Margins &amp; Grading'!$AQ$4,'Mortality Margins &amp; Grading'!$AI$4:$AR$4,0),0),1)))</f>
        <v/>
      </c>
      <c r="AC1155" s="154"/>
      <c r="AD1155" s="158" t="str">
        <f>IF(E1155="","",Input!$C$48*IF(Summary!$D$30="Included Margin",IF(AND($B1155&gt;Input!$C$9,Summary!$D$31&lt;&gt;"Included Margin"),0,1),0))</f>
        <v/>
      </c>
      <c r="AE1155" s="159" t="str">
        <f>IF(E1155="","",IF(Summary!$D$26="Included Margin",IF(AND($B1155&gt;Input!$C$9,Summary!$D$31&lt;&gt;"Included Margin"),1,1/$R1155),1))</f>
        <v/>
      </c>
      <c r="AF1155" s="160" t="str">
        <f>IF(E1155="","",IF(AND($B1155&gt;=Input!$C$9,$C1155=12,Summary!$D$31="Included Margin",$U1155&gt;0),1/U1155-1,IF($B1155&gt;=Input!$C$9,0,Input!$C$45*IF(Summary!$D$27="Included Margin",1,0))))</f>
        <v/>
      </c>
      <c r="AG1155" s="160" t="str">
        <f>IF(E1155="","",Input!$C$46*IF(Summary!$D$28="Included Margin",IF(AND($B1155&gt;Input!$C$9,Summary!$D$31&lt;&gt;"Included Margin"),0,1),0))</f>
        <v/>
      </c>
      <c r="AH1155" s="158" t="str">
        <f>IF(E1155="","",Input!$C$47*IF(Summary!$D$29="Included Margin",IF(AND($B1155&gt;Input!$C$9,Summary!$D$31&lt;&gt;"Included Margin"),0,1),0))</f>
        <v/>
      </c>
      <c r="AI1155" s="154"/>
      <c r="AJ1155" s="158" t="str">
        <f t="shared" si="731"/>
        <v/>
      </c>
      <c r="AK1155" s="150" t="str">
        <f t="shared" si="732"/>
        <v/>
      </c>
      <c r="AL1155" s="147" t="str">
        <f t="shared" si="733"/>
        <v/>
      </c>
      <c r="AM1155" s="147" t="str">
        <f t="shared" si="718"/>
        <v/>
      </c>
      <c r="AN1155" s="160" t="str">
        <f t="shared" si="734"/>
        <v/>
      </c>
      <c r="AO1155" s="161" t="str">
        <f t="shared" si="735"/>
        <v/>
      </c>
      <c r="AP1155" s="156" t="str">
        <f t="shared" si="719"/>
        <v/>
      </c>
      <c r="AQ1155" s="152"/>
      <c r="AR1155" s="162" t="str">
        <f t="shared" si="720"/>
        <v/>
      </c>
      <c r="AS1155" s="150" t="str">
        <f t="shared" si="736"/>
        <v/>
      </c>
      <c r="AT1155" s="163" t="str">
        <f t="shared" si="721"/>
        <v/>
      </c>
      <c r="AU1155" s="163" t="str">
        <f t="shared" si="722"/>
        <v/>
      </c>
      <c r="AV1155" s="163" t="str">
        <f t="shared" si="737"/>
        <v/>
      </c>
      <c r="AW1155" s="163" t="str">
        <f t="shared" si="723"/>
        <v/>
      </c>
      <c r="AX1155" s="163" t="str">
        <f t="shared" si="724"/>
        <v/>
      </c>
      <c r="AY1155" s="150" t="str">
        <f t="shared" si="738"/>
        <v/>
      </c>
      <c r="AZ1155" s="150" t="str">
        <f>IF($E1155="","",IF(OR(AND($D1155=Input!$C$6,$C1155=12),$AN1155=1),0,-AS1156+AT1156+AU1156-AV1156-AW1156-AX1156+AZ1156))</f>
        <v/>
      </c>
      <c r="BA1155" s="154" t="str">
        <f t="shared" si="725"/>
        <v/>
      </c>
      <c r="BC1155" s="147" t="str">
        <f t="shared" si="739"/>
        <v/>
      </c>
      <c r="BD1155" s="164" t="str">
        <f>IF(AND($C1154=12,$D1154=Input!$C$6),0,IF($E1155="","",AT1155+(AU1155+BD1156)/(1+$AK1155)*MIN((1-AM1155-AN1155),1)))</f>
        <v/>
      </c>
      <c r="BH1155" s="152"/>
      <c r="BI1155" s="162" t="str">
        <f t="shared" si="748"/>
        <v/>
      </c>
      <c r="BJ1155" s="150" t="str">
        <f t="shared" si="749"/>
        <v/>
      </c>
      <c r="BK1155" s="163" t="str">
        <f t="shared" si="745"/>
        <v/>
      </c>
      <c r="BL1155" s="163" t="str">
        <f t="shared" si="750"/>
        <v/>
      </c>
      <c r="BM1155" s="163" t="str">
        <f t="shared" si="746"/>
        <v/>
      </c>
      <c r="BN1155" s="163" t="str">
        <f t="shared" si="751"/>
        <v/>
      </c>
      <c r="BO1155" s="163" t="str">
        <f t="shared" si="752"/>
        <v/>
      </c>
      <c r="BP1155" s="150" t="str">
        <f t="shared" si="747"/>
        <v/>
      </c>
      <c r="BQ1155" s="150" t="str">
        <f t="shared" si="741"/>
        <v/>
      </c>
      <c r="BR1155" s="154" t="str">
        <f t="shared" si="753"/>
        <v/>
      </c>
      <c r="BT1155" s="147"/>
    </row>
    <row r="1156" spans="1:72" s="150" customFormat="1" x14ac:dyDescent="0.25">
      <c r="A1156" s="150" t="str">
        <f t="shared" si="742"/>
        <v/>
      </c>
      <c r="B1156" s="150" t="str">
        <f t="shared" si="743"/>
        <v/>
      </c>
      <c r="C1156" s="150" t="str">
        <f t="shared" si="744"/>
        <v/>
      </c>
      <c r="D1156" s="150" t="str">
        <f>IF(E1156="","",Input!$C$4+B1156-1)</f>
        <v/>
      </c>
      <c r="E1156" s="150" t="str">
        <f>IF(OR(AND(C1155=12,D1155=Input!$C$6),E1155=""),"",1)</f>
        <v/>
      </c>
      <c r="G1156" s="151" t="str">
        <f>IF(E1156="","",MAX(0,Input!$C$9-B1156))</f>
        <v/>
      </c>
      <c r="H1156" s="152" t="str">
        <f>IF(E1156="","",Input!$C$3)</f>
        <v/>
      </c>
      <c r="I1156" s="153" t="str">
        <f>IF(E1156="","",HLOOKUP($B1156,Input!$C$13:$BT$14,2))</f>
        <v/>
      </c>
      <c r="J1156" s="154"/>
      <c r="K1156" s="150" t="str">
        <f>IF($E1156="","",INDEX(Input!$C$16:$CP$16,1,$B1156))</f>
        <v/>
      </c>
      <c r="L1156" s="150" t="str">
        <f>IF($E1156="","",Input!$C$37)</f>
        <v/>
      </c>
      <c r="M1156" s="150" t="str">
        <f t="shared" si="758"/>
        <v/>
      </c>
      <c r="N1156" s="150" t="str">
        <f t="shared" si="759"/>
        <v/>
      </c>
      <c r="O1156" s="147" t="str">
        <f>IF($E1156="","",MIN(VLOOKUP(IF($B1156&lt;=Input!$C$7,$B1156,26),'Mortality Tables'!$A$41:$CW$67,IF($B1156&lt;=Input!$C$7+1,Input!$C$4+2,$D1156-Input!$C$7+2),0)*IF(B1156&gt;20,Input!$C$22,1)/1000,1))</f>
        <v/>
      </c>
      <c r="P1156" s="147" t="str">
        <f>IF($E1156="","",MIN(VLOOKUP(IF($B1156&lt;=Input!$C$7,$B1156,26),'Mortality Tables'!$A$12:$CW$37,IF($B1156&lt;=Input!$C$7+1,Input!$C$4+2,$D1156-Input!$C$7+2),0)*IF(B1156&gt;20,Input!$C$22,1)/1000,1))</f>
        <v/>
      </c>
      <c r="Q1156" s="155" t="str">
        <f>IF($E1156="","",Input!$C$21)</f>
        <v/>
      </c>
      <c r="R1156" s="159" t="str">
        <f>IF($E1156="","",(1-Q1156)^($F1156-Input!$C$20))</f>
        <v/>
      </c>
      <c r="S1156" s="147" t="str">
        <f t="shared" si="716"/>
        <v/>
      </c>
      <c r="T1156" s="147" t="str">
        <f t="shared" si="717"/>
        <v/>
      </c>
      <c r="U1156" s="160" t="str">
        <f>IF($E1156="","",IF($C1156=12,INDEX(Input!$C$15:$CP$15,1,$B1156),0))</f>
        <v/>
      </c>
      <c r="V1156" s="150" t="str">
        <f>IF(E1156="","",IF(C1156=1,IF($B1156=1,Input!$C$33,Input!$C$34),0))</f>
        <v/>
      </c>
      <c r="W1156" s="156" t="str">
        <f>IF($E1156="","",Input!$C$35)</f>
        <v/>
      </c>
      <c r="X1156" s="156" t="str">
        <f t="shared" si="760"/>
        <v/>
      </c>
      <c r="Y1156" s="154"/>
      <c r="Z1156" s="147" t="str">
        <f>IF($E1156="","",VLOOKUP($D1156,'Mortality Margins &amp; Grading'!$AB$5:$AF$125,3,0)*IF(Summary!$D$25="Included Margin",IF(AND($B1156&gt;Input!$C$9,Summary!$D$31&lt;&gt;"Included Margin"),0,1),0))</f>
        <v/>
      </c>
      <c r="AA1156" s="147" t="str">
        <f>IF($E1156="","",VLOOKUP($D1156,'Mortality Margins &amp; Grading'!$AB$5:$AF$125,5,0)*IF(Summary!$D$25="Included Margin",IF(AND($B1156&gt;Input!$C$9,Summary!$D$31&lt;&gt;"Included Margin"),0,1),0))</f>
        <v/>
      </c>
      <c r="AB1156" s="147" t="str">
        <f>IF($E1156="","",IF(AND($B1156&gt;Input!$C$9,Summary!$D$31&lt;&gt;"Included Margin"),1,IF(Summary!$D$25="Included Margin",VLOOKUP($B1156,'Mortality Margins &amp; Grading'!$AI$5:$AR$125,MATCH('Mortality Margins &amp; Grading'!$AQ$4,'Mortality Margins &amp; Grading'!$AI$4:$AR$4,0),0),1)))</f>
        <v/>
      </c>
      <c r="AC1156" s="154"/>
      <c r="AD1156" s="158" t="str">
        <f>IF(E1156="","",Input!$C$48*IF(Summary!$D$30="Included Margin",IF(AND($B1156&gt;Input!$C$9,Summary!$D$31&lt;&gt;"Included Margin"),0,1),0))</f>
        <v/>
      </c>
      <c r="AE1156" s="159" t="str">
        <f>IF(E1156="","",IF(Summary!$D$26="Included Margin",IF(AND($B1156&gt;Input!$C$9,Summary!$D$31&lt;&gt;"Included Margin"),1,1/$R1156),1))</f>
        <v/>
      </c>
      <c r="AF1156" s="160" t="str">
        <f>IF(E1156="","",IF(AND($B1156&gt;=Input!$C$9,$C1156=12,Summary!$D$31="Included Margin",$U1156&gt;0),1/U1156-1,IF($B1156&gt;=Input!$C$9,0,Input!$C$45*IF(Summary!$D$27="Included Margin",1,0))))</f>
        <v/>
      </c>
      <c r="AG1156" s="160" t="str">
        <f>IF(E1156="","",Input!$C$46*IF(Summary!$D$28="Included Margin",IF(AND($B1156&gt;Input!$C$9,Summary!$D$31&lt;&gt;"Included Margin"),0,1),0))</f>
        <v/>
      </c>
      <c r="AH1156" s="158" t="str">
        <f>IF(E1156="","",Input!$C$47*IF(Summary!$D$29="Included Margin",IF(AND($B1156&gt;Input!$C$9,Summary!$D$31&lt;&gt;"Included Margin"),0,1),0))</f>
        <v/>
      </c>
      <c r="AI1156" s="154"/>
      <c r="AJ1156" s="158" t="str">
        <f t="shared" si="731"/>
        <v/>
      </c>
      <c r="AK1156" s="150" t="str">
        <f t="shared" si="732"/>
        <v/>
      </c>
      <c r="AL1156" s="147" t="str">
        <f t="shared" si="733"/>
        <v/>
      </c>
      <c r="AM1156" s="147" t="str">
        <f t="shared" si="718"/>
        <v/>
      </c>
      <c r="AN1156" s="160" t="str">
        <f t="shared" si="734"/>
        <v/>
      </c>
      <c r="AO1156" s="161" t="str">
        <f t="shared" si="735"/>
        <v/>
      </c>
      <c r="AP1156" s="156" t="str">
        <f t="shared" si="719"/>
        <v/>
      </c>
      <c r="AQ1156" s="152"/>
      <c r="AR1156" s="162" t="str">
        <f t="shared" si="720"/>
        <v/>
      </c>
      <c r="AS1156" s="150" t="str">
        <f t="shared" si="736"/>
        <v/>
      </c>
      <c r="AT1156" s="163" t="str">
        <f t="shared" si="721"/>
        <v/>
      </c>
      <c r="AU1156" s="163" t="str">
        <f t="shared" si="722"/>
        <v/>
      </c>
      <c r="AV1156" s="163" t="str">
        <f t="shared" si="737"/>
        <v/>
      </c>
      <c r="AW1156" s="163" t="str">
        <f t="shared" si="723"/>
        <v/>
      </c>
      <c r="AX1156" s="163" t="str">
        <f t="shared" si="724"/>
        <v/>
      </c>
      <c r="AY1156" s="150" t="str">
        <f t="shared" si="738"/>
        <v/>
      </c>
      <c r="AZ1156" s="150" t="str">
        <f>IF($E1156="","",IF(OR(AND($D1156=Input!$C$6,$C1156=12),$AN1156=1),0,-AS1157+AT1157+AU1157-AV1157-AW1157-AX1157+AZ1157))</f>
        <v/>
      </c>
      <c r="BA1156" s="154" t="str">
        <f t="shared" si="725"/>
        <v/>
      </c>
      <c r="BC1156" s="147" t="str">
        <f t="shared" si="739"/>
        <v/>
      </c>
      <c r="BD1156" s="164" t="str">
        <f>IF(AND($C1155=12,$D1155=Input!$C$6),0,IF($E1156="","",AT1156+(AU1156+BD1157)/(1+$AK1156)*MIN((1-AM1156-AN1156),1)))</f>
        <v/>
      </c>
      <c r="BH1156" s="152"/>
      <c r="BI1156" s="162" t="str">
        <f t="shared" si="748"/>
        <v/>
      </c>
      <c r="BJ1156" s="150" t="str">
        <f t="shared" si="749"/>
        <v/>
      </c>
      <c r="BK1156" s="163" t="str">
        <f t="shared" si="745"/>
        <v/>
      </c>
      <c r="BL1156" s="163" t="str">
        <f t="shared" si="750"/>
        <v/>
      </c>
      <c r="BM1156" s="163" t="str">
        <f t="shared" si="746"/>
        <v/>
      </c>
      <c r="BN1156" s="163" t="str">
        <f t="shared" si="751"/>
        <v/>
      </c>
      <c r="BO1156" s="163" t="str">
        <f t="shared" si="752"/>
        <v/>
      </c>
      <c r="BP1156" s="150" t="str">
        <f t="shared" si="747"/>
        <v/>
      </c>
      <c r="BQ1156" s="150" t="str">
        <f t="shared" si="741"/>
        <v/>
      </c>
      <c r="BR1156" s="154" t="str">
        <f t="shared" si="753"/>
        <v/>
      </c>
      <c r="BT1156" s="147"/>
    </row>
    <row r="1157" spans="1:72" s="150" customFormat="1" x14ac:dyDescent="0.25">
      <c r="A1157" s="150" t="str">
        <f t="shared" si="742"/>
        <v/>
      </c>
      <c r="B1157" s="150" t="str">
        <f t="shared" si="743"/>
        <v/>
      </c>
      <c r="C1157" s="150" t="str">
        <f t="shared" si="744"/>
        <v/>
      </c>
      <c r="D1157" s="150" t="str">
        <f>IF(E1157="","",Input!$C$4+B1157-1)</f>
        <v/>
      </c>
      <c r="E1157" s="150" t="str">
        <f>IF(OR(AND(C1156=12,D1156=Input!$C$6),E1156=""),"",1)</f>
        <v/>
      </c>
      <c r="G1157" s="151" t="str">
        <f>IF(E1157="","",MAX(0,Input!$C$9-B1157))</f>
        <v/>
      </c>
      <c r="H1157" s="152" t="str">
        <f>IF(E1157="","",Input!$C$3)</f>
        <v/>
      </c>
      <c r="I1157" s="153" t="str">
        <f>IF(E1157="","",HLOOKUP($B1157,Input!$C$13:$BT$14,2))</f>
        <v/>
      </c>
      <c r="J1157" s="154"/>
      <c r="K1157" s="150" t="str">
        <f>IF($E1157="","",INDEX(Input!$C$16:$CP$16,1,$B1157))</f>
        <v/>
      </c>
      <c r="L1157" s="150" t="str">
        <f>IF($E1157="","",Input!$C$37)</f>
        <v/>
      </c>
      <c r="M1157" s="150" t="str">
        <f t="shared" si="758"/>
        <v/>
      </c>
      <c r="N1157" s="150" t="str">
        <f t="shared" si="759"/>
        <v/>
      </c>
      <c r="O1157" s="147" t="str">
        <f>IF($E1157="","",MIN(VLOOKUP(IF($B1157&lt;=Input!$C$7,$B1157,26),'Mortality Tables'!$A$41:$CW$67,IF($B1157&lt;=Input!$C$7+1,Input!$C$4+2,$D1157-Input!$C$7+2),0)*IF(B1157&gt;20,Input!$C$22,1)/1000,1))</f>
        <v/>
      </c>
      <c r="P1157" s="147" t="str">
        <f>IF($E1157="","",MIN(VLOOKUP(IF($B1157&lt;=Input!$C$7,$B1157,26),'Mortality Tables'!$A$12:$CW$37,IF($B1157&lt;=Input!$C$7+1,Input!$C$4+2,$D1157-Input!$C$7+2),0)*IF(B1157&gt;20,Input!$C$22,1)/1000,1))</f>
        <v/>
      </c>
      <c r="Q1157" s="155" t="str">
        <f>IF($E1157="","",Input!$C$21)</f>
        <v/>
      </c>
      <c r="R1157" s="159" t="str">
        <f>IF($E1157="","",(1-Q1157)^($F1157-Input!$C$20))</f>
        <v/>
      </c>
      <c r="S1157" s="147" t="str">
        <f t="shared" ref="S1157:S1220" si="761">IF($E1157="","",MIN(O1157*R1157,1))</f>
        <v/>
      </c>
      <c r="T1157" s="147" t="str">
        <f t="shared" ref="T1157:T1220" si="762">IF($E1157="","",1-(1-S1157)^(1/12))</f>
        <v/>
      </c>
      <c r="U1157" s="160" t="str">
        <f>IF($E1157="","",IF($C1157=12,INDEX(Input!$C$15:$CP$15,1,$B1157),0))</f>
        <v/>
      </c>
      <c r="V1157" s="150" t="str">
        <f>IF(E1157="","",IF(C1157=1,IF($B1157=1,Input!$C$33,Input!$C$34),0))</f>
        <v/>
      </c>
      <c r="W1157" s="156" t="str">
        <f>IF($E1157="","",Input!$C$35)</f>
        <v/>
      </c>
      <c r="X1157" s="156" t="str">
        <f t="shared" ref="X1157:X1220" si="763">IF($E1157="","",IF(B1157=1,1,IF(C1157=1,(1+W1157)*X1156,X1156)))</f>
        <v/>
      </c>
      <c r="Y1157" s="154"/>
      <c r="Z1157" s="147" t="str">
        <f>IF($E1157="","",VLOOKUP($D1157,'Mortality Margins &amp; Grading'!$AB$5:$AF$125,3,0)*IF(Summary!$D$25="Included Margin",IF(AND($B1157&gt;Input!$C$9,Summary!$D$31&lt;&gt;"Included Margin"),0,1),0))</f>
        <v/>
      </c>
      <c r="AA1157" s="147" t="str">
        <f>IF($E1157="","",VLOOKUP($D1157,'Mortality Margins &amp; Grading'!$AB$5:$AF$125,5,0)*IF(Summary!$D$25="Included Margin",IF(AND($B1157&gt;Input!$C$9,Summary!$D$31&lt;&gt;"Included Margin"),0,1),0))</f>
        <v/>
      </c>
      <c r="AB1157" s="147" t="str">
        <f>IF($E1157="","",IF(AND($B1157&gt;Input!$C$9,Summary!$D$31&lt;&gt;"Included Margin"),1,IF(Summary!$D$25="Included Margin",VLOOKUP($B1157,'Mortality Margins &amp; Grading'!$AI$5:$AR$125,MATCH('Mortality Margins &amp; Grading'!$AQ$4,'Mortality Margins &amp; Grading'!$AI$4:$AR$4,0),0),1)))</f>
        <v/>
      </c>
      <c r="AC1157" s="154"/>
      <c r="AD1157" s="158" t="str">
        <f>IF(E1157="","",Input!$C$48*IF(Summary!$D$30="Included Margin",IF(AND($B1157&gt;Input!$C$9,Summary!$D$31&lt;&gt;"Included Margin"),0,1),0))</f>
        <v/>
      </c>
      <c r="AE1157" s="159" t="str">
        <f>IF(E1157="","",IF(Summary!$D$26="Included Margin",IF(AND($B1157&gt;Input!$C$9,Summary!$D$31&lt;&gt;"Included Margin"),1,1/$R1157),1))</f>
        <v/>
      </c>
      <c r="AF1157" s="160" t="str">
        <f>IF(E1157="","",IF(AND($B1157&gt;=Input!$C$9,$C1157=12,Summary!$D$31="Included Margin",$U1157&gt;0),1/U1157-1,IF($B1157&gt;=Input!$C$9,0,Input!$C$45*IF(Summary!$D$27="Included Margin",1,0))))</f>
        <v/>
      </c>
      <c r="AG1157" s="160" t="str">
        <f>IF(E1157="","",Input!$C$46*IF(Summary!$D$28="Included Margin",IF(AND($B1157&gt;Input!$C$9,Summary!$D$31&lt;&gt;"Included Margin"),0,1),0))</f>
        <v/>
      </c>
      <c r="AH1157" s="158" t="str">
        <f>IF(E1157="","",Input!$C$47*IF(Summary!$D$29="Included Margin",IF(AND($B1157&gt;Input!$C$9,Summary!$D$31&lt;&gt;"Included Margin"),0,1),0))</f>
        <v/>
      </c>
      <c r="AI1157" s="154"/>
      <c r="AJ1157" s="158" t="str">
        <f t="shared" si="731"/>
        <v/>
      </c>
      <c r="AK1157" s="150" t="str">
        <f t="shared" si="732"/>
        <v/>
      </c>
      <c r="AL1157" s="147" t="str">
        <f t="shared" si="733"/>
        <v/>
      </c>
      <c r="AM1157" s="147" t="str">
        <f t="shared" ref="AM1157:AM1220" si="764">IF($E1157="","",1-(1-AL1157)^(1/12))</f>
        <v/>
      </c>
      <c r="AN1157" s="160" t="str">
        <f t="shared" si="734"/>
        <v/>
      </c>
      <c r="AO1157" s="161" t="str">
        <f t="shared" si="735"/>
        <v/>
      </c>
      <c r="AP1157" s="156" t="str">
        <f t="shared" ref="AP1157:AP1220" si="765">IF($E1157="","",IF(B1157=1,1,IF(C1157=1,(1+$W1157+$AH1157)*AP1156,AP1156)))</f>
        <v/>
      </c>
      <c r="AQ1157" s="152"/>
      <c r="AR1157" s="162" t="str">
        <f t="shared" ref="AR1157:AR1220" si="766">IF($E1157="","",(AZ1157*(1-$AN1157)*(1-$AM1157)/(1+$AK1157)+AU1157/(1+$AK1157/2)-AS1157+AT1157))</f>
        <v/>
      </c>
      <c r="AS1157" s="150" t="str">
        <f t="shared" si="736"/>
        <v/>
      </c>
      <c r="AT1157" s="163" t="str">
        <f t="shared" ref="AT1157:AT1220" si="767">IF($E1157="","",$AO1157*$AP1157)</f>
        <v/>
      </c>
      <c r="AU1157" s="163" t="str">
        <f t="shared" ref="AU1157:AU1220" si="768">IF($E1157="","",$AM1157*$H1157)</f>
        <v/>
      </c>
      <c r="AV1157" s="163" t="str">
        <f t="shared" si="737"/>
        <v/>
      </c>
      <c r="AW1157" s="163" t="str">
        <f t="shared" ref="AW1157:AW1220" si="769">IF($E1157="","",AZ1157*$AM1157)</f>
        <v/>
      </c>
      <c r="AX1157" s="163" t="str">
        <f t="shared" ref="AX1157:AX1220" si="770">IF($E1157="","",$AN1157*AZ1157*(1-$AM1157))</f>
        <v/>
      </c>
      <c r="AY1157" s="150" t="str">
        <f t="shared" si="738"/>
        <v/>
      </c>
      <c r="AZ1157" s="150" t="str">
        <f>IF($E1157="","",IF(OR(AND($D1157=Input!$C$6,$C1157=12),$AN1157=1),0,-AS1158+AT1158+AU1158-AV1158-AW1158-AX1158+AZ1158))</f>
        <v/>
      </c>
      <c r="BA1157" s="154" t="str">
        <f t="shared" ref="BA1157:BA1220" si="771">IF(E1157="","",AZ1157-AY1157)</f>
        <v/>
      </c>
      <c r="BC1157" s="147" t="str">
        <f t="shared" si="739"/>
        <v/>
      </c>
      <c r="BD1157" s="164" t="str">
        <f>IF(AND($C1156=12,$D1156=Input!$C$6),0,IF($E1157="","",AT1157+(AU1157+BD1158)/(1+$AK1157)*MIN((1-AM1157-AN1157),1)))</f>
        <v/>
      </c>
      <c r="BH1157" s="152"/>
      <c r="BI1157" s="162" t="str">
        <f t="shared" si="748"/>
        <v/>
      </c>
      <c r="BJ1157" s="150" t="str">
        <f t="shared" si="749"/>
        <v/>
      </c>
      <c r="BK1157" s="163" t="str">
        <f t="shared" si="745"/>
        <v/>
      </c>
      <c r="BL1157" s="163" t="str">
        <f t="shared" si="750"/>
        <v/>
      </c>
      <c r="BM1157" s="163" t="str">
        <f t="shared" si="746"/>
        <v/>
      </c>
      <c r="BN1157" s="163" t="str">
        <f t="shared" si="751"/>
        <v/>
      </c>
      <c r="BO1157" s="163" t="str">
        <f t="shared" si="752"/>
        <v/>
      </c>
      <c r="BP1157" s="150" t="str">
        <f t="shared" si="747"/>
        <v/>
      </c>
      <c r="BQ1157" s="150" t="str">
        <f t="shared" si="741"/>
        <v/>
      </c>
      <c r="BR1157" s="154" t="str">
        <f t="shared" si="753"/>
        <v/>
      </c>
      <c r="BT1157" s="147"/>
    </row>
    <row r="1158" spans="1:72" s="150" customFormat="1" x14ac:dyDescent="0.25">
      <c r="A1158" s="150" t="str">
        <f t="shared" si="742"/>
        <v/>
      </c>
      <c r="B1158" s="150" t="str">
        <f t="shared" si="743"/>
        <v/>
      </c>
      <c r="C1158" s="150" t="str">
        <f t="shared" si="744"/>
        <v/>
      </c>
      <c r="D1158" s="150" t="str">
        <f>IF(E1158="","",Input!$C$4+B1158-1)</f>
        <v/>
      </c>
      <c r="E1158" s="150" t="str">
        <f>IF(OR(AND(C1157=12,D1157=Input!$C$6),E1157=""),"",1)</f>
        <v/>
      </c>
      <c r="G1158" s="151" t="str">
        <f>IF(E1158="","",MAX(0,Input!$C$9-B1158))</f>
        <v/>
      </c>
      <c r="H1158" s="152" t="str">
        <f>IF(E1158="","",Input!$C$3)</f>
        <v/>
      </c>
      <c r="I1158" s="153" t="str">
        <f>IF(E1158="","",HLOOKUP($B1158,Input!$C$13:$BT$14,2))</f>
        <v/>
      </c>
      <c r="J1158" s="154"/>
      <c r="K1158" s="150" t="str">
        <f>IF($E1158="","",INDEX(Input!$C$16:$CP$16,1,$B1158))</f>
        <v/>
      </c>
      <c r="L1158" s="150" t="str">
        <f>IF($E1158="","",Input!$C$37)</f>
        <v/>
      </c>
      <c r="M1158" s="150" t="str">
        <f t="shared" ref="M1158:M1221" si="772">IF($E1158="","",K1158+L1158)</f>
        <v/>
      </c>
      <c r="N1158" s="150" t="str">
        <f t="shared" ref="N1158:N1221" si="773">IF($E1158="","",(1+M1158)^(1/12)-1)</f>
        <v/>
      </c>
      <c r="O1158" s="147" t="str">
        <f>IF($E1158="","",MIN(VLOOKUP(IF($B1158&lt;=Input!$C$7,$B1158,26),'Mortality Tables'!$A$41:$CW$67,IF($B1158&lt;=Input!$C$7+1,Input!$C$4+2,$D1158-Input!$C$7+2),0)*IF(B1158&gt;20,Input!$C$22,1)/1000,1))</f>
        <v/>
      </c>
      <c r="P1158" s="147" t="str">
        <f>IF($E1158="","",MIN(VLOOKUP(IF($B1158&lt;=Input!$C$7,$B1158,26),'Mortality Tables'!$A$12:$CW$37,IF($B1158&lt;=Input!$C$7+1,Input!$C$4+2,$D1158-Input!$C$7+2),0)*IF(B1158&gt;20,Input!$C$22,1)/1000,1))</f>
        <v/>
      </c>
      <c r="Q1158" s="155" t="str">
        <f>IF($E1158="","",Input!$C$21)</f>
        <v/>
      </c>
      <c r="R1158" s="159" t="str">
        <f>IF($E1158="","",(1-Q1158)^($F1158-Input!$C$20))</f>
        <v/>
      </c>
      <c r="S1158" s="147" t="str">
        <f t="shared" si="761"/>
        <v/>
      </c>
      <c r="T1158" s="147" t="str">
        <f t="shared" si="762"/>
        <v/>
      </c>
      <c r="U1158" s="160" t="str">
        <f>IF($E1158="","",IF($C1158=12,INDEX(Input!$C$15:$CP$15,1,$B1158),0))</f>
        <v/>
      </c>
      <c r="V1158" s="150" t="str">
        <f>IF(E1158="","",IF(C1158=1,IF($B1158=1,Input!$C$33,Input!$C$34),0))</f>
        <v/>
      </c>
      <c r="W1158" s="156" t="str">
        <f>IF($E1158="","",Input!$C$35)</f>
        <v/>
      </c>
      <c r="X1158" s="156" t="str">
        <f t="shared" si="763"/>
        <v/>
      </c>
      <c r="Y1158" s="154"/>
      <c r="Z1158" s="147" t="str">
        <f>IF($E1158="","",VLOOKUP($D1158,'Mortality Margins &amp; Grading'!$AB$5:$AF$125,3,0)*IF(Summary!$D$25="Included Margin",IF(AND($B1158&gt;Input!$C$9,Summary!$D$31&lt;&gt;"Included Margin"),0,1),0))</f>
        <v/>
      </c>
      <c r="AA1158" s="147" t="str">
        <f>IF($E1158="","",VLOOKUP($D1158,'Mortality Margins &amp; Grading'!$AB$5:$AF$125,5,0)*IF(Summary!$D$25="Included Margin",IF(AND($B1158&gt;Input!$C$9,Summary!$D$31&lt;&gt;"Included Margin"),0,1),0))</f>
        <v/>
      </c>
      <c r="AB1158" s="147" t="str">
        <f>IF($E1158="","",IF(AND($B1158&gt;Input!$C$9,Summary!$D$31&lt;&gt;"Included Margin"),1,IF(Summary!$D$25="Included Margin",VLOOKUP($B1158,'Mortality Margins &amp; Grading'!$AI$5:$AR$125,MATCH('Mortality Margins &amp; Grading'!$AQ$4,'Mortality Margins &amp; Grading'!$AI$4:$AR$4,0),0),1)))</f>
        <v/>
      </c>
      <c r="AC1158" s="154"/>
      <c r="AD1158" s="158" t="str">
        <f>IF(E1158="","",Input!$C$48*IF(Summary!$D$30="Included Margin",IF(AND($B1158&gt;Input!$C$9,Summary!$D$31&lt;&gt;"Included Margin"),0,1),0))</f>
        <v/>
      </c>
      <c r="AE1158" s="159" t="str">
        <f>IF(E1158="","",IF(Summary!$D$26="Included Margin",IF(AND($B1158&gt;Input!$C$9,Summary!$D$31&lt;&gt;"Included Margin"),1,1/$R1158),1))</f>
        <v/>
      </c>
      <c r="AF1158" s="160" t="str">
        <f>IF(E1158="","",IF(AND($B1158&gt;=Input!$C$9,$C1158=12,Summary!$D$31="Included Margin",$U1158&gt;0),1/U1158-1,IF($B1158&gt;=Input!$C$9,0,Input!$C$45*IF(Summary!$D$27="Included Margin",1,0))))</f>
        <v/>
      </c>
      <c r="AG1158" s="160" t="str">
        <f>IF(E1158="","",Input!$C$46*IF(Summary!$D$28="Included Margin",IF(AND($B1158&gt;Input!$C$9,Summary!$D$31&lt;&gt;"Included Margin"),0,1),0))</f>
        <v/>
      </c>
      <c r="AH1158" s="158" t="str">
        <f>IF(E1158="","",Input!$C$47*IF(Summary!$D$29="Included Margin",IF(AND($B1158&gt;Input!$C$9,Summary!$D$31&lt;&gt;"Included Margin"),0,1),0))</f>
        <v/>
      </c>
      <c r="AI1158" s="154"/>
      <c r="AJ1158" s="158" t="str">
        <f t="shared" ref="AJ1158:AJ1221" si="774">IF(E1158="","",M1158+AD1158)</f>
        <v/>
      </c>
      <c r="AK1158" s="150" t="str">
        <f t="shared" ref="AK1158:AK1221" si="775">IF(E1158="","",(1+AJ1158)^(1/12)-1)</f>
        <v/>
      </c>
      <c r="AL1158" s="147" t="str">
        <f t="shared" ref="AL1158:AL1221" si="776">IF($E1158="","",MIN(($O1158*(1+$Z1158)*$AB1158+$P1158*(1+$AA1158)*(1-$AB1158))*R1158*AE1158,1))</f>
        <v/>
      </c>
      <c r="AM1158" s="147" t="str">
        <f t="shared" si="764"/>
        <v/>
      </c>
      <c r="AN1158" s="160" t="str">
        <f t="shared" ref="AN1158:AN1221" si="777">IF(E1158="","",IF(U1158=1,1,(1+AF1158)*U1158))</f>
        <v/>
      </c>
      <c r="AO1158" s="161" t="str">
        <f t="shared" ref="AO1158:AO1221" si="778">IF($E1158="","",(1+$AG1158)*$V1158)</f>
        <v/>
      </c>
      <c r="AP1158" s="156" t="str">
        <f t="shared" si="765"/>
        <v/>
      </c>
      <c r="AQ1158" s="152"/>
      <c r="AR1158" s="162" t="str">
        <f t="shared" si="766"/>
        <v/>
      </c>
      <c r="AS1158" s="150" t="str">
        <f t="shared" ref="AS1158:AS1221" si="779">IF($E1158="","",IF($C1158=1,$I1158*$H1158/1000,0))</f>
        <v/>
      </c>
      <c r="AT1158" s="163" t="str">
        <f t="shared" si="767"/>
        <v/>
      </c>
      <c r="AU1158" s="163" t="str">
        <f t="shared" si="768"/>
        <v/>
      </c>
      <c r="AV1158" s="163" t="str">
        <f t="shared" ref="AV1158:AV1221" si="780">IF($E1158="","",(AR1158+AS1158-AT1158-AU1158/2)*$AK1158)</f>
        <v/>
      </c>
      <c r="AW1158" s="163" t="str">
        <f t="shared" si="769"/>
        <v/>
      </c>
      <c r="AX1158" s="163" t="str">
        <f t="shared" si="770"/>
        <v/>
      </c>
      <c r="AY1158" s="150" t="str">
        <f t="shared" ref="AY1158:AY1221" si="781">IF($E1158="","",AR1158+AS1158-AT1158-AU1158+AV1158+AW1158+AX1158)</f>
        <v/>
      </c>
      <c r="AZ1158" s="150" t="str">
        <f>IF($E1158="","",IF(OR(AND($D1158=Input!$C$6,$C1158=12),$AN1158=1),0,-AS1159+AT1159+AU1159-AV1159-AW1159-AX1159+AZ1159))</f>
        <v/>
      </c>
      <c r="BA1158" s="154" t="str">
        <f t="shared" si="771"/>
        <v/>
      </c>
      <c r="BC1158" s="147" t="str">
        <f t="shared" ref="BC1158:BC1221" si="782">IF($E1158="","",MIN(1,(1-T1158-U1158))*BC1157)</f>
        <v/>
      </c>
      <c r="BD1158" s="164" t="str">
        <f>IF(AND($C1157=12,$D1157=Input!$C$6),0,IF($E1158="","",AT1158+(AU1158+BD1159)/(1+$AK1158)*MIN((1-AM1158-AN1158),1)))</f>
        <v/>
      </c>
      <c r="BH1158" s="152"/>
      <c r="BI1158" s="162" t="str">
        <f t="shared" si="748"/>
        <v/>
      </c>
      <c r="BJ1158" s="150" t="str">
        <f t="shared" si="749"/>
        <v/>
      </c>
      <c r="BK1158" s="163" t="str">
        <f t="shared" si="745"/>
        <v/>
      </c>
      <c r="BL1158" s="163" t="str">
        <f t="shared" si="750"/>
        <v/>
      </c>
      <c r="BM1158" s="163" t="str">
        <f t="shared" si="746"/>
        <v/>
      </c>
      <c r="BN1158" s="163" t="str">
        <f t="shared" si="751"/>
        <v/>
      </c>
      <c r="BO1158" s="163" t="str">
        <f t="shared" si="752"/>
        <v/>
      </c>
      <c r="BP1158" s="150" t="str">
        <f t="shared" si="747"/>
        <v/>
      </c>
      <c r="BQ1158" s="150" t="str">
        <f t="shared" ref="BQ1158:BQ1221" si="783">IF($E1158="","",IF($U1158=1,0,-BJ1159+BK1159+BL1159-BM1159-BN1159-BO1159+BQ1159))</f>
        <v/>
      </c>
      <c r="BR1158" s="154" t="str">
        <f t="shared" si="753"/>
        <v/>
      </c>
      <c r="BT1158" s="147"/>
    </row>
    <row r="1159" spans="1:72" s="150" customFormat="1" x14ac:dyDescent="0.25">
      <c r="A1159" s="150" t="str">
        <f t="shared" ref="A1159:A1222" si="784">IF(E1159="","",A1158+1)</f>
        <v/>
      </c>
      <c r="B1159" s="150" t="str">
        <f t="shared" ref="B1159:B1222" si="785">IF(E1159="","",IF(C1158+1&gt;12,B1158+1,B1158))</f>
        <v/>
      </c>
      <c r="C1159" s="150" t="str">
        <f t="shared" ref="C1159:C1222" si="786">IF(E1159="","",IF(C1158+1&gt;12,1,C1158+1))</f>
        <v/>
      </c>
      <c r="D1159" s="150" t="str">
        <f>IF(E1159="","",Input!$C$4+B1159-1)</f>
        <v/>
      </c>
      <c r="E1159" s="150" t="str">
        <f>IF(OR(AND(C1158=12,D1158=Input!$C$6),E1158=""),"",1)</f>
        <v/>
      </c>
      <c r="G1159" s="151" t="str">
        <f>IF(E1159="","",MAX(0,Input!$C$9-B1159))</f>
        <v/>
      </c>
      <c r="H1159" s="152" t="str">
        <f>IF(E1159="","",Input!$C$3)</f>
        <v/>
      </c>
      <c r="I1159" s="153" t="str">
        <f>IF(E1159="","",HLOOKUP($B1159,Input!$C$13:$BT$14,2))</f>
        <v/>
      </c>
      <c r="J1159" s="154"/>
      <c r="K1159" s="150" t="str">
        <f>IF($E1159="","",INDEX(Input!$C$16:$CP$16,1,$B1159))</f>
        <v/>
      </c>
      <c r="L1159" s="150" t="str">
        <f>IF($E1159="","",Input!$C$37)</f>
        <v/>
      </c>
      <c r="M1159" s="150" t="str">
        <f t="shared" si="772"/>
        <v/>
      </c>
      <c r="N1159" s="150" t="str">
        <f t="shared" si="773"/>
        <v/>
      </c>
      <c r="O1159" s="147" t="str">
        <f>IF($E1159="","",MIN(VLOOKUP(IF($B1159&lt;=Input!$C$7,$B1159,26),'Mortality Tables'!$A$41:$CW$67,IF($B1159&lt;=Input!$C$7+1,Input!$C$4+2,$D1159-Input!$C$7+2),0)*IF(B1159&gt;20,Input!$C$22,1)/1000,1))</f>
        <v/>
      </c>
      <c r="P1159" s="147" t="str">
        <f>IF($E1159="","",MIN(VLOOKUP(IF($B1159&lt;=Input!$C$7,$B1159,26),'Mortality Tables'!$A$12:$CW$37,IF($B1159&lt;=Input!$C$7+1,Input!$C$4+2,$D1159-Input!$C$7+2),0)*IF(B1159&gt;20,Input!$C$22,1)/1000,1))</f>
        <v/>
      </c>
      <c r="Q1159" s="155" t="str">
        <f>IF($E1159="","",Input!$C$21)</f>
        <v/>
      </c>
      <c r="R1159" s="159" t="str">
        <f>IF($E1159="","",(1-Q1159)^($F1159-Input!$C$20))</f>
        <v/>
      </c>
      <c r="S1159" s="147" t="str">
        <f t="shared" si="761"/>
        <v/>
      </c>
      <c r="T1159" s="147" t="str">
        <f t="shared" si="762"/>
        <v/>
      </c>
      <c r="U1159" s="160" t="str">
        <f>IF($E1159="","",IF($C1159=12,INDEX(Input!$C$15:$CP$15,1,$B1159),0))</f>
        <v/>
      </c>
      <c r="V1159" s="150" t="str">
        <f>IF(E1159="","",IF(C1159=1,IF($B1159=1,Input!$C$33,Input!$C$34),0))</f>
        <v/>
      </c>
      <c r="W1159" s="156" t="str">
        <f>IF($E1159="","",Input!$C$35)</f>
        <v/>
      </c>
      <c r="X1159" s="156" t="str">
        <f t="shared" si="763"/>
        <v/>
      </c>
      <c r="Y1159" s="154"/>
      <c r="Z1159" s="147" t="str">
        <f>IF($E1159="","",VLOOKUP($D1159,'Mortality Margins &amp; Grading'!$AB$5:$AF$125,3,0)*IF(Summary!$D$25="Included Margin",IF(AND($B1159&gt;Input!$C$9,Summary!$D$31&lt;&gt;"Included Margin"),0,1),0))</f>
        <v/>
      </c>
      <c r="AA1159" s="147" t="str">
        <f>IF($E1159="","",VLOOKUP($D1159,'Mortality Margins &amp; Grading'!$AB$5:$AF$125,5,0)*IF(Summary!$D$25="Included Margin",IF(AND($B1159&gt;Input!$C$9,Summary!$D$31&lt;&gt;"Included Margin"),0,1),0))</f>
        <v/>
      </c>
      <c r="AB1159" s="147" t="str">
        <f>IF($E1159="","",IF(AND($B1159&gt;Input!$C$9,Summary!$D$31&lt;&gt;"Included Margin"),1,IF(Summary!$D$25="Included Margin",VLOOKUP($B1159,'Mortality Margins &amp; Grading'!$AI$5:$AR$125,MATCH('Mortality Margins &amp; Grading'!$AQ$4,'Mortality Margins &amp; Grading'!$AI$4:$AR$4,0),0),1)))</f>
        <v/>
      </c>
      <c r="AC1159" s="154"/>
      <c r="AD1159" s="158" t="str">
        <f>IF(E1159="","",Input!$C$48*IF(Summary!$D$30="Included Margin",IF(AND($B1159&gt;Input!$C$9,Summary!$D$31&lt;&gt;"Included Margin"),0,1),0))</f>
        <v/>
      </c>
      <c r="AE1159" s="159" t="str">
        <f>IF(E1159="","",IF(Summary!$D$26="Included Margin",IF(AND($B1159&gt;Input!$C$9,Summary!$D$31&lt;&gt;"Included Margin"),1,1/$R1159),1))</f>
        <v/>
      </c>
      <c r="AF1159" s="160" t="str">
        <f>IF(E1159="","",IF(AND($B1159&gt;=Input!$C$9,$C1159=12,Summary!$D$31="Included Margin",$U1159&gt;0),1/U1159-1,IF($B1159&gt;=Input!$C$9,0,Input!$C$45*IF(Summary!$D$27="Included Margin",1,0))))</f>
        <v/>
      </c>
      <c r="AG1159" s="160" t="str">
        <f>IF(E1159="","",Input!$C$46*IF(Summary!$D$28="Included Margin",IF(AND($B1159&gt;Input!$C$9,Summary!$D$31&lt;&gt;"Included Margin"),0,1),0))</f>
        <v/>
      </c>
      <c r="AH1159" s="158" t="str">
        <f>IF(E1159="","",Input!$C$47*IF(Summary!$D$29="Included Margin",IF(AND($B1159&gt;Input!$C$9,Summary!$D$31&lt;&gt;"Included Margin"),0,1),0))</f>
        <v/>
      </c>
      <c r="AI1159" s="154"/>
      <c r="AJ1159" s="158" t="str">
        <f t="shared" si="774"/>
        <v/>
      </c>
      <c r="AK1159" s="150" t="str">
        <f t="shared" si="775"/>
        <v/>
      </c>
      <c r="AL1159" s="147" t="str">
        <f t="shared" si="776"/>
        <v/>
      </c>
      <c r="AM1159" s="147" t="str">
        <f t="shared" si="764"/>
        <v/>
      </c>
      <c r="AN1159" s="160" t="str">
        <f t="shared" si="777"/>
        <v/>
      </c>
      <c r="AO1159" s="161" t="str">
        <f t="shared" si="778"/>
        <v/>
      </c>
      <c r="AP1159" s="156" t="str">
        <f t="shared" si="765"/>
        <v/>
      </c>
      <c r="AQ1159" s="152"/>
      <c r="AR1159" s="162" t="str">
        <f t="shared" si="766"/>
        <v/>
      </c>
      <c r="AS1159" s="150" t="str">
        <f t="shared" si="779"/>
        <v/>
      </c>
      <c r="AT1159" s="163" t="str">
        <f t="shared" si="767"/>
        <v/>
      </c>
      <c r="AU1159" s="163" t="str">
        <f t="shared" si="768"/>
        <v/>
      </c>
      <c r="AV1159" s="163" t="str">
        <f t="shared" si="780"/>
        <v/>
      </c>
      <c r="AW1159" s="163" t="str">
        <f t="shared" si="769"/>
        <v/>
      </c>
      <c r="AX1159" s="163" t="str">
        <f t="shared" si="770"/>
        <v/>
      </c>
      <c r="AY1159" s="150" t="str">
        <f t="shared" si="781"/>
        <v/>
      </c>
      <c r="AZ1159" s="150" t="str">
        <f>IF($E1159="","",IF(OR(AND($D1159=Input!$C$6,$C1159=12),$AN1159=1),0,-AS1160+AT1160+AU1160-AV1160-AW1160-AX1160+AZ1160))</f>
        <v/>
      </c>
      <c r="BA1159" s="154" t="str">
        <f t="shared" si="771"/>
        <v/>
      </c>
      <c r="BC1159" s="147" t="str">
        <f t="shared" si="782"/>
        <v/>
      </c>
      <c r="BD1159" s="164" t="str">
        <f>IF(AND($C1158=12,$D1158=Input!$C$6),0,IF($E1159="","",AT1159+(AU1159+BD1160)/(1+$AK1159)*MIN((1-AM1159-AN1159),1)))</f>
        <v/>
      </c>
      <c r="BH1159" s="152"/>
      <c r="BI1159" s="162" t="str">
        <f t="shared" si="748"/>
        <v/>
      </c>
      <c r="BJ1159" s="150" t="str">
        <f t="shared" si="749"/>
        <v/>
      </c>
      <c r="BK1159" s="163" t="str">
        <f t="shared" ref="BK1159:BK1222" si="787">IF($E1159="","",$V1159*$X1159)</f>
        <v/>
      </c>
      <c r="BL1159" s="163" t="str">
        <f t="shared" si="750"/>
        <v/>
      </c>
      <c r="BM1159" s="163" t="str">
        <f t="shared" ref="BM1159:BM1222" si="788">IF($E1159="","",(BI1159+BJ1159-BK1159-BL1159/2)*$N1159)</f>
        <v/>
      </c>
      <c r="BN1159" s="163" t="str">
        <f t="shared" si="751"/>
        <v/>
      </c>
      <c r="BO1159" s="163" t="str">
        <f t="shared" si="752"/>
        <v/>
      </c>
      <c r="BP1159" s="150" t="str">
        <f t="shared" ref="BP1159:BP1222" si="789">IF($E1159="","",BI1159+BJ1159-BK1159-BL1159+BM1159+BN1159+BO1159)</f>
        <v/>
      </c>
      <c r="BQ1159" s="150" t="str">
        <f t="shared" si="783"/>
        <v/>
      </c>
      <c r="BR1159" s="154" t="str">
        <f t="shared" si="753"/>
        <v/>
      </c>
      <c r="BT1159" s="147"/>
    </row>
    <row r="1160" spans="1:72" s="150" customFormat="1" x14ac:dyDescent="0.25">
      <c r="A1160" s="150" t="str">
        <f t="shared" si="784"/>
        <v/>
      </c>
      <c r="B1160" s="150" t="str">
        <f t="shared" si="785"/>
        <v/>
      </c>
      <c r="C1160" s="150" t="str">
        <f t="shared" si="786"/>
        <v/>
      </c>
      <c r="D1160" s="150" t="str">
        <f>IF(E1160="","",Input!$C$4+B1160-1)</f>
        <v/>
      </c>
      <c r="E1160" s="150" t="str">
        <f>IF(OR(AND(C1159=12,D1159=Input!$C$6),E1159=""),"",1)</f>
        <v/>
      </c>
      <c r="G1160" s="151" t="str">
        <f>IF(E1160="","",MAX(0,Input!$C$9-B1160))</f>
        <v/>
      </c>
      <c r="H1160" s="152" t="str">
        <f>IF(E1160="","",Input!$C$3)</f>
        <v/>
      </c>
      <c r="I1160" s="153" t="str">
        <f>IF(E1160="","",HLOOKUP($B1160,Input!$C$13:$BT$14,2))</f>
        <v/>
      </c>
      <c r="J1160" s="154"/>
      <c r="K1160" s="150" t="str">
        <f>IF($E1160="","",INDEX(Input!$C$16:$CP$16,1,$B1160))</f>
        <v/>
      </c>
      <c r="L1160" s="150" t="str">
        <f>IF($E1160="","",Input!$C$37)</f>
        <v/>
      </c>
      <c r="M1160" s="150" t="str">
        <f t="shared" si="772"/>
        <v/>
      </c>
      <c r="N1160" s="150" t="str">
        <f t="shared" si="773"/>
        <v/>
      </c>
      <c r="O1160" s="147" t="str">
        <f>IF($E1160="","",MIN(VLOOKUP(IF($B1160&lt;=Input!$C$7,$B1160,26),'Mortality Tables'!$A$41:$CW$67,IF($B1160&lt;=Input!$C$7+1,Input!$C$4+2,$D1160-Input!$C$7+2),0)*IF(B1160&gt;20,Input!$C$22,1)/1000,1))</f>
        <v/>
      </c>
      <c r="P1160" s="147" t="str">
        <f>IF($E1160="","",MIN(VLOOKUP(IF($B1160&lt;=Input!$C$7,$B1160,26),'Mortality Tables'!$A$12:$CW$37,IF($B1160&lt;=Input!$C$7+1,Input!$C$4+2,$D1160-Input!$C$7+2),0)*IF(B1160&gt;20,Input!$C$22,1)/1000,1))</f>
        <v/>
      </c>
      <c r="Q1160" s="155" t="str">
        <f>IF($E1160="","",Input!$C$21)</f>
        <v/>
      </c>
      <c r="R1160" s="159" t="str">
        <f>IF($E1160="","",(1-Q1160)^($F1160-Input!$C$20))</f>
        <v/>
      </c>
      <c r="S1160" s="147" t="str">
        <f t="shared" si="761"/>
        <v/>
      </c>
      <c r="T1160" s="147" t="str">
        <f t="shared" si="762"/>
        <v/>
      </c>
      <c r="U1160" s="160" t="str">
        <f>IF($E1160="","",IF($C1160=12,INDEX(Input!$C$15:$CP$15,1,$B1160),0))</f>
        <v/>
      </c>
      <c r="V1160" s="150" t="str">
        <f>IF(E1160="","",IF(C1160=1,IF($B1160=1,Input!$C$33,Input!$C$34),0))</f>
        <v/>
      </c>
      <c r="W1160" s="156" t="str">
        <f>IF($E1160="","",Input!$C$35)</f>
        <v/>
      </c>
      <c r="X1160" s="156" t="str">
        <f t="shared" si="763"/>
        <v/>
      </c>
      <c r="Y1160" s="154"/>
      <c r="Z1160" s="147" t="str">
        <f>IF($E1160="","",VLOOKUP($D1160,'Mortality Margins &amp; Grading'!$AB$5:$AF$125,3,0)*IF(Summary!$D$25="Included Margin",IF(AND($B1160&gt;Input!$C$9,Summary!$D$31&lt;&gt;"Included Margin"),0,1),0))</f>
        <v/>
      </c>
      <c r="AA1160" s="147" t="str">
        <f>IF($E1160="","",VLOOKUP($D1160,'Mortality Margins &amp; Grading'!$AB$5:$AF$125,5,0)*IF(Summary!$D$25="Included Margin",IF(AND($B1160&gt;Input!$C$9,Summary!$D$31&lt;&gt;"Included Margin"),0,1),0))</f>
        <v/>
      </c>
      <c r="AB1160" s="147" t="str">
        <f>IF($E1160="","",IF(AND($B1160&gt;Input!$C$9,Summary!$D$31&lt;&gt;"Included Margin"),1,IF(Summary!$D$25="Included Margin",VLOOKUP($B1160,'Mortality Margins &amp; Grading'!$AI$5:$AR$125,MATCH('Mortality Margins &amp; Grading'!$AQ$4,'Mortality Margins &amp; Grading'!$AI$4:$AR$4,0),0),1)))</f>
        <v/>
      </c>
      <c r="AC1160" s="154"/>
      <c r="AD1160" s="158" t="str">
        <f>IF(E1160="","",Input!$C$48*IF(Summary!$D$30="Included Margin",IF(AND($B1160&gt;Input!$C$9,Summary!$D$31&lt;&gt;"Included Margin"),0,1),0))</f>
        <v/>
      </c>
      <c r="AE1160" s="159" t="str">
        <f>IF(E1160="","",IF(Summary!$D$26="Included Margin",IF(AND($B1160&gt;Input!$C$9,Summary!$D$31&lt;&gt;"Included Margin"),1,1/$R1160),1))</f>
        <v/>
      </c>
      <c r="AF1160" s="160" t="str">
        <f>IF(E1160="","",IF(AND($B1160&gt;=Input!$C$9,$C1160=12,Summary!$D$31="Included Margin",$U1160&gt;0),1/U1160-1,IF($B1160&gt;=Input!$C$9,0,Input!$C$45*IF(Summary!$D$27="Included Margin",1,0))))</f>
        <v/>
      </c>
      <c r="AG1160" s="160" t="str">
        <f>IF(E1160="","",Input!$C$46*IF(Summary!$D$28="Included Margin",IF(AND($B1160&gt;Input!$C$9,Summary!$D$31&lt;&gt;"Included Margin"),0,1),0))</f>
        <v/>
      </c>
      <c r="AH1160" s="158" t="str">
        <f>IF(E1160="","",Input!$C$47*IF(Summary!$D$29="Included Margin",IF(AND($B1160&gt;Input!$C$9,Summary!$D$31&lt;&gt;"Included Margin"),0,1),0))</f>
        <v/>
      </c>
      <c r="AI1160" s="154"/>
      <c r="AJ1160" s="158" t="str">
        <f t="shared" si="774"/>
        <v/>
      </c>
      <c r="AK1160" s="150" t="str">
        <f t="shared" si="775"/>
        <v/>
      </c>
      <c r="AL1160" s="147" t="str">
        <f t="shared" si="776"/>
        <v/>
      </c>
      <c r="AM1160" s="147" t="str">
        <f t="shared" si="764"/>
        <v/>
      </c>
      <c r="AN1160" s="160" t="str">
        <f t="shared" si="777"/>
        <v/>
      </c>
      <c r="AO1160" s="161" t="str">
        <f t="shared" si="778"/>
        <v/>
      </c>
      <c r="AP1160" s="156" t="str">
        <f t="shared" si="765"/>
        <v/>
      </c>
      <c r="AQ1160" s="152"/>
      <c r="AR1160" s="162" t="str">
        <f t="shared" si="766"/>
        <v/>
      </c>
      <c r="AS1160" s="150" t="str">
        <f t="shared" si="779"/>
        <v/>
      </c>
      <c r="AT1160" s="163" t="str">
        <f t="shared" si="767"/>
        <v/>
      </c>
      <c r="AU1160" s="163" t="str">
        <f t="shared" si="768"/>
        <v/>
      </c>
      <c r="AV1160" s="163" t="str">
        <f t="shared" si="780"/>
        <v/>
      </c>
      <c r="AW1160" s="163" t="str">
        <f t="shared" si="769"/>
        <v/>
      </c>
      <c r="AX1160" s="163" t="str">
        <f t="shared" si="770"/>
        <v/>
      </c>
      <c r="AY1160" s="150" t="str">
        <f t="shared" si="781"/>
        <v/>
      </c>
      <c r="AZ1160" s="150" t="str">
        <f>IF($E1160="","",IF(OR(AND($D1160=Input!$C$6,$C1160=12),$AN1160=1),0,-AS1161+AT1161+AU1161-AV1161-AW1161-AX1161+AZ1161))</f>
        <v/>
      </c>
      <c r="BA1160" s="154" t="str">
        <f t="shared" si="771"/>
        <v/>
      </c>
      <c r="BC1160" s="147" t="str">
        <f t="shared" si="782"/>
        <v/>
      </c>
      <c r="BD1160" s="164" t="str">
        <f>IF(AND($C1159=12,$D1159=Input!$C$6),0,IF($E1160="","",AT1160+(AU1160+BD1161)/(1+$AK1160)*MIN((1-AM1160-AN1160),1)))</f>
        <v/>
      </c>
      <c r="BH1160" s="152"/>
      <c r="BI1160" s="162" t="str">
        <f t="shared" si="748"/>
        <v/>
      </c>
      <c r="BJ1160" s="150" t="str">
        <f t="shared" si="749"/>
        <v/>
      </c>
      <c r="BK1160" s="163" t="str">
        <f t="shared" si="787"/>
        <v/>
      </c>
      <c r="BL1160" s="163" t="str">
        <f t="shared" si="750"/>
        <v/>
      </c>
      <c r="BM1160" s="163" t="str">
        <f t="shared" si="788"/>
        <v/>
      </c>
      <c r="BN1160" s="163" t="str">
        <f t="shared" si="751"/>
        <v/>
      </c>
      <c r="BO1160" s="163" t="str">
        <f t="shared" si="752"/>
        <v/>
      </c>
      <c r="BP1160" s="150" t="str">
        <f t="shared" si="789"/>
        <v/>
      </c>
      <c r="BQ1160" s="150" t="str">
        <f t="shared" si="783"/>
        <v/>
      </c>
      <c r="BR1160" s="154" t="str">
        <f t="shared" si="753"/>
        <v/>
      </c>
      <c r="BT1160" s="147"/>
    </row>
    <row r="1161" spans="1:72" s="150" customFormat="1" x14ac:dyDescent="0.25">
      <c r="A1161" s="150" t="str">
        <f t="shared" si="784"/>
        <v/>
      </c>
      <c r="B1161" s="150" t="str">
        <f t="shared" si="785"/>
        <v/>
      </c>
      <c r="C1161" s="150" t="str">
        <f t="shared" si="786"/>
        <v/>
      </c>
      <c r="D1161" s="150" t="str">
        <f>IF(E1161="","",Input!$C$4+B1161-1)</f>
        <v/>
      </c>
      <c r="E1161" s="150" t="str">
        <f>IF(OR(AND(C1160=12,D1160=Input!$C$6),E1160=""),"",1)</f>
        <v/>
      </c>
      <c r="G1161" s="151" t="str">
        <f>IF(E1161="","",MAX(0,Input!$C$9-B1161))</f>
        <v/>
      </c>
      <c r="H1161" s="152" t="str">
        <f>IF(E1161="","",Input!$C$3)</f>
        <v/>
      </c>
      <c r="I1161" s="153" t="str">
        <f>IF(E1161="","",HLOOKUP($B1161,Input!$C$13:$BT$14,2))</f>
        <v/>
      </c>
      <c r="J1161" s="154"/>
      <c r="K1161" s="150" t="str">
        <f>IF($E1161="","",INDEX(Input!$C$16:$CP$16,1,$B1161))</f>
        <v/>
      </c>
      <c r="L1161" s="150" t="str">
        <f>IF($E1161="","",Input!$C$37)</f>
        <v/>
      </c>
      <c r="M1161" s="150" t="str">
        <f t="shared" si="772"/>
        <v/>
      </c>
      <c r="N1161" s="150" t="str">
        <f t="shared" si="773"/>
        <v/>
      </c>
      <c r="O1161" s="147" t="str">
        <f>IF($E1161="","",MIN(VLOOKUP(IF($B1161&lt;=Input!$C$7,$B1161,26),'Mortality Tables'!$A$41:$CW$67,IF($B1161&lt;=Input!$C$7+1,Input!$C$4+2,$D1161-Input!$C$7+2),0)*IF(B1161&gt;20,Input!$C$22,1)/1000,1))</f>
        <v/>
      </c>
      <c r="P1161" s="147" t="str">
        <f>IF($E1161="","",MIN(VLOOKUP(IF($B1161&lt;=Input!$C$7,$B1161,26),'Mortality Tables'!$A$12:$CW$37,IF($B1161&lt;=Input!$C$7+1,Input!$C$4+2,$D1161-Input!$C$7+2),0)*IF(B1161&gt;20,Input!$C$22,1)/1000,1))</f>
        <v/>
      </c>
      <c r="Q1161" s="155" t="str">
        <f>IF($E1161="","",Input!$C$21)</f>
        <v/>
      </c>
      <c r="R1161" s="159" t="str">
        <f>IF($E1161="","",(1-Q1161)^($F1161-Input!$C$20))</f>
        <v/>
      </c>
      <c r="S1161" s="147" t="str">
        <f t="shared" si="761"/>
        <v/>
      </c>
      <c r="T1161" s="147" t="str">
        <f t="shared" si="762"/>
        <v/>
      </c>
      <c r="U1161" s="160" t="str">
        <f>IF($E1161="","",IF($C1161=12,INDEX(Input!$C$15:$CP$15,1,$B1161),0))</f>
        <v/>
      </c>
      <c r="V1161" s="150" t="str">
        <f>IF(E1161="","",IF(C1161=1,IF($B1161=1,Input!$C$33,Input!$C$34),0))</f>
        <v/>
      </c>
      <c r="W1161" s="156" t="str">
        <f>IF($E1161="","",Input!$C$35)</f>
        <v/>
      </c>
      <c r="X1161" s="156" t="str">
        <f t="shared" si="763"/>
        <v/>
      </c>
      <c r="Y1161" s="154"/>
      <c r="Z1161" s="147" t="str">
        <f>IF($E1161="","",VLOOKUP($D1161,'Mortality Margins &amp; Grading'!$AB$5:$AF$125,3,0)*IF(Summary!$D$25="Included Margin",IF(AND($B1161&gt;Input!$C$9,Summary!$D$31&lt;&gt;"Included Margin"),0,1),0))</f>
        <v/>
      </c>
      <c r="AA1161" s="147" t="str">
        <f>IF($E1161="","",VLOOKUP($D1161,'Mortality Margins &amp; Grading'!$AB$5:$AF$125,5,0)*IF(Summary!$D$25="Included Margin",IF(AND($B1161&gt;Input!$C$9,Summary!$D$31&lt;&gt;"Included Margin"),0,1),0))</f>
        <v/>
      </c>
      <c r="AB1161" s="147" t="str">
        <f>IF($E1161="","",IF(AND($B1161&gt;Input!$C$9,Summary!$D$31&lt;&gt;"Included Margin"),1,IF(Summary!$D$25="Included Margin",VLOOKUP($B1161,'Mortality Margins &amp; Grading'!$AI$5:$AR$125,MATCH('Mortality Margins &amp; Grading'!$AQ$4,'Mortality Margins &amp; Grading'!$AI$4:$AR$4,0),0),1)))</f>
        <v/>
      </c>
      <c r="AC1161" s="154"/>
      <c r="AD1161" s="158" t="str">
        <f>IF(E1161="","",Input!$C$48*IF(Summary!$D$30="Included Margin",IF(AND($B1161&gt;Input!$C$9,Summary!$D$31&lt;&gt;"Included Margin"),0,1),0))</f>
        <v/>
      </c>
      <c r="AE1161" s="159" t="str">
        <f>IF(E1161="","",IF(Summary!$D$26="Included Margin",IF(AND($B1161&gt;Input!$C$9,Summary!$D$31&lt;&gt;"Included Margin"),1,1/$R1161),1))</f>
        <v/>
      </c>
      <c r="AF1161" s="160" t="str">
        <f>IF(E1161="","",IF(AND($B1161&gt;=Input!$C$9,$C1161=12,Summary!$D$31="Included Margin",$U1161&gt;0),1/U1161-1,IF($B1161&gt;=Input!$C$9,0,Input!$C$45*IF(Summary!$D$27="Included Margin",1,0))))</f>
        <v/>
      </c>
      <c r="AG1161" s="160" t="str">
        <f>IF(E1161="","",Input!$C$46*IF(Summary!$D$28="Included Margin",IF(AND($B1161&gt;Input!$C$9,Summary!$D$31&lt;&gt;"Included Margin"),0,1),0))</f>
        <v/>
      </c>
      <c r="AH1161" s="158" t="str">
        <f>IF(E1161="","",Input!$C$47*IF(Summary!$D$29="Included Margin",IF(AND($B1161&gt;Input!$C$9,Summary!$D$31&lt;&gt;"Included Margin"),0,1),0))</f>
        <v/>
      </c>
      <c r="AI1161" s="154"/>
      <c r="AJ1161" s="158" t="str">
        <f t="shared" si="774"/>
        <v/>
      </c>
      <c r="AK1161" s="150" t="str">
        <f t="shared" si="775"/>
        <v/>
      </c>
      <c r="AL1161" s="147" t="str">
        <f t="shared" si="776"/>
        <v/>
      </c>
      <c r="AM1161" s="147" t="str">
        <f t="shared" si="764"/>
        <v/>
      </c>
      <c r="AN1161" s="160" t="str">
        <f t="shared" si="777"/>
        <v/>
      </c>
      <c r="AO1161" s="161" t="str">
        <f t="shared" si="778"/>
        <v/>
      </c>
      <c r="AP1161" s="156" t="str">
        <f t="shared" si="765"/>
        <v/>
      </c>
      <c r="AQ1161" s="152"/>
      <c r="AR1161" s="162" t="str">
        <f t="shared" si="766"/>
        <v/>
      </c>
      <c r="AS1161" s="150" t="str">
        <f t="shared" si="779"/>
        <v/>
      </c>
      <c r="AT1161" s="163" t="str">
        <f t="shared" si="767"/>
        <v/>
      </c>
      <c r="AU1161" s="163" t="str">
        <f t="shared" si="768"/>
        <v/>
      </c>
      <c r="AV1161" s="163" t="str">
        <f t="shared" si="780"/>
        <v/>
      </c>
      <c r="AW1161" s="163" t="str">
        <f t="shared" si="769"/>
        <v/>
      </c>
      <c r="AX1161" s="163" t="str">
        <f t="shared" si="770"/>
        <v/>
      </c>
      <c r="AY1161" s="150" t="str">
        <f t="shared" si="781"/>
        <v/>
      </c>
      <c r="AZ1161" s="150" t="str">
        <f>IF($E1161="","",IF(OR(AND($D1161=Input!$C$6,$C1161=12),$AN1161=1),0,-AS1162+AT1162+AU1162-AV1162-AW1162-AX1162+AZ1162))</f>
        <v/>
      </c>
      <c r="BA1161" s="154" t="str">
        <f t="shared" si="771"/>
        <v/>
      </c>
      <c r="BC1161" s="147" t="str">
        <f t="shared" si="782"/>
        <v/>
      </c>
      <c r="BD1161" s="164" t="str">
        <f>IF(AND($C1160=12,$D1160=Input!$C$6),0,IF($E1161="","",AT1161+(AU1161+BD1162)/(1+$AK1161)*MIN((1-AM1161-AN1161),1)))</f>
        <v/>
      </c>
      <c r="BH1161" s="152"/>
      <c r="BI1161" s="162" t="str">
        <f t="shared" si="748"/>
        <v/>
      </c>
      <c r="BJ1161" s="150" t="str">
        <f t="shared" si="749"/>
        <v/>
      </c>
      <c r="BK1161" s="163" t="str">
        <f t="shared" si="787"/>
        <v/>
      </c>
      <c r="BL1161" s="163" t="str">
        <f t="shared" si="750"/>
        <v/>
      </c>
      <c r="BM1161" s="163" t="str">
        <f t="shared" si="788"/>
        <v/>
      </c>
      <c r="BN1161" s="163" t="str">
        <f t="shared" si="751"/>
        <v/>
      </c>
      <c r="BO1161" s="163" t="str">
        <f t="shared" si="752"/>
        <v/>
      </c>
      <c r="BP1161" s="150" t="str">
        <f t="shared" si="789"/>
        <v/>
      </c>
      <c r="BQ1161" s="150" t="str">
        <f t="shared" si="783"/>
        <v/>
      </c>
      <c r="BR1161" s="154" t="str">
        <f t="shared" si="753"/>
        <v/>
      </c>
      <c r="BT1161" s="147"/>
    </row>
    <row r="1162" spans="1:72" s="150" customFormat="1" x14ac:dyDescent="0.25">
      <c r="A1162" s="150" t="str">
        <f t="shared" si="784"/>
        <v/>
      </c>
      <c r="B1162" s="150" t="str">
        <f t="shared" si="785"/>
        <v/>
      </c>
      <c r="C1162" s="150" t="str">
        <f t="shared" si="786"/>
        <v/>
      </c>
      <c r="D1162" s="150" t="str">
        <f>IF(E1162="","",Input!$C$4+B1162-1)</f>
        <v/>
      </c>
      <c r="E1162" s="150" t="str">
        <f>IF(OR(AND(C1161=12,D1161=Input!$C$6),E1161=""),"",1)</f>
        <v/>
      </c>
      <c r="G1162" s="151" t="str">
        <f>IF(E1162="","",MAX(0,Input!$C$9-B1162))</f>
        <v/>
      </c>
      <c r="H1162" s="152" t="str">
        <f>IF(E1162="","",Input!$C$3)</f>
        <v/>
      </c>
      <c r="I1162" s="153" t="str">
        <f>IF(E1162="","",HLOOKUP($B1162,Input!$C$13:$BT$14,2))</f>
        <v/>
      </c>
      <c r="J1162" s="154"/>
      <c r="K1162" s="150" t="str">
        <f>IF($E1162="","",INDEX(Input!$C$16:$CP$16,1,$B1162))</f>
        <v/>
      </c>
      <c r="L1162" s="150" t="str">
        <f>IF($E1162="","",Input!$C$37)</f>
        <v/>
      </c>
      <c r="M1162" s="150" t="str">
        <f t="shared" si="772"/>
        <v/>
      </c>
      <c r="N1162" s="150" t="str">
        <f t="shared" si="773"/>
        <v/>
      </c>
      <c r="O1162" s="147" t="str">
        <f>IF($E1162="","",MIN(VLOOKUP(IF($B1162&lt;=Input!$C$7,$B1162,26),'Mortality Tables'!$A$41:$CW$67,IF($B1162&lt;=Input!$C$7+1,Input!$C$4+2,$D1162-Input!$C$7+2),0)*IF(B1162&gt;20,Input!$C$22,1)/1000,1))</f>
        <v/>
      </c>
      <c r="P1162" s="147" t="str">
        <f>IF($E1162="","",MIN(VLOOKUP(IF($B1162&lt;=Input!$C$7,$B1162,26),'Mortality Tables'!$A$12:$CW$37,IF($B1162&lt;=Input!$C$7+1,Input!$C$4+2,$D1162-Input!$C$7+2),0)*IF(B1162&gt;20,Input!$C$22,1)/1000,1))</f>
        <v/>
      </c>
      <c r="Q1162" s="155" t="str">
        <f>IF($E1162="","",Input!$C$21)</f>
        <v/>
      </c>
      <c r="R1162" s="159" t="str">
        <f>IF($E1162="","",(1-Q1162)^($F1162-Input!$C$20))</f>
        <v/>
      </c>
      <c r="S1162" s="147" t="str">
        <f t="shared" si="761"/>
        <v/>
      </c>
      <c r="T1162" s="147" t="str">
        <f t="shared" si="762"/>
        <v/>
      </c>
      <c r="U1162" s="160" t="str">
        <f>IF($E1162="","",IF($C1162=12,INDEX(Input!$C$15:$CP$15,1,$B1162),0))</f>
        <v/>
      </c>
      <c r="V1162" s="150" t="str">
        <f>IF(E1162="","",IF(C1162=1,IF($B1162=1,Input!$C$33,Input!$C$34),0))</f>
        <v/>
      </c>
      <c r="W1162" s="156" t="str">
        <f>IF($E1162="","",Input!$C$35)</f>
        <v/>
      </c>
      <c r="X1162" s="156" t="str">
        <f t="shared" si="763"/>
        <v/>
      </c>
      <c r="Y1162" s="154"/>
      <c r="Z1162" s="147" t="str">
        <f>IF($E1162="","",VLOOKUP($D1162,'Mortality Margins &amp; Grading'!$AB$5:$AF$125,3,0)*IF(Summary!$D$25="Included Margin",IF(AND($B1162&gt;Input!$C$9,Summary!$D$31&lt;&gt;"Included Margin"),0,1),0))</f>
        <v/>
      </c>
      <c r="AA1162" s="147" t="str">
        <f>IF($E1162="","",VLOOKUP($D1162,'Mortality Margins &amp; Grading'!$AB$5:$AF$125,5,0)*IF(Summary!$D$25="Included Margin",IF(AND($B1162&gt;Input!$C$9,Summary!$D$31&lt;&gt;"Included Margin"),0,1),0))</f>
        <v/>
      </c>
      <c r="AB1162" s="147" t="str">
        <f>IF($E1162="","",IF(AND($B1162&gt;Input!$C$9,Summary!$D$31&lt;&gt;"Included Margin"),1,IF(Summary!$D$25="Included Margin",VLOOKUP($B1162,'Mortality Margins &amp; Grading'!$AI$5:$AR$125,MATCH('Mortality Margins &amp; Grading'!$AQ$4,'Mortality Margins &amp; Grading'!$AI$4:$AR$4,0),0),1)))</f>
        <v/>
      </c>
      <c r="AC1162" s="154"/>
      <c r="AD1162" s="158" t="str">
        <f>IF(E1162="","",Input!$C$48*IF(Summary!$D$30="Included Margin",IF(AND($B1162&gt;Input!$C$9,Summary!$D$31&lt;&gt;"Included Margin"),0,1),0))</f>
        <v/>
      </c>
      <c r="AE1162" s="159" t="str">
        <f>IF(E1162="","",IF(Summary!$D$26="Included Margin",IF(AND($B1162&gt;Input!$C$9,Summary!$D$31&lt;&gt;"Included Margin"),1,1/$R1162),1))</f>
        <v/>
      </c>
      <c r="AF1162" s="160" t="str">
        <f>IF(E1162="","",IF(AND($B1162&gt;=Input!$C$9,$C1162=12,Summary!$D$31="Included Margin",$U1162&gt;0),1/U1162-1,IF($B1162&gt;=Input!$C$9,0,Input!$C$45*IF(Summary!$D$27="Included Margin",1,0))))</f>
        <v/>
      </c>
      <c r="AG1162" s="160" t="str">
        <f>IF(E1162="","",Input!$C$46*IF(Summary!$D$28="Included Margin",IF(AND($B1162&gt;Input!$C$9,Summary!$D$31&lt;&gt;"Included Margin"),0,1),0))</f>
        <v/>
      </c>
      <c r="AH1162" s="158" t="str">
        <f>IF(E1162="","",Input!$C$47*IF(Summary!$D$29="Included Margin",IF(AND($B1162&gt;Input!$C$9,Summary!$D$31&lt;&gt;"Included Margin"),0,1),0))</f>
        <v/>
      </c>
      <c r="AI1162" s="154"/>
      <c r="AJ1162" s="158" t="str">
        <f t="shared" si="774"/>
        <v/>
      </c>
      <c r="AK1162" s="150" t="str">
        <f t="shared" si="775"/>
        <v/>
      </c>
      <c r="AL1162" s="147" t="str">
        <f t="shared" si="776"/>
        <v/>
      </c>
      <c r="AM1162" s="147" t="str">
        <f t="shared" si="764"/>
        <v/>
      </c>
      <c r="AN1162" s="160" t="str">
        <f t="shared" si="777"/>
        <v/>
      </c>
      <c r="AO1162" s="161" t="str">
        <f t="shared" si="778"/>
        <v/>
      </c>
      <c r="AP1162" s="156" t="str">
        <f t="shared" si="765"/>
        <v/>
      </c>
      <c r="AQ1162" s="152"/>
      <c r="AR1162" s="162" t="str">
        <f t="shared" si="766"/>
        <v/>
      </c>
      <c r="AS1162" s="150" t="str">
        <f t="shared" si="779"/>
        <v/>
      </c>
      <c r="AT1162" s="163" t="str">
        <f t="shared" si="767"/>
        <v/>
      </c>
      <c r="AU1162" s="163" t="str">
        <f t="shared" si="768"/>
        <v/>
      </c>
      <c r="AV1162" s="163" t="str">
        <f t="shared" si="780"/>
        <v/>
      </c>
      <c r="AW1162" s="163" t="str">
        <f t="shared" si="769"/>
        <v/>
      </c>
      <c r="AX1162" s="163" t="str">
        <f t="shared" si="770"/>
        <v/>
      </c>
      <c r="AY1162" s="150" t="str">
        <f t="shared" si="781"/>
        <v/>
      </c>
      <c r="AZ1162" s="150" t="str">
        <f>IF($E1162="","",IF(OR(AND($D1162=Input!$C$6,$C1162=12),$AN1162=1),0,-AS1163+AT1163+AU1163-AV1163-AW1163-AX1163+AZ1163))</f>
        <v/>
      </c>
      <c r="BA1162" s="154" t="str">
        <f t="shared" si="771"/>
        <v/>
      </c>
      <c r="BC1162" s="147" t="str">
        <f t="shared" si="782"/>
        <v/>
      </c>
      <c r="BD1162" s="164" t="str">
        <f>IF(AND($C1161=12,$D1161=Input!$C$6),0,IF($E1162="","",AT1162+(AU1162+BD1163)/(1+$AK1162)*MIN((1-AM1162-AN1162),1)))</f>
        <v/>
      </c>
      <c r="BH1162" s="152"/>
      <c r="BI1162" s="162" t="str">
        <f t="shared" si="748"/>
        <v/>
      </c>
      <c r="BJ1162" s="150" t="str">
        <f t="shared" si="749"/>
        <v/>
      </c>
      <c r="BK1162" s="163" t="str">
        <f t="shared" si="787"/>
        <v/>
      </c>
      <c r="BL1162" s="163" t="str">
        <f t="shared" si="750"/>
        <v/>
      </c>
      <c r="BM1162" s="163" t="str">
        <f t="shared" si="788"/>
        <v/>
      </c>
      <c r="BN1162" s="163" t="str">
        <f t="shared" si="751"/>
        <v/>
      </c>
      <c r="BO1162" s="163" t="str">
        <f t="shared" si="752"/>
        <v/>
      </c>
      <c r="BP1162" s="150" t="str">
        <f t="shared" si="789"/>
        <v/>
      </c>
      <c r="BQ1162" s="150" t="str">
        <f t="shared" si="783"/>
        <v/>
      </c>
      <c r="BR1162" s="154" t="str">
        <f t="shared" si="753"/>
        <v/>
      </c>
      <c r="BT1162" s="147"/>
    </row>
    <row r="1163" spans="1:72" s="150" customFormat="1" x14ac:dyDescent="0.25">
      <c r="A1163" s="150" t="str">
        <f t="shared" si="784"/>
        <v/>
      </c>
      <c r="B1163" s="150" t="str">
        <f t="shared" si="785"/>
        <v/>
      </c>
      <c r="C1163" s="150" t="str">
        <f t="shared" si="786"/>
        <v/>
      </c>
      <c r="D1163" s="150" t="str">
        <f>IF(E1163="","",Input!$C$4+B1163-1)</f>
        <v/>
      </c>
      <c r="E1163" s="150" t="str">
        <f>IF(OR(AND(C1162=12,D1162=Input!$C$6),E1162=""),"",1)</f>
        <v/>
      </c>
      <c r="G1163" s="151" t="str">
        <f>IF(E1163="","",MAX(0,Input!$C$9-B1163))</f>
        <v/>
      </c>
      <c r="H1163" s="152" t="str">
        <f>IF(E1163="","",Input!$C$3)</f>
        <v/>
      </c>
      <c r="I1163" s="153" t="str">
        <f>IF(E1163="","",HLOOKUP($B1163,Input!$C$13:$BT$14,2))</f>
        <v/>
      </c>
      <c r="J1163" s="154"/>
      <c r="K1163" s="150" t="str">
        <f>IF($E1163="","",INDEX(Input!$C$16:$CP$16,1,$B1163))</f>
        <v/>
      </c>
      <c r="L1163" s="150" t="str">
        <f>IF($E1163="","",Input!$C$37)</f>
        <v/>
      </c>
      <c r="M1163" s="150" t="str">
        <f t="shared" si="772"/>
        <v/>
      </c>
      <c r="N1163" s="150" t="str">
        <f t="shared" si="773"/>
        <v/>
      </c>
      <c r="O1163" s="147" t="str">
        <f>IF($E1163="","",MIN(VLOOKUP(IF($B1163&lt;=Input!$C$7,$B1163,26),'Mortality Tables'!$A$41:$CW$67,IF($B1163&lt;=Input!$C$7+1,Input!$C$4+2,$D1163-Input!$C$7+2),0)*IF(B1163&gt;20,Input!$C$22,1)/1000,1))</f>
        <v/>
      </c>
      <c r="P1163" s="147" t="str">
        <f>IF($E1163="","",MIN(VLOOKUP(IF($B1163&lt;=Input!$C$7,$B1163,26),'Mortality Tables'!$A$12:$CW$37,IF($B1163&lt;=Input!$C$7+1,Input!$C$4+2,$D1163-Input!$C$7+2),0)*IF(B1163&gt;20,Input!$C$22,1)/1000,1))</f>
        <v/>
      </c>
      <c r="Q1163" s="155" t="str">
        <f>IF($E1163="","",Input!$C$21)</f>
        <v/>
      </c>
      <c r="R1163" s="159" t="str">
        <f>IF($E1163="","",(1-Q1163)^($F1163-Input!$C$20))</f>
        <v/>
      </c>
      <c r="S1163" s="147" t="str">
        <f t="shared" si="761"/>
        <v/>
      </c>
      <c r="T1163" s="147" t="str">
        <f t="shared" si="762"/>
        <v/>
      </c>
      <c r="U1163" s="160" t="str">
        <f>IF($E1163="","",IF($C1163=12,INDEX(Input!$C$15:$CP$15,1,$B1163),0))</f>
        <v/>
      </c>
      <c r="V1163" s="150" t="str">
        <f>IF(E1163="","",IF(C1163=1,IF($B1163=1,Input!$C$33,Input!$C$34),0))</f>
        <v/>
      </c>
      <c r="W1163" s="156" t="str">
        <f>IF($E1163="","",Input!$C$35)</f>
        <v/>
      </c>
      <c r="X1163" s="156" t="str">
        <f t="shared" si="763"/>
        <v/>
      </c>
      <c r="Y1163" s="154"/>
      <c r="Z1163" s="147" t="str">
        <f>IF($E1163="","",VLOOKUP($D1163,'Mortality Margins &amp; Grading'!$AB$5:$AF$125,3,0)*IF(Summary!$D$25="Included Margin",IF(AND($B1163&gt;Input!$C$9,Summary!$D$31&lt;&gt;"Included Margin"),0,1),0))</f>
        <v/>
      </c>
      <c r="AA1163" s="147" t="str">
        <f>IF($E1163="","",VLOOKUP($D1163,'Mortality Margins &amp; Grading'!$AB$5:$AF$125,5,0)*IF(Summary!$D$25="Included Margin",IF(AND($B1163&gt;Input!$C$9,Summary!$D$31&lt;&gt;"Included Margin"),0,1),0))</f>
        <v/>
      </c>
      <c r="AB1163" s="147" t="str">
        <f>IF($E1163="","",IF(AND($B1163&gt;Input!$C$9,Summary!$D$31&lt;&gt;"Included Margin"),1,IF(Summary!$D$25="Included Margin",VLOOKUP($B1163,'Mortality Margins &amp; Grading'!$AI$5:$AR$125,MATCH('Mortality Margins &amp; Grading'!$AQ$4,'Mortality Margins &amp; Grading'!$AI$4:$AR$4,0),0),1)))</f>
        <v/>
      </c>
      <c r="AC1163" s="154"/>
      <c r="AD1163" s="158" t="str">
        <f>IF(E1163="","",Input!$C$48*IF(Summary!$D$30="Included Margin",IF(AND($B1163&gt;Input!$C$9,Summary!$D$31&lt;&gt;"Included Margin"),0,1),0))</f>
        <v/>
      </c>
      <c r="AE1163" s="159" t="str">
        <f>IF(E1163="","",IF(Summary!$D$26="Included Margin",IF(AND($B1163&gt;Input!$C$9,Summary!$D$31&lt;&gt;"Included Margin"),1,1/$R1163),1))</f>
        <v/>
      </c>
      <c r="AF1163" s="160" t="str">
        <f>IF(E1163="","",IF(AND($B1163&gt;=Input!$C$9,$C1163=12,Summary!$D$31="Included Margin",$U1163&gt;0),1/U1163-1,IF($B1163&gt;=Input!$C$9,0,Input!$C$45*IF(Summary!$D$27="Included Margin",1,0))))</f>
        <v/>
      </c>
      <c r="AG1163" s="160" t="str">
        <f>IF(E1163="","",Input!$C$46*IF(Summary!$D$28="Included Margin",IF(AND($B1163&gt;Input!$C$9,Summary!$D$31&lt;&gt;"Included Margin"),0,1),0))</f>
        <v/>
      </c>
      <c r="AH1163" s="158" t="str">
        <f>IF(E1163="","",Input!$C$47*IF(Summary!$D$29="Included Margin",IF(AND($B1163&gt;Input!$C$9,Summary!$D$31&lt;&gt;"Included Margin"),0,1),0))</f>
        <v/>
      </c>
      <c r="AI1163" s="154"/>
      <c r="AJ1163" s="158" t="str">
        <f t="shared" si="774"/>
        <v/>
      </c>
      <c r="AK1163" s="150" t="str">
        <f t="shared" si="775"/>
        <v/>
      </c>
      <c r="AL1163" s="147" t="str">
        <f t="shared" si="776"/>
        <v/>
      </c>
      <c r="AM1163" s="147" t="str">
        <f t="shared" si="764"/>
        <v/>
      </c>
      <c r="AN1163" s="160" t="str">
        <f t="shared" si="777"/>
        <v/>
      </c>
      <c r="AO1163" s="161" t="str">
        <f t="shared" si="778"/>
        <v/>
      </c>
      <c r="AP1163" s="156" t="str">
        <f t="shared" si="765"/>
        <v/>
      </c>
      <c r="AQ1163" s="152"/>
      <c r="AR1163" s="162" t="str">
        <f t="shared" si="766"/>
        <v/>
      </c>
      <c r="AS1163" s="150" t="str">
        <f t="shared" si="779"/>
        <v/>
      </c>
      <c r="AT1163" s="163" t="str">
        <f t="shared" si="767"/>
        <v/>
      </c>
      <c r="AU1163" s="163" t="str">
        <f t="shared" si="768"/>
        <v/>
      </c>
      <c r="AV1163" s="163" t="str">
        <f t="shared" si="780"/>
        <v/>
      </c>
      <c r="AW1163" s="163" t="str">
        <f t="shared" si="769"/>
        <v/>
      </c>
      <c r="AX1163" s="163" t="str">
        <f t="shared" si="770"/>
        <v/>
      </c>
      <c r="AY1163" s="150" t="str">
        <f t="shared" si="781"/>
        <v/>
      </c>
      <c r="AZ1163" s="150" t="str">
        <f>IF($E1163="","",IF(OR(AND($D1163=Input!$C$6,$C1163=12),$AN1163=1),0,-AS1164+AT1164+AU1164-AV1164-AW1164-AX1164+AZ1164))</f>
        <v/>
      </c>
      <c r="BA1163" s="154" t="str">
        <f t="shared" si="771"/>
        <v/>
      </c>
      <c r="BC1163" s="147" t="str">
        <f t="shared" si="782"/>
        <v/>
      </c>
      <c r="BD1163" s="164" t="str">
        <f>IF(AND($C1162=12,$D1162=Input!$C$6),0,IF($E1163="","",AT1163+(AU1163+BD1164)/(1+$AK1163)*MIN((1-AM1163-AN1163),1)))</f>
        <v/>
      </c>
      <c r="BH1163" s="152"/>
      <c r="BI1163" s="162" t="str">
        <f t="shared" si="748"/>
        <v/>
      </c>
      <c r="BJ1163" s="150" t="str">
        <f t="shared" si="749"/>
        <v/>
      </c>
      <c r="BK1163" s="163" t="str">
        <f t="shared" si="787"/>
        <v/>
      </c>
      <c r="BL1163" s="163" t="str">
        <f t="shared" si="750"/>
        <v/>
      </c>
      <c r="BM1163" s="163" t="str">
        <f t="shared" si="788"/>
        <v/>
      </c>
      <c r="BN1163" s="163" t="str">
        <f t="shared" si="751"/>
        <v/>
      </c>
      <c r="BO1163" s="163" t="str">
        <f t="shared" si="752"/>
        <v/>
      </c>
      <c r="BP1163" s="150" t="str">
        <f t="shared" si="789"/>
        <v/>
      </c>
      <c r="BQ1163" s="150" t="str">
        <f t="shared" si="783"/>
        <v/>
      </c>
      <c r="BR1163" s="154" t="str">
        <f t="shared" si="753"/>
        <v/>
      </c>
      <c r="BT1163" s="147"/>
    </row>
    <row r="1164" spans="1:72" s="150" customFormat="1" x14ac:dyDescent="0.25">
      <c r="A1164" s="150" t="str">
        <f t="shared" si="784"/>
        <v/>
      </c>
      <c r="B1164" s="150" t="str">
        <f t="shared" si="785"/>
        <v/>
      </c>
      <c r="C1164" s="150" t="str">
        <f t="shared" si="786"/>
        <v/>
      </c>
      <c r="D1164" s="150" t="str">
        <f>IF(E1164="","",Input!$C$4+B1164-1)</f>
        <v/>
      </c>
      <c r="E1164" s="150" t="str">
        <f>IF(OR(AND(C1163=12,D1163=Input!$C$6),E1163=""),"",1)</f>
        <v/>
      </c>
      <c r="G1164" s="151" t="str">
        <f>IF(E1164="","",MAX(0,Input!$C$9-B1164))</f>
        <v/>
      </c>
      <c r="H1164" s="152" t="str">
        <f>IF(E1164="","",Input!$C$3)</f>
        <v/>
      </c>
      <c r="I1164" s="153" t="str">
        <f>IF(E1164="","",HLOOKUP($B1164,Input!$C$13:$BT$14,2))</f>
        <v/>
      </c>
      <c r="J1164" s="154"/>
      <c r="K1164" s="150" t="str">
        <f>IF($E1164="","",INDEX(Input!$C$16:$CP$16,1,$B1164))</f>
        <v/>
      </c>
      <c r="L1164" s="150" t="str">
        <f>IF($E1164="","",Input!$C$37)</f>
        <v/>
      </c>
      <c r="M1164" s="150" t="str">
        <f t="shared" si="772"/>
        <v/>
      </c>
      <c r="N1164" s="150" t="str">
        <f t="shared" si="773"/>
        <v/>
      </c>
      <c r="O1164" s="147" t="str">
        <f>IF($E1164="","",MIN(VLOOKUP(IF($B1164&lt;=Input!$C$7,$B1164,26),'Mortality Tables'!$A$41:$CW$67,IF($B1164&lt;=Input!$C$7+1,Input!$C$4+2,$D1164-Input!$C$7+2),0)*IF(B1164&gt;20,Input!$C$22,1)/1000,1))</f>
        <v/>
      </c>
      <c r="P1164" s="147" t="str">
        <f>IF($E1164="","",MIN(VLOOKUP(IF($B1164&lt;=Input!$C$7,$B1164,26),'Mortality Tables'!$A$12:$CW$37,IF($B1164&lt;=Input!$C$7+1,Input!$C$4+2,$D1164-Input!$C$7+2),0)*IF(B1164&gt;20,Input!$C$22,1)/1000,1))</f>
        <v/>
      </c>
      <c r="Q1164" s="155" t="str">
        <f>IF($E1164="","",Input!$C$21)</f>
        <v/>
      </c>
      <c r="R1164" s="159" t="str">
        <f>IF($E1164="","",(1-Q1164)^($F1164-Input!$C$20))</f>
        <v/>
      </c>
      <c r="S1164" s="147" t="str">
        <f t="shared" si="761"/>
        <v/>
      </c>
      <c r="T1164" s="147" t="str">
        <f t="shared" si="762"/>
        <v/>
      </c>
      <c r="U1164" s="160" t="str">
        <f>IF($E1164="","",IF($C1164=12,INDEX(Input!$C$15:$CP$15,1,$B1164),0))</f>
        <v/>
      </c>
      <c r="V1164" s="150" t="str">
        <f>IF(E1164="","",IF(C1164=1,IF($B1164=1,Input!$C$33,Input!$C$34),0))</f>
        <v/>
      </c>
      <c r="W1164" s="156" t="str">
        <f>IF($E1164="","",Input!$C$35)</f>
        <v/>
      </c>
      <c r="X1164" s="156" t="str">
        <f t="shared" si="763"/>
        <v/>
      </c>
      <c r="Y1164" s="154"/>
      <c r="Z1164" s="147" t="str">
        <f>IF($E1164="","",VLOOKUP($D1164,'Mortality Margins &amp; Grading'!$AB$5:$AF$125,3,0)*IF(Summary!$D$25="Included Margin",IF(AND($B1164&gt;Input!$C$9,Summary!$D$31&lt;&gt;"Included Margin"),0,1),0))</f>
        <v/>
      </c>
      <c r="AA1164" s="147" t="str">
        <f>IF($E1164="","",VLOOKUP($D1164,'Mortality Margins &amp; Grading'!$AB$5:$AF$125,5,0)*IF(Summary!$D$25="Included Margin",IF(AND($B1164&gt;Input!$C$9,Summary!$D$31&lt;&gt;"Included Margin"),0,1),0))</f>
        <v/>
      </c>
      <c r="AB1164" s="147" t="str">
        <f>IF($E1164="","",IF(AND($B1164&gt;Input!$C$9,Summary!$D$31&lt;&gt;"Included Margin"),1,IF(Summary!$D$25="Included Margin",VLOOKUP($B1164,'Mortality Margins &amp; Grading'!$AI$5:$AR$125,MATCH('Mortality Margins &amp; Grading'!$AQ$4,'Mortality Margins &amp; Grading'!$AI$4:$AR$4,0),0),1)))</f>
        <v/>
      </c>
      <c r="AC1164" s="154"/>
      <c r="AD1164" s="158" t="str">
        <f>IF(E1164="","",Input!$C$48*IF(Summary!$D$30="Included Margin",IF(AND($B1164&gt;Input!$C$9,Summary!$D$31&lt;&gt;"Included Margin"),0,1),0))</f>
        <v/>
      </c>
      <c r="AE1164" s="159" t="str">
        <f>IF(E1164="","",IF(Summary!$D$26="Included Margin",IF(AND($B1164&gt;Input!$C$9,Summary!$D$31&lt;&gt;"Included Margin"),1,1/$R1164),1))</f>
        <v/>
      </c>
      <c r="AF1164" s="160" t="str">
        <f>IF(E1164="","",IF(AND($B1164&gt;=Input!$C$9,$C1164=12,Summary!$D$31="Included Margin",$U1164&gt;0),1/U1164-1,IF($B1164&gt;=Input!$C$9,0,Input!$C$45*IF(Summary!$D$27="Included Margin",1,0))))</f>
        <v/>
      </c>
      <c r="AG1164" s="160" t="str">
        <f>IF(E1164="","",Input!$C$46*IF(Summary!$D$28="Included Margin",IF(AND($B1164&gt;Input!$C$9,Summary!$D$31&lt;&gt;"Included Margin"),0,1),0))</f>
        <v/>
      </c>
      <c r="AH1164" s="158" t="str">
        <f>IF(E1164="","",Input!$C$47*IF(Summary!$D$29="Included Margin",IF(AND($B1164&gt;Input!$C$9,Summary!$D$31&lt;&gt;"Included Margin"),0,1),0))</f>
        <v/>
      </c>
      <c r="AI1164" s="154"/>
      <c r="AJ1164" s="158" t="str">
        <f t="shared" si="774"/>
        <v/>
      </c>
      <c r="AK1164" s="150" t="str">
        <f t="shared" si="775"/>
        <v/>
      </c>
      <c r="AL1164" s="147" t="str">
        <f t="shared" si="776"/>
        <v/>
      </c>
      <c r="AM1164" s="147" t="str">
        <f t="shared" si="764"/>
        <v/>
      </c>
      <c r="AN1164" s="160" t="str">
        <f t="shared" si="777"/>
        <v/>
      </c>
      <c r="AO1164" s="161" t="str">
        <f t="shared" si="778"/>
        <v/>
      </c>
      <c r="AP1164" s="156" t="str">
        <f t="shared" si="765"/>
        <v/>
      </c>
      <c r="AQ1164" s="152"/>
      <c r="AR1164" s="162" t="str">
        <f t="shared" si="766"/>
        <v/>
      </c>
      <c r="AS1164" s="150" t="str">
        <f t="shared" si="779"/>
        <v/>
      </c>
      <c r="AT1164" s="163" t="str">
        <f t="shared" si="767"/>
        <v/>
      </c>
      <c r="AU1164" s="163" t="str">
        <f t="shared" si="768"/>
        <v/>
      </c>
      <c r="AV1164" s="163" t="str">
        <f t="shared" si="780"/>
        <v/>
      </c>
      <c r="AW1164" s="163" t="str">
        <f t="shared" si="769"/>
        <v/>
      </c>
      <c r="AX1164" s="163" t="str">
        <f t="shared" si="770"/>
        <v/>
      </c>
      <c r="AY1164" s="150" t="str">
        <f t="shared" si="781"/>
        <v/>
      </c>
      <c r="AZ1164" s="150" t="str">
        <f>IF($E1164="","",IF(OR(AND($D1164=Input!$C$6,$C1164=12),$AN1164=1),0,-AS1165+AT1165+AU1165-AV1165-AW1165-AX1165+AZ1165))</f>
        <v/>
      </c>
      <c r="BA1164" s="154" t="str">
        <f t="shared" si="771"/>
        <v/>
      </c>
      <c r="BC1164" s="147" t="str">
        <f t="shared" si="782"/>
        <v/>
      </c>
      <c r="BD1164" s="164" t="str">
        <f>IF(AND($C1163=12,$D1163=Input!$C$6),0,IF($E1164="","",AT1164+(AU1164+BD1165)/(1+$AK1164)*MIN((1-AM1164-AN1164),1)))</f>
        <v/>
      </c>
      <c r="BH1164" s="152"/>
      <c r="BI1164" s="162" t="str">
        <f t="shared" si="748"/>
        <v/>
      </c>
      <c r="BJ1164" s="150" t="str">
        <f t="shared" si="749"/>
        <v/>
      </c>
      <c r="BK1164" s="163" t="str">
        <f t="shared" si="787"/>
        <v/>
      </c>
      <c r="BL1164" s="163" t="str">
        <f t="shared" si="750"/>
        <v/>
      </c>
      <c r="BM1164" s="163" t="str">
        <f t="shared" si="788"/>
        <v/>
      </c>
      <c r="BN1164" s="163" t="str">
        <f t="shared" si="751"/>
        <v/>
      </c>
      <c r="BO1164" s="163" t="str">
        <f t="shared" si="752"/>
        <v/>
      </c>
      <c r="BP1164" s="150" t="str">
        <f t="shared" si="789"/>
        <v/>
      </c>
      <c r="BQ1164" s="150" t="str">
        <f t="shared" si="783"/>
        <v/>
      </c>
      <c r="BR1164" s="154" t="str">
        <f t="shared" si="753"/>
        <v/>
      </c>
      <c r="BT1164" s="147"/>
    </row>
    <row r="1165" spans="1:72" s="150" customFormat="1" x14ac:dyDescent="0.25">
      <c r="A1165" s="150" t="str">
        <f t="shared" si="784"/>
        <v/>
      </c>
      <c r="B1165" s="150" t="str">
        <f t="shared" si="785"/>
        <v/>
      </c>
      <c r="C1165" s="150" t="str">
        <f t="shared" si="786"/>
        <v/>
      </c>
      <c r="D1165" s="150" t="str">
        <f>IF(E1165="","",Input!$C$4+B1165-1)</f>
        <v/>
      </c>
      <c r="E1165" s="150" t="str">
        <f>IF(OR(AND(C1164=12,D1164=Input!$C$6),E1164=""),"",1)</f>
        <v/>
      </c>
      <c r="G1165" s="151" t="str">
        <f>IF(E1165="","",MAX(0,Input!$C$9-B1165))</f>
        <v/>
      </c>
      <c r="H1165" s="152" t="str">
        <f>IF(E1165="","",Input!$C$3)</f>
        <v/>
      </c>
      <c r="I1165" s="153" t="str">
        <f>IF(E1165="","",HLOOKUP($B1165,Input!$C$13:$BT$14,2))</f>
        <v/>
      </c>
      <c r="J1165" s="154"/>
      <c r="K1165" s="150" t="str">
        <f>IF($E1165="","",INDEX(Input!$C$16:$CP$16,1,$B1165))</f>
        <v/>
      </c>
      <c r="L1165" s="150" t="str">
        <f>IF($E1165="","",Input!$C$37)</f>
        <v/>
      </c>
      <c r="M1165" s="150" t="str">
        <f t="shared" si="772"/>
        <v/>
      </c>
      <c r="N1165" s="150" t="str">
        <f t="shared" si="773"/>
        <v/>
      </c>
      <c r="O1165" s="147" t="str">
        <f>IF($E1165="","",MIN(VLOOKUP(IF($B1165&lt;=Input!$C$7,$B1165,26),'Mortality Tables'!$A$41:$CW$67,IF($B1165&lt;=Input!$C$7+1,Input!$C$4+2,$D1165-Input!$C$7+2),0)*IF(B1165&gt;20,Input!$C$22,1)/1000,1))</f>
        <v/>
      </c>
      <c r="P1165" s="147" t="str">
        <f>IF($E1165="","",MIN(VLOOKUP(IF($B1165&lt;=Input!$C$7,$B1165,26),'Mortality Tables'!$A$12:$CW$37,IF($B1165&lt;=Input!$C$7+1,Input!$C$4+2,$D1165-Input!$C$7+2),0)*IF(B1165&gt;20,Input!$C$22,1)/1000,1))</f>
        <v/>
      </c>
      <c r="Q1165" s="155" t="str">
        <f>IF($E1165="","",Input!$C$21)</f>
        <v/>
      </c>
      <c r="R1165" s="159" t="str">
        <f>IF($E1165="","",(1-Q1165)^($F1165-Input!$C$20))</f>
        <v/>
      </c>
      <c r="S1165" s="147" t="str">
        <f t="shared" si="761"/>
        <v/>
      </c>
      <c r="T1165" s="147" t="str">
        <f t="shared" si="762"/>
        <v/>
      </c>
      <c r="U1165" s="160" t="str">
        <f>IF($E1165="","",IF($C1165=12,INDEX(Input!$C$15:$CP$15,1,$B1165),0))</f>
        <v/>
      </c>
      <c r="V1165" s="150" t="str">
        <f>IF(E1165="","",IF(C1165=1,IF($B1165=1,Input!$C$33,Input!$C$34),0))</f>
        <v/>
      </c>
      <c r="W1165" s="156" t="str">
        <f>IF($E1165="","",Input!$C$35)</f>
        <v/>
      </c>
      <c r="X1165" s="156" t="str">
        <f t="shared" si="763"/>
        <v/>
      </c>
      <c r="Y1165" s="154"/>
      <c r="Z1165" s="147" t="str">
        <f>IF($E1165="","",VLOOKUP($D1165,'Mortality Margins &amp; Grading'!$AB$5:$AF$125,3,0)*IF(Summary!$D$25="Included Margin",IF(AND($B1165&gt;Input!$C$9,Summary!$D$31&lt;&gt;"Included Margin"),0,1),0))</f>
        <v/>
      </c>
      <c r="AA1165" s="147" t="str">
        <f>IF($E1165="","",VLOOKUP($D1165,'Mortality Margins &amp; Grading'!$AB$5:$AF$125,5,0)*IF(Summary!$D$25="Included Margin",IF(AND($B1165&gt;Input!$C$9,Summary!$D$31&lt;&gt;"Included Margin"),0,1),0))</f>
        <v/>
      </c>
      <c r="AB1165" s="147" t="str">
        <f>IF($E1165="","",IF(AND($B1165&gt;Input!$C$9,Summary!$D$31&lt;&gt;"Included Margin"),1,IF(Summary!$D$25="Included Margin",VLOOKUP($B1165,'Mortality Margins &amp; Grading'!$AI$5:$AR$125,MATCH('Mortality Margins &amp; Grading'!$AQ$4,'Mortality Margins &amp; Grading'!$AI$4:$AR$4,0),0),1)))</f>
        <v/>
      </c>
      <c r="AC1165" s="154"/>
      <c r="AD1165" s="158" t="str">
        <f>IF(E1165="","",Input!$C$48*IF(Summary!$D$30="Included Margin",IF(AND($B1165&gt;Input!$C$9,Summary!$D$31&lt;&gt;"Included Margin"),0,1),0))</f>
        <v/>
      </c>
      <c r="AE1165" s="159" t="str">
        <f>IF(E1165="","",IF(Summary!$D$26="Included Margin",IF(AND($B1165&gt;Input!$C$9,Summary!$D$31&lt;&gt;"Included Margin"),1,1/$R1165),1))</f>
        <v/>
      </c>
      <c r="AF1165" s="160" t="str">
        <f>IF(E1165="","",IF(AND($B1165&gt;=Input!$C$9,$C1165=12,Summary!$D$31="Included Margin",$U1165&gt;0),1/U1165-1,IF($B1165&gt;=Input!$C$9,0,Input!$C$45*IF(Summary!$D$27="Included Margin",1,0))))</f>
        <v/>
      </c>
      <c r="AG1165" s="160" t="str">
        <f>IF(E1165="","",Input!$C$46*IF(Summary!$D$28="Included Margin",IF(AND($B1165&gt;Input!$C$9,Summary!$D$31&lt;&gt;"Included Margin"),0,1),0))</f>
        <v/>
      </c>
      <c r="AH1165" s="158" t="str">
        <f>IF(E1165="","",Input!$C$47*IF(Summary!$D$29="Included Margin",IF(AND($B1165&gt;Input!$C$9,Summary!$D$31&lt;&gt;"Included Margin"),0,1),0))</f>
        <v/>
      </c>
      <c r="AI1165" s="154"/>
      <c r="AJ1165" s="158" t="str">
        <f t="shared" si="774"/>
        <v/>
      </c>
      <c r="AK1165" s="150" t="str">
        <f t="shared" si="775"/>
        <v/>
      </c>
      <c r="AL1165" s="147" t="str">
        <f t="shared" si="776"/>
        <v/>
      </c>
      <c r="AM1165" s="147" t="str">
        <f t="shared" si="764"/>
        <v/>
      </c>
      <c r="AN1165" s="160" t="str">
        <f t="shared" si="777"/>
        <v/>
      </c>
      <c r="AO1165" s="161" t="str">
        <f t="shared" si="778"/>
        <v/>
      </c>
      <c r="AP1165" s="156" t="str">
        <f t="shared" si="765"/>
        <v/>
      </c>
      <c r="AQ1165" s="152"/>
      <c r="AR1165" s="162" t="str">
        <f t="shared" si="766"/>
        <v/>
      </c>
      <c r="AS1165" s="150" t="str">
        <f t="shared" si="779"/>
        <v/>
      </c>
      <c r="AT1165" s="163" t="str">
        <f t="shared" si="767"/>
        <v/>
      </c>
      <c r="AU1165" s="163" t="str">
        <f t="shared" si="768"/>
        <v/>
      </c>
      <c r="AV1165" s="163" t="str">
        <f t="shared" si="780"/>
        <v/>
      </c>
      <c r="AW1165" s="163" t="str">
        <f t="shared" si="769"/>
        <v/>
      </c>
      <c r="AX1165" s="163" t="str">
        <f t="shared" si="770"/>
        <v/>
      </c>
      <c r="AY1165" s="150" t="str">
        <f t="shared" si="781"/>
        <v/>
      </c>
      <c r="AZ1165" s="150" t="str">
        <f>IF($E1165="","",IF(OR(AND($D1165=Input!$C$6,$C1165=12),$AN1165=1),0,-AS1166+AT1166+AU1166-AV1166-AW1166-AX1166+AZ1166))</f>
        <v/>
      </c>
      <c r="BA1165" s="154" t="str">
        <f t="shared" si="771"/>
        <v/>
      </c>
      <c r="BC1165" s="147" t="str">
        <f t="shared" si="782"/>
        <v/>
      </c>
      <c r="BD1165" s="164" t="str">
        <f>IF(AND($C1164=12,$D1164=Input!$C$6),0,IF($E1165="","",AT1165+(AU1165+BD1166)/(1+$AK1165)*MIN((1-AM1165-AN1165),1)))</f>
        <v/>
      </c>
      <c r="BH1165" s="152"/>
      <c r="BI1165" s="162" t="str">
        <f t="shared" si="748"/>
        <v/>
      </c>
      <c r="BJ1165" s="150" t="str">
        <f t="shared" si="749"/>
        <v/>
      </c>
      <c r="BK1165" s="163" t="str">
        <f t="shared" si="787"/>
        <v/>
      </c>
      <c r="BL1165" s="163" t="str">
        <f t="shared" si="750"/>
        <v/>
      </c>
      <c r="BM1165" s="163" t="str">
        <f t="shared" si="788"/>
        <v/>
      </c>
      <c r="BN1165" s="163" t="str">
        <f t="shared" si="751"/>
        <v/>
      </c>
      <c r="BO1165" s="163" t="str">
        <f t="shared" si="752"/>
        <v/>
      </c>
      <c r="BP1165" s="150" t="str">
        <f t="shared" si="789"/>
        <v/>
      </c>
      <c r="BQ1165" s="150" t="str">
        <f t="shared" si="783"/>
        <v/>
      </c>
      <c r="BR1165" s="154" t="str">
        <f t="shared" si="753"/>
        <v/>
      </c>
      <c r="BT1165" s="147"/>
    </row>
    <row r="1166" spans="1:72" s="150" customFormat="1" x14ac:dyDescent="0.25">
      <c r="A1166" s="150" t="str">
        <f t="shared" si="784"/>
        <v/>
      </c>
      <c r="B1166" s="150" t="str">
        <f t="shared" si="785"/>
        <v/>
      </c>
      <c r="C1166" s="150" t="str">
        <f t="shared" si="786"/>
        <v/>
      </c>
      <c r="D1166" s="150" t="str">
        <f>IF(E1166="","",Input!$C$4+B1166-1)</f>
        <v/>
      </c>
      <c r="E1166" s="150" t="str">
        <f>IF(OR(AND(C1165=12,D1165=Input!$C$6),E1165=""),"",1)</f>
        <v/>
      </c>
      <c r="G1166" s="151" t="str">
        <f>IF(E1166="","",MAX(0,Input!$C$9-B1166))</f>
        <v/>
      </c>
      <c r="H1166" s="152" t="str">
        <f>IF(E1166="","",Input!$C$3)</f>
        <v/>
      </c>
      <c r="I1166" s="153" t="str">
        <f>IF(E1166="","",HLOOKUP($B1166,Input!$C$13:$BT$14,2))</f>
        <v/>
      </c>
      <c r="J1166" s="154"/>
      <c r="K1166" s="150" t="str">
        <f>IF($E1166="","",INDEX(Input!$C$16:$CP$16,1,$B1166))</f>
        <v/>
      </c>
      <c r="L1166" s="150" t="str">
        <f>IF($E1166="","",Input!$C$37)</f>
        <v/>
      </c>
      <c r="M1166" s="150" t="str">
        <f t="shared" si="772"/>
        <v/>
      </c>
      <c r="N1166" s="150" t="str">
        <f t="shared" si="773"/>
        <v/>
      </c>
      <c r="O1166" s="147" t="str">
        <f>IF($E1166="","",MIN(VLOOKUP(IF($B1166&lt;=Input!$C$7,$B1166,26),'Mortality Tables'!$A$41:$CW$67,IF($B1166&lt;=Input!$C$7+1,Input!$C$4+2,$D1166-Input!$C$7+2),0)*IF(B1166&gt;20,Input!$C$22,1)/1000,1))</f>
        <v/>
      </c>
      <c r="P1166" s="147" t="str">
        <f>IF($E1166="","",MIN(VLOOKUP(IF($B1166&lt;=Input!$C$7,$B1166,26),'Mortality Tables'!$A$12:$CW$37,IF($B1166&lt;=Input!$C$7+1,Input!$C$4+2,$D1166-Input!$C$7+2),0)*IF(B1166&gt;20,Input!$C$22,1)/1000,1))</f>
        <v/>
      </c>
      <c r="Q1166" s="155" t="str">
        <f>IF($E1166="","",Input!$C$21)</f>
        <v/>
      </c>
      <c r="R1166" s="159" t="str">
        <f>IF($E1166="","",(1-Q1166)^($F1166-Input!$C$20))</f>
        <v/>
      </c>
      <c r="S1166" s="147" t="str">
        <f t="shared" si="761"/>
        <v/>
      </c>
      <c r="T1166" s="147" t="str">
        <f t="shared" si="762"/>
        <v/>
      </c>
      <c r="U1166" s="160" t="str">
        <f>IF($E1166="","",IF($C1166=12,INDEX(Input!$C$15:$CP$15,1,$B1166),0))</f>
        <v/>
      </c>
      <c r="V1166" s="150" t="str">
        <f>IF(E1166="","",IF(C1166=1,IF($B1166=1,Input!$C$33,Input!$C$34),0))</f>
        <v/>
      </c>
      <c r="W1166" s="156" t="str">
        <f>IF($E1166="","",Input!$C$35)</f>
        <v/>
      </c>
      <c r="X1166" s="156" t="str">
        <f t="shared" si="763"/>
        <v/>
      </c>
      <c r="Y1166" s="154"/>
      <c r="Z1166" s="147" t="str">
        <f>IF($E1166="","",VLOOKUP($D1166,'Mortality Margins &amp; Grading'!$AB$5:$AF$125,3,0)*IF(Summary!$D$25="Included Margin",IF(AND($B1166&gt;Input!$C$9,Summary!$D$31&lt;&gt;"Included Margin"),0,1),0))</f>
        <v/>
      </c>
      <c r="AA1166" s="147" t="str">
        <f>IF($E1166="","",VLOOKUP($D1166,'Mortality Margins &amp; Grading'!$AB$5:$AF$125,5,0)*IF(Summary!$D$25="Included Margin",IF(AND($B1166&gt;Input!$C$9,Summary!$D$31&lt;&gt;"Included Margin"),0,1),0))</f>
        <v/>
      </c>
      <c r="AB1166" s="147" t="str">
        <f>IF($E1166="","",IF(AND($B1166&gt;Input!$C$9,Summary!$D$31&lt;&gt;"Included Margin"),1,IF(Summary!$D$25="Included Margin",VLOOKUP($B1166,'Mortality Margins &amp; Grading'!$AI$5:$AR$125,MATCH('Mortality Margins &amp; Grading'!$AQ$4,'Mortality Margins &amp; Grading'!$AI$4:$AR$4,0),0),1)))</f>
        <v/>
      </c>
      <c r="AC1166" s="154"/>
      <c r="AD1166" s="158" t="str">
        <f>IF(E1166="","",Input!$C$48*IF(Summary!$D$30="Included Margin",IF(AND($B1166&gt;Input!$C$9,Summary!$D$31&lt;&gt;"Included Margin"),0,1),0))</f>
        <v/>
      </c>
      <c r="AE1166" s="159" t="str">
        <f>IF(E1166="","",IF(Summary!$D$26="Included Margin",IF(AND($B1166&gt;Input!$C$9,Summary!$D$31&lt;&gt;"Included Margin"),1,1/$R1166),1))</f>
        <v/>
      </c>
      <c r="AF1166" s="160" t="str">
        <f>IF(E1166="","",IF(AND($B1166&gt;=Input!$C$9,$C1166=12,Summary!$D$31="Included Margin",$U1166&gt;0),1/U1166-1,IF($B1166&gt;=Input!$C$9,0,Input!$C$45*IF(Summary!$D$27="Included Margin",1,0))))</f>
        <v/>
      </c>
      <c r="AG1166" s="160" t="str">
        <f>IF(E1166="","",Input!$C$46*IF(Summary!$D$28="Included Margin",IF(AND($B1166&gt;Input!$C$9,Summary!$D$31&lt;&gt;"Included Margin"),0,1),0))</f>
        <v/>
      </c>
      <c r="AH1166" s="158" t="str">
        <f>IF(E1166="","",Input!$C$47*IF(Summary!$D$29="Included Margin",IF(AND($B1166&gt;Input!$C$9,Summary!$D$31&lt;&gt;"Included Margin"),0,1),0))</f>
        <v/>
      </c>
      <c r="AI1166" s="154"/>
      <c r="AJ1166" s="158" t="str">
        <f t="shared" si="774"/>
        <v/>
      </c>
      <c r="AK1166" s="150" t="str">
        <f t="shared" si="775"/>
        <v/>
      </c>
      <c r="AL1166" s="147" t="str">
        <f t="shared" si="776"/>
        <v/>
      </c>
      <c r="AM1166" s="147" t="str">
        <f t="shared" si="764"/>
        <v/>
      </c>
      <c r="AN1166" s="160" t="str">
        <f t="shared" si="777"/>
        <v/>
      </c>
      <c r="AO1166" s="161" t="str">
        <f t="shared" si="778"/>
        <v/>
      </c>
      <c r="AP1166" s="156" t="str">
        <f t="shared" si="765"/>
        <v/>
      </c>
      <c r="AQ1166" s="152"/>
      <c r="AR1166" s="162" t="str">
        <f t="shared" si="766"/>
        <v/>
      </c>
      <c r="AS1166" s="150" t="str">
        <f t="shared" si="779"/>
        <v/>
      </c>
      <c r="AT1166" s="163" t="str">
        <f t="shared" si="767"/>
        <v/>
      </c>
      <c r="AU1166" s="163" t="str">
        <f t="shared" si="768"/>
        <v/>
      </c>
      <c r="AV1166" s="163" t="str">
        <f t="shared" si="780"/>
        <v/>
      </c>
      <c r="AW1166" s="163" t="str">
        <f t="shared" si="769"/>
        <v/>
      </c>
      <c r="AX1166" s="163" t="str">
        <f t="shared" si="770"/>
        <v/>
      </c>
      <c r="AY1166" s="150" t="str">
        <f t="shared" si="781"/>
        <v/>
      </c>
      <c r="AZ1166" s="150" t="str">
        <f>IF($E1166="","",IF(OR(AND($D1166=Input!$C$6,$C1166=12),$AN1166=1),0,-AS1167+AT1167+AU1167-AV1167-AW1167-AX1167+AZ1167))</f>
        <v/>
      </c>
      <c r="BA1166" s="154" t="str">
        <f t="shared" si="771"/>
        <v/>
      </c>
      <c r="BC1166" s="147" t="str">
        <f t="shared" si="782"/>
        <v/>
      </c>
      <c r="BD1166" s="164" t="str">
        <f>IF(AND($C1165=12,$D1165=Input!$C$6),0,IF($E1166="","",AT1166+(AU1166+BD1167)/(1+$AK1166)*MIN((1-AM1166-AN1166),1)))</f>
        <v/>
      </c>
      <c r="BH1166" s="152"/>
      <c r="BI1166" s="162" t="str">
        <f t="shared" si="748"/>
        <v/>
      </c>
      <c r="BJ1166" s="150" t="str">
        <f t="shared" si="749"/>
        <v/>
      </c>
      <c r="BK1166" s="163" t="str">
        <f t="shared" si="787"/>
        <v/>
      </c>
      <c r="BL1166" s="163" t="str">
        <f t="shared" si="750"/>
        <v/>
      </c>
      <c r="BM1166" s="163" t="str">
        <f t="shared" si="788"/>
        <v/>
      </c>
      <c r="BN1166" s="163" t="str">
        <f t="shared" si="751"/>
        <v/>
      </c>
      <c r="BO1166" s="163" t="str">
        <f t="shared" si="752"/>
        <v/>
      </c>
      <c r="BP1166" s="150" t="str">
        <f t="shared" si="789"/>
        <v/>
      </c>
      <c r="BQ1166" s="150" t="str">
        <f t="shared" si="783"/>
        <v/>
      </c>
      <c r="BR1166" s="154" t="str">
        <f t="shared" si="753"/>
        <v/>
      </c>
      <c r="BT1166" s="147"/>
    </row>
    <row r="1167" spans="1:72" s="150" customFormat="1" x14ac:dyDescent="0.25">
      <c r="A1167" s="150" t="str">
        <f t="shared" si="784"/>
        <v/>
      </c>
      <c r="B1167" s="150" t="str">
        <f t="shared" si="785"/>
        <v/>
      </c>
      <c r="C1167" s="150" t="str">
        <f t="shared" si="786"/>
        <v/>
      </c>
      <c r="D1167" s="150" t="str">
        <f>IF(E1167="","",Input!$C$4+B1167-1)</f>
        <v/>
      </c>
      <c r="E1167" s="150" t="str">
        <f>IF(OR(AND(C1166=12,D1166=Input!$C$6),E1166=""),"",1)</f>
        <v/>
      </c>
      <c r="G1167" s="151" t="str">
        <f>IF(E1167="","",MAX(0,Input!$C$9-B1167))</f>
        <v/>
      </c>
      <c r="H1167" s="152" t="str">
        <f>IF(E1167="","",Input!$C$3)</f>
        <v/>
      </c>
      <c r="I1167" s="153" t="str">
        <f>IF(E1167="","",HLOOKUP($B1167,Input!$C$13:$BT$14,2))</f>
        <v/>
      </c>
      <c r="J1167" s="154"/>
      <c r="K1167" s="150" t="str">
        <f>IF($E1167="","",INDEX(Input!$C$16:$CP$16,1,$B1167))</f>
        <v/>
      </c>
      <c r="L1167" s="150" t="str">
        <f>IF($E1167="","",Input!$C$37)</f>
        <v/>
      </c>
      <c r="M1167" s="150" t="str">
        <f t="shared" si="772"/>
        <v/>
      </c>
      <c r="N1167" s="150" t="str">
        <f t="shared" si="773"/>
        <v/>
      </c>
      <c r="O1167" s="147" t="str">
        <f>IF($E1167="","",MIN(VLOOKUP(IF($B1167&lt;=Input!$C$7,$B1167,26),'Mortality Tables'!$A$41:$CW$67,IF($B1167&lt;=Input!$C$7+1,Input!$C$4+2,$D1167-Input!$C$7+2),0)*IF(B1167&gt;20,Input!$C$22,1)/1000,1))</f>
        <v/>
      </c>
      <c r="P1167" s="147" t="str">
        <f>IF($E1167="","",MIN(VLOOKUP(IF($B1167&lt;=Input!$C$7,$B1167,26),'Mortality Tables'!$A$12:$CW$37,IF($B1167&lt;=Input!$C$7+1,Input!$C$4+2,$D1167-Input!$C$7+2),0)*IF(B1167&gt;20,Input!$C$22,1)/1000,1))</f>
        <v/>
      </c>
      <c r="Q1167" s="155" t="str">
        <f>IF($E1167="","",Input!$C$21)</f>
        <v/>
      </c>
      <c r="R1167" s="159" t="str">
        <f>IF($E1167="","",(1-Q1167)^($F1167-Input!$C$20))</f>
        <v/>
      </c>
      <c r="S1167" s="147" t="str">
        <f t="shared" si="761"/>
        <v/>
      </c>
      <c r="T1167" s="147" t="str">
        <f t="shared" si="762"/>
        <v/>
      </c>
      <c r="U1167" s="160" t="str">
        <f>IF($E1167="","",IF($C1167=12,INDEX(Input!$C$15:$CP$15,1,$B1167),0))</f>
        <v/>
      </c>
      <c r="V1167" s="150" t="str">
        <f>IF(E1167="","",IF(C1167=1,IF($B1167=1,Input!$C$33,Input!$C$34),0))</f>
        <v/>
      </c>
      <c r="W1167" s="156" t="str">
        <f>IF($E1167="","",Input!$C$35)</f>
        <v/>
      </c>
      <c r="X1167" s="156" t="str">
        <f t="shared" si="763"/>
        <v/>
      </c>
      <c r="Y1167" s="154"/>
      <c r="Z1167" s="147" t="str">
        <f>IF($E1167="","",VLOOKUP($D1167,'Mortality Margins &amp; Grading'!$AB$5:$AF$125,3,0)*IF(Summary!$D$25="Included Margin",IF(AND($B1167&gt;Input!$C$9,Summary!$D$31&lt;&gt;"Included Margin"),0,1),0))</f>
        <v/>
      </c>
      <c r="AA1167" s="147" t="str">
        <f>IF($E1167="","",VLOOKUP($D1167,'Mortality Margins &amp; Grading'!$AB$5:$AF$125,5,0)*IF(Summary!$D$25="Included Margin",IF(AND($B1167&gt;Input!$C$9,Summary!$D$31&lt;&gt;"Included Margin"),0,1),0))</f>
        <v/>
      </c>
      <c r="AB1167" s="147" t="str">
        <f>IF($E1167="","",IF(AND($B1167&gt;Input!$C$9,Summary!$D$31&lt;&gt;"Included Margin"),1,IF(Summary!$D$25="Included Margin",VLOOKUP($B1167,'Mortality Margins &amp; Grading'!$AI$5:$AR$125,MATCH('Mortality Margins &amp; Grading'!$AQ$4,'Mortality Margins &amp; Grading'!$AI$4:$AR$4,0),0),1)))</f>
        <v/>
      </c>
      <c r="AC1167" s="154"/>
      <c r="AD1167" s="158" t="str">
        <f>IF(E1167="","",Input!$C$48*IF(Summary!$D$30="Included Margin",IF(AND($B1167&gt;Input!$C$9,Summary!$D$31&lt;&gt;"Included Margin"),0,1),0))</f>
        <v/>
      </c>
      <c r="AE1167" s="159" t="str">
        <f>IF(E1167="","",IF(Summary!$D$26="Included Margin",IF(AND($B1167&gt;Input!$C$9,Summary!$D$31&lt;&gt;"Included Margin"),1,1/$R1167),1))</f>
        <v/>
      </c>
      <c r="AF1167" s="160" t="str">
        <f>IF(E1167="","",IF(AND($B1167&gt;=Input!$C$9,$C1167=12,Summary!$D$31="Included Margin",$U1167&gt;0),1/U1167-1,IF($B1167&gt;=Input!$C$9,0,Input!$C$45*IF(Summary!$D$27="Included Margin",1,0))))</f>
        <v/>
      </c>
      <c r="AG1167" s="160" t="str">
        <f>IF(E1167="","",Input!$C$46*IF(Summary!$D$28="Included Margin",IF(AND($B1167&gt;Input!$C$9,Summary!$D$31&lt;&gt;"Included Margin"),0,1),0))</f>
        <v/>
      </c>
      <c r="AH1167" s="158" t="str">
        <f>IF(E1167="","",Input!$C$47*IF(Summary!$D$29="Included Margin",IF(AND($B1167&gt;Input!$C$9,Summary!$D$31&lt;&gt;"Included Margin"),0,1),0))</f>
        <v/>
      </c>
      <c r="AI1167" s="154"/>
      <c r="AJ1167" s="158" t="str">
        <f t="shared" si="774"/>
        <v/>
      </c>
      <c r="AK1167" s="150" t="str">
        <f t="shared" si="775"/>
        <v/>
      </c>
      <c r="AL1167" s="147" t="str">
        <f t="shared" si="776"/>
        <v/>
      </c>
      <c r="AM1167" s="147" t="str">
        <f t="shared" si="764"/>
        <v/>
      </c>
      <c r="AN1167" s="160" t="str">
        <f t="shared" si="777"/>
        <v/>
      </c>
      <c r="AO1167" s="161" t="str">
        <f t="shared" si="778"/>
        <v/>
      </c>
      <c r="AP1167" s="156" t="str">
        <f t="shared" si="765"/>
        <v/>
      </c>
      <c r="AQ1167" s="152"/>
      <c r="AR1167" s="162" t="str">
        <f t="shared" si="766"/>
        <v/>
      </c>
      <c r="AS1167" s="150" t="str">
        <f t="shared" si="779"/>
        <v/>
      </c>
      <c r="AT1167" s="163" t="str">
        <f t="shared" si="767"/>
        <v/>
      </c>
      <c r="AU1167" s="163" t="str">
        <f t="shared" si="768"/>
        <v/>
      </c>
      <c r="AV1167" s="163" t="str">
        <f t="shared" si="780"/>
        <v/>
      </c>
      <c r="AW1167" s="163" t="str">
        <f t="shared" si="769"/>
        <v/>
      </c>
      <c r="AX1167" s="163" t="str">
        <f t="shared" si="770"/>
        <v/>
      </c>
      <c r="AY1167" s="150" t="str">
        <f t="shared" si="781"/>
        <v/>
      </c>
      <c r="AZ1167" s="150" t="str">
        <f>IF($E1167="","",IF(OR(AND($D1167=Input!$C$6,$C1167=12),$AN1167=1),0,-AS1168+AT1168+AU1168-AV1168-AW1168-AX1168+AZ1168))</f>
        <v/>
      </c>
      <c r="BA1167" s="154" t="str">
        <f t="shared" si="771"/>
        <v/>
      </c>
      <c r="BC1167" s="147" t="str">
        <f t="shared" si="782"/>
        <v/>
      </c>
      <c r="BD1167" s="164" t="str">
        <f>IF(AND($C1166=12,$D1166=Input!$C$6),0,IF($E1167="","",AT1167+(AU1167+BD1168)/(1+$AK1167)*MIN((1-AM1167-AN1167),1)))</f>
        <v/>
      </c>
      <c r="BH1167" s="152"/>
      <c r="BI1167" s="162" t="str">
        <f t="shared" si="748"/>
        <v/>
      </c>
      <c r="BJ1167" s="150" t="str">
        <f t="shared" si="749"/>
        <v/>
      </c>
      <c r="BK1167" s="163" t="str">
        <f t="shared" si="787"/>
        <v/>
      </c>
      <c r="BL1167" s="163" t="str">
        <f t="shared" si="750"/>
        <v/>
      </c>
      <c r="BM1167" s="163" t="str">
        <f t="shared" si="788"/>
        <v/>
      </c>
      <c r="BN1167" s="163" t="str">
        <f t="shared" si="751"/>
        <v/>
      </c>
      <c r="BO1167" s="163" t="str">
        <f t="shared" si="752"/>
        <v/>
      </c>
      <c r="BP1167" s="150" t="str">
        <f t="shared" si="789"/>
        <v/>
      </c>
      <c r="BQ1167" s="150" t="str">
        <f t="shared" si="783"/>
        <v/>
      </c>
      <c r="BR1167" s="154" t="str">
        <f t="shared" si="753"/>
        <v/>
      </c>
      <c r="BT1167" s="147"/>
    </row>
    <row r="1168" spans="1:72" s="150" customFormat="1" x14ac:dyDescent="0.25">
      <c r="A1168" s="150" t="str">
        <f t="shared" si="784"/>
        <v/>
      </c>
      <c r="B1168" s="150" t="str">
        <f t="shared" si="785"/>
        <v/>
      </c>
      <c r="C1168" s="150" t="str">
        <f t="shared" si="786"/>
        <v/>
      </c>
      <c r="D1168" s="150" t="str">
        <f>IF(E1168="","",Input!$C$4+B1168-1)</f>
        <v/>
      </c>
      <c r="E1168" s="150" t="str">
        <f>IF(OR(AND(C1167=12,D1167=Input!$C$6),E1167=""),"",1)</f>
        <v/>
      </c>
      <c r="G1168" s="151" t="str">
        <f>IF(E1168="","",MAX(0,Input!$C$9-B1168))</f>
        <v/>
      </c>
      <c r="H1168" s="152" t="str">
        <f>IF(E1168="","",Input!$C$3)</f>
        <v/>
      </c>
      <c r="I1168" s="153" t="str">
        <f>IF(E1168="","",HLOOKUP($B1168,Input!$C$13:$BT$14,2))</f>
        <v/>
      </c>
      <c r="J1168" s="154"/>
      <c r="K1168" s="150" t="str">
        <f>IF($E1168="","",INDEX(Input!$C$16:$CP$16,1,$B1168))</f>
        <v/>
      </c>
      <c r="L1168" s="150" t="str">
        <f>IF($E1168="","",Input!$C$37)</f>
        <v/>
      </c>
      <c r="M1168" s="150" t="str">
        <f t="shared" si="772"/>
        <v/>
      </c>
      <c r="N1168" s="150" t="str">
        <f t="shared" si="773"/>
        <v/>
      </c>
      <c r="O1168" s="147" t="str">
        <f>IF($E1168="","",MIN(VLOOKUP(IF($B1168&lt;=Input!$C$7,$B1168,26),'Mortality Tables'!$A$41:$CW$67,IF($B1168&lt;=Input!$C$7+1,Input!$C$4+2,$D1168-Input!$C$7+2),0)*IF(B1168&gt;20,Input!$C$22,1)/1000,1))</f>
        <v/>
      </c>
      <c r="P1168" s="147" t="str">
        <f>IF($E1168="","",MIN(VLOOKUP(IF($B1168&lt;=Input!$C$7,$B1168,26),'Mortality Tables'!$A$12:$CW$37,IF($B1168&lt;=Input!$C$7+1,Input!$C$4+2,$D1168-Input!$C$7+2),0)*IF(B1168&gt;20,Input!$C$22,1)/1000,1))</f>
        <v/>
      </c>
      <c r="Q1168" s="155" t="str">
        <f>IF($E1168="","",Input!$C$21)</f>
        <v/>
      </c>
      <c r="R1168" s="159" t="str">
        <f>IF($E1168="","",(1-Q1168)^($F1168-Input!$C$20))</f>
        <v/>
      </c>
      <c r="S1168" s="147" t="str">
        <f t="shared" si="761"/>
        <v/>
      </c>
      <c r="T1168" s="147" t="str">
        <f t="shared" si="762"/>
        <v/>
      </c>
      <c r="U1168" s="160" t="str">
        <f>IF($E1168="","",IF($C1168=12,INDEX(Input!$C$15:$CP$15,1,$B1168),0))</f>
        <v/>
      </c>
      <c r="V1168" s="150" t="str">
        <f>IF(E1168="","",IF(C1168=1,IF($B1168=1,Input!$C$33,Input!$C$34),0))</f>
        <v/>
      </c>
      <c r="W1168" s="156" t="str">
        <f>IF($E1168="","",Input!$C$35)</f>
        <v/>
      </c>
      <c r="X1168" s="156" t="str">
        <f t="shared" si="763"/>
        <v/>
      </c>
      <c r="Y1168" s="154"/>
      <c r="Z1168" s="147" t="str">
        <f>IF($E1168="","",VLOOKUP($D1168,'Mortality Margins &amp; Grading'!$AB$5:$AF$125,3,0)*IF(Summary!$D$25="Included Margin",IF(AND($B1168&gt;Input!$C$9,Summary!$D$31&lt;&gt;"Included Margin"),0,1),0))</f>
        <v/>
      </c>
      <c r="AA1168" s="147" t="str">
        <f>IF($E1168="","",VLOOKUP($D1168,'Mortality Margins &amp; Grading'!$AB$5:$AF$125,5,0)*IF(Summary!$D$25="Included Margin",IF(AND($B1168&gt;Input!$C$9,Summary!$D$31&lt;&gt;"Included Margin"),0,1),0))</f>
        <v/>
      </c>
      <c r="AB1168" s="147" t="str">
        <f>IF($E1168="","",IF(AND($B1168&gt;Input!$C$9,Summary!$D$31&lt;&gt;"Included Margin"),1,IF(Summary!$D$25="Included Margin",VLOOKUP($B1168,'Mortality Margins &amp; Grading'!$AI$5:$AR$125,MATCH('Mortality Margins &amp; Grading'!$AQ$4,'Mortality Margins &amp; Grading'!$AI$4:$AR$4,0),0),1)))</f>
        <v/>
      </c>
      <c r="AC1168" s="154"/>
      <c r="AD1168" s="158" t="str">
        <f>IF(E1168="","",Input!$C$48*IF(Summary!$D$30="Included Margin",IF(AND($B1168&gt;Input!$C$9,Summary!$D$31&lt;&gt;"Included Margin"),0,1),0))</f>
        <v/>
      </c>
      <c r="AE1168" s="159" t="str">
        <f>IF(E1168="","",IF(Summary!$D$26="Included Margin",IF(AND($B1168&gt;Input!$C$9,Summary!$D$31&lt;&gt;"Included Margin"),1,1/$R1168),1))</f>
        <v/>
      </c>
      <c r="AF1168" s="160" t="str">
        <f>IF(E1168="","",IF(AND($B1168&gt;=Input!$C$9,$C1168=12,Summary!$D$31="Included Margin",$U1168&gt;0),1/U1168-1,IF($B1168&gt;=Input!$C$9,0,Input!$C$45*IF(Summary!$D$27="Included Margin",1,0))))</f>
        <v/>
      </c>
      <c r="AG1168" s="160" t="str">
        <f>IF(E1168="","",Input!$C$46*IF(Summary!$D$28="Included Margin",IF(AND($B1168&gt;Input!$C$9,Summary!$D$31&lt;&gt;"Included Margin"),0,1),0))</f>
        <v/>
      </c>
      <c r="AH1168" s="158" t="str">
        <f>IF(E1168="","",Input!$C$47*IF(Summary!$D$29="Included Margin",IF(AND($B1168&gt;Input!$C$9,Summary!$D$31&lt;&gt;"Included Margin"),0,1),0))</f>
        <v/>
      </c>
      <c r="AI1168" s="154"/>
      <c r="AJ1168" s="158" t="str">
        <f t="shared" si="774"/>
        <v/>
      </c>
      <c r="AK1168" s="150" t="str">
        <f t="shared" si="775"/>
        <v/>
      </c>
      <c r="AL1168" s="147" t="str">
        <f t="shared" si="776"/>
        <v/>
      </c>
      <c r="AM1168" s="147" t="str">
        <f t="shared" si="764"/>
        <v/>
      </c>
      <c r="AN1168" s="160" t="str">
        <f t="shared" si="777"/>
        <v/>
      </c>
      <c r="AO1168" s="161" t="str">
        <f t="shared" si="778"/>
        <v/>
      </c>
      <c r="AP1168" s="156" t="str">
        <f t="shared" si="765"/>
        <v/>
      </c>
      <c r="AQ1168" s="152"/>
      <c r="AR1168" s="162" t="str">
        <f t="shared" si="766"/>
        <v/>
      </c>
      <c r="AS1168" s="150" t="str">
        <f t="shared" si="779"/>
        <v/>
      </c>
      <c r="AT1168" s="163" t="str">
        <f t="shared" si="767"/>
        <v/>
      </c>
      <c r="AU1168" s="163" t="str">
        <f t="shared" si="768"/>
        <v/>
      </c>
      <c r="AV1168" s="163" t="str">
        <f t="shared" si="780"/>
        <v/>
      </c>
      <c r="AW1168" s="163" t="str">
        <f t="shared" si="769"/>
        <v/>
      </c>
      <c r="AX1168" s="163" t="str">
        <f t="shared" si="770"/>
        <v/>
      </c>
      <c r="AY1168" s="150" t="str">
        <f t="shared" si="781"/>
        <v/>
      </c>
      <c r="AZ1168" s="150" t="str">
        <f>IF($E1168="","",IF(OR(AND($D1168=Input!$C$6,$C1168=12),$AN1168=1),0,-AS1169+AT1169+AU1169-AV1169-AW1169-AX1169+AZ1169))</f>
        <v/>
      </c>
      <c r="BA1168" s="154" t="str">
        <f t="shared" si="771"/>
        <v/>
      </c>
      <c r="BC1168" s="147" t="str">
        <f t="shared" si="782"/>
        <v/>
      </c>
      <c r="BD1168" s="164" t="str">
        <f>IF(AND($C1167=12,$D1167=Input!$C$6),0,IF($E1168="","",AT1168+(AU1168+BD1169)/(1+$AK1168)*MIN((1-AM1168-AN1168),1)))</f>
        <v/>
      </c>
      <c r="BH1168" s="152"/>
      <c r="BI1168" s="162" t="str">
        <f t="shared" si="748"/>
        <v/>
      </c>
      <c r="BJ1168" s="150" t="str">
        <f t="shared" si="749"/>
        <v/>
      </c>
      <c r="BK1168" s="163" t="str">
        <f t="shared" si="787"/>
        <v/>
      </c>
      <c r="BL1168" s="163" t="str">
        <f t="shared" si="750"/>
        <v/>
      </c>
      <c r="BM1168" s="163" t="str">
        <f t="shared" si="788"/>
        <v/>
      </c>
      <c r="BN1168" s="163" t="str">
        <f t="shared" si="751"/>
        <v/>
      </c>
      <c r="BO1168" s="163" t="str">
        <f t="shared" si="752"/>
        <v/>
      </c>
      <c r="BP1168" s="150" t="str">
        <f t="shared" si="789"/>
        <v/>
      </c>
      <c r="BQ1168" s="150" t="str">
        <f t="shared" si="783"/>
        <v/>
      </c>
      <c r="BR1168" s="154" t="str">
        <f t="shared" si="753"/>
        <v/>
      </c>
      <c r="BT1168" s="147"/>
    </row>
    <row r="1169" spans="1:72" s="150" customFormat="1" x14ac:dyDescent="0.25">
      <c r="A1169" s="150" t="str">
        <f t="shared" si="784"/>
        <v/>
      </c>
      <c r="B1169" s="150" t="str">
        <f t="shared" si="785"/>
        <v/>
      </c>
      <c r="C1169" s="150" t="str">
        <f t="shared" si="786"/>
        <v/>
      </c>
      <c r="D1169" s="150" t="str">
        <f>IF(E1169="","",Input!$C$4+B1169-1)</f>
        <v/>
      </c>
      <c r="E1169" s="150" t="str">
        <f>IF(OR(AND(C1168=12,D1168=Input!$C$6),E1168=""),"",1)</f>
        <v/>
      </c>
      <c r="G1169" s="151" t="str">
        <f>IF(E1169="","",MAX(0,Input!$C$9-B1169))</f>
        <v/>
      </c>
      <c r="H1169" s="152" t="str">
        <f>IF(E1169="","",Input!$C$3)</f>
        <v/>
      </c>
      <c r="I1169" s="153" t="str">
        <f>IF(E1169="","",HLOOKUP($B1169,Input!$C$13:$BT$14,2))</f>
        <v/>
      </c>
      <c r="J1169" s="154"/>
      <c r="K1169" s="150" t="str">
        <f>IF($E1169="","",INDEX(Input!$C$16:$CP$16,1,$B1169))</f>
        <v/>
      </c>
      <c r="L1169" s="150" t="str">
        <f>IF($E1169="","",Input!$C$37)</f>
        <v/>
      </c>
      <c r="M1169" s="150" t="str">
        <f t="shared" si="772"/>
        <v/>
      </c>
      <c r="N1169" s="150" t="str">
        <f t="shared" si="773"/>
        <v/>
      </c>
      <c r="O1169" s="147" t="str">
        <f>IF($E1169="","",MIN(VLOOKUP(IF($B1169&lt;=Input!$C$7,$B1169,26),'Mortality Tables'!$A$41:$CW$67,IF($B1169&lt;=Input!$C$7+1,Input!$C$4+2,$D1169-Input!$C$7+2),0)*IF(B1169&gt;20,Input!$C$22,1)/1000,1))</f>
        <v/>
      </c>
      <c r="P1169" s="147" t="str">
        <f>IF($E1169="","",MIN(VLOOKUP(IF($B1169&lt;=Input!$C$7,$B1169,26),'Mortality Tables'!$A$12:$CW$37,IF($B1169&lt;=Input!$C$7+1,Input!$C$4+2,$D1169-Input!$C$7+2),0)*IF(B1169&gt;20,Input!$C$22,1)/1000,1))</f>
        <v/>
      </c>
      <c r="Q1169" s="155" t="str">
        <f>IF($E1169="","",Input!$C$21)</f>
        <v/>
      </c>
      <c r="R1169" s="159" t="str">
        <f>IF($E1169="","",(1-Q1169)^($F1169-Input!$C$20))</f>
        <v/>
      </c>
      <c r="S1169" s="147" t="str">
        <f t="shared" si="761"/>
        <v/>
      </c>
      <c r="T1169" s="147" t="str">
        <f t="shared" si="762"/>
        <v/>
      </c>
      <c r="U1169" s="160" t="str">
        <f>IF($E1169="","",IF($C1169=12,INDEX(Input!$C$15:$CP$15,1,$B1169),0))</f>
        <v/>
      </c>
      <c r="V1169" s="150" t="str">
        <f>IF(E1169="","",IF(C1169=1,IF($B1169=1,Input!$C$33,Input!$C$34),0))</f>
        <v/>
      </c>
      <c r="W1169" s="156" t="str">
        <f>IF($E1169="","",Input!$C$35)</f>
        <v/>
      </c>
      <c r="X1169" s="156" t="str">
        <f t="shared" si="763"/>
        <v/>
      </c>
      <c r="Y1169" s="154"/>
      <c r="Z1169" s="147" t="str">
        <f>IF($E1169="","",VLOOKUP($D1169,'Mortality Margins &amp; Grading'!$AB$5:$AF$125,3,0)*IF(Summary!$D$25="Included Margin",IF(AND($B1169&gt;Input!$C$9,Summary!$D$31&lt;&gt;"Included Margin"),0,1),0))</f>
        <v/>
      </c>
      <c r="AA1169" s="147" t="str">
        <f>IF($E1169="","",VLOOKUP($D1169,'Mortality Margins &amp; Grading'!$AB$5:$AF$125,5,0)*IF(Summary!$D$25="Included Margin",IF(AND($B1169&gt;Input!$C$9,Summary!$D$31&lt;&gt;"Included Margin"),0,1),0))</f>
        <v/>
      </c>
      <c r="AB1169" s="147" t="str">
        <f>IF($E1169="","",IF(AND($B1169&gt;Input!$C$9,Summary!$D$31&lt;&gt;"Included Margin"),1,IF(Summary!$D$25="Included Margin",VLOOKUP($B1169,'Mortality Margins &amp; Grading'!$AI$5:$AR$125,MATCH('Mortality Margins &amp; Grading'!$AQ$4,'Mortality Margins &amp; Grading'!$AI$4:$AR$4,0),0),1)))</f>
        <v/>
      </c>
      <c r="AC1169" s="154"/>
      <c r="AD1169" s="158" t="str">
        <f>IF(E1169="","",Input!$C$48*IF(Summary!$D$30="Included Margin",IF(AND($B1169&gt;Input!$C$9,Summary!$D$31&lt;&gt;"Included Margin"),0,1),0))</f>
        <v/>
      </c>
      <c r="AE1169" s="159" t="str">
        <f>IF(E1169="","",IF(Summary!$D$26="Included Margin",IF(AND($B1169&gt;Input!$C$9,Summary!$D$31&lt;&gt;"Included Margin"),1,1/$R1169),1))</f>
        <v/>
      </c>
      <c r="AF1169" s="160" t="str">
        <f>IF(E1169="","",IF(AND($B1169&gt;=Input!$C$9,$C1169=12,Summary!$D$31="Included Margin",$U1169&gt;0),1/U1169-1,IF($B1169&gt;=Input!$C$9,0,Input!$C$45*IF(Summary!$D$27="Included Margin",1,0))))</f>
        <v/>
      </c>
      <c r="AG1169" s="160" t="str">
        <f>IF(E1169="","",Input!$C$46*IF(Summary!$D$28="Included Margin",IF(AND($B1169&gt;Input!$C$9,Summary!$D$31&lt;&gt;"Included Margin"),0,1),0))</f>
        <v/>
      </c>
      <c r="AH1169" s="158" t="str">
        <f>IF(E1169="","",Input!$C$47*IF(Summary!$D$29="Included Margin",IF(AND($B1169&gt;Input!$C$9,Summary!$D$31&lt;&gt;"Included Margin"),0,1),0))</f>
        <v/>
      </c>
      <c r="AI1169" s="154"/>
      <c r="AJ1169" s="158" t="str">
        <f t="shared" si="774"/>
        <v/>
      </c>
      <c r="AK1169" s="150" t="str">
        <f t="shared" si="775"/>
        <v/>
      </c>
      <c r="AL1169" s="147" t="str">
        <f t="shared" si="776"/>
        <v/>
      </c>
      <c r="AM1169" s="147" t="str">
        <f t="shared" si="764"/>
        <v/>
      </c>
      <c r="AN1169" s="160" t="str">
        <f t="shared" si="777"/>
        <v/>
      </c>
      <c r="AO1169" s="161" t="str">
        <f t="shared" si="778"/>
        <v/>
      </c>
      <c r="AP1169" s="156" t="str">
        <f t="shared" si="765"/>
        <v/>
      </c>
      <c r="AQ1169" s="152"/>
      <c r="AR1169" s="162" t="str">
        <f t="shared" si="766"/>
        <v/>
      </c>
      <c r="AS1169" s="150" t="str">
        <f t="shared" si="779"/>
        <v/>
      </c>
      <c r="AT1169" s="163" t="str">
        <f t="shared" si="767"/>
        <v/>
      </c>
      <c r="AU1169" s="163" t="str">
        <f t="shared" si="768"/>
        <v/>
      </c>
      <c r="AV1169" s="163" t="str">
        <f t="shared" si="780"/>
        <v/>
      </c>
      <c r="AW1169" s="163" t="str">
        <f t="shared" si="769"/>
        <v/>
      </c>
      <c r="AX1169" s="163" t="str">
        <f t="shared" si="770"/>
        <v/>
      </c>
      <c r="AY1169" s="150" t="str">
        <f t="shared" si="781"/>
        <v/>
      </c>
      <c r="AZ1169" s="150" t="str">
        <f>IF($E1169="","",IF(OR(AND($D1169=Input!$C$6,$C1169=12),$AN1169=1),0,-AS1170+AT1170+AU1170-AV1170-AW1170-AX1170+AZ1170))</f>
        <v/>
      </c>
      <c r="BA1169" s="154" t="str">
        <f t="shared" si="771"/>
        <v/>
      </c>
      <c r="BC1169" s="147" t="str">
        <f t="shared" si="782"/>
        <v/>
      </c>
      <c r="BD1169" s="164" t="str">
        <f>IF(AND($C1168=12,$D1168=Input!$C$6),0,IF($E1169="","",AT1169+(AU1169+BD1170)/(1+$AK1169)*MIN((1-AM1169-AN1169),1)))</f>
        <v/>
      </c>
      <c r="BH1169" s="152"/>
      <c r="BI1169" s="162" t="str">
        <f t="shared" si="748"/>
        <v/>
      </c>
      <c r="BJ1169" s="150" t="str">
        <f t="shared" si="749"/>
        <v/>
      </c>
      <c r="BK1169" s="163" t="str">
        <f t="shared" si="787"/>
        <v/>
      </c>
      <c r="BL1169" s="163" t="str">
        <f t="shared" si="750"/>
        <v/>
      </c>
      <c r="BM1169" s="163" t="str">
        <f t="shared" si="788"/>
        <v/>
      </c>
      <c r="BN1169" s="163" t="str">
        <f t="shared" si="751"/>
        <v/>
      </c>
      <c r="BO1169" s="163" t="str">
        <f t="shared" si="752"/>
        <v/>
      </c>
      <c r="BP1169" s="150" t="str">
        <f t="shared" si="789"/>
        <v/>
      </c>
      <c r="BQ1169" s="150" t="str">
        <f t="shared" si="783"/>
        <v/>
      </c>
      <c r="BR1169" s="154" t="str">
        <f t="shared" si="753"/>
        <v/>
      </c>
      <c r="BT1169" s="147"/>
    </row>
    <row r="1170" spans="1:72" s="150" customFormat="1" x14ac:dyDescent="0.25">
      <c r="A1170" s="150" t="str">
        <f t="shared" si="784"/>
        <v/>
      </c>
      <c r="B1170" s="150" t="str">
        <f t="shared" si="785"/>
        <v/>
      </c>
      <c r="C1170" s="150" t="str">
        <f t="shared" si="786"/>
        <v/>
      </c>
      <c r="D1170" s="150" t="str">
        <f>IF(E1170="","",Input!$C$4+B1170-1)</f>
        <v/>
      </c>
      <c r="E1170" s="150" t="str">
        <f>IF(OR(AND(C1169=12,D1169=Input!$C$6),E1169=""),"",1)</f>
        <v/>
      </c>
      <c r="G1170" s="151" t="str">
        <f>IF(E1170="","",MAX(0,Input!$C$9-B1170))</f>
        <v/>
      </c>
      <c r="H1170" s="152" t="str">
        <f>IF(E1170="","",Input!$C$3)</f>
        <v/>
      </c>
      <c r="I1170" s="153" t="str">
        <f>IF(E1170="","",HLOOKUP($B1170,Input!$C$13:$BT$14,2))</f>
        <v/>
      </c>
      <c r="J1170" s="154"/>
      <c r="K1170" s="150" t="str">
        <f>IF($E1170="","",INDEX(Input!$C$16:$CP$16,1,$B1170))</f>
        <v/>
      </c>
      <c r="L1170" s="150" t="str">
        <f>IF($E1170="","",Input!$C$37)</f>
        <v/>
      </c>
      <c r="M1170" s="150" t="str">
        <f t="shared" si="772"/>
        <v/>
      </c>
      <c r="N1170" s="150" t="str">
        <f t="shared" si="773"/>
        <v/>
      </c>
      <c r="O1170" s="147" t="str">
        <f>IF($E1170="","",MIN(VLOOKUP(IF($B1170&lt;=Input!$C$7,$B1170,26),'Mortality Tables'!$A$41:$CW$67,IF($B1170&lt;=Input!$C$7+1,Input!$C$4+2,$D1170-Input!$C$7+2),0)*IF(B1170&gt;20,Input!$C$22,1)/1000,1))</f>
        <v/>
      </c>
      <c r="P1170" s="147" t="str">
        <f>IF($E1170="","",MIN(VLOOKUP(IF($B1170&lt;=Input!$C$7,$B1170,26),'Mortality Tables'!$A$12:$CW$37,IF($B1170&lt;=Input!$C$7+1,Input!$C$4+2,$D1170-Input!$C$7+2),0)*IF(B1170&gt;20,Input!$C$22,1)/1000,1))</f>
        <v/>
      </c>
      <c r="Q1170" s="155" t="str">
        <f>IF($E1170="","",Input!$C$21)</f>
        <v/>
      </c>
      <c r="R1170" s="159" t="str">
        <f>IF($E1170="","",(1-Q1170)^($F1170-Input!$C$20))</f>
        <v/>
      </c>
      <c r="S1170" s="147" t="str">
        <f t="shared" si="761"/>
        <v/>
      </c>
      <c r="T1170" s="147" t="str">
        <f t="shared" si="762"/>
        <v/>
      </c>
      <c r="U1170" s="160" t="str">
        <f>IF($E1170="","",IF($C1170=12,INDEX(Input!$C$15:$CP$15,1,$B1170),0))</f>
        <v/>
      </c>
      <c r="V1170" s="150" t="str">
        <f>IF(E1170="","",IF(C1170=1,IF($B1170=1,Input!$C$33,Input!$C$34),0))</f>
        <v/>
      </c>
      <c r="W1170" s="156" t="str">
        <f>IF($E1170="","",Input!$C$35)</f>
        <v/>
      </c>
      <c r="X1170" s="156" t="str">
        <f t="shared" si="763"/>
        <v/>
      </c>
      <c r="Y1170" s="154"/>
      <c r="Z1170" s="147" t="str">
        <f>IF($E1170="","",VLOOKUP($D1170,'Mortality Margins &amp; Grading'!$AB$5:$AF$125,3,0)*IF(Summary!$D$25="Included Margin",IF(AND($B1170&gt;Input!$C$9,Summary!$D$31&lt;&gt;"Included Margin"),0,1),0))</f>
        <v/>
      </c>
      <c r="AA1170" s="147" t="str">
        <f>IF($E1170="","",VLOOKUP($D1170,'Mortality Margins &amp; Grading'!$AB$5:$AF$125,5,0)*IF(Summary!$D$25="Included Margin",IF(AND($B1170&gt;Input!$C$9,Summary!$D$31&lt;&gt;"Included Margin"),0,1),0))</f>
        <v/>
      </c>
      <c r="AB1170" s="147" t="str">
        <f>IF($E1170="","",IF(AND($B1170&gt;Input!$C$9,Summary!$D$31&lt;&gt;"Included Margin"),1,IF(Summary!$D$25="Included Margin",VLOOKUP($B1170,'Mortality Margins &amp; Grading'!$AI$5:$AR$125,MATCH('Mortality Margins &amp; Grading'!$AQ$4,'Mortality Margins &amp; Grading'!$AI$4:$AR$4,0),0),1)))</f>
        <v/>
      </c>
      <c r="AC1170" s="154"/>
      <c r="AD1170" s="158" t="str">
        <f>IF(E1170="","",Input!$C$48*IF(Summary!$D$30="Included Margin",IF(AND($B1170&gt;Input!$C$9,Summary!$D$31&lt;&gt;"Included Margin"),0,1),0))</f>
        <v/>
      </c>
      <c r="AE1170" s="159" t="str">
        <f>IF(E1170="","",IF(Summary!$D$26="Included Margin",IF(AND($B1170&gt;Input!$C$9,Summary!$D$31&lt;&gt;"Included Margin"),1,1/$R1170),1))</f>
        <v/>
      </c>
      <c r="AF1170" s="160" t="str">
        <f>IF(E1170="","",IF(AND($B1170&gt;=Input!$C$9,$C1170=12,Summary!$D$31="Included Margin",$U1170&gt;0),1/U1170-1,IF($B1170&gt;=Input!$C$9,0,Input!$C$45*IF(Summary!$D$27="Included Margin",1,0))))</f>
        <v/>
      </c>
      <c r="AG1170" s="160" t="str">
        <f>IF(E1170="","",Input!$C$46*IF(Summary!$D$28="Included Margin",IF(AND($B1170&gt;Input!$C$9,Summary!$D$31&lt;&gt;"Included Margin"),0,1),0))</f>
        <v/>
      </c>
      <c r="AH1170" s="158" t="str">
        <f>IF(E1170="","",Input!$C$47*IF(Summary!$D$29="Included Margin",IF(AND($B1170&gt;Input!$C$9,Summary!$D$31&lt;&gt;"Included Margin"),0,1),0))</f>
        <v/>
      </c>
      <c r="AI1170" s="154"/>
      <c r="AJ1170" s="158" t="str">
        <f t="shared" si="774"/>
        <v/>
      </c>
      <c r="AK1170" s="150" t="str">
        <f t="shared" si="775"/>
        <v/>
      </c>
      <c r="AL1170" s="147" t="str">
        <f t="shared" si="776"/>
        <v/>
      </c>
      <c r="AM1170" s="147" t="str">
        <f t="shared" si="764"/>
        <v/>
      </c>
      <c r="AN1170" s="160" t="str">
        <f t="shared" si="777"/>
        <v/>
      </c>
      <c r="AO1170" s="161" t="str">
        <f t="shared" si="778"/>
        <v/>
      </c>
      <c r="AP1170" s="156" t="str">
        <f t="shared" si="765"/>
        <v/>
      </c>
      <c r="AQ1170" s="152"/>
      <c r="AR1170" s="162" t="str">
        <f t="shared" si="766"/>
        <v/>
      </c>
      <c r="AS1170" s="150" t="str">
        <f t="shared" si="779"/>
        <v/>
      </c>
      <c r="AT1170" s="163" t="str">
        <f t="shared" si="767"/>
        <v/>
      </c>
      <c r="AU1170" s="163" t="str">
        <f t="shared" si="768"/>
        <v/>
      </c>
      <c r="AV1170" s="163" t="str">
        <f t="shared" si="780"/>
        <v/>
      </c>
      <c r="AW1170" s="163" t="str">
        <f t="shared" si="769"/>
        <v/>
      </c>
      <c r="AX1170" s="163" t="str">
        <f t="shared" si="770"/>
        <v/>
      </c>
      <c r="AY1170" s="150" t="str">
        <f t="shared" si="781"/>
        <v/>
      </c>
      <c r="AZ1170" s="150" t="str">
        <f>IF($E1170="","",IF(OR(AND($D1170=Input!$C$6,$C1170=12),$AN1170=1),0,-AS1171+AT1171+AU1171-AV1171-AW1171-AX1171+AZ1171))</f>
        <v/>
      </c>
      <c r="BA1170" s="154" t="str">
        <f t="shared" si="771"/>
        <v/>
      </c>
      <c r="BC1170" s="147" t="str">
        <f t="shared" si="782"/>
        <v/>
      </c>
      <c r="BD1170" s="164" t="str">
        <f>IF(AND($C1169=12,$D1169=Input!$C$6),0,IF($E1170="","",AT1170+(AU1170+BD1171)/(1+$AK1170)*MIN((1-AM1170-AN1170),1)))</f>
        <v/>
      </c>
      <c r="BH1170" s="152"/>
      <c r="BI1170" s="162" t="str">
        <f t="shared" si="748"/>
        <v/>
      </c>
      <c r="BJ1170" s="150" t="str">
        <f t="shared" si="749"/>
        <v/>
      </c>
      <c r="BK1170" s="163" t="str">
        <f t="shared" si="787"/>
        <v/>
      </c>
      <c r="BL1170" s="163" t="str">
        <f t="shared" si="750"/>
        <v/>
      </c>
      <c r="BM1170" s="163" t="str">
        <f t="shared" si="788"/>
        <v/>
      </c>
      <c r="BN1170" s="163" t="str">
        <f t="shared" si="751"/>
        <v/>
      </c>
      <c r="BO1170" s="163" t="str">
        <f t="shared" si="752"/>
        <v/>
      </c>
      <c r="BP1170" s="150" t="str">
        <f t="shared" si="789"/>
        <v/>
      </c>
      <c r="BQ1170" s="150" t="str">
        <f t="shared" si="783"/>
        <v/>
      </c>
      <c r="BR1170" s="154" t="str">
        <f t="shared" si="753"/>
        <v/>
      </c>
      <c r="BT1170" s="147"/>
    </row>
    <row r="1171" spans="1:72" s="150" customFormat="1" x14ac:dyDescent="0.25">
      <c r="A1171" s="150" t="str">
        <f t="shared" si="784"/>
        <v/>
      </c>
      <c r="B1171" s="150" t="str">
        <f t="shared" si="785"/>
        <v/>
      </c>
      <c r="C1171" s="150" t="str">
        <f t="shared" si="786"/>
        <v/>
      </c>
      <c r="D1171" s="150" t="str">
        <f>IF(E1171="","",Input!$C$4+B1171-1)</f>
        <v/>
      </c>
      <c r="E1171" s="150" t="str">
        <f>IF(OR(AND(C1170=12,D1170=Input!$C$6),E1170=""),"",1)</f>
        <v/>
      </c>
      <c r="G1171" s="151" t="str">
        <f>IF(E1171="","",MAX(0,Input!$C$9-B1171))</f>
        <v/>
      </c>
      <c r="H1171" s="152" t="str">
        <f>IF(E1171="","",Input!$C$3)</f>
        <v/>
      </c>
      <c r="I1171" s="153" t="str">
        <f>IF(E1171="","",HLOOKUP($B1171,Input!$C$13:$BT$14,2))</f>
        <v/>
      </c>
      <c r="J1171" s="154"/>
      <c r="K1171" s="150" t="str">
        <f>IF($E1171="","",INDEX(Input!$C$16:$CP$16,1,$B1171))</f>
        <v/>
      </c>
      <c r="L1171" s="150" t="str">
        <f>IF($E1171="","",Input!$C$37)</f>
        <v/>
      </c>
      <c r="M1171" s="150" t="str">
        <f t="shared" si="772"/>
        <v/>
      </c>
      <c r="N1171" s="150" t="str">
        <f t="shared" si="773"/>
        <v/>
      </c>
      <c r="O1171" s="147" t="str">
        <f>IF($E1171="","",MIN(VLOOKUP(IF($B1171&lt;=Input!$C$7,$B1171,26),'Mortality Tables'!$A$41:$CW$67,IF($B1171&lt;=Input!$C$7+1,Input!$C$4+2,$D1171-Input!$C$7+2),0)*IF(B1171&gt;20,Input!$C$22,1)/1000,1))</f>
        <v/>
      </c>
      <c r="P1171" s="147" t="str">
        <f>IF($E1171="","",MIN(VLOOKUP(IF($B1171&lt;=Input!$C$7,$B1171,26),'Mortality Tables'!$A$12:$CW$37,IF($B1171&lt;=Input!$C$7+1,Input!$C$4+2,$D1171-Input!$C$7+2),0)*IF(B1171&gt;20,Input!$C$22,1)/1000,1))</f>
        <v/>
      </c>
      <c r="Q1171" s="155" t="str">
        <f>IF($E1171="","",Input!$C$21)</f>
        <v/>
      </c>
      <c r="R1171" s="159" t="str">
        <f>IF($E1171="","",(1-Q1171)^($F1171-Input!$C$20))</f>
        <v/>
      </c>
      <c r="S1171" s="147" t="str">
        <f t="shared" si="761"/>
        <v/>
      </c>
      <c r="T1171" s="147" t="str">
        <f t="shared" si="762"/>
        <v/>
      </c>
      <c r="U1171" s="160" t="str">
        <f>IF($E1171="","",IF($C1171=12,INDEX(Input!$C$15:$CP$15,1,$B1171),0))</f>
        <v/>
      </c>
      <c r="V1171" s="150" t="str">
        <f>IF(E1171="","",IF(C1171=1,IF($B1171=1,Input!$C$33,Input!$C$34),0))</f>
        <v/>
      </c>
      <c r="W1171" s="156" t="str">
        <f>IF($E1171="","",Input!$C$35)</f>
        <v/>
      </c>
      <c r="X1171" s="156" t="str">
        <f t="shared" si="763"/>
        <v/>
      </c>
      <c r="Y1171" s="154"/>
      <c r="Z1171" s="147" t="str">
        <f>IF($E1171="","",VLOOKUP($D1171,'Mortality Margins &amp; Grading'!$AB$5:$AF$125,3,0)*IF(Summary!$D$25="Included Margin",IF(AND($B1171&gt;Input!$C$9,Summary!$D$31&lt;&gt;"Included Margin"),0,1),0))</f>
        <v/>
      </c>
      <c r="AA1171" s="147" t="str">
        <f>IF($E1171="","",VLOOKUP($D1171,'Mortality Margins &amp; Grading'!$AB$5:$AF$125,5,0)*IF(Summary!$D$25="Included Margin",IF(AND($B1171&gt;Input!$C$9,Summary!$D$31&lt;&gt;"Included Margin"),0,1),0))</f>
        <v/>
      </c>
      <c r="AB1171" s="147" t="str">
        <f>IF($E1171="","",IF(AND($B1171&gt;Input!$C$9,Summary!$D$31&lt;&gt;"Included Margin"),1,IF(Summary!$D$25="Included Margin",VLOOKUP($B1171,'Mortality Margins &amp; Grading'!$AI$5:$AR$125,MATCH('Mortality Margins &amp; Grading'!$AQ$4,'Mortality Margins &amp; Grading'!$AI$4:$AR$4,0),0),1)))</f>
        <v/>
      </c>
      <c r="AC1171" s="154"/>
      <c r="AD1171" s="158" t="str">
        <f>IF(E1171="","",Input!$C$48*IF(Summary!$D$30="Included Margin",IF(AND($B1171&gt;Input!$C$9,Summary!$D$31&lt;&gt;"Included Margin"),0,1),0))</f>
        <v/>
      </c>
      <c r="AE1171" s="159" t="str">
        <f>IF(E1171="","",IF(Summary!$D$26="Included Margin",IF(AND($B1171&gt;Input!$C$9,Summary!$D$31&lt;&gt;"Included Margin"),1,1/$R1171),1))</f>
        <v/>
      </c>
      <c r="AF1171" s="160" t="str">
        <f>IF(E1171="","",IF(AND($B1171&gt;=Input!$C$9,$C1171=12,Summary!$D$31="Included Margin",$U1171&gt;0),1/U1171-1,IF($B1171&gt;=Input!$C$9,0,Input!$C$45*IF(Summary!$D$27="Included Margin",1,0))))</f>
        <v/>
      </c>
      <c r="AG1171" s="160" t="str">
        <f>IF(E1171="","",Input!$C$46*IF(Summary!$D$28="Included Margin",IF(AND($B1171&gt;Input!$C$9,Summary!$D$31&lt;&gt;"Included Margin"),0,1),0))</f>
        <v/>
      </c>
      <c r="AH1171" s="158" t="str">
        <f>IF(E1171="","",Input!$C$47*IF(Summary!$D$29="Included Margin",IF(AND($B1171&gt;Input!$C$9,Summary!$D$31&lt;&gt;"Included Margin"),0,1),0))</f>
        <v/>
      </c>
      <c r="AI1171" s="154"/>
      <c r="AJ1171" s="158" t="str">
        <f t="shared" si="774"/>
        <v/>
      </c>
      <c r="AK1171" s="150" t="str">
        <f t="shared" si="775"/>
        <v/>
      </c>
      <c r="AL1171" s="147" t="str">
        <f t="shared" si="776"/>
        <v/>
      </c>
      <c r="AM1171" s="147" t="str">
        <f t="shared" si="764"/>
        <v/>
      </c>
      <c r="AN1171" s="160" t="str">
        <f t="shared" si="777"/>
        <v/>
      </c>
      <c r="AO1171" s="161" t="str">
        <f t="shared" si="778"/>
        <v/>
      </c>
      <c r="AP1171" s="156" t="str">
        <f t="shared" si="765"/>
        <v/>
      </c>
      <c r="AQ1171" s="152"/>
      <c r="AR1171" s="162" t="str">
        <f t="shared" si="766"/>
        <v/>
      </c>
      <c r="AS1171" s="150" t="str">
        <f t="shared" si="779"/>
        <v/>
      </c>
      <c r="AT1171" s="163" t="str">
        <f t="shared" si="767"/>
        <v/>
      </c>
      <c r="AU1171" s="163" t="str">
        <f t="shared" si="768"/>
        <v/>
      </c>
      <c r="AV1171" s="163" t="str">
        <f t="shared" si="780"/>
        <v/>
      </c>
      <c r="AW1171" s="163" t="str">
        <f t="shared" si="769"/>
        <v/>
      </c>
      <c r="AX1171" s="163" t="str">
        <f t="shared" si="770"/>
        <v/>
      </c>
      <c r="AY1171" s="150" t="str">
        <f t="shared" si="781"/>
        <v/>
      </c>
      <c r="AZ1171" s="150" t="str">
        <f>IF($E1171="","",IF(OR(AND($D1171=Input!$C$6,$C1171=12),$AN1171=1),0,-AS1172+AT1172+AU1172-AV1172-AW1172-AX1172+AZ1172))</f>
        <v/>
      </c>
      <c r="BA1171" s="154" t="str">
        <f t="shared" si="771"/>
        <v/>
      </c>
      <c r="BC1171" s="147" t="str">
        <f t="shared" si="782"/>
        <v/>
      </c>
      <c r="BD1171" s="164" t="str">
        <f>IF(AND($C1170=12,$D1170=Input!$C$6),0,IF($E1171="","",AT1171+(AU1171+BD1172)/(1+$AK1171)*MIN((1-AM1171-AN1171),1)))</f>
        <v/>
      </c>
      <c r="BH1171" s="152"/>
      <c r="BI1171" s="162" t="str">
        <f t="shared" si="748"/>
        <v/>
      </c>
      <c r="BJ1171" s="150" t="str">
        <f t="shared" si="749"/>
        <v/>
      </c>
      <c r="BK1171" s="163" t="str">
        <f t="shared" si="787"/>
        <v/>
      </c>
      <c r="BL1171" s="163" t="str">
        <f t="shared" si="750"/>
        <v/>
      </c>
      <c r="BM1171" s="163" t="str">
        <f t="shared" si="788"/>
        <v/>
      </c>
      <c r="BN1171" s="163" t="str">
        <f t="shared" si="751"/>
        <v/>
      </c>
      <c r="BO1171" s="163" t="str">
        <f t="shared" si="752"/>
        <v/>
      </c>
      <c r="BP1171" s="150" t="str">
        <f t="shared" si="789"/>
        <v/>
      </c>
      <c r="BQ1171" s="150" t="str">
        <f t="shared" si="783"/>
        <v/>
      </c>
      <c r="BR1171" s="154" t="str">
        <f t="shared" si="753"/>
        <v/>
      </c>
      <c r="BT1171" s="147"/>
    </row>
    <row r="1172" spans="1:72" s="150" customFormat="1" x14ac:dyDescent="0.25">
      <c r="A1172" s="150" t="str">
        <f t="shared" si="784"/>
        <v/>
      </c>
      <c r="B1172" s="150" t="str">
        <f t="shared" si="785"/>
        <v/>
      </c>
      <c r="C1172" s="150" t="str">
        <f t="shared" si="786"/>
        <v/>
      </c>
      <c r="D1172" s="150" t="str">
        <f>IF(E1172="","",Input!$C$4+B1172-1)</f>
        <v/>
      </c>
      <c r="E1172" s="150" t="str">
        <f>IF(OR(AND(C1171=12,D1171=Input!$C$6),E1171=""),"",1)</f>
        <v/>
      </c>
      <c r="G1172" s="151" t="str">
        <f>IF(E1172="","",MAX(0,Input!$C$9-B1172))</f>
        <v/>
      </c>
      <c r="H1172" s="152" t="str">
        <f>IF(E1172="","",Input!$C$3)</f>
        <v/>
      </c>
      <c r="I1172" s="153" t="str">
        <f>IF(E1172="","",HLOOKUP($B1172,Input!$C$13:$BT$14,2))</f>
        <v/>
      </c>
      <c r="J1172" s="154"/>
      <c r="K1172" s="150" t="str">
        <f>IF($E1172="","",INDEX(Input!$C$16:$CP$16,1,$B1172))</f>
        <v/>
      </c>
      <c r="L1172" s="150" t="str">
        <f>IF($E1172="","",Input!$C$37)</f>
        <v/>
      </c>
      <c r="M1172" s="150" t="str">
        <f t="shared" si="772"/>
        <v/>
      </c>
      <c r="N1172" s="150" t="str">
        <f t="shared" si="773"/>
        <v/>
      </c>
      <c r="O1172" s="147" t="str">
        <f>IF($E1172="","",MIN(VLOOKUP(IF($B1172&lt;=Input!$C$7,$B1172,26),'Mortality Tables'!$A$41:$CW$67,IF($B1172&lt;=Input!$C$7+1,Input!$C$4+2,$D1172-Input!$C$7+2),0)*IF(B1172&gt;20,Input!$C$22,1)/1000,1))</f>
        <v/>
      </c>
      <c r="P1172" s="147" t="str">
        <f>IF($E1172="","",MIN(VLOOKUP(IF($B1172&lt;=Input!$C$7,$B1172,26),'Mortality Tables'!$A$12:$CW$37,IF($B1172&lt;=Input!$C$7+1,Input!$C$4+2,$D1172-Input!$C$7+2),0)*IF(B1172&gt;20,Input!$C$22,1)/1000,1))</f>
        <v/>
      </c>
      <c r="Q1172" s="155" t="str">
        <f>IF($E1172="","",Input!$C$21)</f>
        <v/>
      </c>
      <c r="R1172" s="159" t="str">
        <f>IF($E1172="","",(1-Q1172)^($F1172-Input!$C$20))</f>
        <v/>
      </c>
      <c r="S1172" s="147" t="str">
        <f t="shared" si="761"/>
        <v/>
      </c>
      <c r="T1172" s="147" t="str">
        <f t="shared" si="762"/>
        <v/>
      </c>
      <c r="U1172" s="160" t="str">
        <f>IF($E1172="","",IF($C1172=12,INDEX(Input!$C$15:$CP$15,1,$B1172),0))</f>
        <v/>
      </c>
      <c r="V1172" s="150" t="str">
        <f>IF(E1172="","",IF(C1172=1,IF($B1172=1,Input!$C$33,Input!$C$34),0))</f>
        <v/>
      </c>
      <c r="W1172" s="156" t="str">
        <f>IF($E1172="","",Input!$C$35)</f>
        <v/>
      </c>
      <c r="X1172" s="156" t="str">
        <f t="shared" si="763"/>
        <v/>
      </c>
      <c r="Y1172" s="154"/>
      <c r="Z1172" s="147" t="str">
        <f>IF($E1172="","",VLOOKUP($D1172,'Mortality Margins &amp; Grading'!$AB$5:$AF$125,3,0)*IF(Summary!$D$25="Included Margin",IF(AND($B1172&gt;Input!$C$9,Summary!$D$31&lt;&gt;"Included Margin"),0,1),0))</f>
        <v/>
      </c>
      <c r="AA1172" s="147" t="str">
        <f>IF($E1172="","",VLOOKUP($D1172,'Mortality Margins &amp; Grading'!$AB$5:$AF$125,5,0)*IF(Summary!$D$25="Included Margin",IF(AND($B1172&gt;Input!$C$9,Summary!$D$31&lt;&gt;"Included Margin"),0,1),0))</f>
        <v/>
      </c>
      <c r="AB1172" s="147" t="str">
        <f>IF($E1172="","",IF(AND($B1172&gt;Input!$C$9,Summary!$D$31&lt;&gt;"Included Margin"),1,IF(Summary!$D$25="Included Margin",VLOOKUP($B1172,'Mortality Margins &amp; Grading'!$AI$5:$AR$125,MATCH('Mortality Margins &amp; Grading'!$AQ$4,'Mortality Margins &amp; Grading'!$AI$4:$AR$4,0),0),1)))</f>
        <v/>
      </c>
      <c r="AC1172" s="154"/>
      <c r="AD1172" s="158" t="str">
        <f>IF(E1172="","",Input!$C$48*IF(Summary!$D$30="Included Margin",IF(AND($B1172&gt;Input!$C$9,Summary!$D$31&lt;&gt;"Included Margin"),0,1),0))</f>
        <v/>
      </c>
      <c r="AE1172" s="159" t="str">
        <f>IF(E1172="","",IF(Summary!$D$26="Included Margin",IF(AND($B1172&gt;Input!$C$9,Summary!$D$31&lt;&gt;"Included Margin"),1,1/$R1172),1))</f>
        <v/>
      </c>
      <c r="AF1172" s="160" t="str">
        <f>IF(E1172="","",IF(AND($B1172&gt;=Input!$C$9,$C1172=12,Summary!$D$31="Included Margin",$U1172&gt;0),1/U1172-1,IF($B1172&gt;=Input!$C$9,0,Input!$C$45*IF(Summary!$D$27="Included Margin",1,0))))</f>
        <v/>
      </c>
      <c r="AG1172" s="160" t="str">
        <f>IF(E1172="","",Input!$C$46*IF(Summary!$D$28="Included Margin",IF(AND($B1172&gt;Input!$C$9,Summary!$D$31&lt;&gt;"Included Margin"),0,1),0))</f>
        <v/>
      </c>
      <c r="AH1172" s="158" t="str">
        <f>IF(E1172="","",Input!$C$47*IF(Summary!$D$29="Included Margin",IF(AND($B1172&gt;Input!$C$9,Summary!$D$31&lt;&gt;"Included Margin"),0,1),0))</f>
        <v/>
      </c>
      <c r="AI1172" s="154"/>
      <c r="AJ1172" s="158" t="str">
        <f t="shared" si="774"/>
        <v/>
      </c>
      <c r="AK1172" s="150" t="str">
        <f t="shared" si="775"/>
        <v/>
      </c>
      <c r="AL1172" s="147" t="str">
        <f t="shared" si="776"/>
        <v/>
      </c>
      <c r="AM1172" s="147" t="str">
        <f t="shared" si="764"/>
        <v/>
      </c>
      <c r="AN1172" s="160" t="str">
        <f t="shared" si="777"/>
        <v/>
      </c>
      <c r="AO1172" s="161" t="str">
        <f t="shared" si="778"/>
        <v/>
      </c>
      <c r="AP1172" s="156" t="str">
        <f t="shared" si="765"/>
        <v/>
      </c>
      <c r="AQ1172" s="152"/>
      <c r="AR1172" s="162" t="str">
        <f t="shared" si="766"/>
        <v/>
      </c>
      <c r="AS1172" s="150" t="str">
        <f t="shared" si="779"/>
        <v/>
      </c>
      <c r="AT1172" s="163" t="str">
        <f t="shared" si="767"/>
        <v/>
      </c>
      <c r="AU1172" s="163" t="str">
        <f t="shared" si="768"/>
        <v/>
      </c>
      <c r="AV1172" s="163" t="str">
        <f t="shared" si="780"/>
        <v/>
      </c>
      <c r="AW1172" s="163" t="str">
        <f t="shared" si="769"/>
        <v/>
      </c>
      <c r="AX1172" s="163" t="str">
        <f t="shared" si="770"/>
        <v/>
      </c>
      <c r="AY1172" s="150" t="str">
        <f t="shared" si="781"/>
        <v/>
      </c>
      <c r="AZ1172" s="150" t="str">
        <f>IF($E1172="","",IF(OR(AND($D1172=Input!$C$6,$C1172=12),$AN1172=1),0,-AS1173+AT1173+AU1173-AV1173-AW1173-AX1173+AZ1173))</f>
        <v/>
      </c>
      <c r="BA1172" s="154" t="str">
        <f t="shared" si="771"/>
        <v/>
      </c>
      <c r="BC1172" s="147" t="str">
        <f t="shared" si="782"/>
        <v/>
      </c>
      <c r="BD1172" s="164" t="str">
        <f>IF(AND($C1171=12,$D1171=Input!$C$6),0,IF($E1172="","",AT1172+(AU1172+BD1173)/(1+$AK1172)*MIN((1-AM1172-AN1172),1)))</f>
        <v/>
      </c>
      <c r="BH1172" s="152"/>
      <c r="BI1172" s="162" t="str">
        <f t="shared" si="748"/>
        <v/>
      </c>
      <c r="BJ1172" s="150" t="str">
        <f t="shared" si="749"/>
        <v/>
      </c>
      <c r="BK1172" s="163" t="str">
        <f t="shared" si="787"/>
        <v/>
      </c>
      <c r="BL1172" s="163" t="str">
        <f t="shared" si="750"/>
        <v/>
      </c>
      <c r="BM1172" s="163" t="str">
        <f t="shared" si="788"/>
        <v/>
      </c>
      <c r="BN1172" s="163" t="str">
        <f t="shared" si="751"/>
        <v/>
      </c>
      <c r="BO1172" s="163" t="str">
        <f t="shared" si="752"/>
        <v/>
      </c>
      <c r="BP1172" s="150" t="str">
        <f t="shared" si="789"/>
        <v/>
      </c>
      <c r="BQ1172" s="150" t="str">
        <f t="shared" si="783"/>
        <v/>
      </c>
      <c r="BR1172" s="154" t="str">
        <f t="shared" si="753"/>
        <v/>
      </c>
      <c r="BT1172" s="147"/>
    </row>
    <row r="1173" spans="1:72" s="150" customFormat="1" x14ac:dyDescent="0.25">
      <c r="A1173" s="150" t="str">
        <f t="shared" si="784"/>
        <v/>
      </c>
      <c r="B1173" s="150" t="str">
        <f t="shared" si="785"/>
        <v/>
      </c>
      <c r="C1173" s="150" t="str">
        <f t="shared" si="786"/>
        <v/>
      </c>
      <c r="D1173" s="150" t="str">
        <f>IF(E1173="","",Input!$C$4+B1173-1)</f>
        <v/>
      </c>
      <c r="E1173" s="150" t="str">
        <f>IF(OR(AND(C1172=12,D1172=Input!$C$6),E1172=""),"",1)</f>
        <v/>
      </c>
      <c r="G1173" s="151" t="str">
        <f>IF(E1173="","",MAX(0,Input!$C$9-B1173))</f>
        <v/>
      </c>
      <c r="H1173" s="152" t="str">
        <f>IF(E1173="","",Input!$C$3)</f>
        <v/>
      </c>
      <c r="I1173" s="153" t="str">
        <f>IF(E1173="","",HLOOKUP($B1173,Input!$C$13:$BT$14,2))</f>
        <v/>
      </c>
      <c r="J1173" s="154"/>
      <c r="K1173" s="150" t="str">
        <f>IF($E1173="","",INDEX(Input!$C$16:$CP$16,1,$B1173))</f>
        <v/>
      </c>
      <c r="L1173" s="150" t="str">
        <f>IF($E1173="","",Input!$C$37)</f>
        <v/>
      </c>
      <c r="M1173" s="150" t="str">
        <f t="shared" si="772"/>
        <v/>
      </c>
      <c r="N1173" s="150" t="str">
        <f t="shared" si="773"/>
        <v/>
      </c>
      <c r="O1173" s="147" t="str">
        <f>IF($E1173="","",MIN(VLOOKUP(IF($B1173&lt;=Input!$C$7,$B1173,26),'Mortality Tables'!$A$41:$CW$67,IF($B1173&lt;=Input!$C$7+1,Input!$C$4+2,$D1173-Input!$C$7+2),0)*IF(B1173&gt;20,Input!$C$22,1)/1000,1))</f>
        <v/>
      </c>
      <c r="P1173" s="147" t="str">
        <f>IF($E1173="","",MIN(VLOOKUP(IF($B1173&lt;=Input!$C$7,$B1173,26),'Mortality Tables'!$A$12:$CW$37,IF($B1173&lt;=Input!$C$7+1,Input!$C$4+2,$D1173-Input!$C$7+2),0)*IF(B1173&gt;20,Input!$C$22,1)/1000,1))</f>
        <v/>
      </c>
      <c r="Q1173" s="155" t="str">
        <f>IF($E1173="","",Input!$C$21)</f>
        <v/>
      </c>
      <c r="R1173" s="159" t="str">
        <f>IF($E1173="","",(1-Q1173)^($F1173-Input!$C$20))</f>
        <v/>
      </c>
      <c r="S1173" s="147" t="str">
        <f t="shared" si="761"/>
        <v/>
      </c>
      <c r="T1173" s="147" t="str">
        <f t="shared" si="762"/>
        <v/>
      </c>
      <c r="U1173" s="160" t="str">
        <f>IF($E1173="","",IF($C1173=12,INDEX(Input!$C$15:$CP$15,1,$B1173),0))</f>
        <v/>
      </c>
      <c r="V1173" s="150" t="str">
        <f>IF(E1173="","",IF(C1173=1,IF($B1173=1,Input!$C$33,Input!$C$34),0))</f>
        <v/>
      </c>
      <c r="W1173" s="156" t="str">
        <f>IF($E1173="","",Input!$C$35)</f>
        <v/>
      </c>
      <c r="X1173" s="156" t="str">
        <f t="shared" si="763"/>
        <v/>
      </c>
      <c r="Y1173" s="154"/>
      <c r="Z1173" s="147" t="str">
        <f>IF($E1173="","",VLOOKUP($D1173,'Mortality Margins &amp; Grading'!$AB$5:$AF$125,3,0)*IF(Summary!$D$25="Included Margin",IF(AND($B1173&gt;Input!$C$9,Summary!$D$31&lt;&gt;"Included Margin"),0,1),0))</f>
        <v/>
      </c>
      <c r="AA1173" s="147" t="str">
        <f>IF($E1173="","",VLOOKUP($D1173,'Mortality Margins &amp; Grading'!$AB$5:$AF$125,5,0)*IF(Summary!$D$25="Included Margin",IF(AND($B1173&gt;Input!$C$9,Summary!$D$31&lt;&gt;"Included Margin"),0,1),0))</f>
        <v/>
      </c>
      <c r="AB1173" s="147" t="str">
        <f>IF($E1173="","",IF(AND($B1173&gt;Input!$C$9,Summary!$D$31&lt;&gt;"Included Margin"),1,IF(Summary!$D$25="Included Margin",VLOOKUP($B1173,'Mortality Margins &amp; Grading'!$AI$5:$AR$125,MATCH('Mortality Margins &amp; Grading'!$AQ$4,'Mortality Margins &amp; Grading'!$AI$4:$AR$4,0),0),1)))</f>
        <v/>
      </c>
      <c r="AC1173" s="154"/>
      <c r="AD1173" s="158" t="str">
        <f>IF(E1173="","",Input!$C$48*IF(Summary!$D$30="Included Margin",IF(AND($B1173&gt;Input!$C$9,Summary!$D$31&lt;&gt;"Included Margin"),0,1),0))</f>
        <v/>
      </c>
      <c r="AE1173" s="159" t="str">
        <f>IF(E1173="","",IF(Summary!$D$26="Included Margin",IF(AND($B1173&gt;Input!$C$9,Summary!$D$31&lt;&gt;"Included Margin"),1,1/$R1173),1))</f>
        <v/>
      </c>
      <c r="AF1173" s="160" t="str">
        <f>IF(E1173="","",IF(AND($B1173&gt;=Input!$C$9,$C1173=12,Summary!$D$31="Included Margin",$U1173&gt;0),1/U1173-1,IF($B1173&gt;=Input!$C$9,0,Input!$C$45*IF(Summary!$D$27="Included Margin",1,0))))</f>
        <v/>
      </c>
      <c r="AG1173" s="160" t="str">
        <f>IF(E1173="","",Input!$C$46*IF(Summary!$D$28="Included Margin",IF(AND($B1173&gt;Input!$C$9,Summary!$D$31&lt;&gt;"Included Margin"),0,1),0))</f>
        <v/>
      </c>
      <c r="AH1173" s="158" t="str">
        <f>IF(E1173="","",Input!$C$47*IF(Summary!$D$29="Included Margin",IF(AND($B1173&gt;Input!$C$9,Summary!$D$31&lt;&gt;"Included Margin"),0,1),0))</f>
        <v/>
      </c>
      <c r="AI1173" s="154"/>
      <c r="AJ1173" s="158" t="str">
        <f t="shared" si="774"/>
        <v/>
      </c>
      <c r="AK1173" s="150" t="str">
        <f t="shared" si="775"/>
        <v/>
      </c>
      <c r="AL1173" s="147" t="str">
        <f t="shared" si="776"/>
        <v/>
      </c>
      <c r="AM1173" s="147" t="str">
        <f t="shared" si="764"/>
        <v/>
      </c>
      <c r="AN1173" s="160" t="str">
        <f t="shared" si="777"/>
        <v/>
      </c>
      <c r="AO1173" s="161" t="str">
        <f t="shared" si="778"/>
        <v/>
      </c>
      <c r="AP1173" s="156" t="str">
        <f t="shared" si="765"/>
        <v/>
      </c>
      <c r="AQ1173" s="152"/>
      <c r="AR1173" s="162" t="str">
        <f t="shared" si="766"/>
        <v/>
      </c>
      <c r="AS1173" s="150" t="str">
        <f t="shared" si="779"/>
        <v/>
      </c>
      <c r="AT1173" s="163" t="str">
        <f t="shared" si="767"/>
        <v/>
      </c>
      <c r="AU1173" s="163" t="str">
        <f t="shared" si="768"/>
        <v/>
      </c>
      <c r="AV1173" s="163" t="str">
        <f t="shared" si="780"/>
        <v/>
      </c>
      <c r="AW1173" s="163" t="str">
        <f t="shared" si="769"/>
        <v/>
      </c>
      <c r="AX1173" s="163" t="str">
        <f t="shared" si="770"/>
        <v/>
      </c>
      <c r="AY1173" s="150" t="str">
        <f t="shared" si="781"/>
        <v/>
      </c>
      <c r="AZ1173" s="150" t="str">
        <f>IF($E1173="","",IF(OR(AND($D1173=Input!$C$6,$C1173=12),$AN1173=1),0,-AS1174+AT1174+AU1174-AV1174-AW1174-AX1174+AZ1174))</f>
        <v/>
      </c>
      <c r="BA1173" s="154" t="str">
        <f t="shared" si="771"/>
        <v/>
      </c>
      <c r="BC1173" s="147" t="str">
        <f t="shared" si="782"/>
        <v/>
      </c>
      <c r="BD1173" s="164" t="str">
        <f>IF(AND($C1172=12,$D1172=Input!$C$6),0,IF($E1173="","",AT1173+(AU1173+BD1174)/(1+$AK1173)*MIN((1-AM1173-AN1173),1)))</f>
        <v/>
      </c>
      <c r="BH1173" s="152"/>
      <c r="BI1173" s="162" t="str">
        <f t="shared" si="748"/>
        <v/>
      </c>
      <c r="BJ1173" s="150" t="str">
        <f t="shared" si="749"/>
        <v/>
      </c>
      <c r="BK1173" s="163" t="str">
        <f t="shared" si="787"/>
        <v/>
      </c>
      <c r="BL1173" s="163" t="str">
        <f t="shared" si="750"/>
        <v/>
      </c>
      <c r="BM1173" s="163" t="str">
        <f t="shared" si="788"/>
        <v/>
      </c>
      <c r="BN1173" s="163" t="str">
        <f t="shared" si="751"/>
        <v/>
      </c>
      <c r="BO1173" s="163" t="str">
        <f t="shared" si="752"/>
        <v/>
      </c>
      <c r="BP1173" s="150" t="str">
        <f t="shared" si="789"/>
        <v/>
      </c>
      <c r="BQ1173" s="150" t="str">
        <f t="shared" si="783"/>
        <v/>
      </c>
      <c r="BR1173" s="154" t="str">
        <f t="shared" si="753"/>
        <v/>
      </c>
      <c r="BT1173" s="147"/>
    </row>
    <row r="1174" spans="1:72" s="150" customFormat="1" x14ac:dyDescent="0.25">
      <c r="A1174" s="150" t="str">
        <f t="shared" si="784"/>
        <v/>
      </c>
      <c r="B1174" s="150" t="str">
        <f t="shared" si="785"/>
        <v/>
      </c>
      <c r="C1174" s="150" t="str">
        <f t="shared" si="786"/>
        <v/>
      </c>
      <c r="D1174" s="150" t="str">
        <f>IF(E1174="","",Input!$C$4+B1174-1)</f>
        <v/>
      </c>
      <c r="E1174" s="150" t="str">
        <f>IF(OR(AND(C1173=12,D1173=Input!$C$6),E1173=""),"",1)</f>
        <v/>
      </c>
      <c r="G1174" s="151" t="str">
        <f>IF(E1174="","",MAX(0,Input!$C$9-B1174))</f>
        <v/>
      </c>
      <c r="H1174" s="152" t="str">
        <f>IF(E1174="","",Input!$C$3)</f>
        <v/>
      </c>
      <c r="I1174" s="153" t="str">
        <f>IF(E1174="","",HLOOKUP($B1174,Input!$C$13:$BT$14,2))</f>
        <v/>
      </c>
      <c r="J1174" s="154"/>
      <c r="K1174" s="150" t="str">
        <f>IF($E1174="","",INDEX(Input!$C$16:$CP$16,1,$B1174))</f>
        <v/>
      </c>
      <c r="L1174" s="150" t="str">
        <f>IF($E1174="","",Input!$C$37)</f>
        <v/>
      </c>
      <c r="M1174" s="150" t="str">
        <f t="shared" si="772"/>
        <v/>
      </c>
      <c r="N1174" s="150" t="str">
        <f t="shared" si="773"/>
        <v/>
      </c>
      <c r="O1174" s="147" t="str">
        <f>IF($E1174="","",MIN(VLOOKUP(IF($B1174&lt;=Input!$C$7,$B1174,26),'Mortality Tables'!$A$41:$CW$67,IF($B1174&lt;=Input!$C$7+1,Input!$C$4+2,$D1174-Input!$C$7+2),0)*IF(B1174&gt;20,Input!$C$22,1)/1000,1))</f>
        <v/>
      </c>
      <c r="P1174" s="147" t="str">
        <f>IF($E1174="","",MIN(VLOOKUP(IF($B1174&lt;=Input!$C$7,$B1174,26),'Mortality Tables'!$A$12:$CW$37,IF($B1174&lt;=Input!$C$7+1,Input!$C$4+2,$D1174-Input!$C$7+2),0)*IF(B1174&gt;20,Input!$C$22,1)/1000,1))</f>
        <v/>
      </c>
      <c r="Q1174" s="155" t="str">
        <f>IF($E1174="","",Input!$C$21)</f>
        <v/>
      </c>
      <c r="R1174" s="159" t="str">
        <f>IF($E1174="","",(1-Q1174)^($F1174-Input!$C$20))</f>
        <v/>
      </c>
      <c r="S1174" s="147" t="str">
        <f t="shared" si="761"/>
        <v/>
      </c>
      <c r="T1174" s="147" t="str">
        <f t="shared" si="762"/>
        <v/>
      </c>
      <c r="U1174" s="160" t="str">
        <f>IF($E1174="","",IF($C1174=12,INDEX(Input!$C$15:$CP$15,1,$B1174),0))</f>
        <v/>
      </c>
      <c r="V1174" s="150" t="str">
        <f>IF(E1174="","",IF(C1174=1,IF($B1174=1,Input!$C$33,Input!$C$34),0))</f>
        <v/>
      </c>
      <c r="W1174" s="156" t="str">
        <f>IF($E1174="","",Input!$C$35)</f>
        <v/>
      </c>
      <c r="X1174" s="156" t="str">
        <f t="shared" si="763"/>
        <v/>
      </c>
      <c r="Y1174" s="154"/>
      <c r="Z1174" s="147" t="str">
        <f>IF($E1174="","",VLOOKUP($D1174,'Mortality Margins &amp; Grading'!$AB$5:$AF$125,3,0)*IF(Summary!$D$25="Included Margin",IF(AND($B1174&gt;Input!$C$9,Summary!$D$31&lt;&gt;"Included Margin"),0,1),0))</f>
        <v/>
      </c>
      <c r="AA1174" s="147" t="str">
        <f>IF($E1174="","",VLOOKUP($D1174,'Mortality Margins &amp; Grading'!$AB$5:$AF$125,5,0)*IF(Summary!$D$25="Included Margin",IF(AND($B1174&gt;Input!$C$9,Summary!$D$31&lt;&gt;"Included Margin"),0,1),0))</f>
        <v/>
      </c>
      <c r="AB1174" s="147" t="str">
        <f>IF($E1174="","",IF(AND($B1174&gt;Input!$C$9,Summary!$D$31&lt;&gt;"Included Margin"),1,IF(Summary!$D$25="Included Margin",VLOOKUP($B1174,'Mortality Margins &amp; Grading'!$AI$5:$AR$125,MATCH('Mortality Margins &amp; Grading'!$AQ$4,'Mortality Margins &amp; Grading'!$AI$4:$AR$4,0),0),1)))</f>
        <v/>
      </c>
      <c r="AC1174" s="154"/>
      <c r="AD1174" s="158" t="str">
        <f>IF(E1174="","",Input!$C$48*IF(Summary!$D$30="Included Margin",IF(AND($B1174&gt;Input!$C$9,Summary!$D$31&lt;&gt;"Included Margin"),0,1),0))</f>
        <v/>
      </c>
      <c r="AE1174" s="159" t="str">
        <f>IF(E1174="","",IF(Summary!$D$26="Included Margin",IF(AND($B1174&gt;Input!$C$9,Summary!$D$31&lt;&gt;"Included Margin"),1,1/$R1174),1))</f>
        <v/>
      </c>
      <c r="AF1174" s="160" t="str">
        <f>IF(E1174="","",IF(AND($B1174&gt;=Input!$C$9,$C1174=12,Summary!$D$31="Included Margin",$U1174&gt;0),1/U1174-1,IF($B1174&gt;=Input!$C$9,0,Input!$C$45*IF(Summary!$D$27="Included Margin",1,0))))</f>
        <v/>
      </c>
      <c r="AG1174" s="160" t="str">
        <f>IF(E1174="","",Input!$C$46*IF(Summary!$D$28="Included Margin",IF(AND($B1174&gt;Input!$C$9,Summary!$D$31&lt;&gt;"Included Margin"),0,1),0))</f>
        <v/>
      </c>
      <c r="AH1174" s="158" t="str">
        <f>IF(E1174="","",Input!$C$47*IF(Summary!$D$29="Included Margin",IF(AND($B1174&gt;Input!$C$9,Summary!$D$31&lt;&gt;"Included Margin"),0,1),0))</f>
        <v/>
      </c>
      <c r="AI1174" s="154"/>
      <c r="AJ1174" s="158" t="str">
        <f t="shared" si="774"/>
        <v/>
      </c>
      <c r="AK1174" s="150" t="str">
        <f t="shared" si="775"/>
        <v/>
      </c>
      <c r="AL1174" s="147" t="str">
        <f t="shared" si="776"/>
        <v/>
      </c>
      <c r="AM1174" s="147" t="str">
        <f t="shared" si="764"/>
        <v/>
      </c>
      <c r="AN1174" s="160" t="str">
        <f t="shared" si="777"/>
        <v/>
      </c>
      <c r="AO1174" s="161" t="str">
        <f t="shared" si="778"/>
        <v/>
      </c>
      <c r="AP1174" s="156" t="str">
        <f t="shared" si="765"/>
        <v/>
      </c>
      <c r="AQ1174" s="152"/>
      <c r="AR1174" s="162" t="str">
        <f t="shared" si="766"/>
        <v/>
      </c>
      <c r="AS1174" s="150" t="str">
        <f t="shared" si="779"/>
        <v/>
      </c>
      <c r="AT1174" s="163" t="str">
        <f t="shared" si="767"/>
        <v/>
      </c>
      <c r="AU1174" s="163" t="str">
        <f t="shared" si="768"/>
        <v/>
      </c>
      <c r="AV1174" s="163" t="str">
        <f t="shared" si="780"/>
        <v/>
      </c>
      <c r="AW1174" s="163" t="str">
        <f t="shared" si="769"/>
        <v/>
      </c>
      <c r="AX1174" s="163" t="str">
        <f t="shared" si="770"/>
        <v/>
      </c>
      <c r="AY1174" s="150" t="str">
        <f t="shared" si="781"/>
        <v/>
      </c>
      <c r="AZ1174" s="150" t="str">
        <f>IF($E1174="","",IF(OR(AND($D1174=Input!$C$6,$C1174=12),$AN1174=1),0,-AS1175+AT1175+AU1175-AV1175-AW1175-AX1175+AZ1175))</f>
        <v/>
      </c>
      <c r="BA1174" s="154" t="str">
        <f t="shared" si="771"/>
        <v/>
      </c>
      <c r="BC1174" s="147" t="str">
        <f t="shared" si="782"/>
        <v/>
      </c>
      <c r="BD1174" s="164" t="str">
        <f>IF(AND($C1173=12,$D1173=Input!$C$6),0,IF($E1174="","",AT1174+(AU1174+BD1175)/(1+$AK1174)*MIN((1-AM1174-AN1174),1)))</f>
        <v/>
      </c>
      <c r="BH1174" s="152"/>
      <c r="BI1174" s="162" t="str">
        <f t="shared" ref="BI1174:BI1237" si="790">IF($E1174="","",(BQ1174*(1-$U1174)*(1-$T1174)/(1+$N1174)+BL1174/(1+$N1174/2)-BJ1174+BK1174))</f>
        <v/>
      </c>
      <c r="BJ1174" s="150" t="str">
        <f t="shared" ref="BJ1174:BJ1237" si="791">IF($E1174="","",AS1174)</f>
        <v/>
      </c>
      <c r="BK1174" s="163" t="str">
        <f t="shared" si="787"/>
        <v/>
      </c>
      <c r="BL1174" s="163" t="str">
        <f t="shared" ref="BL1174:BL1237" si="792">IF(E1174="","",$T1174*$H1174)</f>
        <v/>
      </c>
      <c r="BM1174" s="163" t="str">
        <f t="shared" si="788"/>
        <v/>
      </c>
      <c r="BN1174" s="163" t="str">
        <f t="shared" ref="BN1174:BN1237" si="793">IF($E1174="","",BQ1174*$T1174)</f>
        <v/>
      </c>
      <c r="BO1174" s="163" t="str">
        <f t="shared" ref="BO1174:BO1237" si="794">IF($E1174="","",$U1174*BQ1174*(1-$T1174))</f>
        <v/>
      </c>
      <c r="BP1174" s="150" t="str">
        <f t="shared" si="789"/>
        <v/>
      </c>
      <c r="BQ1174" s="150" t="str">
        <f t="shared" si="783"/>
        <v/>
      </c>
      <c r="BR1174" s="154" t="str">
        <f t="shared" ref="BR1174:BR1237" si="795">IF(E1174="","",BQ1174-BP1174)</f>
        <v/>
      </c>
      <c r="BT1174" s="147"/>
    </row>
    <row r="1175" spans="1:72" s="150" customFormat="1" x14ac:dyDescent="0.25">
      <c r="A1175" s="150" t="str">
        <f t="shared" si="784"/>
        <v/>
      </c>
      <c r="B1175" s="150" t="str">
        <f t="shared" si="785"/>
        <v/>
      </c>
      <c r="C1175" s="150" t="str">
        <f t="shared" si="786"/>
        <v/>
      </c>
      <c r="D1175" s="150" t="str">
        <f>IF(E1175="","",Input!$C$4+B1175-1)</f>
        <v/>
      </c>
      <c r="E1175" s="150" t="str">
        <f>IF(OR(AND(C1174=12,D1174=Input!$C$6),E1174=""),"",1)</f>
        <v/>
      </c>
      <c r="G1175" s="151" t="str">
        <f>IF(E1175="","",MAX(0,Input!$C$9-B1175))</f>
        <v/>
      </c>
      <c r="H1175" s="152" t="str">
        <f>IF(E1175="","",Input!$C$3)</f>
        <v/>
      </c>
      <c r="I1175" s="153" t="str">
        <f>IF(E1175="","",HLOOKUP($B1175,Input!$C$13:$BT$14,2))</f>
        <v/>
      </c>
      <c r="J1175" s="154"/>
      <c r="K1175" s="150" t="str">
        <f>IF($E1175="","",INDEX(Input!$C$16:$CP$16,1,$B1175))</f>
        <v/>
      </c>
      <c r="L1175" s="150" t="str">
        <f>IF($E1175="","",Input!$C$37)</f>
        <v/>
      </c>
      <c r="M1175" s="150" t="str">
        <f t="shared" si="772"/>
        <v/>
      </c>
      <c r="N1175" s="150" t="str">
        <f t="shared" si="773"/>
        <v/>
      </c>
      <c r="O1175" s="147" t="str">
        <f>IF($E1175="","",MIN(VLOOKUP(IF($B1175&lt;=Input!$C$7,$B1175,26),'Mortality Tables'!$A$41:$CW$67,IF($B1175&lt;=Input!$C$7+1,Input!$C$4+2,$D1175-Input!$C$7+2),0)*IF(B1175&gt;20,Input!$C$22,1)/1000,1))</f>
        <v/>
      </c>
      <c r="P1175" s="147" t="str">
        <f>IF($E1175="","",MIN(VLOOKUP(IF($B1175&lt;=Input!$C$7,$B1175,26),'Mortality Tables'!$A$12:$CW$37,IF($B1175&lt;=Input!$C$7+1,Input!$C$4+2,$D1175-Input!$C$7+2),0)*IF(B1175&gt;20,Input!$C$22,1)/1000,1))</f>
        <v/>
      </c>
      <c r="Q1175" s="155" t="str">
        <f>IF($E1175="","",Input!$C$21)</f>
        <v/>
      </c>
      <c r="R1175" s="159" t="str">
        <f>IF($E1175="","",(1-Q1175)^($F1175-Input!$C$20))</f>
        <v/>
      </c>
      <c r="S1175" s="147" t="str">
        <f t="shared" si="761"/>
        <v/>
      </c>
      <c r="T1175" s="147" t="str">
        <f t="shared" si="762"/>
        <v/>
      </c>
      <c r="U1175" s="160" t="str">
        <f>IF($E1175="","",IF($C1175=12,INDEX(Input!$C$15:$CP$15,1,$B1175),0))</f>
        <v/>
      </c>
      <c r="V1175" s="150" t="str">
        <f>IF(E1175="","",IF(C1175=1,IF($B1175=1,Input!$C$33,Input!$C$34),0))</f>
        <v/>
      </c>
      <c r="W1175" s="156" t="str">
        <f>IF($E1175="","",Input!$C$35)</f>
        <v/>
      </c>
      <c r="X1175" s="156" t="str">
        <f t="shared" si="763"/>
        <v/>
      </c>
      <c r="Y1175" s="154"/>
      <c r="Z1175" s="147" t="str">
        <f>IF($E1175="","",VLOOKUP($D1175,'Mortality Margins &amp; Grading'!$AB$5:$AF$125,3,0)*IF(Summary!$D$25="Included Margin",IF(AND($B1175&gt;Input!$C$9,Summary!$D$31&lt;&gt;"Included Margin"),0,1),0))</f>
        <v/>
      </c>
      <c r="AA1175" s="147" t="str">
        <f>IF($E1175="","",VLOOKUP($D1175,'Mortality Margins &amp; Grading'!$AB$5:$AF$125,5,0)*IF(Summary!$D$25="Included Margin",IF(AND($B1175&gt;Input!$C$9,Summary!$D$31&lt;&gt;"Included Margin"),0,1),0))</f>
        <v/>
      </c>
      <c r="AB1175" s="147" t="str">
        <f>IF($E1175="","",IF(AND($B1175&gt;Input!$C$9,Summary!$D$31&lt;&gt;"Included Margin"),1,IF(Summary!$D$25="Included Margin",VLOOKUP($B1175,'Mortality Margins &amp; Grading'!$AI$5:$AR$125,MATCH('Mortality Margins &amp; Grading'!$AQ$4,'Mortality Margins &amp; Grading'!$AI$4:$AR$4,0),0),1)))</f>
        <v/>
      </c>
      <c r="AC1175" s="154"/>
      <c r="AD1175" s="158" t="str">
        <f>IF(E1175="","",Input!$C$48*IF(Summary!$D$30="Included Margin",IF(AND($B1175&gt;Input!$C$9,Summary!$D$31&lt;&gt;"Included Margin"),0,1),0))</f>
        <v/>
      </c>
      <c r="AE1175" s="159" t="str">
        <f>IF(E1175="","",IF(Summary!$D$26="Included Margin",IF(AND($B1175&gt;Input!$C$9,Summary!$D$31&lt;&gt;"Included Margin"),1,1/$R1175),1))</f>
        <v/>
      </c>
      <c r="AF1175" s="160" t="str">
        <f>IF(E1175="","",IF(AND($B1175&gt;=Input!$C$9,$C1175=12,Summary!$D$31="Included Margin",$U1175&gt;0),1/U1175-1,IF($B1175&gt;=Input!$C$9,0,Input!$C$45*IF(Summary!$D$27="Included Margin",1,0))))</f>
        <v/>
      </c>
      <c r="AG1175" s="160" t="str">
        <f>IF(E1175="","",Input!$C$46*IF(Summary!$D$28="Included Margin",IF(AND($B1175&gt;Input!$C$9,Summary!$D$31&lt;&gt;"Included Margin"),0,1),0))</f>
        <v/>
      </c>
      <c r="AH1175" s="158" t="str">
        <f>IF(E1175="","",Input!$C$47*IF(Summary!$D$29="Included Margin",IF(AND($B1175&gt;Input!$C$9,Summary!$D$31&lt;&gt;"Included Margin"),0,1),0))</f>
        <v/>
      </c>
      <c r="AI1175" s="154"/>
      <c r="AJ1175" s="158" t="str">
        <f t="shared" si="774"/>
        <v/>
      </c>
      <c r="AK1175" s="150" t="str">
        <f t="shared" si="775"/>
        <v/>
      </c>
      <c r="AL1175" s="147" t="str">
        <f t="shared" si="776"/>
        <v/>
      </c>
      <c r="AM1175" s="147" t="str">
        <f t="shared" si="764"/>
        <v/>
      </c>
      <c r="AN1175" s="160" t="str">
        <f t="shared" si="777"/>
        <v/>
      </c>
      <c r="AO1175" s="161" t="str">
        <f t="shared" si="778"/>
        <v/>
      </c>
      <c r="AP1175" s="156" t="str">
        <f t="shared" si="765"/>
        <v/>
      </c>
      <c r="AQ1175" s="152"/>
      <c r="AR1175" s="162" t="str">
        <f t="shared" si="766"/>
        <v/>
      </c>
      <c r="AS1175" s="150" t="str">
        <f t="shared" si="779"/>
        <v/>
      </c>
      <c r="AT1175" s="163" t="str">
        <f t="shared" si="767"/>
        <v/>
      </c>
      <c r="AU1175" s="163" t="str">
        <f t="shared" si="768"/>
        <v/>
      </c>
      <c r="AV1175" s="163" t="str">
        <f t="shared" si="780"/>
        <v/>
      </c>
      <c r="AW1175" s="163" t="str">
        <f t="shared" si="769"/>
        <v/>
      </c>
      <c r="AX1175" s="163" t="str">
        <f t="shared" si="770"/>
        <v/>
      </c>
      <c r="AY1175" s="150" t="str">
        <f t="shared" si="781"/>
        <v/>
      </c>
      <c r="AZ1175" s="150" t="str">
        <f>IF($E1175="","",IF(OR(AND($D1175=Input!$C$6,$C1175=12),$AN1175=1),0,-AS1176+AT1176+AU1176-AV1176-AW1176-AX1176+AZ1176))</f>
        <v/>
      </c>
      <c r="BA1175" s="154" t="str">
        <f t="shared" si="771"/>
        <v/>
      </c>
      <c r="BC1175" s="147" t="str">
        <f t="shared" si="782"/>
        <v/>
      </c>
      <c r="BD1175" s="164" t="str">
        <f>IF(AND($C1174=12,$D1174=Input!$C$6),0,IF($E1175="","",AT1175+(AU1175+BD1176)/(1+$AK1175)*MIN((1-AM1175-AN1175),1)))</f>
        <v/>
      </c>
      <c r="BH1175" s="152"/>
      <c r="BI1175" s="162" t="str">
        <f t="shared" si="790"/>
        <v/>
      </c>
      <c r="BJ1175" s="150" t="str">
        <f t="shared" si="791"/>
        <v/>
      </c>
      <c r="BK1175" s="163" t="str">
        <f t="shared" si="787"/>
        <v/>
      </c>
      <c r="BL1175" s="163" t="str">
        <f t="shared" si="792"/>
        <v/>
      </c>
      <c r="BM1175" s="163" t="str">
        <f t="shared" si="788"/>
        <v/>
      </c>
      <c r="BN1175" s="163" t="str">
        <f t="shared" si="793"/>
        <v/>
      </c>
      <c r="BO1175" s="163" t="str">
        <f t="shared" si="794"/>
        <v/>
      </c>
      <c r="BP1175" s="150" t="str">
        <f t="shared" si="789"/>
        <v/>
      </c>
      <c r="BQ1175" s="150" t="str">
        <f t="shared" si="783"/>
        <v/>
      </c>
      <c r="BR1175" s="154" t="str">
        <f t="shared" si="795"/>
        <v/>
      </c>
      <c r="BT1175" s="147"/>
    </row>
    <row r="1176" spans="1:72" s="150" customFormat="1" x14ac:dyDescent="0.25">
      <c r="A1176" s="150" t="str">
        <f t="shared" si="784"/>
        <v/>
      </c>
      <c r="B1176" s="150" t="str">
        <f t="shared" si="785"/>
        <v/>
      </c>
      <c r="C1176" s="150" t="str">
        <f t="shared" si="786"/>
        <v/>
      </c>
      <c r="D1176" s="150" t="str">
        <f>IF(E1176="","",Input!$C$4+B1176-1)</f>
        <v/>
      </c>
      <c r="E1176" s="150" t="str">
        <f>IF(OR(AND(C1175=12,D1175=Input!$C$6),E1175=""),"",1)</f>
        <v/>
      </c>
      <c r="G1176" s="151" t="str">
        <f>IF(E1176="","",MAX(0,Input!$C$9-B1176))</f>
        <v/>
      </c>
      <c r="H1176" s="152" t="str">
        <f>IF(E1176="","",Input!$C$3)</f>
        <v/>
      </c>
      <c r="I1176" s="153" t="str">
        <f>IF(E1176="","",HLOOKUP($B1176,Input!$C$13:$BT$14,2))</f>
        <v/>
      </c>
      <c r="J1176" s="154"/>
      <c r="K1176" s="150" t="str">
        <f>IF($E1176="","",INDEX(Input!$C$16:$CP$16,1,$B1176))</f>
        <v/>
      </c>
      <c r="L1176" s="150" t="str">
        <f>IF($E1176="","",Input!$C$37)</f>
        <v/>
      </c>
      <c r="M1176" s="150" t="str">
        <f t="shared" si="772"/>
        <v/>
      </c>
      <c r="N1176" s="150" t="str">
        <f t="shared" si="773"/>
        <v/>
      </c>
      <c r="O1176" s="147" t="str">
        <f>IF($E1176="","",MIN(VLOOKUP(IF($B1176&lt;=Input!$C$7,$B1176,26),'Mortality Tables'!$A$41:$CW$67,IF($B1176&lt;=Input!$C$7+1,Input!$C$4+2,$D1176-Input!$C$7+2),0)*IF(B1176&gt;20,Input!$C$22,1)/1000,1))</f>
        <v/>
      </c>
      <c r="P1176" s="147" t="str">
        <f>IF($E1176="","",MIN(VLOOKUP(IF($B1176&lt;=Input!$C$7,$B1176,26),'Mortality Tables'!$A$12:$CW$37,IF($B1176&lt;=Input!$C$7+1,Input!$C$4+2,$D1176-Input!$C$7+2),0)*IF(B1176&gt;20,Input!$C$22,1)/1000,1))</f>
        <v/>
      </c>
      <c r="Q1176" s="155" t="str">
        <f>IF($E1176="","",Input!$C$21)</f>
        <v/>
      </c>
      <c r="R1176" s="159" t="str">
        <f>IF($E1176="","",(1-Q1176)^($F1176-Input!$C$20))</f>
        <v/>
      </c>
      <c r="S1176" s="147" t="str">
        <f t="shared" si="761"/>
        <v/>
      </c>
      <c r="T1176" s="147" t="str">
        <f t="shared" si="762"/>
        <v/>
      </c>
      <c r="U1176" s="160" t="str">
        <f>IF($E1176="","",IF($C1176=12,INDEX(Input!$C$15:$CP$15,1,$B1176),0))</f>
        <v/>
      </c>
      <c r="V1176" s="150" t="str">
        <f>IF(E1176="","",IF(C1176=1,IF($B1176=1,Input!$C$33,Input!$C$34),0))</f>
        <v/>
      </c>
      <c r="W1176" s="156" t="str">
        <f>IF($E1176="","",Input!$C$35)</f>
        <v/>
      </c>
      <c r="X1176" s="156" t="str">
        <f t="shared" si="763"/>
        <v/>
      </c>
      <c r="Y1176" s="154"/>
      <c r="Z1176" s="147" t="str">
        <f>IF($E1176="","",VLOOKUP($D1176,'Mortality Margins &amp; Grading'!$AB$5:$AF$125,3,0)*IF(Summary!$D$25="Included Margin",IF(AND($B1176&gt;Input!$C$9,Summary!$D$31&lt;&gt;"Included Margin"),0,1),0))</f>
        <v/>
      </c>
      <c r="AA1176" s="147" t="str">
        <f>IF($E1176="","",VLOOKUP($D1176,'Mortality Margins &amp; Grading'!$AB$5:$AF$125,5,0)*IF(Summary!$D$25="Included Margin",IF(AND($B1176&gt;Input!$C$9,Summary!$D$31&lt;&gt;"Included Margin"),0,1),0))</f>
        <v/>
      </c>
      <c r="AB1176" s="147" t="str">
        <f>IF($E1176="","",IF(AND($B1176&gt;Input!$C$9,Summary!$D$31&lt;&gt;"Included Margin"),1,IF(Summary!$D$25="Included Margin",VLOOKUP($B1176,'Mortality Margins &amp; Grading'!$AI$5:$AR$125,MATCH('Mortality Margins &amp; Grading'!$AQ$4,'Mortality Margins &amp; Grading'!$AI$4:$AR$4,0),0),1)))</f>
        <v/>
      </c>
      <c r="AC1176" s="154"/>
      <c r="AD1176" s="158" t="str">
        <f>IF(E1176="","",Input!$C$48*IF(Summary!$D$30="Included Margin",IF(AND($B1176&gt;Input!$C$9,Summary!$D$31&lt;&gt;"Included Margin"),0,1),0))</f>
        <v/>
      </c>
      <c r="AE1176" s="159" t="str">
        <f>IF(E1176="","",IF(Summary!$D$26="Included Margin",IF(AND($B1176&gt;Input!$C$9,Summary!$D$31&lt;&gt;"Included Margin"),1,1/$R1176),1))</f>
        <v/>
      </c>
      <c r="AF1176" s="160" t="str">
        <f>IF(E1176="","",IF(AND($B1176&gt;=Input!$C$9,$C1176=12,Summary!$D$31="Included Margin",$U1176&gt;0),1/U1176-1,IF($B1176&gt;=Input!$C$9,0,Input!$C$45*IF(Summary!$D$27="Included Margin",1,0))))</f>
        <v/>
      </c>
      <c r="AG1176" s="160" t="str">
        <f>IF(E1176="","",Input!$C$46*IF(Summary!$D$28="Included Margin",IF(AND($B1176&gt;Input!$C$9,Summary!$D$31&lt;&gt;"Included Margin"),0,1),0))</f>
        <v/>
      </c>
      <c r="AH1176" s="158" t="str">
        <f>IF(E1176="","",Input!$C$47*IF(Summary!$D$29="Included Margin",IF(AND($B1176&gt;Input!$C$9,Summary!$D$31&lt;&gt;"Included Margin"),0,1),0))</f>
        <v/>
      </c>
      <c r="AI1176" s="154"/>
      <c r="AJ1176" s="158" t="str">
        <f t="shared" si="774"/>
        <v/>
      </c>
      <c r="AK1176" s="150" t="str">
        <f t="shared" si="775"/>
        <v/>
      </c>
      <c r="AL1176" s="147" t="str">
        <f t="shared" si="776"/>
        <v/>
      </c>
      <c r="AM1176" s="147" t="str">
        <f t="shared" si="764"/>
        <v/>
      </c>
      <c r="AN1176" s="160" t="str">
        <f t="shared" si="777"/>
        <v/>
      </c>
      <c r="AO1176" s="161" t="str">
        <f t="shared" si="778"/>
        <v/>
      </c>
      <c r="AP1176" s="156" t="str">
        <f t="shared" si="765"/>
        <v/>
      </c>
      <c r="AQ1176" s="152"/>
      <c r="AR1176" s="162" t="str">
        <f t="shared" si="766"/>
        <v/>
      </c>
      <c r="AS1176" s="150" t="str">
        <f t="shared" si="779"/>
        <v/>
      </c>
      <c r="AT1176" s="163" t="str">
        <f t="shared" si="767"/>
        <v/>
      </c>
      <c r="AU1176" s="163" t="str">
        <f t="shared" si="768"/>
        <v/>
      </c>
      <c r="AV1176" s="163" t="str">
        <f t="shared" si="780"/>
        <v/>
      </c>
      <c r="AW1176" s="163" t="str">
        <f t="shared" si="769"/>
        <v/>
      </c>
      <c r="AX1176" s="163" t="str">
        <f t="shared" si="770"/>
        <v/>
      </c>
      <c r="AY1176" s="150" t="str">
        <f t="shared" si="781"/>
        <v/>
      </c>
      <c r="AZ1176" s="150" t="str">
        <f>IF($E1176="","",IF(OR(AND($D1176=Input!$C$6,$C1176=12),$AN1176=1),0,-AS1177+AT1177+AU1177-AV1177-AW1177-AX1177+AZ1177))</f>
        <v/>
      </c>
      <c r="BA1176" s="154" t="str">
        <f t="shared" si="771"/>
        <v/>
      </c>
      <c r="BC1176" s="147" t="str">
        <f t="shared" si="782"/>
        <v/>
      </c>
      <c r="BD1176" s="164" t="str">
        <f>IF(AND($C1175=12,$D1175=Input!$C$6),0,IF($E1176="","",AT1176+(AU1176+BD1177)/(1+$AK1176)*MIN((1-AM1176-AN1176),1)))</f>
        <v/>
      </c>
      <c r="BH1176" s="152"/>
      <c r="BI1176" s="162" t="str">
        <f t="shared" si="790"/>
        <v/>
      </c>
      <c r="BJ1176" s="150" t="str">
        <f t="shared" si="791"/>
        <v/>
      </c>
      <c r="BK1176" s="163" t="str">
        <f t="shared" si="787"/>
        <v/>
      </c>
      <c r="BL1176" s="163" t="str">
        <f t="shared" si="792"/>
        <v/>
      </c>
      <c r="BM1176" s="163" t="str">
        <f t="shared" si="788"/>
        <v/>
      </c>
      <c r="BN1176" s="163" t="str">
        <f t="shared" si="793"/>
        <v/>
      </c>
      <c r="BO1176" s="163" t="str">
        <f t="shared" si="794"/>
        <v/>
      </c>
      <c r="BP1176" s="150" t="str">
        <f t="shared" si="789"/>
        <v/>
      </c>
      <c r="BQ1176" s="150" t="str">
        <f t="shared" si="783"/>
        <v/>
      </c>
      <c r="BR1176" s="154" t="str">
        <f t="shared" si="795"/>
        <v/>
      </c>
      <c r="BT1176" s="147"/>
    </row>
    <row r="1177" spans="1:72" s="150" customFormat="1" x14ac:dyDescent="0.25">
      <c r="A1177" s="150" t="str">
        <f t="shared" si="784"/>
        <v/>
      </c>
      <c r="B1177" s="150" t="str">
        <f t="shared" si="785"/>
        <v/>
      </c>
      <c r="C1177" s="150" t="str">
        <f t="shared" si="786"/>
        <v/>
      </c>
      <c r="D1177" s="150" t="str">
        <f>IF(E1177="","",Input!$C$4+B1177-1)</f>
        <v/>
      </c>
      <c r="E1177" s="150" t="str">
        <f>IF(OR(AND(C1176=12,D1176=Input!$C$6),E1176=""),"",1)</f>
        <v/>
      </c>
      <c r="G1177" s="151" t="str">
        <f>IF(E1177="","",MAX(0,Input!$C$9-B1177))</f>
        <v/>
      </c>
      <c r="H1177" s="152" t="str">
        <f>IF(E1177="","",Input!$C$3)</f>
        <v/>
      </c>
      <c r="I1177" s="153" t="str">
        <f>IF(E1177="","",HLOOKUP($B1177,Input!$C$13:$BT$14,2))</f>
        <v/>
      </c>
      <c r="J1177" s="154"/>
      <c r="K1177" s="150" t="str">
        <f>IF($E1177="","",INDEX(Input!$C$16:$CP$16,1,$B1177))</f>
        <v/>
      </c>
      <c r="L1177" s="150" t="str">
        <f>IF($E1177="","",Input!$C$37)</f>
        <v/>
      </c>
      <c r="M1177" s="150" t="str">
        <f t="shared" si="772"/>
        <v/>
      </c>
      <c r="N1177" s="150" t="str">
        <f t="shared" si="773"/>
        <v/>
      </c>
      <c r="O1177" s="147" t="str">
        <f>IF($E1177="","",MIN(VLOOKUP(IF($B1177&lt;=Input!$C$7,$B1177,26),'Mortality Tables'!$A$41:$CW$67,IF($B1177&lt;=Input!$C$7+1,Input!$C$4+2,$D1177-Input!$C$7+2),0)*IF(B1177&gt;20,Input!$C$22,1)/1000,1))</f>
        <v/>
      </c>
      <c r="P1177" s="147" t="str">
        <f>IF($E1177="","",MIN(VLOOKUP(IF($B1177&lt;=Input!$C$7,$B1177,26),'Mortality Tables'!$A$12:$CW$37,IF($B1177&lt;=Input!$C$7+1,Input!$C$4+2,$D1177-Input!$C$7+2),0)*IF(B1177&gt;20,Input!$C$22,1)/1000,1))</f>
        <v/>
      </c>
      <c r="Q1177" s="155" t="str">
        <f>IF($E1177="","",Input!$C$21)</f>
        <v/>
      </c>
      <c r="R1177" s="159" t="str">
        <f>IF($E1177="","",(1-Q1177)^($F1177-Input!$C$20))</f>
        <v/>
      </c>
      <c r="S1177" s="147" t="str">
        <f t="shared" si="761"/>
        <v/>
      </c>
      <c r="T1177" s="147" t="str">
        <f t="shared" si="762"/>
        <v/>
      </c>
      <c r="U1177" s="160" t="str">
        <f>IF($E1177="","",IF($C1177=12,INDEX(Input!$C$15:$CP$15,1,$B1177),0))</f>
        <v/>
      </c>
      <c r="V1177" s="150" t="str">
        <f>IF(E1177="","",IF(C1177=1,IF($B1177=1,Input!$C$33,Input!$C$34),0))</f>
        <v/>
      </c>
      <c r="W1177" s="156" t="str">
        <f>IF($E1177="","",Input!$C$35)</f>
        <v/>
      </c>
      <c r="X1177" s="156" t="str">
        <f t="shared" si="763"/>
        <v/>
      </c>
      <c r="Y1177" s="154"/>
      <c r="Z1177" s="147" t="str">
        <f>IF($E1177="","",VLOOKUP($D1177,'Mortality Margins &amp; Grading'!$AB$5:$AF$125,3,0)*IF(Summary!$D$25="Included Margin",IF(AND($B1177&gt;Input!$C$9,Summary!$D$31&lt;&gt;"Included Margin"),0,1),0))</f>
        <v/>
      </c>
      <c r="AA1177" s="147" t="str">
        <f>IF($E1177="","",VLOOKUP($D1177,'Mortality Margins &amp; Grading'!$AB$5:$AF$125,5,0)*IF(Summary!$D$25="Included Margin",IF(AND($B1177&gt;Input!$C$9,Summary!$D$31&lt;&gt;"Included Margin"),0,1),0))</f>
        <v/>
      </c>
      <c r="AB1177" s="147" t="str">
        <f>IF($E1177="","",IF(AND($B1177&gt;Input!$C$9,Summary!$D$31&lt;&gt;"Included Margin"),1,IF(Summary!$D$25="Included Margin",VLOOKUP($B1177,'Mortality Margins &amp; Grading'!$AI$5:$AR$125,MATCH('Mortality Margins &amp; Grading'!$AQ$4,'Mortality Margins &amp; Grading'!$AI$4:$AR$4,0),0),1)))</f>
        <v/>
      </c>
      <c r="AC1177" s="154"/>
      <c r="AD1177" s="158" t="str">
        <f>IF(E1177="","",Input!$C$48*IF(Summary!$D$30="Included Margin",IF(AND($B1177&gt;Input!$C$9,Summary!$D$31&lt;&gt;"Included Margin"),0,1),0))</f>
        <v/>
      </c>
      <c r="AE1177" s="159" t="str">
        <f>IF(E1177="","",IF(Summary!$D$26="Included Margin",IF(AND($B1177&gt;Input!$C$9,Summary!$D$31&lt;&gt;"Included Margin"),1,1/$R1177),1))</f>
        <v/>
      </c>
      <c r="AF1177" s="160" t="str">
        <f>IF(E1177="","",IF(AND($B1177&gt;=Input!$C$9,$C1177=12,Summary!$D$31="Included Margin",$U1177&gt;0),1/U1177-1,IF($B1177&gt;=Input!$C$9,0,Input!$C$45*IF(Summary!$D$27="Included Margin",1,0))))</f>
        <v/>
      </c>
      <c r="AG1177" s="160" t="str">
        <f>IF(E1177="","",Input!$C$46*IF(Summary!$D$28="Included Margin",IF(AND($B1177&gt;Input!$C$9,Summary!$D$31&lt;&gt;"Included Margin"),0,1),0))</f>
        <v/>
      </c>
      <c r="AH1177" s="158" t="str">
        <f>IF(E1177="","",Input!$C$47*IF(Summary!$D$29="Included Margin",IF(AND($B1177&gt;Input!$C$9,Summary!$D$31&lt;&gt;"Included Margin"),0,1),0))</f>
        <v/>
      </c>
      <c r="AI1177" s="154"/>
      <c r="AJ1177" s="158" t="str">
        <f t="shared" si="774"/>
        <v/>
      </c>
      <c r="AK1177" s="150" t="str">
        <f t="shared" si="775"/>
        <v/>
      </c>
      <c r="AL1177" s="147" t="str">
        <f t="shared" si="776"/>
        <v/>
      </c>
      <c r="AM1177" s="147" t="str">
        <f t="shared" si="764"/>
        <v/>
      </c>
      <c r="AN1177" s="160" t="str">
        <f t="shared" si="777"/>
        <v/>
      </c>
      <c r="AO1177" s="161" t="str">
        <f t="shared" si="778"/>
        <v/>
      </c>
      <c r="AP1177" s="156" t="str">
        <f t="shared" si="765"/>
        <v/>
      </c>
      <c r="AQ1177" s="152"/>
      <c r="AR1177" s="162" t="str">
        <f t="shared" si="766"/>
        <v/>
      </c>
      <c r="AS1177" s="150" t="str">
        <f t="shared" si="779"/>
        <v/>
      </c>
      <c r="AT1177" s="163" t="str">
        <f t="shared" si="767"/>
        <v/>
      </c>
      <c r="AU1177" s="163" t="str">
        <f t="shared" si="768"/>
        <v/>
      </c>
      <c r="AV1177" s="163" t="str">
        <f t="shared" si="780"/>
        <v/>
      </c>
      <c r="AW1177" s="163" t="str">
        <f t="shared" si="769"/>
        <v/>
      </c>
      <c r="AX1177" s="163" t="str">
        <f t="shared" si="770"/>
        <v/>
      </c>
      <c r="AY1177" s="150" t="str">
        <f t="shared" si="781"/>
        <v/>
      </c>
      <c r="AZ1177" s="150" t="str">
        <f>IF($E1177="","",IF(OR(AND($D1177=Input!$C$6,$C1177=12),$AN1177=1),0,-AS1178+AT1178+AU1178-AV1178-AW1178-AX1178+AZ1178))</f>
        <v/>
      </c>
      <c r="BA1177" s="154" t="str">
        <f t="shared" si="771"/>
        <v/>
      </c>
      <c r="BC1177" s="147" t="str">
        <f t="shared" si="782"/>
        <v/>
      </c>
      <c r="BD1177" s="164" t="str">
        <f>IF(AND($C1176=12,$D1176=Input!$C$6),0,IF($E1177="","",AT1177+(AU1177+BD1178)/(1+$AK1177)*MIN((1-AM1177-AN1177),1)))</f>
        <v/>
      </c>
      <c r="BH1177" s="152"/>
      <c r="BI1177" s="162" t="str">
        <f t="shared" si="790"/>
        <v/>
      </c>
      <c r="BJ1177" s="150" t="str">
        <f t="shared" si="791"/>
        <v/>
      </c>
      <c r="BK1177" s="163" t="str">
        <f t="shared" si="787"/>
        <v/>
      </c>
      <c r="BL1177" s="163" t="str">
        <f t="shared" si="792"/>
        <v/>
      </c>
      <c r="BM1177" s="163" t="str">
        <f t="shared" si="788"/>
        <v/>
      </c>
      <c r="BN1177" s="163" t="str">
        <f t="shared" si="793"/>
        <v/>
      </c>
      <c r="BO1177" s="163" t="str">
        <f t="shared" si="794"/>
        <v/>
      </c>
      <c r="BP1177" s="150" t="str">
        <f t="shared" si="789"/>
        <v/>
      </c>
      <c r="BQ1177" s="150" t="str">
        <f t="shared" si="783"/>
        <v/>
      </c>
      <c r="BR1177" s="154" t="str">
        <f t="shared" si="795"/>
        <v/>
      </c>
      <c r="BT1177" s="147"/>
    </row>
    <row r="1178" spans="1:72" s="150" customFormat="1" x14ac:dyDescent="0.25">
      <c r="A1178" s="150" t="str">
        <f t="shared" si="784"/>
        <v/>
      </c>
      <c r="B1178" s="150" t="str">
        <f t="shared" si="785"/>
        <v/>
      </c>
      <c r="C1178" s="150" t="str">
        <f t="shared" si="786"/>
        <v/>
      </c>
      <c r="D1178" s="150" t="str">
        <f>IF(E1178="","",Input!$C$4+B1178-1)</f>
        <v/>
      </c>
      <c r="E1178" s="150" t="str">
        <f>IF(OR(AND(C1177=12,D1177=Input!$C$6),E1177=""),"",1)</f>
        <v/>
      </c>
      <c r="G1178" s="151" t="str">
        <f>IF(E1178="","",MAX(0,Input!$C$9-B1178))</f>
        <v/>
      </c>
      <c r="H1178" s="152" t="str">
        <f>IF(E1178="","",Input!$C$3)</f>
        <v/>
      </c>
      <c r="I1178" s="153" t="str">
        <f>IF(E1178="","",HLOOKUP($B1178,Input!$C$13:$BT$14,2))</f>
        <v/>
      </c>
      <c r="J1178" s="154"/>
      <c r="K1178" s="150" t="str">
        <f>IF($E1178="","",INDEX(Input!$C$16:$CP$16,1,$B1178))</f>
        <v/>
      </c>
      <c r="L1178" s="150" t="str">
        <f>IF($E1178="","",Input!$C$37)</f>
        <v/>
      </c>
      <c r="M1178" s="150" t="str">
        <f t="shared" si="772"/>
        <v/>
      </c>
      <c r="N1178" s="150" t="str">
        <f t="shared" si="773"/>
        <v/>
      </c>
      <c r="O1178" s="147" t="str">
        <f>IF($E1178="","",MIN(VLOOKUP(IF($B1178&lt;=Input!$C$7,$B1178,26),'Mortality Tables'!$A$41:$CW$67,IF($B1178&lt;=Input!$C$7+1,Input!$C$4+2,$D1178-Input!$C$7+2),0)*IF(B1178&gt;20,Input!$C$22,1)/1000,1))</f>
        <v/>
      </c>
      <c r="P1178" s="147" t="str">
        <f>IF($E1178="","",MIN(VLOOKUP(IF($B1178&lt;=Input!$C$7,$B1178,26),'Mortality Tables'!$A$12:$CW$37,IF($B1178&lt;=Input!$C$7+1,Input!$C$4+2,$D1178-Input!$C$7+2),0)*IF(B1178&gt;20,Input!$C$22,1)/1000,1))</f>
        <v/>
      </c>
      <c r="Q1178" s="155" t="str">
        <f>IF($E1178="","",Input!$C$21)</f>
        <v/>
      </c>
      <c r="R1178" s="159" t="str">
        <f>IF($E1178="","",(1-Q1178)^($F1178-Input!$C$20))</f>
        <v/>
      </c>
      <c r="S1178" s="147" t="str">
        <f t="shared" si="761"/>
        <v/>
      </c>
      <c r="T1178" s="147" t="str">
        <f t="shared" si="762"/>
        <v/>
      </c>
      <c r="U1178" s="160" t="str">
        <f>IF($E1178="","",IF($C1178=12,INDEX(Input!$C$15:$CP$15,1,$B1178),0))</f>
        <v/>
      </c>
      <c r="V1178" s="150" t="str">
        <f>IF(E1178="","",IF(C1178=1,IF($B1178=1,Input!$C$33,Input!$C$34),0))</f>
        <v/>
      </c>
      <c r="W1178" s="156" t="str">
        <f>IF($E1178="","",Input!$C$35)</f>
        <v/>
      </c>
      <c r="X1178" s="156" t="str">
        <f t="shared" si="763"/>
        <v/>
      </c>
      <c r="Y1178" s="154"/>
      <c r="Z1178" s="147" t="str">
        <f>IF($E1178="","",VLOOKUP($D1178,'Mortality Margins &amp; Grading'!$AB$5:$AF$125,3,0)*IF(Summary!$D$25="Included Margin",IF(AND($B1178&gt;Input!$C$9,Summary!$D$31&lt;&gt;"Included Margin"),0,1),0))</f>
        <v/>
      </c>
      <c r="AA1178" s="147" t="str">
        <f>IF($E1178="","",VLOOKUP($D1178,'Mortality Margins &amp; Grading'!$AB$5:$AF$125,5,0)*IF(Summary!$D$25="Included Margin",IF(AND($B1178&gt;Input!$C$9,Summary!$D$31&lt;&gt;"Included Margin"),0,1),0))</f>
        <v/>
      </c>
      <c r="AB1178" s="147" t="str">
        <f>IF($E1178="","",IF(AND($B1178&gt;Input!$C$9,Summary!$D$31&lt;&gt;"Included Margin"),1,IF(Summary!$D$25="Included Margin",VLOOKUP($B1178,'Mortality Margins &amp; Grading'!$AI$5:$AR$125,MATCH('Mortality Margins &amp; Grading'!$AQ$4,'Mortality Margins &amp; Grading'!$AI$4:$AR$4,0),0),1)))</f>
        <v/>
      </c>
      <c r="AC1178" s="154"/>
      <c r="AD1178" s="158" t="str">
        <f>IF(E1178="","",Input!$C$48*IF(Summary!$D$30="Included Margin",IF(AND($B1178&gt;Input!$C$9,Summary!$D$31&lt;&gt;"Included Margin"),0,1),0))</f>
        <v/>
      </c>
      <c r="AE1178" s="159" t="str">
        <f>IF(E1178="","",IF(Summary!$D$26="Included Margin",IF(AND($B1178&gt;Input!$C$9,Summary!$D$31&lt;&gt;"Included Margin"),1,1/$R1178),1))</f>
        <v/>
      </c>
      <c r="AF1178" s="160" t="str">
        <f>IF(E1178="","",IF(AND($B1178&gt;=Input!$C$9,$C1178=12,Summary!$D$31="Included Margin",$U1178&gt;0),1/U1178-1,IF($B1178&gt;=Input!$C$9,0,Input!$C$45*IF(Summary!$D$27="Included Margin",1,0))))</f>
        <v/>
      </c>
      <c r="AG1178" s="160" t="str">
        <f>IF(E1178="","",Input!$C$46*IF(Summary!$D$28="Included Margin",IF(AND($B1178&gt;Input!$C$9,Summary!$D$31&lt;&gt;"Included Margin"),0,1),0))</f>
        <v/>
      </c>
      <c r="AH1178" s="158" t="str">
        <f>IF(E1178="","",Input!$C$47*IF(Summary!$D$29="Included Margin",IF(AND($B1178&gt;Input!$C$9,Summary!$D$31&lt;&gt;"Included Margin"),0,1),0))</f>
        <v/>
      </c>
      <c r="AI1178" s="154"/>
      <c r="AJ1178" s="158" t="str">
        <f t="shared" si="774"/>
        <v/>
      </c>
      <c r="AK1178" s="150" t="str">
        <f t="shared" si="775"/>
        <v/>
      </c>
      <c r="AL1178" s="147" t="str">
        <f t="shared" si="776"/>
        <v/>
      </c>
      <c r="AM1178" s="147" t="str">
        <f t="shared" si="764"/>
        <v/>
      </c>
      <c r="AN1178" s="160" t="str">
        <f t="shared" si="777"/>
        <v/>
      </c>
      <c r="AO1178" s="161" t="str">
        <f t="shared" si="778"/>
        <v/>
      </c>
      <c r="AP1178" s="156" t="str">
        <f t="shared" si="765"/>
        <v/>
      </c>
      <c r="AQ1178" s="152"/>
      <c r="AR1178" s="162" t="str">
        <f t="shared" si="766"/>
        <v/>
      </c>
      <c r="AS1178" s="150" t="str">
        <f t="shared" si="779"/>
        <v/>
      </c>
      <c r="AT1178" s="163" t="str">
        <f t="shared" si="767"/>
        <v/>
      </c>
      <c r="AU1178" s="163" t="str">
        <f t="shared" si="768"/>
        <v/>
      </c>
      <c r="AV1178" s="163" t="str">
        <f t="shared" si="780"/>
        <v/>
      </c>
      <c r="AW1178" s="163" t="str">
        <f t="shared" si="769"/>
        <v/>
      </c>
      <c r="AX1178" s="163" t="str">
        <f t="shared" si="770"/>
        <v/>
      </c>
      <c r="AY1178" s="150" t="str">
        <f t="shared" si="781"/>
        <v/>
      </c>
      <c r="AZ1178" s="150" t="str">
        <f>IF($E1178="","",IF(OR(AND($D1178=Input!$C$6,$C1178=12),$AN1178=1),0,-AS1179+AT1179+AU1179-AV1179-AW1179-AX1179+AZ1179))</f>
        <v/>
      </c>
      <c r="BA1178" s="154" t="str">
        <f t="shared" si="771"/>
        <v/>
      </c>
      <c r="BC1178" s="147" t="str">
        <f t="shared" si="782"/>
        <v/>
      </c>
      <c r="BD1178" s="164" t="str">
        <f>IF(AND($C1177=12,$D1177=Input!$C$6),0,IF($E1178="","",AT1178+(AU1178+BD1179)/(1+$AK1178)*MIN((1-AM1178-AN1178),1)))</f>
        <v/>
      </c>
      <c r="BH1178" s="152"/>
      <c r="BI1178" s="162" t="str">
        <f t="shared" si="790"/>
        <v/>
      </c>
      <c r="BJ1178" s="150" t="str">
        <f t="shared" si="791"/>
        <v/>
      </c>
      <c r="BK1178" s="163" t="str">
        <f t="shared" si="787"/>
        <v/>
      </c>
      <c r="BL1178" s="163" t="str">
        <f t="shared" si="792"/>
        <v/>
      </c>
      <c r="BM1178" s="163" t="str">
        <f t="shared" si="788"/>
        <v/>
      </c>
      <c r="BN1178" s="163" t="str">
        <f t="shared" si="793"/>
        <v/>
      </c>
      <c r="BO1178" s="163" t="str">
        <f t="shared" si="794"/>
        <v/>
      </c>
      <c r="BP1178" s="150" t="str">
        <f t="shared" si="789"/>
        <v/>
      </c>
      <c r="BQ1178" s="150" t="str">
        <f t="shared" si="783"/>
        <v/>
      </c>
      <c r="BR1178" s="154" t="str">
        <f t="shared" si="795"/>
        <v/>
      </c>
      <c r="BT1178" s="147"/>
    </row>
    <row r="1179" spans="1:72" s="150" customFormat="1" x14ac:dyDescent="0.25">
      <c r="A1179" s="150" t="str">
        <f t="shared" si="784"/>
        <v/>
      </c>
      <c r="B1179" s="150" t="str">
        <f t="shared" si="785"/>
        <v/>
      </c>
      <c r="C1179" s="150" t="str">
        <f t="shared" si="786"/>
        <v/>
      </c>
      <c r="D1179" s="150" t="str">
        <f>IF(E1179="","",Input!$C$4+B1179-1)</f>
        <v/>
      </c>
      <c r="E1179" s="150" t="str">
        <f>IF(OR(AND(C1178=12,D1178=Input!$C$6),E1178=""),"",1)</f>
        <v/>
      </c>
      <c r="G1179" s="151" t="str">
        <f>IF(E1179="","",MAX(0,Input!$C$9-B1179))</f>
        <v/>
      </c>
      <c r="H1179" s="152" t="str">
        <f>IF(E1179="","",Input!$C$3)</f>
        <v/>
      </c>
      <c r="I1179" s="153" t="str">
        <f>IF(E1179="","",HLOOKUP($B1179,Input!$C$13:$BT$14,2))</f>
        <v/>
      </c>
      <c r="J1179" s="154"/>
      <c r="K1179" s="150" t="str">
        <f>IF($E1179="","",INDEX(Input!$C$16:$CP$16,1,$B1179))</f>
        <v/>
      </c>
      <c r="L1179" s="150" t="str">
        <f>IF($E1179="","",Input!$C$37)</f>
        <v/>
      </c>
      <c r="M1179" s="150" t="str">
        <f t="shared" si="772"/>
        <v/>
      </c>
      <c r="N1179" s="150" t="str">
        <f t="shared" si="773"/>
        <v/>
      </c>
      <c r="O1179" s="147" t="str">
        <f>IF($E1179="","",MIN(VLOOKUP(IF($B1179&lt;=Input!$C$7,$B1179,26),'Mortality Tables'!$A$41:$CW$67,IF($B1179&lt;=Input!$C$7+1,Input!$C$4+2,$D1179-Input!$C$7+2),0)*IF(B1179&gt;20,Input!$C$22,1)/1000,1))</f>
        <v/>
      </c>
      <c r="P1179" s="147" t="str">
        <f>IF($E1179="","",MIN(VLOOKUP(IF($B1179&lt;=Input!$C$7,$B1179,26),'Mortality Tables'!$A$12:$CW$37,IF($B1179&lt;=Input!$C$7+1,Input!$C$4+2,$D1179-Input!$C$7+2),0)*IF(B1179&gt;20,Input!$C$22,1)/1000,1))</f>
        <v/>
      </c>
      <c r="Q1179" s="155" t="str">
        <f>IF($E1179="","",Input!$C$21)</f>
        <v/>
      </c>
      <c r="R1179" s="159" t="str">
        <f>IF($E1179="","",(1-Q1179)^($F1179-Input!$C$20))</f>
        <v/>
      </c>
      <c r="S1179" s="147" t="str">
        <f t="shared" si="761"/>
        <v/>
      </c>
      <c r="T1179" s="147" t="str">
        <f t="shared" si="762"/>
        <v/>
      </c>
      <c r="U1179" s="160" t="str">
        <f>IF($E1179="","",IF($C1179=12,INDEX(Input!$C$15:$CP$15,1,$B1179),0))</f>
        <v/>
      </c>
      <c r="V1179" s="150" t="str">
        <f>IF(E1179="","",IF(C1179=1,IF($B1179=1,Input!$C$33,Input!$C$34),0))</f>
        <v/>
      </c>
      <c r="W1179" s="156" t="str">
        <f>IF($E1179="","",Input!$C$35)</f>
        <v/>
      </c>
      <c r="X1179" s="156" t="str">
        <f t="shared" si="763"/>
        <v/>
      </c>
      <c r="Y1179" s="154"/>
      <c r="Z1179" s="147" t="str">
        <f>IF($E1179="","",VLOOKUP($D1179,'Mortality Margins &amp; Grading'!$AB$5:$AF$125,3,0)*IF(Summary!$D$25="Included Margin",IF(AND($B1179&gt;Input!$C$9,Summary!$D$31&lt;&gt;"Included Margin"),0,1),0))</f>
        <v/>
      </c>
      <c r="AA1179" s="147" t="str">
        <f>IF($E1179="","",VLOOKUP($D1179,'Mortality Margins &amp; Grading'!$AB$5:$AF$125,5,0)*IF(Summary!$D$25="Included Margin",IF(AND($B1179&gt;Input!$C$9,Summary!$D$31&lt;&gt;"Included Margin"),0,1),0))</f>
        <v/>
      </c>
      <c r="AB1179" s="147" t="str">
        <f>IF($E1179="","",IF(AND($B1179&gt;Input!$C$9,Summary!$D$31&lt;&gt;"Included Margin"),1,IF(Summary!$D$25="Included Margin",VLOOKUP($B1179,'Mortality Margins &amp; Grading'!$AI$5:$AR$125,MATCH('Mortality Margins &amp; Grading'!$AQ$4,'Mortality Margins &amp; Grading'!$AI$4:$AR$4,0),0),1)))</f>
        <v/>
      </c>
      <c r="AC1179" s="154"/>
      <c r="AD1179" s="158" t="str">
        <f>IF(E1179="","",Input!$C$48*IF(Summary!$D$30="Included Margin",IF(AND($B1179&gt;Input!$C$9,Summary!$D$31&lt;&gt;"Included Margin"),0,1),0))</f>
        <v/>
      </c>
      <c r="AE1179" s="159" t="str">
        <f>IF(E1179="","",IF(Summary!$D$26="Included Margin",IF(AND($B1179&gt;Input!$C$9,Summary!$D$31&lt;&gt;"Included Margin"),1,1/$R1179),1))</f>
        <v/>
      </c>
      <c r="AF1179" s="160" t="str">
        <f>IF(E1179="","",IF(AND($B1179&gt;=Input!$C$9,$C1179=12,Summary!$D$31="Included Margin",$U1179&gt;0),1/U1179-1,IF($B1179&gt;=Input!$C$9,0,Input!$C$45*IF(Summary!$D$27="Included Margin",1,0))))</f>
        <v/>
      </c>
      <c r="AG1179" s="160" t="str">
        <f>IF(E1179="","",Input!$C$46*IF(Summary!$D$28="Included Margin",IF(AND($B1179&gt;Input!$C$9,Summary!$D$31&lt;&gt;"Included Margin"),0,1),0))</f>
        <v/>
      </c>
      <c r="AH1179" s="158" t="str">
        <f>IF(E1179="","",Input!$C$47*IF(Summary!$D$29="Included Margin",IF(AND($B1179&gt;Input!$C$9,Summary!$D$31&lt;&gt;"Included Margin"),0,1),0))</f>
        <v/>
      </c>
      <c r="AI1179" s="154"/>
      <c r="AJ1179" s="158" t="str">
        <f t="shared" si="774"/>
        <v/>
      </c>
      <c r="AK1179" s="150" t="str">
        <f t="shared" si="775"/>
        <v/>
      </c>
      <c r="AL1179" s="147" t="str">
        <f t="shared" si="776"/>
        <v/>
      </c>
      <c r="AM1179" s="147" t="str">
        <f t="shared" si="764"/>
        <v/>
      </c>
      <c r="AN1179" s="160" t="str">
        <f t="shared" si="777"/>
        <v/>
      </c>
      <c r="AO1179" s="161" t="str">
        <f t="shared" si="778"/>
        <v/>
      </c>
      <c r="AP1179" s="156" t="str">
        <f t="shared" si="765"/>
        <v/>
      </c>
      <c r="AQ1179" s="152"/>
      <c r="AR1179" s="162" t="str">
        <f t="shared" si="766"/>
        <v/>
      </c>
      <c r="AS1179" s="150" t="str">
        <f t="shared" si="779"/>
        <v/>
      </c>
      <c r="AT1179" s="163" t="str">
        <f t="shared" si="767"/>
        <v/>
      </c>
      <c r="AU1179" s="163" t="str">
        <f t="shared" si="768"/>
        <v/>
      </c>
      <c r="AV1179" s="163" t="str">
        <f t="shared" si="780"/>
        <v/>
      </c>
      <c r="AW1179" s="163" t="str">
        <f t="shared" si="769"/>
        <v/>
      </c>
      <c r="AX1179" s="163" t="str">
        <f t="shared" si="770"/>
        <v/>
      </c>
      <c r="AY1179" s="150" t="str">
        <f t="shared" si="781"/>
        <v/>
      </c>
      <c r="AZ1179" s="150" t="str">
        <f>IF($E1179="","",IF(OR(AND($D1179=Input!$C$6,$C1179=12),$AN1179=1),0,-AS1180+AT1180+AU1180-AV1180-AW1180-AX1180+AZ1180))</f>
        <v/>
      </c>
      <c r="BA1179" s="154" t="str">
        <f t="shared" si="771"/>
        <v/>
      </c>
      <c r="BC1179" s="147" t="str">
        <f t="shared" si="782"/>
        <v/>
      </c>
      <c r="BD1179" s="164" t="str">
        <f>IF(AND($C1178=12,$D1178=Input!$C$6),0,IF($E1179="","",AT1179+(AU1179+BD1180)/(1+$AK1179)*MIN((1-AM1179-AN1179),1)))</f>
        <v/>
      </c>
      <c r="BH1179" s="152"/>
      <c r="BI1179" s="162" t="str">
        <f t="shared" si="790"/>
        <v/>
      </c>
      <c r="BJ1179" s="150" t="str">
        <f t="shared" si="791"/>
        <v/>
      </c>
      <c r="BK1179" s="163" t="str">
        <f t="shared" si="787"/>
        <v/>
      </c>
      <c r="BL1179" s="163" t="str">
        <f t="shared" si="792"/>
        <v/>
      </c>
      <c r="BM1179" s="163" t="str">
        <f t="shared" si="788"/>
        <v/>
      </c>
      <c r="BN1179" s="163" t="str">
        <f t="shared" si="793"/>
        <v/>
      </c>
      <c r="BO1179" s="163" t="str">
        <f t="shared" si="794"/>
        <v/>
      </c>
      <c r="BP1179" s="150" t="str">
        <f t="shared" si="789"/>
        <v/>
      </c>
      <c r="BQ1179" s="150" t="str">
        <f t="shared" si="783"/>
        <v/>
      </c>
      <c r="BR1179" s="154" t="str">
        <f t="shared" si="795"/>
        <v/>
      </c>
      <c r="BT1179" s="147"/>
    </row>
    <row r="1180" spans="1:72" s="150" customFormat="1" x14ac:dyDescent="0.25">
      <c r="A1180" s="150" t="str">
        <f t="shared" si="784"/>
        <v/>
      </c>
      <c r="B1180" s="150" t="str">
        <f t="shared" si="785"/>
        <v/>
      </c>
      <c r="C1180" s="150" t="str">
        <f t="shared" si="786"/>
        <v/>
      </c>
      <c r="D1180" s="150" t="str">
        <f>IF(E1180="","",Input!$C$4+B1180-1)</f>
        <v/>
      </c>
      <c r="E1180" s="150" t="str">
        <f>IF(OR(AND(C1179=12,D1179=Input!$C$6),E1179=""),"",1)</f>
        <v/>
      </c>
      <c r="G1180" s="151" t="str">
        <f>IF(E1180="","",MAX(0,Input!$C$9-B1180))</f>
        <v/>
      </c>
      <c r="H1180" s="152" t="str">
        <f>IF(E1180="","",Input!$C$3)</f>
        <v/>
      </c>
      <c r="I1180" s="153" t="str">
        <f>IF(E1180="","",HLOOKUP($B1180,Input!$C$13:$BT$14,2))</f>
        <v/>
      </c>
      <c r="J1180" s="154"/>
      <c r="K1180" s="150" t="str">
        <f>IF($E1180="","",INDEX(Input!$C$16:$CP$16,1,$B1180))</f>
        <v/>
      </c>
      <c r="L1180" s="150" t="str">
        <f>IF($E1180="","",Input!$C$37)</f>
        <v/>
      </c>
      <c r="M1180" s="150" t="str">
        <f t="shared" si="772"/>
        <v/>
      </c>
      <c r="N1180" s="150" t="str">
        <f t="shared" si="773"/>
        <v/>
      </c>
      <c r="O1180" s="147" t="str">
        <f>IF($E1180="","",MIN(VLOOKUP(IF($B1180&lt;=Input!$C$7,$B1180,26),'Mortality Tables'!$A$41:$CW$67,IF($B1180&lt;=Input!$C$7+1,Input!$C$4+2,$D1180-Input!$C$7+2),0)*IF(B1180&gt;20,Input!$C$22,1)/1000,1))</f>
        <v/>
      </c>
      <c r="P1180" s="147" t="str">
        <f>IF($E1180="","",MIN(VLOOKUP(IF($B1180&lt;=Input!$C$7,$B1180,26),'Mortality Tables'!$A$12:$CW$37,IF($B1180&lt;=Input!$C$7+1,Input!$C$4+2,$D1180-Input!$C$7+2),0)*IF(B1180&gt;20,Input!$C$22,1)/1000,1))</f>
        <v/>
      </c>
      <c r="Q1180" s="155" t="str">
        <f>IF($E1180="","",Input!$C$21)</f>
        <v/>
      </c>
      <c r="R1180" s="159" t="str">
        <f>IF($E1180="","",(1-Q1180)^($F1180-Input!$C$20))</f>
        <v/>
      </c>
      <c r="S1180" s="147" t="str">
        <f t="shared" si="761"/>
        <v/>
      </c>
      <c r="T1180" s="147" t="str">
        <f t="shared" si="762"/>
        <v/>
      </c>
      <c r="U1180" s="160" t="str">
        <f>IF($E1180="","",IF($C1180=12,INDEX(Input!$C$15:$CP$15,1,$B1180),0))</f>
        <v/>
      </c>
      <c r="V1180" s="150" t="str">
        <f>IF(E1180="","",IF(C1180=1,IF($B1180=1,Input!$C$33,Input!$C$34),0))</f>
        <v/>
      </c>
      <c r="W1180" s="156" t="str">
        <f>IF($E1180="","",Input!$C$35)</f>
        <v/>
      </c>
      <c r="X1180" s="156" t="str">
        <f t="shared" si="763"/>
        <v/>
      </c>
      <c r="Y1180" s="154"/>
      <c r="Z1180" s="147" t="str">
        <f>IF($E1180="","",VLOOKUP($D1180,'Mortality Margins &amp; Grading'!$AB$5:$AF$125,3,0)*IF(Summary!$D$25="Included Margin",IF(AND($B1180&gt;Input!$C$9,Summary!$D$31&lt;&gt;"Included Margin"),0,1),0))</f>
        <v/>
      </c>
      <c r="AA1180" s="147" t="str">
        <f>IF($E1180="","",VLOOKUP($D1180,'Mortality Margins &amp; Grading'!$AB$5:$AF$125,5,0)*IF(Summary!$D$25="Included Margin",IF(AND($B1180&gt;Input!$C$9,Summary!$D$31&lt;&gt;"Included Margin"),0,1),0))</f>
        <v/>
      </c>
      <c r="AB1180" s="147" t="str">
        <f>IF($E1180="","",IF(AND($B1180&gt;Input!$C$9,Summary!$D$31&lt;&gt;"Included Margin"),1,IF(Summary!$D$25="Included Margin",VLOOKUP($B1180,'Mortality Margins &amp; Grading'!$AI$5:$AR$125,MATCH('Mortality Margins &amp; Grading'!$AQ$4,'Mortality Margins &amp; Grading'!$AI$4:$AR$4,0),0),1)))</f>
        <v/>
      </c>
      <c r="AC1180" s="154"/>
      <c r="AD1180" s="158" t="str">
        <f>IF(E1180="","",Input!$C$48*IF(Summary!$D$30="Included Margin",IF(AND($B1180&gt;Input!$C$9,Summary!$D$31&lt;&gt;"Included Margin"),0,1),0))</f>
        <v/>
      </c>
      <c r="AE1180" s="159" t="str">
        <f>IF(E1180="","",IF(Summary!$D$26="Included Margin",IF(AND($B1180&gt;Input!$C$9,Summary!$D$31&lt;&gt;"Included Margin"),1,1/$R1180),1))</f>
        <v/>
      </c>
      <c r="AF1180" s="160" t="str">
        <f>IF(E1180="","",IF(AND($B1180&gt;=Input!$C$9,$C1180=12,Summary!$D$31="Included Margin",$U1180&gt;0),1/U1180-1,IF($B1180&gt;=Input!$C$9,0,Input!$C$45*IF(Summary!$D$27="Included Margin",1,0))))</f>
        <v/>
      </c>
      <c r="AG1180" s="160" t="str">
        <f>IF(E1180="","",Input!$C$46*IF(Summary!$D$28="Included Margin",IF(AND($B1180&gt;Input!$C$9,Summary!$D$31&lt;&gt;"Included Margin"),0,1),0))</f>
        <v/>
      </c>
      <c r="AH1180" s="158" t="str">
        <f>IF(E1180="","",Input!$C$47*IF(Summary!$D$29="Included Margin",IF(AND($B1180&gt;Input!$C$9,Summary!$D$31&lt;&gt;"Included Margin"),0,1),0))</f>
        <v/>
      </c>
      <c r="AI1180" s="154"/>
      <c r="AJ1180" s="158" t="str">
        <f t="shared" si="774"/>
        <v/>
      </c>
      <c r="AK1180" s="150" t="str">
        <f t="shared" si="775"/>
        <v/>
      </c>
      <c r="AL1180" s="147" t="str">
        <f t="shared" si="776"/>
        <v/>
      </c>
      <c r="AM1180" s="147" t="str">
        <f t="shared" si="764"/>
        <v/>
      </c>
      <c r="AN1180" s="160" t="str">
        <f t="shared" si="777"/>
        <v/>
      </c>
      <c r="AO1180" s="161" t="str">
        <f t="shared" si="778"/>
        <v/>
      </c>
      <c r="AP1180" s="156" t="str">
        <f t="shared" si="765"/>
        <v/>
      </c>
      <c r="AQ1180" s="152"/>
      <c r="AR1180" s="162" t="str">
        <f t="shared" si="766"/>
        <v/>
      </c>
      <c r="AS1180" s="150" t="str">
        <f t="shared" si="779"/>
        <v/>
      </c>
      <c r="AT1180" s="163" t="str">
        <f t="shared" si="767"/>
        <v/>
      </c>
      <c r="AU1180" s="163" t="str">
        <f t="shared" si="768"/>
        <v/>
      </c>
      <c r="AV1180" s="163" t="str">
        <f t="shared" si="780"/>
        <v/>
      </c>
      <c r="AW1180" s="163" t="str">
        <f t="shared" si="769"/>
        <v/>
      </c>
      <c r="AX1180" s="163" t="str">
        <f t="shared" si="770"/>
        <v/>
      </c>
      <c r="AY1180" s="150" t="str">
        <f t="shared" si="781"/>
        <v/>
      </c>
      <c r="AZ1180" s="150" t="str">
        <f>IF($E1180="","",IF(OR(AND($D1180=Input!$C$6,$C1180=12),$AN1180=1),0,-AS1181+AT1181+AU1181-AV1181-AW1181-AX1181+AZ1181))</f>
        <v/>
      </c>
      <c r="BA1180" s="154" t="str">
        <f t="shared" si="771"/>
        <v/>
      </c>
      <c r="BC1180" s="147" t="str">
        <f t="shared" si="782"/>
        <v/>
      </c>
      <c r="BD1180" s="164" t="str">
        <f>IF(AND($C1179=12,$D1179=Input!$C$6),0,IF($E1180="","",AT1180+(AU1180+BD1181)/(1+$AK1180)*MIN((1-AM1180-AN1180),1)))</f>
        <v/>
      </c>
      <c r="BH1180" s="152"/>
      <c r="BI1180" s="162" t="str">
        <f t="shared" si="790"/>
        <v/>
      </c>
      <c r="BJ1180" s="150" t="str">
        <f t="shared" si="791"/>
        <v/>
      </c>
      <c r="BK1180" s="163" t="str">
        <f t="shared" si="787"/>
        <v/>
      </c>
      <c r="BL1180" s="163" t="str">
        <f t="shared" si="792"/>
        <v/>
      </c>
      <c r="BM1180" s="163" t="str">
        <f t="shared" si="788"/>
        <v/>
      </c>
      <c r="BN1180" s="163" t="str">
        <f t="shared" si="793"/>
        <v/>
      </c>
      <c r="BO1180" s="163" t="str">
        <f t="shared" si="794"/>
        <v/>
      </c>
      <c r="BP1180" s="150" t="str">
        <f t="shared" si="789"/>
        <v/>
      </c>
      <c r="BQ1180" s="150" t="str">
        <f t="shared" si="783"/>
        <v/>
      </c>
      <c r="BR1180" s="154" t="str">
        <f t="shared" si="795"/>
        <v/>
      </c>
      <c r="BT1180" s="147"/>
    </row>
    <row r="1181" spans="1:72" s="150" customFormat="1" x14ac:dyDescent="0.25">
      <c r="A1181" s="150" t="str">
        <f t="shared" si="784"/>
        <v/>
      </c>
      <c r="B1181" s="150" t="str">
        <f t="shared" si="785"/>
        <v/>
      </c>
      <c r="C1181" s="150" t="str">
        <f t="shared" si="786"/>
        <v/>
      </c>
      <c r="D1181" s="150" t="str">
        <f>IF(E1181="","",Input!$C$4+B1181-1)</f>
        <v/>
      </c>
      <c r="E1181" s="150" t="str">
        <f>IF(OR(AND(C1180=12,D1180=Input!$C$6),E1180=""),"",1)</f>
        <v/>
      </c>
      <c r="G1181" s="151" t="str">
        <f>IF(E1181="","",MAX(0,Input!$C$9-B1181))</f>
        <v/>
      </c>
      <c r="H1181" s="152" t="str">
        <f>IF(E1181="","",Input!$C$3)</f>
        <v/>
      </c>
      <c r="I1181" s="153" t="str">
        <f>IF(E1181="","",HLOOKUP($B1181,Input!$C$13:$BT$14,2))</f>
        <v/>
      </c>
      <c r="J1181" s="154"/>
      <c r="K1181" s="150" t="str">
        <f>IF($E1181="","",INDEX(Input!$C$16:$CP$16,1,$B1181))</f>
        <v/>
      </c>
      <c r="L1181" s="150" t="str">
        <f>IF($E1181="","",Input!$C$37)</f>
        <v/>
      </c>
      <c r="M1181" s="150" t="str">
        <f t="shared" si="772"/>
        <v/>
      </c>
      <c r="N1181" s="150" t="str">
        <f t="shared" si="773"/>
        <v/>
      </c>
      <c r="O1181" s="147" t="str">
        <f>IF($E1181="","",MIN(VLOOKUP(IF($B1181&lt;=Input!$C$7,$B1181,26),'Mortality Tables'!$A$41:$CW$67,IF($B1181&lt;=Input!$C$7+1,Input!$C$4+2,$D1181-Input!$C$7+2),0)*IF(B1181&gt;20,Input!$C$22,1)/1000,1))</f>
        <v/>
      </c>
      <c r="P1181" s="147" t="str">
        <f>IF($E1181="","",MIN(VLOOKUP(IF($B1181&lt;=Input!$C$7,$B1181,26),'Mortality Tables'!$A$12:$CW$37,IF($B1181&lt;=Input!$C$7+1,Input!$C$4+2,$D1181-Input!$C$7+2),0)*IF(B1181&gt;20,Input!$C$22,1)/1000,1))</f>
        <v/>
      </c>
      <c r="Q1181" s="155" t="str">
        <f>IF($E1181="","",Input!$C$21)</f>
        <v/>
      </c>
      <c r="R1181" s="159" t="str">
        <f>IF($E1181="","",(1-Q1181)^($F1181-Input!$C$20))</f>
        <v/>
      </c>
      <c r="S1181" s="147" t="str">
        <f t="shared" si="761"/>
        <v/>
      </c>
      <c r="T1181" s="147" t="str">
        <f t="shared" si="762"/>
        <v/>
      </c>
      <c r="U1181" s="160" t="str">
        <f>IF($E1181="","",IF($C1181=12,INDEX(Input!$C$15:$CP$15,1,$B1181),0))</f>
        <v/>
      </c>
      <c r="V1181" s="150" t="str">
        <f>IF(E1181="","",IF(C1181=1,IF($B1181=1,Input!$C$33,Input!$C$34),0))</f>
        <v/>
      </c>
      <c r="W1181" s="156" t="str">
        <f>IF($E1181="","",Input!$C$35)</f>
        <v/>
      </c>
      <c r="X1181" s="156" t="str">
        <f t="shared" si="763"/>
        <v/>
      </c>
      <c r="Y1181" s="154"/>
      <c r="Z1181" s="147" t="str">
        <f>IF($E1181="","",VLOOKUP($D1181,'Mortality Margins &amp; Grading'!$AB$5:$AF$125,3,0)*IF(Summary!$D$25="Included Margin",IF(AND($B1181&gt;Input!$C$9,Summary!$D$31&lt;&gt;"Included Margin"),0,1),0))</f>
        <v/>
      </c>
      <c r="AA1181" s="147" t="str">
        <f>IF($E1181="","",VLOOKUP($D1181,'Mortality Margins &amp; Grading'!$AB$5:$AF$125,5,0)*IF(Summary!$D$25="Included Margin",IF(AND($B1181&gt;Input!$C$9,Summary!$D$31&lt;&gt;"Included Margin"),0,1),0))</f>
        <v/>
      </c>
      <c r="AB1181" s="147" t="str">
        <f>IF($E1181="","",IF(AND($B1181&gt;Input!$C$9,Summary!$D$31&lt;&gt;"Included Margin"),1,IF(Summary!$D$25="Included Margin",VLOOKUP($B1181,'Mortality Margins &amp; Grading'!$AI$5:$AR$125,MATCH('Mortality Margins &amp; Grading'!$AQ$4,'Mortality Margins &amp; Grading'!$AI$4:$AR$4,0),0),1)))</f>
        <v/>
      </c>
      <c r="AC1181" s="154"/>
      <c r="AD1181" s="158" t="str">
        <f>IF(E1181="","",Input!$C$48*IF(Summary!$D$30="Included Margin",IF(AND($B1181&gt;Input!$C$9,Summary!$D$31&lt;&gt;"Included Margin"),0,1),0))</f>
        <v/>
      </c>
      <c r="AE1181" s="159" t="str">
        <f>IF(E1181="","",IF(Summary!$D$26="Included Margin",IF(AND($B1181&gt;Input!$C$9,Summary!$D$31&lt;&gt;"Included Margin"),1,1/$R1181),1))</f>
        <v/>
      </c>
      <c r="AF1181" s="160" t="str">
        <f>IF(E1181="","",IF(AND($B1181&gt;=Input!$C$9,$C1181=12,Summary!$D$31="Included Margin",$U1181&gt;0),1/U1181-1,IF($B1181&gt;=Input!$C$9,0,Input!$C$45*IF(Summary!$D$27="Included Margin",1,0))))</f>
        <v/>
      </c>
      <c r="AG1181" s="160" t="str">
        <f>IF(E1181="","",Input!$C$46*IF(Summary!$D$28="Included Margin",IF(AND($B1181&gt;Input!$C$9,Summary!$D$31&lt;&gt;"Included Margin"),0,1),0))</f>
        <v/>
      </c>
      <c r="AH1181" s="158" t="str">
        <f>IF(E1181="","",Input!$C$47*IF(Summary!$D$29="Included Margin",IF(AND($B1181&gt;Input!$C$9,Summary!$D$31&lt;&gt;"Included Margin"),0,1),0))</f>
        <v/>
      </c>
      <c r="AI1181" s="154"/>
      <c r="AJ1181" s="158" t="str">
        <f t="shared" si="774"/>
        <v/>
      </c>
      <c r="AK1181" s="150" t="str">
        <f t="shared" si="775"/>
        <v/>
      </c>
      <c r="AL1181" s="147" t="str">
        <f t="shared" si="776"/>
        <v/>
      </c>
      <c r="AM1181" s="147" t="str">
        <f t="shared" si="764"/>
        <v/>
      </c>
      <c r="AN1181" s="160" t="str">
        <f t="shared" si="777"/>
        <v/>
      </c>
      <c r="AO1181" s="161" t="str">
        <f t="shared" si="778"/>
        <v/>
      </c>
      <c r="AP1181" s="156" t="str">
        <f t="shared" si="765"/>
        <v/>
      </c>
      <c r="AQ1181" s="152"/>
      <c r="AR1181" s="162" t="str">
        <f t="shared" si="766"/>
        <v/>
      </c>
      <c r="AS1181" s="150" t="str">
        <f t="shared" si="779"/>
        <v/>
      </c>
      <c r="AT1181" s="163" t="str">
        <f t="shared" si="767"/>
        <v/>
      </c>
      <c r="AU1181" s="163" t="str">
        <f t="shared" si="768"/>
        <v/>
      </c>
      <c r="AV1181" s="163" t="str">
        <f t="shared" si="780"/>
        <v/>
      </c>
      <c r="AW1181" s="163" t="str">
        <f t="shared" si="769"/>
        <v/>
      </c>
      <c r="AX1181" s="163" t="str">
        <f t="shared" si="770"/>
        <v/>
      </c>
      <c r="AY1181" s="150" t="str">
        <f t="shared" si="781"/>
        <v/>
      </c>
      <c r="AZ1181" s="150" t="str">
        <f>IF($E1181="","",IF(OR(AND($D1181=Input!$C$6,$C1181=12),$AN1181=1),0,-AS1182+AT1182+AU1182-AV1182-AW1182-AX1182+AZ1182))</f>
        <v/>
      </c>
      <c r="BA1181" s="154" t="str">
        <f t="shared" si="771"/>
        <v/>
      </c>
      <c r="BC1181" s="147" t="str">
        <f t="shared" si="782"/>
        <v/>
      </c>
      <c r="BD1181" s="164" t="str">
        <f>IF(AND($C1180=12,$D1180=Input!$C$6),0,IF($E1181="","",AT1181+(AU1181+BD1182)/(1+$AK1181)*MIN((1-AM1181-AN1181),1)))</f>
        <v/>
      </c>
      <c r="BH1181" s="152"/>
      <c r="BI1181" s="162" t="str">
        <f t="shared" si="790"/>
        <v/>
      </c>
      <c r="BJ1181" s="150" t="str">
        <f t="shared" si="791"/>
        <v/>
      </c>
      <c r="BK1181" s="163" t="str">
        <f t="shared" si="787"/>
        <v/>
      </c>
      <c r="BL1181" s="163" t="str">
        <f t="shared" si="792"/>
        <v/>
      </c>
      <c r="BM1181" s="163" t="str">
        <f t="shared" si="788"/>
        <v/>
      </c>
      <c r="BN1181" s="163" t="str">
        <f t="shared" si="793"/>
        <v/>
      </c>
      <c r="BO1181" s="163" t="str">
        <f t="shared" si="794"/>
        <v/>
      </c>
      <c r="BP1181" s="150" t="str">
        <f t="shared" si="789"/>
        <v/>
      </c>
      <c r="BQ1181" s="150" t="str">
        <f t="shared" si="783"/>
        <v/>
      </c>
      <c r="BR1181" s="154" t="str">
        <f t="shared" si="795"/>
        <v/>
      </c>
      <c r="BT1181" s="147"/>
    </row>
    <row r="1182" spans="1:72" s="150" customFormat="1" x14ac:dyDescent="0.25">
      <c r="A1182" s="150" t="str">
        <f t="shared" si="784"/>
        <v/>
      </c>
      <c r="B1182" s="150" t="str">
        <f t="shared" si="785"/>
        <v/>
      </c>
      <c r="C1182" s="150" t="str">
        <f t="shared" si="786"/>
        <v/>
      </c>
      <c r="D1182" s="150" t="str">
        <f>IF(E1182="","",Input!$C$4+B1182-1)</f>
        <v/>
      </c>
      <c r="E1182" s="150" t="str">
        <f>IF(OR(AND(C1181=12,D1181=Input!$C$6),E1181=""),"",1)</f>
        <v/>
      </c>
      <c r="G1182" s="151" t="str">
        <f>IF(E1182="","",MAX(0,Input!$C$9-B1182))</f>
        <v/>
      </c>
      <c r="H1182" s="152" t="str">
        <f>IF(E1182="","",Input!$C$3)</f>
        <v/>
      </c>
      <c r="I1182" s="153" t="str">
        <f>IF(E1182="","",HLOOKUP($B1182,Input!$C$13:$BT$14,2))</f>
        <v/>
      </c>
      <c r="J1182" s="154"/>
      <c r="K1182" s="150" t="str">
        <f>IF($E1182="","",INDEX(Input!$C$16:$CP$16,1,$B1182))</f>
        <v/>
      </c>
      <c r="L1182" s="150" t="str">
        <f>IF($E1182="","",Input!$C$37)</f>
        <v/>
      </c>
      <c r="M1182" s="150" t="str">
        <f t="shared" si="772"/>
        <v/>
      </c>
      <c r="N1182" s="150" t="str">
        <f t="shared" si="773"/>
        <v/>
      </c>
      <c r="O1182" s="147" t="str">
        <f>IF($E1182="","",MIN(VLOOKUP(IF($B1182&lt;=Input!$C$7,$B1182,26),'Mortality Tables'!$A$41:$CW$67,IF($B1182&lt;=Input!$C$7+1,Input!$C$4+2,$D1182-Input!$C$7+2),0)*IF(B1182&gt;20,Input!$C$22,1)/1000,1))</f>
        <v/>
      </c>
      <c r="P1182" s="147" t="str">
        <f>IF($E1182="","",MIN(VLOOKUP(IF($B1182&lt;=Input!$C$7,$B1182,26),'Mortality Tables'!$A$12:$CW$37,IF($B1182&lt;=Input!$C$7+1,Input!$C$4+2,$D1182-Input!$C$7+2),0)*IF(B1182&gt;20,Input!$C$22,1)/1000,1))</f>
        <v/>
      </c>
      <c r="Q1182" s="155" t="str">
        <f>IF($E1182="","",Input!$C$21)</f>
        <v/>
      </c>
      <c r="R1182" s="159" t="str">
        <f>IF($E1182="","",(1-Q1182)^($F1182-Input!$C$20))</f>
        <v/>
      </c>
      <c r="S1182" s="147" t="str">
        <f t="shared" si="761"/>
        <v/>
      </c>
      <c r="T1182" s="147" t="str">
        <f t="shared" si="762"/>
        <v/>
      </c>
      <c r="U1182" s="160" t="str">
        <f>IF($E1182="","",IF($C1182=12,INDEX(Input!$C$15:$CP$15,1,$B1182),0))</f>
        <v/>
      </c>
      <c r="V1182" s="150" t="str">
        <f>IF(E1182="","",IF(C1182=1,IF($B1182=1,Input!$C$33,Input!$C$34),0))</f>
        <v/>
      </c>
      <c r="W1182" s="156" t="str">
        <f>IF($E1182="","",Input!$C$35)</f>
        <v/>
      </c>
      <c r="X1182" s="156" t="str">
        <f t="shared" si="763"/>
        <v/>
      </c>
      <c r="Y1182" s="154"/>
      <c r="Z1182" s="147" t="str">
        <f>IF($E1182="","",VLOOKUP($D1182,'Mortality Margins &amp; Grading'!$AB$5:$AF$125,3,0)*IF(Summary!$D$25="Included Margin",IF(AND($B1182&gt;Input!$C$9,Summary!$D$31&lt;&gt;"Included Margin"),0,1),0))</f>
        <v/>
      </c>
      <c r="AA1182" s="147" t="str">
        <f>IF($E1182="","",VLOOKUP($D1182,'Mortality Margins &amp; Grading'!$AB$5:$AF$125,5,0)*IF(Summary!$D$25="Included Margin",IF(AND($B1182&gt;Input!$C$9,Summary!$D$31&lt;&gt;"Included Margin"),0,1),0))</f>
        <v/>
      </c>
      <c r="AB1182" s="147" t="str">
        <f>IF($E1182="","",IF(AND($B1182&gt;Input!$C$9,Summary!$D$31&lt;&gt;"Included Margin"),1,IF(Summary!$D$25="Included Margin",VLOOKUP($B1182,'Mortality Margins &amp; Grading'!$AI$5:$AR$125,MATCH('Mortality Margins &amp; Grading'!$AQ$4,'Mortality Margins &amp; Grading'!$AI$4:$AR$4,0),0),1)))</f>
        <v/>
      </c>
      <c r="AC1182" s="154"/>
      <c r="AD1182" s="158" t="str">
        <f>IF(E1182="","",Input!$C$48*IF(Summary!$D$30="Included Margin",IF(AND($B1182&gt;Input!$C$9,Summary!$D$31&lt;&gt;"Included Margin"),0,1),0))</f>
        <v/>
      </c>
      <c r="AE1182" s="159" t="str">
        <f>IF(E1182="","",IF(Summary!$D$26="Included Margin",IF(AND($B1182&gt;Input!$C$9,Summary!$D$31&lt;&gt;"Included Margin"),1,1/$R1182),1))</f>
        <v/>
      </c>
      <c r="AF1182" s="160" t="str">
        <f>IF(E1182="","",IF(AND($B1182&gt;=Input!$C$9,$C1182=12,Summary!$D$31="Included Margin",$U1182&gt;0),1/U1182-1,IF($B1182&gt;=Input!$C$9,0,Input!$C$45*IF(Summary!$D$27="Included Margin",1,0))))</f>
        <v/>
      </c>
      <c r="AG1182" s="160" t="str">
        <f>IF(E1182="","",Input!$C$46*IF(Summary!$D$28="Included Margin",IF(AND($B1182&gt;Input!$C$9,Summary!$D$31&lt;&gt;"Included Margin"),0,1),0))</f>
        <v/>
      </c>
      <c r="AH1182" s="158" t="str">
        <f>IF(E1182="","",Input!$C$47*IF(Summary!$D$29="Included Margin",IF(AND($B1182&gt;Input!$C$9,Summary!$D$31&lt;&gt;"Included Margin"),0,1),0))</f>
        <v/>
      </c>
      <c r="AI1182" s="154"/>
      <c r="AJ1182" s="158" t="str">
        <f t="shared" si="774"/>
        <v/>
      </c>
      <c r="AK1182" s="150" t="str">
        <f t="shared" si="775"/>
        <v/>
      </c>
      <c r="AL1182" s="147" t="str">
        <f t="shared" si="776"/>
        <v/>
      </c>
      <c r="AM1182" s="147" t="str">
        <f t="shared" si="764"/>
        <v/>
      </c>
      <c r="AN1182" s="160" t="str">
        <f t="shared" si="777"/>
        <v/>
      </c>
      <c r="AO1182" s="161" t="str">
        <f t="shared" si="778"/>
        <v/>
      </c>
      <c r="AP1182" s="156" t="str">
        <f t="shared" si="765"/>
        <v/>
      </c>
      <c r="AQ1182" s="152"/>
      <c r="AR1182" s="162" t="str">
        <f t="shared" si="766"/>
        <v/>
      </c>
      <c r="AS1182" s="150" t="str">
        <f t="shared" si="779"/>
        <v/>
      </c>
      <c r="AT1182" s="163" t="str">
        <f t="shared" si="767"/>
        <v/>
      </c>
      <c r="AU1182" s="163" t="str">
        <f t="shared" si="768"/>
        <v/>
      </c>
      <c r="AV1182" s="163" t="str">
        <f t="shared" si="780"/>
        <v/>
      </c>
      <c r="AW1182" s="163" t="str">
        <f t="shared" si="769"/>
        <v/>
      </c>
      <c r="AX1182" s="163" t="str">
        <f t="shared" si="770"/>
        <v/>
      </c>
      <c r="AY1182" s="150" t="str">
        <f t="shared" si="781"/>
        <v/>
      </c>
      <c r="AZ1182" s="150" t="str">
        <f>IF($E1182="","",IF(OR(AND($D1182=Input!$C$6,$C1182=12),$AN1182=1),0,-AS1183+AT1183+AU1183-AV1183-AW1183-AX1183+AZ1183))</f>
        <v/>
      </c>
      <c r="BA1182" s="154" t="str">
        <f t="shared" si="771"/>
        <v/>
      </c>
      <c r="BC1182" s="147" t="str">
        <f t="shared" si="782"/>
        <v/>
      </c>
      <c r="BD1182" s="164" t="str">
        <f>IF(AND($C1181=12,$D1181=Input!$C$6),0,IF($E1182="","",AT1182+(AU1182+BD1183)/(1+$AK1182)*MIN((1-AM1182-AN1182),1)))</f>
        <v/>
      </c>
      <c r="BH1182" s="152"/>
      <c r="BI1182" s="162" t="str">
        <f t="shared" si="790"/>
        <v/>
      </c>
      <c r="BJ1182" s="150" t="str">
        <f t="shared" si="791"/>
        <v/>
      </c>
      <c r="BK1182" s="163" t="str">
        <f t="shared" si="787"/>
        <v/>
      </c>
      <c r="BL1182" s="163" t="str">
        <f t="shared" si="792"/>
        <v/>
      </c>
      <c r="BM1182" s="163" t="str">
        <f t="shared" si="788"/>
        <v/>
      </c>
      <c r="BN1182" s="163" t="str">
        <f t="shared" si="793"/>
        <v/>
      </c>
      <c r="BO1182" s="163" t="str">
        <f t="shared" si="794"/>
        <v/>
      </c>
      <c r="BP1182" s="150" t="str">
        <f t="shared" si="789"/>
        <v/>
      </c>
      <c r="BQ1182" s="150" t="str">
        <f t="shared" si="783"/>
        <v/>
      </c>
      <c r="BR1182" s="154" t="str">
        <f t="shared" si="795"/>
        <v/>
      </c>
      <c r="BT1182" s="147"/>
    </row>
    <row r="1183" spans="1:72" s="150" customFormat="1" x14ac:dyDescent="0.25">
      <c r="A1183" s="150" t="str">
        <f t="shared" si="784"/>
        <v/>
      </c>
      <c r="B1183" s="150" t="str">
        <f t="shared" si="785"/>
        <v/>
      </c>
      <c r="C1183" s="150" t="str">
        <f t="shared" si="786"/>
        <v/>
      </c>
      <c r="D1183" s="150" t="str">
        <f>IF(E1183="","",Input!$C$4+B1183-1)</f>
        <v/>
      </c>
      <c r="E1183" s="150" t="str">
        <f>IF(OR(AND(C1182=12,D1182=Input!$C$6),E1182=""),"",1)</f>
        <v/>
      </c>
      <c r="G1183" s="151" t="str">
        <f>IF(E1183="","",MAX(0,Input!$C$9-B1183))</f>
        <v/>
      </c>
      <c r="H1183" s="152" t="str">
        <f>IF(E1183="","",Input!$C$3)</f>
        <v/>
      </c>
      <c r="I1183" s="153" t="str">
        <f>IF(E1183="","",HLOOKUP($B1183,Input!$C$13:$BT$14,2))</f>
        <v/>
      </c>
      <c r="J1183" s="154"/>
      <c r="K1183" s="150" t="str">
        <f>IF($E1183="","",INDEX(Input!$C$16:$CP$16,1,$B1183))</f>
        <v/>
      </c>
      <c r="L1183" s="150" t="str">
        <f>IF($E1183="","",Input!$C$37)</f>
        <v/>
      </c>
      <c r="M1183" s="150" t="str">
        <f t="shared" si="772"/>
        <v/>
      </c>
      <c r="N1183" s="150" t="str">
        <f t="shared" si="773"/>
        <v/>
      </c>
      <c r="O1183" s="147" t="str">
        <f>IF($E1183="","",MIN(VLOOKUP(IF($B1183&lt;=Input!$C$7,$B1183,26),'Mortality Tables'!$A$41:$CW$67,IF($B1183&lt;=Input!$C$7+1,Input!$C$4+2,$D1183-Input!$C$7+2),0)*IF(B1183&gt;20,Input!$C$22,1)/1000,1))</f>
        <v/>
      </c>
      <c r="P1183" s="147" t="str">
        <f>IF($E1183="","",MIN(VLOOKUP(IF($B1183&lt;=Input!$C$7,$B1183,26),'Mortality Tables'!$A$12:$CW$37,IF($B1183&lt;=Input!$C$7+1,Input!$C$4+2,$D1183-Input!$C$7+2),0)*IF(B1183&gt;20,Input!$C$22,1)/1000,1))</f>
        <v/>
      </c>
      <c r="Q1183" s="155" t="str">
        <f>IF($E1183="","",Input!$C$21)</f>
        <v/>
      </c>
      <c r="R1183" s="159" t="str">
        <f>IF($E1183="","",(1-Q1183)^($F1183-Input!$C$20))</f>
        <v/>
      </c>
      <c r="S1183" s="147" t="str">
        <f t="shared" si="761"/>
        <v/>
      </c>
      <c r="T1183" s="147" t="str">
        <f t="shared" si="762"/>
        <v/>
      </c>
      <c r="U1183" s="160" t="str">
        <f>IF($E1183="","",IF($C1183=12,INDEX(Input!$C$15:$CP$15,1,$B1183),0))</f>
        <v/>
      </c>
      <c r="V1183" s="150" t="str">
        <f>IF(E1183="","",IF(C1183=1,IF($B1183=1,Input!$C$33,Input!$C$34),0))</f>
        <v/>
      </c>
      <c r="W1183" s="156" t="str">
        <f>IF($E1183="","",Input!$C$35)</f>
        <v/>
      </c>
      <c r="X1183" s="156" t="str">
        <f t="shared" si="763"/>
        <v/>
      </c>
      <c r="Y1183" s="154"/>
      <c r="Z1183" s="147" t="str">
        <f>IF($E1183="","",VLOOKUP($D1183,'Mortality Margins &amp; Grading'!$AB$5:$AF$125,3,0)*IF(Summary!$D$25="Included Margin",IF(AND($B1183&gt;Input!$C$9,Summary!$D$31&lt;&gt;"Included Margin"),0,1),0))</f>
        <v/>
      </c>
      <c r="AA1183" s="147" t="str">
        <f>IF($E1183="","",VLOOKUP($D1183,'Mortality Margins &amp; Grading'!$AB$5:$AF$125,5,0)*IF(Summary!$D$25="Included Margin",IF(AND($B1183&gt;Input!$C$9,Summary!$D$31&lt;&gt;"Included Margin"),0,1),0))</f>
        <v/>
      </c>
      <c r="AB1183" s="147" t="str">
        <f>IF($E1183="","",IF(AND($B1183&gt;Input!$C$9,Summary!$D$31&lt;&gt;"Included Margin"),1,IF(Summary!$D$25="Included Margin",VLOOKUP($B1183,'Mortality Margins &amp; Grading'!$AI$5:$AR$125,MATCH('Mortality Margins &amp; Grading'!$AQ$4,'Mortality Margins &amp; Grading'!$AI$4:$AR$4,0),0),1)))</f>
        <v/>
      </c>
      <c r="AC1183" s="154"/>
      <c r="AD1183" s="158" t="str">
        <f>IF(E1183="","",Input!$C$48*IF(Summary!$D$30="Included Margin",IF(AND($B1183&gt;Input!$C$9,Summary!$D$31&lt;&gt;"Included Margin"),0,1),0))</f>
        <v/>
      </c>
      <c r="AE1183" s="159" t="str">
        <f>IF(E1183="","",IF(Summary!$D$26="Included Margin",IF(AND($B1183&gt;Input!$C$9,Summary!$D$31&lt;&gt;"Included Margin"),1,1/$R1183),1))</f>
        <v/>
      </c>
      <c r="AF1183" s="160" t="str">
        <f>IF(E1183="","",IF(AND($B1183&gt;=Input!$C$9,$C1183=12,Summary!$D$31="Included Margin",$U1183&gt;0),1/U1183-1,IF($B1183&gt;=Input!$C$9,0,Input!$C$45*IF(Summary!$D$27="Included Margin",1,0))))</f>
        <v/>
      </c>
      <c r="AG1183" s="160" t="str">
        <f>IF(E1183="","",Input!$C$46*IF(Summary!$D$28="Included Margin",IF(AND($B1183&gt;Input!$C$9,Summary!$D$31&lt;&gt;"Included Margin"),0,1),0))</f>
        <v/>
      </c>
      <c r="AH1183" s="158" t="str">
        <f>IF(E1183="","",Input!$C$47*IF(Summary!$D$29="Included Margin",IF(AND($B1183&gt;Input!$C$9,Summary!$D$31&lt;&gt;"Included Margin"),0,1),0))</f>
        <v/>
      </c>
      <c r="AI1183" s="154"/>
      <c r="AJ1183" s="158" t="str">
        <f t="shared" si="774"/>
        <v/>
      </c>
      <c r="AK1183" s="150" t="str">
        <f t="shared" si="775"/>
        <v/>
      </c>
      <c r="AL1183" s="147" t="str">
        <f t="shared" si="776"/>
        <v/>
      </c>
      <c r="AM1183" s="147" t="str">
        <f t="shared" si="764"/>
        <v/>
      </c>
      <c r="AN1183" s="160" t="str">
        <f t="shared" si="777"/>
        <v/>
      </c>
      <c r="AO1183" s="161" t="str">
        <f t="shared" si="778"/>
        <v/>
      </c>
      <c r="AP1183" s="156" t="str">
        <f t="shared" si="765"/>
        <v/>
      </c>
      <c r="AQ1183" s="152"/>
      <c r="AR1183" s="162" t="str">
        <f t="shared" si="766"/>
        <v/>
      </c>
      <c r="AS1183" s="150" t="str">
        <f t="shared" si="779"/>
        <v/>
      </c>
      <c r="AT1183" s="163" t="str">
        <f t="shared" si="767"/>
        <v/>
      </c>
      <c r="AU1183" s="163" t="str">
        <f t="shared" si="768"/>
        <v/>
      </c>
      <c r="AV1183" s="163" t="str">
        <f t="shared" si="780"/>
        <v/>
      </c>
      <c r="AW1183" s="163" t="str">
        <f t="shared" si="769"/>
        <v/>
      </c>
      <c r="AX1183" s="163" t="str">
        <f t="shared" si="770"/>
        <v/>
      </c>
      <c r="AY1183" s="150" t="str">
        <f t="shared" si="781"/>
        <v/>
      </c>
      <c r="AZ1183" s="150" t="str">
        <f>IF($E1183="","",IF(OR(AND($D1183=Input!$C$6,$C1183=12),$AN1183=1),0,-AS1184+AT1184+AU1184-AV1184-AW1184-AX1184+AZ1184))</f>
        <v/>
      </c>
      <c r="BA1183" s="154" t="str">
        <f t="shared" si="771"/>
        <v/>
      </c>
      <c r="BC1183" s="147" t="str">
        <f t="shared" si="782"/>
        <v/>
      </c>
      <c r="BD1183" s="164" t="str">
        <f>IF(AND($C1182=12,$D1182=Input!$C$6),0,IF($E1183="","",AT1183+(AU1183+BD1184)/(1+$AK1183)*MIN((1-AM1183-AN1183),1)))</f>
        <v/>
      </c>
      <c r="BH1183" s="152"/>
      <c r="BI1183" s="162" t="str">
        <f t="shared" si="790"/>
        <v/>
      </c>
      <c r="BJ1183" s="150" t="str">
        <f t="shared" si="791"/>
        <v/>
      </c>
      <c r="BK1183" s="163" t="str">
        <f t="shared" si="787"/>
        <v/>
      </c>
      <c r="BL1183" s="163" t="str">
        <f t="shared" si="792"/>
        <v/>
      </c>
      <c r="BM1183" s="163" t="str">
        <f t="shared" si="788"/>
        <v/>
      </c>
      <c r="BN1183" s="163" t="str">
        <f t="shared" si="793"/>
        <v/>
      </c>
      <c r="BO1183" s="163" t="str">
        <f t="shared" si="794"/>
        <v/>
      </c>
      <c r="BP1183" s="150" t="str">
        <f t="shared" si="789"/>
        <v/>
      </c>
      <c r="BQ1183" s="150" t="str">
        <f t="shared" si="783"/>
        <v/>
      </c>
      <c r="BR1183" s="154" t="str">
        <f t="shared" si="795"/>
        <v/>
      </c>
      <c r="BT1183" s="147"/>
    </row>
    <row r="1184" spans="1:72" s="150" customFormat="1" x14ac:dyDescent="0.25">
      <c r="A1184" s="150" t="str">
        <f t="shared" si="784"/>
        <v/>
      </c>
      <c r="B1184" s="150" t="str">
        <f t="shared" si="785"/>
        <v/>
      </c>
      <c r="C1184" s="150" t="str">
        <f t="shared" si="786"/>
        <v/>
      </c>
      <c r="D1184" s="150" t="str">
        <f>IF(E1184="","",Input!$C$4+B1184-1)</f>
        <v/>
      </c>
      <c r="E1184" s="150" t="str">
        <f>IF(OR(AND(C1183=12,D1183=Input!$C$6),E1183=""),"",1)</f>
        <v/>
      </c>
      <c r="G1184" s="151" t="str">
        <f>IF(E1184="","",MAX(0,Input!$C$9-B1184))</f>
        <v/>
      </c>
      <c r="H1184" s="152" t="str">
        <f>IF(E1184="","",Input!$C$3)</f>
        <v/>
      </c>
      <c r="I1184" s="153" t="str">
        <f>IF(E1184="","",HLOOKUP($B1184,Input!$C$13:$BT$14,2))</f>
        <v/>
      </c>
      <c r="J1184" s="154"/>
      <c r="K1184" s="150" t="str">
        <f>IF($E1184="","",INDEX(Input!$C$16:$CP$16,1,$B1184))</f>
        <v/>
      </c>
      <c r="L1184" s="150" t="str">
        <f>IF($E1184="","",Input!$C$37)</f>
        <v/>
      </c>
      <c r="M1184" s="150" t="str">
        <f t="shared" si="772"/>
        <v/>
      </c>
      <c r="N1184" s="150" t="str">
        <f t="shared" si="773"/>
        <v/>
      </c>
      <c r="O1184" s="147" t="str">
        <f>IF($E1184="","",MIN(VLOOKUP(IF($B1184&lt;=Input!$C$7,$B1184,26),'Mortality Tables'!$A$41:$CW$67,IF($B1184&lt;=Input!$C$7+1,Input!$C$4+2,$D1184-Input!$C$7+2),0)*IF(B1184&gt;20,Input!$C$22,1)/1000,1))</f>
        <v/>
      </c>
      <c r="P1184" s="147" t="str">
        <f>IF($E1184="","",MIN(VLOOKUP(IF($B1184&lt;=Input!$C$7,$B1184,26),'Mortality Tables'!$A$12:$CW$37,IF($B1184&lt;=Input!$C$7+1,Input!$C$4+2,$D1184-Input!$C$7+2),0)*IF(B1184&gt;20,Input!$C$22,1)/1000,1))</f>
        <v/>
      </c>
      <c r="Q1184" s="155" t="str">
        <f>IF($E1184="","",Input!$C$21)</f>
        <v/>
      </c>
      <c r="R1184" s="159" t="str">
        <f>IF($E1184="","",(1-Q1184)^($F1184-Input!$C$20))</f>
        <v/>
      </c>
      <c r="S1184" s="147" t="str">
        <f t="shared" si="761"/>
        <v/>
      </c>
      <c r="T1184" s="147" t="str">
        <f t="shared" si="762"/>
        <v/>
      </c>
      <c r="U1184" s="160" t="str">
        <f>IF($E1184="","",IF($C1184=12,INDEX(Input!$C$15:$CP$15,1,$B1184),0))</f>
        <v/>
      </c>
      <c r="V1184" s="150" t="str">
        <f>IF(E1184="","",IF(C1184=1,IF($B1184=1,Input!$C$33,Input!$C$34),0))</f>
        <v/>
      </c>
      <c r="W1184" s="156" t="str">
        <f>IF($E1184="","",Input!$C$35)</f>
        <v/>
      </c>
      <c r="X1184" s="156" t="str">
        <f t="shared" si="763"/>
        <v/>
      </c>
      <c r="Y1184" s="154"/>
      <c r="Z1184" s="147" t="str">
        <f>IF($E1184="","",VLOOKUP($D1184,'Mortality Margins &amp; Grading'!$AB$5:$AF$125,3,0)*IF(Summary!$D$25="Included Margin",IF(AND($B1184&gt;Input!$C$9,Summary!$D$31&lt;&gt;"Included Margin"),0,1),0))</f>
        <v/>
      </c>
      <c r="AA1184" s="147" t="str">
        <f>IF($E1184="","",VLOOKUP($D1184,'Mortality Margins &amp; Grading'!$AB$5:$AF$125,5,0)*IF(Summary!$D$25="Included Margin",IF(AND($B1184&gt;Input!$C$9,Summary!$D$31&lt;&gt;"Included Margin"),0,1),0))</f>
        <v/>
      </c>
      <c r="AB1184" s="147" t="str">
        <f>IF($E1184="","",IF(AND($B1184&gt;Input!$C$9,Summary!$D$31&lt;&gt;"Included Margin"),1,IF(Summary!$D$25="Included Margin",VLOOKUP($B1184,'Mortality Margins &amp; Grading'!$AI$5:$AR$125,MATCH('Mortality Margins &amp; Grading'!$AQ$4,'Mortality Margins &amp; Grading'!$AI$4:$AR$4,0),0),1)))</f>
        <v/>
      </c>
      <c r="AC1184" s="154"/>
      <c r="AD1184" s="158" t="str">
        <f>IF(E1184="","",Input!$C$48*IF(Summary!$D$30="Included Margin",IF(AND($B1184&gt;Input!$C$9,Summary!$D$31&lt;&gt;"Included Margin"),0,1),0))</f>
        <v/>
      </c>
      <c r="AE1184" s="159" t="str">
        <f>IF(E1184="","",IF(Summary!$D$26="Included Margin",IF(AND($B1184&gt;Input!$C$9,Summary!$D$31&lt;&gt;"Included Margin"),1,1/$R1184),1))</f>
        <v/>
      </c>
      <c r="AF1184" s="160" t="str">
        <f>IF(E1184="","",IF(AND($B1184&gt;=Input!$C$9,$C1184=12,Summary!$D$31="Included Margin",$U1184&gt;0),1/U1184-1,IF($B1184&gt;=Input!$C$9,0,Input!$C$45*IF(Summary!$D$27="Included Margin",1,0))))</f>
        <v/>
      </c>
      <c r="AG1184" s="160" t="str">
        <f>IF(E1184="","",Input!$C$46*IF(Summary!$D$28="Included Margin",IF(AND($B1184&gt;Input!$C$9,Summary!$D$31&lt;&gt;"Included Margin"),0,1),0))</f>
        <v/>
      </c>
      <c r="AH1184" s="158" t="str">
        <f>IF(E1184="","",Input!$C$47*IF(Summary!$D$29="Included Margin",IF(AND($B1184&gt;Input!$C$9,Summary!$D$31&lt;&gt;"Included Margin"),0,1),0))</f>
        <v/>
      </c>
      <c r="AI1184" s="154"/>
      <c r="AJ1184" s="158" t="str">
        <f t="shared" si="774"/>
        <v/>
      </c>
      <c r="AK1184" s="150" t="str">
        <f t="shared" si="775"/>
        <v/>
      </c>
      <c r="AL1184" s="147" t="str">
        <f t="shared" si="776"/>
        <v/>
      </c>
      <c r="AM1184" s="147" t="str">
        <f t="shared" si="764"/>
        <v/>
      </c>
      <c r="AN1184" s="160" t="str">
        <f t="shared" si="777"/>
        <v/>
      </c>
      <c r="AO1184" s="161" t="str">
        <f t="shared" si="778"/>
        <v/>
      </c>
      <c r="AP1184" s="156" t="str">
        <f t="shared" si="765"/>
        <v/>
      </c>
      <c r="AQ1184" s="152"/>
      <c r="AR1184" s="162" t="str">
        <f t="shared" si="766"/>
        <v/>
      </c>
      <c r="AS1184" s="150" t="str">
        <f t="shared" si="779"/>
        <v/>
      </c>
      <c r="AT1184" s="163" t="str">
        <f t="shared" si="767"/>
        <v/>
      </c>
      <c r="AU1184" s="163" t="str">
        <f t="shared" si="768"/>
        <v/>
      </c>
      <c r="AV1184" s="163" t="str">
        <f t="shared" si="780"/>
        <v/>
      </c>
      <c r="AW1184" s="163" t="str">
        <f t="shared" si="769"/>
        <v/>
      </c>
      <c r="AX1184" s="163" t="str">
        <f t="shared" si="770"/>
        <v/>
      </c>
      <c r="AY1184" s="150" t="str">
        <f t="shared" si="781"/>
        <v/>
      </c>
      <c r="AZ1184" s="150" t="str">
        <f>IF($E1184="","",IF(OR(AND($D1184=Input!$C$6,$C1184=12),$AN1184=1),0,-AS1185+AT1185+AU1185-AV1185-AW1185-AX1185+AZ1185))</f>
        <v/>
      </c>
      <c r="BA1184" s="154" t="str">
        <f t="shared" si="771"/>
        <v/>
      </c>
      <c r="BC1184" s="147" t="str">
        <f t="shared" si="782"/>
        <v/>
      </c>
      <c r="BD1184" s="164" t="str">
        <f>IF(AND($C1183=12,$D1183=Input!$C$6),0,IF($E1184="","",AT1184+(AU1184+BD1185)/(1+$AK1184)*MIN((1-AM1184-AN1184),1)))</f>
        <v/>
      </c>
      <c r="BH1184" s="152"/>
      <c r="BI1184" s="162" t="str">
        <f t="shared" si="790"/>
        <v/>
      </c>
      <c r="BJ1184" s="150" t="str">
        <f t="shared" si="791"/>
        <v/>
      </c>
      <c r="BK1184" s="163" t="str">
        <f t="shared" si="787"/>
        <v/>
      </c>
      <c r="BL1184" s="163" t="str">
        <f t="shared" si="792"/>
        <v/>
      </c>
      <c r="BM1184" s="163" t="str">
        <f t="shared" si="788"/>
        <v/>
      </c>
      <c r="BN1184" s="163" t="str">
        <f t="shared" si="793"/>
        <v/>
      </c>
      <c r="BO1184" s="163" t="str">
        <f t="shared" si="794"/>
        <v/>
      </c>
      <c r="BP1184" s="150" t="str">
        <f t="shared" si="789"/>
        <v/>
      </c>
      <c r="BQ1184" s="150" t="str">
        <f t="shared" si="783"/>
        <v/>
      </c>
      <c r="BR1184" s="154" t="str">
        <f t="shared" si="795"/>
        <v/>
      </c>
      <c r="BT1184" s="147"/>
    </row>
    <row r="1185" spans="1:72" s="150" customFormat="1" x14ac:dyDescent="0.25">
      <c r="A1185" s="150" t="str">
        <f t="shared" si="784"/>
        <v/>
      </c>
      <c r="B1185" s="150" t="str">
        <f t="shared" si="785"/>
        <v/>
      </c>
      <c r="C1185" s="150" t="str">
        <f t="shared" si="786"/>
        <v/>
      </c>
      <c r="D1185" s="150" t="str">
        <f>IF(E1185="","",Input!$C$4+B1185-1)</f>
        <v/>
      </c>
      <c r="E1185" s="150" t="str">
        <f>IF(OR(AND(C1184=12,D1184=Input!$C$6),E1184=""),"",1)</f>
        <v/>
      </c>
      <c r="G1185" s="151" t="str">
        <f>IF(E1185="","",MAX(0,Input!$C$9-B1185))</f>
        <v/>
      </c>
      <c r="H1185" s="152" t="str">
        <f>IF(E1185="","",Input!$C$3)</f>
        <v/>
      </c>
      <c r="I1185" s="153" t="str">
        <f>IF(E1185="","",HLOOKUP($B1185,Input!$C$13:$BT$14,2))</f>
        <v/>
      </c>
      <c r="J1185" s="154"/>
      <c r="K1185" s="150" t="str">
        <f>IF($E1185="","",INDEX(Input!$C$16:$CP$16,1,$B1185))</f>
        <v/>
      </c>
      <c r="L1185" s="150" t="str">
        <f>IF($E1185="","",Input!$C$37)</f>
        <v/>
      </c>
      <c r="M1185" s="150" t="str">
        <f t="shared" si="772"/>
        <v/>
      </c>
      <c r="N1185" s="150" t="str">
        <f t="shared" si="773"/>
        <v/>
      </c>
      <c r="O1185" s="147" t="str">
        <f>IF($E1185="","",MIN(VLOOKUP(IF($B1185&lt;=Input!$C$7,$B1185,26),'Mortality Tables'!$A$41:$CW$67,IF($B1185&lt;=Input!$C$7+1,Input!$C$4+2,$D1185-Input!$C$7+2),0)*IF(B1185&gt;20,Input!$C$22,1)/1000,1))</f>
        <v/>
      </c>
      <c r="P1185" s="147" t="str">
        <f>IF($E1185="","",MIN(VLOOKUP(IF($B1185&lt;=Input!$C$7,$B1185,26),'Mortality Tables'!$A$12:$CW$37,IF($B1185&lt;=Input!$C$7+1,Input!$C$4+2,$D1185-Input!$C$7+2),0)*IF(B1185&gt;20,Input!$C$22,1)/1000,1))</f>
        <v/>
      </c>
      <c r="Q1185" s="155" t="str">
        <f>IF($E1185="","",Input!$C$21)</f>
        <v/>
      </c>
      <c r="R1185" s="159" t="str">
        <f>IF($E1185="","",(1-Q1185)^($F1185-Input!$C$20))</f>
        <v/>
      </c>
      <c r="S1185" s="147" t="str">
        <f t="shared" si="761"/>
        <v/>
      </c>
      <c r="T1185" s="147" t="str">
        <f t="shared" si="762"/>
        <v/>
      </c>
      <c r="U1185" s="160" t="str">
        <f>IF($E1185="","",IF($C1185=12,INDEX(Input!$C$15:$CP$15,1,$B1185),0))</f>
        <v/>
      </c>
      <c r="V1185" s="150" t="str">
        <f>IF(E1185="","",IF(C1185=1,IF($B1185=1,Input!$C$33,Input!$C$34),0))</f>
        <v/>
      </c>
      <c r="W1185" s="156" t="str">
        <f>IF($E1185="","",Input!$C$35)</f>
        <v/>
      </c>
      <c r="X1185" s="156" t="str">
        <f t="shared" si="763"/>
        <v/>
      </c>
      <c r="Y1185" s="154"/>
      <c r="Z1185" s="147" t="str">
        <f>IF($E1185="","",VLOOKUP($D1185,'Mortality Margins &amp; Grading'!$AB$5:$AF$125,3,0)*IF(Summary!$D$25="Included Margin",IF(AND($B1185&gt;Input!$C$9,Summary!$D$31&lt;&gt;"Included Margin"),0,1),0))</f>
        <v/>
      </c>
      <c r="AA1185" s="147" t="str">
        <f>IF($E1185="","",VLOOKUP($D1185,'Mortality Margins &amp; Grading'!$AB$5:$AF$125,5,0)*IF(Summary!$D$25="Included Margin",IF(AND($B1185&gt;Input!$C$9,Summary!$D$31&lt;&gt;"Included Margin"),0,1),0))</f>
        <v/>
      </c>
      <c r="AB1185" s="147" t="str">
        <f>IF($E1185="","",IF(AND($B1185&gt;Input!$C$9,Summary!$D$31&lt;&gt;"Included Margin"),1,IF(Summary!$D$25="Included Margin",VLOOKUP($B1185,'Mortality Margins &amp; Grading'!$AI$5:$AR$125,MATCH('Mortality Margins &amp; Grading'!$AQ$4,'Mortality Margins &amp; Grading'!$AI$4:$AR$4,0),0),1)))</f>
        <v/>
      </c>
      <c r="AC1185" s="154"/>
      <c r="AD1185" s="158" t="str">
        <f>IF(E1185="","",Input!$C$48*IF(Summary!$D$30="Included Margin",IF(AND($B1185&gt;Input!$C$9,Summary!$D$31&lt;&gt;"Included Margin"),0,1),0))</f>
        <v/>
      </c>
      <c r="AE1185" s="159" t="str">
        <f>IF(E1185="","",IF(Summary!$D$26="Included Margin",IF(AND($B1185&gt;Input!$C$9,Summary!$D$31&lt;&gt;"Included Margin"),1,1/$R1185),1))</f>
        <v/>
      </c>
      <c r="AF1185" s="160" t="str">
        <f>IF(E1185="","",IF(AND($B1185&gt;=Input!$C$9,$C1185=12,Summary!$D$31="Included Margin",$U1185&gt;0),1/U1185-1,IF($B1185&gt;=Input!$C$9,0,Input!$C$45*IF(Summary!$D$27="Included Margin",1,0))))</f>
        <v/>
      </c>
      <c r="AG1185" s="160" t="str">
        <f>IF(E1185="","",Input!$C$46*IF(Summary!$D$28="Included Margin",IF(AND($B1185&gt;Input!$C$9,Summary!$D$31&lt;&gt;"Included Margin"),0,1),0))</f>
        <v/>
      </c>
      <c r="AH1185" s="158" t="str">
        <f>IF(E1185="","",Input!$C$47*IF(Summary!$D$29="Included Margin",IF(AND($B1185&gt;Input!$C$9,Summary!$D$31&lt;&gt;"Included Margin"),0,1),0))</f>
        <v/>
      </c>
      <c r="AI1185" s="154"/>
      <c r="AJ1185" s="158" t="str">
        <f t="shared" si="774"/>
        <v/>
      </c>
      <c r="AK1185" s="150" t="str">
        <f t="shared" si="775"/>
        <v/>
      </c>
      <c r="AL1185" s="147" t="str">
        <f t="shared" si="776"/>
        <v/>
      </c>
      <c r="AM1185" s="147" t="str">
        <f t="shared" si="764"/>
        <v/>
      </c>
      <c r="AN1185" s="160" t="str">
        <f t="shared" si="777"/>
        <v/>
      </c>
      <c r="AO1185" s="161" t="str">
        <f t="shared" si="778"/>
        <v/>
      </c>
      <c r="AP1185" s="156" t="str">
        <f t="shared" si="765"/>
        <v/>
      </c>
      <c r="AQ1185" s="152"/>
      <c r="AR1185" s="162" t="str">
        <f t="shared" si="766"/>
        <v/>
      </c>
      <c r="AS1185" s="150" t="str">
        <f t="shared" si="779"/>
        <v/>
      </c>
      <c r="AT1185" s="163" t="str">
        <f t="shared" si="767"/>
        <v/>
      </c>
      <c r="AU1185" s="163" t="str">
        <f t="shared" si="768"/>
        <v/>
      </c>
      <c r="AV1185" s="163" t="str">
        <f t="shared" si="780"/>
        <v/>
      </c>
      <c r="AW1185" s="163" t="str">
        <f t="shared" si="769"/>
        <v/>
      </c>
      <c r="AX1185" s="163" t="str">
        <f t="shared" si="770"/>
        <v/>
      </c>
      <c r="AY1185" s="150" t="str">
        <f t="shared" si="781"/>
        <v/>
      </c>
      <c r="AZ1185" s="150" t="str">
        <f>IF($E1185="","",IF(OR(AND($D1185=Input!$C$6,$C1185=12),$AN1185=1),0,-AS1186+AT1186+AU1186-AV1186-AW1186-AX1186+AZ1186))</f>
        <v/>
      </c>
      <c r="BA1185" s="154" t="str">
        <f t="shared" si="771"/>
        <v/>
      </c>
      <c r="BC1185" s="147" t="str">
        <f t="shared" si="782"/>
        <v/>
      </c>
      <c r="BD1185" s="164" t="str">
        <f>IF(AND($C1184=12,$D1184=Input!$C$6),0,IF($E1185="","",AT1185+(AU1185+BD1186)/(1+$AK1185)*MIN((1-AM1185-AN1185),1)))</f>
        <v/>
      </c>
      <c r="BH1185" s="152"/>
      <c r="BI1185" s="162" t="str">
        <f t="shared" si="790"/>
        <v/>
      </c>
      <c r="BJ1185" s="150" t="str">
        <f t="shared" si="791"/>
        <v/>
      </c>
      <c r="BK1185" s="163" t="str">
        <f t="shared" si="787"/>
        <v/>
      </c>
      <c r="BL1185" s="163" t="str">
        <f t="shared" si="792"/>
        <v/>
      </c>
      <c r="BM1185" s="163" t="str">
        <f t="shared" si="788"/>
        <v/>
      </c>
      <c r="BN1185" s="163" t="str">
        <f t="shared" si="793"/>
        <v/>
      </c>
      <c r="BO1185" s="163" t="str">
        <f t="shared" si="794"/>
        <v/>
      </c>
      <c r="BP1185" s="150" t="str">
        <f t="shared" si="789"/>
        <v/>
      </c>
      <c r="BQ1185" s="150" t="str">
        <f t="shared" si="783"/>
        <v/>
      </c>
      <c r="BR1185" s="154" t="str">
        <f t="shared" si="795"/>
        <v/>
      </c>
      <c r="BT1185" s="147"/>
    </row>
    <row r="1186" spans="1:72" s="150" customFormat="1" x14ac:dyDescent="0.25">
      <c r="A1186" s="150" t="str">
        <f t="shared" si="784"/>
        <v/>
      </c>
      <c r="B1186" s="150" t="str">
        <f t="shared" si="785"/>
        <v/>
      </c>
      <c r="C1186" s="150" t="str">
        <f t="shared" si="786"/>
        <v/>
      </c>
      <c r="D1186" s="150" t="str">
        <f>IF(E1186="","",Input!$C$4+B1186-1)</f>
        <v/>
      </c>
      <c r="E1186" s="150" t="str">
        <f>IF(OR(AND(C1185=12,D1185=Input!$C$6),E1185=""),"",1)</f>
        <v/>
      </c>
      <c r="G1186" s="151" t="str">
        <f>IF(E1186="","",MAX(0,Input!$C$9-B1186))</f>
        <v/>
      </c>
      <c r="H1186" s="152" t="str">
        <f>IF(E1186="","",Input!$C$3)</f>
        <v/>
      </c>
      <c r="I1186" s="153" t="str">
        <f>IF(E1186="","",HLOOKUP($B1186,Input!$C$13:$BT$14,2))</f>
        <v/>
      </c>
      <c r="J1186" s="154"/>
      <c r="K1186" s="150" t="str">
        <f>IF($E1186="","",INDEX(Input!$C$16:$CP$16,1,$B1186))</f>
        <v/>
      </c>
      <c r="L1186" s="150" t="str">
        <f>IF($E1186="","",Input!$C$37)</f>
        <v/>
      </c>
      <c r="M1186" s="150" t="str">
        <f t="shared" si="772"/>
        <v/>
      </c>
      <c r="N1186" s="150" t="str">
        <f t="shared" si="773"/>
        <v/>
      </c>
      <c r="O1186" s="147" t="str">
        <f>IF($E1186="","",MIN(VLOOKUP(IF($B1186&lt;=Input!$C$7,$B1186,26),'Mortality Tables'!$A$41:$CW$67,IF($B1186&lt;=Input!$C$7+1,Input!$C$4+2,$D1186-Input!$C$7+2),0)*IF(B1186&gt;20,Input!$C$22,1)/1000,1))</f>
        <v/>
      </c>
      <c r="P1186" s="147" t="str">
        <f>IF($E1186="","",MIN(VLOOKUP(IF($B1186&lt;=Input!$C$7,$B1186,26),'Mortality Tables'!$A$12:$CW$37,IF($B1186&lt;=Input!$C$7+1,Input!$C$4+2,$D1186-Input!$C$7+2),0)*IF(B1186&gt;20,Input!$C$22,1)/1000,1))</f>
        <v/>
      </c>
      <c r="Q1186" s="155" t="str">
        <f>IF($E1186="","",Input!$C$21)</f>
        <v/>
      </c>
      <c r="R1186" s="159" t="str">
        <f>IF($E1186="","",(1-Q1186)^($F1186-Input!$C$20))</f>
        <v/>
      </c>
      <c r="S1186" s="147" t="str">
        <f t="shared" si="761"/>
        <v/>
      </c>
      <c r="T1186" s="147" t="str">
        <f t="shared" si="762"/>
        <v/>
      </c>
      <c r="U1186" s="160" t="str">
        <f>IF($E1186="","",IF($C1186=12,INDEX(Input!$C$15:$CP$15,1,$B1186),0))</f>
        <v/>
      </c>
      <c r="V1186" s="150" t="str">
        <f>IF(E1186="","",IF(C1186=1,IF($B1186=1,Input!$C$33,Input!$C$34),0))</f>
        <v/>
      </c>
      <c r="W1186" s="156" t="str">
        <f>IF($E1186="","",Input!$C$35)</f>
        <v/>
      </c>
      <c r="X1186" s="156" t="str">
        <f t="shared" si="763"/>
        <v/>
      </c>
      <c r="Y1186" s="154"/>
      <c r="Z1186" s="147" t="str">
        <f>IF($E1186="","",VLOOKUP($D1186,'Mortality Margins &amp; Grading'!$AB$5:$AF$125,3,0)*IF(Summary!$D$25="Included Margin",IF(AND($B1186&gt;Input!$C$9,Summary!$D$31&lt;&gt;"Included Margin"),0,1),0))</f>
        <v/>
      </c>
      <c r="AA1186" s="147" t="str">
        <f>IF($E1186="","",VLOOKUP($D1186,'Mortality Margins &amp; Grading'!$AB$5:$AF$125,5,0)*IF(Summary!$D$25="Included Margin",IF(AND($B1186&gt;Input!$C$9,Summary!$D$31&lt;&gt;"Included Margin"),0,1),0))</f>
        <v/>
      </c>
      <c r="AB1186" s="147" t="str">
        <f>IF($E1186="","",IF(AND($B1186&gt;Input!$C$9,Summary!$D$31&lt;&gt;"Included Margin"),1,IF(Summary!$D$25="Included Margin",VLOOKUP($B1186,'Mortality Margins &amp; Grading'!$AI$5:$AR$125,MATCH('Mortality Margins &amp; Grading'!$AQ$4,'Mortality Margins &amp; Grading'!$AI$4:$AR$4,0),0),1)))</f>
        <v/>
      </c>
      <c r="AC1186" s="154"/>
      <c r="AD1186" s="158" t="str">
        <f>IF(E1186="","",Input!$C$48*IF(Summary!$D$30="Included Margin",IF(AND($B1186&gt;Input!$C$9,Summary!$D$31&lt;&gt;"Included Margin"),0,1),0))</f>
        <v/>
      </c>
      <c r="AE1186" s="159" t="str">
        <f>IF(E1186="","",IF(Summary!$D$26="Included Margin",IF(AND($B1186&gt;Input!$C$9,Summary!$D$31&lt;&gt;"Included Margin"),1,1/$R1186),1))</f>
        <v/>
      </c>
      <c r="AF1186" s="160" t="str">
        <f>IF(E1186="","",IF(AND($B1186&gt;=Input!$C$9,$C1186=12,Summary!$D$31="Included Margin",$U1186&gt;0),1/U1186-1,IF($B1186&gt;=Input!$C$9,0,Input!$C$45*IF(Summary!$D$27="Included Margin",1,0))))</f>
        <v/>
      </c>
      <c r="AG1186" s="160" t="str">
        <f>IF(E1186="","",Input!$C$46*IF(Summary!$D$28="Included Margin",IF(AND($B1186&gt;Input!$C$9,Summary!$D$31&lt;&gt;"Included Margin"),0,1),0))</f>
        <v/>
      </c>
      <c r="AH1186" s="158" t="str">
        <f>IF(E1186="","",Input!$C$47*IF(Summary!$D$29="Included Margin",IF(AND($B1186&gt;Input!$C$9,Summary!$D$31&lt;&gt;"Included Margin"),0,1),0))</f>
        <v/>
      </c>
      <c r="AI1186" s="154"/>
      <c r="AJ1186" s="158" t="str">
        <f t="shared" si="774"/>
        <v/>
      </c>
      <c r="AK1186" s="150" t="str">
        <f t="shared" si="775"/>
        <v/>
      </c>
      <c r="AL1186" s="147" t="str">
        <f t="shared" si="776"/>
        <v/>
      </c>
      <c r="AM1186" s="147" t="str">
        <f t="shared" si="764"/>
        <v/>
      </c>
      <c r="AN1186" s="160" t="str">
        <f t="shared" si="777"/>
        <v/>
      </c>
      <c r="AO1186" s="161" t="str">
        <f t="shared" si="778"/>
        <v/>
      </c>
      <c r="AP1186" s="156" t="str">
        <f t="shared" si="765"/>
        <v/>
      </c>
      <c r="AQ1186" s="152"/>
      <c r="AR1186" s="162" t="str">
        <f t="shared" si="766"/>
        <v/>
      </c>
      <c r="AS1186" s="150" t="str">
        <f t="shared" si="779"/>
        <v/>
      </c>
      <c r="AT1186" s="163" t="str">
        <f t="shared" si="767"/>
        <v/>
      </c>
      <c r="AU1186" s="163" t="str">
        <f t="shared" si="768"/>
        <v/>
      </c>
      <c r="AV1186" s="163" t="str">
        <f t="shared" si="780"/>
        <v/>
      </c>
      <c r="AW1186" s="163" t="str">
        <f t="shared" si="769"/>
        <v/>
      </c>
      <c r="AX1186" s="163" t="str">
        <f t="shared" si="770"/>
        <v/>
      </c>
      <c r="AY1186" s="150" t="str">
        <f t="shared" si="781"/>
        <v/>
      </c>
      <c r="AZ1186" s="150" t="str">
        <f>IF($E1186="","",IF(OR(AND($D1186=Input!$C$6,$C1186=12),$AN1186=1),0,-AS1187+AT1187+AU1187-AV1187-AW1187-AX1187+AZ1187))</f>
        <v/>
      </c>
      <c r="BA1186" s="154" t="str">
        <f t="shared" si="771"/>
        <v/>
      </c>
      <c r="BC1186" s="147" t="str">
        <f t="shared" si="782"/>
        <v/>
      </c>
      <c r="BD1186" s="164" t="str">
        <f>IF(AND($C1185=12,$D1185=Input!$C$6),0,IF($E1186="","",AT1186+(AU1186+BD1187)/(1+$AK1186)*MIN((1-AM1186-AN1186),1)))</f>
        <v/>
      </c>
      <c r="BH1186" s="152"/>
      <c r="BI1186" s="162" t="str">
        <f t="shared" si="790"/>
        <v/>
      </c>
      <c r="BJ1186" s="150" t="str">
        <f t="shared" si="791"/>
        <v/>
      </c>
      <c r="BK1186" s="163" t="str">
        <f t="shared" si="787"/>
        <v/>
      </c>
      <c r="BL1186" s="163" t="str">
        <f t="shared" si="792"/>
        <v/>
      </c>
      <c r="BM1186" s="163" t="str">
        <f t="shared" si="788"/>
        <v/>
      </c>
      <c r="BN1186" s="163" t="str">
        <f t="shared" si="793"/>
        <v/>
      </c>
      <c r="BO1186" s="163" t="str">
        <f t="shared" si="794"/>
        <v/>
      </c>
      <c r="BP1186" s="150" t="str">
        <f t="shared" si="789"/>
        <v/>
      </c>
      <c r="BQ1186" s="150" t="str">
        <f t="shared" si="783"/>
        <v/>
      </c>
      <c r="BR1186" s="154" t="str">
        <f t="shared" si="795"/>
        <v/>
      </c>
      <c r="BT1186" s="147"/>
    </row>
    <row r="1187" spans="1:72" s="150" customFormat="1" x14ac:dyDescent="0.25">
      <c r="A1187" s="150" t="str">
        <f t="shared" si="784"/>
        <v/>
      </c>
      <c r="B1187" s="150" t="str">
        <f t="shared" si="785"/>
        <v/>
      </c>
      <c r="C1187" s="150" t="str">
        <f t="shared" si="786"/>
        <v/>
      </c>
      <c r="D1187" s="150" t="str">
        <f>IF(E1187="","",Input!$C$4+B1187-1)</f>
        <v/>
      </c>
      <c r="E1187" s="150" t="str">
        <f>IF(OR(AND(C1186=12,D1186=Input!$C$6),E1186=""),"",1)</f>
        <v/>
      </c>
      <c r="G1187" s="151" t="str">
        <f>IF(E1187="","",MAX(0,Input!$C$9-B1187))</f>
        <v/>
      </c>
      <c r="H1187" s="152" t="str">
        <f>IF(E1187="","",Input!$C$3)</f>
        <v/>
      </c>
      <c r="I1187" s="153" t="str">
        <f>IF(E1187="","",HLOOKUP($B1187,Input!$C$13:$BT$14,2))</f>
        <v/>
      </c>
      <c r="J1187" s="154"/>
      <c r="K1187" s="150" t="str">
        <f>IF($E1187="","",INDEX(Input!$C$16:$CP$16,1,$B1187))</f>
        <v/>
      </c>
      <c r="L1187" s="150" t="str">
        <f>IF($E1187="","",Input!$C$37)</f>
        <v/>
      </c>
      <c r="M1187" s="150" t="str">
        <f t="shared" si="772"/>
        <v/>
      </c>
      <c r="N1187" s="150" t="str">
        <f t="shared" si="773"/>
        <v/>
      </c>
      <c r="O1187" s="147" t="str">
        <f>IF($E1187="","",MIN(VLOOKUP(IF($B1187&lt;=Input!$C$7,$B1187,26),'Mortality Tables'!$A$41:$CW$67,IF($B1187&lt;=Input!$C$7+1,Input!$C$4+2,$D1187-Input!$C$7+2),0)*IF(B1187&gt;20,Input!$C$22,1)/1000,1))</f>
        <v/>
      </c>
      <c r="P1187" s="147" t="str">
        <f>IF($E1187="","",MIN(VLOOKUP(IF($B1187&lt;=Input!$C$7,$B1187,26),'Mortality Tables'!$A$12:$CW$37,IF($B1187&lt;=Input!$C$7+1,Input!$C$4+2,$D1187-Input!$C$7+2),0)*IF(B1187&gt;20,Input!$C$22,1)/1000,1))</f>
        <v/>
      </c>
      <c r="Q1187" s="155" t="str">
        <f>IF($E1187="","",Input!$C$21)</f>
        <v/>
      </c>
      <c r="R1187" s="159" t="str">
        <f>IF($E1187="","",(1-Q1187)^($F1187-Input!$C$20))</f>
        <v/>
      </c>
      <c r="S1187" s="147" t="str">
        <f t="shared" si="761"/>
        <v/>
      </c>
      <c r="T1187" s="147" t="str">
        <f t="shared" si="762"/>
        <v/>
      </c>
      <c r="U1187" s="160" t="str">
        <f>IF($E1187="","",IF($C1187=12,INDEX(Input!$C$15:$CP$15,1,$B1187),0))</f>
        <v/>
      </c>
      <c r="V1187" s="150" t="str">
        <f>IF(E1187="","",IF(C1187=1,IF($B1187=1,Input!$C$33,Input!$C$34),0))</f>
        <v/>
      </c>
      <c r="W1187" s="156" t="str">
        <f>IF($E1187="","",Input!$C$35)</f>
        <v/>
      </c>
      <c r="X1187" s="156" t="str">
        <f t="shared" si="763"/>
        <v/>
      </c>
      <c r="Y1187" s="154"/>
      <c r="Z1187" s="147" t="str">
        <f>IF($E1187="","",VLOOKUP($D1187,'Mortality Margins &amp; Grading'!$AB$5:$AF$125,3,0)*IF(Summary!$D$25="Included Margin",IF(AND($B1187&gt;Input!$C$9,Summary!$D$31&lt;&gt;"Included Margin"),0,1),0))</f>
        <v/>
      </c>
      <c r="AA1187" s="147" t="str">
        <f>IF($E1187="","",VLOOKUP($D1187,'Mortality Margins &amp; Grading'!$AB$5:$AF$125,5,0)*IF(Summary!$D$25="Included Margin",IF(AND($B1187&gt;Input!$C$9,Summary!$D$31&lt;&gt;"Included Margin"),0,1),0))</f>
        <v/>
      </c>
      <c r="AB1187" s="147" t="str">
        <f>IF($E1187="","",IF(AND($B1187&gt;Input!$C$9,Summary!$D$31&lt;&gt;"Included Margin"),1,IF(Summary!$D$25="Included Margin",VLOOKUP($B1187,'Mortality Margins &amp; Grading'!$AI$5:$AR$125,MATCH('Mortality Margins &amp; Grading'!$AQ$4,'Mortality Margins &amp; Grading'!$AI$4:$AR$4,0),0),1)))</f>
        <v/>
      </c>
      <c r="AC1187" s="154"/>
      <c r="AD1187" s="158" t="str">
        <f>IF(E1187="","",Input!$C$48*IF(Summary!$D$30="Included Margin",IF(AND($B1187&gt;Input!$C$9,Summary!$D$31&lt;&gt;"Included Margin"),0,1),0))</f>
        <v/>
      </c>
      <c r="AE1187" s="159" t="str">
        <f>IF(E1187="","",IF(Summary!$D$26="Included Margin",IF(AND($B1187&gt;Input!$C$9,Summary!$D$31&lt;&gt;"Included Margin"),1,1/$R1187),1))</f>
        <v/>
      </c>
      <c r="AF1187" s="160" t="str">
        <f>IF(E1187="","",IF(AND($B1187&gt;=Input!$C$9,$C1187=12,Summary!$D$31="Included Margin",$U1187&gt;0),1/U1187-1,IF($B1187&gt;=Input!$C$9,0,Input!$C$45*IF(Summary!$D$27="Included Margin",1,0))))</f>
        <v/>
      </c>
      <c r="AG1187" s="160" t="str">
        <f>IF(E1187="","",Input!$C$46*IF(Summary!$D$28="Included Margin",IF(AND($B1187&gt;Input!$C$9,Summary!$D$31&lt;&gt;"Included Margin"),0,1),0))</f>
        <v/>
      </c>
      <c r="AH1187" s="158" t="str">
        <f>IF(E1187="","",Input!$C$47*IF(Summary!$D$29="Included Margin",IF(AND($B1187&gt;Input!$C$9,Summary!$D$31&lt;&gt;"Included Margin"),0,1),0))</f>
        <v/>
      </c>
      <c r="AI1187" s="154"/>
      <c r="AJ1187" s="158" t="str">
        <f t="shared" si="774"/>
        <v/>
      </c>
      <c r="AK1187" s="150" t="str">
        <f t="shared" si="775"/>
        <v/>
      </c>
      <c r="AL1187" s="147" t="str">
        <f t="shared" si="776"/>
        <v/>
      </c>
      <c r="AM1187" s="147" t="str">
        <f t="shared" si="764"/>
        <v/>
      </c>
      <c r="AN1187" s="160" t="str">
        <f t="shared" si="777"/>
        <v/>
      </c>
      <c r="AO1187" s="161" t="str">
        <f t="shared" si="778"/>
        <v/>
      </c>
      <c r="AP1187" s="156" t="str">
        <f t="shared" si="765"/>
        <v/>
      </c>
      <c r="AQ1187" s="152"/>
      <c r="AR1187" s="162" t="str">
        <f t="shared" si="766"/>
        <v/>
      </c>
      <c r="AS1187" s="150" t="str">
        <f t="shared" si="779"/>
        <v/>
      </c>
      <c r="AT1187" s="163" t="str">
        <f t="shared" si="767"/>
        <v/>
      </c>
      <c r="AU1187" s="163" t="str">
        <f t="shared" si="768"/>
        <v/>
      </c>
      <c r="AV1187" s="163" t="str">
        <f t="shared" si="780"/>
        <v/>
      </c>
      <c r="AW1187" s="163" t="str">
        <f t="shared" si="769"/>
        <v/>
      </c>
      <c r="AX1187" s="163" t="str">
        <f t="shared" si="770"/>
        <v/>
      </c>
      <c r="AY1187" s="150" t="str">
        <f t="shared" si="781"/>
        <v/>
      </c>
      <c r="AZ1187" s="150" t="str">
        <f>IF($E1187="","",IF(OR(AND($D1187=Input!$C$6,$C1187=12),$AN1187=1),0,-AS1188+AT1188+AU1188-AV1188-AW1188-AX1188+AZ1188))</f>
        <v/>
      </c>
      <c r="BA1187" s="154" t="str">
        <f t="shared" si="771"/>
        <v/>
      </c>
      <c r="BC1187" s="147" t="str">
        <f t="shared" si="782"/>
        <v/>
      </c>
      <c r="BD1187" s="164" t="str">
        <f>IF(AND($C1186=12,$D1186=Input!$C$6),0,IF($E1187="","",AT1187+(AU1187+BD1188)/(1+$AK1187)*MIN((1-AM1187-AN1187),1)))</f>
        <v/>
      </c>
      <c r="BH1187" s="152"/>
      <c r="BI1187" s="162" t="str">
        <f t="shared" si="790"/>
        <v/>
      </c>
      <c r="BJ1187" s="150" t="str">
        <f t="shared" si="791"/>
        <v/>
      </c>
      <c r="BK1187" s="163" t="str">
        <f t="shared" si="787"/>
        <v/>
      </c>
      <c r="BL1187" s="163" t="str">
        <f t="shared" si="792"/>
        <v/>
      </c>
      <c r="BM1187" s="163" t="str">
        <f t="shared" si="788"/>
        <v/>
      </c>
      <c r="BN1187" s="163" t="str">
        <f t="shared" si="793"/>
        <v/>
      </c>
      <c r="BO1187" s="163" t="str">
        <f t="shared" si="794"/>
        <v/>
      </c>
      <c r="BP1187" s="150" t="str">
        <f t="shared" si="789"/>
        <v/>
      </c>
      <c r="BQ1187" s="150" t="str">
        <f t="shared" si="783"/>
        <v/>
      </c>
      <c r="BR1187" s="154" t="str">
        <f t="shared" si="795"/>
        <v/>
      </c>
      <c r="BT1187" s="147"/>
    </row>
    <row r="1188" spans="1:72" s="150" customFormat="1" x14ac:dyDescent="0.25">
      <c r="A1188" s="150" t="str">
        <f t="shared" si="784"/>
        <v/>
      </c>
      <c r="B1188" s="150" t="str">
        <f t="shared" si="785"/>
        <v/>
      </c>
      <c r="C1188" s="150" t="str">
        <f t="shared" si="786"/>
        <v/>
      </c>
      <c r="D1188" s="150" t="str">
        <f>IF(E1188="","",Input!$C$4+B1188-1)</f>
        <v/>
      </c>
      <c r="E1188" s="150" t="str">
        <f>IF(OR(AND(C1187=12,D1187=Input!$C$6),E1187=""),"",1)</f>
        <v/>
      </c>
      <c r="G1188" s="151" t="str">
        <f>IF(E1188="","",MAX(0,Input!$C$9-B1188))</f>
        <v/>
      </c>
      <c r="H1188" s="152" t="str">
        <f>IF(E1188="","",Input!$C$3)</f>
        <v/>
      </c>
      <c r="I1188" s="153" t="str">
        <f>IF(E1188="","",HLOOKUP($B1188,Input!$C$13:$BT$14,2))</f>
        <v/>
      </c>
      <c r="J1188" s="154"/>
      <c r="K1188" s="150" t="str">
        <f>IF($E1188="","",INDEX(Input!$C$16:$CP$16,1,$B1188))</f>
        <v/>
      </c>
      <c r="L1188" s="150" t="str">
        <f>IF($E1188="","",Input!$C$37)</f>
        <v/>
      </c>
      <c r="M1188" s="150" t="str">
        <f t="shared" si="772"/>
        <v/>
      </c>
      <c r="N1188" s="150" t="str">
        <f t="shared" si="773"/>
        <v/>
      </c>
      <c r="O1188" s="147" t="str">
        <f>IF($E1188="","",MIN(VLOOKUP(IF($B1188&lt;=Input!$C$7,$B1188,26),'Mortality Tables'!$A$41:$CW$67,IF($B1188&lt;=Input!$C$7+1,Input!$C$4+2,$D1188-Input!$C$7+2),0)*IF(B1188&gt;20,Input!$C$22,1)/1000,1))</f>
        <v/>
      </c>
      <c r="P1188" s="147" t="str">
        <f>IF($E1188="","",MIN(VLOOKUP(IF($B1188&lt;=Input!$C$7,$B1188,26),'Mortality Tables'!$A$12:$CW$37,IF($B1188&lt;=Input!$C$7+1,Input!$C$4+2,$D1188-Input!$C$7+2),0)*IF(B1188&gt;20,Input!$C$22,1)/1000,1))</f>
        <v/>
      </c>
      <c r="Q1188" s="155" t="str">
        <f>IF($E1188="","",Input!$C$21)</f>
        <v/>
      </c>
      <c r="R1188" s="159" t="str">
        <f>IF($E1188="","",(1-Q1188)^($F1188-Input!$C$20))</f>
        <v/>
      </c>
      <c r="S1188" s="147" t="str">
        <f t="shared" si="761"/>
        <v/>
      </c>
      <c r="T1188" s="147" t="str">
        <f t="shared" si="762"/>
        <v/>
      </c>
      <c r="U1188" s="160" t="str">
        <f>IF($E1188="","",IF($C1188=12,INDEX(Input!$C$15:$CP$15,1,$B1188),0))</f>
        <v/>
      </c>
      <c r="V1188" s="150" t="str">
        <f>IF(E1188="","",IF(C1188=1,IF($B1188=1,Input!$C$33,Input!$C$34),0))</f>
        <v/>
      </c>
      <c r="W1188" s="156" t="str">
        <f>IF($E1188="","",Input!$C$35)</f>
        <v/>
      </c>
      <c r="X1188" s="156" t="str">
        <f t="shared" si="763"/>
        <v/>
      </c>
      <c r="Y1188" s="154"/>
      <c r="Z1188" s="147" t="str">
        <f>IF($E1188="","",VLOOKUP($D1188,'Mortality Margins &amp; Grading'!$AB$5:$AF$125,3,0)*IF(Summary!$D$25="Included Margin",IF(AND($B1188&gt;Input!$C$9,Summary!$D$31&lt;&gt;"Included Margin"),0,1),0))</f>
        <v/>
      </c>
      <c r="AA1188" s="147" t="str">
        <f>IF($E1188="","",VLOOKUP($D1188,'Mortality Margins &amp; Grading'!$AB$5:$AF$125,5,0)*IF(Summary!$D$25="Included Margin",IF(AND($B1188&gt;Input!$C$9,Summary!$D$31&lt;&gt;"Included Margin"),0,1),0))</f>
        <v/>
      </c>
      <c r="AB1188" s="147" t="str">
        <f>IF($E1188="","",IF(AND($B1188&gt;Input!$C$9,Summary!$D$31&lt;&gt;"Included Margin"),1,IF(Summary!$D$25="Included Margin",VLOOKUP($B1188,'Mortality Margins &amp; Grading'!$AI$5:$AR$125,MATCH('Mortality Margins &amp; Grading'!$AQ$4,'Mortality Margins &amp; Grading'!$AI$4:$AR$4,0),0),1)))</f>
        <v/>
      </c>
      <c r="AC1188" s="154"/>
      <c r="AD1188" s="158" t="str">
        <f>IF(E1188="","",Input!$C$48*IF(Summary!$D$30="Included Margin",IF(AND($B1188&gt;Input!$C$9,Summary!$D$31&lt;&gt;"Included Margin"),0,1),0))</f>
        <v/>
      </c>
      <c r="AE1188" s="159" t="str">
        <f>IF(E1188="","",IF(Summary!$D$26="Included Margin",IF(AND($B1188&gt;Input!$C$9,Summary!$D$31&lt;&gt;"Included Margin"),1,1/$R1188),1))</f>
        <v/>
      </c>
      <c r="AF1188" s="160" t="str">
        <f>IF(E1188="","",IF(AND($B1188&gt;=Input!$C$9,$C1188=12,Summary!$D$31="Included Margin",$U1188&gt;0),1/U1188-1,IF($B1188&gt;=Input!$C$9,0,Input!$C$45*IF(Summary!$D$27="Included Margin",1,0))))</f>
        <v/>
      </c>
      <c r="AG1188" s="160" t="str">
        <f>IF(E1188="","",Input!$C$46*IF(Summary!$D$28="Included Margin",IF(AND($B1188&gt;Input!$C$9,Summary!$D$31&lt;&gt;"Included Margin"),0,1),0))</f>
        <v/>
      </c>
      <c r="AH1188" s="158" t="str">
        <f>IF(E1188="","",Input!$C$47*IF(Summary!$D$29="Included Margin",IF(AND($B1188&gt;Input!$C$9,Summary!$D$31&lt;&gt;"Included Margin"),0,1),0))</f>
        <v/>
      </c>
      <c r="AI1188" s="154"/>
      <c r="AJ1188" s="158" t="str">
        <f t="shared" si="774"/>
        <v/>
      </c>
      <c r="AK1188" s="150" t="str">
        <f t="shared" si="775"/>
        <v/>
      </c>
      <c r="AL1188" s="147" t="str">
        <f t="shared" si="776"/>
        <v/>
      </c>
      <c r="AM1188" s="147" t="str">
        <f t="shared" si="764"/>
        <v/>
      </c>
      <c r="AN1188" s="160" t="str">
        <f t="shared" si="777"/>
        <v/>
      </c>
      <c r="AO1188" s="161" t="str">
        <f t="shared" si="778"/>
        <v/>
      </c>
      <c r="AP1188" s="156" t="str">
        <f t="shared" si="765"/>
        <v/>
      </c>
      <c r="AQ1188" s="152"/>
      <c r="AR1188" s="162" t="str">
        <f t="shared" si="766"/>
        <v/>
      </c>
      <c r="AS1188" s="150" t="str">
        <f t="shared" si="779"/>
        <v/>
      </c>
      <c r="AT1188" s="163" t="str">
        <f t="shared" si="767"/>
        <v/>
      </c>
      <c r="AU1188" s="163" t="str">
        <f t="shared" si="768"/>
        <v/>
      </c>
      <c r="AV1188" s="163" t="str">
        <f t="shared" si="780"/>
        <v/>
      </c>
      <c r="AW1188" s="163" t="str">
        <f t="shared" si="769"/>
        <v/>
      </c>
      <c r="AX1188" s="163" t="str">
        <f t="shared" si="770"/>
        <v/>
      </c>
      <c r="AY1188" s="150" t="str">
        <f t="shared" si="781"/>
        <v/>
      </c>
      <c r="AZ1188" s="150" t="str">
        <f>IF($E1188="","",IF(OR(AND($D1188=Input!$C$6,$C1188=12),$AN1188=1),0,-AS1189+AT1189+AU1189-AV1189-AW1189-AX1189+AZ1189))</f>
        <v/>
      </c>
      <c r="BA1188" s="154" t="str">
        <f t="shared" si="771"/>
        <v/>
      </c>
      <c r="BC1188" s="147" t="str">
        <f t="shared" si="782"/>
        <v/>
      </c>
      <c r="BD1188" s="164" t="str">
        <f>IF(AND($C1187=12,$D1187=Input!$C$6),0,IF($E1188="","",AT1188+(AU1188+BD1189)/(1+$AK1188)*MIN((1-AM1188-AN1188),1)))</f>
        <v/>
      </c>
      <c r="BH1188" s="152"/>
      <c r="BI1188" s="162" t="str">
        <f t="shared" si="790"/>
        <v/>
      </c>
      <c r="BJ1188" s="150" t="str">
        <f t="shared" si="791"/>
        <v/>
      </c>
      <c r="BK1188" s="163" t="str">
        <f t="shared" si="787"/>
        <v/>
      </c>
      <c r="BL1188" s="163" t="str">
        <f t="shared" si="792"/>
        <v/>
      </c>
      <c r="BM1188" s="163" t="str">
        <f t="shared" si="788"/>
        <v/>
      </c>
      <c r="BN1188" s="163" t="str">
        <f t="shared" si="793"/>
        <v/>
      </c>
      <c r="BO1188" s="163" t="str">
        <f t="shared" si="794"/>
        <v/>
      </c>
      <c r="BP1188" s="150" t="str">
        <f t="shared" si="789"/>
        <v/>
      </c>
      <c r="BQ1188" s="150" t="str">
        <f t="shared" si="783"/>
        <v/>
      </c>
      <c r="BR1188" s="154" t="str">
        <f t="shared" si="795"/>
        <v/>
      </c>
      <c r="BT1188" s="147"/>
    </row>
    <row r="1189" spans="1:72" s="150" customFormat="1" x14ac:dyDescent="0.25">
      <c r="A1189" s="150" t="str">
        <f t="shared" si="784"/>
        <v/>
      </c>
      <c r="B1189" s="150" t="str">
        <f t="shared" si="785"/>
        <v/>
      </c>
      <c r="C1189" s="150" t="str">
        <f t="shared" si="786"/>
        <v/>
      </c>
      <c r="D1189" s="150" t="str">
        <f>IF(E1189="","",Input!$C$4+B1189-1)</f>
        <v/>
      </c>
      <c r="E1189" s="150" t="str">
        <f>IF(OR(AND(C1188=12,D1188=Input!$C$6),E1188=""),"",1)</f>
        <v/>
      </c>
      <c r="G1189" s="151" t="str">
        <f>IF(E1189="","",MAX(0,Input!$C$9-B1189))</f>
        <v/>
      </c>
      <c r="H1189" s="152" t="str">
        <f>IF(E1189="","",Input!$C$3)</f>
        <v/>
      </c>
      <c r="I1189" s="153" t="str">
        <f>IF(E1189="","",HLOOKUP($B1189,Input!$C$13:$BT$14,2))</f>
        <v/>
      </c>
      <c r="J1189" s="154"/>
      <c r="K1189" s="150" t="str">
        <f>IF($E1189="","",INDEX(Input!$C$16:$CP$16,1,$B1189))</f>
        <v/>
      </c>
      <c r="L1189" s="150" t="str">
        <f>IF($E1189="","",Input!$C$37)</f>
        <v/>
      </c>
      <c r="M1189" s="150" t="str">
        <f t="shared" si="772"/>
        <v/>
      </c>
      <c r="N1189" s="150" t="str">
        <f t="shared" si="773"/>
        <v/>
      </c>
      <c r="O1189" s="147" t="str">
        <f>IF($E1189="","",MIN(VLOOKUP(IF($B1189&lt;=Input!$C$7,$B1189,26),'Mortality Tables'!$A$41:$CW$67,IF($B1189&lt;=Input!$C$7+1,Input!$C$4+2,$D1189-Input!$C$7+2),0)*IF(B1189&gt;20,Input!$C$22,1)/1000,1))</f>
        <v/>
      </c>
      <c r="P1189" s="147" t="str">
        <f>IF($E1189="","",MIN(VLOOKUP(IF($B1189&lt;=Input!$C$7,$B1189,26),'Mortality Tables'!$A$12:$CW$37,IF($B1189&lt;=Input!$C$7+1,Input!$C$4+2,$D1189-Input!$C$7+2),0)*IF(B1189&gt;20,Input!$C$22,1)/1000,1))</f>
        <v/>
      </c>
      <c r="Q1189" s="155" t="str">
        <f>IF($E1189="","",Input!$C$21)</f>
        <v/>
      </c>
      <c r="R1189" s="159" t="str">
        <f>IF($E1189="","",(1-Q1189)^($F1189-Input!$C$20))</f>
        <v/>
      </c>
      <c r="S1189" s="147" t="str">
        <f t="shared" si="761"/>
        <v/>
      </c>
      <c r="T1189" s="147" t="str">
        <f t="shared" si="762"/>
        <v/>
      </c>
      <c r="U1189" s="160" t="str">
        <f>IF($E1189="","",IF($C1189=12,INDEX(Input!$C$15:$CP$15,1,$B1189),0))</f>
        <v/>
      </c>
      <c r="V1189" s="150" t="str">
        <f>IF(E1189="","",IF(C1189=1,IF($B1189=1,Input!$C$33,Input!$C$34),0))</f>
        <v/>
      </c>
      <c r="W1189" s="156" t="str">
        <f>IF($E1189="","",Input!$C$35)</f>
        <v/>
      </c>
      <c r="X1189" s="156" t="str">
        <f t="shared" si="763"/>
        <v/>
      </c>
      <c r="Y1189" s="154"/>
      <c r="Z1189" s="147" t="str">
        <f>IF($E1189="","",VLOOKUP($D1189,'Mortality Margins &amp; Grading'!$AB$5:$AF$125,3,0)*IF(Summary!$D$25="Included Margin",IF(AND($B1189&gt;Input!$C$9,Summary!$D$31&lt;&gt;"Included Margin"),0,1),0))</f>
        <v/>
      </c>
      <c r="AA1189" s="147" t="str">
        <f>IF($E1189="","",VLOOKUP($D1189,'Mortality Margins &amp; Grading'!$AB$5:$AF$125,5,0)*IF(Summary!$D$25="Included Margin",IF(AND($B1189&gt;Input!$C$9,Summary!$D$31&lt;&gt;"Included Margin"),0,1),0))</f>
        <v/>
      </c>
      <c r="AB1189" s="147" t="str">
        <f>IF($E1189="","",IF(AND($B1189&gt;Input!$C$9,Summary!$D$31&lt;&gt;"Included Margin"),1,IF(Summary!$D$25="Included Margin",VLOOKUP($B1189,'Mortality Margins &amp; Grading'!$AI$5:$AR$125,MATCH('Mortality Margins &amp; Grading'!$AQ$4,'Mortality Margins &amp; Grading'!$AI$4:$AR$4,0),0),1)))</f>
        <v/>
      </c>
      <c r="AC1189" s="154"/>
      <c r="AD1189" s="158" t="str">
        <f>IF(E1189="","",Input!$C$48*IF(Summary!$D$30="Included Margin",IF(AND($B1189&gt;Input!$C$9,Summary!$D$31&lt;&gt;"Included Margin"),0,1),0))</f>
        <v/>
      </c>
      <c r="AE1189" s="159" t="str">
        <f>IF(E1189="","",IF(Summary!$D$26="Included Margin",IF(AND($B1189&gt;Input!$C$9,Summary!$D$31&lt;&gt;"Included Margin"),1,1/$R1189),1))</f>
        <v/>
      </c>
      <c r="AF1189" s="160" t="str">
        <f>IF(E1189="","",IF(AND($B1189&gt;=Input!$C$9,$C1189=12,Summary!$D$31="Included Margin",$U1189&gt;0),1/U1189-1,IF($B1189&gt;=Input!$C$9,0,Input!$C$45*IF(Summary!$D$27="Included Margin",1,0))))</f>
        <v/>
      </c>
      <c r="AG1189" s="160" t="str">
        <f>IF(E1189="","",Input!$C$46*IF(Summary!$D$28="Included Margin",IF(AND($B1189&gt;Input!$C$9,Summary!$D$31&lt;&gt;"Included Margin"),0,1),0))</f>
        <v/>
      </c>
      <c r="AH1189" s="158" t="str">
        <f>IF(E1189="","",Input!$C$47*IF(Summary!$D$29="Included Margin",IF(AND($B1189&gt;Input!$C$9,Summary!$D$31&lt;&gt;"Included Margin"),0,1),0))</f>
        <v/>
      </c>
      <c r="AI1189" s="154"/>
      <c r="AJ1189" s="158" t="str">
        <f t="shared" si="774"/>
        <v/>
      </c>
      <c r="AK1189" s="150" t="str">
        <f t="shared" si="775"/>
        <v/>
      </c>
      <c r="AL1189" s="147" t="str">
        <f t="shared" si="776"/>
        <v/>
      </c>
      <c r="AM1189" s="147" t="str">
        <f t="shared" si="764"/>
        <v/>
      </c>
      <c r="AN1189" s="160" t="str">
        <f t="shared" si="777"/>
        <v/>
      </c>
      <c r="AO1189" s="161" t="str">
        <f t="shared" si="778"/>
        <v/>
      </c>
      <c r="AP1189" s="156" t="str">
        <f t="shared" si="765"/>
        <v/>
      </c>
      <c r="AQ1189" s="152"/>
      <c r="AR1189" s="162" t="str">
        <f t="shared" si="766"/>
        <v/>
      </c>
      <c r="AS1189" s="150" t="str">
        <f t="shared" si="779"/>
        <v/>
      </c>
      <c r="AT1189" s="163" t="str">
        <f t="shared" si="767"/>
        <v/>
      </c>
      <c r="AU1189" s="163" t="str">
        <f t="shared" si="768"/>
        <v/>
      </c>
      <c r="AV1189" s="163" t="str">
        <f t="shared" si="780"/>
        <v/>
      </c>
      <c r="AW1189" s="163" t="str">
        <f t="shared" si="769"/>
        <v/>
      </c>
      <c r="AX1189" s="163" t="str">
        <f t="shared" si="770"/>
        <v/>
      </c>
      <c r="AY1189" s="150" t="str">
        <f t="shared" si="781"/>
        <v/>
      </c>
      <c r="AZ1189" s="150" t="str">
        <f>IF($E1189="","",IF(OR(AND($D1189=Input!$C$6,$C1189=12),$AN1189=1),0,-AS1190+AT1190+AU1190-AV1190-AW1190-AX1190+AZ1190))</f>
        <v/>
      </c>
      <c r="BA1189" s="154" t="str">
        <f t="shared" si="771"/>
        <v/>
      </c>
      <c r="BC1189" s="147" t="str">
        <f t="shared" si="782"/>
        <v/>
      </c>
      <c r="BD1189" s="164" t="str">
        <f>IF(AND($C1188=12,$D1188=Input!$C$6),0,IF($E1189="","",AT1189+(AU1189+BD1190)/(1+$AK1189)*MIN((1-AM1189-AN1189),1)))</f>
        <v/>
      </c>
      <c r="BH1189" s="152"/>
      <c r="BI1189" s="162" t="str">
        <f t="shared" si="790"/>
        <v/>
      </c>
      <c r="BJ1189" s="150" t="str">
        <f t="shared" si="791"/>
        <v/>
      </c>
      <c r="BK1189" s="163" t="str">
        <f t="shared" si="787"/>
        <v/>
      </c>
      <c r="BL1189" s="163" t="str">
        <f t="shared" si="792"/>
        <v/>
      </c>
      <c r="BM1189" s="163" t="str">
        <f t="shared" si="788"/>
        <v/>
      </c>
      <c r="BN1189" s="163" t="str">
        <f t="shared" si="793"/>
        <v/>
      </c>
      <c r="BO1189" s="163" t="str">
        <f t="shared" si="794"/>
        <v/>
      </c>
      <c r="BP1189" s="150" t="str">
        <f t="shared" si="789"/>
        <v/>
      </c>
      <c r="BQ1189" s="150" t="str">
        <f t="shared" si="783"/>
        <v/>
      </c>
      <c r="BR1189" s="154" t="str">
        <f t="shared" si="795"/>
        <v/>
      </c>
      <c r="BT1189" s="147"/>
    </row>
    <row r="1190" spans="1:72" s="150" customFormat="1" x14ac:dyDescent="0.25">
      <c r="A1190" s="150" t="str">
        <f t="shared" si="784"/>
        <v/>
      </c>
      <c r="B1190" s="150" t="str">
        <f t="shared" si="785"/>
        <v/>
      </c>
      <c r="C1190" s="150" t="str">
        <f t="shared" si="786"/>
        <v/>
      </c>
      <c r="D1190" s="150" t="str">
        <f>IF(E1190="","",Input!$C$4+B1190-1)</f>
        <v/>
      </c>
      <c r="E1190" s="150" t="str">
        <f>IF(OR(AND(C1189=12,D1189=Input!$C$6),E1189=""),"",1)</f>
        <v/>
      </c>
      <c r="G1190" s="151" t="str">
        <f>IF(E1190="","",MAX(0,Input!$C$9-B1190))</f>
        <v/>
      </c>
      <c r="H1190" s="152" t="str">
        <f>IF(E1190="","",Input!$C$3)</f>
        <v/>
      </c>
      <c r="I1190" s="153" t="str">
        <f>IF(E1190="","",HLOOKUP($B1190,Input!$C$13:$BT$14,2))</f>
        <v/>
      </c>
      <c r="J1190" s="154"/>
      <c r="K1190" s="150" t="str">
        <f>IF($E1190="","",INDEX(Input!$C$16:$CP$16,1,$B1190))</f>
        <v/>
      </c>
      <c r="L1190" s="150" t="str">
        <f>IF($E1190="","",Input!$C$37)</f>
        <v/>
      </c>
      <c r="M1190" s="150" t="str">
        <f t="shared" si="772"/>
        <v/>
      </c>
      <c r="N1190" s="150" t="str">
        <f t="shared" si="773"/>
        <v/>
      </c>
      <c r="O1190" s="147" t="str">
        <f>IF($E1190="","",MIN(VLOOKUP(IF($B1190&lt;=Input!$C$7,$B1190,26),'Mortality Tables'!$A$41:$CW$67,IF($B1190&lt;=Input!$C$7+1,Input!$C$4+2,$D1190-Input!$C$7+2),0)*IF(B1190&gt;20,Input!$C$22,1)/1000,1))</f>
        <v/>
      </c>
      <c r="P1190" s="147" t="str">
        <f>IF($E1190="","",MIN(VLOOKUP(IF($B1190&lt;=Input!$C$7,$B1190,26),'Mortality Tables'!$A$12:$CW$37,IF($B1190&lt;=Input!$C$7+1,Input!$C$4+2,$D1190-Input!$C$7+2),0)*IF(B1190&gt;20,Input!$C$22,1)/1000,1))</f>
        <v/>
      </c>
      <c r="Q1190" s="155" t="str">
        <f>IF($E1190="","",Input!$C$21)</f>
        <v/>
      </c>
      <c r="R1190" s="159" t="str">
        <f>IF($E1190="","",(1-Q1190)^($F1190-Input!$C$20))</f>
        <v/>
      </c>
      <c r="S1190" s="147" t="str">
        <f t="shared" si="761"/>
        <v/>
      </c>
      <c r="T1190" s="147" t="str">
        <f t="shared" si="762"/>
        <v/>
      </c>
      <c r="U1190" s="160" t="str">
        <f>IF($E1190="","",IF($C1190=12,INDEX(Input!$C$15:$CP$15,1,$B1190),0))</f>
        <v/>
      </c>
      <c r="V1190" s="150" t="str">
        <f>IF(E1190="","",IF(C1190=1,IF($B1190=1,Input!$C$33,Input!$C$34),0))</f>
        <v/>
      </c>
      <c r="W1190" s="156" t="str">
        <f>IF($E1190="","",Input!$C$35)</f>
        <v/>
      </c>
      <c r="X1190" s="156" t="str">
        <f t="shared" si="763"/>
        <v/>
      </c>
      <c r="Y1190" s="154"/>
      <c r="Z1190" s="147" t="str">
        <f>IF($E1190="","",VLOOKUP($D1190,'Mortality Margins &amp; Grading'!$AB$5:$AF$125,3,0)*IF(Summary!$D$25="Included Margin",IF(AND($B1190&gt;Input!$C$9,Summary!$D$31&lt;&gt;"Included Margin"),0,1),0))</f>
        <v/>
      </c>
      <c r="AA1190" s="147" t="str">
        <f>IF($E1190="","",VLOOKUP($D1190,'Mortality Margins &amp; Grading'!$AB$5:$AF$125,5,0)*IF(Summary!$D$25="Included Margin",IF(AND($B1190&gt;Input!$C$9,Summary!$D$31&lt;&gt;"Included Margin"),0,1),0))</f>
        <v/>
      </c>
      <c r="AB1190" s="147" t="str">
        <f>IF($E1190="","",IF(AND($B1190&gt;Input!$C$9,Summary!$D$31&lt;&gt;"Included Margin"),1,IF(Summary!$D$25="Included Margin",VLOOKUP($B1190,'Mortality Margins &amp; Grading'!$AI$5:$AR$125,MATCH('Mortality Margins &amp; Grading'!$AQ$4,'Mortality Margins &amp; Grading'!$AI$4:$AR$4,0),0),1)))</f>
        <v/>
      </c>
      <c r="AC1190" s="154"/>
      <c r="AD1190" s="158" t="str">
        <f>IF(E1190="","",Input!$C$48*IF(Summary!$D$30="Included Margin",IF(AND($B1190&gt;Input!$C$9,Summary!$D$31&lt;&gt;"Included Margin"),0,1),0))</f>
        <v/>
      </c>
      <c r="AE1190" s="159" t="str">
        <f>IF(E1190="","",IF(Summary!$D$26="Included Margin",IF(AND($B1190&gt;Input!$C$9,Summary!$D$31&lt;&gt;"Included Margin"),1,1/$R1190),1))</f>
        <v/>
      </c>
      <c r="AF1190" s="160" t="str">
        <f>IF(E1190="","",IF(AND($B1190&gt;=Input!$C$9,$C1190=12,Summary!$D$31="Included Margin",$U1190&gt;0),1/U1190-1,IF($B1190&gt;=Input!$C$9,0,Input!$C$45*IF(Summary!$D$27="Included Margin",1,0))))</f>
        <v/>
      </c>
      <c r="AG1190" s="160" t="str">
        <f>IF(E1190="","",Input!$C$46*IF(Summary!$D$28="Included Margin",IF(AND($B1190&gt;Input!$C$9,Summary!$D$31&lt;&gt;"Included Margin"),0,1),0))</f>
        <v/>
      </c>
      <c r="AH1190" s="158" t="str">
        <f>IF(E1190="","",Input!$C$47*IF(Summary!$D$29="Included Margin",IF(AND($B1190&gt;Input!$C$9,Summary!$D$31&lt;&gt;"Included Margin"),0,1),0))</f>
        <v/>
      </c>
      <c r="AI1190" s="154"/>
      <c r="AJ1190" s="158" t="str">
        <f t="shared" si="774"/>
        <v/>
      </c>
      <c r="AK1190" s="150" t="str">
        <f t="shared" si="775"/>
        <v/>
      </c>
      <c r="AL1190" s="147" t="str">
        <f t="shared" si="776"/>
        <v/>
      </c>
      <c r="AM1190" s="147" t="str">
        <f t="shared" si="764"/>
        <v/>
      </c>
      <c r="AN1190" s="160" t="str">
        <f t="shared" si="777"/>
        <v/>
      </c>
      <c r="AO1190" s="161" t="str">
        <f t="shared" si="778"/>
        <v/>
      </c>
      <c r="AP1190" s="156" t="str">
        <f t="shared" si="765"/>
        <v/>
      </c>
      <c r="AQ1190" s="152"/>
      <c r="AR1190" s="162" t="str">
        <f t="shared" si="766"/>
        <v/>
      </c>
      <c r="AS1190" s="150" t="str">
        <f t="shared" si="779"/>
        <v/>
      </c>
      <c r="AT1190" s="163" t="str">
        <f t="shared" si="767"/>
        <v/>
      </c>
      <c r="AU1190" s="163" t="str">
        <f t="shared" si="768"/>
        <v/>
      </c>
      <c r="AV1190" s="163" t="str">
        <f t="shared" si="780"/>
        <v/>
      </c>
      <c r="AW1190" s="163" t="str">
        <f t="shared" si="769"/>
        <v/>
      </c>
      <c r="AX1190" s="163" t="str">
        <f t="shared" si="770"/>
        <v/>
      </c>
      <c r="AY1190" s="150" t="str">
        <f t="shared" si="781"/>
        <v/>
      </c>
      <c r="AZ1190" s="150" t="str">
        <f>IF($E1190="","",IF(OR(AND($D1190=Input!$C$6,$C1190=12),$AN1190=1),0,-AS1191+AT1191+AU1191-AV1191-AW1191-AX1191+AZ1191))</f>
        <v/>
      </c>
      <c r="BA1190" s="154" t="str">
        <f t="shared" si="771"/>
        <v/>
      </c>
      <c r="BC1190" s="147" t="str">
        <f t="shared" si="782"/>
        <v/>
      </c>
      <c r="BD1190" s="164" t="str">
        <f>IF(AND($C1189=12,$D1189=Input!$C$6),0,IF($E1190="","",AT1190+(AU1190+BD1191)/(1+$AK1190)*MIN((1-AM1190-AN1190),1)))</f>
        <v/>
      </c>
      <c r="BH1190" s="152"/>
      <c r="BI1190" s="162" t="str">
        <f t="shared" si="790"/>
        <v/>
      </c>
      <c r="BJ1190" s="150" t="str">
        <f t="shared" si="791"/>
        <v/>
      </c>
      <c r="BK1190" s="163" t="str">
        <f t="shared" si="787"/>
        <v/>
      </c>
      <c r="BL1190" s="163" t="str">
        <f t="shared" si="792"/>
        <v/>
      </c>
      <c r="BM1190" s="163" t="str">
        <f t="shared" si="788"/>
        <v/>
      </c>
      <c r="BN1190" s="163" t="str">
        <f t="shared" si="793"/>
        <v/>
      </c>
      <c r="BO1190" s="163" t="str">
        <f t="shared" si="794"/>
        <v/>
      </c>
      <c r="BP1190" s="150" t="str">
        <f t="shared" si="789"/>
        <v/>
      </c>
      <c r="BQ1190" s="150" t="str">
        <f t="shared" si="783"/>
        <v/>
      </c>
      <c r="BR1190" s="154" t="str">
        <f t="shared" si="795"/>
        <v/>
      </c>
      <c r="BT1190" s="147"/>
    </row>
    <row r="1191" spans="1:72" s="150" customFormat="1" x14ac:dyDescent="0.25">
      <c r="A1191" s="150" t="str">
        <f t="shared" si="784"/>
        <v/>
      </c>
      <c r="B1191" s="150" t="str">
        <f t="shared" si="785"/>
        <v/>
      </c>
      <c r="C1191" s="150" t="str">
        <f t="shared" si="786"/>
        <v/>
      </c>
      <c r="D1191" s="150" t="str">
        <f>IF(E1191="","",Input!$C$4+B1191-1)</f>
        <v/>
      </c>
      <c r="E1191" s="150" t="str">
        <f>IF(OR(AND(C1190=12,D1190=Input!$C$6),E1190=""),"",1)</f>
        <v/>
      </c>
      <c r="G1191" s="151" t="str">
        <f>IF(E1191="","",MAX(0,Input!$C$9-B1191))</f>
        <v/>
      </c>
      <c r="H1191" s="152" t="str">
        <f>IF(E1191="","",Input!$C$3)</f>
        <v/>
      </c>
      <c r="I1191" s="153" t="str">
        <f>IF(E1191="","",HLOOKUP($B1191,Input!$C$13:$BT$14,2))</f>
        <v/>
      </c>
      <c r="J1191" s="154"/>
      <c r="K1191" s="150" t="str">
        <f>IF($E1191="","",INDEX(Input!$C$16:$CP$16,1,$B1191))</f>
        <v/>
      </c>
      <c r="L1191" s="150" t="str">
        <f>IF($E1191="","",Input!$C$37)</f>
        <v/>
      </c>
      <c r="M1191" s="150" t="str">
        <f t="shared" si="772"/>
        <v/>
      </c>
      <c r="N1191" s="150" t="str">
        <f t="shared" si="773"/>
        <v/>
      </c>
      <c r="O1191" s="147" t="str">
        <f>IF($E1191="","",MIN(VLOOKUP(IF($B1191&lt;=Input!$C$7,$B1191,26),'Mortality Tables'!$A$41:$CW$67,IF($B1191&lt;=Input!$C$7+1,Input!$C$4+2,$D1191-Input!$C$7+2),0)*IF(B1191&gt;20,Input!$C$22,1)/1000,1))</f>
        <v/>
      </c>
      <c r="P1191" s="147" t="str">
        <f>IF($E1191="","",MIN(VLOOKUP(IF($B1191&lt;=Input!$C$7,$B1191,26),'Mortality Tables'!$A$12:$CW$37,IF($B1191&lt;=Input!$C$7+1,Input!$C$4+2,$D1191-Input!$C$7+2),0)*IF(B1191&gt;20,Input!$C$22,1)/1000,1))</f>
        <v/>
      </c>
      <c r="Q1191" s="155" t="str">
        <f>IF($E1191="","",Input!$C$21)</f>
        <v/>
      </c>
      <c r="R1191" s="159" t="str">
        <f>IF($E1191="","",(1-Q1191)^($F1191-Input!$C$20))</f>
        <v/>
      </c>
      <c r="S1191" s="147" t="str">
        <f t="shared" si="761"/>
        <v/>
      </c>
      <c r="T1191" s="147" t="str">
        <f t="shared" si="762"/>
        <v/>
      </c>
      <c r="U1191" s="160" t="str">
        <f>IF($E1191="","",IF($C1191=12,INDEX(Input!$C$15:$CP$15,1,$B1191),0))</f>
        <v/>
      </c>
      <c r="V1191" s="150" t="str">
        <f>IF(E1191="","",IF(C1191=1,IF($B1191=1,Input!$C$33,Input!$C$34),0))</f>
        <v/>
      </c>
      <c r="W1191" s="156" t="str">
        <f>IF($E1191="","",Input!$C$35)</f>
        <v/>
      </c>
      <c r="X1191" s="156" t="str">
        <f t="shared" si="763"/>
        <v/>
      </c>
      <c r="Y1191" s="154"/>
      <c r="Z1191" s="147" t="str">
        <f>IF($E1191="","",VLOOKUP($D1191,'Mortality Margins &amp; Grading'!$AB$5:$AF$125,3,0)*IF(Summary!$D$25="Included Margin",IF(AND($B1191&gt;Input!$C$9,Summary!$D$31&lt;&gt;"Included Margin"),0,1),0))</f>
        <v/>
      </c>
      <c r="AA1191" s="147" t="str">
        <f>IF($E1191="","",VLOOKUP($D1191,'Mortality Margins &amp; Grading'!$AB$5:$AF$125,5,0)*IF(Summary!$D$25="Included Margin",IF(AND($B1191&gt;Input!$C$9,Summary!$D$31&lt;&gt;"Included Margin"),0,1),0))</f>
        <v/>
      </c>
      <c r="AB1191" s="147" t="str">
        <f>IF($E1191="","",IF(AND($B1191&gt;Input!$C$9,Summary!$D$31&lt;&gt;"Included Margin"),1,IF(Summary!$D$25="Included Margin",VLOOKUP($B1191,'Mortality Margins &amp; Grading'!$AI$5:$AR$125,MATCH('Mortality Margins &amp; Grading'!$AQ$4,'Mortality Margins &amp; Grading'!$AI$4:$AR$4,0),0),1)))</f>
        <v/>
      </c>
      <c r="AC1191" s="154"/>
      <c r="AD1191" s="158" t="str">
        <f>IF(E1191="","",Input!$C$48*IF(Summary!$D$30="Included Margin",IF(AND($B1191&gt;Input!$C$9,Summary!$D$31&lt;&gt;"Included Margin"),0,1),0))</f>
        <v/>
      </c>
      <c r="AE1191" s="159" t="str">
        <f>IF(E1191="","",IF(Summary!$D$26="Included Margin",IF(AND($B1191&gt;Input!$C$9,Summary!$D$31&lt;&gt;"Included Margin"),1,1/$R1191),1))</f>
        <v/>
      </c>
      <c r="AF1191" s="160" t="str">
        <f>IF(E1191="","",IF(AND($B1191&gt;=Input!$C$9,$C1191=12,Summary!$D$31="Included Margin",$U1191&gt;0),1/U1191-1,IF($B1191&gt;=Input!$C$9,0,Input!$C$45*IF(Summary!$D$27="Included Margin",1,0))))</f>
        <v/>
      </c>
      <c r="AG1191" s="160" t="str">
        <f>IF(E1191="","",Input!$C$46*IF(Summary!$D$28="Included Margin",IF(AND($B1191&gt;Input!$C$9,Summary!$D$31&lt;&gt;"Included Margin"),0,1),0))</f>
        <v/>
      </c>
      <c r="AH1191" s="158" t="str">
        <f>IF(E1191="","",Input!$C$47*IF(Summary!$D$29="Included Margin",IF(AND($B1191&gt;Input!$C$9,Summary!$D$31&lt;&gt;"Included Margin"),0,1),0))</f>
        <v/>
      </c>
      <c r="AI1191" s="154"/>
      <c r="AJ1191" s="158" t="str">
        <f t="shared" si="774"/>
        <v/>
      </c>
      <c r="AK1191" s="150" t="str">
        <f t="shared" si="775"/>
        <v/>
      </c>
      <c r="AL1191" s="147" t="str">
        <f t="shared" si="776"/>
        <v/>
      </c>
      <c r="AM1191" s="147" t="str">
        <f t="shared" si="764"/>
        <v/>
      </c>
      <c r="AN1191" s="160" t="str">
        <f t="shared" si="777"/>
        <v/>
      </c>
      <c r="AO1191" s="161" t="str">
        <f t="shared" si="778"/>
        <v/>
      </c>
      <c r="AP1191" s="156" t="str">
        <f t="shared" si="765"/>
        <v/>
      </c>
      <c r="AQ1191" s="152"/>
      <c r="AR1191" s="162" t="str">
        <f t="shared" si="766"/>
        <v/>
      </c>
      <c r="AS1191" s="150" t="str">
        <f t="shared" si="779"/>
        <v/>
      </c>
      <c r="AT1191" s="163" t="str">
        <f t="shared" si="767"/>
        <v/>
      </c>
      <c r="AU1191" s="163" t="str">
        <f t="shared" si="768"/>
        <v/>
      </c>
      <c r="AV1191" s="163" t="str">
        <f t="shared" si="780"/>
        <v/>
      </c>
      <c r="AW1191" s="163" t="str">
        <f t="shared" si="769"/>
        <v/>
      </c>
      <c r="AX1191" s="163" t="str">
        <f t="shared" si="770"/>
        <v/>
      </c>
      <c r="AY1191" s="150" t="str">
        <f t="shared" si="781"/>
        <v/>
      </c>
      <c r="AZ1191" s="150" t="str">
        <f>IF($E1191="","",IF(OR(AND($D1191=Input!$C$6,$C1191=12),$AN1191=1),0,-AS1192+AT1192+AU1192-AV1192-AW1192-AX1192+AZ1192))</f>
        <v/>
      </c>
      <c r="BA1191" s="154" t="str">
        <f t="shared" si="771"/>
        <v/>
      </c>
      <c r="BC1191" s="147" t="str">
        <f t="shared" si="782"/>
        <v/>
      </c>
      <c r="BD1191" s="164" t="str">
        <f>IF(AND($C1190=12,$D1190=Input!$C$6),0,IF($E1191="","",AT1191+(AU1191+BD1192)/(1+$AK1191)*MIN((1-AM1191-AN1191),1)))</f>
        <v/>
      </c>
      <c r="BH1191" s="152"/>
      <c r="BI1191" s="162" t="str">
        <f t="shared" si="790"/>
        <v/>
      </c>
      <c r="BJ1191" s="150" t="str">
        <f t="shared" si="791"/>
        <v/>
      </c>
      <c r="BK1191" s="163" t="str">
        <f t="shared" si="787"/>
        <v/>
      </c>
      <c r="BL1191" s="163" t="str">
        <f t="shared" si="792"/>
        <v/>
      </c>
      <c r="BM1191" s="163" t="str">
        <f t="shared" si="788"/>
        <v/>
      </c>
      <c r="BN1191" s="163" t="str">
        <f t="shared" si="793"/>
        <v/>
      </c>
      <c r="BO1191" s="163" t="str">
        <f t="shared" si="794"/>
        <v/>
      </c>
      <c r="BP1191" s="150" t="str">
        <f t="shared" si="789"/>
        <v/>
      </c>
      <c r="BQ1191" s="150" t="str">
        <f t="shared" si="783"/>
        <v/>
      </c>
      <c r="BR1191" s="154" t="str">
        <f t="shared" si="795"/>
        <v/>
      </c>
      <c r="BT1191" s="147"/>
    </row>
    <row r="1192" spans="1:72" s="150" customFormat="1" x14ac:dyDescent="0.25">
      <c r="A1192" s="150" t="str">
        <f t="shared" si="784"/>
        <v/>
      </c>
      <c r="B1192" s="150" t="str">
        <f t="shared" si="785"/>
        <v/>
      </c>
      <c r="C1192" s="150" t="str">
        <f t="shared" si="786"/>
        <v/>
      </c>
      <c r="D1192" s="150" t="str">
        <f>IF(E1192="","",Input!$C$4+B1192-1)</f>
        <v/>
      </c>
      <c r="E1192" s="150" t="str">
        <f>IF(OR(AND(C1191=12,D1191=Input!$C$6),E1191=""),"",1)</f>
        <v/>
      </c>
      <c r="G1192" s="151" t="str">
        <f>IF(E1192="","",MAX(0,Input!$C$9-B1192))</f>
        <v/>
      </c>
      <c r="H1192" s="152" t="str">
        <f>IF(E1192="","",Input!$C$3)</f>
        <v/>
      </c>
      <c r="I1192" s="153" t="str">
        <f>IF(E1192="","",HLOOKUP($B1192,Input!$C$13:$BT$14,2))</f>
        <v/>
      </c>
      <c r="J1192" s="154"/>
      <c r="K1192" s="150" t="str">
        <f>IF($E1192="","",INDEX(Input!$C$16:$CP$16,1,$B1192))</f>
        <v/>
      </c>
      <c r="L1192" s="150" t="str">
        <f>IF($E1192="","",Input!$C$37)</f>
        <v/>
      </c>
      <c r="M1192" s="150" t="str">
        <f t="shared" si="772"/>
        <v/>
      </c>
      <c r="N1192" s="150" t="str">
        <f t="shared" si="773"/>
        <v/>
      </c>
      <c r="O1192" s="147" t="str">
        <f>IF($E1192="","",MIN(VLOOKUP(IF($B1192&lt;=Input!$C$7,$B1192,26),'Mortality Tables'!$A$41:$CW$67,IF($B1192&lt;=Input!$C$7+1,Input!$C$4+2,$D1192-Input!$C$7+2),0)*IF(B1192&gt;20,Input!$C$22,1)/1000,1))</f>
        <v/>
      </c>
      <c r="P1192" s="147" t="str">
        <f>IF($E1192="","",MIN(VLOOKUP(IF($B1192&lt;=Input!$C$7,$B1192,26),'Mortality Tables'!$A$12:$CW$37,IF($B1192&lt;=Input!$C$7+1,Input!$C$4+2,$D1192-Input!$C$7+2),0)*IF(B1192&gt;20,Input!$C$22,1)/1000,1))</f>
        <v/>
      </c>
      <c r="Q1192" s="155" t="str">
        <f>IF($E1192="","",Input!$C$21)</f>
        <v/>
      </c>
      <c r="R1192" s="159" t="str">
        <f>IF($E1192="","",(1-Q1192)^($F1192-Input!$C$20))</f>
        <v/>
      </c>
      <c r="S1192" s="147" t="str">
        <f t="shared" si="761"/>
        <v/>
      </c>
      <c r="T1192" s="147" t="str">
        <f t="shared" si="762"/>
        <v/>
      </c>
      <c r="U1192" s="160" t="str">
        <f>IF($E1192="","",IF($C1192=12,INDEX(Input!$C$15:$CP$15,1,$B1192),0))</f>
        <v/>
      </c>
      <c r="V1192" s="150" t="str">
        <f>IF(E1192="","",IF(C1192=1,IF($B1192=1,Input!$C$33,Input!$C$34),0))</f>
        <v/>
      </c>
      <c r="W1192" s="156" t="str">
        <f>IF($E1192="","",Input!$C$35)</f>
        <v/>
      </c>
      <c r="X1192" s="156" t="str">
        <f t="shared" si="763"/>
        <v/>
      </c>
      <c r="Y1192" s="154"/>
      <c r="Z1192" s="147" t="str">
        <f>IF($E1192="","",VLOOKUP($D1192,'Mortality Margins &amp; Grading'!$AB$5:$AF$125,3,0)*IF(Summary!$D$25="Included Margin",IF(AND($B1192&gt;Input!$C$9,Summary!$D$31&lt;&gt;"Included Margin"),0,1),0))</f>
        <v/>
      </c>
      <c r="AA1192" s="147" t="str">
        <f>IF($E1192="","",VLOOKUP($D1192,'Mortality Margins &amp; Grading'!$AB$5:$AF$125,5,0)*IF(Summary!$D$25="Included Margin",IF(AND($B1192&gt;Input!$C$9,Summary!$D$31&lt;&gt;"Included Margin"),0,1),0))</f>
        <v/>
      </c>
      <c r="AB1192" s="147" t="str">
        <f>IF($E1192="","",IF(AND($B1192&gt;Input!$C$9,Summary!$D$31&lt;&gt;"Included Margin"),1,IF(Summary!$D$25="Included Margin",VLOOKUP($B1192,'Mortality Margins &amp; Grading'!$AI$5:$AR$125,MATCH('Mortality Margins &amp; Grading'!$AQ$4,'Mortality Margins &amp; Grading'!$AI$4:$AR$4,0),0),1)))</f>
        <v/>
      </c>
      <c r="AC1192" s="154"/>
      <c r="AD1192" s="158" t="str">
        <f>IF(E1192="","",Input!$C$48*IF(Summary!$D$30="Included Margin",IF(AND($B1192&gt;Input!$C$9,Summary!$D$31&lt;&gt;"Included Margin"),0,1),0))</f>
        <v/>
      </c>
      <c r="AE1192" s="159" t="str">
        <f>IF(E1192="","",IF(Summary!$D$26="Included Margin",IF(AND($B1192&gt;Input!$C$9,Summary!$D$31&lt;&gt;"Included Margin"),1,1/$R1192),1))</f>
        <v/>
      </c>
      <c r="AF1192" s="160" t="str">
        <f>IF(E1192="","",IF(AND($B1192&gt;=Input!$C$9,$C1192=12,Summary!$D$31="Included Margin",$U1192&gt;0),1/U1192-1,IF($B1192&gt;=Input!$C$9,0,Input!$C$45*IF(Summary!$D$27="Included Margin",1,0))))</f>
        <v/>
      </c>
      <c r="AG1192" s="160" t="str">
        <f>IF(E1192="","",Input!$C$46*IF(Summary!$D$28="Included Margin",IF(AND($B1192&gt;Input!$C$9,Summary!$D$31&lt;&gt;"Included Margin"),0,1),0))</f>
        <v/>
      </c>
      <c r="AH1192" s="158" t="str">
        <f>IF(E1192="","",Input!$C$47*IF(Summary!$D$29="Included Margin",IF(AND($B1192&gt;Input!$C$9,Summary!$D$31&lt;&gt;"Included Margin"),0,1),0))</f>
        <v/>
      </c>
      <c r="AI1192" s="154"/>
      <c r="AJ1192" s="158" t="str">
        <f t="shared" si="774"/>
        <v/>
      </c>
      <c r="AK1192" s="150" t="str">
        <f t="shared" si="775"/>
        <v/>
      </c>
      <c r="AL1192" s="147" t="str">
        <f t="shared" si="776"/>
        <v/>
      </c>
      <c r="AM1192" s="147" t="str">
        <f t="shared" si="764"/>
        <v/>
      </c>
      <c r="AN1192" s="160" t="str">
        <f t="shared" si="777"/>
        <v/>
      </c>
      <c r="AO1192" s="161" t="str">
        <f t="shared" si="778"/>
        <v/>
      </c>
      <c r="AP1192" s="156" t="str">
        <f t="shared" si="765"/>
        <v/>
      </c>
      <c r="AQ1192" s="152"/>
      <c r="AR1192" s="162" t="str">
        <f t="shared" si="766"/>
        <v/>
      </c>
      <c r="AS1192" s="150" t="str">
        <f t="shared" si="779"/>
        <v/>
      </c>
      <c r="AT1192" s="163" t="str">
        <f t="shared" si="767"/>
        <v/>
      </c>
      <c r="AU1192" s="163" t="str">
        <f t="shared" si="768"/>
        <v/>
      </c>
      <c r="AV1192" s="163" t="str">
        <f t="shared" si="780"/>
        <v/>
      </c>
      <c r="AW1192" s="163" t="str">
        <f t="shared" si="769"/>
        <v/>
      </c>
      <c r="AX1192" s="163" t="str">
        <f t="shared" si="770"/>
        <v/>
      </c>
      <c r="AY1192" s="150" t="str">
        <f t="shared" si="781"/>
        <v/>
      </c>
      <c r="AZ1192" s="150" t="str">
        <f>IF($E1192="","",IF(OR(AND($D1192=Input!$C$6,$C1192=12),$AN1192=1),0,-AS1193+AT1193+AU1193-AV1193-AW1193-AX1193+AZ1193))</f>
        <v/>
      </c>
      <c r="BA1192" s="154" t="str">
        <f t="shared" si="771"/>
        <v/>
      </c>
      <c r="BC1192" s="147" t="str">
        <f t="shared" si="782"/>
        <v/>
      </c>
      <c r="BD1192" s="164" t="str">
        <f>IF(AND($C1191=12,$D1191=Input!$C$6),0,IF($E1192="","",AT1192+(AU1192+BD1193)/(1+$AK1192)*MIN((1-AM1192-AN1192),1)))</f>
        <v/>
      </c>
      <c r="BH1192" s="152"/>
      <c r="BI1192" s="162" t="str">
        <f t="shared" si="790"/>
        <v/>
      </c>
      <c r="BJ1192" s="150" t="str">
        <f t="shared" si="791"/>
        <v/>
      </c>
      <c r="BK1192" s="163" t="str">
        <f t="shared" si="787"/>
        <v/>
      </c>
      <c r="BL1192" s="163" t="str">
        <f t="shared" si="792"/>
        <v/>
      </c>
      <c r="BM1192" s="163" t="str">
        <f t="shared" si="788"/>
        <v/>
      </c>
      <c r="BN1192" s="163" t="str">
        <f t="shared" si="793"/>
        <v/>
      </c>
      <c r="BO1192" s="163" t="str">
        <f t="shared" si="794"/>
        <v/>
      </c>
      <c r="BP1192" s="150" t="str">
        <f t="shared" si="789"/>
        <v/>
      </c>
      <c r="BQ1192" s="150" t="str">
        <f t="shared" si="783"/>
        <v/>
      </c>
      <c r="BR1192" s="154" t="str">
        <f t="shared" si="795"/>
        <v/>
      </c>
      <c r="BT1192" s="147"/>
    </row>
    <row r="1193" spans="1:72" s="150" customFormat="1" x14ac:dyDescent="0.25">
      <c r="A1193" s="150" t="str">
        <f t="shared" si="784"/>
        <v/>
      </c>
      <c r="B1193" s="150" t="str">
        <f t="shared" si="785"/>
        <v/>
      </c>
      <c r="C1193" s="150" t="str">
        <f t="shared" si="786"/>
        <v/>
      </c>
      <c r="D1193" s="150" t="str">
        <f>IF(E1193="","",Input!$C$4+B1193-1)</f>
        <v/>
      </c>
      <c r="E1193" s="150" t="str">
        <f>IF(OR(AND(C1192=12,D1192=Input!$C$6),E1192=""),"",1)</f>
        <v/>
      </c>
      <c r="G1193" s="151" t="str">
        <f>IF(E1193="","",MAX(0,Input!$C$9-B1193))</f>
        <v/>
      </c>
      <c r="H1193" s="152" t="str">
        <f>IF(E1193="","",Input!$C$3)</f>
        <v/>
      </c>
      <c r="I1193" s="153" t="str">
        <f>IF(E1193="","",HLOOKUP($B1193,Input!$C$13:$BT$14,2))</f>
        <v/>
      </c>
      <c r="J1193" s="154"/>
      <c r="K1193" s="150" t="str">
        <f>IF($E1193="","",INDEX(Input!$C$16:$CP$16,1,$B1193))</f>
        <v/>
      </c>
      <c r="L1193" s="150" t="str">
        <f>IF($E1193="","",Input!$C$37)</f>
        <v/>
      </c>
      <c r="M1193" s="150" t="str">
        <f t="shared" si="772"/>
        <v/>
      </c>
      <c r="N1193" s="150" t="str">
        <f t="shared" si="773"/>
        <v/>
      </c>
      <c r="O1193" s="147" t="str">
        <f>IF($E1193="","",MIN(VLOOKUP(IF($B1193&lt;=Input!$C$7,$B1193,26),'Mortality Tables'!$A$41:$CW$67,IF($B1193&lt;=Input!$C$7+1,Input!$C$4+2,$D1193-Input!$C$7+2),0)*IF(B1193&gt;20,Input!$C$22,1)/1000,1))</f>
        <v/>
      </c>
      <c r="P1193" s="147" t="str">
        <f>IF($E1193="","",MIN(VLOOKUP(IF($B1193&lt;=Input!$C$7,$B1193,26),'Mortality Tables'!$A$12:$CW$37,IF($B1193&lt;=Input!$C$7+1,Input!$C$4+2,$D1193-Input!$C$7+2),0)*IF(B1193&gt;20,Input!$C$22,1)/1000,1))</f>
        <v/>
      </c>
      <c r="Q1193" s="155" t="str">
        <f>IF($E1193="","",Input!$C$21)</f>
        <v/>
      </c>
      <c r="R1193" s="159" t="str">
        <f>IF($E1193="","",(1-Q1193)^($F1193-Input!$C$20))</f>
        <v/>
      </c>
      <c r="S1193" s="147" t="str">
        <f t="shared" si="761"/>
        <v/>
      </c>
      <c r="T1193" s="147" t="str">
        <f t="shared" si="762"/>
        <v/>
      </c>
      <c r="U1193" s="160" t="str">
        <f>IF($E1193="","",IF($C1193=12,INDEX(Input!$C$15:$CP$15,1,$B1193),0))</f>
        <v/>
      </c>
      <c r="V1193" s="150" t="str">
        <f>IF(E1193="","",IF(C1193=1,IF($B1193=1,Input!$C$33,Input!$C$34),0))</f>
        <v/>
      </c>
      <c r="W1193" s="156" t="str">
        <f>IF($E1193="","",Input!$C$35)</f>
        <v/>
      </c>
      <c r="X1193" s="156" t="str">
        <f t="shared" si="763"/>
        <v/>
      </c>
      <c r="Y1193" s="154"/>
      <c r="Z1193" s="147" t="str">
        <f>IF($E1193="","",VLOOKUP($D1193,'Mortality Margins &amp; Grading'!$AB$5:$AF$125,3,0)*IF(Summary!$D$25="Included Margin",IF(AND($B1193&gt;Input!$C$9,Summary!$D$31&lt;&gt;"Included Margin"),0,1),0))</f>
        <v/>
      </c>
      <c r="AA1193" s="147" t="str">
        <f>IF($E1193="","",VLOOKUP($D1193,'Mortality Margins &amp; Grading'!$AB$5:$AF$125,5,0)*IF(Summary!$D$25="Included Margin",IF(AND($B1193&gt;Input!$C$9,Summary!$D$31&lt;&gt;"Included Margin"),0,1),0))</f>
        <v/>
      </c>
      <c r="AB1193" s="147" t="str">
        <f>IF($E1193="","",IF(AND($B1193&gt;Input!$C$9,Summary!$D$31&lt;&gt;"Included Margin"),1,IF(Summary!$D$25="Included Margin",VLOOKUP($B1193,'Mortality Margins &amp; Grading'!$AI$5:$AR$125,MATCH('Mortality Margins &amp; Grading'!$AQ$4,'Mortality Margins &amp; Grading'!$AI$4:$AR$4,0),0),1)))</f>
        <v/>
      </c>
      <c r="AC1193" s="154"/>
      <c r="AD1193" s="158" t="str">
        <f>IF(E1193="","",Input!$C$48*IF(Summary!$D$30="Included Margin",IF(AND($B1193&gt;Input!$C$9,Summary!$D$31&lt;&gt;"Included Margin"),0,1),0))</f>
        <v/>
      </c>
      <c r="AE1193" s="159" t="str">
        <f>IF(E1193="","",IF(Summary!$D$26="Included Margin",IF(AND($B1193&gt;Input!$C$9,Summary!$D$31&lt;&gt;"Included Margin"),1,1/$R1193),1))</f>
        <v/>
      </c>
      <c r="AF1193" s="160" t="str">
        <f>IF(E1193="","",IF(AND($B1193&gt;=Input!$C$9,$C1193=12,Summary!$D$31="Included Margin",$U1193&gt;0),1/U1193-1,IF($B1193&gt;=Input!$C$9,0,Input!$C$45*IF(Summary!$D$27="Included Margin",1,0))))</f>
        <v/>
      </c>
      <c r="AG1193" s="160" t="str">
        <f>IF(E1193="","",Input!$C$46*IF(Summary!$D$28="Included Margin",IF(AND($B1193&gt;Input!$C$9,Summary!$D$31&lt;&gt;"Included Margin"),0,1),0))</f>
        <v/>
      </c>
      <c r="AH1193" s="158" t="str">
        <f>IF(E1193="","",Input!$C$47*IF(Summary!$D$29="Included Margin",IF(AND($B1193&gt;Input!$C$9,Summary!$D$31&lt;&gt;"Included Margin"),0,1),0))</f>
        <v/>
      </c>
      <c r="AI1193" s="154"/>
      <c r="AJ1193" s="158" t="str">
        <f t="shared" si="774"/>
        <v/>
      </c>
      <c r="AK1193" s="150" t="str">
        <f t="shared" si="775"/>
        <v/>
      </c>
      <c r="AL1193" s="147" t="str">
        <f t="shared" si="776"/>
        <v/>
      </c>
      <c r="AM1193" s="147" t="str">
        <f t="shared" si="764"/>
        <v/>
      </c>
      <c r="AN1193" s="160" t="str">
        <f t="shared" si="777"/>
        <v/>
      </c>
      <c r="AO1193" s="161" t="str">
        <f t="shared" si="778"/>
        <v/>
      </c>
      <c r="AP1193" s="156" t="str">
        <f t="shared" si="765"/>
        <v/>
      </c>
      <c r="AQ1193" s="152"/>
      <c r="AR1193" s="162" t="str">
        <f t="shared" si="766"/>
        <v/>
      </c>
      <c r="AS1193" s="150" t="str">
        <f t="shared" si="779"/>
        <v/>
      </c>
      <c r="AT1193" s="163" t="str">
        <f t="shared" si="767"/>
        <v/>
      </c>
      <c r="AU1193" s="163" t="str">
        <f t="shared" si="768"/>
        <v/>
      </c>
      <c r="AV1193" s="163" t="str">
        <f t="shared" si="780"/>
        <v/>
      </c>
      <c r="AW1193" s="163" t="str">
        <f t="shared" si="769"/>
        <v/>
      </c>
      <c r="AX1193" s="163" t="str">
        <f t="shared" si="770"/>
        <v/>
      </c>
      <c r="AY1193" s="150" t="str">
        <f t="shared" si="781"/>
        <v/>
      </c>
      <c r="AZ1193" s="150" t="str">
        <f>IF($E1193="","",IF(OR(AND($D1193=Input!$C$6,$C1193=12),$AN1193=1),0,-AS1194+AT1194+AU1194-AV1194-AW1194-AX1194+AZ1194))</f>
        <v/>
      </c>
      <c r="BA1193" s="154" t="str">
        <f t="shared" si="771"/>
        <v/>
      </c>
      <c r="BC1193" s="147" t="str">
        <f t="shared" si="782"/>
        <v/>
      </c>
      <c r="BD1193" s="164" t="str">
        <f>IF(AND($C1192=12,$D1192=Input!$C$6),0,IF($E1193="","",AT1193+(AU1193+BD1194)/(1+$AK1193)*MIN((1-AM1193-AN1193),1)))</f>
        <v/>
      </c>
      <c r="BH1193" s="152"/>
      <c r="BI1193" s="162" t="str">
        <f t="shared" si="790"/>
        <v/>
      </c>
      <c r="BJ1193" s="150" t="str">
        <f t="shared" si="791"/>
        <v/>
      </c>
      <c r="BK1193" s="163" t="str">
        <f t="shared" si="787"/>
        <v/>
      </c>
      <c r="BL1193" s="163" t="str">
        <f t="shared" si="792"/>
        <v/>
      </c>
      <c r="BM1193" s="163" t="str">
        <f t="shared" si="788"/>
        <v/>
      </c>
      <c r="BN1193" s="163" t="str">
        <f t="shared" si="793"/>
        <v/>
      </c>
      <c r="BO1193" s="163" t="str">
        <f t="shared" si="794"/>
        <v/>
      </c>
      <c r="BP1193" s="150" t="str">
        <f t="shared" si="789"/>
        <v/>
      </c>
      <c r="BQ1193" s="150" t="str">
        <f t="shared" si="783"/>
        <v/>
      </c>
      <c r="BR1193" s="154" t="str">
        <f t="shared" si="795"/>
        <v/>
      </c>
      <c r="BT1193" s="147"/>
    </row>
    <row r="1194" spans="1:72" s="150" customFormat="1" x14ac:dyDescent="0.25">
      <c r="A1194" s="150" t="str">
        <f t="shared" si="784"/>
        <v/>
      </c>
      <c r="B1194" s="150" t="str">
        <f t="shared" si="785"/>
        <v/>
      </c>
      <c r="C1194" s="150" t="str">
        <f t="shared" si="786"/>
        <v/>
      </c>
      <c r="D1194" s="150" t="str">
        <f>IF(E1194="","",Input!$C$4+B1194-1)</f>
        <v/>
      </c>
      <c r="E1194" s="150" t="str">
        <f>IF(OR(AND(C1193=12,D1193=Input!$C$6),E1193=""),"",1)</f>
        <v/>
      </c>
      <c r="G1194" s="151" t="str">
        <f>IF(E1194="","",MAX(0,Input!$C$9-B1194))</f>
        <v/>
      </c>
      <c r="H1194" s="152" t="str">
        <f>IF(E1194="","",Input!$C$3)</f>
        <v/>
      </c>
      <c r="I1194" s="153" t="str">
        <f>IF(E1194="","",HLOOKUP($B1194,Input!$C$13:$BT$14,2))</f>
        <v/>
      </c>
      <c r="J1194" s="154"/>
      <c r="K1194" s="150" t="str">
        <f>IF($E1194="","",INDEX(Input!$C$16:$CP$16,1,$B1194))</f>
        <v/>
      </c>
      <c r="L1194" s="150" t="str">
        <f>IF($E1194="","",Input!$C$37)</f>
        <v/>
      </c>
      <c r="M1194" s="150" t="str">
        <f t="shared" si="772"/>
        <v/>
      </c>
      <c r="N1194" s="150" t="str">
        <f t="shared" si="773"/>
        <v/>
      </c>
      <c r="O1194" s="147" t="str">
        <f>IF($E1194="","",MIN(VLOOKUP(IF($B1194&lt;=Input!$C$7,$B1194,26),'Mortality Tables'!$A$41:$CW$67,IF($B1194&lt;=Input!$C$7+1,Input!$C$4+2,$D1194-Input!$C$7+2),0)*IF(B1194&gt;20,Input!$C$22,1)/1000,1))</f>
        <v/>
      </c>
      <c r="P1194" s="147" t="str">
        <f>IF($E1194="","",MIN(VLOOKUP(IF($B1194&lt;=Input!$C$7,$B1194,26),'Mortality Tables'!$A$12:$CW$37,IF($B1194&lt;=Input!$C$7+1,Input!$C$4+2,$D1194-Input!$C$7+2),0)*IF(B1194&gt;20,Input!$C$22,1)/1000,1))</f>
        <v/>
      </c>
      <c r="Q1194" s="155" t="str">
        <f>IF($E1194="","",Input!$C$21)</f>
        <v/>
      </c>
      <c r="R1194" s="159" t="str">
        <f>IF($E1194="","",(1-Q1194)^($F1194-Input!$C$20))</f>
        <v/>
      </c>
      <c r="S1194" s="147" t="str">
        <f t="shared" si="761"/>
        <v/>
      </c>
      <c r="T1194" s="147" t="str">
        <f t="shared" si="762"/>
        <v/>
      </c>
      <c r="U1194" s="160" t="str">
        <f>IF($E1194="","",IF($C1194=12,INDEX(Input!$C$15:$CP$15,1,$B1194),0))</f>
        <v/>
      </c>
      <c r="V1194" s="150" t="str">
        <f>IF(E1194="","",IF(C1194=1,IF($B1194=1,Input!$C$33,Input!$C$34),0))</f>
        <v/>
      </c>
      <c r="W1194" s="156" t="str">
        <f>IF($E1194="","",Input!$C$35)</f>
        <v/>
      </c>
      <c r="X1194" s="156" t="str">
        <f t="shared" si="763"/>
        <v/>
      </c>
      <c r="Y1194" s="154"/>
      <c r="Z1194" s="147" t="str">
        <f>IF($E1194="","",VLOOKUP($D1194,'Mortality Margins &amp; Grading'!$AB$5:$AF$125,3,0)*IF(Summary!$D$25="Included Margin",IF(AND($B1194&gt;Input!$C$9,Summary!$D$31&lt;&gt;"Included Margin"),0,1),0))</f>
        <v/>
      </c>
      <c r="AA1194" s="147" t="str">
        <f>IF($E1194="","",VLOOKUP($D1194,'Mortality Margins &amp; Grading'!$AB$5:$AF$125,5,0)*IF(Summary!$D$25="Included Margin",IF(AND($B1194&gt;Input!$C$9,Summary!$D$31&lt;&gt;"Included Margin"),0,1),0))</f>
        <v/>
      </c>
      <c r="AB1194" s="147" t="str">
        <f>IF($E1194="","",IF(AND($B1194&gt;Input!$C$9,Summary!$D$31&lt;&gt;"Included Margin"),1,IF(Summary!$D$25="Included Margin",VLOOKUP($B1194,'Mortality Margins &amp; Grading'!$AI$5:$AR$125,MATCH('Mortality Margins &amp; Grading'!$AQ$4,'Mortality Margins &amp; Grading'!$AI$4:$AR$4,0),0),1)))</f>
        <v/>
      </c>
      <c r="AC1194" s="154"/>
      <c r="AD1194" s="158" t="str">
        <f>IF(E1194="","",Input!$C$48*IF(Summary!$D$30="Included Margin",IF(AND($B1194&gt;Input!$C$9,Summary!$D$31&lt;&gt;"Included Margin"),0,1),0))</f>
        <v/>
      </c>
      <c r="AE1194" s="159" t="str">
        <f>IF(E1194="","",IF(Summary!$D$26="Included Margin",IF(AND($B1194&gt;Input!$C$9,Summary!$D$31&lt;&gt;"Included Margin"),1,1/$R1194),1))</f>
        <v/>
      </c>
      <c r="AF1194" s="160" t="str">
        <f>IF(E1194="","",IF(AND($B1194&gt;=Input!$C$9,$C1194=12,Summary!$D$31="Included Margin",$U1194&gt;0),1/U1194-1,IF($B1194&gt;=Input!$C$9,0,Input!$C$45*IF(Summary!$D$27="Included Margin",1,0))))</f>
        <v/>
      </c>
      <c r="AG1194" s="160" t="str">
        <f>IF(E1194="","",Input!$C$46*IF(Summary!$D$28="Included Margin",IF(AND($B1194&gt;Input!$C$9,Summary!$D$31&lt;&gt;"Included Margin"),0,1),0))</f>
        <v/>
      </c>
      <c r="AH1194" s="158" t="str">
        <f>IF(E1194="","",Input!$C$47*IF(Summary!$D$29="Included Margin",IF(AND($B1194&gt;Input!$C$9,Summary!$D$31&lt;&gt;"Included Margin"),0,1),0))</f>
        <v/>
      </c>
      <c r="AI1194" s="154"/>
      <c r="AJ1194" s="158" t="str">
        <f t="shared" si="774"/>
        <v/>
      </c>
      <c r="AK1194" s="150" t="str">
        <f t="shared" si="775"/>
        <v/>
      </c>
      <c r="AL1194" s="147" t="str">
        <f t="shared" si="776"/>
        <v/>
      </c>
      <c r="AM1194" s="147" t="str">
        <f t="shared" si="764"/>
        <v/>
      </c>
      <c r="AN1194" s="160" t="str">
        <f t="shared" si="777"/>
        <v/>
      </c>
      <c r="AO1194" s="161" t="str">
        <f t="shared" si="778"/>
        <v/>
      </c>
      <c r="AP1194" s="156" t="str">
        <f t="shared" si="765"/>
        <v/>
      </c>
      <c r="AQ1194" s="152"/>
      <c r="AR1194" s="162" t="str">
        <f t="shared" si="766"/>
        <v/>
      </c>
      <c r="AS1194" s="150" t="str">
        <f t="shared" si="779"/>
        <v/>
      </c>
      <c r="AT1194" s="163" t="str">
        <f t="shared" si="767"/>
        <v/>
      </c>
      <c r="AU1194" s="163" t="str">
        <f t="shared" si="768"/>
        <v/>
      </c>
      <c r="AV1194" s="163" t="str">
        <f t="shared" si="780"/>
        <v/>
      </c>
      <c r="AW1194" s="163" t="str">
        <f t="shared" si="769"/>
        <v/>
      </c>
      <c r="AX1194" s="163" t="str">
        <f t="shared" si="770"/>
        <v/>
      </c>
      <c r="AY1194" s="150" t="str">
        <f t="shared" si="781"/>
        <v/>
      </c>
      <c r="AZ1194" s="150" t="str">
        <f>IF($E1194="","",IF(OR(AND($D1194=Input!$C$6,$C1194=12),$AN1194=1),0,-AS1195+AT1195+AU1195-AV1195-AW1195-AX1195+AZ1195))</f>
        <v/>
      </c>
      <c r="BA1194" s="154" t="str">
        <f t="shared" si="771"/>
        <v/>
      </c>
      <c r="BC1194" s="147" t="str">
        <f t="shared" si="782"/>
        <v/>
      </c>
      <c r="BD1194" s="164" t="str">
        <f>IF(AND($C1193=12,$D1193=Input!$C$6),0,IF($E1194="","",AT1194+(AU1194+BD1195)/(1+$AK1194)*MIN((1-AM1194-AN1194),1)))</f>
        <v/>
      </c>
      <c r="BH1194" s="152"/>
      <c r="BI1194" s="162" t="str">
        <f t="shared" si="790"/>
        <v/>
      </c>
      <c r="BJ1194" s="150" t="str">
        <f t="shared" si="791"/>
        <v/>
      </c>
      <c r="BK1194" s="163" t="str">
        <f t="shared" si="787"/>
        <v/>
      </c>
      <c r="BL1194" s="163" t="str">
        <f t="shared" si="792"/>
        <v/>
      </c>
      <c r="BM1194" s="163" t="str">
        <f t="shared" si="788"/>
        <v/>
      </c>
      <c r="BN1194" s="163" t="str">
        <f t="shared" si="793"/>
        <v/>
      </c>
      <c r="BO1194" s="163" t="str">
        <f t="shared" si="794"/>
        <v/>
      </c>
      <c r="BP1194" s="150" t="str">
        <f t="shared" si="789"/>
        <v/>
      </c>
      <c r="BQ1194" s="150" t="str">
        <f t="shared" si="783"/>
        <v/>
      </c>
      <c r="BR1194" s="154" t="str">
        <f t="shared" si="795"/>
        <v/>
      </c>
      <c r="BT1194" s="147"/>
    </row>
    <row r="1195" spans="1:72" s="150" customFormat="1" x14ac:dyDescent="0.25">
      <c r="A1195" s="150" t="str">
        <f t="shared" si="784"/>
        <v/>
      </c>
      <c r="B1195" s="150" t="str">
        <f t="shared" si="785"/>
        <v/>
      </c>
      <c r="C1195" s="150" t="str">
        <f t="shared" si="786"/>
        <v/>
      </c>
      <c r="D1195" s="150" t="str">
        <f>IF(E1195="","",Input!$C$4+B1195-1)</f>
        <v/>
      </c>
      <c r="E1195" s="150" t="str">
        <f>IF(OR(AND(C1194=12,D1194=Input!$C$6),E1194=""),"",1)</f>
        <v/>
      </c>
      <c r="G1195" s="151" t="str">
        <f>IF(E1195="","",MAX(0,Input!$C$9-B1195))</f>
        <v/>
      </c>
      <c r="H1195" s="152" t="str">
        <f>IF(E1195="","",Input!$C$3)</f>
        <v/>
      </c>
      <c r="I1195" s="153" t="str">
        <f>IF(E1195="","",HLOOKUP($B1195,Input!$C$13:$BT$14,2))</f>
        <v/>
      </c>
      <c r="J1195" s="154"/>
      <c r="K1195" s="150" t="str">
        <f>IF($E1195="","",INDEX(Input!$C$16:$CP$16,1,$B1195))</f>
        <v/>
      </c>
      <c r="L1195" s="150" t="str">
        <f>IF($E1195="","",Input!$C$37)</f>
        <v/>
      </c>
      <c r="M1195" s="150" t="str">
        <f t="shared" si="772"/>
        <v/>
      </c>
      <c r="N1195" s="150" t="str">
        <f t="shared" si="773"/>
        <v/>
      </c>
      <c r="O1195" s="147" t="str">
        <f>IF($E1195="","",MIN(VLOOKUP(IF($B1195&lt;=Input!$C$7,$B1195,26),'Mortality Tables'!$A$41:$CW$67,IF($B1195&lt;=Input!$C$7+1,Input!$C$4+2,$D1195-Input!$C$7+2),0)*IF(B1195&gt;20,Input!$C$22,1)/1000,1))</f>
        <v/>
      </c>
      <c r="P1195" s="147" t="str">
        <f>IF($E1195="","",MIN(VLOOKUP(IF($B1195&lt;=Input!$C$7,$B1195,26),'Mortality Tables'!$A$12:$CW$37,IF($B1195&lt;=Input!$C$7+1,Input!$C$4+2,$D1195-Input!$C$7+2),0)*IF(B1195&gt;20,Input!$C$22,1)/1000,1))</f>
        <v/>
      </c>
      <c r="Q1195" s="155" t="str">
        <f>IF($E1195="","",Input!$C$21)</f>
        <v/>
      </c>
      <c r="R1195" s="159" t="str">
        <f>IF($E1195="","",(1-Q1195)^($F1195-Input!$C$20))</f>
        <v/>
      </c>
      <c r="S1195" s="147" t="str">
        <f t="shared" si="761"/>
        <v/>
      </c>
      <c r="T1195" s="147" t="str">
        <f t="shared" si="762"/>
        <v/>
      </c>
      <c r="U1195" s="160" t="str">
        <f>IF($E1195="","",IF($C1195=12,INDEX(Input!$C$15:$CP$15,1,$B1195),0))</f>
        <v/>
      </c>
      <c r="V1195" s="150" t="str">
        <f>IF(E1195="","",IF(C1195=1,IF($B1195=1,Input!$C$33,Input!$C$34),0))</f>
        <v/>
      </c>
      <c r="W1195" s="156" t="str">
        <f>IF($E1195="","",Input!$C$35)</f>
        <v/>
      </c>
      <c r="X1195" s="156" t="str">
        <f t="shared" si="763"/>
        <v/>
      </c>
      <c r="Y1195" s="154"/>
      <c r="Z1195" s="147" t="str">
        <f>IF($E1195="","",VLOOKUP($D1195,'Mortality Margins &amp; Grading'!$AB$5:$AF$125,3,0)*IF(Summary!$D$25="Included Margin",IF(AND($B1195&gt;Input!$C$9,Summary!$D$31&lt;&gt;"Included Margin"),0,1),0))</f>
        <v/>
      </c>
      <c r="AA1195" s="147" t="str">
        <f>IF($E1195="","",VLOOKUP($D1195,'Mortality Margins &amp; Grading'!$AB$5:$AF$125,5,0)*IF(Summary!$D$25="Included Margin",IF(AND($B1195&gt;Input!$C$9,Summary!$D$31&lt;&gt;"Included Margin"),0,1),0))</f>
        <v/>
      </c>
      <c r="AB1195" s="147" t="str">
        <f>IF($E1195="","",IF(AND($B1195&gt;Input!$C$9,Summary!$D$31&lt;&gt;"Included Margin"),1,IF(Summary!$D$25="Included Margin",VLOOKUP($B1195,'Mortality Margins &amp; Grading'!$AI$5:$AR$125,MATCH('Mortality Margins &amp; Grading'!$AQ$4,'Mortality Margins &amp; Grading'!$AI$4:$AR$4,0),0),1)))</f>
        <v/>
      </c>
      <c r="AC1195" s="154"/>
      <c r="AD1195" s="158" t="str">
        <f>IF(E1195="","",Input!$C$48*IF(Summary!$D$30="Included Margin",IF(AND($B1195&gt;Input!$C$9,Summary!$D$31&lt;&gt;"Included Margin"),0,1),0))</f>
        <v/>
      </c>
      <c r="AE1195" s="159" t="str">
        <f>IF(E1195="","",IF(Summary!$D$26="Included Margin",IF(AND($B1195&gt;Input!$C$9,Summary!$D$31&lt;&gt;"Included Margin"),1,1/$R1195),1))</f>
        <v/>
      </c>
      <c r="AF1195" s="160" t="str">
        <f>IF(E1195="","",IF(AND($B1195&gt;=Input!$C$9,$C1195=12,Summary!$D$31="Included Margin",$U1195&gt;0),1/U1195-1,IF($B1195&gt;=Input!$C$9,0,Input!$C$45*IF(Summary!$D$27="Included Margin",1,0))))</f>
        <v/>
      </c>
      <c r="AG1195" s="160" t="str">
        <f>IF(E1195="","",Input!$C$46*IF(Summary!$D$28="Included Margin",IF(AND($B1195&gt;Input!$C$9,Summary!$D$31&lt;&gt;"Included Margin"),0,1),0))</f>
        <v/>
      </c>
      <c r="AH1195" s="158" t="str">
        <f>IF(E1195="","",Input!$C$47*IF(Summary!$D$29="Included Margin",IF(AND($B1195&gt;Input!$C$9,Summary!$D$31&lt;&gt;"Included Margin"),0,1),0))</f>
        <v/>
      </c>
      <c r="AI1195" s="154"/>
      <c r="AJ1195" s="158" t="str">
        <f t="shared" si="774"/>
        <v/>
      </c>
      <c r="AK1195" s="150" t="str">
        <f t="shared" si="775"/>
        <v/>
      </c>
      <c r="AL1195" s="147" t="str">
        <f t="shared" si="776"/>
        <v/>
      </c>
      <c r="AM1195" s="147" t="str">
        <f t="shared" si="764"/>
        <v/>
      </c>
      <c r="AN1195" s="160" t="str">
        <f t="shared" si="777"/>
        <v/>
      </c>
      <c r="AO1195" s="161" t="str">
        <f t="shared" si="778"/>
        <v/>
      </c>
      <c r="AP1195" s="156" t="str">
        <f t="shared" si="765"/>
        <v/>
      </c>
      <c r="AQ1195" s="152"/>
      <c r="AR1195" s="162" t="str">
        <f t="shared" si="766"/>
        <v/>
      </c>
      <c r="AS1195" s="150" t="str">
        <f t="shared" si="779"/>
        <v/>
      </c>
      <c r="AT1195" s="163" t="str">
        <f t="shared" si="767"/>
        <v/>
      </c>
      <c r="AU1195" s="163" t="str">
        <f t="shared" si="768"/>
        <v/>
      </c>
      <c r="AV1195" s="163" t="str">
        <f t="shared" si="780"/>
        <v/>
      </c>
      <c r="AW1195" s="163" t="str">
        <f t="shared" si="769"/>
        <v/>
      </c>
      <c r="AX1195" s="163" t="str">
        <f t="shared" si="770"/>
        <v/>
      </c>
      <c r="AY1195" s="150" t="str">
        <f t="shared" si="781"/>
        <v/>
      </c>
      <c r="AZ1195" s="150" t="str">
        <f>IF($E1195="","",IF(OR(AND($D1195=Input!$C$6,$C1195=12),$AN1195=1),0,-AS1196+AT1196+AU1196-AV1196-AW1196-AX1196+AZ1196))</f>
        <v/>
      </c>
      <c r="BA1195" s="154" t="str">
        <f t="shared" si="771"/>
        <v/>
      </c>
      <c r="BC1195" s="147" t="str">
        <f t="shared" si="782"/>
        <v/>
      </c>
      <c r="BD1195" s="164" t="str">
        <f>IF(AND($C1194=12,$D1194=Input!$C$6),0,IF($E1195="","",AT1195+(AU1195+BD1196)/(1+$AK1195)*MIN((1-AM1195-AN1195),1)))</f>
        <v/>
      </c>
      <c r="BH1195" s="152"/>
      <c r="BI1195" s="162" t="str">
        <f t="shared" si="790"/>
        <v/>
      </c>
      <c r="BJ1195" s="150" t="str">
        <f t="shared" si="791"/>
        <v/>
      </c>
      <c r="BK1195" s="163" t="str">
        <f t="shared" si="787"/>
        <v/>
      </c>
      <c r="BL1195" s="163" t="str">
        <f t="shared" si="792"/>
        <v/>
      </c>
      <c r="BM1195" s="163" t="str">
        <f t="shared" si="788"/>
        <v/>
      </c>
      <c r="BN1195" s="163" t="str">
        <f t="shared" si="793"/>
        <v/>
      </c>
      <c r="BO1195" s="163" t="str">
        <f t="shared" si="794"/>
        <v/>
      </c>
      <c r="BP1195" s="150" t="str">
        <f t="shared" si="789"/>
        <v/>
      </c>
      <c r="BQ1195" s="150" t="str">
        <f t="shared" si="783"/>
        <v/>
      </c>
      <c r="BR1195" s="154" t="str">
        <f t="shared" si="795"/>
        <v/>
      </c>
      <c r="BT1195" s="147"/>
    </row>
    <row r="1196" spans="1:72" s="150" customFormat="1" x14ac:dyDescent="0.25">
      <c r="A1196" s="150" t="str">
        <f t="shared" si="784"/>
        <v/>
      </c>
      <c r="B1196" s="150" t="str">
        <f t="shared" si="785"/>
        <v/>
      </c>
      <c r="C1196" s="150" t="str">
        <f t="shared" si="786"/>
        <v/>
      </c>
      <c r="D1196" s="150" t="str">
        <f>IF(E1196="","",Input!$C$4+B1196-1)</f>
        <v/>
      </c>
      <c r="E1196" s="150" t="str">
        <f>IF(OR(AND(C1195=12,D1195=Input!$C$6),E1195=""),"",1)</f>
        <v/>
      </c>
      <c r="G1196" s="151" t="str">
        <f>IF(E1196="","",MAX(0,Input!$C$9-B1196))</f>
        <v/>
      </c>
      <c r="H1196" s="152" t="str">
        <f>IF(E1196="","",Input!$C$3)</f>
        <v/>
      </c>
      <c r="I1196" s="153" t="str">
        <f>IF(E1196="","",HLOOKUP($B1196,Input!$C$13:$BT$14,2))</f>
        <v/>
      </c>
      <c r="J1196" s="154"/>
      <c r="K1196" s="150" t="str">
        <f>IF($E1196="","",INDEX(Input!$C$16:$CP$16,1,$B1196))</f>
        <v/>
      </c>
      <c r="L1196" s="150" t="str">
        <f>IF($E1196="","",Input!$C$37)</f>
        <v/>
      </c>
      <c r="M1196" s="150" t="str">
        <f t="shared" si="772"/>
        <v/>
      </c>
      <c r="N1196" s="150" t="str">
        <f t="shared" si="773"/>
        <v/>
      </c>
      <c r="O1196" s="147" t="str">
        <f>IF($E1196="","",MIN(VLOOKUP(IF($B1196&lt;=Input!$C$7,$B1196,26),'Mortality Tables'!$A$41:$CW$67,IF($B1196&lt;=Input!$C$7+1,Input!$C$4+2,$D1196-Input!$C$7+2),0)*IF(B1196&gt;20,Input!$C$22,1)/1000,1))</f>
        <v/>
      </c>
      <c r="P1196" s="147" t="str">
        <f>IF($E1196="","",MIN(VLOOKUP(IF($B1196&lt;=Input!$C$7,$B1196,26),'Mortality Tables'!$A$12:$CW$37,IF($B1196&lt;=Input!$C$7+1,Input!$C$4+2,$D1196-Input!$C$7+2),0)*IF(B1196&gt;20,Input!$C$22,1)/1000,1))</f>
        <v/>
      </c>
      <c r="Q1196" s="155" t="str">
        <f>IF($E1196="","",Input!$C$21)</f>
        <v/>
      </c>
      <c r="R1196" s="159" t="str">
        <f>IF($E1196="","",(1-Q1196)^($F1196-Input!$C$20))</f>
        <v/>
      </c>
      <c r="S1196" s="147" t="str">
        <f t="shared" si="761"/>
        <v/>
      </c>
      <c r="T1196" s="147" t="str">
        <f t="shared" si="762"/>
        <v/>
      </c>
      <c r="U1196" s="160" t="str">
        <f>IF($E1196="","",IF($C1196=12,INDEX(Input!$C$15:$CP$15,1,$B1196),0))</f>
        <v/>
      </c>
      <c r="V1196" s="150" t="str">
        <f>IF(E1196="","",IF(C1196=1,IF($B1196=1,Input!$C$33,Input!$C$34),0))</f>
        <v/>
      </c>
      <c r="W1196" s="156" t="str">
        <f>IF($E1196="","",Input!$C$35)</f>
        <v/>
      </c>
      <c r="X1196" s="156" t="str">
        <f t="shared" si="763"/>
        <v/>
      </c>
      <c r="Y1196" s="154"/>
      <c r="Z1196" s="147" t="str">
        <f>IF($E1196="","",VLOOKUP($D1196,'Mortality Margins &amp; Grading'!$AB$5:$AF$125,3,0)*IF(Summary!$D$25="Included Margin",IF(AND($B1196&gt;Input!$C$9,Summary!$D$31&lt;&gt;"Included Margin"),0,1),0))</f>
        <v/>
      </c>
      <c r="AA1196" s="147" t="str">
        <f>IF($E1196="","",VLOOKUP($D1196,'Mortality Margins &amp; Grading'!$AB$5:$AF$125,5,0)*IF(Summary!$D$25="Included Margin",IF(AND($B1196&gt;Input!$C$9,Summary!$D$31&lt;&gt;"Included Margin"),0,1),0))</f>
        <v/>
      </c>
      <c r="AB1196" s="147" t="str">
        <f>IF($E1196="","",IF(AND($B1196&gt;Input!$C$9,Summary!$D$31&lt;&gt;"Included Margin"),1,IF(Summary!$D$25="Included Margin",VLOOKUP($B1196,'Mortality Margins &amp; Grading'!$AI$5:$AR$125,MATCH('Mortality Margins &amp; Grading'!$AQ$4,'Mortality Margins &amp; Grading'!$AI$4:$AR$4,0),0),1)))</f>
        <v/>
      </c>
      <c r="AC1196" s="154"/>
      <c r="AD1196" s="158" t="str">
        <f>IF(E1196="","",Input!$C$48*IF(Summary!$D$30="Included Margin",IF(AND($B1196&gt;Input!$C$9,Summary!$D$31&lt;&gt;"Included Margin"),0,1),0))</f>
        <v/>
      </c>
      <c r="AE1196" s="159" t="str">
        <f>IF(E1196="","",IF(Summary!$D$26="Included Margin",IF(AND($B1196&gt;Input!$C$9,Summary!$D$31&lt;&gt;"Included Margin"),1,1/$R1196),1))</f>
        <v/>
      </c>
      <c r="AF1196" s="160" t="str">
        <f>IF(E1196="","",IF(AND($B1196&gt;=Input!$C$9,$C1196=12,Summary!$D$31="Included Margin",$U1196&gt;0),1/U1196-1,IF($B1196&gt;=Input!$C$9,0,Input!$C$45*IF(Summary!$D$27="Included Margin",1,0))))</f>
        <v/>
      </c>
      <c r="AG1196" s="160" t="str">
        <f>IF(E1196="","",Input!$C$46*IF(Summary!$D$28="Included Margin",IF(AND($B1196&gt;Input!$C$9,Summary!$D$31&lt;&gt;"Included Margin"),0,1),0))</f>
        <v/>
      </c>
      <c r="AH1196" s="158" t="str">
        <f>IF(E1196="","",Input!$C$47*IF(Summary!$D$29="Included Margin",IF(AND($B1196&gt;Input!$C$9,Summary!$D$31&lt;&gt;"Included Margin"),0,1),0))</f>
        <v/>
      </c>
      <c r="AI1196" s="154"/>
      <c r="AJ1196" s="158" t="str">
        <f t="shared" si="774"/>
        <v/>
      </c>
      <c r="AK1196" s="150" t="str">
        <f t="shared" si="775"/>
        <v/>
      </c>
      <c r="AL1196" s="147" t="str">
        <f t="shared" si="776"/>
        <v/>
      </c>
      <c r="AM1196" s="147" t="str">
        <f t="shared" si="764"/>
        <v/>
      </c>
      <c r="AN1196" s="160" t="str">
        <f t="shared" si="777"/>
        <v/>
      </c>
      <c r="AO1196" s="161" t="str">
        <f t="shared" si="778"/>
        <v/>
      </c>
      <c r="AP1196" s="156" t="str">
        <f t="shared" si="765"/>
        <v/>
      </c>
      <c r="AQ1196" s="152"/>
      <c r="AR1196" s="162" t="str">
        <f t="shared" si="766"/>
        <v/>
      </c>
      <c r="AS1196" s="150" t="str">
        <f t="shared" si="779"/>
        <v/>
      </c>
      <c r="AT1196" s="163" t="str">
        <f t="shared" si="767"/>
        <v/>
      </c>
      <c r="AU1196" s="163" t="str">
        <f t="shared" si="768"/>
        <v/>
      </c>
      <c r="AV1196" s="163" t="str">
        <f t="shared" si="780"/>
        <v/>
      </c>
      <c r="AW1196" s="163" t="str">
        <f t="shared" si="769"/>
        <v/>
      </c>
      <c r="AX1196" s="163" t="str">
        <f t="shared" si="770"/>
        <v/>
      </c>
      <c r="AY1196" s="150" t="str">
        <f t="shared" si="781"/>
        <v/>
      </c>
      <c r="AZ1196" s="150" t="str">
        <f>IF($E1196="","",IF(OR(AND($D1196=Input!$C$6,$C1196=12),$AN1196=1),0,-AS1197+AT1197+AU1197-AV1197-AW1197-AX1197+AZ1197))</f>
        <v/>
      </c>
      <c r="BA1196" s="154" t="str">
        <f t="shared" si="771"/>
        <v/>
      </c>
      <c r="BC1196" s="147" t="str">
        <f t="shared" si="782"/>
        <v/>
      </c>
      <c r="BD1196" s="164" t="str">
        <f>IF(AND($C1195=12,$D1195=Input!$C$6),0,IF($E1196="","",AT1196+(AU1196+BD1197)/(1+$AK1196)*MIN((1-AM1196-AN1196),1)))</f>
        <v/>
      </c>
      <c r="BH1196" s="152"/>
      <c r="BI1196" s="162" t="str">
        <f t="shared" si="790"/>
        <v/>
      </c>
      <c r="BJ1196" s="150" t="str">
        <f t="shared" si="791"/>
        <v/>
      </c>
      <c r="BK1196" s="163" t="str">
        <f t="shared" si="787"/>
        <v/>
      </c>
      <c r="BL1196" s="163" t="str">
        <f t="shared" si="792"/>
        <v/>
      </c>
      <c r="BM1196" s="163" t="str">
        <f t="shared" si="788"/>
        <v/>
      </c>
      <c r="BN1196" s="163" t="str">
        <f t="shared" si="793"/>
        <v/>
      </c>
      <c r="BO1196" s="163" t="str">
        <f t="shared" si="794"/>
        <v/>
      </c>
      <c r="BP1196" s="150" t="str">
        <f t="shared" si="789"/>
        <v/>
      </c>
      <c r="BQ1196" s="150" t="str">
        <f t="shared" si="783"/>
        <v/>
      </c>
      <c r="BR1196" s="154" t="str">
        <f t="shared" si="795"/>
        <v/>
      </c>
      <c r="BT1196" s="147"/>
    </row>
    <row r="1197" spans="1:72" s="150" customFormat="1" x14ac:dyDescent="0.25">
      <c r="A1197" s="150" t="str">
        <f t="shared" si="784"/>
        <v/>
      </c>
      <c r="B1197" s="150" t="str">
        <f t="shared" si="785"/>
        <v/>
      </c>
      <c r="C1197" s="150" t="str">
        <f t="shared" si="786"/>
        <v/>
      </c>
      <c r="D1197" s="150" t="str">
        <f>IF(E1197="","",Input!$C$4+B1197-1)</f>
        <v/>
      </c>
      <c r="E1197" s="150" t="str">
        <f>IF(OR(AND(C1196=12,D1196=Input!$C$6),E1196=""),"",1)</f>
        <v/>
      </c>
      <c r="G1197" s="151" t="str">
        <f>IF(E1197="","",MAX(0,Input!$C$9-B1197))</f>
        <v/>
      </c>
      <c r="H1197" s="152" t="str">
        <f>IF(E1197="","",Input!$C$3)</f>
        <v/>
      </c>
      <c r="I1197" s="153" t="str">
        <f>IF(E1197="","",HLOOKUP($B1197,Input!$C$13:$BT$14,2))</f>
        <v/>
      </c>
      <c r="J1197" s="154"/>
      <c r="K1197" s="150" t="str">
        <f>IF($E1197="","",INDEX(Input!$C$16:$CP$16,1,$B1197))</f>
        <v/>
      </c>
      <c r="L1197" s="150" t="str">
        <f>IF($E1197="","",Input!$C$37)</f>
        <v/>
      </c>
      <c r="M1197" s="150" t="str">
        <f t="shared" si="772"/>
        <v/>
      </c>
      <c r="N1197" s="150" t="str">
        <f t="shared" si="773"/>
        <v/>
      </c>
      <c r="O1197" s="147" t="str">
        <f>IF($E1197="","",MIN(VLOOKUP(IF($B1197&lt;=Input!$C$7,$B1197,26),'Mortality Tables'!$A$41:$CW$67,IF($B1197&lt;=Input!$C$7+1,Input!$C$4+2,$D1197-Input!$C$7+2),0)*IF(B1197&gt;20,Input!$C$22,1)/1000,1))</f>
        <v/>
      </c>
      <c r="P1197" s="147" t="str">
        <f>IF($E1197="","",MIN(VLOOKUP(IF($B1197&lt;=Input!$C$7,$B1197,26),'Mortality Tables'!$A$12:$CW$37,IF($B1197&lt;=Input!$C$7+1,Input!$C$4+2,$D1197-Input!$C$7+2),0)*IF(B1197&gt;20,Input!$C$22,1)/1000,1))</f>
        <v/>
      </c>
      <c r="Q1197" s="155" t="str">
        <f>IF($E1197="","",Input!$C$21)</f>
        <v/>
      </c>
      <c r="R1197" s="159" t="str">
        <f>IF($E1197="","",(1-Q1197)^($F1197-Input!$C$20))</f>
        <v/>
      </c>
      <c r="S1197" s="147" t="str">
        <f t="shared" si="761"/>
        <v/>
      </c>
      <c r="T1197" s="147" t="str">
        <f t="shared" si="762"/>
        <v/>
      </c>
      <c r="U1197" s="160" t="str">
        <f>IF($E1197="","",IF($C1197=12,INDEX(Input!$C$15:$CP$15,1,$B1197),0))</f>
        <v/>
      </c>
      <c r="V1197" s="150" t="str">
        <f>IF(E1197="","",IF(C1197=1,IF($B1197=1,Input!$C$33,Input!$C$34),0))</f>
        <v/>
      </c>
      <c r="W1197" s="156" t="str">
        <f>IF($E1197="","",Input!$C$35)</f>
        <v/>
      </c>
      <c r="X1197" s="156" t="str">
        <f t="shared" si="763"/>
        <v/>
      </c>
      <c r="Y1197" s="154"/>
      <c r="Z1197" s="147" t="str">
        <f>IF($E1197="","",VLOOKUP($D1197,'Mortality Margins &amp; Grading'!$AB$5:$AF$125,3,0)*IF(Summary!$D$25="Included Margin",IF(AND($B1197&gt;Input!$C$9,Summary!$D$31&lt;&gt;"Included Margin"),0,1),0))</f>
        <v/>
      </c>
      <c r="AA1197" s="147" t="str">
        <f>IF($E1197="","",VLOOKUP($D1197,'Mortality Margins &amp; Grading'!$AB$5:$AF$125,5,0)*IF(Summary!$D$25="Included Margin",IF(AND($B1197&gt;Input!$C$9,Summary!$D$31&lt;&gt;"Included Margin"),0,1),0))</f>
        <v/>
      </c>
      <c r="AB1197" s="147" t="str">
        <f>IF($E1197="","",IF(AND($B1197&gt;Input!$C$9,Summary!$D$31&lt;&gt;"Included Margin"),1,IF(Summary!$D$25="Included Margin",VLOOKUP($B1197,'Mortality Margins &amp; Grading'!$AI$5:$AR$125,MATCH('Mortality Margins &amp; Grading'!$AQ$4,'Mortality Margins &amp; Grading'!$AI$4:$AR$4,0),0),1)))</f>
        <v/>
      </c>
      <c r="AC1197" s="154"/>
      <c r="AD1197" s="158" t="str">
        <f>IF(E1197="","",Input!$C$48*IF(Summary!$D$30="Included Margin",IF(AND($B1197&gt;Input!$C$9,Summary!$D$31&lt;&gt;"Included Margin"),0,1),0))</f>
        <v/>
      </c>
      <c r="AE1197" s="159" t="str">
        <f>IF(E1197="","",IF(Summary!$D$26="Included Margin",IF(AND($B1197&gt;Input!$C$9,Summary!$D$31&lt;&gt;"Included Margin"),1,1/$R1197),1))</f>
        <v/>
      </c>
      <c r="AF1197" s="160" t="str">
        <f>IF(E1197="","",IF(AND($B1197&gt;=Input!$C$9,$C1197=12,Summary!$D$31="Included Margin",$U1197&gt;0),1/U1197-1,IF($B1197&gt;=Input!$C$9,0,Input!$C$45*IF(Summary!$D$27="Included Margin",1,0))))</f>
        <v/>
      </c>
      <c r="AG1197" s="160" t="str">
        <f>IF(E1197="","",Input!$C$46*IF(Summary!$D$28="Included Margin",IF(AND($B1197&gt;Input!$C$9,Summary!$D$31&lt;&gt;"Included Margin"),0,1),0))</f>
        <v/>
      </c>
      <c r="AH1197" s="158" t="str">
        <f>IF(E1197="","",Input!$C$47*IF(Summary!$D$29="Included Margin",IF(AND($B1197&gt;Input!$C$9,Summary!$D$31&lt;&gt;"Included Margin"),0,1),0))</f>
        <v/>
      </c>
      <c r="AI1197" s="154"/>
      <c r="AJ1197" s="158" t="str">
        <f t="shared" si="774"/>
        <v/>
      </c>
      <c r="AK1197" s="150" t="str">
        <f t="shared" si="775"/>
        <v/>
      </c>
      <c r="AL1197" s="147" t="str">
        <f t="shared" si="776"/>
        <v/>
      </c>
      <c r="AM1197" s="147" t="str">
        <f t="shared" si="764"/>
        <v/>
      </c>
      <c r="AN1197" s="160" t="str">
        <f t="shared" si="777"/>
        <v/>
      </c>
      <c r="AO1197" s="161" t="str">
        <f t="shared" si="778"/>
        <v/>
      </c>
      <c r="AP1197" s="156" t="str">
        <f t="shared" si="765"/>
        <v/>
      </c>
      <c r="AQ1197" s="152"/>
      <c r="AR1197" s="162" t="str">
        <f t="shared" si="766"/>
        <v/>
      </c>
      <c r="AS1197" s="150" t="str">
        <f t="shared" si="779"/>
        <v/>
      </c>
      <c r="AT1197" s="163" t="str">
        <f t="shared" si="767"/>
        <v/>
      </c>
      <c r="AU1197" s="163" t="str">
        <f t="shared" si="768"/>
        <v/>
      </c>
      <c r="AV1197" s="163" t="str">
        <f t="shared" si="780"/>
        <v/>
      </c>
      <c r="AW1197" s="163" t="str">
        <f t="shared" si="769"/>
        <v/>
      </c>
      <c r="AX1197" s="163" t="str">
        <f t="shared" si="770"/>
        <v/>
      </c>
      <c r="AY1197" s="150" t="str">
        <f t="shared" si="781"/>
        <v/>
      </c>
      <c r="AZ1197" s="150" t="str">
        <f>IF($E1197="","",IF(OR(AND($D1197=Input!$C$6,$C1197=12),$AN1197=1),0,-AS1198+AT1198+AU1198-AV1198-AW1198-AX1198+AZ1198))</f>
        <v/>
      </c>
      <c r="BA1197" s="154" t="str">
        <f t="shared" si="771"/>
        <v/>
      </c>
      <c r="BC1197" s="147" t="str">
        <f t="shared" si="782"/>
        <v/>
      </c>
      <c r="BD1197" s="164" t="str">
        <f>IF(AND($C1196=12,$D1196=Input!$C$6),0,IF($E1197="","",AT1197+(AU1197+BD1198)/(1+$AK1197)*MIN((1-AM1197-AN1197),1)))</f>
        <v/>
      </c>
      <c r="BH1197" s="152"/>
      <c r="BI1197" s="162" t="str">
        <f t="shared" si="790"/>
        <v/>
      </c>
      <c r="BJ1197" s="150" t="str">
        <f t="shared" si="791"/>
        <v/>
      </c>
      <c r="BK1197" s="163" t="str">
        <f t="shared" si="787"/>
        <v/>
      </c>
      <c r="BL1197" s="163" t="str">
        <f t="shared" si="792"/>
        <v/>
      </c>
      <c r="BM1197" s="163" t="str">
        <f t="shared" si="788"/>
        <v/>
      </c>
      <c r="BN1197" s="163" t="str">
        <f t="shared" si="793"/>
        <v/>
      </c>
      <c r="BO1197" s="163" t="str">
        <f t="shared" si="794"/>
        <v/>
      </c>
      <c r="BP1197" s="150" t="str">
        <f t="shared" si="789"/>
        <v/>
      </c>
      <c r="BQ1197" s="150" t="str">
        <f t="shared" si="783"/>
        <v/>
      </c>
      <c r="BR1197" s="154" t="str">
        <f t="shared" si="795"/>
        <v/>
      </c>
      <c r="BT1197" s="147"/>
    </row>
    <row r="1198" spans="1:72" s="150" customFormat="1" x14ac:dyDescent="0.25">
      <c r="A1198" s="150" t="str">
        <f t="shared" si="784"/>
        <v/>
      </c>
      <c r="B1198" s="150" t="str">
        <f t="shared" si="785"/>
        <v/>
      </c>
      <c r="C1198" s="150" t="str">
        <f t="shared" si="786"/>
        <v/>
      </c>
      <c r="D1198" s="150" t="str">
        <f>IF(E1198="","",Input!$C$4+B1198-1)</f>
        <v/>
      </c>
      <c r="E1198" s="150" t="str">
        <f>IF(OR(AND(C1197=12,D1197=Input!$C$6),E1197=""),"",1)</f>
        <v/>
      </c>
      <c r="G1198" s="151" t="str">
        <f>IF(E1198="","",MAX(0,Input!$C$9-B1198))</f>
        <v/>
      </c>
      <c r="H1198" s="152" t="str">
        <f>IF(E1198="","",Input!$C$3)</f>
        <v/>
      </c>
      <c r="I1198" s="153" t="str">
        <f>IF(E1198="","",HLOOKUP($B1198,Input!$C$13:$BT$14,2))</f>
        <v/>
      </c>
      <c r="J1198" s="154"/>
      <c r="K1198" s="150" t="str">
        <f>IF($E1198="","",INDEX(Input!$C$16:$CP$16,1,$B1198))</f>
        <v/>
      </c>
      <c r="L1198" s="150" t="str">
        <f>IF($E1198="","",Input!$C$37)</f>
        <v/>
      </c>
      <c r="M1198" s="150" t="str">
        <f t="shared" si="772"/>
        <v/>
      </c>
      <c r="N1198" s="150" t="str">
        <f t="shared" si="773"/>
        <v/>
      </c>
      <c r="O1198" s="147" t="str">
        <f>IF($E1198="","",MIN(VLOOKUP(IF($B1198&lt;=Input!$C$7,$B1198,26),'Mortality Tables'!$A$41:$CW$67,IF($B1198&lt;=Input!$C$7+1,Input!$C$4+2,$D1198-Input!$C$7+2),0)*IF(B1198&gt;20,Input!$C$22,1)/1000,1))</f>
        <v/>
      </c>
      <c r="P1198" s="147" t="str">
        <f>IF($E1198="","",MIN(VLOOKUP(IF($B1198&lt;=Input!$C$7,$B1198,26),'Mortality Tables'!$A$12:$CW$37,IF($B1198&lt;=Input!$C$7+1,Input!$C$4+2,$D1198-Input!$C$7+2),0)*IF(B1198&gt;20,Input!$C$22,1)/1000,1))</f>
        <v/>
      </c>
      <c r="Q1198" s="155" t="str">
        <f>IF($E1198="","",Input!$C$21)</f>
        <v/>
      </c>
      <c r="R1198" s="159" t="str">
        <f>IF($E1198="","",(1-Q1198)^($F1198-Input!$C$20))</f>
        <v/>
      </c>
      <c r="S1198" s="147" t="str">
        <f t="shared" si="761"/>
        <v/>
      </c>
      <c r="T1198" s="147" t="str">
        <f t="shared" si="762"/>
        <v/>
      </c>
      <c r="U1198" s="160" t="str">
        <f>IF($E1198="","",IF($C1198=12,INDEX(Input!$C$15:$CP$15,1,$B1198),0))</f>
        <v/>
      </c>
      <c r="V1198" s="150" t="str">
        <f>IF(E1198="","",IF(C1198=1,IF($B1198=1,Input!$C$33,Input!$C$34),0))</f>
        <v/>
      </c>
      <c r="W1198" s="156" t="str">
        <f>IF($E1198="","",Input!$C$35)</f>
        <v/>
      </c>
      <c r="X1198" s="156" t="str">
        <f t="shared" si="763"/>
        <v/>
      </c>
      <c r="Y1198" s="154"/>
      <c r="Z1198" s="147" t="str">
        <f>IF($E1198="","",VLOOKUP($D1198,'Mortality Margins &amp; Grading'!$AB$5:$AF$125,3,0)*IF(Summary!$D$25="Included Margin",IF(AND($B1198&gt;Input!$C$9,Summary!$D$31&lt;&gt;"Included Margin"),0,1),0))</f>
        <v/>
      </c>
      <c r="AA1198" s="147" t="str">
        <f>IF($E1198="","",VLOOKUP($D1198,'Mortality Margins &amp; Grading'!$AB$5:$AF$125,5,0)*IF(Summary!$D$25="Included Margin",IF(AND($B1198&gt;Input!$C$9,Summary!$D$31&lt;&gt;"Included Margin"),0,1),0))</f>
        <v/>
      </c>
      <c r="AB1198" s="147" t="str">
        <f>IF($E1198="","",IF(AND($B1198&gt;Input!$C$9,Summary!$D$31&lt;&gt;"Included Margin"),1,IF(Summary!$D$25="Included Margin",VLOOKUP($B1198,'Mortality Margins &amp; Grading'!$AI$5:$AR$125,MATCH('Mortality Margins &amp; Grading'!$AQ$4,'Mortality Margins &amp; Grading'!$AI$4:$AR$4,0),0),1)))</f>
        <v/>
      </c>
      <c r="AC1198" s="154"/>
      <c r="AD1198" s="158" t="str">
        <f>IF(E1198="","",Input!$C$48*IF(Summary!$D$30="Included Margin",IF(AND($B1198&gt;Input!$C$9,Summary!$D$31&lt;&gt;"Included Margin"),0,1),0))</f>
        <v/>
      </c>
      <c r="AE1198" s="159" t="str">
        <f>IF(E1198="","",IF(Summary!$D$26="Included Margin",IF(AND($B1198&gt;Input!$C$9,Summary!$D$31&lt;&gt;"Included Margin"),1,1/$R1198),1))</f>
        <v/>
      </c>
      <c r="AF1198" s="160" t="str">
        <f>IF(E1198="","",IF(AND($B1198&gt;=Input!$C$9,$C1198=12,Summary!$D$31="Included Margin",$U1198&gt;0),1/U1198-1,IF($B1198&gt;=Input!$C$9,0,Input!$C$45*IF(Summary!$D$27="Included Margin",1,0))))</f>
        <v/>
      </c>
      <c r="AG1198" s="160" t="str">
        <f>IF(E1198="","",Input!$C$46*IF(Summary!$D$28="Included Margin",IF(AND($B1198&gt;Input!$C$9,Summary!$D$31&lt;&gt;"Included Margin"),0,1),0))</f>
        <v/>
      </c>
      <c r="AH1198" s="158" t="str">
        <f>IF(E1198="","",Input!$C$47*IF(Summary!$D$29="Included Margin",IF(AND($B1198&gt;Input!$C$9,Summary!$D$31&lt;&gt;"Included Margin"),0,1),0))</f>
        <v/>
      </c>
      <c r="AI1198" s="154"/>
      <c r="AJ1198" s="158" t="str">
        <f t="shared" si="774"/>
        <v/>
      </c>
      <c r="AK1198" s="150" t="str">
        <f t="shared" si="775"/>
        <v/>
      </c>
      <c r="AL1198" s="147" t="str">
        <f t="shared" si="776"/>
        <v/>
      </c>
      <c r="AM1198" s="147" t="str">
        <f t="shared" si="764"/>
        <v/>
      </c>
      <c r="AN1198" s="160" t="str">
        <f t="shared" si="777"/>
        <v/>
      </c>
      <c r="AO1198" s="161" t="str">
        <f t="shared" si="778"/>
        <v/>
      </c>
      <c r="AP1198" s="156" t="str">
        <f t="shared" si="765"/>
        <v/>
      </c>
      <c r="AQ1198" s="152"/>
      <c r="AR1198" s="162" t="str">
        <f t="shared" si="766"/>
        <v/>
      </c>
      <c r="AS1198" s="150" t="str">
        <f t="shared" si="779"/>
        <v/>
      </c>
      <c r="AT1198" s="163" t="str">
        <f t="shared" si="767"/>
        <v/>
      </c>
      <c r="AU1198" s="163" t="str">
        <f t="shared" si="768"/>
        <v/>
      </c>
      <c r="AV1198" s="163" t="str">
        <f t="shared" si="780"/>
        <v/>
      </c>
      <c r="AW1198" s="163" t="str">
        <f t="shared" si="769"/>
        <v/>
      </c>
      <c r="AX1198" s="163" t="str">
        <f t="shared" si="770"/>
        <v/>
      </c>
      <c r="AY1198" s="150" t="str">
        <f t="shared" si="781"/>
        <v/>
      </c>
      <c r="AZ1198" s="150" t="str">
        <f>IF($E1198="","",IF(OR(AND($D1198=Input!$C$6,$C1198=12),$AN1198=1),0,-AS1199+AT1199+AU1199-AV1199-AW1199-AX1199+AZ1199))</f>
        <v/>
      </c>
      <c r="BA1198" s="154" t="str">
        <f t="shared" si="771"/>
        <v/>
      </c>
      <c r="BC1198" s="147" t="str">
        <f t="shared" si="782"/>
        <v/>
      </c>
      <c r="BD1198" s="164" t="str">
        <f>IF(AND($C1197=12,$D1197=Input!$C$6),0,IF($E1198="","",AT1198+(AU1198+BD1199)/(1+$AK1198)*MIN((1-AM1198-AN1198),1)))</f>
        <v/>
      </c>
      <c r="BH1198" s="152"/>
      <c r="BI1198" s="162" t="str">
        <f t="shared" si="790"/>
        <v/>
      </c>
      <c r="BJ1198" s="150" t="str">
        <f t="shared" si="791"/>
        <v/>
      </c>
      <c r="BK1198" s="163" t="str">
        <f t="shared" si="787"/>
        <v/>
      </c>
      <c r="BL1198" s="163" t="str">
        <f t="shared" si="792"/>
        <v/>
      </c>
      <c r="BM1198" s="163" t="str">
        <f t="shared" si="788"/>
        <v/>
      </c>
      <c r="BN1198" s="163" t="str">
        <f t="shared" si="793"/>
        <v/>
      </c>
      <c r="BO1198" s="163" t="str">
        <f t="shared" si="794"/>
        <v/>
      </c>
      <c r="BP1198" s="150" t="str">
        <f t="shared" si="789"/>
        <v/>
      </c>
      <c r="BQ1198" s="150" t="str">
        <f t="shared" si="783"/>
        <v/>
      </c>
      <c r="BR1198" s="154" t="str">
        <f t="shared" si="795"/>
        <v/>
      </c>
      <c r="BT1198" s="147"/>
    </row>
    <row r="1199" spans="1:72" s="150" customFormat="1" x14ac:dyDescent="0.25">
      <c r="A1199" s="150" t="str">
        <f t="shared" si="784"/>
        <v/>
      </c>
      <c r="B1199" s="150" t="str">
        <f t="shared" si="785"/>
        <v/>
      </c>
      <c r="C1199" s="150" t="str">
        <f t="shared" si="786"/>
        <v/>
      </c>
      <c r="D1199" s="150" t="str">
        <f>IF(E1199="","",Input!$C$4+B1199-1)</f>
        <v/>
      </c>
      <c r="E1199" s="150" t="str">
        <f>IF(OR(AND(C1198=12,D1198=Input!$C$6),E1198=""),"",1)</f>
        <v/>
      </c>
      <c r="G1199" s="151" t="str">
        <f>IF(E1199="","",MAX(0,Input!$C$9-B1199))</f>
        <v/>
      </c>
      <c r="H1199" s="152" t="str">
        <f>IF(E1199="","",Input!$C$3)</f>
        <v/>
      </c>
      <c r="I1199" s="153" t="str">
        <f>IF(E1199="","",HLOOKUP($B1199,Input!$C$13:$BT$14,2))</f>
        <v/>
      </c>
      <c r="J1199" s="154"/>
      <c r="K1199" s="150" t="str">
        <f>IF($E1199="","",INDEX(Input!$C$16:$CP$16,1,$B1199))</f>
        <v/>
      </c>
      <c r="L1199" s="150" t="str">
        <f>IF($E1199="","",Input!$C$37)</f>
        <v/>
      </c>
      <c r="M1199" s="150" t="str">
        <f t="shared" si="772"/>
        <v/>
      </c>
      <c r="N1199" s="150" t="str">
        <f t="shared" si="773"/>
        <v/>
      </c>
      <c r="O1199" s="147" t="str">
        <f>IF($E1199="","",MIN(VLOOKUP(IF($B1199&lt;=Input!$C$7,$B1199,26),'Mortality Tables'!$A$41:$CW$67,IF($B1199&lt;=Input!$C$7+1,Input!$C$4+2,$D1199-Input!$C$7+2),0)*IF(B1199&gt;20,Input!$C$22,1)/1000,1))</f>
        <v/>
      </c>
      <c r="P1199" s="147" t="str">
        <f>IF($E1199="","",MIN(VLOOKUP(IF($B1199&lt;=Input!$C$7,$B1199,26),'Mortality Tables'!$A$12:$CW$37,IF($B1199&lt;=Input!$C$7+1,Input!$C$4+2,$D1199-Input!$C$7+2),0)*IF(B1199&gt;20,Input!$C$22,1)/1000,1))</f>
        <v/>
      </c>
      <c r="Q1199" s="155" t="str">
        <f>IF($E1199="","",Input!$C$21)</f>
        <v/>
      </c>
      <c r="R1199" s="159" t="str">
        <f>IF($E1199="","",(1-Q1199)^($F1199-Input!$C$20))</f>
        <v/>
      </c>
      <c r="S1199" s="147" t="str">
        <f t="shared" si="761"/>
        <v/>
      </c>
      <c r="T1199" s="147" t="str">
        <f t="shared" si="762"/>
        <v/>
      </c>
      <c r="U1199" s="160" t="str">
        <f>IF($E1199="","",IF($C1199=12,INDEX(Input!$C$15:$CP$15,1,$B1199),0))</f>
        <v/>
      </c>
      <c r="V1199" s="150" t="str">
        <f>IF(E1199="","",IF(C1199=1,IF($B1199=1,Input!$C$33,Input!$C$34),0))</f>
        <v/>
      </c>
      <c r="W1199" s="156" t="str">
        <f>IF($E1199="","",Input!$C$35)</f>
        <v/>
      </c>
      <c r="X1199" s="156" t="str">
        <f t="shared" si="763"/>
        <v/>
      </c>
      <c r="Y1199" s="154"/>
      <c r="Z1199" s="147" t="str">
        <f>IF($E1199="","",VLOOKUP($D1199,'Mortality Margins &amp; Grading'!$AB$5:$AF$125,3,0)*IF(Summary!$D$25="Included Margin",IF(AND($B1199&gt;Input!$C$9,Summary!$D$31&lt;&gt;"Included Margin"),0,1),0))</f>
        <v/>
      </c>
      <c r="AA1199" s="147" t="str">
        <f>IF($E1199="","",VLOOKUP($D1199,'Mortality Margins &amp; Grading'!$AB$5:$AF$125,5,0)*IF(Summary!$D$25="Included Margin",IF(AND($B1199&gt;Input!$C$9,Summary!$D$31&lt;&gt;"Included Margin"),0,1),0))</f>
        <v/>
      </c>
      <c r="AB1199" s="147" t="str">
        <f>IF($E1199="","",IF(AND($B1199&gt;Input!$C$9,Summary!$D$31&lt;&gt;"Included Margin"),1,IF(Summary!$D$25="Included Margin",VLOOKUP($B1199,'Mortality Margins &amp; Grading'!$AI$5:$AR$125,MATCH('Mortality Margins &amp; Grading'!$AQ$4,'Mortality Margins &amp; Grading'!$AI$4:$AR$4,0),0),1)))</f>
        <v/>
      </c>
      <c r="AC1199" s="154"/>
      <c r="AD1199" s="158" t="str">
        <f>IF(E1199="","",Input!$C$48*IF(Summary!$D$30="Included Margin",IF(AND($B1199&gt;Input!$C$9,Summary!$D$31&lt;&gt;"Included Margin"),0,1),0))</f>
        <v/>
      </c>
      <c r="AE1199" s="159" t="str">
        <f>IF(E1199="","",IF(Summary!$D$26="Included Margin",IF(AND($B1199&gt;Input!$C$9,Summary!$D$31&lt;&gt;"Included Margin"),1,1/$R1199),1))</f>
        <v/>
      </c>
      <c r="AF1199" s="160" t="str">
        <f>IF(E1199="","",IF(AND($B1199&gt;=Input!$C$9,$C1199=12,Summary!$D$31="Included Margin",$U1199&gt;0),1/U1199-1,IF($B1199&gt;=Input!$C$9,0,Input!$C$45*IF(Summary!$D$27="Included Margin",1,0))))</f>
        <v/>
      </c>
      <c r="AG1199" s="160" t="str">
        <f>IF(E1199="","",Input!$C$46*IF(Summary!$D$28="Included Margin",IF(AND($B1199&gt;Input!$C$9,Summary!$D$31&lt;&gt;"Included Margin"),0,1),0))</f>
        <v/>
      </c>
      <c r="AH1199" s="158" t="str">
        <f>IF(E1199="","",Input!$C$47*IF(Summary!$D$29="Included Margin",IF(AND($B1199&gt;Input!$C$9,Summary!$D$31&lt;&gt;"Included Margin"),0,1),0))</f>
        <v/>
      </c>
      <c r="AI1199" s="154"/>
      <c r="AJ1199" s="158" t="str">
        <f t="shared" si="774"/>
        <v/>
      </c>
      <c r="AK1199" s="150" t="str">
        <f t="shared" si="775"/>
        <v/>
      </c>
      <c r="AL1199" s="147" t="str">
        <f t="shared" si="776"/>
        <v/>
      </c>
      <c r="AM1199" s="147" t="str">
        <f t="shared" si="764"/>
        <v/>
      </c>
      <c r="AN1199" s="160" t="str">
        <f t="shared" si="777"/>
        <v/>
      </c>
      <c r="AO1199" s="161" t="str">
        <f t="shared" si="778"/>
        <v/>
      </c>
      <c r="AP1199" s="156" t="str">
        <f t="shared" si="765"/>
        <v/>
      </c>
      <c r="AQ1199" s="152"/>
      <c r="AR1199" s="162" t="str">
        <f t="shared" si="766"/>
        <v/>
      </c>
      <c r="AS1199" s="150" t="str">
        <f t="shared" si="779"/>
        <v/>
      </c>
      <c r="AT1199" s="163" t="str">
        <f t="shared" si="767"/>
        <v/>
      </c>
      <c r="AU1199" s="163" t="str">
        <f t="shared" si="768"/>
        <v/>
      </c>
      <c r="AV1199" s="163" t="str">
        <f t="shared" si="780"/>
        <v/>
      </c>
      <c r="AW1199" s="163" t="str">
        <f t="shared" si="769"/>
        <v/>
      </c>
      <c r="AX1199" s="163" t="str">
        <f t="shared" si="770"/>
        <v/>
      </c>
      <c r="AY1199" s="150" t="str">
        <f t="shared" si="781"/>
        <v/>
      </c>
      <c r="AZ1199" s="150" t="str">
        <f>IF($E1199="","",IF(OR(AND($D1199=Input!$C$6,$C1199=12),$AN1199=1),0,-AS1200+AT1200+AU1200-AV1200-AW1200-AX1200+AZ1200))</f>
        <v/>
      </c>
      <c r="BA1199" s="154" t="str">
        <f t="shared" si="771"/>
        <v/>
      </c>
      <c r="BC1199" s="147" t="str">
        <f t="shared" si="782"/>
        <v/>
      </c>
      <c r="BD1199" s="164" t="str">
        <f>IF(AND($C1198=12,$D1198=Input!$C$6),0,IF($E1199="","",AT1199+(AU1199+BD1200)/(1+$AK1199)*MIN((1-AM1199-AN1199),1)))</f>
        <v/>
      </c>
      <c r="BH1199" s="152"/>
      <c r="BI1199" s="162" t="str">
        <f t="shared" si="790"/>
        <v/>
      </c>
      <c r="BJ1199" s="150" t="str">
        <f t="shared" si="791"/>
        <v/>
      </c>
      <c r="BK1199" s="163" t="str">
        <f t="shared" si="787"/>
        <v/>
      </c>
      <c r="BL1199" s="163" t="str">
        <f t="shared" si="792"/>
        <v/>
      </c>
      <c r="BM1199" s="163" t="str">
        <f t="shared" si="788"/>
        <v/>
      </c>
      <c r="BN1199" s="163" t="str">
        <f t="shared" si="793"/>
        <v/>
      </c>
      <c r="BO1199" s="163" t="str">
        <f t="shared" si="794"/>
        <v/>
      </c>
      <c r="BP1199" s="150" t="str">
        <f t="shared" si="789"/>
        <v/>
      </c>
      <c r="BQ1199" s="150" t="str">
        <f t="shared" si="783"/>
        <v/>
      </c>
      <c r="BR1199" s="154" t="str">
        <f t="shared" si="795"/>
        <v/>
      </c>
      <c r="BT1199" s="147"/>
    </row>
    <row r="1200" spans="1:72" s="150" customFormat="1" x14ac:dyDescent="0.25">
      <c r="A1200" s="150" t="str">
        <f t="shared" si="784"/>
        <v/>
      </c>
      <c r="B1200" s="150" t="str">
        <f t="shared" si="785"/>
        <v/>
      </c>
      <c r="C1200" s="150" t="str">
        <f t="shared" si="786"/>
        <v/>
      </c>
      <c r="D1200" s="150" t="str">
        <f>IF(E1200="","",Input!$C$4+B1200-1)</f>
        <v/>
      </c>
      <c r="E1200" s="150" t="str">
        <f>IF(OR(AND(C1199=12,D1199=Input!$C$6),E1199=""),"",1)</f>
        <v/>
      </c>
      <c r="G1200" s="151" t="str">
        <f>IF(E1200="","",MAX(0,Input!$C$9-B1200))</f>
        <v/>
      </c>
      <c r="H1200" s="152" t="str">
        <f>IF(E1200="","",Input!$C$3)</f>
        <v/>
      </c>
      <c r="I1200" s="153" t="str">
        <f>IF(E1200="","",HLOOKUP($B1200,Input!$C$13:$BT$14,2))</f>
        <v/>
      </c>
      <c r="J1200" s="154"/>
      <c r="K1200" s="150" t="str">
        <f>IF($E1200="","",INDEX(Input!$C$16:$CP$16,1,$B1200))</f>
        <v/>
      </c>
      <c r="L1200" s="150" t="str">
        <f>IF($E1200="","",Input!$C$37)</f>
        <v/>
      </c>
      <c r="M1200" s="150" t="str">
        <f t="shared" si="772"/>
        <v/>
      </c>
      <c r="N1200" s="150" t="str">
        <f t="shared" si="773"/>
        <v/>
      </c>
      <c r="O1200" s="147" t="str">
        <f>IF($E1200="","",MIN(VLOOKUP(IF($B1200&lt;=Input!$C$7,$B1200,26),'Mortality Tables'!$A$41:$CW$67,IF($B1200&lt;=Input!$C$7+1,Input!$C$4+2,$D1200-Input!$C$7+2),0)*IF(B1200&gt;20,Input!$C$22,1)/1000,1))</f>
        <v/>
      </c>
      <c r="P1200" s="147" t="str">
        <f>IF($E1200="","",MIN(VLOOKUP(IF($B1200&lt;=Input!$C$7,$B1200,26),'Mortality Tables'!$A$12:$CW$37,IF($B1200&lt;=Input!$C$7+1,Input!$C$4+2,$D1200-Input!$C$7+2),0)*IF(B1200&gt;20,Input!$C$22,1)/1000,1))</f>
        <v/>
      </c>
      <c r="Q1200" s="155" t="str">
        <f>IF($E1200="","",Input!$C$21)</f>
        <v/>
      </c>
      <c r="R1200" s="159" t="str">
        <f>IF($E1200="","",(1-Q1200)^($F1200-Input!$C$20))</f>
        <v/>
      </c>
      <c r="S1200" s="147" t="str">
        <f t="shared" si="761"/>
        <v/>
      </c>
      <c r="T1200" s="147" t="str">
        <f t="shared" si="762"/>
        <v/>
      </c>
      <c r="U1200" s="160" t="str">
        <f>IF($E1200="","",IF($C1200=12,INDEX(Input!$C$15:$CP$15,1,$B1200),0))</f>
        <v/>
      </c>
      <c r="V1200" s="150" t="str">
        <f>IF(E1200="","",IF(C1200=1,IF($B1200=1,Input!$C$33,Input!$C$34),0))</f>
        <v/>
      </c>
      <c r="W1200" s="156" t="str">
        <f>IF($E1200="","",Input!$C$35)</f>
        <v/>
      </c>
      <c r="X1200" s="156" t="str">
        <f t="shared" si="763"/>
        <v/>
      </c>
      <c r="Y1200" s="154"/>
      <c r="Z1200" s="147" t="str">
        <f>IF($E1200="","",VLOOKUP($D1200,'Mortality Margins &amp; Grading'!$AB$5:$AF$125,3,0)*IF(Summary!$D$25="Included Margin",IF(AND($B1200&gt;Input!$C$9,Summary!$D$31&lt;&gt;"Included Margin"),0,1),0))</f>
        <v/>
      </c>
      <c r="AA1200" s="147" t="str">
        <f>IF($E1200="","",VLOOKUP($D1200,'Mortality Margins &amp; Grading'!$AB$5:$AF$125,5,0)*IF(Summary!$D$25="Included Margin",IF(AND($B1200&gt;Input!$C$9,Summary!$D$31&lt;&gt;"Included Margin"),0,1),0))</f>
        <v/>
      </c>
      <c r="AB1200" s="147" t="str">
        <f>IF($E1200="","",IF(AND($B1200&gt;Input!$C$9,Summary!$D$31&lt;&gt;"Included Margin"),1,IF(Summary!$D$25="Included Margin",VLOOKUP($B1200,'Mortality Margins &amp; Grading'!$AI$5:$AR$125,MATCH('Mortality Margins &amp; Grading'!$AQ$4,'Mortality Margins &amp; Grading'!$AI$4:$AR$4,0),0),1)))</f>
        <v/>
      </c>
      <c r="AC1200" s="154"/>
      <c r="AD1200" s="158" t="str">
        <f>IF(E1200="","",Input!$C$48*IF(Summary!$D$30="Included Margin",IF(AND($B1200&gt;Input!$C$9,Summary!$D$31&lt;&gt;"Included Margin"),0,1),0))</f>
        <v/>
      </c>
      <c r="AE1200" s="159" t="str">
        <f>IF(E1200="","",IF(Summary!$D$26="Included Margin",IF(AND($B1200&gt;Input!$C$9,Summary!$D$31&lt;&gt;"Included Margin"),1,1/$R1200),1))</f>
        <v/>
      </c>
      <c r="AF1200" s="160" t="str">
        <f>IF(E1200="","",IF(AND($B1200&gt;=Input!$C$9,$C1200=12,Summary!$D$31="Included Margin",$U1200&gt;0),1/U1200-1,IF($B1200&gt;=Input!$C$9,0,Input!$C$45*IF(Summary!$D$27="Included Margin",1,0))))</f>
        <v/>
      </c>
      <c r="AG1200" s="160" t="str">
        <f>IF(E1200="","",Input!$C$46*IF(Summary!$D$28="Included Margin",IF(AND($B1200&gt;Input!$C$9,Summary!$D$31&lt;&gt;"Included Margin"),0,1),0))</f>
        <v/>
      </c>
      <c r="AH1200" s="158" t="str">
        <f>IF(E1200="","",Input!$C$47*IF(Summary!$D$29="Included Margin",IF(AND($B1200&gt;Input!$C$9,Summary!$D$31&lt;&gt;"Included Margin"),0,1),0))</f>
        <v/>
      </c>
      <c r="AI1200" s="154"/>
      <c r="AJ1200" s="158" t="str">
        <f t="shared" si="774"/>
        <v/>
      </c>
      <c r="AK1200" s="150" t="str">
        <f t="shared" si="775"/>
        <v/>
      </c>
      <c r="AL1200" s="147" t="str">
        <f t="shared" si="776"/>
        <v/>
      </c>
      <c r="AM1200" s="147" t="str">
        <f t="shared" si="764"/>
        <v/>
      </c>
      <c r="AN1200" s="160" t="str">
        <f t="shared" si="777"/>
        <v/>
      </c>
      <c r="AO1200" s="161" t="str">
        <f t="shared" si="778"/>
        <v/>
      </c>
      <c r="AP1200" s="156" t="str">
        <f t="shared" si="765"/>
        <v/>
      </c>
      <c r="AQ1200" s="152"/>
      <c r="AR1200" s="162" t="str">
        <f t="shared" si="766"/>
        <v/>
      </c>
      <c r="AS1200" s="150" t="str">
        <f t="shared" si="779"/>
        <v/>
      </c>
      <c r="AT1200" s="163" t="str">
        <f t="shared" si="767"/>
        <v/>
      </c>
      <c r="AU1200" s="163" t="str">
        <f t="shared" si="768"/>
        <v/>
      </c>
      <c r="AV1200" s="163" t="str">
        <f t="shared" si="780"/>
        <v/>
      </c>
      <c r="AW1200" s="163" t="str">
        <f t="shared" si="769"/>
        <v/>
      </c>
      <c r="AX1200" s="163" t="str">
        <f t="shared" si="770"/>
        <v/>
      </c>
      <c r="AY1200" s="150" t="str">
        <f t="shared" si="781"/>
        <v/>
      </c>
      <c r="AZ1200" s="150" t="str">
        <f>IF($E1200="","",IF(OR(AND($D1200=Input!$C$6,$C1200=12),$AN1200=1),0,-AS1201+AT1201+AU1201-AV1201-AW1201-AX1201+AZ1201))</f>
        <v/>
      </c>
      <c r="BA1200" s="154" t="str">
        <f t="shared" si="771"/>
        <v/>
      </c>
      <c r="BC1200" s="147" t="str">
        <f t="shared" si="782"/>
        <v/>
      </c>
      <c r="BD1200" s="164" t="str">
        <f>IF(AND($C1199=12,$D1199=Input!$C$6),0,IF($E1200="","",AT1200+(AU1200+BD1201)/(1+$AK1200)*MIN((1-AM1200-AN1200),1)))</f>
        <v/>
      </c>
      <c r="BH1200" s="152"/>
      <c r="BI1200" s="162" t="str">
        <f t="shared" si="790"/>
        <v/>
      </c>
      <c r="BJ1200" s="150" t="str">
        <f t="shared" si="791"/>
        <v/>
      </c>
      <c r="BK1200" s="163" t="str">
        <f t="shared" si="787"/>
        <v/>
      </c>
      <c r="BL1200" s="163" t="str">
        <f t="shared" si="792"/>
        <v/>
      </c>
      <c r="BM1200" s="163" t="str">
        <f t="shared" si="788"/>
        <v/>
      </c>
      <c r="BN1200" s="163" t="str">
        <f t="shared" si="793"/>
        <v/>
      </c>
      <c r="BO1200" s="163" t="str">
        <f t="shared" si="794"/>
        <v/>
      </c>
      <c r="BP1200" s="150" t="str">
        <f t="shared" si="789"/>
        <v/>
      </c>
      <c r="BQ1200" s="150" t="str">
        <f t="shared" si="783"/>
        <v/>
      </c>
      <c r="BR1200" s="154" t="str">
        <f t="shared" si="795"/>
        <v/>
      </c>
      <c r="BT1200" s="147"/>
    </row>
    <row r="1201" spans="1:72" s="150" customFormat="1" x14ac:dyDescent="0.25">
      <c r="A1201" s="150" t="str">
        <f t="shared" si="784"/>
        <v/>
      </c>
      <c r="B1201" s="150" t="str">
        <f t="shared" si="785"/>
        <v/>
      </c>
      <c r="C1201" s="150" t="str">
        <f t="shared" si="786"/>
        <v/>
      </c>
      <c r="D1201" s="150" t="str">
        <f>IF(E1201="","",Input!$C$4+B1201-1)</f>
        <v/>
      </c>
      <c r="E1201" s="150" t="str">
        <f>IF(OR(AND(C1200=12,D1200=Input!$C$6),E1200=""),"",1)</f>
        <v/>
      </c>
      <c r="G1201" s="151" t="str">
        <f>IF(E1201="","",MAX(0,Input!$C$9-B1201))</f>
        <v/>
      </c>
      <c r="H1201" s="152" t="str">
        <f>IF(E1201="","",Input!$C$3)</f>
        <v/>
      </c>
      <c r="I1201" s="153" t="str">
        <f>IF(E1201="","",HLOOKUP($B1201,Input!$C$13:$BT$14,2))</f>
        <v/>
      </c>
      <c r="J1201" s="154"/>
      <c r="K1201" s="150" t="str">
        <f>IF($E1201="","",INDEX(Input!$C$16:$CP$16,1,$B1201))</f>
        <v/>
      </c>
      <c r="L1201" s="150" t="str">
        <f>IF($E1201="","",Input!$C$37)</f>
        <v/>
      </c>
      <c r="M1201" s="150" t="str">
        <f t="shared" si="772"/>
        <v/>
      </c>
      <c r="N1201" s="150" t="str">
        <f t="shared" si="773"/>
        <v/>
      </c>
      <c r="O1201" s="147" t="str">
        <f>IF($E1201="","",MIN(VLOOKUP(IF($B1201&lt;=Input!$C$7,$B1201,26),'Mortality Tables'!$A$41:$CW$67,IF($B1201&lt;=Input!$C$7+1,Input!$C$4+2,$D1201-Input!$C$7+2),0)*IF(B1201&gt;20,Input!$C$22,1)/1000,1))</f>
        <v/>
      </c>
      <c r="P1201" s="147" t="str">
        <f>IF($E1201="","",MIN(VLOOKUP(IF($B1201&lt;=Input!$C$7,$B1201,26),'Mortality Tables'!$A$12:$CW$37,IF($B1201&lt;=Input!$C$7+1,Input!$C$4+2,$D1201-Input!$C$7+2),0)*IF(B1201&gt;20,Input!$C$22,1)/1000,1))</f>
        <v/>
      </c>
      <c r="Q1201" s="155" t="str">
        <f>IF($E1201="","",Input!$C$21)</f>
        <v/>
      </c>
      <c r="R1201" s="159" t="str">
        <f>IF($E1201="","",(1-Q1201)^($F1201-Input!$C$20))</f>
        <v/>
      </c>
      <c r="S1201" s="147" t="str">
        <f t="shared" si="761"/>
        <v/>
      </c>
      <c r="T1201" s="147" t="str">
        <f t="shared" si="762"/>
        <v/>
      </c>
      <c r="U1201" s="160" t="str">
        <f>IF($E1201="","",IF($C1201=12,INDEX(Input!$C$15:$CP$15,1,$B1201),0))</f>
        <v/>
      </c>
      <c r="V1201" s="150" t="str">
        <f>IF(E1201="","",IF(C1201=1,IF($B1201=1,Input!$C$33,Input!$C$34),0))</f>
        <v/>
      </c>
      <c r="W1201" s="156" t="str">
        <f>IF($E1201="","",Input!$C$35)</f>
        <v/>
      </c>
      <c r="X1201" s="156" t="str">
        <f t="shared" si="763"/>
        <v/>
      </c>
      <c r="Y1201" s="154"/>
      <c r="Z1201" s="147" t="str">
        <f>IF($E1201="","",VLOOKUP($D1201,'Mortality Margins &amp; Grading'!$AB$5:$AF$125,3,0)*IF(Summary!$D$25="Included Margin",IF(AND($B1201&gt;Input!$C$9,Summary!$D$31&lt;&gt;"Included Margin"),0,1),0))</f>
        <v/>
      </c>
      <c r="AA1201" s="147" t="str">
        <f>IF($E1201="","",VLOOKUP($D1201,'Mortality Margins &amp; Grading'!$AB$5:$AF$125,5,0)*IF(Summary!$D$25="Included Margin",IF(AND($B1201&gt;Input!$C$9,Summary!$D$31&lt;&gt;"Included Margin"),0,1),0))</f>
        <v/>
      </c>
      <c r="AB1201" s="147" t="str">
        <f>IF($E1201="","",IF(AND($B1201&gt;Input!$C$9,Summary!$D$31&lt;&gt;"Included Margin"),1,IF(Summary!$D$25="Included Margin",VLOOKUP($B1201,'Mortality Margins &amp; Grading'!$AI$5:$AR$125,MATCH('Mortality Margins &amp; Grading'!$AQ$4,'Mortality Margins &amp; Grading'!$AI$4:$AR$4,0),0),1)))</f>
        <v/>
      </c>
      <c r="AC1201" s="154"/>
      <c r="AD1201" s="158" t="str">
        <f>IF(E1201="","",Input!$C$48*IF(Summary!$D$30="Included Margin",IF(AND($B1201&gt;Input!$C$9,Summary!$D$31&lt;&gt;"Included Margin"),0,1),0))</f>
        <v/>
      </c>
      <c r="AE1201" s="159" t="str">
        <f>IF(E1201="","",IF(Summary!$D$26="Included Margin",IF(AND($B1201&gt;Input!$C$9,Summary!$D$31&lt;&gt;"Included Margin"),1,1/$R1201),1))</f>
        <v/>
      </c>
      <c r="AF1201" s="160" t="str">
        <f>IF(E1201="","",IF(AND($B1201&gt;=Input!$C$9,$C1201=12,Summary!$D$31="Included Margin",$U1201&gt;0),1/U1201-1,IF($B1201&gt;=Input!$C$9,0,Input!$C$45*IF(Summary!$D$27="Included Margin",1,0))))</f>
        <v/>
      </c>
      <c r="AG1201" s="160" t="str">
        <f>IF(E1201="","",Input!$C$46*IF(Summary!$D$28="Included Margin",IF(AND($B1201&gt;Input!$C$9,Summary!$D$31&lt;&gt;"Included Margin"),0,1),0))</f>
        <v/>
      </c>
      <c r="AH1201" s="158" t="str">
        <f>IF(E1201="","",Input!$C$47*IF(Summary!$D$29="Included Margin",IF(AND($B1201&gt;Input!$C$9,Summary!$D$31&lt;&gt;"Included Margin"),0,1),0))</f>
        <v/>
      </c>
      <c r="AI1201" s="154"/>
      <c r="AJ1201" s="158" t="str">
        <f t="shared" si="774"/>
        <v/>
      </c>
      <c r="AK1201" s="150" t="str">
        <f t="shared" si="775"/>
        <v/>
      </c>
      <c r="AL1201" s="147" t="str">
        <f t="shared" si="776"/>
        <v/>
      </c>
      <c r="AM1201" s="147" t="str">
        <f t="shared" si="764"/>
        <v/>
      </c>
      <c r="AN1201" s="160" t="str">
        <f t="shared" si="777"/>
        <v/>
      </c>
      <c r="AO1201" s="161" t="str">
        <f t="shared" si="778"/>
        <v/>
      </c>
      <c r="AP1201" s="156" t="str">
        <f t="shared" si="765"/>
        <v/>
      </c>
      <c r="AQ1201" s="152"/>
      <c r="AR1201" s="162" t="str">
        <f t="shared" si="766"/>
        <v/>
      </c>
      <c r="AS1201" s="150" t="str">
        <f t="shared" si="779"/>
        <v/>
      </c>
      <c r="AT1201" s="163" t="str">
        <f t="shared" si="767"/>
        <v/>
      </c>
      <c r="AU1201" s="163" t="str">
        <f t="shared" si="768"/>
        <v/>
      </c>
      <c r="AV1201" s="163" t="str">
        <f t="shared" si="780"/>
        <v/>
      </c>
      <c r="AW1201" s="163" t="str">
        <f t="shared" si="769"/>
        <v/>
      </c>
      <c r="AX1201" s="163" t="str">
        <f t="shared" si="770"/>
        <v/>
      </c>
      <c r="AY1201" s="150" t="str">
        <f t="shared" si="781"/>
        <v/>
      </c>
      <c r="AZ1201" s="150" t="str">
        <f>IF($E1201="","",IF(OR(AND($D1201=Input!$C$6,$C1201=12),$AN1201=1),0,-AS1202+AT1202+AU1202-AV1202-AW1202-AX1202+AZ1202))</f>
        <v/>
      </c>
      <c r="BA1201" s="154" t="str">
        <f t="shared" si="771"/>
        <v/>
      </c>
      <c r="BC1201" s="147" t="str">
        <f t="shared" si="782"/>
        <v/>
      </c>
      <c r="BD1201" s="164" t="str">
        <f>IF(AND($C1200=12,$D1200=Input!$C$6),0,IF($E1201="","",AT1201+(AU1201+BD1202)/(1+$AK1201)*MIN((1-AM1201-AN1201),1)))</f>
        <v/>
      </c>
      <c r="BH1201" s="152"/>
      <c r="BI1201" s="162" t="str">
        <f t="shared" si="790"/>
        <v/>
      </c>
      <c r="BJ1201" s="150" t="str">
        <f t="shared" si="791"/>
        <v/>
      </c>
      <c r="BK1201" s="163" t="str">
        <f t="shared" si="787"/>
        <v/>
      </c>
      <c r="BL1201" s="163" t="str">
        <f t="shared" si="792"/>
        <v/>
      </c>
      <c r="BM1201" s="163" t="str">
        <f t="shared" si="788"/>
        <v/>
      </c>
      <c r="BN1201" s="163" t="str">
        <f t="shared" si="793"/>
        <v/>
      </c>
      <c r="BO1201" s="163" t="str">
        <f t="shared" si="794"/>
        <v/>
      </c>
      <c r="BP1201" s="150" t="str">
        <f t="shared" si="789"/>
        <v/>
      </c>
      <c r="BQ1201" s="150" t="str">
        <f t="shared" si="783"/>
        <v/>
      </c>
      <c r="BR1201" s="154" t="str">
        <f t="shared" si="795"/>
        <v/>
      </c>
      <c r="BT1201" s="147"/>
    </row>
    <row r="1202" spans="1:72" s="150" customFormat="1" x14ac:dyDescent="0.25">
      <c r="A1202" s="150" t="str">
        <f t="shared" si="784"/>
        <v/>
      </c>
      <c r="B1202" s="150" t="str">
        <f t="shared" si="785"/>
        <v/>
      </c>
      <c r="C1202" s="150" t="str">
        <f t="shared" si="786"/>
        <v/>
      </c>
      <c r="D1202" s="150" t="str">
        <f>IF(E1202="","",Input!$C$4+B1202-1)</f>
        <v/>
      </c>
      <c r="E1202" s="150" t="str">
        <f>IF(OR(AND(C1201=12,D1201=Input!$C$6),E1201=""),"",1)</f>
        <v/>
      </c>
      <c r="G1202" s="151" t="str">
        <f>IF(E1202="","",MAX(0,Input!$C$9-B1202))</f>
        <v/>
      </c>
      <c r="H1202" s="152" t="str">
        <f>IF(E1202="","",Input!$C$3)</f>
        <v/>
      </c>
      <c r="I1202" s="153" t="str">
        <f>IF(E1202="","",HLOOKUP($B1202,Input!$C$13:$BT$14,2))</f>
        <v/>
      </c>
      <c r="J1202" s="154"/>
      <c r="K1202" s="150" t="str">
        <f>IF($E1202="","",INDEX(Input!$C$16:$CP$16,1,$B1202))</f>
        <v/>
      </c>
      <c r="L1202" s="150" t="str">
        <f>IF($E1202="","",Input!$C$37)</f>
        <v/>
      </c>
      <c r="M1202" s="150" t="str">
        <f t="shared" si="772"/>
        <v/>
      </c>
      <c r="N1202" s="150" t="str">
        <f t="shared" si="773"/>
        <v/>
      </c>
      <c r="O1202" s="147" t="str">
        <f>IF($E1202="","",MIN(VLOOKUP(IF($B1202&lt;=Input!$C$7,$B1202,26),'Mortality Tables'!$A$41:$CW$67,IF($B1202&lt;=Input!$C$7+1,Input!$C$4+2,$D1202-Input!$C$7+2),0)*IF(B1202&gt;20,Input!$C$22,1)/1000,1))</f>
        <v/>
      </c>
      <c r="P1202" s="147" t="str">
        <f>IF($E1202="","",MIN(VLOOKUP(IF($B1202&lt;=Input!$C$7,$B1202,26),'Mortality Tables'!$A$12:$CW$37,IF($B1202&lt;=Input!$C$7+1,Input!$C$4+2,$D1202-Input!$C$7+2),0)*IF(B1202&gt;20,Input!$C$22,1)/1000,1))</f>
        <v/>
      </c>
      <c r="Q1202" s="155" t="str">
        <f>IF($E1202="","",Input!$C$21)</f>
        <v/>
      </c>
      <c r="R1202" s="159" t="str">
        <f>IF($E1202="","",(1-Q1202)^($F1202-Input!$C$20))</f>
        <v/>
      </c>
      <c r="S1202" s="147" t="str">
        <f t="shared" si="761"/>
        <v/>
      </c>
      <c r="T1202" s="147" t="str">
        <f t="shared" si="762"/>
        <v/>
      </c>
      <c r="U1202" s="160" t="str">
        <f>IF($E1202="","",IF($C1202=12,INDEX(Input!$C$15:$CP$15,1,$B1202),0))</f>
        <v/>
      </c>
      <c r="V1202" s="150" t="str">
        <f>IF(E1202="","",IF(C1202=1,IF($B1202=1,Input!$C$33,Input!$C$34),0))</f>
        <v/>
      </c>
      <c r="W1202" s="156" t="str">
        <f>IF($E1202="","",Input!$C$35)</f>
        <v/>
      </c>
      <c r="X1202" s="156" t="str">
        <f t="shared" si="763"/>
        <v/>
      </c>
      <c r="Y1202" s="154"/>
      <c r="Z1202" s="147" t="str">
        <f>IF($E1202="","",VLOOKUP($D1202,'Mortality Margins &amp; Grading'!$AB$5:$AF$125,3,0)*IF(Summary!$D$25="Included Margin",IF(AND($B1202&gt;Input!$C$9,Summary!$D$31&lt;&gt;"Included Margin"),0,1),0))</f>
        <v/>
      </c>
      <c r="AA1202" s="147" t="str">
        <f>IF($E1202="","",VLOOKUP($D1202,'Mortality Margins &amp; Grading'!$AB$5:$AF$125,5,0)*IF(Summary!$D$25="Included Margin",IF(AND($B1202&gt;Input!$C$9,Summary!$D$31&lt;&gt;"Included Margin"),0,1),0))</f>
        <v/>
      </c>
      <c r="AB1202" s="147" t="str">
        <f>IF($E1202="","",IF(AND($B1202&gt;Input!$C$9,Summary!$D$31&lt;&gt;"Included Margin"),1,IF(Summary!$D$25="Included Margin",VLOOKUP($B1202,'Mortality Margins &amp; Grading'!$AI$5:$AR$125,MATCH('Mortality Margins &amp; Grading'!$AQ$4,'Mortality Margins &amp; Grading'!$AI$4:$AR$4,0),0),1)))</f>
        <v/>
      </c>
      <c r="AC1202" s="154"/>
      <c r="AD1202" s="158" t="str">
        <f>IF(E1202="","",Input!$C$48*IF(Summary!$D$30="Included Margin",IF(AND($B1202&gt;Input!$C$9,Summary!$D$31&lt;&gt;"Included Margin"),0,1),0))</f>
        <v/>
      </c>
      <c r="AE1202" s="159" t="str">
        <f>IF(E1202="","",IF(Summary!$D$26="Included Margin",IF(AND($B1202&gt;Input!$C$9,Summary!$D$31&lt;&gt;"Included Margin"),1,1/$R1202),1))</f>
        <v/>
      </c>
      <c r="AF1202" s="160" t="str">
        <f>IF(E1202="","",IF(AND($B1202&gt;=Input!$C$9,$C1202=12,Summary!$D$31="Included Margin",$U1202&gt;0),1/U1202-1,IF($B1202&gt;=Input!$C$9,0,Input!$C$45*IF(Summary!$D$27="Included Margin",1,0))))</f>
        <v/>
      </c>
      <c r="AG1202" s="160" t="str">
        <f>IF(E1202="","",Input!$C$46*IF(Summary!$D$28="Included Margin",IF(AND($B1202&gt;Input!$C$9,Summary!$D$31&lt;&gt;"Included Margin"),0,1),0))</f>
        <v/>
      </c>
      <c r="AH1202" s="158" t="str">
        <f>IF(E1202="","",Input!$C$47*IF(Summary!$D$29="Included Margin",IF(AND($B1202&gt;Input!$C$9,Summary!$D$31&lt;&gt;"Included Margin"),0,1),0))</f>
        <v/>
      </c>
      <c r="AI1202" s="154"/>
      <c r="AJ1202" s="158" t="str">
        <f t="shared" si="774"/>
        <v/>
      </c>
      <c r="AK1202" s="150" t="str">
        <f t="shared" si="775"/>
        <v/>
      </c>
      <c r="AL1202" s="147" t="str">
        <f t="shared" si="776"/>
        <v/>
      </c>
      <c r="AM1202" s="147" t="str">
        <f t="shared" si="764"/>
        <v/>
      </c>
      <c r="AN1202" s="160" t="str">
        <f t="shared" si="777"/>
        <v/>
      </c>
      <c r="AO1202" s="161" t="str">
        <f t="shared" si="778"/>
        <v/>
      </c>
      <c r="AP1202" s="156" t="str">
        <f t="shared" si="765"/>
        <v/>
      </c>
      <c r="AQ1202" s="152"/>
      <c r="AR1202" s="162" t="str">
        <f t="shared" si="766"/>
        <v/>
      </c>
      <c r="AS1202" s="150" t="str">
        <f t="shared" si="779"/>
        <v/>
      </c>
      <c r="AT1202" s="163" t="str">
        <f t="shared" si="767"/>
        <v/>
      </c>
      <c r="AU1202" s="163" t="str">
        <f t="shared" si="768"/>
        <v/>
      </c>
      <c r="AV1202" s="163" t="str">
        <f t="shared" si="780"/>
        <v/>
      </c>
      <c r="AW1202" s="163" t="str">
        <f t="shared" si="769"/>
        <v/>
      </c>
      <c r="AX1202" s="163" t="str">
        <f t="shared" si="770"/>
        <v/>
      </c>
      <c r="AY1202" s="150" t="str">
        <f t="shared" si="781"/>
        <v/>
      </c>
      <c r="AZ1202" s="150" t="str">
        <f>IF($E1202="","",IF(OR(AND($D1202=Input!$C$6,$C1202=12),$AN1202=1),0,-AS1203+AT1203+AU1203-AV1203-AW1203-AX1203+AZ1203))</f>
        <v/>
      </c>
      <c r="BA1202" s="154" t="str">
        <f t="shared" si="771"/>
        <v/>
      </c>
      <c r="BC1202" s="147" t="str">
        <f t="shared" si="782"/>
        <v/>
      </c>
      <c r="BD1202" s="164" t="str">
        <f>IF(AND($C1201=12,$D1201=Input!$C$6),0,IF($E1202="","",AT1202+(AU1202+BD1203)/(1+$AK1202)*MIN((1-AM1202-AN1202),1)))</f>
        <v/>
      </c>
      <c r="BH1202" s="152"/>
      <c r="BI1202" s="162" t="str">
        <f t="shared" si="790"/>
        <v/>
      </c>
      <c r="BJ1202" s="150" t="str">
        <f t="shared" si="791"/>
        <v/>
      </c>
      <c r="BK1202" s="163" t="str">
        <f t="shared" si="787"/>
        <v/>
      </c>
      <c r="BL1202" s="163" t="str">
        <f t="shared" si="792"/>
        <v/>
      </c>
      <c r="BM1202" s="163" t="str">
        <f t="shared" si="788"/>
        <v/>
      </c>
      <c r="BN1202" s="163" t="str">
        <f t="shared" si="793"/>
        <v/>
      </c>
      <c r="BO1202" s="163" t="str">
        <f t="shared" si="794"/>
        <v/>
      </c>
      <c r="BP1202" s="150" t="str">
        <f t="shared" si="789"/>
        <v/>
      </c>
      <c r="BQ1202" s="150" t="str">
        <f t="shared" si="783"/>
        <v/>
      </c>
      <c r="BR1202" s="154" t="str">
        <f t="shared" si="795"/>
        <v/>
      </c>
      <c r="BT1202" s="147"/>
    </row>
    <row r="1203" spans="1:72" s="150" customFormat="1" x14ac:dyDescent="0.25">
      <c r="A1203" s="150" t="str">
        <f t="shared" si="784"/>
        <v/>
      </c>
      <c r="B1203" s="150" t="str">
        <f t="shared" si="785"/>
        <v/>
      </c>
      <c r="C1203" s="150" t="str">
        <f t="shared" si="786"/>
        <v/>
      </c>
      <c r="D1203" s="150" t="str">
        <f>IF(E1203="","",Input!$C$4+B1203-1)</f>
        <v/>
      </c>
      <c r="E1203" s="150" t="str">
        <f>IF(OR(AND(C1202=12,D1202=Input!$C$6),E1202=""),"",1)</f>
        <v/>
      </c>
      <c r="G1203" s="151" t="str">
        <f>IF(E1203="","",MAX(0,Input!$C$9-B1203))</f>
        <v/>
      </c>
      <c r="H1203" s="152" t="str">
        <f>IF(E1203="","",Input!$C$3)</f>
        <v/>
      </c>
      <c r="I1203" s="153" t="str">
        <f>IF(E1203="","",HLOOKUP($B1203,Input!$C$13:$BT$14,2))</f>
        <v/>
      </c>
      <c r="J1203" s="154"/>
      <c r="K1203" s="150" t="str">
        <f>IF($E1203="","",INDEX(Input!$C$16:$CP$16,1,$B1203))</f>
        <v/>
      </c>
      <c r="L1203" s="150" t="str">
        <f>IF($E1203="","",Input!$C$37)</f>
        <v/>
      </c>
      <c r="M1203" s="150" t="str">
        <f t="shared" si="772"/>
        <v/>
      </c>
      <c r="N1203" s="150" t="str">
        <f t="shared" si="773"/>
        <v/>
      </c>
      <c r="O1203" s="147" t="str">
        <f>IF($E1203="","",MIN(VLOOKUP(IF($B1203&lt;=Input!$C$7,$B1203,26),'Mortality Tables'!$A$41:$CW$67,IF($B1203&lt;=Input!$C$7+1,Input!$C$4+2,$D1203-Input!$C$7+2),0)*IF(B1203&gt;20,Input!$C$22,1)/1000,1))</f>
        <v/>
      </c>
      <c r="P1203" s="147" t="str">
        <f>IF($E1203="","",MIN(VLOOKUP(IF($B1203&lt;=Input!$C$7,$B1203,26),'Mortality Tables'!$A$12:$CW$37,IF($B1203&lt;=Input!$C$7+1,Input!$C$4+2,$D1203-Input!$C$7+2),0)*IF(B1203&gt;20,Input!$C$22,1)/1000,1))</f>
        <v/>
      </c>
      <c r="Q1203" s="155" t="str">
        <f>IF($E1203="","",Input!$C$21)</f>
        <v/>
      </c>
      <c r="R1203" s="159" t="str">
        <f>IF($E1203="","",(1-Q1203)^($F1203-Input!$C$20))</f>
        <v/>
      </c>
      <c r="S1203" s="147" t="str">
        <f t="shared" si="761"/>
        <v/>
      </c>
      <c r="T1203" s="147" t="str">
        <f t="shared" si="762"/>
        <v/>
      </c>
      <c r="U1203" s="160" t="str">
        <f>IF($E1203="","",IF($C1203=12,INDEX(Input!$C$15:$CP$15,1,$B1203),0))</f>
        <v/>
      </c>
      <c r="V1203" s="150" t="str">
        <f>IF(E1203="","",IF(C1203=1,IF($B1203=1,Input!$C$33,Input!$C$34),0))</f>
        <v/>
      </c>
      <c r="W1203" s="156" t="str">
        <f>IF($E1203="","",Input!$C$35)</f>
        <v/>
      </c>
      <c r="X1203" s="156" t="str">
        <f t="shared" si="763"/>
        <v/>
      </c>
      <c r="Y1203" s="154"/>
      <c r="Z1203" s="147" t="str">
        <f>IF($E1203="","",VLOOKUP($D1203,'Mortality Margins &amp; Grading'!$AB$5:$AF$125,3,0)*IF(Summary!$D$25="Included Margin",IF(AND($B1203&gt;Input!$C$9,Summary!$D$31&lt;&gt;"Included Margin"),0,1),0))</f>
        <v/>
      </c>
      <c r="AA1203" s="147" t="str">
        <f>IF($E1203="","",VLOOKUP($D1203,'Mortality Margins &amp; Grading'!$AB$5:$AF$125,5,0)*IF(Summary!$D$25="Included Margin",IF(AND($B1203&gt;Input!$C$9,Summary!$D$31&lt;&gt;"Included Margin"),0,1),0))</f>
        <v/>
      </c>
      <c r="AB1203" s="147" t="str">
        <f>IF($E1203="","",IF(AND($B1203&gt;Input!$C$9,Summary!$D$31&lt;&gt;"Included Margin"),1,IF(Summary!$D$25="Included Margin",VLOOKUP($B1203,'Mortality Margins &amp; Grading'!$AI$5:$AR$125,MATCH('Mortality Margins &amp; Grading'!$AQ$4,'Mortality Margins &amp; Grading'!$AI$4:$AR$4,0),0),1)))</f>
        <v/>
      </c>
      <c r="AC1203" s="154"/>
      <c r="AD1203" s="158" t="str">
        <f>IF(E1203="","",Input!$C$48*IF(Summary!$D$30="Included Margin",IF(AND($B1203&gt;Input!$C$9,Summary!$D$31&lt;&gt;"Included Margin"),0,1),0))</f>
        <v/>
      </c>
      <c r="AE1203" s="159" t="str">
        <f>IF(E1203="","",IF(Summary!$D$26="Included Margin",IF(AND($B1203&gt;Input!$C$9,Summary!$D$31&lt;&gt;"Included Margin"),1,1/$R1203),1))</f>
        <v/>
      </c>
      <c r="AF1203" s="160" t="str">
        <f>IF(E1203="","",IF(AND($B1203&gt;=Input!$C$9,$C1203=12,Summary!$D$31="Included Margin",$U1203&gt;0),1/U1203-1,IF($B1203&gt;=Input!$C$9,0,Input!$C$45*IF(Summary!$D$27="Included Margin",1,0))))</f>
        <v/>
      </c>
      <c r="AG1203" s="160" t="str">
        <f>IF(E1203="","",Input!$C$46*IF(Summary!$D$28="Included Margin",IF(AND($B1203&gt;Input!$C$9,Summary!$D$31&lt;&gt;"Included Margin"),0,1),0))</f>
        <v/>
      </c>
      <c r="AH1203" s="158" t="str">
        <f>IF(E1203="","",Input!$C$47*IF(Summary!$D$29="Included Margin",IF(AND($B1203&gt;Input!$C$9,Summary!$D$31&lt;&gt;"Included Margin"),0,1),0))</f>
        <v/>
      </c>
      <c r="AI1203" s="154"/>
      <c r="AJ1203" s="158" t="str">
        <f t="shared" si="774"/>
        <v/>
      </c>
      <c r="AK1203" s="150" t="str">
        <f t="shared" si="775"/>
        <v/>
      </c>
      <c r="AL1203" s="147" t="str">
        <f t="shared" si="776"/>
        <v/>
      </c>
      <c r="AM1203" s="147" t="str">
        <f t="shared" si="764"/>
        <v/>
      </c>
      <c r="AN1203" s="160" t="str">
        <f t="shared" si="777"/>
        <v/>
      </c>
      <c r="AO1203" s="161" t="str">
        <f t="shared" si="778"/>
        <v/>
      </c>
      <c r="AP1203" s="156" t="str">
        <f t="shared" si="765"/>
        <v/>
      </c>
      <c r="AQ1203" s="152"/>
      <c r="AR1203" s="162" t="str">
        <f t="shared" si="766"/>
        <v/>
      </c>
      <c r="AS1203" s="150" t="str">
        <f t="shared" si="779"/>
        <v/>
      </c>
      <c r="AT1203" s="163" t="str">
        <f t="shared" si="767"/>
        <v/>
      </c>
      <c r="AU1203" s="163" t="str">
        <f t="shared" si="768"/>
        <v/>
      </c>
      <c r="AV1203" s="163" t="str">
        <f t="shared" si="780"/>
        <v/>
      </c>
      <c r="AW1203" s="163" t="str">
        <f t="shared" si="769"/>
        <v/>
      </c>
      <c r="AX1203" s="163" t="str">
        <f t="shared" si="770"/>
        <v/>
      </c>
      <c r="AY1203" s="150" t="str">
        <f t="shared" si="781"/>
        <v/>
      </c>
      <c r="AZ1203" s="150" t="str">
        <f>IF($E1203="","",IF(OR(AND($D1203=Input!$C$6,$C1203=12),$AN1203=1),0,-AS1204+AT1204+AU1204-AV1204-AW1204-AX1204+AZ1204))</f>
        <v/>
      </c>
      <c r="BA1203" s="154" t="str">
        <f t="shared" si="771"/>
        <v/>
      </c>
      <c r="BC1203" s="147" t="str">
        <f t="shared" si="782"/>
        <v/>
      </c>
      <c r="BD1203" s="164" t="str">
        <f>IF(AND($C1202=12,$D1202=Input!$C$6),0,IF($E1203="","",AT1203+(AU1203+BD1204)/(1+$AK1203)*MIN((1-AM1203-AN1203),1)))</f>
        <v/>
      </c>
      <c r="BH1203" s="152"/>
      <c r="BI1203" s="162" t="str">
        <f t="shared" si="790"/>
        <v/>
      </c>
      <c r="BJ1203" s="150" t="str">
        <f t="shared" si="791"/>
        <v/>
      </c>
      <c r="BK1203" s="163" t="str">
        <f t="shared" si="787"/>
        <v/>
      </c>
      <c r="BL1203" s="163" t="str">
        <f t="shared" si="792"/>
        <v/>
      </c>
      <c r="BM1203" s="163" t="str">
        <f t="shared" si="788"/>
        <v/>
      </c>
      <c r="BN1203" s="163" t="str">
        <f t="shared" si="793"/>
        <v/>
      </c>
      <c r="BO1203" s="163" t="str">
        <f t="shared" si="794"/>
        <v/>
      </c>
      <c r="BP1203" s="150" t="str">
        <f t="shared" si="789"/>
        <v/>
      </c>
      <c r="BQ1203" s="150" t="str">
        <f t="shared" si="783"/>
        <v/>
      </c>
      <c r="BR1203" s="154" t="str">
        <f t="shared" si="795"/>
        <v/>
      </c>
      <c r="BT1203" s="147"/>
    </row>
    <row r="1204" spans="1:72" s="150" customFormat="1" x14ac:dyDescent="0.25">
      <c r="A1204" s="150" t="str">
        <f t="shared" si="784"/>
        <v/>
      </c>
      <c r="B1204" s="150" t="str">
        <f t="shared" si="785"/>
        <v/>
      </c>
      <c r="C1204" s="150" t="str">
        <f t="shared" si="786"/>
        <v/>
      </c>
      <c r="D1204" s="150" t="str">
        <f>IF(E1204="","",Input!$C$4+B1204-1)</f>
        <v/>
      </c>
      <c r="E1204" s="150" t="str">
        <f>IF(OR(AND(C1203=12,D1203=Input!$C$6),E1203=""),"",1)</f>
        <v/>
      </c>
      <c r="G1204" s="151" t="str">
        <f>IF(E1204="","",MAX(0,Input!$C$9-B1204))</f>
        <v/>
      </c>
      <c r="H1204" s="152" t="str">
        <f>IF(E1204="","",Input!$C$3)</f>
        <v/>
      </c>
      <c r="I1204" s="153" t="str">
        <f>IF(E1204="","",HLOOKUP($B1204,Input!$C$13:$BT$14,2))</f>
        <v/>
      </c>
      <c r="J1204" s="154"/>
      <c r="K1204" s="150" t="str">
        <f>IF($E1204="","",INDEX(Input!$C$16:$CP$16,1,$B1204))</f>
        <v/>
      </c>
      <c r="L1204" s="150" t="str">
        <f>IF($E1204="","",Input!$C$37)</f>
        <v/>
      </c>
      <c r="M1204" s="150" t="str">
        <f t="shared" si="772"/>
        <v/>
      </c>
      <c r="N1204" s="150" t="str">
        <f t="shared" si="773"/>
        <v/>
      </c>
      <c r="O1204" s="147" t="str">
        <f>IF($E1204="","",MIN(VLOOKUP(IF($B1204&lt;=Input!$C$7,$B1204,26),'Mortality Tables'!$A$41:$CW$67,IF($B1204&lt;=Input!$C$7+1,Input!$C$4+2,$D1204-Input!$C$7+2),0)*IF(B1204&gt;20,Input!$C$22,1)/1000,1))</f>
        <v/>
      </c>
      <c r="P1204" s="147" t="str">
        <f>IF($E1204="","",MIN(VLOOKUP(IF($B1204&lt;=Input!$C$7,$B1204,26),'Mortality Tables'!$A$12:$CW$37,IF($B1204&lt;=Input!$C$7+1,Input!$C$4+2,$D1204-Input!$C$7+2),0)*IF(B1204&gt;20,Input!$C$22,1)/1000,1))</f>
        <v/>
      </c>
      <c r="Q1204" s="155" t="str">
        <f>IF($E1204="","",Input!$C$21)</f>
        <v/>
      </c>
      <c r="R1204" s="159" t="str">
        <f>IF($E1204="","",(1-Q1204)^($F1204-Input!$C$20))</f>
        <v/>
      </c>
      <c r="S1204" s="147" t="str">
        <f t="shared" si="761"/>
        <v/>
      </c>
      <c r="T1204" s="147" t="str">
        <f t="shared" si="762"/>
        <v/>
      </c>
      <c r="U1204" s="160" t="str">
        <f>IF($E1204="","",IF($C1204=12,INDEX(Input!$C$15:$CP$15,1,$B1204),0))</f>
        <v/>
      </c>
      <c r="V1204" s="150" t="str">
        <f>IF(E1204="","",IF(C1204=1,IF($B1204=1,Input!$C$33,Input!$C$34),0))</f>
        <v/>
      </c>
      <c r="W1204" s="156" t="str">
        <f>IF($E1204="","",Input!$C$35)</f>
        <v/>
      </c>
      <c r="X1204" s="156" t="str">
        <f t="shared" si="763"/>
        <v/>
      </c>
      <c r="Y1204" s="154"/>
      <c r="Z1204" s="147" t="str">
        <f>IF($E1204="","",VLOOKUP($D1204,'Mortality Margins &amp; Grading'!$AB$5:$AF$125,3,0)*IF(Summary!$D$25="Included Margin",IF(AND($B1204&gt;Input!$C$9,Summary!$D$31&lt;&gt;"Included Margin"),0,1),0))</f>
        <v/>
      </c>
      <c r="AA1204" s="147" t="str">
        <f>IF($E1204="","",VLOOKUP($D1204,'Mortality Margins &amp; Grading'!$AB$5:$AF$125,5,0)*IF(Summary!$D$25="Included Margin",IF(AND($B1204&gt;Input!$C$9,Summary!$D$31&lt;&gt;"Included Margin"),0,1),0))</f>
        <v/>
      </c>
      <c r="AB1204" s="147" t="str">
        <f>IF($E1204="","",IF(AND($B1204&gt;Input!$C$9,Summary!$D$31&lt;&gt;"Included Margin"),1,IF(Summary!$D$25="Included Margin",VLOOKUP($B1204,'Mortality Margins &amp; Grading'!$AI$5:$AR$125,MATCH('Mortality Margins &amp; Grading'!$AQ$4,'Mortality Margins &amp; Grading'!$AI$4:$AR$4,0),0),1)))</f>
        <v/>
      </c>
      <c r="AC1204" s="154"/>
      <c r="AD1204" s="158" t="str">
        <f>IF(E1204="","",Input!$C$48*IF(Summary!$D$30="Included Margin",IF(AND($B1204&gt;Input!$C$9,Summary!$D$31&lt;&gt;"Included Margin"),0,1),0))</f>
        <v/>
      </c>
      <c r="AE1204" s="159" t="str">
        <f>IF(E1204="","",IF(Summary!$D$26="Included Margin",IF(AND($B1204&gt;Input!$C$9,Summary!$D$31&lt;&gt;"Included Margin"),1,1/$R1204),1))</f>
        <v/>
      </c>
      <c r="AF1204" s="160" t="str">
        <f>IF(E1204="","",IF(AND($B1204&gt;=Input!$C$9,$C1204=12,Summary!$D$31="Included Margin",$U1204&gt;0),1/U1204-1,IF($B1204&gt;=Input!$C$9,0,Input!$C$45*IF(Summary!$D$27="Included Margin",1,0))))</f>
        <v/>
      </c>
      <c r="AG1204" s="160" t="str">
        <f>IF(E1204="","",Input!$C$46*IF(Summary!$D$28="Included Margin",IF(AND($B1204&gt;Input!$C$9,Summary!$D$31&lt;&gt;"Included Margin"),0,1),0))</f>
        <v/>
      </c>
      <c r="AH1204" s="158" t="str">
        <f>IF(E1204="","",Input!$C$47*IF(Summary!$D$29="Included Margin",IF(AND($B1204&gt;Input!$C$9,Summary!$D$31&lt;&gt;"Included Margin"),0,1),0))</f>
        <v/>
      </c>
      <c r="AI1204" s="154"/>
      <c r="AJ1204" s="158" t="str">
        <f t="shared" si="774"/>
        <v/>
      </c>
      <c r="AK1204" s="150" t="str">
        <f t="shared" si="775"/>
        <v/>
      </c>
      <c r="AL1204" s="147" t="str">
        <f t="shared" si="776"/>
        <v/>
      </c>
      <c r="AM1204" s="147" t="str">
        <f t="shared" si="764"/>
        <v/>
      </c>
      <c r="AN1204" s="160" t="str">
        <f t="shared" si="777"/>
        <v/>
      </c>
      <c r="AO1204" s="161" t="str">
        <f t="shared" si="778"/>
        <v/>
      </c>
      <c r="AP1204" s="156" t="str">
        <f t="shared" si="765"/>
        <v/>
      </c>
      <c r="AQ1204" s="152"/>
      <c r="AR1204" s="162" t="str">
        <f t="shared" si="766"/>
        <v/>
      </c>
      <c r="AS1204" s="150" t="str">
        <f t="shared" si="779"/>
        <v/>
      </c>
      <c r="AT1204" s="163" t="str">
        <f t="shared" si="767"/>
        <v/>
      </c>
      <c r="AU1204" s="163" t="str">
        <f t="shared" si="768"/>
        <v/>
      </c>
      <c r="AV1204" s="163" t="str">
        <f t="shared" si="780"/>
        <v/>
      </c>
      <c r="AW1204" s="163" t="str">
        <f t="shared" si="769"/>
        <v/>
      </c>
      <c r="AX1204" s="163" t="str">
        <f t="shared" si="770"/>
        <v/>
      </c>
      <c r="AY1204" s="150" t="str">
        <f t="shared" si="781"/>
        <v/>
      </c>
      <c r="AZ1204" s="150" t="str">
        <f>IF($E1204="","",IF(OR(AND($D1204=Input!$C$6,$C1204=12),$AN1204=1),0,-AS1205+AT1205+AU1205-AV1205-AW1205-AX1205+AZ1205))</f>
        <v/>
      </c>
      <c r="BA1204" s="154" t="str">
        <f t="shared" si="771"/>
        <v/>
      </c>
      <c r="BC1204" s="147" t="str">
        <f t="shared" si="782"/>
        <v/>
      </c>
      <c r="BD1204" s="164" t="str">
        <f>IF(AND($C1203=12,$D1203=Input!$C$6),0,IF($E1204="","",AT1204+(AU1204+BD1205)/(1+$AK1204)*MIN((1-AM1204-AN1204),1)))</f>
        <v/>
      </c>
      <c r="BH1204" s="152"/>
      <c r="BI1204" s="162" t="str">
        <f t="shared" si="790"/>
        <v/>
      </c>
      <c r="BJ1204" s="150" t="str">
        <f t="shared" si="791"/>
        <v/>
      </c>
      <c r="BK1204" s="163" t="str">
        <f t="shared" si="787"/>
        <v/>
      </c>
      <c r="BL1204" s="163" t="str">
        <f t="shared" si="792"/>
        <v/>
      </c>
      <c r="BM1204" s="163" t="str">
        <f t="shared" si="788"/>
        <v/>
      </c>
      <c r="BN1204" s="163" t="str">
        <f t="shared" si="793"/>
        <v/>
      </c>
      <c r="BO1204" s="163" t="str">
        <f t="shared" si="794"/>
        <v/>
      </c>
      <c r="BP1204" s="150" t="str">
        <f t="shared" si="789"/>
        <v/>
      </c>
      <c r="BQ1204" s="150" t="str">
        <f t="shared" si="783"/>
        <v/>
      </c>
      <c r="BR1204" s="154" t="str">
        <f t="shared" si="795"/>
        <v/>
      </c>
      <c r="BT1204" s="147"/>
    </row>
    <row r="1205" spans="1:72" s="150" customFormat="1" x14ac:dyDescent="0.25">
      <c r="A1205" s="150" t="str">
        <f t="shared" si="784"/>
        <v/>
      </c>
      <c r="B1205" s="150" t="str">
        <f t="shared" si="785"/>
        <v/>
      </c>
      <c r="C1205" s="150" t="str">
        <f t="shared" si="786"/>
        <v/>
      </c>
      <c r="D1205" s="150" t="str">
        <f>IF(E1205="","",Input!$C$4+B1205-1)</f>
        <v/>
      </c>
      <c r="E1205" s="150" t="str">
        <f>IF(OR(AND(C1204=12,D1204=Input!$C$6),E1204=""),"",1)</f>
        <v/>
      </c>
      <c r="G1205" s="151" t="str">
        <f>IF(E1205="","",MAX(0,Input!$C$9-B1205))</f>
        <v/>
      </c>
      <c r="H1205" s="152" t="str">
        <f>IF(E1205="","",Input!$C$3)</f>
        <v/>
      </c>
      <c r="I1205" s="153" t="str">
        <f>IF(E1205="","",HLOOKUP($B1205,Input!$C$13:$BT$14,2))</f>
        <v/>
      </c>
      <c r="J1205" s="154"/>
      <c r="K1205" s="150" t="str">
        <f>IF($E1205="","",INDEX(Input!$C$16:$CP$16,1,$B1205))</f>
        <v/>
      </c>
      <c r="L1205" s="150" t="str">
        <f>IF($E1205="","",Input!$C$37)</f>
        <v/>
      </c>
      <c r="M1205" s="150" t="str">
        <f t="shared" si="772"/>
        <v/>
      </c>
      <c r="N1205" s="150" t="str">
        <f t="shared" si="773"/>
        <v/>
      </c>
      <c r="O1205" s="147" t="str">
        <f>IF($E1205="","",MIN(VLOOKUP(IF($B1205&lt;=Input!$C$7,$B1205,26),'Mortality Tables'!$A$41:$CW$67,IF($B1205&lt;=Input!$C$7+1,Input!$C$4+2,$D1205-Input!$C$7+2),0)*IF(B1205&gt;20,Input!$C$22,1)/1000,1))</f>
        <v/>
      </c>
      <c r="P1205" s="147" t="str">
        <f>IF($E1205="","",MIN(VLOOKUP(IF($B1205&lt;=Input!$C$7,$B1205,26),'Mortality Tables'!$A$12:$CW$37,IF($B1205&lt;=Input!$C$7+1,Input!$C$4+2,$D1205-Input!$C$7+2),0)*IF(B1205&gt;20,Input!$C$22,1)/1000,1))</f>
        <v/>
      </c>
      <c r="Q1205" s="155" t="str">
        <f>IF($E1205="","",Input!$C$21)</f>
        <v/>
      </c>
      <c r="R1205" s="159" t="str">
        <f>IF($E1205="","",(1-Q1205)^($F1205-Input!$C$20))</f>
        <v/>
      </c>
      <c r="S1205" s="147" t="str">
        <f t="shared" si="761"/>
        <v/>
      </c>
      <c r="T1205" s="147" t="str">
        <f t="shared" si="762"/>
        <v/>
      </c>
      <c r="U1205" s="160" t="str">
        <f>IF($E1205="","",IF($C1205=12,INDEX(Input!$C$15:$CP$15,1,$B1205),0))</f>
        <v/>
      </c>
      <c r="V1205" s="150" t="str">
        <f>IF(E1205="","",IF(C1205=1,IF($B1205=1,Input!$C$33,Input!$C$34),0))</f>
        <v/>
      </c>
      <c r="W1205" s="156" t="str">
        <f>IF($E1205="","",Input!$C$35)</f>
        <v/>
      </c>
      <c r="X1205" s="156" t="str">
        <f t="shared" si="763"/>
        <v/>
      </c>
      <c r="Y1205" s="154"/>
      <c r="Z1205" s="147" t="str">
        <f>IF($E1205="","",VLOOKUP($D1205,'Mortality Margins &amp; Grading'!$AB$5:$AF$125,3,0)*IF(Summary!$D$25="Included Margin",IF(AND($B1205&gt;Input!$C$9,Summary!$D$31&lt;&gt;"Included Margin"),0,1),0))</f>
        <v/>
      </c>
      <c r="AA1205" s="147" t="str">
        <f>IF($E1205="","",VLOOKUP($D1205,'Mortality Margins &amp; Grading'!$AB$5:$AF$125,5,0)*IF(Summary!$D$25="Included Margin",IF(AND($B1205&gt;Input!$C$9,Summary!$D$31&lt;&gt;"Included Margin"),0,1),0))</f>
        <v/>
      </c>
      <c r="AB1205" s="147" t="str">
        <f>IF($E1205="","",IF(AND($B1205&gt;Input!$C$9,Summary!$D$31&lt;&gt;"Included Margin"),1,IF(Summary!$D$25="Included Margin",VLOOKUP($B1205,'Mortality Margins &amp; Grading'!$AI$5:$AR$125,MATCH('Mortality Margins &amp; Grading'!$AQ$4,'Mortality Margins &amp; Grading'!$AI$4:$AR$4,0),0),1)))</f>
        <v/>
      </c>
      <c r="AC1205" s="154"/>
      <c r="AD1205" s="158" t="str">
        <f>IF(E1205="","",Input!$C$48*IF(Summary!$D$30="Included Margin",IF(AND($B1205&gt;Input!$C$9,Summary!$D$31&lt;&gt;"Included Margin"),0,1),0))</f>
        <v/>
      </c>
      <c r="AE1205" s="159" t="str">
        <f>IF(E1205="","",IF(Summary!$D$26="Included Margin",IF(AND($B1205&gt;Input!$C$9,Summary!$D$31&lt;&gt;"Included Margin"),1,1/$R1205),1))</f>
        <v/>
      </c>
      <c r="AF1205" s="160" t="str">
        <f>IF(E1205="","",IF(AND($B1205&gt;=Input!$C$9,$C1205=12,Summary!$D$31="Included Margin",$U1205&gt;0),1/U1205-1,IF($B1205&gt;=Input!$C$9,0,Input!$C$45*IF(Summary!$D$27="Included Margin",1,0))))</f>
        <v/>
      </c>
      <c r="AG1205" s="160" t="str">
        <f>IF(E1205="","",Input!$C$46*IF(Summary!$D$28="Included Margin",IF(AND($B1205&gt;Input!$C$9,Summary!$D$31&lt;&gt;"Included Margin"),0,1),0))</f>
        <v/>
      </c>
      <c r="AH1205" s="158" t="str">
        <f>IF(E1205="","",Input!$C$47*IF(Summary!$D$29="Included Margin",IF(AND($B1205&gt;Input!$C$9,Summary!$D$31&lt;&gt;"Included Margin"),0,1),0))</f>
        <v/>
      </c>
      <c r="AI1205" s="154"/>
      <c r="AJ1205" s="158" t="str">
        <f t="shared" si="774"/>
        <v/>
      </c>
      <c r="AK1205" s="150" t="str">
        <f t="shared" si="775"/>
        <v/>
      </c>
      <c r="AL1205" s="147" t="str">
        <f t="shared" si="776"/>
        <v/>
      </c>
      <c r="AM1205" s="147" t="str">
        <f t="shared" si="764"/>
        <v/>
      </c>
      <c r="AN1205" s="160" t="str">
        <f t="shared" si="777"/>
        <v/>
      </c>
      <c r="AO1205" s="161" t="str">
        <f t="shared" si="778"/>
        <v/>
      </c>
      <c r="AP1205" s="156" t="str">
        <f t="shared" si="765"/>
        <v/>
      </c>
      <c r="AQ1205" s="152"/>
      <c r="AR1205" s="162" t="str">
        <f t="shared" si="766"/>
        <v/>
      </c>
      <c r="AS1205" s="150" t="str">
        <f t="shared" si="779"/>
        <v/>
      </c>
      <c r="AT1205" s="163" t="str">
        <f t="shared" si="767"/>
        <v/>
      </c>
      <c r="AU1205" s="163" t="str">
        <f t="shared" si="768"/>
        <v/>
      </c>
      <c r="AV1205" s="163" t="str">
        <f t="shared" si="780"/>
        <v/>
      </c>
      <c r="AW1205" s="163" t="str">
        <f t="shared" si="769"/>
        <v/>
      </c>
      <c r="AX1205" s="163" t="str">
        <f t="shared" si="770"/>
        <v/>
      </c>
      <c r="AY1205" s="150" t="str">
        <f t="shared" si="781"/>
        <v/>
      </c>
      <c r="AZ1205" s="150" t="str">
        <f>IF($E1205="","",IF(OR(AND($D1205=Input!$C$6,$C1205=12),$AN1205=1),0,-AS1206+AT1206+AU1206-AV1206-AW1206-AX1206+AZ1206))</f>
        <v/>
      </c>
      <c r="BA1205" s="154" t="str">
        <f t="shared" si="771"/>
        <v/>
      </c>
      <c r="BC1205" s="147" t="str">
        <f t="shared" si="782"/>
        <v/>
      </c>
      <c r="BD1205" s="164" t="str">
        <f>IF(AND($C1204=12,$D1204=Input!$C$6),0,IF($E1205="","",AT1205+(AU1205+BD1206)/(1+$AK1205)*MIN((1-AM1205-AN1205),1)))</f>
        <v/>
      </c>
      <c r="BH1205" s="152"/>
      <c r="BI1205" s="162" t="str">
        <f t="shared" si="790"/>
        <v/>
      </c>
      <c r="BJ1205" s="150" t="str">
        <f t="shared" si="791"/>
        <v/>
      </c>
      <c r="BK1205" s="163" t="str">
        <f t="shared" si="787"/>
        <v/>
      </c>
      <c r="BL1205" s="163" t="str">
        <f t="shared" si="792"/>
        <v/>
      </c>
      <c r="BM1205" s="163" t="str">
        <f t="shared" si="788"/>
        <v/>
      </c>
      <c r="BN1205" s="163" t="str">
        <f t="shared" si="793"/>
        <v/>
      </c>
      <c r="BO1205" s="163" t="str">
        <f t="shared" si="794"/>
        <v/>
      </c>
      <c r="BP1205" s="150" t="str">
        <f t="shared" si="789"/>
        <v/>
      </c>
      <c r="BQ1205" s="150" t="str">
        <f t="shared" si="783"/>
        <v/>
      </c>
      <c r="BR1205" s="154" t="str">
        <f t="shared" si="795"/>
        <v/>
      </c>
      <c r="BT1205" s="147"/>
    </row>
    <row r="1206" spans="1:72" s="150" customFormat="1" x14ac:dyDescent="0.25">
      <c r="A1206" s="150" t="str">
        <f t="shared" si="784"/>
        <v/>
      </c>
      <c r="B1206" s="150" t="str">
        <f t="shared" si="785"/>
        <v/>
      </c>
      <c r="C1206" s="150" t="str">
        <f t="shared" si="786"/>
        <v/>
      </c>
      <c r="D1206" s="150" t="str">
        <f>IF(E1206="","",Input!$C$4+B1206-1)</f>
        <v/>
      </c>
      <c r="E1206" s="150" t="str">
        <f>IF(OR(AND(C1205=12,D1205=Input!$C$6),E1205=""),"",1)</f>
        <v/>
      </c>
      <c r="G1206" s="151" t="str">
        <f>IF(E1206="","",MAX(0,Input!$C$9-B1206))</f>
        <v/>
      </c>
      <c r="H1206" s="152" t="str">
        <f>IF(E1206="","",Input!$C$3)</f>
        <v/>
      </c>
      <c r="I1206" s="153" t="str">
        <f>IF(E1206="","",HLOOKUP($B1206,Input!$C$13:$BT$14,2))</f>
        <v/>
      </c>
      <c r="J1206" s="154"/>
      <c r="K1206" s="150" t="str">
        <f>IF($E1206="","",INDEX(Input!$C$16:$CP$16,1,$B1206))</f>
        <v/>
      </c>
      <c r="L1206" s="150" t="str">
        <f>IF($E1206="","",Input!$C$37)</f>
        <v/>
      </c>
      <c r="M1206" s="150" t="str">
        <f t="shared" si="772"/>
        <v/>
      </c>
      <c r="N1206" s="150" t="str">
        <f t="shared" si="773"/>
        <v/>
      </c>
      <c r="O1206" s="147" t="str">
        <f>IF($E1206="","",MIN(VLOOKUP(IF($B1206&lt;=Input!$C$7,$B1206,26),'Mortality Tables'!$A$41:$CW$67,IF($B1206&lt;=Input!$C$7+1,Input!$C$4+2,$D1206-Input!$C$7+2),0)*IF(B1206&gt;20,Input!$C$22,1)/1000,1))</f>
        <v/>
      </c>
      <c r="P1206" s="147" t="str">
        <f>IF($E1206="","",MIN(VLOOKUP(IF($B1206&lt;=Input!$C$7,$B1206,26),'Mortality Tables'!$A$12:$CW$37,IF($B1206&lt;=Input!$C$7+1,Input!$C$4+2,$D1206-Input!$C$7+2),0)*IF(B1206&gt;20,Input!$C$22,1)/1000,1))</f>
        <v/>
      </c>
      <c r="Q1206" s="155" t="str">
        <f>IF($E1206="","",Input!$C$21)</f>
        <v/>
      </c>
      <c r="R1206" s="159" t="str">
        <f>IF($E1206="","",(1-Q1206)^($F1206-Input!$C$20))</f>
        <v/>
      </c>
      <c r="S1206" s="147" t="str">
        <f t="shared" si="761"/>
        <v/>
      </c>
      <c r="T1206" s="147" t="str">
        <f t="shared" si="762"/>
        <v/>
      </c>
      <c r="U1206" s="160" t="str">
        <f>IF($E1206="","",IF($C1206=12,INDEX(Input!$C$15:$CP$15,1,$B1206),0))</f>
        <v/>
      </c>
      <c r="V1206" s="150" t="str">
        <f>IF(E1206="","",IF(C1206=1,IF($B1206=1,Input!$C$33,Input!$C$34),0))</f>
        <v/>
      </c>
      <c r="W1206" s="156" t="str">
        <f>IF($E1206="","",Input!$C$35)</f>
        <v/>
      </c>
      <c r="X1206" s="156" t="str">
        <f t="shared" si="763"/>
        <v/>
      </c>
      <c r="Y1206" s="154"/>
      <c r="Z1206" s="147" t="str">
        <f>IF($E1206="","",VLOOKUP($D1206,'Mortality Margins &amp; Grading'!$AB$5:$AF$125,3,0)*IF(Summary!$D$25="Included Margin",IF(AND($B1206&gt;Input!$C$9,Summary!$D$31&lt;&gt;"Included Margin"),0,1),0))</f>
        <v/>
      </c>
      <c r="AA1206" s="147" t="str">
        <f>IF($E1206="","",VLOOKUP($D1206,'Mortality Margins &amp; Grading'!$AB$5:$AF$125,5,0)*IF(Summary!$D$25="Included Margin",IF(AND($B1206&gt;Input!$C$9,Summary!$D$31&lt;&gt;"Included Margin"),0,1),0))</f>
        <v/>
      </c>
      <c r="AB1206" s="147" t="str">
        <f>IF($E1206="","",IF(AND($B1206&gt;Input!$C$9,Summary!$D$31&lt;&gt;"Included Margin"),1,IF(Summary!$D$25="Included Margin",VLOOKUP($B1206,'Mortality Margins &amp; Grading'!$AI$5:$AR$125,MATCH('Mortality Margins &amp; Grading'!$AQ$4,'Mortality Margins &amp; Grading'!$AI$4:$AR$4,0),0),1)))</f>
        <v/>
      </c>
      <c r="AC1206" s="154"/>
      <c r="AD1206" s="158" t="str">
        <f>IF(E1206="","",Input!$C$48*IF(Summary!$D$30="Included Margin",IF(AND($B1206&gt;Input!$C$9,Summary!$D$31&lt;&gt;"Included Margin"),0,1),0))</f>
        <v/>
      </c>
      <c r="AE1206" s="159" t="str">
        <f>IF(E1206="","",IF(Summary!$D$26="Included Margin",IF(AND($B1206&gt;Input!$C$9,Summary!$D$31&lt;&gt;"Included Margin"),1,1/$R1206),1))</f>
        <v/>
      </c>
      <c r="AF1206" s="160" t="str">
        <f>IF(E1206="","",IF(AND($B1206&gt;=Input!$C$9,$C1206=12,Summary!$D$31="Included Margin",$U1206&gt;0),1/U1206-1,IF($B1206&gt;=Input!$C$9,0,Input!$C$45*IF(Summary!$D$27="Included Margin",1,0))))</f>
        <v/>
      </c>
      <c r="AG1206" s="160" t="str">
        <f>IF(E1206="","",Input!$C$46*IF(Summary!$D$28="Included Margin",IF(AND($B1206&gt;Input!$C$9,Summary!$D$31&lt;&gt;"Included Margin"),0,1),0))</f>
        <v/>
      </c>
      <c r="AH1206" s="158" t="str">
        <f>IF(E1206="","",Input!$C$47*IF(Summary!$D$29="Included Margin",IF(AND($B1206&gt;Input!$C$9,Summary!$D$31&lt;&gt;"Included Margin"),0,1),0))</f>
        <v/>
      </c>
      <c r="AI1206" s="154"/>
      <c r="AJ1206" s="158" t="str">
        <f t="shared" si="774"/>
        <v/>
      </c>
      <c r="AK1206" s="150" t="str">
        <f t="shared" si="775"/>
        <v/>
      </c>
      <c r="AL1206" s="147" t="str">
        <f t="shared" si="776"/>
        <v/>
      </c>
      <c r="AM1206" s="147" t="str">
        <f t="shared" si="764"/>
        <v/>
      </c>
      <c r="AN1206" s="160" t="str">
        <f t="shared" si="777"/>
        <v/>
      </c>
      <c r="AO1206" s="161" t="str">
        <f t="shared" si="778"/>
        <v/>
      </c>
      <c r="AP1206" s="156" t="str">
        <f t="shared" si="765"/>
        <v/>
      </c>
      <c r="AQ1206" s="152"/>
      <c r="AR1206" s="162" t="str">
        <f t="shared" si="766"/>
        <v/>
      </c>
      <c r="AS1206" s="150" t="str">
        <f t="shared" si="779"/>
        <v/>
      </c>
      <c r="AT1206" s="163" t="str">
        <f t="shared" si="767"/>
        <v/>
      </c>
      <c r="AU1206" s="163" t="str">
        <f t="shared" si="768"/>
        <v/>
      </c>
      <c r="AV1206" s="163" t="str">
        <f t="shared" si="780"/>
        <v/>
      </c>
      <c r="AW1206" s="163" t="str">
        <f t="shared" si="769"/>
        <v/>
      </c>
      <c r="AX1206" s="163" t="str">
        <f t="shared" si="770"/>
        <v/>
      </c>
      <c r="AY1206" s="150" t="str">
        <f t="shared" si="781"/>
        <v/>
      </c>
      <c r="AZ1206" s="150" t="str">
        <f>IF($E1206="","",IF(OR(AND($D1206=Input!$C$6,$C1206=12),$AN1206=1),0,-AS1207+AT1207+AU1207-AV1207-AW1207-AX1207+AZ1207))</f>
        <v/>
      </c>
      <c r="BA1206" s="154" t="str">
        <f t="shared" si="771"/>
        <v/>
      </c>
      <c r="BC1206" s="147" t="str">
        <f t="shared" si="782"/>
        <v/>
      </c>
      <c r="BD1206" s="164" t="str">
        <f>IF(AND($C1205=12,$D1205=Input!$C$6),0,IF($E1206="","",AT1206+(AU1206+BD1207)/(1+$AK1206)*MIN((1-AM1206-AN1206),1)))</f>
        <v/>
      </c>
      <c r="BH1206" s="152"/>
      <c r="BI1206" s="162" t="str">
        <f t="shared" si="790"/>
        <v/>
      </c>
      <c r="BJ1206" s="150" t="str">
        <f t="shared" si="791"/>
        <v/>
      </c>
      <c r="BK1206" s="163" t="str">
        <f t="shared" si="787"/>
        <v/>
      </c>
      <c r="BL1206" s="163" t="str">
        <f t="shared" si="792"/>
        <v/>
      </c>
      <c r="BM1206" s="163" t="str">
        <f t="shared" si="788"/>
        <v/>
      </c>
      <c r="BN1206" s="163" t="str">
        <f t="shared" si="793"/>
        <v/>
      </c>
      <c r="BO1206" s="163" t="str">
        <f t="shared" si="794"/>
        <v/>
      </c>
      <c r="BP1206" s="150" t="str">
        <f t="shared" si="789"/>
        <v/>
      </c>
      <c r="BQ1206" s="150" t="str">
        <f t="shared" si="783"/>
        <v/>
      </c>
      <c r="BR1206" s="154" t="str">
        <f t="shared" si="795"/>
        <v/>
      </c>
      <c r="BT1206" s="147"/>
    </row>
    <row r="1207" spans="1:72" s="150" customFormat="1" x14ac:dyDescent="0.25">
      <c r="A1207" s="150" t="str">
        <f t="shared" si="784"/>
        <v/>
      </c>
      <c r="B1207" s="150" t="str">
        <f t="shared" si="785"/>
        <v/>
      </c>
      <c r="C1207" s="150" t="str">
        <f t="shared" si="786"/>
        <v/>
      </c>
      <c r="D1207" s="150" t="str">
        <f>IF(E1207="","",Input!$C$4+B1207-1)</f>
        <v/>
      </c>
      <c r="E1207" s="150" t="str">
        <f>IF(OR(AND(C1206=12,D1206=Input!$C$6),E1206=""),"",1)</f>
        <v/>
      </c>
      <c r="G1207" s="151" t="str">
        <f>IF(E1207="","",MAX(0,Input!$C$9-B1207))</f>
        <v/>
      </c>
      <c r="H1207" s="152" t="str">
        <f>IF(E1207="","",Input!$C$3)</f>
        <v/>
      </c>
      <c r="I1207" s="153" t="str">
        <f>IF(E1207="","",HLOOKUP($B1207,Input!$C$13:$BT$14,2))</f>
        <v/>
      </c>
      <c r="J1207" s="154"/>
      <c r="K1207" s="150" t="str">
        <f>IF($E1207="","",INDEX(Input!$C$16:$CP$16,1,$B1207))</f>
        <v/>
      </c>
      <c r="L1207" s="150" t="str">
        <f>IF($E1207="","",Input!$C$37)</f>
        <v/>
      </c>
      <c r="M1207" s="150" t="str">
        <f t="shared" si="772"/>
        <v/>
      </c>
      <c r="N1207" s="150" t="str">
        <f t="shared" si="773"/>
        <v/>
      </c>
      <c r="O1207" s="147" t="str">
        <f>IF($E1207="","",MIN(VLOOKUP(IF($B1207&lt;=Input!$C$7,$B1207,26),'Mortality Tables'!$A$41:$CW$67,IF($B1207&lt;=Input!$C$7+1,Input!$C$4+2,$D1207-Input!$C$7+2),0)*IF(B1207&gt;20,Input!$C$22,1)/1000,1))</f>
        <v/>
      </c>
      <c r="P1207" s="147" t="str">
        <f>IF($E1207="","",MIN(VLOOKUP(IF($B1207&lt;=Input!$C$7,$B1207,26),'Mortality Tables'!$A$12:$CW$37,IF($B1207&lt;=Input!$C$7+1,Input!$C$4+2,$D1207-Input!$C$7+2),0)*IF(B1207&gt;20,Input!$C$22,1)/1000,1))</f>
        <v/>
      </c>
      <c r="Q1207" s="155" t="str">
        <f>IF($E1207="","",Input!$C$21)</f>
        <v/>
      </c>
      <c r="R1207" s="159" t="str">
        <f>IF($E1207="","",(1-Q1207)^($F1207-Input!$C$20))</f>
        <v/>
      </c>
      <c r="S1207" s="147" t="str">
        <f t="shared" si="761"/>
        <v/>
      </c>
      <c r="T1207" s="147" t="str">
        <f t="shared" si="762"/>
        <v/>
      </c>
      <c r="U1207" s="160" t="str">
        <f>IF($E1207="","",IF($C1207=12,INDEX(Input!$C$15:$CP$15,1,$B1207),0))</f>
        <v/>
      </c>
      <c r="V1207" s="150" t="str">
        <f>IF(E1207="","",IF(C1207=1,IF($B1207=1,Input!$C$33,Input!$C$34),0))</f>
        <v/>
      </c>
      <c r="W1207" s="156" t="str">
        <f>IF($E1207="","",Input!$C$35)</f>
        <v/>
      </c>
      <c r="X1207" s="156" t="str">
        <f t="shared" si="763"/>
        <v/>
      </c>
      <c r="Y1207" s="154"/>
      <c r="Z1207" s="147" t="str">
        <f>IF($E1207="","",VLOOKUP($D1207,'Mortality Margins &amp; Grading'!$AB$5:$AF$125,3,0)*IF(Summary!$D$25="Included Margin",IF(AND($B1207&gt;Input!$C$9,Summary!$D$31&lt;&gt;"Included Margin"),0,1),0))</f>
        <v/>
      </c>
      <c r="AA1207" s="147" t="str">
        <f>IF($E1207="","",VLOOKUP($D1207,'Mortality Margins &amp; Grading'!$AB$5:$AF$125,5,0)*IF(Summary!$D$25="Included Margin",IF(AND($B1207&gt;Input!$C$9,Summary!$D$31&lt;&gt;"Included Margin"),0,1),0))</f>
        <v/>
      </c>
      <c r="AB1207" s="147" t="str">
        <f>IF($E1207="","",IF(AND($B1207&gt;Input!$C$9,Summary!$D$31&lt;&gt;"Included Margin"),1,IF(Summary!$D$25="Included Margin",VLOOKUP($B1207,'Mortality Margins &amp; Grading'!$AI$5:$AR$125,MATCH('Mortality Margins &amp; Grading'!$AQ$4,'Mortality Margins &amp; Grading'!$AI$4:$AR$4,0),0),1)))</f>
        <v/>
      </c>
      <c r="AC1207" s="154"/>
      <c r="AD1207" s="158" t="str">
        <f>IF(E1207="","",Input!$C$48*IF(Summary!$D$30="Included Margin",IF(AND($B1207&gt;Input!$C$9,Summary!$D$31&lt;&gt;"Included Margin"),0,1),0))</f>
        <v/>
      </c>
      <c r="AE1207" s="159" t="str">
        <f>IF(E1207="","",IF(Summary!$D$26="Included Margin",IF(AND($B1207&gt;Input!$C$9,Summary!$D$31&lt;&gt;"Included Margin"),1,1/$R1207),1))</f>
        <v/>
      </c>
      <c r="AF1207" s="160" t="str">
        <f>IF(E1207="","",IF(AND($B1207&gt;=Input!$C$9,$C1207=12,Summary!$D$31="Included Margin",$U1207&gt;0),1/U1207-1,IF($B1207&gt;=Input!$C$9,0,Input!$C$45*IF(Summary!$D$27="Included Margin",1,0))))</f>
        <v/>
      </c>
      <c r="AG1207" s="160" t="str">
        <f>IF(E1207="","",Input!$C$46*IF(Summary!$D$28="Included Margin",IF(AND($B1207&gt;Input!$C$9,Summary!$D$31&lt;&gt;"Included Margin"),0,1),0))</f>
        <v/>
      </c>
      <c r="AH1207" s="158" t="str">
        <f>IF(E1207="","",Input!$C$47*IF(Summary!$D$29="Included Margin",IF(AND($B1207&gt;Input!$C$9,Summary!$D$31&lt;&gt;"Included Margin"),0,1),0))</f>
        <v/>
      </c>
      <c r="AI1207" s="154"/>
      <c r="AJ1207" s="158" t="str">
        <f t="shared" si="774"/>
        <v/>
      </c>
      <c r="AK1207" s="150" t="str">
        <f t="shared" si="775"/>
        <v/>
      </c>
      <c r="AL1207" s="147" t="str">
        <f t="shared" si="776"/>
        <v/>
      </c>
      <c r="AM1207" s="147" t="str">
        <f t="shared" si="764"/>
        <v/>
      </c>
      <c r="AN1207" s="160" t="str">
        <f t="shared" si="777"/>
        <v/>
      </c>
      <c r="AO1207" s="161" t="str">
        <f t="shared" si="778"/>
        <v/>
      </c>
      <c r="AP1207" s="156" t="str">
        <f t="shared" si="765"/>
        <v/>
      </c>
      <c r="AQ1207" s="152"/>
      <c r="AR1207" s="162" t="str">
        <f t="shared" si="766"/>
        <v/>
      </c>
      <c r="AS1207" s="150" t="str">
        <f t="shared" si="779"/>
        <v/>
      </c>
      <c r="AT1207" s="163" t="str">
        <f t="shared" si="767"/>
        <v/>
      </c>
      <c r="AU1207" s="163" t="str">
        <f t="shared" si="768"/>
        <v/>
      </c>
      <c r="AV1207" s="163" t="str">
        <f t="shared" si="780"/>
        <v/>
      </c>
      <c r="AW1207" s="163" t="str">
        <f t="shared" si="769"/>
        <v/>
      </c>
      <c r="AX1207" s="163" t="str">
        <f t="shared" si="770"/>
        <v/>
      </c>
      <c r="AY1207" s="150" t="str">
        <f t="shared" si="781"/>
        <v/>
      </c>
      <c r="AZ1207" s="150" t="str">
        <f>IF($E1207="","",IF(OR(AND($D1207=Input!$C$6,$C1207=12),$AN1207=1),0,-AS1208+AT1208+AU1208-AV1208-AW1208-AX1208+AZ1208))</f>
        <v/>
      </c>
      <c r="BA1207" s="154" t="str">
        <f t="shared" si="771"/>
        <v/>
      </c>
      <c r="BC1207" s="147" t="str">
        <f t="shared" si="782"/>
        <v/>
      </c>
      <c r="BD1207" s="164" t="str">
        <f>IF(AND($C1206=12,$D1206=Input!$C$6),0,IF($E1207="","",AT1207+(AU1207+BD1208)/(1+$AK1207)*MIN((1-AM1207-AN1207),1)))</f>
        <v/>
      </c>
      <c r="BH1207" s="152"/>
      <c r="BI1207" s="162" t="str">
        <f t="shared" si="790"/>
        <v/>
      </c>
      <c r="BJ1207" s="150" t="str">
        <f t="shared" si="791"/>
        <v/>
      </c>
      <c r="BK1207" s="163" t="str">
        <f t="shared" si="787"/>
        <v/>
      </c>
      <c r="BL1207" s="163" t="str">
        <f t="shared" si="792"/>
        <v/>
      </c>
      <c r="BM1207" s="163" t="str">
        <f t="shared" si="788"/>
        <v/>
      </c>
      <c r="BN1207" s="163" t="str">
        <f t="shared" si="793"/>
        <v/>
      </c>
      <c r="BO1207" s="163" t="str">
        <f t="shared" si="794"/>
        <v/>
      </c>
      <c r="BP1207" s="150" t="str">
        <f t="shared" si="789"/>
        <v/>
      </c>
      <c r="BQ1207" s="150" t="str">
        <f t="shared" si="783"/>
        <v/>
      </c>
      <c r="BR1207" s="154" t="str">
        <f t="shared" si="795"/>
        <v/>
      </c>
      <c r="BT1207" s="147"/>
    </row>
    <row r="1208" spans="1:72" s="150" customFormat="1" x14ac:dyDescent="0.25">
      <c r="A1208" s="150" t="str">
        <f t="shared" si="784"/>
        <v/>
      </c>
      <c r="B1208" s="150" t="str">
        <f t="shared" si="785"/>
        <v/>
      </c>
      <c r="C1208" s="150" t="str">
        <f t="shared" si="786"/>
        <v/>
      </c>
      <c r="D1208" s="150" t="str">
        <f>IF(E1208="","",Input!$C$4+B1208-1)</f>
        <v/>
      </c>
      <c r="E1208" s="150" t="str">
        <f>IF(OR(AND(C1207=12,D1207=Input!$C$6),E1207=""),"",1)</f>
        <v/>
      </c>
      <c r="G1208" s="151" t="str">
        <f>IF(E1208="","",MAX(0,Input!$C$9-B1208))</f>
        <v/>
      </c>
      <c r="H1208" s="152" t="str">
        <f>IF(E1208="","",Input!$C$3)</f>
        <v/>
      </c>
      <c r="I1208" s="153" t="str">
        <f>IF(E1208="","",HLOOKUP($B1208,Input!$C$13:$BT$14,2))</f>
        <v/>
      </c>
      <c r="J1208" s="154"/>
      <c r="K1208" s="150" t="str">
        <f>IF($E1208="","",INDEX(Input!$C$16:$CP$16,1,$B1208))</f>
        <v/>
      </c>
      <c r="L1208" s="150" t="str">
        <f>IF($E1208="","",Input!$C$37)</f>
        <v/>
      </c>
      <c r="M1208" s="150" t="str">
        <f t="shared" si="772"/>
        <v/>
      </c>
      <c r="N1208" s="150" t="str">
        <f t="shared" si="773"/>
        <v/>
      </c>
      <c r="O1208" s="147" t="str">
        <f>IF($E1208="","",MIN(VLOOKUP(IF($B1208&lt;=Input!$C$7,$B1208,26),'Mortality Tables'!$A$41:$CW$67,IF($B1208&lt;=Input!$C$7+1,Input!$C$4+2,$D1208-Input!$C$7+2),0)*IF(B1208&gt;20,Input!$C$22,1)/1000,1))</f>
        <v/>
      </c>
      <c r="P1208" s="147" t="str">
        <f>IF($E1208="","",MIN(VLOOKUP(IF($B1208&lt;=Input!$C$7,$B1208,26),'Mortality Tables'!$A$12:$CW$37,IF($B1208&lt;=Input!$C$7+1,Input!$C$4+2,$D1208-Input!$C$7+2),0)*IF(B1208&gt;20,Input!$C$22,1)/1000,1))</f>
        <v/>
      </c>
      <c r="Q1208" s="155" t="str">
        <f>IF($E1208="","",Input!$C$21)</f>
        <v/>
      </c>
      <c r="R1208" s="159" t="str">
        <f>IF($E1208="","",(1-Q1208)^($F1208-Input!$C$20))</f>
        <v/>
      </c>
      <c r="S1208" s="147" t="str">
        <f t="shared" si="761"/>
        <v/>
      </c>
      <c r="T1208" s="147" t="str">
        <f t="shared" si="762"/>
        <v/>
      </c>
      <c r="U1208" s="160" t="str">
        <f>IF($E1208="","",IF($C1208=12,INDEX(Input!$C$15:$CP$15,1,$B1208),0))</f>
        <v/>
      </c>
      <c r="V1208" s="150" t="str">
        <f>IF(E1208="","",IF(C1208=1,IF($B1208=1,Input!$C$33,Input!$C$34),0))</f>
        <v/>
      </c>
      <c r="W1208" s="156" t="str">
        <f>IF($E1208="","",Input!$C$35)</f>
        <v/>
      </c>
      <c r="X1208" s="156" t="str">
        <f t="shared" si="763"/>
        <v/>
      </c>
      <c r="Y1208" s="154"/>
      <c r="Z1208" s="147" t="str">
        <f>IF($E1208="","",VLOOKUP($D1208,'Mortality Margins &amp; Grading'!$AB$5:$AF$125,3,0)*IF(Summary!$D$25="Included Margin",IF(AND($B1208&gt;Input!$C$9,Summary!$D$31&lt;&gt;"Included Margin"),0,1),0))</f>
        <v/>
      </c>
      <c r="AA1208" s="147" t="str">
        <f>IF($E1208="","",VLOOKUP($D1208,'Mortality Margins &amp; Grading'!$AB$5:$AF$125,5,0)*IF(Summary!$D$25="Included Margin",IF(AND($B1208&gt;Input!$C$9,Summary!$D$31&lt;&gt;"Included Margin"),0,1),0))</f>
        <v/>
      </c>
      <c r="AB1208" s="147" t="str">
        <f>IF($E1208="","",IF(AND($B1208&gt;Input!$C$9,Summary!$D$31&lt;&gt;"Included Margin"),1,IF(Summary!$D$25="Included Margin",VLOOKUP($B1208,'Mortality Margins &amp; Grading'!$AI$5:$AR$125,MATCH('Mortality Margins &amp; Grading'!$AQ$4,'Mortality Margins &amp; Grading'!$AI$4:$AR$4,0),0),1)))</f>
        <v/>
      </c>
      <c r="AC1208" s="154"/>
      <c r="AD1208" s="158" t="str">
        <f>IF(E1208="","",Input!$C$48*IF(Summary!$D$30="Included Margin",IF(AND($B1208&gt;Input!$C$9,Summary!$D$31&lt;&gt;"Included Margin"),0,1),0))</f>
        <v/>
      </c>
      <c r="AE1208" s="159" t="str">
        <f>IF(E1208="","",IF(Summary!$D$26="Included Margin",IF(AND($B1208&gt;Input!$C$9,Summary!$D$31&lt;&gt;"Included Margin"),1,1/$R1208),1))</f>
        <v/>
      </c>
      <c r="AF1208" s="160" t="str">
        <f>IF(E1208="","",IF(AND($B1208&gt;=Input!$C$9,$C1208=12,Summary!$D$31="Included Margin",$U1208&gt;0),1/U1208-1,IF($B1208&gt;=Input!$C$9,0,Input!$C$45*IF(Summary!$D$27="Included Margin",1,0))))</f>
        <v/>
      </c>
      <c r="AG1208" s="160" t="str">
        <f>IF(E1208="","",Input!$C$46*IF(Summary!$D$28="Included Margin",IF(AND($B1208&gt;Input!$C$9,Summary!$D$31&lt;&gt;"Included Margin"),0,1),0))</f>
        <v/>
      </c>
      <c r="AH1208" s="158" t="str">
        <f>IF(E1208="","",Input!$C$47*IF(Summary!$D$29="Included Margin",IF(AND($B1208&gt;Input!$C$9,Summary!$D$31&lt;&gt;"Included Margin"),0,1),0))</f>
        <v/>
      </c>
      <c r="AI1208" s="154"/>
      <c r="AJ1208" s="158" t="str">
        <f t="shared" si="774"/>
        <v/>
      </c>
      <c r="AK1208" s="150" t="str">
        <f t="shared" si="775"/>
        <v/>
      </c>
      <c r="AL1208" s="147" t="str">
        <f t="shared" si="776"/>
        <v/>
      </c>
      <c r="AM1208" s="147" t="str">
        <f t="shared" si="764"/>
        <v/>
      </c>
      <c r="AN1208" s="160" t="str">
        <f t="shared" si="777"/>
        <v/>
      </c>
      <c r="AO1208" s="161" t="str">
        <f t="shared" si="778"/>
        <v/>
      </c>
      <c r="AP1208" s="156" t="str">
        <f t="shared" si="765"/>
        <v/>
      </c>
      <c r="AQ1208" s="152"/>
      <c r="AR1208" s="162" t="str">
        <f t="shared" si="766"/>
        <v/>
      </c>
      <c r="AS1208" s="150" t="str">
        <f t="shared" si="779"/>
        <v/>
      </c>
      <c r="AT1208" s="163" t="str">
        <f t="shared" si="767"/>
        <v/>
      </c>
      <c r="AU1208" s="163" t="str">
        <f t="shared" si="768"/>
        <v/>
      </c>
      <c r="AV1208" s="163" t="str">
        <f t="shared" si="780"/>
        <v/>
      </c>
      <c r="AW1208" s="163" t="str">
        <f t="shared" si="769"/>
        <v/>
      </c>
      <c r="AX1208" s="163" t="str">
        <f t="shared" si="770"/>
        <v/>
      </c>
      <c r="AY1208" s="150" t="str">
        <f t="shared" si="781"/>
        <v/>
      </c>
      <c r="AZ1208" s="150" t="str">
        <f>IF($E1208="","",IF(OR(AND($D1208=Input!$C$6,$C1208=12),$AN1208=1),0,-AS1209+AT1209+AU1209-AV1209-AW1209-AX1209+AZ1209))</f>
        <v/>
      </c>
      <c r="BA1208" s="154" t="str">
        <f t="shared" si="771"/>
        <v/>
      </c>
      <c r="BC1208" s="147" t="str">
        <f t="shared" si="782"/>
        <v/>
      </c>
      <c r="BD1208" s="164" t="str">
        <f>IF(AND($C1207=12,$D1207=Input!$C$6),0,IF($E1208="","",AT1208+(AU1208+BD1209)/(1+$AK1208)*MIN((1-AM1208-AN1208),1)))</f>
        <v/>
      </c>
      <c r="BH1208" s="152"/>
      <c r="BI1208" s="162" t="str">
        <f t="shared" si="790"/>
        <v/>
      </c>
      <c r="BJ1208" s="150" t="str">
        <f t="shared" si="791"/>
        <v/>
      </c>
      <c r="BK1208" s="163" t="str">
        <f t="shared" si="787"/>
        <v/>
      </c>
      <c r="BL1208" s="163" t="str">
        <f t="shared" si="792"/>
        <v/>
      </c>
      <c r="BM1208" s="163" t="str">
        <f t="shared" si="788"/>
        <v/>
      </c>
      <c r="BN1208" s="163" t="str">
        <f t="shared" si="793"/>
        <v/>
      </c>
      <c r="BO1208" s="163" t="str">
        <f t="shared" si="794"/>
        <v/>
      </c>
      <c r="BP1208" s="150" t="str">
        <f t="shared" si="789"/>
        <v/>
      </c>
      <c r="BQ1208" s="150" t="str">
        <f t="shared" si="783"/>
        <v/>
      </c>
      <c r="BR1208" s="154" t="str">
        <f t="shared" si="795"/>
        <v/>
      </c>
      <c r="BT1208" s="147"/>
    </row>
    <row r="1209" spans="1:72" s="150" customFormat="1" x14ac:dyDescent="0.25">
      <c r="A1209" s="150" t="str">
        <f t="shared" si="784"/>
        <v/>
      </c>
      <c r="B1209" s="150" t="str">
        <f t="shared" si="785"/>
        <v/>
      </c>
      <c r="C1209" s="150" t="str">
        <f t="shared" si="786"/>
        <v/>
      </c>
      <c r="D1209" s="150" t="str">
        <f>IF(E1209="","",Input!$C$4+B1209-1)</f>
        <v/>
      </c>
      <c r="E1209" s="150" t="str">
        <f>IF(OR(AND(C1208=12,D1208=Input!$C$6),E1208=""),"",1)</f>
        <v/>
      </c>
      <c r="G1209" s="151" t="str">
        <f>IF(E1209="","",MAX(0,Input!$C$9-B1209))</f>
        <v/>
      </c>
      <c r="H1209" s="152" t="str">
        <f>IF(E1209="","",Input!$C$3)</f>
        <v/>
      </c>
      <c r="I1209" s="153" t="str">
        <f>IF(E1209="","",HLOOKUP($B1209,Input!$C$13:$BT$14,2))</f>
        <v/>
      </c>
      <c r="J1209" s="154"/>
      <c r="K1209" s="150" t="str">
        <f>IF($E1209="","",INDEX(Input!$C$16:$CP$16,1,$B1209))</f>
        <v/>
      </c>
      <c r="L1209" s="150" t="str">
        <f>IF($E1209="","",Input!$C$37)</f>
        <v/>
      </c>
      <c r="M1209" s="150" t="str">
        <f t="shared" si="772"/>
        <v/>
      </c>
      <c r="N1209" s="150" t="str">
        <f t="shared" si="773"/>
        <v/>
      </c>
      <c r="O1209" s="147" t="str">
        <f>IF($E1209="","",MIN(VLOOKUP(IF($B1209&lt;=Input!$C$7,$B1209,26),'Mortality Tables'!$A$41:$CW$67,IF($B1209&lt;=Input!$C$7+1,Input!$C$4+2,$D1209-Input!$C$7+2),0)*IF(B1209&gt;20,Input!$C$22,1)/1000,1))</f>
        <v/>
      </c>
      <c r="P1209" s="147" t="str">
        <f>IF($E1209="","",MIN(VLOOKUP(IF($B1209&lt;=Input!$C$7,$B1209,26),'Mortality Tables'!$A$12:$CW$37,IF($B1209&lt;=Input!$C$7+1,Input!$C$4+2,$D1209-Input!$C$7+2),0)*IF(B1209&gt;20,Input!$C$22,1)/1000,1))</f>
        <v/>
      </c>
      <c r="Q1209" s="155" t="str">
        <f>IF($E1209="","",Input!$C$21)</f>
        <v/>
      </c>
      <c r="R1209" s="159" t="str">
        <f>IF($E1209="","",(1-Q1209)^($F1209-Input!$C$20))</f>
        <v/>
      </c>
      <c r="S1209" s="147" t="str">
        <f t="shared" si="761"/>
        <v/>
      </c>
      <c r="T1209" s="147" t="str">
        <f t="shared" si="762"/>
        <v/>
      </c>
      <c r="U1209" s="160" t="str">
        <f>IF($E1209="","",IF($C1209=12,INDEX(Input!$C$15:$CP$15,1,$B1209),0))</f>
        <v/>
      </c>
      <c r="V1209" s="150" t="str">
        <f>IF(E1209="","",IF(C1209=1,IF($B1209=1,Input!$C$33,Input!$C$34),0))</f>
        <v/>
      </c>
      <c r="W1209" s="156" t="str">
        <f>IF($E1209="","",Input!$C$35)</f>
        <v/>
      </c>
      <c r="X1209" s="156" t="str">
        <f t="shared" si="763"/>
        <v/>
      </c>
      <c r="Y1209" s="154"/>
      <c r="Z1209" s="147" t="str">
        <f>IF($E1209="","",VLOOKUP($D1209,'Mortality Margins &amp; Grading'!$AB$5:$AF$125,3,0)*IF(Summary!$D$25="Included Margin",IF(AND($B1209&gt;Input!$C$9,Summary!$D$31&lt;&gt;"Included Margin"),0,1),0))</f>
        <v/>
      </c>
      <c r="AA1209" s="147" t="str">
        <f>IF($E1209="","",VLOOKUP($D1209,'Mortality Margins &amp; Grading'!$AB$5:$AF$125,5,0)*IF(Summary!$D$25="Included Margin",IF(AND($B1209&gt;Input!$C$9,Summary!$D$31&lt;&gt;"Included Margin"),0,1),0))</f>
        <v/>
      </c>
      <c r="AB1209" s="147" t="str">
        <f>IF($E1209="","",IF(AND($B1209&gt;Input!$C$9,Summary!$D$31&lt;&gt;"Included Margin"),1,IF(Summary!$D$25="Included Margin",VLOOKUP($B1209,'Mortality Margins &amp; Grading'!$AI$5:$AR$125,MATCH('Mortality Margins &amp; Grading'!$AQ$4,'Mortality Margins &amp; Grading'!$AI$4:$AR$4,0),0),1)))</f>
        <v/>
      </c>
      <c r="AC1209" s="154"/>
      <c r="AD1209" s="158" t="str">
        <f>IF(E1209="","",Input!$C$48*IF(Summary!$D$30="Included Margin",IF(AND($B1209&gt;Input!$C$9,Summary!$D$31&lt;&gt;"Included Margin"),0,1),0))</f>
        <v/>
      </c>
      <c r="AE1209" s="159" t="str">
        <f>IF(E1209="","",IF(Summary!$D$26="Included Margin",IF(AND($B1209&gt;Input!$C$9,Summary!$D$31&lt;&gt;"Included Margin"),1,1/$R1209),1))</f>
        <v/>
      </c>
      <c r="AF1209" s="160" t="str">
        <f>IF(E1209="","",IF(AND($B1209&gt;=Input!$C$9,$C1209=12,Summary!$D$31="Included Margin",$U1209&gt;0),1/U1209-1,IF($B1209&gt;=Input!$C$9,0,Input!$C$45*IF(Summary!$D$27="Included Margin",1,0))))</f>
        <v/>
      </c>
      <c r="AG1209" s="160" t="str">
        <f>IF(E1209="","",Input!$C$46*IF(Summary!$D$28="Included Margin",IF(AND($B1209&gt;Input!$C$9,Summary!$D$31&lt;&gt;"Included Margin"),0,1),0))</f>
        <v/>
      </c>
      <c r="AH1209" s="158" t="str">
        <f>IF(E1209="","",Input!$C$47*IF(Summary!$D$29="Included Margin",IF(AND($B1209&gt;Input!$C$9,Summary!$D$31&lt;&gt;"Included Margin"),0,1),0))</f>
        <v/>
      </c>
      <c r="AI1209" s="154"/>
      <c r="AJ1209" s="158" t="str">
        <f t="shared" si="774"/>
        <v/>
      </c>
      <c r="AK1209" s="150" t="str">
        <f t="shared" si="775"/>
        <v/>
      </c>
      <c r="AL1209" s="147" t="str">
        <f t="shared" si="776"/>
        <v/>
      </c>
      <c r="AM1209" s="147" t="str">
        <f t="shared" si="764"/>
        <v/>
      </c>
      <c r="AN1209" s="160" t="str">
        <f t="shared" si="777"/>
        <v/>
      </c>
      <c r="AO1209" s="161" t="str">
        <f t="shared" si="778"/>
        <v/>
      </c>
      <c r="AP1209" s="156" t="str">
        <f t="shared" si="765"/>
        <v/>
      </c>
      <c r="AQ1209" s="152"/>
      <c r="AR1209" s="162" t="str">
        <f t="shared" si="766"/>
        <v/>
      </c>
      <c r="AS1209" s="150" t="str">
        <f t="shared" si="779"/>
        <v/>
      </c>
      <c r="AT1209" s="163" t="str">
        <f t="shared" si="767"/>
        <v/>
      </c>
      <c r="AU1209" s="163" t="str">
        <f t="shared" si="768"/>
        <v/>
      </c>
      <c r="AV1209" s="163" t="str">
        <f t="shared" si="780"/>
        <v/>
      </c>
      <c r="AW1209" s="163" t="str">
        <f t="shared" si="769"/>
        <v/>
      </c>
      <c r="AX1209" s="163" t="str">
        <f t="shared" si="770"/>
        <v/>
      </c>
      <c r="AY1209" s="150" t="str">
        <f t="shared" si="781"/>
        <v/>
      </c>
      <c r="AZ1209" s="150" t="str">
        <f>IF($E1209="","",IF(OR(AND($D1209=Input!$C$6,$C1209=12),$AN1209=1),0,-AS1210+AT1210+AU1210-AV1210-AW1210-AX1210+AZ1210))</f>
        <v/>
      </c>
      <c r="BA1209" s="154" t="str">
        <f t="shared" si="771"/>
        <v/>
      </c>
      <c r="BC1209" s="147" t="str">
        <f t="shared" si="782"/>
        <v/>
      </c>
      <c r="BD1209" s="164" t="str">
        <f>IF(AND($C1208=12,$D1208=Input!$C$6),0,IF($E1209="","",AT1209+(AU1209+BD1210)/(1+$AK1209)*MIN((1-AM1209-AN1209),1)))</f>
        <v/>
      </c>
      <c r="BH1209" s="152"/>
      <c r="BI1209" s="162" t="str">
        <f t="shared" si="790"/>
        <v/>
      </c>
      <c r="BJ1209" s="150" t="str">
        <f t="shared" si="791"/>
        <v/>
      </c>
      <c r="BK1209" s="163" t="str">
        <f t="shared" si="787"/>
        <v/>
      </c>
      <c r="BL1209" s="163" t="str">
        <f t="shared" si="792"/>
        <v/>
      </c>
      <c r="BM1209" s="163" t="str">
        <f t="shared" si="788"/>
        <v/>
      </c>
      <c r="BN1209" s="163" t="str">
        <f t="shared" si="793"/>
        <v/>
      </c>
      <c r="BO1209" s="163" t="str">
        <f t="shared" si="794"/>
        <v/>
      </c>
      <c r="BP1209" s="150" t="str">
        <f t="shared" si="789"/>
        <v/>
      </c>
      <c r="BQ1209" s="150" t="str">
        <f t="shared" si="783"/>
        <v/>
      </c>
      <c r="BR1209" s="154" t="str">
        <f t="shared" si="795"/>
        <v/>
      </c>
      <c r="BT1209" s="147"/>
    </row>
    <row r="1210" spans="1:72" s="150" customFormat="1" x14ac:dyDescent="0.25">
      <c r="A1210" s="150" t="str">
        <f t="shared" si="784"/>
        <v/>
      </c>
      <c r="B1210" s="150" t="str">
        <f t="shared" si="785"/>
        <v/>
      </c>
      <c r="C1210" s="150" t="str">
        <f t="shared" si="786"/>
        <v/>
      </c>
      <c r="D1210" s="150" t="str">
        <f>IF(E1210="","",Input!$C$4+B1210-1)</f>
        <v/>
      </c>
      <c r="E1210" s="150" t="str">
        <f>IF(OR(AND(C1209=12,D1209=Input!$C$6),E1209=""),"",1)</f>
        <v/>
      </c>
      <c r="G1210" s="151" t="str">
        <f>IF(E1210="","",MAX(0,Input!$C$9-B1210))</f>
        <v/>
      </c>
      <c r="H1210" s="152" t="str">
        <f>IF(E1210="","",Input!$C$3)</f>
        <v/>
      </c>
      <c r="I1210" s="153" t="str">
        <f>IF(E1210="","",HLOOKUP($B1210,Input!$C$13:$BT$14,2))</f>
        <v/>
      </c>
      <c r="J1210" s="154"/>
      <c r="K1210" s="150" t="str">
        <f>IF($E1210="","",INDEX(Input!$C$16:$CP$16,1,$B1210))</f>
        <v/>
      </c>
      <c r="L1210" s="150" t="str">
        <f>IF($E1210="","",Input!$C$37)</f>
        <v/>
      </c>
      <c r="M1210" s="150" t="str">
        <f t="shared" si="772"/>
        <v/>
      </c>
      <c r="N1210" s="150" t="str">
        <f t="shared" si="773"/>
        <v/>
      </c>
      <c r="O1210" s="147" t="str">
        <f>IF($E1210="","",MIN(VLOOKUP(IF($B1210&lt;=Input!$C$7,$B1210,26),'Mortality Tables'!$A$41:$CW$67,IF($B1210&lt;=Input!$C$7+1,Input!$C$4+2,$D1210-Input!$C$7+2),0)*IF(B1210&gt;20,Input!$C$22,1)/1000,1))</f>
        <v/>
      </c>
      <c r="P1210" s="147" t="str">
        <f>IF($E1210="","",MIN(VLOOKUP(IF($B1210&lt;=Input!$C$7,$B1210,26),'Mortality Tables'!$A$12:$CW$37,IF($B1210&lt;=Input!$C$7+1,Input!$C$4+2,$D1210-Input!$C$7+2),0)*IF(B1210&gt;20,Input!$C$22,1)/1000,1))</f>
        <v/>
      </c>
      <c r="Q1210" s="155" t="str">
        <f>IF($E1210="","",Input!$C$21)</f>
        <v/>
      </c>
      <c r="R1210" s="159" t="str">
        <f>IF($E1210="","",(1-Q1210)^($F1210-Input!$C$20))</f>
        <v/>
      </c>
      <c r="S1210" s="147" t="str">
        <f t="shared" si="761"/>
        <v/>
      </c>
      <c r="T1210" s="147" t="str">
        <f t="shared" si="762"/>
        <v/>
      </c>
      <c r="U1210" s="160" t="str">
        <f>IF($E1210="","",IF($C1210=12,INDEX(Input!$C$15:$CP$15,1,$B1210),0))</f>
        <v/>
      </c>
      <c r="V1210" s="150" t="str">
        <f>IF(E1210="","",IF(C1210=1,IF($B1210=1,Input!$C$33,Input!$C$34),0))</f>
        <v/>
      </c>
      <c r="W1210" s="156" t="str">
        <f>IF($E1210="","",Input!$C$35)</f>
        <v/>
      </c>
      <c r="X1210" s="156" t="str">
        <f t="shared" si="763"/>
        <v/>
      </c>
      <c r="Y1210" s="154"/>
      <c r="Z1210" s="147" t="str">
        <f>IF($E1210="","",VLOOKUP($D1210,'Mortality Margins &amp; Grading'!$AB$5:$AF$125,3,0)*IF(Summary!$D$25="Included Margin",IF(AND($B1210&gt;Input!$C$9,Summary!$D$31&lt;&gt;"Included Margin"),0,1),0))</f>
        <v/>
      </c>
      <c r="AA1210" s="147" t="str">
        <f>IF($E1210="","",VLOOKUP($D1210,'Mortality Margins &amp; Grading'!$AB$5:$AF$125,5,0)*IF(Summary!$D$25="Included Margin",IF(AND($B1210&gt;Input!$C$9,Summary!$D$31&lt;&gt;"Included Margin"),0,1),0))</f>
        <v/>
      </c>
      <c r="AB1210" s="147" t="str">
        <f>IF($E1210="","",IF(AND($B1210&gt;Input!$C$9,Summary!$D$31&lt;&gt;"Included Margin"),1,IF(Summary!$D$25="Included Margin",VLOOKUP($B1210,'Mortality Margins &amp; Grading'!$AI$5:$AR$125,MATCH('Mortality Margins &amp; Grading'!$AQ$4,'Mortality Margins &amp; Grading'!$AI$4:$AR$4,0),0),1)))</f>
        <v/>
      </c>
      <c r="AC1210" s="154"/>
      <c r="AD1210" s="158" t="str">
        <f>IF(E1210="","",Input!$C$48*IF(Summary!$D$30="Included Margin",IF(AND($B1210&gt;Input!$C$9,Summary!$D$31&lt;&gt;"Included Margin"),0,1),0))</f>
        <v/>
      </c>
      <c r="AE1210" s="159" t="str">
        <f>IF(E1210="","",IF(Summary!$D$26="Included Margin",IF(AND($B1210&gt;Input!$C$9,Summary!$D$31&lt;&gt;"Included Margin"),1,1/$R1210),1))</f>
        <v/>
      </c>
      <c r="AF1210" s="160" t="str">
        <f>IF(E1210="","",IF(AND($B1210&gt;=Input!$C$9,$C1210=12,Summary!$D$31="Included Margin",$U1210&gt;0),1/U1210-1,IF($B1210&gt;=Input!$C$9,0,Input!$C$45*IF(Summary!$D$27="Included Margin",1,0))))</f>
        <v/>
      </c>
      <c r="AG1210" s="160" t="str">
        <f>IF(E1210="","",Input!$C$46*IF(Summary!$D$28="Included Margin",IF(AND($B1210&gt;Input!$C$9,Summary!$D$31&lt;&gt;"Included Margin"),0,1),0))</f>
        <v/>
      </c>
      <c r="AH1210" s="158" t="str">
        <f>IF(E1210="","",Input!$C$47*IF(Summary!$D$29="Included Margin",IF(AND($B1210&gt;Input!$C$9,Summary!$D$31&lt;&gt;"Included Margin"),0,1),0))</f>
        <v/>
      </c>
      <c r="AI1210" s="154"/>
      <c r="AJ1210" s="158" t="str">
        <f t="shared" si="774"/>
        <v/>
      </c>
      <c r="AK1210" s="150" t="str">
        <f t="shared" si="775"/>
        <v/>
      </c>
      <c r="AL1210" s="147" t="str">
        <f t="shared" si="776"/>
        <v/>
      </c>
      <c r="AM1210" s="147" t="str">
        <f t="shared" si="764"/>
        <v/>
      </c>
      <c r="AN1210" s="160" t="str">
        <f t="shared" si="777"/>
        <v/>
      </c>
      <c r="AO1210" s="161" t="str">
        <f t="shared" si="778"/>
        <v/>
      </c>
      <c r="AP1210" s="156" t="str">
        <f t="shared" si="765"/>
        <v/>
      </c>
      <c r="AQ1210" s="152"/>
      <c r="AR1210" s="162" t="str">
        <f t="shared" si="766"/>
        <v/>
      </c>
      <c r="AS1210" s="150" t="str">
        <f t="shared" si="779"/>
        <v/>
      </c>
      <c r="AT1210" s="163" t="str">
        <f t="shared" si="767"/>
        <v/>
      </c>
      <c r="AU1210" s="163" t="str">
        <f t="shared" si="768"/>
        <v/>
      </c>
      <c r="AV1210" s="163" t="str">
        <f t="shared" si="780"/>
        <v/>
      </c>
      <c r="AW1210" s="163" t="str">
        <f t="shared" si="769"/>
        <v/>
      </c>
      <c r="AX1210" s="163" t="str">
        <f t="shared" si="770"/>
        <v/>
      </c>
      <c r="AY1210" s="150" t="str">
        <f t="shared" si="781"/>
        <v/>
      </c>
      <c r="AZ1210" s="150" t="str">
        <f>IF($E1210="","",IF(OR(AND($D1210=Input!$C$6,$C1210=12),$AN1210=1),0,-AS1211+AT1211+AU1211-AV1211-AW1211-AX1211+AZ1211))</f>
        <v/>
      </c>
      <c r="BA1210" s="154" t="str">
        <f t="shared" si="771"/>
        <v/>
      </c>
      <c r="BC1210" s="147" t="str">
        <f t="shared" si="782"/>
        <v/>
      </c>
      <c r="BD1210" s="164" t="str">
        <f>IF(AND($C1209=12,$D1209=Input!$C$6),0,IF($E1210="","",AT1210+(AU1210+BD1211)/(1+$AK1210)*MIN((1-AM1210-AN1210),1)))</f>
        <v/>
      </c>
      <c r="BH1210" s="152"/>
      <c r="BI1210" s="162" t="str">
        <f t="shared" si="790"/>
        <v/>
      </c>
      <c r="BJ1210" s="150" t="str">
        <f t="shared" si="791"/>
        <v/>
      </c>
      <c r="BK1210" s="163" t="str">
        <f t="shared" si="787"/>
        <v/>
      </c>
      <c r="BL1210" s="163" t="str">
        <f t="shared" si="792"/>
        <v/>
      </c>
      <c r="BM1210" s="163" t="str">
        <f t="shared" si="788"/>
        <v/>
      </c>
      <c r="BN1210" s="163" t="str">
        <f t="shared" si="793"/>
        <v/>
      </c>
      <c r="BO1210" s="163" t="str">
        <f t="shared" si="794"/>
        <v/>
      </c>
      <c r="BP1210" s="150" t="str">
        <f t="shared" si="789"/>
        <v/>
      </c>
      <c r="BQ1210" s="150" t="str">
        <f t="shared" si="783"/>
        <v/>
      </c>
      <c r="BR1210" s="154" t="str">
        <f t="shared" si="795"/>
        <v/>
      </c>
      <c r="BT1210" s="147"/>
    </row>
    <row r="1211" spans="1:72" s="150" customFormat="1" x14ac:dyDescent="0.25">
      <c r="A1211" s="150" t="str">
        <f t="shared" si="784"/>
        <v/>
      </c>
      <c r="B1211" s="150" t="str">
        <f t="shared" si="785"/>
        <v/>
      </c>
      <c r="C1211" s="150" t="str">
        <f t="shared" si="786"/>
        <v/>
      </c>
      <c r="D1211" s="150" t="str">
        <f>IF(E1211="","",Input!$C$4+B1211-1)</f>
        <v/>
      </c>
      <c r="E1211" s="150" t="str">
        <f>IF(OR(AND(C1210=12,D1210=Input!$C$6),E1210=""),"",1)</f>
        <v/>
      </c>
      <c r="G1211" s="151" t="str">
        <f>IF(E1211="","",MAX(0,Input!$C$9-B1211))</f>
        <v/>
      </c>
      <c r="H1211" s="152" t="str">
        <f>IF(E1211="","",Input!$C$3)</f>
        <v/>
      </c>
      <c r="I1211" s="153" t="str">
        <f>IF(E1211="","",HLOOKUP($B1211,Input!$C$13:$BT$14,2))</f>
        <v/>
      </c>
      <c r="J1211" s="154"/>
      <c r="K1211" s="150" t="str">
        <f>IF($E1211="","",INDEX(Input!$C$16:$CP$16,1,$B1211))</f>
        <v/>
      </c>
      <c r="L1211" s="150" t="str">
        <f>IF($E1211="","",Input!$C$37)</f>
        <v/>
      </c>
      <c r="M1211" s="150" t="str">
        <f t="shared" si="772"/>
        <v/>
      </c>
      <c r="N1211" s="150" t="str">
        <f t="shared" si="773"/>
        <v/>
      </c>
      <c r="O1211" s="147" t="str">
        <f>IF($E1211="","",MIN(VLOOKUP(IF($B1211&lt;=Input!$C$7,$B1211,26),'Mortality Tables'!$A$41:$CW$67,IF($B1211&lt;=Input!$C$7+1,Input!$C$4+2,$D1211-Input!$C$7+2),0)*IF(B1211&gt;20,Input!$C$22,1)/1000,1))</f>
        <v/>
      </c>
      <c r="P1211" s="147" t="str">
        <f>IF($E1211="","",MIN(VLOOKUP(IF($B1211&lt;=Input!$C$7,$B1211,26),'Mortality Tables'!$A$12:$CW$37,IF($B1211&lt;=Input!$C$7+1,Input!$C$4+2,$D1211-Input!$C$7+2),0)*IF(B1211&gt;20,Input!$C$22,1)/1000,1))</f>
        <v/>
      </c>
      <c r="Q1211" s="155" t="str">
        <f>IF($E1211="","",Input!$C$21)</f>
        <v/>
      </c>
      <c r="R1211" s="159" t="str">
        <f>IF($E1211="","",(1-Q1211)^($F1211-Input!$C$20))</f>
        <v/>
      </c>
      <c r="S1211" s="147" t="str">
        <f t="shared" si="761"/>
        <v/>
      </c>
      <c r="T1211" s="147" t="str">
        <f t="shared" si="762"/>
        <v/>
      </c>
      <c r="U1211" s="160" t="str">
        <f>IF($E1211="","",IF($C1211=12,INDEX(Input!$C$15:$CP$15,1,$B1211),0))</f>
        <v/>
      </c>
      <c r="V1211" s="150" t="str">
        <f>IF(E1211="","",IF(C1211=1,IF($B1211=1,Input!$C$33,Input!$C$34),0))</f>
        <v/>
      </c>
      <c r="W1211" s="156" t="str">
        <f>IF($E1211="","",Input!$C$35)</f>
        <v/>
      </c>
      <c r="X1211" s="156" t="str">
        <f t="shared" si="763"/>
        <v/>
      </c>
      <c r="Y1211" s="154"/>
      <c r="Z1211" s="147" t="str">
        <f>IF($E1211="","",VLOOKUP($D1211,'Mortality Margins &amp; Grading'!$AB$5:$AF$125,3,0)*IF(Summary!$D$25="Included Margin",IF(AND($B1211&gt;Input!$C$9,Summary!$D$31&lt;&gt;"Included Margin"),0,1),0))</f>
        <v/>
      </c>
      <c r="AA1211" s="147" t="str">
        <f>IF($E1211="","",VLOOKUP($D1211,'Mortality Margins &amp; Grading'!$AB$5:$AF$125,5,0)*IF(Summary!$D$25="Included Margin",IF(AND($B1211&gt;Input!$C$9,Summary!$D$31&lt;&gt;"Included Margin"),0,1),0))</f>
        <v/>
      </c>
      <c r="AB1211" s="147" t="str">
        <f>IF($E1211="","",IF(AND($B1211&gt;Input!$C$9,Summary!$D$31&lt;&gt;"Included Margin"),1,IF(Summary!$D$25="Included Margin",VLOOKUP($B1211,'Mortality Margins &amp; Grading'!$AI$5:$AR$125,MATCH('Mortality Margins &amp; Grading'!$AQ$4,'Mortality Margins &amp; Grading'!$AI$4:$AR$4,0),0),1)))</f>
        <v/>
      </c>
      <c r="AC1211" s="154"/>
      <c r="AD1211" s="158" t="str">
        <f>IF(E1211="","",Input!$C$48*IF(Summary!$D$30="Included Margin",IF(AND($B1211&gt;Input!$C$9,Summary!$D$31&lt;&gt;"Included Margin"),0,1),0))</f>
        <v/>
      </c>
      <c r="AE1211" s="159" t="str">
        <f>IF(E1211="","",IF(Summary!$D$26="Included Margin",IF(AND($B1211&gt;Input!$C$9,Summary!$D$31&lt;&gt;"Included Margin"),1,1/$R1211),1))</f>
        <v/>
      </c>
      <c r="AF1211" s="160" t="str">
        <f>IF(E1211="","",IF(AND($B1211&gt;=Input!$C$9,$C1211=12,Summary!$D$31="Included Margin",$U1211&gt;0),1/U1211-1,IF($B1211&gt;=Input!$C$9,0,Input!$C$45*IF(Summary!$D$27="Included Margin",1,0))))</f>
        <v/>
      </c>
      <c r="AG1211" s="160" t="str">
        <f>IF(E1211="","",Input!$C$46*IF(Summary!$D$28="Included Margin",IF(AND($B1211&gt;Input!$C$9,Summary!$D$31&lt;&gt;"Included Margin"),0,1),0))</f>
        <v/>
      </c>
      <c r="AH1211" s="158" t="str">
        <f>IF(E1211="","",Input!$C$47*IF(Summary!$D$29="Included Margin",IF(AND($B1211&gt;Input!$C$9,Summary!$D$31&lt;&gt;"Included Margin"),0,1),0))</f>
        <v/>
      </c>
      <c r="AI1211" s="154"/>
      <c r="AJ1211" s="158" t="str">
        <f t="shared" si="774"/>
        <v/>
      </c>
      <c r="AK1211" s="150" t="str">
        <f t="shared" si="775"/>
        <v/>
      </c>
      <c r="AL1211" s="147" t="str">
        <f t="shared" si="776"/>
        <v/>
      </c>
      <c r="AM1211" s="147" t="str">
        <f t="shared" si="764"/>
        <v/>
      </c>
      <c r="AN1211" s="160" t="str">
        <f t="shared" si="777"/>
        <v/>
      </c>
      <c r="AO1211" s="161" t="str">
        <f t="shared" si="778"/>
        <v/>
      </c>
      <c r="AP1211" s="156" t="str">
        <f t="shared" si="765"/>
        <v/>
      </c>
      <c r="AQ1211" s="152"/>
      <c r="AR1211" s="162" t="str">
        <f t="shared" si="766"/>
        <v/>
      </c>
      <c r="AS1211" s="150" t="str">
        <f t="shared" si="779"/>
        <v/>
      </c>
      <c r="AT1211" s="163" t="str">
        <f t="shared" si="767"/>
        <v/>
      </c>
      <c r="AU1211" s="163" t="str">
        <f t="shared" si="768"/>
        <v/>
      </c>
      <c r="AV1211" s="163" t="str">
        <f t="shared" si="780"/>
        <v/>
      </c>
      <c r="AW1211" s="163" t="str">
        <f t="shared" si="769"/>
        <v/>
      </c>
      <c r="AX1211" s="163" t="str">
        <f t="shared" si="770"/>
        <v/>
      </c>
      <c r="AY1211" s="150" t="str">
        <f t="shared" si="781"/>
        <v/>
      </c>
      <c r="AZ1211" s="150" t="str">
        <f>IF($E1211="","",IF(OR(AND($D1211=Input!$C$6,$C1211=12),$AN1211=1),0,-AS1212+AT1212+AU1212-AV1212-AW1212-AX1212+AZ1212))</f>
        <v/>
      </c>
      <c r="BA1211" s="154" t="str">
        <f t="shared" si="771"/>
        <v/>
      </c>
      <c r="BC1211" s="147" t="str">
        <f t="shared" si="782"/>
        <v/>
      </c>
      <c r="BD1211" s="164" t="str">
        <f>IF(AND($C1210=12,$D1210=Input!$C$6),0,IF($E1211="","",AT1211+(AU1211+BD1212)/(1+$AK1211)*MIN((1-AM1211-AN1211),1)))</f>
        <v/>
      </c>
      <c r="BH1211" s="152"/>
      <c r="BI1211" s="162" t="str">
        <f t="shared" si="790"/>
        <v/>
      </c>
      <c r="BJ1211" s="150" t="str">
        <f t="shared" si="791"/>
        <v/>
      </c>
      <c r="BK1211" s="163" t="str">
        <f t="shared" si="787"/>
        <v/>
      </c>
      <c r="BL1211" s="163" t="str">
        <f t="shared" si="792"/>
        <v/>
      </c>
      <c r="BM1211" s="163" t="str">
        <f t="shared" si="788"/>
        <v/>
      </c>
      <c r="BN1211" s="163" t="str">
        <f t="shared" si="793"/>
        <v/>
      </c>
      <c r="BO1211" s="163" t="str">
        <f t="shared" si="794"/>
        <v/>
      </c>
      <c r="BP1211" s="150" t="str">
        <f t="shared" si="789"/>
        <v/>
      </c>
      <c r="BQ1211" s="150" t="str">
        <f t="shared" si="783"/>
        <v/>
      </c>
      <c r="BR1211" s="154" t="str">
        <f t="shared" si="795"/>
        <v/>
      </c>
      <c r="BT1211" s="147"/>
    </row>
    <row r="1212" spans="1:72" s="150" customFormat="1" x14ac:dyDescent="0.25">
      <c r="A1212" s="150" t="str">
        <f t="shared" si="784"/>
        <v/>
      </c>
      <c r="B1212" s="150" t="str">
        <f t="shared" si="785"/>
        <v/>
      </c>
      <c r="C1212" s="150" t="str">
        <f t="shared" si="786"/>
        <v/>
      </c>
      <c r="D1212" s="150" t="str">
        <f>IF(E1212="","",Input!$C$4+B1212-1)</f>
        <v/>
      </c>
      <c r="E1212" s="150" t="str">
        <f>IF(OR(AND(C1211=12,D1211=Input!$C$6),E1211=""),"",1)</f>
        <v/>
      </c>
      <c r="G1212" s="151" t="str">
        <f>IF(E1212="","",MAX(0,Input!$C$9-B1212))</f>
        <v/>
      </c>
      <c r="H1212" s="152" t="str">
        <f>IF(E1212="","",Input!$C$3)</f>
        <v/>
      </c>
      <c r="I1212" s="153" t="str">
        <f>IF(E1212="","",HLOOKUP($B1212,Input!$C$13:$BT$14,2))</f>
        <v/>
      </c>
      <c r="J1212" s="154"/>
      <c r="K1212" s="150" t="str">
        <f>IF($E1212="","",INDEX(Input!$C$16:$CP$16,1,$B1212))</f>
        <v/>
      </c>
      <c r="L1212" s="150" t="str">
        <f>IF($E1212="","",Input!$C$37)</f>
        <v/>
      </c>
      <c r="M1212" s="150" t="str">
        <f t="shared" si="772"/>
        <v/>
      </c>
      <c r="N1212" s="150" t="str">
        <f t="shared" si="773"/>
        <v/>
      </c>
      <c r="O1212" s="147" t="str">
        <f>IF($E1212="","",MIN(VLOOKUP(IF($B1212&lt;=Input!$C$7,$B1212,26),'Mortality Tables'!$A$41:$CW$67,IF($B1212&lt;=Input!$C$7+1,Input!$C$4+2,$D1212-Input!$C$7+2),0)*IF(B1212&gt;20,Input!$C$22,1)/1000,1))</f>
        <v/>
      </c>
      <c r="P1212" s="147" t="str">
        <f>IF($E1212="","",MIN(VLOOKUP(IF($B1212&lt;=Input!$C$7,$B1212,26),'Mortality Tables'!$A$12:$CW$37,IF($B1212&lt;=Input!$C$7+1,Input!$C$4+2,$D1212-Input!$C$7+2),0)*IF(B1212&gt;20,Input!$C$22,1)/1000,1))</f>
        <v/>
      </c>
      <c r="Q1212" s="155" t="str">
        <f>IF($E1212="","",Input!$C$21)</f>
        <v/>
      </c>
      <c r="R1212" s="159" t="str">
        <f>IF($E1212="","",(1-Q1212)^($F1212-Input!$C$20))</f>
        <v/>
      </c>
      <c r="S1212" s="147" t="str">
        <f t="shared" si="761"/>
        <v/>
      </c>
      <c r="T1212" s="147" t="str">
        <f t="shared" si="762"/>
        <v/>
      </c>
      <c r="U1212" s="160" t="str">
        <f>IF($E1212="","",IF($C1212=12,INDEX(Input!$C$15:$CP$15,1,$B1212),0))</f>
        <v/>
      </c>
      <c r="V1212" s="150" t="str">
        <f>IF(E1212="","",IF(C1212=1,IF($B1212=1,Input!$C$33,Input!$C$34),0))</f>
        <v/>
      </c>
      <c r="W1212" s="156" t="str">
        <f>IF($E1212="","",Input!$C$35)</f>
        <v/>
      </c>
      <c r="X1212" s="156" t="str">
        <f t="shared" si="763"/>
        <v/>
      </c>
      <c r="Y1212" s="154"/>
      <c r="Z1212" s="147" t="str">
        <f>IF($E1212="","",VLOOKUP($D1212,'Mortality Margins &amp; Grading'!$AB$5:$AF$125,3,0)*IF(Summary!$D$25="Included Margin",IF(AND($B1212&gt;Input!$C$9,Summary!$D$31&lt;&gt;"Included Margin"),0,1),0))</f>
        <v/>
      </c>
      <c r="AA1212" s="147" t="str">
        <f>IF($E1212="","",VLOOKUP($D1212,'Mortality Margins &amp; Grading'!$AB$5:$AF$125,5,0)*IF(Summary!$D$25="Included Margin",IF(AND($B1212&gt;Input!$C$9,Summary!$D$31&lt;&gt;"Included Margin"),0,1),0))</f>
        <v/>
      </c>
      <c r="AB1212" s="147" t="str">
        <f>IF($E1212="","",IF(AND($B1212&gt;Input!$C$9,Summary!$D$31&lt;&gt;"Included Margin"),1,IF(Summary!$D$25="Included Margin",VLOOKUP($B1212,'Mortality Margins &amp; Grading'!$AI$5:$AR$125,MATCH('Mortality Margins &amp; Grading'!$AQ$4,'Mortality Margins &amp; Grading'!$AI$4:$AR$4,0),0),1)))</f>
        <v/>
      </c>
      <c r="AC1212" s="154"/>
      <c r="AD1212" s="158" t="str">
        <f>IF(E1212="","",Input!$C$48*IF(Summary!$D$30="Included Margin",IF(AND($B1212&gt;Input!$C$9,Summary!$D$31&lt;&gt;"Included Margin"),0,1),0))</f>
        <v/>
      </c>
      <c r="AE1212" s="159" t="str">
        <f>IF(E1212="","",IF(Summary!$D$26="Included Margin",IF(AND($B1212&gt;Input!$C$9,Summary!$D$31&lt;&gt;"Included Margin"),1,1/$R1212),1))</f>
        <v/>
      </c>
      <c r="AF1212" s="160" t="str">
        <f>IF(E1212="","",IF(AND($B1212&gt;=Input!$C$9,$C1212=12,Summary!$D$31="Included Margin",$U1212&gt;0),1/U1212-1,IF($B1212&gt;=Input!$C$9,0,Input!$C$45*IF(Summary!$D$27="Included Margin",1,0))))</f>
        <v/>
      </c>
      <c r="AG1212" s="160" t="str">
        <f>IF(E1212="","",Input!$C$46*IF(Summary!$D$28="Included Margin",IF(AND($B1212&gt;Input!$C$9,Summary!$D$31&lt;&gt;"Included Margin"),0,1),0))</f>
        <v/>
      </c>
      <c r="AH1212" s="158" t="str">
        <f>IF(E1212="","",Input!$C$47*IF(Summary!$D$29="Included Margin",IF(AND($B1212&gt;Input!$C$9,Summary!$D$31&lt;&gt;"Included Margin"),0,1),0))</f>
        <v/>
      </c>
      <c r="AI1212" s="154"/>
      <c r="AJ1212" s="158" t="str">
        <f t="shared" si="774"/>
        <v/>
      </c>
      <c r="AK1212" s="150" t="str">
        <f t="shared" si="775"/>
        <v/>
      </c>
      <c r="AL1212" s="147" t="str">
        <f t="shared" si="776"/>
        <v/>
      </c>
      <c r="AM1212" s="147" t="str">
        <f t="shared" si="764"/>
        <v/>
      </c>
      <c r="AN1212" s="160" t="str">
        <f t="shared" si="777"/>
        <v/>
      </c>
      <c r="AO1212" s="161" t="str">
        <f t="shared" si="778"/>
        <v/>
      </c>
      <c r="AP1212" s="156" t="str">
        <f t="shared" si="765"/>
        <v/>
      </c>
      <c r="AQ1212" s="152"/>
      <c r="AR1212" s="162" t="str">
        <f t="shared" si="766"/>
        <v/>
      </c>
      <c r="AS1212" s="150" t="str">
        <f t="shared" si="779"/>
        <v/>
      </c>
      <c r="AT1212" s="163" t="str">
        <f t="shared" si="767"/>
        <v/>
      </c>
      <c r="AU1212" s="163" t="str">
        <f t="shared" si="768"/>
        <v/>
      </c>
      <c r="AV1212" s="163" t="str">
        <f t="shared" si="780"/>
        <v/>
      </c>
      <c r="AW1212" s="163" t="str">
        <f t="shared" si="769"/>
        <v/>
      </c>
      <c r="AX1212" s="163" t="str">
        <f t="shared" si="770"/>
        <v/>
      </c>
      <c r="AY1212" s="150" t="str">
        <f t="shared" si="781"/>
        <v/>
      </c>
      <c r="AZ1212" s="150" t="str">
        <f>IF($E1212="","",IF(OR(AND($D1212=Input!$C$6,$C1212=12),$AN1212=1),0,-AS1213+AT1213+AU1213-AV1213-AW1213-AX1213+AZ1213))</f>
        <v/>
      </c>
      <c r="BA1212" s="154" t="str">
        <f t="shared" si="771"/>
        <v/>
      </c>
      <c r="BC1212" s="147" t="str">
        <f t="shared" si="782"/>
        <v/>
      </c>
      <c r="BD1212" s="164" t="str">
        <f>IF(AND($C1211=12,$D1211=Input!$C$6),0,IF($E1212="","",AT1212+(AU1212+BD1213)/(1+$AK1212)*MIN((1-AM1212-AN1212),1)))</f>
        <v/>
      </c>
      <c r="BH1212" s="152"/>
      <c r="BI1212" s="162" t="str">
        <f t="shared" si="790"/>
        <v/>
      </c>
      <c r="BJ1212" s="150" t="str">
        <f t="shared" si="791"/>
        <v/>
      </c>
      <c r="BK1212" s="163" t="str">
        <f t="shared" si="787"/>
        <v/>
      </c>
      <c r="BL1212" s="163" t="str">
        <f t="shared" si="792"/>
        <v/>
      </c>
      <c r="BM1212" s="163" t="str">
        <f t="shared" si="788"/>
        <v/>
      </c>
      <c r="BN1212" s="163" t="str">
        <f t="shared" si="793"/>
        <v/>
      </c>
      <c r="BO1212" s="163" t="str">
        <f t="shared" si="794"/>
        <v/>
      </c>
      <c r="BP1212" s="150" t="str">
        <f t="shared" si="789"/>
        <v/>
      </c>
      <c r="BQ1212" s="150" t="str">
        <f t="shared" si="783"/>
        <v/>
      </c>
      <c r="BR1212" s="154" t="str">
        <f t="shared" si="795"/>
        <v/>
      </c>
      <c r="BT1212" s="147"/>
    </row>
    <row r="1213" spans="1:72" s="150" customFormat="1" x14ac:dyDescent="0.25">
      <c r="A1213" s="150" t="str">
        <f t="shared" si="784"/>
        <v/>
      </c>
      <c r="B1213" s="150" t="str">
        <f t="shared" si="785"/>
        <v/>
      </c>
      <c r="C1213" s="150" t="str">
        <f t="shared" si="786"/>
        <v/>
      </c>
      <c r="D1213" s="150" t="str">
        <f>IF(E1213="","",Input!$C$4+B1213-1)</f>
        <v/>
      </c>
      <c r="E1213" s="150" t="str">
        <f>IF(OR(AND(C1212=12,D1212=Input!$C$6),E1212=""),"",1)</f>
        <v/>
      </c>
      <c r="G1213" s="151" t="str">
        <f>IF(E1213="","",MAX(0,Input!$C$9-B1213))</f>
        <v/>
      </c>
      <c r="H1213" s="152" t="str">
        <f>IF(E1213="","",Input!$C$3)</f>
        <v/>
      </c>
      <c r="I1213" s="153" t="str">
        <f>IF(E1213="","",HLOOKUP($B1213,Input!$C$13:$BT$14,2))</f>
        <v/>
      </c>
      <c r="J1213" s="154"/>
      <c r="K1213" s="150" t="str">
        <f>IF($E1213="","",INDEX(Input!$C$16:$CP$16,1,$B1213))</f>
        <v/>
      </c>
      <c r="L1213" s="150" t="str">
        <f>IF($E1213="","",Input!$C$37)</f>
        <v/>
      </c>
      <c r="M1213" s="150" t="str">
        <f t="shared" si="772"/>
        <v/>
      </c>
      <c r="N1213" s="150" t="str">
        <f t="shared" si="773"/>
        <v/>
      </c>
      <c r="O1213" s="147" t="str">
        <f>IF($E1213="","",MIN(VLOOKUP(IF($B1213&lt;=Input!$C$7,$B1213,26),'Mortality Tables'!$A$41:$CW$67,IF($B1213&lt;=Input!$C$7+1,Input!$C$4+2,$D1213-Input!$C$7+2),0)*IF(B1213&gt;20,Input!$C$22,1)/1000,1))</f>
        <v/>
      </c>
      <c r="P1213" s="147" t="str">
        <f>IF($E1213="","",MIN(VLOOKUP(IF($B1213&lt;=Input!$C$7,$B1213,26),'Mortality Tables'!$A$12:$CW$37,IF($B1213&lt;=Input!$C$7+1,Input!$C$4+2,$D1213-Input!$C$7+2),0)*IF(B1213&gt;20,Input!$C$22,1)/1000,1))</f>
        <v/>
      </c>
      <c r="Q1213" s="155" t="str">
        <f>IF($E1213="","",Input!$C$21)</f>
        <v/>
      </c>
      <c r="R1213" s="159" t="str">
        <f>IF($E1213="","",(1-Q1213)^($F1213-Input!$C$20))</f>
        <v/>
      </c>
      <c r="S1213" s="147" t="str">
        <f t="shared" si="761"/>
        <v/>
      </c>
      <c r="T1213" s="147" t="str">
        <f t="shared" si="762"/>
        <v/>
      </c>
      <c r="U1213" s="160" t="str">
        <f>IF($E1213="","",IF($C1213=12,INDEX(Input!$C$15:$CP$15,1,$B1213),0))</f>
        <v/>
      </c>
      <c r="V1213" s="150" t="str">
        <f>IF(E1213="","",IF(C1213=1,IF($B1213=1,Input!$C$33,Input!$C$34),0))</f>
        <v/>
      </c>
      <c r="W1213" s="156" t="str">
        <f>IF($E1213="","",Input!$C$35)</f>
        <v/>
      </c>
      <c r="X1213" s="156" t="str">
        <f t="shared" si="763"/>
        <v/>
      </c>
      <c r="Y1213" s="154"/>
      <c r="Z1213" s="147" t="str">
        <f>IF($E1213="","",VLOOKUP($D1213,'Mortality Margins &amp; Grading'!$AB$5:$AF$125,3,0)*IF(Summary!$D$25="Included Margin",IF(AND($B1213&gt;Input!$C$9,Summary!$D$31&lt;&gt;"Included Margin"),0,1),0))</f>
        <v/>
      </c>
      <c r="AA1213" s="147" t="str">
        <f>IF($E1213="","",VLOOKUP($D1213,'Mortality Margins &amp; Grading'!$AB$5:$AF$125,5,0)*IF(Summary!$D$25="Included Margin",IF(AND($B1213&gt;Input!$C$9,Summary!$D$31&lt;&gt;"Included Margin"),0,1),0))</f>
        <v/>
      </c>
      <c r="AB1213" s="147" t="str">
        <f>IF($E1213="","",IF(AND($B1213&gt;Input!$C$9,Summary!$D$31&lt;&gt;"Included Margin"),1,IF(Summary!$D$25="Included Margin",VLOOKUP($B1213,'Mortality Margins &amp; Grading'!$AI$5:$AR$125,MATCH('Mortality Margins &amp; Grading'!$AQ$4,'Mortality Margins &amp; Grading'!$AI$4:$AR$4,0),0),1)))</f>
        <v/>
      </c>
      <c r="AC1213" s="154"/>
      <c r="AD1213" s="158" t="str">
        <f>IF(E1213="","",Input!$C$48*IF(Summary!$D$30="Included Margin",IF(AND($B1213&gt;Input!$C$9,Summary!$D$31&lt;&gt;"Included Margin"),0,1),0))</f>
        <v/>
      </c>
      <c r="AE1213" s="159" t="str">
        <f>IF(E1213="","",IF(Summary!$D$26="Included Margin",IF(AND($B1213&gt;Input!$C$9,Summary!$D$31&lt;&gt;"Included Margin"),1,1/$R1213),1))</f>
        <v/>
      </c>
      <c r="AF1213" s="160" t="str">
        <f>IF(E1213="","",IF(AND($B1213&gt;=Input!$C$9,$C1213=12,Summary!$D$31="Included Margin",$U1213&gt;0),1/U1213-1,IF($B1213&gt;=Input!$C$9,0,Input!$C$45*IF(Summary!$D$27="Included Margin",1,0))))</f>
        <v/>
      </c>
      <c r="AG1213" s="160" t="str">
        <f>IF(E1213="","",Input!$C$46*IF(Summary!$D$28="Included Margin",IF(AND($B1213&gt;Input!$C$9,Summary!$D$31&lt;&gt;"Included Margin"),0,1),0))</f>
        <v/>
      </c>
      <c r="AH1213" s="158" t="str">
        <f>IF(E1213="","",Input!$C$47*IF(Summary!$D$29="Included Margin",IF(AND($B1213&gt;Input!$C$9,Summary!$D$31&lt;&gt;"Included Margin"),0,1),0))</f>
        <v/>
      </c>
      <c r="AI1213" s="154"/>
      <c r="AJ1213" s="158" t="str">
        <f t="shared" si="774"/>
        <v/>
      </c>
      <c r="AK1213" s="150" t="str">
        <f t="shared" si="775"/>
        <v/>
      </c>
      <c r="AL1213" s="147" t="str">
        <f t="shared" si="776"/>
        <v/>
      </c>
      <c r="AM1213" s="147" t="str">
        <f t="shared" si="764"/>
        <v/>
      </c>
      <c r="AN1213" s="160" t="str">
        <f t="shared" si="777"/>
        <v/>
      </c>
      <c r="AO1213" s="161" t="str">
        <f t="shared" si="778"/>
        <v/>
      </c>
      <c r="AP1213" s="156" t="str">
        <f t="shared" si="765"/>
        <v/>
      </c>
      <c r="AQ1213" s="152"/>
      <c r="AR1213" s="162" t="str">
        <f t="shared" si="766"/>
        <v/>
      </c>
      <c r="AS1213" s="150" t="str">
        <f t="shared" si="779"/>
        <v/>
      </c>
      <c r="AT1213" s="163" t="str">
        <f t="shared" si="767"/>
        <v/>
      </c>
      <c r="AU1213" s="163" t="str">
        <f t="shared" si="768"/>
        <v/>
      </c>
      <c r="AV1213" s="163" t="str">
        <f t="shared" si="780"/>
        <v/>
      </c>
      <c r="AW1213" s="163" t="str">
        <f t="shared" si="769"/>
        <v/>
      </c>
      <c r="AX1213" s="163" t="str">
        <f t="shared" si="770"/>
        <v/>
      </c>
      <c r="AY1213" s="150" t="str">
        <f t="shared" si="781"/>
        <v/>
      </c>
      <c r="AZ1213" s="150" t="str">
        <f>IF($E1213="","",IF(OR(AND($D1213=Input!$C$6,$C1213=12),$AN1213=1),0,-AS1214+AT1214+AU1214-AV1214-AW1214-AX1214+AZ1214))</f>
        <v/>
      </c>
      <c r="BA1213" s="154" t="str">
        <f t="shared" si="771"/>
        <v/>
      </c>
      <c r="BC1213" s="147" t="str">
        <f t="shared" si="782"/>
        <v/>
      </c>
      <c r="BD1213" s="164" t="str">
        <f>IF(AND($C1212=12,$D1212=Input!$C$6),0,IF($E1213="","",AT1213+(AU1213+BD1214)/(1+$AK1213)*MIN((1-AM1213-AN1213),1)))</f>
        <v/>
      </c>
      <c r="BH1213" s="152"/>
      <c r="BI1213" s="162" t="str">
        <f t="shared" si="790"/>
        <v/>
      </c>
      <c r="BJ1213" s="150" t="str">
        <f t="shared" si="791"/>
        <v/>
      </c>
      <c r="BK1213" s="163" t="str">
        <f t="shared" si="787"/>
        <v/>
      </c>
      <c r="BL1213" s="163" t="str">
        <f t="shared" si="792"/>
        <v/>
      </c>
      <c r="BM1213" s="163" t="str">
        <f t="shared" si="788"/>
        <v/>
      </c>
      <c r="BN1213" s="163" t="str">
        <f t="shared" si="793"/>
        <v/>
      </c>
      <c r="BO1213" s="163" t="str">
        <f t="shared" si="794"/>
        <v/>
      </c>
      <c r="BP1213" s="150" t="str">
        <f t="shared" si="789"/>
        <v/>
      </c>
      <c r="BQ1213" s="150" t="str">
        <f t="shared" si="783"/>
        <v/>
      </c>
      <c r="BR1213" s="154" t="str">
        <f t="shared" si="795"/>
        <v/>
      </c>
      <c r="BT1213" s="147"/>
    </row>
    <row r="1214" spans="1:72" s="150" customFormat="1" x14ac:dyDescent="0.25">
      <c r="A1214" s="150" t="str">
        <f t="shared" si="784"/>
        <v/>
      </c>
      <c r="B1214" s="150" t="str">
        <f t="shared" si="785"/>
        <v/>
      </c>
      <c r="C1214" s="150" t="str">
        <f t="shared" si="786"/>
        <v/>
      </c>
      <c r="D1214" s="150" t="str">
        <f>IF(E1214="","",Input!$C$4+B1214-1)</f>
        <v/>
      </c>
      <c r="E1214" s="150" t="str">
        <f>IF(OR(AND(C1213=12,D1213=Input!$C$6),E1213=""),"",1)</f>
        <v/>
      </c>
      <c r="G1214" s="151" t="str">
        <f>IF(E1214="","",MAX(0,Input!$C$9-B1214))</f>
        <v/>
      </c>
      <c r="H1214" s="152" t="str">
        <f>IF(E1214="","",Input!$C$3)</f>
        <v/>
      </c>
      <c r="I1214" s="153" t="str">
        <f>IF(E1214="","",HLOOKUP($B1214,Input!$C$13:$BT$14,2))</f>
        <v/>
      </c>
      <c r="J1214" s="154"/>
      <c r="K1214" s="150" t="str">
        <f>IF($E1214="","",INDEX(Input!$C$16:$CP$16,1,$B1214))</f>
        <v/>
      </c>
      <c r="L1214" s="150" t="str">
        <f>IF($E1214="","",Input!$C$37)</f>
        <v/>
      </c>
      <c r="M1214" s="150" t="str">
        <f t="shared" si="772"/>
        <v/>
      </c>
      <c r="N1214" s="150" t="str">
        <f t="shared" si="773"/>
        <v/>
      </c>
      <c r="O1214" s="147" t="str">
        <f>IF($E1214="","",MIN(VLOOKUP(IF($B1214&lt;=Input!$C$7,$B1214,26),'Mortality Tables'!$A$41:$CW$67,IF($B1214&lt;=Input!$C$7+1,Input!$C$4+2,$D1214-Input!$C$7+2),0)*IF(B1214&gt;20,Input!$C$22,1)/1000,1))</f>
        <v/>
      </c>
      <c r="P1214" s="147" t="str">
        <f>IF($E1214="","",MIN(VLOOKUP(IF($B1214&lt;=Input!$C$7,$B1214,26),'Mortality Tables'!$A$12:$CW$37,IF($B1214&lt;=Input!$C$7+1,Input!$C$4+2,$D1214-Input!$C$7+2),0)*IF(B1214&gt;20,Input!$C$22,1)/1000,1))</f>
        <v/>
      </c>
      <c r="Q1214" s="155" t="str">
        <f>IF($E1214="","",Input!$C$21)</f>
        <v/>
      </c>
      <c r="R1214" s="159" t="str">
        <f>IF($E1214="","",(1-Q1214)^($F1214-Input!$C$20))</f>
        <v/>
      </c>
      <c r="S1214" s="147" t="str">
        <f t="shared" si="761"/>
        <v/>
      </c>
      <c r="T1214" s="147" t="str">
        <f t="shared" si="762"/>
        <v/>
      </c>
      <c r="U1214" s="160" t="str">
        <f>IF($E1214="","",IF($C1214=12,INDEX(Input!$C$15:$CP$15,1,$B1214),0))</f>
        <v/>
      </c>
      <c r="V1214" s="150" t="str">
        <f>IF(E1214="","",IF(C1214=1,IF($B1214=1,Input!$C$33,Input!$C$34),0))</f>
        <v/>
      </c>
      <c r="W1214" s="156" t="str">
        <f>IF($E1214="","",Input!$C$35)</f>
        <v/>
      </c>
      <c r="X1214" s="156" t="str">
        <f t="shared" si="763"/>
        <v/>
      </c>
      <c r="Y1214" s="154"/>
      <c r="Z1214" s="147" t="str">
        <f>IF($E1214="","",VLOOKUP($D1214,'Mortality Margins &amp; Grading'!$AB$5:$AF$125,3,0)*IF(Summary!$D$25="Included Margin",IF(AND($B1214&gt;Input!$C$9,Summary!$D$31&lt;&gt;"Included Margin"),0,1),0))</f>
        <v/>
      </c>
      <c r="AA1214" s="147" t="str">
        <f>IF($E1214="","",VLOOKUP($D1214,'Mortality Margins &amp; Grading'!$AB$5:$AF$125,5,0)*IF(Summary!$D$25="Included Margin",IF(AND($B1214&gt;Input!$C$9,Summary!$D$31&lt;&gt;"Included Margin"),0,1),0))</f>
        <v/>
      </c>
      <c r="AB1214" s="147" t="str">
        <f>IF($E1214="","",IF(AND($B1214&gt;Input!$C$9,Summary!$D$31&lt;&gt;"Included Margin"),1,IF(Summary!$D$25="Included Margin",VLOOKUP($B1214,'Mortality Margins &amp; Grading'!$AI$5:$AR$125,MATCH('Mortality Margins &amp; Grading'!$AQ$4,'Mortality Margins &amp; Grading'!$AI$4:$AR$4,0),0),1)))</f>
        <v/>
      </c>
      <c r="AC1214" s="154"/>
      <c r="AD1214" s="158" t="str">
        <f>IF(E1214="","",Input!$C$48*IF(Summary!$D$30="Included Margin",IF(AND($B1214&gt;Input!$C$9,Summary!$D$31&lt;&gt;"Included Margin"),0,1),0))</f>
        <v/>
      </c>
      <c r="AE1214" s="159" t="str">
        <f>IF(E1214="","",IF(Summary!$D$26="Included Margin",IF(AND($B1214&gt;Input!$C$9,Summary!$D$31&lt;&gt;"Included Margin"),1,1/$R1214),1))</f>
        <v/>
      </c>
      <c r="AF1214" s="160" t="str">
        <f>IF(E1214="","",IF(AND($B1214&gt;=Input!$C$9,$C1214=12,Summary!$D$31="Included Margin",$U1214&gt;0),1/U1214-1,IF($B1214&gt;=Input!$C$9,0,Input!$C$45*IF(Summary!$D$27="Included Margin",1,0))))</f>
        <v/>
      </c>
      <c r="AG1214" s="160" t="str">
        <f>IF(E1214="","",Input!$C$46*IF(Summary!$D$28="Included Margin",IF(AND($B1214&gt;Input!$C$9,Summary!$D$31&lt;&gt;"Included Margin"),0,1),0))</f>
        <v/>
      </c>
      <c r="AH1214" s="158" t="str">
        <f>IF(E1214="","",Input!$C$47*IF(Summary!$D$29="Included Margin",IF(AND($B1214&gt;Input!$C$9,Summary!$D$31&lt;&gt;"Included Margin"),0,1),0))</f>
        <v/>
      </c>
      <c r="AI1214" s="154"/>
      <c r="AJ1214" s="158" t="str">
        <f t="shared" si="774"/>
        <v/>
      </c>
      <c r="AK1214" s="150" t="str">
        <f t="shared" si="775"/>
        <v/>
      </c>
      <c r="AL1214" s="147" t="str">
        <f t="shared" si="776"/>
        <v/>
      </c>
      <c r="AM1214" s="147" t="str">
        <f t="shared" si="764"/>
        <v/>
      </c>
      <c r="AN1214" s="160" t="str">
        <f t="shared" si="777"/>
        <v/>
      </c>
      <c r="AO1214" s="161" t="str">
        <f t="shared" si="778"/>
        <v/>
      </c>
      <c r="AP1214" s="156" t="str">
        <f t="shared" si="765"/>
        <v/>
      </c>
      <c r="AQ1214" s="152"/>
      <c r="AR1214" s="162" t="str">
        <f t="shared" si="766"/>
        <v/>
      </c>
      <c r="AS1214" s="150" t="str">
        <f t="shared" si="779"/>
        <v/>
      </c>
      <c r="AT1214" s="163" t="str">
        <f t="shared" si="767"/>
        <v/>
      </c>
      <c r="AU1214" s="163" t="str">
        <f t="shared" si="768"/>
        <v/>
      </c>
      <c r="AV1214" s="163" t="str">
        <f t="shared" si="780"/>
        <v/>
      </c>
      <c r="AW1214" s="163" t="str">
        <f t="shared" si="769"/>
        <v/>
      </c>
      <c r="AX1214" s="163" t="str">
        <f t="shared" si="770"/>
        <v/>
      </c>
      <c r="AY1214" s="150" t="str">
        <f t="shared" si="781"/>
        <v/>
      </c>
      <c r="AZ1214" s="150" t="str">
        <f>IF($E1214="","",IF(OR(AND($D1214=Input!$C$6,$C1214=12),$AN1214=1),0,-AS1215+AT1215+AU1215-AV1215-AW1215-AX1215+AZ1215))</f>
        <v/>
      </c>
      <c r="BA1214" s="154" t="str">
        <f t="shared" si="771"/>
        <v/>
      </c>
      <c r="BC1214" s="147" t="str">
        <f t="shared" si="782"/>
        <v/>
      </c>
      <c r="BD1214" s="164" t="str">
        <f>IF(AND($C1213=12,$D1213=Input!$C$6),0,IF($E1214="","",AT1214+(AU1214+BD1215)/(1+$AK1214)*MIN((1-AM1214-AN1214),1)))</f>
        <v/>
      </c>
      <c r="BH1214" s="152"/>
      <c r="BI1214" s="162" t="str">
        <f t="shared" si="790"/>
        <v/>
      </c>
      <c r="BJ1214" s="150" t="str">
        <f t="shared" si="791"/>
        <v/>
      </c>
      <c r="BK1214" s="163" t="str">
        <f t="shared" si="787"/>
        <v/>
      </c>
      <c r="BL1214" s="163" t="str">
        <f t="shared" si="792"/>
        <v/>
      </c>
      <c r="BM1214" s="163" t="str">
        <f t="shared" si="788"/>
        <v/>
      </c>
      <c r="BN1214" s="163" t="str">
        <f t="shared" si="793"/>
        <v/>
      </c>
      <c r="BO1214" s="163" t="str">
        <f t="shared" si="794"/>
        <v/>
      </c>
      <c r="BP1214" s="150" t="str">
        <f t="shared" si="789"/>
        <v/>
      </c>
      <c r="BQ1214" s="150" t="str">
        <f t="shared" si="783"/>
        <v/>
      </c>
      <c r="BR1214" s="154" t="str">
        <f t="shared" si="795"/>
        <v/>
      </c>
      <c r="BT1214" s="147"/>
    </row>
    <row r="1215" spans="1:72" s="150" customFormat="1" x14ac:dyDescent="0.25">
      <c r="A1215" s="150" t="str">
        <f t="shared" si="784"/>
        <v/>
      </c>
      <c r="B1215" s="150" t="str">
        <f t="shared" si="785"/>
        <v/>
      </c>
      <c r="C1215" s="150" t="str">
        <f t="shared" si="786"/>
        <v/>
      </c>
      <c r="D1215" s="150" t="str">
        <f>IF(E1215="","",Input!$C$4+B1215-1)</f>
        <v/>
      </c>
      <c r="E1215" s="150" t="str">
        <f>IF(OR(AND(C1214=12,D1214=Input!$C$6),E1214=""),"",1)</f>
        <v/>
      </c>
      <c r="G1215" s="151" t="str">
        <f>IF(E1215="","",MAX(0,Input!$C$9-B1215))</f>
        <v/>
      </c>
      <c r="H1215" s="152" t="str">
        <f>IF(E1215="","",Input!$C$3)</f>
        <v/>
      </c>
      <c r="I1215" s="153" t="str">
        <f>IF(E1215="","",HLOOKUP($B1215,Input!$C$13:$BT$14,2))</f>
        <v/>
      </c>
      <c r="J1215" s="154"/>
      <c r="K1215" s="150" t="str">
        <f>IF($E1215="","",INDEX(Input!$C$16:$CP$16,1,$B1215))</f>
        <v/>
      </c>
      <c r="L1215" s="150" t="str">
        <f>IF($E1215="","",Input!$C$37)</f>
        <v/>
      </c>
      <c r="M1215" s="150" t="str">
        <f t="shared" si="772"/>
        <v/>
      </c>
      <c r="N1215" s="150" t="str">
        <f t="shared" si="773"/>
        <v/>
      </c>
      <c r="O1215" s="147" t="str">
        <f>IF($E1215="","",MIN(VLOOKUP(IF($B1215&lt;=Input!$C$7,$B1215,26),'Mortality Tables'!$A$41:$CW$67,IF($B1215&lt;=Input!$C$7+1,Input!$C$4+2,$D1215-Input!$C$7+2),0)*IF(B1215&gt;20,Input!$C$22,1)/1000,1))</f>
        <v/>
      </c>
      <c r="P1215" s="147" t="str">
        <f>IF($E1215="","",MIN(VLOOKUP(IF($B1215&lt;=Input!$C$7,$B1215,26),'Mortality Tables'!$A$12:$CW$37,IF($B1215&lt;=Input!$C$7+1,Input!$C$4+2,$D1215-Input!$C$7+2),0)*IF(B1215&gt;20,Input!$C$22,1)/1000,1))</f>
        <v/>
      </c>
      <c r="Q1215" s="155" t="str">
        <f>IF($E1215="","",Input!$C$21)</f>
        <v/>
      </c>
      <c r="R1215" s="159" t="str">
        <f>IF($E1215="","",(1-Q1215)^($F1215-Input!$C$20))</f>
        <v/>
      </c>
      <c r="S1215" s="147" t="str">
        <f t="shared" si="761"/>
        <v/>
      </c>
      <c r="T1215" s="147" t="str">
        <f t="shared" si="762"/>
        <v/>
      </c>
      <c r="U1215" s="160" t="str">
        <f>IF($E1215="","",IF($C1215=12,INDEX(Input!$C$15:$CP$15,1,$B1215),0))</f>
        <v/>
      </c>
      <c r="V1215" s="150" t="str">
        <f>IF(E1215="","",IF(C1215=1,IF($B1215=1,Input!$C$33,Input!$C$34),0))</f>
        <v/>
      </c>
      <c r="W1215" s="156" t="str">
        <f>IF($E1215="","",Input!$C$35)</f>
        <v/>
      </c>
      <c r="X1215" s="156" t="str">
        <f t="shared" si="763"/>
        <v/>
      </c>
      <c r="Y1215" s="154"/>
      <c r="Z1215" s="147" t="str">
        <f>IF($E1215="","",VLOOKUP($D1215,'Mortality Margins &amp; Grading'!$AB$5:$AF$125,3,0)*IF(Summary!$D$25="Included Margin",IF(AND($B1215&gt;Input!$C$9,Summary!$D$31&lt;&gt;"Included Margin"),0,1),0))</f>
        <v/>
      </c>
      <c r="AA1215" s="147" t="str">
        <f>IF($E1215="","",VLOOKUP($D1215,'Mortality Margins &amp; Grading'!$AB$5:$AF$125,5,0)*IF(Summary!$D$25="Included Margin",IF(AND($B1215&gt;Input!$C$9,Summary!$D$31&lt;&gt;"Included Margin"),0,1),0))</f>
        <v/>
      </c>
      <c r="AB1215" s="147" t="str">
        <f>IF($E1215="","",IF(AND($B1215&gt;Input!$C$9,Summary!$D$31&lt;&gt;"Included Margin"),1,IF(Summary!$D$25="Included Margin",VLOOKUP($B1215,'Mortality Margins &amp; Grading'!$AI$5:$AR$125,MATCH('Mortality Margins &amp; Grading'!$AQ$4,'Mortality Margins &amp; Grading'!$AI$4:$AR$4,0),0),1)))</f>
        <v/>
      </c>
      <c r="AC1215" s="154"/>
      <c r="AD1215" s="158" t="str">
        <f>IF(E1215="","",Input!$C$48*IF(Summary!$D$30="Included Margin",IF(AND($B1215&gt;Input!$C$9,Summary!$D$31&lt;&gt;"Included Margin"),0,1),0))</f>
        <v/>
      </c>
      <c r="AE1215" s="159" t="str">
        <f>IF(E1215="","",IF(Summary!$D$26="Included Margin",IF(AND($B1215&gt;Input!$C$9,Summary!$D$31&lt;&gt;"Included Margin"),1,1/$R1215),1))</f>
        <v/>
      </c>
      <c r="AF1215" s="160" t="str">
        <f>IF(E1215="","",IF(AND($B1215&gt;=Input!$C$9,$C1215=12,Summary!$D$31="Included Margin",$U1215&gt;0),1/U1215-1,IF($B1215&gt;=Input!$C$9,0,Input!$C$45*IF(Summary!$D$27="Included Margin",1,0))))</f>
        <v/>
      </c>
      <c r="AG1215" s="160" t="str">
        <f>IF(E1215="","",Input!$C$46*IF(Summary!$D$28="Included Margin",IF(AND($B1215&gt;Input!$C$9,Summary!$D$31&lt;&gt;"Included Margin"),0,1),0))</f>
        <v/>
      </c>
      <c r="AH1215" s="158" t="str">
        <f>IF(E1215="","",Input!$C$47*IF(Summary!$D$29="Included Margin",IF(AND($B1215&gt;Input!$C$9,Summary!$D$31&lt;&gt;"Included Margin"),0,1),0))</f>
        <v/>
      </c>
      <c r="AI1215" s="154"/>
      <c r="AJ1215" s="158" t="str">
        <f t="shared" si="774"/>
        <v/>
      </c>
      <c r="AK1215" s="150" t="str">
        <f t="shared" si="775"/>
        <v/>
      </c>
      <c r="AL1215" s="147" t="str">
        <f t="shared" si="776"/>
        <v/>
      </c>
      <c r="AM1215" s="147" t="str">
        <f t="shared" si="764"/>
        <v/>
      </c>
      <c r="AN1215" s="160" t="str">
        <f t="shared" si="777"/>
        <v/>
      </c>
      <c r="AO1215" s="161" t="str">
        <f t="shared" si="778"/>
        <v/>
      </c>
      <c r="AP1215" s="156" t="str">
        <f t="shared" si="765"/>
        <v/>
      </c>
      <c r="AQ1215" s="152"/>
      <c r="AR1215" s="162" t="str">
        <f t="shared" si="766"/>
        <v/>
      </c>
      <c r="AS1215" s="150" t="str">
        <f t="shared" si="779"/>
        <v/>
      </c>
      <c r="AT1215" s="163" t="str">
        <f t="shared" si="767"/>
        <v/>
      </c>
      <c r="AU1215" s="163" t="str">
        <f t="shared" si="768"/>
        <v/>
      </c>
      <c r="AV1215" s="163" t="str">
        <f t="shared" si="780"/>
        <v/>
      </c>
      <c r="AW1215" s="163" t="str">
        <f t="shared" si="769"/>
        <v/>
      </c>
      <c r="AX1215" s="163" t="str">
        <f t="shared" si="770"/>
        <v/>
      </c>
      <c r="AY1215" s="150" t="str">
        <f t="shared" si="781"/>
        <v/>
      </c>
      <c r="AZ1215" s="150" t="str">
        <f>IF($E1215="","",IF(OR(AND($D1215=Input!$C$6,$C1215=12),$AN1215=1),0,-AS1216+AT1216+AU1216-AV1216-AW1216-AX1216+AZ1216))</f>
        <v/>
      </c>
      <c r="BA1215" s="154" t="str">
        <f t="shared" si="771"/>
        <v/>
      </c>
      <c r="BC1215" s="147" t="str">
        <f t="shared" si="782"/>
        <v/>
      </c>
      <c r="BD1215" s="164" t="str">
        <f>IF(AND($C1214=12,$D1214=Input!$C$6),0,IF($E1215="","",AT1215+(AU1215+BD1216)/(1+$AK1215)*MIN((1-AM1215-AN1215),1)))</f>
        <v/>
      </c>
      <c r="BH1215" s="152"/>
      <c r="BI1215" s="162" t="str">
        <f t="shared" si="790"/>
        <v/>
      </c>
      <c r="BJ1215" s="150" t="str">
        <f t="shared" si="791"/>
        <v/>
      </c>
      <c r="BK1215" s="163" t="str">
        <f t="shared" si="787"/>
        <v/>
      </c>
      <c r="BL1215" s="163" t="str">
        <f t="shared" si="792"/>
        <v/>
      </c>
      <c r="BM1215" s="163" t="str">
        <f t="shared" si="788"/>
        <v/>
      </c>
      <c r="BN1215" s="163" t="str">
        <f t="shared" si="793"/>
        <v/>
      </c>
      <c r="BO1215" s="163" t="str">
        <f t="shared" si="794"/>
        <v/>
      </c>
      <c r="BP1215" s="150" t="str">
        <f t="shared" si="789"/>
        <v/>
      </c>
      <c r="BQ1215" s="150" t="str">
        <f t="shared" si="783"/>
        <v/>
      </c>
      <c r="BR1215" s="154" t="str">
        <f t="shared" si="795"/>
        <v/>
      </c>
      <c r="BT1215" s="147"/>
    </row>
    <row r="1216" spans="1:72" s="150" customFormat="1" x14ac:dyDescent="0.25">
      <c r="A1216" s="150" t="str">
        <f t="shared" si="784"/>
        <v/>
      </c>
      <c r="B1216" s="150" t="str">
        <f t="shared" si="785"/>
        <v/>
      </c>
      <c r="C1216" s="150" t="str">
        <f t="shared" si="786"/>
        <v/>
      </c>
      <c r="D1216" s="150" t="str">
        <f>IF(E1216="","",Input!$C$4+B1216-1)</f>
        <v/>
      </c>
      <c r="E1216" s="150" t="str">
        <f>IF(OR(AND(C1215=12,D1215=Input!$C$6),E1215=""),"",1)</f>
        <v/>
      </c>
      <c r="G1216" s="151" t="str">
        <f>IF(E1216="","",MAX(0,Input!$C$9-B1216))</f>
        <v/>
      </c>
      <c r="H1216" s="152" t="str">
        <f>IF(E1216="","",Input!$C$3)</f>
        <v/>
      </c>
      <c r="I1216" s="153" t="str">
        <f>IF(E1216="","",HLOOKUP($B1216,Input!$C$13:$BT$14,2))</f>
        <v/>
      </c>
      <c r="J1216" s="154"/>
      <c r="K1216" s="150" t="str">
        <f>IF($E1216="","",INDEX(Input!$C$16:$CP$16,1,$B1216))</f>
        <v/>
      </c>
      <c r="L1216" s="150" t="str">
        <f>IF($E1216="","",Input!$C$37)</f>
        <v/>
      </c>
      <c r="M1216" s="150" t="str">
        <f t="shared" si="772"/>
        <v/>
      </c>
      <c r="N1216" s="150" t="str">
        <f t="shared" si="773"/>
        <v/>
      </c>
      <c r="O1216" s="147" t="str">
        <f>IF($E1216="","",MIN(VLOOKUP(IF($B1216&lt;=Input!$C$7,$B1216,26),'Mortality Tables'!$A$41:$CW$67,IF($B1216&lt;=Input!$C$7+1,Input!$C$4+2,$D1216-Input!$C$7+2),0)*IF(B1216&gt;20,Input!$C$22,1)/1000,1))</f>
        <v/>
      </c>
      <c r="P1216" s="147" t="str">
        <f>IF($E1216="","",MIN(VLOOKUP(IF($B1216&lt;=Input!$C$7,$B1216,26),'Mortality Tables'!$A$12:$CW$37,IF($B1216&lt;=Input!$C$7+1,Input!$C$4+2,$D1216-Input!$C$7+2),0)*IF(B1216&gt;20,Input!$C$22,1)/1000,1))</f>
        <v/>
      </c>
      <c r="Q1216" s="155" t="str">
        <f>IF($E1216="","",Input!$C$21)</f>
        <v/>
      </c>
      <c r="R1216" s="159" t="str">
        <f>IF($E1216="","",(1-Q1216)^($F1216-Input!$C$20))</f>
        <v/>
      </c>
      <c r="S1216" s="147" t="str">
        <f t="shared" si="761"/>
        <v/>
      </c>
      <c r="T1216" s="147" t="str">
        <f t="shared" si="762"/>
        <v/>
      </c>
      <c r="U1216" s="160" t="str">
        <f>IF($E1216="","",IF($C1216=12,INDEX(Input!$C$15:$CP$15,1,$B1216),0))</f>
        <v/>
      </c>
      <c r="V1216" s="150" t="str">
        <f>IF(E1216="","",IF(C1216=1,IF($B1216=1,Input!$C$33,Input!$C$34),0))</f>
        <v/>
      </c>
      <c r="W1216" s="156" t="str">
        <f>IF($E1216="","",Input!$C$35)</f>
        <v/>
      </c>
      <c r="X1216" s="156" t="str">
        <f t="shared" si="763"/>
        <v/>
      </c>
      <c r="Y1216" s="154"/>
      <c r="Z1216" s="147" t="str">
        <f>IF($E1216="","",VLOOKUP($D1216,'Mortality Margins &amp; Grading'!$AB$5:$AF$125,3,0)*IF(Summary!$D$25="Included Margin",IF(AND($B1216&gt;Input!$C$9,Summary!$D$31&lt;&gt;"Included Margin"),0,1),0))</f>
        <v/>
      </c>
      <c r="AA1216" s="147" t="str">
        <f>IF($E1216="","",VLOOKUP($D1216,'Mortality Margins &amp; Grading'!$AB$5:$AF$125,5,0)*IF(Summary!$D$25="Included Margin",IF(AND($B1216&gt;Input!$C$9,Summary!$D$31&lt;&gt;"Included Margin"),0,1),0))</f>
        <v/>
      </c>
      <c r="AB1216" s="147" t="str">
        <f>IF($E1216="","",IF(AND($B1216&gt;Input!$C$9,Summary!$D$31&lt;&gt;"Included Margin"),1,IF(Summary!$D$25="Included Margin",VLOOKUP($B1216,'Mortality Margins &amp; Grading'!$AI$5:$AR$125,MATCH('Mortality Margins &amp; Grading'!$AQ$4,'Mortality Margins &amp; Grading'!$AI$4:$AR$4,0),0),1)))</f>
        <v/>
      </c>
      <c r="AC1216" s="154"/>
      <c r="AD1216" s="158" t="str">
        <f>IF(E1216="","",Input!$C$48*IF(Summary!$D$30="Included Margin",IF(AND($B1216&gt;Input!$C$9,Summary!$D$31&lt;&gt;"Included Margin"),0,1),0))</f>
        <v/>
      </c>
      <c r="AE1216" s="159" t="str">
        <f>IF(E1216="","",IF(Summary!$D$26="Included Margin",IF(AND($B1216&gt;Input!$C$9,Summary!$D$31&lt;&gt;"Included Margin"),1,1/$R1216),1))</f>
        <v/>
      </c>
      <c r="AF1216" s="160" t="str">
        <f>IF(E1216="","",IF(AND($B1216&gt;=Input!$C$9,$C1216=12,Summary!$D$31="Included Margin",$U1216&gt;0),1/U1216-1,IF($B1216&gt;=Input!$C$9,0,Input!$C$45*IF(Summary!$D$27="Included Margin",1,0))))</f>
        <v/>
      </c>
      <c r="AG1216" s="160" t="str">
        <f>IF(E1216="","",Input!$C$46*IF(Summary!$D$28="Included Margin",IF(AND($B1216&gt;Input!$C$9,Summary!$D$31&lt;&gt;"Included Margin"),0,1),0))</f>
        <v/>
      </c>
      <c r="AH1216" s="158" t="str">
        <f>IF(E1216="","",Input!$C$47*IF(Summary!$D$29="Included Margin",IF(AND($B1216&gt;Input!$C$9,Summary!$D$31&lt;&gt;"Included Margin"),0,1),0))</f>
        <v/>
      </c>
      <c r="AI1216" s="154"/>
      <c r="AJ1216" s="158" t="str">
        <f t="shared" si="774"/>
        <v/>
      </c>
      <c r="AK1216" s="150" t="str">
        <f t="shared" si="775"/>
        <v/>
      </c>
      <c r="AL1216" s="147" t="str">
        <f t="shared" si="776"/>
        <v/>
      </c>
      <c r="AM1216" s="147" t="str">
        <f t="shared" si="764"/>
        <v/>
      </c>
      <c r="AN1216" s="160" t="str">
        <f t="shared" si="777"/>
        <v/>
      </c>
      <c r="AO1216" s="161" t="str">
        <f t="shared" si="778"/>
        <v/>
      </c>
      <c r="AP1216" s="156" t="str">
        <f t="shared" si="765"/>
        <v/>
      </c>
      <c r="AQ1216" s="152"/>
      <c r="AR1216" s="162" t="str">
        <f t="shared" si="766"/>
        <v/>
      </c>
      <c r="AS1216" s="150" t="str">
        <f t="shared" si="779"/>
        <v/>
      </c>
      <c r="AT1216" s="163" t="str">
        <f t="shared" si="767"/>
        <v/>
      </c>
      <c r="AU1216" s="163" t="str">
        <f t="shared" si="768"/>
        <v/>
      </c>
      <c r="AV1216" s="163" t="str">
        <f t="shared" si="780"/>
        <v/>
      </c>
      <c r="AW1216" s="163" t="str">
        <f t="shared" si="769"/>
        <v/>
      </c>
      <c r="AX1216" s="163" t="str">
        <f t="shared" si="770"/>
        <v/>
      </c>
      <c r="AY1216" s="150" t="str">
        <f t="shared" si="781"/>
        <v/>
      </c>
      <c r="AZ1216" s="150" t="str">
        <f>IF($E1216="","",IF(OR(AND($D1216=Input!$C$6,$C1216=12),$AN1216=1),0,-AS1217+AT1217+AU1217-AV1217-AW1217-AX1217+AZ1217))</f>
        <v/>
      </c>
      <c r="BA1216" s="154" t="str">
        <f t="shared" si="771"/>
        <v/>
      </c>
      <c r="BC1216" s="147" t="str">
        <f t="shared" si="782"/>
        <v/>
      </c>
      <c r="BD1216" s="164" t="str">
        <f>IF(AND($C1215=12,$D1215=Input!$C$6),0,IF($E1216="","",AT1216+(AU1216+BD1217)/(1+$AK1216)*MIN((1-AM1216-AN1216),1)))</f>
        <v/>
      </c>
      <c r="BH1216" s="152"/>
      <c r="BI1216" s="162" t="str">
        <f t="shared" si="790"/>
        <v/>
      </c>
      <c r="BJ1216" s="150" t="str">
        <f t="shared" si="791"/>
        <v/>
      </c>
      <c r="BK1216" s="163" t="str">
        <f t="shared" si="787"/>
        <v/>
      </c>
      <c r="BL1216" s="163" t="str">
        <f t="shared" si="792"/>
        <v/>
      </c>
      <c r="BM1216" s="163" t="str">
        <f t="shared" si="788"/>
        <v/>
      </c>
      <c r="BN1216" s="163" t="str">
        <f t="shared" si="793"/>
        <v/>
      </c>
      <c r="BO1216" s="163" t="str">
        <f t="shared" si="794"/>
        <v/>
      </c>
      <c r="BP1216" s="150" t="str">
        <f t="shared" si="789"/>
        <v/>
      </c>
      <c r="BQ1216" s="150" t="str">
        <f t="shared" si="783"/>
        <v/>
      </c>
      <c r="BR1216" s="154" t="str">
        <f t="shared" si="795"/>
        <v/>
      </c>
      <c r="BT1216" s="147"/>
    </row>
    <row r="1217" spans="1:72" s="150" customFormat="1" x14ac:dyDescent="0.25">
      <c r="A1217" s="150" t="str">
        <f t="shared" si="784"/>
        <v/>
      </c>
      <c r="B1217" s="150" t="str">
        <f t="shared" si="785"/>
        <v/>
      </c>
      <c r="C1217" s="150" t="str">
        <f t="shared" si="786"/>
        <v/>
      </c>
      <c r="D1217" s="150" t="str">
        <f>IF(E1217="","",Input!$C$4+B1217-1)</f>
        <v/>
      </c>
      <c r="E1217" s="150" t="str">
        <f>IF(OR(AND(C1216=12,D1216=Input!$C$6),E1216=""),"",1)</f>
        <v/>
      </c>
      <c r="G1217" s="151" t="str">
        <f>IF(E1217="","",MAX(0,Input!$C$9-B1217))</f>
        <v/>
      </c>
      <c r="H1217" s="152" t="str">
        <f>IF(E1217="","",Input!$C$3)</f>
        <v/>
      </c>
      <c r="I1217" s="153" t="str">
        <f>IF(E1217="","",HLOOKUP($B1217,Input!$C$13:$BT$14,2))</f>
        <v/>
      </c>
      <c r="J1217" s="154"/>
      <c r="K1217" s="150" t="str">
        <f>IF($E1217="","",INDEX(Input!$C$16:$CP$16,1,$B1217))</f>
        <v/>
      </c>
      <c r="L1217" s="150" t="str">
        <f>IF($E1217="","",Input!$C$37)</f>
        <v/>
      </c>
      <c r="M1217" s="150" t="str">
        <f t="shared" si="772"/>
        <v/>
      </c>
      <c r="N1217" s="150" t="str">
        <f t="shared" si="773"/>
        <v/>
      </c>
      <c r="O1217" s="147" t="str">
        <f>IF($E1217="","",MIN(VLOOKUP(IF($B1217&lt;=Input!$C$7,$B1217,26),'Mortality Tables'!$A$41:$CW$67,IF($B1217&lt;=Input!$C$7+1,Input!$C$4+2,$D1217-Input!$C$7+2),0)*IF(B1217&gt;20,Input!$C$22,1)/1000,1))</f>
        <v/>
      </c>
      <c r="P1217" s="147" t="str">
        <f>IF($E1217="","",MIN(VLOOKUP(IF($B1217&lt;=Input!$C$7,$B1217,26),'Mortality Tables'!$A$12:$CW$37,IF($B1217&lt;=Input!$C$7+1,Input!$C$4+2,$D1217-Input!$C$7+2),0)*IF(B1217&gt;20,Input!$C$22,1)/1000,1))</f>
        <v/>
      </c>
      <c r="Q1217" s="155" t="str">
        <f>IF($E1217="","",Input!$C$21)</f>
        <v/>
      </c>
      <c r="R1217" s="159" t="str">
        <f>IF($E1217="","",(1-Q1217)^($F1217-Input!$C$20))</f>
        <v/>
      </c>
      <c r="S1217" s="147" t="str">
        <f t="shared" si="761"/>
        <v/>
      </c>
      <c r="T1217" s="147" t="str">
        <f t="shared" si="762"/>
        <v/>
      </c>
      <c r="U1217" s="160" t="str">
        <f>IF($E1217="","",IF($C1217=12,INDEX(Input!$C$15:$CP$15,1,$B1217),0))</f>
        <v/>
      </c>
      <c r="V1217" s="150" t="str">
        <f>IF(E1217="","",IF(C1217=1,IF($B1217=1,Input!$C$33,Input!$C$34),0))</f>
        <v/>
      </c>
      <c r="W1217" s="156" t="str">
        <f>IF($E1217="","",Input!$C$35)</f>
        <v/>
      </c>
      <c r="X1217" s="156" t="str">
        <f t="shared" si="763"/>
        <v/>
      </c>
      <c r="Y1217" s="154"/>
      <c r="Z1217" s="147" t="str">
        <f>IF($E1217="","",VLOOKUP($D1217,'Mortality Margins &amp; Grading'!$AB$5:$AF$125,3,0)*IF(Summary!$D$25="Included Margin",IF(AND($B1217&gt;Input!$C$9,Summary!$D$31&lt;&gt;"Included Margin"),0,1),0))</f>
        <v/>
      </c>
      <c r="AA1217" s="147" t="str">
        <f>IF($E1217="","",VLOOKUP($D1217,'Mortality Margins &amp; Grading'!$AB$5:$AF$125,5,0)*IF(Summary!$D$25="Included Margin",IF(AND($B1217&gt;Input!$C$9,Summary!$D$31&lt;&gt;"Included Margin"),0,1),0))</f>
        <v/>
      </c>
      <c r="AB1217" s="147" t="str">
        <f>IF($E1217="","",IF(AND($B1217&gt;Input!$C$9,Summary!$D$31&lt;&gt;"Included Margin"),1,IF(Summary!$D$25="Included Margin",VLOOKUP($B1217,'Mortality Margins &amp; Grading'!$AI$5:$AR$125,MATCH('Mortality Margins &amp; Grading'!$AQ$4,'Mortality Margins &amp; Grading'!$AI$4:$AR$4,0),0),1)))</f>
        <v/>
      </c>
      <c r="AC1217" s="154"/>
      <c r="AD1217" s="158" t="str">
        <f>IF(E1217="","",Input!$C$48*IF(Summary!$D$30="Included Margin",IF(AND($B1217&gt;Input!$C$9,Summary!$D$31&lt;&gt;"Included Margin"),0,1),0))</f>
        <v/>
      </c>
      <c r="AE1217" s="159" t="str">
        <f>IF(E1217="","",IF(Summary!$D$26="Included Margin",IF(AND($B1217&gt;Input!$C$9,Summary!$D$31&lt;&gt;"Included Margin"),1,1/$R1217),1))</f>
        <v/>
      </c>
      <c r="AF1217" s="160" t="str">
        <f>IF(E1217="","",IF(AND($B1217&gt;=Input!$C$9,$C1217=12,Summary!$D$31="Included Margin",$U1217&gt;0),1/U1217-1,IF($B1217&gt;=Input!$C$9,0,Input!$C$45*IF(Summary!$D$27="Included Margin",1,0))))</f>
        <v/>
      </c>
      <c r="AG1217" s="160" t="str">
        <f>IF(E1217="","",Input!$C$46*IF(Summary!$D$28="Included Margin",IF(AND($B1217&gt;Input!$C$9,Summary!$D$31&lt;&gt;"Included Margin"),0,1),0))</f>
        <v/>
      </c>
      <c r="AH1217" s="158" t="str">
        <f>IF(E1217="","",Input!$C$47*IF(Summary!$D$29="Included Margin",IF(AND($B1217&gt;Input!$C$9,Summary!$D$31&lt;&gt;"Included Margin"),0,1),0))</f>
        <v/>
      </c>
      <c r="AI1217" s="154"/>
      <c r="AJ1217" s="158" t="str">
        <f t="shared" si="774"/>
        <v/>
      </c>
      <c r="AK1217" s="150" t="str">
        <f t="shared" si="775"/>
        <v/>
      </c>
      <c r="AL1217" s="147" t="str">
        <f t="shared" si="776"/>
        <v/>
      </c>
      <c r="AM1217" s="147" t="str">
        <f t="shared" si="764"/>
        <v/>
      </c>
      <c r="AN1217" s="160" t="str">
        <f t="shared" si="777"/>
        <v/>
      </c>
      <c r="AO1217" s="161" t="str">
        <f t="shared" si="778"/>
        <v/>
      </c>
      <c r="AP1217" s="156" t="str">
        <f t="shared" si="765"/>
        <v/>
      </c>
      <c r="AQ1217" s="152"/>
      <c r="AR1217" s="162" t="str">
        <f t="shared" si="766"/>
        <v/>
      </c>
      <c r="AS1217" s="150" t="str">
        <f t="shared" si="779"/>
        <v/>
      </c>
      <c r="AT1217" s="163" t="str">
        <f t="shared" si="767"/>
        <v/>
      </c>
      <c r="AU1217" s="163" t="str">
        <f t="shared" si="768"/>
        <v/>
      </c>
      <c r="AV1217" s="163" t="str">
        <f t="shared" si="780"/>
        <v/>
      </c>
      <c r="AW1217" s="163" t="str">
        <f t="shared" si="769"/>
        <v/>
      </c>
      <c r="AX1217" s="163" t="str">
        <f t="shared" si="770"/>
        <v/>
      </c>
      <c r="AY1217" s="150" t="str">
        <f t="shared" si="781"/>
        <v/>
      </c>
      <c r="AZ1217" s="150" t="str">
        <f>IF($E1217="","",IF(OR(AND($D1217=Input!$C$6,$C1217=12),$AN1217=1),0,-AS1218+AT1218+AU1218-AV1218-AW1218-AX1218+AZ1218))</f>
        <v/>
      </c>
      <c r="BA1217" s="154" t="str">
        <f t="shared" si="771"/>
        <v/>
      </c>
      <c r="BC1217" s="147" t="str">
        <f t="shared" si="782"/>
        <v/>
      </c>
      <c r="BD1217" s="164" t="str">
        <f>IF(AND($C1216=12,$D1216=Input!$C$6),0,IF($E1217="","",AT1217+(AU1217+BD1218)/(1+$AK1217)*MIN((1-AM1217-AN1217),1)))</f>
        <v/>
      </c>
      <c r="BH1217" s="152"/>
      <c r="BI1217" s="162" t="str">
        <f t="shared" si="790"/>
        <v/>
      </c>
      <c r="BJ1217" s="150" t="str">
        <f t="shared" si="791"/>
        <v/>
      </c>
      <c r="BK1217" s="163" t="str">
        <f t="shared" si="787"/>
        <v/>
      </c>
      <c r="BL1217" s="163" t="str">
        <f t="shared" si="792"/>
        <v/>
      </c>
      <c r="BM1217" s="163" t="str">
        <f t="shared" si="788"/>
        <v/>
      </c>
      <c r="BN1217" s="163" t="str">
        <f t="shared" si="793"/>
        <v/>
      </c>
      <c r="BO1217" s="163" t="str">
        <f t="shared" si="794"/>
        <v/>
      </c>
      <c r="BP1217" s="150" t="str">
        <f t="shared" si="789"/>
        <v/>
      </c>
      <c r="BQ1217" s="150" t="str">
        <f t="shared" si="783"/>
        <v/>
      </c>
      <c r="BR1217" s="154" t="str">
        <f t="shared" si="795"/>
        <v/>
      </c>
      <c r="BT1217" s="147"/>
    </row>
    <row r="1218" spans="1:72" s="150" customFormat="1" x14ac:dyDescent="0.25">
      <c r="A1218" s="150" t="str">
        <f t="shared" si="784"/>
        <v/>
      </c>
      <c r="B1218" s="150" t="str">
        <f t="shared" si="785"/>
        <v/>
      </c>
      <c r="C1218" s="150" t="str">
        <f t="shared" si="786"/>
        <v/>
      </c>
      <c r="D1218" s="150" t="str">
        <f>IF(E1218="","",Input!$C$4+B1218-1)</f>
        <v/>
      </c>
      <c r="E1218" s="150" t="str">
        <f>IF(OR(AND(C1217=12,D1217=Input!$C$6),E1217=""),"",1)</f>
        <v/>
      </c>
      <c r="G1218" s="151" t="str">
        <f>IF(E1218="","",MAX(0,Input!$C$9-B1218))</f>
        <v/>
      </c>
      <c r="H1218" s="152" t="str">
        <f>IF(E1218="","",Input!$C$3)</f>
        <v/>
      </c>
      <c r="I1218" s="153" t="str">
        <f>IF(E1218="","",HLOOKUP($B1218,Input!$C$13:$BT$14,2))</f>
        <v/>
      </c>
      <c r="J1218" s="154"/>
      <c r="K1218" s="150" t="str">
        <f>IF($E1218="","",INDEX(Input!$C$16:$CP$16,1,$B1218))</f>
        <v/>
      </c>
      <c r="L1218" s="150" t="str">
        <f>IF($E1218="","",Input!$C$37)</f>
        <v/>
      </c>
      <c r="M1218" s="150" t="str">
        <f t="shared" si="772"/>
        <v/>
      </c>
      <c r="N1218" s="150" t="str">
        <f t="shared" si="773"/>
        <v/>
      </c>
      <c r="O1218" s="147" t="str">
        <f>IF($E1218="","",MIN(VLOOKUP(IF($B1218&lt;=Input!$C$7,$B1218,26),'Mortality Tables'!$A$41:$CW$67,IF($B1218&lt;=Input!$C$7+1,Input!$C$4+2,$D1218-Input!$C$7+2),0)*IF(B1218&gt;20,Input!$C$22,1)/1000,1))</f>
        <v/>
      </c>
      <c r="P1218" s="147" t="str">
        <f>IF($E1218="","",MIN(VLOOKUP(IF($B1218&lt;=Input!$C$7,$B1218,26),'Mortality Tables'!$A$12:$CW$37,IF($B1218&lt;=Input!$C$7+1,Input!$C$4+2,$D1218-Input!$C$7+2),0)*IF(B1218&gt;20,Input!$C$22,1)/1000,1))</f>
        <v/>
      </c>
      <c r="Q1218" s="155" t="str">
        <f>IF($E1218="","",Input!$C$21)</f>
        <v/>
      </c>
      <c r="R1218" s="159" t="str">
        <f>IF($E1218="","",(1-Q1218)^($F1218-Input!$C$20))</f>
        <v/>
      </c>
      <c r="S1218" s="147" t="str">
        <f t="shared" si="761"/>
        <v/>
      </c>
      <c r="T1218" s="147" t="str">
        <f t="shared" si="762"/>
        <v/>
      </c>
      <c r="U1218" s="160" t="str">
        <f>IF($E1218="","",IF($C1218=12,INDEX(Input!$C$15:$CP$15,1,$B1218),0))</f>
        <v/>
      </c>
      <c r="V1218" s="150" t="str">
        <f>IF(E1218="","",IF(C1218=1,IF($B1218=1,Input!$C$33,Input!$C$34),0))</f>
        <v/>
      </c>
      <c r="W1218" s="156" t="str">
        <f>IF($E1218="","",Input!$C$35)</f>
        <v/>
      </c>
      <c r="X1218" s="156" t="str">
        <f t="shared" si="763"/>
        <v/>
      </c>
      <c r="Y1218" s="154"/>
      <c r="Z1218" s="147" t="str">
        <f>IF($E1218="","",VLOOKUP($D1218,'Mortality Margins &amp; Grading'!$AB$5:$AF$125,3,0)*IF(Summary!$D$25="Included Margin",IF(AND($B1218&gt;Input!$C$9,Summary!$D$31&lt;&gt;"Included Margin"),0,1),0))</f>
        <v/>
      </c>
      <c r="AA1218" s="147" t="str">
        <f>IF($E1218="","",VLOOKUP($D1218,'Mortality Margins &amp; Grading'!$AB$5:$AF$125,5,0)*IF(Summary!$D$25="Included Margin",IF(AND($B1218&gt;Input!$C$9,Summary!$D$31&lt;&gt;"Included Margin"),0,1),0))</f>
        <v/>
      </c>
      <c r="AB1218" s="147" t="str">
        <f>IF($E1218="","",IF(AND($B1218&gt;Input!$C$9,Summary!$D$31&lt;&gt;"Included Margin"),1,IF(Summary!$D$25="Included Margin",VLOOKUP($B1218,'Mortality Margins &amp; Grading'!$AI$5:$AR$125,MATCH('Mortality Margins &amp; Grading'!$AQ$4,'Mortality Margins &amp; Grading'!$AI$4:$AR$4,0),0),1)))</f>
        <v/>
      </c>
      <c r="AC1218" s="154"/>
      <c r="AD1218" s="158" t="str">
        <f>IF(E1218="","",Input!$C$48*IF(Summary!$D$30="Included Margin",IF(AND($B1218&gt;Input!$C$9,Summary!$D$31&lt;&gt;"Included Margin"),0,1),0))</f>
        <v/>
      </c>
      <c r="AE1218" s="159" t="str">
        <f>IF(E1218="","",IF(Summary!$D$26="Included Margin",IF(AND($B1218&gt;Input!$C$9,Summary!$D$31&lt;&gt;"Included Margin"),1,1/$R1218),1))</f>
        <v/>
      </c>
      <c r="AF1218" s="160" t="str">
        <f>IF(E1218="","",IF(AND($B1218&gt;=Input!$C$9,$C1218=12,Summary!$D$31="Included Margin",$U1218&gt;0),1/U1218-1,IF($B1218&gt;=Input!$C$9,0,Input!$C$45*IF(Summary!$D$27="Included Margin",1,0))))</f>
        <v/>
      </c>
      <c r="AG1218" s="160" t="str">
        <f>IF(E1218="","",Input!$C$46*IF(Summary!$D$28="Included Margin",IF(AND($B1218&gt;Input!$C$9,Summary!$D$31&lt;&gt;"Included Margin"),0,1),0))</f>
        <v/>
      </c>
      <c r="AH1218" s="158" t="str">
        <f>IF(E1218="","",Input!$C$47*IF(Summary!$D$29="Included Margin",IF(AND($B1218&gt;Input!$C$9,Summary!$D$31&lt;&gt;"Included Margin"),0,1),0))</f>
        <v/>
      </c>
      <c r="AI1218" s="154"/>
      <c r="AJ1218" s="158" t="str">
        <f t="shared" si="774"/>
        <v/>
      </c>
      <c r="AK1218" s="150" t="str">
        <f t="shared" si="775"/>
        <v/>
      </c>
      <c r="AL1218" s="147" t="str">
        <f t="shared" si="776"/>
        <v/>
      </c>
      <c r="AM1218" s="147" t="str">
        <f t="shared" si="764"/>
        <v/>
      </c>
      <c r="AN1218" s="160" t="str">
        <f t="shared" si="777"/>
        <v/>
      </c>
      <c r="AO1218" s="161" t="str">
        <f t="shared" si="778"/>
        <v/>
      </c>
      <c r="AP1218" s="156" t="str">
        <f t="shared" si="765"/>
        <v/>
      </c>
      <c r="AQ1218" s="152"/>
      <c r="AR1218" s="162" t="str">
        <f t="shared" si="766"/>
        <v/>
      </c>
      <c r="AS1218" s="150" t="str">
        <f t="shared" si="779"/>
        <v/>
      </c>
      <c r="AT1218" s="163" t="str">
        <f t="shared" si="767"/>
        <v/>
      </c>
      <c r="AU1218" s="163" t="str">
        <f t="shared" si="768"/>
        <v/>
      </c>
      <c r="AV1218" s="163" t="str">
        <f t="shared" si="780"/>
        <v/>
      </c>
      <c r="AW1218" s="163" t="str">
        <f t="shared" si="769"/>
        <v/>
      </c>
      <c r="AX1218" s="163" t="str">
        <f t="shared" si="770"/>
        <v/>
      </c>
      <c r="AY1218" s="150" t="str">
        <f t="shared" si="781"/>
        <v/>
      </c>
      <c r="AZ1218" s="150" t="str">
        <f>IF($E1218="","",IF(OR(AND($D1218=Input!$C$6,$C1218=12),$AN1218=1),0,-AS1219+AT1219+AU1219-AV1219-AW1219-AX1219+AZ1219))</f>
        <v/>
      </c>
      <c r="BA1218" s="154" t="str">
        <f t="shared" si="771"/>
        <v/>
      </c>
      <c r="BC1218" s="147" t="str">
        <f t="shared" si="782"/>
        <v/>
      </c>
      <c r="BD1218" s="164" t="str">
        <f>IF(AND($C1217=12,$D1217=Input!$C$6),0,IF($E1218="","",AT1218+(AU1218+BD1219)/(1+$AK1218)*MIN((1-AM1218-AN1218),1)))</f>
        <v/>
      </c>
      <c r="BH1218" s="152"/>
      <c r="BI1218" s="162" t="str">
        <f t="shared" si="790"/>
        <v/>
      </c>
      <c r="BJ1218" s="150" t="str">
        <f t="shared" si="791"/>
        <v/>
      </c>
      <c r="BK1218" s="163" t="str">
        <f t="shared" si="787"/>
        <v/>
      </c>
      <c r="BL1218" s="163" t="str">
        <f t="shared" si="792"/>
        <v/>
      </c>
      <c r="BM1218" s="163" t="str">
        <f t="shared" si="788"/>
        <v/>
      </c>
      <c r="BN1218" s="163" t="str">
        <f t="shared" si="793"/>
        <v/>
      </c>
      <c r="BO1218" s="163" t="str">
        <f t="shared" si="794"/>
        <v/>
      </c>
      <c r="BP1218" s="150" t="str">
        <f t="shared" si="789"/>
        <v/>
      </c>
      <c r="BQ1218" s="150" t="str">
        <f t="shared" si="783"/>
        <v/>
      </c>
      <c r="BR1218" s="154" t="str">
        <f t="shared" si="795"/>
        <v/>
      </c>
      <c r="BT1218" s="147"/>
    </row>
    <row r="1219" spans="1:72" s="150" customFormat="1" x14ac:dyDescent="0.25">
      <c r="A1219" s="150" t="str">
        <f t="shared" si="784"/>
        <v/>
      </c>
      <c r="B1219" s="150" t="str">
        <f t="shared" si="785"/>
        <v/>
      </c>
      <c r="C1219" s="150" t="str">
        <f t="shared" si="786"/>
        <v/>
      </c>
      <c r="D1219" s="150" t="str">
        <f>IF(E1219="","",Input!$C$4+B1219-1)</f>
        <v/>
      </c>
      <c r="E1219" s="150" t="str">
        <f>IF(OR(AND(C1218=12,D1218=Input!$C$6),E1218=""),"",1)</f>
        <v/>
      </c>
      <c r="G1219" s="151" t="str">
        <f>IF(E1219="","",MAX(0,Input!$C$9-B1219))</f>
        <v/>
      </c>
      <c r="H1219" s="152" t="str">
        <f>IF(E1219="","",Input!$C$3)</f>
        <v/>
      </c>
      <c r="I1219" s="153" t="str">
        <f>IF(E1219="","",HLOOKUP($B1219,Input!$C$13:$BT$14,2))</f>
        <v/>
      </c>
      <c r="J1219" s="154"/>
      <c r="K1219" s="150" t="str">
        <f>IF($E1219="","",INDEX(Input!$C$16:$CP$16,1,$B1219))</f>
        <v/>
      </c>
      <c r="L1219" s="150" t="str">
        <f>IF($E1219="","",Input!$C$37)</f>
        <v/>
      </c>
      <c r="M1219" s="150" t="str">
        <f t="shared" si="772"/>
        <v/>
      </c>
      <c r="N1219" s="150" t="str">
        <f t="shared" si="773"/>
        <v/>
      </c>
      <c r="O1219" s="147" t="str">
        <f>IF($E1219="","",MIN(VLOOKUP(IF($B1219&lt;=Input!$C$7,$B1219,26),'Mortality Tables'!$A$41:$CW$67,IF($B1219&lt;=Input!$C$7+1,Input!$C$4+2,$D1219-Input!$C$7+2),0)*IF(B1219&gt;20,Input!$C$22,1)/1000,1))</f>
        <v/>
      </c>
      <c r="P1219" s="147" t="str">
        <f>IF($E1219="","",MIN(VLOOKUP(IF($B1219&lt;=Input!$C$7,$B1219,26),'Mortality Tables'!$A$12:$CW$37,IF($B1219&lt;=Input!$C$7+1,Input!$C$4+2,$D1219-Input!$C$7+2),0)*IF(B1219&gt;20,Input!$C$22,1)/1000,1))</f>
        <v/>
      </c>
      <c r="Q1219" s="155" t="str">
        <f>IF($E1219="","",Input!$C$21)</f>
        <v/>
      </c>
      <c r="R1219" s="159" t="str">
        <f>IF($E1219="","",(1-Q1219)^($F1219-Input!$C$20))</f>
        <v/>
      </c>
      <c r="S1219" s="147" t="str">
        <f t="shared" si="761"/>
        <v/>
      </c>
      <c r="T1219" s="147" t="str">
        <f t="shared" si="762"/>
        <v/>
      </c>
      <c r="U1219" s="160" t="str">
        <f>IF($E1219="","",IF($C1219=12,INDEX(Input!$C$15:$CP$15,1,$B1219),0))</f>
        <v/>
      </c>
      <c r="V1219" s="150" t="str">
        <f>IF(E1219="","",IF(C1219=1,IF($B1219=1,Input!$C$33,Input!$C$34),0))</f>
        <v/>
      </c>
      <c r="W1219" s="156" t="str">
        <f>IF($E1219="","",Input!$C$35)</f>
        <v/>
      </c>
      <c r="X1219" s="156" t="str">
        <f t="shared" si="763"/>
        <v/>
      </c>
      <c r="Y1219" s="154"/>
      <c r="Z1219" s="147" t="str">
        <f>IF($E1219="","",VLOOKUP($D1219,'Mortality Margins &amp; Grading'!$AB$5:$AF$125,3,0)*IF(Summary!$D$25="Included Margin",IF(AND($B1219&gt;Input!$C$9,Summary!$D$31&lt;&gt;"Included Margin"),0,1),0))</f>
        <v/>
      </c>
      <c r="AA1219" s="147" t="str">
        <f>IF($E1219="","",VLOOKUP($D1219,'Mortality Margins &amp; Grading'!$AB$5:$AF$125,5,0)*IF(Summary!$D$25="Included Margin",IF(AND($B1219&gt;Input!$C$9,Summary!$D$31&lt;&gt;"Included Margin"),0,1),0))</f>
        <v/>
      </c>
      <c r="AB1219" s="147" t="str">
        <f>IF($E1219="","",IF(AND($B1219&gt;Input!$C$9,Summary!$D$31&lt;&gt;"Included Margin"),1,IF(Summary!$D$25="Included Margin",VLOOKUP($B1219,'Mortality Margins &amp; Grading'!$AI$5:$AR$125,MATCH('Mortality Margins &amp; Grading'!$AQ$4,'Mortality Margins &amp; Grading'!$AI$4:$AR$4,0),0),1)))</f>
        <v/>
      </c>
      <c r="AC1219" s="154"/>
      <c r="AD1219" s="158" t="str">
        <f>IF(E1219="","",Input!$C$48*IF(Summary!$D$30="Included Margin",IF(AND($B1219&gt;Input!$C$9,Summary!$D$31&lt;&gt;"Included Margin"),0,1),0))</f>
        <v/>
      </c>
      <c r="AE1219" s="159" t="str">
        <f>IF(E1219="","",IF(Summary!$D$26="Included Margin",IF(AND($B1219&gt;Input!$C$9,Summary!$D$31&lt;&gt;"Included Margin"),1,1/$R1219),1))</f>
        <v/>
      </c>
      <c r="AF1219" s="160" t="str">
        <f>IF(E1219="","",IF(AND($B1219&gt;=Input!$C$9,$C1219=12,Summary!$D$31="Included Margin",$U1219&gt;0),1/U1219-1,IF($B1219&gt;=Input!$C$9,0,Input!$C$45*IF(Summary!$D$27="Included Margin",1,0))))</f>
        <v/>
      </c>
      <c r="AG1219" s="160" t="str">
        <f>IF(E1219="","",Input!$C$46*IF(Summary!$D$28="Included Margin",IF(AND($B1219&gt;Input!$C$9,Summary!$D$31&lt;&gt;"Included Margin"),0,1),0))</f>
        <v/>
      </c>
      <c r="AH1219" s="158" t="str">
        <f>IF(E1219="","",Input!$C$47*IF(Summary!$D$29="Included Margin",IF(AND($B1219&gt;Input!$C$9,Summary!$D$31&lt;&gt;"Included Margin"),0,1),0))</f>
        <v/>
      </c>
      <c r="AI1219" s="154"/>
      <c r="AJ1219" s="158" t="str">
        <f t="shared" si="774"/>
        <v/>
      </c>
      <c r="AK1219" s="150" t="str">
        <f t="shared" si="775"/>
        <v/>
      </c>
      <c r="AL1219" s="147" t="str">
        <f t="shared" si="776"/>
        <v/>
      </c>
      <c r="AM1219" s="147" t="str">
        <f t="shared" si="764"/>
        <v/>
      </c>
      <c r="AN1219" s="160" t="str">
        <f t="shared" si="777"/>
        <v/>
      </c>
      <c r="AO1219" s="161" t="str">
        <f t="shared" si="778"/>
        <v/>
      </c>
      <c r="AP1219" s="156" t="str">
        <f t="shared" si="765"/>
        <v/>
      </c>
      <c r="AQ1219" s="152"/>
      <c r="AR1219" s="162" t="str">
        <f t="shared" si="766"/>
        <v/>
      </c>
      <c r="AS1219" s="150" t="str">
        <f t="shared" si="779"/>
        <v/>
      </c>
      <c r="AT1219" s="163" t="str">
        <f t="shared" si="767"/>
        <v/>
      </c>
      <c r="AU1219" s="163" t="str">
        <f t="shared" si="768"/>
        <v/>
      </c>
      <c r="AV1219" s="163" t="str">
        <f t="shared" si="780"/>
        <v/>
      </c>
      <c r="AW1219" s="163" t="str">
        <f t="shared" si="769"/>
        <v/>
      </c>
      <c r="AX1219" s="163" t="str">
        <f t="shared" si="770"/>
        <v/>
      </c>
      <c r="AY1219" s="150" t="str">
        <f t="shared" si="781"/>
        <v/>
      </c>
      <c r="AZ1219" s="150" t="str">
        <f>IF($E1219="","",IF(OR(AND($D1219=Input!$C$6,$C1219=12),$AN1219=1),0,-AS1220+AT1220+AU1220-AV1220-AW1220-AX1220+AZ1220))</f>
        <v/>
      </c>
      <c r="BA1219" s="154" t="str">
        <f t="shared" si="771"/>
        <v/>
      </c>
      <c r="BC1219" s="147" t="str">
        <f t="shared" si="782"/>
        <v/>
      </c>
      <c r="BD1219" s="164" t="str">
        <f>IF(AND($C1218=12,$D1218=Input!$C$6),0,IF($E1219="","",AT1219+(AU1219+BD1220)/(1+$AK1219)*MIN((1-AM1219-AN1219),1)))</f>
        <v/>
      </c>
      <c r="BH1219" s="152"/>
      <c r="BI1219" s="162" t="str">
        <f t="shared" si="790"/>
        <v/>
      </c>
      <c r="BJ1219" s="150" t="str">
        <f t="shared" si="791"/>
        <v/>
      </c>
      <c r="BK1219" s="163" t="str">
        <f t="shared" si="787"/>
        <v/>
      </c>
      <c r="BL1219" s="163" t="str">
        <f t="shared" si="792"/>
        <v/>
      </c>
      <c r="BM1219" s="163" t="str">
        <f t="shared" si="788"/>
        <v/>
      </c>
      <c r="BN1219" s="163" t="str">
        <f t="shared" si="793"/>
        <v/>
      </c>
      <c r="BO1219" s="163" t="str">
        <f t="shared" si="794"/>
        <v/>
      </c>
      <c r="BP1219" s="150" t="str">
        <f t="shared" si="789"/>
        <v/>
      </c>
      <c r="BQ1219" s="150" t="str">
        <f t="shared" si="783"/>
        <v/>
      </c>
      <c r="BR1219" s="154" t="str">
        <f t="shared" si="795"/>
        <v/>
      </c>
      <c r="BT1219" s="147"/>
    </row>
    <row r="1220" spans="1:72" s="150" customFormat="1" x14ac:dyDescent="0.25">
      <c r="A1220" s="150" t="str">
        <f t="shared" si="784"/>
        <v/>
      </c>
      <c r="B1220" s="150" t="str">
        <f t="shared" si="785"/>
        <v/>
      </c>
      <c r="C1220" s="150" t="str">
        <f t="shared" si="786"/>
        <v/>
      </c>
      <c r="D1220" s="150" t="str">
        <f>IF(E1220="","",Input!$C$4+B1220-1)</f>
        <v/>
      </c>
      <c r="E1220" s="150" t="str">
        <f>IF(OR(AND(C1219=12,D1219=Input!$C$6),E1219=""),"",1)</f>
        <v/>
      </c>
      <c r="G1220" s="151" t="str">
        <f>IF(E1220="","",MAX(0,Input!$C$9-B1220))</f>
        <v/>
      </c>
      <c r="H1220" s="152" t="str">
        <f>IF(E1220="","",Input!$C$3)</f>
        <v/>
      </c>
      <c r="I1220" s="153" t="str">
        <f>IF(E1220="","",HLOOKUP($B1220,Input!$C$13:$BT$14,2))</f>
        <v/>
      </c>
      <c r="J1220" s="154"/>
      <c r="K1220" s="150" t="str">
        <f>IF($E1220="","",INDEX(Input!$C$16:$CP$16,1,$B1220))</f>
        <v/>
      </c>
      <c r="L1220" s="150" t="str">
        <f>IF($E1220="","",Input!$C$37)</f>
        <v/>
      </c>
      <c r="M1220" s="150" t="str">
        <f t="shared" si="772"/>
        <v/>
      </c>
      <c r="N1220" s="150" t="str">
        <f t="shared" si="773"/>
        <v/>
      </c>
      <c r="O1220" s="147" t="str">
        <f>IF($E1220="","",MIN(VLOOKUP(IF($B1220&lt;=Input!$C$7,$B1220,26),'Mortality Tables'!$A$41:$CW$67,IF($B1220&lt;=Input!$C$7+1,Input!$C$4+2,$D1220-Input!$C$7+2),0)*IF(B1220&gt;20,Input!$C$22,1)/1000,1))</f>
        <v/>
      </c>
      <c r="P1220" s="147" t="str">
        <f>IF($E1220="","",MIN(VLOOKUP(IF($B1220&lt;=Input!$C$7,$B1220,26),'Mortality Tables'!$A$12:$CW$37,IF($B1220&lt;=Input!$C$7+1,Input!$C$4+2,$D1220-Input!$C$7+2),0)*IF(B1220&gt;20,Input!$C$22,1)/1000,1))</f>
        <v/>
      </c>
      <c r="Q1220" s="155" t="str">
        <f>IF($E1220="","",Input!$C$21)</f>
        <v/>
      </c>
      <c r="R1220" s="159" t="str">
        <f>IF($E1220="","",(1-Q1220)^($F1220-Input!$C$20))</f>
        <v/>
      </c>
      <c r="S1220" s="147" t="str">
        <f t="shared" si="761"/>
        <v/>
      </c>
      <c r="T1220" s="147" t="str">
        <f t="shared" si="762"/>
        <v/>
      </c>
      <c r="U1220" s="160" t="str">
        <f>IF($E1220="","",IF($C1220=12,INDEX(Input!$C$15:$CP$15,1,$B1220),0))</f>
        <v/>
      </c>
      <c r="V1220" s="150" t="str">
        <f>IF(E1220="","",IF(C1220=1,IF($B1220=1,Input!$C$33,Input!$C$34),0))</f>
        <v/>
      </c>
      <c r="W1220" s="156" t="str">
        <f>IF($E1220="","",Input!$C$35)</f>
        <v/>
      </c>
      <c r="X1220" s="156" t="str">
        <f t="shared" si="763"/>
        <v/>
      </c>
      <c r="Y1220" s="154"/>
      <c r="Z1220" s="147" t="str">
        <f>IF($E1220="","",VLOOKUP($D1220,'Mortality Margins &amp; Grading'!$AB$5:$AF$125,3,0)*IF(Summary!$D$25="Included Margin",IF(AND($B1220&gt;Input!$C$9,Summary!$D$31&lt;&gt;"Included Margin"),0,1),0))</f>
        <v/>
      </c>
      <c r="AA1220" s="147" t="str">
        <f>IF($E1220="","",VLOOKUP($D1220,'Mortality Margins &amp; Grading'!$AB$5:$AF$125,5,0)*IF(Summary!$D$25="Included Margin",IF(AND($B1220&gt;Input!$C$9,Summary!$D$31&lt;&gt;"Included Margin"),0,1),0))</f>
        <v/>
      </c>
      <c r="AB1220" s="147" t="str">
        <f>IF($E1220="","",IF(AND($B1220&gt;Input!$C$9,Summary!$D$31&lt;&gt;"Included Margin"),1,IF(Summary!$D$25="Included Margin",VLOOKUP($B1220,'Mortality Margins &amp; Grading'!$AI$5:$AR$125,MATCH('Mortality Margins &amp; Grading'!$AQ$4,'Mortality Margins &amp; Grading'!$AI$4:$AR$4,0),0),1)))</f>
        <v/>
      </c>
      <c r="AC1220" s="154"/>
      <c r="AD1220" s="158" t="str">
        <f>IF(E1220="","",Input!$C$48*IF(Summary!$D$30="Included Margin",IF(AND($B1220&gt;Input!$C$9,Summary!$D$31&lt;&gt;"Included Margin"),0,1),0))</f>
        <v/>
      </c>
      <c r="AE1220" s="159" t="str">
        <f>IF(E1220="","",IF(Summary!$D$26="Included Margin",IF(AND($B1220&gt;Input!$C$9,Summary!$D$31&lt;&gt;"Included Margin"),1,1/$R1220),1))</f>
        <v/>
      </c>
      <c r="AF1220" s="160" t="str">
        <f>IF(E1220="","",IF(AND($B1220&gt;=Input!$C$9,$C1220=12,Summary!$D$31="Included Margin",$U1220&gt;0),1/U1220-1,IF($B1220&gt;=Input!$C$9,0,Input!$C$45*IF(Summary!$D$27="Included Margin",1,0))))</f>
        <v/>
      </c>
      <c r="AG1220" s="160" t="str">
        <f>IF(E1220="","",Input!$C$46*IF(Summary!$D$28="Included Margin",IF(AND($B1220&gt;Input!$C$9,Summary!$D$31&lt;&gt;"Included Margin"),0,1),0))</f>
        <v/>
      </c>
      <c r="AH1220" s="158" t="str">
        <f>IF(E1220="","",Input!$C$47*IF(Summary!$D$29="Included Margin",IF(AND($B1220&gt;Input!$C$9,Summary!$D$31&lt;&gt;"Included Margin"),0,1),0))</f>
        <v/>
      </c>
      <c r="AI1220" s="154"/>
      <c r="AJ1220" s="158" t="str">
        <f t="shared" si="774"/>
        <v/>
      </c>
      <c r="AK1220" s="150" t="str">
        <f t="shared" si="775"/>
        <v/>
      </c>
      <c r="AL1220" s="147" t="str">
        <f t="shared" si="776"/>
        <v/>
      </c>
      <c r="AM1220" s="147" t="str">
        <f t="shared" si="764"/>
        <v/>
      </c>
      <c r="AN1220" s="160" t="str">
        <f t="shared" si="777"/>
        <v/>
      </c>
      <c r="AO1220" s="161" t="str">
        <f t="shared" si="778"/>
        <v/>
      </c>
      <c r="AP1220" s="156" t="str">
        <f t="shared" si="765"/>
        <v/>
      </c>
      <c r="AQ1220" s="152"/>
      <c r="AR1220" s="162" t="str">
        <f t="shared" si="766"/>
        <v/>
      </c>
      <c r="AS1220" s="150" t="str">
        <f t="shared" si="779"/>
        <v/>
      </c>
      <c r="AT1220" s="163" t="str">
        <f t="shared" si="767"/>
        <v/>
      </c>
      <c r="AU1220" s="163" t="str">
        <f t="shared" si="768"/>
        <v/>
      </c>
      <c r="AV1220" s="163" t="str">
        <f t="shared" si="780"/>
        <v/>
      </c>
      <c r="AW1220" s="163" t="str">
        <f t="shared" si="769"/>
        <v/>
      </c>
      <c r="AX1220" s="163" t="str">
        <f t="shared" si="770"/>
        <v/>
      </c>
      <c r="AY1220" s="150" t="str">
        <f t="shared" si="781"/>
        <v/>
      </c>
      <c r="AZ1220" s="150" t="str">
        <f>IF($E1220="","",IF(OR(AND($D1220=Input!$C$6,$C1220=12),$AN1220=1),0,-AS1221+AT1221+AU1221-AV1221-AW1221-AX1221+AZ1221))</f>
        <v/>
      </c>
      <c r="BA1220" s="154" t="str">
        <f t="shared" si="771"/>
        <v/>
      </c>
      <c r="BC1220" s="147" t="str">
        <f t="shared" si="782"/>
        <v/>
      </c>
      <c r="BD1220" s="164" t="str">
        <f>IF(AND($C1219=12,$D1219=Input!$C$6),0,IF($E1220="","",AT1220+(AU1220+BD1221)/(1+$AK1220)*MIN((1-AM1220-AN1220),1)))</f>
        <v/>
      </c>
      <c r="BH1220" s="152"/>
      <c r="BI1220" s="162" t="str">
        <f t="shared" si="790"/>
        <v/>
      </c>
      <c r="BJ1220" s="150" t="str">
        <f t="shared" si="791"/>
        <v/>
      </c>
      <c r="BK1220" s="163" t="str">
        <f t="shared" si="787"/>
        <v/>
      </c>
      <c r="BL1220" s="163" t="str">
        <f t="shared" si="792"/>
        <v/>
      </c>
      <c r="BM1220" s="163" t="str">
        <f t="shared" si="788"/>
        <v/>
      </c>
      <c r="BN1220" s="163" t="str">
        <f t="shared" si="793"/>
        <v/>
      </c>
      <c r="BO1220" s="163" t="str">
        <f t="shared" si="794"/>
        <v/>
      </c>
      <c r="BP1220" s="150" t="str">
        <f t="shared" si="789"/>
        <v/>
      </c>
      <c r="BQ1220" s="150" t="str">
        <f t="shared" si="783"/>
        <v/>
      </c>
      <c r="BR1220" s="154" t="str">
        <f t="shared" si="795"/>
        <v/>
      </c>
      <c r="BT1220" s="147"/>
    </row>
    <row r="1221" spans="1:72" s="150" customFormat="1" x14ac:dyDescent="0.25">
      <c r="A1221" s="150" t="str">
        <f t="shared" si="784"/>
        <v/>
      </c>
      <c r="B1221" s="150" t="str">
        <f t="shared" si="785"/>
        <v/>
      </c>
      <c r="C1221" s="150" t="str">
        <f t="shared" si="786"/>
        <v/>
      </c>
      <c r="D1221" s="150" t="str">
        <f>IF(E1221="","",Input!$C$4+B1221-1)</f>
        <v/>
      </c>
      <c r="E1221" s="150" t="str">
        <f>IF(OR(AND(C1220=12,D1220=Input!$C$6),E1220=""),"",1)</f>
        <v/>
      </c>
      <c r="G1221" s="151" t="str">
        <f>IF(E1221="","",MAX(0,Input!$C$9-B1221))</f>
        <v/>
      </c>
      <c r="H1221" s="152" t="str">
        <f>IF(E1221="","",Input!$C$3)</f>
        <v/>
      </c>
      <c r="I1221" s="153" t="str">
        <f>IF(E1221="","",HLOOKUP($B1221,Input!$C$13:$BT$14,2))</f>
        <v/>
      </c>
      <c r="J1221" s="154"/>
      <c r="K1221" s="150" t="str">
        <f>IF($E1221="","",INDEX(Input!$C$16:$CP$16,1,$B1221))</f>
        <v/>
      </c>
      <c r="L1221" s="150" t="str">
        <f>IF($E1221="","",Input!$C$37)</f>
        <v/>
      </c>
      <c r="M1221" s="150" t="str">
        <f t="shared" si="772"/>
        <v/>
      </c>
      <c r="N1221" s="150" t="str">
        <f t="shared" si="773"/>
        <v/>
      </c>
      <c r="O1221" s="147" t="str">
        <f>IF($E1221="","",MIN(VLOOKUP(IF($B1221&lt;=Input!$C$7,$B1221,26),'Mortality Tables'!$A$41:$CW$67,IF($B1221&lt;=Input!$C$7+1,Input!$C$4+2,$D1221-Input!$C$7+2),0)*IF(B1221&gt;20,Input!$C$22,1)/1000,1))</f>
        <v/>
      </c>
      <c r="P1221" s="147" t="str">
        <f>IF($E1221="","",MIN(VLOOKUP(IF($B1221&lt;=Input!$C$7,$B1221,26),'Mortality Tables'!$A$12:$CW$37,IF($B1221&lt;=Input!$C$7+1,Input!$C$4+2,$D1221-Input!$C$7+2),0)*IF(B1221&gt;20,Input!$C$22,1)/1000,1))</f>
        <v/>
      </c>
      <c r="Q1221" s="155" t="str">
        <f>IF($E1221="","",Input!$C$21)</f>
        <v/>
      </c>
      <c r="R1221" s="159" t="str">
        <f>IF($E1221="","",(1-Q1221)^($F1221-Input!$C$20))</f>
        <v/>
      </c>
      <c r="S1221" s="147" t="str">
        <f t="shared" ref="S1221:S1284" si="796">IF($E1221="","",MIN(O1221*R1221,1))</f>
        <v/>
      </c>
      <c r="T1221" s="147" t="str">
        <f t="shared" ref="T1221:T1284" si="797">IF($E1221="","",1-(1-S1221)^(1/12))</f>
        <v/>
      </c>
      <c r="U1221" s="160" t="str">
        <f>IF($E1221="","",IF($C1221=12,INDEX(Input!$C$15:$CP$15,1,$B1221),0))</f>
        <v/>
      </c>
      <c r="V1221" s="150" t="str">
        <f>IF(E1221="","",IF(C1221=1,IF($B1221=1,Input!$C$33,Input!$C$34),0))</f>
        <v/>
      </c>
      <c r="W1221" s="156" t="str">
        <f>IF($E1221="","",Input!$C$35)</f>
        <v/>
      </c>
      <c r="X1221" s="156" t="str">
        <f t="shared" ref="X1221:X1284" si="798">IF($E1221="","",IF(B1221=1,1,IF(C1221=1,(1+W1221)*X1220,X1220)))</f>
        <v/>
      </c>
      <c r="Y1221" s="154"/>
      <c r="Z1221" s="147" t="str">
        <f>IF($E1221="","",VLOOKUP($D1221,'Mortality Margins &amp; Grading'!$AB$5:$AF$125,3,0)*IF(Summary!$D$25="Included Margin",IF(AND($B1221&gt;Input!$C$9,Summary!$D$31&lt;&gt;"Included Margin"),0,1),0))</f>
        <v/>
      </c>
      <c r="AA1221" s="147" t="str">
        <f>IF($E1221="","",VLOOKUP($D1221,'Mortality Margins &amp; Grading'!$AB$5:$AF$125,5,0)*IF(Summary!$D$25="Included Margin",IF(AND($B1221&gt;Input!$C$9,Summary!$D$31&lt;&gt;"Included Margin"),0,1),0))</f>
        <v/>
      </c>
      <c r="AB1221" s="147" t="str">
        <f>IF($E1221="","",IF(AND($B1221&gt;Input!$C$9,Summary!$D$31&lt;&gt;"Included Margin"),1,IF(Summary!$D$25="Included Margin",VLOOKUP($B1221,'Mortality Margins &amp; Grading'!$AI$5:$AR$125,MATCH('Mortality Margins &amp; Grading'!$AQ$4,'Mortality Margins &amp; Grading'!$AI$4:$AR$4,0),0),1)))</f>
        <v/>
      </c>
      <c r="AC1221" s="154"/>
      <c r="AD1221" s="158" t="str">
        <f>IF(E1221="","",Input!$C$48*IF(Summary!$D$30="Included Margin",IF(AND($B1221&gt;Input!$C$9,Summary!$D$31&lt;&gt;"Included Margin"),0,1),0))</f>
        <v/>
      </c>
      <c r="AE1221" s="159" t="str">
        <f>IF(E1221="","",IF(Summary!$D$26="Included Margin",IF(AND($B1221&gt;Input!$C$9,Summary!$D$31&lt;&gt;"Included Margin"),1,1/$R1221),1))</f>
        <v/>
      </c>
      <c r="AF1221" s="160" t="str">
        <f>IF(E1221="","",IF(AND($B1221&gt;=Input!$C$9,$C1221=12,Summary!$D$31="Included Margin",$U1221&gt;0),1/U1221-1,IF($B1221&gt;=Input!$C$9,0,Input!$C$45*IF(Summary!$D$27="Included Margin",1,0))))</f>
        <v/>
      </c>
      <c r="AG1221" s="160" t="str">
        <f>IF(E1221="","",Input!$C$46*IF(Summary!$D$28="Included Margin",IF(AND($B1221&gt;Input!$C$9,Summary!$D$31&lt;&gt;"Included Margin"),0,1),0))</f>
        <v/>
      </c>
      <c r="AH1221" s="158" t="str">
        <f>IF(E1221="","",Input!$C$47*IF(Summary!$D$29="Included Margin",IF(AND($B1221&gt;Input!$C$9,Summary!$D$31&lt;&gt;"Included Margin"),0,1),0))</f>
        <v/>
      </c>
      <c r="AI1221" s="154"/>
      <c r="AJ1221" s="158" t="str">
        <f t="shared" si="774"/>
        <v/>
      </c>
      <c r="AK1221" s="150" t="str">
        <f t="shared" si="775"/>
        <v/>
      </c>
      <c r="AL1221" s="147" t="str">
        <f t="shared" si="776"/>
        <v/>
      </c>
      <c r="AM1221" s="147" t="str">
        <f t="shared" ref="AM1221:AM1284" si="799">IF($E1221="","",1-(1-AL1221)^(1/12))</f>
        <v/>
      </c>
      <c r="AN1221" s="160" t="str">
        <f t="shared" si="777"/>
        <v/>
      </c>
      <c r="AO1221" s="161" t="str">
        <f t="shared" si="778"/>
        <v/>
      </c>
      <c r="AP1221" s="156" t="str">
        <f t="shared" ref="AP1221:AP1284" si="800">IF($E1221="","",IF(B1221=1,1,IF(C1221=1,(1+$W1221+$AH1221)*AP1220,AP1220)))</f>
        <v/>
      </c>
      <c r="AQ1221" s="152"/>
      <c r="AR1221" s="162" t="str">
        <f t="shared" ref="AR1221:AR1284" si="801">IF($E1221="","",(AZ1221*(1-$AN1221)*(1-$AM1221)/(1+$AK1221)+AU1221/(1+$AK1221/2)-AS1221+AT1221))</f>
        <v/>
      </c>
      <c r="AS1221" s="150" t="str">
        <f t="shared" si="779"/>
        <v/>
      </c>
      <c r="AT1221" s="163" t="str">
        <f t="shared" ref="AT1221:AT1284" si="802">IF($E1221="","",$AO1221*$AP1221)</f>
        <v/>
      </c>
      <c r="AU1221" s="163" t="str">
        <f t="shared" ref="AU1221:AU1284" si="803">IF($E1221="","",$AM1221*$H1221)</f>
        <v/>
      </c>
      <c r="AV1221" s="163" t="str">
        <f t="shared" si="780"/>
        <v/>
      </c>
      <c r="AW1221" s="163" t="str">
        <f t="shared" ref="AW1221:AW1284" si="804">IF($E1221="","",AZ1221*$AM1221)</f>
        <v/>
      </c>
      <c r="AX1221" s="163" t="str">
        <f t="shared" ref="AX1221:AX1284" si="805">IF($E1221="","",$AN1221*AZ1221*(1-$AM1221))</f>
        <v/>
      </c>
      <c r="AY1221" s="150" t="str">
        <f t="shared" si="781"/>
        <v/>
      </c>
      <c r="AZ1221" s="150" t="str">
        <f>IF($E1221="","",IF(OR(AND($D1221=Input!$C$6,$C1221=12),$AN1221=1),0,-AS1222+AT1222+AU1222-AV1222-AW1222-AX1222+AZ1222))</f>
        <v/>
      </c>
      <c r="BA1221" s="154" t="str">
        <f t="shared" ref="BA1221:BA1284" si="806">IF(E1221="","",AZ1221-AY1221)</f>
        <v/>
      </c>
      <c r="BC1221" s="147" t="str">
        <f t="shared" si="782"/>
        <v/>
      </c>
      <c r="BD1221" s="164" t="str">
        <f>IF(AND($C1220=12,$D1220=Input!$C$6),0,IF($E1221="","",AT1221+(AU1221+BD1222)/(1+$AK1221)*MIN((1-AM1221-AN1221),1)))</f>
        <v/>
      </c>
      <c r="BH1221" s="152"/>
      <c r="BI1221" s="162" t="str">
        <f t="shared" si="790"/>
        <v/>
      </c>
      <c r="BJ1221" s="150" t="str">
        <f t="shared" si="791"/>
        <v/>
      </c>
      <c r="BK1221" s="163" t="str">
        <f t="shared" si="787"/>
        <v/>
      </c>
      <c r="BL1221" s="163" t="str">
        <f t="shared" si="792"/>
        <v/>
      </c>
      <c r="BM1221" s="163" t="str">
        <f t="shared" si="788"/>
        <v/>
      </c>
      <c r="BN1221" s="163" t="str">
        <f t="shared" si="793"/>
        <v/>
      </c>
      <c r="BO1221" s="163" t="str">
        <f t="shared" si="794"/>
        <v/>
      </c>
      <c r="BP1221" s="150" t="str">
        <f t="shared" si="789"/>
        <v/>
      </c>
      <c r="BQ1221" s="150" t="str">
        <f t="shared" si="783"/>
        <v/>
      </c>
      <c r="BR1221" s="154" t="str">
        <f t="shared" si="795"/>
        <v/>
      </c>
      <c r="BT1221" s="147"/>
    </row>
    <row r="1222" spans="1:72" s="150" customFormat="1" x14ac:dyDescent="0.25">
      <c r="A1222" s="150" t="str">
        <f t="shared" si="784"/>
        <v/>
      </c>
      <c r="B1222" s="150" t="str">
        <f t="shared" si="785"/>
        <v/>
      </c>
      <c r="C1222" s="150" t="str">
        <f t="shared" si="786"/>
        <v/>
      </c>
      <c r="D1222" s="150" t="str">
        <f>IF(E1222="","",Input!$C$4+B1222-1)</f>
        <v/>
      </c>
      <c r="E1222" s="150" t="str">
        <f>IF(OR(AND(C1221=12,D1221=Input!$C$6),E1221=""),"",1)</f>
        <v/>
      </c>
      <c r="G1222" s="151" t="str">
        <f>IF(E1222="","",MAX(0,Input!$C$9-B1222))</f>
        <v/>
      </c>
      <c r="H1222" s="152" t="str">
        <f>IF(E1222="","",Input!$C$3)</f>
        <v/>
      </c>
      <c r="I1222" s="153" t="str">
        <f>IF(E1222="","",HLOOKUP($B1222,Input!$C$13:$BT$14,2))</f>
        <v/>
      </c>
      <c r="J1222" s="154"/>
      <c r="K1222" s="150" t="str">
        <f>IF($E1222="","",INDEX(Input!$C$16:$CP$16,1,$B1222))</f>
        <v/>
      </c>
      <c r="L1222" s="150" t="str">
        <f>IF($E1222="","",Input!$C$37)</f>
        <v/>
      </c>
      <c r="M1222" s="150" t="str">
        <f t="shared" ref="M1222:M1285" si="807">IF($E1222="","",K1222+L1222)</f>
        <v/>
      </c>
      <c r="N1222" s="150" t="str">
        <f t="shared" ref="N1222:N1285" si="808">IF($E1222="","",(1+M1222)^(1/12)-1)</f>
        <v/>
      </c>
      <c r="O1222" s="147" t="str">
        <f>IF($E1222="","",MIN(VLOOKUP(IF($B1222&lt;=Input!$C$7,$B1222,26),'Mortality Tables'!$A$41:$CW$67,IF($B1222&lt;=Input!$C$7+1,Input!$C$4+2,$D1222-Input!$C$7+2),0)*IF(B1222&gt;20,Input!$C$22,1)/1000,1))</f>
        <v/>
      </c>
      <c r="P1222" s="147" t="str">
        <f>IF($E1222="","",MIN(VLOOKUP(IF($B1222&lt;=Input!$C$7,$B1222,26),'Mortality Tables'!$A$12:$CW$37,IF($B1222&lt;=Input!$C$7+1,Input!$C$4+2,$D1222-Input!$C$7+2),0)*IF(B1222&gt;20,Input!$C$22,1)/1000,1))</f>
        <v/>
      </c>
      <c r="Q1222" s="155" t="str">
        <f>IF($E1222="","",Input!$C$21)</f>
        <v/>
      </c>
      <c r="R1222" s="159" t="str">
        <f>IF($E1222="","",(1-Q1222)^($F1222-Input!$C$20))</f>
        <v/>
      </c>
      <c r="S1222" s="147" t="str">
        <f t="shared" si="796"/>
        <v/>
      </c>
      <c r="T1222" s="147" t="str">
        <f t="shared" si="797"/>
        <v/>
      </c>
      <c r="U1222" s="160" t="str">
        <f>IF($E1222="","",IF($C1222=12,INDEX(Input!$C$15:$CP$15,1,$B1222),0))</f>
        <v/>
      </c>
      <c r="V1222" s="150" t="str">
        <f>IF(E1222="","",IF(C1222=1,IF($B1222=1,Input!$C$33,Input!$C$34),0))</f>
        <v/>
      </c>
      <c r="W1222" s="156" t="str">
        <f>IF($E1222="","",Input!$C$35)</f>
        <v/>
      </c>
      <c r="X1222" s="156" t="str">
        <f t="shared" si="798"/>
        <v/>
      </c>
      <c r="Y1222" s="154"/>
      <c r="Z1222" s="147" t="str">
        <f>IF($E1222="","",VLOOKUP($D1222,'Mortality Margins &amp; Grading'!$AB$5:$AF$125,3,0)*IF(Summary!$D$25="Included Margin",IF(AND($B1222&gt;Input!$C$9,Summary!$D$31&lt;&gt;"Included Margin"),0,1),0))</f>
        <v/>
      </c>
      <c r="AA1222" s="147" t="str">
        <f>IF($E1222="","",VLOOKUP($D1222,'Mortality Margins &amp; Grading'!$AB$5:$AF$125,5,0)*IF(Summary!$D$25="Included Margin",IF(AND($B1222&gt;Input!$C$9,Summary!$D$31&lt;&gt;"Included Margin"),0,1),0))</f>
        <v/>
      </c>
      <c r="AB1222" s="147" t="str">
        <f>IF($E1222="","",IF(AND($B1222&gt;Input!$C$9,Summary!$D$31&lt;&gt;"Included Margin"),1,IF(Summary!$D$25="Included Margin",VLOOKUP($B1222,'Mortality Margins &amp; Grading'!$AI$5:$AR$125,MATCH('Mortality Margins &amp; Grading'!$AQ$4,'Mortality Margins &amp; Grading'!$AI$4:$AR$4,0),0),1)))</f>
        <v/>
      </c>
      <c r="AC1222" s="154"/>
      <c r="AD1222" s="158" t="str">
        <f>IF(E1222="","",Input!$C$48*IF(Summary!$D$30="Included Margin",IF(AND($B1222&gt;Input!$C$9,Summary!$D$31&lt;&gt;"Included Margin"),0,1),0))</f>
        <v/>
      </c>
      <c r="AE1222" s="159" t="str">
        <f>IF(E1222="","",IF(Summary!$D$26="Included Margin",IF(AND($B1222&gt;Input!$C$9,Summary!$D$31&lt;&gt;"Included Margin"),1,1/$R1222),1))</f>
        <v/>
      </c>
      <c r="AF1222" s="160" t="str">
        <f>IF(E1222="","",IF(AND($B1222&gt;=Input!$C$9,$C1222=12,Summary!$D$31="Included Margin",$U1222&gt;0),1/U1222-1,IF($B1222&gt;=Input!$C$9,0,Input!$C$45*IF(Summary!$D$27="Included Margin",1,0))))</f>
        <v/>
      </c>
      <c r="AG1222" s="160" t="str">
        <f>IF(E1222="","",Input!$C$46*IF(Summary!$D$28="Included Margin",IF(AND($B1222&gt;Input!$C$9,Summary!$D$31&lt;&gt;"Included Margin"),0,1),0))</f>
        <v/>
      </c>
      <c r="AH1222" s="158" t="str">
        <f>IF(E1222="","",Input!$C$47*IF(Summary!$D$29="Included Margin",IF(AND($B1222&gt;Input!$C$9,Summary!$D$31&lt;&gt;"Included Margin"),0,1),0))</f>
        <v/>
      </c>
      <c r="AI1222" s="154"/>
      <c r="AJ1222" s="158" t="str">
        <f t="shared" ref="AJ1222:AJ1285" si="809">IF(E1222="","",M1222+AD1222)</f>
        <v/>
      </c>
      <c r="AK1222" s="150" t="str">
        <f t="shared" ref="AK1222:AK1285" si="810">IF(E1222="","",(1+AJ1222)^(1/12)-1)</f>
        <v/>
      </c>
      <c r="AL1222" s="147" t="str">
        <f t="shared" ref="AL1222:AL1285" si="811">IF($E1222="","",MIN(($O1222*(1+$Z1222)*$AB1222+$P1222*(1+$AA1222)*(1-$AB1222))*R1222*AE1222,1))</f>
        <v/>
      </c>
      <c r="AM1222" s="147" t="str">
        <f t="shared" si="799"/>
        <v/>
      </c>
      <c r="AN1222" s="160" t="str">
        <f t="shared" ref="AN1222:AN1285" si="812">IF(E1222="","",IF(U1222=1,1,(1+AF1222)*U1222))</f>
        <v/>
      </c>
      <c r="AO1222" s="161" t="str">
        <f t="shared" ref="AO1222:AO1285" si="813">IF($E1222="","",(1+$AG1222)*$V1222)</f>
        <v/>
      </c>
      <c r="AP1222" s="156" t="str">
        <f t="shared" si="800"/>
        <v/>
      </c>
      <c r="AQ1222" s="152"/>
      <c r="AR1222" s="162" t="str">
        <f t="shared" si="801"/>
        <v/>
      </c>
      <c r="AS1222" s="150" t="str">
        <f t="shared" ref="AS1222:AS1285" si="814">IF($E1222="","",IF($C1222=1,$I1222*$H1222/1000,0))</f>
        <v/>
      </c>
      <c r="AT1222" s="163" t="str">
        <f t="shared" si="802"/>
        <v/>
      </c>
      <c r="AU1222" s="163" t="str">
        <f t="shared" si="803"/>
        <v/>
      </c>
      <c r="AV1222" s="163" t="str">
        <f t="shared" ref="AV1222:AV1285" si="815">IF($E1222="","",(AR1222+AS1222-AT1222-AU1222/2)*$AK1222)</f>
        <v/>
      </c>
      <c r="AW1222" s="163" t="str">
        <f t="shared" si="804"/>
        <v/>
      </c>
      <c r="AX1222" s="163" t="str">
        <f t="shared" si="805"/>
        <v/>
      </c>
      <c r="AY1222" s="150" t="str">
        <f t="shared" ref="AY1222:AY1285" si="816">IF($E1222="","",AR1222+AS1222-AT1222-AU1222+AV1222+AW1222+AX1222)</f>
        <v/>
      </c>
      <c r="AZ1222" s="150" t="str">
        <f>IF($E1222="","",IF(OR(AND($D1222=Input!$C$6,$C1222=12),$AN1222=1),0,-AS1223+AT1223+AU1223-AV1223-AW1223-AX1223+AZ1223))</f>
        <v/>
      </c>
      <c r="BA1222" s="154" t="str">
        <f t="shared" si="806"/>
        <v/>
      </c>
      <c r="BC1222" s="147" t="str">
        <f t="shared" ref="BC1222:BC1285" si="817">IF($E1222="","",MIN(1,(1-T1222-U1222))*BC1221)</f>
        <v/>
      </c>
      <c r="BD1222" s="164" t="str">
        <f>IF(AND($C1221=12,$D1221=Input!$C$6),0,IF($E1222="","",AT1222+(AU1222+BD1223)/(1+$AK1222)*MIN((1-AM1222-AN1222),1)))</f>
        <v/>
      </c>
      <c r="BH1222" s="152"/>
      <c r="BI1222" s="162" t="str">
        <f t="shared" si="790"/>
        <v/>
      </c>
      <c r="BJ1222" s="150" t="str">
        <f t="shared" si="791"/>
        <v/>
      </c>
      <c r="BK1222" s="163" t="str">
        <f t="shared" si="787"/>
        <v/>
      </c>
      <c r="BL1222" s="163" t="str">
        <f t="shared" si="792"/>
        <v/>
      </c>
      <c r="BM1222" s="163" t="str">
        <f t="shared" si="788"/>
        <v/>
      </c>
      <c r="BN1222" s="163" t="str">
        <f t="shared" si="793"/>
        <v/>
      </c>
      <c r="BO1222" s="163" t="str">
        <f t="shared" si="794"/>
        <v/>
      </c>
      <c r="BP1222" s="150" t="str">
        <f t="shared" si="789"/>
        <v/>
      </c>
      <c r="BQ1222" s="150" t="str">
        <f t="shared" ref="BQ1222:BQ1285" si="818">IF($E1222="","",IF($U1222=1,0,-BJ1223+BK1223+BL1223-BM1223-BN1223-BO1223+BQ1223))</f>
        <v/>
      </c>
      <c r="BR1222" s="154" t="str">
        <f t="shared" si="795"/>
        <v/>
      </c>
      <c r="BT1222" s="147"/>
    </row>
    <row r="1223" spans="1:72" s="150" customFormat="1" x14ac:dyDescent="0.25">
      <c r="A1223" s="150" t="str">
        <f t="shared" ref="A1223:A1286" si="819">IF(E1223="","",A1222+1)</f>
        <v/>
      </c>
      <c r="B1223" s="150" t="str">
        <f t="shared" ref="B1223:B1286" si="820">IF(E1223="","",IF(C1222+1&gt;12,B1222+1,B1222))</f>
        <v/>
      </c>
      <c r="C1223" s="150" t="str">
        <f t="shared" ref="C1223:C1286" si="821">IF(E1223="","",IF(C1222+1&gt;12,1,C1222+1))</f>
        <v/>
      </c>
      <c r="D1223" s="150" t="str">
        <f>IF(E1223="","",Input!$C$4+B1223-1)</f>
        <v/>
      </c>
      <c r="E1223" s="150" t="str">
        <f>IF(OR(AND(C1222=12,D1222=Input!$C$6),E1222=""),"",1)</f>
        <v/>
      </c>
      <c r="G1223" s="151" t="str">
        <f>IF(E1223="","",MAX(0,Input!$C$9-B1223))</f>
        <v/>
      </c>
      <c r="H1223" s="152" t="str">
        <f>IF(E1223="","",Input!$C$3)</f>
        <v/>
      </c>
      <c r="I1223" s="153" t="str">
        <f>IF(E1223="","",HLOOKUP($B1223,Input!$C$13:$BT$14,2))</f>
        <v/>
      </c>
      <c r="J1223" s="154"/>
      <c r="K1223" s="150" t="str">
        <f>IF($E1223="","",INDEX(Input!$C$16:$CP$16,1,$B1223))</f>
        <v/>
      </c>
      <c r="L1223" s="150" t="str">
        <f>IF($E1223="","",Input!$C$37)</f>
        <v/>
      </c>
      <c r="M1223" s="150" t="str">
        <f t="shared" si="807"/>
        <v/>
      </c>
      <c r="N1223" s="150" t="str">
        <f t="shared" si="808"/>
        <v/>
      </c>
      <c r="O1223" s="147" t="str">
        <f>IF($E1223="","",MIN(VLOOKUP(IF($B1223&lt;=Input!$C$7,$B1223,26),'Mortality Tables'!$A$41:$CW$67,IF($B1223&lt;=Input!$C$7+1,Input!$C$4+2,$D1223-Input!$C$7+2),0)*IF(B1223&gt;20,Input!$C$22,1)/1000,1))</f>
        <v/>
      </c>
      <c r="P1223" s="147" t="str">
        <f>IF($E1223="","",MIN(VLOOKUP(IF($B1223&lt;=Input!$C$7,$B1223,26),'Mortality Tables'!$A$12:$CW$37,IF($B1223&lt;=Input!$C$7+1,Input!$C$4+2,$D1223-Input!$C$7+2),0)*IF(B1223&gt;20,Input!$C$22,1)/1000,1))</f>
        <v/>
      </c>
      <c r="Q1223" s="155" t="str">
        <f>IF($E1223="","",Input!$C$21)</f>
        <v/>
      </c>
      <c r="R1223" s="159" t="str">
        <f>IF($E1223="","",(1-Q1223)^($F1223-Input!$C$20))</f>
        <v/>
      </c>
      <c r="S1223" s="147" t="str">
        <f t="shared" si="796"/>
        <v/>
      </c>
      <c r="T1223" s="147" t="str">
        <f t="shared" si="797"/>
        <v/>
      </c>
      <c r="U1223" s="160" t="str">
        <f>IF($E1223="","",IF($C1223=12,INDEX(Input!$C$15:$CP$15,1,$B1223),0))</f>
        <v/>
      </c>
      <c r="V1223" s="150" t="str">
        <f>IF(E1223="","",IF(C1223=1,IF($B1223=1,Input!$C$33,Input!$C$34),0))</f>
        <v/>
      </c>
      <c r="W1223" s="156" t="str">
        <f>IF($E1223="","",Input!$C$35)</f>
        <v/>
      </c>
      <c r="X1223" s="156" t="str">
        <f t="shared" si="798"/>
        <v/>
      </c>
      <c r="Y1223" s="154"/>
      <c r="Z1223" s="147" t="str">
        <f>IF($E1223="","",VLOOKUP($D1223,'Mortality Margins &amp; Grading'!$AB$5:$AF$125,3,0)*IF(Summary!$D$25="Included Margin",IF(AND($B1223&gt;Input!$C$9,Summary!$D$31&lt;&gt;"Included Margin"),0,1),0))</f>
        <v/>
      </c>
      <c r="AA1223" s="147" t="str">
        <f>IF($E1223="","",VLOOKUP($D1223,'Mortality Margins &amp; Grading'!$AB$5:$AF$125,5,0)*IF(Summary!$D$25="Included Margin",IF(AND($B1223&gt;Input!$C$9,Summary!$D$31&lt;&gt;"Included Margin"),0,1),0))</f>
        <v/>
      </c>
      <c r="AB1223" s="147" t="str">
        <f>IF($E1223="","",IF(AND($B1223&gt;Input!$C$9,Summary!$D$31&lt;&gt;"Included Margin"),1,IF(Summary!$D$25="Included Margin",VLOOKUP($B1223,'Mortality Margins &amp; Grading'!$AI$5:$AR$125,MATCH('Mortality Margins &amp; Grading'!$AQ$4,'Mortality Margins &amp; Grading'!$AI$4:$AR$4,0),0),1)))</f>
        <v/>
      </c>
      <c r="AC1223" s="154"/>
      <c r="AD1223" s="158" t="str">
        <f>IF(E1223="","",Input!$C$48*IF(Summary!$D$30="Included Margin",IF(AND($B1223&gt;Input!$C$9,Summary!$D$31&lt;&gt;"Included Margin"),0,1),0))</f>
        <v/>
      </c>
      <c r="AE1223" s="159" t="str">
        <f>IF(E1223="","",IF(Summary!$D$26="Included Margin",IF(AND($B1223&gt;Input!$C$9,Summary!$D$31&lt;&gt;"Included Margin"),1,1/$R1223),1))</f>
        <v/>
      </c>
      <c r="AF1223" s="160" t="str">
        <f>IF(E1223="","",IF(AND($B1223&gt;=Input!$C$9,$C1223=12,Summary!$D$31="Included Margin",$U1223&gt;0),1/U1223-1,IF($B1223&gt;=Input!$C$9,0,Input!$C$45*IF(Summary!$D$27="Included Margin",1,0))))</f>
        <v/>
      </c>
      <c r="AG1223" s="160" t="str">
        <f>IF(E1223="","",Input!$C$46*IF(Summary!$D$28="Included Margin",IF(AND($B1223&gt;Input!$C$9,Summary!$D$31&lt;&gt;"Included Margin"),0,1),0))</f>
        <v/>
      </c>
      <c r="AH1223" s="158" t="str">
        <f>IF(E1223="","",Input!$C$47*IF(Summary!$D$29="Included Margin",IF(AND($B1223&gt;Input!$C$9,Summary!$D$31&lt;&gt;"Included Margin"),0,1),0))</f>
        <v/>
      </c>
      <c r="AI1223" s="154"/>
      <c r="AJ1223" s="158" t="str">
        <f t="shared" si="809"/>
        <v/>
      </c>
      <c r="AK1223" s="150" t="str">
        <f t="shared" si="810"/>
        <v/>
      </c>
      <c r="AL1223" s="147" t="str">
        <f t="shared" si="811"/>
        <v/>
      </c>
      <c r="AM1223" s="147" t="str">
        <f t="shared" si="799"/>
        <v/>
      </c>
      <c r="AN1223" s="160" t="str">
        <f t="shared" si="812"/>
        <v/>
      </c>
      <c r="AO1223" s="161" t="str">
        <f t="shared" si="813"/>
        <v/>
      </c>
      <c r="AP1223" s="156" t="str">
        <f t="shared" si="800"/>
        <v/>
      </c>
      <c r="AQ1223" s="152"/>
      <c r="AR1223" s="162" t="str">
        <f t="shared" si="801"/>
        <v/>
      </c>
      <c r="AS1223" s="150" t="str">
        <f t="shared" si="814"/>
        <v/>
      </c>
      <c r="AT1223" s="163" t="str">
        <f t="shared" si="802"/>
        <v/>
      </c>
      <c r="AU1223" s="163" t="str">
        <f t="shared" si="803"/>
        <v/>
      </c>
      <c r="AV1223" s="163" t="str">
        <f t="shared" si="815"/>
        <v/>
      </c>
      <c r="AW1223" s="163" t="str">
        <f t="shared" si="804"/>
        <v/>
      </c>
      <c r="AX1223" s="163" t="str">
        <f t="shared" si="805"/>
        <v/>
      </c>
      <c r="AY1223" s="150" t="str">
        <f t="shared" si="816"/>
        <v/>
      </c>
      <c r="AZ1223" s="150" t="str">
        <f>IF($E1223="","",IF(OR(AND($D1223=Input!$C$6,$C1223=12),$AN1223=1),0,-AS1224+AT1224+AU1224-AV1224-AW1224-AX1224+AZ1224))</f>
        <v/>
      </c>
      <c r="BA1223" s="154" t="str">
        <f t="shared" si="806"/>
        <v/>
      </c>
      <c r="BC1223" s="147" t="str">
        <f t="shared" si="817"/>
        <v/>
      </c>
      <c r="BD1223" s="164" t="str">
        <f>IF(AND($C1222=12,$D1222=Input!$C$6),0,IF($E1223="","",AT1223+(AU1223+BD1224)/(1+$AK1223)*MIN((1-AM1223-AN1223),1)))</f>
        <v/>
      </c>
      <c r="BH1223" s="152"/>
      <c r="BI1223" s="162" t="str">
        <f t="shared" si="790"/>
        <v/>
      </c>
      <c r="BJ1223" s="150" t="str">
        <f t="shared" si="791"/>
        <v/>
      </c>
      <c r="BK1223" s="163" t="str">
        <f t="shared" ref="BK1223:BK1286" si="822">IF($E1223="","",$V1223*$X1223)</f>
        <v/>
      </c>
      <c r="BL1223" s="163" t="str">
        <f t="shared" si="792"/>
        <v/>
      </c>
      <c r="BM1223" s="163" t="str">
        <f t="shared" ref="BM1223:BM1286" si="823">IF($E1223="","",(BI1223+BJ1223-BK1223-BL1223/2)*$N1223)</f>
        <v/>
      </c>
      <c r="BN1223" s="163" t="str">
        <f t="shared" si="793"/>
        <v/>
      </c>
      <c r="BO1223" s="163" t="str">
        <f t="shared" si="794"/>
        <v/>
      </c>
      <c r="BP1223" s="150" t="str">
        <f t="shared" ref="BP1223:BP1286" si="824">IF($E1223="","",BI1223+BJ1223-BK1223-BL1223+BM1223+BN1223+BO1223)</f>
        <v/>
      </c>
      <c r="BQ1223" s="150" t="str">
        <f t="shared" si="818"/>
        <v/>
      </c>
      <c r="BR1223" s="154" t="str">
        <f t="shared" si="795"/>
        <v/>
      </c>
      <c r="BT1223" s="147"/>
    </row>
    <row r="1224" spans="1:72" s="150" customFormat="1" x14ac:dyDescent="0.25">
      <c r="A1224" s="150" t="str">
        <f t="shared" si="819"/>
        <v/>
      </c>
      <c r="B1224" s="150" t="str">
        <f t="shared" si="820"/>
        <v/>
      </c>
      <c r="C1224" s="150" t="str">
        <f t="shared" si="821"/>
        <v/>
      </c>
      <c r="D1224" s="150" t="str">
        <f>IF(E1224="","",Input!$C$4+B1224-1)</f>
        <v/>
      </c>
      <c r="E1224" s="150" t="str">
        <f>IF(OR(AND(C1223=12,D1223=Input!$C$6),E1223=""),"",1)</f>
        <v/>
      </c>
      <c r="G1224" s="151" t="str">
        <f>IF(E1224="","",MAX(0,Input!$C$9-B1224))</f>
        <v/>
      </c>
      <c r="H1224" s="152" t="str">
        <f>IF(E1224="","",Input!$C$3)</f>
        <v/>
      </c>
      <c r="I1224" s="153" t="str">
        <f>IF(E1224="","",HLOOKUP($B1224,Input!$C$13:$BT$14,2))</f>
        <v/>
      </c>
      <c r="J1224" s="154"/>
      <c r="K1224" s="150" t="str">
        <f>IF($E1224="","",INDEX(Input!$C$16:$CP$16,1,$B1224))</f>
        <v/>
      </c>
      <c r="L1224" s="150" t="str">
        <f>IF($E1224="","",Input!$C$37)</f>
        <v/>
      </c>
      <c r="M1224" s="150" t="str">
        <f t="shared" si="807"/>
        <v/>
      </c>
      <c r="N1224" s="150" t="str">
        <f t="shared" si="808"/>
        <v/>
      </c>
      <c r="O1224" s="147" t="str">
        <f>IF($E1224="","",MIN(VLOOKUP(IF($B1224&lt;=Input!$C$7,$B1224,26),'Mortality Tables'!$A$41:$CW$67,IF($B1224&lt;=Input!$C$7+1,Input!$C$4+2,$D1224-Input!$C$7+2),0)*IF(B1224&gt;20,Input!$C$22,1)/1000,1))</f>
        <v/>
      </c>
      <c r="P1224" s="147" t="str">
        <f>IF($E1224="","",MIN(VLOOKUP(IF($B1224&lt;=Input!$C$7,$B1224,26),'Mortality Tables'!$A$12:$CW$37,IF($B1224&lt;=Input!$C$7+1,Input!$C$4+2,$D1224-Input!$C$7+2),0)*IF(B1224&gt;20,Input!$C$22,1)/1000,1))</f>
        <v/>
      </c>
      <c r="Q1224" s="155" t="str">
        <f>IF($E1224="","",Input!$C$21)</f>
        <v/>
      </c>
      <c r="R1224" s="159" t="str">
        <f>IF($E1224="","",(1-Q1224)^($F1224-Input!$C$20))</f>
        <v/>
      </c>
      <c r="S1224" s="147" t="str">
        <f t="shared" si="796"/>
        <v/>
      </c>
      <c r="T1224" s="147" t="str">
        <f t="shared" si="797"/>
        <v/>
      </c>
      <c r="U1224" s="160" t="str">
        <f>IF($E1224="","",IF($C1224=12,INDEX(Input!$C$15:$CP$15,1,$B1224),0))</f>
        <v/>
      </c>
      <c r="V1224" s="150" t="str">
        <f>IF(E1224="","",IF(C1224=1,IF($B1224=1,Input!$C$33,Input!$C$34),0))</f>
        <v/>
      </c>
      <c r="W1224" s="156" t="str">
        <f>IF($E1224="","",Input!$C$35)</f>
        <v/>
      </c>
      <c r="X1224" s="156" t="str">
        <f t="shared" si="798"/>
        <v/>
      </c>
      <c r="Y1224" s="154"/>
      <c r="Z1224" s="147" t="str">
        <f>IF($E1224="","",VLOOKUP($D1224,'Mortality Margins &amp; Grading'!$AB$5:$AF$125,3,0)*IF(Summary!$D$25="Included Margin",IF(AND($B1224&gt;Input!$C$9,Summary!$D$31&lt;&gt;"Included Margin"),0,1),0))</f>
        <v/>
      </c>
      <c r="AA1224" s="147" t="str">
        <f>IF($E1224="","",VLOOKUP($D1224,'Mortality Margins &amp; Grading'!$AB$5:$AF$125,5,0)*IF(Summary!$D$25="Included Margin",IF(AND($B1224&gt;Input!$C$9,Summary!$D$31&lt;&gt;"Included Margin"),0,1),0))</f>
        <v/>
      </c>
      <c r="AB1224" s="147" t="str">
        <f>IF($E1224="","",IF(AND($B1224&gt;Input!$C$9,Summary!$D$31&lt;&gt;"Included Margin"),1,IF(Summary!$D$25="Included Margin",VLOOKUP($B1224,'Mortality Margins &amp; Grading'!$AI$5:$AR$125,MATCH('Mortality Margins &amp; Grading'!$AQ$4,'Mortality Margins &amp; Grading'!$AI$4:$AR$4,0),0),1)))</f>
        <v/>
      </c>
      <c r="AC1224" s="154"/>
      <c r="AD1224" s="158" t="str">
        <f>IF(E1224="","",Input!$C$48*IF(Summary!$D$30="Included Margin",IF(AND($B1224&gt;Input!$C$9,Summary!$D$31&lt;&gt;"Included Margin"),0,1),0))</f>
        <v/>
      </c>
      <c r="AE1224" s="159" t="str">
        <f>IF(E1224="","",IF(Summary!$D$26="Included Margin",IF(AND($B1224&gt;Input!$C$9,Summary!$D$31&lt;&gt;"Included Margin"),1,1/$R1224),1))</f>
        <v/>
      </c>
      <c r="AF1224" s="160" t="str">
        <f>IF(E1224="","",IF(AND($B1224&gt;=Input!$C$9,$C1224=12,Summary!$D$31="Included Margin",$U1224&gt;0),1/U1224-1,IF($B1224&gt;=Input!$C$9,0,Input!$C$45*IF(Summary!$D$27="Included Margin",1,0))))</f>
        <v/>
      </c>
      <c r="AG1224" s="160" t="str">
        <f>IF(E1224="","",Input!$C$46*IF(Summary!$D$28="Included Margin",IF(AND($B1224&gt;Input!$C$9,Summary!$D$31&lt;&gt;"Included Margin"),0,1),0))</f>
        <v/>
      </c>
      <c r="AH1224" s="158" t="str">
        <f>IF(E1224="","",Input!$C$47*IF(Summary!$D$29="Included Margin",IF(AND($B1224&gt;Input!$C$9,Summary!$D$31&lt;&gt;"Included Margin"),0,1),0))</f>
        <v/>
      </c>
      <c r="AI1224" s="154"/>
      <c r="AJ1224" s="158" t="str">
        <f t="shared" si="809"/>
        <v/>
      </c>
      <c r="AK1224" s="150" t="str">
        <f t="shared" si="810"/>
        <v/>
      </c>
      <c r="AL1224" s="147" t="str">
        <f t="shared" si="811"/>
        <v/>
      </c>
      <c r="AM1224" s="147" t="str">
        <f t="shared" si="799"/>
        <v/>
      </c>
      <c r="AN1224" s="160" t="str">
        <f t="shared" si="812"/>
        <v/>
      </c>
      <c r="AO1224" s="161" t="str">
        <f t="shared" si="813"/>
        <v/>
      </c>
      <c r="AP1224" s="156" t="str">
        <f t="shared" si="800"/>
        <v/>
      </c>
      <c r="AQ1224" s="152"/>
      <c r="AR1224" s="162" t="str">
        <f t="shared" si="801"/>
        <v/>
      </c>
      <c r="AS1224" s="150" t="str">
        <f t="shared" si="814"/>
        <v/>
      </c>
      <c r="AT1224" s="163" t="str">
        <f t="shared" si="802"/>
        <v/>
      </c>
      <c r="AU1224" s="163" t="str">
        <f t="shared" si="803"/>
        <v/>
      </c>
      <c r="AV1224" s="163" t="str">
        <f t="shared" si="815"/>
        <v/>
      </c>
      <c r="AW1224" s="163" t="str">
        <f t="shared" si="804"/>
        <v/>
      </c>
      <c r="AX1224" s="163" t="str">
        <f t="shared" si="805"/>
        <v/>
      </c>
      <c r="AY1224" s="150" t="str">
        <f t="shared" si="816"/>
        <v/>
      </c>
      <c r="AZ1224" s="150" t="str">
        <f>IF($E1224="","",IF(OR(AND($D1224=Input!$C$6,$C1224=12),$AN1224=1),0,-AS1225+AT1225+AU1225-AV1225-AW1225-AX1225+AZ1225))</f>
        <v/>
      </c>
      <c r="BA1224" s="154" t="str">
        <f t="shared" si="806"/>
        <v/>
      </c>
      <c r="BC1224" s="147" t="str">
        <f t="shared" si="817"/>
        <v/>
      </c>
      <c r="BD1224" s="164" t="str">
        <f>IF(AND($C1223=12,$D1223=Input!$C$6),0,IF($E1224="","",AT1224+(AU1224+BD1225)/(1+$AK1224)*MIN((1-AM1224-AN1224),1)))</f>
        <v/>
      </c>
      <c r="BH1224" s="152"/>
      <c r="BI1224" s="162" t="str">
        <f t="shared" si="790"/>
        <v/>
      </c>
      <c r="BJ1224" s="150" t="str">
        <f t="shared" si="791"/>
        <v/>
      </c>
      <c r="BK1224" s="163" t="str">
        <f t="shared" si="822"/>
        <v/>
      </c>
      <c r="BL1224" s="163" t="str">
        <f t="shared" si="792"/>
        <v/>
      </c>
      <c r="BM1224" s="163" t="str">
        <f t="shared" si="823"/>
        <v/>
      </c>
      <c r="BN1224" s="163" t="str">
        <f t="shared" si="793"/>
        <v/>
      </c>
      <c r="BO1224" s="163" t="str">
        <f t="shared" si="794"/>
        <v/>
      </c>
      <c r="BP1224" s="150" t="str">
        <f t="shared" si="824"/>
        <v/>
      </c>
      <c r="BQ1224" s="150" t="str">
        <f t="shared" si="818"/>
        <v/>
      </c>
      <c r="BR1224" s="154" t="str">
        <f t="shared" si="795"/>
        <v/>
      </c>
      <c r="BT1224" s="147"/>
    </row>
    <row r="1225" spans="1:72" s="150" customFormat="1" x14ac:dyDescent="0.25">
      <c r="A1225" s="150" t="str">
        <f t="shared" si="819"/>
        <v/>
      </c>
      <c r="B1225" s="150" t="str">
        <f t="shared" si="820"/>
        <v/>
      </c>
      <c r="C1225" s="150" t="str">
        <f t="shared" si="821"/>
        <v/>
      </c>
      <c r="D1225" s="150" t="str">
        <f>IF(E1225="","",Input!$C$4+B1225-1)</f>
        <v/>
      </c>
      <c r="E1225" s="150" t="str">
        <f>IF(OR(AND(C1224=12,D1224=Input!$C$6),E1224=""),"",1)</f>
        <v/>
      </c>
      <c r="G1225" s="151" t="str">
        <f>IF(E1225="","",MAX(0,Input!$C$9-B1225))</f>
        <v/>
      </c>
      <c r="H1225" s="152" t="str">
        <f>IF(E1225="","",Input!$C$3)</f>
        <v/>
      </c>
      <c r="I1225" s="153" t="str">
        <f>IF(E1225="","",HLOOKUP($B1225,Input!$C$13:$BT$14,2))</f>
        <v/>
      </c>
      <c r="J1225" s="154"/>
      <c r="K1225" s="150" t="str">
        <f>IF($E1225="","",INDEX(Input!$C$16:$CP$16,1,$B1225))</f>
        <v/>
      </c>
      <c r="L1225" s="150" t="str">
        <f>IF($E1225="","",Input!$C$37)</f>
        <v/>
      </c>
      <c r="M1225" s="150" t="str">
        <f t="shared" si="807"/>
        <v/>
      </c>
      <c r="N1225" s="150" t="str">
        <f t="shared" si="808"/>
        <v/>
      </c>
      <c r="O1225" s="147" t="str">
        <f>IF($E1225="","",MIN(VLOOKUP(IF($B1225&lt;=Input!$C$7,$B1225,26),'Mortality Tables'!$A$41:$CW$67,IF($B1225&lt;=Input!$C$7+1,Input!$C$4+2,$D1225-Input!$C$7+2),0)*IF(B1225&gt;20,Input!$C$22,1)/1000,1))</f>
        <v/>
      </c>
      <c r="P1225" s="147" t="str">
        <f>IF($E1225="","",MIN(VLOOKUP(IF($B1225&lt;=Input!$C$7,$B1225,26),'Mortality Tables'!$A$12:$CW$37,IF($B1225&lt;=Input!$C$7+1,Input!$C$4+2,$D1225-Input!$C$7+2),0)*IF(B1225&gt;20,Input!$C$22,1)/1000,1))</f>
        <v/>
      </c>
      <c r="Q1225" s="155" t="str">
        <f>IF($E1225="","",Input!$C$21)</f>
        <v/>
      </c>
      <c r="R1225" s="159" t="str">
        <f>IF($E1225="","",(1-Q1225)^($F1225-Input!$C$20))</f>
        <v/>
      </c>
      <c r="S1225" s="147" t="str">
        <f t="shared" si="796"/>
        <v/>
      </c>
      <c r="T1225" s="147" t="str">
        <f t="shared" si="797"/>
        <v/>
      </c>
      <c r="U1225" s="160" t="str">
        <f>IF($E1225="","",IF($C1225=12,INDEX(Input!$C$15:$CP$15,1,$B1225),0))</f>
        <v/>
      </c>
      <c r="V1225" s="150" t="str">
        <f>IF(E1225="","",IF(C1225=1,IF($B1225=1,Input!$C$33,Input!$C$34),0))</f>
        <v/>
      </c>
      <c r="W1225" s="156" t="str">
        <f>IF($E1225="","",Input!$C$35)</f>
        <v/>
      </c>
      <c r="X1225" s="156" t="str">
        <f t="shared" si="798"/>
        <v/>
      </c>
      <c r="Y1225" s="154"/>
      <c r="Z1225" s="147" t="str">
        <f>IF($E1225="","",VLOOKUP($D1225,'Mortality Margins &amp; Grading'!$AB$5:$AF$125,3,0)*IF(Summary!$D$25="Included Margin",IF(AND($B1225&gt;Input!$C$9,Summary!$D$31&lt;&gt;"Included Margin"),0,1),0))</f>
        <v/>
      </c>
      <c r="AA1225" s="147" t="str">
        <f>IF($E1225="","",VLOOKUP($D1225,'Mortality Margins &amp; Grading'!$AB$5:$AF$125,5,0)*IF(Summary!$D$25="Included Margin",IF(AND($B1225&gt;Input!$C$9,Summary!$D$31&lt;&gt;"Included Margin"),0,1),0))</f>
        <v/>
      </c>
      <c r="AB1225" s="147" t="str">
        <f>IF($E1225="","",IF(AND($B1225&gt;Input!$C$9,Summary!$D$31&lt;&gt;"Included Margin"),1,IF(Summary!$D$25="Included Margin",VLOOKUP($B1225,'Mortality Margins &amp; Grading'!$AI$5:$AR$125,MATCH('Mortality Margins &amp; Grading'!$AQ$4,'Mortality Margins &amp; Grading'!$AI$4:$AR$4,0),0),1)))</f>
        <v/>
      </c>
      <c r="AC1225" s="154"/>
      <c r="AD1225" s="158" t="str">
        <f>IF(E1225="","",Input!$C$48*IF(Summary!$D$30="Included Margin",IF(AND($B1225&gt;Input!$C$9,Summary!$D$31&lt;&gt;"Included Margin"),0,1),0))</f>
        <v/>
      </c>
      <c r="AE1225" s="159" t="str">
        <f>IF(E1225="","",IF(Summary!$D$26="Included Margin",IF(AND($B1225&gt;Input!$C$9,Summary!$D$31&lt;&gt;"Included Margin"),1,1/$R1225),1))</f>
        <v/>
      </c>
      <c r="AF1225" s="160" t="str">
        <f>IF(E1225="","",IF(AND($B1225&gt;=Input!$C$9,$C1225=12,Summary!$D$31="Included Margin",$U1225&gt;0),1/U1225-1,IF($B1225&gt;=Input!$C$9,0,Input!$C$45*IF(Summary!$D$27="Included Margin",1,0))))</f>
        <v/>
      </c>
      <c r="AG1225" s="160" t="str">
        <f>IF(E1225="","",Input!$C$46*IF(Summary!$D$28="Included Margin",IF(AND($B1225&gt;Input!$C$9,Summary!$D$31&lt;&gt;"Included Margin"),0,1),0))</f>
        <v/>
      </c>
      <c r="AH1225" s="158" t="str">
        <f>IF(E1225="","",Input!$C$47*IF(Summary!$D$29="Included Margin",IF(AND($B1225&gt;Input!$C$9,Summary!$D$31&lt;&gt;"Included Margin"),0,1),0))</f>
        <v/>
      </c>
      <c r="AI1225" s="154"/>
      <c r="AJ1225" s="158" t="str">
        <f t="shared" si="809"/>
        <v/>
      </c>
      <c r="AK1225" s="150" t="str">
        <f t="shared" si="810"/>
        <v/>
      </c>
      <c r="AL1225" s="147" t="str">
        <f t="shared" si="811"/>
        <v/>
      </c>
      <c r="AM1225" s="147" t="str">
        <f t="shared" si="799"/>
        <v/>
      </c>
      <c r="AN1225" s="160" t="str">
        <f t="shared" si="812"/>
        <v/>
      </c>
      <c r="AO1225" s="161" t="str">
        <f t="shared" si="813"/>
        <v/>
      </c>
      <c r="AP1225" s="156" t="str">
        <f t="shared" si="800"/>
        <v/>
      </c>
      <c r="AQ1225" s="152"/>
      <c r="AR1225" s="162" t="str">
        <f t="shared" si="801"/>
        <v/>
      </c>
      <c r="AS1225" s="150" t="str">
        <f t="shared" si="814"/>
        <v/>
      </c>
      <c r="AT1225" s="163" t="str">
        <f t="shared" si="802"/>
        <v/>
      </c>
      <c r="AU1225" s="163" t="str">
        <f t="shared" si="803"/>
        <v/>
      </c>
      <c r="AV1225" s="163" t="str">
        <f t="shared" si="815"/>
        <v/>
      </c>
      <c r="AW1225" s="163" t="str">
        <f t="shared" si="804"/>
        <v/>
      </c>
      <c r="AX1225" s="163" t="str">
        <f t="shared" si="805"/>
        <v/>
      </c>
      <c r="AY1225" s="150" t="str">
        <f t="shared" si="816"/>
        <v/>
      </c>
      <c r="AZ1225" s="150" t="str">
        <f>IF($E1225="","",IF(OR(AND($D1225=Input!$C$6,$C1225=12),$AN1225=1),0,-AS1226+AT1226+AU1226-AV1226-AW1226-AX1226+AZ1226))</f>
        <v/>
      </c>
      <c r="BA1225" s="154" t="str">
        <f t="shared" si="806"/>
        <v/>
      </c>
      <c r="BC1225" s="147" t="str">
        <f t="shared" si="817"/>
        <v/>
      </c>
      <c r="BD1225" s="164" t="str">
        <f>IF(AND($C1224=12,$D1224=Input!$C$6),0,IF($E1225="","",AT1225+(AU1225+BD1226)/(1+$AK1225)*MIN((1-AM1225-AN1225),1)))</f>
        <v/>
      </c>
      <c r="BH1225" s="152"/>
      <c r="BI1225" s="162" t="str">
        <f t="shared" si="790"/>
        <v/>
      </c>
      <c r="BJ1225" s="150" t="str">
        <f t="shared" si="791"/>
        <v/>
      </c>
      <c r="BK1225" s="163" t="str">
        <f t="shared" si="822"/>
        <v/>
      </c>
      <c r="BL1225" s="163" t="str">
        <f t="shared" si="792"/>
        <v/>
      </c>
      <c r="BM1225" s="163" t="str">
        <f t="shared" si="823"/>
        <v/>
      </c>
      <c r="BN1225" s="163" t="str">
        <f t="shared" si="793"/>
        <v/>
      </c>
      <c r="BO1225" s="163" t="str">
        <f t="shared" si="794"/>
        <v/>
      </c>
      <c r="BP1225" s="150" t="str">
        <f t="shared" si="824"/>
        <v/>
      </c>
      <c r="BQ1225" s="150" t="str">
        <f t="shared" si="818"/>
        <v/>
      </c>
      <c r="BR1225" s="154" t="str">
        <f t="shared" si="795"/>
        <v/>
      </c>
      <c r="BT1225" s="147"/>
    </row>
    <row r="1226" spans="1:72" s="150" customFormat="1" x14ac:dyDescent="0.25">
      <c r="A1226" s="150" t="str">
        <f t="shared" si="819"/>
        <v/>
      </c>
      <c r="B1226" s="150" t="str">
        <f t="shared" si="820"/>
        <v/>
      </c>
      <c r="C1226" s="150" t="str">
        <f t="shared" si="821"/>
        <v/>
      </c>
      <c r="D1226" s="150" t="str">
        <f>IF(E1226="","",Input!$C$4+B1226-1)</f>
        <v/>
      </c>
      <c r="E1226" s="150" t="str">
        <f>IF(OR(AND(C1225=12,D1225=Input!$C$6),E1225=""),"",1)</f>
        <v/>
      </c>
      <c r="G1226" s="151" t="str">
        <f>IF(E1226="","",MAX(0,Input!$C$9-B1226))</f>
        <v/>
      </c>
      <c r="H1226" s="152" t="str">
        <f>IF(E1226="","",Input!$C$3)</f>
        <v/>
      </c>
      <c r="I1226" s="153" t="str">
        <f>IF(E1226="","",HLOOKUP($B1226,Input!$C$13:$BT$14,2))</f>
        <v/>
      </c>
      <c r="J1226" s="154"/>
      <c r="K1226" s="150" t="str">
        <f>IF($E1226="","",INDEX(Input!$C$16:$CP$16,1,$B1226))</f>
        <v/>
      </c>
      <c r="L1226" s="150" t="str">
        <f>IF($E1226="","",Input!$C$37)</f>
        <v/>
      </c>
      <c r="M1226" s="150" t="str">
        <f t="shared" si="807"/>
        <v/>
      </c>
      <c r="N1226" s="150" t="str">
        <f t="shared" si="808"/>
        <v/>
      </c>
      <c r="O1226" s="147" t="str">
        <f>IF($E1226="","",MIN(VLOOKUP(IF($B1226&lt;=Input!$C$7,$B1226,26),'Mortality Tables'!$A$41:$CW$67,IF($B1226&lt;=Input!$C$7+1,Input!$C$4+2,$D1226-Input!$C$7+2),0)*IF(B1226&gt;20,Input!$C$22,1)/1000,1))</f>
        <v/>
      </c>
      <c r="P1226" s="147" t="str">
        <f>IF($E1226="","",MIN(VLOOKUP(IF($B1226&lt;=Input!$C$7,$B1226,26),'Mortality Tables'!$A$12:$CW$37,IF($B1226&lt;=Input!$C$7+1,Input!$C$4+2,$D1226-Input!$C$7+2),0)*IF(B1226&gt;20,Input!$C$22,1)/1000,1))</f>
        <v/>
      </c>
      <c r="Q1226" s="155" t="str">
        <f>IF($E1226="","",Input!$C$21)</f>
        <v/>
      </c>
      <c r="R1226" s="159" t="str">
        <f>IF($E1226="","",(1-Q1226)^($F1226-Input!$C$20))</f>
        <v/>
      </c>
      <c r="S1226" s="147" t="str">
        <f t="shared" si="796"/>
        <v/>
      </c>
      <c r="T1226" s="147" t="str">
        <f t="shared" si="797"/>
        <v/>
      </c>
      <c r="U1226" s="160" t="str">
        <f>IF($E1226="","",IF($C1226=12,INDEX(Input!$C$15:$CP$15,1,$B1226),0))</f>
        <v/>
      </c>
      <c r="V1226" s="150" t="str">
        <f>IF(E1226="","",IF(C1226=1,IF($B1226=1,Input!$C$33,Input!$C$34),0))</f>
        <v/>
      </c>
      <c r="W1226" s="156" t="str">
        <f>IF($E1226="","",Input!$C$35)</f>
        <v/>
      </c>
      <c r="X1226" s="156" t="str">
        <f t="shared" si="798"/>
        <v/>
      </c>
      <c r="Y1226" s="154"/>
      <c r="Z1226" s="147" t="str">
        <f>IF($E1226="","",VLOOKUP($D1226,'Mortality Margins &amp; Grading'!$AB$5:$AF$125,3,0)*IF(Summary!$D$25="Included Margin",IF(AND($B1226&gt;Input!$C$9,Summary!$D$31&lt;&gt;"Included Margin"),0,1),0))</f>
        <v/>
      </c>
      <c r="AA1226" s="147" t="str">
        <f>IF($E1226="","",VLOOKUP($D1226,'Mortality Margins &amp; Grading'!$AB$5:$AF$125,5,0)*IF(Summary!$D$25="Included Margin",IF(AND($B1226&gt;Input!$C$9,Summary!$D$31&lt;&gt;"Included Margin"),0,1),0))</f>
        <v/>
      </c>
      <c r="AB1226" s="147" t="str">
        <f>IF($E1226="","",IF(AND($B1226&gt;Input!$C$9,Summary!$D$31&lt;&gt;"Included Margin"),1,IF(Summary!$D$25="Included Margin",VLOOKUP($B1226,'Mortality Margins &amp; Grading'!$AI$5:$AR$125,MATCH('Mortality Margins &amp; Grading'!$AQ$4,'Mortality Margins &amp; Grading'!$AI$4:$AR$4,0),0),1)))</f>
        <v/>
      </c>
      <c r="AC1226" s="154"/>
      <c r="AD1226" s="158" t="str">
        <f>IF(E1226="","",Input!$C$48*IF(Summary!$D$30="Included Margin",IF(AND($B1226&gt;Input!$C$9,Summary!$D$31&lt;&gt;"Included Margin"),0,1),0))</f>
        <v/>
      </c>
      <c r="AE1226" s="159" t="str">
        <f>IF(E1226="","",IF(Summary!$D$26="Included Margin",IF(AND($B1226&gt;Input!$C$9,Summary!$D$31&lt;&gt;"Included Margin"),1,1/$R1226),1))</f>
        <v/>
      </c>
      <c r="AF1226" s="160" t="str">
        <f>IF(E1226="","",IF(AND($B1226&gt;=Input!$C$9,$C1226=12,Summary!$D$31="Included Margin",$U1226&gt;0),1/U1226-1,IF($B1226&gt;=Input!$C$9,0,Input!$C$45*IF(Summary!$D$27="Included Margin",1,0))))</f>
        <v/>
      </c>
      <c r="AG1226" s="160" t="str">
        <f>IF(E1226="","",Input!$C$46*IF(Summary!$D$28="Included Margin",IF(AND($B1226&gt;Input!$C$9,Summary!$D$31&lt;&gt;"Included Margin"),0,1),0))</f>
        <v/>
      </c>
      <c r="AH1226" s="158" t="str">
        <f>IF(E1226="","",Input!$C$47*IF(Summary!$D$29="Included Margin",IF(AND($B1226&gt;Input!$C$9,Summary!$D$31&lt;&gt;"Included Margin"),0,1),0))</f>
        <v/>
      </c>
      <c r="AI1226" s="154"/>
      <c r="AJ1226" s="158" t="str">
        <f t="shared" si="809"/>
        <v/>
      </c>
      <c r="AK1226" s="150" t="str">
        <f t="shared" si="810"/>
        <v/>
      </c>
      <c r="AL1226" s="147" t="str">
        <f t="shared" si="811"/>
        <v/>
      </c>
      <c r="AM1226" s="147" t="str">
        <f t="shared" si="799"/>
        <v/>
      </c>
      <c r="AN1226" s="160" t="str">
        <f t="shared" si="812"/>
        <v/>
      </c>
      <c r="AO1226" s="161" t="str">
        <f t="shared" si="813"/>
        <v/>
      </c>
      <c r="AP1226" s="156" t="str">
        <f t="shared" si="800"/>
        <v/>
      </c>
      <c r="AQ1226" s="152"/>
      <c r="AR1226" s="162" t="str">
        <f t="shared" si="801"/>
        <v/>
      </c>
      <c r="AS1226" s="150" t="str">
        <f t="shared" si="814"/>
        <v/>
      </c>
      <c r="AT1226" s="163" t="str">
        <f t="shared" si="802"/>
        <v/>
      </c>
      <c r="AU1226" s="163" t="str">
        <f t="shared" si="803"/>
        <v/>
      </c>
      <c r="AV1226" s="163" t="str">
        <f t="shared" si="815"/>
        <v/>
      </c>
      <c r="AW1226" s="163" t="str">
        <f t="shared" si="804"/>
        <v/>
      </c>
      <c r="AX1226" s="163" t="str">
        <f t="shared" si="805"/>
        <v/>
      </c>
      <c r="AY1226" s="150" t="str">
        <f t="shared" si="816"/>
        <v/>
      </c>
      <c r="AZ1226" s="150" t="str">
        <f>IF($E1226="","",IF(OR(AND($D1226=Input!$C$6,$C1226=12),$AN1226=1),0,-AS1227+AT1227+AU1227-AV1227-AW1227-AX1227+AZ1227))</f>
        <v/>
      </c>
      <c r="BA1226" s="154" t="str">
        <f t="shared" si="806"/>
        <v/>
      </c>
      <c r="BC1226" s="147" t="str">
        <f t="shared" si="817"/>
        <v/>
      </c>
      <c r="BD1226" s="164" t="str">
        <f>IF(AND($C1225=12,$D1225=Input!$C$6),0,IF($E1226="","",AT1226+(AU1226+BD1227)/(1+$AK1226)*MIN((1-AM1226-AN1226),1)))</f>
        <v/>
      </c>
      <c r="BH1226" s="152"/>
      <c r="BI1226" s="162" t="str">
        <f t="shared" si="790"/>
        <v/>
      </c>
      <c r="BJ1226" s="150" t="str">
        <f t="shared" si="791"/>
        <v/>
      </c>
      <c r="BK1226" s="163" t="str">
        <f t="shared" si="822"/>
        <v/>
      </c>
      <c r="BL1226" s="163" t="str">
        <f t="shared" si="792"/>
        <v/>
      </c>
      <c r="BM1226" s="163" t="str">
        <f t="shared" si="823"/>
        <v/>
      </c>
      <c r="BN1226" s="163" t="str">
        <f t="shared" si="793"/>
        <v/>
      </c>
      <c r="BO1226" s="163" t="str">
        <f t="shared" si="794"/>
        <v/>
      </c>
      <c r="BP1226" s="150" t="str">
        <f t="shared" si="824"/>
        <v/>
      </c>
      <c r="BQ1226" s="150" t="str">
        <f t="shared" si="818"/>
        <v/>
      </c>
      <c r="BR1226" s="154" t="str">
        <f t="shared" si="795"/>
        <v/>
      </c>
      <c r="BT1226" s="147"/>
    </row>
    <row r="1227" spans="1:72" s="150" customFormat="1" x14ac:dyDescent="0.25">
      <c r="A1227" s="150" t="str">
        <f t="shared" si="819"/>
        <v/>
      </c>
      <c r="B1227" s="150" t="str">
        <f t="shared" si="820"/>
        <v/>
      </c>
      <c r="C1227" s="150" t="str">
        <f t="shared" si="821"/>
        <v/>
      </c>
      <c r="D1227" s="150" t="str">
        <f>IF(E1227="","",Input!$C$4+B1227-1)</f>
        <v/>
      </c>
      <c r="E1227" s="150" t="str">
        <f>IF(OR(AND(C1226=12,D1226=Input!$C$6),E1226=""),"",1)</f>
        <v/>
      </c>
      <c r="G1227" s="151" t="str">
        <f>IF(E1227="","",MAX(0,Input!$C$9-B1227))</f>
        <v/>
      </c>
      <c r="H1227" s="152" t="str">
        <f>IF(E1227="","",Input!$C$3)</f>
        <v/>
      </c>
      <c r="I1227" s="153" t="str">
        <f>IF(E1227="","",HLOOKUP($B1227,Input!$C$13:$BT$14,2))</f>
        <v/>
      </c>
      <c r="J1227" s="154"/>
      <c r="K1227" s="150" t="str">
        <f>IF($E1227="","",INDEX(Input!$C$16:$CP$16,1,$B1227))</f>
        <v/>
      </c>
      <c r="L1227" s="150" t="str">
        <f>IF($E1227="","",Input!$C$37)</f>
        <v/>
      </c>
      <c r="M1227" s="150" t="str">
        <f t="shared" si="807"/>
        <v/>
      </c>
      <c r="N1227" s="150" t="str">
        <f t="shared" si="808"/>
        <v/>
      </c>
      <c r="O1227" s="147" t="str">
        <f>IF($E1227="","",MIN(VLOOKUP(IF($B1227&lt;=Input!$C$7,$B1227,26),'Mortality Tables'!$A$41:$CW$67,IF($B1227&lt;=Input!$C$7+1,Input!$C$4+2,$D1227-Input!$C$7+2),0)*IF(B1227&gt;20,Input!$C$22,1)/1000,1))</f>
        <v/>
      </c>
      <c r="P1227" s="147" t="str">
        <f>IF($E1227="","",MIN(VLOOKUP(IF($B1227&lt;=Input!$C$7,$B1227,26),'Mortality Tables'!$A$12:$CW$37,IF($B1227&lt;=Input!$C$7+1,Input!$C$4+2,$D1227-Input!$C$7+2),0)*IF(B1227&gt;20,Input!$C$22,1)/1000,1))</f>
        <v/>
      </c>
      <c r="Q1227" s="155" t="str">
        <f>IF($E1227="","",Input!$C$21)</f>
        <v/>
      </c>
      <c r="R1227" s="159" t="str">
        <f>IF($E1227="","",(1-Q1227)^($F1227-Input!$C$20))</f>
        <v/>
      </c>
      <c r="S1227" s="147" t="str">
        <f t="shared" si="796"/>
        <v/>
      </c>
      <c r="T1227" s="147" t="str">
        <f t="shared" si="797"/>
        <v/>
      </c>
      <c r="U1227" s="160" t="str">
        <f>IF($E1227="","",IF($C1227=12,INDEX(Input!$C$15:$CP$15,1,$B1227),0))</f>
        <v/>
      </c>
      <c r="V1227" s="150" t="str">
        <f>IF(E1227="","",IF(C1227=1,IF($B1227=1,Input!$C$33,Input!$C$34),0))</f>
        <v/>
      </c>
      <c r="W1227" s="156" t="str">
        <f>IF($E1227="","",Input!$C$35)</f>
        <v/>
      </c>
      <c r="X1227" s="156" t="str">
        <f t="shared" si="798"/>
        <v/>
      </c>
      <c r="Y1227" s="154"/>
      <c r="Z1227" s="147" t="str">
        <f>IF($E1227="","",VLOOKUP($D1227,'Mortality Margins &amp; Grading'!$AB$5:$AF$125,3,0)*IF(Summary!$D$25="Included Margin",IF(AND($B1227&gt;Input!$C$9,Summary!$D$31&lt;&gt;"Included Margin"),0,1),0))</f>
        <v/>
      </c>
      <c r="AA1227" s="147" t="str">
        <f>IF($E1227="","",VLOOKUP($D1227,'Mortality Margins &amp; Grading'!$AB$5:$AF$125,5,0)*IF(Summary!$D$25="Included Margin",IF(AND($B1227&gt;Input!$C$9,Summary!$D$31&lt;&gt;"Included Margin"),0,1),0))</f>
        <v/>
      </c>
      <c r="AB1227" s="147" t="str">
        <f>IF($E1227="","",IF(AND($B1227&gt;Input!$C$9,Summary!$D$31&lt;&gt;"Included Margin"),1,IF(Summary!$D$25="Included Margin",VLOOKUP($B1227,'Mortality Margins &amp; Grading'!$AI$5:$AR$125,MATCH('Mortality Margins &amp; Grading'!$AQ$4,'Mortality Margins &amp; Grading'!$AI$4:$AR$4,0),0),1)))</f>
        <v/>
      </c>
      <c r="AC1227" s="154"/>
      <c r="AD1227" s="158" t="str">
        <f>IF(E1227="","",Input!$C$48*IF(Summary!$D$30="Included Margin",IF(AND($B1227&gt;Input!$C$9,Summary!$D$31&lt;&gt;"Included Margin"),0,1),0))</f>
        <v/>
      </c>
      <c r="AE1227" s="159" t="str">
        <f>IF(E1227="","",IF(Summary!$D$26="Included Margin",IF(AND($B1227&gt;Input!$C$9,Summary!$D$31&lt;&gt;"Included Margin"),1,1/$R1227),1))</f>
        <v/>
      </c>
      <c r="AF1227" s="160" t="str">
        <f>IF(E1227="","",IF(AND($B1227&gt;=Input!$C$9,$C1227=12,Summary!$D$31="Included Margin",$U1227&gt;0),1/U1227-1,IF($B1227&gt;=Input!$C$9,0,Input!$C$45*IF(Summary!$D$27="Included Margin",1,0))))</f>
        <v/>
      </c>
      <c r="AG1227" s="160" t="str">
        <f>IF(E1227="","",Input!$C$46*IF(Summary!$D$28="Included Margin",IF(AND($B1227&gt;Input!$C$9,Summary!$D$31&lt;&gt;"Included Margin"),0,1),0))</f>
        <v/>
      </c>
      <c r="AH1227" s="158" t="str">
        <f>IF(E1227="","",Input!$C$47*IF(Summary!$D$29="Included Margin",IF(AND($B1227&gt;Input!$C$9,Summary!$D$31&lt;&gt;"Included Margin"),0,1),0))</f>
        <v/>
      </c>
      <c r="AI1227" s="154"/>
      <c r="AJ1227" s="158" t="str">
        <f t="shared" si="809"/>
        <v/>
      </c>
      <c r="AK1227" s="150" t="str">
        <f t="shared" si="810"/>
        <v/>
      </c>
      <c r="AL1227" s="147" t="str">
        <f t="shared" si="811"/>
        <v/>
      </c>
      <c r="AM1227" s="147" t="str">
        <f t="shared" si="799"/>
        <v/>
      </c>
      <c r="AN1227" s="160" t="str">
        <f t="shared" si="812"/>
        <v/>
      </c>
      <c r="AO1227" s="161" t="str">
        <f t="shared" si="813"/>
        <v/>
      </c>
      <c r="AP1227" s="156" t="str">
        <f t="shared" si="800"/>
        <v/>
      </c>
      <c r="AQ1227" s="152"/>
      <c r="AR1227" s="162" t="str">
        <f t="shared" si="801"/>
        <v/>
      </c>
      <c r="AS1227" s="150" t="str">
        <f t="shared" si="814"/>
        <v/>
      </c>
      <c r="AT1227" s="163" t="str">
        <f t="shared" si="802"/>
        <v/>
      </c>
      <c r="AU1227" s="163" t="str">
        <f t="shared" si="803"/>
        <v/>
      </c>
      <c r="AV1227" s="163" t="str">
        <f t="shared" si="815"/>
        <v/>
      </c>
      <c r="AW1227" s="163" t="str">
        <f t="shared" si="804"/>
        <v/>
      </c>
      <c r="AX1227" s="163" t="str">
        <f t="shared" si="805"/>
        <v/>
      </c>
      <c r="AY1227" s="150" t="str">
        <f t="shared" si="816"/>
        <v/>
      </c>
      <c r="AZ1227" s="150" t="str">
        <f>IF($E1227="","",IF(OR(AND($D1227=Input!$C$6,$C1227=12),$AN1227=1),0,-AS1228+AT1228+AU1228-AV1228-AW1228-AX1228+AZ1228))</f>
        <v/>
      </c>
      <c r="BA1227" s="154" t="str">
        <f t="shared" si="806"/>
        <v/>
      </c>
      <c r="BC1227" s="147" t="str">
        <f t="shared" si="817"/>
        <v/>
      </c>
      <c r="BD1227" s="164" t="str">
        <f>IF(AND($C1226=12,$D1226=Input!$C$6),0,IF($E1227="","",AT1227+(AU1227+BD1228)/(1+$AK1227)*MIN((1-AM1227-AN1227),1)))</f>
        <v/>
      </c>
      <c r="BH1227" s="152"/>
      <c r="BI1227" s="162" t="str">
        <f t="shared" si="790"/>
        <v/>
      </c>
      <c r="BJ1227" s="150" t="str">
        <f t="shared" si="791"/>
        <v/>
      </c>
      <c r="BK1227" s="163" t="str">
        <f t="shared" si="822"/>
        <v/>
      </c>
      <c r="BL1227" s="163" t="str">
        <f t="shared" si="792"/>
        <v/>
      </c>
      <c r="BM1227" s="163" t="str">
        <f t="shared" si="823"/>
        <v/>
      </c>
      <c r="BN1227" s="163" t="str">
        <f t="shared" si="793"/>
        <v/>
      </c>
      <c r="BO1227" s="163" t="str">
        <f t="shared" si="794"/>
        <v/>
      </c>
      <c r="BP1227" s="150" t="str">
        <f t="shared" si="824"/>
        <v/>
      </c>
      <c r="BQ1227" s="150" t="str">
        <f t="shared" si="818"/>
        <v/>
      </c>
      <c r="BR1227" s="154" t="str">
        <f t="shared" si="795"/>
        <v/>
      </c>
      <c r="BT1227" s="147"/>
    </row>
    <row r="1228" spans="1:72" s="150" customFormat="1" x14ac:dyDescent="0.25">
      <c r="A1228" s="150" t="str">
        <f t="shared" si="819"/>
        <v/>
      </c>
      <c r="B1228" s="150" t="str">
        <f t="shared" si="820"/>
        <v/>
      </c>
      <c r="C1228" s="150" t="str">
        <f t="shared" si="821"/>
        <v/>
      </c>
      <c r="D1228" s="150" t="str">
        <f>IF(E1228="","",Input!$C$4+B1228-1)</f>
        <v/>
      </c>
      <c r="E1228" s="150" t="str">
        <f>IF(OR(AND(C1227=12,D1227=Input!$C$6),E1227=""),"",1)</f>
        <v/>
      </c>
      <c r="G1228" s="151" t="str">
        <f>IF(E1228="","",MAX(0,Input!$C$9-B1228))</f>
        <v/>
      </c>
      <c r="H1228" s="152" t="str">
        <f>IF(E1228="","",Input!$C$3)</f>
        <v/>
      </c>
      <c r="I1228" s="153" t="str">
        <f>IF(E1228="","",HLOOKUP($B1228,Input!$C$13:$BT$14,2))</f>
        <v/>
      </c>
      <c r="J1228" s="154"/>
      <c r="K1228" s="150" t="str">
        <f>IF($E1228="","",INDEX(Input!$C$16:$CP$16,1,$B1228))</f>
        <v/>
      </c>
      <c r="L1228" s="150" t="str">
        <f>IF($E1228="","",Input!$C$37)</f>
        <v/>
      </c>
      <c r="M1228" s="150" t="str">
        <f t="shared" si="807"/>
        <v/>
      </c>
      <c r="N1228" s="150" t="str">
        <f t="shared" si="808"/>
        <v/>
      </c>
      <c r="O1228" s="147" t="str">
        <f>IF($E1228="","",MIN(VLOOKUP(IF($B1228&lt;=Input!$C$7,$B1228,26),'Mortality Tables'!$A$41:$CW$67,IF($B1228&lt;=Input!$C$7+1,Input!$C$4+2,$D1228-Input!$C$7+2),0)*IF(B1228&gt;20,Input!$C$22,1)/1000,1))</f>
        <v/>
      </c>
      <c r="P1228" s="147" t="str">
        <f>IF($E1228="","",MIN(VLOOKUP(IF($B1228&lt;=Input!$C$7,$B1228,26),'Mortality Tables'!$A$12:$CW$37,IF($B1228&lt;=Input!$C$7+1,Input!$C$4+2,$D1228-Input!$C$7+2),0)*IF(B1228&gt;20,Input!$C$22,1)/1000,1))</f>
        <v/>
      </c>
      <c r="Q1228" s="155" t="str">
        <f>IF($E1228="","",Input!$C$21)</f>
        <v/>
      </c>
      <c r="R1228" s="159" t="str">
        <f>IF($E1228="","",(1-Q1228)^($F1228-Input!$C$20))</f>
        <v/>
      </c>
      <c r="S1228" s="147" t="str">
        <f t="shared" si="796"/>
        <v/>
      </c>
      <c r="T1228" s="147" t="str">
        <f t="shared" si="797"/>
        <v/>
      </c>
      <c r="U1228" s="160" t="str">
        <f>IF($E1228="","",IF($C1228=12,INDEX(Input!$C$15:$CP$15,1,$B1228),0))</f>
        <v/>
      </c>
      <c r="V1228" s="150" t="str">
        <f>IF(E1228="","",IF(C1228=1,IF($B1228=1,Input!$C$33,Input!$C$34),0))</f>
        <v/>
      </c>
      <c r="W1228" s="156" t="str">
        <f>IF($E1228="","",Input!$C$35)</f>
        <v/>
      </c>
      <c r="X1228" s="156" t="str">
        <f t="shared" si="798"/>
        <v/>
      </c>
      <c r="Y1228" s="154"/>
      <c r="Z1228" s="147" t="str">
        <f>IF($E1228="","",VLOOKUP($D1228,'Mortality Margins &amp; Grading'!$AB$5:$AF$125,3,0)*IF(Summary!$D$25="Included Margin",IF(AND($B1228&gt;Input!$C$9,Summary!$D$31&lt;&gt;"Included Margin"),0,1),0))</f>
        <v/>
      </c>
      <c r="AA1228" s="147" t="str">
        <f>IF($E1228="","",VLOOKUP($D1228,'Mortality Margins &amp; Grading'!$AB$5:$AF$125,5,0)*IF(Summary!$D$25="Included Margin",IF(AND($B1228&gt;Input!$C$9,Summary!$D$31&lt;&gt;"Included Margin"),0,1),0))</f>
        <v/>
      </c>
      <c r="AB1228" s="147" t="str">
        <f>IF($E1228="","",IF(AND($B1228&gt;Input!$C$9,Summary!$D$31&lt;&gt;"Included Margin"),1,IF(Summary!$D$25="Included Margin",VLOOKUP($B1228,'Mortality Margins &amp; Grading'!$AI$5:$AR$125,MATCH('Mortality Margins &amp; Grading'!$AQ$4,'Mortality Margins &amp; Grading'!$AI$4:$AR$4,0),0),1)))</f>
        <v/>
      </c>
      <c r="AC1228" s="154"/>
      <c r="AD1228" s="158" t="str">
        <f>IF(E1228="","",Input!$C$48*IF(Summary!$D$30="Included Margin",IF(AND($B1228&gt;Input!$C$9,Summary!$D$31&lt;&gt;"Included Margin"),0,1),0))</f>
        <v/>
      </c>
      <c r="AE1228" s="159" t="str">
        <f>IF(E1228="","",IF(Summary!$D$26="Included Margin",IF(AND($B1228&gt;Input!$C$9,Summary!$D$31&lt;&gt;"Included Margin"),1,1/$R1228),1))</f>
        <v/>
      </c>
      <c r="AF1228" s="160" t="str">
        <f>IF(E1228="","",IF(AND($B1228&gt;=Input!$C$9,$C1228=12,Summary!$D$31="Included Margin",$U1228&gt;0),1/U1228-1,IF($B1228&gt;=Input!$C$9,0,Input!$C$45*IF(Summary!$D$27="Included Margin",1,0))))</f>
        <v/>
      </c>
      <c r="AG1228" s="160" t="str">
        <f>IF(E1228="","",Input!$C$46*IF(Summary!$D$28="Included Margin",IF(AND($B1228&gt;Input!$C$9,Summary!$D$31&lt;&gt;"Included Margin"),0,1),0))</f>
        <v/>
      </c>
      <c r="AH1228" s="158" t="str">
        <f>IF(E1228="","",Input!$C$47*IF(Summary!$D$29="Included Margin",IF(AND($B1228&gt;Input!$C$9,Summary!$D$31&lt;&gt;"Included Margin"),0,1),0))</f>
        <v/>
      </c>
      <c r="AI1228" s="154"/>
      <c r="AJ1228" s="158" t="str">
        <f t="shared" si="809"/>
        <v/>
      </c>
      <c r="AK1228" s="150" t="str">
        <f t="shared" si="810"/>
        <v/>
      </c>
      <c r="AL1228" s="147" t="str">
        <f t="shared" si="811"/>
        <v/>
      </c>
      <c r="AM1228" s="147" t="str">
        <f t="shared" si="799"/>
        <v/>
      </c>
      <c r="AN1228" s="160" t="str">
        <f t="shared" si="812"/>
        <v/>
      </c>
      <c r="AO1228" s="161" t="str">
        <f t="shared" si="813"/>
        <v/>
      </c>
      <c r="AP1228" s="156" t="str">
        <f t="shared" si="800"/>
        <v/>
      </c>
      <c r="AQ1228" s="152"/>
      <c r="AR1228" s="162" t="str">
        <f t="shared" si="801"/>
        <v/>
      </c>
      <c r="AS1228" s="150" t="str">
        <f t="shared" si="814"/>
        <v/>
      </c>
      <c r="AT1228" s="163" t="str">
        <f t="shared" si="802"/>
        <v/>
      </c>
      <c r="AU1228" s="163" t="str">
        <f t="shared" si="803"/>
        <v/>
      </c>
      <c r="AV1228" s="163" t="str">
        <f t="shared" si="815"/>
        <v/>
      </c>
      <c r="AW1228" s="163" t="str">
        <f t="shared" si="804"/>
        <v/>
      </c>
      <c r="AX1228" s="163" t="str">
        <f t="shared" si="805"/>
        <v/>
      </c>
      <c r="AY1228" s="150" t="str">
        <f t="shared" si="816"/>
        <v/>
      </c>
      <c r="AZ1228" s="150" t="str">
        <f>IF($E1228="","",IF(OR(AND($D1228=Input!$C$6,$C1228=12),$AN1228=1),0,-AS1229+AT1229+AU1229-AV1229-AW1229-AX1229+AZ1229))</f>
        <v/>
      </c>
      <c r="BA1228" s="154" t="str">
        <f t="shared" si="806"/>
        <v/>
      </c>
      <c r="BC1228" s="147" t="str">
        <f t="shared" si="817"/>
        <v/>
      </c>
      <c r="BD1228" s="164" t="str">
        <f>IF(AND($C1227=12,$D1227=Input!$C$6),0,IF($E1228="","",AT1228+(AU1228+BD1229)/(1+$AK1228)*MIN((1-AM1228-AN1228),1)))</f>
        <v/>
      </c>
      <c r="BH1228" s="152"/>
      <c r="BI1228" s="162" t="str">
        <f t="shared" si="790"/>
        <v/>
      </c>
      <c r="BJ1228" s="150" t="str">
        <f t="shared" si="791"/>
        <v/>
      </c>
      <c r="BK1228" s="163" t="str">
        <f t="shared" si="822"/>
        <v/>
      </c>
      <c r="BL1228" s="163" t="str">
        <f t="shared" si="792"/>
        <v/>
      </c>
      <c r="BM1228" s="163" t="str">
        <f t="shared" si="823"/>
        <v/>
      </c>
      <c r="BN1228" s="163" t="str">
        <f t="shared" si="793"/>
        <v/>
      </c>
      <c r="BO1228" s="163" t="str">
        <f t="shared" si="794"/>
        <v/>
      </c>
      <c r="BP1228" s="150" t="str">
        <f t="shared" si="824"/>
        <v/>
      </c>
      <c r="BQ1228" s="150" t="str">
        <f t="shared" si="818"/>
        <v/>
      </c>
      <c r="BR1228" s="154" t="str">
        <f t="shared" si="795"/>
        <v/>
      </c>
      <c r="BT1228" s="147"/>
    </row>
    <row r="1229" spans="1:72" s="150" customFormat="1" x14ac:dyDescent="0.25">
      <c r="A1229" s="150" t="str">
        <f t="shared" si="819"/>
        <v/>
      </c>
      <c r="B1229" s="150" t="str">
        <f t="shared" si="820"/>
        <v/>
      </c>
      <c r="C1229" s="150" t="str">
        <f t="shared" si="821"/>
        <v/>
      </c>
      <c r="D1229" s="150" t="str">
        <f>IF(E1229="","",Input!$C$4+B1229-1)</f>
        <v/>
      </c>
      <c r="E1229" s="150" t="str">
        <f>IF(OR(AND(C1228=12,D1228=Input!$C$6),E1228=""),"",1)</f>
        <v/>
      </c>
      <c r="G1229" s="151" t="str">
        <f>IF(E1229="","",MAX(0,Input!$C$9-B1229))</f>
        <v/>
      </c>
      <c r="H1229" s="152" t="str">
        <f>IF(E1229="","",Input!$C$3)</f>
        <v/>
      </c>
      <c r="I1229" s="153" t="str">
        <f>IF(E1229="","",HLOOKUP($B1229,Input!$C$13:$BT$14,2))</f>
        <v/>
      </c>
      <c r="J1229" s="154"/>
      <c r="K1229" s="150" t="str">
        <f>IF($E1229="","",INDEX(Input!$C$16:$CP$16,1,$B1229))</f>
        <v/>
      </c>
      <c r="L1229" s="150" t="str">
        <f>IF($E1229="","",Input!$C$37)</f>
        <v/>
      </c>
      <c r="M1229" s="150" t="str">
        <f t="shared" si="807"/>
        <v/>
      </c>
      <c r="N1229" s="150" t="str">
        <f t="shared" si="808"/>
        <v/>
      </c>
      <c r="O1229" s="147" t="str">
        <f>IF($E1229="","",MIN(VLOOKUP(IF($B1229&lt;=Input!$C$7,$B1229,26),'Mortality Tables'!$A$41:$CW$67,IF($B1229&lt;=Input!$C$7+1,Input!$C$4+2,$D1229-Input!$C$7+2),0)*IF(B1229&gt;20,Input!$C$22,1)/1000,1))</f>
        <v/>
      </c>
      <c r="P1229" s="147" t="str">
        <f>IF($E1229="","",MIN(VLOOKUP(IF($B1229&lt;=Input!$C$7,$B1229,26),'Mortality Tables'!$A$12:$CW$37,IF($B1229&lt;=Input!$C$7+1,Input!$C$4+2,$D1229-Input!$C$7+2),0)*IF(B1229&gt;20,Input!$C$22,1)/1000,1))</f>
        <v/>
      </c>
      <c r="Q1229" s="155" t="str">
        <f>IF($E1229="","",Input!$C$21)</f>
        <v/>
      </c>
      <c r="R1229" s="159" t="str">
        <f>IF($E1229="","",(1-Q1229)^($F1229-Input!$C$20))</f>
        <v/>
      </c>
      <c r="S1229" s="147" t="str">
        <f t="shared" si="796"/>
        <v/>
      </c>
      <c r="T1229" s="147" t="str">
        <f t="shared" si="797"/>
        <v/>
      </c>
      <c r="U1229" s="160" t="str">
        <f>IF($E1229="","",IF($C1229=12,INDEX(Input!$C$15:$CP$15,1,$B1229),0))</f>
        <v/>
      </c>
      <c r="V1229" s="150" t="str">
        <f>IF(E1229="","",IF(C1229=1,IF($B1229=1,Input!$C$33,Input!$C$34),0))</f>
        <v/>
      </c>
      <c r="W1229" s="156" t="str">
        <f>IF($E1229="","",Input!$C$35)</f>
        <v/>
      </c>
      <c r="X1229" s="156" t="str">
        <f t="shared" si="798"/>
        <v/>
      </c>
      <c r="Y1229" s="154"/>
      <c r="Z1229" s="147" t="str">
        <f>IF($E1229="","",VLOOKUP($D1229,'Mortality Margins &amp; Grading'!$AB$5:$AF$125,3,0)*IF(Summary!$D$25="Included Margin",IF(AND($B1229&gt;Input!$C$9,Summary!$D$31&lt;&gt;"Included Margin"),0,1),0))</f>
        <v/>
      </c>
      <c r="AA1229" s="147" t="str">
        <f>IF($E1229="","",VLOOKUP($D1229,'Mortality Margins &amp; Grading'!$AB$5:$AF$125,5,0)*IF(Summary!$D$25="Included Margin",IF(AND($B1229&gt;Input!$C$9,Summary!$D$31&lt;&gt;"Included Margin"),0,1),0))</f>
        <v/>
      </c>
      <c r="AB1229" s="147" t="str">
        <f>IF($E1229="","",IF(AND($B1229&gt;Input!$C$9,Summary!$D$31&lt;&gt;"Included Margin"),1,IF(Summary!$D$25="Included Margin",VLOOKUP($B1229,'Mortality Margins &amp; Grading'!$AI$5:$AR$125,MATCH('Mortality Margins &amp; Grading'!$AQ$4,'Mortality Margins &amp; Grading'!$AI$4:$AR$4,0),0),1)))</f>
        <v/>
      </c>
      <c r="AC1229" s="154"/>
      <c r="AD1229" s="158" t="str">
        <f>IF(E1229="","",Input!$C$48*IF(Summary!$D$30="Included Margin",IF(AND($B1229&gt;Input!$C$9,Summary!$D$31&lt;&gt;"Included Margin"),0,1),0))</f>
        <v/>
      </c>
      <c r="AE1229" s="159" t="str">
        <f>IF(E1229="","",IF(Summary!$D$26="Included Margin",IF(AND($B1229&gt;Input!$C$9,Summary!$D$31&lt;&gt;"Included Margin"),1,1/$R1229),1))</f>
        <v/>
      </c>
      <c r="AF1229" s="160" t="str">
        <f>IF(E1229="","",IF(AND($B1229&gt;=Input!$C$9,$C1229=12,Summary!$D$31="Included Margin",$U1229&gt;0),1/U1229-1,IF($B1229&gt;=Input!$C$9,0,Input!$C$45*IF(Summary!$D$27="Included Margin",1,0))))</f>
        <v/>
      </c>
      <c r="AG1229" s="160" t="str">
        <f>IF(E1229="","",Input!$C$46*IF(Summary!$D$28="Included Margin",IF(AND($B1229&gt;Input!$C$9,Summary!$D$31&lt;&gt;"Included Margin"),0,1),0))</f>
        <v/>
      </c>
      <c r="AH1229" s="158" t="str">
        <f>IF(E1229="","",Input!$C$47*IF(Summary!$D$29="Included Margin",IF(AND($B1229&gt;Input!$C$9,Summary!$D$31&lt;&gt;"Included Margin"),0,1),0))</f>
        <v/>
      </c>
      <c r="AI1229" s="154"/>
      <c r="AJ1229" s="158" t="str">
        <f t="shared" si="809"/>
        <v/>
      </c>
      <c r="AK1229" s="150" t="str">
        <f t="shared" si="810"/>
        <v/>
      </c>
      <c r="AL1229" s="147" t="str">
        <f t="shared" si="811"/>
        <v/>
      </c>
      <c r="AM1229" s="147" t="str">
        <f t="shared" si="799"/>
        <v/>
      </c>
      <c r="AN1229" s="160" t="str">
        <f t="shared" si="812"/>
        <v/>
      </c>
      <c r="AO1229" s="161" t="str">
        <f t="shared" si="813"/>
        <v/>
      </c>
      <c r="AP1229" s="156" t="str">
        <f t="shared" si="800"/>
        <v/>
      </c>
      <c r="AQ1229" s="152"/>
      <c r="AR1229" s="162" t="str">
        <f t="shared" si="801"/>
        <v/>
      </c>
      <c r="AS1229" s="150" t="str">
        <f t="shared" si="814"/>
        <v/>
      </c>
      <c r="AT1229" s="163" t="str">
        <f t="shared" si="802"/>
        <v/>
      </c>
      <c r="AU1229" s="163" t="str">
        <f t="shared" si="803"/>
        <v/>
      </c>
      <c r="AV1229" s="163" t="str">
        <f t="shared" si="815"/>
        <v/>
      </c>
      <c r="AW1229" s="163" t="str">
        <f t="shared" si="804"/>
        <v/>
      </c>
      <c r="AX1229" s="163" t="str">
        <f t="shared" si="805"/>
        <v/>
      </c>
      <c r="AY1229" s="150" t="str">
        <f t="shared" si="816"/>
        <v/>
      </c>
      <c r="AZ1229" s="150" t="str">
        <f>IF($E1229="","",IF(OR(AND($D1229=Input!$C$6,$C1229=12),$AN1229=1),0,-AS1230+AT1230+AU1230-AV1230-AW1230-AX1230+AZ1230))</f>
        <v/>
      </c>
      <c r="BA1229" s="154" t="str">
        <f t="shared" si="806"/>
        <v/>
      </c>
      <c r="BC1229" s="147" t="str">
        <f t="shared" si="817"/>
        <v/>
      </c>
      <c r="BD1229" s="164" t="str">
        <f>IF(AND($C1228=12,$D1228=Input!$C$6),0,IF($E1229="","",AT1229+(AU1229+BD1230)/(1+$AK1229)*MIN((1-AM1229-AN1229),1)))</f>
        <v/>
      </c>
      <c r="BH1229" s="152"/>
      <c r="BI1229" s="162" t="str">
        <f t="shared" si="790"/>
        <v/>
      </c>
      <c r="BJ1229" s="150" t="str">
        <f t="shared" si="791"/>
        <v/>
      </c>
      <c r="BK1229" s="163" t="str">
        <f t="shared" si="822"/>
        <v/>
      </c>
      <c r="BL1229" s="163" t="str">
        <f t="shared" si="792"/>
        <v/>
      </c>
      <c r="BM1229" s="163" t="str">
        <f t="shared" si="823"/>
        <v/>
      </c>
      <c r="BN1229" s="163" t="str">
        <f t="shared" si="793"/>
        <v/>
      </c>
      <c r="BO1229" s="163" t="str">
        <f t="shared" si="794"/>
        <v/>
      </c>
      <c r="BP1229" s="150" t="str">
        <f t="shared" si="824"/>
        <v/>
      </c>
      <c r="BQ1229" s="150" t="str">
        <f t="shared" si="818"/>
        <v/>
      </c>
      <c r="BR1229" s="154" t="str">
        <f t="shared" si="795"/>
        <v/>
      </c>
      <c r="BT1229" s="147"/>
    </row>
    <row r="1230" spans="1:72" s="150" customFormat="1" x14ac:dyDescent="0.25">
      <c r="A1230" s="150" t="str">
        <f t="shared" si="819"/>
        <v/>
      </c>
      <c r="B1230" s="150" t="str">
        <f t="shared" si="820"/>
        <v/>
      </c>
      <c r="C1230" s="150" t="str">
        <f t="shared" si="821"/>
        <v/>
      </c>
      <c r="D1230" s="150" t="str">
        <f>IF(E1230="","",Input!$C$4+B1230-1)</f>
        <v/>
      </c>
      <c r="E1230" s="150" t="str">
        <f>IF(OR(AND(C1229=12,D1229=Input!$C$6),E1229=""),"",1)</f>
        <v/>
      </c>
      <c r="G1230" s="151" t="str">
        <f>IF(E1230="","",MAX(0,Input!$C$9-B1230))</f>
        <v/>
      </c>
      <c r="H1230" s="152" t="str">
        <f>IF(E1230="","",Input!$C$3)</f>
        <v/>
      </c>
      <c r="I1230" s="153" t="str">
        <f>IF(E1230="","",HLOOKUP($B1230,Input!$C$13:$BT$14,2))</f>
        <v/>
      </c>
      <c r="J1230" s="154"/>
      <c r="K1230" s="150" t="str">
        <f>IF($E1230="","",INDEX(Input!$C$16:$CP$16,1,$B1230))</f>
        <v/>
      </c>
      <c r="L1230" s="150" t="str">
        <f>IF($E1230="","",Input!$C$37)</f>
        <v/>
      </c>
      <c r="M1230" s="150" t="str">
        <f t="shared" si="807"/>
        <v/>
      </c>
      <c r="N1230" s="150" t="str">
        <f t="shared" si="808"/>
        <v/>
      </c>
      <c r="O1230" s="147" t="str">
        <f>IF($E1230="","",MIN(VLOOKUP(IF($B1230&lt;=Input!$C$7,$B1230,26),'Mortality Tables'!$A$41:$CW$67,IF($B1230&lt;=Input!$C$7+1,Input!$C$4+2,$D1230-Input!$C$7+2),0)*IF(B1230&gt;20,Input!$C$22,1)/1000,1))</f>
        <v/>
      </c>
      <c r="P1230" s="147" t="str">
        <f>IF($E1230="","",MIN(VLOOKUP(IF($B1230&lt;=Input!$C$7,$B1230,26),'Mortality Tables'!$A$12:$CW$37,IF($B1230&lt;=Input!$C$7+1,Input!$C$4+2,$D1230-Input!$C$7+2),0)*IF(B1230&gt;20,Input!$C$22,1)/1000,1))</f>
        <v/>
      </c>
      <c r="Q1230" s="155" t="str">
        <f>IF($E1230="","",Input!$C$21)</f>
        <v/>
      </c>
      <c r="R1230" s="159" t="str">
        <f>IF($E1230="","",(1-Q1230)^($F1230-Input!$C$20))</f>
        <v/>
      </c>
      <c r="S1230" s="147" t="str">
        <f t="shared" si="796"/>
        <v/>
      </c>
      <c r="T1230" s="147" t="str">
        <f t="shared" si="797"/>
        <v/>
      </c>
      <c r="U1230" s="160" t="str">
        <f>IF($E1230="","",IF($C1230=12,INDEX(Input!$C$15:$CP$15,1,$B1230),0))</f>
        <v/>
      </c>
      <c r="V1230" s="150" t="str">
        <f>IF(E1230="","",IF(C1230=1,IF($B1230=1,Input!$C$33,Input!$C$34),0))</f>
        <v/>
      </c>
      <c r="W1230" s="156" t="str">
        <f>IF($E1230="","",Input!$C$35)</f>
        <v/>
      </c>
      <c r="X1230" s="156" t="str">
        <f t="shared" si="798"/>
        <v/>
      </c>
      <c r="Y1230" s="154"/>
      <c r="Z1230" s="147" t="str">
        <f>IF($E1230="","",VLOOKUP($D1230,'Mortality Margins &amp; Grading'!$AB$5:$AF$125,3,0)*IF(Summary!$D$25="Included Margin",IF(AND($B1230&gt;Input!$C$9,Summary!$D$31&lt;&gt;"Included Margin"),0,1),0))</f>
        <v/>
      </c>
      <c r="AA1230" s="147" t="str">
        <f>IF($E1230="","",VLOOKUP($D1230,'Mortality Margins &amp; Grading'!$AB$5:$AF$125,5,0)*IF(Summary!$D$25="Included Margin",IF(AND($B1230&gt;Input!$C$9,Summary!$D$31&lt;&gt;"Included Margin"),0,1),0))</f>
        <v/>
      </c>
      <c r="AB1230" s="147" t="str">
        <f>IF($E1230="","",IF(AND($B1230&gt;Input!$C$9,Summary!$D$31&lt;&gt;"Included Margin"),1,IF(Summary!$D$25="Included Margin",VLOOKUP($B1230,'Mortality Margins &amp; Grading'!$AI$5:$AR$125,MATCH('Mortality Margins &amp; Grading'!$AQ$4,'Mortality Margins &amp; Grading'!$AI$4:$AR$4,0),0),1)))</f>
        <v/>
      </c>
      <c r="AC1230" s="154"/>
      <c r="AD1230" s="158" t="str">
        <f>IF(E1230="","",Input!$C$48*IF(Summary!$D$30="Included Margin",IF(AND($B1230&gt;Input!$C$9,Summary!$D$31&lt;&gt;"Included Margin"),0,1),0))</f>
        <v/>
      </c>
      <c r="AE1230" s="159" t="str">
        <f>IF(E1230="","",IF(Summary!$D$26="Included Margin",IF(AND($B1230&gt;Input!$C$9,Summary!$D$31&lt;&gt;"Included Margin"),1,1/$R1230),1))</f>
        <v/>
      </c>
      <c r="AF1230" s="160" t="str">
        <f>IF(E1230="","",IF(AND($B1230&gt;=Input!$C$9,$C1230=12,Summary!$D$31="Included Margin",$U1230&gt;0),1/U1230-1,IF($B1230&gt;=Input!$C$9,0,Input!$C$45*IF(Summary!$D$27="Included Margin",1,0))))</f>
        <v/>
      </c>
      <c r="AG1230" s="160" t="str">
        <f>IF(E1230="","",Input!$C$46*IF(Summary!$D$28="Included Margin",IF(AND($B1230&gt;Input!$C$9,Summary!$D$31&lt;&gt;"Included Margin"),0,1),0))</f>
        <v/>
      </c>
      <c r="AH1230" s="158" t="str">
        <f>IF(E1230="","",Input!$C$47*IF(Summary!$D$29="Included Margin",IF(AND($B1230&gt;Input!$C$9,Summary!$D$31&lt;&gt;"Included Margin"),0,1),0))</f>
        <v/>
      </c>
      <c r="AI1230" s="154"/>
      <c r="AJ1230" s="158" t="str">
        <f t="shared" si="809"/>
        <v/>
      </c>
      <c r="AK1230" s="150" t="str">
        <f t="shared" si="810"/>
        <v/>
      </c>
      <c r="AL1230" s="147" t="str">
        <f t="shared" si="811"/>
        <v/>
      </c>
      <c r="AM1230" s="147" t="str">
        <f t="shared" si="799"/>
        <v/>
      </c>
      <c r="AN1230" s="160" t="str">
        <f t="shared" si="812"/>
        <v/>
      </c>
      <c r="AO1230" s="161" t="str">
        <f t="shared" si="813"/>
        <v/>
      </c>
      <c r="AP1230" s="156" t="str">
        <f t="shared" si="800"/>
        <v/>
      </c>
      <c r="AQ1230" s="152"/>
      <c r="AR1230" s="162" t="str">
        <f t="shared" si="801"/>
        <v/>
      </c>
      <c r="AS1230" s="150" t="str">
        <f t="shared" si="814"/>
        <v/>
      </c>
      <c r="AT1230" s="163" t="str">
        <f t="shared" si="802"/>
        <v/>
      </c>
      <c r="AU1230" s="163" t="str">
        <f t="shared" si="803"/>
        <v/>
      </c>
      <c r="AV1230" s="163" t="str">
        <f t="shared" si="815"/>
        <v/>
      </c>
      <c r="AW1230" s="163" t="str">
        <f t="shared" si="804"/>
        <v/>
      </c>
      <c r="AX1230" s="163" t="str">
        <f t="shared" si="805"/>
        <v/>
      </c>
      <c r="AY1230" s="150" t="str">
        <f t="shared" si="816"/>
        <v/>
      </c>
      <c r="AZ1230" s="150" t="str">
        <f>IF($E1230="","",IF(OR(AND($D1230=Input!$C$6,$C1230=12),$AN1230=1),0,-AS1231+AT1231+AU1231-AV1231-AW1231-AX1231+AZ1231))</f>
        <v/>
      </c>
      <c r="BA1230" s="154" t="str">
        <f t="shared" si="806"/>
        <v/>
      </c>
      <c r="BC1230" s="147" t="str">
        <f t="shared" si="817"/>
        <v/>
      </c>
      <c r="BD1230" s="164" t="str">
        <f>IF(AND($C1229=12,$D1229=Input!$C$6),0,IF($E1230="","",AT1230+(AU1230+BD1231)/(1+$AK1230)*MIN((1-AM1230-AN1230),1)))</f>
        <v/>
      </c>
      <c r="BH1230" s="152"/>
      <c r="BI1230" s="162" t="str">
        <f t="shared" si="790"/>
        <v/>
      </c>
      <c r="BJ1230" s="150" t="str">
        <f t="shared" si="791"/>
        <v/>
      </c>
      <c r="BK1230" s="163" t="str">
        <f t="shared" si="822"/>
        <v/>
      </c>
      <c r="BL1230" s="163" t="str">
        <f t="shared" si="792"/>
        <v/>
      </c>
      <c r="BM1230" s="163" t="str">
        <f t="shared" si="823"/>
        <v/>
      </c>
      <c r="BN1230" s="163" t="str">
        <f t="shared" si="793"/>
        <v/>
      </c>
      <c r="BO1230" s="163" t="str">
        <f t="shared" si="794"/>
        <v/>
      </c>
      <c r="BP1230" s="150" t="str">
        <f t="shared" si="824"/>
        <v/>
      </c>
      <c r="BQ1230" s="150" t="str">
        <f t="shared" si="818"/>
        <v/>
      </c>
      <c r="BR1230" s="154" t="str">
        <f t="shared" si="795"/>
        <v/>
      </c>
      <c r="BT1230" s="147"/>
    </row>
    <row r="1231" spans="1:72" s="150" customFormat="1" x14ac:dyDescent="0.25">
      <c r="A1231" s="150" t="str">
        <f t="shared" si="819"/>
        <v/>
      </c>
      <c r="B1231" s="150" t="str">
        <f t="shared" si="820"/>
        <v/>
      </c>
      <c r="C1231" s="150" t="str">
        <f t="shared" si="821"/>
        <v/>
      </c>
      <c r="D1231" s="150" t="str">
        <f>IF(E1231="","",Input!$C$4+B1231-1)</f>
        <v/>
      </c>
      <c r="E1231" s="150" t="str">
        <f>IF(OR(AND(C1230=12,D1230=Input!$C$6),E1230=""),"",1)</f>
        <v/>
      </c>
      <c r="G1231" s="151" t="str">
        <f>IF(E1231="","",MAX(0,Input!$C$9-B1231))</f>
        <v/>
      </c>
      <c r="H1231" s="152" t="str">
        <f>IF(E1231="","",Input!$C$3)</f>
        <v/>
      </c>
      <c r="I1231" s="153" t="str">
        <f>IF(E1231="","",HLOOKUP($B1231,Input!$C$13:$BT$14,2))</f>
        <v/>
      </c>
      <c r="J1231" s="154"/>
      <c r="K1231" s="150" t="str">
        <f>IF($E1231="","",INDEX(Input!$C$16:$CP$16,1,$B1231))</f>
        <v/>
      </c>
      <c r="L1231" s="150" t="str">
        <f>IF($E1231="","",Input!$C$37)</f>
        <v/>
      </c>
      <c r="M1231" s="150" t="str">
        <f t="shared" si="807"/>
        <v/>
      </c>
      <c r="N1231" s="150" t="str">
        <f t="shared" si="808"/>
        <v/>
      </c>
      <c r="O1231" s="147" t="str">
        <f>IF($E1231="","",MIN(VLOOKUP(IF($B1231&lt;=Input!$C$7,$B1231,26),'Mortality Tables'!$A$41:$CW$67,IF($B1231&lt;=Input!$C$7+1,Input!$C$4+2,$D1231-Input!$C$7+2),0)*IF(B1231&gt;20,Input!$C$22,1)/1000,1))</f>
        <v/>
      </c>
      <c r="P1231" s="147" t="str">
        <f>IF($E1231="","",MIN(VLOOKUP(IF($B1231&lt;=Input!$C$7,$B1231,26),'Mortality Tables'!$A$12:$CW$37,IF($B1231&lt;=Input!$C$7+1,Input!$C$4+2,$D1231-Input!$C$7+2),0)*IF(B1231&gt;20,Input!$C$22,1)/1000,1))</f>
        <v/>
      </c>
      <c r="Q1231" s="155" t="str">
        <f>IF($E1231="","",Input!$C$21)</f>
        <v/>
      </c>
      <c r="R1231" s="159" t="str">
        <f>IF($E1231="","",(1-Q1231)^($F1231-Input!$C$20))</f>
        <v/>
      </c>
      <c r="S1231" s="147" t="str">
        <f t="shared" si="796"/>
        <v/>
      </c>
      <c r="T1231" s="147" t="str">
        <f t="shared" si="797"/>
        <v/>
      </c>
      <c r="U1231" s="160" t="str">
        <f>IF($E1231="","",IF($C1231=12,INDEX(Input!$C$15:$CP$15,1,$B1231),0))</f>
        <v/>
      </c>
      <c r="V1231" s="150" t="str">
        <f>IF(E1231="","",IF(C1231=1,IF($B1231=1,Input!$C$33,Input!$C$34),0))</f>
        <v/>
      </c>
      <c r="W1231" s="156" t="str">
        <f>IF($E1231="","",Input!$C$35)</f>
        <v/>
      </c>
      <c r="X1231" s="156" t="str">
        <f t="shared" si="798"/>
        <v/>
      </c>
      <c r="Y1231" s="154"/>
      <c r="Z1231" s="147" t="str">
        <f>IF($E1231="","",VLOOKUP($D1231,'Mortality Margins &amp; Grading'!$AB$5:$AF$125,3,0)*IF(Summary!$D$25="Included Margin",IF(AND($B1231&gt;Input!$C$9,Summary!$D$31&lt;&gt;"Included Margin"),0,1),0))</f>
        <v/>
      </c>
      <c r="AA1231" s="147" t="str">
        <f>IF($E1231="","",VLOOKUP($D1231,'Mortality Margins &amp; Grading'!$AB$5:$AF$125,5,0)*IF(Summary!$D$25="Included Margin",IF(AND($B1231&gt;Input!$C$9,Summary!$D$31&lt;&gt;"Included Margin"),0,1),0))</f>
        <v/>
      </c>
      <c r="AB1231" s="147" t="str">
        <f>IF($E1231="","",IF(AND($B1231&gt;Input!$C$9,Summary!$D$31&lt;&gt;"Included Margin"),1,IF(Summary!$D$25="Included Margin",VLOOKUP($B1231,'Mortality Margins &amp; Grading'!$AI$5:$AR$125,MATCH('Mortality Margins &amp; Grading'!$AQ$4,'Mortality Margins &amp; Grading'!$AI$4:$AR$4,0),0),1)))</f>
        <v/>
      </c>
      <c r="AC1231" s="154"/>
      <c r="AD1231" s="158" t="str">
        <f>IF(E1231="","",Input!$C$48*IF(Summary!$D$30="Included Margin",IF(AND($B1231&gt;Input!$C$9,Summary!$D$31&lt;&gt;"Included Margin"),0,1),0))</f>
        <v/>
      </c>
      <c r="AE1231" s="159" t="str">
        <f>IF(E1231="","",IF(Summary!$D$26="Included Margin",IF(AND($B1231&gt;Input!$C$9,Summary!$D$31&lt;&gt;"Included Margin"),1,1/$R1231),1))</f>
        <v/>
      </c>
      <c r="AF1231" s="160" t="str">
        <f>IF(E1231="","",IF(AND($B1231&gt;=Input!$C$9,$C1231=12,Summary!$D$31="Included Margin",$U1231&gt;0),1/U1231-1,IF($B1231&gt;=Input!$C$9,0,Input!$C$45*IF(Summary!$D$27="Included Margin",1,0))))</f>
        <v/>
      </c>
      <c r="AG1231" s="160" t="str">
        <f>IF(E1231="","",Input!$C$46*IF(Summary!$D$28="Included Margin",IF(AND($B1231&gt;Input!$C$9,Summary!$D$31&lt;&gt;"Included Margin"),0,1),0))</f>
        <v/>
      </c>
      <c r="AH1231" s="158" t="str">
        <f>IF(E1231="","",Input!$C$47*IF(Summary!$D$29="Included Margin",IF(AND($B1231&gt;Input!$C$9,Summary!$D$31&lt;&gt;"Included Margin"),0,1),0))</f>
        <v/>
      </c>
      <c r="AI1231" s="154"/>
      <c r="AJ1231" s="158" t="str">
        <f t="shared" si="809"/>
        <v/>
      </c>
      <c r="AK1231" s="150" t="str">
        <f t="shared" si="810"/>
        <v/>
      </c>
      <c r="AL1231" s="147" t="str">
        <f t="shared" si="811"/>
        <v/>
      </c>
      <c r="AM1231" s="147" t="str">
        <f t="shared" si="799"/>
        <v/>
      </c>
      <c r="AN1231" s="160" t="str">
        <f t="shared" si="812"/>
        <v/>
      </c>
      <c r="AO1231" s="161" t="str">
        <f t="shared" si="813"/>
        <v/>
      </c>
      <c r="AP1231" s="156" t="str">
        <f t="shared" si="800"/>
        <v/>
      </c>
      <c r="AQ1231" s="152"/>
      <c r="AR1231" s="162" t="str">
        <f t="shared" si="801"/>
        <v/>
      </c>
      <c r="AS1231" s="150" t="str">
        <f t="shared" si="814"/>
        <v/>
      </c>
      <c r="AT1231" s="163" t="str">
        <f t="shared" si="802"/>
        <v/>
      </c>
      <c r="AU1231" s="163" t="str">
        <f t="shared" si="803"/>
        <v/>
      </c>
      <c r="AV1231" s="163" t="str">
        <f t="shared" si="815"/>
        <v/>
      </c>
      <c r="AW1231" s="163" t="str">
        <f t="shared" si="804"/>
        <v/>
      </c>
      <c r="AX1231" s="163" t="str">
        <f t="shared" si="805"/>
        <v/>
      </c>
      <c r="AY1231" s="150" t="str">
        <f t="shared" si="816"/>
        <v/>
      </c>
      <c r="AZ1231" s="150" t="str">
        <f>IF($E1231="","",IF(OR(AND($D1231=Input!$C$6,$C1231=12),$AN1231=1),0,-AS1232+AT1232+AU1232-AV1232-AW1232-AX1232+AZ1232))</f>
        <v/>
      </c>
      <c r="BA1231" s="154" t="str">
        <f t="shared" si="806"/>
        <v/>
      </c>
      <c r="BC1231" s="147" t="str">
        <f t="shared" si="817"/>
        <v/>
      </c>
      <c r="BD1231" s="164" t="str">
        <f>IF(AND($C1230=12,$D1230=Input!$C$6),0,IF($E1231="","",AT1231+(AU1231+BD1232)/(1+$AK1231)*MIN((1-AM1231-AN1231),1)))</f>
        <v/>
      </c>
      <c r="BH1231" s="152"/>
      <c r="BI1231" s="162" t="str">
        <f t="shared" si="790"/>
        <v/>
      </c>
      <c r="BJ1231" s="150" t="str">
        <f t="shared" si="791"/>
        <v/>
      </c>
      <c r="BK1231" s="163" t="str">
        <f t="shared" si="822"/>
        <v/>
      </c>
      <c r="BL1231" s="163" t="str">
        <f t="shared" si="792"/>
        <v/>
      </c>
      <c r="BM1231" s="163" t="str">
        <f t="shared" si="823"/>
        <v/>
      </c>
      <c r="BN1231" s="163" t="str">
        <f t="shared" si="793"/>
        <v/>
      </c>
      <c r="BO1231" s="163" t="str">
        <f t="shared" si="794"/>
        <v/>
      </c>
      <c r="BP1231" s="150" t="str">
        <f t="shared" si="824"/>
        <v/>
      </c>
      <c r="BQ1231" s="150" t="str">
        <f t="shared" si="818"/>
        <v/>
      </c>
      <c r="BR1231" s="154" t="str">
        <f t="shared" si="795"/>
        <v/>
      </c>
      <c r="BT1231" s="147"/>
    </row>
    <row r="1232" spans="1:72" s="150" customFormat="1" x14ac:dyDescent="0.25">
      <c r="A1232" s="150" t="str">
        <f t="shared" si="819"/>
        <v/>
      </c>
      <c r="B1232" s="150" t="str">
        <f t="shared" si="820"/>
        <v/>
      </c>
      <c r="C1232" s="150" t="str">
        <f t="shared" si="821"/>
        <v/>
      </c>
      <c r="D1232" s="150" t="str">
        <f>IF(E1232="","",Input!$C$4+B1232-1)</f>
        <v/>
      </c>
      <c r="E1232" s="150" t="str">
        <f>IF(OR(AND(C1231=12,D1231=Input!$C$6),E1231=""),"",1)</f>
        <v/>
      </c>
      <c r="G1232" s="151" t="str">
        <f>IF(E1232="","",MAX(0,Input!$C$9-B1232))</f>
        <v/>
      </c>
      <c r="H1232" s="152" t="str">
        <f>IF(E1232="","",Input!$C$3)</f>
        <v/>
      </c>
      <c r="I1232" s="153" t="str">
        <f>IF(E1232="","",HLOOKUP($B1232,Input!$C$13:$BT$14,2))</f>
        <v/>
      </c>
      <c r="J1232" s="154"/>
      <c r="K1232" s="150" t="str">
        <f>IF($E1232="","",INDEX(Input!$C$16:$CP$16,1,$B1232))</f>
        <v/>
      </c>
      <c r="L1232" s="150" t="str">
        <f>IF($E1232="","",Input!$C$37)</f>
        <v/>
      </c>
      <c r="M1232" s="150" t="str">
        <f t="shared" si="807"/>
        <v/>
      </c>
      <c r="N1232" s="150" t="str">
        <f t="shared" si="808"/>
        <v/>
      </c>
      <c r="O1232" s="147" t="str">
        <f>IF($E1232="","",MIN(VLOOKUP(IF($B1232&lt;=Input!$C$7,$B1232,26),'Mortality Tables'!$A$41:$CW$67,IF($B1232&lt;=Input!$C$7+1,Input!$C$4+2,$D1232-Input!$C$7+2),0)*IF(B1232&gt;20,Input!$C$22,1)/1000,1))</f>
        <v/>
      </c>
      <c r="P1232" s="147" t="str">
        <f>IF($E1232="","",MIN(VLOOKUP(IF($B1232&lt;=Input!$C$7,$B1232,26),'Mortality Tables'!$A$12:$CW$37,IF($B1232&lt;=Input!$C$7+1,Input!$C$4+2,$D1232-Input!$C$7+2),0)*IF(B1232&gt;20,Input!$C$22,1)/1000,1))</f>
        <v/>
      </c>
      <c r="Q1232" s="155" t="str">
        <f>IF($E1232="","",Input!$C$21)</f>
        <v/>
      </c>
      <c r="R1232" s="159" t="str">
        <f>IF($E1232="","",(1-Q1232)^($F1232-Input!$C$20))</f>
        <v/>
      </c>
      <c r="S1232" s="147" t="str">
        <f t="shared" si="796"/>
        <v/>
      </c>
      <c r="T1232" s="147" t="str">
        <f t="shared" si="797"/>
        <v/>
      </c>
      <c r="U1232" s="160" t="str">
        <f>IF($E1232="","",IF($C1232=12,INDEX(Input!$C$15:$CP$15,1,$B1232),0))</f>
        <v/>
      </c>
      <c r="V1232" s="150" t="str">
        <f>IF(E1232="","",IF(C1232=1,IF($B1232=1,Input!$C$33,Input!$C$34),0))</f>
        <v/>
      </c>
      <c r="W1232" s="156" t="str">
        <f>IF($E1232="","",Input!$C$35)</f>
        <v/>
      </c>
      <c r="X1232" s="156" t="str">
        <f t="shared" si="798"/>
        <v/>
      </c>
      <c r="Y1232" s="154"/>
      <c r="Z1232" s="147" t="str">
        <f>IF($E1232="","",VLOOKUP($D1232,'Mortality Margins &amp; Grading'!$AB$5:$AF$125,3,0)*IF(Summary!$D$25="Included Margin",IF(AND($B1232&gt;Input!$C$9,Summary!$D$31&lt;&gt;"Included Margin"),0,1),0))</f>
        <v/>
      </c>
      <c r="AA1232" s="147" t="str">
        <f>IF($E1232="","",VLOOKUP($D1232,'Mortality Margins &amp; Grading'!$AB$5:$AF$125,5,0)*IF(Summary!$D$25="Included Margin",IF(AND($B1232&gt;Input!$C$9,Summary!$D$31&lt;&gt;"Included Margin"),0,1),0))</f>
        <v/>
      </c>
      <c r="AB1232" s="147" t="str">
        <f>IF($E1232="","",IF(AND($B1232&gt;Input!$C$9,Summary!$D$31&lt;&gt;"Included Margin"),1,IF(Summary!$D$25="Included Margin",VLOOKUP($B1232,'Mortality Margins &amp; Grading'!$AI$5:$AR$125,MATCH('Mortality Margins &amp; Grading'!$AQ$4,'Mortality Margins &amp; Grading'!$AI$4:$AR$4,0),0),1)))</f>
        <v/>
      </c>
      <c r="AC1232" s="154"/>
      <c r="AD1232" s="158" t="str">
        <f>IF(E1232="","",Input!$C$48*IF(Summary!$D$30="Included Margin",IF(AND($B1232&gt;Input!$C$9,Summary!$D$31&lt;&gt;"Included Margin"),0,1),0))</f>
        <v/>
      </c>
      <c r="AE1232" s="159" t="str">
        <f>IF(E1232="","",IF(Summary!$D$26="Included Margin",IF(AND($B1232&gt;Input!$C$9,Summary!$D$31&lt;&gt;"Included Margin"),1,1/$R1232),1))</f>
        <v/>
      </c>
      <c r="AF1232" s="160" t="str">
        <f>IF(E1232="","",IF(AND($B1232&gt;=Input!$C$9,$C1232=12,Summary!$D$31="Included Margin",$U1232&gt;0),1/U1232-1,IF($B1232&gt;=Input!$C$9,0,Input!$C$45*IF(Summary!$D$27="Included Margin",1,0))))</f>
        <v/>
      </c>
      <c r="AG1232" s="160" t="str">
        <f>IF(E1232="","",Input!$C$46*IF(Summary!$D$28="Included Margin",IF(AND($B1232&gt;Input!$C$9,Summary!$D$31&lt;&gt;"Included Margin"),0,1),0))</f>
        <v/>
      </c>
      <c r="AH1232" s="158" t="str">
        <f>IF(E1232="","",Input!$C$47*IF(Summary!$D$29="Included Margin",IF(AND($B1232&gt;Input!$C$9,Summary!$D$31&lt;&gt;"Included Margin"),0,1),0))</f>
        <v/>
      </c>
      <c r="AI1232" s="154"/>
      <c r="AJ1232" s="158" t="str">
        <f t="shared" si="809"/>
        <v/>
      </c>
      <c r="AK1232" s="150" t="str">
        <f t="shared" si="810"/>
        <v/>
      </c>
      <c r="AL1232" s="147" t="str">
        <f t="shared" si="811"/>
        <v/>
      </c>
      <c r="AM1232" s="147" t="str">
        <f t="shared" si="799"/>
        <v/>
      </c>
      <c r="AN1232" s="160" t="str">
        <f t="shared" si="812"/>
        <v/>
      </c>
      <c r="AO1232" s="161" t="str">
        <f t="shared" si="813"/>
        <v/>
      </c>
      <c r="AP1232" s="156" t="str">
        <f t="shared" si="800"/>
        <v/>
      </c>
      <c r="AQ1232" s="152"/>
      <c r="AR1232" s="162" t="str">
        <f t="shared" si="801"/>
        <v/>
      </c>
      <c r="AS1232" s="150" t="str">
        <f t="shared" si="814"/>
        <v/>
      </c>
      <c r="AT1232" s="163" t="str">
        <f t="shared" si="802"/>
        <v/>
      </c>
      <c r="AU1232" s="163" t="str">
        <f t="shared" si="803"/>
        <v/>
      </c>
      <c r="AV1232" s="163" t="str">
        <f t="shared" si="815"/>
        <v/>
      </c>
      <c r="AW1232" s="163" t="str">
        <f t="shared" si="804"/>
        <v/>
      </c>
      <c r="AX1232" s="163" t="str">
        <f t="shared" si="805"/>
        <v/>
      </c>
      <c r="AY1232" s="150" t="str">
        <f t="shared" si="816"/>
        <v/>
      </c>
      <c r="AZ1232" s="150" t="str">
        <f>IF($E1232="","",IF(OR(AND($D1232=Input!$C$6,$C1232=12),$AN1232=1),0,-AS1233+AT1233+AU1233-AV1233-AW1233-AX1233+AZ1233))</f>
        <v/>
      </c>
      <c r="BA1232" s="154" t="str">
        <f t="shared" si="806"/>
        <v/>
      </c>
      <c r="BC1232" s="147" t="str">
        <f t="shared" si="817"/>
        <v/>
      </c>
      <c r="BD1232" s="164" t="str">
        <f>IF(AND($C1231=12,$D1231=Input!$C$6),0,IF($E1232="","",AT1232+(AU1232+BD1233)/(1+$AK1232)*MIN((1-AM1232-AN1232),1)))</f>
        <v/>
      </c>
      <c r="BH1232" s="152"/>
      <c r="BI1232" s="162" t="str">
        <f t="shared" si="790"/>
        <v/>
      </c>
      <c r="BJ1232" s="150" t="str">
        <f t="shared" si="791"/>
        <v/>
      </c>
      <c r="BK1232" s="163" t="str">
        <f t="shared" si="822"/>
        <v/>
      </c>
      <c r="BL1232" s="163" t="str">
        <f t="shared" si="792"/>
        <v/>
      </c>
      <c r="BM1232" s="163" t="str">
        <f t="shared" si="823"/>
        <v/>
      </c>
      <c r="BN1232" s="163" t="str">
        <f t="shared" si="793"/>
        <v/>
      </c>
      <c r="BO1232" s="163" t="str">
        <f t="shared" si="794"/>
        <v/>
      </c>
      <c r="BP1232" s="150" t="str">
        <f t="shared" si="824"/>
        <v/>
      </c>
      <c r="BQ1232" s="150" t="str">
        <f t="shared" si="818"/>
        <v/>
      </c>
      <c r="BR1232" s="154" t="str">
        <f t="shared" si="795"/>
        <v/>
      </c>
      <c r="BT1232" s="147"/>
    </row>
    <row r="1233" spans="1:72" s="150" customFormat="1" x14ac:dyDescent="0.25">
      <c r="A1233" s="150" t="str">
        <f t="shared" si="819"/>
        <v/>
      </c>
      <c r="B1233" s="150" t="str">
        <f t="shared" si="820"/>
        <v/>
      </c>
      <c r="C1233" s="150" t="str">
        <f t="shared" si="821"/>
        <v/>
      </c>
      <c r="D1233" s="150" t="str">
        <f>IF(E1233="","",Input!$C$4+B1233-1)</f>
        <v/>
      </c>
      <c r="E1233" s="150" t="str">
        <f>IF(OR(AND(C1232=12,D1232=Input!$C$6),E1232=""),"",1)</f>
        <v/>
      </c>
      <c r="G1233" s="151" t="str">
        <f>IF(E1233="","",MAX(0,Input!$C$9-B1233))</f>
        <v/>
      </c>
      <c r="H1233" s="152" t="str">
        <f>IF(E1233="","",Input!$C$3)</f>
        <v/>
      </c>
      <c r="I1233" s="153" t="str">
        <f>IF(E1233="","",HLOOKUP($B1233,Input!$C$13:$BT$14,2))</f>
        <v/>
      </c>
      <c r="J1233" s="154"/>
      <c r="K1233" s="150" t="str">
        <f>IF($E1233="","",INDEX(Input!$C$16:$CP$16,1,$B1233))</f>
        <v/>
      </c>
      <c r="L1233" s="150" t="str">
        <f>IF($E1233="","",Input!$C$37)</f>
        <v/>
      </c>
      <c r="M1233" s="150" t="str">
        <f t="shared" si="807"/>
        <v/>
      </c>
      <c r="N1233" s="150" t="str">
        <f t="shared" si="808"/>
        <v/>
      </c>
      <c r="O1233" s="147" t="str">
        <f>IF($E1233="","",MIN(VLOOKUP(IF($B1233&lt;=Input!$C$7,$B1233,26),'Mortality Tables'!$A$41:$CW$67,IF($B1233&lt;=Input!$C$7+1,Input!$C$4+2,$D1233-Input!$C$7+2),0)*IF(B1233&gt;20,Input!$C$22,1)/1000,1))</f>
        <v/>
      </c>
      <c r="P1233" s="147" t="str">
        <f>IF($E1233="","",MIN(VLOOKUP(IF($B1233&lt;=Input!$C$7,$B1233,26),'Mortality Tables'!$A$12:$CW$37,IF($B1233&lt;=Input!$C$7+1,Input!$C$4+2,$D1233-Input!$C$7+2),0)*IF(B1233&gt;20,Input!$C$22,1)/1000,1))</f>
        <v/>
      </c>
      <c r="Q1233" s="155" t="str">
        <f>IF($E1233="","",Input!$C$21)</f>
        <v/>
      </c>
      <c r="R1233" s="159" t="str">
        <f>IF($E1233="","",(1-Q1233)^($F1233-Input!$C$20))</f>
        <v/>
      </c>
      <c r="S1233" s="147" t="str">
        <f t="shared" si="796"/>
        <v/>
      </c>
      <c r="T1233" s="147" t="str">
        <f t="shared" si="797"/>
        <v/>
      </c>
      <c r="U1233" s="160" t="str">
        <f>IF($E1233="","",IF($C1233=12,INDEX(Input!$C$15:$CP$15,1,$B1233),0))</f>
        <v/>
      </c>
      <c r="V1233" s="150" t="str">
        <f>IF(E1233="","",IF(C1233=1,IF($B1233=1,Input!$C$33,Input!$C$34),0))</f>
        <v/>
      </c>
      <c r="W1233" s="156" t="str">
        <f>IF($E1233="","",Input!$C$35)</f>
        <v/>
      </c>
      <c r="X1233" s="156" t="str">
        <f t="shared" si="798"/>
        <v/>
      </c>
      <c r="Y1233" s="154"/>
      <c r="Z1233" s="147" t="str">
        <f>IF($E1233="","",VLOOKUP($D1233,'Mortality Margins &amp; Grading'!$AB$5:$AF$125,3,0)*IF(Summary!$D$25="Included Margin",IF(AND($B1233&gt;Input!$C$9,Summary!$D$31&lt;&gt;"Included Margin"),0,1),0))</f>
        <v/>
      </c>
      <c r="AA1233" s="147" t="str">
        <f>IF($E1233="","",VLOOKUP($D1233,'Mortality Margins &amp; Grading'!$AB$5:$AF$125,5,0)*IF(Summary!$D$25="Included Margin",IF(AND($B1233&gt;Input!$C$9,Summary!$D$31&lt;&gt;"Included Margin"),0,1),0))</f>
        <v/>
      </c>
      <c r="AB1233" s="147" t="str">
        <f>IF($E1233="","",IF(AND($B1233&gt;Input!$C$9,Summary!$D$31&lt;&gt;"Included Margin"),1,IF(Summary!$D$25="Included Margin",VLOOKUP($B1233,'Mortality Margins &amp; Grading'!$AI$5:$AR$125,MATCH('Mortality Margins &amp; Grading'!$AQ$4,'Mortality Margins &amp; Grading'!$AI$4:$AR$4,0),0),1)))</f>
        <v/>
      </c>
      <c r="AC1233" s="154"/>
      <c r="AD1233" s="158" t="str">
        <f>IF(E1233="","",Input!$C$48*IF(Summary!$D$30="Included Margin",IF(AND($B1233&gt;Input!$C$9,Summary!$D$31&lt;&gt;"Included Margin"),0,1),0))</f>
        <v/>
      </c>
      <c r="AE1233" s="159" t="str">
        <f>IF(E1233="","",IF(Summary!$D$26="Included Margin",IF(AND($B1233&gt;Input!$C$9,Summary!$D$31&lt;&gt;"Included Margin"),1,1/$R1233),1))</f>
        <v/>
      </c>
      <c r="AF1233" s="160" t="str">
        <f>IF(E1233="","",IF(AND($B1233&gt;=Input!$C$9,$C1233=12,Summary!$D$31="Included Margin",$U1233&gt;0),1/U1233-1,IF($B1233&gt;=Input!$C$9,0,Input!$C$45*IF(Summary!$D$27="Included Margin",1,0))))</f>
        <v/>
      </c>
      <c r="AG1233" s="160" t="str">
        <f>IF(E1233="","",Input!$C$46*IF(Summary!$D$28="Included Margin",IF(AND($B1233&gt;Input!$C$9,Summary!$D$31&lt;&gt;"Included Margin"),0,1),0))</f>
        <v/>
      </c>
      <c r="AH1233" s="158" t="str">
        <f>IF(E1233="","",Input!$C$47*IF(Summary!$D$29="Included Margin",IF(AND($B1233&gt;Input!$C$9,Summary!$D$31&lt;&gt;"Included Margin"),0,1),0))</f>
        <v/>
      </c>
      <c r="AI1233" s="154"/>
      <c r="AJ1233" s="158" t="str">
        <f t="shared" si="809"/>
        <v/>
      </c>
      <c r="AK1233" s="150" t="str">
        <f t="shared" si="810"/>
        <v/>
      </c>
      <c r="AL1233" s="147" t="str">
        <f t="shared" si="811"/>
        <v/>
      </c>
      <c r="AM1233" s="147" t="str">
        <f t="shared" si="799"/>
        <v/>
      </c>
      <c r="AN1233" s="160" t="str">
        <f t="shared" si="812"/>
        <v/>
      </c>
      <c r="AO1233" s="161" t="str">
        <f t="shared" si="813"/>
        <v/>
      </c>
      <c r="AP1233" s="156" t="str">
        <f t="shared" si="800"/>
        <v/>
      </c>
      <c r="AQ1233" s="152"/>
      <c r="AR1233" s="162" t="str">
        <f t="shared" si="801"/>
        <v/>
      </c>
      <c r="AS1233" s="150" t="str">
        <f t="shared" si="814"/>
        <v/>
      </c>
      <c r="AT1233" s="163" t="str">
        <f t="shared" si="802"/>
        <v/>
      </c>
      <c r="AU1233" s="163" t="str">
        <f t="shared" si="803"/>
        <v/>
      </c>
      <c r="AV1233" s="163" t="str">
        <f t="shared" si="815"/>
        <v/>
      </c>
      <c r="AW1233" s="163" t="str">
        <f t="shared" si="804"/>
        <v/>
      </c>
      <c r="AX1233" s="163" t="str">
        <f t="shared" si="805"/>
        <v/>
      </c>
      <c r="AY1233" s="150" t="str">
        <f t="shared" si="816"/>
        <v/>
      </c>
      <c r="AZ1233" s="150" t="str">
        <f>IF($E1233="","",IF(OR(AND($D1233=Input!$C$6,$C1233=12),$AN1233=1),0,-AS1234+AT1234+AU1234-AV1234-AW1234-AX1234+AZ1234))</f>
        <v/>
      </c>
      <c r="BA1233" s="154" t="str">
        <f t="shared" si="806"/>
        <v/>
      </c>
      <c r="BC1233" s="147" t="str">
        <f t="shared" si="817"/>
        <v/>
      </c>
      <c r="BD1233" s="164" t="str">
        <f>IF(AND($C1232=12,$D1232=Input!$C$6),0,IF($E1233="","",AT1233+(AU1233+BD1234)/(1+$AK1233)*MIN((1-AM1233-AN1233),1)))</f>
        <v/>
      </c>
      <c r="BH1233" s="152"/>
      <c r="BI1233" s="162" t="str">
        <f t="shared" si="790"/>
        <v/>
      </c>
      <c r="BJ1233" s="150" t="str">
        <f t="shared" si="791"/>
        <v/>
      </c>
      <c r="BK1233" s="163" t="str">
        <f t="shared" si="822"/>
        <v/>
      </c>
      <c r="BL1233" s="163" t="str">
        <f t="shared" si="792"/>
        <v/>
      </c>
      <c r="BM1233" s="163" t="str">
        <f t="shared" si="823"/>
        <v/>
      </c>
      <c r="BN1233" s="163" t="str">
        <f t="shared" si="793"/>
        <v/>
      </c>
      <c r="BO1233" s="163" t="str">
        <f t="shared" si="794"/>
        <v/>
      </c>
      <c r="BP1233" s="150" t="str">
        <f t="shared" si="824"/>
        <v/>
      </c>
      <c r="BQ1233" s="150" t="str">
        <f t="shared" si="818"/>
        <v/>
      </c>
      <c r="BR1233" s="154" t="str">
        <f t="shared" si="795"/>
        <v/>
      </c>
      <c r="BT1233" s="147"/>
    </row>
    <row r="1234" spans="1:72" s="150" customFormat="1" x14ac:dyDescent="0.25">
      <c r="A1234" s="150" t="str">
        <f t="shared" si="819"/>
        <v/>
      </c>
      <c r="B1234" s="150" t="str">
        <f t="shared" si="820"/>
        <v/>
      </c>
      <c r="C1234" s="150" t="str">
        <f t="shared" si="821"/>
        <v/>
      </c>
      <c r="D1234" s="150" t="str">
        <f>IF(E1234="","",Input!$C$4+B1234-1)</f>
        <v/>
      </c>
      <c r="E1234" s="150" t="str">
        <f>IF(OR(AND(C1233=12,D1233=Input!$C$6),E1233=""),"",1)</f>
        <v/>
      </c>
      <c r="G1234" s="151" t="str">
        <f>IF(E1234="","",MAX(0,Input!$C$9-B1234))</f>
        <v/>
      </c>
      <c r="H1234" s="152" t="str">
        <f>IF(E1234="","",Input!$C$3)</f>
        <v/>
      </c>
      <c r="I1234" s="153" t="str">
        <f>IF(E1234="","",HLOOKUP($B1234,Input!$C$13:$BT$14,2))</f>
        <v/>
      </c>
      <c r="J1234" s="154"/>
      <c r="K1234" s="150" t="str">
        <f>IF($E1234="","",INDEX(Input!$C$16:$CP$16,1,$B1234))</f>
        <v/>
      </c>
      <c r="L1234" s="150" t="str">
        <f>IF($E1234="","",Input!$C$37)</f>
        <v/>
      </c>
      <c r="M1234" s="150" t="str">
        <f t="shared" si="807"/>
        <v/>
      </c>
      <c r="N1234" s="150" t="str">
        <f t="shared" si="808"/>
        <v/>
      </c>
      <c r="O1234" s="147" t="str">
        <f>IF($E1234="","",MIN(VLOOKUP(IF($B1234&lt;=Input!$C$7,$B1234,26),'Mortality Tables'!$A$41:$CW$67,IF($B1234&lt;=Input!$C$7+1,Input!$C$4+2,$D1234-Input!$C$7+2),0)*IF(B1234&gt;20,Input!$C$22,1)/1000,1))</f>
        <v/>
      </c>
      <c r="P1234" s="147" t="str">
        <f>IF($E1234="","",MIN(VLOOKUP(IF($B1234&lt;=Input!$C$7,$B1234,26),'Mortality Tables'!$A$12:$CW$37,IF($B1234&lt;=Input!$C$7+1,Input!$C$4+2,$D1234-Input!$C$7+2),0)*IF(B1234&gt;20,Input!$C$22,1)/1000,1))</f>
        <v/>
      </c>
      <c r="Q1234" s="155" t="str">
        <f>IF($E1234="","",Input!$C$21)</f>
        <v/>
      </c>
      <c r="R1234" s="159" t="str">
        <f>IF($E1234="","",(1-Q1234)^($F1234-Input!$C$20))</f>
        <v/>
      </c>
      <c r="S1234" s="147" t="str">
        <f t="shared" si="796"/>
        <v/>
      </c>
      <c r="T1234" s="147" t="str">
        <f t="shared" si="797"/>
        <v/>
      </c>
      <c r="U1234" s="160" t="str">
        <f>IF($E1234="","",IF($C1234=12,INDEX(Input!$C$15:$CP$15,1,$B1234),0))</f>
        <v/>
      </c>
      <c r="V1234" s="150" t="str">
        <f>IF(E1234="","",IF(C1234=1,IF($B1234=1,Input!$C$33,Input!$C$34),0))</f>
        <v/>
      </c>
      <c r="W1234" s="156" t="str">
        <f>IF($E1234="","",Input!$C$35)</f>
        <v/>
      </c>
      <c r="X1234" s="156" t="str">
        <f t="shared" si="798"/>
        <v/>
      </c>
      <c r="Y1234" s="154"/>
      <c r="Z1234" s="147" t="str">
        <f>IF($E1234="","",VLOOKUP($D1234,'Mortality Margins &amp; Grading'!$AB$5:$AF$125,3,0)*IF(Summary!$D$25="Included Margin",IF(AND($B1234&gt;Input!$C$9,Summary!$D$31&lt;&gt;"Included Margin"),0,1),0))</f>
        <v/>
      </c>
      <c r="AA1234" s="147" t="str">
        <f>IF($E1234="","",VLOOKUP($D1234,'Mortality Margins &amp; Grading'!$AB$5:$AF$125,5,0)*IF(Summary!$D$25="Included Margin",IF(AND($B1234&gt;Input!$C$9,Summary!$D$31&lt;&gt;"Included Margin"),0,1),0))</f>
        <v/>
      </c>
      <c r="AB1234" s="147" t="str">
        <f>IF($E1234="","",IF(AND($B1234&gt;Input!$C$9,Summary!$D$31&lt;&gt;"Included Margin"),1,IF(Summary!$D$25="Included Margin",VLOOKUP($B1234,'Mortality Margins &amp; Grading'!$AI$5:$AR$125,MATCH('Mortality Margins &amp; Grading'!$AQ$4,'Mortality Margins &amp; Grading'!$AI$4:$AR$4,0),0),1)))</f>
        <v/>
      </c>
      <c r="AC1234" s="154"/>
      <c r="AD1234" s="158" t="str">
        <f>IF(E1234="","",Input!$C$48*IF(Summary!$D$30="Included Margin",IF(AND($B1234&gt;Input!$C$9,Summary!$D$31&lt;&gt;"Included Margin"),0,1),0))</f>
        <v/>
      </c>
      <c r="AE1234" s="159" t="str">
        <f>IF(E1234="","",IF(Summary!$D$26="Included Margin",IF(AND($B1234&gt;Input!$C$9,Summary!$D$31&lt;&gt;"Included Margin"),1,1/$R1234),1))</f>
        <v/>
      </c>
      <c r="AF1234" s="160" t="str">
        <f>IF(E1234="","",IF(AND($B1234&gt;=Input!$C$9,$C1234=12,Summary!$D$31="Included Margin",$U1234&gt;0),1/U1234-1,IF($B1234&gt;=Input!$C$9,0,Input!$C$45*IF(Summary!$D$27="Included Margin",1,0))))</f>
        <v/>
      </c>
      <c r="AG1234" s="160" t="str">
        <f>IF(E1234="","",Input!$C$46*IF(Summary!$D$28="Included Margin",IF(AND($B1234&gt;Input!$C$9,Summary!$D$31&lt;&gt;"Included Margin"),0,1),0))</f>
        <v/>
      </c>
      <c r="AH1234" s="158" t="str">
        <f>IF(E1234="","",Input!$C$47*IF(Summary!$D$29="Included Margin",IF(AND($B1234&gt;Input!$C$9,Summary!$D$31&lt;&gt;"Included Margin"),0,1),0))</f>
        <v/>
      </c>
      <c r="AI1234" s="154"/>
      <c r="AJ1234" s="158" t="str">
        <f t="shared" si="809"/>
        <v/>
      </c>
      <c r="AK1234" s="150" t="str">
        <f t="shared" si="810"/>
        <v/>
      </c>
      <c r="AL1234" s="147" t="str">
        <f t="shared" si="811"/>
        <v/>
      </c>
      <c r="AM1234" s="147" t="str">
        <f t="shared" si="799"/>
        <v/>
      </c>
      <c r="AN1234" s="160" t="str">
        <f t="shared" si="812"/>
        <v/>
      </c>
      <c r="AO1234" s="161" t="str">
        <f t="shared" si="813"/>
        <v/>
      </c>
      <c r="AP1234" s="156" t="str">
        <f t="shared" si="800"/>
        <v/>
      </c>
      <c r="AQ1234" s="152"/>
      <c r="AR1234" s="162" t="str">
        <f t="shared" si="801"/>
        <v/>
      </c>
      <c r="AS1234" s="150" t="str">
        <f t="shared" si="814"/>
        <v/>
      </c>
      <c r="AT1234" s="163" t="str">
        <f t="shared" si="802"/>
        <v/>
      </c>
      <c r="AU1234" s="163" t="str">
        <f t="shared" si="803"/>
        <v/>
      </c>
      <c r="AV1234" s="163" t="str">
        <f t="shared" si="815"/>
        <v/>
      </c>
      <c r="AW1234" s="163" t="str">
        <f t="shared" si="804"/>
        <v/>
      </c>
      <c r="AX1234" s="163" t="str">
        <f t="shared" si="805"/>
        <v/>
      </c>
      <c r="AY1234" s="150" t="str">
        <f t="shared" si="816"/>
        <v/>
      </c>
      <c r="AZ1234" s="150" t="str">
        <f>IF($E1234="","",IF(OR(AND($D1234=Input!$C$6,$C1234=12),$AN1234=1),0,-AS1235+AT1235+AU1235-AV1235-AW1235-AX1235+AZ1235))</f>
        <v/>
      </c>
      <c r="BA1234" s="154" t="str">
        <f t="shared" si="806"/>
        <v/>
      </c>
      <c r="BC1234" s="147" t="str">
        <f t="shared" si="817"/>
        <v/>
      </c>
      <c r="BD1234" s="164" t="str">
        <f>IF(AND($C1233=12,$D1233=Input!$C$6),0,IF($E1234="","",AT1234+(AU1234+BD1235)/(1+$AK1234)*MIN((1-AM1234-AN1234),1)))</f>
        <v/>
      </c>
      <c r="BH1234" s="152"/>
      <c r="BI1234" s="162" t="str">
        <f t="shared" si="790"/>
        <v/>
      </c>
      <c r="BJ1234" s="150" t="str">
        <f t="shared" si="791"/>
        <v/>
      </c>
      <c r="BK1234" s="163" t="str">
        <f t="shared" si="822"/>
        <v/>
      </c>
      <c r="BL1234" s="163" t="str">
        <f t="shared" si="792"/>
        <v/>
      </c>
      <c r="BM1234" s="163" t="str">
        <f t="shared" si="823"/>
        <v/>
      </c>
      <c r="BN1234" s="163" t="str">
        <f t="shared" si="793"/>
        <v/>
      </c>
      <c r="BO1234" s="163" t="str">
        <f t="shared" si="794"/>
        <v/>
      </c>
      <c r="BP1234" s="150" t="str">
        <f t="shared" si="824"/>
        <v/>
      </c>
      <c r="BQ1234" s="150" t="str">
        <f t="shared" si="818"/>
        <v/>
      </c>
      <c r="BR1234" s="154" t="str">
        <f t="shared" si="795"/>
        <v/>
      </c>
      <c r="BT1234" s="147"/>
    </row>
    <row r="1235" spans="1:72" s="150" customFormat="1" x14ac:dyDescent="0.25">
      <c r="A1235" s="150" t="str">
        <f t="shared" si="819"/>
        <v/>
      </c>
      <c r="B1235" s="150" t="str">
        <f t="shared" si="820"/>
        <v/>
      </c>
      <c r="C1235" s="150" t="str">
        <f t="shared" si="821"/>
        <v/>
      </c>
      <c r="D1235" s="150" t="str">
        <f>IF(E1235="","",Input!$C$4+B1235-1)</f>
        <v/>
      </c>
      <c r="E1235" s="150" t="str">
        <f>IF(OR(AND(C1234=12,D1234=Input!$C$6),E1234=""),"",1)</f>
        <v/>
      </c>
      <c r="G1235" s="151" t="str">
        <f>IF(E1235="","",MAX(0,Input!$C$9-B1235))</f>
        <v/>
      </c>
      <c r="H1235" s="152" t="str">
        <f>IF(E1235="","",Input!$C$3)</f>
        <v/>
      </c>
      <c r="I1235" s="153" t="str">
        <f>IF(E1235="","",HLOOKUP($B1235,Input!$C$13:$BT$14,2))</f>
        <v/>
      </c>
      <c r="J1235" s="154"/>
      <c r="K1235" s="150" t="str">
        <f>IF($E1235="","",INDEX(Input!$C$16:$CP$16,1,$B1235))</f>
        <v/>
      </c>
      <c r="L1235" s="150" t="str">
        <f>IF($E1235="","",Input!$C$37)</f>
        <v/>
      </c>
      <c r="M1235" s="150" t="str">
        <f t="shared" si="807"/>
        <v/>
      </c>
      <c r="N1235" s="150" t="str">
        <f t="shared" si="808"/>
        <v/>
      </c>
      <c r="O1235" s="147" t="str">
        <f>IF($E1235="","",MIN(VLOOKUP(IF($B1235&lt;=Input!$C$7,$B1235,26),'Mortality Tables'!$A$41:$CW$67,IF($B1235&lt;=Input!$C$7+1,Input!$C$4+2,$D1235-Input!$C$7+2),0)*IF(B1235&gt;20,Input!$C$22,1)/1000,1))</f>
        <v/>
      </c>
      <c r="P1235" s="147" t="str">
        <f>IF($E1235="","",MIN(VLOOKUP(IF($B1235&lt;=Input!$C$7,$B1235,26),'Mortality Tables'!$A$12:$CW$37,IF($B1235&lt;=Input!$C$7+1,Input!$C$4+2,$D1235-Input!$C$7+2),0)*IF(B1235&gt;20,Input!$C$22,1)/1000,1))</f>
        <v/>
      </c>
      <c r="Q1235" s="155" t="str">
        <f>IF($E1235="","",Input!$C$21)</f>
        <v/>
      </c>
      <c r="R1235" s="159" t="str">
        <f>IF($E1235="","",(1-Q1235)^($F1235-Input!$C$20))</f>
        <v/>
      </c>
      <c r="S1235" s="147" t="str">
        <f t="shared" si="796"/>
        <v/>
      </c>
      <c r="T1235" s="147" t="str">
        <f t="shared" si="797"/>
        <v/>
      </c>
      <c r="U1235" s="160" t="str">
        <f>IF($E1235="","",IF($C1235=12,INDEX(Input!$C$15:$CP$15,1,$B1235),0))</f>
        <v/>
      </c>
      <c r="V1235" s="150" t="str">
        <f>IF(E1235="","",IF(C1235=1,IF($B1235=1,Input!$C$33,Input!$C$34),0))</f>
        <v/>
      </c>
      <c r="W1235" s="156" t="str">
        <f>IF($E1235="","",Input!$C$35)</f>
        <v/>
      </c>
      <c r="X1235" s="156" t="str">
        <f t="shared" si="798"/>
        <v/>
      </c>
      <c r="Y1235" s="154"/>
      <c r="Z1235" s="147" t="str">
        <f>IF($E1235="","",VLOOKUP($D1235,'Mortality Margins &amp; Grading'!$AB$5:$AF$125,3,0)*IF(Summary!$D$25="Included Margin",IF(AND($B1235&gt;Input!$C$9,Summary!$D$31&lt;&gt;"Included Margin"),0,1),0))</f>
        <v/>
      </c>
      <c r="AA1235" s="147" t="str">
        <f>IF($E1235="","",VLOOKUP($D1235,'Mortality Margins &amp; Grading'!$AB$5:$AF$125,5,0)*IF(Summary!$D$25="Included Margin",IF(AND($B1235&gt;Input!$C$9,Summary!$D$31&lt;&gt;"Included Margin"),0,1),0))</f>
        <v/>
      </c>
      <c r="AB1235" s="147" t="str">
        <f>IF($E1235="","",IF(AND($B1235&gt;Input!$C$9,Summary!$D$31&lt;&gt;"Included Margin"),1,IF(Summary!$D$25="Included Margin",VLOOKUP($B1235,'Mortality Margins &amp; Grading'!$AI$5:$AR$125,MATCH('Mortality Margins &amp; Grading'!$AQ$4,'Mortality Margins &amp; Grading'!$AI$4:$AR$4,0),0),1)))</f>
        <v/>
      </c>
      <c r="AC1235" s="154"/>
      <c r="AD1235" s="158" t="str">
        <f>IF(E1235="","",Input!$C$48*IF(Summary!$D$30="Included Margin",IF(AND($B1235&gt;Input!$C$9,Summary!$D$31&lt;&gt;"Included Margin"),0,1),0))</f>
        <v/>
      </c>
      <c r="AE1235" s="159" t="str">
        <f>IF(E1235="","",IF(Summary!$D$26="Included Margin",IF(AND($B1235&gt;Input!$C$9,Summary!$D$31&lt;&gt;"Included Margin"),1,1/$R1235),1))</f>
        <v/>
      </c>
      <c r="AF1235" s="160" t="str">
        <f>IF(E1235="","",IF(AND($B1235&gt;=Input!$C$9,$C1235=12,Summary!$D$31="Included Margin",$U1235&gt;0),1/U1235-1,IF($B1235&gt;=Input!$C$9,0,Input!$C$45*IF(Summary!$D$27="Included Margin",1,0))))</f>
        <v/>
      </c>
      <c r="AG1235" s="160" t="str">
        <f>IF(E1235="","",Input!$C$46*IF(Summary!$D$28="Included Margin",IF(AND($B1235&gt;Input!$C$9,Summary!$D$31&lt;&gt;"Included Margin"),0,1),0))</f>
        <v/>
      </c>
      <c r="AH1235" s="158" t="str">
        <f>IF(E1235="","",Input!$C$47*IF(Summary!$D$29="Included Margin",IF(AND($B1235&gt;Input!$C$9,Summary!$D$31&lt;&gt;"Included Margin"),0,1),0))</f>
        <v/>
      </c>
      <c r="AI1235" s="154"/>
      <c r="AJ1235" s="158" t="str">
        <f t="shared" si="809"/>
        <v/>
      </c>
      <c r="AK1235" s="150" t="str">
        <f t="shared" si="810"/>
        <v/>
      </c>
      <c r="AL1235" s="147" t="str">
        <f t="shared" si="811"/>
        <v/>
      </c>
      <c r="AM1235" s="147" t="str">
        <f t="shared" si="799"/>
        <v/>
      </c>
      <c r="AN1235" s="160" t="str">
        <f t="shared" si="812"/>
        <v/>
      </c>
      <c r="AO1235" s="161" t="str">
        <f t="shared" si="813"/>
        <v/>
      </c>
      <c r="AP1235" s="156" t="str">
        <f t="shared" si="800"/>
        <v/>
      </c>
      <c r="AQ1235" s="152"/>
      <c r="AR1235" s="162" t="str">
        <f t="shared" si="801"/>
        <v/>
      </c>
      <c r="AS1235" s="150" t="str">
        <f t="shared" si="814"/>
        <v/>
      </c>
      <c r="AT1235" s="163" t="str">
        <f t="shared" si="802"/>
        <v/>
      </c>
      <c r="AU1235" s="163" t="str">
        <f t="shared" si="803"/>
        <v/>
      </c>
      <c r="AV1235" s="163" t="str">
        <f t="shared" si="815"/>
        <v/>
      </c>
      <c r="AW1235" s="163" t="str">
        <f t="shared" si="804"/>
        <v/>
      </c>
      <c r="AX1235" s="163" t="str">
        <f t="shared" si="805"/>
        <v/>
      </c>
      <c r="AY1235" s="150" t="str">
        <f t="shared" si="816"/>
        <v/>
      </c>
      <c r="AZ1235" s="150" t="str">
        <f>IF($E1235="","",IF(OR(AND($D1235=Input!$C$6,$C1235=12),$AN1235=1),0,-AS1236+AT1236+AU1236-AV1236-AW1236-AX1236+AZ1236))</f>
        <v/>
      </c>
      <c r="BA1235" s="154" t="str">
        <f t="shared" si="806"/>
        <v/>
      </c>
      <c r="BC1235" s="147" t="str">
        <f t="shared" si="817"/>
        <v/>
      </c>
      <c r="BD1235" s="164" t="str">
        <f>IF(AND($C1234=12,$D1234=Input!$C$6),0,IF($E1235="","",AT1235+(AU1235+BD1236)/(1+$AK1235)*MIN((1-AM1235-AN1235),1)))</f>
        <v/>
      </c>
      <c r="BH1235" s="152"/>
      <c r="BI1235" s="162" t="str">
        <f t="shared" si="790"/>
        <v/>
      </c>
      <c r="BJ1235" s="150" t="str">
        <f t="shared" si="791"/>
        <v/>
      </c>
      <c r="BK1235" s="163" t="str">
        <f t="shared" si="822"/>
        <v/>
      </c>
      <c r="BL1235" s="163" t="str">
        <f t="shared" si="792"/>
        <v/>
      </c>
      <c r="BM1235" s="163" t="str">
        <f t="shared" si="823"/>
        <v/>
      </c>
      <c r="BN1235" s="163" t="str">
        <f t="shared" si="793"/>
        <v/>
      </c>
      <c r="BO1235" s="163" t="str">
        <f t="shared" si="794"/>
        <v/>
      </c>
      <c r="BP1235" s="150" t="str">
        <f t="shared" si="824"/>
        <v/>
      </c>
      <c r="BQ1235" s="150" t="str">
        <f t="shared" si="818"/>
        <v/>
      </c>
      <c r="BR1235" s="154" t="str">
        <f t="shared" si="795"/>
        <v/>
      </c>
      <c r="BT1235" s="147"/>
    </row>
    <row r="1236" spans="1:72" s="150" customFormat="1" x14ac:dyDescent="0.25">
      <c r="A1236" s="150" t="str">
        <f t="shared" si="819"/>
        <v/>
      </c>
      <c r="B1236" s="150" t="str">
        <f t="shared" si="820"/>
        <v/>
      </c>
      <c r="C1236" s="150" t="str">
        <f t="shared" si="821"/>
        <v/>
      </c>
      <c r="D1236" s="150" t="str">
        <f>IF(E1236="","",Input!$C$4+B1236-1)</f>
        <v/>
      </c>
      <c r="E1236" s="150" t="str">
        <f>IF(OR(AND(C1235=12,D1235=Input!$C$6),E1235=""),"",1)</f>
        <v/>
      </c>
      <c r="G1236" s="151" t="str">
        <f>IF(E1236="","",MAX(0,Input!$C$9-B1236))</f>
        <v/>
      </c>
      <c r="H1236" s="152" t="str">
        <f>IF(E1236="","",Input!$C$3)</f>
        <v/>
      </c>
      <c r="I1236" s="153" t="str">
        <f>IF(E1236="","",HLOOKUP($B1236,Input!$C$13:$BT$14,2))</f>
        <v/>
      </c>
      <c r="J1236" s="154"/>
      <c r="K1236" s="150" t="str">
        <f>IF($E1236="","",INDEX(Input!$C$16:$CP$16,1,$B1236))</f>
        <v/>
      </c>
      <c r="L1236" s="150" t="str">
        <f>IF($E1236="","",Input!$C$37)</f>
        <v/>
      </c>
      <c r="M1236" s="150" t="str">
        <f t="shared" si="807"/>
        <v/>
      </c>
      <c r="N1236" s="150" t="str">
        <f t="shared" si="808"/>
        <v/>
      </c>
      <c r="O1236" s="147" t="str">
        <f>IF($E1236="","",MIN(VLOOKUP(IF($B1236&lt;=Input!$C$7,$B1236,26),'Mortality Tables'!$A$41:$CW$67,IF($B1236&lt;=Input!$C$7+1,Input!$C$4+2,$D1236-Input!$C$7+2),0)*IF(B1236&gt;20,Input!$C$22,1)/1000,1))</f>
        <v/>
      </c>
      <c r="P1236" s="147" t="str">
        <f>IF($E1236="","",MIN(VLOOKUP(IF($B1236&lt;=Input!$C$7,$B1236,26),'Mortality Tables'!$A$12:$CW$37,IF($B1236&lt;=Input!$C$7+1,Input!$C$4+2,$D1236-Input!$C$7+2),0)*IF(B1236&gt;20,Input!$C$22,1)/1000,1))</f>
        <v/>
      </c>
      <c r="Q1236" s="155" t="str">
        <f>IF($E1236="","",Input!$C$21)</f>
        <v/>
      </c>
      <c r="R1236" s="159" t="str">
        <f>IF($E1236="","",(1-Q1236)^($F1236-Input!$C$20))</f>
        <v/>
      </c>
      <c r="S1236" s="147" t="str">
        <f t="shared" si="796"/>
        <v/>
      </c>
      <c r="T1236" s="147" t="str">
        <f t="shared" si="797"/>
        <v/>
      </c>
      <c r="U1236" s="160" t="str">
        <f>IF($E1236="","",IF($C1236=12,INDEX(Input!$C$15:$CP$15,1,$B1236),0))</f>
        <v/>
      </c>
      <c r="V1236" s="150" t="str">
        <f>IF(E1236="","",IF(C1236=1,IF($B1236=1,Input!$C$33,Input!$C$34),0))</f>
        <v/>
      </c>
      <c r="W1236" s="156" t="str">
        <f>IF($E1236="","",Input!$C$35)</f>
        <v/>
      </c>
      <c r="X1236" s="156" t="str">
        <f t="shared" si="798"/>
        <v/>
      </c>
      <c r="Y1236" s="154"/>
      <c r="Z1236" s="147" t="str">
        <f>IF($E1236="","",VLOOKUP($D1236,'Mortality Margins &amp; Grading'!$AB$5:$AF$125,3,0)*IF(Summary!$D$25="Included Margin",IF(AND($B1236&gt;Input!$C$9,Summary!$D$31&lt;&gt;"Included Margin"),0,1),0))</f>
        <v/>
      </c>
      <c r="AA1236" s="147" t="str">
        <f>IF($E1236="","",VLOOKUP($D1236,'Mortality Margins &amp; Grading'!$AB$5:$AF$125,5,0)*IF(Summary!$D$25="Included Margin",IF(AND($B1236&gt;Input!$C$9,Summary!$D$31&lt;&gt;"Included Margin"),0,1),0))</f>
        <v/>
      </c>
      <c r="AB1236" s="147" t="str">
        <f>IF($E1236="","",IF(AND($B1236&gt;Input!$C$9,Summary!$D$31&lt;&gt;"Included Margin"),1,IF(Summary!$D$25="Included Margin",VLOOKUP($B1236,'Mortality Margins &amp; Grading'!$AI$5:$AR$125,MATCH('Mortality Margins &amp; Grading'!$AQ$4,'Mortality Margins &amp; Grading'!$AI$4:$AR$4,0),0),1)))</f>
        <v/>
      </c>
      <c r="AC1236" s="154"/>
      <c r="AD1236" s="158" t="str">
        <f>IF(E1236="","",Input!$C$48*IF(Summary!$D$30="Included Margin",IF(AND($B1236&gt;Input!$C$9,Summary!$D$31&lt;&gt;"Included Margin"),0,1),0))</f>
        <v/>
      </c>
      <c r="AE1236" s="159" t="str">
        <f>IF(E1236="","",IF(Summary!$D$26="Included Margin",IF(AND($B1236&gt;Input!$C$9,Summary!$D$31&lt;&gt;"Included Margin"),1,1/$R1236),1))</f>
        <v/>
      </c>
      <c r="AF1236" s="160" t="str">
        <f>IF(E1236="","",IF(AND($B1236&gt;=Input!$C$9,$C1236=12,Summary!$D$31="Included Margin",$U1236&gt;0),1/U1236-1,IF($B1236&gt;=Input!$C$9,0,Input!$C$45*IF(Summary!$D$27="Included Margin",1,0))))</f>
        <v/>
      </c>
      <c r="AG1236" s="160" t="str">
        <f>IF(E1236="","",Input!$C$46*IF(Summary!$D$28="Included Margin",IF(AND($B1236&gt;Input!$C$9,Summary!$D$31&lt;&gt;"Included Margin"),0,1),0))</f>
        <v/>
      </c>
      <c r="AH1236" s="158" t="str">
        <f>IF(E1236="","",Input!$C$47*IF(Summary!$D$29="Included Margin",IF(AND($B1236&gt;Input!$C$9,Summary!$D$31&lt;&gt;"Included Margin"),0,1),0))</f>
        <v/>
      </c>
      <c r="AI1236" s="154"/>
      <c r="AJ1236" s="158" t="str">
        <f t="shared" si="809"/>
        <v/>
      </c>
      <c r="AK1236" s="150" t="str">
        <f t="shared" si="810"/>
        <v/>
      </c>
      <c r="AL1236" s="147" t="str">
        <f t="shared" si="811"/>
        <v/>
      </c>
      <c r="AM1236" s="147" t="str">
        <f t="shared" si="799"/>
        <v/>
      </c>
      <c r="AN1236" s="160" t="str">
        <f t="shared" si="812"/>
        <v/>
      </c>
      <c r="AO1236" s="161" t="str">
        <f t="shared" si="813"/>
        <v/>
      </c>
      <c r="AP1236" s="156" t="str">
        <f t="shared" si="800"/>
        <v/>
      </c>
      <c r="AQ1236" s="152"/>
      <c r="AR1236" s="162" t="str">
        <f t="shared" si="801"/>
        <v/>
      </c>
      <c r="AS1236" s="150" t="str">
        <f t="shared" si="814"/>
        <v/>
      </c>
      <c r="AT1236" s="163" t="str">
        <f t="shared" si="802"/>
        <v/>
      </c>
      <c r="AU1236" s="163" t="str">
        <f t="shared" si="803"/>
        <v/>
      </c>
      <c r="AV1236" s="163" t="str">
        <f t="shared" si="815"/>
        <v/>
      </c>
      <c r="AW1236" s="163" t="str">
        <f t="shared" si="804"/>
        <v/>
      </c>
      <c r="AX1236" s="163" t="str">
        <f t="shared" si="805"/>
        <v/>
      </c>
      <c r="AY1236" s="150" t="str">
        <f t="shared" si="816"/>
        <v/>
      </c>
      <c r="AZ1236" s="150" t="str">
        <f>IF($E1236="","",IF(OR(AND($D1236=Input!$C$6,$C1236=12),$AN1236=1),0,-AS1237+AT1237+AU1237-AV1237-AW1237-AX1237+AZ1237))</f>
        <v/>
      </c>
      <c r="BA1236" s="154" t="str">
        <f t="shared" si="806"/>
        <v/>
      </c>
      <c r="BC1236" s="147" t="str">
        <f t="shared" si="817"/>
        <v/>
      </c>
      <c r="BD1236" s="164" t="str">
        <f>IF(AND($C1235=12,$D1235=Input!$C$6),0,IF($E1236="","",AT1236+(AU1236+BD1237)/(1+$AK1236)*MIN((1-AM1236-AN1236),1)))</f>
        <v/>
      </c>
      <c r="BH1236" s="152"/>
      <c r="BI1236" s="162" t="str">
        <f t="shared" si="790"/>
        <v/>
      </c>
      <c r="BJ1236" s="150" t="str">
        <f t="shared" si="791"/>
        <v/>
      </c>
      <c r="BK1236" s="163" t="str">
        <f t="shared" si="822"/>
        <v/>
      </c>
      <c r="BL1236" s="163" t="str">
        <f t="shared" si="792"/>
        <v/>
      </c>
      <c r="BM1236" s="163" t="str">
        <f t="shared" si="823"/>
        <v/>
      </c>
      <c r="BN1236" s="163" t="str">
        <f t="shared" si="793"/>
        <v/>
      </c>
      <c r="BO1236" s="163" t="str">
        <f t="shared" si="794"/>
        <v/>
      </c>
      <c r="BP1236" s="150" t="str">
        <f t="shared" si="824"/>
        <v/>
      </c>
      <c r="BQ1236" s="150" t="str">
        <f t="shared" si="818"/>
        <v/>
      </c>
      <c r="BR1236" s="154" t="str">
        <f t="shared" si="795"/>
        <v/>
      </c>
      <c r="BT1236" s="147"/>
    </row>
    <row r="1237" spans="1:72" s="150" customFormat="1" x14ac:dyDescent="0.25">
      <c r="A1237" s="150" t="str">
        <f t="shared" si="819"/>
        <v/>
      </c>
      <c r="B1237" s="150" t="str">
        <f t="shared" si="820"/>
        <v/>
      </c>
      <c r="C1237" s="150" t="str">
        <f t="shared" si="821"/>
        <v/>
      </c>
      <c r="D1237" s="150" t="str">
        <f>IF(E1237="","",Input!$C$4+B1237-1)</f>
        <v/>
      </c>
      <c r="E1237" s="150" t="str">
        <f>IF(OR(AND(C1236=12,D1236=Input!$C$6),E1236=""),"",1)</f>
        <v/>
      </c>
      <c r="G1237" s="151" t="str">
        <f>IF(E1237="","",MAX(0,Input!$C$9-B1237))</f>
        <v/>
      </c>
      <c r="H1237" s="152" t="str">
        <f>IF(E1237="","",Input!$C$3)</f>
        <v/>
      </c>
      <c r="I1237" s="153" t="str">
        <f>IF(E1237="","",HLOOKUP($B1237,Input!$C$13:$BT$14,2))</f>
        <v/>
      </c>
      <c r="J1237" s="154"/>
      <c r="K1237" s="150" t="str">
        <f>IF($E1237="","",INDEX(Input!$C$16:$CP$16,1,$B1237))</f>
        <v/>
      </c>
      <c r="L1237" s="150" t="str">
        <f>IF($E1237="","",Input!$C$37)</f>
        <v/>
      </c>
      <c r="M1237" s="150" t="str">
        <f t="shared" si="807"/>
        <v/>
      </c>
      <c r="N1237" s="150" t="str">
        <f t="shared" si="808"/>
        <v/>
      </c>
      <c r="O1237" s="147" t="str">
        <f>IF($E1237="","",MIN(VLOOKUP(IF($B1237&lt;=Input!$C$7,$B1237,26),'Mortality Tables'!$A$41:$CW$67,IF($B1237&lt;=Input!$C$7+1,Input!$C$4+2,$D1237-Input!$C$7+2),0)*IF(B1237&gt;20,Input!$C$22,1)/1000,1))</f>
        <v/>
      </c>
      <c r="P1237" s="147" t="str">
        <f>IF($E1237="","",MIN(VLOOKUP(IF($B1237&lt;=Input!$C$7,$B1237,26),'Mortality Tables'!$A$12:$CW$37,IF($B1237&lt;=Input!$C$7+1,Input!$C$4+2,$D1237-Input!$C$7+2),0)*IF(B1237&gt;20,Input!$C$22,1)/1000,1))</f>
        <v/>
      </c>
      <c r="Q1237" s="155" t="str">
        <f>IF($E1237="","",Input!$C$21)</f>
        <v/>
      </c>
      <c r="R1237" s="159" t="str">
        <f>IF($E1237="","",(1-Q1237)^($F1237-Input!$C$20))</f>
        <v/>
      </c>
      <c r="S1237" s="147" t="str">
        <f t="shared" si="796"/>
        <v/>
      </c>
      <c r="T1237" s="147" t="str">
        <f t="shared" si="797"/>
        <v/>
      </c>
      <c r="U1237" s="160" t="str">
        <f>IF($E1237="","",IF($C1237=12,INDEX(Input!$C$15:$CP$15,1,$B1237),0))</f>
        <v/>
      </c>
      <c r="V1237" s="150" t="str">
        <f>IF(E1237="","",IF(C1237=1,IF($B1237=1,Input!$C$33,Input!$C$34),0))</f>
        <v/>
      </c>
      <c r="W1237" s="156" t="str">
        <f>IF($E1237="","",Input!$C$35)</f>
        <v/>
      </c>
      <c r="X1237" s="156" t="str">
        <f t="shared" si="798"/>
        <v/>
      </c>
      <c r="Y1237" s="154"/>
      <c r="Z1237" s="147" t="str">
        <f>IF($E1237="","",VLOOKUP($D1237,'Mortality Margins &amp; Grading'!$AB$5:$AF$125,3,0)*IF(Summary!$D$25="Included Margin",IF(AND($B1237&gt;Input!$C$9,Summary!$D$31&lt;&gt;"Included Margin"),0,1),0))</f>
        <v/>
      </c>
      <c r="AA1237" s="147" t="str">
        <f>IF($E1237="","",VLOOKUP($D1237,'Mortality Margins &amp; Grading'!$AB$5:$AF$125,5,0)*IF(Summary!$D$25="Included Margin",IF(AND($B1237&gt;Input!$C$9,Summary!$D$31&lt;&gt;"Included Margin"),0,1),0))</f>
        <v/>
      </c>
      <c r="AB1237" s="147" t="str">
        <f>IF($E1237="","",IF(AND($B1237&gt;Input!$C$9,Summary!$D$31&lt;&gt;"Included Margin"),1,IF(Summary!$D$25="Included Margin",VLOOKUP($B1237,'Mortality Margins &amp; Grading'!$AI$5:$AR$125,MATCH('Mortality Margins &amp; Grading'!$AQ$4,'Mortality Margins &amp; Grading'!$AI$4:$AR$4,0),0),1)))</f>
        <v/>
      </c>
      <c r="AC1237" s="154"/>
      <c r="AD1237" s="158" t="str">
        <f>IF(E1237="","",Input!$C$48*IF(Summary!$D$30="Included Margin",IF(AND($B1237&gt;Input!$C$9,Summary!$D$31&lt;&gt;"Included Margin"),0,1),0))</f>
        <v/>
      </c>
      <c r="AE1237" s="159" t="str">
        <f>IF(E1237="","",IF(Summary!$D$26="Included Margin",IF(AND($B1237&gt;Input!$C$9,Summary!$D$31&lt;&gt;"Included Margin"),1,1/$R1237),1))</f>
        <v/>
      </c>
      <c r="AF1237" s="160" t="str">
        <f>IF(E1237="","",IF(AND($B1237&gt;=Input!$C$9,$C1237=12,Summary!$D$31="Included Margin",$U1237&gt;0),1/U1237-1,IF($B1237&gt;=Input!$C$9,0,Input!$C$45*IF(Summary!$D$27="Included Margin",1,0))))</f>
        <v/>
      </c>
      <c r="AG1237" s="160" t="str">
        <f>IF(E1237="","",Input!$C$46*IF(Summary!$D$28="Included Margin",IF(AND($B1237&gt;Input!$C$9,Summary!$D$31&lt;&gt;"Included Margin"),0,1),0))</f>
        <v/>
      </c>
      <c r="AH1237" s="158" t="str">
        <f>IF(E1237="","",Input!$C$47*IF(Summary!$D$29="Included Margin",IF(AND($B1237&gt;Input!$C$9,Summary!$D$31&lt;&gt;"Included Margin"),0,1),0))</f>
        <v/>
      </c>
      <c r="AI1237" s="154"/>
      <c r="AJ1237" s="158" t="str">
        <f t="shared" si="809"/>
        <v/>
      </c>
      <c r="AK1237" s="150" t="str">
        <f t="shared" si="810"/>
        <v/>
      </c>
      <c r="AL1237" s="147" t="str">
        <f t="shared" si="811"/>
        <v/>
      </c>
      <c r="AM1237" s="147" t="str">
        <f t="shared" si="799"/>
        <v/>
      </c>
      <c r="AN1237" s="160" t="str">
        <f t="shared" si="812"/>
        <v/>
      </c>
      <c r="AO1237" s="161" t="str">
        <f t="shared" si="813"/>
        <v/>
      </c>
      <c r="AP1237" s="156" t="str">
        <f t="shared" si="800"/>
        <v/>
      </c>
      <c r="AQ1237" s="152"/>
      <c r="AR1237" s="162" t="str">
        <f t="shared" si="801"/>
        <v/>
      </c>
      <c r="AS1237" s="150" t="str">
        <f t="shared" si="814"/>
        <v/>
      </c>
      <c r="AT1237" s="163" t="str">
        <f t="shared" si="802"/>
        <v/>
      </c>
      <c r="AU1237" s="163" t="str">
        <f t="shared" si="803"/>
        <v/>
      </c>
      <c r="AV1237" s="163" t="str">
        <f t="shared" si="815"/>
        <v/>
      </c>
      <c r="AW1237" s="163" t="str">
        <f t="shared" si="804"/>
        <v/>
      </c>
      <c r="AX1237" s="163" t="str">
        <f t="shared" si="805"/>
        <v/>
      </c>
      <c r="AY1237" s="150" t="str">
        <f t="shared" si="816"/>
        <v/>
      </c>
      <c r="AZ1237" s="150" t="str">
        <f>IF($E1237="","",IF(OR(AND($D1237=Input!$C$6,$C1237=12),$AN1237=1),0,-AS1238+AT1238+AU1238-AV1238-AW1238-AX1238+AZ1238))</f>
        <v/>
      </c>
      <c r="BA1237" s="154" t="str">
        <f t="shared" si="806"/>
        <v/>
      </c>
      <c r="BC1237" s="147" t="str">
        <f t="shared" si="817"/>
        <v/>
      </c>
      <c r="BD1237" s="164" t="str">
        <f>IF(AND($C1236=12,$D1236=Input!$C$6),0,IF($E1237="","",AT1237+(AU1237+BD1238)/(1+$AK1237)*MIN((1-AM1237-AN1237),1)))</f>
        <v/>
      </c>
      <c r="BH1237" s="152"/>
      <c r="BI1237" s="162" t="str">
        <f t="shared" si="790"/>
        <v/>
      </c>
      <c r="BJ1237" s="150" t="str">
        <f t="shared" si="791"/>
        <v/>
      </c>
      <c r="BK1237" s="163" t="str">
        <f t="shared" si="822"/>
        <v/>
      </c>
      <c r="BL1237" s="163" t="str">
        <f t="shared" si="792"/>
        <v/>
      </c>
      <c r="BM1237" s="163" t="str">
        <f t="shared" si="823"/>
        <v/>
      </c>
      <c r="BN1237" s="163" t="str">
        <f t="shared" si="793"/>
        <v/>
      </c>
      <c r="BO1237" s="163" t="str">
        <f t="shared" si="794"/>
        <v/>
      </c>
      <c r="BP1237" s="150" t="str">
        <f t="shared" si="824"/>
        <v/>
      </c>
      <c r="BQ1237" s="150" t="str">
        <f t="shared" si="818"/>
        <v/>
      </c>
      <c r="BR1237" s="154" t="str">
        <f t="shared" si="795"/>
        <v/>
      </c>
      <c r="BT1237" s="147"/>
    </row>
    <row r="1238" spans="1:72" s="150" customFormat="1" x14ac:dyDescent="0.25">
      <c r="A1238" s="150" t="str">
        <f t="shared" si="819"/>
        <v/>
      </c>
      <c r="B1238" s="150" t="str">
        <f t="shared" si="820"/>
        <v/>
      </c>
      <c r="C1238" s="150" t="str">
        <f t="shared" si="821"/>
        <v/>
      </c>
      <c r="D1238" s="150" t="str">
        <f>IF(E1238="","",Input!$C$4+B1238-1)</f>
        <v/>
      </c>
      <c r="E1238" s="150" t="str">
        <f>IF(OR(AND(C1237=12,D1237=Input!$C$6),E1237=""),"",1)</f>
        <v/>
      </c>
      <c r="G1238" s="151" t="str">
        <f>IF(E1238="","",MAX(0,Input!$C$9-B1238))</f>
        <v/>
      </c>
      <c r="H1238" s="152" t="str">
        <f>IF(E1238="","",Input!$C$3)</f>
        <v/>
      </c>
      <c r="I1238" s="153" t="str">
        <f>IF(E1238="","",HLOOKUP($B1238,Input!$C$13:$BT$14,2))</f>
        <v/>
      </c>
      <c r="J1238" s="154"/>
      <c r="K1238" s="150" t="str">
        <f>IF($E1238="","",INDEX(Input!$C$16:$CP$16,1,$B1238))</f>
        <v/>
      </c>
      <c r="L1238" s="150" t="str">
        <f>IF($E1238="","",Input!$C$37)</f>
        <v/>
      </c>
      <c r="M1238" s="150" t="str">
        <f t="shared" si="807"/>
        <v/>
      </c>
      <c r="N1238" s="150" t="str">
        <f t="shared" si="808"/>
        <v/>
      </c>
      <c r="O1238" s="147" t="str">
        <f>IF($E1238="","",MIN(VLOOKUP(IF($B1238&lt;=Input!$C$7,$B1238,26),'Mortality Tables'!$A$41:$CW$67,IF($B1238&lt;=Input!$C$7+1,Input!$C$4+2,$D1238-Input!$C$7+2),0)*IF(B1238&gt;20,Input!$C$22,1)/1000,1))</f>
        <v/>
      </c>
      <c r="P1238" s="147" t="str">
        <f>IF($E1238="","",MIN(VLOOKUP(IF($B1238&lt;=Input!$C$7,$B1238,26),'Mortality Tables'!$A$12:$CW$37,IF($B1238&lt;=Input!$C$7+1,Input!$C$4+2,$D1238-Input!$C$7+2),0)*IF(B1238&gt;20,Input!$C$22,1)/1000,1))</f>
        <v/>
      </c>
      <c r="Q1238" s="155" t="str">
        <f>IF($E1238="","",Input!$C$21)</f>
        <v/>
      </c>
      <c r="R1238" s="159" t="str">
        <f>IF($E1238="","",(1-Q1238)^($F1238-Input!$C$20))</f>
        <v/>
      </c>
      <c r="S1238" s="147" t="str">
        <f t="shared" si="796"/>
        <v/>
      </c>
      <c r="T1238" s="147" t="str">
        <f t="shared" si="797"/>
        <v/>
      </c>
      <c r="U1238" s="160" t="str">
        <f>IF($E1238="","",IF($C1238=12,INDEX(Input!$C$15:$CP$15,1,$B1238),0))</f>
        <v/>
      </c>
      <c r="V1238" s="150" t="str">
        <f>IF(E1238="","",IF(C1238=1,IF($B1238=1,Input!$C$33,Input!$C$34),0))</f>
        <v/>
      </c>
      <c r="W1238" s="156" t="str">
        <f>IF($E1238="","",Input!$C$35)</f>
        <v/>
      </c>
      <c r="X1238" s="156" t="str">
        <f t="shared" si="798"/>
        <v/>
      </c>
      <c r="Y1238" s="154"/>
      <c r="Z1238" s="147" t="str">
        <f>IF($E1238="","",VLOOKUP($D1238,'Mortality Margins &amp; Grading'!$AB$5:$AF$125,3,0)*IF(Summary!$D$25="Included Margin",IF(AND($B1238&gt;Input!$C$9,Summary!$D$31&lt;&gt;"Included Margin"),0,1),0))</f>
        <v/>
      </c>
      <c r="AA1238" s="147" t="str">
        <f>IF($E1238="","",VLOOKUP($D1238,'Mortality Margins &amp; Grading'!$AB$5:$AF$125,5,0)*IF(Summary!$D$25="Included Margin",IF(AND($B1238&gt;Input!$C$9,Summary!$D$31&lt;&gt;"Included Margin"),0,1),0))</f>
        <v/>
      </c>
      <c r="AB1238" s="147" t="str">
        <f>IF($E1238="","",IF(AND($B1238&gt;Input!$C$9,Summary!$D$31&lt;&gt;"Included Margin"),1,IF(Summary!$D$25="Included Margin",VLOOKUP($B1238,'Mortality Margins &amp; Grading'!$AI$5:$AR$125,MATCH('Mortality Margins &amp; Grading'!$AQ$4,'Mortality Margins &amp; Grading'!$AI$4:$AR$4,0),0),1)))</f>
        <v/>
      </c>
      <c r="AC1238" s="154"/>
      <c r="AD1238" s="158" t="str">
        <f>IF(E1238="","",Input!$C$48*IF(Summary!$D$30="Included Margin",IF(AND($B1238&gt;Input!$C$9,Summary!$D$31&lt;&gt;"Included Margin"),0,1),0))</f>
        <v/>
      </c>
      <c r="AE1238" s="159" t="str">
        <f>IF(E1238="","",IF(Summary!$D$26="Included Margin",IF(AND($B1238&gt;Input!$C$9,Summary!$D$31&lt;&gt;"Included Margin"),1,1/$R1238),1))</f>
        <v/>
      </c>
      <c r="AF1238" s="160" t="str">
        <f>IF(E1238="","",IF(AND($B1238&gt;=Input!$C$9,$C1238=12,Summary!$D$31="Included Margin",$U1238&gt;0),1/U1238-1,IF($B1238&gt;=Input!$C$9,0,Input!$C$45*IF(Summary!$D$27="Included Margin",1,0))))</f>
        <v/>
      </c>
      <c r="AG1238" s="160" t="str">
        <f>IF(E1238="","",Input!$C$46*IF(Summary!$D$28="Included Margin",IF(AND($B1238&gt;Input!$C$9,Summary!$D$31&lt;&gt;"Included Margin"),0,1),0))</f>
        <v/>
      </c>
      <c r="AH1238" s="158" t="str">
        <f>IF(E1238="","",Input!$C$47*IF(Summary!$D$29="Included Margin",IF(AND($B1238&gt;Input!$C$9,Summary!$D$31&lt;&gt;"Included Margin"),0,1),0))</f>
        <v/>
      </c>
      <c r="AI1238" s="154"/>
      <c r="AJ1238" s="158" t="str">
        <f t="shared" si="809"/>
        <v/>
      </c>
      <c r="AK1238" s="150" t="str">
        <f t="shared" si="810"/>
        <v/>
      </c>
      <c r="AL1238" s="147" t="str">
        <f t="shared" si="811"/>
        <v/>
      </c>
      <c r="AM1238" s="147" t="str">
        <f t="shared" si="799"/>
        <v/>
      </c>
      <c r="AN1238" s="160" t="str">
        <f t="shared" si="812"/>
        <v/>
      </c>
      <c r="AO1238" s="161" t="str">
        <f t="shared" si="813"/>
        <v/>
      </c>
      <c r="AP1238" s="156" t="str">
        <f t="shared" si="800"/>
        <v/>
      </c>
      <c r="AQ1238" s="152"/>
      <c r="AR1238" s="162" t="str">
        <f t="shared" si="801"/>
        <v/>
      </c>
      <c r="AS1238" s="150" t="str">
        <f t="shared" si="814"/>
        <v/>
      </c>
      <c r="AT1238" s="163" t="str">
        <f t="shared" si="802"/>
        <v/>
      </c>
      <c r="AU1238" s="163" t="str">
        <f t="shared" si="803"/>
        <v/>
      </c>
      <c r="AV1238" s="163" t="str">
        <f t="shared" si="815"/>
        <v/>
      </c>
      <c r="AW1238" s="163" t="str">
        <f t="shared" si="804"/>
        <v/>
      </c>
      <c r="AX1238" s="163" t="str">
        <f t="shared" si="805"/>
        <v/>
      </c>
      <c r="AY1238" s="150" t="str">
        <f t="shared" si="816"/>
        <v/>
      </c>
      <c r="AZ1238" s="150" t="str">
        <f>IF($E1238="","",IF(OR(AND($D1238=Input!$C$6,$C1238=12),$AN1238=1),0,-AS1239+AT1239+AU1239-AV1239-AW1239-AX1239+AZ1239))</f>
        <v/>
      </c>
      <c r="BA1238" s="154" t="str">
        <f t="shared" si="806"/>
        <v/>
      </c>
      <c r="BC1238" s="147" t="str">
        <f t="shared" si="817"/>
        <v/>
      </c>
      <c r="BD1238" s="164" t="str">
        <f>IF(AND($C1237=12,$D1237=Input!$C$6),0,IF($E1238="","",AT1238+(AU1238+BD1239)/(1+$AK1238)*MIN((1-AM1238-AN1238),1)))</f>
        <v/>
      </c>
      <c r="BH1238" s="152"/>
      <c r="BI1238" s="162" t="str">
        <f t="shared" ref="BI1238:BI1301" si="825">IF($E1238="","",(BQ1238*(1-$U1238)*(1-$T1238)/(1+$N1238)+BL1238/(1+$N1238/2)-BJ1238+BK1238))</f>
        <v/>
      </c>
      <c r="BJ1238" s="150" t="str">
        <f t="shared" ref="BJ1238:BJ1301" si="826">IF($E1238="","",AS1238)</f>
        <v/>
      </c>
      <c r="BK1238" s="163" t="str">
        <f t="shared" si="822"/>
        <v/>
      </c>
      <c r="BL1238" s="163" t="str">
        <f t="shared" ref="BL1238:BL1301" si="827">IF(E1238="","",$T1238*$H1238)</f>
        <v/>
      </c>
      <c r="BM1238" s="163" t="str">
        <f t="shared" si="823"/>
        <v/>
      </c>
      <c r="BN1238" s="163" t="str">
        <f t="shared" ref="BN1238:BN1301" si="828">IF($E1238="","",BQ1238*$T1238)</f>
        <v/>
      </c>
      <c r="BO1238" s="163" t="str">
        <f t="shared" ref="BO1238:BO1301" si="829">IF($E1238="","",$U1238*BQ1238*(1-$T1238))</f>
        <v/>
      </c>
      <c r="BP1238" s="150" t="str">
        <f t="shared" si="824"/>
        <v/>
      </c>
      <c r="BQ1238" s="150" t="str">
        <f t="shared" si="818"/>
        <v/>
      </c>
      <c r="BR1238" s="154" t="str">
        <f t="shared" ref="BR1238:BR1301" si="830">IF(E1238="","",BQ1238-BP1238)</f>
        <v/>
      </c>
      <c r="BT1238" s="147"/>
    </row>
    <row r="1239" spans="1:72" s="150" customFormat="1" x14ac:dyDescent="0.25">
      <c r="A1239" s="150" t="str">
        <f t="shared" si="819"/>
        <v/>
      </c>
      <c r="B1239" s="150" t="str">
        <f t="shared" si="820"/>
        <v/>
      </c>
      <c r="C1239" s="150" t="str">
        <f t="shared" si="821"/>
        <v/>
      </c>
      <c r="D1239" s="150" t="str">
        <f>IF(E1239="","",Input!$C$4+B1239-1)</f>
        <v/>
      </c>
      <c r="E1239" s="150" t="str">
        <f>IF(OR(AND(C1238=12,D1238=Input!$C$6),E1238=""),"",1)</f>
        <v/>
      </c>
      <c r="G1239" s="151" t="str">
        <f>IF(E1239="","",MAX(0,Input!$C$9-B1239))</f>
        <v/>
      </c>
      <c r="H1239" s="152" t="str">
        <f>IF(E1239="","",Input!$C$3)</f>
        <v/>
      </c>
      <c r="I1239" s="153" t="str">
        <f>IF(E1239="","",HLOOKUP($B1239,Input!$C$13:$BT$14,2))</f>
        <v/>
      </c>
      <c r="J1239" s="154"/>
      <c r="K1239" s="150" t="str">
        <f>IF($E1239="","",INDEX(Input!$C$16:$CP$16,1,$B1239))</f>
        <v/>
      </c>
      <c r="L1239" s="150" t="str">
        <f>IF($E1239="","",Input!$C$37)</f>
        <v/>
      </c>
      <c r="M1239" s="150" t="str">
        <f t="shared" si="807"/>
        <v/>
      </c>
      <c r="N1239" s="150" t="str">
        <f t="shared" si="808"/>
        <v/>
      </c>
      <c r="O1239" s="147" t="str">
        <f>IF($E1239="","",MIN(VLOOKUP(IF($B1239&lt;=Input!$C$7,$B1239,26),'Mortality Tables'!$A$41:$CW$67,IF($B1239&lt;=Input!$C$7+1,Input!$C$4+2,$D1239-Input!$C$7+2),0)*IF(B1239&gt;20,Input!$C$22,1)/1000,1))</f>
        <v/>
      </c>
      <c r="P1239" s="147" t="str">
        <f>IF($E1239="","",MIN(VLOOKUP(IF($B1239&lt;=Input!$C$7,$B1239,26),'Mortality Tables'!$A$12:$CW$37,IF($B1239&lt;=Input!$C$7+1,Input!$C$4+2,$D1239-Input!$C$7+2),0)*IF(B1239&gt;20,Input!$C$22,1)/1000,1))</f>
        <v/>
      </c>
      <c r="Q1239" s="155" t="str">
        <f>IF($E1239="","",Input!$C$21)</f>
        <v/>
      </c>
      <c r="R1239" s="159" t="str">
        <f>IF($E1239="","",(1-Q1239)^($F1239-Input!$C$20))</f>
        <v/>
      </c>
      <c r="S1239" s="147" t="str">
        <f t="shared" si="796"/>
        <v/>
      </c>
      <c r="T1239" s="147" t="str">
        <f t="shared" si="797"/>
        <v/>
      </c>
      <c r="U1239" s="160" t="str">
        <f>IF($E1239="","",IF($C1239=12,INDEX(Input!$C$15:$CP$15,1,$B1239),0))</f>
        <v/>
      </c>
      <c r="V1239" s="150" t="str">
        <f>IF(E1239="","",IF(C1239=1,IF($B1239=1,Input!$C$33,Input!$C$34),0))</f>
        <v/>
      </c>
      <c r="W1239" s="156" t="str">
        <f>IF($E1239="","",Input!$C$35)</f>
        <v/>
      </c>
      <c r="X1239" s="156" t="str">
        <f t="shared" si="798"/>
        <v/>
      </c>
      <c r="Y1239" s="154"/>
      <c r="Z1239" s="147" t="str">
        <f>IF($E1239="","",VLOOKUP($D1239,'Mortality Margins &amp; Grading'!$AB$5:$AF$125,3,0)*IF(Summary!$D$25="Included Margin",IF(AND($B1239&gt;Input!$C$9,Summary!$D$31&lt;&gt;"Included Margin"),0,1),0))</f>
        <v/>
      </c>
      <c r="AA1239" s="147" t="str">
        <f>IF($E1239="","",VLOOKUP($D1239,'Mortality Margins &amp; Grading'!$AB$5:$AF$125,5,0)*IF(Summary!$D$25="Included Margin",IF(AND($B1239&gt;Input!$C$9,Summary!$D$31&lt;&gt;"Included Margin"),0,1),0))</f>
        <v/>
      </c>
      <c r="AB1239" s="147" t="str">
        <f>IF($E1239="","",IF(AND($B1239&gt;Input!$C$9,Summary!$D$31&lt;&gt;"Included Margin"),1,IF(Summary!$D$25="Included Margin",VLOOKUP($B1239,'Mortality Margins &amp; Grading'!$AI$5:$AR$125,MATCH('Mortality Margins &amp; Grading'!$AQ$4,'Mortality Margins &amp; Grading'!$AI$4:$AR$4,0),0),1)))</f>
        <v/>
      </c>
      <c r="AC1239" s="154"/>
      <c r="AD1239" s="158" t="str">
        <f>IF(E1239="","",Input!$C$48*IF(Summary!$D$30="Included Margin",IF(AND($B1239&gt;Input!$C$9,Summary!$D$31&lt;&gt;"Included Margin"),0,1),0))</f>
        <v/>
      </c>
      <c r="AE1239" s="159" t="str">
        <f>IF(E1239="","",IF(Summary!$D$26="Included Margin",IF(AND($B1239&gt;Input!$C$9,Summary!$D$31&lt;&gt;"Included Margin"),1,1/$R1239),1))</f>
        <v/>
      </c>
      <c r="AF1239" s="160" t="str">
        <f>IF(E1239="","",IF(AND($B1239&gt;=Input!$C$9,$C1239=12,Summary!$D$31="Included Margin",$U1239&gt;0),1/U1239-1,IF($B1239&gt;=Input!$C$9,0,Input!$C$45*IF(Summary!$D$27="Included Margin",1,0))))</f>
        <v/>
      </c>
      <c r="AG1239" s="160" t="str">
        <f>IF(E1239="","",Input!$C$46*IF(Summary!$D$28="Included Margin",IF(AND($B1239&gt;Input!$C$9,Summary!$D$31&lt;&gt;"Included Margin"),0,1),0))</f>
        <v/>
      </c>
      <c r="AH1239" s="158" t="str">
        <f>IF(E1239="","",Input!$C$47*IF(Summary!$D$29="Included Margin",IF(AND($B1239&gt;Input!$C$9,Summary!$D$31&lt;&gt;"Included Margin"),0,1),0))</f>
        <v/>
      </c>
      <c r="AI1239" s="154"/>
      <c r="AJ1239" s="158" t="str">
        <f t="shared" si="809"/>
        <v/>
      </c>
      <c r="AK1239" s="150" t="str">
        <f t="shared" si="810"/>
        <v/>
      </c>
      <c r="AL1239" s="147" t="str">
        <f t="shared" si="811"/>
        <v/>
      </c>
      <c r="AM1239" s="147" t="str">
        <f t="shared" si="799"/>
        <v/>
      </c>
      <c r="AN1239" s="160" t="str">
        <f t="shared" si="812"/>
        <v/>
      </c>
      <c r="AO1239" s="161" t="str">
        <f t="shared" si="813"/>
        <v/>
      </c>
      <c r="AP1239" s="156" t="str">
        <f t="shared" si="800"/>
        <v/>
      </c>
      <c r="AQ1239" s="152"/>
      <c r="AR1239" s="162" t="str">
        <f t="shared" si="801"/>
        <v/>
      </c>
      <c r="AS1239" s="150" t="str">
        <f t="shared" si="814"/>
        <v/>
      </c>
      <c r="AT1239" s="163" t="str">
        <f t="shared" si="802"/>
        <v/>
      </c>
      <c r="AU1239" s="163" t="str">
        <f t="shared" si="803"/>
        <v/>
      </c>
      <c r="AV1239" s="163" t="str">
        <f t="shared" si="815"/>
        <v/>
      </c>
      <c r="AW1239" s="163" t="str">
        <f t="shared" si="804"/>
        <v/>
      </c>
      <c r="AX1239" s="163" t="str">
        <f t="shared" si="805"/>
        <v/>
      </c>
      <c r="AY1239" s="150" t="str">
        <f t="shared" si="816"/>
        <v/>
      </c>
      <c r="AZ1239" s="150" t="str">
        <f>IF($E1239="","",IF(OR(AND($D1239=Input!$C$6,$C1239=12),$AN1239=1),0,-AS1240+AT1240+AU1240-AV1240-AW1240-AX1240+AZ1240))</f>
        <v/>
      </c>
      <c r="BA1239" s="154" t="str">
        <f t="shared" si="806"/>
        <v/>
      </c>
      <c r="BC1239" s="147" t="str">
        <f t="shared" si="817"/>
        <v/>
      </c>
      <c r="BD1239" s="164" t="str">
        <f>IF(AND($C1238=12,$D1238=Input!$C$6),0,IF($E1239="","",AT1239+(AU1239+BD1240)/(1+$AK1239)*MIN((1-AM1239-AN1239),1)))</f>
        <v/>
      </c>
      <c r="BH1239" s="152"/>
      <c r="BI1239" s="162" t="str">
        <f t="shared" si="825"/>
        <v/>
      </c>
      <c r="BJ1239" s="150" t="str">
        <f t="shared" si="826"/>
        <v/>
      </c>
      <c r="BK1239" s="163" t="str">
        <f t="shared" si="822"/>
        <v/>
      </c>
      <c r="BL1239" s="163" t="str">
        <f t="shared" si="827"/>
        <v/>
      </c>
      <c r="BM1239" s="163" t="str">
        <f t="shared" si="823"/>
        <v/>
      </c>
      <c r="BN1239" s="163" t="str">
        <f t="shared" si="828"/>
        <v/>
      </c>
      <c r="BO1239" s="163" t="str">
        <f t="shared" si="829"/>
        <v/>
      </c>
      <c r="BP1239" s="150" t="str">
        <f t="shared" si="824"/>
        <v/>
      </c>
      <c r="BQ1239" s="150" t="str">
        <f t="shared" si="818"/>
        <v/>
      </c>
      <c r="BR1239" s="154" t="str">
        <f t="shared" si="830"/>
        <v/>
      </c>
      <c r="BT1239" s="147"/>
    </row>
    <row r="1240" spans="1:72" s="150" customFormat="1" x14ac:dyDescent="0.25">
      <c r="A1240" s="150" t="str">
        <f t="shared" si="819"/>
        <v/>
      </c>
      <c r="B1240" s="150" t="str">
        <f t="shared" si="820"/>
        <v/>
      </c>
      <c r="C1240" s="150" t="str">
        <f t="shared" si="821"/>
        <v/>
      </c>
      <c r="D1240" s="150" t="str">
        <f>IF(E1240="","",Input!$C$4+B1240-1)</f>
        <v/>
      </c>
      <c r="E1240" s="150" t="str">
        <f>IF(OR(AND(C1239=12,D1239=Input!$C$6),E1239=""),"",1)</f>
        <v/>
      </c>
      <c r="G1240" s="151" t="str">
        <f>IF(E1240="","",MAX(0,Input!$C$9-B1240))</f>
        <v/>
      </c>
      <c r="H1240" s="152" t="str">
        <f>IF(E1240="","",Input!$C$3)</f>
        <v/>
      </c>
      <c r="I1240" s="153" t="str">
        <f>IF(E1240="","",HLOOKUP($B1240,Input!$C$13:$BT$14,2))</f>
        <v/>
      </c>
      <c r="J1240" s="154"/>
      <c r="K1240" s="150" t="str">
        <f>IF($E1240="","",INDEX(Input!$C$16:$CP$16,1,$B1240))</f>
        <v/>
      </c>
      <c r="L1240" s="150" t="str">
        <f>IF($E1240="","",Input!$C$37)</f>
        <v/>
      </c>
      <c r="M1240" s="150" t="str">
        <f t="shared" si="807"/>
        <v/>
      </c>
      <c r="N1240" s="150" t="str">
        <f t="shared" si="808"/>
        <v/>
      </c>
      <c r="O1240" s="147" t="str">
        <f>IF($E1240="","",MIN(VLOOKUP(IF($B1240&lt;=Input!$C$7,$B1240,26),'Mortality Tables'!$A$41:$CW$67,IF($B1240&lt;=Input!$C$7+1,Input!$C$4+2,$D1240-Input!$C$7+2),0)*IF(B1240&gt;20,Input!$C$22,1)/1000,1))</f>
        <v/>
      </c>
      <c r="P1240" s="147" t="str">
        <f>IF($E1240="","",MIN(VLOOKUP(IF($B1240&lt;=Input!$C$7,$B1240,26),'Mortality Tables'!$A$12:$CW$37,IF($B1240&lt;=Input!$C$7+1,Input!$C$4+2,$D1240-Input!$C$7+2),0)*IF(B1240&gt;20,Input!$C$22,1)/1000,1))</f>
        <v/>
      </c>
      <c r="Q1240" s="155" t="str">
        <f>IF($E1240="","",Input!$C$21)</f>
        <v/>
      </c>
      <c r="R1240" s="159" t="str">
        <f>IF($E1240="","",(1-Q1240)^($F1240-Input!$C$20))</f>
        <v/>
      </c>
      <c r="S1240" s="147" t="str">
        <f t="shared" si="796"/>
        <v/>
      </c>
      <c r="T1240" s="147" t="str">
        <f t="shared" si="797"/>
        <v/>
      </c>
      <c r="U1240" s="160" t="str">
        <f>IF($E1240="","",IF($C1240=12,INDEX(Input!$C$15:$CP$15,1,$B1240),0))</f>
        <v/>
      </c>
      <c r="V1240" s="150" t="str">
        <f>IF(E1240="","",IF(C1240=1,IF($B1240=1,Input!$C$33,Input!$C$34),0))</f>
        <v/>
      </c>
      <c r="W1240" s="156" t="str">
        <f>IF($E1240="","",Input!$C$35)</f>
        <v/>
      </c>
      <c r="X1240" s="156" t="str">
        <f t="shared" si="798"/>
        <v/>
      </c>
      <c r="Y1240" s="154"/>
      <c r="Z1240" s="147" t="str">
        <f>IF($E1240="","",VLOOKUP($D1240,'Mortality Margins &amp; Grading'!$AB$5:$AF$125,3,0)*IF(Summary!$D$25="Included Margin",IF(AND($B1240&gt;Input!$C$9,Summary!$D$31&lt;&gt;"Included Margin"),0,1),0))</f>
        <v/>
      </c>
      <c r="AA1240" s="147" t="str">
        <f>IF($E1240="","",VLOOKUP($D1240,'Mortality Margins &amp; Grading'!$AB$5:$AF$125,5,0)*IF(Summary!$D$25="Included Margin",IF(AND($B1240&gt;Input!$C$9,Summary!$D$31&lt;&gt;"Included Margin"),0,1),0))</f>
        <v/>
      </c>
      <c r="AB1240" s="147" t="str">
        <f>IF($E1240="","",IF(AND($B1240&gt;Input!$C$9,Summary!$D$31&lt;&gt;"Included Margin"),1,IF(Summary!$D$25="Included Margin",VLOOKUP($B1240,'Mortality Margins &amp; Grading'!$AI$5:$AR$125,MATCH('Mortality Margins &amp; Grading'!$AQ$4,'Mortality Margins &amp; Grading'!$AI$4:$AR$4,0),0),1)))</f>
        <v/>
      </c>
      <c r="AC1240" s="154"/>
      <c r="AD1240" s="158" t="str">
        <f>IF(E1240="","",Input!$C$48*IF(Summary!$D$30="Included Margin",IF(AND($B1240&gt;Input!$C$9,Summary!$D$31&lt;&gt;"Included Margin"),0,1),0))</f>
        <v/>
      </c>
      <c r="AE1240" s="159" t="str">
        <f>IF(E1240="","",IF(Summary!$D$26="Included Margin",IF(AND($B1240&gt;Input!$C$9,Summary!$D$31&lt;&gt;"Included Margin"),1,1/$R1240),1))</f>
        <v/>
      </c>
      <c r="AF1240" s="160" t="str">
        <f>IF(E1240="","",IF(AND($B1240&gt;=Input!$C$9,$C1240=12,Summary!$D$31="Included Margin",$U1240&gt;0),1/U1240-1,IF($B1240&gt;=Input!$C$9,0,Input!$C$45*IF(Summary!$D$27="Included Margin",1,0))))</f>
        <v/>
      </c>
      <c r="AG1240" s="160" t="str">
        <f>IF(E1240="","",Input!$C$46*IF(Summary!$D$28="Included Margin",IF(AND($B1240&gt;Input!$C$9,Summary!$D$31&lt;&gt;"Included Margin"),0,1),0))</f>
        <v/>
      </c>
      <c r="AH1240" s="158" t="str">
        <f>IF(E1240="","",Input!$C$47*IF(Summary!$D$29="Included Margin",IF(AND($B1240&gt;Input!$C$9,Summary!$D$31&lt;&gt;"Included Margin"),0,1),0))</f>
        <v/>
      </c>
      <c r="AI1240" s="154"/>
      <c r="AJ1240" s="158" t="str">
        <f t="shared" si="809"/>
        <v/>
      </c>
      <c r="AK1240" s="150" t="str">
        <f t="shared" si="810"/>
        <v/>
      </c>
      <c r="AL1240" s="147" t="str">
        <f t="shared" si="811"/>
        <v/>
      </c>
      <c r="AM1240" s="147" t="str">
        <f t="shared" si="799"/>
        <v/>
      </c>
      <c r="AN1240" s="160" t="str">
        <f t="shared" si="812"/>
        <v/>
      </c>
      <c r="AO1240" s="161" t="str">
        <f t="shared" si="813"/>
        <v/>
      </c>
      <c r="AP1240" s="156" t="str">
        <f t="shared" si="800"/>
        <v/>
      </c>
      <c r="AQ1240" s="152"/>
      <c r="AR1240" s="162" t="str">
        <f t="shared" si="801"/>
        <v/>
      </c>
      <c r="AS1240" s="150" t="str">
        <f t="shared" si="814"/>
        <v/>
      </c>
      <c r="AT1240" s="163" t="str">
        <f t="shared" si="802"/>
        <v/>
      </c>
      <c r="AU1240" s="163" t="str">
        <f t="shared" si="803"/>
        <v/>
      </c>
      <c r="AV1240" s="163" t="str">
        <f t="shared" si="815"/>
        <v/>
      </c>
      <c r="AW1240" s="163" t="str">
        <f t="shared" si="804"/>
        <v/>
      </c>
      <c r="AX1240" s="163" t="str">
        <f t="shared" si="805"/>
        <v/>
      </c>
      <c r="AY1240" s="150" t="str">
        <f t="shared" si="816"/>
        <v/>
      </c>
      <c r="AZ1240" s="150" t="str">
        <f>IF($E1240="","",IF(OR(AND($D1240=Input!$C$6,$C1240=12),$AN1240=1),0,-AS1241+AT1241+AU1241-AV1241-AW1241-AX1241+AZ1241))</f>
        <v/>
      </c>
      <c r="BA1240" s="154" t="str">
        <f t="shared" si="806"/>
        <v/>
      </c>
      <c r="BC1240" s="147" t="str">
        <f t="shared" si="817"/>
        <v/>
      </c>
      <c r="BD1240" s="164" t="str">
        <f>IF(AND($C1239=12,$D1239=Input!$C$6),0,IF($E1240="","",AT1240+(AU1240+BD1241)/(1+$AK1240)*MIN((1-AM1240-AN1240),1)))</f>
        <v/>
      </c>
      <c r="BH1240" s="152"/>
      <c r="BI1240" s="162" t="str">
        <f t="shared" si="825"/>
        <v/>
      </c>
      <c r="BJ1240" s="150" t="str">
        <f t="shared" si="826"/>
        <v/>
      </c>
      <c r="BK1240" s="163" t="str">
        <f t="shared" si="822"/>
        <v/>
      </c>
      <c r="BL1240" s="163" t="str">
        <f t="shared" si="827"/>
        <v/>
      </c>
      <c r="BM1240" s="163" t="str">
        <f t="shared" si="823"/>
        <v/>
      </c>
      <c r="BN1240" s="163" t="str">
        <f t="shared" si="828"/>
        <v/>
      </c>
      <c r="BO1240" s="163" t="str">
        <f t="shared" si="829"/>
        <v/>
      </c>
      <c r="BP1240" s="150" t="str">
        <f t="shared" si="824"/>
        <v/>
      </c>
      <c r="BQ1240" s="150" t="str">
        <f t="shared" si="818"/>
        <v/>
      </c>
      <c r="BR1240" s="154" t="str">
        <f t="shared" si="830"/>
        <v/>
      </c>
      <c r="BT1240" s="147"/>
    </row>
    <row r="1241" spans="1:72" s="150" customFormat="1" x14ac:dyDescent="0.25">
      <c r="A1241" s="150" t="str">
        <f t="shared" si="819"/>
        <v/>
      </c>
      <c r="B1241" s="150" t="str">
        <f t="shared" si="820"/>
        <v/>
      </c>
      <c r="C1241" s="150" t="str">
        <f t="shared" si="821"/>
        <v/>
      </c>
      <c r="D1241" s="150" t="str">
        <f>IF(E1241="","",Input!$C$4+B1241-1)</f>
        <v/>
      </c>
      <c r="E1241" s="150" t="str">
        <f>IF(OR(AND(C1240=12,D1240=Input!$C$6),E1240=""),"",1)</f>
        <v/>
      </c>
      <c r="G1241" s="151" t="str">
        <f>IF(E1241="","",MAX(0,Input!$C$9-B1241))</f>
        <v/>
      </c>
      <c r="H1241" s="152" t="str">
        <f>IF(E1241="","",Input!$C$3)</f>
        <v/>
      </c>
      <c r="I1241" s="153" t="str">
        <f>IF(E1241="","",HLOOKUP($B1241,Input!$C$13:$BT$14,2))</f>
        <v/>
      </c>
      <c r="J1241" s="154"/>
      <c r="K1241" s="150" t="str">
        <f>IF($E1241="","",INDEX(Input!$C$16:$CP$16,1,$B1241))</f>
        <v/>
      </c>
      <c r="L1241" s="150" t="str">
        <f>IF($E1241="","",Input!$C$37)</f>
        <v/>
      </c>
      <c r="M1241" s="150" t="str">
        <f t="shared" si="807"/>
        <v/>
      </c>
      <c r="N1241" s="150" t="str">
        <f t="shared" si="808"/>
        <v/>
      </c>
      <c r="O1241" s="147" t="str">
        <f>IF($E1241="","",MIN(VLOOKUP(IF($B1241&lt;=Input!$C$7,$B1241,26),'Mortality Tables'!$A$41:$CW$67,IF($B1241&lt;=Input!$C$7+1,Input!$C$4+2,$D1241-Input!$C$7+2),0)*IF(B1241&gt;20,Input!$C$22,1)/1000,1))</f>
        <v/>
      </c>
      <c r="P1241" s="147" t="str">
        <f>IF($E1241="","",MIN(VLOOKUP(IF($B1241&lt;=Input!$C$7,$B1241,26),'Mortality Tables'!$A$12:$CW$37,IF($B1241&lt;=Input!$C$7+1,Input!$C$4+2,$D1241-Input!$C$7+2),0)*IF(B1241&gt;20,Input!$C$22,1)/1000,1))</f>
        <v/>
      </c>
      <c r="Q1241" s="155" t="str">
        <f>IF($E1241="","",Input!$C$21)</f>
        <v/>
      </c>
      <c r="R1241" s="159" t="str">
        <f>IF($E1241="","",(1-Q1241)^($F1241-Input!$C$20))</f>
        <v/>
      </c>
      <c r="S1241" s="147" t="str">
        <f t="shared" si="796"/>
        <v/>
      </c>
      <c r="T1241" s="147" t="str">
        <f t="shared" si="797"/>
        <v/>
      </c>
      <c r="U1241" s="160" t="str">
        <f>IF($E1241="","",IF($C1241=12,INDEX(Input!$C$15:$CP$15,1,$B1241),0))</f>
        <v/>
      </c>
      <c r="V1241" s="150" t="str">
        <f>IF(E1241="","",IF(C1241=1,IF($B1241=1,Input!$C$33,Input!$C$34),0))</f>
        <v/>
      </c>
      <c r="W1241" s="156" t="str">
        <f>IF($E1241="","",Input!$C$35)</f>
        <v/>
      </c>
      <c r="X1241" s="156" t="str">
        <f t="shared" si="798"/>
        <v/>
      </c>
      <c r="Y1241" s="154"/>
      <c r="Z1241" s="147" t="str">
        <f>IF($E1241="","",VLOOKUP($D1241,'Mortality Margins &amp; Grading'!$AB$5:$AF$125,3,0)*IF(Summary!$D$25="Included Margin",IF(AND($B1241&gt;Input!$C$9,Summary!$D$31&lt;&gt;"Included Margin"),0,1),0))</f>
        <v/>
      </c>
      <c r="AA1241" s="147" t="str">
        <f>IF($E1241="","",VLOOKUP($D1241,'Mortality Margins &amp; Grading'!$AB$5:$AF$125,5,0)*IF(Summary!$D$25="Included Margin",IF(AND($B1241&gt;Input!$C$9,Summary!$D$31&lt;&gt;"Included Margin"),0,1),0))</f>
        <v/>
      </c>
      <c r="AB1241" s="147" t="str">
        <f>IF($E1241="","",IF(AND($B1241&gt;Input!$C$9,Summary!$D$31&lt;&gt;"Included Margin"),1,IF(Summary!$D$25="Included Margin",VLOOKUP($B1241,'Mortality Margins &amp; Grading'!$AI$5:$AR$125,MATCH('Mortality Margins &amp; Grading'!$AQ$4,'Mortality Margins &amp; Grading'!$AI$4:$AR$4,0),0),1)))</f>
        <v/>
      </c>
      <c r="AC1241" s="154"/>
      <c r="AD1241" s="158" t="str">
        <f>IF(E1241="","",Input!$C$48*IF(Summary!$D$30="Included Margin",IF(AND($B1241&gt;Input!$C$9,Summary!$D$31&lt;&gt;"Included Margin"),0,1),0))</f>
        <v/>
      </c>
      <c r="AE1241" s="159" t="str">
        <f>IF(E1241="","",IF(Summary!$D$26="Included Margin",IF(AND($B1241&gt;Input!$C$9,Summary!$D$31&lt;&gt;"Included Margin"),1,1/$R1241),1))</f>
        <v/>
      </c>
      <c r="AF1241" s="160" t="str">
        <f>IF(E1241="","",IF(AND($B1241&gt;=Input!$C$9,$C1241=12,Summary!$D$31="Included Margin",$U1241&gt;0),1/U1241-1,IF($B1241&gt;=Input!$C$9,0,Input!$C$45*IF(Summary!$D$27="Included Margin",1,0))))</f>
        <v/>
      </c>
      <c r="AG1241" s="160" t="str">
        <f>IF(E1241="","",Input!$C$46*IF(Summary!$D$28="Included Margin",IF(AND($B1241&gt;Input!$C$9,Summary!$D$31&lt;&gt;"Included Margin"),0,1),0))</f>
        <v/>
      </c>
      <c r="AH1241" s="158" t="str">
        <f>IF(E1241="","",Input!$C$47*IF(Summary!$D$29="Included Margin",IF(AND($B1241&gt;Input!$C$9,Summary!$D$31&lt;&gt;"Included Margin"),0,1),0))</f>
        <v/>
      </c>
      <c r="AI1241" s="154"/>
      <c r="AJ1241" s="158" t="str">
        <f t="shared" si="809"/>
        <v/>
      </c>
      <c r="AK1241" s="150" t="str">
        <f t="shared" si="810"/>
        <v/>
      </c>
      <c r="AL1241" s="147" t="str">
        <f t="shared" si="811"/>
        <v/>
      </c>
      <c r="AM1241" s="147" t="str">
        <f t="shared" si="799"/>
        <v/>
      </c>
      <c r="AN1241" s="160" t="str">
        <f t="shared" si="812"/>
        <v/>
      </c>
      <c r="AO1241" s="161" t="str">
        <f t="shared" si="813"/>
        <v/>
      </c>
      <c r="AP1241" s="156" t="str">
        <f t="shared" si="800"/>
        <v/>
      </c>
      <c r="AQ1241" s="152"/>
      <c r="AR1241" s="162" t="str">
        <f t="shared" si="801"/>
        <v/>
      </c>
      <c r="AS1241" s="150" t="str">
        <f t="shared" si="814"/>
        <v/>
      </c>
      <c r="AT1241" s="163" t="str">
        <f t="shared" si="802"/>
        <v/>
      </c>
      <c r="AU1241" s="163" t="str">
        <f t="shared" si="803"/>
        <v/>
      </c>
      <c r="AV1241" s="163" t="str">
        <f t="shared" si="815"/>
        <v/>
      </c>
      <c r="AW1241" s="163" t="str">
        <f t="shared" si="804"/>
        <v/>
      </c>
      <c r="AX1241" s="163" t="str">
        <f t="shared" si="805"/>
        <v/>
      </c>
      <c r="AY1241" s="150" t="str">
        <f t="shared" si="816"/>
        <v/>
      </c>
      <c r="AZ1241" s="150" t="str">
        <f>IF($E1241="","",IF(OR(AND($D1241=Input!$C$6,$C1241=12),$AN1241=1),0,-AS1242+AT1242+AU1242-AV1242-AW1242-AX1242+AZ1242))</f>
        <v/>
      </c>
      <c r="BA1241" s="154" t="str">
        <f t="shared" si="806"/>
        <v/>
      </c>
      <c r="BC1241" s="147" t="str">
        <f t="shared" si="817"/>
        <v/>
      </c>
      <c r="BD1241" s="164" t="str">
        <f>IF(AND($C1240=12,$D1240=Input!$C$6),0,IF($E1241="","",AT1241+(AU1241+BD1242)/(1+$AK1241)*MIN((1-AM1241-AN1241),1)))</f>
        <v/>
      </c>
      <c r="BH1241" s="152"/>
      <c r="BI1241" s="162" t="str">
        <f t="shared" si="825"/>
        <v/>
      </c>
      <c r="BJ1241" s="150" t="str">
        <f t="shared" si="826"/>
        <v/>
      </c>
      <c r="BK1241" s="163" t="str">
        <f t="shared" si="822"/>
        <v/>
      </c>
      <c r="BL1241" s="163" t="str">
        <f t="shared" si="827"/>
        <v/>
      </c>
      <c r="BM1241" s="163" t="str">
        <f t="shared" si="823"/>
        <v/>
      </c>
      <c r="BN1241" s="163" t="str">
        <f t="shared" si="828"/>
        <v/>
      </c>
      <c r="BO1241" s="163" t="str">
        <f t="shared" si="829"/>
        <v/>
      </c>
      <c r="BP1241" s="150" t="str">
        <f t="shared" si="824"/>
        <v/>
      </c>
      <c r="BQ1241" s="150" t="str">
        <f t="shared" si="818"/>
        <v/>
      </c>
      <c r="BR1241" s="154" t="str">
        <f t="shared" si="830"/>
        <v/>
      </c>
      <c r="BT1241" s="147"/>
    </row>
    <row r="1242" spans="1:72" s="150" customFormat="1" x14ac:dyDescent="0.25">
      <c r="A1242" s="150" t="str">
        <f t="shared" si="819"/>
        <v/>
      </c>
      <c r="B1242" s="150" t="str">
        <f t="shared" si="820"/>
        <v/>
      </c>
      <c r="C1242" s="150" t="str">
        <f t="shared" si="821"/>
        <v/>
      </c>
      <c r="D1242" s="150" t="str">
        <f>IF(E1242="","",Input!$C$4+B1242-1)</f>
        <v/>
      </c>
      <c r="E1242" s="150" t="str">
        <f>IF(OR(AND(C1241=12,D1241=Input!$C$6),E1241=""),"",1)</f>
        <v/>
      </c>
      <c r="G1242" s="151" t="str">
        <f>IF(E1242="","",MAX(0,Input!$C$9-B1242))</f>
        <v/>
      </c>
      <c r="H1242" s="152" t="str">
        <f>IF(E1242="","",Input!$C$3)</f>
        <v/>
      </c>
      <c r="I1242" s="153" t="str">
        <f>IF(E1242="","",HLOOKUP($B1242,Input!$C$13:$BT$14,2))</f>
        <v/>
      </c>
      <c r="J1242" s="154"/>
      <c r="K1242" s="150" t="str">
        <f>IF($E1242="","",INDEX(Input!$C$16:$CP$16,1,$B1242))</f>
        <v/>
      </c>
      <c r="L1242" s="150" t="str">
        <f>IF($E1242="","",Input!$C$37)</f>
        <v/>
      </c>
      <c r="M1242" s="150" t="str">
        <f t="shared" si="807"/>
        <v/>
      </c>
      <c r="N1242" s="150" t="str">
        <f t="shared" si="808"/>
        <v/>
      </c>
      <c r="O1242" s="147" t="str">
        <f>IF($E1242="","",MIN(VLOOKUP(IF($B1242&lt;=Input!$C$7,$B1242,26),'Mortality Tables'!$A$41:$CW$67,IF($B1242&lt;=Input!$C$7+1,Input!$C$4+2,$D1242-Input!$C$7+2),0)*IF(B1242&gt;20,Input!$C$22,1)/1000,1))</f>
        <v/>
      </c>
      <c r="P1242" s="147" t="str">
        <f>IF($E1242="","",MIN(VLOOKUP(IF($B1242&lt;=Input!$C$7,$B1242,26),'Mortality Tables'!$A$12:$CW$37,IF($B1242&lt;=Input!$C$7+1,Input!$C$4+2,$D1242-Input!$C$7+2),0)*IF(B1242&gt;20,Input!$C$22,1)/1000,1))</f>
        <v/>
      </c>
      <c r="Q1242" s="155" t="str">
        <f>IF($E1242="","",Input!$C$21)</f>
        <v/>
      </c>
      <c r="R1242" s="159" t="str">
        <f>IF($E1242="","",(1-Q1242)^($F1242-Input!$C$20))</f>
        <v/>
      </c>
      <c r="S1242" s="147" t="str">
        <f t="shared" si="796"/>
        <v/>
      </c>
      <c r="T1242" s="147" t="str">
        <f t="shared" si="797"/>
        <v/>
      </c>
      <c r="U1242" s="160" t="str">
        <f>IF($E1242="","",IF($C1242=12,INDEX(Input!$C$15:$CP$15,1,$B1242),0))</f>
        <v/>
      </c>
      <c r="V1242" s="150" t="str">
        <f>IF(E1242="","",IF(C1242=1,IF($B1242=1,Input!$C$33,Input!$C$34),0))</f>
        <v/>
      </c>
      <c r="W1242" s="156" t="str">
        <f>IF($E1242="","",Input!$C$35)</f>
        <v/>
      </c>
      <c r="X1242" s="156" t="str">
        <f t="shared" si="798"/>
        <v/>
      </c>
      <c r="Y1242" s="154"/>
      <c r="Z1242" s="147" t="str">
        <f>IF($E1242="","",VLOOKUP($D1242,'Mortality Margins &amp; Grading'!$AB$5:$AF$125,3,0)*IF(Summary!$D$25="Included Margin",IF(AND($B1242&gt;Input!$C$9,Summary!$D$31&lt;&gt;"Included Margin"),0,1),0))</f>
        <v/>
      </c>
      <c r="AA1242" s="147" t="str">
        <f>IF($E1242="","",VLOOKUP($D1242,'Mortality Margins &amp; Grading'!$AB$5:$AF$125,5,0)*IF(Summary!$D$25="Included Margin",IF(AND($B1242&gt;Input!$C$9,Summary!$D$31&lt;&gt;"Included Margin"),0,1),0))</f>
        <v/>
      </c>
      <c r="AB1242" s="147" t="str">
        <f>IF($E1242="","",IF(AND($B1242&gt;Input!$C$9,Summary!$D$31&lt;&gt;"Included Margin"),1,IF(Summary!$D$25="Included Margin",VLOOKUP($B1242,'Mortality Margins &amp; Grading'!$AI$5:$AR$125,MATCH('Mortality Margins &amp; Grading'!$AQ$4,'Mortality Margins &amp; Grading'!$AI$4:$AR$4,0),0),1)))</f>
        <v/>
      </c>
      <c r="AC1242" s="154"/>
      <c r="AD1242" s="158" t="str">
        <f>IF(E1242="","",Input!$C$48*IF(Summary!$D$30="Included Margin",IF(AND($B1242&gt;Input!$C$9,Summary!$D$31&lt;&gt;"Included Margin"),0,1),0))</f>
        <v/>
      </c>
      <c r="AE1242" s="159" t="str">
        <f>IF(E1242="","",IF(Summary!$D$26="Included Margin",IF(AND($B1242&gt;Input!$C$9,Summary!$D$31&lt;&gt;"Included Margin"),1,1/$R1242),1))</f>
        <v/>
      </c>
      <c r="AF1242" s="160" t="str">
        <f>IF(E1242="","",IF(AND($B1242&gt;=Input!$C$9,$C1242=12,Summary!$D$31="Included Margin",$U1242&gt;0),1/U1242-1,IF($B1242&gt;=Input!$C$9,0,Input!$C$45*IF(Summary!$D$27="Included Margin",1,0))))</f>
        <v/>
      </c>
      <c r="AG1242" s="160" t="str">
        <f>IF(E1242="","",Input!$C$46*IF(Summary!$D$28="Included Margin",IF(AND($B1242&gt;Input!$C$9,Summary!$D$31&lt;&gt;"Included Margin"),0,1),0))</f>
        <v/>
      </c>
      <c r="AH1242" s="158" t="str">
        <f>IF(E1242="","",Input!$C$47*IF(Summary!$D$29="Included Margin",IF(AND($B1242&gt;Input!$C$9,Summary!$D$31&lt;&gt;"Included Margin"),0,1),0))</f>
        <v/>
      </c>
      <c r="AI1242" s="154"/>
      <c r="AJ1242" s="158" t="str">
        <f t="shared" si="809"/>
        <v/>
      </c>
      <c r="AK1242" s="150" t="str">
        <f t="shared" si="810"/>
        <v/>
      </c>
      <c r="AL1242" s="147" t="str">
        <f t="shared" si="811"/>
        <v/>
      </c>
      <c r="AM1242" s="147" t="str">
        <f t="shared" si="799"/>
        <v/>
      </c>
      <c r="AN1242" s="160" t="str">
        <f t="shared" si="812"/>
        <v/>
      </c>
      <c r="AO1242" s="161" t="str">
        <f t="shared" si="813"/>
        <v/>
      </c>
      <c r="AP1242" s="156" t="str">
        <f t="shared" si="800"/>
        <v/>
      </c>
      <c r="AQ1242" s="152"/>
      <c r="AR1242" s="162" t="str">
        <f t="shared" si="801"/>
        <v/>
      </c>
      <c r="AS1242" s="150" t="str">
        <f t="shared" si="814"/>
        <v/>
      </c>
      <c r="AT1242" s="163" t="str">
        <f t="shared" si="802"/>
        <v/>
      </c>
      <c r="AU1242" s="163" t="str">
        <f t="shared" si="803"/>
        <v/>
      </c>
      <c r="AV1242" s="163" t="str">
        <f t="shared" si="815"/>
        <v/>
      </c>
      <c r="AW1242" s="163" t="str">
        <f t="shared" si="804"/>
        <v/>
      </c>
      <c r="AX1242" s="163" t="str">
        <f t="shared" si="805"/>
        <v/>
      </c>
      <c r="AY1242" s="150" t="str">
        <f t="shared" si="816"/>
        <v/>
      </c>
      <c r="AZ1242" s="150" t="str">
        <f>IF($E1242="","",IF(OR(AND($D1242=Input!$C$6,$C1242=12),$AN1242=1),0,-AS1243+AT1243+AU1243-AV1243-AW1243-AX1243+AZ1243))</f>
        <v/>
      </c>
      <c r="BA1242" s="154" t="str">
        <f t="shared" si="806"/>
        <v/>
      </c>
      <c r="BC1242" s="147" t="str">
        <f t="shared" si="817"/>
        <v/>
      </c>
      <c r="BD1242" s="164" t="str">
        <f>IF(AND($C1241=12,$D1241=Input!$C$6),0,IF($E1242="","",AT1242+(AU1242+BD1243)/(1+$AK1242)*MIN((1-AM1242-AN1242),1)))</f>
        <v/>
      </c>
      <c r="BH1242" s="152"/>
      <c r="BI1242" s="162" t="str">
        <f t="shared" si="825"/>
        <v/>
      </c>
      <c r="BJ1242" s="150" t="str">
        <f t="shared" si="826"/>
        <v/>
      </c>
      <c r="BK1242" s="163" t="str">
        <f t="shared" si="822"/>
        <v/>
      </c>
      <c r="BL1242" s="163" t="str">
        <f t="shared" si="827"/>
        <v/>
      </c>
      <c r="BM1242" s="163" t="str">
        <f t="shared" si="823"/>
        <v/>
      </c>
      <c r="BN1242" s="163" t="str">
        <f t="shared" si="828"/>
        <v/>
      </c>
      <c r="BO1242" s="163" t="str">
        <f t="shared" si="829"/>
        <v/>
      </c>
      <c r="BP1242" s="150" t="str">
        <f t="shared" si="824"/>
        <v/>
      </c>
      <c r="BQ1242" s="150" t="str">
        <f t="shared" si="818"/>
        <v/>
      </c>
      <c r="BR1242" s="154" t="str">
        <f t="shared" si="830"/>
        <v/>
      </c>
      <c r="BT1242" s="147"/>
    </row>
    <row r="1243" spans="1:72" s="150" customFormat="1" x14ac:dyDescent="0.25">
      <c r="A1243" s="150" t="str">
        <f t="shared" si="819"/>
        <v/>
      </c>
      <c r="B1243" s="150" t="str">
        <f t="shared" si="820"/>
        <v/>
      </c>
      <c r="C1243" s="150" t="str">
        <f t="shared" si="821"/>
        <v/>
      </c>
      <c r="D1243" s="150" t="str">
        <f>IF(E1243="","",Input!$C$4+B1243-1)</f>
        <v/>
      </c>
      <c r="E1243" s="150" t="str">
        <f>IF(OR(AND(C1242=12,D1242=Input!$C$6),E1242=""),"",1)</f>
        <v/>
      </c>
      <c r="G1243" s="151" t="str">
        <f>IF(E1243="","",MAX(0,Input!$C$9-B1243))</f>
        <v/>
      </c>
      <c r="H1243" s="152" t="str">
        <f>IF(E1243="","",Input!$C$3)</f>
        <v/>
      </c>
      <c r="I1243" s="153" t="str">
        <f>IF(E1243="","",HLOOKUP($B1243,Input!$C$13:$BT$14,2))</f>
        <v/>
      </c>
      <c r="J1243" s="154"/>
      <c r="K1243" s="150" t="str">
        <f>IF($E1243="","",INDEX(Input!$C$16:$CP$16,1,$B1243))</f>
        <v/>
      </c>
      <c r="L1243" s="150" t="str">
        <f>IF($E1243="","",Input!$C$37)</f>
        <v/>
      </c>
      <c r="M1243" s="150" t="str">
        <f t="shared" si="807"/>
        <v/>
      </c>
      <c r="N1243" s="150" t="str">
        <f t="shared" si="808"/>
        <v/>
      </c>
      <c r="O1243" s="147" t="str">
        <f>IF($E1243="","",MIN(VLOOKUP(IF($B1243&lt;=Input!$C$7,$B1243,26),'Mortality Tables'!$A$41:$CW$67,IF($B1243&lt;=Input!$C$7+1,Input!$C$4+2,$D1243-Input!$C$7+2),0)*IF(B1243&gt;20,Input!$C$22,1)/1000,1))</f>
        <v/>
      </c>
      <c r="P1243" s="147" t="str">
        <f>IF($E1243="","",MIN(VLOOKUP(IF($B1243&lt;=Input!$C$7,$B1243,26),'Mortality Tables'!$A$12:$CW$37,IF($B1243&lt;=Input!$C$7+1,Input!$C$4+2,$D1243-Input!$C$7+2),0)*IF(B1243&gt;20,Input!$C$22,1)/1000,1))</f>
        <v/>
      </c>
      <c r="Q1243" s="155" t="str">
        <f>IF($E1243="","",Input!$C$21)</f>
        <v/>
      </c>
      <c r="R1243" s="159" t="str">
        <f>IF($E1243="","",(1-Q1243)^($F1243-Input!$C$20))</f>
        <v/>
      </c>
      <c r="S1243" s="147" t="str">
        <f t="shared" si="796"/>
        <v/>
      </c>
      <c r="T1243" s="147" t="str">
        <f t="shared" si="797"/>
        <v/>
      </c>
      <c r="U1243" s="160" t="str">
        <f>IF($E1243="","",IF($C1243=12,INDEX(Input!$C$15:$CP$15,1,$B1243),0))</f>
        <v/>
      </c>
      <c r="V1243" s="150" t="str">
        <f>IF(E1243="","",IF(C1243=1,IF($B1243=1,Input!$C$33,Input!$C$34),0))</f>
        <v/>
      </c>
      <c r="W1243" s="156" t="str">
        <f>IF($E1243="","",Input!$C$35)</f>
        <v/>
      </c>
      <c r="X1243" s="156" t="str">
        <f t="shared" si="798"/>
        <v/>
      </c>
      <c r="Y1243" s="154"/>
      <c r="Z1243" s="147" t="str">
        <f>IF($E1243="","",VLOOKUP($D1243,'Mortality Margins &amp; Grading'!$AB$5:$AF$125,3,0)*IF(Summary!$D$25="Included Margin",IF(AND($B1243&gt;Input!$C$9,Summary!$D$31&lt;&gt;"Included Margin"),0,1),0))</f>
        <v/>
      </c>
      <c r="AA1243" s="147" t="str">
        <f>IF($E1243="","",VLOOKUP($D1243,'Mortality Margins &amp; Grading'!$AB$5:$AF$125,5,0)*IF(Summary!$D$25="Included Margin",IF(AND($B1243&gt;Input!$C$9,Summary!$D$31&lt;&gt;"Included Margin"),0,1),0))</f>
        <v/>
      </c>
      <c r="AB1243" s="147" t="str">
        <f>IF($E1243="","",IF(AND($B1243&gt;Input!$C$9,Summary!$D$31&lt;&gt;"Included Margin"),1,IF(Summary!$D$25="Included Margin",VLOOKUP($B1243,'Mortality Margins &amp; Grading'!$AI$5:$AR$125,MATCH('Mortality Margins &amp; Grading'!$AQ$4,'Mortality Margins &amp; Grading'!$AI$4:$AR$4,0),0),1)))</f>
        <v/>
      </c>
      <c r="AC1243" s="154"/>
      <c r="AD1243" s="158" t="str">
        <f>IF(E1243="","",Input!$C$48*IF(Summary!$D$30="Included Margin",IF(AND($B1243&gt;Input!$C$9,Summary!$D$31&lt;&gt;"Included Margin"),0,1),0))</f>
        <v/>
      </c>
      <c r="AE1243" s="159" t="str">
        <f>IF(E1243="","",IF(Summary!$D$26="Included Margin",IF(AND($B1243&gt;Input!$C$9,Summary!$D$31&lt;&gt;"Included Margin"),1,1/$R1243),1))</f>
        <v/>
      </c>
      <c r="AF1243" s="160" t="str">
        <f>IF(E1243="","",IF(AND($B1243&gt;=Input!$C$9,$C1243=12,Summary!$D$31="Included Margin",$U1243&gt;0),1/U1243-1,IF($B1243&gt;=Input!$C$9,0,Input!$C$45*IF(Summary!$D$27="Included Margin",1,0))))</f>
        <v/>
      </c>
      <c r="AG1243" s="160" t="str">
        <f>IF(E1243="","",Input!$C$46*IF(Summary!$D$28="Included Margin",IF(AND($B1243&gt;Input!$C$9,Summary!$D$31&lt;&gt;"Included Margin"),0,1),0))</f>
        <v/>
      </c>
      <c r="AH1243" s="158" t="str">
        <f>IF(E1243="","",Input!$C$47*IF(Summary!$D$29="Included Margin",IF(AND($B1243&gt;Input!$C$9,Summary!$D$31&lt;&gt;"Included Margin"),0,1),0))</f>
        <v/>
      </c>
      <c r="AI1243" s="154"/>
      <c r="AJ1243" s="158" t="str">
        <f t="shared" si="809"/>
        <v/>
      </c>
      <c r="AK1243" s="150" t="str">
        <f t="shared" si="810"/>
        <v/>
      </c>
      <c r="AL1243" s="147" t="str">
        <f t="shared" si="811"/>
        <v/>
      </c>
      <c r="AM1243" s="147" t="str">
        <f t="shared" si="799"/>
        <v/>
      </c>
      <c r="AN1243" s="160" t="str">
        <f t="shared" si="812"/>
        <v/>
      </c>
      <c r="AO1243" s="161" t="str">
        <f t="shared" si="813"/>
        <v/>
      </c>
      <c r="AP1243" s="156" t="str">
        <f t="shared" si="800"/>
        <v/>
      </c>
      <c r="AQ1243" s="152"/>
      <c r="AR1243" s="162" t="str">
        <f t="shared" si="801"/>
        <v/>
      </c>
      <c r="AS1243" s="150" t="str">
        <f t="shared" si="814"/>
        <v/>
      </c>
      <c r="AT1243" s="163" t="str">
        <f t="shared" si="802"/>
        <v/>
      </c>
      <c r="AU1243" s="163" t="str">
        <f t="shared" si="803"/>
        <v/>
      </c>
      <c r="AV1243" s="163" t="str">
        <f t="shared" si="815"/>
        <v/>
      </c>
      <c r="AW1243" s="163" t="str">
        <f t="shared" si="804"/>
        <v/>
      </c>
      <c r="AX1243" s="163" t="str">
        <f t="shared" si="805"/>
        <v/>
      </c>
      <c r="AY1243" s="150" t="str">
        <f t="shared" si="816"/>
        <v/>
      </c>
      <c r="AZ1243" s="150" t="str">
        <f>IF($E1243="","",IF(OR(AND($D1243=Input!$C$6,$C1243=12),$AN1243=1),0,-AS1244+AT1244+AU1244-AV1244-AW1244-AX1244+AZ1244))</f>
        <v/>
      </c>
      <c r="BA1243" s="154" t="str">
        <f t="shared" si="806"/>
        <v/>
      </c>
      <c r="BC1243" s="147" t="str">
        <f t="shared" si="817"/>
        <v/>
      </c>
      <c r="BD1243" s="164" t="str">
        <f>IF(AND($C1242=12,$D1242=Input!$C$6),0,IF($E1243="","",AT1243+(AU1243+BD1244)/(1+$AK1243)*MIN((1-AM1243-AN1243),1)))</f>
        <v/>
      </c>
      <c r="BH1243" s="152"/>
      <c r="BI1243" s="162" t="str">
        <f t="shared" si="825"/>
        <v/>
      </c>
      <c r="BJ1243" s="150" t="str">
        <f t="shared" si="826"/>
        <v/>
      </c>
      <c r="BK1243" s="163" t="str">
        <f t="shared" si="822"/>
        <v/>
      </c>
      <c r="BL1243" s="163" t="str">
        <f t="shared" si="827"/>
        <v/>
      </c>
      <c r="BM1243" s="163" t="str">
        <f t="shared" si="823"/>
        <v/>
      </c>
      <c r="BN1243" s="163" t="str">
        <f t="shared" si="828"/>
        <v/>
      </c>
      <c r="BO1243" s="163" t="str">
        <f t="shared" si="829"/>
        <v/>
      </c>
      <c r="BP1243" s="150" t="str">
        <f t="shared" si="824"/>
        <v/>
      </c>
      <c r="BQ1243" s="150" t="str">
        <f t="shared" si="818"/>
        <v/>
      </c>
      <c r="BR1243" s="154" t="str">
        <f t="shared" si="830"/>
        <v/>
      </c>
      <c r="BT1243" s="147"/>
    </row>
    <row r="1244" spans="1:72" s="150" customFormat="1" x14ac:dyDescent="0.25">
      <c r="A1244" s="150" t="str">
        <f t="shared" si="819"/>
        <v/>
      </c>
      <c r="B1244" s="150" t="str">
        <f t="shared" si="820"/>
        <v/>
      </c>
      <c r="C1244" s="150" t="str">
        <f t="shared" si="821"/>
        <v/>
      </c>
      <c r="D1244" s="150" t="str">
        <f>IF(E1244="","",Input!$C$4+B1244-1)</f>
        <v/>
      </c>
      <c r="E1244" s="150" t="str">
        <f>IF(OR(AND(C1243=12,D1243=Input!$C$6),E1243=""),"",1)</f>
        <v/>
      </c>
      <c r="G1244" s="151" t="str">
        <f>IF(E1244="","",MAX(0,Input!$C$9-B1244))</f>
        <v/>
      </c>
      <c r="H1244" s="152" t="str">
        <f>IF(E1244="","",Input!$C$3)</f>
        <v/>
      </c>
      <c r="I1244" s="153" t="str">
        <f>IF(E1244="","",HLOOKUP($B1244,Input!$C$13:$BT$14,2))</f>
        <v/>
      </c>
      <c r="J1244" s="154"/>
      <c r="K1244" s="150" t="str">
        <f>IF($E1244="","",INDEX(Input!$C$16:$CP$16,1,$B1244))</f>
        <v/>
      </c>
      <c r="L1244" s="150" t="str">
        <f>IF($E1244="","",Input!$C$37)</f>
        <v/>
      </c>
      <c r="M1244" s="150" t="str">
        <f t="shared" si="807"/>
        <v/>
      </c>
      <c r="N1244" s="150" t="str">
        <f t="shared" si="808"/>
        <v/>
      </c>
      <c r="O1244" s="147" t="str">
        <f>IF($E1244="","",MIN(VLOOKUP(IF($B1244&lt;=Input!$C$7,$B1244,26),'Mortality Tables'!$A$41:$CW$67,IF($B1244&lt;=Input!$C$7+1,Input!$C$4+2,$D1244-Input!$C$7+2),0)*IF(B1244&gt;20,Input!$C$22,1)/1000,1))</f>
        <v/>
      </c>
      <c r="P1244" s="147" t="str">
        <f>IF($E1244="","",MIN(VLOOKUP(IF($B1244&lt;=Input!$C$7,$B1244,26),'Mortality Tables'!$A$12:$CW$37,IF($B1244&lt;=Input!$C$7+1,Input!$C$4+2,$D1244-Input!$C$7+2),0)*IF(B1244&gt;20,Input!$C$22,1)/1000,1))</f>
        <v/>
      </c>
      <c r="Q1244" s="155" t="str">
        <f>IF($E1244="","",Input!$C$21)</f>
        <v/>
      </c>
      <c r="R1244" s="159" t="str">
        <f>IF($E1244="","",(1-Q1244)^($F1244-Input!$C$20))</f>
        <v/>
      </c>
      <c r="S1244" s="147" t="str">
        <f t="shared" si="796"/>
        <v/>
      </c>
      <c r="T1244" s="147" t="str">
        <f t="shared" si="797"/>
        <v/>
      </c>
      <c r="U1244" s="160" t="str">
        <f>IF($E1244="","",IF($C1244=12,INDEX(Input!$C$15:$CP$15,1,$B1244),0))</f>
        <v/>
      </c>
      <c r="V1244" s="150" t="str">
        <f>IF(E1244="","",IF(C1244=1,IF($B1244=1,Input!$C$33,Input!$C$34),0))</f>
        <v/>
      </c>
      <c r="W1244" s="156" t="str">
        <f>IF($E1244="","",Input!$C$35)</f>
        <v/>
      </c>
      <c r="X1244" s="156" t="str">
        <f t="shared" si="798"/>
        <v/>
      </c>
      <c r="Y1244" s="154"/>
      <c r="Z1244" s="147" t="str">
        <f>IF($E1244="","",VLOOKUP($D1244,'Mortality Margins &amp; Grading'!$AB$5:$AF$125,3,0)*IF(Summary!$D$25="Included Margin",IF(AND($B1244&gt;Input!$C$9,Summary!$D$31&lt;&gt;"Included Margin"),0,1),0))</f>
        <v/>
      </c>
      <c r="AA1244" s="147" t="str">
        <f>IF($E1244="","",VLOOKUP($D1244,'Mortality Margins &amp; Grading'!$AB$5:$AF$125,5,0)*IF(Summary!$D$25="Included Margin",IF(AND($B1244&gt;Input!$C$9,Summary!$D$31&lt;&gt;"Included Margin"),0,1),0))</f>
        <v/>
      </c>
      <c r="AB1244" s="147" t="str">
        <f>IF($E1244="","",IF(AND($B1244&gt;Input!$C$9,Summary!$D$31&lt;&gt;"Included Margin"),1,IF(Summary!$D$25="Included Margin",VLOOKUP($B1244,'Mortality Margins &amp; Grading'!$AI$5:$AR$125,MATCH('Mortality Margins &amp; Grading'!$AQ$4,'Mortality Margins &amp; Grading'!$AI$4:$AR$4,0),0),1)))</f>
        <v/>
      </c>
      <c r="AC1244" s="154"/>
      <c r="AD1244" s="158" t="str">
        <f>IF(E1244="","",Input!$C$48*IF(Summary!$D$30="Included Margin",IF(AND($B1244&gt;Input!$C$9,Summary!$D$31&lt;&gt;"Included Margin"),0,1),0))</f>
        <v/>
      </c>
      <c r="AE1244" s="159" t="str">
        <f>IF(E1244="","",IF(Summary!$D$26="Included Margin",IF(AND($B1244&gt;Input!$C$9,Summary!$D$31&lt;&gt;"Included Margin"),1,1/$R1244),1))</f>
        <v/>
      </c>
      <c r="AF1244" s="160" t="str">
        <f>IF(E1244="","",IF(AND($B1244&gt;=Input!$C$9,$C1244=12,Summary!$D$31="Included Margin",$U1244&gt;0),1/U1244-1,IF($B1244&gt;=Input!$C$9,0,Input!$C$45*IF(Summary!$D$27="Included Margin",1,0))))</f>
        <v/>
      </c>
      <c r="AG1244" s="160" t="str">
        <f>IF(E1244="","",Input!$C$46*IF(Summary!$D$28="Included Margin",IF(AND($B1244&gt;Input!$C$9,Summary!$D$31&lt;&gt;"Included Margin"),0,1),0))</f>
        <v/>
      </c>
      <c r="AH1244" s="158" t="str">
        <f>IF(E1244="","",Input!$C$47*IF(Summary!$D$29="Included Margin",IF(AND($B1244&gt;Input!$C$9,Summary!$D$31&lt;&gt;"Included Margin"),0,1),0))</f>
        <v/>
      </c>
      <c r="AI1244" s="154"/>
      <c r="AJ1244" s="158" t="str">
        <f t="shared" si="809"/>
        <v/>
      </c>
      <c r="AK1244" s="150" t="str">
        <f t="shared" si="810"/>
        <v/>
      </c>
      <c r="AL1244" s="147" t="str">
        <f t="shared" si="811"/>
        <v/>
      </c>
      <c r="AM1244" s="147" t="str">
        <f t="shared" si="799"/>
        <v/>
      </c>
      <c r="AN1244" s="160" t="str">
        <f t="shared" si="812"/>
        <v/>
      </c>
      <c r="AO1244" s="161" t="str">
        <f t="shared" si="813"/>
        <v/>
      </c>
      <c r="AP1244" s="156" t="str">
        <f t="shared" si="800"/>
        <v/>
      </c>
      <c r="AQ1244" s="152"/>
      <c r="AR1244" s="162" t="str">
        <f t="shared" si="801"/>
        <v/>
      </c>
      <c r="AS1244" s="150" t="str">
        <f t="shared" si="814"/>
        <v/>
      </c>
      <c r="AT1244" s="163" t="str">
        <f t="shared" si="802"/>
        <v/>
      </c>
      <c r="AU1244" s="163" t="str">
        <f t="shared" si="803"/>
        <v/>
      </c>
      <c r="AV1244" s="163" t="str">
        <f t="shared" si="815"/>
        <v/>
      </c>
      <c r="AW1244" s="163" t="str">
        <f t="shared" si="804"/>
        <v/>
      </c>
      <c r="AX1244" s="163" t="str">
        <f t="shared" si="805"/>
        <v/>
      </c>
      <c r="AY1244" s="150" t="str">
        <f t="shared" si="816"/>
        <v/>
      </c>
      <c r="AZ1244" s="150" t="str">
        <f>IF($E1244="","",IF(OR(AND($D1244=Input!$C$6,$C1244=12),$AN1244=1),0,-AS1245+AT1245+AU1245-AV1245-AW1245-AX1245+AZ1245))</f>
        <v/>
      </c>
      <c r="BA1244" s="154" t="str">
        <f t="shared" si="806"/>
        <v/>
      </c>
      <c r="BC1244" s="147" t="str">
        <f t="shared" si="817"/>
        <v/>
      </c>
      <c r="BD1244" s="164" t="str">
        <f>IF(AND($C1243=12,$D1243=Input!$C$6),0,IF($E1244="","",AT1244+(AU1244+BD1245)/(1+$AK1244)*MIN((1-AM1244-AN1244),1)))</f>
        <v/>
      </c>
      <c r="BH1244" s="152"/>
      <c r="BI1244" s="162" t="str">
        <f t="shared" si="825"/>
        <v/>
      </c>
      <c r="BJ1244" s="150" t="str">
        <f t="shared" si="826"/>
        <v/>
      </c>
      <c r="BK1244" s="163" t="str">
        <f t="shared" si="822"/>
        <v/>
      </c>
      <c r="BL1244" s="163" t="str">
        <f t="shared" si="827"/>
        <v/>
      </c>
      <c r="BM1244" s="163" t="str">
        <f t="shared" si="823"/>
        <v/>
      </c>
      <c r="BN1244" s="163" t="str">
        <f t="shared" si="828"/>
        <v/>
      </c>
      <c r="BO1244" s="163" t="str">
        <f t="shared" si="829"/>
        <v/>
      </c>
      <c r="BP1244" s="150" t="str">
        <f t="shared" si="824"/>
        <v/>
      </c>
      <c r="BQ1244" s="150" t="str">
        <f t="shared" si="818"/>
        <v/>
      </c>
      <c r="BR1244" s="154" t="str">
        <f t="shared" si="830"/>
        <v/>
      </c>
      <c r="BT1244" s="147"/>
    </row>
    <row r="1245" spans="1:72" s="150" customFormat="1" x14ac:dyDescent="0.25">
      <c r="A1245" s="150" t="str">
        <f t="shared" si="819"/>
        <v/>
      </c>
      <c r="B1245" s="150" t="str">
        <f t="shared" si="820"/>
        <v/>
      </c>
      <c r="C1245" s="150" t="str">
        <f t="shared" si="821"/>
        <v/>
      </c>
      <c r="D1245" s="150" t="str">
        <f>IF(E1245="","",Input!$C$4+B1245-1)</f>
        <v/>
      </c>
      <c r="E1245" s="150" t="str">
        <f>IF(OR(AND(C1244=12,D1244=Input!$C$6),E1244=""),"",1)</f>
        <v/>
      </c>
      <c r="G1245" s="151" t="str">
        <f>IF(E1245="","",MAX(0,Input!$C$9-B1245))</f>
        <v/>
      </c>
      <c r="H1245" s="152" t="str">
        <f>IF(E1245="","",Input!$C$3)</f>
        <v/>
      </c>
      <c r="I1245" s="153" t="str">
        <f>IF(E1245="","",HLOOKUP($B1245,Input!$C$13:$BT$14,2))</f>
        <v/>
      </c>
      <c r="J1245" s="154"/>
      <c r="K1245" s="150" t="str">
        <f>IF($E1245="","",INDEX(Input!$C$16:$CP$16,1,$B1245))</f>
        <v/>
      </c>
      <c r="L1245" s="150" t="str">
        <f>IF($E1245="","",Input!$C$37)</f>
        <v/>
      </c>
      <c r="M1245" s="150" t="str">
        <f t="shared" si="807"/>
        <v/>
      </c>
      <c r="N1245" s="150" t="str">
        <f t="shared" si="808"/>
        <v/>
      </c>
      <c r="O1245" s="147" t="str">
        <f>IF($E1245="","",MIN(VLOOKUP(IF($B1245&lt;=Input!$C$7,$B1245,26),'Mortality Tables'!$A$41:$CW$67,IF($B1245&lt;=Input!$C$7+1,Input!$C$4+2,$D1245-Input!$C$7+2),0)*IF(B1245&gt;20,Input!$C$22,1)/1000,1))</f>
        <v/>
      </c>
      <c r="P1245" s="147" t="str">
        <f>IF($E1245="","",MIN(VLOOKUP(IF($B1245&lt;=Input!$C$7,$B1245,26),'Mortality Tables'!$A$12:$CW$37,IF($B1245&lt;=Input!$C$7+1,Input!$C$4+2,$D1245-Input!$C$7+2),0)*IF(B1245&gt;20,Input!$C$22,1)/1000,1))</f>
        <v/>
      </c>
      <c r="Q1245" s="155" t="str">
        <f>IF($E1245="","",Input!$C$21)</f>
        <v/>
      </c>
      <c r="R1245" s="159" t="str">
        <f>IF($E1245="","",(1-Q1245)^($F1245-Input!$C$20))</f>
        <v/>
      </c>
      <c r="S1245" s="147" t="str">
        <f t="shared" si="796"/>
        <v/>
      </c>
      <c r="T1245" s="147" t="str">
        <f t="shared" si="797"/>
        <v/>
      </c>
      <c r="U1245" s="160" t="str">
        <f>IF($E1245="","",IF($C1245=12,INDEX(Input!$C$15:$CP$15,1,$B1245),0))</f>
        <v/>
      </c>
      <c r="V1245" s="150" t="str">
        <f>IF(E1245="","",IF(C1245=1,IF($B1245=1,Input!$C$33,Input!$C$34),0))</f>
        <v/>
      </c>
      <c r="W1245" s="156" t="str">
        <f>IF($E1245="","",Input!$C$35)</f>
        <v/>
      </c>
      <c r="X1245" s="156" t="str">
        <f t="shared" si="798"/>
        <v/>
      </c>
      <c r="Y1245" s="154"/>
      <c r="Z1245" s="147" t="str">
        <f>IF($E1245="","",VLOOKUP($D1245,'Mortality Margins &amp; Grading'!$AB$5:$AF$125,3,0)*IF(Summary!$D$25="Included Margin",IF(AND($B1245&gt;Input!$C$9,Summary!$D$31&lt;&gt;"Included Margin"),0,1),0))</f>
        <v/>
      </c>
      <c r="AA1245" s="147" t="str">
        <f>IF($E1245="","",VLOOKUP($D1245,'Mortality Margins &amp; Grading'!$AB$5:$AF$125,5,0)*IF(Summary!$D$25="Included Margin",IF(AND($B1245&gt;Input!$C$9,Summary!$D$31&lt;&gt;"Included Margin"),0,1),0))</f>
        <v/>
      </c>
      <c r="AB1245" s="147" t="str">
        <f>IF($E1245="","",IF(AND($B1245&gt;Input!$C$9,Summary!$D$31&lt;&gt;"Included Margin"),1,IF(Summary!$D$25="Included Margin",VLOOKUP($B1245,'Mortality Margins &amp; Grading'!$AI$5:$AR$125,MATCH('Mortality Margins &amp; Grading'!$AQ$4,'Mortality Margins &amp; Grading'!$AI$4:$AR$4,0),0),1)))</f>
        <v/>
      </c>
      <c r="AC1245" s="154"/>
      <c r="AD1245" s="158" t="str">
        <f>IF(E1245="","",Input!$C$48*IF(Summary!$D$30="Included Margin",IF(AND($B1245&gt;Input!$C$9,Summary!$D$31&lt;&gt;"Included Margin"),0,1),0))</f>
        <v/>
      </c>
      <c r="AE1245" s="159" t="str">
        <f>IF(E1245="","",IF(Summary!$D$26="Included Margin",IF(AND($B1245&gt;Input!$C$9,Summary!$D$31&lt;&gt;"Included Margin"),1,1/$R1245),1))</f>
        <v/>
      </c>
      <c r="AF1245" s="160" t="str">
        <f>IF(E1245="","",IF(AND($B1245&gt;=Input!$C$9,$C1245=12,Summary!$D$31="Included Margin",$U1245&gt;0),1/U1245-1,IF($B1245&gt;=Input!$C$9,0,Input!$C$45*IF(Summary!$D$27="Included Margin",1,0))))</f>
        <v/>
      </c>
      <c r="AG1245" s="160" t="str">
        <f>IF(E1245="","",Input!$C$46*IF(Summary!$D$28="Included Margin",IF(AND($B1245&gt;Input!$C$9,Summary!$D$31&lt;&gt;"Included Margin"),0,1),0))</f>
        <v/>
      </c>
      <c r="AH1245" s="158" t="str">
        <f>IF(E1245="","",Input!$C$47*IF(Summary!$D$29="Included Margin",IF(AND($B1245&gt;Input!$C$9,Summary!$D$31&lt;&gt;"Included Margin"),0,1),0))</f>
        <v/>
      </c>
      <c r="AI1245" s="154"/>
      <c r="AJ1245" s="158" t="str">
        <f t="shared" si="809"/>
        <v/>
      </c>
      <c r="AK1245" s="150" t="str">
        <f t="shared" si="810"/>
        <v/>
      </c>
      <c r="AL1245" s="147" t="str">
        <f t="shared" si="811"/>
        <v/>
      </c>
      <c r="AM1245" s="147" t="str">
        <f t="shared" si="799"/>
        <v/>
      </c>
      <c r="AN1245" s="160" t="str">
        <f t="shared" si="812"/>
        <v/>
      </c>
      <c r="AO1245" s="161" t="str">
        <f t="shared" si="813"/>
        <v/>
      </c>
      <c r="AP1245" s="156" t="str">
        <f t="shared" si="800"/>
        <v/>
      </c>
      <c r="AQ1245" s="152"/>
      <c r="AR1245" s="162" t="str">
        <f t="shared" si="801"/>
        <v/>
      </c>
      <c r="AS1245" s="150" t="str">
        <f t="shared" si="814"/>
        <v/>
      </c>
      <c r="AT1245" s="163" t="str">
        <f t="shared" si="802"/>
        <v/>
      </c>
      <c r="AU1245" s="163" t="str">
        <f t="shared" si="803"/>
        <v/>
      </c>
      <c r="AV1245" s="163" t="str">
        <f t="shared" si="815"/>
        <v/>
      </c>
      <c r="AW1245" s="163" t="str">
        <f t="shared" si="804"/>
        <v/>
      </c>
      <c r="AX1245" s="163" t="str">
        <f t="shared" si="805"/>
        <v/>
      </c>
      <c r="AY1245" s="150" t="str">
        <f t="shared" si="816"/>
        <v/>
      </c>
      <c r="AZ1245" s="150" t="str">
        <f>IF($E1245="","",IF(OR(AND($D1245=Input!$C$6,$C1245=12),$AN1245=1),0,-AS1246+AT1246+AU1246-AV1246-AW1246-AX1246+AZ1246))</f>
        <v/>
      </c>
      <c r="BA1245" s="154" t="str">
        <f t="shared" si="806"/>
        <v/>
      </c>
      <c r="BC1245" s="147" t="str">
        <f t="shared" si="817"/>
        <v/>
      </c>
      <c r="BD1245" s="164" t="str">
        <f>IF(AND($C1244=12,$D1244=Input!$C$6),0,IF($E1245="","",AT1245+(AU1245+BD1246)/(1+$AK1245)*MIN((1-AM1245-AN1245),1)))</f>
        <v/>
      </c>
      <c r="BH1245" s="152"/>
      <c r="BI1245" s="162" t="str">
        <f t="shared" si="825"/>
        <v/>
      </c>
      <c r="BJ1245" s="150" t="str">
        <f t="shared" si="826"/>
        <v/>
      </c>
      <c r="BK1245" s="163" t="str">
        <f t="shared" si="822"/>
        <v/>
      </c>
      <c r="BL1245" s="163" t="str">
        <f t="shared" si="827"/>
        <v/>
      </c>
      <c r="BM1245" s="163" t="str">
        <f t="shared" si="823"/>
        <v/>
      </c>
      <c r="BN1245" s="163" t="str">
        <f t="shared" si="828"/>
        <v/>
      </c>
      <c r="BO1245" s="163" t="str">
        <f t="shared" si="829"/>
        <v/>
      </c>
      <c r="BP1245" s="150" t="str">
        <f t="shared" si="824"/>
        <v/>
      </c>
      <c r="BQ1245" s="150" t="str">
        <f t="shared" si="818"/>
        <v/>
      </c>
      <c r="BR1245" s="154" t="str">
        <f t="shared" si="830"/>
        <v/>
      </c>
      <c r="BT1245" s="147"/>
    </row>
    <row r="1246" spans="1:72" s="150" customFormat="1" x14ac:dyDescent="0.25">
      <c r="A1246" s="150" t="str">
        <f t="shared" si="819"/>
        <v/>
      </c>
      <c r="B1246" s="150" t="str">
        <f t="shared" si="820"/>
        <v/>
      </c>
      <c r="C1246" s="150" t="str">
        <f t="shared" si="821"/>
        <v/>
      </c>
      <c r="D1246" s="150" t="str">
        <f>IF(E1246="","",Input!$C$4+B1246-1)</f>
        <v/>
      </c>
      <c r="E1246" s="150" t="str">
        <f>IF(OR(AND(C1245=12,D1245=Input!$C$6),E1245=""),"",1)</f>
        <v/>
      </c>
      <c r="G1246" s="151" t="str">
        <f>IF(E1246="","",MAX(0,Input!$C$9-B1246))</f>
        <v/>
      </c>
      <c r="H1246" s="152" t="str">
        <f>IF(E1246="","",Input!$C$3)</f>
        <v/>
      </c>
      <c r="I1246" s="153" t="str">
        <f>IF(E1246="","",HLOOKUP($B1246,Input!$C$13:$BT$14,2))</f>
        <v/>
      </c>
      <c r="J1246" s="154"/>
      <c r="K1246" s="150" t="str">
        <f>IF($E1246="","",INDEX(Input!$C$16:$CP$16,1,$B1246))</f>
        <v/>
      </c>
      <c r="L1246" s="150" t="str">
        <f>IF($E1246="","",Input!$C$37)</f>
        <v/>
      </c>
      <c r="M1246" s="150" t="str">
        <f t="shared" si="807"/>
        <v/>
      </c>
      <c r="N1246" s="150" t="str">
        <f t="shared" si="808"/>
        <v/>
      </c>
      <c r="O1246" s="147" t="str">
        <f>IF($E1246="","",MIN(VLOOKUP(IF($B1246&lt;=Input!$C$7,$B1246,26),'Mortality Tables'!$A$41:$CW$67,IF($B1246&lt;=Input!$C$7+1,Input!$C$4+2,$D1246-Input!$C$7+2),0)*IF(B1246&gt;20,Input!$C$22,1)/1000,1))</f>
        <v/>
      </c>
      <c r="P1246" s="147" t="str">
        <f>IF($E1246="","",MIN(VLOOKUP(IF($B1246&lt;=Input!$C$7,$B1246,26),'Mortality Tables'!$A$12:$CW$37,IF($B1246&lt;=Input!$C$7+1,Input!$C$4+2,$D1246-Input!$C$7+2),0)*IF(B1246&gt;20,Input!$C$22,1)/1000,1))</f>
        <v/>
      </c>
      <c r="Q1246" s="155" t="str">
        <f>IF($E1246="","",Input!$C$21)</f>
        <v/>
      </c>
      <c r="R1246" s="159" t="str">
        <f>IF($E1246="","",(1-Q1246)^($F1246-Input!$C$20))</f>
        <v/>
      </c>
      <c r="S1246" s="147" t="str">
        <f t="shared" si="796"/>
        <v/>
      </c>
      <c r="T1246" s="147" t="str">
        <f t="shared" si="797"/>
        <v/>
      </c>
      <c r="U1246" s="160" t="str">
        <f>IF($E1246="","",IF($C1246=12,INDEX(Input!$C$15:$CP$15,1,$B1246),0))</f>
        <v/>
      </c>
      <c r="V1246" s="150" t="str">
        <f>IF(E1246="","",IF(C1246=1,IF($B1246=1,Input!$C$33,Input!$C$34),0))</f>
        <v/>
      </c>
      <c r="W1246" s="156" t="str">
        <f>IF($E1246="","",Input!$C$35)</f>
        <v/>
      </c>
      <c r="X1246" s="156" t="str">
        <f t="shared" si="798"/>
        <v/>
      </c>
      <c r="Y1246" s="154"/>
      <c r="Z1246" s="147" t="str">
        <f>IF($E1246="","",VLOOKUP($D1246,'Mortality Margins &amp; Grading'!$AB$5:$AF$125,3,0)*IF(Summary!$D$25="Included Margin",IF(AND($B1246&gt;Input!$C$9,Summary!$D$31&lt;&gt;"Included Margin"),0,1),0))</f>
        <v/>
      </c>
      <c r="AA1246" s="147" t="str">
        <f>IF($E1246="","",VLOOKUP($D1246,'Mortality Margins &amp; Grading'!$AB$5:$AF$125,5,0)*IF(Summary!$D$25="Included Margin",IF(AND($B1246&gt;Input!$C$9,Summary!$D$31&lt;&gt;"Included Margin"),0,1),0))</f>
        <v/>
      </c>
      <c r="AB1246" s="147" t="str">
        <f>IF($E1246="","",IF(AND($B1246&gt;Input!$C$9,Summary!$D$31&lt;&gt;"Included Margin"),1,IF(Summary!$D$25="Included Margin",VLOOKUP($B1246,'Mortality Margins &amp; Grading'!$AI$5:$AR$125,MATCH('Mortality Margins &amp; Grading'!$AQ$4,'Mortality Margins &amp; Grading'!$AI$4:$AR$4,0),0),1)))</f>
        <v/>
      </c>
      <c r="AC1246" s="154"/>
      <c r="AD1246" s="158" t="str">
        <f>IF(E1246="","",Input!$C$48*IF(Summary!$D$30="Included Margin",IF(AND($B1246&gt;Input!$C$9,Summary!$D$31&lt;&gt;"Included Margin"),0,1),0))</f>
        <v/>
      </c>
      <c r="AE1246" s="159" t="str">
        <f>IF(E1246="","",IF(Summary!$D$26="Included Margin",IF(AND($B1246&gt;Input!$C$9,Summary!$D$31&lt;&gt;"Included Margin"),1,1/$R1246),1))</f>
        <v/>
      </c>
      <c r="AF1246" s="160" t="str">
        <f>IF(E1246="","",IF(AND($B1246&gt;=Input!$C$9,$C1246=12,Summary!$D$31="Included Margin",$U1246&gt;0),1/U1246-1,IF($B1246&gt;=Input!$C$9,0,Input!$C$45*IF(Summary!$D$27="Included Margin",1,0))))</f>
        <v/>
      </c>
      <c r="AG1246" s="160" t="str">
        <f>IF(E1246="","",Input!$C$46*IF(Summary!$D$28="Included Margin",IF(AND($B1246&gt;Input!$C$9,Summary!$D$31&lt;&gt;"Included Margin"),0,1),0))</f>
        <v/>
      </c>
      <c r="AH1246" s="158" t="str">
        <f>IF(E1246="","",Input!$C$47*IF(Summary!$D$29="Included Margin",IF(AND($B1246&gt;Input!$C$9,Summary!$D$31&lt;&gt;"Included Margin"),0,1),0))</f>
        <v/>
      </c>
      <c r="AI1246" s="154"/>
      <c r="AJ1246" s="158" t="str">
        <f t="shared" si="809"/>
        <v/>
      </c>
      <c r="AK1246" s="150" t="str">
        <f t="shared" si="810"/>
        <v/>
      </c>
      <c r="AL1246" s="147" t="str">
        <f t="shared" si="811"/>
        <v/>
      </c>
      <c r="AM1246" s="147" t="str">
        <f t="shared" si="799"/>
        <v/>
      </c>
      <c r="AN1246" s="160" t="str">
        <f t="shared" si="812"/>
        <v/>
      </c>
      <c r="AO1246" s="161" t="str">
        <f t="shared" si="813"/>
        <v/>
      </c>
      <c r="AP1246" s="156" t="str">
        <f t="shared" si="800"/>
        <v/>
      </c>
      <c r="AQ1246" s="152"/>
      <c r="AR1246" s="162" t="str">
        <f t="shared" si="801"/>
        <v/>
      </c>
      <c r="AS1246" s="150" t="str">
        <f t="shared" si="814"/>
        <v/>
      </c>
      <c r="AT1246" s="163" t="str">
        <f t="shared" si="802"/>
        <v/>
      </c>
      <c r="AU1246" s="163" t="str">
        <f t="shared" si="803"/>
        <v/>
      </c>
      <c r="AV1246" s="163" t="str">
        <f t="shared" si="815"/>
        <v/>
      </c>
      <c r="AW1246" s="163" t="str">
        <f t="shared" si="804"/>
        <v/>
      </c>
      <c r="AX1246" s="163" t="str">
        <f t="shared" si="805"/>
        <v/>
      </c>
      <c r="AY1246" s="150" t="str">
        <f t="shared" si="816"/>
        <v/>
      </c>
      <c r="AZ1246" s="150" t="str">
        <f>IF($E1246="","",IF(OR(AND($D1246=Input!$C$6,$C1246=12),$AN1246=1),0,-AS1247+AT1247+AU1247-AV1247-AW1247-AX1247+AZ1247))</f>
        <v/>
      </c>
      <c r="BA1246" s="154" t="str">
        <f t="shared" si="806"/>
        <v/>
      </c>
      <c r="BC1246" s="147" t="str">
        <f t="shared" si="817"/>
        <v/>
      </c>
      <c r="BD1246" s="164" t="str">
        <f>IF(AND($C1245=12,$D1245=Input!$C$6),0,IF($E1246="","",AT1246+(AU1246+BD1247)/(1+$AK1246)*MIN((1-AM1246-AN1246),1)))</f>
        <v/>
      </c>
      <c r="BH1246" s="152"/>
      <c r="BI1246" s="162" t="str">
        <f t="shared" si="825"/>
        <v/>
      </c>
      <c r="BJ1246" s="150" t="str">
        <f t="shared" si="826"/>
        <v/>
      </c>
      <c r="BK1246" s="163" t="str">
        <f t="shared" si="822"/>
        <v/>
      </c>
      <c r="BL1246" s="163" t="str">
        <f t="shared" si="827"/>
        <v/>
      </c>
      <c r="BM1246" s="163" t="str">
        <f t="shared" si="823"/>
        <v/>
      </c>
      <c r="BN1246" s="163" t="str">
        <f t="shared" si="828"/>
        <v/>
      </c>
      <c r="BO1246" s="163" t="str">
        <f t="shared" si="829"/>
        <v/>
      </c>
      <c r="BP1246" s="150" t="str">
        <f t="shared" si="824"/>
        <v/>
      </c>
      <c r="BQ1246" s="150" t="str">
        <f t="shared" si="818"/>
        <v/>
      </c>
      <c r="BR1246" s="154" t="str">
        <f t="shared" si="830"/>
        <v/>
      </c>
      <c r="BT1246" s="147"/>
    </row>
    <row r="1247" spans="1:72" s="150" customFormat="1" x14ac:dyDescent="0.25">
      <c r="A1247" s="150" t="str">
        <f t="shared" si="819"/>
        <v/>
      </c>
      <c r="B1247" s="150" t="str">
        <f t="shared" si="820"/>
        <v/>
      </c>
      <c r="C1247" s="150" t="str">
        <f t="shared" si="821"/>
        <v/>
      </c>
      <c r="D1247" s="150" t="str">
        <f>IF(E1247="","",Input!$C$4+B1247-1)</f>
        <v/>
      </c>
      <c r="E1247" s="150" t="str">
        <f>IF(OR(AND(C1246=12,D1246=Input!$C$6),E1246=""),"",1)</f>
        <v/>
      </c>
      <c r="G1247" s="151" t="str">
        <f>IF(E1247="","",MAX(0,Input!$C$9-B1247))</f>
        <v/>
      </c>
      <c r="H1247" s="152" t="str">
        <f>IF(E1247="","",Input!$C$3)</f>
        <v/>
      </c>
      <c r="I1247" s="153" t="str">
        <f>IF(E1247="","",HLOOKUP($B1247,Input!$C$13:$BT$14,2))</f>
        <v/>
      </c>
      <c r="J1247" s="154"/>
      <c r="K1247" s="150" t="str">
        <f>IF($E1247="","",INDEX(Input!$C$16:$CP$16,1,$B1247))</f>
        <v/>
      </c>
      <c r="L1247" s="150" t="str">
        <f>IF($E1247="","",Input!$C$37)</f>
        <v/>
      </c>
      <c r="M1247" s="150" t="str">
        <f t="shared" si="807"/>
        <v/>
      </c>
      <c r="N1247" s="150" t="str">
        <f t="shared" si="808"/>
        <v/>
      </c>
      <c r="O1247" s="147" t="str">
        <f>IF($E1247="","",MIN(VLOOKUP(IF($B1247&lt;=Input!$C$7,$B1247,26),'Mortality Tables'!$A$41:$CW$67,IF($B1247&lt;=Input!$C$7+1,Input!$C$4+2,$D1247-Input!$C$7+2),0)*IF(B1247&gt;20,Input!$C$22,1)/1000,1))</f>
        <v/>
      </c>
      <c r="P1247" s="147" t="str">
        <f>IF($E1247="","",MIN(VLOOKUP(IF($B1247&lt;=Input!$C$7,$B1247,26),'Mortality Tables'!$A$12:$CW$37,IF($B1247&lt;=Input!$C$7+1,Input!$C$4+2,$D1247-Input!$C$7+2),0)*IF(B1247&gt;20,Input!$C$22,1)/1000,1))</f>
        <v/>
      </c>
      <c r="Q1247" s="155" t="str">
        <f>IF($E1247="","",Input!$C$21)</f>
        <v/>
      </c>
      <c r="R1247" s="159" t="str">
        <f>IF($E1247="","",(1-Q1247)^($F1247-Input!$C$20))</f>
        <v/>
      </c>
      <c r="S1247" s="147" t="str">
        <f t="shared" si="796"/>
        <v/>
      </c>
      <c r="T1247" s="147" t="str">
        <f t="shared" si="797"/>
        <v/>
      </c>
      <c r="U1247" s="160" t="str">
        <f>IF($E1247="","",IF($C1247=12,INDEX(Input!$C$15:$CP$15,1,$B1247),0))</f>
        <v/>
      </c>
      <c r="V1247" s="150" t="str">
        <f>IF(E1247="","",IF(C1247=1,IF($B1247=1,Input!$C$33,Input!$C$34),0))</f>
        <v/>
      </c>
      <c r="W1247" s="156" t="str">
        <f>IF($E1247="","",Input!$C$35)</f>
        <v/>
      </c>
      <c r="X1247" s="156" t="str">
        <f t="shared" si="798"/>
        <v/>
      </c>
      <c r="Y1247" s="154"/>
      <c r="Z1247" s="147" t="str">
        <f>IF($E1247="","",VLOOKUP($D1247,'Mortality Margins &amp; Grading'!$AB$5:$AF$125,3,0)*IF(Summary!$D$25="Included Margin",IF(AND($B1247&gt;Input!$C$9,Summary!$D$31&lt;&gt;"Included Margin"),0,1),0))</f>
        <v/>
      </c>
      <c r="AA1247" s="147" t="str">
        <f>IF($E1247="","",VLOOKUP($D1247,'Mortality Margins &amp; Grading'!$AB$5:$AF$125,5,0)*IF(Summary!$D$25="Included Margin",IF(AND($B1247&gt;Input!$C$9,Summary!$D$31&lt;&gt;"Included Margin"),0,1),0))</f>
        <v/>
      </c>
      <c r="AB1247" s="147" t="str">
        <f>IF($E1247="","",IF(AND($B1247&gt;Input!$C$9,Summary!$D$31&lt;&gt;"Included Margin"),1,IF(Summary!$D$25="Included Margin",VLOOKUP($B1247,'Mortality Margins &amp; Grading'!$AI$5:$AR$125,MATCH('Mortality Margins &amp; Grading'!$AQ$4,'Mortality Margins &amp; Grading'!$AI$4:$AR$4,0),0),1)))</f>
        <v/>
      </c>
      <c r="AC1247" s="154"/>
      <c r="AD1247" s="158" t="str">
        <f>IF(E1247="","",Input!$C$48*IF(Summary!$D$30="Included Margin",IF(AND($B1247&gt;Input!$C$9,Summary!$D$31&lt;&gt;"Included Margin"),0,1),0))</f>
        <v/>
      </c>
      <c r="AE1247" s="159" t="str">
        <f>IF(E1247="","",IF(Summary!$D$26="Included Margin",IF(AND($B1247&gt;Input!$C$9,Summary!$D$31&lt;&gt;"Included Margin"),1,1/$R1247),1))</f>
        <v/>
      </c>
      <c r="AF1247" s="160" t="str">
        <f>IF(E1247="","",IF(AND($B1247&gt;=Input!$C$9,$C1247=12,Summary!$D$31="Included Margin",$U1247&gt;0),1/U1247-1,IF($B1247&gt;=Input!$C$9,0,Input!$C$45*IF(Summary!$D$27="Included Margin",1,0))))</f>
        <v/>
      </c>
      <c r="AG1247" s="160" t="str">
        <f>IF(E1247="","",Input!$C$46*IF(Summary!$D$28="Included Margin",IF(AND($B1247&gt;Input!$C$9,Summary!$D$31&lt;&gt;"Included Margin"),0,1),0))</f>
        <v/>
      </c>
      <c r="AH1247" s="158" t="str">
        <f>IF(E1247="","",Input!$C$47*IF(Summary!$D$29="Included Margin",IF(AND($B1247&gt;Input!$C$9,Summary!$D$31&lt;&gt;"Included Margin"),0,1),0))</f>
        <v/>
      </c>
      <c r="AI1247" s="154"/>
      <c r="AJ1247" s="158" t="str">
        <f t="shared" si="809"/>
        <v/>
      </c>
      <c r="AK1247" s="150" t="str">
        <f t="shared" si="810"/>
        <v/>
      </c>
      <c r="AL1247" s="147" t="str">
        <f t="shared" si="811"/>
        <v/>
      </c>
      <c r="AM1247" s="147" t="str">
        <f t="shared" si="799"/>
        <v/>
      </c>
      <c r="AN1247" s="160" t="str">
        <f t="shared" si="812"/>
        <v/>
      </c>
      <c r="AO1247" s="161" t="str">
        <f t="shared" si="813"/>
        <v/>
      </c>
      <c r="AP1247" s="156" t="str">
        <f t="shared" si="800"/>
        <v/>
      </c>
      <c r="AQ1247" s="152"/>
      <c r="AR1247" s="162" t="str">
        <f t="shared" si="801"/>
        <v/>
      </c>
      <c r="AS1247" s="150" t="str">
        <f t="shared" si="814"/>
        <v/>
      </c>
      <c r="AT1247" s="163" t="str">
        <f t="shared" si="802"/>
        <v/>
      </c>
      <c r="AU1247" s="163" t="str">
        <f t="shared" si="803"/>
        <v/>
      </c>
      <c r="AV1247" s="163" t="str">
        <f t="shared" si="815"/>
        <v/>
      </c>
      <c r="AW1247" s="163" t="str">
        <f t="shared" si="804"/>
        <v/>
      </c>
      <c r="AX1247" s="163" t="str">
        <f t="shared" si="805"/>
        <v/>
      </c>
      <c r="AY1247" s="150" t="str">
        <f t="shared" si="816"/>
        <v/>
      </c>
      <c r="AZ1247" s="150" t="str">
        <f>IF($E1247="","",IF(OR(AND($D1247=Input!$C$6,$C1247=12),$AN1247=1),0,-AS1248+AT1248+AU1248-AV1248-AW1248-AX1248+AZ1248))</f>
        <v/>
      </c>
      <c r="BA1247" s="154" t="str">
        <f t="shared" si="806"/>
        <v/>
      </c>
      <c r="BC1247" s="147" t="str">
        <f t="shared" si="817"/>
        <v/>
      </c>
      <c r="BD1247" s="164" t="str">
        <f>IF(AND($C1246=12,$D1246=Input!$C$6),0,IF($E1247="","",AT1247+(AU1247+BD1248)/(1+$AK1247)*MIN((1-AM1247-AN1247),1)))</f>
        <v/>
      </c>
      <c r="BH1247" s="152"/>
      <c r="BI1247" s="162" t="str">
        <f t="shared" si="825"/>
        <v/>
      </c>
      <c r="BJ1247" s="150" t="str">
        <f t="shared" si="826"/>
        <v/>
      </c>
      <c r="BK1247" s="163" t="str">
        <f t="shared" si="822"/>
        <v/>
      </c>
      <c r="BL1247" s="163" t="str">
        <f t="shared" si="827"/>
        <v/>
      </c>
      <c r="BM1247" s="163" t="str">
        <f t="shared" si="823"/>
        <v/>
      </c>
      <c r="BN1247" s="163" t="str">
        <f t="shared" si="828"/>
        <v/>
      </c>
      <c r="BO1247" s="163" t="str">
        <f t="shared" si="829"/>
        <v/>
      </c>
      <c r="BP1247" s="150" t="str">
        <f t="shared" si="824"/>
        <v/>
      </c>
      <c r="BQ1247" s="150" t="str">
        <f t="shared" si="818"/>
        <v/>
      </c>
      <c r="BR1247" s="154" t="str">
        <f t="shared" si="830"/>
        <v/>
      </c>
      <c r="BT1247" s="147"/>
    </row>
    <row r="1248" spans="1:72" s="150" customFormat="1" x14ac:dyDescent="0.25">
      <c r="A1248" s="150" t="str">
        <f t="shared" si="819"/>
        <v/>
      </c>
      <c r="B1248" s="150" t="str">
        <f t="shared" si="820"/>
        <v/>
      </c>
      <c r="C1248" s="150" t="str">
        <f t="shared" si="821"/>
        <v/>
      </c>
      <c r="D1248" s="150" t="str">
        <f>IF(E1248="","",Input!$C$4+B1248-1)</f>
        <v/>
      </c>
      <c r="E1248" s="150" t="str">
        <f>IF(OR(AND(C1247=12,D1247=Input!$C$6),E1247=""),"",1)</f>
        <v/>
      </c>
      <c r="G1248" s="151" t="str">
        <f>IF(E1248="","",MAX(0,Input!$C$9-B1248))</f>
        <v/>
      </c>
      <c r="H1248" s="152" t="str">
        <f>IF(E1248="","",Input!$C$3)</f>
        <v/>
      </c>
      <c r="I1248" s="153" t="str">
        <f>IF(E1248="","",HLOOKUP($B1248,Input!$C$13:$BT$14,2))</f>
        <v/>
      </c>
      <c r="J1248" s="154"/>
      <c r="K1248" s="150" t="str">
        <f>IF($E1248="","",INDEX(Input!$C$16:$CP$16,1,$B1248))</f>
        <v/>
      </c>
      <c r="L1248" s="150" t="str">
        <f>IF($E1248="","",Input!$C$37)</f>
        <v/>
      </c>
      <c r="M1248" s="150" t="str">
        <f t="shared" si="807"/>
        <v/>
      </c>
      <c r="N1248" s="150" t="str">
        <f t="shared" si="808"/>
        <v/>
      </c>
      <c r="O1248" s="147" t="str">
        <f>IF($E1248="","",MIN(VLOOKUP(IF($B1248&lt;=Input!$C$7,$B1248,26),'Mortality Tables'!$A$41:$CW$67,IF($B1248&lt;=Input!$C$7+1,Input!$C$4+2,$D1248-Input!$C$7+2),0)*IF(B1248&gt;20,Input!$C$22,1)/1000,1))</f>
        <v/>
      </c>
      <c r="P1248" s="147" t="str">
        <f>IF($E1248="","",MIN(VLOOKUP(IF($B1248&lt;=Input!$C$7,$B1248,26),'Mortality Tables'!$A$12:$CW$37,IF($B1248&lt;=Input!$C$7+1,Input!$C$4+2,$D1248-Input!$C$7+2),0)*IF(B1248&gt;20,Input!$C$22,1)/1000,1))</f>
        <v/>
      </c>
      <c r="Q1248" s="155" t="str">
        <f>IF($E1248="","",Input!$C$21)</f>
        <v/>
      </c>
      <c r="R1248" s="159" t="str">
        <f>IF($E1248="","",(1-Q1248)^($F1248-Input!$C$20))</f>
        <v/>
      </c>
      <c r="S1248" s="147" t="str">
        <f t="shared" si="796"/>
        <v/>
      </c>
      <c r="T1248" s="147" t="str">
        <f t="shared" si="797"/>
        <v/>
      </c>
      <c r="U1248" s="160" t="str">
        <f>IF($E1248="","",IF($C1248=12,INDEX(Input!$C$15:$CP$15,1,$B1248),0))</f>
        <v/>
      </c>
      <c r="V1248" s="150" t="str">
        <f>IF(E1248="","",IF(C1248=1,IF($B1248=1,Input!$C$33,Input!$C$34),0))</f>
        <v/>
      </c>
      <c r="W1248" s="156" t="str">
        <f>IF($E1248="","",Input!$C$35)</f>
        <v/>
      </c>
      <c r="X1248" s="156" t="str">
        <f t="shared" si="798"/>
        <v/>
      </c>
      <c r="Y1248" s="154"/>
      <c r="Z1248" s="147" t="str">
        <f>IF($E1248="","",VLOOKUP($D1248,'Mortality Margins &amp; Grading'!$AB$5:$AF$125,3,0)*IF(Summary!$D$25="Included Margin",IF(AND($B1248&gt;Input!$C$9,Summary!$D$31&lt;&gt;"Included Margin"),0,1),0))</f>
        <v/>
      </c>
      <c r="AA1248" s="147" t="str">
        <f>IF($E1248="","",VLOOKUP($D1248,'Mortality Margins &amp; Grading'!$AB$5:$AF$125,5,0)*IF(Summary!$D$25="Included Margin",IF(AND($B1248&gt;Input!$C$9,Summary!$D$31&lt;&gt;"Included Margin"),0,1),0))</f>
        <v/>
      </c>
      <c r="AB1248" s="147" t="str">
        <f>IF($E1248="","",IF(AND($B1248&gt;Input!$C$9,Summary!$D$31&lt;&gt;"Included Margin"),1,IF(Summary!$D$25="Included Margin",VLOOKUP($B1248,'Mortality Margins &amp; Grading'!$AI$5:$AR$125,MATCH('Mortality Margins &amp; Grading'!$AQ$4,'Mortality Margins &amp; Grading'!$AI$4:$AR$4,0),0),1)))</f>
        <v/>
      </c>
      <c r="AC1248" s="154"/>
      <c r="AD1248" s="158" t="str">
        <f>IF(E1248="","",Input!$C$48*IF(Summary!$D$30="Included Margin",IF(AND($B1248&gt;Input!$C$9,Summary!$D$31&lt;&gt;"Included Margin"),0,1),0))</f>
        <v/>
      </c>
      <c r="AE1248" s="159" t="str">
        <f>IF(E1248="","",IF(Summary!$D$26="Included Margin",IF(AND($B1248&gt;Input!$C$9,Summary!$D$31&lt;&gt;"Included Margin"),1,1/$R1248),1))</f>
        <v/>
      </c>
      <c r="AF1248" s="160" t="str">
        <f>IF(E1248="","",IF(AND($B1248&gt;=Input!$C$9,$C1248=12,Summary!$D$31="Included Margin",$U1248&gt;0),1/U1248-1,IF($B1248&gt;=Input!$C$9,0,Input!$C$45*IF(Summary!$D$27="Included Margin",1,0))))</f>
        <v/>
      </c>
      <c r="AG1248" s="160" t="str">
        <f>IF(E1248="","",Input!$C$46*IF(Summary!$D$28="Included Margin",IF(AND($B1248&gt;Input!$C$9,Summary!$D$31&lt;&gt;"Included Margin"),0,1),0))</f>
        <v/>
      </c>
      <c r="AH1248" s="158" t="str">
        <f>IF(E1248="","",Input!$C$47*IF(Summary!$D$29="Included Margin",IF(AND($B1248&gt;Input!$C$9,Summary!$D$31&lt;&gt;"Included Margin"),0,1),0))</f>
        <v/>
      </c>
      <c r="AI1248" s="154"/>
      <c r="AJ1248" s="158" t="str">
        <f t="shared" si="809"/>
        <v/>
      </c>
      <c r="AK1248" s="150" t="str">
        <f t="shared" si="810"/>
        <v/>
      </c>
      <c r="AL1248" s="147" t="str">
        <f t="shared" si="811"/>
        <v/>
      </c>
      <c r="AM1248" s="147" t="str">
        <f t="shared" si="799"/>
        <v/>
      </c>
      <c r="AN1248" s="160" t="str">
        <f t="shared" si="812"/>
        <v/>
      </c>
      <c r="AO1248" s="161" t="str">
        <f t="shared" si="813"/>
        <v/>
      </c>
      <c r="AP1248" s="156" t="str">
        <f t="shared" si="800"/>
        <v/>
      </c>
      <c r="AQ1248" s="152"/>
      <c r="AR1248" s="162" t="str">
        <f t="shared" si="801"/>
        <v/>
      </c>
      <c r="AS1248" s="150" t="str">
        <f t="shared" si="814"/>
        <v/>
      </c>
      <c r="AT1248" s="163" t="str">
        <f t="shared" si="802"/>
        <v/>
      </c>
      <c r="AU1248" s="163" t="str">
        <f t="shared" si="803"/>
        <v/>
      </c>
      <c r="AV1248" s="163" t="str">
        <f t="shared" si="815"/>
        <v/>
      </c>
      <c r="AW1248" s="163" t="str">
        <f t="shared" si="804"/>
        <v/>
      </c>
      <c r="AX1248" s="163" t="str">
        <f t="shared" si="805"/>
        <v/>
      </c>
      <c r="AY1248" s="150" t="str">
        <f t="shared" si="816"/>
        <v/>
      </c>
      <c r="AZ1248" s="150" t="str">
        <f>IF($E1248="","",IF(OR(AND($D1248=Input!$C$6,$C1248=12),$AN1248=1),0,-AS1249+AT1249+AU1249-AV1249-AW1249-AX1249+AZ1249))</f>
        <v/>
      </c>
      <c r="BA1248" s="154" t="str">
        <f t="shared" si="806"/>
        <v/>
      </c>
      <c r="BC1248" s="147" t="str">
        <f t="shared" si="817"/>
        <v/>
      </c>
      <c r="BD1248" s="164" t="str">
        <f>IF(AND($C1247=12,$D1247=Input!$C$6),0,IF($E1248="","",AT1248+(AU1248+BD1249)/(1+$AK1248)*MIN((1-AM1248-AN1248),1)))</f>
        <v/>
      </c>
      <c r="BH1248" s="152"/>
      <c r="BI1248" s="162" t="str">
        <f t="shared" si="825"/>
        <v/>
      </c>
      <c r="BJ1248" s="150" t="str">
        <f t="shared" si="826"/>
        <v/>
      </c>
      <c r="BK1248" s="163" t="str">
        <f t="shared" si="822"/>
        <v/>
      </c>
      <c r="BL1248" s="163" t="str">
        <f t="shared" si="827"/>
        <v/>
      </c>
      <c r="BM1248" s="163" t="str">
        <f t="shared" si="823"/>
        <v/>
      </c>
      <c r="BN1248" s="163" t="str">
        <f t="shared" si="828"/>
        <v/>
      </c>
      <c r="BO1248" s="163" t="str">
        <f t="shared" si="829"/>
        <v/>
      </c>
      <c r="BP1248" s="150" t="str">
        <f t="shared" si="824"/>
        <v/>
      </c>
      <c r="BQ1248" s="150" t="str">
        <f t="shared" si="818"/>
        <v/>
      </c>
      <c r="BR1248" s="154" t="str">
        <f t="shared" si="830"/>
        <v/>
      </c>
      <c r="BT1248" s="147"/>
    </row>
    <row r="1249" spans="1:72" s="150" customFormat="1" x14ac:dyDescent="0.25">
      <c r="A1249" s="150" t="str">
        <f t="shared" si="819"/>
        <v/>
      </c>
      <c r="B1249" s="150" t="str">
        <f t="shared" si="820"/>
        <v/>
      </c>
      <c r="C1249" s="150" t="str">
        <f t="shared" si="821"/>
        <v/>
      </c>
      <c r="D1249" s="150" t="str">
        <f>IF(E1249="","",Input!$C$4+B1249-1)</f>
        <v/>
      </c>
      <c r="E1249" s="150" t="str">
        <f>IF(OR(AND(C1248=12,D1248=Input!$C$6),E1248=""),"",1)</f>
        <v/>
      </c>
      <c r="G1249" s="151" t="str">
        <f>IF(E1249="","",MAX(0,Input!$C$9-B1249))</f>
        <v/>
      </c>
      <c r="H1249" s="152" t="str">
        <f>IF(E1249="","",Input!$C$3)</f>
        <v/>
      </c>
      <c r="I1249" s="153" t="str">
        <f>IF(E1249="","",HLOOKUP($B1249,Input!$C$13:$BT$14,2))</f>
        <v/>
      </c>
      <c r="J1249" s="154"/>
      <c r="K1249" s="150" t="str">
        <f>IF($E1249="","",INDEX(Input!$C$16:$CP$16,1,$B1249))</f>
        <v/>
      </c>
      <c r="L1249" s="150" t="str">
        <f>IF($E1249="","",Input!$C$37)</f>
        <v/>
      </c>
      <c r="M1249" s="150" t="str">
        <f t="shared" si="807"/>
        <v/>
      </c>
      <c r="N1249" s="150" t="str">
        <f t="shared" si="808"/>
        <v/>
      </c>
      <c r="O1249" s="147" t="str">
        <f>IF($E1249="","",MIN(VLOOKUP(IF($B1249&lt;=Input!$C$7,$B1249,26),'Mortality Tables'!$A$41:$CW$67,IF($B1249&lt;=Input!$C$7+1,Input!$C$4+2,$D1249-Input!$C$7+2),0)*IF(B1249&gt;20,Input!$C$22,1)/1000,1))</f>
        <v/>
      </c>
      <c r="P1249" s="147" t="str">
        <f>IF($E1249="","",MIN(VLOOKUP(IF($B1249&lt;=Input!$C$7,$B1249,26),'Mortality Tables'!$A$12:$CW$37,IF($B1249&lt;=Input!$C$7+1,Input!$C$4+2,$D1249-Input!$C$7+2),0)*IF(B1249&gt;20,Input!$C$22,1)/1000,1))</f>
        <v/>
      </c>
      <c r="Q1249" s="155" t="str">
        <f>IF($E1249="","",Input!$C$21)</f>
        <v/>
      </c>
      <c r="R1249" s="159" t="str">
        <f>IF($E1249="","",(1-Q1249)^($F1249-Input!$C$20))</f>
        <v/>
      </c>
      <c r="S1249" s="147" t="str">
        <f t="shared" si="796"/>
        <v/>
      </c>
      <c r="T1249" s="147" t="str">
        <f t="shared" si="797"/>
        <v/>
      </c>
      <c r="U1249" s="160" t="str">
        <f>IF($E1249="","",IF($C1249=12,INDEX(Input!$C$15:$CP$15,1,$B1249),0))</f>
        <v/>
      </c>
      <c r="V1249" s="150" t="str">
        <f>IF(E1249="","",IF(C1249=1,IF($B1249=1,Input!$C$33,Input!$C$34),0))</f>
        <v/>
      </c>
      <c r="W1249" s="156" t="str">
        <f>IF($E1249="","",Input!$C$35)</f>
        <v/>
      </c>
      <c r="X1249" s="156" t="str">
        <f t="shared" si="798"/>
        <v/>
      </c>
      <c r="Y1249" s="154"/>
      <c r="Z1249" s="147" t="str">
        <f>IF($E1249="","",VLOOKUP($D1249,'Mortality Margins &amp; Grading'!$AB$5:$AF$125,3,0)*IF(Summary!$D$25="Included Margin",IF(AND($B1249&gt;Input!$C$9,Summary!$D$31&lt;&gt;"Included Margin"),0,1),0))</f>
        <v/>
      </c>
      <c r="AA1249" s="147" t="str">
        <f>IF($E1249="","",VLOOKUP($D1249,'Mortality Margins &amp; Grading'!$AB$5:$AF$125,5,0)*IF(Summary!$D$25="Included Margin",IF(AND($B1249&gt;Input!$C$9,Summary!$D$31&lt;&gt;"Included Margin"),0,1),0))</f>
        <v/>
      </c>
      <c r="AB1249" s="147" t="str">
        <f>IF($E1249="","",IF(AND($B1249&gt;Input!$C$9,Summary!$D$31&lt;&gt;"Included Margin"),1,IF(Summary!$D$25="Included Margin",VLOOKUP($B1249,'Mortality Margins &amp; Grading'!$AI$5:$AR$125,MATCH('Mortality Margins &amp; Grading'!$AQ$4,'Mortality Margins &amp; Grading'!$AI$4:$AR$4,0),0),1)))</f>
        <v/>
      </c>
      <c r="AC1249" s="154"/>
      <c r="AD1249" s="158" t="str">
        <f>IF(E1249="","",Input!$C$48*IF(Summary!$D$30="Included Margin",IF(AND($B1249&gt;Input!$C$9,Summary!$D$31&lt;&gt;"Included Margin"),0,1),0))</f>
        <v/>
      </c>
      <c r="AE1249" s="159" t="str">
        <f>IF(E1249="","",IF(Summary!$D$26="Included Margin",IF(AND($B1249&gt;Input!$C$9,Summary!$D$31&lt;&gt;"Included Margin"),1,1/$R1249),1))</f>
        <v/>
      </c>
      <c r="AF1249" s="160" t="str">
        <f>IF(E1249="","",IF(AND($B1249&gt;=Input!$C$9,$C1249=12,Summary!$D$31="Included Margin",$U1249&gt;0),1/U1249-1,IF($B1249&gt;=Input!$C$9,0,Input!$C$45*IF(Summary!$D$27="Included Margin",1,0))))</f>
        <v/>
      </c>
      <c r="AG1249" s="160" t="str">
        <f>IF(E1249="","",Input!$C$46*IF(Summary!$D$28="Included Margin",IF(AND($B1249&gt;Input!$C$9,Summary!$D$31&lt;&gt;"Included Margin"),0,1),0))</f>
        <v/>
      </c>
      <c r="AH1249" s="158" t="str">
        <f>IF(E1249="","",Input!$C$47*IF(Summary!$D$29="Included Margin",IF(AND($B1249&gt;Input!$C$9,Summary!$D$31&lt;&gt;"Included Margin"),0,1),0))</f>
        <v/>
      </c>
      <c r="AI1249" s="154"/>
      <c r="AJ1249" s="158" t="str">
        <f t="shared" si="809"/>
        <v/>
      </c>
      <c r="AK1249" s="150" t="str">
        <f t="shared" si="810"/>
        <v/>
      </c>
      <c r="AL1249" s="147" t="str">
        <f t="shared" si="811"/>
        <v/>
      </c>
      <c r="AM1249" s="147" t="str">
        <f t="shared" si="799"/>
        <v/>
      </c>
      <c r="AN1249" s="160" t="str">
        <f t="shared" si="812"/>
        <v/>
      </c>
      <c r="AO1249" s="161" t="str">
        <f t="shared" si="813"/>
        <v/>
      </c>
      <c r="AP1249" s="156" t="str">
        <f t="shared" si="800"/>
        <v/>
      </c>
      <c r="AQ1249" s="152"/>
      <c r="AR1249" s="162" t="str">
        <f t="shared" si="801"/>
        <v/>
      </c>
      <c r="AS1249" s="150" t="str">
        <f t="shared" si="814"/>
        <v/>
      </c>
      <c r="AT1249" s="163" t="str">
        <f t="shared" si="802"/>
        <v/>
      </c>
      <c r="AU1249" s="163" t="str">
        <f t="shared" si="803"/>
        <v/>
      </c>
      <c r="AV1249" s="163" t="str">
        <f t="shared" si="815"/>
        <v/>
      </c>
      <c r="AW1249" s="163" t="str">
        <f t="shared" si="804"/>
        <v/>
      </c>
      <c r="AX1249" s="163" t="str">
        <f t="shared" si="805"/>
        <v/>
      </c>
      <c r="AY1249" s="150" t="str">
        <f t="shared" si="816"/>
        <v/>
      </c>
      <c r="AZ1249" s="150" t="str">
        <f>IF($E1249="","",IF(OR(AND($D1249=Input!$C$6,$C1249=12),$AN1249=1),0,-AS1250+AT1250+AU1250-AV1250-AW1250-AX1250+AZ1250))</f>
        <v/>
      </c>
      <c r="BA1249" s="154" t="str">
        <f t="shared" si="806"/>
        <v/>
      </c>
      <c r="BC1249" s="147" t="str">
        <f t="shared" si="817"/>
        <v/>
      </c>
      <c r="BD1249" s="164" t="str">
        <f>IF(AND($C1248=12,$D1248=Input!$C$6),0,IF($E1249="","",AT1249+(AU1249+BD1250)/(1+$AK1249)*MIN((1-AM1249-AN1249),1)))</f>
        <v/>
      </c>
      <c r="BH1249" s="152"/>
      <c r="BI1249" s="162" t="str">
        <f t="shared" si="825"/>
        <v/>
      </c>
      <c r="BJ1249" s="150" t="str">
        <f t="shared" si="826"/>
        <v/>
      </c>
      <c r="BK1249" s="163" t="str">
        <f t="shared" si="822"/>
        <v/>
      </c>
      <c r="BL1249" s="163" t="str">
        <f t="shared" si="827"/>
        <v/>
      </c>
      <c r="BM1249" s="163" t="str">
        <f t="shared" si="823"/>
        <v/>
      </c>
      <c r="BN1249" s="163" t="str">
        <f t="shared" si="828"/>
        <v/>
      </c>
      <c r="BO1249" s="163" t="str">
        <f t="shared" si="829"/>
        <v/>
      </c>
      <c r="BP1249" s="150" t="str">
        <f t="shared" si="824"/>
        <v/>
      </c>
      <c r="BQ1249" s="150" t="str">
        <f t="shared" si="818"/>
        <v/>
      </c>
      <c r="BR1249" s="154" t="str">
        <f t="shared" si="830"/>
        <v/>
      </c>
      <c r="BT1249" s="147"/>
    </row>
    <row r="1250" spans="1:72" s="150" customFormat="1" x14ac:dyDescent="0.25">
      <c r="A1250" s="150" t="str">
        <f t="shared" si="819"/>
        <v/>
      </c>
      <c r="B1250" s="150" t="str">
        <f t="shared" si="820"/>
        <v/>
      </c>
      <c r="C1250" s="150" t="str">
        <f t="shared" si="821"/>
        <v/>
      </c>
      <c r="D1250" s="150" t="str">
        <f>IF(E1250="","",Input!$C$4+B1250-1)</f>
        <v/>
      </c>
      <c r="E1250" s="150" t="str">
        <f>IF(OR(AND(C1249=12,D1249=Input!$C$6),E1249=""),"",1)</f>
        <v/>
      </c>
      <c r="G1250" s="151" t="str">
        <f>IF(E1250="","",MAX(0,Input!$C$9-B1250))</f>
        <v/>
      </c>
      <c r="H1250" s="152" t="str">
        <f>IF(E1250="","",Input!$C$3)</f>
        <v/>
      </c>
      <c r="I1250" s="153" t="str">
        <f>IF(E1250="","",HLOOKUP($B1250,Input!$C$13:$BT$14,2))</f>
        <v/>
      </c>
      <c r="J1250" s="154"/>
      <c r="K1250" s="150" t="str">
        <f>IF($E1250="","",INDEX(Input!$C$16:$CP$16,1,$B1250))</f>
        <v/>
      </c>
      <c r="L1250" s="150" t="str">
        <f>IF($E1250="","",Input!$C$37)</f>
        <v/>
      </c>
      <c r="M1250" s="150" t="str">
        <f t="shared" si="807"/>
        <v/>
      </c>
      <c r="N1250" s="150" t="str">
        <f t="shared" si="808"/>
        <v/>
      </c>
      <c r="O1250" s="147" t="str">
        <f>IF($E1250="","",MIN(VLOOKUP(IF($B1250&lt;=Input!$C$7,$B1250,26),'Mortality Tables'!$A$41:$CW$67,IF($B1250&lt;=Input!$C$7+1,Input!$C$4+2,$D1250-Input!$C$7+2),0)*IF(B1250&gt;20,Input!$C$22,1)/1000,1))</f>
        <v/>
      </c>
      <c r="P1250" s="147" t="str">
        <f>IF($E1250="","",MIN(VLOOKUP(IF($B1250&lt;=Input!$C$7,$B1250,26),'Mortality Tables'!$A$12:$CW$37,IF($B1250&lt;=Input!$C$7+1,Input!$C$4+2,$D1250-Input!$C$7+2),0)*IF(B1250&gt;20,Input!$C$22,1)/1000,1))</f>
        <v/>
      </c>
      <c r="Q1250" s="155" t="str">
        <f>IF($E1250="","",Input!$C$21)</f>
        <v/>
      </c>
      <c r="R1250" s="159" t="str">
        <f>IF($E1250="","",(1-Q1250)^($F1250-Input!$C$20))</f>
        <v/>
      </c>
      <c r="S1250" s="147" t="str">
        <f t="shared" si="796"/>
        <v/>
      </c>
      <c r="T1250" s="147" t="str">
        <f t="shared" si="797"/>
        <v/>
      </c>
      <c r="U1250" s="160" t="str">
        <f>IF($E1250="","",IF($C1250=12,INDEX(Input!$C$15:$CP$15,1,$B1250),0))</f>
        <v/>
      </c>
      <c r="V1250" s="150" t="str">
        <f>IF(E1250="","",IF(C1250=1,IF($B1250=1,Input!$C$33,Input!$C$34),0))</f>
        <v/>
      </c>
      <c r="W1250" s="156" t="str">
        <f>IF($E1250="","",Input!$C$35)</f>
        <v/>
      </c>
      <c r="X1250" s="156" t="str">
        <f t="shared" si="798"/>
        <v/>
      </c>
      <c r="Y1250" s="154"/>
      <c r="Z1250" s="147" t="str">
        <f>IF($E1250="","",VLOOKUP($D1250,'Mortality Margins &amp; Grading'!$AB$5:$AF$125,3,0)*IF(Summary!$D$25="Included Margin",IF(AND($B1250&gt;Input!$C$9,Summary!$D$31&lt;&gt;"Included Margin"),0,1),0))</f>
        <v/>
      </c>
      <c r="AA1250" s="147" t="str">
        <f>IF($E1250="","",VLOOKUP($D1250,'Mortality Margins &amp; Grading'!$AB$5:$AF$125,5,0)*IF(Summary!$D$25="Included Margin",IF(AND($B1250&gt;Input!$C$9,Summary!$D$31&lt;&gt;"Included Margin"),0,1),0))</f>
        <v/>
      </c>
      <c r="AB1250" s="147" t="str">
        <f>IF($E1250="","",IF(AND($B1250&gt;Input!$C$9,Summary!$D$31&lt;&gt;"Included Margin"),1,IF(Summary!$D$25="Included Margin",VLOOKUP($B1250,'Mortality Margins &amp; Grading'!$AI$5:$AR$125,MATCH('Mortality Margins &amp; Grading'!$AQ$4,'Mortality Margins &amp; Grading'!$AI$4:$AR$4,0),0),1)))</f>
        <v/>
      </c>
      <c r="AC1250" s="154"/>
      <c r="AD1250" s="158" t="str">
        <f>IF(E1250="","",Input!$C$48*IF(Summary!$D$30="Included Margin",IF(AND($B1250&gt;Input!$C$9,Summary!$D$31&lt;&gt;"Included Margin"),0,1),0))</f>
        <v/>
      </c>
      <c r="AE1250" s="159" t="str">
        <f>IF(E1250="","",IF(Summary!$D$26="Included Margin",IF(AND($B1250&gt;Input!$C$9,Summary!$D$31&lt;&gt;"Included Margin"),1,1/$R1250),1))</f>
        <v/>
      </c>
      <c r="AF1250" s="160" t="str">
        <f>IF(E1250="","",IF(AND($B1250&gt;=Input!$C$9,$C1250=12,Summary!$D$31="Included Margin",$U1250&gt;0),1/U1250-1,IF($B1250&gt;=Input!$C$9,0,Input!$C$45*IF(Summary!$D$27="Included Margin",1,0))))</f>
        <v/>
      </c>
      <c r="AG1250" s="160" t="str">
        <f>IF(E1250="","",Input!$C$46*IF(Summary!$D$28="Included Margin",IF(AND($B1250&gt;Input!$C$9,Summary!$D$31&lt;&gt;"Included Margin"),0,1),0))</f>
        <v/>
      </c>
      <c r="AH1250" s="158" t="str">
        <f>IF(E1250="","",Input!$C$47*IF(Summary!$D$29="Included Margin",IF(AND($B1250&gt;Input!$C$9,Summary!$D$31&lt;&gt;"Included Margin"),0,1),0))</f>
        <v/>
      </c>
      <c r="AI1250" s="154"/>
      <c r="AJ1250" s="158" t="str">
        <f t="shared" si="809"/>
        <v/>
      </c>
      <c r="AK1250" s="150" t="str">
        <f t="shared" si="810"/>
        <v/>
      </c>
      <c r="AL1250" s="147" t="str">
        <f t="shared" si="811"/>
        <v/>
      </c>
      <c r="AM1250" s="147" t="str">
        <f t="shared" si="799"/>
        <v/>
      </c>
      <c r="AN1250" s="160" t="str">
        <f t="shared" si="812"/>
        <v/>
      </c>
      <c r="AO1250" s="161" t="str">
        <f t="shared" si="813"/>
        <v/>
      </c>
      <c r="AP1250" s="156" t="str">
        <f t="shared" si="800"/>
        <v/>
      </c>
      <c r="AQ1250" s="152"/>
      <c r="AR1250" s="162" t="str">
        <f t="shared" si="801"/>
        <v/>
      </c>
      <c r="AS1250" s="150" t="str">
        <f t="shared" si="814"/>
        <v/>
      </c>
      <c r="AT1250" s="163" t="str">
        <f t="shared" si="802"/>
        <v/>
      </c>
      <c r="AU1250" s="163" t="str">
        <f t="shared" si="803"/>
        <v/>
      </c>
      <c r="AV1250" s="163" t="str">
        <f t="shared" si="815"/>
        <v/>
      </c>
      <c r="AW1250" s="163" t="str">
        <f t="shared" si="804"/>
        <v/>
      </c>
      <c r="AX1250" s="163" t="str">
        <f t="shared" si="805"/>
        <v/>
      </c>
      <c r="AY1250" s="150" t="str">
        <f t="shared" si="816"/>
        <v/>
      </c>
      <c r="AZ1250" s="150" t="str">
        <f>IF($E1250="","",IF(OR(AND($D1250=Input!$C$6,$C1250=12),$AN1250=1),0,-AS1251+AT1251+AU1251-AV1251-AW1251-AX1251+AZ1251))</f>
        <v/>
      </c>
      <c r="BA1250" s="154" t="str">
        <f t="shared" si="806"/>
        <v/>
      </c>
      <c r="BC1250" s="147" t="str">
        <f t="shared" si="817"/>
        <v/>
      </c>
      <c r="BD1250" s="164" t="str">
        <f>IF(AND($C1249=12,$D1249=Input!$C$6),0,IF($E1250="","",AT1250+(AU1250+BD1251)/(1+$AK1250)*MIN((1-AM1250-AN1250),1)))</f>
        <v/>
      </c>
      <c r="BH1250" s="152"/>
      <c r="BI1250" s="162" t="str">
        <f t="shared" si="825"/>
        <v/>
      </c>
      <c r="BJ1250" s="150" t="str">
        <f t="shared" si="826"/>
        <v/>
      </c>
      <c r="BK1250" s="163" t="str">
        <f t="shared" si="822"/>
        <v/>
      </c>
      <c r="BL1250" s="163" t="str">
        <f t="shared" si="827"/>
        <v/>
      </c>
      <c r="BM1250" s="163" t="str">
        <f t="shared" si="823"/>
        <v/>
      </c>
      <c r="BN1250" s="163" t="str">
        <f t="shared" si="828"/>
        <v/>
      </c>
      <c r="BO1250" s="163" t="str">
        <f t="shared" si="829"/>
        <v/>
      </c>
      <c r="BP1250" s="150" t="str">
        <f t="shared" si="824"/>
        <v/>
      </c>
      <c r="BQ1250" s="150" t="str">
        <f t="shared" si="818"/>
        <v/>
      </c>
      <c r="BR1250" s="154" t="str">
        <f t="shared" si="830"/>
        <v/>
      </c>
      <c r="BT1250" s="147"/>
    </row>
    <row r="1251" spans="1:72" s="150" customFormat="1" x14ac:dyDescent="0.25">
      <c r="A1251" s="150" t="str">
        <f t="shared" si="819"/>
        <v/>
      </c>
      <c r="B1251" s="150" t="str">
        <f t="shared" si="820"/>
        <v/>
      </c>
      <c r="C1251" s="150" t="str">
        <f t="shared" si="821"/>
        <v/>
      </c>
      <c r="D1251" s="150" t="str">
        <f>IF(E1251="","",Input!$C$4+B1251-1)</f>
        <v/>
      </c>
      <c r="E1251" s="150" t="str">
        <f>IF(OR(AND(C1250=12,D1250=Input!$C$6),E1250=""),"",1)</f>
        <v/>
      </c>
      <c r="G1251" s="151" t="str">
        <f>IF(E1251="","",MAX(0,Input!$C$9-B1251))</f>
        <v/>
      </c>
      <c r="H1251" s="152" t="str">
        <f>IF(E1251="","",Input!$C$3)</f>
        <v/>
      </c>
      <c r="I1251" s="153" t="str">
        <f>IF(E1251="","",HLOOKUP($B1251,Input!$C$13:$BT$14,2))</f>
        <v/>
      </c>
      <c r="J1251" s="154"/>
      <c r="K1251" s="150" t="str">
        <f>IF($E1251="","",INDEX(Input!$C$16:$CP$16,1,$B1251))</f>
        <v/>
      </c>
      <c r="L1251" s="150" t="str">
        <f>IF($E1251="","",Input!$C$37)</f>
        <v/>
      </c>
      <c r="M1251" s="150" t="str">
        <f t="shared" si="807"/>
        <v/>
      </c>
      <c r="N1251" s="150" t="str">
        <f t="shared" si="808"/>
        <v/>
      </c>
      <c r="O1251" s="147" t="str">
        <f>IF($E1251="","",MIN(VLOOKUP(IF($B1251&lt;=Input!$C$7,$B1251,26),'Mortality Tables'!$A$41:$CW$67,IF($B1251&lt;=Input!$C$7+1,Input!$C$4+2,$D1251-Input!$C$7+2),0)*IF(B1251&gt;20,Input!$C$22,1)/1000,1))</f>
        <v/>
      </c>
      <c r="P1251" s="147" t="str">
        <f>IF($E1251="","",MIN(VLOOKUP(IF($B1251&lt;=Input!$C$7,$B1251,26),'Mortality Tables'!$A$12:$CW$37,IF($B1251&lt;=Input!$C$7+1,Input!$C$4+2,$D1251-Input!$C$7+2),0)*IF(B1251&gt;20,Input!$C$22,1)/1000,1))</f>
        <v/>
      </c>
      <c r="Q1251" s="155" t="str">
        <f>IF($E1251="","",Input!$C$21)</f>
        <v/>
      </c>
      <c r="R1251" s="159" t="str">
        <f>IF($E1251="","",(1-Q1251)^($F1251-Input!$C$20))</f>
        <v/>
      </c>
      <c r="S1251" s="147" t="str">
        <f t="shared" si="796"/>
        <v/>
      </c>
      <c r="T1251" s="147" t="str">
        <f t="shared" si="797"/>
        <v/>
      </c>
      <c r="U1251" s="160" t="str">
        <f>IF($E1251="","",IF($C1251=12,INDEX(Input!$C$15:$CP$15,1,$B1251),0))</f>
        <v/>
      </c>
      <c r="V1251" s="150" t="str">
        <f>IF(E1251="","",IF(C1251=1,IF($B1251=1,Input!$C$33,Input!$C$34),0))</f>
        <v/>
      </c>
      <c r="W1251" s="156" t="str">
        <f>IF($E1251="","",Input!$C$35)</f>
        <v/>
      </c>
      <c r="X1251" s="156" t="str">
        <f t="shared" si="798"/>
        <v/>
      </c>
      <c r="Y1251" s="154"/>
      <c r="Z1251" s="147" t="str">
        <f>IF($E1251="","",VLOOKUP($D1251,'Mortality Margins &amp; Grading'!$AB$5:$AF$125,3,0)*IF(Summary!$D$25="Included Margin",IF(AND($B1251&gt;Input!$C$9,Summary!$D$31&lt;&gt;"Included Margin"),0,1),0))</f>
        <v/>
      </c>
      <c r="AA1251" s="147" t="str">
        <f>IF($E1251="","",VLOOKUP($D1251,'Mortality Margins &amp; Grading'!$AB$5:$AF$125,5,0)*IF(Summary!$D$25="Included Margin",IF(AND($B1251&gt;Input!$C$9,Summary!$D$31&lt;&gt;"Included Margin"),0,1),0))</f>
        <v/>
      </c>
      <c r="AB1251" s="147" t="str">
        <f>IF($E1251="","",IF(AND($B1251&gt;Input!$C$9,Summary!$D$31&lt;&gt;"Included Margin"),1,IF(Summary!$D$25="Included Margin",VLOOKUP($B1251,'Mortality Margins &amp; Grading'!$AI$5:$AR$125,MATCH('Mortality Margins &amp; Grading'!$AQ$4,'Mortality Margins &amp; Grading'!$AI$4:$AR$4,0),0),1)))</f>
        <v/>
      </c>
      <c r="AC1251" s="154"/>
      <c r="AD1251" s="158" t="str">
        <f>IF(E1251="","",Input!$C$48*IF(Summary!$D$30="Included Margin",IF(AND($B1251&gt;Input!$C$9,Summary!$D$31&lt;&gt;"Included Margin"),0,1),0))</f>
        <v/>
      </c>
      <c r="AE1251" s="159" t="str">
        <f>IF(E1251="","",IF(Summary!$D$26="Included Margin",IF(AND($B1251&gt;Input!$C$9,Summary!$D$31&lt;&gt;"Included Margin"),1,1/$R1251),1))</f>
        <v/>
      </c>
      <c r="AF1251" s="160" t="str">
        <f>IF(E1251="","",IF(AND($B1251&gt;=Input!$C$9,$C1251=12,Summary!$D$31="Included Margin",$U1251&gt;0),1/U1251-1,IF($B1251&gt;=Input!$C$9,0,Input!$C$45*IF(Summary!$D$27="Included Margin",1,0))))</f>
        <v/>
      </c>
      <c r="AG1251" s="160" t="str">
        <f>IF(E1251="","",Input!$C$46*IF(Summary!$D$28="Included Margin",IF(AND($B1251&gt;Input!$C$9,Summary!$D$31&lt;&gt;"Included Margin"),0,1),0))</f>
        <v/>
      </c>
      <c r="AH1251" s="158" t="str">
        <f>IF(E1251="","",Input!$C$47*IF(Summary!$D$29="Included Margin",IF(AND($B1251&gt;Input!$C$9,Summary!$D$31&lt;&gt;"Included Margin"),0,1),0))</f>
        <v/>
      </c>
      <c r="AI1251" s="154"/>
      <c r="AJ1251" s="158" t="str">
        <f t="shared" si="809"/>
        <v/>
      </c>
      <c r="AK1251" s="150" t="str">
        <f t="shared" si="810"/>
        <v/>
      </c>
      <c r="AL1251" s="147" t="str">
        <f t="shared" si="811"/>
        <v/>
      </c>
      <c r="AM1251" s="147" t="str">
        <f t="shared" si="799"/>
        <v/>
      </c>
      <c r="AN1251" s="160" t="str">
        <f t="shared" si="812"/>
        <v/>
      </c>
      <c r="AO1251" s="161" t="str">
        <f t="shared" si="813"/>
        <v/>
      </c>
      <c r="AP1251" s="156" t="str">
        <f t="shared" si="800"/>
        <v/>
      </c>
      <c r="AQ1251" s="152"/>
      <c r="AR1251" s="162" t="str">
        <f t="shared" si="801"/>
        <v/>
      </c>
      <c r="AS1251" s="150" t="str">
        <f t="shared" si="814"/>
        <v/>
      </c>
      <c r="AT1251" s="163" t="str">
        <f t="shared" si="802"/>
        <v/>
      </c>
      <c r="AU1251" s="163" t="str">
        <f t="shared" si="803"/>
        <v/>
      </c>
      <c r="AV1251" s="163" t="str">
        <f t="shared" si="815"/>
        <v/>
      </c>
      <c r="AW1251" s="163" t="str">
        <f t="shared" si="804"/>
        <v/>
      </c>
      <c r="AX1251" s="163" t="str">
        <f t="shared" si="805"/>
        <v/>
      </c>
      <c r="AY1251" s="150" t="str">
        <f t="shared" si="816"/>
        <v/>
      </c>
      <c r="AZ1251" s="150" t="str">
        <f>IF($E1251="","",IF(OR(AND($D1251=Input!$C$6,$C1251=12),$AN1251=1),0,-AS1252+AT1252+AU1252-AV1252-AW1252-AX1252+AZ1252))</f>
        <v/>
      </c>
      <c r="BA1251" s="154" t="str">
        <f t="shared" si="806"/>
        <v/>
      </c>
      <c r="BC1251" s="147" t="str">
        <f t="shared" si="817"/>
        <v/>
      </c>
      <c r="BD1251" s="164" t="str">
        <f>IF(AND($C1250=12,$D1250=Input!$C$6),0,IF($E1251="","",AT1251+(AU1251+BD1252)/(1+$AK1251)*MIN((1-AM1251-AN1251),1)))</f>
        <v/>
      </c>
      <c r="BH1251" s="152"/>
      <c r="BI1251" s="162" t="str">
        <f t="shared" si="825"/>
        <v/>
      </c>
      <c r="BJ1251" s="150" t="str">
        <f t="shared" si="826"/>
        <v/>
      </c>
      <c r="BK1251" s="163" t="str">
        <f t="shared" si="822"/>
        <v/>
      </c>
      <c r="BL1251" s="163" t="str">
        <f t="shared" si="827"/>
        <v/>
      </c>
      <c r="BM1251" s="163" t="str">
        <f t="shared" si="823"/>
        <v/>
      </c>
      <c r="BN1251" s="163" t="str">
        <f t="shared" si="828"/>
        <v/>
      </c>
      <c r="BO1251" s="163" t="str">
        <f t="shared" si="829"/>
        <v/>
      </c>
      <c r="BP1251" s="150" t="str">
        <f t="shared" si="824"/>
        <v/>
      </c>
      <c r="BQ1251" s="150" t="str">
        <f t="shared" si="818"/>
        <v/>
      </c>
      <c r="BR1251" s="154" t="str">
        <f t="shared" si="830"/>
        <v/>
      </c>
      <c r="BT1251" s="147"/>
    </row>
    <row r="1252" spans="1:72" s="150" customFormat="1" x14ac:dyDescent="0.25">
      <c r="A1252" s="150" t="str">
        <f t="shared" si="819"/>
        <v/>
      </c>
      <c r="B1252" s="150" t="str">
        <f t="shared" si="820"/>
        <v/>
      </c>
      <c r="C1252" s="150" t="str">
        <f t="shared" si="821"/>
        <v/>
      </c>
      <c r="D1252" s="150" t="str">
        <f>IF(E1252="","",Input!$C$4+B1252-1)</f>
        <v/>
      </c>
      <c r="E1252" s="150" t="str">
        <f>IF(OR(AND(C1251=12,D1251=Input!$C$6),E1251=""),"",1)</f>
        <v/>
      </c>
      <c r="G1252" s="151" t="str">
        <f>IF(E1252="","",MAX(0,Input!$C$9-B1252))</f>
        <v/>
      </c>
      <c r="H1252" s="152" t="str">
        <f>IF(E1252="","",Input!$C$3)</f>
        <v/>
      </c>
      <c r="I1252" s="153" t="str">
        <f>IF(E1252="","",HLOOKUP($B1252,Input!$C$13:$BT$14,2))</f>
        <v/>
      </c>
      <c r="J1252" s="154"/>
      <c r="K1252" s="150" t="str">
        <f>IF($E1252="","",INDEX(Input!$C$16:$CP$16,1,$B1252))</f>
        <v/>
      </c>
      <c r="L1252" s="150" t="str">
        <f>IF($E1252="","",Input!$C$37)</f>
        <v/>
      </c>
      <c r="M1252" s="150" t="str">
        <f t="shared" si="807"/>
        <v/>
      </c>
      <c r="N1252" s="150" t="str">
        <f t="shared" si="808"/>
        <v/>
      </c>
      <c r="O1252" s="147" t="str">
        <f>IF($E1252="","",MIN(VLOOKUP(IF($B1252&lt;=Input!$C$7,$B1252,26),'Mortality Tables'!$A$41:$CW$67,IF($B1252&lt;=Input!$C$7+1,Input!$C$4+2,$D1252-Input!$C$7+2),0)*IF(B1252&gt;20,Input!$C$22,1)/1000,1))</f>
        <v/>
      </c>
      <c r="P1252" s="147" t="str">
        <f>IF($E1252="","",MIN(VLOOKUP(IF($B1252&lt;=Input!$C$7,$B1252,26),'Mortality Tables'!$A$12:$CW$37,IF($B1252&lt;=Input!$C$7+1,Input!$C$4+2,$D1252-Input!$C$7+2),0)*IF(B1252&gt;20,Input!$C$22,1)/1000,1))</f>
        <v/>
      </c>
      <c r="Q1252" s="155" t="str">
        <f>IF($E1252="","",Input!$C$21)</f>
        <v/>
      </c>
      <c r="R1252" s="159" t="str">
        <f>IF($E1252="","",(1-Q1252)^($F1252-Input!$C$20))</f>
        <v/>
      </c>
      <c r="S1252" s="147" t="str">
        <f t="shared" si="796"/>
        <v/>
      </c>
      <c r="T1252" s="147" t="str">
        <f t="shared" si="797"/>
        <v/>
      </c>
      <c r="U1252" s="160" t="str">
        <f>IF($E1252="","",IF($C1252=12,INDEX(Input!$C$15:$CP$15,1,$B1252),0))</f>
        <v/>
      </c>
      <c r="V1252" s="150" t="str">
        <f>IF(E1252="","",IF(C1252=1,IF($B1252=1,Input!$C$33,Input!$C$34),0))</f>
        <v/>
      </c>
      <c r="W1252" s="156" t="str">
        <f>IF($E1252="","",Input!$C$35)</f>
        <v/>
      </c>
      <c r="X1252" s="156" t="str">
        <f t="shared" si="798"/>
        <v/>
      </c>
      <c r="Y1252" s="154"/>
      <c r="Z1252" s="147" t="str">
        <f>IF($E1252="","",VLOOKUP($D1252,'Mortality Margins &amp; Grading'!$AB$5:$AF$125,3,0)*IF(Summary!$D$25="Included Margin",IF(AND($B1252&gt;Input!$C$9,Summary!$D$31&lt;&gt;"Included Margin"),0,1),0))</f>
        <v/>
      </c>
      <c r="AA1252" s="147" t="str">
        <f>IF($E1252="","",VLOOKUP($D1252,'Mortality Margins &amp; Grading'!$AB$5:$AF$125,5,0)*IF(Summary!$D$25="Included Margin",IF(AND($B1252&gt;Input!$C$9,Summary!$D$31&lt;&gt;"Included Margin"),0,1),0))</f>
        <v/>
      </c>
      <c r="AB1252" s="147" t="str">
        <f>IF($E1252="","",IF(AND($B1252&gt;Input!$C$9,Summary!$D$31&lt;&gt;"Included Margin"),1,IF(Summary!$D$25="Included Margin",VLOOKUP($B1252,'Mortality Margins &amp; Grading'!$AI$5:$AR$125,MATCH('Mortality Margins &amp; Grading'!$AQ$4,'Mortality Margins &amp; Grading'!$AI$4:$AR$4,0),0),1)))</f>
        <v/>
      </c>
      <c r="AC1252" s="154"/>
      <c r="AD1252" s="158" t="str">
        <f>IF(E1252="","",Input!$C$48*IF(Summary!$D$30="Included Margin",IF(AND($B1252&gt;Input!$C$9,Summary!$D$31&lt;&gt;"Included Margin"),0,1),0))</f>
        <v/>
      </c>
      <c r="AE1252" s="159" t="str">
        <f>IF(E1252="","",IF(Summary!$D$26="Included Margin",IF(AND($B1252&gt;Input!$C$9,Summary!$D$31&lt;&gt;"Included Margin"),1,1/$R1252),1))</f>
        <v/>
      </c>
      <c r="AF1252" s="160" t="str">
        <f>IF(E1252="","",IF(AND($B1252&gt;=Input!$C$9,$C1252=12,Summary!$D$31="Included Margin",$U1252&gt;0),1/U1252-1,IF($B1252&gt;=Input!$C$9,0,Input!$C$45*IF(Summary!$D$27="Included Margin",1,0))))</f>
        <v/>
      </c>
      <c r="AG1252" s="160" t="str">
        <f>IF(E1252="","",Input!$C$46*IF(Summary!$D$28="Included Margin",IF(AND($B1252&gt;Input!$C$9,Summary!$D$31&lt;&gt;"Included Margin"),0,1),0))</f>
        <v/>
      </c>
      <c r="AH1252" s="158" t="str">
        <f>IF(E1252="","",Input!$C$47*IF(Summary!$D$29="Included Margin",IF(AND($B1252&gt;Input!$C$9,Summary!$D$31&lt;&gt;"Included Margin"),0,1),0))</f>
        <v/>
      </c>
      <c r="AI1252" s="154"/>
      <c r="AJ1252" s="158" t="str">
        <f t="shared" si="809"/>
        <v/>
      </c>
      <c r="AK1252" s="150" t="str">
        <f t="shared" si="810"/>
        <v/>
      </c>
      <c r="AL1252" s="147" t="str">
        <f t="shared" si="811"/>
        <v/>
      </c>
      <c r="AM1252" s="147" t="str">
        <f t="shared" si="799"/>
        <v/>
      </c>
      <c r="AN1252" s="160" t="str">
        <f t="shared" si="812"/>
        <v/>
      </c>
      <c r="AO1252" s="161" t="str">
        <f t="shared" si="813"/>
        <v/>
      </c>
      <c r="AP1252" s="156" t="str">
        <f t="shared" si="800"/>
        <v/>
      </c>
      <c r="AQ1252" s="152"/>
      <c r="AR1252" s="162" t="str">
        <f t="shared" si="801"/>
        <v/>
      </c>
      <c r="AS1252" s="150" t="str">
        <f t="shared" si="814"/>
        <v/>
      </c>
      <c r="AT1252" s="163" t="str">
        <f t="shared" si="802"/>
        <v/>
      </c>
      <c r="AU1252" s="163" t="str">
        <f t="shared" si="803"/>
        <v/>
      </c>
      <c r="AV1252" s="163" t="str">
        <f t="shared" si="815"/>
        <v/>
      </c>
      <c r="AW1252" s="163" t="str">
        <f t="shared" si="804"/>
        <v/>
      </c>
      <c r="AX1252" s="163" t="str">
        <f t="shared" si="805"/>
        <v/>
      </c>
      <c r="AY1252" s="150" t="str">
        <f t="shared" si="816"/>
        <v/>
      </c>
      <c r="AZ1252" s="150" t="str">
        <f>IF($E1252="","",IF(OR(AND($D1252=Input!$C$6,$C1252=12),$AN1252=1),0,-AS1253+AT1253+AU1253-AV1253-AW1253-AX1253+AZ1253))</f>
        <v/>
      </c>
      <c r="BA1252" s="154" t="str">
        <f t="shared" si="806"/>
        <v/>
      </c>
      <c r="BC1252" s="147" t="str">
        <f t="shared" si="817"/>
        <v/>
      </c>
      <c r="BD1252" s="164" t="str">
        <f>IF(AND($C1251=12,$D1251=Input!$C$6),0,IF($E1252="","",AT1252+(AU1252+BD1253)/(1+$AK1252)*MIN((1-AM1252-AN1252),1)))</f>
        <v/>
      </c>
      <c r="BH1252" s="152"/>
      <c r="BI1252" s="162" t="str">
        <f t="shared" si="825"/>
        <v/>
      </c>
      <c r="BJ1252" s="150" t="str">
        <f t="shared" si="826"/>
        <v/>
      </c>
      <c r="BK1252" s="163" t="str">
        <f t="shared" si="822"/>
        <v/>
      </c>
      <c r="BL1252" s="163" t="str">
        <f t="shared" si="827"/>
        <v/>
      </c>
      <c r="BM1252" s="163" t="str">
        <f t="shared" si="823"/>
        <v/>
      </c>
      <c r="BN1252" s="163" t="str">
        <f t="shared" si="828"/>
        <v/>
      </c>
      <c r="BO1252" s="163" t="str">
        <f t="shared" si="829"/>
        <v/>
      </c>
      <c r="BP1252" s="150" t="str">
        <f t="shared" si="824"/>
        <v/>
      </c>
      <c r="BQ1252" s="150" t="str">
        <f t="shared" si="818"/>
        <v/>
      </c>
      <c r="BR1252" s="154" t="str">
        <f t="shared" si="830"/>
        <v/>
      </c>
      <c r="BT1252" s="147"/>
    </row>
    <row r="1253" spans="1:72" s="150" customFormat="1" x14ac:dyDescent="0.25">
      <c r="A1253" s="150" t="str">
        <f t="shared" si="819"/>
        <v/>
      </c>
      <c r="B1253" s="150" t="str">
        <f t="shared" si="820"/>
        <v/>
      </c>
      <c r="C1253" s="150" t="str">
        <f t="shared" si="821"/>
        <v/>
      </c>
      <c r="D1253" s="150" t="str">
        <f>IF(E1253="","",Input!$C$4+B1253-1)</f>
        <v/>
      </c>
      <c r="E1253" s="150" t="str">
        <f>IF(OR(AND(C1252=12,D1252=Input!$C$6),E1252=""),"",1)</f>
        <v/>
      </c>
      <c r="G1253" s="151" t="str">
        <f>IF(E1253="","",MAX(0,Input!$C$9-B1253))</f>
        <v/>
      </c>
      <c r="H1253" s="152" t="str">
        <f>IF(E1253="","",Input!$C$3)</f>
        <v/>
      </c>
      <c r="I1253" s="153" t="str">
        <f>IF(E1253="","",HLOOKUP($B1253,Input!$C$13:$BT$14,2))</f>
        <v/>
      </c>
      <c r="J1253" s="154"/>
      <c r="K1253" s="150" t="str">
        <f>IF($E1253="","",INDEX(Input!$C$16:$CP$16,1,$B1253))</f>
        <v/>
      </c>
      <c r="L1253" s="150" t="str">
        <f>IF($E1253="","",Input!$C$37)</f>
        <v/>
      </c>
      <c r="M1253" s="150" t="str">
        <f t="shared" si="807"/>
        <v/>
      </c>
      <c r="N1253" s="150" t="str">
        <f t="shared" si="808"/>
        <v/>
      </c>
      <c r="O1253" s="147" t="str">
        <f>IF($E1253="","",MIN(VLOOKUP(IF($B1253&lt;=Input!$C$7,$B1253,26),'Mortality Tables'!$A$41:$CW$67,IF($B1253&lt;=Input!$C$7+1,Input!$C$4+2,$D1253-Input!$C$7+2),0)*IF(B1253&gt;20,Input!$C$22,1)/1000,1))</f>
        <v/>
      </c>
      <c r="P1253" s="147" t="str">
        <f>IF($E1253="","",MIN(VLOOKUP(IF($B1253&lt;=Input!$C$7,$B1253,26),'Mortality Tables'!$A$12:$CW$37,IF($B1253&lt;=Input!$C$7+1,Input!$C$4+2,$D1253-Input!$C$7+2),0)*IF(B1253&gt;20,Input!$C$22,1)/1000,1))</f>
        <v/>
      </c>
      <c r="Q1253" s="155" t="str">
        <f>IF($E1253="","",Input!$C$21)</f>
        <v/>
      </c>
      <c r="R1253" s="159" t="str">
        <f>IF($E1253="","",(1-Q1253)^($F1253-Input!$C$20))</f>
        <v/>
      </c>
      <c r="S1253" s="147" t="str">
        <f t="shared" si="796"/>
        <v/>
      </c>
      <c r="T1253" s="147" t="str">
        <f t="shared" si="797"/>
        <v/>
      </c>
      <c r="U1253" s="160" t="str">
        <f>IF($E1253="","",IF($C1253=12,INDEX(Input!$C$15:$CP$15,1,$B1253),0))</f>
        <v/>
      </c>
      <c r="V1253" s="150" t="str">
        <f>IF(E1253="","",IF(C1253=1,IF($B1253=1,Input!$C$33,Input!$C$34),0))</f>
        <v/>
      </c>
      <c r="W1253" s="156" t="str">
        <f>IF($E1253="","",Input!$C$35)</f>
        <v/>
      </c>
      <c r="X1253" s="156" t="str">
        <f t="shared" si="798"/>
        <v/>
      </c>
      <c r="Y1253" s="154"/>
      <c r="Z1253" s="147" t="str">
        <f>IF($E1253="","",VLOOKUP($D1253,'Mortality Margins &amp; Grading'!$AB$5:$AF$125,3,0)*IF(Summary!$D$25="Included Margin",IF(AND($B1253&gt;Input!$C$9,Summary!$D$31&lt;&gt;"Included Margin"),0,1),0))</f>
        <v/>
      </c>
      <c r="AA1253" s="147" t="str">
        <f>IF($E1253="","",VLOOKUP($D1253,'Mortality Margins &amp; Grading'!$AB$5:$AF$125,5,0)*IF(Summary!$D$25="Included Margin",IF(AND($B1253&gt;Input!$C$9,Summary!$D$31&lt;&gt;"Included Margin"),0,1),0))</f>
        <v/>
      </c>
      <c r="AB1253" s="147" t="str">
        <f>IF($E1253="","",IF(AND($B1253&gt;Input!$C$9,Summary!$D$31&lt;&gt;"Included Margin"),1,IF(Summary!$D$25="Included Margin",VLOOKUP($B1253,'Mortality Margins &amp; Grading'!$AI$5:$AR$125,MATCH('Mortality Margins &amp; Grading'!$AQ$4,'Mortality Margins &amp; Grading'!$AI$4:$AR$4,0),0),1)))</f>
        <v/>
      </c>
      <c r="AC1253" s="154"/>
      <c r="AD1253" s="158" t="str">
        <f>IF(E1253="","",Input!$C$48*IF(Summary!$D$30="Included Margin",IF(AND($B1253&gt;Input!$C$9,Summary!$D$31&lt;&gt;"Included Margin"),0,1),0))</f>
        <v/>
      </c>
      <c r="AE1253" s="159" t="str">
        <f>IF(E1253="","",IF(Summary!$D$26="Included Margin",IF(AND($B1253&gt;Input!$C$9,Summary!$D$31&lt;&gt;"Included Margin"),1,1/$R1253),1))</f>
        <v/>
      </c>
      <c r="AF1253" s="160" t="str">
        <f>IF(E1253="","",IF(AND($B1253&gt;=Input!$C$9,$C1253=12,Summary!$D$31="Included Margin",$U1253&gt;0),1/U1253-1,IF($B1253&gt;=Input!$C$9,0,Input!$C$45*IF(Summary!$D$27="Included Margin",1,0))))</f>
        <v/>
      </c>
      <c r="AG1253" s="160" t="str">
        <f>IF(E1253="","",Input!$C$46*IF(Summary!$D$28="Included Margin",IF(AND($B1253&gt;Input!$C$9,Summary!$D$31&lt;&gt;"Included Margin"),0,1),0))</f>
        <v/>
      </c>
      <c r="AH1253" s="158" t="str">
        <f>IF(E1253="","",Input!$C$47*IF(Summary!$D$29="Included Margin",IF(AND($B1253&gt;Input!$C$9,Summary!$D$31&lt;&gt;"Included Margin"),0,1),0))</f>
        <v/>
      </c>
      <c r="AI1253" s="154"/>
      <c r="AJ1253" s="158" t="str">
        <f t="shared" si="809"/>
        <v/>
      </c>
      <c r="AK1253" s="150" t="str">
        <f t="shared" si="810"/>
        <v/>
      </c>
      <c r="AL1253" s="147" t="str">
        <f t="shared" si="811"/>
        <v/>
      </c>
      <c r="AM1253" s="147" t="str">
        <f t="shared" si="799"/>
        <v/>
      </c>
      <c r="AN1253" s="160" t="str">
        <f t="shared" si="812"/>
        <v/>
      </c>
      <c r="AO1253" s="161" t="str">
        <f t="shared" si="813"/>
        <v/>
      </c>
      <c r="AP1253" s="156" t="str">
        <f t="shared" si="800"/>
        <v/>
      </c>
      <c r="AQ1253" s="152"/>
      <c r="AR1253" s="162" t="str">
        <f t="shared" si="801"/>
        <v/>
      </c>
      <c r="AS1253" s="150" t="str">
        <f t="shared" si="814"/>
        <v/>
      </c>
      <c r="AT1253" s="163" t="str">
        <f t="shared" si="802"/>
        <v/>
      </c>
      <c r="AU1253" s="163" t="str">
        <f t="shared" si="803"/>
        <v/>
      </c>
      <c r="AV1253" s="163" t="str">
        <f t="shared" si="815"/>
        <v/>
      </c>
      <c r="AW1253" s="163" t="str">
        <f t="shared" si="804"/>
        <v/>
      </c>
      <c r="AX1253" s="163" t="str">
        <f t="shared" si="805"/>
        <v/>
      </c>
      <c r="AY1253" s="150" t="str">
        <f t="shared" si="816"/>
        <v/>
      </c>
      <c r="AZ1253" s="150" t="str">
        <f>IF($E1253="","",IF(OR(AND($D1253=Input!$C$6,$C1253=12),$AN1253=1),0,-AS1254+AT1254+AU1254-AV1254-AW1254-AX1254+AZ1254))</f>
        <v/>
      </c>
      <c r="BA1253" s="154" t="str">
        <f t="shared" si="806"/>
        <v/>
      </c>
      <c r="BC1253" s="147" t="str">
        <f t="shared" si="817"/>
        <v/>
      </c>
      <c r="BD1253" s="164" t="str">
        <f>IF(AND($C1252=12,$D1252=Input!$C$6),0,IF($E1253="","",AT1253+(AU1253+BD1254)/(1+$AK1253)*MIN((1-AM1253-AN1253),1)))</f>
        <v/>
      </c>
      <c r="BH1253" s="152"/>
      <c r="BI1253" s="162" t="str">
        <f t="shared" si="825"/>
        <v/>
      </c>
      <c r="BJ1253" s="150" t="str">
        <f t="shared" si="826"/>
        <v/>
      </c>
      <c r="BK1253" s="163" t="str">
        <f t="shared" si="822"/>
        <v/>
      </c>
      <c r="BL1253" s="163" t="str">
        <f t="shared" si="827"/>
        <v/>
      </c>
      <c r="BM1253" s="163" t="str">
        <f t="shared" si="823"/>
        <v/>
      </c>
      <c r="BN1253" s="163" t="str">
        <f t="shared" si="828"/>
        <v/>
      </c>
      <c r="BO1253" s="163" t="str">
        <f t="shared" si="829"/>
        <v/>
      </c>
      <c r="BP1253" s="150" t="str">
        <f t="shared" si="824"/>
        <v/>
      </c>
      <c r="BQ1253" s="150" t="str">
        <f t="shared" si="818"/>
        <v/>
      </c>
      <c r="BR1253" s="154" t="str">
        <f t="shared" si="830"/>
        <v/>
      </c>
      <c r="BT1253" s="147"/>
    </row>
    <row r="1254" spans="1:72" s="150" customFormat="1" x14ac:dyDescent="0.25">
      <c r="A1254" s="150" t="str">
        <f t="shared" si="819"/>
        <v/>
      </c>
      <c r="B1254" s="150" t="str">
        <f t="shared" si="820"/>
        <v/>
      </c>
      <c r="C1254" s="150" t="str">
        <f t="shared" si="821"/>
        <v/>
      </c>
      <c r="D1254" s="150" t="str">
        <f>IF(E1254="","",Input!$C$4+B1254-1)</f>
        <v/>
      </c>
      <c r="E1254" s="150" t="str">
        <f>IF(OR(AND(C1253=12,D1253=Input!$C$6),E1253=""),"",1)</f>
        <v/>
      </c>
      <c r="G1254" s="151" t="str">
        <f>IF(E1254="","",MAX(0,Input!$C$9-B1254))</f>
        <v/>
      </c>
      <c r="H1254" s="152" t="str">
        <f>IF(E1254="","",Input!$C$3)</f>
        <v/>
      </c>
      <c r="I1254" s="153" t="str">
        <f>IF(E1254="","",HLOOKUP($B1254,Input!$C$13:$BT$14,2))</f>
        <v/>
      </c>
      <c r="J1254" s="154"/>
      <c r="K1254" s="150" t="str">
        <f>IF($E1254="","",INDEX(Input!$C$16:$CP$16,1,$B1254))</f>
        <v/>
      </c>
      <c r="L1254" s="150" t="str">
        <f>IF($E1254="","",Input!$C$37)</f>
        <v/>
      </c>
      <c r="M1254" s="150" t="str">
        <f t="shared" si="807"/>
        <v/>
      </c>
      <c r="N1254" s="150" t="str">
        <f t="shared" si="808"/>
        <v/>
      </c>
      <c r="O1254" s="147" t="str">
        <f>IF($E1254="","",MIN(VLOOKUP(IF($B1254&lt;=Input!$C$7,$B1254,26),'Mortality Tables'!$A$41:$CW$67,IF($B1254&lt;=Input!$C$7+1,Input!$C$4+2,$D1254-Input!$C$7+2),0)*IF(B1254&gt;20,Input!$C$22,1)/1000,1))</f>
        <v/>
      </c>
      <c r="P1254" s="147" t="str">
        <f>IF($E1254="","",MIN(VLOOKUP(IF($B1254&lt;=Input!$C$7,$B1254,26),'Mortality Tables'!$A$12:$CW$37,IF($B1254&lt;=Input!$C$7+1,Input!$C$4+2,$D1254-Input!$C$7+2),0)*IF(B1254&gt;20,Input!$C$22,1)/1000,1))</f>
        <v/>
      </c>
      <c r="Q1254" s="155" t="str">
        <f>IF($E1254="","",Input!$C$21)</f>
        <v/>
      </c>
      <c r="R1254" s="159" t="str">
        <f>IF($E1254="","",(1-Q1254)^($F1254-Input!$C$20))</f>
        <v/>
      </c>
      <c r="S1254" s="147" t="str">
        <f t="shared" si="796"/>
        <v/>
      </c>
      <c r="T1254" s="147" t="str">
        <f t="shared" si="797"/>
        <v/>
      </c>
      <c r="U1254" s="160" t="str">
        <f>IF($E1254="","",IF($C1254=12,INDEX(Input!$C$15:$CP$15,1,$B1254),0))</f>
        <v/>
      </c>
      <c r="V1254" s="150" t="str">
        <f>IF(E1254="","",IF(C1254=1,IF($B1254=1,Input!$C$33,Input!$C$34),0))</f>
        <v/>
      </c>
      <c r="W1254" s="156" t="str">
        <f>IF($E1254="","",Input!$C$35)</f>
        <v/>
      </c>
      <c r="X1254" s="156" t="str">
        <f t="shared" si="798"/>
        <v/>
      </c>
      <c r="Y1254" s="154"/>
      <c r="Z1254" s="147" t="str">
        <f>IF($E1254="","",VLOOKUP($D1254,'Mortality Margins &amp; Grading'!$AB$5:$AF$125,3,0)*IF(Summary!$D$25="Included Margin",IF(AND($B1254&gt;Input!$C$9,Summary!$D$31&lt;&gt;"Included Margin"),0,1),0))</f>
        <v/>
      </c>
      <c r="AA1254" s="147" t="str">
        <f>IF($E1254="","",VLOOKUP($D1254,'Mortality Margins &amp; Grading'!$AB$5:$AF$125,5,0)*IF(Summary!$D$25="Included Margin",IF(AND($B1254&gt;Input!$C$9,Summary!$D$31&lt;&gt;"Included Margin"),0,1),0))</f>
        <v/>
      </c>
      <c r="AB1254" s="147" t="str">
        <f>IF($E1254="","",IF(AND($B1254&gt;Input!$C$9,Summary!$D$31&lt;&gt;"Included Margin"),1,IF(Summary!$D$25="Included Margin",VLOOKUP($B1254,'Mortality Margins &amp; Grading'!$AI$5:$AR$125,MATCH('Mortality Margins &amp; Grading'!$AQ$4,'Mortality Margins &amp; Grading'!$AI$4:$AR$4,0),0),1)))</f>
        <v/>
      </c>
      <c r="AC1254" s="154"/>
      <c r="AD1254" s="158" t="str">
        <f>IF(E1254="","",Input!$C$48*IF(Summary!$D$30="Included Margin",IF(AND($B1254&gt;Input!$C$9,Summary!$D$31&lt;&gt;"Included Margin"),0,1),0))</f>
        <v/>
      </c>
      <c r="AE1254" s="159" t="str">
        <f>IF(E1254="","",IF(Summary!$D$26="Included Margin",IF(AND($B1254&gt;Input!$C$9,Summary!$D$31&lt;&gt;"Included Margin"),1,1/$R1254),1))</f>
        <v/>
      </c>
      <c r="AF1254" s="160" t="str">
        <f>IF(E1254="","",IF(AND($B1254&gt;=Input!$C$9,$C1254=12,Summary!$D$31="Included Margin",$U1254&gt;0),1/U1254-1,IF($B1254&gt;=Input!$C$9,0,Input!$C$45*IF(Summary!$D$27="Included Margin",1,0))))</f>
        <v/>
      </c>
      <c r="AG1254" s="160" t="str">
        <f>IF(E1254="","",Input!$C$46*IF(Summary!$D$28="Included Margin",IF(AND($B1254&gt;Input!$C$9,Summary!$D$31&lt;&gt;"Included Margin"),0,1),0))</f>
        <v/>
      </c>
      <c r="AH1254" s="158" t="str">
        <f>IF(E1254="","",Input!$C$47*IF(Summary!$D$29="Included Margin",IF(AND($B1254&gt;Input!$C$9,Summary!$D$31&lt;&gt;"Included Margin"),0,1),0))</f>
        <v/>
      </c>
      <c r="AI1254" s="154"/>
      <c r="AJ1254" s="158" t="str">
        <f t="shared" si="809"/>
        <v/>
      </c>
      <c r="AK1254" s="150" t="str">
        <f t="shared" si="810"/>
        <v/>
      </c>
      <c r="AL1254" s="147" t="str">
        <f t="shared" si="811"/>
        <v/>
      </c>
      <c r="AM1254" s="147" t="str">
        <f t="shared" si="799"/>
        <v/>
      </c>
      <c r="AN1254" s="160" t="str">
        <f t="shared" si="812"/>
        <v/>
      </c>
      <c r="AO1254" s="161" t="str">
        <f t="shared" si="813"/>
        <v/>
      </c>
      <c r="AP1254" s="156" t="str">
        <f t="shared" si="800"/>
        <v/>
      </c>
      <c r="AQ1254" s="152"/>
      <c r="AR1254" s="162" t="str">
        <f t="shared" si="801"/>
        <v/>
      </c>
      <c r="AS1254" s="150" t="str">
        <f t="shared" si="814"/>
        <v/>
      </c>
      <c r="AT1254" s="163" t="str">
        <f t="shared" si="802"/>
        <v/>
      </c>
      <c r="AU1254" s="163" t="str">
        <f t="shared" si="803"/>
        <v/>
      </c>
      <c r="AV1254" s="163" t="str">
        <f t="shared" si="815"/>
        <v/>
      </c>
      <c r="AW1254" s="163" t="str">
        <f t="shared" si="804"/>
        <v/>
      </c>
      <c r="AX1254" s="163" t="str">
        <f t="shared" si="805"/>
        <v/>
      </c>
      <c r="AY1254" s="150" t="str">
        <f t="shared" si="816"/>
        <v/>
      </c>
      <c r="AZ1254" s="150" t="str">
        <f>IF($E1254="","",IF(OR(AND($D1254=Input!$C$6,$C1254=12),$AN1254=1),0,-AS1255+AT1255+AU1255-AV1255-AW1255-AX1255+AZ1255))</f>
        <v/>
      </c>
      <c r="BA1254" s="154" t="str">
        <f t="shared" si="806"/>
        <v/>
      </c>
      <c r="BC1254" s="147" t="str">
        <f t="shared" si="817"/>
        <v/>
      </c>
      <c r="BD1254" s="164" t="str">
        <f>IF(AND($C1253=12,$D1253=Input!$C$6),0,IF($E1254="","",AT1254+(AU1254+BD1255)/(1+$AK1254)*MIN((1-AM1254-AN1254),1)))</f>
        <v/>
      </c>
      <c r="BH1254" s="152"/>
      <c r="BI1254" s="162" t="str">
        <f t="shared" si="825"/>
        <v/>
      </c>
      <c r="BJ1254" s="150" t="str">
        <f t="shared" si="826"/>
        <v/>
      </c>
      <c r="BK1254" s="163" t="str">
        <f t="shared" si="822"/>
        <v/>
      </c>
      <c r="BL1254" s="163" t="str">
        <f t="shared" si="827"/>
        <v/>
      </c>
      <c r="BM1254" s="163" t="str">
        <f t="shared" si="823"/>
        <v/>
      </c>
      <c r="BN1254" s="163" t="str">
        <f t="shared" si="828"/>
        <v/>
      </c>
      <c r="BO1254" s="163" t="str">
        <f t="shared" si="829"/>
        <v/>
      </c>
      <c r="BP1254" s="150" t="str">
        <f t="shared" si="824"/>
        <v/>
      </c>
      <c r="BQ1254" s="150" t="str">
        <f t="shared" si="818"/>
        <v/>
      </c>
      <c r="BR1254" s="154" t="str">
        <f t="shared" si="830"/>
        <v/>
      </c>
      <c r="BT1254" s="147"/>
    </row>
    <row r="1255" spans="1:72" s="150" customFormat="1" x14ac:dyDescent="0.25">
      <c r="A1255" s="150" t="str">
        <f t="shared" si="819"/>
        <v/>
      </c>
      <c r="B1255" s="150" t="str">
        <f t="shared" si="820"/>
        <v/>
      </c>
      <c r="C1255" s="150" t="str">
        <f t="shared" si="821"/>
        <v/>
      </c>
      <c r="D1255" s="150" t="str">
        <f>IF(E1255="","",Input!$C$4+B1255-1)</f>
        <v/>
      </c>
      <c r="E1255" s="150" t="str">
        <f>IF(OR(AND(C1254=12,D1254=Input!$C$6),E1254=""),"",1)</f>
        <v/>
      </c>
      <c r="G1255" s="151" t="str">
        <f>IF(E1255="","",MAX(0,Input!$C$9-B1255))</f>
        <v/>
      </c>
      <c r="H1255" s="152" t="str">
        <f>IF(E1255="","",Input!$C$3)</f>
        <v/>
      </c>
      <c r="I1255" s="153" t="str">
        <f>IF(E1255="","",HLOOKUP($B1255,Input!$C$13:$BT$14,2))</f>
        <v/>
      </c>
      <c r="J1255" s="154"/>
      <c r="K1255" s="150" t="str">
        <f>IF($E1255="","",INDEX(Input!$C$16:$CP$16,1,$B1255))</f>
        <v/>
      </c>
      <c r="L1255" s="150" t="str">
        <f>IF($E1255="","",Input!$C$37)</f>
        <v/>
      </c>
      <c r="M1255" s="150" t="str">
        <f t="shared" si="807"/>
        <v/>
      </c>
      <c r="N1255" s="150" t="str">
        <f t="shared" si="808"/>
        <v/>
      </c>
      <c r="O1255" s="147" t="str">
        <f>IF($E1255="","",MIN(VLOOKUP(IF($B1255&lt;=Input!$C$7,$B1255,26),'Mortality Tables'!$A$41:$CW$67,IF($B1255&lt;=Input!$C$7+1,Input!$C$4+2,$D1255-Input!$C$7+2),0)*IF(B1255&gt;20,Input!$C$22,1)/1000,1))</f>
        <v/>
      </c>
      <c r="P1255" s="147" t="str">
        <f>IF($E1255="","",MIN(VLOOKUP(IF($B1255&lt;=Input!$C$7,$B1255,26),'Mortality Tables'!$A$12:$CW$37,IF($B1255&lt;=Input!$C$7+1,Input!$C$4+2,$D1255-Input!$C$7+2),0)*IF(B1255&gt;20,Input!$C$22,1)/1000,1))</f>
        <v/>
      </c>
      <c r="Q1255" s="155" t="str">
        <f>IF($E1255="","",Input!$C$21)</f>
        <v/>
      </c>
      <c r="R1255" s="159" t="str">
        <f>IF($E1255="","",(1-Q1255)^($F1255-Input!$C$20))</f>
        <v/>
      </c>
      <c r="S1255" s="147" t="str">
        <f t="shared" si="796"/>
        <v/>
      </c>
      <c r="T1255" s="147" t="str">
        <f t="shared" si="797"/>
        <v/>
      </c>
      <c r="U1255" s="160" t="str">
        <f>IF($E1255="","",IF($C1255=12,INDEX(Input!$C$15:$CP$15,1,$B1255),0))</f>
        <v/>
      </c>
      <c r="V1255" s="150" t="str">
        <f>IF(E1255="","",IF(C1255=1,IF($B1255=1,Input!$C$33,Input!$C$34),0))</f>
        <v/>
      </c>
      <c r="W1255" s="156" t="str">
        <f>IF($E1255="","",Input!$C$35)</f>
        <v/>
      </c>
      <c r="X1255" s="156" t="str">
        <f t="shared" si="798"/>
        <v/>
      </c>
      <c r="Y1255" s="154"/>
      <c r="Z1255" s="147" t="str">
        <f>IF($E1255="","",VLOOKUP($D1255,'Mortality Margins &amp; Grading'!$AB$5:$AF$125,3,0)*IF(Summary!$D$25="Included Margin",IF(AND($B1255&gt;Input!$C$9,Summary!$D$31&lt;&gt;"Included Margin"),0,1),0))</f>
        <v/>
      </c>
      <c r="AA1255" s="147" t="str">
        <f>IF($E1255="","",VLOOKUP($D1255,'Mortality Margins &amp; Grading'!$AB$5:$AF$125,5,0)*IF(Summary!$D$25="Included Margin",IF(AND($B1255&gt;Input!$C$9,Summary!$D$31&lt;&gt;"Included Margin"),0,1),0))</f>
        <v/>
      </c>
      <c r="AB1255" s="147" t="str">
        <f>IF($E1255="","",IF(AND($B1255&gt;Input!$C$9,Summary!$D$31&lt;&gt;"Included Margin"),1,IF(Summary!$D$25="Included Margin",VLOOKUP($B1255,'Mortality Margins &amp; Grading'!$AI$5:$AR$125,MATCH('Mortality Margins &amp; Grading'!$AQ$4,'Mortality Margins &amp; Grading'!$AI$4:$AR$4,0),0),1)))</f>
        <v/>
      </c>
      <c r="AC1255" s="154"/>
      <c r="AD1255" s="158" t="str">
        <f>IF(E1255="","",Input!$C$48*IF(Summary!$D$30="Included Margin",IF(AND($B1255&gt;Input!$C$9,Summary!$D$31&lt;&gt;"Included Margin"),0,1),0))</f>
        <v/>
      </c>
      <c r="AE1255" s="159" t="str">
        <f>IF(E1255="","",IF(Summary!$D$26="Included Margin",IF(AND($B1255&gt;Input!$C$9,Summary!$D$31&lt;&gt;"Included Margin"),1,1/$R1255),1))</f>
        <v/>
      </c>
      <c r="AF1255" s="160" t="str">
        <f>IF(E1255="","",IF(AND($B1255&gt;=Input!$C$9,$C1255=12,Summary!$D$31="Included Margin",$U1255&gt;0),1/U1255-1,IF($B1255&gt;=Input!$C$9,0,Input!$C$45*IF(Summary!$D$27="Included Margin",1,0))))</f>
        <v/>
      </c>
      <c r="AG1255" s="160" t="str">
        <f>IF(E1255="","",Input!$C$46*IF(Summary!$D$28="Included Margin",IF(AND($B1255&gt;Input!$C$9,Summary!$D$31&lt;&gt;"Included Margin"),0,1),0))</f>
        <v/>
      </c>
      <c r="AH1255" s="158" t="str">
        <f>IF(E1255="","",Input!$C$47*IF(Summary!$D$29="Included Margin",IF(AND($B1255&gt;Input!$C$9,Summary!$D$31&lt;&gt;"Included Margin"),0,1),0))</f>
        <v/>
      </c>
      <c r="AI1255" s="154"/>
      <c r="AJ1255" s="158" t="str">
        <f t="shared" si="809"/>
        <v/>
      </c>
      <c r="AK1255" s="150" t="str">
        <f t="shared" si="810"/>
        <v/>
      </c>
      <c r="AL1255" s="147" t="str">
        <f t="shared" si="811"/>
        <v/>
      </c>
      <c r="AM1255" s="147" t="str">
        <f t="shared" si="799"/>
        <v/>
      </c>
      <c r="AN1255" s="160" t="str">
        <f t="shared" si="812"/>
        <v/>
      </c>
      <c r="AO1255" s="161" t="str">
        <f t="shared" si="813"/>
        <v/>
      </c>
      <c r="AP1255" s="156" t="str">
        <f t="shared" si="800"/>
        <v/>
      </c>
      <c r="AQ1255" s="152"/>
      <c r="AR1255" s="162" t="str">
        <f t="shared" si="801"/>
        <v/>
      </c>
      <c r="AS1255" s="150" t="str">
        <f t="shared" si="814"/>
        <v/>
      </c>
      <c r="AT1255" s="163" t="str">
        <f t="shared" si="802"/>
        <v/>
      </c>
      <c r="AU1255" s="163" t="str">
        <f t="shared" si="803"/>
        <v/>
      </c>
      <c r="AV1255" s="163" t="str">
        <f t="shared" si="815"/>
        <v/>
      </c>
      <c r="AW1255" s="163" t="str">
        <f t="shared" si="804"/>
        <v/>
      </c>
      <c r="AX1255" s="163" t="str">
        <f t="shared" si="805"/>
        <v/>
      </c>
      <c r="AY1255" s="150" t="str">
        <f t="shared" si="816"/>
        <v/>
      </c>
      <c r="AZ1255" s="150" t="str">
        <f>IF($E1255="","",IF(OR(AND($D1255=Input!$C$6,$C1255=12),$AN1255=1),0,-AS1256+AT1256+AU1256-AV1256-AW1256-AX1256+AZ1256))</f>
        <v/>
      </c>
      <c r="BA1255" s="154" t="str">
        <f t="shared" si="806"/>
        <v/>
      </c>
      <c r="BC1255" s="147" t="str">
        <f t="shared" si="817"/>
        <v/>
      </c>
      <c r="BD1255" s="164" t="str">
        <f>IF(AND($C1254=12,$D1254=Input!$C$6),0,IF($E1255="","",AT1255+(AU1255+BD1256)/(1+$AK1255)*MIN((1-AM1255-AN1255),1)))</f>
        <v/>
      </c>
      <c r="BH1255" s="152"/>
      <c r="BI1255" s="162" t="str">
        <f t="shared" si="825"/>
        <v/>
      </c>
      <c r="BJ1255" s="150" t="str">
        <f t="shared" si="826"/>
        <v/>
      </c>
      <c r="BK1255" s="163" t="str">
        <f t="shared" si="822"/>
        <v/>
      </c>
      <c r="BL1255" s="163" t="str">
        <f t="shared" si="827"/>
        <v/>
      </c>
      <c r="BM1255" s="163" t="str">
        <f t="shared" si="823"/>
        <v/>
      </c>
      <c r="BN1255" s="163" t="str">
        <f t="shared" si="828"/>
        <v/>
      </c>
      <c r="BO1255" s="163" t="str">
        <f t="shared" si="829"/>
        <v/>
      </c>
      <c r="BP1255" s="150" t="str">
        <f t="shared" si="824"/>
        <v/>
      </c>
      <c r="BQ1255" s="150" t="str">
        <f t="shared" si="818"/>
        <v/>
      </c>
      <c r="BR1255" s="154" t="str">
        <f t="shared" si="830"/>
        <v/>
      </c>
      <c r="BT1255" s="147"/>
    </row>
    <row r="1256" spans="1:72" s="150" customFormat="1" x14ac:dyDescent="0.25">
      <c r="A1256" s="150" t="str">
        <f t="shared" si="819"/>
        <v/>
      </c>
      <c r="B1256" s="150" t="str">
        <f t="shared" si="820"/>
        <v/>
      </c>
      <c r="C1256" s="150" t="str">
        <f t="shared" si="821"/>
        <v/>
      </c>
      <c r="D1256" s="150" t="str">
        <f>IF(E1256="","",Input!$C$4+B1256-1)</f>
        <v/>
      </c>
      <c r="E1256" s="150" t="str">
        <f>IF(OR(AND(C1255=12,D1255=Input!$C$6),E1255=""),"",1)</f>
        <v/>
      </c>
      <c r="G1256" s="151" t="str">
        <f>IF(E1256="","",MAX(0,Input!$C$9-B1256))</f>
        <v/>
      </c>
      <c r="H1256" s="152" t="str">
        <f>IF(E1256="","",Input!$C$3)</f>
        <v/>
      </c>
      <c r="I1256" s="153" t="str">
        <f>IF(E1256="","",HLOOKUP($B1256,Input!$C$13:$BT$14,2))</f>
        <v/>
      </c>
      <c r="J1256" s="154"/>
      <c r="K1256" s="150" t="str">
        <f>IF($E1256="","",INDEX(Input!$C$16:$CP$16,1,$B1256))</f>
        <v/>
      </c>
      <c r="L1256" s="150" t="str">
        <f>IF($E1256="","",Input!$C$37)</f>
        <v/>
      </c>
      <c r="M1256" s="150" t="str">
        <f t="shared" si="807"/>
        <v/>
      </c>
      <c r="N1256" s="150" t="str">
        <f t="shared" si="808"/>
        <v/>
      </c>
      <c r="O1256" s="147" t="str">
        <f>IF($E1256="","",MIN(VLOOKUP(IF($B1256&lt;=Input!$C$7,$B1256,26),'Mortality Tables'!$A$41:$CW$67,IF($B1256&lt;=Input!$C$7+1,Input!$C$4+2,$D1256-Input!$C$7+2),0)*IF(B1256&gt;20,Input!$C$22,1)/1000,1))</f>
        <v/>
      </c>
      <c r="P1256" s="147" t="str">
        <f>IF($E1256="","",MIN(VLOOKUP(IF($B1256&lt;=Input!$C$7,$B1256,26),'Mortality Tables'!$A$12:$CW$37,IF($B1256&lt;=Input!$C$7+1,Input!$C$4+2,$D1256-Input!$C$7+2),0)*IF(B1256&gt;20,Input!$C$22,1)/1000,1))</f>
        <v/>
      </c>
      <c r="Q1256" s="155" t="str">
        <f>IF($E1256="","",Input!$C$21)</f>
        <v/>
      </c>
      <c r="R1256" s="159" t="str">
        <f>IF($E1256="","",(1-Q1256)^($F1256-Input!$C$20))</f>
        <v/>
      </c>
      <c r="S1256" s="147" t="str">
        <f t="shared" si="796"/>
        <v/>
      </c>
      <c r="T1256" s="147" t="str">
        <f t="shared" si="797"/>
        <v/>
      </c>
      <c r="U1256" s="160" t="str">
        <f>IF($E1256="","",IF($C1256=12,INDEX(Input!$C$15:$CP$15,1,$B1256),0))</f>
        <v/>
      </c>
      <c r="V1256" s="150" t="str">
        <f>IF(E1256="","",IF(C1256=1,IF($B1256=1,Input!$C$33,Input!$C$34),0))</f>
        <v/>
      </c>
      <c r="W1256" s="156" t="str">
        <f>IF($E1256="","",Input!$C$35)</f>
        <v/>
      </c>
      <c r="X1256" s="156" t="str">
        <f t="shared" si="798"/>
        <v/>
      </c>
      <c r="Y1256" s="154"/>
      <c r="Z1256" s="147" t="str">
        <f>IF($E1256="","",VLOOKUP($D1256,'Mortality Margins &amp; Grading'!$AB$5:$AF$125,3,0)*IF(Summary!$D$25="Included Margin",IF(AND($B1256&gt;Input!$C$9,Summary!$D$31&lt;&gt;"Included Margin"),0,1),0))</f>
        <v/>
      </c>
      <c r="AA1256" s="147" t="str">
        <f>IF($E1256="","",VLOOKUP($D1256,'Mortality Margins &amp; Grading'!$AB$5:$AF$125,5,0)*IF(Summary!$D$25="Included Margin",IF(AND($B1256&gt;Input!$C$9,Summary!$D$31&lt;&gt;"Included Margin"),0,1),0))</f>
        <v/>
      </c>
      <c r="AB1256" s="147" t="str">
        <f>IF($E1256="","",IF(AND($B1256&gt;Input!$C$9,Summary!$D$31&lt;&gt;"Included Margin"),1,IF(Summary!$D$25="Included Margin",VLOOKUP($B1256,'Mortality Margins &amp; Grading'!$AI$5:$AR$125,MATCH('Mortality Margins &amp; Grading'!$AQ$4,'Mortality Margins &amp; Grading'!$AI$4:$AR$4,0),0),1)))</f>
        <v/>
      </c>
      <c r="AC1256" s="154"/>
      <c r="AD1256" s="158" t="str">
        <f>IF(E1256="","",Input!$C$48*IF(Summary!$D$30="Included Margin",IF(AND($B1256&gt;Input!$C$9,Summary!$D$31&lt;&gt;"Included Margin"),0,1),0))</f>
        <v/>
      </c>
      <c r="AE1256" s="159" t="str">
        <f>IF(E1256="","",IF(Summary!$D$26="Included Margin",IF(AND($B1256&gt;Input!$C$9,Summary!$D$31&lt;&gt;"Included Margin"),1,1/$R1256),1))</f>
        <v/>
      </c>
      <c r="AF1256" s="160" t="str">
        <f>IF(E1256="","",IF(AND($B1256&gt;=Input!$C$9,$C1256=12,Summary!$D$31="Included Margin",$U1256&gt;0),1/U1256-1,IF($B1256&gt;=Input!$C$9,0,Input!$C$45*IF(Summary!$D$27="Included Margin",1,0))))</f>
        <v/>
      </c>
      <c r="AG1256" s="160" t="str">
        <f>IF(E1256="","",Input!$C$46*IF(Summary!$D$28="Included Margin",IF(AND($B1256&gt;Input!$C$9,Summary!$D$31&lt;&gt;"Included Margin"),0,1),0))</f>
        <v/>
      </c>
      <c r="AH1256" s="158" t="str">
        <f>IF(E1256="","",Input!$C$47*IF(Summary!$D$29="Included Margin",IF(AND($B1256&gt;Input!$C$9,Summary!$D$31&lt;&gt;"Included Margin"),0,1),0))</f>
        <v/>
      </c>
      <c r="AI1256" s="154"/>
      <c r="AJ1256" s="158" t="str">
        <f t="shared" si="809"/>
        <v/>
      </c>
      <c r="AK1256" s="150" t="str">
        <f t="shared" si="810"/>
        <v/>
      </c>
      <c r="AL1256" s="147" t="str">
        <f t="shared" si="811"/>
        <v/>
      </c>
      <c r="AM1256" s="147" t="str">
        <f t="shared" si="799"/>
        <v/>
      </c>
      <c r="AN1256" s="160" t="str">
        <f t="shared" si="812"/>
        <v/>
      </c>
      <c r="AO1256" s="161" t="str">
        <f t="shared" si="813"/>
        <v/>
      </c>
      <c r="AP1256" s="156" t="str">
        <f t="shared" si="800"/>
        <v/>
      </c>
      <c r="AQ1256" s="152"/>
      <c r="AR1256" s="162" t="str">
        <f t="shared" si="801"/>
        <v/>
      </c>
      <c r="AS1256" s="150" t="str">
        <f t="shared" si="814"/>
        <v/>
      </c>
      <c r="AT1256" s="163" t="str">
        <f t="shared" si="802"/>
        <v/>
      </c>
      <c r="AU1256" s="163" t="str">
        <f t="shared" si="803"/>
        <v/>
      </c>
      <c r="AV1256" s="163" t="str">
        <f t="shared" si="815"/>
        <v/>
      </c>
      <c r="AW1256" s="163" t="str">
        <f t="shared" si="804"/>
        <v/>
      </c>
      <c r="AX1256" s="163" t="str">
        <f t="shared" si="805"/>
        <v/>
      </c>
      <c r="AY1256" s="150" t="str">
        <f t="shared" si="816"/>
        <v/>
      </c>
      <c r="AZ1256" s="150" t="str">
        <f>IF($E1256="","",IF(OR(AND($D1256=Input!$C$6,$C1256=12),$AN1256=1),0,-AS1257+AT1257+AU1257-AV1257-AW1257-AX1257+AZ1257))</f>
        <v/>
      </c>
      <c r="BA1256" s="154" t="str">
        <f t="shared" si="806"/>
        <v/>
      </c>
      <c r="BC1256" s="147" t="str">
        <f t="shared" si="817"/>
        <v/>
      </c>
      <c r="BD1256" s="164" t="str">
        <f>IF(AND($C1255=12,$D1255=Input!$C$6),0,IF($E1256="","",AT1256+(AU1256+BD1257)/(1+$AK1256)*MIN((1-AM1256-AN1256),1)))</f>
        <v/>
      </c>
      <c r="BH1256" s="152"/>
      <c r="BI1256" s="162" t="str">
        <f t="shared" si="825"/>
        <v/>
      </c>
      <c r="BJ1256" s="150" t="str">
        <f t="shared" si="826"/>
        <v/>
      </c>
      <c r="BK1256" s="163" t="str">
        <f t="shared" si="822"/>
        <v/>
      </c>
      <c r="BL1256" s="163" t="str">
        <f t="shared" si="827"/>
        <v/>
      </c>
      <c r="BM1256" s="163" t="str">
        <f t="shared" si="823"/>
        <v/>
      </c>
      <c r="BN1256" s="163" t="str">
        <f t="shared" si="828"/>
        <v/>
      </c>
      <c r="BO1256" s="163" t="str">
        <f t="shared" si="829"/>
        <v/>
      </c>
      <c r="BP1256" s="150" t="str">
        <f t="shared" si="824"/>
        <v/>
      </c>
      <c r="BQ1256" s="150" t="str">
        <f t="shared" si="818"/>
        <v/>
      </c>
      <c r="BR1256" s="154" t="str">
        <f t="shared" si="830"/>
        <v/>
      </c>
      <c r="BT1256" s="147"/>
    </row>
    <row r="1257" spans="1:72" s="150" customFormat="1" x14ac:dyDescent="0.25">
      <c r="A1257" s="150" t="str">
        <f t="shared" si="819"/>
        <v/>
      </c>
      <c r="B1257" s="150" t="str">
        <f t="shared" si="820"/>
        <v/>
      </c>
      <c r="C1257" s="150" t="str">
        <f t="shared" si="821"/>
        <v/>
      </c>
      <c r="D1257" s="150" t="str">
        <f>IF(E1257="","",Input!$C$4+B1257-1)</f>
        <v/>
      </c>
      <c r="E1257" s="150" t="str">
        <f>IF(OR(AND(C1256=12,D1256=Input!$C$6),E1256=""),"",1)</f>
        <v/>
      </c>
      <c r="G1257" s="151" t="str">
        <f>IF(E1257="","",MAX(0,Input!$C$9-B1257))</f>
        <v/>
      </c>
      <c r="H1257" s="152" t="str">
        <f>IF(E1257="","",Input!$C$3)</f>
        <v/>
      </c>
      <c r="I1257" s="153" t="str">
        <f>IF(E1257="","",HLOOKUP($B1257,Input!$C$13:$BT$14,2))</f>
        <v/>
      </c>
      <c r="J1257" s="154"/>
      <c r="K1257" s="150" t="str">
        <f>IF($E1257="","",INDEX(Input!$C$16:$CP$16,1,$B1257))</f>
        <v/>
      </c>
      <c r="L1257" s="150" t="str">
        <f>IF($E1257="","",Input!$C$37)</f>
        <v/>
      </c>
      <c r="M1257" s="150" t="str">
        <f t="shared" si="807"/>
        <v/>
      </c>
      <c r="N1257" s="150" t="str">
        <f t="shared" si="808"/>
        <v/>
      </c>
      <c r="O1257" s="147" t="str">
        <f>IF($E1257="","",MIN(VLOOKUP(IF($B1257&lt;=Input!$C$7,$B1257,26),'Mortality Tables'!$A$41:$CW$67,IF($B1257&lt;=Input!$C$7+1,Input!$C$4+2,$D1257-Input!$C$7+2),0)*IF(B1257&gt;20,Input!$C$22,1)/1000,1))</f>
        <v/>
      </c>
      <c r="P1257" s="147" t="str">
        <f>IF($E1257="","",MIN(VLOOKUP(IF($B1257&lt;=Input!$C$7,$B1257,26),'Mortality Tables'!$A$12:$CW$37,IF($B1257&lt;=Input!$C$7+1,Input!$C$4+2,$D1257-Input!$C$7+2),0)*IF(B1257&gt;20,Input!$C$22,1)/1000,1))</f>
        <v/>
      </c>
      <c r="Q1257" s="155" t="str">
        <f>IF($E1257="","",Input!$C$21)</f>
        <v/>
      </c>
      <c r="R1257" s="159" t="str">
        <f>IF($E1257="","",(1-Q1257)^($F1257-Input!$C$20))</f>
        <v/>
      </c>
      <c r="S1257" s="147" t="str">
        <f t="shared" si="796"/>
        <v/>
      </c>
      <c r="T1257" s="147" t="str">
        <f t="shared" si="797"/>
        <v/>
      </c>
      <c r="U1257" s="160" t="str">
        <f>IF($E1257="","",IF($C1257=12,INDEX(Input!$C$15:$CP$15,1,$B1257),0))</f>
        <v/>
      </c>
      <c r="V1257" s="150" t="str">
        <f>IF(E1257="","",IF(C1257=1,IF($B1257=1,Input!$C$33,Input!$C$34),0))</f>
        <v/>
      </c>
      <c r="W1257" s="156" t="str">
        <f>IF($E1257="","",Input!$C$35)</f>
        <v/>
      </c>
      <c r="X1257" s="156" t="str">
        <f t="shared" si="798"/>
        <v/>
      </c>
      <c r="Y1257" s="154"/>
      <c r="Z1257" s="147" t="str">
        <f>IF($E1257="","",VLOOKUP($D1257,'Mortality Margins &amp; Grading'!$AB$5:$AF$125,3,0)*IF(Summary!$D$25="Included Margin",IF(AND($B1257&gt;Input!$C$9,Summary!$D$31&lt;&gt;"Included Margin"),0,1),0))</f>
        <v/>
      </c>
      <c r="AA1257" s="147" t="str">
        <f>IF($E1257="","",VLOOKUP($D1257,'Mortality Margins &amp; Grading'!$AB$5:$AF$125,5,0)*IF(Summary!$D$25="Included Margin",IF(AND($B1257&gt;Input!$C$9,Summary!$D$31&lt;&gt;"Included Margin"),0,1),0))</f>
        <v/>
      </c>
      <c r="AB1257" s="147" t="str">
        <f>IF($E1257="","",IF(AND($B1257&gt;Input!$C$9,Summary!$D$31&lt;&gt;"Included Margin"),1,IF(Summary!$D$25="Included Margin",VLOOKUP($B1257,'Mortality Margins &amp; Grading'!$AI$5:$AR$125,MATCH('Mortality Margins &amp; Grading'!$AQ$4,'Mortality Margins &amp; Grading'!$AI$4:$AR$4,0),0),1)))</f>
        <v/>
      </c>
      <c r="AC1257" s="154"/>
      <c r="AD1257" s="158" t="str">
        <f>IF(E1257="","",Input!$C$48*IF(Summary!$D$30="Included Margin",IF(AND($B1257&gt;Input!$C$9,Summary!$D$31&lt;&gt;"Included Margin"),0,1),0))</f>
        <v/>
      </c>
      <c r="AE1257" s="159" t="str">
        <f>IF(E1257="","",IF(Summary!$D$26="Included Margin",IF(AND($B1257&gt;Input!$C$9,Summary!$D$31&lt;&gt;"Included Margin"),1,1/$R1257),1))</f>
        <v/>
      </c>
      <c r="AF1257" s="160" t="str">
        <f>IF(E1257="","",IF(AND($B1257&gt;=Input!$C$9,$C1257=12,Summary!$D$31="Included Margin",$U1257&gt;0),1/U1257-1,IF($B1257&gt;=Input!$C$9,0,Input!$C$45*IF(Summary!$D$27="Included Margin",1,0))))</f>
        <v/>
      </c>
      <c r="AG1257" s="160" t="str">
        <f>IF(E1257="","",Input!$C$46*IF(Summary!$D$28="Included Margin",IF(AND($B1257&gt;Input!$C$9,Summary!$D$31&lt;&gt;"Included Margin"),0,1),0))</f>
        <v/>
      </c>
      <c r="AH1257" s="158" t="str">
        <f>IF(E1257="","",Input!$C$47*IF(Summary!$D$29="Included Margin",IF(AND($B1257&gt;Input!$C$9,Summary!$D$31&lt;&gt;"Included Margin"),0,1),0))</f>
        <v/>
      </c>
      <c r="AI1257" s="154"/>
      <c r="AJ1257" s="158" t="str">
        <f t="shared" si="809"/>
        <v/>
      </c>
      <c r="AK1257" s="150" t="str">
        <f t="shared" si="810"/>
        <v/>
      </c>
      <c r="AL1257" s="147" t="str">
        <f t="shared" si="811"/>
        <v/>
      </c>
      <c r="AM1257" s="147" t="str">
        <f t="shared" si="799"/>
        <v/>
      </c>
      <c r="AN1257" s="160" t="str">
        <f t="shared" si="812"/>
        <v/>
      </c>
      <c r="AO1257" s="161" t="str">
        <f t="shared" si="813"/>
        <v/>
      </c>
      <c r="AP1257" s="156" t="str">
        <f t="shared" si="800"/>
        <v/>
      </c>
      <c r="AQ1257" s="152"/>
      <c r="AR1257" s="162" t="str">
        <f t="shared" si="801"/>
        <v/>
      </c>
      <c r="AS1257" s="150" t="str">
        <f t="shared" si="814"/>
        <v/>
      </c>
      <c r="AT1257" s="163" t="str">
        <f t="shared" si="802"/>
        <v/>
      </c>
      <c r="AU1257" s="163" t="str">
        <f t="shared" si="803"/>
        <v/>
      </c>
      <c r="AV1257" s="163" t="str">
        <f t="shared" si="815"/>
        <v/>
      </c>
      <c r="AW1257" s="163" t="str">
        <f t="shared" si="804"/>
        <v/>
      </c>
      <c r="AX1257" s="163" t="str">
        <f t="shared" si="805"/>
        <v/>
      </c>
      <c r="AY1257" s="150" t="str">
        <f t="shared" si="816"/>
        <v/>
      </c>
      <c r="AZ1257" s="150" t="str">
        <f>IF($E1257="","",IF(OR(AND($D1257=Input!$C$6,$C1257=12),$AN1257=1),0,-AS1258+AT1258+AU1258-AV1258-AW1258-AX1258+AZ1258))</f>
        <v/>
      </c>
      <c r="BA1257" s="154" t="str">
        <f t="shared" si="806"/>
        <v/>
      </c>
      <c r="BC1257" s="147" t="str">
        <f t="shared" si="817"/>
        <v/>
      </c>
      <c r="BD1257" s="164" t="str">
        <f>IF(AND($C1256=12,$D1256=Input!$C$6),0,IF($E1257="","",AT1257+(AU1257+BD1258)/(1+$AK1257)*MIN((1-AM1257-AN1257),1)))</f>
        <v/>
      </c>
      <c r="BH1257" s="152"/>
      <c r="BI1257" s="162" t="str">
        <f t="shared" si="825"/>
        <v/>
      </c>
      <c r="BJ1257" s="150" t="str">
        <f t="shared" si="826"/>
        <v/>
      </c>
      <c r="BK1257" s="163" t="str">
        <f t="shared" si="822"/>
        <v/>
      </c>
      <c r="BL1257" s="163" t="str">
        <f t="shared" si="827"/>
        <v/>
      </c>
      <c r="BM1257" s="163" t="str">
        <f t="shared" si="823"/>
        <v/>
      </c>
      <c r="BN1257" s="163" t="str">
        <f t="shared" si="828"/>
        <v/>
      </c>
      <c r="BO1257" s="163" t="str">
        <f t="shared" si="829"/>
        <v/>
      </c>
      <c r="BP1257" s="150" t="str">
        <f t="shared" si="824"/>
        <v/>
      </c>
      <c r="BQ1257" s="150" t="str">
        <f t="shared" si="818"/>
        <v/>
      </c>
      <c r="BR1257" s="154" t="str">
        <f t="shared" si="830"/>
        <v/>
      </c>
      <c r="BT1257" s="147"/>
    </row>
    <row r="1258" spans="1:72" s="150" customFormat="1" x14ac:dyDescent="0.25">
      <c r="A1258" s="150" t="str">
        <f t="shared" si="819"/>
        <v/>
      </c>
      <c r="B1258" s="150" t="str">
        <f t="shared" si="820"/>
        <v/>
      </c>
      <c r="C1258" s="150" t="str">
        <f t="shared" si="821"/>
        <v/>
      </c>
      <c r="D1258" s="150" t="str">
        <f>IF(E1258="","",Input!$C$4+B1258-1)</f>
        <v/>
      </c>
      <c r="E1258" s="150" t="str">
        <f>IF(OR(AND(C1257=12,D1257=Input!$C$6),E1257=""),"",1)</f>
        <v/>
      </c>
      <c r="G1258" s="151" t="str">
        <f>IF(E1258="","",MAX(0,Input!$C$9-B1258))</f>
        <v/>
      </c>
      <c r="H1258" s="152" t="str">
        <f>IF(E1258="","",Input!$C$3)</f>
        <v/>
      </c>
      <c r="I1258" s="153" t="str">
        <f>IF(E1258="","",HLOOKUP($B1258,Input!$C$13:$BT$14,2))</f>
        <v/>
      </c>
      <c r="J1258" s="154"/>
      <c r="K1258" s="150" t="str">
        <f>IF($E1258="","",INDEX(Input!$C$16:$CP$16,1,$B1258))</f>
        <v/>
      </c>
      <c r="L1258" s="150" t="str">
        <f>IF($E1258="","",Input!$C$37)</f>
        <v/>
      </c>
      <c r="M1258" s="150" t="str">
        <f t="shared" si="807"/>
        <v/>
      </c>
      <c r="N1258" s="150" t="str">
        <f t="shared" si="808"/>
        <v/>
      </c>
      <c r="O1258" s="147" t="str">
        <f>IF($E1258="","",MIN(VLOOKUP(IF($B1258&lt;=Input!$C$7,$B1258,26),'Mortality Tables'!$A$41:$CW$67,IF($B1258&lt;=Input!$C$7+1,Input!$C$4+2,$D1258-Input!$C$7+2),0)*IF(B1258&gt;20,Input!$C$22,1)/1000,1))</f>
        <v/>
      </c>
      <c r="P1258" s="147" t="str">
        <f>IF($E1258="","",MIN(VLOOKUP(IF($B1258&lt;=Input!$C$7,$B1258,26),'Mortality Tables'!$A$12:$CW$37,IF($B1258&lt;=Input!$C$7+1,Input!$C$4+2,$D1258-Input!$C$7+2),0)*IF(B1258&gt;20,Input!$C$22,1)/1000,1))</f>
        <v/>
      </c>
      <c r="Q1258" s="155" t="str">
        <f>IF($E1258="","",Input!$C$21)</f>
        <v/>
      </c>
      <c r="R1258" s="159" t="str">
        <f>IF($E1258="","",(1-Q1258)^($F1258-Input!$C$20))</f>
        <v/>
      </c>
      <c r="S1258" s="147" t="str">
        <f t="shared" si="796"/>
        <v/>
      </c>
      <c r="T1258" s="147" t="str">
        <f t="shared" si="797"/>
        <v/>
      </c>
      <c r="U1258" s="160" t="str">
        <f>IF($E1258="","",IF($C1258=12,INDEX(Input!$C$15:$CP$15,1,$B1258),0))</f>
        <v/>
      </c>
      <c r="V1258" s="150" t="str">
        <f>IF(E1258="","",IF(C1258=1,IF($B1258=1,Input!$C$33,Input!$C$34),0))</f>
        <v/>
      </c>
      <c r="W1258" s="156" t="str">
        <f>IF($E1258="","",Input!$C$35)</f>
        <v/>
      </c>
      <c r="X1258" s="156" t="str">
        <f t="shared" si="798"/>
        <v/>
      </c>
      <c r="Y1258" s="154"/>
      <c r="Z1258" s="147" t="str">
        <f>IF($E1258="","",VLOOKUP($D1258,'Mortality Margins &amp; Grading'!$AB$5:$AF$125,3,0)*IF(Summary!$D$25="Included Margin",IF(AND($B1258&gt;Input!$C$9,Summary!$D$31&lt;&gt;"Included Margin"),0,1),0))</f>
        <v/>
      </c>
      <c r="AA1258" s="147" t="str">
        <f>IF($E1258="","",VLOOKUP($D1258,'Mortality Margins &amp; Grading'!$AB$5:$AF$125,5,0)*IF(Summary!$D$25="Included Margin",IF(AND($B1258&gt;Input!$C$9,Summary!$D$31&lt;&gt;"Included Margin"),0,1),0))</f>
        <v/>
      </c>
      <c r="AB1258" s="147" t="str">
        <f>IF($E1258="","",IF(AND($B1258&gt;Input!$C$9,Summary!$D$31&lt;&gt;"Included Margin"),1,IF(Summary!$D$25="Included Margin",VLOOKUP($B1258,'Mortality Margins &amp; Grading'!$AI$5:$AR$125,MATCH('Mortality Margins &amp; Grading'!$AQ$4,'Mortality Margins &amp; Grading'!$AI$4:$AR$4,0),0),1)))</f>
        <v/>
      </c>
      <c r="AC1258" s="154"/>
      <c r="AD1258" s="158" t="str">
        <f>IF(E1258="","",Input!$C$48*IF(Summary!$D$30="Included Margin",IF(AND($B1258&gt;Input!$C$9,Summary!$D$31&lt;&gt;"Included Margin"),0,1),0))</f>
        <v/>
      </c>
      <c r="AE1258" s="159" t="str">
        <f>IF(E1258="","",IF(Summary!$D$26="Included Margin",IF(AND($B1258&gt;Input!$C$9,Summary!$D$31&lt;&gt;"Included Margin"),1,1/$R1258),1))</f>
        <v/>
      </c>
      <c r="AF1258" s="160" t="str">
        <f>IF(E1258="","",IF(AND($B1258&gt;=Input!$C$9,$C1258=12,Summary!$D$31="Included Margin",$U1258&gt;0),1/U1258-1,IF($B1258&gt;=Input!$C$9,0,Input!$C$45*IF(Summary!$D$27="Included Margin",1,0))))</f>
        <v/>
      </c>
      <c r="AG1258" s="160" t="str">
        <f>IF(E1258="","",Input!$C$46*IF(Summary!$D$28="Included Margin",IF(AND($B1258&gt;Input!$C$9,Summary!$D$31&lt;&gt;"Included Margin"),0,1),0))</f>
        <v/>
      </c>
      <c r="AH1258" s="158" t="str">
        <f>IF(E1258="","",Input!$C$47*IF(Summary!$D$29="Included Margin",IF(AND($B1258&gt;Input!$C$9,Summary!$D$31&lt;&gt;"Included Margin"),0,1),0))</f>
        <v/>
      </c>
      <c r="AI1258" s="154"/>
      <c r="AJ1258" s="158" t="str">
        <f t="shared" si="809"/>
        <v/>
      </c>
      <c r="AK1258" s="150" t="str">
        <f t="shared" si="810"/>
        <v/>
      </c>
      <c r="AL1258" s="147" t="str">
        <f t="shared" si="811"/>
        <v/>
      </c>
      <c r="AM1258" s="147" t="str">
        <f t="shared" si="799"/>
        <v/>
      </c>
      <c r="AN1258" s="160" t="str">
        <f t="shared" si="812"/>
        <v/>
      </c>
      <c r="AO1258" s="161" t="str">
        <f t="shared" si="813"/>
        <v/>
      </c>
      <c r="AP1258" s="156" t="str">
        <f t="shared" si="800"/>
        <v/>
      </c>
      <c r="AQ1258" s="152"/>
      <c r="AR1258" s="162" t="str">
        <f t="shared" si="801"/>
        <v/>
      </c>
      <c r="AS1258" s="150" t="str">
        <f t="shared" si="814"/>
        <v/>
      </c>
      <c r="AT1258" s="163" t="str">
        <f t="shared" si="802"/>
        <v/>
      </c>
      <c r="AU1258" s="163" t="str">
        <f t="shared" si="803"/>
        <v/>
      </c>
      <c r="AV1258" s="163" t="str">
        <f t="shared" si="815"/>
        <v/>
      </c>
      <c r="AW1258" s="163" t="str">
        <f t="shared" si="804"/>
        <v/>
      </c>
      <c r="AX1258" s="163" t="str">
        <f t="shared" si="805"/>
        <v/>
      </c>
      <c r="AY1258" s="150" t="str">
        <f t="shared" si="816"/>
        <v/>
      </c>
      <c r="AZ1258" s="150" t="str">
        <f>IF($E1258="","",IF(OR(AND($D1258=Input!$C$6,$C1258=12),$AN1258=1),0,-AS1259+AT1259+AU1259-AV1259-AW1259-AX1259+AZ1259))</f>
        <v/>
      </c>
      <c r="BA1258" s="154" t="str">
        <f t="shared" si="806"/>
        <v/>
      </c>
      <c r="BC1258" s="147" t="str">
        <f t="shared" si="817"/>
        <v/>
      </c>
      <c r="BD1258" s="164" t="str">
        <f>IF(AND($C1257=12,$D1257=Input!$C$6),0,IF($E1258="","",AT1258+(AU1258+BD1259)/(1+$AK1258)*MIN((1-AM1258-AN1258),1)))</f>
        <v/>
      </c>
      <c r="BH1258" s="152"/>
      <c r="BI1258" s="162" t="str">
        <f t="shared" si="825"/>
        <v/>
      </c>
      <c r="BJ1258" s="150" t="str">
        <f t="shared" si="826"/>
        <v/>
      </c>
      <c r="BK1258" s="163" t="str">
        <f t="shared" si="822"/>
        <v/>
      </c>
      <c r="BL1258" s="163" t="str">
        <f t="shared" si="827"/>
        <v/>
      </c>
      <c r="BM1258" s="163" t="str">
        <f t="shared" si="823"/>
        <v/>
      </c>
      <c r="BN1258" s="163" t="str">
        <f t="shared" si="828"/>
        <v/>
      </c>
      <c r="BO1258" s="163" t="str">
        <f t="shared" si="829"/>
        <v/>
      </c>
      <c r="BP1258" s="150" t="str">
        <f t="shared" si="824"/>
        <v/>
      </c>
      <c r="BQ1258" s="150" t="str">
        <f t="shared" si="818"/>
        <v/>
      </c>
      <c r="BR1258" s="154" t="str">
        <f t="shared" si="830"/>
        <v/>
      </c>
      <c r="BT1258" s="147"/>
    </row>
    <row r="1259" spans="1:72" s="150" customFormat="1" x14ac:dyDescent="0.25">
      <c r="A1259" s="150" t="str">
        <f t="shared" si="819"/>
        <v/>
      </c>
      <c r="B1259" s="150" t="str">
        <f t="shared" si="820"/>
        <v/>
      </c>
      <c r="C1259" s="150" t="str">
        <f t="shared" si="821"/>
        <v/>
      </c>
      <c r="D1259" s="150" t="str">
        <f>IF(E1259="","",Input!$C$4+B1259-1)</f>
        <v/>
      </c>
      <c r="E1259" s="150" t="str">
        <f>IF(OR(AND(C1258=12,D1258=Input!$C$6),E1258=""),"",1)</f>
        <v/>
      </c>
      <c r="G1259" s="151" t="str">
        <f>IF(E1259="","",MAX(0,Input!$C$9-B1259))</f>
        <v/>
      </c>
      <c r="H1259" s="152" t="str">
        <f>IF(E1259="","",Input!$C$3)</f>
        <v/>
      </c>
      <c r="I1259" s="153" t="str">
        <f>IF(E1259="","",HLOOKUP($B1259,Input!$C$13:$BT$14,2))</f>
        <v/>
      </c>
      <c r="J1259" s="154"/>
      <c r="K1259" s="150" t="str">
        <f>IF($E1259="","",INDEX(Input!$C$16:$CP$16,1,$B1259))</f>
        <v/>
      </c>
      <c r="L1259" s="150" t="str">
        <f>IF($E1259="","",Input!$C$37)</f>
        <v/>
      </c>
      <c r="M1259" s="150" t="str">
        <f t="shared" si="807"/>
        <v/>
      </c>
      <c r="N1259" s="150" t="str">
        <f t="shared" si="808"/>
        <v/>
      </c>
      <c r="O1259" s="147" t="str">
        <f>IF($E1259="","",MIN(VLOOKUP(IF($B1259&lt;=Input!$C$7,$B1259,26),'Mortality Tables'!$A$41:$CW$67,IF($B1259&lt;=Input!$C$7+1,Input!$C$4+2,$D1259-Input!$C$7+2),0)*IF(B1259&gt;20,Input!$C$22,1)/1000,1))</f>
        <v/>
      </c>
      <c r="P1259" s="147" t="str">
        <f>IF($E1259="","",MIN(VLOOKUP(IF($B1259&lt;=Input!$C$7,$B1259,26),'Mortality Tables'!$A$12:$CW$37,IF($B1259&lt;=Input!$C$7+1,Input!$C$4+2,$D1259-Input!$C$7+2),0)*IF(B1259&gt;20,Input!$C$22,1)/1000,1))</f>
        <v/>
      </c>
      <c r="Q1259" s="155" t="str">
        <f>IF($E1259="","",Input!$C$21)</f>
        <v/>
      </c>
      <c r="R1259" s="159" t="str">
        <f>IF($E1259="","",(1-Q1259)^($F1259-Input!$C$20))</f>
        <v/>
      </c>
      <c r="S1259" s="147" t="str">
        <f t="shared" si="796"/>
        <v/>
      </c>
      <c r="T1259" s="147" t="str">
        <f t="shared" si="797"/>
        <v/>
      </c>
      <c r="U1259" s="160" t="str">
        <f>IF($E1259="","",IF($C1259=12,INDEX(Input!$C$15:$CP$15,1,$B1259),0))</f>
        <v/>
      </c>
      <c r="V1259" s="150" t="str">
        <f>IF(E1259="","",IF(C1259=1,IF($B1259=1,Input!$C$33,Input!$C$34),0))</f>
        <v/>
      </c>
      <c r="W1259" s="156" t="str">
        <f>IF($E1259="","",Input!$C$35)</f>
        <v/>
      </c>
      <c r="X1259" s="156" t="str">
        <f t="shared" si="798"/>
        <v/>
      </c>
      <c r="Y1259" s="154"/>
      <c r="Z1259" s="147" t="str">
        <f>IF($E1259="","",VLOOKUP($D1259,'Mortality Margins &amp; Grading'!$AB$5:$AF$125,3,0)*IF(Summary!$D$25="Included Margin",IF(AND($B1259&gt;Input!$C$9,Summary!$D$31&lt;&gt;"Included Margin"),0,1),0))</f>
        <v/>
      </c>
      <c r="AA1259" s="147" t="str">
        <f>IF($E1259="","",VLOOKUP($D1259,'Mortality Margins &amp; Grading'!$AB$5:$AF$125,5,0)*IF(Summary!$D$25="Included Margin",IF(AND($B1259&gt;Input!$C$9,Summary!$D$31&lt;&gt;"Included Margin"),0,1),0))</f>
        <v/>
      </c>
      <c r="AB1259" s="147" t="str">
        <f>IF($E1259="","",IF(AND($B1259&gt;Input!$C$9,Summary!$D$31&lt;&gt;"Included Margin"),1,IF(Summary!$D$25="Included Margin",VLOOKUP($B1259,'Mortality Margins &amp; Grading'!$AI$5:$AR$125,MATCH('Mortality Margins &amp; Grading'!$AQ$4,'Mortality Margins &amp; Grading'!$AI$4:$AR$4,0),0),1)))</f>
        <v/>
      </c>
      <c r="AC1259" s="154"/>
      <c r="AD1259" s="158" t="str">
        <f>IF(E1259="","",Input!$C$48*IF(Summary!$D$30="Included Margin",IF(AND($B1259&gt;Input!$C$9,Summary!$D$31&lt;&gt;"Included Margin"),0,1),0))</f>
        <v/>
      </c>
      <c r="AE1259" s="159" t="str">
        <f>IF(E1259="","",IF(Summary!$D$26="Included Margin",IF(AND($B1259&gt;Input!$C$9,Summary!$D$31&lt;&gt;"Included Margin"),1,1/$R1259),1))</f>
        <v/>
      </c>
      <c r="AF1259" s="160" t="str">
        <f>IF(E1259="","",IF(AND($B1259&gt;=Input!$C$9,$C1259=12,Summary!$D$31="Included Margin",$U1259&gt;0),1/U1259-1,IF($B1259&gt;=Input!$C$9,0,Input!$C$45*IF(Summary!$D$27="Included Margin",1,0))))</f>
        <v/>
      </c>
      <c r="AG1259" s="160" t="str">
        <f>IF(E1259="","",Input!$C$46*IF(Summary!$D$28="Included Margin",IF(AND($B1259&gt;Input!$C$9,Summary!$D$31&lt;&gt;"Included Margin"),0,1),0))</f>
        <v/>
      </c>
      <c r="AH1259" s="158" t="str">
        <f>IF(E1259="","",Input!$C$47*IF(Summary!$D$29="Included Margin",IF(AND($B1259&gt;Input!$C$9,Summary!$D$31&lt;&gt;"Included Margin"),0,1),0))</f>
        <v/>
      </c>
      <c r="AI1259" s="154"/>
      <c r="AJ1259" s="158" t="str">
        <f t="shared" si="809"/>
        <v/>
      </c>
      <c r="AK1259" s="150" t="str">
        <f t="shared" si="810"/>
        <v/>
      </c>
      <c r="AL1259" s="147" t="str">
        <f t="shared" si="811"/>
        <v/>
      </c>
      <c r="AM1259" s="147" t="str">
        <f t="shared" si="799"/>
        <v/>
      </c>
      <c r="AN1259" s="160" t="str">
        <f t="shared" si="812"/>
        <v/>
      </c>
      <c r="AO1259" s="161" t="str">
        <f t="shared" si="813"/>
        <v/>
      </c>
      <c r="AP1259" s="156" t="str">
        <f t="shared" si="800"/>
        <v/>
      </c>
      <c r="AQ1259" s="152"/>
      <c r="AR1259" s="162" t="str">
        <f t="shared" si="801"/>
        <v/>
      </c>
      <c r="AS1259" s="150" t="str">
        <f t="shared" si="814"/>
        <v/>
      </c>
      <c r="AT1259" s="163" t="str">
        <f t="shared" si="802"/>
        <v/>
      </c>
      <c r="AU1259" s="163" t="str">
        <f t="shared" si="803"/>
        <v/>
      </c>
      <c r="AV1259" s="163" t="str">
        <f t="shared" si="815"/>
        <v/>
      </c>
      <c r="AW1259" s="163" t="str">
        <f t="shared" si="804"/>
        <v/>
      </c>
      <c r="AX1259" s="163" t="str">
        <f t="shared" si="805"/>
        <v/>
      </c>
      <c r="AY1259" s="150" t="str">
        <f t="shared" si="816"/>
        <v/>
      </c>
      <c r="AZ1259" s="150" t="str">
        <f>IF($E1259="","",IF(OR(AND($D1259=Input!$C$6,$C1259=12),$AN1259=1),0,-AS1260+AT1260+AU1260-AV1260-AW1260-AX1260+AZ1260))</f>
        <v/>
      </c>
      <c r="BA1259" s="154" t="str">
        <f t="shared" si="806"/>
        <v/>
      </c>
      <c r="BC1259" s="147" t="str">
        <f t="shared" si="817"/>
        <v/>
      </c>
      <c r="BD1259" s="164" t="str">
        <f>IF(AND($C1258=12,$D1258=Input!$C$6),0,IF($E1259="","",AT1259+(AU1259+BD1260)/(1+$AK1259)*MIN((1-AM1259-AN1259),1)))</f>
        <v/>
      </c>
      <c r="BH1259" s="152"/>
      <c r="BI1259" s="162" t="str">
        <f t="shared" si="825"/>
        <v/>
      </c>
      <c r="BJ1259" s="150" t="str">
        <f t="shared" si="826"/>
        <v/>
      </c>
      <c r="BK1259" s="163" t="str">
        <f t="shared" si="822"/>
        <v/>
      </c>
      <c r="BL1259" s="163" t="str">
        <f t="shared" si="827"/>
        <v/>
      </c>
      <c r="BM1259" s="163" t="str">
        <f t="shared" si="823"/>
        <v/>
      </c>
      <c r="BN1259" s="163" t="str">
        <f t="shared" si="828"/>
        <v/>
      </c>
      <c r="BO1259" s="163" t="str">
        <f t="shared" si="829"/>
        <v/>
      </c>
      <c r="BP1259" s="150" t="str">
        <f t="shared" si="824"/>
        <v/>
      </c>
      <c r="BQ1259" s="150" t="str">
        <f t="shared" si="818"/>
        <v/>
      </c>
      <c r="BR1259" s="154" t="str">
        <f t="shared" si="830"/>
        <v/>
      </c>
      <c r="BT1259" s="147"/>
    </row>
    <row r="1260" spans="1:72" s="150" customFormat="1" x14ac:dyDescent="0.25">
      <c r="A1260" s="150" t="str">
        <f t="shared" si="819"/>
        <v/>
      </c>
      <c r="B1260" s="150" t="str">
        <f t="shared" si="820"/>
        <v/>
      </c>
      <c r="C1260" s="150" t="str">
        <f t="shared" si="821"/>
        <v/>
      </c>
      <c r="D1260" s="150" t="str">
        <f>IF(E1260="","",Input!$C$4+B1260-1)</f>
        <v/>
      </c>
      <c r="E1260" s="150" t="str">
        <f>IF(OR(AND(C1259=12,D1259=Input!$C$6),E1259=""),"",1)</f>
        <v/>
      </c>
      <c r="G1260" s="151" t="str">
        <f>IF(E1260="","",MAX(0,Input!$C$9-B1260))</f>
        <v/>
      </c>
      <c r="H1260" s="152" t="str">
        <f>IF(E1260="","",Input!$C$3)</f>
        <v/>
      </c>
      <c r="I1260" s="153" t="str">
        <f>IF(E1260="","",HLOOKUP($B1260,Input!$C$13:$BT$14,2))</f>
        <v/>
      </c>
      <c r="J1260" s="154"/>
      <c r="K1260" s="150" t="str">
        <f>IF($E1260="","",INDEX(Input!$C$16:$CP$16,1,$B1260))</f>
        <v/>
      </c>
      <c r="L1260" s="150" t="str">
        <f>IF($E1260="","",Input!$C$37)</f>
        <v/>
      </c>
      <c r="M1260" s="150" t="str">
        <f t="shared" si="807"/>
        <v/>
      </c>
      <c r="N1260" s="150" t="str">
        <f t="shared" si="808"/>
        <v/>
      </c>
      <c r="O1260" s="147" t="str">
        <f>IF($E1260="","",MIN(VLOOKUP(IF($B1260&lt;=Input!$C$7,$B1260,26),'Mortality Tables'!$A$41:$CW$67,IF($B1260&lt;=Input!$C$7+1,Input!$C$4+2,$D1260-Input!$C$7+2),0)*IF(B1260&gt;20,Input!$C$22,1)/1000,1))</f>
        <v/>
      </c>
      <c r="P1260" s="147" t="str">
        <f>IF($E1260="","",MIN(VLOOKUP(IF($B1260&lt;=Input!$C$7,$B1260,26),'Mortality Tables'!$A$12:$CW$37,IF($B1260&lt;=Input!$C$7+1,Input!$C$4+2,$D1260-Input!$C$7+2),0)*IF(B1260&gt;20,Input!$C$22,1)/1000,1))</f>
        <v/>
      </c>
      <c r="Q1260" s="155" t="str">
        <f>IF($E1260="","",Input!$C$21)</f>
        <v/>
      </c>
      <c r="R1260" s="159" t="str">
        <f>IF($E1260="","",(1-Q1260)^($F1260-Input!$C$20))</f>
        <v/>
      </c>
      <c r="S1260" s="147" t="str">
        <f t="shared" si="796"/>
        <v/>
      </c>
      <c r="T1260" s="147" t="str">
        <f t="shared" si="797"/>
        <v/>
      </c>
      <c r="U1260" s="160" t="str">
        <f>IF($E1260="","",IF($C1260=12,INDEX(Input!$C$15:$CP$15,1,$B1260),0))</f>
        <v/>
      </c>
      <c r="V1260" s="150" t="str">
        <f>IF(E1260="","",IF(C1260=1,IF($B1260=1,Input!$C$33,Input!$C$34),0))</f>
        <v/>
      </c>
      <c r="W1260" s="156" t="str">
        <f>IF($E1260="","",Input!$C$35)</f>
        <v/>
      </c>
      <c r="X1260" s="156" t="str">
        <f t="shared" si="798"/>
        <v/>
      </c>
      <c r="Y1260" s="154"/>
      <c r="Z1260" s="147" t="str">
        <f>IF($E1260="","",VLOOKUP($D1260,'Mortality Margins &amp; Grading'!$AB$5:$AF$125,3,0)*IF(Summary!$D$25="Included Margin",IF(AND($B1260&gt;Input!$C$9,Summary!$D$31&lt;&gt;"Included Margin"),0,1),0))</f>
        <v/>
      </c>
      <c r="AA1260" s="147" t="str">
        <f>IF($E1260="","",VLOOKUP($D1260,'Mortality Margins &amp; Grading'!$AB$5:$AF$125,5,0)*IF(Summary!$D$25="Included Margin",IF(AND($B1260&gt;Input!$C$9,Summary!$D$31&lt;&gt;"Included Margin"),0,1),0))</f>
        <v/>
      </c>
      <c r="AB1260" s="147" t="str">
        <f>IF($E1260="","",IF(AND($B1260&gt;Input!$C$9,Summary!$D$31&lt;&gt;"Included Margin"),1,IF(Summary!$D$25="Included Margin",VLOOKUP($B1260,'Mortality Margins &amp; Grading'!$AI$5:$AR$125,MATCH('Mortality Margins &amp; Grading'!$AQ$4,'Mortality Margins &amp; Grading'!$AI$4:$AR$4,0),0),1)))</f>
        <v/>
      </c>
      <c r="AC1260" s="154"/>
      <c r="AD1260" s="158" t="str">
        <f>IF(E1260="","",Input!$C$48*IF(Summary!$D$30="Included Margin",IF(AND($B1260&gt;Input!$C$9,Summary!$D$31&lt;&gt;"Included Margin"),0,1),0))</f>
        <v/>
      </c>
      <c r="AE1260" s="159" t="str">
        <f>IF(E1260="","",IF(Summary!$D$26="Included Margin",IF(AND($B1260&gt;Input!$C$9,Summary!$D$31&lt;&gt;"Included Margin"),1,1/$R1260),1))</f>
        <v/>
      </c>
      <c r="AF1260" s="160" t="str">
        <f>IF(E1260="","",IF(AND($B1260&gt;=Input!$C$9,$C1260=12,Summary!$D$31="Included Margin",$U1260&gt;0),1/U1260-1,IF($B1260&gt;=Input!$C$9,0,Input!$C$45*IF(Summary!$D$27="Included Margin",1,0))))</f>
        <v/>
      </c>
      <c r="AG1260" s="160" t="str">
        <f>IF(E1260="","",Input!$C$46*IF(Summary!$D$28="Included Margin",IF(AND($B1260&gt;Input!$C$9,Summary!$D$31&lt;&gt;"Included Margin"),0,1),0))</f>
        <v/>
      </c>
      <c r="AH1260" s="158" t="str">
        <f>IF(E1260="","",Input!$C$47*IF(Summary!$D$29="Included Margin",IF(AND($B1260&gt;Input!$C$9,Summary!$D$31&lt;&gt;"Included Margin"),0,1),0))</f>
        <v/>
      </c>
      <c r="AI1260" s="154"/>
      <c r="AJ1260" s="158" t="str">
        <f t="shared" si="809"/>
        <v/>
      </c>
      <c r="AK1260" s="150" t="str">
        <f t="shared" si="810"/>
        <v/>
      </c>
      <c r="AL1260" s="147" t="str">
        <f t="shared" si="811"/>
        <v/>
      </c>
      <c r="AM1260" s="147" t="str">
        <f t="shared" si="799"/>
        <v/>
      </c>
      <c r="AN1260" s="160" t="str">
        <f t="shared" si="812"/>
        <v/>
      </c>
      <c r="AO1260" s="161" t="str">
        <f t="shared" si="813"/>
        <v/>
      </c>
      <c r="AP1260" s="156" t="str">
        <f t="shared" si="800"/>
        <v/>
      </c>
      <c r="AQ1260" s="152"/>
      <c r="AR1260" s="162" t="str">
        <f t="shared" si="801"/>
        <v/>
      </c>
      <c r="AS1260" s="150" t="str">
        <f t="shared" si="814"/>
        <v/>
      </c>
      <c r="AT1260" s="163" t="str">
        <f t="shared" si="802"/>
        <v/>
      </c>
      <c r="AU1260" s="163" t="str">
        <f t="shared" si="803"/>
        <v/>
      </c>
      <c r="AV1260" s="163" t="str">
        <f t="shared" si="815"/>
        <v/>
      </c>
      <c r="AW1260" s="163" t="str">
        <f t="shared" si="804"/>
        <v/>
      </c>
      <c r="AX1260" s="163" t="str">
        <f t="shared" si="805"/>
        <v/>
      </c>
      <c r="AY1260" s="150" t="str">
        <f t="shared" si="816"/>
        <v/>
      </c>
      <c r="AZ1260" s="150" t="str">
        <f>IF($E1260="","",IF(OR(AND($D1260=Input!$C$6,$C1260=12),$AN1260=1),0,-AS1261+AT1261+AU1261-AV1261-AW1261-AX1261+AZ1261))</f>
        <v/>
      </c>
      <c r="BA1260" s="154" t="str">
        <f t="shared" si="806"/>
        <v/>
      </c>
      <c r="BC1260" s="147" t="str">
        <f t="shared" si="817"/>
        <v/>
      </c>
      <c r="BD1260" s="164" t="str">
        <f>IF(AND($C1259=12,$D1259=Input!$C$6),0,IF($E1260="","",AT1260+(AU1260+BD1261)/(1+$AK1260)*MIN((1-AM1260-AN1260),1)))</f>
        <v/>
      </c>
      <c r="BH1260" s="152"/>
      <c r="BI1260" s="162" t="str">
        <f t="shared" si="825"/>
        <v/>
      </c>
      <c r="BJ1260" s="150" t="str">
        <f t="shared" si="826"/>
        <v/>
      </c>
      <c r="BK1260" s="163" t="str">
        <f t="shared" si="822"/>
        <v/>
      </c>
      <c r="BL1260" s="163" t="str">
        <f t="shared" si="827"/>
        <v/>
      </c>
      <c r="BM1260" s="163" t="str">
        <f t="shared" si="823"/>
        <v/>
      </c>
      <c r="BN1260" s="163" t="str">
        <f t="shared" si="828"/>
        <v/>
      </c>
      <c r="BO1260" s="163" t="str">
        <f t="shared" si="829"/>
        <v/>
      </c>
      <c r="BP1260" s="150" t="str">
        <f t="shared" si="824"/>
        <v/>
      </c>
      <c r="BQ1260" s="150" t="str">
        <f t="shared" si="818"/>
        <v/>
      </c>
      <c r="BR1260" s="154" t="str">
        <f t="shared" si="830"/>
        <v/>
      </c>
      <c r="BT1260" s="147"/>
    </row>
    <row r="1261" spans="1:72" s="150" customFormat="1" x14ac:dyDescent="0.25">
      <c r="A1261" s="150" t="str">
        <f t="shared" si="819"/>
        <v/>
      </c>
      <c r="B1261" s="150" t="str">
        <f t="shared" si="820"/>
        <v/>
      </c>
      <c r="C1261" s="150" t="str">
        <f t="shared" si="821"/>
        <v/>
      </c>
      <c r="D1261" s="150" t="str">
        <f>IF(E1261="","",Input!$C$4+B1261-1)</f>
        <v/>
      </c>
      <c r="E1261" s="150" t="str">
        <f>IF(OR(AND(C1260=12,D1260=Input!$C$6),E1260=""),"",1)</f>
        <v/>
      </c>
      <c r="G1261" s="151" t="str">
        <f>IF(E1261="","",MAX(0,Input!$C$9-B1261))</f>
        <v/>
      </c>
      <c r="H1261" s="152" t="str">
        <f>IF(E1261="","",Input!$C$3)</f>
        <v/>
      </c>
      <c r="I1261" s="153" t="str">
        <f>IF(E1261="","",HLOOKUP($B1261,Input!$C$13:$BT$14,2))</f>
        <v/>
      </c>
      <c r="J1261" s="154"/>
      <c r="K1261" s="150" t="str">
        <f>IF($E1261="","",INDEX(Input!$C$16:$CP$16,1,$B1261))</f>
        <v/>
      </c>
      <c r="L1261" s="150" t="str">
        <f>IF($E1261="","",Input!$C$37)</f>
        <v/>
      </c>
      <c r="M1261" s="150" t="str">
        <f t="shared" si="807"/>
        <v/>
      </c>
      <c r="N1261" s="150" t="str">
        <f t="shared" si="808"/>
        <v/>
      </c>
      <c r="O1261" s="147" t="str">
        <f>IF($E1261="","",MIN(VLOOKUP(IF($B1261&lt;=Input!$C$7,$B1261,26),'Mortality Tables'!$A$41:$CW$67,IF($B1261&lt;=Input!$C$7+1,Input!$C$4+2,$D1261-Input!$C$7+2),0)*IF(B1261&gt;20,Input!$C$22,1)/1000,1))</f>
        <v/>
      </c>
      <c r="P1261" s="147" t="str">
        <f>IF($E1261="","",MIN(VLOOKUP(IF($B1261&lt;=Input!$C$7,$B1261,26),'Mortality Tables'!$A$12:$CW$37,IF($B1261&lt;=Input!$C$7+1,Input!$C$4+2,$D1261-Input!$C$7+2),0)*IF(B1261&gt;20,Input!$C$22,1)/1000,1))</f>
        <v/>
      </c>
      <c r="Q1261" s="155" t="str">
        <f>IF($E1261="","",Input!$C$21)</f>
        <v/>
      </c>
      <c r="R1261" s="159" t="str">
        <f>IF($E1261="","",(1-Q1261)^($F1261-Input!$C$20))</f>
        <v/>
      </c>
      <c r="S1261" s="147" t="str">
        <f t="shared" si="796"/>
        <v/>
      </c>
      <c r="T1261" s="147" t="str">
        <f t="shared" si="797"/>
        <v/>
      </c>
      <c r="U1261" s="160" t="str">
        <f>IF($E1261="","",IF($C1261=12,INDEX(Input!$C$15:$CP$15,1,$B1261),0))</f>
        <v/>
      </c>
      <c r="V1261" s="150" t="str">
        <f>IF(E1261="","",IF(C1261=1,IF($B1261=1,Input!$C$33,Input!$C$34),0))</f>
        <v/>
      </c>
      <c r="W1261" s="156" t="str">
        <f>IF($E1261="","",Input!$C$35)</f>
        <v/>
      </c>
      <c r="X1261" s="156" t="str">
        <f t="shared" si="798"/>
        <v/>
      </c>
      <c r="Y1261" s="154"/>
      <c r="Z1261" s="147" t="str">
        <f>IF($E1261="","",VLOOKUP($D1261,'Mortality Margins &amp; Grading'!$AB$5:$AF$125,3,0)*IF(Summary!$D$25="Included Margin",IF(AND($B1261&gt;Input!$C$9,Summary!$D$31&lt;&gt;"Included Margin"),0,1),0))</f>
        <v/>
      </c>
      <c r="AA1261" s="147" t="str">
        <f>IF($E1261="","",VLOOKUP($D1261,'Mortality Margins &amp; Grading'!$AB$5:$AF$125,5,0)*IF(Summary!$D$25="Included Margin",IF(AND($B1261&gt;Input!$C$9,Summary!$D$31&lt;&gt;"Included Margin"),0,1),0))</f>
        <v/>
      </c>
      <c r="AB1261" s="147" t="str">
        <f>IF($E1261="","",IF(AND($B1261&gt;Input!$C$9,Summary!$D$31&lt;&gt;"Included Margin"),1,IF(Summary!$D$25="Included Margin",VLOOKUP($B1261,'Mortality Margins &amp; Grading'!$AI$5:$AR$125,MATCH('Mortality Margins &amp; Grading'!$AQ$4,'Mortality Margins &amp; Grading'!$AI$4:$AR$4,0),0),1)))</f>
        <v/>
      </c>
      <c r="AC1261" s="154"/>
      <c r="AD1261" s="158" t="str">
        <f>IF(E1261="","",Input!$C$48*IF(Summary!$D$30="Included Margin",IF(AND($B1261&gt;Input!$C$9,Summary!$D$31&lt;&gt;"Included Margin"),0,1),0))</f>
        <v/>
      </c>
      <c r="AE1261" s="159" t="str">
        <f>IF(E1261="","",IF(Summary!$D$26="Included Margin",IF(AND($B1261&gt;Input!$C$9,Summary!$D$31&lt;&gt;"Included Margin"),1,1/$R1261),1))</f>
        <v/>
      </c>
      <c r="AF1261" s="160" t="str">
        <f>IF(E1261="","",IF(AND($B1261&gt;=Input!$C$9,$C1261=12,Summary!$D$31="Included Margin",$U1261&gt;0),1/U1261-1,IF($B1261&gt;=Input!$C$9,0,Input!$C$45*IF(Summary!$D$27="Included Margin",1,0))))</f>
        <v/>
      </c>
      <c r="AG1261" s="160" t="str">
        <f>IF(E1261="","",Input!$C$46*IF(Summary!$D$28="Included Margin",IF(AND($B1261&gt;Input!$C$9,Summary!$D$31&lt;&gt;"Included Margin"),0,1),0))</f>
        <v/>
      </c>
      <c r="AH1261" s="158" t="str">
        <f>IF(E1261="","",Input!$C$47*IF(Summary!$D$29="Included Margin",IF(AND($B1261&gt;Input!$C$9,Summary!$D$31&lt;&gt;"Included Margin"),0,1),0))</f>
        <v/>
      </c>
      <c r="AI1261" s="154"/>
      <c r="AJ1261" s="158" t="str">
        <f t="shared" si="809"/>
        <v/>
      </c>
      <c r="AK1261" s="150" t="str">
        <f t="shared" si="810"/>
        <v/>
      </c>
      <c r="AL1261" s="147" t="str">
        <f t="shared" si="811"/>
        <v/>
      </c>
      <c r="AM1261" s="147" t="str">
        <f t="shared" si="799"/>
        <v/>
      </c>
      <c r="AN1261" s="160" t="str">
        <f t="shared" si="812"/>
        <v/>
      </c>
      <c r="AO1261" s="161" t="str">
        <f t="shared" si="813"/>
        <v/>
      </c>
      <c r="AP1261" s="156" t="str">
        <f t="shared" si="800"/>
        <v/>
      </c>
      <c r="AQ1261" s="152"/>
      <c r="AR1261" s="162" t="str">
        <f t="shared" si="801"/>
        <v/>
      </c>
      <c r="AS1261" s="150" t="str">
        <f t="shared" si="814"/>
        <v/>
      </c>
      <c r="AT1261" s="163" t="str">
        <f t="shared" si="802"/>
        <v/>
      </c>
      <c r="AU1261" s="163" t="str">
        <f t="shared" si="803"/>
        <v/>
      </c>
      <c r="AV1261" s="163" t="str">
        <f t="shared" si="815"/>
        <v/>
      </c>
      <c r="AW1261" s="163" t="str">
        <f t="shared" si="804"/>
        <v/>
      </c>
      <c r="AX1261" s="163" t="str">
        <f t="shared" si="805"/>
        <v/>
      </c>
      <c r="AY1261" s="150" t="str">
        <f t="shared" si="816"/>
        <v/>
      </c>
      <c r="AZ1261" s="150" t="str">
        <f>IF($E1261="","",IF(OR(AND($D1261=Input!$C$6,$C1261=12),$AN1261=1),0,-AS1262+AT1262+AU1262-AV1262-AW1262-AX1262+AZ1262))</f>
        <v/>
      </c>
      <c r="BA1261" s="154" t="str">
        <f t="shared" si="806"/>
        <v/>
      </c>
      <c r="BC1261" s="147" t="str">
        <f t="shared" si="817"/>
        <v/>
      </c>
      <c r="BD1261" s="164" t="str">
        <f>IF(AND($C1260=12,$D1260=Input!$C$6),0,IF($E1261="","",AT1261+(AU1261+BD1262)/(1+$AK1261)*MIN((1-AM1261-AN1261),1)))</f>
        <v/>
      </c>
      <c r="BH1261" s="152"/>
      <c r="BI1261" s="162" t="str">
        <f t="shared" si="825"/>
        <v/>
      </c>
      <c r="BJ1261" s="150" t="str">
        <f t="shared" si="826"/>
        <v/>
      </c>
      <c r="BK1261" s="163" t="str">
        <f t="shared" si="822"/>
        <v/>
      </c>
      <c r="BL1261" s="163" t="str">
        <f t="shared" si="827"/>
        <v/>
      </c>
      <c r="BM1261" s="163" t="str">
        <f t="shared" si="823"/>
        <v/>
      </c>
      <c r="BN1261" s="163" t="str">
        <f t="shared" si="828"/>
        <v/>
      </c>
      <c r="BO1261" s="163" t="str">
        <f t="shared" si="829"/>
        <v/>
      </c>
      <c r="BP1261" s="150" t="str">
        <f t="shared" si="824"/>
        <v/>
      </c>
      <c r="BQ1261" s="150" t="str">
        <f t="shared" si="818"/>
        <v/>
      </c>
      <c r="BR1261" s="154" t="str">
        <f t="shared" si="830"/>
        <v/>
      </c>
      <c r="BT1261" s="147"/>
    </row>
    <row r="1262" spans="1:72" s="150" customFormat="1" x14ac:dyDescent="0.25">
      <c r="A1262" s="150" t="str">
        <f t="shared" si="819"/>
        <v/>
      </c>
      <c r="B1262" s="150" t="str">
        <f t="shared" si="820"/>
        <v/>
      </c>
      <c r="C1262" s="150" t="str">
        <f t="shared" si="821"/>
        <v/>
      </c>
      <c r="D1262" s="150" t="str">
        <f>IF(E1262="","",Input!$C$4+B1262-1)</f>
        <v/>
      </c>
      <c r="E1262" s="150" t="str">
        <f>IF(OR(AND(C1261=12,D1261=Input!$C$6),E1261=""),"",1)</f>
        <v/>
      </c>
      <c r="G1262" s="151" t="str">
        <f>IF(E1262="","",MAX(0,Input!$C$9-B1262))</f>
        <v/>
      </c>
      <c r="H1262" s="152" t="str">
        <f>IF(E1262="","",Input!$C$3)</f>
        <v/>
      </c>
      <c r="I1262" s="153" t="str">
        <f>IF(E1262="","",HLOOKUP($B1262,Input!$C$13:$BT$14,2))</f>
        <v/>
      </c>
      <c r="J1262" s="154"/>
      <c r="K1262" s="150" t="str">
        <f>IF($E1262="","",INDEX(Input!$C$16:$CP$16,1,$B1262))</f>
        <v/>
      </c>
      <c r="L1262" s="150" t="str">
        <f>IF($E1262="","",Input!$C$37)</f>
        <v/>
      </c>
      <c r="M1262" s="150" t="str">
        <f t="shared" si="807"/>
        <v/>
      </c>
      <c r="N1262" s="150" t="str">
        <f t="shared" si="808"/>
        <v/>
      </c>
      <c r="O1262" s="147" t="str">
        <f>IF($E1262="","",MIN(VLOOKUP(IF($B1262&lt;=Input!$C$7,$B1262,26),'Mortality Tables'!$A$41:$CW$67,IF($B1262&lt;=Input!$C$7+1,Input!$C$4+2,$D1262-Input!$C$7+2),0)*IF(B1262&gt;20,Input!$C$22,1)/1000,1))</f>
        <v/>
      </c>
      <c r="P1262" s="147" t="str">
        <f>IF($E1262="","",MIN(VLOOKUP(IF($B1262&lt;=Input!$C$7,$B1262,26),'Mortality Tables'!$A$12:$CW$37,IF($B1262&lt;=Input!$C$7+1,Input!$C$4+2,$D1262-Input!$C$7+2),0)*IF(B1262&gt;20,Input!$C$22,1)/1000,1))</f>
        <v/>
      </c>
      <c r="Q1262" s="155" t="str">
        <f>IF($E1262="","",Input!$C$21)</f>
        <v/>
      </c>
      <c r="R1262" s="159" t="str">
        <f>IF($E1262="","",(1-Q1262)^($F1262-Input!$C$20))</f>
        <v/>
      </c>
      <c r="S1262" s="147" t="str">
        <f t="shared" si="796"/>
        <v/>
      </c>
      <c r="T1262" s="147" t="str">
        <f t="shared" si="797"/>
        <v/>
      </c>
      <c r="U1262" s="160" t="str">
        <f>IF($E1262="","",IF($C1262=12,INDEX(Input!$C$15:$CP$15,1,$B1262),0))</f>
        <v/>
      </c>
      <c r="V1262" s="150" t="str">
        <f>IF(E1262="","",IF(C1262=1,IF($B1262=1,Input!$C$33,Input!$C$34),0))</f>
        <v/>
      </c>
      <c r="W1262" s="156" t="str">
        <f>IF($E1262="","",Input!$C$35)</f>
        <v/>
      </c>
      <c r="X1262" s="156" t="str">
        <f t="shared" si="798"/>
        <v/>
      </c>
      <c r="Y1262" s="154"/>
      <c r="Z1262" s="147" t="str">
        <f>IF($E1262="","",VLOOKUP($D1262,'Mortality Margins &amp; Grading'!$AB$5:$AF$125,3,0)*IF(Summary!$D$25="Included Margin",IF(AND($B1262&gt;Input!$C$9,Summary!$D$31&lt;&gt;"Included Margin"),0,1),0))</f>
        <v/>
      </c>
      <c r="AA1262" s="147" t="str">
        <f>IF($E1262="","",VLOOKUP($D1262,'Mortality Margins &amp; Grading'!$AB$5:$AF$125,5,0)*IF(Summary!$D$25="Included Margin",IF(AND($B1262&gt;Input!$C$9,Summary!$D$31&lt;&gt;"Included Margin"),0,1),0))</f>
        <v/>
      </c>
      <c r="AB1262" s="147" t="str">
        <f>IF($E1262="","",IF(AND($B1262&gt;Input!$C$9,Summary!$D$31&lt;&gt;"Included Margin"),1,IF(Summary!$D$25="Included Margin",VLOOKUP($B1262,'Mortality Margins &amp; Grading'!$AI$5:$AR$125,MATCH('Mortality Margins &amp; Grading'!$AQ$4,'Mortality Margins &amp; Grading'!$AI$4:$AR$4,0),0),1)))</f>
        <v/>
      </c>
      <c r="AC1262" s="154"/>
      <c r="AD1262" s="158" t="str">
        <f>IF(E1262="","",Input!$C$48*IF(Summary!$D$30="Included Margin",IF(AND($B1262&gt;Input!$C$9,Summary!$D$31&lt;&gt;"Included Margin"),0,1),0))</f>
        <v/>
      </c>
      <c r="AE1262" s="159" t="str">
        <f>IF(E1262="","",IF(Summary!$D$26="Included Margin",IF(AND($B1262&gt;Input!$C$9,Summary!$D$31&lt;&gt;"Included Margin"),1,1/$R1262),1))</f>
        <v/>
      </c>
      <c r="AF1262" s="160" t="str">
        <f>IF(E1262="","",IF(AND($B1262&gt;=Input!$C$9,$C1262=12,Summary!$D$31="Included Margin",$U1262&gt;0),1/U1262-1,IF($B1262&gt;=Input!$C$9,0,Input!$C$45*IF(Summary!$D$27="Included Margin",1,0))))</f>
        <v/>
      </c>
      <c r="AG1262" s="160" t="str">
        <f>IF(E1262="","",Input!$C$46*IF(Summary!$D$28="Included Margin",IF(AND($B1262&gt;Input!$C$9,Summary!$D$31&lt;&gt;"Included Margin"),0,1),0))</f>
        <v/>
      </c>
      <c r="AH1262" s="158" t="str">
        <f>IF(E1262="","",Input!$C$47*IF(Summary!$D$29="Included Margin",IF(AND($B1262&gt;Input!$C$9,Summary!$D$31&lt;&gt;"Included Margin"),0,1),0))</f>
        <v/>
      </c>
      <c r="AI1262" s="154"/>
      <c r="AJ1262" s="158" t="str">
        <f t="shared" si="809"/>
        <v/>
      </c>
      <c r="AK1262" s="150" t="str">
        <f t="shared" si="810"/>
        <v/>
      </c>
      <c r="AL1262" s="147" t="str">
        <f t="shared" si="811"/>
        <v/>
      </c>
      <c r="AM1262" s="147" t="str">
        <f t="shared" si="799"/>
        <v/>
      </c>
      <c r="AN1262" s="160" t="str">
        <f t="shared" si="812"/>
        <v/>
      </c>
      <c r="AO1262" s="161" t="str">
        <f t="shared" si="813"/>
        <v/>
      </c>
      <c r="AP1262" s="156" t="str">
        <f t="shared" si="800"/>
        <v/>
      </c>
      <c r="AQ1262" s="152"/>
      <c r="AR1262" s="162" t="str">
        <f t="shared" si="801"/>
        <v/>
      </c>
      <c r="AS1262" s="150" t="str">
        <f t="shared" si="814"/>
        <v/>
      </c>
      <c r="AT1262" s="163" t="str">
        <f t="shared" si="802"/>
        <v/>
      </c>
      <c r="AU1262" s="163" t="str">
        <f t="shared" si="803"/>
        <v/>
      </c>
      <c r="AV1262" s="163" t="str">
        <f t="shared" si="815"/>
        <v/>
      </c>
      <c r="AW1262" s="163" t="str">
        <f t="shared" si="804"/>
        <v/>
      </c>
      <c r="AX1262" s="163" t="str">
        <f t="shared" si="805"/>
        <v/>
      </c>
      <c r="AY1262" s="150" t="str">
        <f t="shared" si="816"/>
        <v/>
      </c>
      <c r="AZ1262" s="150" t="str">
        <f>IF($E1262="","",IF(OR(AND($D1262=Input!$C$6,$C1262=12),$AN1262=1),0,-AS1263+AT1263+AU1263-AV1263-AW1263-AX1263+AZ1263))</f>
        <v/>
      </c>
      <c r="BA1262" s="154" t="str">
        <f t="shared" si="806"/>
        <v/>
      </c>
      <c r="BC1262" s="147" t="str">
        <f t="shared" si="817"/>
        <v/>
      </c>
      <c r="BD1262" s="164" t="str">
        <f>IF(AND($C1261=12,$D1261=Input!$C$6),0,IF($E1262="","",AT1262+(AU1262+BD1263)/(1+$AK1262)*MIN((1-AM1262-AN1262),1)))</f>
        <v/>
      </c>
      <c r="BH1262" s="152"/>
      <c r="BI1262" s="162" t="str">
        <f t="shared" si="825"/>
        <v/>
      </c>
      <c r="BJ1262" s="150" t="str">
        <f t="shared" si="826"/>
        <v/>
      </c>
      <c r="BK1262" s="163" t="str">
        <f t="shared" si="822"/>
        <v/>
      </c>
      <c r="BL1262" s="163" t="str">
        <f t="shared" si="827"/>
        <v/>
      </c>
      <c r="BM1262" s="163" t="str">
        <f t="shared" si="823"/>
        <v/>
      </c>
      <c r="BN1262" s="163" t="str">
        <f t="shared" si="828"/>
        <v/>
      </c>
      <c r="BO1262" s="163" t="str">
        <f t="shared" si="829"/>
        <v/>
      </c>
      <c r="BP1262" s="150" t="str">
        <f t="shared" si="824"/>
        <v/>
      </c>
      <c r="BQ1262" s="150" t="str">
        <f t="shared" si="818"/>
        <v/>
      </c>
      <c r="BR1262" s="154" t="str">
        <f t="shared" si="830"/>
        <v/>
      </c>
      <c r="BT1262" s="147"/>
    </row>
    <row r="1263" spans="1:72" s="150" customFormat="1" x14ac:dyDescent="0.25">
      <c r="A1263" s="150" t="str">
        <f t="shared" si="819"/>
        <v/>
      </c>
      <c r="B1263" s="150" t="str">
        <f t="shared" si="820"/>
        <v/>
      </c>
      <c r="C1263" s="150" t="str">
        <f t="shared" si="821"/>
        <v/>
      </c>
      <c r="D1263" s="150" t="str">
        <f>IF(E1263="","",Input!$C$4+B1263-1)</f>
        <v/>
      </c>
      <c r="E1263" s="150" t="str">
        <f>IF(OR(AND(C1262=12,D1262=Input!$C$6),E1262=""),"",1)</f>
        <v/>
      </c>
      <c r="G1263" s="151" t="str">
        <f>IF(E1263="","",MAX(0,Input!$C$9-B1263))</f>
        <v/>
      </c>
      <c r="H1263" s="152" t="str">
        <f>IF(E1263="","",Input!$C$3)</f>
        <v/>
      </c>
      <c r="I1263" s="153" t="str">
        <f>IF(E1263="","",HLOOKUP($B1263,Input!$C$13:$BT$14,2))</f>
        <v/>
      </c>
      <c r="J1263" s="154"/>
      <c r="K1263" s="150" t="str">
        <f>IF($E1263="","",INDEX(Input!$C$16:$CP$16,1,$B1263))</f>
        <v/>
      </c>
      <c r="L1263" s="150" t="str">
        <f>IF($E1263="","",Input!$C$37)</f>
        <v/>
      </c>
      <c r="M1263" s="150" t="str">
        <f t="shared" si="807"/>
        <v/>
      </c>
      <c r="N1263" s="150" t="str">
        <f t="shared" si="808"/>
        <v/>
      </c>
      <c r="O1263" s="147" t="str">
        <f>IF($E1263="","",MIN(VLOOKUP(IF($B1263&lt;=Input!$C$7,$B1263,26),'Mortality Tables'!$A$41:$CW$67,IF($B1263&lt;=Input!$C$7+1,Input!$C$4+2,$D1263-Input!$C$7+2),0)*IF(B1263&gt;20,Input!$C$22,1)/1000,1))</f>
        <v/>
      </c>
      <c r="P1263" s="147" t="str">
        <f>IF($E1263="","",MIN(VLOOKUP(IF($B1263&lt;=Input!$C$7,$B1263,26),'Mortality Tables'!$A$12:$CW$37,IF($B1263&lt;=Input!$C$7+1,Input!$C$4+2,$D1263-Input!$C$7+2),0)*IF(B1263&gt;20,Input!$C$22,1)/1000,1))</f>
        <v/>
      </c>
      <c r="Q1263" s="155" t="str">
        <f>IF($E1263="","",Input!$C$21)</f>
        <v/>
      </c>
      <c r="R1263" s="159" t="str">
        <f>IF($E1263="","",(1-Q1263)^($F1263-Input!$C$20))</f>
        <v/>
      </c>
      <c r="S1263" s="147" t="str">
        <f t="shared" si="796"/>
        <v/>
      </c>
      <c r="T1263" s="147" t="str">
        <f t="shared" si="797"/>
        <v/>
      </c>
      <c r="U1263" s="160" t="str">
        <f>IF($E1263="","",IF($C1263=12,INDEX(Input!$C$15:$CP$15,1,$B1263),0))</f>
        <v/>
      </c>
      <c r="V1263" s="150" t="str">
        <f>IF(E1263="","",IF(C1263=1,IF($B1263=1,Input!$C$33,Input!$C$34),0))</f>
        <v/>
      </c>
      <c r="W1263" s="156" t="str">
        <f>IF($E1263="","",Input!$C$35)</f>
        <v/>
      </c>
      <c r="X1263" s="156" t="str">
        <f t="shared" si="798"/>
        <v/>
      </c>
      <c r="Y1263" s="154"/>
      <c r="Z1263" s="147" t="str">
        <f>IF($E1263="","",VLOOKUP($D1263,'Mortality Margins &amp; Grading'!$AB$5:$AF$125,3,0)*IF(Summary!$D$25="Included Margin",IF(AND($B1263&gt;Input!$C$9,Summary!$D$31&lt;&gt;"Included Margin"),0,1),0))</f>
        <v/>
      </c>
      <c r="AA1263" s="147" t="str">
        <f>IF($E1263="","",VLOOKUP($D1263,'Mortality Margins &amp; Grading'!$AB$5:$AF$125,5,0)*IF(Summary!$D$25="Included Margin",IF(AND($B1263&gt;Input!$C$9,Summary!$D$31&lt;&gt;"Included Margin"),0,1),0))</f>
        <v/>
      </c>
      <c r="AB1263" s="147" t="str">
        <f>IF($E1263="","",IF(AND($B1263&gt;Input!$C$9,Summary!$D$31&lt;&gt;"Included Margin"),1,IF(Summary!$D$25="Included Margin",VLOOKUP($B1263,'Mortality Margins &amp; Grading'!$AI$5:$AR$125,MATCH('Mortality Margins &amp; Grading'!$AQ$4,'Mortality Margins &amp; Grading'!$AI$4:$AR$4,0),0),1)))</f>
        <v/>
      </c>
      <c r="AC1263" s="154"/>
      <c r="AD1263" s="158" t="str">
        <f>IF(E1263="","",Input!$C$48*IF(Summary!$D$30="Included Margin",IF(AND($B1263&gt;Input!$C$9,Summary!$D$31&lt;&gt;"Included Margin"),0,1),0))</f>
        <v/>
      </c>
      <c r="AE1263" s="159" t="str">
        <f>IF(E1263="","",IF(Summary!$D$26="Included Margin",IF(AND($B1263&gt;Input!$C$9,Summary!$D$31&lt;&gt;"Included Margin"),1,1/$R1263),1))</f>
        <v/>
      </c>
      <c r="AF1263" s="160" t="str">
        <f>IF(E1263="","",IF(AND($B1263&gt;=Input!$C$9,$C1263=12,Summary!$D$31="Included Margin",$U1263&gt;0),1/U1263-1,IF($B1263&gt;=Input!$C$9,0,Input!$C$45*IF(Summary!$D$27="Included Margin",1,0))))</f>
        <v/>
      </c>
      <c r="AG1263" s="160" t="str">
        <f>IF(E1263="","",Input!$C$46*IF(Summary!$D$28="Included Margin",IF(AND($B1263&gt;Input!$C$9,Summary!$D$31&lt;&gt;"Included Margin"),0,1),0))</f>
        <v/>
      </c>
      <c r="AH1263" s="158" t="str">
        <f>IF(E1263="","",Input!$C$47*IF(Summary!$D$29="Included Margin",IF(AND($B1263&gt;Input!$C$9,Summary!$D$31&lt;&gt;"Included Margin"),0,1),0))</f>
        <v/>
      </c>
      <c r="AI1263" s="154"/>
      <c r="AJ1263" s="158" t="str">
        <f t="shared" si="809"/>
        <v/>
      </c>
      <c r="AK1263" s="150" t="str">
        <f t="shared" si="810"/>
        <v/>
      </c>
      <c r="AL1263" s="147" t="str">
        <f t="shared" si="811"/>
        <v/>
      </c>
      <c r="AM1263" s="147" t="str">
        <f t="shared" si="799"/>
        <v/>
      </c>
      <c r="AN1263" s="160" t="str">
        <f t="shared" si="812"/>
        <v/>
      </c>
      <c r="AO1263" s="161" t="str">
        <f t="shared" si="813"/>
        <v/>
      </c>
      <c r="AP1263" s="156" t="str">
        <f t="shared" si="800"/>
        <v/>
      </c>
      <c r="AQ1263" s="152"/>
      <c r="AR1263" s="162" t="str">
        <f t="shared" si="801"/>
        <v/>
      </c>
      <c r="AS1263" s="150" t="str">
        <f t="shared" si="814"/>
        <v/>
      </c>
      <c r="AT1263" s="163" t="str">
        <f t="shared" si="802"/>
        <v/>
      </c>
      <c r="AU1263" s="163" t="str">
        <f t="shared" si="803"/>
        <v/>
      </c>
      <c r="AV1263" s="163" t="str">
        <f t="shared" si="815"/>
        <v/>
      </c>
      <c r="AW1263" s="163" t="str">
        <f t="shared" si="804"/>
        <v/>
      </c>
      <c r="AX1263" s="163" t="str">
        <f t="shared" si="805"/>
        <v/>
      </c>
      <c r="AY1263" s="150" t="str">
        <f t="shared" si="816"/>
        <v/>
      </c>
      <c r="AZ1263" s="150" t="str">
        <f>IF($E1263="","",IF(OR(AND($D1263=Input!$C$6,$C1263=12),$AN1263=1),0,-AS1264+AT1264+AU1264-AV1264-AW1264-AX1264+AZ1264))</f>
        <v/>
      </c>
      <c r="BA1263" s="154" t="str">
        <f t="shared" si="806"/>
        <v/>
      </c>
      <c r="BC1263" s="147" t="str">
        <f t="shared" si="817"/>
        <v/>
      </c>
      <c r="BD1263" s="164" t="str">
        <f>IF(AND($C1262=12,$D1262=Input!$C$6),0,IF($E1263="","",AT1263+(AU1263+BD1264)/(1+$AK1263)*MIN((1-AM1263-AN1263),1)))</f>
        <v/>
      </c>
      <c r="BH1263" s="152"/>
      <c r="BI1263" s="162" t="str">
        <f t="shared" si="825"/>
        <v/>
      </c>
      <c r="BJ1263" s="150" t="str">
        <f t="shared" si="826"/>
        <v/>
      </c>
      <c r="BK1263" s="163" t="str">
        <f t="shared" si="822"/>
        <v/>
      </c>
      <c r="BL1263" s="163" t="str">
        <f t="shared" si="827"/>
        <v/>
      </c>
      <c r="BM1263" s="163" t="str">
        <f t="shared" si="823"/>
        <v/>
      </c>
      <c r="BN1263" s="163" t="str">
        <f t="shared" si="828"/>
        <v/>
      </c>
      <c r="BO1263" s="163" t="str">
        <f t="shared" si="829"/>
        <v/>
      </c>
      <c r="BP1263" s="150" t="str">
        <f t="shared" si="824"/>
        <v/>
      </c>
      <c r="BQ1263" s="150" t="str">
        <f t="shared" si="818"/>
        <v/>
      </c>
      <c r="BR1263" s="154" t="str">
        <f t="shared" si="830"/>
        <v/>
      </c>
      <c r="BT1263" s="147"/>
    </row>
    <row r="1264" spans="1:72" s="150" customFormat="1" x14ac:dyDescent="0.25">
      <c r="A1264" s="150" t="str">
        <f t="shared" si="819"/>
        <v/>
      </c>
      <c r="B1264" s="150" t="str">
        <f t="shared" si="820"/>
        <v/>
      </c>
      <c r="C1264" s="150" t="str">
        <f t="shared" si="821"/>
        <v/>
      </c>
      <c r="D1264" s="150" t="str">
        <f>IF(E1264="","",Input!$C$4+B1264-1)</f>
        <v/>
      </c>
      <c r="E1264" s="150" t="str">
        <f>IF(OR(AND(C1263=12,D1263=Input!$C$6),E1263=""),"",1)</f>
        <v/>
      </c>
      <c r="G1264" s="151" t="str">
        <f>IF(E1264="","",MAX(0,Input!$C$9-B1264))</f>
        <v/>
      </c>
      <c r="H1264" s="152" t="str">
        <f>IF(E1264="","",Input!$C$3)</f>
        <v/>
      </c>
      <c r="I1264" s="153" t="str">
        <f>IF(E1264="","",HLOOKUP($B1264,Input!$C$13:$BT$14,2))</f>
        <v/>
      </c>
      <c r="J1264" s="154"/>
      <c r="K1264" s="150" t="str">
        <f>IF($E1264="","",INDEX(Input!$C$16:$CP$16,1,$B1264))</f>
        <v/>
      </c>
      <c r="L1264" s="150" t="str">
        <f>IF($E1264="","",Input!$C$37)</f>
        <v/>
      </c>
      <c r="M1264" s="150" t="str">
        <f t="shared" si="807"/>
        <v/>
      </c>
      <c r="N1264" s="150" t="str">
        <f t="shared" si="808"/>
        <v/>
      </c>
      <c r="O1264" s="147" t="str">
        <f>IF($E1264="","",MIN(VLOOKUP(IF($B1264&lt;=Input!$C$7,$B1264,26),'Mortality Tables'!$A$41:$CW$67,IF($B1264&lt;=Input!$C$7+1,Input!$C$4+2,$D1264-Input!$C$7+2),0)*IF(B1264&gt;20,Input!$C$22,1)/1000,1))</f>
        <v/>
      </c>
      <c r="P1264" s="147" t="str">
        <f>IF($E1264="","",MIN(VLOOKUP(IF($B1264&lt;=Input!$C$7,$B1264,26),'Mortality Tables'!$A$12:$CW$37,IF($B1264&lt;=Input!$C$7+1,Input!$C$4+2,$D1264-Input!$C$7+2),0)*IF(B1264&gt;20,Input!$C$22,1)/1000,1))</f>
        <v/>
      </c>
      <c r="Q1264" s="155" t="str">
        <f>IF($E1264="","",Input!$C$21)</f>
        <v/>
      </c>
      <c r="R1264" s="159" t="str">
        <f>IF($E1264="","",(1-Q1264)^($F1264-Input!$C$20))</f>
        <v/>
      </c>
      <c r="S1264" s="147" t="str">
        <f t="shared" si="796"/>
        <v/>
      </c>
      <c r="T1264" s="147" t="str">
        <f t="shared" si="797"/>
        <v/>
      </c>
      <c r="U1264" s="160" t="str">
        <f>IF($E1264="","",IF($C1264=12,INDEX(Input!$C$15:$CP$15,1,$B1264),0))</f>
        <v/>
      </c>
      <c r="V1264" s="150" t="str">
        <f>IF(E1264="","",IF(C1264=1,IF($B1264=1,Input!$C$33,Input!$C$34),0))</f>
        <v/>
      </c>
      <c r="W1264" s="156" t="str">
        <f>IF($E1264="","",Input!$C$35)</f>
        <v/>
      </c>
      <c r="X1264" s="156" t="str">
        <f t="shared" si="798"/>
        <v/>
      </c>
      <c r="Y1264" s="154"/>
      <c r="Z1264" s="147" t="str">
        <f>IF($E1264="","",VLOOKUP($D1264,'Mortality Margins &amp; Grading'!$AB$5:$AF$125,3,0)*IF(Summary!$D$25="Included Margin",IF(AND($B1264&gt;Input!$C$9,Summary!$D$31&lt;&gt;"Included Margin"),0,1),0))</f>
        <v/>
      </c>
      <c r="AA1264" s="147" t="str">
        <f>IF($E1264="","",VLOOKUP($D1264,'Mortality Margins &amp; Grading'!$AB$5:$AF$125,5,0)*IF(Summary!$D$25="Included Margin",IF(AND($B1264&gt;Input!$C$9,Summary!$D$31&lt;&gt;"Included Margin"),0,1),0))</f>
        <v/>
      </c>
      <c r="AB1264" s="147" t="str">
        <f>IF($E1264="","",IF(AND($B1264&gt;Input!$C$9,Summary!$D$31&lt;&gt;"Included Margin"),1,IF(Summary!$D$25="Included Margin",VLOOKUP($B1264,'Mortality Margins &amp; Grading'!$AI$5:$AR$125,MATCH('Mortality Margins &amp; Grading'!$AQ$4,'Mortality Margins &amp; Grading'!$AI$4:$AR$4,0),0),1)))</f>
        <v/>
      </c>
      <c r="AC1264" s="154"/>
      <c r="AD1264" s="158" t="str">
        <f>IF(E1264="","",Input!$C$48*IF(Summary!$D$30="Included Margin",IF(AND($B1264&gt;Input!$C$9,Summary!$D$31&lt;&gt;"Included Margin"),0,1),0))</f>
        <v/>
      </c>
      <c r="AE1264" s="159" t="str">
        <f>IF(E1264="","",IF(Summary!$D$26="Included Margin",IF(AND($B1264&gt;Input!$C$9,Summary!$D$31&lt;&gt;"Included Margin"),1,1/$R1264),1))</f>
        <v/>
      </c>
      <c r="AF1264" s="160" t="str">
        <f>IF(E1264="","",IF(AND($B1264&gt;=Input!$C$9,$C1264=12,Summary!$D$31="Included Margin",$U1264&gt;0),1/U1264-1,IF($B1264&gt;=Input!$C$9,0,Input!$C$45*IF(Summary!$D$27="Included Margin",1,0))))</f>
        <v/>
      </c>
      <c r="AG1264" s="160" t="str">
        <f>IF(E1264="","",Input!$C$46*IF(Summary!$D$28="Included Margin",IF(AND($B1264&gt;Input!$C$9,Summary!$D$31&lt;&gt;"Included Margin"),0,1),0))</f>
        <v/>
      </c>
      <c r="AH1264" s="158" t="str">
        <f>IF(E1264="","",Input!$C$47*IF(Summary!$D$29="Included Margin",IF(AND($B1264&gt;Input!$C$9,Summary!$D$31&lt;&gt;"Included Margin"),0,1),0))</f>
        <v/>
      </c>
      <c r="AI1264" s="154"/>
      <c r="AJ1264" s="158" t="str">
        <f t="shared" si="809"/>
        <v/>
      </c>
      <c r="AK1264" s="150" t="str">
        <f t="shared" si="810"/>
        <v/>
      </c>
      <c r="AL1264" s="147" t="str">
        <f t="shared" si="811"/>
        <v/>
      </c>
      <c r="AM1264" s="147" t="str">
        <f t="shared" si="799"/>
        <v/>
      </c>
      <c r="AN1264" s="160" t="str">
        <f t="shared" si="812"/>
        <v/>
      </c>
      <c r="AO1264" s="161" t="str">
        <f t="shared" si="813"/>
        <v/>
      </c>
      <c r="AP1264" s="156" t="str">
        <f t="shared" si="800"/>
        <v/>
      </c>
      <c r="AQ1264" s="152"/>
      <c r="AR1264" s="162" t="str">
        <f t="shared" si="801"/>
        <v/>
      </c>
      <c r="AS1264" s="150" t="str">
        <f t="shared" si="814"/>
        <v/>
      </c>
      <c r="AT1264" s="163" t="str">
        <f t="shared" si="802"/>
        <v/>
      </c>
      <c r="AU1264" s="163" t="str">
        <f t="shared" si="803"/>
        <v/>
      </c>
      <c r="AV1264" s="163" t="str">
        <f t="shared" si="815"/>
        <v/>
      </c>
      <c r="AW1264" s="163" t="str">
        <f t="shared" si="804"/>
        <v/>
      </c>
      <c r="AX1264" s="163" t="str">
        <f t="shared" si="805"/>
        <v/>
      </c>
      <c r="AY1264" s="150" t="str">
        <f t="shared" si="816"/>
        <v/>
      </c>
      <c r="AZ1264" s="150" t="str">
        <f>IF($E1264="","",IF(OR(AND($D1264=Input!$C$6,$C1264=12),$AN1264=1),0,-AS1265+AT1265+AU1265-AV1265-AW1265-AX1265+AZ1265))</f>
        <v/>
      </c>
      <c r="BA1264" s="154" t="str">
        <f t="shared" si="806"/>
        <v/>
      </c>
      <c r="BC1264" s="147" t="str">
        <f t="shared" si="817"/>
        <v/>
      </c>
      <c r="BD1264" s="164" t="str">
        <f>IF(AND($C1263=12,$D1263=Input!$C$6),0,IF($E1264="","",AT1264+(AU1264+BD1265)/(1+$AK1264)*MIN((1-AM1264-AN1264),1)))</f>
        <v/>
      </c>
      <c r="BH1264" s="152"/>
      <c r="BI1264" s="162" t="str">
        <f t="shared" si="825"/>
        <v/>
      </c>
      <c r="BJ1264" s="150" t="str">
        <f t="shared" si="826"/>
        <v/>
      </c>
      <c r="BK1264" s="163" t="str">
        <f t="shared" si="822"/>
        <v/>
      </c>
      <c r="BL1264" s="163" t="str">
        <f t="shared" si="827"/>
        <v/>
      </c>
      <c r="BM1264" s="163" t="str">
        <f t="shared" si="823"/>
        <v/>
      </c>
      <c r="BN1264" s="163" t="str">
        <f t="shared" si="828"/>
        <v/>
      </c>
      <c r="BO1264" s="163" t="str">
        <f t="shared" si="829"/>
        <v/>
      </c>
      <c r="BP1264" s="150" t="str">
        <f t="shared" si="824"/>
        <v/>
      </c>
      <c r="BQ1264" s="150" t="str">
        <f t="shared" si="818"/>
        <v/>
      </c>
      <c r="BR1264" s="154" t="str">
        <f t="shared" si="830"/>
        <v/>
      </c>
      <c r="BT1264" s="147"/>
    </row>
    <row r="1265" spans="1:72" s="150" customFormat="1" x14ac:dyDescent="0.25">
      <c r="A1265" s="150" t="str">
        <f t="shared" si="819"/>
        <v/>
      </c>
      <c r="B1265" s="150" t="str">
        <f t="shared" si="820"/>
        <v/>
      </c>
      <c r="C1265" s="150" t="str">
        <f t="shared" si="821"/>
        <v/>
      </c>
      <c r="D1265" s="150" t="str">
        <f>IF(E1265="","",Input!$C$4+B1265-1)</f>
        <v/>
      </c>
      <c r="E1265" s="150" t="str">
        <f>IF(OR(AND(C1264=12,D1264=Input!$C$6),E1264=""),"",1)</f>
        <v/>
      </c>
      <c r="G1265" s="151" t="str">
        <f>IF(E1265="","",MAX(0,Input!$C$9-B1265))</f>
        <v/>
      </c>
      <c r="H1265" s="152" t="str">
        <f>IF(E1265="","",Input!$C$3)</f>
        <v/>
      </c>
      <c r="I1265" s="153" t="str">
        <f>IF(E1265="","",HLOOKUP($B1265,Input!$C$13:$BT$14,2))</f>
        <v/>
      </c>
      <c r="J1265" s="154"/>
      <c r="K1265" s="150" t="str">
        <f>IF($E1265="","",INDEX(Input!$C$16:$CP$16,1,$B1265))</f>
        <v/>
      </c>
      <c r="L1265" s="150" t="str">
        <f>IF($E1265="","",Input!$C$37)</f>
        <v/>
      </c>
      <c r="M1265" s="150" t="str">
        <f t="shared" si="807"/>
        <v/>
      </c>
      <c r="N1265" s="150" t="str">
        <f t="shared" si="808"/>
        <v/>
      </c>
      <c r="O1265" s="147" t="str">
        <f>IF($E1265="","",MIN(VLOOKUP(IF($B1265&lt;=Input!$C$7,$B1265,26),'Mortality Tables'!$A$41:$CW$67,IF($B1265&lt;=Input!$C$7+1,Input!$C$4+2,$D1265-Input!$C$7+2),0)*IF(B1265&gt;20,Input!$C$22,1)/1000,1))</f>
        <v/>
      </c>
      <c r="P1265" s="147" t="str">
        <f>IF($E1265="","",MIN(VLOOKUP(IF($B1265&lt;=Input!$C$7,$B1265,26),'Mortality Tables'!$A$12:$CW$37,IF($B1265&lt;=Input!$C$7+1,Input!$C$4+2,$D1265-Input!$C$7+2),0)*IF(B1265&gt;20,Input!$C$22,1)/1000,1))</f>
        <v/>
      </c>
      <c r="Q1265" s="155" t="str">
        <f>IF($E1265="","",Input!$C$21)</f>
        <v/>
      </c>
      <c r="R1265" s="159" t="str">
        <f>IF($E1265="","",(1-Q1265)^($F1265-Input!$C$20))</f>
        <v/>
      </c>
      <c r="S1265" s="147" t="str">
        <f t="shared" si="796"/>
        <v/>
      </c>
      <c r="T1265" s="147" t="str">
        <f t="shared" si="797"/>
        <v/>
      </c>
      <c r="U1265" s="160" t="str">
        <f>IF($E1265="","",IF($C1265=12,INDEX(Input!$C$15:$CP$15,1,$B1265),0))</f>
        <v/>
      </c>
      <c r="V1265" s="150" t="str">
        <f>IF(E1265="","",IF(C1265=1,IF($B1265=1,Input!$C$33,Input!$C$34),0))</f>
        <v/>
      </c>
      <c r="W1265" s="156" t="str">
        <f>IF($E1265="","",Input!$C$35)</f>
        <v/>
      </c>
      <c r="X1265" s="156" t="str">
        <f t="shared" si="798"/>
        <v/>
      </c>
      <c r="Y1265" s="154"/>
      <c r="Z1265" s="147" t="str">
        <f>IF($E1265="","",VLOOKUP($D1265,'Mortality Margins &amp; Grading'!$AB$5:$AF$125,3,0)*IF(Summary!$D$25="Included Margin",IF(AND($B1265&gt;Input!$C$9,Summary!$D$31&lt;&gt;"Included Margin"),0,1),0))</f>
        <v/>
      </c>
      <c r="AA1265" s="147" t="str">
        <f>IF($E1265="","",VLOOKUP($D1265,'Mortality Margins &amp; Grading'!$AB$5:$AF$125,5,0)*IF(Summary!$D$25="Included Margin",IF(AND($B1265&gt;Input!$C$9,Summary!$D$31&lt;&gt;"Included Margin"),0,1),0))</f>
        <v/>
      </c>
      <c r="AB1265" s="147" t="str">
        <f>IF($E1265="","",IF(AND($B1265&gt;Input!$C$9,Summary!$D$31&lt;&gt;"Included Margin"),1,IF(Summary!$D$25="Included Margin",VLOOKUP($B1265,'Mortality Margins &amp; Grading'!$AI$5:$AR$125,MATCH('Mortality Margins &amp; Grading'!$AQ$4,'Mortality Margins &amp; Grading'!$AI$4:$AR$4,0),0),1)))</f>
        <v/>
      </c>
      <c r="AC1265" s="154"/>
      <c r="AD1265" s="158" t="str">
        <f>IF(E1265="","",Input!$C$48*IF(Summary!$D$30="Included Margin",IF(AND($B1265&gt;Input!$C$9,Summary!$D$31&lt;&gt;"Included Margin"),0,1),0))</f>
        <v/>
      </c>
      <c r="AE1265" s="159" t="str">
        <f>IF(E1265="","",IF(Summary!$D$26="Included Margin",IF(AND($B1265&gt;Input!$C$9,Summary!$D$31&lt;&gt;"Included Margin"),1,1/$R1265),1))</f>
        <v/>
      </c>
      <c r="AF1265" s="160" t="str">
        <f>IF(E1265="","",IF(AND($B1265&gt;=Input!$C$9,$C1265=12,Summary!$D$31="Included Margin",$U1265&gt;0),1/U1265-1,IF($B1265&gt;=Input!$C$9,0,Input!$C$45*IF(Summary!$D$27="Included Margin",1,0))))</f>
        <v/>
      </c>
      <c r="AG1265" s="160" t="str">
        <f>IF(E1265="","",Input!$C$46*IF(Summary!$D$28="Included Margin",IF(AND($B1265&gt;Input!$C$9,Summary!$D$31&lt;&gt;"Included Margin"),0,1),0))</f>
        <v/>
      </c>
      <c r="AH1265" s="158" t="str">
        <f>IF(E1265="","",Input!$C$47*IF(Summary!$D$29="Included Margin",IF(AND($B1265&gt;Input!$C$9,Summary!$D$31&lt;&gt;"Included Margin"),0,1),0))</f>
        <v/>
      </c>
      <c r="AI1265" s="154"/>
      <c r="AJ1265" s="158" t="str">
        <f t="shared" si="809"/>
        <v/>
      </c>
      <c r="AK1265" s="150" t="str">
        <f t="shared" si="810"/>
        <v/>
      </c>
      <c r="AL1265" s="147" t="str">
        <f t="shared" si="811"/>
        <v/>
      </c>
      <c r="AM1265" s="147" t="str">
        <f t="shared" si="799"/>
        <v/>
      </c>
      <c r="AN1265" s="160" t="str">
        <f t="shared" si="812"/>
        <v/>
      </c>
      <c r="AO1265" s="161" t="str">
        <f t="shared" si="813"/>
        <v/>
      </c>
      <c r="AP1265" s="156" t="str">
        <f t="shared" si="800"/>
        <v/>
      </c>
      <c r="AQ1265" s="152"/>
      <c r="AR1265" s="162" t="str">
        <f t="shared" si="801"/>
        <v/>
      </c>
      <c r="AS1265" s="150" t="str">
        <f t="shared" si="814"/>
        <v/>
      </c>
      <c r="AT1265" s="163" t="str">
        <f t="shared" si="802"/>
        <v/>
      </c>
      <c r="AU1265" s="163" t="str">
        <f t="shared" si="803"/>
        <v/>
      </c>
      <c r="AV1265" s="163" t="str">
        <f t="shared" si="815"/>
        <v/>
      </c>
      <c r="AW1265" s="163" t="str">
        <f t="shared" si="804"/>
        <v/>
      </c>
      <c r="AX1265" s="163" t="str">
        <f t="shared" si="805"/>
        <v/>
      </c>
      <c r="AY1265" s="150" t="str">
        <f t="shared" si="816"/>
        <v/>
      </c>
      <c r="AZ1265" s="150" t="str">
        <f>IF($E1265="","",IF(OR(AND($D1265=Input!$C$6,$C1265=12),$AN1265=1),0,-AS1266+AT1266+AU1266-AV1266-AW1266-AX1266+AZ1266))</f>
        <v/>
      </c>
      <c r="BA1265" s="154" t="str">
        <f t="shared" si="806"/>
        <v/>
      </c>
      <c r="BC1265" s="147" t="str">
        <f t="shared" si="817"/>
        <v/>
      </c>
      <c r="BD1265" s="164" t="str">
        <f>IF(AND($C1264=12,$D1264=Input!$C$6),0,IF($E1265="","",AT1265+(AU1265+BD1266)/(1+$AK1265)*MIN((1-AM1265-AN1265),1)))</f>
        <v/>
      </c>
      <c r="BH1265" s="152"/>
      <c r="BI1265" s="162" t="str">
        <f t="shared" si="825"/>
        <v/>
      </c>
      <c r="BJ1265" s="150" t="str">
        <f t="shared" si="826"/>
        <v/>
      </c>
      <c r="BK1265" s="163" t="str">
        <f t="shared" si="822"/>
        <v/>
      </c>
      <c r="BL1265" s="163" t="str">
        <f t="shared" si="827"/>
        <v/>
      </c>
      <c r="BM1265" s="163" t="str">
        <f t="shared" si="823"/>
        <v/>
      </c>
      <c r="BN1265" s="163" t="str">
        <f t="shared" si="828"/>
        <v/>
      </c>
      <c r="BO1265" s="163" t="str">
        <f t="shared" si="829"/>
        <v/>
      </c>
      <c r="BP1265" s="150" t="str">
        <f t="shared" si="824"/>
        <v/>
      </c>
      <c r="BQ1265" s="150" t="str">
        <f t="shared" si="818"/>
        <v/>
      </c>
      <c r="BR1265" s="154" t="str">
        <f t="shared" si="830"/>
        <v/>
      </c>
      <c r="BT1265" s="147"/>
    </row>
    <row r="1266" spans="1:72" s="150" customFormat="1" x14ac:dyDescent="0.25">
      <c r="A1266" s="150" t="str">
        <f t="shared" si="819"/>
        <v/>
      </c>
      <c r="B1266" s="150" t="str">
        <f t="shared" si="820"/>
        <v/>
      </c>
      <c r="C1266" s="150" t="str">
        <f t="shared" si="821"/>
        <v/>
      </c>
      <c r="D1266" s="150" t="str">
        <f>IF(E1266="","",Input!$C$4+B1266-1)</f>
        <v/>
      </c>
      <c r="E1266" s="150" t="str">
        <f>IF(OR(AND(C1265=12,D1265=Input!$C$6),E1265=""),"",1)</f>
        <v/>
      </c>
      <c r="G1266" s="151" t="str">
        <f>IF(E1266="","",MAX(0,Input!$C$9-B1266))</f>
        <v/>
      </c>
      <c r="H1266" s="152" t="str">
        <f>IF(E1266="","",Input!$C$3)</f>
        <v/>
      </c>
      <c r="I1266" s="153" t="str">
        <f>IF(E1266="","",HLOOKUP($B1266,Input!$C$13:$BT$14,2))</f>
        <v/>
      </c>
      <c r="J1266" s="154"/>
      <c r="K1266" s="150" t="str">
        <f>IF($E1266="","",INDEX(Input!$C$16:$CP$16,1,$B1266))</f>
        <v/>
      </c>
      <c r="L1266" s="150" t="str">
        <f>IF($E1266="","",Input!$C$37)</f>
        <v/>
      </c>
      <c r="M1266" s="150" t="str">
        <f t="shared" si="807"/>
        <v/>
      </c>
      <c r="N1266" s="150" t="str">
        <f t="shared" si="808"/>
        <v/>
      </c>
      <c r="O1266" s="147" t="str">
        <f>IF($E1266="","",MIN(VLOOKUP(IF($B1266&lt;=Input!$C$7,$B1266,26),'Mortality Tables'!$A$41:$CW$67,IF($B1266&lt;=Input!$C$7+1,Input!$C$4+2,$D1266-Input!$C$7+2),0)*IF(B1266&gt;20,Input!$C$22,1)/1000,1))</f>
        <v/>
      </c>
      <c r="P1266" s="147" t="str">
        <f>IF($E1266="","",MIN(VLOOKUP(IF($B1266&lt;=Input!$C$7,$B1266,26),'Mortality Tables'!$A$12:$CW$37,IF($B1266&lt;=Input!$C$7+1,Input!$C$4+2,$D1266-Input!$C$7+2),0)*IF(B1266&gt;20,Input!$C$22,1)/1000,1))</f>
        <v/>
      </c>
      <c r="Q1266" s="155" t="str">
        <f>IF($E1266="","",Input!$C$21)</f>
        <v/>
      </c>
      <c r="R1266" s="159" t="str">
        <f>IF($E1266="","",(1-Q1266)^($F1266-Input!$C$20))</f>
        <v/>
      </c>
      <c r="S1266" s="147" t="str">
        <f t="shared" si="796"/>
        <v/>
      </c>
      <c r="T1266" s="147" t="str">
        <f t="shared" si="797"/>
        <v/>
      </c>
      <c r="U1266" s="160" t="str">
        <f>IF($E1266="","",IF($C1266=12,INDEX(Input!$C$15:$CP$15,1,$B1266),0))</f>
        <v/>
      </c>
      <c r="V1266" s="150" t="str">
        <f>IF(E1266="","",IF(C1266=1,IF($B1266=1,Input!$C$33,Input!$C$34),0))</f>
        <v/>
      </c>
      <c r="W1266" s="156" t="str">
        <f>IF($E1266="","",Input!$C$35)</f>
        <v/>
      </c>
      <c r="X1266" s="156" t="str">
        <f t="shared" si="798"/>
        <v/>
      </c>
      <c r="Y1266" s="154"/>
      <c r="Z1266" s="147" t="str">
        <f>IF($E1266="","",VLOOKUP($D1266,'Mortality Margins &amp; Grading'!$AB$5:$AF$125,3,0)*IF(Summary!$D$25="Included Margin",IF(AND($B1266&gt;Input!$C$9,Summary!$D$31&lt;&gt;"Included Margin"),0,1),0))</f>
        <v/>
      </c>
      <c r="AA1266" s="147" t="str">
        <f>IF($E1266="","",VLOOKUP($D1266,'Mortality Margins &amp; Grading'!$AB$5:$AF$125,5,0)*IF(Summary!$D$25="Included Margin",IF(AND($B1266&gt;Input!$C$9,Summary!$D$31&lt;&gt;"Included Margin"),0,1),0))</f>
        <v/>
      </c>
      <c r="AB1266" s="147" t="str">
        <f>IF($E1266="","",IF(AND($B1266&gt;Input!$C$9,Summary!$D$31&lt;&gt;"Included Margin"),1,IF(Summary!$D$25="Included Margin",VLOOKUP($B1266,'Mortality Margins &amp; Grading'!$AI$5:$AR$125,MATCH('Mortality Margins &amp; Grading'!$AQ$4,'Mortality Margins &amp; Grading'!$AI$4:$AR$4,0),0),1)))</f>
        <v/>
      </c>
      <c r="AC1266" s="154"/>
      <c r="AD1266" s="158" t="str">
        <f>IF(E1266="","",Input!$C$48*IF(Summary!$D$30="Included Margin",IF(AND($B1266&gt;Input!$C$9,Summary!$D$31&lt;&gt;"Included Margin"),0,1),0))</f>
        <v/>
      </c>
      <c r="AE1266" s="159" t="str">
        <f>IF(E1266="","",IF(Summary!$D$26="Included Margin",IF(AND($B1266&gt;Input!$C$9,Summary!$D$31&lt;&gt;"Included Margin"),1,1/$R1266),1))</f>
        <v/>
      </c>
      <c r="AF1266" s="160" t="str">
        <f>IF(E1266="","",IF(AND($B1266&gt;=Input!$C$9,$C1266=12,Summary!$D$31="Included Margin",$U1266&gt;0),1/U1266-1,IF($B1266&gt;=Input!$C$9,0,Input!$C$45*IF(Summary!$D$27="Included Margin",1,0))))</f>
        <v/>
      </c>
      <c r="AG1266" s="160" t="str">
        <f>IF(E1266="","",Input!$C$46*IF(Summary!$D$28="Included Margin",IF(AND($B1266&gt;Input!$C$9,Summary!$D$31&lt;&gt;"Included Margin"),0,1),0))</f>
        <v/>
      </c>
      <c r="AH1266" s="158" t="str">
        <f>IF(E1266="","",Input!$C$47*IF(Summary!$D$29="Included Margin",IF(AND($B1266&gt;Input!$C$9,Summary!$D$31&lt;&gt;"Included Margin"),0,1),0))</f>
        <v/>
      </c>
      <c r="AI1266" s="154"/>
      <c r="AJ1266" s="158" t="str">
        <f t="shared" si="809"/>
        <v/>
      </c>
      <c r="AK1266" s="150" t="str">
        <f t="shared" si="810"/>
        <v/>
      </c>
      <c r="AL1266" s="147" t="str">
        <f t="shared" si="811"/>
        <v/>
      </c>
      <c r="AM1266" s="147" t="str">
        <f t="shared" si="799"/>
        <v/>
      </c>
      <c r="AN1266" s="160" t="str">
        <f t="shared" si="812"/>
        <v/>
      </c>
      <c r="AO1266" s="161" t="str">
        <f t="shared" si="813"/>
        <v/>
      </c>
      <c r="AP1266" s="156" t="str">
        <f t="shared" si="800"/>
        <v/>
      </c>
      <c r="AQ1266" s="152"/>
      <c r="AR1266" s="162" t="str">
        <f t="shared" si="801"/>
        <v/>
      </c>
      <c r="AS1266" s="150" t="str">
        <f t="shared" si="814"/>
        <v/>
      </c>
      <c r="AT1266" s="163" t="str">
        <f t="shared" si="802"/>
        <v/>
      </c>
      <c r="AU1266" s="163" t="str">
        <f t="shared" si="803"/>
        <v/>
      </c>
      <c r="AV1266" s="163" t="str">
        <f t="shared" si="815"/>
        <v/>
      </c>
      <c r="AW1266" s="163" t="str">
        <f t="shared" si="804"/>
        <v/>
      </c>
      <c r="AX1266" s="163" t="str">
        <f t="shared" si="805"/>
        <v/>
      </c>
      <c r="AY1266" s="150" t="str">
        <f t="shared" si="816"/>
        <v/>
      </c>
      <c r="AZ1266" s="150" t="str">
        <f>IF($E1266="","",IF(OR(AND($D1266=Input!$C$6,$C1266=12),$AN1266=1),0,-AS1267+AT1267+AU1267-AV1267-AW1267-AX1267+AZ1267))</f>
        <v/>
      </c>
      <c r="BA1266" s="154" t="str">
        <f t="shared" si="806"/>
        <v/>
      </c>
      <c r="BC1266" s="147" t="str">
        <f t="shared" si="817"/>
        <v/>
      </c>
      <c r="BD1266" s="164" t="str">
        <f>IF(AND($C1265=12,$D1265=Input!$C$6),0,IF($E1266="","",AT1266+(AU1266+BD1267)/(1+$AK1266)*MIN((1-AM1266-AN1266),1)))</f>
        <v/>
      </c>
      <c r="BH1266" s="152"/>
      <c r="BI1266" s="162" t="str">
        <f t="shared" si="825"/>
        <v/>
      </c>
      <c r="BJ1266" s="150" t="str">
        <f t="shared" si="826"/>
        <v/>
      </c>
      <c r="BK1266" s="163" t="str">
        <f t="shared" si="822"/>
        <v/>
      </c>
      <c r="BL1266" s="163" t="str">
        <f t="shared" si="827"/>
        <v/>
      </c>
      <c r="BM1266" s="163" t="str">
        <f t="shared" si="823"/>
        <v/>
      </c>
      <c r="BN1266" s="163" t="str">
        <f t="shared" si="828"/>
        <v/>
      </c>
      <c r="BO1266" s="163" t="str">
        <f t="shared" si="829"/>
        <v/>
      </c>
      <c r="BP1266" s="150" t="str">
        <f t="shared" si="824"/>
        <v/>
      </c>
      <c r="BQ1266" s="150" t="str">
        <f t="shared" si="818"/>
        <v/>
      </c>
      <c r="BR1266" s="154" t="str">
        <f t="shared" si="830"/>
        <v/>
      </c>
      <c r="BT1266" s="147"/>
    </row>
    <row r="1267" spans="1:72" s="150" customFormat="1" x14ac:dyDescent="0.25">
      <c r="A1267" s="150" t="str">
        <f t="shared" si="819"/>
        <v/>
      </c>
      <c r="B1267" s="150" t="str">
        <f t="shared" si="820"/>
        <v/>
      </c>
      <c r="C1267" s="150" t="str">
        <f t="shared" si="821"/>
        <v/>
      </c>
      <c r="D1267" s="150" t="str">
        <f>IF(E1267="","",Input!$C$4+B1267-1)</f>
        <v/>
      </c>
      <c r="E1267" s="150" t="str">
        <f>IF(OR(AND(C1266=12,D1266=Input!$C$6),E1266=""),"",1)</f>
        <v/>
      </c>
      <c r="G1267" s="151" t="str">
        <f>IF(E1267="","",MAX(0,Input!$C$9-B1267))</f>
        <v/>
      </c>
      <c r="H1267" s="152" t="str">
        <f>IF(E1267="","",Input!$C$3)</f>
        <v/>
      </c>
      <c r="I1267" s="153" t="str">
        <f>IF(E1267="","",HLOOKUP($B1267,Input!$C$13:$BT$14,2))</f>
        <v/>
      </c>
      <c r="J1267" s="154"/>
      <c r="K1267" s="150" t="str">
        <f>IF($E1267="","",INDEX(Input!$C$16:$CP$16,1,$B1267))</f>
        <v/>
      </c>
      <c r="L1267" s="150" t="str">
        <f>IF($E1267="","",Input!$C$37)</f>
        <v/>
      </c>
      <c r="M1267" s="150" t="str">
        <f t="shared" si="807"/>
        <v/>
      </c>
      <c r="N1267" s="150" t="str">
        <f t="shared" si="808"/>
        <v/>
      </c>
      <c r="O1267" s="147" t="str">
        <f>IF($E1267="","",MIN(VLOOKUP(IF($B1267&lt;=Input!$C$7,$B1267,26),'Mortality Tables'!$A$41:$CW$67,IF($B1267&lt;=Input!$C$7+1,Input!$C$4+2,$D1267-Input!$C$7+2),0)*IF(B1267&gt;20,Input!$C$22,1)/1000,1))</f>
        <v/>
      </c>
      <c r="P1267" s="147" t="str">
        <f>IF($E1267="","",MIN(VLOOKUP(IF($B1267&lt;=Input!$C$7,$B1267,26),'Mortality Tables'!$A$12:$CW$37,IF($B1267&lt;=Input!$C$7+1,Input!$C$4+2,$D1267-Input!$C$7+2),0)*IF(B1267&gt;20,Input!$C$22,1)/1000,1))</f>
        <v/>
      </c>
      <c r="Q1267" s="155" t="str">
        <f>IF($E1267="","",Input!$C$21)</f>
        <v/>
      </c>
      <c r="R1267" s="159" t="str">
        <f>IF($E1267="","",(1-Q1267)^($F1267-Input!$C$20))</f>
        <v/>
      </c>
      <c r="S1267" s="147" t="str">
        <f t="shared" si="796"/>
        <v/>
      </c>
      <c r="T1267" s="147" t="str">
        <f t="shared" si="797"/>
        <v/>
      </c>
      <c r="U1267" s="160" t="str">
        <f>IF($E1267="","",IF($C1267=12,INDEX(Input!$C$15:$CP$15,1,$B1267),0))</f>
        <v/>
      </c>
      <c r="V1267" s="150" t="str">
        <f>IF(E1267="","",IF(C1267=1,IF($B1267=1,Input!$C$33,Input!$C$34),0))</f>
        <v/>
      </c>
      <c r="W1267" s="156" t="str">
        <f>IF($E1267="","",Input!$C$35)</f>
        <v/>
      </c>
      <c r="X1267" s="156" t="str">
        <f t="shared" si="798"/>
        <v/>
      </c>
      <c r="Y1267" s="154"/>
      <c r="Z1267" s="147" t="str">
        <f>IF($E1267="","",VLOOKUP($D1267,'Mortality Margins &amp; Grading'!$AB$5:$AF$125,3,0)*IF(Summary!$D$25="Included Margin",IF(AND($B1267&gt;Input!$C$9,Summary!$D$31&lt;&gt;"Included Margin"),0,1),0))</f>
        <v/>
      </c>
      <c r="AA1267" s="147" t="str">
        <f>IF($E1267="","",VLOOKUP($D1267,'Mortality Margins &amp; Grading'!$AB$5:$AF$125,5,0)*IF(Summary!$D$25="Included Margin",IF(AND($B1267&gt;Input!$C$9,Summary!$D$31&lt;&gt;"Included Margin"),0,1),0))</f>
        <v/>
      </c>
      <c r="AB1267" s="147" t="str">
        <f>IF($E1267="","",IF(AND($B1267&gt;Input!$C$9,Summary!$D$31&lt;&gt;"Included Margin"),1,IF(Summary!$D$25="Included Margin",VLOOKUP($B1267,'Mortality Margins &amp; Grading'!$AI$5:$AR$125,MATCH('Mortality Margins &amp; Grading'!$AQ$4,'Mortality Margins &amp; Grading'!$AI$4:$AR$4,0),0),1)))</f>
        <v/>
      </c>
      <c r="AC1267" s="154"/>
      <c r="AD1267" s="158" t="str">
        <f>IF(E1267="","",Input!$C$48*IF(Summary!$D$30="Included Margin",IF(AND($B1267&gt;Input!$C$9,Summary!$D$31&lt;&gt;"Included Margin"),0,1),0))</f>
        <v/>
      </c>
      <c r="AE1267" s="159" t="str">
        <f>IF(E1267="","",IF(Summary!$D$26="Included Margin",IF(AND($B1267&gt;Input!$C$9,Summary!$D$31&lt;&gt;"Included Margin"),1,1/$R1267),1))</f>
        <v/>
      </c>
      <c r="AF1267" s="160" t="str">
        <f>IF(E1267="","",IF(AND($B1267&gt;=Input!$C$9,$C1267=12,Summary!$D$31="Included Margin",$U1267&gt;0),1/U1267-1,IF($B1267&gt;=Input!$C$9,0,Input!$C$45*IF(Summary!$D$27="Included Margin",1,0))))</f>
        <v/>
      </c>
      <c r="AG1267" s="160" t="str">
        <f>IF(E1267="","",Input!$C$46*IF(Summary!$D$28="Included Margin",IF(AND($B1267&gt;Input!$C$9,Summary!$D$31&lt;&gt;"Included Margin"),0,1),0))</f>
        <v/>
      </c>
      <c r="AH1267" s="158" t="str">
        <f>IF(E1267="","",Input!$C$47*IF(Summary!$D$29="Included Margin",IF(AND($B1267&gt;Input!$C$9,Summary!$D$31&lt;&gt;"Included Margin"),0,1),0))</f>
        <v/>
      </c>
      <c r="AI1267" s="154"/>
      <c r="AJ1267" s="158" t="str">
        <f t="shared" si="809"/>
        <v/>
      </c>
      <c r="AK1267" s="150" t="str">
        <f t="shared" si="810"/>
        <v/>
      </c>
      <c r="AL1267" s="147" t="str">
        <f t="shared" si="811"/>
        <v/>
      </c>
      <c r="AM1267" s="147" t="str">
        <f t="shared" si="799"/>
        <v/>
      </c>
      <c r="AN1267" s="160" t="str">
        <f t="shared" si="812"/>
        <v/>
      </c>
      <c r="AO1267" s="161" t="str">
        <f t="shared" si="813"/>
        <v/>
      </c>
      <c r="AP1267" s="156" t="str">
        <f t="shared" si="800"/>
        <v/>
      </c>
      <c r="AQ1267" s="152"/>
      <c r="AR1267" s="162" t="str">
        <f t="shared" si="801"/>
        <v/>
      </c>
      <c r="AS1267" s="150" t="str">
        <f t="shared" si="814"/>
        <v/>
      </c>
      <c r="AT1267" s="163" t="str">
        <f t="shared" si="802"/>
        <v/>
      </c>
      <c r="AU1267" s="163" t="str">
        <f t="shared" si="803"/>
        <v/>
      </c>
      <c r="AV1267" s="163" t="str">
        <f t="shared" si="815"/>
        <v/>
      </c>
      <c r="AW1267" s="163" t="str">
        <f t="shared" si="804"/>
        <v/>
      </c>
      <c r="AX1267" s="163" t="str">
        <f t="shared" si="805"/>
        <v/>
      </c>
      <c r="AY1267" s="150" t="str">
        <f t="shared" si="816"/>
        <v/>
      </c>
      <c r="AZ1267" s="150" t="str">
        <f>IF($E1267="","",IF(OR(AND($D1267=Input!$C$6,$C1267=12),$AN1267=1),0,-AS1268+AT1268+AU1268-AV1268-AW1268-AX1268+AZ1268))</f>
        <v/>
      </c>
      <c r="BA1267" s="154" t="str">
        <f t="shared" si="806"/>
        <v/>
      </c>
      <c r="BC1267" s="147" t="str">
        <f t="shared" si="817"/>
        <v/>
      </c>
      <c r="BD1267" s="164" t="str">
        <f>IF(AND($C1266=12,$D1266=Input!$C$6),0,IF($E1267="","",AT1267+(AU1267+BD1268)/(1+$AK1267)*MIN((1-AM1267-AN1267),1)))</f>
        <v/>
      </c>
      <c r="BH1267" s="152"/>
      <c r="BI1267" s="162" t="str">
        <f t="shared" si="825"/>
        <v/>
      </c>
      <c r="BJ1267" s="150" t="str">
        <f t="shared" si="826"/>
        <v/>
      </c>
      <c r="BK1267" s="163" t="str">
        <f t="shared" si="822"/>
        <v/>
      </c>
      <c r="BL1267" s="163" t="str">
        <f t="shared" si="827"/>
        <v/>
      </c>
      <c r="BM1267" s="163" t="str">
        <f t="shared" si="823"/>
        <v/>
      </c>
      <c r="BN1267" s="163" t="str">
        <f t="shared" si="828"/>
        <v/>
      </c>
      <c r="BO1267" s="163" t="str">
        <f t="shared" si="829"/>
        <v/>
      </c>
      <c r="BP1267" s="150" t="str">
        <f t="shared" si="824"/>
        <v/>
      </c>
      <c r="BQ1267" s="150" t="str">
        <f t="shared" si="818"/>
        <v/>
      </c>
      <c r="BR1267" s="154" t="str">
        <f t="shared" si="830"/>
        <v/>
      </c>
      <c r="BT1267" s="147"/>
    </row>
    <row r="1268" spans="1:72" s="150" customFormat="1" x14ac:dyDescent="0.25">
      <c r="A1268" s="150" t="str">
        <f t="shared" si="819"/>
        <v/>
      </c>
      <c r="B1268" s="150" t="str">
        <f t="shared" si="820"/>
        <v/>
      </c>
      <c r="C1268" s="150" t="str">
        <f t="shared" si="821"/>
        <v/>
      </c>
      <c r="D1268" s="150" t="str">
        <f>IF(E1268="","",Input!$C$4+B1268-1)</f>
        <v/>
      </c>
      <c r="E1268" s="150" t="str">
        <f>IF(OR(AND(C1267=12,D1267=Input!$C$6),E1267=""),"",1)</f>
        <v/>
      </c>
      <c r="G1268" s="151" t="str">
        <f>IF(E1268="","",MAX(0,Input!$C$9-B1268))</f>
        <v/>
      </c>
      <c r="H1268" s="152" t="str">
        <f>IF(E1268="","",Input!$C$3)</f>
        <v/>
      </c>
      <c r="I1268" s="153" t="str">
        <f>IF(E1268="","",HLOOKUP($B1268,Input!$C$13:$BT$14,2))</f>
        <v/>
      </c>
      <c r="J1268" s="154"/>
      <c r="K1268" s="150" t="str">
        <f>IF($E1268="","",INDEX(Input!$C$16:$CP$16,1,$B1268))</f>
        <v/>
      </c>
      <c r="L1268" s="150" t="str">
        <f>IF($E1268="","",Input!$C$37)</f>
        <v/>
      </c>
      <c r="M1268" s="150" t="str">
        <f t="shared" si="807"/>
        <v/>
      </c>
      <c r="N1268" s="150" t="str">
        <f t="shared" si="808"/>
        <v/>
      </c>
      <c r="O1268" s="147" t="str">
        <f>IF($E1268="","",MIN(VLOOKUP(IF($B1268&lt;=Input!$C$7,$B1268,26),'Mortality Tables'!$A$41:$CW$67,IF($B1268&lt;=Input!$C$7+1,Input!$C$4+2,$D1268-Input!$C$7+2),0)*IF(B1268&gt;20,Input!$C$22,1)/1000,1))</f>
        <v/>
      </c>
      <c r="P1268" s="147" t="str">
        <f>IF($E1268="","",MIN(VLOOKUP(IF($B1268&lt;=Input!$C$7,$B1268,26),'Mortality Tables'!$A$12:$CW$37,IF($B1268&lt;=Input!$C$7+1,Input!$C$4+2,$D1268-Input!$C$7+2),0)*IF(B1268&gt;20,Input!$C$22,1)/1000,1))</f>
        <v/>
      </c>
      <c r="Q1268" s="155" t="str">
        <f>IF($E1268="","",Input!$C$21)</f>
        <v/>
      </c>
      <c r="R1268" s="159" t="str">
        <f>IF($E1268="","",(1-Q1268)^($F1268-Input!$C$20))</f>
        <v/>
      </c>
      <c r="S1268" s="147" t="str">
        <f t="shared" si="796"/>
        <v/>
      </c>
      <c r="T1268" s="147" t="str">
        <f t="shared" si="797"/>
        <v/>
      </c>
      <c r="U1268" s="160" t="str">
        <f>IF($E1268="","",IF($C1268=12,INDEX(Input!$C$15:$CP$15,1,$B1268),0))</f>
        <v/>
      </c>
      <c r="V1268" s="150" t="str">
        <f>IF(E1268="","",IF(C1268=1,IF($B1268=1,Input!$C$33,Input!$C$34),0))</f>
        <v/>
      </c>
      <c r="W1268" s="156" t="str">
        <f>IF($E1268="","",Input!$C$35)</f>
        <v/>
      </c>
      <c r="X1268" s="156" t="str">
        <f t="shared" si="798"/>
        <v/>
      </c>
      <c r="Y1268" s="154"/>
      <c r="Z1268" s="147" t="str">
        <f>IF($E1268="","",VLOOKUP($D1268,'Mortality Margins &amp; Grading'!$AB$5:$AF$125,3,0)*IF(Summary!$D$25="Included Margin",IF(AND($B1268&gt;Input!$C$9,Summary!$D$31&lt;&gt;"Included Margin"),0,1),0))</f>
        <v/>
      </c>
      <c r="AA1268" s="147" t="str">
        <f>IF($E1268="","",VLOOKUP($D1268,'Mortality Margins &amp; Grading'!$AB$5:$AF$125,5,0)*IF(Summary!$D$25="Included Margin",IF(AND($B1268&gt;Input!$C$9,Summary!$D$31&lt;&gt;"Included Margin"),0,1),0))</f>
        <v/>
      </c>
      <c r="AB1268" s="147" t="str">
        <f>IF($E1268="","",IF(AND($B1268&gt;Input!$C$9,Summary!$D$31&lt;&gt;"Included Margin"),1,IF(Summary!$D$25="Included Margin",VLOOKUP($B1268,'Mortality Margins &amp; Grading'!$AI$5:$AR$125,MATCH('Mortality Margins &amp; Grading'!$AQ$4,'Mortality Margins &amp; Grading'!$AI$4:$AR$4,0),0),1)))</f>
        <v/>
      </c>
      <c r="AC1268" s="154"/>
      <c r="AD1268" s="158" t="str">
        <f>IF(E1268="","",Input!$C$48*IF(Summary!$D$30="Included Margin",IF(AND($B1268&gt;Input!$C$9,Summary!$D$31&lt;&gt;"Included Margin"),0,1),0))</f>
        <v/>
      </c>
      <c r="AE1268" s="159" t="str">
        <f>IF(E1268="","",IF(Summary!$D$26="Included Margin",IF(AND($B1268&gt;Input!$C$9,Summary!$D$31&lt;&gt;"Included Margin"),1,1/$R1268),1))</f>
        <v/>
      </c>
      <c r="AF1268" s="160" t="str">
        <f>IF(E1268="","",IF(AND($B1268&gt;=Input!$C$9,$C1268=12,Summary!$D$31="Included Margin",$U1268&gt;0),1/U1268-1,IF($B1268&gt;=Input!$C$9,0,Input!$C$45*IF(Summary!$D$27="Included Margin",1,0))))</f>
        <v/>
      </c>
      <c r="AG1268" s="160" t="str">
        <f>IF(E1268="","",Input!$C$46*IF(Summary!$D$28="Included Margin",IF(AND($B1268&gt;Input!$C$9,Summary!$D$31&lt;&gt;"Included Margin"),0,1),0))</f>
        <v/>
      </c>
      <c r="AH1268" s="158" t="str">
        <f>IF(E1268="","",Input!$C$47*IF(Summary!$D$29="Included Margin",IF(AND($B1268&gt;Input!$C$9,Summary!$D$31&lt;&gt;"Included Margin"),0,1),0))</f>
        <v/>
      </c>
      <c r="AI1268" s="154"/>
      <c r="AJ1268" s="158" t="str">
        <f t="shared" si="809"/>
        <v/>
      </c>
      <c r="AK1268" s="150" t="str">
        <f t="shared" si="810"/>
        <v/>
      </c>
      <c r="AL1268" s="147" t="str">
        <f t="shared" si="811"/>
        <v/>
      </c>
      <c r="AM1268" s="147" t="str">
        <f t="shared" si="799"/>
        <v/>
      </c>
      <c r="AN1268" s="160" t="str">
        <f t="shared" si="812"/>
        <v/>
      </c>
      <c r="AO1268" s="161" t="str">
        <f t="shared" si="813"/>
        <v/>
      </c>
      <c r="AP1268" s="156" t="str">
        <f t="shared" si="800"/>
        <v/>
      </c>
      <c r="AQ1268" s="152"/>
      <c r="AR1268" s="162" t="str">
        <f t="shared" si="801"/>
        <v/>
      </c>
      <c r="AS1268" s="150" t="str">
        <f t="shared" si="814"/>
        <v/>
      </c>
      <c r="AT1268" s="163" t="str">
        <f t="shared" si="802"/>
        <v/>
      </c>
      <c r="AU1268" s="163" t="str">
        <f t="shared" si="803"/>
        <v/>
      </c>
      <c r="AV1268" s="163" t="str">
        <f t="shared" si="815"/>
        <v/>
      </c>
      <c r="AW1268" s="163" t="str">
        <f t="shared" si="804"/>
        <v/>
      </c>
      <c r="AX1268" s="163" t="str">
        <f t="shared" si="805"/>
        <v/>
      </c>
      <c r="AY1268" s="150" t="str">
        <f t="shared" si="816"/>
        <v/>
      </c>
      <c r="AZ1268" s="150" t="str">
        <f>IF($E1268="","",IF(OR(AND($D1268=Input!$C$6,$C1268=12),$AN1268=1),0,-AS1269+AT1269+AU1269-AV1269-AW1269-AX1269+AZ1269))</f>
        <v/>
      </c>
      <c r="BA1268" s="154" t="str">
        <f t="shared" si="806"/>
        <v/>
      </c>
      <c r="BC1268" s="147" t="str">
        <f t="shared" si="817"/>
        <v/>
      </c>
      <c r="BD1268" s="164" t="str">
        <f>IF(AND($C1267=12,$D1267=Input!$C$6),0,IF($E1268="","",AT1268+(AU1268+BD1269)/(1+$AK1268)*MIN((1-AM1268-AN1268),1)))</f>
        <v/>
      </c>
      <c r="BH1268" s="152"/>
      <c r="BI1268" s="162" t="str">
        <f t="shared" si="825"/>
        <v/>
      </c>
      <c r="BJ1268" s="150" t="str">
        <f t="shared" si="826"/>
        <v/>
      </c>
      <c r="BK1268" s="163" t="str">
        <f t="shared" si="822"/>
        <v/>
      </c>
      <c r="BL1268" s="163" t="str">
        <f t="shared" si="827"/>
        <v/>
      </c>
      <c r="BM1268" s="163" t="str">
        <f t="shared" si="823"/>
        <v/>
      </c>
      <c r="BN1268" s="163" t="str">
        <f t="shared" si="828"/>
        <v/>
      </c>
      <c r="BO1268" s="163" t="str">
        <f t="shared" si="829"/>
        <v/>
      </c>
      <c r="BP1268" s="150" t="str">
        <f t="shared" si="824"/>
        <v/>
      </c>
      <c r="BQ1268" s="150" t="str">
        <f t="shared" si="818"/>
        <v/>
      </c>
      <c r="BR1268" s="154" t="str">
        <f t="shared" si="830"/>
        <v/>
      </c>
      <c r="BT1268" s="147"/>
    </row>
    <row r="1269" spans="1:72" s="150" customFormat="1" x14ac:dyDescent="0.25">
      <c r="A1269" s="150" t="str">
        <f t="shared" si="819"/>
        <v/>
      </c>
      <c r="B1269" s="150" t="str">
        <f t="shared" si="820"/>
        <v/>
      </c>
      <c r="C1269" s="150" t="str">
        <f t="shared" si="821"/>
        <v/>
      </c>
      <c r="D1269" s="150" t="str">
        <f>IF(E1269="","",Input!$C$4+B1269-1)</f>
        <v/>
      </c>
      <c r="E1269" s="150" t="str">
        <f>IF(OR(AND(C1268=12,D1268=Input!$C$6),E1268=""),"",1)</f>
        <v/>
      </c>
      <c r="G1269" s="151" t="str">
        <f>IF(E1269="","",MAX(0,Input!$C$9-B1269))</f>
        <v/>
      </c>
      <c r="H1269" s="152" t="str">
        <f>IF(E1269="","",Input!$C$3)</f>
        <v/>
      </c>
      <c r="I1269" s="153" t="str">
        <f>IF(E1269="","",HLOOKUP($B1269,Input!$C$13:$BT$14,2))</f>
        <v/>
      </c>
      <c r="J1269" s="154"/>
      <c r="K1269" s="150" t="str">
        <f>IF($E1269="","",INDEX(Input!$C$16:$CP$16,1,$B1269))</f>
        <v/>
      </c>
      <c r="L1269" s="150" t="str">
        <f>IF($E1269="","",Input!$C$37)</f>
        <v/>
      </c>
      <c r="M1269" s="150" t="str">
        <f t="shared" si="807"/>
        <v/>
      </c>
      <c r="N1269" s="150" t="str">
        <f t="shared" si="808"/>
        <v/>
      </c>
      <c r="O1269" s="147" t="str">
        <f>IF($E1269="","",MIN(VLOOKUP(IF($B1269&lt;=Input!$C$7,$B1269,26),'Mortality Tables'!$A$41:$CW$67,IF($B1269&lt;=Input!$C$7+1,Input!$C$4+2,$D1269-Input!$C$7+2),0)*IF(B1269&gt;20,Input!$C$22,1)/1000,1))</f>
        <v/>
      </c>
      <c r="P1269" s="147" t="str">
        <f>IF($E1269="","",MIN(VLOOKUP(IF($B1269&lt;=Input!$C$7,$B1269,26),'Mortality Tables'!$A$12:$CW$37,IF($B1269&lt;=Input!$C$7+1,Input!$C$4+2,$D1269-Input!$C$7+2),0)*IF(B1269&gt;20,Input!$C$22,1)/1000,1))</f>
        <v/>
      </c>
      <c r="Q1269" s="155" t="str">
        <f>IF($E1269="","",Input!$C$21)</f>
        <v/>
      </c>
      <c r="R1269" s="159" t="str">
        <f>IF($E1269="","",(1-Q1269)^($F1269-Input!$C$20))</f>
        <v/>
      </c>
      <c r="S1269" s="147" t="str">
        <f t="shared" si="796"/>
        <v/>
      </c>
      <c r="T1269" s="147" t="str">
        <f t="shared" si="797"/>
        <v/>
      </c>
      <c r="U1269" s="160" t="str">
        <f>IF($E1269="","",IF($C1269=12,INDEX(Input!$C$15:$CP$15,1,$B1269),0))</f>
        <v/>
      </c>
      <c r="V1269" s="150" t="str">
        <f>IF(E1269="","",IF(C1269=1,IF($B1269=1,Input!$C$33,Input!$C$34),0))</f>
        <v/>
      </c>
      <c r="W1269" s="156" t="str">
        <f>IF($E1269="","",Input!$C$35)</f>
        <v/>
      </c>
      <c r="X1269" s="156" t="str">
        <f t="shared" si="798"/>
        <v/>
      </c>
      <c r="Y1269" s="154"/>
      <c r="Z1269" s="147" t="str">
        <f>IF($E1269="","",VLOOKUP($D1269,'Mortality Margins &amp; Grading'!$AB$5:$AF$125,3,0)*IF(Summary!$D$25="Included Margin",IF(AND($B1269&gt;Input!$C$9,Summary!$D$31&lt;&gt;"Included Margin"),0,1),0))</f>
        <v/>
      </c>
      <c r="AA1269" s="147" t="str">
        <f>IF($E1269="","",VLOOKUP($D1269,'Mortality Margins &amp; Grading'!$AB$5:$AF$125,5,0)*IF(Summary!$D$25="Included Margin",IF(AND($B1269&gt;Input!$C$9,Summary!$D$31&lt;&gt;"Included Margin"),0,1),0))</f>
        <v/>
      </c>
      <c r="AB1269" s="147" t="str">
        <f>IF($E1269="","",IF(AND($B1269&gt;Input!$C$9,Summary!$D$31&lt;&gt;"Included Margin"),1,IF(Summary!$D$25="Included Margin",VLOOKUP($B1269,'Mortality Margins &amp; Grading'!$AI$5:$AR$125,MATCH('Mortality Margins &amp; Grading'!$AQ$4,'Mortality Margins &amp; Grading'!$AI$4:$AR$4,0),0),1)))</f>
        <v/>
      </c>
      <c r="AC1269" s="154"/>
      <c r="AD1269" s="158" t="str">
        <f>IF(E1269="","",Input!$C$48*IF(Summary!$D$30="Included Margin",IF(AND($B1269&gt;Input!$C$9,Summary!$D$31&lt;&gt;"Included Margin"),0,1),0))</f>
        <v/>
      </c>
      <c r="AE1269" s="159" t="str">
        <f>IF(E1269="","",IF(Summary!$D$26="Included Margin",IF(AND($B1269&gt;Input!$C$9,Summary!$D$31&lt;&gt;"Included Margin"),1,1/$R1269),1))</f>
        <v/>
      </c>
      <c r="AF1269" s="160" t="str">
        <f>IF(E1269="","",IF(AND($B1269&gt;=Input!$C$9,$C1269=12,Summary!$D$31="Included Margin",$U1269&gt;0),1/U1269-1,IF($B1269&gt;=Input!$C$9,0,Input!$C$45*IF(Summary!$D$27="Included Margin",1,0))))</f>
        <v/>
      </c>
      <c r="AG1269" s="160" t="str">
        <f>IF(E1269="","",Input!$C$46*IF(Summary!$D$28="Included Margin",IF(AND($B1269&gt;Input!$C$9,Summary!$D$31&lt;&gt;"Included Margin"),0,1),0))</f>
        <v/>
      </c>
      <c r="AH1269" s="158" t="str">
        <f>IF(E1269="","",Input!$C$47*IF(Summary!$D$29="Included Margin",IF(AND($B1269&gt;Input!$C$9,Summary!$D$31&lt;&gt;"Included Margin"),0,1),0))</f>
        <v/>
      </c>
      <c r="AI1269" s="154"/>
      <c r="AJ1269" s="158" t="str">
        <f t="shared" si="809"/>
        <v/>
      </c>
      <c r="AK1269" s="150" t="str">
        <f t="shared" si="810"/>
        <v/>
      </c>
      <c r="AL1269" s="147" t="str">
        <f t="shared" si="811"/>
        <v/>
      </c>
      <c r="AM1269" s="147" t="str">
        <f t="shared" si="799"/>
        <v/>
      </c>
      <c r="AN1269" s="160" t="str">
        <f t="shared" si="812"/>
        <v/>
      </c>
      <c r="AO1269" s="161" t="str">
        <f t="shared" si="813"/>
        <v/>
      </c>
      <c r="AP1269" s="156" t="str">
        <f t="shared" si="800"/>
        <v/>
      </c>
      <c r="AQ1269" s="152"/>
      <c r="AR1269" s="162" t="str">
        <f t="shared" si="801"/>
        <v/>
      </c>
      <c r="AS1269" s="150" t="str">
        <f t="shared" si="814"/>
        <v/>
      </c>
      <c r="AT1269" s="163" t="str">
        <f t="shared" si="802"/>
        <v/>
      </c>
      <c r="AU1269" s="163" t="str">
        <f t="shared" si="803"/>
        <v/>
      </c>
      <c r="AV1269" s="163" t="str">
        <f t="shared" si="815"/>
        <v/>
      </c>
      <c r="AW1269" s="163" t="str">
        <f t="shared" si="804"/>
        <v/>
      </c>
      <c r="AX1269" s="163" t="str">
        <f t="shared" si="805"/>
        <v/>
      </c>
      <c r="AY1269" s="150" t="str">
        <f t="shared" si="816"/>
        <v/>
      </c>
      <c r="AZ1269" s="150" t="str">
        <f>IF($E1269="","",IF(OR(AND($D1269=Input!$C$6,$C1269=12),$AN1269=1),0,-AS1270+AT1270+AU1270-AV1270-AW1270-AX1270+AZ1270))</f>
        <v/>
      </c>
      <c r="BA1269" s="154" t="str">
        <f t="shared" si="806"/>
        <v/>
      </c>
      <c r="BC1269" s="147" t="str">
        <f t="shared" si="817"/>
        <v/>
      </c>
      <c r="BD1269" s="164" t="str">
        <f>IF(AND($C1268=12,$D1268=Input!$C$6),0,IF($E1269="","",AT1269+(AU1269+BD1270)/(1+$AK1269)*MIN((1-AM1269-AN1269),1)))</f>
        <v/>
      </c>
      <c r="BH1269" s="152"/>
      <c r="BI1269" s="162" t="str">
        <f t="shared" si="825"/>
        <v/>
      </c>
      <c r="BJ1269" s="150" t="str">
        <f t="shared" si="826"/>
        <v/>
      </c>
      <c r="BK1269" s="163" t="str">
        <f t="shared" si="822"/>
        <v/>
      </c>
      <c r="BL1269" s="163" t="str">
        <f t="shared" si="827"/>
        <v/>
      </c>
      <c r="BM1269" s="163" t="str">
        <f t="shared" si="823"/>
        <v/>
      </c>
      <c r="BN1269" s="163" t="str">
        <f t="shared" si="828"/>
        <v/>
      </c>
      <c r="BO1269" s="163" t="str">
        <f t="shared" si="829"/>
        <v/>
      </c>
      <c r="BP1269" s="150" t="str">
        <f t="shared" si="824"/>
        <v/>
      </c>
      <c r="BQ1269" s="150" t="str">
        <f t="shared" si="818"/>
        <v/>
      </c>
      <c r="BR1269" s="154" t="str">
        <f t="shared" si="830"/>
        <v/>
      </c>
      <c r="BT1269" s="147"/>
    </row>
    <row r="1270" spans="1:72" s="150" customFormat="1" x14ac:dyDescent="0.25">
      <c r="A1270" s="150" t="str">
        <f t="shared" si="819"/>
        <v/>
      </c>
      <c r="B1270" s="150" t="str">
        <f t="shared" si="820"/>
        <v/>
      </c>
      <c r="C1270" s="150" t="str">
        <f t="shared" si="821"/>
        <v/>
      </c>
      <c r="D1270" s="150" t="str">
        <f>IF(E1270="","",Input!$C$4+B1270-1)</f>
        <v/>
      </c>
      <c r="E1270" s="150" t="str">
        <f>IF(OR(AND(C1269=12,D1269=Input!$C$6),E1269=""),"",1)</f>
        <v/>
      </c>
      <c r="G1270" s="151" t="str">
        <f>IF(E1270="","",MAX(0,Input!$C$9-B1270))</f>
        <v/>
      </c>
      <c r="H1270" s="152" t="str">
        <f>IF(E1270="","",Input!$C$3)</f>
        <v/>
      </c>
      <c r="I1270" s="153" t="str">
        <f>IF(E1270="","",HLOOKUP($B1270,Input!$C$13:$BT$14,2))</f>
        <v/>
      </c>
      <c r="J1270" s="154"/>
      <c r="K1270" s="150" t="str">
        <f>IF($E1270="","",INDEX(Input!$C$16:$CP$16,1,$B1270))</f>
        <v/>
      </c>
      <c r="L1270" s="150" t="str">
        <f>IF($E1270="","",Input!$C$37)</f>
        <v/>
      </c>
      <c r="M1270" s="150" t="str">
        <f t="shared" si="807"/>
        <v/>
      </c>
      <c r="N1270" s="150" t="str">
        <f t="shared" si="808"/>
        <v/>
      </c>
      <c r="O1270" s="147" t="str">
        <f>IF($E1270="","",MIN(VLOOKUP(IF($B1270&lt;=Input!$C$7,$B1270,26),'Mortality Tables'!$A$41:$CW$67,IF($B1270&lt;=Input!$C$7+1,Input!$C$4+2,$D1270-Input!$C$7+2),0)*IF(B1270&gt;20,Input!$C$22,1)/1000,1))</f>
        <v/>
      </c>
      <c r="P1270" s="147" t="str">
        <f>IF($E1270="","",MIN(VLOOKUP(IF($B1270&lt;=Input!$C$7,$B1270,26),'Mortality Tables'!$A$12:$CW$37,IF($B1270&lt;=Input!$C$7+1,Input!$C$4+2,$D1270-Input!$C$7+2),0)*IF(B1270&gt;20,Input!$C$22,1)/1000,1))</f>
        <v/>
      </c>
      <c r="Q1270" s="155" t="str">
        <f>IF($E1270="","",Input!$C$21)</f>
        <v/>
      </c>
      <c r="R1270" s="159" t="str">
        <f>IF($E1270="","",(1-Q1270)^($F1270-Input!$C$20))</f>
        <v/>
      </c>
      <c r="S1270" s="147" t="str">
        <f t="shared" si="796"/>
        <v/>
      </c>
      <c r="T1270" s="147" t="str">
        <f t="shared" si="797"/>
        <v/>
      </c>
      <c r="U1270" s="160" t="str">
        <f>IF($E1270="","",IF($C1270=12,INDEX(Input!$C$15:$CP$15,1,$B1270),0))</f>
        <v/>
      </c>
      <c r="V1270" s="150" t="str">
        <f>IF(E1270="","",IF(C1270=1,IF($B1270=1,Input!$C$33,Input!$C$34),0))</f>
        <v/>
      </c>
      <c r="W1270" s="156" t="str">
        <f>IF($E1270="","",Input!$C$35)</f>
        <v/>
      </c>
      <c r="X1270" s="156" t="str">
        <f t="shared" si="798"/>
        <v/>
      </c>
      <c r="Y1270" s="154"/>
      <c r="Z1270" s="147" t="str">
        <f>IF($E1270="","",VLOOKUP($D1270,'Mortality Margins &amp; Grading'!$AB$5:$AF$125,3,0)*IF(Summary!$D$25="Included Margin",IF(AND($B1270&gt;Input!$C$9,Summary!$D$31&lt;&gt;"Included Margin"),0,1),0))</f>
        <v/>
      </c>
      <c r="AA1270" s="147" t="str">
        <f>IF($E1270="","",VLOOKUP($D1270,'Mortality Margins &amp; Grading'!$AB$5:$AF$125,5,0)*IF(Summary!$D$25="Included Margin",IF(AND($B1270&gt;Input!$C$9,Summary!$D$31&lt;&gt;"Included Margin"),0,1),0))</f>
        <v/>
      </c>
      <c r="AB1270" s="147" t="str">
        <f>IF($E1270="","",IF(AND($B1270&gt;Input!$C$9,Summary!$D$31&lt;&gt;"Included Margin"),1,IF(Summary!$D$25="Included Margin",VLOOKUP($B1270,'Mortality Margins &amp; Grading'!$AI$5:$AR$125,MATCH('Mortality Margins &amp; Grading'!$AQ$4,'Mortality Margins &amp; Grading'!$AI$4:$AR$4,0),0),1)))</f>
        <v/>
      </c>
      <c r="AC1270" s="154"/>
      <c r="AD1270" s="158" t="str">
        <f>IF(E1270="","",Input!$C$48*IF(Summary!$D$30="Included Margin",IF(AND($B1270&gt;Input!$C$9,Summary!$D$31&lt;&gt;"Included Margin"),0,1),0))</f>
        <v/>
      </c>
      <c r="AE1270" s="159" t="str">
        <f>IF(E1270="","",IF(Summary!$D$26="Included Margin",IF(AND($B1270&gt;Input!$C$9,Summary!$D$31&lt;&gt;"Included Margin"),1,1/$R1270),1))</f>
        <v/>
      </c>
      <c r="AF1270" s="160" t="str">
        <f>IF(E1270="","",IF(AND($B1270&gt;=Input!$C$9,$C1270=12,Summary!$D$31="Included Margin",$U1270&gt;0),1/U1270-1,IF($B1270&gt;=Input!$C$9,0,Input!$C$45*IF(Summary!$D$27="Included Margin",1,0))))</f>
        <v/>
      </c>
      <c r="AG1270" s="160" t="str">
        <f>IF(E1270="","",Input!$C$46*IF(Summary!$D$28="Included Margin",IF(AND($B1270&gt;Input!$C$9,Summary!$D$31&lt;&gt;"Included Margin"),0,1),0))</f>
        <v/>
      </c>
      <c r="AH1270" s="158" t="str">
        <f>IF(E1270="","",Input!$C$47*IF(Summary!$D$29="Included Margin",IF(AND($B1270&gt;Input!$C$9,Summary!$D$31&lt;&gt;"Included Margin"),0,1),0))</f>
        <v/>
      </c>
      <c r="AI1270" s="154"/>
      <c r="AJ1270" s="158" t="str">
        <f t="shared" si="809"/>
        <v/>
      </c>
      <c r="AK1270" s="150" t="str">
        <f t="shared" si="810"/>
        <v/>
      </c>
      <c r="AL1270" s="147" t="str">
        <f t="shared" si="811"/>
        <v/>
      </c>
      <c r="AM1270" s="147" t="str">
        <f t="shared" si="799"/>
        <v/>
      </c>
      <c r="AN1270" s="160" t="str">
        <f t="shared" si="812"/>
        <v/>
      </c>
      <c r="AO1270" s="161" t="str">
        <f t="shared" si="813"/>
        <v/>
      </c>
      <c r="AP1270" s="156" t="str">
        <f t="shared" si="800"/>
        <v/>
      </c>
      <c r="AQ1270" s="152"/>
      <c r="AR1270" s="162" t="str">
        <f t="shared" si="801"/>
        <v/>
      </c>
      <c r="AS1270" s="150" t="str">
        <f t="shared" si="814"/>
        <v/>
      </c>
      <c r="AT1270" s="163" t="str">
        <f t="shared" si="802"/>
        <v/>
      </c>
      <c r="AU1270" s="163" t="str">
        <f t="shared" si="803"/>
        <v/>
      </c>
      <c r="AV1270" s="163" t="str">
        <f t="shared" si="815"/>
        <v/>
      </c>
      <c r="AW1270" s="163" t="str">
        <f t="shared" si="804"/>
        <v/>
      </c>
      <c r="AX1270" s="163" t="str">
        <f t="shared" si="805"/>
        <v/>
      </c>
      <c r="AY1270" s="150" t="str">
        <f t="shared" si="816"/>
        <v/>
      </c>
      <c r="AZ1270" s="150" t="str">
        <f>IF($E1270="","",IF(OR(AND($D1270=Input!$C$6,$C1270=12),$AN1270=1),0,-AS1271+AT1271+AU1271-AV1271-AW1271-AX1271+AZ1271))</f>
        <v/>
      </c>
      <c r="BA1270" s="154" t="str">
        <f t="shared" si="806"/>
        <v/>
      </c>
      <c r="BC1270" s="147" t="str">
        <f t="shared" si="817"/>
        <v/>
      </c>
      <c r="BD1270" s="164" t="str">
        <f>IF(AND($C1269=12,$D1269=Input!$C$6),0,IF($E1270="","",AT1270+(AU1270+BD1271)/(1+$AK1270)*MIN((1-AM1270-AN1270),1)))</f>
        <v/>
      </c>
      <c r="BH1270" s="152"/>
      <c r="BI1270" s="162" t="str">
        <f t="shared" si="825"/>
        <v/>
      </c>
      <c r="BJ1270" s="150" t="str">
        <f t="shared" si="826"/>
        <v/>
      </c>
      <c r="BK1270" s="163" t="str">
        <f t="shared" si="822"/>
        <v/>
      </c>
      <c r="BL1270" s="163" t="str">
        <f t="shared" si="827"/>
        <v/>
      </c>
      <c r="BM1270" s="163" t="str">
        <f t="shared" si="823"/>
        <v/>
      </c>
      <c r="BN1270" s="163" t="str">
        <f t="shared" si="828"/>
        <v/>
      </c>
      <c r="BO1270" s="163" t="str">
        <f t="shared" si="829"/>
        <v/>
      </c>
      <c r="BP1270" s="150" t="str">
        <f t="shared" si="824"/>
        <v/>
      </c>
      <c r="BQ1270" s="150" t="str">
        <f t="shared" si="818"/>
        <v/>
      </c>
      <c r="BR1270" s="154" t="str">
        <f t="shared" si="830"/>
        <v/>
      </c>
      <c r="BT1270" s="147"/>
    </row>
    <row r="1271" spans="1:72" s="150" customFormat="1" x14ac:dyDescent="0.25">
      <c r="A1271" s="150" t="str">
        <f t="shared" si="819"/>
        <v/>
      </c>
      <c r="B1271" s="150" t="str">
        <f t="shared" si="820"/>
        <v/>
      </c>
      <c r="C1271" s="150" t="str">
        <f t="shared" si="821"/>
        <v/>
      </c>
      <c r="D1271" s="150" t="str">
        <f>IF(E1271="","",Input!$C$4+B1271-1)</f>
        <v/>
      </c>
      <c r="E1271" s="150" t="str">
        <f>IF(OR(AND(C1270=12,D1270=Input!$C$6),E1270=""),"",1)</f>
        <v/>
      </c>
      <c r="G1271" s="151" t="str">
        <f>IF(E1271="","",MAX(0,Input!$C$9-B1271))</f>
        <v/>
      </c>
      <c r="H1271" s="152" t="str">
        <f>IF(E1271="","",Input!$C$3)</f>
        <v/>
      </c>
      <c r="I1271" s="153" t="str">
        <f>IF(E1271="","",HLOOKUP($B1271,Input!$C$13:$BT$14,2))</f>
        <v/>
      </c>
      <c r="J1271" s="154"/>
      <c r="K1271" s="150" t="str">
        <f>IF($E1271="","",INDEX(Input!$C$16:$CP$16,1,$B1271))</f>
        <v/>
      </c>
      <c r="L1271" s="150" t="str">
        <f>IF($E1271="","",Input!$C$37)</f>
        <v/>
      </c>
      <c r="M1271" s="150" t="str">
        <f t="shared" si="807"/>
        <v/>
      </c>
      <c r="N1271" s="150" t="str">
        <f t="shared" si="808"/>
        <v/>
      </c>
      <c r="O1271" s="147" t="str">
        <f>IF($E1271="","",MIN(VLOOKUP(IF($B1271&lt;=Input!$C$7,$B1271,26),'Mortality Tables'!$A$41:$CW$67,IF($B1271&lt;=Input!$C$7+1,Input!$C$4+2,$D1271-Input!$C$7+2),0)*IF(B1271&gt;20,Input!$C$22,1)/1000,1))</f>
        <v/>
      </c>
      <c r="P1271" s="147" t="str">
        <f>IF($E1271="","",MIN(VLOOKUP(IF($B1271&lt;=Input!$C$7,$B1271,26),'Mortality Tables'!$A$12:$CW$37,IF($B1271&lt;=Input!$C$7+1,Input!$C$4+2,$D1271-Input!$C$7+2),0)*IF(B1271&gt;20,Input!$C$22,1)/1000,1))</f>
        <v/>
      </c>
      <c r="Q1271" s="155" t="str">
        <f>IF($E1271="","",Input!$C$21)</f>
        <v/>
      </c>
      <c r="R1271" s="159" t="str">
        <f>IF($E1271="","",(1-Q1271)^($F1271-Input!$C$20))</f>
        <v/>
      </c>
      <c r="S1271" s="147" t="str">
        <f t="shared" si="796"/>
        <v/>
      </c>
      <c r="T1271" s="147" t="str">
        <f t="shared" si="797"/>
        <v/>
      </c>
      <c r="U1271" s="160" t="str">
        <f>IF($E1271="","",IF($C1271=12,INDEX(Input!$C$15:$CP$15,1,$B1271),0))</f>
        <v/>
      </c>
      <c r="V1271" s="150" t="str">
        <f>IF(E1271="","",IF(C1271=1,IF($B1271=1,Input!$C$33,Input!$C$34),0))</f>
        <v/>
      </c>
      <c r="W1271" s="156" t="str">
        <f>IF($E1271="","",Input!$C$35)</f>
        <v/>
      </c>
      <c r="X1271" s="156" t="str">
        <f t="shared" si="798"/>
        <v/>
      </c>
      <c r="Y1271" s="154"/>
      <c r="Z1271" s="147" t="str">
        <f>IF($E1271="","",VLOOKUP($D1271,'Mortality Margins &amp; Grading'!$AB$5:$AF$125,3,0)*IF(Summary!$D$25="Included Margin",IF(AND($B1271&gt;Input!$C$9,Summary!$D$31&lt;&gt;"Included Margin"),0,1),0))</f>
        <v/>
      </c>
      <c r="AA1271" s="147" t="str">
        <f>IF($E1271="","",VLOOKUP($D1271,'Mortality Margins &amp; Grading'!$AB$5:$AF$125,5,0)*IF(Summary!$D$25="Included Margin",IF(AND($B1271&gt;Input!$C$9,Summary!$D$31&lt;&gt;"Included Margin"),0,1),0))</f>
        <v/>
      </c>
      <c r="AB1271" s="147" t="str">
        <f>IF($E1271="","",IF(AND($B1271&gt;Input!$C$9,Summary!$D$31&lt;&gt;"Included Margin"),1,IF(Summary!$D$25="Included Margin",VLOOKUP($B1271,'Mortality Margins &amp; Grading'!$AI$5:$AR$125,MATCH('Mortality Margins &amp; Grading'!$AQ$4,'Mortality Margins &amp; Grading'!$AI$4:$AR$4,0),0),1)))</f>
        <v/>
      </c>
      <c r="AC1271" s="154"/>
      <c r="AD1271" s="158" t="str">
        <f>IF(E1271="","",Input!$C$48*IF(Summary!$D$30="Included Margin",IF(AND($B1271&gt;Input!$C$9,Summary!$D$31&lt;&gt;"Included Margin"),0,1),0))</f>
        <v/>
      </c>
      <c r="AE1271" s="159" t="str">
        <f>IF(E1271="","",IF(Summary!$D$26="Included Margin",IF(AND($B1271&gt;Input!$C$9,Summary!$D$31&lt;&gt;"Included Margin"),1,1/$R1271),1))</f>
        <v/>
      </c>
      <c r="AF1271" s="160" t="str">
        <f>IF(E1271="","",IF(AND($B1271&gt;=Input!$C$9,$C1271=12,Summary!$D$31="Included Margin",$U1271&gt;0),1/U1271-1,IF($B1271&gt;=Input!$C$9,0,Input!$C$45*IF(Summary!$D$27="Included Margin",1,0))))</f>
        <v/>
      </c>
      <c r="AG1271" s="160" t="str">
        <f>IF(E1271="","",Input!$C$46*IF(Summary!$D$28="Included Margin",IF(AND($B1271&gt;Input!$C$9,Summary!$D$31&lt;&gt;"Included Margin"),0,1),0))</f>
        <v/>
      </c>
      <c r="AH1271" s="158" t="str">
        <f>IF(E1271="","",Input!$C$47*IF(Summary!$D$29="Included Margin",IF(AND($B1271&gt;Input!$C$9,Summary!$D$31&lt;&gt;"Included Margin"),0,1),0))</f>
        <v/>
      </c>
      <c r="AI1271" s="154"/>
      <c r="AJ1271" s="158" t="str">
        <f t="shared" si="809"/>
        <v/>
      </c>
      <c r="AK1271" s="150" t="str">
        <f t="shared" si="810"/>
        <v/>
      </c>
      <c r="AL1271" s="147" t="str">
        <f t="shared" si="811"/>
        <v/>
      </c>
      <c r="AM1271" s="147" t="str">
        <f t="shared" si="799"/>
        <v/>
      </c>
      <c r="AN1271" s="160" t="str">
        <f t="shared" si="812"/>
        <v/>
      </c>
      <c r="AO1271" s="161" t="str">
        <f t="shared" si="813"/>
        <v/>
      </c>
      <c r="AP1271" s="156" t="str">
        <f t="shared" si="800"/>
        <v/>
      </c>
      <c r="AQ1271" s="152"/>
      <c r="AR1271" s="162" t="str">
        <f t="shared" si="801"/>
        <v/>
      </c>
      <c r="AS1271" s="150" t="str">
        <f t="shared" si="814"/>
        <v/>
      </c>
      <c r="AT1271" s="163" t="str">
        <f t="shared" si="802"/>
        <v/>
      </c>
      <c r="AU1271" s="163" t="str">
        <f t="shared" si="803"/>
        <v/>
      </c>
      <c r="AV1271" s="163" t="str">
        <f t="shared" si="815"/>
        <v/>
      </c>
      <c r="AW1271" s="163" t="str">
        <f t="shared" si="804"/>
        <v/>
      </c>
      <c r="AX1271" s="163" t="str">
        <f t="shared" si="805"/>
        <v/>
      </c>
      <c r="AY1271" s="150" t="str">
        <f t="shared" si="816"/>
        <v/>
      </c>
      <c r="AZ1271" s="150" t="str">
        <f>IF($E1271="","",IF(OR(AND($D1271=Input!$C$6,$C1271=12),$AN1271=1),0,-AS1272+AT1272+AU1272-AV1272-AW1272-AX1272+AZ1272))</f>
        <v/>
      </c>
      <c r="BA1271" s="154" t="str">
        <f t="shared" si="806"/>
        <v/>
      </c>
      <c r="BC1271" s="147" t="str">
        <f t="shared" si="817"/>
        <v/>
      </c>
      <c r="BD1271" s="164" t="str">
        <f>IF(AND($C1270=12,$D1270=Input!$C$6),0,IF($E1271="","",AT1271+(AU1271+BD1272)/(1+$AK1271)*MIN((1-AM1271-AN1271),1)))</f>
        <v/>
      </c>
      <c r="BH1271" s="152"/>
      <c r="BI1271" s="162" t="str">
        <f t="shared" si="825"/>
        <v/>
      </c>
      <c r="BJ1271" s="150" t="str">
        <f t="shared" si="826"/>
        <v/>
      </c>
      <c r="BK1271" s="163" t="str">
        <f t="shared" si="822"/>
        <v/>
      </c>
      <c r="BL1271" s="163" t="str">
        <f t="shared" si="827"/>
        <v/>
      </c>
      <c r="BM1271" s="163" t="str">
        <f t="shared" si="823"/>
        <v/>
      </c>
      <c r="BN1271" s="163" t="str">
        <f t="shared" si="828"/>
        <v/>
      </c>
      <c r="BO1271" s="163" t="str">
        <f t="shared" si="829"/>
        <v/>
      </c>
      <c r="BP1271" s="150" t="str">
        <f t="shared" si="824"/>
        <v/>
      </c>
      <c r="BQ1271" s="150" t="str">
        <f t="shared" si="818"/>
        <v/>
      </c>
      <c r="BR1271" s="154" t="str">
        <f t="shared" si="830"/>
        <v/>
      </c>
      <c r="BT1271" s="147"/>
    </row>
    <row r="1272" spans="1:72" s="150" customFormat="1" x14ac:dyDescent="0.25">
      <c r="A1272" s="150" t="str">
        <f t="shared" si="819"/>
        <v/>
      </c>
      <c r="B1272" s="150" t="str">
        <f t="shared" si="820"/>
        <v/>
      </c>
      <c r="C1272" s="150" t="str">
        <f t="shared" si="821"/>
        <v/>
      </c>
      <c r="D1272" s="150" t="str">
        <f>IF(E1272="","",Input!$C$4+B1272-1)</f>
        <v/>
      </c>
      <c r="E1272" s="150" t="str">
        <f>IF(OR(AND(C1271=12,D1271=Input!$C$6),E1271=""),"",1)</f>
        <v/>
      </c>
      <c r="G1272" s="151" t="str">
        <f>IF(E1272="","",MAX(0,Input!$C$9-B1272))</f>
        <v/>
      </c>
      <c r="H1272" s="152" t="str">
        <f>IF(E1272="","",Input!$C$3)</f>
        <v/>
      </c>
      <c r="I1272" s="153" t="str">
        <f>IF(E1272="","",HLOOKUP($B1272,Input!$C$13:$BT$14,2))</f>
        <v/>
      </c>
      <c r="J1272" s="154"/>
      <c r="K1272" s="150" t="str">
        <f>IF($E1272="","",INDEX(Input!$C$16:$CP$16,1,$B1272))</f>
        <v/>
      </c>
      <c r="L1272" s="150" t="str">
        <f>IF($E1272="","",Input!$C$37)</f>
        <v/>
      </c>
      <c r="M1272" s="150" t="str">
        <f t="shared" si="807"/>
        <v/>
      </c>
      <c r="N1272" s="150" t="str">
        <f t="shared" si="808"/>
        <v/>
      </c>
      <c r="O1272" s="147" t="str">
        <f>IF($E1272="","",MIN(VLOOKUP(IF($B1272&lt;=Input!$C$7,$B1272,26),'Mortality Tables'!$A$41:$CW$67,IF($B1272&lt;=Input!$C$7+1,Input!$C$4+2,$D1272-Input!$C$7+2),0)*IF(B1272&gt;20,Input!$C$22,1)/1000,1))</f>
        <v/>
      </c>
      <c r="P1272" s="147" t="str">
        <f>IF($E1272="","",MIN(VLOOKUP(IF($B1272&lt;=Input!$C$7,$B1272,26),'Mortality Tables'!$A$12:$CW$37,IF($B1272&lt;=Input!$C$7+1,Input!$C$4+2,$D1272-Input!$C$7+2),0)*IF(B1272&gt;20,Input!$C$22,1)/1000,1))</f>
        <v/>
      </c>
      <c r="Q1272" s="155" t="str">
        <f>IF($E1272="","",Input!$C$21)</f>
        <v/>
      </c>
      <c r="R1272" s="159" t="str">
        <f>IF($E1272="","",(1-Q1272)^($F1272-Input!$C$20))</f>
        <v/>
      </c>
      <c r="S1272" s="147" t="str">
        <f t="shared" si="796"/>
        <v/>
      </c>
      <c r="T1272" s="147" t="str">
        <f t="shared" si="797"/>
        <v/>
      </c>
      <c r="U1272" s="160" t="str">
        <f>IF($E1272="","",IF($C1272=12,INDEX(Input!$C$15:$CP$15,1,$B1272),0))</f>
        <v/>
      </c>
      <c r="V1272" s="150" t="str">
        <f>IF(E1272="","",IF(C1272=1,IF($B1272=1,Input!$C$33,Input!$C$34),0))</f>
        <v/>
      </c>
      <c r="W1272" s="156" t="str">
        <f>IF($E1272="","",Input!$C$35)</f>
        <v/>
      </c>
      <c r="X1272" s="156" t="str">
        <f t="shared" si="798"/>
        <v/>
      </c>
      <c r="Y1272" s="154"/>
      <c r="Z1272" s="147" t="str">
        <f>IF($E1272="","",VLOOKUP($D1272,'Mortality Margins &amp; Grading'!$AB$5:$AF$125,3,0)*IF(Summary!$D$25="Included Margin",IF(AND($B1272&gt;Input!$C$9,Summary!$D$31&lt;&gt;"Included Margin"),0,1),0))</f>
        <v/>
      </c>
      <c r="AA1272" s="147" t="str">
        <f>IF($E1272="","",VLOOKUP($D1272,'Mortality Margins &amp; Grading'!$AB$5:$AF$125,5,0)*IF(Summary!$D$25="Included Margin",IF(AND($B1272&gt;Input!$C$9,Summary!$D$31&lt;&gt;"Included Margin"),0,1),0))</f>
        <v/>
      </c>
      <c r="AB1272" s="147" t="str">
        <f>IF($E1272="","",IF(AND($B1272&gt;Input!$C$9,Summary!$D$31&lt;&gt;"Included Margin"),1,IF(Summary!$D$25="Included Margin",VLOOKUP($B1272,'Mortality Margins &amp; Grading'!$AI$5:$AR$125,MATCH('Mortality Margins &amp; Grading'!$AQ$4,'Mortality Margins &amp; Grading'!$AI$4:$AR$4,0),0),1)))</f>
        <v/>
      </c>
      <c r="AC1272" s="154"/>
      <c r="AD1272" s="158" t="str">
        <f>IF(E1272="","",Input!$C$48*IF(Summary!$D$30="Included Margin",IF(AND($B1272&gt;Input!$C$9,Summary!$D$31&lt;&gt;"Included Margin"),0,1),0))</f>
        <v/>
      </c>
      <c r="AE1272" s="159" t="str">
        <f>IF(E1272="","",IF(Summary!$D$26="Included Margin",IF(AND($B1272&gt;Input!$C$9,Summary!$D$31&lt;&gt;"Included Margin"),1,1/$R1272),1))</f>
        <v/>
      </c>
      <c r="AF1272" s="160" t="str">
        <f>IF(E1272="","",IF(AND($B1272&gt;=Input!$C$9,$C1272=12,Summary!$D$31="Included Margin",$U1272&gt;0),1/U1272-1,IF($B1272&gt;=Input!$C$9,0,Input!$C$45*IF(Summary!$D$27="Included Margin",1,0))))</f>
        <v/>
      </c>
      <c r="AG1272" s="160" t="str">
        <f>IF(E1272="","",Input!$C$46*IF(Summary!$D$28="Included Margin",IF(AND($B1272&gt;Input!$C$9,Summary!$D$31&lt;&gt;"Included Margin"),0,1),0))</f>
        <v/>
      </c>
      <c r="AH1272" s="158" t="str">
        <f>IF(E1272="","",Input!$C$47*IF(Summary!$D$29="Included Margin",IF(AND($B1272&gt;Input!$C$9,Summary!$D$31&lt;&gt;"Included Margin"),0,1),0))</f>
        <v/>
      </c>
      <c r="AI1272" s="154"/>
      <c r="AJ1272" s="158" t="str">
        <f t="shared" si="809"/>
        <v/>
      </c>
      <c r="AK1272" s="150" t="str">
        <f t="shared" si="810"/>
        <v/>
      </c>
      <c r="AL1272" s="147" t="str">
        <f t="shared" si="811"/>
        <v/>
      </c>
      <c r="AM1272" s="147" t="str">
        <f t="shared" si="799"/>
        <v/>
      </c>
      <c r="AN1272" s="160" t="str">
        <f t="shared" si="812"/>
        <v/>
      </c>
      <c r="AO1272" s="161" t="str">
        <f t="shared" si="813"/>
        <v/>
      </c>
      <c r="AP1272" s="156" t="str">
        <f t="shared" si="800"/>
        <v/>
      </c>
      <c r="AQ1272" s="152"/>
      <c r="AR1272" s="162" t="str">
        <f t="shared" si="801"/>
        <v/>
      </c>
      <c r="AS1272" s="150" t="str">
        <f t="shared" si="814"/>
        <v/>
      </c>
      <c r="AT1272" s="163" t="str">
        <f t="shared" si="802"/>
        <v/>
      </c>
      <c r="AU1272" s="163" t="str">
        <f t="shared" si="803"/>
        <v/>
      </c>
      <c r="AV1272" s="163" t="str">
        <f t="shared" si="815"/>
        <v/>
      </c>
      <c r="AW1272" s="163" t="str">
        <f t="shared" si="804"/>
        <v/>
      </c>
      <c r="AX1272" s="163" t="str">
        <f t="shared" si="805"/>
        <v/>
      </c>
      <c r="AY1272" s="150" t="str">
        <f t="shared" si="816"/>
        <v/>
      </c>
      <c r="AZ1272" s="150" t="str">
        <f>IF($E1272="","",IF(OR(AND($D1272=Input!$C$6,$C1272=12),$AN1272=1),0,-AS1273+AT1273+AU1273-AV1273-AW1273-AX1273+AZ1273))</f>
        <v/>
      </c>
      <c r="BA1272" s="154" t="str">
        <f t="shared" si="806"/>
        <v/>
      </c>
      <c r="BC1272" s="147" t="str">
        <f t="shared" si="817"/>
        <v/>
      </c>
      <c r="BD1272" s="164" t="str">
        <f>IF(AND($C1271=12,$D1271=Input!$C$6),0,IF($E1272="","",AT1272+(AU1272+BD1273)/(1+$AK1272)*MIN((1-AM1272-AN1272),1)))</f>
        <v/>
      </c>
      <c r="BH1272" s="152"/>
      <c r="BI1272" s="162" t="str">
        <f t="shared" si="825"/>
        <v/>
      </c>
      <c r="BJ1272" s="150" t="str">
        <f t="shared" si="826"/>
        <v/>
      </c>
      <c r="BK1272" s="163" t="str">
        <f t="shared" si="822"/>
        <v/>
      </c>
      <c r="BL1272" s="163" t="str">
        <f t="shared" si="827"/>
        <v/>
      </c>
      <c r="BM1272" s="163" t="str">
        <f t="shared" si="823"/>
        <v/>
      </c>
      <c r="BN1272" s="163" t="str">
        <f t="shared" si="828"/>
        <v/>
      </c>
      <c r="BO1272" s="163" t="str">
        <f t="shared" si="829"/>
        <v/>
      </c>
      <c r="BP1272" s="150" t="str">
        <f t="shared" si="824"/>
        <v/>
      </c>
      <c r="BQ1272" s="150" t="str">
        <f t="shared" si="818"/>
        <v/>
      </c>
      <c r="BR1272" s="154" t="str">
        <f t="shared" si="830"/>
        <v/>
      </c>
      <c r="BT1272" s="147"/>
    </row>
    <row r="1273" spans="1:72" s="150" customFormat="1" x14ac:dyDescent="0.25">
      <c r="A1273" s="150" t="str">
        <f t="shared" si="819"/>
        <v/>
      </c>
      <c r="B1273" s="150" t="str">
        <f t="shared" si="820"/>
        <v/>
      </c>
      <c r="C1273" s="150" t="str">
        <f t="shared" si="821"/>
        <v/>
      </c>
      <c r="D1273" s="150" t="str">
        <f>IF(E1273="","",Input!$C$4+B1273-1)</f>
        <v/>
      </c>
      <c r="E1273" s="150" t="str">
        <f>IF(OR(AND(C1272=12,D1272=Input!$C$6),E1272=""),"",1)</f>
        <v/>
      </c>
      <c r="G1273" s="151" t="str">
        <f>IF(E1273="","",MAX(0,Input!$C$9-B1273))</f>
        <v/>
      </c>
      <c r="H1273" s="152" t="str">
        <f>IF(E1273="","",Input!$C$3)</f>
        <v/>
      </c>
      <c r="I1273" s="153" t="str">
        <f>IF(E1273="","",HLOOKUP($B1273,Input!$C$13:$BT$14,2))</f>
        <v/>
      </c>
      <c r="J1273" s="154"/>
      <c r="K1273" s="150" t="str">
        <f>IF($E1273="","",INDEX(Input!$C$16:$CP$16,1,$B1273))</f>
        <v/>
      </c>
      <c r="L1273" s="150" t="str">
        <f>IF($E1273="","",Input!$C$37)</f>
        <v/>
      </c>
      <c r="M1273" s="150" t="str">
        <f t="shared" si="807"/>
        <v/>
      </c>
      <c r="N1273" s="150" t="str">
        <f t="shared" si="808"/>
        <v/>
      </c>
      <c r="O1273" s="147" t="str">
        <f>IF($E1273="","",MIN(VLOOKUP(IF($B1273&lt;=Input!$C$7,$B1273,26),'Mortality Tables'!$A$41:$CW$67,IF($B1273&lt;=Input!$C$7+1,Input!$C$4+2,$D1273-Input!$C$7+2),0)*IF(B1273&gt;20,Input!$C$22,1)/1000,1))</f>
        <v/>
      </c>
      <c r="P1273" s="147" t="str">
        <f>IF($E1273="","",MIN(VLOOKUP(IF($B1273&lt;=Input!$C$7,$B1273,26),'Mortality Tables'!$A$12:$CW$37,IF($B1273&lt;=Input!$C$7+1,Input!$C$4+2,$D1273-Input!$C$7+2),0)*IF(B1273&gt;20,Input!$C$22,1)/1000,1))</f>
        <v/>
      </c>
      <c r="Q1273" s="155" t="str">
        <f>IF($E1273="","",Input!$C$21)</f>
        <v/>
      </c>
      <c r="R1273" s="159" t="str">
        <f>IF($E1273="","",(1-Q1273)^($F1273-Input!$C$20))</f>
        <v/>
      </c>
      <c r="S1273" s="147" t="str">
        <f t="shared" si="796"/>
        <v/>
      </c>
      <c r="T1273" s="147" t="str">
        <f t="shared" si="797"/>
        <v/>
      </c>
      <c r="U1273" s="160" t="str">
        <f>IF($E1273="","",IF($C1273=12,INDEX(Input!$C$15:$CP$15,1,$B1273),0))</f>
        <v/>
      </c>
      <c r="V1273" s="150" t="str">
        <f>IF(E1273="","",IF(C1273=1,IF($B1273=1,Input!$C$33,Input!$C$34),0))</f>
        <v/>
      </c>
      <c r="W1273" s="156" t="str">
        <f>IF($E1273="","",Input!$C$35)</f>
        <v/>
      </c>
      <c r="X1273" s="156" t="str">
        <f t="shared" si="798"/>
        <v/>
      </c>
      <c r="Y1273" s="154"/>
      <c r="Z1273" s="147" t="str">
        <f>IF($E1273="","",VLOOKUP($D1273,'Mortality Margins &amp; Grading'!$AB$5:$AF$125,3,0)*IF(Summary!$D$25="Included Margin",IF(AND($B1273&gt;Input!$C$9,Summary!$D$31&lt;&gt;"Included Margin"),0,1),0))</f>
        <v/>
      </c>
      <c r="AA1273" s="147" t="str">
        <f>IF($E1273="","",VLOOKUP($D1273,'Mortality Margins &amp; Grading'!$AB$5:$AF$125,5,0)*IF(Summary!$D$25="Included Margin",IF(AND($B1273&gt;Input!$C$9,Summary!$D$31&lt;&gt;"Included Margin"),0,1),0))</f>
        <v/>
      </c>
      <c r="AB1273" s="147" t="str">
        <f>IF($E1273="","",IF(AND($B1273&gt;Input!$C$9,Summary!$D$31&lt;&gt;"Included Margin"),1,IF(Summary!$D$25="Included Margin",VLOOKUP($B1273,'Mortality Margins &amp; Grading'!$AI$5:$AR$125,MATCH('Mortality Margins &amp; Grading'!$AQ$4,'Mortality Margins &amp; Grading'!$AI$4:$AR$4,0),0),1)))</f>
        <v/>
      </c>
      <c r="AC1273" s="154"/>
      <c r="AD1273" s="158" t="str">
        <f>IF(E1273="","",Input!$C$48*IF(Summary!$D$30="Included Margin",IF(AND($B1273&gt;Input!$C$9,Summary!$D$31&lt;&gt;"Included Margin"),0,1),0))</f>
        <v/>
      </c>
      <c r="AE1273" s="159" t="str">
        <f>IF(E1273="","",IF(Summary!$D$26="Included Margin",IF(AND($B1273&gt;Input!$C$9,Summary!$D$31&lt;&gt;"Included Margin"),1,1/$R1273),1))</f>
        <v/>
      </c>
      <c r="AF1273" s="160" t="str">
        <f>IF(E1273="","",IF(AND($B1273&gt;=Input!$C$9,$C1273=12,Summary!$D$31="Included Margin",$U1273&gt;0),1/U1273-1,IF($B1273&gt;=Input!$C$9,0,Input!$C$45*IF(Summary!$D$27="Included Margin",1,0))))</f>
        <v/>
      </c>
      <c r="AG1273" s="160" t="str">
        <f>IF(E1273="","",Input!$C$46*IF(Summary!$D$28="Included Margin",IF(AND($B1273&gt;Input!$C$9,Summary!$D$31&lt;&gt;"Included Margin"),0,1),0))</f>
        <v/>
      </c>
      <c r="AH1273" s="158" t="str">
        <f>IF(E1273="","",Input!$C$47*IF(Summary!$D$29="Included Margin",IF(AND($B1273&gt;Input!$C$9,Summary!$D$31&lt;&gt;"Included Margin"),0,1),0))</f>
        <v/>
      </c>
      <c r="AI1273" s="154"/>
      <c r="AJ1273" s="158" t="str">
        <f t="shared" si="809"/>
        <v/>
      </c>
      <c r="AK1273" s="150" t="str">
        <f t="shared" si="810"/>
        <v/>
      </c>
      <c r="AL1273" s="147" t="str">
        <f t="shared" si="811"/>
        <v/>
      </c>
      <c r="AM1273" s="147" t="str">
        <f t="shared" si="799"/>
        <v/>
      </c>
      <c r="AN1273" s="160" t="str">
        <f t="shared" si="812"/>
        <v/>
      </c>
      <c r="AO1273" s="161" t="str">
        <f t="shared" si="813"/>
        <v/>
      </c>
      <c r="AP1273" s="156" t="str">
        <f t="shared" si="800"/>
        <v/>
      </c>
      <c r="AQ1273" s="152"/>
      <c r="AR1273" s="162" t="str">
        <f t="shared" si="801"/>
        <v/>
      </c>
      <c r="AS1273" s="150" t="str">
        <f t="shared" si="814"/>
        <v/>
      </c>
      <c r="AT1273" s="163" t="str">
        <f t="shared" si="802"/>
        <v/>
      </c>
      <c r="AU1273" s="163" t="str">
        <f t="shared" si="803"/>
        <v/>
      </c>
      <c r="AV1273" s="163" t="str">
        <f t="shared" si="815"/>
        <v/>
      </c>
      <c r="AW1273" s="163" t="str">
        <f t="shared" si="804"/>
        <v/>
      </c>
      <c r="AX1273" s="163" t="str">
        <f t="shared" si="805"/>
        <v/>
      </c>
      <c r="AY1273" s="150" t="str">
        <f t="shared" si="816"/>
        <v/>
      </c>
      <c r="AZ1273" s="150" t="str">
        <f>IF($E1273="","",IF(OR(AND($D1273=Input!$C$6,$C1273=12),$AN1273=1),0,-AS1274+AT1274+AU1274-AV1274-AW1274-AX1274+AZ1274))</f>
        <v/>
      </c>
      <c r="BA1273" s="154" t="str">
        <f t="shared" si="806"/>
        <v/>
      </c>
      <c r="BC1273" s="147" t="str">
        <f t="shared" si="817"/>
        <v/>
      </c>
      <c r="BD1273" s="164" t="str">
        <f>IF(AND($C1272=12,$D1272=Input!$C$6),0,IF($E1273="","",AT1273+(AU1273+BD1274)/(1+$AK1273)*MIN((1-AM1273-AN1273),1)))</f>
        <v/>
      </c>
      <c r="BH1273" s="152"/>
      <c r="BI1273" s="162" t="str">
        <f t="shared" si="825"/>
        <v/>
      </c>
      <c r="BJ1273" s="150" t="str">
        <f t="shared" si="826"/>
        <v/>
      </c>
      <c r="BK1273" s="163" t="str">
        <f t="shared" si="822"/>
        <v/>
      </c>
      <c r="BL1273" s="163" t="str">
        <f t="shared" si="827"/>
        <v/>
      </c>
      <c r="BM1273" s="163" t="str">
        <f t="shared" si="823"/>
        <v/>
      </c>
      <c r="BN1273" s="163" t="str">
        <f t="shared" si="828"/>
        <v/>
      </c>
      <c r="BO1273" s="163" t="str">
        <f t="shared" si="829"/>
        <v/>
      </c>
      <c r="BP1273" s="150" t="str">
        <f t="shared" si="824"/>
        <v/>
      </c>
      <c r="BQ1273" s="150" t="str">
        <f t="shared" si="818"/>
        <v/>
      </c>
      <c r="BR1273" s="154" t="str">
        <f t="shared" si="830"/>
        <v/>
      </c>
      <c r="BT1273" s="147"/>
    </row>
    <row r="1274" spans="1:72" s="150" customFormat="1" x14ac:dyDescent="0.25">
      <c r="A1274" s="150" t="str">
        <f t="shared" si="819"/>
        <v/>
      </c>
      <c r="B1274" s="150" t="str">
        <f t="shared" si="820"/>
        <v/>
      </c>
      <c r="C1274" s="150" t="str">
        <f t="shared" si="821"/>
        <v/>
      </c>
      <c r="D1274" s="150" t="str">
        <f>IF(E1274="","",Input!$C$4+B1274-1)</f>
        <v/>
      </c>
      <c r="E1274" s="150" t="str">
        <f>IF(OR(AND(C1273=12,D1273=Input!$C$6),E1273=""),"",1)</f>
        <v/>
      </c>
      <c r="G1274" s="151" t="str">
        <f>IF(E1274="","",MAX(0,Input!$C$9-B1274))</f>
        <v/>
      </c>
      <c r="H1274" s="152" t="str">
        <f>IF(E1274="","",Input!$C$3)</f>
        <v/>
      </c>
      <c r="I1274" s="153" t="str">
        <f>IF(E1274="","",HLOOKUP($B1274,Input!$C$13:$BT$14,2))</f>
        <v/>
      </c>
      <c r="J1274" s="154"/>
      <c r="K1274" s="150" t="str">
        <f>IF($E1274="","",INDEX(Input!$C$16:$CP$16,1,$B1274))</f>
        <v/>
      </c>
      <c r="L1274" s="150" t="str">
        <f>IF($E1274="","",Input!$C$37)</f>
        <v/>
      </c>
      <c r="M1274" s="150" t="str">
        <f t="shared" si="807"/>
        <v/>
      </c>
      <c r="N1274" s="150" t="str">
        <f t="shared" si="808"/>
        <v/>
      </c>
      <c r="O1274" s="147" t="str">
        <f>IF($E1274="","",MIN(VLOOKUP(IF($B1274&lt;=Input!$C$7,$B1274,26),'Mortality Tables'!$A$41:$CW$67,IF($B1274&lt;=Input!$C$7+1,Input!$C$4+2,$D1274-Input!$C$7+2),0)*IF(B1274&gt;20,Input!$C$22,1)/1000,1))</f>
        <v/>
      </c>
      <c r="P1274" s="147" t="str">
        <f>IF($E1274="","",MIN(VLOOKUP(IF($B1274&lt;=Input!$C$7,$B1274,26),'Mortality Tables'!$A$12:$CW$37,IF($B1274&lt;=Input!$C$7+1,Input!$C$4+2,$D1274-Input!$C$7+2),0)*IF(B1274&gt;20,Input!$C$22,1)/1000,1))</f>
        <v/>
      </c>
      <c r="Q1274" s="155" t="str">
        <f>IF($E1274="","",Input!$C$21)</f>
        <v/>
      </c>
      <c r="R1274" s="159" t="str">
        <f>IF($E1274="","",(1-Q1274)^($F1274-Input!$C$20))</f>
        <v/>
      </c>
      <c r="S1274" s="147" t="str">
        <f t="shared" si="796"/>
        <v/>
      </c>
      <c r="T1274" s="147" t="str">
        <f t="shared" si="797"/>
        <v/>
      </c>
      <c r="U1274" s="160" t="str">
        <f>IF($E1274="","",IF($C1274=12,INDEX(Input!$C$15:$CP$15,1,$B1274),0))</f>
        <v/>
      </c>
      <c r="V1274" s="150" t="str">
        <f>IF(E1274="","",IF(C1274=1,IF($B1274=1,Input!$C$33,Input!$C$34),0))</f>
        <v/>
      </c>
      <c r="W1274" s="156" t="str">
        <f>IF($E1274="","",Input!$C$35)</f>
        <v/>
      </c>
      <c r="X1274" s="156" t="str">
        <f t="shared" si="798"/>
        <v/>
      </c>
      <c r="Y1274" s="154"/>
      <c r="Z1274" s="147" t="str">
        <f>IF($E1274="","",VLOOKUP($D1274,'Mortality Margins &amp; Grading'!$AB$5:$AF$125,3,0)*IF(Summary!$D$25="Included Margin",IF(AND($B1274&gt;Input!$C$9,Summary!$D$31&lt;&gt;"Included Margin"),0,1),0))</f>
        <v/>
      </c>
      <c r="AA1274" s="147" t="str">
        <f>IF($E1274="","",VLOOKUP($D1274,'Mortality Margins &amp; Grading'!$AB$5:$AF$125,5,0)*IF(Summary!$D$25="Included Margin",IF(AND($B1274&gt;Input!$C$9,Summary!$D$31&lt;&gt;"Included Margin"),0,1),0))</f>
        <v/>
      </c>
      <c r="AB1274" s="147" t="str">
        <f>IF($E1274="","",IF(AND($B1274&gt;Input!$C$9,Summary!$D$31&lt;&gt;"Included Margin"),1,IF(Summary!$D$25="Included Margin",VLOOKUP($B1274,'Mortality Margins &amp; Grading'!$AI$5:$AR$125,MATCH('Mortality Margins &amp; Grading'!$AQ$4,'Mortality Margins &amp; Grading'!$AI$4:$AR$4,0),0),1)))</f>
        <v/>
      </c>
      <c r="AC1274" s="154"/>
      <c r="AD1274" s="158" t="str">
        <f>IF(E1274="","",Input!$C$48*IF(Summary!$D$30="Included Margin",IF(AND($B1274&gt;Input!$C$9,Summary!$D$31&lt;&gt;"Included Margin"),0,1),0))</f>
        <v/>
      </c>
      <c r="AE1274" s="159" t="str">
        <f>IF(E1274="","",IF(Summary!$D$26="Included Margin",IF(AND($B1274&gt;Input!$C$9,Summary!$D$31&lt;&gt;"Included Margin"),1,1/$R1274),1))</f>
        <v/>
      </c>
      <c r="AF1274" s="160" t="str">
        <f>IF(E1274="","",IF(AND($B1274&gt;=Input!$C$9,$C1274=12,Summary!$D$31="Included Margin",$U1274&gt;0),1/U1274-1,IF($B1274&gt;=Input!$C$9,0,Input!$C$45*IF(Summary!$D$27="Included Margin",1,0))))</f>
        <v/>
      </c>
      <c r="AG1274" s="160" t="str">
        <f>IF(E1274="","",Input!$C$46*IF(Summary!$D$28="Included Margin",IF(AND($B1274&gt;Input!$C$9,Summary!$D$31&lt;&gt;"Included Margin"),0,1),0))</f>
        <v/>
      </c>
      <c r="AH1274" s="158" t="str">
        <f>IF(E1274="","",Input!$C$47*IF(Summary!$D$29="Included Margin",IF(AND($B1274&gt;Input!$C$9,Summary!$D$31&lt;&gt;"Included Margin"),0,1),0))</f>
        <v/>
      </c>
      <c r="AI1274" s="154"/>
      <c r="AJ1274" s="158" t="str">
        <f t="shared" si="809"/>
        <v/>
      </c>
      <c r="AK1274" s="150" t="str">
        <f t="shared" si="810"/>
        <v/>
      </c>
      <c r="AL1274" s="147" t="str">
        <f t="shared" si="811"/>
        <v/>
      </c>
      <c r="AM1274" s="147" t="str">
        <f t="shared" si="799"/>
        <v/>
      </c>
      <c r="AN1274" s="160" t="str">
        <f t="shared" si="812"/>
        <v/>
      </c>
      <c r="AO1274" s="161" t="str">
        <f t="shared" si="813"/>
        <v/>
      </c>
      <c r="AP1274" s="156" t="str">
        <f t="shared" si="800"/>
        <v/>
      </c>
      <c r="AQ1274" s="152"/>
      <c r="AR1274" s="162" t="str">
        <f t="shared" si="801"/>
        <v/>
      </c>
      <c r="AS1274" s="150" t="str">
        <f t="shared" si="814"/>
        <v/>
      </c>
      <c r="AT1274" s="163" t="str">
        <f t="shared" si="802"/>
        <v/>
      </c>
      <c r="AU1274" s="163" t="str">
        <f t="shared" si="803"/>
        <v/>
      </c>
      <c r="AV1274" s="163" t="str">
        <f t="shared" si="815"/>
        <v/>
      </c>
      <c r="AW1274" s="163" t="str">
        <f t="shared" si="804"/>
        <v/>
      </c>
      <c r="AX1274" s="163" t="str">
        <f t="shared" si="805"/>
        <v/>
      </c>
      <c r="AY1274" s="150" t="str">
        <f t="shared" si="816"/>
        <v/>
      </c>
      <c r="AZ1274" s="150" t="str">
        <f>IF($E1274="","",IF(OR(AND($D1274=Input!$C$6,$C1274=12),$AN1274=1),0,-AS1275+AT1275+AU1275-AV1275-AW1275-AX1275+AZ1275))</f>
        <v/>
      </c>
      <c r="BA1274" s="154" t="str">
        <f t="shared" si="806"/>
        <v/>
      </c>
      <c r="BC1274" s="147" t="str">
        <f t="shared" si="817"/>
        <v/>
      </c>
      <c r="BD1274" s="164" t="str">
        <f>IF(AND($C1273=12,$D1273=Input!$C$6),0,IF($E1274="","",AT1274+(AU1274+BD1275)/(1+$AK1274)*MIN((1-AM1274-AN1274),1)))</f>
        <v/>
      </c>
      <c r="BH1274" s="152"/>
      <c r="BI1274" s="162" t="str">
        <f t="shared" si="825"/>
        <v/>
      </c>
      <c r="BJ1274" s="150" t="str">
        <f t="shared" si="826"/>
        <v/>
      </c>
      <c r="BK1274" s="163" t="str">
        <f t="shared" si="822"/>
        <v/>
      </c>
      <c r="BL1274" s="163" t="str">
        <f t="shared" si="827"/>
        <v/>
      </c>
      <c r="BM1274" s="163" t="str">
        <f t="shared" si="823"/>
        <v/>
      </c>
      <c r="BN1274" s="163" t="str">
        <f t="shared" si="828"/>
        <v/>
      </c>
      <c r="BO1274" s="163" t="str">
        <f t="shared" si="829"/>
        <v/>
      </c>
      <c r="BP1274" s="150" t="str">
        <f t="shared" si="824"/>
        <v/>
      </c>
      <c r="BQ1274" s="150" t="str">
        <f t="shared" si="818"/>
        <v/>
      </c>
      <c r="BR1274" s="154" t="str">
        <f t="shared" si="830"/>
        <v/>
      </c>
      <c r="BT1274" s="147"/>
    </row>
    <row r="1275" spans="1:72" s="150" customFormat="1" x14ac:dyDescent="0.25">
      <c r="A1275" s="150" t="str">
        <f t="shared" si="819"/>
        <v/>
      </c>
      <c r="B1275" s="150" t="str">
        <f t="shared" si="820"/>
        <v/>
      </c>
      <c r="C1275" s="150" t="str">
        <f t="shared" si="821"/>
        <v/>
      </c>
      <c r="D1275" s="150" t="str">
        <f>IF(E1275="","",Input!$C$4+B1275-1)</f>
        <v/>
      </c>
      <c r="E1275" s="150" t="str">
        <f>IF(OR(AND(C1274=12,D1274=Input!$C$6),E1274=""),"",1)</f>
        <v/>
      </c>
      <c r="G1275" s="151" t="str">
        <f>IF(E1275="","",MAX(0,Input!$C$9-B1275))</f>
        <v/>
      </c>
      <c r="H1275" s="152" t="str">
        <f>IF(E1275="","",Input!$C$3)</f>
        <v/>
      </c>
      <c r="I1275" s="153" t="str">
        <f>IF(E1275="","",HLOOKUP($B1275,Input!$C$13:$BT$14,2))</f>
        <v/>
      </c>
      <c r="J1275" s="154"/>
      <c r="K1275" s="150" t="str">
        <f>IF($E1275="","",INDEX(Input!$C$16:$CP$16,1,$B1275))</f>
        <v/>
      </c>
      <c r="L1275" s="150" t="str">
        <f>IF($E1275="","",Input!$C$37)</f>
        <v/>
      </c>
      <c r="M1275" s="150" t="str">
        <f t="shared" si="807"/>
        <v/>
      </c>
      <c r="N1275" s="150" t="str">
        <f t="shared" si="808"/>
        <v/>
      </c>
      <c r="O1275" s="147" t="str">
        <f>IF($E1275="","",MIN(VLOOKUP(IF($B1275&lt;=Input!$C$7,$B1275,26),'Mortality Tables'!$A$41:$CW$67,IF($B1275&lt;=Input!$C$7+1,Input!$C$4+2,$D1275-Input!$C$7+2),0)*IF(B1275&gt;20,Input!$C$22,1)/1000,1))</f>
        <v/>
      </c>
      <c r="P1275" s="147" t="str">
        <f>IF($E1275="","",MIN(VLOOKUP(IF($B1275&lt;=Input!$C$7,$B1275,26),'Mortality Tables'!$A$12:$CW$37,IF($B1275&lt;=Input!$C$7+1,Input!$C$4+2,$D1275-Input!$C$7+2),0)*IF(B1275&gt;20,Input!$C$22,1)/1000,1))</f>
        <v/>
      </c>
      <c r="Q1275" s="155" t="str">
        <f>IF($E1275="","",Input!$C$21)</f>
        <v/>
      </c>
      <c r="R1275" s="159" t="str">
        <f>IF($E1275="","",(1-Q1275)^($F1275-Input!$C$20))</f>
        <v/>
      </c>
      <c r="S1275" s="147" t="str">
        <f t="shared" si="796"/>
        <v/>
      </c>
      <c r="T1275" s="147" t="str">
        <f t="shared" si="797"/>
        <v/>
      </c>
      <c r="U1275" s="160" t="str">
        <f>IF($E1275="","",IF($C1275=12,INDEX(Input!$C$15:$CP$15,1,$B1275),0))</f>
        <v/>
      </c>
      <c r="V1275" s="150" t="str">
        <f>IF(E1275="","",IF(C1275=1,IF($B1275=1,Input!$C$33,Input!$C$34),0))</f>
        <v/>
      </c>
      <c r="W1275" s="156" t="str">
        <f>IF($E1275="","",Input!$C$35)</f>
        <v/>
      </c>
      <c r="X1275" s="156" t="str">
        <f t="shared" si="798"/>
        <v/>
      </c>
      <c r="Y1275" s="154"/>
      <c r="Z1275" s="147" t="str">
        <f>IF($E1275="","",VLOOKUP($D1275,'Mortality Margins &amp; Grading'!$AB$5:$AF$125,3,0)*IF(Summary!$D$25="Included Margin",IF(AND($B1275&gt;Input!$C$9,Summary!$D$31&lt;&gt;"Included Margin"),0,1),0))</f>
        <v/>
      </c>
      <c r="AA1275" s="147" t="str">
        <f>IF($E1275="","",VLOOKUP($D1275,'Mortality Margins &amp; Grading'!$AB$5:$AF$125,5,0)*IF(Summary!$D$25="Included Margin",IF(AND($B1275&gt;Input!$C$9,Summary!$D$31&lt;&gt;"Included Margin"),0,1),0))</f>
        <v/>
      </c>
      <c r="AB1275" s="147" t="str">
        <f>IF($E1275="","",IF(AND($B1275&gt;Input!$C$9,Summary!$D$31&lt;&gt;"Included Margin"),1,IF(Summary!$D$25="Included Margin",VLOOKUP($B1275,'Mortality Margins &amp; Grading'!$AI$5:$AR$125,MATCH('Mortality Margins &amp; Grading'!$AQ$4,'Mortality Margins &amp; Grading'!$AI$4:$AR$4,0),0),1)))</f>
        <v/>
      </c>
      <c r="AC1275" s="154"/>
      <c r="AD1275" s="158" t="str">
        <f>IF(E1275="","",Input!$C$48*IF(Summary!$D$30="Included Margin",IF(AND($B1275&gt;Input!$C$9,Summary!$D$31&lt;&gt;"Included Margin"),0,1),0))</f>
        <v/>
      </c>
      <c r="AE1275" s="159" t="str">
        <f>IF(E1275="","",IF(Summary!$D$26="Included Margin",IF(AND($B1275&gt;Input!$C$9,Summary!$D$31&lt;&gt;"Included Margin"),1,1/$R1275),1))</f>
        <v/>
      </c>
      <c r="AF1275" s="160" t="str">
        <f>IF(E1275="","",IF(AND($B1275&gt;=Input!$C$9,$C1275=12,Summary!$D$31="Included Margin",$U1275&gt;0),1/U1275-1,IF($B1275&gt;=Input!$C$9,0,Input!$C$45*IF(Summary!$D$27="Included Margin",1,0))))</f>
        <v/>
      </c>
      <c r="AG1275" s="160" t="str">
        <f>IF(E1275="","",Input!$C$46*IF(Summary!$D$28="Included Margin",IF(AND($B1275&gt;Input!$C$9,Summary!$D$31&lt;&gt;"Included Margin"),0,1),0))</f>
        <v/>
      </c>
      <c r="AH1275" s="158" t="str">
        <f>IF(E1275="","",Input!$C$47*IF(Summary!$D$29="Included Margin",IF(AND($B1275&gt;Input!$C$9,Summary!$D$31&lt;&gt;"Included Margin"),0,1),0))</f>
        <v/>
      </c>
      <c r="AI1275" s="154"/>
      <c r="AJ1275" s="158" t="str">
        <f t="shared" si="809"/>
        <v/>
      </c>
      <c r="AK1275" s="150" t="str">
        <f t="shared" si="810"/>
        <v/>
      </c>
      <c r="AL1275" s="147" t="str">
        <f t="shared" si="811"/>
        <v/>
      </c>
      <c r="AM1275" s="147" t="str">
        <f t="shared" si="799"/>
        <v/>
      </c>
      <c r="AN1275" s="160" t="str">
        <f t="shared" si="812"/>
        <v/>
      </c>
      <c r="AO1275" s="161" t="str">
        <f t="shared" si="813"/>
        <v/>
      </c>
      <c r="AP1275" s="156" t="str">
        <f t="shared" si="800"/>
        <v/>
      </c>
      <c r="AQ1275" s="152"/>
      <c r="AR1275" s="162" t="str">
        <f t="shared" si="801"/>
        <v/>
      </c>
      <c r="AS1275" s="150" t="str">
        <f t="shared" si="814"/>
        <v/>
      </c>
      <c r="AT1275" s="163" t="str">
        <f t="shared" si="802"/>
        <v/>
      </c>
      <c r="AU1275" s="163" t="str">
        <f t="shared" si="803"/>
        <v/>
      </c>
      <c r="AV1275" s="163" t="str">
        <f t="shared" si="815"/>
        <v/>
      </c>
      <c r="AW1275" s="163" t="str">
        <f t="shared" si="804"/>
        <v/>
      </c>
      <c r="AX1275" s="163" t="str">
        <f t="shared" si="805"/>
        <v/>
      </c>
      <c r="AY1275" s="150" t="str">
        <f t="shared" si="816"/>
        <v/>
      </c>
      <c r="AZ1275" s="150" t="str">
        <f>IF($E1275="","",IF(OR(AND($D1275=Input!$C$6,$C1275=12),$AN1275=1),0,-AS1276+AT1276+AU1276-AV1276-AW1276-AX1276+AZ1276))</f>
        <v/>
      </c>
      <c r="BA1275" s="154" t="str">
        <f t="shared" si="806"/>
        <v/>
      </c>
      <c r="BC1275" s="147" t="str">
        <f t="shared" si="817"/>
        <v/>
      </c>
      <c r="BD1275" s="164" t="str">
        <f>IF(AND($C1274=12,$D1274=Input!$C$6),0,IF($E1275="","",AT1275+(AU1275+BD1276)/(1+$AK1275)*MIN((1-AM1275-AN1275),1)))</f>
        <v/>
      </c>
      <c r="BH1275" s="152"/>
      <c r="BI1275" s="162" t="str">
        <f t="shared" si="825"/>
        <v/>
      </c>
      <c r="BJ1275" s="150" t="str">
        <f t="shared" si="826"/>
        <v/>
      </c>
      <c r="BK1275" s="163" t="str">
        <f t="shared" si="822"/>
        <v/>
      </c>
      <c r="BL1275" s="163" t="str">
        <f t="shared" si="827"/>
        <v/>
      </c>
      <c r="BM1275" s="163" t="str">
        <f t="shared" si="823"/>
        <v/>
      </c>
      <c r="BN1275" s="163" t="str">
        <f t="shared" si="828"/>
        <v/>
      </c>
      <c r="BO1275" s="163" t="str">
        <f t="shared" si="829"/>
        <v/>
      </c>
      <c r="BP1275" s="150" t="str">
        <f t="shared" si="824"/>
        <v/>
      </c>
      <c r="BQ1275" s="150" t="str">
        <f t="shared" si="818"/>
        <v/>
      </c>
      <c r="BR1275" s="154" t="str">
        <f t="shared" si="830"/>
        <v/>
      </c>
      <c r="BT1275" s="147"/>
    </row>
    <row r="1276" spans="1:72" s="150" customFormat="1" x14ac:dyDescent="0.25">
      <c r="A1276" s="150" t="str">
        <f t="shared" si="819"/>
        <v/>
      </c>
      <c r="B1276" s="150" t="str">
        <f t="shared" si="820"/>
        <v/>
      </c>
      <c r="C1276" s="150" t="str">
        <f t="shared" si="821"/>
        <v/>
      </c>
      <c r="D1276" s="150" t="str">
        <f>IF(E1276="","",Input!$C$4+B1276-1)</f>
        <v/>
      </c>
      <c r="E1276" s="150" t="str">
        <f>IF(OR(AND(C1275=12,D1275=Input!$C$6),E1275=""),"",1)</f>
        <v/>
      </c>
      <c r="G1276" s="151" t="str">
        <f>IF(E1276="","",MAX(0,Input!$C$9-B1276))</f>
        <v/>
      </c>
      <c r="H1276" s="152" t="str">
        <f>IF(E1276="","",Input!$C$3)</f>
        <v/>
      </c>
      <c r="I1276" s="153" t="str">
        <f>IF(E1276="","",HLOOKUP($B1276,Input!$C$13:$BT$14,2))</f>
        <v/>
      </c>
      <c r="J1276" s="154"/>
      <c r="K1276" s="150" t="str">
        <f>IF($E1276="","",INDEX(Input!$C$16:$CP$16,1,$B1276))</f>
        <v/>
      </c>
      <c r="L1276" s="150" t="str">
        <f>IF($E1276="","",Input!$C$37)</f>
        <v/>
      </c>
      <c r="M1276" s="150" t="str">
        <f t="shared" si="807"/>
        <v/>
      </c>
      <c r="N1276" s="150" t="str">
        <f t="shared" si="808"/>
        <v/>
      </c>
      <c r="O1276" s="147" t="str">
        <f>IF($E1276="","",MIN(VLOOKUP(IF($B1276&lt;=Input!$C$7,$B1276,26),'Mortality Tables'!$A$41:$CW$67,IF($B1276&lt;=Input!$C$7+1,Input!$C$4+2,$D1276-Input!$C$7+2),0)*IF(B1276&gt;20,Input!$C$22,1)/1000,1))</f>
        <v/>
      </c>
      <c r="P1276" s="147" t="str">
        <f>IF($E1276="","",MIN(VLOOKUP(IF($B1276&lt;=Input!$C$7,$B1276,26),'Mortality Tables'!$A$12:$CW$37,IF($B1276&lt;=Input!$C$7+1,Input!$C$4+2,$D1276-Input!$C$7+2),0)*IF(B1276&gt;20,Input!$C$22,1)/1000,1))</f>
        <v/>
      </c>
      <c r="Q1276" s="155" t="str">
        <f>IF($E1276="","",Input!$C$21)</f>
        <v/>
      </c>
      <c r="R1276" s="159" t="str">
        <f>IF($E1276="","",(1-Q1276)^($F1276-Input!$C$20))</f>
        <v/>
      </c>
      <c r="S1276" s="147" t="str">
        <f t="shared" si="796"/>
        <v/>
      </c>
      <c r="T1276" s="147" t="str">
        <f t="shared" si="797"/>
        <v/>
      </c>
      <c r="U1276" s="160" t="str">
        <f>IF($E1276="","",IF($C1276=12,INDEX(Input!$C$15:$CP$15,1,$B1276),0))</f>
        <v/>
      </c>
      <c r="V1276" s="150" t="str">
        <f>IF(E1276="","",IF(C1276=1,IF($B1276=1,Input!$C$33,Input!$C$34),0))</f>
        <v/>
      </c>
      <c r="W1276" s="156" t="str">
        <f>IF($E1276="","",Input!$C$35)</f>
        <v/>
      </c>
      <c r="X1276" s="156" t="str">
        <f t="shared" si="798"/>
        <v/>
      </c>
      <c r="Y1276" s="154"/>
      <c r="Z1276" s="147" t="str">
        <f>IF($E1276="","",VLOOKUP($D1276,'Mortality Margins &amp; Grading'!$AB$5:$AF$125,3,0)*IF(Summary!$D$25="Included Margin",IF(AND($B1276&gt;Input!$C$9,Summary!$D$31&lt;&gt;"Included Margin"),0,1),0))</f>
        <v/>
      </c>
      <c r="AA1276" s="147" t="str">
        <f>IF($E1276="","",VLOOKUP($D1276,'Mortality Margins &amp; Grading'!$AB$5:$AF$125,5,0)*IF(Summary!$D$25="Included Margin",IF(AND($B1276&gt;Input!$C$9,Summary!$D$31&lt;&gt;"Included Margin"),0,1),0))</f>
        <v/>
      </c>
      <c r="AB1276" s="147" t="str">
        <f>IF($E1276="","",IF(AND($B1276&gt;Input!$C$9,Summary!$D$31&lt;&gt;"Included Margin"),1,IF(Summary!$D$25="Included Margin",VLOOKUP($B1276,'Mortality Margins &amp; Grading'!$AI$5:$AR$125,MATCH('Mortality Margins &amp; Grading'!$AQ$4,'Mortality Margins &amp; Grading'!$AI$4:$AR$4,0),0),1)))</f>
        <v/>
      </c>
      <c r="AC1276" s="154"/>
      <c r="AD1276" s="158" t="str">
        <f>IF(E1276="","",Input!$C$48*IF(Summary!$D$30="Included Margin",IF(AND($B1276&gt;Input!$C$9,Summary!$D$31&lt;&gt;"Included Margin"),0,1),0))</f>
        <v/>
      </c>
      <c r="AE1276" s="159" t="str">
        <f>IF(E1276="","",IF(Summary!$D$26="Included Margin",IF(AND($B1276&gt;Input!$C$9,Summary!$D$31&lt;&gt;"Included Margin"),1,1/$R1276),1))</f>
        <v/>
      </c>
      <c r="AF1276" s="160" t="str">
        <f>IF(E1276="","",IF(AND($B1276&gt;=Input!$C$9,$C1276=12,Summary!$D$31="Included Margin",$U1276&gt;0),1/U1276-1,IF($B1276&gt;=Input!$C$9,0,Input!$C$45*IF(Summary!$D$27="Included Margin",1,0))))</f>
        <v/>
      </c>
      <c r="AG1276" s="160" t="str">
        <f>IF(E1276="","",Input!$C$46*IF(Summary!$D$28="Included Margin",IF(AND($B1276&gt;Input!$C$9,Summary!$D$31&lt;&gt;"Included Margin"),0,1),0))</f>
        <v/>
      </c>
      <c r="AH1276" s="158" t="str">
        <f>IF(E1276="","",Input!$C$47*IF(Summary!$D$29="Included Margin",IF(AND($B1276&gt;Input!$C$9,Summary!$D$31&lt;&gt;"Included Margin"),0,1),0))</f>
        <v/>
      </c>
      <c r="AI1276" s="154"/>
      <c r="AJ1276" s="158" t="str">
        <f t="shared" si="809"/>
        <v/>
      </c>
      <c r="AK1276" s="150" t="str">
        <f t="shared" si="810"/>
        <v/>
      </c>
      <c r="AL1276" s="147" t="str">
        <f t="shared" si="811"/>
        <v/>
      </c>
      <c r="AM1276" s="147" t="str">
        <f t="shared" si="799"/>
        <v/>
      </c>
      <c r="AN1276" s="160" t="str">
        <f t="shared" si="812"/>
        <v/>
      </c>
      <c r="AO1276" s="161" t="str">
        <f t="shared" si="813"/>
        <v/>
      </c>
      <c r="AP1276" s="156" t="str">
        <f t="shared" si="800"/>
        <v/>
      </c>
      <c r="AQ1276" s="152"/>
      <c r="AR1276" s="162" t="str">
        <f t="shared" si="801"/>
        <v/>
      </c>
      <c r="AS1276" s="150" t="str">
        <f t="shared" si="814"/>
        <v/>
      </c>
      <c r="AT1276" s="163" t="str">
        <f t="shared" si="802"/>
        <v/>
      </c>
      <c r="AU1276" s="163" t="str">
        <f t="shared" si="803"/>
        <v/>
      </c>
      <c r="AV1276" s="163" t="str">
        <f t="shared" si="815"/>
        <v/>
      </c>
      <c r="AW1276" s="163" t="str">
        <f t="shared" si="804"/>
        <v/>
      </c>
      <c r="AX1276" s="163" t="str">
        <f t="shared" si="805"/>
        <v/>
      </c>
      <c r="AY1276" s="150" t="str">
        <f t="shared" si="816"/>
        <v/>
      </c>
      <c r="AZ1276" s="150" t="str">
        <f>IF($E1276="","",IF(OR(AND($D1276=Input!$C$6,$C1276=12),$AN1276=1),0,-AS1277+AT1277+AU1277-AV1277-AW1277-AX1277+AZ1277))</f>
        <v/>
      </c>
      <c r="BA1276" s="154" t="str">
        <f t="shared" si="806"/>
        <v/>
      </c>
      <c r="BC1276" s="147" t="str">
        <f t="shared" si="817"/>
        <v/>
      </c>
      <c r="BD1276" s="164" t="str">
        <f>IF(AND($C1275=12,$D1275=Input!$C$6),0,IF($E1276="","",AT1276+(AU1276+BD1277)/(1+$AK1276)*MIN((1-AM1276-AN1276),1)))</f>
        <v/>
      </c>
      <c r="BH1276" s="152"/>
      <c r="BI1276" s="162" t="str">
        <f t="shared" si="825"/>
        <v/>
      </c>
      <c r="BJ1276" s="150" t="str">
        <f t="shared" si="826"/>
        <v/>
      </c>
      <c r="BK1276" s="163" t="str">
        <f t="shared" si="822"/>
        <v/>
      </c>
      <c r="BL1276" s="163" t="str">
        <f t="shared" si="827"/>
        <v/>
      </c>
      <c r="BM1276" s="163" t="str">
        <f t="shared" si="823"/>
        <v/>
      </c>
      <c r="BN1276" s="163" t="str">
        <f t="shared" si="828"/>
        <v/>
      </c>
      <c r="BO1276" s="163" t="str">
        <f t="shared" si="829"/>
        <v/>
      </c>
      <c r="BP1276" s="150" t="str">
        <f t="shared" si="824"/>
        <v/>
      </c>
      <c r="BQ1276" s="150" t="str">
        <f t="shared" si="818"/>
        <v/>
      </c>
      <c r="BR1276" s="154" t="str">
        <f t="shared" si="830"/>
        <v/>
      </c>
      <c r="BT1276" s="147"/>
    </row>
    <row r="1277" spans="1:72" s="150" customFormat="1" x14ac:dyDescent="0.25">
      <c r="A1277" s="150" t="str">
        <f t="shared" si="819"/>
        <v/>
      </c>
      <c r="B1277" s="150" t="str">
        <f t="shared" si="820"/>
        <v/>
      </c>
      <c r="C1277" s="150" t="str">
        <f t="shared" si="821"/>
        <v/>
      </c>
      <c r="D1277" s="150" t="str">
        <f>IF(E1277="","",Input!$C$4+B1277-1)</f>
        <v/>
      </c>
      <c r="E1277" s="150" t="str">
        <f>IF(OR(AND(C1276=12,D1276=Input!$C$6),E1276=""),"",1)</f>
        <v/>
      </c>
      <c r="G1277" s="151" t="str">
        <f>IF(E1277="","",MAX(0,Input!$C$9-B1277))</f>
        <v/>
      </c>
      <c r="H1277" s="152" t="str">
        <f>IF(E1277="","",Input!$C$3)</f>
        <v/>
      </c>
      <c r="I1277" s="153" t="str">
        <f>IF(E1277="","",HLOOKUP($B1277,Input!$C$13:$BT$14,2))</f>
        <v/>
      </c>
      <c r="J1277" s="154"/>
      <c r="K1277" s="150" t="str">
        <f>IF($E1277="","",INDEX(Input!$C$16:$CP$16,1,$B1277))</f>
        <v/>
      </c>
      <c r="L1277" s="150" t="str">
        <f>IF($E1277="","",Input!$C$37)</f>
        <v/>
      </c>
      <c r="M1277" s="150" t="str">
        <f t="shared" si="807"/>
        <v/>
      </c>
      <c r="N1277" s="150" t="str">
        <f t="shared" si="808"/>
        <v/>
      </c>
      <c r="O1277" s="147" t="str">
        <f>IF($E1277="","",MIN(VLOOKUP(IF($B1277&lt;=Input!$C$7,$B1277,26),'Mortality Tables'!$A$41:$CW$67,IF($B1277&lt;=Input!$C$7+1,Input!$C$4+2,$D1277-Input!$C$7+2),0)*IF(B1277&gt;20,Input!$C$22,1)/1000,1))</f>
        <v/>
      </c>
      <c r="P1277" s="147" t="str">
        <f>IF($E1277="","",MIN(VLOOKUP(IF($B1277&lt;=Input!$C$7,$B1277,26),'Mortality Tables'!$A$12:$CW$37,IF($B1277&lt;=Input!$C$7+1,Input!$C$4+2,$D1277-Input!$C$7+2),0)*IF(B1277&gt;20,Input!$C$22,1)/1000,1))</f>
        <v/>
      </c>
      <c r="Q1277" s="155" t="str">
        <f>IF($E1277="","",Input!$C$21)</f>
        <v/>
      </c>
      <c r="R1277" s="159" t="str">
        <f>IF($E1277="","",(1-Q1277)^($F1277-Input!$C$20))</f>
        <v/>
      </c>
      <c r="S1277" s="147" t="str">
        <f t="shared" si="796"/>
        <v/>
      </c>
      <c r="T1277" s="147" t="str">
        <f t="shared" si="797"/>
        <v/>
      </c>
      <c r="U1277" s="160" t="str">
        <f>IF($E1277="","",IF($C1277=12,INDEX(Input!$C$15:$CP$15,1,$B1277),0))</f>
        <v/>
      </c>
      <c r="V1277" s="150" t="str">
        <f>IF(E1277="","",IF(C1277=1,IF($B1277=1,Input!$C$33,Input!$C$34),0))</f>
        <v/>
      </c>
      <c r="W1277" s="156" t="str">
        <f>IF($E1277="","",Input!$C$35)</f>
        <v/>
      </c>
      <c r="X1277" s="156" t="str">
        <f t="shared" si="798"/>
        <v/>
      </c>
      <c r="Y1277" s="154"/>
      <c r="Z1277" s="147" t="str">
        <f>IF($E1277="","",VLOOKUP($D1277,'Mortality Margins &amp; Grading'!$AB$5:$AF$125,3,0)*IF(Summary!$D$25="Included Margin",IF(AND($B1277&gt;Input!$C$9,Summary!$D$31&lt;&gt;"Included Margin"),0,1),0))</f>
        <v/>
      </c>
      <c r="AA1277" s="147" t="str">
        <f>IF($E1277="","",VLOOKUP($D1277,'Mortality Margins &amp; Grading'!$AB$5:$AF$125,5,0)*IF(Summary!$D$25="Included Margin",IF(AND($B1277&gt;Input!$C$9,Summary!$D$31&lt;&gt;"Included Margin"),0,1),0))</f>
        <v/>
      </c>
      <c r="AB1277" s="147" t="str">
        <f>IF($E1277="","",IF(AND($B1277&gt;Input!$C$9,Summary!$D$31&lt;&gt;"Included Margin"),1,IF(Summary!$D$25="Included Margin",VLOOKUP($B1277,'Mortality Margins &amp; Grading'!$AI$5:$AR$125,MATCH('Mortality Margins &amp; Grading'!$AQ$4,'Mortality Margins &amp; Grading'!$AI$4:$AR$4,0),0),1)))</f>
        <v/>
      </c>
      <c r="AC1277" s="154"/>
      <c r="AD1277" s="158" t="str">
        <f>IF(E1277="","",Input!$C$48*IF(Summary!$D$30="Included Margin",IF(AND($B1277&gt;Input!$C$9,Summary!$D$31&lt;&gt;"Included Margin"),0,1),0))</f>
        <v/>
      </c>
      <c r="AE1277" s="159" t="str">
        <f>IF(E1277="","",IF(Summary!$D$26="Included Margin",IF(AND($B1277&gt;Input!$C$9,Summary!$D$31&lt;&gt;"Included Margin"),1,1/$R1277),1))</f>
        <v/>
      </c>
      <c r="AF1277" s="160" t="str">
        <f>IF(E1277="","",IF(AND($B1277&gt;=Input!$C$9,$C1277=12,Summary!$D$31="Included Margin",$U1277&gt;0),1/U1277-1,IF($B1277&gt;=Input!$C$9,0,Input!$C$45*IF(Summary!$D$27="Included Margin",1,0))))</f>
        <v/>
      </c>
      <c r="AG1277" s="160" t="str">
        <f>IF(E1277="","",Input!$C$46*IF(Summary!$D$28="Included Margin",IF(AND($B1277&gt;Input!$C$9,Summary!$D$31&lt;&gt;"Included Margin"),0,1),0))</f>
        <v/>
      </c>
      <c r="AH1277" s="158" t="str">
        <f>IF(E1277="","",Input!$C$47*IF(Summary!$D$29="Included Margin",IF(AND($B1277&gt;Input!$C$9,Summary!$D$31&lt;&gt;"Included Margin"),0,1),0))</f>
        <v/>
      </c>
      <c r="AI1277" s="154"/>
      <c r="AJ1277" s="158" t="str">
        <f t="shared" si="809"/>
        <v/>
      </c>
      <c r="AK1277" s="150" t="str">
        <f t="shared" si="810"/>
        <v/>
      </c>
      <c r="AL1277" s="147" t="str">
        <f t="shared" si="811"/>
        <v/>
      </c>
      <c r="AM1277" s="147" t="str">
        <f t="shared" si="799"/>
        <v/>
      </c>
      <c r="AN1277" s="160" t="str">
        <f t="shared" si="812"/>
        <v/>
      </c>
      <c r="AO1277" s="161" t="str">
        <f t="shared" si="813"/>
        <v/>
      </c>
      <c r="AP1277" s="156" t="str">
        <f t="shared" si="800"/>
        <v/>
      </c>
      <c r="AQ1277" s="152"/>
      <c r="AR1277" s="162" t="str">
        <f t="shared" si="801"/>
        <v/>
      </c>
      <c r="AS1277" s="150" t="str">
        <f t="shared" si="814"/>
        <v/>
      </c>
      <c r="AT1277" s="163" t="str">
        <f t="shared" si="802"/>
        <v/>
      </c>
      <c r="AU1277" s="163" t="str">
        <f t="shared" si="803"/>
        <v/>
      </c>
      <c r="AV1277" s="163" t="str">
        <f t="shared" si="815"/>
        <v/>
      </c>
      <c r="AW1277" s="163" t="str">
        <f t="shared" si="804"/>
        <v/>
      </c>
      <c r="AX1277" s="163" t="str">
        <f t="shared" si="805"/>
        <v/>
      </c>
      <c r="AY1277" s="150" t="str">
        <f t="shared" si="816"/>
        <v/>
      </c>
      <c r="AZ1277" s="150" t="str">
        <f>IF($E1277="","",IF(OR(AND($D1277=Input!$C$6,$C1277=12),$AN1277=1),0,-AS1278+AT1278+AU1278-AV1278-AW1278-AX1278+AZ1278))</f>
        <v/>
      </c>
      <c r="BA1277" s="154" t="str">
        <f t="shared" si="806"/>
        <v/>
      </c>
      <c r="BC1277" s="147" t="str">
        <f t="shared" si="817"/>
        <v/>
      </c>
      <c r="BD1277" s="164" t="str">
        <f>IF(AND($C1276=12,$D1276=Input!$C$6),0,IF($E1277="","",AT1277+(AU1277+BD1278)/(1+$AK1277)*MIN((1-AM1277-AN1277),1)))</f>
        <v/>
      </c>
      <c r="BH1277" s="152"/>
      <c r="BI1277" s="162" t="str">
        <f t="shared" si="825"/>
        <v/>
      </c>
      <c r="BJ1277" s="150" t="str">
        <f t="shared" si="826"/>
        <v/>
      </c>
      <c r="BK1277" s="163" t="str">
        <f t="shared" si="822"/>
        <v/>
      </c>
      <c r="BL1277" s="163" t="str">
        <f t="shared" si="827"/>
        <v/>
      </c>
      <c r="BM1277" s="163" t="str">
        <f t="shared" si="823"/>
        <v/>
      </c>
      <c r="BN1277" s="163" t="str">
        <f t="shared" si="828"/>
        <v/>
      </c>
      <c r="BO1277" s="163" t="str">
        <f t="shared" si="829"/>
        <v/>
      </c>
      <c r="BP1277" s="150" t="str">
        <f t="shared" si="824"/>
        <v/>
      </c>
      <c r="BQ1277" s="150" t="str">
        <f t="shared" si="818"/>
        <v/>
      </c>
      <c r="BR1277" s="154" t="str">
        <f t="shared" si="830"/>
        <v/>
      </c>
      <c r="BT1277" s="147"/>
    </row>
    <row r="1278" spans="1:72" s="150" customFormat="1" x14ac:dyDescent="0.25">
      <c r="A1278" s="150" t="str">
        <f t="shared" si="819"/>
        <v/>
      </c>
      <c r="B1278" s="150" t="str">
        <f t="shared" si="820"/>
        <v/>
      </c>
      <c r="C1278" s="150" t="str">
        <f t="shared" si="821"/>
        <v/>
      </c>
      <c r="D1278" s="150" t="str">
        <f>IF(E1278="","",Input!$C$4+B1278-1)</f>
        <v/>
      </c>
      <c r="E1278" s="150" t="str">
        <f>IF(OR(AND(C1277=12,D1277=Input!$C$6),E1277=""),"",1)</f>
        <v/>
      </c>
      <c r="G1278" s="151" t="str">
        <f>IF(E1278="","",MAX(0,Input!$C$9-B1278))</f>
        <v/>
      </c>
      <c r="H1278" s="152" t="str">
        <f>IF(E1278="","",Input!$C$3)</f>
        <v/>
      </c>
      <c r="I1278" s="153" t="str">
        <f>IF(E1278="","",HLOOKUP($B1278,Input!$C$13:$BT$14,2))</f>
        <v/>
      </c>
      <c r="J1278" s="154"/>
      <c r="K1278" s="150" t="str">
        <f>IF($E1278="","",INDEX(Input!$C$16:$CP$16,1,$B1278))</f>
        <v/>
      </c>
      <c r="L1278" s="150" t="str">
        <f>IF($E1278="","",Input!$C$37)</f>
        <v/>
      </c>
      <c r="M1278" s="150" t="str">
        <f t="shared" si="807"/>
        <v/>
      </c>
      <c r="N1278" s="150" t="str">
        <f t="shared" si="808"/>
        <v/>
      </c>
      <c r="O1278" s="147" t="str">
        <f>IF($E1278="","",MIN(VLOOKUP(IF($B1278&lt;=Input!$C$7,$B1278,26),'Mortality Tables'!$A$41:$CW$67,IF($B1278&lt;=Input!$C$7+1,Input!$C$4+2,$D1278-Input!$C$7+2),0)*IF(B1278&gt;20,Input!$C$22,1)/1000,1))</f>
        <v/>
      </c>
      <c r="P1278" s="147" t="str">
        <f>IF($E1278="","",MIN(VLOOKUP(IF($B1278&lt;=Input!$C$7,$B1278,26),'Mortality Tables'!$A$12:$CW$37,IF($B1278&lt;=Input!$C$7+1,Input!$C$4+2,$D1278-Input!$C$7+2),0)*IF(B1278&gt;20,Input!$C$22,1)/1000,1))</f>
        <v/>
      </c>
      <c r="Q1278" s="155" t="str">
        <f>IF($E1278="","",Input!$C$21)</f>
        <v/>
      </c>
      <c r="R1278" s="159" t="str">
        <f>IF($E1278="","",(1-Q1278)^($F1278-Input!$C$20))</f>
        <v/>
      </c>
      <c r="S1278" s="147" t="str">
        <f t="shared" si="796"/>
        <v/>
      </c>
      <c r="T1278" s="147" t="str">
        <f t="shared" si="797"/>
        <v/>
      </c>
      <c r="U1278" s="160" t="str">
        <f>IF($E1278="","",IF($C1278=12,INDEX(Input!$C$15:$CP$15,1,$B1278),0))</f>
        <v/>
      </c>
      <c r="V1278" s="150" t="str">
        <f>IF(E1278="","",IF(C1278=1,IF($B1278=1,Input!$C$33,Input!$C$34),0))</f>
        <v/>
      </c>
      <c r="W1278" s="156" t="str">
        <f>IF($E1278="","",Input!$C$35)</f>
        <v/>
      </c>
      <c r="X1278" s="156" t="str">
        <f t="shared" si="798"/>
        <v/>
      </c>
      <c r="Y1278" s="154"/>
      <c r="Z1278" s="147" t="str">
        <f>IF($E1278="","",VLOOKUP($D1278,'Mortality Margins &amp; Grading'!$AB$5:$AF$125,3,0)*IF(Summary!$D$25="Included Margin",IF(AND($B1278&gt;Input!$C$9,Summary!$D$31&lt;&gt;"Included Margin"),0,1),0))</f>
        <v/>
      </c>
      <c r="AA1278" s="147" t="str">
        <f>IF($E1278="","",VLOOKUP($D1278,'Mortality Margins &amp; Grading'!$AB$5:$AF$125,5,0)*IF(Summary!$D$25="Included Margin",IF(AND($B1278&gt;Input!$C$9,Summary!$D$31&lt;&gt;"Included Margin"),0,1),0))</f>
        <v/>
      </c>
      <c r="AB1278" s="147" t="str">
        <f>IF($E1278="","",IF(AND($B1278&gt;Input!$C$9,Summary!$D$31&lt;&gt;"Included Margin"),1,IF(Summary!$D$25="Included Margin",VLOOKUP($B1278,'Mortality Margins &amp; Grading'!$AI$5:$AR$125,MATCH('Mortality Margins &amp; Grading'!$AQ$4,'Mortality Margins &amp; Grading'!$AI$4:$AR$4,0),0),1)))</f>
        <v/>
      </c>
      <c r="AC1278" s="154"/>
      <c r="AD1278" s="158" t="str">
        <f>IF(E1278="","",Input!$C$48*IF(Summary!$D$30="Included Margin",IF(AND($B1278&gt;Input!$C$9,Summary!$D$31&lt;&gt;"Included Margin"),0,1),0))</f>
        <v/>
      </c>
      <c r="AE1278" s="159" t="str">
        <f>IF(E1278="","",IF(Summary!$D$26="Included Margin",IF(AND($B1278&gt;Input!$C$9,Summary!$D$31&lt;&gt;"Included Margin"),1,1/$R1278),1))</f>
        <v/>
      </c>
      <c r="AF1278" s="160" t="str">
        <f>IF(E1278="","",IF(AND($B1278&gt;=Input!$C$9,$C1278=12,Summary!$D$31="Included Margin",$U1278&gt;0),1/U1278-1,IF($B1278&gt;=Input!$C$9,0,Input!$C$45*IF(Summary!$D$27="Included Margin",1,0))))</f>
        <v/>
      </c>
      <c r="AG1278" s="160" t="str">
        <f>IF(E1278="","",Input!$C$46*IF(Summary!$D$28="Included Margin",IF(AND($B1278&gt;Input!$C$9,Summary!$D$31&lt;&gt;"Included Margin"),0,1),0))</f>
        <v/>
      </c>
      <c r="AH1278" s="158" t="str">
        <f>IF(E1278="","",Input!$C$47*IF(Summary!$D$29="Included Margin",IF(AND($B1278&gt;Input!$C$9,Summary!$D$31&lt;&gt;"Included Margin"),0,1),0))</f>
        <v/>
      </c>
      <c r="AI1278" s="154"/>
      <c r="AJ1278" s="158" t="str">
        <f t="shared" si="809"/>
        <v/>
      </c>
      <c r="AK1278" s="150" t="str">
        <f t="shared" si="810"/>
        <v/>
      </c>
      <c r="AL1278" s="147" t="str">
        <f t="shared" si="811"/>
        <v/>
      </c>
      <c r="AM1278" s="147" t="str">
        <f t="shared" si="799"/>
        <v/>
      </c>
      <c r="AN1278" s="160" t="str">
        <f t="shared" si="812"/>
        <v/>
      </c>
      <c r="AO1278" s="161" t="str">
        <f t="shared" si="813"/>
        <v/>
      </c>
      <c r="AP1278" s="156" t="str">
        <f t="shared" si="800"/>
        <v/>
      </c>
      <c r="AQ1278" s="152"/>
      <c r="AR1278" s="162" t="str">
        <f t="shared" si="801"/>
        <v/>
      </c>
      <c r="AS1278" s="150" t="str">
        <f t="shared" si="814"/>
        <v/>
      </c>
      <c r="AT1278" s="163" t="str">
        <f t="shared" si="802"/>
        <v/>
      </c>
      <c r="AU1278" s="163" t="str">
        <f t="shared" si="803"/>
        <v/>
      </c>
      <c r="AV1278" s="163" t="str">
        <f t="shared" si="815"/>
        <v/>
      </c>
      <c r="AW1278" s="163" t="str">
        <f t="shared" si="804"/>
        <v/>
      </c>
      <c r="AX1278" s="163" t="str">
        <f t="shared" si="805"/>
        <v/>
      </c>
      <c r="AY1278" s="150" t="str">
        <f t="shared" si="816"/>
        <v/>
      </c>
      <c r="AZ1278" s="150" t="str">
        <f>IF($E1278="","",IF(OR(AND($D1278=Input!$C$6,$C1278=12),$AN1278=1),0,-AS1279+AT1279+AU1279-AV1279-AW1279-AX1279+AZ1279))</f>
        <v/>
      </c>
      <c r="BA1278" s="154" t="str">
        <f t="shared" si="806"/>
        <v/>
      </c>
      <c r="BC1278" s="147" t="str">
        <f t="shared" si="817"/>
        <v/>
      </c>
      <c r="BD1278" s="164" t="str">
        <f>IF(AND($C1277=12,$D1277=Input!$C$6),0,IF($E1278="","",AT1278+(AU1278+BD1279)/(1+$AK1278)*MIN((1-AM1278-AN1278),1)))</f>
        <v/>
      </c>
      <c r="BH1278" s="152"/>
      <c r="BI1278" s="162" t="str">
        <f t="shared" si="825"/>
        <v/>
      </c>
      <c r="BJ1278" s="150" t="str">
        <f t="shared" si="826"/>
        <v/>
      </c>
      <c r="BK1278" s="163" t="str">
        <f t="shared" si="822"/>
        <v/>
      </c>
      <c r="BL1278" s="163" t="str">
        <f t="shared" si="827"/>
        <v/>
      </c>
      <c r="BM1278" s="163" t="str">
        <f t="shared" si="823"/>
        <v/>
      </c>
      <c r="BN1278" s="163" t="str">
        <f t="shared" si="828"/>
        <v/>
      </c>
      <c r="BO1278" s="163" t="str">
        <f t="shared" si="829"/>
        <v/>
      </c>
      <c r="BP1278" s="150" t="str">
        <f t="shared" si="824"/>
        <v/>
      </c>
      <c r="BQ1278" s="150" t="str">
        <f t="shared" si="818"/>
        <v/>
      </c>
      <c r="BR1278" s="154" t="str">
        <f t="shared" si="830"/>
        <v/>
      </c>
      <c r="BT1278" s="147"/>
    </row>
    <row r="1279" spans="1:72" s="150" customFormat="1" x14ac:dyDescent="0.25">
      <c r="A1279" s="150" t="str">
        <f t="shared" si="819"/>
        <v/>
      </c>
      <c r="B1279" s="150" t="str">
        <f t="shared" si="820"/>
        <v/>
      </c>
      <c r="C1279" s="150" t="str">
        <f t="shared" si="821"/>
        <v/>
      </c>
      <c r="D1279" s="150" t="str">
        <f>IF(E1279="","",Input!$C$4+B1279-1)</f>
        <v/>
      </c>
      <c r="E1279" s="150" t="str">
        <f>IF(OR(AND(C1278=12,D1278=Input!$C$6),E1278=""),"",1)</f>
        <v/>
      </c>
      <c r="G1279" s="151" t="str">
        <f>IF(E1279="","",MAX(0,Input!$C$9-B1279))</f>
        <v/>
      </c>
      <c r="H1279" s="152" t="str">
        <f>IF(E1279="","",Input!$C$3)</f>
        <v/>
      </c>
      <c r="I1279" s="153" t="str">
        <f>IF(E1279="","",HLOOKUP($B1279,Input!$C$13:$BT$14,2))</f>
        <v/>
      </c>
      <c r="J1279" s="154"/>
      <c r="K1279" s="150" t="str">
        <f>IF($E1279="","",INDEX(Input!$C$16:$CP$16,1,$B1279))</f>
        <v/>
      </c>
      <c r="L1279" s="150" t="str">
        <f>IF($E1279="","",Input!$C$37)</f>
        <v/>
      </c>
      <c r="M1279" s="150" t="str">
        <f t="shared" si="807"/>
        <v/>
      </c>
      <c r="N1279" s="150" t="str">
        <f t="shared" si="808"/>
        <v/>
      </c>
      <c r="O1279" s="147" t="str">
        <f>IF($E1279="","",MIN(VLOOKUP(IF($B1279&lt;=Input!$C$7,$B1279,26),'Mortality Tables'!$A$41:$CW$67,IF($B1279&lt;=Input!$C$7+1,Input!$C$4+2,$D1279-Input!$C$7+2),0)*IF(B1279&gt;20,Input!$C$22,1)/1000,1))</f>
        <v/>
      </c>
      <c r="P1279" s="147" t="str">
        <f>IF($E1279="","",MIN(VLOOKUP(IF($B1279&lt;=Input!$C$7,$B1279,26),'Mortality Tables'!$A$12:$CW$37,IF($B1279&lt;=Input!$C$7+1,Input!$C$4+2,$D1279-Input!$C$7+2),0)*IF(B1279&gt;20,Input!$C$22,1)/1000,1))</f>
        <v/>
      </c>
      <c r="Q1279" s="155" t="str">
        <f>IF($E1279="","",Input!$C$21)</f>
        <v/>
      </c>
      <c r="R1279" s="159" t="str">
        <f>IF($E1279="","",(1-Q1279)^($F1279-Input!$C$20))</f>
        <v/>
      </c>
      <c r="S1279" s="147" t="str">
        <f t="shared" si="796"/>
        <v/>
      </c>
      <c r="T1279" s="147" t="str">
        <f t="shared" si="797"/>
        <v/>
      </c>
      <c r="U1279" s="160" t="str">
        <f>IF($E1279="","",IF($C1279=12,INDEX(Input!$C$15:$CP$15,1,$B1279),0))</f>
        <v/>
      </c>
      <c r="V1279" s="150" t="str">
        <f>IF(E1279="","",IF(C1279=1,IF($B1279=1,Input!$C$33,Input!$C$34),0))</f>
        <v/>
      </c>
      <c r="W1279" s="156" t="str">
        <f>IF($E1279="","",Input!$C$35)</f>
        <v/>
      </c>
      <c r="X1279" s="156" t="str">
        <f t="shared" si="798"/>
        <v/>
      </c>
      <c r="Y1279" s="154"/>
      <c r="Z1279" s="147" t="str">
        <f>IF($E1279="","",VLOOKUP($D1279,'Mortality Margins &amp; Grading'!$AB$5:$AF$125,3,0)*IF(Summary!$D$25="Included Margin",IF(AND($B1279&gt;Input!$C$9,Summary!$D$31&lt;&gt;"Included Margin"),0,1),0))</f>
        <v/>
      </c>
      <c r="AA1279" s="147" t="str">
        <f>IF($E1279="","",VLOOKUP($D1279,'Mortality Margins &amp; Grading'!$AB$5:$AF$125,5,0)*IF(Summary!$D$25="Included Margin",IF(AND($B1279&gt;Input!$C$9,Summary!$D$31&lt;&gt;"Included Margin"),0,1),0))</f>
        <v/>
      </c>
      <c r="AB1279" s="147" t="str">
        <f>IF($E1279="","",IF(AND($B1279&gt;Input!$C$9,Summary!$D$31&lt;&gt;"Included Margin"),1,IF(Summary!$D$25="Included Margin",VLOOKUP($B1279,'Mortality Margins &amp; Grading'!$AI$5:$AR$125,MATCH('Mortality Margins &amp; Grading'!$AQ$4,'Mortality Margins &amp; Grading'!$AI$4:$AR$4,0),0),1)))</f>
        <v/>
      </c>
      <c r="AC1279" s="154"/>
      <c r="AD1279" s="158" t="str">
        <f>IF(E1279="","",Input!$C$48*IF(Summary!$D$30="Included Margin",IF(AND($B1279&gt;Input!$C$9,Summary!$D$31&lt;&gt;"Included Margin"),0,1),0))</f>
        <v/>
      </c>
      <c r="AE1279" s="159" t="str">
        <f>IF(E1279="","",IF(Summary!$D$26="Included Margin",IF(AND($B1279&gt;Input!$C$9,Summary!$D$31&lt;&gt;"Included Margin"),1,1/$R1279),1))</f>
        <v/>
      </c>
      <c r="AF1279" s="160" t="str">
        <f>IF(E1279="","",IF(AND($B1279&gt;=Input!$C$9,$C1279=12,Summary!$D$31="Included Margin",$U1279&gt;0),1/U1279-1,IF($B1279&gt;=Input!$C$9,0,Input!$C$45*IF(Summary!$D$27="Included Margin",1,0))))</f>
        <v/>
      </c>
      <c r="AG1279" s="160" t="str">
        <f>IF(E1279="","",Input!$C$46*IF(Summary!$D$28="Included Margin",IF(AND($B1279&gt;Input!$C$9,Summary!$D$31&lt;&gt;"Included Margin"),0,1),0))</f>
        <v/>
      </c>
      <c r="AH1279" s="158" t="str">
        <f>IF(E1279="","",Input!$C$47*IF(Summary!$D$29="Included Margin",IF(AND($B1279&gt;Input!$C$9,Summary!$D$31&lt;&gt;"Included Margin"),0,1),0))</f>
        <v/>
      </c>
      <c r="AI1279" s="154"/>
      <c r="AJ1279" s="158" t="str">
        <f t="shared" si="809"/>
        <v/>
      </c>
      <c r="AK1279" s="150" t="str">
        <f t="shared" si="810"/>
        <v/>
      </c>
      <c r="AL1279" s="147" t="str">
        <f t="shared" si="811"/>
        <v/>
      </c>
      <c r="AM1279" s="147" t="str">
        <f t="shared" si="799"/>
        <v/>
      </c>
      <c r="AN1279" s="160" t="str">
        <f t="shared" si="812"/>
        <v/>
      </c>
      <c r="AO1279" s="161" t="str">
        <f t="shared" si="813"/>
        <v/>
      </c>
      <c r="AP1279" s="156" t="str">
        <f t="shared" si="800"/>
        <v/>
      </c>
      <c r="AQ1279" s="152"/>
      <c r="AR1279" s="162" t="str">
        <f t="shared" si="801"/>
        <v/>
      </c>
      <c r="AS1279" s="150" t="str">
        <f t="shared" si="814"/>
        <v/>
      </c>
      <c r="AT1279" s="163" t="str">
        <f t="shared" si="802"/>
        <v/>
      </c>
      <c r="AU1279" s="163" t="str">
        <f t="shared" si="803"/>
        <v/>
      </c>
      <c r="AV1279" s="163" t="str">
        <f t="shared" si="815"/>
        <v/>
      </c>
      <c r="AW1279" s="163" t="str">
        <f t="shared" si="804"/>
        <v/>
      </c>
      <c r="AX1279" s="163" t="str">
        <f t="shared" si="805"/>
        <v/>
      </c>
      <c r="AY1279" s="150" t="str">
        <f t="shared" si="816"/>
        <v/>
      </c>
      <c r="AZ1279" s="150" t="str">
        <f>IF($E1279="","",IF(OR(AND($D1279=Input!$C$6,$C1279=12),$AN1279=1),0,-AS1280+AT1280+AU1280-AV1280-AW1280-AX1280+AZ1280))</f>
        <v/>
      </c>
      <c r="BA1279" s="154" t="str">
        <f t="shared" si="806"/>
        <v/>
      </c>
      <c r="BC1279" s="147" t="str">
        <f t="shared" si="817"/>
        <v/>
      </c>
      <c r="BD1279" s="164" t="str">
        <f>IF(AND($C1278=12,$D1278=Input!$C$6),0,IF($E1279="","",AT1279+(AU1279+BD1280)/(1+$AK1279)*MIN((1-AM1279-AN1279),1)))</f>
        <v/>
      </c>
      <c r="BH1279" s="152"/>
      <c r="BI1279" s="162" t="str">
        <f t="shared" si="825"/>
        <v/>
      </c>
      <c r="BJ1279" s="150" t="str">
        <f t="shared" si="826"/>
        <v/>
      </c>
      <c r="BK1279" s="163" t="str">
        <f t="shared" si="822"/>
        <v/>
      </c>
      <c r="BL1279" s="163" t="str">
        <f t="shared" si="827"/>
        <v/>
      </c>
      <c r="BM1279" s="163" t="str">
        <f t="shared" si="823"/>
        <v/>
      </c>
      <c r="BN1279" s="163" t="str">
        <f t="shared" si="828"/>
        <v/>
      </c>
      <c r="BO1279" s="163" t="str">
        <f t="shared" si="829"/>
        <v/>
      </c>
      <c r="BP1279" s="150" t="str">
        <f t="shared" si="824"/>
        <v/>
      </c>
      <c r="BQ1279" s="150" t="str">
        <f t="shared" si="818"/>
        <v/>
      </c>
      <c r="BR1279" s="154" t="str">
        <f t="shared" si="830"/>
        <v/>
      </c>
      <c r="BT1279" s="147"/>
    </row>
    <row r="1280" spans="1:72" s="150" customFormat="1" x14ac:dyDescent="0.25">
      <c r="A1280" s="150" t="str">
        <f t="shared" si="819"/>
        <v/>
      </c>
      <c r="B1280" s="150" t="str">
        <f t="shared" si="820"/>
        <v/>
      </c>
      <c r="C1280" s="150" t="str">
        <f t="shared" si="821"/>
        <v/>
      </c>
      <c r="D1280" s="150" t="str">
        <f>IF(E1280="","",Input!$C$4+B1280-1)</f>
        <v/>
      </c>
      <c r="E1280" s="150" t="str">
        <f>IF(OR(AND(C1279=12,D1279=Input!$C$6),E1279=""),"",1)</f>
        <v/>
      </c>
      <c r="G1280" s="151" t="str">
        <f>IF(E1280="","",MAX(0,Input!$C$9-B1280))</f>
        <v/>
      </c>
      <c r="H1280" s="152" t="str">
        <f>IF(E1280="","",Input!$C$3)</f>
        <v/>
      </c>
      <c r="I1280" s="153" t="str">
        <f>IF(E1280="","",HLOOKUP($B1280,Input!$C$13:$BT$14,2))</f>
        <v/>
      </c>
      <c r="J1280" s="154"/>
      <c r="K1280" s="150" t="str">
        <f>IF($E1280="","",INDEX(Input!$C$16:$CP$16,1,$B1280))</f>
        <v/>
      </c>
      <c r="L1280" s="150" t="str">
        <f>IF($E1280="","",Input!$C$37)</f>
        <v/>
      </c>
      <c r="M1280" s="150" t="str">
        <f t="shared" si="807"/>
        <v/>
      </c>
      <c r="N1280" s="150" t="str">
        <f t="shared" si="808"/>
        <v/>
      </c>
      <c r="O1280" s="147" t="str">
        <f>IF($E1280="","",MIN(VLOOKUP(IF($B1280&lt;=Input!$C$7,$B1280,26),'Mortality Tables'!$A$41:$CW$67,IF($B1280&lt;=Input!$C$7+1,Input!$C$4+2,$D1280-Input!$C$7+2),0)*IF(B1280&gt;20,Input!$C$22,1)/1000,1))</f>
        <v/>
      </c>
      <c r="P1280" s="147" t="str">
        <f>IF($E1280="","",MIN(VLOOKUP(IF($B1280&lt;=Input!$C$7,$B1280,26),'Mortality Tables'!$A$12:$CW$37,IF($B1280&lt;=Input!$C$7+1,Input!$C$4+2,$D1280-Input!$C$7+2),0)*IF(B1280&gt;20,Input!$C$22,1)/1000,1))</f>
        <v/>
      </c>
      <c r="Q1280" s="155" t="str">
        <f>IF($E1280="","",Input!$C$21)</f>
        <v/>
      </c>
      <c r="R1280" s="159" t="str">
        <f>IF($E1280="","",(1-Q1280)^($F1280-Input!$C$20))</f>
        <v/>
      </c>
      <c r="S1280" s="147" t="str">
        <f t="shared" si="796"/>
        <v/>
      </c>
      <c r="T1280" s="147" t="str">
        <f t="shared" si="797"/>
        <v/>
      </c>
      <c r="U1280" s="160" t="str">
        <f>IF($E1280="","",IF($C1280=12,INDEX(Input!$C$15:$CP$15,1,$B1280),0))</f>
        <v/>
      </c>
      <c r="V1280" s="150" t="str">
        <f>IF(E1280="","",IF(C1280=1,IF($B1280=1,Input!$C$33,Input!$C$34),0))</f>
        <v/>
      </c>
      <c r="W1280" s="156" t="str">
        <f>IF($E1280="","",Input!$C$35)</f>
        <v/>
      </c>
      <c r="X1280" s="156" t="str">
        <f t="shared" si="798"/>
        <v/>
      </c>
      <c r="Y1280" s="154"/>
      <c r="Z1280" s="147" t="str">
        <f>IF($E1280="","",VLOOKUP($D1280,'Mortality Margins &amp; Grading'!$AB$5:$AF$125,3,0)*IF(Summary!$D$25="Included Margin",IF(AND($B1280&gt;Input!$C$9,Summary!$D$31&lt;&gt;"Included Margin"),0,1),0))</f>
        <v/>
      </c>
      <c r="AA1280" s="147" t="str">
        <f>IF($E1280="","",VLOOKUP($D1280,'Mortality Margins &amp; Grading'!$AB$5:$AF$125,5,0)*IF(Summary!$D$25="Included Margin",IF(AND($B1280&gt;Input!$C$9,Summary!$D$31&lt;&gt;"Included Margin"),0,1),0))</f>
        <v/>
      </c>
      <c r="AB1280" s="147" t="str">
        <f>IF($E1280="","",IF(AND($B1280&gt;Input!$C$9,Summary!$D$31&lt;&gt;"Included Margin"),1,IF(Summary!$D$25="Included Margin",VLOOKUP($B1280,'Mortality Margins &amp; Grading'!$AI$5:$AR$125,MATCH('Mortality Margins &amp; Grading'!$AQ$4,'Mortality Margins &amp; Grading'!$AI$4:$AR$4,0),0),1)))</f>
        <v/>
      </c>
      <c r="AC1280" s="154"/>
      <c r="AD1280" s="158" t="str">
        <f>IF(E1280="","",Input!$C$48*IF(Summary!$D$30="Included Margin",IF(AND($B1280&gt;Input!$C$9,Summary!$D$31&lt;&gt;"Included Margin"),0,1),0))</f>
        <v/>
      </c>
      <c r="AE1280" s="159" t="str">
        <f>IF(E1280="","",IF(Summary!$D$26="Included Margin",IF(AND($B1280&gt;Input!$C$9,Summary!$D$31&lt;&gt;"Included Margin"),1,1/$R1280),1))</f>
        <v/>
      </c>
      <c r="AF1280" s="160" t="str">
        <f>IF(E1280="","",IF(AND($B1280&gt;=Input!$C$9,$C1280=12,Summary!$D$31="Included Margin",$U1280&gt;0),1/U1280-1,IF($B1280&gt;=Input!$C$9,0,Input!$C$45*IF(Summary!$D$27="Included Margin",1,0))))</f>
        <v/>
      </c>
      <c r="AG1280" s="160" t="str">
        <f>IF(E1280="","",Input!$C$46*IF(Summary!$D$28="Included Margin",IF(AND($B1280&gt;Input!$C$9,Summary!$D$31&lt;&gt;"Included Margin"),0,1),0))</f>
        <v/>
      </c>
      <c r="AH1280" s="158" t="str">
        <f>IF(E1280="","",Input!$C$47*IF(Summary!$D$29="Included Margin",IF(AND($B1280&gt;Input!$C$9,Summary!$D$31&lt;&gt;"Included Margin"),0,1),0))</f>
        <v/>
      </c>
      <c r="AI1280" s="154"/>
      <c r="AJ1280" s="158" t="str">
        <f t="shared" si="809"/>
        <v/>
      </c>
      <c r="AK1280" s="150" t="str">
        <f t="shared" si="810"/>
        <v/>
      </c>
      <c r="AL1280" s="147" t="str">
        <f t="shared" si="811"/>
        <v/>
      </c>
      <c r="AM1280" s="147" t="str">
        <f t="shared" si="799"/>
        <v/>
      </c>
      <c r="AN1280" s="160" t="str">
        <f t="shared" si="812"/>
        <v/>
      </c>
      <c r="AO1280" s="161" t="str">
        <f t="shared" si="813"/>
        <v/>
      </c>
      <c r="AP1280" s="156" t="str">
        <f t="shared" si="800"/>
        <v/>
      </c>
      <c r="AQ1280" s="152"/>
      <c r="AR1280" s="162" t="str">
        <f t="shared" si="801"/>
        <v/>
      </c>
      <c r="AS1280" s="150" t="str">
        <f t="shared" si="814"/>
        <v/>
      </c>
      <c r="AT1280" s="163" t="str">
        <f t="shared" si="802"/>
        <v/>
      </c>
      <c r="AU1280" s="163" t="str">
        <f t="shared" si="803"/>
        <v/>
      </c>
      <c r="AV1280" s="163" t="str">
        <f t="shared" si="815"/>
        <v/>
      </c>
      <c r="AW1280" s="163" t="str">
        <f t="shared" si="804"/>
        <v/>
      </c>
      <c r="AX1280" s="163" t="str">
        <f t="shared" si="805"/>
        <v/>
      </c>
      <c r="AY1280" s="150" t="str">
        <f t="shared" si="816"/>
        <v/>
      </c>
      <c r="AZ1280" s="150" t="str">
        <f>IF($E1280="","",IF(OR(AND($D1280=Input!$C$6,$C1280=12),$AN1280=1),0,-AS1281+AT1281+AU1281-AV1281-AW1281-AX1281+AZ1281))</f>
        <v/>
      </c>
      <c r="BA1280" s="154" t="str">
        <f t="shared" si="806"/>
        <v/>
      </c>
      <c r="BC1280" s="147" t="str">
        <f t="shared" si="817"/>
        <v/>
      </c>
      <c r="BD1280" s="164" t="str">
        <f>IF(AND($C1279=12,$D1279=Input!$C$6),0,IF($E1280="","",AT1280+(AU1280+BD1281)/(1+$AK1280)*MIN((1-AM1280-AN1280),1)))</f>
        <v/>
      </c>
      <c r="BH1280" s="152"/>
      <c r="BI1280" s="162" t="str">
        <f t="shared" si="825"/>
        <v/>
      </c>
      <c r="BJ1280" s="150" t="str">
        <f t="shared" si="826"/>
        <v/>
      </c>
      <c r="BK1280" s="163" t="str">
        <f t="shared" si="822"/>
        <v/>
      </c>
      <c r="BL1280" s="163" t="str">
        <f t="shared" si="827"/>
        <v/>
      </c>
      <c r="BM1280" s="163" t="str">
        <f t="shared" si="823"/>
        <v/>
      </c>
      <c r="BN1280" s="163" t="str">
        <f t="shared" si="828"/>
        <v/>
      </c>
      <c r="BO1280" s="163" t="str">
        <f t="shared" si="829"/>
        <v/>
      </c>
      <c r="BP1280" s="150" t="str">
        <f t="shared" si="824"/>
        <v/>
      </c>
      <c r="BQ1280" s="150" t="str">
        <f t="shared" si="818"/>
        <v/>
      </c>
      <c r="BR1280" s="154" t="str">
        <f t="shared" si="830"/>
        <v/>
      </c>
      <c r="BT1280" s="147"/>
    </row>
    <row r="1281" spans="1:72" s="150" customFormat="1" x14ac:dyDescent="0.25">
      <c r="A1281" s="150" t="str">
        <f t="shared" si="819"/>
        <v/>
      </c>
      <c r="B1281" s="150" t="str">
        <f t="shared" si="820"/>
        <v/>
      </c>
      <c r="C1281" s="150" t="str">
        <f t="shared" si="821"/>
        <v/>
      </c>
      <c r="D1281" s="150" t="str">
        <f>IF(E1281="","",Input!$C$4+B1281-1)</f>
        <v/>
      </c>
      <c r="E1281" s="150" t="str">
        <f>IF(OR(AND(C1280=12,D1280=Input!$C$6),E1280=""),"",1)</f>
        <v/>
      </c>
      <c r="G1281" s="151" t="str">
        <f>IF(E1281="","",MAX(0,Input!$C$9-B1281))</f>
        <v/>
      </c>
      <c r="H1281" s="152" t="str">
        <f>IF(E1281="","",Input!$C$3)</f>
        <v/>
      </c>
      <c r="I1281" s="153" t="str">
        <f>IF(E1281="","",HLOOKUP($B1281,Input!$C$13:$BT$14,2))</f>
        <v/>
      </c>
      <c r="J1281" s="154"/>
      <c r="K1281" s="150" t="str">
        <f>IF($E1281="","",INDEX(Input!$C$16:$CP$16,1,$B1281))</f>
        <v/>
      </c>
      <c r="L1281" s="150" t="str">
        <f>IF($E1281="","",Input!$C$37)</f>
        <v/>
      </c>
      <c r="M1281" s="150" t="str">
        <f t="shared" si="807"/>
        <v/>
      </c>
      <c r="N1281" s="150" t="str">
        <f t="shared" si="808"/>
        <v/>
      </c>
      <c r="O1281" s="147" t="str">
        <f>IF($E1281="","",MIN(VLOOKUP(IF($B1281&lt;=Input!$C$7,$B1281,26),'Mortality Tables'!$A$41:$CW$67,IF($B1281&lt;=Input!$C$7+1,Input!$C$4+2,$D1281-Input!$C$7+2),0)*IF(B1281&gt;20,Input!$C$22,1)/1000,1))</f>
        <v/>
      </c>
      <c r="P1281" s="147" t="str">
        <f>IF($E1281="","",MIN(VLOOKUP(IF($B1281&lt;=Input!$C$7,$B1281,26),'Mortality Tables'!$A$12:$CW$37,IF($B1281&lt;=Input!$C$7+1,Input!$C$4+2,$D1281-Input!$C$7+2),0)*IF(B1281&gt;20,Input!$C$22,1)/1000,1))</f>
        <v/>
      </c>
      <c r="Q1281" s="155" t="str">
        <f>IF($E1281="","",Input!$C$21)</f>
        <v/>
      </c>
      <c r="R1281" s="159" t="str">
        <f>IF($E1281="","",(1-Q1281)^($F1281-Input!$C$20))</f>
        <v/>
      </c>
      <c r="S1281" s="147" t="str">
        <f t="shared" si="796"/>
        <v/>
      </c>
      <c r="T1281" s="147" t="str">
        <f t="shared" si="797"/>
        <v/>
      </c>
      <c r="U1281" s="160" t="str">
        <f>IF($E1281="","",IF($C1281=12,INDEX(Input!$C$15:$CP$15,1,$B1281),0))</f>
        <v/>
      </c>
      <c r="V1281" s="150" t="str">
        <f>IF(E1281="","",IF(C1281=1,IF($B1281=1,Input!$C$33,Input!$C$34),0))</f>
        <v/>
      </c>
      <c r="W1281" s="156" t="str">
        <f>IF($E1281="","",Input!$C$35)</f>
        <v/>
      </c>
      <c r="X1281" s="156" t="str">
        <f t="shared" si="798"/>
        <v/>
      </c>
      <c r="Y1281" s="154"/>
      <c r="Z1281" s="147" t="str">
        <f>IF($E1281="","",VLOOKUP($D1281,'Mortality Margins &amp; Grading'!$AB$5:$AF$125,3,0)*IF(Summary!$D$25="Included Margin",IF(AND($B1281&gt;Input!$C$9,Summary!$D$31&lt;&gt;"Included Margin"),0,1),0))</f>
        <v/>
      </c>
      <c r="AA1281" s="147" t="str">
        <f>IF($E1281="","",VLOOKUP($D1281,'Mortality Margins &amp; Grading'!$AB$5:$AF$125,5,0)*IF(Summary!$D$25="Included Margin",IF(AND($B1281&gt;Input!$C$9,Summary!$D$31&lt;&gt;"Included Margin"),0,1),0))</f>
        <v/>
      </c>
      <c r="AB1281" s="147" t="str">
        <f>IF($E1281="","",IF(AND($B1281&gt;Input!$C$9,Summary!$D$31&lt;&gt;"Included Margin"),1,IF(Summary!$D$25="Included Margin",VLOOKUP($B1281,'Mortality Margins &amp; Grading'!$AI$5:$AR$125,MATCH('Mortality Margins &amp; Grading'!$AQ$4,'Mortality Margins &amp; Grading'!$AI$4:$AR$4,0),0),1)))</f>
        <v/>
      </c>
      <c r="AC1281" s="154"/>
      <c r="AD1281" s="158" t="str">
        <f>IF(E1281="","",Input!$C$48*IF(Summary!$D$30="Included Margin",IF(AND($B1281&gt;Input!$C$9,Summary!$D$31&lt;&gt;"Included Margin"),0,1),0))</f>
        <v/>
      </c>
      <c r="AE1281" s="159" t="str">
        <f>IF(E1281="","",IF(Summary!$D$26="Included Margin",IF(AND($B1281&gt;Input!$C$9,Summary!$D$31&lt;&gt;"Included Margin"),1,1/$R1281),1))</f>
        <v/>
      </c>
      <c r="AF1281" s="160" t="str">
        <f>IF(E1281="","",IF(AND($B1281&gt;=Input!$C$9,$C1281=12,Summary!$D$31="Included Margin",$U1281&gt;0),1/U1281-1,IF($B1281&gt;=Input!$C$9,0,Input!$C$45*IF(Summary!$D$27="Included Margin",1,0))))</f>
        <v/>
      </c>
      <c r="AG1281" s="160" t="str">
        <f>IF(E1281="","",Input!$C$46*IF(Summary!$D$28="Included Margin",IF(AND($B1281&gt;Input!$C$9,Summary!$D$31&lt;&gt;"Included Margin"),0,1),0))</f>
        <v/>
      </c>
      <c r="AH1281" s="158" t="str">
        <f>IF(E1281="","",Input!$C$47*IF(Summary!$D$29="Included Margin",IF(AND($B1281&gt;Input!$C$9,Summary!$D$31&lt;&gt;"Included Margin"),0,1),0))</f>
        <v/>
      </c>
      <c r="AI1281" s="154"/>
      <c r="AJ1281" s="158" t="str">
        <f t="shared" si="809"/>
        <v/>
      </c>
      <c r="AK1281" s="150" t="str">
        <f t="shared" si="810"/>
        <v/>
      </c>
      <c r="AL1281" s="147" t="str">
        <f t="shared" si="811"/>
        <v/>
      </c>
      <c r="AM1281" s="147" t="str">
        <f t="shared" si="799"/>
        <v/>
      </c>
      <c r="AN1281" s="160" t="str">
        <f t="shared" si="812"/>
        <v/>
      </c>
      <c r="AO1281" s="161" t="str">
        <f t="shared" si="813"/>
        <v/>
      </c>
      <c r="AP1281" s="156" t="str">
        <f t="shared" si="800"/>
        <v/>
      </c>
      <c r="AQ1281" s="152"/>
      <c r="AR1281" s="162" t="str">
        <f t="shared" si="801"/>
        <v/>
      </c>
      <c r="AS1281" s="150" t="str">
        <f t="shared" si="814"/>
        <v/>
      </c>
      <c r="AT1281" s="163" t="str">
        <f t="shared" si="802"/>
        <v/>
      </c>
      <c r="AU1281" s="163" t="str">
        <f t="shared" si="803"/>
        <v/>
      </c>
      <c r="AV1281" s="163" t="str">
        <f t="shared" si="815"/>
        <v/>
      </c>
      <c r="AW1281" s="163" t="str">
        <f t="shared" si="804"/>
        <v/>
      </c>
      <c r="AX1281" s="163" t="str">
        <f t="shared" si="805"/>
        <v/>
      </c>
      <c r="AY1281" s="150" t="str">
        <f t="shared" si="816"/>
        <v/>
      </c>
      <c r="AZ1281" s="150" t="str">
        <f>IF($E1281="","",IF(OR(AND($D1281=Input!$C$6,$C1281=12),$AN1281=1),0,-AS1282+AT1282+AU1282-AV1282-AW1282-AX1282+AZ1282))</f>
        <v/>
      </c>
      <c r="BA1281" s="154" t="str">
        <f t="shared" si="806"/>
        <v/>
      </c>
      <c r="BC1281" s="147" t="str">
        <f t="shared" si="817"/>
        <v/>
      </c>
      <c r="BD1281" s="164" t="str">
        <f>IF(AND($C1280=12,$D1280=Input!$C$6),0,IF($E1281="","",AT1281+(AU1281+BD1282)/(1+$AK1281)*MIN((1-AM1281-AN1281),1)))</f>
        <v/>
      </c>
      <c r="BH1281" s="152"/>
      <c r="BI1281" s="162" t="str">
        <f t="shared" si="825"/>
        <v/>
      </c>
      <c r="BJ1281" s="150" t="str">
        <f t="shared" si="826"/>
        <v/>
      </c>
      <c r="BK1281" s="163" t="str">
        <f t="shared" si="822"/>
        <v/>
      </c>
      <c r="BL1281" s="163" t="str">
        <f t="shared" si="827"/>
        <v/>
      </c>
      <c r="BM1281" s="163" t="str">
        <f t="shared" si="823"/>
        <v/>
      </c>
      <c r="BN1281" s="163" t="str">
        <f t="shared" si="828"/>
        <v/>
      </c>
      <c r="BO1281" s="163" t="str">
        <f t="shared" si="829"/>
        <v/>
      </c>
      <c r="BP1281" s="150" t="str">
        <f t="shared" si="824"/>
        <v/>
      </c>
      <c r="BQ1281" s="150" t="str">
        <f t="shared" si="818"/>
        <v/>
      </c>
      <c r="BR1281" s="154" t="str">
        <f t="shared" si="830"/>
        <v/>
      </c>
      <c r="BT1281" s="147"/>
    </row>
    <row r="1282" spans="1:72" s="150" customFormat="1" x14ac:dyDescent="0.25">
      <c r="A1282" s="150" t="str">
        <f t="shared" si="819"/>
        <v/>
      </c>
      <c r="B1282" s="150" t="str">
        <f t="shared" si="820"/>
        <v/>
      </c>
      <c r="C1282" s="150" t="str">
        <f t="shared" si="821"/>
        <v/>
      </c>
      <c r="D1282" s="150" t="str">
        <f>IF(E1282="","",Input!$C$4+B1282-1)</f>
        <v/>
      </c>
      <c r="E1282" s="150" t="str">
        <f>IF(OR(AND(C1281=12,D1281=Input!$C$6),E1281=""),"",1)</f>
        <v/>
      </c>
      <c r="G1282" s="151" t="str">
        <f>IF(E1282="","",MAX(0,Input!$C$9-B1282))</f>
        <v/>
      </c>
      <c r="H1282" s="152" t="str">
        <f>IF(E1282="","",Input!$C$3)</f>
        <v/>
      </c>
      <c r="I1282" s="153" t="str">
        <f>IF(E1282="","",HLOOKUP($B1282,Input!$C$13:$BT$14,2))</f>
        <v/>
      </c>
      <c r="J1282" s="154"/>
      <c r="K1282" s="150" t="str">
        <f>IF($E1282="","",INDEX(Input!$C$16:$CP$16,1,$B1282))</f>
        <v/>
      </c>
      <c r="L1282" s="150" t="str">
        <f>IF($E1282="","",Input!$C$37)</f>
        <v/>
      </c>
      <c r="M1282" s="150" t="str">
        <f t="shared" si="807"/>
        <v/>
      </c>
      <c r="N1282" s="150" t="str">
        <f t="shared" si="808"/>
        <v/>
      </c>
      <c r="O1282" s="147" t="str">
        <f>IF($E1282="","",MIN(VLOOKUP(IF($B1282&lt;=Input!$C$7,$B1282,26),'Mortality Tables'!$A$41:$CW$67,IF($B1282&lt;=Input!$C$7+1,Input!$C$4+2,$D1282-Input!$C$7+2),0)*IF(B1282&gt;20,Input!$C$22,1)/1000,1))</f>
        <v/>
      </c>
      <c r="P1282" s="147" t="str">
        <f>IF($E1282="","",MIN(VLOOKUP(IF($B1282&lt;=Input!$C$7,$B1282,26),'Mortality Tables'!$A$12:$CW$37,IF($B1282&lt;=Input!$C$7+1,Input!$C$4+2,$D1282-Input!$C$7+2),0)*IF(B1282&gt;20,Input!$C$22,1)/1000,1))</f>
        <v/>
      </c>
      <c r="Q1282" s="155" t="str">
        <f>IF($E1282="","",Input!$C$21)</f>
        <v/>
      </c>
      <c r="R1282" s="159" t="str">
        <f>IF($E1282="","",(1-Q1282)^($F1282-Input!$C$20))</f>
        <v/>
      </c>
      <c r="S1282" s="147" t="str">
        <f t="shared" si="796"/>
        <v/>
      </c>
      <c r="T1282" s="147" t="str">
        <f t="shared" si="797"/>
        <v/>
      </c>
      <c r="U1282" s="160" t="str">
        <f>IF($E1282="","",IF($C1282=12,INDEX(Input!$C$15:$CP$15,1,$B1282),0))</f>
        <v/>
      </c>
      <c r="V1282" s="150" t="str">
        <f>IF(E1282="","",IF(C1282=1,IF($B1282=1,Input!$C$33,Input!$C$34),0))</f>
        <v/>
      </c>
      <c r="W1282" s="156" t="str">
        <f>IF($E1282="","",Input!$C$35)</f>
        <v/>
      </c>
      <c r="X1282" s="156" t="str">
        <f t="shared" si="798"/>
        <v/>
      </c>
      <c r="Y1282" s="154"/>
      <c r="Z1282" s="147" t="str">
        <f>IF($E1282="","",VLOOKUP($D1282,'Mortality Margins &amp; Grading'!$AB$5:$AF$125,3,0)*IF(Summary!$D$25="Included Margin",IF(AND($B1282&gt;Input!$C$9,Summary!$D$31&lt;&gt;"Included Margin"),0,1),0))</f>
        <v/>
      </c>
      <c r="AA1282" s="147" t="str">
        <f>IF($E1282="","",VLOOKUP($D1282,'Mortality Margins &amp; Grading'!$AB$5:$AF$125,5,0)*IF(Summary!$D$25="Included Margin",IF(AND($B1282&gt;Input!$C$9,Summary!$D$31&lt;&gt;"Included Margin"),0,1),0))</f>
        <v/>
      </c>
      <c r="AB1282" s="147" t="str">
        <f>IF($E1282="","",IF(AND($B1282&gt;Input!$C$9,Summary!$D$31&lt;&gt;"Included Margin"),1,IF(Summary!$D$25="Included Margin",VLOOKUP($B1282,'Mortality Margins &amp; Grading'!$AI$5:$AR$125,MATCH('Mortality Margins &amp; Grading'!$AQ$4,'Mortality Margins &amp; Grading'!$AI$4:$AR$4,0),0),1)))</f>
        <v/>
      </c>
      <c r="AC1282" s="154"/>
      <c r="AD1282" s="158" t="str">
        <f>IF(E1282="","",Input!$C$48*IF(Summary!$D$30="Included Margin",IF(AND($B1282&gt;Input!$C$9,Summary!$D$31&lt;&gt;"Included Margin"),0,1),0))</f>
        <v/>
      </c>
      <c r="AE1282" s="159" t="str">
        <f>IF(E1282="","",IF(Summary!$D$26="Included Margin",IF(AND($B1282&gt;Input!$C$9,Summary!$D$31&lt;&gt;"Included Margin"),1,1/$R1282),1))</f>
        <v/>
      </c>
      <c r="AF1282" s="160" t="str">
        <f>IF(E1282="","",IF(AND($B1282&gt;=Input!$C$9,$C1282=12,Summary!$D$31="Included Margin",$U1282&gt;0),1/U1282-1,IF($B1282&gt;=Input!$C$9,0,Input!$C$45*IF(Summary!$D$27="Included Margin",1,0))))</f>
        <v/>
      </c>
      <c r="AG1282" s="160" t="str">
        <f>IF(E1282="","",Input!$C$46*IF(Summary!$D$28="Included Margin",IF(AND($B1282&gt;Input!$C$9,Summary!$D$31&lt;&gt;"Included Margin"),0,1),0))</f>
        <v/>
      </c>
      <c r="AH1282" s="158" t="str">
        <f>IF(E1282="","",Input!$C$47*IF(Summary!$D$29="Included Margin",IF(AND($B1282&gt;Input!$C$9,Summary!$D$31&lt;&gt;"Included Margin"),0,1),0))</f>
        <v/>
      </c>
      <c r="AI1282" s="154"/>
      <c r="AJ1282" s="158" t="str">
        <f t="shared" si="809"/>
        <v/>
      </c>
      <c r="AK1282" s="150" t="str">
        <f t="shared" si="810"/>
        <v/>
      </c>
      <c r="AL1282" s="147" t="str">
        <f t="shared" si="811"/>
        <v/>
      </c>
      <c r="AM1282" s="147" t="str">
        <f t="shared" si="799"/>
        <v/>
      </c>
      <c r="AN1282" s="160" t="str">
        <f t="shared" si="812"/>
        <v/>
      </c>
      <c r="AO1282" s="161" t="str">
        <f t="shared" si="813"/>
        <v/>
      </c>
      <c r="AP1282" s="156" t="str">
        <f t="shared" si="800"/>
        <v/>
      </c>
      <c r="AQ1282" s="152"/>
      <c r="AR1282" s="162" t="str">
        <f t="shared" si="801"/>
        <v/>
      </c>
      <c r="AS1282" s="150" t="str">
        <f t="shared" si="814"/>
        <v/>
      </c>
      <c r="AT1282" s="163" t="str">
        <f t="shared" si="802"/>
        <v/>
      </c>
      <c r="AU1282" s="163" t="str">
        <f t="shared" si="803"/>
        <v/>
      </c>
      <c r="AV1282" s="163" t="str">
        <f t="shared" si="815"/>
        <v/>
      </c>
      <c r="AW1282" s="163" t="str">
        <f t="shared" si="804"/>
        <v/>
      </c>
      <c r="AX1282" s="163" t="str">
        <f t="shared" si="805"/>
        <v/>
      </c>
      <c r="AY1282" s="150" t="str">
        <f t="shared" si="816"/>
        <v/>
      </c>
      <c r="AZ1282" s="150" t="str">
        <f>IF($E1282="","",IF(OR(AND($D1282=Input!$C$6,$C1282=12),$AN1282=1),0,-AS1283+AT1283+AU1283-AV1283-AW1283-AX1283+AZ1283))</f>
        <v/>
      </c>
      <c r="BA1282" s="154" t="str">
        <f t="shared" si="806"/>
        <v/>
      </c>
      <c r="BC1282" s="147" t="str">
        <f t="shared" si="817"/>
        <v/>
      </c>
      <c r="BD1282" s="164" t="str">
        <f>IF(AND($C1281=12,$D1281=Input!$C$6),0,IF($E1282="","",AT1282+(AU1282+BD1283)/(1+$AK1282)*MIN((1-AM1282-AN1282),1)))</f>
        <v/>
      </c>
      <c r="BH1282" s="152"/>
      <c r="BI1282" s="162" t="str">
        <f t="shared" si="825"/>
        <v/>
      </c>
      <c r="BJ1282" s="150" t="str">
        <f t="shared" si="826"/>
        <v/>
      </c>
      <c r="BK1282" s="163" t="str">
        <f t="shared" si="822"/>
        <v/>
      </c>
      <c r="BL1282" s="163" t="str">
        <f t="shared" si="827"/>
        <v/>
      </c>
      <c r="BM1282" s="163" t="str">
        <f t="shared" si="823"/>
        <v/>
      </c>
      <c r="BN1282" s="163" t="str">
        <f t="shared" si="828"/>
        <v/>
      </c>
      <c r="BO1282" s="163" t="str">
        <f t="shared" si="829"/>
        <v/>
      </c>
      <c r="BP1282" s="150" t="str">
        <f t="shared" si="824"/>
        <v/>
      </c>
      <c r="BQ1282" s="150" t="str">
        <f t="shared" si="818"/>
        <v/>
      </c>
      <c r="BR1282" s="154" t="str">
        <f t="shared" si="830"/>
        <v/>
      </c>
      <c r="BT1282" s="147"/>
    </row>
    <row r="1283" spans="1:72" s="150" customFormat="1" x14ac:dyDescent="0.25">
      <c r="A1283" s="150" t="str">
        <f t="shared" si="819"/>
        <v/>
      </c>
      <c r="B1283" s="150" t="str">
        <f t="shared" si="820"/>
        <v/>
      </c>
      <c r="C1283" s="150" t="str">
        <f t="shared" si="821"/>
        <v/>
      </c>
      <c r="D1283" s="150" t="str">
        <f>IF(E1283="","",Input!$C$4+B1283-1)</f>
        <v/>
      </c>
      <c r="E1283" s="150" t="str">
        <f>IF(OR(AND(C1282=12,D1282=Input!$C$6),E1282=""),"",1)</f>
        <v/>
      </c>
      <c r="G1283" s="151" t="str">
        <f>IF(E1283="","",MAX(0,Input!$C$9-B1283))</f>
        <v/>
      </c>
      <c r="H1283" s="152" t="str">
        <f>IF(E1283="","",Input!$C$3)</f>
        <v/>
      </c>
      <c r="I1283" s="153" t="str">
        <f>IF(E1283="","",HLOOKUP($B1283,Input!$C$13:$BT$14,2))</f>
        <v/>
      </c>
      <c r="J1283" s="154"/>
      <c r="K1283" s="150" t="str">
        <f>IF($E1283="","",INDEX(Input!$C$16:$CP$16,1,$B1283))</f>
        <v/>
      </c>
      <c r="L1283" s="150" t="str">
        <f>IF($E1283="","",Input!$C$37)</f>
        <v/>
      </c>
      <c r="M1283" s="150" t="str">
        <f t="shared" si="807"/>
        <v/>
      </c>
      <c r="N1283" s="150" t="str">
        <f t="shared" si="808"/>
        <v/>
      </c>
      <c r="O1283" s="147" t="str">
        <f>IF($E1283="","",MIN(VLOOKUP(IF($B1283&lt;=Input!$C$7,$B1283,26),'Mortality Tables'!$A$41:$CW$67,IF($B1283&lt;=Input!$C$7+1,Input!$C$4+2,$D1283-Input!$C$7+2),0)*IF(B1283&gt;20,Input!$C$22,1)/1000,1))</f>
        <v/>
      </c>
      <c r="P1283" s="147" t="str">
        <f>IF($E1283="","",MIN(VLOOKUP(IF($B1283&lt;=Input!$C$7,$B1283,26),'Mortality Tables'!$A$12:$CW$37,IF($B1283&lt;=Input!$C$7+1,Input!$C$4+2,$D1283-Input!$C$7+2),0)*IF(B1283&gt;20,Input!$C$22,1)/1000,1))</f>
        <v/>
      </c>
      <c r="Q1283" s="155" t="str">
        <f>IF($E1283="","",Input!$C$21)</f>
        <v/>
      </c>
      <c r="R1283" s="159" t="str">
        <f>IF($E1283="","",(1-Q1283)^($F1283-Input!$C$20))</f>
        <v/>
      </c>
      <c r="S1283" s="147" t="str">
        <f t="shared" si="796"/>
        <v/>
      </c>
      <c r="T1283" s="147" t="str">
        <f t="shared" si="797"/>
        <v/>
      </c>
      <c r="U1283" s="160" t="str">
        <f>IF($E1283="","",IF($C1283=12,INDEX(Input!$C$15:$CP$15,1,$B1283),0))</f>
        <v/>
      </c>
      <c r="V1283" s="150" t="str">
        <f>IF(E1283="","",IF(C1283=1,IF($B1283=1,Input!$C$33,Input!$C$34),0))</f>
        <v/>
      </c>
      <c r="W1283" s="156" t="str">
        <f>IF($E1283="","",Input!$C$35)</f>
        <v/>
      </c>
      <c r="X1283" s="156" t="str">
        <f t="shared" si="798"/>
        <v/>
      </c>
      <c r="Y1283" s="154"/>
      <c r="Z1283" s="147" t="str">
        <f>IF($E1283="","",VLOOKUP($D1283,'Mortality Margins &amp; Grading'!$AB$5:$AF$125,3,0)*IF(Summary!$D$25="Included Margin",IF(AND($B1283&gt;Input!$C$9,Summary!$D$31&lt;&gt;"Included Margin"),0,1),0))</f>
        <v/>
      </c>
      <c r="AA1283" s="147" t="str">
        <f>IF($E1283="","",VLOOKUP($D1283,'Mortality Margins &amp; Grading'!$AB$5:$AF$125,5,0)*IF(Summary!$D$25="Included Margin",IF(AND($B1283&gt;Input!$C$9,Summary!$D$31&lt;&gt;"Included Margin"),0,1),0))</f>
        <v/>
      </c>
      <c r="AB1283" s="147" t="str">
        <f>IF($E1283="","",IF(AND($B1283&gt;Input!$C$9,Summary!$D$31&lt;&gt;"Included Margin"),1,IF(Summary!$D$25="Included Margin",VLOOKUP($B1283,'Mortality Margins &amp; Grading'!$AI$5:$AR$125,MATCH('Mortality Margins &amp; Grading'!$AQ$4,'Mortality Margins &amp; Grading'!$AI$4:$AR$4,0),0),1)))</f>
        <v/>
      </c>
      <c r="AC1283" s="154"/>
      <c r="AD1283" s="158" t="str">
        <f>IF(E1283="","",Input!$C$48*IF(Summary!$D$30="Included Margin",IF(AND($B1283&gt;Input!$C$9,Summary!$D$31&lt;&gt;"Included Margin"),0,1),0))</f>
        <v/>
      </c>
      <c r="AE1283" s="159" t="str">
        <f>IF(E1283="","",IF(Summary!$D$26="Included Margin",IF(AND($B1283&gt;Input!$C$9,Summary!$D$31&lt;&gt;"Included Margin"),1,1/$R1283),1))</f>
        <v/>
      </c>
      <c r="AF1283" s="160" t="str">
        <f>IF(E1283="","",IF(AND($B1283&gt;=Input!$C$9,$C1283=12,Summary!$D$31="Included Margin",$U1283&gt;0),1/U1283-1,IF($B1283&gt;=Input!$C$9,0,Input!$C$45*IF(Summary!$D$27="Included Margin",1,0))))</f>
        <v/>
      </c>
      <c r="AG1283" s="160" t="str">
        <f>IF(E1283="","",Input!$C$46*IF(Summary!$D$28="Included Margin",IF(AND($B1283&gt;Input!$C$9,Summary!$D$31&lt;&gt;"Included Margin"),0,1),0))</f>
        <v/>
      </c>
      <c r="AH1283" s="158" t="str">
        <f>IF(E1283="","",Input!$C$47*IF(Summary!$D$29="Included Margin",IF(AND($B1283&gt;Input!$C$9,Summary!$D$31&lt;&gt;"Included Margin"),0,1),0))</f>
        <v/>
      </c>
      <c r="AI1283" s="154"/>
      <c r="AJ1283" s="158" t="str">
        <f t="shared" si="809"/>
        <v/>
      </c>
      <c r="AK1283" s="150" t="str">
        <f t="shared" si="810"/>
        <v/>
      </c>
      <c r="AL1283" s="147" t="str">
        <f t="shared" si="811"/>
        <v/>
      </c>
      <c r="AM1283" s="147" t="str">
        <f t="shared" si="799"/>
        <v/>
      </c>
      <c r="AN1283" s="160" t="str">
        <f t="shared" si="812"/>
        <v/>
      </c>
      <c r="AO1283" s="161" t="str">
        <f t="shared" si="813"/>
        <v/>
      </c>
      <c r="AP1283" s="156" t="str">
        <f t="shared" si="800"/>
        <v/>
      </c>
      <c r="AQ1283" s="152"/>
      <c r="AR1283" s="162" t="str">
        <f t="shared" si="801"/>
        <v/>
      </c>
      <c r="AS1283" s="150" t="str">
        <f t="shared" si="814"/>
        <v/>
      </c>
      <c r="AT1283" s="163" t="str">
        <f t="shared" si="802"/>
        <v/>
      </c>
      <c r="AU1283" s="163" t="str">
        <f t="shared" si="803"/>
        <v/>
      </c>
      <c r="AV1283" s="163" t="str">
        <f t="shared" si="815"/>
        <v/>
      </c>
      <c r="AW1283" s="163" t="str">
        <f t="shared" si="804"/>
        <v/>
      </c>
      <c r="AX1283" s="163" t="str">
        <f t="shared" si="805"/>
        <v/>
      </c>
      <c r="AY1283" s="150" t="str">
        <f t="shared" si="816"/>
        <v/>
      </c>
      <c r="AZ1283" s="150" t="str">
        <f>IF($E1283="","",IF(OR(AND($D1283=Input!$C$6,$C1283=12),$AN1283=1),0,-AS1284+AT1284+AU1284-AV1284-AW1284-AX1284+AZ1284))</f>
        <v/>
      </c>
      <c r="BA1283" s="154" t="str">
        <f t="shared" si="806"/>
        <v/>
      </c>
      <c r="BC1283" s="147" t="str">
        <f t="shared" si="817"/>
        <v/>
      </c>
      <c r="BD1283" s="164" t="str">
        <f>IF(AND($C1282=12,$D1282=Input!$C$6),0,IF($E1283="","",AT1283+(AU1283+BD1284)/(1+$AK1283)*MIN((1-AM1283-AN1283),1)))</f>
        <v/>
      </c>
      <c r="BH1283" s="152"/>
      <c r="BI1283" s="162" t="str">
        <f t="shared" si="825"/>
        <v/>
      </c>
      <c r="BJ1283" s="150" t="str">
        <f t="shared" si="826"/>
        <v/>
      </c>
      <c r="BK1283" s="163" t="str">
        <f t="shared" si="822"/>
        <v/>
      </c>
      <c r="BL1283" s="163" t="str">
        <f t="shared" si="827"/>
        <v/>
      </c>
      <c r="BM1283" s="163" t="str">
        <f t="shared" si="823"/>
        <v/>
      </c>
      <c r="BN1283" s="163" t="str">
        <f t="shared" si="828"/>
        <v/>
      </c>
      <c r="BO1283" s="163" t="str">
        <f t="shared" si="829"/>
        <v/>
      </c>
      <c r="BP1283" s="150" t="str">
        <f t="shared" si="824"/>
        <v/>
      </c>
      <c r="BQ1283" s="150" t="str">
        <f t="shared" si="818"/>
        <v/>
      </c>
      <c r="BR1283" s="154" t="str">
        <f t="shared" si="830"/>
        <v/>
      </c>
      <c r="BT1283" s="147"/>
    </row>
    <row r="1284" spans="1:72" s="150" customFormat="1" x14ac:dyDescent="0.25">
      <c r="A1284" s="150" t="str">
        <f t="shared" si="819"/>
        <v/>
      </c>
      <c r="B1284" s="150" t="str">
        <f t="shared" si="820"/>
        <v/>
      </c>
      <c r="C1284" s="150" t="str">
        <f t="shared" si="821"/>
        <v/>
      </c>
      <c r="D1284" s="150" t="str">
        <f>IF(E1284="","",Input!$C$4+B1284-1)</f>
        <v/>
      </c>
      <c r="E1284" s="150" t="str">
        <f>IF(OR(AND(C1283=12,D1283=Input!$C$6),E1283=""),"",1)</f>
        <v/>
      </c>
      <c r="G1284" s="151" t="str">
        <f>IF(E1284="","",MAX(0,Input!$C$9-B1284))</f>
        <v/>
      </c>
      <c r="H1284" s="152" t="str">
        <f>IF(E1284="","",Input!$C$3)</f>
        <v/>
      </c>
      <c r="I1284" s="153" t="str">
        <f>IF(E1284="","",HLOOKUP($B1284,Input!$C$13:$BT$14,2))</f>
        <v/>
      </c>
      <c r="J1284" s="154"/>
      <c r="K1284" s="150" t="str">
        <f>IF($E1284="","",INDEX(Input!$C$16:$CP$16,1,$B1284))</f>
        <v/>
      </c>
      <c r="L1284" s="150" t="str">
        <f>IF($E1284="","",Input!$C$37)</f>
        <v/>
      </c>
      <c r="M1284" s="150" t="str">
        <f t="shared" si="807"/>
        <v/>
      </c>
      <c r="N1284" s="150" t="str">
        <f t="shared" si="808"/>
        <v/>
      </c>
      <c r="O1284" s="147" t="str">
        <f>IF($E1284="","",MIN(VLOOKUP(IF($B1284&lt;=Input!$C$7,$B1284,26),'Mortality Tables'!$A$41:$CW$67,IF($B1284&lt;=Input!$C$7+1,Input!$C$4+2,$D1284-Input!$C$7+2),0)*IF(B1284&gt;20,Input!$C$22,1)/1000,1))</f>
        <v/>
      </c>
      <c r="P1284" s="147" t="str">
        <f>IF($E1284="","",MIN(VLOOKUP(IF($B1284&lt;=Input!$C$7,$B1284,26),'Mortality Tables'!$A$12:$CW$37,IF($B1284&lt;=Input!$C$7+1,Input!$C$4+2,$D1284-Input!$C$7+2),0)*IF(B1284&gt;20,Input!$C$22,1)/1000,1))</f>
        <v/>
      </c>
      <c r="Q1284" s="155" t="str">
        <f>IF($E1284="","",Input!$C$21)</f>
        <v/>
      </c>
      <c r="R1284" s="159" t="str">
        <f>IF($E1284="","",(1-Q1284)^($F1284-Input!$C$20))</f>
        <v/>
      </c>
      <c r="S1284" s="147" t="str">
        <f t="shared" si="796"/>
        <v/>
      </c>
      <c r="T1284" s="147" t="str">
        <f t="shared" si="797"/>
        <v/>
      </c>
      <c r="U1284" s="160" t="str">
        <f>IF($E1284="","",IF($C1284=12,INDEX(Input!$C$15:$CP$15,1,$B1284),0))</f>
        <v/>
      </c>
      <c r="V1284" s="150" t="str">
        <f>IF(E1284="","",IF(C1284=1,IF($B1284=1,Input!$C$33,Input!$C$34),0))</f>
        <v/>
      </c>
      <c r="W1284" s="156" t="str">
        <f>IF($E1284="","",Input!$C$35)</f>
        <v/>
      </c>
      <c r="X1284" s="156" t="str">
        <f t="shared" si="798"/>
        <v/>
      </c>
      <c r="Y1284" s="154"/>
      <c r="Z1284" s="147" t="str">
        <f>IF($E1284="","",VLOOKUP($D1284,'Mortality Margins &amp; Grading'!$AB$5:$AF$125,3,0)*IF(Summary!$D$25="Included Margin",IF(AND($B1284&gt;Input!$C$9,Summary!$D$31&lt;&gt;"Included Margin"),0,1),0))</f>
        <v/>
      </c>
      <c r="AA1284" s="147" t="str">
        <f>IF($E1284="","",VLOOKUP($D1284,'Mortality Margins &amp; Grading'!$AB$5:$AF$125,5,0)*IF(Summary!$D$25="Included Margin",IF(AND($B1284&gt;Input!$C$9,Summary!$D$31&lt;&gt;"Included Margin"),0,1),0))</f>
        <v/>
      </c>
      <c r="AB1284" s="147" t="str">
        <f>IF($E1284="","",IF(AND($B1284&gt;Input!$C$9,Summary!$D$31&lt;&gt;"Included Margin"),1,IF(Summary!$D$25="Included Margin",VLOOKUP($B1284,'Mortality Margins &amp; Grading'!$AI$5:$AR$125,MATCH('Mortality Margins &amp; Grading'!$AQ$4,'Mortality Margins &amp; Grading'!$AI$4:$AR$4,0),0),1)))</f>
        <v/>
      </c>
      <c r="AC1284" s="154"/>
      <c r="AD1284" s="158" t="str">
        <f>IF(E1284="","",Input!$C$48*IF(Summary!$D$30="Included Margin",IF(AND($B1284&gt;Input!$C$9,Summary!$D$31&lt;&gt;"Included Margin"),0,1),0))</f>
        <v/>
      </c>
      <c r="AE1284" s="159" t="str">
        <f>IF(E1284="","",IF(Summary!$D$26="Included Margin",IF(AND($B1284&gt;Input!$C$9,Summary!$D$31&lt;&gt;"Included Margin"),1,1/$R1284),1))</f>
        <v/>
      </c>
      <c r="AF1284" s="160" t="str">
        <f>IF(E1284="","",IF(AND($B1284&gt;=Input!$C$9,$C1284=12,Summary!$D$31="Included Margin",$U1284&gt;0),1/U1284-1,IF($B1284&gt;=Input!$C$9,0,Input!$C$45*IF(Summary!$D$27="Included Margin",1,0))))</f>
        <v/>
      </c>
      <c r="AG1284" s="160" t="str">
        <f>IF(E1284="","",Input!$C$46*IF(Summary!$D$28="Included Margin",IF(AND($B1284&gt;Input!$C$9,Summary!$D$31&lt;&gt;"Included Margin"),0,1),0))</f>
        <v/>
      </c>
      <c r="AH1284" s="158" t="str">
        <f>IF(E1284="","",Input!$C$47*IF(Summary!$D$29="Included Margin",IF(AND($B1284&gt;Input!$C$9,Summary!$D$31&lt;&gt;"Included Margin"),0,1),0))</f>
        <v/>
      </c>
      <c r="AI1284" s="154"/>
      <c r="AJ1284" s="158" t="str">
        <f t="shared" si="809"/>
        <v/>
      </c>
      <c r="AK1284" s="150" t="str">
        <f t="shared" si="810"/>
        <v/>
      </c>
      <c r="AL1284" s="147" t="str">
        <f t="shared" si="811"/>
        <v/>
      </c>
      <c r="AM1284" s="147" t="str">
        <f t="shared" si="799"/>
        <v/>
      </c>
      <c r="AN1284" s="160" t="str">
        <f t="shared" si="812"/>
        <v/>
      </c>
      <c r="AO1284" s="161" t="str">
        <f t="shared" si="813"/>
        <v/>
      </c>
      <c r="AP1284" s="156" t="str">
        <f t="shared" si="800"/>
        <v/>
      </c>
      <c r="AQ1284" s="152"/>
      <c r="AR1284" s="162" t="str">
        <f t="shared" si="801"/>
        <v/>
      </c>
      <c r="AS1284" s="150" t="str">
        <f t="shared" si="814"/>
        <v/>
      </c>
      <c r="AT1284" s="163" t="str">
        <f t="shared" si="802"/>
        <v/>
      </c>
      <c r="AU1284" s="163" t="str">
        <f t="shared" si="803"/>
        <v/>
      </c>
      <c r="AV1284" s="163" t="str">
        <f t="shared" si="815"/>
        <v/>
      </c>
      <c r="AW1284" s="163" t="str">
        <f t="shared" si="804"/>
        <v/>
      </c>
      <c r="AX1284" s="163" t="str">
        <f t="shared" si="805"/>
        <v/>
      </c>
      <c r="AY1284" s="150" t="str">
        <f t="shared" si="816"/>
        <v/>
      </c>
      <c r="AZ1284" s="150" t="str">
        <f>IF($E1284="","",IF(OR(AND($D1284=Input!$C$6,$C1284=12),$AN1284=1),0,-AS1285+AT1285+AU1285-AV1285-AW1285-AX1285+AZ1285))</f>
        <v/>
      </c>
      <c r="BA1284" s="154" t="str">
        <f t="shared" si="806"/>
        <v/>
      </c>
      <c r="BC1284" s="147" t="str">
        <f t="shared" si="817"/>
        <v/>
      </c>
      <c r="BD1284" s="164" t="str">
        <f>IF(AND($C1283=12,$D1283=Input!$C$6),0,IF($E1284="","",AT1284+(AU1284+BD1285)/(1+$AK1284)*MIN((1-AM1284-AN1284),1)))</f>
        <v/>
      </c>
      <c r="BH1284" s="152"/>
      <c r="BI1284" s="162" t="str">
        <f t="shared" si="825"/>
        <v/>
      </c>
      <c r="BJ1284" s="150" t="str">
        <f t="shared" si="826"/>
        <v/>
      </c>
      <c r="BK1284" s="163" t="str">
        <f t="shared" si="822"/>
        <v/>
      </c>
      <c r="BL1284" s="163" t="str">
        <f t="shared" si="827"/>
        <v/>
      </c>
      <c r="BM1284" s="163" t="str">
        <f t="shared" si="823"/>
        <v/>
      </c>
      <c r="BN1284" s="163" t="str">
        <f t="shared" si="828"/>
        <v/>
      </c>
      <c r="BO1284" s="163" t="str">
        <f t="shared" si="829"/>
        <v/>
      </c>
      <c r="BP1284" s="150" t="str">
        <f t="shared" si="824"/>
        <v/>
      </c>
      <c r="BQ1284" s="150" t="str">
        <f t="shared" si="818"/>
        <v/>
      </c>
      <c r="BR1284" s="154" t="str">
        <f t="shared" si="830"/>
        <v/>
      </c>
      <c r="BT1284" s="147"/>
    </row>
    <row r="1285" spans="1:72" s="150" customFormat="1" x14ac:dyDescent="0.25">
      <c r="A1285" s="150" t="str">
        <f t="shared" si="819"/>
        <v/>
      </c>
      <c r="B1285" s="150" t="str">
        <f t="shared" si="820"/>
        <v/>
      </c>
      <c r="C1285" s="150" t="str">
        <f t="shared" si="821"/>
        <v/>
      </c>
      <c r="D1285" s="150" t="str">
        <f>IF(E1285="","",Input!$C$4+B1285-1)</f>
        <v/>
      </c>
      <c r="E1285" s="150" t="str">
        <f>IF(OR(AND(C1284=12,D1284=Input!$C$6),E1284=""),"",1)</f>
        <v/>
      </c>
      <c r="G1285" s="151" t="str">
        <f>IF(E1285="","",MAX(0,Input!$C$9-B1285))</f>
        <v/>
      </c>
      <c r="H1285" s="152" t="str">
        <f>IF(E1285="","",Input!$C$3)</f>
        <v/>
      </c>
      <c r="I1285" s="153" t="str">
        <f>IF(E1285="","",HLOOKUP($B1285,Input!$C$13:$BT$14,2))</f>
        <v/>
      </c>
      <c r="J1285" s="154"/>
      <c r="K1285" s="150" t="str">
        <f>IF($E1285="","",INDEX(Input!$C$16:$CP$16,1,$B1285))</f>
        <v/>
      </c>
      <c r="L1285" s="150" t="str">
        <f>IF($E1285="","",Input!$C$37)</f>
        <v/>
      </c>
      <c r="M1285" s="150" t="str">
        <f t="shared" si="807"/>
        <v/>
      </c>
      <c r="N1285" s="150" t="str">
        <f t="shared" si="808"/>
        <v/>
      </c>
      <c r="O1285" s="147" t="str">
        <f>IF($E1285="","",MIN(VLOOKUP(IF($B1285&lt;=Input!$C$7,$B1285,26),'Mortality Tables'!$A$41:$CW$67,IF($B1285&lt;=Input!$C$7+1,Input!$C$4+2,$D1285-Input!$C$7+2),0)*IF(B1285&gt;20,Input!$C$22,1)/1000,1))</f>
        <v/>
      </c>
      <c r="P1285" s="147" t="str">
        <f>IF($E1285="","",MIN(VLOOKUP(IF($B1285&lt;=Input!$C$7,$B1285,26),'Mortality Tables'!$A$12:$CW$37,IF($B1285&lt;=Input!$C$7+1,Input!$C$4+2,$D1285-Input!$C$7+2),0)*IF(B1285&gt;20,Input!$C$22,1)/1000,1))</f>
        <v/>
      </c>
      <c r="Q1285" s="155" t="str">
        <f>IF($E1285="","",Input!$C$21)</f>
        <v/>
      </c>
      <c r="R1285" s="159" t="str">
        <f>IF($E1285="","",(1-Q1285)^($F1285-Input!$C$20))</f>
        <v/>
      </c>
      <c r="S1285" s="147" t="str">
        <f t="shared" ref="S1285:S1348" si="831">IF($E1285="","",MIN(O1285*R1285,1))</f>
        <v/>
      </c>
      <c r="T1285" s="147" t="str">
        <f t="shared" ref="T1285:T1348" si="832">IF($E1285="","",1-(1-S1285)^(1/12))</f>
        <v/>
      </c>
      <c r="U1285" s="160" t="str">
        <f>IF($E1285="","",IF($C1285=12,INDEX(Input!$C$15:$CP$15,1,$B1285),0))</f>
        <v/>
      </c>
      <c r="V1285" s="150" t="str">
        <f>IF(E1285="","",IF(C1285=1,IF($B1285=1,Input!$C$33,Input!$C$34),0))</f>
        <v/>
      </c>
      <c r="W1285" s="156" t="str">
        <f>IF($E1285="","",Input!$C$35)</f>
        <v/>
      </c>
      <c r="X1285" s="156" t="str">
        <f t="shared" ref="X1285:X1348" si="833">IF($E1285="","",IF(B1285=1,1,IF(C1285=1,(1+W1285)*X1284,X1284)))</f>
        <v/>
      </c>
      <c r="Y1285" s="154"/>
      <c r="Z1285" s="147" t="str">
        <f>IF($E1285="","",VLOOKUP($D1285,'Mortality Margins &amp; Grading'!$AB$5:$AF$125,3,0)*IF(Summary!$D$25="Included Margin",IF(AND($B1285&gt;Input!$C$9,Summary!$D$31&lt;&gt;"Included Margin"),0,1),0))</f>
        <v/>
      </c>
      <c r="AA1285" s="147" t="str">
        <f>IF($E1285="","",VLOOKUP($D1285,'Mortality Margins &amp; Grading'!$AB$5:$AF$125,5,0)*IF(Summary!$D$25="Included Margin",IF(AND($B1285&gt;Input!$C$9,Summary!$D$31&lt;&gt;"Included Margin"),0,1),0))</f>
        <v/>
      </c>
      <c r="AB1285" s="147" t="str">
        <f>IF($E1285="","",IF(AND($B1285&gt;Input!$C$9,Summary!$D$31&lt;&gt;"Included Margin"),1,IF(Summary!$D$25="Included Margin",VLOOKUP($B1285,'Mortality Margins &amp; Grading'!$AI$5:$AR$125,MATCH('Mortality Margins &amp; Grading'!$AQ$4,'Mortality Margins &amp; Grading'!$AI$4:$AR$4,0),0),1)))</f>
        <v/>
      </c>
      <c r="AC1285" s="154"/>
      <c r="AD1285" s="158" t="str">
        <f>IF(E1285="","",Input!$C$48*IF(Summary!$D$30="Included Margin",IF(AND($B1285&gt;Input!$C$9,Summary!$D$31&lt;&gt;"Included Margin"),0,1),0))</f>
        <v/>
      </c>
      <c r="AE1285" s="159" t="str">
        <f>IF(E1285="","",IF(Summary!$D$26="Included Margin",IF(AND($B1285&gt;Input!$C$9,Summary!$D$31&lt;&gt;"Included Margin"),1,1/$R1285),1))</f>
        <v/>
      </c>
      <c r="AF1285" s="160" t="str">
        <f>IF(E1285="","",IF(AND($B1285&gt;=Input!$C$9,$C1285=12,Summary!$D$31="Included Margin",$U1285&gt;0),1/U1285-1,IF($B1285&gt;=Input!$C$9,0,Input!$C$45*IF(Summary!$D$27="Included Margin",1,0))))</f>
        <v/>
      </c>
      <c r="AG1285" s="160" t="str">
        <f>IF(E1285="","",Input!$C$46*IF(Summary!$D$28="Included Margin",IF(AND($B1285&gt;Input!$C$9,Summary!$D$31&lt;&gt;"Included Margin"),0,1),0))</f>
        <v/>
      </c>
      <c r="AH1285" s="158" t="str">
        <f>IF(E1285="","",Input!$C$47*IF(Summary!$D$29="Included Margin",IF(AND($B1285&gt;Input!$C$9,Summary!$D$31&lt;&gt;"Included Margin"),0,1),0))</f>
        <v/>
      </c>
      <c r="AI1285" s="154"/>
      <c r="AJ1285" s="158" t="str">
        <f t="shared" si="809"/>
        <v/>
      </c>
      <c r="AK1285" s="150" t="str">
        <f t="shared" si="810"/>
        <v/>
      </c>
      <c r="AL1285" s="147" t="str">
        <f t="shared" si="811"/>
        <v/>
      </c>
      <c r="AM1285" s="147" t="str">
        <f t="shared" ref="AM1285:AM1348" si="834">IF($E1285="","",1-(1-AL1285)^(1/12))</f>
        <v/>
      </c>
      <c r="AN1285" s="160" t="str">
        <f t="shared" si="812"/>
        <v/>
      </c>
      <c r="AO1285" s="161" t="str">
        <f t="shared" si="813"/>
        <v/>
      </c>
      <c r="AP1285" s="156" t="str">
        <f t="shared" ref="AP1285:AP1348" si="835">IF($E1285="","",IF(B1285=1,1,IF(C1285=1,(1+$W1285+$AH1285)*AP1284,AP1284)))</f>
        <v/>
      </c>
      <c r="AQ1285" s="152"/>
      <c r="AR1285" s="162" t="str">
        <f t="shared" ref="AR1285:AR1348" si="836">IF($E1285="","",(AZ1285*(1-$AN1285)*(1-$AM1285)/(1+$AK1285)+AU1285/(1+$AK1285/2)-AS1285+AT1285))</f>
        <v/>
      </c>
      <c r="AS1285" s="150" t="str">
        <f t="shared" si="814"/>
        <v/>
      </c>
      <c r="AT1285" s="163" t="str">
        <f t="shared" ref="AT1285:AT1348" si="837">IF($E1285="","",$AO1285*$AP1285)</f>
        <v/>
      </c>
      <c r="AU1285" s="163" t="str">
        <f t="shared" ref="AU1285:AU1348" si="838">IF($E1285="","",$AM1285*$H1285)</f>
        <v/>
      </c>
      <c r="AV1285" s="163" t="str">
        <f t="shared" si="815"/>
        <v/>
      </c>
      <c r="AW1285" s="163" t="str">
        <f t="shared" ref="AW1285:AW1348" si="839">IF($E1285="","",AZ1285*$AM1285)</f>
        <v/>
      </c>
      <c r="AX1285" s="163" t="str">
        <f t="shared" ref="AX1285:AX1348" si="840">IF($E1285="","",$AN1285*AZ1285*(1-$AM1285))</f>
        <v/>
      </c>
      <c r="AY1285" s="150" t="str">
        <f t="shared" si="816"/>
        <v/>
      </c>
      <c r="AZ1285" s="150" t="str">
        <f>IF($E1285="","",IF(OR(AND($D1285=Input!$C$6,$C1285=12),$AN1285=1),0,-AS1286+AT1286+AU1286-AV1286-AW1286-AX1286+AZ1286))</f>
        <v/>
      </c>
      <c r="BA1285" s="154" t="str">
        <f t="shared" ref="BA1285:BA1348" si="841">IF(E1285="","",AZ1285-AY1285)</f>
        <v/>
      </c>
      <c r="BC1285" s="147" t="str">
        <f t="shared" si="817"/>
        <v/>
      </c>
      <c r="BD1285" s="164" t="str">
        <f>IF(AND($C1284=12,$D1284=Input!$C$6),0,IF($E1285="","",AT1285+(AU1285+BD1286)/(1+$AK1285)*MIN((1-AM1285-AN1285),1)))</f>
        <v/>
      </c>
      <c r="BH1285" s="152"/>
      <c r="BI1285" s="162" t="str">
        <f t="shared" si="825"/>
        <v/>
      </c>
      <c r="BJ1285" s="150" t="str">
        <f t="shared" si="826"/>
        <v/>
      </c>
      <c r="BK1285" s="163" t="str">
        <f t="shared" si="822"/>
        <v/>
      </c>
      <c r="BL1285" s="163" t="str">
        <f t="shared" si="827"/>
        <v/>
      </c>
      <c r="BM1285" s="163" t="str">
        <f t="shared" si="823"/>
        <v/>
      </c>
      <c r="BN1285" s="163" t="str">
        <f t="shared" si="828"/>
        <v/>
      </c>
      <c r="BO1285" s="163" t="str">
        <f t="shared" si="829"/>
        <v/>
      </c>
      <c r="BP1285" s="150" t="str">
        <f t="shared" si="824"/>
        <v/>
      </c>
      <c r="BQ1285" s="150" t="str">
        <f t="shared" si="818"/>
        <v/>
      </c>
      <c r="BR1285" s="154" t="str">
        <f t="shared" si="830"/>
        <v/>
      </c>
      <c r="BT1285" s="147"/>
    </row>
    <row r="1286" spans="1:72" s="150" customFormat="1" x14ac:dyDescent="0.25">
      <c r="A1286" s="150" t="str">
        <f t="shared" si="819"/>
        <v/>
      </c>
      <c r="B1286" s="150" t="str">
        <f t="shared" si="820"/>
        <v/>
      </c>
      <c r="C1286" s="150" t="str">
        <f t="shared" si="821"/>
        <v/>
      </c>
      <c r="D1286" s="150" t="str">
        <f>IF(E1286="","",Input!$C$4+B1286-1)</f>
        <v/>
      </c>
      <c r="E1286" s="150" t="str">
        <f>IF(OR(AND(C1285=12,D1285=Input!$C$6),E1285=""),"",1)</f>
        <v/>
      </c>
      <c r="G1286" s="151" t="str">
        <f>IF(E1286="","",MAX(0,Input!$C$9-B1286))</f>
        <v/>
      </c>
      <c r="H1286" s="152" t="str">
        <f>IF(E1286="","",Input!$C$3)</f>
        <v/>
      </c>
      <c r="I1286" s="153" t="str">
        <f>IF(E1286="","",HLOOKUP($B1286,Input!$C$13:$BT$14,2))</f>
        <v/>
      </c>
      <c r="J1286" s="154"/>
      <c r="K1286" s="150" t="str">
        <f>IF($E1286="","",INDEX(Input!$C$16:$CP$16,1,$B1286))</f>
        <v/>
      </c>
      <c r="L1286" s="150" t="str">
        <f>IF($E1286="","",Input!$C$37)</f>
        <v/>
      </c>
      <c r="M1286" s="150" t="str">
        <f t="shared" ref="M1286:M1349" si="842">IF($E1286="","",K1286+L1286)</f>
        <v/>
      </c>
      <c r="N1286" s="150" t="str">
        <f t="shared" ref="N1286:N1349" si="843">IF($E1286="","",(1+M1286)^(1/12)-1)</f>
        <v/>
      </c>
      <c r="O1286" s="147" t="str">
        <f>IF($E1286="","",MIN(VLOOKUP(IF($B1286&lt;=Input!$C$7,$B1286,26),'Mortality Tables'!$A$41:$CW$67,IF($B1286&lt;=Input!$C$7+1,Input!$C$4+2,$D1286-Input!$C$7+2),0)*IF(B1286&gt;20,Input!$C$22,1)/1000,1))</f>
        <v/>
      </c>
      <c r="P1286" s="147" t="str">
        <f>IF($E1286="","",MIN(VLOOKUP(IF($B1286&lt;=Input!$C$7,$B1286,26),'Mortality Tables'!$A$12:$CW$37,IF($B1286&lt;=Input!$C$7+1,Input!$C$4+2,$D1286-Input!$C$7+2),0)*IF(B1286&gt;20,Input!$C$22,1)/1000,1))</f>
        <v/>
      </c>
      <c r="Q1286" s="155" t="str">
        <f>IF($E1286="","",Input!$C$21)</f>
        <v/>
      </c>
      <c r="R1286" s="159" t="str">
        <f>IF($E1286="","",(1-Q1286)^($F1286-Input!$C$20))</f>
        <v/>
      </c>
      <c r="S1286" s="147" t="str">
        <f t="shared" si="831"/>
        <v/>
      </c>
      <c r="T1286" s="147" t="str">
        <f t="shared" si="832"/>
        <v/>
      </c>
      <c r="U1286" s="160" t="str">
        <f>IF($E1286="","",IF($C1286=12,INDEX(Input!$C$15:$CP$15,1,$B1286),0))</f>
        <v/>
      </c>
      <c r="V1286" s="150" t="str">
        <f>IF(E1286="","",IF(C1286=1,IF($B1286=1,Input!$C$33,Input!$C$34),0))</f>
        <v/>
      </c>
      <c r="W1286" s="156" t="str">
        <f>IF($E1286="","",Input!$C$35)</f>
        <v/>
      </c>
      <c r="X1286" s="156" t="str">
        <f t="shared" si="833"/>
        <v/>
      </c>
      <c r="Y1286" s="154"/>
      <c r="Z1286" s="147" t="str">
        <f>IF($E1286="","",VLOOKUP($D1286,'Mortality Margins &amp; Grading'!$AB$5:$AF$125,3,0)*IF(Summary!$D$25="Included Margin",IF(AND($B1286&gt;Input!$C$9,Summary!$D$31&lt;&gt;"Included Margin"),0,1),0))</f>
        <v/>
      </c>
      <c r="AA1286" s="147" t="str">
        <f>IF($E1286="","",VLOOKUP($D1286,'Mortality Margins &amp; Grading'!$AB$5:$AF$125,5,0)*IF(Summary!$D$25="Included Margin",IF(AND($B1286&gt;Input!$C$9,Summary!$D$31&lt;&gt;"Included Margin"),0,1),0))</f>
        <v/>
      </c>
      <c r="AB1286" s="147" t="str">
        <f>IF($E1286="","",IF(AND($B1286&gt;Input!$C$9,Summary!$D$31&lt;&gt;"Included Margin"),1,IF(Summary!$D$25="Included Margin",VLOOKUP($B1286,'Mortality Margins &amp; Grading'!$AI$5:$AR$125,MATCH('Mortality Margins &amp; Grading'!$AQ$4,'Mortality Margins &amp; Grading'!$AI$4:$AR$4,0),0),1)))</f>
        <v/>
      </c>
      <c r="AC1286" s="154"/>
      <c r="AD1286" s="158" t="str">
        <f>IF(E1286="","",Input!$C$48*IF(Summary!$D$30="Included Margin",IF(AND($B1286&gt;Input!$C$9,Summary!$D$31&lt;&gt;"Included Margin"),0,1),0))</f>
        <v/>
      </c>
      <c r="AE1286" s="159" t="str">
        <f>IF(E1286="","",IF(Summary!$D$26="Included Margin",IF(AND($B1286&gt;Input!$C$9,Summary!$D$31&lt;&gt;"Included Margin"),1,1/$R1286),1))</f>
        <v/>
      </c>
      <c r="AF1286" s="160" t="str">
        <f>IF(E1286="","",IF(AND($B1286&gt;=Input!$C$9,$C1286=12,Summary!$D$31="Included Margin",$U1286&gt;0),1/U1286-1,IF($B1286&gt;=Input!$C$9,0,Input!$C$45*IF(Summary!$D$27="Included Margin",1,0))))</f>
        <v/>
      </c>
      <c r="AG1286" s="160" t="str">
        <f>IF(E1286="","",Input!$C$46*IF(Summary!$D$28="Included Margin",IF(AND($B1286&gt;Input!$C$9,Summary!$D$31&lt;&gt;"Included Margin"),0,1),0))</f>
        <v/>
      </c>
      <c r="AH1286" s="158" t="str">
        <f>IF(E1286="","",Input!$C$47*IF(Summary!$D$29="Included Margin",IF(AND($B1286&gt;Input!$C$9,Summary!$D$31&lt;&gt;"Included Margin"),0,1),0))</f>
        <v/>
      </c>
      <c r="AI1286" s="154"/>
      <c r="AJ1286" s="158" t="str">
        <f t="shared" ref="AJ1286:AJ1349" si="844">IF(E1286="","",M1286+AD1286)</f>
        <v/>
      </c>
      <c r="AK1286" s="150" t="str">
        <f t="shared" ref="AK1286:AK1349" si="845">IF(E1286="","",(1+AJ1286)^(1/12)-1)</f>
        <v/>
      </c>
      <c r="AL1286" s="147" t="str">
        <f t="shared" ref="AL1286:AL1349" si="846">IF($E1286="","",MIN(($O1286*(1+$Z1286)*$AB1286+$P1286*(1+$AA1286)*(1-$AB1286))*R1286*AE1286,1))</f>
        <v/>
      </c>
      <c r="AM1286" s="147" t="str">
        <f t="shared" si="834"/>
        <v/>
      </c>
      <c r="AN1286" s="160" t="str">
        <f t="shared" ref="AN1286:AN1349" si="847">IF(E1286="","",IF(U1286=1,1,(1+AF1286)*U1286))</f>
        <v/>
      </c>
      <c r="AO1286" s="161" t="str">
        <f t="shared" ref="AO1286:AO1349" si="848">IF($E1286="","",(1+$AG1286)*$V1286)</f>
        <v/>
      </c>
      <c r="AP1286" s="156" t="str">
        <f t="shared" si="835"/>
        <v/>
      </c>
      <c r="AQ1286" s="152"/>
      <c r="AR1286" s="162" t="str">
        <f t="shared" si="836"/>
        <v/>
      </c>
      <c r="AS1286" s="150" t="str">
        <f t="shared" ref="AS1286:AS1349" si="849">IF($E1286="","",IF($C1286=1,$I1286*$H1286/1000,0))</f>
        <v/>
      </c>
      <c r="AT1286" s="163" t="str">
        <f t="shared" si="837"/>
        <v/>
      </c>
      <c r="AU1286" s="163" t="str">
        <f t="shared" si="838"/>
        <v/>
      </c>
      <c r="AV1286" s="163" t="str">
        <f t="shared" ref="AV1286:AV1349" si="850">IF($E1286="","",(AR1286+AS1286-AT1286-AU1286/2)*$AK1286)</f>
        <v/>
      </c>
      <c r="AW1286" s="163" t="str">
        <f t="shared" si="839"/>
        <v/>
      </c>
      <c r="AX1286" s="163" t="str">
        <f t="shared" si="840"/>
        <v/>
      </c>
      <c r="AY1286" s="150" t="str">
        <f t="shared" ref="AY1286:AY1349" si="851">IF($E1286="","",AR1286+AS1286-AT1286-AU1286+AV1286+AW1286+AX1286)</f>
        <v/>
      </c>
      <c r="AZ1286" s="150" t="str">
        <f>IF($E1286="","",IF(OR(AND($D1286=Input!$C$6,$C1286=12),$AN1286=1),0,-AS1287+AT1287+AU1287-AV1287-AW1287-AX1287+AZ1287))</f>
        <v/>
      </c>
      <c r="BA1286" s="154" t="str">
        <f t="shared" si="841"/>
        <v/>
      </c>
      <c r="BC1286" s="147" t="str">
        <f t="shared" ref="BC1286:BC1349" si="852">IF($E1286="","",MIN(1,(1-T1286-U1286))*BC1285)</f>
        <v/>
      </c>
      <c r="BD1286" s="164" t="str">
        <f>IF(AND($C1285=12,$D1285=Input!$C$6),0,IF($E1286="","",AT1286+(AU1286+BD1287)/(1+$AK1286)*MIN((1-AM1286-AN1286),1)))</f>
        <v/>
      </c>
      <c r="BH1286" s="152"/>
      <c r="BI1286" s="162" t="str">
        <f t="shared" si="825"/>
        <v/>
      </c>
      <c r="BJ1286" s="150" t="str">
        <f t="shared" si="826"/>
        <v/>
      </c>
      <c r="BK1286" s="163" t="str">
        <f t="shared" si="822"/>
        <v/>
      </c>
      <c r="BL1286" s="163" t="str">
        <f t="shared" si="827"/>
        <v/>
      </c>
      <c r="BM1286" s="163" t="str">
        <f t="shared" si="823"/>
        <v/>
      </c>
      <c r="BN1286" s="163" t="str">
        <f t="shared" si="828"/>
        <v/>
      </c>
      <c r="BO1286" s="163" t="str">
        <f t="shared" si="829"/>
        <v/>
      </c>
      <c r="BP1286" s="150" t="str">
        <f t="shared" si="824"/>
        <v/>
      </c>
      <c r="BQ1286" s="150" t="str">
        <f t="shared" ref="BQ1286:BQ1349" si="853">IF($E1286="","",IF($U1286=1,0,-BJ1287+BK1287+BL1287-BM1287-BN1287-BO1287+BQ1287))</f>
        <v/>
      </c>
      <c r="BR1286" s="154" t="str">
        <f t="shared" si="830"/>
        <v/>
      </c>
      <c r="BT1286" s="147"/>
    </row>
    <row r="1287" spans="1:72" s="150" customFormat="1" x14ac:dyDescent="0.25">
      <c r="A1287" s="150" t="str">
        <f t="shared" ref="A1287:A1350" si="854">IF(E1287="","",A1286+1)</f>
        <v/>
      </c>
      <c r="B1287" s="150" t="str">
        <f t="shared" ref="B1287:B1350" si="855">IF(E1287="","",IF(C1286+1&gt;12,B1286+1,B1286))</f>
        <v/>
      </c>
      <c r="C1287" s="150" t="str">
        <f t="shared" ref="C1287:C1350" si="856">IF(E1287="","",IF(C1286+1&gt;12,1,C1286+1))</f>
        <v/>
      </c>
      <c r="D1287" s="150" t="str">
        <f>IF(E1287="","",Input!$C$4+B1287-1)</f>
        <v/>
      </c>
      <c r="E1287" s="150" t="str">
        <f>IF(OR(AND(C1286=12,D1286=Input!$C$6),E1286=""),"",1)</f>
        <v/>
      </c>
      <c r="G1287" s="151" t="str">
        <f>IF(E1287="","",MAX(0,Input!$C$9-B1287))</f>
        <v/>
      </c>
      <c r="H1287" s="152" t="str">
        <f>IF(E1287="","",Input!$C$3)</f>
        <v/>
      </c>
      <c r="I1287" s="153" t="str">
        <f>IF(E1287="","",HLOOKUP($B1287,Input!$C$13:$BT$14,2))</f>
        <v/>
      </c>
      <c r="J1287" s="154"/>
      <c r="K1287" s="150" t="str">
        <f>IF($E1287="","",INDEX(Input!$C$16:$CP$16,1,$B1287))</f>
        <v/>
      </c>
      <c r="L1287" s="150" t="str">
        <f>IF($E1287="","",Input!$C$37)</f>
        <v/>
      </c>
      <c r="M1287" s="150" t="str">
        <f t="shared" si="842"/>
        <v/>
      </c>
      <c r="N1287" s="150" t="str">
        <f t="shared" si="843"/>
        <v/>
      </c>
      <c r="O1287" s="147" t="str">
        <f>IF($E1287="","",MIN(VLOOKUP(IF($B1287&lt;=Input!$C$7,$B1287,26),'Mortality Tables'!$A$41:$CW$67,IF($B1287&lt;=Input!$C$7+1,Input!$C$4+2,$D1287-Input!$C$7+2),0)*IF(B1287&gt;20,Input!$C$22,1)/1000,1))</f>
        <v/>
      </c>
      <c r="P1287" s="147" t="str">
        <f>IF($E1287="","",MIN(VLOOKUP(IF($B1287&lt;=Input!$C$7,$B1287,26),'Mortality Tables'!$A$12:$CW$37,IF($B1287&lt;=Input!$C$7+1,Input!$C$4+2,$D1287-Input!$C$7+2),0)*IF(B1287&gt;20,Input!$C$22,1)/1000,1))</f>
        <v/>
      </c>
      <c r="Q1287" s="155" t="str">
        <f>IF($E1287="","",Input!$C$21)</f>
        <v/>
      </c>
      <c r="R1287" s="159" t="str">
        <f>IF($E1287="","",(1-Q1287)^($F1287-Input!$C$20))</f>
        <v/>
      </c>
      <c r="S1287" s="147" t="str">
        <f t="shared" si="831"/>
        <v/>
      </c>
      <c r="T1287" s="147" t="str">
        <f t="shared" si="832"/>
        <v/>
      </c>
      <c r="U1287" s="160" t="str">
        <f>IF($E1287="","",IF($C1287=12,INDEX(Input!$C$15:$CP$15,1,$B1287),0))</f>
        <v/>
      </c>
      <c r="V1287" s="150" t="str">
        <f>IF(E1287="","",IF(C1287=1,IF($B1287=1,Input!$C$33,Input!$C$34),0))</f>
        <v/>
      </c>
      <c r="W1287" s="156" t="str">
        <f>IF($E1287="","",Input!$C$35)</f>
        <v/>
      </c>
      <c r="X1287" s="156" t="str">
        <f t="shared" si="833"/>
        <v/>
      </c>
      <c r="Y1287" s="154"/>
      <c r="Z1287" s="147" t="str">
        <f>IF($E1287="","",VLOOKUP($D1287,'Mortality Margins &amp; Grading'!$AB$5:$AF$125,3,0)*IF(Summary!$D$25="Included Margin",IF(AND($B1287&gt;Input!$C$9,Summary!$D$31&lt;&gt;"Included Margin"),0,1),0))</f>
        <v/>
      </c>
      <c r="AA1287" s="147" t="str">
        <f>IF($E1287="","",VLOOKUP($D1287,'Mortality Margins &amp; Grading'!$AB$5:$AF$125,5,0)*IF(Summary!$D$25="Included Margin",IF(AND($B1287&gt;Input!$C$9,Summary!$D$31&lt;&gt;"Included Margin"),0,1),0))</f>
        <v/>
      </c>
      <c r="AB1287" s="147" t="str">
        <f>IF($E1287="","",IF(AND($B1287&gt;Input!$C$9,Summary!$D$31&lt;&gt;"Included Margin"),1,IF(Summary!$D$25="Included Margin",VLOOKUP($B1287,'Mortality Margins &amp; Grading'!$AI$5:$AR$125,MATCH('Mortality Margins &amp; Grading'!$AQ$4,'Mortality Margins &amp; Grading'!$AI$4:$AR$4,0),0),1)))</f>
        <v/>
      </c>
      <c r="AC1287" s="154"/>
      <c r="AD1287" s="158" t="str">
        <f>IF(E1287="","",Input!$C$48*IF(Summary!$D$30="Included Margin",IF(AND($B1287&gt;Input!$C$9,Summary!$D$31&lt;&gt;"Included Margin"),0,1),0))</f>
        <v/>
      </c>
      <c r="AE1287" s="159" t="str">
        <f>IF(E1287="","",IF(Summary!$D$26="Included Margin",IF(AND($B1287&gt;Input!$C$9,Summary!$D$31&lt;&gt;"Included Margin"),1,1/$R1287),1))</f>
        <v/>
      </c>
      <c r="AF1287" s="160" t="str">
        <f>IF(E1287="","",IF(AND($B1287&gt;=Input!$C$9,$C1287=12,Summary!$D$31="Included Margin",$U1287&gt;0),1/U1287-1,IF($B1287&gt;=Input!$C$9,0,Input!$C$45*IF(Summary!$D$27="Included Margin",1,0))))</f>
        <v/>
      </c>
      <c r="AG1287" s="160" t="str">
        <f>IF(E1287="","",Input!$C$46*IF(Summary!$D$28="Included Margin",IF(AND($B1287&gt;Input!$C$9,Summary!$D$31&lt;&gt;"Included Margin"),0,1),0))</f>
        <v/>
      </c>
      <c r="AH1287" s="158" t="str">
        <f>IF(E1287="","",Input!$C$47*IF(Summary!$D$29="Included Margin",IF(AND($B1287&gt;Input!$C$9,Summary!$D$31&lt;&gt;"Included Margin"),0,1),0))</f>
        <v/>
      </c>
      <c r="AI1287" s="154"/>
      <c r="AJ1287" s="158" t="str">
        <f t="shared" si="844"/>
        <v/>
      </c>
      <c r="AK1287" s="150" t="str">
        <f t="shared" si="845"/>
        <v/>
      </c>
      <c r="AL1287" s="147" t="str">
        <f t="shared" si="846"/>
        <v/>
      </c>
      <c r="AM1287" s="147" t="str">
        <f t="shared" si="834"/>
        <v/>
      </c>
      <c r="AN1287" s="160" t="str">
        <f t="shared" si="847"/>
        <v/>
      </c>
      <c r="AO1287" s="161" t="str">
        <f t="shared" si="848"/>
        <v/>
      </c>
      <c r="AP1287" s="156" t="str">
        <f t="shared" si="835"/>
        <v/>
      </c>
      <c r="AQ1287" s="152"/>
      <c r="AR1287" s="162" t="str">
        <f t="shared" si="836"/>
        <v/>
      </c>
      <c r="AS1287" s="150" t="str">
        <f t="shared" si="849"/>
        <v/>
      </c>
      <c r="AT1287" s="163" t="str">
        <f t="shared" si="837"/>
        <v/>
      </c>
      <c r="AU1287" s="163" t="str">
        <f t="shared" si="838"/>
        <v/>
      </c>
      <c r="AV1287" s="163" t="str">
        <f t="shared" si="850"/>
        <v/>
      </c>
      <c r="AW1287" s="163" t="str">
        <f t="shared" si="839"/>
        <v/>
      </c>
      <c r="AX1287" s="163" t="str">
        <f t="shared" si="840"/>
        <v/>
      </c>
      <c r="AY1287" s="150" t="str">
        <f t="shared" si="851"/>
        <v/>
      </c>
      <c r="AZ1287" s="150" t="str">
        <f>IF($E1287="","",IF(OR(AND($D1287=Input!$C$6,$C1287=12),$AN1287=1),0,-AS1288+AT1288+AU1288-AV1288-AW1288-AX1288+AZ1288))</f>
        <v/>
      </c>
      <c r="BA1287" s="154" t="str">
        <f t="shared" si="841"/>
        <v/>
      </c>
      <c r="BC1287" s="147" t="str">
        <f t="shared" si="852"/>
        <v/>
      </c>
      <c r="BD1287" s="164" t="str">
        <f>IF(AND($C1286=12,$D1286=Input!$C$6),0,IF($E1287="","",AT1287+(AU1287+BD1288)/(1+$AK1287)*MIN((1-AM1287-AN1287),1)))</f>
        <v/>
      </c>
      <c r="BH1287" s="152"/>
      <c r="BI1287" s="162" t="str">
        <f t="shared" si="825"/>
        <v/>
      </c>
      <c r="BJ1287" s="150" t="str">
        <f t="shared" si="826"/>
        <v/>
      </c>
      <c r="BK1287" s="163" t="str">
        <f t="shared" ref="BK1287:BK1350" si="857">IF($E1287="","",$V1287*$X1287)</f>
        <v/>
      </c>
      <c r="BL1287" s="163" t="str">
        <f t="shared" si="827"/>
        <v/>
      </c>
      <c r="BM1287" s="163" t="str">
        <f t="shared" ref="BM1287:BM1350" si="858">IF($E1287="","",(BI1287+BJ1287-BK1287-BL1287/2)*$N1287)</f>
        <v/>
      </c>
      <c r="BN1287" s="163" t="str">
        <f t="shared" si="828"/>
        <v/>
      </c>
      <c r="BO1287" s="163" t="str">
        <f t="shared" si="829"/>
        <v/>
      </c>
      <c r="BP1287" s="150" t="str">
        <f t="shared" ref="BP1287:BP1350" si="859">IF($E1287="","",BI1287+BJ1287-BK1287-BL1287+BM1287+BN1287+BO1287)</f>
        <v/>
      </c>
      <c r="BQ1287" s="150" t="str">
        <f t="shared" si="853"/>
        <v/>
      </c>
      <c r="BR1287" s="154" t="str">
        <f t="shared" si="830"/>
        <v/>
      </c>
      <c r="BT1287" s="147"/>
    </row>
    <row r="1288" spans="1:72" s="150" customFormat="1" x14ac:dyDescent="0.25">
      <c r="A1288" s="150" t="str">
        <f t="shared" si="854"/>
        <v/>
      </c>
      <c r="B1288" s="150" t="str">
        <f t="shared" si="855"/>
        <v/>
      </c>
      <c r="C1288" s="150" t="str">
        <f t="shared" si="856"/>
        <v/>
      </c>
      <c r="D1288" s="150" t="str">
        <f>IF(E1288="","",Input!$C$4+B1288-1)</f>
        <v/>
      </c>
      <c r="E1288" s="150" t="str">
        <f>IF(OR(AND(C1287=12,D1287=Input!$C$6),E1287=""),"",1)</f>
        <v/>
      </c>
      <c r="G1288" s="151" t="str">
        <f>IF(E1288="","",MAX(0,Input!$C$9-B1288))</f>
        <v/>
      </c>
      <c r="H1288" s="152" t="str">
        <f>IF(E1288="","",Input!$C$3)</f>
        <v/>
      </c>
      <c r="I1288" s="153" t="str">
        <f>IF(E1288="","",HLOOKUP($B1288,Input!$C$13:$BT$14,2))</f>
        <v/>
      </c>
      <c r="J1288" s="154"/>
      <c r="K1288" s="150" t="str">
        <f>IF($E1288="","",INDEX(Input!$C$16:$CP$16,1,$B1288))</f>
        <v/>
      </c>
      <c r="L1288" s="150" t="str">
        <f>IF($E1288="","",Input!$C$37)</f>
        <v/>
      </c>
      <c r="M1288" s="150" t="str">
        <f t="shared" si="842"/>
        <v/>
      </c>
      <c r="N1288" s="150" t="str">
        <f t="shared" si="843"/>
        <v/>
      </c>
      <c r="O1288" s="147" t="str">
        <f>IF($E1288="","",MIN(VLOOKUP(IF($B1288&lt;=Input!$C$7,$B1288,26),'Mortality Tables'!$A$41:$CW$67,IF($B1288&lt;=Input!$C$7+1,Input!$C$4+2,$D1288-Input!$C$7+2),0)*IF(B1288&gt;20,Input!$C$22,1)/1000,1))</f>
        <v/>
      </c>
      <c r="P1288" s="147" t="str">
        <f>IF($E1288="","",MIN(VLOOKUP(IF($B1288&lt;=Input!$C$7,$B1288,26),'Mortality Tables'!$A$12:$CW$37,IF($B1288&lt;=Input!$C$7+1,Input!$C$4+2,$D1288-Input!$C$7+2),0)*IF(B1288&gt;20,Input!$C$22,1)/1000,1))</f>
        <v/>
      </c>
      <c r="Q1288" s="155" t="str">
        <f>IF($E1288="","",Input!$C$21)</f>
        <v/>
      </c>
      <c r="R1288" s="159" t="str">
        <f>IF($E1288="","",(1-Q1288)^($F1288-Input!$C$20))</f>
        <v/>
      </c>
      <c r="S1288" s="147" t="str">
        <f t="shared" si="831"/>
        <v/>
      </c>
      <c r="T1288" s="147" t="str">
        <f t="shared" si="832"/>
        <v/>
      </c>
      <c r="U1288" s="160" t="str">
        <f>IF($E1288="","",IF($C1288=12,INDEX(Input!$C$15:$CP$15,1,$B1288),0))</f>
        <v/>
      </c>
      <c r="V1288" s="150" t="str">
        <f>IF(E1288="","",IF(C1288=1,IF($B1288=1,Input!$C$33,Input!$C$34),0))</f>
        <v/>
      </c>
      <c r="W1288" s="156" t="str">
        <f>IF($E1288="","",Input!$C$35)</f>
        <v/>
      </c>
      <c r="X1288" s="156" t="str">
        <f t="shared" si="833"/>
        <v/>
      </c>
      <c r="Y1288" s="154"/>
      <c r="Z1288" s="147" t="str">
        <f>IF($E1288="","",VLOOKUP($D1288,'Mortality Margins &amp; Grading'!$AB$5:$AF$125,3,0)*IF(Summary!$D$25="Included Margin",IF(AND($B1288&gt;Input!$C$9,Summary!$D$31&lt;&gt;"Included Margin"),0,1),0))</f>
        <v/>
      </c>
      <c r="AA1288" s="147" t="str">
        <f>IF($E1288="","",VLOOKUP($D1288,'Mortality Margins &amp; Grading'!$AB$5:$AF$125,5,0)*IF(Summary!$D$25="Included Margin",IF(AND($B1288&gt;Input!$C$9,Summary!$D$31&lt;&gt;"Included Margin"),0,1),0))</f>
        <v/>
      </c>
      <c r="AB1288" s="147" t="str">
        <f>IF($E1288="","",IF(AND($B1288&gt;Input!$C$9,Summary!$D$31&lt;&gt;"Included Margin"),1,IF(Summary!$D$25="Included Margin",VLOOKUP($B1288,'Mortality Margins &amp; Grading'!$AI$5:$AR$125,MATCH('Mortality Margins &amp; Grading'!$AQ$4,'Mortality Margins &amp; Grading'!$AI$4:$AR$4,0),0),1)))</f>
        <v/>
      </c>
      <c r="AC1288" s="154"/>
      <c r="AD1288" s="158" t="str">
        <f>IF(E1288="","",Input!$C$48*IF(Summary!$D$30="Included Margin",IF(AND($B1288&gt;Input!$C$9,Summary!$D$31&lt;&gt;"Included Margin"),0,1),0))</f>
        <v/>
      </c>
      <c r="AE1288" s="159" t="str">
        <f>IF(E1288="","",IF(Summary!$D$26="Included Margin",IF(AND($B1288&gt;Input!$C$9,Summary!$D$31&lt;&gt;"Included Margin"),1,1/$R1288),1))</f>
        <v/>
      </c>
      <c r="AF1288" s="160" t="str">
        <f>IF(E1288="","",IF(AND($B1288&gt;=Input!$C$9,$C1288=12,Summary!$D$31="Included Margin",$U1288&gt;0),1/U1288-1,IF($B1288&gt;=Input!$C$9,0,Input!$C$45*IF(Summary!$D$27="Included Margin",1,0))))</f>
        <v/>
      </c>
      <c r="AG1288" s="160" t="str">
        <f>IF(E1288="","",Input!$C$46*IF(Summary!$D$28="Included Margin",IF(AND($B1288&gt;Input!$C$9,Summary!$D$31&lt;&gt;"Included Margin"),0,1),0))</f>
        <v/>
      </c>
      <c r="AH1288" s="158" t="str">
        <f>IF(E1288="","",Input!$C$47*IF(Summary!$D$29="Included Margin",IF(AND($B1288&gt;Input!$C$9,Summary!$D$31&lt;&gt;"Included Margin"),0,1),0))</f>
        <v/>
      </c>
      <c r="AI1288" s="154"/>
      <c r="AJ1288" s="158" t="str">
        <f t="shared" si="844"/>
        <v/>
      </c>
      <c r="AK1288" s="150" t="str">
        <f t="shared" si="845"/>
        <v/>
      </c>
      <c r="AL1288" s="147" t="str">
        <f t="shared" si="846"/>
        <v/>
      </c>
      <c r="AM1288" s="147" t="str">
        <f t="shared" si="834"/>
        <v/>
      </c>
      <c r="AN1288" s="160" t="str">
        <f t="shared" si="847"/>
        <v/>
      </c>
      <c r="AO1288" s="161" t="str">
        <f t="shared" si="848"/>
        <v/>
      </c>
      <c r="AP1288" s="156" t="str">
        <f t="shared" si="835"/>
        <v/>
      </c>
      <c r="AQ1288" s="152"/>
      <c r="AR1288" s="162" t="str">
        <f t="shared" si="836"/>
        <v/>
      </c>
      <c r="AS1288" s="150" t="str">
        <f t="shared" si="849"/>
        <v/>
      </c>
      <c r="AT1288" s="163" t="str">
        <f t="shared" si="837"/>
        <v/>
      </c>
      <c r="AU1288" s="163" t="str">
        <f t="shared" si="838"/>
        <v/>
      </c>
      <c r="AV1288" s="163" t="str">
        <f t="shared" si="850"/>
        <v/>
      </c>
      <c r="AW1288" s="163" t="str">
        <f t="shared" si="839"/>
        <v/>
      </c>
      <c r="AX1288" s="163" t="str">
        <f t="shared" si="840"/>
        <v/>
      </c>
      <c r="AY1288" s="150" t="str">
        <f t="shared" si="851"/>
        <v/>
      </c>
      <c r="AZ1288" s="150" t="str">
        <f>IF($E1288="","",IF(OR(AND($D1288=Input!$C$6,$C1288=12),$AN1288=1),0,-AS1289+AT1289+AU1289-AV1289-AW1289-AX1289+AZ1289))</f>
        <v/>
      </c>
      <c r="BA1288" s="154" t="str">
        <f t="shared" si="841"/>
        <v/>
      </c>
      <c r="BC1288" s="147" t="str">
        <f t="shared" si="852"/>
        <v/>
      </c>
      <c r="BD1288" s="164" t="str">
        <f>IF(AND($C1287=12,$D1287=Input!$C$6),0,IF($E1288="","",AT1288+(AU1288+BD1289)/(1+$AK1288)*MIN((1-AM1288-AN1288),1)))</f>
        <v/>
      </c>
      <c r="BH1288" s="152"/>
      <c r="BI1288" s="162" t="str">
        <f t="shared" si="825"/>
        <v/>
      </c>
      <c r="BJ1288" s="150" t="str">
        <f t="shared" si="826"/>
        <v/>
      </c>
      <c r="BK1288" s="163" t="str">
        <f t="shared" si="857"/>
        <v/>
      </c>
      <c r="BL1288" s="163" t="str">
        <f t="shared" si="827"/>
        <v/>
      </c>
      <c r="BM1288" s="163" t="str">
        <f t="shared" si="858"/>
        <v/>
      </c>
      <c r="BN1288" s="163" t="str">
        <f t="shared" si="828"/>
        <v/>
      </c>
      <c r="BO1288" s="163" t="str">
        <f t="shared" si="829"/>
        <v/>
      </c>
      <c r="BP1288" s="150" t="str">
        <f t="shared" si="859"/>
        <v/>
      </c>
      <c r="BQ1288" s="150" t="str">
        <f t="shared" si="853"/>
        <v/>
      </c>
      <c r="BR1288" s="154" t="str">
        <f t="shared" si="830"/>
        <v/>
      </c>
      <c r="BT1288" s="147"/>
    </row>
    <row r="1289" spans="1:72" s="150" customFormat="1" x14ac:dyDescent="0.25">
      <c r="A1289" s="150" t="str">
        <f t="shared" si="854"/>
        <v/>
      </c>
      <c r="B1289" s="150" t="str">
        <f t="shared" si="855"/>
        <v/>
      </c>
      <c r="C1289" s="150" t="str">
        <f t="shared" si="856"/>
        <v/>
      </c>
      <c r="D1289" s="150" t="str">
        <f>IF(E1289="","",Input!$C$4+B1289-1)</f>
        <v/>
      </c>
      <c r="E1289" s="150" t="str">
        <f>IF(OR(AND(C1288=12,D1288=Input!$C$6),E1288=""),"",1)</f>
        <v/>
      </c>
      <c r="G1289" s="151" t="str">
        <f>IF(E1289="","",MAX(0,Input!$C$9-B1289))</f>
        <v/>
      </c>
      <c r="H1289" s="152" t="str">
        <f>IF(E1289="","",Input!$C$3)</f>
        <v/>
      </c>
      <c r="I1289" s="153" t="str">
        <f>IF(E1289="","",HLOOKUP($B1289,Input!$C$13:$BT$14,2))</f>
        <v/>
      </c>
      <c r="J1289" s="154"/>
      <c r="K1289" s="150" t="str">
        <f>IF($E1289="","",INDEX(Input!$C$16:$CP$16,1,$B1289))</f>
        <v/>
      </c>
      <c r="L1289" s="150" t="str">
        <f>IF($E1289="","",Input!$C$37)</f>
        <v/>
      </c>
      <c r="M1289" s="150" t="str">
        <f t="shared" si="842"/>
        <v/>
      </c>
      <c r="N1289" s="150" t="str">
        <f t="shared" si="843"/>
        <v/>
      </c>
      <c r="O1289" s="147" t="str">
        <f>IF($E1289="","",MIN(VLOOKUP(IF($B1289&lt;=Input!$C$7,$B1289,26),'Mortality Tables'!$A$41:$CW$67,IF($B1289&lt;=Input!$C$7+1,Input!$C$4+2,$D1289-Input!$C$7+2),0)*IF(B1289&gt;20,Input!$C$22,1)/1000,1))</f>
        <v/>
      </c>
      <c r="P1289" s="147" t="str">
        <f>IF($E1289="","",MIN(VLOOKUP(IF($B1289&lt;=Input!$C$7,$B1289,26),'Mortality Tables'!$A$12:$CW$37,IF($B1289&lt;=Input!$C$7+1,Input!$C$4+2,$D1289-Input!$C$7+2),0)*IF(B1289&gt;20,Input!$C$22,1)/1000,1))</f>
        <v/>
      </c>
      <c r="Q1289" s="155" t="str">
        <f>IF($E1289="","",Input!$C$21)</f>
        <v/>
      </c>
      <c r="R1289" s="159" t="str">
        <f>IF($E1289="","",(1-Q1289)^($F1289-Input!$C$20))</f>
        <v/>
      </c>
      <c r="S1289" s="147" t="str">
        <f t="shared" si="831"/>
        <v/>
      </c>
      <c r="T1289" s="147" t="str">
        <f t="shared" si="832"/>
        <v/>
      </c>
      <c r="U1289" s="160" t="str">
        <f>IF($E1289="","",IF($C1289=12,INDEX(Input!$C$15:$CP$15,1,$B1289),0))</f>
        <v/>
      </c>
      <c r="V1289" s="150" t="str">
        <f>IF(E1289="","",IF(C1289=1,IF($B1289=1,Input!$C$33,Input!$C$34),0))</f>
        <v/>
      </c>
      <c r="W1289" s="156" t="str">
        <f>IF($E1289="","",Input!$C$35)</f>
        <v/>
      </c>
      <c r="X1289" s="156" t="str">
        <f t="shared" si="833"/>
        <v/>
      </c>
      <c r="Y1289" s="154"/>
      <c r="Z1289" s="147" t="str">
        <f>IF($E1289="","",VLOOKUP($D1289,'Mortality Margins &amp; Grading'!$AB$5:$AF$125,3,0)*IF(Summary!$D$25="Included Margin",IF(AND($B1289&gt;Input!$C$9,Summary!$D$31&lt;&gt;"Included Margin"),0,1),0))</f>
        <v/>
      </c>
      <c r="AA1289" s="147" t="str">
        <f>IF($E1289="","",VLOOKUP($D1289,'Mortality Margins &amp; Grading'!$AB$5:$AF$125,5,0)*IF(Summary!$D$25="Included Margin",IF(AND($B1289&gt;Input!$C$9,Summary!$D$31&lt;&gt;"Included Margin"),0,1),0))</f>
        <v/>
      </c>
      <c r="AB1289" s="147" t="str">
        <f>IF($E1289="","",IF(AND($B1289&gt;Input!$C$9,Summary!$D$31&lt;&gt;"Included Margin"),1,IF(Summary!$D$25="Included Margin",VLOOKUP($B1289,'Mortality Margins &amp; Grading'!$AI$5:$AR$125,MATCH('Mortality Margins &amp; Grading'!$AQ$4,'Mortality Margins &amp; Grading'!$AI$4:$AR$4,0),0),1)))</f>
        <v/>
      </c>
      <c r="AC1289" s="154"/>
      <c r="AD1289" s="158" t="str">
        <f>IF(E1289="","",Input!$C$48*IF(Summary!$D$30="Included Margin",IF(AND($B1289&gt;Input!$C$9,Summary!$D$31&lt;&gt;"Included Margin"),0,1),0))</f>
        <v/>
      </c>
      <c r="AE1289" s="159" t="str">
        <f>IF(E1289="","",IF(Summary!$D$26="Included Margin",IF(AND($B1289&gt;Input!$C$9,Summary!$D$31&lt;&gt;"Included Margin"),1,1/$R1289),1))</f>
        <v/>
      </c>
      <c r="AF1289" s="160" t="str">
        <f>IF(E1289="","",IF(AND($B1289&gt;=Input!$C$9,$C1289=12,Summary!$D$31="Included Margin",$U1289&gt;0),1/U1289-1,IF($B1289&gt;=Input!$C$9,0,Input!$C$45*IF(Summary!$D$27="Included Margin",1,0))))</f>
        <v/>
      </c>
      <c r="AG1289" s="160" t="str">
        <f>IF(E1289="","",Input!$C$46*IF(Summary!$D$28="Included Margin",IF(AND($B1289&gt;Input!$C$9,Summary!$D$31&lt;&gt;"Included Margin"),0,1),0))</f>
        <v/>
      </c>
      <c r="AH1289" s="158" t="str">
        <f>IF(E1289="","",Input!$C$47*IF(Summary!$D$29="Included Margin",IF(AND($B1289&gt;Input!$C$9,Summary!$D$31&lt;&gt;"Included Margin"),0,1),0))</f>
        <v/>
      </c>
      <c r="AI1289" s="154"/>
      <c r="AJ1289" s="158" t="str">
        <f t="shared" si="844"/>
        <v/>
      </c>
      <c r="AK1289" s="150" t="str">
        <f t="shared" si="845"/>
        <v/>
      </c>
      <c r="AL1289" s="147" t="str">
        <f t="shared" si="846"/>
        <v/>
      </c>
      <c r="AM1289" s="147" t="str">
        <f t="shared" si="834"/>
        <v/>
      </c>
      <c r="AN1289" s="160" t="str">
        <f t="shared" si="847"/>
        <v/>
      </c>
      <c r="AO1289" s="161" t="str">
        <f t="shared" si="848"/>
        <v/>
      </c>
      <c r="AP1289" s="156" t="str">
        <f t="shared" si="835"/>
        <v/>
      </c>
      <c r="AQ1289" s="152"/>
      <c r="AR1289" s="162" t="str">
        <f t="shared" si="836"/>
        <v/>
      </c>
      <c r="AS1289" s="150" t="str">
        <f t="shared" si="849"/>
        <v/>
      </c>
      <c r="AT1289" s="163" t="str">
        <f t="shared" si="837"/>
        <v/>
      </c>
      <c r="AU1289" s="163" t="str">
        <f t="shared" si="838"/>
        <v/>
      </c>
      <c r="AV1289" s="163" t="str">
        <f t="shared" si="850"/>
        <v/>
      </c>
      <c r="AW1289" s="163" t="str">
        <f t="shared" si="839"/>
        <v/>
      </c>
      <c r="AX1289" s="163" t="str">
        <f t="shared" si="840"/>
        <v/>
      </c>
      <c r="AY1289" s="150" t="str">
        <f t="shared" si="851"/>
        <v/>
      </c>
      <c r="AZ1289" s="150" t="str">
        <f>IF($E1289="","",IF(OR(AND($D1289=Input!$C$6,$C1289=12),$AN1289=1),0,-AS1290+AT1290+AU1290-AV1290-AW1290-AX1290+AZ1290))</f>
        <v/>
      </c>
      <c r="BA1289" s="154" t="str">
        <f t="shared" si="841"/>
        <v/>
      </c>
      <c r="BC1289" s="147" t="str">
        <f t="shared" si="852"/>
        <v/>
      </c>
      <c r="BD1289" s="164" t="str">
        <f>IF(AND($C1288=12,$D1288=Input!$C$6),0,IF($E1289="","",AT1289+(AU1289+BD1290)/(1+$AK1289)*MIN((1-AM1289-AN1289),1)))</f>
        <v/>
      </c>
      <c r="BH1289" s="152"/>
      <c r="BI1289" s="162" t="str">
        <f t="shared" si="825"/>
        <v/>
      </c>
      <c r="BJ1289" s="150" t="str">
        <f t="shared" si="826"/>
        <v/>
      </c>
      <c r="BK1289" s="163" t="str">
        <f t="shared" si="857"/>
        <v/>
      </c>
      <c r="BL1289" s="163" t="str">
        <f t="shared" si="827"/>
        <v/>
      </c>
      <c r="BM1289" s="163" t="str">
        <f t="shared" si="858"/>
        <v/>
      </c>
      <c r="BN1289" s="163" t="str">
        <f t="shared" si="828"/>
        <v/>
      </c>
      <c r="BO1289" s="163" t="str">
        <f t="shared" si="829"/>
        <v/>
      </c>
      <c r="BP1289" s="150" t="str">
        <f t="shared" si="859"/>
        <v/>
      </c>
      <c r="BQ1289" s="150" t="str">
        <f t="shared" si="853"/>
        <v/>
      </c>
      <c r="BR1289" s="154" t="str">
        <f t="shared" si="830"/>
        <v/>
      </c>
      <c r="BT1289" s="147"/>
    </row>
    <row r="1290" spans="1:72" s="150" customFormat="1" x14ac:dyDescent="0.25">
      <c r="A1290" s="150" t="str">
        <f t="shared" si="854"/>
        <v/>
      </c>
      <c r="B1290" s="150" t="str">
        <f t="shared" si="855"/>
        <v/>
      </c>
      <c r="C1290" s="150" t="str">
        <f t="shared" si="856"/>
        <v/>
      </c>
      <c r="D1290" s="150" t="str">
        <f>IF(E1290="","",Input!$C$4+B1290-1)</f>
        <v/>
      </c>
      <c r="E1290" s="150" t="str">
        <f>IF(OR(AND(C1289=12,D1289=Input!$C$6),E1289=""),"",1)</f>
        <v/>
      </c>
      <c r="G1290" s="151" t="str">
        <f>IF(E1290="","",MAX(0,Input!$C$9-B1290))</f>
        <v/>
      </c>
      <c r="H1290" s="152" t="str">
        <f>IF(E1290="","",Input!$C$3)</f>
        <v/>
      </c>
      <c r="I1290" s="153" t="str">
        <f>IF(E1290="","",HLOOKUP($B1290,Input!$C$13:$BT$14,2))</f>
        <v/>
      </c>
      <c r="J1290" s="154"/>
      <c r="K1290" s="150" t="str">
        <f>IF($E1290="","",INDEX(Input!$C$16:$CP$16,1,$B1290))</f>
        <v/>
      </c>
      <c r="L1290" s="150" t="str">
        <f>IF($E1290="","",Input!$C$37)</f>
        <v/>
      </c>
      <c r="M1290" s="150" t="str">
        <f t="shared" si="842"/>
        <v/>
      </c>
      <c r="N1290" s="150" t="str">
        <f t="shared" si="843"/>
        <v/>
      </c>
      <c r="O1290" s="147" t="str">
        <f>IF($E1290="","",MIN(VLOOKUP(IF($B1290&lt;=Input!$C$7,$B1290,26),'Mortality Tables'!$A$41:$CW$67,IF($B1290&lt;=Input!$C$7+1,Input!$C$4+2,$D1290-Input!$C$7+2),0)*IF(B1290&gt;20,Input!$C$22,1)/1000,1))</f>
        <v/>
      </c>
      <c r="P1290" s="147" t="str">
        <f>IF($E1290="","",MIN(VLOOKUP(IF($B1290&lt;=Input!$C$7,$B1290,26),'Mortality Tables'!$A$12:$CW$37,IF($B1290&lt;=Input!$C$7+1,Input!$C$4+2,$D1290-Input!$C$7+2),0)*IF(B1290&gt;20,Input!$C$22,1)/1000,1))</f>
        <v/>
      </c>
      <c r="Q1290" s="155" t="str">
        <f>IF($E1290="","",Input!$C$21)</f>
        <v/>
      </c>
      <c r="R1290" s="159" t="str">
        <f>IF($E1290="","",(1-Q1290)^($F1290-Input!$C$20))</f>
        <v/>
      </c>
      <c r="S1290" s="147" t="str">
        <f t="shared" si="831"/>
        <v/>
      </c>
      <c r="T1290" s="147" t="str">
        <f t="shared" si="832"/>
        <v/>
      </c>
      <c r="U1290" s="160" t="str">
        <f>IF($E1290="","",IF($C1290=12,INDEX(Input!$C$15:$CP$15,1,$B1290),0))</f>
        <v/>
      </c>
      <c r="V1290" s="150" t="str">
        <f>IF(E1290="","",IF(C1290=1,IF($B1290=1,Input!$C$33,Input!$C$34),0))</f>
        <v/>
      </c>
      <c r="W1290" s="156" t="str">
        <f>IF($E1290="","",Input!$C$35)</f>
        <v/>
      </c>
      <c r="X1290" s="156" t="str">
        <f t="shared" si="833"/>
        <v/>
      </c>
      <c r="Y1290" s="154"/>
      <c r="Z1290" s="147" t="str">
        <f>IF($E1290="","",VLOOKUP($D1290,'Mortality Margins &amp; Grading'!$AB$5:$AF$125,3,0)*IF(Summary!$D$25="Included Margin",IF(AND($B1290&gt;Input!$C$9,Summary!$D$31&lt;&gt;"Included Margin"),0,1),0))</f>
        <v/>
      </c>
      <c r="AA1290" s="147" t="str">
        <f>IF($E1290="","",VLOOKUP($D1290,'Mortality Margins &amp; Grading'!$AB$5:$AF$125,5,0)*IF(Summary!$D$25="Included Margin",IF(AND($B1290&gt;Input!$C$9,Summary!$D$31&lt;&gt;"Included Margin"),0,1),0))</f>
        <v/>
      </c>
      <c r="AB1290" s="147" t="str">
        <f>IF($E1290="","",IF(AND($B1290&gt;Input!$C$9,Summary!$D$31&lt;&gt;"Included Margin"),1,IF(Summary!$D$25="Included Margin",VLOOKUP($B1290,'Mortality Margins &amp; Grading'!$AI$5:$AR$125,MATCH('Mortality Margins &amp; Grading'!$AQ$4,'Mortality Margins &amp; Grading'!$AI$4:$AR$4,0),0),1)))</f>
        <v/>
      </c>
      <c r="AC1290" s="154"/>
      <c r="AD1290" s="158" t="str">
        <f>IF(E1290="","",Input!$C$48*IF(Summary!$D$30="Included Margin",IF(AND($B1290&gt;Input!$C$9,Summary!$D$31&lt;&gt;"Included Margin"),0,1),0))</f>
        <v/>
      </c>
      <c r="AE1290" s="159" t="str">
        <f>IF(E1290="","",IF(Summary!$D$26="Included Margin",IF(AND($B1290&gt;Input!$C$9,Summary!$D$31&lt;&gt;"Included Margin"),1,1/$R1290),1))</f>
        <v/>
      </c>
      <c r="AF1290" s="160" t="str">
        <f>IF(E1290="","",IF(AND($B1290&gt;=Input!$C$9,$C1290=12,Summary!$D$31="Included Margin",$U1290&gt;0),1/U1290-1,IF($B1290&gt;=Input!$C$9,0,Input!$C$45*IF(Summary!$D$27="Included Margin",1,0))))</f>
        <v/>
      </c>
      <c r="AG1290" s="160" t="str">
        <f>IF(E1290="","",Input!$C$46*IF(Summary!$D$28="Included Margin",IF(AND($B1290&gt;Input!$C$9,Summary!$D$31&lt;&gt;"Included Margin"),0,1),0))</f>
        <v/>
      </c>
      <c r="AH1290" s="158" t="str">
        <f>IF(E1290="","",Input!$C$47*IF(Summary!$D$29="Included Margin",IF(AND($B1290&gt;Input!$C$9,Summary!$D$31&lt;&gt;"Included Margin"),0,1),0))</f>
        <v/>
      </c>
      <c r="AI1290" s="154"/>
      <c r="AJ1290" s="158" t="str">
        <f t="shared" si="844"/>
        <v/>
      </c>
      <c r="AK1290" s="150" t="str">
        <f t="shared" si="845"/>
        <v/>
      </c>
      <c r="AL1290" s="147" t="str">
        <f t="shared" si="846"/>
        <v/>
      </c>
      <c r="AM1290" s="147" t="str">
        <f t="shared" si="834"/>
        <v/>
      </c>
      <c r="AN1290" s="160" t="str">
        <f t="shared" si="847"/>
        <v/>
      </c>
      <c r="AO1290" s="161" t="str">
        <f t="shared" si="848"/>
        <v/>
      </c>
      <c r="AP1290" s="156" t="str">
        <f t="shared" si="835"/>
        <v/>
      </c>
      <c r="AQ1290" s="152"/>
      <c r="AR1290" s="162" t="str">
        <f t="shared" si="836"/>
        <v/>
      </c>
      <c r="AS1290" s="150" t="str">
        <f t="shared" si="849"/>
        <v/>
      </c>
      <c r="AT1290" s="163" t="str">
        <f t="shared" si="837"/>
        <v/>
      </c>
      <c r="AU1290" s="163" t="str">
        <f t="shared" si="838"/>
        <v/>
      </c>
      <c r="AV1290" s="163" t="str">
        <f t="shared" si="850"/>
        <v/>
      </c>
      <c r="AW1290" s="163" t="str">
        <f t="shared" si="839"/>
        <v/>
      </c>
      <c r="AX1290" s="163" t="str">
        <f t="shared" si="840"/>
        <v/>
      </c>
      <c r="AY1290" s="150" t="str">
        <f t="shared" si="851"/>
        <v/>
      </c>
      <c r="AZ1290" s="150" t="str">
        <f>IF($E1290="","",IF(OR(AND($D1290=Input!$C$6,$C1290=12),$AN1290=1),0,-AS1291+AT1291+AU1291-AV1291-AW1291-AX1291+AZ1291))</f>
        <v/>
      </c>
      <c r="BA1290" s="154" t="str">
        <f t="shared" si="841"/>
        <v/>
      </c>
      <c r="BC1290" s="147" t="str">
        <f t="shared" si="852"/>
        <v/>
      </c>
      <c r="BD1290" s="164" t="str">
        <f>IF(AND($C1289=12,$D1289=Input!$C$6),0,IF($E1290="","",AT1290+(AU1290+BD1291)/(1+$AK1290)*MIN((1-AM1290-AN1290),1)))</f>
        <v/>
      </c>
      <c r="BH1290" s="152"/>
      <c r="BI1290" s="162" t="str">
        <f t="shared" si="825"/>
        <v/>
      </c>
      <c r="BJ1290" s="150" t="str">
        <f t="shared" si="826"/>
        <v/>
      </c>
      <c r="BK1290" s="163" t="str">
        <f t="shared" si="857"/>
        <v/>
      </c>
      <c r="BL1290" s="163" t="str">
        <f t="shared" si="827"/>
        <v/>
      </c>
      <c r="BM1290" s="163" t="str">
        <f t="shared" si="858"/>
        <v/>
      </c>
      <c r="BN1290" s="163" t="str">
        <f t="shared" si="828"/>
        <v/>
      </c>
      <c r="BO1290" s="163" t="str">
        <f t="shared" si="829"/>
        <v/>
      </c>
      <c r="BP1290" s="150" t="str">
        <f t="shared" si="859"/>
        <v/>
      </c>
      <c r="BQ1290" s="150" t="str">
        <f t="shared" si="853"/>
        <v/>
      </c>
      <c r="BR1290" s="154" t="str">
        <f t="shared" si="830"/>
        <v/>
      </c>
      <c r="BT1290" s="147"/>
    </row>
    <row r="1291" spans="1:72" s="150" customFormat="1" x14ac:dyDescent="0.25">
      <c r="A1291" s="150" t="str">
        <f t="shared" si="854"/>
        <v/>
      </c>
      <c r="B1291" s="150" t="str">
        <f t="shared" si="855"/>
        <v/>
      </c>
      <c r="C1291" s="150" t="str">
        <f t="shared" si="856"/>
        <v/>
      </c>
      <c r="D1291" s="150" t="str">
        <f>IF(E1291="","",Input!$C$4+B1291-1)</f>
        <v/>
      </c>
      <c r="E1291" s="150" t="str">
        <f>IF(OR(AND(C1290=12,D1290=Input!$C$6),E1290=""),"",1)</f>
        <v/>
      </c>
      <c r="G1291" s="151" t="str">
        <f>IF(E1291="","",MAX(0,Input!$C$9-B1291))</f>
        <v/>
      </c>
      <c r="H1291" s="152" t="str">
        <f>IF(E1291="","",Input!$C$3)</f>
        <v/>
      </c>
      <c r="I1291" s="153" t="str">
        <f>IF(E1291="","",HLOOKUP($B1291,Input!$C$13:$BT$14,2))</f>
        <v/>
      </c>
      <c r="J1291" s="154"/>
      <c r="K1291" s="150" t="str">
        <f>IF($E1291="","",INDEX(Input!$C$16:$CP$16,1,$B1291))</f>
        <v/>
      </c>
      <c r="L1291" s="150" t="str">
        <f>IF($E1291="","",Input!$C$37)</f>
        <v/>
      </c>
      <c r="M1291" s="150" t="str">
        <f t="shared" si="842"/>
        <v/>
      </c>
      <c r="N1291" s="150" t="str">
        <f t="shared" si="843"/>
        <v/>
      </c>
      <c r="O1291" s="147" t="str">
        <f>IF($E1291="","",MIN(VLOOKUP(IF($B1291&lt;=Input!$C$7,$B1291,26),'Mortality Tables'!$A$41:$CW$67,IF($B1291&lt;=Input!$C$7+1,Input!$C$4+2,$D1291-Input!$C$7+2),0)*IF(B1291&gt;20,Input!$C$22,1)/1000,1))</f>
        <v/>
      </c>
      <c r="P1291" s="147" t="str">
        <f>IF($E1291="","",MIN(VLOOKUP(IF($B1291&lt;=Input!$C$7,$B1291,26),'Mortality Tables'!$A$12:$CW$37,IF($B1291&lt;=Input!$C$7+1,Input!$C$4+2,$D1291-Input!$C$7+2),0)*IF(B1291&gt;20,Input!$C$22,1)/1000,1))</f>
        <v/>
      </c>
      <c r="Q1291" s="155" t="str">
        <f>IF($E1291="","",Input!$C$21)</f>
        <v/>
      </c>
      <c r="R1291" s="159" t="str">
        <f>IF($E1291="","",(1-Q1291)^($F1291-Input!$C$20))</f>
        <v/>
      </c>
      <c r="S1291" s="147" t="str">
        <f t="shared" si="831"/>
        <v/>
      </c>
      <c r="T1291" s="147" t="str">
        <f t="shared" si="832"/>
        <v/>
      </c>
      <c r="U1291" s="160" t="str">
        <f>IF($E1291="","",IF($C1291=12,INDEX(Input!$C$15:$CP$15,1,$B1291),0))</f>
        <v/>
      </c>
      <c r="V1291" s="150" t="str">
        <f>IF(E1291="","",IF(C1291=1,IF($B1291=1,Input!$C$33,Input!$C$34),0))</f>
        <v/>
      </c>
      <c r="W1291" s="156" t="str">
        <f>IF($E1291="","",Input!$C$35)</f>
        <v/>
      </c>
      <c r="X1291" s="156" t="str">
        <f t="shared" si="833"/>
        <v/>
      </c>
      <c r="Y1291" s="154"/>
      <c r="Z1291" s="147" t="str">
        <f>IF($E1291="","",VLOOKUP($D1291,'Mortality Margins &amp; Grading'!$AB$5:$AF$125,3,0)*IF(Summary!$D$25="Included Margin",IF(AND($B1291&gt;Input!$C$9,Summary!$D$31&lt;&gt;"Included Margin"),0,1),0))</f>
        <v/>
      </c>
      <c r="AA1291" s="147" t="str">
        <f>IF($E1291="","",VLOOKUP($D1291,'Mortality Margins &amp; Grading'!$AB$5:$AF$125,5,0)*IF(Summary!$D$25="Included Margin",IF(AND($B1291&gt;Input!$C$9,Summary!$D$31&lt;&gt;"Included Margin"),0,1),0))</f>
        <v/>
      </c>
      <c r="AB1291" s="147" t="str">
        <f>IF($E1291="","",IF(AND($B1291&gt;Input!$C$9,Summary!$D$31&lt;&gt;"Included Margin"),1,IF(Summary!$D$25="Included Margin",VLOOKUP($B1291,'Mortality Margins &amp; Grading'!$AI$5:$AR$125,MATCH('Mortality Margins &amp; Grading'!$AQ$4,'Mortality Margins &amp; Grading'!$AI$4:$AR$4,0),0),1)))</f>
        <v/>
      </c>
      <c r="AC1291" s="154"/>
      <c r="AD1291" s="158" t="str">
        <f>IF(E1291="","",Input!$C$48*IF(Summary!$D$30="Included Margin",IF(AND($B1291&gt;Input!$C$9,Summary!$D$31&lt;&gt;"Included Margin"),0,1),0))</f>
        <v/>
      </c>
      <c r="AE1291" s="159" t="str">
        <f>IF(E1291="","",IF(Summary!$D$26="Included Margin",IF(AND($B1291&gt;Input!$C$9,Summary!$D$31&lt;&gt;"Included Margin"),1,1/$R1291),1))</f>
        <v/>
      </c>
      <c r="AF1291" s="160" t="str">
        <f>IF(E1291="","",IF(AND($B1291&gt;=Input!$C$9,$C1291=12,Summary!$D$31="Included Margin",$U1291&gt;0),1/U1291-1,IF($B1291&gt;=Input!$C$9,0,Input!$C$45*IF(Summary!$D$27="Included Margin",1,0))))</f>
        <v/>
      </c>
      <c r="AG1291" s="160" t="str">
        <f>IF(E1291="","",Input!$C$46*IF(Summary!$D$28="Included Margin",IF(AND($B1291&gt;Input!$C$9,Summary!$D$31&lt;&gt;"Included Margin"),0,1),0))</f>
        <v/>
      </c>
      <c r="AH1291" s="158" t="str">
        <f>IF(E1291="","",Input!$C$47*IF(Summary!$D$29="Included Margin",IF(AND($B1291&gt;Input!$C$9,Summary!$D$31&lt;&gt;"Included Margin"),0,1),0))</f>
        <v/>
      </c>
      <c r="AI1291" s="154"/>
      <c r="AJ1291" s="158" t="str">
        <f t="shared" si="844"/>
        <v/>
      </c>
      <c r="AK1291" s="150" t="str">
        <f t="shared" si="845"/>
        <v/>
      </c>
      <c r="AL1291" s="147" t="str">
        <f t="shared" si="846"/>
        <v/>
      </c>
      <c r="AM1291" s="147" t="str">
        <f t="shared" si="834"/>
        <v/>
      </c>
      <c r="AN1291" s="160" t="str">
        <f t="shared" si="847"/>
        <v/>
      </c>
      <c r="AO1291" s="161" t="str">
        <f t="shared" si="848"/>
        <v/>
      </c>
      <c r="AP1291" s="156" t="str">
        <f t="shared" si="835"/>
        <v/>
      </c>
      <c r="AQ1291" s="152"/>
      <c r="AR1291" s="162" t="str">
        <f t="shared" si="836"/>
        <v/>
      </c>
      <c r="AS1291" s="150" t="str">
        <f t="shared" si="849"/>
        <v/>
      </c>
      <c r="AT1291" s="163" t="str">
        <f t="shared" si="837"/>
        <v/>
      </c>
      <c r="AU1291" s="163" t="str">
        <f t="shared" si="838"/>
        <v/>
      </c>
      <c r="AV1291" s="163" t="str">
        <f t="shared" si="850"/>
        <v/>
      </c>
      <c r="AW1291" s="163" t="str">
        <f t="shared" si="839"/>
        <v/>
      </c>
      <c r="AX1291" s="163" t="str">
        <f t="shared" si="840"/>
        <v/>
      </c>
      <c r="AY1291" s="150" t="str">
        <f t="shared" si="851"/>
        <v/>
      </c>
      <c r="AZ1291" s="150" t="str">
        <f>IF($E1291="","",IF(OR(AND($D1291=Input!$C$6,$C1291=12),$AN1291=1),0,-AS1292+AT1292+AU1292-AV1292-AW1292-AX1292+AZ1292))</f>
        <v/>
      </c>
      <c r="BA1291" s="154" t="str">
        <f t="shared" si="841"/>
        <v/>
      </c>
      <c r="BC1291" s="147" t="str">
        <f t="shared" si="852"/>
        <v/>
      </c>
      <c r="BD1291" s="164" t="str">
        <f>IF(AND($C1290=12,$D1290=Input!$C$6),0,IF($E1291="","",AT1291+(AU1291+BD1292)/(1+$AK1291)*MIN((1-AM1291-AN1291),1)))</f>
        <v/>
      </c>
      <c r="BH1291" s="152"/>
      <c r="BI1291" s="162" t="str">
        <f t="shared" si="825"/>
        <v/>
      </c>
      <c r="BJ1291" s="150" t="str">
        <f t="shared" si="826"/>
        <v/>
      </c>
      <c r="BK1291" s="163" t="str">
        <f t="shared" si="857"/>
        <v/>
      </c>
      <c r="BL1291" s="163" t="str">
        <f t="shared" si="827"/>
        <v/>
      </c>
      <c r="BM1291" s="163" t="str">
        <f t="shared" si="858"/>
        <v/>
      </c>
      <c r="BN1291" s="163" t="str">
        <f t="shared" si="828"/>
        <v/>
      </c>
      <c r="BO1291" s="163" t="str">
        <f t="shared" si="829"/>
        <v/>
      </c>
      <c r="BP1291" s="150" t="str">
        <f t="shared" si="859"/>
        <v/>
      </c>
      <c r="BQ1291" s="150" t="str">
        <f t="shared" si="853"/>
        <v/>
      </c>
      <c r="BR1291" s="154" t="str">
        <f t="shared" si="830"/>
        <v/>
      </c>
      <c r="BT1291" s="147"/>
    </row>
    <row r="1292" spans="1:72" s="150" customFormat="1" x14ac:dyDescent="0.25">
      <c r="A1292" s="150" t="str">
        <f t="shared" si="854"/>
        <v/>
      </c>
      <c r="B1292" s="150" t="str">
        <f t="shared" si="855"/>
        <v/>
      </c>
      <c r="C1292" s="150" t="str">
        <f t="shared" si="856"/>
        <v/>
      </c>
      <c r="D1292" s="150" t="str">
        <f>IF(E1292="","",Input!$C$4+B1292-1)</f>
        <v/>
      </c>
      <c r="E1292" s="150" t="str">
        <f>IF(OR(AND(C1291=12,D1291=Input!$C$6),E1291=""),"",1)</f>
        <v/>
      </c>
      <c r="G1292" s="151" t="str">
        <f>IF(E1292="","",MAX(0,Input!$C$9-B1292))</f>
        <v/>
      </c>
      <c r="H1292" s="152" t="str">
        <f>IF(E1292="","",Input!$C$3)</f>
        <v/>
      </c>
      <c r="I1292" s="153" t="str">
        <f>IF(E1292="","",HLOOKUP($B1292,Input!$C$13:$BT$14,2))</f>
        <v/>
      </c>
      <c r="J1292" s="154"/>
      <c r="K1292" s="150" t="str">
        <f>IF($E1292="","",INDEX(Input!$C$16:$CP$16,1,$B1292))</f>
        <v/>
      </c>
      <c r="L1292" s="150" t="str">
        <f>IF($E1292="","",Input!$C$37)</f>
        <v/>
      </c>
      <c r="M1292" s="150" t="str">
        <f t="shared" si="842"/>
        <v/>
      </c>
      <c r="N1292" s="150" t="str">
        <f t="shared" si="843"/>
        <v/>
      </c>
      <c r="O1292" s="147" t="str">
        <f>IF($E1292="","",MIN(VLOOKUP(IF($B1292&lt;=Input!$C$7,$B1292,26),'Mortality Tables'!$A$41:$CW$67,IF($B1292&lt;=Input!$C$7+1,Input!$C$4+2,$D1292-Input!$C$7+2),0)*IF(B1292&gt;20,Input!$C$22,1)/1000,1))</f>
        <v/>
      </c>
      <c r="P1292" s="147" t="str">
        <f>IF($E1292="","",MIN(VLOOKUP(IF($B1292&lt;=Input!$C$7,$B1292,26),'Mortality Tables'!$A$12:$CW$37,IF($B1292&lt;=Input!$C$7+1,Input!$C$4+2,$D1292-Input!$C$7+2),0)*IF(B1292&gt;20,Input!$C$22,1)/1000,1))</f>
        <v/>
      </c>
      <c r="Q1292" s="155" t="str">
        <f>IF($E1292="","",Input!$C$21)</f>
        <v/>
      </c>
      <c r="R1292" s="159" t="str">
        <f>IF($E1292="","",(1-Q1292)^($F1292-Input!$C$20))</f>
        <v/>
      </c>
      <c r="S1292" s="147" t="str">
        <f t="shared" si="831"/>
        <v/>
      </c>
      <c r="T1292" s="147" t="str">
        <f t="shared" si="832"/>
        <v/>
      </c>
      <c r="U1292" s="160" t="str">
        <f>IF($E1292="","",IF($C1292=12,INDEX(Input!$C$15:$CP$15,1,$B1292),0))</f>
        <v/>
      </c>
      <c r="V1292" s="150" t="str">
        <f>IF(E1292="","",IF(C1292=1,IF($B1292=1,Input!$C$33,Input!$C$34),0))</f>
        <v/>
      </c>
      <c r="W1292" s="156" t="str">
        <f>IF($E1292="","",Input!$C$35)</f>
        <v/>
      </c>
      <c r="X1292" s="156" t="str">
        <f t="shared" si="833"/>
        <v/>
      </c>
      <c r="Y1292" s="154"/>
      <c r="Z1292" s="147" t="str">
        <f>IF($E1292="","",VLOOKUP($D1292,'Mortality Margins &amp; Grading'!$AB$5:$AF$125,3,0)*IF(Summary!$D$25="Included Margin",IF(AND($B1292&gt;Input!$C$9,Summary!$D$31&lt;&gt;"Included Margin"),0,1),0))</f>
        <v/>
      </c>
      <c r="AA1292" s="147" t="str">
        <f>IF($E1292="","",VLOOKUP($D1292,'Mortality Margins &amp; Grading'!$AB$5:$AF$125,5,0)*IF(Summary!$D$25="Included Margin",IF(AND($B1292&gt;Input!$C$9,Summary!$D$31&lt;&gt;"Included Margin"),0,1),0))</f>
        <v/>
      </c>
      <c r="AB1292" s="147" t="str">
        <f>IF($E1292="","",IF(AND($B1292&gt;Input!$C$9,Summary!$D$31&lt;&gt;"Included Margin"),1,IF(Summary!$D$25="Included Margin",VLOOKUP($B1292,'Mortality Margins &amp; Grading'!$AI$5:$AR$125,MATCH('Mortality Margins &amp; Grading'!$AQ$4,'Mortality Margins &amp; Grading'!$AI$4:$AR$4,0),0),1)))</f>
        <v/>
      </c>
      <c r="AC1292" s="154"/>
      <c r="AD1292" s="158" t="str">
        <f>IF(E1292="","",Input!$C$48*IF(Summary!$D$30="Included Margin",IF(AND($B1292&gt;Input!$C$9,Summary!$D$31&lt;&gt;"Included Margin"),0,1),0))</f>
        <v/>
      </c>
      <c r="AE1292" s="159" t="str">
        <f>IF(E1292="","",IF(Summary!$D$26="Included Margin",IF(AND($B1292&gt;Input!$C$9,Summary!$D$31&lt;&gt;"Included Margin"),1,1/$R1292),1))</f>
        <v/>
      </c>
      <c r="AF1292" s="160" t="str">
        <f>IF(E1292="","",IF(AND($B1292&gt;=Input!$C$9,$C1292=12,Summary!$D$31="Included Margin",$U1292&gt;0),1/U1292-1,IF($B1292&gt;=Input!$C$9,0,Input!$C$45*IF(Summary!$D$27="Included Margin",1,0))))</f>
        <v/>
      </c>
      <c r="AG1292" s="160" t="str">
        <f>IF(E1292="","",Input!$C$46*IF(Summary!$D$28="Included Margin",IF(AND($B1292&gt;Input!$C$9,Summary!$D$31&lt;&gt;"Included Margin"),0,1),0))</f>
        <v/>
      </c>
      <c r="AH1292" s="158" t="str">
        <f>IF(E1292="","",Input!$C$47*IF(Summary!$D$29="Included Margin",IF(AND($B1292&gt;Input!$C$9,Summary!$D$31&lt;&gt;"Included Margin"),0,1),0))</f>
        <v/>
      </c>
      <c r="AI1292" s="154"/>
      <c r="AJ1292" s="158" t="str">
        <f t="shared" si="844"/>
        <v/>
      </c>
      <c r="AK1292" s="150" t="str">
        <f t="shared" si="845"/>
        <v/>
      </c>
      <c r="AL1292" s="147" t="str">
        <f t="shared" si="846"/>
        <v/>
      </c>
      <c r="AM1292" s="147" t="str">
        <f t="shared" si="834"/>
        <v/>
      </c>
      <c r="AN1292" s="160" t="str">
        <f t="shared" si="847"/>
        <v/>
      </c>
      <c r="AO1292" s="161" t="str">
        <f t="shared" si="848"/>
        <v/>
      </c>
      <c r="AP1292" s="156" t="str">
        <f t="shared" si="835"/>
        <v/>
      </c>
      <c r="AQ1292" s="152"/>
      <c r="AR1292" s="162" t="str">
        <f t="shared" si="836"/>
        <v/>
      </c>
      <c r="AS1292" s="150" t="str">
        <f t="shared" si="849"/>
        <v/>
      </c>
      <c r="AT1292" s="163" t="str">
        <f t="shared" si="837"/>
        <v/>
      </c>
      <c r="AU1292" s="163" t="str">
        <f t="shared" si="838"/>
        <v/>
      </c>
      <c r="AV1292" s="163" t="str">
        <f t="shared" si="850"/>
        <v/>
      </c>
      <c r="AW1292" s="163" t="str">
        <f t="shared" si="839"/>
        <v/>
      </c>
      <c r="AX1292" s="163" t="str">
        <f t="shared" si="840"/>
        <v/>
      </c>
      <c r="AY1292" s="150" t="str">
        <f t="shared" si="851"/>
        <v/>
      </c>
      <c r="AZ1292" s="150" t="str">
        <f>IF($E1292="","",IF(OR(AND($D1292=Input!$C$6,$C1292=12),$AN1292=1),0,-AS1293+AT1293+AU1293-AV1293-AW1293-AX1293+AZ1293))</f>
        <v/>
      </c>
      <c r="BA1292" s="154" t="str">
        <f t="shared" si="841"/>
        <v/>
      </c>
      <c r="BC1292" s="147" t="str">
        <f t="shared" si="852"/>
        <v/>
      </c>
      <c r="BD1292" s="164" t="str">
        <f>IF(AND($C1291=12,$D1291=Input!$C$6),0,IF($E1292="","",AT1292+(AU1292+BD1293)/(1+$AK1292)*MIN((1-AM1292-AN1292),1)))</f>
        <v/>
      </c>
      <c r="BH1292" s="152"/>
      <c r="BI1292" s="162" t="str">
        <f t="shared" si="825"/>
        <v/>
      </c>
      <c r="BJ1292" s="150" t="str">
        <f t="shared" si="826"/>
        <v/>
      </c>
      <c r="BK1292" s="163" t="str">
        <f t="shared" si="857"/>
        <v/>
      </c>
      <c r="BL1292" s="163" t="str">
        <f t="shared" si="827"/>
        <v/>
      </c>
      <c r="BM1292" s="163" t="str">
        <f t="shared" si="858"/>
        <v/>
      </c>
      <c r="BN1292" s="163" t="str">
        <f t="shared" si="828"/>
        <v/>
      </c>
      <c r="BO1292" s="163" t="str">
        <f t="shared" si="829"/>
        <v/>
      </c>
      <c r="BP1292" s="150" t="str">
        <f t="shared" si="859"/>
        <v/>
      </c>
      <c r="BQ1292" s="150" t="str">
        <f t="shared" si="853"/>
        <v/>
      </c>
      <c r="BR1292" s="154" t="str">
        <f t="shared" si="830"/>
        <v/>
      </c>
      <c r="BT1292" s="147"/>
    </row>
    <row r="1293" spans="1:72" s="150" customFormat="1" x14ac:dyDescent="0.25">
      <c r="A1293" s="150" t="str">
        <f t="shared" si="854"/>
        <v/>
      </c>
      <c r="B1293" s="150" t="str">
        <f t="shared" si="855"/>
        <v/>
      </c>
      <c r="C1293" s="150" t="str">
        <f t="shared" si="856"/>
        <v/>
      </c>
      <c r="D1293" s="150" t="str">
        <f>IF(E1293="","",Input!$C$4+B1293-1)</f>
        <v/>
      </c>
      <c r="E1293" s="150" t="str">
        <f>IF(OR(AND(C1292=12,D1292=Input!$C$6),E1292=""),"",1)</f>
        <v/>
      </c>
      <c r="G1293" s="151" t="str">
        <f>IF(E1293="","",MAX(0,Input!$C$9-B1293))</f>
        <v/>
      </c>
      <c r="H1293" s="152" t="str">
        <f>IF(E1293="","",Input!$C$3)</f>
        <v/>
      </c>
      <c r="I1293" s="153" t="str">
        <f>IF(E1293="","",HLOOKUP($B1293,Input!$C$13:$BT$14,2))</f>
        <v/>
      </c>
      <c r="J1293" s="154"/>
      <c r="K1293" s="150" t="str">
        <f>IF($E1293="","",INDEX(Input!$C$16:$CP$16,1,$B1293))</f>
        <v/>
      </c>
      <c r="L1293" s="150" t="str">
        <f>IF($E1293="","",Input!$C$37)</f>
        <v/>
      </c>
      <c r="M1293" s="150" t="str">
        <f t="shared" si="842"/>
        <v/>
      </c>
      <c r="N1293" s="150" t="str">
        <f t="shared" si="843"/>
        <v/>
      </c>
      <c r="O1293" s="147" t="str">
        <f>IF($E1293="","",MIN(VLOOKUP(IF($B1293&lt;=Input!$C$7,$B1293,26),'Mortality Tables'!$A$41:$CW$67,IF($B1293&lt;=Input!$C$7+1,Input!$C$4+2,$D1293-Input!$C$7+2),0)*IF(B1293&gt;20,Input!$C$22,1)/1000,1))</f>
        <v/>
      </c>
      <c r="P1293" s="147" t="str">
        <f>IF($E1293="","",MIN(VLOOKUP(IF($B1293&lt;=Input!$C$7,$B1293,26),'Mortality Tables'!$A$12:$CW$37,IF($B1293&lt;=Input!$C$7+1,Input!$C$4+2,$D1293-Input!$C$7+2),0)*IF(B1293&gt;20,Input!$C$22,1)/1000,1))</f>
        <v/>
      </c>
      <c r="Q1293" s="155" t="str">
        <f>IF($E1293="","",Input!$C$21)</f>
        <v/>
      </c>
      <c r="R1293" s="159" t="str">
        <f>IF($E1293="","",(1-Q1293)^($F1293-Input!$C$20))</f>
        <v/>
      </c>
      <c r="S1293" s="147" t="str">
        <f t="shared" si="831"/>
        <v/>
      </c>
      <c r="T1293" s="147" t="str">
        <f t="shared" si="832"/>
        <v/>
      </c>
      <c r="U1293" s="160" t="str">
        <f>IF($E1293="","",IF($C1293=12,INDEX(Input!$C$15:$CP$15,1,$B1293),0))</f>
        <v/>
      </c>
      <c r="V1293" s="150" t="str">
        <f>IF(E1293="","",IF(C1293=1,IF($B1293=1,Input!$C$33,Input!$C$34),0))</f>
        <v/>
      </c>
      <c r="W1293" s="156" t="str">
        <f>IF($E1293="","",Input!$C$35)</f>
        <v/>
      </c>
      <c r="X1293" s="156" t="str">
        <f t="shared" si="833"/>
        <v/>
      </c>
      <c r="Y1293" s="154"/>
      <c r="Z1293" s="147" t="str">
        <f>IF($E1293="","",VLOOKUP($D1293,'Mortality Margins &amp; Grading'!$AB$5:$AF$125,3,0)*IF(Summary!$D$25="Included Margin",IF(AND($B1293&gt;Input!$C$9,Summary!$D$31&lt;&gt;"Included Margin"),0,1),0))</f>
        <v/>
      </c>
      <c r="AA1293" s="147" t="str">
        <f>IF($E1293="","",VLOOKUP($D1293,'Mortality Margins &amp; Grading'!$AB$5:$AF$125,5,0)*IF(Summary!$D$25="Included Margin",IF(AND($B1293&gt;Input!$C$9,Summary!$D$31&lt;&gt;"Included Margin"),0,1),0))</f>
        <v/>
      </c>
      <c r="AB1293" s="147" t="str">
        <f>IF($E1293="","",IF(AND($B1293&gt;Input!$C$9,Summary!$D$31&lt;&gt;"Included Margin"),1,IF(Summary!$D$25="Included Margin",VLOOKUP($B1293,'Mortality Margins &amp; Grading'!$AI$5:$AR$125,MATCH('Mortality Margins &amp; Grading'!$AQ$4,'Mortality Margins &amp; Grading'!$AI$4:$AR$4,0),0),1)))</f>
        <v/>
      </c>
      <c r="AC1293" s="154"/>
      <c r="AD1293" s="158" t="str">
        <f>IF(E1293="","",Input!$C$48*IF(Summary!$D$30="Included Margin",IF(AND($B1293&gt;Input!$C$9,Summary!$D$31&lt;&gt;"Included Margin"),0,1),0))</f>
        <v/>
      </c>
      <c r="AE1293" s="159" t="str">
        <f>IF(E1293="","",IF(Summary!$D$26="Included Margin",IF(AND($B1293&gt;Input!$C$9,Summary!$D$31&lt;&gt;"Included Margin"),1,1/$R1293),1))</f>
        <v/>
      </c>
      <c r="AF1293" s="160" t="str">
        <f>IF(E1293="","",IF(AND($B1293&gt;=Input!$C$9,$C1293=12,Summary!$D$31="Included Margin",$U1293&gt;0),1/U1293-1,IF($B1293&gt;=Input!$C$9,0,Input!$C$45*IF(Summary!$D$27="Included Margin",1,0))))</f>
        <v/>
      </c>
      <c r="AG1293" s="160" t="str">
        <f>IF(E1293="","",Input!$C$46*IF(Summary!$D$28="Included Margin",IF(AND($B1293&gt;Input!$C$9,Summary!$D$31&lt;&gt;"Included Margin"),0,1),0))</f>
        <v/>
      </c>
      <c r="AH1293" s="158" t="str">
        <f>IF(E1293="","",Input!$C$47*IF(Summary!$D$29="Included Margin",IF(AND($B1293&gt;Input!$C$9,Summary!$D$31&lt;&gt;"Included Margin"),0,1),0))</f>
        <v/>
      </c>
      <c r="AI1293" s="154"/>
      <c r="AJ1293" s="158" t="str">
        <f t="shared" si="844"/>
        <v/>
      </c>
      <c r="AK1293" s="150" t="str">
        <f t="shared" si="845"/>
        <v/>
      </c>
      <c r="AL1293" s="147" t="str">
        <f t="shared" si="846"/>
        <v/>
      </c>
      <c r="AM1293" s="147" t="str">
        <f t="shared" si="834"/>
        <v/>
      </c>
      <c r="AN1293" s="160" t="str">
        <f t="shared" si="847"/>
        <v/>
      </c>
      <c r="AO1293" s="161" t="str">
        <f t="shared" si="848"/>
        <v/>
      </c>
      <c r="AP1293" s="156" t="str">
        <f t="shared" si="835"/>
        <v/>
      </c>
      <c r="AQ1293" s="152"/>
      <c r="AR1293" s="162" t="str">
        <f t="shared" si="836"/>
        <v/>
      </c>
      <c r="AS1293" s="150" t="str">
        <f t="shared" si="849"/>
        <v/>
      </c>
      <c r="AT1293" s="163" t="str">
        <f t="shared" si="837"/>
        <v/>
      </c>
      <c r="AU1293" s="163" t="str">
        <f t="shared" si="838"/>
        <v/>
      </c>
      <c r="AV1293" s="163" t="str">
        <f t="shared" si="850"/>
        <v/>
      </c>
      <c r="AW1293" s="163" t="str">
        <f t="shared" si="839"/>
        <v/>
      </c>
      <c r="AX1293" s="163" t="str">
        <f t="shared" si="840"/>
        <v/>
      </c>
      <c r="AY1293" s="150" t="str">
        <f t="shared" si="851"/>
        <v/>
      </c>
      <c r="AZ1293" s="150" t="str">
        <f>IF($E1293="","",IF(OR(AND($D1293=Input!$C$6,$C1293=12),$AN1293=1),0,-AS1294+AT1294+AU1294-AV1294-AW1294-AX1294+AZ1294))</f>
        <v/>
      </c>
      <c r="BA1293" s="154" t="str">
        <f t="shared" si="841"/>
        <v/>
      </c>
      <c r="BC1293" s="147" t="str">
        <f t="shared" si="852"/>
        <v/>
      </c>
      <c r="BD1293" s="164" t="str">
        <f>IF(AND($C1292=12,$D1292=Input!$C$6),0,IF($E1293="","",AT1293+(AU1293+BD1294)/(1+$AK1293)*MIN((1-AM1293-AN1293),1)))</f>
        <v/>
      </c>
      <c r="BH1293" s="152"/>
      <c r="BI1293" s="162" t="str">
        <f t="shared" si="825"/>
        <v/>
      </c>
      <c r="BJ1293" s="150" t="str">
        <f t="shared" si="826"/>
        <v/>
      </c>
      <c r="BK1293" s="163" t="str">
        <f t="shared" si="857"/>
        <v/>
      </c>
      <c r="BL1293" s="163" t="str">
        <f t="shared" si="827"/>
        <v/>
      </c>
      <c r="BM1293" s="163" t="str">
        <f t="shared" si="858"/>
        <v/>
      </c>
      <c r="BN1293" s="163" t="str">
        <f t="shared" si="828"/>
        <v/>
      </c>
      <c r="BO1293" s="163" t="str">
        <f t="shared" si="829"/>
        <v/>
      </c>
      <c r="BP1293" s="150" t="str">
        <f t="shared" si="859"/>
        <v/>
      </c>
      <c r="BQ1293" s="150" t="str">
        <f t="shared" si="853"/>
        <v/>
      </c>
      <c r="BR1293" s="154" t="str">
        <f t="shared" si="830"/>
        <v/>
      </c>
      <c r="BT1293" s="147"/>
    </row>
    <row r="1294" spans="1:72" s="150" customFormat="1" x14ac:dyDescent="0.25">
      <c r="A1294" s="150" t="str">
        <f t="shared" si="854"/>
        <v/>
      </c>
      <c r="B1294" s="150" t="str">
        <f t="shared" si="855"/>
        <v/>
      </c>
      <c r="C1294" s="150" t="str">
        <f t="shared" si="856"/>
        <v/>
      </c>
      <c r="D1294" s="150" t="str">
        <f>IF(E1294="","",Input!$C$4+B1294-1)</f>
        <v/>
      </c>
      <c r="E1294" s="150" t="str">
        <f>IF(OR(AND(C1293=12,D1293=Input!$C$6),E1293=""),"",1)</f>
        <v/>
      </c>
      <c r="G1294" s="151" t="str">
        <f>IF(E1294="","",MAX(0,Input!$C$9-B1294))</f>
        <v/>
      </c>
      <c r="H1294" s="152" t="str">
        <f>IF(E1294="","",Input!$C$3)</f>
        <v/>
      </c>
      <c r="I1294" s="153" t="str">
        <f>IF(E1294="","",HLOOKUP($B1294,Input!$C$13:$BT$14,2))</f>
        <v/>
      </c>
      <c r="J1294" s="154"/>
      <c r="K1294" s="150" t="str">
        <f>IF($E1294="","",INDEX(Input!$C$16:$CP$16,1,$B1294))</f>
        <v/>
      </c>
      <c r="L1294" s="150" t="str">
        <f>IF($E1294="","",Input!$C$37)</f>
        <v/>
      </c>
      <c r="M1294" s="150" t="str">
        <f t="shared" si="842"/>
        <v/>
      </c>
      <c r="N1294" s="150" t="str">
        <f t="shared" si="843"/>
        <v/>
      </c>
      <c r="O1294" s="147" t="str">
        <f>IF($E1294="","",MIN(VLOOKUP(IF($B1294&lt;=Input!$C$7,$B1294,26),'Mortality Tables'!$A$41:$CW$67,IF($B1294&lt;=Input!$C$7+1,Input!$C$4+2,$D1294-Input!$C$7+2),0)*IF(B1294&gt;20,Input!$C$22,1)/1000,1))</f>
        <v/>
      </c>
      <c r="P1294" s="147" t="str">
        <f>IF($E1294="","",MIN(VLOOKUP(IF($B1294&lt;=Input!$C$7,$B1294,26),'Mortality Tables'!$A$12:$CW$37,IF($B1294&lt;=Input!$C$7+1,Input!$C$4+2,$D1294-Input!$C$7+2),0)*IF(B1294&gt;20,Input!$C$22,1)/1000,1))</f>
        <v/>
      </c>
      <c r="Q1294" s="155" t="str">
        <f>IF($E1294="","",Input!$C$21)</f>
        <v/>
      </c>
      <c r="R1294" s="159" t="str">
        <f>IF($E1294="","",(1-Q1294)^($F1294-Input!$C$20))</f>
        <v/>
      </c>
      <c r="S1294" s="147" t="str">
        <f t="shared" si="831"/>
        <v/>
      </c>
      <c r="T1294" s="147" t="str">
        <f t="shared" si="832"/>
        <v/>
      </c>
      <c r="U1294" s="160" t="str">
        <f>IF($E1294="","",IF($C1294=12,INDEX(Input!$C$15:$CP$15,1,$B1294),0))</f>
        <v/>
      </c>
      <c r="V1294" s="150" t="str">
        <f>IF(E1294="","",IF(C1294=1,IF($B1294=1,Input!$C$33,Input!$C$34),0))</f>
        <v/>
      </c>
      <c r="W1294" s="156" t="str">
        <f>IF($E1294="","",Input!$C$35)</f>
        <v/>
      </c>
      <c r="X1294" s="156" t="str">
        <f t="shared" si="833"/>
        <v/>
      </c>
      <c r="Y1294" s="154"/>
      <c r="Z1294" s="147" t="str">
        <f>IF($E1294="","",VLOOKUP($D1294,'Mortality Margins &amp; Grading'!$AB$5:$AF$125,3,0)*IF(Summary!$D$25="Included Margin",IF(AND($B1294&gt;Input!$C$9,Summary!$D$31&lt;&gt;"Included Margin"),0,1),0))</f>
        <v/>
      </c>
      <c r="AA1294" s="147" t="str">
        <f>IF($E1294="","",VLOOKUP($D1294,'Mortality Margins &amp; Grading'!$AB$5:$AF$125,5,0)*IF(Summary!$D$25="Included Margin",IF(AND($B1294&gt;Input!$C$9,Summary!$D$31&lt;&gt;"Included Margin"),0,1),0))</f>
        <v/>
      </c>
      <c r="AB1294" s="147" t="str">
        <f>IF($E1294="","",IF(AND($B1294&gt;Input!$C$9,Summary!$D$31&lt;&gt;"Included Margin"),1,IF(Summary!$D$25="Included Margin",VLOOKUP($B1294,'Mortality Margins &amp; Grading'!$AI$5:$AR$125,MATCH('Mortality Margins &amp; Grading'!$AQ$4,'Mortality Margins &amp; Grading'!$AI$4:$AR$4,0),0),1)))</f>
        <v/>
      </c>
      <c r="AC1294" s="154"/>
      <c r="AD1294" s="158" t="str">
        <f>IF(E1294="","",Input!$C$48*IF(Summary!$D$30="Included Margin",IF(AND($B1294&gt;Input!$C$9,Summary!$D$31&lt;&gt;"Included Margin"),0,1),0))</f>
        <v/>
      </c>
      <c r="AE1294" s="159" t="str">
        <f>IF(E1294="","",IF(Summary!$D$26="Included Margin",IF(AND($B1294&gt;Input!$C$9,Summary!$D$31&lt;&gt;"Included Margin"),1,1/$R1294),1))</f>
        <v/>
      </c>
      <c r="AF1294" s="160" t="str">
        <f>IF(E1294="","",IF(AND($B1294&gt;=Input!$C$9,$C1294=12,Summary!$D$31="Included Margin",$U1294&gt;0),1/U1294-1,IF($B1294&gt;=Input!$C$9,0,Input!$C$45*IF(Summary!$D$27="Included Margin",1,0))))</f>
        <v/>
      </c>
      <c r="AG1294" s="160" t="str">
        <f>IF(E1294="","",Input!$C$46*IF(Summary!$D$28="Included Margin",IF(AND($B1294&gt;Input!$C$9,Summary!$D$31&lt;&gt;"Included Margin"),0,1),0))</f>
        <v/>
      </c>
      <c r="AH1294" s="158" t="str">
        <f>IF(E1294="","",Input!$C$47*IF(Summary!$D$29="Included Margin",IF(AND($B1294&gt;Input!$C$9,Summary!$D$31&lt;&gt;"Included Margin"),0,1),0))</f>
        <v/>
      </c>
      <c r="AI1294" s="154"/>
      <c r="AJ1294" s="158" t="str">
        <f t="shared" si="844"/>
        <v/>
      </c>
      <c r="AK1294" s="150" t="str">
        <f t="shared" si="845"/>
        <v/>
      </c>
      <c r="AL1294" s="147" t="str">
        <f t="shared" si="846"/>
        <v/>
      </c>
      <c r="AM1294" s="147" t="str">
        <f t="shared" si="834"/>
        <v/>
      </c>
      <c r="AN1294" s="160" t="str">
        <f t="shared" si="847"/>
        <v/>
      </c>
      <c r="AO1294" s="161" t="str">
        <f t="shared" si="848"/>
        <v/>
      </c>
      <c r="AP1294" s="156" t="str">
        <f t="shared" si="835"/>
        <v/>
      </c>
      <c r="AQ1294" s="152"/>
      <c r="AR1294" s="162" t="str">
        <f t="shared" si="836"/>
        <v/>
      </c>
      <c r="AS1294" s="150" t="str">
        <f t="shared" si="849"/>
        <v/>
      </c>
      <c r="AT1294" s="163" t="str">
        <f t="shared" si="837"/>
        <v/>
      </c>
      <c r="AU1294" s="163" t="str">
        <f t="shared" si="838"/>
        <v/>
      </c>
      <c r="AV1294" s="163" t="str">
        <f t="shared" si="850"/>
        <v/>
      </c>
      <c r="AW1294" s="163" t="str">
        <f t="shared" si="839"/>
        <v/>
      </c>
      <c r="AX1294" s="163" t="str">
        <f t="shared" si="840"/>
        <v/>
      </c>
      <c r="AY1294" s="150" t="str">
        <f t="shared" si="851"/>
        <v/>
      </c>
      <c r="AZ1294" s="150" t="str">
        <f>IF($E1294="","",IF(OR(AND($D1294=Input!$C$6,$C1294=12),$AN1294=1),0,-AS1295+AT1295+AU1295-AV1295-AW1295-AX1295+AZ1295))</f>
        <v/>
      </c>
      <c r="BA1294" s="154" t="str">
        <f t="shared" si="841"/>
        <v/>
      </c>
      <c r="BC1294" s="147" t="str">
        <f t="shared" si="852"/>
        <v/>
      </c>
      <c r="BD1294" s="164" t="str">
        <f>IF(AND($C1293=12,$D1293=Input!$C$6),0,IF($E1294="","",AT1294+(AU1294+BD1295)/(1+$AK1294)*MIN((1-AM1294-AN1294),1)))</f>
        <v/>
      </c>
      <c r="BH1294" s="152"/>
      <c r="BI1294" s="162" t="str">
        <f t="shared" si="825"/>
        <v/>
      </c>
      <c r="BJ1294" s="150" t="str">
        <f t="shared" si="826"/>
        <v/>
      </c>
      <c r="BK1294" s="163" t="str">
        <f t="shared" si="857"/>
        <v/>
      </c>
      <c r="BL1294" s="163" t="str">
        <f t="shared" si="827"/>
        <v/>
      </c>
      <c r="BM1294" s="163" t="str">
        <f t="shared" si="858"/>
        <v/>
      </c>
      <c r="BN1294" s="163" t="str">
        <f t="shared" si="828"/>
        <v/>
      </c>
      <c r="BO1294" s="163" t="str">
        <f t="shared" si="829"/>
        <v/>
      </c>
      <c r="BP1294" s="150" t="str">
        <f t="shared" si="859"/>
        <v/>
      </c>
      <c r="BQ1294" s="150" t="str">
        <f t="shared" si="853"/>
        <v/>
      </c>
      <c r="BR1294" s="154" t="str">
        <f t="shared" si="830"/>
        <v/>
      </c>
      <c r="BT1294" s="147"/>
    </row>
    <row r="1295" spans="1:72" s="150" customFormat="1" x14ac:dyDescent="0.25">
      <c r="A1295" s="150" t="str">
        <f t="shared" si="854"/>
        <v/>
      </c>
      <c r="B1295" s="150" t="str">
        <f t="shared" si="855"/>
        <v/>
      </c>
      <c r="C1295" s="150" t="str">
        <f t="shared" si="856"/>
        <v/>
      </c>
      <c r="D1295" s="150" t="str">
        <f>IF(E1295="","",Input!$C$4+B1295-1)</f>
        <v/>
      </c>
      <c r="E1295" s="150" t="str">
        <f>IF(OR(AND(C1294=12,D1294=Input!$C$6),E1294=""),"",1)</f>
        <v/>
      </c>
      <c r="G1295" s="151" t="str">
        <f>IF(E1295="","",MAX(0,Input!$C$9-B1295))</f>
        <v/>
      </c>
      <c r="H1295" s="152" t="str">
        <f>IF(E1295="","",Input!$C$3)</f>
        <v/>
      </c>
      <c r="I1295" s="153" t="str">
        <f>IF(E1295="","",HLOOKUP($B1295,Input!$C$13:$BT$14,2))</f>
        <v/>
      </c>
      <c r="J1295" s="154"/>
      <c r="K1295" s="150" t="str">
        <f>IF($E1295="","",INDEX(Input!$C$16:$CP$16,1,$B1295))</f>
        <v/>
      </c>
      <c r="L1295" s="150" t="str">
        <f>IF($E1295="","",Input!$C$37)</f>
        <v/>
      </c>
      <c r="M1295" s="150" t="str">
        <f t="shared" si="842"/>
        <v/>
      </c>
      <c r="N1295" s="150" t="str">
        <f t="shared" si="843"/>
        <v/>
      </c>
      <c r="O1295" s="147" t="str">
        <f>IF($E1295="","",MIN(VLOOKUP(IF($B1295&lt;=Input!$C$7,$B1295,26),'Mortality Tables'!$A$41:$CW$67,IF($B1295&lt;=Input!$C$7+1,Input!$C$4+2,$D1295-Input!$C$7+2),0)*IF(B1295&gt;20,Input!$C$22,1)/1000,1))</f>
        <v/>
      </c>
      <c r="P1295" s="147" t="str">
        <f>IF($E1295="","",MIN(VLOOKUP(IF($B1295&lt;=Input!$C$7,$B1295,26),'Mortality Tables'!$A$12:$CW$37,IF($B1295&lt;=Input!$C$7+1,Input!$C$4+2,$D1295-Input!$C$7+2),0)*IF(B1295&gt;20,Input!$C$22,1)/1000,1))</f>
        <v/>
      </c>
      <c r="Q1295" s="155" t="str">
        <f>IF($E1295="","",Input!$C$21)</f>
        <v/>
      </c>
      <c r="R1295" s="159" t="str">
        <f>IF($E1295="","",(1-Q1295)^($F1295-Input!$C$20))</f>
        <v/>
      </c>
      <c r="S1295" s="147" t="str">
        <f t="shared" si="831"/>
        <v/>
      </c>
      <c r="T1295" s="147" t="str">
        <f t="shared" si="832"/>
        <v/>
      </c>
      <c r="U1295" s="160" t="str">
        <f>IF($E1295="","",IF($C1295=12,INDEX(Input!$C$15:$CP$15,1,$B1295),0))</f>
        <v/>
      </c>
      <c r="V1295" s="150" t="str">
        <f>IF(E1295="","",IF(C1295=1,IF($B1295=1,Input!$C$33,Input!$C$34),0))</f>
        <v/>
      </c>
      <c r="W1295" s="156" t="str">
        <f>IF($E1295="","",Input!$C$35)</f>
        <v/>
      </c>
      <c r="X1295" s="156" t="str">
        <f t="shared" si="833"/>
        <v/>
      </c>
      <c r="Y1295" s="154"/>
      <c r="Z1295" s="147" t="str">
        <f>IF($E1295="","",VLOOKUP($D1295,'Mortality Margins &amp; Grading'!$AB$5:$AF$125,3,0)*IF(Summary!$D$25="Included Margin",IF(AND($B1295&gt;Input!$C$9,Summary!$D$31&lt;&gt;"Included Margin"),0,1),0))</f>
        <v/>
      </c>
      <c r="AA1295" s="147" t="str">
        <f>IF($E1295="","",VLOOKUP($D1295,'Mortality Margins &amp; Grading'!$AB$5:$AF$125,5,0)*IF(Summary!$D$25="Included Margin",IF(AND($B1295&gt;Input!$C$9,Summary!$D$31&lt;&gt;"Included Margin"),0,1),0))</f>
        <v/>
      </c>
      <c r="AB1295" s="147" t="str">
        <f>IF($E1295="","",IF(AND($B1295&gt;Input!$C$9,Summary!$D$31&lt;&gt;"Included Margin"),1,IF(Summary!$D$25="Included Margin",VLOOKUP($B1295,'Mortality Margins &amp; Grading'!$AI$5:$AR$125,MATCH('Mortality Margins &amp; Grading'!$AQ$4,'Mortality Margins &amp; Grading'!$AI$4:$AR$4,0),0),1)))</f>
        <v/>
      </c>
      <c r="AC1295" s="154"/>
      <c r="AD1295" s="158" t="str">
        <f>IF(E1295="","",Input!$C$48*IF(Summary!$D$30="Included Margin",IF(AND($B1295&gt;Input!$C$9,Summary!$D$31&lt;&gt;"Included Margin"),0,1),0))</f>
        <v/>
      </c>
      <c r="AE1295" s="159" t="str">
        <f>IF(E1295="","",IF(Summary!$D$26="Included Margin",IF(AND($B1295&gt;Input!$C$9,Summary!$D$31&lt;&gt;"Included Margin"),1,1/$R1295),1))</f>
        <v/>
      </c>
      <c r="AF1295" s="160" t="str">
        <f>IF(E1295="","",IF(AND($B1295&gt;=Input!$C$9,$C1295=12,Summary!$D$31="Included Margin",$U1295&gt;0),1/U1295-1,IF($B1295&gt;=Input!$C$9,0,Input!$C$45*IF(Summary!$D$27="Included Margin",1,0))))</f>
        <v/>
      </c>
      <c r="AG1295" s="160" t="str">
        <f>IF(E1295="","",Input!$C$46*IF(Summary!$D$28="Included Margin",IF(AND($B1295&gt;Input!$C$9,Summary!$D$31&lt;&gt;"Included Margin"),0,1),0))</f>
        <v/>
      </c>
      <c r="AH1295" s="158" t="str">
        <f>IF(E1295="","",Input!$C$47*IF(Summary!$D$29="Included Margin",IF(AND($B1295&gt;Input!$C$9,Summary!$D$31&lt;&gt;"Included Margin"),0,1),0))</f>
        <v/>
      </c>
      <c r="AI1295" s="154"/>
      <c r="AJ1295" s="158" t="str">
        <f t="shared" si="844"/>
        <v/>
      </c>
      <c r="AK1295" s="150" t="str">
        <f t="shared" si="845"/>
        <v/>
      </c>
      <c r="AL1295" s="147" t="str">
        <f t="shared" si="846"/>
        <v/>
      </c>
      <c r="AM1295" s="147" t="str">
        <f t="shared" si="834"/>
        <v/>
      </c>
      <c r="AN1295" s="160" t="str">
        <f t="shared" si="847"/>
        <v/>
      </c>
      <c r="AO1295" s="161" t="str">
        <f t="shared" si="848"/>
        <v/>
      </c>
      <c r="AP1295" s="156" t="str">
        <f t="shared" si="835"/>
        <v/>
      </c>
      <c r="AQ1295" s="152"/>
      <c r="AR1295" s="162" t="str">
        <f t="shared" si="836"/>
        <v/>
      </c>
      <c r="AS1295" s="150" t="str">
        <f t="shared" si="849"/>
        <v/>
      </c>
      <c r="AT1295" s="163" t="str">
        <f t="shared" si="837"/>
        <v/>
      </c>
      <c r="AU1295" s="163" t="str">
        <f t="shared" si="838"/>
        <v/>
      </c>
      <c r="AV1295" s="163" t="str">
        <f t="shared" si="850"/>
        <v/>
      </c>
      <c r="AW1295" s="163" t="str">
        <f t="shared" si="839"/>
        <v/>
      </c>
      <c r="AX1295" s="163" t="str">
        <f t="shared" si="840"/>
        <v/>
      </c>
      <c r="AY1295" s="150" t="str">
        <f t="shared" si="851"/>
        <v/>
      </c>
      <c r="AZ1295" s="150" t="str">
        <f>IF($E1295="","",IF(OR(AND($D1295=Input!$C$6,$C1295=12),$AN1295=1),0,-AS1296+AT1296+AU1296-AV1296-AW1296-AX1296+AZ1296))</f>
        <v/>
      </c>
      <c r="BA1295" s="154" t="str">
        <f t="shared" si="841"/>
        <v/>
      </c>
      <c r="BC1295" s="147" t="str">
        <f t="shared" si="852"/>
        <v/>
      </c>
      <c r="BD1295" s="164" t="str">
        <f>IF(AND($C1294=12,$D1294=Input!$C$6),0,IF($E1295="","",AT1295+(AU1295+BD1296)/(1+$AK1295)*MIN((1-AM1295-AN1295),1)))</f>
        <v/>
      </c>
      <c r="BH1295" s="152"/>
      <c r="BI1295" s="162" t="str">
        <f t="shared" si="825"/>
        <v/>
      </c>
      <c r="BJ1295" s="150" t="str">
        <f t="shared" si="826"/>
        <v/>
      </c>
      <c r="BK1295" s="163" t="str">
        <f t="shared" si="857"/>
        <v/>
      </c>
      <c r="BL1295" s="163" t="str">
        <f t="shared" si="827"/>
        <v/>
      </c>
      <c r="BM1295" s="163" t="str">
        <f t="shared" si="858"/>
        <v/>
      </c>
      <c r="BN1295" s="163" t="str">
        <f t="shared" si="828"/>
        <v/>
      </c>
      <c r="BO1295" s="163" t="str">
        <f t="shared" si="829"/>
        <v/>
      </c>
      <c r="BP1295" s="150" t="str">
        <f t="shared" si="859"/>
        <v/>
      </c>
      <c r="BQ1295" s="150" t="str">
        <f t="shared" si="853"/>
        <v/>
      </c>
      <c r="BR1295" s="154" t="str">
        <f t="shared" si="830"/>
        <v/>
      </c>
      <c r="BT1295" s="147"/>
    </row>
    <row r="1296" spans="1:72" s="150" customFormat="1" x14ac:dyDescent="0.25">
      <c r="A1296" s="150" t="str">
        <f t="shared" si="854"/>
        <v/>
      </c>
      <c r="B1296" s="150" t="str">
        <f t="shared" si="855"/>
        <v/>
      </c>
      <c r="C1296" s="150" t="str">
        <f t="shared" si="856"/>
        <v/>
      </c>
      <c r="D1296" s="150" t="str">
        <f>IF(E1296="","",Input!$C$4+B1296-1)</f>
        <v/>
      </c>
      <c r="E1296" s="150" t="str">
        <f>IF(OR(AND(C1295=12,D1295=Input!$C$6),E1295=""),"",1)</f>
        <v/>
      </c>
      <c r="G1296" s="151" t="str">
        <f>IF(E1296="","",MAX(0,Input!$C$9-B1296))</f>
        <v/>
      </c>
      <c r="H1296" s="152" t="str">
        <f>IF(E1296="","",Input!$C$3)</f>
        <v/>
      </c>
      <c r="I1296" s="153" t="str">
        <f>IF(E1296="","",HLOOKUP($B1296,Input!$C$13:$BT$14,2))</f>
        <v/>
      </c>
      <c r="J1296" s="154"/>
      <c r="K1296" s="150" t="str">
        <f>IF($E1296="","",INDEX(Input!$C$16:$CP$16,1,$B1296))</f>
        <v/>
      </c>
      <c r="L1296" s="150" t="str">
        <f>IF($E1296="","",Input!$C$37)</f>
        <v/>
      </c>
      <c r="M1296" s="150" t="str">
        <f t="shared" si="842"/>
        <v/>
      </c>
      <c r="N1296" s="150" t="str">
        <f t="shared" si="843"/>
        <v/>
      </c>
      <c r="O1296" s="147" t="str">
        <f>IF($E1296="","",MIN(VLOOKUP(IF($B1296&lt;=Input!$C$7,$B1296,26),'Mortality Tables'!$A$41:$CW$67,IF($B1296&lt;=Input!$C$7+1,Input!$C$4+2,$D1296-Input!$C$7+2),0)*IF(B1296&gt;20,Input!$C$22,1)/1000,1))</f>
        <v/>
      </c>
      <c r="P1296" s="147" t="str">
        <f>IF($E1296="","",MIN(VLOOKUP(IF($B1296&lt;=Input!$C$7,$B1296,26),'Mortality Tables'!$A$12:$CW$37,IF($B1296&lt;=Input!$C$7+1,Input!$C$4+2,$D1296-Input!$C$7+2),0)*IF(B1296&gt;20,Input!$C$22,1)/1000,1))</f>
        <v/>
      </c>
      <c r="Q1296" s="155" t="str">
        <f>IF($E1296="","",Input!$C$21)</f>
        <v/>
      </c>
      <c r="R1296" s="159" t="str">
        <f>IF($E1296="","",(1-Q1296)^($F1296-Input!$C$20))</f>
        <v/>
      </c>
      <c r="S1296" s="147" t="str">
        <f t="shared" si="831"/>
        <v/>
      </c>
      <c r="T1296" s="147" t="str">
        <f t="shared" si="832"/>
        <v/>
      </c>
      <c r="U1296" s="160" t="str">
        <f>IF($E1296="","",IF($C1296=12,INDEX(Input!$C$15:$CP$15,1,$B1296),0))</f>
        <v/>
      </c>
      <c r="V1296" s="150" t="str">
        <f>IF(E1296="","",IF(C1296=1,IF($B1296=1,Input!$C$33,Input!$C$34),0))</f>
        <v/>
      </c>
      <c r="W1296" s="156" t="str">
        <f>IF($E1296="","",Input!$C$35)</f>
        <v/>
      </c>
      <c r="X1296" s="156" t="str">
        <f t="shared" si="833"/>
        <v/>
      </c>
      <c r="Y1296" s="154"/>
      <c r="Z1296" s="147" t="str">
        <f>IF($E1296="","",VLOOKUP($D1296,'Mortality Margins &amp; Grading'!$AB$5:$AF$125,3,0)*IF(Summary!$D$25="Included Margin",IF(AND($B1296&gt;Input!$C$9,Summary!$D$31&lt;&gt;"Included Margin"),0,1),0))</f>
        <v/>
      </c>
      <c r="AA1296" s="147" t="str">
        <f>IF($E1296="","",VLOOKUP($D1296,'Mortality Margins &amp; Grading'!$AB$5:$AF$125,5,0)*IF(Summary!$D$25="Included Margin",IF(AND($B1296&gt;Input!$C$9,Summary!$D$31&lt;&gt;"Included Margin"),0,1),0))</f>
        <v/>
      </c>
      <c r="AB1296" s="147" t="str">
        <f>IF($E1296="","",IF(AND($B1296&gt;Input!$C$9,Summary!$D$31&lt;&gt;"Included Margin"),1,IF(Summary!$D$25="Included Margin",VLOOKUP($B1296,'Mortality Margins &amp; Grading'!$AI$5:$AR$125,MATCH('Mortality Margins &amp; Grading'!$AQ$4,'Mortality Margins &amp; Grading'!$AI$4:$AR$4,0),0),1)))</f>
        <v/>
      </c>
      <c r="AC1296" s="154"/>
      <c r="AD1296" s="158" t="str">
        <f>IF(E1296="","",Input!$C$48*IF(Summary!$D$30="Included Margin",IF(AND($B1296&gt;Input!$C$9,Summary!$D$31&lt;&gt;"Included Margin"),0,1),0))</f>
        <v/>
      </c>
      <c r="AE1296" s="159" t="str">
        <f>IF(E1296="","",IF(Summary!$D$26="Included Margin",IF(AND($B1296&gt;Input!$C$9,Summary!$D$31&lt;&gt;"Included Margin"),1,1/$R1296),1))</f>
        <v/>
      </c>
      <c r="AF1296" s="160" t="str">
        <f>IF(E1296="","",IF(AND($B1296&gt;=Input!$C$9,$C1296=12,Summary!$D$31="Included Margin",$U1296&gt;0),1/U1296-1,IF($B1296&gt;=Input!$C$9,0,Input!$C$45*IF(Summary!$D$27="Included Margin",1,0))))</f>
        <v/>
      </c>
      <c r="AG1296" s="160" t="str">
        <f>IF(E1296="","",Input!$C$46*IF(Summary!$D$28="Included Margin",IF(AND($B1296&gt;Input!$C$9,Summary!$D$31&lt;&gt;"Included Margin"),0,1),0))</f>
        <v/>
      </c>
      <c r="AH1296" s="158" t="str">
        <f>IF(E1296="","",Input!$C$47*IF(Summary!$D$29="Included Margin",IF(AND($B1296&gt;Input!$C$9,Summary!$D$31&lt;&gt;"Included Margin"),0,1),0))</f>
        <v/>
      </c>
      <c r="AI1296" s="154"/>
      <c r="AJ1296" s="158" t="str">
        <f t="shared" si="844"/>
        <v/>
      </c>
      <c r="AK1296" s="150" t="str">
        <f t="shared" si="845"/>
        <v/>
      </c>
      <c r="AL1296" s="147" t="str">
        <f t="shared" si="846"/>
        <v/>
      </c>
      <c r="AM1296" s="147" t="str">
        <f t="shared" si="834"/>
        <v/>
      </c>
      <c r="AN1296" s="160" t="str">
        <f t="shared" si="847"/>
        <v/>
      </c>
      <c r="AO1296" s="161" t="str">
        <f t="shared" si="848"/>
        <v/>
      </c>
      <c r="AP1296" s="156" t="str">
        <f t="shared" si="835"/>
        <v/>
      </c>
      <c r="AQ1296" s="152"/>
      <c r="AR1296" s="162" t="str">
        <f t="shared" si="836"/>
        <v/>
      </c>
      <c r="AS1296" s="150" t="str">
        <f t="shared" si="849"/>
        <v/>
      </c>
      <c r="AT1296" s="163" t="str">
        <f t="shared" si="837"/>
        <v/>
      </c>
      <c r="AU1296" s="163" t="str">
        <f t="shared" si="838"/>
        <v/>
      </c>
      <c r="AV1296" s="163" t="str">
        <f t="shared" si="850"/>
        <v/>
      </c>
      <c r="AW1296" s="163" t="str">
        <f t="shared" si="839"/>
        <v/>
      </c>
      <c r="AX1296" s="163" t="str">
        <f t="shared" si="840"/>
        <v/>
      </c>
      <c r="AY1296" s="150" t="str">
        <f t="shared" si="851"/>
        <v/>
      </c>
      <c r="AZ1296" s="150" t="str">
        <f>IF($E1296="","",IF(OR(AND($D1296=Input!$C$6,$C1296=12),$AN1296=1),0,-AS1297+AT1297+AU1297-AV1297-AW1297-AX1297+AZ1297))</f>
        <v/>
      </c>
      <c r="BA1296" s="154" t="str">
        <f t="shared" si="841"/>
        <v/>
      </c>
      <c r="BC1296" s="147" t="str">
        <f t="shared" si="852"/>
        <v/>
      </c>
      <c r="BD1296" s="164" t="str">
        <f>IF(AND($C1295=12,$D1295=Input!$C$6),0,IF($E1296="","",AT1296+(AU1296+BD1297)/(1+$AK1296)*MIN((1-AM1296-AN1296),1)))</f>
        <v/>
      </c>
      <c r="BH1296" s="152"/>
      <c r="BI1296" s="162" t="str">
        <f t="shared" si="825"/>
        <v/>
      </c>
      <c r="BJ1296" s="150" t="str">
        <f t="shared" si="826"/>
        <v/>
      </c>
      <c r="BK1296" s="163" t="str">
        <f t="shared" si="857"/>
        <v/>
      </c>
      <c r="BL1296" s="163" t="str">
        <f t="shared" si="827"/>
        <v/>
      </c>
      <c r="BM1296" s="163" t="str">
        <f t="shared" si="858"/>
        <v/>
      </c>
      <c r="BN1296" s="163" t="str">
        <f t="shared" si="828"/>
        <v/>
      </c>
      <c r="BO1296" s="163" t="str">
        <f t="shared" si="829"/>
        <v/>
      </c>
      <c r="BP1296" s="150" t="str">
        <f t="shared" si="859"/>
        <v/>
      </c>
      <c r="BQ1296" s="150" t="str">
        <f t="shared" si="853"/>
        <v/>
      </c>
      <c r="BR1296" s="154" t="str">
        <f t="shared" si="830"/>
        <v/>
      </c>
      <c r="BT1296" s="147"/>
    </row>
    <row r="1297" spans="1:72" s="150" customFormat="1" x14ac:dyDescent="0.25">
      <c r="A1297" s="150" t="str">
        <f t="shared" si="854"/>
        <v/>
      </c>
      <c r="B1297" s="150" t="str">
        <f t="shared" si="855"/>
        <v/>
      </c>
      <c r="C1297" s="150" t="str">
        <f t="shared" si="856"/>
        <v/>
      </c>
      <c r="D1297" s="150" t="str">
        <f>IF(E1297="","",Input!$C$4+B1297-1)</f>
        <v/>
      </c>
      <c r="E1297" s="150" t="str">
        <f>IF(OR(AND(C1296=12,D1296=Input!$C$6),E1296=""),"",1)</f>
        <v/>
      </c>
      <c r="G1297" s="151" t="str">
        <f>IF(E1297="","",MAX(0,Input!$C$9-B1297))</f>
        <v/>
      </c>
      <c r="H1297" s="152" t="str">
        <f>IF(E1297="","",Input!$C$3)</f>
        <v/>
      </c>
      <c r="I1297" s="153" t="str">
        <f>IF(E1297="","",HLOOKUP($B1297,Input!$C$13:$BT$14,2))</f>
        <v/>
      </c>
      <c r="J1297" s="154"/>
      <c r="K1297" s="150" t="str">
        <f>IF($E1297="","",INDEX(Input!$C$16:$CP$16,1,$B1297))</f>
        <v/>
      </c>
      <c r="L1297" s="150" t="str">
        <f>IF($E1297="","",Input!$C$37)</f>
        <v/>
      </c>
      <c r="M1297" s="150" t="str">
        <f t="shared" si="842"/>
        <v/>
      </c>
      <c r="N1297" s="150" t="str">
        <f t="shared" si="843"/>
        <v/>
      </c>
      <c r="O1297" s="147" t="str">
        <f>IF($E1297="","",MIN(VLOOKUP(IF($B1297&lt;=Input!$C$7,$B1297,26),'Mortality Tables'!$A$41:$CW$67,IF($B1297&lt;=Input!$C$7+1,Input!$C$4+2,$D1297-Input!$C$7+2),0)*IF(B1297&gt;20,Input!$C$22,1)/1000,1))</f>
        <v/>
      </c>
      <c r="P1297" s="147" t="str">
        <f>IF($E1297="","",MIN(VLOOKUP(IF($B1297&lt;=Input!$C$7,$B1297,26),'Mortality Tables'!$A$12:$CW$37,IF($B1297&lt;=Input!$C$7+1,Input!$C$4+2,$D1297-Input!$C$7+2),0)*IF(B1297&gt;20,Input!$C$22,1)/1000,1))</f>
        <v/>
      </c>
      <c r="Q1297" s="155" t="str">
        <f>IF($E1297="","",Input!$C$21)</f>
        <v/>
      </c>
      <c r="R1297" s="159" t="str">
        <f>IF($E1297="","",(1-Q1297)^($F1297-Input!$C$20))</f>
        <v/>
      </c>
      <c r="S1297" s="147" t="str">
        <f t="shared" si="831"/>
        <v/>
      </c>
      <c r="T1297" s="147" t="str">
        <f t="shared" si="832"/>
        <v/>
      </c>
      <c r="U1297" s="160" t="str">
        <f>IF($E1297="","",IF($C1297=12,INDEX(Input!$C$15:$CP$15,1,$B1297),0))</f>
        <v/>
      </c>
      <c r="V1297" s="150" t="str">
        <f>IF(E1297="","",IF(C1297=1,IF($B1297=1,Input!$C$33,Input!$C$34),0))</f>
        <v/>
      </c>
      <c r="W1297" s="156" t="str">
        <f>IF($E1297="","",Input!$C$35)</f>
        <v/>
      </c>
      <c r="X1297" s="156" t="str">
        <f t="shared" si="833"/>
        <v/>
      </c>
      <c r="Y1297" s="154"/>
      <c r="Z1297" s="147" t="str">
        <f>IF($E1297="","",VLOOKUP($D1297,'Mortality Margins &amp; Grading'!$AB$5:$AF$125,3,0)*IF(Summary!$D$25="Included Margin",IF(AND($B1297&gt;Input!$C$9,Summary!$D$31&lt;&gt;"Included Margin"),0,1),0))</f>
        <v/>
      </c>
      <c r="AA1297" s="147" t="str">
        <f>IF($E1297="","",VLOOKUP($D1297,'Mortality Margins &amp; Grading'!$AB$5:$AF$125,5,0)*IF(Summary!$D$25="Included Margin",IF(AND($B1297&gt;Input!$C$9,Summary!$D$31&lt;&gt;"Included Margin"),0,1),0))</f>
        <v/>
      </c>
      <c r="AB1297" s="147" t="str">
        <f>IF($E1297="","",IF(AND($B1297&gt;Input!$C$9,Summary!$D$31&lt;&gt;"Included Margin"),1,IF(Summary!$D$25="Included Margin",VLOOKUP($B1297,'Mortality Margins &amp; Grading'!$AI$5:$AR$125,MATCH('Mortality Margins &amp; Grading'!$AQ$4,'Mortality Margins &amp; Grading'!$AI$4:$AR$4,0),0),1)))</f>
        <v/>
      </c>
      <c r="AC1297" s="154"/>
      <c r="AD1297" s="158" t="str">
        <f>IF(E1297="","",Input!$C$48*IF(Summary!$D$30="Included Margin",IF(AND($B1297&gt;Input!$C$9,Summary!$D$31&lt;&gt;"Included Margin"),0,1),0))</f>
        <v/>
      </c>
      <c r="AE1297" s="159" t="str">
        <f>IF(E1297="","",IF(Summary!$D$26="Included Margin",IF(AND($B1297&gt;Input!$C$9,Summary!$D$31&lt;&gt;"Included Margin"),1,1/$R1297),1))</f>
        <v/>
      </c>
      <c r="AF1297" s="160" t="str">
        <f>IF(E1297="","",IF(AND($B1297&gt;=Input!$C$9,$C1297=12,Summary!$D$31="Included Margin",$U1297&gt;0),1/U1297-1,IF($B1297&gt;=Input!$C$9,0,Input!$C$45*IF(Summary!$D$27="Included Margin",1,0))))</f>
        <v/>
      </c>
      <c r="AG1297" s="160" t="str">
        <f>IF(E1297="","",Input!$C$46*IF(Summary!$D$28="Included Margin",IF(AND($B1297&gt;Input!$C$9,Summary!$D$31&lt;&gt;"Included Margin"),0,1),0))</f>
        <v/>
      </c>
      <c r="AH1297" s="158" t="str">
        <f>IF(E1297="","",Input!$C$47*IF(Summary!$D$29="Included Margin",IF(AND($B1297&gt;Input!$C$9,Summary!$D$31&lt;&gt;"Included Margin"),0,1),0))</f>
        <v/>
      </c>
      <c r="AI1297" s="154"/>
      <c r="AJ1297" s="158" t="str">
        <f t="shared" si="844"/>
        <v/>
      </c>
      <c r="AK1297" s="150" t="str">
        <f t="shared" si="845"/>
        <v/>
      </c>
      <c r="AL1297" s="147" t="str">
        <f t="shared" si="846"/>
        <v/>
      </c>
      <c r="AM1297" s="147" t="str">
        <f t="shared" si="834"/>
        <v/>
      </c>
      <c r="AN1297" s="160" t="str">
        <f t="shared" si="847"/>
        <v/>
      </c>
      <c r="AO1297" s="161" t="str">
        <f t="shared" si="848"/>
        <v/>
      </c>
      <c r="AP1297" s="156" t="str">
        <f t="shared" si="835"/>
        <v/>
      </c>
      <c r="AQ1297" s="152"/>
      <c r="AR1297" s="162" t="str">
        <f t="shared" si="836"/>
        <v/>
      </c>
      <c r="AS1297" s="150" t="str">
        <f t="shared" si="849"/>
        <v/>
      </c>
      <c r="AT1297" s="163" t="str">
        <f t="shared" si="837"/>
        <v/>
      </c>
      <c r="AU1297" s="163" t="str">
        <f t="shared" si="838"/>
        <v/>
      </c>
      <c r="AV1297" s="163" t="str">
        <f t="shared" si="850"/>
        <v/>
      </c>
      <c r="AW1297" s="163" t="str">
        <f t="shared" si="839"/>
        <v/>
      </c>
      <c r="AX1297" s="163" t="str">
        <f t="shared" si="840"/>
        <v/>
      </c>
      <c r="AY1297" s="150" t="str">
        <f t="shared" si="851"/>
        <v/>
      </c>
      <c r="AZ1297" s="150" t="str">
        <f>IF($E1297="","",IF(OR(AND($D1297=Input!$C$6,$C1297=12),$AN1297=1),0,-AS1298+AT1298+AU1298-AV1298-AW1298-AX1298+AZ1298))</f>
        <v/>
      </c>
      <c r="BA1297" s="154" t="str">
        <f t="shared" si="841"/>
        <v/>
      </c>
      <c r="BC1297" s="147" t="str">
        <f t="shared" si="852"/>
        <v/>
      </c>
      <c r="BD1297" s="164" t="str">
        <f>IF(AND($C1296=12,$D1296=Input!$C$6),0,IF($E1297="","",AT1297+(AU1297+BD1298)/(1+$AK1297)*MIN((1-AM1297-AN1297),1)))</f>
        <v/>
      </c>
      <c r="BH1297" s="152"/>
      <c r="BI1297" s="162" t="str">
        <f t="shared" si="825"/>
        <v/>
      </c>
      <c r="BJ1297" s="150" t="str">
        <f t="shared" si="826"/>
        <v/>
      </c>
      <c r="BK1297" s="163" t="str">
        <f t="shared" si="857"/>
        <v/>
      </c>
      <c r="BL1297" s="163" t="str">
        <f t="shared" si="827"/>
        <v/>
      </c>
      <c r="BM1297" s="163" t="str">
        <f t="shared" si="858"/>
        <v/>
      </c>
      <c r="BN1297" s="163" t="str">
        <f t="shared" si="828"/>
        <v/>
      </c>
      <c r="BO1297" s="163" t="str">
        <f t="shared" si="829"/>
        <v/>
      </c>
      <c r="BP1297" s="150" t="str">
        <f t="shared" si="859"/>
        <v/>
      </c>
      <c r="BQ1297" s="150" t="str">
        <f t="shared" si="853"/>
        <v/>
      </c>
      <c r="BR1297" s="154" t="str">
        <f t="shared" si="830"/>
        <v/>
      </c>
      <c r="BT1297" s="147"/>
    </row>
    <row r="1298" spans="1:72" s="150" customFormat="1" x14ac:dyDescent="0.25">
      <c r="A1298" s="150" t="str">
        <f t="shared" si="854"/>
        <v/>
      </c>
      <c r="B1298" s="150" t="str">
        <f t="shared" si="855"/>
        <v/>
      </c>
      <c r="C1298" s="150" t="str">
        <f t="shared" si="856"/>
        <v/>
      </c>
      <c r="D1298" s="150" t="str">
        <f>IF(E1298="","",Input!$C$4+B1298-1)</f>
        <v/>
      </c>
      <c r="E1298" s="150" t="str">
        <f>IF(OR(AND(C1297=12,D1297=Input!$C$6),E1297=""),"",1)</f>
        <v/>
      </c>
      <c r="G1298" s="151" t="str">
        <f>IF(E1298="","",MAX(0,Input!$C$9-B1298))</f>
        <v/>
      </c>
      <c r="H1298" s="152" t="str">
        <f>IF(E1298="","",Input!$C$3)</f>
        <v/>
      </c>
      <c r="I1298" s="153" t="str">
        <f>IF(E1298="","",HLOOKUP($B1298,Input!$C$13:$BT$14,2))</f>
        <v/>
      </c>
      <c r="J1298" s="154"/>
      <c r="K1298" s="150" t="str">
        <f>IF($E1298="","",INDEX(Input!$C$16:$CP$16,1,$B1298))</f>
        <v/>
      </c>
      <c r="L1298" s="150" t="str">
        <f>IF($E1298="","",Input!$C$37)</f>
        <v/>
      </c>
      <c r="M1298" s="150" t="str">
        <f t="shared" si="842"/>
        <v/>
      </c>
      <c r="N1298" s="150" t="str">
        <f t="shared" si="843"/>
        <v/>
      </c>
      <c r="O1298" s="147" t="str">
        <f>IF($E1298="","",MIN(VLOOKUP(IF($B1298&lt;=Input!$C$7,$B1298,26),'Mortality Tables'!$A$41:$CW$67,IF($B1298&lt;=Input!$C$7+1,Input!$C$4+2,$D1298-Input!$C$7+2),0)*IF(B1298&gt;20,Input!$C$22,1)/1000,1))</f>
        <v/>
      </c>
      <c r="P1298" s="147" t="str">
        <f>IF($E1298="","",MIN(VLOOKUP(IF($B1298&lt;=Input!$C$7,$B1298,26),'Mortality Tables'!$A$12:$CW$37,IF($B1298&lt;=Input!$C$7+1,Input!$C$4+2,$D1298-Input!$C$7+2),0)*IF(B1298&gt;20,Input!$C$22,1)/1000,1))</f>
        <v/>
      </c>
      <c r="Q1298" s="155" t="str">
        <f>IF($E1298="","",Input!$C$21)</f>
        <v/>
      </c>
      <c r="R1298" s="159" t="str">
        <f>IF($E1298="","",(1-Q1298)^($F1298-Input!$C$20))</f>
        <v/>
      </c>
      <c r="S1298" s="147" t="str">
        <f t="shared" si="831"/>
        <v/>
      </c>
      <c r="T1298" s="147" t="str">
        <f t="shared" si="832"/>
        <v/>
      </c>
      <c r="U1298" s="160" t="str">
        <f>IF($E1298="","",IF($C1298=12,INDEX(Input!$C$15:$CP$15,1,$B1298),0))</f>
        <v/>
      </c>
      <c r="V1298" s="150" t="str">
        <f>IF(E1298="","",IF(C1298=1,IF($B1298=1,Input!$C$33,Input!$C$34),0))</f>
        <v/>
      </c>
      <c r="W1298" s="156" t="str">
        <f>IF($E1298="","",Input!$C$35)</f>
        <v/>
      </c>
      <c r="X1298" s="156" t="str">
        <f t="shared" si="833"/>
        <v/>
      </c>
      <c r="Y1298" s="154"/>
      <c r="Z1298" s="147" t="str">
        <f>IF($E1298="","",VLOOKUP($D1298,'Mortality Margins &amp; Grading'!$AB$5:$AF$125,3,0)*IF(Summary!$D$25="Included Margin",IF(AND($B1298&gt;Input!$C$9,Summary!$D$31&lt;&gt;"Included Margin"),0,1),0))</f>
        <v/>
      </c>
      <c r="AA1298" s="147" t="str">
        <f>IF($E1298="","",VLOOKUP($D1298,'Mortality Margins &amp; Grading'!$AB$5:$AF$125,5,0)*IF(Summary!$D$25="Included Margin",IF(AND($B1298&gt;Input!$C$9,Summary!$D$31&lt;&gt;"Included Margin"),0,1),0))</f>
        <v/>
      </c>
      <c r="AB1298" s="147" t="str">
        <f>IF($E1298="","",IF(AND($B1298&gt;Input!$C$9,Summary!$D$31&lt;&gt;"Included Margin"),1,IF(Summary!$D$25="Included Margin",VLOOKUP($B1298,'Mortality Margins &amp; Grading'!$AI$5:$AR$125,MATCH('Mortality Margins &amp; Grading'!$AQ$4,'Mortality Margins &amp; Grading'!$AI$4:$AR$4,0),0),1)))</f>
        <v/>
      </c>
      <c r="AC1298" s="154"/>
      <c r="AD1298" s="158" t="str">
        <f>IF(E1298="","",Input!$C$48*IF(Summary!$D$30="Included Margin",IF(AND($B1298&gt;Input!$C$9,Summary!$D$31&lt;&gt;"Included Margin"),0,1),0))</f>
        <v/>
      </c>
      <c r="AE1298" s="159" t="str">
        <f>IF(E1298="","",IF(Summary!$D$26="Included Margin",IF(AND($B1298&gt;Input!$C$9,Summary!$D$31&lt;&gt;"Included Margin"),1,1/$R1298),1))</f>
        <v/>
      </c>
      <c r="AF1298" s="160" t="str">
        <f>IF(E1298="","",IF(AND($B1298&gt;=Input!$C$9,$C1298=12,Summary!$D$31="Included Margin",$U1298&gt;0),1/U1298-1,IF($B1298&gt;=Input!$C$9,0,Input!$C$45*IF(Summary!$D$27="Included Margin",1,0))))</f>
        <v/>
      </c>
      <c r="AG1298" s="160" t="str">
        <f>IF(E1298="","",Input!$C$46*IF(Summary!$D$28="Included Margin",IF(AND($B1298&gt;Input!$C$9,Summary!$D$31&lt;&gt;"Included Margin"),0,1),0))</f>
        <v/>
      </c>
      <c r="AH1298" s="158" t="str">
        <f>IF(E1298="","",Input!$C$47*IF(Summary!$D$29="Included Margin",IF(AND($B1298&gt;Input!$C$9,Summary!$D$31&lt;&gt;"Included Margin"),0,1),0))</f>
        <v/>
      </c>
      <c r="AI1298" s="154"/>
      <c r="AJ1298" s="158" t="str">
        <f t="shared" si="844"/>
        <v/>
      </c>
      <c r="AK1298" s="150" t="str">
        <f t="shared" si="845"/>
        <v/>
      </c>
      <c r="AL1298" s="147" t="str">
        <f t="shared" si="846"/>
        <v/>
      </c>
      <c r="AM1298" s="147" t="str">
        <f t="shared" si="834"/>
        <v/>
      </c>
      <c r="AN1298" s="160" t="str">
        <f t="shared" si="847"/>
        <v/>
      </c>
      <c r="AO1298" s="161" t="str">
        <f t="shared" si="848"/>
        <v/>
      </c>
      <c r="AP1298" s="156" t="str">
        <f t="shared" si="835"/>
        <v/>
      </c>
      <c r="AQ1298" s="152"/>
      <c r="AR1298" s="162" t="str">
        <f t="shared" si="836"/>
        <v/>
      </c>
      <c r="AS1298" s="150" t="str">
        <f t="shared" si="849"/>
        <v/>
      </c>
      <c r="AT1298" s="163" t="str">
        <f t="shared" si="837"/>
        <v/>
      </c>
      <c r="AU1298" s="163" t="str">
        <f t="shared" si="838"/>
        <v/>
      </c>
      <c r="AV1298" s="163" t="str">
        <f t="shared" si="850"/>
        <v/>
      </c>
      <c r="AW1298" s="163" t="str">
        <f t="shared" si="839"/>
        <v/>
      </c>
      <c r="AX1298" s="163" t="str">
        <f t="shared" si="840"/>
        <v/>
      </c>
      <c r="AY1298" s="150" t="str">
        <f t="shared" si="851"/>
        <v/>
      </c>
      <c r="AZ1298" s="150" t="str">
        <f>IF($E1298="","",IF(OR(AND($D1298=Input!$C$6,$C1298=12),$AN1298=1),0,-AS1299+AT1299+AU1299-AV1299-AW1299-AX1299+AZ1299))</f>
        <v/>
      </c>
      <c r="BA1298" s="154" t="str">
        <f t="shared" si="841"/>
        <v/>
      </c>
      <c r="BC1298" s="147" t="str">
        <f t="shared" si="852"/>
        <v/>
      </c>
      <c r="BD1298" s="164" t="str">
        <f>IF(AND($C1297=12,$D1297=Input!$C$6),0,IF($E1298="","",AT1298+(AU1298+BD1299)/(1+$AK1298)*MIN((1-AM1298-AN1298),1)))</f>
        <v/>
      </c>
      <c r="BH1298" s="152"/>
      <c r="BI1298" s="162" t="str">
        <f t="shared" si="825"/>
        <v/>
      </c>
      <c r="BJ1298" s="150" t="str">
        <f t="shared" si="826"/>
        <v/>
      </c>
      <c r="BK1298" s="163" t="str">
        <f t="shared" si="857"/>
        <v/>
      </c>
      <c r="BL1298" s="163" t="str">
        <f t="shared" si="827"/>
        <v/>
      </c>
      <c r="BM1298" s="163" t="str">
        <f t="shared" si="858"/>
        <v/>
      </c>
      <c r="BN1298" s="163" t="str">
        <f t="shared" si="828"/>
        <v/>
      </c>
      <c r="BO1298" s="163" t="str">
        <f t="shared" si="829"/>
        <v/>
      </c>
      <c r="BP1298" s="150" t="str">
        <f t="shared" si="859"/>
        <v/>
      </c>
      <c r="BQ1298" s="150" t="str">
        <f t="shared" si="853"/>
        <v/>
      </c>
      <c r="BR1298" s="154" t="str">
        <f t="shared" si="830"/>
        <v/>
      </c>
      <c r="BT1298" s="147"/>
    </row>
    <row r="1299" spans="1:72" s="150" customFormat="1" x14ac:dyDescent="0.25">
      <c r="A1299" s="150" t="str">
        <f t="shared" si="854"/>
        <v/>
      </c>
      <c r="B1299" s="150" t="str">
        <f t="shared" si="855"/>
        <v/>
      </c>
      <c r="C1299" s="150" t="str">
        <f t="shared" si="856"/>
        <v/>
      </c>
      <c r="D1299" s="150" t="str">
        <f>IF(E1299="","",Input!$C$4+B1299-1)</f>
        <v/>
      </c>
      <c r="E1299" s="150" t="str">
        <f>IF(OR(AND(C1298=12,D1298=Input!$C$6),E1298=""),"",1)</f>
        <v/>
      </c>
      <c r="G1299" s="151" t="str">
        <f>IF(E1299="","",MAX(0,Input!$C$9-B1299))</f>
        <v/>
      </c>
      <c r="H1299" s="152" t="str">
        <f>IF(E1299="","",Input!$C$3)</f>
        <v/>
      </c>
      <c r="I1299" s="153" t="str">
        <f>IF(E1299="","",HLOOKUP($B1299,Input!$C$13:$BT$14,2))</f>
        <v/>
      </c>
      <c r="J1299" s="154"/>
      <c r="K1299" s="150" t="str">
        <f>IF($E1299="","",INDEX(Input!$C$16:$CP$16,1,$B1299))</f>
        <v/>
      </c>
      <c r="L1299" s="150" t="str">
        <f>IF($E1299="","",Input!$C$37)</f>
        <v/>
      </c>
      <c r="M1299" s="150" t="str">
        <f t="shared" si="842"/>
        <v/>
      </c>
      <c r="N1299" s="150" t="str">
        <f t="shared" si="843"/>
        <v/>
      </c>
      <c r="O1299" s="147" t="str">
        <f>IF($E1299="","",MIN(VLOOKUP(IF($B1299&lt;=Input!$C$7,$B1299,26),'Mortality Tables'!$A$41:$CW$67,IF($B1299&lt;=Input!$C$7+1,Input!$C$4+2,$D1299-Input!$C$7+2),0)*IF(B1299&gt;20,Input!$C$22,1)/1000,1))</f>
        <v/>
      </c>
      <c r="P1299" s="147" t="str">
        <f>IF($E1299="","",MIN(VLOOKUP(IF($B1299&lt;=Input!$C$7,$B1299,26),'Mortality Tables'!$A$12:$CW$37,IF($B1299&lt;=Input!$C$7+1,Input!$C$4+2,$D1299-Input!$C$7+2),0)*IF(B1299&gt;20,Input!$C$22,1)/1000,1))</f>
        <v/>
      </c>
      <c r="Q1299" s="155" t="str">
        <f>IF($E1299="","",Input!$C$21)</f>
        <v/>
      </c>
      <c r="R1299" s="159" t="str">
        <f>IF($E1299="","",(1-Q1299)^($F1299-Input!$C$20))</f>
        <v/>
      </c>
      <c r="S1299" s="147" t="str">
        <f t="shared" si="831"/>
        <v/>
      </c>
      <c r="T1299" s="147" t="str">
        <f t="shared" si="832"/>
        <v/>
      </c>
      <c r="U1299" s="160" t="str">
        <f>IF($E1299="","",IF($C1299=12,INDEX(Input!$C$15:$CP$15,1,$B1299),0))</f>
        <v/>
      </c>
      <c r="V1299" s="150" t="str">
        <f>IF(E1299="","",IF(C1299=1,IF($B1299=1,Input!$C$33,Input!$C$34),0))</f>
        <v/>
      </c>
      <c r="W1299" s="156" t="str">
        <f>IF($E1299="","",Input!$C$35)</f>
        <v/>
      </c>
      <c r="X1299" s="156" t="str">
        <f t="shared" si="833"/>
        <v/>
      </c>
      <c r="Y1299" s="154"/>
      <c r="Z1299" s="147" t="str">
        <f>IF($E1299="","",VLOOKUP($D1299,'Mortality Margins &amp; Grading'!$AB$5:$AF$125,3,0)*IF(Summary!$D$25="Included Margin",IF(AND($B1299&gt;Input!$C$9,Summary!$D$31&lt;&gt;"Included Margin"),0,1),0))</f>
        <v/>
      </c>
      <c r="AA1299" s="147" t="str">
        <f>IF($E1299="","",VLOOKUP($D1299,'Mortality Margins &amp; Grading'!$AB$5:$AF$125,5,0)*IF(Summary!$D$25="Included Margin",IF(AND($B1299&gt;Input!$C$9,Summary!$D$31&lt;&gt;"Included Margin"),0,1),0))</f>
        <v/>
      </c>
      <c r="AB1299" s="147" t="str">
        <f>IF($E1299="","",IF(AND($B1299&gt;Input!$C$9,Summary!$D$31&lt;&gt;"Included Margin"),1,IF(Summary!$D$25="Included Margin",VLOOKUP($B1299,'Mortality Margins &amp; Grading'!$AI$5:$AR$125,MATCH('Mortality Margins &amp; Grading'!$AQ$4,'Mortality Margins &amp; Grading'!$AI$4:$AR$4,0),0),1)))</f>
        <v/>
      </c>
      <c r="AC1299" s="154"/>
      <c r="AD1299" s="158" t="str">
        <f>IF(E1299="","",Input!$C$48*IF(Summary!$D$30="Included Margin",IF(AND($B1299&gt;Input!$C$9,Summary!$D$31&lt;&gt;"Included Margin"),0,1),0))</f>
        <v/>
      </c>
      <c r="AE1299" s="159" t="str">
        <f>IF(E1299="","",IF(Summary!$D$26="Included Margin",IF(AND($B1299&gt;Input!$C$9,Summary!$D$31&lt;&gt;"Included Margin"),1,1/$R1299),1))</f>
        <v/>
      </c>
      <c r="AF1299" s="160" t="str">
        <f>IF(E1299="","",IF(AND($B1299&gt;=Input!$C$9,$C1299=12,Summary!$D$31="Included Margin",$U1299&gt;0),1/U1299-1,IF($B1299&gt;=Input!$C$9,0,Input!$C$45*IF(Summary!$D$27="Included Margin",1,0))))</f>
        <v/>
      </c>
      <c r="AG1299" s="160" t="str">
        <f>IF(E1299="","",Input!$C$46*IF(Summary!$D$28="Included Margin",IF(AND($B1299&gt;Input!$C$9,Summary!$D$31&lt;&gt;"Included Margin"),0,1),0))</f>
        <v/>
      </c>
      <c r="AH1299" s="158" t="str">
        <f>IF(E1299="","",Input!$C$47*IF(Summary!$D$29="Included Margin",IF(AND($B1299&gt;Input!$C$9,Summary!$D$31&lt;&gt;"Included Margin"),0,1),0))</f>
        <v/>
      </c>
      <c r="AI1299" s="154"/>
      <c r="AJ1299" s="158" t="str">
        <f t="shared" si="844"/>
        <v/>
      </c>
      <c r="AK1299" s="150" t="str">
        <f t="shared" si="845"/>
        <v/>
      </c>
      <c r="AL1299" s="147" t="str">
        <f t="shared" si="846"/>
        <v/>
      </c>
      <c r="AM1299" s="147" t="str">
        <f t="shared" si="834"/>
        <v/>
      </c>
      <c r="AN1299" s="160" t="str">
        <f t="shared" si="847"/>
        <v/>
      </c>
      <c r="AO1299" s="161" t="str">
        <f t="shared" si="848"/>
        <v/>
      </c>
      <c r="AP1299" s="156" t="str">
        <f t="shared" si="835"/>
        <v/>
      </c>
      <c r="AQ1299" s="152"/>
      <c r="AR1299" s="162" t="str">
        <f t="shared" si="836"/>
        <v/>
      </c>
      <c r="AS1299" s="150" t="str">
        <f t="shared" si="849"/>
        <v/>
      </c>
      <c r="AT1299" s="163" t="str">
        <f t="shared" si="837"/>
        <v/>
      </c>
      <c r="AU1299" s="163" t="str">
        <f t="shared" si="838"/>
        <v/>
      </c>
      <c r="AV1299" s="163" t="str">
        <f t="shared" si="850"/>
        <v/>
      </c>
      <c r="AW1299" s="163" t="str">
        <f t="shared" si="839"/>
        <v/>
      </c>
      <c r="AX1299" s="163" t="str">
        <f t="shared" si="840"/>
        <v/>
      </c>
      <c r="AY1299" s="150" t="str">
        <f t="shared" si="851"/>
        <v/>
      </c>
      <c r="AZ1299" s="150" t="str">
        <f>IF($E1299="","",IF(OR(AND($D1299=Input!$C$6,$C1299=12),$AN1299=1),0,-AS1300+AT1300+AU1300-AV1300-AW1300-AX1300+AZ1300))</f>
        <v/>
      </c>
      <c r="BA1299" s="154" t="str">
        <f t="shared" si="841"/>
        <v/>
      </c>
      <c r="BC1299" s="147" t="str">
        <f t="shared" si="852"/>
        <v/>
      </c>
      <c r="BD1299" s="164" t="str">
        <f>IF(AND($C1298=12,$D1298=Input!$C$6),0,IF($E1299="","",AT1299+(AU1299+BD1300)/(1+$AK1299)*MIN((1-AM1299-AN1299),1)))</f>
        <v/>
      </c>
      <c r="BH1299" s="152"/>
      <c r="BI1299" s="162" t="str">
        <f t="shared" si="825"/>
        <v/>
      </c>
      <c r="BJ1299" s="150" t="str">
        <f t="shared" si="826"/>
        <v/>
      </c>
      <c r="BK1299" s="163" t="str">
        <f t="shared" si="857"/>
        <v/>
      </c>
      <c r="BL1299" s="163" t="str">
        <f t="shared" si="827"/>
        <v/>
      </c>
      <c r="BM1299" s="163" t="str">
        <f t="shared" si="858"/>
        <v/>
      </c>
      <c r="BN1299" s="163" t="str">
        <f t="shared" si="828"/>
        <v/>
      </c>
      <c r="BO1299" s="163" t="str">
        <f t="shared" si="829"/>
        <v/>
      </c>
      <c r="BP1299" s="150" t="str">
        <f t="shared" si="859"/>
        <v/>
      </c>
      <c r="BQ1299" s="150" t="str">
        <f t="shared" si="853"/>
        <v/>
      </c>
      <c r="BR1299" s="154" t="str">
        <f t="shared" si="830"/>
        <v/>
      </c>
      <c r="BT1299" s="147"/>
    </row>
    <row r="1300" spans="1:72" s="150" customFormat="1" x14ac:dyDescent="0.25">
      <c r="A1300" s="150" t="str">
        <f t="shared" si="854"/>
        <v/>
      </c>
      <c r="B1300" s="150" t="str">
        <f t="shared" si="855"/>
        <v/>
      </c>
      <c r="C1300" s="150" t="str">
        <f t="shared" si="856"/>
        <v/>
      </c>
      <c r="D1300" s="150" t="str">
        <f>IF(E1300="","",Input!$C$4+B1300-1)</f>
        <v/>
      </c>
      <c r="E1300" s="150" t="str">
        <f>IF(OR(AND(C1299=12,D1299=Input!$C$6),E1299=""),"",1)</f>
        <v/>
      </c>
      <c r="G1300" s="151" t="str">
        <f>IF(E1300="","",MAX(0,Input!$C$9-B1300))</f>
        <v/>
      </c>
      <c r="H1300" s="152" t="str">
        <f>IF(E1300="","",Input!$C$3)</f>
        <v/>
      </c>
      <c r="I1300" s="153" t="str">
        <f>IF(E1300="","",HLOOKUP($B1300,Input!$C$13:$BT$14,2))</f>
        <v/>
      </c>
      <c r="J1300" s="154"/>
      <c r="K1300" s="150" t="str">
        <f>IF($E1300="","",INDEX(Input!$C$16:$CP$16,1,$B1300))</f>
        <v/>
      </c>
      <c r="L1300" s="150" t="str">
        <f>IF($E1300="","",Input!$C$37)</f>
        <v/>
      </c>
      <c r="M1300" s="150" t="str">
        <f t="shared" si="842"/>
        <v/>
      </c>
      <c r="N1300" s="150" t="str">
        <f t="shared" si="843"/>
        <v/>
      </c>
      <c r="O1300" s="147" t="str">
        <f>IF($E1300="","",MIN(VLOOKUP(IF($B1300&lt;=Input!$C$7,$B1300,26),'Mortality Tables'!$A$41:$CW$67,IF($B1300&lt;=Input!$C$7+1,Input!$C$4+2,$D1300-Input!$C$7+2),0)*IF(B1300&gt;20,Input!$C$22,1)/1000,1))</f>
        <v/>
      </c>
      <c r="P1300" s="147" t="str">
        <f>IF($E1300="","",MIN(VLOOKUP(IF($B1300&lt;=Input!$C$7,$B1300,26),'Mortality Tables'!$A$12:$CW$37,IF($B1300&lt;=Input!$C$7+1,Input!$C$4+2,$D1300-Input!$C$7+2),0)*IF(B1300&gt;20,Input!$C$22,1)/1000,1))</f>
        <v/>
      </c>
      <c r="Q1300" s="155" t="str">
        <f>IF($E1300="","",Input!$C$21)</f>
        <v/>
      </c>
      <c r="R1300" s="159" t="str">
        <f>IF($E1300="","",(1-Q1300)^($F1300-Input!$C$20))</f>
        <v/>
      </c>
      <c r="S1300" s="147" t="str">
        <f t="shared" si="831"/>
        <v/>
      </c>
      <c r="T1300" s="147" t="str">
        <f t="shared" si="832"/>
        <v/>
      </c>
      <c r="U1300" s="160" t="str">
        <f>IF($E1300="","",IF($C1300=12,INDEX(Input!$C$15:$CP$15,1,$B1300),0))</f>
        <v/>
      </c>
      <c r="V1300" s="150" t="str">
        <f>IF(E1300="","",IF(C1300=1,IF($B1300=1,Input!$C$33,Input!$C$34),0))</f>
        <v/>
      </c>
      <c r="W1300" s="156" t="str">
        <f>IF($E1300="","",Input!$C$35)</f>
        <v/>
      </c>
      <c r="X1300" s="156" t="str">
        <f t="shared" si="833"/>
        <v/>
      </c>
      <c r="Y1300" s="154"/>
      <c r="Z1300" s="147" t="str">
        <f>IF($E1300="","",VLOOKUP($D1300,'Mortality Margins &amp; Grading'!$AB$5:$AF$125,3,0)*IF(Summary!$D$25="Included Margin",IF(AND($B1300&gt;Input!$C$9,Summary!$D$31&lt;&gt;"Included Margin"),0,1),0))</f>
        <v/>
      </c>
      <c r="AA1300" s="147" t="str">
        <f>IF($E1300="","",VLOOKUP($D1300,'Mortality Margins &amp; Grading'!$AB$5:$AF$125,5,0)*IF(Summary!$D$25="Included Margin",IF(AND($B1300&gt;Input!$C$9,Summary!$D$31&lt;&gt;"Included Margin"),0,1),0))</f>
        <v/>
      </c>
      <c r="AB1300" s="147" t="str">
        <f>IF($E1300="","",IF(AND($B1300&gt;Input!$C$9,Summary!$D$31&lt;&gt;"Included Margin"),1,IF(Summary!$D$25="Included Margin",VLOOKUP($B1300,'Mortality Margins &amp; Grading'!$AI$5:$AR$125,MATCH('Mortality Margins &amp; Grading'!$AQ$4,'Mortality Margins &amp; Grading'!$AI$4:$AR$4,0),0),1)))</f>
        <v/>
      </c>
      <c r="AC1300" s="154"/>
      <c r="AD1300" s="158" t="str">
        <f>IF(E1300="","",Input!$C$48*IF(Summary!$D$30="Included Margin",IF(AND($B1300&gt;Input!$C$9,Summary!$D$31&lt;&gt;"Included Margin"),0,1),0))</f>
        <v/>
      </c>
      <c r="AE1300" s="159" t="str">
        <f>IF(E1300="","",IF(Summary!$D$26="Included Margin",IF(AND($B1300&gt;Input!$C$9,Summary!$D$31&lt;&gt;"Included Margin"),1,1/$R1300),1))</f>
        <v/>
      </c>
      <c r="AF1300" s="160" t="str">
        <f>IF(E1300="","",IF(AND($B1300&gt;=Input!$C$9,$C1300=12,Summary!$D$31="Included Margin",$U1300&gt;0),1/U1300-1,IF($B1300&gt;=Input!$C$9,0,Input!$C$45*IF(Summary!$D$27="Included Margin",1,0))))</f>
        <v/>
      </c>
      <c r="AG1300" s="160" t="str">
        <f>IF(E1300="","",Input!$C$46*IF(Summary!$D$28="Included Margin",IF(AND($B1300&gt;Input!$C$9,Summary!$D$31&lt;&gt;"Included Margin"),0,1),0))</f>
        <v/>
      </c>
      <c r="AH1300" s="158" t="str">
        <f>IF(E1300="","",Input!$C$47*IF(Summary!$D$29="Included Margin",IF(AND($B1300&gt;Input!$C$9,Summary!$D$31&lt;&gt;"Included Margin"),0,1),0))</f>
        <v/>
      </c>
      <c r="AI1300" s="154"/>
      <c r="AJ1300" s="158" t="str">
        <f t="shared" si="844"/>
        <v/>
      </c>
      <c r="AK1300" s="150" t="str">
        <f t="shared" si="845"/>
        <v/>
      </c>
      <c r="AL1300" s="147" t="str">
        <f t="shared" si="846"/>
        <v/>
      </c>
      <c r="AM1300" s="147" t="str">
        <f t="shared" si="834"/>
        <v/>
      </c>
      <c r="AN1300" s="160" t="str">
        <f t="shared" si="847"/>
        <v/>
      </c>
      <c r="AO1300" s="161" t="str">
        <f t="shared" si="848"/>
        <v/>
      </c>
      <c r="AP1300" s="156" t="str">
        <f t="shared" si="835"/>
        <v/>
      </c>
      <c r="AQ1300" s="152"/>
      <c r="AR1300" s="162" t="str">
        <f t="shared" si="836"/>
        <v/>
      </c>
      <c r="AS1300" s="150" t="str">
        <f t="shared" si="849"/>
        <v/>
      </c>
      <c r="AT1300" s="163" t="str">
        <f t="shared" si="837"/>
        <v/>
      </c>
      <c r="AU1300" s="163" t="str">
        <f t="shared" si="838"/>
        <v/>
      </c>
      <c r="AV1300" s="163" t="str">
        <f t="shared" si="850"/>
        <v/>
      </c>
      <c r="AW1300" s="163" t="str">
        <f t="shared" si="839"/>
        <v/>
      </c>
      <c r="AX1300" s="163" t="str">
        <f t="shared" si="840"/>
        <v/>
      </c>
      <c r="AY1300" s="150" t="str">
        <f t="shared" si="851"/>
        <v/>
      </c>
      <c r="AZ1300" s="150" t="str">
        <f>IF($E1300="","",IF(OR(AND($D1300=Input!$C$6,$C1300=12),$AN1300=1),0,-AS1301+AT1301+AU1301-AV1301-AW1301-AX1301+AZ1301))</f>
        <v/>
      </c>
      <c r="BA1300" s="154" t="str">
        <f t="shared" si="841"/>
        <v/>
      </c>
      <c r="BC1300" s="147" t="str">
        <f t="shared" si="852"/>
        <v/>
      </c>
      <c r="BD1300" s="164" t="str">
        <f>IF(AND($C1299=12,$D1299=Input!$C$6),0,IF($E1300="","",AT1300+(AU1300+BD1301)/(1+$AK1300)*MIN((1-AM1300-AN1300),1)))</f>
        <v/>
      </c>
      <c r="BH1300" s="152"/>
      <c r="BI1300" s="162" t="str">
        <f t="shared" si="825"/>
        <v/>
      </c>
      <c r="BJ1300" s="150" t="str">
        <f t="shared" si="826"/>
        <v/>
      </c>
      <c r="BK1300" s="163" t="str">
        <f t="shared" si="857"/>
        <v/>
      </c>
      <c r="BL1300" s="163" t="str">
        <f t="shared" si="827"/>
        <v/>
      </c>
      <c r="BM1300" s="163" t="str">
        <f t="shared" si="858"/>
        <v/>
      </c>
      <c r="BN1300" s="163" t="str">
        <f t="shared" si="828"/>
        <v/>
      </c>
      <c r="BO1300" s="163" t="str">
        <f t="shared" si="829"/>
        <v/>
      </c>
      <c r="BP1300" s="150" t="str">
        <f t="shared" si="859"/>
        <v/>
      </c>
      <c r="BQ1300" s="150" t="str">
        <f t="shared" si="853"/>
        <v/>
      </c>
      <c r="BR1300" s="154" t="str">
        <f t="shared" si="830"/>
        <v/>
      </c>
      <c r="BT1300" s="147"/>
    </row>
    <row r="1301" spans="1:72" s="150" customFormat="1" x14ac:dyDescent="0.25">
      <c r="A1301" s="150" t="str">
        <f t="shared" si="854"/>
        <v/>
      </c>
      <c r="B1301" s="150" t="str">
        <f t="shared" si="855"/>
        <v/>
      </c>
      <c r="C1301" s="150" t="str">
        <f t="shared" si="856"/>
        <v/>
      </c>
      <c r="D1301" s="150" t="str">
        <f>IF(E1301="","",Input!$C$4+B1301-1)</f>
        <v/>
      </c>
      <c r="E1301" s="150" t="str">
        <f>IF(OR(AND(C1300=12,D1300=Input!$C$6),E1300=""),"",1)</f>
        <v/>
      </c>
      <c r="G1301" s="151" t="str">
        <f>IF(E1301="","",MAX(0,Input!$C$9-B1301))</f>
        <v/>
      </c>
      <c r="H1301" s="152" t="str">
        <f>IF(E1301="","",Input!$C$3)</f>
        <v/>
      </c>
      <c r="I1301" s="153" t="str">
        <f>IF(E1301="","",HLOOKUP($B1301,Input!$C$13:$BT$14,2))</f>
        <v/>
      </c>
      <c r="J1301" s="154"/>
      <c r="K1301" s="150" t="str">
        <f>IF($E1301="","",INDEX(Input!$C$16:$CP$16,1,$B1301))</f>
        <v/>
      </c>
      <c r="L1301" s="150" t="str">
        <f>IF($E1301="","",Input!$C$37)</f>
        <v/>
      </c>
      <c r="M1301" s="150" t="str">
        <f t="shared" si="842"/>
        <v/>
      </c>
      <c r="N1301" s="150" t="str">
        <f t="shared" si="843"/>
        <v/>
      </c>
      <c r="O1301" s="147" t="str">
        <f>IF($E1301="","",MIN(VLOOKUP(IF($B1301&lt;=Input!$C$7,$B1301,26),'Mortality Tables'!$A$41:$CW$67,IF($B1301&lt;=Input!$C$7+1,Input!$C$4+2,$D1301-Input!$C$7+2),0)*IF(B1301&gt;20,Input!$C$22,1)/1000,1))</f>
        <v/>
      </c>
      <c r="P1301" s="147" t="str">
        <f>IF($E1301="","",MIN(VLOOKUP(IF($B1301&lt;=Input!$C$7,$B1301,26),'Mortality Tables'!$A$12:$CW$37,IF($B1301&lt;=Input!$C$7+1,Input!$C$4+2,$D1301-Input!$C$7+2),0)*IF(B1301&gt;20,Input!$C$22,1)/1000,1))</f>
        <v/>
      </c>
      <c r="Q1301" s="155" t="str">
        <f>IF($E1301="","",Input!$C$21)</f>
        <v/>
      </c>
      <c r="R1301" s="159" t="str">
        <f>IF($E1301="","",(1-Q1301)^($F1301-Input!$C$20))</f>
        <v/>
      </c>
      <c r="S1301" s="147" t="str">
        <f t="shared" si="831"/>
        <v/>
      </c>
      <c r="T1301" s="147" t="str">
        <f t="shared" si="832"/>
        <v/>
      </c>
      <c r="U1301" s="160" t="str">
        <f>IF($E1301="","",IF($C1301=12,INDEX(Input!$C$15:$CP$15,1,$B1301),0))</f>
        <v/>
      </c>
      <c r="V1301" s="150" t="str">
        <f>IF(E1301="","",IF(C1301=1,IF($B1301=1,Input!$C$33,Input!$C$34),0))</f>
        <v/>
      </c>
      <c r="W1301" s="156" t="str">
        <f>IF($E1301="","",Input!$C$35)</f>
        <v/>
      </c>
      <c r="X1301" s="156" t="str">
        <f t="shared" si="833"/>
        <v/>
      </c>
      <c r="Y1301" s="154"/>
      <c r="Z1301" s="147" t="str">
        <f>IF($E1301="","",VLOOKUP($D1301,'Mortality Margins &amp; Grading'!$AB$5:$AF$125,3,0)*IF(Summary!$D$25="Included Margin",IF(AND($B1301&gt;Input!$C$9,Summary!$D$31&lt;&gt;"Included Margin"),0,1),0))</f>
        <v/>
      </c>
      <c r="AA1301" s="147" t="str">
        <f>IF($E1301="","",VLOOKUP($D1301,'Mortality Margins &amp; Grading'!$AB$5:$AF$125,5,0)*IF(Summary!$D$25="Included Margin",IF(AND($B1301&gt;Input!$C$9,Summary!$D$31&lt;&gt;"Included Margin"),0,1),0))</f>
        <v/>
      </c>
      <c r="AB1301" s="147" t="str">
        <f>IF($E1301="","",IF(AND($B1301&gt;Input!$C$9,Summary!$D$31&lt;&gt;"Included Margin"),1,IF(Summary!$D$25="Included Margin",VLOOKUP($B1301,'Mortality Margins &amp; Grading'!$AI$5:$AR$125,MATCH('Mortality Margins &amp; Grading'!$AQ$4,'Mortality Margins &amp; Grading'!$AI$4:$AR$4,0),0),1)))</f>
        <v/>
      </c>
      <c r="AC1301" s="154"/>
      <c r="AD1301" s="158" t="str">
        <f>IF(E1301="","",Input!$C$48*IF(Summary!$D$30="Included Margin",IF(AND($B1301&gt;Input!$C$9,Summary!$D$31&lt;&gt;"Included Margin"),0,1),0))</f>
        <v/>
      </c>
      <c r="AE1301" s="159" t="str">
        <f>IF(E1301="","",IF(Summary!$D$26="Included Margin",IF(AND($B1301&gt;Input!$C$9,Summary!$D$31&lt;&gt;"Included Margin"),1,1/$R1301),1))</f>
        <v/>
      </c>
      <c r="AF1301" s="160" t="str">
        <f>IF(E1301="","",IF(AND($B1301&gt;=Input!$C$9,$C1301=12,Summary!$D$31="Included Margin",$U1301&gt;0),1/U1301-1,IF($B1301&gt;=Input!$C$9,0,Input!$C$45*IF(Summary!$D$27="Included Margin",1,0))))</f>
        <v/>
      </c>
      <c r="AG1301" s="160" t="str">
        <f>IF(E1301="","",Input!$C$46*IF(Summary!$D$28="Included Margin",IF(AND($B1301&gt;Input!$C$9,Summary!$D$31&lt;&gt;"Included Margin"),0,1),0))</f>
        <v/>
      </c>
      <c r="AH1301" s="158" t="str">
        <f>IF(E1301="","",Input!$C$47*IF(Summary!$D$29="Included Margin",IF(AND($B1301&gt;Input!$C$9,Summary!$D$31&lt;&gt;"Included Margin"),0,1),0))</f>
        <v/>
      </c>
      <c r="AI1301" s="154"/>
      <c r="AJ1301" s="158" t="str">
        <f t="shared" si="844"/>
        <v/>
      </c>
      <c r="AK1301" s="150" t="str">
        <f t="shared" si="845"/>
        <v/>
      </c>
      <c r="AL1301" s="147" t="str">
        <f t="shared" si="846"/>
        <v/>
      </c>
      <c r="AM1301" s="147" t="str">
        <f t="shared" si="834"/>
        <v/>
      </c>
      <c r="AN1301" s="160" t="str">
        <f t="shared" si="847"/>
        <v/>
      </c>
      <c r="AO1301" s="161" t="str">
        <f t="shared" si="848"/>
        <v/>
      </c>
      <c r="AP1301" s="156" t="str">
        <f t="shared" si="835"/>
        <v/>
      </c>
      <c r="AQ1301" s="152"/>
      <c r="AR1301" s="162" t="str">
        <f t="shared" si="836"/>
        <v/>
      </c>
      <c r="AS1301" s="150" t="str">
        <f t="shared" si="849"/>
        <v/>
      </c>
      <c r="AT1301" s="163" t="str">
        <f t="shared" si="837"/>
        <v/>
      </c>
      <c r="AU1301" s="163" t="str">
        <f t="shared" si="838"/>
        <v/>
      </c>
      <c r="AV1301" s="163" t="str">
        <f t="shared" si="850"/>
        <v/>
      </c>
      <c r="AW1301" s="163" t="str">
        <f t="shared" si="839"/>
        <v/>
      </c>
      <c r="AX1301" s="163" t="str">
        <f t="shared" si="840"/>
        <v/>
      </c>
      <c r="AY1301" s="150" t="str">
        <f t="shared" si="851"/>
        <v/>
      </c>
      <c r="AZ1301" s="150" t="str">
        <f>IF($E1301="","",IF(OR(AND($D1301=Input!$C$6,$C1301=12),$AN1301=1),0,-AS1302+AT1302+AU1302-AV1302-AW1302-AX1302+AZ1302))</f>
        <v/>
      </c>
      <c r="BA1301" s="154" t="str">
        <f t="shared" si="841"/>
        <v/>
      </c>
      <c r="BC1301" s="147" t="str">
        <f t="shared" si="852"/>
        <v/>
      </c>
      <c r="BD1301" s="164" t="str">
        <f>IF(AND($C1300=12,$D1300=Input!$C$6),0,IF($E1301="","",AT1301+(AU1301+BD1302)/(1+$AK1301)*MIN((1-AM1301-AN1301),1)))</f>
        <v/>
      </c>
      <c r="BH1301" s="152"/>
      <c r="BI1301" s="162" t="str">
        <f t="shared" si="825"/>
        <v/>
      </c>
      <c r="BJ1301" s="150" t="str">
        <f t="shared" si="826"/>
        <v/>
      </c>
      <c r="BK1301" s="163" t="str">
        <f t="shared" si="857"/>
        <v/>
      </c>
      <c r="BL1301" s="163" t="str">
        <f t="shared" si="827"/>
        <v/>
      </c>
      <c r="BM1301" s="163" t="str">
        <f t="shared" si="858"/>
        <v/>
      </c>
      <c r="BN1301" s="163" t="str">
        <f t="shared" si="828"/>
        <v/>
      </c>
      <c r="BO1301" s="163" t="str">
        <f t="shared" si="829"/>
        <v/>
      </c>
      <c r="BP1301" s="150" t="str">
        <f t="shared" si="859"/>
        <v/>
      </c>
      <c r="BQ1301" s="150" t="str">
        <f t="shared" si="853"/>
        <v/>
      </c>
      <c r="BR1301" s="154" t="str">
        <f t="shared" si="830"/>
        <v/>
      </c>
      <c r="BT1301" s="147"/>
    </row>
    <row r="1302" spans="1:72" s="150" customFormat="1" x14ac:dyDescent="0.25">
      <c r="A1302" s="150" t="str">
        <f t="shared" si="854"/>
        <v/>
      </c>
      <c r="B1302" s="150" t="str">
        <f t="shared" si="855"/>
        <v/>
      </c>
      <c r="C1302" s="150" t="str">
        <f t="shared" si="856"/>
        <v/>
      </c>
      <c r="D1302" s="150" t="str">
        <f>IF(E1302="","",Input!$C$4+B1302-1)</f>
        <v/>
      </c>
      <c r="E1302" s="150" t="str">
        <f>IF(OR(AND(C1301=12,D1301=Input!$C$6),E1301=""),"",1)</f>
        <v/>
      </c>
      <c r="G1302" s="151" t="str">
        <f>IF(E1302="","",MAX(0,Input!$C$9-B1302))</f>
        <v/>
      </c>
      <c r="H1302" s="152" t="str">
        <f>IF(E1302="","",Input!$C$3)</f>
        <v/>
      </c>
      <c r="I1302" s="153" t="str">
        <f>IF(E1302="","",HLOOKUP($B1302,Input!$C$13:$BT$14,2))</f>
        <v/>
      </c>
      <c r="J1302" s="154"/>
      <c r="K1302" s="150" t="str">
        <f>IF($E1302="","",INDEX(Input!$C$16:$CP$16,1,$B1302))</f>
        <v/>
      </c>
      <c r="L1302" s="150" t="str">
        <f>IF($E1302="","",Input!$C$37)</f>
        <v/>
      </c>
      <c r="M1302" s="150" t="str">
        <f t="shared" si="842"/>
        <v/>
      </c>
      <c r="N1302" s="150" t="str">
        <f t="shared" si="843"/>
        <v/>
      </c>
      <c r="O1302" s="147" t="str">
        <f>IF($E1302="","",MIN(VLOOKUP(IF($B1302&lt;=Input!$C$7,$B1302,26),'Mortality Tables'!$A$41:$CW$67,IF($B1302&lt;=Input!$C$7+1,Input!$C$4+2,$D1302-Input!$C$7+2),0)*IF(B1302&gt;20,Input!$C$22,1)/1000,1))</f>
        <v/>
      </c>
      <c r="P1302" s="147" t="str">
        <f>IF($E1302="","",MIN(VLOOKUP(IF($B1302&lt;=Input!$C$7,$B1302,26),'Mortality Tables'!$A$12:$CW$37,IF($B1302&lt;=Input!$C$7+1,Input!$C$4+2,$D1302-Input!$C$7+2),0)*IF(B1302&gt;20,Input!$C$22,1)/1000,1))</f>
        <v/>
      </c>
      <c r="Q1302" s="155" t="str">
        <f>IF($E1302="","",Input!$C$21)</f>
        <v/>
      </c>
      <c r="R1302" s="159" t="str">
        <f>IF($E1302="","",(1-Q1302)^($F1302-Input!$C$20))</f>
        <v/>
      </c>
      <c r="S1302" s="147" t="str">
        <f t="shared" si="831"/>
        <v/>
      </c>
      <c r="T1302" s="147" t="str">
        <f t="shared" si="832"/>
        <v/>
      </c>
      <c r="U1302" s="160" t="str">
        <f>IF($E1302="","",IF($C1302=12,INDEX(Input!$C$15:$CP$15,1,$B1302),0))</f>
        <v/>
      </c>
      <c r="V1302" s="150" t="str">
        <f>IF(E1302="","",IF(C1302=1,IF($B1302=1,Input!$C$33,Input!$C$34),0))</f>
        <v/>
      </c>
      <c r="W1302" s="156" t="str">
        <f>IF($E1302="","",Input!$C$35)</f>
        <v/>
      </c>
      <c r="X1302" s="156" t="str">
        <f t="shared" si="833"/>
        <v/>
      </c>
      <c r="Y1302" s="154"/>
      <c r="Z1302" s="147" t="str">
        <f>IF($E1302="","",VLOOKUP($D1302,'Mortality Margins &amp; Grading'!$AB$5:$AF$125,3,0)*IF(Summary!$D$25="Included Margin",IF(AND($B1302&gt;Input!$C$9,Summary!$D$31&lt;&gt;"Included Margin"),0,1),0))</f>
        <v/>
      </c>
      <c r="AA1302" s="147" t="str">
        <f>IF($E1302="","",VLOOKUP($D1302,'Mortality Margins &amp; Grading'!$AB$5:$AF$125,5,0)*IF(Summary!$D$25="Included Margin",IF(AND($B1302&gt;Input!$C$9,Summary!$D$31&lt;&gt;"Included Margin"),0,1),0))</f>
        <v/>
      </c>
      <c r="AB1302" s="147" t="str">
        <f>IF($E1302="","",IF(AND($B1302&gt;Input!$C$9,Summary!$D$31&lt;&gt;"Included Margin"),1,IF(Summary!$D$25="Included Margin",VLOOKUP($B1302,'Mortality Margins &amp; Grading'!$AI$5:$AR$125,MATCH('Mortality Margins &amp; Grading'!$AQ$4,'Mortality Margins &amp; Grading'!$AI$4:$AR$4,0),0),1)))</f>
        <v/>
      </c>
      <c r="AC1302" s="154"/>
      <c r="AD1302" s="158" t="str">
        <f>IF(E1302="","",Input!$C$48*IF(Summary!$D$30="Included Margin",IF(AND($B1302&gt;Input!$C$9,Summary!$D$31&lt;&gt;"Included Margin"),0,1),0))</f>
        <v/>
      </c>
      <c r="AE1302" s="159" t="str">
        <f>IF(E1302="","",IF(Summary!$D$26="Included Margin",IF(AND($B1302&gt;Input!$C$9,Summary!$D$31&lt;&gt;"Included Margin"),1,1/$R1302),1))</f>
        <v/>
      </c>
      <c r="AF1302" s="160" t="str">
        <f>IF(E1302="","",IF(AND($B1302&gt;=Input!$C$9,$C1302=12,Summary!$D$31="Included Margin",$U1302&gt;0),1/U1302-1,IF($B1302&gt;=Input!$C$9,0,Input!$C$45*IF(Summary!$D$27="Included Margin",1,0))))</f>
        <v/>
      </c>
      <c r="AG1302" s="160" t="str">
        <f>IF(E1302="","",Input!$C$46*IF(Summary!$D$28="Included Margin",IF(AND($B1302&gt;Input!$C$9,Summary!$D$31&lt;&gt;"Included Margin"),0,1),0))</f>
        <v/>
      </c>
      <c r="AH1302" s="158" t="str">
        <f>IF(E1302="","",Input!$C$47*IF(Summary!$D$29="Included Margin",IF(AND($B1302&gt;Input!$C$9,Summary!$D$31&lt;&gt;"Included Margin"),0,1),0))</f>
        <v/>
      </c>
      <c r="AI1302" s="154"/>
      <c r="AJ1302" s="158" t="str">
        <f t="shared" si="844"/>
        <v/>
      </c>
      <c r="AK1302" s="150" t="str">
        <f t="shared" si="845"/>
        <v/>
      </c>
      <c r="AL1302" s="147" t="str">
        <f t="shared" si="846"/>
        <v/>
      </c>
      <c r="AM1302" s="147" t="str">
        <f t="shared" si="834"/>
        <v/>
      </c>
      <c r="AN1302" s="160" t="str">
        <f t="shared" si="847"/>
        <v/>
      </c>
      <c r="AO1302" s="161" t="str">
        <f t="shared" si="848"/>
        <v/>
      </c>
      <c r="AP1302" s="156" t="str">
        <f t="shared" si="835"/>
        <v/>
      </c>
      <c r="AQ1302" s="152"/>
      <c r="AR1302" s="162" t="str">
        <f t="shared" si="836"/>
        <v/>
      </c>
      <c r="AS1302" s="150" t="str">
        <f t="shared" si="849"/>
        <v/>
      </c>
      <c r="AT1302" s="163" t="str">
        <f t="shared" si="837"/>
        <v/>
      </c>
      <c r="AU1302" s="163" t="str">
        <f t="shared" si="838"/>
        <v/>
      </c>
      <c r="AV1302" s="163" t="str">
        <f t="shared" si="850"/>
        <v/>
      </c>
      <c r="AW1302" s="163" t="str">
        <f t="shared" si="839"/>
        <v/>
      </c>
      <c r="AX1302" s="163" t="str">
        <f t="shared" si="840"/>
        <v/>
      </c>
      <c r="AY1302" s="150" t="str">
        <f t="shared" si="851"/>
        <v/>
      </c>
      <c r="AZ1302" s="150" t="str">
        <f>IF($E1302="","",IF(OR(AND($D1302=Input!$C$6,$C1302=12),$AN1302=1),0,-AS1303+AT1303+AU1303-AV1303-AW1303-AX1303+AZ1303))</f>
        <v/>
      </c>
      <c r="BA1302" s="154" t="str">
        <f t="shared" si="841"/>
        <v/>
      </c>
      <c r="BC1302" s="147" t="str">
        <f t="shared" si="852"/>
        <v/>
      </c>
      <c r="BD1302" s="164" t="str">
        <f>IF(AND($C1301=12,$D1301=Input!$C$6),0,IF($E1302="","",AT1302+(AU1302+BD1303)/(1+$AK1302)*MIN((1-AM1302-AN1302),1)))</f>
        <v/>
      </c>
      <c r="BH1302" s="152"/>
      <c r="BI1302" s="162" t="str">
        <f t="shared" ref="BI1302:BI1365" si="860">IF($E1302="","",(BQ1302*(1-$U1302)*(1-$T1302)/(1+$N1302)+BL1302/(1+$N1302/2)-BJ1302+BK1302))</f>
        <v/>
      </c>
      <c r="BJ1302" s="150" t="str">
        <f t="shared" ref="BJ1302:BJ1365" si="861">IF($E1302="","",AS1302)</f>
        <v/>
      </c>
      <c r="BK1302" s="163" t="str">
        <f t="shared" si="857"/>
        <v/>
      </c>
      <c r="BL1302" s="163" t="str">
        <f t="shared" ref="BL1302:BL1365" si="862">IF(E1302="","",$T1302*$H1302)</f>
        <v/>
      </c>
      <c r="BM1302" s="163" t="str">
        <f t="shared" si="858"/>
        <v/>
      </c>
      <c r="BN1302" s="163" t="str">
        <f t="shared" ref="BN1302:BN1365" si="863">IF($E1302="","",BQ1302*$T1302)</f>
        <v/>
      </c>
      <c r="BO1302" s="163" t="str">
        <f t="shared" ref="BO1302:BO1365" si="864">IF($E1302="","",$U1302*BQ1302*(1-$T1302))</f>
        <v/>
      </c>
      <c r="BP1302" s="150" t="str">
        <f t="shared" si="859"/>
        <v/>
      </c>
      <c r="BQ1302" s="150" t="str">
        <f t="shared" si="853"/>
        <v/>
      </c>
      <c r="BR1302" s="154" t="str">
        <f t="shared" ref="BR1302:BR1365" si="865">IF(E1302="","",BQ1302-BP1302)</f>
        <v/>
      </c>
      <c r="BT1302" s="147"/>
    </row>
    <row r="1303" spans="1:72" s="150" customFormat="1" x14ac:dyDescent="0.25">
      <c r="A1303" s="150" t="str">
        <f t="shared" si="854"/>
        <v/>
      </c>
      <c r="B1303" s="150" t="str">
        <f t="shared" si="855"/>
        <v/>
      </c>
      <c r="C1303" s="150" t="str">
        <f t="shared" si="856"/>
        <v/>
      </c>
      <c r="D1303" s="150" t="str">
        <f>IF(E1303="","",Input!$C$4+B1303-1)</f>
        <v/>
      </c>
      <c r="E1303" s="150" t="str">
        <f>IF(OR(AND(C1302=12,D1302=Input!$C$6),E1302=""),"",1)</f>
        <v/>
      </c>
      <c r="G1303" s="151" t="str">
        <f>IF(E1303="","",MAX(0,Input!$C$9-B1303))</f>
        <v/>
      </c>
      <c r="H1303" s="152" t="str">
        <f>IF(E1303="","",Input!$C$3)</f>
        <v/>
      </c>
      <c r="I1303" s="153" t="str">
        <f>IF(E1303="","",HLOOKUP($B1303,Input!$C$13:$BT$14,2))</f>
        <v/>
      </c>
      <c r="J1303" s="154"/>
      <c r="K1303" s="150" t="str">
        <f>IF($E1303="","",INDEX(Input!$C$16:$CP$16,1,$B1303))</f>
        <v/>
      </c>
      <c r="L1303" s="150" t="str">
        <f>IF($E1303="","",Input!$C$37)</f>
        <v/>
      </c>
      <c r="M1303" s="150" t="str">
        <f t="shared" si="842"/>
        <v/>
      </c>
      <c r="N1303" s="150" t="str">
        <f t="shared" si="843"/>
        <v/>
      </c>
      <c r="O1303" s="147" t="str">
        <f>IF($E1303="","",MIN(VLOOKUP(IF($B1303&lt;=Input!$C$7,$B1303,26),'Mortality Tables'!$A$41:$CW$67,IF($B1303&lt;=Input!$C$7+1,Input!$C$4+2,$D1303-Input!$C$7+2),0)*IF(B1303&gt;20,Input!$C$22,1)/1000,1))</f>
        <v/>
      </c>
      <c r="P1303" s="147" t="str">
        <f>IF($E1303="","",MIN(VLOOKUP(IF($B1303&lt;=Input!$C$7,$B1303,26),'Mortality Tables'!$A$12:$CW$37,IF($B1303&lt;=Input!$C$7+1,Input!$C$4+2,$D1303-Input!$C$7+2),0)*IF(B1303&gt;20,Input!$C$22,1)/1000,1))</f>
        <v/>
      </c>
      <c r="Q1303" s="155" t="str">
        <f>IF($E1303="","",Input!$C$21)</f>
        <v/>
      </c>
      <c r="R1303" s="159" t="str">
        <f>IF($E1303="","",(1-Q1303)^($F1303-Input!$C$20))</f>
        <v/>
      </c>
      <c r="S1303" s="147" t="str">
        <f t="shared" si="831"/>
        <v/>
      </c>
      <c r="T1303" s="147" t="str">
        <f t="shared" si="832"/>
        <v/>
      </c>
      <c r="U1303" s="160" t="str">
        <f>IF($E1303="","",IF($C1303=12,INDEX(Input!$C$15:$CP$15,1,$B1303),0))</f>
        <v/>
      </c>
      <c r="V1303" s="150" t="str">
        <f>IF(E1303="","",IF(C1303=1,IF($B1303=1,Input!$C$33,Input!$C$34),0))</f>
        <v/>
      </c>
      <c r="W1303" s="156" t="str">
        <f>IF($E1303="","",Input!$C$35)</f>
        <v/>
      </c>
      <c r="X1303" s="156" t="str">
        <f t="shared" si="833"/>
        <v/>
      </c>
      <c r="Y1303" s="154"/>
      <c r="Z1303" s="147" t="str">
        <f>IF($E1303="","",VLOOKUP($D1303,'Mortality Margins &amp; Grading'!$AB$5:$AF$125,3,0)*IF(Summary!$D$25="Included Margin",IF(AND($B1303&gt;Input!$C$9,Summary!$D$31&lt;&gt;"Included Margin"),0,1),0))</f>
        <v/>
      </c>
      <c r="AA1303" s="147" t="str">
        <f>IF($E1303="","",VLOOKUP($D1303,'Mortality Margins &amp; Grading'!$AB$5:$AF$125,5,0)*IF(Summary!$D$25="Included Margin",IF(AND($B1303&gt;Input!$C$9,Summary!$D$31&lt;&gt;"Included Margin"),0,1),0))</f>
        <v/>
      </c>
      <c r="AB1303" s="147" t="str">
        <f>IF($E1303="","",IF(AND($B1303&gt;Input!$C$9,Summary!$D$31&lt;&gt;"Included Margin"),1,IF(Summary!$D$25="Included Margin",VLOOKUP($B1303,'Mortality Margins &amp; Grading'!$AI$5:$AR$125,MATCH('Mortality Margins &amp; Grading'!$AQ$4,'Mortality Margins &amp; Grading'!$AI$4:$AR$4,0),0),1)))</f>
        <v/>
      </c>
      <c r="AC1303" s="154"/>
      <c r="AD1303" s="158" t="str">
        <f>IF(E1303="","",Input!$C$48*IF(Summary!$D$30="Included Margin",IF(AND($B1303&gt;Input!$C$9,Summary!$D$31&lt;&gt;"Included Margin"),0,1),0))</f>
        <v/>
      </c>
      <c r="AE1303" s="159" t="str">
        <f>IF(E1303="","",IF(Summary!$D$26="Included Margin",IF(AND($B1303&gt;Input!$C$9,Summary!$D$31&lt;&gt;"Included Margin"),1,1/$R1303),1))</f>
        <v/>
      </c>
      <c r="AF1303" s="160" t="str">
        <f>IF(E1303="","",IF(AND($B1303&gt;=Input!$C$9,$C1303=12,Summary!$D$31="Included Margin",$U1303&gt;0),1/U1303-1,IF($B1303&gt;=Input!$C$9,0,Input!$C$45*IF(Summary!$D$27="Included Margin",1,0))))</f>
        <v/>
      </c>
      <c r="AG1303" s="160" t="str">
        <f>IF(E1303="","",Input!$C$46*IF(Summary!$D$28="Included Margin",IF(AND($B1303&gt;Input!$C$9,Summary!$D$31&lt;&gt;"Included Margin"),0,1),0))</f>
        <v/>
      </c>
      <c r="AH1303" s="158" t="str">
        <f>IF(E1303="","",Input!$C$47*IF(Summary!$D$29="Included Margin",IF(AND($B1303&gt;Input!$C$9,Summary!$D$31&lt;&gt;"Included Margin"),0,1),0))</f>
        <v/>
      </c>
      <c r="AI1303" s="154"/>
      <c r="AJ1303" s="158" t="str">
        <f t="shared" si="844"/>
        <v/>
      </c>
      <c r="AK1303" s="150" t="str">
        <f t="shared" si="845"/>
        <v/>
      </c>
      <c r="AL1303" s="147" t="str">
        <f t="shared" si="846"/>
        <v/>
      </c>
      <c r="AM1303" s="147" t="str">
        <f t="shared" si="834"/>
        <v/>
      </c>
      <c r="AN1303" s="160" t="str">
        <f t="shared" si="847"/>
        <v/>
      </c>
      <c r="AO1303" s="161" t="str">
        <f t="shared" si="848"/>
        <v/>
      </c>
      <c r="AP1303" s="156" t="str">
        <f t="shared" si="835"/>
        <v/>
      </c>
      <c r="AQ1303" s="152"/>
      <c r="AR1303" s="162" t="str">
        <f t="shared" si="836"/>
        <v/>
      </c>
      <c r="AS1303" s="150" t="str">
        <f t="shared" si="849"/>
        <v/>
      </c>
      <c r="AT1303" s="163" t="str">
        <f t="shared" si="837"/>
        <v/>
      </c>
      <c r="AU1303" s="163" t="str">
        <f t="shared" si="838"/>
        <v/>
      </c>
      <c r="AV1303" s="163" t="str">
        <f t="shared" si="850"/>
        <v/>
      </c>
      <c r="AW1303" s="163" t="str">
        <f t="shared" si="839"/>
        <v/>
      </c>
      <c r="AX1303" s="163" t="str">
        <f t="shared" si="840"/>
        <v/>
      </c>
      <c r="AY1303" s="150" t="str">
        <f t="shared" si="851"/>
        <v/>
      </c>
      <c r="AZ1303" s="150" t="str">
        <f>IF($E1303="","",IF(OR(AND($D1303=Input!$C$6,$C1303=12),$AN1303=1),0,-AS1304+AT1304+AU1304-AV1304-AW1304-AX1304+AZ1304))</f>
        <v/>
      </c>
      <c r="BA1303" s="154" t="str">
        <f t="shared" si="841"/>
        <v/>
      </c>
      <c r="BC1303" s="147" t="str">
        <f t="shared" si="852"/>
        <v/>
      </c>
      <c r="BD1303" s="164" t="str">
        <f>IF(AND($C1302=12,$D1302=Input!$C$6),0,IF($E1303="","",AT1303+(AU1303+BD1304)/(1+$AK1303)*MIN((1-AM1303-AN1303),1)))</f>
        <v/>
      </c>
      <c r="BH1303" s="152"/>
      <c r="BI1303" s="162" t="str">
        <f t="shared" si="860"/>
        <v/>
      </c>
      <c r="BJ1303" s="150" t="str">
        <f t="shared" si="861"/>
        <v/>
      </c>
      <c r="BK1303" s="163" t="str">
        <f t="shared" si="857"/>
        <v/>
      </c>
      <c r="BL1303" s="163" t="str">
        <f t="shared" si="862"/>
        <v/>
      </c>
      <c r="BM1303" s="163" t="str">
        <f t="shared" si="858"/>
        <v/>
      </c>
      <c r="BN1303" s="163" t="str">
        <f t="shared" si="863"/>
        <v/>
      </c>
      <c r="BO1303" s="163" t="str">
        <f t="shared" si="864"/>
        <v/>
      </c>
      <c r="BP1303" s="150" t="str">
        <f t="shared" si="859"/>
        <v/>
      </c>
      <c r="BQ1303" s="150" t="str">
        <f t="shared" si="853"/>
        <v/>
      </c>
      <c r="BR1303" s="154" t="str">
        <f t="shared" si="865"/>
        <v/>
      </c>
      <c r="BT1303" s="147"/>
    </row>
    <row r="1304" spans="1:72" s="150" customFormat="1" x14ac:dyDescent="0.25">
      <c r="A1304" s="150" t="str">
        <f t="shared" si="854"/>
        <v/>
      </c>
      <c r="B1304" s="150" t="str">
        <f t="shared" si="855"/>
        <v/>
      </c>
      <c r="C1304" s="150" t="str">
        <f t="shared" si="856"/>
        <v/>
      </c>
      <c r="D1304" s="150" t="str">
        <f>IF(E1304="","",Input!$C$4+B1304-1)</f>
        <v/>
      </c>
      <c r="E1304" s="150" t="str">
        <f>IF(OR(AND(C1303=12,D1303=Input!$C$6),E1303=""),"",1)</f>
        <v/>
      </c>
      <c r="G1304" s="151" t="str">
        <f>IF(E1304="","",MAX(0,Input!$C$9-B1304))</f>
        <v/>
      </c>
      <c r="H1304" s="152" t="str">
        <f>IF(E1304="","",Input!$C$3)</f>
        <v/>
      </c>
      <c r="I1304" s="153" t="str">
        <f>IF(E1304="","",HLOOKUP($B1304,Input!$C$13:$BT$14,2))</f>
        <v/>
      </c>
      <c r="J1304" s="154"/>
      <c r="K1304" s="150" t="str">
        <f>IF($E1304="","",INDEX(Input!$C$16:$CP$16,1,$B1304))</f>
        <v/>
      </c>
      <c r="L1304" s="150" t="str">
        <f>IF($E1304="","",Input!$C$37)</f>
        <v/>
      </c>
      <c r="M1304" s="150" t="str">
        <f t="shared" si="842"/>
        <v/>
      </c>
      <c r="N1304" s="150" t="str">
        <f t="shared" si="843"/>
        <v/>
      </c>
      <c r="O1304" s="147" t="str">
        <f>IF($E1304="","",MIN(VLOOKUP(IF($B1304&lt;=Input!$C$7,$B1304,26),'Mortality Tables'!$A$41:$CW$67,IF($B1304&lt;=Input!$C$7+1,Input!$C$4+2,$D1304-Input!$C$7+2),0)*IF(B1304&gt;20,Input!$C$22,1)/1000,1))</f>
        <v/>
      </c>
      <c r="P1304" s="147" t="str">
        <f>IF($E1304="","",MIN(VLOOKUP(IF($B1304&lt;=Input!$C$7,$B1304,26),'Mortality Tables'!$A$12:$CW$37,IF($B1304&lt;=Input!$C$7+1,Input!$C$4+2,$D1304-Input!$C$7+2),0)*IF(B1304&gt;20,Input!$C$22,1)/1000,1))</f>
        <v/>
      </c>
      <c r="Q1304" s="155" t="str">
        <f>IF($E1304="","",Input!$C$21)</f>
        <v/>
      </c>
      <c r="R1304" s="159" t="str">
        <f>IF($E1304="","",(1-Q1304)^($F1304-Input!$C$20))</f>
        <v/>
      </c>
      <c r="S1304" s="147" t="str">
        <f t="shared" si="831"/>
        <v/>
      </c>
      <c r="T1304" s="147" t="str">
        <f t="shared" si="832"/>
        <v/>
      </c>
      <c r="U1304" s="160" t="str">
        <f>IF($E1304="","",IF($C1304=12,INDEX(Input!$C$15:$CP$15,1,$B1304),0))</f>
        <v/>
      </c>
      <c r="V1304" s="150" t="str">
        <f>IF(E1304="","",IF(C1304=1,IF($B1304=1,Input!$C$33,Input!$C$34),0))</f>
        <v/>
      </c>
      <c r="W1304" s="156" t="str">
        <f>IF($E1304="","",Input!$C$35)</f>
        <v/>
      </c>
      <c r="X1304" s="156" t="str">
        <f t="shared" si="833"/>
        <v/>
      </c>
      <c r="Y1304" s="154"/>
      <c r="Z1304" s="147" t="str">
        <f>IF($E1304="","",VLOOKUP($D1304,'Mortality Margins &amp; Grading'!$AB$5:$AF$125,3,0)*IF(Summary!$D$25="Included Margin",IF(AND($B1304&gt;Input!$C$9,Summary!$D$31&lt;&gt;"Included Margin"),0,1),0))</f>
        <v/>
      </c>
      <c r="AA1304" s="147" t="str">
        <f>IF($E1304="","",VLOOKUP($D1304,'Mortality Margins &amp; Grading'!$AB$5:$AF$125,5,0)*IF(Summary!$D$25="Included Margin",IF(AND($B1304&gt;Input!$C$9,Summary!$D$31&lt;&gt;"Included Margin"),0,1),0))</f>
        <v/>
      </c>
      <c r="AB1304" s="147" t="str">
        <f>IF($E1304="","",IF(AND($B1304&gt;Input!$C$9,Summary!$D$31&lt;&gt;"Included Margin"),1,IF(Summary!$D$25="Included Margin",VLOOKUP($B1304,'Mortality Margins &amp; Grading'!$AI$5:$AR$125,MATCH('Mortality Margins &amp; Grading'!$AQ$4,'Mortality Margins &amp; Grading'!$AI$4:$AR$4,0),0),1)))</f>
        <v/>
      </c>
      <c r="AC1304" s="154"/>
      <c r="AD1304" s="158" t="str">
        <f>IF(E1304="","",Input!$C$48*IF(Summary!$D$30="Included Margin",IF(AND($B1304&gt;Input!$C$9,Summary!$D$31&lt;&gt;"Included Margin"),0,1),0))</f>
        <v/>
      </c>
      <c r="AE1304" s="159" t="str">
        <f>IF(E1304="","",IF(Summary!$D$26="Included Margin",IF(AND($B1304&gt;Input!$C$9,Summary!$D$31&lt;&gt;"Included Margin"),1,1/$R1304),1))</f>
        <v/>
      </c>
      <c r="AF1304" s="160" t="str">
        <f>IF(E1304="","",IF(AND($B1304&gt;=Input!$C$9,$C1304=12,Summary!$D$31="Included Margin",$U1304&gt;0),1/U1304-1,IF($B1304&gt;=Input!$C$9,0,Input!$C$45*IF(Summary!$D$27="Included Margin",1,0))))</f>
        <v/>
      </c>
      <c r="AG1304" s="160" t="str">
        <f>IF(E1304="","",Input!$C$46*IF(Summary!$D$28="Included Margin",IF(AND($B1304&gt;Input!$C$9,Summary!$D$31&lt;&gt;"Included Margin"),0,1),0))</f>
        <v/>
      </c>
      <c r="AH1304" s="158" t="str">
        <f>IF(E1304="","",Input!$C$47*IF(Summary!$D$29="Included Margin",IF(AND($B1304&gt;Input!$C$9,Summary!$D$31&lt;&gt;"Included Margin"),0,1),0))</f>
        <v/>
      </c>
      <c r="AI1304" s="154"/>
      <c r="AJ1304" s="158" t="str">
        <f t="shared" si="844"/>
        <v/>
      </c>
      <c r="AK1304" s="150" t="str">
        <f t="shared" si="845"/>
        <v/>
      </c>
      <c r="AL1304" s="147" t="str">
        <f t="shared" si="846"/>
        <v/>
      </c>
      <c r="AM1304" s="147" t="str">
        <f t="shared" si="834"/>
        <v/>
      </c>
      <c r="AN1304" s="160" t="str">
        <f t="shared" si="847"/>
        <v/>
      </c>
      <c r="AO1304" s="161" t="str">
        <f t="shared" si="848"/>
        <v/>
      </c>
      <c r="AP1304" s="156" t="str">
        <f t="shared" si="835"/>
        <v/>
      </c>
      <c r="AQ1304" s="152"/>
      <c r="AR1304" s="162" t="str">
        <f t="shared" si="836"/>
        <v/>
      </c>
      <c r="AS1304" s="150" t="str">
        <f t="shared" si="849"/>
        <v/>
      </c>
      <c r="AT1304" s="163" t="str">
        <f t="shared" si="837"/>
        <v/>
      </c>
      <c r="AU1304" s="163" t="str">
        <f t="shared" si="838"/>
        <v/>
      </c>
      <c r="AV1304" s="163" t="str">
        <f t="shared" si="850"/>
        <v/>
      </c>
      <c r="AW1304" s="163" t="str">
        <f t="shared" si="839"/>
        <v/>
      </c>
      <c r="AX1304" s="163" t="str">
        <f t="shared" si="840"/>
        <v/>
      </c>
      <c r="AY1304" s="150" t="str">
        <f t="shared" si="851"/>
        <v/>
      </c>
      <c r="AZ1304" s="150" t="str">
        <f>IF($E1304="","",IF(OR(AND($D1304=Input!$C$6,$C1304=12),$AN1304=1),0,-AS1305+AT1305+AU1305-AV1305-AW1305-AX1305+AZ1305))</f>
        <v/>
      </c>
      <c r="BA1304" s="154" t="str">
        <f t="shared" si="841"/>
        <v/>
      </c>
      <c r="BC1304" s="147" t="str">
        <f t="shared" si="852"/>
        <v/>
      </c>
      <c r="BD1304" s="164" t="str">
        <f>IF(AND($C1303=12,$D1303=Input!$C$6),0,IF($E1304="","",AT1304+(AU1304+BD1305)/(1+$AK1304)*MIN((1-AM1304-AN1304),1)))</f>
        <v/>
      </c>
      <c r="BH1304" s="152"/>
      <c r="BI1304" s="162" t="str">
        <f t="shared" si="860"/>
        <v/>
      </c>
      <c r="BJ1304" s="150" t="str">
        <f t="shared" si="861"/>
        <v/>
      </c>
      <c r="BK1304" s="163" t="str">
        <f t="shared" si="857"/>
        <v/>
      </c>
      <c r="BL1304" s="163" t="str">
        <f t="shared" si="862"/>
        <v/>
      </c>
      <c r="BM1304" s="163" t="str">
        <f t="shared" si="858"/>
        <v/>
      </c>
      <c r="BN1304" s="163" t="str">
        <f t="shared" si="863"/>
        <v/>
      </c>
      <c r="BO1304" s="163" t="str">
        <f t="shared" si="864"/>
        <v/>
      </c>
      <c r="BP1304" s="150" t="str">
        <f t="shared" si="859"/>
        <v/>
      </c>
      <c r="BQ1304" s="150" t="str">
        <f t="shared" si="853"/>
        <v/>
      </c>
      <c r="BR1304" s="154" t="str">
        <f t="shared" si="865"/>
        <v/>
      </c>
      <c r="BT1304" s="147"/>
    </row>
    <row r="1305" spans="1:72" s="150" customFormat="1" x14ac:dyDescent="0.25">
      <c r="A1305" s="150" t="str">
        <f t="shared" si="854"/>
        <v/>
      </c>
      <c r="B1305" s="150" t="str">
        <f t="shared" si="855"/>
        <v/>
      </c>
      <c r="C1305" s="150" t="str">
        <f t="shared" si="856"/>
        <v/>
      </c>
      <c r="D1305" s="150" t="str">
        <f>IF(E1305="","",Input!$C$4+B1305-1)</f>
        <v/>
      </c>
      <c r="E1305" s="150" t="str">
        <f>IF(OR(AND(C1304=12,D1304=Input!$C$6),E1304=""),"",1)</f>
        <v/>
      </c>
      <c r="G1305" s="151" t="str">
        <f>IF(E1305="","",MAX(0,Input!$C$9-B1305))</f>
        <v/>
      </c>
      <c r="H1305" s="152" t="str">
        <f>IF(E1305="","",Input!$C$3)</f>
        <v/>
      </c>
      <c r="I1305" s="153" t="str">
        <f>IF(E1305="","",HLOOKUP($B1305,Input!$C$13:$BT$14,2))</f>
        <v/>
      </c>
      <c r="J1305" s="154"/>
      <c r="K1305" s="150" t="str">
        <f>IF($E1305="","",INDEX(Input!$C$16:$CP$16,1,$B1305))</f>
        <v/>
      </c>
      <c r="L1305" s="150" t="str">
        <f>IF($E1305="","",Input!$C$37)</f>
        <v/>
      </c>
      <c r="M1305" s="150" t="str">
        <f t="shared" si="842"/>
        <v/>
      </c>
      <c r="N1305" s="150" t="str">
        <f t="shared" si="843"/>
        <v/>
      </c>
      <c r="O1305" s="147" t="str">
        <f>IF($E1305="","",MIN(VLOOKUP(IF($B1305&lt;=Input!$C$7,$B1305,26),'Mortality Tables'!$A$41:$CW$67,IF($B1305&lt;=Input!$C$7+1,Input!$C$4+2,$D1305-Input!$C$7+2),0)*IF(B1305&gt;20,Input!$C$22,1)/1000,1))</f>
        <v/>
      </c>
      <c r="P1305" s="147" t="str">
        <f>IF($E1305="","",MIN(VLOOKUP(IF($B1305&lt;=Input!$C$7,$B1305,26),'Mortality Tables'!$A$12:$CW$37,IF($B1305&lt;=Input!$C$7+1,Input!$C$4+2,$D1305-Input!$C$7+2),0)*IF(B1305&gt;20,Input!$C$22,1)/1000,1))</f>
        <v/>
      </c>
      <c r="Q1305" s="155" t="str">
        <f>IF($E1305="","",Input!$C$21)</f>
        <v/>
      </c>
      <c r="R1305" s="159" t="str">
        <f>IF($E1305="","",(1-Q1305)^($F1305-Input!$C$20))</f>
        <v/>
      </c>
      <c r="S1305" s="147" t="str">
        <f t="shared" si="831"/>
        <v/>
      </c>
      <c r="T1305" s="147" t="str">
        <f t="shared" si="832"/>
        <v/>
      </c>
      <c r="U1305" s="160" t="str">
        <f>IF($E1305="","",IF($C1305=12,INDEX(Input!$C$15:$CP$15,1,$B1305),0))</f>
        <v/>
      </c>
      <c r="V1305" s="150" t="str">
        <f>IF(E1305="","",IF(C1305=1,IF($B1305=1,Input!$C$33,Input!$C$34),0))</f>
        <v/>
      </c>
      <c r="W1305" s="156" t="str">
        <f>IF($E1305="","",Input!$C$35)</f>
        <v/>
      </c>
      <c r="X1305" s="156" t="str">
        <f t="shared" si="833"/>
        <v/>
      </c>
      <c r="Y1305" s="154"/>
      <c r="Z1305" s="147" t="str">
        <f>IF($E1305="","",VLOOKUP($D1305,'Mortality Margins &amp; Grading'!$AB$5:$AF$125,3,0)*IF(Summary!$D$25="Included Margin",IF(AND($B1305&gt;Input!$C$9,Summary!$D$31&lt;&gt;"Included Margin"),0,1),0))</f>
        <v/>
      </c>
      <c r="AA1305" s="147" t="str">
        <f>IF($E1305="","",VLOOKUP($D1305,'Mortality Margins &amp; Grading'!$AB$5:$AF$125,5,0)*IF(Summary!$D$25="Included Margin",IF(AND($B1305&gt;Input!$C$9,Summary!$D$31&lt;&gt;"Included Margin"),0,1),0))</f>
        <v/>
      </c>
      <c r="AB1305" s="147" t="str">
        <f>IF($E1305="","",IF(AND($B1305&gt;Input!$C$9,Summary!$D$31&lt;&gt;"Included Margin"),1,IF(Summary!$D$25="Included Margin",VLOOKUP($B1305,'Mortality Margins &amp; Grading'!$AI$5:$AR$125,MATCH('Mortality Margins &amp; Grading'!$AQ$4,'Mortality Margins &amp; Grading'!$AI$4:$AR$4,0),0),1)))</f>
        <v/>
      </c>
      <c r="AC1305" s="154"/>
      <c r="AD1305" s="158" t="str">
        <f>IF(E1305="","",Input!$C$48*IF(Summary!$D$30="Included Margin",IF(AND($B1305&gt;Input!$C$9,Summary!$D$31&lt;&gt;"Included Margin"),0,1),0))</f>
        <v/>
      </c>
      <c r="AE1305" s="159" t="str">
        <f>IF(E1305="","",IF(Summary!$D$26="Included Margin",IF(AND($B1305&gt;Input!$C$9,Summary!$D$31&lt;&gt;"Included Margin"),1,1/$R1305),1))</f>
        <v/>
      </c>
      <c r="AF1305" s="160" t="str">
        <f>IF(E1305="","",IF(AND($B1305&gt;=Input!$C$9,$C1305=12,Summary!$D$31="Included Margin",$U1305&gt;0),1/U1305-1,IF($B1305&gt;=Input!$C$9,0,Input!$C$45*IF(Summary!$D$27="Included Margin",1,0))))</f>
        <v/>
      </c>
      <c r="AG1305" s="160" t="str">
        <f>IF(E1305="","",Input!$C$46*IF(Summary!$D$28="Included Margin",IF(AND($B1305&gt;Input!$C$9,Summary!$D$31&lt;&gt;"Included Margin"),0,1),0))</f>
        <v/>
      </c>
      <c r="AH1305" s="158" t="str">
        <f>IF(E1305="","",Input!$C$47*IF(Summary!$D$29="Included Margin",IF(AND($B1305&gt;Input!$C$9,Summary!$D$31&lt;&gt;"Included Margin"),0,1),0))</f>
        <v/>
      </c>
      <c r="AI1305" s="154"/>
      <c r="AJ1305" s="158" t="str">
        <f t="shared" si="844"/>
        <v/>
      </c>
      <c r="AK1305" s="150" t="str">
        <f t="shared" si="845"/>
        <v/>
      </c>
      <c r="AL1305" s="147" t="str">
        <f t="shared" si="846"/>
        <v/>
      </c>
      <c r="AM1305" s="147" t="str">
        <f t="shared" si="834"/>
        <v/>
      </c>
      <c r="AN1305" s="160" t="str">
        <f t="shared" si="847"/>
        <v/>
      </c>
      <c r="AO1305" s="161" t="str">
        <f t="shared" si="848"/>
        <v/>
      </c>
      <c r="AP1305" s="156" t="str">
        <f t="shared" si="835"/>
        <v/>
      </c>
      <c r="AQ1305" s="152"/>
      <c r="AR1305" s="162" t="str">
        <f t="shared" si="836"/>
        <v/>
      </c>
      <c r="AS1305" s="150" t="str">
        <f t="shared" si="849"/>
        <v/>
      </c>
      <c r="AT1305" s="163" t="str">
        <f t="shared" si="837"/>
        <v/>
      </c>
      <c r="AU1305" s="163" t="str">
        <f t="shared" si="838"/>
        <v/>
      </c>
      <c r="AV1305" s="163" t="str">
        <f t="shared" si="850"/>
        <v/>
      </c>
      <c r="AW1305" s="163" t="str">
        <f t="shared" si="839"/>
        <v/>
      </c>
      <c r="AX1305" s="163" t="str">
        <f t="shared" si="840"/>
        <v/>
      </c>
      <c r="AY1305" s="150" t="str">
        <f t="shared" si="851"/>
        <v/>
      </c>
      <c r="AZ1305" s="150" t="str">
        <f>IF($E1305="","",IF(OR(AND($D1305=Input!$C$6,$C1305=12),$AN1305=1),0,-AS1306+AT1306+AU1306-AV1306-AW1306-AX1306+AZ1306))</f>
        <v/>
      </c>
      <c r="BA1305" s="154" t="str">
        <f t="shared" si="841"/>
        <v/>
      </c>
      <c r="BC1305" s="147" t="str">
        <f t="shared" si="852"/>
        <v/>
      </c>
      <c r="BD1305" s="164" t="str">
        <f>IF(AND($C1304=12,$D1304=Input!$C$6),0,IF($E1305="","",AT1305+(AU1305+BD1306)/(1+$AK1305)*MIN((1-AM1305-AN1305),1)))</f>
        <v/>
      </c>
      <c r="BH1305" s="152"/>
      <c r="BI1305" s="162" t="str">
        <f t="shared" si="860"/>
        <v/>
      </c>
      <c r="BJ1305" s="150" t="str">
        <f t="shared" si="861"/>
        <v/>
      </c>
      <c r="BK1305" s="163" t="str">
        <f t="shared" si="857"/>
        <v/>
      </c>
      <c r="BL1305" s="163" t="str">
        <f t="shared" si="862"/>
        <v/>
      </c>
      <c r="BM1305" s="163" t="str">
        <f t="shared" si="858"/>
        <v/>
      </c>
      <c r="BN1305" s="163" t="str">
        <f t="shared" si="863"/>
        <v/>
      </c>
      <c r="BO1305" s="163" t="str">
        <f t="shared" si="864"/>
        <v/>
      </c>
      <c r="BP1305" s="150" t="str">
        <f t="shared" si="859"/>
        <v/>
      </c>
      <c r="BQ1305" s="150" t="str">
        <f t="shared" si="853"/>
        <v/>
      </c>
      <c r="BR1305" s="154" t="str">
        <f t="shared" si="865"/>
        <v/>
      </c>
      <c r="BT1305" s="147"/>
    </row>
    <row r="1306" spans="1:72" s="150" customFormat="1" x14ac:dyDescent="0.25">
      <c r="A1306" s="150" t="str">
        <f t="shared" si="854"/>
        <v/>
      </c>
      <c r="B1306" s="150" t="str">
        <f t="shared" si="855"/>
        <v/>
      </c>
      <c r="C1306" s="150" t="str">
        <f t="shared" si="856"/>
        <v/>
      </c>
      <c r="D1306" s="150" t="str">
        <f>IF(E1306="","",Input!$C$4+B1306-1)</f>
        <v/>
      </c>
      <c r="E1306" s="150" t="str">
        <f>IF(OR(AND(C1305=12,D1305=Input!$C$6),E1305=""),"",1)</f>
        <v/>
      </c>
      <c r="G1306" s="151" t="str">
        <f>IF(E1306="","",MAX(0,Input!$C$9-B1306))</f>
        <v/>
      </c>
      <c r="H1306" s="152" t="str">
        <f>IF(E1306="","",Input!$C$3)</f>
        <v/>
      </c>
      <c r="I1306" s="153" t="str">
        <f>IF(E1306="","",HLOOKUP($B1306,Input!$C$13:$BT$14,2))</f>
        <v/>
      </c>
      <c r="J1306" s="154"/>
      <c r="K1306" s="150" t="str">
        <f>IF($E1306="","",INDEX(Input!$C$16:$CP$16,1,$B1306))</f>
        <v/>
      </c>
      <c r="L1306" s="150" t="str">
        <f>IF($E1306="","",Input!$C$37)</f>
        <v/>
      </c>
      <c r="M1306" s="150" t="str">
        <f t="shared" si="842"/>
        <v/>
      </c>
      <c r="N1306" s="150" t="str">
        <f t="shared" si="843"/>
        <v/>
      </c>
      <c r="O1306" s="147" t="str">
        <f>IF($E1306="","",MIN(VLOOKUP(IF($B1306&lt;=Input!$C$7,$B1306,26),'Mortality Tables'!$A$41:$CW$67,IF($B1306&lt;=Input!$C$7+1,Input!$C$4+2,$D1306-Input!$C$7+2),0)*IF(B1306&gt;20,Input!$C$22,1)/1000,1))</f>
        <v/>
      </c>
      <c r="P1306" s="147" t="str">
        <f>IF($E1306="","",MIN(VLOOKUP(IF($B1306&lt;=Input!$C$7,$B1306,26),'Mortality Tables'!$A$12:$CW$37,IF($B1306&lt;=Input!$C$7+1,Input!$C$4+2,$D1306-Input!$C$7+2),0)*IF(B1306&gt;20,Input!$C$22,1)/1000,1))</f>
        <v/>
      </c>
      <c r="Q1306" s="155" t="str">
        <f>IF($E1306="","",Input!$C$21)</f>
        <v/>
      </c>
      <c r="R1306" s="159" t="str">
        <f>IF($E1306="","",(1-Q1306)^($F1306-Input!$C$20))</f>
        <v/>
      </c>
      <c r="S1306" s="147" t="str">
        <f t="shared" si="831"/>
        <v/>
      </c>
      <c r="T1306" s="147" t="str">
        <f t="shared" si="832"/>
        <v/>
      </c>
      <c r="U1306" s="160" t="str">
        <f>IF($E1306="","",IF($C1306=12,INDEX(Input!$C$15:$CP$15,1,$B1306),0))</f>
        <v/>
      </c>
      <c r="V1306" s="150" t="str">
        <f>IF(E1306="","",IF(C1306=1,IF($B1306=1,Input!$C$33,Input!$C$34),0))</f>
        <v/>
      </c>
      <c r="W1306" s="156" t="str">
        <f>IF($E1306="","",Input!$C$35)</f>
        <v/>
      </c>
      <c r="X1306" s="156" t="str">
        <f t="shared" si="833"/>
        <v/>
      </c>
      <c r="Y1306" s="154"/>
      <c r="Z1306" s="147" t="str">
        <f>IF($E1306="","",VLOOKUP($D1306,'Mortality Margins &amp; Grading'!$AB$5:$AF$125,3,0)*IF(Summary!$D$25="Included Margin",IF(AND($B1306&gt;Input!$C$9,Summary!$D$31&lt;&gt;"Included Margin"),0,1),0))</f>
        <v/>
      </c>
      <c r="AA1306" s="147" t="str">
        <f>IF($E1306="","",VLOOKUP($D1306,'Mortality Margins &amp; Grading'!$AB$5:$AF$125,5,0)*IF(Summary!$D$25="Included Margin",IF(AND($B1306&gt;Input!$C$9,Summary!$D$31&lt;&gt;"Included Margin"),0,1),0))</f>
        <v/>
      </c>
      <c r="AB1306" s="147" t="str">
        <f>IF($E1306="","",IF(AND($B1306&gt;Input!$C$9,Summary!$D$31&lt;&gt;"Included Margin"),1,IF(Summary!$D$25="Included Margin",VLOOKUP($B1306,'Mortality Margins &amp; Grading'!$AI$5:$AR$125,MATCH('Mortality Margins &amp; Grading'!$AQ$4,'Mortality Margins &amp; Grading'!$AI$4:$AR$4,0),0),1)))</f>
        <v/>
      </c>
      <c r="AC1306" s="154"/>
      <c r="AD1306" s="158" t="str">
        <f>IF(E1306="","",Input!$C$48*IF(Summary!$D$30="Included Margin",IF(AND($B1306&gt;Input!$C$9,Summary!$D$31&lt;&gt;"Included Margin"),0,1),0))</f>
        <v/>
      </c>
      <c r="AE1306" s="159" t="str">
        <f>IF(E1306="","",IF(Summary!$D$26="Included Margin",IF(AND($B1306&gt;Input!$C$9,Summary!$D$31&lt;&gt;"Included Margin"),1,1/$R1306),1))</f>
        <v/>
      </c>
      <c r="AF1306" s="160" t="str">
        <f>IF(E1306="","",IF(AND($B1306&gt;=Input!$C$9,$C1306=12,Summary!$D$31="Included Margin",$U1306&gt;0),1/U1306-1,IF($B1306&gt;=Input!$C$9,0,Input!$C$45*IF(Summary!$D$27="Included Margin",1,0))))</f>
        <v/>
      </c>
      <c r="AG1306" s="160" t="str">
        <f>IF(E1306="","",Input!$C$46*IF(Summary!$D$28="Included Margin",IF(AND($B1306&gt;Input!$C$9,Summary!$D$31&lt;&gt;"Included Margin"),0,1),0))</f>
        <v/>
      </c>
      <c r="AH1306" s="158" t="str">
        <f>IF(E1306="","",Input!$C$47*IF(Summary!$D$29="Included Margin",IF(AND($B1306&gt;Input!$C$9,Summary!$D$31&lt;&gt;"Included Margin"),0,1),0))</f>
        <v/>
      </c>
      <c r="AI1306" s="154"/>
      <c r="AJ1306" s="158" t="str">
        <f t="shared" si="844"/>
        <v/>
      </c>
      <c r="AK1306" s="150" t="str">
        <f t="shared" si="845"/>
        <v/>
      </c>
      <c r="AL1306" s="147" t="str">
        <f t="shared" si="846"/>
        <v/>
      </c>
      <c r="AM1306" s="147" t="str">
        <f t="shared" si="834"/>
        <v/>
      </c>
      <c r="AN1306" s="160" t="str">
        <f t="shared" si="847"/>
        <v/>
      </c>
      <c r="AO1306" s="161" t="str">
        <f t="shared" si="848"/>
        <v/>
      </c>
      <c r="AP1306" s="156" t="str">
        <f t="shared" si="835"/>
        <v/>
      </c>
      <c r="AQ1306" s="152"/>
      <c r="AR1306" s="162" t="str">
        <f t="shared" si="836"/>
        <v/>
      </c>
      <c r="AS1306" s="150" t="str">
        <f t="shared" si="849"/>
        <v/>
      </c>
      <c r="AT1306" s="163" t="str">
        <f t="shared" si="837"/>
        <v/>
      </c>
      <c r="AU1306" s="163" t="str">
        <f t="shared" si="838"/>
        <v/>
      </c>
      <c r="AV1306" s="163" t="str">
        <f t="shared" si="850"/>
        <v/>
      </c>
      <c r="AW1306" s="163" t="str">
        <f t="shared" si="839"/>
        <v/>
      </c>
      <c r="AX1306" s="163" t="str">
        <f t="shared" si="840"/>
        <v/>
      </c>
      <c r="AY1306" s="150" t="str">
        <f t="shared" si="851"/>
        <v/>
      </c>
      <c r="AZ1306" s="150" t="str">
        <f>IF($E1306="","",IF(OR(AND($D1306=Input!$C$6,$C1306=12),$AN1306=1),0,-AS1307+AT1307+AU1307-AV1307-AW1307-AX1307+AZ1307))</f>
        <v/>
      </c>
      <c r="BA1306" s="154" t="str">
        <f t="shared" si="841"/>
        <v/>
      </c>
      <c r="BC1306" s="147" t="str">
        <f t="shared" si="852"/>
        <v/>
      </c>
      <c r="BD1306" s="164" t="str">
        <f>IF(AND($C1305=12,$D1305=Input!$C$6),0,IF($E1306="","",AT1306+(AU1306+BD1307)/(1+$AK1306)*MIN((1-AM1306-AN1306),1)))</f>
        <v/>
      </c>
      <c r="BH1306" s="152"/>
      <c r="BI1306" s="162" t="str">
        <f t="shared" si="860"/>
        <v/>
      </c>
      <c r="BJ1306" s="150" t="str">
        <f t="shared" si="861"/>
        <v/>
      </c>
      <c r="BK1306" s="163" t="str">
        <f t="shared" si="857"/>
        <v/>
      </c>
      <c r="BL1306" s="163" t="str">
        <f t="shared" si="862"/>
        <v/>
      </c>
      <c r="BM1306" s="163" t="str">
        <f t="shared" si="858"/>
        <v/>
      </c>
      <c r="BN1306" s="163" t="str">
        <f t="shared" si="863"/>
        <v/>
      </c>
      <c r="BO1306" s="163" t="str">
        <f t="shared" si="864"/>
        <v/>
      </c>
      <c r="BP1306" s="150" t="str">
        <f t="shared" si="859"/>
        <v/>
      </c>
      <c r="BQ1306" s="150" t="str">
        <f t="shared" si="853"/>
        <v/>
      </c>
      <c r="BR1306" s="154" t="str">
        <f t="shared" si="865"/>
        <v/>
      </c>
      <c r="BT1306" s="147"/>
    </row>
    <row r="1307" spans="1:72" s="150" customFormat="1" x14ac:dyDescent="0.25">
      <c r="A1307" s="150" t="str">
        <f t="shared" si="854"/>
        <v/>
      </c>
      <c r="B1307" s="150" t="str">
        <f t="shared" si="855"/>
        <v/>
      </c>
      <c r="C1307" s="150" t="str">
        <f t="shared" si="856"/>
        <v/>
      </c>
      <c r="D1307" s="150" t="str">
        <f>IF(E1307="","",Input!$C$4+B1307-1)</f>
        <v/>
      </c>
      <c r="E1307" s="150" t="str">
        <f>IF(OR(AND(C1306=12,D1306=Input!$C$6),E1306=""),"",1)</f>
        <v/>
      </c>
      <c r="G1307" s="151" t="str">
        <f>IF(E1307="","",MAX(0,Input!$C$9-B1307))</f>
        <v/>
      </c>
      <c r="H1307" s="152" t="str">
        <f>IF(E1307="","",Input!$C$3)</f>
        <v/>
      </c>
      <c r="I1307" s="153" t="str">
        <f>IF(E1307="","",HLOOKUP($B1307,Input!$C$13:$BT$14,2))</f>
        <v/>
      </c>
      <c r="J1307" s="154"/>
      <c r="K1307" s="150" t="str">
        <f>IF($E1307="","",INDEX(Input!$C$16:$CP$16,1,$B1307))</f>
        <v/>
      </c>
      <c r="L1307" s="150" t="str">
        <f>IF($E1307="","",Input!$C$37)</f>
        <v/>
      </c>
      <c r="M1307" s="150" t="str">
        <f t="shared" si="842"/>
        <v/>
      </c>
      <c r="N1307" s="150" t="str">
        <f t="shared" si="843"/>
        <v/>
      </c>
      <c r="O1307" s="147" t="str">
        <f>IF($E1307="","",MIN(VLOOKUP(IF($B1307&lt;=Input!$C$7,$B1307,26),'Mortality Tables'!$A$41:$CW$67,IF($B1307&lt;=Input!$C$7+1,Input!$C$4+2,$D1307-Input!$C$7+2),0)*IF(B1307&gt;20,Input!$C$22,1)/1000,1))</f>
        <v/>
      </c>
      <c r="P1307" s="147" t="str">
        <f>IF($E1307="","",MIN(VLOOKUP(IF($B1307&lt;=Input!$C$7,$B1307,26),'Mortality Tables'!$A$12:$CW$37,IF($B1307&lt;=Input!$C$7+1,Input!$C$4+2,$D1307-Input!$C$7+2),0)*IF(B1307&gt;20,Input!$C$22,1)/1000,1))</f>
        <v/>
      </c>
      <c r="Q1307" s="155" t="str">
        <f>IF($E1307="","",Input!$C$21)</f>
        <v/>
      </c>
      <c r="R1307" s="159" t="str">
        <f>IF($E1307="","",(1-Q1307)^($F1307-Input!$C$20))</f>
        <v/>
      </c>
      <c r="S1307" s="147" t="str">
        <f t="shared" si="831"/>
        <v/>
      </c>
      <c r="T1307" s="147" t="str">
        <f t="shared" si="832"/>
        <v/>
      </c>
      <c r="U1307" s="160" t="str">
        <f>IF($E1307="","",IF($C1307=12,INDEX(Input!$C$15:$CP$15,1,$B1307),0))</f>
        <v/>
      </c>
      <c r="V1307" s="150" t="str">
        <f>IF(E1307="","",IF(C1307=1,IF($B1307=1,Input!$C$33,Input!$C$34),0))</f>
        <v/>
      </c>
      <c r="W1307" s="156" t="str">
        <f>IF($E1307="","",Input!$C$35)</f>
        <v/>
      </c>
      <c r="X1307" s="156" t="str">
        <f t="shared" si="833"/>
        <v/>
      </c>
      <c r="Y1307" s="154"/>
      <c r="Z1307" s="147" t="str">
        <f>IF($E1307="","",VLOOKUP($D1307,'Mortality Margins &amp; Grading'!$AB$5:$AF$125,3,0)*IF(Summary!$D$25="Included Margin",IF(AND($B1307&gt;Input!$C$9,Summary!$D$31&lt;&gt;"Included Margin"),0,1),0))</f>
        <v/>
      </c>
      <c r="AA1307" s="147" t="str">
        <f>IF($E1307="","",VLOOKUP($D1307,'Mortality Margins &amp; Grading'!$AB$5:$AF$125,5,0)*IF(Summary!$D$25="Included Margin",IF(AND($B1307&gt;Input!$C$9,Summary!$D$31&lt;&gt;"Included Margin"),0,1),0))</f>
        <v/>
      </c>
      <c r="AB1307" s="147" t="str">
        <f>IF($E1307="","",IF(AND($B1307&gt;Input!$C$9,Summary!$D$31&lt;&gt;"Included Margin"),1,IF(Summary!$D$25="Included Margin",VLOOKUP($B1307,'Mortality Margins &amp; Grading'!$AI$5:$AR$125,MATCH('Mortality Margins &amp; Grading'!$AQ$4,'Mortality Margins &amp; Grading'!$AI$4:$AR$4,0),0),1)))</f>
        <v/>
      </c>
      <c r="AC1307" s="154"/>
      <c r="AD1307" s="158" t="str">
        <f>IF(E1307="","",Input!$C$48*IF(Summary!$D$30="Included Margin",IF(AND($B1307&gt;Input!$C$9,Summary!$D$31&lt;&gt;"Included Margin"),0,1),0))</f>
        <v/>
      </c>
      <c r="AE1307" s="159" t="str">
        <f>IF(E1307="","",IF(Summary!$D$26="Included Margin",IF(AND($B1307&gt;Input!$C$9,Summary!$D$31&lt;&gt;"Included Margin"),1,1/$R1307),1))</f>
        <v/>
      </c>
      <c r="AF1307" s="160" t="str">
        <f>IF(E1307="","",IF(AND($B1307&gt;=Input!$C$9,$C1307=12,Summary!$D$31="Included Margin",$U1307&gt;0),1/U1307-1,IF($B1307&gt;=Input!$C$9,0,Input!$C$45*IF(Summary!$D$27="Included Margin",1,0))))</f>
        <v/>
      </c>
      <c r="AG1307" s="160" t="str">
        <f>IF(E1307="","",Input!$C$46*IF(Summary!$D$28="Included Margin",IF(AND($B1307&gt;Input!$C$9,Summary!$D$31&lt;&gt;"Included Margin"),0,1),0))</f>
        <v/>
      </c>
      <c r="AH1307" s="158" t="str">
        <f>IF(E1307="","",Input!$C$47*IF(Summary!$D$29="Included Margin",IF(AND($B1307&gt;Input!$C$9,Summary!$D$31&lt;&gt;"Included Margin"),0,1),0))</f>
        <v/>
      </c>
      <c r="AI1307" s="154"/>
      <c r="AJ1307" s="158" t="str">
        <f t="shared" si="844"/>
        <v/>
      </c>
      <c r="AK1307" s="150" t="str">
        <f t="shared" si="845"/>
        <v/>
      </c>
      <c r="AL1307" s="147" t="str">
        <f t="shared" si="846"/>
        <v/>
      </c>
      <c r="AM1307" s="147" t="str">
        <f t="shared" si="834"/>
        <v/>
      </c>
      <c r="AN1307" s="160" t="str">
        <f t="shared" si="847"/>
        <v/>
      </c>
      <c r="AO1307" s="161" t="str">
        <f t="shared" si="848"/>
        <v/>
      </c>
      <c r="AP1307" s="156" t="str">
        <f t="shared" si="835"/>
        <v/>
      </c>
      <c r="AQ1307" s="152"/>
      <c r="AR1307" s="162" t="str">
        <f t="shared" si="836"/>
        <v/>
      </c>
      <c r="AS1307" s="150" t="str">
        <f t="shared" si="849"/>
        <v/>
      </c>
      <c r="AT1307" s="163" t="str">
        <f t="shared" si="837"/>
        <v/>
      </c>
      <c r="AU1307" s="163" t="str">
        <f t="shared" si="838"/>
        <v/>
      </c>
      <c r="AV1307" s="163" t="str">
        <f t="shared" si="850"/>
        <v/>
      </c>
      <c r="AW1307" s="163" t="str">
        <f t="shared" si="839"/>
        <v/>
      </c>
      <c r="AX1307" s="163" t="str">
        <f t="shared" si="840"/>
        <v/>
      </c>
      <c r="AY1307" s="150" t="str">
        <f t="shared" si="851"/>
        <v/>
      </c>
      <c r="AZ1307" s="150" t="str">
        <f>IF($E1307="","",IF(OR(AND($D1307=Input!$C$6,$C1307=12),$AN1307=1),0,-AS1308+AT1308+AU1308-AV1308-AW1308-AX1308+AZ1308))</f>
        <v/>
      </c>
      <c r="BA1307" s="154" t="str">
        <f t="shared" si="841"/>
        <v/>
      </c>
      <c r="BC1307" s="147" t="str">
        <f t="shared" si="852"/>
        <v/>
      </c>
      <c r="BD1307" s="164" t="str">
        <f>IF(AND($C1306=12,$D1306=Input!$C$6),0,IF($E1307="","",AT1307+(AU1307+BD1308)/(1+$AK1307)*MIN((1-AM1307-AN1307),1)))</f>
        <v/>
      </c>
      <c r="BH1307" s="152"/>
      <c r="BI1307" s="162" t="str">
        <f t="shared" si="860"/>
        <v/>
      </c>
      <c r="BJ1307" s="150" t="str">
        <f t="shared" si="861"/>
        <v/>
      </c>
      <c r="BK1307" s="163" t="str">
        <f t="shared" si="857"/>
        <v/>
      </c>
      <c r="BL1307" s="163" t="str">
        <f t="shared" si="862"/>
        <v/>
      </c>
      <c r="BM1307" s="163" t="str">
        <f t="shared" si="858"/>
        <v/>
      </c>
      <c r="BN1307" s="163" t="str">
        <f t="shared" si="863"/>
        <v/>
      </c>
      <c r="BO1307" s="163" t="str">
        <f t="shared" si="864"/>
        <v/>
      </c>
      <c r="BP1307" s="150" t="str">
        <f t="shared" si="859"/>
        <v/>
      </c>
      <c r="BQ1307" s="150" t="str">
        <f t="shared" si="853"/>
        <v/>
      </c>
      <c r="BR1307" s="154" t="str">
        <f t="shared" si="865"/>
        <v/>
      </c>
      <c r="BT1307" s="147"/>
    </row>
    <row r="1308" spans="1:72" s="150" customFormat="1" x14ac:dyDescent="0.25">
      <c r="A1308" s="150" t="str">
        <f t="shared" si="854"/>
        <v/>
      </c>
      <c r="B1308" s="150" t="str">
        <f t="shared" si="855"/>
        <v/>
      </c>
      <c r="C1308" s="150" t="str">
        <f t="shared" si="856"/>
        <v/>
      </c>
      <c r="D1308" s="150" t="str">
        <f>IF(E1308="","",Input!$C$4+B1308-1)</f>
        <v/>
      </c>
      <c r="E1308" s="150" t="str">
        <f>IF(OR(AND(C1307=12,D1307=Input!$C$6),E1307=""),"",1)</f>
        <v/>
      </c>
      <c r="G1308" s="151" t="str">
        <f>IF(E1308="","",MAX(0,Input!$C$9-B1308))</f>
        <v/>
      </c>
      <c r="H1308" s="152" t="str">
        <f>IF(E1308="","",Input!$C$3)</f>
        <v/>
      </c>
      <c r="I1308" s="153" t="str">
        <f>IF(E1308="","",HLOOKUP($B1308,Input!$C$13:$BT$14,2))</f>
        <v/>
      </c>
      <c r="J1308" s="154"/>
      <c r="K1308" s="150" t="str">
        <f>IF($E1308="","",INDEX(Input!$C$16:$CP$16,1,$B1308))</f>
        <v/>
      </c>
      <c r="L1308" s="150" t="str">
        <f>IF($E1308="","",Input!$C$37)</f>
        <v/>
      </c>
      <c r="M1308" s="150" t="str">
        <f t="shared" si="842"/>
        <v/>
      </c>
      <c r="N1308" s="150" t="str">
        <f t="shared" si="843"/>
        <v/>
      </c>
      <c r="O1308" s="147" t="str">
        <f>IF($E1308="","",MIN(VLOOKUP(IF($B1308&lt;=Input!$C$7,$B1308,26),'Mortality Tables'!$A$41:$CW$67,IF($B1308&lt;=Input!$C$7+1,Input!$C$4+2,$D1308-Input!$C$7+2),0)*IF(B1308&gt;20,Input!$C$22,1)/1000,1))</f>
        <v/>
      </c>
      <c r="P1308" s="147" t="str">
        <f>IF($E1308="","",MIN(VLOOKUP(IF($B1308&lt;=Input!$C$7,$B1308,26),'Mortality Tables'!$A$12:$CW$37,IF($B1308&lt;=Input!$C$7+1,Input!$C$4+2,$D1308-Input!$C$7+2),0)*IF(B1308&gt;20,Input!$C$22,1)/1000,1))</f>
        <v/>
      </c>
      <c r="Q1308" s="155" t="str">
        <f>IF($E1308="","",Input!$C$21)</f>
        <v/>
      </c>
      <c r="R1308" s="159" t="str">
        <f>IF($E1308="","",(1-Q1308)^($F1308-Input!$C$20))</f>
        <v/>
      </c>
      <c r="S1308" s="147" t="str">
        <f t="shared" si="831"/>
        <v/>
      </c>
      <c r="T1308" s="147" t="str">
        <f t="shared" si="832"/>
        <v/>
      </c>
      <c r="U1308" s="160" t="str">
        <f>IF($E1308="","",IF($C1308=12,INDEX(Input!$C$15:$CP$15,1,$B1308),0))</f>
        <v/>
      </c>
      <c r="V1308" s="150" t="str">
        <f>IF(E1308="","",IF(C1308=1,IF($B1308=1,Input!$C$33,Input!$C$34),0))</f>
        <v/>
      </c>
      <c r="W1308" s="156" t="str">
        <f>IF($E1308="","",Input!$C$35)</f>
        <v/>
      </c>
      <c r="X1308" s="156" t="str">
        <f t="shared" si="833"/>
        <v/>
      </c>
      <c r="Y1308" s="154"/>
      <c r="Z1308" s="147" t="str">
        <f>IF($E1308="","",VLOOKUP($D1308,'Mortality Margins &amp; Grading'!$AB$5:$AF$125,3,0)*IF(Summary!$D$25="Included Margin",IF(AND($B1308&gt;Input!$C$9,Summary!$D$31&lt;&gt;"Included Margin"),0,1),0))</f>
        <v/>
      </c>
      <c r="AA1308" s="147" t="str">
        <f>IF($E1308="","",VLOOKUP($D1308,'Mortality Margins &amp; Grading'!$AB$5:$AF$125,5,0)*IF(Summary!$D$25="Included Margin",IF(AND($B1308&gt;Input!$C$9,Summary!$D$31&lt;&gt;"Included Margin"),0,1),0))</f>
        <v/>
      </c>
      <c r="AB1308" s="147" t="str">
        <f>IF($E1308="","",IF(AND($B1308&gt;Input!$C$9,Summary!$D$31&lt;&gt;"Included Margin"),1,IF(Summary!$D$25="Included Margin",VLOOKUP($B1308,'Mortality Margins &amp; Grading'!$AI$5:$AR$125,MATCH('Mortality Margins &amp; Grading'!$AQ$4,'Mortality Margins &amp; Grading'!$AI$4:$AR$4,0),0),1)))</f>
        <v/>
      </c>
      <c r="AC1308" s="154"/>
      <c r="AD1308" s="158" t="str">
        <f>IF(E1308="","",Input!$C$48*IF(Summary!$D$30="Included Margin",IF(AND($B1308&gt;Input!$C$9,Summary!$D$31&lt;&gt;"Included Margin"),0,1),0))</f>
        <v/>
      </c>
      <c r="AE1308" s="159" t="str">
        <f>IF(E1308="","",IF(Summary!$D$26="Included Margin",IF(AND($B1308&gt;Input!$C$9,Summary!$D$31&lt;&gt;"Included Margin"),1,1/$R1308),1))</f>
        <v/>
      </c>
      <c r="AF1308" s="160" t="str">
        <f>IF(E1308="","",IF(AND($B1308&gt;=Input!$C$9,$C1308=12,Summary!$D$31="Included Margin",$U1308&gt;0),1/U1308-1,IF($B1308&gt;=Input!$C$9,0,Input!$C$45*IF(Summary!$D$27="Included Margin",1,0))))</f>
        <v/>
      </c>
      <c r="AG1308" s="160" t="str">
        <f>IF(E1308="","",Input!$C$46*IF(Summary!$D$28="Included Margin",IF(AND($B1308&gt;Input!$C$9,Summary!$D$31&lt;&gt;"Included Margin"),0,1),0))</f>
        <v/>
      </c>
      <c r="AH1308" s="158" t="str">
        <f>IF(E1308="","",Input!$C$47*IF(Summary!$D$29="Included Margin",IF(AND($B1308&gt;Input!$C$9,Summary!$D$31&lt;&gt;"Included Margin"),0,1),0))</f>
        <v/>
      </c>
      <c r="AI1308" s="154"/>
      <c r="AJ1308" s="158" t="str">
        <f t="shared" si="844"/>
        <v/>
      </c>
      <c r="AK1308" s="150" t="str">
        <f t="shared" si="845"/>
        <v/>
      </c>
      <c r="AL1308" s="147" t="str">
        <f t="shared" si="846"/>
        <v/>
      </c>
      <c r="AM1308" s="147" t="str">
        <f t="shared" si="834"/>
        <v/>
      </c>
      <c r="AN1308" s="160" t="str">
        <f t="shared" si="847"/>
        <v/>
      </c>
      <c r="AO1308" s="161" t="str">
        <f t="shared" si="848"/>
        <v/>
      </c>
      <c r="AP1308" s="156" t="str">
        <f t="shared" si="835"/>
        <v/>
      </c>
      <c r="AQ1308" s="152"/>
      <c r="AR1308" s="162" t="str">
        <f t="shared" si="836"/>
        <v/>
      </c>
      <c r="AS1308" s="150" t="str">
        <f t="shared" si="849"/>
        <v/>
      </c>
      <c r="AT1308" s="163" t="str">
        <f t="shared" si="837"/>
        <v/>
      </c>
      <c r="AU1308" s="163" t="str">
        <f t="shared" si="838"/>
        <v/>
      </c>
      <c r="AV1308" s="163" t="str">
        <f t="shared" si="850"/>
        <v/>
      </c>
      <c r="AW1308" s="163" t="str">
        <f t="shared" si="839"/>
        <v/>
      </c>
      <c r="AX1308" s="163" t="str">
        <f t="shared" si="840"/>
        <v/>
      </c>
      <c r="AY1308" s="150" t="str">
        <f t="shared" si="851"/>
        <v/>
      </c>
      <c r="AZ1308" s="150" t="str">
        <f>IF($E1308="","",IF(OR(AND($D1308=Input!$C$6,$C1308=12),$AN1308=1),0,-AS1309+AT1309+AU1309-AV1309-AW1309-AX1309+AZ1309))</f>
        <v/>
      </c>
      <c r="BA1308" s="154" t="str">
        <f t="shared" si="841"/>
        <v/>
      </c>
      <c r="BC1308" s="147" t="str">
        <f t="shared" si="852"/>
        <v/>
      </c>
      <c r="BD1308" s="164" t="str">
        <f>IF(AND($C1307=12,$D1307=Input!$C$6),0,IF($E1308="","",AT1308+(AU1308+BD1309)/(1+$AK1308)*MIN((1-AM1308-AN1308),1)))</f>
        <v/>
      </c>
      <c r="BH1308" s="152"/>
      <c r="BI1308" s="162" t="str">
        <f t="shared" si="860"/>
        <v/>
      </c>
      <c r="BJ1308" s="150" t="str">
        <f t="shared" si="861"/>
        <v/>
      </c>
      <c r="BK1308" s="163" t="str">
        <f t="shared" si="857"/>
        <v/>
      </c>
      <c r="BL1308" s="163" t="str">
        <f t="shared" si="862"/>
        <v/>
      </c>
      <c r="BM1308" s="163" t="str">
        <f t="shared" si="858"/>
        <v/>
      </c>
      <c r="BN1308" s="163" t="str">
        <f t="shared" si="863"/>
        <v/>
      </c>
      <c r="BO1308" s="163" t="str">
        <f t="shared" si="864"/>
        <v/>
      </c>
      <c r="BP1308" s="150" t="str">
        <f t="shared" si="859"/>
        <v/>
      </c>
      <c r="BQ1308" s="150" t="str">
        <f t="shared" si="853"/>
        <v/>
      </c>
      <c r="BR1308" s="154" t="str">
        <f t="shared" si="865"/>
        <v/>
      </c>
      <c r="BT1308" s="147"/>
    </row>
    <row r="1309" spans="1:72" s="150" customFormat="1" x14ac:dyDescent="0.25">
      <c r="A1309" s="150" t="str">
        <f t="shared" si="854"/>
        <v/>
      </c>
      <c r="B1309" s="150" t="str">
        <f t="shared" si="855"/>
        <v/>
      </c>
      <c r="C1309" s="150" t="str">
        <f t="shared" si="856"/>
        <v/>
      </c>
      <c r="D1309" s="150" t="str">
        <f>IF(E1309="","",Input!$C$4+B1309-1)</f>
        <v/>
      </c>
      <c r="E1309" s="150" t="str">
        <f>IF(OR(AND(C1308=12,D1308=Input!$C$6),E1308=""),"",1)</f>
        <v/>
      </c>
      <c r="G1309" s="151" t="str">
        <f>IF(E1309="","",MAX(0,Input!$C$9-B1309))</f>
        <v/>
      </c>
      <c r="H1309" s="152" t="str">
        <f>IF(E1309="","",Input!$C$3)</f>
        <v/>
      </c>
      <c r="I1309" s="153" t="str">
        <f>IF(E1309="","",HLOOKUP($B1309,Input!$C$13:$BT$14,2))</f>
        <v/>
      </c>
      <c r="J1309" s="154"/>
      <c r="K1309" s="150" t="str">
        <f>IF($E1309="","",INDEX(Input!$C$16:$CP$16,1,$B1309))</f>
        <v/>
      </c>
      <c r="L1309" s="150" t="str">
        <f>IF($E1309="","",Input!$C$37)</f>
        <v/>
      </c>
      <c r="M1309" s="150" t="str">
        <f t="shared" si="842"/>
        <v/>
      </c>
      <c r="N1309" s="150" t="str">
        <f t="shared" si="843"/>
        <v/>
      </c>
      <c r="O1309" s="147" t="str">
        <f>IF($E1309="","",MIN(VLOOKUP(IF($B1309&lt;=Input!$C$7,$B1309,26),'Mortality Tables'!$A$41:$CW$67,IF($B1309&lt;=Input!$C$7+1,Input!$C$4+2,$D1309-Input!$C$7+2),0)*IF(B1309&gt;20,Input!$C$22,1)/1000,1))</f>
        <v/>
      </c>
      <c r="P1309" s="147" t="str">
        <f>IF($E1309="","",MIN(VLOOKUP(IF($B1309&lt;=Input!$C$7,$B1309,26),'Mortality Tables'!$A$12:$CW$37,IF($B1309&lt;=Input!$C$7+1,Input!$C$4+2,$D1309-Input!$C$7+2),0)*IF(B1309&gt;20,Input!$C$22,1)/1000,1))</f>
        <v/>
      </c>
      <c r="Q1309" s="155" t="str">
        <f>IF($E1309="","",Input!$C$21)</f>
        <v/>
      </c>
      <c r="R1309" s="159" t="str">
        <f>IF($E1309="","",(1-Q1309)^($F1309-Input!$C$20))</f>
        <v/>
      </c>
      <c r="S1309" s="147" t="str">
        <f t="shared" si="831"/>
        <v/>
      </c>
      <c r="T1309" s="147" t="str">
        <f t="shared" si="832"/>
        <v/>
      </c>
      <c r="U1309" s="160" t="str">
        <f>IF($E1309="","",IF($C1309=12,INDEX(Input!$C$15:$CP$15,1,$B1309),0))</f>
        <v/>
      </c>
      <c r="V1309" s="150" t="str">
        <f>IF(E1309="","",IF(C1309=1,IF($B1309=1,Input!$C$33,Input!$C$34),0))</f>
        <v/>
      </c>
      <c r="W1309" s="156" t="str">
        <f>IF($E1309="","",Input!$C$35)</f>
        <v/>
      </c>
      <c r="X1309" s="156" t="str">
        <f t="shared" si="833"/>
        <v/>
      </c>
      <c r="Y1309" s="154"/>
      <c r="Z1309" s="147" t="str">
        <f>IF($E1309="","",VLOOKUP($D1309,'Mortality Margins &amp; Grading'!$AB$5:$AF$125,3,0)*IF(Summary!$D$25="Included Margin",IF(AND($B1309&gt;Input!$C$9,Summary!$D$31&lt;&gt;"Included Margin"),0,1),0))</f>
        <v/>
      </c>
      <c r="AA1309" s="147" t="str">
        <f>IF($E1309="","",VLOOKUP($D1309,'Mortality Margins &amp; Grading'!$AB$5:$AF$125,5,0)*IF(Summary!$D$25="Included Margin",IF(AND($B1309&gt;Input!$C$9,Summary!$D$31&lt;&gt;"Included Margin"),0,1),0))</f>
        <v/>
      </c>
      <c r="AB1309" s="147" t="str">
        <f>IF($E1309="","",IF(AND($B1309&gt;Input!$C$9,Summary!$D$31&lt;&gt;"Included Margin"),1,IF(Summary!$D$25="Included Margin",VLOOKUP($B1309,'Mortality Margins &amp; Grading'!$AI$5:$AR$125,MATCH('Mortality Margins &amp; Grading'!$AQ$4,'Mortality Margins &amp; Grading'!$AI$4:$AR$4,0),0),1)))</f>
        <v/>
      </c>
      <c r="AC1309" s="154"/>
      <c r="AD1309" s="158" t="str">
        <f>IF(E1309="","",Input!$C$48*IF(Summary!$D$30="Included Margin",IF(AND($B1309&gt;Input!$C$9,Summary!$D$31&lt;&gt;"Included Margin"),0,1),0))</f>
        <v/>
      </c>
      <c r="AE1309" s="159" t="str">
        <f>IF(E1309="","",IF(Summary!$D$26="Included Margin",IF(AND($B1309&gt;Input!$C$9,Summary!$D$31&lt;&gt;"Included Margin"),1,1/$R1309),1))</f>
        <v/>
      </c>
      <c r="AF1309" s="160" t="str">
        <f>IF(E1309="","",IF(AND($B1309&gt;=Input!$C$9,$C1309=12,Summary!$D$31="Included Margin",$U1309&gt;0),1/U1309-1,IF($B1309&gt;=Input!$C$9,0,Input!$C$45*IF(Summary!$D$27="Included Margin",1,0))))</f>
        <v/>
      </c>
      <c r="AG1309" s="160" t="str">
        <f>IF(E1309="","",Input!$C$46*IF(Summary!$D$28="Included Margin",IF(AND($B1309&gt;Input!$C$9,Summary!$D$31&lt;&gt;"Included Margin"),0,1),0))</f>
        <v/>
      </c>
      <c r="AH1309" s="158" t="str">
        <f>IF(E1309="","",Input!$C$47*IF(Summary!$D$29="Included Margin",IF(AND($B1309&gt;Input!$C$9,Summary!$D$31&lt;&gt;"Included Margin"),0,1),0))</f>
        <v/>
      </c>
      <c r="AI1309" s="154"/>
      <c r="AJ1309" s="158" t="str">
        <f t="shared" si="844"/>
        <v/>
      </c>
      <c r="AK1309" s="150" t="str">
        <f t="shared" si="845"/>
        <v/>
      </c>
      <c r="AL1309" s="147" t="str">
        <f t="shared" si="846"/>
        <v/>
      </c>
      <c r="AM1309" s="147" t="str">
        <f t="shared" si="834"/>
        <v/>
      </c>
      <c r="AN1309" s="160" t="str">
        <f t="shared" si="847"/>
        <v/>
      </c>
      <c r="AO1309" s="161" t="str">
        <f t="shared" si="848"/>
        <v/>
      </c>
      <c r="AP1309" s="156" t="str">
        <f t="shared" si="835"/>
        <v/>
      </c>
      <c r="AQ1309" s="152"/>
      <c r="AR1309" s="162" t="str">
        <f t="shared" si="836"/>
        <v/>
      </c>
      <c r="AS1309" s="150" t="str">
        <f t="shared" si="849"/>
        <v/>
      </c>
      <c r="AT1309" s="163" t="str">
        <f t="shared" si="837"/>
        <v/>
      </c>
      <c r="AU1309" s="163" t="str">
        <f t="shared" si="838"/>
        <v/>
      </c>
      <c r="AV1309" s="163" t="str">
        <f t="shared" si="850"/>
        <v/>
      </c>
      <c r="AW1309" s="163" t="str">
        <f t="shared" si="839"/>
        <v/>
      </c>
      <c r="AX1309" s="163" t="str">
        <f t="shared" si="840"/>
        <v/>
      </c>
      <c r="AY1309" s="150" t="str">
        <f t="shared" si="851"/>
        <v/>
      </c>
      <c r="AZ1309" s="150" t="str">
        <f>IF($E1309="","",IF(OR(AND($D1309=Input!$C$6,$C1309=12),$AN1309=1),0,-AS1310+AT1310+AU1310-AV1310-AW1310-AX1310+AZ1310))</f>
        <v/>
      </c>
      <c r="BA1309" s="154" t="str">
        <f t="shared" si="841"/>
        <v/>
      </c>
      <c r="BC1309" s="147" t="str">
        <f t="shared" si="852"/>
        <v/>
      </c>
      <c r="BD1309" s="164" t="str">
        <f>IF(AND($C1308=12,$D1308=Input!$C$6),0,IF($E1309="","",AT1309+(AU1309+BD1310)/(1+$AK1309)*MIN((1-AM1309-AN1309),1)))</f>
        <v/>
      </c>
      <c r="BH1309" s="152"/>
      <c r="BI1309" s="162" t="str">
        <f t="shared" si="860"/>
        <v/>
      </c>
      <c r="BJ1309" s="150" t="str">
        <f t="shared" si="861"/>
        <v/>
      </c>
      <c r="BK1309" s="163" t="str">
        <f t="shared" si="857"/>
        <v/>
      </c>
      <c r="BL1309" s="163" t="str">
        <f t="shared" si="862"/>
        <v/>
      </c>
      <c r="BM1309" s="163" t="str">
        <f t="shared" si="858"/>
        <v/>
      </c>
      <c r="BN1309" s="163" t="str">
        <f t="shared" si="863"/>
        <v/>
      </c>
      <c r="BO1309" s="163" t="str">
        <f t="shared" si="864"/>
        <v/>
      </c>
      <c r="BP1309" s="150" t="str">
        <f t="shared" si="859"/>
        <v/>
      </c>
      <c r="BQ1309" s="150" t="str">
        <f t="shared" si="853"/>
        <v/>
      </c>
      <c r="BR1309" s="154" t="str">
        <f t="shared" si="865"/>
        <v/>
      </c>
      <c r="BT1309" s="147"/>
    </row>
    <row r="1310" spans="1:72" s="150" customFormat="1" x14ac:dyDescent="0.25">
      <c r="A1310" s="150" t="str">
        <f t="shared" si="854"/>
        <v/>
      </c>
      <c r="B1310" s="150" t="str">
        <f t="shared" si="855"/>
        <v/>
      </c>
      <c r="C1310" s="150" t="str">
        <f t="shared" si="856"/>
        <v/>
      </c>
      <c r="D1310" s="150" t="str">
        <f>IF(E1310="","",Input!$C$4+B1310-1)</f>
        <v/>
      </c>
      <c r="E1310" s="150" t="str">
        <f>IF(OR(AND(C1309=12,D1309=Input!$C$6),E1309=""),"",1)</f>
        <v/>
      </c>
      <c r="G1310" s="151" t="str">
        <f>IF(E1310="","",MAX(0,Input!$C$9-B1310))</f>
        <v/>
      </c>
      <c r="H1310" s="152" t="str">
        <f>IF(E1310="","",Input!$C$3)</f>
        <v/>
      </c>
      <c r="I1310" s="153" t="str">
        <f>IF(E1310="","",HLOOKUP($B1310,Input!$C$13:$BT$14,2))</f>
        <v/>
      </c>
      <c r="J1310" s="154"/>
      <c r="K1310" s="150" t="str">
        <f>IF($E1310="","",INDEX(Input!$C$16:$CP$16,1,$B1310))</f>
        <v/>
      </c>
      <c r="L1310" s="150" t="str">
        <f>IF($E1310="","",Input!$C$37)</f>
        <v/>
      </c>
      <c r="M1310" s="150" t="str">
        <f t="shared" si="842"/>
        <v/>
      </c>
      <c r="N1310" s="150" t="str">
        <f t="shared" si="843"/>
        <v/>
      </c>
      <c r="O1310" s="147" t="str">
        <f>IF($E1310="","",MIN(VLOOKUP(IF($B1310&lt;=Input!$C$7,$B1310,26),'Mortality Tables'!$A$41:$CW$67,IF($B1310&lt;=Input!$C$7+1,Input!$C$4+2,$D1310-Input!$C$7+2),0)*IF(B1310&gt;20,Input!$C$22,1)/1000,1))</f>
        <v/>
      </c>
      <c r="P1310" s="147" t="str">
        <f>IF($E1310="","",MIN(VLOOKUP(IF($B1310&lt;=Input!$C$7,$B1310,26),'Mortality Tables'!$A$12:$CW$37,IF($B1310&lt;=Input!$C$7+1,Input!$C$4+2,$D1310-Input!$C$7+2),0)*IF(B1310&gt;20,Input!$C$22,1)/1000,1))</f>
        <v/>
      </c>
      <c r="Q1310" s="155" t="str">
        <f>IF($E1310="","",Input!$C$21)</f>
        <v/>
      </c>
      <c r="R1310" s="159" t="str">
        <f>IF($E1310="","",(1-Q1310)^($F1310-Input!$C$20))</f>
        <v/>
      </c>
      <c r="S1310" s="147" t="str">
        <f t="shared" si="831"/>
        <v/>
      </c>
      <c r="T1310" s="147" t="str">
        <f t="shared" si="832"/>
        <v/>
      </c>
      <c r="U1310" s="160" t="str">
        <f>IF($E1310="","",IF($C1310=12,INDEX(Input!$C$15:$CP$15,1,$B1310),0))</f>
        <v/>
      </c>
      <c r="V1310" s="150" t="str">
        <f>IF(E1310="","",IF(C1310=1,IF($B1310=1,Input!$C$33,Input!$C$34),0))</f>
        <v/>
      </c>
      <c r="W1310" s="156" t="str">
        <f>IF($E1310="","",Input!$C$35)</f>
        <v/>
      </c>
      <c r="X1310" s="156" t="str">
        <f t="shared" si="833"/>
        <v/>
      </c>
      <c r="Y1310" s="154"/>
      <c r="Z1310" s="147" t="str">
        <f>IF($E1310="","",VLOOKUP($D1310,'Mortality Margins &amp; Grading'!$AB$5:$AF$125,3,0)*IF(Summary!$D$25="Included Margin",IF(AND($B1310&gt;Input!$C$9,Summary!$D$31&lt;&gt;"Included Margin"),0,1),0))</f>
        <v/>
      </c>
      <c r="AA1310" s="147" t="str">
        <f>IF($E1310="","",VLOOKUP($D1310,'Mortality Margins &amp; Grading'!$AB$5:$AF$125,5,0)*IF(Summary!$D$25="Included Margin",IF(AND($B1310&gt;Input!$C$9,Summary!$D$31&lt;&gt;"Included Margin"),0,1),0))</f>
        <v/>
      </c>
      <c r="AB1310" s="147" t="str">
        <f>IF($E1310="","",IF(AND($B1310&gt;Input!$C$9,Summary!$D$31&lt;&gt;"Included Margin"),1,IF(Summary!$D$25="Included Margin",VLOOKUP($B1310,'Mortality Margins &amp; Grading'!$AI$5:$AR$125,MATCH('Mortality Margins &amp; Grading'!$AQ$4,'Mortality Margins &amp; Grading'!$AI$4:$AR$4,0),0),1)))</f>
        <v/>
      </c>
      <c r="AC1310" s="154"/>
      <c r="AD1310" s="158" t="str">
        <f>IF(E1310="","",Input!$C$48*IF(Summary!$D$30="Included Margin",IF(AND($B1310&gt;Input!$C$9,Summary!$D$31&lt;&gt;"Included Margin"),0,1),0))</f>
        <v/>
      </c>
      <c r="AE1310" s="159" t="str">
        <f>IF(E1310="","",IF(Summary!$D$26="Included Margin",IF(AND($B1310&gt;Input!$C$9,Summary!$D$31&lt;&gt;"Included Margin"),1,1/$R1310),1))</f>
        <v/>
      </c>
      <c r="AF1310" s="160" t="str">
        <f>IF(E1310="","",IF(AND($B1310&gt;=Input!$C$9,$C1310=12,Summary!$D$31="Included Margin",$U1310&gt;0),1/U1310-1,IF($B1310&gt;=Input!$C$9,0,Input!$C$45*IF(Summary!$D$27="Included Margin",1,0))))</f>
        <v/>
      </c>
      <c r="AG1310" s="160" t="str">
        <f>IF(E1310="","",Input!$C$46*IF(Summary!$D$28="Included Margin",IF(AND($B1310&gt;Input!$C$9,Summary!$D$31&lt;&gt;"Included Margin"),0,1),0))</f>
        <v/>
      </c>
      <c r="AH1310" s="158" t="str">
        <f>IF(E1310="","",Input!$C$47*IF(Summary!$D$29="Included Margin",IF(AND($B1310&gt;Input!$C$9,Summary!$D$31&lt;&gt;"Included Margin"),0,1),0))</f>
        <v/>
      </c>
      <c r="AI1310" s="154"/>
      <c r="AJ1310" s="158" t="str">
        <f t="shared" si="844"/>
        <v/>
      </c>
      <c r="AK1310" s="150" t="str">
        <f t="shared" si="845"/>
        <v/>
      </c>
      <c r="AL1310" s="147" t="str">
        <f t="shared" si="846"/>
        <v/>
      </c>
      <c r="AM1310" s="147" t="str">
        <f t="shared" si="834"/>
        <v/>
      </c>
      <c r="AN1310" s="160" t="str">
        <f t="shared" si="847"/>
        <v/>
      </c>
      <c r="AO1310" s="161" t="str">
        <f t="shared" si="848"/>
        <v/>
      </c>
      <c r="AP1310" s="156" t="str">
        <f t="shared" si="835"/>
        <v/>
      </c>
      <c r="AQ1310" s="152"/>
      <c r="AR1310" s="162" t="str">
        <f t="shared" si="836"/>
        <v/>
      </c>
      <c r="AS1310" s="150" t="str">
        <f t="shared" si="849"/>
        <v/>
      </c>
      <c r="AT1310" s="163" t="str">
        <f t="shared" si="837"/>
        <v/>
      </c>
      <c r="AU1310" s="163" t="str">
        <f t="shared" si="838"/>
        <v/>
      </c>
      <c r="AV1310" s="163" t="str">
        <f t="shared" si="850"/>
        <v/>
      </c>
      <c r="AW1310" s="163" t="str">
        <f t="shared" si="839"/>
        <v/>
      </c>
      <c r="AX1310" s="163" t="str">
        <f t="shared" si="840"/>
        <v/>
      </c>
      <c r="AY1310" s="150" t="str">
        <f t="shared" si="851"/>
        <v/>
      </c>
      <c r="AZ1310" s="150" t="str">
        <f>IF($E1310="","",IF(OR(AND($D1310=Input!$C$6,$C1310=12),$AN1310=1),0,-AS1311+AT1311+AU1311-AV1311-AW1311-AX1311+AZ1311))</f>
        <v/>
      </c>
      <c r="BA1310" s="154" t="str">
        <f t="shared" si="841"/>
        <v/>
      </c>
      <c r="BC1310" s="147" t="str">
        <f t="shared" si="852"/>
        <v/>
      </c>
      <c r="BD1310" s="164" t="str">
        <f>IF(AND($C1309=12,$D1309=Input!$C$6),0,IF($E1310="","",AT1310+(AU1310+BD1311)/(1+$AK1310)*MIN((1-AM1310-AN1310),1)))</f>
        <v/>
      </c>
      <c r="BH1310" s="152"/>
      <c r="BI1310" s="162" t="str">
        <f t="shared" si="860"/>
        <v/>
      </c>
      <c r="BJ1310" s="150" t="str">
        <f t="shared" si="861"/>
        <v/>
      </c>
      <c r="BK1310" s="163" t="str">
        <f t="shared" si="857"/>
        <v/>
      </c>
      <c r="BL1310" s="163" t="str">
        <f t="shared" si="862"/>
        <v/>
      </c>
      <c r="BM1310" s="163" t="str">
        <f t="shared" si="858"/>
        <v/>
      </c>
      <c r="BN1310" s="163" t="str">
        <f t="shared" si="863"/>
        <v/>
      </c>
      <c r="BO1310" s="163" t="str">
        <f t="shared" si="864"/>
        <v/>
      </c>
      <c r="BP1310" s="150" t="str">
        <f t="shared" si="859"/>
        <v/>
      </c>
      <c r="BQ1310" s="150" t="str">
        <f t="shared" si="853"/>
        <v/>
      </c>
      <c r="BR1310" s="154" t="str">
        <f t="shared" si="865"/>
        <v/>
      </c>
      <c r="BT1310" s="147"/>
    </row>
    <row r="1311" spans="1:72" s="150" customFormat="1" x14ac:dyDescent="0.25">
      <c r="A1311" s="150" t="str">
        <f t="shared" si="854"/>
        <v/>
      </c>
      <c r="B1311" s="150" t="str">
        <f t="shared" si="855"/>
        <v/>
      </c>
      <c r="C1311" s="150" t="str">
        <f t="shared" si="856"/>
        <v/>
      </c>
      <c r="D1311" s="150" t="str">
        <f>IF(E1311="","",Input!$C$4+B1311-1)</f>
        <v/>
      </c>
      <c r="E1311" s="150" t="str">
        <f>IF(OR(AND(C1310=12,D1310=Input!$C$6),E1310=""),"",1)</f>
        <v/>
      </c>
      <c r="G1311" s="151" t="str">
        <f>IF(E1311="","",MAX(0,Input!$C$9-B1311))</f>
        <v/>
      </c>
      <c r="H1311" s="152" t="str">
        <f>IF(E1311="","",Input!$C$3)</f>
        <v/>
      </c>
      <c r="I1311" s="153" t="str">
        <f>IF(E1311="","",HLOOKUP($B1311,Input!$C$13:$BT$14,2))</f>
        <v/>
      </c>
      <c r="J1311" s="154"/>
      <c r="K1311" s="150" t="str">
        <f>IF($E1311="","",INDEX(Input!$C$16:$CP$16,1,$B1311))</f>
        <v/>
      </c>
      <c r="L1311" s="150" t="str">
        <f>IF($E1311="","",Input!$C$37)</f>
        <v/>
      </c>
      <c r="M1311" s="150" t="str">
        <f t="shared" si="842"/>
        <v/>
      </c>
      <c r="N1311" s="150" t="str">
        <f t="shared" si="843"/>
        <v/>
      </c>
      <c r="O1311" s="147" t="str">
        <f>IF($E1311="","",MIN(VLOOKUP(IF($B1311&lt;=Input!$C$7,$B1311,26),'Mortality Tables'!$A$41:$CW$67,IF($B1311&lt;=Input!$C$7+1,Input!$C$4+2,$D1311-Input!$C$7+2),0)*IF(B1311&gt;20,Input!$C$22,1)/1000,1))</f>
        <v/>
      </c>
      <c r="P1311" s="147" t="str">
        <f>IF($E1311="","",MIN(VLOOKUP(IF($B1311&lt;=Input!$C$7,$B1311,26),'Mortality Tables'!$A$12:$CW$37,IF($B1311&lt;=Input!$C$7+1,Input!$C$4+2,$D1311-Input!$C$7+2),0)*IF(B1311&gt;20,Input!$C$22,1)/1000,1))</f>
        <v/>
      </c>
      <c r="Q1311" s="155" t="str">
        <f>IF($E1311="","",Input!$C$21)</f>
        <v/>
      </c>
      <c r="R1311" s="159" t="str">
        <f>IF($E1311="","",(1-Q1311)^($F1311-Input!$C$20))</f>
        <v/>
      </c>
      <c r="S1311" s="147" t="str">
        <f t="shared" si="831"/>
        <v/>
      </c>
      <c r="T1311" s="147" t="str">
        <f t="shared" si="832"/>
        <v/>
      </c>
      <c r="U1311" s="160" t="str">
        <f>IF($E1311="","",IF($C1311=12,INDEX(Input!$C$15:$CP$15,1,$B1311),0))</f>
        <v/>
      </c>
      <c r="V1311" s="150" t="str">
        <f>IF(E1311="","",IF(C1311=1,IF($B1311=1,Input!$C$33,Input!$C$34),0))</f>
        <v/>
      </c>
      <c r="W1311" s="156" t="str">
        <f>IF($E1311="","",Input!$C$35)</f>
        <v/>
      </c>
      <c r="X1311" s="156" t="str">
        <f t="shared" si="833"/>
        <v/>
      </c>
      <c r="Y1311" s="154"/>
      <c r="Z1311" s="147" t="str">
        <f>IF($E1311="","",VLOOKUP($D1311,'Mortality Margins &amp; Grading'!$AB$5:$AF$125,3,0)*IF(Summary!$D$25="Included Margin",IF(AND($B1311&gt;Input!$C$9,Summary!$D$31&lt;&gt;"Included Margin"),0,1),0))</f>
        <v/>
      </c>
      <c r="AA1311" s="147" t="str">
        <f>IF($E1311="","",VLOOKUP($D1311,'Mortality Margins &amp; Grading'!$AB$5:$AF$125,5,0)*IF(Summary!$D$25="Included Margin",IF(AND($B1311&gt;Input!$C$9,Summary!$D$31&lt;&gt;"Included Margin"),0,1),0))</f>
        <v/>
      </c>
      <c r="AB1311" s="147" t="str">
        <f>IF($E1311="","",IF(AND($B1311&gt;Input!$C$9,Summary!$D$31&lt;&gt;"Included Margin"),1,IF(Summary!$D$25="Included Margin",VLOOKUP($B1311,'Mortality Margins &amp; Grading'!$AI$5:$AR$125,MATCH('Mortality Margins &amp; Grading'!$AQ$4,'Mortality Margins &amp; Grading'!$AI$4:$AR$4,0),0),1)))</f>
        <v/>
      </c>
      <c r="AC1311" s="154"/>
      <c r="AD1311" s="158" t="str">
        <f>IF(E1311="","",Input!$C$48*IF(Summary!$D$30="Included Margin",IF(AND($B1311&gt;Input!$C$9,Summary!$D$31&lt;&gt;"Included Margin"),0,1),0))</f>
        <v/>
      </c>
      <c r="AE1311" s="159" t="str">
        <f>IF(E1311="","",IF(Summary!$D$26="Included Margin",IF(AND($B1311&gt;Input!$C$9,Summary!$D$31&lt;&gt;"Included Margin"),1,1/$R1311),1))</f>
        <v/>
      </c>
      <c r="AF1311" s="160" t="str">
        <f>IF(E1311="","",IF(AND($B1311&gt;=Input!$C$9,$C1311=12,Summary!$D$31="Included Margin",$U1311&gt;0),1/U1311-1,IF($B1311&gt;=Input!$C$9,0,Input!$C$45*IF(Summary!$D$27="Included Margin",1,0))))</f>
        <v/>
      </c>
      <c r="AG1311" s="160" t="str">
        <f>IF(E1311="","",Input!$C$46*IF(Summary!$D$28="Included Margin",IF(AND($B1311&gt;Input!$C$9,Summary!$D$31&lt;&gt;"Included Margin"),0,1),0))</f>
        <v/>
      </c>
      <c r="AH1311" s="158" t="str">
        <f>IF(E1311="","",Input!$C$47*IF(Summary!$D$29="Included Margin",IF(AND($B1311&gt;Input!$C$9,Summary!$D$31&lt;&gt;"Included Margin"),0,1),0))</f>
        <v/>
      </c>
      <c r="AI1311" s="154"/>
      <c r="AJ1311" s="158" t="str">
        <f t="shared" si="844"/>
        <v/>
      </c>
      <c r="AK1311" s="150" t="str">
        <f t="shared" si="845"/>
        <v/>
      </c>
      <c r="AL1311" s="147" t="str">
        <f t="shared" si="846"/>
        <v/>
      </c>
      <c r="AM1311" s="147" t="str">
        <f t="shared" si="834"/>
        <v/>
      </c>
      <c r="AN1311" s="160" t="str">
        <f t="shared" si="847"/>
        <v/>
      </c>
      <c r="AO1311" s="161" t="str">
        <f t="shared" si="848"/>
        <v/>
      </c>
      <c r="AP1311" s="156" t="str">
        <f t="shared" si="835"/>
        <v/>
      </c>
      <c r="AQ1311" s="152"/>
      <c r="AR1311" s="162" t="str">
        <f t="shared" si="836"/>
        <v/>
      </c>
      <c r="AS1311" s="150" t="str">
        <f t="shared" si="849"/>
        <v/>
      </c>
      <c r="AT1311" s="163" t="str">
        <f t="shared" si="837"/>
        <v/>
      </c>
      <c r="AU1311" s="163" t="str">
        <f t="shared" si="838"/>
        <v/>
      </c>
      <c r="AV1311" s="163" t="str">
        <f t="shared" si="850"/>
        <v/>
      </c>
      <c r="AW1311" s="163" t="str">
        <f t="shared" si="839"/>
        <v/>
      </c>
      <c r="AX1311" s="163" t="str">
        <f t="shared" si="840"/>
        <v/>
      </c>
      <c r="AY1311" s="150" t="str">
        <f t="shared" si="851"/>
        <v/>
      </c>
      <c r="AZ1311" s="150" t="str">
        <f>IF($E1311="","",IF(OR(AND($D1311=Input!$C$6,$C1311=12),$AN1311=1),0,-AS1312+AT1312+AU1312-AV1312-AW1312-AX1312+AZ1312))</f>
        <v/>
      </c>
      <c r="BA1311" s="154" t="str">
        <f t="shared" si="841"/>
        <v/>
      </c>
      <c r="BC1311" s="147" t="str">
        <f t="shared" si="852"/>
        <v/>
      </c>
      <c r="BD1311" s="164" t="str">
        <f>IF(AND($C1310=12,$D1310=Input!$C$6),0,IF($E1311="","",AT1311+(AU1311+BD1312)/(1+$AK1311)*MIN((1-AM1311-AN1311),1)))</f>
        <v/>
      </c>
      <c r="BH1311" s="152"/>
      <c r="BI1311" s="162" t="str">
        <f t="shared" si="860"/>
        <v/>
      </c>
      <c r="BJ1311" s="150" t="str">
        <f t="shared" si="861"/>
        <v/>
      </c>
      <c r="BK1311" s="163" t="str">
        <f t="shared" si="857"/>
        <v/>
      </c>
      <c r="BL1311" s="163" t="str">
        <f t="shared" si="862"/>
        <v/>
      </c>
      <c r="BM1311" s="163" t="str">
        <f t="shared" si="858"/>
        <v/>
      </c>
      <c r="BN1311" s="163" t="str">
        <f t="shared" si="863"/>
        <v/>
      </c>
      <c r="BO1311" s="163" t="str">
        <f t="shared" si="864"/>
        <v/>
      </c>
      <c r="BP1311" s="150" t="str">
        <f t="shared" si="859"/>
        <v/>
      </c>
      <c r="BQ1311" s="150" t="str">
        <f t="shared" si="853"/>
        <v/>
      </c>
      <c r="BR1311" s="154" t="str">
        <f t="shared" si="865"/>
        <v/>
      </c>
      <c r="BT1311" s="147"/>
    </row>
    <row r="1312" spans="1:72" s="150" customFormat="1" x14ac:dyDescent="0.25">
      <c r="A1312" s="150" t="str">
        <f t="shared" si="854"/>
        <v/>
      </c>
      <c r="B1312" s="150" t="str">
        <f t="shared" si="855"/>
        <v/>
      </c>
      <c r="C1312" s="150" t="str">
        <f t="shared" si="856"/>
        <v/>
      </c>
      <c r="D1312" s="150" t="str">
        <f>IF(E1312="","",Input!$C$4+B1312-1)</f>
        <v/>
      </c>
      <c r="E1312" s="150" t="str">
        <f>IF(OR(AND(C1311=12,D1311=Input!$C$6),E1311=""),"",1)</f>
        <v/>
      </c>
      <c r="G1312" s="151" t="str">
        <f>IF(E1312="","",MAX(0,Input!$C$9-B1312))</f>
        <v/>
      </c>
      <c r="H1312" s="152" t="str">
        <f>IF(E1312="","",Input!$C$3)</f>
        <v/>
      </c>
      <c r="I1312" s="153" t="str">
        <f>IF(E1312="","",HLOOKUP($B1312,Input!$C$13:$BT$14,2))</f>
        <v/>
      </c>
      <c r="J1312" s="154"/>
      <c r="K1312" s="150" t="str">
        <f>IF($E1312="","",INDEX(Input!$C$16:$CP$16,1,$B1312))</f>
        <v/>
      </c>
      <c r="L1312" s="150" t="str">
        <f>IF($E1312="","",Input!$C$37)</f>
        <v/>
      </c>
      <c r="M1312" s="150" t="str">
        <f t="shared" si="842"/>
        <v/>
      </c>
      <c r="N1312" s="150" t="str">
        <f t="shared" si="843"/>
        <v/>
      </c>
      <c r="O1312" s="147" t="str">
        <f>IF($E1312="","",MIN(VLOOKUP(IF($B1312&lt;=Input!$C$7,$B1312,26),'Mortality Tables'!$A$41:$CW$67,IF($B1312&lt;=Input!$C$7+1,Input!$C$4+2,$D1312-Input!$C$7+2),0)*IF(B1312&gt;20,Input!$C$22,1)/1000,1))</f>
        <v/>
      </c>
      <c r="P1312" s="147" t="str">
        <f>IF($E1312="","",MIN(VLOOKUP(IF($B1312&lt;=Input!$C$7,$B1312,26),'Mortality Tables'!$A$12:$CW$37,IF($B1312&lt;=Input!$C$7+1,Input!$C$4+2,$D1312-Input!$C$7+2),0)*IF(B1312&gt;20,Input!$C$22,1)/1000,1))</f>
        <v/>
      </c>
      <c r="Q1312" s="155" t="str">
        <f>IF($E1312="","",Input!$C$21)</f>
        <v/>
      </c>
      <c r="R1312" s="159" t="str">
        <f>IF($E1312="","",(1-Q1312)^($F1312-Input!$C$20))</f>
        <v/>
      </c>
      <c r="S1312" s="147" t="str">
        <f t="shared" si="831"/>
        <v/>
      </c>
      <c r="T1312" s="147" t="str">
        <f t="shared" si="832"/>
        <v/>
      </c>
      <c r="U1312" s="160" t="str">
        <f>IF($E1312="","",IF($C1312=12,INDEX(Input!$C$15:$CP$15,1,$B1312),0))</f>
        <v/>
      </c>
      <c r="V1312" s="150" t="str">
        <f>IF(E1312="","",IF(C1312=1,IF($B1312=1,Input!$C$33,Input!$C$34),0))</f>
        <v/>
      </c>
      <c r="W1312" s="156" t="str">
        <f>IF($E1312="","",Input!$C$35)</f>
        <v/>
      </c>
      <c r="X1312" s="156" t="str">
        <f t="shared" si="833"/>
        <v/>
      </c>
      <c r="Y1312" s="154"/>
      <c r="Z1312" s="147" t="str">
        <f>IF($E1312="","",VLOOKUP($D1312,'Mortality Margins &amp; Grading'!$AB$5:$AF$125,3,0)*IF(Summary!$D$25="Included Margin",IF(AND($B1312&gt;Input!$C$9,Summary!$D$31&lt;&gt;"Included Margin"),0,1),0))</f>
        <v/>
      </c>
      <c r="AA1312" s="147" t="str">
        <f>IF($E1312="","",VLOOKUP($D1312,'Mortality Margins &amp; Grading'!$AB$5:$AF$125,5,0)*IF(Summary!$D$25="Included Margin",IF(AND($B1312&gt;Input!$C$9,Summary!$D$31&lt;&gt;"Included Margin"),0,1),0))</f>
        <v/>
      </c>
      <c r="AB1312" s="147" t="str">
        <f>IF($E1312="","",IF(AND($B1312&gt;Input!$C$9,Summary!$D$31&lt;&gt;"Included Margin"),1,IF(Summary!$D$25="Included Margin",VLOOKUP($B1312,'Mortality Margins &amp; Grading'!$AI$5:$AR$125,MATCH('Mortality Margins &amp; Grading'!$AQ$4,'Mortality Margins &amp; Grading'!$AI$4:$AR$4,0),0),1)))</f>
        <v/>
      </c>
      <c r="AC1312" s="154"/>
      <c r="AD1312" s="158" t="str">
        <f>IF(E1312="","",Input!$C$48*IF(Summary!$D$30="Included Margin",IF(AND($B1312&gt;Input!$C$9,Summary!$D$31&lt;&gt;"Included Margin"),0,1),0))</f>
        <v/>
      </c>
      <c r="AE1312" s="159" t="str">
        <f>IF(E1312="","",IF(Summary!$D$26="Included Margin",IF(AND($B1312&gt;Input!$C$9,Summary!$D$31&lt;&gt;"Included Margin"),1,1/$R1312),1))</f>
        <v/>
      </c>
      <c r="AF1312" s="160" t="str">
        <f>IF(E1312="","",IF(AND($B1312&gt;=Input!$C$9,$C1312=12,Summary!$D$31="Included Margin",$U1312&gt;0),1/U1312-1,IF($B1312&gt;=Input!$C$9,0,Input!$C$45*IF(Summary!$D$27="Included Margin",1,0))))</f>
        <v/>
      </c>
      <c r="AG1312" s="160" t="str">
        <f>IF(E1312="","",Input!$C$46*IF(Summary!$D$28="Included Margin",IF(AND($B1312&gt;Input!$C$9,Summary!$D$31&lt;&gt;"Included Margin"),0,1),0))</f>
        <v/>
      </c>
      <c r="AH1312" s="158" t="str">
        <f>IF(E1312="","",Input!$C$47*IF(Summary!$D$29="Included Margin",IF(AND($B1312&gt;Input!$C$9,Summary!$D$31&lt;&gt;"Included Margin"),0,1),0))</f>
        <v/>
      </c>
      <c r="AI1312" s="154"/>
      <c r="AJ1312" s="158" t="str">
        <f t="shared" si="844"/>
        <v/>
      </c>
      <c r="AK1312" s="150" t="str">
        <f t="shared" si="845"/>
        <v/>
      </c>
      <c r="AL1312" s="147" t="str">
        <f t="shared" si="846"/>
        <v/>
      </c>
      <c r="AM1312" s="147" t="str">
        <f t="shared" si="834"/>
        <v/>
      </c>
      <c r="AN1312" s="160" t="str">
        <f t="shared" si="847"/>
        <v/>
      </c>
      <c r="AO1312" s="161" t="str">
        <f t="shared" si="848"/>
        <v/>
      </c>
      <c r="AP1312" s="156" t="str">
        <f t="shared" si="835"/>
        <v/>
      </c>
      <c r="AQ1312" s="152"/>
      <c r="AR1312" s="162" t="str">
        <f t="shared" si="836"/>
        <v/>
      </c>
      <c r="AS1312" s="150" t="str">
        <f t="shared" si="849"/>
        <v/>
      </c>
      <c r="AT1312" s="163" t="str">
        <f t="shared" si="837"/>
        <v/>
      </c>
      <c r="AU1312" s="163" t="str">
        <f t="shared" si="838"/>
        <v/>
      </c>
      <c r="AV1312" s="163" t="str">
        <f t="shared" si="850"/>
        <v/>
      </c>
      <c r="AW1312" s="163" t="str">
        <f t="shared" si="839"/>
        <v/>
      </c>
      <c r="AX1312" s="163" t="str">
        <f t="shared" si="840"/>
        <v/>
      </c>
      <c r="AY1312" s="150" t="str">
        <f t="shared" si="851"/>
        <v/>
      </c>
      <c r="AZ1312" s="150" t="str">
        <f>IF($E1312="","",IF(OR(AND($D1312=Input!$C$6,$C1312=12),$AN1312=1),0,-AS1313+AT1313+AU1313-AV1313-AW1313-AX1313+AZ1313))</f>
        <v/>
      </c>
      <c r="BA1312" s="154" t="str">
        <f t="shared" si="841"/>
        <v/>
      </c>
      <c r="BC1312" s="147" t="str">
        <f t="shared" si="852"/>
        <v/>
      </c>
      <c r="BD1312" s="164" t="str">
        <f>IF(AND($C1311=12,$D1311=Input!$C$6),0,IF($E1312="","",AT1312+(AU1312+BD1313)/(1+$AK1312)*MIN((1-AM1312-AN1312),1)))</f>
        <v/>
      </c>
      <c r="BH1312" s="152"/>
      <c r="BI1312" s="162" t="str">
        <f t="shared" si="860"/>
        <v/>
      </c>
      <c r="BJ1312" s="150" t="str">
        <f t="shared" si="861"/>
        <v/>
      </c>
      <c r="BK1312" s="163" t="str">
        <f t="shared" si="857"/>
        <v/>
      </c>
      <c r="BL1312" s="163" t="str">
        <f t="shared" si="862"/>
        <v/>
      </c>
      <c r="BM1312" s="163" t="str">
        <f t="shared" si="858"/>
        <v/>
      </c>
      <c r="BN1312" s="163" t="str">
        <f t="shared" si="863"/>
        <v/>
      </c>
      <c r="BO1312" s="163" t="str">
        <f t="shared" si="864"/>
        <v/>
      </c>
      <c r="BP1312" s="150" t="str">
        <f t="shared" si="859"/>
        <v/>
      </c>
      <c r="BQ1312" s="150" t="str">
        <f t="shared" si="853"/>
        <v/>
      </c>
      <c r="BR1312" s="154" t="str">
        <f t="shared" si="865"/>
        <v/>
      </c>
      <c r="BT1312" s="147"/>
    </row>
    <row r="1313" spans="1:72" s="150" customFormat="1" x14ac:dyDescent="0.25">
      <c r="A1313" s="150" t="str">
        <f t="shared" si="854"/>
        <v/>
      </c>
      <c r="B1313" s="150" t="str">
        <f t="shared" si="855"/>
        <v/>
      </c>
      <c r="C1313" s="150" t="str">
        <f t="shared" si="856"/>
        <v/>
      </c>
      <c r="D1313" s="150" t="str">
        <f>IF(E1313="","",Input!$C$4+B1313-1)</f>
        <v/>
      </c>
      <c r="E1313" s="150" t="str">
        <f>IF(OR(AND(C1312=12,D1312=Input!$C$6),E1312=""),"",1)</f>
        <v/>
      </c>
      <c r="G1313" s="151" t="str">
        <f>IF(E1313="","",MAX(0,Input!$C$9-B1313))</f>
        <v/>
      </c>
      <c r="H1313" s="152" t="str">
        <f>IF(E1313="","",Input!$C$3)</f>
        <v/>
      </c>
      <c r="I1313" s="153" t="str">
        <f>IF(E1313="","",HLOOKUP($B1313,Input!$C$13:$BT$14,2))</f>
        <v/>
      </c>
      <c r="J1313" s="154"/>
      <c r="K1313" s="150" t="str">
        <f>IF($E1313="","",INDEX(Input!$C$16:$CP$16,1,$B1313))</f>
        <v/>
      </c>
      <c r="L1313" s="150" t="str">
        <f>IF($E1313="","",Input!$C$37)</f>
        <v/>
      </c>
      <c r="M1313" s="150" t="str">
        <f t="shared" si="842"/>
        <v/>
      </c>
      <c r="N1313" s="150" t="str">
        <f t="shared" si="843"/>
        <v/>
      </c>
      <c r="O1313" s="147" t="str">
        <f>IF($E1313="","",MIN(VLOOKUP(IF($B1313&lt;=Input!$C$7,$B1313,26),'Mortality Tables'!$A$41:$CW$67,IF($B1313&lt;=Input!$C$7+1,Input!$C$4+2,$D1313-Input!$C$7+2),0)*IF(B1313&gt;20,Input!$C$22,1)/1000,1))</f>
        <v/>
      </c>
      <c r="P1313" s="147" t="str">
        <f>IF($E1313="","",MIN(VLOOKUP(IF($B1313&lt;=Input!$C$7,$B1313,26),'Mortality Tables'!$A$12:$CW$37,IF($B1313&lt;=Input!$C$7+1,Input!$C$4+2,$D1313-Input!$C$7+2),0)*IF(B1313&gt;20,Input!$C$22,1)/1000,1))</f>
        <v/>
      </c>
      <c r="Q1313" s="155" t="str">
        <f>IF($E1313="","",Input!$C$21)</f>
        <v/>
      </c>
      <c r="R1313" s="159" t="str">
        <f>IF($E1313="","",(1-Q1313)^($F1313-Input!$C$20))</f>
        <v/>
      </c>
      <c r="S1313" s="147" t="str">
        <f t="shared" si="831"/>
        <v/>
      </c>
      <c r="T1313" s="147" t="str">
        <f t="shared" si="832"/>
        <v/>
      </c>
      <c r="U1313" s="160" t="str">
        <f>IF($E1313="","",IF($C1313=12,INDEX(Input!$C$15:$CP$15,1,$B1313),0))</f>
        <v/>
      </c>
      <c r="V1313" s="150" t="str">
        <f>IF(E1313="","",IF(C1313=1,IF($B1313=1,Input!$C$33,Input!$C$34),0))</f>
        <v/>
      </c>
      <c r="W1313" s="156" t="str">
        <f>IF($E1313="","",Input!$C$35)</f>
        <v/>
      </c>
      <c r="X1313" s="156" t="str">
        <f t="shared" si="833"/>
        <v/>
      </c>
      <c r="Y1313" s="154"/>
      <c r="Z1313" s="147" t="str">
        <f>IF($E1313="","",VLOOKUP($D1313,'Mortality Margins &amp; Grading'!$AB$5:$AF$125,3,0)*IF(Summary!$D$25="Included Margin",IF(AND($B1313&gt;Input!$C$9,Summary!$D$31&lt;&gt;"Included Margin"),0,1),0))</f>
        <v/>
      </c>
      <c r="AA1313" s="147" t="str">
        <f>IF($E1313="","",VLOOKUP($D1313,'Mortality Margins &amp; Grading'!$AB$5:$AF$125,5,0)*IF(Summary!$D$25="Included Margin",IF(AND($B1313&gt;Input!$C$9,Summary!$D$31&lt;&gt;"Included Margin"),0,1),0))</f>
        <v/>
      </c>
      <c r="AB1313" s="147" t="str">
        <f>IF($E1313="","",IF(AND($B1313&gt;Input!$C$9,Summary!$D$31&lt;&gt;"Included Margin"),1,IF(Summary!$D$25="Included Margin",VLOOKUP($B1313,'Mortality Margins &amp; Grading'!$AI$5:$AR$125,MATCH('Mortality Margins &amp; Grading'!$AQ$4,'Mortality Margins &amp; Grading'!$AI$4:$AR$4,0),0),1)))</f>
        <v/>
      </c>
      <c r="AC1313" s="154"/>
      <c r="AD1313" s="158" t="str">
        <f>IF(E1313="","",Input!$C$48*IF(Summary!$D$30="Included Margin",IF(AND($B1313&gt;Input!$C$9,Summary!$D$31&lt;&gt;"Included Margin"),0,1),0))</f>
        <v/>
      </c>
      <c r="AE1313" s="159" t="str">
        <f>IF(E1313="","",IF(Summary!$D$26="Included Margin",IF(AND($B1313&gt;Input!$C$9,Summary!$D$31&lt;&gt;"Included Margin"),1,1/$R1313),1))</f>
        <v/>
      </c>
      <c r="AF1313" s="160" t="str">
        <f>IF(E1313="","",IF(AND($B1313&gt;=Input!$C$9,$C1313=12,Summary!$D$31="Included Margin",$U1313&gt;0),1/U1313-1,IF($B1313&gt;=Input!$C$9,0,Input!$C$45*IF(Summary!$D$27="Included Margin",1,0))))</f>
        <v/>
      </c>
      <c r="AG1313" s="160" t="str">
        <f>IF(E1313="","",Input!$C$46*IF(Summary!$D$28="Included Margin",IF(AND($B1313&gt;Input!$C$9,Summary!$D$31&lt;&gt;"Included Margin"),0,1),0))</f>
        <v/>
      </c>
      <c r="AH1313" s="158" t="str">
        <f>IF(E1313="","",Input!$C$47*IF(Summary!$D$29="Included Margin",IF(AND($B1313&gt;Input!$C$9,Summary!$D$31&lt;&gt;"Included Margin"),0,1),0))</f>
        <v/>
      </c>
      <c r="AI1313" s="154"/>
      <c r="AJ1313" s="158" t="str">
        <f t="shared" si="844"/>
        <v/>
      </c>
      <c r="AK1313" s="150" t="str">
        <f t="shared" si="845"/>
        <v/>
      </c>
      <c r="AL1313" s="147" t="str">
        <f t="shared" si="846"/>
        <v/>
      </c>
      <c r="AM1313" s="147" t="str">
        <f t="shared" si="834"/>
        <v/>
      </c>
      <c r="AN1313" s="160" t="str">
        <f t="shared" si="847"/>
        <v/>
      </c>
      <c r="AO1313" s="161" t="str">
        <f t="shared" si="848"/>
        <v/>
      </c>
      <c r="AP1313" s="156" t="str">
        <f t="shared" si="835"/>
        <v/>
      </c>
      <c r="AQ1313" s="152"/>
      <c r="AR1313" s="162" t="str">
        <f t="shared" si="836"/>
        <v/>
      </c>
      <c r="AS1313" s="150" t="str">
        <f t="shared" si="849"/>
        <v/>
      </c>
      <c r="AT1313" s="163" t="str">
        <f t="shared" si="837"/>
        <v/>
      </c>
      <c r="AU1313" s="163" t="str">
        <f t="shared" si="838"/>
        <v/>
      </c>
      <c r="AV1313" s="163" t="str">
        <f t="shared" si="850"/>
        <v/>
      </c>
      <c r="AW1313" s="163" t="str">
        <f t="shared" si="839"/>
        <v/>
      </c>
      <c r="AX1313" s="163" t="str">
        <f t="shared" si="840"/>
        <v/>
      </c>
      <c r="AY1313" s="150" t="str">
        <f t="shared" si="851"/>
        <v/>
      </c>
      <c r="AZ1313" s="150" t="str">
        <f>IF($E1313="","",IF(OR(AND($D1313=Input!$C$6,$C1313=12),$AN1313=1),0,-AS1314+AT1314+AU1314-AV1314-AW1314-AX1314+AZ1314))</f>
        <v/>
      </c>
      <c r="BA1313" s="154" t="str">
        <f t="shared" si="841"/>
        <v/>
      </c>
      <c r="BC1313" s="147" t="str">
        <f t="shared" si="852"/>
        <v/>
      </c>
      <c r="BD1313" s="164" t="str">
        <f>IF(AND($C1312=12,$D1312=Input!$C$6),0,IF($E1313="","",AT1313+(AU1313+BD1314)/(1+$AK1313)*MIN((1-AM1313-AN1313),1)))</f>
        <v/>
      </c>
      <c r="BH1313" s="152"/>
      <c r="BI1313" s="162" t="str">
        <f t="shared" si="860"/>
        <v/>
      </c>
      <c r="BJ1313" s="150" t="str">
        <f t="shared" si="861"/>
        <v/>
      </c>
      <c r="BK1313" s="163" t="str">
        <f t="shared" si="857"/>
        <v/>
      </c>
      <c r="BL1313" s="163" t="str">
        <f t="shared" si="862"/>
        <v/>
      </c>
      <c r="BM1313" s="163" t="str">
        <f t="shared" si="858"/>
        <v/>
      </c>
      <c r="BN1313" s="163" t="str">
        <f t="shared" si="863"/>
        <v/>
      </c>
      <c r="BO1313" s="163" t="str">
        <f t="shared" si="864"/>
        <v/>
      </c>
      <c r="BP1313" s="150" t="str">
        <f t="shared" si="859"/>
        <v/>
      </c>
      <c r="BQ1313" s="150" t="str">
        <f t="shared" si="853"/>
        <v/>
      </c>
      <c r="BR1313" s="154" t="str">
        <f t="shared" si="865"/>
        <v/>
      </c>
      <c r="BT1313" s="147"/>
    </row>
    <row r="1314" spans="1:72" s="150" customFormat="1" x14ac:dyDescent="0.25">
      <c r="A1314" s="150" t="str">
        <f t="shared" si="854"/>
        <v/>
      </c>
      <c r="B1314" s="150" t="str">
        <f t="shared" si="855"/>
        <v/>
      </c>
      <c r="C1314" s="150" t="str">
        <f t="shared" si="856"/>
        <v/>
      </c>
      <c r="D1314" s="150" t="str">
        <f>IF(E1314="","",Input!$C$4+B1314-1)</f>
        <v/>
      </c>
      <c r="E1314" s="150" t="str">
        <f>IF(OR(AND(C1313=12,D1313=Input!$C$6),E1313=""),"",1)</f>
        <v/>
      </c>
      <c r="G1314" s="151" t="str">
        <f>IF(E1314="","",MAX(0,Input!$C$9-B1314))</f>
        <v/>
      </c>
      <c r="H1314" s="152" t="str">
        <f>IF(E1314="","",Input!$C$3)</f>
        <v/>
      </c>
      <c r="I1314" s="153" t="str">
        <f>IF(E1314="","",HLOOKUP($B1314,Input!$C$13:$BT$14,2))</f>
        <v/>
      </c>
      <c r="J1314" s="154"/>
      <c r="K1314" s="150" t="str">
        <f>IF($E1314="","",INDEX(Input!$C$16:$CP$16,1,$B1314))</f>
        <v/>
      </c>
      <c r="L1314" s="150" t="str">
        <f>IF($E1314="","",Input!$C$37)</f>
        <v/>
      </c>
      <c r="M1314" s="150" t="str">
        <f t="shared" si="842"/>
        <v/>
      </c>
      <c r="N1314" s="150" t="str">
        <f t="shared" si="843"/>
        <v/>
      </c>
      <c r="O1314" s="147" t="str">
        <f>IF($E1314="","",MIN(VLOOKUP(IF($B1314&lt;=Input!$C$7,$B1314,26),'Mortality Tables'!$A$41:$CW$67,IF($B1314&lt;=Input!$C$7+1,Input!$C$4+2,$D1314-Input!$C$7+2),0)*IF(B1314&gt;20,Input!$C$22,1)/1000,1))</f>
        <v/>
      </c>
      <c r="P1314" s="147" t="str">
        <f>IF($E1314="","",MIN(VLOOKUP(IF($B1314&lt;=Input!$C$7,$B1314,26),'Mortality Tables'!$A$12:$CW$37,IF($B1314&lt;=Input!$C$7+1,Input!$C$4+2,$D1314-Input!$C$7+2),0)*IF(B1314&gt;20,Input!$C$22,1)/1000,1))</f>
        <v/>
      </c>
      <c r="Q1314" s="155" t="str">
        <f>IF($E1314="","",Input!$C$21)</f>
        <v/>
      </c>
      <c r="R1314" s="159" t="str">
        <f>IF($E1314="","",(1-Q1314)^($F1314-Input!$C$20))</f>
        <v/>
      </c>
      <c r="S1314" s="147" t="str">
        <f t="shared" si="831"/>
        <v/>
      </c>
      <c r="T1314" s="147" t="str">
        <f t="shared" si="832"/>
        <v/>
      </c>
      <c r="U1314" s="160" t="str">
        <f>IF($E1314="","",IF($C1314=12,INDEX(Input!$C$15:$CP$15,1,$B1314),0))</f>
        <v/>
      </c>
      <c r="V1314" s="150" t="str">
        <f>IF(E1314="","",IF(C1314=1,IF($B1314=1,Input!$C$33,Input!$C$34),0))</f>
        <v/>
      </c>
      <c r="W1314" s="156" t="str">
        <f>IF($E1314="","",Input!$C$35)</f>
        <v/>
      </c>
      <c r="X1314" s="156" t="str">
        <f t="shared" si="833"/>
        <v/>
      </c>
      <c r="Y1314" s="154"/>
      <c r="Z1314" s="147" t="str">
        <f>IF($E1314="","",VLOOKUP($D1314,'Mortality Margins &amp; Grading'!$AB$5:$AF$125,3,0)*IF(Summary!$D$25="Included Margin",IF(AND($B1314&gt;Input!$C$9,Summary!$D$31&lt;&gt;"Included Margin"),0,1),0))</f>
        <v/>
      </c>
      <c r="AA1314" s="147" t="str">
        <f>IF($E1314="","",VLOOKUP($D1314,'Mortality Margins &amp; Grading'!$AB$5:$AF$125,5,0)*IF(Summary!$D$25="Included Margin",IF(AND($B1314&gt;Input!$C$9,Summary!$D$31&lt;&gt;"Included Margin"),0,1),0))</f>
        <v/>
      </c>
      <c r="AB1314" s="147" t="str">
        <f>IF($E1314="","",IF(AND($B1314&gt;Input!$C$9,Summary!$D$31&lt;&gt;"Included Margin"),1,IF(Summary!$D$25="Included Margin",VLOOKUP($B1314,'Mortality Margins &amp; Grading'!$AI$5:$AR$125,MATCH('Mortality Margins &amp; Grading'!$AQ$4,'Mortality Margins &amp; Grading'!$AI$4:$AR$4,0),0),1)))</f>
        <v/>
      </c>
      <c r="AC1314" s="154"/>
      <c r="AD1314" s="158" t="str">
        <f>IF(E1314="","",Input!$C$48*IF(Summary!$D$30="Included Margin",IF(AND($B1314&gt;Input!$C$9,Summary!$D$31&lt;&gt;"Included Margin"),0,1),0))</f>
        <v/>
      </c>
      <c r="AE1314" s="159" t="str">
        <f>IF(E1314="","",IF(Summary!$D$26="Included Margin",IF(AND($B1314&gt;Input!$C$9,Summary!$D$31&lt;&gt;"Included Margin"),1,1/$R1314),1))</f>
        <v/>
      </c>
      <c r="AF1314" s="160" t="str">
        <f>IF(E1314="","",IF(AND($B1314&gt;=Input!$C$9,$C1314=12,Summary!$D$31="Included Margin",$U1314&gt;0),1/U1314-1,IF($B1314&gt;=Input!$C$9,0,Input!$C$45*IF(Summary!$D$27="Included Margin",1,0))))</f>
        <v/>
      </c>
      <c r="AG1314" s="160" t="str">
        <f>IF(E1314="","",Input!$C$46*IF(Summary!$D$28="Included Margin",IF(AND($B1314&gt;Input!$C$9,Summary!$D$31&lt;&gt;"Included Margin"),0,1),0))</f>
        <v/>
      </c>
      <c r="AH1314" s="158" t="str">
        <f>IF(E1314="","",Input!$C$47*IF(Summary!$D$29="Included Margin",IF(AND($B1314&gt;Input!$C$9,Summary!$D$31&lt;&gt;"Included Margin"),0,1),0))</f>
        <v/>
      </c>
      <c r="AI1314" s="154"/>
      <c r="AJ1314" s="158" t="str">
        <f t="shared" si="844"/>
        <v/>
      </c>
      <c r="AK1314" s="150" t="str">
        <f t="shared" si="845"/>
        <v/>
      </c>
      <c r="AL1314" s="147" t="str">
        <f t="shared" si="846"/>
        <v/>
      </c>
      <c r="AM1314" s="147" t="str">
        <f t="shared" si="834"/>
        <v/>
      </c>
      <c r="AN1314" s="160" t="str">
        <f t="shared" si="847"/>
        <v/>
      </c>
      <c r="AO1314" s="161" t="str">
        <f t="shared" si="848"/>
        <v/>
      </c>
      <c r="AP1314" s="156" t="str">
        <f t="shared" si="835"/>
        <v/>
      </c>
      <c r="AQ1314" s="152"/>
      <c r="AR1314" s="162" t="str">
        <f t="shared" si="836"/>
        <v/>
      </c>
      <c r="AS1314" s="150" t="str">
        <f t="shared" si="849"/>
        <v/>
      </c>
      <c r="AT1314" s="163" t="str">
        <f t="shared" si="837"/>
        <v/>
      </c>
      <c r="AU1314" s="163" t="str">
        <f t="shared" si="838"/>
        <v/>
      </c>
      <c r="AV1314" s="163" t="str">
        <f t="shared" si="850"/>
        <v/>
      </c>
      <c r="AW1314" s="163" t="str">
        <f t="shared" si="839"/>
        <v/>
      </c>
      <c r="AX1314" s="163" t="str">
        <f t="shared" si="840"/>
        <v/>
      </c>
      <c r="AY1314" s="150" t="str">
        <f t="shared" si="851"/>
        <v/>
      </c>
      <c r="AZ1314" s="150" t="str">
        <f>IF($E1314="","",IF(OR(AND($D1314=Input!$C$6,$C1314=12),$AN1314=1),0,-AS1315+AT1315+AU1315-AV1315-AW1315-AX1315+AZ1315))</f>
        <v/>
      </c>
      <c r="BA1314" s="154" t="str">
        <f t="shared" si="841"/>
        <v/>
      </c>
      <c r="BC1314" s="147" t="str">
        <f t="shared" si="852"/>
        <v/>
      </c>
      <c r="BD1314" s="164" t="str">
        <f>IF(AND($C1313=12,$D1313=Input!$C$6),0,IF($E1314="","",AT1314+(AU1314+BD1315)/(1+$AK1314)*MIN((1-AM1314-AN1314),1)))</f>
        <v/>
      </c>
      <c r="BH1314" s="152"/>
      <c r="BI1314" s="162" t="str">
        <f t="shared" si="860"/>
        <v/>
      </c>
      <c r="BJ1314" s="150" t="str">
        <f t="shared" si="861"/>
        <v/>
      </c>
      <c r="BK1314" s="163" t="str">
        <f t="shared" si="857"/>
        <v/>
      </c>
      <c r="BL1314" s="163" t="str">
        <f t="shared" si="862"/>
        <v/>
      </c>
      <c r="BM1314" s="163" t="str">
        <f t="shared" si="858"/>
        <v/>
      </c>
      <c r="BN1314" s="163" t="str">
        <f t="shared" si="863"/>
        <v/>
      </c>
      <c r="BO1314" s="163" t="str">
        <f t="shared" si="864"/>
        <v/>
      </c>
      <c r="BP1314" s="150" t="str">
        <f t="shared" si="859"/>
        <v/>
      </c>
      <c r="BQ1314" s="150" t="str">
        <f t="shared" si="853"/>
        <v/>
      </c>
      <c r="BR1314" s="154" t="str">
        <f t="shared" si="865"/>
        <v/>
      </c>
      <c r="BT1314" s="147"/>
    </row>
    <row r="1315" spans="1:72" s="150" customFormat="1" x14ac:dyDescent="0.25">
      <c r="A1315" s="150" t="str">
        <f t="shared" si="854"/>
        <v/>
      </c>
      <c r="B1315" s="150" t="str">
        <f t="shared" si="855"/>
        <v/>
      </c>
      <c r="C1315" s="150" t="str">
        <f t="shared" si="856"/>
        <v/>
      </c>
      <c r="D1315" s="150" t="str">
        <f>IF(E1315="","",Input!$C$4+B1315-1)</f>
        <v/>
      </c>
      <c r="E1315" s="150" t="str">
        <f>IF(OR(AND(C1314=12,D1314=Input!$C$6),E1314=""),"",1)</f>
        <v/>
      </c>
      <c r="G1315" s="151" t="str">
        <f>IF(E1315="","",MAX(0,Input!$C$9-B1315))</f>
        <v/>
      </c>
      <c r="H1315" s="152" t="str">
        <f>IF(E1315="","",Input!$C$3)</f>
        <v/>
      </c>
      <c r="I1315" s="153" t="str">
        <f>IF(E1315="","",HLOOKUP($B1315,Input!$C$13:$BT$14,2))</f>
        <v/>
      </c>
      <c r="J1315" s="154"/>
      <c r="K1315" s="150" t="str">
        <f>IF($E1315="","",INDEX(Input!$C$16:$CP$16,1,$B1315))</f>
        <v/>
      </c>
      <c r="L1315" s="150" t="str">
        <f>IF($E1315="","",Input!$C$37)</f>
        <v/>
      </c>
      <c r="M1315" s="150" t="str">
        <f t="shared" si="842"/>
        <v/>
      </c>
      <c r="N1315" s="150" t="str">
        <f t="shared" si="843"/>
        <v/>
      </c>
      <c r="O1315" s="147" t="str">
        <f>IF($E1315="","",MIN(VLOOKUP(IF($B1315&lt;=Input!$C$7,$B1315,26),'Mortality Tables'!$A$41:$CW$67,IF($B1315&lt;=Input!$C$7+1,Input!$C$4+2,$D1315-Input!$C$7+2),0)*IF(B1315&gt;20,Input!$C$22,1)/1000,1))</f>
        <v/>
      </c>
      <c r="P1315" s="147" t="str">
        <f>IF($E1315="","",MIN(VLOOKUP(IF($B1315&lt;=Input!$C$7,$B1315,26),'Mortality Tables'!$A$12:$CW$37,IF($B1315&lt;=Input!$C$7+1,Input!$C$4+2,$D1315-Input!$C$7+2),0)*IF(B1315&gt;20,Input!$C$22,1)/1000,1))</f>
        <v/>
      </c>
      <c r="Q1315" s="155" t="str">
        <f>IF($E1315="","",Input!$C$21)</f>
        <v/>
      </c>
      <c r="R1315" s="159" t="str">
        <f>IF($E1315="","",(1-Q1315)^($F1315-Input!$C$20))</f>
        <v/>
      </c>
      <c r="S1315" s="147" t="str">
        <f t="shared" si="831"/>
        <v/>
      </c>
      <c r="T1315" s="147" t="str">
        <f t="shared" si="832"/>
        <v/>
      </c>
      <c r="U1315" s="160" t="str">
        <f>IF($E1315="","",IF($C1315=12,INDEX(Input!$C$15:$CP$15,1,$B1315),0))</f>
        <v/>
      </c>
      <c r="V1315" s="150" t="str">
        <f>IF(E1315="","",IF(C1315=1,IF($B1315=1,Input!$C$33,Input!$C$34),0))</f>
        <v/>
      </c>
      <c r="W1315" s="156" t="str">
        <f>IF($E1315="","",Input!$C$35)</f>
        <v/>
      </c>
      <c r="X1315" s="156" t="str">
        <f t="shared" si="833"/>
        <v/>
      </c>
      <c r="Y1315" s="154"/>
      <c r="Z1315" s="147" t="str">
        <f>IF($E1315="","",VLOOKUP($D1315,'Mortality Margins &amp; Grading'!$AB$5:$AF$125,3,0)*IF(Summary!$D$25="Included Margin",IF(AND($B1315&gt;Input!$C$9,Summary!$D$31&lt;&gt;"Included Margin"),0,1),0))</f>
        <v/>
      </c>
      <c r="AA1315" s="147" t="str">
        <f>IF($E1315="","",VLOOKUP($D1315,'Mortality Margins &amp; Grading'!$AB$5:$AF$125,5,0)*IF(Summary!$D$25="Included Margin",IF(AND($B1315&gt;Input!$C$9,Summary!$D$31&lt;&gt;"Included Margin"),0,1),0))</f>
        <v/>
      </c>
      <c r="AB1315" s="147" t="str">
        <f>IF($E1315="","",IF(AND($B1315&gt;Input!$C$9,Summary!$D$31&lt;&gt;"Included Margin"),1,IF(Summary!$D$25="Included Margin",VLOOKUP($B1315,'Mortality Margins &amp; Grading'!$AI$5:$AR$125,MATCH('Mortality Margins &amp; Grading'!$AQ$4,'Mortality Margins &amp; Grading'!$AI$4:$AR$4,0),0),1)))</f>
        <v/>
      </c>
      <c r="AC1315" s="154"/>
      <c r="AD1315" s="158" t="str">
        <f>IF(E1315="","",Input!$C$48*IF(Summary!$D$30="Included Margin",IF(AND($B1315&gt;Input!$C$9,Summary!$D$31&lt;&gt;"Included Margin"),0,1),0))</f>
        <v/>
      </c>
      <c r="AE1315" s="159" t="str">
        <f>IF(E1315="","",IF(Summary!$D$26="Included Margin",IF(AND($B1315&gt;Input!$C$9,Summary!$D$31&lt;&gt;"Included Margin"),1,1/$R1315),1))</f>
        <v/>
      </c>
      <c r="AF1315" s="160" t="str">
        <f>IF(E1315="","",IF(AND($B1315&gt;=Input!$C$9,$C1315=12,Summary!$D$31="Included Margin",$U1315&gt;0),1/U1315-1,IF($B1315&gt;=Input!$C$9,0,Input!$C$45*IF(Summary!$D$27="Included Margin",1,0))))</f>
        <v/>
      </c>
      <c r="AG1315" s="160" t="str">
        <f>IF(E1315="","",Input!$C$46*IF(Summary!$D$28="Included Margin",IF(AND($B1315&gt;Input!$C$9,Summary!$D$31&lt;&gt;"Included Margin"),0,1),0))</f>
        <v/>
      </c>
      <c r="AH1315" s="158" t="str">
        <f>IF(E1315="","",Input!$C$47*IF(Summary!$D$29="Included Margin",IF(AND($B1315&gt;Input!$C$9,Summary!$D$31&lt;&gt;"Included Margin"),0,1),0))</f>
        <v/>
      </c>
      <c r="AI1315" s="154"/>
      <c r="AJ1315" s="158" t="str">
        <f t="shared" si="844"/>
        <v/>
      </c>
      <c r="AK1315" s="150" t="str">
        <f t="shared" si="845"/>
        <v/>
      </c>
      <c r="AL1315" s="147" t="str">
        <f t="shared" si="846"/>
        <v/>
      </c>
      <c r="AM1315" s="147" t="str">
        <f t="shared" si="834"/>
        <v/>
      </c>
      <c r="AN1315" s="160" t="str">
        <f t="shared" si="847"/>
        <v/>
      </c>
      <c r="AO1315" s="161" t="str">
        <f t="shared" si="848"/>
        <v/>
      </c>
      <c r="AP1315" s="156" t="str">
        <f t="shared" si="835"/>
        <v/>
      </c>
      <c r="AQ1315" s="152"/>
      <c r="AR1315" s="162" t="str">
        <f t="shared" si="836"/>
        <v/>
      </c>
      <c r="AS1315" s="150" t="str">
        <f t="shared" si="849"/>
        <v/>
      </c>
      <c r="AT1315" s="163" t="str">
        <f t="shared" si="837"/>
        <v/>
      </c>
      <c r="AU1315" s="163" t="str">
        <f t="shared" si="838"/>
        <v/>
      </c>
      <c r="AV1315" s="163" t="str">
        <f t="shared" si="850"/>
        <v/>
      </c>
      <c r="AW1315" s="163" t="str">
        <f t="shared" si="839"/>
        <v/>
      </c>
      <c r="AX1315" s="163" t="str">
        <f t="shared" si="840"/>
        <v/>
      </c>
      <c r="AY1315" s="150" t="str">
        <f t="shared" si="851"/>
        <v/>
      </c>
      <c r="AZ1315" s="150" t="str">
        <f>IF($E1315="","",IF(OR(AND($D1315=Input!$C$6,$C1315=12),$AN1315=1),0,-AS1316+AT1316+AU1316-AV1316-AW1316-AX1316+AZ1316))</f>
        <v/>
      </c>
      <c r="BA1315" s="154" t="str">
        <f t="shared" si="841"/>
        <v/>
      </c>
      <c r="BC1315" s="147" t="str">
        <f t="shared" si="852"/>
        <v/>
      </c>
      <c r="BD1315" s="164" t="str">
        <f>IF(AND($C1314=12,$D1314=Input!$C$6),0,IF($E1315="","",AT1315+(AU1315+BD1316)/(1+$AK1315)*MIN((1-AM1315-AN1315),1)))</f>
        <v/>
      </c>
      <c r="BH1315" s="152"/>
      <c r="BI1315" s="162" t="str">
        <f t="shared" si="860"/>
        <v/>
      </c>
      <c r="BJ1315" s="150" t="str">
        <f t="shared" si="861"/>
        <v/>
      </c>
      <c r="BK1315" s="163" t="str">
        <f t="shared" si="857"/>
        <v/>
      </c>
      <c r="BL1315" s="163" t="str">
        <f t="shared" si="862"/>
        <v/>
      </c>
      <c r="BM1315" s="163" t="str">
        <f t="shared" si="858"/>
        <v/>
      </c>
      <c r="BN1315" s="163" t="str">
        <f t="shared" si="863"/>
        <v/>
      </c>
      <c r="BO1315" s="163" t="str">
        <f t="shared" si="864"/>
        <v/>
      </c>
      <c r="BP1315" s="150" t="str">
        <f t="shared" si="859"/>
        <v/>
      </c>
      <c r="BQ1315" s="150" t="str">
        <f t="shared" si="853"/>
        <v/>
      </c>
      <c r="BR1315" s="154" t="str">
        <f t="shared" si="865"/>
        <v/>
      </c>
      <c r="BT1315" s="147"/>
    </row>
    <row r="1316" spans="1:72" s="150" customFormat="1" x14ac:dyDescent="0.25">
      <c r="A1316" s="150" t="str">
        <f t="shared" si="854"/>
        <v/>
      </c>
      <c r="B1316" s="150" t="str">
        <f t="shared" si="855"/>
        <v/>
      </c>
      <c r="C1316" s="150" t="str">
        <f t="shared" si="856"/>
        <v/>
      </c>
      <c r="D1316" s="150" t="str">
        <f>IF(E1316="","",Input!$C$4+B1316-1)</f>
        <v/>
      </c>
      <c r="E1316" s="150" t="str">
        <f>IF(OR(AND(C1315=12,D1315=Input!$C$6),E1315=""),"",1)</f>
        <v/>
      </c>
      <c r="G1316" s="151" t="str">
        <f>IF(E1316="","",MAX(0,Input!$C$9-B1316))</f>
        <v/>
      </c>
      <c r="H1316" s="152" t="str">
        <f>IF(E1316="","",Input!$C$3)</f>
        <v/>
      </c>
      <c r="I1316" s="153" t="str">
        <f>IF(E1316="","",HLOOKUP($B1316,Input!$C$13:$BT$14,2))</f>
        <v/>
      </c>
      <c r="J1316" s="154"/>
      <c r="K1316" s="150" t="str">
        <f>IF($E1316="","",INDEX(Input!$C$16:$CP$16,1,$B1316))</f>
        <v/>
      </c>
      <c r="L1316" s="150" t="str">
        <f>IF($E1316="","",Input!$C$37)</f>
        <v/>
      </c>
      <c r="M1316" s="150" t="str">
        <f t="shared" si="842"/>
        <v/>
      </c>
      <c r="N1316" s="150" t="str">
        <f t="shared" si="843"/>
        <v/>
      </c>
      <c r="O1316" s="147" t="str">
        <f>IF($E1316="","",MIN(VLOOKUP(IF($B1316&lt;=Input!$C$7,$B1316,26),'Mortality Tables'!$A$41:$CW$67,IF($B1316&lt;=Input!$C$7+1,Input!$C$4+2,$D1316-Input!$C$7+2),0)*IF(B1316&gt;20,Input!$C$22,1)/1000,1))</f>
        <v/>
      </c>
      <c r="P1316" s="147" t="str">
        <f>IF($E1316="","",MIN(VLOOKUP(IF($B1316&lt;=Input!$C$7,$B1316,26),'Mortality Tables'!$A$12:$CW$37,IF($B1316&lt;=Input!$C$7+1,Input!$C$4+2,$D1316-Input!$C$7+2),0)*IF(B1316&gt;20,Input!$C$22,1)/1000,1))</f>
        <v/>
      </c>
      <c r="Q1316" s="155" t="str">
        <f>IF($E1316="","",Input!$C$21)</f>
        <v/>
      </c>
      <c r="R1316" s="159" t="str">
        <f>IF($E1316="","",(1-Q1316)^($F1316-Input!$C$20))</f>
        <v/>
      </c>
      <c r="S1316" s="147" t="str">
        <f t="shared" si="831"/>
        <v/>
      </c>
      <c r="T1316" s="147" t="str">
        <f t="shared" si="832"/>
        <v/>
      </c>
      <c r="U1316" s="160" t="str">
        <f>IF($E1316="","",IF($C1316=12,INDEX(Input!$C$15:$CP$15,1,$B1316),0))</f>
        <v/>
      </c>
      <c r="V1316" s="150" t="str">
        <f>IF(E1316="","",IF(C1316=1,IF($B1316=1,Input!$C$33,Input!$C$34),0))</f>
        <v/>
      </c>
      <c r="W1316" s="156" t="str">
        <f>IF($E1316="","",Input!$C$35)</f>
        <v/>
      </c>
      <c r="X1316" s="156" t="str">
        <f t="shared" si="833"/>
        <v/>
      </c>
      <c r="Y1316" s="154"/>
      <c r="Z1316" s="147" t="str">
        <f>IF($E1316="","",VLOOKUP($D1316,'Mortality Margins &amp; Grading'!$AB$5:$AF$125,3,0)*IF(Summary!$D$25="Included Margin",IF(AND($B1316&gt;Input!$C$9,Summary!$D$31&lt;&gt;"Included Margin"),0,1),0))</f>
        <v/>
      </c>
      <c r="AA1316" s="147" t="str">
        <f>IF($E1316="","",VLOOKUP($D1316,'Mortality Margins &amp; Grading'!$AB$5:$AF$125,5,0)*IF(Summary!$D$25="Included Margin",IF(AND($B1316&gt;Input!$C$9,Summary!$D$31&lt;&gt;"Included Margin"),0,1),0))</f>
        <v/>
      </c>
      <c r="AB1316" s="147" t="str">
        <f>IF($E1316="","",IF(AND($B1316&gt;Input!$C$9,Summary!$D$31&lt;&gt;"Included Margin"),1,IF(Summary!$D$25="Included Margin",VLOOKUP($B1316,'Mortality Margins &amp; Grading'!$AI$5:$AR$125,MATCH('Mortality Margins &amp; Grading'!$AQ$4,'Mortality Margins &amp; Grading'!$AI$4:$AR$4,0),0),1)))</f>
        <v/>
      </c>
      <c r="AC1316" s="154"/>
      <c r="AD1316" s="158" t="str">
        <f>IF(E1316="","",Input!$C$48*IF(Summary!$D$30="Included Margin",IF(AND($B1316&gt;Input!$C$9,Summary!$D$31&lt;&gt;"Included Margin"),0,1),0))</f>
        <v/>
      </c>
      <c r="AE1316" s="159" t="str">
        <f>IF(E1316="","",IF(Summary!$D$26="Included Margin",IF(AND($B1316&gt;Input!$C$9,Summary!$D$31&lt;&gt;"Included Margin"),1,1/$R1316),1))</f>
        <v/>
      </c>
      <c r="AF1316" s="160" t="str">
        <f>IF(E1316="","",IF(AND($B1316&gt;=Input!$C$9,$C1316=12,Summary!$D$31="Included Margin",$U1316&gt;0),1/U1316-1,IF($B1316&gt;=Input!$C$9,0,Input!$C$45*IF(Summary!$D$27="Included Margin",1,0))))</f>
        <v/>
      </c>
      <c r="AG1316" s="160" t="str">
        <f>IF(E1316="","",Input!$C$46*IF(Summary!$D$28="Included Margin",IF(AND($B1316&gt;Input!$C$9,Summary!$D$31&lt;&gt;"Included Margin"),0,1),0))</f>
        <v/>
      </c>
      <c r="AH1316" s="158" t="str">
        <f>IF(E1316="","",Input!$C$47*IF(Summary!$D$29="Included Margin",IF(AND($B1316&gt;Input!$C$9,Summary!$D$31&lt;&gt;"Included Margin"),0,1),0))</f>
        <v/>
      </c>
      <c r="AI1316" s="154"/>
      <c r="AJ1316" s="158" t="str">
        <f t="shared" si="844"/>
        <v/>
      </c>
      <c r="AK1316" s="150" t="str">
        <f t="shared" si="845"/>
        <v/>
      </c>
      <c r="AL1316" s="147" t="str">
        <f t="shared" si="846"/>
        <v/>
      </c>
      <c r="AM1316" s="147" t="str">
        <f t="shared" si="834"/>
        <v/>
      </c>
      <c r="AN1316" s="160" t="str">
        <f t="shared" si="847"/>
        <v/>
      </c>
      <c r="AO1316" s="161" t="str">
        <f t="shared" si="848"/>
        <v/>
      </c>
      <c r="AP1316" s="156" t="str">
        <f t="shared" si="835"/>
        <v/>
      </c>
      <c r="AQ1316" s="152"/>
      <c r="AR1316" s="162" t="str">
        <f t="shared" si="836"/>
        <v/>
      </c>
      <c r="AS1316" s="150" t="str">
        <f t="shared" si="849"/>
        <v/>
      </c>
      <c r="AT1316" s="163" t="str">
        <f t="shared" si="837"/>
        <v/>
      </c>
      <c r="AU1316" s="163" t="str">
        <f t="shared" si="838"/>
        <v/>
      </c>
      <c r="AV1316" s="163" t="str">
        <f t="shared" si="850"/>
        <v/>
      </c>
      <c r="AW1316" s="163" t="str">
        <f t="shared" si="839"/>
        <v/>
      </c>
      <c r="AX1316" s="163" t="str">
        <f t="shared" si="840"/>
        <v/>
      </c>
      <c r="AY1316" s="150" t="str">
        <f t="shared" si="851"/>
        <v/>
      </c>
      <c r="AZ1316" s="150" t="str">
        <f>IF($E1316="","",IF(OR(AND($D1316=Input!$C$6,$C1316=12),$AN1316=1),0,-AS1317+AT1317+AU1317-AV1317-AW1317-AX1317+AZ1317))</f>
        <v/>
      </c>
      <c r="BA1316" s="154" t="str">
        <f t="shared" si="841"/>
        <v/>
      </c>
      <c r="BC1316" s="147" t="str">
        <f t="shared" si="852"/>
        <v/>
      </c>
      <c r="BD1316" s="164" t="str">
        <f>IF(AND($C1315=12,$D1315=Input!$C$6),0,IF($E1316="","",AT1316+(AU1316+BD1317)/(1+$AK1316)*MIN((1-AM1316-AN1316),1)))</f>
        <v/>
      </c>
      <c r="BH1316" s="152"/>
      <c r="BI1316" s="162" t="str">
        <f t="shared" si="860"/>
        <v/>
      </c>
      <c r="BJ1316" s="150" t="str">
        <f t="shared" si="861"/>
        <v/>
      </c>
      <c r="BK1316" s="163" t="str">
        <f t="shared" si="857"/>
        <v/>
      </c>
      <c r="BL1316" s="163" t="str">
        <f t="shared" si="862"/>
        <v/>
      </c>
      <c r="BM1316" s="163" t="str">
        <f t="shared" si="858"/>
        <v/>
      </c>
      <c r="BN1316" s="163" t="str">
        <f t="shared" si="863"/>
        <v/>
      </c>
      <c r="BO1316" s="163" t="str">
        <f t="shared" si="864"/>
        <v/>
      </c>
      <c r="BP1316" s="150" t="str">
        <f t="shared" si="859"/>
        <v/>
      </c>
      <c r="BQ1316" s="150" t="str">
        <f t="shared" si="853"/>
        <v/>
      </c>
      <c r="BR1316" s="154" t="str">
        <f t="shared" si="865"/>
        <v/>
      </c>
      <c r="BT1316" s="147"/>
    </row>
    <row r="1317" spans="1:72" s="150" customFormat="1" x14ac:dyDescent="0.25">
      <c r="A1317" s="150" t="str">
        <f t="shared" si="854"/>
        <v/>
      </c>
      <c r="B1317" s="150" t="str">
        <f t="shared" si="855"/>
        <v/>
      </c>
      <c r="C1317" s="150" t="str">
        <f t="shared" si="856"/>
        <v/>
      </c>
      <c r="D1317" s="150" t="str">
        <f>IF(E1317="","",Input!$C$4+B1317-1)</f>
        <v/>
      </c>
      <c r="E1317" s="150" t="str">
        <f>IF(OR(AND(C1316=12,D1316=Input!$C$6),E1316=""),"",1)</f>
        <v/>
      </c>
      <c r="G1317" s="151" t="str">
        <f>IF(E1317="","",MAX(0,Input!$C$9-B1317))</f>
        <v/>
      </c>
      <c r="H1317" s="152" t="str">
        <f>IF(E1317="","",Input!$C$3)</f>
        <v/>
      </c>
      <c r="I1317" s="153" t="str">
        <f>IF(E1317="","",HLOOKUP($B1317,Input!$C$13:$BT$14,2))</f>
        <v/>
      </c>
      <c r="J1317" s="154"/>
      <c r="K1317" s="150" t="str">
        <f>IF($E1317="","",INDEX(Input!$C$16:$CP$16,1,$B1317))</f>
        <v/>
      </c>
      <c r="L1317" s="150" t="str">
        <f>IF($E1317="","",Input!$C$37)</f>
        <v/>
      </c>
      <c r="M1317" s="150" t="str">
        <f t="shared" si="842"/>
        <v/>
      </c>
      <c r="N1317" s="150" t="str">
        <f t="shared" si="843"/>
        <v/>
      </c>
      <c r="O1317" s="147" t="str">
        <f>IF($E1317="","",MIN(VLOOKUP(IF($B1317&lt;=Input!$C$7,$B1317,26),'Mortality Tables'!$A$41:$CW$67,IF($B1317&lt;=Input!$C$7+1,Input!$C$4+2,$D1317-Input!$C$7+2),0)*IF(B1317&gt;20,Input!$C$22,1)/1000,1))</f>
        <v/>
      </c>
      <c r="P1317" s="147" t="str">
        <f>IF($E1317="","",MIN(VLOOKUP(IF($B1317&lt;=Input!$C$7,$B1317,26),'Mortality Tables'!$A$12:$CW$37,IF($B1317&lt;=Input!$C$7+1,Input!$C$4+2,$D1317-Input!$C$7+2),0)*IF(B1317&gt;20,Input!$C$22,1)/1000,1))</f>
        <v/>
      </c>
      <c r="Q1317" s="155" t="str">
        <f>IF($E1317="","",Input!$C$21)</f>
        <v/>
      </c>
      <c r="R1317" s="159" t="str">
        <f>IF($E1317="","",(1-Q1317)^($F1317-Input!$C$20))</f>
        <v/>
      </c>
      <c r="S1317" s="147" t="str">
        <f t="shared" si="831"/>
        <v/>
      </c>
      <c r="T1317" s="147" t="str">
        <f t="shared" si="832"/>
        <v/>
      </c>
      <c r="U1317" s="160" t="str">
        <f>IF($E1317="","",IF($C1317=12,INDEX(Input!$C$15:$CP$15,1,$B1317),0))</f>
        <v/>
      </c>
      <c r="V1317" s="150" t="str">
        <f>IF(E1317="","",IF(C1317=1,IF($B1317=1,Input!$C$33,Input!$C$34),0))</f>
        <v/>
      </c>
      <c r="W1317" s="156" t="str">
        <f>IF($E1317="","",Input!$C$35)</f>
        <v/>
      </c>
      <c r="X1317" s="156" t="str">
        <f t="shared" si="833"/>
        <v/>
      </c>
      <c r="Y1317" s="154"/>
      <c r="Z1317" s="147" t="str">
        <f>IF($E1317="","",VLOOKUP($D1317,'Mortality Margins &amp; Grading'!$AB$5:$AF$125,3,0)*IF(Summary!$D$25="Included Margin",IF(AND($B1317&gt;Input!$C$9,Summary!$D$31&lt;&gt;"Included Margin"),0,1),0))</f>
        <v/>
      </c>
      <c r="AA1317" s="147" t="str">
        <f>IF($E1317="","",VLOOKUP($D1317,'Mortality Margins &amp; Grading'!$AB$5:$AF$125,5,0)*IF(Summary!$D$25="Included Margin",IF(AND($B1317&gt;Input!$C$9,Summary!$D$31&lt;&gt;"Included Margin"),0,1),0))</f>
        <v/>
      </c>
      <c r="AB1317" s="147" t="str">
        <f>IF($E1317="","",IF(AND($B1317&gt;Input!$C$9,Summary!$D$31&lt;&gt;"Included Margin"),1,IF(Summary!$D$25="Included Margin",VLOOKUP($B1317,'Mortality Margins &amp; Grading'!$AI$5:$AR$125,MATCH('Mortality Margins &amp; Grading'!$AQ$4,'Mortality Margins &amp; Grading'!$AI$4:$AR$4,0),0),1)))</f>
        <v/>
      </c>
      <c r="AC1317" s="154"/>
      <c r="AD1317" s="158" t="str">
        <f>IF(E1317="","",Input!$C$48*IF(Summary!$D$30="Included Margin",IF(AND($B1317&gt;Input!$C$9,Summary!$D$31&lt;&gt;"Included Margin"),0,1),0))</f>
        <v/>
      </c>
      <c r="AE1317" s="159" t="str">
        <f>IF(E1317="","",IF(Summary!$D$26="Included Margin",IF(AND($B1317&gt;Input!$C$9,Summary!$D$31&lt;&gt;"Included Margin"),1,1/$R1317),1))</f>
        <v/>
      </c>
      <c r="AF1317" s="160" t="str">
        <f>IF(E1317="","",IF(AND($B1317&gt;=Input!$C$9,$C1317=12,Summary!$D$31="Included Margin",$U1317&gt;0),1/U1317-1,IF($B1317&gt;=Input!$C$9,0,Input!$C$45*IF(Summary!$D$27="Included Margin",1,0))))</f>
        <v/>
      </c>
      <c r="AG1317" s="160" t="str">
        <f>IF(E1317="","",Input!$C$46*IF(Summary!$D$28="Included Margin",IF(AND($B1317&gt;Input!$C$9,Summary!$D$31&lt;&gt;"Included Margin"),0,1),0))</f>
        <v/>
      </c>
      <c r="AH1317" s="158" t="str">
        <f>IF(E1317="","",Input!$C$47*IF(Summary!$D$29="Included Margin",IF(AND($B1317&gt;Input!$C$9,Summary!$D$31&lt;&gt;"Included Margin"),0,1),0))</f>
        <v/>
      </c>
      <c r="AI1317" s="154"/>
      <c r="AJ1317" s="158" t="str">
        <f t="shared" si="844"/>
        <v/>
      </c>
      <c r="AK1317" s="150" t="str">
        <f t="shared" si="845"/>
        <v/>
      </c>
      <c r="AL1317" s="147" t="str">
        <f t="shared" si="846"/>
        <v/>
      </c>
      <c r="AM1317" s="147" t="str">
        <f t="shared" si="834"/>
        <v/>
      </c>
      <c r="AN1317" s="160" t="str">
        <f t="shared" si="847"/>
        <v/>
      </c>
      <c r="AO1317" s="161" t="str">
        <f t="shared" si="848"/>
        <v/>
      </c>
      <c r="AP1317" s="156" t="str">
        <f t="shared" si="835"/>
        <v/>
      </c>
      <c r="AQ1317" s="152"/>
      <c r="AR1317" s="162" t="str">
        <f t="shared" si="836"/>
        <v/>
      </c>
      <c r="AS1317" s="150" t="str">
        <f t="shared" si="849"/>
        <v/>
      </c>
      <c r="AT1317" s="163" t="str">
        <f t="shared" si="837"/>
        <v/>
      </c>
      <c r="AU1317" s="163" t="str">
        <f t="shared" si="838"/>
        <v/>
      </c>
      <c r="AV1317" s="163" t="str">
        <f t="shared" si="850"/>
        <v/>
      </c>
      <c r="AW1317" s="163" t="str">
        <f t="shared" si="839"/>
        <v/>
      </c>
      <c r="AX1317" s="163" t="str">
        <f t="shared" si="840"/>
        <v/>
      </c>
      <c r="AY1317" s="150" t="str">
        <f t="shared" si="851"/>
        <v/>
      </c>
      <c r="AZ1317" s="150" t="str">
        <f>IF($E1317="","",IF(OR(AND($D1317=Input!$C$6,$C1317=12),$AN1317=1),0,-AS1318+AT1318+AU1318-AV1318-AW1318-AX1318+AZ1318))</f>
        <v/>
      </c>
      <c r="BA1317" s="154" t="str">
        <f t="shared" si="841"/>
        <v/>
      </c>
      <c r="BC1317" s="147" t="str">
        <f t="shared" si="852"/>
        <v/>
      </c>
      <c r="BD1317" s="164" t="str">
        <f>IF(AND($C1316=12,$D1316=Input!$C$6),0,IF($E1317="","",AT1317+(AU1317+BD1318)/(1+$AK1317)*MIN((1-AM1317-AN1317),1)))</f>
        <v/>
      </c>
      <c r="BH1317" s="152"/>
      <c r="BI1317" s="162" t="str">
        <f t="shared" si="860"/>
        <v/>
      </c>
      <c r="BJ1317" s="150" t="str">
        <f t="shared" si="861"/>
        <v/>
      </c>
      <c r="BK1317" s="163" t="str">
        <f t="shared" si="857"/>
        <v/>
      </c>
      <c r="BL1317" s="163" t="str">
        <f t="shared" si="862"/>
        <v/>
      </c>
      <c r="BM1317" s="163" t="str">
        <f t="shared" si="858"/>
        <v/>
      </c>
      <c r="BN1317" s="163" t="str">
        <f t="shared" si="863"/>
        <v/>
      </c>
      <c r="BO1317" s="163" t="str">
        <f t="shared" si="864"/>
        <v/>
      </c>
      <c r="BP1317" s="150" t="str">
        <f t="shared" si="859"/>
        <v/>
      </c>
      <c r="BQ1317" s="150" t="str">
        <f t="shared" si="853"/>
        <v/>
      </c>
      <c r="BR1317" s="154" t="str">
        <f t="shared" si="865"/>
        <v/>
      </c>
      <c r="BT1317" s="147"/>
    </row>
    <row r="1318" spans="1:72" s="150" customFormat="1" x14ac:dyDescent="0.25">
      <c r="A1318" s="150" t="str">
        <f t="shared" si="854"/>
        <v/>
      </c>
      <c r="B1318" s="150" t="str">
        <f t="shared" si="855"/>
        <v/>
      </c>
      <c r="C1318" s="150" t="str">
        <f t="shared" si="856"/>
        <v/>
      </c>
      <c r="D1318" s="150" t="str">
        <f>IF(E1318="","",Input!$C$4+B1318-1)</f>
        <v/>
      </c>
      <c r="E1318" s="150" t="str">
        <f>IF(OR(AND(C1317=12,D1317=Input!$C$6),E1317=""),"",1)</f>
        <v/>
      </c>
      <c r="G1318" s="151" t="str">
        <f>IF(E1318="","",MAX(0,Input!$C$9-B1318))</f>
        <v/>
      </c>
      <c r="H1318" s="152" t="str">
        <f>IF(E1318="","",Input!$C$3)</f>
        <v/>
      </c>
      <c r="I1318" s="153" t="str">
        <f>IF(E1318="","",HLOOKUP($B1318,Input!$C$13:$BT$14,2))</f>
        <v/>
      </c>
      <c r="J1318" s="154"/>
      <c r="K1318" s="150" t="str">
        <f>IF($E1318="","",INDEX(Input!$C$16:$CP$16,1,$B1318))</f>
        <v/>
      </c>
      <c r="L1318" s="150" t="str">
        <f>IF($E1318="","",Input!$C$37)</f>
        <v/>
      </c>
      <c r="M1318" s="150" t="str">
        <f t="shared" si="842"/>
        <v/>
      </c>
      <c r="N1318" s="150" t="str">
        <f t="shared" si="843"/>
        <v/>
      </c>
      <c r="O1318" s="147" t="str">
        <f>IF($E1318="","",MIN(VLOOKUP(IF($B1318&lt;=Input!$C$7,$B1318,26),'Mortality Tables'!$A$41:$CW$67,IF($B1318&lt;=Input!$C$7+1,Input!$C$4+2,$D1318-Input!$C$7+2),0)*IF(B1318&gt;20,Input!$C$22,1)/1000,1))</f>
        <v/>
      </c>
      <c r="P1318" s="147" t="str">
        <f>IF($E1318="","",MIN(VLOOKUP(IF($B1318&lt;=Input!$C$7,$B1318,26),'Mortality Tables'!$A$12:$CW$37,IF($B1318&lt;=Input!$C$7+1,Input!$C$4+2,$D1318-Input!$C$7+2),0)*IF(B1318&gt;20,Input!$C$22,1)/1000,1))</f>
        <v/>
      </c>
      <c r="Q1318" s="155" t="str">
        <f>IF($E1318="","",Input!$C$21)</f>
        <v/>
      </c>
      <c r="R1318" s="159" t="str">
        <f>IF($E1318="","",(1-Q1318)^($F1318-Input!$C$20))</f>
        <v/>
      </c>
      <c r="S1318" s="147" t="str">
        <f t="shared" si="831"/>
        <v/>
      </c>
      <c r="T1318" s="147" t="str">
        <f t="shared" si="832"/>
        <v/>
      </c>
      <c r="U1318" s="160" t="str">
        <f>IF($E1318="","",IF($C1318=12,INDEX(Input!$C$15:$CP$15,1,$B1318),0))</f>
        <v/>
      </c>
      <c r="V1318" s="150" t="str">
        <f>IF(E1318="","",IF(C1318=1,IF($B1318=1,Input!$C$33,Input!$C$34),0))</f>
        <v/>
      </c>
      <c r="W1318" s="156" t="str">
        <f>IF($E1318="","",Input!$C$35)</f>
        <v/>
      </c>
      <c r="X1318" s="156" t="str">
        <f t="shared" si="833"/>
        <v/>
      </c>
      <c r="Y1318" s="154"/>
      <c r="Z1318" s="147" t="str">
        <f>IF($E1318="","",VLOOKUP($D1318,'Mortality Margins &amp; Grading'!$AB$5:$AF$125,3,0)*IF(Summary!$D$25="Included Margin",IF(AND($B1318&gt;Input!$C$9,Summary!$D$31&lt;&gt;"Included Margin"),0,1),0))</f>
        <v/>
      </c>
      <c r="AA1318" s="147" t="str">
        <f>IF($E1318="","",VLOOKUP($D1318,'Mortality Margins &amp; Grading'!$AB$5:$AF$125,5,0)*IF(Summary!$D$25="Included Margin",IF(AND($B1318&gt;Input!$C$9,Summary!$D$31&lt;&gt;"Included Margin"),0,1),0))</f>
        <v/>
      </c>
      <c r="AB1318" s="147" t="str">
        <f>IF($E1318="","",IF(AND($B1318&gt;Input!$C$9,Summary!$D$31&lt;&gt;"Included Margin"),1,IF(Summary!$D$25="Included Margin",VLOOKUP($B1318,'Mortality Margins &amp; Grading'!$AI$5:$AR$125,MATCH('Mortality Margins &amp; Grading'!$AQ$4,'Mortality Margins &amp; Grading'!$AI$4:$AR$4,0),0),1)))</f>
        <v/>
      </c>
      <c r="AC1318" s="154"/>
      <c r="AD1318" s="158" t="str">
        <f>IF(E1318="","",Input!$C$48*IF(Summary!$D$30="Included Margin",IF(AND($B1318&gt;Input!$C$9,Summary!$D$31&lt;&gt;"Included Margin"),0,1),0))</f>
        <v/>
      </c>
      <c r="AE1318" s="159" t="str">
        <f>IF(E1318="","",IF(Summary!$D$26="Included Margin",IF(AND($B1318&gt;Input!$C$9,Summary!$D$31&lt;&gt;"Included Margin"),1,1/$R1318),1))</f>
        <v/>
      </c>
      <c r="AF1318" s="160" t="str">
        <f>IF(E1318="","",IF(AND($B1318&gt;=Input!$C$9,$C1318=12,Summary!$D$31="Included Margin",$U1318&gt;0),1/U1318-1,IF($B1318&gt;=Input!$C$9,0,Input!$C$45*IF(Summary!$D$27="Included Margin",1,0))))</f>
        <v/>
      </c>
      <c r="AG1318" s="160" t="str">
        <f>IF(E1318="","",Input!$C$46*IF(Summary!$D$28="Included Margin",IF(AND($B1318&gt;Input!$C$9,Summary!$D$31&lt;&gt;"Included Margin"),0,1),0))</f>
        <v/>
      </c>
      <c r="AH1318" s="158" t="str">
        <f>IF(E1318="","",Input!$C$47*IF(Summary!$D$29="Included Margin",IF(AND($B1318&gt;Input!$C$9,Summary!$D$31&lt;&gt;"Included Margin"),0,1),0))</f>
        <v/>
      </c>
      <c r="AI1318" s="154"/>
      <c r="AJ1318" s="158" t="str">
        <f t="shared" si="844"/>
        <v/>
      </c>
      <c r="AK1318" s="150" t="str">
        <f t="shared" si="845"/>
        <v/>
      </c>
      <c r="AL1318" s="147" t="str">
        <f t="shared" si="846"/>
        <v/>
      </c>
      <c r="AM1318" s="147" t="str">
        <f t="shared" si="834"/>
        <v/>
      </c>
      <c r="AN1318" s="160" t="str">
        <f t="shared" si="847"/>
        <v/>
      </c>
      <c r="AO1318" s="161" t="str">
        <f t="shared" si="848"/>
        <v/>
      </c>
      <c r="AP1318" s="156" t="str">
        <f t="shared" si="835"/>
        <v/>
      </c>
      <c r="AQ1318" s="152"/>
      <c r="AR1318" s="162" t="str">
        <f t="shared" si="836"/>
        <v/>
      </c>
      <c r="AS1318" s="150" t="str">
        <f t="shared" si="849"/>
        <v/>
      </c>
      <c r="AT1318" s="163" t="str">
        <f t="shared" si="837"/>
        <v/>
      </c>
      <c r="AU1318" s="163" t="str">
        <f t="shared" si="838"/>
        <v/>
      </c>
      <c r="AV1318" s="163" t="str">
        <f t="shared" si="850"/>
        <v/>
      </c>
      <c r="AW1318" s="163" t="str">
        <f t="shared" si="839"/>
        <v/>
      </c>
      <c r="AX1318" s="163" t="str">
        <f t="shared" si="840"/>
        <v/>
      </c>
      <c r="AY1318" s="150" t="str">
        <f t="shared" si="851"/>
        <v/>
      </c>
      <c r="AZ1318" s="150" t="str">
        <f>IF($E1318="","",IF(OR(AND($D1318=Input!$C$6,$C1318=12),$AN1318=1),0,-AS1319+AT1319+AU1319-AV1319-AW1319-AX1319+AZ1319))</f>
        <v/>
      </c>
      <c r="BA1318" s="154" t="str">
        <f t="shared" si="841"/>
        <v/>
      </c>
      <c r="BC1318" s="147" t="str">
        <f t="shared" si="852"/>
        <v/>
      </c>
      <c r="BD1318" s="164" t="str">
        <f>IF(AND($C1317=12,$D1317=Input!$C$6),0,IF($E1318="","",AT1318+(AU1318+BD1319)/(1+$AK1318)*MIN((1-AM1318-AN1318),1)))</f>
        <v/>
      </c>
      <c r="BH1318" s="152"/>
      <c r="BI1318" s="162" t="str">
        <f t="shared" si="860"/>
        <v/>
      </c>
      <c r="BJ1318" s="150" t="str">
        <f t="shared" si="861"/>
        <v/>
      </c>
      <c r="BK1318" s="163" t="str">
        <f t="shared" si="857"/>
        <v/>
      </c>
      <c r="BL1318" s="163" t="str">
        <f t="shared" si="862"/>
        <v/>
      </c>
      <c r="BM1318" s="163" t="str">
        <f t="shared" si="858"/>
        <v/>
      </c>
      <c r="BN1318" s="163" t="str">
        <f t="shared" si="863"/>
        <v/>
      </c>
      <c r="BO1318" s="163" t="str">
        <f t="shared" si="864"/>
        <v/>
      </c>
      <c r="BP1318" s="150" t="str">
        <f t="shared" si="859"/>
        <v/>
      </c>
      <c r="BQ1318" s="150" t="str">
        <f t="shared" si="853"/>
        <v/>
      </c>
      <c r="BR1318" s="154" t="str">
        <f t="shared" si="865"/>
        <v/>
      </c>
      <c r="BT1318" s="147"/>
    </row>
    <row r="1319" spans="1:72" s="150" customFormat="1" x14ac:dyDescent="0.25">
      <c r="A1319" s="150" t="str">
        <f t="shared" si="854"/>
        <v/>
      </c>
      <c r="B1319" s="150" t="str">
        <f t="shared" si="855"/>
        <v/>
      </c>
      <c r="C1319" s="150" t="str">
        <f t="shared" si="856"/>
        <v/>
      </c>
      <c r="D1319" s="150" t="str">
        <f>IF(E1319="","",Input!$C$4+B1319-1)</f>
        <v/>
      </c>
      <c r="E1319" s="150" t="str">
        <f>IF(OR(AND(C1318=12,D1318=Input!$C$6),E1318=""),"",1)</f>
        <v/>
      </c>
      <c r="G1319" s="151" t="str">
        <f>IF(E1319="","",MAX(0,Input!$C$9-B1319))</f>
        <v/>
      </c>
      <c r="H1319" s="152" t="str">
        <f>IF(E1319="","",Input!$C$3)</f>
        <v/>
      </c>
      <c r="I1319" s="153" t="str">
        <f>IF(E1319="","",HLOOKUP($B1319,Input!$C$13:$BT$14,2))</f>
        <v/>
      </c>
      <c r="J1319" s="154"/>
      <c r="K1319" s="150" t="str">
        <f>IF($E1319="","",INDEX(Input!$C$16:$CP$16,1,$B1319))</f>
        <v/>
      </c>
      <c r="L1319" s="150" t="str">
        <f>IF($E1319="","",Input!$C$37)</f>
        <v/>
      </c>
      <c r="M1319" s="150" t="str">
        <f t="shared" si="842"/>
        <v/>
      </c>
      <c r="N1319" s="150" t="str">
        <f t="shared" si="843"/>
        <v/>
      </c>
      <c r="O1319" s="147" t="str">
        <f>IF($E1319="","",MIN(VLOOKUP(IF($B1319&lt;=Input!$C$7,$B1319,26),'Mortality Tables'!$A$41:$CW$67,IF($B1319&lt;=Input!$C$7+1,Input!$C$4+2,$D1319-Input!$C$7+2),0)*IF(B1319&gt;20,Input!$C$22,1)/1000,1))</f>
        <v/>
      </c>
      <c r="P1319" s="147" t="str">
        <f>IF($E1319="","",MIN(VLOOKUP(IF($B1319&lt;=Input!$C$7,$B1319,26),'Mortality Tables'!$A$12:$CW$37,IF($B1319&lt;=Input!$C$7+1,Input!$C$4+2,$D1319-Input!$C$7+2),0)*IF(B1319&gt;20,Input!$C$22,1)/1000,1))</f>
        <v/>
      </c>
      <c r="Q1319" s="155" t="str">
        <f>IF($E1319="","",Input!$C$21)</f>
        <v/>
      </c>
      <c r="R1319" s="159" t="str">
        <f>IF($E1319="","",(1-Q1319)^($F1319-Input!$C$20))</f>
        <v/>
      </c>
      <c r="S1319" s="147" t="str">
        <f t="shared" si="831"/>
        <v/>
      </c>
      <c r="T1319" s="147" t="str">
        <f t="shared" si="832"/>
        <v/>
      </c>
      <c r="U1319" s="160" t="str">
        <f>IF($E1319="","",IF($C1319=12,INDEX(Input!$C$15:$CP$15,1,$B1319),0))</f>
        <v/>
      </c>
      <c r="V1319" s="150" t="str">
        <f>IF(E1319="","",IF(C1319=1,IF($B1319=1,Input!$C$33,Input!$C$34),0))</f>
        <v/>
      </c>
      <c r="W1319" s="156" t="str">
        <f>IF($E1319="","",Input!$C$35)</f>
        <v/>
      </c>
      <c r="X1319" s="156" t="str">
        <f t="shared" si="833"/>
        <v/>
      </c>
      <c r="Y1319" s="154"/>
      <c r="Z1319" s="147" t="str">
        <f>IF($E1319="","",VLOOKUP($D1319,'Mortality Margins &amp; Grading'!$AB$5:$AF$125,3,0)*IF(Summary!$D$25="Included Margin",IF(AND($B1319&gt;Input!$C$9,Summary!$D$31&lt;&gt;"Included Margin"),0,1),0))</f>
        <v/>
      </c>
      <c r="AA1319" s="147" t="str">
        <f>IF($E1319="","",VLOOKUP($D1319,'Mortality Margins &amp; Grading'!$AB$5:$AF$125,5,0)*IF(Summary!$D$25="Included Margin",IF(AND($B1319&gt;Input!$C$9,Summary!$D$31&lt;&gt;"Included Margin"),0,1),0))</f>
        <v/>
      </c>
      <c r="AB1319" s="147" t="str">
        <f>IF($E1319="","",IF(AND($B1319&gt;Input!$C$9,Summary!$D$31&lt;&gt;"Included Margin"),1,IF(Summary!$D$25="Included Margin",VLOOKUP($B1319,'Mortality Margins &amp; Grading'!$AI$5:$AR$125,MATCH('Mortality Margins &amp; Grading'!$AQ$4,'Mortality Margins &amp; Grading'!$AI$4:$AR$4,0),0),1)))</f>
        <v/>
      </c>
      <c r="AC1319" s="154"/>
      <c r="AD1319" s="158" t="str">
        <f>IF(E1319="","",Input!$C$48*IF(Summary!$D$30="Included Margin",IF(AND($B1319&gt;Input!$C$9,Summary!$D$31&lt;&gt;"Included Margin"),0,1),0))</f>
        <v/>
      </c>
      <c r="AE1319" s="159" t="str">
        <f>IF(E1319="","",IF(Summary!$D$26="Included Margin",IF(AND($B1319&gt;Input!$C$9,Summary!$D$31&lt;&gt;"Included Margin"),1,1/$R1319),1))</f>
        <v/>
      </c>
      <c r="AF1319" s="160" t="str">
        <f>IF(E1319="","",IF(AND($B1319&gt;=Input!$C$9,$C1319=12,Summary!$D$31="Included Margin",$U1319&gt;0),1/U1319-1,IF($B1319&gt;=Input!$C$9,0,Input!$C$45*IF(Summary!$D$27="Included Margin",1,0))))</f>
        <v/>
      </c>
      <c r="AG1319" s="160" t="str">
        <f>IF(E1319="","",Input!$C$46*IF(Summary!$D$28="Included Margin",IF(AND($B1319&gt;Input!$C$9,Summary!$D$31&lt;&gt;"Included Margin"),0,1),0))</f>
        <v/>
      </c>
      <c r="AH1319" s="158" t="str">
        <f>IF(E1319="","",Input!$C$47*IF(Summary!$D$29="Included Margin",IF(AND($B1319&gt;Input!$C$9,Summary!$D$31&lt;&gt;"Included Margin"),0,1),0))</f>
        <v/>
      </c>
      <c r="AI1319" s="154"/>
      <c r="AJ1319" s="158" t="str">
        <f t="shared" si="844"/>
        <v/>
      </c>
      <c r="AK1319" s="150" t="str">
        <f t="shared" si="845"/>
        <v/>
      </c>
      <c r="AL1319" s="147" t="str">
        <f t="shared" si="846"/>
        <v/>
      </c>
      <c r="AM1319" s="147" t="str">
        <f t="shared" si="834"/>
        <v/>
      </c>
      <c r="AN1319" s="160" t="str">
        <f t="shared" si="847"/>
        <v/>
      </c>
      <c r="AO1319" s="161" t="str">
        <f t="shared" si="848"/>
        <v/>
      </c>
      <c r="AP1319" s="156" t="str">
        <f t="shared" si="835"/>
        <v/>
      </c>
      <c r="AQ1319" s="152"/>
      <c r="AR1319" s="162" t="str">
        <f t="shared" si="836"/>
        <v/>
      </c>
      <c r="AS1319" s="150" t="str">
        <f t="shared" si="849"/>
        <v/>
      </c>
      <c r="AT1319" s="163" t="str">
        <f t="shared" si="837"/>
        <v/>
      </c>
      <c r="AU1319" s="163" t="str">
        <f t="shared" si="838"/>
        <v/>
      </c>
      <c r="AV1319" s="163" t="str">
        <f t="shared" si="850"/>
        <v/>
      </c>
      <c r="AW1319" s="163" t="str">
        <f t="shared" si="839"/>
        <v/>
      </c>
      <c r="AX1319" s="163" t="str">
        <f t="shared" si="840"/>
        <v/>
      </c>
      <c r="AY1319" s="150" t="str">
        <f t="shared" si="851"/>
        <v/>
      </c>
      <c r="AZ1319" s="150" t="str">
        <f>IF($E1319="","",IF(OR(AND($D1319=Input!$C$6,$C1319=12),$AN1319=1),0,-AS1320+AT1320+AU1320-AV1320-AW1320-AX1320+AZ1320))</f>
        <v/>
      </c>
      <c r="BA1319" s="154" t="str">
        <f t="shared" si="841"/>
        <v/>
      </c>
      <c r="BC1319" s="147" t="str">
        <f t="shared" si="852"/>
        <v/>
      </c>
      <c r="BD1319" s="164" t="str">
        <f>IF(AND($C1318=12,$D1318=Input!$C$6),0,IF($E1319="","",AT1319+(AU1319+BD1320)/(1+$AK1319)*MIN((1-AM1319-AN1319),1)))</f>
        <v/>
      </c>
      <c r="BH1319" s="152"/>
      <c r="BI1319" s="162" t="str">
        <f t="shared" si="860"/>
        <v/>
      </c>
      <c r="BJ1319" s="150" t="str">
        <f t="shared" si="861"/>
        <v/>
      </c>
      <c r="BK1319" s="163" t="str">
        <f t="shared" si="857"/>
        <v/>
      </c>
      <c r="BL1319" s="163" t="str">
        <f t="shared" si="862"/>
        <v/>
      </c>
      <c r="BM1319" s="163" t="str">
        <f t="shared" si="858"/>
        <v/>
      </c>
      <c r="BN1319" s="163" t="str">
        <f t="shared" si="863"/>
        <v/>
      </c>
      <c r="BO1319" s="163" t="str">
        <f t="shared" si="864"/>
        <v/>
      </c>
      <c r="BP1319" s="150" t="str">
        <f t="shared" si="859"/>
        <v/>
      </c>
      <c r="BQ1319" s="150" t="str">
        <f t="shared" si="853"/>
        <v/>
      </c>
      <c r="BR1319" s="154" t="str">
        <f t="shared" si="865"/>
        <v/>
      </c>
      <c r="BT1319" s="147"/>
    </row>
    <row r="1320" spans="1:72" s="150" customFormat="1" x14ac:dyDescent="0.25">
      <c r="A1320" s="150" t="str">
        <f t="shared" si="854"/>
        <v/>
      </c>
      <c r="B1320" s="150" t="str">
        <f t="shared" si="855"/>
        <v/>
      </c>
      <c r="C1320" s="150" t="str">
        <f t="shared" si="856"/>
        <v/>
      </c>
      <c r="D1320" s="150" t="str">
        <f>IF(E1320="","",Input!$C$4+B1320-1)</f>
        <v/>
      </c>
      <c r="E1320" s="150" t="str">
        <f>IF(OR(AND(C1319=12,D1319=Input!$C$6),E1319=""),"",1)</f>
        <v/>
      </c>
      <c r="G1320" s="151" t="str">
        <f>IF(E1320="","",MAX(0,Input!$C$9-B1320))</f>
        <v/>
      </c>
      <c r="H1320" s="152" t="str">
        <f>IF(E1320="","",Input!$C$3)</f>
        <v/>
      </c>
      <c r="I1320" s="153" t="str">
        <f>IF(E1320="","",HLOOKUP($B1320,Input!$C$13:$BT$14,2))</f>
        <v/>
      </c>
      <c r="J1320" s="154"/>
      <c r="K1320" s="150" t="str">
        <f>IF($E1320="","",INDEX(Input!$C$16:$CP$16,1,$B1320))</f>
        <v/>
      </c>
      <c r="L1320" s="150" t="str">
        <f>IF($E1320="","",Input!$C$37)</f>
        <v/>
      </c>
      <c r="M1320" s="150" t="str">
        <f t="shared" si="842"/>
        <v/>
      </c>
      <c r="N1320" s="150" t="str">
        <f t="shared" si="843"/>
        <v/>
      </c>
      <c r="O1320" s="147" t="str">
        <f>IF($E1320="","",MIN(VLOOKUP(IF($B1320&lt;=Input!$C$7,$B1320,26),'Mortality Tables'!$A$41:$CW$67,IF($B1320&lt;=Input!$C$7+1,Input!$C$4+2,$D1320-Input!$C$7+2),0)*IF(B1320&gt;20,Input!$C$22,1)/1000,1))</f>
        <v/>
      </c>
      <c r="P1320" s="147" t="str">
        <f>IF($E1320="","",MIN(VLOOKUP(IF($B1320&lt;=Input!$C$7,$B1320,26),'Mortality Tables'!$A$12:$CW$37,IF($B1320&lt;=Input!$C$7+1,Input!$C$4+2,$D1320-Input!$C$7+2),0)*IF(B1320&gt;20,Input!$C$22,1)/1000,1))</f>
        <v/>
      </c>
      <c r="Q1320" s="155" t="str">
        <f>IF($E1320="","",Input!$C$21)</f>
        <v/>
      </c>
      <c r="R1320" s="159" t="str">
        <f>IF($E1320="","",(1-Q1320)^($F1320-Input!$C$20))</f>
        <v/>
      </c>
      <c r="S1320" s="147" t="str">
        <f t="shared" si="831"/>
        <v/>
      </c>
      <c r="T1320" s="147" t="str">
        <f t="shared" si="832"/>
        <v/>
      </c>
      <c r="U1320" s="160" t="str">
        <f>IF($E1320="","",IF($C1320=12,INDEX(Input!$C$15:$CP$15,1,$B1320),0))</f>
        <v/>
      </c>
      <c r="V1320" s="150" t="str">
        <f>IF(E1320="","",IF(C1320=1,IF($B1320=1,Input!$C$33,Input!$C$34),0))</f>
        <v/>
      </c>
      <c r="W1320" s="156" t="str">
        <f>IF($E1320="","",Input!$C$35)</f>
        <v/>
      </c>
      <c r="X1320" s="156" t="str">
        <f t="shared" si="833"/>
        <v/>
      </c>
      <c r="Y1320" s="154"/>
      <c r="Z1320" s="147" t="str">
        <f>IF($E1320="","",VLOOKUP($D1320,'Mortality Margins &amp; Grading'!$AB$5:$AF$125,3,0)*IF(Summary!$D$25="Included Margin",IF(AND($B1320&gt;Input!$C$9,Summary!$D$31&lt;&gt;"Included Margin"),0,1),0))</f>
        <v/>
      </c>
      <c r="AA1320" s="147" t="str">
        <f>IF($E1320="","",VLOOKUP($D1320,'Mortality Margins &amp; Grading'!$AB$5:$AF$125,5,0)*IF(Summary!$D$25="Included Margin",IF(AND($B1320&gt;Input!$C$9,Summary!$D$31&lt;&gt;"Included Margin"),0,1),0))</f>
        <v/>
      </c>
      <c r="AB1320" s="147" t="str">
        <f>IF($E1320="","",IF(AND($B1320&gt;Input!$C$9,Summary!$D$31&lt;&gt;"Included Margin"),1,IF(Summary!$D$25="Included Margin",VLOOKUP($B1320,'Mortality Margins &amp; Grading'!$AI$5:$AR$125,MATCH('Mortality Margins &amp; Grading'!$AQ$4,'Mortality Margins &amp; Grading'!$AI$4:$AR$4,0),0),1)))</f>
        <v/>
      </c>
      <c r="AC1320" s="154"/>
      <c r="AD1320" s="158" t="str">
        <f>IF(E1320="","",Input!$C$48*IF(Summary!$D$30="Included Margin",IF(AND($B1320&gt;Input!$C$9,Summary!$D$31&lt;&gt;"Included Margin"),0,1),0))</f>
        <v/>
      </c>
      <c r="AE1320" s="159" t="str">
        <f>IF(E1320="","",IF(Summary!$D$26="Included Margin",IF(AND($B1320&gt;Input!$C$9,Summary!$D$31&lt;&gt;"Included Margin"),1,1/$R1320),1))</f>
        <v/>
      </c>
      <c r="AF1320" s="160" t="str">
        <f>IF(E1320="","",IF(AND($B1320&gt;=Input!$C$9,$C1320=12,Summary!$D$31="Included Margin",$U1320&gt;0),1/U1320-1,IF($B1320&gt;=Input!$C$9,0,Input!$C$45*IF(Summary!$D$27="Included Margin",1,0))))</f>
        <v/>
      </c>
      <c r="AG1320" s="160" t="str">
        <f>IF(E1320="","",Input!$C$46*IF(Summary!$D$28="Included Margin",IF(AND($B1320&gt;Input!$C$9,Summary!$D$31&lt;&gt;"Included Margin"),0,1),0))</f>
        <v/>
      </c>
      <c r="AH1320" s="158" t="str">
        <f>IF(E1320="","",Input!$C$47*IF(Summary!$D$29="Included Margin",IF(AND($B1320&gt;Input!$C$9,Summary!$D$31&lt;&gt;"Included Margin"),0,1),0))</f>
        <v/>
      </c>
      <c r="AI1320" s="154"/>
      <c r="AJ1320" s="158" t="str">
        <f t="shared" si="844"/>
        <v/>
      </c>
      <c r="AK1320" s="150" t="str">
        <f t="shared" si="845"/>
        <v/>
      </c>
      <c r="AL1320" s="147" t="str">
        <f t="shared" si="846"/>
        <v/>
      </c>
      <c r="AM1320" s="147" t="str">
        <f t="shared" si="834"/>
        <v/>
      </c>
      <c r="AN1320" s="160" t="str">
        <f t="shared" si="847"/>
        <v/>
      </c>
      <c r="AO1320" s="161" t="str">
        <f t="shared" si="848"/>
        <v/>
      </c>
      <c r="AP1320" s="156" t="str">
        <f t="shared" si="835"/>
        <v/>
      </c>
      <c r="AQ1320" s="152"/>
      <c r="AR1320" s="162" t="str">
        <f t="shared" si="836"/>
        <v/>
      </c>
      <c r="AS1320" s="150" t="str">
        <f t="shared" si="849"/>
        <v/>
      </c>
      <c r="AT1320" s="163" t="str">
        <f t="shared" si="837"/>
        <v/>
      </c>
      <c r="AU1320" s="163" t="str">
        <f t="shared" si="838"/>
        <v/>
      </c>
      <c r="AV1320" s="163" t="str">
        <f t="shared" si="850"/>
        <v/>
      </c>
      <c r="AW1320" s="163" t="str">
        <f t="shared" si="839"/>
        <v/>
      </c>
      <c r="AX1320" s="163" t="str">
        <f t="shared" si="840"/>
        <v/>
      </c>
      <c r="AY1320" s="150" t="str">
        <f t="shared" si="851"/>
        <v/>
      </c>
      <c r="AZ1320" s="150" t="str">
        <f>IF($E1320="","",IF(OR(AND($D1320=Input!$C$6,$C1320=12),$AN1320=1),0,-AS1321+AT1321+AU1321-AV1321-AW1321-AX1321+AZ1321))</f>
        <v/>
      </c>
      <c r="BA1320" s="154" t="str">
        <f t="shared" si="841"/>
        <v/>
      </c>
      <c r="BC1320" s="147" t="str">
        <f t="shared" si="852"/>
        <v/>
      </c>
      <c r="BD1320" s="164" t="str">
        <f>IF(AND($C1319=12,$D1319=Input!$C$6),0,IF($E1320="","",AT1320+(AU1320+BD1321)/(1+$AK1320)*MIN((1-AM1320-AN1320),1)))</f>
        <v/>
      </c>
      <c r="BH1320" s="152"/>
      <c r="BI1320" s="162" t="str">
        <f t="shared" si="860"/>
        <v/>
      </c>
      <c r="BJ1320" s="150" t="str">
        <f t="shared" si="861"/>
        <v/>
      </c>
      <c r="BK1320" s="163" t="str">
        <f t="shared" si="857"/>
        <v/>
      </c>
      <c r="BL1320" s="163" t="str">
        <f t="shared" si="862"/>
        <v/>
      </c>
      <c r="BM1320" s="163" t="str">
        <f t="shared" si="858"/>
        <v/>
      </c>
      <c r="BN1320" s="163" t="str">
        <f t="shared" si="863"/>
        <v/>
      </c>
      <c r="BO1320" s="163" t="str">
        <f t="shared" si="864"/>
        <v/>
      </c>
      <c r="BP1320" s="150" t="str">
        <f t="shared" si="859"/>
        <v/>
      </c>
      <c r="BQ1320" s="150" t="str">
        <f t="shared" si="853"/>
        <v/>
      </c>
      <c r="BR1320" s="154" t="str">
        <f t="shared" si="865"/>
        <v/>
      </c>
      <c r="BT1320" s="147"/>
    </row>
    <row r="1321" spans="1:72" s="150" customFormat="1" x14ac:dyDescent="0.25">
      <c r="A1321" s="150" t="str">
        <f t="shared" si="854"/>
        <v/>
      </c>
      <c r="B1321" s="150" t="str">
        <f t="shared" si="855"/>
        <v/>
      </c>
      <c r="C1321" s="150" t="str">
        <f t="shared" si="856"/>
        <v/>
      </c>
      <c r="D1321" s="150" t="str">
        <f>IF(E1321="","",Input!$C$4+B1321-1)</f>
        <v/>
      </c>
      <c r="E1321" s="150" t="str">
        <f>IF(OR(AND(C1320=12,D1320=Input!$C$6),E1320=""),"",1)</f>
        <v/>
      </c>
      <c r="G1321" s="151" t="str">
        <f>IF(E1321="","",MAX(0,Input!$C$9-B1321))</f>
        <v/>
      </c>
      <c r="H1321" s="152" t="str">
        <f>IF(E1321="","",Input!$C$3)</f>
        <v/>
      </c>
      <c r="I1321" s="153" t="str">
        <f>IF(E1321="","",HLOOKUP($B1321,Input!$C$13:$BT$14,2))</f>
        <v/>
      </c>
      <c r="J1321" s="154"/>
      <c r="K1321" s="150" t="str">
        <f>IF($E1321="","",INDEX(Input!$C$16:$CP$16,1,$B1321))</f>
        <v/>
      </c>
      <c r="L1321" s="150" t="str">
        <f>IF($E1321="","",Input!$C$37)</f>
        <v/>
      </c>
      <c r="M1321" s="150" t="str">
        <f t="shared" si="842"/>
        <v/>
      </c>
      <c r="N1321" s="150" t="str">
        <f t="shared" si="843"/>
        <v/>
      </c>
      <c r="O1321" s="147" t="str">
        <f>IF($E1321="","",MIN(VLOOKUP(IF($B1321&lt;=Input!$C$7,$B1321,26),'Mortality Tables'!$A$41:$CW$67,IF($B1321&lt;=Input!$C$7+1,Input!$C$4+2,$D1321-Input!$C$7+2),0)*IF(B1321&gt;20,Input!$C$22,1)/1000,1))</f>
        <v/>
      </c>
      <c r="P1321" s="147" t="str">
        <f>IF($E1321="","",MIN(VLOOKUP(IF($B1321&lt;=Input!$C$7,$B1321,26),'Mortality Tables'!$A$12:$CW$37,IF($B1321&lt;=Input!$C$7+1,Input!$C$4+2,$D1321-Input!$C$7+2),0)*IF(B1321&gt;20,Input!$C$22,1)/1000,1))</f>
        <v/>
      </c>
      <c r="Q1321" s="155" t="str">
        <f>IF($E1321="","",Input!$C$21)</f>
        <v/>
      </c>
      <c r="R1321" s="159" t="str">
        <f>IF($E1321="","",(1-Q1321)^($F1321-Input!$C$20))</f>
        <v/>
      </c>
      <c r="S1321" s="147" t="str">
        <f t="shared" si="831"/>
        <v/>
      </c>
      <c r="T1321" s="147" t="str">
        <f t="shared" si="832"/>
        <v/>
      </c>
      <c r="U1321" s="160" t="str">
        <f>IF($E1321="","",IF($C1321=12,INDEX(Input!$C$15:$CP$15,1,$B1321),0))</f>
        <v/>
      </c>
      <c r="V1321" s="150" t="str">
        <f>IF(E1321="","",IF(C1321=1,IF($B1321=1,Input!$C$33,Input!$C$34),0))</f>
        <v/>
      </c>
      <c r="W1321" s="156" t="str">
        <f>IF($E1321="","",Input!$C$35)</f>
        <v/>
      </c>
      <c r="X1321" s="156" t="str">
        <f t="shared" si="833"/>
        <v/>
      </c>
      <c r="Y1321" s="154"/>
      <c r="Z1321" s="147" t="str">
        <f>IF($E1321="","",VLOOKUP($D1321,'Mortality Margins &amp; Grading'!$AB$5:$AF$125,3,0)*IF(Summary!$D$25="Included Margin",IF(AND($B1321&gt;Input!$C$9,Summary!$D$31&lt;&gt;"Included Margin"),0,1),0))</f>
        <v/>
      </c>
      <c r="AA1321" s="147" t="str">
        <f>IF($E1321="","",VLOOKUP($D1321,'Mortality Margins &amp; Grading'!$AB$5:$AF$125,5,0)*IF(Summary!$D$25="Included Margin",IF(AND($B1321&gt;Input!$C$9,Summary!$D$31&lt;&gt;"Included Margin"),0,1),0))</f>
        <v/>
      </c>
      <c r="AB1321" s="147" t="str">
        <f>IF($E1321="","",IF(AND($B1321&gt;Input!$C$9,Summary!$D$31&lt;&gt;"Included Margin"),1,IF(Summary!$D$25="Included Margin",VLOOKUP($B1321,'Mortality Margins &amp; Grading'!$AI$5:$AR$125,MATCH('Mortality Margins &amp; Grading'!$AQ$4,'Mortality Margins &amp; Grading'!$AI$4:$AR$4,0),0),1)))</f>
        <v/>
      </c>
      <c r="AC1321" s="154"/>
      <c r="AD1321" s="158" t="str">
        <f>IF(E1321="","",Input!$C$48*IF(Summary!$D$30="Included Margin",IF(AND($B1321&gt;Input!$C$9,Summary!$D$31&lt;&gt;"Included Margin"),0,1),0))</f>
        <v/>
      </c>
      <c r="AE1321" s="159" t="str">
        <f>IF(E1321="","",IF(Summary!$D$26="Included Margin",IF(AND($B1321&gt;Input!$C$9,Summary!$D$31&lt;&gt;"Included Margin"),1,1/$R1321),1))</f>
        <v/>
      </c>
      <c r="AF1321" s="160" t="str">
        <f>IF(E1321="","",IF(AND($B1321&gt;=Input!$C$9,$C1321=12,Summary!$D$31="Included Margin",$U1321&gt;0),1/U1321-1,IF($B1321&gt;=Input!$C$9,0,Input!$C$45*IF(Summary!$D$27="Included Margin",1,0))))</f>
        <v/>
      </c>
      <c r="AG1321" s="160" t="str">
        <f>IF(E1321="","",Input!$C$46*IF(Summary!$D$28="Included Margin",IF(AND($B1321&gt;Input!$C$9,Summary!$D$31&lt;&gt;"Included Margin"),0,1),0))</f>
        <v/>
      </c>
      <c r="AH1321" s="158" t="str">
        <f>IF(E1321="","",Input!$C$47*IF(Summary!$D$29="Included Margin",IF(AND($B1321&gt;Input!$C$9,Summary!$D$31&lt;&gt;"Included Margin"),0,1),0))</f>
        <v/>
      </c>
      <c r="AI1321" s="154"/>
      <c r="AJ1321" s="158" t="str">
        <f t="shared" si="844"/>
        <v/>
      </c>
      <c r="AK1321" s="150" t="str">
        <f t="shared" si="845"/>
        <v/>
      </c>
      <c r="AL1321" s="147" t="str">
        <f t="shared" si="846"/>
        <v/>
      </c>
      <c r="AM1321" s="147" t="str">
        <f t="shared" si="834"/>
        <v/>
      </c>
      <c r="AN1321" s="160" t="str">
        <f t="shared" si="847"/>
        <v/>
      </c>
      <c r="AO1321" s="161" t="str">
        <f t="shared" si="848"/>
        <v/>
      </c>
      <c r="AP1321" s="156" t="str">
        <f t="shared" si="835"/>
        <v/>
      </c>
      <c r="AQ1321" s="152"/>
      <c r="AR1321" s="162" t="str">
        <f t="shared" si="836"/>
        <v/>
      </c>
      <c r="AS1321" s="150" t="str">
        <f t="shared" si="849"/>
        <v/>
      </c>
      <c r="AT1321" s="163" t="str">
        <f t="shared" si="837"/>
        <v/>
      </c>
      <c r="AU1321" s="163" t="str">
        <f t="shared" si="838"/>
        <v/>
      </c>
      <c r="AV1321" s="163" t="str">
        <f t="shared" si="850"/>
        <v/>
      </c>
      <c r="AW1321" s="163" t="str">
        <f t="shared" si="839"/>
        <v/>
      </c>
      <c r="AX1321" s="163" t="str">
        <f t="shared" si="840"/>
        <v/>
      </c>
      <c r="AY1321" s="150" t="str">
        <f t="shared" si="851"/>
        <v/>
      </c>
      <c r="AZ1321" s="150" t="str">
        <f>IF($E1321="","",IF(OR(AND($D1321=Input!$C$6,$C1321=12),$AN1321=1),0,-AS1322+AT1322+AU1322-AV1322-AW1322-AX1322+AZ1322))</f>
        <v/>
      </c>
      <c r="BA1321" s="154" t="str">
        <f t="shared" si="841"/>
        <v/>
      </c>
      <c r="BC1321" s="147" t="str">
        <f t="shared" si="852"/>
        <v/>
      </c>
      <c r="BD1321" s="164" t="str">
        <f>IF(AND($C1320=12,$D1320=Input!$C$6),0,IF($E1321="","",AT1321+(AU1321+BD1322)/(1+$AK1321)*MIN((1-AM1321-AN1321),1)))</f>
        <v/>
      </c>
      <c r="BH1321" s="152"/>
      <c r="BI1321" s="162" t="str">
        <f t="shared" si="860"/>
        <v/>
      </c>
      <c r="BJ1321" s="150" t="str">
        <f t="shared" si="861"/>
        <v/>
      </c>
      <c r="BK1321" s="163" t="str">
        <f t="shared" si="857"/>
        <v/>
      </c>
      <c r="BL1321" s="163" t="str">
        <f t="shared" si="862"/>
        <v/>
      </c>
      <c r="BM1321" s="163" t="str">
        <f t="shared" si="858"/>
        <v/>
      </c>
      <c r="BN1321" s="163" t="str">
        <f t="shared" si="863"/>
        <v/>
      </c>
      <c r="BO1321" s="163" t="str">
        <f t="shared" si="864"/>
        <v/>
      </c>
      <c r="BP1321" s="150" t="str">
        <f t="shared" si="859"/>
        <v/>
      </c>
      <c r="BQ1321" s="150" t="str">
        <f t="shared" si="853"/>
        <v/>
      </c>
      <c r="BR1321" s="154" t="str">
        <f t="shared" si="865"/>
        <v/>
      </c>
      <c r="BT1321" s="147"/>
    </row>
    <row r="1322" spans="1:72" s="150" customFormat="1" x14ac:dyDescent="0.25">
      <c r="A1322" s="150" t="str">
        <f t="shared" si="854"/>
        <v/>
      </c>
      <c r="B1322" s="150" t="str">
        <f t="shared" si="855"/>
        <v/>
      </c>
      <c r="C1322" s="150" t="str">
        <f t="shared" si="856"/>
        <v/>
      </c>
      <c r="D1322" s="150" t="str">
        <f>IF(E1322="","",Input!$C$4+B1322-1)</f>
        <v/>
      </c>
      <c r="E1322" s="150" t="str">
        <f>IF(OR(AND(C1321=12,D1321=Input!$C$6),E1321=""),"",1)</f>
        <v/>
      </c>
      <c r="G1322" s="151" t="str">
        <f>IF(E1322="","",MAX(0,Input!$C$9-B1322))</f>
        <v/>
      </c>
      <c r="H1322" s="152" t="str">
        <f>IF(E1322="","",Input!$C$3)</f>
        <v/>
      </c>
      <c r="I1322" s="153" t="str">
        <f>IF(E1322="","",HLOOKUP($B1322,Input!$C$13:$BT$14,2))</f>
        <v/>
      </c>
      <c r="J1322" s="154"/>
      <c r="K1322" s="150" t="str">
        <f>IF($E1322="","",INDEX(Input!$C$16:$CP$16,1,$B1322))</f>
        <v/>
      </c>
      <c r="L1322" s="150" t="str">
        <f>IF($E1322="","",Input!$C$37)</f>
        <v/>
      </c>
      <c r="M1322" s="150" t="str">
        <f t="shared" si="842"/>
        <v/>
      </c>
      <c r="N1322" s="150" t="str">
        <f t="shared" si="843"/>
        <v/>
      </c>
      <c r="O1322" s="147" t="str">
        <f>IF($E1322="","",MIN(VLOOKUP(IF($B1322&lt;=Input!$C$7,$B1322,26),'Mortality Tables'!$A$41:$CW$67,IF($B1322&lt;=Input!$C$7+1,Input!$C$4+2,$D1322-Input!$C$7+2),0)*IF(B1322&gt;20,Input!$C$22,1)/1000,1))</f>
        <v/>
      </c>
      <c r="P1322" s="147" t="str">
        <f>IF($E1322="","",MIN(VLOOKUP(IF($B1322&lt;=Input!$C$7,$B1322,26),'Mortality Tables'!$A$12:$CW$37,IF($B1322&lt;=Input!$C$7+1,Input!$C$4+2,$D1322-Input!$C$7+2),0)*IF(B1322&gt;20,Input!$C$22,1)/1000,1))</f>
        <v/>
      </c>
      <c r="Q1322" s="155" t="str">
        <f>IF($E1322="","",Input!$C$21)</f>
        <v/>
      </c>
      <c r="R1322" s="159" t="str">
        <f>IF($E1322="","",(1-Q1322)^($F1322-Input!$C$20))</f>
        <v/>
      </c>
      <c r="S1322" s="147" t="str">
        <f t="shared" si="831"/>
        <v/>
      </c>
      <c r="T1322" s="147" t="str">
        <f t="shared" si="832"/>
        <v/>
      </c>
      <c r="U1322" s="160" t="str">
        <f>IF($E1322="","",IF($C1322=12,INDEX(Input!$C$15:$CP$15,1,$B1322),0))</f>
        <v/>
      </c>
      <c r="V1322" s="150" t="str">
        <f>IF(E1322="","",IF(C1322=1,IF($B1322=1,Input!$C$33,Input!$C$34),0))</f>
        <v/>
      </c>
      <c r="W1322" s="156" t="str">
        <f>IF($E1322="","",Input!$C$35)</f>
        <v/>
      </c>
      <c r="X1322" s="156" t="str">
        <f t="shared" si="833"/>
        <v/>
      </c>
      <c r="Y1322" s="154"/>
      <c r="Z1322" s="147" t="str">
        <f>IF($E1322="","",VLOOKUP($D1322,'Mortality Margins &amp; Grading'!$AB$5:$AF$125,3,0)*IF(Summary!$D$25="Included Margin",IF(AND($B1322&gt;Input!$C$9,Summary!$D$31&lt;&gt;"Included Margin"),0,1),0))</f>
        <v/>
      </c>
      <c r="AA1322" s="147" t="str">
        <f>IF($E1322="","",VLOOKUP($D1322,'Mortality Margins &amp; Grading'!$AB$5:$AF$125,5,0)*IF(Summary!$D$25="Included Margin",IF(AND($B1322&gt;Input!$C$9,Summary!$D$31&lt;&gt;"Included Margin"),0,1),0))</f>
        <v/>
      </c>
      <c r="AB1322" s="147" t="str">
        <f>IF($E1322="","",IF(AND($B1322&gt;Input!$C$9,Summary!$D$31&lt;&gt;"Included Margin"),1,IF(Summary!$D$25="Included Margin",VLOOKUP($B1322,'Mortality Margins &amp; Grading'!$AI$5:$AR$125,MATCH('Mortality Margins &amp; Grading'!$AQ$4,'Mortality Margins &amp; Grading'!$AI$4:$AR$4,0),0),1)))</f>
        <v/>
      </c>
      <c r="AC1322" s="154"/>
      <c r="AD1322" s="158" t="str">
        <f>IF(E1322="","",Input!$C$48*IF(Summary!$D$30="Included Margin",IF(AND($B1322&gt;Input!$C$9,Summary!$D$31&lt;&gt;"Included Margin"),0,1),0))</f>
        <v/>
      </c>
      <c r="AE1322" s="159" t="str">
        <f>IF(E1322="","",IF(Summary!$D$26="Included Margin",IF(AND($B1322&gt;Input!$C$9,Summary!$D$31&lt;&gt;"Included Margin"),1,1/$R1322),1))</f>
        <v/>
      </c>
      <c r="AF1322" s="160" t="str">
        <f>IF(E1322="","",IF(AND($B1322&gt;=Input!$C$9,$C1322=12,Summary!$D$31="Included Margin",$U1322&gt;0),1/U1322-1,IF($B1322&gt;=Input!$C$9,0,Input!$C$45*IF(Summary!$D$27="Included Margin",1,0))))</f>
        <v/>
      </c>
      <c r="AG1322" s="160" t="str">
        <f>IF(E1322="","",Input!$C$46*IF(Summary!$D$28="Included Margin",IF(AND($B1322&gt;Input!$C$9,Summary!$D$31&lt;&gt;"Included Margin"),0,1),0))</f>
        <v/>
      </c>
      <c r="AH1322" s="158" t="str">
        <f>IF(E1322="","",Input!$C$47*IF(Summary!$D$29="Included Margin",IF(AND($B1322&gt;Input!$C$9,Summary!$D$31&lt;&gt;"Included Margin"),0,1),0))</f>
        <v/>
      </c>
      <c r="AI1322" s="154"/>
      <c r="AJ1322" s="158" t="str">
        <f t="shared" si="844"/>
        <v/>
      </c>
      <c r="AK1322" s="150" t="str">
        <f t="shared" si="845"/>
        <v/>
      </c>
      <c r="AL1322" s="147" t="str">
        <f t="shared" si="846"/>
        <v/>
      </c>
      <c r="AM1322" s="147" t="str">
        <f t="shared" si="834"/>
        <v/>
      </c>
      <c r="AN1322" s="160" t="str">
        <f t="shared" si="847"/>
        <v/>
      </c>
      <c r="AO1322" s="161" t="str">
        <f t="shared" si="848"/>
        <v/>
      </c>
      <c r="AP1322" s="156" t="str">
        <f t="shared" si="835"/>
        <v/>
      </c>
      <c r="AQ1322" s="152"/>
      <c r="AR1322" s="162" t="str">
        <f t="shared" si="836"/>
        <v/>
      </c>
      <c r="AS1322" s="150" t="str">
        <f t="shared" si="849"/>
        <v/>
      </c>
      <c r="AT1322" s="163" t="str">
        <f t="shared" si="837"/>
        <v/>
      </c>
      <c r="AU1322" s="163" t="str">
        <f t="shared" si="838"/>
        <v/>
      </c>
      <c r="AV1322" s="163" t="str">
        <f t="shared" si="850"/>
        <v/>
      </c>
      <c r="AW1322" s="163" t="str">
        <f t="shared" si="839"/>
        <v/>
      </c>
      <c r="AX1322" s="163" t="str">
        <f t="shared" si="840"/>
        <v/>
      </c>
      <c r="AY1322" s="150" t="str">
        <f t="shared" si="851"/>
        <v/>
      </c>
      <c r="AZ1322" s="150" t="str">
        <f>IF($E1322="","",IF(OR(AND($D1322=Input!$C$6,$C1322=12),$AN1322=1),0,-AS1323+AT1323+AU1323-AV1323-AW1323-AX1323+AZ1323))</f>
        <v/>
      </c>
      <c r="BA1322" s="154" t="str">
        <f t="shared" si="841"/>
        <v/>
      </c>
      <c r="BC1322" s="147" t="str">
        <f t="shared" si="852"/>
        <v/>
      </c>
      <c r="BD1322" s="164" t="str">
        <f>IF(AND($C1321=12,$D1321=Input!$C$6),0,IF($E1322="","",AT1322+(AU1322+BD1323)/(1+$AK1322)*MIN((1-AM1322-AN1322),1)))</f>
        <v/>
      </c>
      <c r="BH1322" s="152"/>
      <c r="BI1322" s="162" t="str">
        <f t="shared" si="860"/>
        <v/>
      </c>
      <c r="BJ1322" s="150" t="str">
        <f t="shared" si="861"/>
        <v/>
      </c>
      <c r="BK1322" s="163" t="str">
        <f t="shared" si="857"/>
        <v/>
      </c>
      <c r="BL1322" s="163" t="str">
        <f t="shared" si="862"/>
        <v/>
      </c>
      <c r="BM1322" s="163" t="str">
        <f t="shared" si="858"/>
        <v/>
      </c>
      <c r="BN1322" s="163" t="str">
        <f t="shared" si="863"/>
        <v/>
      </c>
      <c r="BO1322" s="163" t="str">
        <f t="shared" si="864"/>
        <v/>
      </c>
      <c r="BP1322" s="150" t="str">
        <f t="shared" si="859"/>
        <v/>
      </c>
      <c r="BQ1322" s="150" t="str">
        <f t="shared" si="853"/>
        <v/>
      </c>
      <c r="BR1322" s="154" t="str">
        <f t="shared" si="865"/>
        <v/>
      </c>
      <c r="BT1322" s="147"/>
    </row>
    <row r="1323" spans="1:72" s="150" customFormat="1" x14ac:dyDescent="0.25">
      <c r="A1323" s="150" t="str">
        <f t="shared" si="854"/>
        <v/>
      </c>
      <c r="B1323" s="150" t="str">
        <f t="shared" si="855"/>
        <v/>
      </c>
      <c r="C1323" s="150" t="str">
        <f t="shared" si="856"/>
        <v/>
      </c>
      <c r="D1323" s="150" t="str">
        <f>IF(E1323="","",Input!$C$4+B1323-1)</f>
        <v/>
      </c>
      <c r="E1323" s="150" t="str">
        <f>IF(OR(AND(C1322=12,D1322=Input!$C$6),E1322=""),"",1)</f>
        <v/>
      </c>
      <c r="G1323" s="151" t="str">
        <f>IF(E1323="","",MAX(0,Input!$C$9-B1323))</f>
        <v/>
      </c>
      <c r="H1323" s="152" t="str">
        <f>IF(E1323="","",Input!$C$3)</f>
        <v/>
      </c>
      <c r="I1323" s="153" t="str">
        <f>IF(E1323="","",HLOOKUP($B1323,Input!$C$13:$BT$14,2))</f>
        <v/>
      </c>
      <c r="J1323" s="154"/>
      <c r="K1323" s="150" t="str">
        <f>IF($E1323="","",INDEX(Input!$C$16:$CP$16,1,$B1323))</f>
        <v/>
      </c>
      <c r="L1323" s="150" t="str">
        <f>IF($E1323="","",Input!$C$37)</f>
        <v/>
      </c>
      <c r="M1323" s="150" t="str">
        <f t="shared" si="842"/>
        <v/>
      </c>
      <c r="N1323" s="150" t="str">
        <f t="shared" si="843"/>
        <v/>
      </c>
      <c r="O1323" s="147" t="str">
        <f>IF($E1323="","",MIN(VLOOKUP(IF($B1323&lt;=Input!$C$7,$B1323,26),'Mortality Tables'!$A$41:$CW$67,IF($B1323&lt;=Input!$C$7+1,Input!$C$4+2,$D1323-Input!$C$7+2),0)*IF(B1323&gt;20,Input!$C$22,1)/1000,1))</f>
        <v/>
      </c>
      <c r="P1323" s="147" t="str">
        <f>IF($E1323="","",MIN(VLOOKUP(IF($B1323&lt;=Input!$C$7,$B1323,26),'Mortality Tables'!$A$12:$CW$37,IF($B1323&lt;=Input!$C$7+1,Input!$C$4+2,$D1323-Input!$C$7+2),0)*IF(B1323&gt;20,Input!$C$22,1)/1000,1))</f>
        <v/>
      </c>
      <c r="Q1323" s="155" t="str">
        <f>IF($E1323="","",Input!$C$21)</f>
        <v/>
      </c>
      <c r="R1323" s="159" t="str">
        <f>IF($E1323="","",(1-Q1323)^($F1323-Input!$C$20))</f>
        <v/>
      </c>
      <c r="S1323" s="147" t="str">
        <f t="shared" si="831"/>
        <v/>
      </c>
      <c r="T1323" s="147" t="str">
        <f t="shared" si="832"/>
        <v/>
      </c>
      <c r="U1323" s="160" t="str">
        <f>IF($E1323="","",IF($C1323=12,INDEX(Input!$C$15:$CP$15,1,$B1323),0))</f>
        <v/>
      </c>
      <c r="V1323" s="150" t="str">
        <f>IF(E1323="","",IF(C1323=1,IF($B1323=1,Input!$C$33,Input!$C$34),0))</f>
        <v/>
      </c>
      <c r="W1323" s="156" t="str">
        <f>IF($E1323="","",Input!$C$35)</f>
        <v/>
      </c>
      <c r="X1323" s="156" t="str">
        <f t="shared" si="833"/>
        <v/>
      </c>
      <c r="Y1323" s="154"/>
      <c r="Z1323" s="147" t="str">
        <f>IF($E1323="","",VLOOKUP($D1323,'Mortality Margins &amp; Grading'!$AB$5:$AF$125,3,0)*IF(Summary!$D$25="Included Margin",IF(AND($B1323&gt;Input!$C$9,Summary!$D$31&lt;&gt;"Included Margin"),0,1),0))</f>
        <v/>
      </c>
      <c r="AA1323" s="147" t="str">
        <f>IF($E1323="","",VLOOKUP($D1323,'Mortality Margins &amp; Grading'!$AB$5:$AF$125,5,0)*IF(Summary!$D$25="Included Margin",IF(AND($B1323&gt;Input!$C$9,Summary!$D$31&lt;&gt;"Included Margin"),0,1),0))</f>
        <v/>
      </c>
      <c r="AB1323" s="147" t="str">
        <f>IF($E1323="","",IF(AND($B1323&gt;Input!$C$9,Summary!$D$31&lt;&gt;"Included Margin"),1,IF(Summary!$D$25="Included Margin",VLOOKUP($B1323,'Mortality Margins &amp; Grading'!$AI$5:$AR$125,MATCH('Mortality Margins &amp; Grading'!$AQ$4,'Mortality Margins &amp; Grading'!$AI$4:$AR$4,0),0),1)))</f>
        <v/>
      </c>
      <c r="AC1323" s="154"/>
      <c r="AD1323" s="158" t="str">
        <f>IF(E1323="","",Input!$C$48*IF(Summary!$D$30="Included Margin",IF(AND($B1323&gt;Input!$C$9,Summary!$D$31&lt;&gt;"Included Margin"),0,1),0))</f>
        <v/>
      </c>
      <c r="AE1323" s="159" t="str">
        <f>IF(E1323="","",IF(Summary!$D$26="Included Margin",IF(AND($B1323&gt;Input!$C$9,Summary!$D$31&lt;&gt;"Included Margin"),1,1/$R1323),1))</f>
        <v/>
      </c>
      <c r="AF1323" s="160" t="str">
        <f>IF(E1323="","",IF(AND($B1323&gt;=Input!$C$9,$C1323=12,Summary!$D$31="Included Margin",$U1323&gt;0),1/U1323-1,IF($B1323&gt;=Input!$C$9,0,Input!$C$45*IF(Summary!$D$27="Included Margin",1,0))))</f>
        <v/>
      </c>
      <c r="AG1323" s="160" t="str">
        <f>IF(E1323="","",Input!$C$46*IF(Summary!$D$28="Included Margin",IF(AND($B1323&gt;Input!$C$9,Summary!$D$31&lt;&gt;"Included Margin"),0,1),0))</f>
        <v/>
      </c>
      <c r="AH1323" s="158" t="str">
        <f>IF(E1323="","",Input!$C$47*IF(Summary!$D$29="Included Margin",IF(AND($B1323&gt;Input!$C$9,Summary!$D$31&lt;&gt;"Included Margin"),0,1),0))</f>
        <v/>
      </c>
      <c r="AI1323" s="154"/>
      <c r="AJ1323" s="158" t="str">
        <f t="shared" si="844"/>
        <v/>
      </c>
      <c r="AK1323" s="150" t="str">
        <f t="shared" si="845"/>
        <v/>
      </c>
      <c r="AL1323" s="147" t="str">
        <f t="shared" si="846"/>
        <v/>
      </c>
      <c r="AM1323" s="147" t="str">
        <f t="shared" si="834"/>
        <v/>
      </c>
      <c r="AN1323" s="160" t="str">
        <f t="shared" si="847"/>
        <v/>
      </c>
      <c r="AO1323" s="161" t="str">
        <f t="shared" si="848"/>
        <v/>
      </c>
      <c r="AP1323" s="156" t="str">
        <f t="shared" si="835"/>
        <v/>
      </c>
      <c r="AQ1323" s="152"/>
      <c r="AR1323" s="162" t="str">
        <f t="shared" si="836"/>
        <v/>
      </c>
      <c r="AS1323" s="150" t="str">
        <f t="shared" si="849"/>
        <v/>
      </c>
      <c r="AT1323" s="163" t="str">
        <f t="shared" si="837"/>
        <v/>
      </c>
      <c r="AU1323" s="163" t="str">
        <f t="shared" si="838"/>
        <v/>
      </c>
      <c r="AV1323" s="163" t="str">
        <f t="shared" si="850"/>
        <v/>
      </c>
      <c r="AW1323" s="163" t="str">
        <f t="shared" si="839"/>
        <v/>
      </c>
      <c r="AX1323" s="163" t="str">
        <f t="shared" si="840"/>
        <v/>
      </c>
      <c r="AY1323" s="150" t="str">
        <f t="shared" si="851"/>
        <v/>
      </c>
      <c r="AZ1323" s="150" t="str">
        <f>IF($E1323="","",IF(OR(AND($D1323=Input!$C$6,$C1323=12),$AN1323=1),0,-AS1324+AT1324+AU1324-AV1324-AW1324-AX1324+AZ1324))</f>
        <v/>
      </c>
      <c r="BA1323" s="154" t="str">
        <f t="shared" si="841"/>
        <v/>
      </c>
      <c r="BC1323" s="147" t="str">
        <f t="shared" si="852"/>
        <v/>
      </c>
      <c r="BD1323" s="164" t="str">
        <f>IF(AND($C1322=12,$D1322=Input!$C$6),0,IF($E1323="","",AT1323+(AU1323+BD1324)/(1+$AK1323)*MIN((1-AM1323-AN1323),1)))</f>
        <v/>
      </c>
      <c r="BH1323" s="152"/>
      <c r="BI1323" s="162" t="str">
        <f t="shared" si="860"/>
        <v/>
      </c>
      <c r="BJ1323" s="150" t="str">
        <f t="shared" si="861"/>
        <v/>
      </c>
      <c r="BK1323" s="163" t="str">
        <f t="shared" si="857"/>
        <v/>
      </c>
      <c r="BL1323" s="163" t="str">
        <f t="shared" si="862"/>
        <v/>
      </c>
      <c r="BM1323" s="163" t="str">
        <f t="shared" si="858"/>
        <v/>
      </c>
      <c r="BN1323" s="163" t="str">
        <f t="shared" si="863"/>
        <v/>
      </c>
      <c r="BO1323" s="163" t="str">
        <f t="shared" si="864"/>
        <v/>
      </c>
      <c r="BP1323" s="150" t="str">
        <f t="shared" si="859"/>
        <v/>
      </c>
      <c r="BQ1323" s="150" t="str">
        <f t="shared" si="853"/>
        <v/>
      </c>
      <c r="BR1323" s="154" t="str">
        <f t="shared" si="865"/>
        <v/>
      </c>
      <c r="BT1323" s="147"/>
    </row>
    <row r="1324" spans="1:72" s="150" customFormat="1" x14ac:dyDescent="0.25">
      <c r="A1324" s="150" t="str">
        <f t="shared" si="854"/>
        <v/>
      </c>
      <c r="B1324" s="150" t="str">
        <f t="shared" si="855"/>
        <v/>
      </c>
      <c r="C1324" s="150" t="str">
        <f t="shared" si="856"/>
        <v/>
      </c>
      <c r="D1324" s="150" t="str">
        <f>IF(E1324="","",Input!$C$4+B1324-1)</f>
        <v/>
      </c>
      <c r="E1324" s="150" t="str">
        <f>IF(OR(AND(C1323=12,D1323=Input!$C$6),E1323=""),"",1)</f>
        <v/>
      </c>
      <c r="G1324" s="151" t="str">
        <f>IF(E1324="","",MAX(0,Input!$C$9-B1324))</f>
        <v/>
      </c>
      <c r="H1324" s="152" t="str">
        <f>IF(E1324="","",Input!$C$3)</f>
        <v/>
      </c>
      <c r="I1324" s="153" t="str">
        <f>IF(E1324="","",HLOOKUP($B1324,Input!$C$13:$BT$14,2))</f>
        <v/>
      </c>
      <c r="J1324" s="154"/>
      <c r="K1324" s="150" t="str">
        <f>IF($E1324="","",INDEX(Input!$C$16:$CP$16,1,$B1324))</f>
        <v/>
      </c>
      <c r="L1324" s="150" t="str">
        <f>IF($E1324="","",Input!$C$37)</f>
        <v/>
      </c>
      <c r="M1324" s="150" t="str">
        <f t="shared" si="842"/>
        <v/>
      </c>
      <c r="N1324" s="150" t="str">
        <f t="shared" si="843"/>
        <v/>
      </c>
      <c r="O1324" s="147" t="str">
        <f>IF($E1324="","",MIN(VLOOKUP(IF($B1324&lt;=Input!$C$7,$B1324,26),'Mortality Tables'!$A$41:$CW$67,IF($B1324&lt;=Input!$C$7+1,Input!$C$4+2,$D1324-Input!$C$7+2),0)*IF(B1324&gt;20,Input!$C$22,1)/1000,1))</f>
        <v/>
      </c>
      <c r="P1324" s="147" t="str">
        <f>IF($E1324="","",MIN(VLOOKUP(IF($B1324&lt;=Input!$C$7,$B1324,26),'Mortality Tables'!$A$12:$CW$37,IF($B1324&lt;=Input!$C$7+1,Input!$C$4+2,$D1324-Input!$C$7+2),0)*IF(B1324&gt;20,Input!$C$22,1)/1000,1))</f>
        <v/>
      </c>
      <c r="Q1324" s="155" t="str">
        <f>IF($E1324="","",Input!$C$21)</f>
        <v/>
      </c>
      <c r="R1324" s="159" t="str">
        <f>IF($E1324="","",(1-Q1324)^($F1324-Input!$C$20))</f>
        <v/>
      </c>
      <c r="S1324" s="147" t="str">
        <f t="shared" si="831"/>
        <v/>
      </c>
      <c r="T1324" s="147" t="str">
        <f t="shared" si="832"/>
        <v/>
      </c>
      <c r="U1324" s="160" t="str">
        <f>IF($E1324="","",IF($C1324=12,INDEX(Input!$C$15:$CP$15,1,$B1324),0))</f>
        <v/>
      </c>
      <c r="V1324" s="150" t="str">
        <f>IF(E1324="","",IF(C1324=1,IF($B1324=1,Input!$C$33,Input!$C$34),0))</f>
        <v/>
      </c>
      <c r="W1324" s="156" t="str">
        <f>IF($E1324="","",Input!$C$35)</f>
        <v/>
      </c>
      <c r="X1324" s="156" t="str">
        <f t="shared" si="833"/>
        <v/>
      </c>
      <c r="Y1324" s="154"/>
      <c r="Z1324" s="147" t="str">
        <f>IF($E1324="","",VLOOKUP($D1324,'Mortality Margins &amp; Grading'!$AB$5:$AF$125,3,0)*IF(Summary!$D$25="Included Margin",IF(AND($B1324&gt;Input!$C$9,Summary!$D$31&lt;&gt;"Included Margin"),0,1),0))</f>
        <v/>
      </c>
      <c r="AA1324" s="147" t="str">
        <f>IF($E1324="","",VLOOKUP($D1324,'Mortality Margins &amp; Grading'!$AB$5:$AF$125,5,0)*IF(Summary!$D$25="Included Margin",IF(AND($B1324&gt;Input!$C$9,Summary!$D$31&lt;&gt;"Included Margin"),0,1),0))</f>
        <v/>
      </c>
      <c r="AB1324" s="147" t="str">
        <f>IF($E1324="","",IF(AND($B1324&gt;Input!$C$9,Summary!$D$31&lt;&gt;"Included Margin"),1,IF(Summary!$D$25="Included Margin",VLOOKUP($B1324,'Mortality Margins &amp; Grading'!$AI$5:$AR$125,MATCH('Mortality Margins &amp; Grading'!$AQ$4,'Mortality Margins &amp; Grading'!$AI$4:$AR$4,0),0),1)))</f>
        <v/>
      </c>
      <c r="AC1324" s="154"/>
      <c r="AD1324" s="158" t="str">
        <f>IF(E1324="","",Input!$C$48*IF(Summary!$D$30="Included Margin",IF(AND($B1324&gt;Input!$C$9,Summary!$D$31&lt;&gt;"Included Margin"),0,1),0))</f>
        <v/>
      </c>
      <c r="AE1324" s="159" t="str">
        <f>IF(E1324="","",IF(Summary!$D$26="Included Margin",IF(AND($B1324&gt;Input!$C$9,Summary!$D$31&lt;&gt;"Included Margin"),1,1/$R1324),1))</f>
        <v/>
      </c>
      <c r="AF1324" s="160" t="str">
        <f>IF(E1324="","",IF(AND($B1324&gt;=Input!$C$9,$C1324=12,Summary!$D$31="Included Margin",$U1324&gt;0),1/U1324-1,IF($B1324&gt;=Input!$C$9,0,Input!$C$45*IF(Summary!$D$27="Included Margin",1,0))))</f>
        <v/>
      </c>
      <c r="AG1324" s="160" t="str">
        <f>IF(E1324="","",Input!$C$46*IF(Summary!$D$28="Included Margin",IF(AND($B1324&gt;Input!$C$9,Summary!$D$31&lt;&gt;"Included Margin"),0,1),0))</f>
        <v/>
      </c>
      <c r="AH1324" s="158" t="str">
        <f>IF(E1324="","",Input!$C$47*IF(Summary!$D$29="Included Margin",IF(AND($B1324&gt;Input!$C$9,Summary!$D$31&lt;&gt;"Included Margin"),0,1),0))</f>
        <v/>
      </c>
      <c r="AI1324" s="154"/>
      <c r="AJ1324" s="158" t="str">
        <f t="shared" si="844"/>
        <v/>
      </c>
      <c r="AK1324" s="150" t="str">
        <f t="shared" si="845"/>
        <v/>
      </c>
      <c r="AL1324" s="147" t="str">
        <f t="shared" si="846"/>
        <v/>
      </c>
      <c r="AM1324" s="147" t="str">
        <f t="shared" si="834"/>
        <v/>
      </c>
      <c r="AN1324" s="160" t="str">
        <f t="shared" si="847"/>
        <v/>
      </c>
      <c r="AO1324" s="161" t="str">
        <f t="shared" si="848"/>
        <v/>
      </c>
      <c r="AP1324" s="156" t="str">
        <f t="shared" si="835"/>
        <v/>
      </c>
      <c r="AQ1324" s="152"/>
      <c r="AR1324" s="162" t="str">
        <f t="shared" si="836"/>
        <v/>
      </c>
      <c r="AS1324" s="150" t="str">
        <f t="shared" si="849"/>
        <v/>
      </c>
      <c r="AT1324" s="163" t="str">
        <f t="shared" si="837"/>
        <v/>
      </c>
      <c r="AU1324" s="163" t="str">
        <f t="shared" si="838"/>
        <v/>
      </c>
      <c r="AV1324" s="163" t="str">
        <f t="shared" si="850"/>
        <v/>
      </c>
      <c r="AW1324" s="163" t="str">
        <f t="shared" si="839"/>
        <v/>
      </c>
      <c r="AX1324" s="163" t="str">
        <f t="shared" si="840"/>
        <v/>
      </c>
      <c r="AY1324" s="150" t="str">
        <f t="shared" si="851"/>
        <v/>
      </c>
      <c r="AZ1324" s="150" t="str">
        <f>IF($E1324="","",IF(OR(AND($D1324=Input!$C$6,$C1324=12),$AN1324=1),0,-AS1325+AT1325+AU1325-AV1325-AW1325-AX1325+AZ1325))</f>
        <v/>
      </c>
      <c r="BA1324" s="154" t="str">
        <f t="shared" si="841"/>
        <v/>
      </c>
      <c r="BC1324" s="147" t="str">
        <f t="shared" si="852"/>
        <v/>
      </c>
      <c r="BD1324" s="164" t="str">
        <f>IF(AND($C1323=12,$D1323=Input!$C$6),0,IF($E1324="","",AT1324+(AU1324+BD1325)/(1+$AK1324)*MIN((1-AM1324-AN1324),1)))</f>
        <v/>
      </c>
      <c r="BH1324" s="152"/>
      <c r="BI1324" s="162" t="str">
        <f t="shared" si="860"/>
        <v/>
      </c>
      <c r="BJ1324" s="150" t="str">
        <f t="shared" si="861"/>
        <v/>
      </c>
      <c r="BK1324" s="163" t="str">
        <f t="shared" si="857"/>
        <v/>
      </c>
      <c r="BL1324" s="163" t="str">
        <f t="shared" si="862"/>
        <v/>
      </c>
      <c r="BM1324" s="163" t="str">
        <f t="shared" si="858"/>
        <v/>
      </c>
      <c r="BN1324" s="163" t="str">
        <f t="shared" si="863"/>
        <v/>
      </c>
      <c r="BO1324" s="163" t="str">
        <f t="shared" si="864"/>
        <v/>
      </c>
      <c r="BP1324" s="150" t="str">
        <f t="shared" si="859"/>
        <v/>
      </c>
      <c r="BQ1324" s="150" t="str">
        <f t="shared" si="853"/>
        <v/>
      </c>
      <c r="BR1324" s="154" t="str">
        <f t="shared" si="865"/>
        <v/>
      </c>
      <c r="BT1324" s="147"/>
    </row>
    <row r="1325" spans="1:72" s="150" customFormat="1" x14ac:dyDescent="0.25">
      <c r="A1325" s="150" t="str">
        <f t="shared" si="854"/>
        <v/>
      </c>
      <c r="B1325" s="150" t="str">
        <f t="shared" si="855"/>
        <v/>
      </c>
      <c r="C1325" s="150" t="str">
        <f t="shared" si="856"/>
        <v/>
      </c>
      <c r="D1325" s="150" t="str">
        <f>IF(E1325="","",Input!$C$4+B1325-1)</f>
        <v/>
      </c>
      <c r="E1325" s="150" t="str">
        <f>IF(OR(AND(C1324=12,D1324=Input!$C$6),E1324=""),"",1)</f>
        <v/>
      </c>
      <c r="G1325" s="151" t="str">
        <f>IF(E1325="","",MAX(0,Input!$C$9-B1325))</f>
        <v/>
      </c>
      <c r="H1325" s="152" t="str">
        <f>IF(E1325="","",Input!$C$3)</f>
        <v/>
      </c>
      <c r="I1325" s="153" t="str">
        <f>IF(E1325="","",HLOOKUP($B1325,Input!$C$13:$BT$14,2))</f>
        <v/>
      </c>
      <c r="J1325" s="154"/>
      <c r="K1325" s="150" t="str">
        <f>IF($E1325="","",INDEX(Input!$C$16:$CP$16,1,$B1325))</f>
        <v/>
      </c>
      <c r="L1325" s="150" t="str">
        <f>IF($E1325="","",Input!$C$37)</f>
        <v/>
      </c>
      <c r="M1325" s="150" t="str">
        <f t="shared" si="842"/>
        <v/>
      </c>
      <c r="N1325" s="150" t="str">
        <f t="shared" si="843"/>
        <v/>
      </c>
      <c r="O1325" s="147" t="str">
        <f>IF($E1325="","",MIN(VLOOKUP(IF($B1325&lt;=Input!$C$7,$B1325,26),'Mortality Tables'!$A$41:$CW$67,IF($B1325&lt;=Input!$C$7+1,Input!$C$4+2,$D1325-Input!$C$7+2),0)*IF(B1325&gt;20,Input!$C$22,1)/1000,1))</f>
        <v/>
      </c>
      <c r="P1325" s="147" t="str">
        <f>IF($E1325="","",MIN(VLOOKUP(IF($B1325&lt;=Input!$C$7,$B1325,26),'Mortality Tables'!$A$12:$CW$37,IF($B1325&lt;=Input!$C$7+1,Input!$C$4+2,$D1325-Input!$C$7+2),0)*IF(B1325&gt;20,Input!$C$22,1)/1000,1))</f>
        <v/>
      </c>
      <c r="Q1325" s="155" t="str">
        <f>IF($E1325="","",Input!$C$21)</f>
        <v/>
      </c>
      <c r="R1325" s="159" t="str">
        <f>IF($E1325="","",(1-Q1325)^($F1325-Input!$C$20))</f>
        <v/>
      </c>
      <c r="S1325" s="147" t="str">
        <f t="shared" si="831"/>
        <v/>
      </c>
      <c r="T1325" s="147" t="str">
        <f t="shared" si="832"/>
        <v/>
      </c>
      <c r="U1325" s="160" t="str">
        <f>IF($E1325="","",IF($C1325=12,INDEX(Input!$C$15:$CP$15,1,$B1325),0))</f>
        <v/>
      </c>
      <c r="V1325" s="150" t="str">
        <f>IF(E1325="","",IF(C1325=1,IF($B1325=1,Input!$C$33,Input!$C$34),0))</f>
        <v/>
      </c>
      <c r="W1325" s="156" t="str">
        <f>IF($E1325="","",Input!$C$35)</f>
        <v/>
      </c>
      <c r="X1325" s="156" t="str">
        <f t="shared" si="833"/>
        <v/>
      </c>
      <c r="Y1325" s="154"/>
      <c r="Z1325" s="147" t="str">
        <f>IF($E1325="","",VLOOKUP($D1325,'Mortality Margins &amp; Grading'!$AB$5:$AF$125,3,0)*IF(Summary!$D$25="Included Margin",IF(AND($B1325&gt;Input!$C$9,Summary!$D$31&lt;&gt;"Included Margin"),0,1),0))</f>
        <v/>
      </c>
      <c r="AA1325" s="147" t="str">
        <f>IF($E1325="","",VLOOKUP($D1325,'Mortality Margins &amp; Grading'!$AB$5:$AF$125,5,0)*IF(Summary!$D$25="Included Margin",IF(AND($B1325&gt;Input!$C$9,Summary!$D$31&lt;&gt;"Included Margin"),0,1),0))</f>
        <v/>
      </c>
      <c r="AB1325" s="147" t="str">
        <f>IF($E1325="","",IF(AND($B1325&gt;Input!$C$9,Summary!$D$31&lt;&gt;"Included Margin"),1,IF(Summary!$D$25="Included Margin",VLOOKUP($B1325,'Mortality Margins &amp; Grading'!$AI$5:$AR$125,MATCH('Mortality Margins &amp; Grading'!$AQ$4,'Mortality Margins &amp; Grading'!$AI$4:$AR$4,0),0),1)))</f>
        <v/>
      </c>
      <c r="AC1325" s="154"/>
      <c r="AD1325" s="158" t="str">
        <f>IF(E1325="","",Input!$C$48*IF(Summary!$D$30="Included Margin",IF(AND($B1325&gt;Input!$C$9,Summary!$D$31&lt;&gt;"Included Margin"),0,1),0))</f>
        <v/>
      </c>
      <c r="AE1325" s="159" t="str">
        <f>IF(E1325="","",IF(Summary!$D$26="Included Margin",IF(AND($B1325&gt;Input!$C$9,Summary!$D$31&lt;&gt;"Included Margin"),1,1/$R1325),1))</f>
        <v/>
      </c>
      <c r="AF1325" s="160" t="str">
        <f>IF(E1325="","",IF(AND($B1325&gt;=Input!$C$9,$C1325=12,Summary!$D$31="Included Margin",$U1325&gt;0),1/U1325-1,IF($B1325&gt;=Input!$C$9,0,Input!$C$45*IF(Summary!$D$27="Included Margin",1,0))))</f>
        <v/>
      </c>
      <c r="AG1325" s="160" t="str">
        <f>IF(E1325="","",Input!$C$46*IF(Summary!$D$28="Included Margin",IF(AND($B1325&gt;Input!$C$9,Summary!$D$31&lt;&gt;"Included Margin"),0,1),0))</f>
        <v/>
      </c>
      <c r="AH1325" s="158" t="str">
        <f>IF(E1325="","",Input!$C$47*IF(Summary!$D$29="Included Margin",IF(AND($B1325&gt;Input!$C$9,Summary!$D$31&lt;&gt;"Included Margin"),0,1),0))</f>
        <v/>
      </c>
      <c r="AI1325" s="154"/>
      <c r="AJ1325" s="158" t="str">
        <f t="shared" si="844"/>
        <v/>
      </c>
      <c r="AK1325" s="150" t="str">
        <f t="shared" si="845"/>
        <v/>
      </c>
      <c r="AL1325" s="147" t="str">
        <f t="shared" si="846"/>
        <v/>
      </c>
      <c r="AM1325" s="147" t="str">
        <f t="shared" si="834"/>
        <v/>
      </c>
      <c r="AN1325" s="160" t="str">
        <f t="shared" si="847"/>
        <v/>
      </c>
      <c r="AO1325" s="161" t="str">
        <f t="shared" si="848"/>
        <v/>
      </c>
      <c r="AP1325" s="156" t="str">
        <f t="shared" si="835"/>
        <v/>
      </c>
      <c r="AQ1325" s="152"/>
      <c r="AR1325" s="162" t="str">
        <f t="shared" si="836"/>
        <v/>
      </c>
      <c r="AS1325" s="150" t="str">
        <f t="shared" si="849"/>
        <v/>
      </c>
      <c r="AT1325" s="163" t="str">
        <f t="shared" si="837"/>
        <v/>
      </c>
      <c r="AU1325" s="163" t="str">
        <f t="shared" si="838"/>
        <v/>
      </c>
      <c r="AV1325" s="163" t="str">
        <f t="shared" si="850"/>
        <v/>
      </c>
      <c r="AW1325" s="163" t="str">
        <f t="shared" si="839"/>
        <v/>
      </c>
      <c r="AX1325" s="163" t="str">
        <f t="shared" si="840"/>
        <v/>
      </c>
      <c r="AY1325" s="150" t="str">
        <f t="shared" si="851"/>
        <v/>
      </c>
      <c r="AZ1325" s="150" t="str">
        <f>IF($E1325="","",IF(OR(AND($D1325=Input!$C$6,$C1325=12),$AN1325=1),0,-AS1326+AT1326+AU1326-AV1326-AW1326-AX1326+AZ1326))</f>
        <v/>
      </c>
      <c r="BA1325" s="154" t="str">
        <f t="shared" si="841"/>
        <v/>
      </c>
      <c r="BC1325" s="147" t="str">
        <f t="shared" si="852"/>
        <v/>
      </c>
      <c r="BD1325" s="164" t="str">
        <f>IF(AND($C1324=12,$D1324=Input!$C$6),0,IF($E1325="","",AT1325+(AU1325+BD1326)/(1+$AK1325)*MIN((1-AM1325-AN1325),1)))</f>
        <v/>
      </c>
      <c r="BH1325" s="152"/>
      <c r="BI1325" s="162" t="str">
        <f t="shared" si="860"/>
        <v/>
      </c>
      <c r="BJ1325" s="150" t="str">
        <f t="shared" si="861"/>
        <v/>
      </c>
      <c r="BK1325" s="163" t="str">
        <f t="shared" si="857"/>
        <v/>
      </c>
      <c r="BL1325" s="163" t="str">
        <f t="shared" si="862"/>
        <v/>
      </c>
      <c r="BM1325" s="163" t="str">
        <f t="shared" si="858"/>
        <v/>
      </c>
      <c r="BN1325" s="163" t="str">
        <f t="shared" si="863"/>
        <v/>
      </c>
      <c r="BO1325" s="163" t="str">
        <f t="shared" si="864"/>
        <v/>
      </c>
      <c r="BP1325" s="150" t="str">
        <f t="shared" si="859"/>
        <v/>
      </c>
      <c r="BQ1325" s="150" t="str">
        <f t="shared" si="853"/>
        <v/>
      </c>
      <c r="BR1325" s="154" t="str">
        <f t="shared" si="865"/>
        <v/>
      </c>
      <c r="BT1325" s="147"/>
    </row>
    <row r="1326" spans="1:72" s="150" customFormat="1" x14ac:dyDescent="0.25">
      <c r="A1326" s="150" t="str">
        <f t="shared" si="854"/>
        <v/>
      </c>
      <c r="B1326" s="150" t="str">
        <f t="shared" si="855"/>
        <v/>
      </c>
      <c r="C1326" s="150" t="str">
        <f t="shared" si="856"/>
        <v/>
      </c>
      <c r="D1326" s="150" t="str">
        <f>IF(E1326="","",Input!$C$4+B1326-1)</f>
        <v/>
      </c>
      <c r="E1326" s="150" t="str">
        <f>IF(OR(AND(C1325=12,D1325=Input!$C$6),E1325=""),"",1)</f>
        <v/>
      </c>
      <c r="G1326" s="151" t="str">
        <f>IF(E1326="","",MAX(0,Input!$C$9-B1326))</f>
        <v/>
      </c>
      <c r="H1326" s="152" t="str">
        <f>IF(E1326="","",Input!$C$3)</f>
        <v/>
      </c>
      <c r="I1326" s="153" t="str">
        <f>IF(E1326="","",HLOOKUP($B1326,Input!$C$13:$BT$14,2))</f>
        <v/>
      </c>
      <c r="J1326" s="154"/>
      <c r="K1326" s="150" t="str">
        <f>IF($E1326="","",INDEX(Input!$C$16:$CP$16,1,$B1326))</f>
        <v/>
      </c>
      <c r="L1326" s="150" t="str">
        <f>IF($E1326="","",Input!$C$37)</f>
        <v/>
      </c>
      <c r="M1326" s="150" t="str">
        <f t="shared" si="842"/>
        <v/>
      </c>
      <c r="N1326" s="150" t="str">
        <f t="shared" si="843"/>
        <v/>
      </c>
      <c r="O1326" s="147" t="str">
        <f>IF($E1326="","",MIN(VLOOKUP(IF($B1326&lt;=Input!$C$7,$B1326,26),'Mortality Tables'!$A$41:$CW$67,IF($B1326&lt;=Input!$C$7+1,Input!$C$4+2,$D1326-Input!$C$7+2),0)*IF(B1326&gt;20,Input!$C$22,1)/1000,1))</f>
        <v/>
      </c>
      <c r="P1326" s="147" t="str">
        <f>IF($E1326="","",MIN(VLOOKUP(IF($B1326&lt;=Input!$C$7,$B1326,26),'Mortality Tables'!$A$12:$CW$37,IF($B1326&lt;=Input!$C$7+1,Input!$C$4+2,$D1326-Input!$C$7+2),0)*IF(B1326&gt;20,Input!$C$22,1)/1000,1))</f>
        <v/>
      </c>
      <c r="Q1326" s="155" t="str">
        <f>IF($E1326="","",Input!$C$21)</f>
        <v/>
      </c>
      <c r="R1326" s="159" t="str">
        <f>IF($E1326="","",(1-Q1326)^($F1326-Input!$C$20))</f>
        <v/>
      </c>
      <c r="S1326" s="147" t="str">
        <f t="shared" si="831"/>
        <v/>
      </c>
      <c r="T1326" s="147" t="str">
        <f t="shared" si="832"/>
        <v/>
      </c>
      <c r="U1326" s="160" t="str">
        <f>IF($E1326="","",IF($C1326=12,INDEX(Input!$C$15:$CP$15,1,$B1326),0))</f>
        <v/>
      </c>
      <c r="V1326" s="150" t="str">
        <f>IF(E1326="","",IF(C1326=1,IF($B1326=1,Input!$C$33,Input!$C$34),0))</f>
        <v/>
      </c>
      <c r="W1326" s="156" t="str">
        <f>IF($E1326="","",Input!$C$35)</f>
        <v/>
      </c>
      <c r="X1326" s="156" t="str">
        <f t="shared" si="833"/>
        <v/>
      </c>
      <c r="Y1326" s="154"/>
      <c r="Z1326" s="147" t="str">
        <f>IF($E1326="","",VLOOKUP($D1326,'Mortality Margins &amp; Grading'!$AB$5:$AF$125,3,0)*IF(Summary!$D$25="Included Margin",IF(AND($B1326&gt;Input!$C$9,Summary!$D$31&lt;&gt;"Included Margin"),0,1),0))</f>
        <v/>
      </c>
      <c r="AA1326" s="147" t="str">
        <f>IF($E1326="","",VLOOKUP($D1326,'Mortality Margins &amp; Grading'!$AB$5:$AF$125,5,0)*IF(Summary!$D$25="Included Margin",IF(AND($B1326&gt;Input!$C$9,Summary!$D$31&lt;&gt;"Included Margin"),0,1),0))</f>
        <v/>
      </c>
      <c r="AB1326" s="147" t="str">
        <f>IF($E1326="","",IF(AND($B1326&gt;Input!$C$9,Summary!$D$31&lt;&gt;"Included Margin"),1,IF(Summary!$D$25="Included Margin",VLOOKUP($B1326,'Mortality Margins &amp; Grading'!$AI$5:$AR$125,MATCH('Mortality Margins &amp; Grading'!$AQ$4,'Mortality Margins &amp; Grading'!$AI$4:$AR$4,0),0),1)))</f>
        <v/>
      </c>
      <c r="AC1326" s="154"/>
      <c r="AD1326" s="158" t="str">
        <f>IF(E1326="","",Input!$C$48*IF(Summary!$D$30="Included Margin",IF(AND($B1326&gt;Input!$C$9,Summary!$D$31&lt;&gt;"Included Margin"),0,1),0))</f>
        <v/>
      </c>
      <c r="AE1326" s="159" t="str">
        <f>IF(E1326="","",IF(Summary!$D$26="Included Margin",IF(AND($B1326&gt;Input!$C$9,Summary!$D$31&lt;&gt;"Included Margin"),1,1/$R1326),1))</f>
        <v/>
      </c>
      <c r="AF1326" s="160" t="str">
        <f>IF(E1326="","",IF(AND($B1326&gt;=Input!$C$9,$C1326=12,Summary!$D$31="Included Margin",$U1326&gt;0),1/U1326-1,IF($B1326&gt;=Input!$C$9,0,Input!$C$45*IF(Summary!$D$27="Included Margin",1,0))))</f>
        <v/>
      </c>
      <c r="AG1326" s="160" t="str">
        <f>IF(E1326="","",Input!$C$46*IF(Summary!$D$28="Included Margin",IF(AND($B1326&gt;Input!$C$9,Summary!$D$31&lt;&gt;"Included Margin"),0,1),0))</f>
        <v/>
      </c>
      <c r="AH1326" s="158" t="str">
        <f>IF(E1326="","",Input!$C$47*IF(Summary!$D$29="Included Margin",IF(AND($B1326&gt;Input!$C$9,Summary!$D$31&lt;&gt;"Included Margin"),0,1),0))</f>
        <v/>
      </c>
      <c r="AI1326" s="154"/>
      <c r="AJ1326" s="158" t="str">
        <f t="shared" si="844"/>
        <v/>
      </c>
      <c r="AK1326" s="150" t="str">
        <f t="shared" si="845"/>
        <v/>
      </c>
      <c r="AL1326" s="147" t="str">
        <f t="shared" si="846"/>
        <v/>
      </c>
      <c r="AM1326" s="147" t="str">
        <f t="shared" si="834"/>
        <v/>
      </c>
      <c r="AN1326" s="160" t="str">
        <f t="shared" si="847"/>
        <v/>
      </c>
      <c r="AO1326" s="161" t="str">
        <f t="shared" si="848"/>
        <v/>
      </c>
      <c r="AP1326" s="156" t="str">
        <f t="shared" si="835"/>
        <v/>
      </c>
      <c r="AQ1326" s="152"/>
      <c r="AR1326" s="162" t="str">
        <f t="shared" si="836"/>
        <v/>
      </c>
      <c r="AS1326" s="150" t="str">
        <f t="shared" si="849"/>
        <v/>
      </c>
      <c r="AT1326" s="163" t="str">
        <f t="shared" si="837"/>
        <v/>
      </c>
      <c r="AU1326" s="163" t="str">
        <f t="shared" si="838"/>
        <v/>
      </c>
      <c r="AV1326" s="163" t="str">
        <f t="shared" si="850"/>
        <v/>
      </c>
      <c r="AW1326" s="163" t="str">
        <f t="shared" si="839"/>
        <v/>
      </c>
      <c r="AX1326" s="163" t="str">
        <f t="shared" si="840"/>
        <v/>
      </c>
      <c r="AY1326" s="150" t="str">
        <f t="shared" si="851"/>
        <v/>
      </c>
      <c r="AZ1326" s="150" t="str">
        <f>IF($E1326="","",IF(OR(AND($D1326=Input!$C$6,$C1326=12),$AN1326=1),0,-AS1327+AT1327+AU1327-AV1327-AW1327-AX1327+AZ1327))</f>
        <v/>
      </c>
      <c r="BA1326" s="154" t="str">
        <f t="shared" si="841"/>
        <v/>
      </c>
      <c r="BC1326" s="147" t="str">
        <f t="shared" si="852"/>
        <v/>
      </c>
      <c r="BD1326" s="164" t="str">
        <f>IF(AND($C1325=12,$D1325=Input!$C$6),0,IF($E1326="","",AT1326+(AU1326+BD1327)/(1+$AK1326)*MIN((1-AM1326-AN1326),1)))</f>
        <v/>
      </c>
      <c r="BH1326" s="152"/>
      <c r="BI1326" s="162" t="str">
        <f t="shared" si="860"/>
        <v/>
      </c>
      <c r="BJ1326" s="150" t="str">
        <f t="shared" si="861"/>
        <v/>
      </c>
      <c r="BK1326" s="163" t="str">
        <f t="shared" si="857"/>
        <v/>
      </c>
      <c r="BL1326" s="163" t="str">
        <f t="shared" si="862"/>
        <v/>
      </c>
      <c r="BM1326" s="163" t="str">
        <f t="shared" si="858"/>
        <v/>
      </c>
      <c r="BN1326" s="163" t="str">
        <f t="shared" si="863"/>
        <v/>
      </c>
      <c r="BO1326" s="163" t="str">
        <f t="shared" si="864"/>
        <v/>
      </c>
      <c r="BP1326" s="150" t="str">
        <f t="shared" si="859"/>
        <v/>
      </c>
      <c r="BQ1326" s="150" t="str">
        <f t="shared" si="853"/>
        <v/>
      </c>
      <c r="BR1326" s="154" t="str">
        <f t="shared" si="865"/>
        <v/>
      </c>
      <c r="BT1326" s="147"/>
    </row>
    <row r="1327" spans="1:72" s="150" customFormat="1" x14ac:dyDescent="0.25">
      <c r="A1327" s="150" t="str">
        <f t="shared" si="854"/>
        <v/>
      </c>
      <c r="B1327" s="150" t="str">
        <f t="shared" si="855"/>
        <v/>
      </c>
      <c r="C1327" s="150" t="str">
        <f t="shared" si="856"/>
        <v/>
      </c>
      <c r="D1327" s="150" t="str">
        <f>IF(E1327="","",Input!$C$4+B1327-1)</f>
        <v/>
      </c>
      <c r="E1327" s="150" t="str">
        <f>IF(OR(AND(C1326=12,D1326=Input!$C$6),E1326=""),"",1)</f>
        <v/>
      </c>
      <c r="G1327" s="151" t="str">
        <f>IF(E1327="","",MAX(0,Input!$C$9-B1327))</f>
        <v/>
      </c>
      <c r="H1327" s="152" t="str">
        <f>IF(E1327="","",Input!$C$3)</f>
        <v/>
      </c>
      <c r="I1327" s="153" t="str">
        <f>IF(E1327="","",HLOOKUP($B1327,Input!$C$13:$BT$14,2))</f>
        <v/>
      </c>
      <c r="J1327" s="154"/>
      <c r="K1327" s="150" t="str">
        <f>IF($E1327="","",INDEX(Input!$C$16:$CP$16,1,$B1327))</f>
        <v/>
      </c>
      <c r="L1327" s="150" t="str">
        <f>IF($E1327="","",Input!$C$37)</f>
        <v/>
      </c>
      <c r="M1327" s="150" t="str">
        <f t="shared" si="842"/>
        <v/>
      </c>
      <c r="N1327" s="150" t="str">
        <f t="shared" si="843"/>
        <v/>
      </c>
      <c r="O1327" s="147" t="str">
        <f>IF($E1327="","",MIN(VLOOKUP(IF($B1327&lt;=Input!$C$7,$B1327,26),'Mortality Tables'!$A$41:$CW$67,IF($B1327&lt;=Input!$C$7+1,Input!$C$4+2,$D1327-Input!$C$7+2),0)*IF(B1327&gt;20,Input!$C$22,1)/1000,1))</f>
        <v/>
      </c>
      <c r="P1327" s="147" t="str">
        <f>IF($E1327="","",MIN(VLOOKUP(IF($B1327&lt;=Input!$C$7,$B1327,26),'Mortality Tables'!$A$12:$CW$37,IF($B1327&lt;=Input!$C$7+1,Input!$C$4+2,$D1327-Input!$C$7+2),0)*IF(B1327&gt;20,Input!$C$22,1)/1000,1))</f>
        <v/>
      </c>
      <c r="Q1327" s="155" t="str">
        <f>IF($E1327="","",Input!$C$21)</f>
        <v/>
      </c>
      <c r="R1327" s="159" t="str">
        <f>IF($E1327="","",(1-Q1327)^($F1327-Input!$C$20))</f>
        <v/>
      </c>
      <c r="S1327" s="147" t="str">
        <f t="shared" si="831"/>
        <v/>
      </c>
      <c r="T1327" s="147" t="str">
        <f t="shared" si="832"/>
        <v/>
      </c>
      <c r="U1327" s="160" t="str">
        <f>IF($E1327="","",IF($C1327=12,INDEX(Input!$C$15:$CP$15,1,$B1327),0))</f>
        <v/>
      </c>
      <c r="V1327" s="150" t="str">
        <f>IF(E1327="","",IF(C1327=1,IF($B1327=1,Input!$C$33,Input!$C$34),0))</f>
        <v/>
      </c>
      <c r="W1327" s="156" t="str">
        <f>IF($E1327="","",Input!$C$35)</f>
        <v/>
      </c>
      <c r="X1327" s="156" t="str">
        <f t="shared" si="833"/>
        <v/>
      </c>
      <c r="Y1327" s="154"/>
      <c r="Z1327" s="147" t="str">
        <f>IF($E1327="","",VLOOKUP($D1327,'Mortality Margins &amp; Grading'!$AB$5:$AF$125,3,0)*IF(Summary!$D$25="Included Margin",IF(AND($B1327&gt;Input!$C$9,Summary!$D$31&lt;&gt;"Included Margin"),0,1),0))</f>
        <v/>
      </c>
      <c r="AA1327" s="147" t="str">
        <f>IF($E1327="","",VLOOKUP($D1327,'Mortality Margins &amp; Grading'!$AB$5:$AF$125,5,0)*IF(Summary!$D$25="Included Margin",IF(AND($B1327&gt;Input!$C$9,Summary!$D$31&lt;&gt;"Included Margin"),0,1),0))</f>
        <v/>
      </c>
      <c r="AB1327" s="147" t="str">
        <f>IF($E1327="","",IF(AND($B1327&gt;Input!$C$9,Summary!$D$31&lt;&gt;"Included Margin"),1,IF(Summary!$D$25="Included Margin",VLOOKUP($B1327,'Mortality Margins &amp; Grading'!$AI$5:$AR$125,MATCH('Mortality Margins &amp; Grading'!$AQ$4,'Mortality Margins &amp; Grading'!$AI$4:$AR$4,0),0),1)))</f>
        <v/>
      </c>
      <c r="AC1327" s="154"/>
      <c r="AD1327" s="158" t="str">
        <f>IF(E1327="","",Input!$C$48*IF(Summary!$D$30="Included Margin",IF(AND($B1327&gt;Input!$C$9,Summary!$D$31&lt;&gt;"Included Margin"),0,1),0))</f>
        <v/>
      </c>
      <c r="AE1327" s="159" t="str">
        <f>IF(E1327="","",IF(Summary!$D$26="Included Margin",IF(AND($B1327&gt;Input!$C$9,Summary!$D$31&lt;&gt;"Included Margin"),1,1/$R1327),1))</f>
        <v/>
      </c>
      <c r="AF1327" s="160" t="str">
        <f>IF(E1327="","",IF(AND($B1327&gt;=Input!$C$9,$C1327=12,Summary!$D$31="Included Margin",$U1327&gt;0),1/U1327-1,IF($B1327&gt;=Input!$C$9,0,Input!$C$45*IF(Summary!$D$27="Included Margin",1,0))))</f>
        <v/>
      </c>
      <c r="AG1327" s="160" t="str">
        <f>IF(E1327="","",Input!$C$46*IF(Summary!$D$28="Included Margin",IF(AND($B1327&gt;Input!$C$9,Summary!$D$31&lt;&gt;"Included Margin"),0,1),0))</f>
        <v/>
      </c>
      <c r="AH1327" s="158" t="str">
        <f>IF(E1327="","",Input!$C$47*IF(Summary!$D$29="Included Margin",IF(AND($B1327&gt;Input!$C$9,Summary!$D$31&lt;&gt;"Included Margin"),0,1),0))</f>
        <v/>
      </c>
      <c r="AI1327" s="154"/>
      <c r="AJ1327" s="158" t="str">
        <f t="shared" si="844"/>
        <v/>
      </c>
      <c r="AK1327" s="150" t="str">
        <f t="shared" si="845"/>
        <v/>
      </c>
      <c r="AL1327" s="147" t="str">
        <f t="shared" si="846"/>
        <v/>
      </c>
      <c r="AM1327" s="147" t="str">
        <f t="shared" si="834"/>
        <v/>
      </c>
      <c r="AN1327" s="160" t="str">
        <f t="shared" si="847"/>
        <v/>
      </c>
      <c r="AO1327" s="161" t="str">
        <f t="shared" si="848"/>
        <v/>
      </c>
      <c r="AP1327" s="156" t="str">
        <f t="shared" si="835"/>
        <v/>
      </c>
      <c r="AQ1327" s="152"/>
      <c r="AR1327" s="162" t="str">
        <f t="shared" si="836"/>
        <v/>
      </c>
      <c r="AS1327" s="150" t="str">
        <f t="shared" si="849"/>
        <v/>
      </c>
      <c r="AT1327" s="163" t="str">
        <f t="shared" si="837"/>
        <v/>
      </c>
      <c r="AU1327" s="163" t="str">
        <f t="shared" si="838"/>
        <v/>
      </c>
      <c r="AV1327" s="163" t="str">
        <f t="shared" si="850"/>
        <v/>
      </c>
      <c r="AW1327" s="163" t="str">
        <f t="shared" si="839"/>
        <v/>
      </c>
      <c r="AX1327" s="163" t="str">
        <f t="shared" si="840"/>
        <v/>
      </c>
      <c r="AY1327" s="150" t="str">
        <f t="shared" si="851"/>
        <v/>
      </c>
      <c r="AZ1327" s="150" t="str">
        <f>IF($E1327="","",IF(OR(AND($D1327=Input!$C$6,$C1327=12),$AN1327=1),0,-AS1328+AT1328+AU1328-AV1328-AW1328-AX1328+AZ1328))</f>
        <v/>
      </c>
      <c r="BA1327" s="154" t="str">
        <f t="shared" si="841"/>
        <v/>
      </c>
      <c r="BC1327" s="147" t="str">
        <f t="shared" si="852"/>
        <v/>
      </c>
      <c r="BD1327" s="164" t="str">
        <f>IF(AND($C1326=12,$D1326=Input!$C$6),0,IF($E1327="","",AT1327+(AU1327+BD1328)/(1+$AK1327)*MIN((1-AM1327-AN1327),1)))</f>
        <v/>
      </c>
      <c r="BH1327" s="152"/>
      <c r="BI1327" s="162" t="str">
        <f t="shared" si="860"/>
        <v/>
      </c>
      <c r="BJ1327" s="150" t="str">
        <f t="shared" si="861"/>
        <v/>
      </c>
      <c r="BK1327" s="163" t="str">
        <f t="shared" si="857"/>
        <v/>
      </c>
      <c r="BL1327" s="163" t="str">
        <f t="shared" si="862"/>
        <v/>
      </c>
      <c r="BM1327" s="163" t="str">
        <f t="shared" si="858"/>
        <v/>
      </c>
      <c r="BN1327" s="163" t="str">
        <f t="shared" si="863"/>
        <v/>
      </c>
      <c r="BO1327" s="163" t="str">
        <f t="shared" si="864"/>
        <v/>
      </c>
      <c r="BP1327" s="150" t="str">
        <f t="shared" si="859"/>
        <v/>
      </c>
      <c r="BQ1327" s="150" t="str">
        <f t="shared" si="853"/>
        <v/>
      </c>
      <c r="BR1327" s="154" t="str">
        <f t="shared" si="865"/>
        <v/>
      </c>
      <c r="BT1327" s="147"/>
    </row>
    <row r="1328" spans="1:72" s="150" customFormat="1" x14ac:dyDescent="0.25">
      <c r="A1328" s="150" t="str">
        <f t="shared" si="854"/>
        <v/>
      </c>
      <c r="B1328" s="150" t="str">
        <f t="shared" si="855"/>
        <v/>
      </c>
      <c r="C1328" s="150" t="str">
        <f t="shared" si="856"/>
        <v/>
      </c>
      <c r="D1328" s="150" t="str">
        <f>IF(E1328="","",Input!$C$4+B1328-1)</f>
        <v/>
      </c>
      <c r="E1328" s="150" t="str">
        <f>IF(OR(AND(C1327=12,D1327=Input!$C$6),E1327=""),"",1)</f>
        <v/>
      </c>
      <c r="G1328" s="151" t="str">
        <f>IF(E1328="","",MAX(0,Input!$C$9-B1328))</f>
        <v/>
      </c>
      <c r="H1328" s="152" t="str">
        <f>IF(E1328="","",Input!$C$3)</f>
        <v/>
      </c>
      <c r="I1328" s="153" t="str">
        <f>IF(E1328="","",HLOOKUP($B1328,Input!$C$13:$BT$14,2))</f>
        <v/>
      </c>
      <c r="J1328" s="154"/>
      <c r="K1328" s="150" t="str">
        <f>IF($E1328="","",INDEX(Input!$C$16:$CP$16,1,$B1328))</f>
        <v/>
      </c>
      <c r="L1328" s="150" t="str">
        <f>IF($E1328="","",Input!$C$37)</f>
        <v/>
      </c>
      <c r="M1328" s="150" t="str">
        <f t="shared" si="842"/>
        <v/>
      </c>
      <c r="N1328" s="150" t="str">
        <f t="shared" si="843"/>
        <v/>
      </c>
      <c r="O1328" s="147" t="str">
        <f>IF($E1328="","",MIN(VLOOKUP(IF($B1328&lt;=Input!$C$7,$B1328,26),'Mortality Tables'!$A$41:$CW$67,IF($B1328&lt;=Input!$C$7+1,Input!$C$4+2,$D1328-Input!$C$7+2),0)*IF(B1328&gt;20,Input!$C$22,1)/1000,1))</f>
        <v/>
      </c>
      <c r="P1328" s="147" t="str">
        <f>IF($E1328="","",MIN(VLOOKUP(IF($B1328&lt;=Input!$C$7,$B1328,26),'Mortality Tables'!$A$12:$CW$37,IF($B1328&lt;=Input!$C$7+1,Input!$C$4+2,$D1328-Input!$C$7+2),0)*IF(B1328&gt;20,Input!$C$22,1)/1000,1))</f>
        <v/>
      </c>
      <c r="Q1328" s="155" t="str">
        <f>IF($E1328="","",Input!$C$21)</f>
        <v/>
      </c>
      <c r="R1328" s="159" t="str">
        <f>IF($E1328="","",(1-Q1328)^($F1328-Input!$C$20))</f>
        <v/>
      </c>
      <c r="S1328" s="147" t="str">
        <f t="shared" si="831"/>
        <v/>
      </c>
      <c r="T1328" s="147" t="str">
        <f t="shared" si="832"/>
        <v/>
      </c>
      <c r="U1328" s="160" t="str">
        <f>IF($E1328="","",IF($C1328=12,INDEX(Input!$C$15:$CP$15,1,$B1328),0))</f>
        <v/>
      </c>
      <c r="V1328" s="150" t="str">
        <f>IF(E1328="","",IF(C1328=1,IF($B1328=1,Input!$C$33,Input!$C$34),0))</f>
        <v/>
      </c>
      <c r="W1328" s="156" t="str">
        <f>IF($E1328="","",Input!$C$35)</f>
        <v/>
      </c>
      <c r="X1328" s="156" t="str">
        <f t="shared" si="833"/>
        <v/>
      </c>
      <c r="Y1328" s="154"/>
      <c r="Z1328" s="147" t="str">
        <f>IF($E1328="","",VLOOKUP($D1328,'Mortality Margins &amp; Grading'!$AB$5:$AF$125,3,0)*IF(Summary!$D$25="Included Margin",IF(AND($B1328&gt;Input!$C$9,Summary!$D$31&lt;&gt;"Included Margin"),0,1),0))</f>
        <v/>
      </c>
      <c r="AA1328" s="147" t="str">
        <f>IF($E1328="","",VLOOKUP($D1328,'Mortality Margins &amp; Grading'!$AB$5:$AF$125,5,0)*IF(Summary!$D$25="Included Margin",IF(AND($B1328&gt;Input!$C$9,Summary!$D$31&lt;&gt;"Included Margin"),0,1),0))</f>
        <v/>
      </c>
      <c r="AB1328" s="147" t="str">
        <f>IF($E1328="","",IF(AND($B1328&gt;Input!$C$9,Summary!$D$31&lt;&gt;"Included Margin"),1,IF(Summary!$D$25="Included Margin",VLOOKUP($B1328,'Mortality Margins &amp; Grading'!$AI$5:$AR$125,MATCH('Mortality Margins &amp; Grading'!$AQ$4,'Mortality Margins &amp; Grading'!$AI$4:$AR$4,0),0),1)))</f>
        <v/>
      </c>
      <c r="AC1328" s="154"/>
      <c r="AD1328" s="158" t="str">
        <f>IF(E1328="","",Input!$C$48*IF(Summary!$D$30="Included Margin",IF(AND($B1328&gt;Input!$C$9,Summary!$D$31&lt;&gt;"Included Margin"),0,1),0))</f>
        <v/>
      </c>
      <c r="AE1328" s="159" t="str">
        <f>IF(E1328="","",IF(Summary!$D$26="Included Margin",IF(AND($B1328&gt;Input!$C$9,Summary!$D$31&lt;&gt;"Included Margin"),1,1/$R1328),1))</f>
        <v/>
      </c>
      <c r="AF1328" s="160" t="str">
        <f>IF(E1328="","",IF(AND($B1328&gt;=Input!$C$9,$C1328=12,Summary!$D$31="Included Margin",$U1328&gt;0),1/U1328-1,IF($B1328&gt;=Input!$C$9,0,Input!$C$45*IF(Summary!$D$27="Included Margin",1,0))))</f>
        <v/>
      </c>
      <c r="AG1328" s="160" t="str">
        <f>IF(E1328="","",Input!$C$46*IF(Summary!$D$28="Included Margin",IF(AND($B1328&gt;Input!$C$9,Summary!$D$31&lt;&gt;"Included Margin"),0,1),0))</f>
        <v/>
      </c>
      <c r="AH1328" s="158" t="str">
        <f>IF(E1328="","",Input!$C$47*IF(Summary!$D$29="Included Margin",IF(AND($B1328&gt;Input!$C$9,Summary!$D$31&lt;&gt;"Included Margin"),0,1),0))</f>
        <v/>
      </c>
      <c r="AI1328" s="154"/>
      <c r="AJ1328" s="158" t="str">
        <f t="shared" si="844"/>
        <v/>
      </c>
      <c r="AK1328" s="150" t="str">
        <f t="shared" si="845"/>
        <v/>
      </c>
      <c r="AL1328" s="147" t="str">
        <f t="shared" si="846"/>
        <v/>
      </c>
      <c r="AM1328" s="147" t="str">
        <f t="shared" si="834"/>
        <v/>
      </c>
      <c r="AN1328" s="160" t="str">
        <f t="shared" si="847"/>
        <v/>
      </c>
      <c r="AO1328" s="161" t="str">
        <f t="shared" si="848"/>
        <v/>
      </c>
      <c r="AP1328" s="156" t="str">
        <f t="shared" si="835"/>
        <v/>
      </c>
      <c r="AQ1328" s="152"/>
      <c r="AR1328" s="162" t="str">
        <f t="shared" si="836"/>
        <v/>
      </c>
      <c r="AS1328" s="150" t="str">
        <f t="shared" si="849"/>
        <v/>
      </c>
      <c r="AT1328" s="163" t="str">
        <f t="shared" si="837"/>
        <v/>
      </c>
      <c r="AU1328" s="163" t="str">
        <f t="shared" si="838"/>
        <v/>
      </c>
      <c r="AV1328" s="163" t="str">
        <f t="shared" si="850"/>
        <v/>
      </c>
      <c r="AW1328" s="163" t="str">
        <f t="shared" si="839"/>
        <v/>
      </c>
      <c r="AX1328" s="163" t="str">
        <f t="shared" si="840"/>
        <v/>
      </c>
      <c r="AY1328" s="150" t="str">
        <f t="shared" si="851"/>
        <v/>
      </c>
      <c r="AZ1328" s="150" t="str">
        <f>IF($E1328="","",IF(OR(AND($D1328=Input!$C$6,$C1328=12),$AN1328=1),0,-AS1329+AT1329+AU1329-AV1329-AW1329-AX1329+AZ1329))</f>
        <v/>
      </c>
      <c r="BA1328" s="154" t="str">
        <f t="shared" si="841"/>
        <v/>
      </c>
      <c r="BC1328" s="147" t="str">
        <f t="shared" si="852"/>
        <v/>
      </c>
      <c r="BD1328" s="164" t="str">
        <f>IF(AND($C1327=12,$D1327=Input!$C$6),0,IF($E1328="","",AT1328+(AU1328+BD1329)/(1+$AK1328)*MIN((1-AM1328-AN1328),1)))</f>
        <v/>
      </c>
      <c r="BH1328" s="152"/>
      <c r="BI1328" s="162" t="str">
        <f t="shared" si="860"/>
        <v/>
      </c>
      <c r="BJ1328" s="150" t="str">
        <f t="shared" si="861"/>
        <v/>
      </c>
      <c r="BK1328" s="163" t="str">
        <f t="shared" si="857"/>
        <v/>
      </c>
      <c r="BL1328" s="163" t="str">
        <f t="shared" si="862"/>
        <v/>
      </c>
      <c r="BM1328" s="163" t="str">
        <f t="shared" si="858"/>
        <v/>
      </c>
      <c r="BN1328" s="163" t="str">
        <f t="shared" si="863"/>
        <v/>
      </c>
      <c r="BO1328" s="163" t="str">
        <f t="shared" si="864"/>
        <v/>
      </c>
      <c r="BP1328" s="150" t="str">
        <f t="shared" si="859"/>
        <v/>
      </c>
      <c r="BQ1328" s="150" t="str">
        <f t="shared" si="853"/>
        <v/>
      </c>
      <c r="BR1328" s="154" t="str">
        <f t="shared" si="865"/>
        <v/>
      </c>
      <c r="BT1328" s="147"/>
    </row>
    <row r="1329" spans="1:72" s="150" customFormat="1" x14ac:dyDescent="0.25">
      <c r="A1329" s="150" t="str">
        <f t="shared" si="854"/>
        <v/>
      </c>
      <c r="B1329" s="150" t="str">
        <f t="shared" si="855"/>
        <v/>
      </c>
      <c r="C1329" s="150" t="str">
        <f t="shared" si="856"/>
        <v/>
      </c>
      <c r="D1329" s="150" t="str">
        <f>IF(E1329="","",Input!$C$4+B1329-1)</f>
        <v/>
      </c>
      <c r="E1329" s="150" t="str">
        <f>IF(OR(AND(C1328=12,D1328=Input!$C$6),E1328=""),"",1)</f>
        <v/>
      </c>
      <c r="G1329" s="151" t="str">
        <f>IF(E1329="","",MAX(0,Input!$C$9-B1329))</f>
        <v/>
      </c>
      <c r="H1329" s="152" t="str">
        <f>IF(E1329="","",Input!$C$3)</f>
        <v/>
      </c>
      <c r="I1329" s="153" t="str">
        <f>IF(E1329="","",HLOOKUP($B1329,Input!$C$13:$BT$14,2))</f>
        <v/>
      </c>
      <c r="J1329" s="154"/>
      <c r="K1329" s="150" t="str">
        <f>IF($E1329="","",INDEX(Input!$C$16:$CP$16,1,$B1329))</f>
        <v/>
      </c>
      <c r="L1329" s="150" t="str">
        <f>IF($E1329="","",Input!$C$37)</f>
        <v/>
      </c>
      <c r="M1329" s="150" t="str">
        <f t="shared" si="842"/>
        <v/>
      </c>
      <c r="N1329" s="150" t="str">
        <f t="shared" si="843"/>
        <v/>
      </c>
      <c r="O1329" s="147" t="str">
        <f>IF($E1329="","",MIN(VLOOKUP(IF($B1329&lt;=Input!$C$7,$B1329,26),'Mortality Tables'!$A$41:$CW$67,IF($B1329&lt;=Input!$C$7+1,Input!$C$4+2,$D1329-Input!$C$7+2),0)*IF(B1329&gt;20,Input!$C$22,1)/1000,1))</f>
        <v/>
      </c>
      <c r="P1329" s="147" t="str">
        <f>IF($E1329="","",MIN(VLOOKUP(IF($B1329&lt;=Input!$C$7,$B1329,26),'Mortality Tables'!$A$12:$CW$37,IF($B1329&lt;=Input!$C$7+1,Input!$C$4+2,$D1329-Input!$C$7+2),0)*IF(B1329&gt;20,Input!$C$22,1)/1000,1))</f>
        <v/>
      </c>
      <c r="Q1329" s="155" t="str">
        <f>IF($E1329="","",Input!$C$21)</f>
        <v/>
      </c>
      <c r="R1329" s="159" t="str">
        <f>IF($E1329="","",(1-Q1329)^($F1329-Input!$C$20))</f>
        <v/>
      </c>
      <c r="S1329" s="147" t="str">
        <f t="shared" si="831"/>
        <v/>
      </c>
      <c r="T1329" s="147" t="str">
        <f t="shared" si="832"/>
        <v/>
      </c>
      <c r="U1329" s="160" t="str">
        <f>IF($E1329="","",IF($C1329=12,INDEX(Input!$C$15:$CP$15,1,$B1329),0))</f>
        <v/>
      </c>
      <c r="V1329" s="150" t="str">
        <f>IF(E1329="","",IF(C1329=1,IF($B1329=1,Input!$C$33,Input!$C$34),0))</f>
        <v/>
      </c>
      <c r="W1329" s="156" t="str">
        <f>IF($E1329="","",Input!$C$35)</f>
        <v/>
      </c>
      <c r="X1329" s="156" t="str">
        <f t="shared" si="833"/>
        <v/>
      </c>
      <c r="Y1329" s="154"/>
      <c r="Z1329" s="147" t="str">
        <f>IF($E1329="","",VLOOKUP($D1329,'Mortality Margins &amp; Grading'!$AB$5:$AF$125,3,0)*IF(Summary!$D$25="Included Margin",IF(AND($B1329&gt;Input!$C$9,Summary!$D$31&lt;&gt;"Included Margin"),0,1),0))</f>
        <v/>
      </c>
      <c r="AA1329" s="147" t="str">
        <f>IF($E1329="","",VLOOKUP($D1329,'Mortality Margins &amp; Grading'!$AB$5:$AF$125,5,0)*IF(Summary!$D$25="Included Margin",IF(AND($B1329&gt;Input!$C$9,Summary!$D$31&lt;&gt;"Included Margin"),0,1),0))</f>
        <v/>
      </c>
      <c r="AB1329" s="147" t="str">
        <f>IF($E1329="","",IF(AND($B1329&gt;Input!$C$9,Summary!$D$31&lt;&gt;"Included Margin"),1,IF(Summary!$D$25="Included Margin",VLOOKUP($B1329,'Mortality Margins &amp; Grading'!$AI$5:$AR$125,MATCH('Mortality Margins &amp; Grading'!$AQ$4,'Mortality Margins &amp; Grading'!$AI$4:$AR$4,0),0),1)))</f>
        <v/>
      </c>
      <c r="AC1329" s="154"/>
      <c r="AD1329" s="158" t="str">
        <f>IF(E1329="","",Input!$C$48*IF(Summary!$D$30="Included Margin",IF(AND($B1329&gt;Input!$C$9,Summary!$D$31&lt;&gt;"Included Margin"),0,1),0))</f>
        <v/>
      </c>
      <c r="AE1329" s="159" t="str">
        <f>IF(E1329="","",IF(Summary!$D$26="Included Margin",IF(AND($B1329&gt;Input!$C$9,Summary!$D$31&lt;&gt;"Included Margin"),1,1/$R1329),1))</f>
        <v/>
      </c>
      <c r="AF1329" s="160" t="str">
        <f>IF(E1329="","",IF(AND($B1329&gt;=Input!$C$9,$C1329=12,Summary!$D$31="Included Margin",$U1329&gt;0),1/U1329-1,IF($B1329&gt;=Input!$C$9,0,Input!$C$45*IF(Summary!$D$27="Included Margin",1,0))))</f>
        <v/>
      </c>
      <c r="AG1329" s="160" t="str">
        <f>IF(E1329="","",Input!$C$46*IF(Summary!$D$28="Included Margin",IF(AND($B1329&gt;Input!$C$9,Summary!$D$31&lt;&gt;"Included Margin"),0,1),0))</f>
        <v/>
      </c>
      <c r="AH1329" s="158" t="str">
        <f>IF(E1329="","",Input!$C$47*IF(Summary!$D$29="Included Margin",IF(AND($B1329&gt;Input!$C$9,Summary!$D$31&lt;&gt;"Included Margin"),0,1),0))</f>
        <v/>
      </c>
      <c r="AI1329" s="154"/>
      <c r="AJ1329" s="158" t="str">
        <f t="shared" si="844"/>
        <v/>
      </c>
      <c r="AK1329" s="150" t="str">
        <f t="shared" si="845"/>
        <v/>
      </c>
      <c r="AL1329" s="147" t="str">
        <f t="shared" si="846"/>
        <v/>
      </c>
      <c r="AM1329" s="147" t="str">
        <f t="shared" si="834"/>
        <v/>
      </c>
      <c r="AN1329" s="160" t="str">
        <f t="shared" si="847"/>
        <v/>
      </c>
      <c r="AO1329" s="161" t="str">
        <f t="shared" si="848"/>
        <v/>
      </c>
      <c r="AP1329" s="156" t="str">
        <f t="shared" si="835"/>
        <v/>
      </c>
      <c r="AQ1329" s="152"/>
      <c r="AR1329" s="162" t="str">
        <f t="shared" si="836"/>
        <v/>
      </c>
      <c r="AS1329" s="150" t="str">
        <f t="shared" si="849"/>
        <v/>
      </c>
      <c r="AT1329" s="163" t="str">
        <f t="shared" si="837"/>
        <v/>
      </c>
      <c r="AU1329" s="163" t="str">
        <f t="shared" si="838"/>
        <v/>
      </c>
      <c r="AV1329" s="163" t="str">
        <f t="shared" si="850"/>
        <v/>
      </c>
      <c r="AW1329" s="163" t="str">
        <f t="shared" si="839"/>
        <v/>
      </c>
      <c r="AX1329" s="163" t="str">
        <f t="shared" si="840"/>
        <v/>
      </c>
      <c r="AY1329" s="150" t="str">
        <f t="shared" si="851"/>
        <v/>
      </c>
      <c r="AZ1329" s="150" t="str">
        <f>IF($E1329="","",IF(OR(AND($D1329=Input!$C$6,$C1329=12),$AN1329=1),0,-AS1330+AT1330+AU1330-AV1330-AW1330-AX1330+AZ1330))</f>
        <v/>
      </c>
      <c r="BA1329" s="154" t="str">
        <f t="shared" si="841"/>
        <v/>
      </c>
      <c r="BC1329" s="147" t="str">
        <f t="shared" si="852"/>
        <v/>
      </c>
      <c r="BD1329" s="164" t="str">
        <f>IF(AND($C1328=12,$D1328=Input!$C$6),0,IF($E1329="","",AT1329+(AU1329+BD1330)/(1+$AK1329)*MIN((1-AM1329-AN1329),1)))</f>
        <v/>
      </c>
      <c r="BH1329" s="152"/>
      <c r="BI1329" s="162" t="str">
        <f t="shared" si="860"/>
        <v/>
      </c>
      <c r="BJ1329" s="150" t="str">
        <f t="shared" si="861"/>
        <v/>
      </c>
      <c r="BK1329" s="163" t="str">
        <f t="shared" si="857"/>
        <v/>
      </c>
      <c r="BL1329" s="163" t="str">
        <f t="shared" si="862"/>
        <v/>
      </c>
      <c r="BM1329" s="163" t="str">
        <f t="shared" si="858"/>
        <v/>
      </c>
      <c r="BN1329" s="163" t="str">
        <f t="shared" si="863"/>
        <v/>
      </c>
      <c r="BO1329" s="163" t="str">
        <f t="shared" si="864"/>
        <v/>
      </c>
      <c r="BP1329" s="150" t="str">
        <f t="shared" si="859"/>
        <v/>
      </c>
      <c r="BQ1329" s="150" t="str">
        <f t="shared" si="853"/>
        <v/>
      </c>
      <c r="BR1329" s="154" t="str">
        <f t="shared" si="865"/>
        <v/>
      </c>
      <c r="BT1329" s="147"/>
    </row>
    <row r="1330" spans="1:72" s="150" customFormat="1" x14ac:dyDescent="0.25">
      <c r="A1330" s="150" t="str">
        <f t="shared" si="854"/>
        <v/>
      </c>
      <c r="B1330" s="150" t="str">
        <f t="shared" si="855"/>
        <v/>
      </c>
      <c r="C1330" s="150" t="str">
        <f t="shared" si="856"/>
        <v/>
      </c>
      <c r="D1330" s="150" t="str">
        <f>IF(E1330="","",Input!$C$4+B1330-1)</f>
        <v/>
      </c>
      <c r="E1330" s="150" t="str">
        <f>IF(OR(AND(C1329=12,D1329=Input!$C$6),E1329=""),"",1)</f>
        <v/>
      </c>
      <c r="G1330" s="151" t="str">
        <f>IF(E1330="","",MAX(0,Input!$C$9-B1330))</f>
        <v/>
      </c>
      <c r="H1330" s="152" t="str">
        <f>IF(E1330="","",Input!$C$3)</f>
        <v/>
      </c>
      <c r="I1330" s="153" t="str">
        <f>IF(E1330="","",HLOOKUP($B1330,Input!$C$13:$BT$14,2))</f>
        <v/>
      </c>
      <c r="J1330" s="154"/>
      <c r="K1330" s="150" t="str">
        <f>IF($E1330="","",INDEX(Input!$C$16:$CP$16,1,$B1330))</f>
        <v/>
      </c>
      <c r="L1330" s="150" t="str">
        <f>IF($E1330="","",Input!$C$37)</f>
        <v/>
      </c>
      <c r="M1330" s="150" t="str">
        <f t="shared" si="842"/>
        <v/>
      </c>
      <c r="N1330" s="150" t="str">
        <f t="shared" si="843"/>
        <v/>
      </c>
      <c r="O1330" s="147" t="str">
        <f>IF($E1330="","",MIN(VLOOKUP(IF($B1330&lt;=Input!$C$7,$B1330,26),'Mortality Tables'!$A$41:$CW$67,IF($B1330&lt;=Input!$C$7+1,Input!$C$4+2,$D1330-Input!$C$7+2),0)*IF(B1330&gt;20,Input!$C$22,1)/1000,1))</f>
        <v/>
      </c>
      <c r="P1330" s="147" t="str">
        <f>IF($E1330="","",MIN(VLOOKUP(IF($B1330&lt;=Input!$C$7,$B1330,26),'Mortality Tables'!$A$12:$CW$37,IF($B1330&lt;=Input!$C$7+1,Input!$C$4+2,$D1330-Input!$C$7+2),0)*IF(B1330&gt;20,Input!$C$22,1)/1000,1))</f>
        <v/>
      </c>
      <c r="Q1330" s="155" t="str">
        <f>IF($E1330="","",Input!$C$21)</f>
        <v/>
      </c>
      <c r="R1330" s="159" t="str">
        <f>IF($E1330="","",(1-Q1330)^($F1330-Input!$C$20))</f>
        <v/>
      </c>
      <c r="S1330" s="147" t="str">
        <f t="shared" si="831"/>
        <v/>
      </c>
      <c r="T1330" s="147" t="str">
        <f t="shared" si="832"/>
        <v/>
      </c>
      <c r="U1330" s="160" t="str">
        <f>IF($E1330="","",IF($C1330=12,INDEX(Input!$C$15:$CP$15,1,$B1330),0))</f>
        <v/>
      </c>
      <c r="V1330" s="150" t="str">
        <f>IF(E1330="","",IF(C1330=1,IF($B1330=1,Input!$C$33,Input!$C$34),0))</f>
        <v/>
      </c>
      <c r="W1330" s="156" t="str">
        <f>IF($E1330="","",Input!$C$35)</f>
        <v/>
      </c>
      <c r="X1330" s="156" t="str">
        <f t="shared" si="833"/>
        <v/>
      </c>
      <c r="Y1330" s="154"/>
      <c r="Z1330" s="147" t="str">
        <f>IF($E1330="","",VLOOKUP($D1330,'Mortality Margins &amp; Grading'!$AB$5:$AF$125,3,0)*IF(Summary!$D$25="Included Margin",IF(AND($B1330&gt;Input!$C$9,Summary!$D$31&lt;&gt;"Included Margin"),0,1),0))</f>
        <v/>
      </c>
      <c r="AA1330" s="147" t="str">
        <f>IF($E1330="","",VLOOKUP($D1330,'Mortality Margins &amp; Grading'!$AB$5:$AF$125,5,0)*IF(Summary!$D$25="Included Margin",IF(AND($B1330&gt;Input!$C$9,Summary!$D$31&lt;&gt;"Included Margin"),0,1),0))</f>
        <v/>
      </c>
      <c r="AB1330" s="147" t="str">
        <f>IF($E1330="","",IF(AND($B1330&gt;Input!$C$9,Summary!$D$31&lt;&gt;"Included Margin"),1,IF(Summary!$D$25="Included Margin",VLOOKUP($B1330,'Mortality Margins &amp; Grading'!$AI$5:$AR$125,MATCH('Mortality Margins &amp; Grading'!$AQ$4,'Mortality Margins &amp; Grading'!$AI$4:$AR$4,0),0),1)))</f>
        <v/>
      </c>
      <c r="AC1330" s="154"/>
      <c r="AD1330" s="158" t="str">
        <f>IF(E1330="","",Input!$C$48*IF(Summary!$D$30="Included Margin",IF(AND($B1330&gt;Input!$C$9,Summary!$D$31&lt;&gt;"Included Margin"),0,1),0))</f>
        <v/>
      </c>
      <c r="AE1330" s="159" t="str">
        <f>IF(E1330="","",IF(Summary!$D$26="Included Margin",IF(AND($B1330&gt;Input!$C$9,Summary!$D$31&lt;&gt;"Included Margin"),1,1/$R1330),1))</f>
        <v/>
      </c>
      <c r="AF1330" s="160" t="str">
        <f>IF(E1330="","",IF(AND($B1330&gt;=Input!$C$9,$C1330=12,Summary!$D$31="Included Margin",$U1330&gt;0),1/U1330-1,IF($B1330&gt;=Input!$C$9,0,Input!$C$45*IF(Summary!$D$27="Included Margin",1,0))))</f>
        <v/>
      </c>
      <c r="AG1330" s="160" t="str">
        <f>IF(E1330="","",Input!$C$46*IF(Summary!$D$28="Included Margin",IF(AND($B1330&gt;Input!$C$9,Summary!$D$31&lt;&gt;"Included Margin"),0,1),0))</f>
        <v/>
      </c>
      <c r="AH1330" s="158" t="str">
        <f>IF(E1330="","",Input!$C$47*IF(Summary!$D$29="Included Margin",IF(AND($B1330&gt;Input!$C$9,Summary!$D$31&lt;&gt;"Included Margin"),0,1),0))</f>
        <v/>
      </c>
      <c r="AI1330" s="154"/>
      <c r="AJ1330" s="158" t="str">
        <f t="shared" si="844"/>
        <v/>
      </c>
      <c r="AK1330" s="150" t="str">
        <f t="shared" si="845"/>
        <v/>
      </c>
      <c r="AL1330" s="147" t="str">
        <f t="shared" si="846"/>
        <v/>
      </c>
      <c r="AM1330" s="147" t="str">
        <f t="shared" si="834"/>
        <v/>
      </c>
      <c r="AN1330" s="160" t="str">
        <f t="shared" si="847"/>
        <v/>
      </c>
      <c r="AO1330" s="161" t="str">
        <f t="shared" si="848"/>
        <v/>
      </c>
      <c r="AP1330" s="156" t="str">
        <f t="shared" si="835"/>
        <v/>
      </c>
      <c r="AQ1330" s="152"/>
      <c r="AR1330" s="162" t="str">
        <f t="shared" si="836"/>
        <v/>
      </c>
      <c r="AS1330" s="150" t="str">
        <f t="shared" si="849"/>
        <v/>
      </c>
      <c r="AT1330" s="163" t="str">
        <f t="shared" si="837"/>
        <v/>
      </c>
      <c r="AU1330" s="163" t="str">
        <f t="shared" si="838"/>
        <v/>
      </c>
      <c r="AV1330" s="163" t="str">
        <f t="shared" si="850"/>
        <v/>
      </c>
      <c r="AW1330" s="163" t="str">
        <f t="shared" si="839"/>
        <v/>
      </c>
      <c r="AX1330" s="163" t="str">
        <f t="shared" si="840"/>
        <v/>
      </c>
      <c r="AY1330" s="150" t="str">
        <f t="shared" si="851"/>
        <v/>
      </c>
      <c r="AZ1330" s="150" t="str">
        <f>IF($E1330="","",IF(OR(AND($D1330=Input!$C$6,$C1330=12),$AN1330=1),0,-AS1331+AT1331+AU1331-AV1331-AW1331-AX1331+AZ1331))</f>
        <v/>
      </c>
      <c r="BA1330" s="154" t="str">
        <f t="shared" si="841"/>
        <v/>
      </c>
      <c r="BC1330" s="147" t="str">
        <f t="shared" si="852"/>
        <v/>
      </c>
      <c r="BD1330" s="164" t="str">
        <f>IF(AND($C1329=12,$D1329=Input!$C$6),0,IF($E1330="","",AT1330+(AU1330+BD1331)/(1+$AK1330)*MIN((1-AM1330-AN1330),1)))</f>
        <v/>
      </c>
      <c r="BH1330" s="152"/>
      <c r="BI1330" s="162" t="str">
        <f t="shared" si="860"/>
        <v/>
      </c>
      <c r="BJ1330" s="150" t="str">
        <f t="shared" si="861"/>
        <v/>
      </c>
      <c r="BK1330" s="163" t="str">
        <f t="shared" si="857"/>
        <v/>
      </c>
      <c r="BL1330" s="163" t="str">
        <f t="shared" si="862"/>
        <v/>
      </c>
      <c r="BM1330" s="163" t="str">
        <f t="shared" si="858"/>
        <v/>
      </c>
      <c r="BN1330" s="163" t="str">
        <f t="shared" si="863"/>
        <v/>
      </c>
      <c r="BO1330" s="163" t="str">
        <f t="shared" si="864"/>
        <v/>
      </c>
      <c r="BP1330" s="150" t="str">
        <f t="shared" si="859"/>
        <v/>
      </c>
      <c r="BQ1330" s="150" t="str">
        <f t="shared" si="853"/>
        <v/>
      </c>
      <c r="BR1330" s="154" t="str">
        <f t="shared" si="865"/>
        <v/>
      </c>
      <c r="BT1330" s="147"/>
    </row>
    <row r="1331" spans="1:72" s="150" customFormat="1" x14ac:dyDescent="0.25">
      <c r="A1331" s="150" t="str">
        <f t="shared" si="854"/>
        <v/>
      </c>
      <c r="B1331" s="150" t="str">
        <f t="shared" si="855"/>
        <v/>
      </c>
      <c r="C1331" s="150" t="str">
        <f t="shared" si="856"/>
        <v/>
      </c>
      <c r="D1331" s="150" t="str">
        <f>IF(E1331="","",Input!$C$4+B1331-1)</f>
        <v/>
      </c>
      <c r="E1331" s="150" t="str">
        <f>IF(OR(AND(C1330=12,D1330=Input!$C$6),E1330=""),"",1)</f>
        <v/>
      </c>
      <c r="G1331" s="151" t="str">
        <f>IF(E1331="","",MAX(0,Input!$C$9-B1331))</f>
        <v/>
      </c>
      <c r="H1331" s="152" t="str">
        <f>IF(E1331="","",Input!$C$3)</f>
        <v/>
      </c>
      <c r="I1331" s="153" t="str">
        <f>IF(E1331="","",HLOOKUP($B1331,Input!$C$13:$BT$14,2))</f>
        <v/>
      </c>
      <c r="J1331" s="154"/>
      <c r="K1331" s="150" t="str">
        <f>IF($E1331="","",INDEX(Input!$C$16:$CP$16,1,$B1331))</f>
        <v/>
      </c>
      <c r="L1331" s="150" t="str">
        <f>IF($E1331="","",Input!$C$37)</f>
        <v/>
      </c>
      <c r="M1331" s="150" t="str">
        <f t="shared" si="842"/>
        <v/>
      </c>
      <c r="N1331" s="150" t="str">
        <f t="shared" si="843"/>
        <v/>
      </c>
      <c r="O1331" s="147" t="str">
        <f>IF($E1331="","",MIN(VLOOKUP(IF($B1331&lt;=Input!$C$7,$B1331,26),'Mortality Tables'!$A$41:$CW$67,IF($B1331&lt;=Input!$C$7+1,Input!$C$4+2,$D1331-Input!$C$7+2),0)*IF(B1331&gt;20,Input!$C$22,1)/1000,1))</f>
        <v/>
      </c>
      <c r="P1331" s="147" t="str">
        <f>IF($E1331="","",MIN(VLOOKUP(IF($B1331&lt;=Input!$C$7,$B1331,26),'Mortality Tables'!$A$12:$CW$37,IF($B1331&lt;=Input!$C$7+1,Input!$C$4+2,$D1331-Input!$C$7+2),0)*IF(B1331&gt;20,Input!$C$22,1)/1000,1))</f>
        <v/>
      </c>
      <c r="Q1331" s="155" t="str">
        <f>IF($E1331="","",Input!$C$21)</f>
        <v/>
      </c>
      <c r="R1331" s="159" t="str">
        <f>IF($E1331="","",(1-Q1331)^($F1331-Input!$C$20))</f>
        <v/>
      </c>
      <c r="S1331" s="147" t="str">
        <f t="shared" si="831"/>
        <v/>
      </c>
      <c r="T1331" s="147" t="str">
        <f t="shared" si="832"/>
        <v/>
      </c>
      <c r="U1331" s="160" t="str">
        <f>IF($E1331="","",IF($C1331=12,INDEX(Input!$C$15:$CP$15,1,$B1331),0))</f>
        <v/>
      </c>
      <c r="V1331" s="150" t="str">
        <f>IF(E1331="","",IF(C1331=1,IF($B1331=1,Input!$C$33,Input!$C$34),0))</f>
        <v/>
      </c>
      <c r="W1331" s="156" t="str">
        <f>IF($E1331="","",Input!$C$35)</f>
        <v/>
      </c>
      <c r="X1331" s="156" t="str">
        <f t="shared" si="833"/>
        <v/>
      </c>
      <c r="Y1331" s="154"/>
      <c r="Z1331" s="147" t="str">
        <f>IF($E1331="","",VLOOKUP($D1331,'Mortality Margins &amp; Grading'!$AB$5:$AF$125,3,0)*IF(Summary!$D$25="Included Margin",IF(AND($B1331&gt;Input!$C$9,Summary!$D$31&lt;&gt;"Included Margin"),0,1),0))</f>
        <v/>
      </c>
      <c r="AA1331" s="147" t="str">
        <f>IF($E1331="","",VLOOKUP($D1331,'Mortality Margins &amp; Grading'!$AB$5:$AF$125,5,0)*IF(Summary!$D$25="Included Margin",IF(AND($B1331&gt;Input!$C$9,Summary!$D$31&lt;&gt;"Included Margin"),0,1),0))</f>
        <v/>
      </c>
      <c r="AB1331" s="147" t="str">
        <f>IF($E1331="","",IF(AND($B1331&gt;Input!$C$9,Summary!$D$31&lt;&gt;"Included Margin"),1,IF(Summary!$D$25="Included Margin",VLOOKUP($B1331,'Mortality Margins &amp; Grading'!$AI$5:$AR$125,MATCH('Mortality Margins &amp; Grading'!$AQ$4,'Mortality Margins &amp; Grading'!$AI$4:$AR$4,0),0),1)))</f>
        <v/>
      </c>
      <c r="AC1331" s="154"/>
      <c r="AD1331" s="158" t="str">
        <f>IF(E1331="","",Input!$C$48*IF(Summary!$D$30="Included Margin",IF(AND($B1331&gt;Input!$C$9,Summary!$D$31&lt;&gt;"Included Margin"),0,1),0))</f>
        <v/>
      </c>
      <c r="AE1331" s="159" t="str">
        <f>IF(E1331="","",IF(Summary!$D$26="Included Margin",IF(AND($B1331&gt;Input!$C$9,Summary!$D$31&lt;&gt;"Included Margin"),1,1/$R1331),1))</f>
        <v/>
      </c>
      <c r="AF1331" s="160" t="str">
        <f>IF(E1331="","",IF(AND($B1331&gt;=Input!$C$9,$C1331=12,Summary!$D$31="Included Margin",$U1331&gt;0),1/U1331-1,IF($B1331&gt;=Input!$C$9,0,Input!$C$45*IF(Summary!$D$27="Included Margin",1,0))))</f>
        <v/>
      </c>
      <c r="AG1331" s="160" t="str">
        <f>IF(E1331="","",Input!$C$46*IF(Summary!$D$28="Included Margin",IF(AND($B1331&gt;Input!$C$9,Summary!$D$31&lt;&gt;"Included Margin"),0,1),0))</f>
        <v/>
      </c>
      <c r="AH1331" s="158" t="str">
        <f>IF(E1331="","",Input!$C$47*IF(Summary!$D$29="Included Margin",IF(AND($B1331&gt;Input!$C$9,Summary!$D$31&lt;&gt;"Included Margin"),0,1),0))</f>
        <v/>
      </c>
      <c r="AI1331" s="154"/>
      <c r="AJ1331" s="158" t="str">
        <f t="shared" si="844"/>
        <v/>
      </c>
      <c r="AK1331" s="150" t="str">
        <f t="shared" si="845"/>
        <v/>
      </c>
      <c r="AL1331" s="147" t="str">
        <f t="shared" si="846"/>
        <v/>
      </c>
      <c r="AM1331" s="147" t="str">
        <f t="shared" si="834"/>
        <v/>
      </c>
      <c r="AN1331" s="160" t="str">
        <f t="shared" si="847"/>
        <v/>
      </c>
      <c r="AO1331" s="161" t="str">
        <f t="shared" si="848"/>
        <v/>
      </c>
      <c r="AP1331" s="156" t="str">
        <f t="shared" si="835"/>
        <v/>
      </c>
      <c r="AQ1331" s="152"/>
      <c r="AR1331" s="162" t="str">
        <f t="shared" si="836"/>
        <v/>
      </c>
      <c r="AS1331" s="150" t="str">
        <f t="shared" si="849"/>
        <v/>
      </c>
      <c r="AT1331" s="163" t="str">
        <f t="shared" si="837"/>
        <v/>
      </c>
      <c r="AU1331" s="163" t="str">
        <f t="shared" si="838"/>
        <v/>
      </c>
      <c r="AV1331" s="163" t="str">
        <f t="shared" si="850"/>
        <v/>
      </c>
      <c r="AW1331" s="163" t="str">
        <f t="shared" si="839"/>
        <v/>
      </c>
      <c r="AX1331" s="163" t="str">
        <f t="shared" si="840"/>
        <v/>
      </c>
      <c r="AY1331" s="150" t="str">
        <f t="shared" si="851"/>
        <v/>
      </c>
      <c r="AZ1331" s="150" t="str">
        <f>IF($E1331="","",IF(OR(AND($D1331=Input!$C$6,$C1331=12),$AN1331=1),0,-AS1332+AT1332+AU1332-AV1332-AW1332-AX1332+AZ1332))</f>
        <v/>
      </c>
      <c r="BA1331" s="154" t="str">
        <f t="shared" si="841"/>
        <v/>
      </c>
      <c r="BC1331" s="147" t="str">
        <f t="shared" si="852"/>
        <v/>
      </c>
      <c r="BD1331" s="164" t="str">
        <f>IF(AND($C1330=12,$D1330=Input!$C$6),0,IF($E1331="","",AT1331+(AU1331+BD1332)/(1+$AK1331)*MIN((1-AM1331-AN1331),1)))</f>
        <v/>
      </c>
      <c r="BH1331" s="152"/>
      <c r="BI1331" s="162" t="str">
        <f t="shared" si="860"/>
        <v/>
      </c>
      <c r="BJ1331" s="150" t="str">
        <f t="shared" si="861"/>
        <v/>
      </c>
      <c r="BK1331" s="163" t="str">
        <f t="shared" si="857"/>
        <v/>
      </c>
      <c r="BL1331" s="163" t="str">
        <f t="shared" si="862"/>
        <v/>
      </c>
      <c r="BM1331" s="163" t="str">
        <f t="shared" si="858"/>
        <v/>
      </c>
      <c r="BN1331" s="163" t="str">
        <f t="shared" si="863"/>
        <v/>
      </c>
      <c r="BO1331" s="163" t="str">
        <f t="shared" si="864"/>
        <v/>
      </c>
      <c r="BP1331" s="150" t="str">
        <f t="shared" si="859"/>
        <v/>
      </c>
      <c r="BQ1331" s="150" t="str">
        <f t="shared" si="853"/>
        <v/>
      </c>
      <c r="BR1331" s="154" t="str">
        <f t="shared" si="865"/>
        <v/>
      </c>
      <c r="BT1331" s="147"/>
    </row>
    <row r="1332" spans="1:72" s="150" customFormat="1" x14ac:dyDescent="0.25">
      <c r="A1332" s="150" t="str">
        <f t="shared" si="854"/>
        <v/>
      </c>
      <c r="B1332" s="150" t="str">
        <f t="shared" si="855"/>
        <v/>
      </c>
      <c r="C1332" s="150" t="str">
        <f t="shared" si="856"/>
        <v/>
      </c>
      <c r="D1332" s="150" t="str">
        <f>IF(E1332="","",Input!$C$4+B1332-1)</f>
        <v/>
      </c>
      <c r="E1332" s="150" t="str">
        <f>IF(OR(AND(C1331=12,D1331=Input!$C$6),E1331=""),"",1)</f>
        <v/>
      </c>
      <c r="G1332" s="151" t="str">
        <f>IF(E1332="","",MAX(0,Input!$C$9-B1332))</f>
        <v/>
      </c>
      <c r="H1332" s="152" t="str">
        <f>IF(E1332="","",Input!$C$3)</f>
        <v/>
      </c>
      <c r="I1332" s="153" t="str">
        <f>IF(E1332="","",HLOOKUP($B1332,Input!$C$13:$BT$14,2))</f>
        <v/>
      </c>
      <c r="J1332" s="154"/>
      <c r="K1332" s="150" t="str">
        <f>IF($E1332="","",INDEX(Input!$C$16:$CP$16,1,$B1332))</f>
        <v/>
      </c>
      <c r="L1332" s="150" t="str">
        <f>IF($E1332="","",Input!$C$37)</f>
        <v/>
      </c>
      <c r="M1332" s="150" t="str">
        <f t="shared" si="842"/>
        <v/>
      </c>
      <c r="N1332" s="150" t="str">
        <f t="shared" si="843"/>
        <v/>
      </c>
      <c r="O1332" s="147" t="str">
        <f>IF($E1332="","",MIN(VLOOKUP(IF($B1332&lt;=Input!$C$7,$B1332,26),'Mortality Tables'!$A$41:$CW$67,IF($B1332&lt;=Input!$C$7+1,Input!$C$4+2,$D1332-Input!$C$7+2),0)*IF(B1332&gt;20,Input!$C$22,1)/1000,1))</f>
        <v/>
      </c>
      <c r="P1332" s="147" t="str">
        <f>IF($E1332="","",MIN(VLOOKUP(IF($B1332&lt;=Input!$C$7,$B1332,26),'Mortality Tables'!$A$12:$CW$37,IF($B1332&lt;=Input!$C$7+1,Input!$C$4+2,$D1332-Input!$C$7+2),0)*IF(B1332&gt;20,Input!$C$22,1)/1000,1))</f>
        <v/>
      </c>
      <c r="Q1332" s="155" t="str">
        <f>IF($E1332="","",Input!$C$21)</f>
        <v/>
      </c>
      <c r="R1332" s="159" t="str">
        <f>IF($E1332="","",(1-Q1332)^($F1332-Input!$C$20))</f>
        <v/>
      </c>
      <c r="S1332" s="147" t="str">
        <f t="shared" si="831"/>
        <v/>
      </c>
      <c r="T1332" s="147" t="str">
        <f t="shared" si="832"/>
        <v/>
      </c>
      <c r="U1332" s="160" t="str">
        <f>IF($E1332="","",IF($C1332=12,INDEX(Input!$C$15:$CP$15,1,$B1332),0))</f>
        <v/>
      </c>
      <c r="V1332" s="150" t="str">
        <f>IF(E1332="","",IF(C1332=1,IF($B1332=1,Input!$C$33,Input!$C$34),0))</f>
        <v/>
      </c>
      <c r="W1332" s="156" t="str">
        <f>IF($E1332="","",Input!$C$35)</f>
        <v/>
      </c>
      <c r="X1332" s="156" t="str">
        <f t="shared" si="833"/>
        <v/>
      </c>
      <c r="Y1332" s="154"/>
      <c r="Z1332" s="147" t="str">
        <f>IF($E1332="","",VLOOKUP($D1332,'Mortality Margins &amp; Grading'!$AB$5:$AF$125,3,0)*IF(Summary!$D$25="Included Margin",IF(AND($B1332&gt;Input!$C$9,Summary!$D$31&lt;&gt;"Included Margin"),0,1),0))</f>
        <v/>
      </c>
      <c r="AA1332" s="147" t="str">
        <f>IF($E1332="","",VLOOKUP($D1332,'Mortality Margins &amp; Grading'!$AB$5:$AF$125,5,0)*IF(Summary!$D$25="Included Margin",IF(AND($B1332&gt;Input!$C$9,Summary!$D$31&lt;&gt;"Included Margin"),0,1),0))</f>
        <v/>
      </c>
      <c r="AB1332" s="147" t="str">
        <f>IF($E1332="","",IF(AND($B1332&gt;Input!$C$9,Summary!$D$31&lt;&gt;"Included Margin"),1,IF(Summary!$D$25="Included Margin",VLOOKUP($B1332,'Mortality Margins &amp; Grading'!$AI$5:$AR$125,MATCH('Mortality Margins &amp; Grading'!$AQ$4,'Mortality Margins &amp; Grading'!$AI$4:$AR$4,0),0),1)))</f>
        <v/>
      </c>
      <c r="AC1332" s="154"/>
      <c r="AD1332" s="158" t="str">
        <f>IF(E1332="","",Input!$C$48*IF(Summary!$D$30="Included Margin",IF(AND($B1332&gt;Input!$C$9,Summary!$D$31&lt;&gt;"Included Margin"),0,1),0))</f>
        <v/>
      </c>
      <c r="AE1332" s="159" t="str">
        <f>IF(E1332="","",IF(Summary!$D$26="Included Margin",IF(AND($B1332&gt;Input!$C$9,Summary!$D$31&lt;&gt;"Included Margin"),1,1/$R1332),1))</f>
        <v/>
      </c>
      <c r="AF1332" s="160" t="str">
        <f>IF(E1332="","",IF(AND($B1332&gt;=Input!$C$9,$C1332=12,Summary!$D$31="Included Margin",$U1332&gt;0),1/U1332-1,IF($B1332&gt;=Input!$C$9,0,Input!$C$45*IF(Summary!$D$27="Included Margin",1,0))))</f>
        <v/>
      </c>
      <c r="AG1332" s="160" t="str">
        <f>IF(E1332="","",Input!$C$46*IF(Summary!$D$28="Included Margin",IF(AND($B1332&gt;Input!$C$9,Summary!$D$31&lt;&gt;"Included Margin"),0,1),0))</f>
        <v/>
      </c>
      <c r="AH1332" s="158" t="str">
        <f>IF(E1332="","",Input!$C$47*IF(Summary!$D$29="Included Margin",IF(AND($B1332&gt;Input!$C$9,Summary!$D$31&lt;&gt;"Included Margin"),0,1),0))</f>
        <v/>
      </c>
      <c r="AI1332" s="154"/>
      <c r="AJ1332" s="158" t="str">
        <f t="shared" si="844"/>
        <v/>
      </c>
      <c r="AK1332" s="150" t="str">
        <f t="shared" si="845"/>
        <v/>
      </c>
      <c r="AL1332" s="147" t="str">
        <f t="shared" si="846"/>
        <v/>
      </c>
      <c r="AM1332" s="147" t="str">
        <f t="shared" si="834"/>
        <v/>
      </c>
      <c r="AN1332" s="160" t="str">
        <f t="shared" si="847"/>
        <v/>
      </c>
      <c r="AO1332" s="161" t="str">
        <f t="shared" si="848"/>
        <v/>
      </c>
      <c r="AP1332" s="156" t="str">
        <f t="shared" si="835"/>
        <v/>
      </c>
      <c r="AQ1332" s="152"/>
      <c r="AR1332" s="162" t="str">
        <f t="shared" si="836"/>
        <v/>
      </c>
      <c r="AS1332" s="150" t="str">
        <f t="shared" si="849"/>
        <v/>
      </c>
      <c r="AT1332" s="163" t="str">
        <f t="shared" si="837"/>
        <v/>
      </c>
      <c r="AU1332" s="163" t="str">
        <f t="shared" si="838"/>
        <v/>
      </c>
      <c r="AV1332" s="163" t="str">
        <f t="shared" si="850"/>
        <v/>
      </c>
      <c r="AW1332" s="163" t="str">
        <f t="shared" si="839"/>
        <v/>
      </c>
      <c r="AX1332" s="163" t="str">
        <f t="shared" si="840"/>
        <v/>
      </c>
      <c r="AY1332" s="150" t="str">
        <f t="shared" si="851"/>
        <v/>
      </c>
      <c r="AZ1332" s="150" t="str">
        <f>IF($E1332="","",IF(OR(AND($D1332=Input!$C$6,$C1332=12),$AN1332=1),0,-AS1333+AT1333+AU1333-AV1333-AW1333-AX1333+AZ1333))</f>
        <v/>
      </c>
      <c r="BA1332" s="154" t="str">
        <f t="shared" si="841"/>
        <v/>
      </c>
      <c r="BC1332" s="147" t="str">
        <f t="shared" si="852"/>
        <v/>
      </c>
      <c r="BD1332" s="164" t="str">
        <f>IF(AND($C1331=12,$D1331=Input!$C$6),0,IF($E1332="","",AT1332+(AU1332+BD1333)/(1+$AK1332)*MIN((1-AM1332-AN1332),1)))</f>
        <v/>
      </c>
      <c r="BH1332" s="152"/>
      <c r="BI1332" s="162" t="str">
        <f t="shared" si="860"/>
        <v/>
      </c>
      <c r="BJ1332" s="150" t="str">
        <f t="shared" si="861"/>
        <v/>
      </c>
      <c r="BK1332" s="163" t="str">
        <f t="shared" si="857"/>
        <v/>
      </c>
      <c r="BL1332" s="163" t="str">
        <f t="shared" si="862"/>
        <v/>
      </c>
      <c r="BM1332" s="163" t="str">
        <f t="shared" si="858"/>
        <v/>
      </c>
      <c r="BN1332" s="163" t="str">
        <f t="shared" si="863"/>
        <v/>
      </c>
      <c r="BO1332" s="163" t="str">
        <f t="shared" si="864"/>
        <v/>
      </c>
      <c r="BP1332" s="150" t="str">
        <f t="shared" si="859"/>
        <v/>
      </c>
      <c r="BQ1332" s="150" t="str">
        <f t="shared" si="853"/>
        <v/>
      </c>
      <c r="BR1332" s="154" t="str">
        <f t="shared" si="865"/>
        <v/>
      </c>
      <c r="BT1332" s="147"/>
    </row>
    <row r="1333" spans="1:72" s="150" customFormat="1" x14ac:dyDescent="0.25">
      <c r="A1333" s="150" t="str">
        <f t="shared" si="854"/>
        <v/>
      </c>
      <c r="B1333" s="150" t="str">
        <f t="shared" si="855"/>
        <v/>
      </c>
      <c r="C1333" s="150" t="str">
        <f t="shared" si="856"/>
        <v/>
      </c>
      <c r="D1333" s="150" t="str">
        <f>IF(E1333="","",Input!$C$4+B1333-1)</f>
        <v/>
      </c>
      <c r="E1333" s="150" t="str">
        <f>IF(OR(AND(C1332=12,D1332=Input!$C$6),E1332=""),"",1)</f>
        <v/>
      </c>
      <c r="G1333" s="151" t="str">
        <f>IF(E1333="","",MAX(0,Input!$C$9-B1333))</f>
        <v/>
      </c>
      <c r="H1333" s="152" t="str">
        <f>IF(E1333="","",Input!$C$3)</f>
        <v/>
      </c>
      <c r="I1333" s="153" t="str">
        <f>IF(E1333="","",HLOOKUP($B1333,Input!$C$13:$BT$14,2))</f>
        <v/>
      </c>
      <c r="J1333" s="154"/>
      <c r="K1333" s="150" t="str">
        <f>IF($E1333="","",INDEX(Input!$C$16:$CP$16,1,$B1333))</f>
        <v/>
      </c>
      <c r="L1333" s="150" t="str">
        <f>IF($E1333="","",Input!$C$37)</f>
        <v/>
      </c>
      <c r="M1333" s="150" t="str">
        <f t="shared" si="842"/>
        <v/>
      </c>
      <c r="N1333" s="150" t="str">
        <f t="shared" si="843"/>
        <v/>
      </c>
      <c r="O1333" s="147" t="str">
        <f>IF($E1333="","",MIN(VLOOKUP(IF($B1333&lt;=Input!$C$7,$B1333,26),'Mortality Tables'!$A$41:$CW$67,IF($B1333&lt;=Input!$C$7+1,Input!$C$4+2,$D1333-Input!$C$7+2),0)*IF(B1333&gt;20,Input!$C$22,1)/1000,1))</f>
        <v/>
      </c>
      <c r="P1333" s="147" t="str">
        <f>IF($E1333="","",MIN(VLOOKUP(IF($B1333&lt;=Input!$C$7,$B1333,26),'Mortality Tables'!$A$12:$CW$37,IF($B1333&lt;=Input!$C$7+1,Input!$C$4+2,$D1333-Input!$C$7+2),0)*IF(B1333&gt;20,Input!$C$22,1)/1000,1))</f>
        <v/>
      </c>
      <c r="Q1333" s="155" t="str">
        <f>IF($E1333="","",Input!$C$21)</f>
        <v/>
      </c>
      <c r="R1333" s="159" t="str">
        <f>IF($E1333="","",(1-Q1333)^($F1333-Input!$C$20))</f>
        <v/>
      </c>
      <c r="S1333" s="147" t="str">
        <f t="shared" si="831"/>
        <v/>
      </c>
      <c r="T1333" s="147" t="str">
        <f t="shared" si="832"/>
        <v/>
      </c>
      <c r="U1333" s="160" t="str">
        <f>IF($E1333="","",IF($C1333=12,INDEX(Input!$C$15:$CP$15,1,$B1333),0))</f>
        <v/>
      </c>
      <c r="V1333" s="150" t="str">
        <f>IF(E1333="","",IF(C1333=1,IF($B1333=1,Input!$C$33,Input!$C$34),0))</f>
        <v/>
      </c>
      <c r="W1333" s="156" t="str">
        <f>IF($E1333="","",Input!$C$35)</f>
        <v/>
      </c>
      <c r="X1333" s="156" t="str">
        <f t="shared" si="833"/>
        <v/>
      </c>
      <c r="Y1333" s="154"/>
      <c r="Z1333" s="147" t="str">
        <f>IF($E1333="","",VLOOKUP($D1333,'Mortality Margins &amp; Grading'!$AB$5:$AF$125,3,0)*IF(Summary!$D$25="Included Margin",IF(AND($B1333&gt;Input!$C$9,Summary!$D$31&lt;&gt;"Included Margin"),0,1),0))</f>
        <v/>
      </c>
      <c r="AA1333" s="147" t="str">
        <f>IF($E1333="","",VLOOKUP($D1333,'Mortality Margins &amp; Grading'!$AB$5:$AF$125,5,0)*IF(Summary!$D$25="Included Margin",IF(AND($B1333&gt;Input!$C$9,Summary!$D$31&lt;&gt;"Included Margin"),0,1),0))</f>
        <v/>
      </c>
      <c r="AB1333" s="147" t="str">
        <f>IF($E1333="","",IF(AND($B1333&gt;Input!$C$9,Summary!$D$31&lt;&gt;"Included Margin"),1,IF(Summary!$D$25="Included Margin",VLOOKUP($B1333,'Mortality Margins &amp; Grading'!$AI$5:$AR$125,MATCH('Mortality Margins &amp; Grading'!$AQ$4,'Mortality Margins &amp; Grading'!$AI$4:$AR$4,0),0),1)))</f>
        <v/>
      </c>
      <c r="AC1333" s="154"/>
      <c r="AD1333" s="158" t="str">
        <f>IF(E1333="","",Input!$C$48*IF(Summary!$D$30="Included Margin",IF(AND($B1333&gt;Input!$C$9,Summary!$D$31&lt;&gt;"Included Margin"),0,1),0))</f>
        <v/>
      </c>
      <c r="AE1333" s="159" t="str">
        <f>IF(E1333="","",IF(Summary!$D$26="Included Margin",IF(AND($B1333&gt;Input!$C$9,Summary!$D$31&lt;&gt;"Included Margin"),1,1/$R1333),1))</f>
        <v/>
      </c>
      <c r="AF1333" s="160" t="str">
        <f>IF(E1333="","",IF(AND($B1333&gt;=Input!$C$9,$C1333=12,Summary!$D$31="Included Margin",$U1333&gt;0),1/U1333-1,IF($B1333&gt;=Input!$C$9,0,Input!$C$45*IF(Summary!$D$27="Included Margin",1,0))))</f>
        <v/>
      </c>
      <c r="AG1333" s="160" t="str">
        <f>IF(E1333="","",Input!$C$46*IF(Summary!$D$28="Included Margin",IF(AND($B1333&gt;Input!$C$9,Summary!$D$31&lt;&gt;"Included Margin"),0,1),0))</f>
        <v/>
      </c>
      <c r="AH1333" s="158" t="str">
        <f>IF(E1333="","",Input!$C$47*IF(Summary!$D$29="Included Margin",IF(AND($B1333&gt;Input!$C$9,Summary!$D$31&lt;&gt;"Included Margin"),0,1),0))</f>
        <v/>
      </c>
      <c r="AI1333" s="154"/>
      <c r="AJ1333" s="158" t="str">
        <f t="shared" si="844"/>
        <v/>
      </c>
      <c r="AK1333" s="150" t="str">
        <f t="shared" si="845"/>
        <v/>
      </c>
      <c r="AL1333" s="147" t="str">
        <f t="shared" si="846"/>
        <v/>
      </c>
      <c r="AM1333" s="147" t="str">
        <f t="shared" si="834"/>
        <v/>
      </c>
      <c r="AN1333" s="160" t="str">
        <f t="shared" si="847"/>
        <v/>
      </c>
      <c r="AO1333" s="161" t="str">
        <f t="shared" si="848"/>
        <v/>
      </c>
      <c r="AP1333" s="156" t="str">
        <f t="shared" si="835"/>
        <v/>
      </c>
      <c r="AQ1333" s="152"/>
      <c r="AR1333" s="162" t="str">
        <f t="shared" si="836"/>
        <v/>
      </c>
      <c r="AS1333" s="150" t="str">
        <f t="shared" si="849"/>
        <v/>
      </c>
      <c r="AT1333" s="163" t="str">
        <f t="shared" si="837"/>
        <v/>
      </c>
      <c r="AU1333" s="163" t="str">
        <f t="shared" si="838"/>
        <v/>
      </c>
      <c r="AV1333" s="163" t="str">
        <f t="shared" si="850"/>
        <v/>
      </c>
      <c r="AW1333" s="163" t="str">
        <f t="shared" si="839"/>
        <v/>
      </c>
      <c r="AX1333" s="163" t="str">
        <f t="shared" si="840"/>
        <v/>
      </c>
      <c r="AY1333" s="150" t="str">
        <f t="shared" si="851"/>
        <v/>
      </c>
      <c r="AZ1333" s="150" t="str">
        <f>IF($E1333="","",IF(OR(AND($D1333=Input!$C$6,$C1333=12),$AN1333=1),0,-AS1334+AT1334+AU1334-AV1334-AW1334-AX1334+AZ1334))</f>
        <v/>
      </c>
      <c r="BA1333" s="154" t="str">
        <f t="shared" si="841"/>
        <v/>
      </c>
      <c r="BC1333" s="147" t="str">
        <f t="shared" si="852"/>
        <v/>
      </c>
      <c r="BD1333" s="164" t="str">
        <f>IF(AND($C1332=12,$D1332=Input!$C$6),0,IF($E1333="","",AT1333+(AU1333+BD1334)/(1+$AK1333)*MIN((1-AM1333-AN1333),1)))</f>
        <v/>
      </c>
      <c r="BH1333" s="152"/>
      <c r="BI1333" s="162" t="str">
        <f t="shared" si="860"/>
        <v/>
      </c>
      <c r="BJ1333" s="150" t="str">
        <f t="shared" si="861"/>
        <v/>
      </c>
      <c r="BK1333" s="163" t="str">
        <f t="shared" si="857"/>
        <v/>
      </c>
      <c r="BL1333" s="163" t="str">
        <f t="shared" si="862"/>
        <v/>
      </c>
      <c r="BM1333" s="163" t="str">
        <f t="shared" si="858"/>
        <v/>
      </c>
      <c r="BN1333" s="163" t="str">
        <f t="shared" si="863"/>
        <v/>
      </c>
      <c r="BO1333" s="163" t="str">
        <f t="shared" si="864"/>
        <v/>
      </c>
      <c r="BP1333" s="150" t="str">
        <f t="shared" si="859"/>
        <v/>
      </c>
      <c r="BQ1333" s="150" t="str">
        <f t="shared" si="853"/>
        <v/>
      </c>
      <c r="BR1333" s="154" t="str">
        <f t="shared" si="865"/>
        <v/>
      </c>
      <c r="BT1333" s="147"/>
    </row>
    <row r="1334" spans="1:72" s="150" customFormat="1" x14ac:dyDescent="0.25">
      <c r="A1334" s="150" t="str">
        <f t="shared" si="854"/>
        <v/>
      </c>
      <c r="B1334" s="150" t="str">
        <f t="shared" si="855"/>
        <v/>
      </c>
      <c r="C1334" s="150" t="str">
        <f t="shared" si="856"/>
        <v/>
      </c>
      <c r="D1334" s="150" t="str">
        <f>IF(E1334="","",Input!$C$4+B1334-1)</f>
        <v/>
      </c>
      <c r="E1334" s="150" t="str">
        <f>IF(OR(AND(C1333=12,D1333=Input!$C$6),E1333=""),"",1)</f>
        <v/>
      </c>
      <c r="G1334" s="151" t="str">
        <f>IF(E1334="","",MAX(0,Input!$C$9-B1334))</f>
        <v/>
      </c>
      <c r="H1334" s="152" t="str">
        <f>IF(E1334="","",Input!$C$3)</f>
        <v/>
      </c>
      <c r="I1334" s="153" t="str">
        <f>IF(E1334="","",HLOOKUP($B1334,Input!$C$13:$BT$14,2))</f>
        <v/>
      </c>
      <c r="J1334" s="154"/>
      <c r="K1334" s="150" t="str">
        <f>IF($E1334="","",INDEX(Input!$C$16:$CP$16,1,$B1334))</f>
        <v/>
      </c>
      <c r="L1334" s="150" t="str">
        <f>IF($E1334="","",Input!$C$37)</f>
        <v/>
      </c>
      <c r="M1334" s="150" t="str">
        <f t="shared" si="842"/>
        <v/>
      </c>
      <c r="N1334" s="150" t="str">
        <f t="shared" si="843"/>
        <v/>
      </c>
      <c r="O1334" s="147" t="str">
        <f>IF($E1334="","",MIN(VLOOKUP(IF($B1334&lt;=Input!$C$7,$B1334,26),'Mortality Tables'!$A$41:$CW$67,IF($B1334&lt;=Input!$C$7+1,Input!$C$4+2,$D1334-Input!$C$7+2),0)*IF(B1334&gt;20,Input!$C$22,1)/1000,1))</f>
        <v/>
      </c>
      <c r="P1334" s="147" t="str">
        <f>IF($E1334="","",MIN(VLOOKUP(IF($B1334&lt;=Input!$C$7,$B1334,26),'Mortality Tables'!$A$12:$CW$37,IF($B1334&lt;=Input!$C$7+1,Input!$C$4+2,$D1334-Input!$C$7+2),0)*IF(B1334&gt;20,Input!$C$22,1)/1000,1))</f>
        <v/>
      </c>
      <c r="Q1334" s="155" t="str">
        <f>IF($E1334="","",Input!$C$21)</f>
        <v/>
      </c>
      <c r="R1334" s="159" t="str">
        <f>IF($E1334="","",(1-Q1334)^($F1334-Input!$C$20))</f>
        <v/>
      </c>
      <c r="S1334" s="147" t="str">
        <f t="shared" si="831"/>
        <v/>
      </c>
      <c r="T1334" s="147" t="str">
        <f t="shared" si="832"/>
        <v/>
      </c>
      <c r="U1334" s="160" t="str">
        <f>IF($E1334="","",IF($C1334=12,INDEX(Input!$C$15:$CP$15,1,$B1334),0))</f>
        <v/>
      </c>
      <c r="V1334" s="150" t="str">
        <f>IF(E1334="","",IF(C1334=1,IF($B1334=1,Input!$C$33,Input!$C$34),0))</f>
        <v/>
      </c>
      <c r="W1334" s="156" t="str">
        <f>IF($E1334="","",Input!$C$35)</f>
        <v/>
      </c>
      <c r="X1334" s="156" t="str">
        <f t="shared" si="833"/>
        <v/>
      </c>
      <c r="Y1334" s="154"/>
      <c r="Z1334" s="147" t="str">
        <f>IF($E1334="","",VLOOKUP($D1334,'Mortality Margins &amp; Grading'!$AB$5:$AF$125,3,0)*IF(Summary!$D$25="Included Margin",IF(AND($B1334&gt;Input!$C$9,Summary!$D$31&lt;&gt;"Included Margin"),0,1),0))</f>
        <v/>
      </c>
      <c r="AA1334" s="147" t="str">
        <f>IF($E1334="","",VLOOKUP($D1334,'Mortality Margins &amp; Grading'!$AB$5:$AF$125,5,0)*IF(Summary!$D$25="Included Margin",IF(AND($B1334&gt;Input!$C$9,Summary!$D$31&lt;&gt;"Included Margin"),0,1),0))</f>
        <v/>
      </c>
      <c r="AB1334" s="147" t="str">
        <f>IF($E1334="","",IF(AND($B1334&gt;Input!$C$9,Summary!$D$31&lt;&gt;"Included Margin"),1,IF(Summary!$D$25="Included Margin",VLOOKUP($B1334,'Mortality Margins &amp; Grading'!$AI$5:$AR$125,MATCH('Mortality Margins &amp; Grading'!$AQ$4,'Mortality Margins &amp; Grading'!$AI$4:$AR$4,0),0),1)))</f>
        <v/>
      </c>
      <c r="AC1334" s="154"/>
      <c r="AD1334" s="158" t="str">
        <f>IF(E1334="","",Input!$C$48*IF(Summary!$D$30="Included Margin",IF(AND($B1334&gt;Input!$C$9,Summary!$D$31&lt;&gt;"Included Margin"),0,1),0))</f>
        <v/>
      </c>
      <c r="AE1334" s="159" t="str">
        <f>IF(E1334="","",IF(Summary!$D$26="Included Margin",IF(AND($B1334&gt;Input!$C$9,Summary!$D$31&lt;&gt;"Included Margin"),1,1/$R1334),1))</f>
        <v/>
      </c>
      <c r="AF1334" s="160" t="str">
        <f>IF(E1334="","",IF(AND($B1334&gt;=Input!$C$9,$C1334=12,Summary!$D$31="Included Margin",$U1334&gt;0),1/U1334-1,IF($B1334&gt;=Input!$C$9,0,Input!$C$45*IF(Summary!$D$27="Included Margin",1,0))))</f>
        <v/>
      </c>
      <c r="AG1334" s="160" t="str">
        <f>IF(E1334="","",Input!$C$46*IF(Summary!$D$28="Included Margin",IF(AND($B1334&gt;Input!$C$9,Summary!$D$31&lt;&gt;"Included Margin"),0,1),0))</f>
        <v/>
      </c>
      <c r="AH1334" s="158" t="str">
        <f>IF(E1334="","",Input!$C$47*IF(Summary!$D$29="Included Margin",IF(AND($B1334&gt;Input!$C$9,Summary!$D$31&lt;&gt;"Included Margin"),0,1),0))</f>
        <v/>
      </c>
      <c r="AI1334" s="154"/>
      <c r="AJ1334" s="158" t="str">
        <f t="shared" si="844"/>
        <v/>
      </c>
      <c r="AK1334" s="150" t="str">
        <f t="shared" si="845"/>
        <v/>
      </c>
      <c r="AL1334" s="147" t="str">
        <f t="shared" si="846"/>
        <v/>
      </c>
      <c r="AM1334" s="147" t="str">
        <f t="shared" si="834"/>
        <v/>
      </c>
      <c r="AN1334" s="160" t="str">
        <f t="shared" si="847"/>
        <v/>
      </c>
      <c r="AO1334" s="161" t="str">
        <f t="shared" si="848"/>
        <v/>
      </c>
      <c r="AP1334" s="156" t="str">
        <f t="shared" si="835"/>
        <v/>
      </c>
      <c r="AQ1334" s="152"/>
      <c r="AR1334" s="162" t="str">
        <f t="shared" si="836"/>
        <v/>
      </c>
      <c r="AS1334" s="150" t="str">
        <f t="shared" si="849"/>
        <v/>
      </c>
      <c r="AT1334" s="163" t="str">
        <f t="shared" si="837"/>
        <v/>
      </c>
      <c r="AU1334" s="163" t="str">
        <f t="shared" si="838"/>
        <v/>
      </c>
      <c r="AV1334" s="163" t="str">
        <f t="shared" si="850"/>
        <v/>
      </c>
      <c r="AW1334" s="163" t="str">
        <f t="shared" si="839"/>
        <v/>
      </c>
      <c r="AX1334" s="163" t="str">
        <f t="shared" si="840"/>
        <v/>
      </c>
      <c r="AY1334" s="150" t="str">
        <f t="shared" si="851"/>
        <v/>
      </c>
      <c r="AZ1334" s="150" t="str">
        <f>IF($E1334="","",IF(OR(AND($D1334=Input!$C$6,$C1334=12),$AN1334=1),0,-AS1335+AT1335+AU1335-AV1335-AW1335-AX1335+AZ1335))</f>
        <v/>
      </c>
      <c r="BA1334" s="154" t="str">
        <f t="shared" si="841"/>
        <v/>
      </c>
      <c r="BC1334" s="147" t="str">
        <f t="shared" si="852"/>
        <v/>
      </c>
      <c r="BD1334" s="164" t="str">
        <f>IF(AND($C1333=12,$D1333=Input!$C$6),0,IF($E1334="","",AT1334+(AU1334+BD1335)/(1+$AK1334)*MIN((1-AM1334-AN1334),1)))</f>
        <v/>
      </c>
      <c r="BH1334" s="152"/>
      <c r="BI1334" s="162" t="str">
        <f t="shared" si="860"/>
        <v/>
      </c>
      <c r="BJ1334" s="150" t="str">
        <f t="shared" si="861"/>
        <v/>
      </c>
      <c r="BK1334" s="163" t="str">
        <f t="shared" si="857"/>
        <v/>
      </c>
      <c r="BL1334" s="163" t="str">
        <f t="shared" si="862"/>
        <v/>
      </c>
      <c r="BM1334" s="163" t="str">
        <f t="shared" si="858"/>
        <v/>
      </c>
      <c r="BN1334" s="163" t="str">
        <f t="shared" si="863"/>
        <v/>
      </c>
      <c r="BO1334" s="163" t="str">
        <f t="shared" si="864"/>
        <v/>
      </c>
      <c r="BP1334" s="150" t="str">
        <f t="shared" si="859"/>
        <v/>
      </c>
      <c r="BQ1334" s="150" t="str">
        <f t="shared" si="853"/>
        <v/>
      </c>
      <c r="BR1334" s="154" t="str">
        <f t="shared" si="865"/>
        <v/>
      </c>
      <c r="BT1334" s="147"/>
    </row>
    <row r="1335" spans="1:72" s="150" customFormat="1" x14ac:dyDescent="0.25">
      <c r="A1335" s="150" t="str">
        <f t="shared" si="854"/>
        <v/>
      </c>
      <c r="B1335" s="150" t="str">
        <f t="shared" si="855"/>
        <v/>
      </c>
      <c r="C1335" s="150" t="str">
        <f t="shared" si="856"/>
        <v/>
      </c>
      <c r="D1335" s="150" t="str">
        <f>IF(E1335="","",Input!$C$4+B1335-1)</f>
        <v/>
      </c>
      <c r="E1335" s="150" t="str">
        <f>IF(OR(AND(C1334=12,D1334=Input!$C$6),E1334=""),"",1)</f>
        <v/>
      </c>
      <c r="G1335" s="151" t="str">
        <f>IF(E1335="","",MAX(0,Input!$C$9-B1335))</f>
        <v/>
      </c>
      <c r="H1335" s="152" t="str">
        <f>IF(E1335="","",Input!$C$3)</f>
        <v/>
      </c>
      <c r="I1335" s="153" t="str">
        <f>IF(E1335="","",HLOOKUP($B1335,Input!$C$13:$BT$14,2))</f>
        <v/>
      </c>
      <c r="J1335" s="154"/>
      <c r="K1335" s="150" t="str">
        <f>IF($E1335="","",INDEX(Input!$C$16:$CP$16,1,$B1335))</f>
        <v/>
      </c>
      <c r="L1335" s="150" t="str">
        <f>IF($E1335="","",Input!$C$37)</f>
        <v/>
      </c>
      <c r="M1335" s="150" t="str">
        <f t="shared" si="842"/>
        <v/>
      </c>
      <c r="N1335" s="150" t="str">
        <f t="shared" si="843"/>
        <v/>
      </c>
      <c r="O1335" s="147" t="str">
        <f>IF($E1335="","",MIN(VLOOKUP(IF($B1335&lt;=Input!$C$7,$B1335,26),'Mortality Tables'!$A$41:$CW$67,IF($B1335&lt;=Input!$C$7+1,Input!$C$4+2,$D1335-Input!$C$7+2),0)*IF(B1335&gt;20,Input!$C$22,1)/1000,1))</f>
        <v/>
      </c>
      <c r="P1335" s="147" t="str">
        <f>IF($E1335="","",MIN(VLOOKUP(IF($B1335&lt;=Input!$C$7,$B1335,26),'Mortality Tables'!$A$12:$CW$37,IF($B1335&lt;=Input!$C$7+1,Input!$C$4+2,$D1335-Input!$C$7+2),0)*IF(B1335&gt;20,Input!$C$22,1)/1000,1))</f>
        <v/>
      </c>
      <c r="Q1335" s="155" t="str">
        <f>IF($E1335="","",Input!$C$21)</f>
        <v/>
      </c>
      <c r="R1335" s="159" t="str">
        <f>IF($E1335="","",(1-Q1335)^($F1335-Input!$C$20))</f>
        <v/>
      </c>
      <c r="S1335" s="147" t="str">
        <f t="shared" si="831"/>
        <v/>
      </c>
      <c r="T1335" s="147" t="str">
        <f t="shared" si="832"/>
        <v/>
      </c>
      <c r="U1335" s="160" t="str">
        <f>IF($E1335="","",IF($C1335=12,INDEX(Input!$C$15:$CP$15,1,$B1335),0))</f>
        <v/>
      </c>
      <c r="V1335" s="150" t="str">
        <f>IF(E1335="","",IF(C1335=1,IF($B1335=1,Input!$C$33,Input!$C$34),0))</f>
        <v/>
      </c>
      <c r="W1335" s="156" t="str">
        <f>IF($E1335="","",Input!$C$35)</f>
        <v/>
      </c>
      <c r="X1335" s="156" t="str">
        <f t="shared" si="833"/>
        <v/>
      </c>
      <c r="Y1335" s="154"/>
      <c r="Z1335" s="147" t="str">
        <f>IF($E1335="","",VLOOKUP($D1335,'Mortality Margins &amp; Grading'!$AB$5:$AF$125,3,0)*IF(Summary!$D$25="Included Margin",IF(AND($B1335&gt;Input!$C$9,Summary!$D$31&lt;&gt;"Included Margin"),0,1),0))</f>
        <v/>
      </c>
      <c r="AA1335" s="147" t="str">
        <f>IF($E1335="","",VLOOKUP($D1335,'Mortality Margins &amp; Grading'!$AB$5:$AF$125,5,0)*IF(Summary!$D$25="Included Margin",IF(AND($B1335&gt;Input!$C$9,Summary!$D$31&lt;&gt;"Included Margin"),0,1),0))</f>
        <v/>
      </c>
      <c r="AB1335" s="147" t="str">
        <f>IF($E1335="","",IF(AND($B1335&gt;Input!$C$9,Summary!$D$31&lt;&gt;"Included Margin"),1,IF(Summary!$D$25="Included Margin",VLOOKUP($B1335,'Mortality Margins &amp; Grading'!$AI$5:$AR$125,MATCH('Mortality Margins &amp; Grading'!$AQ$4,'Mortality Margins &amp; Grading'!$AI$4:$AR$4,0),0),1)))</f>
        <v/>
      </c>
      <c r="AC1335" s="154"/>
      <c r="AD1335" s="158" t="str">
        <f>IF(E1335="","",Input!$C$48*IF(Summary!$D$30="Included Margin",IF(AND($B1335&gt;Input!$C$9,Summary!$D$31&lt;&gt;"Included Margin"),0,1),0))</f>
        <v/>
      </c>
      <c r="AE1335" s="159" t="str">
        <f>IF(E1335="","",IF(Summary!$D$26="Included Margin",IF(AND($B1335&gt;Input!$C$9,Summary!$D$31&lt;&gt;"Included Margin"),1,1/$R1335),1))</f>
        <v/>
      </c>
      <c r="AF1335" s="160" t="str">
        <f>IF(E1335="","",IF(AND($B1335&gt;=Input!$C$9,$C1335=12,Summary!$D$31="Included Margin",$U1335&gt;0),1/U1335-1,IF($B1335&gt;=Input!$C$9,0,Input!$C$45*IF(Summary!$D$27="Included Margin",1,0))))</f>
        <v/>
      </c>
      <c r="AG1335" s="160" t="str">
        <f>IF(E1335="","",Input!$C$46*IF(Summary!$D$28="Included Margin",IF(AND($B1335&gt;Input!$C$9,Summary!$D$31&lt;&gt;"Included Margin"),0,1),0))</f>
        <v/>
      </c>
      <c r="AH1335" s="158" t="str">
        <f>IF(E1335="","",Input!$C$47*IF(Summary!$D$29="Included Margin",IF(AND($B1335&gt;Input!$C$9,Summary!$D$31&lt;&gt;"Included Margin"),0,1),0))</f>
        <v/>
      </c>
      <c r="AI1335" s="154"/>
      <c r="AJ1335" s="158" t="str">
        <f t="shared" si="844"/>
        <v/>
      </c>
      <c r="AK1335" s="150" t="str">
        <f t="shared" si="845"/>
        <v/>
      </c>
      <c r="AL1335" s="147" t="str">
        <f t="shared" si="846"/>
        <v/>
      </c>
      <c r="AM1335" s="147" t="str">
        <f t="shared" si="834"/>
        <v/>
      </c>
      <c r="AN1335" s="160" t="str">
        <f t="shared" si="847"/>
        <v/>
      </c>
      <c r="AO1335" s="161" t="str">
        <f t="shared" si="848"/>
        <v/>
      </c>
      <c r="AP1335" s="156" t="str">
        <f t="shared" si="835"/>
        <v/>
      </c>
      <c r="AQ1335" s="152"/>
      <c r="AR1335" s="162" t="str">
        <f t="shared" si="836"/>
        <v/>
      </c>
      <c r="AS1335" s="150" t="str">
        <f t="shared" si="849"/>
        <v/>
      </c>
      <c r="AT1335" s="163" t="str">
        <f t="shared" si="837"/>
        <v/>
      </c>
      <c r="AU1335" s="163" t="str">
        <f t="shared" si="838"/>
        <v/>
      </c>
      <c r="AV1335" s="163" t="str">
        <f t="shared" si="850"/>
        <v/>
      </c>
      <c r="AW1335" s="163" t="str">
        <f t="shared" si="839"/>
        <v/>
      </c>
      <c r="AX1335" s="163" t="str">
        <f t="shared" si="840"/>
        <v/>
      </c>
      <c r="AY1335" s="150" t="str">
        <f t="shared" si="851"/>
        <v/>
      </c>
      <c r="AZ1335" s="150" t="str">
        <f>IF($E1335="","",IF(OR(AND($D1335=Input!$C$6,$C1335=12),$AN1335=1),0,-AS1336+AT1336+AU1336-AV1336-AW1336-AX1336+AZ1336))</f>
        <v/>
      </c>
      <c r="BA1335" s="154" t="str">
        <f t="shared" si="841"/>
        <v/>
      </c>
      <c r="BC1335" s="147" t="str">
        <f t="shared" si="852"/>
        <v/>
      </c>
      <c r="BD1335" s="164" t="str">
        <f>IF(AND($C1334=12,$D1334=Input!$C$6),0,IF($E1335="","",AT1335+(AU1335+BD1336)/(1+$AK1335)*MIN((1-AM1335-AN1335),1)))</f>
        <v/>
      </c>
      <c r="BH1335" s="152"/>
      <c r="BI1335" s="162" t="str">
        <f t="shared" si="860"/>
        <v/>
      </c>
      <c r="BJ1335" s="150" t="str">
        <f t="shared" si="861"/>
        <v/>
      </c>
      <c r="BK1335" s="163" t="str">
        <f t="shared" si="857"/>
        <v/>
      </c>
      <c r="BL1335" s="163" t="str">
        <f t="shared" si="862"/>
        <v/>
      </c>
      <c r="BM1335" s="163" t="str">
        <f t="shared" si="858"/>
        <v/>
      </c>
      <c r="BN1335" s="163" t="str">
        <f t="shared" si="863"/>
        <v/>
      </c>
      <c r="BO1335" s="163" t="str">
        <f t="shared" si="864"/>
        <v/>
      </c>
      <c r="BP1335" s="150" t="str">
        <f t="shared" si="859"/>
        <v/>
      </c>
      <c r="BQ1335" s="150" t="str">
        <f t="shared" si="853"/>
        <v/>
      </c>
      <c r="BR1335" s="154" t="str">
        <f t="shared" si="865"/>
        <v/>
      </c>
      <c r="BT1335" s="147"/>
    </row>
    <row r="1336" spans="1:72" s="150" customFormat="1" x14ac:dyDescent="0.25">
      <c r="A1336" s="150" t="str">
        <f t="shared" si="854"/>
        <v/>
      </c>
      <c r="B1336" s="150" t="str">
        <f t="shared" si="855"/>
        <v/>
      </c>
      <c r="C1336" s="150" t="str">
        <f t="shared" si="856"/>
        <v/>
      </c>
      <c r="D1336" s="150" t="str">
        <f>IF(E1336="","",Input!$C$4+B1336-1)</f>
        <v/>
      </c>
      <c r="E1336" s="150" t="str">
        <f>IF(OR(AND(C1335=12,D1335=Input!$C$6),E1335=""),"",1)</f>
        <v/>
      </c>
      <c r="G1336" s="151" t="str">
        <f>IF(E1336="","",MAX(0,Input!$C$9-B1336))</f>
        <v/>
      </c>
      <c r="H1336" s="152" t="str">
        <f>IF(E1336="","",Input!$C$3)</f>
        <v/>
      </c>
      <c r="I1336" s="153" t="str">
        <f>IF(E1336="","",HLOOKUP($B1336,Input!$C$13:$BT$14,2))</f>
        <v/>
      </c>
      <c r="J1336" s="154"/>
      <c r="K1336" s="150" t="str">
        <f>IF($E1336="","",INDEX(Input!$C$16:$CP$16,1,$B1336))</f>
        <v/>
      </c>
      <c r="L1336" s="150" t="str">
        <f>IF($E1336="","",Input!$C$37)</f>
        <v/>
      </c>
      <c r="M1336" s="150" t="str">
        <f t="shared" si="842"/>
        <v/>
      </c>
      <c r="N1336" s="150" t="str">
        <f t="shared" si="843"/>
        <v/>
      </c>
      <c r="O1336" s="147" t="str">
        <f>IF($E1336="","",MIN(VLOOKUP(IF($B1336&lt;=Input!$C$7,$B1336,26),'Mortality Tables'!$A$41:$CW$67,IF($B1336&lt;=Input!$C$7+1,Input!$C$4+2,$D1336-Input!$C$7+2),0)*IF(B1336&gt;20,Input!$C$22,1)/1000,1))</f>
        <v/>
      </c>
      <c r="P1336" s="147" t="str">
        <f>IF($E1336="","",MIN(VLOOKUP(IF($B1336&lt;=Input!$C$7,$B1336,26),'Mortality Tables'!$A$12:$CW$37,IF($B1336&lt;=Input!$C$7+1,Input!$C$4+2,$D1336-Input!$C$7+2),0)*IF(B1336&gt;20,Input!$C$22,1)/1000,1))</f>
        <v/>
      </c>
      <c r="Q1336" s="155" t="str">
        <f>IF($E1336="","",Input!$C$21)</f>
        <v/>
      </c>
      <c r="R1336" s="159" t="str">
        <f>IF($E1336="","",(1-Q1336)^($F1336-Input!$C$20))</f>
        <v/>
      </c>
      <c r="S1336" s="147" t="str">
        <f t="shared" si="831"/>
        <v/>
      </c>
      <c r="T1336" s="147" t="str">
        <f t="shared" si="832"/>
        <v/>
      </c>
      <c r="U1336" s="160" t="str">
        <f>IF($E1336="","",IF($C1336=12,INDEX(Input!$C$15:$CP$15,1,$B1336),0))</f>
        <v/>
      </c>
      <c r="V1336" s="150" t="str">
        <f>IF(E1336="","",IF(C1336=1,IF($B1336=1,Input!$C$33,Input!$C$34),0))</f>
        <v/>
      </c>
      <c r="W1336" s="156" t="str">
        <f>IF($E1336="","",Input!$C$35)</f>
        <v/>
      </c>
      <c r="X1336" s="156" t="str">
        <f t="shared" si="833"/>
        <v/>
      </c>
      <c r="Y1336" s="154"/>
      <c r="Z1336" s="147" t="str">
        <f>IF($E1336="","",VLOOKUP($D1336,'Mortality Margins &amp; Grading'!$AB$5:$AF$125,3,0)*IF(Summary!$D$25="Included Margin",IF(AND($B1336&gt;Input!$C$9,Summary!$D$31&lt;&gt;"Included Margin"),0,1),0))</f>
        <v/>
      </c>
      <c r="AA1336" s="147" t="str">
        <f>IF($E1336="","",VLOOKUP($D1336,'Mortality Margins &amp; Grading'!$AB$5:$AF$125,5,0)*IF(Summary!$D$25="Included Margin",IF(AND($B1336&gt;Input!$C$9,Summary!$D$31&lt;&gt;"Included Margin"),0,1),0))</f>
        <v/>
      </c>
      <c r="AB1336" s="147" t="str">
        <f>IF($E1336="","",IF(AND($B1336&gt;Input!$C$9,Summary!$D$31&lt;&gt;"Included Margin"),1,IF(Summary!$D$25="Included Margin",VLOOKUP($B1336,'Mortality Margins &amp; Grading'!$AI$5:$AR$125,MATCH('Mortality Margins &amp; Grading'!$AQ$4,'Mortality Margins &amp; Grading'!$AI$4:$AR$4,0),0),1)))</f>
        <v/>
      </c>
      <c r="AC1336" s="154"/>
      <c r="AD1336" s="158" t="str">
        <f>IF(E1336="","",Input!$C$48*IF(Summary!$D$30="Included Margin",IF(AND($B1336&gt;Input!$C$9,Summary!$D$31&lt;&gt;"Included Margin"),0,1),0))</f>
        <v/>
      </c>
      <c r="AE1336" s="159" t="str">
        <f>IF(E1336="","",IF(Summary!$D$26="Included Margin",IF(AND($B1336&gt;Input!$C$9,Summary!$D$31&lt;&gt;"Included Margin"),1,1/$R1336),1))</f>
        <v/>
      </c>
      <c r="AF1336" s="160" t="str">
        <f>IF(E1336="","",IF(AND($B1336&gt;=Input!$C$9,$C1336=12,Summary!$D$31="Included Margin",$U1336&gt;0),1/U1336-1,IF($B1336&gt;=Input!$C$9,0,Input!$C$45*IF(Summary!$D$27="Included Margin",1,0))))</f>
        <v/>
      </c>
      <c r="AG1336" s="160" t="str">
        <f>IF(E1336="","",Input!$C$46*IF(Summary!$D$28="Included Margin",IF(AND($B1336&gt;Input!$C$9,Summary!$D$31&lt;&gt;"Included Margin"),0,1),0))</f>
        <v/>
      </c>
      <c r="AH1336" s="158" t="str">
        <f>IF(E1336="","",Input!$C$47*IF(Summary!$D$29="Included Margin",IF(AND($B1336&gt;Input!$C$9,Summary!$D$31&lt;&gt;"Included Margin"),0,1),0))</f>
        <v/>
      </c>
      <c r="AI1336" s="154"/>
      <c r="AJ1336" s="158" t="str">
        <f t="shared" si="844"/>
        <v/>
      </c>
      <c r="AK1336" s="150" t="str">
        <f t="shared" si="845"/>
        <v/>
      </c>
      <c r="AL1336" s="147" t="str">
        <f t="shared" si="846"/>
        <v/>
      </c>
      <c r="AM1336" s="147" t="str">
        <f t="shared" si="834"/>
        <v/>
      </c>
      <c r="AN1336" s="160" t="str">
        <f t="shared" si="847"/>
        <v/>
      </c>
      <c r="AO1336" s="161" t="str">
        <f t="shared" si="848"/>
        <v/>
      </c>
      <c r="AP1336" s="156" t="str">
        <f t="shared" si="835"/>
        <v/>
      </c>
      <c r="AQ1336" s="152"/>
      <c r="AR1336" s="162" t="str">
        <f t="shared" si="836"/>
        <v/>
      </c>
      <c r="AS1336" s="150" t="str">
        <f t="shared" si="849"/>
        <v/>
      </c>
      <c r="AT1336" s="163" t="str">
        <f t="shared" si="837"/>
        <v/>
      </c>
      <c r="AU1336" s="163" t="str">
        <f t="shared" si="838"/>
        <v/>
      </c>
      <c r="AV1336" s="163" t="str">
        <f t="shared" si="850"/>
        <v/>
      </c>
      <c r="AW1336" s="163" t="str">
        <f t="shared" si="839"/>
        <v/>
      </c>
      <c r="AX1336" s="163" t="str">
        <f t="shared" si="840"/>
        <v/>
      </c>
      <c r="AY1336" s="150" t="str">
        <f t="shared" si="851"/>
        <v/>
      </c>
      <c r="AZ1336" s="150" t="str">
        <f>IF($E1336="","",IF(OR(AND($D1336=Input!$C$6,$C1336=12),$AN1336=1),0,-AS1337+AT1337+AU1337-AV1337-AW1337-AX1337+AZ1337))</f>
        <v/>
      </c>
      <c r="BA1336" s="154" t="str">
        <f t="shared" si="841"/>
        <v/>
      </c>
      <c r="BC1336" s="147" t="str">
        <f t="shared" si="852"/>
        <v/>
      </c>
      <c r="BD1336" s="164" t="str">
        <f>IF(AND($C1335=12,$D1335=Input!$C$6),0,IF($E1336="","",AT1336+(AU1336+BD1337)/(1+$AK1336)*MIN((1-AM1336-AN1336),1)))</f>
        <v/>
      </c>
      <c r="BH1336" s="152"/>
      <c r="BI1336" s="162" t="str">
        <f t="shared" si="860"/>
        <v/>
      </c>
      <c r="BJ1336" s="150" t="str">
        <f t="shared" si="861"/>
        <v/>
      </c>
      <c r="BK1336" s="163" t="str">
        <f t="shared" si="857"/>
        <v/>
      </c>
      <c r="BL1336" s="163" t="str">
        <f t="shared" si="862"/>
        <v/>
      </c>
      <c r="BM1336" s="163" t="str">
        <f t="shared" si="858"/>
        <v/>
      </c>
      <c r="BN1336" s="163" t="str">
        <f t="shared" si="863"/>
        <v/>
      </c>
      <c r="BO1336" s="163" t="str">
        <f t="shared" si="864"/>
        <v/>
      </c>
      <c r="BP1336" s="150" t="str">
        <f t="shared" si="859"/>
        <v/>
      </c>
      <c r="BQ1336" s="150" t="str">
        <f t="shared" si="853"/>
        <v/>
      </c>
      <c r="BR1336" s="154" t="str">
        <f t="shared" si="865"/>
        <v/>
      </c>
      <c r="BT1336" s="147"/>
    </row>
    <row r="1337" spans="1:72" s="150" customFormat="1" x14ac:dyDescent="0.25">
      <c r="A1337" s="150" t="str">
        <f t="shared" si="854"/>
        <v/>
      </c>
      <c r="B1337" s="150" t="str">
        <f t="shared" si="855"/>
        <v/>
      </c>
      <c r="C1337" s="150" t="str">
        <f t="shared" si="856"/>
        <v/>
      </c>
      <c r="D1337" s="150" t="str">
        <f>IF(E1337="","",Input!$C$4+B1337-1)</f>
        <v/>
      </c>
      <c r="E1337" s="150" t="str">
        <f>IF(OR(AND(C1336=12,D1336=Input!$C$6),E1336=""),"",1)</f>
        <v/>
      </c>
      <c r="G1337" s="151" t="str">
        <f>IF(E1337="","",MAX(0,Input!$C$9-B1337))</f>
        <v/>
      </c>
      <c r="H1337" s="152" t="str">
        <f>IF(E1337="","",Input!$C$3)</f>
        <v/>
      </c>
      <c r="I1337" s="153" t="str">
        <f>IF(E1337="","",HLOOKUP($B1337,Input!$C$13:$BT$14,2))</f>
        <v/>
      </c>
      <c r="J1337" s="154"/>
      <c r="K1337" s="150" t="str">
        <f>IF($E1337="","",INDEX(Input!$C$16:$CP$16,1,$B1337))</f>
        <v/>
      </c>
      <c r="L1337" s="150" t="str">
        <f>IF($E1337="","",Input!$C$37)</f>
        <v/>
      </c>
      <c r="M1337" s="150" t="str">
        <f t="shared" si="842"/>
        <v/>
      </c>
      <c r="N1337" s="150" t="str">
        <f t="shared" si="843"/>
        <v/>
      </c>
      <c r="O1337" s="147" t="str">
        <f>IF($E1337="","",MIN(VLOOKUP(IF($B1337&lt;=Input!$C$7,$B1337,26),'Mortality Tables'!$A$41:$CW$67,IF($B1337&lt;=Input!$C$7+1,Input!$C$4+2,$D1337-Input!$C$7+2),0)*IF(B1337&gt;20,Input!$C$22,1)/1000,1))</f>
        <v/>
      </c>
      <c r="P1337" s="147" t="str">
        <f>IF($E1337="","",MIN(VLOOKUP(IF($B1337&lt;=Input!$C$7,$B1337,26),'Mortality Tables'!$A$12:$CW$37,IF($B1337&lt;=Input!$C$7+1,Input!$C$4+2,$D1337-Input!$C$7+2),0)*IF(B1337&gt;20,Input!$C$22,1)/1000,1))</f>
        <v/>
      </c>
      <c r="Q1337" s="155" t="str">
        <f>IF($E1337="","",Input!$C$21)</f>
        <v/>
      </c>
      <c r="R1337" s="159" t="str">
        <f>IF($E1337="","",(1-Q1337)^($F1337-Input!$C$20))</f>
        <v/>
      </c>
      <c r="S1337" s="147" t="str">
        <f t="shared" si="831"/>
        <v/>
      </c>
      <c r="T1337" s="147" t="str">
        <f t="shared" si="832"/>
        <v/>
      </c>
      <c r="U1337" s="160" t="str">
        <f>IF($E1337="","",IF($C1337=12,INDEX(Input!$C$15:$CP$15,1,$B1337),0))</f>
        <v/>
      </c>
      <c r="V1337" s="150" t="str">
        <f>IF(E1337="","",IF(C1337=1,IF($B1337=1,Input!$C$33,Input!$C$34),0))</f>
        <v/>
      </c>
      <c r="W1337" s="156" t="str">
        <f>IF($E1337="","",Input!$C$35)</f>
        <v/>
      </c>
      <c r="X1337" s="156" t="str">
        <f t="shared" si="833"/>
        <v/>
      </c>
      <c r="Y1337" s="154"/>
      <c r="Z1337" s="147" t="str">
        <f>IF($E1337="","",VLOOKUP($D1337,'Mortality Margins &amp; Grading'!$AB$5:$AF$125,3,0)*IF(Summary!$D$25="Included Margin",IF(AND($B1337&gt;Input!$C$9,Summary!$D$31&lt;&gt;"Included Margin"),0,1),0))</f>
        <v/>
      </c>
      <c r="AA1337" s="147" t="str">
        <f>IF($E1337="","",VLOOKUP($D1337,'Mortality Margins &amp; Grading'!$AB$5:$AF$125,5,0)*IF(Summary!$D$25="Included Margin",IF(AND($B1337&gt;Input!$C$9,Summary!$D$31&lt;&gt;"Included Margin"),0,1),0))</f>
        <v/>
      </c>
      <c r="AB1337" s="147" t="str">
        <f>IF($E1337="","",IF(AND($B1337&gt;Input!$C$9,Summary!$D$31&lt;&gt;"Included Margin"),1,IF(Summary!$D$25="Included Margin",VLOOKUP($B1337,'Mortality Margins &amp; Grading'!$AI$5:$AR$125,MATCH('Mortality Margins &amp; Grading'!$AQ$4,'Mortality Margins &amp; Grading'!$AI$4:$AR$4,0),0),1)))</f>
        <v/>
      </c>
      <c r="AC1337" s="154"/>
      <c r="AD1337" s="158" t="str">
        <f>IF(E1337="","",Input!$C$48*IF(Summary!$D$30="Included Margin",IF(AND($B1337&gt;Input!$C$9,Summary!$D$31&lt;&gt;"Included Margin"),0,1),0))</f>
        <v/>
      </c>
      <c r="AE1337" s="159" t="str">
        <f>IF(E1337="","",IF(Summary!$D$26="Included Margin",IF(AND($B1337&gt;Input!$C$9,Summary!$D$31&lt;&gt;"Included Margin"),1,1/$R1337),1))</f>
        <v/>
      </c>
      <c r="AF1337" s="160" t="str">
        <f>IF(E1337="","",IF(AND($B1337&gt;=Input!$C$9,$C1337=12,Summary!$D$31="Included Margin",$U1337&gt;0),1/U1337-1,IF($B1337&gt;=Input!$C$9,0,Input!$C$45*IF(Summary!$D$27="Included Margin",1,0))))</f>
        <v/>
      </c>
      <c r="AG1337" s="160" t="str">
        <f>IF(E1337="","",Input!$C$46*IF(Summary!$D$28="Included Margin",IF(AND($B1337&gt;Input!$C$9,Summary!$D$31&lt;&gt;"Included Margin"),0,1),0))</f>
        <v/>
      </c>
      <c r="AH1337" s="158" t="str">
        <f>IF(E1337="","",Input!$C$47*IF(Summary!$D$29="Included Margin",IF(AND($B1337&gt;Input!$C$9,Summary!$D$31&lt;&gt;"Included Margin"),0,1),0))</f>
        <v/>
      </c>
      <c r="AI1337" s="154"/>
      <c r="AJ1337" s="158" t="str">
        <f t="shared" si="844"/>
        <v/>
      </c>
      <c r="AK1337" s="150" t="str">
        <f t="shared" si="845"/>
        <v/>
      </c>
      <c r="AL1337" s="147" t="str">
        <f t="shared" si="846"/>
        <v/>
      </c>
      <c r="AM1337" s="147" t="str">
        <f t="shared" si="834"/>
        <v/>
      </c>
      <c r="AN1337" s="160" t="str">
        <f t="shared" si="847"/>
        <v/>
      </c>
      <c r="AO1337" s="161" t="str">
        <f t="shared" si="848"/>
        <v/>
      </c>
      <c r="AP1337" s="156" t="str">
        <f t="shared" si="835"/>
        <v/>
      </c>
      <c r="AQ1337" s="152"/>
      <c r="AR1337" s="162" t="str">
        <f t="shared" si="836"/>
        <v/>
      </c>
      <c r="AS1337" s="150" t="str">
        <f t="shared" si="849"/>
        <v/>
      </c>
      <c r="AT1337" s="163" t="str">
        <f t="shared" si="837"/>
        <v/>
      </c>
      <c r="AU1337" s="163" t="str">
        <f t="shared" si="838"/>
        <v/>
      </c>
      <c r="AV1337" s="163" t="str">
        <f t="shared" si="850"/>
        <v/>
      </c>
      <c r="AW1337" s="163" t="str">
        <f t="shared" si="839"/>
        <v/>
      </c>
      <c r="AX1337" s="163" t="str">
        <f t="shared" si="840"/>
        <v/>
      </c>
      <c r="AY1337" s="150" t="str">
        <f t="shared" si="851"/>
        <v/>
      </c>
      <c r="AZ1337" s="150" t="str">
        <f>IF($E1337="","",IF(OR(AND($D1337=Input!$C$6,$C1337=12),$AN1337=1),0,-AS1338+AT1338+AU1338-AV1338-AW1338-AX1338+AZ1338))</f>
        <v/>
      </c>
      <c r="BA1337" s="154" t="str">
        <f t="shared" si="841"/>
        <v/>
      </c>
      <c r="BC1337" s="147" t="str">
        <f t="shared" si="852"/>
        <v/>
      </c>
      <c r="BD1337" s="164" t="str">
        <f>IF(AND($C1336=12,$D1336=Input!$C$6),0,IF($E1337="","",AT1337+(AU1337+BD1338)/(1+$AK1337)*MIN((1-AM1337-AN1337),1)))</f>
        <v/>
      </c>
      <c r="BH1337" s="152"/>
      <c r="BI1337" s="162" t="str">
        <f t="shared" si="860"/>
        <v/>
      </c>
      <c r="BJ1337" s="150" t="str">
        <f t="shared" si="861"/>
        <v/>
      </c>
      <c r="BK1337" s="163" t="str">
        <f t="shared" si="857"/>
        <v/>
      </c>
      <c r="BL1337" s="163" t="str">
        <f t="shared" si="862"/>
        <v/>
      </c>
      <c r="BM1337" s="163" t="str">
        <f t="shared" si="858"/>
        <v/>
      </c>
      <c r="BN1337" s="163" t="str">
        <f t="shared" si="863"/>
        <v/>
      </c>
      <c r="BO1337" s="163" t="str">
        <f t="shared" si="864"/>
        <v/>
      </c>
      <c r="BP1337" s="150" t="str">
        <f t="shared" si="859"/>
        <v/>
      </c>
      <c r="BQ1337" s="150" t="str">
        <f t="shared" si="853"/>
        <v/>
      </c>
      <c r="BR1337" s="154" t="str">
        <f t="shared" si="865"/>
        <v/>
      </c>
      <c r="BT1337" s="147"/>
    </row>
    <row r="1338" spans="1:72" s="150" customFormat="1" x14ac:dyDescent="0.25">
      <c r="A1338" s="150" t="str">
        <f t="shared" si="854"/>
        <v/>
      </c>
      <c r="B1338" s="150" t="str">
        <f t="shared" si="855"/>
        <v/>
      </c>
      <c r="C1338" s="150" t="str">
        <f t="shared" si="856"/>
        <v/>
      </c>
      <c r="D1338" s="150" t="str">
        <f>IF(E1338="","",Input!$C$4+B1338-1)</f>
        <v/>
      </c>
      <c r="E1338" s="150" t="str">
        <f>IF(OR(AND(C1337=12,D1337=Input!$C$6),E1337=""),"",1)</f>
        <v/>
      </c>
      <c r="G1338" s="151" t="str">
        <f>IF(E1338="","",MAX(0,Input!$C$9-B1338))</f>
        <v/>
      </c>
      <c r="H1338" s="152" t="str">
        <f>IF(E1338="","",Input!$C$3)</f>
        <v/>
      </c>
      <c r="I1338" s="153" t="str">
        <f>IF(E1338="","",HLOOKUP($B1338,Input!$C$13:$BT$14,2))</f>
        <v/>
      </c>
      <c r="J1338" s="154"/>
      <c r="K1338" s="150" t="str">
        <f>IF($E1338="","",INDEX(Input!$C$16:$CP$16,1,$B1338))</f>
        <v/>
      </c>
      <c r="L1338" s="150" t="str">
        <f>IF($E1338="","",Input!$C$37)</f>
        <v/>
      </c>
      <c r="M1338" s="150" t="str">
        <f t="shared" si="842"/>
        <v/>
      </c>
      <c r="N1338" s="150" t="str">
        <f t="shared" si="843"/>
        <v/>
      </c>
      <c r="O1338" s="147" t="str">
        <f>IF($E1338="","",MIN(VLOOKUP(IF($B1338&lt;=Input!$C$7,$B1338,26),'Mortality Tables'!$A$41:$CW$67,IF($B1338&lt;=Input!$C$7+1,Input!$C$4+2,$D1338-Input!$C$7+2),0)*IF(B1338&gt;20,Input!$C$22,1)/1000,1))</f>
        <v/>
      </c>
      <c r="P1338" s="147" t="str">
        <f>IF($E1338="","",MIN(VLOOKUP(IF($B1338&lt;=Input!$C$7,$B1338,26),'Mortality Tables'!$A$12:$CW$37,IF($B1338&lt;=Input!$C$7+1,Input!$C$4+2,$D1338-Input!$C$7+2),0)*IF(B1338&gt;20,Input!$C$22,1)/1000,1))</f>
        <v/>
      </c>
      <c r="Q1338" s="155" t="str">
        <f>IF($E1338="","",Input!$C$21)</f>
        <v/>
      </c>
      <c r="R1338" s="159" t="str">
        <f>IF($E1338="","",(1-Q1338)^($F1338-Input!$C$20))</f>
        <v/>
      </c>
      <c r="S1338" s="147" t="str">
        <f t="shared" si="831"/>
        <v/>
      </c>
      <c r="T1338" s="147" t="str">
        <f t="shared" si="832"/>
        <v/>
      </c>
      <c r="U1338" s="160" t="str">
        <f>IF($E1338="","",IF($C1338=12,INDEX(Input!$C$15:$CP$15,1,$B1338),0))</f>
        <v/>
      </c>
      <c r="V1338" s="150" t="str">
        <f>IF(E1338="","",IF(C1338=1,IF($B1338=1,Input!$C$33,Input!$C$34),0))</f>
        <v/>
      </c>
      <c r="W1338" s="156" t="str">
        <f>IF($E1338="","",Input!$C$35)</f>
        <v/>
      </c>
      <c r="X1338" s="156" t="str">
        <f t="shared" si="833"/>
        <v/>
      </c>
      <c r="Y1338" s="154"/>
      <c r="Z1338" s="147" t="str">
        <f>IF($E1338="","",VLOOKUP($D1338,'Mortality Margins &amp; Grading'!$AB$5:$AF$125,3,0)*IF(Summary!$D$25="Included Margin",IF(AND($B1338&gt;Input!$C$9,Summary!$D$31&lt;&gt;"Included Margin"),0,1),0))</f>
        <v/>
      </c>
      <c r="AA1338" s="147" t="str">
        <f>IF($E1338="","",VLOOKUP($D1338,'Mortality Margins &amp; Grading'!$AB$5:$AF$125,5,0)*IF(Summary!$D$25="Included Margin",IF(AND($B1338&gt;Input!$C$9,Summary!$D$31&lt;&gt;"Included Margin"),0,1),0))</f>
        <v/>
      </c>
      <c r="AB1338" s="147" t="str">
        <f>IF($E1338="","",IF(AND($B1338&gt;Input!$C$9,Summary!$D$31&lt;&gt;"Included Margin"),1,IF(Summary!$D$25="Included Margin",VLOOKUP($B1338,'Mortality Margins &amp; Grading'!$AI$5:$AR$125,MATCH('Mortality Margins &amp; Grading'!$AQ$4,'Mortality Margins &amp; Grading'!$AI$4:$AR$4,0),0),1)))</f>
        <v/>
      </c>
      <c r="AC1338" s="154"/>
      <c r="AD1338" s="158" t="str">
        <f>IF(E1338="","",Input!$C$48*IF(Summary!$D$30="Included Margin",IF(AND($B1338&gt;Input!$C$9,Summary!$D$31&lt;&gt;"Included Margin"),0,1),0))</f>
        <v/>
      </c>
      <c r="AE1338" s="159" t="str">
        <f>IF(E1338="","",IF(Summary!$D$26="Included Margin",IF(AND($B1338&gt;Input!$C$9,Summary!$D$31&lt;&gt;"Included Margin"),1,1/$R1338),1))</f>
        <v/>
      </c>
      <c r="AF1338" s="160" t="str">
        <f>IF(E1338="","",IF(AND($B1338&gt;=Input!$C$9,$C1338=12,Summary!$D$31="Included Margin",$U1338&gt;0),1/U1338-1,IF($B1338&gt;=Input!$C$9,0,Input!$C$45*IF(Summary!$D$27="Included Margin",1,0))))</f>
        <v/>
      </c>
      <c r="AG1338" s="160" t="str">
        <f>IF(E1338="","",Input!$C$46*IF(Summary!$D$28="Included Margin",IF(AND($B1338&gt;Input!$C$9,Summary!$D$31&lt;&gt;"Included Margin"),0,1),0))</f>
        <v/>
      </c>
      <c r="AH1338" s="158" t="str">
        <f>IF(E1338="","",Input!$C$47*IF(Summary!$D$29="Included Margin",IF(AND($B1338&gt;Input!$C$9,Summary!$D$31&lt;&gt;"Included Margin"),0,1),0))</f>
        <v/>
      </c>
      <c r="AI1338" s="154"/>
      <c r="AJ1338" s="158" t="str">
        <f t="shared" si="844"/>
        <v/>
      </c>
      <c r="AK1338" s="150" t="str">
        <f t="shared" si="845"/>
        <v/>
      </c>
      <c r="AL1338" s="147" t="str">
        <f t="shared" si="846"/>
        <v/>
      </c>
      <c r="AM1338" s="147" t="str">
        <f t="shared" si="834"/>
        <v/>
      </c>
      <c r="AN1338" s="160" t="str">
        <f t="shared" si="847"/>
        <v/>
      </c>
      <c r="AO1338" s="161" t="str">
        <f t="shared" si="848"/>
        <v/>
      </c>
      <c r="AP1338" s="156" t="str">
        <f t="shared" si="835"/>
        <v/>
      </c>
      <c r="AQ1338" s="152"/>
      <c r="AR1338" s="162" t="str">
        <f t="shared" si="836"/>
        <v/>
      </c>
      <c r="AS1338" s="150" t="str">
        <f t="shared" si="849"/>
        <v/>
      </c>
      <c r="AT1338" s="163" t="str">
        <f t="shared" si="837"/>
        <v/>
      </c>
      <c r="AU1338" s="163" t="str">
        <f t="shared" si="838"/>
        <v/>
      </c>
      <c r="AV1338" s="163" t="str">
        <f t="shared" si="850"/>
        <v/>
      </c>
      <c r="AW1338" s="163" t="str">
        <f t="shared" si="839"/>
        <v/>
      </c>
      <c r="AX1338" s="163" t="str">
        <f t="shared" si="840"/>
        <v/>
      </c>
      <c r="AY1338" s="150" t="str">
        <f t="shared" si="851"/>
        <v/>
      </c>
      <c r="AZ1338" s="150" t="str">
        <f>IF($E1338="","",IF(OR(AND($D1338=Input!$C$6,$C1338=12),$AN1338=1),0,-AS1339+AT1339+AU1339-AV1339-AW1339-AX1339+AZ1339))</f>
        <v/>
      </c>
      <c r="BA1338" s="154" t="str">
        <f t="shared" si="841"/>
        <v/>
      </c>
      <c r="BC1338" s="147" t="str">
        <f t="shared" si="852"/>
        <v/>
      </c>
      <c r="BD1338" s="164" t="str">
        <f>IF(AND($C1337=12,$D1337=Input!$C$6),0,IF($E1338="","",AT1338+(AU1338+BD1339)/(1+$AK1338)*MIN((1-AM1338-AN1338),1)))</f>
        <v/>
      </c>
      <c r="BH1338" s="152"/>
      <c r="BI1338" s="162" t="str">
        <f t="shared" si="860"/>
        <v/>
      </c>
      <c r="BJ1338" s="150" t="str">
        <f t="shared" si="861"/>
        <v/>
      </c>
      <c r="BK1338" s="163" t="str">
        <f t="shared" si="857"/>
        <v/>
      </c>
      <c r="BL1338" s="163" t="str">
        <f t="shared" si="862"/>
        <v/>
      </c>
      <c r="BM1338" s="163" t="str">
        <f t="shared" si="858"/>
        <v/>
      </c>
      <c r="BN1338" s="163" t="str">
        <f t="shared" si="863"/>
        <v/>
      </c>
      <c r="BO1338" s="163" t="str">
        <f t="shared" si="864"/>
        <v/>
      </c>
      <c r="BP1338" s="150" t="str">
        <f t="shared" si="859"/>
        <v/>
      </c>
      <c r="BQ1338" s="150" t="str">
        <f t="shared" si="853"/>
        <v/>
      </c>
      <c r="BR1338" s="154" t="str">
        <f t="shared" si="865"/>
        <v/>
      </c>
      <c r="BT1338" s="147"/>
    </row>
    <row r="1339" spans="1:72" s="150" customFormat="1" x14ac:dyDescent="0.25">
      <c r="A1339" s="150" t="str">
        <f t="shared" si="854"/>
        <v/>
      </c>
      <c r="B1339" s="150" t="str">
        <f t="shared" si="855"/>
        <v/>
      </c>
      <c r="C1339" s="150" t="str">
        <f t="shared" si="856"/>
        <v/>
      </c>
      <c r="D1339" s="150" t="str">
        <f>IF(E1339="","",Input!$C$4+B1339-1)</f>
        <v/>
      </c>
      <c r="E1339" s="150" t="str">
        <f>IF(OR(AND(C1338=12,D1338=Input!$C$6),E1338=""),"",1)</f>
        <v/>
      </c>
      <c r="G1339" s="151" t="str">
        <f>IF(E1339="","",MAX(0,Input!$C$9-B1339))</f>
        <v/>
      </c>
      <c r="H1339" s="152" t="str">
        <f>IF(E1339="","",Input!$C$3)</f>
        <v/>
      </c>
      <c r="I1339" s="153" t="str">
        <f>IF(E1339="","",HLOOKUP($B1339,Input!$C$13:$BT$14,2))</f>
        <v/>
      </c>
      <c r="J1339" s="154"/>
      <c r="K1339" s="150" t="str">
        <f>IF($E1339="","",INDEX(Input!$C$16:$CP$16,1,$B1339))</f>
        <v/>
      </c>
      <c r="L1339" s="150" t="str">
        <f>IF($E1339="","",Input!$C$37)</f>
        <v/>
      </c>
      <c r="M1339" s="150" t="str">
        <f t="shared" si="842"/>
        <v/>
      </c>
      <c r="N1339" s="150" t="str">
        <f t="shared" si="843"/>
        <v/>
      </c>
      <c r="O1339" s="147" t="str">
        <f>IF($E1339="","",MIN(VLOOKUP(IF($B1339&lt;=Input!$C$7,$B1339,26),'Mortality Tables'!$A$41:$CW$67,IF($B1339&lt;=Input!$C$7+1,Input!$C$4+2,$D1339-Input!$C$7+2),0)*IF(B1339&gt;20,Input!$C$22,1)/1000,1))</f>
        <v/>
      </c>
      <c r="P1339" s="147" t="str">
        <f>IF($E1339="","",MIN(VLOOKUP(IF($B1339&lt;=Input!$C$7,$B1339,26),'Mortality Tables'!$A$12:$CW$37,IF($B1339&lt;=Input!$C$7+1,Input!$C$4+2,$D1339-Input!$C$7+2),0)*IF(B1339&gt;20,Input!$C$22,1)/1000,1))</f>
        <v/>
      </c>
      <c r="Q1339" s="155" t="str">
        <f>IF($E1339="","",Input!$C$21)</f>
        <v/>
      </c>
      <c r="R1339" s="159" t="str">
        <f>IF($E1339="","",(1-Q1339)^($F1339-Input!$C$20))</f>
        <v/>
      </c>
      <c r="S1339" s="147" t="str">
        <f t="shared" si="831"/>
        <v/>
      </c>
      <c r="T1339" s="147" t="str">
        <f t="shared" si="832"/>
        <v/>
      </c>
      <c r="U1339" s="160" t="str">
        <f>IF($E1339="","",IF($C1339=12,INDEX(Input!$C$15:$CP$15,1,$B1339),0))</f>
        <v/>
      </c>
      <c r="V1339" s="150" t="str">
        <f>IF(E1339="","",IF(C1339=1,IF($B1339=1,Input!$C$33,Input!$C$34),0))</f>
        <v/>
      </c>
      <c r="W1339" s="156" t="str">
        <f>IF($E1339="","",Input!$C$35)</f>
        <v/>
      </c>
      <c r="X1339" s="156" t="str">
        <f t="shared" si="833"/>
        <v/>
      </c>
      <c r="Y1339" s="154"/>
      <c r="Z1339" s="147" t="str">
        <f>IF($E1339="","",VLOOKUP($D1339,'Mortality Margins &amp; Grading'!$AB$5:$AF$125,3,0)*IF(Summary!$D$25="Included Margin",IF(AND($B1339&gt;Input!$C$9,Summary!$D$31&lt;&gt;"Included Margin"),0,1),0))</f>
        <v/>
      </c>
      <c r="AA1339" s="147" t="str">
        <f>IF($E1339="","",VLOOKUP($D1339,'Mortality Margins &amp; Grading'!$AB$5:$AF$125,5,0)*IF(Summary!$D$25="Included Margin",IF(AND($B1339&gt;Input!$C$9,Summary!$D$31&lt;&gt;"Included Margin"),0,1),0))</f>
        <v/>
      </c>
      <c r="AB1339" s="147" t="str">
        <f>IF($E1339="","",IF(AND($B1339&gt;Input!$C$9,Summary!$D$31&lt;&gt;"Included Margin"),1,IF(Summary!$D$25="Included Margin",VLOOKUP($B1339,'Mortality Margins &amp; Grading'!$AI$5:$AR$125,MATCH('Mortality Margins &amp; Grading'!$AQ$4,'Mortality Margins &amp; Grading'!$AI$4:$AR$4,0),0),1)))</f>
        <v/>
      </c>
      <c r="AC1339" s="154"/>
      <c r="AD1339" s="158" t="str">
        <f>IF(E1339="","",Input!$C$48*IF(Summary!$D$30="Included Margin",IF(AND($B1339&gt;Input!$C$9,Summary!$D$31&lt;&gt;"Included Margin"),0,1),0))</f>
        <v/>
      </c>
      <c r="AE1339" s="159" t="str">
        <f>IF(E1339="","",IF(Summary!$D$26="Included Margin",IF(AND($B1339&gt;Input!$C$9,Summary!$D$31&lt;&gt;"Included Margin"),1,1/$R1339),1))</f>
        <v/>
      </c>
      <c r="AF1339" s="160" t="str">
        <f>IF(E1339="","",IF(AND($B1339&gt;=Input!$C$9,$C1339=12,Summary!$D$31="Included Margin",$U1339&gt;0),1/U1339-1,IF($B1339&gt;=Input!$C$9,0,Input!$C$45*IF(Summary!$D$27="Included Margin",1,0))))</f>
        <v/>
      </c>
      <c r="AG1339" s="160" t="str">
        <f>IF(E1339="","",Input!$C$46*IF(Summary!$D$28="Included Margin",IF(AND($B1339&gt;Input!$C$9,Summary!$D$31&lt;&gt;"Included Margin"),0,1),0))</f>
        <v/>
      </c>
      <c r="AH1339" s="158" t="str">
        <f>IF(E1339="","",Input!$C$47*IF(Summary!$D$29="Included Margin",IF(AND($B1339&gt;Input!$C$9,Summary!$D$31&lt;&gt;"Included Margin"),0,1),0))</f>
        <v/>
      </c>
      <c r="AI1339" s="154"/>
      <c r="AJ1339" s="158" t="str">
        <f t="shared" si="844"/>
        <v/>
      </c>
      <c r="AK1339" s="150" t="str">
        <f t="shared" si="845"/>
        <v/>
      </c>
      <c r="AL1339" s="147" t="str">
        <f t="shared" si="846"/>
        <v/>
      </c>
      <c r="AM1339" s="147" t="str">
        <f t="shared" si="834"/>
        <v/>
      </c>
      <c r="AN1339" s="160" t="str">
        <f t="shared" si="847"/>
        <v/>
      </c>
      <c r="AO1339" s="161" t="str">
        <f t="shared" si="848"/>
        <v/>
      </c>
      <c r="AP1339" s="156" t="str">
        <f t="shared" si="835"/>
        <v/>
      </c>
      <c r="AQ1339" s="152"/>
      <c r="AR1339" s="162" t="str">
        <f t="shared" si="836"/>
        <v/>
      </c>
      <c r="AS1339" s="150" t="str">
        <f t="shared" si="849"/>
        <v/>
      </c>
      <c r="AT1339" s="163" t="str">
        <f t="shared" si="837"/>
        <v/>
      </c>
      <c r="AU1339" s="163" t="str">
        <f t="shared" si="838"/>
        <v/>
      </c>
      <c r="AV1339" s="163" t="str">
        <f t="shared" si="850"/>
        <v/>
      </c>
      <c r="AW1339" s="163" t="str">
        <f t="shared" si="839"/>
        <v/>
      </c>
      <c r="AX1339" s="163" t="str">
        <f t="shared" si="840"/>
        <v/>
      </c>
      <c r="AY1339" s="150" t="str">
        <f t="shared" si="851"/>
        <v/>
      </c>
      <c r="AZ1339" s="150" t="str">
        <f>IF($E1339="","",IF(OR(AND($D1339=Input!$C$6,$C1339=12),$AN1339=1),0,-AS1340+AT1340+AU1340-AV1340-AW1340-AX1340+AZ1340))</f>
        <v/>
      </c>
      <c r="BA1339" s="154" t="str">
        <f t="shared" si="841"/>
        <v/>
      </c>
      <c r="BC1339" s="147" t="str">
        <f t="shared" si="852"/>
        <v/>
      </c>
      <c r="BD1339" s="164" t="str">
        <f>IF(AND($C1338=12,$D1338=Input!$C$6),0,IF($E1339="","",AT1339+(AU1339+BD1340)/(1+$AK1339)*MIN((1-AM1339-AN1339),1)))</f>
        <v/>
      </c>
      <c r="BH1339" s="152"/>
      <c r="BI1339" s="162" t="str">
        <f t="shared" si="860"/>
        <v/>
      </c>
      <c r="BJ1339" s="150" t="str">
        <f t="shared" si="861"/>
        <v/>
      </c>
      <c r="BK1339" s="163" t="str">
        <f t="shared" si="857"/>
        <v/>
      </c>
      <c r="BL1339" s="163" t="str">
        <f t="shared" si="862"/>
        <v/>
      </c>
      <c r="BM1339" s="163" t="str">
        <f t="shared" si="858"/>
        <v/>
      </c>
      <c r="BN1339" s="163" t="str">
        <f t="shared" si="863"/>
        <v/>
      </c>
      <c r="BO1339" s="163" t="str">
        <f t="shared" si="864"/>
        <v/>
      </c>
      <c r="BP1339" s="150" t="str">
        <f t="shared" si="859"/>
        <v/>
      </c>
      <c r="BQ1339" s="150" t="str">
        <f t="shared" si="853"/>
        <v/>
      </c>
      <c r="BR1339" s="154" t="str">
        <f t="shared" si="865"/>
        <v/>
      </c>
      <c r="BT1339" s="147"/>
    </row>
    <row r="1340" spans="1:72" s="150" customFormat="1" x14ac:dyDescent="0.25">
      <c r="A1340" s="150" t="str">
        <f t="shared" si="854"/>
        <v/>
      </c>
      <c r="B1340" s="150" t="str">
        <f t="shared" si="855"/>
        <v/>
      </c>
      <c r="C1340" s="150" t="str">
        <f t="shared" si="856"/>
        <v/>
      </c>
      <c r="D1340" s="150" t="str">
        <f>IF(E1340="","",Input!$C$4+B1340-1)</f>
        <v/>
      </c>
      <c r="E1340" s="150" t="str">
        <f>IF(OR(AND(C1339=12,D1339=Input!$C$6),E1339=""),"",1)</f>
        <v/>
      </c>
      <c r="G1340" s="151" t="str">
        <f>IF(E1340="","",MAX(0,Input!$C$9-B1340))</f>
        <v/>
      </c>
      <c r="H1340" s="152" t="str">
        <f>IF(E1340="","",Input!$C$3)</f>
        <v/>
      </c>
      <c r="I1340" s="153" t="str">
        <f>IF(E1340="","",HLOOKUP($B1340,Input!$C$13:$BT$14,2))</f>
        <v/>
      </c>
      <c r="J1340" s="154"/>
      <c r="K1340" s="150" t="str">
        <f>IF($E1340="","",INDEX(Input!$C$16:$CP$16,1,$B1340))</f>
        <v/>
      </c>
      <c r="L1340" s="150" t="str">
        <f>IF($E1340="","",Input!$C$37)</f>
        <v/>
      </c>
      <c r="M1340" s="150" t="str">
        <f t="shared" si="842"/>
        <v/>
      </c>
      <c r="N1340" s="150" t="str">
        <f t="shared" si="843"/>
        <v/>
      </c>
      <c r="O1340" s="147" t="str">
        <f>IF($E1340="","",MIN(VLOOKUP(IF($B1340&lt;=Input!$C$7,$B1340,26),'Mortality Tables'!$A$41:$CW$67,IF($B1340&lt;=Input!$C$7+1,Input!$C$4+2,$D1340-Input!$C$7+2),0)*IF(B1340&gt;20,Input!$C$22,1)/1000,1))</f>
        <v/>
      </c>
      <c r="P1340" s="147" t="str">
        <f>IF($E1340="","",MIN(VLOOKUP(IF($B1340&lt;=Input!$C$7,$B1340,26),'Mortality Tables'!$A$12:$CW$37,IF($B1340&lt;=Input!$C$7+1,Input!$C$4+2,$D1340-Input!$C$7+2),0)*IF(B1340&gt;20,Input!$C$22,1)/1000,1))</f>
        <v/>
      </c>
      <c r="Q1340" s="155" t="str">
        <f>IF($E1340="","",Input!$C$21)</f>
        <v/>
      </c>
      <c r="R1340" s="159" t="str">
        <f>IF($E1340="","",(1-Q1340)^($F1340-Input!$C$20))</f>
        <v/>
      </c>
      <c r="S1340" s="147" t="str">
        <f t="shared" si="831"/>
        <v/>
      </c>
      <c r="T1340" s="147" t="str">
        <f t="shared" si="832"/>
        <v/>
      </c>
      <c r="U1340" s="160" t="str">
        <f>IF($E1340="","",IF($C1340=12,INDEX(Input!$C$15:$CP$15,1,$B1340),0))</f>
        <v/>
      </c>
      <c r="V1340" s="150" t="str">
        <f>IF(E1340="","",IF(C1340=1,IF($B1340=1,Input!$C$33,Input!$C$34),0))</f>
        <v/>
      </c>
      <c r="W1340" s="156" t="str">
        <f>IF($E1340="","",Input!$C$35)</f>
        <v/>
      </c>
      <c r="X1340" s="156" t="str">
        <f t="shared" si="833"/>
        <v/>
      </c>
      <c r="Y1340" s="154"/>
      <c r="Z1340" s="147" t="str">
        <f>IF($E1340="","",VLOOKUP($D1340,'Mortality Margins &amp; Grading'!$AB$5:$AF$125,3,0)*IF(Summary!$D$25="Included Margin",IF(AND($B1340&gt;Input!$C$9,Summary!$D$31&lt;&gt;"Included Margin"),0,1),0))</f>
        <v/>
      </c>
      <c r="AA1340" s="147" t="str">
        <f>IF($E1340="","",VLOOKUP($D1340,'Mortality Margins &amp; Grading'!$AB$5:$AF$125,5,0)*IF(Summary!$D$25="Included Margin",IF(AND($B1340&gt;Input!$C$9,Summary!$D$31&lt;&gt;"Included Margin"),0,1),0))</f>
        <v/>
      </c>
      <c r="AB1340" s="147" t="str">
        <f>IF($E1340="","",IF(AND($B1340&gt;Input!$C$9,Summary!$D$31&lt;&gt;"Included Margin"),1,IF(Summary!$D$25="Included Margin",VLOOKUP($B1340,'Mortality Margins &amp; Grading'!$AI$5:$AR$125,MATCH('Mortality Margins &amp; Grading'!$AQ$4,'Mortality Margins &amp; Grading'!$AI$4:$AR$4,0),0),1)))</f>
        <v/>
      </c>
      <c r="AC1340" s="154"/>
      <c r="AD1340" s="158" t="str">
        <f>IF(E1340="","",Input!$C$48*IF(Summary!$D$30="Included Margin",IF(AND($B1340&gt;Input!$C$9,Summary!$D$31&lt;&gt;"Included Margin"),0,1),0))</f>
        <v/>
      </c>
      <c r="AE1340" s="159" t="str">
        <f>IF(E1340="","",IF(Summary!$D$26="Included Margin",IF(AND($B1340&gt;Input!$C$9,Summary!$D$31&lt;&gt;"Included Margin"),1,1/$R1340),1))</f>
        <v/>
      </c>
      <c r="AF1340" s="160" t="str">
        <f>IF(E1340="","",IF(AND($B1340&gt;=Input!$C$9,$C1340=12,Summary!$D$31="Included Margin",$U1340&gt;0),1/U1340-1,IF($B1340&gt;=Input!$C$9,0,Input!$C$45*IF(Summary!$D$27="Included Margin",1,0))))</f>
        <v/>
      </c>
      <c r="AG1340" s="160" t="str">
        <f>IF(E1340="","",Input!$C$46*IF(Summary!$D$28="Included Margin",IF(AND($B1340&gt;Input!$C$9,Summary!$D$31&lt;&gt;"Included Margin"),0,1),0))</f>
        <v/>
      </c>
      <c r="AH1340" s="158" t="str">
        <f>IF(E1340="","",Input!$C$47*IF(Summary!$D$29="Included Margin",IF(AND($B1340&gt;Input!$C$9,Summary!$D$31&lt;&gt;"Included Margin"),0,1),0))</f>
        <v/>
      </c>
      <c r="AI1340" s="154"/>
      <c r="AJ1340" s="158" t="str">
        <f t="shared" si="844"/>
        <v/>
      </c>
      <c r="AK1340" s="150" t="str">
        <f t="shared" si="845"/>
        <v/>
      </c>
      <c r="AL1340" s="147" t="str">
        <f t="shared" si="846"/>
        <v/>
      </c>
      <c r="AM1340" s="147" t="str">
        <f t="shared" si="834"/>
        <v/>
      </c>
      <c r="AN1340" s="160" t="str">
        <f t="shared" si="847"/>
        <v/>
      </c>
      <c r="AO1340" s="161" t="str">
        <f t="shared" si="848"/>
        <v/>
      </c>
      <c r="AP1340" s="156" t="str">
        <f t="shared" si="835"/>
        <v/>
      </c>
      <c r="AQ1340" s="152"/>
      <c r="AR1340" s="162" t="str">
        <f t="shared" si="836"/>
        <v/>
      </c>
      <c r="AS1340" s="150" t="str">
        <f t="shared" si="849"/>
        <v/>
      </c>
      <c r="AT1340" s="163" t="str">
        <f t="shared" si="837"/>
        <v/>
      </c>
      <c r="AU1340" s="163" t="str">
        <f t="shared" si="838"/>
        <v/>
      </c>
      <c r="AV1340" s="163" t="str">
        <f t="shared" si="850"/>
        <v/>
      </c>
      <c r="AW1340" s="163" t="str">
        <f t="shared" si="839"/>
        <v/>
      </c>
      <c r="AX1340" s="163" t="str">
        <f t="shared" si="840"/>
        <v/>
      </c>
      <c r="AY1340" s="150" t="str">
        <f t="shared" si="851"/>
        <v/>
      </c>
      <c r="AZ1340" s="150" t="str">
        <f>IF($E1340="","",IF(OR(AND($D1340=Input!$C$6,$C1340=12),$AN1340=1),0,-AS1341+AT1341+AU1341-AV1341-AW1341-AX1341+AZ1341))</f>
        <v/>
      </c>
      <c r="BA1340" s="154" t="str">
        <f t="shared" si="841"/>
        <v/>
      </c>
      <c r="BC1340" s="147" t="str">
        <f t="shared" si="852"/>
        <v/>
      </c>
      <c r="BD1340" s="164" t="str">
        <f>IF(AND($C1339=12,$D1339=Input!$C$6),0,IF($E1340="","",AT1340+(AU1340+BD1341)/(1+$AK1340)*MIN((1-AM1340-AN1340),1)))</f>
        <v/>
      </c>
      <c r="BH1340" s="152"/>
      <c r="BI1340" s="162" t="str">
        <f t="shared" si="860"/>
        <v/>
      </c>
      <c r="BJ1340" s="150" t="str">
        <f t="shared" si="861"/>
        <v/>
      </c>
      <c r="BK1340" s="163" t="str">
        <f t="shared" si="857"/>
        <v/>
      </c>
      <c r="BL1340" s="163" t="str">
        <f t="shared" si="862"/>
        <v/>
      </c>
      <c r="BM1340" s="163" t="str">
        <f t="shared" si="858"/>
        <v/>
      </c>
      <c r="BN1340" s="163" t="str">
        <f t="shared" si="863"/>
        <v/>
      </c>
      <c r="BO1340" s="163" t="str">
        <f t="shared" si="864"/>
        <v/>
      </c>
      <c r="BP1340" s="150" t="str">
        <f t="shared" si="859"/>
        <v/>
      </c>
      <c r="BQ1340" s="150" t="str">
        <f t="shared" si="853"/>
        <v/>
      </c>
      <c r="BR1340" s="154" t="str">
        <f t="shared" si="865"/>
        <v/>
      </c>
      <c r="BT1340" s="147"/>
    </row>
    <row r="1341" spans="1:72" s="150" customFormat="1" x14ac:dyDescent="0.25">
      <c r="A1341" s="150" t="str">
        <f t="shared" si="854"/>
        <v/>
      </c>
      <c r="B1341" s="150" t="str">
        <f t="shared" si="855"/>
        <v/>
      </c>
      <c r="C1341" s="150" t="str">
        <f t="shared" si="856"/>
        <v/>
      </c>
      <c r="D1341" s="150" t="str">
        <f>IF(E1341="","",Input!$C$4+B1341-1)</f>
        <v/>
      </c>
      <c r="E1341" s="150" t="str">
        <f>IF(OR(AND(C1340=12,D1340=Input!$C$6),E1340=""),"",1)</f>
        <v/>
      </c>
      <c r="G1341" s="151" t="str">
        <f>IF(E1341="","",MAX(0,Input!$C$9-B1341))</f>
        <v/>
      </c>
      <c r="H1341" s="152" t="str">
        <f>IF(E1341="","",Input!$C$3)</f>
        <v/>
      </c>
      <c r="I1341" s="153" t="str">
        <f>IF(E1341="","",HLOOKUP($B1341,Input!$C$13:$BT$14,2))</f>
        <v/>
      </c>
      <c r="J1341" s="154"/>
      <c r="K1341" s="150" t="str">
        <f>IF($E1341="","",INDEX(Input!$C$16:$CP$16,1,$B1341))</f>
        <v/>
      </c>
      <c r="L1341" s="150" t="str">
        <f>IF($E1341="","",Input!$C$37)</f>
        <v/>
      </c>
      <c r="M1341" s="150" t="str">
        <f t="shared" si="842"/>
        <v/>
      </c>
      <c r="N1341" s="150" t="str">
        <f t="shared" si="843"/>
        <v/>
      </c>
      <c r="O1341" s="147" t="str">
        <f>IF($E1341="","",MIN(VLOOKUP(IF($B1341&lt;=Input!$C$7,$B1341,26),'Mortality Tables'!$A$41:$CW$67,IF($B1341&lt;=Input!$C$7+1,Input!$C$4+2,$D1341-Input!$C$7+2),0)*IF(B1341&gt;20,Input!$C$22,1)/1000,1))</f>
        <v/>
      </c>
      <c r="P1341" s="147" t="str">
        <f>IF($E1341="","",MIN(VLOOKUP(IF($B1341&lt;=Input!$C$7,$B1341,26),'Mortality Tables'!$A$12:$CW$37,IF($B1341&lt;=Input!$C$7+1,Input!$C$4+2,$D1341-Input!$C$7+2),0)*IF(B1341&gt;20,Input!$C$22,1)/1000,1))</f>
        <v/>
      </c>
      <c r="Q1341" s="155" t="str">
        <f>IF($E1341="","",Input!$C$21)</f>
        <v/>
      </c>
      <c r="R1341" s="159" t="str">
        <f>IF($E1341="","",(1-Q1341)^($F1341-Input!$C$20))</f>
        <v/>
      </c>
      <c r="S1341" s="147" t="str">
        <f t="shared" si="831"/>
        <v/>
      </c>
      <c r="T1341" s="147" t="str">
        <f t="shared" si="832"/>
        <v/>
      </c>
      <c r="U1341" s="160" t="str">
        <f>IF($E1341="","",IF($C1341=12,INDEX(Input!$C$15:$CP$15,1,$B1341),0))</f>
        <v/>
      </c>
      <c r="V1341" s="150" t="str">
        <f>IF(E1341="","",IF(C1341=1,IF($B1341=1,Input!$C$33,Input!$C$34),0))</f>
        <v/>
      </c>
      <c r="W1341" s="156" t="str">
        <f>IF($E1341="","",Input!$C$35)</f>
        <v/>
      </c>
      <c r="X1341" s="156" t="str">
        <f t="shared" si="833"/>
        <v/>
      </c>
      <c r="Y1341" s="154"/>
      <c r="Z1341" s="147" t="str">
        <f>IF($E1341="","",VLOOKUP($D1341,'Mortality Margins &amp; Grading'!$AB$5:$AF$125,3,0)*IF(Summary!$D$25="Included Margin",IF(AND($B1341&gt;Input!$C$9,Summary!$D$31&lt;&gt;"Included Margin"),0,1),0))</f>
        <v/>
      </c>
      <c r="AA1341" s="147" t="str">
        <f>IF($E1341="","",VLOOKUP($D1341,'Mortality Margins &amp; Grading'!$AB$5:$AF$125,5,0)*IF(Summary!$D$25="Included Margin",IF(AND($B1341&gt;Input!$C$9,Summary!$D$31&lt;&gt;"Included Margin"),0,1),0))</f>
        <v/>
      </c>
      <c r="AB1341" s="147" t="str">
        <f>IF($E1341="","",IF(AND($B1341&gt;Input!$C$9,Summary!$D$31&lt;&gt;"Included Margin"),1,IF(Summary!$D$25="Included Margin",VLOOKUP($B1341,'Mortality Margins &amp; Grading'!$AI$5:$AR$125,MATCH('Mortality Margins &amp; Grading'!$AQ$4,'Mortality Margins &amp; Grading'!$AI$4:$AR$4,0),0),1)))</f>
        <v/>
      </c>
      <c r="AC1341" s="154"/>
      <c r="AD1341" s="158" t="str">
        <f>IF(E1341="","",Input!$C$48*IF(Summary!$D$30="Included Margin",IF(AND($B1341&gt;Input!$C$9,Summary!$D$31&lt;&gt;"Included Margin"),0,1),0))</f>
        <v/>
      </c>
      <c r="AE1341" s="159" t="str">
        <f>IF(E1341="","",IF(Summary!$D$26="Included Margin",IF(AND($B1341&gt;Input!$C$9,Summary!$D$31&lt;&gt;"Included Margin"),1,1/$R1341),1))</f>
        <v/>
      </c>
      <c r="AF1341" s="160" t="str">
        <f>IF(E1341="","",IF(AND($B1341&gt;=Input!$C$9,$C1341=12,Summary!$D$31="Included Margin",$U1341&gt;0),1/U1341-1,IF($B1341&gt;=Input!$C$9,0,Input!$C$45*IF(Summary!$D$27="Included Margin",1,0))))</f>
        <v/>
      </c>
      <c r="AG1341" s="160" t="str">
        <f>IF(E1341="","",Input!$C$46*IF(Summary!$D$28="Included Margin",IF(AND($B1341&gt;Input!$C$9,Summary!$D$31&lt;&gt;"Included Margin"),0,1),0))</f>
        <v/>
      </c>
      <c r="AH1341" s="158" t="str">
        <f>IF(E1341="","",Input!$C$47*IF(Summary!$D$29="Included Margin",IF(AND($B1341&gt;Input!$C$9,Summary!$D$31&lt;&gt;"Included Margin"),0,1),0))</f>
        <v/>
      </c>
      <c r="AI1341" s="154"/>
      <c r="AJ1341" s="158" t="str">
        <f t="shared" si="844"/>
        <v/>
      </c>
      <c r="AK1341" s="150" t="str">
        <f t="shared" si="845"/>
        <v/>
      </c>
      <c r="AL1341" s="147" t="str">
        <f t="shared" si="846"/>
        <v/>
      </c>
      <c r="AM1341" s="147" t="str">
        <f t="shared" si="834"/>
        <v/>
      </c>
      <c r="AN1341" s="160" t="str">
        <f t="shared" si="847"/>
        <v/>
      </c>
      <c r="AO1341" s="161" t="str">
        <f t="shared" si="848"/>
        <v/>
      </c>
      <c r="AP1341" s="156" t="str">
        <f t="shared" si="835"/>
        <v/>
      </c>
      <c r="AQ1341" s="152"/>
      <c r="AR1341" s="162" t="str">
        <f t="shared" si="836"/>
        <v/>
      </c>
      <c r="AS1341" s="150" t="str">
        <f t="shared" si="849"/>
        <v/>
      </c>
      <c r="AT1341" s="163" t="str">
        <f t="shared" si="837"/>
        <v/>
      </c>
      <c r="AU1341" s="163" t="str">
        <f t="shared" si="838"/>
        <v/>
      </c>
      <c r="AV1341" s="163" t="str">
        <f t="shared" si="850"/>
        <v/>
      </c>
      <c r="AW1341" s="163" t="str">
        <f t="shared" si="839"/>
        <v/>
      </c>
      <c r="AX1341" s="163" t="str">
        <f t="shared" si="840"/>
        <v/>
      </c>
      <c r="AY1341" s="150" t="str">
        <f t="shared" si="851"/>
        <v/>
      </c>
      <c r="AZ1341" s="150" t="str">
        <f>IF($E1341="","",IF(OR(AND($D1341=Input!$C$6,$C1341=12),$AN1341=1),0,-AS1342+AT1342+AU1342-AV1342-AW1342-AX1342+AZ1342))</f>
        <v/>
      </c>
      <c r="BA1341" s="154" t="str">
        <f t="shared" si="841"/>
        <v/>
      </c>
      <c r="BC1341" s="147" t="str">
        <f t="shared" si="852"/>
        <v/>
      </c>
      <c r="BD1341" s="164" t="str">
        <f>IF(AND($C1340=12,$D1340=Input!$C$6),0,IF($E1341="","",AT1341+(AU1341+BD1342)/(1+$AK1341)*MIN((1-AM1341-AN1341),1)))</f>
        <v/>
      </c>
      <c r="BH1341" s="152"/>
      <c r="BI1341" s="162" t="str">
        <f t="shared" si="860"/>
        <v/>
      </c>
      <c r="BJ1341" s="150" t="str">
        <f t="shared" si="861"/>
        <v/>
      </c>
      <c r="BK1341" s="163" t="str">
        <f t="shared" si="857"/>
        <v/>
      </c>
      <c r="BL1341" s="163" t="str">
        <f t="shared" si="862"/>
        <v/>
      </c>
      <c r="BM1341" s="163" t="str">
        <f t="shared" si="858"/>
        <v/>
      </c>
      <c r="BN1341" s="163" t="str">
        <f t="shared" si="863"/>
        <v/>
      </c>
      <c r="BO1341" s="163" t="str">
        <f t="shared" si="864"/>
        <v/>
      </c>
      <c r="BP1341" s="150" t="str">
        <f t="shared" si="859"/>
        <v/>
      </c>
      <c r="BQ1341" s="150" t="str">
        <f t="shared" si="853"/>
        <v/>
      </c>
      <c r="BR1341" s="154" t="str">
        <f t="shared" si="865"/>
        <v/>
      </c>
      <c r="BT1341" s="147"/>
    </row>
    <row r="1342" spans="1:72" s="150" customFormat="1" x14ac:dyDescent="0.25">
      <c r="A1342" s="150" t="str">
        <f t="shared" si="854"/>
        <v/>
      </c>
      <c r="B1342" s="150" t="str">
        <f t="shared" si="855"/>
        <v/>
      </c>
      <c r="C1342" s="150" t="str">
        <f t="shared" si="856"/>
        <v/>
      </c>
      <c r="D1342" s="150" t="str">
        <f>IF(E1342="","",Input!$C$4+B1342-1)</f>
        <v/>
      </c>
      <c r="E1342" s="150" t="str">
        <f>IF(OR(AND(C1341=12,D1341=Input!$C$6),E1341=""),"",1)</f>
        <v/>
      </c>
      <c r="G1342" s="151" t="str">
        <f>IF(E1342="","",MAX(0,Input!$C$9-B1342))</f>
        <v/>
      </c>
      <c r="H1342" s="152" t="str">
        <f>IF(E1342="","",Input!$C$3)</f>
        <v/>
      </c>
      <c r="I1342" s="153" t="str">
        <f>IF(E1342="","",HLOOKUP($B1342,Input!$C$13:$BT$14,2))</f>
        <v/>
      </c>
      <c r="J1342" s="154"/>
      <c r="K1342" s="150" t="str">
        <f>IF($E1342="","",INDEX(Input!$C$16:$CP$16,1,$B1342))</f>
        <v/>
      </c>
      <c r="L1342" s="150" t="str">
        <f>IF($E1342="","",Input!$C$37)</f>
        <v/>
      </c>
      <c r="M1342" s="150" t="str">
        <f t="shared" si="842"/>
        <v/>
      </c>
      <c r="N1342" s="150" t="str">
        <f t="shared" si="843"/>
        <v/>
      </c>
      <c r="O1342" s="147" t="str">
        <f>IF($E1342="","",MIN(VLOOKUP(IF($B1342&lt;=Input!$C$7,$B1342,26),'Mortality Tables'!$A$41:$CW$67,IF($B1342&lt;=Input!$C$7+1,Input!$C$4+2,$D1342-Input!$C$7+2),0)*IF(B1342&gt;20,Input!$C$22,1)/1000,1))</f>
        <v/>
      </c>
      <c r="P1342" s="147" t="str">
        <f>IF($E1342="","",MIN(VLOOKUP(IF($B1342&lt;=Input!$C$7,$B1342,26),'Mortality Tables'!$A$12:$CW$37,IF($B1342&lt;=Input!$C$7+1,Input!$C$4+2,$D1342-Input!$C$7+2),0)*IF(B1342&gt;20,Input!$C$22,1)/1000,1))</f>
        <v/>
      </c>
      <c r="Q1342" s="155" t="str">
        <f>IF($E1342="","",Input!$C$21)</f>
        <v/>
      </c>
      <c r="R1342" s="159" t="str">
        <f>IF($E1342="","",(1-Q1342)^($F1342-Input!$C$20))</f>
        <v/>
      </c>
      <c r="S1342" s="147" t="str">
        <f t="shared" si="831"/>
        <v/>
      </c>
      <c r="T1342" s="147" t="str">
        <f t="shared" si="832"/>
        <v/>
      </c>
      <c r="U1342" s="160" t="str">
        <f>IF($E1342="","",IF($C1342=12,INDEX(Input!$C$15:$CP$15,1,$B1342),0))</f>
        <v/>
      </c>
      <c r="V1342" s="150" t="str">
        <f>IF(E1342="","",IF(C1342=1,IF($B1342=1,Input!$C$33,Input!$C$34),0))</f>
        <v/>
      </c>
      <c r="W1342" s="156" t="str">
        <f>IF($E1342="","",Input!$C$35)</f>
        <v/>
      </c>
      <c r="X1342" s="156" t="str">
        <f t="shared" si="833"/>
        <v/>
      </c>
      <c r="Y1342" s="154"/>
      <c r="Z1342" s="147" t="str">
        <f>IF($E1342="","",VLOOKUP($D1342,'Mortality Margins &amp; Grading'!$AB$5:$AF$125,3,0)*IF(Summary!$D$25="Included Margin",IF(AND($B1342&gt;Input!$C$9,Summary!$D$31&lt;&gt;"Included Margin"),0,1),0))</f>
        <v/>
      </c>
      <c r="AA1342" s="147" t="str">
        <f>IF($E1342="","",VLOOKUP($D1342,'Mortality Margins &amp; Grading'!$AB$5:$AF$125,5,0)*IF(Summary!$D$25="Included Margin",IF(AND($B1342&gt;Input!$C$9,Summary!$D$31&lt;&gt;"Included Margin"),0,1),0))</f>
        <v/>
      </c>
      <c r="AB1342" s="147" t="str">
        <f>IF($E1342="","",IF(AND($B1342&gt;Input!$C$9,Summary!$D$31&lt;&gt;"Included Margin"),1,IF(Summary!$D$25="Included Margin",VLOOKUP($B1342,'Mortality Margins &amp; Grading'!$AI$5:$AR$125,MATCH('Mortality Margins &amp; Grading'!$AQ$4,'Mortality Margins &amp; Grading'!$AI$4:$AR$4,0),0),1)))</f>
        <v/>
      </c>
      <c r="AC1342" s="154"/>
      <c r="AD1342" s="158" t="str">
        <f>IF(E1342="","",Input!$C$48*IF(Summary!$D$30="Included Margin",IF(AND($B1342&gt;Input!$C$9,Summary!$D$31&lt;&gt;"Included Margin"),0,1),0))</f>
        <v/>
      </c>
      <c r="AE1342" s="159" t="str">
        <f>IF(E1342="","",IF(Summary!$D$26="Included Margin",IF(AND($B1342&gt;Input!$C$9,Summary!$D$31&lt;&gt;"Included Margin"),1,1/$R1342),1))</f>
        <v/>
      </c>
      <c r="AF1342" s="160" t="str">
        <f>IF(E1342="","",IF(AND($B1342&gt;=Input!$C$9,$C1342=12,Summary!$D$31="Included Margin",$U1342&gt;0),1/U1342-1,IF($B1342&gt;=Input!$C$9,0,Input!$C$45*IF(Summary!$D$27="Included Margin",1,0))))</f>
        <v/>
      </c>
      <c r="AG1342" s="160" t="str">
        <f>IF(E1342="","",Input!$C$46*IF(Summary!$D$28="Included Margin",IF(AND($B1342&gt;Input!$C$9,Summary!$D$31&lt;&gt;"Included Margin"),0,1),0))</f>
        <v/>
      </c>
      <c r="AH1342" s="158" t="str">
        <f>IF(E1342="","",Input!$C$47*IF(Summary!$D$29="Included Margin",IF(AND($B1342&gt;Input!$C$9,Summary!$D$31&lt;&gt;"Included Margin"),0,1),0))</f>
        <v/>
      </c>
      <c r="AI1342" s="154"/>
      <c r="AJ1342" s="158" t="str">
        <f t="shared" si="844"/>
        <v/>
      </c>
      <c r="AK1342" s="150" t="str">
        <f t="shared" si="845"/>
        <v/>
      </c>
      <c r="AL1342" s="147" t="str">
        <f t="shared" si="846"/>
        <v/>
      </c>
      <c r="AM1342" s="147" t="str">
        <f t="shared" si="834"/>
        <v/>
      </c>
      <c r="AN1342" s="160" t="str">
        <f t="shared" si="847"/>
        <v/>
      </c>
      <c r="AO1342" s="161" t="str">
        <f t="shared" si="848"/>
        <v/>
      </c>
      <c r="AP1342" s="156" t="str">
        <f t="shared" si="835"/>
        <v/>
      </c>
      <c r="AQ1342" s="152"/>
      <c r="AR1342" s="162" t="str">
        <f t="shared" si="836"/>
        <v/>
      </c>
      <c r="AS1342" s="150" t="str">
        <f t="shared" si="849"/>
        <v/>
      </c>
      <c r="AT1342" s="163" t="str">
        <f t="shared" si="837"/>
        <v/>
      </c>
      <c r="AU1342" s="163" t="str">
        <f t="shared" si="838"/>
        <v/>
      </c>
      <c r="AV1342" s="163" t="str">
        <f t="shared" si="850"/>
        <v/>
      </c>
      <c r="AW1342" s="163" t="str">
        <f t="shared" si="839"/>
        <v/>
      </c>
      <c r="AX1342" s="163" t="str">
        <f t="shared" si="840"/>
        <v/>
      </c>
      <c r="AY1342" s="150" t="str">
        <f t="shared" si="851"/>
        <v/>
      </c>
      <c r="AZ1342" s="150" t="str">
        <f>IF($E1342="","",IF(OR(AND($D1342=Input!$C$6,$C1342=12),$AN1342=1),0,-AS1343+AT1343+AU1343-AV1343-AW1343-AX1343+AZ1343))</f>
        <v/>
      </c>
      <c r="BA1342" s="154" t="str">
        <f t="shared" si="841"/>
        <v/>
      </c>
      <c r="BC1342" s="147" t="str">
        <f t="shared" si="852"/>
        <v/>
      </c>
      <c r="BD1342" s="164" t="str">
        <f>IF(AND($C1341=12,$D1341=Input!$C$6),0,IF($E1342="","",AT1342+(AU1342+BD1343)/(1+$AK1342)*MIN((1-AM1342-AN1342),1)))</f>
        <v/>
      </c>
      <c r="BH1342" s="152"/>
      <c r="BI1342" s="162" t="str">
        <f t="shared" si="860"/>
        <v/>
      </c>
      <c r="BJ1342" s="150" t="str">
        <f t="shared" si="861"/>
        <v/>
      </c>
      <c r="BK1342" s="163" t="str">
        <f t="shared" si="857"/>
        <v/>
      </c>
      <c r="BL1342" s="163" t="str">
        <f t="shared" si="862"/>
        <v/>
      </c>
      <c r="BM1342" s="163" t="str">
        <f t="shared" si="858"/>
        <v/>
      </c>
      <c r="BN1342" s="163" t="str">
        <f t="shared" si="863"/>
        <v/>
      </c>
      <c r="BO1342" s="163" t="str">
        <f t="shared" si="864"/>
        <v/>
      </c>
      <c r="BP1342" s="150" t="str">
        <f t="shared" si="859"/>
        <v/>
      </c>
      <c r="BQ1342" s="150" t="str">
        <f t="shared" si="853"/>
        <v/>
      </c>
      <c r="BR1342" s="154" t="str">
        <f t="shared" si="865"/>
        <v/>
      </c>
      <c r="BT1342" s="147"/>
    </row>
    <row r="1343" spans="1:72" s="150" customFormat="1" x14ac:dyDescent="0.25">
      <c r="A1343" s="150" t="str">
        <f t="shared" si="854"/>
        <v/>
      </c>
      <c r="B1343" s="150" t="str">
        <f t="shared" si="855"/>
        <v/>
      </c>
      <c r="C1343" s="150" t="str">
        <f t="shared" si="856"/>
        <v/>
      </c>
      <c r="D1343" s="150" t="str">
        <f>IF(E1343="","",Input!$C$4+B1343-1)</f>
        <v/>
      </c>
      <c r="E1343" s="150" t="str">
        <f>IF(OR(AND(C1342=12,D1342=Input!$C$6),E1342=""),"",1)</f>
        <v/>
      </c>
      <c r="G1343" s="151" t="str">
        <f>IF(E1343="","",MAX(0,Input!$C$9-B1343))</f>
        <v/>
      </c>
      <c r="H1343" s="152" t="str">
        <f>IF(E1343="","",Input!$C$3)</f>
        <v/>
      </c>
      <c r="I1343" s="153" t="str">
        <f>IF(E1343="","",HLOOKUP($B1343,Input!$C$13:$BT$14,2))</f>
        <v/>
      </c>
      <c r="J1343" s="154"/>
      <c r="K1343" s="150" t="str">
        <f>IF($E1343="","",INDEX(Input!$C$16:$CP$16,1,$B1343))</f>
        <v/>
      </c>
      <c r="L1343" s="150" t="str">
        <f>IF($E1343="","",Input!$C$37)</f>
        <v/>
      </c>
      <c r="M1343" s="150" t="str">
        <f t="shared" si="842"/>
        <v/>
      </c>
      <c r="N1343" s="150" t="str">
        <f t="shared" si="843"/>
        <v/>
      </c>
      <c r="O1343" s="147" t="str">
        <f>IF($E1343="","",MIN(VLOOKUP(IF($B1343&lt;=Input!$C$7,$B1343,26),'Mortality Tables'!$A$41:$CW$67,IF($B1343&lt;=Input!$C$7+1,Input!$C$4+2,$D1343-Input!$C$7+2),0)*IF(B1343&gt;20,Input!$C$22,1)/1000,1))</f>
        <v/>
      </c>
      <c r="P1343" s="147" t="str">
        <f>IF($E1343="","",MIN(VLOOKUP(IF($B1343&lt;=Input!$C$7,$B1343,26),'Mortality Tables'!$A$12:$CW$37,IF($B1343&lt;=Input!$C$7+1,Input!$C$4+2,$D1343-Input!$C$7+2),0)*IF(B1343&gt;20,Input!$C$22,1)/1000,1))</f>
        <v/>
      </c>
      <c r="Q1343" s="155" t="str">
        <f>IF($E1343="","",Input!$C$21)</f>
        <v/>
      </c>
      <c r="R1343" s="159" t="str">
        <f>IF($E1343="","",(1-Q1343)^($F1343-Input!$C$20))</f>
        <v/>
      </c>
      <c r="S1343" s="147" t="str">
        <f t="shared" si="831"/>
        <v/>
      </c>
      <c r="T1343" s="147" t="str">
        <f t="shared" si="832"/>
        <v/>
      </c>
      <c r="U1343" s="160" t="str">
        <f>IF($E1343="","",IF($C1343=12,INDEX(Input!$C$15:$CP$15,1,$B1343),0))</f>
        <v/>
      </c>
      <c r="V1343" s="150" t="str">
        <f>IF(E1343="","",IF(C1343=1,IF($B1343=1,Input!$C$33,Input!$C$34),0))</f>
        <v/>
      </c>
      <c r="W1343" s="156" t="str">
        <f>IF($E1343="","",Input!$C$35)</f>
        <v/>
      </c>
      <c r="X1343" s="156" t="str">
        <f t="shared" si="833"/>
        <v/>
      </c>
      <c r="Y1343" s="154"/>
      <c r="Z1343" s="147" t="str">
        <f>IF($E1343="","",VLOOKUP($D1343,'Mortality Margins &amp; Grading'!$AB$5:$AF$125,3,0)*IF(Summary!$D$25="Included Margin",IF(AND($B1343&gt;Input!$C$9,Summary!$D$31&lt;&gt;"Included Margin"),0,1),0))</f>
        <v/>
      </c>
      <c r="AA1343" s="147" t="str">
        <f>IF($E1343="","",VLOOKUP($D1343,'Mortality Margins &amp; Grading'!$AB$5:$AF$125,5,0)*IF(Summary!$D$25="Included Margin",IF(AND($B1343&gt;Input!$C$9,Summary!$D$31&lt;&gt;"Included Margin"),0,1),0))</f>
        <v/>
      </c>
      <c r="AB1343" s="147" t="str">
        <f>IF($E1343="","",IF(AND($B1343&gt;Input!$C$9,Summary!$D$31&lt;&gt;"Included Margin"),1,IF(Summary!$D$25="Included Margin",VLOOKUP($B1343,'Mortality Margins &amp; Grading'!$AI$5:$AR$125,MATCH('Mortality Margins &amp; Grading'!$AQ$4,'Mortality Margins &amp; Grading'!$AI$4:$AR$4,0),0),1)))</f>
        <v/>
      </c>
      <c r="AC1343" s="154"/>
      <c r="AD1343" s="158" t="str">
        <f>IF(E1343="","",Input!$C$48*IF(Summary!$D$30="Included Margin",IF(AND($B1343&gt;Input!$C$9,Summary!$D$31&lt;&gt;"Included Margin"),0,1),0))</f>
        <v/>
      </c>
      <c r="AE1343" s="159" t="str">
        <f>IF(E1343="","",IF(Summary!$D$26="Included Margin",IF(AND($B1343&gt;Input!$C$9,Summary!$D$31&lt;&gt;"Included Margin"),1,1/$R1343),1))</f>
        <v/>
      </c>
      <c r="AF1343" s="160" t="str">
        <f>IF(E1343="","",IF(AND($B1343&gt;=Input!$C$9,$C1343=12,Summary!$D$31="Included Margin",$U1343&gt;0),1/U1343-1,IF($B1343&gt;=Input!$C$9,0,Input!$C$45*IF(Summary!$D$27="Included Margin",1,0))))</f>
        <v/>
      </c>
      <c r="AG1343" s="160" t="str">
        <f>IF(E1343="","",Input!$C$46*IF(Summary!$D$28="Included Margin",IF(AND($B1343&gt;Input!$C$9,Summary!$D$31&lt;&gt;"Included Margin"),0,1),0))</f>
        <v/>
      </c>
      <c r="AH1343" s="158" t="str">
        <f>IF(E1343="","",Input!$C$47*IF(Summary!$D$29="Included Margin",IF(AND($B1343&gt;Input!$C$9,Summary!$D$31&lt;&gt;"Included Margin"),0,1),0))</f>
        <v/>
      </c>
      <c r="AI1343" s="154"/>
      <c r="AJ1343" s="158" t="str">
        <f t="shared" si="844"/>
        <v/>
      </c>
      <c r="AK1343" s="150" t="str">
        <f t="shared" si="845"/>
        <v/>
      </c>
      <c r="AL1343" s="147" t="str">
        <f t="shared" si="846"/>
        <v/>
      </c>
      <c r="AM1343" s="147" t="str">
        <f t="shared" si="834"/>
        <v/>
      </c>
      <c r="AN1343" s="160" t="str">
        <f t="shared" si="847"/>
        <v/>
      </c>
      <c r="AO1343" s="161" t="str">
        <f t="shared" si="848"/>
        <v/>
      </c>
      <c r="AP1343" s="156" t="str">
        <f t="shared" si="835"/>
        <v/>
      </c>
      <c r="AQ1343" s="152"/>
      <c r="AR1343" s="162" t="str">
        <f t="shared" si="836"/>
        <v/>
      </c>
      <c r="AS1343" s="150" t="str">
        <f t="shared" si="849"/>
        <v/>
      </c>
      <c r="AT1343" s="163" t="str">
        <f t="shared" si="837"/>
        <v/>
      </c>
      <c r="AU1343" s="163" t="str">
        <f t="shared" si="838"/>
        <v/>
      </c>
      <c r="AV1343" s="163" t="str">
        <f t="shared" si="850"/>
        <v/>
      </c>
      <c r="AW1343" s="163" t="str">
        <f t="shared" si="839"/>
        <v/>
      </c>
      <c r="AX1343" s="163" t="str">
        <f t="shared" si="840"/>
        <v/>
      </c>
      <c r="AY1343" s="150" t="str">
        <f t="shared" si="851"/>
        <v/>
      </c>
      <c r="AZ1343" s="150" t="str">
        <f>IF($E1343="","",IF(OR(AND($D1343=Input!$C$6,$C1343=12),$AN1343=1),0,-AS1344+AT1344+AU1344-AV1344-AW1344-AX1344+AZ1344))</f>
        <v/>
      </c>
      <c r="BA1343" s="154" t="str">
        <f t="shared" si="841"/>
        <v/>
      </c>
      <c r="BC1343" s="147" t="str">
        <f t="shared" si="852"/>
        <v/>
      </c>
      <c r="BD1343" s="164" t="str">
        <f>IF(AND($C1342=12,$D1342=Input!$C$6),0,IF($E1343="","",AT1343+(AU1343+BD1344)/(1+$AK1343)*MIN((1-AM1343-AN1343),1)))</f>
        <v/>
      </c>
      <c r="BH1343" s="152"/>
      <c r="BI1343" s="162" t="str">
        <f t="shared" si="860"/>
        <v/>
      </c>
      <c r="BJ1343" s="150" t="str">
        <f t="shared" si="861"/>
        <v/>
      </c>
      <c r="BK1343" s="163" t="str">
        <f t="shared" si="857"/>
        <v/>
      </c>
      <c r="BL1343" s="163" t="str">
        <f t="shared" si="862"/>
        <v/>
      </c>
      <c r="BM1343" s="163" t="str">
        <f t="shared" si="858"/>
        <v/>
      </c>
      <c r="BN1343" s="163" t="str">
        <f t="shared" si="863"/>
        <v/>
      </c>
      <c r="BO1343" s="163" t="str">
        <f t="shared" si="864"/>
        <v/>
      </c>
      <c r="BP1343" s="150" t="str">
        <f t="shared" si="859"/>
        <v/>
      </c>
      <c r="BQ1343" s="150" t="str">
        <f t="shared" si="853"/>
        <v/>
      </c>
      <c r="BR1343" s="154" t="str">
        <f t="shared" si="865"/>
        <v/>
      </c>
      <c r="BT1343" s="147"/>
    </row>
    <row r="1344" spans="1:72" s="150" customFormat="1" x14ac:dyDescent="0.25">
      <c r="A1344" s="150" t="str">
        <f t="shared" si="854"/>
        <v/>
      </c>
      <c r="B1344" s="150" t="str">
        <f t="shared" si="855"/>
        <v/>
      </c>
      <c r="C1344" s="150" t="str">
        <f t="shared" si="856"/>
        <v/>
      </c>
      <c r="D1344" s="150" t="str">
        <f>IF(E1344="","",Input!$C$4+B1344-1)</f>
        <v/>
      </c>
      <c r="E1344" s="150" t="str">
        <f>IF(OR(AND(C1343=12,D1343=Input!$C$6),E1343=""),"",1)</f>
        <v/>
      </c>
      <c r="G1344" s="151" t="str">
        <f>IF(E1344="","",MAX(0,Input!$C$9-B1344))</f>
        <v/>
      </c>
      <c r="H1344" s="152" t="str">
        <f>IF(E1344="","",Input!$C$3)</f>
        <v/>
      </c>
      <c r="I1344" s="153" t="str">
        <f>IF(E1344="","",HLOOKUP($B1344,Input!$C$13:$BT$14,2))</f>
        <v/>
      </c>
      <c r="J1344" s="154"/>
      <c r="K1344" s="150" t="str">
        <f>IF($E1344="","",INDEX(Input!$C$16:$CP$16,1,$B1344))</f>
        <v/>
      </c>
      <c r="L1344" s="150" t="str">
        <f>IF($E1344="","",Input!$C$37)</f>
        <v/>
      </c>
      <c r="M1344" s="150" t="str">
        <f t="shared" si="842"/>
        <v/>
      </c>
      <c r="N1344" s="150" t="str">
        <f t="shared" si="843"/>
        <v/>
      </c>
      <c r="O1344" s="147" t="str">
        <f>IF($E1344="","",MIN(VLOOKUP(IF($B1344&lt;=Input!$C$7,$B1344,26),'Mortality Tables'!$A$41:$CW$67,IF($B1344&lt;=Input!$C$7+1,Input!$C$4+2,$D1344-Input!$C$7+2),0)*IF(B1344&gt;20,Input!$C$22,1)/1000,1))</f>
        <v/>
      </c>
      <c r="P1344" s="147" t="str">
        <f>IF($E1344="","",MIN(VLOOKUP(IF($B1344&lt;=Input!$C$7,$B1344,26),'Mortality Tables'!$A$12:$CW$37,IF($B1344&lt;=Input!$C$7+1,Input!$C$4+2,$D1344-Input!$C$7+2),0)*IF(B1344&gt;20,Input!$C$22,1)/1000,1))</f>
        <v/>
      </c>
      <c r="Q1344" s="155" t="str">
        <f>IF($E1344="","",Input!$C$21)</f>
        <v/>
      </c>
      <c r="R1344" s="159" t="str">
        <f>IF($E1344="","",(1-Q1344)^($F1344-Input!$C$20))</f>
        <v/>
      </c>
      <c r="S1344" s="147" t="str">
        <f t="shared" si="831"/>
        <v/>
      </c>
      <c r="T1344" s="147" t="str">
        <f t="shared" si="832"/>
        <v/>
      </c>
      <c r="U1344" s="160" t="str">
        <f>IF($E1344="","",IF($C1344=12,INDEX(Input!$C$15:$CP$15,1,$B1344),0))</f>
        <v/>
      </c>
      <c r="V1344" s="150" t="str">
        <f>IF(E1344="","",IF(C1344=1,IF($B1344=1,Input!$C$33,Input!$C$34),0))</f>
        <v/>
      </c>
      <c r="W1344" s="156" t="str">
        <f>IF($E1344="","",Input!$C$35)</f>
        <v/>
      </c>
      <c r="X1344" s="156" t="str">
        <f t="shared" si="833"/>
        <v/>
      </c>
      <c r="Y1344" s="154"/>
      <c r="Z1344" s="147" t="str">
        <f>IF($E1344="","",VLOOKUP($D1344,'Mortality Margins &amp; Grading'!$AB$5:$AF$125,3,0)*IF(Summary!$D$25="Included Margin",IF(AND($B1344&gt;Input!$C$9,Summary!$D$31&lt;&gt;"Included Margin"),0,1),0))</f>
        <v/>
      </c>
      <c r="AA1344" s="147" t="str">
        <f>IF($E1344="","",VLOOKUP($D1344,'Mortality Margins &amp; Grading'!$AB$5:$AF$125,5,0)*IF(Summary!$D$25="Included Margin",IF(AND($B1344&gt;Input!$C$9,Summary!$D$31&lt;&gt;"Included Margin"),0,1),0))</f>
        <v/>
      </c>
      <c r="AB1344" s="147" t="str">
        <f>IF($E1344="","",IF(AND($B1344&gt;Input!$C$9,Summary!$D$31&lt;&gt;"Included Margin"),1,IF(Summary!$D$25="Included Margin",VLOOKUP($B1344,'Mortality Margins &amp; Grading'!$AI$5:$AR$125,MATCH('Mortality Margins &amp; Grading'!$AQ$4,'Mortality Margins &amp; Grading'!$AI$4:$AR$4,0),0),1)))</f>
        <v/>
      </c>
      <c r="AC1344" s="154"/>
      <c r="AD1344" s="158" t="str">
        <f>IF(E1344="","",Input!$C$48*IF(Summary!$D$30="Included Margin",IF(AND($B1344&gt;Input!$C$9,Summary!$D$31&lt;&gt;"Included Margin"),0,1),0))</f>
        <v/>
      </c>
      <c r="AE1344" s="159" t="str">
        <f>IF(E1344="","",IF(Summary!$D$26="Included Margin",IF(AND($B1344&gt;Input!$C$9,Summary!$D$31&lt;&gt;"Included Margin"),1,1/$R1344),1))</f>
        <v/>
      </c>
      <c r="AF1344" s="160" t="str">
        <f>IF(E1344="","",IF(AND($B1344&gt;=Input!$C$9,$C1344=12,Summary!$D$31="Included Margin",$U1344&gt;0),1/U1344-1,IF($B1344&gt;=Input!$C$9,0,Input!$C$45*IF(Summary!$D$27="Included Margin",1,0))))</f>
        <v/>
      </c>
      <c r="AG1344" s="160" t="str">
        <f>IF(E1344="","",Input!$C$46*IF(Summary!$D$28="Included Margin",IF(AND($B1344&gt;Input!$C$9,Summary!$D$31&lt;&gt;"Included Margin"),0,1),0))</f>
        <v/>
      </c>
      <c r="AH1344" s="158" t="str">
        <f>IF(E1344="","",Input!$C$47*IF(Summary!$D$29="Included Margin",IF(AND($B1344&gt;Input!$C$9,Summary!$D$31&lt;&gt;"Included Margin"),0,1),0))</f>
        <v/>
      </c>
      <c r="AI1344" s="154"/>
      <c r="AJ1344" s="158" t="str">
        <f t="shared" si="844"/>
        <v/>
      </c>
      <c r="AK1344" s="150" t="str">
        <f t="shared" si="845"/>
        <v/>
      </c>
      <c r="AL1344" s="147" t="str">
        <f t="shared" si="846"/>
        <v/>
      </c>
      <c r="AM1344" s="147" t="str">
        <f t="shared" si="834"/>
        <v/>
      </c>
      <c r="AN1344" s="160" t="str">
        <f t="shared" si="847"/>
        <v/>
      </c>
      <c r="AO1344" s="161" t="str">
        <f t="shared" si="848"/>
        <v/>
      </c>
      <c r="AP1344" s="156" t="str">
        <f t="shared" si="835"/>
        <v/>
      </c>
      <c r="AQ1344" s="152"/>
      <c r="AR1344" s="162" t="str">
        <f t="shared" si="836"/>
        <v/>
      </c>
      <c r="AS1344" s="150" t="str">
        <f t="shared" si="849"/>
        <v/>
      </c>
      <c r="AT1344" s="163" t="str">
        <f t="shared" si="837"/>
        <v/>
      </c>
      <c r="AU1344" s="163" t="str">
        <f t="shared" si="838"/>
        <v/>
      </c>
      <c r="AV1344" s="163" t="str">
        <f t="shared" si="850"/>
        <v/>
      </c>
      <c r="AW1344" s="163" t="str">
        <f t="shared" si="839"/>
        <v/>
      </c>
      <c r="AX1344" s="163" t="str">
        <f t="shared" si="840"/>
        <v/>
      </c>
      <c r="AY1344" s="150" t="str">
        <f t="shared" si="851"/>
        <v/>
      </c>
      <c r="AZ1344" s="150" t="str">
        <f>IF($E1344="","",IF(OR(AND($D1344=Input!$C$6,$C1344=12),$AN1344=1),0,-AS1345+AT1345+AU1345-AV1345-AW1345-AX1345+AZ1345))</f>
        <v/>
      </c>
      <c r="BA1344" s="154" t="str">
        <f t="shared" si="841"/>
        <v/>
      </c>
      <c r="BC1344" s="147" t="str">
        <f t="shared" si="852"/>
        <v/>
      </c>
      <c r="BD1344" s="164" t="str">
        <f>IF(AND($C1343=12,$D1343=Input!$C$6),0,IF($E1344="","",AT1344+(AU1344+BD1345)/(1+$AK1344)*MIN((1-AM1344-AN1344),1)))</f>
        <v/>
      </c>
      <c r="BH1344" s="152"/>
      <c r="BI1344" s="162" t="str">
        <f t="shared" si="860"/>
        <v/>
      </c>
      <c r="BJ1344" s="150" t="str">
        <f t="shared" si="861"/>
        <v/>
      </c>
      <c r="BK1344" s="163" t="str">
        <f t="shared" si="857"/>
        <v/>
      </c>
      <c r="BL1344" s="163" t="str">
        <f t="shared" si="862"/>
        <v/>
      </c>
      <c r="BM1344" s="163" t="str">
        <f t="shared" si="858"/>
        <v/>
      </c>
      <c r="BN1344" s="163" t="str">
        <f t="shared" si="863"/>
        <v/>
      </c>
      <c r="BO1344" s="163" t="str">
        <f t="shared" si="864"/>
        <v/>
      </c>
      <c r="BP1344" s="150" t="str">
        <f t="shared" si="859"/>
        <v/>
      </c>
      <c r="BQ1344" s="150" t="str">
        <f t="shared" si="853"/>
        <v/>
      </c>
      <c r="BR1344" s="154" t="str">
        <f t="shared" si="865"/>
        <v/>
      </c>
      <c r="BT1344" s="147"/>
    </row>
    <row r="1345" spans="1:72" s="150" customFormat="1" x14ac:dyDescent="0.25">
      <c r="A1345" s="150" t="str">
        <f t="shared" si="854"/>
        <v/>
      </c>
      <c r="B1345" s="150" t="str">
        <f t="shared" si="855"/>
        <v/>
      </c>
      <c r="C1345" s="150" t="str">
        <f t="shared" si="856"/>
        <v/>
      </c>
      <c r="D1345" s="150" t="str">
        <f>IF(E1345="","",Input!$C$4+B1345-1)</f>
        <v/>
      </c>
      <c r="E1345" s="150" t="str">
        <f>IF(OR(AND(C1344=12,D1344=Input!$C$6),E1344=""),"",1)</f>
        <v/>
      </c>
      <c r="G1345" s="151" t="str">
        <f>IF(E1345="","",MAX(0,Input!$C$9-B1345))</f>
        <v/>
      </c>
      <c r="H1345" s="152" t="str">
        <f>IF(E1345="","",Input!$C$3)</f>
        <v/>
      </c>
      <c r="I1345" s="153" t="str">
        <f>IF(E1345="","",HLOOKUP($B1345,Input!$C$13:$BT$14,2))</f>
        <v/>
      </c>
      <c r="J1345" s="154"/>
      <c r="K1345" s="150" t="str">
        <f>IF($E1345="","",INDEX(Input!$C$16:$CP$16,1,$B1345))</f>
        <v/>
      </c>
      <c r="L1345" s="150" t="str">
        <f>IF($E1345="","",Input!$C$37)</f>
        <v/>
      </c>
      <c r="M1345" s="150" t="str">
        <f t="shared" si="842"/>
        <v/>
      </c>
      <c r="N1345" s="150" t="str">
        <f t="shared" si="843"/>
        <v/>
      </c>
      <c r="O1345" s="147" t="str">
        <f>IF($E1345="","",MIN(VLOOKUP(IF($B1345&lt;=Input!$C$7,$B1345,26),'Mortality Tables'!$A$41:$CW$67,IF($B1345&lt;=Input!$C$7+1,Input!$C$4+2,$D1345-Input!$C$7+2),0)*IF(B1345&gt;20,Input!$C$22,1)/1000,1))</f>
        <v/>
      </c>
      <c r="P1345" s="147" t="str">
        <f>IF($E1345="","",MIN(VLOOKUP(IF($B1345&lt;=Input!$C$7,$B1345,26),'Mortality Tables'!$A$12:$CW$37,IF($B1345&lt;=Input!$C$7+1,Input!$C$4+2,$D1345-Input!$C$7+2),0)*IF(B1345&gt;20,Input!$C$22,1)/1000,1))</f>
        <v/>
      </c>
      <c r="Q1345" s="155" t="str">
        <f>IF($E1345="","",Input!$C$21)</f>
        <v/>
      </c>
      <c r="R1345" s="159" t="str">
        <f>IF($E1345="","",(1-Q1345)^($F1345-Input!$C$20))</f>
        <v/>
      </c>
      <c r="S1345" s="147" t="str">
        <f t="shared" si="831"/>
        <v/>
      </c>
      <c r="T1345" s="147" t="str">
        <f t="shared" si="832"/>
        <v/>
      </c>
      <c r="U1345" s="160" t="str">
        <f>IF($E1345="","",IF($C1345=12,INDEX(Input!$C$15:$CP$15,1,$B1345),0))</f>
        <v/>
      </c>
      <c r="V1345" s="150" t="str">
        <f>IF(E1345="","",IF(C1345=1,IF($B1345=1,Input!$C$33,Input!$C$34),0))</f>
        <v/>
      </c>
      <c r="W1345" s="156" t="str">
        <f>IF($E1345="","",Input!$C$35)</f>
        <v/>
      </c>
      <c r="X1345" s="156" t="str">
        <f t="shared" si="833"/>
        <v/>
      </c>
      <c r="Y1345" s="154"/>
      <c r="Z1345" s="147" t="str">
        <f>IF($E1345="","",VLOOKUP($D1345,'Mortality Margins &amp; Grading'!$AB$5:$AF$125,3,0)*IF(Summary!$D$25="Included Margin",IF(AND($B1345&gt;Input!$C$9,Summary!$D$31&lt;&gt;"Included Margin"),0,1),0))</f>
        <v/>
      </c>
      <c r="AA1345" s="147" t="str">
        <f>IF($E1345="","",VLOOKUP($D1345,'Mortality Margins &amp; Grading'!$AB$5:$AF$125,5,0)*IF(Summary!$D$25="Included Margin",IF(AND($B1345&gt;Input!$C$9,Summary!$D$31&lt;&gt;"Included Margin"),0,1),0))</f>
        <v/>
      </c>
      <c r="AB1345" s="147" t="str">
        <f>IF($E1345="","",IF(AND($B1345&gt;Input!$C$9,Summary!$D$31&lt;&gt;"Included Margin"),1,IF(Summary!$D$25="Included Margin",VLOOKUP($B1345,'Mortality Margins &amp; Grading'!$AI$5:$AR$125,MATCH('Mortality Margins &amp; Grading'!$AQ$4,'Mortality Margins &amp; Grading'!$AI$4:$AR$4,0),0),1)))</f>
        <v/>
      </c>
      <c r="AC1345" s="154"/>
      <c r="AD1345" s="158" t="str">
        <f>IF(E1345="","",Input!$C$48*IF(Summary!$D$30="Included Margin",IF(AND($B1345&gt;Input!$C$9,Summary!$D$31&lt;&gt;"Included Margin"),0,1),0))</f>
        <v/>
      </c>
      <c r="AE1345" s="159" t="str">
        <f>IF(E1345="","",IF(Summary!$D$26="Included Margin",IF(AND($B1345&gt;Input!$C$9,Summary!$D$31&lt;&gt;"Included Margin"),1,1/$R1345),1))</f>
        <v/>
      </c>
      <c r="AF1345" s="160" t="str">
        <f>IF(E1345="","",IF(AND($B1345&gt;=Input!$C$9,$C1345=12,Summary!$D$31="Included Margin",$U1345&gt;0),1/U1345-1,IF($B1345&gt;=Input!$C$9,0,Input!$C$45*IF(Summary!$D$27="Included Margin",1,0))))</f>
        <v/>
      </c>
      <c r="AG1345" s="160" t="str">
        <f>IF(E1345="","",Input!$C$46*IF(Summary!$D$28="Included Margin",IF(AND($B1345&gt;Input!$C$9,Summary!$D$31&lt;&gt;"Included Margin"),0,1),0))</f>
        <v/>
      </c>
      <c r="AH1345" s="158" t="str">
        <f>IF(E1345="","",Input!$C$47*IF(Summary!$D$29="Included Margin",IF(AND($B1345&gt;Input!$C$9,Summary!$D$31&lt;&gt;"Included Margin"),0,1),0))</f>
        <v/>
      </c>
      <c r="AI1345" s="154"/>
      <c r="AJ1345" s="158" t="str">
        <f t="shared" si="844"/>
        <v/>
      </c>
      <c r="AK1345" s="150" t="str">
        <f t="shared" si="845"/>
        <v/>
      </c>
      <c r="AL1345" s="147" t="str">
        <f t="shared" si="846"/>
        <v/>
      </c>
      <c r="AM1345" s="147" t="str">
        <f t="shared" si="834"/>
        <v/>
      </c>
      <c r="AN1345" s="160" t="str">
        <f t="shared" si="847"/>
        <v/>
      </c>
      <c r="AO1345" s="161" t="str">
        <f t="shared" si="848"/>
        <v/>
      </c>
      <c r="AP1345" s="156" t="str">
        <f t="shared" si="835"/>
        <v/>
      </c>
      <c r="AQ1345" s="152"/>
      <c r="AR1345" s="162" t="str">
        <f t="shared" si="836"/>
        <v/>
      </c>
      <c r="AS1345" s="150" t="str">
        <f t="shared" si="849"/>
        <v/>
      </c>
      <c r="AT1345" s="163" t="str">
        <f t="shared" si="837"/>
        <v/>
      </c>
      <c r="AU1345" s="163" t="str">
        <f t="shared" si="838"/>
        <v/>
      </c>
      <c r="AV1345" s="163" t="str">
        <f t="shared" si="850"/>
        <v/>
      </c>
      <c r="AW1345" s="163" t="str">
        <f t="shared" si="839"/>
        <v/>
      </c>
      <c r="AX1345" s="163" t="str">
        <f t="shared" si="840"/>
        <v/>
      </c>
      <c r="AY1345" s="150" t="str">
        <f t="shared" si="851"/>
        <v/>
      </c>
      <c r="AZ1345" s="150" t="str">
        <f>IF($E1345="","",IF(OR(AND($D1345=Input!$C$6,$C1345=12),$AN1345=1),0,-AS1346+AT1346+AU1346-AV1346-AW1346-AX1346+AZ1346))</f>
        <v/>
      </c>
      <c r="BA1345" s="154" t="str">
        <f t="shared" si="841"/>
        <v/>
      </c>
      <c r="BC1345" s="147" t="str">
        <f t="shared" si="852"/>
        <v/>
      </c>
      <c r="BD1345" s="164" t="str">
        <f>IF(AND($C1344=12,$D1344=Input!$C$6),0,IF($E1345="","",AT1345+(AU1345+BD1346)/(1+$AK1345)*MIN((1-AM1345-AN1345),1)))</f>
        <v/>
      </c>
      <c r="BH1345" s="152"/>
      <c r="BI1345" s="162" t="str">
        <f t="shared" si="860"/>
        <v/>
      </c>
      <c r="BJ1345" s="150" t="str">
        <f t="shared" si="861"/>
        <v/>
      </c>
      <c r="BK1345" s="163" t="str">
        <f t="shared" si="857"/>
        <v/>
      </c>
      <c r="BL1345" s="163" t="str">
        <f t="shared" si="862"/>
        <v/>
      </c>
      <c r="BM1345" s="163" t="str">
        <f t="shared" si="858"/>
        <v/>
      </c>
      <c r="BN1345" s="163" t="str">
        <f t="shared" si="863"/>
        <v/>
      </c>
      <c r="BO1345" s="163" t="str">
        <f t="shared" si="864"/>
        <v/>
      </c>
      <c r="BP1345" s="150" t="str">
        <f t="shared" si="859"/>
        <v/>
      </c>
      <c r="BQ1345" s="150" t="str">
        <f t="shared" si="853"/>
        <v/>
      </c>
      <c r="BR1345" s="154" t="str">
        <f t="shared" si="865"/>
        <v/>
      </c>
      <c r="BT1345" s="147"/>
    </row>
    <row r="1346" spans="1:72" s="150" customFormat="1" x14ac:dyDescent="0.25">
      <c r="A1346" s="150" t="str">
        <f t="shared" si="854"/>
        <v/>
      </c>
      <c r="B1346" s="150" t="str">
        <f t="shared" si="855"/>
        <v/>
      </c>
      <c r="C1346" s="150" t="str">
        <f t="shared" si="856"/>
        <v/>
      </c>
      <c r="D1346" s="150" t="str">
        <f>IF(E1346="","",Input!$C$4+B1346-1)</f>
        <v/>
      </c>
      <c r="E1346" s="150" t="str">
        <f>IF(OR(AND(C1345=12,D1345=Input!$C$6),E1345=""),"",1)</f>
        <v/>
      </c>
      <c r="G1346" s="151" t="str">
        <f>IF(E1346="","",MAX(0,Input!$C$9-B1346))</f>
        <v/>
      </c>
      <c r="H1346" s="152" t="str">
        <f>IF(E1346="","",Input!$C$3)</f>
        <v/>
      </c>
      <c r="I1346" s="153" t="str">
        <f>IF(E1346="","",HLOOKUP($B1346,Input!$C$13:$BT$14,2))</f>
        <v/>
      </c>
      <c r="J1346" s="154"/>
      <c r="K1346" s="150" t="str">
        <f>IF($E1346="","",INDEX(Input!$C$16:$CP$16,1,$B1346))</f>
        <v/>
      </c>
      <c r="L1346" s="150" t="str">
        <f>IF($E1346="","",Input!$C$37)</f>
        <v/>
      </c>
      <c r="M1346" s="150" t="str">
        <f t="shared" si="842"/>
        <v/>
      </c>
      <c r="N1346" s="150" t="str">
        <f t="shared" si="843"/>
        <v/>
      </c>
      <c r="O1346" s="147" t="str">
        <f>IF($E1346="","",MIN(VLOOKUP(IF($B1346&lt;=Input!$C$7,$B1346,26),'Mortality Tables'!$A$41:$CW$67,IF($B1346&lt;=Input!$C$7+1,Input!$C$4+2,$D1346-Input!$C$7+2),0)*IF(B1346&gt;20,Input!$C$22,1)/1000,1))</f>
        <v/>
      </c>
      <c r="P1346" s="147" t="str">
        <f>IF($E1346="","",MIN(VLOOKUP(IF($B1346&lt;=Input!$C$7,$B1346,26),'Mortality Tables'!$A$12:$CW$37,IF($B1346&lt;=Input!$C$7+1,Input!$C$4+2,$D1346-Input!$C$7+2),0)*IF(B1346&gt;20,Input!$C$22,1)/1000,1))</f>
        <v/>
      </c>
      <c r="Q1346" s="155" t="str">
        <f>IF($E1346="","",Input!$C$21)</f>
        <v/>
      </c>
      <c r="R1346" s="159" t="str">
        <f>IF($E1346="","",(1-Q1346)^($F1346-Input!$C$20))</f>
        <v/>
      </c>
      <c r="S1346" s="147" t="str">
        <f t="shared" si="831"/>
        <v/>
      </c>
      <c r="T1346" s="147" t="str">
        <f t="shared" si="832"/>
        <v/>
      </c>
      <c r="U1346" s="160" t="str">
        <f>IF($E1346="","",IF($C1346=12,INDEX(Input!$C$15:$CP$15,1,$B1346),0))</f>
        <v/>
      </c>
      <c r="V1346" s="150" t="str">
        <f>IF(E1346="","",IF(C1346=1,IF($B1346=1,Input!$C$33,Input!$C$34),0))</f>
        <v/>
      </c>
      <c r="W1346" s="156" t="str">
        <f>IF($E1346="","",Input!$C$35)</f>
        <v/>
      </c>
      <c r="X1346" s="156" t="str">
        <f t="shared" si="833"/>
        <v/>
      </c>
      <c r="Y1346" s="154"/>
      <c r="Z1346" s="147" t="str">
        <f>IF($E1346="","",VLOOKUP($D1346,'Mortality Margins &amp; Grading'!$AB$5:$AF$125,3,0)*IF(Summary!$D$25="Included Margin",IF(AND($B1346&gt;Input!$C$9,Summary!$D$31&lt;&gt;"Included Margin"),0,1),0))</f>
        <v/>
      </c>
      <c r="AA1346" s="147" t="str">
        <f>IF($E1346="","",VLOOKUP($D1346,'Mortality Margins &amp; Grading'!$AB$5:$AF$125,5,0)*IF(Summary!$D$25="Included Margin",IF(AND($B1346&gt;Input!$C$9,Summary!$D$31&lt;&gt;"Included Margin"),0,1),0))</f>
        <v/>
      </c>
      <c r="AB1346" s="147" t="str">
        <f>IF($E1346="","",IF(AND($B1346&gt;Input!$C$9,Summary!$D$31&lt;&gt;"Included Margin"),1,IF(Summary!$D$25="Included Margin",VLOOKUP($B1346,'Mortality Margins &amp; Grading'!$AI$5:$AR$125,MATCH('Mortality Margins &amp; Grading'!$AQ$4,'Mortality Margins &amp; Grading'!$AI$4:$AR$4,0),0),1)))</f>
        <v/>
      </c>
      <c r="AC1346" s="154"/>
      <c r="AD1346" s="158" t="str">
        <f>IF(E1346="","",Input!$C$48*IF(Summary!$D$30="Included Margin",IF(AND($B1346&gt;Input!$C$9,Summary!$D$31&lt;&gt;"Included Margin"),0,1),0))</f>
        <v/>
      </c>
      <c r="AE1346" s="159" t="str">
        <f>IF(E1346="","",IF(Summary!$D$26="Included Margin",IF(AND($B1346&gt;Input!$C$9,Summary!$D$31&lt;&gt;"Included Margin"),1,1/$R1346),1))</f>
        <v/>
      </c>
      <c r="AF1346" s="160" t="str">
        <f>IF(E1346="","",IF(AND($B1346&gt;=Input!$C$9,$C1346=12,Summary!$D$31="Included Margin",$U1346&gt;0),1/U1346-1,IF($B1346&gt;=Input!$C$9,0,Input!$C$45*IF(Summary!$D$27="Included Margin",1,0))))</f>
        <v/>
      </c>
      <c r="AG1346" s="160" t="str">
        <f>IF(E1346="","",Input!$C$46*IF(Summary!$D$28="Included Margin",IF(AND($B1346&gt;Input!$C$9,Summary!$D$31&lt;&gt;"Included Margin"),0,1),0))</f>
        <v/>
      </c>
      <c r="AH1346" s="158" t="str">
        <f>IF(E1346="","",Input!$C$47*IF(Summary!$D$29="Included Margin",IF(AND($B1346&gt;Input!$C$9,Summary!$D$31&lt;&gt;"Included Margin"),0,1),0))</f>
        <v/>
      </c>
      <c r="AI1346" s="154"/>
      <c r="AJ1346" s="158" t="str">
        <f t="shared" si="844"/>
        <v/>
      </c>
      <c r="AK1346" s="150" t="str">
        <f t="shared" si="845"/>
        <v/>
      </c>
      <c r="AL1346" s="147" t="str">
        <f t="shared" si="846"/>
        <v/>
      </c>
      <c r="AM1346" s="147" t="str">
        <f t="shared" si="834"/>
        <v/>
      </c>
      <c r="AN1346" s="160" t="str">
        <f t="shared" si="847"/>
        <v/>
      </c>
      <c r="AO1346" s="161" t="str">
        <f t="shared" si="848"/>
        <v/>
      </c>
      <c r="AP1346" s="156" t="str">
        <f t="shared" si="835"/>
        <v/>
      </c>
      <c r="AQ1346" s="152"/>
      <c r="AR1346" s="162" t="str">
        <f t="shared" si="836"/>
        <v/>
      </c>
      <c r="AS1346" s="150" t="str">
        <f t="shared" si="849"/>
        <v/>
      </c>
      <c r="AT1346" s="163" t="str">
        <f t="shared" si="837"/>
        <v/>
      </c>
      <c r="AU1346" s="163" t="str">
        <f t="shared" si="838"/>
        <v/>
      </c>
      <c r="AV1346" s="163" t="str">
        <f t="shared" si="850"/>
        <v/>
      </c>
      <c r="AW1346" s="163" t="str">
        <f t="shared" si="839"/>
        <v/>
      </c>
      <c r="AX1346" s="163" t="str">
        <f t="shared" si="840"/>
        <v/>
      </c>
      <c r="AY1346" s="150" t="str">
        <f t="shared" si="851"/>
        <v/>
      </c>
      <c r="AZ1346" s="150" t="str">
        <f>IF($E1346="","",IF(OR(AND($D1346=Input!$C$6,$C1346=12),$AN1346=1),0,-AS1347+AT1347+AU1347-AV1347-AW1347-AX1347+AZ1347))</f>
        <v/>
      </c>
      <c r="BA1346" s="154" t="str">
        <f t="shared" si="841"/>
        <v/>
      </c>
      <c r="BC1346" s="147" t="str">
        <f t="shared" si="852"/>
        <v/>
      </c>
      <c r="BD1346" s="164" t="str">
        <f>IF(AND($C1345=12,$D1345=Input!$C$6),0,IF($E1346="","",AT1346+(AU1346+BD1347)/(1+$AK1346)*MIN((1-AM1346-AN1346),1)))</f>
        <v/>
      </c>
      <c r="BH1346" s="152"/>
      <c r="BI1346" s="162" t="str">
        <f t="shared" si="860"/>
        <v/>
      </c>
      <c r="BJ1346" s="150" t="str">
        <f t="shared" si="861"/>
        <v/>
      </c>
      <c r="BK1346" s="163" t="str">
        <f t="shared" si="857"/>
        <v/>
      </c>
      <c r="BL1346" s="163" t="str">
        <f t="shared" si="862"/>
        <v/>
      </c>
      <c r="BM1346" s="163" t="str">
        <f t="shared" si="858"/>
        <v/>
      </c>
      <c r="BN1346" s="163" t="str">
        <f t="shared" si="863"/>
        <v/>
      </c>
      <c r="BO1346" s="163" t="str">
        <f t="shared" si="864"/>
        <v/>
      </c>
      <c r="BP1346" s="150" t="str">
        <f t="shared" si="859"/>
        <v/>
      </c>
      <c r="BQ1346" s="150" t="str">
        <f t="shared" si="853"/>
        <v/>
      </c>
      <c r="BR1346" s="154" t="str">
        <f t="shared" si="865"/>
        <v/>
      </c>
      <c r="BT1346" s="147"/>
    </row>
    <row r="1347" spans="1:72" s="150" customFormat="1" x14ac:dyDescent="0.25">
      <c r="A1347" s="150" t="str">
        <f t="shared" si="854"/>
        <v/>
      </c>
      <c r="B1347" s="150" t="str">
        <f t="shared" si="855"/>
        <v/>
      </c>
      <c r="C1347" s="150" t="str">
        <f t="shared" si="856"/>
        <v/>
      </c>
      <c r="D1347" s="150" t="str">
        <f>IF(E1347="","",Input!$C$4+B1347-1)</f>
        <v/>
      </c>
      <c r="E1347" s="150" t="str">
        <f>IF(OR(AND(C1346=12,D1346=Input!$C$6),E1346=""),"",1)</f>
        <v/>
      </c>
      <c r="G1347" s="151" t="str">
        <f>IF(E1347="","",MAX(0,Input!$C$9-B1347))</f>
        <v/>
      </c>
      <c r="H1347" s="152" t="str">
        <f>IF(E1347="","",Input!$C$3)</f>
        <v/>
      </c>
      <c r="I1347" s="153" t="str">
        <f>IF(E1347="","",HLOOKUP($B1347,Input!$C$13:$BT$14,2))</f>
        <v/>
      </c>
      <c r="J1347" s="154"/>
      <c r="K1347" s="150" t="str">
        <f>IF($E1347="","",INDEX(Input!$C$16:$CP$16,1,$B1347))</f>
        <v/>
      </c>
      <c r="L1347" s="150" t="str">
        <f>IF($E1347="","",Input!$C$37)</f>
        <v/>
      </c>
      <c r="M1347" s="150" t="str">
        <f t="shared" si="842"/>
        <v/>
      </c>
      <c r="N1347" s="150" t="str">
        <f t="shared" si="843"/>
        <v/>
      </c>
      <c r="O1347" s="147" t="str">
        <f>IF($E1347="","",MIN(VLOOKUP(IF($B1347&lt;=Input!$C$7,$B1347,26),'Mortality Tables'!$A$41:$CW$67,IF($B1347&lt;=Input!$C$7+1,Input!$C$4+2,$D1347-Input!$C$7+2),0)*IF(B1347&gt;20,Input!$C$22,1)/1000,1))</f>
        <v/>
      </c>
      <c r="P1347" s="147" t="str">
        <f>IF($E1347="","",MIN(VLOOKUP(IF($B1347&lt;=Input!$C$7,$B1347,26),'Mortality Tables'!$A$12:$CW$37,IF($B1347&lt;=Input!$C$7+1,Input!$C$4+2,$D1347-Input!$C$7+2),0)*IF(B1347&gt;20,Input!$C$22,1)/1000,1))</f>
        <v/>
      </c>
      <c r="Q1347" s="155" t="str">
        <f>IF($E1347="","",Input!$C$21)</f>
        <v/>
      </c>
      <c r="R1347" s="159" t="str">
        <f>IF($E1347="","",(1-Q1347)^($F1347-Input!$C$20))</f>
        <v/>
      </c>
      <c r="S1347" s="147" t="str">
        <f t="shared" si="831"/>
        <v/>
      </c>
      <c r="T1347" s="147" t="str">
        <f t="shared" si="832"/>
        <v/>
      </c>
      <c r="U1347" s="160" t="str">
        <f>IF($E1347="","",IF($C1347=12,INDEX(Input!$C$15:$CP$15,1,$B1347),0))</f>
        <v/>
      </c>
      <c r="V1347" s="150" t="str">
        <f>IF(E1347="","",IF(C1347=1,IF($B1347=1,Input!$C$33,Input!$C$34),0))</f>
        <v/>
      </c>
      <c r="W1347" s="156" t="str">
        <f>IF($E1347="","",Input!$C$35)</f>
        <v/>
      </c>
      <c r="X1347" s="156" t="str">
        <f t="shared" si="833"/>
        <v/>
      </c>
      <c r="Y1347" s="154"/>
      <c r="Z1347" s="147" t="str">
        <f>IF($E1347="","",VLOOKUP($D1347,'Mortality Margins &amp; Grading'!$AB$5:$AF$125,3,0)*IF(Summary!$D$25="Included Margin",IF(AND($B1347&gt;Input!$C$9,Summary!$D$31&lt;&gt;"Included Margin"),0,1),0))</f>
        <v/>
      </c>
      <c r="AA1347" s="147" t="str">
        <f>IF($E1347="","",VLOOKUP($D1347,'Mortality Margins &amp; Grading'!$AB$5:$AF$125,5,0)*IF(Summary!$D$25="Included Margin",IF(AND($B1347&gt;Input!$C$9,Summary!$D$31&lt;&gt;"Included Margin"),0,1),0))</f>
        <v/>
      </c>
      <c r="AB1347" s="147" t="str">
        <f>IF($E1347="","",IF(AND($B1347&gt;Input!$C$9,Summary!$D$31&lt;&gt;"Included Margin"),1,IF(Summary!$D$25="Included Margin",VLOOKUP($B1347,'Mortality Margins &amp; Grading'!$AI$5:$AR$125,MATCH('Mortality Margins &amp; Grading'!$AQ$4,'Mortality Margins &amp; Grading'!$AI$4:$AR$4,0),0),1)))</f>
        <v/>
      </c>
      <c r="AC1347" s="154"/>
      <c r="AD1347" s="158" t="str">
        <f>IF(E1347="","",Input!$C$48*IF(Summary!$D$30="Included Margin",IF(AND($B1347&gt;Input!$C$9,Summary!$D$31&lt;&gt;"Included Margin"),0,1),0))</f>
        <v/>
      </c>
      <c r="AE1347" s="159" t="str">
        <f>IF(E1347="","",IF(Summary!$D$26="Included Margin",IF(AND($B1347&gt;Input!$C$9,Summary!$D$31&lt;&gt;"Included Margin"),1,1/$R1347),1))</f>
        <v/>
      </c>
      <c r="AF1347" s="160" t="str">
        <f>IF(E1347="","",IF(AND($B1347&gt;=Input!$C$9,$C1347=12,Summary!$D$31="Included Margin",$U1347&gt;0),1/U1347-1,IF($B1347&gt;=Input!$C$9,0,Input!$C$45*IF(Summary!$D$27="Included Margin",1,0))))</f>
        <v/>
      </c>
      <c r="AG1347" s="160" t="str">
        <f>IF(E1347="","",Input!$C$46*IF(Summary!$D$28="Included Margin",IF(AND($B1347&gt;Input!$C$9,Summary!$D$31&lt;&gt;"Included Margin"),0,1),0))</f>
        <v/>
      </c>
      <c r="AH1347" s="158" t="str">
        <f>IF(E1347="","",Input!$C$47*IF(Summary!$D$29="Included Margin",IF(AND($B1347&gt;Input!$C$9,Summary!$D$31&lt;&gt;"Included Margin"),0,1),0))</f>
        <v/>
      </c>
      <c r="AI1347" s="154"/>
      <c r="AJ1347" s="158" t="str">
        <f t="shared" si="844"/>
        <v/>
      </c>
      <c r="AK1347" s="150" t="str">
        <f t="shared" si="845"/>
        <v/>
      </c>
      <c r="AL1347" s="147" t="str">
        <f t="shared" si="846"/>
        <v/>
      </c>
      <c r="AM1347" s="147" t="str">
        <f t="shared" si="834"/>
        <v/>
      </c>
      <c r="AN1347" s="160" t="str">
        <f t="shared" si="847"/>
        <v/>
      </c>
      <c r="AO1347" s="161" t="str">
        <f t="shared" si="848"/>
        <v/>
      </c>
      <c r="AP1347" s="156" t="str">
        <f t="shared" si="835"/>
        <v/>
      </c>
      <c r="AQ1347" s="152"/>
      <c r="AR1347" s="162" t="str">
        <f t="shared" si="836"/>
        <v/>
      </c>
      <c r="AS1347" s="150" t="str">
        <f t="shared" si="849"/>
        <v/>
      </c>
      <c r="AT1347" s="163" t="str">
        <f t="shared" si="837"/>
        <v/>
      </c>
      <c r="AU1347" s="163" t="str">
        <f t="shared" si="838"/>
        <v/>
      </c>
      <c r="AV1347" s="163" t="str">
        <f t="shared" si="850"/>
        <v/>
      </c>
      <c r="AW1347" s="163" t="str">
        <f t="shared" si="839"/>
        <v/>
      </c>
      <c r="AX1347" s="163" t="str">
        <f t="shared" si="840"/>
        <v/>
      </c>
      <c r="AY1347" s="150" t="str">
        <f t="shared" si="851"/>
        <v/>
      </c>
      <c r="AZ1347" s="150" t="str">
        <f>IF($E1347="","",IF(OR(AND($D1347=Input!$C$6,$C1347=12),$AN1347=1),0,-AS1348+AT1348+AU1348-AV1348-AW1348-AX1348+AZ1348))</f>
        <v/>
      </c>
      <c r="BA1347" s="154" t="str">
        <f t="shared" si="841"/>
        <v/>
      </c>
      <c r="BC1347" s="147" t="str">
        <f t="shared" si="852"/>
        <v/>
      </c>
      <c r="BD1347" s="164" t="str">
        <f>IF(AND($C1346=12,$D1346=Input!$C$6),0,IF($E1347="","",AT1347+(AU1347+BD1348)/(1+$AK1347)*MIN((1-AM1347-AN1347),1)))</f>
        <v/>
      </c>
      <c r="BH1347" s="152"/>
      <c r="BI1347" s="162" t="str">
        <f t="shared" si="860"/>
        <v/>
      </c>
      <c r="BJ1347" s="150" t="str">
        <f t="shared" si="861"/>
        <v/>
      </c>
      <c r="BK1347" s="163" t="str">
        <f t="shared" si="857"/>
        <v/>
      </c>
      <c r="BL1347" s="163" t="str">
        <f t="shared" si="862"/>
        <v/>
      </c>
      <c r="BM1347" s="163" t="str">
        <f t="shared" si="858"/>
        <v/>
      </c>
      <c r="BN1347" s="163" t="str">
        <f t="shared" si="863"/>
        <v/>
      </c>
      <c r="BO1347" s="163" t="str">
        <f t="shared" si="864"/>
        <v/>
      </c>
      <c r="BP1347" s="150" t="str">
        <f t="shared" si="859"/>
        <v/>
      </c>
      <c r="BQ1347" s="150" t="str">
        <f t="shared" si="853"/>
        <v/>
      </c>
      <c r="BR1347" s="154" t="str">
        <f t="shared" si="865"/>
        <v/>
      </c>
      <c r="BT1347" s="147"/>
    </row>
    <row r="1348" spans="1:72" s="150" customFormat="1" x14ac:dyDescent="0.25">
      <c r="A1348" s="150" t="str">
        <f t="shared" si="854"/>
        <v/>
      </c>
      <c r="B1348" s="150" t="str">
        <f t="shared" si="855"/>
        <v/>
      </c>
      <c r="C1348" s="150" t="str">
        <f t="shared" si="856"/>
        <v/>
      </c>
      <c r="D1348" s="150" t="str">
        <f>IF(E1348="","",Input!$C$4+B1348-1)</f>
        <v/>
      </c>
      <c r="E1348" s="150" t="str">
        <f>IF(OR(AND(C1347=12,D1347=Input!$C$6),E1347=""),"",1)</f>
        <v/>
      </c>
      <c r="G1348" s="151" t="str">
        <f>IF(E1348="","",MAX(0,Input!$C$9-B1348))</f>
        <v/>
      </c>
      <c r="H1348" s="152" t="str">
        <f>IF(E1348="","",Input!$C$3)</f>
        <v/>
      </c>
      <c r="I1348" s="153" t="str">
        <f>IF(E1348="","",HLOOKUP($B1348,Input!$C$13:$BT$14,2))</f>
        <v/>
      </c>
      <c r="J1348" s="154"/>
      <c r="K1348" s="150" t="str">
        <f>IF($E1348="","",INDEX(Input!$C$16:$CP$16,1,$B1348))</f>
        <v/>
      </c>
      <c r="L1348" s="150" t="str">
        <f>IF($E1348="","",Input!$C$37)</f>
        <v/>
      </c>
      <c r="M1348" s="150" t="str">
        <f t="shared" si="842"/>
        <v/>
      </c>
      <c r="N1348" s="150" t="str">
        <f t="shared" si="843"/>
        <v/>
      </c>
      <c r="O1348" s="147" t="str">
        <f>IF($E1348="","",MIN(VLOOKUP(IF($B1348&lt;=Input!$C$7,$B1348,26),'Mortality Tables'!$A$41:$CW$67,IF($B1348&lt;=Input!$C$7+1,Input!$C$4+2,$D1348-Input!$C$7+2),0)*IF(B1348&gt;20,Input!$C$22,1)/1000,1))</f>
        <v/>
      </c>
      <c r="P1348" s="147" t="str">
        <f>IF($E1348="","",MIN(VLOOKUP(IF($B1348&lt;=Input!$C$7,$B1348,26),'Mortality Tables'!$A$12:$CW$37,IF($B1348&lt;=Input!$C$7+1,Input!$C$4+2,$D1348-Input!$C$7+2),0)*IF(B1348&gt;20,Input!$C$22,1)/1000,1))</f>
        <v/>
      </c>
      <c r="Q1348" s="155" t="str">
        <f>IF($E1348="","",Input!$C$21)</f>
        <v/>
      </c>
      <c r="R1348" s="159" t="str">
        <f>IF($E1348="","",(1-Q1348)^($F1348-Input!$C$20))</f>
        <v/>
      </c>
      <c r="S1348" s="147" t="str">
        <f t="shared" si="831"/>
        <v/>
      </c>
      <c r="T1348" s="147" t="str">
        <f t="shared" si="832"/>
        <v/>
      </c>
      <c r="U1348" s="160" t="str">
        <f>IF($E1348="","",IF($C1348=12,INDEX(Input!$C$15:$CP$15,1,$B1348),0))</f>
        <v/>
      </c>
      <c r="V1348" s="150" t="str">
        <f>IF(E1348="","",IF(C1348=1,IF($B1348=1,Input!$C$33,Input!$C$34),0))</f>
        <v/>
      </c>
      <c r="W1348" s="156" t="str">
        <f>IF($E1348="","",Input!$C$35)</f>
        <v/>
      </c>
      <c r="X1348" s="156" t="str">
        <f t="shared" si="833"/>
        <v/>
      </c>
      <c r="Y1348" s="154"/>
      <c r="Z1348" s="147" t="str">
        <f>IF($E1348="","",VLOOKUP($D1348,'Mortality Margins &amp; Grading'!$AB$5:$AF$125,3,0)*IF(Summary!$D$25="Included Margin",IF(AND($B1348&gt;Input!$C$9,Summary!$D$31&lt;&gt;"Included Margin"),0,1),0))</f>
        <v/>
      </c>
      <c r="AA1348" s="147" t="str">
        <f>IF($E1348="","",VLOOKUP($D1348,'Mortality Margins &amp; Grading'!$AB$5:$AF$125,5,0)*IF(Summary!$D$25="Included Margin",IF(AND($B1348&gt;Input!$C$9,Summary!$D$31&lt;&gt;"Included Margin"),0,1),0))</f>
        <v/>
      </c>
      <c r="AB1348" s="147" t="str">
        <f>IF($E1348="","",IF(AND($B1348&gt;Input!$C$9,Summary!$D$31&lt;&gt;"Included Margin"),1,IF(Summary!$D$25="Included Margin",VLOOKUP($B1348,'Mortality Margins &amp; Grading'!$AI$5:$AR$125,MATCH('Mortality Margins &amp; Grading'!$AQ$4,'Mortality Margins &amp; Grading'!$AI$4:$AR$4,0),0),1)))</f>
        <v/>
      </c>
      <c r="AC1348" s="154"/>
      <c r="AD1348" s="158" t="str">
        <f>IF(E1348="","",Input!$C$48*IF(Summary!$D$30="Included Margin",IF(AND($B1348&gt;Input!$C$9,Summary!$D$31&lt;&gt;"Included Margin"),0,1),0))</f>
        <v/>
      </c>
      <c r="AE1348" s="159" t="str">
        <f>IF(E1348="","",IF(Summary!$D$26="Included Margin",IF(AND($B1348&gt;Input!$C$9,Summary!$D$31&lt;&gt;"Included Margin"),1,1/$R1348),1))</f>
        <v/>
      </c>
      <c r="AF1348" s="160" t="str">
        <f>IF(E1348="","",IF(AND($B1348&gt;=Input!$C$9,$C1348=12,Summary!$D$31="Included Margin",$U1348&gt;0),1/U1348-1,IF($B1348&gt;=Input!$C$9,0,Input!$C$45*IF(Summary!$D$27="Included Margin",1,0))))</f>
        <v/>
      </c>
      <c r="AG1348" s="160" t="str">
        <f>IF(E1348="","",Input!$C$46*IF(Summary!$D$28="Included Margin",IF(AND($B1348&gt;Input!$C$9,Summary!$D$31&lt;&gt;"Included Margin"),0,1),0))</f>
        <v/>
      </c>
      <c r="AH1348" s="158" t="str">
        <f>IF(E1348="","",Input!$C$47*IF(Summary!$D$29="Included Margin",IF(AND($B1348&gt;Input!$C$9,Summary!$D$31&lt;&gt;"Included Margin"),0,1),0))</f>
        <v/>
      </c>
      <c r="AI1348" s="154"/>
      <c r="AJ1348" s="158" t="str">
        <f t="shared" si="844"/>
        <v/>
      </c>
      <c r="AK1348" s="150" t="str">
        <f t="shared" si="845"/>
        <v/>
      </c>
      <c r="AL1348" s="147" t="str">
        <f t="shared" si="846"/>
        <v/>
      </c>
      <c r="AM1348" s="147" t="str">
        <f t="shared" si="834"/>
        <v/>
      </c>
      <c r="AN1348" s="160" t="str">
        <f t="shared" si="847"/>
        <v/>
      </c>
      <c r="AO1348" s="161" t="str">
        <f t="shared" si="848"/>
        <v/>
      </c>
      <c r="AP1348" s="156" t="str">
        <f t="shared" si="835"/>
        <v/>
      </c>
      <c r="AQ1348" s="152"/>
      <c r="AR1348" s="162" t="str">
        <f t="shared" si="836"/>
        <v/>
      </c>
      <c r="AS1348" s="150" t="str">
        <f t="shared" si="849"/>
        <v/>
      </c>
      <c r="AT1348" s="163" t="str">
        <f t="shared" si="837"/>
        <v/>
      </c>
      <c r="AU1348" s="163" t="str">
        <f t="shared" si="838"/>
        <v/>
      </c>
      <c r="AV1348" s="163" t="str">
        <f t="shared" si="850"/>
        <v/>
      </c>
      <c r="AW1348" s="163" t="str">
        <f t="shared" si="839"/>
        <v/>
      </c>
      <c r="AX1348" s="163" t="str">
        <f t="shared" si="840"/>
        <v/>
      </c>
      <c r="AY1348" s="150" t="str">
        <f t="shared" si="851"/>
        <v/>
      </c>
      <c r="AZ1348" s="150" t="str">
        <f>IF($E1348="","",IF(OR(AND($D1348=Input!$C$6,$C1348=12),$AN1348=1),0,-AS1349+AT1349+AU1349-AV1349-AW1349-AX1349+AZ1349))</f>
        <v/>
      </c>
      <c r="BA1348" s="154" t="str">
        <f t="shared" si="841"/>
        <v/>
      </c>
      <c r="BC1348" s="147" t="str">
        <f t="shared" si="852"/>
        <v/>
      </c>
      <c r="BD1348" s="164" t="str">
        <f>IF(AND($C1347=12,$D1347=Input!$C$6),0,IF($E1348="","",AT1348+(AU1348+BD1349)/(1+$AK1348)*MIN((1-AM1348-AN1348),1)))</f>
        <v/>
      </c>
      <c r="BH1348" s="152"/>
      <c r="BI1348" s="162" t="str">
        <f t="shared" si="860"/>
        <v/>
      </c>
      <c r="BJ1348" s="150" t="str">
        <f t="shared" si="861"/>
        <v/>
      </c>
      <c r="BK1348" s="163" t="str">
        <f t="shared" si="857"/>
        <v/>
      </c>
      <c r="BL1348" s="163" t="str">
        <f t="shared" si="862"/>
        <v/>
      </c>
      <c r="BM1348" s="163" t="str">
        <f t="shared" si="858"/>
        <v/>
      </c>
      <c r="BN1348" s="163" t="str">
        <f t="shared" si="863"/>
        <v/>
      </c>
      <c r="BO1348" s="163" t="str">
        <f t="shared" si="864"/>
        <v/>
      </c>
      <c r="BP1348" s="150" t="str">
        <f t="shared" si="859"/>
        <v/>
      </c>
      <c r="BQ1348" s="150" t="str">
        <f t="shared" si="853"/>
        <v/>
      </c>
      <c r="BR1348" s="154" t="str">
        <f t="shared" si="865"/>
        <v/>
      </c>
      <c r="BT1348" s="147"/>
    </row>
    <row r="1349" spans="1:72" s="150" customFormat="1" x14ac:dyDescent="0.25">
      <c r="A1349" s="150" t="str">
        <f t="shared" si="854"/>
        <v/>
      </c>
      <c r="B1349" s="150" t="str">
        <f t="shared" si="855"/>
        <v/>
      </c>
      <c r="C1349" s="150" t="str">
        <f t="shared" si="856"/>
        <v/>
      </c>
      <c r="D1349" s="150" t="str">
        <f>IF(E1349="","",Input!$C$4+B1349-1)</f>
        <v/>
      </c>
      <c r="E1349" s="150" t="str">
        <f>IF(OR(AND(C1348=12,D1348=Input!$C$6),E1348=""),"",1)</f>
        <v/>
      </c>
      <c r="G1349" s="151" t="str">
        <f>IF(E1349="","",MAX(0,Input!$C$9-B1349))</f>
        <v/>
      </c>
      <c r="H1349" s="152" t="str">
        <f>IF(E1349="","",Input!$C$3)</f>
        <v/>
      </c>
      <c r="I1349" s="153" t="str">
        <f>IF(E1349="","",HLOOKUP($B1349,Input!$C$13:$BT$14,2))</f>
        <v/>
      </c>
      <c r="J1349" s="154"/>
      <c r="K1349" s="150" t="str">
        <f>IF($E1349="","",INDEX(Input!$C$16:$CP$16,1,$B1349))</f>
        <v/>
      </c>
      <c r="L1349" s="150" t="str">
        <f>IF($E1349="","",Input!$C$37)</f>
        <v/>
      </c>
      <c r="M1349" s="150" t="str">
        <f t="shared" si="842"/>
        <v/>
      </c>
      <c r="N1349" s="150" t="str">
        <f t="shared" si="843"/>
        <v/>
      </c>
      <c r="O1349" s="147" t="str">
        <f>IF($E1349="","",MIN(VLOOKUP(IF($B1349&lt;=Input!$C$7,$B1349,26),'Mortality Tables'!$A$41:$CW$67,IF($B1349&lt;=Input!$C$7+1,Input!$C$4+2,$D1349-Input!$C$7+2),0)*IF(B1349&gt;20,Input!$C$22,1)/1000,1))</f>
        <v/>
      </c>
      <c r="P1349" s="147" t="str">
        <f>IF($E1349="","",MIN(VLOOKUP(IF($B1349&lt;=Input!$C$7,$B1349,26),'Mortality Tables'!$A$12:$CW$37,IF($B1349&lt;=Input!$C$7+1,Input!$C$4+2,$D1349-Input!$C$7+2),0)*IF(B1349&gt;20,Input!$C$22,1)/1000,1))</f>
        <v/>
      </c>
      <c r="Q1349" s="155" t="str">
        <f>IF($E1349="","",Input!$C$21)</f>
        <v/>
      </c>
      <c r="R1349" s="159" t="str">
        <f>IF($E1349="","",(1-Q1349)^($F1349-Input!$C$20))</f>
        <v/>
      </c>
      <c r="S1349" s="147" t="str">
        <f t="shared" ref="S1349:S1412" si="866">IF($E1349="","",MIN(O1349*R1349,1))</f>
        <v/>
      </c>
      <c r="T1349" s="147" t="str">
        <f t="shared" ref="T1349:T1412" si="867">IF($E1349="","",1-(1-S1349)^(1/12))</f>
        <v/>
      </c>
      <c r="U1349" s="160" t="str">
        <f>IF($E1349="","",IF($C1349=12,INDEX(Input!$C$15:$CP$15,1,$B1349),0))</f>
        <v/>
      </c>
      <c r="V1349" s="150" t="str">
        <f>IF(E1349="","",IF(C1349=1,IF($B1349=1,Input!$C$33,Input!$C$34),0))</f>
        <v/>
      </c>
      <c r="W1349" s="156" t="str">
        <f>IF($E1349="","",Input!$C$35)</f>
        <v/>
      </c>
      <c r="X1349" s="156" t="str">
        <f t="shared" ref="X1349:X1412" si="868">IF($E1349="","",IF(B1349=1,1,IF(C1349=1,(1+W1349)*X1348,X1348)))</f>
        <v/>
      </c>
      <c r="Y1349" s="154"/>
      <c r="Z1349" s="147" t="str">
        <f>IF($E1349="","",VLOOKUP($D1349,'Mortality Margins &amp; Grading'!$AB$5:$AF$125,3,0)*IF(Summary!$D$25="Included Margin",IF(AND($B1349&gt;Input!$C$9,Summary!$D$31&lt;&gt;"Included Margin"),0,1),0))</f>
        <v/>
      </c>
      <c r="AA1349" s="147" t="str">
        <f>IF($E1349="","",VLOOKUP($D1349,'Mortality Margins &amp; Grading'!$AB$5:$AF$125,5,0)*IF(Summary!$D$25="Included Margin",IF(AND($B1349&gt;Input!$C$9,Summary!$D$31&lt;&gt;"Included Margin"),0,1),0))</f>
        <v/>
      </c>
      <c r="AB1349" s="147" t="str">
        <f>IF($E1349="","",IF(AND($B1349&gt;Input!$C$9,Summary!$D$31&lt;&gt;"Included Margin"),1,IF(Summary!$D$25="Included Margin",VLOOKUP($B1349,'Mortality Margins &amp; Grading'!$AI$5:$AR$125,MATCH('Mortality Margins &amp; Grading'!$AQ$4,'Mortality Margins &amp; Grading'!$AI$4:$AR$4,0),0),1)))</f>
        <v/>
      </c>
      <c r="AC1349" s="154"/>
      <c r="AD1349" s="158" t="str">
        <f>IF(E1349="","",Input!$C$48*IF(Summary!$D$30="Included Margin",IF(AND($B1349&gt;Input!$C$9,Summary!$D$31&lt;&gt;"Included Margin"),0,1),0))</f>
        <v/>
      </c>
      <c r="AE1349" s="159" t="str">
        <f>IF(E1349="","",IF(Summary!$D$26="Included Margin",IF(AND($B1349&gt;Input!$C$9,Summary!$D$31&lt;&gt;"Included Margin"),1,1/$R1349),1))</f>
        <v/>
      </c>
      <c r="AF1349" s="160" t="str">
        <f>IF(E1349="","",IF(AND($B1349&gt;=Input!$C$9,$C1349=12,Summary!$D$31="Included Margin",$U1349&gt;0),1/U1349-1,IF($B1349&gt;=Input!$C$9,0,Input!$C$45*IF(Summary!$D$27="Included Margin",1,0))))</f>
        <v/>
      </c>
      <c r="AG1349" s="160" t="str">
        <f>IF(E1349="","",Input!$C$46*IF(Summary!$D$28="Included Margin",IF(AND($B1349&gt;Input!$C$9,Summary!$D$31&lt;&gt;"Included Margin"),0,1),0))</f>
        <v/>
      </c>
      <c r="AH1349" s="158" t="str">
        <f>IF(E1349="","",Input!$C$47*IF(Summary!$D$29="Included Margin",IF(AND($B1349&gt;Input!$C$9,Summary!$D$31&lt;&gt;"Included Margin"),0,1),0))</f>
        <v/>
      </c>
      <c r="AI1349" s="154"/>
      <c r="AJ1349" s="158" t="str">
        <f t="shared" si="844"/>
        <v/>
      </c>
      <c r="AK1349" s="150" t="str">
        <f t="shared" si="845"/>
        <v/>
      </c>
      <c r="AL1349" s="147" t="str">
        <f t="shared" si="846"/>
        <v/>
      </c>
      <c r="AM1349" s="147" t="str">
        <f t="shared" ref="AM1349:AM1412" si="869">IF($E1349="","",1-(1-AL1349)^(1/12))</f>
        <v/>
      </c>
      <c r="AN1349" s="160" t="str">
        <f t="shared" si="847"/>
        <v/>
      </c>
      <c r="AO1349" s="161" t="str">
        <f t="shared" si="848"/>
        <v/>
      </c>
      <c r="AP1349" s="156" t="str">
        <f t="shared" ref="AP1349:AP1412" si="870">IF($E1349="","",IF(B1349=1,1,IF(C1349=1,(1+$W1349+$AH1349)*AP1348,AP1348)))</f>
        <v/>
      </c>
      <c r="AQ1349" s="152"/>
      <c r="AR1349" s="162" t="str">
        <f t="shared" ref="AR1349:AR1412" si="871">IF($E1349="","",(AZ1349*(1-$AN1349)*(1-$AM1349)/(1+$AK1349)+AU1349/(1+$AK1349/2)-AS1349+AT1349))</f>
        <v/>
      </c>
      <c r="AS1349" s="150" t="str">
        <f t="shared" si="849"/>
        <v/>
      </c>
      <c r="AT1349" s="163" t="str">
        <f t="shared" ref="AT1349:AT1412" si="872">IF($E1349="","",$AO1349*$AP1349)</f>
        <v/>
      </c>
      <c r="AU1349" s="163" t="str">
        <f t="shared" ref="AU1349:AU1412" si="873">IF($E1349="","",$AM1349*$H1349)</f>
        <v/>
      </c>
      <c r="AV1349" s="163" t="str">
        <f t="shared" si="850"/>
        <v/>
      </c>
      <c r="AW1349" s="163" t="str">
        <f t="shared" ref="AW1349:AW1412" si="874">IF($E1349="","",AZ1349*$AM1349)</f>
        <v/>
      </c>
      <c r="AX1349" s="163" t="str">
        <f t="shared" ref="AX1349:AX1412" si="875">IF($E1349="","",$AN1349*AZ1349*(1-$AM1349))</f>
        <v/>
      </c>
      <c r="AY1349" s="150" t="str">
        <f t="shared" si="851"/>
        <v/>
      </c>
      <c r="AZ1349" s="150" t="str">
        <f>IF($E1349="","",IF(OR(AND($D1349=Input!$C$6,$C1349=12),$AN1349=1),0,-AS1350+AT1350+AU1350-AV1350-AW1350-AX1350+AZ1350))</f>
        <v/>
      </c>
      <c r="BA1349" s="154" t="str">
        <f t="shared" ref="BA1349:BA1412" si="876">IF(E1349="","",AZ1349-AY1349)</f>
        <v/>
      </c>
      <c r="BC1349" s="147" t="str">
        <f t="shared" si="852"/>
        <v/>
      </c>
      <c r="BD1349" s="164" t="str">
        <f>IF(AND($C1348=12,$D1348=Input!$C$6),0,IF($E1349="","",AT1349+(AU1349+BD1350)/(1+$AK1349)*MIN((1-AM1349-AN1349),1)))</f>
        <v/>
      </c>
      <c r="BH1349" s="152"/>
      <c r="BI1349" s="162" t="str">
        <f t="shared" si="860"/>
        <v/>
      </c>
      <c r="BJ1349" s="150" t="str">
        <f t="shared" si="861"/>
        <v/>
      </c>
      <c r="BK1349" s="163" t="str">
        <f t="shared" si="857"/>
        <v/>
      </c>
      <c r="BL1349" s="163" t="str">
        <f t="shared" si="862"/>
        <v/>
      </c>
      <c r="BM1349" s="163" t="str">
        <f t="shared" si="858"/>
        <v/>
      </c>
      <c r="BN1349" s="163" t="str">
        <f t="shared" si="863"/>
        <v/>
      </c>
      <c r="BO1349" s="163" t="str">
        <f t="shared" si="864"/>
        <v/>
      </c>
      <c r="BP1349" s="150" t="str">
        <f t="shared" si="859"/>
        <v/>
      </c>
      <c r="BQ1349" s="150" t="str">
        <f t="shared" si="853"/>
        <v/>
      </c>
      <c r="BR1349" s="154" t="str">
        <f t="shared" si="865"/>
        <v/>
      </c>
      <c r="BT1349" s="147"/>
    </row>
    <row r="1350" spans="1:72" s="150" customFormat="1" x14ac:dyDescent="0.25">
      <c r="A1350" s="150" t="str">
        <f t="shared" si="854"/>
        <v/>
      </c>
      <c r="B1350" s="150" t="str">
        <f t="shared" si="855"/>
        <v/>
      </c>
      <c r="C1350" s="150" t="str">
        <f t="shared" si="856"/>
        <v/>
      </c>
      <c r="D1350" s="150" t="str">
        <f>IF(E1350="","",Input!$C$4+B1350-1)</f>
        <v/>
      </c>
      <c r="E1350" s="150" t="str">
        <f>IF(OR(AND(C1349=12,D1349=Input!$C$6),E1349=""),"",1)</f>
        <v/>
      </c>
      <c r="G1350" s="151" t="str">
        <f>IF(E1350="","",MAX(0,Input!$C$9-B1350))</f>
        <v/>
      </c>
      <c r="H1350" s="152" t="str">
        <f>IF(E1350="","",Input!$C$3)</f>
        <v/>
      </c>
      <c r="I1350" s="153" t="str">
        <f>IF(E1350="","",HLOOKUP($B1350,Input!$C$13:$BT$14,2))</f>
        <v/>
      </c>
      <c r="J1350" s="154"/>
      <c r="K1350" s="150" t="str">
        <f>IF($E1350="","",INDEX(Input!$C$16:$CP$16,1,$B1350))</f>
        <v/>
      </c>
      <c r="L1350" s="150" t="str">
        <f>IF($E1350="","",Input!$C$37)</f>
        <v/>
      </c>
      <c r="M1350" s="150" t="str">
        <f t="shared" ref="M1350:M1413" si="877">IF($E1350="","",K1350+L1350)</f>
        <v/>
      </c>
      <c r="N1350" s="150" t="str">
        <f t="shared" ref="N1350:N1413" si="878">IF($E1350="","",(1+M1350)^(1/12)-1)</f>
        <v/>
      </c>
      <c r="O1350" s="147" t="str">
        <f>IF($E1350="","",MIN(VLOOKUP(IF($B1350&lt;=Input!$C$7,$B1350,26),'Mortality Tables'!$A$41:$CW$67,IF($B1350&lt;=Input!$C$7+1,Input!$C$4+2,$D1350-Input!$C$7+2),0)*IF(B1350&gt;20,Input!$C$22,1)/1000,1))</f>
        <v/>
      </c>
      <c r="P1350" s="147" t="str">
        <f>IF($E1350="","",MIN(VLOOKUP(IF($B1350&lt;=Input!$C$7,$B1350,26),'Mortality Tables'!$A$12:$CW$37,IF($B1350&lt;=Input!$C$7+1,Input!$C$4+2,$D1350-Input!$C$7+2),0)*IF(B1350&gt;20,Input!$C$22,1)/1000,1))</f>
        <v/>
      </c>
      <c r="Q1350" s="155" t="str">
        <f>IF($E1350="","",Input!$C$21)</f>
        <v/>
      </c>
      <c r="R1350" s="159" t="str">
        <f>IF($E1350="","",(1-Q1350)^($F1350-Input!$C$20))</f>
        <v/>
      </c>
      <c r="S1350" s="147" t="str">
        <f t="shared" si="866"/>
        <v/>
      </c>
      <c r="T1350" s="147" t="str">
        <f t="shared" si="867"/>
        <v/>
      </c>
      <c r="U1350" s="160" t="str">
        <f>IF($E1350="","",IF($C1350=12,INDEX(Input!$C$15:$CP$15,1,$B1350),0))</f>
        <v/>
      </c>
      <c r="V1350" s="150" t="str">
        <f>IF(E1350="","",IF(C1350=1,IF($B1350=1,Input!$C$33,Input!$C$34),0))</f>
        <v/>
      </c>
      <c r="W1350" s="156" t="str">
        <f>IF($E1350="","",Input!$C$35)</f>
        <v/>
      </c>
      <c r="X1350" s="156" t="str">
        <f t="shared" si="868"/>
        <v/>
      </c>
      <c r="Y1350" s="154"/>
      <c r="Z1350" s="147" t="str">
        <f>IF($E1350="","",VLOOKUP($D1350,'Mortality Margins &amp; Grading'!$AB$5:$AF$125,3,0)*IF(Summary!$D$25="Included Margin",IF(AND($B1350&gt;Input!$C$9,Summary!$D$31&lt;&gt;"Included Margin"),0,1),0))</f>
        <v/>
      </c>
      <c r="AA1350" s="147" t="str">
        <f>IF($E1350="","",VLOOKUP($D1350,'Mortality Margins &amp; Grading'!$AB$5:$AF$125,5,0)*IF(Summary!$D$25="Included Margin",IF(AND($B1350&gt;Input!$C$9,Summary!$D$31&lt;&gt;"Included Margin"),0,1),0))</f>
        <v/>
      </c>
      <c r="AB1350" s="147" t="str">
        <f>IF($E1350="","",IF(AND($B1350&gt;Input!$C$9,Summary!$D$31&lt;&gt;"Included Margin"),1,IF(Summary!$D$25="Included Margin",VLOOKUP($B1350,'Mortality Margins &amp; Grading'!$AI$5:$AR$125,MATCH('Mortality Margins &amp; Grading'!$AQ$4,'Mortality Margins &amp; Grading'!$AI$4:$AR$4,0),0),1)))</f>
        <v/>
      </c>
      <c r="AC1350" s="154"/>
      <c r="AD1350" s="158" t="str">
        <f>IF(E1350="","",Input!$C$48*IF(Summary!$D$30="Included Margin",IF(AND($B1350&gt;Input!$C$9,Summary!$D$31&lt;&gt;"Included Margin"),0,1),0))</f>
        <v/>
      </c>
      <c r="AE1350" s="159" t="str">
        <f>IF(E1350="","",IF(Summary!$D$26="Included Margin",IF(AND($B1350&gt;Input!$C$9,Summary!$D$31&lt;&gt;"Included Margin"),1,1/$R1350),1))</f>
        <v/>
      </c>
      <c r="AF1350" s="160" t="str">
        <f>IF(E1350="","",IF(AND($B1350&gt;=Input!$C$9,$C1350=12,Summary!$D$31="Included Margin",$U1350&gt;0),1/U1350-1,IF($B1350&gt;=Input!$C$9,0,Input!$C$45*IF(Summary!$D$27="Included Margin",1,0))))</f>
        <v/>
      </c>
      <c r="AG1350" s="160" t="str">
        <f>IF(E1350="","",Input!$C$46*IF(Summary!$D$28="Included Margin",IF(AND($B1350&gt;Input!$C$9,Summary!$D$31&lt;&gt;"Included Margin"),0,1),0))</f>
        <v/>
      </c>
      <c r="AH1350" s="158" t="str">
        <f>IF(E1350="","",Input!$C$47*IF(Summary!$D$29="Included Margin",IF(AND($B1350&gt;Input!$C$9,Summary!$D$31&lt;&gt;"Included Margin"),0,1),0))</f>
        <v/>
      </c>
      <c r="AI1350" s="154"/>
      <c r="AJ1350" s="158" t="str">
        <f t="shared" ref="AJ1350:AJ1413" si="879">IF(E1350="","",M1350+AD1350)</f>
        <v/>
      </c>
      <c r="AK1350" s="150" t="str">
        <f t="shared" ref="AK1350:AK1413" si="880">IF(E1350="","",(1+AJ1350)^(1/12)-1)</f>
        <v/>
      </c>
      <c r="AL1350" s="147" t="str">
        <f t="shared" ref="AL1350:AL1413" si="881">IF($E1350="","",MIN(($O1350*(1+$Z1350)*$AB1350+$P1350*(1+$AA1350)*(1-$AB1350))*R1350*AE1350,1))</f>
        <v/>
      </c>
      <c r="AM1350" s="147" t="str">
        <f t="shared" si="869"/>
        <v/>
      </c>
      <c r="AN1350" s="160" t="str">
        <f t="shared" ref="AN1350:AN1413" si="882">IF(E1350="","",IF(U1350=1,1,(1+AF1350)*U1350))</f>
        <v/>
      </c>
      <c r="AO1350" s="161" t="str">
        <f t="shared" ref="AO1350:AO1413" si="883">IF($E1350="","",(1+$AG1350)*$V1350)</f>
        <v/>
      </c>
      <c r="AP1350" s="156" t="str">
        <f t="shared" si="870"/>
        <v/>
      </c>
      <c r="AQ1350" s="152"/>
      <c r="AR1350" s="162" t="str">
        <f t="shared" si="871"/>
        <v/>
      </c>
      <c r="AS1350" s="150" t="str">
        <f t="shared" ref="AS1350:AS1413" si="884">IF($E1350="","",IF($C1350=1,$I1350*$H1350/1000,0))</f>
        <v/>
      </c>
      <c r="AT1350" s="163" t="str">
        <f t="shared" si="872"/>
        <v/>
      </c>
      <c r="AU1350" s="163" t="str">
        <f t="shared" si="873"/>
        <v/>
      </c>
      <c r="AV1350" s="163" t="str">
        <f t="shared" ref="AV1350:AV1413" si="885">IF($E1350="","",(AR1350+AS1350-AT1350-AU1350/2)*$AK1350)</f>
        <v/>
      </c>
      <c r="AW1350" s="163" t="str">
        <f t="shared" si="874"/>
        <v/>
      </c>
      <c r="AX1350" s="163" t="str">
        <f t="shared" si="875"/>
        <v/>
      </c>
      <c r="AY1350" s="150" t="str">
        <f t="shared" ref="AY1350:AY1413" si="886">IF($E1350="","",AR1350+AS1350-AT1350-AU1350+AV1350+AW1350+AX1350)</f>
        <v/>
      </c>
      <c r="AZ1350" s="150" t="str">
        <f>IF($E1350="","",IF(OR(AND($D1350=Input!$C$6,$C1350=12),$AN1350=1),0,-AS1351+AT1351+AU1351-AV1351-AW1351-AX1351+AZ1351))</f>
        <v/>
      </c>
      <c r="BA1350" s="154" t="str">
        <f t="shared" si="876"/>
        <v/>
      </c>
      <c r="BC1350" s="147" t="str">
        <f t="shared" ref="BC1350:BC1413" si="887">IF($E1350="","",MIN(1,(1-T1350-U1350))*BC1349)</f>
        <v/>
      </c>
      <c r="BD1350" s="164" t="str">
        <f>IF(AND($C1349=12,$D1349=Input!$C$6),0,IF($E1350="","",AT1350+(AU1350+BD1351)/(1+$AK1350)*MIN((1-AM1350-AN1350),1)))</f>
        <v/>
      </c>
      <c r="BH1350" s="152"/>
      <c r="BI1350" s="162" t="str">
        <f t="shared" si="860"/>
        <v/>
      </c>
      <c r="BJ1350" s="150" t="str">
        <f t="shared" si="861"/>
        <v/>
      </c>
      <c r="BK1350" s="163" t="str">
        <f t="shared" si="857"/>
        <v/>
      </c>
      <c r="BL1350" s="163" t="str">
        <f t="shared" si="862"/>
        <v/>
      </c>
      <c r="BM1350" s="163" t="str">
        <f t="shared" si="858"/>
        <v/>
      </c>
      <c r="BN1350" s="163" t="str">
        <f t="shared" si="863"/>
        <v/>
      </c>
      <c r="BO1350" s="163" t="str">
        <f t="shared" si="864"/>
        <v/>
      </c>
      <c r="BP1350" s="150" t="str">
        <f t="shared" si="859"/>
        <v/>
      </c>
      <c r="BQ1350" s="150" t="str">
        <f t="shared" ref="BQ1350:BQ1413" si="888">IF($E1350="","",IF($U1350=1,0,-BJ1351+BK1351+BL1351-BM1351-BN1351-BO1351+BQ1351))</f>
        <v/>
      </c>
      <c r="BR1350" s="154" t="str">
        <f t="shared" si="865"/>
        <v/>
      </c>
      <c r="BT1350" s="147"/>
    </row>
    <row r="1351" spans="1:72" s="150" customFormat="1" x14ac:dyDescent="0.25">
      <c r="A1351" s="150" t="str">
        <f t="shared" ref="A1351:A1414" si="889">IF(E1351="","",A1350+1)</f>
        <v/>
      </c>
      <c r="B1351" s="150" t="str">
        <f t="shared" ref="B1351:B1414" si="890">IF(E1351="","",IF(C1350+1&gt;12,B1350+1,B1350))</f>
        <v/>
      </c>
      <c r="C1351" s="150" t="str">
        <f t="shared" ref="C1351:C1414" si="891">IF(E1351="","",IF(C1350+1&gt;12,1,C1350+1))</f>
        <v/>
      </c>
      <c r="D1351" s="150" t="str">
        <f>IF(E1351="","",Input!$C$4+B1351-1)</f>
        <v/>
      </c>
      <c r="E1351" s="150" t="str">
        <f>IF(OR(AND(C1350=12,D1350=Input!$C$6),E1350=""),"",1)</f>
        <v/>
      </c>
      <c r="G1351" s="151" t="str">
        <f>IF(E1351="","",MAX(0,Input!$C$9-B1351))</f>
        <v/>
      </c>
      <c r="H1351" s="152" t="str">
        <f>IF(E1351="","",Input!$C$3)</f>
        <v/>
      </c>
      <c r="I1351" s="153" t="str">
        <f>IF(E1351="","",HLOOKUP($B1351,Input!$C$13:$BT$14,2))</f>
        <v/>
      </c>
      <c r="J1351" s="154"/>
      <c r="K1351" s="150" t="str">
        <f>IF($E1351="","",INDEX(Input!$C$16:$CP$16,1,$B1351))</f>
        <v/>
      </c>
      <c r="L1351" s="150" t="str">
        <f>IF($E1351="","",Input!$C$37)</f>
        <v/>
      </c>
      <c r="M1351" s="150" t="str">
        <f t="shared" si="877"/>
        <v/>
      </c>
      <c r="N1351" s="150" t="str">
        <f t="shared" si="878"/>
        <v/>
      </c>
      <c r="O1351" s="147" t="str">
        <f>IF($E1351="","",MIN(VLOOKUP(IF($B1351&lt;=Input!$C$7,$B1351,26),'Mortality Tables'!$A$41:$CW$67,IF($B1351&lt;=Input!$C$7+1,Input!$C$4+2,$D1351-Input!$C$7+2),0)*IF(B1351&gt;20,Input!$C$22,1)/1000,1))</f>
        <v/>
      </c>
      <c r="P1351" s="147" t="str">
        <f>IF($E1351="","",MIN(VLOOKUP(IF($B1351&lt;=Input!$C$7,$B1351,26),'Mortality Tables'!$A$12:$CW$37,IF($B1351&lt;=Input!$C$7+1,Input!$C$4+2,$D1351-Input!$C$7+2),0)*IF(B1351&gt;20,Input!$C$22,1)/1000,1))</f>
        <v/>
      </c>
      <c r="Q1351" s="155" t="str">
        <f>IF($E1351="","",Input!$C$21)</f>
        <v/>
      </c>
      <c r="R1351" s="159" t="str">
        <f>IF($E1351="","",(1-Q1351)^($F1351-Input!$C$20))</f>
        <v/>
      </c>
      <c r="S1351" s="147" t="str">
        <f t="shared" si="866"/>
        <v/>
      </c>
      <c r="T1351" s="147" t="str">
        <f t="shared" si="867"/>
        <v/>
      </c>
      <c r="U1351" s="160" t="str">
        <f>IF($E1351="","",IF($C1351=12,INDEX(Input!$C$15:$CP$15,1,$B1351),0))</f>
        <v/>
      </c>
      <c r="V1351" s="150" t="str">
        <f>IF(E1351="","",IF(C1351=1,IF($B1351=1,Input!$C$33,Input!$C$34),0))</f>
        <v/>
      </c>
      <c r="W1351" s="156" t="str">
        <f>IF($E1351="","",Input!$C$35)</f>
        <v/>
      </c>
      <c r="X1351" s="156" t="str">
        <f t="shared" si="868"/>
        <v/>
      </c>
      <c r="Y1351" s="154"/>
      <c r="Z1351" s="147" t="str">
        <f>IF($E1351="","",VLOOKUP($D1351,'Mortality Margins &amp; Grading'!$AB$5:$AF$125,3,0)*IF(Summary!$D$25="Included Margin",IF(AND($B1351&gt;Input!$C$9,Summary!$D$31&lt;&gt;"Included Margin"),0,1),0))</f>
        <v/>
      </c>
      <c r="AA1351" s="147" t="str">
        <f>IF($E1351="","",VLOOKUP($D1351,'Mortality Margins &amp; Grading'!$AB$5:$AF$125,5,0)*IF(Summary!$D$25="Included Margin",IF(AND($B1351&gt;Input!$C$9,Summary!$D$31&lt;&gt;"Included Margin"),0,1),0))</f>
        <v/>
      </c>
      <c r="AB1351" s="147" t="str">
        <f>IF($E1351="","",IF(AND($B1351&gt;Input!$C$9,Summary!$D$31&lt;&gt;"Included Margin"),1,IF(Summary!$D$25="Included Margin",VLOOKUP($B1351,'Mortality Margins &amp; Grading'!$AI$5:$AR$125,MATCH('Mortality Margins &amp; Grading'!$AQ$4,'Mortality Margins &amp; Grading'!$AI$4:$AR$4,0),0),1)))</f>
        <v/>
      </c>
      <c r="AC1351" s="154"/>
      <c r="AD1351" s="158" t="str">
        <f>IF(E1351="","",Input!$C$48*IF(Summary!$D$30="Included Margin",IF(AND($B1351&gt;Input!$C$9,Summary!$D$31&lt;&gt;"Included Margin"),0,1),0))</f>
        <v/>
      </c>
      <c r="AE1351" s="159" t="str">
        <f>IF(E1351="","",IF(Summary!$D$26="Included Margin",IF(AND($B1351&gt;Input!$C$9,Summary!$D$31&lt;&gt;"Included Margin"),1,1/$R1351),1))</f>
        <v/>
      </c>
      <c r="AF1351" s="160" t="str">
        <f>IF(E1351="","",IF(AND($B1351&gt;=Input!$C$9,$C1351=12,Summary!$D$31="Included Margin",$U1351&gt;0),1/U1351-1,IF($B1351&gt;=Input!$C$9,0,Input!$C$45*IF(Summary!$D$27="Included Margin",1,0))))</f>
        <v/>
      </c>
      <c r="AG1351" s="160" t="str">
        <f>IF(E1351="","",Input!$C$46*IF(Summary!$D$28="Included Margin",IF(AND($B1351&gt;Input!$C$9,Summary!$D$31&lt;&gt;"Included Margin"),0,1),0))</f>
        <v/>
      </c>
      <c r="AH1351" s="158" t="str">
        <f>IF(E1351="","",Input!$C$47*IF(Summary!$D$29="Included Margin",IF(AND($B1351&gt;Input!$C$9,Summary!$D$31&lt;&gt;"Included Margin"),0,1),0))</f>
        <v/>
      </c>
      <c r="AI1351" s="154"/>
      <c r="AJ1351" s="158" t="str">
        <f t="shared" si="879"/>
        <v/>
      </c>
      <c r="AK1351" s="150" t="str">
        <f t="shared" si="880"/>
        <v/>
      </c>
      <c r="AL1351" s="147" t="str">
        <f t="shared" si="881"/>
        <v/>
      </c>
      <c r="AM1351" s="147" t="str">
        <f t="shared" si="869"/>
        <v/>
      </c>
      <c r="AN1351" s="160" t="str">
        <f t="shared" si="882"/>
        <v/>
      </c>
      <c r="AO1351" s="161" t="str">
        <f t="shared" si="883"/>
        <v/>
      </c>
      <c r="AP1351" s="156" t="str">
        <f t="shared" si="870"/>
        <v/>
      </c>
      <c r="AQ1351" s="152"/>
      <c r="AR1351" s="162" t="str">
        <f t="shared" si="871"/>
        <v/>
      </c>
      <c r="AS1351" s="150" t="str">
        <f t="shared" si="884"/>
        <v/>
      </c>
      <c r="AT1351" s="163" t="str">
        <f t="shared" si="872"/>
        <v/>
      </c>
      <c r="AU1351" s="163" t="str">
        <f t="shared" si="873"/>
        <v/>
      </c>
      <c r="AV1351" s="163" t="str">
        <f t="shared" si="885"/>
        <v/>
      </c>
      <c r="AW1351" s="163" t="str">
        <f t="shared" si="874"/>
        <v/>
      </c>
      <c r="AX1351" s="163" t="str">
        <f t="shared" si="875"/>
        <v/>
      </c>
      <c r="AY1351" s="150" t="str">
        <f t="shared" si="886"/>
        <v/>
      </c>
      <c r="AZ1351" s="150" t="str">
        <f>IF($E1351="","",IF(OR(AND($D1351=Input!$C$6,$C1351=12),$AN1351=1),0,-AS1352+AT1352+AU1352-AV1352-AW1352-AX1352+AZ1352))</f>
        <v/>
      </c>
      <c r="BA1351" s="154" t="str">
        <f t="shared" si="876"/>
        <v/>
      </c>
      <c r="BC1351" s="147" t="str">
        <f t="shared" si="887"/>
        <v/>
      </c>
      <c r="BD1351" s="164" t="str">
        <f>IF(AND($C1350=12,$D1350=Input!$C$6),0,IF($E1351="","",AT1351+(AU1351+BD1352)/(1+$AK1351)*MIN((1-AM1351-AN1351),1)))</f>
        <v/>
      </c>
      <c r="BH1351" s="152"/>
      <c r="BI1351" s="162" t="str">
        <f t="shared" si="860"/>
        <v/>
      </c>
      <c r="BJ1351" s="150" t="str">
        <f t="shared" si="861"/>
        <v/>
      </c>
      <c r="BK1351" s="163" t="str">
        <f t="shared" ref="BK1351:BK1414" si="892">IF($E1351="","",$V1351*$X1351)</f>
        <v/>
      </c>
      <c r="BL1351" s="163" t="str">
        <f t="shared" si="862"/>
        <v/>
      </c>
      <c r="BM1351" s="163" t="str">
        <f t="shared" ref="BM1351:BM1414" si="893">IF($E1351="","",(BI1351+BJ1351-BK1351-BL1351/2)*$N1351)</f>
        <v/>
      </c>
      <c r="BN1351" s="163" t="str">
        <f t="shared" si="863"/>
        <v/>
      </c>
      <c r="BO1351" s="163" t="str">
        <f t="shared" si="864"/>
        <v/>
      </c>
      <c r="BP1351" s="150" t="str">
        <f t="shared" ref="BP1351:BP1414" si="894">IF($E1351="","",BI1351+BJ1351-BK1351-BL1351+BM1351+BN1351+BO1351)</f>
        <v/>
      </c>
      <c r="BQ1351" s="150" t="str">
        <f t="shared" si="888"/>
        <v/>
      </c>
      <c r="BR1351" s="154" t="str">
        <f t="shared" si="865"/>
        <v/>
      </c>
      <c r="BT1351" s="147"/>
    </row>
    <row r="1352" spans="1:72" s="150" customFormat="1" x14ac:dyDescent="0.25">
      <c r="A1352" s="150" t="str">
        <f t="shared" si="889"/>
        <v/>
      </c>
      <c r="B1352" s="150" t="str">
        <f t="shared" si="890"/>
        <v/>
      </c>
      <c r="C1352" s="150" t="str">
        <f t="shared" si="891"/>
        <v/>
      </c>
      <c r="D1352" s="150" t="str">
        <f>IF(E1352="","",Input!$C$4+B1352-1)</f>
        <v/>
      </c>
      <c r="E1352" s="150" t="str">
        <f>IF(OR(AND(C1351=12,D1351=Input!$C$6),E1351=""),"",1)</f>
        <v/>
      </c>
      <c r="G1352" s="151" t="str">
        <f>IF(E1352="","",MAX(0,Input!$C$9-B1352))</f>
        <v/>
      </c>
      <c r="H1352" s="152" t="str">
        <f>IF(E1352="","",Input!$C$3)</f>
        <v/>
      </c>
      <c r="I1352" s="153" t="str">
        <f>IF(E1352="","",HLOOKUP($B1352,Input!$C$13:$BT$14,2))</f>
        <v/>
      </c>
      <c r="J1352" s="154"/>
      <c r="K1352" s="150" t="str">
        <f>IF($E1352="","",INDEX(Input!$C$16:$CP$16,1,$B1352))</f>
        <v/>
      </c>
      <c r="L1352" s="150" t="str">
        <f>IF($E1352="","",Input!$C$37)</f>
        <v/>
      </c>
      <c r="M1352" s="150" t="str">
        <f t="shared" si="877"/>
        <v/>
      </c>
      <c r="N1352" s="150" t="str">
        <f t="shared" si="878"/>
        <v/>
      </c>
      <c r="O1352" s="147" t="str">
        <f>IF($E1352="","",MIN(VLOOKUP(IF($B1352&lt;=Input!$C$7,$B1352,26),'Mortality Tables'!$A$41:$CW$67,IF($B1352&lt;=Input!$C$7+1,Input!$C$4+2,$D1352-Input!$C$7+2),0)*IF(B1352&gt;20,Input!$C$22,1)/1000,1))</f>
        <v/>
      </c>
      <c r="P1352" s="147" t="str">
        <f>IF($E1352="","",MIN(VLOOKUP(IF($B1352&lt;=Input!$C$7,$B1352,26),'Mortality Tables'!$A$12:$CW$37,IF($B1352&lt;=Input!$C$7+1,Input!$C$4+2,$D1352-Input!$C$7+2),0)*IF(B1352&gt;20,Input!$C$22,1)/1000,1))</f>
        <v/>
      </c>
      <c r="Q1352" s="155" t="str">
        <f>IF($E1352="","",Input!$C$21)</f>
        <v/>
      </c>
      <c r="R1352" s="159" t="str">
        <f>IF($E1352="","",(1-Q1352)^($F1352-Input!$C$20))</f>
        <v/>
      </c>
      <c r="S1352" s="147" t="str">
        <f t="shared" si="866"/>
        <v/>
      </c>
      <c r="T1352" s="147" t="str">
        <f t="shared" si="867"/>
        <v/>
      </c>
      <c r="U1352" s="160" t="str">
        <f>IF($E1352="","",IF($C1352=12,INDEX(Input!$C$15:$CP$15,1,$B1352),0))</f>
        <v/>
      </c>
      <c r="V1352" s="150" t="str">
        <f>IF(E1352="","",IF(C1352=1,IF($B1352=1,Input!$C$33,Input!$C$34),0))</f>
        <v/>
      </c>
      <c r="W1352" s="156" t="str">
        <f>IF($E1352="","",Input!$C$35)</f>
        <v/>
      </c>
      <c r="X1352" s="156" t="str">
        <f t="shared" si="868"/>
        <v/>
      </c>
      <c r="Y1352" s="154"/>
      <c r="Z1352" s="147" t="str">
        <f>IF($E1352="","",VLOOKUP($D1352,'Mortality Margins &amp; Grading'!$AB$5:$AF$125,3,0)*IF(Summary!$D$25="Included Margin",IF(AND($B1352&gt;Input!$C$9,Summary!$D$31&lt;&gt;"Included Margin"),0,1),0))</f>
        <v/>
      </c>
      <c r="AA1352" s="147" t="str">
        <f>IF($E1352="","",VLOOKUP($D1352,'Mortality Margins &amp; Grading'!$AB$5:$AF$125,5,0)*IF(Summary!$D$25="Included Margin",IF(AND($B1352&gt;Input!$C$9,Summary!$D$31&lt;&gt;"Included Margin"),0,1),0))</f>
        <v/>
      </c>
      <c r="AB1352" s="147" t="str">
        <f>IF($E1352="","",IF(AND($B1352&gt;Input!$C$9,Summary!$D$31&lt;&gt;"Included Margin"),1,IF(Summary!$D$25="Included Margin",VLOOKUP($B1352,'Mortality Margins &amp; Grading'!$AI$5:$AR$125,MATCH('Mortality Margins &amp; Grading'!$AQ$4,'Mortality Margins &amp; Grading'!$AI$4:$AR$4,0),0),1)))</f>
        <v/>
      </c>
      <c r="AC1352" s="154"/>
      <c r="AD1352" s="158" t="str">
        <f>IF(E1352="","",Input!$C$48*IF(Summary!$D$30="Included Margin",IF(AND($B1352&gt;Input!$C$9,Summary!$D$31&lt;&gt;"Included Margin"),0,1),0))</f>
        <v/>
      </c>
      <c r="AE1352" s="159" t="str">
        <f>IF(E1352="","",IF(Summary!$D$26="Included Margin",IF(AND($B1352&gt;Input!$C$9,Summary!$D$31&lt;&gt;"Included Margin"),1,1/$R1352),1))</f>
        <v/>
      </c>
      <c r="AF1352" s="160" t="str">
        <f>IF(E1352="","",IF(AND($B1352&gt;=Input!$C$9,$C1352=12,Summary!$D$31="Included Margin",$U1352&gt;0),1/U1352-1,IF($B1352&gt;=Input!$C$9,0,Input!$C$45*IF(Summary!$D$27="Included Margin",1,0))))</f>
        <v/>
      </c>
      <c r="AG1352" s="160" t="str">
        <f>IF(E1352="","",Input!$C$46*IF(Summary!$D$28="Included Margin",IF(AND($B1352&gt;Input!$C$9,Summary!$D$31&lt;&gt;"Included Margin"),0,1),0))</f>
        <v/>
      </c>
      <c r="AH1352" s="158" t="str">
        <f>IF(E1352="","",Input!$C$47*IF(Summary!$D$29="Included Margin",IF(AND($B1352&gt;Input!$C$9,Summary!$D$31&lt;&gt;"Included Margin"),0,1),0))</f>
        <v/>
      </c>
      <c r="AI1352" s="154"/>
      <c r="AJ1352" s="158" t="str">
        <f t="shared" si="879"/>
        <v/>
      </c>
      <c r="AK1352" s="150" t="str">
        <f t="shared" si="880"/>
        <v/>
      </c>
      <c r="AL1352" s="147" t="str">
        <f t="shared" si="881"/>
        <v/>
      </c>
      <c r="AM1352" s="147" t="str">
        <f t="shared" si="869"/>
        <v/>
      </c>
      <c r="AN1352" s="160" t="str">
        <f t="shared" si="882"/>
        <v/>
      </c>
      <c r="AO1352" s="161" t="str">
        <f t="shared" si="883"/>
        <v/>
      </c>
      <c r="AP1352" s="156" t="str">
        <f t="shared" si="870"/>
        <v/>
      </c>
      <c r="AQ1352" s="152"/>
      <c r="AR1352" s="162" t="str">
        <f t="shared" si="871"/>
        <v/>
      </c>
      <c r="AS1352" s="150" t="str">
        <f t="shared" si="884"/>
        <v/>
      </c>
      <c r="AT1352" s="163" t="str">
        <f t="shared" si="872"/>
        <v/>
      </c>
      <c r="AU1352" s="163" t="str">
        <f t="shared" si="873"/>
        <v/>
      </c>
      <c r="AV1352" s="163" t="str">
        <f t="shared" si="885"/>
        <v/>
      </c>
      <c r="AW1352" s="163" t="str">
        <f t="shared" si="874"/>
        <v/>
      </c>
      <c r="AX1352" s="163" t="str">
        <f t="shared" si="875"/>
        <v/>
      </c>
      <c r="AY1352" s="150" t="str">
        <f t="shared" si="886"/>
        <v/>
      </c>
      <c r="AZ1352" s="150" t="str">
        <f>IF($E1352="","",IF(OR(AND($D1352=Input!$C$6,$C1352=12),$AN1352=1),0,-AS1353+AT1353+AU1353-AV1353-AW1353-AX1353+AZ1353))</f>
        <v/>
      </c>
      <c r="BA1352" s="154" t="str">
        <f t="shared" si="876"/>
        <v/>
      </c>
      <c r="BC1352" s="147" t="str">
        <f t="shared" si="887"/>
        <v/>
      </c>
      <c r="BD1352" s="164" t="str">
        <f>IF(AND($C1351=12,$D1351=Input!$C$6),0,IF($E1352="","",AT1352+(AU1352+BD1353)/(1+$AK1352)*MIN((1-AM1352-AN1352),1)))</f>
        <v/>
      </c>
      <c r="BH1352" s="152"/>
      <c r="BI1352" s="162" t="str">
        <f t="shared" si="860"/>
        <v/>
      </c>
      <c r="BJ1352" s="150" t="str">
        <f t="shared" si="861"/>
        <v/>
      </c>
      <c r="BK1352" s="163" t="str">
        <f t="shared" si="892"/>
        <v/>
      </c>
      <c r="BL1352" s="163" t="str">
        <f t="shared" si="862"/>
        <v/>
      </c>
      <c r="BM1352" s="163" t="str">
        <f t="shared" si="893"/>
        <v/>
      </c>
      <c r="BN1352" s="163" t="str">
        <f t="shared" si="863"/>
        <v/>
      </c>
      <c r="BO1352" s="163" t="str">
        <f t="shared" si="864"/>
        <v/>
      </c>
      <c r="BP1352" s="150" t="str">
        <f t="shared" si="894"/>
        <v/>
      </c>
      <c r="BQ1352" s="150" t="str">
        <f t="shared" si="888"/>
        <v/>
      </c>
      <c r="BR1352" s="154" t="str">
        <f t="shared" si="865"/>
        <v/>
      </c>
      <c r="BT1352" s="147"/>
    </row>
    <row r="1353" spans="1:72" s="150" customFormat="1" x14ac:dyDescent="0.25">
      <c r="A1353" s="150" t="str">
        <f t="shared" si="889"/>
        <v/>
      </c>
      <c r="B1353" s="150" t="str">
        <f t="shared" si="890"/>
        <v/>
      </c>
      <c r="C1353" s="150" t="str">
        <f t="shared" si="891"/>
        <v/>
      </c>
      <c r="D1353" s="150" t="str">
        <f>IF(E1353="","",Input!$C$4+B1353-1)</f>
        <v/>
      </c>
      <c r="E1353" s="150" t="str">
        <f>IF(OR(AND(C1352=12,D1352=Input!$C$6),E1352=""),"",1)</f>
        <v/>
      </c>
      <c r="G1353" s="151" t="str">
        <f>IF(E1353="","",MAX(0,Input!$C$9-B1353))</f>
        <v/>
      </c>
      <c r="H1353" s="152" t="str">
        <f>IF(E1353="","",Input!$C$3)</f>
        <v/>
      </c>
      <c r="I1353" s="153" t="str">
        <f>IF(E1353="","",HLOOKUP($B1353,Input!$C$13:$BT$14,2))</f>
        <v/>
      </c>
      <c r="J1353" s="154"/>
      <c r="K1353" s="150" t="str">
        <f>IF($E1353="","",INDEX(Input!$C$16:$CP$16,1,$B1353))</f>
        <v/>
      </c>
      <c r="L1353" s="150" t="str">
        <f>IF($E1353="","",Input!$C$37)</f>
        <v/>
      </c>
      <c r="M1353" s="150" t="str">
        <f t="shared" si="877"/>
        <v/>
      </c>
      <c r="N1353" s="150" t="str">
        <f t="shared" si="878"/>
        <v/>
      </c>
      <c r="O1353" s="147" t="str">
        <f>IF($E1353="","",MIN(VLOOKUP(IF($B1353&lt;=Input!$C$7,$B1353,26),'Mortality Tables'!$A$41:$CW$67,IF($B1353&lt;=Input!$C$7+1,Input!$C$4+2,$D1353-Input!$C$7+2),0)*IF(B1353&gt;20,Input!$C$22,1)/1000,1))</f>
        <v/>
      </c>
      <c r="P1353" s="147" t="str">
        <f>IF($E1353="","",MIN(VLOOKUP(IF($B1353&lt;=Input!$C$7,$B1353,26),'Mortality Tables'!$A$12:$CW$37,IF($B1353&lt;=Input!$C$7+1,Input!$C$4+2,$D1353-Input!$C$7+2),0)*IF(B1353&gt;20,Input!$C$22,1)/1000,1))</f>
        <v/>
      </c>
      <c r="Q1353" s="155" t="str">
        <f>IF($E1353="","",Input!$C$21)</f>
        <v/>
      </c>
      <c r="R1353" s="159" t="str">
        <f>IF($E1353="","",(1-Q1353)^($F1353-Input!$C$20))</f>
        <v/>
      </c>
      <c r="S1353" s="147" t="str">
        <f t="shared" si="866"/>
        <v/>
      </c>
      <c r="T1353" s="147" t="str">
        <f t="shared" si="867"/>
        <v/>
      </c>
      <c r="U1353" s="160" t="str">
        <f>IF($E1353="","",IF($C1353=12,INDEX(Input!$C$15:$CP$15,1,$B1353),0))</f>
        <v/>
      </c>
      <c r="V1353" s="150" t="str">
        <f>IF(E1353="","",IF(C1353=1,IF($B1353=1,Input!$C$33,Input!$C$34),0))</f>
        <v/>
      </c>
      <c r="W1353" s="156" t="str">
        <f>IF($E1353="","",Input!$C$35)</f>
        <v/>
      </c>
      <c r="X1353" s="156" t="str">
        <f t="shared" si="868"/>
        <v/>
      </c>
      <c r="Y1353" s="154"/>
      <c r="Z1353" s="147" t="str">
        <f>IF($E1353="","",VLOOKUP($D1353,'Mortality Margins &amp; Grading'!$AB$5:$AF$125,3,0)*IF(Summary!$D$25="Included Margin",IF(AND($B1353&gt;Input!$C$9,Summary!$D$31&lt;&gt;"Included Margin"),0,1),0))</f>
        <v/>
      </c>
      <c r="AA1353" s="147" t="str">
        <f>IF($E1353="","",VLOOKUP($D1353,'Mortality Margins &amp; Grading'!$AB$5:$AF$125,5,0)*IF(Summary!$D$25="Included Margin",IF(AND($B1353&gt;Input!$C$9,Summary!$D$31&lt;&gt;"Included Margin"),0,1),0))</f>
        <v/>
      </c>
      <c r="AB1353" s="147" t="str">
        <f>IF($E1353="","",IF(AND($B1353&gt;Input!$C$9,Summary!$D$31&lt;&gt;"Included Margin"),1,IF(Summary!$D$25="Included Margin",VLOOKUP($B1353,'Mortality Margins &amp; Grading'!$AI$5:$AR$125,MATCH('Mortality Margins &amp; Grading'!$AQ$4,'Mortality Margins &amp; Grading'!$AI$4:$AR$4,0),0),1)))</f>
        <v/>
      </c>
      <c r="AC1353" s="154"/>
      <c r="AD1353" s="158" t="str">
        <f>IF(E1353="","",Input!$C$48*IF(Summary!$D$30="Included Margin",IF(AND($B1353&gt;Input!$C$9,Summary!$D$31&lt;&gt;"Included Margin"),0,1),0))</f>
        <v/>
      </c>
      <c r="AE1353" s="159" t="str">
        <f>IF(E1353="","",IF(Summary!$D$26="Included Margin",IF(AND($B1353&gt;Input!$C$9,Summary!$D$31&lt;&gt;"Included Margin"),1,1/$R1353),1))</f>
        <v/>
      </c>
      <c r="AF1353" s="160" t="str">
        <f>IF(E1353="","",IF(AND($B1353&gt;=Input!$C$9,$C1353=12,Summary!$D$31="Included Margin",$U1353&gt;0),1/U1353-1,IF($B1353&gt;=Input!$C$9,0,Input!$C$45*IF(Summary!$D$27="Included Margin",1,0))))</f>
        <v/>
      </c>
      <c r="AG1353" s="160" t="str">
        <f>IF(E1353="","",Input!$C$46*IF(Summary!$D$28="Included Margin",IF(AND($B1353&gt;Input!$C$9,Summary!$D$31&lt;&gt;"Included Margin"),0,1),0))</f>
        <v/>
      </c>
      <c r="AH1353" s="158" t="str">
        <f>IF(E1353="","",Input!$C$47*IF(Summary!$D$29="Included Margin",IF(AND($B1353&gt;Input!$C$9,Summary!$D$31&lt;&gt;"Included Margin"),0,1),0))</f>
        <v/>
      </c>
      <c r="AI1353" s="154"/>
      <c r="AJ1353" s="158" t="str">
        <f t="shared" si="879"/>
        <v/>
      </c>
      <c r="AK1353" s="150" t="str">
        <f t="shared" si="880"/>
        <v/>
      </c>
      <c r="AL1353" s="147" t="str">
        <f t="shared" si="881"/>
        <v/>
      </c>
      <c r="AM1353" s="147" t="str">
        <f t="shared" si="869"/>
        <v/>
      </c>
      <c r="AN1353" s="160" t="str">
        <f t="shared" si="882"/>
        <v/>
      </c>
      <c r="AO1353" s="161" t="str">
        <f t="shared" si="883"/>
        <v/>
      </c>
      <c r="AP1353" s="156" t="str">
        <f t="shared" si="870"/>
        <v/>
      </c>
      <c r="AQ1353" s="152"/>
      <c r="AR1353" s="162" t="str">
        <f t="shared" si="871"/>
        <v/>
      </c>
      <c r="AS1353" s="150" t="str">
        <f t="shared" si="884"/>
        <v/>
      </c>
      <c r="AT1353" s="163" t="str">
        <f t="shared" si="872"/>
        <v/>
      </c>
      <c r="AU1353" s="163" t="str">
        <f t="shared" si="873"/>
        <v/>
      </c>
      <c r="AV1353" s="163" t="str">
        <f t="shared" si="885"/>
        <v/>
      </c>
      <c r="AW1353" s="163" t="str">
        <f t="shared" si="874"/>
        <v/>
      </c>
      <c r="AX1353" s="163" t="str">
        <f t="shared" si="875"/>
        <v/>
      </c>
      <c r="AY1353" s="150" t="str">
        <f t="shared" si="886"/>
        <v/>
      </c>
      <c r="AZ1353" s="150" t="str">
        <f>IF($E1353="","",IF(OR(AND($D1353=Input!$C$6,$C1353=12),$AN1353=1),0,-AS1354+AT1354+AU1354-AV1354-AW1354-AX1354+AZ1354))</f>
        <v/>
      </c>
      <c r="BA1353" s="154" t="str">
        <f t="shared" si="876"/>
        <v/>
      </c>
      <c r="BC1353" s="147" t="str">
        <f t="shared" si="887"/>
        <v/>
      </c>
      <c r="BD1353" s="164" t="str">
        <f>IF(AND($C1352=12,$D1352=Input!$C$6),0,IF($E1353="","",AT1353+(AU1353+BD1354)/(1+$AK1353)*MIN((1-AM1353-AN1353),1)))</f>
        <v/>
      </c>
      <c r="BH1353" s="152"/>
      <c r="BI1353" s="162" t="str">
        <f t="shared" si="860"/>
        <v/>
      </c>
      <c r="BJ1353" s="150" t="str">
        <f t="shared" si="861"/>
        <v/>
      </c>
      <c r="BK1353" s="163" t="str">
        <f t="shared" si="892"/>
        <v/>
      </c>
      <c r="BL1353" s="163" t="str">
        <f t="shared" si="862"/>
        <v/>
      </c>
      <c r="BM1353" s="163" t="str">
        <f t="shared" si="893"/>
        <v/>
      </c>
      <c r="BN1353" s="163" t="str">
        <f t="shared" si="863"/>
        <v/>
      </c>
      <c r="BO1353" s="163" t="str">
        <f t="shared" si="864"/>
        <v/>
      </c>
      <c r="BP1353" s="150" t="str">
        <f t="shared" si="894"/>
        <v/>
      </c>
      <c r="BQ1353" s="150" t="str">
        <f t="shared" si="888"/>
        <v/>
      </c>
      <c r="BR1353" s="154" t="str">
        <f t="shared" si="865"/>
        <v/>
      </c>
      <c r="BT1353" s="147"/>
    </row>
    <row r="1354" spans="1:72" s="150" customFormat="1" x14ac:dyDescent="0.25">
      <c r="A1354" s="150" t="str">
        <f t="shared" si="889"/>
        <v/>
      </c>
      <c r="B1354" s="150" t="str">
        <f t="shared" si="890"/>
        <v/>
      </c>
      <c r="C1354" s="150" t="str">
        <f t="shared" si="891"/>
        <v/>
      </c>
      <c r="D1354" s="150" t="str">
        <f>IF(E1354="","",Input!$C$4+B1354-1)</f>
        <v/>
      </c>
      <c r="E1354" s="150" t="str">
        <f>IF(OR(AND(C1353=12,D1353=Input!$C$6),E1353=""),"",1)</f>
        <v/>
      </c>
      <c r="G1354" s="151" t="str">
        <f>IF(E1354="","",MAX(0,Input!$C$9-B1354))</f>
        <v/>
      </c>
      <c r="H1354" s="152" t="str">
        <f>IF(E1354="","",Input!$C$3)</f>
        <v/>
      </c>
      <c r="I1354" s="153" t="str">
        <f>IF(E1354="","",HLOOKUP($B1354,Input!$C$13:$BT$14,2))</f>
        <v/>
      </c>
      <c r="J1354" s="154"/>
      <c r="K1354" s="150" t="str">
        <f>IF($E1354="","",INDEX(Input!$C$16:$CP$16,1,$B1354))</f>
        <v/>
      </c>
      <c r="L1354" s="150" t="str">
        <f>IF($E1354="","",Input!$C$37)</f>
        <v/>
      </c>
      <c r="M1354" s="150" t="str">
        <f t="shared" si="877"/>
        <v/>
      </c>
      <c r="N1354" s="150" t="str">
        <f t="shared" si="878"/>
        <v/>
      </c>
      <c r="O1354" s="147" t="str">
        <f>IF($E1354="","",MIN(VLOOKUP(IF($B1354&lt;=Input!$C$7,$B1354,26),'Mortality Tables'!$A$41:$CW$67,IF($B1354&lt;=Input!$C$7+1,Input!$C$4+2,$D1354-Input!$C$7+2),0)*IF(B1354&gt;20,Input!$C$22,1)/1000,1))</f>
        <v/>
      </c>
      <c r="P1354" s="147" t="str">
        <f>IF($E1354="","",MIN(VLOOKUP(IF($B1354&lt;=Input!$C$7,$B1354,26),'Mortality Tables'!$A$12:$CW$37,IF($B1354&lt;=Input!$C$7+1,Input!$C$4+2,$D1354-Input!$C$7+2),0)*IF(B1354&gt;20,Input!$C$22,1)/1000,1))</f>
        <v/>
      </c>
      <c r="Q1354" s="155" t="str">
        <f>IF($E1354="","",Input!$C$21)</f>
        <v/>
      </c>
      <c r="R1354" s="159" t="str">
        <f>IF($E1354="","",(1-Q1354)^($F1354-Input!$C$20))</f>
        <v/>
      </c>
      <c r="S1354" s="147" t="str">
        <f t="shared" si="866"/>
        <v/>
      </c>
      <c r="T1354" s="147" t="str">
        <f t="shared" si="867"/>
        <v/>
      </c>
      <c r="U1354" s="160" t="str">
        <f>IF($E1354="","",IF($C1354=12,INDEX(Input!$C$15:$CP$15,1,$B1354),0))</f>
        <v/>
      </c>
      <c r="V1354" s="150" t="str">
        <f>IF(E1354="","",IF(C1354=1,IF($B1354=1,Input!$C$33,Input!$C$34),0))</f>
        <v/>
      </c>
      <c r="W1354" s="156" t="str">
        <f>IF($E1354="","",Input!$C$35)</f>
        <v/>
      </c>
      <c r="X1354" s="156" t="str">
        <f t="shared" si="868"/>
        <v/>
      </c>
      <c r="Y1354" s="154"/>
      <c r="Z1354" s="147" t="str">
        <f>IF($E1354="","",VLOOKUP($D1354,'Mortality Margins &amp; Grading'!$AB$5:$AF$125,3,0)*IF(Summary!$D$25="Included Margin",IF(AND($B1354&gt;Input!$C$9,Summary!$D$31&lt;&gt;"Included Margin"),0,1),0))</f>
        <v/>
      </c>
      <c r="AA1354" s="147" t="str">
        <f>IF($E1354="","",VLOOKUP($D1354,'Mortality Margins &amp; Grading'!$AB$5:$AF$125,5,0)*IF(Summary!$D$25="Included Margin",IF(AND($B1354&gt;Input!$C$9,Summary!$D$31&lt;&gt;"Included Margin"),0,1),0))</f>
        <v/>
      </c>
      <c r="AB1354" s="147" t="str">
        <f>IF($E1354="","",IF(AND($B1354&gt;Input!$C$9,Summary!$D$31&lt;&gt;"Included Margin"),1,IF(Summary!$D$25="Included Margin",VLOOKUP($B1354,'Mortality Margins &amp; Grading'!$AI$5:$AR$125,MATCH('Mortality Margins &amp; Grading'!$AQ$4,'Mortality Margins &amp; Grading'!$AI$4:$AR$4,0),0),1)))</f>
        <v/>
      </c>
      <c r="AC1354" s="154"/>
      <c r="AD1354" s="158" t="str">
        <f>IF(E1354="","",Input!$C$48*IF(Summary!$D$30="Included Margin",IF(AND($B1354&gt;Input!$C$9,Summary!$D$31&lt;&gt;"Included Margin"),0,1),0))</f>
        <v/>
      </c>
      <c r="AE1354" s="159" t="str">
        <f>IF(E1354="","",IF(Summary!$D$26="Included Margin",IF(AND($B1354&gt;Input!$C$9,Summary!$D$31&lt;&gt;"Included Margin"),1,1/$R1354),1))</f>
        <v/>
      </c>
      <c r="AF1354" s="160" t="str">
        <f>IF(E1354="","",IF(AND($B1354&gt;=Input!$C$9,$C1354=12,Summary!$D$31="Included Margin",$U1354&gt;0),1/U1354-1,IF($B1354&gt;=Input!$C$9,0,Input!$C$45*IF(Summary!$D$27="Included Margin",1,0))))</f>
        <v/>
      </c>
      <c r="AG1354" s="160" t="str">
        <f>IF(E1354="","",Input!$C$46*IF(Summary!$D$28="Included Margin",IF(AND($B1354&gt;Input!$C$9,Summary!$D$31&lt;&gt;"Included Margin"),0,1),0))</f>
        <v/>
      </c>
      <c r="AH1354" s="158" t="str">
        <f>IF(E1354="","",Input!$C$47*IF(Summary!$D$29="Included Margin",IF(AND($B1354&gt;Input!$C$9,Summary!$D$31&lt;&gt;"Included Margin"),0,1),0))</f>
        <v/>
      </c>
      <c r="AI1354" s="154"/>
      <c r="AJ1354" s="158" t="str">
        <f t="shared" si="879"/>
        <v/>
      </c>
      <c r="AK1354" s="150" t="str">
        <f t="shared" si="880"/>
        <v/>
      </c>
      <c r="AL1354" s="147" t="str">
        <f t="shared" si="881"/>
        <v/>
      </c>
      <c r="AM1354" s="147" t="str">
        <f t="shared" si="869"/>
        <v/>
      </c>
      <c r="AN1354" s="160" t="str">
        <f t="shared" si="882"/>
        <v/>
      </c>
      <c r="AO1354" s="161" t="str">
        <f t="shared" si="883"/>
        <v/>
      </c>
      <c r="AP1354" s="156" t="str">
        <f t="shared" si="870"/>
        <v/>
      </c>
      <c r="AQ1354" s="152"/>
      <c r="AR1354" s="162" t="str">
        <f t="shared" si="871"/>
        <v/>
      </c>
      <c r="AS1354" s="150" t="str">
        <f t="shared" si="884"/>
        <v/>
      </c>
      <c r="AT1354" s="163" t="str">
        <f t="shared" si="872"/>
        <v/>
      </c>
      <c r="AU1354" s="163" t="str">
        <f t="shared" si="873"/>
        <v/>
      </c>
      <c r="AV1354" s="163" t="str">
        <f t="shared" si="885"/>
        <v/>
      </c>
      <c r="AW1354" s="163" t="str">
        <f t="shared" si="874"/>
        <v/>
      </c>
      <c r="AX1354" s="163" t="str">
        <f t="shared" si="875"/>
        <v/>
      </c>
      <c r="AY1354" s="150" t="str">
        <f t="shared" si="886"/>
        <v/>
      </c>
      <c r="AZ1354" s="150" t="str">
        <f>IF($E1354="","",IF(OR(AND($D1354=Input!$C$6,$C1354=12),$AN1354=1),0,-AS1355+AT1355+AU1355-AV1355-AW1355-AX1355+AZ1355))</f>
        <v/>
      </c>
      <c r="BA1354" s="154" t="str">
        <f t="shared" si="876"/>
        <v/>
      </c>
      <c r="BC1354" s="147" t="str">
        <f t="shared" si="887"/>
        <v/>
      </c>
      <c r="BD1354" s="164" t="str">
        <f>IF(AND($C1353=12,$D1353=Input!$C$6),0,IF($E1354="","",AT1354+(AU1354+BD1355)/(1+$AK1354)*MIN((1-AM1354-AN1354),1)))</f>
        <v/>
      </c>
      <c r="BH1354" s="152"/>
      <c r="BI1354" s="162" t="str">
        <f t="shared" si="860"/>
        <v/>
      </c>
      <c r="BJ1354" s="150" t="str">
        <f t="shared" si="861"/>
        <v/>
      </c>
      <c r="BK1354" s="163" t="str">
        <f t="shared" si="892"/>
        <v/>
      </c>
      <c r="BL1354" s="163" t="str">
        <f t="shared" si="862"/>
        <v/>
      </c>
      <c r="BM1354" s="163" t="str">
        <f t="shared" si="893"/>
        <v/>
      </c>
      <c r="BN1354" s="163" t="str">
        <f t="shared" si="863"/>
        <v/>
      </c>
      <c r="BO1354" s="163" t="str">
        <f t="shared" si="864"/>
        <v/>
      </c>
      <c r="BP1354" s="150" t="str">
        <f t="shared" si="894"/>
        <v/>
      </c>
      <c r="BQ1354" s="150" t="str">
        <f t="shared" si="888"/>
        <v/>
      </c>
      <c r="BR1354" s="154" t="str">
        <f t="shared" si="865"/>
        <v/>
      </c>
      <c r="BT1354" s="147"/>
    </row>
    <row r="1355" spans="1:72" s="150" customFormat="1" x14ac:dyDescent="0.25">
      <c r="A1355" s="150" t="str">
        <f t="shared" si="889"/>
        <v/>
      </c>
      <c r="B1355" s="150" t="str">
        <f t="shared" si="890"/>
        <v/>
      </c>
      <c r="C1355" s="150" t="str">
        <f t="shared" si="891"/>
        <v/>
      </c>
      <c r="D1355" s="150" t="str">
        <f>IF(E1355="","",Input!$C$4+B1355-1)</f>
        <v/>
      </c>
      <c r="E1355" s="150" t="str">
        <f>IF(OR(AND(C1354=12,D1354=Input!$C$6),E1354=""),"",1)</f>
        <v/>
      </c>
      <c r="G1355" s="151" t="str">
        <f>IF(E1355="","",MAX(0,Input!$C$9-B1355))</f>
        <v/>
      </c>
      <c r="H1355" s="152" t="str">
        <f>IF(E1355="","",Input!$C$3)</f>
        <v/>
      </c>
      <c r="I1355" s="153" t="str">
        <f>IF(E1355="","",HLOOKUP($B1355,Input!$C$13:$BT$14,2))</f>
        <v/>
      </c>
      <c r="J1355" s="154"/>
      <c r="K1355" s="150" t="str">
        <f>IF($E1355="","",INDEX(Input!$C$16:$CP$16,1,$B1355))</f>
        <v/>
      </c>
      <c r="L1355" s="150" t="str">
        <f>IF($E1355="","",Input!$C$37)</f>
        <v/>
      </c>
      <c r="M1355" s="150" t="str">
        <f t="shared" si="877"/>
        <v/>
      </c>
      <c r="N1355" s="150" t="str">
        <f t="shared" si="878"/>
        <v/>
      </c>
      <c r="O1355" s="147" t="str">
        <f>IF($E1355="","",MIN(VLOOKUP(IF($B1355&lt;=Input!$C$7,$B1355,26),'Mortality Tables'!$A$41:$CW$67,IF($B1355&lt;=Input!$C$7+1,Input!$C$4+2,$D1355-Input!$C$7+2),0)*IF(B1355&gt;20,Input!$C$22,1)/1000,1))</f>
        <v/>
      </c>
      <c r="P1355" s="147" t="str">
        <f>IF($E1355="","",MIN(VLOOKUP(IF($B1355&lt;=Input!$C$7,$B1355,26),'Mortality Tables'!$A$12:$CW$37,IF($B1355&lt;=Input!$C$7+1,Input!$C$4+2,$D1355-Input!$C$7+2),0)*IF(B1355&gt;20,Input!$C$22,1)/1000,1))</f>
        <v/>
      </c>
      <c r="Q1355" s="155" t="str">
        <f>IF($E1355="","",Input!$C$21)</f>
        <v/>
      </c>
      <c r="R1355" s="159" t="str">
        <f>IF($E1355="","",(1-Q1355)^($F1355-Input!$C$20))</f>
        <v/>
      </c>
      <c r="S1355" s="147" t="str">
        <f t="shared" si="866"/>
        <v/>
      </c>
      <c r="T1355" s="147" t="str">
        <f t="shared" si="867"/>
        <v/>
      </c>
      <c r="U1355" s="160" t="str">
        <f>IF($E1355="","",IF($C1355=12,INDEX(Input!$C$15:$CP$15,1,$B1355),0))</f>
        <v/>
      </c>
      <c r="V1355" s="150" t="str">
        <f>IF(E1355="","",IF(C1355=1,IF($B1355=1,Input!$C$33,Input!$C$34),0))</f>
        <v/>
      </c>
      <c r="W1355" s="156" t="str">
        <f>IF($E1355="","",Input!$C$35)</f>
        <v/>
      </c>
      <c r="X1355" s="156" t="str">
        <f t="shared" si="868"/>
        <v/>
      </c>
      <c r="Y1355" s="154"/>
      <c r="Z1355" s="147" t="str">
        <f>IF($E1355="","",VLOOKUP($D1355,'Mortality Margins &amp; Grading'!$AB$5:$AF$125,3,0)*IF(Summary!$D$25="Included Margin",IF(AND($B1355&gt;Input!$C$9,Summary!$D$31&lt;&gt;"Included Margin"),0,1),0))</f>
        <v/>
      </c>
      <c r="AA1355" s="147" t="str">
        <f>IF($E1355="","",VLOOKUP($D1355,'Mortality Margins &amp; Grading'!$AB$5:$AF$125,5,0)*IF(Summary!$D$25="Included Margin",IF(AND($B1355&gt;Input!$C$9,Summary!$D$31&lt;&gt;"Included Margin"),0,1),0))</f>
        <v/>
      </c>
      <c r="AB1355" s="147" t="str">
        <f>IF($E1355="","",IF(AND($B1355&gt;Input!$C$9,Summary!$D$31&lt;&gt;"Included Margin"),1,IF(Summary!$D$25="Included Margin",VLOOKUP($B1355,'Mortality Margins &amp; Grading'!$AI$5:$AR$125,MATCH('Mortality Margins &amp; Grading'!$AQ$4,'Mortality Margins &amp; Grading'!$AI$4:$AR$4,0),0),1)))</f>
        <v/>
      </c>
      <c r="AC1355" s="154"/>
      <c r="AD1355" s="158" t="str">
        <f>IF(E1355="","",Input!$C$48*IF(Summary!$D$30="Included Margin",IF(AND($B1355&gt;Input!$C$9,Summary!$D$31&lt;&gt;"Included Margin"),0,1),0))</f>
        <v/>
      </c>
      <c r="AE1355" s="159" t="str">
        <f>IF(E1355="","",IF(Summary!$D$26="Included Margin",IF(AND($B1355&gt;Input!$C$9,Summary!$D$31&lt;&gt;"Included Margin"),1,1/$R1355),1))</f>
        <v/>
      </c>
      <c r="AF1355" s="160" t="str">
        <f>IF(E1355="","",IF(AND($B1355&gt;=Input!$C$9,$C1355=12,Summary!$D$31="Included Margin",$U1355&gt;0),1/U1355-1,IF($B1355&gt;=Input!$C$9,0,Input!$C$45*IF(Summary!$D$27="Included Margin",1,0))))</f>
        <v/>
      </c>
      <c r="AG1355" s="160" t="str">
        <f>IF(E1355="","",Input!$C$46*IF(Summary!$D$28="Included Margin",IF(AND($B1355&gt;Input!$C$9,Summary!$D$31&lt;&gt;"Included Margin"),0,1),0))</f>
        <v/>
      </c>
      <c r="AH1355" s="158" t="str">
        <f>IF(E1355="","",Input!$C$47*IF(Summary!$D$29="Included Margin",IF(AND($B1355&gt;Input!$C$9,Summary!$D$31&lt;&gt;"Included Margin"),0,1),0))</f>
        <v/>
      </c>
      <c r="AI1355" s="154"/>
      <c r="AJ1355" s="158" t="str">
        <f t="shared" si="879"/>
        <v/>
      </c>
      <c r="AK1355" s="150" t="str">
        <f t="shared" si="880"/>
        <v/>
      </c>
      <c r="AL1355" s="147" t="str">
        <f t="shared" si="881"/>
        <v/>
      </c>
      <c r="AM1355" s="147" t="str">
        <f t="shared" si="869"/>
        <v/>
      </c>
      <c r="AN1355" s="160" t="str">
        <f t="shared" si="882"/>
        <v/>
      </c>
      <c r="AO1355" s="161" t="str">
        <f t="shared" si="883"/>
        <v/>
      </c>
      <c r="AP1355" s="156" t="str">
        <f t="shared" si="870"/>
        <v/>
      </c>
      <c r="AQ1355" s="152"/>
      <c r="AR1355" s="162" t="str">
        <f t="shared" si="871"/>
        <v/>
      </c>
      <c r="AS1355" s="150" t="str">
        <f t="shared" si="884"/>
        <v/>
      </c>
      <c r="AT1355" s="163" t="str">
        <f t="shared" si="872"/>
        <v/>
      </c>
      <c r="AU1355" s="163" t="str">
        <f t="shared" si="873"/>
        <v/>
      </c>
      <c r="AV1355" s="163" t="str">
        <f t="shared" si="885"/>
        <v/>
      </c>
      <c r="AW1355" s="163" t="str">
        <f t="shared" si="874"/>
        <v/>
      </c>
      <c r="AX1355" s="163" t="str">
        <f t="shared" si="875"/>
        <v/>
      </c>
      <c r="AY1355" s="150" t="str">
        <f t="shared" si="886"/>
        <v/>
      </c>
      <c r="AZ1355" s="150" t="str">
        <f>IF($E1355="","",IF(OR(AND($D1355=Input!$C$6,$C1355=12),$AN1355=1),0,-AS1356+AT1356+AU1356-AV1356-AW1356-AX1356+AZ1356))</f>
        <v/>
      </c>
      <c r="BA1355" s="154" t="str">
        <f t="shared" si="876"/>
        <v/>
      </c>
      <c r="BC1355" s="147" t="str">
        <f t="shared" si="887"/>
        <v/>
      </c>
      <c r="BD1355" s="164" t="str">
        <f>IF(AND($C1354=12,$D1354=Input!$C$6),0,IF($E1355="","",AT1355+(AU1355+BD1356)/(1+$AK1355)*MIN((1-AM1355-AN1355),1)))</f>
        <v/>
      </c>
      <c r="BH1355" s="152"/>
      <c r="BI1355" s="162" t="str">
        <f t="shared" si="860"/>
        <v/>
      </c>
      <c r="BJ1355" s="150" t="str">
        <f t="shared" si="861"/>
        <v/>
      </c>
      <c r="BK1355" s="163" t="str">
        <f t="shared" si="892"/>
        <v/>
      </c>
      <c r="BL1355" s="163" t="str">
        <f t="shared" si="862"/>
        <v/>
      </c>
      <c r="BM1355" s="163" t="str">
        <f t="shared" si="893"/>
        <v/>
      </c>
      <c r="BN1355" s="163" t="str">
        <f t="shared" si="863"/>
        <v/>
      </c>
      <c r="BO1355" s="163" t="str">
        <f t="shared" si="864"/>
        <v/>
      </c>
      <c r="BP1355" s="150" t="str">
        <f t="shared" si="894"/>
        <v/>
      </c>
      <c r="BQ1355" s="150" t="str">
        <f t="shared" si="888"/>
        <v/>
      </c>
      <c r="BR1355" s="154" t="str">
        <f t="shared" si="865"/>
        <v/>
      </c>
      <c r="BT1355" s="147"/>
    </row>
    <row r="1356" spans="1:72" s="150" customFormat="1" x14ac:dyDescent="0.25">
      <c r="A1356" s="150" t="str">
        <f t="shared" si="889"/>
        <v/>
      </c>
      <c r="B1356" s="150" t="str">
        <f t="shared" si="890"/>
        <v/>
      </c>
      <c r="C1356" s="150" t="str">
        <f t="shared" si="891"/>
        <v/>
      </c>
      <c r="D1356" s="150" t="str">
        <f>IF(E1356="","",Input!$C$4+B1356-1)</f>
        <v/>
      </c>
      <c r="E1356" s="150" t="str">
        <f>IF(OR(AND(C1355=12,D1355=Input!$C$6),E1355=""),"",1)</f>
        <v/>
      </c>
      <c r="G1356" s="151" t="str">
        <f>IF(E1356="","",MAX(0,Input!$C$9-B1356))</f>
        <v/>
      </c>
      <c r="H1356" s="152" t="str">
        <f>IF(E1356="","",Input!$C$3)</f>
        <v/>
      </c>
      <c r="I1356" s="153" t="str">
        <f>IF(E1356="","",HLOOKUP($B1356,Input!$C$13:$BT$14,2))</f>
        <v/>
      </c>
      <c r="J1356" s="154"/>
      <c r="K1356" s="150" t="str">
        <f>IF($E1356="","",INDEX(Input!$C$16:$CP$16,1,$B1356))</f>
        <v/>
      </c>
      <c r="L1356" s="150" t="str">
        <f>IF($E1356="","",Input!$C$37)</f>
        <v/>
      </c>
      <c r="M1356" s="150" t="str">
        <f t="shared" si="877"/>
        <v/>
      </c>
      <c r="N1356" s="150" t="str">
        <f t="shared" si="878"/>
        <v/>
      </c>
      <c r="O1356" s="147" t="str">
        <f>IF($E1356="","",MIN(VLOOKUP(IF($B1356&lt;=Input!$C$7,$B1356,26),'Mortality Tables'!$A$41:$CW$67,IF($B1356&lt;=Input!$C$7+1,Input!$C$4+2,$D1356-Input!$C$7+2),0)*IF(B1356&gt;20,Input!$C$22,1)/1000,1))</f>
        <v/>
      </c>
      <c r="P1356" s="147" t="str">
        <f>IF($E1356="","",MIN(VLOOKUP(IF($B1356&lt;=Input!$C$7,$B1356,26),'Mortality Tables'!$A$12:$CW$37,IF($B1356&lt;=Input!$C$7+1,Input!$C$4+2,$D1356-Input!$C$7+2),0)*IF(B1356&gt;20,Input!$C$22,1)/1000,1))</f>
        <v/>
      </c>
      <c r="Q1356" s="155" t="str">
        <f>IF($E1356="","",Input!$C$21)</f>
        <v/>
      </c>
      <c r="R1356" s="159" t="str">
        <f>IF($E1356="","",(1-Q1356)^($F1356-Input!$C$20))</f>
        <v/>
      </c>
      <c r="S1356" s="147" t="str">
        <f t="shared" si="866"/>
        <v/>
      </c>
      <c r="T1356" s="147" t="str">
        <f t="shared" si="867"/>
        <v/>
      </c>
      <c r="U1356" s="160" t="str">
        <f>IF($E1356="","",IF($C1356=12,INDEX(Input!$C$15:$CP$15,1,$B1356),0))</f>
        <v/>
      </c>
      <c r="V1356" s="150" t="str">
        <f>IF(E1356="","",IF(C1356=1,IF($B1356=1,Input!$C$33,Input!$C$34),0))</f>
        <v/>
      </c>
      <c r="W1356" s="156" t="str">
        <f>IF($E1356="","",Input!$C$35)</f>
        <v/>
      </c>
      <c r="X1356" s="156" t="str">
        <f t="shared" si="868"/>
        <v/>
      </c>
      <c r="Y1356" s="154"/>
      <c r="Z1356" s="147" t="str">
        <f>IF($E1356="","",VLOOKUP($D1356,'Mortality Margins &amp; Grading'!$AB$5:$AF$125,3,0)*IF(Summary!$D$25="Included Margin",IF(AND($B1356&gt;Input!$C$9,Summary!$D$31&lt;&gt;"Included Margin"),0,1),0))</f>
        <v/>
      </c>
      <c r="AA1356" s="147" t="str">
        <f>IF($E1356="","",VLOOKUP($D1356,'Mortality Margins &amp; Grading'!$AB$5:$AF$125,5,0)*IF(Summary!$D$25="Included Margin",IF(AND($B1356&gt;Input!$C$9,Summary!$D$31&lt;&gt;"Included Margin"),0,1),0))</f>
        <v/>
      </c>
      <c r="AB1356" s="147" t="str">
        <f>IF($E1356="","",IF(AND($B1356&gt;Input!$C$9,Summary!$D$31&lt;&gt;"Included Margin"),1,IF(Summary!$D$25="Included Margin",VLOOKUP($B1356,'Mortality Margins &amp; Grading'!$AI$5:$AR$125,MATCH('Mortality Margins &amp; Grading'!$AQ$4,'Mortality Margins &amp; Grading'!$AI$4:$AR$4,0),0),1)))</f>
        <v/>
      </c>
      <c r="AC1356" s="154"/>
      <c r="AD1356" s="158" t="str">
        <f>IF(E1356="","",Input!$C$48*IF(Summary!$D$30="Included Margin",IF(AND($B1356&gt;Input!$C$9,Summary!$D$31&lt;&gt;"Included Margin"),0,1),0))</f>
        <v/>
      </c>
      <c r="AE1356" s="159" t="str">
        <f>IF(E1356="","",IF(Summary!$D$26="Included Margin",IF(AND($B1356&gt;Input!$C$9,Summary!$D$31&lt;&gt;"Included Margin"),1,1/$R1356),1))</f>
        <v/>
      </c>
      <c r="AF1356" s="160" t="str">
        <f>IF(E1356="","",IF(AND($B1356&gt;=Input!$C$9,$C1356=12,Summary!$D$31="Included Margin",$U1356&gt;0),1/U1356-1,IF($B1356&gt;=Input!$C$9,0,Input!$C$45*IF(Summary!$D$27="Included Margin",1,0))))</f>
        <v/>
      </c>
      <c r="AG1356" s="160" t="str">
        <f>IF(E1356="","",Input!$C$46*IF(Summary!$D$28="Included Margin",IF(AND($B1356&gt;Input!$C$9,Summary!$D$31&lt;&gt;"Included Margin"),0,1),0))</f>
        <v/>
      </c>
      <c r="AH1356" s="158" t="str">
        <f>IF(E1356="","",Input!$C$47*IF(Summary!$D$29="Included Margin",IF(AND($B1356&gt;Input!$C$9,Summary!$D$31&lt;&gt;"Included Margin"),0,1),0))</f>
        <v/>
      </c>
      <c r="AI1356" s="154"/>
      <c r="AJ1356" s="158" t="str">
        <f t="shared" si="879"/>
        <v/>
      </c>
      <c r="AK1356" s="150" t="str">
        <f t="shared" si="880"/>
        <v/>
      </c>
      <c r="AL1356" s="147" t="str">
        <f t="shared" si="881"/>
        <v/>
      </c>
      <c r="AM1356" s="147" t="str">
        <f t="shared" si="869"/>
        <v/>
      </c>
      <c r="AN1356" s="160" t="str">
        <f t="shared" si="882"/>
        <v/>
      </c>
      <c r="AO1356" s="161" t="str">
        <f t="shared" si="883"/>
        <v/>
      </c>
      <c r="AP1356" s="156" t="str">
        <f t="shared" si="870"/>
        <v/>
      </c>
      <c r="AQ1356" s="152"/>
      <c r="AR1356" s="162" t="str">
        <f t="shared" si="871"/>
        <v/>
      </c>
      <c r="AS1356" s="150" t="str">
        <f t="shared" si="884"/>
        <v/>
      </c>
      <c r="AT1356" s="163" t="str">
        <f t="shared" si="872"/>
        <v/>
      </c>
      <c r="AU1356" s="163" t="str">
        <f t="shared" si="873"/>
        <v/>
      </c>
      <c r="AV1356" s="163" t="str">
        <f t="shared" si="885"/>
        <v/>
      </c>
      <c r="AW1356" s="163" t="str">
        <f t="shared" si="874"/>
        <v/>
      </c>
      <c r="AX1356" s="163" t="str">
        <f t="shared" si="875"/>
        <v/>
      </c>
      <c r="AY1356" s="150" t="str">
        <f t="shared" si="886"/>
        <v/>
      </c>
      <c r="AZ1356" s="150" t="str">
        <f>IF($E1356="","",IF(OR(AND($D1356=Input!$C$6,$C1356=12),$AN1356=1),0,-AS1357+AT1357+AU1357-AV1357-AW1357-AX1357+AZ1357))</f>
        <v/>
      </c>
      <c r="BA1356" s="154" t="str">
        <f t="shared" si="876"/>
        <v/>
      </c>
      <c r="BC1356" s="147" t="str">
        <f t="shared" si="887"/>
        <v/>
      </c>
      <c r="BD1356" s="164" t="str">
        <f>IF(AND($C1355=12,$D1355=Input!$C$6),0,IF($E1356="","",AT1356+(AU1356+BD1357)/(1+$AK1356)*MIN((1-AM1356-AN1356),1)))</f>
        <v/>
      </c>
      <c r="BH1356" s="152"/>
      <c r="BI1356" s="162" t="str">
        <f t="shared" si="860"/>
        <v/>
      </c>
      <c r="BJ1356" s="150" t="str">
        <f t="shared" si="861"/>
        <v/>
      </c>
      <c r="BK1356" s="163" t="str">
        <f t="shared" si="892"/>
        <v/>
      </c>
      <c r="BL1356" s="163" t="str">
        <f t="shared" si="862"/>
        <v/>
      </c>
      <c r="BM1356" s="163" t="str">
        <f t="shared" si="893"/>
        <v/>
      </c>
      <c r="BN1356" s="163" t="str">
        <f t="shared" si="863"/>
        <v/>
      </c>
      <c r="BO1356" s="163" t="str">
        <f t="shared" si="864"/>
        <v/>
      </c>
      <c r="BP1356" s="150" t="str">
        <f t="shared" si="894"/>
        <v/>
      </c>
      <c r="BQ1356" s="150" t="str">
        <f t="shared" si="888"/>
        <v/>
      </c>
      <c r="BR1356" s="154" t="str">
        <f t="shared" si="865"/>
        <v/>
      </c>
      <c r="BT1356" s="147"/>
    </row>
    <row r="1357" spans="1:72" s="150" customFormat="1" x14ac:dyDescent="0.25">
      <c r="A1357" s="150" t="str">
        <f t="shared" si="889"/>
        <v/>
      </c>
      <c r="B1357" s="150" t="str">
        <f t="shared" si="890"/>
        <v/>
      </c>
      <c r="C1357" s="150" t="str">
        <f t="shared" si="891"/>
        <v/>
      </c>
      <c r="D1357" s="150" t="str">
        <f>IF(E1357="","",Input!$C$4+B1357-1)</f>
        <v/>
      </c>
      <c r="E1357" s="150" t="str">
        <f>IF(OR(AND(C1356=12,D1356=Input!$C$6),E1356=""),"",1)</f>
        <v/>
      </c>
      <c r="G1357" s="151" t="str">
        <f>IF(E1357="","",MAX(0,Input!$C$9-B1357))</f>
        <v/>
      </c>
      <c r="H1357" s="152" t="str">
        <f>IF(E1357="","",Input!$C$3)</f>
        <v/>
      </c>
      <c r="I1357" s="153" t="str">
        <f>IF(E1357="","",HLOOKUP($B1357,Input!$C$13:$BT$14,2))</f>
        <v/>
      </c>
      <c r="J1357" s="154"/>
      <c r="K1357" s="150" t="str">
        <f>IF($E1357="","",INDEX(Input!$C$16:$CP$16,1,$B1357))</f>
        <v/>
      </c>
      <c r="L1357" s="150" t="str">
        <f>IF($E1357="","",Input!$C$37)</f>
        <v/>
      </c>
      <c r="M1357" s="150" t="str">
        <f t="shared" si="877"/>
        <v/>
      </c>
      <c r="N1357" s="150" t="str">
        <f t="shared" si="878"/>
        <v/>
      </c>
      <c r="O1357" s="147" t="str">
        <f>IF($E1357="","",MIN(VLOOKUP(IF($B1357&lt;=Input!$C$7,$B1357,26),'Mortality Tables'!$A$41:$CW$67,IF($B1357&lt;=Input!$C$7+1,Input!$C$4+2,$D1357-Input!$C$7+2),0)*IF(B1357&gt;20,Input!$C$22,1)/1000,1))</f>
        <v/>
      </c>
      <c r="P1357" s="147" t="str">
        <f>IF($E1357="","",MIN(VLOOKUP(IF($B1357&lt;=Input!$C$7,$B1357,26),'Mortality Tables'!$A$12:$CW$37,IF($B1357&lt;=Input!$C$7+1,Input!$C$4+2,$D1357-Input!$C$7+2),0)*IF(B1357&gt;20,Input!$C$22,1)/1000,1))</f>
        <v/>
      </c>
      <c r="Q1357" s="155" t="str">
        <f>IF($E1357="","",Input!$C$21)</f>
        <v/>
      </c>
      <c r="R1357" s="159" t="str">
        <f>IF($E1357="","",(1-Q1357)^($F1357-Input!$C$20))</f>
        <v/>
      </c>
      <c r="S1357" s="147" t="str">
        <f t="shared" si="866"/>
        <v/>
      </c>
      <c r="T1357" s="147" t="str">
        <f t="shared" si="867"/>
        <v/>
      </c>
      <c r="U1357" s="160" t="str">
        <f>IF($E1357="","",IF($C1357=12,INDEX(Input!$C$15:$CP$15,1,$B1357),0))</f>
        <v/>
      </c>
      <c r="V1357" s="150" t="str">
        <f>IF(E1357="","",IF(C1357=1,IF($B1357=1,Input!$C$33,Input!$C$34),0))</f>
        <v/>
      </c>
      <c r="W1357" s="156" t="str">
        <f>IF($E1357="","",Input!$C$35)</f>
        <v/>
      </c>
      <c r="X1357" s="156" t="str">
        <f t="shared" si="868"/>
        <v/>
      </c>
      <c r="Y1357" s="154"/>
      <c r="Z1357" s="147" t="str">
        <f>IF($E1357="","",VLOOKUP($D1357,'Mortality Margins &amp; Grading'!$AB$5:$AF$125,3,0)*IF(Summary!$D$25="Included Margin",IF(AND($B1357&gt;Input!$C$9,Summary!$D$31&lt;&gt;"Included Margin"),0,1),0))</f>
        <v/>
      </c>
      <c r="AA1357" s="147" t="str">
        <f>IF($E1357="","",VLOOKUP($D1357,'Mortality Margins &amp; Grading'!$AB$5:$AF$125,5,0)*IF(Summary!$D$25="Included Margin",IF(AND($B1357&gt;Input!$C$9,Summary!$D$31&lt;&gt;"Included Margin"),0,1),0))</f>
        <v/>
      </c>
      <c r="AB1357" s="147" t="str">
        <f>IF($E1357="","",IF(AND($B1357&gt;Input!$C$9,Summary!$D$31&lt;&gt;"Included Margin"),1,IF(Summary!$D$25="Included Margin",VLOOKUP($B1357,'Mortality Margins &amp; Grading'!$AI$5:$AR$125,MATCH('Mortality Margins &amp; Grading'!$AQ$4,'Mortality Margins &amp; Grading'!$AI$4:$AR$4,0),0),1)))</f>
        <v/>
      </c>
      <c r="AC1357" s="154"/>
      <c r="AD1357" s="158" t="str">
        <f>IF(E1357="","",Input!$C$48*IF(Summary!$D$30="Included Margin",IF(AND($B1357&gt;Input!$C$9,Summary!$D$31&lt;&gt;"Included Margin"),0,1),0))</f>
        <v/>
      </c>
      <c r="AE1357" s="159" t="str">
        <f>IF(E1357="","",IF(Summary!$D$26="Included Margin",IF(AND($B1357&gt;Input!$C$9,Summary!$D$31&lt;&gt;"Included Margin"),1,1/$R1357),1))</f>
        <v/>
      </c>
      <c r="AF1357" s="160" t="str">
        <f>IF(E1357="","",IF(AND($B1357&gt;=Input!$C$9,$C1357=12,Summary!$D$31="Included Margin",$U1357&gt;0),1/U1357-1,IF($B1357&gt;=Input!$C$9,0,Input!$C$45*IF(Summary!$D$27="Included Margin",1,0))))</f>
        <v/>
      </c>
      <c r="AG1357" s="160" t="str">
        <f>IF(E1357="","",Input!$C$46*IF(Summary!$D$28="Included Margin",IF(AND($B1357&gt;Input!$C$9,Summary!$D$31&lt;&gt;"Included Margin"),0,1),0))</f>
        <v/>
      </c>
      <c r="AH1357" s="158" t="str">
        <f>IF(E1357="","",Input!$C$47*IF(Summary!$D$29="Included Margin",IF(AND($B1357&gt;Input!$C$9,Summary!$D$31&lt;&gt;"Included Margin"),0,1),0))</f>
        <v/>
      </c>
      <c r="AI1357" s="154"/>
      <c r="AJ1357" s="158" t="str">
        <f t="shared" si="879"/>
        <v/>
      </c>
      <c r="AK1357" s="150" t="str">
        <f t="shared" si="880"/>
        <v/>
      </c>
      <c r="AL1357" s="147" t="str">
        <f t="shared" si="881"/>
        <v/>
      </c>
      <c r="AM1357" s="147" t="str">
        <f t="shared" si="869"/>
        <v/>
      </c>
      <c r="AN1357" s="160" t="str">
        <f t="shared" si="882"/>
        <v/>
      </c>
      <c r="AO1357" s="161" t="str">
        <f t="shared" si="883"/>
        <v/>
      </c>
      <c r="AP1357" s="156" t="str">
        <f t="shared" si="870"/>
        <v/>
      </c>
      <c r="AQ1357" s="152"/>
      <c r="AR1357" s="162" t="str">
        <f t="shared" si="871"/>
        <v/>
      </c>
      <c r="AS1357" s="150" t="str">
        <f t="shared" si="884"/>
        <v/>
      </c>
      <c r="AT1357" s="163" t="str">
        <f t="shared" si="872"/>
        <v/>
      </c>
      <c r="AU1357" s="163" t="str">
        <f t="shared" si="873"/>
        <v/>
      </c>
      <c r="AV1357" s="163" t="str">
        <f t="shared" si="885"/>
        <v/>
      </c>
      <c r="AW1357" s="163" t="str">
        <f t="shared" si="874"/>
        <v/>
      </c>
      <c r="AX1357" s="163" t="str">
        <f t="shared" si="875"/>
        <v/>
      </c>
      <c r="AY1357" s="150" t="str">
        <f t="shared" si="886"/>
        <v/>
      </c>
      <c r="AZ1357" s="150" t="str">
        <f>IF($E1357="","",IF(OR(AND($D1357=Input!$C$6,$C1357=12),$AN1357=1),0,-AS1358+AT1358+AU1358-AV1358-AW1358-AX1358+AZ1358))</f>
        <v/>
      </c>
      <c r="BA1357" s="154" t="str">
        <f t="shared" si="876"/>
        <v/>
      </c>
      <c r="BC1357" s="147" t="str">
        <f t="shared" si="887"/>
        <v/>
      </c>
      <c r="BD1357" s="164" t="str">
        <f>IF(AND($C1356=12,$D1356=Input!$C$6),0,IF($E1357="","",AT1357+(AU1357+BD1358)/(1+$AK1357)*MIN((1-AM1357-AN1357),1)))</f>
        <v/>
      </c>
      <c r="BH1357" s="152"/>
      <c r="BI1357" s="162" t="str">
        <f t="shared" si="860"/>
        <v/>
      </c>
      <c r="BJ1357" s="150" t="str">
        <f t="shared" si="861"/>
        <v/>
      </c>
      <c r="BK1357" s="163" t="str">
        <f t="shared" si="892"/>
        <v/>
      </c>
      <c r="BL1357" s="163" t="str">
        <f t="shared" si="862"/>
        <v/>
      </c>
      <c r="BM1357" s="163" t="str">
        <f t="shared" si="893"/>
        <v/>
      </c>
      <c r="BN1357" s="163" t="str">
        <f t="shared" si="863"/>
        <v/>
      </c>
      <c r="BO1357" s="163" t="str">
        <f t="shared" si="864"/>
        <v/>
      </c>
      <c r="BP1357" s="150" t="str">
        <f t="shared" si="894"/>
        <v/>
      </c>
      <c r="BQ1357" s="150" t="str">
        <f t="shared" si="888"/>
        <v/>
      </c>
      <c r="BR1357" s="154" t="str">
        <f t="shared" si="865"/>
        <v/>
      </c>
      <c r="BT1357" s="147"/>
    </row>
    <row r="1358" spans="1:72" s="150" customFormat="1" x14ac:dyDescent="0.25">
      <c r="A1358" s="150" t="str">
        <f t="shared" si="889"/>
        <v/>
      </c>
      <c r="B1358" s="150" t="str">
        <f t="shared" si="890"/>
        <v/>
      </c>
      <c r="C1358" s="150" t="str">
        <f t="shared" si="891"/>
        <v/>
      </c>
      <c r="D1358" s="150" t="str">
        <f>IF(E1358="","",Input!$C$4+B1358-1)</f>
        <v/>
      </c>
      <c r="E1358" s="150" t="str">
        <f>IF(OR(AND(C1357=12,D1357=Input!$C$6),E1357=""),"",1)</f>
        <v/>
      </c>
      <c r="G1358" s="151" t="str">
        <f>IF(E1358="","",MAX(0,Input!$C$9-B1358))</f>
        <v/>
      </c>
      <c r="H1358" s="152" t="str">
        <f>IF(E1358="","",Input!$C$3)</f>
        <v/>
      </c>
      <c r="I1358" s="153" t="str">
        <f>IF(E1358="","",HLOOKUP($B1358,Input!$C$13:$BT$14,2))</f>
        <v/>
      </c>
      <c r="J1358" s="154"/>
      <c r="K1358" s="150" t="str">
        <f>IF($E1358="","",INDEX(Input!$C$16:$CP$16,1,$B1358))</f>
        <v/>
      </c>
      <c r="L1358" s="150" t="str">
        <f>IF($E1358="","",Input!$C$37)</f>
        <v/>
      </c>
      <c r="M1358" s="150" t="str">
        <f t="shared" si="877"/>
        <v/>
      </c>
      <c r="N1358" s="150" t="str">
        <f t="shared" si="878"/>
        <v/>
      </c>
      <c r="O1358" s="147" t="str">
        <f>IF($E1358="","",MIN(VLOOKUP(IF($B1358&lt;=Input!$C$7,$B1358,26),'Mortality Tables'!$A$41:$CW$67,IF($B1358&lt;=Input!$C$7+1,Input!$C$4+2,$D1358-Input!$C$7+2),0)*IF(B1358&gt;20,Input!$C$22,1)/1000,1))</f>
        <v/>
      </c>
      <c r="P1358" s="147" t="str">
        <f>IF($E1358="","",MIN(VLOOKUP(IF($B1358&lt;=Input!$C$7,$B1358,26),'Mortality Tables'!$A$12:$CW$37,IF($B1358&lt;=Input!$C$7+1,Input!$C$4+2,$D1358-Input!$C$7+2),0)*IF(B1358&gt;20,Input!$C$22,1)/1000,1))</f>
        <v/>
      </c>
      <c r="Q1358" s="155" t="str">
        <f>IF($E1358="","",Input!$C$21)</f>
        <v/>
      </c>
      <c r="R1358" s="159" t="str">
        <f>IF($E1358="","",(1-Q1358)^($F1358-Input!$C$20))</f>
        <v/>
      </c>
      <c r="S1358" s="147" t="str">
        <f t="shared" si="866"/>
        <v/>
      </c>
      <c r="T1358" s="147" t="str">
        <f t="shared" si="867"/>
        <v/>
      </c>
      <c r="U1358" s="160" t="str">
        <f>IF($E1358="","",IF($C1358=12,INDEX(Input!$C$15:$CP$15,1,$B1358),0))</f>
        <v/>
      </c>
      <c r="V1358" s="150" t="str">
        <f>IF(E1358="","",IF(C1358=1,IF($B1358=1,Input!$C$33,Input!$C$34),0))</f>
        <v/>
      </c>
      <c r="W1358" s="156" t="str">
        <f>IF($E1358="","",Input!$C$35)</f>
        <v/>
      </c>
      <c r="X1358" s="156" t="str">
        <f t="shared" si="868"/>
        <v/>
      </c>
      <c r="Y1358" s="154"/>
      <c r="Z1358" s="147" t="str">
        <f>IF($E1358="","",VLOOKUP($D1358,'Mortality Margins &amp; Grading'!$AB$5:$AF$125,3,0)*IF(Summary!$D$25="Included Margin",IF(AND($B1358&gt;Input!$C$9,Summary!$D$31&lt;&gt;"Included Margin"),0,1),0))</f>
        <v/>
      </c>
      <c r="AA1358" s="147" t="str">
        <f>IF($E1358="","",VLOOKUP($D1358,'Mortality Margins &amp; Grading'!$AB$5:$AF$125,5,0)*IF(Summary!$D$25="Included Margin",IF(AND($B1358&gt;Input!$C$9,Summary!$D$31&lt;&gt;"Included Margin"),0,1),0))</f>
        <v/>
      </c>
      <c r="AB1358" s="147" t="str">
        <f>IF($E1358="","",IF(AND($B1358&gt;Input!$C$9,Summary!$D$31&lt;&gt;"Included Margin"),1,IF(Summary!$D$25="Included Margin",VLOOKUP($B1358,'Mortality Margins &amp; Grading'!$AI$5:$AR$125,MATCH('Mortality Margins &amp; Grading'!$AQ$4,'Mortality Margins &amp; Grading'!$AI$4:$AR$4,0),0),1)))</f>
        <v/>
      </c>
      <c r="AC1358" s="154"/>
      <c r="AD1358" s="158" t="str">
        <f>IF(E1358="","",Input!$C$48*IF(Summary!$D$30="Included Margin",IF(AND($B1358&gt;Input!$C$9,Summary!$D$31&lt;&gt;"Included Margin"),0,1),0))</f>
        <v/>
      </c>
      <c r="AE1358" s="159" t="str">
        <f>IF(E1358="","",IF(Summary!$D$26="Included Margin",IF(AND($B1358&gt;Input!$C$9,Summary!$D$31&lt;&gt;"Included Margin"),1,1/$R1358),1))</f>
        <v/>
      </c>
      <c r="AF1358" s="160" t="str">
        <f>IF(E1358="","",IF(AND($B1358&gt;=Input!$C$9,$C1358=12,Summary!$D$31="Included Margin",$U1358&gt;0),1/U1358-1,IF($B1358&gt;=Input!$C$9,0,Input!$C$45*IF(Summary!$D$27="Included Margin",1,0))))</f>
        <v/>
      </c>
      <c r="AG1358" s="160" t="str">
        <f>IF(E1358="","",Input!$C$46*IF(Summary!$D$28="Included Margin",IF(AND($B1358&gt;Input!$C$9,Summary!$D$31&lt;&gt;"Included Margin"),0,1),0))</f>
        <v/>
      </c>
      <c r="AH1358" s="158" t="str">
        <f>IF(E1358="","",Input!$C$47*IF(Summary!$D$29="Included Margin",IF(AND($B1358&gt;Input!$C$9,Summary!$D$31&lt;&gt;"Included Margin"),0,1),0))</f>
        <v/>
      </c>
      <c r="AI1358" s="154"/>
      <c r="AJ1358" s="158" t="str">
        <f t="shared" si="879"/>
        <v/>
      </c>
      <c r="AK1358" s="150" t="str">
        <f t="shared" si="880"/>
        <v/>
      </c>
      <c r="AL1358" s="147" t="str">
        <f t="shared" si="881"/>
        <v/>
      </c>
      <c r="AM1358" s="147" t="str">
        <f t="shared" si="869"/>
        <v/>
      </c>
      <c r="AN1358" s="160" t="str">
        <f t="shared" si="882"/>
        <v/>
      </c>
      <c r="AO1358" s="161" t="str">
        <f t="shared" si="883"/>
        <v/>
      </c>
      <c r="AP1358" s="156" t="str">
        <f t="shared" si="870"/>
        <v/>
      </c>
      <c r="AQ1358" s="152"/>
      <c r="AR1358" s="162" t="str">
        <f t="shared" si="871"/>
        <v/>
      </c>
      <c r="AS1358" s="150" t="str">
        <f t="shared" si="884"/>
        <v/>
      </c>
      <c r="AT1358" s="163" t="str">
        <f t="shared" si="872"/>
        <v/>
      </c>
      <c r="AU1358" s="163" t="str">
        <f t="shared" si="873"/>
        <v/>
      </c>
      <c r="AV1358" s="163" t="str">
        <f t="shared" si="885"/>
        <v/>
      </c>
      <c r="AW1358" s="163" t="str">
        <f t="shared" si="874"/>
        <v/>
      </c>
      <c r="AX1358" s="163" t="str">
        <f t="shared" si="875"/>
        <v/>
      </c>
      <c r="AY1358" s="150" t="str">
        <f t="shared" si="886"/>
        <v/>
      </c>
      <c r="AZ1358" s="150" t="str">
        <f>IF($E1358="","",IF(OR(AND($D1358=Input!$C$6,$C1358=12),$AN1358=1),0,-AS1359+AT1359+AU1359-AV1359-AW1359-AX1359+AZ1359))</f>
        <v/>
      </c>
      <c r="BA1358" s="154" t="str">
        <f t="shared" si="876"/>
        <v/>
      </c>
      <c r="BC1358" s="147" t="str">
        <f t="shared" si="887"/>
        <v/>
      </c>
      <c r="BD1358" s="164" t="str">
        <f>IF(AND($C1357=12,$D1357=Input!$C$6),0,IF($E1358="","",AT1358+(AU1358+BD1359)/(1+$AK1358)*MIN((1-AM1358-AN1358),1)))</f>
        <v/>
      </c>
      <c r="BH1358" s="152"/>
      <c r="BI1358" s="162" t="str">
        <f t="shared" si="860"/>
        <v/>
      </c>
      <c r="BJ1358" s="150" t="str">
        <f t="shared" si="861"/>
        <v/>
      </c>
      <c r="BK1358" s="163" t="str">
        <f t="shared" si="892"/>
        <v/>
      </c>
      <c r="BL1358" s="163" t="str">
        <f t="shared" si="862"/>
        <v/>
      </c>
      <c r="BM1358" s="163" t="str">
        <f t="shared" si="893"/>
        <v/>
      </c>
      <c r="BN1358" s="163" t="str">
        <f t="shared" si="863"/>
        <v/>
      </c>
      <c r="BO1358" s="163" t="str">
        <f t="shared" si="864"/>
        <v/>
      </c>
      <c r="BP1358" s="150" t="str">
        <f t="shared" si="894"/>
        <v/>
      </c>
      <c r="BQ1358" s="150" t="str">
        <f t="shared" si="888"/>
        <v/>
      </c>
      <c r="BR1358" s="154" t="str">
        <f t="shared" si="865"/>
        <v/>
      </c>
      <c r="BT1358" s="147"/>
    </row>
    <row r="1359" spans="1:72" s="150" customFormat="1" x14ac:dyDescent="0.25">
      <c r="A1359" s="150" t="str">
        <f t="shared" si="889"/>
        <v/>
      </c>
      <c r="B1359" s="150" t="str">
        <f t="shared" si="890"/>
        <v/>
      </c>
      <c r="C1359" s="150" t="str">
        <f t="shared" si="891"/>
        <v/>
      </c>
      <c r="D1359" s="150" t="str">
        <f>IF(E1359="","",Input!$C$4+B1359-1)</f>
        <v/>
      </c>
      <c r="E1359" s="150" t="str">
        <f>IF(OR(AND(C1358=12,D1358=Input!$C$6),E1358=""),"",1)</f>
        <v/>
      </c>
      <c r="G1359" s="151" t="str">
        <f>IF(E1359="","",MAX(0,Input!$C$9-B1359))</f>
        <v/>
      </c>
      <c r="H1359" s="152" t="str">
        <f>IF(E1359="","",Input!$C$3)</f>
        <v/>
      </c>
      <c r="I1359" s="153" t="str">
        <f>IF(E1359="","",HLOOKUP($B1359,Input!$C$13:$BT$14,2))</f>
        <v/>
      </c>
      <c r="J1359" s="154"/>
      <c r="K1359" s="150" t="str">
        <f>IF($E1359="","",INDEX(Input!$C$16:$CP$16,1,$B1359))</f>
        <v/>
      </c>
      <c r="L1359" s="150" t="str">
        <f>IF($E1359="","",Input!$C$37)</f>
        <v/>
      </c>
      <c r="M1359" s="150" t="str">
        <f t="shared" si="877"/>
        <v/>
      </c>
      <c r="N1359" s="150" t="str">
        <f t="shared" si="878"/>
        <v/>
      </c>
      <c r="O1359" s="147" t="str">
        <f>IF($E1359="","",MIN(VLOOKUP(IF($B1359&lt;=Input!$C$7,$B1359,26),'Mortality Tables'!$A$41:$CW$67,IF($B1359&lt;=Input!$C$7+1,Input!$C$4+2,$D1359-Input!$C$7+2),0)*IF(B1359&gt;20,Input!$C$22,1)/1000,1))</f>
        <v/>
      </c>
      <c r="P1359" s="147" t="str">
        <f>IF($E1359="","",MIN(VLOOKUP(IF($B1359&lt;=Input!$C$7,$B1359,26),'Mortality Tables'!$A$12:$CW$37,IF($B1359&lt;=Input!$C$7+1,Input!$C$4+2,$D1359-Input!$C$7+2),0)*IF(B1359&gt;20,Input!$C$22,1)/1000,1))</f>
        <v/>
      </c>
      <c r="Q1359" s="155" t="str">
        <f>IF($E1359="","",Input!$C$21)</f>
        <v/>
      </c>
      <c r="R1359" s="159" t="str">
        <f>IF($E1359="","",(1-Q1359)^($F1359-Input!$C$20))</f>
        <v/>
      </c>
      <c r="S1359" s="147" t="str">
        <f t="shared" si="866"/>
        <v/>
      </c>
      <c r="T1359" s="147" t="str">
        <f t="shared" si="867"/>
        <v/>
      </c>
      <c r="U1359" s="160" t="str">
        <f>IF($E1359="","",IF($C1359=12,INDEX(Input!$C$15:$CP$15,1,$B1359),0))</f>
        <v/>
      </c>
      <c r="V1359" s="150" t="str">
        <f>IF(E1359="","",IF(C1359=1,IF($B1359=1,Input!$C$33,Input!$C$34),0))</f>
        <v/>
      </c>
      <c r="W1359" s="156" t="str">
        <f>IF($E1359="","",Input!$C$35)</f>
        <v/>
      </c>
      <c r="X1359" s="156" t="str">
        <f t="shared" si="868"/>
        <v/>
      </c>
      <c r="Y1359" s="154"/>
      <c r="Z1359" s="147" t="str">
        <f>IF($E1359="","",VLOOKUP($D1359,'Mortality Margins &amp; Grading'!$AB$5:$AF$125,3,0)*IF(Summary!$D$25="Included Margin",IF(AND($B1359&gt;Input!$C$9,Summary!$D$31&lt;&gt;"Included Margin"),0,1),0))</f>
        <v/>
      </c>
      <c r="AA1359" s="147" t="str">
        <f>IF($E1359="","",VLOOKUP($D1359,'Mortality Margins &amp; Grading'!$AB$5:$AF$125,5,0)*IF(Summary!$D$25="Included Margin",IF(AND($B1359&gt;Input!$C$9,Summary!$D$31&lt;&gt;"Included Margin"),0,1),0))</f>
        <v/>
      </c>
      <c r="AB1359" s="147" t="str">
        <f>IF($E1359="","",IF(AND($B1359&gt;Input!$C$9,Summary!$D$31&lt;&gt;"Included Margin"),1,IF(Summary!$D$25="Included Margin",VLOOKUP($B1359,'Mortality Margins &amp; Grading'!$AI$5:$AR$125,MATCH('Mortality Margins &amp; Grading'!$AQ$4,'Mortality Margins &amp; Grading'!$AI$4:$AR$4,0),0),1)))</f>
        <v/>
      </c>
      <c r="AC1359" s="154"/>
      <c r="AD1359" s="158" t="str">
        <f>IF(E1359="","",Input!$C$48*IF(Summary!$D$30="Included Margin",IF(AND($B1359&gt;Input!$C$9,Summary!$D$31&lt;&gt;"Included Margin"),0,1),0))</f>
        <v/>
      </c>
      <c r="AE1359" s="159" t="str">
        <f>IF(E1359="","",IF(Summary!$D$26="Included Margin",IF(AND($B1359&gt;Input!$C$9,Summary!$D$31&lt;&gt;"Included Margin"),1,1/$R1359),1))</f>
        <v/>
      </c>
      <c r="AF1359" s="160" t="str">
        <f>IF(E1359="","",IF(AND($B1359&gt;=Input!$C$9,$C1359=12,Summary!$D$31="Included Margin",$U1359&gt;0),1/U1359-1,IF($B1359&gt;=Input!$C$9,0,Input!$C$45*IF(Summary!$D$27="Included Margin",1,0))))</f>
        <v/>
      </c>
      <c r="AG1359" s="160" t="str">
        <f>IF(E1359="","",Input!$C$46*IF(Summary!$D$28="Included Margin",IF(AND($B1359&gt;Input!$C$9,Summary!$D$31&lt;&gt;"Included Margin"),0,1),0))</f>
        <v/>
      </c>
      <c r="AH1359" s="158" t="str">
        <f>IF(E1359="","",Input!$C$47*IF(Summary!$D$29="Included Margin",IF(AND($B1359&gt;Input!$C$9,Summary!$D$31&lt;&gt;"Included Margin"),0,1),0))</f>
        <v/>
      </c>
      <c r="AI1359" s="154"/>
      <c r="AJ1359" s="158" t="str">
        <f t="shared" si="879"/>
        <v/>
      </c>
      <c r="AK1359" s="150" t="str">
        <f t="shared" si="880"/>
        <v/>
      </c>
      <c r="AL1359" s="147" t="str">
        <f t="shared" si="881"/>
        <v/>
      </c>
      <c r="AM1359" s="147" t="str">
        <f t="shared" si="869"/>
        <v/>
      </c>
      <c r="AN1359" s="160" t="str">
        <f t="shared" si="882"/>
        <v/>
      </c>
      <c r="AO1359" s="161" t="str">
        <f t="shared" si="883"/>
        <v/>
      </c>
      <c r="AP1359" s="156" t="str">
        <f t="shared" si="870"/>
        <v/>
      </c>
      <c r="AQ1359" s="152"/>
      <c r="AR1359" s="162" t="str">
        <f t="shared" si="871"/>
        <v/>
      </c>
      <c r="AS1359" s="150" t="str">
        <f t="shared" si="884"/>
        <v/>
      </c>
      <c r="AT1359" s="163" t="str">
        <f t="shared" si="872"/>
        <v/>
      </c>
      <c r="AU1359" s="163" t="str">
        <f t="shared" si="873"/>
        <v/>
      </c>
      <c r="AV1359" s="163" t="str">
        <f t="shared" si="885"/>
        <v/>
      </c>
      <c r="AW1359" s="163" t="str">
        <f t="shared" si="874"/>
        <v/>
      </c>
      <c r="AX1359" s="163" t="str">
        <f t="shared" si="875"/>
        <v/>
      </c>
      <c r="AY1359" s="150" t="str">
        <f t="shared" si="886"/>
        <v/>
      </c>
      <c r="AZ1359" s="150" t="str">
        <f>IF($E1359="","",IF(OR(AND($D1359=Input!$C$6,$C1359=12),$AN1359=1),0,-AS1360+AT1360+AU1360-AV1360-AW1360-AX1360+AZ1360))</f>
        <v/>
      </c>
      <c r="BA1359" s="154" t="str">
        <f t="shared" si="876"/>
        <v/>
      </c>
      <c r="BC1359" s="147" t="str">
        <f t="shared" si="887"/>
        <v/>
      </c>
      <c r="BD1359" s="164" t="str">
        <f>IF(AND($C1358=12,$D1358=Input!$C$6),0,IF($E1359="","",AT1359+(AU1359+BD1360)/(1+$AK1359)*MIN((1-AM1359-AN1359),1)))</f>
        <v/>
      </c>
      <c r="BH1359" s="152"/>
      <c r="BI1359" s="162" t="str">
        <f t="shared" si="860"/>
        <v/>
      </c>
      <c r="BJ1359" s="150" t="str">
        <f t="shared" si="861"/>
        <v/>
      </c>
      <c r="BK1359" s="163" t="str">
        <f t="shared" si="892"/>
        <v/>
      </c>
      <c r="BL1359" s="163" t="str">
        <f t="shared" si="862"/>
        <v/>
      </c>
      <c r="BM1359" s="163" t="str">
        <f t="shared" si="893"/>
        <v/>
      </c>
      <c r="BN1359" s="163" t="str">
        <f t="shared" si="863"/>
        <v/>
      </c>
      <c r="BO1359" s="163" t="str">
        <f t="shared" si="864"/>
        <v/>
      </c>
      <c r="BP1359" s="150" t="str">
        <f t="shared" si="894"/>
        <v/>
      </c>
      <c r="BQ1359" s="150" t="str">
        <f t="shared" si="888"/>
        <v/>
      </c>
      <c r="BR1359" s="154" t="str">
        <f t="shared" si="865"/>
        <v/>
      </c>
      <c r="BT1359" s="147"/>
    </row>
    <row r="1360" spans="1:72" s="150" customFormat="1" x14ac:dyDescent="0.25">
      <c r="A1360" s="150" t="str">
        <f t="shared" si="889"/>
        <v/>
      </c>
      <c r="B1360" s="150" t="str">
        <f t="shared" si="890"/>
        <v/>
      </c>
      <c r="C1360" s="150" t="str">
        <f t="shared" si="891"/>
        <v/>
      </c>
      <c r="D1360" s="150" t="str">
        <f>IF(E1360="","",Input!$C$4+B1360-1)</f>
        <v/>
      </c>
      <c r="E1360" s="150" t="str">
        <f>IF(OR(AND(C1359=12,D1359=Input!$C$6),E1359=""),"",1)</f>
        <v/>
      </c>
      <c r="G1360" s="151" t="str">
        <f>IF(E1360="","",MAX(0,Input!$C$9-B1360))</f>
        <v/>
      </c>
      <c r="H1360" s="152" t="str">
        <f>IF(E1360="","",Input!$C$3)</f>
        <v/>
      </c>
      <c r="I1360" s="153" t="str">
        <f>IF(E1360="","",HLOOKUP($B1360,Input!$C$13:$BT$14,2))</f>
        <v/>
      </c>
      <c r="J1360" s="154"/>
      <c r="K1360" s="150" t="str">
        <f>IF($E1360="","",INDEX(Input!$C$16:$CP$16,1,$B1360))</f>
        <v/>
      </c>
      <c r="L1360" s="150" t="str">
        <f>IF($E1360="","",Input!$C$37)</f>
        <v/>
      </c>
      <c r="M1360" s="150" t="str">
        <f t="shared" si="877"/>
        <v/>
      </c>
      <c r="N1360" s="150" t="str">
        <f t="shared" si="878"/>
        <v/>
      </c>
      <c r="O1360" s="147" t="str">
        <f>IF($E1360="","",MIN(VLOOKUP(IF($B1360&lt;=Input!$C$7,$B1360,26),'Mortality Tables'!$A$41:$CW$67,IF($B1360&lt;=Input!$C$7+1,Input!$C$4+2,$D1360-Input!$C$7+2),0)*IF(B1360&gt;20,Input!$C$22,1)/1000,1))</f>
        <v/>
      </c>
      <c r="P1360" s="147" t="str">
        <f>IF($E1360="","",MIN(VLOOKUP(IF($B1360&lt;=Input!$C$7,$B1360,26),'Mortality Tables'!$A$12:$CW$37,IF($B1360&lt;=Input!$C$7+1,Input!$C$4+2,$D1360-Input!$C$7+2),0)*IF(B1360&gt;20,Input!$C$22,1)/1000,1))</f>
        <v/>
      </c>
      <c r="Q1360" s="155" t="str">
        <f>IF($E1360="","",Input!$C$21)</f>
        <v/>
      </c>
      <c r="R1360" s="159" t="str">
        <f>IF($E1360="","",(1-Q1360)^($F1360-Input!$C$20))</f>
        <v/>
      </c>
      <c r="S1360" s="147" t="str">
        <f t="shared" si="866"/>
        <v/>
      </c>
      <c r="T1360" s="147" t="str">
        <f t="shared" si="867"/>
        <v/>
      </c>
      <c r="U1360" s="160" t="str">
        <f>IF($E1360="","",IF($C1360=12,INDEX(Input!$C$15:$CP$15,1,$B1360),0))</f>
        <v/>
      </c>
      <c r="V1360" s="150" t="str">
        <f>IF(E1360="","",IF(C1360=1,IF($B1360=1,Input!$C$33,Input!$C$34),0))</f>
        <v/>
      </c>
      <c r="W1360" s="156" t="str">
        <f>IF($E1360="","",Input!$C$35)</f>
        <v/>
      </c>
      <c r="X1360" s="156" t="str">
        <f t="shared" si="868"/>
        <v/>
      </c>
      <c r="Y1360" s="154"/>
      <c r="Z1360" s="147" t="str">
        <f>IF($E1360="","",VLOOKUP($D1360,'Mortality Margins &amp; Grading'!$AB$5:$AF$125,3,0)*IF(Summary!$D$25="Included Margin",IF(AND($B1360&gt;Input!$C$9,Summary!$D$31&lt;&gt;"Included Margin"),0,1),0))</f>
        <v/>
      </c>
      <c r="AA1360" s="147" t="str">
        <f>IF($E1360="","",VLOOKUP($D1360,'Mortality Margins &amp; Grading'!$AB$5:$AF$125,5,0)*IF(Summary!$D$25="Included Margin",IF(AND($B1360&gt;Input!$C$9,Summary!$D$31&lt;&gt;"Included Margin"),0,1),0))</f>
        <v/>
      </c>
      <c r="AB1360" s="147" t="str">
        <f>IF($E1360="","",IF(AND($B1360&gt;Input!$C$9,Summary!$D$31&lt;&gt;"Included Margin"),1,IF(Summary!$D$25="Included Margin",VLOOKUP($B1360,'Mortality Margins &amp; Grading'!$AI$5:$AR$125,MATCH('Mortality Margins &amp; Grading'!$AQ$4,'Mortality Margins &amp; Grading'!$AI$4:$AR$4,0),0),1)))</f>
        <v/>
      </c>
      <c r="AC1360" s="154"/>
      <c r="AD1360" s="158" t="str">
        <f>IF(E1360="","",Input!$C$48*IF(Summary!$D$30="Included Margin",IF(AND($B1360&gt;Input!$C$9,Summary!$D$31&lt;&gt;"Included Margin"),0,1),0))</f>
        <v/>
      </c>
      <c r="AE1360" s="159" t="str">
        <f>IF(E1360="","",IF(Summary!$D$26="Included Margin",IF(AND($B1360&gt;Input!$C$9,Summary!$D$31&lt;&gt;"Included Margin"),1,1/$R1360),1))</f>
        <v/>
      </c>
      <c r="AF1360" s="160" t="str">
        <f>IF(E1360="","",IF(AND($B1360&gt;=Input!$C$9,$C1360=12,Summary!$D$31="Included Margin",$U1360&gt;0),1/U1360-1,IF($B1360&gt;=Input!$C$9,0,Input!$C$45*IF(Summary!$D$27="Included Margin",1,0))))</f>
        <v/>
      </c>
      <c r="AG1360" s="160" t="str">
        <f>IF(E1360="","",Input!$C$46*IF(Summary!$D$28="Included Margin",IF(AND($B1360&gt;Input!$C$9,Summary!$D$31&lt;&gt;"Included Margin"),0,1),0))</f>
        <v/>
      </c>
      <c r="AH1360" s="158" t="str">
        <f>IF(E1360="","",Input!$C$47*IF(Summary!$D$29="Included Margin",IF(AND($B1360&gt;Input!$C$9,Summary!$D$31&lt;&gt;"Included Margin"),0,1),0))</f>
        <v/>
      </c>
      <c r="AI1360" s="154"/>
      <c r="AJ1360" s="158" t="str">
        <f t="shared" si="879"/>
        <v/>
      </c>
      <c r="AK1360" s="150" t="str">
        <f t="shared" si="880"/>
        <v/>
      </c>
      <c r="AL1360" s="147" t="str">
        <f t="shared" si="881"/>
        <v/>
      </c>
      <c r="AM1360" s="147" t="str">
        <f t="shared" si="869"/>
        <v/>
      </c>
      <c r="AN1360" s="160" t="str">
        <f t="shared" si="882"/>
        <v/>
      </c>
      <c r="AO1360" s="161" t="str">
        <f t="shared" si="883"/>
        <v/>
      </c>
      <c r="AP1360" s="156" t="str">
        <f t="shared" si="870"/>
        <v/>
      </c>
      <c r="AQ1360" s="152"/>
      <c r="AR1360" s="162" t="str">
        <f t="shared" si="871"/>
        <v/>
      </c>
      <c r="AS1360" s="150" t="str">
        <f t="shared" si="884"/>
        <v/>
      </c>
      <c r="AT1360" s="163" t="str">
        <f t="shared" si="872"/>
        <v/>
      </c>
      <c r="AU1360" s="163" t="str">
        <f t="shared" si="873"/>
        <v/>
      </c>
      <c r="AV1360" s="163" t="str">
        <f t="shared" si="885"/>
        <v/>
      </c>
      <c r="AW1360" s="163" t="str">
        <f t="shared" si="874"/>
        <v/>
      </c>
      <c r="AX1360" s="163" t="str">
        <f t="shared" si="875"/>
        <v/>
      </c>
      <c r="AY1360" s="150" t="str">
        <f t="shared" si="886"/>
        <v/>
      </c>
      <c r="AZ1360" s="150" t="str">
        <f>IF($E1360="","",IF(OR(AND($D1360=Input!$C$6,$C1360=12),$AN1360=1),0,-AS1361+AT1361+AU1361-AV1361-AW1361-AX1361+AZ1361))</f>
        <v/>
      </c>
      <c r="BA1360" s="154" t="str">
        <f t="shared" si="876"/>
        <v/>
      </c>
      <c r="BC1360" s="147" t="str">
        <f t="shared" si="887"/>
        <v/>
      </c>
      <c r="BD1360" s="164" t="str">
        <f>IF(AND($C1359=12,$D1359=Input!$C$6),0,IF($E1360="","",AT1360+(AU1360+BD1361)/(1+$AK1360)*MIN((1-AM1360-AN1360),1)))</f>
        <v/>
      </c>
      <c r="BH1360" s="152"/>
      <c r="BI1360" s="162" t="str">
        <f t="shared" si="860"/>
        <v/>
      </c>
      <c r="BJ1360" s="150" t="str">
        <f t="shared" si="861"/>
        <v/>
      </c>
      <c r="BK1360" s="163" t="str">
        <f t="shared" si="892"/>
        <v/>
      </c>
      <c r="BL1360" s="163" t="str">
        <f t="shared" si="862"/>
        <v/>
      </c>
      <c r="BM1360" s="163" t="str">
        <f t="shared" si="893"/>
        <v/>
      </c>
      <c r="BN1360" s="163" t="str">
        <f t="shared" si="863"/>
        <v/>
      </c>
      <c r="BO1360" s="163" t="str">
        <f t="shared" si="864"/>
        <v/>
      </c>
      <c r="BP1360" s="150" t="str">
        <f t="shared" si="894"/>
        <v/>
      </c>
      <c r="BQ1360" s="150" t="str">
        <f t="shared" si="888"/>
        <v/>
      </c>
      <c r="BR1360" s="154" t="str">
        <f t="shared" si="865"/>
        <v/>
      </c>
      <c r="BT1360" s="147"/>
    </row>
    <row r="1361" spans="1:72" s="150" customFormat="1" x14ac:dyDescent="0.25">
      <c r="A1361" s="150" t="str">
        <f t="shared" si="889"/>
        <v/>
      </c>
      <c r="B1361" s="150" t="str">
        <f t="shared" si="890"/>
        <v/>
      </c>
      <c r="C1361" s="150" t="str">
        <f t="shared" si="891"/>
        <v/>
      </c>
      <c r="D1361" s="150" t="str">
        <f>IF(E1361="","",Input!$C$4+B1361-1)</f>
        <v/>
      </c>
      <c r="E1361" s="150" t="str">
        <f>IF(OR(AND(C1360=12,D1360=Input!$C$6),E1360=""),"",1)</f>
        <v/>
      </c>
      <c r="G1361" s="151" t="str">
        <f>IF(E1361="","",MAX(0,Input!$C$9-B1361))</f>
        <v/>
      </c>
      <c r="H1361" s="152" t="str">
        <f>IF(E1361="","",Input!$C$3)</f>
        <v/>
      </c>
      <c r="I1361" s="153" t="str">
        <f>IF(E1361="","",HLOOKUP($B1361,Input!$C$13:$BT$14,2))</f>
        <v/>
      </c>
      <c r="J1361" s="154"/>
      <c r="K1361" s="150" t="str">
        <f>IF($E1361="","",INDEX(Input!$C$16:$CP$16,1,$B1361))</f>
        <v/>
      </c>
      <c r="L1361" s="150" t="str">
        <f>IF($E1361="","",Input!$C$37)</f>
        <v/>
      </c>
      <c r="M1361" s="150" t="str">
        <f t="shared" si="877"/>
        <v/>
      </c>
      <c r="N1361" s="150" t="str">
        <f t="shared" si="878"/>
        <v/>
      </c>
      <c r="O1361" s="147" t="str">
        <f>IF($E1361="","",MIN(VLOOKUP(IF($B1361&lt;=Input!$C$7,$B1361,26),'Mortality Tables'!$A$41:$CW$67,IF($B1361&lt;=Input!$C$7+1,Input!$C$4+2,$D1361-Input!$C$7+2),0)*IF(B1361&gt;20,Input!$C$22,1)/1000,1))</f>
        <v/>
      </c>
      <c r="P1361" s="147" t="str">
        <f>IF($E1361="","",MIN(VLOOKUP(IF($B1361&lt;=Input!$C$7,$B1361,26),'Mortality Tables'!$A$12:$CW$37,IF($B1361&lt;=Input!$C$7+1,Input!$C$4+2,$D1361-Input!$C$7+2),0)*IF(B1361&gt;20,Input!$C$22,1)/1000,1))</f>
        <v/>
      </c>
      <c r="Q1361" s="155" t="str">
        <f>IF($E1361="","",Input!$C$21)</f>
        <v/>
      </c>
      <c r="R1361" s="159" t="str">
        <f>IF($E1361="","",(1-Q1361)^($F1361-Input!$C$20))</f>
        <v/>
      </c>
      <c r="S1361" s="147" t="str">
        <f t="shared" si="866"/>
        <v/>
      </c>
      <c r="T1361" s="147" t="str">
        <f t="shared" si="867"/>
        <v/>
      </c>
      <c r="U1361" s="160" t="str">
        <f>IF($E1361="","",IF($C1361=12,INDEX(Input!$C$15:$CP$15,1,$B1361),0))</f>
        <v/>
      </c>
      <c r="V1361" s="150" t="str">
        <f>IF(E1361="","",IF(C1361=1,IF($B1361=1,Input!$C$33,Input!$C$34),0))</f>
        <v/>
      </c>
      <c r="W1361" s="156" t="str">
        <f>IF($E1361="","",Input!$C$35)</f>
        <v/>
      </c>
      <c r="X1361" s="156" t="str">
        <f t="shared" si="868"/>
        <v/>
      </c>
      <c r="Y1361" s="154"/>
      <c r="Z1361" s="147" t="str">
        <f>IF($E1361="","",VLOOKUP($D1361,'Mortality Margins &amp; Grading'!$AB$5:$AF$125,3,0)*IF(Summary!$D$25="Included Margin",IF(AND($B1361&gt;Input!$C$9,Summary!$D$31&lt;&gt;"Included Margin"),0,1),0))</f>
        <v/>
      </c>
      <c r="AA1361" s="147" t="str">
        <f>IF($E1361="","",VLOOKUP($D1361,'Mortality Margins &amp; Grading'!$AB$5:$AF$125,5,0)*IF(Summary!$D$25="Included Margin",IF(AND($B1361&gt;Input!$C$9,Summary!$D$31&lt;&gt;"Included Margin"),0,1),0))</f>
        <v/>
      </c>
      <c r="AB1361" s="147" t="str">
        <f>IF($E1361="","",IF(AND($B1361&gt;Input!$C$9,Summary!$D$31&lt;&gt;"Included Margin"),1,IF(Summary!$D$25="Included Margin",VLOOKUP($B1361,'Mortality Margins &amp; Grading'!$AI$5:$AR$125,MATCH('Mortality Margins &amp; Grading'!$AQ$4,'Mortality Margins &amp; Grading'!$AI$4:$AR$4,0),0),1)))</f>
        <v/>
      </c>
      <c r="AC1361" s="154"/>
      <c r="AD1361" s="158" t="str">
        <f>IF(E1361="","",Input!$C$48*IF(Summary!$D$30="Included Margin",IF(AND($B1361&gt;Input!$C$9,Summary!$D$31&lt;&gt;"Included Margin"),0,1),0))</f>
        <v/>
      </c>
      <c r="AE1361" s="159" t="str">
        <f>IF(E1361="","",IF(Summary!$D$26="Included Margin",IF(AND($B1361&gt;Input!$C$9,Summary!$D$31&lt;&gt;"Included Margin"),1,1/$R1361),1))</f>
        <v/>
      </c>
      <c r="AF1361" s="160" t="str">
        <f>IF(E1361="","",IF(AND($B1361&gt;=Input!$C$9,$C1361=12,Summary!$D$31="Included Margin",$U1361&gt;0),1/U1361-1,IF($B1361&gt;=Input!$C$9,0,Input!$C$45*IF(Summary!$D$27="Included Margin",1,0))))</f>
        <v/>
      </c>
      <c r="AG1361" s="160" t="str">
        <f>IF(E1361="","",Input!$C$46*IF(Summary!$D$28="Included Margin",IF(AND($B1361&gt;Input!$C$9,Summary!$D$31&lt;&gt;"Included Margin"),0,1),0))</f>
        <v/>
      </c>
      <c r="AH1361" s="158" t="str">
        <f>IF(E1361="","",Input!$C$47*IF(Summary!$D$29="Included Margin",IF(AND($B1361&gt;Input!$C$9,Summary!$D$31&lt;&gt;"Included Margin"),0,1),0))</f>
        <v/>
      </c>
      <c r="AI1361" s="154"/>
      <c r="AJ1361" s="158" t="str">
        <f t="shared" si="879"/>
        <v/>
      </c>
      <c r="AK1361" s="150" t="str">
        <f t="shared" si="880"/>
        <v/>
      </c>
      <c r="AL1361" s="147" t="str">
        <f t="shared" si="881"/>
        <v/>
      </c>
      <c r="AM1361" s="147" t="str">
        <f t="shared" si="869"/>
        <v/>
      </c>
      <c r="AN1361" s="160" t="str">
        <f t="shared" si="882"/>
        <v/>
      </c>
      <c r="AO1361" s="161" t="str">
        <f t="shared" si="883"/>
        <v/>
      </c>
      <c r="AP1361" s="156" t="str">
        <f t="shared" si="870"/>
        <v/>
      </c>
      <c r="AQ1361" s="152"/>
      <c r="AR1361" s="162" t="str">
        <f t="shared" si="871"/>
        <v/>
      </c>
      <c r="AS1361" s="150" t="str">
        <f t="shared" si="884"/>
        <v/>
      </c>
      <c r="AT1361" s="163" t="str">
        <f t="shared" si="872"/>
        <v/>
      </c>
      <c r="AU1361" s="163" t="str">
        <f t="shared" si="873"/>
        <v/>
      </c>
      <c r="AV1361" s="163" t="str">
        <f t="shared" si="885"/>
        <v/>
      </c>
      <c r="AW1361" s="163" t="str">
        <f t="shared" si="874"/>
        <v/>
      </c>
      <c r="AX1361" s="163" t="str">
        <f t="shared" si="875"/>
        <v/>
      </c>
      <c r="AY1361" s="150" t="str">
        <f t="shared" si="886"/>
        <v/>
      </c>
      <c r="AZ1361" s="150" t="str">
        <f>IF($E1361="","",IF(OR(AND($D1361=Input!$C$6,$C1361=12),$AN1361=1),0,-AS1362+AT1362+AU1362-AV1362-AW1362-AX1362+AZ1362))</f>
        <v/>
      </c>
      <c r="BA1361" s="154" t="str">
        <f t="shared" si="876"/>
        <v/>
      </c>
      <c r="BC1361" s="147" t="str">
        <f t="shared" si="887"/>
        <v/>
      </c>
      <c r="BD1361" s="164" t="str">
        <f>IF(AND($C1360=12,$D1360=Input!$C$6),0,IF($E1361="","",AT1361+(AU1361+BD1362)/(1+$AK1361)*MIN((1-AM1361-AN1361),1)))</f>
        <v/>
      </c>
      <c r="BH1361" s="152"/>
      <c r="BI1361" s="162" t="str">
        <f t="shared" si="860"/>
        <v/>
      </c>
      <c r="BJ1361" s="150" t="str">
        <f t="shared" si="861"/>
        <v/>
      </c>
      <c r="BK1361" s="163" t="str">
        <f t="shared" si="892"/>
        <v/>
      </c>
      <c r="BL1361" s="163" t="str">
        <f t="shared" si="862"/>
        <v/>
      </c>
      <c r="BM1361" s="163" t="str">
        <f t="shared" si="893"/>
        <v/>
      </c>
      <c r="BN1361" s="163" t="str">
        <f t="shared" si="863"/>
        <v/>
      </c>
      <c r="BO1361" s="163" t="str">
        <f t="shared" si="864"/>
        <v/>
      </c>
      <c r="BP1361" s="150" t="str">
        <f t="shared" si="894"/>
        <v/>
      </c>
      <c r="BQ1361" s="150" t="str">
        <f t="shared" si="888"/>
        <v/>
      </c>
      <c r="BR1361" s="154" t="str">
        <f t="shared" si="865"/>
        <v/>
      </c>
      <c r="BT1361" s="147"/>
    </row>
    <row r="1362" spans="1:72" s="150" customFormat="1" x14ac:dyDescent="0.25">
      <c r="A1362" s="150" t="str">
        <f t="shared" si="889"/>
        <v/>
      </c>
      <c r="B1362" s="150" t="str">
        <f t="shared" si="890"/>
        <v/>
      </c>
      <c r="C1362" s="150" t="str">
        <f t="shared" si="891"/>
        <v/>
      </c>
      <c r="D1362" s="150" t="str">
        <f>IF(E1362="","",Input!$C$4+B1362-1)</f>
        <v/>
      </c>
      <c r="E1362" s="150" t="str">
        <f>IF(OR(AND(C1361=12,D1361=Input!$C$6),E1361=""),"",1)</f>
        <v/>
      </c>
      <c r="G1362" s="151" t="str">
        <f>IF(E1362="","",MAX(0,Input!$C$9-B1362))</f>
        <v/>
      </c>
      <c r="H1362" s="152" t="str">
        <f>IF(E1362="","",Input!$C$3)</f>
        <v/>
      </c>
      <c r="I1362" s="153" t="str">
        <f>IF(E1362="","",HLOOKUP($B1362,Input!$C$13:$BT$14,2))</f>
        <v/>
      </c>
      <c r="J1362" s="154"/>
      <c r="K1362" s="150" t="str">
        <f>IF($E1362="","",INDEX(Input!$C$16:$CP$16,1,$B1362))</f>
        <v/>
      </c>
      <c r="L1362" s="150" t="str">
        <f>IF($E1362="","",Input!$C$37)</f>
        <v/>
      </c>
      <c r="M1362" s="150" t="str">
        <f t="shared" si="877"/>
        <v/>
      </c>
      <c r="N1362" s="150" t="str">
        <f t="shared" si="878"/>
        <v/>
      </c>
      <c r="O1362" s="147" t="str">
        <f>IF($E1362="","",MIN(VLOOKUP(IF($B1362&lt;=Input!$C$7,$B1362,26),'Mortality Tables'!$A$41:$CW$67,IF($B1362&lt;=Input!$C$7+1,Input!$C$4+2,$D1362-Input!$C$7+2),0)*IF(B1362&gt;20,Input!$C$22,1)/1000,1))</f>
        <v/>
      </c>
      <c r="P1362" s="147" t="str">
        <f>IF($E1362="","",MIN(VLOOKUP(IF($B1362&lt;=Input!$C$7,$B1362,26),'Mortality Tables'!$A$12:$CW$37,IF($B1362&lt;=Input!$C$7+1,Input!$C$4+2,$D1362-Input!$C$7+2),0)*IF(B1362&gt;20,Input!$C$22,1)/1000,1))</f>
        <v/>
      </c>
      <c r="Q1362" s="155" t="str">
        <f>IF($E1362="","",Input!$C$21)</f>
        <v/>
      </c>
      <c r="R1362" s="159" t="str">
        <f>IF($E1362="","",(1-Q1362)^($F1362-Input!$C$20))</f>
        <v/>
      </c>
      <c r="S1362" s="147" t="str">
        <f t="shared" si="866"/>
        <v/>
      </c>
      <c r="T1362" s="147" t="str">
        <f t="shared" si="867"/>
        <v/>
      </c>
      <c r="U1362" s="160" t="str">
        <f>IF($E1362="","",IF($C1362=12,INDEX(Input!$C$15:$CP$15,1,$B1362),0))</f>
        <v/>
      </c>
      <c r="V1362" s="150" t="str">
        <f>IF(E1362="","",IF(C1362=1,IF($B1362=1,Input!$C$33,Input!$C$34),0))</f>
        <v/>
      </c>
      <c r="W1362" s="156" t="str">
        <f>IF($E1362="","",Input!$C$35)</f>
        <v/>
      </c>
      <c r="X1362" s="156" t="str">
        <f t="shared" si="868"/>
        <v/>
      </c>
      <c r="Y1362" s="154"/>
      <c r="Z1362" s="147" t="str">
        <f>IF($E1362="","",VLOOKUP($D1362,'Mortality Margins &amp; Grading'!$AB$5:$AF$125,3,0)*IF(Summary!$D$25="Included Margin",IF(AND($B1362&gt;Input!$C$9,Summary!$D$31&lt;&gt;"Included Margin"),0,1),0))</f>
        <v/>
      </c>
      <c r="AA1362" s="147" t="str">
        <f>IF($E1362="","",VLOOKUP($D1362,'Mortality Margins &amp; Grading'!$AB$5:$AF$125,5,0)*IF(Summary!$D$25="Included Margin",IF(AND($B1362&gt;Input!$C$9,Summary!$D$31&lt;&gt;"Included Margin"),0,1),0))</f>
        <v/>
      </c>
      <c r="AB1362" s="147" t="str">
        <f>IF($E1362="","",IF(AND($B1362&gt;Input!$C$9,Summary!$D$31&lt;&gt;"Included Margin"),1,IF(Summary!$D$25="Included Margin",VLOOKUP($B1362,'Mortality Margins &amp; Grading'!$AI$5:$AR$125,MATCH('Mortality Margins &amp; Grading'!$AQ$4,'Mortality Margins &amp; Grading'!$AI$4:$AR$4,0),0),1)))</f>
        <v/>
      </c>
      <c r="AC1362" s="154"/>
      <c r="AD1362" s="158" t="str">
        <f>IF(E1362="","",Input!$C$48*IF(Summary!$D$30="Included Margin",IF(AND($B1362&gt;Input!$C$9,Summary!$D$31&lt;&gt;"Included Margin"),0,1),0))</f>
        <v/>
      </c>
      <c r="AE1362" s="159" t="str">
        <f>IF(E1362="","",IF(Summary!$D$26="Included Margin",IF(AND($B1362&gt;Input!$C$9,Summary!$D$31&lt;&gt;"Included Margin"),1,1/$R1362),1))</f>
        <v/>
      </c>
      <c r="AF1362" s="160" t="str">
        <f>IF(E1362="","",IF(AND($B1362&gt;=Input!$C$9,$C1362=12,Summary!$D$31="Included Margin",$U1362&gt;0),1/U1362-1,IF($B1362&gt;=Input!$C$9,0,Input!$C$45*IF(Summary!$D$27="Included Margin",1,0))))</f>
        <v/>
      </c>
      <c r="AG1362" s="160" t="str">
        <f>IF(E1362="","",Input!$C$46*IF(Summary!$D$28="Included Margin",IF(AND($B1362&gt;Input!$C$9,Summary!$D$31&lt;&gt;"Included Margin"),0,1),0))</f>
        <v/>
      </c>
      <c r="AH1362" s="158" t="str">
        <f>IF(E1362="","",Input!$C$47*IF(Summary!$D$29="Included Margin",IF(AND($B1362&gt;Input!$C$9,Summary!$D$31&lt;&gt;"Included Margin"),0,1),0))</f>
        <v/>
      </c>
      <c r="AI1362" s="154"/>
      <c r="AJ1362" s="158" t="str">
        <f t="shared" si="879"/>
        <v/>
      </c>
      <c r="AK1362" s="150" t="str">
        <f t="shared" si="880"/>
        <v/>
      </c>
      <c r="AL1362" s="147" t="str">
        <f t="shared" si="881"/>
        <v/>
      </c>
      <c r="AM1362" s="147" t="str">
        <f t="shared" si="869"/>
        <v/>
      </c>
      <c r="AN1362" s="160" t="str">
        <f t="shared" si="882"/>
        <v/>
      </c>
      <c r="AO1362" s="161" t="str">
        <f t="shared" si="883"/>
        <v/>
      </c>
      <c r="AP1362" s="156" t="str">
        <f t="shared" si="870"/>
        <v/>
      </c>
      <c r="AQ1362" s="152"/>
      <c r="AR1362" s="162" t="str">
        <f t="shared" si="871"/>
        <v/>
      </c>
      <c r="AS1362" s="150" t="str">
        <f t="shared" si="884"/>
        <v/>
      </c>
      <c r="AT1362" s="163" t="str">
        <f t="shared" si="872"/>
        <v/>
      </c>
      <c r="AU1362" s="163" t="str">
        <f t="shared" si="873"/>
        <v/>
      </c>
      <c r="AV1362" s="163" t="str">
        <f t="shared" si="885"/>
        <v/>
      </c>
      <c r="AW1362" s="163" t="str">
        <f t="shared" si="874"/>
        <v/>
      </c>
      <c r="AX1362" s="163" t="str">
        <f t="shared" si="875"/>
        <v/>
      </c>
      <c r="AY1362" s="150" t="str">
        <f t="shared" si="886"/>
        <v/>
      </c>
      <c r="AZ1362" s="150" t="str">
        <f>IF($E1362="","",IF(OR(AND($D1362=Input!$C$6,$C1362=12),$AN1362=1),0,-AS1363+AT1363+AU1363-AV1363-AW1363-AX1363+AZ1363))</f>
        <v/>
      </c>
      <c r="BA1362" s="154" t="str">
        <f t="shared" si="876"/>
        <v/>
      </c>
      <c r="BC1362" s="147" t="str">
        <f t="shared" si="887"/>
        <v/>
      </c>
      <c r="BD1362" s="164" t="str">
        <f>IF(AND($C1361=12,$D1361=Input!$C$6),0,IF($E1362="","",AT1362+(AU1362+BD1363)/(1+$AK1362)*MIN((1-AM1362-AN1362),1)))</f>
        <v/>
      </c>
      <c r="BH1362" s="152"/>
      <c r="BI1362" s="162" t="str">
        <f t="shared" si="860"/>
        <v/>
      </c>
      <c r="BJ1362" s="150" t="str">
        <f t="shared" si="861"/>
        <v/>
      </c>
      <c r="BK1362" s="163" t="str">
        <f t="shared" si="892"/>
        <v/>
      </c>
      <c r="BL1362" s="163" t="str">
        <f t="shared" si="862"/>
        <v/>
      </c>
      <c r="BM1362" s="163" t="str">
        <f t="shared" si="893"/>
        <v/>
      </c>
      <c r="BN1362" s="163" t="str">
        <f t="shared" si="863"/>
        <v/>
      </c>
      <c r="BO1362" s="163" t="str">
        <f t="shared" si="864"/>
        <v/>
      </c>
      <c r="BP1362" s="150" t="str">
        <f t="shared" si="894"/>
        <v/>
      </c>
      <c r="BQ1362" s="150" t="str">
        <f t="shared" si="888"/>
        <v/>
      </c>
      <c r="BR1362" s="154" t="str">
        <f t="shared" si="865"/>
        <v/>
      </c>
      <c r="BT1362" s="147"/>
    </row>
    <row r="1363" spans="1:72" s="150" customFormat="1" x14ac:dyDescent="0.25">
      <c r="A1363" s="150" t="str">
        <f t="shared" si="889"/>
        <v/>
      </c>
      <c r="B1363" s="150" t="str">
        <f t="shared" si="890"/>
        <v/>
      </c>
      <c r="C1363" s="150" t="str">
        <f t="shared" si="891"/>
        <v/>
      </c>
      <c r="D1363" s="150" t="str">
        <f>IF(E1363="","",Input!$C$4+B1363-1)</f>
        <v/>
      </c>
      <c r="E1363" s="150" t="str">
        <f>IF(OR(AND(C1362=12,D1362=Input!$C$6),E1362=""),"",1)</f>
        <v/>
      </c>
      <c r="G1363" s="151" t="str">
        <f>IF(E1363="","",MAX(0,Input!$C$9-B1363))</f>
        <v/>
      </c>
      <c r="H1363" s="152" t="str">
        <f>IF(E1363="","",Input!$C$3)</f>
        <v/>
      </c>
      <c r="I1363" s="153" t="str">
        <f>IF(E1363="","",HLOOKUP($B1363,Input!$C$13:$BT$14,2))</f>
        <v/>
      </c>
      <c r="J1363" s="154"/>
      <c r="K1363" s="150" t="str">
        <f>IF($E1363="","",INDEX(Input!$C$16:$CP$16,1,$B1363))</f>
        <v/>
      </c>
      <c r="L1363" s="150" t="str">
        <f>IF($E1363="","",Input!$C$37)</f>
        <v/>
      </c>
      <c r="M1363" s="150" t="str">
        <f t="shared" si="877"/>
        <v/>
      </c>
      <c r="N1363" s="150" t="str">
        <f t="shared" si="878"/>
        <v/>
      </c>
      <c r="O1363" s="147" t="str">
        <f>IF($E1363="","",MIN(VLOOKUP(IF($B1363&lt;=Input!$C$7,$B1363,26),'Mortality Tables'!$A$41:$CW$67,IF($B1363&lt;=Input!$C$7+1,Input!$C$4+2,$D1363-Input!$C$7+2),0)*IF(B1363&gt;20,Input!$C$22,1)/1000,1))</f>
        <v/>
      </c>
      <c r="P1363" s="147" t="str">
        <f>IF($E1363="","",MIN(VLOOKUP(IF($B1363&lt;=Input!$C$7,$B1363,26),'Mortality Tables'!$A$12:$CW$37,IF($B1363&lt;=Input!$C$7+1,Input!$C$4+2,$D1363-Input!$C$7+2),0)*IF(B1363&gt;20,Input!$C$22,1)/1000,1))</f>
        <v/>
      </c>
      <c r="Q1363" s="155" t="str">
        <f>IF($E1363="","",Input!$C$21)</f>
        <v/>
      </c>
      <c r="R1363" s="159" t="str">
        <f>IF($E1363="","",(1-Q1363)^($F1363-Input!$C$20))</f>
        <v/>
      </c>
      <c r="S1363" s="147" t="str">
        <f t="shared" si="866"/>
        <v/>
      </c>
      <c r="T1363" s="147" t="str">
        <f t="shared" si="867"/>
        <v/>
      </c>
      <c r="U1363" s="160" t="str">
        <f>IF($E1363="","",IF($C1363=12,INDEX(Input!$C$15:$CP$15,1,$B1363),0))</f>
        <v/>
      </c>
      <c r="V1363" s="150" t="str">
        <f>IF(E1363="","",IF(C1363=1,IF($B1363=1,Input!$C$33,Input!$C$34),0))</f>
        <v/>
      </c>
      <c r="W1363" s="156" t="str">
        <f>IF($E1363="","",Input!$C$35)</f>
        <v/>
      </c>
      <c r="X1363" s="156" t="str">
        <f t="shared" si="868"/>
        <v/>
      </c>
      <c r="Y1363" s="154"/>
      <c r="Z1363" s="147" t="str">
        <f>IF($E1363="","",VLOOKUP($D1363,'Mortality Margins &amp; Grading'!$AB$5:$AF$125,3,0)*IF(Summary!$D$25="Included Margin",IF(AND($B1363&gt;Input!$C$9,Summary!$D$31&lt;&gt;"Included Margin"),0,1),0))</f>
        <v/>
      </c>
      <c r="AA1363" s="147" t="str">
        <f>IF($E1363="","",VLOOKUP($D1363,'Mortality Margins &amp; Grading'!$AB$5:$AF$125,5,0)*IF(Summary!$D$25="Included Margin",IF(AND($B1363&gt;Input!$C$9,Summary!$D$31&lt;&gt;"Included Margin"),0,1),0))</f>
        <v/>
      </c>
      <c r="AB1363" s="147" t="str">
        <f>IF($E1363="","",IF(AND($B1363&gt;Input!$C$9,Summary!$D$31&lt;&gt;"Included Margin"),1,IF(Summary!$D$25="Included Margin",VLOOKUP($B1363,'Mortality Margins &amp; Grading'!$AI$5:$AR$125,MATCH('Mortality Margins &amp; Grading'!$AQ$4,'Mortality Margins &amp; Grading'!$AI$4:$AR$4,0),0),1)))</f>
        <v/>
      </c>
      <c r="AC1363" s="154"/>
      <c r="AD1363" s="158" t="str">
        <f>IF(E1363="","",Input!$C$48*IF(Summary!$D$30="Included Margin",IF(AND($B1363&gt;Input!$C$9,Summary!$D$31&lt;&gt;"Included Margin"),0,1),0))</f>
        <v/>
      </c>
      <c r="AE1363" s="159" t="str">
        <f>IF(E1363="","",IF(Summary!$D$26="Included Margin",IF(AND($B1363&gt;Input!$C$9,Summary!$D$31&lt;&gt;"Included Margin"),1,1/$R1363),1))</f>
        <v/>
      </c>
      <c r="AF1363" s="160" t="str">
        <f>IF(E1363="","",IF(AND($B1363&gt;=Input!$C$9,$C1363=12,Summary!$D$31="Included Margin",$U1363&gt;0),1/U1363-1,IF($B1363&gt;=Input!$C$9,0,Input!$C$45*IF(Summary!$D$27="Included Margin",1,0))))</f>
        <v/>
      </c>
      <c r="AG1363" s="160" t="str">
        <f>IF(E1363="","",Input!$C$46*IF(Summary!$D$28="Included Margin",IF(AND($B1363&gt;Input!$C$9,Summary!$D$31&lt;&gt;"Included Margin"),0,1),0))</f>
        <v/>
      </c>
      <c r="AH1363" s="158" t="str">
        <f>IF(E1363="","",Input!$C$47*IF(Summary!$D$29="Included Margin",IF(AND($B1363&gt;Input!$C$9,Summary!$D$31&lt;&gt;"Included Margin"),0,1),0))</f>
        <v/>
      </c>
      <c r="AI1363" s="154"/>
      <c r="AJ1363" s="158" t="str">
        <f t="shared" si="879"/>
        <v/>
      </c>
      <c r="AK1363" s="150" t="str">
        <f t="shared" si="880"/>
        <v/>
      </c>
      <c r="AL1363" s="147" t="str">
        <f t="shared" si="881"/>
        <v/>
      </c>
      <c r="AM1363" s="147" t="str">
        <f t="shared" si="869"/>
        <v/>
      </c>
      <c r="AN1363" s="160" t="str">
        <f t="shared" si="882"/>
        <v/>
      </c>
      <c r="AO1363" s="161" t="str">
        <f t="shared" si="883"/>
        <v/>
      </c>
      <c r="AP1363" s="156" t="str">
        <f t="shared" si="870"/>
        <v/>
      </c>
      <c r="AQ1363" s="152"/>
      <c r="AR1363" s="162" t="str">
        <f t="shared" si="871"/>
        <v/>
      </c>
      <c r="AS1363" s="150" t="str">
        <f t="shared" si="884"/>
        <v/>
      </c>
      <c r="AT1363" s="163" t="str">
        <f t="shared" si="872"/>
        <v/>
      </c>
      <c r="AU1363" s="163" t="str">
        <f t="shared" si="873"/>
        <v/>
      </c>
      <c r="AV1363" s="163" t="str">
        <f t="shared" si="885"/>
        <v/>
      </c>
      <c r="AW1363" s="163" t="str">
        <f t="shared" si="874"/>
        <v/>
      </c>
      <c r="AX1363" s="163" t="str">
        <f t="shared" si="875"/>
        <v/>
      </c>
      <c r="AY1363" s="150" t="str">
        <f t="shared" si="886"/>
        <v/>
      </c>
      <c r="AZ1363" s="150" t="str">
        <f>IF($E1363="","",IF(OR(AND($D1363=Input!$C$6,$C1363=12),$AN1363=1),0,-AS1364+AT1364+AU1364-AV1364-AW1364-AX1364+AZ1364))</f>
        <v/>
      </c>
      <c r="BA1363" s="154" t="str">
        <f t="shared" si="876"/>
        <v/>
      </c>
      <c r="BC1363" s="147" t="str">
        <f t="shared" si="887"/>
        <v/>
      </c>
      <c r="BD1363" s="164" t="str">
        <f>IF(AND($C1362=12,$D1362=Input!$C$6),0,IF($E1363="","",AT1363+(AU1363+BD1364)/(1+$AK1363)*MIN((1-AM1363-AN1363),1)))</f>
        <v/>
      </c>
      <c r="BH1363" s="152"/>
      <c r="BI1363" s="162" t="str">
        <f t="shared" si="860"/>
        <v/>
      </c>
      <c r="BJ1363" s="150" t="str">
        <f t="shared" si="861"/>
        <v/>
      </c>
      <c r="BK1363" s="163" t="str">
        <f t="shared" si="892"/>
        <v/>
      </c>
      <c r="BL1363" s="163" t="str">
        <f t="shared" si="862"/>
        <v/>
      </c>
      <c r="BM1363" s="163" t="str">
        <f t="shared" si="893"/>
        <v/>
      </c>
      <c r="BN1363" s="163" t="str">
        <f t="shared" si="863"/>
        <v/>
      </c>
      <c r="BO1363" s="163" t="str">
        <f t="shared" si="864"/>
        <v/>
      </c>
      <c r="BP1363" s="150" t="str">
        <f t="shared" si="894"/>
        <v/>
      </c>
      <c r="BQ1363" s="150" t="str">
        <f t="shared" si="888"/>
        <v/>
      </c>
      <c r="BR1363" s="154" t="str">
        <f t="shared" si="865"/>
        <v/>
      </c>
      <c r="BT1363" s="147"/>
    </row>
    <row r="1364" spans="1:72" s="150" customFormat="1" x14ac:dyDescent="0.25">
      <c r="A1364" s="150" t="str">
        <f t="shared" si="889"/>
        <v/>
      </c>
      <c r="B1364" s="150" t="str">
        <f t="shared" si="890"/>
        <v/>
      </c>
      <c r="C1364" s="150" t="str">
        <f t="shared" si="891"/>
        <v/>
      </c>
      <c r="D1364" s="150" t="str">
        <f>IF(E1364="","",Input!$C$4+B1364-1)</f>
        <v/>
      </c>
      <c r="E1364" s="150" t="str">
        <f>IF(OR(AND(C1363=12,D1363=Input!$C$6),E1363=""),"",1)</f>
        <v/>
      </c>
      <c r="G1364" s="151" t="str">
        <f>IF(E1364="","",MAX(0,Input!$C$9-B1364))</f>
        <v/>
      </c>
      <c r="H1364" s="152" t="str">
        <f>IF(E1364="","",Input!$C$3)</f>
        <v/>
      </c>
      <c r="I1364" s="153" t="str">
        <f>IF(E1364="","",HLOOKUP($B1364,Input!$C$13:$BT$14,2))</f>
        <v/>
      </c>
      <c r="J1364" s="154"/>
      <c r="K1364" s="150" t="str">
        <f>IF($E1364="","",INDEX(Input!$C$16:$CP$16,1,$B1364))</f>
        <v/>
      </c>
      <c r="L1364" s="150" t="str">
        <f>IF($E1364="","",Input!$C$37)</f>
        <v/>
      </c>
      <c r="M1364" s="150" t="str">
        <f t="shared" si="877"/>
        <v/>
      </c>
      <c r="N1364" s="150" t="str">
        <f t="shared" si="878"/>
        <v/>
      </c>
      <c r="O1364" s="147" t="str">
        <f>IF($E1364="","",MIN(VLOOKUP(IF($B1364&lt;=Input!$C$7,$B1364,26),'Mortality Tables'!$A$41:$CW$67,IF($B1364&lt;=Input!$C$7+1,Input!$C$4+2,$D1364-Input!$C$7+2),0)*IF(B1364&gt;20,Input!$C$22,1)/1000,1))</f>
        <v/>
      </c>
      <c r="P1364" s="147" t="str">
        <f>IF($E1364="","",MIN(VLOOKUP(IF($B1364&lt;=Input!$C$7,$B1364,26),'Mortality Tables'!$A$12:$CW$37,IF($B1364&lt;=Input!$C$7+1,Input!$C$4+2,$D1364-Input!$C$7+2),0)*IF(B1364&gt;20,Input!$C$22,1)/1000,1))</f>
        <v/>
      </c>
      <c r="Q1364" s="155" t="str">
        <f>IF($E1364="","",Input!$C$21)</f>
        <v/>
      </c>
      <c r="R1364" s="159" t="str">
        <f>IF($E1364="","",(1-Q1364)^($F1364-Input!$C$20))</f>
        <v/>
      </c>
      <c r="S1364" s="147" t="str">
        <f t="shared" si="866"/>
        <v/>
      </c>
      <c r="T1364" s="147" t="str">
        <f t="shared" si="867"/>
        <v/>
      </c>
      <c r="U1364" s="160" t="str">
        <f>IF($E1364="","",IF($C1364=12,INDEX(Input!$C$15:$CP$15,1,$B1364),0))</f>
        <v/>
      </c>
      <c r="V1364" s="150" t="str">
        <f>IF(E1364="","",IF(C1364=1,IF($B1364=1,Input!$C$33,Input!$C$34),0))</f>
        <v/>
      </c>
      <c r="W1364" s="156" t="str">
        <f>IF($E1364="","",Input!$C$35)</f>
        <v/>
      </c>
      <c r="X1364" s="156" t="str">
        <f t="shared" si="868"/>
        <v/>
      </c>
      <c r="Y1364" s="154"/>
      <c r="Z1364" s="147" t="str">
        <f>IF($E1364="","",VLOOKUP($D1364,'Mortality Margins &amp; Grading'!$AB$5:$AF$125,3,0)*IF(Summary!$D$25="Included Margin",IF(AND($B1364&gt;Input!$C$9,Summary!$D$31&lt;&gt;"Included Margin"),0,1),0))</f>
        <v/>
      </c>
      <c r="AA1364" s="147" t="str">
        <f>IF($E1364="","",VLOOKUP($D1364,'Mortality Margins &amp; Grading'!$AB$5:$AF$125,5,0)*IF(Summary!$D$25="Included Margin",IF(AND($B1364&gt;Input!$C$9,Summary!$D$31&lt;&gt;"Included Margin"),0,1),0))</f>
        <v/>
      </c>
      <c r="AB1364" s="147" t="str">
        <f>IF($E1364="","",IF(AND($B1364&gt;Input!$C$9,Summary!$D$31&lt;&gt;"Included Margin"),1,IF(Summary!$D$25="Included Margin",VLOOKUP($B1364,'Mortality Margins &amp; Grading'!$AI$5:$AR$125,MATCH('Mortality Margins &amp; Grading'!$AQ$4,'Mortality Margins &amp; Grading'!$AI$4:$AR$4,0),0),1)))</f>
        <v/>
      </c>
      <c r="AC1364" s="154"/>
      <c r="AD1364" s="158" t="str">
        <f>IF(E1364="","",Input!$C$48*IF(Summary!$D$30="Included Margin",IF(AND($B1364&gt;Input!$C$9,Summary!$D$31&lt;&gt;"Included Margin"),0,1),0))</f>
        <v/>
      </c>
      <c r="AE1364" s="159" t="str">
        <f>IF(E1364="","",IF(Summary!$D$26="Included Margin",IF(AND($B1364&gt;Input!$C$9,Summary!$D$31&lt;&gt;"Included Margin"),1,1/$R1364),1))</f>
        <v/>
      </c>
      <c r="AF1364" s="160" t="str">
        <f>IF(E1364="","",IF(AND($B1364&gt;=Input!$C$9,$C1364=12,Summary!$D$31="Included Margin",$U1364&gt;0),1/U1364-1,IF($B1364&gt;=Input!$C$9,0,Input!$C$45*IF(Summary!$D$27="Included Margin",1,0))))</f>
        <v/>
      </c>
      <c r="AG1364" s="160" t="str">
        <f>IF(E1364="","",Input!$C$46*IF(Summary!$D$28="Included Margin",IF(AND($B1364&gt;Input!$C$9,Summary!$D$31&lt;&gt;"Included Margin"),0,1),0))</f>
        <v/>
      </c>
      <c r="AH1364" s="158" t="str">
        <f>IF(E1364="","",Input!$C$47*IF(Summary!$D$29="Included Margin",IF(AND($B1364&gt;Input!$C$9,Summary!$D$31&lt;&gt;"Included Margin"),0,1),0))</f>
        <v/>
      </c>
      <c r="AI1364" s="154"/>
      <c r="AJ1364" s="158" t="str">
        <f t="shared" si="879"/>
        <v/>
      </c>
      <c r="AK1364" s="150" t="str">
        <f t="shared" si="880"/>
        <v/>
      </c>
      <c r="AL1364" s="147" t="str">
        <f t="shared" si="881"/>
        <v/>
      </c>
      <c r="AM1364" s="147" t="str">
        <f t="shared" si="869"/>
        <v/>
      </c>
      <c r="AN1364" s="160" t="str">
        <f t="shared" si="882"/>
        <v/>
      </c>
      <c r="AO1364" s="161" t="str">
        <f t="shared" si="883"/>
        <v/>
      </c>
      <c r="AP1364" s="156" t="str">
        <f t="shared" si="870"/>
        <v/>
      </c>
      <c r="AQ1364" s="152"/>
      <c r="AR1364" s="162" t="str">
        <f t="shared" si="871"/>
        <v/>
      </c>
      <c r="AS1364" s="150" t="str">
        <f t="shared" si="884"/>
        <v/>
      </c>
      <c r="AT1364" s="163" t="str">
        <f t="shared" si="872"/>
        <v/>
      </c>
      <c r="AU1364" s="163" t="str">
        <f t="shared" si="873"/>
        <v/>
      </c>
      <c r="AV1364" s="163" t="str">
        <f t="shared" si="885"/>
        <v/>
      </c>
      <c r="AW1364" s="163" t="str">
        <f t="shared" si="874"/>
        <v/>
      </c>
      <c r="AX1364" s="163" t="str">
        <f t="shared" si="875"/>
        <v/>
      </c>
      <c r="AY1364" s="150" t="str">
        <f t="shared" si="886"/>
        <v/>
      </c>
      <c r="AZ1364" s="150" t="str">
        <f>IF($E1364="","",IF(OR(AND($D1364=Input!$C$6,$C1364=12),$AN1364=1),0,-AS1365+AT1365+AU1365-AV1365-AW1365-AX1365+AZ1365))</f>
        <v/>
      </c>
      <c r="BA1364" s="154" t="str">
        <f t="shared" si="876"/>
        <v/>
      </c>
      <c r="BC1364" s="147" t="str">
        <f t="shared" si="887"/>
        <v/>
      </c>
      <c r="BD1364" s="164" t="str">
        <f>IF(AND($C1363=12,$D1363=Input!$C$6),0,IF($E1364="","",AT1364+(AU1364+BD1365)/(1+$AK1364)*MIN((1-AM1364-AN1364),1)))</f>
        <v/>
      </c>
      <c r="BH1364" s="152"/>
      <c r="BI1364" s="162" t="str">
        <f t="shared" si="860"/>
        <v/>
      </c>
      <c r="BJ1364" s="150" t="str">
        <f t="shared" si="861"/>
        <v/>
      </c>
      <c r="BK1364" s="163" t="str">
        <f t="shared" si="892"/>
        <v/>
      </c>
      <c r="BL1364" s="163" t="str">
        <f t="shared" si="862"/>
        <v/>
      </c>
      <c r="BM1364" s="163" t="str">
        <f t="shared" si="893"/>
        <v/>
      </c>
      <c r="BN1364" s="163" t="str">
        <f t="shared" si="863"/>
        <v/>
      </c>
      <c r="BO1364" s="163" t="str">
        <f t="shared" si="864"/>
        <v/>
      </c>
      <c r="BP1364" s="150" t="str">
        <f t="shared" si="894"/>
        <v/>
      </c>
      <c r="BQ1364" s="150" t="str">
        <f t="shared" si="888"/>
        <v/>
      </c>
      <c r="BR1364" s="154" t="str">
        <f t="shared" si="865"/>
        <v/>
      </c>
      <c r="BT1364" s="147"/>
    </row>
    <row r="1365" spans="1:72" s="150" customFormat="1" x14ac:dyDescent="0.25">
      <c r="A1365" s="150" t="str">
        <f t="shared" si="889"/>
        <v/>
      </c>
      <c r="B1365" s="150" t="str">
        <f t="shared" si="890"/>
        <v/>
      </c>
      <c r="C1365" s="150" t="str">
        <f t="shared" si="891"/>
        <v/>
      </c>
      <c r="D1365" s="150" t="str">
        <f>IF(E1365="","",Input!$C$4+B1365-1)</f>
        <v/>
      </c>
      <c r="E1365" s="150" t="str">
        <f>IF(OR(AND(C1364=12,D1364=Input!$C$6),E1364=""),"",1)</f>
        <v/>
      </c>
      <c r="G1365" s="151" t="str">
        <f>IF(E1365="","",MAX(0,Input!$C$9-B1365))</f>
        <v/>
      </c>
      <c r="H1365" s="152" t="str">
        <f>IF(E1365="","",Input!$C$3)</f>
        <v/>
      </c>
      <c r="I1365" s="153" t="str">
        <f>IF(E1365="","",HLOOKUP($B1365,Input!$C$13:$BT$14,2))</f>
        <v/>
      </c>
      <c r="J1365" s="154"/>
      <c r="K1365" s="150" t="str">
        <f>IF($E1365="","",INDEX(Input!$C$16:$CP$16,1,$B1365))</f>
        <v/>
      </c>
      <c r="L1365" s="150" t="str">
        <f>IF($E1365="","",Input!$C$37)</f>
        <v/>
      </c>
      <c r="M1365" s="150" t="str">
        <f t="shared" si="877"/>
        <v/>
      </c>
      <c r="N1365" s="150" t="str">
        <f t="shared" si="878"/>
        <v/>
      </c>
      <c r="O1365" s="147" t="str">
        <f>IF($E1365="","",MIN(VLOOKUP(IF($B1365&lt;=Input!$C$7,$B1365,26),'Mortality Tables'!$A$41:$CW$67,IF($B1365&lt;=Input!$C$7+1,Input!$C$4+2,$D1365-Input!$C$7+2),0)*IF(B1365&gt;20,Input!$C$22,1)/1000,1))</f>
        <v/>
      </c>
      <c r="P1365" s="147" t="str">
        <f>IF($E1365="","",MIN(VLOOKUP(IF($B1365&lt;=Input!$C$7,$B1365,26),'Mortality Tables'!$A$12:$CW$37,IF($B1365&lt;=Input!$C$7+1,Input!$C$4+2,$D1365-Input!$C$7+2),0)*IF(B1365&gt;20,Input!$C$22,1)/1000,1))</f>
        <v/>
      </c>
      <c r="Q1365" s="155" t="str">
        <f>IF($E1365="","",Input!$C$21)</f>
        <v/>
      </c>
      <c r="R1365" s="159" t="str">
        <f>IF($E1365="","",(1-Q1365)^($F1365-Input!$C$20))</f>
        <v/>
      </c>
      <c r="S1365" s="147" t="str">
        <f t="shared" si="866"/>
        <v/>
      </c>
      <c r="T1365" s="147" t="str">
        <f t="shared" si="867"/>
        <v/>
      </c>
      <c r="U1365" s="160" t="str">
        <f>IF($E1365="","",IF($C1365=12,INDEX(Input!$C$15:$CP$15,1,$B1365),0))</f>
        <v/>
      </c>
      <c r="V1365" s="150" t="str">
        <f>IF(E1365="","",IF(C1365=1,IF($B1365=1,Input!$C$33,Input!$C$34),0))</f>
        <v/>
      </c>
      <c r="W1365" s="156" t="str">
        <f>IF($E1365="","",Input!$C$35)</f>
        <v/>
      </c>
      <c r="X1365" s="156" t="str">
        <f t="shared" si="868"/>
        <v/>
      </c>
      <c r="Y1365" s="154"/>
      <c r="Z1365" s="147" t="str">
        <f>IF($E1365="","",VLOOKUP($D1365,'Mortality Margins &amp; Grading'!$AB$5:$AF$125,3,0)*IF(Summary!$D$25="Included Margin",IF(AND($B1365&gt;Input!$C$9,Summary!$D$31&lt;&gt;"Included Margin"),0,1),0))</f>
        <v/>
      </c>
      <c r="AA1365" s="147" t="str">
        <f>IF($E1365="","",VLOOKUP($D1365,'Mortality Margins &amp; Grading'!$AB$5:$AF$125,5,0)*IF(Summary!$D$25="Included Margin",IF(AND($B1365&gt;Input!$C$9,Summary!$D$31&lt;&gt;"Included Margin"),0,1),0))</f>
        <v/>
      </c>
      <c r="AB1365" s="147" t="str">
        <f>IF($E1365="","",IF(AND($B1365&gt;Input!$C$9,Summary!$D$31&lt;&gt;"Included Margin"),1,IF(Summary!$D$25="Included Margin",VLOOKUP($B1365,'Mortality Margins &amp; Grading'!$AI$5:$AR$125,MATCH('Mortality Margins &amp; Grading'!$AQ$4,'Mortality Margins &amp; Grading'!$AI$4:$AR$4,0),0),1)))</f>
        <v/>
      </c>
      <c r="AC1365" s="154"/>
      <c r="AD1365" s="158" t="str">
        <f>IF(E1365="","",Input!$C$48*IF(Summary!$D$30="Included Margin",IF(AND($B1365&gt;Input!$C$9,Summary!$D$31&lt;&gt;"Included Margin"),0,1),0))</f>
        <v/>
      </c>
      <c r="AE1365" s="159" t="str">
        <f>IF(E1365="","",IF(Summary!$D$26="Included Margin",IF(AND($B1365&gt;Input!$C$9,Summary!$D$31&lt;&gt;"Included Margin"),1,1/$R1365),1))</f>
        <v/>
      </c>
      <c r="AF1365" s="160" t="str">
        <f>IF(E1365="","",IF(AND($B1365&gt;=Input!$C$9,$C1365=12,Summary!$D$31="Included Margin",$U1365&gt;0),1/U1365-1,IF($B1365&gt;=Input!$C$9,0,Input!$C$45*IF(Summary!$D$27="Included Margin",1,0))))</f>
        <v/>
      </c>
      <c r="AG1365" s="160" t="str">
        <f>IF(E1365="","",Input!$C$46*IF(Summary!$D$28="Included Margin",IF(AND($B1365&gt;Input!$C$9,Summary!$D$31&lt;&gt;"Included Margin"),0,1),0))</f>
        <v/>
      </c>
      <c r="AH1365" s="158" t="str">
        <f>IF(E1365="","",Input!$C$47*IF(Summary!$D$29="Included Margin",IF(AND($B1365&gt;Input!$C$9,Summary!$D$31&lt;&gt;"Included Margin"),0,1),0))</f>
        <v/>
      </c>
      <c r="AI1365" s="154"/>
      <c r="AJ1365" s="158" t="str">
        <f t="shared" si="879"/>
        <v/>
      </c>
      <c r="AK1365" s="150" t="str">
        <f t="shared" si="880"/>
        <v/>
      </c>
      <c r="AL1365" s="147" t="str">
        <f t="shared" si="881"/>
        <v/>
      </c>
      <c r="AM1365" s="147" t="str">
        <f t="shared" si="869"/>
        <v/>
      </c>
      <c r="AN1365" s="160" t="str">
        <f t="shared" si="882"/>
        <v/>
      </c>
      <c r="AO1365" s="161" t="str">
        <f t="shared" si="883"/>
        <v/>
      </c>
      <c r="AP1365" s="156" t="str">
        <f t="shared" si="870"/>
        <v/>
      </c>
      <c r="AQ1365" s="152"/>
      <c r="AR1365" s="162" t="str">
        <f t="shared" si="871"/>
        <v/>
      </c>
      <c r="AS1365" s="150" t="str">
        <f t="shared" si="884"/>
        <v/>
      </c>
      <c r="AT1365" s="163" t="str">
        <f t="shared" si="872"/>
        <v/>
      </c>
      <c r="AU1365" s="163" t="str">
        <f t="shared" si="873"/>
        <v/>
      </c>
      <c r="AV1365" s="163" t="str">
        <f t="shared" si="885"/>
        <v/>
      </c>
      <c r="AW1365" s="163" t="str">
        <f t="shared" si="874"/>
        <v/>
      </c>
      <c r="AX1365" s="163" t="str">
        <f t="shared" si="875"/>
        <v/>
      </c>
      <c r="AY1365" s="150" t="str">
        <f t="shared" si="886"/>
        <v/>
      </c>
      <c r="AZ1365" s="150" t="str">
        <f>IF($E1365="","",IF(OR(AND($D1365=Input!$C$6,$C1365=12),$AN1365=1),0,-AS1366+AT1366+AU1366-AV1366-AW1366-AX1366+AZ1366))</f>
        <v/>
      </c>
      <c r="BA1365" s="154" t="str">
        <f t="shared" si="876"/>
        <v/>
      </c>
      <c r="BC1365" s="147" t="str">
        <f t="shared" si="887"/>
        <v/>
      </c>
      <c r="BD1365" s="164" t="str">
        <f>IF(AND($C1364=12,$D1364=Input!$C$6),0,IF($E1365="","",AT1365+(AU1365+BD1366)/(1+$AK1365)*MIN((1-AM1365-AN1365),1)))</f>
        <v/>
      </c>
      <c r="BH1365" s="152"/>
      <c r="BI1365" s="162" t="str">
        <f t="shared" si="860"/>
        <v/>
      </c>
      <c r="BJ1365" s="150" t="str">
        <f t="shared" si="861"/>
        <v/>
      </c>
      <c r="BK1365" s="163" t="str">
        <f t="shared" si="892"/>
        <v/>
      </c>
      <c r="BL1365" s="163" t="str">
        <f t="shared" si="862"/>
        <v/>
      </c>
      <c r="BM1365" s="163" t="str">
        <f t="shared" si="893"/>
        <v/>
      </c>
      <c r="BN1365" s="163" t="str">
        <f t="shared" si="863"/>
        <v/>
      </c>
      <c r="BO1365" s="163" t="str">
        <f t="shared" si="864"/>
        <v/>
      </c>
      <c r="BP1365" s="150" t="str">
        <f t="shared" si="894"/>
        <v/>
      </c>
      <c r="BQ1365" s="150" t="str">
        <f t="shared" si="888"/>
        <v/>
      </c>
      <c r="BR1365" s="154" t="str">
        <f t="shared" si="865"/>
        <v/>
      </c>
      <c r="BT1365" s="147"/>
    </row>
    <row r="1366" spans="1:72" s="150" customFormat="1" x14ac:dyDescent="0.25">
      <c r="A1366" s="150" t="str">
        <f t="shared" si="889"/>
        <v/>
      </c>
      <c r="B1366" s="150" t="str">
        <f t="shared" si="890"/>
        <v/>
      </c>
      <c r="C1366" s="150" t="str">
        <f t="shared" si="891"/>
        <v/>
      </c>
      <c r="D1366" s="150" t="str">
        <f>IF(E1366="","",Input!$C$4+B1366-1)</f>
        <v/>
      </c>
      <c r="E1366" s="150" t="str">
        <f>IF(OR(AND(C1365=12,D1365=Input!$C$6),E1365=""),"",1)</f>
        <v/>
      </c>
      <c r="G1366" s="151" t="str">
        <f>IF(E1366="","",MAX(0,Input!$C$9-B1366))</f>
        <v/>
      </c>
      <c r="H1366" s="152" t="str">
        <f>IF(E1366="","",Input!$C$3)</f>
        <v/>
      </c>
      <c r="I1366" s="153" t="str">
        <f>IF(E1366="","",HLOOKUP($B1366,Input!$C$13:$BT$14,2))</f>
        <v/>
      </c>
      <c r="J1366" s="154"/>
      <c r="K1366" s="150" t="str">
        <f>IF($E1366="","",INDEX(Input!$C$16:$CP$16,1,$B1366))</f>
        <v/>
      </c>
      <c r="L1366" s="150" t="str">
        <f>IF($E1366="","",Input!$C$37)</f>
        <v/>
      </c>
      <c r="M1366" s="150" t="str">
        <f t="shared" si="877"/>
        <v/>
      </c>
      <c r="N1366" s="150" t="str">
        <f t="shared" si="878"/>
        <v/>
      </c>
      <c r="O1366" s="147" t="str">
        <f>IF($E1366="","",MIN(VLOOKUP(IF($B1366&lt;=Input!$C$7,$B1366,26),'Mortality Tables'!$A$41:$CW$67,IF($B1366&lt;=Input!$C$7+1,Input!$C$4+2,$D1366-Input!$C$7+2),0)*IF(B1366&gt;20,Input!$C$22,1)/1000,1))</f>
        <v/>
      </c>
      <c r="P1366" s="147" t="str">
        <f>IF($E1366="","",MIN(VLOOKUP(IF($B1366&lt;=Input!$C$7,$B1366,26),'Mortality Tables'!$A$12:$CW$37,IF($B1366&lt;=Input!$C$7+1,Input!$C$4+2,$D1366-Input!$C$7+2),0)*IF(B1366&gt;20,Input!$C$22,1)/1000,1))</f>
        <v/>
      </c>
      <c r="Q1366" s="155" t="str">
        <f>IF($E1366="","",Input!$C$21)</f>
        <v/>
      </c>
      <c r="R1366" s="159" t="str">
        <f>IF($E1366="","",(1-Q1366)^($F1366-Input!$C$20))</f>
        <v/>
      </c>
      <c r="S1366" s="147" t="str">
        <f t="shared" si="866"/>
        <v/>
      </c>
      <c r="T1366" s="147" t="str">
        <f t="shared" si="867"/>
        <v/>
      </c>
      <c r="U1366" s="160" t="str">
        <f>IF($E1366="","",IF($C1366=12,INDEX(Input!$C$15:$CP$15,1,$B1366),0))</f>
        <v/>
      </c>
      <c r="V1366" s="150" t="str">
        <f>IF(E1366="","",IF(C1366=1,IF($B1366=1,Input!$C$33,Input!$C$34),0))</f>
        <v/>
      </c>
      <c r="W1366" s="156" t="str">
        <f>IF($E1366="","",Input!$C$35)</f>
        <v/>
      </c>
      <c r="X1366" s="156" t="str">
        <f t="shared" si="868"/>
        <v/>
      </c>
      <c r="Y1366" s="154"/>
      <c r="Z1366" s="147" t="str">
        <f>IF($E1366="","",VLOOKUP($D1366,'Mortality Margins &amp; Grading'!$AB$5:$AF$125,3,0)*IF(Summary!$D$25="Included Margin",IF(AND($B1366&gt;Input!$C$9,Summary!$D$31&lt;&gt;"Included Margin"),0,1),0))</f>
        <v/>
      </c>
      <c r="AA1366" s="147" t="str">
        <f>IF($E1366="","",VLOOKUP($D1366,'Mortality Margins &amp; Grading'!$AB$5:$AF$125,5,0)*IF(Summary!$D$25="Included Margin",IF(AND($B1366&gt;Input!$C$9,Summary!$D$31&lt;&gt;"Included Margin"),0,1),0))</f>
        <v/>
      </c>
      <c r="AB1366" s="147" t="str">
        <f>IF($E1366="","",IF(AND($B1366&gt;Input!$C$9,Summary!$D$31&lt;&gt;"Included Margin"),1,IF(Summary!$D$25="Included Margin",VLOOKUP($B1366,'Mortality Margins &amp; Grading'!$AI$5:$AR$125,MATCH('Mortality Margins &amp; Grading'!$AQ$4,'Mortality Margins &amp; Grading'!$AI$4:$AR$4,0),0),1)))</f>
        <v/>
      </c>
      <c r="AC1366" s="154"/>
      <c r="AD1366" s="158" t="str">
        <f>IF(E1366="","",Input!$C$48*IF(Summary!$D$30="Included Margin",IF(AND($B1366&gt;Input!$C$9,Summary!$D$31&lt;&gt;"Included Margin"),0,1),0))</f>
        <v/>
      </c>
      <c r="AE1366" s="159" t="str">
        <f>IF(E1366="","",IF(Summary!$D$26="Included Margin",IF(AND($B1366&gt;Input!$C$9,Summary!$D$31&lt;&gt;"Included Margin"),1,1/$R1366),1))</f>
        <v/>
      </c>
      <c r="AF1366" s="160" t="str">
        <f>IF(E1366="","",IF(AND($B1366&gt;=Input!$C$9,$C1366=12,Summary!$D$31="Included Margin",$U1366&gt;0),1/U1366-1,IF($B1366&gt;=Input!$C$9,0,Input!$C$45*IF(Summary!$D$27="Included Margin",1,0))))</f>
        <v/>
      </c>
      <c r="AG1366" s="160" t="str">
        <f>IF(E1366="","",Input!$C$46*IF(Summary!$D$28="Included Margin",IF(AND($B1366&gt;Input!$C$9,Summary!$D$31&lt;&gt;"Included Margin"),0,1),0))</f>
        <v/>
      </c>
      <c r="AH1366" s="158" t="str">
        <f>IF(E1366="","",Input!$C$47*IF(Summary!$D$29="Included Margin",IF(AND($B1366&gt;Input!$C$9,Summary!$D$31&lt;&gt;"Included Margin"),0,1),0))</f>
        <v/>
      </c>
      <c r="AI1366" s="154"/>
      <c r="AJ1366" s="158" t="str">
        <f t="shared" si="879"/>
        <v/>
      </c>
      <c r="AK1366" s="150" t="str">
        <f t="shared" si="880"/>
        <v/>
      </c>
      <c r="AL1366" s="147" t="str">
        <f t="shared" si="881"/>
        <v/>
      </c>
      <c r="AM1366" s="147" t="str">
        <f t="shared" si="869"/>
        <v/>
      </c>
      <c r="AN1366" s="160" t="str">
        <f t="shared" si="882"/>
        <v/>
      </c>
      <c r="AO1366" s="161" t="str">
        <f t="shared" si="883"/>
        <v/>
      </c>
      <c r="AP1366" s="156" t="str">
        <f t="shared" si="870"/>
        <v/>
      </c>
      <c r="AQ1366" s="152"/>
      <c r="AR1366" s="162" t="str">
        <f t="shared" si="871"/>
        <v/>
      </c>
      <c r="AS1366" s="150" t="str">
        <f t="shared" si="884"/>
        <v/>
      </c>
      <c r="AT1366" s="163" t="str">
        <f t="shared" si="872"/>
        <v/>
      </c>
      <c r="AU1366" s="163" t="str">
        <f t="shared" si="873"/>
        <v/>
      </c>
      <c r="AV1366" s="163" t="str">
        <f t="shared" si="885"/>
        <v/>
      </c>
      <c r="AW1366" s="163" t="str">
        <f t="shared" si="874"/>
        <v/>
      </c>
      <c r="AX1366" s="163" t="str">
        <f t="shared" si="875"/>
        <v/>
      </c>
      <c r="AY1366" s="150" t="str">
        <f t="shared" si="886"/>
        <v/>
      </c>
      <c r="AZ1366" s="150" t="str">
        <f>IF($E1366="","",IF(OR(AND($D1366=Input!$C$6,$C1366=12),$AN1366=1),0,-AS1367+AT1367+AU1367-AV1367-AW1367-AX1367+AZ1367))</f>
        <v/>
      </c>
      <c r="BA1366" s="154" t="str">
        <f t="shared" si="876"/>
        <v/>
      </c>
      <c r="BC1366" s="147" t="str">
        <f t="shared" si="887"/>
        <v/>
      </c>
      <c r="BD1366" s="164" t="str">
        <f>IF(AND($C1365=12,$D1365=Input!$C$6),0,IF($E1366="","",AT1366+(AU1366+BD1367)/(1+$AK1366)*MIN((1-AM1366-AN1366),1)))</f>
        <v/>
      </c>
      <c r="BH1366" s="152"/>
      <c r="BI1366" s="162" t="str">
        <f t="shared" ref="BI1366:BI1429" si="895">IF($E1366="","",(BQ1366*(1-$U1366)*(1-$T1366)/(1+$N1366)+BL1366/(1+$N1366/2)-BJ1366+BK1366))</f>
        <v/>
      </c>
      <c r="BJ1366" s="150" t="str">
        <f t="shared" ref="BJ1366:BJ1429" si="896">IF($E1366="","",AS1366)</f>
        <v/>
      </c>
      <c r="BK1366" s="163" t="str">
        <f t="shared" si="892"/>
        <v/>
      </c>
      <c r="BL1366" s="163" t="str">
        <f t="shared" ref="BL1366:BL1429" si="897">IF(E1366="","",$T1366*$H1366)</f>
        <v/>
      </c>
      <c r="BM1366" s="163" t="str">
        <f t="shared" si="893"/>
        <v/>
      </c>
      <c r="BN1366" s="163" t="str">
        <f t="shared" ref="BN1366:BN1429" si="898">IF($E1366="","",BQ1366*$T1366)</f>
        <v/>
      </c>
      <c r="BO1366" s="163" t="str">
        <f t="shared" ref="BO1366:BO1429" si="899">IF($E1366="","",$U1366*BQ1366*(1-$T1366))</f>
        <v/>
      </c>
      <c r="BP1366" s="150" t="str">
        <f t="shared" si="894"/>
        <v/>
      </c>
      <c r="BQ1366" s="150" t="str">
        <f t="shared" si="888"/>
        <v/>
      </c>
      <c r="BR1366" s="154" t="str">
        <f t="shared" ref="BR1366:BR1429" si="900">IF(E1366="","",BQ1366-BP1366)</f>
        <v/>
      </c>
      <c r="BT1366" s="147"/>
    </row>
    <row r="1367" spans="1:72" s="150" customFormat="1" x14ac:dyDescent="0.25">
      <c r="A1367" s="150" t="str">
        <f t="shared" si="889"/>
        <v/>
      </c>
      <c r="B1367" s="150" t="str">
        <f t="shared" si="890"/>
        <v/>
      </c>
      <c r="C1367" s="150" t="str">
        <f t="shared" si="891"/>
        <v/>
      </c>
      <c r="D1367" s="150" t="str">
        <f>IF(E1367="","",Input!$C$4+B1367-1)</f>
        <v/>
      </c>
      <c r="E1367" s="150" t="str">
        <f>IF(OR(AND(C1366=12,D1366=Input!$C$6),E1366=""),"",1)</f>
        <v/>
      </c>
      <c r="G1367" s="151" t="str">
        <f>IF(E1367="","",MAX(0,Input!$C$9-B1367))</f>
        <v/>
      </c>
      <c r="H1367" s="152" t="str">
        <f>IF(E1367="","",Input!$C$3)</f>
        <v/>
      </c>
      <c r="I1367" s="153" t="str">
        <f>IF(E1367="","",HLOOKUP($B1367,Input!$C$13:$BT$14,2))</f>
        <v/>
      </c>
      <c r="J1367" s="154"/>
      <c r="K1367" s="150" t="str">
        <f>IF($E1367="","",INDEX(Input!$C$16:$CP$16,1,$B1367))</f>
        <v/>
      </c>
      <c r="L1367" s="150" t="str">
        <f>IF($E1367="","",Input!$C$37)</f>
        <v/>
      </c>
      <c r="M1367" s="150" t="str">
        <f t="shared" si="877"/>
        <v/>
      </c>
      <c r="N1367" s="150" t="str">
        <f t="shared" si="878"/>
        <v/>
      </c>
      <c r="O1367" s="147" t="str">
        <f>IF($E1367="","",MIN(VLOOKUP(IF($B1367&lt;=Input!$C$7,$B1367,26),'Mortality Tables'!$A$41:$CW$67,IF($B1367&lt;=Input!$C$7+1,Input!$C$4+2,$D1367-Input!$C$7+2),0)*IF(B1367&gt;20,Input!$C$22,1)/1000,1))</f>
        <v/>
      </c>
      <c r="P1367" s="147" t="str">
        <f>IF($E1367="","",MIN(VLOOKUP(IF($B1367&lt;=Input!$C$7,$B1367,26),'Mortality Tables'!$A$12:$CW$37,IF($B1367&lt;=Input!$C$7+1,Input!$C$4+2,$D1367-Input!$C$7+2),0)*IF(B1367&gt;20,Input!$C$22,1)/1000,1))</f>
        <v/>
      </c>
      <c r="Q1367" s="155" t="str">
        <f>IF($E1367="","",Input!$C$21)</f>
        <v/>
      </c>
      <c r="R1367" s="159" t="str">
        <f>IF($E1367="","",(1-Q1367)^($F1367-Input!$C$20))</f>
        <v/>
      </c>
      <c r="S1367" s="147" t="str">
        <f t="shared" si="866"/>
        <v/>
      </c>
      <c r="T1367" s="147" t="str">
        <f t="shared" si="867"/>
        <v/>
      </c>
      <c r="U1367" s="160" t="str">
        <f>IF($E1367="","",IF($C1367=12,INDEX(Input!$C$15:$CP$15,1,$B1367),0))</f>
        <v/>
      </c>
      <c r="V1367" s="150" t="str">
        <f>IF(E1367="","",IF(C1367=1,IF($B1367=1,Input!$C$33,Input!$C$34),0))</f>
        <v/>
      </c>
      <c r="W1367" s="156" t="str">
        <f>IF($E1367="","",Input!$C$35)</f>
        <v/>
      </c>
      <c r="X1367" s="156" t="str">
        <f t="shared" si="868"/>
        <v/>
      </c>
      <c r="Y1367" s="154"/>
      <c r="Z1367" s="147" t="str">
        <f>IF($E1367="","",VLOOKUP($D1367,'Mortality Margins &amp; Grading'!$AB$5:$AF$125,3,0)*IF(Summary!$D$25="Included Margin",IF(AND($B1367&gt;Input!$C$9,Summary!$D$31&lt;&gt;"Included Margin"),0,1),0))</f>
        <v/>
      </c>
      <c r="AA1367" s="147" t="str">
        <f>IF($E1367="","",VLOOKUP($D1367,'Mortality Margins &amp; Grading'!$AB$5:$AF$125,5,0)*IF(Summary!$D$25="Included Margin",IF(AND($B1367&gt;Input!$C$9,Summary!$D$31&lt;&gt;"Included Margin"),0,1),0))</f>
        <v/>
      </c>
      <c r="AB1367" s="147" t="str">
        <f>IF($E1367="","",IF(AND($B1367&gt;Input!$C$9,Summary!$D$31&lt;&gt;"Included Margin"),1,IF(Summary!$D$25="Included Margin",VLOOKUP($B1367,'Mortality Margins &amp; Grading'!$AI$5:$AR$125,MATCH('Mortality Margins &amp; Grading'!$AQ$4,'Mortality Margins &amp; Grading'!$AI$4:$AR$4,0),0),1)))</f>
        <v/>
      </c>
      <c r="AC1367" s="154"/>
      <c r="AD1367" s="158" t="str">
        <f>IF(E1367="","",Input!$C$48*IF(Summary!$D$30="Included Margin",IF(AND($B1367&gt;Input!$C$9,Summary!$D$31&lt;&gt;"Included Margin"),0,1),0))</f>
        <v/>
      </c>
      <c r="AE1367" s="159" t="str">
        <f>IF(E1367="","",IF(Summary!$D$26="Included Margin",IF(AND($B1367&gt;Input!$C$9,Summary!$D$31&lt;&gt;"Included Margin"),1,1/$R1367),1))</f>
        <v/>
      </c>
      <c r="AF1367" s="160" t="str">
        <f>IF(E1367="","",IF(AND($B1367&gt;=Input!$C$9,$C1367=12,Summary!$D$31="Included Margin",$U1367&gt;0),1/U1367-1,IF($B1367&gt;=Input!$C$9,0,Input!$C$45*IF(Summary!$D$27="Included Margin",1,0))))</f>
        <v/>
      </c>
      <c r="AG1367" s="160" t="str">
        <f>IF(E1367="","",Input!$C$46*IF(Summary!$D$28="Included Margin",IF(AND($B1367&gt;Input!$C$9,Summary!$D$31&lt;&gt;"Included Margin"),0,1),0))</f>
        <v/>
      </c>
      <c r="AH1367" s="158" t="str">
        <f>IF(E1367="","",Input!$C$47*IF(Summary!$D$29="Included Margin",IF(AND($B1367&gt;Input!$C$9,Summary!$D$31&lt;&gt;"Included Margin"),0,1),0))</f>
        <v/>
      </c>
      <c r="AI1367" s="154"/>
      <c r="AJ1367" s="158" t="str">
        <f t="shared" si="879"/>
        <v/>
      </c>
      <c r="AK1367" s="150" t="str">
        <f t="shared" si="880"/>
        <v/>
      </c>
      <c r="AL1367" s="147" t="str">
        <f t="shared" si="881"/>
        <v/>
      </c>
      <c r="AM1367" s="147" t="str">
        <f t="shared" si="869"/>
        <v/>
      </c>
      <c r="AN1367" s="160" t="str">
        <f t="shared" si="882"/>
        <v/>
      </c>
      <c r="AO1367" s="161" t="str">
        <f t="shared" si="883"/>
        <v/>
      </c>
      <c r="AP1367" s="156" t="str">
        <f t="shared" si="870"/>
        <v/>
      </c>
      <c r="AQ1367" s="152"/>
      <c r="AR1367" s="162" t="str">
        <f t="shared" si="871"/>
        <v/>
      </c>
      <c r="AS1367" s="150" t="str">
        <f t="shared" si="884"/>
        <v/>
      </c>
      <c r="AT1367" s="163" t="str">
        <f t="shared" si="872"/>
        <v/>
      </c>
      <c r="AU1367" s="163" t="str">
        <f t="shared" si="873"/>
        <v/>
      </c>
      <c r="AV1367" s="163" t="str">
        <f t="shared" si="885"/>
        <v/>
      </c>
      <c r="AW1367" s="163" t="str">
        <f t="shared" si="874"/>
        <v/>
      </c>
      <c r="AX1367" s="163" t="str">
        <f t="shared" si="875"/>
        <v/>
      </c>
      <c r="AY1367" s="150" t="str">
        <f t="shared" si="886"/>
        <v/>
      </c>
      <c r="AZ1367" s="150" t="str">
        <f>IF($E1367="","",IF(OR(AND($D1367=Input!$C$6,$C1367=12),$AN1367=1),0,-AS1368+AT1368+AU1368-AV1368-AW1368-AX1368+AZ1368))</f>
        <v/>
      </c>
      <c r="BA1367" s="154" t="str">
        <f t="shared" si="876"/>
        <v/>
      </c>
      <c r="BC1367" s="147" t="str">
        <f t="shared" si="887"/>
        <v/>
      </c>
      <c r="BD1367" s="164" t="str">
        <f>IF(AND($C1366=12,$D1366=Input!$C$6),0,IF($E1367="","",AT1367+(AU1367+BD1368)/(1+$AK1367)*MIN((1-AM1367-AN1367),1)))</f>
        <v/>
      </c>
      <c r="BH1367" s="152"/>
      <c r="BI1367" s="162" t="str">
        <f t="shared" si="895"/>
        <v/>
      </c>
      <c r="BJ1367" s="150" t="str">
        <f t="shared" si="896"/>
        <v/>
      </c>
      <c r="BK1367" s="163" t="str">
        <f t="shared" si="892"/>
        <v/>
      </c>
      <c r="BL1367" s="163" t="str">
        <f t="shared" si="897"/>
        <v/>
      </c>
      <c r="BM1367" s="163" t="str">
        <f t="shared" si="893"/>
        <v/>
      </c>
      <c r="BN1367" s="163" t="str">
        <f t="shared" si="898"/>
        <v/>
      </c>
      <c r="BO1367" s="163" t="str">
        <f t="shared" si="899"/>
        <v/>
      </c>
      <c r="BP1367" s="150" t="str">
        <f t="shared" si="894"/>
        <v/>
      </c>
      <c r="BQ1367" s="150" t="str">
        <f t="shared" si="888"/>
        <v/>
      </c>
      <c r="BR1367" s="154" t="str">
        <f t="shared" si="900"/>
        <v/>
      </c>
      <c r="BT1367" s="147"/>
    </row>
    <row r="1368" spans="1:72" s="150" customFormat="1" x14ac:dyDescent="0.25">
      <c r="A1368" s="150" t="str">
        <f t="shared" si="889"/>
        <v/>
      </c>
      <c r="B1368" s="150" t="str">
        <f t="shared" si="890"/>
        <v/>
      </c>
      <c r="C1368" s="150" t="str">
        <f t="shared" si="891"/>
        <v/>
      </c>
      <c r="D1368" s="150" t="str">
        <f>IF(E1368="","",Input!$C$4+B1368-1)</f>
        <v/>
      </c>
      <c r="E1368" s="150" t="str">
        <f>IF(OR(AND(C1367=12,D1367=Input!$C$6),E1367=""),"",1)</f>
        <v/>
      </c>
      <c r="G1368" s="151" t="str">
        <f>IF(E1368="","",MAX(0,Input!$C$9-B1368))</f>
        <v/>
      </c>
      <c r="H1368" s="152" t="str">
        <f>IF(E1368="","",Input!$C$3)</f>
        <v/>
      </c>
      <c r="I1368" s="153" t="str">
        <f>IF(E1368="","",HLOOKUP($B1368,Input!$C$13:$BT$14,2))</f>
        <v/>
      </c>
      <c r="J1368" s="154"/>
      <c r="K1368" s="150" t="str">
        <f>IF($E1368="","",INDEX(Input!$C$16:$CP$16,1,$B1368))</f>
        <v/>
      </c>
      <c r="L1368" s="150" t="str">
        <f>IF($E1368="","",Input!$C$37)</f>
        <v/>
      </c>
      <c r="M1368" s="150" t="str">
        <f t="shared" si="877"/>
        <v/>
      </c>
      <c r="N1368" s="150" t="str">
        <f t="shared" si="878"/>
        <v/>
      </c>
      <c r="O1368" s="147" t="str">
        <f>IF($E1368="","",MIN(VLOOKUP(IF($B1368&lt;=Input!$C$7,$B1368,26),'Mortality Tables'!$A$41:$CW$67,IF($B1368&lt;=Input!$C$7+1,Input!$C$4+2,$D1368-Input!$C$7+2),0)*IF(B1368&gt;20,Input!$C$22,1)/1000,1))</f>
        <v/>
      </c>
      <c r="P1368" s="147" t="str">
        <f>IF($E1368="","",MIN(VLOOKUP(IF($B1368&lt;=Input!$C$7,$B1368,26),'Mortality Tables'!$A$12:$CW$37,IF($B1368&lt;=Input!$C$7+1,Input!$C$4+2,$D1368-Input!$C$7+2),0)*IF(B1368&gt;20,Input!$C$22,1)/1000,1))</f>
        <v/>
      </c>
      <c r="Q1368" s="155" t="str">
        <f>IF($E1368="","",Input!$C$21)</f>
        <v/>
      </c>
      <c r="R1368" s="159" t="str">
        <f>IF($E1368="","",(1-Q1368)^($F1368-Input!$C$20))</f>
        <v/>
      </c>
      <c r="S1368" s="147" t="str">
        <f t="shared" si="866"/>
        <v/>
      </c>
      <c r="T1368" s="147" t="str">
        <f t="shared" si="867"/>
        <v/>
      </c>
      <c r="U1368" s="160" t="str">
        <f>IF($E1368="","",IF($C1368=12,INDEX(Input!$C$15:$CP$15,1,$B1368),0))</f>
        <v/>
      </c>
      <c r="V1368" s="150" t="str">
        <f>IF(E1368="","",IF(C1368=1,IF($B1368=1,Input!$C$33,Input!$C$34),0))</f>
        <v/>
      </c>
      <c r="W1368" s="156" t="str">
        <f>IF($E1368="","",Input!$C$35)</f>
        <v/>
      </c>
      <c r="X1368" s="156" t="str">
        <f t="shared" si="868"/>
        <v/>
      </c>
      <c r="Y1368" s="154"/>
      <c r="Z1368" s="147" t="str">
        <f>IF($E1368="","",VLOOKUP($D1368,'Mortality Margins &amp; Grading'!$AB$5:$AF$125,3,0)*IF(Summary!$D$25="Included Margin",IF(AND($B1368&gt;Input!$C$9,Summary!$D$31&lt;&gt;"Included Margin"),0,1),0))</f>
        <v/>
      </c>
      <c r="AA1368" s="147" t="str">
        <f>IF($E1368="","",VLOOKUP($D1368,'Mortality Margins &amp; Grading'!$AB$5:$AF$125,5,0)*IF(Summary!$D$25="Included Margin",IF(AND($B1368&gt;Input!$C$9,Summary!$D$31&lt;&gt;"Included Margin"),0,1),0))</f>
        <v/>
      </c>
      <c r="AB1368" s="147" t="str">
        <f>IF($E1368="","",IF(AND($B1368&gt;Input!$C$9,Summary!$D$31&lt;&gt;"Included Margin"),1,IF(Summary!$D$25="Included Margin",VLOOKUP($B1368,'Mortality Margins &amp; Grading'!$AI$5:$AR$125,MATCH('Mortality Margins &amp; Grading'!$AQ$4,'Mortality Margins &amp; Grading'!$AI$4:$AR$4,0),0),1)))</f>
        <v/>
      </c>
      <c r="AC1368" s="154"/>
      <c r="AD1368" s="158" t="str">
        <f>IF(E1368="","",Input!$C$48*IF(Summary!$D$30="Included Margin",IF(AND($B1368&gt;Input!$C$9,Summary!$D$31&lt;&gt;"Included Margin"),0,1),0))</f>
        <v/>
      </c>
      <c r="AE1368" s="159" t="str">
        <f>IF(E1368="","",IF(Summary!$D$26="Included Margin",IF(AND($B1368&gt;Input!$C$9,Summary!$D$31&lt;&gt;"Included Margin"),1,1/$R1368),1))</f>
        <v/>
      </c>
      <c r="AF1368" s="160" t="str">
        <f>IF(E1368="","",IF(AND($B1368&gt;=Input!$C$9,$C1368=12,Summary!$D$31="Included Margin",$U1368&gt;0),1/U1368-1,IF($B1368&gt;=Input!$C$9,0,Input!$C$45*IF(Summary!$D$27="Included Margin",1,0))))</f>
        <v/>
      </c>
      <c r="AG1368" s="160" t="str">
        <f>IF(E1368="","",Input!$C$46*IF(Summary!$D$28="Included Margin",IF(AND($B1368&gt;Input!$C$9,Summary!$D$31&lt;&gt;"Included Margin"),0,1),0))</f>
        <v/>
      </c>
      <c r="AH1368" s="158" t="str">
        <f>IF(E1368="","",Input!$C$47*IF(Summary!$D$29="Included Margin",IF(AND($B1368&gt;Input!$C$9,Summary!$D$31&lt;&gt;"Included Margin"),0,1),0))</f>
        <v/>
      </c>
      <c r="AI1368" s="154"/>
      <c r="AJ1368" s="158" t="str">
        <f t="shared" si="879"/>
        <v/>
      </c>
      <c r="AK1368" s="150" t="str">
        <f t="shared" si="880"/>
        <v/>
      </c>
      <c r="AL1368" s="147" t="str">
        <f t="shared" si="881"/>
        <v/>
      </c>
      <c r="AM1368" s="147" t="str">
        <f t="shared" si="869"/>
        <v/>
      </c>
      <c r="AN1368" s="160" t="str">
        <f t="shared" si="882"/>
        <v/>
      </c>
      <c r="AO1368" s="161" t="str">
        <f t="shared" si="883"/>
        <v/>
      </c>
      <c r="AP1368" s="156" t="str">
        <f t="shared" si="870"/>
        <v/>
      </c>
      <c r="AQ1368" s="152"/>
      <c r="AR1368" s="162" t="str">
        <f t="shared" si="871"/>
        <v/>
      </c>
      <c r="AS1368" s="150" t="str">
        <f t="shared" si="884"/>
        <v/>
      </c>
      <c r="AT1368" s="163" t="str">
        <f t="shared" si="872"/>
        <v/>
      </c>
      <c r="AU1368" s="163" t="str">
        <f t="shared" si="873"/>
        <v/>
      </c>
      <c r="AV1368" s="163" t="str">
        <f t="shared" si="885"/>
        <v/>
      </c>
      <c r="AW1368" s="163" t="str">
        <f t="shared" si="874"/>
        <v/>
      </c>
      <c r="AX1368" s="163" t="str">
        <f t="shared" si="875"/>
        <v/>
      </c>
      <c r="AY1368" s="150" t="str">
        <f t="shared" si="886"/>
        <v/>
      </c>
      <c r="AZ1368" s="150" t="str">
        <f>IF($E1368="","",IF(OR(AND($D1368=Input!$C$6,$C1368=12),$AN1368=1),0,-AS1369+AT1369+AU1369-AV1369-AW1369-AX1369+AZ1369))</f>
        <v/>
      </c>
      <c r="BA1368" s="154" t="str">
        <f t="shared" si="876"/>
        <v/>
      </c>
      <c r="BC1368" s="147" t="str">
        <f t="shared" si="887"/>
        <v/>
      </c>
      <c r="BD1368" s="164" t="str">
        <f>IF(AND($C1367=12,$D1367=Input!$C$6),0,IF($E1368="","",AT1368+(AU1368+BD1369)/(1+$AK1368)*MIN((1-AM1368-AN1368),1)))</f>
        <v/>
      </c>
      <c r="BH1368" s="152"/>
      <c r="BI1368" s="162" t="str">
        <f t="shared" si="895"/>
        <v/>
      </c>
      <c r="BJ1368" s="150" t="str">
        <f t="shared" si="896"/>
        <v/>
      </c>
      <c r="BK1368" s="163" t="str">
        <f t="shared" si="892"/>
        <v/>
      </c>
      <c r="BL1368" s="163" t="str">
        <f t="shared" si="897"/>
        <v/>
      </c>
      <c r="BM1368" s="163" t="str">
        <f t="shared" si="893"/>
        <v/>
      </c>
      <c r="BN1368" s="163" t="str">
        <f t="shared" si="898"/>
        <v/>
      </c>
      <c r="BO1368" s="163" t="str">
        <f t="shared" si="899"/>
        <v/>
      </c>
      <c r="BP1368" s="150" t="str">
        <f t="shared" si="894"/>
        <v/>
      </c>
      <c r="BQ1368" s="150" t="str">
        <f t="shared" si="888"/>
        <v/>
      </c>
      <c r="BR1368" s="154" t="str">
        <f t="shared" si="900"/>
        <v/>
      </c>
      <c r="BT1368" s="147"/>
    </row>
    <row r="1369" spans="1:72" s="150" customFormat="1" x14ac:dyDescent="0.25">
      <c r="A1369" s="150" t="str">
        <f t="shared" si="889"/>
        <v/>
      </c>
      <c r="B1369" s="150" t="str">
        <f t="shared" si="890"/>
        <v/>
      </c>
      <c r="C1369" s="150" t="str">
        <f t="shared" si="891"/>
        <v/>
      </c>
      <c r="D1369" s="150" t="str">
        <f>IF(E1369="","",Input!$C$4+B1369-1)</f>
        <v/>
      </c>
      <c r="E1369" s="150" t="str">
        <f>IF(OR(AND(C1368=12,D1368=Input!$C$6),E1368=""),"",1)</f>
        <v/>
      </c>
      <c r="G1369" s="151" t="str">
        <f>IF(E1369="","",MAX(0,Input!$C$9-B1369))</f>
        <v/>
      </c>
      <c r="H1369" s="152" t="str">
        <f>IF(E1369="","",Input!$C$3)</f>
        <v/>
      </c>
      <c r="I1369" s="153" t="str">
        <f>IF(E1369="","",HLOOKUP($B1369,Input!$C$13:$BT$14,2))</f>
        <v/>
      </c>
      <c r="J1369" s="154"/>
      <c r="K1369" s="150" t="str">
        <f>IF($E1369="","",INDEX(Input!$C$16:$CP$16,1,$B1369))</f>
        <v/>
      </c>
      <c r="L1369" s="150" t="str">
        <f>IF($E1369="","",Input!$C$37)</f>
        <v/>
      </c>
      <c r="M1369" s="150" t="str">
        <f t="shared" si="877"/>
        <v/>
      </c>
      <c r="N1369" s="150" t="str">
        <f t="shared" si="878"/>
        <v/>
      </c>
      <c r="O1369" s="147" t="str">
        <f>IF($E1369="","",MIN(VLOOKUP(IF($B1369&lt;=Input!$C$7,$B1369,26),'Mortality Tables'!$A$41:$CW$67,IF($B1369&lt;=Input!$C$7+1,Input!$C$4+2,$D1369-Input!$C$7+2),0)*IF(B1369&gt;20,Input!$C$22,1)/1000,1))</f>
        <v/>
      </c>
      <c r="P1369" s="147" t="str">
        <f>IF($E1369="","",MIN(VLOOKUP(IF($B1369&lt;=Input!$C$7,$B1369,26),'Mortality Tables'!$A$12:$CW$37,IF($B1369&lt;=Input!$C$7+1,Input!$C$4+2,$D1369-Input!$C$7+2),0)*IF(B1369&gt;20,Input!$C$22,1)/1000,1))</f>
        <v/>
      </c>
      <c r="Q1369" s="155" t="str">
        <f>IF($E1369="","",Input!$C$21)</f>
        <v/>
      </c>
      <c r="R1369" s="159" t="str">
        <f>IF($E1369="","",(1-Q1369)^($F1369-Input!$C$20))</f>
        <v/>
      </c>
      <c r="S1369" s="147" t="str">
        <f t="shared" si="866"/>
        <v/>
      </c>
      <c r="T1369" s="147" t="str">
        <f t="shared" si="867"/>
        <v/>
      </c>
      <c r="U1369" s="160" t="str">
        <f>IF($E1369="","",IF($C1369=12,INDEX(Input!$C$15:$CP$15,1,$B1369),0))</f>
        <v/>
      </c>
      <c r="V1369" s="150" t="str">
        <f>IF(E1369="","",IF(C1369=1,IF($B1369=1,Input!$C$33,Input!$C$34),0))</f>
        <v/>
      </c>
      <c r="W1369" s="156" t="str">
        <f>IF($E1369="","",Input!$C$35)</f>
        <v/>
      </c>
      <c r="X1369" s="156" t="str">
        <f t="shared" si="868"/>
        <v/>
      </c>
      <c r="Y1369" s="154"/>
      <c r="Z1369" s="147" t="str">
        <f>IF($E1369="","",VLOOKUP($D1369,'Mortality Margins &amp; Grading'!$AB$5:$AF$125,3,0)*IF(Summary!$D$25="Included Margin",IF(AND($B1369&gt;Input!$C$9,Summary!$D$31&lt;&gt;"Included Margin"),0,1),0))</f>
        <v/>
      </c>
      <c r="AA1369" s="147" t="str">
        <f>IF($E1369="","",VLOOKUP($D1369,'Mortality Margins &amp; Grading'!$AB$5:$AF$125,5,0)*IF(Summary!$D$25="Included Margin",IF(AND($B1369&gt;Input!$C$9,Summary!$D$31&lt;&gt;"Included Margin"),0,1),0))</f>
        <v/>
      </c>
      <c r="AB1369" s="147" t="str">
        <f>IF($E1369="","",IF(AND($B1369&gt;Input!$C$9,Summary!$D$31&lt;&gt;"Included Margin"),1,IF(Summary!$D$25="Included Margin",VLOOKUP($B1369,'Mortality Margins &amp; Grading'!$AI$5:$AR$125,MATCH('Mortality Margins &amp; Grading'!$AQ$4,'Mortality Margins &amp; Grading'!$AI$4:$AR$4,0),0),1)))</f>
        <v/>
      </c>
      <c r="AC1369" s="154"/>
      <c r="AD1369" s="158" t="str">
        <f>IF(E1369="","",Input!$C$48*IF(Summary!$D$30="Included Margin",IF(AND($B1369&gt;Input!$C$9,Summary!$D$31&lt;&gt;"Included Margin"),0,1),0))</f>
        <v/>
      </c>
      <c r="AE1369" s="159" t="str">
        <f>IF(E1369="","",IF(Summary!$D$26="Included Margin",IF(AND($B1369&gt;Input!$C$9,Summary!$D$31&lt;&gt;"Included Margin"),1,1/$R1369),1))</f>
        <v/>
      </c>
      <c r="AF1369" s="160" t="str">
        <f>IF(E1369="","",IF(AND($B1369&gt;=Input!$C$9,$C1369=12,Summary!$D$31="Included Margin",$U1369&gt;0),1/U1369-1,IF($B1369&gt;=Input!$C$9,0,Input!$C$45*IF(Summary!$D$27="Included Margin",1,0))))</f>
        <v/>
      </c>
      <c r="AG1369" s="160" t="str">
        <f>IF(E1369="","",Input!$C$46*IF(Summary!$D$28="Included Margin",IF(AND($B1369&gt;Input!$C$9,Summary!$D$31&lt;&gt;"Included Margin"),0,1),0))</f>
        <v/>
      </c>
      <c r="AH1369" s="158" t="str">
        <f>IF(E1369="","",Input!$C$47*IF(Summary!$D$29="Included Margin",IF(AND($B1369&gt;Input!$C$9,Summary!$D$31&lt;&gt;"Included Margin"),0,1),0))</f>
        <v/>
      </c>
      <c r="AI1369" s="154"/>
      <c r="AJ1369" s="158" t="str">
        <f t="shared" si="879"/>
        <v/>
      </c>
      <c r="AK1369" s="150" t="str">
        <f t="shared" si="880"/>
        <v/>
      </c>
      <c r="AL1369" s="147" t="str">
        <f t="shared" si="881"/>
        <v/>
      </c>
      <c r="AM1369" s="147" t="str">
        <f t="shared" si="869"/>
        <v/>
      </c>
      <c r="AN1369" s="160" t="str">
        <f t="shared" si="882"/>
        <v/>
      </c>
      <c r="AO1369" s="161" t="str">
        <f t="shared" si="883"/>
        <v/>
      </c>
      <c r="AP1369" s="156" t="str">
        <f t="shared" si="870"/>
        <v/>
      </c>
      <c r="AQ1369" s="152"/>
      <c r="AR1369" s="162" t="str">
        <f t="shared" si="871"/>
        <v/>
      </c>
      <c r="AS1369" s="150" t="str">
        <f t="shared" si="884"/>
        <v/>
      </c>
      <c r="AT1369" s="163" t="str">
        <f t="shared" si="872"/>
        <v/>
      </c>
      <c r="AU1369" s="163" t="str">
        <f t="shared" si="873"/>
        <v/>
      </c>
      <c r="AV1369" s="163" t="str">
        <f t="shared" si="885"/>
        <v/>
      </c>
      <c r="AW1369" s="163" t="str">
        <f t="shared" si="874"/>
        <v/>
      </c>
      <c r="AX1369" s="163" t="str">
        <f t="shared" si="875"/>
        <v/>
      </c>
      <c r="AY1369" s="150" t="str">
        <f t="shared" si="886"/>
        <v/>
      </c>
      <c r="AZ1369" s="150" t="str">
        <f>IF($E1369="","",IF(OR(AND($D1369=Input!$C$6,$C1369=12),$AN1369=1),0,-AS1370+AT1370+AU1370-AV1370-AW1370-AX1370+AZ1370))</f>
        <v/>
      </c>
      <c r="BA1369" s="154" t="str">
        <f t="shared" si="876"/>
        <v/>
      </c>
      <c r="BC1369" s="147" t="str">
        <f t="shared" si="887"/>
        <v/>
      </c>
      <c r="BD1369" s="164" t="str">
        <f>IF(AND($C1368=12,$D1368=Input!$C$6),0,IF($E1369="","",AT1369+(AU1369+BD1370)/(1+$AK1369)*MIN((1-AM1369-AN1369),1)))</f>
        <v/>
      </c>
      <c r="BH1369" s="152"/>
      <c r="BI1369" s="162" t="str">
        <f t="shared" si="895"/>
        <v/>
      </c>
      <c r="BJ1369" s="150" t="str">
        <f t="shared" si="896"/>
        <v/>
      </c>
      <c r="BK1369" s="163" t="str">
        <f t="shared" si="892"/>
        <v/>
      </c>
      <c r="BL1369" s="163" t="str">
        <f t="shared" si="897"/>
        <v/>
      </c>
      <c r="BM1369" s="163" t="str">
        <f t="shared" si="893"/>
        <v/>
      </c>
      <c r="BN1369" s="163" t="str">
        <f t="shared" si="898"/>
        <v/>
      </c>
      <c r="BO1369" s="163" t="str">
        <f t="shared" si="899"/>
        <v/>
      </c>
      <c r="BP1369" s="150" t="str">
        <f t="shared" si="894"/>
        <v/>
      </c>
      <c r="BQ1369" s="150" t="str">
        <f t="shared" si="888"/>
        <v/>
      </c>
      <c r="BR1369" s="154" t="str">
        <f t="shared" si="900"/>
        <v/>
      </c>
      <c r="BT1369" s="147"/>
    </row>
    <row r="1370" spans="1:72" s="150" customFormat="1" x14ac:dyDescent="0.25">
      <c r="A1370" s="150" t="str">
        <f t="shared" si="889"/>
        <v/>
      </c>
      <c r="B1370" s="150" t="str">
        <f t="shared" si="890"/>
        <v/>
      </c>
      <c r="C1370" s="150" t="str">
        <f t="shared" si="891"/>
        <v/>
      </c>
      <c r="D1370" s="150" t="str">
        <f>IF(E1370="","",Input!$C$4+B1370-1)</f>
        <v/>
      </c>
      <c r="E1370" s="150" t="str">
        <f>IF(OR(AND(C1369=12,D1369=Input!$C$6),E1369=""),"",1)</f>
        <v/>
      </c>
      <c r="G1370" s="151" t="str">
        <f>IF(E1370="","",MAX(0,Input!$C$9-B1370))</f>
        <v/>
      </c>
      <c r="H1370" s="152" t="str">
        <f>IF(E1370="","",Input!$C$3)</f>
        <v/>
      </c>
      <c r="I1370" s="153" t="str">
        <f>IF(E1370="","",HLOOKUP($B1370,Input!$C$13:$BT$14,2))</f>
        <v/>
      </c>
      <c r="J1370" s="154"/>
      <c r="K1370" s="150" t="str">
        <f>IF($E1370="","",INDEX(Input!$C$16:$CP$16,1,$B1370))</f>
        <v/>
      </c>
      <c r="L1370" s="150" t="str">
        <f>IF($E1370="","",Input!$C$37)</f>
        <v/>
      </c>
      <c r="M1370" s="150" t="str">
        <f t="shared" si="877"/>
        <v/>
      </c>
      <c r="N1370" s="150" t="str">
        <f t="shared" si="878"/>
        <v/>
      </c>
      <c r="O1370" s="147" t="str">
        <f>IF($E1370="","",MIN(VLOOKUP(IF($B1370&lt;=Input!$C$7,$B1370,26),'Mortality Tables'!$A$41:$CW$67,IF($B1370&lt;=Input!$C$7+1,Input!$C$4+2,$D1370-Input!$C$7+2),0)*IF(B1370&gt;20,Input!$C$22,1)/1000,1))</f>
        <v/>
      </c>
      <c r="P1370" s="147" t="str">
        <f>IF($E1370="","",MIN(VLOOKUP(IF($B1370&lt;=Input!$C$7,$B1370,26),'Mortality Tables'!$A$12:$CW$37,IF($B1370&lt;=Input!$C$7+1,Input!$C$4+2,$D1370-Input!$C$7+2),0)*IF(B1370&gt;20,Input!$C$22,1)/1000,1))</f>
        <v/>
      </c>
      <c r="Q1370" s="155" t="str">
        <f>IF($E1370="","",Input!$C$21)</f>
        <v/>
      </c>
      <c r="R1370" s="159" t="str">
        <f>IF($E1370="","",(1-Q1370)^($F1370-Input!$C$20))</f>
        <v/>
      </c>
      <c r="S1370" s="147" t="str">
        <f t="shared" si="866"/>
        <v/>
      </c>
      <c r="T1370" s="147" t="str">
        <f t="shared" si="867"/>
        <v/>
      </c>
      <c r="U1370" s="160" t="str">
        <f>IF($E1370="","",IF($C1370=12,INDEX(Input!$C$15:$CP$15,1,$B1370),0))</f>
        <v/>
      </c>
      <c r="V1370" s="150" t="str">
        <f>IF(E1370="","",IF(C1370=1,IF($B1370=1,Input!$C$33,Input!$C$34),0))</f>
        <v/>
      </c>
      <c r="W1370" s="156" t="str">
        <f>IF($E1370="","",Input!$C$35)</f>
        <v/>
      </c>
      <c r="X1370" s="156" t="str">
        <f t="shared" si="868"/>
        <v/>
      </c>
      <c r="Y1370" s="154"/>
      <c r="Z1370" s="147" t="str">
        <f>IF($E1370="","",VLOOKUP($D1370,'Mortality Margins &amp; Grading'!$AB$5:$AF$125,3,0)*IF(Summary!$D$25="Included Margin",IF(AND($B1370&gt;Input!$C$9,Summary!$D$31&lt;&gt;"Included Margin"),0,1),0))</f>
        <v/>
      </c>
      <c r="AA1370" s="147" t="str">
        <f>IF($E1370="","",VLOOKUP($D1370,'Mortality Margins &amp; Grading'!$AB$5:$AF$125,5,0)*IF(Summary!$D$25="Included Margin",IF(AND($B1370&gt;Input!$C$9,Summary!$D$31&lt;&gt;"Included Margin"),0,1),0))</f>
        <v/>
      </c>
      <c r="AB1370" s="147" t="str">
        <f>IF($E1370="","",IF(AND($B1370&gt;Input!$C$9,Summary!$D$31&lt;&gt;"Included Margin"),1,IF(Summary!$D$25="Included Margin",VLOOKUP($B1370,'Mortality Margins &amp; Grading'!$AI$5:$AR$125,MATCH('Mortality Margins &amp; Grading'!$AQ$4,'Mortality Margins &amp; Grading'!$AI$4:$AR$4,0),0),1)))</f>
        <v/>
      </c>
      <c r="AC1370" s="154"/>
      <c r="AD1370" s="158" t="str">
        <f>IF(E1370="","",Input!$C$48*IF(Summary!$D$30="Included Margin",IF(AND($B1370&gt;Input!$C$9,Summary!$D$31&lt;&gt;"Included Margin"),0,1),0))</f>
        <v/>
      </c>
      <c r="AE1370" s="159" t="str">
        <f>IF(E1370="","",IF(Summary!$D$26="Included Margin",IF(AND($B1370&gt;Input!$C$9,Summary!$D$31&lt;&gt;"Included Margin"),1,1/$R1370),1))</f>
        <v/>
      </c>
      <c r="AF1370" s="160" t="str">
        <f>IF(E1370="","",IF(AND($B1370&gt;=Input!$C$9,$C1370=12,Summary!$D$31="Included Margin",$U1370&gt;0),1/U1370-1,IF($B1370&gt;=Input!$C$9,0,Input!$C$45*IF(Summary!$D$27="Included Margin",1,0))))</f>
        <v/>
      </c>
      <c r="AG1370" s="160" t="str">
        <f>IF(E1370="","",Input!$C$46*IF(Summary!$D$28="Included Margin",IF(AND($B1370&gt;Input!$C$9,Summary!$D$31&lt;&gt;"Included Margin"),0,1),0))</f>
        <v/>
      </c>
      <c r="AH1370" s="158" t="str">
        <f>IF(E1370="","",Input!$C$47*IF(Summary!$D$29="Included Margin",IF(AND($B1370&gt;Input!$C$9,Summary!$D$31&lt;&gt;"Included Margin"),0,1),0))</f>
        <v/>
      </c>
      <c r="AI1370" s="154"/>
      <c r="AJ1370" s="158" t="str">
        <f t="shared" si="879"/>
        <v/>
      </c>
      <c r="AK1370" s="150" t="str">
        <f t="shared" si="880"/>
        <v/>
      </c>
      <c r="AL1370" s="147" t="str">
        <f t="shared" si="881"/>
        <v/>
      </c>
      <c r="AM1370" s="147" t="str">
        <f t="shared" si="869"/>
        <v/>
      </c>
      <c r="AN1370" s="160" t="str">
        <f t="shared" si="882"/>
        <v/>
      </c>
      <c r="AO1370" s="161" t="str">
        <f t="shared" si="883"/>
        <v/>
      </c>
      <c r="AP1370" s="156" t="str">
        <f t="shared" si="870"/>
        <v/>
      </c>
      <c r="AQ1370" s="152"/>
      <c r="AR1370" s="162" t="str">
        <f t="shared" si="871"/>
        <v/>
      </c>
      <c r="AS1370" s="150" t="str">
        <f t="shared" si="884"/>
        <v/>
      </c>
      <c r="AT1370" s="163" t="str">
        <f t="shared" si="872"/>
        <v/>
      </c>
      <c r="AU1370" s="163" t="str">
        <f t="shared" si="873"/>
        <v/>
      </c>
      <c r="AV1370" s="163" t="str">
        <f t="shared" si="885"/>
        <v/>
      </c>
      <c r="AW1370" s="163" t="str">
        <f t="shared" si="874"/>
        <v/>
      </c>
      <c r="AX1370" s="163" t="str">
        <f t="shared" si="875"/>
        <v/>
      </c>
      <c r="AY1370" s="150" t="str">
        <f t="shared" si="886"/>
        <v/>
      </c>
      <c r="AZ1370" s="150" t="str">
        <f>IF($E1370="","",IF(OR(AND($D1370=Input!$C$6,$C1370=12),$AN1370=1),0,-AS1371+AT1371+AU1371-AV1371-AW1371-AX1371+AZ1371))</f>
        <v/>
      </c>
      <c r="BA1370" s="154" t="str">
        <f t="shared" si="876"/>
        <v/>
      </c>
      <c r="BC1370" s="147" t="str">
        <f t="shared" si="887"/>
        <v/>
      </c>
      <c r="BD1370" s="164" t="str">
        <f>IF(AND($C1369=12,$D1369=Input!$C$6),0,IF($E1370="","",AT1370+(AU1370+BD1371)/(1+$AK1370)*MIN((1-AM1370-AN1370),1)))</f>
        <v/>
      </c>
      <c r="BH1370" s="152"/>
      <c r="BI1370" s="162" t="str">
        <f t="shared" si="895"/>
        <v/>
      </c>
      <c r="BJ1370" s="150" t="str">
        <f t="shared" si="896"/>
        <v/>
      </c>
      <c r="BK1370" s="163" t="str">
        <f t="shared" si="892"/>
        <v/>
      </c>
      <c r="BL1370" s="163" t="str">
        <f t="shared" si="897"/>
        <v/>
      </c>
      <c r="BM1370" s="163" t="str">
        <f t="shared" si="893"/>
        <v/>
      </c>
      <c r="BN1370" s="163" t="str">
        <f t="shared" si="898"/>
        <v/>
      </c>
      <c r="BO1370" s="163" t="str">
        <f t="shared" si="899"/>
        <v/>
      </c>
      <c r="BP1370" s="150" t="str">
        <f t="shared" si="894"/>
        <v/>
      </c>
      <c r="BQ1370" s="150" t="str">
        <f t="shared" si="888"/>
        <v/>
      </c>
      <c r="BR1370" s="154" t="str">
        <f t="shared" si="900"/>
        <v/>
      </c>
      <c r="BT1370" s="147"/>
    </row>
    <row r="1371" spans="1:72" s="150" customFormat="1" x14ac:dyDescent="0.25">
      <c r="A1371" s="150" t="str">
        <f t="shared" si="889"/>
        <v/>
      </c>
      <c r="B1371" s="150" t="str">
        <f t="shared" si="890"/>
        <v/>
      </c>
      <c r="C1371" s="150" t="str">
        <f t="shared" si="891"/>
        <v/>
      </c>
      <c r="D1371" s="150" t="str">
        <f>IF(E1371="","",Input!$C$4+B1371-1)</f>
        <v/>
      </c>
      <c r="E1371" s="150" t="str">
        <f>IF(OR(AND(C1370=12,D1370=Input!$C$6),E1370=""),"",1)</f>
        <v/>
      </c>
      <c r="G1371" s="151" t="str">
        <f>IF(E1371="","",MAX(0,Input!$C$9-B1371))</f>
        <v/>
      </c>
      <c r="H1371" s="152" t="str">
        <f>IF(E1371="","",Input!$C$3)</f>
        <v/>
      </c>
      <c r="I1371" s="153" t="str">
        <f>IF(E1371="","",HLOOKUP($B1371,Input!$C$13:$BT$14,2))</f>
        <v/>
      </c>
      <c r="J1371" s="154"/>
      <c r="K1371" s="150" t="str">
        <f>IF($E1371="","",INDEX(Input!$C$16:$CP$16,1,$B1371))</f>
        <v/>
      </c>
      <c r="L1371" s="150" t="str">
        <f>IF($E1371="","",Input!$C$37)</f>
        <v/>
      </c>
      <c r="M1371" s="150" t="str">
        <f t="shared" si="877"/>
        <v/>
      </c>
      <c r="N1371" s="150" t="str">
        <f t="shared" si="878"/>
        <v/>
      </c>
      <c r="O1371" s="147" t="str">
        <f>IF($E1371="","",MIN(VLOOKUP(IF($B1371&lt;=Input!$C$7,$B1371,26),'Mortality Tables'!$A$41:$CW$67,IF($B1371&lt;=Input!$C$7+1,Input!$C$4+2,$D1371-Input!$C$7+2),0)*IF(B1371&gt;20,Input!$C$22,1)/1000,1))</f>
        <v/>
      </c>
      <c r="P1371" s="147" t="str">
        <f>IF($E1371="","",MIN(VLOOKUP(IF($B1371&lt;=Input!$C$7,$B1371,26),'Mortality Tables'!$A$12:$CW$37,IF($B1371&lt;=Input!$C$7+1,Input!$C$4+2,$D1371-Input!$C$7+2),0)*IF(B1371&gt;20,Input!$C$22,1)/1000,1))</f>
        <v/>
      </c>
      <c r="Q1371" s="155" t="str">
        <f>IF($E1371="","",Input!$C$21)</f>
        <v/>
      </c>
      <c r="R1371" s="159" t="str">
        <f>IF($E1371="","",(1-Q1371)^($F1371-Input!$C$20))</f>
        <v/>
      </c>
      <c r="S1371" s="147" t="str">
        <f t="shared" si="866"/>
        <v/>
      </c>
      <c r="T1371" s="147" t="str">
        <f t="shared" si="867"/>
        <v/>
      </c>
      <c r="U1371" s="160" t="str">
        <f>IF($E1371="","",IF($C1371=12,INDEX(Input!$C$15:$CP$15,1,$B1371),0))</f>
        <v/>
      </c>
      <c r="V1371" s="150" t="str">
        <f>IF(E1371="","",IF(C1371=1,IF($B1371=1,Input!$C$33,Input!$C$34),0))</f>
        <v/>
      </c>
      <c r="W1371" s="156" t="str">
        <f>IF($E1371="","",Input!$C$35)</f>
        <v/>
      </c>
      <c r="X1371" s="156" t="str">
        <f t="shared" si="868"/>
        <v/>
      </c>
      <c r="Y1371" s="154"/>
      <c r="Z1371" s="147" t="str">
        <f>IF($E1371="","",VLOOKUP($D1371,'Mortality Margins &amp; Grading'!$AB$5:$AF$125,3,0)*IF(Summary!$D$25="Included Margin",IF(AND($B1371&gt;Input!$C$9,Summary!$D$31&lt;&gt;"Included Margin"),0,1),0))</f>
        <v/>
      </c>
      <c r="AA1371" s="147" t="str">
        <f>IF($E1371="","",VLOOKUP($D1371,'Mortality Margins &amp; Grading'!$AB$5:$AF$125,5,0)*IF(Summary!$D$25="Included Margin",IF(AND($B1371&gt;Input!$C$9,Summary!$D$31&lt;&gt;"Included Margin"),0,1),0))</f>
        <v/>
      </c>
      <c r="AB1371" s="147" t="str">
        <f>IF($E1371="","",IF(AND($B1371&gt;Input!$C$9,Summary!$D$31&lt;&gt;"Included Margin"),1,IF(Summary!$D$25="Included Margin",VLOOKUP($B1371,'Mortality Margins &amp; Grading'!$AI$5:$AR$125,MATCH('Mortality Margins &amp; Grading'!$AQ$4,'Mortality Margins &amp; Grading'!$AI$4:$AR$4,0),0),1)))</f>
        <v/>
      </c>
      <c r="AC1371" s="154"/>
      <c r="AD1371" s="158" t="str">
        <f>IF(E1371="","",Input!$C$48*IF(Summary!$D$30="Included Margin",IF(AND($B1371&gt;Input!$C$9,Summary!$D$31&lt;&gt;"Included Margin"),0,1),0))</f>
        <v/>
      </c>
      <c r="AE1371" s="159" t="str">
        <f>IF(E1371="","",IF(Summary!$D$26="Included Margin",IF(AND($B1371&gt;Input!$C$9,Summary!$D$31&lt;&gt;"Included Margin"),1,1/$R1371),1))</f>
        <v/>
      </c>
      <c r="AF1371" s="160" t="str">
        <f>IF(E1371="","",IF(AND($B1371&gt;=Input!$C$9,$C1371=12,Summary!$D$31="Included Margin",$U1371&gt;0),1/U1371-1,IF($B1371&gt;=Input!$C$9,0,Input!$C$45*IF(Summary!$D$27="Included Margin",1,0))))</f>
        <v/>
      </c>
      <c r="AG1371" s="160" t="str">
        <f>IF(E1371="","",Input!$C$46*IF(Summary!$D$28="Included Margin",IF(AND($B1371&gt;Input!$C$9,Summary!$D$31&lt;&gt;"Included Margin"),0,1),0))</f>
        <v/>
      </c>
      <c r="AH1371" s="158" t="str">
        <f>IF(E1371="","",Input!$C$47*IF(Summary!$D$29="Included Margin",IF(AND($B1371&gt;Input!$C$9,Summary!$D$31&lt;&gt;"Included Margin"),0,1),0))</f>
        <v/>
      </c>
      <c r="AI1371" s="154"/>
      <c r="AJ1371" s="158" t="str">
        <f t="shared" si="879"/>
        <v/>
      </c>
      <c r="AK1371" s="150" t="str">
        <f t="shared" si="880"/>
        <v/>
      </c>
      <c r="AL1371" s="147" t="str">
        <f t="shared" si="881"/>
        <v/>
      </c>
      <c r="AM1371" s="147" t="str">
        <f t="shared" si="869"/>
        <v/>
      </c>
      <c r="AN1371" s="160" t="str">
        <f t="shared" si="882"/>
        <v/>
      </c>
      <c r="AO1371" s="161" t="str">
        <f t="shared" si="883"/>
        <v/>
      </c>
      <c r="AP1371" s="156" t="str">
        <f t="shared" si="870"/>
        <v/>
      </c>
      <c r="AQ1371" s="152"/>
      <c r="AR1371" s="162" t="str">
        <f t="shared" si="871"/>
        <v/>
      </c>
      <c r="AS1371" s="150" t="str">
        <f t="shared" si="884"/>
        <v/>
      </c>
      <c r="AT1371" s="163" t="str">
        <f t="shared" si="872"/>
        <v/>
      </c>
      <c r="AU1371" s="163" t="str">
        <f t="shared" si="873"/>
        <v/>
      </c>
      <c r="AV1371" s="163" t="str">
        <f t="shared" si="885"/>
        <v/>
      </c>
      <c r="AW1371" s="163" t="str">
        <f t="shared" si="874"/>
        <v/>
      </c>
      <c r="AX1371" s="163" t="str">
        <f t="shared" si="875"/>
        <v/>
      </c>
      <c r="AY1371" s="150" t="str">
        <f t="shared" si="886"/>
        <v/>
      </c>
      <c r="AZ1371" s="150" t="str">
        <f>IF($E1371="","",IF(OR(AND($D1371=Input!$C$6,$C1371=12),$AN1371=1),0,-AS1372+AT1372+AU1372-AV1372-AW1372-AX1372+AZ1372))</f>
        <v/>
      </c>
      <c r="BA1371" s="154" t="str">
        <f t="shared" si="876"/>
        <v/>
      </c>
      <c r="BC1371" s="147" t="str">
        <f t="shared" si="887"/>
        <v/>
      </c>
      <c r="BD1371" s="164" t="str">
        <f>IF(AND($C1370=12,$D1370=Input!$C$6),0,IF($E1371="","",AT1371+(AU1371+BD1372)/(1+$AK1371)*MIN((1-AM1371-AN1371),1)))</f>
        <v/>
      </c>
      <c r="BH1371" s="152"/>
      <c r="BI1371" s="162" t="str">
        <f t="shared" si="895"/>
        <v/>
      </c>
      <c r="BJ1371" s="150" t="str">
        <f t="shared" si="896"/>
        <v/>
      </c>
      <c r="BK1371" s="163" t="str">
        <f t="shared" si="892"/>
        <v/>
      </c>
      <c r="BL1371" s="163" t="str">
        <f t="shared" si="897"/>
        <v/>
      </c>
      <c r="BM1371" s="163" t="str">
        <f t="shared" si="893"/>
        <v/>
      </c>
      <c r="BN1371" s="163" t="str">
        <f t="shared" si="898"/>
        <v/>
      </c>
      <c r="BO1371" s="163" t="str">
        <f t="shared" si="899"/>
        <v/>
      </c>
      <c r="BP1371" s="150" t="str">
        <f t="shared" si="894"/>
        <v/>
      </c>
      <c r="BQ1371" s="150" t="str">
        <f t="shared" si="888"/>
        <v/>
      </c>
      <c r="BR1371" s="154" t="str">
        <f t="shared" si="900"/>
        <v/>
      </c>
      <c r="BT1371" s="147"/>
    </row>
    <row r="1372" spans="1:72" s="150" customFormat="1" x14ac:dyDescent="0.25">
      <c r="A1372" s="150" t="str">
        <f t="shared" si="889"/>
        <v/>
      </c>
      <c r="B1372" s="150" t="str">
        <f t="shared" si="890"/>
        <v/>
      </c>
      <c r="C1372" s="150" t="str">
        <f t="shared" si="891"/>
        <v/>
      </c>
      <c r="D1372" s="150" t="str">
        <f>IF(E1372="","",Input!$C$4+B1372-1)</f>
        <v/>
      </c>
      <c r="E1372" s="150" t="str">
        <f>IF(OR(AND(C1371=12,D1371=Input!$C$6),E1371=""),"",1)</f>
        <v/>
      </c>
      <c r="G1372" s="151" t="str">
        <f>IF(E1372="","",MAX(0,Input!$C$9-B1372))</f>
        <v/>
      </c>
      <c r="H1372" s="152" t="str">
        <f>IF(E1372="","",Input!$C$3)</f>
        <v/>
      </c>
      <c r="I1372" s="153" t="str">
        <f>IF(E1372="","",HLOOKUP($B1372,Input!$C$13:$BT$14,2))</f>
        <v/>
      </c>
      <c r="J1372" s="154"/>
      <c r="K1372" s="150" t="str">
        <f>IF($E1372="","",INDEX(Input!$C$16:$CP$16,1,$B1372))</f>
        <v/>
      </c>
      <c r="L1372" s="150" t="str">
        <f>IF($E1372="","",Input!$C$37)</f>
        <v/>
      </c>
      <c r="M1372" s="150" t="str">
        <f t="shared" si="877"/>
        <v/>
      </c>
      <c r="N1372" s="150" t="str">
        <f t="shared" si="878"/>
        <v/>
      </c>
      <c r="O1372" s="147" t="str">
        <f>IF($E1372="","",MIN(VLOOKUP(IF($B1372&lt;=Input!$C$7,$B1372,26),'Mortality Tables'!$A$41:$CW$67,IF($B1372&lt;=Input!$C$7+1,Input!$C$4+2,$D1372-Input!$C$7+2),0)*IF(B1372&gt;20,Input!$C$22,1)/1000,1))</f>
        <v/>
      </c>
      <c r="P1372" s="147" t="str">
        <f>IF($E1372="","",MIN(VLOOKUP(IF($B1372&lt;=Input!$C$7,$B1372,26),'Mortality Tables'!$A$12:$CW$37,IF($B1372&lt;=Input!$C$7+1,Input!$C$4+2,$D1372-Input!$C$7+2),0)*IF(B1372&gt;20,Input!$C$22,1)/1000,1))</f>
        <v/>
      </c>
      <c r="Q1372" s="155" t="str">
        <f>IF($E1372="","",Input!$C$21)</f>
        <v/>
      </c>
      <c r="R1372" s="159" t="str">
        <f>IF($E1372="","",(1-Q1372)^($F1372-Input!$C$20))</f>
        <v/>
      </c>
      <c r="S1372" s="147" t="str">
        <f t="shared" si="866"/>
        <v/>
      </c>
      <c r="T1372" s="147" t="str">
        <f t="shared" si="867"/>
        <v/>
      </c>
      <c r="U1372" s="160" t="str">
        <f>IF($E1372="","",IF($C1372=12,INDEX(Input!$C$15:$CP$15,1,$B1372),0))</f>
        <v/>
      </c>
      <c r="V1372" s="150" t="str">
        <f>IF(E1372="","",IF(C1372=1,IF($B1372=1,Input!$C$33,Input!$C$34),0))</f>
        <v/>
      </c>
      <c r="W1372" s="156" t="str">
        <f>IF($E1372="","",Input!$C$35)</f>
        <v/>
      </c>
      <c r="X1372" s="156" t="str">
        <f t="shared" si="868"/>
        <v/>
      </c>
      <c r="Y1372" s="154"/>
      <c r="Z1372" s="147" t="str">
        <f>IF($E1372="","",VLOOKUP($D1372,'Mortality Margins &amp; Grading'!$AB$5:$AF$125,3,0)*IF(Summary!$D$25="Included Margin",IF(AND($B1372&gt;Input!$C$9,Summary!$D$31&lt;&gt;"Included Margin"),0,1),0))</f>
        <v/>
      </c>
      <c r="AA1372" s="147" t="str">
        <f>IF($E1372="","",VLOOKUP($D1372,'Mortality Margins &amp; Grading'!$AB$5:$AF$125,5,0)*IF(Summary!$D$25="Included Margin",IF(AND($B1372&gt;Input!$C$9,Summary!$D$31&lt;&gt;"Included Margin"),0,1),0))</f>
        <v/>
      </c>
      <c r="AB1372" s="147" t="str">
        <f>IF($E1372="","",IF(AND($B1372&gt;Input!$C$9,Summary!$D$31&lt;&gt;"Included Margin"),1,IF(Summary!$D$25="Included Margin",VLOOKUP($B1372,'Mortality Margins &amp; Grading'!$AI$5:$AR$125,MATCH('Mortality Margins &amp; Grading'!$AQ$4,'Mortality Margins &amp; Grading'!$AI$4:$AR$4,0),0),1)))</f>
        <v/>
      </c>
      <c r="AC1372" s="154"/>
      <c r="AD1372" s="158" t="str">
        <f>IF(E1372="","",Input!$C$48*IF(Summary!$D$30="Included Margin",IF(AND($B1372&gt;Input!$C$9,Summary!$D$31&lt;&gt;"Included Margin"),0,1),0))</f>
        <v/>
      </c>
      <c r="AE1372" s="159" t="str">
        <f>IF(E1372="","",IF(Summary!$D$26="Included Margin",IF(AND($B1372&gt;Input!$C$9,Summary!$D$31&lt;&gt;"Included Margin"),1,1/$R1372),1))</f>
        <v/>
      </c>
      <c r="AF1372" s="160" t="str">
        <f>IF(E1372="","",IF(AND($B1372&gt;=Input!$C$9,$C1372=12,Summary!$D$31="Included Margin",$U1372&gt;0),1/U1372-1,IF($B1372&gt;=Input!$C$9,0,Input!$C$45*IF(Summary!$D$27="Included Margin",1,0))))</f>
        <v/>
      </c>
      <c r="AG1372" s="160" t="str">
        <f>IF(E1372="","",Input!$C$46*IF(Summary!$D$28="Included Margin",IF(AND($B1372&gt;Input!$C$9,Summary!$D$31&lt;&gt;"Included Margin"),0,1),0))</f>
        <v/>
      </c>
      <c r="AH1372" s="158" t="str">
        <f>IF(E1372="","",Input!$C$47*IF(Summary!$D$29="Included Margin",IF(AND($B1372&gt;Input!$C$9,Summary!$D$31&lt;&gt;"Included Margin"),0,1),0))</f>
        <v/>
      </c>
      <c r="AI1372" s="154"/>
      <c r="AJ1372" s="158" t="str">
        <f t="shared" si="879"/>
        <v/>
      </c>
      <c r="AK1372" s="150" t="str">
        <f t="shared" si="880"/>
        <v/>
      </c>
      <c r="AL1372" s="147" t="str">
        <f t="shared" si="881"/>
        <v/>
      </c>
      <c r="AM1372" s="147" t="str">
        <f t="shared" si="869"/>
        <v/>
      </c>
      <c r="AN1372" s="160" t="str">
        <f t="shared" si="882"/>
        <v/>
      </c>
      <c r="AO1372" s="161" t="str">
        <f t="shared" si="883"/>
        <v/>
      </c>
      <c r="AP1372" s="156" t="str">
        <f t="shared" si="870"/>
        <v/>
      </c>
      <c r="AQ1372" s="152"/>
      <c r="AR1372" s="162" t="str">
        <f t="shared" si="871"/>
        <v/>
      </c>
      <c r="AS1372" s="150" t="str">
        <f t="shared" si="884"/>
        <v/>
      </c>
      <c r="AT1372" s="163" t="str">
        <f t="shared" si="872"/>
        <v/>
      </c>
      <c r="AU1372" s="163" t="str">
        <f t="shared" si="873"/>
        <v/>
      </c>
      <c r="AV1372" s="163" t="str">
        <f t="shared" si="885"/>
        <v/>
      </c>
      <c r="AW1372" s="163" t="str">
        <f t="shared" si="874"/>
        <v/>
      </c>
      <c r="AX1372" s="163" t="str">
        <f t="shared" si="875"/>
        <v/>
      </c>
      <c r="AY1372" s="150" t="str">
        <f t="shared" si="886"/>
        <v/>
      </c>
      <c r="AZ1372" s="150" t="str">
        <f>IF($E1372="","",IF(OR(AND($D1372=Input!$C$6,$C1372=12),$AN1372=1),0,-AS1373+AT1373+AU1373-AV1373-AW1373-AX1373+AZ1373))</f>
        <v/>
      </c>
      <c r="BA1372" s="154" t="str">
        <f t="shared" si="876"/>
        <v/>
      </c>
      <c r="BC1372" s="147" t="str">
        <f t="shared" si="887"/>
        <v/>
      </c>
      <c r="BD1372" s="164" t="str">
        <f>IF(AND($C1371=12,$D1371=Input!$C$6),0,IF($E1372="","",AT1372+(AU1372+BD1373)/(1+$AK1372)*MIN((1-AM1372-AN1372),1)))</f>
        <v/>
      </c>
      <c r="BH1372" s="152"/>
      <c r="BI1372" s="162" t="str">
        <f t="shared" si="895"/>
        <v/>
      </c>
      <c r="BJ1372" s="150" t="str">
        <f t="shared" si="896"/>
        <v/>
      </c>
      <c r="BK1372" s="163" t="str">
        <f t="shared" si="892"/>
        <v/>
      </c>
      <c r="BL1372" s="163" t="str">
        <f t="shared" si="897"/>
        <v/>
      </c>
      <c r="BM1372" s="163" t="str">
        <f t="shared" si="893"/>
        <v/>
      </c>
      <c r="BN1372" s="163" t="str">
        <f t="shared" si="898"/>
        <v/>
      </c>
      <c r="BO1372" s="163" t="str">
        <f t="shared" si="899"/>
        <v/>
      </c>
      <c r="BP1372" s="150" t="str">
        <f t="shared" si="894"/>
        <v/>
      </c>
      <c r="BQ1372" s="150" t="str">
        <f t="shared" si="888"/>
        <v/>
      </c>
      <c r="BR1372" s="154" t="str">
        <f t="shared" si="900"/>
        <v/>
      </c>
      <c r="BT1372" s="147"/>
    </row>
    <row r="1373" spans="1:72" s="150" customFormat="1" x14ac:dyDescent="0.25">
      <c r="A1373" s="150" t="str">
        <f t="shared" si="889"/>
        <v/>
      </c>
      <c r="B1373" s="150" t="str">
        <f t="shared" si="890"/>
        <v/>
      </c>
      <c r="C1373" s="150" t="str">
        <f t="shared" si="891"/>
        <v/>
      </c>
      <c r="D1373" s="150" t="str">
        <f>IF(E1373="","",Input!$C$4+B1373-1)</f>
        <v/>
      </c>
      <c r="E1373" s="150" t="str">
        <f>IF(OR(AND(C1372=12,D1372=Input!$C$6),E1372=""),"",1)</f>
        <v/>
      </c>
      <c r="G1373" s="151" t="str">
        <f>IF(E1373="","",MAX(0,Input!$C$9-B1373))</f>
        <v/>
      </c>
      <c r="H1373" s="152" t="str">
        <f>IF(E1373="","",Input!$C$3)</f>
        <v/>
      </c>
      <c r="I1373" s="153" t="str">
        <f>IF(E1373="","",HLOOKUP($B1373,Input!$C$13:$BT$14,2))</f>
        <v/>
      </c>
      <c r="J1373" s="154"/>
      <c r="K1373" s="150" t="str">
        <f>IF($E1373="","",INDEX(Input!$C$16:$CP$16,1,$B1373))</f>
        <v/>
      </c>
      <c r="L1373" s="150" t="str">
        <f>IF($E1373="","",Input!$C$37)</f>
        <v/>
      </c>
      <c r="M1373" s="150" t="str">
        <f t="shared" si="877"/>
        <v/>
      </c>
      <c r="N1373" s="150" t="str">
        <f t="shared" si="878"/>
        <v/>
      </c>
      <c r="O1373" s="147" t="str">
        <f>IF($E1373="","",MIN(VLOOKUP(IF($B1373&lt;=Input!$C$7,$B1373,26),'Mortality Tables'!$A$41:$CW$67,IF($B1373&lt;=Input!$C$7+1,Input!$C$4+2,$D1373-Input!$C$7+2),0)*IF(B1373&gt;20,Input!$C$22,1)/1000,1))</f>
        <v/>
      </c>
      <c r="P1373" s="147" t="str">
        <f>IF($E1373="","",MIN(VLOOKUP(IF($B1373&lt;=Input!$C$7,$B1373,26),'Mortality Tables'!$A$12:$CW$37,IF($B1373&lt;=Input!$C$7+1,Input!$C$4+2,$D1373-Input!$C$7+2),0)*IF(B1373&gt;20,Input!$C$22,1)/1000,1))</f>
        <v/>
      </c>
      <c r="Q1373" s="155" t="str">
        <f>IF($E1373="","",Input!$C$21)</f>
        <v/>
      </c>
      <c r="R1373" s="159" t="str">
        <f>IF($E1373="","",(1-Q1373)^($F1373-Input!$C$20))</f>
        <v/>
      </c>
      <c r="S1373" s="147" t="str">
        <f t="shared" si="866"/>
        <v/>
      </c>
      <c r="T1373" s="147" t="str">
        <f t="shared" si="867"/>
        <v/>
      </c>
      <c r="U1373" s="160" t="str">
        <f>IF($E1373="","",IF($C1373=12,INDEX(Input!$C$15:$CP$15,1,$B1373),0))</f>
        <v/>
      </c>
      <c r="V1373" s="150" t="str">
        <f>IF(E1373="","",IF(C1373=1,IF($B1373=1,Input!$C$33,Input!$C$34),0))</f>
        <v/>
      </c>
      <c r="W1373" s="156" t="str">
        <f>IF($E1373="","",Input!$C$35)</f>
        <v/>
      </c>
      <c r="X1373" s="156" t="str">
        <f t="shared" si="868"/>
        <v/>
      </c>
      <c r="Y1373" s="154"/>
      <c r="Z1373" s="147" t="str">
        <f>IF($E1373="","",VLOOKUP($D1373,'Mortality Margins &amp; Grading'!$AB$5:$AF$125,3,0)*IF(Summary!$D$25="Included Margin",IF(AND($B1373&gt;Input!$C$9,Summary!$D$31&lt;&gt;"Included Margin"),0,1),0))</f>
        <v/>
      </c>
      <c r="AA1373" s="147" t="str">
        <f>IF($E1373="","",VLOOKUP($D1373,'Mortality Margins &amp; Grading'!$AB$5:$AF$125,5,0)*IF(Summary!$D$25="Included Margin",IF(AND($B1373&gt;Input!$C$9,Summary!$D$31&lt;&gt;"Included Margin"),0,1),0))</f>
        <v/>
      </c>
      <c r="AB1373" s="147" t="str">
        <f>IF($E1373="","",IF(AND($B1373&gt;Input!$C$9,Summary!$D$31&lt;&gt;"Included Margin"),1,IF(Summary!$D$25="Included Margin",VLOOKUP($B1373,'Mortality Margins &amp; Grading'!$AI$5:$AR$125,MATCH('Mortality Margins &amp; Grading'!$AQ$4,'Mortality Margins &amp; Grading'!$AI$4:$AR$4,0),0),1)))</f>
        <v/>
      </c>
      <c r="AC1373" s="154"/>
      <c r="AD1373" s="158" t="str">
        <f>IF(E1373="","",Input!$C$48*IF(Summary!$D$30="Included Margin",IF(AND($B1373&gt;Input!$C$9,Summary!$D$31&lt;&gt;"Included Margin"),0,1),0))</f>
        <v/>
      </c>
      <c r="AE1373" s="159" t="str">
        <f>IF(E1373="","",IF(Summary!$D$26="Included Margin",IF(AND($B1373&gt;Input!$C$9,Summary!$D$31&lt;&gt;"Included Margin"),1,1/$R1373),1))</f>
        <v/>
      </c>
      <c r="AF1373" s="160" t="str">
        <f>IF(E1373="","",IF(AND($B1373&gt;=Input!$C$9,$C1373=12,Summary!$D$31="Included Margin",$U1373&gt;0),1/U1373-1,IF($B1373&gt;=Input!$C$9,0,Input!$C$45*IF(Summary!$D$27="Included Margin",1,0))))</f>
        <v/>
      </c>
      <c r="AG1373" s="160" t="str">
        <f>IF(E1373="","",Input!$C$46*IF(Summary!$D$28="Included Margin",IF(AND($B1373&gt;Input!$C$9,Summary!$D$31&lt;&gt;"Included Margin"),0,1),0))</f>
        <v/>
      </c>
      <c r="AH1373" s="158" t="str">
        <f>IF(E1373="","",Input!$C$47*IF(Summary!$D$29="Included Margin",IF(AND($B1373&gt;Input!$C$9,Summary!$D$31&lt;&gt;"Included Margin"),0,1),0))</f>
        <v/>
      </c>
      <c r="AI1373" s="154"/>
      <c r="AJ1373" s="158" t="str">
        <f t="shared" si="879"/>
        <v/>
      </c>
      <c r="AK1373" s="150" t="str">
        <f t="shared" si="880"/>
        <v/>
      </c>
      <c r="AL1373" s="147" t="str">
        <f t="shared" si="881"/>
        <v/>
      </c>
      <c r="AM1373" s="147" t="str">
        <f t="shared" si="869"/>
        <v/>
      </c>
      <c r="AN1373" s="160" t="str">
        <f t="shared" si="882"/>
        <v/>
      </c>
      <c r="AO1373" s="161" t="str">
        <f t="shared" si="883"/>
        <v/>
      </c>
      <c r="AP1373" s="156" t="str">
        <f t="shared" si="870"/>
        <v/>
      </c>
      <c r="AQ1373" s="152"/>
      <c r="AR1373" s="162" t="str">
        <f t="shared" si="871"/>
        <v/>
      </c>
      <c r="AS1373" s="150" t="str">
        <f t="shared" si="884"/>
        <v/>
      </c>
      <c r="AT1373" s="163" t="str">
        <f t="shared" si="872"/>
        <v/>
      </c>
      <c r="AU1373" s="163" t="str">
        <f t="shared" si="873"/>
        <v/>
      </c>
      <c r="AV1373" s="163" t="str">
        <f t="shared" si="885"/>
        <v/>
      </c>
      <c r="AW1373" s="163" t="str">
        <f t="shared" si="874"/>
        <v/>
      </c>
      <c r="AX1373" s="163" t="str">
        <f t="shared" si="875"/>
        <v/>
      </c>
      <c r="AY1373" s="150" t="str">
        <f t="shared" si="886"/>
        <v/>
      </c>
      <c r="AZ1373" s="150" t="str">
        <f>IF($E1373="","",IF(OR(AND($D1373=Input!$C$6,$C1373=12),$AN1373=1),0,-AS1374+AT1374+AU1374-AV1374-AW1374-AX1374+AZ1374))</f>
        <v/>
      </c>
      <c r="BA1373" s="154" t="str">
        <f t="shared" si="876"/>
        <v/>
      </c>
      <c r="BC1373" s="147" t="str">
        <f t="shared" si="887"/>
        <v/>
      </c>
      <c r="BD1373" s="164" t="str">
        <f>IF(AND($C1372=12,$D1372=Input!$C$6),0,IF($E1373="","",AT1373+(AU1373+BD1374)/(1+$AK1373)*MIN((1-AM1373-AN1373),1)))</f>
        <v/>
      </c>
      <c r="BH1373" s="152"/>
      <c r="BI1373" s="162" t="str">
        <f t="shared" si="895"/>
        <v/>
      </c>
      <c r="BJ1373" s="150" t="str">
        <f t="shared" si="896"/>
        <v/>
      </c>
      <c r="BK1373" s="163" t="str">
        <f t="shared" si="892"/>
        <v/>
      </c>
      <c r="BL1373" s="163" t="str">
        <f t="shared" si="897"/>
        <v/>
      </c>
      <c r="BM1373" s="163" t="str">
        <f t="shared" si="893"/>
        <v/>
      </c>
      <c r="BN1373" s="163" t="str">
        <f t="shared" si="898"/>
        <v/>
      </c>
      <c r="BO1373" s="163" t="str">
        <f t="shared" si="899"/>
        <v/>
      </c>
      <c r="BP1373" s="150" t="str">
        <f t="shared" si="894"/>
        <v/>
      </c>
      <c r="BQ1373" s="150" t="str">
        <f t="shared" si="888"/>
        <v/>
      </c>
      <c r="BR1373" s="154" t="str">
        <f t="shared" si="900"/>
        <v/>
      </c>
      <c r="BT1373" s="147"/>
    </row>
    <row r="1374" spans="1:72" s="150" customFormat="1" x14ac:dyDescent="0.25">
      <c r="A1374" s="150" t="str">
        <f t="shared" si="889"/>
        <v/>
      </c>
      <c r="B1374" s="150" t="str">
        <f t="shared" si="890"/>
        <v/>
      </c>
      <c r="C1374" s="150" t="str">
        <f t="shared" si="891"/>
        <v/>
      </c>
      <c r="D1374" s="150" t="str">
        <f>IF(E1374="","",Input!$C$4+B1374-1)</f>
        <v/>
      </c>
      <c r="E1374" s="150" t="str">
        <f>IF(OR(AND(C1373=12,D1373=Input!$C$6),E1373=""),"",1)</f>
        <v/>
      </c>
      <c r="G1374" s="151" t="str">
        <f>IF(E1374="","",MAX(0,Input!$C$9-B1374))</f>
        <v/>
      </c>
      <c r="H1374" s="152" t="str">
        <f>IF(E1374="","",Input!$C$3)</f>
        <v/>
      </c>
      <c r="I1374" s="153" t="str">
        <f>IF(E1374="","",HLOOKUP($B1374,Input!$C$13:$BT$14,2))</f>
        <v/>
      </c>
      <c r="J1374" s="154"/>
      <c r="K1374" s="150" t="str">
        <f>IF($E1374="","",INDEX(Input!$C$16:$CP$16,1,$B1374))</f>
        <v/>
      </c>
      <c r="L1374" s="150" t="str">
        <f>IF($E1374="","",Input!$C$37)</f>
        <v/>
      </c>
      <c r="M1374" s="150" t="str">
        <f t="shared" si="877"/>
        <v/>
      </c>
      <c r="N1374" s="150" t="str">
        <f t="shared" si="878"/>
        <v/>
      </c>
      <c r="O1374" s="147" t="str">
        <f>IF($E1374="","",MIN(VLOOKUP(IF($B1374&lt;=Input!$C$7,$B1374,26),'Mortality Tables'!$A$41:$CW$67,IF($B1374&lt;=Input!$C$7+1,Input!$C$4+2,$D1374-Input!$C$7+2),0)*IF(B1374&gt;20,Input!$C$22,1)/1000,1))</f>
        <v/>
      </c>
      <c r="P1374" s="147" t="str">
        <f>IF($E1374="","",MIN(VLOOKUP(IF($B1374&lt;=Input!$C$7,$B1374,26),'Mortality Tables'!$A$12:$CW$37,IF($B1374&lt;=Input!$C$7+1,Input!$C$4+2,$D1374-Input!$C$7+2),0)*IF(B1374&gt;20,Input!$C$22,1)/1000,1))</f>
        <v/>
      </c>
      <c r="Q1374" s="155" t="str">
        <f>IF($E1374="","",Input!$C$21)</f>
        <v/>
      </c>
      <c r="R1374" s="159" t="str">
        <f>IF($E1374="","",(1-Q1374)^($F1374-Input!$C$20))</f>
        <v/>
      </c>
      <c r="S1374" s="147" t="str">
        <f t="shared" si="866"/>
        <v/>
      </c>
      <c r="T1374" s="147" t="str">
        <f t="shared" si="867"/>
        <v/>
      </c>
      <c r="U1374" s="160" t="str">
        <f>IF($E1374="","",IF($C1374=12,INDEX(Input!$C$15:$CP$15,1,$B1374),0))</f>
        <v/>
      </c>
      <c r="V1374" s="150" t="str">
        <f>IF(E1374="","",IF(C1374=1,IF($B1374=1,Input!$C$33,Input!$C$34),0))</f>
        <v/>
      </c>
      <c r="W1374" s="156" t="str">
        <f>IF($E1374="","",Input!$C$35)</f>
        <v/>
      </c>
      <c r="X1374" s="156" t="str">
        <f t="shared" si="868"/>
        <v/>
      </c>
      <c r="Y1374" s="154"/>
      <c r="Z1374" s="147" t="str">
        <f>IF($E1374="","",VLOOKUP($D1374,'Mortality Margins &amp; Grading'!$AB$5:$AF$125,3,0)*IF(Summary!$D$25="Included Margin",IF(AND($B1374&gt;Input!$C$9,Summary!$D$31&lt;&gt;"Included Margin"),0,1),0))</f>
        <v/>
      </c>
      <c r="AA1374" s="147" t="str">
        <f>IF($E1374="","",VLOOKUP($D1374,'Mortality Margins &amp; Grading'!$AB$5:$AF$125,5,0)*IF(Summary!$D$25="Included Margin",IF(AND($B1374&gt;Input!$C$9,Summary!$D$31&lt;&gt;"Included Margin"),0,1),0))</f>
        <v/>
      </c>
      <c r="AB1374" s="147" t="str">
        <f>IF($E1374="","",IF(AND($B1374&gt;Input!$C$9,Summary!$D$31&lt;&gt;"Included Margin"),1,IF(Summary!$D$25="Included Margin",VLOOKUP($B1374,'Mortality Margins &amp; Grading'!$AI$5:$AR$125,MATCH('Mortality Margins &amp; Grading'!$AQ$4,'Mortality Margins &amp; Grading'!$AI$4:$AR$4,0),0),1)))</f>
        <v/>
      </c>
      <c r="AC1374" s="154"/>
      <c r="AD1374" s="158" t="str">
        <f>IF(E1374="","",Input!$C$48*IF(Summary!$D$30="Included Margin",IF(AND($B1374&gt;Input!$C$9,Summary!$D$31&lt;&gt;"Included Margin"),0,1),0))</f>
        <v/>
      </c>
      <c r="AE1374" s="159" t="str">
        <f>IF(E1374="","",IF(Summary!$D$26="Included Margin",IF(AND($B1374&gt;Input!$C$9,Summary!$D$31&lt;&gt;"Included Margin"),1,1/$R1374),1))</f>
        <v/>
      </c>
      <c r="AF1374" s="160" t="str">
        <f>IF(E1374="","",IF(AND($B1374&gt;=Input!$C$9,$C1374=12,Summary!$D$31="Included Margin",$U1374&gt;0),1/U1374-1,IF($B1374&gt;=Input!$C$9,0,Input!$C$45*IF(Summary!$D$27="Included Margin",1,0))))</f>
        <v/>
      </c>
      <c r="AG1374" s="160" t="str">
        <f>IF(E1374="","",Input!$C$46*IF(Summary!$D$28="Included Margin",IF(AND($B1374&gt;Input!$C$9,Summary!$D$31&lt;&gt;"Included Margin"),0,1),0))</f>
        <v/>
      </c>
      <c r="AH1374" s="158" t="str">
        <f>IF(E1374="","",Input!$C$47*IF(Summary!$D$29="Included Margin",IF(AND($B1374&gt;Input!$C$9,Summary!$D$31&lt;&gt;"Included Margin"),0,1),0))</f>
        <v/>
      </c>
      <c r="AI1374" s="154"/>
      <c r="AJ1374" s="158" t="str">
        <f t="shared" si="879"/>
        <v/>
      </c>
      <c r="AK1374" s="150" t="str">
        <f t="shared" si="880"/>
        <v/>
      </c>
      <c r="AL1374" s="147" t="str">
        <f t="shared" si="881"/>
        <v/>
      </c>
      <c r="AM1374" s="147" t="str">
        <f t="shared" si="869"/>
        <v/>
      </c>
      <c r="AN1374" s="160" t="str">
        <f t="shared" si="882"/>
        <v/>
      </c>
      <c r="AO1374" s="161" t="str">
        <f t="shared" si="883"/>
        <v/>
      </c>
      <c r="AP1374" s="156" t="str">
        <f t="shared" si="870"/>
        <v/>
      </c>
      <c r="AQ1374" s="152"/>
      <c r="AR1374" s="162" t="str">
        <f t="shared" si="871"/>
        <v/>
      </c>
      <c r="AS1374" s="150" t="str">
        <f t="shared" si="884"/>
        <v/>
      </c>
      <c r="AT1374" s="163" t="str">
        <f t="shared" si="872"/>
        <v/>
      </c>
      <c r="AU1374" s="163" t="str">
        <f t="shared" si="873"/>
        <v/>
      </c>
      <c r="AV1374" s="163" t="str">
        <f t="shared" si="885"/>
        <v/>
      </c>
      <c r="AW1374" s="163" t="str">
        <f t="shared" si="874"/>
        <v/>
      </c>
      <c r="AX1374" s="163" t="str">
        <f t="shared" si="875"/>
        <v/>
      </c>
      <c r="AY1374" s="150" t="str">
        <f t="shared" si="886"/>
        <v/>
      </c>
      <c r="AZ1374" s="150" t="str">
        <f>IF($E1374="","",IF(OR(AND($D1374=Input!$C$6,$C1374=12),$AN1374=1),0,-AS1375+AT1375+AU1375-AV1375-AW1375-AX1375+AZ1375))</f>
        <v/>
      </c>
      <c r="BA1374" s="154" t="str">
        <f t="shared" si="876"/>
        <v/>
      </c>
      <c r="BC1374" s="147" t="str">
        <f t="shared" si="887"/>
        <v/>
      </c>
      <c r="BD1374" s="164" t="str">
        <f>IF(AND($C1373=12,$D1373=Input!$C$6),0,IF($E1374="","",AT1374+(AU1374+BD1375)/(1+$AK1374)*MIN((1-AM1374-AN1374),1)))</f>
        <v/>
      </c>
      <c r="BH1374" s="152"/>
      <c r="BI1374" s="162" t="str">
        <f t="shared" si="895"/>
        <v/>
      </c>
      <c r="BJ1374" s="150" t="str">
        <f t="shared" si="896"/>
        <v/>
      </c>
      <c r="BK1374" s="163" t="str">
        <f t="shared" si="892"/>
        <v/>
      </c>
      <c r="BL1374" s="163" t="str">
        <f t="shared" si="897"/>
        <v/>
      </c>
      <c r="BM1374" s="163" t="str">
        <f t="shared" si="893"/>
        <v/>
      </c>
      <c r="BN1374" s="163" t="str">
        <f t="shared" si="898"/>
        <v/>
      </c>
      <c r="BO1374" s="163" t="str">
        <f t="shared" si="899"/>
        <v/>
      </c>
      <c r="BP1374" s="150" t="str">
        <f t="shared" si="894"/>
        <v/>
      </c>
      <c r="BQ1374" s="150" t="str">
        <f t="shared" si="888"/>
        <v/>
      </c>
      <c r="BR1374" s="154" t="str">
        <f t="shared" si="900"/>
        <v/>
      </c>
      <c r="BT1374" s="147"/>
    </row>
    <row r="1375" spans="1:72" s="150" customFormat="1" x14ac:dyDescent="0.25">
      <c r="A1375" s="150" t="str">
        <f t="shared" si="889"/>
        <v/>
      </c>
      <c r="B1375" s="150" t="str">
        <f t="shared" si="890"/>
        <v/>
      </c>
      <c r="C1375" s="150" t="str">
        <f t="shared" si="891"/>
        <v/>
      </c>
      <c r="D1375" s="150" t="str">
        <f>IF(E1375="","",Input!$C$4+B1375-1)</f>
        <v/>
      </c>
      <c r="E1375" s="150" t="str">
        <f>IF(OR(AND(C1374=12,D1374=Input!$C$6),E1374=""),"",1)</f>
        <v/>
      </c>
      <c r="G1375" s="151" t="str">
        <f>IF(E1375="","",MAX(0,Input!$C$9-B1375))</f>
        <v/>
      </c>
      <c r="H1375" s="152" t="str">
        <f>IF(E1375="","",Input!$C$3)</f>
        <v/>
      </c>
      <c r="I1375" s="153" t="str">
        <f>IF(E1375="","",HLOOKUP($B1375,Input!$C$13:$BT$14,2))</f>
        <v/>
      </c>
      <c r="J1375" s="154"/>
      <c r="K1375" s="150" t="str">
        <f>IF($E1375="","",INDEX(Input!$C$16:$CP$16,1,$B1375))</f>
        <v/>
      </c>
      <c r="L1375" s="150" t="str">
        <f>IF($E1375="","",Input!$C$37)</f>
        <v/>
      </c>
      <c r="M1375" s="150" t="str">
        <f t="shared" si="877"/>
        <v/>
      </c>
      <c r="N1375" s="150" t="str">
        <f t="shared" si="878"/>
        <v/>
      </c>
      <c r="O1375" s="147" t="str">
        <f>IF($E1375="","",MIN(VLOOKUP(IF($B1375&lt;=Input!$C$7,$B1375,26),'Mortality Tables'!$A$41:$CW$67,IF($B1375&lt;=Input!$C$7+1,Input!$C$4+2,$D1375-Input!$C$7+2),0)*IF(B1375&gt;20,Input!$C$22,1)/1000,1))</f>
        <v/>
      </c>
      <c r="P1375" s="147" t="str">
        <f>IF($E1375="","",MIN(VLOOKUP(IF($B1375&lt;=Input!$C$7,$B1375,26),'Mortality Tables'!$A$12:$CW$37,IF($B1375&lt;=Input!$C$7+1,Input!$C$4+2,$D1375-Input!$C$7+2),0)*IF(B1375&gt;20,Input!$C$22,1)/1000,1))</f>
        <v/>
      </c>
      <c r="Q1375" s="155" t="str">
        <f>IF($E1375="","",Input!$C$21)</f>
        <v/>
      </c>
      <c r="R1375" s="159" t="str">
        <f>IF($E1375="","",(1-Q1375)^($F1375-Input!$C$20))</f>
        <v/>
      </c>
      <c r="S1375" s="147" t="str">
        <f t="shared" si="866"/>
        <v/>
      </c>
      <c r="T1375" s="147" t="str">
        <f t="shared" si="867"/>
        <v/>
      </c>
      <c r="U1375" s="160" t="str">
        <f>IF($E1375="","",IF($C1375=12,INDEX(Input!$C$15:$CP$15,1,$B1375),0))</f>
        <v/>
      </c>
      <c r="V1375" s="150" t="str">
        <f>IF(E1375="","",IF(C1375=1,IF($B1375=1,Input!$C$33,Input!$C$34),0))</f>
        <v/>
      </c>
      <c r="W1375" s="156" t="str">
        <f>IF($E1375="","",Input!$C$35)</f>
        <v/>
      </c>
      <c r="X1375" s="156" t="str">
        <f t="shared" si="868"/>
        <v/>
      </c>
      <c r="Y1375" s="154"/>
      <c r="Z1375" s="147" t="str">
        <f>IF($E1375="","",VLOOKUP($D1375,'Mortality Margins &amp; Grading'!$AB$5:$AF$125,3,0)*IF(Summary!$D$25="Included Margin",IF(AND($B1375&gt;Input!$C$9,Summary!$D$31&lt;&gt;"Included Margin"),0,1),0))</f>
        <v/>
      </c>
      <c r="AA1375" s="147" t="str">
        <f>IF($E1375="","",VLOOKUP($D1375,'Mortality Margins &amp; Grading'!$AB$5:$AF$125,5,0)*IF(Summary!$D$25="Included Margin",IF(AND($B1375&gt;Input!$C$9,Summary!$D$31&lt;&gt;"Included Margin"),0,1),0))</f>
        <v/>
      </c>
      <c r="AB1375" s="147" t="str">
        <f>IF($E1375="","",IF(AND($B1375&gt;Input!$C$9,Summary!$D$31&lt;&gt;"Included Margin"),1,IF(Summary!$D$25="Included Margin",VLOOKUP($B1375,'Mortality Margins &amp; Grading'!$AI$5:$AR$125,MATCH('Mortality Margins &amp; Grading'!$AQ$4,'Mortality Margins &amp; Grading'!$AI$4:$AR$4,0),0),1)))</f>
        <v/>
      </c>
      <c r="AC1375" s="154"/>
      <c r="AD1375" s="158" t="str">
        <f>IF(E1375="","",Input!$C$48*IF(Summary!$D$30="Included Margin",IF(AND($B1375&gt;Input!$C$9,Summary!$D$31&lt;&gt;"Included Margin"),0,1),0))</f>
        <v/>
      </c>
      <c r="AE1375" s="159" t="str">
        <f>IF(E1375="","",IF(Summary!$D$26="Included Margin",IF(AND($B1375&gt;Input!$C$9,Summary!$D$31&lt;&gt;"Included Margin"),1,1/$R1375),1))</f>
        <v/>
      </c>
      <c r="AF1375" s="160" t="str">
        <f>IF(E1375="","",IF(AND($B1375&gt;=Input!$C$9,$C1375=12,Summary!$D$31="Included Margin",$U1375&gt;0),1/U1375-1,IF($B1375&gt;=Input!$C$9,0,Input!$C$45*IF(Summary!$D$27="Included Margin",1,0))))</f>
        <v/>
      </c>
      <c r="AG1375" s="160" t="str">
        <f>IF(E1375="","",Input!$C$46*IF(Summary!$D$28="Included Margin",IF(AND($B1375&gt;Input!$C$9,Summary!$D$31&lt;&gt;"Included Margin"),0,1),0))</f>
        <v/>
      </c>
      <c r="AH1375" s="158" t="str">
        <f>IF(E1375="","",Input!$C$47*IF(Summary!$D$29="Included Margin",IF(AND($B1375&gt;Input!$C$9,Summary!$D$31&lt;&gt;"Included Margin"),0,1),0))</f>
        <v/>
      </c>
      <c r="AI1375" s="154"/>
      <c r="AJ1375" s="158" t="str">
        <f t="shared" si="879"/>
        <v/>
      </c>
      <c r="AK1375" s="150" t="str">
        <f t="shared" si="880"/>
        <v/>
      </c>
      <c r="AL1375" s="147" t="str">
        <f t="shared" si="881"/>
        <v/>
      </c>
      <c r="AM1375" s="147" t="str">
        <f t="shared" si="869"/>
        <v/>
      </c>
      <c r="AN1375" s="160" t="str">
        <f t="shared" si="882"/>
        <v/>
      </c>
      <c r="AO1375" s="161" t="str">
        <f t="shared" si="883"/>
        <v/>
      </c>
      <c r="AP1375" s="156" t="str">
        <f t="shared" si="870"/>
        <v/>
      </c>
      <c r="AQ1375" s="152"/>
      <c r="AR1375" s="162" t="str">
        <f t="shared" si="871"/>
        <v/>
      </c>
      <c r="AS1375" s="150" t="str">
        <f t="shared" si="884"/>
        <v/>
      </c>
      <c r="AT1375" s="163" t="str">
        <f t="shared" si="872"/>
        <v/>
      </c>
      <c r="AU1375" s="163" t="str">
        <f t="shared" si="873"/>
        <v/>
      </c>
      <c r="AV1375" s="163" t="str">
        <f t="shared" si="885"/>
        <v/>
      </c>
      <c r="AW1375" s="163" t="str">
        <f t="shared" si="874"/>
        <v/>
      </c>
      <c r="AX1375" s="163" t="str">
        <f t="shared" si="875"/>
        <v/>
      </c>
      <c r="AY1375" s="150" t="str">
        <f t="shared" si="886"/>
        <v/>
      </c>
      <c r="AZ1375" s="150" t="str">
        <f>IF($E1375="","",IF(OR(AND($D1375=Input!$C$6,$C1375=12),$AN1375=1),0,-AS1376+AT1376+AU1376-AV1376-AW1376-AX1376+AZ1376))</f>
        <v/>
      </c>
      <c r="BA1375" s="154" t="str">
        <f t="shared" si="876"/>
        <v/>
      </c>
      <c r="BC1375" s="147" t="str">
        <f t="shared" si="887"/>
        <v/>
      </c>
      <c r="BD1375" s="164" t="str">
        <f>IF(AND($C1374=12,$D1374=Input!$C$6),0,IF($E1375="","",AT1375+(AU1375+BD1376)/(1+$AK1375)*MIN((1-AM1375-AN1375),1)))</f>
        <v/>
      </c>
      <c r="BH1375" s="152"/>
      <c r="BI1375" s="162" t="str">
        <f t="shared" si="895"/>
        <v/>
      </c>
      <c r="BJ1375" s="150" t="str">
        <f t="shared" si="896"/>
        <v/>
      </c>
      <c r="BK1375" s="163" t="str">
        <f t="shared" si="892"/>
        <v/>
      </c>
      <c r="BL1375" s="163" t="str">
        <f t="shared" si="897"/>
        <v/>
      </c>
      <c r="BM1375" s="163" t="str">
        <f t="shared" si="893"/>
        <v/>
      </c>
      <c r="BN1375" s="163" t="str">
        <f t="shared" si="898"/>
        <v/>
      </c>
      <c r="BO1375" s="163" t="str">
        <f t="shared" si="899"/>
        <v/>
      </c>
      <c r="BP1375" s="150" t="str">
        <f t="shared" si="894"/>
        <v/>
      </c>
      <c r="BQ1375" s="150" t="str">
        <f t="shared" si="888"/>
        <v/>
      </c>
      <c r="BR1375" s="154" t="str">
        <f t="shared" si="900"/>
        <v/>
      </c>
      <c r="BT1375" s="147"/>
    </row>
    <row r="1376" spans="1:72" s="150" customFormat="1" x14ac:dyDescent="0.25">
      <c r="A1376" s="150" t="str">
        <f t="shared" si="889"/>
        <v/>
      </c>
      <c r="B1376" s="150" t="str">
        <f t="shared" si="890"/>
        <v/>
      </c>
      <c r="C1376" s="150" t="str">
        <f t="shared" si="891"/>
        <v/>
      </c>
      <c r="D1376" s="150" t="str">
        <f>IF(E1376="","",Input!$C$4+B1376-1)</f>
        <v/>
      </c>
      <c r="E1376" s="150" t="str">
        <f>IF(OR(AND(C1375=12,D1375=Input!$C$6),E1375=""),"",1)</f>
        <v/>
      </c>
      <c r="G1376" s="151" t="str">
        <f>IF(E1376="","",MAX(0,Input!$C$9-B1376))</f>
        <v/>
      </c>
      <c r="H1376" s="152" t="str">
        <f>IF(E1376="","",Input!$C$3)</f>
        <v/>
      </c>
      <c r="I1376" s="153" t="str">
        <f>IF(E1376="","",HLOOKUP($B1376,Input!$C$13:$BT$14,2))</f>
        <v/>
      </c>
      <c r="J1376" s="154"/>
      <c r="K1376" s="150" t="str">
        <f>IF($E1376="","",INDEX(Input!$C$16:$CP$16,1,$B1376))</f>
        <v/>
      </c>
      <c r="L1376" s="150" t="str">
        <f>IF($E1376="","",Input!$C$37)</f>
        <v/>
      </c>
      <c r="M1376" s="150" t="str">
        <f t="shared" si="877"/>
        <v/>
      </c>
      <c r="N1376" s="150" t="str">
        <f t="shared" si="878"/>
        <v/>
      </c>
      <c r="O1376" s="147" t="str">
        <f>IF($E1376="","",MIN(VLOOKUP(IF($B1376&lt;=Input!$C$7,$B1376,26),'Mortality Tables'!$A$41:$CW$67,IF($B1376&lt;=Input!$C$7+1,Input!$C$4+2,$D1376-Input!$C$7+2),0)*IF(B1376&gt;20,Input!$C$22,1)/1000,1))</f>
        <v/>
      </c>
      <c r="P1376" s="147" t="str">
        <f>IF($E1376="","",MIN(VLOOKUP(IF($B1376&lt;=Input!$C$7,$B1376,26),'Mortality Tables'!$A$12:$CW$37,IF($B1376&lt;=Input!$C$7+1,Input!$C$4+2,$D1376-Input!$C$7+2),0)*IF(B1376&gt;20,Input!$C$22,1)/1000,1))</f>
        <v/>
      </c>
      <c r="Q1376" s="155" t="str">
        <f>IF($E1376="","",Input!$C$21)</f>
        <v/>
      </c>
      <c r="R1376" s="159" t="str">
        <f>IF($E1376="","",(1-Q1376)^($F1376-Input!$C$20))</f>
        <v/>
      </c>
      <c r="S1376" s="147" t="str">
        <f t="shared" si="866"/>
        <v/>
      </c>
      <c r="T1376" s="147" t="str">
        <f t="shared" si="867"/>
        <v/>
      </c>
      <c r="U1376" s="160" t="str">
        <f>IF($E1376="","",IF($C1376=12,INDEX(Input!$C$15:$CP$15,1,$B1376),0))</f>
        <v/>
      </c>
      <c r="V1376" s="150" t="str">
        <f>IF(E1376="","",IF(C1376=1,IF($B1376=1,Input!$C$33,Input!$C$34),0))</f>
        <v/>
      </c>
      <c r="W1376" s="156" t="str">
        <f>IF($E1376="","",Input!$C$35)</f>
        <v/>
      </c>
      <c r="X1376" s="156" t="str">
        <f t="shared" si="868"/>
        <v/>
      </c>
      <c r="Y1376" s="154"/>
      <c r="Z1376" s="147" t="str">
        <f>IF($E1376="","",VLOOKUP($D1376,'Mortality Margins &amp; Grading'!$AB$5:$AF$125,3,0)*IF(Summary!$D$25="Included Margin",IF(AND($B1376&gt;Input!$C$9,Summary!$D$31&lt;&gt;"Included Margin"),0,1),0))</f>
        <v/>
      </c>
      <c r="AA1376" s="147" t="str">
        <f>IF($E1376="","",VLOOKUP($D1376,'Mortality Margins &amp; Grading'!$AB$5:$AF$125,5,0)*IF(Summary!$D$25="Included Margin",IF(AND($B1376&gt;Input!$C$9,Summary!$D$31&lt;&gt;"Included Margin"),0,1),0))</f>
        <v/>
      </c>
      <c r="AB1376" s="147" t="str">
        <f>IF($E1376="","",IF(AND($B1376&gt;Input!$C$9,Summary!$D$31&lt;&gt;"Included Margin"),1,IF(Summary!$D$25="Included Margin",VLOOKUP($B1376,'Mortality Margins &amp; Grading'!$AI$5:$AR$125,MATCH('Mortality Margins &amp; Grading'!$AQ$4,'Mortality Margins &amp; Grading'!$AI$4:$AR$4,0),0),1)))</f>
        <v/>
      </c>
      <c r="AC1376" s="154"/>
      <c r="AD1376" s="158" t="str">
        <f>IF(E1376="","",Input!$C$48*IF(Summary!$D$30="Included Margin",IF(AND($B1376&gt;Input!$C$9,Summary!$D$31&lt;&gt;"Included Margin"),0,1),0))</f>
        <v/>
      </c>
      <c r="AE1376" s="159" t="str">
        <f>IF(E1376="","",IF(Summary!$D$26="Included Margin",IF(AND($B1376&gt;Input!$C$9,Summary!$D$31&lt;&gt;"Included Margin"),1,1/$R1376),1))</f>
        <v/>
      </c>
      <c r="AF1376" s="160" t="str">
        <f>IF(E1376="","",IF(AND($B1376&gt;=Input!$C$9,$C1376=12,Summary!$D$31="Included Margin",$U1376&gt;0),1/U1376-1,IF($B1376&gt;=Input!$C$9,0,Input!$C$45*IF(Summary!$D$27="Included Margin",1,0))))</f>
        <v/>
      </c>
      <c r="AG1376" s="160" t="str">
        <f>IF(E1376="","",Input!$C$46*IF(Summary!$D$28="Included Margin",IF(AND($B1376&gt;Input!$C$9,Summary!$D$31&lt;&gt;"Included Margin"),0,1),0))</f>
        <v/>
      </c>
      <c r="AH1376" s="158" t="str">
        <f>IF(E1376="","",Input!$C$47*IF(Summary!$D$29="Included Margin",IF(AND($B1376&gt;Input!$C$9,Summary!$D$31&lt;&gt;"Included Margin"),0,1),0))</f>
        <v/>
      </c>
      <c r="AI1376" s="154"/>
      <c r="AJ1376" s="158" t="str">
        <f t="shared" si="879"/>
        <v/>
      </c>
      <c r="AK1376" s="150" t="str">
        <f t="shared" si="880"/>
        <v/>
      </c>
      <c r="AL1376" s="147" t="str">
        <f t="shared" si="881"/>
        <v/>
      </c>
      <c r="AM1376" s="147" t="str">
        <f t="shared" si="869"/>
        <v/>
      </c>
      <c r="AN1376" s="160" t="str">
        <f t="shared" si="882"/>
        <v/>
      </c>
      <c r="AO1376" s="161" t="str">
        <f t="shared" si="883"/>
        <v/>
      </c>
      <c r="AP1376" s="156" t="str">
        <f t="shared" si="870"/>
        <v/>
      </c>
      <c r="AQ1376" s="152"/>
      <c r="AR1376" s="162" t="str">
        <f t="shared" si="871"/>
        <v/>
      </c>
      <c r="AS1376" s="150" t="str">
        <f t="shared" si="884"/>
        <v/>
      </c>
      <c r="AT1376" s="163" t="str">
        <f t="shared" si="872"/>
        <v/>
      </c>
      <c r="AU1376" s="163" t="str">
        <f t="shared" si="873"/>
        <v/>
      </c>
      <c r="AV1376" s="163" t="str">
        <f t="shared" si="885"/>
        <v/>
      </c>
      <c r="AW1376" s="163" t="str">
        <f t="shared" si="874"/>
        <v/>
      </c>
      <c r="AX1376" s="163" t="str">
        <f t="shared" si="875"/>
        <v/>
      </c>
      <c r="AY1376" s="150" t="str">
        <f t="shared" si="886"/>
        <v/>
      </c>
      <c r="AZ1376" s="150" t="str">
        <f>IF($E1376="","",IF(OR(AND($D1376=Input!$C$6,$C1376=12),$AN1376=1),0,-AS1377+AT1377+AU1377-AV1377-AW1377-AX1377+AZ1377))</f>
        <v/>
      </c>
      <c r="BA1376" s="154" t="str">
        <f t="shared" si="876"/>
        <v/>
      </c>
      <c r="BC1376" s="147" t="str">
        <f t="shared" si="887"/>
        <v/>
      </c>
      <c r="BD1376" s="164" t="str">
        <f>IF(AND($C1375=12,$D1375=Input!$C$6),0,IF($E1376="","",AT1376+(AU1376+BD1377)/(1+$AK1376)*MIN((1-AM1376-AN1376),1)))</f>
        <v/>
      </c>
      <c r="BH1376" s="152"/>
      <c r="BI1376" s="162" t="str">
        <f t="shared" si="895"/>
        <v/>
      </c>
      <c r="BJ1376" s="150" t="str">
        <f t="shared" si="896"/>
        <v/>
      </c>
      <c r="BK1376" s="163" t="str">
        <f t="shared" si="892"/>
        <v/>
      </c>
      <c r="BL1376" s="163" t="str">
        <f t="shared" si="897"/>
        <v/>
      </c>
      <c r="BM1376" s="163" t="str">
        <f t="shared" si="893"/>
        <v/>
      </c>
      <c r="BN1376" s="163" t="str">
        <f t="shared" si="898"/>
        <v/>
      </c>
      <c r="BO1376" s="163" t="str">
        <f t="shared" si="899"/>
        <v/>
      </c>
      <c r="BP1376" s="150" t="str">
        <f t="shared" si="894"/>
        <v/>
      </c>
      <c r="BQ1376" s="150" t="str">
        <f t="shared" si="888"/>
        <v/>
      </c>
      <c r="BR1376" s="154" t="str">
        <f t="shared" si="900"/>
        <v/>
      </c>
      <c r="BT1376" s="147"/>
    </row>
    <row r="1377" spans="1:72" s="150" customFormat="1" x14ac:dyDescent="0.25">
      <c r="A1377" s="150" t="str">
        <f t="shared" si="889"/>
        <v/>
      </c>
      <c r="B1377" s="150" t="str">
        <f t="shared" si="890"/>
        <v/>
      </c>
      <c r="C1377" s="150" t="str">
        <f t="shared" si="891"/>
        <v/>
      </c>
      <c r="D1377" s="150" t="str">
        <f>IF(E1377="","",Input!$C$4+B1377-1)</f>
        <v/>
      </c>
      <c r="E1377" s="150" t="str">
        <f>IF(OR(AND(C1376=12,D1376=Input!$C$6),E1376=""),"",1)</f>
        <v/>
      </c>
      <c r="G1377" s="151" t="str">
        <f>IF(E1377="","",MAX(0,Input!$C$9-B1377))</f>
        <v/>
      </c>
      <c r="H1377" s="152" t="str">
        <f>IF(E1377="","",Input!$C$3)</f>
        <v/>
      </c>
      <c r="I1377" s="153" t="str">
        <f>IF(E1377="","",HLOOKUP($B1377,Input!$C$13:$BT$14,2))</f>
        <v/>
      </c>
      <c r="J1377" s="154"/>
      <c r="K1377" s="150" t="str">
        <f>IF($E1377="","",INDEX(Input!$C$16:$CP$16,1,$B1377))</f>
        <v/>
      </c>
      <c r="L1377" s="150" t="str">
        <f>IF($E1377="","",Input!$C$37)</f>
        <v/>
      </c>
      <c r="M1377" s="150" t="str">
        <f t="shared" si="877"/>
        <v/>
      </c>
      <c r="N1377" s="150" t="str">
        <f t="shared" si="878"/>
        <v/>
      </c>
      <c r="O1377" s="147" t="str">
        <f>IF($E1377="","",MIN(VLOOKUP(IF($B1377&lt;=Input!$C$7,$B1377,26),'Mortality Tables'!$A$41:$CW$67,IF($B1377&lt;=Input!$C$7+1,Input!$C$4+2,$D1377-Input!$C$7+2),0)*IF(B1377&gt;20,Input!$C$22,1)/1000,1))</f>
        <v/>
      </c>
      <c r="P1377" s="147" t="str">
        <f>IF($E1377="","",MIN(VLOOKUP(IF($B1377&lt;=Input!$C$7,$B1377,26),'Mortality Tables'!$A$12:$CW$37,IF($B1377&lt;=Input!$C$7+1,Input!$C$4+2,$D1377-Input!$C$7+2),0)*IF(B1377&gt;20,Input!$C$22,1)/1000,1))</f>
        <v/>
      </c>
      <c r="Q1377" s="155" t="str">
        <f>IF($E1377="","",Input!$C$21)</f>
        <v/>
      </c>
      <c r="R1377" s="159" t="str">
        <f>IF($E1377="","",(1-Q1377)^($F1377-Input!$C$20))</f>
        <v/>
      </c>
      <c r="S1377" s="147" t="str">
        <f t="shared" si="866"/>
        <v/>
      </c>
      <c r="T1377" s="147" t="str">
        <f t="shared" si="867"/>
        <v/>
      </c>
      <c r="U1377" s="160" t="str">
        <f>IF($E1377="","",IF($C1377=12,INDEX(Input!$C$15:$CP$15,1,$B1377),0))</f>
        <v/>
      </c>
      <c r="V1377" s="150" t="str">
        <f>IF(E1377="","",IF(C1377=1,IF($B1377=1,Input!$C$33,Input!$C$34),0))</f>
        <v/>
      </c>
      <c r="W1377" s="156" t="str">
        <f>IF($E1377="","",Input!$C$35)</f>
        <v/>
      </c>
      <c r="X1377" s="156" t="str">
        <f t="shared" si="868"/>
        <v/>
      </c>
      <c r="Y1377" s="154"/>
      <c r="Z1377" s="147" t="str">
        <f>IF($E1377="","",VLOOKUP($D1377,'Mortality Margins &amp; Grading'!$AB$5:$AF$125,3,0)*IF(Summary!$D$25="Included Margin",IF(AND($B1377&gt;Input!$C$9,Summary!$D$31&lt;&gt;"Included Margin"),0,1),0))</f>
        <v/>
      </c>
      <c r="AA1377" s="147" t="str">
        <f>IF($E1377="","",VLOOKUP($D1377,'Mortality Margins &amp; Grading'!$AB$5:$AF$125,5,0)*IF(Summary!$D$25="Included Margin",IF(AND($B1377&gt;Input!$C$9,Summary!$D$31&lt;&gt;"Included Margin"),0,1),0))</f>
        <v/>
      </c>
      <c r="AB1377" s="147" t="str">
        <f>IF($E1377="","",IF(AND($B1377&gt;Input!$C$9,Summary!$D$31&lt;&gt;"Included Margin"),1,IF(Summary!$D$25="Included Margin",VLOOKUP($B1377,'Mortality Margins &amp; Grading'!$AI$5:$AR$125,MATCH('Mortality Margins &amp; Grading'!$AQ$4,'Mortality Margins &amp; Grading'!$AI$4:$AR$4,0),0),1)))</f>
        <v/>
      </c>
      <c r="AC1377" s="154"/>
      <c r="AD1377" s="158" t="str">
        <f>IF(E1377="","",Input!$C$48*IF(Summary!$D$30="Included Margin",IF(AND($B1377&gt;Input!$C$9,Summary!$D$31&lt;&gt;"Included Margin"),0,1),0))</f>
        <v/>
      </c>
      <c r="AE1377" s="159" t="str">
        <f>IF(E1377="","",IF(Summary!$D$26="Included Margin",IF(AND($B1377&gt;Input!$C$9,Summary!$D$31&lt;&gt;"Included Margin"),1,1/$R1377),1))</f>
        <v/>
      </c>
      <c r="AF1377" s="160" t="str">
        <f>IF(E1377="","",IF(AND($B1377&gt;=Input!$C$9,$C1377=12,Summary!$D$31="Included Margin",$U1377&gt;0),1/U1377-1,IF($B1377&gt;=Input!$C$9,0,Input!$C$45*IF(Summary!$D$27="Included Margin",1,0))))</f>
        <v/>
      </c>
      <c r="AG1377" s="160" t="str">
        <f>IF(E1377="","",Input!$C$46*IF(Summary!$D$28="Included Margin",IF(AND($B1377&gt;Input!$C$9,Summary!$D$31&lt;&gt;"Included Margin"),0,1),0))</f>
        <v/>
      </c>
      <c r="AH1377" s="158" t="str">
        <f>IF(E1377="","",Input!$C$47*IF(Summary!$D$29="Included Margin",IF(AND($B1377&gt;Input!$C$9,Summary!$D$31&lt;&gt;"Included Margin"),0,1),0))</f>
        <v/>
      </c>
      <c r="AI1377" s="154"/>
      <c r="AJ1377" s="158" t="str">
        <f t="shared" si="879"/>
        <v/>
      </c>
      <c r="AK1377" s="150" t="str">
        <f t="shared" si="880"/>
        <v/>
      </c>
      <c r="AL1377" s="147" t="str">
        <f t="shared" si="881"/>
        <v/>
      </c>
      <c r="AM1377" s="147" t="str">
        <f t="shared" si="869"/>
        <v/>
      </c>
      <c r="AN1377" s="160" t="str">
        <f t="shared" si="882"/>
        <v/>
      </c>
      <c r="AO1377" s="161" t="str">
        <f t="shared" si="883"/>
        <v/>
      </c>
      <c r="AP1377" s="156" t="str">
        <f t="shared" si="870"/>
        <v/>
      </c>
      <c r="AQ1377" s="152"/>
      <c r="AR1377" s="162" t="str">
        <f t="shared" si="871"/>
        <v/>
      </c>
      <c r="AS1377" s="150" t="str">
        <f t="shared" si="884"/>
        <v/>
      </c>
      <c r="AT1377" s="163" t="str">
        <f t="shared" si="872"/>
        <v/>
      </c>
      <c r="AU1377" s="163" t="str">
        <f t="shared" si="873"/>
        <v/>
      </c>
      <c r="AV1377" s="163" t="str">
        <f t="shared" si="885"/>
        <v/>
      </c>
      <c r="AW1377" s="163" t="str">
        <f t="shared" si="874"/>
        <v/>
      </c>
      <c r="AX1377" s="163" t="str">
        <f t="shared" si="875"/>
        <v/>
      </c>
      <c r="AY1377" s="150" t="str">
        <f t="shared" si="886"/>
        <v/>
      </c>
      <c r="AZ1377" s="150" t="str">
        <f>IF($E1377="","",IF(OR(AND($D1377=Input!$C$6,$C1377=12),$AN1377=1),0,-AS1378+AT1378+AU1378-AV1378-AW1378-AX1378+AZ1378))</f>
        <v/>
      </c>
      <c r="BA1377" s="154" t="str">
        <f t="shared" si="876"/>
        <v/>
      </c>
      <c r="BC1377" s="147" t="str">
        <f t="shared" si="887"/>
        <v/>
      </c>
      <c r="BD1377" s="164" t="str">
        <f>IF(AND($C1376=12,$D1376=Input!$C$6),0,IF($E1377="","",AT1377+(AU1377+BD1378)/(1+$AK1377)*MIN((1-AM1377-AN1377),1)))</f>
        <v/>
      </c>
      <c r="BH1377" s="152"/>
      <c r="BI1377" s="162" t="str">
        <f t="shared" si="895"/>
        <v/>
      </c>
      <c r="BJ1377" s="150" t="str">
        <f t="shared" si="896"/>
        <v/>
      </c>
      <c r="BK1377" s="163" t="str">
        <f t="shared" si="892"/>
        <v/>
      </c>
      <c r="BL1377" s="163" t="str">
        <f t="shared" si="897"/>
        <v/>
      </c>
      <c r="BM1377" s="163" t="str">
        <f t="shared" si="893"/>
        <v/>
      </c>
      <c r="BN1377" s="163" t="str">
        <f t="shared" si="898"/>
        <v/>
      </c>
      <c r="BO1377" s="163" t="str">
        <f t="shared" si="899"/>
        <v/>
      </c>
      <c r="BP1377" s="150" t="str">
        <f t="shared" si="894"/>
        <v/>
      </c>
      <c r="BQ1377" s="150" t="str">
        <f t="shared" si="888"/>
        <v/>
      </c>
      <c r="BR1377" s="154" t="str">
        <f t="shared" si="900"/>
        <v/>
      </c>
      <c r="BT1377" s="147"/>
    </row>
    <row r="1378" spans="1:72" s="150" customFormat="1" x14ac:dyDescent="0.25">
      <c r="A1378" s="150" t="str">
        <f t="shared" si="889"/>
        <v/>
      </c>
      <c r="B1378" s="150" t="str">
        <f t="shared" si="890"/>
        <v/>
      </c>
      <c r="C1378" s="150" t="str">
        <f t="shared" si="891"/>
        <v/>
      </c>
      <c r="D1378" s="150" t="str">
        <f>IF(E1378="","",Input!$C$4+B1378-1)</f>
        <v/>
      </c>
      <c r="E1378" s="150" t="str">
        <f>IF(OR(AND(C1377=12,D1377=Input!$C$6),E1377=""),"",1)</f>
        <v/>
      </c>
      <c r="G1378" s="151" t="str">
        <f>IF(E1378="","",MAX(0,Input!$C$9-B1378))</f>
        <v/>
      </c>
      <c r="H1378" s="152" t="str">
        <f>IF(E1378="","",Input!$C$3)</f>
        <v/>
      </c>
      <c r="I1378" s="153" t="str">
        <f>IF(E1378="","",HLOOKUP($B1378,Input!$C$13:$BT$14,2))</f>
        <v/>
      </c>
      <c r="J1378" s="154"/>
      <c r="K1378" s="150" t="str">
        <f>IF($E1378="","",INDEX(Input!$C$16:$CP$16,1,$B1378))</f>
        <v/>
      </c>
      <c r="L1378" s="150" t="str">
        <f>IF($E1378="","",Input!$C$37)</f>
        <v/>
      </c>
      <c r="M1378" s="150" t="str">
        <f t="shared" si="877"/>
        <v/>
      </c>
      <c r="N1378" s="150" t="str">
        <f t="shared" si="878"/>
        <v/>
      </c>
      <c r="O1378" s="147" t="str">
        <f>IF($E1378="","",MIN(VLOOKUP(IF($B1378&lt;=Input!$C$7,$B1378,26),'Mortality Tables'!$A$41:$CW$67,IF($B1378&lt;=Input!$C$7+1,Input!$C$4+2,$D1378-Input!$C$7+2),0)*IF(B1378&gt;20,Input!$C$22,1)/1000,1))</f>
        <v/>
      </c>
      <c r="P1378" s="147" t="str">
        <f>IF($E1378="","",MIN(VLOOKUP(IF($B1378&lt;=Input!$C$7,$B1378,26),'Mortality Tables'!$A$12:$CW$37,IF($B1378&lt;=Input!$C$7+1,Input!$C$4+2,$D1378-Input!$C$7+2),0)*IF(B1378&gt;20,Input!$C$22,1)/1000,1))</f>
        <v/>
      </c>
      <c r="Q1378" s="155" t="str">
        <f>IF($E1378="","",Input!$C$21)</f>
        <v/>
      </c>
      <c r="R1378" s="159" t="str">
        <f>IF($E1378="","",(1-Q1378)^($F1378-Input!$C$20))</f>
        <v/>
      </c>
      <c r="S1378" s="147" t="str">
        <f t="shared" si="866"/>
        <v/>
      </c>
      <c r="T1378" s="147" t="str">
        <f t="shared" si="867"/>
        <v/>
      </c>
      <c r="U1378" s="160" t="str">
        <f>IF($E1378="","",IF($C1378=12,INDEX(Input!$C$15:$CP$15,1,$B1378),0))</f>
        <v/>
      </c>
      <c r="V1378" s="150" t="str">
        <f>IF(E1378="","",IF(C1378=1,IF($B1378=1,Input!$C$33,Input!$C$34),0))</f>
        <v/>
      </c>
      <c r="W1378" s="156" t="str">
        <f>IF($E1378="","",Input!$C$35)</f>
        <v/>
      </c>
      <c r="X1378" s="156" t="str">
        <f t="shared" si="868"/>
        <v/>
      </c>
      <c r="Y1378" s="154"/>
      <c r="Z1378" s="147" t="str">
        <f>IF($E1378="","",VLOOKUP($D1378,'Mortality Margins &amp; Grading'!$AB$5:$AF$125,3,0)*IF(Summary!$D$25="Included Margin",IF(AND($B1378&gt;Input!$C$9,Summary!$D$31&lt;&gt;"Included Margin"),0,1),0))</f>
        <v/>
      </c>
      <c r="AA1378" s="147" t="str">
        <f>IF($E1378="","",VLOOKUP($D1378,'Mortality Margins &amp; Grading'!$AB$5:$AF$125,5,0)*IF(Summary!$D$25="Included Margin",IF(AND($B1378&gt;Input!$C$9,Summary!$D$31&lt;&gt;"Included Margin"),0,1),0))</f>
        <v/>
      </c>
      <c r="AB1378" s="147" t="str">
        <f>IF($E1378="","",IF(AND($B1378&gt;Input!$C$9,Summary!$D$31&lt;&gt;"Included Margin"),1,IF(Summary!$D$25="Included Margin",VLOOKUP($B1378,'Mortality Margins &amp; Grading'!$AI$5:$AR$125,MATCH('Mortality Margins &amp; Grading'!$AQ$4,'Mortality Margins &amp; Grading'!$AI$4:$AR$4,0),0),1)))</f>
        <v/>
      </c>
      <c r="AC1378" s="154"/>
      <c r="AD1378" s="158" t="str">
        <f>IF(E1378="","",Input!$C$48*IF(Summary!$D$30="Included Margin",IF(AND($B1378&gt;Input!$C$9,Summary!$D$31&lt;&gt;"Included Margin"),0,1),0))</f>
        <v/>
      </c>
      <c r="AE1378" s="159" t="str">
        <f>IF(E1378="","",IF(Summary!$D$26="Included Margin",IF(AND($B1378&gt;Input!$C$9,Summary!$D$31&lt;&gt;"Included Margin"),1,1/$R1378),1))</f>
        <v/>
      </c>
      <c r="AF1378" s="160" t="str">
        <f>IF(E1378="","",IF(AND($B1378&gt;=Input!$C$9,$C1378=12,Summary!$D$31="Included Margin",$U1378&gt;0),1/U1378-1,IF($B1378&gt;=Input!$C$9,0,Input!$C$45*IF(Summary!$D$27="Included Margin",1,0))))</f>
        <v/>
      </c>
      <c r="AG1378" s="160" t="str">
        <f>IF(E1378="","",Input!$C$46*IF(Summary!$D$28="Included Margin",IF(AND($B1378&gt;Input!$C$9,Summary!$D$31&lt;&gt;"Included Margin"),0,1),0))</f>
        <v/>
      </c>
      <c r="AH1378" s="158" t="str">
        <f>IF(E1378="","",Input!$C$47*IF(Summary!$D$29="Included Margin",IF(AND($B1378&gt;Input!$C$9,Summary!$D$31&lt;&gt;"Included Margin"),0,1),0))</f>
        <v/>
      </c>
      <c r="AI1378" s="154"/>
      <c r="AJ1378" s="158" t="str">
        <f t="shared" si="879"/>
        <v/>
      </c>
      <c r="AK1378" s="150" t="str">
        <f t="shared" si="880"/>
        <v/>
      </c>
      <c r="AL1378" s="147" t="str">
        <f t="shared" si="881"/>
        <v/>
      </c>
      <c r="AM1378" s="147" t="str">
        <f t="shared" si="869"/>
        <v/>
      </c>
      <c r="AN1378" s="160" t="str">
        <f t="shared" si="882"/>
        <v/>
      </c>
      <c r="AO1378" s="161" t="str">
        <f t="shared" si="883"/>
        <v/>
      </c>
      <c r="AP1378" s="156" t="str">
        <f t="shared" si="870"/>
        <v/>
      </c>
      <c r="AQ1378" s="152"/>
      <c r="AR1378" s="162" t="str">
        <f t="shared" si="871"/>
        <v/>
      </c>
      <c r="AS1378" s="150" t="str">
        <f t="shared" si="884"/>
        <v/>
      </c>
      <c r="AT1378" s="163" t="str">
        <f t="shared" si="872"/>
        <v/>
      </c>
      <c r="AU1378" s="163" t="str">
        <f t="shared" si="873"/>
        <v/>
      </c>
      <c r="AV1378" s="163" t="str">
        <f t="shared" si="885"/>
        <v/>
      </c>
      <c r="AW1378" s="163" t="str">
        <f t="shared" si="874"/>
        <v/>
      </c>
      <c r="AX1378" s="163" t="str">
        <f t="shared" si="875"/>
        <v/>
      </c>
      <c r="AY1378" s="150" t="str">
        <f t="shared" si="886"/>
        <v/>
      </c>
      <c r="AZ1378" s="150" t="str">
        <f>IF($E1378="","",IF(OR(AND($D1378=Input!$C$6,$C1378=12),$AN1378=1),0,-AS1379+AT1379+AU1379-AV1379-AW1379-AX1379+AZ1379))</f>
        <v/>
      </c>
      <c r="BA1378" s="154" t="str">
        <f t="shared" si="876"/>
        <v/>
      </c>
      <c r="BC1378" s="147" t="str">
        <f t="shared" si="887"/>
        <v/>
      </c>
      <c r="BD1378" s="164" t="str">
        <f>IF(AND($C1377=12,$D1377=Input!$C$6),0,IF($E1378="","",AT1378+(AU1378+BD1379)/(1+$AK1378)*MIN((1-AM1378-AN1378),1)))</f>
        <v/>
      </c>
      <c r="BH1378" s="152"/>
      <c r="BI1378" s="162" t="str">
        <f t="shared" si="895"/>
        <v/>
      </c>
      <c r="BJ1378" s="150" t="str">
        <f t="shared" si="896"/>
        <v/>
      </c>
      <c r="BK1378" s="163" t="str">
        <f t="shared" si="892"/>
        <v/>
      </c>
      <c r="BL1378" s="163" t="str">
        <f t="shared" si="897"/>
        <v/>
      </c>
      <c r="BM1378" s="163" t="str">
        <f t="shared" si="893"/>
        <v/>
      </c>
      <c r="BN1378" s="163" t="str">
        <f t="shared" si="898"/>
        <v/>
      </c>
      <c r="BO1378" s="163" t="str">
        <f t="shared" si="899"/>
        <v/>
      </c>
      <c r="BP1378" s="150" t="str">
        <f t="shared" si="894"/>
        <v/>
      </c>
      <c r="BQ1378" s="150" t="str">
        <f t="shared" si="888"/>
        <v/>
      </c>
      <c r="BR1378" s="154" t="str">
        <f t="shared" si="900"/>
        <v/>
      </c>
      <c r="BT1378" s="147"/>
    </row>
    <row r="1379" spans="1:72" s="150" customFormat="1" x14ac:dyDescent="0.25">
      <c r="A1379" s="150" t="str">
        <f t="shared" si="889"/>
        <v/>
      </c>
      <c r="B1379" s="150" t="str">
        <f t="shared" si="890"/>
        <v/>
      </c>
      <c r="C1379" s="150" t="str">
        <f t="shared" si="891"/>
        <v/>
      </c>
      <c r="D1379" s="150" t="str">
        <f>IF(E1379="","",Input!$C$4+B1379-1)</f>
        <v/>
      </c>
      <c r="E1379" s="150" t="str">
        <f>IF(OR(AND(C1378=12,D1378=Input!$C$6),E1378=""),"",1)</f>
        <v/>
      </c>
      <c r="G1379" s="151" t="str">
        <f>IF(E1379="","",MAX(0,Input!$C$9-B1379))</f>
        <v/>
      </c>
      <c r="H1379" s="152" t="str">
        <f>IF(E1379="","",Input!$C$3)</f>
        <v/>
      </c>
      <c r="I1379" s="153" t="str">
        <f>IF(E1379="","",HLOOKUP($B1379,Input!$C$13:$BT$14,2))</f>
        <v/>
      </c>
      <c r="J1379" s="154"/>
      <c r="K1379" s="150" t="str">
        <f>IF($E1379="","",INDEX(Input!$C$16:$CP$16,1,$B1379))</f>
        <v/>
      </c>
      <c r="L1379" s="150" t="str">
        <f>IF($E1379="","",Input!$C$37)</f>
        <v/>
      </c>
      <c r="M1379" s="150" t="str">
        <f t="shared" si="877"/>
        <v/>
      </c>
      <c r="N1379" s="150" t="str">
        <f t="shared" si="878"/>
        <v/>
      </c>
      <c r="O1379" s="147" t="str">
        <f>IF($E1379="","",MIN(VLOOKUP(IF($B1379&lt;=Input!$C$7,$B1379,26),'Mortality Tables'!$A$41:$CW$67,IF($B1379&lt;=Input!$C$7+1,Input!$C$4+2,$D1379-Input!$C$7+2),0)*IF(B1379&gt;20,Input!$C$22,1)/1000,1))</f>
        <v/>
      </c>
      <c r="P1379" s="147" t="str">
        <f>IF($E1379="","",MIN(VLOOKUP(IF($B1379&lt;=Input!$C$7,$B1379,26),'Mortality Tables'!$A$12:$CW$37,IF($B1379&lt;=Input!$C$7+1,Input!$C$4+2,$D1379-Input!$C$7+2),0)*IF(B1379&gt;20,Input!$C$22,1)/1000,1))</f>
        <v/>
      </c>
      <c r="Q1379" s="155" t="str">
        <f>IF($E1379="","",Input!$C$21)</f>
        <v/>
      </c>
      <c r="R1379" s="159" t="str">
        <f>IF($E1379="","",(1-Q1379)^($F1379-Input!$C$20))</f>
        <v/>
      </c>
      <c r="S1379" s="147" t="str">
        <f t="shared" si="866"/>
        <v/>
      </c>
      <c r="T1379" s="147" t="str">
        <f t="shared" si="867"/>
        <v/>
      </c>
      <c r="U1379" s="160" t="str">
        <f>IF($E1379="","",IF($C1379=12,INDEX(Input!$C$15:$CP$15,1,$B1379),0))</f>
        <v/>
      </c>
      <c r="V1379" s="150" t="str">
        <f>IF(E1379="","",IF(C1379=1,IF($B1379=1,Input!$C$33,Input!$C$34),0))</f>
        <v/>
      </c>
      <c r="W1379" s="156" t="str">
        <f>IF($E1379="","",Input!$C$35)</f>
        <v/>
      </c>
      <c r="X1379" s="156" t="str">
        <f t="shared" si="868"/>
        <v/>
      </c>
      <c r="Y1379" s="154"/>
      <c r="Z1379" s="147" t="str">
        <f>IF($E1379="","",VLOOKUP($D1379,'Mortality Margins &amp; Grading'!$AB$5:$AF$125,3,0)*IF(Summary!$D$25="Included Margin",IF(AND($B1379&gt;Input!$C$9,Summary!$D$31&lt;&gt;"Included Margin"),0,1),0))</f>
        <v/>
      </c>
      <c r="AA1379" s="147" t="str">
        <f>IF($E1379="","",VLOOKUP($D1379,'Mortality Margins &amp; Grading'!$AB$5:$AF$125,5,0)*IF(Summary!$D$25="Included Margin",IF(AND($B1379&gt;Input!$C$9,Summary!$D$31&lt;&gt;"Included Margin"),0,1),0))</f>
        <v/>
      </c>
      <c r="AB1379" s="147" t="str">
        <f>IF($E1379="","",IF(AND($B1379&gt;Input!$C$9,Summary!$D$31&lt;&gt;"Included Margin"),1,IF(Summary!$D$25="Included Margin",VLOOKUP($B1379,'Mortality Margins &amp; Grading'!$AI$5:$AR$125,MATCH('Mortality Margins &amp; Grading'!$AQ$4,'Mortality Margins &amp; Grading'!$AI$4:$AR$4,0),0),1)))</f>
        <v/>
      </c>
      <c r="AC1379" s="154"/>
      <c r="AD1379" s="158" t="str">
        <f>IF(E1379="","",Input!$C$48*IF(Summary!$D$30="Included Margin",IF(AND($B1379&gt;Input!$C$9,Summary!$D$31&lt;&gt;"Included Margin"),0,1),0))</f>
        <v/>
      </c>
      <c r="AE1379" s="159" t="str">
        <f>IF(E1379="","",IF(Summary!$D$26="Included Margin",IF(AND($B1379&gt;Input!$C$9,Summary!$D$31&lt;&gt;"Included Margin"),1,1/$R1379),1))</f>
        <v/>
      </c>
      <c r="AF1379" s="160" t="str">
        <f>IF(E1379="","",IF(AND($B1379&gt;=Input!$C$9,$C1379=12,Summary!$D$31="Included Margin",$U1379&gt;0),1/U1379-1,IF($B1379&gt;=Input!$C$9,0,Input!$C$45*IF(Summary!$D$27="Included Margin",1,0))))</f>
        <v/>
      </c>
      <c r="AG1379" s="160" t="str">
        <f>IF(E1379="","",Input!$C$46*IF(Summary!$D$28="Included Margin",IF(AND($B1379&gt;Input!$C$9,Summary!$D$31&lt;&gt;"Included Margin"),0,1),0))</f>
        <v/>
      </c>
      <c r="AH1379" s="158" t="str">
        <f>IF(E1379="","",Input!$C$47*IF(Summary!$D$29="Included Margin",IF(AND($B1379&gt;Input!$C$9,Summary!$D$31&lt;&gt;"Included Margin"),0,1),0))</f>
        <v/>
      </c>
      <c r="AI1379" s="154"/>
      <c r="AJ1379" s="158" t="str">
        <f t="shared" si="879"/>
        <v/>
      </c>
      <c r="AK1379" s="150" t="str">
        <f t="shared" si="880"/>
        <v/>
      </c>
      <c r="AL1379" s="147" t="str">
        <f t="shared" si="881"/>
        <v/>
      </c>
      <c r="AM1379" s="147" t="str">
        <f t="shared" si="869"/>
        <v/>
      </c>
      <c r="AN1379" s="160" t="str">
        <f t="shared" si="882"/>
        <v/>
      </c>
      <c r="AO1379" s="161" t="str">
        <f t="shared" si="883"/>
        <v/>
      </c>
      <c r="AP1379" s="156" t="str">
        <f t="shared" si="870"/>
        <v/>
      </c>
      <c r="AQ1379" s="152"/>
      <c r="AR1379" s="162" t="str">
        <f t="shared" si="871"/>
        <v/>
      </c>
      <c r="AS1379" s="150" t="str">
        <f t="shared" si="884"/>
        <v/>
      </c>
      <c r="AT1379" s="163" t="str">
        <f t="shared" si="872"/>
        <v/>
      </c>
      <c r="AU1379" s="163" t="str">
        <f t="shared" si="873"/>
        <v/>
      </c>
      <c r="AV1379" s="163" t="str">
        <f t="shared" si="885"/>
        <v/>
      </c>
      <c r="AW1379" s="163" t="str">
        <f t="shared" si="874"/>
        <v/>
      </c>
      <c r="AX1379" s="163" t="str">
        <f t="shared" si="875"/>
        <v/>
      </c>
      <c r="AY1379" s="150" t="str">
        <f t="shared" si="886"/>
        <v/>
      </c>
      <c r="AZ1379" s="150" t="str">
        <f>IF($E1379="","",IF(OR(AND($D1379=Input!$C$6,$C1379=12),$AN1379=1),0,-AS1380+AT1380+AU1380-AV1380-AW1380-AX1380+AZ1380))</f>
        <v/>
      </c>
      <c r="BA1379" s="154" t="str">
        <f t="shared" si="876"/>
        <v/>
      </c>
      <c r="BC1379" s="147" t="str">
        <f t="shared" si="887"/>
        <v/>
      </c>
      <c r="BD1379" s="164" t="str">
        <f>IF(AND($C1378=12,$D1378=Input!$C$6),0,IF($E1379="","",AT1379+(AU1379+BD1380)/(1+$AK1379)*MIN((1-AM1379-AN1379),1)))</f>
        <v/>
      </c>
      <c r="BH1379" s="152"/>
      <c r="BI1379" s="162" t="str">
        <f t="shared" si="895"/>
        <v/>
      </c>
      <c r="BJ1379" s="150" t="str">
        <f t="shared" si="896"/>
        <v/>
      </c>
      <c r="BK1379" s="163" t="str">
        <f t="shared" si="892"/>
        <v/>
      </c>
      <c r="BL1379" s="163" t="str">
        <f t="shared" si="897"/>
        <v/>
      </c>
      <c r="BM1379" s="163" t="str">
        <f t="shared" si="893"/>
        <v/>
      </c>
      <c r="BN1379" s="163" t="str">
        <f t="shared" si="898"/>
        <v/>
      </c>
      <c r="BO1379" s="163" t="str">
        <f t="shared" si="899"/>
        <v/>
      </c>
      <c r="BP1379" s="150" t="str">
        <f t="shared" si="894"/>
        <v/>
      </c>
      <c r="BQ1379" s="150" t="str">
        <f t="shared" si="888"/>
        <v/>
      </c>
      <c r="BR1379" s="154" t="str">
        <f t="shared" si="900"/>
        <v/>
      </c>
      <c r="BT1379" s="147"/>
    </row>
    <row r="1380" spans="1:72" s="150" customFormat="1" x14ac:dyDescent="0.25">
      <c r="A1380" s="150" t="str">
        <f t="shared" si="889"/>
        <v/>
      </c>
      <c r="B1380" s="150" t="str">
        <f t="shared" si="890"/>
        <v/>
      </c>
      <c r="C1380" s="150" t="str">
        <f t="shared" si="891"/>
        <v/>
      </c>
      <c r="D1380" s="150" t="str">
        <f>IF(E1380="","",Input!$C$4+B1380-1)</f>
        <v/>
      </c>
      <c r="E1380" s="150" t="str">
        <f>IF(OR(AND(C1379=12,D1379=Input!$C$6),E1379=""),"",1)</f>
        <v/>
      </c>
      <c r="G1380" s="151" t="str">
        <f>IF(E1380="","",MAX(0,Input!$C$9-B1380))</f>
        <v/>
      </c>
      <c r="H1380" s="152" t="str">
        <f>IF(E1380="","",Input!$C$3)</f>
        <v/>
      </c>
      <c r="I1380" s="153" t="str">
        <f>IF(E1380="","",HLOOKUP($B1380,Input!$C$13:$BT$14,2))</f>
        <v/>
      </c>
      <c r="J1380" s="154"/>
      <c r="K1380" s="150" t="str">
        <f>IF($E1380="","",INDEX(Input!$C$16:$CP$16,1,$B1380))</f>
        <v/>
      </c>
      <c r="L1380" s="150" t="str">
        <f>IF($E1380="","",Input!$C$37)</f>
        <v/>
      </c>
      <c r="M1380" s="150" t="str">
        <f t="shared" si="877"/>
        <v/>
      </c>
      <c r="N1380" s="150" t="str">
        <f t="shared" si="878"/>
        <v/>
      </c>
      <c r="O1380" s="147" t="str">
        <f>IF($E1380="","",MIN(VLOOKUP(IF($B1380&lt;=Input!$C$7,$B1380,26),'Mortality Tables'!$A$41:$CW$67,IF($B1380&lt;=Input!$C$7+1,Input!$C$4+2,$D1380-Input!$C$7+2),0)*IF(B1380&gt;20,Input!$C$22,1)/1000,1))</f>
        <v/>
      </c>
      <c r="P1380" s="147" t="str">
        <f>IF($E1380="","",MIN(VLOOKUP(IF($B1380&lt;=Input!$C$7,$B1380,26),'Mortality Tables'!$A$12:$CW$37,IF($B1380&lt;=Input!$C$7+1,Input!$C$4+2,$D1380-Input!$C$7+2),0)*IF(B1380&gt;20,Input!$C$22,1)/1000,1))</f>
        <v/>
      </c>
      <c r="Q1380" s="155" t="str">
        <f>IF($E1380="","",Input!$C$21)</f>
        <v/>
      </c>
      <c r="R1380" s="159" t="str">
        <f>IF($E1380="","",(1-Q1380)^($F1380-Input!$C$20))</f>
        <v/>
      </c>
      <c r="S1380" s="147" t="str">
        <f t="shared" si="866"/>
        <v/>
      </c>
      <c r="T1380" s="147" t="str">
        <f t="shared" si="867"/>
        <v/>
      </c>
      <c r="U1380" s="160" t="str">
        <f>IF($E1380="","",IF($C1380=12,INDEX(Input!$C$15:$CP$15,1,$B1380),0))</f>
        <v/>
      </c>
      <c r="V1380" s="150" t="str">
        <f>IF(E1380="","",IF(C1380=1,IF($B1380=1,Input!$C$33,Input!$C$34),0))</f>
        <v/>
      </c>
      <c r="W1380" s="156" t="str">
        <f>IF($E1380="","",Input!$C$35)</f>
        <v/>
      </c>
      <c r="X1380" s="156" t="str">
        <f t="shared" si="868"/>
        <v/>
      </c>
      <c r="Y1380" s="154"/>
      <c r="Z1380" s="147" t="str">
        <f>IF($E1380="","",VLOOKUP($D1380,'Mortality Margins &amp; Grading'!$AB$5:$AF$125,3,0)*IF(Summary!$D$25="Included Margin",IF(AND($B1380&gt;Input!$C$9,Summary!$D$31&lt;&gt;"Included Margin"),0,1),0))</f>
        <v/>
      </c>
      <c r="AA1380" s="147" t="str">
        <f>IF($E1380="","",VLOOKUP($D1380,'Mortality Margins &amp; Grading'!$AB$5:$AF$125,5,0)*IF(Summary!$D$25="Included Margin",IF(AND($B1380&gt;Input!$C$9,Summary!$D$31&lt;&gt;"Included Margin"),0,1),0))</f>
        <v/>
      </c>
      <c r="AB1380" s="147" t="str">
        <f>IF($E1380="","",IF(AND($B1380&gt;Input!$C$9,Summary!$D$31&lt;&gt;"Included Margin"),1,IF(Summary!$D$25="Included Margin",VLOOKUP($B1380,'Mortality Margins &amp; Grading'!$AI$5:$AR$125,MATCH('Mortality Margins &amp; Grading'!$AQ$4,'Mortality Margins &amp; Grading'!$AI$4:$AR$4,0),0),1)))</f>
        <v/>
      </c>
      <c r="AC1380" s="154"/>
      <c r="AD1380" s="158" t="str">
        <f>IF(E1380="","",Input!$C$48*IF(Summary!$D$30="Included Margin",IF(AND($B1380&gt;Input!$C$9,Summary!$D$31&lt;&gt;"Included Margin"),0,1),0))</f>
        <v/>
      </c>
      <c r="AE1380" s="159" t="str">
        <f>IF(E1380="","",IF(Summary!$D$26="Included Margin",IF(AND($B1380&gt;Input!$C$9,Summary!$D$31&lt;&gt;"Included Margin"),1,1/$R1380),1))</f>
        <v/>
      </c>
      <c r="AF1380" s="160" t="str">
        <f>IF(E1380="","",IF(AND($B1380&gt;=Input!$C$9,$C1380=12,Summary!$D$31="Included Margin",$U1380&gt;0),1/U1380-1,IF($B1380&gt;=Input!$C$9,0,Input!$C$45*IF(Summary!$D$27="Included Margin",1,0))))</f>
        <v/>
      </c>
      <c r="AG1380" s="160" t="str">
        <f>IF(E1380="","",Input!$C$46*IF(Summary!$D$28="Included Margin",IF(AND($B1380&gt;Input!$C$9,Summary!$D$31&lt;&gt;"Included Margin"),0,1),0))</f>
        <v/>
      </c>
      <c r="AH1380" s="158" t="str">
        <f>IF(E1380="","",Input!$C$47*IF(Summary!$D$29="Included Margin",IF(AND($B1380&gt;Input!$C$9,Summary!$D$31&lt;&gt;"Included Margin"),0,1),0))</f>
        <v/>
      </c>
      <c r="AI1380" s="154"/>
      <c r="AJ1380" s="158" t="str">
        <f t="shared" si="879"/>
        <v/>
      </c>
      <c r="AK1380" s="150" t="str">
        <f t="shared" si="880"/>
        <v/>
      </c>
      <c r="AL1380" s="147" t="str">
        <f t="shared" si="881"/>
        <v/>
      </c>
      <c r="AM1380" s="147" t="str">
        <f t="shared" si="869"/>
        <v/>
      </c>
      <c r="AN1380" s="160" t="str">
        <f t="shared" si="882"/>
        <v/>
      </c>
      <c r="AO1380" s="161" t="str">
        <f t="shared" si="883"/>
        <v/>
      </c>
      <c r="AP1380" s="156" t="str">
        <f t="shared" si="870"/>
        <v/>
      </c>
      <c r="AQ1380" s="152"/>
      <c r="AR1380" s="162" t="str">
        <f t="shared" si="871"/>
        <v/>
      </c>
      <c r="AS1380" s="150" t="str">
        <f t="shared" si="884"/>
        <v/>
      </c>
      <c r="AT1380" s="163" t="str">
        <f t="shared" si="872"/>
        <v/>
      </c>
      <c r="AU1380" s="163" t="str">
        <f t="shared" si="873"/>
        <v/>
      </c>
      <c r="AV1380" s="163" t="str">
        <f t="shared" si="885"/>
        <v/>
      </c>
      <c r="AW1380" s="163" t="str">
        <f t="shared" si="874"/>
        <v/>
      </c>
      <c r="AX1380" s="163" t="str">
        <f t="shared" si="875"/>
        <v/>
      </c>
      <c r="AY1380" s="150" t="str">
        <f t="shared" si="886"/>
        <v/>
      </c>
      <c r="AZ1380" s="150" t="str">
        <f>IF($E1380="","",IF(OR(AND($D1380=Input!$C$6,$C1380=12),$AN1380=1),0,-AS1381+AT1381+AU1381-AV1381-AW1381-AX1381+AZ1381))</f>
        <v/>
      </c>
      <c r="BA1380" s="154" t="str">
        <f t="shared" si="876"/>
        <v/>
      </c>
      <c r="BC1380" s="147" t="str">
        <f t="shared" si="887"/>
        <v/>
      </c>
      <c r="BD1380" s="164" t="str">
        <f>IF(AND($C1379=12,$D1379=Input!$C$6),0,IF($E1380="","",AT1380+(AU1380+BD1381)/(1+$AK1380)*MIN((1-AM1380-AN1380),1)))</f>
        <v/>
      </c>
      <c r="BH1380" s="152"/>
      <c r="BI1380" s="162" t="str">
        <f t="shared" si="895"/>
        <v/>
      </c>
      <c r="BJ1380" s="150" t="str">
        <f t="shared" si="896"/>
        <v/>
      </c>
      <c r="BK1380" s="163" t="str">
        <f t="shared" si="892"/>
        <v/>
      </c>
      <c r="BL1380" s="163" t="str">
        <f t="shared" si="897"/>
        <v/>
      </c>
      <c r="BM1380" s="163" t="str">
        <f t="shared" si="893"/>
        <v/>
      </c>
      <c r="BN1380" s="163" t="str">
        <f t="shared" si="898"/>
        <v/>
      </c>
      <c r="BO1380" s="163" t="str">
        <f t="shared" si="899"/>
        <v/>
      </c>
      <c r="BP1380" s="150" t="str">
        <f t="shared" si="894"/>
        <v/>
      </c>
      <c r="BQ1380" s="150" t="str">
        <f t="shared" si="888"/>
        <v/>
      </c>
      <c r="BR1380" s="154" t="str">
        <f t="shared" si="900"/>
        <v/>
      </c>
      <c r="BT1380" s="147"/>
    </row>
    <row r="1381" spans="1:72" s="150" customFormat="1" x14ac:dyDescent="0.25">
      <c r="A1381" s="150" t="str">
        <f t="shared" si="889"/>
        <v/>
      </c>
      <c r="B1381" s="150" t="str">
        <f t="shared" si="890"/>
        <v/>
      </c>
      <c r="C1381" s="150" t="str">
        <f t="shared" si="891"/>
        <v/>
      </c>
      <c r="D1381" s="150" t="str">
        <f>IF(E1381="","",Input!$C$4+B1381-1)</f>
        <v/>
      </c>
      <c r="E1381" s="150" t="str">
        <f>IF(OR(AND(C1380=12,D1380=Input!$C$6),E1380=""),"",1)</f>
        <v/>
      </c>
      <c r="G1381" s="151" t="str">
        <f>IF(E1381="","",MAX(0,Input!$C$9-B1381))</f>
        <v/>
      </c>
      <c r="H1381" s="152" t="str">
        <f>IF(E1381="","",Input!$C$3)</f>
        <v/>
      </c>
      <c r="I1381" s="153" t="str">
        <f>IF(E1381="","",HLOOKUP($B1381,Input!$C$13:$BT$14,2))</f>
        <v/>
      </c>
      <c r="J1381" s="154"/>
      <c r="K1381" s="150" t="str">
        <f>IF($E1381="","",INDEX(Input!$C$16:$CP$16,1,$B1381))</f>
        <v/>
      </c>
      <c r="L1381" s="150" t="str">
        <f>IF($E1381="","",Input!$C$37)</f>
        <v/>
      </c>
      <c r="M1381" s="150" t="str">
        <f t="shared" si="877"/>
        <v/>
      </c>
      <c r="N1381" s="150" t="str">
        <f t="shared" si="878"/>
        <v/>
      </c>
      <c r="O1381" s="147" t="str">
        <f>IF($E1381="","",MIN(VLOOKUP(IF($B1381&lt;=Input!$C$7,$B1381,26),'Mortality Tables'!$A$41:$CW$67,IF($B1381&lt;=Input!$C$7+1,Input!$C$4+2,$D1381-Input!$C$7+2),0)*IF(B1381&gt;20,Input!$C$22,1)/1000,1))</f>
        <v/>
      </c>
      <c r="P1381" s="147" t="str">
        <f>IF($E1381="","",MIN(VLOOKUP(IF($B1381&lt;=Input!$C$7,$B1381,26),'Mortality Tables'!$A$12:$CW$37,IF($B1381&lt;=Input!$C$7+1,Input!$C$4+2,$D1381-Input!$C$7+2),0)*IF(B1381&gt;20,Input!$C$22,1)/1000,1))</f>
        <v/>
      </c>
      <c r="Q1381" s="155" t="str">
        <f>IF($E1381="","",Input!$C$21)</f>
        <v/>
      </c>
      <c r="R1381" s="159" t="str">
        <f>IF($E1381="","",(1-Q1381)^($F1381-Input!$C$20))</f>
        <v/>
      </c>
      <c r="S1381" s="147" t="str">
        <f t="shared" si="866"/>
        <v/>
      </c>
      <c r="T1381" s="147" t="str">
        <f t="shared" si="867"/>
        <v/>
      </c>
      <c r="U1381" s="160" t="str">
        <f>IF($E1381="","",IF($C1381=12,INDEX(Input!$C$15:$CP$15,1,$B1381),0))</f>
        <v/>
      </c>
      <c r="V1381" s="150" t="str">
        <f>IF(E1381="","",IF(C1381=1,IF($B1381=1,Input!$C$33,Input!$C$34),0))</f>
        <v/>
      </c>
      <c r="W1381" s="156" t="str">
        <f>IF($E1381="","",Input!$C$35)</f>
        <v/>
      </c>
      <c r="X1381" s="156" t="str">
        <f t="shared" si="868"/>
        <v/>
      </c>
      <c r="Y1381" s="154"/>
      <c r="Z1381" s="147" t="str">
        <f>IF($E1381="","",VLOOKUP($D1381,'Mortality Margins &amp; Grading'!$AB$5:$AF$125,3,0)*IF(Summary!$D$25="Included Margin",IF(AND($B1381&gt;Input!$C$9,Summary!$D$31&lt;&gt;"Included Margin"),0,1),0))</f>
        <v/>
      </c>
      <c r="AA1381" s="147" t="str">
        <f>IF($E1381="","",VLOOKUP($D1381,'Mortality Margins &amp; Grading'!$AB$5:$AF$125,5,0)*IF(Summary!$D$25="Included Margin",IF(AND($B1381&gt;Input!$C$9,Summary!$D$31&lt;&gt;"Included Margin"),0,1),0))</f>
        <v/>
      </c>
      <c r="AB1381" s="147" t="str">
        <f>IF($E1381="","",IF(AND($B1381&gt;Input!$C$9,Summary!$D$31&lt;&gt;"Included Margin"),1,IF(Summary!$D$25="Included Margin",VLOOKUP($B1381,'Mortality Margins &amp; Grading'!$AI$5:$AR$125,MATCH('Mortality Margins &amp; Grading'!$AQ$4,'Mortality Margins &amp; Grading'!$AI$4:$AR$4,0),0),1)))</f>
        <v/>
      </c>
      <c r="AC1381" s="154"/>
      <c r="AD1381" s="158" t="str">
        <f>IF(E1381="","",Input!$C$48*IF(Summary!$D$30="Included Margin",IF(AND($B1381&gt;Input!$C$9,Summary!$D$31&lt;&gt;"Included Margin"),0,1),0))</f>
        <v/>
      </c>
      <c r="AE1381" s="159" t="str">
        <f>IF(E1381="","",IF(Summary!$D$26="Included Margin",IF(AND($B1381&gt;Input!$C$9,Summary!$D$31&lt;&gt;"Included Margin"),1,1/$R1381),1))</f>
        <v/>
      </c>
      <c r="AF1381" s="160" t="str">
        <f>IF(E1381="","",IF(AND($B1381&gt;=Input!$C$9,$C1381=12,Summary!$D$31="Included Margin",$U1381&gt;0),1/U1381-1,IF($B1381&gt;=Input!$C$9,0,Input!$C$45*IF(Summary!$D$27="Included Margin",1,0))))</f>
        <v/>
      </c>
      <c r="AG1381" s="160" t="str">
        <f>IF(E1381="","",Input!$C$46*IF(Summary!$D$28="Included Margin",IF(AND($B1381&gt;Input!$C$9,Summary!$D$31&lt;&gt;"Included Margin"),0,1),0))</f>
        <v/>
      </c>
      <c r="AH1381" s="158" t="str">
        <f>IF(E1381="","",Input!$C$47*IF(Summary!$D$29="Included Margin",IF(AND($B1381&gt;Input!$C$9,Summary!$D$31&lt;&gt;"Included Margin"),0,1),0))</f>
        <v/>
      </c>
      <c r="AI1381" s="154"/>
      <c r="AJ1381" s="158" t="str">
        <f t="shared" si="879"/>
        <v/>
      </c>
      <c r="AK1381" s="150" t="str">
        <f t="shared" si="880"/>
        <v/>
      </c>
      <c r="AL1381" s="147" t="str">
        <f t="shared" si="881"/>
        <v/>
      </c>
      <c r="AM1381" s="147" t="str">
        <f t="shared" si="869"/>
        <v/>
      </c>
      <c r="AN1381" s="160" t="str">
        <f t="shared" si="882"/>
        <v/>
      </c>
      <c r="AO1381" s="161" t="str">
        <f t="shared" si="883"/>
        <v/>
      </c>
      <c r="AP1381" s="156" t="str">
        <f t="shared" si="870"/>
        <v/>
      </c>
      <c r="AQ1381" s="152"/>
      <c r="AR1381" s="162" t="str">
        <f t="shared" si="871"/>
        <v/>
      </c>
      <c r="AS1381" s="150" t="str">
        <f t="shared" si="884"/>
        <v/>
      </c>
      <c r="AT1381" s="163" t="str">
        <f t="shared" si="872"/>
        <v/>
      </c>
      <c r="AU1381" s="163" t="str">
        <f t="shared" si="873"/>
        <v/>
      </c>
      <c r="AV1381" s="163" t="str">
        <f t="shared" si="885"/>
        <v/>
      </c>
      <c r="AW1381" s="163" t="str">
        <f t="shared" si="874"/>
        <v/>
      </c>
      <c r="AX1381" s="163" t="str">
        <f t="shared" si="875"/>
        <v/>
      </c>
      <c r="AY1381" s="150" t="str">
        <f t="shared" si="886"/>
        <v/>
      </c>
      <c r="AZ1381" s="150" t="str">
        <f>IF($E1381="","",IF(OR(AND($D1381=Input!$C$6,$C1381=12),$AN1381=1),0,-AS1382+AT1382+AU1382-AV1382-AW1382-AX1382+AZ1382))</f>
        <v/>
      </c>
      <c r="BA1381" s="154" t="str">
        <f t="shared" si="876"/>
        <v/>
      </c>
      <c r="BC1381" s="147" t="str">
        <f t="shared" si="887"/>
        <v/>
      </c>
      <c r="BD1381" s="164" t="str">
        <f>IF(AND($C1380=12,$D1380=Input!$C$6),0,IF($E1381="","",AT1381+(AU1381+BD1382)/(1+$AK1381)*MIN((1-AM1381-AN1381),1)))</f>
        <v/>
      </c>
      <c r="BH1381" s="152"/>
      <c r="BI1381" s="162" t="str">
        <f t="shared" si="895"/>
        <v/>
      </c>
      <c r="BJ1381" s="150" t="str">
        <f t="shared" si="896"/>
        <v/>
      </c>
      <c r="BK1381" s="163" t="str">
        <f t="shared" si="892"/>
        <v/>
      </c>
      <c r="BL1381" s="163" t="str">
        <f t="shared" si="897"/>
        <v/>
      </c>
      <c r="BM1381" s="163" t="str">
        <f t="shared" si="893"/>
        <v/>
      </c>
      <c r="BN1381" s="163" t="str">
        <f t="shared" si="898"/>
        <v/>
      </c>
      <c r="BO1381" s="163" t="str">
        <f t="shared" si="899"/>
        <v/>
      </c>
      <c r="BP1381" s="150" t="str">
        <f t="shared" si="894"/>
        <v/>
      </c>
      <c r="BQ1381" s="150" t="str">
        <f t="shared" si="888"/>
        <v/>
      </c>
      <c r="BR1381" s="154" t="str">
        <f t="shared" si="900"/>
        <v/>
      </c>
      <c r="BT1381" s="147"/>
    </row>
    <row r="1382" spans="1:72" s="150" customFormat="1" x14ac:dyDescent="0.25">
      <c r="A1382" s="150" t="str">
        <f t="shared" si="889"/>
        <v/>
      </c>
      <c r="B1382" s="150" t="str">
        <f t="shared" si="890"/>
        <v/>
      </c>
      <c r="C1382" s="150" t="str">
        <f t="shared" si="891"/>
        <v/>
      </c>
      <c r="D1382" s="150" t="str">
        <f>IF(E1382="","",Input!$C$4+B1382-1)</f>
        <v/>
      </c>
      <c r="E1382" s="150" t="str">
        <f>IF(OR(AND(C1381=12,D1381=Input!$C$6),E1381=""),"",1)</f>
        <v/>
      </c>
      <c r="G1382" s="151" t="str">
        <f>IF(E1382="","",MAX(0,Input!$C$9-B1382))</f>
        <v/>
      </c>
      <c r="H1382" s="152" t="str">
        <f>IF(E1382="","",Input!$C$3)</f>
        <v/>
      </c>
      <c r="I1382" s="153" t="str">
        <f>IF(E1382="","",HLOOKUP($B1382,Input!$C$13:$BT$14,2))</f>
        <v/>
      </c>
      <c r="J1382" s="154"/>
      <c r="K1382" s="150" t="str">
        <f>IF($E1382="","",INDEX(Input!$C$16:$CP$16,1,$B1382))</f>
        <v/>
      </c>
      <c r="L1382" s="150" t="str">
        <f>IF($E1382="","",Input!$C$37)</f>
        <v/>
      </c>
      <c r="M1382" s="150" t="str">
        <f t="shared" si="877"/>
        <v/>
      </c>
      <c r="N1382" s="150" t="str">
        <f t="shared" si="878"/>
        <v/>
      </c>
      <c r="O1382" s="147" t="str">
        <f>IF($E1382="","",MIN(VLOOKUP(IF($B1382&lt;=Input!$C$7,$B1382,26),'Mortality Tables'!$A$41:$CW$67,IF($B1382&lt;=Input!$C$7+1,Input!$C$4+2,$D1382-Input!$C$7+2),0)*IF(B1382&gt;20,Input!$C$22,1)/1000,1))</f>
        <v/>
      </c>
      <c r="P1382" s="147" t="str">
        <f>IF($E1382="","",MIN(VLOOKUP(IF($B1382&lt;=Input!$C$7,$B1382,26),'Mortality Tables'!$A$12:$CW$37,IF($B1382&lt;=Input!$C$7+1,Input!$C$4+2,$D1382-Input!$C$7+2),0)*IF(B1382&gt;20,Input!$C$22,1)/1000,1))</f>
        <v/>
      </c>
      <c r="Q1382" s="155" t="str">
        <f>IF($E1382="","",Input!$C$21)</f>
        <v/>
      </c>
      <c r="R1382" s="159" t="str">
        <f>IF($E1382="","",(1-Q1382)^($F1382-Input!$C$20))</f>
        <v/>
      </c>
      <c r="S1382" s="147" t="str">
        <f t="shared" si="866"/>
        <v/>
      </c>
      <c r="T1382" s="147" t="str">
        <f t="shared" si="867"/>
        <v/>
      </c>
      <c r="U1382" s="160" t="str">
        <f>IF($E1382="","",IF($C1382=12,INDEX(Input!$C$15:$CP$15,1,$B1382),0))</f>
        <v/>
      </c>
      <c r="V1382" s="150" t="str">
        <f>IF(E1382="","",IF(C1382=1,IF($B1382=1,Input!$C$33,Input!$C$34),0))</f>
        <v/>
      </c>
      <c r="W1382" s="156" t="str">
        <f>IF($E1382="","",Input!$C$35)</f>
        <v/>
      </c>
      <c r="X1382" s="156" t="str">
        <f t="shared" si="868"/>
        <v/>
      </c>
      <c r="Y1382" s="154"/>
      <c r="Z1382" s="147" t="str">
        <f>IF($E1382="","",VLOOKUP($D1382,'Mortality Margins &amp; Grading'!$AB$5:$AF$125,3,0)*IF(Summary!$D$25="Included Margin",IF(AND($B1382&gt;Input!$C$9,Summary!$D$31&lt;&gt;"Included Margin"),0,1),0))</f>
        <v/>
      </c>
      <c r="AA1382" s="147" t="str">
        <f>IF($E1382="","",VLOOKUP($D1382,'Mortality Margins &amp; Grading'!$AB$5:$AF$125,5,0)*IF(Summary!$D$25="Included Margin",IF(AND($B1382&gt;Input!$C$9,Summary!$D$31&lt;&gt;"Included Margin"),0,1),0))</f>
        <v/>
      </c>
      <c r="AB1382" s="147" t="str">
        <f>IF($E1382="","",IF(AND($B1382&gt;Input!$C$9,Summary!$D$31&lt;&gt;"Included Margin"),1,IF(Summary!$D$25="Included Margin",VLOOKUP($B1382,'Mortality Margins &amp; Grading'!$AI$5:$AR$125,MATCH('Mortality Margins &amp; Grading'!$AQ$4,'Mortality Margins &amp; Grading'!$AI$4:$AR$4,0),0),1)))</f>
        <v/>
      </c>
      <c r="AC1382" s="154"/>
      <c r="AD1382" s="158" t="str">
        <f>IF(E1382="","",Input!$C$48*IF(Summary!$D$30="Included Margin",IF(AND($B1382&gt;Input!$C$9,Summary!$D$31&lt;&gt;"Included Margin"),0,1),0))</f>
        <v/>
      </c>
      <c r="AE1382" s="159" t="str">
        <f>IF(E1382="","",IF(Summary!$D$26="Included Margin",IF(AND($B1382&gt;Input!$C$9,Summary!$D$31&lt;&gt;"Included Margin"),1,1/$R1382),1))</f>
        <v/>
      </c>
      <c r="AF1382" s="160" t="str">
        <f>IF(E1382="","",IF(AND($B1382&gt;=Input!$C$9,$C1382=12,Summary!$D$31="Included Margin",$U1382&gt;0),1/U1382-1,IF($B1382&gt;=Input!$C$9,0,Input!$C$45*IF(Summary!$D$27="Included Margin",1,0))))</f>
        <v/>
      </c>
      <c r="AG1382" s="160" t="str">
        <f>IF(E1382="","",Input!$C$46*IF(Summary!$D$28="Included Margin",IF(AND($B1382&gt;Input!$C$9,Summary!$D$31&lt;&gt;"Included Margin"),0,1),0))</f>
        <v/>
      </c>
      <c r="AH1382" s="158" t="str">
        <f>IF(E1382="","",Input!$C$47*IF(Summary!$D$29="Included Margin",IF(AND($B1382&gt;Input!$C$9,Summary!$D$31&lt;&gt;"Included Margin"),0,1),0))</f>
        <v/>
      </c>
      <c r="AI1382" s="154"/>
      <c r="AJ1382" s="158" t="str">
        <f t="shared" si="879"/>
        <v/>
      </c>
      <c r="AK1382" s="150" t="str">
        <f t="shared" si="880"/>
        <v/>
      </c>
      <c r="AL1382" s="147" t="str">
        <f t="shared" si="881"/>
        <v/>
      </c>
      <c r="AM1382" s="147" t="str">
        <f t="shared" si="869"/>
        <v/>
      </c>
      <c r="AN1382" s="160" t="str">
        <f t="shared" si="882"/>
        <v/>
      </c>
      <c r="AO1382" s="161" t="str">
        <f t="shared" si="883"/>
        <v/>
      </c>
      <c r="AP1382" s="156" t="str">
        <f t="shared" si="870"/>
        <v/>
      </c>
      <c r="AQ1382" s="152"/>
      <c r="AR1382" s="162" t="str">
        <f t="shared" si="871"/>
        <v/>
      </c>
      <c r="AS1382" s="150" t="str">
        <f t="shared" si="884"/>
        <v/>
      </c>
      <c r="AT1382" s="163" t="str">
        <f t="shared" si="872"/>
        <v/>
      </c>
      <c r="AU1382" s="163" t="str">
        <f t="shared" si="873"/>
        <v/>
      </c>
      <c r="AV1382" s="163" t="str">
        <f t="shared" si="885"/>
        <v/>
      </c>
      <c r="AW1382" s="163" t="str">
        <f t="shared" si="874"/>
        <v/>
      </c>
      <c r="AX1382" s="163" t="str">
        <f t="shared" si="875"/>
        <v/>
      </c>
      <c r="AY1382" s="150" t="str">
        <f t="shared" si="886"/>
        <v/>
      </c>
      <c r="AZ1382" s="150" t="str">
        <f>IF($E1382="","",IF(OR(AND($D1382=Input!$C$6,$C1382=12),$AN1382=1),0,-AS1383+AT1383+AU1383-AV1383-AW1383-AX1383+AZ1383))</f>
        <v/>
      </c>
      <c r="BA1382" s="154" t="str">
        <f t="shared" si="876"/>
        <v/>
      </c>
      <c r="BC1382" s="147" t="str">
        <f t="shared" si="887"/>
        <v/>
      </c>
      <c r="BD1382" s="164" t="str">
        <f>IF(AND($C1381=12,$D1381=Input!$C$6),0,IF($E1382="","",AT1382+(AU1382+BD1383)/(1+$AK1382)*MIN((1-AM1382-AN1382),1)))</f>
        <v/>
      </c>
      <c r="BH1382" s="152"/>
      <c r="BI1382" s="162" t="str">
        <f t="shared" si="895"/>
        <v/>
      </c>
      <c r="BJ1382" s="150" t="str">
        <f t="shared" si="896"/>
        <v/>
      </c>
      <c r="BK1382" s="163" t="str">
        <f t="shared" si="892"/>
        <v/>
      </c>
      <c r="BL1382" s="163" t="str">
        <f t="shared" si="897"/>
        <v/>
      </c>
      <c r="BM1382" s="163" t="str">
        <f t="shared" si="893"/>
        <v/>
      </c>
      <c r="BN1382" s="163" t="str">
        <f t="shared" si="898"/>
        <v/>
      </c>
      <c r="BO1382" s="163" t="str">
        <f t="shared" si="899"/>
        <v/>
      </c>
      <c r="BP1382" s="150" t="str">
        <f t="shared" si="894"/>
        <v/>
      </c>
      <c r="BQ1382" s="150" t="str">
        <f t="shared" si="888"/>
        <v/>
      </c>
      <c r="BR1382" s="154" t="str">
        <f t="shared" si="900"/>
        <v/>
      </c>
      <c r="BT1382" s="147"/>
    </row>
    <row r="1383" spans="1:72" s="150" customFormat="1" x14ac:dyDescent="0.25">
      <c r="A1383" s="150" t="str">
        <f t="shared" si="889"/>
        <v/>
      </c>
      <c r="B1383" s="150" t="str">
        <f t="shared" si="890"/>
        <v/>
      </c>
      <c r="C1383" s="150" t="str">
        <f t="shared" si="891"/>
        <v/>
      </c>
      <c r="D1383" s="150" t="str">
        <f>IF(E1383="","",Input!$C$4+B1383-1)</f>
        <v/>
      </c>
      <c r="E1383" s="150" t="str">
        <f>IF(OR(AND(C1382=12,D1382=Input!$C$6),E1382=""),"",1)</f>
        <v/>
      </c>
      <c r="G1383" s="151" t="str">
        <f>IF(E1383="","",MAX(0,Input!$C$9-B1383))</f>
        <v/>
      </c>
      <c r="H1383" s="152" t="str">
        <f>IF(E1383="","",Input!$C$3)</f>
        <v/>
      </c>
      <c r="I1383" s="153" t="str">
        <f>IF(E1383="","",HLOOKUP($B1383,Input!$C$13:$BT$14,2))</f>
        <v/>
      </c>
      <c r="J1383" s="154"/>
      <c r="K1383" s="150" t="str">
        <f>IF($E1383="","",INDEX(Input!$C$16:$CP$16,1,$B1383))</f>
        <v/>
      </c>
      <c r="L1383" s="150" t="str">
        <f>IF($E1383="","",Input!$C$37)</f>
        <v/>
      </c>
      <c r="M1383" s="150" t="str">
        <f t="shared" si="877"/>
        <v/>
      </c>
      <c r="N1383" s="150" t="str">
        <f t="shared" si="878"/>
        <v/>
      </c>
      <c r="O1383" s="147" t="str">
        <f>IF($E1383="","",MIN(VLOOKUP(IF($B1383&lt;=Input!$C$7,$B1383,26),'Mortality Tables'!$A$41:$CW$67,IF($B1383&lt;=Input!$C$7+1,Input!$C$4+2,$D1383-Input!$C$7+2),0)*IF(B1383&gt;20,Input!$C$22,1)/1000,1))</f>
        <v/>
      </c>
      <c r="P1383" s="147" t="str">
        <f>IF($E1383="","",MIN(VLOOKUP(IF($B1383&lt;=Input!$C$7,$B1383,26),'Mortality Tables'!$A$12:$CW$37,IF($B1383&lt;=Input!$C$7+1,Input!$C$4+2,$D1383-Input!$C$7+2),0)*IF(B1383&gt;20,Input!$C$22,1)/1000,1))</f>
        <v/>
      </c>
      <c r="Q1383" s="155" t="str">
        <f>IF($E1383="","",Input!$C$21)</f>
        <v/>
      </c>
      <c r="R1383" s="159" t="str">
        <f>IF($E1383="","",(1-Q1383)^($F1383-Input!$C$20))</f>
        <v/>
      </c>
      <c r="S1383" s="147" t="str">
        <f t="shared" si="866"/>
        <v/>
      </c>
      <c r="T1383" s="147" t="str">
        <f t="shared" si="867"/>
        <v/>
      </c>
      <c r="U1383" s="160" t="str">
        <f>IF($E1383="","",IF($C1383=12,INDEX(Input!$C$15:$CP$15,1,$B1383),0))</f>
        <v/>
      </c>
      <c r="V1383" s="150" t="str">
        <f>IF(E1383="","",IF(C1383=1,IF($B1383=1,Input!$C$33,Input!$C$34),0))</f>
        <v/>
      </c>
      <c r="W1383" s="156" t="str">
        <f>IF($E1383="","",Input!$C$35)</f>
        <v/>
      </c>
      <c r="X1383" s="156" t="str">
        <f t="shared" si="868"/>
        <v/>
      </c>
      <c r="Y1383" s="154"/>
      <c r="Z1383" s="147" t="str">
        <f>IF($E1383="","",VLOOKUP($D1383,'Mortality Margins &amp; Grading'!$AB$5:$AF$125,3,0)*IF(Summary!$D$25="Included Margin",IF(AND($B1383&gt;Input!$C$9,Summary!$D$31&lt;&gt;"Included Margin"),0,1),0))</f>
        <v/>
      </c>
      <c r="AA1383" s="147" t="str">
        <f>IF($E1383="","",VLOOKUP($D1383,'Mortality Margins &amp; Grading'!$AB$5:$AF$125,5,0)*IF(Summary!$D$25="Included Margin",IF(AND($B1383&gt;Input!$C$9,Summary!$D$31&lt;&gt;"Included Margin"),0,1),0))</f>
        <v/>
      </c>
      <c r="AB1383" s="147" t="str">
        <f>IF($E1383="","",IF(AND($B1383&gt;Input!$C$9,Summary!$D$31&lt;&gt;"Included Margin"),1,IF(Summary!$D$25="Included Margin",VLOOKUP($B1383,'Mortality Margins &amp; Grading'!$AI$5:$AR$125,MATCH('Mortality Margins &amp; Grading'!$AQ$4,'Mortality Margins &amp; Grading'!$AI$4:$AR$4,0),0),1)))</f>
        <v/>
      </c>
      <c r="AC1383" s="154"/>
      <c r="AD1383" s="158" t="str">
        <f>IF(E1383="","",Input!$C$48*IF(Summary!$D$30="Included Margin",IF(AND($B1383&gt;Input!$C$9,Summary!$D$31&lt;&gt;"Included Margin"),0,1),0))</f>
        <v/>
      </c>
      <c r="AE1383" s="159" t="str">
        <f>IF(E1383="","",IF(Summary!$D$26="Included Margin",IF(AND($B1383&gt;Input!$C$9,Summary!$D$31&lt;&gt;"Included Margin"),1,1/$R1383),1))</f>
        <v/>
      </c>
      <c r="AF1383" s="160" t="str">
        <f>IF(E1383="","",IF(AND($B1383&gt;=Input!$C$9,$C1383=12,Summary!$D$31="Included Margin",$U1383&gt;0),1/U1383-1,IF($B1383&gt;=Input!$C$9,0,Input!$C$45*IF(Summary!$D$27="Included Margin",1,0))))</f>
        <v/>
      </c>
      <c r="AG1383" s="160" t="str">
        <f>IF(E1383="","",Input!$C$46*IF(Summary!$D$28="Included Margin",IF(AND($B1383&gt;Input!$C$9,Summary!$D$31&lt;&gt;"Included Margin"),0,1),0))</f>
        <v/>
      </c>
      <c r="AH1383" s="158" t="str">
        <f>IF(E1383="","",Input!$C$47*IF(Summary!$D$29="Included Margin",IF(AND($B1383&gt;Input!$C$9,Summary!$D$31&lt;&gt;"Included Margin"),0,1),0))</f>
        <v/>
      </c>
      <c r="AI1383" s="154"/>
      <c r="AJ1383" s="158" t="str">
        <f t="shared" si="879"/>
        <v/>
      </c>
      <c r="AK1383" s="150" t="str">
        <f t="shared" si="880"/>
        <v/>
      </c>
      <c r="AL1383" s="147" t="str">
        <f t="shared" si="881"/>
        <v/>
      </c>
      <c r="AM1383" s="147" t="str">
        <f t="shared" si="869"/>
        <v/>
      </c>
      <c r="AN1383" s="160" t="str">
        <f t="shared" si="882"/>
        <v/>
      </c>
      <c r="AO1383" s="161" t="str">
        <f t="shared" si="883"/>
        <v/>
      </c>
      <c r="AP1383" s="156" t="str">
        <f t="shared" si="870"/>
        <v/>
      </c>
      <c r="AQ1383" s="152"/>
      <c r="AR1383" s="162" t="str">
        <f t="shared" si="871"/>
        <v/>
      </c>
      <c r="AS1383" s="150" t="str">
        <f t="shared" si="884"/>
        <v/>
      </c>
      <c r="AT1383" s="163" t="str">
        <f t="shared" si="872"/>
        <v/>
      </c>
      <c r="AU1383" s="163" t="str">
        <f t="shared" si="873"/>
        <v/>
      </c>
      <c r="AV1383" s="163" t="str">
        <f t="shared" si="885"/>
        <v/>
      </c>
      <c r="AW1383" s="163" t="str">
        <f t="shared" si="874"/>
        <v/>
      </c>
      <c r="AX1383" s="163" t="str">
        <f t="shared" si="875"/>
        <v/>
      </c>
      <c r="AY1383" s="150" t="str">
        <f t="shared" si="886"/>
        <v/>
      </c>
      <c r="AZ1383" s="150" t="str">
        <f>IF($E1383="","",IF(OR(AND($D1383=Input!$C$6,$C1383=12),$AN1383=1),0,-AS1384+AT1384+AU1384-AV1384-AW1384-AX1384+AZ1384))</f>
        <v/>
      </c>
      <c r="BA1383" s="154" t="str">
        <f t="shared" si="876"/>
        <v/>
      </c>
      <c r="BC1383" s="147" t="str">
        <f t="shared" si="887"/>
        <v/>
      </c>
      <c r="BD1383" s="164" t="str">
        <f>IF(AND($C1382=12,$D1382=Input!$C$6),0,IF($E1383="","",AT1383+(AU1383+BD1384)/(1+$AK1383)*MIN((1-AM1383-AN1383),1)))</f>
        <v/>
      </c>
      <c r="BH1383" s="152"/>
      <c r="BI1383" s="162" t="str">
        <f t="shared" si="895"/>
        <v/>
      </c>
      <c r="BJ1383" s="150" t="str">
        <f t="shared" si="896"/>
        <v/>
      </c>
      <c r="BK1383" s="163" t="str">
        <f t="shared" si="892"/>
        <v/>
      </c>
      <c r="BL1383" s="163" t="str">
        <f t="shared" si="897"/>
        <v/>
      </c>
      <c r="BM1383" s="163" t="str">
        <f t="shared" si="893"/>
        <v/>
      </c>
      <c r="BN1383" s="163" t="str">
        <f t="shared" si="898"/>
        <v/>
      </c>
      <c r="BO1383" s="163" t="str">
        <f t="shared" si="899"/>
        <v/>
      </c>
      <c r="BP1383" s="150" t="str">
        <f t="shared" si="894"/>
        <v/>
      </c>
      <c r="BQ1383" s="150" t="str">
        <f t="shared" si="888"/>
        <v/>
      </c>
      <c r="BR1383" s="154" t="str">
        <f t="shared" si="900"/>
        <v/>
      </c>
      <c r="BT1383" s="147"/>
    </row>
    <row r="1384" spans="1:72" s="150" customFormat="1" x14ac:dyDescent="0.25">
      <c r="A1384" s="150" t="str">
        <f t="shared" si="889"/>
        <v/>
      </c>
      <c r="B1384" s="150" t="str">
        <f t="shared" si="890"/>
        <v/>
      </c>
      <c r="C1384" s="150" t="str">
        <f t="shared" si="891"/>
        <v/>
      </c>
      <c r="D1384" s="150" t="str">
        <f>IF(E1384="","",Input!$C$4+B1384-1)</f>
        <v/>
      </c>
      <c r="E1384" s="150" t="str">
        <f>IF(OR(AND(C1383=12,D1383=Input!$C$6),E1383=""),"",1)</f>
        <v/>
      </c>
      <c r="G1384" s="151" t="str">
        <f>IF(E1384="","",MAX(0,Input!$C$9-B1384))</f>
        <v/>
      </c>
      <c r="H1384" s="152" t="str">
        <f>IF(E1384="","",Input!$C$3)</f>
        <v/>
      </c>
      <c r="I1384" s="153" t="str">
        <f>IF(E1384="","",HLOOKUP($B1384,Input!$C$13:$BT$14,2))</f>
        <v/>
      </c>
      <c r="J1384" s="154"/>
      <c r="K1384" s="150" t="str">
        <f>IF($E1384="","",INDEX(Input!$C$16:$CP$16,1,$B1384))</f>
        <v/>
      </c>
      <c r="L1384" s="150" t="str">
        <f>IF($E1384="","",Input!$C$37)</f>
        <v/>
      </c>
      <c r="M1384" s="150" t="str">
        <f t="shared" si="877"/>
        <v/>
      </c>
      <c r="N1384" s="150" t="str">
        <f t="shared" si="878"/>
        <v/>
      </c>
      <c r="O1384" s="147" t="str">
        <f>IF($E1384="","",MIN(VLOOKUP(IF($B1384&lt;=Input!$C$7,$B1384,26),'Mortality Tables'!$A$41:$CW$67,IF($B1384&lt;=Input!$C$7+1,Input!$C$4+2,$D1384-Input!$C$7+2),0)*IF(B1384&gt;20,Input!$C$22,1)/1000,1))</f>
        <v/>
      </c>
      <c r="P1384" s="147" t="str">
        <f>IF($E1384="","",MIN(VLOOKUP(IF($B1384&lt;=Input!$C$7,$B1384,26),'Mortality Tables'!$A$12:$CW$37,IF($B1384&lt;=Input!$C$7+1,Input!$C$4+2,$D1384-Input!$C$7+2),0)*IF(B1384&gt;20,Input!$C$22,1)/1000,1))</f>
        <v/>
      </c>
      <c r="Q1384" s="155" t="str">
        <f>IF($E1384="","",Input!$C$21)</f>
        <v/>
      </c>
      <c r="R1384" s="159" t="str">
        <f>IF($E1384="","",(1-Q1384)^($F1384-Input!$C$20))</f>
        <v/>
      </c>
      <c r="S1384" s="147" t="str">
        <f t="shared" si="866"/>
        <v/>
      </c>
      <c r="T1384" s="147" t="str">
        <f t="shared" si="867"/>
        <v/>
      </c>
      <c r="U1384" s="160" t="str">
        <f>IF($E1384="","",IF($C1384=12,INDEX(Input!$C$15:$CP$15,1,$B1384),0))</f>
        <v/>
      </c>
      <c r="V1384" s="150" t="str">
        <f>IF(E1384="","",IF(C1384=1,IF($B1384=1,Input!$C$33,Input!$C$34),0))</f>
        <v/>
      </c>
      <c r="W1384" s="156" t="str">
        <f>IF($E1384="","",Input!$C$35)</f>
        <v/>
      </c>
      <c r="X1384" s="156" t="str">
        <f t="shared" si="868"/>
        <v/>
      </c>
      <c r="Y1384" s="154"/>
      <c r="Z1384" s="147" t="str">
        <f>IF($E1384="","",VLOOKUP($D1384,'Mortality Margins &amp; Grading'!$AB$5:$AF$125,3,0)*IF(Summary!$D$25="Included Margin",IF(AND($B1384&gt;Input!$C$9,Summary!$D$31&lt;&gt;"Included Margin"),0,1),0))</f>
        <v/>
      </c>
      <c r="AA1384" s="147" t="str">
        <f>IF($E1384="","",VLOOKUP($D1384,'Mortality Margins &amp; Grading'!$AB$5:$AF$125,5,0)*IF(Summary!$D$25="Included Margin",IF(AND($B1384&gt;Input!$C$9,Summary!$D$31&lt;&gt;"Included Margin"),0,1),0))</f>
        <v/>
      </c>
      <c r="AB1384" s="147" t="str">
        <f>IF($E1384="","",IF(AND($B1384&gt;Input!$C$9,Summary!$D$31&lt;&gt;"Included Margin"),1,IF(Summary!$D$25="Included Margin",VLOOKUP($B1384,'Mortality Margins &amp; Grading'!$AI$5:$AR$125,MATCH('Mortality Margins &amp; Grading'!$AQ$4,'Mortality Margins &amp; Grading'!$AI$4:$AR$4,0),0),1)))</f>
        <v/>
      </c>
      <c r="AC1384" s="154"/>
      <c r="AD1384" s="158" t="str">
        <f>IF(E1384="","",Input!$C$48*IF(Summary!$D$30="Included Margin",IF(AND($B1384&gt;Input!$C$9,Summary!$D$31&lt;&gt;"Included Margin"),0,1),0))</f>
        <v/>
      </c>
      <c r="AE1384" s="159" t="str">
        <f>IF(E1384="","",IF(Summary!$D$26="Included Margin",IF(AND($B1384&gt;Input!$C$9,Summary!$D$31&lt;&gt;"Included Margin"),1,1/$R1384),1))</f>
        <v/>
      </c>
      <c r="AF1384" s="160" t="str">
        <f>IF(E1384="","",IF(AND($B1384&gt;=Input!$C$9,$C1384=12,Summary!$D$31="Included Margin",$U1384&gt;0),1/U1384-1,IF($B1384&gt;=Input!$C$9,0,Input!$C$45*IF(Summary!$D$27="Included Margin",1,0))))</f>
        <v/>
      </c>
      <c r="AG1384" s="160" t="str">
        <f>IF(E1384="","",Input!$C$46*IF(Summary!$D$28="Included Margin",IF(AND($B1384&gt;Input!$C$9,Summary!$D$31&lt;&gt;"Included Margin"),0,1),0))</f>
        <v/>
      </c>
      <c r="AH1384" s="158" t="str">
        <f>IF(E1384="","",Input!$C$47*IF(Summary!$D$29="Included Margin",IF(AND($B1384&gt;Input!$C$9,Summary!$D$31&lt;&gt;"Included Margin"),0,1),0))</f>
        <v/>
      </c>
      <c r="AI1384" s="154"/>
      <c r="AJ1384" s="158" t="str">
        <f t="shared" si="879"/>
        <v/>
      </c>
      <c r="AK1384" s="150" t="str">
        <f t="shared" si="880"/>
        <v/>
      </c>
      <c r="AL1384" s="147" t="str">
        <f t="shared" si="881"/>
        <v/>
      </c>
      <c r="AM1384" s="147" t="str">
        <f t="shared" si="869"/>
        <v/>
      </c>
      <c r="AN1384" s="160" t="str">
        <f t="shared" si="882"/>
        <v/>
      </c>
      <c r="AO1384" s="161" t="str">
        <f t="shared" si="883"/>
        <v/>
      </c>
      <c r="AP1384" s="156" t="str">
        <f t="shared" si="870"/>
        <v/>
      </c>
      <c r="AQ1384" s="152"/>
      <c r="AR1384" s="162" t="str">
        <f t="shared" si="871"/>
        <v/>
      </c>
      <c r="AS1384" s="150" t="str">
        <f t="shared" si="884"/>
        <v/>
      </c>
      <c r="AT1384" s="163" t="str">
        <f t="shared" si="872"/>
        <v/>
      </c>
      <c r="AU1384" s="163" t="str">
        <f t="shared" si="873"/>
        <v/>
      </c>
      <c r="AV1384" s="163" t="str">
        <f t="shared" si="885"/>
        <v/>
      </c>
      <c r="AW1384" s="163" t="str">
        <f t="shared" si="874"/>
        <v/>
      </c>
      <c r="AX1384" s="163" t="str">
        <f t="shared" si="875"/>
        <v/>
      </c>
      <c r="AY1384" s="150" t="str">
        <f t="shared" si="886"/>
        <v/>
      </c>
      <c r="AZ1384" s="150" t="str">
        <f>IF($E1384="","",IF(OR(AND($D1384=Input!$C$6,$C1384=12),$AN1384=1),0,-AS1385+AT1385+AU1385-AV1385-AW1385-AX1385+AZ1385))</f>
        <v/>
      </c>
      <c r="BA1384" s="154" t="str">
        <f t="shared" si="876"/>
        <v/>
      </c>
      <c r="BC1384" s="147" t="str">
        <f t="shared" si="887"/>
        <v/>
      </c>
      <c r="BD1384" s="164" t="str">
        <f>IF(AND($C1383=12,$D1383=Input!$C$6),0,IF($E1384="","",AT1384+(AU1384+BD1385)/(1+$AK1384)*MIN((1-AM1384-AN1384),1)))</f>
        <v/>
      </c>
      <c r="BH1384" s="152"/>
      <c r="BI1384" s="162" t="str">
        <f t="shared" si="895"/>
        <v/>
      </c>
      <c r="BJ1384" s="150" t="str">
        <f t="shared" si="896"/>
        <v/>
      </c>
      <c r="BK1384" s="163" t="str">
        <f t="shared" si="892"/>
        <v/>
      </c>
      <c r="BL1384" s="163" t="str">
        <f t="shared" si="897"/>
        <v/>
      </c>
      <c r="BM1384" s="163" t="str">
        <f t="shared" si="893"/>
        <v/>
      </c>
      <c r="BN1384" s="163" t="str">
        <f t="shared" si="898"/>
        <v/>
      </c>
      <c r="BO1384" s="163" t="str">
        <f t="shared" si="899"/>
        <v/>
      </c>
      <c r="BP1384" s="150" t="str">
        <f t="shared" si="894"/>
        <v/>
      </c>
      <c r="BQ1384" s="150" t="str">
        <f t="shared" si="888"/>
        <v/>
      </c>
      <c r="BR1384" s="154" t="str">
        <f t="shared" si="900"/>
        <v/>
      </c>
      <c r="BT1384" s="147"/>
    </row>
    <row r="1385" spans="1:72" s="150" customFormat="1" x14ac:dyDescent="0.25">
      <c r="A1385" s="150" t="str">
        <f t="shared" si="889"/>
        <v/>
      </c>
      <c r="B1385" s="150" t="str">
        <f t="shared" si="890"/>
        <v/>
      </c>
      <c r="C1385" s="150" t="str">
        <f t="shared" si="891"/>
        <v/>
      </c>
      <c r="D1385" s="150" t="str">
        <f>IF(E1385="","",Input!$C$4+B1385-1)</f>
        <v/>
      </c>
      <c r="E1385" s="150" t="str">
        <f>IF(OR(AND(C1384=12,D1384=Input!$C$6),E1384=""),"",1)</f>
        <v/>
      </c>
      <c r="G1385" s="151" t="str">
        <f>IF(E1385="","",MAX(0,Input!$C$9-B1385))</f>
        <v/>
      </c>
      <c r="H1385" s="152" t="str">
        <f>IF(E1385="","",Input!$C$3)</f>
        <v/>
      </c>
      <c r="I1385" s="153" t="str">
        <f>IF(E1385="","",HLOOKUP($B1385,Input!$C$13:$BT$14,2))</f>
        <v/>
      </c>
      <c r="J1385" s="154"/>
      <c r="K1385" s="150" t="str">
        <f>IF($E1385="","",INDEX(Input!$C$16:$CP$16,1,$B1385))</f>
        <v/>
      </c>
      <c r="L1385" s="150" t="str">
        <f>IF($E1385="","",Input!$C$37)</f>
        <v/>
      </c>
      <c r="M1385" s="150" t="str">
        <f t="shared" si="877"/>
        <v/>
      </c>
      <c r="N1385" s="150" t="str">
        <f t="shared" si="878"/>
        <v/>
      </c>
      <c r="O1385" s="147" t="str">
        <f>IF($E1385="","",MIN(VLOOKUP(IF($B1385&lt;=Input!$C$7,$B1385,26),'Mortality Tables'!$A$41:$CW$67,IF($B1385&lt;=Input!$C$7+1,Input!$C$4+2,$D1385-Input!$C$7+2),0)*IF(B1385&gt;20,Input!$C$22,1)/1000,1))</f>
        <v/>
      </c>
      <c r="P1385" s="147" t="str">
        <f>IF($E1385="","",MIN(VLOOKUP(IF($B1385&lt;=Input!$C$7,$B1385,26),'Mortality Tables'!$A$12:$CW$37,IF($B1385&lt;=Input!$C$7+1,Input!$C$4+2,$D1385-Input!$C$7+2),0)*IF(B1385&gt;20,Input!$C$22,1)/1000,1))</f>
        <v/>
      </c>
      <c r="Q1385" s="155" t="str">
        <f>IF($E1385="","",Input!$C$21)</f>
        <v/>
      </c>
      <c r="R1385" s="159" t="str">
        <f>IF($E1385="","",(1-Q1385)^($F1385-Input!$C$20))</f>
        <v/>
      </c>
      <c r="S1385" s="147" t="str">
        <f t="shared" si="866"/>
        <v/>
      </c>
      <c r="T1385" s="147" t="str">
        <f t="shared" si="867"/>
        <v/>
      </c>
      <c r="U1385" s="160" t="str">
        <f>IF($E1385="","",IF($C1385=12,INDEX(Input!$C$15:$CP$15,1,$B1385),0))</f>
        <v/>
      </c>
      <c r="V1385" s="150" t="str">
        <f>IF(E1385="","",IF(C1385=1,IF($B1385=1,Input!$C$33,Input!$C$34),0))</f>
        <v/>
      </c>
      <c r="W1385" s="156" t="str">
        <f>IF($E1385="","",Input!$C$35)</f>
        <v/>
      </c>
      <c r="X1385" s="156" t="str">
        <f t="shared" si="868"/>
        <v/>
      </c>
      <c r="Y1385" s="154"/>
      <c r="Z1385" s="147" t="str">
        <f>IF($E1385="","",VLOOKUP($D1385,'Mortality Margins &amp; Grading'!$AB$5:$AF$125,3,0)*IF(Summary!$D$25="Included Margin",IF(AND($B1385&gt;Input!$C$9,Summary!$D$31&lt;&gt;"Included Margin"),0,1),0))</f>
        <v/>
      </c>
      <c r="AA1385" s="147" t="str">
        <f>IF($E1385="","",VLOOKUP($D1385,'Mortality Margins &amp; Grading'!$AB$5:$AF$125,5,0)*IF(Summary!$D$25="Included Margin",IF(AND($B1385&gt;Input!$C$9,Summary!$D$31&lt;&gt;"Included Margin"),0,1),0))</f>
        <v/>
      </c>
      <c r="AB1385" s="147" t="str">
        <f>IF($E1385="","",IF(AND($B1385&gt;Input!$C$9,Summary!$D$31&lt;&gt;"Included Margin"),1,IF(Summary!$D$25="Included Margin",VLOOKUP($B1385,'Mortality Margins &amp; Grading'!$AI$5:$AR$125,MATCH('Mortality Margins &amp; Grading'!$AQ$4,'Mortality Margins &amp; Grading'!$AI$4:$AR$4,0),0),1)))</f>
        <v/>
      </c>
      <c r="AC1385" s="154"/>
      <c r="AD1385" s="158" t="str">
        <f>IF(E1385="","",Input!$C$48*IF(Summary!$D$30="Included Margin",IF(AND($B1385&gt;Input!$C$9,Summary!$D$31&lt;&gt;"Included Margin"),0,1),0))</f>
        <v/>
      </c>
      <c r="AE1385" s="159" t="str">
        <f>IF(E1385="","",IF(Summary!$D$26="Included Margin",IF(AND($B1385&gt;Input!$C$9,Summary!$D$31&lt;&gt;"Included Margin"),1,1/$R1385),1))</f>
        <v/>
      </c>
      <c r="AF1385" s="160" t="str">
        <f>IF(E1385="","",IF(AND($B1385&gt;=Input!$C$9,$C1385=12,Summary!$D$31="Included Margin",$U1385&gt;0),1/U1385-1,IF($B1385&gt;=Input!$C$9,0,Input!$C$45*IF(Summary!$D$27="Included Margin",1,0))))</f>
        <v/>
      </c>
      <c r="AG1385" s="160" t="str">
        <f>IF(E1385="","",Input!$C$46*IF(Summary!$D$28="Included Margin",IF(AND($B1385&gt;Input!$C$9,Summary!$D$31&lt;&gt;"Included Margin"),0,1),0))</f>
        <v/>
      </c>
      <c r="AH1385" s="158" t="str">
        <f>IF(E1385="","",Input!$C$47*IF(Summary!$D$29="Included Margin",IF(AND($B1385&gt;Input!$C$9,Summary!$D$31&lt;&gt;"Included Margin"),0,1),0))</f>
        <v/>
      </c>
      <c r="AI1385" s="154"/>
      <c r="AJ1385" s="158" t="str">
        <f t="shared" si="879"/>
        <v/>
      </c>
      <c r="AK1385" s="150" t="str">
        <f t="shared" si="880"/>
        <v/>
      </c>
      <c r="AL1385" s="147" t="str">
        <f t="shared" si="881"/>
        <v/>
      </c>
      <c r="AM1385" s="147" t="str">
        <f t="shared" si="869"/>
        <v/>
      </c>
      <c r="AN1385" s="160" t="str">
        <f t="shared" si="882"/>
        <v/>
      </c>
      <c r="AO1385" s="161" t="str">
        <f t="shared" si="883"/>
        <v/>
      </c>
      <c r="AP1385" s="156" t="str">
        <f t="shared" si="870"/>
        <v/>
      </c>
      <c r="AQ1385" s="152"/>
      <c r="AR1385" s="162" t="str">
        <f t="shared" si="871"/>
        <v/>
      </c>
      <c r="AS1385" s="150" t="str">
        <f t="shared" si="884"/>
        <v/>
      </c>
      <c r="AT1385" s="163" t="str">
        <f t="shared" si="872"/>
        <v/>
      </c>
      <c r="AU1385" s="163" t="str">
        <f t="shared" si="873"/>
        <v/>
      </c>
      <c r="AV1385" s="163" t="str">
        <f t="shared" si="885"/>
        <v/>
      </c>
      <c r="AW1385" s="163" t="str">
        <f t="shared" si="874"/>
        <v/>
      </c>
      <c r="AX1385" s="163" t="str">
        <f t="shared" si="875"/>
        <v/>
      </c>
      <c r="AY1385" s="150" t="str">
        <f t="shared" si="886"/>
        <v/>
      </c>
      <c r="AZ1385" s="150" t="str">
        <f>IF($E1385="","",IF(OR(AND($D1385=Input!$C$6,$C1385=12),$AN1385=1),0,-AS1386+AT1386+AU1386-AV1386-AW1386-AX1386+AZ1386))</f>
        <v/>
      </c>
      <c r="BA1385" s="154" t="str">
        <f t="shared" si="876"/>
        <v/>
      </c>
      <c r="BC1385" s="147" t="str">
        <f t="shared" si="887"/>
        <v/>
      </c>
      <c r="BD1385" s="164" t="str">
        <f>IF(AND($C1384=12,$D1384=Input!$C$6),0,IF($E1385="","",AT1385+(AU1385+BD1386)/(1+$AK1385)*MIN((1-AM1385-AN1385),1)))</f>
        <v/>
      </c>
      <c r="BH1385" s="152"/>
      <c r="BI1385" s="162" t="str">
        <f t="shared" si="895"/>
        <v/>
      </c>
      <c r="BJ1385" s="150" t="str">
        <f t="shared" si="896"/>
        <v/>
      </c>
      <c r="BK1385" s="163" t="str">
        <f t="shared" si="892"/>
        <v/>
      </c>
      <c r="BL1385" s="163" t="str">
        <f t="shared" si="897"/>
        <v/>
      </c>
      <c r="BM1385" s="163" t="str">
        <f t="shared" si="893"/>
        <v/>
      </c>
      <c r="BN1385" s="163" t="str">
        <f t="shared" si="898"/>
        <v/>
      </c>
      <c r="BO1385" s="163" t="str">
        <f t="shared" si="899"/>
        <v/>
      </c>
      <c r="BP1385" s="150" t="str">
        <f t="shared" si="894"/>
        <v/>
      </c>
      <c r="BQ1385" s="150" t="str">
        <f t="shared" si="888"/>
        <v/>
      </c>
      <c r="BR1385" s="154" t="str">
        <f t="shared" si="900"/>
        <v/>
      </c>
      <c r="BT1385" s="147"/>
    </row>
    <row r="1386" spans="1:72" s="150" customFormat="1" x14ac:dyDescent="0.25">
      <c r="A1386" s="150" t="str">
        <f t="shared" si="889"/>
        <v/>
      </c>
      <c r="B1386" s="150" t="str">
        <f t="shared" si="890"/>
        <v/>
      </c>
      <c r="C1386" s="150" t="str">
        <f t="shared" si="891"/>
        <v/>
      </c>
      <c r="D1386" s="150" t="str">
        <f>IF(E1386="","",Input!$C$4+B1386-1)</f>
        <v/>
      </c>
      <c r="E1386" s="150" t="str">
        <f>IF(OR(AND(C1385=12,D1385=Input!$C$6),E1385=""),"",1)</f>
        <v/>
      </c>
      <c r="G1386" s="151" t="str">
        <f>IF(E1386="","",MAX(0,Input!$C$9-B1386))</f>
        <v/>
      </c>
      <c r="H1386" s="152" t="str">
        <f>IF(E1386="","",Input!$C$3)</f>
        <v/>
      </c>
      <c r="I1386" s="153" t="str">
        <f>IF(E1386="","",HLOOKUP($B1386,Input!$C$13:$BT$14,2))</f>
        <v/>
      </c>
      <c r="J1386" s="154"/>
      <c r="K1386" s="150" t="str">
        <f>IF($E1386="","",INDEX(Input!$C$16:$CP$16,1,$B1386))</f>
        <v/>
      </c>
      <c r="L1386" s="150" t="str">
        <f>IF($E1386="","",Input!$C$37)</f>
        <v/>
      </c>
      <c r="M1386" s="150" t="str">
        <f t="shared" si="877"/>
        <v/>
      </c>
      <c r="N1386" s="150" t="str">
        <f t="shared" si="878"/>
        <v/>
      </c>
      <c r="O1386" s="147" t="str">
        <f>IF($E1386="","",MIN(VLOOKUP(IF($B1386&lt;=Input!$C$7,$B1386,26),'Mortality Tables'!$A$41:$CW$67,IF($B1386&lt;=Input!$C$7+1,Input!$C$4+2,$D1386-Input!$C$7+2),0)*IF(B1386&gt;20,Input!$C$22,1)/1000,1))</f>
        <v/>
      </c>
      <c r="P1386" s="147" t="str">
        <f>IF($E1386="","",MIN(VLOOKUP(IF($B1386&lt;=Input!$C$7,$B1386,26),'Mortality Tables'!$A$12:$CW$37,IF($B1386&lt;=Input!$C$7+1,Input!$C$4+2,$D1386-Input!$C$7+2),0)*IF(B1386&gt;20,Input!$C$22,1)/1000,1))</f>
        <v/>
      </c>
      <c r="Q1386" s="155" t="str">
        <f>IF($E1386="","",Input!$C$21)</f>
        <v/>
      </c>
      <c r="R1386" s="159" t="str">
        <f>IF($E1386="","",(1-Q1386)^($F1386-Input!$C$20))</f>
        <v/>
      </c>
      <c r="S1386" s="147" t="str">
        <f t="shared" si="866"/>
        <v/>
      </c>
      <c r="T1386" s="147" t="str">
        <f t="shared" si="867"/>
        <v/>
      </c>
      <c r="U1386" s="160" t="str">
        <f>IF($E1386="","",IF($C1386=12,INDEX(Input!$C$15:$CP$15,1,$B1386),0))</f>
        <v/>
      </c>
      <c r="V1386" s="150" t="str">
        <f>IF(E1386="","",IF(C1386=1,IF($B1386=1,Input!$C$33,Input!$C$34),0))</f>
        <v/>
      </c>
      <c r="W1386" s="156" t="str">
        <f>IF($E1386="","",Input!$C$35)</f>
        <v/>
      </c>
      <c r="X1386" s="156" t="str">
        <f t="shared" si="868"/>
        <v/>
      </c>
      <c r="Y1386" s="154"/>
      <c r="Z1386" s="147" t="str">
        <f>IF($E1386="","",VLOOKUP($D1386,'Mortality Margins &amp; Grading'!$AB$5:$AF$125,3,0)*IF(Summary!$D$25="Included Margin",IF(AND($B1386&gt;Input!$C$9,Summary!$D$31&lt;&gt;"Included Margin"),0,1),0))</f>
        <v/>
      </c>
      <c r="AA1386" s="147" t="str">
        <f>IF($E1386="","",VLOOKUP($D1386,'Mortality Margins &amp; Grading'!$AB$5:$AF$125,5,0)*IF(Summary!$D$25="Included Margin",IF(AND($B1386&gt;Input!$C$9,Summary!$D$31&lt;&gt;"Included Margin"),0,1),0))</f>
        <v/>
      </c>
      <c r="AB1386" s="147" t="str">
        <f>IF($E1386="","",IF(AND($B1386&gt;Input!$C$9,Summary!$D$31&lt;&gt;"Included Margin"),1,IF(Summary!$D$25="Included Margin",VLOOKUP($B1386,'Mortality Margins &amp; Grading'!$AI$5:$AR$125,MATCH('Mortality Margins &amp; Grading'!$AQ$4,'Mortality Margins &amp; Grading'!$AI$4:$AR$4,0),0),1)))</f>
        <v/>
      </c>
      <c r="AC1386" s="154"/>
      <c r="AD1386" s="158" t="str">
        <f>IF(E1386="","",Input!$C$48*IF(Summary!$D$30="Included Margin",IF(AND($B1386&gt;Input!$C$9,Summary!$D$31&lt;&gt;"Included Margin"),0,1),0))</f>
        <v/>
      </c>
      <c r="AE1386" s="159" t="str">
        <f>IF(E1386="","",IF(Summary!$D$26="Included Margin",IF(AND($B1386&gt;Input!$C$9,Summary!$D$31&lt;&gt;"Included Margin"),1,1/$R1386),1))</f>
        <v/>
      </c>
      <c r="AF1386" s="160" t="str">
        <f>IF(E1386="","",IF(AND($B1386&gt;=Input!$C$9,$C1386=12,Summary!$D$31="Included Margin",$U1386&gt;0),1/U1386-1,IF($B1386&gt;=Input!$C$9,0,Input!$C$45*IF(Summary!$D$27="Included Margin",1,0))))</f>
        <v/>
      </c>
      <c r="AG1386" s="160" t="str">
        <f>IF(E1386="","",Input!$C$46*IF(Summary!$D$28="Included Margin",IF(AND($B1386&gt;Input!$C$9,Summary!$D$31&lt;&gt;"Included Margin"),0,1),0))</f>
        <v/>
      </c>
      <c r="AH1386" s="158" t="str">
        <f>IF(E1386="","",Input!$C$47*IF(Summary!$D$29="Included Margin",IF(AND($B1386&gt;Input!$C$9,Summary!$D$31&lt;&gt;"Included Margin"),0,1),0))</f>
        <v/>
      </c>
      <c r="AI1386" s="154"/>
      <c r="AJ1386" s="158" t="str">
        <f t="shared" si="879"/>
        <v/>
      </c>
      <c r="AK1386" s="150" t="str">
        <f t="shared" si="880"/>
        <v/>
      </c>
      <c r="AL1386" s="147" t="str">
        <f t="shared" si="881"/>
        <v/>
      </c>
      <c r="AM1386" s="147" t="str">
        <f t="shared" si="869"/>
        <v/>
      </c>
      <c r="AN1386" s="160" t="str">
        <f t="shared" si="882"/>
        <v/>
      </c>
      <c r="AO1386" s="161" t="str">
        <f t="shared" si="883"/>
        <v/>
      </c>
      <c r="AP1386" s="156" t="str">
        <f t="shared" si="870"/>
        <v/>
      </c>
      <c r="AQ1386" s="152"/>
      <c r="AR1386" s="162" t="str">
        <f t="shared" si="871"/>
        <v/>
      </c>
      <c r="AS1386" s="150" t="str">
        <f t="shared" si="884"/>
        <v/>
      </c>
      <c r="AT1386" s="163" t="str">
        <f t="shared" si="872"/>
        <v/>
      </c>
      <c r="AU1386" s="163" t="str">
        <f t="shared" si="873"/>
        <v/>
      </c>
      <c r="AV1386" s="163" t="str">
        <f t="shared" si="885"/>
        <v/>
      </c>
      <c r="AW1386" s="163" t="str">
        <f t="shared" si="874"/>
        <v/>
      </c>
      <c r="AX1386" s="163" t="str">
        <f t="shared" si="875"/>
        <v/>
      </c>
      <c r="AY1386" s="150" t="str">
        <f t="shared" si="886"/>
        <v/>
      </c>
      <c r="AZ1386" s="150" t="str">
        <f>IF($E1386="","",IF(OR(AND($D1386=Input!$C$6,$C1386=12),$AN1386=1),0,-AS1387+AT1387+AU1387-AV1387-AW1387-AX1387+AZ1387))</f>
        <v/>
      </c>
      <c r="BA1386" s="154" t="str">
        <f t="shared" si="876"/>
        <v/>
      </c>
      <c r="BC1386" s="147" t="str">
        <f t="shared" si="887"/>
        <v/>
      </c>
      <c r="BD1386" s="164" t="str">
        <f>IF(AND($C1385=12,$D1385=Input!$C$6),0,IF($E1386="","",AT1386+(AU1386+BD1387)/(1+$AK1386)*MIN((1-AM1386-AN1386),1)))</f>
        <v/>
      </c>
      <c r="BH1386" s="152"/>
      <c r="BI1386" s="162" t="str">
        <f t="shared" si="895"/>
        <v/>
      </c>
      <c r="BJ1386" s="150" t="str">
        <f t="shared" si="896"/>
        <v/>
      </c>
      <c r="BK1386" s="163" t="str">
        <f t="shared" si="892"/>
        <v/>
      </c>
      <c r="BL1386" s="163" t="str">
        <f t="shared" si="897"/>
        <v/>
      </c>
      <c r="BM1386" s="163" t="str">
        <f t="shared" si="893"/>
        <v/>
      </c>
      <c r="BN1386" s="163" t="str">
        <f t="shared" si="898"/>
        <v/>
      </c>
      <c r="BO1386" s="163" t="str">
        <f t="shared" si="899"/>
        <v/>
      </c>
      <c r="BP1386" s="150" t="str">
        <f t="shared" si="894"/>
        <v/>
      </c>
      <c r="BQ1386" s="150" t="str">
        <f t="shared" si="888"/>
        <v/>
      </c>
      <c r="BR1386" s="154" t="str">
        <f t="shared" si="900"/>
        <v/>
      </c>
      <c r="BT1386" s="147"/>
    </row>
    <row r="1387" spans="1:72" s="150" customFormat="1" x14ac:dyDescent="0.25">
      <c r="A1387" s="150" t="str">
        <f t="shared" si="889"/>
        <v/>
      </c>
      <c r="B1387" s="150" t="str">
        <f t="shared" si="890"/>
        <v/>
      </c>
      <c r="C1387" s="150" t="str">
        <f t="shared" si="891"/>
        <v/>
      </c>
      <c r="D1387" s="150" t="str">
        <f>IF(E1387="","",Input!$C$4+B1387-1)</f>
        <v/>
      </c>
      <c r="E1387" s="150" t="str">
        <f>IF(OR(AND(C1386=12,D1386=Input!$C$6),E1386=""),"",1)</f>
        <v/>
      </c>
      <c r="G1387" s="151" t="str">
        <f>IF(E1387="","",MAX(0,Input!$C$9-B1387))</f>
        <v/>
      </c>
      <c r="H1387" s="152" t="str">
        <f>IF(E1387="","",Input!$C$3)</f>
        <v/>
      </c>
      <c r="I1387" s="153" t="str">
        <f>IF(E1387="","",HLOOKUP($B1387,Input!$C$13:$BT$14,2))</f>
        <v/>
      </c>
      <c r="J1387" s="154"/>
      <c r="K1387" s="150" t="str">
        <f>IF($E1387="","",INDEX(Input!$C$16:$CP$16,1,$B1387))</f>
        <v/>
      </c>
      <c r="L1387" s="150" t="str">
        <f>IF($E1387="","",Input!$C$37)</f>
        <v/>
      </c>
      <c r="M1387" s="150" t="str">
        <f t="shared" si="877"/>
        <v/>
      </c>
      <c r="N1387" s="150" t="str">
        <f t="shared" si="878"/>
        <v/>
      </c>
      <c r="O1387" s="147" t="str">
        <f>IF($E1387="","",MIN(VLOOKUP(IF($B1387&lt;=Input!$C$7,$B1387,26),'Mortality Tables'!$A$41:$CW$67,IF($B1387&lt;=Input!$C$7+1,Input!$C$4+2,$D1387-Input!$C$7+2),0)*IF(B1387&gt;20,Input!$C$22,1)/1000,1))</f>
        <v/>
      </c>
      <c r="P1387" s="147" t="str">
        <f>IF($E1387="","",MIN(VLOOKUP(IF($B1387&lt;=Input!$C$7,$B1387,26),'Mortality Tables'!$A$12:$CW$37,IF($B1387&lt;=Input!$C$7+1,Input!$C$4+2,$D1387-Input!$C$7+2),0)*IF(B1387&gt;20,Input!$C$22,1)/1000,1))</f>
        <v/>
      </c>
      <c r="Q1387" s="155" t="str">
        <f>IF($E1387="","",Input!$C$21)</f>
        <v/>
      </c>
      <c r="R1387" s="159" t="str">
        <f>IF($E1387="","",(1-Q1387)^($F1387-Input!$C$20))</f>
        <v/>
      </c>
      <c r="S1387" s="147" t="str">
        <f t="shared" si="866"/>
        <v/>
      </c>
      <c r="T1387" s="147" t="str">
        <f t="shared" si="867"/>
        <v/>
      </c>
      <c r="U1387" s="160" t="str">
        <f>IF($E1387="","",IF($C1387=12,INDEX(Input!$C$15:$CP$15,1,$B1387),0))</f>
        <v/>
      </c>
      <c r="V1387" s="150" t="str">
        <f>IF(E1387="","",IF(C1387=1,IF($B1387=1,Input!$C$33,Input!$C$34),0))</f>
        <v/>
      </c>
      <c r="W1387" s="156" t="str">
        <f>IF($E1387="","",Input!$C$35)</f>
        <v/>
      </c>
      <c r="X1387" s="156" t="str">
        <f t="shared" si="868"/>
        <v/>
      </c>
      <c r="Y1387" s="154"/>
      <c r="Z1387" s="147" t="str">
        <f>IF($E1387="","",VLOOKUP($D1387,'Mortality Margins &amp; Grading'!$AB$5:$AF$125,3,0)*IF(Summary!$D$25="Included Margin",IF(AND($B1387&gt;Input!$C$9,Summary!$D$31&lt;&gt;"Included Margin"),0,1),0))</f>
        <v/>
      </c>
      <c r="AA1387" s="147" t="str">
        <f>IF($E1387="","",VLOOKUP($D1387,'Mortality Margins &amp; Grading'!$AB$5:$AF$125,5,0)*IF(Summary!$D$25="Included Margin",IF(AND($B1387&gt;Input!$C$9,Summary!$D$31&lt;&gt;"Included Margin"),0,1),0))</f>
        <v/>
      </c>
      <c r="AB1387" s="147" t="str">
        <f>IF($E1387="","",IF(AND($B1387&gt;Input!$C$9,Summary!$D$31&lt;&gt;"Included Margin"),1,IF(Summary!$D$25="Included Margin",VLOOKUP($B1387,'Mortality Margins &amp; Grading'!$AI$5:$AR$125,MATCH('Mortality Margins &amp; Grading'!$AQ$4,'Mortality Margins &amp; Grading'!$AI$4:$AR$4,0),0),1)))</f>
        <v/>
      </c>
      <c r="AC1387" s="154"/>
      <c r="AD1387" s="158" t="str">
        <f>IF(E1387="","",Input!$C$48*IF(Summary!$D$30="Included Margin",IF(AND($B1387&gt;Input!$C$9,Summary!$D$31&lt;&gt;"Included Margin"),0,1),0))</f>
        <v/>
      </c>
      <c r="AE1387" s="159" t="str">
        <f>IF(E1387="","",IF(Summary!$D$26="Included Margin",IF(AND($B1387&gt;Input!$C$9,Summary!$D$31&lt;&gt;"Included Margin"),1,1/$R1387),1))</f>
        <v/>
      </c>
      <c r="AF1387" s="160" t="str">
        <f>IF(E1387="","",IF(AND($B1387&gt;=Input!$C$9,$C1387=12,Summary!$D$31="Included Margin",$U1387&gt;0),1/U1387-1,IF($B1387&gt;=Input!$C$9,0,Input!$C$45*IF(Summary!$D$27="Included Margin",1,0))))</f>
        <v/>
      </c>
      <c r="AG1387" s="160" t="str">
        <f>IF(E1387="","",Input!$C$46*IF(Summary!$D$28="Included Margin",IF(AND($B1387&gt;Input!$C$9,Summary!$D$31&lt;&gt;"Included Margin"),0,1),0))</f>
        <v/>
      </c>
      <c r="AH1387" s="158" t="str">
        <f>IF(E1387="","",Input!$C$47*IF(Summary!$D$29="Included Margin",IF(AND($B1387&gt;Input!$C$9,Summary!$D$31&lt;&gt;"Included Margin"),0,1),0))</f>
        <v/>
      </c>
      <c r="AI1387" s="154"/>
      <c r="AJ1387" s="158" t="str">
        <f t="shared" si="879"/>
        <v/>
      </c>
      <c r="AK1387" s="150" t="str">
        <f t="shared" si="880"/>
        <v/>
      </c>
      <c r="AL1387" s="147" t="str">
        <f t="shared" si="881"/>
        <v/>
      </c>
      <c r="AM1387" s="147" t="str">
        <f t="shared" si="869"/>
        <v/>
      </c>
      <c r="AN1387" s="160" t="str">
        <f t="shared" si="882"/>
        <v/>
      </c>
      <c r="AO1387" s="161" t="str">
        <f t="shared" si="883"/>
        <v/>
      </c>
      <c r="AP1387" s="156" t="str">
        <f t="shared" si="870"/>
        <v/>
      </c>
      <c r="AQ1387" s="152"/>
      <c r="AR1387" s="162" t="str">
        <f t="shared" si="871"/>
        <v/>
      </c>
      <c r="AS1387" s="150" t="str">
        <f t="shared" si="884"/>
        <v/>
      </c>
      <c r="AT1387" s="163" t="str">
        <f t="shared" si="872"/>
        <v/>
      </c>
      <c r="AU1387" s="163" t="str">
        <f t="shared" si="873"/>
        <v/>
      </c>
      <c r="AV1387" s="163" t="str">
        <f t="shared" si="885"/>
        <v/>
      </c>
      <c r="AW1387" s="163" t="str">
        <f t="shared" si="874"/>
        <v/>
      </c>
      <c r="AX1387" s="163" t="str">
        <f t="shared" si="875"/>
        <v/>
      </c>
      <c r="AY1387" s="150" t="str">
        <f t="shared" si="886"/>
        <v/>
      </c>
      <c r="AZ1387" s="150" t="str">
        <f>IF($E1387="","",IF(OR(AND($D1387=Input!$C$6,$C1387=12),$AN1387=1),0,-AS1388+AT1388+AU1388-AV1388-AW1388-AX1388+AZ1388))</f>
        <v/>
      </c>
      <c r="BA1387" s="154" t="str">
        <f t="shared" si="876"/>
        <v/>
      </c>
      <c r="BC1387" s="147" t="str">
        <f t="shared" si="887"/>
        <v/>
      </c>
      <c r="BD1387" s="164" t="str">
        <f>IF(AND($C1386=12,$D1386=Input!$C$6),0,IF($E1387="","",AT1387+(AU1387+BD1388)/(1+$AK1387)*MIN((1-AM1387-AN1387),1)))</f>
        <v/>
      </c>
      <c r="BH1387" s="152"/>
      <c r="BI1387" s="162" t="str">
        <f t="shared" si="895"/>
        <v/>
      </c>
      <c r="BJ1387" s="150" t="str">
        <f t="shared" si="896"/>
        <v/>
      </c>
      <c r="BK1387" s="163" t="str">
        <f t="shared" si="892"/>
        <v/>
      </c>
      <c r="BL1387" s="163" t="str">
        <f t="shared" si="897"/>
        <v/>
      </c>
      <c r="BM1387" s="163" t="str">
        <f t="shared" si="893"/>
        <v/>
      </c>
      <c r="BN1387" s="163" t="str">
        <f t="shared" si="898"/>
        <v/>
      </c>
      <c r="BO1387" s="163" t="str">
        <f t="shared" si="899"/>
        <v/>
      </c>
      <c r="BP1387" s="150" t="str">
        <f t="shared" si="894"/>
        <v/>
      </c>
      <c r="BQ1387" s="150" t="str">
        <f t="shared" si="888"/>
        <v/>
      </c>
      <c r="BR1387" s="154" t="str">
        <f t="shared" si="900"/>
        <v/>
      </c>
      <c r="BT1387" s="147"/>
    </row>
    <row r="1388" spans="1:72" s="150" customFormat="1" x14ac:dyDescent="0.25">
      <c r="A1388" s="150" t="str">
        <f t="shared" si="889"/>
        <v/>
      </c>
      <c r="B1388" s="150" t="str">
        <f t="shared" si="890"/>
        <v/>
      </c>
      <c r="C1388" s="150" t="str">
        <f t="shared" si="891"/>
        <v/>
      </c>
      <c r="D1388" s="150" t="str">
        <f>IF(E1388="","",Input!$C$4+B1388-1)</f>
        <v/>
      </c>
      <c r="E1388" s="150" t="str">
        <f>IF(OR(AND(C1387=12,D1387=Input!$C$6),E1387=""),"",1)</f>
        <v/>
      </c>
      <c r="G1388" s="151" t="str">
        <f>IF(E1388="","",MAX(0,Input!$C$9-B1388))</f>
        <v/>
      </c>
      <c r="H1388" s="152" t="str">
        <f>IF(E1388="","",Input!$C$3)</f>
        <v/>
      </c>
      <c r="I1388" s="153" t="str">
        <f>IF(E1388="","",HLOOKUP($B1388,Input!$C$13:$BT$14,2))</f>
        <v/>
      </c>
      <c r="J1388" s="154"/>
      <c r="K1388" s="150" t="str">
        <f>IF($E1388="","",INDEX(Input!$C$16:$CP$16,1,$B1388))</f>
        <v/>
      </c>
      <c r="L1388" s="150" t="str">
        <f>IF($E1388="","",Input!$C$37)</f>
        <v/>
      </c>
      <c r="M1388" s="150" t="str">
        <f t="shared" si="877"/>
        <v/>
      </c>
      <c r="N1388" s="150" t="str">
        <f t="shared" si="878"/>
        <v/>
      </c>
      <c r="O1388" s="147" t="str">
        <f>IF($E1388="","",MIN(VLOOKUP(IF($B1388&lt;=Input!$C$7,$B1388,26),'Mortality Tables'!$A$41:$CW$67,IF($B1388&lt;=Input!$C$7+1,Input!$C$4+2,$D1388-Input!$C$7+2),0)*IF(B1388&gt;20,Input!$C$22,1)/1000,1))</f>
        <v/>
      </c>
      <c r="P1388" s="147" t="str">
        <f>IF($E1388="","",MIN(VLOOKUP(IF($B1388&lt;=Input!$C$7,$B1388,26),'Mortality Tables'!$A$12:$CW$37,IF($B1388&lt;=Input!$C$7+1,Input!$C$4+2,$D1388-Input!$C$7+2),0)*IF(B1388&gt;20,Input!$C$22,1)/1000,1))</f>
        <v/>
      </c>
      <c r="Q1388" s="155" t="str">
        <f>IF($E1388="","",Input!$C$21)</f>
        <v/>
      </c>
      <c r="R1388" s="159" t="str">
        <f>IF($E1388="","",(1-Q1388)^($F1388-Input!$C$20))</f>
        <v/>
      </c>
      <c r="S1388" s="147" t="str">
        <f t="shared" si="866"/>
        <v/>
      </c>
      <c r="T1388" s="147" t="str">
        <f t="shared" si="867"/>
        <v/>
      </c>
      <c r="U1388" s="160" t="str">
        <f>IF($E1388="","",IF($C1388=12,INDEX(Input!$C$15:$CP$15,1,$B1388),0))</f>
        <v/>
      </c>
      <c r="V1388" s="150" t="str">
        <f>IF(E1388="","",IF(C1388=1,IF($B1388=1,Input!$C$33,Input!$C$34),0))</f>
        <v/>
      </c>
      <c r="W1388" s="156" t="str">
        <f>IF($E1388="","",Input!$C$35)</f>
        <v/>
      </c>
      <c r="X1388" s="156" t="str">
        <f t="shared" si="868"/>
        <v/>
      </c>
      <c r="Y1388" s="154"/>
      <c r="Z1388" s="147" t="str">
        <f>IF($E1388="","",VLOOKUP($D1388,'Mortality Margins &amp; Grading'!$AB$5:$AF$125,3,0)*IF(Summary!$D$25="Included Margin",IF(AND($B1388&gt;Input!$C$9,Summary!$D$31&lt;&gt;"Included Margin"),0,1),0))</f>
        <v/>
      </c>
      <c r="AA1388" s="147" t="str">
        <f>IF($E1388="","",VLOOKUP($D1388,'Mortality Margins &amp; Grading'!$AB$5:$AF$125,5,0)*IF(Summary!$D$25="Included Margin",IF(AND($B1388&gt;Input!$C$9,Summary!$D$31&lt;&gt;"Included Margin"),0,1),0))</f>
        <v/>
      </c>
      <c r="AB1388" s="147" t="str">
        <f>IF($E1388="","",IF(AND($B1388&gt;Input!$C$9,Summary!$D$31&lt;&gt;"Included Margin"),1,IF(Summary!$D$25="Included Margin",VLOOKUP($B1388,'Mortality Margins &amp; Grading'!$AI$5:$AR$125,MATCH('Mortality Margins &amp; Grading'!$AQ$4,'Mortality Margins &amp; Grading'!$AI$4:$AR$4,0),0),1)))</f>
        <v/>
      </c>
      <c r="AC1388" s="154"/>
      <c r="AD1388" s="158" t="str">
        <f>IF(E1388="","",Input!$C$48*IF(Summary!$D$30="Included Margin",IF(AND($B1388&gt;Input!$C$9,Summary!$D$31&lt;&gt;"Included Margin"),0,1),0))</f>
        <v/>
      </c>
      <c r="AE1388" s="159" t="str">
        <f>IF(E1388="","",IF(Summary!$D$26="Included Margin",IF(AND($B1388&gt;Input!$C$9,Summary!$D$31&lt;&gt;"Included Margin"),1,1/$R1388),1))</f>
        <v/>
      </c>
      <c r="AF1388" s="160" t="str">
        <f>IF(E1388="","",IF(AND($B1388&gt;=Input!$C$9,$C1388=12,Summary!$D$31="Included Margin",$U1388&gt;0),1/U1388-1,IF($B1388&gt;=Input!$C$9,0,Input!$C$45*IF(Summary!$D$27="Included Margin",1,0))))</f>
        <v/>
      </c>
      <c r="AG1388" s="160" t="str">
        <f>IF(E1388="","",Input!$C$46*IF(Summary!$D$28="Included Margin",IF(AND($B1388&gt;Input!$C$9,Summary!$D$31&lt;&gt;"Included Margin"),0,1),0))</f>
        <v/>
      </c>
      <c r="AH1388" s="158" t="str">
        <f>IF(E1388="","",Input!$C$47*IF(Summary!$D$29="Included Margin",IF(AND($B1388&gt;Input!$C$9,Summary!$D$31&lt;&gt;"Included Margin"),0,1),0))</f>
        <v/>
      </c>
      <c r="AI1388" s="154"/>
      <c r="AJ1388" s="158" t="str">
        <f t="shared" si="879"/>
        <v/>
      </c>
      <c r="AK1388" s="150" t="str">
        <f t="shared" si="880"/>
        <v/>
      </c>
      <c r="AL1388" s="147" t="str">
        <f t="shared" si="881"/>
        <v/>
      </c>
      <c r="AM1388" s="147" t="str">
        <f t="shared" si="869"/>
        <v/>
      </c>
      <c r="AN1388" s="160" t="str">
        <f t="shared" si="882"/>
        <v/>
      </c>
      <c r="AO1388" s="161" t="str">
        <f t="shared" si="883"/>
        <v/>
      </c>
      <c r="AP1388" s="156" t="str">
        <f t="shared" si="870"/>
        <v/>
      </c>
      <c r="AQ1388" s="152"/>
      <c r="AR1388" s="162" t="str">
        <f t="shared" si="871"/>
        <v/>
      </c>
      <c r="AS1388" s="150" t="str">
        <f t="shared" si="884"/>
        <v/>
      </c>
      <c r="AT1388" s="163" t="str">
        <f t="shared" si="872"/>
        <v/>
      </c>
      <c r="AU1388" s="163" t="str">
        <f t="shared" si="873"/>
        <v/>
      </c>
      <c r="AV1388" s="163" t="str">
        <f t="shared" si="885"/>
        <v/>
      </c>
      <c r="AW1388" s="163" t="str">
        <f t="shared" si="874"/>
        <v/>
      </c>
      <c r="AX1388" s="163" t="str">
        <f t="shared" si="875"/>
        <v/>
      </c>
      <c r="AY1388" s="150" t="str">
        <f t="shared" si="886"/>
        <v/>
      </c>
      <c r="AZ1388" s="150" t="str">
        <f>IF($E1388="","",IF(OR(AND($D1388=Input!$C$6,$C1388=12),$AN1388=1),0,-AS1389+AT1389+AU1389-AV1389-AW1389-AX1389+AZ1389))</f>
        <v/>
      </c>
      <c r="BA1388" s="154" t="str">
        <f t="shared" si="876"/>
        <v/>
      </c>
      <c r="BC1388" s="147" t="str">
        <f t="shared" si="887"/>
        <v/>
      </c>
      <c r="BD1388" s="164" t="str">
        <f>IF(AND($C1387=12,$D1387=Input!$C$6),0,IF($E1388="","",AT1388+(AU1388+BD1389)/(1+$AK1388)*MIN((1-AM1388-AN1388),1)))</f>
        <v/>
      </c>
      <c r="BH1388" s="152"/>
      <c r="BI1388" s="162" t="str">
        <f t="shared" si="895"/>
        <v/>
      </c>
      <c r="BJ1388" s="150" t="str">
        <f t="shared" si="896"/>
        <v/>
      </c>
      <c r="BK1388" s="163" t="str">
        <f t="shared" si="892"/>
        <v/>
      </c>
      <c r="BL1388" s="163" t="str">
        <f t="shared" si="897"/>
        <v/>
      </c>
      <c r="BM1388" s="163" t="str">
        <f t="shared" si="893"/>
        <v/>
      </c>
      <c r="BN1388" s="163" t="str">
        <f t="shared" si="898"/>
        <v/>
      </c>
      <c r="BO1388" s="163" t="str">
        <f t="shared" si="899"/>
        <v/>
      </c>
      <c r="BP1388" s="150" t="str">
        <f t="shared" si="894"/>
        <v/>
      </c>
      <c r="BQ1388" s="150" t="str">
        <f t="shared" si="888"/>
        <v/>
      </c>
      <c r="BR1388" s="154" t="str">
        <f t="shared" si="900"/>
        <v/>
      </c>
      <c r="BT1388" s="147"/>
    </row>
    <row r="1389" spans="1:72" s="150" customFormat="1" x14ac:dyDescent="0.25">
      <c r="A1389" s="150" t="str">
        <f t="shared" si="889"/>
        <v/>
      </c>
      <c r="B1389" s="150" t="str">
        <f t="shared" si="890"/>
        <v/>
      </c>
      <c r="C1389" s="150" t="str">
        <f t="shared" si="891"/>
        <v/>
      </c>
      <c r="D1389" s="150" t="str">
        <f>IF(E1389="","",Input!$C$4+B1389-1)</f>
        <v/>
      </c>
      <c r="E1389" s="150" t="str">
        <f>IF(OR(AND(C1388=12,D1388=Input!$C$6),E1388=""),"",1)</f>
        <v/>
      </c>
      <c r="G1389" s="151" t="str">
        <f>IF(E1389="","",MAX(0,Input!$C$9-B1389))</f>
        <v/>
      </c>
      <c r="H1389" s="152" t="str">
        <f>IF(E1389="","",Input!$C$3)</f>
        <v/>
      </c>
      <c r="I1389" s="153" t="str">
        <f>IF(E1389="","",HLOOKUP($B1389,Input!$C$13:$BT$14,2))</f>
        <v/>
      </c>
      <c r="J1389" s="154"/>
      <c r="K1389" s="150" t="str">
        <f>IF($E1389="","",INDEX(Input!$C$16:$CP$16,1,$B1389))</f>
        <v/>
      </c>
      <c r="L1389" s="150" t="str">
        <f>IF($E1389="","",Input!$C$37)</f>
        <v/>
      </c>
      <c r="M1389" s="150" t="str">
        <f t="shared" si="877"/>
        <v/>
      </c>
      <c r="N1389" s="150" t="str">
        <f t="shared" si="878"/>
        <v/>
      </c>
      <c r="O1389" s="147" t="str">
        <f>IF($E1389="","",MIN(VLOOKUP(IF($B1389&lt;=Input!$C$7,$B1389,26),'Mortality Tables'!$A$41:$CW$67,IF($B1389&lt;=Input!$C$7+1,Input!$C$4+2,$D1389-Input!$C$7+2),0)*IF(B1389&gt;20,Input!$C$22,1)/1000,1))</f>
        <v/>
      </c>
      <c r="P1389" s="147" t="str">
        <f>IF($E1389="","",MIN(VLOOKUP(IF($B1389&lt;=Input!$C$7,$B1389,26),'Mortality Tables'!$A$12:$CW$37,IF($B1389&lt;=Input!$C$7+1,Input!$C$4+2,$D1389-Input!$C$7+2),0)*IF(B1389&gt;20,Input!$C$22,1)/1000,1))</f>
        <v/>
      </c>
      <c r="Q1389" s="155" t="str">
        <f>IF($E1389="","",Input!$C$21)</f>
        <v/>
      </c>
      <c r="R1389" s="159" t="str">
        <f>IF($E1389="","",(1-Q1389)^($F1389-Input!$C$20))</f>
        <v/>
      </c>
      <c r="S1389" s="147" t="str">
        <f t="shared" si="866"/>
        <v/>
      </c>
      <c r="T1389" s="147" t="str">
        <f t="shared" si="867"/>
        <v/>
      </c>
      <c r="U1389" s="160" t="str">
        <f>IF($E1389="","",IF($C1389=12,INDEX(Input!$C$15:$CP$15,1,$B1389),0))</f>
        <v/>
      </c>
      <c r="V1389" s="150" t="str">
        <f>IF(E1389="","",IF(C1389=1,IF($B1389=1,Input!$C$33,Input!$C$34),0))</f>
        <v/>
      </c>
      <c r="W1389" s="156" t="str">
        <f>IF($E1389="","",Input!$C$35)</f>
        <v/>
      </c>
      <c r="X1389" s="156" t="str">
        <f t="shared" si="868"/>
        <v/>
      </c>
      <c r="Y1389" s="154"/>
      <c r="Z1389" s="147" t="str">
        <f>IF($E1389="","",VLOOKUP($D1389,'Mortality Margins &amp; Grading'!$AB$5:$AF$125,3,0)*IF(Summary!$D$25="Included Margin",IF(AND($B1389&gt;Input!$C$9,Summary!$D$31&lt;&gt;"Included Margin"),0,1),0))</f>
        <v/>
      </c>
      <c r="AA1389" s="147" t="str">
        <f>IF($E1389="","",VLOOKUP($D1389,'Mortality Margins &amp; Grading'!$AB$5:$AF$125,5,0)*IF(Summary!$D$25="Included Margin",IF(AND($B1389&gt;Input!$C$9,Summary!$D$31&lt;&gt;"Included Margin"),0,1),0))</f>
        <v/>
      </c>
      <c r="AB1389" s="147" t="str">
        <f>IF($E1389="","",IF(AND($B1389&gt;Input!$C$9,Summary!$D$31&lt;&gt;"Included Margin"),1,IF(Summary!$D$25="Included Margin",VLOOKUP($B1389,'Mortality Margins &amp; Grading'!$AI$5:$AR$125,MATCH('Mortality Margins &amp; Grading'!$AQ$4,'Mortality Margins &amp; Grading'!$AI$4:$AR$4,0),0),1)))</f>
        <v/>
      </c>
      <c r="AC1389" s="154"/>
      <c r="AD1389" s="158" t="str">
        <f>IF(E1389="","",Input!$C$48*IF(Summary!$D$30="Included Margin",IF(AND($B1389&gt;Input!$C$9,Summary!$D$31&lt;&gt;"Included Margin"),0,1),0))</f>
        <v/>
      </c>
      <c r="AE1389" s="159" t="str">
        <f>IF(E1389="","",IF(Summary!$D$26="Included Margin",IF(AND($B1389&gt;Input!$C$9,Summary!$D$31&lt;&gt;"Included Margin"),1,1/$R1389),1))</f>
        <v/>
      </c>
      <c r="AF1389" s="160" t="str">
        <f>IF(E1389="","",IF(AND($B1389&gt;=Input!$C$9,$C1389=12,Summary!$D$31="Included Margin",$U1389&gt;0),1/U1389-1,IF($B1389&gt;=Input!$C$9,0,Input!$C$45*IF(Summary!$D$27="Included Margin",1,0))))</f>
        <v/>
      </c>
      <c r="AG1389" s="160" t="str">
        <f>IF(E1389="","",Input!$C$46*IF(Summary!$D$28="Included Margin",IF(AND($B1389&gt;Input!$C$9,Summary!$D$31&lt;&gt;"Included Margin"),0,1),0))</f>
        <v/>
      </c>
      <c r="AH1389" s="158" t="str">
        <f>IF(E1389="","",Input!$C$47*IF(Summary!$D$29="Included Margin",IF(AND($B1389&gt;Input!$C$9,Summary!$D$31&lt;&gt;"Included Margin"),0,1),0))</f>
        <v/>
      </c>
      <c r="AI1389" s="154"/>
      <c r="AJ1389" s="158" t="str">
        <f t="shared" si="879"/>
        <v/>
      </c>
      <c r="AK1389" s="150" t="str">
        <f t="shared" si="880"/>
        <v/>
      </c>
      <c r="AL1389" s="147" t="str">
        <f t="shared" si="881"/>
        <v/>
      </c>
      <c r="AM1389" s="147" t="str">
        <f t="shared" si="869"/>
        <v/>
      </c>
      <c r="AN1389" s="160" t="str">
        <f t="shared" si="882"/>
        <v/>
      </c>
      <c r="AO1389" s="161" t="str">
        <f t="shared" si="883"/>
        <v/>
      </c>
      <c r="AP1389" s="156" t="str">
        <f t="shared" si="870"/>
        <v/>
      </c>
      <c r="AQ1389" s="152"/>
      <c r="AR1389" s="162" t="str">
        <f t="shared" si="871"/>
        <v/>
      </c>
      <c r="AS1389" s="150" t="str">
        <f t="shared" si="884"/>
        <v/>
      </c>
      <c r="AT1389" s="163" t="str">
        <f t="shared" si="872"/>
        <v/>
      </c>
      <c r="AU1389" s="163" t="str">
        <f t="shared" si="873"/>
        <v/>
      </c>
      <c r="AV1389" s="163" t="str">
        <f t="shared" si="885"/>
        <v/>
      </c>
      <c r="AW1389" s="163" t="str">
        <f t="shared" si="874"/>
        <v/>
      </c>
      <c r="AX1389" s="163" t="str">
        <f t="shared" si="875"/>
        <v/>
      </c>
      <c r="AY1389" s="150" t="str">
        <f t="shared" si="886"/>
        <v/>
      </c>
      <c r="AZ1389" s="150" t="str">
        <f>IF($E1389="","",IF(OR(AND($D1389=Input!$C$6,$C1389=12),$AN1389=1),0,-AS1390+AT1390+AU1390-AV1390-AW1390-AX1390+AZ1390))</f>
        <v/>
      </c>
      <c r="BA1389" s="154" t="str">
        <f t="shared" si="876"/>
        <v/>
      </c>
      <c r="BC1389" s="147" t="str">
        <f t="shared" si="887"/>
        <v/>
      </c>
      <c r="BD1389" s="164" t="str">
        <f>IF(AND($C1388=12,$D1388=Input!$C$6),0,IF($E1389="","",AT1389+(AU1389+BD1390)/(1+$AK1389)*MIN((1-AM1389-AN1389),1)))</f>
        <v/>
      </c>
      <c r="BH1389" s="152"/>
      <c r="BI1389" s="162" t="str">
        <f t="shared" si="895"/>
        <v/>
      </c>
      <c r="BJ1389" s="150" t="str">
        <f t="shared" si="896"/>
        <v/>
      </c>
      <c r="BK1389" s="163" t="str">
        <f t="shared" si="892"/>
        <v/>
      </c>
      <c r="BL1389" s="163" t="str">
        <f t="shared" si="897"/>
        <v/>
      </c>
      <c r="BM1389" s="163" t="str">
        <f t="shared" si="893"/>
        <v/>
      </c>
      <c r="BN1389" s="163" t="str">
        <f t="shared" si="898"/>
        <v/>
      </c>
      <c r="BO1389" s="163" t="str">
        <f t="shared" si="899"/>
        <v/>
      </c>
      <c r="BP1389" s="150" t="str">
        <f t="shared" si="894"/>
        <v/>
      </c>
      <c r="BQ1389" s="150" t="str">
        <f t="shared" si="888"/>
        <v/>
      </c>
      <c r="BR1389" s="154" t="str">
        <f t="shared" si="900"/>
        <v/>
      </c>
      <c r="BT1389" s="147"/>
    </row>
    <row r="1390" spans="1:72" s="150" customFormat="1" x14ac:dyDescent="0.25">
      <c r="A1390" s="150" t="str">
        <f t="shared" si="889"/>
        <v/>
      </c>
      <c r="B1390" s="150" t="str">
        <f t="shared" si="890"/>
        <v/>
      </c>
      <c r="C1390" s="150" t="str">
        <f t="shared" si="891"/>
        <v/>
      </c>
      <c r="D1390" s="150" t="str">
        <f>IF(E1390="","",Input!$C$4+B1390-1)</f>
        <v/>
      </c>
      <c r="E1390" s="150" t="str">
        <f>IF(OR(AND(C1389=12,D1389=Input!$C$6),E1389=""),"",1)</f>
        <v/>
      </c>
      <c r="G1390" s="151" t="str">
        <f>IF(E1390="","",MAX(0,Input!$C$9-B1390))</f>
        <v/>
      </c>
      <c r="H1390" s="152" t="str">
        <f>IF(E1390="","",Input!$C$3)</f>
        <v/>
      </c>
      <c r="I1390" s="153" t="str">
        <f>IF(E1390="","",HLOOKUP($B1390,Input!$C$13:$BT$14,2))</f>
        <v/>
      </c>
      <c r="J1390" s="154"/>
      <c r="K1390" s="150" t="str">
        <f>IF($E1390="","",INDEX(Input!$C$16:$CP$16,1,$B1390))</f>
        <v/>
      </c>
      <c r="L1390" s="150" t="str">
        <f>IF($E1390="","",Input!$C$37)</f>
        <v/>
      </c>
      <c r="M1390" s="150" t="str">
        <f t="shared" si="877"/>
        <v/>
      </c>
      <c r="N1390" s="150" t="str">
        <f t="shared" si="878"/>
        <v/>
      </c>
      <c r="O1390" s="147" t="str">
        <f>IF($E1390="","",MIN(VLOOKUP(IF($B1390&lt;=Input!$C$7,$B1390,26),'Mortality Tables'!$A$41:$CW$67,IF($B1390&lt;=Input!$C$7+1,Input!$C$4+2,$D1390-Input!$C$7+2),0)*IF(B1390&gt;20,Input!$C$22,1)/1000,1))</f>
        <v/>
      </c>
      <c r="P1390" s="147" t="str">
        <f>IF($E1390="","",MIN(VLOOKUP(IF($B1390&lt;=Input!$C$7,$B1390,26),'Mortality Tables'!$A$12:$CW$37,IF($B1390&lt;=Input!$C$7+1,Input!$C$4+2,$D1390-Input!$C$7+2),0)*IF(B1390&gt;20,Input!$C$22,1)/1000,1))</f>
        <v/>
      </c>
      <c r="Q1390" s="155" t="str">
        <f>IF($E1390="","",Input!$C$21)</f>
        <v/>
      </c>
      <c r="R1390" s="159" t="str">
        <f>IF($E1390="","",(1-Q1390)^($F1390-Input!$C$20))</f>
        <v/>
      </c>
      <c r="S1390" s="147" t="str">
        <f t="shared" si="866"/>
        <v/>
      </c>
      <c r="T1390" s="147" t="str">
        <f t="shared" si="867"/>
        <v/>
      </c>
      <c r="U1390" s="160" t="str">
        <f>IF($E1390="","",IF($C1390=12,INDEX(Input!$C$15:$CP$15,1,$B1390),0))</f>
        <v/>
      </c>
      <c r="V1390" s="150" t="str">
        <f>IF(E1390="","",IF(C1390=1,IF($B1390=1,Input!$C$33,Input!$C$34),0))</f>
        <v/>
      </c>
      <c r="W1390" s="156" t="str">
        <f>IF($E1390="","",Input!$C$35)</f>
        <v/>
      </c>
      <c r="X1390" s="156" t="str">
        <f t="shared" si="868"/>
        <v/>
      </c>
      <c r="Y1390" s="154"/>
      <c r="Z1390" s="147" t="str">
        <f>IF($E1390="","",VLOOKUP($D1390,'Mortality Margins &amp; Grading'!$AB$5:$AF$125,3,0)*IF(Summary!$D$25="Included Margin",IF(AND($B1390&gt;Input!$C$9,Summary!$D$31&lt;&gt;"Included Margin"),0,1),0))</f>
        <v/>
      </c>
      <c r="AA1390" s="147" t="str">
        <f>IF($E1390="","",VLOOKUP($D1390,'Mortality Margins &amp; Grading'!$AB$5:$AF$125,5,0)*IF(Summary!$D$25="Included Margin",IF(AND($B1390&gt;Input!$C$9,Summary!$D$31&lt;&gt;"Included Margin"),0,1),0))</f>
        <v/>
      </c>
      <c r="AB1390" s="147" t="str">
        <f>IF($E1390="","",IF(AND($B1390&gt;Input!$C$9,Summary!$D$31&lt;&gt;"Included Margin"),1,IF(Summary!$D$25="Included Margin",VLOOKUP($B1390,'Mortality Margins &amp; Grading'!$AI$5:$AR$125,MATCH('Mortality Margins &amp; Grading'!$AQ$4,'Mortality Margins &amp; Grading'!$AI$4:$AR$4,0),0),1)))</f>
        <v/>
      </c>
      <c r="AC1390" s="154"/>
      <c r="AD1390" s="158" t="str">
        <f>IF(E1390="","",Input!$C$48*IF(Summary!$D$30="Included Margin",IF(AND($B1390&gt;Input!$C$9,Summary!$D$31&lt;&gt;"Included Margin"),0,1),0))</f>
        <v/>
      </c>
      <c r="AE1390" s="159" t="str">
        <f>IF(E1390="","",IF(Summary!$D$26="Included Margin",IF(AND($B1390&gt;Input!$C$9,Summary!$D$31&lt;&gt;"Included Margin"),1,1/$R1390),1))</f>
        <v/>
      </c>
      <c r="AF1390" s="160" t="str">
        <f>IF(E1390="","",IF(AND($B1390&gt;=Input!$C$9,$C1390=12,Summary!$D$31="Included Margin",$U1390&gt;0),1/U1390-1,IF($B1390&gt;=Input!$C$9,0,Input!$C$45*IF(Summary!$D$27="Included Margin",1,0))))</f>
        <v/>
      </c>
      <c r="AG1390" s="160" t="str">
        <f>IF(E1390="","",Input!$C$46*IF(Summary!$D$28="Included Margin",IF(AND($B1390&gt;Input!$C$9,Summary!$D$31&lt;&gt;"Included Margin"),0,1),0))</f>
        <v/>
      </c>
      <c r="AH1390" s="158" t="str">
        <f>IF(E1390="","",Input!$C$47*IF(Summary!$D$29="Included Margin",IF(AND($B1390&gt;Input!$C$9,Summary!$D$31&lt;&gt;"Included Margin"),0,1),0))</f>
        <v/>
      </c>
      <c r="AI1390" s="154"/>
      <c r="AJ1390" s="158" t="str">
        <f t="shared" si="879"/>
        <v/>
      </c>
      <c r="AK1390" s="150" t="str">
        <f t="shared" si="880"/>
        <v/>
      </c>
      <c r="AL1390" s="147" t="str">
        <f t="shared" si="881"/>
        <v/>
      </c>
      <c r="AM1390" s="147" t="str">
        <f t="shared" si="869"/>
        <v/>
      </c>
      <c r="AN1390" s="160" t="str">
        <f t="shared" si="882"/>
        <v/>
      </c>
      <c r="AO1390" s="161" t="str">
        <f t="shared" si="883"/>
        <v/>
      </c>
      <c r="AP1390" s="156" t="str">
        <f t="shared" si="870"/>
        <v/>
      </c>
      <c r="AQ1390" s="152"/>
      <c r="AR1390" s="162" t="str">
        <f t="shared" si="871"/>
        <v/>
      </c>
      <c r="AS1390" s="150" t="str">
        <f t="shared" si="884"/>
        <v/>
      </c>
      <c r="AT1390" s="163" t="str">
        <f t="shared" si="872"/>
        <v/>
      </c>
      <c r="AU1390" s="163" t="str">
        <f t="shared" si="873"/>
        <v/>
      </c>
      <c r="AV1390" s="163" t="str">
        <f t="shared" si="885"/>
        <v/>
      </c>
      <c r="AW1390" s="163" t="str">
        <f t="shared" si="874"/>
        <v/>
      </c>
      <c r="AX1390" s="163" t="str">
        <f t="shared" si="875"/>
        <v/>
      </c>
      <c r="AY1390" s="150" t="str">
        <f t="shared" si="886"/>
        <v/>
      </c>
      <c r="AZ1390" s="150" t="str">
        <f>IF($E1390="","",IF(OR(AND($D1390=Input!$C$6,$C1390=12),$AN1390=1),0,-AS1391+AT1391+AU1391-AV1391-AW1391-AX1391+AZ1391))</f>
        <v/>
      </c>
      <c r="BA1390" s="154" t="str">
        <f t="shared" si="876"/>
        <v/>
      </c>
      <c r="BC1390" s="147" t="str">
        <f t="shared" si="887"/>
        <v/>
      </c>
      <c r="BD1390" s="164" t="str">
        <f>IF(AND($C1389=12,$D1389=Input!$C$6),0,IF($E1390="","",AT1390+(AU1390+BD1391)/(1+$AK1390)*MIN((1-AM1390-AN1390),1)))</f>
        <v/>
      </c>
      <c r="BH1390" s="152"/>
      <c r="BI1390" s="162" t="str">
        <f t="shared" si="895"/>
        <v/>
      </c>
      <c r="BJ1390" s="150" t="str">
        <f t="shared" si="896"/>
        <v/>
      </c>
      <c r="BK1390" s="163" t="str">
        <f t="shared" si="892"/>
        <v/>
      </c>
      <c r="BL1390" s="163" t="str">
        <f t="shared" si="897"/>
        <v/>
      </c>
      <c r="BM1390" s="163" t="str">
        <f t="shared" si="893"/>
        <v/>
      </c>
      <c r="BN1390" s="163" t="str">
        <f t="shared" si="898"/>
        <v/>
      </c>
      <c r="BO1390" s="163" t="str">
        <f t="shared" si="899"/>
        <v/>
      </c>
      <c r="BP1390" s="150" t="str">
        <f t="shared" si="894"/>
        <v/>
      </c>
      <c r="BQ1390" s="150" t="str">
        <f t="shared" si="888"/>
        <v/>
      </c>
      <c r="BR1390" s="154" t="str">
        <f t="shared" si="900"/>
        <v/>
      </c>
      <c r="BT1390" s="147"/>
    </row>
    <row r="1391" spans="1:72" s="150" customFormat="1" x14ac:dyDescent="0.25">
      <c r="A1391" s="150" t="str">
        <f t="shared" si="889"/>
        <v/>
      </c>
      <c r="B1391" s="150" t="str">
        <f t="shared" si="890"/>
        <v/>
      </c>
      <c r="C1391" s="150" t="str">
        <f t="shared" si="891"/>
        <v/>
      </c>
      <c r="D1391" s="150" t="str">
        <f>IF(E1391="","",Input!$C$4+B1391-1)</f>
        <v/>
      </c>
      <c r="E1391" s="150" t="str">
        <f>IF(OR(AND(C1390=12,D1390=Input!$C$6),E1390=""),"",1)</f>
        <v/>
      </c>
      <c r="G1391" s="151" t="str">
        <f>IF(E1391="","",MAX(0,Input!$C$9-B1391))</f>
        <v/>
      </c>
      <c r="H1391" s="152" t="str">
        <f>IF(E1391="","",Input!$C$3)</f>
        <v/>
      </c>
      <c r="I1391" s="153" t="str">
        <f>IF(E1391="","",HLOOKUP($B1391,Input!$C$13:$BT$14,2))</f>
        <v/>
      </c>
      <c r="J1391" s="154"/>
      <c r="K1391" s="150" t="str">
        <f>IF($E1391="","",INDEX(Input!$C$16:$CP$16,1,$B1391))</f>
        <v/>
      </c>
      <c r="L1391" s="150" t="str">
        <f>IF($E1391="","",Input!$C$37)</f>
        <v/>
      </c>
      <c r="M1391" s="150" t="str">
        <f t="shared" si="877"/>
        <v/>
      </c>
      <c r="N1391" s="150" t="str">
        <f t="shared" si="878"/>
        <v/>
      </c>
      <c r="O1391" s="147" t="str">
        <f>IF($E1391="","",MIN(VLOOKUP(IF($B1391&lt;=Input!$C$7,$B1391,26),'Mortality Tables'!$A$41:$CW$67,IF($B1391&lt;=Input!$C$7+1,Input!$C$4+2,$D1391-Input!$C$7+2),0)*IF(B1391&gt;20,Input!$C$22,1)/1000,1))</f>
        <v/>
      </c>
      <c r="P1391" s="147" t="str">
        <f>IF($E1391="","",MIN(VLOOKUP(IF($B1391&lt;=Input!$C$7,$B1391,26),'Mortality Tables'!$A$12:$CW$37,IF($B1391&lt;=Input!$C$7+1,Input!$C$4+2,$D1391-Input!$C$7+2),0)*IF(B1391&gt;20,Input!$C$22,1)/1000,1))</f>
        <v/>
      </c>
      <c r="Q1391" s="155" t="str">
        <f>IF($E1391="","",Input!$C$21)</f>
        <v/>
      </c>
      <c r="R1391" s="159" t="str">
        <f>IF($E1391="","",(1-Q1391)^($F1391-Input!$C$20))</f>
        <v/>
      </c>
      <c r="S1391" s="147" t="str">
        <f t="shared" si="866"/>
        <v/>
      </c>
      <c r="T1391" s="147" t="str">
        <f t="shared" si="867"/>
        <v/>
      </c>
      <c r="U1391" s="160" t="str">
        <f>IF($E1391="","",IF($C1391=12,INDEX(Input!$C$15:$CP$15,1,$B1391),0))</f>
        <v/>
      </c>
      <c r="V1391" s="150" t="str">
        <f>IF(E1391="","",IF(C1391=1,IF($B1391=1,Input!$C$33,Input!$C$34),0))</f>
        <v/>
      </c>
      <c r="W1391" s="156" t="str">
        <f>IF($E1391="","",Input!$C$35)</f>
        <v/>
      </c>
      <c r="X1391" s="156" t="str">
        <f t="shared" si="868"/>
        <v/>
      </c>
      <c r="Y1391" s="154"/>
      <c r="Z1391" s="147" t="str">
        <f>IF($E1391="","",VLOOKUP($D1391,'Mortality Margins &amp; Grading'!$AB$5:$AF$125,3,0)*IF(Summary!$D$25="Included Margin",IF(AND($B1391&gt;Input!$C$9,Summary!$D$31&lt;&gt;"Included Margin"),0,1),0))</f>
        <v/>
      </c>
      <c r="AA1391" s="147" t="str">
        <f>IF($E1391="","",VLOOKUP($D1391,'Mortality Margins &amp; Grading'!$AB$5:$AF$125,5,0)*IF(Summary!$D$25="Included Margin",IF(AND($B1391&gt;Input!$C$9,Summary!$D$31&lt;&gt;"Included Margin"),0,1),0))</f>
        <v/>
      </c>
      <c r="AB1391" s="147" t="str">
        <f>IF($E1391="","",IF(AND($B1391&gt;Input!$C$9,Summary!$D$31&lt;&gt;"Included Margin"),1,IF(Summary!$D$25="Included Margin",VLOOKUP($B1391,'Mortality Margins &amp; Grading'!$AI$5:$AR$125,MATCH('Mortality Margins &amp; Grading'!$AQ$4,'Mortality Margins &amp; Grading'!$AI$4:$AR$4,0),0),1)))</f>
        <v/>
      </c>
      <c r="AC1391" s="154"/>
      <c r="AD1391" s="158" t="str">
        <f>IF(E1391="","",Input!$C$48*IF(Summary!$D$30="Included Margin",IF(AND($B1391&gt;Input!$C$9,Summary!$D$31&lt;&gt;"Included Margin"),0,1),0))</f>
        <v/>
      </c>
      <c r="AE1391" s="159" t="str">
        <f>IF(E1391="","",IF(Summary!$D$26="Included Margin",IF(AND($B1391&gt;Input!$C$9,Summary!$D$31&lt;&gt;"Included Margin"),1,1/$R1391),1))</f>
        <v/>
      </c>
      <c r="AF1391" s="160" t="str">
        <f>IF(E1391="","",IF(AND($B1391&gt;=Input!$C$9,$C1391=12,Summary!$D$31="Included Margin",$U1391&gt;0),1/U1391-1,IF($B1391&gt;=Input!$C$9,0,Input!$C$45*IF(Summary!$D$27="Included Margin",1,0))))</f>
        <v/>
      </c>
      <c r="AG1391" s="160" t="str">
        <f>IF(E1391="","",Input!$C$46*IF(Summary!$D$28="Included Margin",IF(AND($B1391&gt;Input!$C$9,Summary!$D$31&lt;&gt;"Included Margin"),0,1),0))</f>
        <v/>
      </c>
      <c r="AH1391" s="158" t="str">
        <f>IF(E1391="","",Input!$C$47*IF(Summary!$D$29="Included Margin",IF(AND($B1391&gt;Input!$C$9,Summary!$D$31&lt;&gt;"Included Margin"),0,1),0))</f>
        <v/>
      </c>
      <c r="AI1391" s="154"/>
      <c r="AJ1391" s="158" t="str">
        <f t="shared" si="879"/>
        <v/>
      </c>
      <c r="AK1391" s="150" t="str">
        <f t="shared" si="880"/>
        <v/>
      </c>
      <c r="AL1391" s="147" t="str">
        <f t="shared" si="881"/>
        <v/>
      </c>
      <c r="AM1391" s="147" t="str">
        <f t="shared" si="869"/>
        <v/>
      </c>
      <c r="AN1391" s="160" t="str">
        <f t="shared" si="882"/>
        <v/>
      </c>
      <c r="AO1391" s="161" t="str">
        <f t="shared" si="883"/>
        <v/>
      </c>
      <c r="AP1391" s="156" t="str">
        <f t="shared" si="870"/>
        <v/>
      </c>
      <c r="AQ1391" s="152"/>
      <c r="AR1391" s="162" t="str">
        <f t="shared" si="871"/>
        <v/>
      </c>
      <c r="AS1391" s="150" t="str">
        <f t="shared" si="884"/>
        <v/>
      </c>
      <c r="AT1391" s="163" t="str">
        <f t="shared" si="872"/>
        <v/>
      </c>
      <c r="AU1391" s="163" t="str">
        <f t="shared" si="873"/>
        <v/>
      </c>
      <c r="AV1391" s="163" t="str">
        <f t="shared" si="885"/>
        <v/>
      </c>
      <c r="AW1391" s="163" t="str">
        <f t="shared" si="874"/>
        <v/>
      </c>
      <c r="AX1391" s="163" t="str">
        <f t="shared" si="875"/>
        <v/>
      </c>
      <c r="AY1391" s="150" t="str">
        <f t="shared" si="886"/>
        <v/>
      </c>
      <c r="AZ1391" s="150" t="str">
        <f>IF($E1391="","",IF(OR(AND($D1391=Input!$C$6,$C1391=12),$AN1391=1),0,-AS1392+AT1392+AU1392-AV1392-AW1392-AX1392+AZ1392))</f>
        <v/>
      </c>
      <c r="BA1391" s="154" t="str">
        <f t="shared" si="876"/>
        <v/>
      </c>
      <c r="BC1391" s="147" t="str">
        <f t="shared" si="887"/>
        <v/>
      </c>
      <c r="BD1391" s="164" t="str">
        <f>IF(AND($C1390=12,$D1390=Input!$C$6),0,IF($E1391="","",AT1391+(AU1391+BD1392)/(1+$AK1391)*MIN((1-AM1391-AN1391),1)))</f>
        <v/>
      </c>
      <c r="BH1391" s="152"/>
      <c r="BI1391" s="162" t="str">
        <f t="shared" si="895"/>
        <v/>
      </c>
      <c r="BJ1391" s="150" t="str">
        <f t="shared" si="896"/>
        <v/>
      </c>
      <c r="BK1391" s="163" t="str">
        <f t="shared" si="892"/>
        <v/>
      </c>
      <c r="BL1391" s="163" t="str">
        <f t="shared" si="897"/>
        <v/>
      </c>
      <c r="BM1391" s="163" t="str">
        <f t="shared" si="893"/>
        <v/>
      </c>
      <c r="BN1391" s="163" t="str">
        <f t="shared" si="898"/>
        <v/>
      </c>
      <c r="BO1391" s="163" t="str">
        <f t="shared" si="899"/>
        <v/>
      </c>
      <c r="BP1391" s="150" t="str">
        <f t="shared" si="894"/>
        <v/>
      </c>
      <c r="BQ1391" s="150" t="str">
        <f t="shared" si="888"/>
        <v/>
      </c>
      <c r="BR1391" s="154" t="str">
        <f t="shared" si="900"/>
        <v/>
      </c>
      <c r="BT1391" s="147"/>
    </row>
    <row r="1392" spans="1:72" s="150" customFormat="1" x14ac:dyDescent="0.25">
      <c r="A1392" s="150" t="str">
        <f t="shared" si="889"/>
        <v/>
      </c>
      <c r="B1392" s="150" t="str">
        <f t="shared" si="890"/>
        <v/>
      </c>
      <c r="C1392" s="150" t="str">
        <f t="shared" si="891"/>
        <v/>
      </c>
      <c r="D1392" s="150" t="str">
        <f>IF(E1392="","",Input!$C$4+B1392-1)</f>
        <v/>
      </c>
      <c r="E1392" s="150" t="str">
        <f>IF(OR(AND(C1391=12,D1391=Input!$C$6),E1391=""),"",1)</f>
        <v/>
      </c>
      <c r="G1392" s="151" t="str">
        <f>IF(E1392="","",MAX(0,Input!$C$9-B1392))</f>
        <v/>
      </c>
      <c r="H1392" s="152" t="str">
        <f>IF(E1392="","",Input!$C$3)</f>
        <v/>
      </c>
      <c r="I1392" s="153" t="str">
        <f>IF(E1392="","",HLOOKUP($B1392,Input!$C$13:$BT$14,2))</f>
        <v/>
      </c>
      <c r="J1392" s="154"/>
      <c r="K1392" s="150" t="str">
        <f>IF($E1392="","",INDEX(Input!$C$16:$CP$16,1,$B1392))</f>
        <v/>
      </c>
      <c r="L1392" s="150" t="str">
        <f>IF($E1392="","",Input!$C$37)</f>
        <v/>
      </c>
      <c r="M1392" s="150" t="str">
        <f t="shared" si="877"/>
        <v/>
      </c>
      <c r="N1392" s="150" t="str">
        <f t="shared" si="878"/>
        <v/>
      </c>
      <c r="O1392" s="147" t="str">
        <f>IF($E1392="","",MIN(VLOOKUP(IF($B1392&lt;=Input!$C$7,$B1392,26),'Mortality Tables'!$A$41:$CW$67,IF($B1392&lt;=Input!$C$7+1,Input!$C$4+2,$D1392-Input!$C$7+2),0)*IF(B1392&gt;20,Input!$C$22,1)/1000,1))</f>
        <v/>
      </c>
      <c r="P1392" s="147" t="str">
        <f>IF($E1392="","",MIN(VLOOKUP(IF($B1392&lt;=Input!$C$7,$B1392,26),'Mortality Tables'!$A$12:$CW$37,IF($B1392&lt;=Input!$C$7+1,Input!$C$4+2,$D1392-Input!$C$7+2),0)*IF(B1392&gt;20,Input!$C$22,1)/1000,1))</f>
        <v/>
      </c>
      <c r="Q1392" s="155" t="str">
        <f>IF($E1392="","",Input!$C$21)</f>
        <v/>
      </c>
      <c r="R1392" s="159" t="str">
        <f>IF($E1392="","",(1-Q1392)^($F1392-Input!$C$20))</f>
        <v/>
      </c>
      <c r="S1392" s="147" t="str">
        <f t="shared" si="866"/>
        <v/>
      </c>
      <c r="T1392" s="147" t="str">
        <f t="shared" si="867"/>
        <v/>
      </c>
      <c r="U1392" s="160" t="str">
        <f>IF($E1392="","",IF($C1392=12,INDEX(Input!$C$15:$CP$15,1,$B1392),0))</f>
        <v/>
      </c>
      <c r="V1392" s="150" t="str">
        <f>IF(E1392="","",IF(C1392=1,IF($B1392=1,Input!$C$33,Input!$C$34),0))</f>
        <v/>
      </c>
      <c r="W1392" s="156" t="str">
        <f>IF($E1392="","",Input!$C$35)</f>
        <v/>
      </c>
      <c r="X1392" s="156" t="str">
        <f t="shared" si="868"/>
        <v/>
      </c>
      <c r="Y1392" s="154"/>
      <c r="Z1392" s="147" t="str">
        <f>IF($E1392="","",VLOOKUP($D1392,'Mortality Margins &amp; Grading'!$AB$5:$AF$125,3,0)*IF(Summary!$D$25="Included Margin",IF(AND($B1392&gt;Input!$C$9,Summary!$D$31&lt;&gt;"Included Margin"),0,1),0))</f>
        <v/>
      </c>
      <c r="AA1392" s="147" t="str">
        <f>IF($E1392="","",VLOOKUP($D1392,'Mortality Margins &amp; Grading'!$AB$5:$AF$125,5,0)*IF(Summary!$D$25="Included Margin",IF(AND($B1392&gt;Input!$C$9,Summary!$D$31&lt;&gt;"Included Margin"),0,1),0))</f>
        <v/>
      </c>
      <c r="AB1392" s="147" t="str">
        <f>IF($E1392="","",IF(AND($B1392&gt;Input!$C$9,Summary!$D$31&lt;&gt;"Included Margin"),1,IF(Summary!$D$25="Included Margin",VLOOKUP($B1392,'Mortality Margins &amp; Grading'!$AI$5:$AR$125,MATCH('Mortality Margins &amp; Grading'!$AQ$4,'Mortality Margins &amp; Grading'!$AI$4:$AR$4,0),0),1)))</f>
        <v/>
      </c>
      <c r="AC1392" s="154"/>
      <c r="AD1392" s="158" t="str">
        <f>IF(E1392="","",Input!$C$48*IF(Summary!$D$30="Included Margin",IF(AND($B1392&gt;Input!$C$9,Summary!$D$31&lt;&gt;"Included Margin"),0,1),0))</f>
        <v/>
      </c>
      <c r="AE1392" s="159" t="str">
        <f>IF(E1392="","",IF(Summary!$D$26="Included Margin",IF(AND($B1392&gt;Input!$C$9,Summary!$D$31&lt;&gt;"Included Margin"),1,1/$R1392),1))</f>
        <v/>
      </c>
      <c r="AF1392" s="160" t="str">
        <f>IF(E1392="","",IF(AND($B1392&gt;=Input!$C$9,$C1392=12,Summary!$D$31="Included Margin",$U1392&gt;0),1/U1392-1,IF($B1392&gt;=Input!$C$9,0,Input!$C$45*IF(Summary!$D$27="Included Margin",1,0))))</f>
        <v/>
      </c>
      <c r="AG1392" s="160" t="str">
        <f>IF(E1392="","",Input!$C$46*IF(Summary!$D$28="Included Margin",IF(AND($B1392&gt;Input!$C$9,Summary!$D$31&lt;&gt;"Included Margin"),0,1),0))</f>
        <v/>
      </c>
      <c r="AH1392" s="158" t="str">
        <f>IF(E1392="","",Input!$C$47*IF(Summary!$D$29="Included Margin",IF(AND($B1392&gt;Input!$C$9,Summary!$D$31&lt;&gt;"Included Margin"),0,1),0))</f>
        <v/>
      </c>
      <c r="AI1392" s="154"/>
      <c r="AJ1392" s="158" t="str">
        <f t="shared" si="879"/>
        <v/>
      </c>
      <c r="AK1392" s="150" t="str">
        <f t="shared" si="880"/>
        <v/>
      </c>
      <c r="AL1392" s="147" t="str">
        <f t="shared" si="881"/>
        <v/>
      </c>
      <c r="AM1392" s="147" t="str">
        <f t="shared" si="869"/>
        <v/>
      </c>
      <c r="AN1392" s="160" t="str">
        <f t="shared" si="882"/>
        <v/>
      </c>
      <c r="AO1392" s="161" t="str">
        <f t="shared" si="883"/>
        <v/>
      </c>
      <c r="AP1392" s="156" t="str">
        <f t="shared" si="870"/>
        <v/>
      </c>
      <c r="AQ1392" s="152"/>
      <c r="AR1392" s="162" t="str">
        <f t="shared" si="871"/>
        <v/>
      </c>
      <c r="AS1392" s="150" t="str">
        <f t="shared" si="884"/>
        <v/>
      </c>
      <c r="AT1392" s="163" t="str">
        <f t="shared" si="872"/>
        <v/>
      </c>
      <c r="AU1392" s="163" t="str">
        <f t="shared" si="873"/>
        <v/>
      </c>
      <c r="AV1392" s="163" t="str">
        <f t="shared" si="885"/>
        <v/>
      </c>
      <c r="AW1392" s="163" t="str">
        <f t="shared" si="874"/>
        <v/>
      </c>
      <c r="AX1392" s="163" t="str">
        <f t="shared" si="875"/>
        <v/>
      </c>
      <c r="AY1392" s="150" t="str">
        <f t="shared" si="886"/>
        <v/>
      </c>
      <c r="AZ1392" s="150" t="str">
        <f>IF($E1392="","",IF(OR(AND($D1392=Input!$C$6,$C1392=12),$AN1392=1),0,-AS1393+AT1393+AU1393-AV1393-AW1393-AX1393+AZ1393))</f>
        <v/>
      </c>
      <c r="BA1392" s="154" t="str">
        <f t="shared" si="876"/>
        <v/>
      </c>
      <c r="BC1392" s="147" t="str">
        <f t="shared" si="887"/>
        <v/>
      </c>
      <c r="BD1392" s="164" t="str">
        <f>IF(AND($C1391=12,$D1391=Input!$C$6),0,IF($E1392="","",AT1392+(AU1392+BD1393)/(1+$AK1392)*MIN((1-AM1392-AN1392),1)))</f>
        <v/>
      </c>
      <c r="BH1392" s="152"/>
      <c r="BI1392" s="162" t="str">
        <f t="shared" si="895"/>
        <v/>
      </c>
      <c r="BJ1392" s="150" t="str">
        <f t="shared" si="896"/>
        <v/>
      </c>
      <c r="BK1392" s="163" t="str">
        <f t="shared" si="892"/>
        <v/>
      </c>
      <c r="BL1392" s="163" t="str">
        <f t="shared" si="897"/>
        <v/>
      </c>
      <c r="BM1392" s="163" t="str">
        <f t="shared" si="893"/>
        <v/>
      </c>
      <c r="BN1392" s="163" t="str">
        <f t="shared" si="898"/>
        <v/>
      </c>
      <c r="BO1392" s="163" t="str">
        <f t="shared" si="899"/>
        <v/>
      </c>
      <c r="BP1392" s="150" t="str">
        <f t="shared" si="894"/>
        <v/>
      </c>
      <c r="BQ1392" s="150" t="str">
        <f t="shared" si="888"/>
        <v/>
      </c>
      <c r="BR1392" s="154" t="str">
        <f t="shared" si="900"/>
        <v/>
      </c>
      <c r="BT1392" s="147"/>
    </row>
    <row r="1393" spans="1:72" s="150" customFormat="1" x14ac:dyDescent="0.25">
      <c r="A1393" s="150" t="str">
        <f t="shared" si="889"/>
        <v/>
      </c>
      <c r="B1393" s="150" t="str">
        <f t="shared" si="890"/>
        <v/>
      </c>
      <c r="C1393" s="150" t="str">
        <f t="shared" si="891"/>
        <v/>
      </c>
      <c r="D1393" s="150" t="str">
        <f>IF(E1393="","",Input!$C$4+B1393-1)</f>
        <v/>
      </c>
      <c r="E1393" s="150" t="str">
        <f>IF(OR(AND(C1392=12,D1392=Input!$C$6),E1392=""),"",1)</f>
        <v/>
      </c>
      <c r="G1393" s="151" t="str">
        <f>IF(E1393="","",MAX(0,Input!$C$9-B1393))</f>
        <v/>
      </c>
      <c r="H1393" s="152" t="str">
        <f>IF(E1393="","",Input!$C$3)</f>
        <v/>
      </c>
      <c r="I1393" s="153" t="str">
        <f>IF(E1393="","",HLOOKUP($B1393,Input!$C$13:$BT$14,2))</f>
        <v/>
      </c>
      <c r="J1393" s="154"/>
      <c r="K1393" s="150" t="str">
        <f>IF($E1393="","",INDEX(Input!$C$16:$CP$16,1,$B1393))</f>
        <v/>
      </c>
      <c r="L1393" s="150" t="str">
        <f>IF($E1393="","",Input!$C$37)</f>
        <v/>
      </c>
      <c r="M1393" s="150" t="str">
        <f t="shared" si="877"/>
        <v/>
      </c>
      <c r="N1393" s="150" t="str">
        <f t="shared" si="878"/>
        <v/>
      </c>
      <c r="O1393" s="147" t="str">
        <f>IF($E1393="","",MIN(VLOOKUP(IF($B1393&lt;=Input!$C$7,$B1393,26),'Mortality Tables'!$A$41:$CW$67,IF($B1393&lt;=Input!$C$7+1,Input!$C$4+2,$D1393-Input!$C$7+2),0)*IF(B1393&gt;20,Input!$C$22,1)/1000,1))</f>
        <v/>
      </c>
      <c r="P1393" s="147" t="str">
        <f>IF($E1393="","",MIN(VLOOKUP(IF($B1393&lt;=Input!$C$7,$B1393,26),'Mortality Tables'!$A$12:$CW$37,IF($B1393&lt;=Input!$C$7+1,Input!$C$4+2,$D1393-Input!$C$7+2),0)*IF(B1393&gt;20,Input!$C$22,1)/1000,1))</f>
        <v/>
      </c>
      <c r="Q1393" s="155" t="str">
        <f>IF($E1393="","",Input!$C$21)</f>
        <v/>
      </c>
      <c r="R1393" s="159" t="str">
        <f>IF($E1393="","",(1-Q1393)^($F1393-Input!$C$20))</f>
        <v/>
      </c>
      <c r="S1393" s="147" t="str">
        <f t="shared" si="866"/>
        <v/>
      </c>
      <c r="T1393" s="147" t="str">
        <f t="shared" si="867"/>
        <v/>
      </c>
      <c r="U1393" s="160" t="str">
        <f>IF($E1393="","",IF($C1393=12,INDEX(Input!$C$15:$CP$15,1,$B1393),0))</f>
        <v/>
      </c>
      <c r="V1393" s="150" t="str">
        <f>IF(E1393="","",IF(C1393=1,IF($B1393=1,Input!$C$33,Input!$C$34),0))</f>
        <v/>
      </c>
      <c r="W1393" s="156" t="str">
        <f>IF($E1393="","",Input!$C$35)</f>
        <v/>
      </c>
      <c r="X1393" s="156" t="str">
        <f t="shared" si="868"/>
        <v/>
      </c>
      <c r="Y1393" s="154"/>
      <c r="Z1393" s="147" t="str">
        <f>IF($E1393="","",VLOOKUP($D1393,'Mortality Margins &amp; Grading'!$AB$5:$AF$125,3,0)*IF(Summary!$D$25="Included Margin",IF(AND($B1393&gt;Input!$C$9,Summary!$D$31&lt;&gt;"Included Margin"),0,1),0))</f>
        <v/>
      </c>
      <c r="AA1393" s="147" t="str">
        <f>IF($E1393="","",VLOOKUP($D1393,'Mortality Margins &amp; Grading'!$AB$5:$AF$125,5,0)*IF(Summary!$D$25="Included Margin",IF(AND($B1393&gt;Input!$C$9,Summary!$D$31&lt;&gt;"Included Margin"),0,1),0))</f>
        <v/>
      </c>
      <c r="AB1393" s="147" t="str">
        <f>IF($E1393="","",IF(AND($B1393&gt;Input!$C$9,Summary!$D$31&lt;&gt;"Included Margin"),1,IF(Summary!$D$25="Included Margin",VLOOKUP($B1393,'Mortality Margins &amp; Grading'!$AI$5:$AR$125,MATCH('Mortality Margins &amp; Grading'!$AQ$4,'Mortality Margins &amp; Grading'!$AI$4:$AR$4,0),0),1)))</f>
        <v/>
      </c>
      <c r="AC1393" s="154"/>
      <c r="AD1393" s="158" t="str">
        <f>IF(E1393="","",Input!$C$48*IF(Summary!$D$30="Included Margin",IF(AND($B1393&gt;Input!$C$9,Summary!$D$31&lt;&gt;"Included Margin"),0,1),0))</f>
        <v/>
      </c>
      <c r="AE1393" s="159" t="str">
        <f>IF(E1393="","",IF(Summary!$D$26="Included Margin",IF(AND($B1393&gt;Input!$C$9,Summary!$D$31&lt;&gt;"Included Margin"),1,1/$R1393),1))</f>
        <v/>
      </c>
      <c r="AF1393" s="160" t="str">
        <f>IF(E1393="","",IF(AND($B1393&gt;=Input!$C$9,$C1393=12,Summary!$D$31="Included Margin",$U1393&gt;0),1/U1393-1,IF($B1393&gt;=Input!$C$9,0,Input!$C$45*IF(Summary!$D$27="Included Margin",1,0))))</f>
        <v/>
      </c>
      <c r="AG1393" s="160" t="str">
        <f>IF(E1393="","",Input!$C$46*IF(Summary!$D$28="Included Margin",IF(AND($B1393&gt;Input!$C$9,Summary!$D$31&lt;&gt;"Included Margin"),0,1),0))</f>
        <v/>
      </c>
      <c r="AH1393" s="158" t="str">
        <f>IF(E1393="","",Input!$C$47*IF(Summary!$D$29="Included Margin",IF(AND($B1393&gt;Input!$C$9,Summary!$D$31&lt;&gt;"Included Margin"),0,1),0))</f>
        <v/>
      </c>
      <c r="AI1393" s="154"/>
      <c r="AJ1393" s="158" t="str">
        <f t="shared" si="879"/>
        <v/>
      </c>
      <c r="AK1393" s="150" t="str">
        <f t="shared" si="880"/>
        <v/>
      </c>
      <c r="AL1393" s="147" t="str">
        <f t="shared" si="881"/>
        <v/>
      </c>
      <c r="AM1393" s="147" t="str">
        <f t="shared" si="869"/>
        <v/>
      </c>
      <c r="AN1393" s="160" t="str">
        <f t="shared" si="882"/>
        <v/>
      </c>
      <c r="AO1393" s="161" t="str">
        <f t="shared" si="883"/>
        <v/>
      </c>
      <c r="AP1393" s="156" t="str">
        <f t="shared" si="870"/>
        <v/>
      </c>
      <c r="AQ1393" s="152"/>
      <c r="AR1393" s="162" t="str">
        <f t="shared" si="871"/>
        <v/>
      </c>
      <c r="AS1393" s="150" t="str">
        <f t="shared" si="884"/>
        <v/>
      </c>
      <c r="AT1393" s="163" t="str">
        <f t="shared" si="872"/>
        <v/>
      </c>
      <c r="AU1393" s="163" t="str">
        <f t="shared" si="873"/>
        <v/>
      </c>
      <c r="AV1393" s="163" t="str">
        <f t="shared" si="885"/>
        <v/>
      </c>
      <c r="AW1393" s="163" t="str">
        <f t="shared" si="874"/>
        <v/>
      </c>
      <c r="AX1393" s="163" t="str">
        <f t="shared" si="875"/>
        <v/>
      </c>
      <c r="AY1393" s="150" t="str">
        <f t="shared" si="886"/>
        <v/>
      </c>
      <c r="AZ1393" s="150" t="str">
        <f>IF($E1393="","",IF(OR(AND($D1393=Input!$C$6,$C1393=12),$AN1393=1),0,-AS1394+AT1394+AU1394-AV1394-AW1394-AX1394+AZ1394))</f>
        <v/>
      </c>
      <c r="BA1393" s="154" t="str">
        <f t="shared" si="876"/>
        <v/>
      </c>
      <c r="BC1393" s="147" t="str">
        <f t="shared" si="887"/>
        <v/>
      </c>
      <c r="BD1393" s="164" t="str">
        <f>IF(AND($C1392=12,$D1392=Input!$C$6),0,IF($E1393="","",AT1393+(AU1393+BD1394)/(1+$AK1393)*MIN((1-AM1393-AN1393),1)))</f>
        <v/>
      </c>
      <c r="BH1393" s="152"/>
      <c r="BI1393" s="162" t="str">
        <f t="shared" si="895"/>
        <v/>
      </c>
      <c r="BJ1393" s="150" t="str">
        <f t="shared" si="896"/>
        <v/>
      </c>
      <c r="BK1393" s="163" t="str">
        <f t="shared" si="892"/>
        <v/>
      </c>
      <c r="BL1393" s="163" t="str">
        <f t="shared" si="897"/>
        <v/>
      </c>
      <c r="BM1393" s="163" t="str">
        <f t="shared" si="893"/>
        <v/>
      </c>
      <c r="BN1393" s="163" t="str">
        <f t="shared" si="898"/>
        <v/>
      </c>
      <c r="BO1393" s="163" t="str">
        <f t="shared" si="899"/>
        <v/>
      </c>
      <c r="BP1393" s="150" t="str">
        <f t="shared" si="894"/>
        <v/>
      </c>
      <c r="BQ1393" s="150" t="str">
        <f t="shared" si="888"/>
        <v/>
      </c>
      <c r="BR1393" s="154" t="str">
        <f t="shared" si="900"/>
        <v/>
      </c>
      <c r="BT1393" s="147"/>
    </row>
    <row r="1394" spans="1:72" s="150" customFormat="1" x14ac:dyDescent="0.25">
      <c r="A1394" s="150" t="str">
        <f t="shared" si="889"/>
        <v/>
      </c>
      <c r="B1394" s="150" t="str">
        <f t="shared" si="890"/>
        <v/>
      </c>
      <c r="C1394" s="150" t="str">
        <f t="shared" si="891"/>
        <v/>
      </c>
      <c r="D1394" s="150" t="str">
        <f>IF(E1394="","",Input!$C$4+B1394-1)</f>
        <v/>
      </c>
      <c r="E1394" s="150" t="str">
        <f>IF(OR(AND(C1393=12,D1393=Input!$C$6),E1393=""),"",1)</f>
        <v/>
      </c>
      <c r="G1394" s="151" t="str">
        <f>IF(E1394="","",MAX(0,Input!$C$9-B1394))</f>
        <v/>
      </c>
      <c r="H1394" s="152" t="str">
        <f>IF(E1394="","",Input!$C$3)</f>
        <v/>
      </c>
      <c r="I1394" s="153" t="str">
        <f>IF(E1394="","",HLOOKUP($B1394,Input!$C$13:$BT$14,2))</f>
        <v/>
      </c>
      <c r="J1394" s="154"/>
      <c r="K1394" s="150" t="str">
        <f>IF($E1394="","",INDEX(Input!$C$16:$CP$16,1,$B1394))</f>
        <v/>
      </c>
      <c r="L1394" s="150" t="str">
        <f>IF($E1394="","",Input!$C$37)</f>
        <v/>
      </c>
      <c r="M1394" s="150" t="str">
        <f t="shared" si="877"/>
        <v/>
      </c>
      <c r="N1394" s="150" t="str">
        <f t="shared" si="878"/>
        <v/>
      </c>
      <c r="O1394" s="147" t="str">
        <f>IF($E1394="","",MIN(VLOOKUP(IF($B1394&lt;=Input!$C$7,$B1394,26),'Mortality Tables'!$A$41:$CW$67,IF($B1394&lt;=Input!$C$7+1,Input!$C$4+2,$D1394-Input!$C$7+2),0)*IF(B1394&gt;20,Input!$C$22,1)/1000,1))</f>
        <v/>
      </c>
      <c r="P1394" s="147" t="str">
        <f>IF($E1394="","",MIN(VLOOKUP(IF($B1394&lt;=Input!$C$7,$B1394,26),'Mortality Tables'!$A$12:$CW$37,IF($B1394&lt;=Input!$C$7+1,Input!$C$4+2,$D1394-Input!$C$7+2),0)*IF(B1394&gt;20,Input!$C$22,1)/1000,1))</f>
        <v/>
      </c>
      <c r="Q1394" s="155" t="str">
        <f>IF($E1394="","",Input!$C$21)</f>
        <v/>
      </c>
      <c r="R1394" s="159" t="str">
        <f>IF($E1394="","",(1-Q1394)^($F1394-Input!$C$20))</f>
        <v/>
      </c>
      <c r="S1394" s="147" t="str">
        <f t="shared" si="866"/>
        <v/>
      </c>
      <c r="T1394" s="147" t="str">
        <f t="shared" si="867"/>
        <v/>
      </c>
      <c r="U1394" s="160" t="str">
        <f>IF($E1394="","",IF($C1394=12,INDEX(Input!$C$15:$CP$15,1,$B1394),0))</f>
        <v/>
      </c>
      <c r="V1394" s="150" t="str">
        <f>IF(E1394="","",IF(C1394=1,IF($B1394=1,Input!$C$33,Input!$C$34),0))</f>
        <v/>
      </c>
      <c r="W1394" s="156" t="str">
        <f>IF($E1394="","",Input!$C$35)</f>
        <v/>
      </c>
      <c r="X1394" s="156" t="str">
        <f t="shared" si="868"/>
        <v/>
      </c>
      <c r="Y1394" s="154"/>
      <c r="Z1394" s="147" t="str">
        <f>IF($E1394="","",VLOOKUP($D1394,'Mortality Margins &amp; Grading'!$AB$5:$AF$125,3,0)*IF(Summary!$D$25="Included Margin",IF(AND($B1394&gt;Input!$C$9,Summary!$D$31&lt;&gt;"Included Margin"),0,1),0))</f>
        <v/>
      </c>
      <c r="AA1394" s="147" t="str">
        <f>IF($E1394="","",VLOOKUP($D1394,'Mortality Margins &amp; Grading'!$AB$5:$AF$125,5,0)*IF(Summary!$D$25="Included Margin",IF(AND($B1394&gt;Input!$C$9,Summary!$D$31&lt;&gt;"Included Margin"),0,1),0))</f>
        <v/>
      </c>
      <c r="AB1394" s="147" t="str">
        <f>IF($E1394="","",IF(AND($B1394&gt;Input!$C$9,Summary!$D$31&lt;&gt;"Included Margin"),1,IF(Summary!$D$25="Included Margin",VLOOKUP($B1394,'Mortality Margins &amp; Grading'!$AI$5:$AR$125,MATCH('Mortality Margins &amp; Grading'!$AQ$4,'Mortality Margins &amp; Grading'!$AI$4:$AR$4,0),0),1)))</f>
        <v/>
      </c>
      <c r="AC1394" s="154"/>
      <c r="AD1394" s="158" t="str">
        <f>IF(E1394="","",Input!$C$48*IF(Summary!$D$30="Included Margin",IF(AND($B1394&gt;Input!$C$9,Summary!$D$31&lt;&gt;"Included Margin"),0,1),0))</f>
        <v/>
      </c>
      <c r="AE1394" s="159" t="str">
        <f>IF(E1394="","",IF(Summary!$D$26="Included Margin",IF(AND($B1394&gt;Input!$C$9,Summary!$D$31&lt;&gt;"Included Margin"),1,1/$R1394),1))</f>
        <v/>
      </c>
      <c r="AF1394" s="160" t="str">
        <f>IF(E1394="","",IF(AND($B1394&gt;=Input!$C$9,$C1394=12,Summary!$D$31="Included Margin",$U1394&gt;0),1/U1394-1,IF($B1394&gt;=Input!$C$9,0,Input!$C$45*IF(Summary!$D$27="Included Margin",1,0))))</f>
        <v/>
      </c>
      <c r="AG1394" s="160" t="str">
        <f>IF(E1394="","",Input!$C$46*IF(Summary!$D$28="Included Margin",IF(AND($B1394&gt;Input!$C$9,Summary!$D$31&lt;&gt;"Included Margin"),0,1),0))</f>
        <v/>
      </c>
      <c r="AH1394" s="158" t="str">
        <f>IF(E1394="","",Input!$C$47*IF(Summary!$D$29="Included Margin",IF(AND($B1394&gt;Input!$C$9,Summary!$D$31&lt;&gt;"Included Margin"),0,1),0))</f>
        <v/>
      </c>
      <c r="AI1394" s="154"/>
      <c r="AJ1394" s="158" t="str">
        <f t="shared" si="879"/>
        <v/>
      </c>
      <c r="AK1394" s="150" t="str">
        <f t="shared" si="880"/>
        <v/>
      </c>
      <c r="AL1394" s="147" t="str">
        <f t="shared" si="881"/>
        <v/>
      </c>
      <c r="AM1394" s="147" t="str">
        <f t="shared" si="869"/>
        <v/>
      </c>
      <c r="AN1394" s="160" t="str">
        <f t="shared" si="882"/>
        <v/>
      </c>
      <c r="AO1394" s="161" t="str">
        <f t="shared" si="883"/>
        <v/>
      </c>
      <c r="AP1394" s="156" t="str">
        <f t="shared" si="870"/>
        <v/>
      </c>
      <c r="AQ1394" s="152"/>
      <c r="AR1394" s="162" t="str">
        <f t="shared" si="871"/>
        <v/>
      </c>
      <c r="AS1394" s="150" t="str">
        <f t="shared" si="884"/>
        <v/>
      </c>
      <c r="AT1394" s="163" t="str">
        <f t="shared" si="872"/>
        <v/>
      </c>
      <c r="AU1394" s="163" t="str">
        <f t="shared" si="873"/>
        <v/>
      </c>
      <c r="AV1394" s="163" t="str">
        <f t="shared" si="885"/>
        <v/>
      </c>
      <c r="AW1394" s="163" t="str">
        <f t="shared" si="874"/>
        <v/>
      </c>
      <c r="AX1394" s="163" t="str">
        <f t="shared" si="875"/>
        <v/>
      </c>
      <c r="AY1394" s="150" t="str">
        <f t="shared" si="886"/>
        <v/>
      </c>
      <c r="AZ1394" s="150" t="str">
        <f>IF($E1394="","",IF(OR(AND($D1394=Input!$C$6,$C1394=12),$AN1394=1),0,-AS1395+AT1395+AU1395-AV1395-AW1395-AX1395+AZ1395))</f>
        <v/>
      </c>
      <c r="BA1394" s="154" t="str">
        <f t="shared" si="876"/>
        <v/>
      </c>
      <c r="BC1394" s="147" t="str">
        <f t="shared" si="887"/>
        <v/>
      </c>
      <c r="BD1394" s="164" t="str">
        <f>IF(AND($C1393=12,$D1393=Input!$C$6),0,IF($E1394="","",AT1394+(AU1394+BD1395)/(1+$AK1394)*MIN((1-AM1394-AN1394),1)))</f>
        <v/>
      </c>
      <c r="BH1394" s="152"/>
      <c r="BI1394" s="162" t="str">
        <f t="shared" si="895"/>
        <v/>
      </c>
      <c r="BJ1394" s="150" t="str">
        <f t="shared" si="896"/>
        <v/>
      </c>
      <c r="BK1394" s="163" t="str">
        <f t="shared" si="892"/>
        <v/>
      </c>
      <c r="BL1394" s="163" t="str">
        <f t="shared" si="897"/>
        <v/>
      </c>
      <c r="BM1394" s="163" t="str">
        <f t="shared" si="893"/>
        <v/>
      </c>
      <c r="BN1394" s="163" t="str">
        <f t="shared" si="898"/>
        <v/>
      </c>
      <c r="BO1394" s="163" t="str">
        <f t="shared" si="899"/>
        <v/>
      </c>
      <c r="BP1394" s="150" t="str">
        <f t="shared" si="894"/>
        <v/>
      </c>
      <c r="BQ1394" s="150" t="str">
        <f t="shared" si="888"/>
        <v/>
      </c>
      <c r="BR1394" s="154" t="str">
        <f t="shared" si="900"/>
        <v/>
      </c>
      <c r="BT1394" s="147"/>
    </row>
    <row r="1395" spans="1:72" s="150" customFormat="1" x14ac:dyDescent="0.25">
      <c r="A1395" s="150" t="str">
        <f t="shared" si="889"/>
        <v/>
      </c>
      <c r="B1395" s="150" t="str">
        <f t="shared" si="890"/>
        <v/>
      </c>
      <c r="C1395" s="150" t="str">
        <f t="shared" si="891"/>
        <v/>
      </c>
      <c r="D1395" s="150" t="str">
        <f>IF(E1395="","",Input!$C$4+B1395-1)</f>
        <v/>
      </c>
      <c r="E1395" s="150" t="str">
        <f>IF(OR(AND(C1394=12,D1394=Input!$C$6),E1394=""),"",1)</f>
        <v/>
      </c>
      <c r="G1395" s="151" t="str">
        <f>IF(E1395="","",MAX(0,Input!$C$9-B1395))</f>
        <v/>
      </c>
      <c r="H1395" s="152" t="str">
        <f>IF(E1395="","",Input!$C$3)</f>
        <v/>
      </c>
      <c r="I1395" s="153" t="str">
        <f>IF(E1395="","",HLOOKUP($B1395,Input!$C$13:$BT$14,2))</f>
        <v/>
      </c>
      <c r="J1395" s="154"/>
      <c r="K1395" s="150" t="str">
        <f>IF($E1395="","",INDEX(Input!$C$16:$CP$16,1,$B1395))</f>
        <v/>
      </c>
      <c r="L1395" s="150" t="str">
        <f>IF($E1395="","",Input!$C$37)</f>
        <v/>
      </c>
      <c r="M1395" s="150" t="str">
        <f t="shared" si="877"/>
        <v/>
      </c>
      <c r="N1395" s="150" t="str">
        <f t="shared" si="878"/>
        <v/>
      </c>
      <c r="O1395" s="147" t="str">
        <f>IF($E1395="","",MIN(VLOOKUP(IF($B1395&lt;=Input!$C$7,$B1395,26),'Mortality Tables'!$A$41:$CW$67,IF($B1395&lt;=Input!$C$7+1,Input!$C$4+2,$D1395-Input!$C$7+2),0)*IF(B1395&gt;20,Input!$C$22,1)/1000,1))</f>
        <v/>
      </c>
      <c r="P1395" s="147" t="str">
        <f>IF($E1395="","",MIN(VLOOKUP(IF($B1395&lt;=Input!$C$7,$B1395,26),'Mortality Tables'!$A$12:$CW$37,IF($B1395&lt;=Input!$C$7+1,Input!$C$4+2,$D1395-Input!$C$7+2),0)*IF(B1395&gt;20,Input!$C$22,1)/1000,1))</f>
        <v/>
      </c>
      <c r="Q1395" s="155" t="str">
        <f>IF($E1395="","",Input!$C$21)</f>
        <v/>
      </c>
      <c r="R1395" s="159" t="str">
        <f>IF($E1395="","",(1-Q1395)^($F1395-Input!$C$20))</f>
        <v/>
      </c>
      <c r="S1395" s="147" t="str">
        <f t="shared" si="866"/>
        <v/>
      </c>
      <c r="T1395" s="147" t="str">
        <f t="shared" si="867"/>
        <v/>
      </c>
      <c r="U1395" s="160" t="str">
        <f>IF($E1395="","",IF($C1395=12,INDEX(Input!$C$15:$CP$15,1,$B1395),0))</f>
        <v/>
      </c>
      <c r="V1395" s="150" t="str">
        <f>IF(E1395="","",IF(C1395=1,IF($B1395=1,Input!$C$33,Input!$C$34),0))</f>
        <v/>
      </c>
      <c r="W1395" s="156" t="str">
        <f>IF($E1395="","",Input!$C$35)</f>
        <v/>
      </c>
      <c r="X1395" s="156" t="str">
        <f t="shared" si="868"/>
        <v/>
      </c>
      <c r="Y1395" s="154"/>
      <c r="Z1395" s="147" t="str">
        <f>IF($E1395="","",VLOOKUP($D1395,'Mortality Margins &amp; Grading'!$AB$5:$AF$125,3,0)*IF(Summary!$D$25="Included Margin",IF(AND($B1395&gt;Input!$C$9,Summary!$D$31&lt;&gt;"Included Margin"),0,1),0))</f>
        <v/>
      </c>
      <c r="AA1395" s="147" t="str">
        <f>IF($E1395="","",VLOOKUP($D1395,'Mortality Margins &amp; Grading'!$AB$5:$AF$125,5,0)*IF(Summary!$D$25="Included Margin",IF(AND($B1395&gt;Input!$C$9,Summary!$D$31&lt;&gt;"Included Margin"),0,1),0))</f>
        <v/>
      </c>
      <c r="AB1395" s="147" t="str">
        <f>IF($E1395="","",IF(AND($B1395&gt;Input!$C$9,Summary!$D$31&lt;&gt;"Included Margin"),1,IF(Summary!$D$25="Included Margin",VLOOKUP($B1395,'Mortality Margins &amp; Grading'!$AI$5:$AR$125,MATCH('Mortality Margins &amp; Grading'!$AQ$4,'Mortality Margins &amp; Grading'!$AI$4:$AR$4,0),0),1)))</f>
        <v/>
      </c>
      <c r="AC1395" s="154"/>
      <c r="AD1395" s="158" t="str">
        <f>IF(E1395="","",Input!$C$48*IF(Summary!$D$30="Included Margin",IF(AND($B1395&gt;Input!$C$9,Summary!$D$31&lt;&gt;"Included Margin"),0,1),0))</f>
        <v/>
      </c>
      <c r="AE1395" s="159" t="str">
        <f>IF(E1395="","",IF(Summary!$D$26="Included Margin",IF(AND($B1395&gt;Input!$C$9,Summary!$D$31&lt;&gt;"Included Margin"),1,1/$R1395),1))</f>
        <v/>
      </c>
      <c r="AF1395" s="160" t="str">
        <f>IF(E1395="","",IF(AND($B1395&gt;=Input!$C$9,$C1395=12,Summary!$D$31="Included Margin",$U1395&gt;0),1/U1395-1,IF($B1395&gt;=Input!$C$9,0,Input!$C$45*IF(Summary!$D$27="Included Margin",1,0))))</f>
        <v/>
      </c>
      <c r="AG1395" s="160" t="str">
        <f>IF(E1395="","",Input!$C$46*IF(Summary!$D$28="Included Margin",IF(AND($B1395&gt;Input!$C$9,Summary!$D$31&lt;&gt;"Included Margin"),0,1),0))</f>
        <v/>
      </c>
      <c r="AH1395" s="158" t="str">
        <f>IF(E1395="","",Input!$C$47*IF(Summary!$D$29="Included Margin",IF(AND($B1395&gt;Input!$C$9,Summary!$D$31&lt;&gt;"Included Margin"),0,1),0))</f>
        <v/>
      </c>
      <c r="AI1395" s="154"/>
      <c r="AJ1395" s="158" t="str">
        <f t="shared" si="879"/>
        <v/>
      </c>
      <c r="AK1395" s="150" t="str">
        <f t="shared" si="880"/>
        <v/>
      </c>
      <c r="AL1395" s="147" t="str">
        <f t="shared" si="881"/>
        <v/>
      </c>
      <c r="AM1395" s="147" t="str">
        <f t="shared" si="869"/>
        <v/>
      </c>
      <c r="AN1395" s="160" t="str">
        <f t="shared" si="882"/>
        <v/>
      </c>
      <c r="AO1395" s="161" t="str">
        <f t="shared" si="883"/>
        <v/>
      </c>
      <c r="AP1395" s="156" t="str">
        <f t="shared" si="870"/>
        <v/>
      </c>
      <c r="AQ1395" s="152"/>
      <c r="AR1395" s="162" t="str">
        <f t="shared" si="871"/>
        <v/>
      </c>
      <c r="AS1395" s="150" t="str">
        <f t="shared" si="884"/>
        <v/>
      </c>
      <c r="AT1395" s="163" t="str">
        <f t="shared" si="872"/>
        <v/>
      </c>
      <c r="AU1395" s="163" t="str">
        <f t="shared" si="873"/>
        <v/>
      </c>
      <c r="AV1395" s="163" t="str">
        <f t="shared" si="885"/>
        <v/>
      </c>
      <c r="AW1395" s="163" t="str">
        <f t="shared" si="874"/>
        <v/>
      </c>
      <c r="AX1395" s="163" t="str">
        <f t="shared" si="875"/>
        <v/>
      </c>
      <c r="AY1395" s="150" t="str">
        <f t="shared" si="886"/>
        <v/>
      </c>
      <c r="AZ1395" s="150" t="str">
        <f>IF($E1395="","",IF(OR(AND($D1395=Input!$C$6,$C1395=12),$AN1395=1),0,-AS1396+AT1396+AU1396-AV1396-AW1396-AX1396+AZ1396))</f>
        <v/>
      </c>
      <c r="BA1395" s="154" t="str">
        <f t="shared" si="876"/>
        <v/>
      </c>
      <c r="BC1395" s="147" t="str">
        <f t="shared" si="887"/>
        <v/>
      </c>
      <c r="BD1395" s="164" t="str">
        <f>IF(AND($C1394=12,$D1394=Input!$C$6),0,IF($E1395="","",AT1395+(AU1395+BD1396)/(1+$AK1395)*MIN((1-AM1395-AN1395),1)))</f>
        <v/>
      </c>
      <c r="BH1395" s="152"/>
      <c r="BI1395" s="162" t="str">
        <f t="shared" si="895"/>
        <v/>
      </c>
      <c r="BJ1395" s="150" t="str">
        <f t="shared" si="896"/>
        <v/>
      </c>
      <c r="BK1395" s="163" t="str">
        <f t="shared" si="892"/>
        <v/>
      </c>
      <c r="BL1395" s="163" t="str">
        <f t="shared" si="897"/>
        <v/>
      </c>
      <c r="BM1395" s="163" t="str">
        <f t="shared" si="893"/>
        <v/>
      </c>
      <c r="BN1395" s="163" t="str">
        <f t="shared" si="898"/>
        <v/>
      </c>
      <c r="BO1395" s="163" t="str">
        <f t="shared" si="899"/>
        <v/>
      </c>
      <c r="BP1395" s="150" t="str">
        <f t="shared" si="894"/>
        <v/>
      </c>
      <c r="BQ1395" s="150" t="str">
        <f t="shared" si="888"/>
        <v/>
      </c>
      <c r="BR1395" s="154" t="str">
        <f t="shared" si="900"/>
        <v/>
      </c>
      <c r="BT1395" s="147"/>
    </row>
    <row r="1396" spans="1:72" s="150" customFormat="1" x14ac:dyDescent="0.25">
      <c r="A1396" s="150" t="str">
        <f t="shared" si="889"/>
        <v/>
      </c>
      <c r="B1396" s="150" t="str">
        <f t="shared" si="890"/>
        <v/>
      </c>
      <c r="C1396" s="150" t="str">
        <f t="shared" si="891"/>
        <v/>
      </c>
      <c r="D1396" s="150" t="str">
        <f>IF(E1396="","",Input!$C$4+B1396-1)</f>
        <v/>
      </c>
      <c r="E1396" s="150" t="str">
        <f>IF(OR(AND(C1395=12,D1395=Input!$C$6),E1395=""),"",1)</f>
        <v/>
      </c>
      <c r="G1396" s="151" t="str">
        <f>IF(E1396="","",MAX(0,Input!$C$9-B1396))</f>
        <v/>
      </c>
      <c r="H1396" s="152" t="str">
        <f>IF(E1396="","",Input!$C$3)</f>
        <v/>
      </c>
      <c r="I1396" s="153" t="str">
        <f>IF(E1396="","",HLOOKUP($B1396,Input!$C$13:$BT$14,2))</f>
        <v/>
      </c>
      <c r="J1396" s="154"/>
      <c r="K1396" s="150" t="str">
        <f>IF($E1396="","",INDEX(Input!$C$16:$CP$16,1,$B1396))</f>
        <v/>
      </c>
      <c r="L1396" s="150" t="str">
        <f>IF($E1396="","",Input!$C$37)</f>
        <v/>
      </c>
      <c r="M1396" s="150" t="str">
        <f t="shared" si="877"/>
        <v/>
      </c>
      <c r="N1396" s="150" t="str">
        <f t="shared" si="878"/>
        <v/>
      </c>
      <c r="O1396" s="147" t="str">
        <f>IF($E1396="","",MIN(VLOOKUP(IF($B1396&lt;=Input!$C$7,$B1396,26),'Mortality Tables'!$A$41:$CW$67,IF($B1396&lt;=Input!$C$7+1,Input!$C$4+2,$D1396-Input!$C$7+2),0)*IF(B1396&gt;20,Input!$C$22,1)/1000,1))</f>
        <v/>
      </c>
      <c r="P1396" s="147" t="str">
        <f>IF($E1396="","",MIN(VLOOKUP(IF($B1396&lt;=Input!$C$7,$B1396,26),'Mortality Tables'!$A$12:$CW$37,IF($B1396&lt;=Input!$C$7+1,Input!$C$4+2,$D1396-Input!$C$7+2),0)*IF(B1396&gt;20,Input!$C$22,1)/1000,1))</f>
        <v/>
      </c>
      <c r="Q1396" s="155" t="str">
        <f>IF($E1396="","",Input!$C$21)</f>
        <v/>
      </c>
      <c r="R1396" s="159" t="str">
        <f>IF($E1396="","",(1-Q1396)^($F1396-Input!$C$20))</f>
        <v/>
      </c>
      <c r="S1396" s="147" t="str">
        <f t="shared" si="866"/>
        <v/>
      </c>
      <c r="T1396" s="147" t="str">
        <f t="shared" si="867"/>
        <v/>
      </c>
      <c r="U1396" s="160" t="str">
        <f>IF($E1396="","",IF($C1396=12,INDEX(Input!$C$15:$CP$15,1,$B1396),0))</f>
        <v/>
      </c>
      <c r="V1396" s="150" t="str">
        <f>IF(E1396="","",IF(C1396=1,IF($B1396=1,Input!$C$33,Input!$C$34),0))</f>
        <v/>
      </c>
      <c r="W1396" s="156" t="str">
        <f>IF($E1396="","",Input!$C$35)</f>
        <v/>
      </c>
      <c r="X1396" s="156" t="str">
        <f t="shared" si="868"/>
        <v/>
      </c>
      <c r="Y1396" s="154"/>
      <c r="Z1396" s="147" t="str">
        <f>IF($E1396="","",VLOOKUP($D1396,'Mortality Margins &amp; Grading'!$AB$5:$AF$125,3,0)*IF(Summary!$D$25="Included Margin",IF(AND($B1396&gt;Input!$C$9,Summary!$D$31&lt;&gt;"Included Margin"),0,1),0))</f>
        <v/>
      </c>
      <c r="AA1396" s="147" t="str">
        <f>IF($E1396="","",VLOOKUP($D1396,'Mortality Margins &amp; Grading'!$AB$5:$AF$125,5,0)*IF(Summary!$D$25="Included Margin",IF(AND($B1396&gt;Input!$C$9,Summary!$D$31&lt;&gt;"Included Margin"),0,1),0))</f>
        <v/>
      </c>
      <c r="AB1396" s="147" t="str">
        <f>IF($E1396="","",IF(AND($B1396&gt;Input!$C$9,Summary!$D$31&lt;&gt;"Included Margin"),1,IF(Summary!$D$25="Included Margin",VLOOKUP($B1396,'Mortality Margins &amp; Grading'!$AI$5:$AR$125,MATCH('Mortality Margins &amp; Grading'!$AQ$4,'Mortality Margins &amp; Grading'!$AI$4:$AR$4,0),0),1)))</f>
        <v/>
      </c>
      <c r="AC1396" s="154"/>
      <c r="AD1396" s="158" t="str">
        <f>IF(E1396="","",Input!$C$48*IF(Summary!$D$30="Included Margin",IF(AND($B1396&gt;Input!$C$9,Summary!$D$31&lt;&gt;"Included Margin"),0,1),0))</f>
        <v/>
      </c>
      <c r="AE1396" s="159" t="str">
        <f>IF(E1396="","",IF(Summary!$D$26="Included Margin",IF(AND($B1396&gt;Input!$C$9,Summary!$D$31&lt;&gt;"Included Margin"),1,1/$R1396),1))</f>
        <v/>
      </c>
      <c r="AF1396" s="160" t="str">
        <f>IF(E1396="","",IF(AND($B1396&gt;=Input!$C$9,$C1396=12,Summary!$D$31="Included Margin",$U1396&gt;0),1/U1396-1,IF($B1396&gt;=Input!$C$9,0,Input!$C$45*IF(Summary!$D$27="Included Margin",1,0))))</f>
        <v/>
      </c>
      <c r="AG1396" s="160" t="str">
        <f>IF(E1396="","",Input!$C$46*IF(Summary!$D$28="Included Margin",IF(AND($B1396&gt;Input!$C$9,Summary!$D$31&lt;&gt;"Included Margin"),0,1),0))</f>
        <v/>
      </c>
      <c r="AH1396" s="158" t="str">
        <f>IF(E1396="","",Input!$C$47*IF(Summary!$D$29="Included Margin",IF(AND($B1396&gt;Input!$C$9,Summary!$D$31&lt;&gt;"Included Margin"),0,1),0))</f>
        <v/>
      </c>
      <c r="AI1396" s="154"/>
      <c r="AJ1396" s="158" t="str">
        <f t="shared" si="879"/>
        <v/>
      </c>
      <c r="AK1396" s="150" t="str">
        <f t="shared" si="880"/>
        <v/>
      </c>
      <c r="AL1396" s="147" t="str">
        <f t="shared" si="881"/>
        <v/>
      </c>
      <c r="AM1396" s="147" t="str">
        <f t="shared" si="869"/>
        <v/>
      </c>
      <c r="AN1396" s="160" t="str">
        <f t="shared" si="882"/>
        <v/>
      </c>
      <c r="AO1396" s="161" t="str">
        <f t="shared" si="883"/>
        <v/>
      </c>
      <c r="AP1396" s="156" t="str">
        <f t="shared" si="870"/>
        <v/>
      </c>
      <c r="AQ1396" s="152"/>
      <c r="AR1396" s="162" t="str">
        <f t="shared" si="871"/>
        <v/>
      </c>
      <c r="AS1396" s="150" t="str">
        <f t="shared" si="884"/>
        <v/>
      </c>
      <c r="AT1396" s="163" t="str">
        <f t="shared" si="872"/>
        <v/>
      </c>
      <c r="AU1396" s="163" t="str">
        <f t="shared" si="873"/>
        <v/>
      </c>
      <c r="AV1396" s="163" t="str">
        <f t="shared" si="885"/>
        <v/>
      </c>
      <c r="AW1396" s="163" t="str">
        <f t="shared" si="874"/>
        <v/>
      </c>
      <c r="AX1396" s="163" t="str">
        <f t="shared" si="875"/>
        <v/>
      </c>
      <c r="AY1396" s="150" t="str">
        <f t="shared" si="886"/>
        <v/>
      </c>
      <c r="AZ1396" s="150" t="str">
        <f>IF($E1396="","",IF(OR(AND($D1396=Input!$C$6,$C1396=12),$AN1396=1),0,-AS1397+AT1397+AU1397-AV1397-AW1397-AX1397+AZ1397))</f>
        <v/>
      </c>
      <c r="BA1396" s="154" t="str">
        <f t="shared" si="876"/>
        <v/>
      </c>
      <c r="BC1396" s="147" t="str">
        <f t="shared" si="887"/>
        <v/>
      </c>
      <c r="BD1396" s="164" t="str">
        <f>IF(AND($C1395=12,$D1395=Input!$C$6),0,IF($E1396="","",AT1396+(AU1396+BD1397)/(1+$AK1396)*MIN((1-AM1396-AN1396),1)))</f>
        <v/>
      </c>
      <c r="BH1396" s="152"/>
      <c r="BI1396" s="162" t="str">
        <f t="shared" si="895"/>
        <v/>
      </c>
      <c r="BJ1396" s="150" t="str">
        <f t="shared" si="896"/>
        <v/>
      </c>
      <c r="BK1396" s="163" t="str">
        <f t="shared" si="892"/>
        <v/>
      </c>
      <c r="BL1396" s="163" t="str">
        <f t="shared" si="897"/>
        <v/>
      </c>
      <c r="BM1396" s="163" t="str">
        <f t="shared" si="893"/>
        <v/>
      </c>
      <c r="BN1396" s="163" t="str">
        <f t="shared" si="898"/>
        <v/>
      </c>
      <c r="BO1396" s="163" t="str">
        <f t="shared" si="899"/>
        <v/>
      </c>
      <c r="BP1396" s="150" t="str">
        <f t="shared" si="894"/>
        <v/>
      </c>
      <c r="BQ1396" s="150" t="str">
        <f t="shared" si="888"/>
        <v/>
      </c>
      <c r="BR1396" s="154" t="str">
        <f t="shared" si="900"/>
        <v/>
      </c>
      <c r="BT1396" s="147"/>
    </row>
    <row r="1397" spans="1:72" s="150" customFormat="1" x14ac:dyDescent="0.25">
      <c r="A1397" s="150" t="str">
        <f t="shared" si="889"/>
        <v/>
      </c>
      <c r="B1397" s="150" t="str">
        <f t="shared" si="890"/>
        <v/>
      </c>
      <c r="C1397" s="150" t="str">
        <f t="shared" si="891"/>
        <v/>
      </c>
      <c r="D1397" s="150" t="str">
        <f>IF(E1397="","",Input!$C$4+B1397-1)</f>
        <v/>
      </c>
      <c r="E1397" s="150" t="str">
        <f>IF(OR(AND(C1396=12,D1396=Input!$C$6),E1396=""),"",1)</f>
        <v/>
      </c>
      <c r="G1397" s="151" t="str">
        <f>IF(E1397="","",MAX(0,Input!$C$9-B1397))</f>
        <v/>
      </c>
      <c r="H1397" s="152" t="str">
        <f>IF(E1397="","",Input!$C$3)</f>
        <v/>
      </c>
      <c r="I1397" s="153" t="str">
        <f>IF(E1397="","",HLOOKUP($B1397,Input!$C$13:$BT$14,2))</f>
        <v/>
      </c>
      <c r="J1397" s="154"/>
      <c r="K1397" s="150" t="str">
        <f>IF($E1397="","",INDEX(Input!$C$16:$CP$16,1,$B1397))</f>
        <v/>
      </c>
      <c r="L1397" s="150" t="str">
        <f>IF($E1397="","",Input!$C$37)</f>
        <v/>
      </c>
      <c r="M1397" s="150" t="str">
        <f t="shared" si="877"/>
        <v/>
      </c>
      <c r="N1397" s="150" t="str">
        <f t="shared" si="878"/>
        <v/>
      </c>
      <c r="O1397" s="147" t="str">
        <f>IF($E1397="","",MIN(VLOOKUP(IF($B1397&lt;=Input!$C$7,$B1397,26),'Mortality Tables'!$A$41:$CW$67,IF($B1397&lt;=Input!$C$7+1,Input!$C$4+2,$D1397-Input!$C$7+2),0)*IF(B1397&gt;20,Input!$C$22,1)/1000,1))</f>
        <v/>
      </c>
      <c r="P1397" s="147" t="str">
        <f>IF($E1397="","",MIN(VLOOKUP(IF($B1397&lt;=Input!$C$7,$B1397,26),'Mortality Tables'!$A$12:$CW$37,IF($B1397&lt;=Input!$C$7+1,Input!$C$4+2,$D1397-Input!$C$7+2),0)*IF(B1397&gt;20,Input!$C$22,1)/1000,1))</f>
        <v/>
      </c>
      <c r="Q1397" s="155" t="str">
        <f>IF($E1397="","",Input!$C$21)</f>
        <v/>
      </c>
      <c r="R1397" s="159" t="str">
        <f>IF($E1397="","",(1-Q1397)^($F1397-Input!$C$20))</f>
        <v/>
      </c>
      <c r="S1397" s="147" t="str">
        <f t="shared" si="866"/>
        <v/>
      </c>
      <c r="T1397" s="147" t="str">
        <f t="shared" si="867"/>
        <v/>
      </c>
      <c r="U1397" s="160" t="str">
        <f>IF($E1397="","",IF($C1397=12,INDEX(Input!$C$15:$CP$15,1,$B1397),0))</f>
        <v/>
      </c>
      <c r="V1397" s="150" t="str">
        <f>IF(E1397="","",IF(C1397=1,IF($B1397=1,Input!$C$33,Input!$C$34),0))</f>
        <v/>
      </c>
      <c r="W1397" s="156" t="str">
        <f>IF($E1397="","",Input!$C$35)</f>
        <v/>
      </c>
      <c r="X1397" s="156" t="str">
        <f t="shared" si="868"/>
        <v/>
      </c>
      <c r="Y1397" s="154"/>
      <c r="Z1397" s="147" t="str">
        <f>IF($E1397="","",VLOOKUP($D1397,'Mortality Margins &amp; Grading'!$AB$5:$AF$125,3,0)*IF(Summary!$D$25="Included Margin",IF(AND($B1397&gt;Input!$C$9,Summary!$D$31&lt;&gt;"Included Margin"),0,1),0))</f>
        <v/>
      </c>
      <c r="AA1397" s="147" t="str">
        <f>IF($E1397="","",VLOOKUP($D1397,'Mortality Margins &amp; Grading'!$AB$5:$AF$125,5,0)*IF(Summary!$D$25="Included Margin",IF(AND($B1397&gt;Input!$C$9,Summary!$D$31&lt;&gt;"Included Margin"),0,1),0))</f>
        <v/>
      </c>
      <c r="AB1397" s="147" t="str">
        <f>IF($E1397="","",IF(AND($B1397&gt;Input!$C$9,Summary!$D$31&lt;&gt;"Included Margin"),1,IF(Summary!$D$25="Included Margin",VLOOKUP($B1397,'Mortality Margins &amp; Grading'!$AI$5:$AR$125,MATCH('Mortality Margins &amp; Grading'!$AQ$4,'Mortality Margins &amp; Grading'!$AI$4:$AR$4,0),0),1)))</f>
        <v/>
      </c>
      <c r="AC1397" s="154"/>
      <c r="AD1397" s="158" t="str">
        <f>IF(E1397="","",Input!$C$48*IF(Summary!$D$30="Included Margin",IF(AND($B1397&gt;Input!$C$9,Summary!$D$31&lt;&gt;"Included Margin"),0,1),0))</f>
        <v/>
      </c>
      <c r="AE1397" s="159" t="str">
        <f>IF(E1397="","",IF(Summary!$D$26="Included Margin",IF(AND($B1397&gt;Input!$C$9,Summary!$D$31&lt;&gt;"Included Margin"),1,1/$R1397),1))</f>
        <v/>
      </c>
      <c r="AF1397" s="160" t="str">
        <f>IF(E1397="","",IF(AND($B1397&gt;=Input!$C$9,$C1397=12,Summary!$D$31="Included Margin",$U1397&gt;0),1/U1397-1,IF($B1397&gt;=Input!$C$9,0,Input!$C$45*IF(Summary!$D$27="Included Margin",1,0))))</f>
        <v/>
      </c>
      <c r="AG1397" s="160" t="str">
        <f>IF(E1397="","",Input!$C$46*IF(Summary!$D$28="Included Margin",IF(AND($B1397&gt;Input!$C$9,Summary!$D$31&lt;&gt;"Included Margin"),0,1),0))</f>
        <v/>
      </c>
      <c r="AH1397" s="158" t="str">
        <f>IF(E1397="","",Input!$C$47*IF(Summary!$D$29="Included Margin",IF(AND($B1397&gt;Input!$C$9,Summary!$D$31&lt;&gt;"Included Margin"),0,1),0))</f>
        <v/>
      </c>
      <c r="AI1397" s="154"/>
      <c r="AJ1397" s="158" t="str">
        <f t="shared" si="879"/>
        <v/>
      </c>
      <c r="AK1397" s="150" t="str">
        <f t="shared" si="880"/>
        <v/>
      </c>
      <c r="AL1397" s="147" t="str">
        <f t="shared" si="881"/>
        <v/>
      </c>
      <c r="AM1397" s="147" t="str">
        <f t="shared" si="869"/>
        <v/>
      </c>
      <c r="AN1397" s="160" t="str">
        <f t="shared" si="882"/>
        <v/>
      </c>
      <c r="AO1397" s="161" t="str">
        <f t="shared" si="883"/>
        <v/>
      </c>
      <c r="AP1397" s="156" t="str">
        <f t="shared" si="870"/>
        <v/>
      </c>
      <c r="AQ1397" s="152"/>
      <c r="AR1397" s="162" t="str">
        <f t="shared" si="871"/>
        <v/>
      </c>
      <c r="AS1397" s="150" t="str">
        <f t="shared" si="884"/>
        <v/>
      </c>
      <c r="AT1397" s="163" t="str">
        <f t="shared" si="872"/>
        <v/>
      </c>
      <c r="AU1397" s="163" t="str">
        <f t="shared" si="873"/>
        <v/>
      </c>
      <c r="AV1397" s="163" t="str">
        <f t="shared" si="885"/>
        <v/>
      </c>
      <c r="AW1397" s="163" t="str">
        <f t="shared" si="874"/>
        <v/>
      </c>
      <c r="AX1397" s="163" t="str">
        <f t="shared" si="875"/>
        <v/>
      </c>
      <c r="AY1397" s="150" t="str">
        <f t="shared" si="886"/>
        <v/>
      </c>
      <c r="AZ1397" s="150" t="str">
        <f>IF($E1397="","",IF(OR(AND($D1397=Input!$C$6,$C1397=12),$AN1397=1),0,-AS1398+AT1398+AU1398-AV1398-AW1398-AX1398+AZ1398))</f>
        <v/>
      </c>
      <c r="BA1397" s="154" t="str">
        <f t="shared" si="876"/>
        <v/>
      </c>
      <c r="BC1397" s="147" t="str">
        <f t="shared" si="887"/>
        <v/>
      </c>
      <c r="BD1397" s="164" t="str">
        <f>IF(AND($C1396=12,$D1396=Input!$C$6),0,IF($E1397="","",AT1397+(AU1397+BD1398)/(1+$AK1397)*MIN((1-AM1397-AN1397),1)))</f>
        <v/>
      </c>
      <c r="BH1397" s="152"/>
      <c r="BI1397" s="162" t="str">
        <f t="shared" si="895"/>
        <v/>
      </c>
      <c r="BJ1397" s="150" t="str">
        <f t="shared" si="896"/>
        <v/>
      </c>
      <c r="BK1397" s="163" t="str">
        <f t="shared" si="892"/>
        <v/>
      </c>
      <c r="BL1397" s="163" t="str">
        <f t="shared" si="897"/>
        <v/>
      </c>
      <c r="BM1397" s="163" t="str">
        <f t="shared" si="893"/>
        <v/>
      </c>
      <c r="BN1397" s="163" t="str">
        <f t="shared" si="898"/>
        <v/>
      </c>
      <c r="BO1397" s="163" t="str">
        <f t="shared" si="899"/>
        <v/>
      </c>
      <c r="BP1397" s="150" t="str">
        <f t="shared" si="894"/>
        <v/>
      </c>
      <c r="BQ1397" s="150" t="str">
        <f t="shared" si="888"/>
        <v/>
      </c>
      <c r="BR1397" s="154" t="str">
        <f t="shared" si="900"/>
        <v/>
      </c>
      <c r="BT1397" s="147"/>
    </row>
    <row r="1398" spans="1:72" s="150" customFormat="1" x14ac:dyDescent="0.25">
      <c r="A1398" s="150" t="str">
        <f t="shared" si="889"/>
        <v/>
      </c>
      <c r="B1398" s="150" t="str">
        <f t="shared" si="890"/>
        <v/>
      </c>
      <c r="C1398" s="150" t="str">
        <f t="shared" si="891"/>
        <v/>
      </c>
      <c r="D1398" s="150" t="str">
        <f>IF(E1398="","",Input!$C$4+B1398-1)</f>
        <v/>
      </c>
      <c r="E1398" s="150" t="str">
        <f>IF(OR(AND(C1397=12,D1397=Input!$C$6),E1397=""),"",1)</f>
        <v/>
      </c>
      <c r="G1398" s="151" t="str">
        <f>IF(E1398="","",MAX(0,Input!$C$9-B1398))</f>
        <v/>
      </c>
      <c r="H1398" s="152" t="str">
        <f>IF(E1398="","",Input!$C$3)</f>
        <v/>
      </c>
      <c r="I1398" s="153" t="str">
        <f>IF(E1398="","",HLOOKUP($B1398,Input!$C$13:$BT$14,2))</f>
        <v/>
      </c>
      <c r="J1398" s="154"/>
      <c r="K1398" s="150" t="str">
        <f>IF($E1398="","",INDEX(Input!$C$16:$CP$16,1,$B1398))</f>
        <v/>
      </c>
      <c r="L1398" s="150" t="str">
        <f>IF($E1398="","",Input!$C$37)</f>
        <v/>
      </c>
      <c r="M1398" s="150" t="str">
        <f t="shared" si="877"/>
        <v/>
      </c>
      <c r="N1398" s="150" t="str">
        <f t="shared" si="878"/>
        <v/>
      </c>
      <c r="O1398" s="147" t="str">
        <f>IF($E1398="","",MIN(VLOOKUP(IF($B1398&lt;=Input!$C$7,$B1398,26),'Mortality Tables'!$A$41:$CW$67,IF($B1398&lt;=Input!$C$7+1,Input!$C$4+2,$D1398-Input!$C$7+2),0)*IF(B1398&gt;20,Input!$C$22,1)/1000,1))</f>
        <v/>
      </c>
      <c r="P1398" s="147" t="str">
        <f>IF($E1398="","",MIN(VLOOKUP(IF($B1398&lt;=Input!$C$7,$B1398,26),'Mortality Tables'!$A$12:$CW$37,IF($B1398&lt;=Input!$C$7+1,Input!$C$4+2,$D1398-Input!$C$7+2),0)*IF(B1398&gt;20,Input!$C$22,1)/1000,1))</f>
        <v/>
      </c>
      <c r="Q1398" s="155" t="str">
        <f>IF($E1398="","",Input!$C$21)</f>
        <v/>
      </c>
      <c r="R1398" s="159" t="str">
        <f>IF($E1398="","",(1-Q1398)^($F1398-Input!$C$20))</f>
        <v/>
      </c>
      <c r="S1398" s="147" t="str">
        <f t="shared" si="866"/>
        <v/>
      </c>
      <c r="T1398" s="147" t="str">
        <f t="shared" si="867"/>
        <v/>
      </c>
      <c r="U1398" s="160" t="str">
        <f>IF($E1398="","",IF($C1398=12,INDEX(Input!$C$15:$CP$15,1,$B1398),0))</f>
        <v/>
      </c>
      <c r="V1398" s="150" t="str">
        <f>IF(E1398="","",IF(C1398=1,IF($B1398=1,Input!$C$33,Input!$C$34),0))</f>
        <v/>
      </c>
      <c r="W1398" s="156" t="str">
        <f>IF($E1398="","",Input!$C$35)</f>
        <v/>
      </c>
      <c r="X1398" s="156" t="str">
        <f t="shared" si="868"/>
        <v/>
      </c>
      <c r="Y1398" s="154"/>
      <c r="Z1398" s="147" t="str">
        <f>IF($E1398="","",VLOOKUP($D1398,'Mortality Margins &amp; Grading'!$AB$5:$AF$125,3,0)*IF(Summary!$D$25="Included Margin",IF(AND($B1398&gt;Input!$C$9,Summary!$D$31&lt;&gt;"Included Margin"),0,1),0))</f>
        <v/>
      </c>
      <c r="AA1398" s="147" t="str">
        <f>IF($E1398="","",VLOOKUP($D1398,'Mortality Margins &amp; Grading'!$AB$5:$AF$125,5,0)*IF(Summary!$D$25="Included Margin",IF(AND($B1398&gt;Input!$C$9,Summary!$D$31&lt;&gt;"Included Margin"),0,1),0))</f>
        <v/>
      </c>
      <c r="AB1398" s="147" t="str">
        <f>IF($E1398="","",IF(AND($B1398&gt;Input!$C$9,Summary!$D$31&lt;&gt;"Included Margin"),1,IF(Summary!$D$25="Included Margin",VLOOKUP($B1398,'Mortality Margins &amp; Grading'!$AI$5:$AR$125,MATCH('Mortality Margins &amp; Grading'!$AQ$4,'Mortality Margins &amp; Grading'!$AI$4:$AR$4,0),0),1)))</f>
        <v/>
      </c>
      <c r="AC1398" s="154"/>
      <c r="AD1398" s="158" t="str">
        <f>IF(E1398="","",Input!$C$48*IF(Summary!$D$30="Included Margin",IF(AND($B1398&gt;Input!$C$9,Summary!$D$31&lt;&gt;"Included Margin"),0,1),0))</f>
        <v/>
      </c>
      <c r="AE1398" s="159" t="str">
        <f>IF(E1398="","",IF(Summary!$D$26="Included Margin",IF(AND($B1398&gt;Input!$C$9,Summary!$D$31&lt;&gt;"Included Margin"),1,1/$R1398),1))</f>
        <v/>
      </c>
      <c r="AF1398" s="160" t="str">
        <f>IF(E1398="","",IF(AND($B1398&gt;=Input!$C$9,$C1398=12,Summary!$D$31="Included Margin",$U1398&gt;0),1/U1398-1,IF($B1398&gt;=Input!$C$9,0,Input!$C$45*IF(Summary!$D$27="Included Margin",1,0))))</f>
        <v/>
      </c>
      <c r="AG1398" s="160" t="str">
        <f>IF(E1398="","",Input!$C$46*IF(Summary!$D$28="Included Margin",IF(AND($B1398&gt;Input!$C$9,Summary!$D$31&lt;&gt;"Included Margin"),0,1),0))</f>
        <v/>
      </c>
      <c r="AH1398" s="158" t="str">
        <f>IF(E1398="","",Input!$C$47*IF(Summary!$D$29="Included Margin",IF(AND($B1398&gt;Input!$C$9,Summary!$D$31&lt;&gt;"Included Margin"),0,1),0))</f>
        <v/>
      </c>
      <c r="AI1398" s="154"/>
      <c r="AJ1398" s="158" t="str">
        <f t="shared" si="879"/>
        <v/>
      </c>
      <c r="AK1398" s="150" t="str">
        <f t="shared" si="880"/>
        <v/>
      </c>
      <c r="AL1398" s="147" t="str">
        <f t="shared" si="881"/>
        <v/>
      </c>
      <c r="AM1398" s="147" t="str">
        <f t="shared" si="869"/>
        <v/>
      </c>
      <c r="AN1398" s="160" t="str">
        <f t="shared" si="882"/>
        <v/>
      </c>
      <c r="AO1398" s="161" t="str">
        <f t="shared" si="883"/>
        <v/>
      </c>
      <c r="AP1398" s="156" t="str">
        <f t="shared" si="870"/>
        <v/>
      </c>
      <c r="AQ1398" s="152"/>
      <c r="AR1398" s="162" t="str">
        <f t="shared" si="871"/>
        <v/>
      </c>
      <c r="AS1398" s="150" t="str">
        <f t="shared" si="884"/>
        <v/>
      </c>
      <c r="AT1398" s="163" t="str">
        <f t="shared" si="872"/>
        <v/>
      </c>
      <c r="AU1398" s="163" t="str">
        <f t="shared" si="873"/>
        <v/>
      </c>
      <c r="AV1398" s="163" t="str">
        <f t="shared" si="885"/>
        <v/>
      </c>
      <c r="AW1398" s="163" t="str">
        <f t="shared" si="874"/>
        <v/>
      </c>
      <c r="AX1398" s="163" t="str">
        <f t="shared" si="875"/>
        <v/>
      </c>
      <c r="AY1398" s="150" t="str">
        <f t="shared" si="886"/>
        <v/>
      </c>
      <c r="AZ1398" s="150" t="str">
        <f>IF($E1398="","",IF(OR(AND($D1398=Input!$C$6,$C1398=12),$AN1398=1),0,-AS1399+AT1399+AU1399-AV1399-AW1399-AX1399+AZ1399))</f>
        <v/>
      </c>
      <c r="BA1398" s="154" t="str">
        <f t="shared" si="876"/>
        <v/>
      </c>
      <c r="BC1398" s="147" t="str">
        <f t="shared" si="887"/>
        <v/>
      </c>
      <c r="BD1398" s="164" t="str">
        <f>IF(AND($C1397=12,$D1397=Input!$C$6),0,IF($E1398="","",AT1398+(AU1398+BD1399)/(1+$AK1398)*MIN((1-AM1398-AN1398),1)))</f>
        <v/>
      </c>
      <c r="BH1398" s="152"/>
      <c r="BI1398" s="162" t="str">
        <f t="shared" si="895"/>
        <v/>
      </c>
      <c r="BJ1398" s="150" t="str">
        <f t="shared" si="896"/>
        <v/>
      </c>
      <c r="BK1398" s="163" t="str">
        <f t="shared" si="892"/>
        <v/>
      </c>
      <c r="BL1398" s="163" t="str">
        <f t="shared" si="897"/>
        <v/>
      </c>
      <c r="BM1398" s="163" t="str">
        <f t="shared" si="893"/>
        <v/>
      </c>
      <c r="BN1398" s="163" t="str">
        <f t="shared" si="898"/>
        <v/>
      </c>
      <c r="BO1398" s="163" t="str">
        <f t="shared" si="899"/>
        <v/>
      </c>
      <c r="BP1398" s="150" t="str">
        <f t="shared" si="894"/>
        <v/>
      </c>
      <c r="BQ1398" s="150" t="str">
        <f t="shared" si="888"/>
        <v/>
      </c>
      <c r="BR1398" s="154" t="str">
        <f t="shared" si="900"/>
        <v/>
      </c>
      <c r="BT1398" s="147"/>
    </row>
    <row r="1399" spans="1:72" s="150" customFormat="1" x14ac:dyDescent="0.25">
      <c r="A1399" s="150" t="str">
        <f t="shared" si="889"/>
        <v/>
      </c>
      <c r="B1399" s="150" t="str">
        <f t="shared" si="890"/>
        <v/>
      </c>
      <c r="C1399" s="150" t="str">
        <f t="shared" si="891"/>
        <v/>
      </c>
      <c r="D1399" s="150" t="str">
        <f>IF(E1399="","",Input!$C$4+B1399-1)</f>
        <v/>
      </c>
      <c r="E1399" s="150" t="str">
        <f>IF(OR(AND(C1398=12,D1398=Input!$C$6),E1398=""),"",1)</f>
        <v/>
      </c>
      <c r="G1399" s="151" t="str">
        <f>IF(E1399="","",MAX(0,Input!$C$9-B1399))</f>
        <v/>
      </c>
      <c r="H1399" s="152" t="str">
        <f>IF(E1399="","",Input!$C$3)</f>
        <v/>
      </c>
      <c r="I1399" s="153" t="str">
        <f>IF(E1399="","",HLOOKUP($B1399,Input!$C$13:$BT$14,2))</f>
        <v/>
      </c>
      <c r="J1399" s="154"/>
      <c r="K1399" s="150" t="str">
        <f>IF($E1399="","",INDEX(Input!$C$16:$CP$16,1,$B1399))</f>
        <v/>
      </c>
      <c r="L1399" s="150" t="str">
        <f>IF($E1399="","",Input!$C$37)</f>
        <v/>
      </c>
      <c r="M1399" s="150" t="str">
        <f t="shared" si="877"/>
        <v/>
      </c>
      <c r="N1399" s="150" t="str">
        <f t="shared" si="878"/>
        <v/>
      </c>
      <c r="O1399" s="147" t="str">
        <f>IF($E1399="","",MIN(VLOOKUP(IF($B1399&lt;=Input!$C$7,$B1399,26),'Mortality Tables'!$A$41:$CW$67,IF($B1399&lt;=Input!$C$7+1,Input!$C$4+2,$D1399-Input!$C$7+2),0)*IF(B1399&gt;20,Input!$C$22,1)/1000,1))</f>
        <v/>
      </c>
      <c r="P1399" s="147" t="str">
        <f>IF($E1399="","",MIN(VLOOKUP(IF($B1399&lt;=Input!$C$7,$B1399,26),'Mortality Tables'!$A$12:$CW$37,IF($B1399&lt;=Input!$C$7+1,Input!$C$4+2,$D1399-Input!$C$7+2),0)*IF(B1399&gt;20,Input!$C$22,1)/1000,1))</f>
        <v/>
      </c>
      <c r="Q1399" s="155" t="str">
        <f>IF($E1399="","",Input!$C$21)</f>
        <v/>
      </c>
      <c r="R1399" s="159" t="str">
        <f>IF($E1399="","",(1-Q1399)^($F1399-Input!$C$20))</f>
        <v/>
      </c>
      <c r="S1399" s="147" t="str">
        <f t="shared" si="866"/>
        <v/>
      </c>
      <c r="T1399" s="147" t="str">
        <f t="shared" si="867"/>
        <v/>
      </c>
      <c r="U1399" s="160" t="str">
        <f>IF($E1399="","",IF($C1399=12,INDEX(Input!$C$15:$CP$15,1,$B1399),0))</f>
        <v/>
      </c>
      <c r="V1399" s="150" t="str">
        <f>IF(E1399="","",IF(C1399=1,IF($B1399=1,Input!$C$33,Input!$C$34),0))</f>
        <v/>
      </c>
      <c r="W1399" s="156" t="str">
        <f>IF($E1399="","",Input!$C$35)</f>
        <v/>
      </c>
      <c r="X1399" s="156" t="str">
        <f t="shared" si="868"/>
        <v/>
      </c>
      <c r="Y1399" s="154"/>
      <c r="Z1399" s="147" t="str">
        <f>IF($E1399="","",VLOOKUP($D1399,'Mortality Margins &amp; Grading'!$AB$5:$AF$125,3,0)*IF(Summary!$D$25="Included Margin",IF(AND($B1399&gt;Input!$C$9,Summary!$D$31&lt;&gt;"Included Margin"),0,1),0))</f>
        <v/>
      </c>
      <c r="AA1399" s="147" t="str">
        <f>IF($E1399="","",VLOOKUP($D1399,'Mortality Margins &amp; Grading'!$AB$5:$AF$125,5,0)*IF(Summary!$D$25="Included Margin",IF(AND($B1399&gt;Input!$C$9,Summary!$D$31&lt;&gt;"Included Margin"),0,1),0))</f>
        <v/>
      </c>
      <c r="AB1399" s="147" t="str">
        <f>IF($E1399="","",IF(AND($B1399&gt;Input!$C$9,Summary!$D$31&lt;&gt;"Included Margin"),1,IF(Summary!$D$25="Included Margin",VLOOKUP($B1399,'Mortality Margins &amp; Grading'!$AI$5:$AR$125,MATCH('Mortality Margins &amp; Grading'!$AQ$4,'Mortality Margins &amp; Grading'!$AI$4:$AR$4,0),0),1)))</f>
        <v/>
      </c>
      <c r="AC1399" s="154"/>
      <c r="AD1399" s="158" t="str">
        <f>IF(E1399="","",Input!$C$48*IF(Summary!$D$30="Included Margin",IF(AND($B1399&gt;Input!$C$9,Summary!$D$31&lt;&gt;"Included Margin"),0,1),0))</f>
        <v/>
      </c>
      <c r="AE1399" s="159" t="str">
        <f>IF(E1399="","",IF(Summary!$D$26="Included Margin",IF(AND($B1399&gt;Input!$C$9,Summary!$D$31&lt;&gt;"Included Margin"),1,1/$R1399),1))</f>
        <v/>
      </c>
      <c r="AF1399" s="160" t="str">
        <f>IF(E1399="","",IF(AND($B1399&gt;=Input!$C$9,$C1399=12,Summary!$D$31="Included Margin",$U1399&gt;0),1/U1399-1,IF($B1399&gt;=Input!$C$9,0,Input!$C$45*IF(Summary!$D$27="Included Margin",1,0))))</f>
        <v/>
      </c>
      <c r="AG1399" s="160" t="str">
        <f>IF(E1399="","",Input!$C$46*IF(Summary!$D$28="Included Margin",IF(AND($B1399&gt;Input!$C$9,Summary!$D$31&lt;&gt;"Included Margin"),0,1),0))</f>
        <v/>
      </c>
      <c r="AH1399" s="158" t="str">
        <f>IF(E1399="","",Input!$C$47*IF(Summary!$D$29="Included Margin",IF(AND($B1399&gt;Input!$C$9,Summary!$D$31&lt;&gt;"Included Margin"),0,1),0))</f>
        <v/>
      </c>
      <c r="AI1399" s="154"/>
      <c r="AJ1399" s="158" t="str">
        <f t="shared" si="879"/>
        <v/>
      </c>
      <c r="AK1399" s="150" t="str">
        <f t="shared" si="880"/>
        <v/>
      </c>
      <c r="AL1399" s="147" t="str">
        <f t="shared" si="881"/>
        <v/>
      </c>
      <c r="AM1399" s="147" t="str">
        <f t="shared" si="869"/>
        <v/>
      </c>
      <c r="AN1399" s="160" t="str">
        <f t="shared" si="882"/>
        <v/>
      </c>
      <c r="AO1399" s="161" t="str">
        <f t="shared" si="883"/>
        <v/>
      </c>
      <c r="AP1399" s="156" t="str">
        <f t="shared" si="870"/>
        <v/>
      </c>
      <c r="AQ1399" s="152"/>
      <c r="AR1399" s="162" t="str">
        <f t="shared" si="871"/>
        <v/>
      </c>
      <c r="AS1399" s="150" t="str">
        <f t="shared" si="884"/>
        <v/>
      </c>
      <c r="AT1399" s="163" t="str">
        <f t="shared" si="872"/>
        <v/>
      </c>
      <c r="AU1399" s="163" t="str">
        <f t="shared" si="873"/>
        <v/>
      </c>
      <c r="AV1399" s="163" t="str">
        <f t="shared" si="885"/>
        <v/>
      </c>
      <c r="AW1399" s="163" t="str">
        <f t="shared" si="874"/>
        <v/>
      </c>
      <c r="AX1399" s="163" t="str">
        <f t="shared" si="875"/>
        <v/>
      </c>
      <c r="AY1399" s="150" t="str">
        <f t="shared" si="886"/>
        <v/>
      </c>
      <c r="AZ1399" s="150" t="str">
        <f>IF($E1399="","",IF(OR(AND($D1399=Input!$C$6,$C1399=12),$AN1399=1),0,-AS1400+AT1400+AU1400-AV1400-AW1400-AX1400+AZ1400))</f>
        <v/>
      </c>
      <c r="BA1399" s="154" t="str">
        <f t="shared" si="876"/>
        <v/>
      </c>
      <c r="BC1399" s="147" t="str">
        <f t="shared" si="887"/>
        <v/>
      </c>
      <c r="BD1399" s="164" t="str">
        <f>IF(AND($C1398=12,$D1398=Input!$C$6),0,IF($E1399="","",AT1399+(AU1399+BD1400)/(1+$AK1399)*MIN((1-AM1399-AN1399),1)))</f>
        <v/>
      </c>
      <c r="BH1399" s="152"/>
      <c r="BI1399" s="162" t="str">
        <f t="shared" si="895"/>
        <v/>
      </c>
      <c r="BJ1399" s="150" t="str">
        <f t="shared" si="896"/>
        <v/>
      </c>
      <c r="BK1399" s="163" t="str">
        <f t="shared" si="892"/>
        <v/>
      </c>
      <c r="BL1399" s="163" t="str">
        <f t="shared" si="897"/>
        <v/>
      </c>
      <c r="BM1399" s="163" t="str">
        <f t="shared" si="893"/>
        <v/>
      </c>
      <c r="BN1399" s="163" t="str">
        <f t="shared" si="898"/>
        <v/>
      </c>
      <c r="BO1399" s="163" t="str">
        <f t="shared" si="899"/>
        <v/>
      </c>
      <c r="BP1399" s="150" t="str">
        <f t="shared" si="894"/>
        <v/>
      </c>
      <c r="BQ1399" s="150" t="str">
        <f t="shared" si="888"/>
        <v/>
      </c>
      <c r="BR1399" s="154" t="str">
        <f t="shared" si="900"/>
        <v/>
      </c>
      <c r="BT1399" s="147"/>
    </row>
    <row r="1400" spans="1:72" s="150" customFormat="1" x14ac:dyDescent="0.25">
      <c r="A1400" s="150" t="str">
        <f t="shared" si="889"/>
        <v/>
      </c>
      <c r="B1400" s="150" t="str">
        <f t="shared" si="890"/>
        <v/>
      </c>
      <c r="C1400" s="150" t="str">
        <f t="shared" si="891"/>
        <v/>
      </c>
      <c r="D1400" s="150" t="str">
        <f>IF(E1400="","",Input!$C$4+B1400-1)</f>
        <v/>
      </c>
      <c r="E1400" s="150" t="str">
        <f>IF(OR(AND(C1399=12,D1399=Input!$C$6),E1399=""),"",1)</f>
        <v/>
      </c>
      <c r="G1400" s="151" t="str">
        <f>IF(E1400="","",MAX(0,Input!$C$9-B1400))</f>
        <v/>
      </c>
      <c r="H1400" s="152" t="str">
        <f>IF(E1400="","",Input!$C$3)</f>
        <v/>
      </c>
      <c r="I1400" s="153" t="str">
        <f>IF(E1400="","",HLOOKUP($B1400,Input!$C$13:$BT$14,2))</f>
        <v/>
      </c>
      <c r="J1400" s="154"/>
      <c r="K1400" s="150" t="str">
        <f>IF($E1400="","",INDEX(Input!$C$16:$CP$16,1,$B1400))</f>
        <v/>
      </c>
      <c r="L1400" s="150" t="str">
        <f>IF($E1400="","",Input!$C$37)</f>
        <v/>
      </c>
      <c r="M1400" s="150" t="str">
        <f t="shared" si="877"/>
        <v/>
      </c>
      <c r="N1400" s="150" t="str">
        <f t="shared" si="878"/>
        <v/>
      </c>
      <c r="O1400" s="147" t="str">
        <f>IF($E1400="","",MIN(VLOOKUP(IF($B1400&lt;=Input!$C$7,$B1400,26),'Mortality Tables'!$A$41:$CW$67,IF($B1400&lt;=Input!$C$7+1,Input!$C$4+2,$D1400-Input!$C$7+2),0)*IF(B1400&gt;20,Input!$C$22,1)/1000,1))</f>
        <v/>
      </c>
      <c r="P1400" s="147" t="str">
        <f>IF($E1400="","",MIN(VLOOKUP(IF($B1400&lt;=Input!$C$7,$B1400,26),'Mortality Tables'!$A$12:$CW$37,IF($B1400&lt;=Input!$C$7+1,Input!$C$4+2,$D1400-Input!$C$7+2),0)*IF(B1400&gt;20,Input!$C$22,1)/1000,1))</f>
        <v/>
      </c>
      <c r="Q1400" s="155" t="str">
        <f>IF($E1400="","",Input!$C$21)</f>
        <v/>
      </c>
      <c r="R1400" s="159" t="str">
        <f>IF($E1400="","",(1-Q1400)^($F1400-Input!$C$20))</f>
        <v/>
      </c>
      <c r="S1400" s="147" t="str">
        <f t="shared" si="866"/>
        <v/>
      </c>
      <c r="T1400" s="147" t="str">
        <f t="shared" si="867"/>
        <v/>
      </c>
      <c r="U1400" s="160" t="str">
        <f>IF($E1400="","",IF($C1400=12,INDEX(Input!$C$15:$CP$15,1,$B1400),0))</f>
        <v/>
      </c>
      <c r="V1400" s="150" t="str">
        <f>IF(E1400="","",IF(C1400=1,IF($B1400=1,Input!$C$33,Input!$C$34),0))</f>
        <v/>
      </c>
      <c r="W1400" s="156" t="str">
        <f>IF($E1400="","",Input!$C$35)</f>
        <v/>
      </c>
      <c r="X1400" s="156" t="str">
        <f t="shared" si="868"/>
        <v/>
      </c>
      <c r="Y1400" s="154"/>
      <c r="Z1400" s="147" t="str">
        <f>IF($E1400="","",VLOOKUP($D1400,'Mortality Margins &amp; Grading'!$AB$5:$AF$125,3,0)*IF(Summary!$D$25="Included Margin",IF(AND($B1400&gt;Input!$C$9,Summary!$D$31&lt;&gt;"Included Margin"),0,1),0))</f>
        <v/>
      </c>
      <c r="AA1400" s="147" t="str">
        <f>IF($E1400="","",VLOOKUP($D1400,'Mortality Margins &amp; Grading'!$AB$5:$AF$125,5,0)*IF(Summary!$D$25="Included Margin",IF(AND($B1400&gt;Input!$C$9,Summary!$D$31&lt;&gt;"Included Margin"),0,1),0))</f>
        <v/>
      </c>
      <c r="AB1400" s="147" t="str">
        <f>IF($E1400="","",IF(AND($B1400&gt;Input!$C$9,Summary!$D$31&lt;&gt;"Included Margin"),1,IF(Summary!$D$25="Included Margin",VLOOKUP($B1400,'Mortality Margins &amp; Grading'!$AI$5:$AR$125,MATCH('Mortality Margins &amp; Grading'!$AQ$4,'Mortality Margins &amp; Grading'!$AI$4:$AR$4,0),0),1)))</f>
        <v/>
      </c>
      <c r="AC1400" s="154"/>
      <c r="AD1400" s="158" t="str">
        <f>IF(E1400="","",Input!$C$48*IF(Summary!$D$30="Included Margin",IF(AND($B1400&gt;Input!$C$9,Summary!$D$31&lt;&gt;"Included Margin"),0,1),0))</f>
        <v/>
      </c>
      <c r="AE1400" s="159" t="str">
        <f>IF(E1400="","",IF(Summary!$D$26="Included Margin",IF(AND($B1400&gt;Input!$C$9,Summary!$D$31&lt;&gt;"Included Margin"),1,1/$R1400),1))</f>
        <v/>
      </c>
      <c r="AF1400" s="160" t="str">
        <f>IF(E1400="","",IF(AND($B1400&gt;=Input!$C$9,$C1400=12,Summary!$D$31="Included Margin",$U1400&gt;0),1/U1400-1,IF($B1400&gt;=Input!$C$9,0,Input!$C$45*IF(Summary!$D$27="Included Margin",1,0))))</f>
        <v/>
      </c>
      <c r="AG1400" s="160" t="str">
        <f>IF(E1400="","",Input!$C$46*IF(Summary!$D$28="Included Margin",IF(AND($B1400&gt;Input!$C$9,Summary!$D$31&lt;&gt;"Included Margin"),0,1),0))</f>
        <v/>
      </c>
      <c r="AH1400" s="158" t="str">
        <f>IF(E1400="","",Input!$C$47*IF(Summary!$D$29="Included Margin",IF(AND($B1400&gt;Input!$C$9,Summary!$D$31&lt;&gt;"Included Margin"),0,1),0))</f>
        <v/>
      </c>
      <c r="AI1400" s="154"/>
      <c r="AJ1400" s="158" t="str">
        <f t="shared" si="879"/>
        <v/>
      </c>
      <c r="AK1400" s="150" t="str">
        <f t="shared" si="880"/>
        <v/>
      </c>
      <c r="AL1400" s="147" t="str">
        <f t="shared" si="881"/>
        <v/>
      </c>
      <c r="AM1400" s="147" t="str">
        <f t="shared" si="869"/>
        <v/>
      </c>
      <c r="AN1400" s="160" t="str">
        <f t="shared" si="882"/>
        <v/>
      </c>
      <c r="AO1400" s="161" t="str">
        <f t="shared" si="883"/>
        <v/>
      </c>
      <c r="AP1400" s="156" t="str">
        <f t="shared" si="870"/>
        <v/>
      </c>
      <c r="AQ1400" s="152"/>
      <c r="AR1400" s="162" t="str">
        <f t="shared" si="871"/>
        <v/>
      </c>
      <c r="AS1400" s="150" t="str">
        <f t="shared" si="884"/>
        <v/>
      </c>
      <c r="AT1400" s="163" t="str">
        <f t="shared" si="872"/>
        <v/>
      </c>
      <c r="AU1400" s="163" t="str">
        <f t="shared" si="873"/>
        <v/>
      </c>
      <c r="AV1400" s="163" t="str">
        <f t="shared" si="885"/>
        <v/>
      </c>
      <c r="AW1400" s="163" t="str">
        <f t="shared" si="874"/>
        <v/>
      </c>
      <c r="AX1400" s="163" t="str">
        <f t="shared" si="875"/>
        <v/>
      </c>
      <c r="AY1400" s="150" t="str">
        <f t="shared" si="886"/>
        <v/>
      </c>
      <c r="AZ1400" s="150" t="str">
        <f>IF($E1400="","",IF(OR(AND($D1400=Input!$C$6,$C1400=12),$AN1400=1),0,-AS1401+AT1401+AU1401-AV1401-AW1401-AX1401+AZ1401))</f>
        <v/>
      </c>
      <c r="BA1400" s="154" t="str">
        <f t="shared" si="876"/>
        <v/>
      </c>
      <c r="BC1400" s="147" t="str">
        <f t="shared" si="887"/>
        <v/>
      </c>
      <c r="BD1400" s="164" t="str">
        <f>IF(AND($C1399=12,$D1399=Input!$C$6),0,IF($E1400="","",AT1400+(AU1400+BD1401)/(1+$AK1400)*MIN((1-AM1400-AN1400),1)))</f>
        <v/>
      </c>
      <c r="BH1400" s="152"/>
      <c r="BI1400" s="162" t="str">
        <f t="shared" si="895"/>
        <v/>
      </c>
      <c r="BJ1400" s="150" t="str">
        <f t="shared" si="896"/>
        <v/>
      </c>
      <c r="BK1400" s="163" t="str">
        <f t="shared" si="892"/>
        <v/>
      </c>
      <c r="BL1400" s="163" t="str">
        <f t="shared" si="897"/>
        <v/>
      </c>
      <c r="BM1400" s="163" t="str">
        <f t="shared" si="893"/>
        <v/>
      </c>
      <c r="BN1400" s="163" t="str">
        <f t="shared" si="898"/>
        <v/>
      </c>
      <c r="BO1400" s="163" t="str">
        <f t="shared" si="899"/>
        <v/>
      </c>
      <c r="BP1400" s="150" t="str">
        <f t="shared" si="894"/>
        <v/>
      </c>
      <c r="BQ1400" s="150" t="str">
        <f t="shared" si="888"/>
        <v/>
      </c>
      <c r="BR1400" s="154" t="str">
        <f t="shared" si="900"/>
        <v/>
      </c>
      <c r="BT1400" s="147"/>
    </row>
    <row r="1401" spans="1:72" s="150" customFormat="1" x14ac:dyDescent="0.25">
      <c r="A1401" s="150" t="str">
        <f t="shared" si="889"/>
        <v/>
      </c>
      <c r="B1401" s="150" t="str">
        <f t="shared" si="890"/>
        <v/>
      </c>
      <c r="C1401" s="150" t="str">
        <f t="shared" si="891"/>
        <v/>
      </c>
      <c r="D1401" s="150" t="str">
        <f>IF(E1401="","",Input!$C$4+B1401-1)</f>
        <v/>
      </c>
      <c r="E1401" s="150" t="str">
        <f>IF(OR(AND(C1400=12,D1400=Input!$C$6),E1400=""),"",1)</f>
        <v/>
      </c>
      <c r="G1401" s="151" t="str">
        <f>IF(E1401="","",MAX(0,Input!$C$9-B1401))</f>
        <v/>
      </c>
      <c r="H1401" s="152" t="str">
        <f>IF(E1401="","",Input!$C$3)</f>
        <v/>
      </c>
      <c r="I1401" s="153" t="str">
        <f>IF(E1401="","",HLOOKUP($B1401,Input!$C$13:$BT$14,2))</f>
        <v/>
      </c>
      <c r="J1401" s="154"/>
      <c r="K1401" s="150" t="str">
        <f>IF($E1401="","",INDEX(Input!$C$16:$CP$16,1,$B1401))</f>
        <v/>
      </c>
      <c r="L1401" s="150" t="str">
        <f>IF($E1401="","",Input!$C$37)</f>
        <v/>
      </c>
      <c r="M1401" s="150" t="str">
        <f t="shared" si="877"/>
        <v/>
      </c>
      <c r="N1401" s="150" t="str">
        <f t="shared" si="878"/>
        <v/>
      </c>
      <c r="O1401" s="147" t="str">
        <f>IF($E1401="","",MIN(VLOOKUP(IF($B1401&lt;=Input!$C$7,$B1401,26),'Mortality Tables'!$A$41:$CW$67,IF($B1401&lt;=Input!$C$7+1,Input!$C$4+2,$D1401-Input!$C$7+2),0)*IF(B1401&gt;20,Input!$C$22,1)/1000,1))</f>
        <v/>
      </c>
      <c r="P1401" s="147" t="str">
        <f>IF($E1401="","",MIN(VLOOKUP(IF($B1401&lt;=Input!$C$7,$B1401,26),'Mortality Tables'!$A$12:$CW$37,IF($B1401&lt;=Input!$C$7+1,Input!$C$4+2,$D1401-Input!$C$7+2),0)*IF(B1401&gt;20,Input!$C$22,1)/1000,1))</f>
        <v/>
      </c>
      <c r="Q1401" s="155" t="str">
        <f>IF($E1401="","",Input!$C$21)</f>
        <v/>
      </c>
      <c r="R1401" s="159" t="str">
        <f>IF($E1401="","",(1-Q1401)^($F1401-Input!$C$20))</f>
        <v/>
      </c>
      <c r="S1401" s="147" t="str">
        <f t="shared" si="866"/>
        <v/>
      </c>
      <c r="T1401" s="147" t="str">
        <f t="shared" si="867"/>
        <v/>
      </c>
      <c r="U1401" s="160" t="str">
        <f>IF($E1401="","",IF($C1401=12,INDEX(Input!$C$15:$CP$15,1,$B1401),0))</f>
        <v/>
      </c>
      <c r="V1401" s="150" t="str">
        <f>IF(E1401="","",IF(C1401=1,IF($B1401=1,Input!$C$33,Input!$C$34),0))</f>
        <v/>
      </c>
      <c r="W1401" s="156" t="str">
        <f>IF($E1401="","",Input!$C$35)</f>
        <v/>
      </c>
      <c r="X1401" s="156" t="str">
        <f t="shared" si="868"/>
        <v/>
      </c>
      <c r="Y1401" s="154"/>
      <c r="Z1401" s="147" t="str">
        <f>IF($E1401="","",VLOOKUP($D1401,'Mortality Margins &amp; Grading'!$AB$5:$AF$125,3,0)*IF(Summary!$D$25="Included Margin",IF(AND($B1401&gt;Input!$C$9,Summary!$D$31&lt;&gt;"Included Margin"),0,1),0))</f>
        <v/>
      </c>
      <c r="AA1401" s="147" t="str">
        <f>IF($E1401="","",VLOOKUP($D1401,'Mortality Margins &amp; Grading'!$AB$5:$AF$125,5,0)*IF(Summary!$D$25="Included Margin",IF(AND($B1401&gt;Input!$C$9,Summary!$D$31&lt;&gt;"Included Margin"),0,1),0))</f>
        <v/>
      </c>
      <c r="AB1401" s="147" t="str">
        <f>IF($E1401="","",IF(AND($B1401&gt;Input!$C$9,Summary!$D$31&lt;&gt;"Included Margin"),1,IF(Summary!$D$25="Included Margin",VLOOKUP($B1401,'Mortality Margins &amp; Grading'!$AI$5:$AR$125,MATCH('Mortality Margins &amp; Grading'!$AQ$4,'Mortality Margins &amp; Grading'!$AI$4:$AR$4,0),0),1)))</f>
        <v/>
      </c>
      <c r="AC1401" s="154"/>
      <c r="AD1401" s="158" t="str">
        <f>IF(E1401="","",Input!$C$48*IF(Summary!$D$30="Included Margin",IF(AND($B1401&gt;Input!$C$9,Summary!$D$31&lt;&gt;"Included Margin"),0,1),0))</f>
        <v/>
      </c>
      <c r="AE1401" s="159" t="str">
        <f>IF(E1401="","",IF(Summary!$D$26="Included Margin",IF(AND($B1401&gt;Input!$C$9,Summary!$D$31&lt;&gt;"Included Margin"),1,1/$R1401),1))</f>
        <v/>
      </c>
      <c r="AF1401" s="160" t="str">
        <f>IF(E1401="","",IF(AND($B1401&gt;=Input!$C$9,$C1401=12,Summary!$D$31="Included Margin",$U1401&gt;0),1/U1401-1,IF($B1401&gt;=Input!$C$9,0,Input!$C$45*IF(Summary!$D$27="Included Margin",1,0))))</f>
        <v/>
      </c>
      <c r="AG1401" s="160" t="str">
        <f>IF(E1401="","",Input!$C$46*IF(Summary!$D$28="Included Margin",IF(AND($B1401&gt;Input!$C$9,Summary!$D$31&lt;&gt;"Included Margin"),0,1),0))</f>
        <v/>
      </c>
      <c r="AH1401" s="158" t="str">
        <f>IF(E1401="","",Input!$C$47*IF(Summary!$D$29="Included Margin",IF(AND($B1401&gt;Input!$C$9,Summary!$D$31&lt;&gt;"Included Margin"),0,1),0))</f>
        <v/>
      </c>
      <c r="AI1401" s="154"/>
      <c r="AJ1401" s="158" t="str">
        <f t="shared" si="879"/>
        <v/>
      </c>
      <c r="AK1401" s="150" t="str">
        <f t="shared" si="880"/>
        <v/>
      </c>
      <c r="AL1401" s="147" t="str">
        <f t="shared" si="881"/>
        <v/>
      </c>
      <c r="AM1401" s="147" t="str">
        <f t="shared" si="869"/>
        <v/>
      </c>
      <c r="AN1401" s="160" t="str">
        <f t="shared" si="882"/>
        <v/>
      </c>
      <c r="AO1401" s="161" t="str">
        <f t="shared" si="883"/>
        <v/>
      </c>
      <c r="AP1401" s="156" t="str">
        <f t="shared" si="870"/>
        <v/>
      </c>
      <c r="AQ1401" s="152"/>
      <c r="AR1401" s="162" t="str">
        <f t="shared" si="871"/>
        <v/>
      </c>
      <c r="AS1401" s="150" t="str">
        <f t="shared" si="884"/>
        <v/>
      </c>
      <c r="AT1401" s="163" t="str">
        <f t="shared" si="872"/>
        <v/>
      </c>
      <c r="AU1401" s="163" t="str">
        <f t="shared" si="873"/>
        <v/>
      </c>
      <c r="AV1401" s="163" t="str">
        <f t="shared" si="885"/>
        <v/>
      </c>
      <c r="AW1401" s="163" t="str">
        <f t="shared" si="874"/>
        <v/>
      </c>
      <c r="AX1401" s="163" t="str">
        <f t="shared" si="875"/>
        <v/>
      </c>
      <c r="AY1401" s="150" t="str">
        <f t="shared" si="886"/>
        <v/>
      </c>
      <c r="AZ1401" s="150" t="str">
        <f>IF($E1401="","",IF(OR(AND($D1401=Input!$C$6,$C1401=12),$AN1401=1),0,-AS1402+AT1402+AU1402-AV1402-AW1402-AX1402+AZ1402))</f>
        <v/>
      </c>
      <c r="BA1401" s="154" t="str">
        <f t="shared" si="876"/>
        <v/>
      </c>
      <c r="BC1401" s="147" t="str">
        <f t="shared" si="887"/>
        <v/>
      </c>
      <c r="BD1401" s="164" t="str">
        <f>IF(AND($C1400=12,$D1400=Input!$C$6),0,IF($E1401="","",AT1401+(AU1401+BD1402)/(1+$AK1401)*MIN((1-AM1401-AN1401),1)))</f>
        <v/>
      </c>
      <c r="BH1401" s="152"/>
      <c r="BI1401" s="162" t="str">
        <f t="shared" si="895"/>
        <v/>
      </c>
      <c r="BJ1401" s="150" t="str">
        <f t="shared" si="896"/>
        <v/>
      </c>
      <c r="BK1401" s="163" t="str">
        <f t="shared" si="892"/>
        <v/>
      </c>
      <c r="BL1401" s="163" t="str">
        <f t="shared" si="897"/>
        <v/>
      </c>
      <c r="BM1401" s="163" t="str">
        <f t="shared" si="893"/>
        <v/>
      </c>
      <c r="BN1401" s="163" t="str">
        <f t="shared" si="898"/>
        <v/>
      </c>
      <c r="BO1401" s="163" t="str">
        <f t="shared" si="899"/>
        <v/>
      </c>
      <c r="BP1401" s="150" t="str">
        <f t="shared" si="894"/>
        <v/>
      </c>
      <c r="BQ1401" s="150" t="str">
        <f t="shared" si="888"/>
        <v/>
      </c>
      <c r="BR1401" s="154" t="str">
        <f t="shared" si="900"/>
        <v/>
      </c>
      <c r="BT1401" s="147"/>
    </row>
    <row r="1402" spans="1:72" s="150" customFormat="1" x14ac:dyDescent="0.25">
      <c r="A1402" s="150" t="str">
        <f t="shared" si="889"/>
        <v/>
      </c>
      <c r="B1402" s="150" t="str">
        <f t="shared" si="890"/>
        <v/>
      </c>
      <c r="C1402" s="150" t="str">
        <f t="shared" si="891"/>
        <v/>
      </c>
      <c r="D1402" s="150" t="str">
        <f>IF(E1402="","",Input!$C$4+B1402-1)</f>
        <v/>
      </c>
      <c r="E1402" s="150" t="str">
        <f>IF(OR(AND(C1401=12,D1401=Input!$C$6),E1401=""),"",1)</f>
        <v/>
      </c>
      <c r="G1402" s="151" t="str">
        <f>IF(E1402="","",MAX(0,Input!$C$9-B1402))</f>
        <v/>
      </c>
      <c r="H1402" s="152" t="str">
        <f>IF(E1402="","",Input!$C$3)</f>
        <v/>
      </c>
      <c r="I1402" s="153" t="str">
        <f>IF(E1402="","",HLOOKUP($B1402,Input!$C$13:$BT$14,2))</f>
        <v/>
      </c>
      <c r="J1402" s="154"/>
      <c r="K1402" s="150" t="str">
        <f>IF($E1402="","",INDEX(Input!$C$16:$CP$16,1,$B1402))</f>
        <v/>
      </c>
      <c r="L1402" s="150" t="str">
        <f>IF($E1402="","",Input!$C$37)</f>
        <v/>
      </c>
      <c r="M1402" s="150" t="str">
        <f t="shared" si="877"/>
        <v/>
      </c>
      <c r="N1402" s="150" t="str">
        <f t="shared" si="878"/>
        <v/>
      </c>
      <c r="O1402" s="147" t="str">
        <f>IF($E1402="","",MIN(VLOOKUP(IF($B1402&lt;=Input!$C$7,$B1402,26),'Mortality Tables'!$A$41:$CW$67,IF($B1402&lt;=Input!$C$7+1,Input!$C$4+2,$D1402-Input!$C$7+2),0)*IF(B1402&gt;20,Input!$C$22,1)/1000,1))</f>
        <v/>
      </c>
      <c r="P1402" s="147" t="str">
        <f>IF($E1402="","",MIN(VLOOKUP(IF($B1402&lt;=Input!$C$7,$B1402,26),'Mortality Tables'!$A$12:$CW$37,IF($B1402&lt;=Input!$C$7+1,Input!$C$4+2,$D1402-Input!$C$7+2),0)*IF(B1402&gt;20,Input!$C$22,1)/1000,1))</f>
        <v/>
      </c>
      <c r="Q1402" s="155" t="str">
        <f>IF($E1402="","",Input!$C$21)</f>
        <v/>
      </c>
      <c r="R1402" s="159" t="str">
        <f>IF($E1402="","",(1-Q1402)^($F1402-Input!$C$20))</f>
        <v/>
      </c>
      <c r="S1402" s="147" t="str">
        <f t="shared" si="866"/>
        <v/>
      </c>
      <c r="T1402" s="147" t="str">
        <f t="shared" si="867"/>
        <v/>
      </c>
      <c r="U1402" s="160" t="str">
        <f>IF($E1402="","",IF($C1402=12,INDEX(Input!$C$15:$CP$15,1,$B1402),0))</f>
        <v/>
      </c>
      <c r="V1402" s="150" t="str">
        <f>IF(E1402="","",IF(C1402=1,IF($B1402=1,Input!$C$33,Input!$C$34),0))</f>
        <v/>
      </c>
      <c r="W1402" s="156" t="str">
        <f>IF($E1402="","",Input!$C$35)</f>
        <v/>
      </c>
      <c r="X1402" s="156" t="str">
        <f t="shared" si="868"/>
        <v/>
      </c>
      <c r="Y1402" s="154"/>
      <c r="Z1402" s="147" t="str">
        <f>IF($E1402="","",VLOOKUP($D1402,'Mortality Margins &amp; Grading'!$AB$5:$AF$125,3,0)*IF(Summary!$D$25="Included Margin",IF(AND($B1402&gt;Input!$C$9,Summary!$D$31&lt;&gt;"Included Margin"),0,1),0))</f>
        <v/>
      </c>
      <c r="AA1402" s="147" t="str">
        <f>IF($E1402="","",VLOOKUP($D1402,'Mortality Margins &amp; Grading'!$AB$5:$AF$125,5,0)*IF(Summary!$D$25="Included Margin",IF(AND($B1402&gt;Input!$C$9,Summary!$D$31&lt;&gt;"Included Margin"),0,1),0))</f>
        <v/>
      </c>
      <c r="AB1402" s="147" t="str">
        <f>IF($E1402="","",IF(AND($B1402&gt;Input!$C$9,Summary!$D$31&lt;&gt;"Included Margin"),1,IF(Summary!$D$25="Included Margin",VLOOKUP($B1402,'Mortality Margins &amp; Grading'!$AI$5:$AR$125,MATCH('Mortality Margins &amp; Grading'!$AQ$4,'Mortality Margins &amp; Grading'!$AI$4:$AR$4,0),0),1)))</f>
        <v/>
      </c>
      <c r="AC1402" s="154"/>
      <c r="AD1402" s="158" t="str">
        <f>IF(E1402="","",Input!$C$48*IF(Summary!$D$30="Included Margin",IF(AND($B1402&gt;Input!$C$9,Summary!$D$31&lt;&gt;"Included Margin"),0,1),0))</f>
        <v/>
      </c>
      <c r="AE1402" s="159" t="str">
        <f>IF(E1402="","",IF(Summary!$D$26="Included Margin",IF(AND($B1402&gt;Input!$C$9,Summary!$D$31&lt;&gt;"Included Margin"),1,1/$R1402),1))</f>
        <v/>
      </c>
      <c r="AF1402" s="160" t="str">
        <f>IF(E1402="","",IF(AND($B1402&gt;=Input!$C$9,$C1402=12,Summary!$D$31="Included Margin",$U1402&gt;0),1/U1402-1,IF($B1402&gt;=Input!$C$9,0,Input!$C$45*IF(Summary!$D$27="Included Margin",1,0))))</f>
        <v/>
      </c>
      <c r="AG1402" s="160" t="str">
        <f>IF(E1402="","",Input!$C$46*IF(Summary!$D$28="Included Margin",IF(AND($B1402&gt;Input!$C$9,Summary!$D$31&lt;&gt;"Included Margin"),0,1),0))</f>
        <v/>
      </c>
      <c r="AH1402" s="158" t="str">
        <f>IF(E1402="","",Input!$C$47*IF(Summary!$D$29="Included Margin",IF(AND($B1402&gt;Input!$C$9,Summary!$D$31&lt;&gt;"Included Margin"),0,1),0))</f>
        <v/>
      </c>
      <c r="AI1402" s="154"/>
      <c r="AJ1402" s="158" t="str">
        <f t="shared" si="879"/>
        <v/>
      </c>
      <c r="AK1402" s="150" t="str">
        <f t="shared" si="880"/>
        <v/>
      </c>
      <c r="AL1402" s="147" t="str">
        <f t="shared" si="881"/>
        <v/>
      </c>
      <c r="AM1402" s="147" t="str">
        <f t="shared" si="869"/>
        <v/>
      </c>
      <c r="AN1402" s="160" t="str">
        <f t="shared" si="882"/>
        <v/>
      </c>
      <c r="AO1402" s="161" t="str">
        <f t="shared" si="883"/>
        <v/>
      </c>
      <c r="AP1402" s="156" t="str">
        <f t="shared" si="870"/>
        <v/>
      </c>
      <c r="AQ1402" s="152"/>
      <c r="AR1402" s="162" t="str">
        <f t="shared" si="871"/>
        <v/>
      </c>
      <c r="AS1402" s="150" t="str">
        <f t="shared" si="884"/>
        <v/>
      </c>
      <c r="AT1402" s="163" t="str">
        <f t="shared" si="872"/>
        <v/>
      </c>
      <c r="AU1402" s="163" t="str">
        <f t="shared" si="873"/>
        <v/>
      </c>
      <c r="AV1402" s="163" t="str">
        <f t="shared" si="885"/>
        <v/>
      </c>
      <c r="AW1402" s="163" t="str">
        <f t="shared" si="874"/>
        <v/>
      </c>
      <c r="AX1402" s="163" t="str">
        <f t="shared" si="875"/>
        <v/>
      </c>
      <c r="AY1402" s="150" t="str">
        <f t="shared" si="886"/>
        <v/>
      </c>
      <c r="AZ1402" s="150" t="str">
        <f>IF($E1402="","",IF(OR(AND($D1402=Input!$C$6,$C1402=12),$AN1402=1),0,-AS1403+AT1403+AU1403-AV1403-AW1403-AX1403+AZ1403))</f>
        <v/>
      </c>
      <c r="BA1402" s="154" t="str">
        <f t="shared" si="876"/>
        <v/>
      </c>
      <c r="BC1402" s="147" t="str">
        <f t="shared" si="887"/>
        <v/>
      </c>
      <c r="BD1402" s="164" t="str">
        <f>IF(AND($C1401=12,$D1401=Input!$C$6),0,IF($E1402="","",AT1402+(AU1402+BD1403)/(1+$AK1402)*MIN((1-AM1402-AN1402),1)))</f>
        <v/>
      </c>
      <c r="BH1402" s="152"/>
      <c r="BI1402" s="162" t="str">
        <f t="shared" si="895"/>
        <v/>
      </c>
      <c r="BJ1402" s="150" t="str">
        <f t="shared" si="896"/>
        <v/>
      </c>
      <c r="BK1402" s="163" t="str">
        <f t="shared" si="892"/>
        <v/>
      </c>
      <c r="BL1402" s="163" t="str">
        <f t="shared" si="897"/>
        <v/>
      </c>
      <c r="BM1402" s="163" t="str">
        <f t="shared" si="893"/>
        <v/>
      </c>
      <c r="BN1402" s="163" t="str">
        <f t="shared" si="898"/>
        <v/>
      </c>
      <c r="BO1402" s="163" t="str">
        <f t="shared" si="899"/>
        <v/>
      </c>
      <c r="BP1402" s="150" t="str">
        <f t="shared" si="894"/>
        <v/>
      </c>
      <c r="BQ1402" s="150" t="str">
        <f t="shared" si="888"/>
        <v/>
      </c>
      <c r="BR1402" s="154" t="str">
        <f t="shared" si="900"/>
        <v/>
      </c>
      <c r="BT1402" s="147"/>
    </row>
    <row r="1403" spans="1:72" s="150" customFormat="1" x14ac:dyDescent="0.25">
      <c r="A1403" s="150" t="str">
        <f t="shared" si="889"/>
        <v/>
      </c>
      <c r="B1403" s="150" t="str">
        <f t="shared" si="890"/>
        <v/>
      </c>
      <c r="C1403" s="150" t="str">
        <f t="shared" si="891"/>
        <v/>
      </c>
      <c r="D1403" s="150" t="str">
        <f>IF(E1403="","",Input!$C$4+B1403-1)</f>
        <v/>
      </c>
      <c r="E1403" s="150" t="str">
        <f>IF(OR(AND(C1402=12,D1402=Input!$C$6),E1402=""),"",1)</f>
        <v/>
      </c>
      <c r="G1403" s="151" t="str">
        <f>IF(E1403="","",MAX(0,Input!$C$9-B1403))</f>
        <v/>
      </c>
      <c r="H1403" s="152" t="str">
        <f>IF(E1403="","",Input!$C$3)</f>
        <v/>
      </c>
      <c r="I1403" s="153" t="str">
        <f>IF(E1403="","",HLOOKUP($B1403,Input!$C$13:$BT$14,2))</f>
        <v/>
      </c>
      <c r="J1403" s="154"/>
      <c r="K1403" s="150" t="str">
        <f>IF($E1403="","",INDEX(Input!$C$16:$CP$16,1,$B1403))</f>
        <v/>
      </c>
      <c r="L1403" s="150" t="str">
        <f>IF($E1403="","",Input!$C$37)</f>
        <v/>
      </c>
      <c r="M1403" s="150" t="str">
        <f t="shared" si="877"/>
        <v/>
      </c>
      <c r="N1403" s="150" t="str">
        <f t="shared" si="878"/>
        <v/>
      </c>
      <c r="O1403" s="147" t="str">
        <f>IF($E1403="","",MIN(VLOOKUP(IF($B1403&lt;=Input!$C$7,$B1403,26),'Mortality Tables'!$A$41:$CW$67,IF($B1403&lt;=Input!$C$7+1,Input!$C$4+2,$D1403-Input!$C$7+2),0)*IF(B1403&gt;20,Input!$C$22,1)/1000,1))</f>
        <v/>
      </c>
      <c r="P1403" s="147" t="str">
        <f>IF($E1403="","",MIN(VLOOKUP(IF($B1403&lt;=Input!$C$7,$B1403,26),'Mortality Tables'!$A$12:$CW$37,IF($B1403&lt;=Input!$C$7+1,Input!$C$4+2,$D1403-Input!$C$7+2),0)*IF(B1403&gt;20,Input!$C$22,1)/1000,1))</f>
        <v/>
      </c>
      <c r="Q1403" s="155" t="str">
        <f>IF($E1403="","",Input!$C$21)</f>
        <v/>
      </c>
      <c r="R1403" s="159" t="str">
        <f>IF($E1403="","",(1-Q1403)^($F1403-Input!$C$20))</f>
        <v/>
      </c>
      <c r="S1403" s="147" t="str">
        <f t="shared" si="866"/>
        <v/>
      </c>
      <c r="T1403" s="147" t="str">
        <f t="shared" si="867"/>
        <v/>
      </c>
      <c r="U1403" s="160" t="str">
        <f>IF($E1403="","",IF($C1403=12,INDEX(Input!$C$15:$CP$15,1,$B1403),0))</f>
        <v/>
      </c>
      <c r="V1403" s="150" t="str">
        <f>IF(E1403="","",IF(C1403=1,IF($B1403=1,Input!$C$33,Input!$C$34),0))</f>
        <v/>
      </c>
      <c r="W1403" s="156" t="str">
        <f>IF($E1403="","",Input!$C$35)</f>
        <v/>
      </c>
      <c r="X1403" s="156" t="str">
        <f t="shared" si="868"/>
        <v/>
      </c>
      <c r="Y1403" s="154"/>
      <c r="Z1403" s="147" t="str">
        <f>IF($E1403="","",VLOOKUP($D1403,'Mortality Margins &amp; Grading'!$AB$5:$AF$125,3,0)*IF(Summary!$D$25="Included Margin",IF(AND($B1403&gt;Input!$C$9,Summary!$D$31&lt;&gt;"Included Margin"),0,1),0))</f>
        <v/>
      </c>
      <c r="AA1403" s="147" t="str">
        <f>IF($E1403="","",VLOOKUP($D1403,'Mortality Margins &amp; Grading'!$AB$5:$AF$125,5,0)*IF(Summary!$D$25="Included Margin",IF(AND($B1403&gt;Input!$C$9,Summary!$D$31&lt;&gt;"Included Margin"),0,1),0))</f>
        <v/>
      </c>
      <c r="AB1403" s="147" t="str">
        <f>IF($E1403="","",IF(AND($B1403&gt;Input!$C$9,Summary!$D$31&lt;&gt;"Included Margin"),1,IF(Summary!$D$25="Included Margin",VLOOKUP($B1403,'Mortality Margins &amp; Grading'!$AI$5:$AR$125,MATCH('Mortality Margins &amp; Grading'!$AQ$4,'Mortality Margins &amp; Grading'!$AI$4:$AR$4,0),0),1)))</f>
        <v/>
      </c>
      <c r="AC1403" s="154"/>
      <c r="AD1403" s="158" t="str">
        <f>IF(E1403="","",Input!$C$48*IF(Summary!$D$30="Included Margin",IF(AND($B1403&gt;Input!$C$9,Summary!$D$31&lt;&gt;"Included Margin"),0,1),0))</f>
        <v/>
      </c>
      <c r="AE1403" s="159" t="str">
        <f>IF(E1403="","",IF(Summary!$D$26="Included Margin",IF(AND($B1403&gt;Input!$C$9,Summary!$D$31&lt;&gt;"Included Margin"),1,1/$R1403),1))</f>
        <v/>
      </c>
      <c r="AF1403" s="160" t="str">
        <f>IF(E1403="","",IF(AND($B1403&gt;=Input!$C$9,$C1403=12,Summary!$D$31="Included Margin",$U1403&gt;0),1/U1403-1,IF($B1403&gt;=Input!$C$9,0,Input!$C$45*IF(Summary!$D$27="Included Margin",1,0))))</f>
        <v/>
      </c>
      <c r="AG1403" s="160" t="str">
        <f>IF(E1403="","",Input!$C$46*IF(Summary!$D$28="Included Margin",IF(AND($B1403&gt;Input!$C$9,Summary!$D$31&lt;&gt;"Included Margin"),0,1),0))</f>
        <v/>
      </c>
      <c r="AH1403" s="158" t="str">
        <f>IF(E1403="","",Input!$C$47*IF(Summary!$D$29="Included Margin",IF(AND($B1403&gt;Input!$C$9,Summary!$D$31&lt;&gt;"Included Margin"),0,1),0))</f>
        <v/>
      </c>
      <c r="AI1403" s="154"/>
      <c r="AJ1403" s="158" t="str">
        <f t="shared" si="879"/>
        <v/>
      </c>
      <c r="AK1403" s="150" t="str">
        <f t="shared" si="880"/>
        <v/>
      </c>
      <c r="AL1403" s="147" t="str">
        <f t="shared" si="881"/>
        <v/>
      </c>
      <c r="AM1403" s="147" t="str">
        <f t="shared" si="869"/>
        <v/>
      </c>
      <c r="AN1403" s="160" t="str">
        <f t="shared" si="882"/>
        <v/>
      </c>
      <c r="AO1403" s="161" t="str">
        <f t="shared" si="883"/>
        <v/>
      </c>
      <c r="AP1403" s="156" t="str">
        <f t="shared" si="870"/>
        <v/>
      </c>
      <c r="AQ1403" s="152"/>
      <c r="AR1403" s="162" t="str">
        <f t="shared" si="871"/>
        <v/>
      </c>
      <c r="AS1403" s="150" t="str">
        <f t="shared" si="884"/>
        <v/>
      </c>
      <c r="AT1403" s="163" t="str">
        <f t="shared" si="872"/>
        <v/>
      </c>
      <c r="AU1403" s="163" t="str">
        <f t="shared" si="873"/>
        <v/>
      </c>
      <c r="AV1403" s="163" t="str">
        <f t="shared" si="885"/>
        <v/>
      </c>
      <c r="AW1403" s="163" t="str">
        <f t="shared" si="874"/>
        <v/>
      </c>
      <c r="AX1403" s="163" t="str">
        <f t="shared" si="875"/>
        <v/>
      </c>
      <c r="AY1403" s="150" t="str">
        <f t="shared" si="886"/>
        <v/>
      </c>
      <c r="AZ1403" s="150" t="str">
        <f>IF($E1403="","",IF(OR(AND($D1403=Input!$C$6,$C1403=12),$AN1403=1),0,-AS1404+AT1404+AU1404-AV1404-AW1404-AX1404+AZ1404))</f>
        <v/>
      </c>
      <c r="BA1403" s="154" t="str">
        <f t="shared" si="876"/>
        <v/>
      </c>
      <c r="BC1403" s="147" t="str">
        <f t="shared" si="887"/>
        <v/>
      </c>
      <c r="BD1403" s="164" t="str">
        <f>IF(AND($C1402=12,$D1402=Input!$C$6),0,IF($E1403="","",AT1403+(AU1403+BD1404)/(1+$AK1403)*MIN((1-AM1403-AN1403),1)))</f>
        <v/>
      </c>
      <c r="BH1403" s="152"/>
      <c r="BI1403" s="162" t="str">
        <f t="shared" si="895"/>
        <v/>
      </c>
      <c r="BJ1403" s="150" t="str">
        <f t="shared" si="896"/>
        <v/>
      </c>
      <c r="BK1403" s="163" t="str">
        <f t="shared" si="892"/>
        <v/>
      </c>
      <c r="BL1403" s="163" t="str">
        <f t="shared" si="897"/>
        <v/>
      </c>
      <c r="BM1403" s="163" t="str">
        <f t="shared" si="893"/>
        <v/>
      </c>
      <c r="BN1403" s="163" t="str">
        <f t="shared" si="898"/>
        <v/>
      </c>
      <c r="BO1403" s="163" t="str">
        <f t="shared" si="899"/>
        <v/>
      </c>
      <c r="BP1403" s="150" t="str">
        <f t="shared" si="894"/>
        <v/>
      </c>
      <c r="BQ1403" s="150" t="str">
        <f t="shared" si="888"/>
        <v/>
      </c>
      <c r="BR1403" s="154" t="str">
        <f t="shared" si="900"/>
        <v/>
      </c>
      <c r="BT1403" s="147"/>
    </row>
    <row r="1404" spans="1:72" s="150" customFormat="1" x14ac:dyDescent="0.25">
      <c r="A1404" s="150" t="str">
        <f t="shared" si="889"/>
        <v/>
      </c>
      <c r="B1404" s="150" t="str">
        <f t="shared" si="890"/>
        <v/>
      </c>
      <c r="C1404" s="150" t="str">
        <f t="shared" si="891"/>
        <v/>
      </c>
      <c r="D1404" s="150" t="str">
        <f>IF(E1404="","",Input!$C$4+B1404-1)</f>
        <v/>
      </c>
      <c r="E1404" s="150" t="str">
        <f>IF(OR(AND(C1403=12,D1403=Input!$C$6),E1403=""),"",1)</f>
        <v/>
      </c>
      <c r="G1404" s="151" t="str">
        <f>IF(E1404="","",MAX(0,Input!$C$9-B1404))</f>
        <v/>
      </c>
      <c r="H1404" s="152" t="str">
        <f>IF(E1404="","",Input!$C$3)</f>
        <v/>
      </c>
      <c r="I1404" s="153" t="str">
        <f>IF(E1404="","",HLOOKUP($B1404,Input!$C$13:$BT$14,2))</f>
        <v/>
      </c>
      <c r="J1404" s="154"/>
      <c r="K1404" s="150" t="str">
        <f>IF($E1404="","",INDEX(Input!$C$16:$CP$16,1,$B1404))</f>
        <v/>
      </c>
      <c r="L1404" s="150" t="str">
        <f>IF($E1404="","",Input!$C$37)</f>
        <v/>
      </c>
      <c r="M1404" s="150" t="str">
        <f t="shared" si="877"/>
        <v/>
      </c>
      <c r="N1404" s="150" t="str">
        <f t="shared" si="878"/>
        <v/>
      </c>
      <c r="O1404" s="147" t="str">
        <f>IF($E1404="","",MIN(VLOOKUP(IF($B1404&lt;=Input!$C$7,$B1404,26),'Mortality Tables'!$A$41:$CW$67,IF($B1404&lt;=Input!$C$7+1,Input!$C$4+2,$D1404-Input!$C$7+2),0)*IF(B1404&gt;20,Input!$C$22,1)/1000,1))</f>
        <v/>
      </c>
      <c r="P1404" s="147" t="str">
        <f>IF($E1404="","",MIN(VLOOKUP(IF($B1404&lt;=Input!$C$7,$B1404,26),'Mortality Tables'!$A$12:$CW$37,IF($B1404&lt;=Input!$C$7+1,Input!$C$4+2,$D1404-Input!$C$7+2),0)*IF(B1404&gt;20,Input!$C$22,1)/1000,1))</f>
        <v/>
      </c>
      <c r="Q1404" s="155" t="str">
        <f>IF($E1404="","",Input!$C$21)</f>
        <v/>
      </c>
      <c r="R1404" s="159" t="str">
        <f>IF($E1404="","",(1-Q1404)^($F1404-Input!$C$20))</f>
        <v/>
      </c>
      <c r="S1404" s="147" t="str">
        <f t="shared" si="866"/>
        <v/>
      </c>
      <c r="T1404" s="147" t="str">
        <f t="shared" si="867"/>
        <v/>
      </c>
      <c r="U1404" s="160" t="str">
        <f>IF($E1404="","",IF($C1404=12,INDEX(Input!$C$15:$CP$15,1,$B1404),0))</f>
        <v/>
      </c>
      <c r="V1404" s="150" t="str">
        <f>IF(E1404="","",IF(C1404=1,IF($B1404=1,Input!$C$33,Input!$C$34),0))</f>
        <v/>
      </c>
      <c r="W1404" s="156" t="str">
        <f>IF($E1404="","",Input!$C$35)</f>
        <v/>
      </c>
      <c r="X1404" s="156" t="str">
        <f t="shared" si="868"/>
        <v/>
      </c>
      <c r="Y1404" s="154"/>
      <c r="Z1404" s="147" t="str">
        <f>IF($E1404="","",VLOOKUP($D1404,'Mortality Margins &amp; Grading'!$AB$5:$AF$125,3,0)*IF(Summary!$D$25="Included Margin",IF(AND($B1404&gt;Input!$C$9,Summary!$D$31&lt;&gt;"Included Margin"),0,1),0))</f>
        <v/>
      </c>
      <c r="AA1404" s="147" t="str">
        <f>IF($E1404="","",VLOOKUP($D1404,'Mortality Margins &amp; Grading'!$AB$5:$AF$125,5,0)*IF(Summary!$D$25="Included Margin",IF(AND($B1404&gt;Input!$C$9,Summary!$D$31&lt;&gt;"Included Margin"),0,1),0))</f>
        <v/>
      </c>
      <c r="AB1404" s="147" t="str">
        <f>IF($E1404="","",IF(AND($B1404&gt;Input!$C$9,Summary!$D$31&lt;&gt;"Included Margin"),1,IF(Summary!$D$25="Included Margin",VLOOKUP($B1404,'Mortality Margins &amp; Grading'!$AI$5:$AR$125,MATCH('Mortality Margins &amp; Grading'!$AQ$4,'Mortality Margins &amp; Grading'!$AI$4:$AR$4,0),0),1)))</f>
        <v/>
      </c>
      <c r="AC1404" s="154"/>
      <c r="AD1404" s="158" t="str">
        <f>IF(E1404="","",Input!$C$48*IF(Summary!$D$30="Included Margin",IF(AND($B1404&gt;Input!$C$9,Summary!$D$31&lt;&gt;"Included Margin"),0,1),0))</f>
        <v/>
      </c>
      <c r="AE1404" s="159" t="str">
        <f>IF(E1404="","",IF(Summary!$D$26="Included Margin",IF(AND($B1404&gt;Input!$C$9,Summary!$D$31&lt;&gt;"Included Margin"),1,1/$R1404),1))</f>
        <v/>
      </c>
      <c r="AF1404" s="160" t="str">
        <f>IF(E1404="","",IF(AND($B1404&gt;=Input!$C$9,$C1404=12,Summary!$D$31="Included Margin",$U1404&gt;0),1/U1404-1,IF($B1404&gt;=Input!$C$9,0,Input!$C$45*IF(Summary!$D$27="Included Margin",1,0))))</f>
        <v/>
      </c>
      <c r="AG1404" s="160" t="str">
        <f>IF(E1404="","",Input!$C$46*IF(Summary!$D$28="Included Margin",IF(AND($B1404&gt;Input!$C$9,Summary!$D$31&lt;&gt;"Included Margin"),0,1),0))</f>
        <v/>
      </c>
      <c r="AH1404" s="158" t="str">
        <f>IF(E1404="","",Input!$C$47*IF(Summary!$D$29="Included Margin",IF(AND($B1404&gt;Input!$C$9,Summary!$D$31&lt;&gt;"Included Margin"),0,1),0))</f>
        <v/>
      </c>
      <c r="AI1404" s="154"/>
      <c r="AJ1404" s="158" t="str">
        <f t="shared" si="879"/>
        <v/>
      </c>
      <c r="AK1404" s="150" t="str">
        <f t="shared" si="880"/>
        <v/>
      </c>
      <c r="AL1404" s="147" t="str">
        <f t="shared" si="881"/>
        <v/>
      </c>
      <c r="AM1404" s="147" t="str">
        <f t="shared" si="869"/>
        <v/>
      </c>
      <c r="AN1404" s="160" t="str">
        <f t="shared" si="882"/>
        <v/>
      </c>
      <c r="AO1404" s="161" t="str">
        <f t="shared" si="883"/>
        <v/>
      </c>
      <c r="AP1404" s="156" t="str">
        <f t="shared" si="870"/>
        <v/>
      </c>
      <c r="AQ1404" s="152"/>
      <c r="AR1404" s="162" t="str">
        <f t="shared" si="871"/>
        <v/>
      </c>
      <c r="AS1404" s="150" t="str">
        <f t="shared" si="884"/>
        <v/>
      </c>
      <c r="AT1404" s="163" t="str">
        <f t="shared" si="872"/>
        <v/>
      </c>
      <c r="AU1404" s="163" t="str">
        <f t="shared" si="873"/>
        <v/>
      </c>
      <c r="AV1404" s="163" t="str">
        <f t="shared" si="885"/>
        <v/>
      </c>
      <c r="AW1404" s="163" t="str">
        <f t="shared" si="874"/>
        <v/>
      </c>
      <c r="AX1404" s="163" t="str">
        <f t="shared" si="875"/>
        <v/>
      </c>
      <c r="AY1404" s="150" t="str">
        <f t="shared" si="886"/>
        <v/>
      </c>
      <c r="AZ1404" s="150" t="str">
        <f>IF($E1404="","",IF(OR(AND($D1404=Input!$C$6,$C1404=12),$AN1404=1),0,-AS1405+AT1405+AU1405-AV1405-AW1405-AX1405+AZ1405))</f>
        <v/>
      </c>
      <c r="BA1404" s="154" t="str">
        <f t="shared" si="876"/>
        <v/>
      </c>
      <c r="BC1404" s="147" t="str">
        <f t="shared" si="887"/>
        <v/>
      </c>
      <c r="BD1404" s="164" t="str">
        <f>IF(AND($C1403=12,$D1403=Input!$C$6),0,IF($E1404="","",AT1404+(AU1404+BD1405)/(1+$AK1404)*MIN((1-AM1404-AN1404),1)))</f>
        <v/>
      </c>
      <c r="BH1404" s="152"/>
      <c r="BI1404" s="162" t="str">
        <f t="shared" si="895"/>
        <v/>
      </c>
      <c r="BJ1404" s="150" t="str">
        <f t="shared" si="896"/>
        <v/>
      </c>
      <c r="BK1404" s="163" t="str">
        <f t="shared" si="892"/>
        <v/>
      </c>
      <c r="BL1404" s="163" t="str">
        <f t="shared" si="897"/>
        <v/>
      </c>
      <c r="BM1404" s="163" t="str">
        <f t="shared" si="893"/>
        <v/>
      </c>
      <c r="BN1404" s="163" t="str">
        <f t="shared" si="898"/>
        <v/>
      </c>
      <c r="BO1404" s="163" t="str">
        <f t="shared" si="899"/>
        <v/>
      </c>
      <c r="BP1404" s="150" t="str">
        <f t="shared" si="894"/>
        <v/>
      </c>
      <c r="BQ1404" s="150" t="str">
        <f t="shared" si="888"/>
        <v/>
      </c>
      <c r="BR1404" s="154" t="str">
        <f t="shared" si="900"/>
        <v/>
      </c>
      <c r="BT1404" s="147"/>
    </row>
    <row r="1405" spans="1:72" s="150" customFormat="1" x14ac:dyDescent="0.25">
      <c r="A1405" s="150" t="str">
        <f t="shared" si="889"/>
        <v/>
      </c>
      <c r="B1405" s="150" t="str">
        <f t="shared" si="890"/>
        <v/>
      </c>
      <c r="C1405" s="150" t="str">
        <f t="shared" si="891"/>
        <v/>
      </c>
      <c r="D1405" s="150" t="str">
        <f>IF(E1405="","",Input!$C$4+B1405-1)</f>
        <v/>
      </c>
      <c r="E1405" s="150" t="str">
        <f>IF(OR(AND(C1404=12,D1404=Input!$C$6),E1404=""),"",1)</f>
        <v/>
      </c>
      <c r="G1405" s="151" t="str">
        <f>IF(E1405="","",MAX(0,Input!$C$9-B1405))</f>
        <v/>
      </c>
      <c r="H1405" s="152" t="str">
        <f>IF(E1405="","",Input!$C$3)</f>
        <v/>
      </c>
      <c r="I1405" s="153" t="str">
        <f>IF(E1405="","",HLOOKUP($B1405,Input!$C$13:$BT$14,2))</f>
        <v/>
      </c>
      <c r="J1405" s="154"/>
      <c r="K1405" s="150" t="str">
        <f>IF($E1405="","",INDEX(Input!$C$16:$CP$16,1,$B1405))</f>
        <v/>
      </c>
      <c r="L1405" s="150" t="str">
        <f>IF($E1405="","",Input!$C$37)</f>
        <v/>
      </c>
      <c r="M1405" s="150" t="str">
        <f t="shared" si="877"/>
        <v/>
      </c>
      <c r="N1405" s="150" t="str">
        <f t="shared" si="878"/>
        <v/>
      </c>
      <c r="O1405" s="147" t="str">
        <f>IF($E1405="","",MIN(VLOOKUP(IF($B1405&lt;=Input!$C$7,$B1405,26),'Mortality Tables'!$A$41:$CW$67,IF($B1405&lt;=Input!$C$7+1,Input!$C$4+2,$D1405-Input!$C$7+2),0)*IF(B1405&gt;20,Input!$C$22,1)/1000,1))</f>
        <v/>
      </c>
      <c r="P1405" s="147" t="str">
        <f>IF($E1405="","",MIN(VLOOKUP(IF($B1405&lt;=Input!$C$7,$B1405,26),'Mortality Tables'!$A$12:$CW$37,IF($B1405&lt;=Input!$C$7+1,Input!$C$4+2,$D1405-Input!$C$7+2),0)*IF(B1405&gt;20,Input!$C$22,1)/1000,1))</f>
        <v/>
      </c>
      <c r="Q1405" s="155" t="str">
        <f>IF($E1405="","",Input!$C$21)</f>
        <v/>
      </c>
      <c r="R1405" s="159" t="str">
        <f>IF($E1405="","",(1-Q1405)^($F1405-Input!$C$20))</f>
        <v/>
      </c>
      <c r="S1405" s="147" t="str">
        <f t="shared" si="866"/>
        <v/>
      </c>
      <c r="T1405" s="147" t="str">
        <f t="shared" si="867"/>
        <v/>
      </c>
      <c r="U1405" s="160" t="str">
        <f>IF($E1405="","",IF($C1405=12,INDEX(Input!$C$15:$CP$15,1,$B1405),0))</f>
        <v/>
      </c>
      <c r="V1405" s="150" t="str">
        <f>IF(E1405="","",IF(C1405=1,IF($B1405=1,Input!$C$33,Input!$C$34),0))</f>
        <v/>
      </c>
      <c r="W1405" s="156" t="str">
        <f>IF($E1405="","",Input!$C$35)</f>
        <v/>
      </c>
      <c r="X1405" s="156" t="str">
        <f t="shared" si="868"/>
        <v/>
      </c>
      <c r="Y1405" s="154"/>
      <c r="Z1405" s="147" t="str">
        <f>IF($E1405="","",VLOOKUP($D1405,'Mortality Margins &amp; Grading'!$AB$5:$AF$125,3,0)*IF(Summary!$D$25="Included Margin",IF(AND($B1405&gt;Input!$C$9,Summary!$D$31&lt;&gt;"Included Margin"),0,1),0))</f>
        <v/>
      </c>
      <c r="AA1405" s="147" t="str">
        <f>IF($E1405="","",VLOOKUP($D1405,'Mortality Margins &amp; Grading'!$AB$5:$AF$125,5,0)*IF(Summary!$D$25="Included Margin",IF(AND($B1405&gt;Input!$C$9,Summary!$D$31&lt;&gt;"Included Margin"),0,1),0))</f>
        <v/>
      </c>
      <c r="AB1405" s="147" t="str">
        <f>IF($E1405="","",IF(AND($B1405&gt;Input!$C$9,Summary!$D$31&lt;&gt;"Included Margin"),1,IF(Summary!$D$25="Included Margin",VLOOKUP($B1405,'Mortality Margins &amp; Grading'!$AI$5:$AR$125,MATCH('Mortality Margins &amp; Grading'!$AQ$4,'Mortality Margins &amp; Grading'!$AI$4:$AR$4,0),0),1)))</f>
        <v/>
      </c>
      <c r="AC1405" s="154"/>
      <c r="AD1405" s="158" t="str">
        <f>IF(E1405="","",Input!$C$48*IF(Summary!$D$30="Included Margin",IF(AND($B1405&gt;Input!$C$9,Summary!$D$31&lt;&gt;"Included Margin"),0,1),0))</f>
        <v/>
      </c>
      <c r="AE1405" s="159" t="str">
        <f>IF(E1405="","",IF(Summary!$D$26="Included Margin",IF(AND($B1405&gt;Input!$C$9,Summary!$D$31&lt;&gt;"Included Margin"),1,1/$R1405),1))</f>
        <v/>
      </c>
      <c r="AF1405" s="160" t="str">
        <f>IF(E1405="","",IF(AND($B1405&gt;=Input!$C$9,$C1405=12,Summary!$D$31="Included Margin",$U1405&gt;0),1/U1405-1,IF($B1405&gt;=Input!$C$9,0,Input!$C$45*IF(Summary!$D$27="Included Margin",1,0))))</f>
        <v/>
      </c>
      <c r="AG1405" s="160" t="str">
        <f>IF(E1405="","",Input!$C$46*IF(Summary!$D$28="Included Margin",IF(AND($B1405&gt;Input!$C$9,Summary!$D$31&lt;&gt;"Included Margin"),0,1),0))</f>
        <v/>
      </c>
      <c r="AH1405" s="158" t="str">
        <f>IF(E1405="","",Input!$C$47*IF(Summary!$D$29="Included Margin",IF(AND($B1405&gt;Input!$C$9,Summary!$D$31&lt;&gt;"Included Margin"),0,1),0))</f>
        <v/>
      </c>
      <c r="AI1405" s="154"/>
      <c r="AJ1405" s="158" t="str">
        <f t="shared" si="879"/>
        <v/>
      </c>
      <c r="AK1405" s="150" t="str">
        <f t="shared" si="880"/>
        <v/>
      </c>
      <c r="AL1405" s="147" t="str">
        <f t="shared" si="881"/>
        <v/>
      </c>
      <c r="AM1405" s="147" t="str">
        <f t="shared" si="869"/>
        <v/>
      </c>
      <c r="AN1405" s="160" t="str">
        <f t="shared" si="882"/>
        <v/>
      </c>
      <c r="AO1405" s="161" t="str">
        <f t="shared" si="883"/>
        <v/>
      </c>
      <c r="AP1405" s="156" t="str">
        <f t="shared" si="870"/>
        <v/>
      </c>
      <c r="AQ1405" s="152"/>
      <c r="AR1405" s="162" t="str">
        <f t="shared" si="871"/>
        <v/>
      </c>
      <c r="AS1405" s="150" t="str">
        <f t="shared" si="884"/>
        <v/>
      </c>
      <c r="AT1405" s="163" t="str">
        <f t="shared" si="872"/>
        <v/>
      </c>
      <c r="AU1405" s="163" t="str">
        <f t="shared" si="873"/>
        <v/>
      </c>
      <c r="AV1405" s="163" t="str">
        <f t="shared" si="885"/>
        <v/>
      </c>
      <c r="AW1405" s="163" t="str">
        <f t="shared" si="874"/>
        <v/>
      </c>
      <c r="AX1405" s="163" t="str">
        <f t="shared" si="875"/>
        <v/>
      </c>
      <c r="AY1405" s="150" t="str">
        <f t="shared" si="886"/>
        <v/>
      </c>
      <c r="AZ1405" s="150" t="str">
        <f>IF($E1405="","",IF(OR(AND($D1405=Input!$C$6,$C1405=12),$AN1405=1),0,-AS1406+AT1406+AU1406-AV1406-AW1406-AX1406+AZ1406))</f>
        <v/>
      </c>
      <c r="BA1405" s="154" t="str">
        <f t="shared" si="876"/>
        <v/>
      </c>
      <c r="BC1405" s="147" t="str">
        <f t="shared" si="887"/>
        <v/>
      </c>
      <c r="BD1405" s="164" t="str">
        <f>IF(AND($C1404=12,$D1404=Input!$C$6),0,IF($E1405="","",AT1405+(AU1405+BD1406)/(1+$AK1405)*MIN((1-AM1405-AN1405),1)))</f>
        <v/>
      </c>
      <c r="BH1405" s="152"/>
      <c r="BI1405" s="162" t="str">
        <f t="shared" si="895"/>
        <v/>
      </c>
      <c r="BJ1405" s="150" t="str">
        <f t="shared" si="896"/>
        <v/>
      </c>
      <c r="BK1405" s="163" t="str">
        <f t="shared" si="892"/>
        <v/>
      </c>
      <c r="BL1405" s="163" t="str">
        <f t="shared" si="897"/>
        <v/>
      </c>
      <c r="BM1405" s="163" t="str">
        <f t="shared" si="893"/>
        <v/>
      </c>
      <c r="BN1405" s="163" t="str">
        <f t="shared" si="898"/>
        <v/>
      </c>
      <c r="BO1405" s="163" t="str">
        <f t="shared" si="899"/>
        <v/>
      </c>
      <c r="BP1405" s="150" t="str">
        <f t="shared" si="894"/>
        <v/>
      </c>
      <c r="BQ1405" s="150" t="str">
        <f t="shared" si="888"/>
        <v/>
      </c>
      <c r="BR1405" s="154" t="str">
        <f t="shared" si="900"/>
        <v/>
      </c>
      <c r="BT1405" s="147"/>
    </row>
    <row r="1406" spans="1:72" s="150" customFormat="1" x14ac:dyDescent="0.25">
      <c r="A1406" s="150" t="str">
        <f t="shared" si="889"/>
        <v/>
      </c>
      <c r="B1406" s="150" t="str">
        <f t="shared" si="890"/>
        <v/>
      </c>
      <c r="C1406" s="150" t="str">
        <f t="shared" si="891"/>
        <v/>
      </c>
      <c r="D1406" s="150" t="str">
        <f>IF(E1406="","",Input!$C$4+B1406-1)</f>
        <v/>
      </c>
      <c r="E1406" s="150" t="str">
        <f>IF(OR(AND(C1405=12,D1405=Input!$C$6),E1405=""),"",1)</f>
        <v/>
      </c>
      <c r="G1406" s="151" t="str">
        <f>IF(E1406="","",MAX(0,Input!$C$9-B1406))</f>
        <v/>
      </c>
      <c r="H1406" s="152" t="str">
        <f>IF(E1406="","",Input!$C$3)</f>
        <v/>
      </c>
      <c r="I1406" s="153" t="str">
        <f>IF(E1406="","",HLOOKUP($B1406,Input!$C$13:$BT$14,2))</f>
        <v/>
      </c>
      <c r="J1406" s="154"/>
      <c r="K1406" s="150" t="str">
        <f>IF($E1406="","",INDEX(Input!$C$16:$CP$16,1,$B1406))</f>
        <v/>
      </c>
      <c r="L1406" s="150" t="str">
        <f>IF($E1406="","",Input!$C$37)</f>
        <v/>
      </c>
      <c r="M1406" s="150" t="str">
        <f t="shared" si="877"/>
        <v/>
      </c>
      <c r="N1406" s="150" t="str">
        <f t="shared" si="878"/>
        <v/>
      </c>
      <c r="O1406" s="147" t="str">
        <f>IF($E1406="","",MIN(VLOOKUP(IF($B1406&lt;=Input!$C$7,$B1406,26),'Mortality Tables'!$A$41:$CW$67,IF($B1406&lt;=Input!$C$7+1,Input!$C$4+2,$D1406-Input!$C$7+2),0)*IF(B1406&gt;20,Input!$C$22,1)/1000,1))</f>
        <v/>
      </c>
      <c r="P1406" s="147" t="str">
        <f>IF($E1406="","",MIN(VLOOKUP(IF($B1406&lt;=Input!$C$7,$B1406,26),'Mortality Tables'!$A$12:$CW$37,IF($B1406&lt;=Input!$C$7+1,Input!$C$4+2,$D1406-Input!$C$7+2),0)*IF(B1406&gt;20,Input!$C$22,1)/1000,1))</f>
        <v/>
      </c>
      <c r="Q1406" s="155" t="str">
        <f>IF($E1406="","",Input!$C$21)</f>
        <v/>
      </c>
      <c r="R1406" s="159" t="str">
        <f>IF($E1406="","",(1-Q1406)^($F1406-Input!$C$20))</f>
        <v/>
      </c>
      <c r="S1406" s="147" t="str">
        <f t="shared" si="866"/>
        <v/>
      </c>
      <c r="T1406" s="147" t="str">
        <f t="shared" si="867"/>
        <v/>
      </c>
      <c r="U1406" s="160" t="str">
        <f>IF($E1406="","",IF($C1406=12,INDEX(Input!$C$15:$CP$15,1,$B1406),0))</f>
        <v/>
      </c>
      <c r="V1406" s="150" t="str">
        <f>IF(E1406="","",IF(C1406=1,IF($B1406=1,Input!$C$33,Input!$C$34),0))</f>
        <v/>
      </c>
      <c r="W1406" s="156" t="str">
        <f>IF($E1406="","",Input!$C$35)</f>
        <v/>
      </c>
      <c r="X1406" s="156" t="str">
        <f t="shared" si="868"/>
        <v/>
      </c>
      <c r="Y1406" s="154"/>
      <c r="Z1406" s="147" t="str">
        <f>IF($E1406="","",VLOOKUP($D1406,'Mortality Margins &amp; Grading'!$AB$5:$AF$125,3,0)*IF(Summary!$D$25="Included Margin",IF(AND($B1406&gt;Input!$C$9,Summary!$D$31&lt;&gt;"Included Margin"),0,1),0))</f>
        <v/>
      </c>
      <c r="AA1406" s="147" t="str">
        <f>IF($E1406="","",VLOOKUP($D1406,'Mortality Margins &amp; Grading'!$AB$5:$AF$125,5,0)*IF(Summary!$D$25="Included Margin",IF(AND($B1406&gt;Input!$C$9,Summary!$D$31&lt;&gt;"Included Margin"),0,1),0))</f>
        <v/>
      </c>
      <c r="AB1406" s="147" t="str">
        <f>IF($E1406="","",IF(AND($B1406&gt;Input!$C$9,Summary!$D$31&lt;&gt;"Included Margin"),1,IF(Summary!$D$25="Included Margin",VLOOKUP($B1406,'Mortality Margins &amp; Grading'!$AI$5:$AR$125,MATCH('Mortality Margins &amp; Grading'!$AQ$4,'Mortality Margins &amp; Grading'!$AI$4:$AR$4,0),0),1)))</f>
        <v/>
      </c>
      <c r="AC1406" s="154"/>
      <c r="AD1406" s="158" t="str">
        <f>IF(E1406="","",Input!$C$48*IF(Summary!$D$30="Included Margin",IF(AND($B1406&gt;Input!$C$9,Summary!$D$31&lt;&gt;"Included Margin"),0,1),0))</f>
        <v/>
      </c>
      <c r="AE1406" s="159" t="str">
        <f>IF(E1406="","",IF(Summary!$D$26="Included Margin",IF(AND($B1406&gt;Input!$C$9,Summary!$D$31&lt;&gt;"Included Margin"),1,1/$R1406),1))</f>
        <v/>
      </c>
      <c r="AF1406" s="160" t="str">
        <f>IF(E1406="","",IF(AND($B1406&gt;=Input!$C$9,$C1406=12,Summary!$D$31="Included Margin",$U1406&gt;0),1/U1406-1,IF($B1406&gt;=Input!$C$9,0,Input!$C$45*IF(Summary!$D$27="Included Margin",1,0))))</f>
        <v/>
      </c>
      <c r="AG1406" s="160" t="str">
        <f>IF(E1406="","",Input!$C$46*IF(Summary!$D$28="Included Margin",IF(AND($B1406&gt;Input!$C$9,Summary!$D$31&lt;&gt;"Included Margin"),0,1),0))</f>
        <v/>
      </c>
      <c r="AH1406" s="158" t="str">
        <f>IF(E1406="","",Input!$C$47*IF(Summary!$D$29="Included Margin",IF(AND($B1406&gt;Input!$C$9,Summary!$D$31&lt;&gt;"Included Margin"),0,1),0))</f>
        <v/>
      </c>
      <c r="AI1406" s="154"/>
      <c r="AJ1406" s="158" t="str">
        <f t="shared" si="879"/>
        <v/>
      </c>
      <c r="AK1406" s="150" t="str">
        <f t="shared" si="880"/>
        <v/>
      </c>
      <c r="AL1406" s="147" t="str">
        <f t="shared" si="881"/>
        <v/>
      </c>
      <c r="AM1406" s="147" t="str">
        <f t="shared" si="869"/>
        <v/>
      </c>
      <c r="AN1406" s="160" t="str">
        <f t="shared" si="882"/>
        <v/>
      </c>
      <c r="AO1406" s="161" t="str">
        <f t="shared" si="883"/>
        <v/>
      </c>
      <c r="AP1406" s="156" t="str">
        <f t="shared" si="870"/>
        <v/>
      </c>
      <c r="AQ1406" s="152"/>
      <c r="AR1406" s="162" t="str">
        <f t="shared" si="871"/>
        <v/>
      </c>
      <c r="AS1406" s="150" t="str">
        <f t="shared" si="884"/>
        <v/>
      </c>
      <c r="AT1406" s="163" t="str">
        <f t="shared" si="872"/>
        <v/>
      </c>
      <c r="AU1406" s="163" t="str">
        <f t="shared" si="873"/>
        <v/>
      </c>
      <c r="AV1406" s="163" t="str">
        <f t="shared" si="885"/>
        <v/>
      </c>
      <c r="AW1406" s="163" t="str">
        <f t="shared" si="874"/>
        <v/>
      </c>
      <c r="AX1406" s="163" t="str">
        <f t="shared" si="875"/>
        <v/>
      </c>
      <c r="AY1406" s="150" t="str">
        <f t="shared" si="886"/>
        <v/>
      </c>
      <c r="AZ1406" s="150" t="str">
        <f>IF($E1406="","",IF(OR(AND($D1406=Input!$C$6,$C1406=12),$AN1406=1),0,-AS1407+AT1407+AU1407-AV1407-AW1407-AX1407+AZ1407))</f>
        <v/>
      </c>
      <c r="BA1406" s="154" t="str">
        <f t="shared" si="876"/>
        <v/>
      </c>
      <c r="BC1406" s="147" t="str">
        <f t="shared" si="887"/>
        <v/>
      </c>
      <c r="BD1406" s="164" t="str">
        <f>IF(AND($C1405=12,$D1405=Input!$C$6),0,IF($E1406="","",AT1406+(AU1406+BD1407)/(1+$AK1406)*MIN((1-AM1406-AN1406),1)))</f>
        <v/>
      </c>
      <c r="BH1406" s="152"/>
      <c r="BI1406" s="162" t="str">
        <f t="shared" si="895"/>
        <v/>
      </c>
      <c r="BJ1406" s="150" t="str">
        <f t="shared" si="896"/>
        <v/>
      </c>
      <c r="BK1406" s="163" t="str">
        <f t="shared" si="892"/>
        <v/>
      </c>
      <c r="BL1406" s="163" t="str">
        <f t="shared" si="897"/>
        <v/>
      </c>
      <c r="BM1406" s="163" t="str">
        <f t="shared" si="893"/>
        <v/>
      </c>
      <c r="BN1406" s="163" t="str">
        <f t="shared" si="898"/>
        <v/>
      </c>
      <c r="BO1406" s="163" t="str">
        <f t="shared" si="899"/>
        <v/>
      </c>
      <c r="BP1406" s="150" t="str">
        <f t="shared" si="894"/>
        <v/>
      </c>
      <c r="BQ1406" s="150" t="str">
        <f t="shared" si="888"/>
        <v/>
      </c>
      <c r="BR1406" s="154" t="str">
        <f t="shared" si="900"/>
        <v/>
      </c>
      <c r="BT1406" s="147"/>
    </row>
    <row r="1407" spans="1:72" s="150" customFormat="1" x14ac:dyDescent="0.25">
      <c r="A1407" s="150" t="str">
        <f t="shared" si="889"/>
        <v/>
      </c>
      <c r="B1407" s="150" t="str">
        <f t="shared" si="890"/>
        <v/>
      </c>
      <c r="C1407" s="150" t="str">
        <f t="shared" si="891"/>
        <v/>
      </c>
      <c r="D1407" s="150" t="str">
        <f>IF(E1407="","",Input!$C$4+B1407-1)</f>
        <v/>
      </c>
      <c r="E1407" s="150" t="str">
        <f>IF(OR(AND(C1406=12,D1406=Input!$C$6),E1406=""),"",1)</f>
        <v/>
      </c>
      <c r="G1407" s="151" t="str">
        <f>IF(E1407="","",MAX(0,Input!$C$9-B1407))</f>
        <v/>
      </c>
      <c r="H1407" s="152" t="str">
        <f>IF(E1407="","",Input!$C$3)</f>
        <v/>
      </c>
      <c r="I1407" s="153" t="str">
        <f>IF(E1407="","",HLOOKUP($B1407,Input!$C$13:$BT$14,2))</f>
        <v/>
      </c>
      <c r="J1407" s="154"/>
      <c r="K1407" s="150" t="str">
        <f>IF($E1407="","",INDEX(Input!$C$16:$CP$16,1,$B1407))</f>
        <v/>
      </c>
      <c r="L1407" s="150" t="str">
        <f>IF($E1407="","",Input!$C$37)</f>
        <v/>
      </c>
      <c r="M1407" s="150" t="str">
        <f t="shared" si="877"/>
        <v/>
      </c>
      <c r="N1407" s="150" t="str">
        <f t="shared" si="878"/>
        <v/>
      </c>
      <c r="O1407" s="147" t="str">
        <f>IF($E1407="","",MIN(VLOOKUP(IF($B1407&lt;=Input!$C$7,$B1407,26),'Mortality Tables'!$A$41:$CW$67,IF($B1407&lt;=Input!$C$7+1,Input!$C$4+2,$D1407-Input!$C$7+2),0)*IF(B1407&gt;20,Input!$C$22,1)/1000,1))</f>
        <v/>
      </c>
      <c r="P1407" s="147" t="str">
        <f>IF($E1407="","",MIN(VLOOKUP(IF($B1407&lt;=Input!$C$7,$B1407,26),'Mortality Tables'!$A$12:$CW$37,IF($B1407&lt;=Input!$C$7+1,Input!$C$4+2,$D1407-Input!$C$7+2),0)*IF(B1407&gt;20,Input!$C$22,1)/1000,1))</f>
        <v/>
      </c>
      <c r="Q1407" s="155" t="str">
        <f>IF($E1407="","",Input!$C$21)</f>
        <v/>
      </c>
      <c r="R1407" s="159" t="str">
        <f>IF($E1407="","",(1-Q1407)^($F1407-Input!$C$20))</f>
        <v/>
      </c>
      <c r="S1407" s="147" t="str">
        <f t="shared" si="866"/>
        <v/>
      </c>
      <c r="T1407" s="147" t="str">
        <f t="shared" si="867"/>
        <v/>
      </c>
      <c r="U1407" s="160" t="str">
        <f>IF($E1407="","",IF($C1407=12,INDEX(Input!$C$15:$CP$15,1,$B1407),0))</f>
        <v/>
      </c>
      <c r="V1407" s="150" t="str">
        <f>IF(E1407="","",IF(C1407=1,IF($B1407=1,Input!$C$33,Input!$C$34),0))</f>
        <v/>
      </c>
      <c r="W1407" s="156" t="str">
        <f>IF($E1407="","",Input!$C$35)</f>
        <v/>
      </c>
      <c r="X1407" s="156" t="str">
        <f t="shared" si="868"/>
        <v/>
      </c>
      <c r="Y1407" s="154"/>
      <c r="Z1407" s="147" t="str">
        <f>IF($E1407="","",VLOOKUP($D1407,'Mortality Margins &amp; Grading'!$AB$5:$AF$125,3,0)*IF(Summary!$D$25="Included Margin",IF(AND($B1407&gt;Input!$C$9,Summary!$D$31&lt;&gt;"Included Margin"),0,1),0))</f>
        <v/>
      </c>
      <c r="AA1407" s="147" t="str">
        <f>IF($E1407="","",VLOOKUP($D1407,'Mortality Margins &amp; Grading'!$AB$5:$AF$125,5,0)*IF(Summary!$D$25="Included Margin",IF(AND($B1407&gt;Input!$C$9,Summary!$D$31&lt;&gt;"Included Margin"),0,1),0))</f>
        <v/>
      </c>
      <c r="AB1407" s="147" t="str">
        <f>IF($E1407="","",IF(AND($B1407&gt;Input!$C$9,Summary!$D$31&lt;&gt;"Included Margin"),1,IF(Summary!$D$25="Included Margin",VLOOKUP($B1407,'Mortality Margins &amp; Grading'!$AI$5:$AR$125,MATCH('Mortality Margins &amp; Grading'!$AQ$4,'Mortality Margins &amp; Grading'!$AI$4:$AR$4,0),0),1)))</f>
        <v/>
      </c>
      <c r="AC1407" s="154"/>
      <c r="AD1407" s="158" t="str">
        <f>IF(E1407="","",Input!$C$48*IF(Summary!$D$30="Included Margin",IF(AND($B1407&gt;Input!$C$9,Summary!$D$31&lt;&gt;"Included Margin"),0,1),0))</f>
        <v/>
      </c>
      <c r="AE1407" s="159" t="str">
        <f>IF(E1407="","",IF(Summary!$D$26="Included Margin",IF(AND($B1407&gt;Input!$C$9,Summary!$D$31&lt;&gt;"Included Margin"),1,1/$R1407),1))</f>
        <v/>
      </c>
      <c r="AF1407" s="160" t="str">
        <f>IF(E1407="","",IF(AND($B1407&gt;=Input!$C$9,$C1407=12,Summary!$D$31="Included Margin",$U1407&gt;0),1/U1407-1,IF($B1407&gt;=Input!$C$9,0,Input!$C$45*IF(Summary!$D$27="Included Margin",1,0))))</f>
        <v/>
      </c>
      <c r="AG1407" s="160" t="str">
        <f>IF(E1407="","",Input!$C$46*IF(Summary!$D$28="Included Margin",IF(AND($B1407&gt;Input!$C$9,Summary!$D$31&lt;&gt;"Included Margin"),0,1),0))</f>
        <v/>
      </c>
      <c r="AH1407" s="158" t="str">
        <f>IF(E1407="","",Input!$C$47*IF(Summary!$D$29="Included Margin",IF(AND($B1407&gt;Input!$C$9,Summary!$D$31&lt;&gt;"Included Margin"),0,1),0))</f>
        <v/>
      </c>
      <c r="AI1407" s="154"/>
      <c r="AJ1407" s="158" t="str">
        <f t="shared" si="879"/>
        <v/>
      </c>
      <c r="AK1407" s="150" t="str">
        <f t="shared" si="880"/>
        <v/>
      </c>
      <c r="AL1407" s="147" t="str">
        <f t="shared" si="881"/>
        <v/>
      </c>
      <c r="AM1407" s="147" t="str">
        <f t="shared" si="869"/>
        <v/>
      </c>
      <c r="AN1407" s="160" t="str">
        <f t="shared" si="882"/>
        <v/>
      </c>
      <c r="AO1407" s="161" t="str">
        <f t="shared" si="883"/>
        <v/>
      </c>
      <c r="AP1407" s="156" t="str">
        <f t="shared" si="870"/>
        <v/>
      </c>
      <c r="AQ1407" s="152"/>
      <c r="AR1407" s="162" t="str">
        <f t="shared" si="871"/>
        <v/>
      </c>
      <c r="AS1407" s="150" t="str">
        <f t="shared" si="884"/>
        <v/>
      </c>
      <c r="AT1407" s="163" t="str">
        <f t="shared" si="872"/>
        <v/>
      </c>
      <c r="AU1407" s="163" t="str">
        <f t="shared" si="873"/>
        <v/>
      </c>
      <c r="AV1407" s="163" t="str">
        <f t="shared" si="885"/>
        <v/>
      </c>
      <c r="AW1407" s="163" t="str">
        <f t="shared" si="874"/>
        <v/>
      </c>
      <c r="AX1407" s="163" t="str">
        <f t="shared" si="875"/>
        <v/>
      </c>
      <c r="AY1407" s="150" t="str">
        <f t="shared" si="886"/>
        <v/>
      </c>
      <c r="AZ1407" s="150" t="str">
        <f>IF($E1407="","",IF(OR(AND($D1407=Input!$C$6,$C1407=12),$AN1407=1),0,-AS1408+AT1408+AU1408-AV1408-AW1408-AX1408+AZ1408))</f>
        <v/>
      </c>
      <c r="BA1407" s="154" t="str">
        <f t="shared" si="876"/>
        <v/>
      </c>
      <c r="BC1407" s="147" t="str">
        <f t="shared" si="887"/>
        <v/>
      </c>
      <c r="BD1407" s="164" t="str">
        <f>IF(AND($C1406=12,$D1406=Input!$C$6),0,IF($E1407="","",AT1407+(AU1407+BD1408)/(1+$AK1407)*MIN((1-AM1407-AN1407),1)))</f>
        <v/>
      </c>
      <c r="BH1407" s="152"/>
      <c r="BI1407" s="162" t="str">
        <f t="shared" si="895"/>
        <v/>
      </c>
      <c r="BJ1407" s="150" t="str">
        <f t="shared" si="896"/>
        <v/>
      </c>
      <c r="BK1407" s="163" t="str">
        <f t="shared" si="892"/>
        <v/>
      </c>
      <c r="BL1407" s="163" t="str">
        <f t="shared" si="897"/>
        <v/>
      </c>
      <c r="BM1407" s="163" t="str">
        <f t="shared" si="893"/>
        <v/>
      </c>
      <c r="BN1407" s="163" t="str">
        <f t="shared" si="898"/>
        <v/>
      </c>
      <c r="BO1407" s="163" t="str">
        <f t="shared" si="899"/>
        <v/>
      </c>
      <c r="BP1407" s="150" t="str">
        <f t="shared" si="894"/>
        <v/>
      </c>
      <c r="BQ1407" s="150" t="str">
        <f t="shared" si="888"/>
        <v/>
      </c>
      <c r="BR1407" s="154" t="str">
        <f t="shared" si="900"/>
        <v/>
      </c>
      <c r="BT1407" s="147"/>
    </row>
    <row r="1408" spans="1:72" s="150" customFormat="1" x14ac:dyDescent="0.25">
      <c r="A1408" s="150" t="str">
        <f t="shared" si="889"/>
        <v/>
      </c>
      <c r="B1408" s="150" t="str">
        <f t="shared" si="890"/>
        <v/>
      </c>
      <c r="C1408" s="150" t="str">
        <f t="shared" si="891"/>
        <v/>
      </c>
      <c r="D1408" s="150" t="str">
        <f>IF(E1408="","",Input!$C$4+B1408-1)</f>
        <v/>
      </c>
      <c r="E1408" s="150" t="str">
        <f>IF(OR(AND(C1407=12,D1407=Input!$C$6),E1407=""),"",1)</f>
        <v/>
      </c>
      <c r="G1408" s="151" t="str">
        <f>IF(E1408="","",MAX(0,Input!$C$9-B1408))</f>
        <v/>
      </c>
      <c r="H1408" s="152" t="str">
        <f>IF(E1408="","",Input!$C$3)</f>
        <v/>
      </c>
      <c r="I1408" s="153" t="str">
        <f>IF(E1408="","",HLOOKUP($B1408,Input!$C$13:$BT$14,2))</f>
        <v/>
      </c>
      <c r="J1408" s="154"/>
      <c r="K1408" s="150" t="str">
        <f>IF($E1408="","",INDEX(Input!$C$16:$CP$16,1,$B1408))</f>
        <v/>
      </c>
      <c r="L1408" s="150" t="str">
        <f>IF($E1408="","",Input!$C$37)</f>
        <v/>
      </c>
      <c r="M1408" s="150" t="str">
        <f t="shared" si="877"/>
        <v/>
      </c>
      <c r="N1408" s="150" t="str">
        <f t="shared" si="878"/>
        <v/>
      </c>
      <c r="O1408" s="147" t="str">
        <f>IF($E1408="","",MIN(VLOOKUP(IF($B1408&lt;=Input!$C$7,$B1408,26),'Mortality Tables'!$A$41:$CW$67,IF($B1408&lt;=Input!$C$7+1,Input!$C$4+2,$D1408-Input!$C$7+2),0)*IF(B1408&gt;20,Input!$C$22,1)/1000,1))</f>
        <v/>
      </c>
      <c r="P1408" s="147" t="str">
        <f>IF($E1408="","",MIN(VLOOKUP(IF($B1408&lt;=Input!$C$7,$B1408,26),'Mortality Tables'!$A$12:$CW$37,IF($B1408&lt;=Input!$C$7+1,Input!$C$4+2,$D1408-Input!$C$7+2),0)*IF(B1408&gt;20,Input!$C$22,1)/1000,1))</f>
        <v/>
      </c>
      <c r="Q1408" s="155" t="str">
        <f>IF($E1408="","",Input!$C$21)</f>
        <v/>
      </c>
      <c r="R1408" s="159" t="str">
        <f>IF($E1408="","",(1-Q1408)^($F1408-Input!$C$20))</f>
        <v/>
      </c>
      <c r="S1408" s="147" t="str">
        <f t="shared" si="866"/>
        <v/>
      </c>
      <c r="T1408" s="147" t="str">
        <f t="shared" si="867"/>
        <v/>
      </c>
      <c r="U1408" s="160" t="str">
        <f>IF($E1408="","",IF($C1408=12,INDEX(Input!$C$15:$CP$15,1,$B1408),0))</f>
        <v/>
      </c>
      <c r="V1408" s="150" t="str">
        <f>IF(E1408="","",IF(C1408=1,IF($B1408=1,Input!$C$33,Input!$C$34),0))</f>
        <v/>
      </c>
      <c r="W1408" s="156" t="str">
        <f>IF($E1408="","",Input!$C$35)</f>
        <v/>
      </c>
      <c r="X1408" s="156" t="str">
        <f t="shared" si="868"/>
        <v/>
      </c>
      <c r="Y1408" s="154"/>
      <c r="Z1408" s="147" t="str">
        <f>IF($E1408="","",VLOOKUP($D1408,'Mortality Margins &amp; Grading'!$AB$5:$AF$125,3,0)*IF(Summary!$D$25="Included Margin",IF(AND($B1408&gt;Input!$C$9,Summary!$D$31&lt;&gt;"Included Margin"),0,1),0))</f>
        <v/>
      </c>
      <c r="AA1408" s="147" t="str">
        <f>IF($E1408="","",VLOOKUP($D1408,'Mortality Margins &amp; Grading'!$AB$5:$AF$125,5,0)*IF(Summary!$D$25="Included Margin",IF(AND($B1408&gt;Input!$C$9,Summary!$D$31&lt;&gt;"Included Margin"),0,1),0))</f>
        <v/>
      </c>
      <c r="AB1408" s="147" t="str">
        <f>IF($E1408="","",IF(AND($B1408&gt;Input!$C$9,Summary!$D$31&lt;&gt;"Included Margin"),1,IF(Summary!$D$25="Included Margin",VLOOKUP($B1408,'Mortality Margins &amp; Grading'!$AI$5:$AR$125,MATCH('Mortality Margins &amp; Grading'!$AQ$4,'Mortality Margins &amp; Grading'!$AI$4:$AR$4,0),0),1)))</f>
        <v/>
      </c>
      <c r="AC1408" s="154"/>
      <c r="AD1408" s="158" t="str">
        <f>IF(E1408="","",Input!$C$48*IF(Summary!$D$30="Included Margin",IF(AND($B1408&gt;Input!$C$9,Summary!$D$31&lt;&gt;"Included Margin"),0,1),0))</f>
        <v/>
      </c>
      <c r="AE1408" s="159" t="str">
        <f>IF(E1408="","",IF(Summary!$D$26="Included Margin",IF(AND($B1408&gt;Input!$C$9,Summary!$D$31&lt;&gt;"Included Margin"),1,1/$R1408),1))</f>
        <v/>
      </c>
      <c r="AF1408" s="160" t="str">
        <f>IF(E1408="","",IF(AND($B1408&gt;=Input!$C$9,$C1408=12,Summary!$D$31="Included Margin",$U1408&gt;0),1/U1408-1,IF($B1408&gt;=Input!$C$9,0,Input!$C$45*IF(Summary!$D$27="Included Margin",1,0))))</f>
        <v/>
      </c>
      <c r="AG1408" s="160" t="str">
        <f>IF(E1408="","",Input!$C$46*IF(Summary!$D$28="Included Margin",IF(AND($B1408&gt;Input!$C$9,Summary!$D$31&lt;&gt;"Included Margin"),0,1),0))</f>
        <v/>
      </c>
      <c r="AH1408" s="158" t="str">
        <f>IF(E1408="","",Input!$C$47*IF(Summary!$D$29="Included Margin",IF(AND($B1408&gt;Input!$C$9,Summary!$D$31&lt;&gt;"Included Margin"),0,1),0))</f>
        <v/>
      </c>
      <c r="AI1408" s="154"/>
      <c r="AJ1408" s="158" t="str">
        <f t="shared" si="879"/>
        <v/>
      </c>
      <c r="AK1408" s="150" t="str">
        <f t="shared" si="880"/>
        <v/>
      </c>
      <c r="AL1408" s="147" t="str">
        <f t="shared" si="881"/>
        <v/>
      </c>
      <c r="AM1408" s="147" t="str">
        <f t="shared" si="869"/>
        <v/>
      </c>
      <c r="AN1408" s="160" t="str">
        <f t="shared" si="882"/>
        <v/>
      </c>
      <c r="AO1408" s="161" t="str">
        <f t="shared" si="883"/>
        <v/>
      </c>
      <c r="AP1408" s="156" t="str">
        <f t="shared" si="870"/>
        <v/>
      </c>
      <c r="AQ1408" s="152"/>
      <c r="AR1408" s="162" t="str">
        <f t="shared" si="871"/>
        <v/>
      </c>
      <c r="AS1408" s="150" t="str">
        <f t="shared" si="884"/>
        <v/>
      </c>
      <c r="AT1408" s="163" t="str">
        <f t="shared" si="872"/>
        <v/>
      </c>
      <c r="AU1408" s="163" t="str">
        <f t="shared" si="873"/>
        <v/>
      </c>
      <c r="AV1408" s="163" t="str">
        <f t="shared" si="885"/>
        <v/>
      </c>
      <c r="AW1408" s="163" t="str">
        <f t="shared" si="874"/>
        <v/>
      </c>
      <c r="AX1408" s="163" t="str">
        <f t="shared" si="875"/>
        <v/>
      </c>
      <c r="AY1408" s="150" t="str">
        <f t="shared" si="886"/>
        <v/>
      </c>
      <c r="AZ1408" s="150" t="str">
        <f>IF($E1408="","",IF(OR(AND($D1408=Input!$C$6,$C1408=12),$AN1408=1),0,-AS1409+AT1409+AU1409-AV1409-AW1409-AX1409+AZ1409))</f>
        <v/>
      </c>
      <c r="BA1408" s="154" t="str">
        <f t="shared" si="876"/>
        <v/>
      </c>
      <c r="BC1408" s="147" t="str">
        <f t="shared" si="887"/>
        <v/>
      </c>
      <c r="BD1408" s="164" t="str">
        <f>IF(AND($C1407=12,$D1407=Input!$C$6),0,IF($E1408="","",AT1408+(AU1408+BD1409)/(1+$AK1408)*MIN((1-AM1408-AN1408),1)))</f>
        <v/>
      </c>
      <c r="BH1408" s="152"/>
      <c r="BI1408" s="162" t="str">
        <f t="shared" si="895"/>
        <v/>
      </c>
      <c r="BJ1408" s="150" t="str">
        <f t="shared" si="896"/>
        <v/>
      </c>
      <c r="BK1408" s="163" t="str">
        <f t="shared" si="892"/>
        <v/>
      </c>
      <c r="BL1408" s="163" t="str">
        <f t="shared" si="897"/>
        <v/>
      </c>
      <c r="BM1408" s="163" t="str">
        <f t="shared" si="893"/>
        <v/>
      </c>
      <c r="BN1408" s="163" t="str">
        <f t="shared" si="898"/>
        <v/>
      </c>
      <c r="BO1408" s="163" t="str">
        <f t="shared" si="899"/>
        <v/>
      </c>
      <c r="BP1408" s="150" t="str">
        <f t="shared" si="894"/>
        <v/>
      </c>
      <c r="BQ1408" s="150" t="str">
        <f t="shared" si="888"/>
        <v/>
      </c>
      <c r="BR1408" s="154" t="str">
        <f t="shared" si="900"/>
        <v/>
      </c>
      <c r="BT1408" s="147"/>
    </row>
    <row r="1409" spans="1:72" s="150" customFormat="1" x14ac:dyDescent="0.25">
      <c r="A1409" s="150" t="str">
        <f t="shared" si="889"/>
        <v/>
      </c>
      <c r="B1409" s="150" t="str">
        <f t="shared" si="890"/>
        <v/>
      </c>
      <c r="C1409" s="150" t="str">
        <f t="shared" si="891"/>
        <v/>
      </c>
      <c r="D1409" s="150" t="str">
        <f>IF(E1409="","",Input!$C$4+B1409-1)</f>
        <v/>
      </c>
      <c r="E1409" s="150" t="str">
        <f>IF(OR(AND(C1408=12,D1408=Input!$C$6),E1408=""),"",1)</f>
        <v/>
      </c>
      <c r="G1409" s="151" t="str">
        <f>IF(E1409="","",MAX(0,Input!$C$9-B1409))</f>
        <v/>
      </c>
      <c r="H1409" s="152" t="str">
        <f>IF(E1409="","",Input!$C$3)</f>
        <v/>
      </c>
      <c r="I1409" s="153" t="str">
        <f>IF(E1409="","",HLOOKUP($B1409,Input!$C$13:$BT$14,2))</f>
        <v/>
      </c>
      <c r="J1409" s="154"/>
      <c r="K1409" s="150" t="str">
        <f>IF($E1409="","",INDEX(Input!$C$16:$CP$16,1,$B1409))</f>
        <v/>
      </c>
      <c r="L1409" s="150" t="str">
        <f>IF($E1409="","",Input!$C$37)</f>
        <v/>
      </c>
      <c r="M1409" s="150" t="str">
        <f t="shared" si="877"/>
        <v/>
      </c>
      <c r="N1409" s="150" t="str">
        <f t="shared" si="878"/>
        <v/>
      </c>
      <c r="O1409" s="147" t="str">
        <f>IF($E1409="","",MIN(VLOOKUP(IF($B1409&lt;=Input!$C$7,$B1409,26),'Mortality Tables'!$A$41:$CW$67,IF($B1409&lt;=Input!$C$7+1,Input!$C$4+2,$D1409-Input!$C$7+2),0)*IF(B1409&gt;20,Input!$C$22,1)/1000,1))</f>
        <v/>
      </c>
      <c r="P1409" s="147" t="str">
        <f>IF($E1409="","",MIN(VLOOKUP(IF($B1409&lt;=Input!$C$7,$B1409,26),'Mortality Tables'!$A$12:$CW$37,IF($B1409&lt;=Input!$C$7+1,Input!$C$4+2,$D1409-Input!$C$7+2),0)*IF(B1409&gt;20,Input!$C$22,1)/1000,1))</f>
        <v/>
      </c>
      <c r="Q1409" s="155" t="str">
        <f>IF($E1409="","",Input!$C$21)</f>
        <v/>
      </c>
      <c r="R1409" s="159" t="str">
        <f>IF($E1409="","",(1-Q1409)^($F1409-Input!$C$20))</f>
        <v/>
      </c>
      <c r="S1409" s="147" t="str">
        <f t="shared" si="866"/>
        <v/>
      </c>
      <c r="T1409" s="147" t="str">
        <f t="shared" si="867"/>
        <v/>
      </c>
      <c r="U1409" s="160" t="str">
        <f>IF($E1409="","",IF($C1409=12,INDEX(Input!$C$15:$CP$15,1,$B1409),0))</f>
        <v/>
      </c>
      <c r="V1409" s="150" t="str">
        <f>IF(E1409="","",IF(C1409=1,IF($B1409=1,Input!$C$33,Input!$C$34),0))</f>
        <v/>
      </c>
      <c r="W1409" s="156" t="str">
        <f>IF($E1409="","",Input!$C$35)</f>
        <v/>
      </c>
      <c r="X1409" s="156" t="str">
        <f t="shared" si="868"/>
        <v/>
      </c>
      <c r="Y1409" s="154"/>
      <c r="Z1409" s="147" t="str">
        <f>IF($E1409="","",VLOOKUP($D1409,'Mortality Margins &amp; Grading'!$AB$5:$AF$125,3,0)*IF(Summary!$D$25="Included Margin",IF(AND($B1409&gt;Input!$C$9,Summary!$D$31&lt;&gt;"Included Margin"),0,1),0))</f>
        <v/>
      </c>
      <c r="AA1409" s="147" t="str">
        <f>IF($E1409="","",VLOOKUP($D1409,'Mortality Margins &amp; Grading'!$AB$5:$AF$125,5,0)*IF(Summary!$D$25="Included Margin",IF(AND($B1409&gt;Input!$C$9,Summary!$D$31&lt;&gt;"Included Margin"),0,1),0))</f>
        <v/>
      </c>
      <c r="AB1409" s="147" t="str">
        <f>IF($E1409="","",IF(AND($B1409&gt;Input!$C$9,Summary!$D$31&lt;&gt;"Included Margin"),1,IF(Summary!$D$25="Included Margin",VLOOKUP($B1409,'Mortality Margins &amp; Grading'!$AI$5:$AR$125,MATCH('Mortality Margins &amp; Grading'!$AQ$4,'Mortality Margins &amp; Grading'!$AI$4:$AR$4,0),0),1)))</f>
        <v/>
      </c>
      <c r="AC1409" s="154"/>
      <c r="AD1409" s="158" t="str">
        <f>IF(E1409="","",Input!$C$48*IF(Summary!$D$30="Included Margin",IF(AND($B1409&gt;Input!$C$9,Summary!$D$31&lt;&gt;"Included Margin"),0,1),0))</f>
        <v/>
      </c>
      <c r="AE1409" s="159" t="str">
        <f>IF(E1409="","",IF(Summary!$D$26="Included Margin",IF(AND($B1409&gt;Input!$C$9,Summary!$D$31&lt;&gt;"Included Margin"),1,1/$R1409),1))</f>
        <v/>
      </c>
      <c r="AF1409" s="160" t="str">
        <f>IF(E1409="","",IF(AND($B1409&gt;=Input!$C$9,$C1409=12,Summary!$D$31="Included Margin",$U1409&gt;0),1/U1409-1,IF($B1409&gt;=Input!$C$9,0,Input!$C$45*IF(Summary!$D$27="Included Margin",1,0))))</f>
        <v/>
      </c>
      <c r="AG1409" s="160" t="str">
        <f>IF(E1409="","",Input!$C$46*IF(Summary!$D$28="Included Margin",IF(AND($B1409&gt;Input!$C$9,Summary!$D$31&lt;&gt;"Included Margin"),0,1),0))</f>
        <v/>
      </c>
      <c r="AH1409" s="158" t="str">
        <f>IF(E1409="","",Input!$C$47*IF(Summary!$D$29="Included Margin",IF(AND($B1409&gt;Input!$C$9,Summary!$D$31&lt;&gt;"Included Margin"),0,1),0))</f>
        <v/>
      </c>
      <c r="AI1409" s="154"/>
      <c r="AJ1409" s="158" t="str">
        <f t="shared" si="879"/>
        <v/>
      </c>
      <c r="AK1409" s="150" t="str">
        <f t="shared" si="880"/>
        <v/>
      </c>
      <c r="AL1409" s="147" t="str">
        <f t="shared" si="881"/>
        <v/>
      </c>
      <c r="AM1409" s="147" t="str">
        <f t="shared" si="869"/>
        <v/>
      </c>
      <c r="AN1409" s="160" t="str">
        <f t="shared" si="882"/>
        <v/>
      </c>
      <c r="AO1409" s="161" t="str">
        <f t="shared" si="883"/>
        <v/>
      </c>
      <c r="AP1409" s="156" t="str">
        <f t="shared" si="870"/>
        <v/>
      </c>
      <c r="AQ1409" s="152"/>
      <c r="AR1409" s="162" t="str">
        <f t="shared" si="871"/>
        <v/>
      </c>
      <c r="AS1409" s="150" t="str">
        <f t="shared" si="884"/>
        <v/>
      </c>
      <c r="AT1409" s="163" t="str">
        <f t="shared" si="872"/>
        <v/>
      </c>
      <c r="AU1409" s="163" t="str">
        <f t="shared" si="873"/>
        <v/>
      </c>
      <c r="AV1409" s="163" t="str">
        <f t="shared" si="885"/>
        <v/>
      </c>
      <c r="AW1409" s="163" t="str">
        <f t="shared" si="874"/>
        <v/>
      </c>
      <c r="AX1409" s="163" t="str">
        <f t="shared" si="875"/>
        <v/>
      </c>
      <c r="AY1409" s="150" t="str">
        <f t="shared" si="886"/>
        <v/>
      </c>
      <c r="AZ1409" s="150" t="str">
        <f>IF($E1409="","",IF(OR(AND($D1409=Input!$C$6,$C1409=12),$AN1409=1),0,-AS1410+AT1410+AU1410-AV1410-AW1410-AX1410+AZ1410))</f>
        <v/>
      </c>
      <c r="BA1409" s="154" t="str">
        <f t="shared" si="876"/>
        <v/>
      </c>
      <c r="BC1409" s="147" t="str">
        <f t="shared" si="887"/>
        <v/>
      </c>
      <c r="BD1409" s="164" t="str">
        <f>IF(AND($C1408=12,$D1408=Input!$C$6),0,IF($E1409="","",AT1409+(AU1409+BD1410)/(1+$AK1409)*MIN((1-AM1409-AN1409),1)))</f>
        <v/>
      </c>
      <c r="BH1409" s="152"/>
      <c r="BI1409" s="162" t="str">
        <f t="shared" si="895"/>
        <v/>
      </c>
      <c r="BJ1409" s="150" t="str">
        <f t="shared" si="896"/>
        <v/>
      </c>
      <c r="BK1409" s="163" t="str">
        <f t="shared" si="892"/>
        <v/>
      </c>
      <c r="BL1409" s="163" t="str">
        <f t="shared" si="897"/>
        <v/>
      </c>
      <c r="BM1409" s="163" t="str">
        <f t="shared" si="893"/>
        <v/>
      </c>
      <c r="BN1409" s="163" t="str">
        <f t="shared" si="898"/>
        <v/>
      </c>
      <c r="BO1409" s="163" t="str">
        <f t="shared" si="899"/>
        <v/>
      </c>
      <c r="BP1409" s="150" t="str">
        <f t="shared" si="894"/>
        <v/>
      </c>
      <c r="BQ1409" s="150" t="str">
        <f t="shared" si="888"/>
        <v/>
      </c>
      <c r="BR1409" s="154" t="str">
        <f t="shared" si="900"/>
        <v/>
      </c>
      <c r="BT1409" s="147"/>
    </row>
    <row r="1410" spans="1:72" s="150" customFormat="1" x14ac:dyDescent="0.25">
      <c r="A1410" s="150" t="str">
        <f t="shared" si="889"/>
        <v/>
      </c>
      <c r="B1410" s="150" t="str">
        <f t="shared" si="890"/>
        <v/>
      </c>
      <c r="C1410" s="150" t="str">
        <f t="shared" si="891"/>
        <v/>
      </c>
      <c r="D1410" s="150" t="str">
        <f>IF(E1410="","",Input!$C$4+B1410-1)</f>
        <v/>
      </c>
      <c r="E1410" s="150" t="str">
        <f>IF(OR(AND(C1409=12,D1409=Input!$C$6),E1409=""),"",1)</f>
        <v/>
      </c>
      <c r="G1410" s="151" t="str">
        <f>IF(E1410="","",MAX(0,Input!$C$9-B1410))</f>
        <v/>
      </c>
      <c r="H1410" s="152" t="str">
        <f>IF(E1410="","",Input!$C$3)</f>
        <v/>
      </c>
      <c r="I1410" s="153" t="str">
        <f>IF(E1410="","",HLOOKUP($B1410,Input!$C$13:$BT$14,2))</f>
        <v/>
      </c>
      <c r="J1410" s="154"/>
      <c r="K1410" s="150" t="str">
        <f>IF($E1410="","",INDEX(Input!$C$16:$CP$16,1,$B1410))</f>
        <v/>
      </c>
      <c r="L1410" s="150" t="str">
        <f>IF($E1410="","",Input!$C$37)</f>
        <v/>
      </c>
      <c r="M1410" s="150" t="str">
        <f t="shared" si="877"/>
        <v/>
      </c>
      <c r="N1410" s="150" t="str">
        <f t="shared" si="878"/>
        <v/>
      </c>
      <c r="O1410" s="147" t="str">
        <f>IF($E1410="","",MIN(VLOOKUP(IF($B1410&lt;=Input!$C$7,$B1410,26),'Mortality Tables'!$A$41:$CW$67,IF($B1410&lt;=Input!$C$7+1,Input!$C$4+2,$D1410-Input!$C$7+2),0)*IF(B1410&gt;20,Input!$C$22,1)/1000,1))</f>
        <v/>
      </c>
      <c r="P1410" s="147" t="str">
        <f>IF($E1410="","",MIN(VLOOKUP(IF($B1410&lt;=Input!$C$7,$B1410,26),'Mortality Tables'!$A$12:$CW$37,IF($B1410&lt;=Input!$C$7+1,Input!$C$4+2,$D1410-Input!$C$7+2),0)*IF(B1410&gt;20,Input!$C$22,1)/1000,1))</f>
        <v/>
      </c>
      <c r="Q1410" s="155" t="str">
        <f>IF($E1410="","",Input!$C$21)</f>
        <v/>
      </c>
      <c r="R1410" s="159" t="str">
        <f>IF($E1410="","",(1-Q1410)^($F1410-Input!$C$20))</f>
        <v/>
      </c>
      <c r="S1410" s="147" t="str">
        <f t="shared" si="866"/>
        <v/>
      </c>
      <c r="T1410" s="147" t="str">
        <f t="shared" si="867"/>
        <v/>
      </c>
      <c r="U1410" s="160" t="str">
        <f>IF($E1410="","",IF($C1410=12,INDEX(Input!$C$15:$CP$15,1,$B1410),0))</f>
        <v/>
      </c>
      <c r="V1410" s="150" t="str">
        <f>IF(E1410="","",IF(C1410=1,IF($B1410=1,Input!$C$33,Input!$C$34),0))</f>
        <v/>
      </c>
      <c r="W1410" s="156" t="str">
        <f>IF($E1410="","",Input!$C$35)</f>
        <v/>
      </c>
      <c r="X1410" s="156" t="str">
        <f t="shared" si="868"/>
        <v/>
      </c>
      <c r="Y1410" s="154"/>
      <c r="Z1410" s="147" t="str">
        <f>IF($E1410="","",VLOOKUP($D1410,'Mortality Margins &amp; Grading'!$AB$5:$AF$125,3,0)*IF(Summary!$D$25="Included Margin",IF(AND($B1410&gt;Input!$C$9,Summary!$D$31&lt;&gt;"Included Margin"),0,1),0))</f>
        <v/>
      </c>
      <c r="AA1410" s="147" t="str">
        <f>IF($E1410="","",VLOOKUP($D1410,'Mortality Margins &amp; Grading'!$AB$5:$AF$125,5,0)*IF(Summary!$D$25="Included Margin",IF(AND($B1410&gt;Input!$C$9,Summary!$D$31&lt;&gt;"Included Margin"),0,1),0))</f>
        <v/>
      </c>
      <c r="AB1410" s="147" t="str">
        <f>IF($E1410="","",IF(AND($B1410&gt;Input!$C$9,Summary!$D$31&lt;&gt;"Included Margin"),1,IF(Summary!$D$25="Included Margin",VLOOKUP($B1410,'Mortality Margins &amp; Grading'!$AI$5:$AR$125,MATCH('Mortality Margins &amp; Grading'!$AQ$4,'Mortality Margins &amp; Grading'!$AI$4:$AR$4,0),0),1)))</f>
        <v/>
      </c>
      <c r="AC1410" s="154"/>
      <c r="AD1410" s="158" t="str">
        <f>IF(E1410="","",Input!$C$48*IF(Summary!$D$30="Included Margin",IF(AND($B1410&gt;Input!$C$9,Summary!$D$31&lt;&gt;"Included Margin"),0,1),0))</f>
        <v/>
      </c>
      <c r="AE1410" s="159" t="str">
        <f>IF(E1410="","",IF(Summary!$D$26="Included Margin",IF(AND($B1410&gt;Input!$C$9,Summary!$D$31&lt;&gt;"Included Margin"),1,1/$R1410),1))</f>
        <v/>
      </c>
      <c r="AF1410" s="160" t="str">
        <f>IF(E1410="","",IF(AND($B1410&gt;=Input!$C$9,$C1410=12,Summary!$D$31="Included Margin",$U1410&gt;0),1/U1410-1,IF($B1410&gt;=Input!$C$9,0,Input!$C$45*IF(Summary!$D$27="Included Margin",1,0))))</f>
        <v/>
      </c>
      <c r="AG1410" s="160" t="str">
        <f>IF(E1410="","",Input!$C$46*IF(Summary!$D$28="Included Margin",IF(AND($B1410&gt;Input!$C$9,Summary!$D$31&lt;&gt;"Included Margin"),0,1),0))</f>
        <v/>
      </c>
      <c r="AH1410" s="158" t="str">
        <f>IF(E1410="","",Input!$C$47*IF(Summary!$D$29="Included Margin",IF(AND($B1410&gt;Input!$C$9,Summary!$D$31&lt;&gt;"Included Margin"),0,1),0))</f>
        <v/>
      </c>
      <c r="AI1410" s="154"/>
      <c r="AJ1410" s="158" t="str">
        <f t="shared" si="879"/>
        <v/>
      </c>
      <c r="AK1410" s="150" t="str">
        <f t="shared" si="880"/>
        <v/>
      </c>
      <c r="AL1410" s="147" t="str">
        <f t="shared" si="881"/>
        <v/>
      </c>
      <c r="AM1410" s="147" t="str">
        <f t="shared" si="869"/>
        <v/>
      </c>
      <c r="AN1410" s="160" t="str">
        <f t="shared" si="882"/>
        <v/>
      </c>
      <c r="AO1410" s="161" t="str">
        <f t="shared" si="883"/>
        <v/>
      </c>
      <c r="AP1410" s="156" t="str">
        <f t="shared" si="870"/>
        <v/>
      </c>
      <c r="AQ1410" s="152"/>
      <c r="AR1410" s="162" t="str">
        <f t="shared" si="871"/>
        <v/>
      </c>
      <c r="AS1410" s="150" t="str">
        <f t="shared" si="884"/>
        <v/>
      </c>
      <c r="AT1410" s="163" t="str">
        <f t="shared" si="872"/>
        <v/>
      </c>
      <c r="AU1410" s="163" t="str">
        <f t="shared" si="873"/>
        <v/>
      </c>
      <c r="AV1410" s="163" t="str">
        <f t="shared" si="885"/>
        <v/>
      </c>
      <c r="AW1410" s="163" t="str">
        <f t="shared" si="874"/>
        <v/>
      </c>
      <c r="AX1410" s="163" t="str">
        <f t="shared" si="875"/>
        <v/>
      </c>
      <c r="AY1410" s="150" t="str">
        <f t="shared" si="886"/>
        <v/>
      </c>
      <c r="AZ1410" s="150" t="str">
        <f>IF($E1410="","",IF(OR(AND($D1410=Input!$C$6,$C1410=12),$AN1410=1),0,-AS1411+AT1411+AU1411-AV1411-AW1411-AX1411+AZ1411))</f>
        <v/>
      </c>
      <c r="BA1410" s="154" t="str">
        <f t="shared" si="876"/>
        <v/>
      </c>
      <c r="BC1410" s="147" t="str">
        <f t="shared" si="887"/>
        <v/>
      </c>
      <c r="BD1410" s="164" t="str">
        <f>IF(AND($C1409=12,$D1409=Input!$C$6),0,IF($E1410="","",AT1410+(AU1410+BD1411)/(1+$AK1410)*MIN((1-AM1410-AN1410),1)))</f>
        <v/>
      </c>
      <c r="BH1410" s="152"/>
      <c r="BI1410" s="162" t="str">
        <f t="shared" si="895"/>
        <v/>
      </c>
      <c r="BJ1410" s="150" t="str">
        <f t="shared" si="896"/>
        <v/>
      </c>
      <c r="BK1410" s="163" t="str">
        <f t="shared" si="892"/>
        <v/>
      </c>
      <c r="BL1410" s="163" t="str">
        <f t="shared" si="897"/>
        <v/>
      </c>
      <c r="BM1410" s="163" t="str">
        <f t="shared" si="893"/>
        <v/>
      </c>
      <c r="BN1410" s="163" t="str">
        <f t="shared" si="898"/>
        <v/>
      </c>
      <c r="BO1410" s="163" t="str">
        <f t="shared" si="899"/>
        <v/>
      </c>
      <c r="BP1410" s="150" t="str">
        <f t="shared" si="894"/>
        <v/>
      </c>
      <c r="BQ1410" s="150" t="str">
        <f t="shared" si="888"/>
        <v/>
      </c>
      <c r="BR1410" s="154" t="str">
        <f t="shared" si="900"/>
        <v/>
      </c>
      <c r="BT1410" s="147"/>
    </row>
    <row r="1411" spans="1:72" s="150" customFormat="1" x14ac:dyDescent="0.25">
      <c r="A1411" s="150" t="str">
        <f t="shared" si="889"/>
        <v/>
      </c>
      <c r="B1411" s="150" t="str">
        <f t="shared" si="890"/>
        <v/>
      </c>
      <c r="C1411" s="150" t="str">
        <f t="shared" si="891"/>
        <v/>
      </c>
      <c r="D1411" s="150" t="str">
        <f>IF(E1411="","",Input!$C$4+B1411-1)</f>
        <v/>
      </c>
      <c r="E1411" s="150" t="str">
        <f>IF(OR(AND(C1410=12,D1410=Input!$C$6),E1410=""),"",1)</f>
        <v/>
      </c>
      <c r="G1411" s="151" t="str">
        <f>IF(E1411="","",MAX(0,Input!$C$9-B1411))</f>
        <v/>
      </c>
      <c r="H1411" s="152" t="str">
        <f>IF(E1411="","",Input!$C$3)</f>
        <v/>
      </c>
      <c r="I1411" s="153" t="str">
        <f>IF(E1411="","",HLOOKUP($B1411,Input!$C$13:$BT$14,2))</f>
        <v/>
      </c>
      <c r="J1411" s="154"/>
      <c r="K1411" s="150" t="str">
        <f>IF($E1411="","",INDEX(Input!$C$16:$CP$16,1,$B1411))</f>
        <v/>
      </c>
      <c r="L1411" s="150" t="str">
        <f>IF($E1411="","",Input!$C$37)</f>
        <v/>
      </c>
      <c r="M1411" s="150" t="str">
        <f t="shared" si="877"/>
        <v/>
      </c>
      <c r="N1411" s="150" t="str">
        <f t="shared" si="878"/>
        <v/>
      </c>
      <c r="O1411" s="147" t="str">
        <f>IF($E1411="","",MIN(VLOOKUP(IF($B1411&lt;=Input!$C$7,$B1411,26),'Mortality Tables'!$A$41:$CW$67,IF($B1411&lt;=Input!$C$7+1,Input!$C$4+2,$D1411-Input!$C$7+2),0)*IF(B1411&gt;20,Input!$C$22,1)/1000,1))</f>
        <v/>
      </c>
      <c r="P1411" s="147" t="str">
        <f>IF($E1411="","",MIN(VLOOKUP(IF($B1411&lt;=Input!$C$7,$B1411,26),'Mortality Tables'!$A$12:$CW$37,IF($B1411&lt;=Input!$C$7+1,Input!$C$4+2,$D1411-Input!$C$7+2),0)*IF(B1411&gt;20,Input!$C$22,1)/1000,1))</f>
        <v/>
      </c>
      <c r="Q1411" s="155" t="str">
        <f>IF($E1411="","",Input!$C$21)</f>
        <v/>
      </c>
      <c r="R1411" s="159" t="str">
        <f>IF($E1411="","",(1-Q1411)^($F1411-Input!$C$20))</f>
        <v/>
      </c>
      <c r="S1411" s="147" t="str">
        <f t="shared" si="866"/>
        <v/>
      </c>
      <c r="T1411" s="147" t="str">
        <f t="shared" si="867"/>
        <v/>
      </c>
      <c r="U1411" s="160" t="str">
        <f>IF($E1411="","",IF($C1411=12,INDEX(Input!$C$15:$CP$15,1,$B1411),0))</f>
        <v/>
      </c>
      <c r="V1411" s="150" t="str">
        <f>IF(E1411="","",IF(C1411=1,IF($B1411=1,Input!$C$33,Input!$C$34),0))</f>
        <v/>
      </c>
      <c r="W1411" s="156" t="str">
        <f>IF($E1411="","",Input!$C$35)</f>
        <v/>
      </c>
      <c r="X1411" s="156" t="str">
        <f t="shared" si="868"/>
        <v/>
      </c>
      <c r="Y1411" s="154"/>
      <c r="Z1411" s="147" t="str">
        <f>IF($E1411="","",VLOOKUP($D1411,'Mortality Margins &amp; Grading'!$AB$5:$AF$125,3,0)*IF(Summary!$D$25="Included Margin",IF(AND($B1411&gt;Input!$C$9,Summary!$D$31&lt;&gt;"Included Margin"),0,1),0))</f>
        <v/>
      </c>
      <c r="AA1411" s="147" t="str">
        <f>IF($E1411="","",VLOOKUP($D1411,'Mortality Margins &amp; Grading'!$AB$5:$AF$125,5,0)*IF(Summary!$D$25="Included Margin",IF(AND($B1411&gt;Input!$C$9,Summary!$D$31&lt;&gt;"Included Margin"),0,1),0))</f>
        <v/>
      </c>
      <c r="AB1411" s="147" t="str">
        <f>IF($E1411="","",IF(AND($B1411&gt;Input!$C$9,Summary!$D$31&lt;&gt;"Included Margin"),1,IF(Summary!$D$25="Included Margin",VLOOKUP($B1411,'Mortality Margins &amp; Grading'!$AI$5:$AR$125,MATCH('Mortality Margins &amp; Grading'!$AQ$4,'Mortality Margins &amp; Grading'!$AI$4:$AR$4,0),0),1)))</f>
        <v/>
      </c>
      <c r="AC1411" s="154"/>
      <c r="AD1411" s="158" t="str">
        <f>IF(E1411="","",Input!$C$48*IF(Summary!$D$30="Included Margin",IF(AND($B1411&gt;Input!$C$9,Summary!$D$31&lt;&gt;"Included Margin"),0,1),0))</f>
        <v/>
      </c>
      <c r="AE1411" s="159" t="str">
        <f>IF(E1411="","",IF(Summary!$D$26="Included Margin",IF(AND($B1411&gt;Input!$C$9,Summary!$D$31&lt;&gt;"Included Margin"),1,1/$R1411),1))</f>
        <v/>
      </c>
      <c r="AF1411" s="160" t="str">
        <f>IF(E1411="","",IF(AND($B1411&gt;=Input!$C$9,$C1411=12,Summary!$D$31="Included Margin",$U1411&gt;0),1/U1411-1,IF($B1411&gt;=Input!$C$9,0,Input!$C$45*IF(Summary!$D$27="Included Margin",1,0))))</f>
        <v/>
      </c>
      <c r="AG1411" s="160" t="str">
        <f>IF(E1411="","",Input!$C$46*IF(Summary!$D$28="Included Margin",IF(AND($B1411&gt;Input!$C$9,Summary!$D$31&lt;&gt;"Included Margin"),0,1),0))</f>
        <v/>
      </c>
      <c r="AH1411" s="158" t="str">
        <f>IF(E1411="","",Input!$C$47*IF(Summary!$D$29="Included Margin",IF(AND($B1411&gt;Input!$C$9,Summary!$D$31&lt;&gt;"Included Margin"),0,1),0))</f>
        <v/>
      </c>
      <c r="AI1411" s="154"/>
      <c r="AJ1411" s="158" t="str">
        <f t="shared" si="879"/>
        <v/>
      </c>
      <c r="AK1411" s="150" t="str">
        <f t="shared" si="880"/>
        <v/>
      </c>
      <c r="AL1411" s="147" t="str">
        <f t="shared" si="881"/>
        <v/>
      </c>
      <c r="AM1411" s="147" t="str">
        <f t="shared" si="869"/>
        <v/>
      </c>
      <c r="AN1411" s="160" t="str">
        <f t="shared" si="882"/>
        <v/>
      </c>
      <c r="AO1411" s="161" t="str">
        <f t="shared" si="883"/>
        <v/>
      </c>
      <c r="AP1411" s="156" t="str">
        <f t="shared" si="870"/>
        <v/>
      </c>
      <c r="AQ1411" s="152"/>
      <c r="AR1411" s="162" t="str">
        <f t="shared" si="871"/>
        <v/>
      </c>
      <c r="AS1411" s="150" t="str">
        <f t="shared" si="884"/>
        <v/>
      </c>
      <c r="AT1411" s="163" t="str">
        <f t="shared" si="872"/>
        <v/>
      </c>
      <c r="AU1411" s="163" t="str">
        <f t="shared" si="873"/>
        <v/>
      </c>
      <c r="AV1411" s="163" t="str">
        <f t="shared" si="885"/>
        <v/>
      </c>
      <c r="AW1411" s="163" t="str">
        <f t="shared" si="874"/>
        <v/>
      </c>
      <c r="AX1411" s="163" t="str">
        <f t="shared" si="875"/>
        <v/>
      </c>
      <c r="AY1411" s="150" t="str">
        <f t="shared" si="886"/>
        <v/>
      </c>
      <c r="AZ1411" s="150" t="str">
        <f>IF($E1411="","",IF(OR(AND($D1411=Input!$C$6,$C1411=12),$AN1411=1),0,-AS1412+AT1412+AU1412-AV1412-AW1412-AX1412+AZ1412))</f>
        <v/>
      </c>
      <c r="BA1411" s="154" t="str">
        <f t="shared" si="876"/>
        <v/>
      </c>
      <c r="BC1411" s="147" t="str">
        <f t="shared" si="887"/>
        <v/>
      </c>
      <c r="BD1411" s="164" t="str">
        <f>IF(AND($C1410=12,$D1410=Input!$C$6),0,IF($E1411="","",AT1411+(AU1411+BD1412)/(1+$AK1411)*MIN((1-AM1411-AN1411),1)))</f>
        <v/>
      </c>
      <c r="BH1411" s="152"/>
      <c r="BI1411" s="162" t="str">
        <f t="shared" si="895"/>
        <v/>
      </c>
      <c r="BJ1411" s="150" t="str">
        <f t="shared" si="896"/>
        <v/>
      </c>
      <c r="BK1411" s="163" t="str">
        <f t="shared" si="892"/>
        <v/>
      </c>
      <c r="BL1411" s="163" t="str">
        <f t="shared" si="897"/>
        <v/>
      </c>
      <c r="BM1411" s="163" t="str">
        <f t="shared" si="893"/>
        <v/>
      </c>
      <c r="BN1411" s="163" t="str">
        <f t="shared" si="898"/>
        <v/>
      </c>
      <c r="BO1411" s="163" t="str">
        <f t="shared" si="899"/>
        <v/>
      </c>
      <c r="BP1411" s="150" t="str">
        <f t="shared" si="894"/>
        <v/>
      </c>
      <c r="BQ1411" s="150" t="str">
        <f t="shared" si="888"/>
        <v/>
      </c>
      <c r="BR1411" s="154" t="str">
        <f t="shared" si="900"/>
        <v/>
      </c>
      <c r="BT1411" s="147"/>
    </row>
    <row r="1412" spans="1:72" s="150" customFormat="1" x14ac:dyDescent="0.25">
      <c r="A1412" s="150" t="str">
        <f t="shared" si="889"/>
        <v/>
      </c>
      <c r="B1412" s="150" t="str">
        <f t="shared" si="890"/>
        <v/>
      </c>
      <c r="C1412" s="150" t="str">
        <f t="shared" si="891"/>
        <v/>
      </c>
      <c r="D1412" s="150" t="str">
        <f>IF(E1412="","",Input!$C$4+B1412-1)</f>
        <v/>
      </c>
      <c r="E1412" s="150" t="str">
        <f>IF(OR(AND(C1411=12,D1411=Input!$C$6),E1411=""),"",1)</f>
        <v/>
      </c>
      <c r="G1412" s="151" t="str">
        <f>IF(E1412="","",MAX(0,Input!$C$9-B1412))</f>
        <v/>
      </c>
      <c r="H1412" s="152" t="str">
        <f>IF(E1412="","",Input!$C$3)</f>
        <v/>
      </c>
      <c r="I1412" s="153" t="str">
        <f>IF(E1412="","",HLOOKUP($B1412,Input!$C$13:$BT$14,2))</f>
        <v/>
      </c>
      <c r="J1412" s="154"/>
      <c r="K1412" s="150" t="str">
        <f>IF($E1412="","",INDEX(Input!$C$16:$CP$16,1,$B1412))</f>
        <v/>
      </c>
      <c r="L1412" s="150" t="str">
        <f>IF($E1412="","",Input!$C$37)</f>
        <v/>
      </c>
      <c r="M1412" s="150" t="str">
        <f t="shared" si="877"/>
        <v/>
      </c>
      <c r="N1412" s="150" t="str">
        <f t="shared" si="878"/>
        <v/>
      </c>
      <c r="O1412" s="147" t="str">
        <f>IF($E1412="","",MIN(VLOOKUP(IF($B1412&lt;=Input!$C$7,$B1412,26),'Mortality Tables'!$A$41:$CW$67,IF($B1412&lt;=Input!$C$7+1,Input!$C$4+2,$D1412-Input!$C$7+2),0)*IF(B1412&gt;20,Input!$C$22,1)/1000,1))</f>
        <v/>
      </c>
      <c r="P1412" s="147" t="str">
        <f>IF($E1412="","",MIN(VLOOKUP(IF($B1412&lt;=Input!$C$7,$B1412,26),'Mortality Tables'!$A$12:$CW$37,IF($B1412&lt;=Input!$C$7+1,Input!$C$4+2,$D1412-Input!$C$7+2),0)*IF(B1412&gt;20,Input!$C$22,1)/1000,1))</f>
        <v/>
      </c>
      <c r="Q1412" s="155" t="str">
        <f>IF($E1412="","",Input!$C$21)</f>
        <v/>
      </c>
      <c r="R1412" s="159" t="str">
        <f>IF($E1412="","",(1-Q1412)^($F1412-Input!$C$20))</f>
        <v/>
      </c>
      <c r="S1412" s="147" t="str">
        <f t="shared" si="866"/>
        <v/>
      </c>
      <c r="T1412" s="147" t="str">
        <f t="shared" si="867"/>
        <v/>
      </c>
      <c r="U1412" s="160" t="str">
        <f>IF($E1412="","",IF($C1412=12,INDEX(Input!$C$15:$CP$15,1,$B1412),0))</f>
        <v/>
      </c>
      <c r="V1412" s="150" t="str">
        <f>IF(E1412="","",IF(C1412=1,IF($B1412=1,Input!$C$33,Input!$C$34),0))</f>
        <v/>
      </c>
      <c r="W1412" s="156" t="str">
        <f>IF($E1412="","",Input!$C$35)</f>
        <v/>
      </c>
      <c r="X1412" s="156" t="str">
        <f t="shared" si="868"/>
        <v/>
      </c>
      <c r="Y1412" s="154"/>
      <c r="Z1412" s="147" t="str">
        <f>IF($E1412="","",VLOOKUP($D1412,'Mortality Margins &amp; Grading'!$AB$5:$AF$125,3,0)*IF(Summary!$D$25="Included Margin",IF(AND($B1412&gt;Input!$C$9,Summary!$D$31&lt;&gt;"Included Margin"),0,1),0))</f>
        <v/>
      </c>
      <c r="AA1412" s="147" t="str">
        <f>IF($E1412="","",VLOOKUP($D1412,'Mortality Margins &amp; Grading'!$AB$5:$AF$125,5,0)*IF(Summary!$D$25="Included Margin",IF(AND($B1412&gt;Input!$C$9,Summary!$D$31&lt;&gt;"Included Margin"),0,1),0))</f>
        <v/>
      </c>
      <c r="AB1412" s="147" t="str">
        <f>IF($E1412="","",IF(AND($B1412&gt;Input!$C$9,Summary!$D$31&lt;&gt;"Included Margin"),1,IF(Summary!$D$25="Included Margin",VLOOKUP($B1412,'Mortality Margins &amp; Grading'!$AI$5:$AR$125,MATCH('Mortality Margins &amp; Grading'!$AQ$4,'Mortality Margins &amp; Grading'!$AI$4:$AR$4,0),0),1)))</f>
        <v/>
      </c>
      <c r="AC1412" s="154"/>
      <c r="AD1412" s="158" t="str">
        <f>IF(E1412="","",Input!$C$48*IF(Summary!$D$30="Included Margin",IF(AND($B1412&gt;Input!$C$9,Summary!$D$31&lt;&gt;"Included Margin"),0,1),0))</f>
        <v/>
      </c>
      <c r="AE1412" s="159" t="str">
        <f>IF(E1412="","",IF(Summary!$D$26="Included Margin",IF(AND($B1412&gt;Input!$C$9,Summary!$D$31&lt;&gt;"Included Margin"),1,1/$R1412),1))</f>
        <v/>
      </c>
      <c r="AF1412" s="160" t="str">
        <f>IF(E1412="","",IF(AND($B1412&gt;=Input!$C$9,$C1412=12,Summary!$D$31="Included Margin",$U1412&gt;0),1/U1412-1,IF($B1412&gt;=Input!$C$9,0,Input!$C$45*IF(Summary!$D$27="Included Margin",1,0))))</f>
        <v/>
      </c>
      <c r="AG1412" s="160" t="str">
        <f>IF(E1412="","",Input!$C$46*IF(Summary!$D$28="Included Margin",IF(AND($B1412&gt;Input!$C$9,Summary!$D$31&lt;&gt;"Included Margin"),0,1),0))</f>
        <v/>
      </c>
      <c r="AH1412" s="158" t="str">
        <f>IF(E1412="","",Input!$C$47*IF(Summary!$D$29="Included Margin",IF(AND($B1412&gt;Input!$C$9,Summary!$D$31&lt;&gt;"Included Margin"),0,1),0))</f>
        <v/>
      </c>
      <c r="AI1412" s="154"/>
      <c r="AJ1412" s="158" t="str">
        <f t="shared" si="879"/>
        <v/>
      </c>
      <c r="AK1412" s="150" t="str">
        <f t="shared" si="880"/>
        <v/>
      </c>
      <c r="AL1412" s="147" t="str">
        <f t="shared" si="881"/>
        <v/>
      </c>
      <c r="AM1412" s="147" t="str">
        <f t="shared" si="869"/>
        <v/>
      </c>
      <c r="AN1412" s="160" t="str">
        <f t="shared" si="882"/>
        <v/>
      </c>
      <c r="AO1412" s="161" t="str">
        <f t="shared" si="883"/>
        <v/>
      </c>
      <c r="AP1412" s="156" t="str">
        <f t="shared" si="870"/>
        <v/>
      </c>
      <c r="AQ1412" s="152"/>
      <c r="AR1412" s="162" t="str">
        <f t="shared" si="871"/>
        <v/>
      </c>
      <c r="AS1412" s="150" t="str">
        <f t="shared" si="884"/>
        <v/>
      </c>
      <c r="AT1412" s="163" t="str">
        <f t="shared" si="872"/>
        <v/>
      </c>
      <c r="AU1412" s="163" t="str">
        <f t="shared" si="873"/>
        <v/>
      </c>
      <c r="AV1412" s="163" t="str">
        <f t="shared" si="885"/>
        <v/>
      </c>
      <c r="AW1412" s="163" t="str">
        <f t="shared" si="874"/>
        <v/>
      </c>
      <c r="AX1412" s="163" t="str">
        <f t="shared" si="875"/>
        <v/>
      </c>
      <c r="AY1412" s="150" t="str">
        <f t="shared" si="886"/>
        <v/>
      </c>
      <c r="AZ1412" s="150" t="str">
        <f>IF($E1412="","",IF(OR(AND($D1412=Input!$C$6,$C1412=12),$AN1412=1),0,-AS1413+AT1413+AU1413-AV1413-AW1413-AX1413+AZ1413))</f>
        <v/>
      </c>
      <c r="BA1412" s="154" t="str">
        <f t="shared" si="876"/>
        <v/>
      </c>
      <c r="BC1412" s="147" t="str">
        <f t="shared" si="887"/>
        <v/>
      </c>
      <c r="BD1412" s="164" t="str">
        <f>IF(AND($C1411=12,$D1411=Input!$C$6),0,IF($E1412="","",AT1412+(AU1412+BD1413)/(1+$AK1412)*MIN((1-AM1412-AN1412),1)))</f>
        <v/>
      </c>
      <c r="BH1412" s="152"/>
      <c r="BI1412" s="162" t="str">
        <f t="shared" si="895"/>
        <v/>
      </c>
      <c r="BJ1412" s="150" t="str">
        <f t="shared" si="896"/>
        <v/>
      </c>
      <c r="BK1412" s="163" t="str">
        <f t="shared" si="892"/>
        <v/>
      </c>
      <c r="BL1412" s="163" t="str">
        <f t="shared" si="897"/>
        <v/>
      </c>
      <c r="BM1412" s="163" t="str">
        <f t="shared" si="893"/>
        <v/>
      </c>
      <c r="BN1412" s="163" t="str">
        <f t="shared" si="898"/>
        <v/>
      </c>
      <c r="BO1412" s="163" t="str">
        <f t="shared" si="899"/>
        <v/>
      </c>
      <c r="BP1412" s="150" t="str">
        <f t="shared" si="894"/>
        <v/>
      </c>
      <c r="BQ1412" s="150" t="str">
        <f t="shared" si="888"/>
        <v/>
      </c>
      <c r="BR1412" s="154" t="str">
        <f t="shared" si="900"/>
        <v/>
      </c>
      <c r="BT1412" s="147"/>
    </row>
    <row r="1413" spans="1:72" s="150" customFormat="1" x14ac:dyDescent="0.25">
      <c r="A1413" s="150" t="str">
        <f t="shared" si="889"/>
        <v/>
      </c>
      <c r="B1413" s="150" t="str">
        <f t="shared" si="890"/>
        <v/>
      </c>
      <c r="C1413" s="150" t="str">
        <f t="shared" si="891"/>
        <v/>
      </c>
      <c r="D1413" s="150" t="str">
        <f>IF(E1413="","",Input!$C$4+B1413-1)</f>
        <v/>
      </c>
      <c r="E1413" s="150" t="str">
        <f>IF(OR(AND(C1412=12,D1412=Input!$C$6),E1412=""),"",1)</f>
        <v/>
      </c>
      <c r="G1413" s="151" t="str">
        <f>IF(E1413="","",MAX(0,Input!$C$9-B1413))</f>
        <v/>
      </c>
      <c r="H1413" s="152" t="str">
        <f>IF(E1413="","",Input!$C$3)</f>
        <v/>
      </c>
      <c r="I1413" s="153" t="str">
        <f>IF(E1413="","",HLOOKUP($B1413,Input!$C$13:$BT$14,2))</f>
        <v/>
      </c>
      <c r="J1413" s="154"/>
      <c r="K1413" s="150" t="str">
        <f>IF($E1413="","",INDEX(Input!$C$16:$CP$16,1,$B1413))</f>
        <v/>
      </c>
      <c r="L1413" s="150" t="str">
        <f>IF($E1413="","",Input!$C$37)</f>
        <v/>
      </c>
      <c r="M1413" s="150" t="str">
        <f t="shared" si="877"/>
        <v/>
      </c>
      <c r="N1413" s="150" t="str">
        <f t="shared" si="878"/>
        <v/>
      </c>
      <c r="O1413" s="147" t="str">
        <f>IF($E1413="","",MIN(VLOOKUP(IF($B1413&lt;=Input!$C$7,$B1413,26),'Mortality Tables'!$A$41:$CW$67,IF($B1413&lt;=Input!$C$7+1,Input!$C$4+2,$D1413-Input!$C$7+2),0)*IF(B1413&gt;20,Input!$C$22,1)/1000,1))</f>
        <v/>
      </c>
      <c r="P1413" s="147" t="str">
        <f>IF($E1413="","",MIN(VLOOKUP(IF($B1413&lt;=Input!$C$7,$B1413,26),'Mortality Tables'!$A$12:$CW$37,IF($B1413&lt;=Input!$C$7+1,Input!$C$4+2,$D1413-Input!$C$7+2),0)*IF(B1413&gt;20,Input!$C$22,1)/1000,1))</f>
        <v/>
      </c>
      <c r="Q1413" s="155" t="str">
        <f>IF($E1413="","",Input!$C$21)</f>
        <v/>
      </c>
      <c r="R1413" s="159" t="str">
        <f>IF($E1413="","",(1-Q1413)^($F1413-Input!$C$20))</f>
        <v/>
      </c>
      <c r="S1413" s="147" t="str">
        <f t="shared" ref="S1413:S1444" si="901">IF($E1413="","",MIN(O1413*R1413,1))</f>
        <v/>
      </c>
      <c r="T1413" s="147" t="str">
        <f t="shared" ref="T1413:T1444" si="902">IF($E1413="","",1-(1-S1413)^(1/12))</f>
        <v/>
      </c>
      <c r="U1413" s="160" t="str">
        <f>IF($E1413="","",IF($C1413=12,INDEX(Input!$C$15:$CP$15,1,$B1413),0))</f>
        <v/>
      </c>
      <c r="V1413" s="150" t="str">
        <f>IF(E1413="","",IF(C1413=1,IF($B1413=1,Input!$C$33,Input!$C$34),0))</f>
        <v/>
      </c>
      <c r="W1413" s="156" t="str">
        <f>IF($E1413="","",Input!$C$35)</f>
        <v/>
      </c>
      <c r="X1413" s="156" t="str">
        <f t="shared" ref="X1413:X1444" si="903">IF($E1413="","",IF(B1413=1,1,IF(C1413=1,(1+W1413)*X1412,X1412)))</f>
        <v/>
      </c>
      <c r="Y1413" s="154"/>
      <c r="Z1413" s="147" t="str">
        <f>IF($E1413="","",VLOOKUP($D1413,'Mortality Margins &amp; Grading'!$AB$5:$AF$125,3,0)*IF(Summary!$D$25="Included Margin",IF(AND($B1413&gt;Input!$C$9,Summary!$D$31&lt;&gt;"Included Margin"),0,1),0))</f>
        <v/>
      </c>
      <c r="AA1413" s="147" t="str">
        <f>IF($E1413="","",VLOOKUP($D1413,'Mortality Margins &amp; Grading'!$AB$5:$AF$125,5,0)*IF(Summary!$D$25="Included Margin",IF(AND($B1413&gt;Input!$C$9,Summary!$D$31&lt;&gt;"Included Margin"),0,1),0))</f>
        <v/>
      </c>
      <c r="AB1413" s="147" t="str">
        <f>IF($E1413="","",IF(AND($B1413&gt;Input!$C$9,Summary!$D$31&lt;&gt;"Included Margin"),1,IF(Summary!$D$25="Included Margin",VLOOKUP($B1413,'Mortality Margins &amp; Grading'!$AI$5:$AR$125,MATCH('Mortality Margins &amp; Grading'!$AQ$4,'Mortality Margins &amp; Grading'!$AI$4:$AR$4,0),0),1)))</f>
        <v/>
      </c>
      <c r="AC1413" s="154"/>
      <c r="AD1413" s="158" t="str">
        <f>IF(E1413="","",Input!$C$48*IF(Summary!$D$30="Included Margin",IF(AND($B1413&gt;Input!$C$9,Summary!$D$31&lt;&gt;"Included Margin"),0,1),0))</f>
        <v/>
      </c>
      <c r="AE1413" s="159" t="str">
        <f>IF(E1413="","",IF(Summary!$D$26="Included Margin",IF(AND($B1413&gt;Input!$C$9,Summary!$D$31&lt;&gt;"Included Margin"),1,1/$R1413),1))</f>
        <v/>
      </c>
      <c r="AF1413" s="160" t="str">
        <f>IF(E1413="","",IF(AND($B1413&gt;=Input!$C$9,$C1413=12,Summary!$D$31="Included Margin",$U1413&gt;0),1/U1413-1,IF($B1413&gt;=Input!$C$9,0,Input!$C$45*IF(Summary!$D$27="Included Margin",1,0))))</f>
        <v/>
      </c>
      <c r="AG1413" s="160" t="str">
        <f>IF(E1413="","",Input!$C$46*IF(Summary!$D$28="Included Margin",IF(AND($B1413&gt;Input!$C$9,Summary!$D$31&lt;&gt;"Included Margin"),0,1),0))</f>
        <v/>
      </c>
      <c r="AH1413" s="158" t="str">
        <f>IF(E1413="","",Input!$C$47*IF(Summary!$D$29="Included Margin",IF(AND($B1413&gt;Input!$C$9,Summary!$D$31&lt;&gt;"Included Margin"),0,1),0))</f>
        <v/>
      </c>
      <c r="AI1413" s="154"/>
      <c r="AJ1413" s="158" t="str">
        <f t="shared" si="879"/>
        <v/>
      </c>
      <c r="AK1413" s="150" t="str">
        <f t="shared" si="880"/>
        <v/>
      </c>
      <c r="AL1413" s="147" t="str">
        <f t="shared" si="881"/>
        <v/>
      </c>
      <c r="AM1413" s="147" t="str">
        <f t="shared" ref="AM1413:AM1444" si="904">IF($E1413="","",1-(1-AL1413)^(1/12))</f>
        <v/>
      </c>
      <c r="AN1413" s="160" t="str">
        <f t="shared" si="882"/>
        <v/>
      </c>
      <c r="AO1413" s="161" t="str">
        <f t="shared" si="883"/>
        <v/>
      </c>
      <c r="AP1413" s="156" t="str">
        <f t="shared" ref="AP1413:AP1444" si="905">IF($E1413="","",IF(B1413=1,1,IF(C1413=1,(1+$W1413+$AH1413)*AP1412,AP1412)))</f>
        <v/>
      </c>
      <c r="AQ1413" s="152"/>
      <c r="AR1413" s="162" t="str">
        <f t="shared" ref="AR1413:AR1444" si="906">IF($E1413="","",(AZ1413*(1-$AN1413)*(1-$AM1413)/(1+$AK1413)+AU1413/(1+$AK1413/2)-AS1413+AT1413))</f>
        <v/>
      </c>
      <c r="AS1413" s="150" t="str">
        <f t="shared" si="884"/>
        <v/>
      </c>
      <c r="AT1413" s="163" t="str">
        <f t="shared" ref="AT1413:AT1444" si="907">IF($E1413="","",$AO1413*$AP1413)</f>
        <v/>
      </c>
      <c r="AU1413" s="163" t="str">
        <f t="shared" ref="AU1413:AU1444" si="908">IF($E1413="","",$AM1413*$H1413)</f>
        <v/>
      </c>
      <c r="AV1413" s="163" t="str">
        <f t="shared" si="885"/>
        <v/>
      </c>
      <c r="AW1413" s="163" t="str">
        <f t="shared" ref="AW1413:AW1444" si="909">IF($E1413="","",AZ1413*$AM1413)</f>
        <v/>
      </c>
      <c r="AX1413" s="163" t="str">
        <f t="shared" ref="AX1413:AX1444" si="910">IF($E1413="","",$AN1413*AZ1413*(1-$AM1413))</f>
        <v/>
      </c>
      <c r="AY1413" s="150" t="str">
        <f t="shared" si="886"/>
        <v/>
      </c>
      <c r="AZ1413" s="150" t="str">
        <f>IF($E1413="","",IF(OR(AND($D1413=Input!$C$6,$C1413=12),$AN1413=1),0,-AS1414+AT1414+AU1414-AV1414-AW1414-AX1414+AZ1414))</f>
        <v/>
      </c>
      <c r="BA1413" s="154" t="str">
        <f t="shared" ref="BA1413:BA1444" si="911">IF(E1413="","",AZ1413-AY1413)</f>
        <v/>
      </c>
      <c r="BC1413" s="147" t="str">
        <f t="shared" si="887"/>
        <v/>
      </c>
      <c r="BD1413" s="164" t="str">
        <f>IF(AND($C1412=12,$D1412=Input!$C$6),0,IF($E1413="","",AT1413+(AU1413+BD1414)/(1+$AK1413)*MIN((1-AM1413-AN1413),1)))</f>
        <v/>
      </c>
      <c r="BH1413" s="152"/>
      <c r="BI1413" s="162" t="str">
        <f t="shared" si="895"/>
        <v/>
      </c>
      <c r="BJ1413" s="150" t="str">
        <f t="shared" si="896"/>
        <v/>
      </c>
      <c r="BK1413" s="163" t="str">
        <f t="shared" si="892"/>
        <v/>
      </c>
      <c r="BL1413" s="163" t="str">
        <f t="shared" si="897"/>
        <v/>
      </c>
      <c r="BM1413" s="163" t="str">
        <f t="shared" si="893"/>
        <v/>
      </c>
      <c r="BN1413" s="163" t="str">
        <f t="shared" si="898"/>
        <v/>
      </c>
      <c r="BO1413" s="163" t="str">
        <f t="shared" si="899"/>
        <v/>
      </c>
      <c r="BP1413" s="150" t="str">
        <f t="shared" si="894"/>
        <v/>
      </c>
      <c r="BQ1413" s="150" t="str">
        <f t="shared" si="888"/>
        <v/>
      </c>
      <c r="BR1413" s="154" t="str">
        <f t="shared" si="900"/>
        <v/>
      </c>
      <c r="BT1413" s="147"/>
    </row>
    <row r="1414" spans="1:72" s="150" customFormat="1" x14ac:dyDescent="0.25">
      <c r="A1414" s="150" t="str">
        <f t="shared" si="889"/>
        <v/>
      </c>
      <c r="B1414" s="150" t="str">
        <f t="shared" si="890"/>
        <v/>
      </c>
      <c r="C1414" s="150" t="str">
        <f t="shared" si="891"/>
        <v/>
      </c>
      <c r="D1414" s="150" t="str">
        <f>IF(E1414="","",Input!$C$4+B1414-1)</f>
        <v/>
      </c>
      <c r="E1414" s="150" t="str">
        <f>IF(OR(AND(C1413=12,D1413=Input!$C$6),E1413=""),"",1)</f>
        <v/>
      </c>
      <c r="G1414" s="151" t="str">
        <f>IF(E1414="","",MAX(0,Input!$C$9-B1414))</f>
        <v/>
      </c>
      <c r="H1414" s="152" t="str">
        <f>IF(E1414="","",Input!$C$3)</f>
        <v/>
      </c>
      <c r="I1414" s="153" t="str">
        <f>IF(E1414="","",HLOOKUP($B1414,Input!$C$13:$BT$14,2))</f>
        <v/>
      </c>
      <c r="J1414" s="154"/>
      <c r="K1414" s="150" t="str">
        <f>IF($E1414="","",INDEX(Input!$C$16:$CP$16,1,$B1414))</f>
        <v/>
      </c>
      <c r="L1414" s="150" t="str">
        <f>IF($E1414="","",Input!$C$37)</f>
        <v/>
      </c>
      <c r="M1414" s="150" t="str">
        <f t="shared" ref="M1414:M1444" si="912">IF($E1414="","",K1414+L1414)</f>
        <v/>
      </c>
      <c r="N1414" s="150" t="str">
        <f t="shared" ref="N1414:N1444" si="913">IF($E1414="","",(1+M1414)^(1/12)-1)</f>
        <v/>
      </c>
      <c r="O1414" s="147" t="str">
        <f>IF($E1414="","",MIN(VLOOKUP(IF($B1414&lt;=Input!$C$7,$B1414,26),'Mortality Tables'!$A$41:$CW$67,IF($B1414&lt;=Input!$C$7+1,Input!$C$4+2,$D1414-Input!$C$7+2),0)*IF(B1414&gt;20,Input!$C$22,1)/1000,1))</f>
        <v/>
      </c>
      <c r="P1414" s="147" t="str">
        <f>IF($E1414="","",MIN(VLOOKUP(IF($B1414&lt;=Input!$C$7,$B1414,26),'Mortality Tables'!$A$12:$CW$37,IF($B1414&lt;=Input!$C$7+1,Input!$C$4+2,$D1414-Input!$C$7+2),0)*IF(B1414&gt;20,Input!$C$22,1)/1000,1))</f>
        <v/>
      </c>
      <c r="Q1414" s="155" t="str">
        <f>IF($E1414="","",Input!$C$21)</f>
        <v/>
      </c>
      <c r="R1414" s="159" t="str">
        <f>IF($E1414="","",(1-Q1414)^($F1414-Input!$C$20))</f>
        <v/>
      </c>
      <c r="S1414" s="147" t="str">
        <f t="shared" si="901"/>
        <v/>
      </c>
      <c r="T1414" s="147" t="str">
        <f t="shared" si="902"/>
        <v/>
      </c>
      <c r="U1414" s="160" t="str">
        <f>IF($E1414="","",IF($C1414=12,INDEX(Input!$C$15:$CP$15,1,$B1414),0))</f>
        <v/>
      </c>
      <c r="V1414" s="150" t="str">
        <f>IF(E1414="","",IF(C1414=1,IF($B1414=1,Input!$C$33,Input!$C$34),0))</f>
        <v/>
      </c>
      <c r="W1414" s="156" t="str">
        <f>IF($E1414="","",Input!$C$35)</f>
        <v/>
      </c>
      <c r="X1414" s="156" t="str">
        <f t="shared" si="903"/>
        <v/>
      </c>
      <c r="Y1414" s="154"/>
      <c r="Z1414" s="147" t="str">
        <f>IF($E1414="","",VLOOKUP($D1414,'Mortality Margins &amp; Grading'!$AB$5:$AF$125,3,0)*IF(Summary!$D$25="Included Margin",IF(AND($B1414&gt;Input!$C$9,Summary!$D$31&lt;&gt;"Included Margin"),0,1),0))</f>
        <v/>
      </c>
      <c r="AA1414" s="147" t="str">
        <f>IF($E1414="","",VLOOKUP($D1414,'Mortality Margins &amp; Grading'!$AB$5:$AF$125,5,0)*IF(Summary!$D$25="Included Margin",IF(AND($B1414&gt;Input!$C$9,Summary!$D$31&lt;&gt;"Included Margin"),0,1),0))</f>
        <v/>
      </c>
      <c r="AB1414" s="147" t="str">
        <f>IF($E1414="","",IF(AND($B1414&gt;Input!$C$9,Summary!$D$31&lt;&gt;"Included Margin"),1,IF(Summary!$D$25="Included Margin",VLOOKUP($B1414,'Mortality Margins &amp; Grading'!$AI$5:$AR$125,MATCH('Mortality Margins &amp; Grading'!$AQ$4,'Mortality Margins &amp; Grading'!$AI$4:$AR$4,0),0),1)))</f>
        <v/>
      </c>
      <c r="AC1414" s="154"/>
      <c r="AD1414" s="158" t="str">
        <f>IF(E1414="","",Input!$C$48*IF(Summary!$D$30="Included Margin",IF(AND($B1414&gt;Input!$C$9,Summary!$D$31&lt;&gt;"Included Margin"),0,1),0))</f>
        <v/>
      </c>
      <c r="AE1414" s="159" t="str">
        <f>IF(E1414="","",IF(Summary!$D$26="Included Margin",IF(AND($B1414&gt;Input!$C$9,Summary!$D$31&lt;&gt;"Included Margin"),1,1/$R1414),1))</f>
        <v/>
      </c>
      <c r="AF1414" s="160" t="str">
        <f>IF(E1414="","",IF(AND($B1414&gt;=Input!$C$9,$C1414=12,Summary!$D$31="Included Margin",$U1414&gt;0),1/U1414-1,IF($B1414&gt;=Input!$C$9,0,Input!$C$45*IF(Summary!$D$27="Included Margin",1,0))))</f>
        <v/>
      </c>
      <c r="AG1414" s="160" t="str">
        <f>IF(E1414="","",Input!$C$46*IF(Summary!$D$28="Included Margin",IF(AND($B1414&gt;Input!$C$9,Summary!$D$31&lt;&gt;"Included Margin"),0,1),0))</f>
        <v/>
      </c>
      <c r="AH1414" s="158" t="str">
        <f>IF(E1414="","",Input!$C$47*IF(Summary!$D$29="Included Margin",IF(AND($B1414&gt;Input!$C$9,Summary!$D$31&lt;&gt;"Included Margin"),0,1),0))</f>
        <v/>
      </c>
      <c r="AI1414" s="154"/>
      <c r="AJ1414" s="158" t="str">
        <f t="shared" ref="AJ1414:AJ1444" si="914">IF(E1414="","",M1414+AD1414)</f>
        <v/>
      </c>
      <c r="AK1414" s="150" t="str">
        <f t="shared" ref="AK1414:AK1444" si="915">IF(E1414="","",(1+AJ1414)^(1/12)-1)</f>
        <v/>
      </c>
      <c r="AL1414" s="147" t="str">
        <f t="shared" ref="AL1414:AL1444" si="916">IF($E1414="","",MIN(($O1414*(1+$Z1414)*$AB1414+$P1414*(1+$AA1414)*(1-$AB1414))*R1414*AE1414,1))</f>
        <v/>
      </c>
      <c r="AM1414" s="147" t="str">
        <f t="shared" si="904"/>
        <v/>
      </c>
      <c r="AN1414" s="160" t="str">
        <f t="shared" ref="AN1414:AN1444" si="917">IF(E1414="","",IF(U1414=1,1,(1+AF1414)*U1414))</f>
        <v/>
      </c>
      <c r="AO1414" s="161" t="str">
        <f t="shared" ref="AO1414:AO1444" si="918">IF($E1414="","",(1+$AG1414)*$V1414)</f>
        <v/>
      </c>
      <c r="AP1414" s="156" t="str">
        <f t="shared" si="905"/>
        <v/>
      </c>
      <c r="AQ1414" s="152"/>
      <c r="AR1414" s="162" t="str">
        <f t="shared" si="906"/>
        <v/>
      </c>
      <c r="AS1414" s="150" t="str">
        <f t="shared" ref="AS1414:AS1444" si="919">IF($E1414="","",IF($C1414=1,$I1414*$H1414/1000,0))</f>
        <v/>
      </c>
      <c r="AT1414" s="163" t="str">
        <f t="shared" si="907"/>
        <v/>
      </c>
      <c r="AU1414" s="163" t="str">
        <f t="shared" si="908"/>
        <v/>
      </c>
      <c r="AV1414" s="163" t="str">
        <f t="shared" ref="AV1414:AV1444" si="920">IF($E1414="","",(AR1414+AS1414-AT1414-AU1414/2)*$AK1414)</f>
        <v/>
      </c>
      <c r="AW1414" s="163" t="str">
        <f t="shared" si="909"/>
        <v/>
      </c>
      <c r="AX1414" s="163" t="str">
        <f t="shared" si="910"/>
        <v/>
      </c>
      <c r="AY1414" s="150" t="str">
        <f t="shared" ref="AY1414:AY1444" si="921">IF($E1414="","",AR1414+AS1414-AT1414-AU1414+AV1414+AW1414+AX1414)</f>
        <v/>
      </c>
      <c r="AZ1414" s="150" t="str">
        <f>IF($E1414="","",IF(OR(AND($D1414=Input!$C$6,$C1414=12),$AN1414=1),0,-AS1415+AT1415+AU1415-AV1415-AW1415-AX1415+AZ1415))</f>
        <v/>
      </c>
      <c r="BA1414" s="154" t="str">
        <f t="shared" si="911"/>
        <v/>
      </c>
      <c r="BC1414" s="147" t="str">
        <f t="shared" ref="BC1414:BC1444" si="922">IF($E1414="","",MIN(1,(1-T1414-U1414))*BC1413)</f>
        <v/>
      </c>
      <c r="BD1414" s="164" t="str">
        <f>IF(AND($C1413=12,$D1413=Input!$C$6),0,IF($E1414="","",AT1414+(AU1414+BD1415)/(1+$AK1414)*MIN((1-AM1414-AN1414),1)))</f>
        <v/>
      </c>
      <c r="BH1414" s="152"/>
      <c r="BI1414" s="162" t="str">
        <f t="shared" si="895"/>
        <v/>
      </c>
      <c r="BJ1414" s="150" t="str">
        <f t="shared" si="896"/>
        <v/>
      </c>
      <c r="BK1414" s="163" t="str">
        <f t="shared" si="892"/>
        <v/>
      </c>
      <c r="BL1414" s="163" t="str">
        <f t="shared" si="897"/>
        <v/>
      </c>
      <c r="BM1414" s="163" t="str">
        <f t="shared" si="893"/>
        <v/>
      </c>
      <c r="BN1414" s="163" t="str">
        <f t="shared" si="898"/>
        <v/>
      </c>
      <c r="BO1414" s="163" t="str">
        <f t="shared" si="899"/>
        <v/>
      </c>
      <c r="BP1414" s="150" t="str">
        <f t="shared" si="894"/>
        <v/>
      </c>
      <c r="BQ1414" s="150" t="str">
        <f t="shared" ref="BQ1414:BQ1444" si="923">IF($E1414="","",IF($U1414=1,0,-BJ1415+BK1415+BL1415-BM1415-BN1415-BO1415+BQ1415))</f>
        <v/>
      </c>
      <c r="BR1414" s="154" t="str">
        <f t="shared" si="900"/>
        <v/>
      </c>
      <c r="BT1414" s="147"/>
    </row>
    <row r="1415" spans="1:72" s="150" customFormat="1" x14ac:dyDescent="0.25">
      <c r="A1415" s="150" t="str">
        <f t="shared" ref="A1415:A1444" si="924">IF(E1415="","",A1414+1)</f>
        <v/>
      </c>
      <c r="B1415" s="150" t="str">
        <f t="shared" ref="B1415:B1444" si="925">IF(E1415="","",IF(C1414+1&gt;12,B1414+1,B1414))</f>
        <v/>
      </c>
      <c r="C1415" s="150" t="str">
        <f t="shared" ref="C1415:C1444" si="926">IF(E1415="","",IF(C1414+1&gt;12,1,C1414+1))</f>
        <v/>
      </c>
      <c r="D1415" s="150" t="str">
        <f>IF(E1415="","",Input!$C$4+B1415-1)</f>
        <v/>
      </c>
      <c r="E1415" s="150" t="str">
        <f>IF(OR(AND(C1414=12,D1414=Input!$C$6),E1414=""),"",1)</f>
        <v/>
      </c>
      <c r="G1415" s="151" t="str">
        <f>IF(E1415="","",MAX(0,Input!$C$9-B1415))</f>
        <v/>
      </c>
      <c r="H1415" s="152" t="str">
        <f>IF(E1415="","",Input!$C$3)</f>
        <v/>
      </c>
      <c r="I1415" s="153" t="str">
        <f>IF(E1415="","",HLOOKUP($B1415,Input!$C$13:$BT$14,2))</f>
        <v/>
      </c>
      <c r="J1415" s="154"/>
      <c r="K1415" s="150" t="str">
        <f>IF($E1415="","",INDEX(Input!$C$16:$CP$16,1,$B1415))</f>
        <v/>
      </c>
      <c r="L1415" s="150" t="str">
        <f>IF($E1415="","",Input!$C$37)</f>
        <v/>
      </c>
      <c r="M1415" s="150" t="str">
        <f t="shared" si="912"/>
        <v/>
      </c>
      <c r="N1415" s="150" t="str">
        <f t="shared" si="913"/>
        <v/>
      </c>
      <c r="O1415" s="147" t="str">
        <f>IF($E1415="","",MIN(VLOOKUP(IF($B1415&lt;=Input!$C$7,$B1415,26),'Mortality Tables'!$A$41:$CW$67,IF($B1415&lt;=Input!$C$7+1,Input!$C$4+2,$D1415-Input!$C$7+2),0)*IF(B1415&gt;20,Input!$C$22,1)/1000,1))</f>
        <v/>
      </c>
      <c r="P1415" s="147" t="str">
        <f>IF($E1415="","",MIN(VLOOKUP(IF($B1415&lt;=Input!$C$7,$B1415,26),'Mortality Tables'!$A$12:$CW$37,IF($B1415&lt;=Input!$C$7+1,Input!$C$4+2,$D1415-Input!$C$7+2),0)*IF(B1415&gt;20,Input!$C$22,1)/1000,1))</f>
        <v/>
      </c>
      <c r="Q1415" s="155" t="str">
        <f>IF($E1415="","",Input!$C$21)</f>
        <v/>
      </c>
      <c r="R1415" s="159" t="str">
        <f>IF($E1415="","",(1-Q1415)^($F1415-Input!$C$20))</f>
        <v/>
      </c>
      <c r="S1415" s="147" t="str">
        <f t="shared" si="901"/>
        <v/>
      </c>
      <c r="T1415" s="147" t="str">
        <f t="shared" si="902"/>
        <v/>
      </c>
      <c r="U1415" s="160" t="str">
        <f>IF($E1415="","",IF($C1415=12,INDEX(Input!$C$15:$CP$15,1,$B1415),0))</f>
        <v/>
      </c>
      <c r="V1415" s="150" t="str">
        <f>IF(E1415="","",IF(C1415=1,IF($B1415=1,Input!$C$33,Input!$C$34),0))</f>
        <v/>
      </c>
      <c r="W1415" s="156" t="str">
        <f>IF($E1415="","",Input!$C$35)</f>
        <v/>
      </c>
      <c r="X1415" s="156" t="str">
        <f t="shared" si="903"/>
        <v/>
      </c>
      <c r="Y1415" s="154"/>
      <c r="Z1415" s="147" t="str">
        <f>IF($E1415="","",VLOOKUP($D1415,'Mortality Margins &amp; Grading'!$AB$5:$AF$125,3,0)*IF(Summary!$D$25="Included Margin",IF(AND($B1415&gt;Input!$C$9,Summary!$D$31&lt;&gt;"Included Margin"),0,1),0))</f>
        <v/>
      </c>
      <c r="AA1415" s="147" t="str">
        <f>IF($E1415="","",VLOOKUP($D1415,'Mortality Margins &amp; Grading'!$AB$5:$AF$125,5,0)*IF(Summary!$D$25="Included Margin",IF(AND($B1415&gt;Input!$C$9,Summary!$D$31&lt;&gt;"Included Margin"),0,1),0))</f>
        <v/>
      </c>
      <c r="AB1415" s="147" t="str">
        <f>IF($E1415="","",IF(AND($B1415&gt;Input!$C$9,Summary!$D$31&lt;&gt;"Included Margin"),1,IF(Summary!$D$25="Included Margin",VLOOKUP($B1415,'Mortality Margins &amp; Grading'!$AI$5:$AR$125,MATCH('Mortality Margins &amp; Grading'!$AQ$4,'Mortality Margins &amp; Grading'!$AI$4:$AR$4,0),0),1)))</f>
        <v/>
      </c>
      <c r="AC1415" s="154"/>
      <c r="AD1415" s="158" t="str">
        <f>IF(E1415="","",Input!$C$48*IF(Summary!$D$30="Included Margin",IF(AND($B1415&gt;Input!$C$9,Summary!$D$31&lt;&gt;"Included Margin"),0,1),0))</f>
        <v/>
      </c>
      <c r="AE1415" s="159" t="str">
        <f>IF(E1415="","",IF(Summary!$D$26="Included Margin",IF(AND($B1415&gt;Input!$C$9,Summary!$D$31&lt;&gt;"Included Margin"),1,1/$R1415),1))</f>
        <v/>
      </c>
      <c r="AF1415" s="160" t="str">
        <f>IF(E1415="","",IF(AND($B1415&gt;=Input!$C$9,$C1415=12,Summary!$D$31="Included Margin",$U1415&gt;0),1/U1415-1,IF($B1415&gt;=Input!$C$9,0,Input!$C$45*IF(Summary!$D$27="Included Margin",1,0))))</f>
        <v/>
      </c>
      <c r="AG1415" s="160" t="str">
        <f>IF(E1415="","",Input!$C$46*IF(Summary!$D$28="Included Margin",IF(AND($B1415&gt;Input!$C$9,Summary!$D$31&lt;&gt;"Included Margin"),0,1),0))</f>
        <v/>
      </c>
      <c r="AH1415" s="158" t="str">
        <f>IF(E1415="","",Input!$C$47*IF(Summary!$D$29="Included Margin",IF(AND($B1415&gt;Input!$C$9,Summary!$D$31&lt;&gt;"Included Margin"),0,1),0))</f>
        <v/>
      </c>
      <c r="AI1415" s="154"/>
      <c r="AJ1415" s="158" t="str">
        <f t="shared" si="914"/>
        <v/>
      </c>
      <c r="AK1415" s="150" t="str">
        <f t="shared" si="915"/>
        <v/>
      </c>
      <c r="AL1415" s="147" t="str">
        <f t="shared" si="916"/>
        <v/>
      </c>
      <c r="AM1415" s="147" t="str">
        <f t="shared" si="904"/>
        <v/>
      </c>
      <c r="AN1415" s="160" t="str">
        <f t="shared" si="917"/>
        <v/>
      </c>
      <c r="AO1415" s="161" t="str">
        <f t="shared" si="918"/>
        <v/>
      </c>
      <c r="AP1415" s="156" t="str">
        <f t="shared" si="905"/>
        <v/>
      </c>
      <c r="AQ1415" s="152"/>
      <c r="AR1415" s="162" t="str">
        <f t="shared" si="906"/>
        <v/>
      </c>
      <c r="AS1415" s="150" t="str">
        <f t="shared" si="919"/>
        <v/>
      </c>
      <c r="AT1415" s="163" t="str">
        <f t="shared" si="907"/>
        <v/>
      </c>
      <c r="AU1415" s="163" t="str">
        <f t="shared" si="908"/>
        <v/>
      </c>
      <c r="AV1415" s="163" t="str">
        <f t="shared" si="920"/>
        <v/>
      </c>
      <c r="AW1415" s="163" t="str">
        <f t="shared" si="909"/>
        <v/>
      </c>
      <c r="AX1415" s="163" t="str">
        <f t="shared" si="910"/>
        <v/>
      </c>
      <c r="AY1415" s="150" t="str">
        <f t="shared" si="921"/>
        <v/>
      </c>
      <c r="AZ1415" s="150" t="str">
        <f>IF($E1415="","",IF(OR(AND($D1415=Input!$C$6,$C1415=12),$AN1415=1),0,-AS1416+AT1416+AU1416-AV1416-AW1416-AX1416+AZ1416))</f>
        <v/>
      </c>
      <c r="BA1415" s="154" t="str">
        <f t="shared" si="911"/>
        <v/>
      </c>
      <c r="BC1415" s="147" t="str">
        <f t="shared" si="922"/>
        <v/>
      </c>
      <c r="BD1415" s="164" t="str">
        <f>IF(AND($C1414=12,$D1414=Input!$C$6),0,IF($E1415="","",AT1415+(AU1415+BD1416)/(1+$AK1415)*MIN((1-AM1415-AN1415),1)))</f>
        <v/>
      </c>
      <c r="BH1415" s="152"/>
      <c r="BI1415" s="162" t="str">
        <f t="shared" si="895"/>
        <v/>
      </c>
      <c r="BJ1415" s="150" t="str">
        <f t="shared" si="896"/>
        <v/>
      </c>
      <c r="BK1415" s="163" t="str">
        <f t="shared" ref="BK1415:BK1444" si="927">IF($E1415="","",$V1415*$X1415)</f>
        <v/>
      </c>
      <c r="BL1415" s="163" t="str">
        <f t="shared" si="897"/>
        <v/>
      </c>
      <c r="BM1415" s="163" t="str">
        <f t="shared" ref="BM1415:BM1444" si="928">IF($E1415="","",(BI1415+BJ1415-BK1415-BL1415/2)*$N1415)</f>
        <v/>
      </c>
      <c r="BN1415" s="163" t="str">
        <f t="shared" si="898"/>
        <v/>
      </c>
      <c r="BO1415" s="163" t="str">
        <f t="shared" si="899"/>
        <v/>
      </c>
      <c r="BP1415" s="150" t="str">
        <f t="shared" ref="BP1415:BP1444" si="929">IF($E1415="","",BI1415+BJ1415-BK1415-BL1415+BM1415+BN1415+BO1415)</f>
        <v/>
      </c>
      <c r="BQ1415" s="150" t="str">
        <f t="shared" si="923"/>
        <v/>
      </c>
      <c r="BR1415" s="154" t="str">
        <f t="shared" si="900"/>
        <v/>
      </c>
      <c r="BT1415" s="147"/>
    </row>
    <row r="1416" spans="1:72" s="150" customFormat="1" x14ac:dyDescent="0.25">
      <c r="A1416" s="150" t="str">
        <f t="shared" si="924"/>
        <v/>
      </c>
      <c r="B1416" s="150" t="str">
        <f t="shared" si="925"/>
        <v/>
      </c>
      <c r="C1416" s="150" t="str">
        <f t="shared" si="926"/>
        <v/>
      </c>
      <c r="D1416" s="150" t="str">
        <f>IF(E1416="","",Input!$C$4+B1416-1)</f>
        <v/>
      </c>
      <c r="E1416" s="150" t="str">
        <f>IF(OR(AND(C1415=12,D1415=Input!$C$6),E1415=""),"",1)</f>
        <v/>
      </c>
      <c r="G1416" s="151" t="str">
        <f>IF(E1416="","",MAX(0,Input!$C$9-B1416))</f>
        <v/>
      </c>
      <c r="H1416" s="152" t="str">
        <f>IF(E1416="","",Input!$C$3)</f>
        <v/>
      </c>
      <c r="I1416" s="153" t="str">
        <f>IF(E1416="","",HLOOKUP($B1416,Input!$C$13:$BT$14,2))</f>
        <v/>
      </c>
      <c r="J1416" s="154"/>
      <c r="K1416" s="150" t="str">
        <f>IF($E1416="","",INDEX(Input!$C$16:$CP$16,1,$B1416))</f>
        <v/>
      </c>
      <c r="L1416" s="150" t="str">
        <f>IF($E1416="","",Input!$C$37)</f>
        <v/>
      </c>
      <c r="M1416" s="150" t="str">
        <f t="shared" si="912"/>
        <v/>
      </c>
      <c r="N1416" s="150" t="str">
        <f t="shared" si="913"/>
        <v/>
      </c>
      <c r="O1416" s="147" t="str">
        <f>IF($E1416="","",MIN(VLOOKUP(IF($B1416&lt;=Input!$C$7,$B1416,26),'Mortality Tables'!$A$41:$CW$67,IF($B1416&lt;=Input!$C$7+1,Input!$C$4+2,$D1416-Input!$C$7+2),0)*IF(B1416&gt;20,Input!$C$22,1)/1000,1))</f>
        <v/>
      </c>
      <c r="P1416" s="147" t="str">
        <f>IF($E1416="","",MIN(VLOOKUP(IF($B1416&lt;=Input!$C$7,$B1416,26),'Mortality Tables'!$A$12:$CW$37,IF($B1416&lt;=Input!$C$7+1,Input!$C$4+2,$D1416-Input!$C$7+2),0)*IF(B1416&gt;20,Input!$C$22,1)/1000,1))</f>
        <v/>
      </c>
      <c r="Q1416" s="155" t="str">
        <f>IF($E1416="","",Input!$C$21)</f>
        <v/>
      </c>
      <c r="R1416" s="159" t="str">
        <f>IF($E1416="","",(1-Q1416)^($F1416-Input!$C$20))</f>
        <v/>
      </c>
      <c r="S1416" s="147" t="str">
        <f t="shared" si="901"/>
        <v/>
      </c>
      <c r="T1416" s="147" t="str">
        <f t="shared" si="902"/>
        <v/>
      </c>
      <c r="U1416" s="160" t="str">
        <f>IF($E1416="","",IF($C1416=12,INDEX(Input!$C$15:$CP$15,1,$B1416),0))</f>
        <v/>
      </c>
      <c r="V1416" s="150" t="str">
        <f>IF(E1416="","",IF(C1416=1,IF($B1416=1,Input!$C$33,Input!$C$34),0))</f>
        <v/>
      </c>
      <c r="W1416" s="156" t="str">
        <f>IF($E1416="","",Input!$C$35)</f>
        <v/>
      </c>
      <c r="X1416" s="156" t="str">
        <f t="shared" si="903"/>
        <v/>
      </c>
      <c r="Y1416" s="154"/>
      <c r="Z1416" s="147" t="str">
        <f>IF($E1416="","",VLOOKUP($D1416,'Mortality Margins &amp; Grading'!$AB$5:$AF$125,3,0)*IF(Summary!$D$25="Included Margin",IF(AND($B1416&gt;Input!$C$9,Summary!$D$31&lt;&gt;"Included Margin"),0,1),0))</f>
        <v/>
      </c>
      <c r="AA1416" s="147" t="str">
        <f>IF($E1416="","",VLOOKUP($D1416,'Mortality Margins &amp; Grading'!$AB$5:$AF$125,5,0)*IF(Summary!$D$25="Included Margin",IF(AND($B1416&gt;Input!$C$9,Summary!$D$31&lt;&gt;"Included Margin"),0,1),0))</f>
        <v/>
      </c>
      <c r="AB1416" s="147" t="str">
        <f>IF($E1416="","",IF(AND($B1416&gt;Input!$C$9,Summary!$D$31&lt;&gt;"Included Margin"),1,IF(Summary!$D$25="Included Margin",VLOOKUP($B1416,'Mortality Margins &amp; Grading'!$AI$5:$AR$125,MATCH('Mortality Margins &amp; Grading'!$AQ$4,'Mortality Margins &amp; Grading'!$AI$4:$AR$4,0),0),1)))</f>
        <v/>
      </c>
      <c r="AC1416" s="154"/>
      <c r="AD1416" s="158" t="str">
        <f>IF(E1416="","",Input!$C$48*IF(Summary!$D$30="Included Margin",IF(AND($B1416&gt;Input!$C$9,Summary!$D$31&lt;&gt;"Included Margin"),0,1),0))</f>
        <v/>
      </c>
      <c r="AE1416" s="159" t="str">
        <f>IF(E1416="","",IF(Summary!$D$26="Included Margin",IF(AND($B1416&gt;Input!$C$9,Summary!$D$31&lt;&gt;"Included Margin"),1,1/$R1416),1))</f>
        <v/>
      </c>
      <c r="AF1416" s="160" t="str">
        <f>IF(E1416="","",IF(AND($B1416&gt;=Input!$C$9,$C1416=12,Summary!$D$31="Included Margin",$U1416&gt;0),1/U1416-1,IF($B1416&gt;=Input!$C$9,0,Input!$C$45*IF(Summary!$D$27="Included Margin",1,0))))</f>
        <v/>
      </c>
      <c r="AG1416" s="160" t="str">
        <f>IF(E1416="","",Input!$C$46*IF(Summary!$D$28="Included Margin",IF(AND($B1416&gt;Input!$C$9,Summary!$D$31&lt;&gt;"Included Margin"),0,1),0))</f>
        <v/>
      </c>
      <c r="AH1416" s="158" t="str">
        <f>IF(E1416="","",Input!$C$47*IF(Summary!$D$29="Included Margin",IF(AND($B1416&gt;Input!$C$9,Summary!$D$31&lt;&gt;"Included Margin"),0,1),0))</f>
        <v/>
      </c>
      <c r="AI1416" s="154"/>
      <c r="AJ1416" s="158" t="str">
        <f t="shared" si="914"/>
        <v/>
      </c>
      <c r="AK1416" s="150" t="str">
        <f t="shared" si="915"/>
        <v/>
      </c>
      <c r="AL1416" s="147" t="str">
        <f t="shared" si="916"/>
        <v/>
      </c>
      <c r="AM1416" s="147" t="str">
        <f t="shared" si="904"/>
        <v/>
      </c>
      <c r="AN1416" s="160" t="str">
        <f t="shared" si="917"/>
        <v/>
      </c>
      <c r="AO1416" s="161" t="str">
        <f t="shared" si="918"/>
        <v/>
      </c>
      <c r="AP1416" s="156" t="str">
        <f t="shared" si="905"/>
        <v/>
      </c>
      <c r="AQ1416" s="152"/>
      <c r="AR1416" s="162" t="str">
        <f t="shared" si="906"/>
        <v/>
      </c>
      <c r="AS1416" s="150" t="str">
        <f t="shared" si="919"/>
        <v/>
      </c>
      <c r="AT1416" s="163" t="str">
        <f t="shared" si="907"/>
        <v/>
      </c>
      <c r="AU1416" s="163" t="str">
        <f t="shared" si="908"/>
        <v/>
      </c>
      <c r="AV1416" s="163" t="str">
        <f t="shared" si="920"/>
        <v/>
      </c>
      <c r="AW1416" s="163" t="str">
        <f t="shared" si="909"/>
        <v/>
      </c>
      <c r="AX1416" s="163" t="str">
        <f t="shared" si="910"/>
        <v/>
      </c>
      <c r="AY1416" s="150" t="str">
        <f t="shared" si="921"/>
        <v/>
      </c>
      <c r="AZ1416" s="150" t="str">
        <f>IF($E1416="","",IF(OR(AND($D1416=Input!$C$6,$C1416=12),$AN1416=1),0,-AS1417+AT1417+AU1417-AV1417-AW1417-AX1417+AZ1417))</f>
        <v/>
      </c>
      <c r="BA1416" s="154" t="str">
        <f t="shared" si="911"/>
        <v/>
      </c>
      <c r="BC1416" s="147" t="str">
        <f t="shared" si="922"/>
        <v/>
      </c>
      <c r="BD1416" s="164" t="str">
        <f>IF(AND($C1415=12,$D1415=Input!$C$6),0,IF($E1416="","",AT1416+(AU1416+BD1417)/(1+$AK1416)*MIN((1-AM1416-AN1416),1)))</f>
        <v/>
      </c>
      <c r="BH1416" s="152"/>
      <c r="BI1416" s="162" t="str">
        <f t="shared" si="895"/>
        <v/>
      </c>
      <c r="BJ1416" s="150" t="str">
        <f t="shared" si="896"/>
        <v/>
      </c>
      <c r="BK1416" s="163" t="str">
        <f t="shared" si="927"/>
        <v/>
      </c>
      <c r="BL1416" s="163" t="str">
        <f t="shared" si="897"/>
        <v/>
      </c>
      <c r="BM1416" s="163" t="str">
        <f t="shared" si="928"/>
        <v/>
      </c>
      <c r="BN1416" s="163" t="str">
        <f t="shared" si="898"/>
        <v/>
      </c>
      <c r="BO1416" s="163" t="str">
        <f t="shared" si="899"/>
        <v/>
      </c>
      <c r="BP1416" s="150" t="str">
        <f t="shared" si="929"/>
        <v/>
      </c>
      <c r="BQ1416" s="150" t="str">
        <f t="shared" si="923"/>
        <v/>
      </c>
      <c r="BR1416" s="154" t="str">
        <f t="shared" si="900"/>
        <v/>
      </c>
      <c r="BT1416" s="147"/>
    </row>
    <row r="1417" spans="1:72" s="150" customFormat="1" x14ac:dyDescent="0.25">
      <c r="A1417" s="150" t="str">
        <f t="shared" si="924"/>
        <v/>
      </c>
      <c r="B1417" s="150" t="str">
        <f t="shared" si="925"/>
        <v/>
      </c>
      <c r="C1417" s="150" t="str">
        <f t="shared" si="926"/>
        <v/>
      </c>
      <c r="D1417" s="150" t="str">
        <f>IF(E1417="","",Input!$C$4+B1417-1)</f>
        <v/>
      </c>
      <c r="E1417" s="150" t="str">
        <f>IF(OR(AND(C1416=12,D1416=Input!$C$6),E1416=""),"",1)</f>
        <v/>
      </c>
      <c r="G1417" s="151" t="str">
        <f>IF(E1417="","",MAX(0,Input!$C$9-B1417))</f>
        <v/>
      </c>
      <c r="H1417" s="152" t="str">
        <f>IF(E1417="","",Input!$C$3)</f>
        <v/>
      </c>
      <c r="I1417" s="153" t="str">
        <f>IF(E1417="","",HLOOKUP($B1417,Input!$C$13:$BT$14,2))</f>
        <v/>
      </c>
      <c r="J1417" s="154"/>
      <c r="K1417" s="150" t="str">
        <f>IF($E1417="","",INDEX(Input!$C$16:$CP$16,1,$B1417))</f>
        <v/>
      </c>
      <c r="L1417" s="150" t="str">
        <f>IF($E1417="","",Input!$C$37)</f>
        <v/>
      </c>
      <c r="M1417" s="150" t="str">
        <f t="shared" si="912"/>
        <v/>
      </c>
      <c r="N1417" s="150" t="str">
        <f t="shared" si="913"/>
        <v/>
      </c>
      <c r="O1417" s="147" t="str">
        <f>IF($E1417="","",MIN(VLOOKUP(IF($B1417&lt;=Input!$C$7,$B1417,26),'Mortality Tables'!$A$41:$CW$67,IF($B1417&lt;=Input!$C$7+1,Input!$C$4+2,$D1417-Input!$C$7+2),0)*IF(B1417&gt;20,Input!$C$22,1)/1000,1))</f>
        <v/>
      </c>
      <c r="P1417" s="147" t="str">
        <f>IF($E1417="","",MIN(VLOOKUP(IF($B1417&lt;=Input!$C$7,$B1417,26),'Mortality Tables'!$A$12:$CW$37,IF($B1417&lt;=Input!$C$7+1,Input!$C$4+2,$D1417-Input!$C$7+2),0)*IF(B1417&gt;20,Input!$C$22,1)/1000,1))</f>
        <v/>
      </c>
      <c r="Q1417" s="155" t="str">
        <f>IF($E1417="","",Input!$C$21)</f>
        <v/>
      </c>
      <c r="R1417" s="159" t="str">
        <f>IF($E1417="","",(1-Q1417)^($F1417-Input!$C$20))</f>
        <v/>
      </c>
      <c r="S1417" s="147" t="str">
        <f t="shared" si="901"/>
        <v/>
      </c>
      <c r="T1417" s="147" t="str">
        <f t="shared" si="902"/>
        <v/>
      </c>
      <c r="U1417" s="160" t="str">
        <f>IF($E1417="","",IF($C1417=12,INDEX(Input!$C$15:$CP$15,1,$B1417),0))</f>
        <v/>
      </c>
      <c r="V1417" s="150" t="str">
        <f>IF(E1417="","",IF(C1417=1,IF($B1417=1,Input!$C$33,Input!$C$34),0))</f>
        <v/>
      </c>
      <c r="W1417" s="156" t="str">
        <f>IF($E1417="","",Input!$C$35)</f>
        <v/>
      </c>
      <c r="X1417" s="156" t="str">
        <f t="shared" si="903"/>
        <v/>
      </c>
      <c r="Y1417" s="154"/>
      <c r="Z1417" s="147" t="str">
        <f>IF($E1417="","",VLOOKUP($D1417,'Mortality Margins &amp; Grading'!$AB$5:$AF$125,3,0)*IF(Summary!$D$25="Included Margin",IF(AND($B1417&gt;Input!$C$9,Summary!$D$31&lt;&gt;"Included Margin"),0,1),0))</f>
        <v/>
      </c>
      <c r="AA1417" s="147" t="str">
        <f>IF($E1417="","",VLOOKUP($D1417,'Mortality Margins &amp; Grading'!$AB$5:$AF$125,5,0)*IF(Summary!$D$25="Included Margin",IF(AND($B1417&gt;Input!$C$9,Summary!$D$31&lt;&gt;"Included Margin"),0,1),0))</f>
        <v/>
      </c>
      <c r="AB1417" s="147" t="str">
        <f>IF($E1417="","",IF(AND($B1417&gt;Input!$C$9,Summary!$D$31&lt;&gt;"Included Margin"),1,IF(Summary!$D$25="Included Margin",VLOOKUP($B1417,'Mortality Margins &amp; Grading'!$AI$5:$AR$125,MATCH('Mortality Margins &amp; Grading'!$AQ$4,'Mortality Margins &amp; Grading'!$AI$4:$AR$4,0),0),1)))</f>
        <v/>
      </c>
      <c r="AC1417" s="154"/>
      <c r="AD1417" s="158" t="str">
        <f>IF(E1417="","",Input!$C$48*IF(Summary!$D$30="Included Margin",IF(AND($B1417&gt;Input!$C$9,Summary!$D$31&lt;&gt;"Included Margin"),0,1),0))</f>
        <v/>
      </c>
      <c r="AE1417" s="159" t="str">
        <f>IF(E1417="","",IF(Summary!$D$26="Included Margin",IF(AND($B1417&gt;Input!$C$9,Summary!$D$31&lt;&gt;"Included Margin"),1,1/$R1417),1))</f>
        <v/>
      </c>
      <c r="AF1417" s="160" t="str">
        <f>IF(E1417="","",IF(AND($B1417&gt;=Input!$C$9,$C1417=12,Summary!$D$31="Included Margin",$U1417&gt;0),1/U1417-1,IF($B1417&gt;=Input!$C$9,0,Input!$C$45*IF(Summary!$D$27="Included Margin",1,0))))</f>
        <v/>
      </c>
      <c r="AG1417" s="160" t="str">
        <f>IF(E1417="","",Input!$C$46*IF(Summary!$D$28="Included Margin",IF(AND($B1417&gt;Input!$C$9,Summary!$D$31&lt;&gt;"Included Margin"),0,1),0))</f>
        <v/>
      </c>
      <c r="AH1417" s="158" t="str">
        <f>IF(E1417="","",Input!$C$47*IF(Summary!$D$29="Included Margin",IF(AND($B1417&gt;Input!$C$9,Summary!$D$31&lt;&gt;"Included Margin"),0,1),0))</f>
        <v/>
      </c>
      <c r="AI1417" s="154"/>
      <c r="AJ1417" s="158" t="str">
        <f t="shared" si="914"/>
        <v/>
      </c>
      <c r="AK1417" s="150" t="str">
        <f t="shared" si="915"/>
        <v/>
      </c>
      <c r="AL1417" s="147" t="str">
        <f t="shared" si="916"/>
        <v/>
      </c>
      <c r="AM1417" s="147" t="str">
        <f t="shared" si="904"/>
        <v/>
      </c>
      <c r="AN1417" s="160" t="str">
        <f t="shared" si="917"/>
        <v/>
      </c>
      <c r="AO1417" s="161" t="str">
        <f t="shared" si="918"/>
        <v/>
      </c>
      <c r="AP1417" s="156" t="str">
        <f t="shared" si="905"/>
        <v/>
      </c>
      <c r="AQ1417" s="152"/>
      <c r="AR1417" s="162" t="str">
        <f t="shared" si="906"/>
        <v/>
      </c>
      <c r="AS1417" s="150" t="str">
        <f t="shared" si="919"/>
        <v/>
      </c>
      <c r="AT1417" s="163" t="str">
        <f t="shared" si="907"/>
        <v/>
      </c>
      <c r="AU1417" s="163" t="str">
        <f t="shared" si="908"/>
        <v/>
      </c>
      <c r="AV1417" s="163" t="str">
        <f t="shared" si="920"/>
        <v/>
      </c>
      <c r="AW1417" s="163" t="str">
        <f t="shared" si="909"/>
        <v/>
      </c>
      <c r="AX1417" s="163" t="str">
        <f t="shared" si="910"/>
        <v/>
      </c>
      <c r="AY1417" s="150" t="str">
        <f t="shared" si="921"/>
        <v/>
      </c>
      <c r="AZ1417" s="150" t="str">
        <f>IF($E1417="","",IF(OR(AND($D1417=Input!$C$6,$C1417=12),$AN1417=1),0,-AS1418+AT1418+AU1418-AV1418-AW1418-AX1418+AZ1418))</f>
        <v/>
      </c>
      <c r="BA1417" s="154" t="str">
        <f t="shared" si="911"/>
        <v/>
      </c>
      <c r="BC1417" s="147" t="str">
        <f t="shared" si="922"/>
        <v/>
      </c>
      <c r="BD1417" s="164" t="str">
        <f>IF(AND($C1416=12,$D1416=Input!$C$6),0,IF($E1417="","",AT1417+(AU1417+BD1418)/(1+$AK1417)*MIN((1-AM1417-AN1417),1)))</f>
        <v/>
      </c>
      <c r="BH1417" s="152"/>
      <c r="BI1417" s="162" t="str">
        <f t="shared" si="895"/>
        <v/>
      </c>
      <c r="BJ1417" s="150" t="str">
        <f t="shared" si="896"/>
        <v/>
      </c>
      <c r="BK1417" s="163" t="str">
        <f t="shared" si="927"/>
        <v/>
      </c>
      <c r="BL1417" s="163" t="str">
        <f t="shared" si="897"/>
        <v/>
      </c>
      <c r="BM1417" s="163" t="str">
        <f t="shared" si="928"/>
        <v/>
      </c>
      <c r="BN1417" s="163" t="str">
        <f t="shared" si="898"/>
        <v/>
      </c>
      <c r="BO1417" s="163" t="str">
        <f t="shared" si="899"/>
        <v/>
      </c>
      <c r="BP1417" s="150" t="str">
        <f t="shared" si="929"/>
        <v/>
      </c>
      <c r="BQ1417" s="150" t="str">
        <f t="shared" si="923"/>
        <v/>
      </c>
      <c r="BR1417" s="154" t="str">
        <f t="shared" si="900"/>
        <v/>
      </c>
      <c r="BT1417" s="147"/>
    </row>
    <row r="1418" spans="1:72" s="150" customFormat="1" x14ac:dyDescent="0.25">
      <c r="A1418" s="150" t="str">
        <f t="shared" si="924"/>
        <v/>
      </c>
      <c r="B1418" s="150" t="str">
        <f t="shared" si="925"/>
        <v/>
      </c>
      <c r="C1418" s="150" t="str">
        <f t="shared" si="926"/>
        <v/>
      </c>
      <c r="D1418" s="150" t="str">
        <f>IF(E1418="","",Input!$C$4+B1418-1)</f>
        <v/>
      </c>
      <c r="E1418" s="150" t="str">
        <f>IF(OR(AND(C1417=12,D1417=Input!$C$6),E1417=""),"",1)</f>
        <v/>
      </c>
      <c r="G1418" s="151" t="str">
        <f>IF(E1418="","",MAX(0,Input!$C$9-B1418))</f>
        <v/>
      </c>
      <c r="H1418" s="152" t="str">
        <f>IF(E1418="","",Input!$C$3)</f>
        <v/>
      </c>
      <c r="I1418" s="153" t="str">
        <f>IF(E1418="","",HLOOKUP($B1418,Input!$C$13:$BT$14,2))</f>
        <v/>
      </c>
      <c r="J1418" s="154"/>
      <c r="K1418" s="150" t="str">
        <f>IF($E1418="","",INDEX(Input!$C$16:$CP$16,1,$B1418))</f>
        <v/>
      </c>
      <c r="L1418" s="150" t="str">
        <f>IF($E1418="","",Input!$C$37)</f>
        <v/>
      </c>
      <c r="M1418" s="150" t="str">
        <f t="shared" si="912"/>
        <v/>
      </c>
      <c r="N1418" s="150" t="str">
        <f t="shared" si="913"/>
        <v/>
      </c>
      <c r="O1418" s="147" t="str">
        <f>IF($E1418="","",MIN(VLOOKUP(IF($B1418&lt;=Input!$C$7,$B1418,26),'Mortality Tables'!$A$41:$CW$67,IF($B1418&lt;=Input!$C$7+1,Input!$C$4+2,$D1418-Input!$C$7+2),0)*IF(B1418&gt;20,Input!$C$22,1)/1000,1))</f>
        <v/>
      </c>
      <c r="P1418" s="147" t="str">
        <f>IF($E1418="","",MIN(VLOOKUP(IF($B1418&lt;=Input!$C$7,$B1418,26),'Mortality Tables'!$A$12:$CW$37,IF($B1418&lt;=Input!$C$7+1,Input!$C$4+2,$D1418-Input!$C$7+2),0)*IF(B1418&gt;20,Input!$C$22,1)/1000,1))</f>
        <v/>
      </c>
      <c r="Q1418" s="155" t="str">
        <f>IF($E1418="","",Input!$C$21)</f>
        <v/>
      </c>
      <c r="R1418" s="159" t="str">
        <f>IF($E1418="","",(1-Q1418)^($F1418-Input!$C$20))</f>
        <v/>
      </c>
      <c r="S1418" s="147" t="str">
        <f t="shared" si="901"/>
        <v/>
      </c>
      <c r="T1418" s="147" t="str">
        <f t="shared" si="902"/>
        <v/>
      </c>
      <c r="U1418" s="160" t="str">
        <f>IF($E1418="","",IF($C1418=12,INDEX(Input!$C$15:$CP$15,1,$B1418),0))</f>
        <v/>
      </c>
      <c r="V1418" s="150" t="str">
        <f>IF(E1418="","",IF(C1418=1,IF($B1418=1,Input!$C$33,Input!$C$34),0))</f>
        <v/>
      </c>
      <c r="W1418" s="156" t="str">
        <f>IF($E1418="","",Input!$C$35)</f>
        <v/>
      </c>
      <c r="X1418" s="156" t="str">
        <f t="shared" si="903"/>
        <v/>
      </c>
      <c r="Y1418" s="154"/>
      <c r="Z1418" s="147" t="str">
        <f>IF($E1418="","",VLOOKUP($D1418,'Mortality Margins &amp; Grading'!$AB$5:$AF$125,3,0)*IF(Summary!$D$25="Included Margin",IF(AND($B1418&gt;Input!$C$9,Summary!$D$31&lt;&gt;"Included Margin"),0,1),0))</f>
        <v/>
      </c>
      <c r="AA1418" s="147" t="str">
        <f>IF($E1418="","",VLOOKUP($D1418,'Mortality Margins &amp; Grading'!$AB$5:$AF$125,5,0)*IF(Summary!$D$25="Included Margin",IF(AND($B1418&gt;Input!$C$9,Summary!$D$31&lt;&gt;"Included Margin"),0,1),0))</f>
        <v/>
      </c>
      <c r="AB1418" s="147" t="str">
        <f>IF($E1418="","",IF(AND($B1418&gt;Input!$C$9,Summary!$D$31&lt;&gt;"Included Margin"),1,IF(Summary!$D$25="Included Margin",VLOOKUP($B1418,'Mortality Margins &amp; Grading'!$AI$5:$AR$125,MATCH('Mortality Margins &amp; Grading'!$AQ$4,'Mortality Margins &amp; Grading'!$AI$4:$AR$4,0),0),1)))</f>
        <v/>
      </c>
      <c r="AC1418" s="154"/>
      <c r="AD1418" s="158" t="str">
        <f>IF(E1418="","",Input!$C$48*IF(Summary!$D$30="Included Margin",IF(AND($B1418&gt;Input!$C$9,Summary!$D$31&lt;&gt;"Included Margin"),0,1),0))</f>
        <v/>
      </c>
      <c r="AE1418" s="159" t="str">
        <f>IF(E1418="","",IF(Summary!$D$26="Included Margin",IF(AND($B1418&gt;Input!$C$9,Summary!$D$31&lt;&gt;"Included Margin"),1,1/$R1418),1))</f>
        <v/>
      </c>
      <c r="AF1418" s="160" t="str">
        <f>IF(E1418="","",IF(AND($B1418&gt;=Input!$C$9,$C1418=12,Summary!$D$31="Included Margin",$U1418&gt;0),1/U1418-1,IF($B1418&gt;=Input!$C$9,0,Input!$C$45*IF(Summary!$D$27="Included Margin",1,0))))</f>
        <v/>
      </c>
      <c r="AG1418" s="160" t="str">
        <f>IF(E1418="","",Input!$C$46*IF(Summary!$D$28="Included Margin",IF(AND($B1418&gt;Input!$C$9,Summary!$D$31&lt;&gt;"Included Margin"),0,1),0))</f>
        <v/>
      </c>
      <c r="AH1418" s="158" t="str">
        <f>IF(E1418="","",Input!$C$47*IF(Summary!$D$29="Included Margin",IF(AND($B1418&gt;Input!$C$9,Summary!$D$31&lt;&gt;"Included Margin"),0,1),0))</f>
        <v/>
      </c>
      <c r="AI1418" s="154"/>
      <c r="AJ1418" s="158" t="str">
        <f t="shared" si="914"/>
        <v/>
      </c>
      <c r="AK1418" s="150" t="str">
        <f t="shared" si="915"/>
        <v/>
      </c>
      <c r="AL1418" s="147" t="str">
        <f t="shared" si="916"/>
        <v/>
      </c>
      <c r="AM1418" s="147" t="str">
        <f t="shared" si="904"/>
        <v/>
      </c>
      <c r="AN1418" s="160" t="str">
        <f t="shared" si="917"/>
        <v/>
      </c>
      <c r="AO1418" s="161" t="str">
        <f t="shared" si="918"/>
        <v/>
      </c>
      <c r="AP1418" s="156" t="str">
        <f t="shared" si="905"/>
        <v/>
      </c>
      <c r="AQ1418" s="152"/>
      <c r="AR1418" s="162" t="str">
        <f t="shared" si="906"/>
        <v/>
      </c>
      <c r="AS1418" s="150" t="str">
        <f t="shared" si="919"/>
        <v/>
      </c>
      <c r="AT1418" s="163" t="str">
        <f t="shared" si="907"/>
        <v/>
      </c>
      <c r="AU1418" s="163" t="str">
        <f t="shared" si="908"/>
        <v/>
      </c>
      <c r="AV1418" s="163" t="str">
        <f t="shared" si="920"/>
        <v/>
      </c>
      <c r="AW1418" s="163" t="str">
        <f t="shared" si="909"/>
        <v/>
      </c>
      <c r="AX1418" s="163" t="str">
        <f t="shared" si="910"/>
        <v/>
      </c>
      <c r="AY1418" s="150" t="str">
        <f t="shared" si="921"/>
        <v/>
      </c>
      <c r="AZ1418" s="150" t="str">
        <f>IF($E1418="","",IF(OR(AND($D1418=Input!$C$6,$C1418=12),$AN1418=1),0,-AS1419+AT1419+AU1419-AV1419-AW1419-AX1419+AZ1419))</f>
        <v/>
      </c>
      <c r="BA1418" s="154" t="str">
        <f t="shared" si="911"/>
        <v/>
      </c>
      <c r="BC1418" s="147" t="str">
        <f t="shared" si="922"/>
        <v/>
      </c>
      <c r="BD1418" s="164" t="str">
        <f>IF(AND($C1417=12,$D1417=Input!$C$6),0,IF($E1418="","",AT1418+(AU1418+BD1419)/(1+$AK1418)*MIN((1-AM1418-AN1418),1)))</f>
        <v/>
      </c>
      <c r="BH1418" s="152"/>
      <c r="BI1418" s="162" t="str">
        <f t="shared" si="895"/>
        <v/>
      </c>
      <c r="BJ1418" s="150" t="str">
        <f t="shared" si="896"/>
        <v/>
      </c>
      <c r="BK1418" s="163" t="str">
        <f t="shared" si="927"/>
        <v/>
      </c>
      <c r="BL1418" s="163" t="str">
        <f t="shared" si="897"/>
        <v/>
      </c>
      <c r="BM1418" s="163" t="str">
        <f t="shared" si="928"/>
        <v/>
      </c>
      <c r="BN1418" s="163" t="str">
        <f t="shared" si="898"/>
        <v/>
      </c>
      <c r="BO1418" s="163" t="str">
        <f t="shared" si="899"/>
        <v/>
      </c>
      <c r="BP1418" s="150" t="str">
        <f t="shared" si="929"/>
        <v/>
      </c>
      <c r="BQ1418" s="150" t="str">
        <f t="shared" si="923"/>
        <v/>
      </c>
      <c r="BR1418" s="154" t="str">
        <f t="shared" si="900"/>
        <v/>
      </c>
      <c r="BT1418" s="147"/>
    </row>
    <row r="1419" spans="1:72" s="150" customFormat="1" x14ac:dyDescent="0.25">
      <c r="A1419" s="150" t="str">
        <f t="shared" si="924"/>
        <v/>
      </c>
      <c r="B1419" s="150" t="str">
        <f t="shared" si="925"/>
        <v/>
      </c>
      <c r="C1419" s="150" t="str">
        <f t="shared" si="926"/>
        <v/>
      </c>
      <c r="D1419" s="150" t="str">
        <f>IF(E1419="","",Input!$C$4+B1419-1)</f>
        <v/>
      </c>
      <c r="E1419" s="150" t="str">
        <f>IF(OR(AND(C1418=12,D1418=Input!$C$6),E1418=""),"",1)</f>
        <v/>
      </c>
      <c r="G1419" s="151" t="str">
        <f>IF(E1419="","",MAX(0,Input!$C$9-B1419))</f>
        <v/>
      </c>
      <c r="H1419" s="152" t="str">
        <f>IF(E1419="","",Input!$C$3)</f>
        <v/>
      </c>
      <c r="I1419" s="153" t="str">
        <f>IF(E1419="","",HLOOKUP($B1419,Input!$C$13:$BT$14,2))</f>
        <v/>
      </c>
      <c r="J1419" s="154"/>
      <c r="K1419" s="150" t="str">
        <f>IF($E1419="","",INDEX(Input!$C$16:$CP$16,1,$B1419))</f>
        <v/>
      </c>
      <c r="L1419" s="150" t="str">
        <f>IF($E1419="","",Input!$C$37)</f>
        <v/>
      </c>
      <c r="M1419" s="150" t="str">
        <f t="shared" si="912"/>
        <v/>
      </c>
      <c r="N1419" s="150" t="str">
        <f t="shared" si="913"/>
        <v/>
      </c>
      <c r="O1419" s="147" t="str">
        <f>IF($E1419="","",MIN(VLOOKUP(IF($B1419&lt;=Input!$C$7,$B1419,26),'Mortality Tables'!$A$41:$CW$67,IF($B1419&lt;=Input!$C$7+1,Input!$C$4+2,$D1419-Input!$C$7+2),0)*IF(B1419&gt;20,Input!$C$22,1)/1000,1))</f>
        <v/>
      </c>
      <c r="P1419" s="147" t="str">
        <f>IF($E1419="","",MIN(VLOOKUP(IF($B1419&lt;=Input!$C$7,$B1419,26),'Mortality Tables'!$A$12:$CW$37,IF($B1419&lt;=Input!$C$7+1,Input!$C$4+2,$D1419-Input!$C$7+2),0)*IF(B1419&gt;20,Input!$C$22,1)/1000,1))</f>
        <v/>
      </c>
      <c r="Q1419" s="155" t="str">
        <f>IF($E1419="","",Input!$C$21)</f>
        <v/>
      </c>
      <c r="R1419" s="159" t="str">
        <f>IF($E1419="","",(1-Q1419)^($F1419-Input!$C$20))</f>
        <v/>
      </c>
      <c r="S1419" s="147" t="str">
        <f t="shared" si="901"/>
        <v/>
      </c>
      <c r="T1419" s="147" t="str">
        <f t="shared" si="902"/>
        <v/>
      </c>
      <c r="U1419" s="160" t="str">
        <f>IF($E1419="","",IF($C1419=12,INDEX(Input!$C$15:$CP$15,1,$B1419),0))</f>
        <v/>
      </c>
      <c r="V1419" s="150" t="str">
        <f>IF(E1419="","",IF(C1419=1,IF($B1419=1,Input!$C$33,Input!$C$34),0))</f>
        <v/>
      </c>
      <c r="W1419" s="156" t="str">
        <f>IF($E1419="","",Input!$C$35)</f>
        <v/>
      </c>
      <c r="X1419" s="156" t="str">
        <f t="shared" si="903"/>
        <v/>
      </c>
      <c r="Y1419" s="154"/>
      <c r="Z1419" s="147" t="str">
        <f>IF($E1419="","",VLOOKUP($D1419,'Mortality Margins &amp; Grading'!$AB$5:$AF$125,3,0)*IF(Summary!$D$25="Included Margin",IF(AND($B1419&gt;Input!$C$9,Summary!$D$31&lt;&gt;"Included Margin"),0,1),0))</f>
        <v/>
      </c>
      <c r="AA1419" s="147" t="str">
        <f>IF($E1419="","",VLOOKUP($D1419,'Mortality Margins &amp; Grading'!$AB$5:$AF$125,5,0)*IF(Summary!$D$25="Included Margin",IF(AND($B1419&gt;Input!$C$9,Summary!$D$31&lt;&gt;"Included Margin"),0,1),0))</f>
        <v/>
      </c>
      <c r="AB1419" s="147" t="str">
        <f>IF($E1419="","",IF(AND($B1419&gt;Input!$C$9,Summary!$D$31&lt;&gt;"Included Margin"),1,IF(Summary!$D$25="Included Margin",VLOOKUP($B1419,'Mortality Margins &amp; Grading'!$AI$5:$AR$125,MATCH('Mortality Margins &amp; Grading'!$AQ$4,'Mortality Margins &amp; Grading'!$AI$4:$AR$4,0),0),1)))</f>
        <v/>
      </c>
      <c r="AC1419" s="154"/>
      <c r="AD1419" s="158" t="str">
        <f>IF(E1419="","",Input!$C$48*IF(Summary!$D$30="Included Margin",IF(AND($B1419&gt;Input!$C$9,Summary!$D$31&lt;&gt;"Included Margin"),0,1),0))</f>
        <v/>
      </c>
      <c r="AE1419" s="159" t="str">
        <f>IF(E1419="","",IF(Summary!$D$26="Included Margin",IF(AND($B1419&gt;Input!$C$9,Summary!$D$31&lt;&gt;"Included Margin"),1,1/$R1419),1))</f>
        <v/>
      </c>
      <c r="AF1419" s="160" t="str">
        <f>IF(E1419="","",IF(AND($B1419&gt;=Input!$C$9,$C1419=12,Summary!$D$31="Included Margin",$U1419&gt;0),1/U1419-1,IF($B1419&gt;=Input!$C$9,0,Input!$C$45*IF(Summary!$D$27="Included Margin",1,0))))</f>
        <v/>
      </c>
      <c r="AG1419" s="160" t="str">
        <f>IF(E1419="","",Input!$C$46*IF(Summary!$D$28="Included Margin",IF(AND($B1419&gt;Input!$C$9,Summary!$D$31&lt;&gt;"Included Margin"),0,1),0))</f>
        <v/>
      </c>
      <c r="AH1419" s="158" t="str">
        <f>IF(E1419="","",Input!$C$47*IF(Summary!$D$29="Included Margin",IF(AND($B1419&gt;Input!$C$9,Summary!$D$31&lt;&gt;"Included Margin"),0,1),0))</f>
        <v/>
      </c>
      <c r="AI1419" s="154"/>
      <c r="AJ1419" s="158" t="str">
        <f t="shared" si="914"/>
        <v/>
      </c>
      <c r="AK1419" s="150" t="str">
        <f t="shared" si="915"/>
        <v/>
      </c>
      <c r="AL1419" s="147" t="str">
        <f t="shared" si="916"/>
        <v/>
      </c>
      <c r="AM1419" s="147" t="str">
        <f t="shared" si="904"/>
        <v/>
      </c>
      <c r="AN1419" s="160" t="str">
        <f t="shared" si="917"/>
        <v/>
      </c>
      <c r="AO1419" s="161" t="str">
        <f t="shared" si="918"/>
        <v/>
      </c>
      <c r="AP1419" s="156" t="str">
        <f t="shared" si="905"/>
        <v/>
      </c>
      <c r="AQ1419" s="152"/>
      <c r="AR1419" s="162" t="str">
        <f t="shared" si="906"/>
        <v/>
      </c>
      <c r="AS1419" s="150" t="str">
        <f t="shared" si="919"/>
        <v/>
      </c>
      <c r="AT1419" s="163" t="str">
        <f t="shared" si="907"/>
        <v/>
      </c>
      <c r="AU1419" s="163" t="str">
        <f t="shared" si="908"/>
        <v/>
      </c>
      <c r="AV1419" s="163" t="str">
        <f t="shared" si="920"/>
        <v/>
      </c>
      <c r="AW1419" s="163" t="str">
        <f t="shared" si="909"/>
        <v/>
      </c>
      <c r="AX1419" s="163" t="str">
        <f t="shared" si="910"/>
        <v/>
      </c>
      <c r="AY1419" s="150" t="str">
        <f t="shared" si="921"/>
        <v/>
      </c>
      <c r="AZ1419" s="150" t="str">
        <f>IF($E1419="","",IF(OR(AND($D1419=Input!$C$6,$C1419=12),$AN1419=1),0,-AS1420+AT1420+AU1420-AV1420-AW1420-AX1420+AZ1420))</f>
        <v/>
      </c>
      <c r="BA1419" s="154" t="str">
        <f t="shared" si="911"/>
        <v/>
      </c>
      <c r="BC1419" s="147" t="str">
        <f t="shared" si="922"/>
        <v/>
      </c>
      <c r="BD1419" s="164" t="str">
        <f>IF(AND($C1418=12,$D1418=Input!$C$6),0,IF($E1419="","",AT1419+(AU1419+BD1420)/(1+$AK1419)*MIN((1-AM1419-AN1419),1)))</f>
        <v/>
      </c>
      <c r="BH1419" s="152"/>
      <c r="BI1419" s="162" t="str">
        <f t="shared" si="895"/>
        <v/>
      </c>
      <c r="BJ1419" s="150" t="str">
        <f t="shared" si="896"/>
        <v/>
      </c>
      <c r="BK1419" s="163" t="str">
        <f t="shared" si="927"/>
        <v/>
      </c>
      <c r="BL1419" s="163" t="str">
        <f t="shared" si="897"/>
        <v/>
      </c>
      <c r="BM1419" s="163" t="str">
        <f t="shared" si="928"/>
        <v/>
      </c>
      <c r="BN1419" s="163" t="str">
        <f t="shared" si="898"/>
        <v/>
      </c>
      <c r="BO1419" s="163" t="str">
        <f t="shared" si="899"/>
        <v/>
      </c>
      <c r="BP1419" s="150" t="str">
        <f t="shared" si="929"/>
        <v/>
      </c>
      <c r="BQ1419" s="150" t="str">
        <f t="shared" si="923"/>
        <v/>
      </c>
      <c r="BR1419" s="154" t="str">
        <f t="shared" si="900"/>
        <v/>
      </c>
      <c r="BT1419" s="147"/>
    </row>
    <row r="1420" spans="1:72" s="150" customFormat="1" x14ac:dyDescent="0.25">
      <c r="A1420" s="150" t="str">
        <f t="shared" si="924"/>
        <v/>
      </c>
      <c r="B1420" s="150" t="str">
        <f t="shared" si="925"/>
        <v/>
      </c>
      <c r="C1420" s="150" t="str">
        <f t="shared" si="926"/>
        <v/>
      </c>
      <c r="D1420" s="150" t="str">
        <f>IF(E1420="","",Input!$C$4+B1420-1)</f>
        <v/>
      </c>
      <c r="E1420" s="150" t="str">
        <f>IF(OR(AND(C1419=12,D1419=Input!$C$6),E1419=""),"",1)</f>
        <v/>
      </c>
      <c r="G1420" s="151" t="str">
        <f>IF(E1420="","",MAX(0,Input!$C$9-B1420))</f>
        <v/>
      </c>
      <c r="H1420" s="152" t="str">
        <f>IF(E1420="","",Input!$C$3)</f>
        <v/>
      </c>
      <c r="I1420" s="153" t="str">
        <f>IF(E1420="","",HLOOKUP($B1420,Input!$C$13:$BT$14,2))</f>
        <v/>
      </c>
      <c r="J1420" s="154"/>
      <c r="K1420" s="150" t="str">
        <f>IF($E1420="","",INDEX(Input!$C$16:$CP$16,1,$B1420))</f>
        <v/>
      </c>
      <c r="L1420" s="150" t="str">
        <f>IF($E1420="","",Input!$C$37)</f>
        <v/>
      </c>
      <c r="M1420" s="150" t="str">
        <f t="shared" si="912"/>
        <v/>
      </c>
      <c r="N1420" s="150" t="str">
        <f t="shared" si="913"/>
        <v/>
      </c>
      <c r="O1420" s="147" t="str">
        <f>IF($E1420="","",MIN(VLOOKUP(IF($B1420&lt;=Input!$C$7,$B1420,26),'Mortality Tables'!$A$41:$CW$67,IF($B1420&lt;=Input!$C$7+1,Input!$C$4+2,$D1420-Input!$C$7+2),0)*IF(B1420&gt;20,Input!$C$22,1)/1000,1))</f>
        <v/>
      </c>
      <c r="P1420" s="147" t="str">
        <f>IF($E1420="","",MIN(VLOOKUP(IF($B1420&lt;=Input!$C$7,$B1420,26),'Mortality Tables'!$A$12:$CW$37,IF($B1420&lt;=Input!$C$7+1,Input!$C$4+2,$D1420-Input!$C$7+2),0)*IF(B1420&gt;20,Input!$C$22,1)/1000,1))</f>
        <v/>
      </c>
      <c r="Q1420" s="155" t="str">
        <f>IF($E1420="","",Input!$C$21)</f>
        <v/>
      </c>
      <c r="R1420" s="159" t="str">
        <f>IF($E1420="","",(1-Q1420)^($F1420-Input!$C$20))</f>
        <v/>
      </c>
      <c r="S1420" s="147" t="str">
        <f t="shared" si="901"/>
        <v/>
      </c>
      <c r="T1420" s="147" t="str">
        <f t="shared" si="902"/>
        <v/>
      </c>
      <c r="U1420" s="160" t="str">
        <f>IF($E1420="","",IF($C1420=12,INDEX(Input!$C$15:$CP$15,1,$B1420),0))</f>
        <v/>
      </c>
      <c r="V1420" s="150" t="str">
        <f>IF(E1420="","",IF(C1420=1,IF($B1420=1,Input!$C$33,Input!$C$34),0))</f>
        <v/>
      </c>
      <c r="W1420" s="156" t="str">
        <f>IF($E1420="","",Input!$C$35)</f>
        <v/>
      </c>
      <c r="X1420" s="156" t="str">
        <f t="shared" si="903"/>
        <v/>
      </c>
      <c r="Y1420" s="154"/>
      <c r="Z1420" s="147" t="str">
        <f>IF($E1420="","",VLOOKUP($D1420,'Mortality Margins &amp; Grading'!$AB$5:$AF$125,3,0)*IF(Summary!$D$25="Included Margin",IF(AND($B1420&gt;Input!$C$9,Summary!$D$31&lt;&gt;"Included Margin"),0,1),0))</f>
        <v/>
      </c>
      <c r="AA1420" s="147" t="str">
        <f>IF($E1420="","",VLOOKUP($D1420,'Mortality Margins &amp; Grading'!$AB$5:$AF$125,5,0)*IF(Summary!$D$25="Included Margin",IF(AND($B1420&gt;Input!$C$9,Summary!$D$31&lt;&gt;"Included Margin"),0,1),0))</f>
        <v/>
      </c>
      <c r="AB1420" s="147" t="str">
        <f>IF($E1420="","",IF(AND($B1420&gt;Input!$C$9,Summary!$D$31&lt;&gt;"Included Margin"),1,IF(Summary!$D$25="Included Margin",VLOOKUP($B1420,'Mortality Margins &amp; Grading'!$AI$5:$AR$125,MATCH('Mortality Margins &amp; Grading'!$AQ$4,'Mortality Margins &amp; Grading'!$AI$4:$AR$4,0),0),1)))</f>
        <v/>
      </c>
      <c r="AC1420" s="154"/>
      <c r="AD1420" s="158" t="str">
        <f>IF(E1420="","",Input!$C$48*IF(Summary!$D$30="Included Margin",IF(AND($B1420&gt;Input!$C$9,Summary!$D$31&lt;&gt;"Included Margin"),0,1),0))</f>
        <v/>
      </c>
      <c r="AE1420" s="159" t="str">
        <f>IF(E1420="","",IF(Summary!$D$26="Included Margin",IF(AND($B1420&gt;Input!$C$9,Summary!$D$31&lt;&gt;"Included Margin"),1,1/$R1420),1))</f>
        <v/>
      </c>
      <c r="AF1420" s="160" t="str">
        <f>IF(E1420="","",IF(AND($B1420&gt;=Input!$C$9,$C1420=12,Summary!$D$31="Included Margin",$U1420&gt;0),1/U1420-1,IF($B1420&gt;=Input!$C$9,0,Input!$C$45*IF(Summary!$D$27="Included Margin",1,0))))</f>
        <v/>
      </c>
      <c r="AG1420" s="160" t="str">
        <f>IF(E1420="","",Input!$C$46*IF(Summary!$D$28="Included Margin",IF(AND($B1420&gt;Input!$C$9,Summary!$D$31&lt;&gt;"Included Margin"),0,1),0))</f>
        <v/>
      </c>
      <c r="AH1420" s="158" t="str">
        <f>IF(E1420="","",Input!$C$47*IF(Summary!$D$29="Included Margin",IF(AND($B1420&gt;Input!$C$9,Summary!$D$31&lt;&gt;"Included Margin"),0,1),0))</f>
        <v/>
      </c>
      <c r="AI1420" s="154"/>
      <c r="AJ1420" s="158" t="str">
        <f t="shared" si="914"/>
        <v/>
      </c>
      <c r="AK1420" s="150" t="str">
        <f t="shared" si="915"/>
        <v/>
      </c>
      <c r="AL1420" s="147" t="str">
        <f t="shared" si="916"/>
        <v/>
      </c>
      <c r="AM1420" s="147" t="str">
        <f t="shared" si="904"/>
        <v/>
      </c>
      <c r="AN1420" s="160" t="str">
        <f t="shared" si="917"/>
        <v/>
      </c>
      <c r="AO1420" s="161" t="str">
        <f t="shared" si="918"/>
        <v/>
      </c>
      <c r="AP1420" s="156" t="str">
        <f t="shared" si="905"/>
        <v/>
      </c>
      <c r="AQ1420" s="152"/>
      <c r="AR1420" s="162" t="str">
        <f t="shared" si="906"/>
        <v/>
      </c>
      <c r="AS1420" s="150" t="str">
        <f t="shared" si="919"/>
        <v/>
      </c>
      <c r="AT1420" s="163" t="str">
        <f t="shared" si="907"/>
        <v/>
      </c>
      <c r="AU1420" s="163" t="str">
        <f t="shared" si="908"/>
        <v/>
      </c>
      <c r="AV1420" s="163" t="str">
        <f t="shared" si="920"/>
        <v/>
      </c>
      <c r="AW1420" s="163" t="str">
        <f t="shared" si="909"/>
        <v/>
      </c>
      <c r="AX1420" s="163" t="str">
        <f t="shared" si="910"/>
        <v/>
      </c>
      <c r="AY1420" s="150" t="str">
        <f t="shared" si="921"/>
        <v/>
      </c>
      <c r="AZ1420" s="150" t="str">
        <f>IF($E1420="","",IF(OR(AND($D1420=Input!$C$6,$C1420=12),$AN1420=1),0,-AS1421+AT1421+AU1421-AV1421-AW1421-AX1421+AZ1421))</f>
        <v/>
      </c>
      <c r="BA1420" s="154" t="str">
        <f t="shared" si="911"/>
        <v/>
      </c>
      <c r="BC1420" s="147" t="str">
        <f t="shared" si="922"/>
        <v/>
      </c>
      <c r="BD1420" s="164" t="str">
        <f>IF(AND($C1419=12,$D1419=Input!$C$6),0,IF($E1420="","",AT1420+(AU1420+BD1421)/(1+$AK1420)*MIN((1-AM1420-AN1420),1)))</f>
        <v/>
      </c>
      <c r="BH1420" s="152"/>
      <c r="BI1420" s="162" t="str">
        <f t="shared" si="895"/>
        <v/>
      </c>
      <c r="BJ1420" s="150" t="str">
        <f t="shared" si="896"/>
        <v/>
      </c>
      <c r="BK1420" s="163" t="str">
        <f t="shared" si="927"/>
        <v/>
      </c>
      <c r="BL1420" s="163" t="str">
        <f t="shared" si="897"/>
        <v/>
      </c>
      <c r="BM1420" s="163" t="str">
        <f t="shared" si="928"/>
        <v/>
      </c>
      <c r="BN1420" s="163" t="str">
        <f t="shared" si="898"/>
        <v/>
      </c>
      <c r="BO1420" s="163" t="str">
        <f t="shared" si="899"/>
        <v/>
      </c>
      <c r="BP1420" s="150" t="str">
        <f t="shared" si="929"/>
        <v/>
      </c>
      <c r="BQ1420" s="150" t="str">
        <f t="shared" si="923"/>
        <v/>
      </c>
      <c r="BR1420" s="154" t="str">
        <f t="shared" si="900"/>
        <v/>
      </c>
      <c r="BT1420" s="147"/>
    </row>
    <row r="1421" spans="1:72" s="150" customFormat="1" x14ac:dyDescent="0.25">
      <c r="A1421" s="150" t="str">
        <f t="shared" si="924"/>
        <v/>
      </c>
      <c r="B1421" s="150" t="str">
        <f t="shared" si="925"/>
        <v/>
      </c>
      <c r="C1421" s="150" t="str">
        <f t="shared" si="926"/>
        <v/>
      </c>
      <c r="D1421" s="150" t="str">
        <f>IF(E1421="","",Input!$C$4+B1421-1)</f>
        <v/>
      </c>
      <c r="E1421" s="150" t="str">
        <f>IF(OR(AND(C1420=12,D1420=Input!$C$6),E1420=""),"",1)</f>
        <v/>
      </c>
      <c r="G1421" s="151" t="str">
        <f>IF(E1421="","",MAX(0,Input!$C$9-B1421))</f>
        <v/>
      </c>
      <c r="H1421" s="152" t="str">
        <f>IF(E1421="","",Input!$C$3)</f>
        <v/>
      </c>
      <c r="I1421" s="153" t="str">
        <f>IF(E1421="","",HLOOKUP($B1421,Input!$C$13:$BT$14,2))</f>
        <v/>
      </c>
      <c r="J1421" s="154"/>
      <c r="K1421" s="150" t="str">
        <f>IF($E1421="","",INDEX(Input!$C$16:$CP$16,1,$B1421))</f>
        <v/>
      </c>
      <c r="L1421" s="150" t="str">
        <f>IF($E1421="","",Input!$C$37)</f>
        <v/>
      </c>
      <c r="M1421" s="150" t="str">
        <f t="shared" si="912"/>
        <v/>
      </c>
      <c r="N1421" s="150" t="str">
        <f t="shared" si="913"/>
        <v/>
      </c>
      <c r="O1421" s="147" t="str">
        <f>IF($E1421="","",MIN(VLOOKUP(IF($B1421&lt;=Input!$C$7,$B1421,26),'Mortality Tables'!$A$41:$CW$67,IF($B1421&lt;=Input!$C$7+1,Input!$C$4+2,$D1421-Input!$C$7+2),0)*IF(B1421&gt;20,Input!$C$22,1)/1000,1))</f>
        <v/>
      </c>
      <c r="P1421" s="147" t="str">
        <f>IF($E1421="","",MIN(VLOOKUP(IF($B1421&lt;=Input!$C$7,$B1421,26),'Mortality Tables'!$A$12:$CW$37,IF($B1421&lt;=Input!$C$7+1,Input!$C$4+2,$D1421-Input!$C$7+2),0)*IF(B1421&gt;20,Input!$C$22,1)/1000,1))</f>
        <v/>
      </c>
      <c r="Q1421" s="155" t="str">
        <f>IF($E1421="","",Input!$C$21)</f>
        <v/>
      </c>
      <c r="R1421" s="159" t="str">
        <f>IF($E1421="","",(1-Q1421)^($F1421-Input!$C$20))</f>
        <v/>
      </c>
      <c r="S1421" s="147" t="str">
        <f t="shared" si="901"/>
        <v/>
      </c>
      <c r="T1421" s="147" t="str">
        <f t="shared" si="902"/>
        <v/>
      </c>
      <c r="U1421" s="160" t="str">
        <f>IF($E1421="","",IF($C1421=12,INDEX(Input!$C$15:$CP$15,1,$B1421),0))</f>
        <v/>
      </c>
      <c r="V1421" s="150" t="str">
        <f>IF(E1421="","",IF(C1421=1,IF($B1421=1,Input!$C$33,Input!$C$34),0))</f>
        <v/>
      </c>
      <c r="W1421" s="156" t="str">
        <f>IF($E1421="","",Input!$C$35)</f>
        <v/>
      </c>
      <c r="X1421" s="156" t="str">
        <f t="shared" si="903"/>
        <v/>
      </c>
      <c r="Y1421" s="154"/>
      <c r="Z1421" s="147" t="str">
        <f>IF($E1421="","",VLOOKUP($D1421,'Mortality Margins &amp; Grading'!$AB$5:$AF$125,3,0)*IF(Summary!$D$25="Included Margin",IF(AND($B1421&gt;Input!$C$9,Summary!$D$31&lt;&gt;"Included Margin"),0,1),0))</f>
        <v/>
      </c>
      <c r="AA1421" s="147" t="str">
        <f>IF($E1421="","",VLOOKUP($D1421,'Mortality Margins &amp; Grading'!$AB$5:$AF$125,5,0)*IF(Summary!$D$25="Included Margin",IF(AND($B1421&gt;Input!$C$9,Summary!$D$31&lt;&gt;"Included Margin"),0,1),0))</f>
        <v/>
      </c>
      <c r="AB1421" s="147" t="str">
        <f>IF($E1421="","",IF(AND($B1421&gt;Input!$C$9,Summary!$D$31&lt;&gt;"Included Margin"),1,IF(Summary!$D$25="Included Margin",VLOOKUP($B1421,'Mortality Margins &amp; Grading'!$AI$5:$AR$125,MATCH('Mortality Margins &amp; Grading'!$AQ$4,'Mortality Margins &amp; Grading'!$AI$4:$AR$4,0),0),1)))</f>
        <v/>
      </c>
      <c r="AC1421" s="154"/>
      <c r="AD1421" s="158" t="str">
        <f>IF(E1421="","",Input!$C$48*IF(Summary!$D$30="Included Margin",IF(AND($B1421&gt;Input!$C$9,Summary!$D$31&lt;&gt;"Included Margin"),0,1),0))</f>
        <v/>
      </c>
      <c r="AE1421" s="159" t="str">
        <f>IF(E1421="","",IF(Summary!$D$26="Included Margin",IF(AND($B1421&gt;Input!$C$9,Summary!$D$31&lt;&gt;"Included Margin"),1,1/$R1421),1))</f>
        <v/>
      </c>
      <c r="AF1421" s="160" t="str">
        <f>IF(E1421="","",IF(AND($B1421&gt;=Input!$C$9,$C1421=12,Summary!$D$31="Included Margin",$U1421&gt;0),1/U1421-1,IF($B1421&gt;=Input!$C$9,0,Input!$C$45*IF(Summary!$D$27="Included Margin",1,0))))</f>
        <v/>
      </c>
      <c r="AG1421" s="160" t="str">
        <f>IF(E1421="","",Input!$C$46*IF(Summary!$D$28="Included Margin",IF(AND($B1421&gt;Input!$C$9,Summary!$D$31&lt;&gt;"Included Margin"),0,1),0))</f>
        <v/>
      </c>
      <c r="AH1421" s="158" t="str">
        <f>IF(E1421="","",Input!$C$47*IF(Summary!$D$29="Included Margin",IF(AND($B1421&gt;Input!$C$9,Summary!$D$31&lt;&gt;"Included Margin"),0,1),0))</f>
        <v/>
      </c>
      <c r="AI1421" s="154"/>
      <c r="AJ1421" s="158" t="str">
        <f t="shared" si="914"/>
        <v/>
      </c>
      <c r="AK1421" s="150" t="str">
        <f t="shared" si="915"/>
        <v/>
      </c>
      <c r="AL1421" s="147" t="str">
        <f t="shared" si="916"/>
        <v/>
      </c>
      <c r="AM1421" s="147" t="str">
        <f t="shared" si="904"/>
        <v/>
      </c>
      <c r="AN1421" s="160" t="str">
        <f t="shared" si="917"/>
        <v/>
      </c>
      <c r="AO1421" s="161" t="str">
        <f t="shared" si="918"/>
        <v/>
      </c>
      <c r="AP1421" s="156" t="str">
        <f t="shared" si="905"/>
        <v/>
      </c>
      <c r="AQ1421" s="152"/>
      <c r="AR1421" s="162" t="str">
        <f t="shared" si="906"/>
        <v/>
      </c>
      <c r="AS1421" s="150" t="str">
        <f t="shared" si="919"/>
        <v/>
      </c>
      <c r="AT1421" s="163" t="str">
        <f t="shared" si="907"/>
        <v/>
      </c>
      <c r="AU1421" s="163" t="str">
        <f t="shared" si="908"/>
        <v/>
      </c>
      <c r="AV1421" s="163" t="str">
        <f t="shared" si="920"/>
        <v/>
      </c>
      <c r="AW1421" s="163" t="str">
        <f t="shared" si="909"/>
        <v/>
      </c>
      <c r="AX1421" s="163" t="str">
        <f t="shared" si="910"/>
        <v/>
      </c>
      <c r="AY1421" s="150" t="str">
        <f t="shared" si="921"/>
        <v/>
      </c>
      <c r="AZ1421" s="150" t="str">
        <f>IF($E1421="","",IF(OR(AND($D1421=Input!$C$6,$C1421=12),$AN1421=1),0,-AS1422+AT1422+AU1422-AV1422-AW1422-AX1422+AZ1422))</f>
        <v/>
      </c>
      <c r="BA1421" s="154" t="str">
        <f t="shared" si="911"/>
        <v/>
      </c>
      <c r="BC1421" s="147" t="str">
        <f t="shared" si="922"/>
        <v/>
      </c>
      <c r="BD1421" s="164" t="str">
        <f>IF(AND($C1420=12,$D1420=Input!$C$6),0,IF($E1421="","",AT1421+(AU1421+BD1422)/(1+$AK1421)*MIN((1-AM1421-AN1421),1)))</f>
        <v/>
      </c>
      <c r="BH1421" s="152"/>
      <c r="BI1421" s="162" t="str">
        <f t="shared" si="895"/>
        <v/>
      </c>
      <c r="BJ1421" s="150" t="str">
        <f t="shared" si="896"/>
        <v/>
      </c>
      <c r="BK1421" s="163" t="str">
        <f t="shared" si="927"/>
        <v/>
      </c>
      <c r="BL1421" s="163" t="str">
        <f t="shared" si="897"/>
        <v/>
      </c>
      <c r="BM1421" s="163" t="str">
        <f t="shared" si="928"/>
        <v/>
      </c>
      <c r="BN1421" s="163" t="str">
        <f t="shared" si="898"/>
        <v/>
      </c>
      <c r="BO1421" s="163" t="str">
        <f t="shared" si="899"/>
        <v/>
      </c>
      <c r="BP1421" s="150" t="str">
        <f t="shared" si="929"/>
        <v/>
      </c>
      <c r="BQ1421" s="150" t="str">
        <f t="shared" si="923"/>
        <v/>
      </c>
      <c r="BR1421" s="154" t="str">
        <f t="shared" si="900"/>
        <v/>
      </c>
      <c r="BT1421" s="147"/>
    </row>
    <row r="1422" spans="1:72" s="150" customFormat="1" x14ac:dyDescent="0.25">
      <c r="A1422" s="150" t="str">
        <f t="shared" si="924"/>
        <v/>
      </c>
      <c r="B1422" s="150" t="str">
        <f t="shared" si="925"/>
        <v/>
      </c>
      <c r="C1422" s="150" t="str">
        <f t="shared" si="926"/>
        <v/>
      </c>
      <c r="D1422" s="150" t="str">
        <f>IF(E1422="","",Input!$C$4+B1422-1)</f>
        <v/>
      </c>
      <c r="E1422" s="150" t="str">
        <f>IF(OR(AND(C1421=12,D1421=Input!$C$6),E1421=""),"",1)</f>
        <v/>
      </c>
      <c r="G1422" s="151" t="str">
        <f>IF(E1422="","",MAX(0,Input!$C$9-B1422))</f>
        <v/>
      </c>
      <c r="H1422" s="152" t="str">
        <f>IF(E1422="","",Input!$C$3)</f>
        <v/>
      </c>
      <c r="I1422" s="153" t="str">
        <f>IF(E1422="","",HLOOKUP($B1422,Input!$C$13:$BT$14,2))</f>
        <v/>
      </c>
      <c r="J1422" s="154"/>
      <c r="K1422" s="150" t="str">
        <f>IF($E1422="","",INDEX(Input!$C$16:$CP$16,1,$B1422))</f>
        <v/>
      </c>
      <c r="L1422" s="150" t="str">
        <f>IF($E1422="","",Input!$C$37)</f>
        <v/>
      </c>
      <c r="M1422" s="150" t="str">
        <f t="shared" si="912"/>
        <v/>
      </c>
      <c r="N1422" s="150" t="str">
        <f t="shared" si="913"/>
        <v/>
      </c>
      <c r="O1422" s="147" t="str">
        <f>IF($E1422="","",MIN(VLOOKUP(IF($B1422&lt;=Input!$C$7,$B1422,26),'Mortality Tables'!$A$41:$CW$67,IF($B1422&lt;=Input!$C$7+1,Input!$C$4+2,$D1422-Input!$C$7+2),0)*IF(B1422&gt;20,Input!$C$22,1)/1000,1))</f>
        <v/>
      </c>
      <c r="P1422" s="147" t="str">
        <f>IF($E1422="","",MIN(VLOOKUP(IF($B1422&lt;=Input!$C$7,$B1422,26),'Mortality Tables'!$A$12:$CW$37,IF($B1422&lt;=Input!$C$7+1,Input!$C$4+2,$D1422-Input!$C$7+2),0)*IF(B1422&gt;20,Input!$C$22,1)/1000,1))</f>
        <v/>
      </c>
      <c r="Q1422" s="155" t="str">
        <f>IF($E1422="","",Input!$C$21)</f>
        <v/>
      </c>
      <c r="R1422" s="159" t="str">
        <f>IF($E1422="","",(1-Q1422)^($F1422-Input!$C$20))</f>
        <v/>
      </c>
      <c r="S1422" s="147" t="str">
        <f t="shared" si="901"/>
        <v/>
      </c>
      <c r="T1422" s="147" t="str">
        <f t="shared" si="902"/>
        <v/>
      </c>
      <c r="U1422" s="160" t="str">
        <f>IF($E1422="","",IF($C1422=12,INDEX(Input!$C$15:$CP$15,1,$B1422),0))</f>
        <v/>
      </c>
      <c r="V1422" s="150" t="str">
        <f>IF(E1422="","",IF(C1422=1,IF($B1422=1,Input!$C$33,Input!$C$34),0))</f>
        <v/>
      </c>
      <c r="W1422" s="156" t="str">
        <f>IF($E1422="","",Input!$C$35)</f>
        <v/>
      </c>
      <c r="X1422" s="156" t="str">
        <f t="shared" si="903"/>
        <v/>
      </c>
      <c r="Y1422" s="154"/>
      <c r="Z1422" s="147" t="str">
        <f>IF($E1422="","",VLOOKUP($D1422,'Mortality Margins &amp; Grading'!$AB$5:$AF$125,3,0)*IF(Summary!$D$25="Included Margin",IF(AND($B1422&gt;Input!$C$9,Summary!$D$31&lt;&gt;"Included Margin"),0,1),0))</f>
        <v/>
      </c>
      <c r="AA1422" s="147" t="str">
        <f>IF($E1422="","",VLOOKUP($D1422,'Mortality Margins &amp; Grading'!$AB$5:$AF$125,5,0)*IF(Summary!$D$25="Included Margin",IF(AND($B1422&gt;Input!$C$9,Summary!$D$31&lt;&gt;"Included Margin"),0,1),0))</f>
        <v/>
      </c>
      <c r="AB1422" s="147" t="str">
        <f>IF($E1422="","",IF(AND($B1422&gt;Input!$C$9,Summary!$D$31&lt;&gt;"Included Margin"),1,IF(Summary!$D$25="Included Margin",VLOOKUP($B1422,'Mortality Margins &amp; Grading'!$AI$5:$AR$125,MATCH('Mortality Margins &amp; Grading'!$AQ$4,'Mortality Margins &amp; Grading'!$AI$4:$AR$4,0),0),1)))</f>
        <v/>
      </c>
      <c r="AC1422" s="154"/>
      <c r="AD1422" s="158" t="str">
        <f>IF(E1422="","",Input!$C$48*IF(Summary!$D$30="Included Margin",IF(AND($B1422&gt;Input!$C$9,Summary!$D$31&lt;&gt;"Included Margin"),0,1),0))</f>
        <v/>
      </c>
      <c r="AE1422" s="159" t="str">
        <f>IF(E1422="","",IF(Summary!$D$26="Included Margin",IF(AND($B1422&gt;Input!$C$9,Summary!$D$31&lt;&gt;"Included Margin"),1,1/$R1422),1))</f>
        <v/>
      </c>
      <c r="AF1422" s="160" t="str">
        <f>IF(E1422="","",IF(AND($B1422&gt;=Input!$C$9,$C1422=12,Summary!$D$31="Included Margin",$U1422&gt;0),1/U1422-1,IF($B1422&gt;=Input!$C$9,0,Input!$C$45*IF(Summary!$D$27="Included Margin",1,0))))</f>
        <v/>
      </c>
      <c r="AG1422" s="160" t="str">
        <f>IF(E1422="","",Input!$C$46*IF(Summary!$D$28="Included Margin",IF(AND($B1422&gt;Input!$C$9,Summary!$D$31&lt;&gt;"Included Margin"),0,1),0))</f>
        <v/>
      </c>
      <c r="AH1422" s="158" t="str">
        <f>IF(E1422="","",Input!$C$47*IF(Summary!$D$29="Included Margin",IF(AND($B1422&gt;Input!$C$9,Summary!$D$31&lt;&gt;"Included Margin"),0,1),0))</f>
        <v/>
      </c>
      <c r="AI1422" s="154"/>
      <c r="AJ1422" s="158" t="str">
        <f t="shared" si="914"/>
        <v/>
      </c>
      <c r="AK1422" s="150" t="str">
        <f t="shared" si="915"/>
        <v/>
      </c>
      <c r="AL1422" s="147" t="str">
        <f t="shared" si="916"/>
        <v/>
      </c>
      <c r="AM1422" s="147" t="str">
        <f t="shared" si="904"/>
        <v/>
      </c>
      <c r="AN1422" s="160" t="str">
        <f t="shared" si="917"/>
        <v/>
      </c>
      <c r="AO1422" s="161" t="str">
        <f t="shared" si="918"/>
        <v/>
      </c>
      <c r="AP1422" s="156" t="str">
        <f t="shared" si="905"/>
        <v/>
      </c>
      <c r="AQ1422" s="152"/>
      <c r="AR1422" s="162" t="str">
        <f t="shared" si="906"/>
        <v/>
      </c>
      <c r="AS1422" s="150" t="str">
        <f t="shared" si="919"/>
        <v/>
      </c>
      <c r="AT1422" s="163" t="str">
        <f t="shared" si="907"/>
        <v/>
      </c>
      <c r="AU1422" s="163" t="str">
        <f t="shared" si="908"/>
        <v/>
      </c>
      <c r="AV1422" s="163" t="str">
        <f t="shared" si="920"/>
        <v/>
      </c>
      <c r="AW1422" s="163" t="str">
        <f t="shared" si="909"/>
        <v/>
      </c>
      <c r="AX1422" s="163" t="str">
        <f t="shared" si="910"/>
        <v/>
      </c>
      <c r="AY1422" s="150" t="str">
        <f t="shared" si="921"/>
        <v/>
      </c>
      <c r="AZ1422" s="150" t="str">
        <f>IF($E1422="","",IF(OR(AND($D1422=Input!$C$6,$C1422=12),$AN1422=1),0,-AS1423+AT1423+AU1423-AV1423-AW1423-AX1423+AZ1423))</f>
        <v/>
      </c>
      <c r="BA1422" s="154" t="str">
        <f t="shared" si="911"/>
        <v/>
      </c>
      <c r="BC1422" s="147" t="str">
        <f t="shared" si="922"/>
        <v/>
      </c>
      <c r="BD1422" s="164" t="str">
        <f>IF(AND($C1421=12,$D1421=Input!$C$6),0,IF($E1422="","",AT1422+(AU1422+BD1423)/(1+$AK1422)*MIN((1-AM1422-AN1422),1)))</f>
        <v/>
      </c>
      <c r="BH1422" s="152"/>
      <c r="BI1422" s="162" t="str">
        <f t="shared" si="895"/>
        <v/>
      </c>
      <c r="BJ1422" s="150" t="str">
        <f t="shared" si="896"/>
        <v/>
      </c>
      <c r="BK1422" s="163" t="str">
        <f t="shared" si="927"/>
        <v/>
      </c>
      <c r="BL1422" s="163" t="str">
        <f t="shared" si="897"/>
        <v/>
      </c>
      <c r="BM1422" s="163" t="str">
        <f t="shared" si="928"/>
        <v/>
      </c>
      <c r="BN1422" s="163" t="str">
        <f t="shared" si="898"/>
        <v/>
      </c>
      <c r="BO1422" s="163" t="str">
        <f t="shared" si="899"/>
        <v/>
      </c>
      <c r="BP1422" s="150" t="str">
        <f t="shared" si="929"/>
        <v/>
      </c>
      <c r="BQ1422" s="150" t="str">
        <f t="shared" si="923"/>
        <v/>
      </c>
      <c r="BR1422" s="154" t="str">
        <f t="shared" si="900"/>
        <v/>
      </c>
      <c r="BT1422" s="147"/>
    </row>
    <row r="1423" spans="1:72" s="150" customFormat="1" x14ac:dyDescent="0.25">
      <c r="A1423" s="150" t="str">
        <f t="shared" si="924"/>
        <v/>
      </c>
      <c r="B1423" s="150" t="str">
        <f t="shared" si="925"/>
        <v/>
      </c>
      <c r="C1423" s="150" t="str">
        <f t="shared" si="926"/>
        <v/>
      </c>
      <c r="D1423" s="150" t="str">
        <f>IF(E1423="","",Input!$C$4+B1423-1)</f>
        <v/>
      </c>
      <c r="E1423" s="150" t="str">
        <f>IF(OR(AND(C1422=12,D1422=Input!$C$6),E1422=""),"",1)</f>
        <v/>
      </c>
      <c r="G1423" s="151" t="str">
        <f>IF(E1423="","",MAX(0,Input!$C$9-B1423))</f>
        <v/>
      </c>
      <c r="H1423" s="152" t="str">
        <f>IF(E1423="","",Input!$C$3)</f>
        <v/>
      </c>
      <c r="I1423" s="153" t="str">
        <f>IF(E1423="","",HLOOKUP($B1423,Input!$C$13:$BT$14,2))</f>
        <v/>
      </c>
      <c r="J1423" s="154"/>
      <c r="K1423" s="150" t="str">
        <f>IF($E1423="","",INDEX(Input!$C$16:$CP$16,1,$B1423))</f>
        <v/>
      </c>
      <c r="L1423" s="150" t="str">
        <f>IF($E1423="","",Input!$C$37)</f>
        <v/>
      </c>
      <c r="M1423" s="150" t="str">
        <f t="shared" si="912"/>
        <v/>
      </c>
      <c r="N1423" s="150" t="str">
        <f t="shared" si="913"/>
        <v/>
      </c>
      <c r="O1423" s="147" t="str">
        <f>IF($E1423="","",MIN(VLOOKUP(IF($B1423&lt;=Input!$C$7,$B1423,26),'Mortality Tables'!$A$41:$CW$67,IF($B1423&lt;=Input!$C$7+1,Input!$C$4+2,$D1423-Input!$C$7+2),0)*IF(B1423&gt;20,Input!$C$22,1)/1000,1))</f>
        <v/>
      </c>
      <c r="P1423" s="147" t="str">
        <f>IF($E1423="","",MIN(VLOOKUP(IF($B1423&lt;=Input!$C$7,$B1423,26),'Mortality Tables'!$A$12:$CW$37,IF($B1423&lt;=Input!$C$7+1,Input!$C$4+2,$D1423-Input!$C$7+2),0)*IF(B1423&gt;20,Input!$C$22,1)/1000,1))</f>
        <v/>
      </c>
      <c r="Q1423" s="155" t="str">
        <f>IF($E1423="","",Input!$C$21)</f>
        <v/>
      </c>
      <c r="R1423" s="159" t="str">
        <f>IF($E1423="","",(1-Q1423)^($F1423-Input!$C$20))</f>
        <v/>
      </c>
      <c r="S1423" s="147" t="str">
        <f t="shared" si="901"/>
        <v/>
      </c>
      <c r="T1423" s="147" t="str">
        <f t="shared" si="902"/>
        <v/>
      </c>
      <c r="U1423" s="160" t="str">
        <f>IF($E1423="","",IF($C1423=12,INDEX(Input!$C$15:$CP$15,1,$B1423),0))</f>
        <v/>
      </c>
      <c r="V1423" s="150" t="str">
        <f>IF(E1423="","",IF(C1423=1,IF($B1423=1,Input!$C$33,Input!$C$34),0))</f>
        <v/>
      </c>
      <c r="W1423" s="156" t="str">
        <f>IF($E1423="","",Input!$C$35)</f>
        <v/>
      </c>
      <c r="X1423" s="156" t="str">
        <f t="shared" si="903"/>
        <v/>
      </c>
      <c r="Y1423" s="154"/>
      <c r="Z1423" s="147" t="str">
        <f>IF($E1423="","",VLOOKUP($D1423,'Mortality Margins &amp; Grading'!$AB$5:$AF$125,3,0)*IF(Summary!$D$25="Included Margin",IF(AND($B1423&gt;Input!$C$9,Summary!$D$31&lt;&gt;"Included Margin"),0,1),0))</f>
        <v/>
      </c>
      <c r="AA1423" s="147" t="str">
        <f>IF($E1423="","",VLOOKUP($D1423,'Mortality Margins &amp; Grading'!$AB$5:$AF$125,5,0)*IF(Summary!$D$25="Included Margin",IF(AND($B1423&gt;Input!$C$9,Summary!$D$31&lt;&gt;"Included Margin"),0,1),0))</f>
        <v/>
      </c>
      <c r="AB1423" s="147" t="str">
        <f>IF($E1423="","",IF(AND($B1423&gt;Input!$C$9,Summary!$D$31&lt;&gt;"Included Margin"),1,IF(Summary!$D$25="Included Margin",VLOOKUP($B1423,'Mortality Margins &amp; Grading'!$AI$5:$AR$125,MATCH('Mortality Margins &amp; Grading'!$AQ$4,'Mortality Margins &amp; Grading'!$AI$4:$AR$4,0),0),1)))</f>
        <v/>
      </c>
      <c r="AC1423" s="154"/>
      <c r="AD1423" s="158" t="str">
        <f>IF(E1423="","",Input!$C$48*IF(Summary!$D$30="Included Margin",IF(AND($B1423&gt;Input!$C$9,Summary!$D$31&lt;&gt;"Included Margin"),0,1),0))</f>
        <v/>
      </c>
      <c r="AE1423" s="159" t="str">
        <f>IF(E1423="","",IF(Summary!$D$26="Included Margin",IF(AND($B1423&gt;Input!$C$9,Summary!$D$31&lt;&gt;"Included Margin"),1,1/$R1423),1))</f>
        <v/>
      </c>
      <c r="AF1423" s="160" t="str">
        <f>IF(E1423="","",IF(AND($B1423&gt;=Input!$C$9,$C1423=12,Summary!$D$31="Included Margin",$U1423&gt;0),1/U1423-1,IF($B1423&gt;=Input!$C$9,0,Input!$C$45*IF(Summary!$D$27="Included Margin",1,0))))</f>
        <v/>
      </c>
      <c r="AG1423" s="160" t="str">
        <f>IF(E1423="","",Input!$C$46*IF(Summary!$D$28="Included Margin",IF(AND($B1423&gt;Input!$C$9,Summary!$D$31&lt;&gt;"Included Margin"),0,1),0))</f>
        <v/>
      </c>
      <c r="AH1423" s="158" t="str">
        <f>IF(E1423="","",Input!$C$47*IF(Summary!$D$29="Included Margin",IF(AND($B1423&gt;Input!$C$9,Summary!$D$31&lt;&gt;"Included Margin"),0,1),0))</f>
        <v/>
      </c>
      <c r="AI1423" s="154"/>
      <c r="AJ1423" s="158" t="str">
        <f t="shared" si="914"/>
        <v/>
      </c>
      <c r="AK1423" s="150" t="str">
        <f t="shared" si="915"/>
        <v/>
      </c>
      <c r="AL1423" s="147" t="str">
        <f t="shared" si="916"/>
        <v/>
      </c>
      <c r="AM1423" s="147" t="str">
        <f t="shared" si="904"/>
        <v/>
      </c>
      <c r="AN1423" s="160" t="str">
        <f t="shared" si="917"/>
        <v/>
      </c>
      <c r="AO1423" s="161" t="str">
        <f t="shared" si="918"/>
        <v/>
      </c>
      <c r="AP1423" s="156" t="str">
        <f t="shared" si="905"/>
        <v/>
      </c>
      <c r="AQ1423" s="152"/>
      <c r="AR1423" s="162" t="str">
        <f t="shared" si="906"/>
        <v/>
      </c>
      <c r="AS1423" s="150" t="str">
        <f t="shared" si="919"/>
        <v/>
      </c>
      <c r="AT1423" s="163" t="str">
        <f t="shared" si="907"/>
        <v/>
      </c>
      <c r="AU1423" s="163" t="str">
        <f t="shared" si="908"/>
        <v/>
      </c>
      <c r="AV1423" s="163" t="str">
        <f t="shared" si="920"/>
        <v/>
      </c>
      <c r="AW1423" s="163" t="str">
        <f t="shared" si="909"/>
        <v/>
      </c>
      <c r="AX1423" s="163" t="str">
        <f t="shared" si="910"/>
        <v/>
      </c>
      <c r="AY1423" s="150" t="str">
        <f t="shared" si="921"/>
        <v/>
      </c>
      <c r="AZ1423" s="150" t="str">
        <f>IF($E1423="","",IF(OR(AND($D1423=Input!$C$6,$C1423=12),$AN1423=1),0,-AS1424+AT1424+AU1424-AV1424-AW1424-AX1424+AZ1424))</f>
        <v/>
      </c>
      <c r="BA1423" s="154" t="str">
        <f t="shared" si="911"/>
        <v/>
      </c>
      <c r="BC1423" s="147" t="str">
        <f t="shared" si="922"/>
        <v/>
      </c>
      <c r="BD1423" s="164" t="str">
        <f>IF(AND($C1422=12,$D1422=Input!$C$6),0,IF($E1423="","",AT1423+(AU1423+BD1424)/(1+$AK1423)*MIN((1-AM1423-AN1423),1)))</f>
        <v/>
      </c>
      <c r="BH1423" s="152"/>
      <c r="BI1423" s="162" t="str">
        <f t="shared" si="895"/>
        <v/>
      </c>
      <c r="BJ1423" s="150" t="str">
        <f t="shared" si="896"/>
        <v/>
      </c>
      <c r="BK1423" s="163" t="str">
        <f t="shared" si="927"/>
        <v/>
      </c>
      <c r="BL1423" s="163" t="str">
        <f t="shared" si="897"/>
        <v/>
      </c>
      <c r="BM1423" s="163" t="str">
        <f t="shared" si="928"/>
        <v/>
      </c>
      <c r="BN1423" s="163" t="str">
        <f t="shared" si="898"/>
        <v/>
      </c>
      <c r="BO1423" s="163" t="str">
        <f t="shared" si="899"/>
        <v/>
      </c>
      <c r="BP1423" s="150" t="str">
        <f t="shared" si="929"/>
        <v/>
      </c>
      <c r="BQ1423" s="150" t="str">
        <f t="shared" si="923"/>
        <v/>
      </c>
      <c r="BR1423" s="154" t="str">
        <f t="shared" si="900"/>
        <v/>
      </c>
      <c r="BT1423" s="147"/>
    </row>
    <row r="1424" spans="1:72" s="150" customFormat="1" x14ac:dyDescent="0.25">
      <c r="A1424" s="150" t="str">
        <f t="shared" si="924"/>
        <v/>
      </c>
      <c r="B1424" s="150" t="str">
        <f t="shared" si="925"/>
        <v/>
      </c>
      <c r="C1424" s="150" t="str">
        <f t="shared" si="926"/>
        <v/>
      </c>
      <c r="D1424" s="150" t="str">
        <f>IF(E1424="","",Input!$C$4+B1424-1)</f>
        <v/>
      </c>
      <c r="E1424" s="150" t="str">
        <f>IF(OR(AND(C1423=12,D1423=Input!$C$6),E1423=""),"",1)</f>
        <v/>
      </c>
      <c r="G1424" s="151" t="str">
        <f>IF(E1424="","",MAX(0,Input!$C$9-B1424))</f>
        <v/>
      </c>
      <c r="H1424" s="152" t="str">
        <f>IF(E1424="","",Input!$C$3)</f>
        <v/>
      </c>
      <c r="I1424" s="153" t="str">
        <f>IF(E1424="","",HLOOKUP($B1424,Input!$C$13:$BT$14,2))</f>
        <v/>
      </c>
      <c r="J1424" s="154"/>
      <c r="K1424" s="150" t="str">
        <f>IF($E1424="","",INDEX(Input!$C$16:$CP$16,1,$B1424))</f>
        <v/>
      </c>
      <c r="L1424" s="150" t="str">
        <f>IF($E1424="","",Input!$C$37)</f>
        <v/>
      </c>
      <c r="M1424" s="150" t="str">
        <f t="shared" si="912"/>
        <v/>
      </c>
      <c r="N1424" s="150" t="str">
        <f t="shared" si="913"/>
        <v/>
      </c>
      <c r="O1424" s="147" t="str">
        <f>IF($E1424="","",MIN(VLOOKUP(IF($B1424&lt;=Input!$C$7,$B1424,26),'Mortality Tables'!$A$41:$CW$67,IF($B1424&lt;=Input!$C$7+1,Input!$C$4+2,$D1424-Input!$C$7+2),0)*IF(B1424&gt;20,Input!$C$22,1)/1000,1))</f>
        <v/>
      </c>
      <c r="P1424" s="147" t="str">
        <f>IF($E1424="","",MIN(VLOOKUP(IF($B1424&lt;=Input!$C$7,$B1424,26),'Mortality Tables'!$A$12:$CW$37,IF($B1424&lt;=Input!$C$7+1,Input!$C$4+2,$D1424-Input!$C$7+2),0)*IF(B1424&gt;20,Input!$C$22,1)/1000,1))</f>
        <v/>
      </c>
      <c r="Q1424" s="155" t="str">
        <f>IF($E1424="","",Input!$C$21)</f>
        <v/>
      </c>
      <c r="R1424" s="159" t="str">
        <f>IF($E1424="","",(1-Q1424)^($F1424-Input!$C$20))</f>
        <v/>
      </c>
      <c r="S1424" s="147" t="str">
        <f t="shared" si="901"/>
        <v/>
      </c>
      <c r="T1424" s="147" t="str">
        <f t="shared" si="902"/>
        <v/>
      </c>
      <c r="U1424" s="160" t="str">
        <f>IF($E1424="","",IF($C1424=12,INDEX(Input!$C$15:$CP$15,1,$B1424),0))</f>
        <v/>
      </c>
      <c r="V1424" s="150" t="str">
        <f>IF(E1424="","",IF(C1424=1,IF($B1424=1,Input!$C$33,Input!$C$34),0))</f>
        <v/>
      </c>
      <c r="W1424" s="156" t="str">
        <f>IF($E1424="","",Input!$C$35)</f>
        <v/>
      </c>
      <c r="X1424" s="156" t="str">
        <f t="shared" si="903"/>
        <v/>
      </c>
      <c r="Y1424" s="154"/>
      <c r="Z1424" s="147" t="str">
        <f>IF($E1424="","",VLOOKUP($D1424,'Mortality Margins &amp; Grading'!$AB$5:$AF$125,3,0)*IF(Summary!$D$25="Included Margin",IF(AND($B1424&gt;Input!$C$9,Summary!$D$31&lt;&gt;"Included Margin"),0,1),0))</f>
        <v/>
      </c>
      <c r="AA1424" s="147" t="str">
        <f>IF($E1424="","",VLOOKUP($D1424,'Mortality Margins &amp; Grading'!$AB$5:$AF$125,5,0)*IF(Summary!$D$25="Included Margin",IF(AND($B1424&gt;Input!$C$9,Summary!$D$31&lt;&gt;"Included Margin"),0,1),0))</f>
        <v/>
      </c>
      <c r="AB1424" s="147" t="str">
        <f>IF($E1424="","",IF(AND($B1424&gt;Input!$C$9,Summary!$D$31&lt;&gt;"Included Margin"),1,IF(Summary!$D$25="Included Margin",VLOOKUP($B1424,'Mortality Margins &amp; Grading'!$AI$5:$AR$125,MATCH('Mortality Margins &amp; Grading'!$AQ$4,'Mortality Margins &amp; Grading'!$AI$4:$AR$4,0),0),1)))</f>
        <v/>
      </c>
      <c r="AC1424" s="154"/>
      <c r="AD1424" s="158" t="str">
        <f>IF(E1424="","",Input!$C$48*IF(Summary!$D$30="Included Margin",IF(AND($B1424&gt;Input!$C$9,Summary!$D$31&lt;&gt;"Included Margin"),0,1),0))</f>
        <v/>
      </c>
      <c r="AE1424" s="159" t="str">
        <f>IF(E1424="","",IF(Summary!$D$26="Included Margin",IF(AND($B1424&gt;Input!$C$9,Summary!$D$31&lt;&gt;"Included Margin"),1,1/$R1424),1))</f>
        <v/>
      </c>
      <c r="AF1424" s="160" t="str">
        <f>IF(E1424="","",IF(AND($B1424&gt;=Input!$C$9,$C1424=12,Summary!$D$31="Included Margin",$U1424&gt;0),1/U1424-1,IF($B1424&gt;=Input!$C$9,0,Input!$C$45*IF(Summary!$D$27="Included Margin",1,0))))</f>
        <v/>
      </c>
      <c r="AG1424" s="160" t="str">
        <f>IF(E1424="","",Input!$C$46*IF(Summary!$D$28="Included Margin",IF(AND($B1424&gt;Input!$C$9,Summary!$D$31&lt;&gt;"Included Margin"),0,1),0))</f>
        <v/>
      </c>
      <c r="AH1424" s="158" t="str">
        <f>IF(E1424="","",Input!$C$47*IF(Summary!$D$29="Included Margin",IF(AND($B1424&gt;Input!$C$9,Summary!$D$31&lt;&gt;"Included Margin"),0,1),0))</f>
        <v/>
      </c>
      <c r="AI1424" s="154"/>
      <c r="AJ1424" s="158" t="str">
        <f t="shared" si="914"/>
        <v/>
      </c>
      <c r="AK1424" s="150" t="str">
        <f t="shared" si="915"/>
        <v/>
      </c>
      <c r="AL1424" s="147" t="str">
        <f t="shared" si="916"/>
        <v/>
      </c>
      <c r="AM1424" s="147" t="str">
        <f t="shared" si="904"/>
        <v/>
      </c>
      <c r="AN1424" s="160" t="str">
        <f t="shared" si="917"/>
        <v/>
      </c>
      <c r="AO1424" s="161" t="str">
        <f t="shared" si="918"/>
        <v/>
      </c>
      <c r="AP1424" s="156" t="str">
        <f t="shared" si="905"/>
        <v/>
      </c>
      <c r="AQ1424" s="152"/>
      <c r="AR1424" s="162" t="str">
        <f t="shared" si="906"/>
        <v/>
      </c>
      <c r="AS1424" s="150" t="str">
        <f t="shared" si="919"/>
        <v/>
      </c>
      <c r="AT1424" s="163" t="str">
        <f t="shared" si="907"/>
        <v/>
      </c>
      <c r="AU1424" s="163" t="str">
        <f t="shared" si="908"/>
        <v/>
      </c>
      <c r="AV1424" s="163" t="str">
        <f t="shared" si="920"/>
        <v/>
      </c>
      <c r="AW1424" s="163" t="str">
        <f t="shared" si="909"/>
        <v/>
      </c>
      <c r="AX1424" s="163" t="str">
        <f t="shared" si="910"/>
        <v/>
      </c>
      <c r="AY1424" s="150" t="str">
        <f t="shared" si="921"/>
        <v/>
      </c>
      <c r="AZ1424" s="150" t="str">
        <f>IF($E1424="","",IF(OR(AND($D1424=Input!$C$6,$C1424=12),$AN1424=1),0,-AS1425+AT1425+AU1425-AV1425-AW1425-AX1425+AZ1425))</f>
        <v/>
      </c>
      <c r="BA1424" s="154" t="str">
        <f t="shared" si="911"/>
        <v/>
      </c>
      <c r="BC1424" s="147" t="str">
        <f t="shared" si="922"/>
        <v/>
      </c>
      <c r="BD1424" s="164" t="str">
        <f>IF(AND($C1423=12,$D1423=Input!$C$6),0,IF($E1424="","",AT1424+(AU1424+BD1425)/(1+$AK1424)*MIN((1-AM1424-AN1424),1)))</f>
        <v/>
      </c>
      <c r="BH1424" s="152"/>
      <c r="BI1424" s="162" t="str">
        <f t="shared" si="895"/>
        <v/>
      </c>
      <c r="BJ1424" s="150" t="str">
        <f t="shared" si="896"/>
        <v/>
      </c>
      <c r="BK1424" s="163" t="str">
        <f t="shared" si="927"/>
        <v/>
      </c>
      <c r="BL1424" s="163" t="str">
        <f t="shared" si="897"/>
        <v/>
      </c>
      <c r="BM1424" s="163" t="str">
        <f t="shared" si="928"/>
        <v/>
      </c>
      <c r="BN1424" s="163" t="str">
        <f t="shared" si="898"/>
        <v/>
      </c>
      <c r="BO1424" s="163" t="str">
        <f t="shared" si="899"/>
        <v/>
      </c>
      <c r="BP1424" s="150" t="str">
        <f t="shared" si="929"/>
        <v/>
      </c>
      <c r="BQ1424" s="150" t="str">
        <f t="shared" si="923"/>
        <v/>
      </c>
      <c r="BR1424" s="154" t="str">
        <f t="shared" si="900"/>
        <v/>
      </c>
      <c r="BT1424" s="147"/>
    </row>
    <row r="1425" spans="1:72" s="150" customFormat="1" x14ac:dyDescent="0.25">
      <c r="A1425" s="150" t="str">
        <f t="shared" si="924"/>
        <v/>
      </c>
      <c r="B1425" s="150" t="str">
        <f t="shared" si="925"/>
        <v/>
      </c>
      <c r="C1425" s="150" t="str">
        <f t="shared" si="926"/>
        <v/>
      </c>
      <c r="D1425" s="150" t="str">
        <f>IF(E1425="","",Input!$C$4+B1425-1)</f>
        <v/>
      </c>
      <c r="E1425" s="150" t="str">
        <f>IF(OR(AND(C1424=12,D1424=Input!$C$6),E1424=""),"",1)</f>
        <v/>
      </c>
      <c r="G1425" s="151" t="str">
        <f>IF(E1425="","",MAX(0,Input!$C$9-B1425))</f>
        <v/>
      </c>
      <c r="H1425" s="152" t="str">
        <f>IF(E1425="","",Input!$C$3)</f>
        <v/>
      </c>
      <c r="I1425" s="153" t="str">
        <f>IF(E1425="","",HLOOKUP($B1425,Input!$C$13:$BT$14,2))</f>
        <v/>
      </c>
      <c r="J1425" s="154"/>
      <c r="K1425" s="150" t="str">
        <f>IF($E1425="","",INDEX(Input!$C$16:$CP$16,1,$B1425))</f>
        <v/>
      </c>
      <c r="L1425" s="150" t="str">
        <f>IF($E1425="","",Input!$C$37)</f>
        <v/>
      </c>
      <c r="M1425" s="150" t="str">
        <f t="shared" si="912"/>
        <v/>
      </c>
      <c r="N1425" s="150" t="str">
        <f t="shared" si="913"/>
        <v/>
      </c>
      <c r="O1425" s="147" t="str">
        <f>IF($E1425="","",MIN(VLOOKUP(IF($B1425&lt;=Input!$C$7,$B1425,26),'Mortality Tables'!$A$41:$CW$67,IF($B1425&lt;=Input!$C$7+1,Input!$C$4+2,$D1425-Input!$C$7+2),0)*IF(B1425&gt;20,Input!$C$22,1)/1000,1))</f>
        <v/>
      </c>
      <c r="P1425" s="147" t="str">
        <f>IF($E1425="","",MIN(VLOOKUP(IF($B1425&lt;=Input!$C$7,$B1425,26),'Mortality Tables'!$A$12:$CW$37,IF($B1425&lt;=Input!$C$7+1,Input!$C$4+2,$D1425-Input!$C$7+2),0)*IF(B1425&gt;20,Input!$C$22,1)/1000,1))</f>
        <v/>
      </c>
      <c r="Q1425" s="155" t="str">
        <f>IF($E1425="","",Input!$C$21)</f>
        <v/>
      </c>
      <c r="R1425" s="159" t="str">
        <f>IF($E1425="","",(1-Q1425)^($F1425-Input!$C$20))</f>
        <v/>
      </c>
      <c r="S1425" s="147" t="str">
        <f t="shared" si="901"/>
        <v/>
      </c>
      <c r="T1425" s="147" t="str">
        <f t="shared" si="902"/>
        <v/>
      </c>
      <c r="U1425" s="160" t="str">
        <f>IF($E1425="","",IF($C1425=12,INDEX(Input!$C$15:$CP$15,1,$B1425),0))</f>
        <v/>
      </c>
      <c r="V1425" s="150" t="str">
        <f>IF(E1425="","",IF(C1425=1,IF($B1425=1,Input!$C$33,Input!$C$34),0))</f>
        <v/>
      </c>
      <c r="W1425" s="156" t="str">
        <f>IF($E1425="","",Input!$C$35)</f>
        <v/>
      </c>
      <c r="X1425" s="156" t="str">
        <f t="shared" si="903"/>
        <v/>
      </c>
      <c r="Y1425" s="154"/>
      <c r="Z1425" s="147" t="str">
        <f>IF($E1425="","",VLOOKUP($D1425,'Mortality Margins &amp; Grading'!$AB$5:$AF$125,3,0)*IF(Summary!$D$25="Included Margin",IF(AND($B1425&gt;Input!$C$9,Summary!$D$31&lt;&gt;"Included Margin"),0,1),0))</f>
        <v/>
      </c>
      <c r="AA1425" s="147" t="str">
        <f>IF($E1425="","",VLOOKUP($D1425,'Mortality Margins &amp; Grading'!$AB$5:$AF$125,5,0)*IF(Summary!$D$25="Included Margin",IF(AND($B1425&gt;Input!$C$9,Summary!$D$31&lt;&gt;"Included Margin"),0,1),0))</f>
        <v/>
      </c>
      <c r="AB1425" s="147" t="str">
        <f>IF($E1425="","",IF(AND($B1425&gt;Input!$C$9,Summary!$D$31&lt;&gt;"Included Margin"),1,IF(Summary!$D$25="Included Margin",VLOOKUP($B1425,'Mortality Margins &amp; Grading'!$AI$5:$AR$125,MATCH('Mortality Margins &amp; Grading'!$AQ$4,'Mortality Margins &amp; Grading'!$AI$4:$AR$4,0),0),1)))</f>
        <v/>
      </c>
      <c r="AC1425" s="154"/>
      <c r="AD1425" s="158" t="str">
        <f>IF(E1425="","",Input!$C$48*IF(Summary!$D$30="Included Margin",IF(AND($B1425&gt;Input!$C$9,Summary!$D$31&lt;&gt;"Included Margin"),0,1),0))</f>
        <v/>
      </c>
      <c r="AE1425" s="159" t="str">
        <f>IF(E1425="","",IF(Summary!$D$26="Included Margin",IF(AND($B1425&gt;Input!$C$9,Summary!$D$31&lt;&gt;"Included Margin"),1,1/$R1425),1))</f>
        <v/>
      </c>
      <c r="AF1425" s="160" t="str">
        <f>IF(E1425="","",IF(AND($B1425&gt;=Input!$C$9,$C1425=12,Summary!$D$31="Included Margin",$U1425&gt;0),1/U1425-1,IF($B1425&gt;=Input!$C$9,0,Input!$C$45*IF(Summary!$D$27="Included Margin",1,0))))</f>
        <v/>
      </c>
      <c r="AG1425" s="160" t="str">
        <f>IF(E1425="","",Input!$C$46*IF(Summary!$D$28="Included Margin",IF(AND($B1425&gt;Input!$C$9,Summary!$D$31&lt;&gt;"Included Margin"),0,1),0))</f>
        <v/>
      </c>
      <c r="AH1425" s="158" t="str">
        <f>IF(E1425="","",Input!$C$47*IF(Summary!$D$29="Included Margin",IF(AND($B1425&gt;Input!$C$9,Summary!$D$31&lt;&gt;"Included Margin"),0,1),0))</f>
        <v/>
      </c>
      <c r="AI1425" s="154"/>
      <c r="AJ1425" s="158" t="str">
        <f t="shared" si="914"/>
        <v/>
      </c>
      <c r="AK1425" s="150" t="str">
        <f t="shared" si="915"/>
        <v/>
      </c>
      <c r="AL1425" s="147" t="str">
        <f t="shared" si="916"/>
        <v/>
      </c>
      <c r="AM1425" s="147" t="str">
        <f t="shared" si="904"/>
        <v/>
      </c>
      <c r="AN1425" s="160" t="str">
        <f t="shared" si="917"/>
        <v/>
      </c>
      <c r="AO1425" s="161" t="str">
        <f t="shared" si="918"/>
        <v/>
      </c>
      <c r="AP1425" s="156" t="str">
        <f t="shared" si="905"/>
        <v/>
      </c>
      <c r="AQ1425" s="152"/>
      <c r="AR1425" s="162" t="str">
        <f t="shared" si="906"/>
        <v/>
      </c>
      <c r="AS1425" s="150" t="str">
        <f t="shared" si="919"/>
        <v/>
      </c>
      <c r="AT1425" s="163" t="str">
        <f t="shared" si="907"/>
        <v/>
      </c>
      <c r="AU1425" s="163" t="str">
        <f t="shared" si="908"/>
        <v/>
      </c>
      <c r="AV1425" s="163" t="str">
        <f t="shared" si="920"/>
        <v/>
      </c>
      <c r="AW1425" s="163" t="str">
        <f t="shared" si="909"/>
        <v/>
      </c>
      <c r="AX1425" s="163" t="str">
        <f t="shared" si="910"/>
        <v/>
      </c>
      <c r="AY1425" s="150" t="str">
        <f t="shared" si="921"/>
        <v/>
      </c>
      <c r="AZ1425" s="150" t="str">
        <f>IF($E1425="","",IF(OR(AND($D1425=Input!$C$6,$C1425=12),$AN1425=1),0,-AS1426+AT1426+AU1426-AV1426-AW1426-AX1426+AZ1426))</f>
        <v/>
      </c>
      <c r="BA1425" s="154" t="str">
        <f t="shared" si="911"/>
        <v/>
      </c>
      <c r="BC1425" s="147" t="str">
        <f t="shared" si="922"/>
        <v/>
      </c>
      <c r="BD1425" s="164" t="str">
        <f>IF(AND($C1424=12,$D1424=Input!$C$6),0,IF($E1425="","",AT1425+(AU1425+BD1426)/(1+$AK1425)*MIN((1-AM1425-AN1425),1)))</f>
        <v/>
      </c>
      <c r="BH1425" s="152"/>
      <c r="BI1425" s="162" t="str">
        <f t="shared" si="895"/>
        <v/>
      </c>
      <c r="BJ1425" s="150" t="str">
        <f t="shared" si="896"/>
        <v/>
      </c>
      <c r="BK1425" s="163" t="str">
        <f t="shared" si="927"/>
        <v/>
      </c>
      <c r="BL1425" s="163" t="str">
        <f t="shared" si="897"/>
        <v/>
      </c>
      <c r="BM1425" s="163" t="str">
        <f t="shared" si="928"/>
        <v/>
      </c>
      <c r="BN1425" s="163" t="str">
        <f t="shared" si="898"/>
        <v/>
      </c>
      <c r="BO1425" s="163" t="str">
        <f t="shared" si="899"/>
        <v/>
      </c>
      <c r="BP1425" s="150" t="str">
        <f t="shared" si="929"/>
        <v/>
      </c>
      <c r="BQ1425" s="150" t="str">
        <f t="shared" si="923"/>
        <v/>
      </c>
      <c r="BR1425" s="154" t="str">
        <f t="shared" si="900"/>
        <v/>
      </c>
      <c r="BT1425" s="147"/>
    </row>
    <row r="1426" spans="1:72" s="150" customFormat="1" x14ac:dyDescent="0.25">
      <c r="A1426" s="150" t="str">
        <f t="shared" si="924"/>
        <v/>
      </c>
      <c r="B1426" s="150" t="str">
        <f t="shared" si="925"/>
        <v/>
      </c>
      <c r="C1426" s="150" t="str">
        <f t="shared" si="926"/>
        <v/>
      </c>
      <c r="D1426" s="150" t="str">
        <f>IF(E1426="","",Input!$C$4+B1426-1)</f>
        <v/>
      </c>
      <c r="E1426" s="150" t="str">
        <f>IF(OR(AND(C1425=12,D1425=Input!$C$6),E1425=""),"",1)</f>
        <v/>
      </c>
      <c r="G1426" s="151" t="str">
        <f>IF(E1426="","",MAX(0,Input!$C$9-B1426))</f>
        <v/>
      </c>
      <c r="H1426" s="152" t="str">
        <f>IF(E1426="","",Input!$C$3)</f>
        <v/>
      </c>
      <c r="I1426" s="153" t="str">
        <f>IF(E1426="","",HLOOKUP($B1426,Input!$C$13:$BT$14,2))</f>
        <v/>
      </c>
      <c r="J1426" s="154"/>
      <c r="K1426" s="150" t="str">
        <f>IF($E1426="","",INDEX(Input!$C$16:$CP$16,1,$B1426))</f>
        <v/>
      </c>
      <c r="L1426" s="150" t="str">
        <f>IF($E1426="","",Input!$C$37)</f>
        <v/>
      </c>
      <c r="M1426" s="150" t="str">
        <f t="shared" si="912"/>
        <v/>
      </c>
      <c r="N1426" s="150" t="str">
        <f t="shared" si="913"/>
        <v/>
      </c>
      <c r="O1426" s="147" t="str">
        <f>IF($E1426="","",MIN(VLOOKUP(IF($B1426&lt;=Input!$C$7,$B1426,26),'Mortality Tables'!$A$41:$CW$67,IF($B1426&lt;=Input!$C$7+1,Input!$C$4+2,$D1426-Input!$C$7+2),0)*IF(B1426&gt;20,Input!$C$22,1)/1000,1))</f>
        <v/>
      </c>
      <c r="P1426" s="147" t="str">
        <f>IF($E1426="","",MIN(VLOOKUP(IF($B1426&lt;=Input!$C$7,$B1426,26),'Mortality Tables'!$A$12:$CW$37,IF($B1426&lt;=Input!$C$7+1,Input!$C$4+2,$D1426-Input!$C$7+2),0)*IF(B1426&gt;20,Input!$C$22,1)/1000,1))</f>
        <v/>
      </c>
      <c r="Q1426" s="155" t="str">
        <f>IF($E1426="","",Input!$C$21)</f>
        <v/>
      </c>
      <c r="R1426" s="159" t="str">
        <f>IF($E1426="","",(1-Q1426)^($F1426-Input!$C$20))</f>
        <v/>
      </c>
      <c r="S1426" s="147" t="str">
        <f t="shared" si="901"/>
        <v/>
      </c>
      <c r="T1426" s="147" t="str">
        <f t="shared" si="902"/>
        <v/>
      </c>
      <c r="U1426" s="160" t="str">
        <f>IF($E1426="","",IF($C1426=12,INDEX(Input!$C$15:$CP$15,1,$B1426),0))</f>
        <v/>
      </c>
      <c r="V1426" s="150" t="str">
        <f>IF(E1426="","",IF(C1426=1,IF($B1426=1,Input!$C$33,Input!$C$34),0))</f>
        <v/>
      </c>
      <c r="W1426" s="156" t="str">
        <f>IF($E1426="","",Input!$C$35)</f>
        <v/>
      </c>
      <c r="X1426" s="156" t="str">
        <f t="shared" si="903"/>
        <v/>
      </c>
      <c r="Y1426" s="154"/>
      <c r="Z1426" s="147" t="str">
        <f>IF($E1426="","",VLOOKUP($D1426,'Mortality Margins &amp; Grading'!$AB$5:$AF$125,3,0)*IF(Summary!$D$25="Included Margin",IF(AND($B1426&gt;Input!$C$9,Summary!$D$31&lt;&gt;"Included Margin"),0,1),0))</f>
        <v/>
      </c>
      <c r="AA1426" s="147" t="str">
        <f>IF($E1426="","",VLOOKUP($D1426,'Mortality Margins &amp; Grading'!$AB$5:$AF$125,5,0)*IF(Summary!$D$25="Included Margin",IF(AND($B1426&gt;Input!$C$9,Summary!$D$31&lt;&gt;"Included Margin"),0,1),0))</f>
        <v/>
      </c>
      <c r="AB1426" s="147" t="str">
        <f>IF($E1426="","",IF(AND($B1426&gt;Input!$C$9,Summary!$D$31&lt;&gt;"Included Margin"),1,IF(Summary!$D$25="Included Margin",VLOOKUP($B1426,'Mortality Margins &amp; Grading'!$AI$5:$AR$125,MATCH('Mortality Margins &amp; Grading'!$AQ$4,'Mortality Margins &amp; Grading'!$AI$4:$AR$4,0),0),1)))</f>
        <v/>
      </c>
      <c r="AC1426" s="154"/>
      <c r="AD1426" s="158" t="str">
        <f>IF(E1426="","",Input!$C$48*IF(Summary!$D$30="Included Margin",IF(AND($B1426&gt;Input!$C$9,Summary!$D$31&lt;&gt;"Included Margin"),0,1),0))</f>
        <v/>
      </c>
      <c r="AE1426" s="159" t="str">
        <f>IF(E1426="","",IF(Summary!$D$26="Included Margin",IF(AND($B1426&gt;Input!$C$9,Summary!$D$31&lt;&gt;"Included Margin"),1,1/$R1426),1))</f>
        <v/>
      </c>
      <c r="AF1426" s="160" t="str">
        <f>IF(E1426="","",IF(AND($B1426&gt;=Input!$C$9,$C1426=12,Summary!$D$31="Included Margin",$U1426&gt;0),1/U1426-1,IF($B1426&gt;=Input!$C$9,0,Input!$C$45*IF(Summary!$D$27="Included Margin",1,0))))</f>
        <v/>
      </c>
      <c r="AG1426" s="160" t="str">
        <f>IF(E1426="","",Input!$C$46*IF(Summary!$D$28="Included Margin",IF(AND($B1426&gt;Input!$C$9,Summary!$D$31&lt;&gt;"Included Margin"),0,1),0))</f>
        <v/>
      </c>
      <c r="AH1426" s="158" t="str">
        <f>IF(E1426="","",Input!$C$47*IF(Summary!$D$29="Included Margin",IF(AND($B1426&gt;Input!$C$9,Summary!$D$31&lt;&gt;"Included Margin"),0,1),0))</f>
        <v/>
      </c>
      <c r="AI1426" s="154"/>
      <c r="AJ1426" s="158" t="str">
        <f t="shared" si="914"/>
        <v/>
      </c>
      <c r="AK1426" s="150" t="str">
        <f t="shared" si="915"/>
        <v/>
      </c>
      <c r="AL1426" s="147" t="str">
        <f t="shared" si="916"/>
        <v/>
      </c>
      <c r="AM1426" s="147" t="str">
        <f t="shared" si="904"/>
        <v/>
      </c>
      <c r="AN1426" s="160" t="str">
        <f t="shared" si="917"/>
        <v/>
      </c>
      <c r="AO1426" s="161" t="str">
        <f t="shared" si="918"/>
        <v/>
      </c>
      <c r="AP1426" s="156" t="str">
        <f t="shared" si="905"/>
        <v/>
      </c>
      <c r="AQ1426" s="152"/>
      <c r="AR1426" s="162" t="str">
        <f t="shared" si="906"/>
        <v/>
      </c>
      <c r="AS1426" s="150" t="str">
        <f t="shared" si="919"/>
        <v/>
      </c>
      <c r="AT1426" s="163" t="str">
        <f t="shared" si="907"/>
        <v/>
      </c>
      <c r="AU1426" s="163" t="str">
        <f t="shared" si="908"/>
        <v/>
      </c>
      <c r="AV1426" s="163" t="str">
        <f t="shared" si="920"/>
        <v/>
      </c>
      <c r="AW1426" s="163" t="str">
        <f t="shared" si="909"/>
        <v/>
      </c>
      <c r="AX1426" s="163" t="str">
        <f t="shared" si="910"/>
        <v/>
      </c>
      <c r="AY1426" s="150" t="str">
        <f t="shared" si="921"/>
        <v/>
      </c>
      <c r="AZ1426" s="150" t="str">
        <f>IF($E1426="","",IF(OR(AND($D1426=Input!$C$6,$C1426=12),$AN1426=1),0,-AS1427+AT1427+AU1427-AV1427-AW1427-AX1427+AZ1427))</f>
        <v/>
      </c>
      <c r="BA1426" s="154" t="str">
        <f t="shared" si="911"/>
        <v/>
      </c>
      <c r="BC1426" s="147" t="str">
        <f t="shared" si="922"/>
        <v/>
      </c>
      <c r="BD1426" s="164" t="str">
        <f>IF(AND($C1425=12,$D1425=Input!$C$6),0,IF($E1426="","",AT1426+(AU1426+BD1427)/(1+$AK1426)*MIN((1-AM1426-AN1426),1)))</f>
        <v/>
      </c>
      <c r="BH1426" s="152"/>
      <c r="BI1426" s="162" t="str">
        <f t="shared" si="895"/>
        <v/>
      </c>
      <c r="BJ1426" s="150" t="str">
        <f t="shared" si="896"/>
        <v/>
      </c>
      <c r="BK1426" s="163" t="str">
        <f t="shared" si="927"/>
        <v/>
      </c>
      <c r="BL1426" s="163" t="str">
        <f t="shared" si="897"/>
        <v/>
      </c>
      <c r="BM1426" s="163" t="str">
        <f t="shared" si="928"/>
        <v/>
      </c>
      <c r="BN1426" s="163" t="str">
        <f t="shared" si="898"/>
        <v/>
      </c>
      <c r="BO1426" s="163" t="str">
        <f t="shared" si="899"/>
        <v/>
      </c>
      <c r="BP1426" s="150" t="str">
        <f t="shared" si="929"/>
        <v/>
      </c>
      <c r="BQ1426" s="150" t="str">
        <f t="shared" si="923"/>
        <v/>
      </c>
      <c r="BR1426" s="154" t="str">
        <f t="shared" si="900"/>
        <v/>
      </c>
      <c r="BT1426" s="147"/>
    </row>
    <row r="1427" spans="1:72" s="150" customFormat="1" x14ac:dyDescent="0.25">
      <c r="A1427" s="150" t="str">
        <f t="shared" si="924"/>
        <v/>
      </c>
      <c r="B1427" s="150" t="str">
        <f t="shared" si="925"/>
        <v/>
      </c>
      <c r="C1427" s="150" t="str">
        <f t="shared" si="926"/>
        <v/>
      </c>
      <c r="D1427" s="150" t="str">
        <f>IF(E1427="","",Input!$C$4+B1427-1)</f>
        <v/>
      </c>
      <c r="E1427" s="150" t="str">
        <f>IF(OR(AND(C1426=12,D1426=Input!$C$6),E1426=""),"",1)</f>
        <v/>
      </c>
      <c r="G1427" s="151" t="str">
        <f>IF(E1427="","",MAX(0,Input!$C$9-B1427))</f>
        <v/>
      </c>
      <c r="H1427" s="152" t="str">
        <f>IF(E1427="","",Input!$C$3)</f>
        <v/>
      </c>
      <c r="I1427" s="153" t="str">
        <f>IF(E1427="","",HLOOKUP($B1427,Input!$C$13:$BT$14,2))</f>
        <v/>
      </c>
      <c r="J1427" s="154"/>
      <c r="K1427" s="150" t="str">
        <f>IF($E1427="","",INDEX(Input!$C$16:$CP$16,1,$B1427))</f>
        <v/>
      </c>
      <c r="L1427" s="150" t="str">
        <f>IF($E1427="","",Input!$C$37)</f>
        <v/>
      </c>
      <c r="M1427" s="150" t="str">
        <f t="shared" si="912"/>
        <v/>
      </c>
      <c r="N1427" s="150" t="str">
        <f t="shared" si="913"/>
        <v/>
      </c>
      <c r="O1427" s="147" t="str">
        <f>IF($E1427="","",MIN(VLOOKUP(IF($B1427&lt;=Input!$C$7,$B1427,26),'Mortality Tables'!$A$41:$CW$67,IF($B1427&lt;=Input!$C$7+1,Input!$C$4+2,$D1427-Input!$C$7+2),0)*IF(B1427&gt;20,Input!$C$22,1)/1000,1))</f>
        <v/>
      </c>
      <c r="P1427" s="147" t="str">
        <f>IF($E1427="","",MIN(VLOOKUP(IF($B1427&lt;=Input!$C$7,$B1427,26),'Mortality Tables'!$A$12:$CW$37,IF($B1427&lt;=Input!$C$7+1,Input!$C$4+2,$D1427-Input!$C$7+2),0)*IF(B1427&gt;20,Input!$C$22,1)/1000,1))</f>
        <v/>
      </c>
      <c r="Q1427" s="155" t="str">
        <f>IF($E1427="","",Input!$C$21)</f>
        <v/>
      </c>
      <c r="R1427" s="159" t="str">
        <f>IF($E1427="","",(1-Q1427)^($F1427-Input!$C$20))</f>
        <v/>
      </c>
      <c r="S1427" s="147" t="str">
        <f t="shared" si="901"/>
        <v/>
      </c>
      <c r="T1427" s="147" t="str">
        <f t="shared" si="902"/>
        <v/>
      </c>
      <c r="U1427" s="160" t="str">
        <f>IF($E1427="","",IF($C1427=12,INDEX(Input!$C$15:$CP$15,1,$B1427),0))</f>
        <v/>
      </c>
      <c r="V1427" s="150" t="str">
        <f>IF(E1427="","",IF(C1427=1,IF($B1427=1,Input!$C$33,Input!$C$34),0))</f>
        <v/>
      </c>
      <c r="W1427" s="156" t="str">
        <f>IF($E1427="","",Input!$C$35)</f>
        <v/>
      </c>
      <c r="X1427" s="156" t="str">
        <f t="shared" si="903"/>
        <v/>
      </c>
      <c r="Y1427" s="154"/>
      <c r="Z1427" s="147" t="str">
        <f>IF($E1427="","",VLOOKUP($D1427,'Mortality Margins &amp; Grading'!$AB$5:$AF$125,3,0)*IF(Summary!$D$25="Included Margin",IF(AND($B1427&gt;Input!$C$9,Summary!$D$31&lt;&gt;"Included Margin"),0,1),0))</f>
        <v/>
      </c>
      <c r="AA1427" s="147" t="str">
        <f>IF($E1427="","",VLOOKUP($D1427,'Mortality Margins &amp; Grading'!$AB$5:$AF$125,5,0)*IF(Summary!$D$25="Included Margin",IF(AND($B1427&gt;Input!$C$9,Summary!$D$31&lt;&gt;"Included Margin"),0,1),0))</f>
        <v/>
      </c>
      <c r="AB1427" s="147" t="str">
        <f>IF($E1427="","",IF(AND($B1427&gt;Input!$C$9,Summary!$D$31&lt;&gt;"Included Margin"),1,IF(Summary!$D$25="Included Margin",VLOOKUP($B1427,'Mortality Margins &amp; Grading'!$AI$5:$AR$125,MATCH('Mortality Margins &amp; Grading'!$AQ$4,'Mortality Margins &amp; Grading'!$AI$4:$AR$4,0),0),1)))</f>
        <v/>
      </c>
      <c r="AC1427" s="154"/>
      <c r="AD1427" s="158" t="str">
        <f>IF(E1427="","",Input!$C$48*IF(Summary!$D$30="Included Margin",IF(AND($B1427&gt;Input!$C$9,Summary!$D$31&lt;&gt;"Included Margin"),0,1),0))</f>
        <v/>
      </c>
      <c r="AE1427" s="159" t="str">
        <f>IF(E1427="","",IF(Summary!$D$26="Included Margin",IF(AND($B1427&gt;Input!$C$9,Summary!$D$31&lt;&gt;"Included Margin"),1,1/$R1427),1))</f>
        <v/>
      </c>
      <c r="AF1427" s="160" t="str">
        <f>IF(E1427="","",IF(AND($B1427&gt;=Input!$C$9,$C1427=12,Summary!$D$31="Included Margin",$U1427&gt;0),1/U1427-1,IF($B1427&gt;=Input!$C$9,0,Input!$C$45*IF(Summary!$D$27="Included Margin",1,0))))</f>
        <v/>
      </c>
      <c r="AG1427" s="160" t="str">
        <f>IF(E1427="","",Input!$C$46*IF(Summary!$D$28="Included Margin",IF(AND($B1427&gt;Input!$C$9,Summary!$D$31&lt;&gt;"Included Margin"),0,1),0))</f>
        <v/>
      </c>
      <c r="AH1427" s="158" t="str">
        <f>IF(E1427="","",Input!$C$47*IF(Summary!$D$29="Included Margin",IF(AND($B1427&gt;Input!$C$9,Summary!$D$31&lt;&gt;"Included Margin"),0,1),0))</f>
        <v/>
      </c>
      <c r="AI1427" s="154"/>
      <c r="AJ1427" s="158" t="str">
        <f t="shared" si="914"/>
        <v/>
      </c>
      <c r="AK1427" s="150" t="str">
        <f t="shared" si="915"/>
        <v/>
      </c>
      <c r="AL1427" s="147" t="str">
        <f t="shared" si="916"/>
        <v/>
      </c>
      <c r="AM1427" s="147" t="str">
        <f t="shared" si="904"/>
        <v/>
      </c>
      <c r="AN1427" s="160" t="str">
        <f t="shared" si="917"/>
        <v/>
      </c>
      <c r="AO1427" s="161" t="str">
        <f t="shared" si="918"/>
        <v/>
      </c>
      <c r="AP1427" s="156" t="str">
        <f t="shared" si="905"/>
        <v/>
      </c>
      <c r="AQ1427" s="152"/>
      <c r="AR1427" s="162" t="str">
        <f t="shared" si="906"/>
        <v/>
      </c>
      <c r="AS1427" s="150" t="str">
        <f t="shared" si="919"/>
        <v/>
      </c>
      <c r="AT1427" s="163" t="str">
        <f t="shared" si="907"/>
        <v/>
      </c>
      <c r="AU1427" s="163" t="str">
        <f t="shared" si="908"/>
        <v/>
      </c>
      <c r="AV1427" s="163" t="str">
        <f t="shared" si="920"/>
        <v/>
      </c>
      <c r="AW1427" s="163" t="str">
        <f t="shared" si="909"/>
        <v/>
      </c>
      <c r="AX1427" s="163" t="str">
        <f t="shared" si="910"/>
        <v/>
      </c>
      <c r="AY1427" s="150" t="str">
        <f t="shared" si="921"/>
        <v/>
      </c>
      <c r="AZ1427" s="150" t="str">
        <f>IF($E1427="","",IF(OR(AND($D1427=Input!$C$6,$C1427=12),$AN1427=1),0,-AS1428+AT1428+AU1428-AV1428-AW1428-AX1428+AZ1428))</f>
        <v/>
      </c>
      <c r="BA1427" s="154" t="str">
        <f t="shared" si="911"/>
        <v/>
      </c>
      <c r="BC1427" s="147" t="str">
        <f t="shared" si="922"/>
        <v/>
      </c>
      <c r="BD1427" s="164" t="str">
        <f>IF(AND($C1426=12,$D1426=Input!$C$6),0,IF($E1427="","",AT1427+(AU1427+BD1428)/(1+$AK1427)*MIN((1-AM1427-AN1427),1)))</f>
        <v/>
      </c>
      <c r="BH1427" s="152"/>
      <c r="BI1427" s="162" t="str">
        <f t="shared" si="895"/>
        <v/>
      </c>
      <c r="BJ1427" s="150" t="str">
        <f t="shared" si="896"/>
        <v/>
      </c>
      <c r="BK1427" s="163" t="str">
        <f t="shared" si="927"/>
        <v/>
      </c>
      <c r="BL1427" s="163" t="str">
        <f t="shared" si="897"/>
        <v/>
      </c>
      <c r="BM1427" s="163" t="str">
        <f t="shared" si="928"/>
        <v/>
      </c>
      <c r="BN1427" s="163" t="str">
        <f t="shared" si="898"/>
        <v/>
      </c>
      <c r="BO1427" s="163" t="str">
        <f t="shared" si="899"/>
        <v/>
      </c>
      <c r="BP1427" s="150" t="str">
        <f t="shared" si="929"/>
        <v/>
      </c>
      <c r="BQ1427" s="150" t="str">
        <f t="shared" si="923"/>
        <v/>
      </c>
      <c r="BR1427" s="154" t="str">
        <f t="shared" si="900"/>
        <v/>
      </c>
      <c r="BT1427" s="147"/>
    </row>
    <row r="1428" spans="1:72" s="150" customFormat="1" x14ac:dyDescent="0.25">
      <c r="A1428" s="150" t="str">
        <f t="shared" si="924"/>
        <v/>
      </c>
      <c r="B1428" s="150" t="str">
        <f t="shared" si="925"/>
        <v/>
      </c>
      <c r="C1428" s="150" t="str">
        <f t="shared" si="926"/>
        <v/>
      </c>
      <c r="D1428" s="150" t="str">
        <f>IF(E1428="","",Input!$C$4+B1428-1)</f>
        <v/>
      </c>
      <c r="E1428" s="150" t="str">
        <f>IF(OR(AND(C1427=12,D1427=Input!$C$6),E1427=""),"",1)</f>
        <v/>
      </c>
      <c r="G1428" s="151" t="str">
        <f>IF(E1428="","",MAX(0,Input!$C$9-B1428))</f>
        <v/>
      </c>
      <c r="H1428" s="152" t="str">
        <f>IF(E1428="","",Input!$C$3)</f>
        <v/>
      </c>
      <c r="I1428" s="153" t="str">
        <f>IF(E1428="","",HLOOKUP($B1428,Input!$C$13:$BT$14,2))</f>
        <v/>
      </c>
      <c r="J1428" s="154"/>
      <c r="K1428" s="150" t="str">
        <f>IF($E1428="","",INDEX(Input!$C$16:$CP$16,1,$B1428))</f>
        <v/>
      </c>
      <c r="L1428" s="150" t="str">
        <f>IF($E1428="","",Input!$C$37)</f>
        <v/>
      </c>
      <c r="M1428" s="150" t="str">
        <f t="shared" si="912"/>
        <v/>
      </c>
      <c r="N1428" s="150" t="str">
        <f t="shared" si="913"/>
        <v/>
      </c>
      <c r="O1428" s="147" t="str">
        <f>IF($E1428="","",MIN(VLOOKUP(IF($B1428&lt;=Input!$C$7,$B1428,26),'Mortality Tables'!$A$41:$CW$67,IF($B1428&lt;=Input!$C$7+1,Input!$C$4+2,$D1428-Input!$C$7+2),0)*IF(B1428&gt;20,Input!$C$22,1)/1000,1))</f>
        <v/>
      </c>
      <c r="P1428" s="147" t="str">
        <f>IF($E1428="","",MIN(VLOOKUP(IF($B1428&lt;=Input!$C$7,$B1428,26),'Mortality Tables'!$A$12:$CW$37,IF($B1428&lt;=Input!$C$7+1,Input!$C$4+2,$D1428-Input!$C$7+2),0)*IF(B1428&gt;20,Input!$C$22,1)/1000,1))</f>
        <v/>
      </c>
      <c r="Q1428" s="155" t="str">
        <f>IF($E1428="","",Input!$C$21)</f>
        <v/>
      </c>
      <c r="R1428" s="159" t="str">
        <f>IF($E1428="","",(1-Q1428)^($F1428-Input!$C$20))</f>
        <v/>
      </c>
      <c r="S1428" s="147" t="str">
        <f t="shared" si="901"/>
        <v/>
      </c>
      <c r="T1428" s="147" t="str">
        <f t="shared" si="902"/>
        <v/>
      </c>
      <c r="U1428" s="160" t="str">
        <f>IF($E1428="","",IF($C1428=12,INDEX(Input!$C$15:$CP$15,1,$B1428),0))</f>
        <v/>
      </c>
      <c r="V1428" s="150" t="str">
        <f>IF(E1428="","",IF(C1428=1,IF($B1428=1,Input!$C$33,Input!$C$34),0))</f>
        <v/>
      </c>
      <c r="W1428" s="156" t="str">
        <f>IF($E1428="","",Input!$C$35)</f>
        <v/>
      </c>
      <c r="X1428" s="156" t="str">
        <f t="shared" si="903"/>
        <v/>
      </c>
      <c r="Y1428" s="154"/>
      <c r="Z1428" s="147" t="str">
        <f>IF($E1428="","",VLOOKUP($D1428,'Mortality Margins &amp; Grading'!$AB$5:$AF$125,3,0)*IF(Summary!$D$25="Included Margin",IF(AND($B1428&gt;Input!$C$9,Summary!$D$31&lt;&gt;"Included Margin"),0,1),0))</f>
        <v/>
      </c>
      <c r="AA1428" s="147" t="str">
        <f>IF($E1428="","",VLOOKUP($D1428,'Mortality Margins &amp; Grading'!$AB$5:$AF$125,5,0)*IF(Summary!$D$25="Included Margin",IF(AND($B1428&gt;Input!$C$9,Summary!$D$31&lt;&gt;"Included Margin"),0,1),0))</f>
        <v/>
      </c>
      <c r="AB1428" s="147" t="str">
        <f>IF($E1428="","",IF(AND($B1428&gt;Input!$C$9,Summary!$D$31&lt;&gt;"Included Margin"),1,IF(Summary!$D$25="Included Margin",VLOOKUP($B1428,'Mortality Margins &amp; Grading'!$AI$5:$AR$125,MATCH('Mortality Margins &amp; Grading'!$AQ$4,'Mortality Margins &amp; Grading'!$AI$4:$AR$4,0),0),1)))</f>
        <v/>
      </c>
      <c r="AC1428" s="154"/>
      <c r="AD1428" s="158" t="str">
        <f>IF(E1428="","",Input!$C$48*IF(Summary!$D$30="Included Margin",IF(AND($B1428&gt;Input!$C$9,Summary!$D$31&lt;&gt;"Included Margin"),0,1),0))</f>
        <v/>
      </c>
      <c r="AE1428" s="159" t="str">
        <f>IF(E1428="","",IF(Summary!$D$26="Included Margin",IF(AND($B1428&gt;Input!$C$9,Summary!$D$31&lt;&gt;"Included Margin"),1,1/$R1428),1))</f>
        <v/>
      </c>
      <c r="AF1428" s="160" t="str">
        <f>IF(E1428="","",IF(AND($B1428&gt;=Input!$C$9,$C1428=12,Summary!$D$31="Included Margin",$U1428&gt;0),1/U1428-1,IF($B1428&gt;=Input!$C$9,0,Input!$C$45*IF(Summary!$D$27="Included Margin",1,0))))</f>
        <v/>
      </c>
      <c r="AG1428" s="160" t="str">
        <f>IF(E1428="","",Input!$C$46*IF(Summary!$D$28="Included Margin",IF(AND($B1428&gt;Input!$C$9,Summary!$D$31&lt;&gt;"Included Margin"),0,1),0))</f>
        <v/>
      </c>
      <c r="AH1428" s="158" t="str">
        <f>IF(E1428="","",Input!$C$47*IF(Summary!$D$29="Included Margin",IF(AND($B1428&gt;Input!$C$9,Summary!$D$31&lt;&gt;"Included Margin"),0,1),0))</f>
        <v/>
      </c>
      <c r="AI1428" s="154"/>
      <c r="AJ1428" s="158" t="str">
        <f t="shared" si="914"/>
        <v/>
      </c>
      <c r="AK1428" s="150" t="str">
        <f t="shared" si="915"/>
        <v/>
      </c>
      <c r="AL1428" s="147" t="str">
        <f t="shared" si="916"/>
        <v/>
      </c>
      <c r="AM1428" s="147" t="str">
        <f t="shared" si="904"/>
        <v/>
      </c>
      <c r="AN1428" s="160" t="str">
        <f t="shared" si="917"/>
        <v/>
      </c>
      <c r="AO1428" s="161" t="str">
        <f t="shared" si="918"/>
        <v/>
      </c>
      <c r="AP1428" s="156" t="str">
        <f t="shared" si="905"/>
        <v/>
      </c>
      <c r="AQ1428" s="152"/>
      <c r="AR1428" s="162" t="str">
        <f t="shared" si="906"/>
        <v/>
      </c>
      <c r="AS1428" s="150" t="str">
        <f t="shared" si="919"/>
        <v/>
      </c>
      <c r="AT1428" s="163" t="str">
        <f t="shared" si="907"/>
        <v/>
      </c>
      <c r="AU1428" s="163" t="str">
        <f t="shared" si="908"/>
        <v/>
      </c>
      <c r="AV1428" s="163" t="str">
        <f t="shared" si="920"/>
        <v/>
      </c>
      <c r="AW1428" s="163" t="str">
        <f t="shared" si="909"/>
        <v/>
      </c>
      <c r="AX1428" s="163" t="str">
        <f t="shared" si="910"/>
        <v/>
      </c>
      <c r="AY1428" s="150" t="str">
        <f t="shared" si="921"/>
        <v/>
      </c>
      <c r="AZ1428" s="150" t="str">
        <f>IF($E1428="","",IF(OR(AND($D1428=Input!$C$6,$C1428=12),$AN1428=1),0,-AS1429+AT1429+AU1429-AV1429-AW1429-AX1429+AZ1429))</f>
        <v/>
      </c>
      <c r="BA1428" s="154" t="str">
        <f t="shared" si="911"/>
        <v/>
      </c>
      <c r="BC1428" s="147" t="str">
        <f t="shared" si="922"/>
        <v/>
      </c>
      <c r="BD1428" s="164" t="str">
        <f>IF(AND($C1427=12,$D1427=Input!$C$6),0,IF($E1428="","",AT1428+(AU1428+BD1429)/(1+$AK1428)*MIN((1-AM1428-AN1428),1)))</f>
        <v/>
      </c>
      <c r="BH1428" s="152"/>
      <c r="BI1428" s="162" t="str">
        <f t="shared" si="895"/>
        <v/>
      </c>
      <c r="BJ1428" s="150" t="str">
        <f t="shared" si="896"/>
        <v/>
      </c>
      <c r="BK1428" s="163" t="str">
        <f t="shared" si="927"/>
        <v/>
      </c>
      <c r="BL1428" s="163" t="str">
        <f t="shared" si="897"/>
        <v/>
      </c>
      <c r="BM1428" s="163" t="str">
        <f t="shared" si="928"/>
        <v/>
      </c>
      <c r="BN1428" s="163" t="str">
        <f t="shared" si="898"/>
        <v/>
      </c>
      <c r="BO1428" s="163" t="str">
        <f t="shared" si="899"/>
        <v/>
      </c>
      <c r="BP1428" s="150" t="str">
        <f t="shared" si="929"/>
        <v/>
      </c>
      <c r="BQ1428" s="150" t="str">
        <f t="shared" si="923"/>
        <v/>
      </c>
      <c r="BR1428" s="154" t="str">
        <f t="shared" si="900"/>
        <v/>
      </c>
      <c r="BT1428" s="147"/>
    </row>
    <row r="1429" spans="1:72" s="150" customFormat="1" x14ac:dyDescent="0.25">
      <c r="A1429" s="150" t="str">
        <f t="shared" si="924"/>
        <v/>
      </c>
      <c r="B1429" s="150" t="str">
        <f t="shared" si="925"/>
        <v/>
      </c>
      <c r="C1429" s="150" t="str">
        <f t="shared" si="926"/>
        <v/>
      </c>
      <c r="D1429" s="150" t="str">
        <f>IF(E1429="","",Input!$C$4+B1429-1)</f>
        <v/>
      </c>
      <c r="E1429" s="150" t="str">
        <f>IF(OR(AND(C1428=12,D1428=Input!$C$6),E1428=""),"",1)</f>
        <v/>
      </c>
      <c r="G1429" s="151" t="str">
        <f>IF(E1429="","",MAX(0,Input!$C$9-B1429))</f>
        <v/>
      </c>
      <c r="H1429" s="152" t="str">
        <f>IF(E1429="","",Input!$C$3)</f>
        <v/>
      </c>
      <c r="I1429" s="153" t="str">
        <f>IF(E1429="","",HLOOKUP($B1429,Input!$C$13:$BT$14,2))</f>
        <v/>
      </c>
      <c r="J1429" s="154"/>
      <c r="K1429" s="150" t="str">
        <f>IF($E1429="","",INDEX(Input!$C$16:$CP$16,1,$B1429))</f>
        <v/>
      </c>
      <c r="L1429" s="150" t="str">
        <f>IF($E1429="","",Input!$C$37)</f>
        <v/>
      </c>
      <c r="M1429" s="150" t="str">
        <f t="shared" si="912"/>
        <v/>
      </c>
      <c r="N1429" s="150" t="str">
        <f t="shared" si="913"/>
        <v/>
      </c>
      <c r="O1429" s="147" t="str">
        <f>IF($E1429="","",MIN(VLOOKUP(IF($B1429&lt;=Input!$C$7,$B1429,26),'Mortality Tables'!$A$41:$CW$67,IF($B1429&lt;=Input!$C$7+1,Input!$C$4+2,$D1429-Input!$C$7+2),0)*IF(B1429&gt;20,Input!$C$22,1)/1000,1))</f>
        <v/>
      </c>
      <c r="P1429" s="147" t="str">
        <f>IF($E1429="","",MIN(VLOOKUP(IF($B1429&lt;=Input!$C$7,$B1429,26),'Mortality Tables'!$A$12:$CW$37,IF($B1429&lt;=Input!$C$7+1,Input!$C$4+2,$D1429-Input!$C$7+2),0)*IF(B1429&gt;20,Input!$C$22,1)/1000,1))</f>
        <v/>
      </c>
      <c r="Q1429" s="155" t="str">
        <f>IF($E1429="","",Input!$C$21)</f>
        <v/>
      </c>
      <c r="R1429" s="159" t="str">
        <f>IF($E1429="","",(1-Q1429)^($F1429-Input!$C$20))</f>
        <v/>
      </c>
      <c r="S1429" s="147" t="str">
        <f t="shared" si="901"/>
        <v/>
      </c>
      <c r="T1429" s="147" t="str">
        <f t="shared" si="902"/>
        <v/>
      </c>
      <c r="U1429" s="160" t="str">
        <f>IF($E1429="","",IF($C1429=12,INDEX(Input!$C$15:$CP$15,1,$B1429),0))</f>
        <v/>
      </c>
      <c r="V1429" s="150" t="str">
        <f>IF(E1429="","",IF(C1429=1,IF($B1429=1,Input!$C$33,Input!$C$34),0))</f>
        <v/>
      </c>
      <c r="W1429" s="156" t="str">
        <f>IF($E1429="","",Input!$C$35)</f>
        <v/>
      </c>
      <c r="X1429" s="156" t="str">
        <f t="shared" si="903"/>
        <v/>
      </c>
      <c r="Y1429" s="154"/>
      <c r="Z1429" s="147" t="str">
        <f>IF($E1429="","",VLOOKUP($D1429,'Mortality Margins &amp; Grading'!$AB$5:$AF$125,3,0)*IF(Summary!$D$25="Included Margin",IF(AND($B1429&gt;Input!$C$9,Summary!$D$31&lt;&gt;"Included Margin"),0,1),0))</f>
        <v/>
      </c>
      <c r="AA1429" s="147" t="str">
        <f>IF($E1429="","",VLOOKUP($D1429,'Mortality Margins &amp; Grading'!$AB$5:$AF$125,5,0)*IF(Summary!$D$25="Included Margin",IF(AND($B1429&gt;Input!$C$9,Summary!$D$31&lt;&gt;"Included Margin"),0,1),0))</f>
        <v/>
      </c>
      <c r="AB1429" s="147" t="str">
        <f>IF($E1429="","",IF(AND($B1429&gt;Input!$C$9,Summary!$D$31&lt;&gt;"Included Margin"),1,IF(Summary!$D$25="Included Margin",VLOOKUP($B1429,'Mortality Margins &amp; Grading'!$AI$5:$AR$125,MATCH('Mortality Margins &amp; Grading'!$AQ$4,'Mortality Margins &amp; Grading'!$AI$4:$AR$4,0),0),1)))</f>
        <v/>
      </c>
      <c r="AC1429" s="154"/>
      <c r="AD1429" s="158" t="str">
        <f>IF(E1429="","",Input!$C$48*IF(Summary!$D$30="Included Margin",IF(AND($B1429&gt;Input!$C$9,Summary!$D$31&lt;&gt;"Included Margin"),0,1),0))</f>
        <v/>
      </c>
      <c r="AE1429" s="159" t="str">
        <f>IF(E1429="","",IF(Summary!$D$26="Included Margin",IF(AND($B1429&gt;Input!$C$9,Summary!$D$31&lt;&gt;"Included Margin"),1,1/$R1429),1))</f>
        <v/>
      </c>
      <c r="AF1429" s="160" t="str">
        <f>IF(E1429="","",IF(AND($B1429&gt;=Input!$C$9,$C1429=12,Summary!$D$31="Included Margin",$U1429&gt;0),1/U1429-1,IF($B1429&gt;=Input!$C$9,0,Input!$C$45*IF(Summary!$D$27="Included Margin",1,0))))</f>
        <v/>
      </c>
      <c r="AG1429" s="160" t="str">
        <f>IF(E1429="","",Input!$C$46*IF(Summary!$D$28="Included Margin",IF(AND($B1429&gt;Input!$C$9,Summary!$D$31&lt;&gt;"Included Margin"),0,1),0))</f>
        <v/>
      </c>
      <c r="AH1429" s="158" t="str">
        <f>IF(E1429="","",Input!$C$47*IF(Summary!$D$29="Included Margin",IF(AND($B1429&gt;Input!$C$9,Summary!$D$31&lt;&gt;"Included Margin"),0,1),0))</f>
        <v/>
      </c>
      <c r="AI1429" s="154"/>
      <c r="AJ1429" s="158" t="str">
        <f t="shared" si="914"/>
        <v/>
      </c>
      <c r="AK1429" s="150" t="str">
        <f t="shared" si="915"/>
        <v/>
      </c>
      <c r="AL1429" s="147" t="str">
        <f t="shared" si="916"/>
        <v/>
      </c>
      <c r="AM1429" s="147" t="str">
        <f t="shared" si="904"/>
        <v/>
      </c>
      <c r="AN1429" s="160" t="str">
        <f t="shared" si="917"/>
        <v/>
      </c>
      <c r="AO1429" s="161" t="str">
        <f t="shared" si="918"/>
        <v/>
      </c>
      <c r="AP1429" s="156" t="str">
        <f t="shared" si="905"/>
        <v/>
      </c>
      <c r="AQ1429" s="152"/>
      <c r="AR1429" s="162" t="str">
        <f t="shared" si="906"/>
        <v/>
      </c>
      <c r="AS1429" s="150" t="str">
        <f t="shared" si="919"/>
        <v/>
      </c>
      <c r="AT1429" s="163" t="str">
        <f t="shared" si="907"/>
        <v/>
      </c>
      <c r="AU1429" s="163" t="str">
        <f t="shared" si="908"/>
        <v/>
      </c>
      <c r="AV1429" s="163" t="str">
        <f t="shared" si="920"/>
        <v/>
      </c>
      <c r="AW1429" s="163" t="str">
        <f t="shared" si="909"/>
        <v/>
      </c>
      <c r="AX1429" s="163" t="str">
        <f t="shared" si="910"/>
        <v/>
      </c>
      <c r="AY1429" s="150" t="str">
        <f t="shared" si="921"/>
        <v/>
      </c>
      <c r="AZ1429" s="150" t="str">
        <f>IF($E1429="","",IF(OR(AND($D1429=Input!$C$6,$C1429=12),$AN1429=1),0,-AS1430+AT1430+AU1430-AV1430-AW1430-AX1430+AZ1430))</f>
        <v/>
      </c>
      <c r="BA1429" s="154" t="str">
        <f t="shared" si="911"/>
        <v/>
      </c>
      <c r="BC1429" s="147" t="str">
        <f t="shared" si="922"/>
        <v/>
      </c>
      <c r="BD1429" s="164" t="str">
        <f>IF(AND($C1428=12,$D1428=Input!$C$6),0,IF($E1429="","",AT1429+(AU1429+BD1430)/(1+$AK1429)*MIN((1-AM1429-AN1429),1)))</f>
        <v/>
      </c>
      <c r="BH1429" s="152"/>
      <c r="BI1429" s="162" t="str">
        <f t="shared" si="895"/>
        <v/>
      </c>
      <c r="BJ1429" s="150" t="str">
        <f t="shared" si="896"/>
        <v/>
      </c>
      <c r="BK1429" s="163" t="str">
        <f t="shared" si="927"/>
        <v/>
      </c>
      <c r="BL1429" s="163" t="str">
        <f t="shared" si="897"/>
        <v/>
      </c>
      <c r="BM1429" s="163" t="str">
        <f t="shared" si="928"/>
        <v/>
      </c>
      <c r="BN1429" s="163" t="str">
        <f t="shared" si="898"/>
        <v/>
      </c>
      <c r="BO1429" s="163" t="str">
        <f t="shared" si="899"/>
        <v/>
      </c>
      <c r="BP1429" s="150" t="str">
        <f t="shared" si="929"/>
        <v/>
      </c>
      <c r="BQ1429" s="150" t="str">
        <f t="shared" si="923"/>
        <v/>
      </c>
      <c r="BR1429" s="154" t="str">
        <f t="shared" si="900"/>
        <v/>
      </c>
      <c r="BT1429" s="147"/>
    </row>
    <row r="1430" spans="1:72" s="150" customFormat="1" x14ac:dyDescent="0.25">
      <c r="A1430" s="150" t="str">
        <f t="shared" si="924"/>
        <v/>
      </c>
      <c r="B1430" s="150" t="str">
        <f t="shared" si="925"/>
        <v/>
      </c>
      <c r="C1430" s="150" t="str">
        <f t="shared" si="926"/>
        <v/>
      </c>
      <c r="D1430" s="150" t="str">
        <f>IF(E1430="","",Input!$C$4+B1430-1)</f>
        <v/>
      </c>
      <c r="E1430" s="150" t="str">
        <f>IF(OR(AND(C1429=12,D1429=Input!$C$6),E1429=""),"",1)</f>
        <v/>
      </c>
      <c r="G1430" s="151" t="str">
        <f>IF(E1430="","",MAX(0,Input!$C$9-B1430))</f>
        <v/>
      </c>
      <c r="H1430" s="152" t="str">
        <f>IF(E1430="","",Input!$C$3)</f>
        <v/>
      </c>
      <c r="I1430" s="153" t="str">
        <f>IF(E1430="","",HLOOKUP($B1430,Input!$C$13:$BT$14,2))</f>
        <v/>
      </c>
      <c r="J1430" s="154"/>
      <c r="K1430" s="150" t="str">
        <f>IF($E1430="","",INDEX(Input!$C$16:$CP$16,1,$B1430))</f>
        <v/>
      </c>
      <c r="L1430" s="150" t="str">
        <f>IF($E1430="","",Input!$C$37)</f>
        <v/>
      </c>
      <c r="M1430" s="150" t="str">
        <f t="shared" si="912"/>
        <v/>
      </c>
      <c r="N1430" s="150" t="str">
        <f t="shared" si="913"/>
        <v/>
      </c>
      <c r="O1430" s="147" t="str">
        <f>IF($E1430="","",MIN(VLOOKUP(IF($B1430&lt;=Input!$C$7,$B1430,26),'Mortality Tables'!$A$41:$CW$67,IF($B1430&lt;=Input!$C$7+1,Input!$C$4+2,$D1430-Input!$C$7+2),0)*IF(B1430&gt;20,Input!$C$22,1)/1000,1))</f>
        <v/>
      </c>
      <c r="P1430" s="147" t="str">
        <f>IF($E1430="","",MIN(VLOOKUP(IF($B1430&lt;=Input!$C$7,$B1430,26),'Mortality Tables'!$A$12:$CW$37,IF($B1430&lt;=Input!$C$7+1,Input!$C$4+2,$D1430-Input!$C$7+2),0)*IF(B1430&gt;20,Input!$C$22,1)/1000,1))</f>
        <v/>
      </c>
      <c r="Q1430" s="155" t="str">
        <f>IF($E1430="","",Input!$C$21)</f>
        <v/>
      </c>
      <c r="R1430" s="159" t="str">
        <f>IF($E1430="","",(1-Q1430)^($F1430-Input!$C$20))</f>
        <v/>
      </c>
      <c r="S1430" s="147" t="str">
        <f t="shared" si="901"/>
        <v/>
      </c>
      <c r="T1430" s="147" t="str">
        <f t="shared" si="902"/>
        <v/>
      </c>
      <c r="U1430" s="160" t="str">
        <f>IF($E1430="","",IF($C1430=12,INDEX(Input!$C$15:$CP$15,1,$B1430),0))</f>
        <v/>
      </c>
      <c r="V1430" s="150" t="str">
        <f>IF(E1430="","",IF(C1430=1,IF($B1430=1,Input!$C$33,Input!$C$34),0))</f>
        <v/>
      </c>
      <c r="W1430" s="156" t="str">
        <f>IF($E1430="","",Input!$C$35)</f>
        <v/>
      </c>
      <c r="X1430" s="156" t="str">
        <f t="shared" si="903"/>
        <v/>
      </c>
      <c r="Y1430" s="154"/>
      <c r="Z1430" s="147" t="str">
        <f>IF($E1430="","",VLOOKUP($D1430,'Mortality Margins &amp; Grading'!$AB$5:$AF$125,3,0)*IF(Summary!$D$25="Included Margin",IF(AND($B1430&gt;Input!$C$9,Summary!$D$31&lt;&gt;"Included Margin"),0,1),0))</f>
        <v/>
      </c>
      <c r="AA1430" s="147" t="str">
        <f>IF($E1430="","",VLOOKUP($D1430,'Mortality Margins &amp; Grading'!$AB$5:$AF$125,5,0)*IF(Summary!$D$25="Included Margin",IF(AND($B1430&gt;Input!$C$9,Summary!$D$31&lt;&gt;"Included Margin"),0,1),0))</f>
        <v/>
      </c>
      <c r="AB1430" s="147" t="str">
        <f>IF($E1430="","",IF(AND($B1430&gt;Input!$C$9,Summary!$D$31&lt;&gt;"Included Margin"),1,IF(Summary!$D$25="Included Margin",VLOOKUP($B1430,'Mortality Margins &amp; Grading'!$AI$5:$AR$125,MATCH('Mortality Margins &amp; Grading'!$AQ$4,'Mortality Margins &amp; Grading'!$AI$4:$AR$4,0),0),1)))</f>
        <v/>
      </c>
      <c r="AC1430" s="154"/>
      <c r="AD1430" s="158" t="str">
        <f>IF(E1430="","",Input!$C$48*IF(Summary!$D$30="Included Margin",IF(AND($B1430&gt;Input!$C$9,Summary!$D$31&lt;&gt;"Included Margin"),0,1),0))</f>
        <v/>
      </c>
      <c r="AE1430" s="159" t="str">
        <f>IF(E1430="","",IF(Summary!$D$26="Included Margin",IF(AND($B1430&gt;Input!$C$9,Summary!$D$31&lt;&gt;"Included Margin"),1,1/$R1430),1))</f>
        <v/>
      </c>
      <c r="AF1430" s="160" t="str">
        <f>IF(E1430="","",IF(AND($B1430&gt;=Input!$C$9,$C1430=12,Summary!$D$31="Included Margin",$U1430&gt;0),1/U1430-1,IF($B1430&gt;=Input!$C$9,0,Input!$C$45*IF(Summary!$D$27="Included Margin",1,0))))</f>
        <v/>
      </c>
      <c r="AG1430" s="160" t="str">
        <f>IF(E1430="","",Input!$C$46*IF(Summary!$D$28="Included Margin",IF(AND($B1430&gt;Input!$C$9,Summary!$D$31&lt;&gt;"Included Margin"),0,1),0))</f>
        <v/>
      </c>
      <c r="AH1430" s="158" t="str">
        <f>IF(E1430="","",Input!$C$47*IF(Summary!$D$29="Included Margin",IF(AND($B1430&gt;Input!$C$9,Summary!$D$31&lt;&gt;"Included Margin"),0,1),0))</f>
        <v/>
      </c>
      <c r="AI1430" s="154"/>
      <c r="AJ1430" s="158" t="str">
        <f t="shared" si="914"/>
        <v/>
      </c>
      <c r="AK1430" s="150" t="str">
        <f t="shared" si="915"/>
        <v/>
      </c>
      <c r="AL1430" s="147" t="str">
        <f t="shared" si="916"/>
        <v/>
      </c>
      <c r="AM1430" s="147" t="str">
        <f t="shared" si="904"/>
        <v/>
      </c>
      <c r="AN1430" s="160" t="str">
        <f t="shared" si="917"/>
        <v/>
      </c>
      <c r="AO1430" s="161" t="str">
        <f t="shared" si="918"/>
        <v/>
      </c>
      <c r="AP1430" s="156" t="str">
        <f t="shared" si="905"/>
        <v/>
      </c>
      <c r="AQ1430" s="152"/>
      <c r="AR1430" s="162" t="str">
        <f t="shared" si="906"/>
        <v/>
      </c>
      <c r="AS1430" s="150" t="str">
        <f t="shared" si="919"/>
        <v/>
      </c>
      <c r="AT1430" s="163" t="str">
        <f t="shared" si="907"/>
        <v/>
      </c>
      <c r="AU1430" s="163" t="str">
        <f t="shared" si="908"/>
        <v/>
      </c>
      <c r="AV1430" s="163" t="str">
        <f t="shared" si="920"/>
        <v/>
      </c>
      <c r="AW1430" s="163" t="str">
        <f t="shared" si="909"/>
        <v/>
      </c>
      <c r="AX1430" s="163" t="str">
        <f t="shared" si="910"/>
        <v/>
      </c>
      <c r="AY1430" s="150" t="str">
        <f t="shared" si="921"/>
        <v/>
      </c>
      <c r="AZ1430" s="150" t="str">
        <f>IF($E1430="","",IF(OR(AND($D1430=Input!$C$6,$C1430=12),$AN1430=1),0,-AS1431+AT1431+AU1431-AV1431-AW1431-AX1431+AZ1431))</f>
        <v/>
      </c>
      <c r="BA1430" s="154" t="str">
        <f t="shared" si="911"/>
        <v/>
      </c>
      <c r="BC1430" s="147" t="str">
        <f t="shared" si="922"/>
        <v/>
      </c>
      <c r="BD1430" s="164" t="str">
        <f>IF(AND($C1429=12,$D1429=Input!$C$6),0,IF($E1430="","",AT1430+(AU1430+BD1431)/(1+$AK1430)*MIN((1-AM1430-AN1430),1)))</f>
        <v/>
      </c>
      <c r="BH1430" s="152"/>
      <c r="BI1430" s="162" t="str">
        <f t="shared" ref="BI1430:BI1444" si="930">IF($E1430="","",(BQ1430*(1-$U1430)*(1-$T1430)/(1+$N1430)+BL1430/(1+$N1430/2)-BJ1430+BK1430))</f>
        <v/>
      </c>
      <c r="BJ1430" s="150" t="str">
        <f t="shared" ref="BJ1430:BJ1444" si="931">IF($E1430="","",AS1430)</f>
        <v/>
      </c>
      <c r="BK1430" s="163" t="str">
        <f t="shared" si="927"/>
        <v/>
      </c>
      <c r="BL1430" s="163" t="str">
        <f t="shared" ref="BL1430:BL1444" si="932">IF(E1430="","",$T1430*$H1430)</f>
        <v/>
      </c>
      <c r="BM1430" s="163" t="str">
        <f t="shared" si="928"/>
        <v/>
      </c>
      <c r="BN1430" s="163" t="str">
        <f t="shared" ref="BN1430:BN1444" si="933">IF($E1430="","",BQ1430*$T1430)</f>
        <v/>
      </c>
      <c r="BO1430" s="163" t="str">
        <f t="shared" ref="BO1430:BO1444" si="934">IF($E1430="","",$U1430*BQ1430*(1-$T1430))</f>
        <v/>
      </c>
      <c r="BP1430" s="150" t="str">
        <f t="shared" si="929"/>
        <v/>
      </c>
      <c r="BQ1430" s="150" t="str">
        <f t="shared" si="923"/>
        <v/>
      </c>
      <c r="BR1430" s="154" t="str">
        <f t="shared" ref="BR1430:BR1444" si="935">IF(E1430="","",BQ1430-BP1430)</f>
        <v/>
      </c>
      <c r="BT1430" s="147"/>
    </row>
    <row r="1431" spans="1:72" s="150" customFormat="1" x14ac:dyDescent="0.25">
      <c r="A1431" s="150" t="str">
        <f t="shared" si="924"/>
        <v/>
      </c>
      <c r="B1431" s="150" t="str">
        <f t="shared" si="925"/>
        <v/>
      </c>
      <c r="C1431" s="150" t="str">
        <f t="shared" si="926"/>
        <v/>
      </c>
      <c r="D1431" s="150" t="str">
        <f>IF(E1431="","",Input!$C$4+B1431-1)</f>
        <v/>
      </c>
      <c r="E1431" s="150" t="str">
        <f>IF(OR(AND(C1430=12,D1430=Input!$C$6),E1430=""),"",1)</f>
        <v/>
      </c>
      <c r="G1431" s="151" t="str">
        <f>IF(E1431="","",MAX(0,Input!$C$9-B1431))</f>
        <v/>
      </c>
      <c r="H1431" s="152" t="str">
        <f>IF(E1431="","",Input!$C$3)</f>
        <v/>
      </c>
      <c r="I1431" s="153" t="str">
        <f>IF(E1431="","",HLOOKUP($B1431,Input!$C$13:$BT$14,2))</f>
        <v/>
      </c>
      <c r="J1431" s="154"/>
      <c r="K1431" s="150" t="str">
        <f>IF($E1431="","",INDEX(Input!$C$16:$CP$16,1,$B1431))</f>
        <v/>
      </c>
      <c r="L1431" s="150" t="str">
        <f>IF($E1431="","",Input!$C$37)</f>
        <v/>
      </c>
      <c r="M1431" s="150" t="str">
        <f t="shared" si="912"/>
        <v/>
      </c>
      <c r="N1431" s="150" t="str">
        <f t="shared" si="913"/>
        <v/>
      </c>
      <c r="O1431" s="147" t="str">
        <f>IF($E1431="","",MIN(VLOOKUP(IF($B1431&lt;=Input!$C$7,$B1431,26),'Mortality Tables'!$A$41:$CW$67,IF($B1431&lt;=Input!$C$7+1,Input!$C$4+2,$D1431-Input!$C$7+2),0)*IF(B1431&gt;20,Input!$C$22,1)/1000,1))</f>
        <v/>
      </c>
      <c r="P1431" s="147" t="str">
        <f>IF($E1431="","",MIN(VLOOKUP(IF($B1431&lt;=Input!$C$7,$B1431,26),'Mortality Tables'!$A$12:$CW$37,IF($B1431&lt;=Input!$C$7+1,Input!$C$4+2,$D1431-Input!$C$7+2),0)*IF(B1431&gt;20,Input!$C$22,1)/1000,1))</f>
        <v/>
      </c>
      <c r="Q1431" s="155" t="str">
        <f>IF($E1431="","",Input!$C$21)</f>
        <v/>
      </c>
      <c r="R1431" s="159" t="str">
        <f>IF($E1431="","",(1-Q1431)^($F1431-Input!$C$20))</f>
        <v/>
      </c>
      <c r="S1431" s="147" t="str">
        <f t="shared" si="901"/>
        <v/>
      </c>
      <c r="T1431" s="147" t="str">
        <f t="shared" si="902"/>
        <v/>
      </c>
      <c r="U1431" s="160" t="str">
        <f>IF($E1431="","",IF($C1431=12,INDEX(Input!$C$15:$CP$15,1,$B1431),0))</f>
        <v/>
      </c>
      <c r="V1431" s="150" t="str">
        <f>IF(E1431="","",IF(C1431=1,IF($B1431=1,Input!$C$33,Input!$C$34),0))</f>
        <v/>
      </c>
      <c r="W1431" s="156" t="str">
        <f>IF($E1431="","",Input!$C$35)</f>
        <v/>
      </c>
      <c r="X1431" s="156" t="str">
        <f t="shared" si="903"/>
        <v/>
      </c>
      <c r="Y1431" s="154"/>
      <c r="Z1431" s="147" t="str">
        <f>IF($E1431="","",VLOOKUP($D1431,'Mortality Margins &amp; Grading'!$AB$5:$AF$125,3,0)*IF(Summary!$D$25="Included Margin",IF(AND($B1431&gt;Input!$C$9,Summary!$D$31&lt;&gt;"Included Margin"),0,1),0))</f>
        <v/>
      </c>
      <c r="AA1431" s="147" t="str">
        <f>IF($E1431="","",VLOOKUP($D1431,'Mortality Margins &amp; Grading'!$AB$5:$AF$125,5,0)*IF(Summary!$D$25="Included Margin",IF(AND($B1431&gt;Input!$C$9,Summary!$D$31&lt;&gt;"Included Margin"),0,1),0))</f>
        <v/>
      </c>
      <c r="AB1431" s="147" t="str">
        <f>IF($E1431="","",IF(AND($B1431&gt;Input!$C$9,Summary!$D$31&lt;&gt;"Included Margin"),1,IF(Summary!$D$25="Included Margin",VLOOKUP($B1431,'Mortality Margins &amp; Grading'!$AI$5:$AR$125,MATCH('Mortality Margins &amp; Grading'!$AQ$4,'Mortality Margins &amp; Grading'!$AI$4:$AR$4,0),0),1)))</f>
        <v/>
      </c>
      <c r="AC1431" s="154"/>
      <c r="AD1431" s="158" t="str">
        <f>IF(E1431="","",Input!$C$48*IF(Summary!$D$30="Included Margin",IF(AND($B1431&gt;Input!$C$9,Summary!$D$31&lt;&gt;"Included Margin"),0,1),0))</f>
        <v/>
      </c>
      <c r="AE1431" s="159" t="str">
        <f>IF(E1431="","",IF(Summary!$D$26="Included Margin",IF(AND($B1431&gt;Input!$C$9,Summary!$D$31&lt;&gt;"Included Margin"),1,1/$R1431),1))</f>
        <v/>
      </c>
      <c r="AF1431" s="160" t="str">
        <f>IF(E1431="","",IF(AND($B1431&gt;=Input!$C$9,$C1431=12,Summary!$D$31="Included Margin",$U1431&gt;0),1/U1431-1,IF($B1431&gt;=Input!$C$9,0,Input!$C$45*IF(Summary!$D$27="Included Margin",1,0))))</f>
        <v/>
      </c>
      <c r="AG1431" s="160" t="str">
        <f>IF(E1431="","",Input!$C$46*IF(Summary!$D$28="Included Margin",IF(AND($B1431&gt;Input!$C$9,Summary!$D$31&lt;&gt;"Included Margin"),0,1),0))</f>
        <v/>
      </c>
      <c r="AH1431" s="158" t="str">
        <f>IF(E1431="","",Input!$C$47*IF(Summary!$D$29="Included Margin",IF(AND($B1431&gt;Input!$C$9,Summary!$D$31&lt;&gt;"Included Margin"),0,1),0))</f>
        <v/>
      </c>
      <c r="AI1431" s="154"/>
      <c r="AJ1431" s="158" t="str">
        <f t="shared" si="914"/>
        <v/>
      </c>
      <c r="AK1431" s="150" t="str">
        <f t="shared" si="915"/>
        <v/>
      </c>
      <c r="AL1431" s="147" t="str">
        <f t="shared" si="916"/>
        <v/>
      </c>
      <c r="AM1431" s="147" t="str">
        <f t="shared" si="904"/>
        <v/>
      </c>
      <c r="AN1431" s="160" t="str">
        <f t="shared" si="917"/>
        <v/>
      </c>
      <c r="AO1431" s="161" t="str">
        <f t="shared" si="918"/>
        <v/>
      </c>
      <c r="AP1431" s="156" t="str">
        <f t="shared" si="905"/>
        <v/>
      </c>
      <c r="AQ1431" s="152"/>
      <c r="AR1431" s="162" t="str">
        <f t="shared" si="906"/>
        <v/>
      </c>
      <c r="AS1431" s="150" t="str">
        <f t="shared" si="919"/>
        <v/>
      </c>
      <c r="AT1431" s="163" t="str">
        <f t="shared" si="907"/>
        <v/>
      </c>
      <c r="AU1431" s="163" t="str">
        <f t="shared" si="908"/>
        <v/>
      </c>
      <c r="AV1431" s="163" t="str">
        <f t="shared" si="920"/>
        <v/>
      </c>
      <c r="AW1431" s="163" t="str">
        <f t="shared" si="909"/>
        <v/>
      </c>
      <c r="AX1431" s="163" t="str">
        <f t="shared" si="910"/>
        <v/>
      </c>
      <c r="AY1431" s="150" t="str">
        <f t="shared" si="921"/>
        <v/>
      </c>
      <c r="AZ1431" s="150" t="str">
        <f>IF($E1431="","",IF(OR(AND($D1431=Input!$C$6,$C1431=12),$AN1431=1),0,-AS1432+AT1432+AU1432-AV1432-AW1432-AX1432+AZ1432))</f>
        <v/>
      </c>
      <c r="BA1431" s="154" t="str">
        <f t="shared" si="911"/>
        <v/>
      </c>
      <c r="BC1431" s="147" t="str">
        <f t="shared" si="922"/>
        <v/>
      </c>
      <c r="BD1431" s="164" t="str">
        <f>IF(AND($C1430=12,$D1430=Input!$C$6),0,IF($E1431="","",AT1431+(AU1431+BD1432)/(1+$AK1431)*MIN((1-AM1431-AN1431),1)))</f>
        <v/>
      </c>
      <c r="BH1431" s="152"/>
      <c r="BI1431" s="162" t="str">
        <f t="shared" si="930"/>
        <v/>
      </c>
      <c r="BJ1431" s="150" t="str">
        <f t="shared" si="931"/>
        <v/>
      </c>
      <c r="BK1431" s="163" t="str">
        <f t="shared" si="927"/>
        <v/>
      </c>
      <c r="BL1431" s="163" t="str">
        <f t="shared" si="932"/>
        <v/>
      </c>
      <c r="BM1431" s="163" t="str">
        <f t="shared" si="928"/>
        <v/>
      </c>
      <c r="BN1431" s="163" t="str">
        <f t="shared" si="933"/>
        <v/>
      </c>
      <c r="BO1431" s="163" t="str">
        <f t="shared" si="934"/>
        <v/>
      </c>
      <c r="BP1431" s="150" t="str">
        <f t="shared" si="929"/>
        <v/>
      </c>
      <c r="BQ1431" s="150" t="str">
        <f t="shared" si="923"/>
        <v/>
      </c>
      <c r="BR1431" s="154" t="str">
        <f t="shared" si="935"/>
        <v/>
      </c>
      <c r="BT1431" s="147"/>
    </row>
    <row r="1432" spans="1:72" s="150" customFormat="1" x14ac:dyDescent="0.25">
      <c r="A1432" s="150" t="str">
        <f t="shared" si="924"/>
        <v/>
      </c>
      <c r="B1432" s="150" t="str">
        <f t="shared" si="925"/>
        <v/>
      </c>
      <c r="C1432" s="150" t="str">
        <f t="shared" si="926"/>
        <v/>
      </c>
      <c r="D1432" s="150" t="str">
        <f>IF(E1432="","",Input!$C$4+B1432-1)</f>
        <v/>
      </c>
      <c r="E1432" s="150" t="str">
        <f>IF(OR(AND(C1431=12,D1431=Input!$C$6),E1431=""),"",1)</f>
        <v/>
      </c>
      <c r="G1432" s="151" t="str">
        <f>IF(E1432="","",MAX(0,Input!$C$9-B1432))</f>
        <v/>
      </c>
      <c r="H1432" s="152" t="str">
        <f>IF(E1432="","",Input!$C$3)</f>
        <v/>
      </c>
      <c r="I1432" s="153" t="str">
        <f>IF(E1432="","",HLOOKUP($B1432,Input!$C$13:$BT$14,2))</f>
        <v/>
      </c>
      <c r="J1432" s="154"/>
      <c r="K1432" s="150" t="str">
        <f>IF($E1432="","",INDEX(Input!$C$16:$CP$16,1,$B1432))</f>
        <v/>
      </c>
      <c r="L1432" s="150" t="str">
        <f>IF($E1432="","",Input!$C$37)</f>
        <v/>
      </c>
      <c r="M1432" s="150" t="str">
        <f t="shared" si="912"/>
        <v/>
      </c>
      <c r="N1432" s="150" t="str">
        <f t="shared" si="913"/>
        <v/>
      </c>
      <c r="O1432" s="147" t="str">
        <f>IF($E1432="","",MIN(VLOOKUP(IF($B1432&lt;=Input!$C$7,$B1432,26),'Mortality Tables'!$A$41:$CW$67,IF($B1432&lt;=Input!$C$7+1,Input!$C$4+2,$D1432-Input!$C$7+2),0)*IF(B1432&gt;20,Input!$C$22,1)/1000,1))</f>
        <v/>
      </c>
      <c r="P1432" s="147" t="str">
        <f>IF($E1432="","",MIN(VLOOKUP(IF($B1432&lt;=Input!$C$7,$B1432,26),'Mortality Tables'!$A$12:$CW$37,IF($B1432&lt;=Input!$C$7+1,Input!$C$4+2,$D1432-Input!$C$7+2),0)*IF(B1432&gt;20,Input!$C$22,1)/1000,1))</f>
        <v/>
      </c>
      <c r="Q1432" s="155" t="str">
        <f>IF($E1432="","",Input!$C$21)</f>
        <v/>
      </c>
      <c r="R1432" s="159" t="str">
        <f>IF($E1432="","",(1-Q1432)^($F1432-Input!$C$20))</f>
        <v/>
      </c>
      <c r="S1432" s="147" t="str">
        <f t="shared" si="901"/>
        <v/>
      </c>
      <c r="T1432" s="147" t="str">
        <f t="shared" si="902"/>
        <v/>
      </c>
      <c r="U1432" s="160" t="str">
        <f>IF($E1432="","",IF($C1432=12,INDEX(Input!$C$15:$CP$15,1,$B1432),0))</f>
        <v/>
      </c>
      <c r="V1432" s="150" t="str">
        <f>IF(E1432="","",IF(C1432=1,IF($B1432=1,Input!$C$33,Input!$C$34),0))</f>
        <v/>
      </c>
      <c r="W1432" s="156" t="str">
        <f>IF($E1432="","",Input!$C$35)</f>
        <v/>
      </c>
      <c r="X1432" s="156" t="str">
        <f t="shared" si="903"/>
        <v/>
      </c>
      <c r="Y1432" s="154"/>
      <c r="Z1432" s="147" t="str">
        <f>IF($E1432="","",VLOOKUP($D1432,'Mortality Margins &amp; Grading'!$AB$5:$AF$125,3,0)*IF(Summary!$D$25="Included Margin",IF(AND($B1432&gt;Input!$C$9,Summary!$D$31&lt;&gt;"Included Margin"),0,1),0))</f>
        <v/>
      </c>
      <c r="AA1432" s="147" t="str">
        <f>IF($E1432="","",VLOOKUP($D1432,'Mortality Margins &amp; Grading'!$AB$5:$AF$125,5,0)*IF(Summary!$D$25="Included Margin",IF(AND($B1432&gt;Input!$C$9,Summary!$D$31&lt;&gt;"Included Margin"),0,1),0))</f>
        <v/>
      </c>
      <c r="AB1432" s="147" t="str">
        <f>IF($E1432="","",IF(AND($B1432&gt;Input!$C$9,Summary!$D$31&lt;&gt;"Included Margin"),1,IF(Summary!$D$25="Included Margin",VLOOKUP($B1432,'Mortality Margins &amp; Grading'!$AI$5:$AR$125,MATCH('Mortality Margins &amp; Grading'!$AQ$4,'Mortality Margins &amp; Grading'!$AI$4:$AR$4,0),0),1)))</f>
        <v/>
      </c>
      <c r="AC1432" s="154"/>
      <c r="AD1432" s="158" t="str">
        <f>IF(E1432="","",Input!$C$48*IF(Summary!$D$30="Included Margin",IF(AND($B1432&gt;Input!$C$9,Summary!$D$31&lt;&gt;"Included Margin"),0,1),0))</f>
        <v/>
      </c>
      <c r="AE1432" s="159" t="str">
        <f>IF(E1432="","",IF(Summary!$D$26="Included Margin",IF(AND($B1432&gt;Input!$C$9,Summary!$D$31&lt;&gt;"Included Margin"),1,1/$R1432),1))</f>
        <v/>
      </c>
      <c r="AF1432" s="160" t="str">
        <f>IF(E1432="","",IF(AND($B1432&gt;=Input!$C$9,$C1432=12,Summary!$D$31="Included Margin",$U1432&gt;0),1/U1432-1,IF($B1432&gt;=Input!$C$9,0,Input!$C$45*IF(Summary!$D$27="Included Margin",1,0))))</f>
        <v/>
      </c>
      <c r="AG1432" s="160" t="str">
        <f>IF(E1432="","",Input!$C$46*IF(Summary!$D$28="Included Margin",IF(AND($B1432&gt;Input!$C$9,Summary!$D$31&lt;&gt;"Included Margin"),0,1),0))</f>
        <v/>
      </c>
      <c r="AH1432" s="158" t="str">
        <f>IF(E1432="","",Input!$C$47*IF(Summary!$D$29="Included Margin",IF(AND($B1432&gt;Input!$C$9,Summary!$D$31&lt;&gt;"Included Margin"),0,1),0))</f>
        <v/>
      </c>
      <c r="AI1432" s="154"/>
      <c r="AJ1432" s="158" t="str">
        <f t="shared" si="914"/>
        <v/>
      </c>
      <c r="AK1432" s="150" t="str">
        <f t="shared" si="915"/>
        <v/>
      </c>
      <c r="AL1432" s="147" t="str">
        <f t="shared" si="916"/>
        <v/>
      </c>
      <c r="AM1432" s="147" t="str">
        <f t="shared" si="904"/>
        <v/>
      </c>
      <c r="AN1432" s="160" t="str">
        <f t="shared" si="917"/>
        <v/>
      </c>
      <c r="AO1432" s="161" t="str">
        <f t="shared" si="918"/>
        <v/>
      </c>
      <c r="AP1432" s="156" t="str">
        <f t="shared" si="905"/>
        <v/>
      </c>
      <c r="AQ1432" s="152"/>
      <c r="AR1432" s="162" t="str">
        <f t="shared" si="906"/>
        <v/>
      </c>
      <c r="AS1432" s="150" t="str">
        <f t="shared" si="919"/>
        <v/>
      </c>
      <c r="AT1432" s="163" t="str">
        <f t="shared" si="907"/>
        <v/>
      </c>
      <c r="AU1432" s="163" t="str">
        <f t="shared" si="908"/>
        <v/>
      </c>
      <c r="AV1432" s="163" t="str">
        <f t="shared" si="920"/>
        <v/>
      </c>
      <c r="AW1432" s="163" t="str">
        <f t="shared" si="909"/>
        <v/>
      </c>
      <c r="AX1432" s="163" t="str">
        <f t="shared" si="910"/>
        <v/>
      </c>
      <c r="AY1432" s="150" t="str">
        <f t="shared" si="921"/>
        <v/>
      </c>
      <c r="AZ1432" s="150" t="str">
        <f>IF($E1432="","",IF(OR(AND($D1432=Input!$C$6,$C1432=12),$AN1432=1),0,-AS1433+AT1433+AU1433-AV1433-AW1433-AX1433+AZ1433))</f>
        <v/>
      </c>
      <c r="BA1432" s="154" t="str">
        <f t="shared" si="911"/>
        <v/>
      </c>
      <c r="BC1432" s="147" t="str">
        <f t="shared" si="922"/>
        <v/>
      </c>
      <c r="BD1432" s="164" t="str">
        <f>IF(AND($C1431=12,$D1431=Input!$C$6),0,IF($E1432="","",AT1432+(AU1432+BD1433)/(1+$AK1432)*MIN((1-AM1432-AN1432),1)))</f>
        <v/>
      </c>
      <c r="BH1432" s="152"/>
      <c r="BI1432" s="162" t="str">
        <f t="shared" si="930"/>
        <v/>
      </c>
      <c r="BJ1432" s="150" t="str">
        <f t="shared" si="931"/>
        <v/>
      </c>
      <c r="BK1432" s="163" t="str">
        <f t="shared" si="927"/>
        <v/>
      </c>
      <c r="BL1432" s="163" t="str">
        <f t="shared" si="932"/>
        <v/>
      </c>
      <c r="BM1432" s="163" t="str">
        <f t="shared" si="928"/>
        <v/>
      </c>
      <c r="BN1432" s="163" t="str">
        <f t="shared" si="933"/>
        <v/>
      </c>
      <c r="BO1432" s="163" t="str">
        <f t="shared" si="934"/>
        <v/>
      </c>
      <c r="BP1432" s="150" t="str">
        <f t="shared" si="929"/>
        <v/>
      </c>
      <c r="BQ1432" s="150" t="str">
        <f t="shared" si="923"/>
        <v/>
      </c>
      <c r="BR1432" s="154" t="str">
        <f t="shared" si="935"/>
        <v/>
      </c>
      <c r="BT1432" s="147"/>
    </row>
    <row r="1433" spans="1:72" s="150" customFormat="1" x14ac:dyDescent="0.25">
      <c r="A1433" s="150" t="str">
        <f t="shared" si="924"/>
        <v/>
      </c>
      <c r="B1433" s="150" t="str">
        <f t="shared" si="925"/>
        <v/>
      </c>
      <c r="C1433" s="150" t="str">
        <f t="shared" si="926"/>
        <v/>
      </c>
      <c r="D1433" s="150" t="str">
        <f>IF(E1433="","",Input!$C$4+B1433-1)</f>
        <v/>
      </c>
      <c r="E1433" s="150" t="str">
        <f>IF(OR(AND(C1432=12,D1432=Input!$C$6),E1432=""),"",1)</f>
        <v/>
      </c>
      <c r="G1433" s="151" t="str">
        <f>IF(E1433="","",MAX(0,Input!$C$9-B1433))</f>
        <v/>
      </c>
      <c r="H1433" s="152" t="str">
        <f>IF(E1433="","",Input!$C$3)</f>
        <v/>
      </c>
      <c r="I1433" s="153" t="str">
        <f>IF(E1433="","",HLOOKUP($B1433,Input!$C$13:$BT$14,2))</f>
        <v/>
      </c>
      <c r="J1433" s="154"/>
      <c r="K1433" s="150" t="str">
        <f>IF($E1433="","",INDEX(Input!$C$16:$CP$16,1,$B1433))</f>
        <v/>
      </c>
      <c r="L1433" s="150" t="str">
        <f>IF($E1433="","",Input!$C$37)</f>
        <v/>
      </c>
      <c r="M1433" s="150" t="str">
        <f t="shared" si="912"/>
        <v/>
      </c>
      <c r="N1433" s="150" t="str">
        <f t="shared" si="913"/>
        <v/>
      </c>
      <c r="O1433" s="147" t="str">
        <f>IF($E1433="","",MIN(VLOOKUP(IF($B1433&lt;=Input!$C$7,$B1433,26),'Mortality Tables'!$A$41:$CW$67,IF($B1433&lt;=Input!$C$7+1,Input!$C$4+2,$D1433-Input!$C$7+2),0)*IF(B1433&gt;20,Input!$C$22,1)/1000,1))</f>
        <v/>
      </c>
      <c r="P1433" s="147" t="str">
        <f>IF($E1433="","",MIN(VLOOKUP(IF($B1433&lt;=Input!$C$7,$B1433,26),'Mortality Tables'!$A$12:$CW$37,IF($B1433&lt;=Input!$C$7+1,Input!$C$4+2,$D1433-Input!$C$7+2),0)*IF(B1433&gt;20,Input!$C$22,1)/1000,1))</f>
        <v/>
      </c>
      <c r="Q1433" s="155" t="str">
        <f>IF($E1433="","",Input!$C$21)</f>
        <v/>
      </c>
      <c r="R1433" s="159" t="str">
        <f>IF($E1433="","",(1-Q1433)^($F1433-Input!$C$20))</f>
        <v/>
      </c>
      <c r="S1433" s="147" t="str">
        <f t="shared" si="901"/>
        <v/>
      </c>
      <c r="T1433" s="147" t="str">
        <f t="shared" si="902"/>
        <v/>
      </c>
      <c r="U1433" s="160" t="str">
        <f>IF($E1433="","",IF($C1433=12,INDEX(Input!$C$15:$CP$15,1,$B1433),0))</f>
        <v/>
      </c>
      <c r="V1433" s="150" t="str">
        <f>IF(E1433="","",IF(C1433=1,IF($B1433=1,Input!$C$33,Input!$C$34),0))</f>
        <v/>
      </c>
      <c r="W1433" s="156" t="str">
        <f>IF($E1433="","",Input!$C$35)</f>
        <v/>
      </c>
      <c r="X1433" s="156" t="str">
        <f t="shared" si="903"/>
        <v/>
      </c>
      <c r="Y1433" s="154"/>
      <c r="Z1433" s="147" t="str">
        <f>IF($E1433="","",VLOOKUP($D1433,'Mortality Margins &amp; Grading'!$AB$5:$AF$125,3,0)*IF(Summary!$D$25="Included Margin",IF(AND($B1433&gt;Input!$C$9,Summary!$D$31&lt;&gt;"Included Margin"),0,1),0))</f>
        <v/>
      </c>
      <c r="AA1433" s="147" t="str">
        <f>IF($E1433="","",VLOOKUP($D1433,'Mortality Margins &amp; Grading'!$AB$5:$AF$125,5,0)*IF(Summary!$D$25="Included Margin",IF(AND($B1433&gt;Input!$C$9,Summary!$D$31&lt;&gt;"Included Margin"),0,1),0))</f>
        <v/>
      </c>
      <c r="AB1433" s="147" t="str">
        <f>IF($E1433="","",IF(AND($B1433&gt;Input!$C$9,Summary!$D$31&lt;&gt;"Included Margin"),1,IF(Summary!$D$25="Included Margin",VLOOKUP($B1433,'Mortality Margins &amp; Grading'!$AI$5:$AR$125,MATCH('Mortality Margins &amp; Grading'!$AQ$4,'Mortality Margins &amp; Grading'!$AI$4:$AR$4,0),0),1)))</f>
        <v/>
      </c>
      <c r="AC1433" s="154"/>
      <c r="AD1433" s="158" t="str">
        <f>IF(E1433="","",Input!$C$48*IF(Summary!$D$30="Included Margin",IF(AND($B1433&gt;Input!$C$9,Summary!$D$31&lt;&gt;"Included Margin"),0,1),0))</f>
        <v/>
      </c>
      <c r="AE1433" s="159" t="str">
        <f>IF(E1433="","",IF(Summary!$D$26="Included Margin",IF(AND($B1433&gt;Input!$C$9,Summary!$D$31&lt;&gt;"Included Margin"),1,1/$R1433),1))</f>
        <v/>
      </c>
      <c r="AF1433" s="160" t="str">
        <f>IF(E1433="","",IF(AND($B1433&gt;=Input!$C$9,$C1433=12,Summary!$D$31="Included Margin",$U1433&gt;0),1/U1433-1,IF($B1433&gt;=Input!$C$9,0,Input!$C$45*IF(Summary!$D$27="Included Margin",1,0))))</f>
        <v/>
      </c>
      <c r="AG1433" s="160" t="str">
        <f>IF(E1433="","",Input!$C$46*IF(Summary!$D$28="Included Margin",IF(AND($B1433&gt;Input!$C$9,Summary!$D$31&lt;&gt;"Included Margin"),0,1),0))</f>
        <v/>
      </c>
      <c r="AH1433" s="158" t="str">
        <f>IF(E1433="","",Input!$C$47*IF(Summary!$D$29="Included Margin",IF(AND($B1433&gt;Input!$C$9,Summary!$D$31&lt;&gt;"Included Margin"),0,1),0))</f>
        <v/>
      </c>
      <c r="AI1433" s="154"/>
      <c r="AJ1433" s="158" t="str">
        <f t="shared" si="914"/>
        <v/>
      </c>
      <c r="AK1433" s="150" t="str">
        <f t="shared" si="915"/>
        <v/>
      </c>
      <c r="AL1433" s="147" t="str">
        <f t="shared" si="916"/>
        <v/>
      </c>
      <c r="AM1433" s="147" t="str">
        <f t="shared" si="904"/>
        <v/>
      </c>
      <c r="AN1433" s="160" t="str">
        <f t="shared" si="917"/>
        <v/>
      </c>
      <c r="AO1433" s="161" t="str">
        <f t="shared" si="918"/>
        <v/>
      </c>
      <c r="AP1433" s="156" t="str">
        <f t="shared" si="905"/>
        <v/>
      </c>
      <c r="AQ1433" s="152"/>
      <c r="AR1433" s="162" t="str">
        <f t="shared" si="906"/>
        <v/>
      </c>
      <c r="AS1433" s="150" t="str">
        <f t="shared" si="919"/>
        <v/>
      </c>
      <c r="AT1433" s="163" t="str">
        <f t="shared" si="907"/>
        <v/>
      </c>
      <c r="AU1433" s="163" t="str">
        <f t="shared" si="908"/>
        <v/>
      </c>
      <c r="AV1433" s="163" t="str">
        <f t="shared" si="920"/>
        <v/>
      </c>
      <c r="AW1433" s="163" t="str">
        <f t="shared" si="909"/>
        <v/>
      </c>
      <c r="AX1433" s="163" t="str">
        <f t="shared" si="910"/>
        <v/>
      </c>
      <c r="AY1433" s="150" t="str">
        <f t="shared" si="921"/>
        <v/>
      </c>
      <c r="AZ1433" s="150" t="str">
        <f>IF($E1433="","",IF(OR(AND($D1433=Input!$C$6,$C1433=12),$AN1433=1),0,-AS1434+AT1434+AU1434-AV1434-AW1434-AX1434+AZ1434))</f>
        <v/>
      </c>
      <c r="BA1433" s="154" t="str">
        <f t="shared" si="911"/>
        <v/>
      </c>
      <c r="BC1433" s="147" t="str">
        <f t="shared" si="922"/>
        <v/>
      </c>
      <c r="BD1433" s="164" t="str">
        <f>IF(AND($C1432=12,$D1432=Input!$C$6),0,IF($E1433="","",AT1433+(AU1433+BD1434)/(1+$AK1433)*MIN((1-AM1433-AN1433),1)))</f>
        <v/>
      </c>
      <c r="BH1433" s="152"/>
      <c r="BI1433" s="162" t="str">
        <f t="shared" si="930"/>
        <v/>
      </c>
      <c r="BJ1433" s="150" t="str">
        <f t="shared" si="931"/>
        <v/>
      </c>
      <c r="BK1433" s="163" t="str">
        <f t="shared" si="927"/>
        <v/>
      </c>
      <c r="BL1433" s="163" t="str">
        <f t="shared" si="932"/>
        <v/>
      </c>
      <c r="BM1433" s="163" t="str">
        <f t="shared" si="928"/>
        <v/>
      </c>
      <c r="BN1433" s="163" t="str">
        <f t="shared" si="933"/>
        <v/>
      </c>
      <c r="BO1433" s="163" t="str">
        <f t="shared" si="934"/>
        <v/>
      </c>
      <c r="BP1433" s="150" t="str">
        <f t="shared" si="929"/>
        <v/>
      </c>
      <c r="BQ1433" s="150" t="str">
        <f t="shared" si="923"/>
        <v/>
      </c>
      <c r="BR1433" s="154" t="str">
        <f t="shared" si="935"/>
        <v/>
      </c>
      <c r="BT1433" s="147"/>
    </row>
    <row r="1434" spans="1:72" s="150" customFormat="1" x14ac:dyDescent="0.25">
      <c r="A1434" s="150" t="str">
        <f t="shared" si="924"/>
        <v/>
      </c>
      <c r="B1434" s="150" t="str">
        <f t="shared" si="925"/>
        <v/>
      </c>
      <c r="C1434" s="150" t="str">
        <f t="shared" si="926"/>
        <v/>
      </c>
      <c r="D1434" s="150" t="str">
        <f>IF(E1434="","",Input!$C$4+B1434-1)</f>
        <v/>
      </c>
      <c r="E1434" s="150" t="str">
        <f>IF(OR(AND(C1433=12,D1433=Input!$C$6),E1433=""),"",1)</f>
        <v/>
      </c>
      <c r="G1434" s="151" t="str">
        <f>IF(E1434="","",MAX(0,Input!$C$9-B1434))</f>
        <v/>
      </c>
      <c r="H1434" s="152" t="str">
        <f>IF(E1434="","",Input!$C$3)</f>
        <v/>
      </c>
      <c r="I1434" s="153" t="str">
        <f>IF(E1434="","",HLOOKUP($B1434,Input!$C$13:$BT$14,2))</f>
        <v/>
      </c>
      <c r="J1434" s="154"/>
      <c r="K1434" s="150" t="str">
        <f>IF($E1434="","",INDEX(Input!$C$16:$CP$16,1,$B1434))</f>
        <v/>
      </c>
      <c r="L1434" s="150" t="str">
        <f>IF($E1434="","",Input!$C$37)</f>
        <v/>
      </c>
      <c r="M1434" s="150" t="str">
        <f t="shared" si="912"/>
        <v/>
      </c>
      <c r="N1434" s="150" t="str">
        <f t="shared" si="913"/>
        <v/>
      </c>
      <c r="O1434" s="147" t="str">
        <f>IF($E1434="","",MIN(VLOOKUP(IF($B1434&lt;=Input!$C$7,$B1434,26),'Mortality Tables'!$A$41:$CW$67,IF($B1434&lt;=Input!$C$7+1,Input!$C$4+2,$D1434-Input!$C$7+2),0)*IF(B1434&gt;20,Input!$C$22,1)/1000,1))</f>
        <v/>
      </c>
      <c r="P1434" s="147" t="str">
        <f>IF($E1434="","",MIN(VLOOKUP(IF($B1434&lt;=Input!$C$7,$B1434,26),'Mortality Tables'!$A$12:$CW$37,IF($B1434&lt;=Input!$C$7+1,Input!$C$4+2,$D1434-Input!$C$7+2),0)*IF(B1434&gt;20,Input!$C$22,1)/1000,1))</f>
        <v/>
      </c>
      <c r="Q1434" s="155" t="str">
        <f>IF($E1434="","",Input!$C$21)</f>
        <v/>
      </c>
      <c r="R1434" s="159" t="str">
        <f>IF($E1434="","",(1-Q1434)^($F1434-Input!$C$20))</f>
        <v/>
      </c>
      <c r="S1434" s="147" t="str">
        <f t="shared" si="901"/>
        <v/>
      </c>
      <c r="T1434" s="147" t="str">
        <f t="shared" si="902"/>
        <v/>
      </c>
      <c r="U1434" s="160" t="str">
        <f>IF($E1434="","",IF($C1434=12,INDEX(Input!$C$15:$CP$15,1,$B1434),0))</f>
        <v/>
      </c>
      <c r="V1434" s="150" t="str">
        <f>IF(E1434="","",IF(C1434=1,IF($B1434=1,Input!$C$33,Input!$C$34),0))</f>
        <v/>
      </c>
      <c r="W1434" s="156" t="str">
        <f>IF($E1434="","",Input!$C$35)</f>
        <v/>
      </c>
      <c r="X1434" s="156" t="str">
        <f t="shared" si="903"/>
        <v/>
      </c>
      <c r="Y1434" s="154"/>
      <c r="Z1434" s="147" t="str">
        <f>IF($E1434="","",VLOOKUP($D1434,'Mortality Margins &amp; Grading'!$AB$5:$AF$125,3,0)*IF(Summary!$D$25="Included Margin",IF(AND($B1434&gt;Input!$C$9,Summary!$D$31&lt;&gt;"Included Margin"),0,1),0))</f>
        <v/>
      </c>
      <c r="AA1434" s="147" t="str">
        <f>IF($E1434="","",VLOOKUP($D1434,'Mortality Margins &amp; Grading'!$AB$5:$AF$125,5,0)*IF(Summary!$D$25="Included Margin",IF(AND($B1434&gt;Input!$C$9,Summary!$D$31&lt;&gt;"Included Margin"),0,1),0))</f>
        <v/>
      </c>
      <c r="AB1434" s="147" t="str">
        <f>IF($E1434="","",IF(AND($B1434&gt;Input!$C$9,Summary!$D$31&lt;&gt;"Included Margin"),1,IF(Summary!$D$25="Included Margin",VLOOKUP($B1434,'Mortality Margins &amp; Grading'!$AI$5:$AR$125,MATCH('Mortality Margins &amp; Grading'!$AQ$4,'Mortality Margins &amp; Grading'!$AI$4:$AR$4,0),0),1)))</f>
        <v/>
      </c>
      <c r="AC1434" s="154"/>
      <c r="AD1434" s="158" t="str">
        <f>IF(E1434="","",Input!$C$48*IF(Summary!$D$30="Included Margin",IF(AND($B1434&gt;Input!$C$9,Summary!$D$31&lt;&gt;"Included Margin"),0,1),0))</f>
        <v/>
      </c>
      <c r="AE1434" s="159" t="str">
        <f>IF(E1434="","",IF(Summary!$D$26="Included Margin",IF(AND($B1434&gt;Input!$C$9,Summary!$D$31&lt;&gt;"Included Margin"),1,1/$R1434),1))</f>
        <v/>
      </c>
      <c r="AF1434" s="160" t="str">
        <f>IF(E1434="","",IF(AND($B1434&gt;=Input!$C$9,$C1434=12,Summary!$D$31="Included Margin",$U1434&gt;0),1/U1434-1,IF($B1434&gt;=Input!$C$9,0,Input!$C$45*IF(Summary!$D$27="Included Margin",1,0))))</f>
        <v/>
      </c>
      <c r="AG1434" s="160" t="str">
        <f>IF(E1434="","",Input!$C$46*IF(Summary!$D$28="Included Margin",IF(AND($B1434&gt;Input!$C$9,Summary!$D$31&lt;&gt;"Included Margin"),0,1),0))</f>
        <v/>
      </c>
      <c r="AH1434" s="158" t="str">
        <f>IF(E1434="","",Input!$C$47*IF(Summary!$D$29="Included Margin",IF(AND($B1434&gt;Input!$C$9,Summary!$D$31&lt;&gt;"Included Margin"),0,1),0))</f>
        <v/>
      </c>
      <c r="AI1434" s="154"/>
      <c r="AJ1434" s="158" t="str">
        <f t="shared" si="914"/>
        <v/>
      </c>
      <c r="AK1434" s="150" t="str">
        <f t="shared" si="915"/>
        <v/>
      </c>
      <c r="AL1434" s="147" t="str">
        <f t="shared" si="916"/>
        <v/>
      </c>
      <c r="AM1434" s="147" t="str">
        <f t="shared" si="904"/>
        <v/>
      </c>
      <c r="AN1434" s="160" t="str">
        <f t="shared" si="917"/>
        <v/>
      </c>
      <c r="AO1434" s="161" t="str">
        <f t="shared" si="918"/>
        <v/>
      </c>
      <c r="AP1434" s="156" t="str">
        <f t="shared" si="905"/>
        <v/>
      </c>
      <c r="AQ1434" s="152"/>
      <c r="AR1434" s="162" t="str">
        <f t="shared" si="906"/>
        <v/>
      </c>
      <c r="AS1434" s="150" t="str">
        <f t="shared" si="919"/>
        <v/>
      </c>
      <c r="AT1434" s="163" t="str">
        <f t="shared" si="907"/>
        <v/>
      </c>
      <c r="AU1434" s="163" t="str">
        <f t="shared" si="908"/>
        <v/>
      </c>
      <c r="AV1434" s="163" t="str">
        <f t="shared" si="920"/>
        <v/>
      </c>
      <c r="AW1434" s="163" t="str">
        <f t="shared" si="909"/>
        <v/>
      </c>
      <c r="AX1434" s="163" t="str">
        <f t="shared" si="910"/>
        <v/>
      </c>
      <c r="AY1434" s="150" t="str">
        <f t="shared" si="921"/>
        <v/>
      </c>
      <c r="AZ1434" s="150" t="str">
        <f>IF($E1434="","",IF(OR(AND($D1434=Input!$C$6,$C1434=12),$AN1434=1),0,-AS1435+AT1435+AU1435-AV1435-AW1435-AX1435+AZ1435))</f>
        <v/>
      </c>
      <c r="BA1434" s="154" t="str">
        <f t="shared" si="911"/>
        <v/>
      </c>
      <c r="BC1434" s="147" t="str">
        <f t="shared" si="922"/>
        <v/>
      </c>
      <c r="BD1434" s="164" t="str">
        <f>IF(AND($C1433=12,$D1433=Input!$C$6),0,IF($E1434="","",AT1434+(AU1434+BD1435)/(1+$AK1434)*MIN((1-AM1434-AN1434),1)))</f>
        <v/>
      </c>
      <c r="BH1434" s="152"/>
      <c r="BI1434" s="162" t="str">
        <f t="shared" si="930"/>
        <v/>
      </c>
      <c r="BJ1434" s="150" t="str">
        <f t="shared" si="931"/>
        <v/>
      </c>
      <c r="BK1434" s="163" t="str">
        <f t="shared" si="927"/>
        <v/>
      </c>
      <c r="BL1434" s="163" t="str">
        <f t="shared" si="932"/>
        <v/>
      </c>
      <c r="BM1434" s="163" t="str">
        <f t="shared" si="928"/>
        <v/>
      </c>
      <c r="BN1434" s="163" t="str">
        <f t="shared" si="933"/>
        <v/>
      </c>
      <c r="BO1434" s="163" t="str">
        <f t="shared" si="934"/>
        <v/>
      </c>
      <c r="BP1434" s="150" t="str">
        <f t="shared" si="929"/>
        <v/>
      </c>
      <c r="BQ1434" s="150" t="str">
        <f t="shared" si="923"/>
        <v/>
      </c>
      <c r="BR1434" s="154" t="str">
        <f t="shared" si="935"/>
        <v/>
      </c>
      <c r="BT1434" s="147"/>
    </row>
    <row r="1435" spans="1:72" s="150" customFormat="1" x14ac:dyDescent="0.25">
      <c r="A1435" s="150" t="str">
        <f t="shared" si="924"/>
        <v/>
      </c>
      <c r="B1435" s="150" t="str">
        <f t="shared" si="925"/>
        <v/>
      </c>
      <c r="C1435" s="150" t="str">
        <f t="shared" si="926"/>
        <v/>
      </c>
      <c r="D1435" s="150" t="str">
        <f>IF(E1435="","",Input!$C$4+B1435-1)</f>
        <v/>
      </c>
      <c r="E1435" s="150" t="str">
        <f>IF(OR(AND(C1434=12,D1434=Input!$C$6),E1434=""),"",1)</f>
        <v/>
      </c>
      <c r="G1435" s="151" t="str">
        <f>IF(E1435="","",MAX(0,Input!$C$9-B1435))</f>
        <v/>
      </c>
      <c r="H1435" s="152" t="str">
        <f>IF(E1435="","",Input!$C$3)</f>
        <v/>
      </c>
      <c r="I1435" s="153" t="str">
        <f>IF(E1435="","",HLOOKUP($B1435,Input!$C$13:$BT$14,2))</f>
        <v/>
      </c>
      <c r="J1435" s="154"/>
      <c r="K1435" s="150" t="str">
        <f>IF($E1435="","",INDEX(Input!$C$16:$CP$16,1,$B1435))</f>
        <v/>
      </c>
      <c r="L1435" s="150" t="str">
        <f>IF($E1435="","",Input!$C$37)</f>
        <v/>
      </c>
      <c r="M1435" s="150" t="str">
        <f t="shared" si="912"/>
        <v/>
      </c>
      <c r="N1435" s="150" t="str">
        <f t="shared" si="913"/>
        <v/>
      </c>
      <c r="O1435" s="147" t="str">
        <f>IF($E1435="","",MIN(VLOOKUP(IF($B1435&lt;=Input!$C$7,$B1435,26),'Mortality Tables'!$A$41:$CW$67,IF($B1435&lt;=Input!$C$7+1,Input!$C$4+2,$D1435-Input!$C$7+2),0)*IF(B1435&gt;20,Input!$C$22,1)/1000,1))</f>
        <v/>
      </c>
      <c r="P1435" s="147" t="str">
        <f>IF($E1435="","",MIN(VLOOKUP(IF($B1435&lt;=Input!$C$7,$B1435,26),'Mortality Tables'!$A$12:$CW$37,IF($B1435&lt;=Input!$C$7+1,Input!$C$4+2,$D1435-Input!$C$7+2),0)*IF(B1435&gt;20,Input!$C$22,1)/1000,1))</f>
        <v/>
      </c>
      <c r="Q1435" s="155" t="str">
        <f>IF($E1435="","",Input!$C$21)</f>
        <v/>
      </c>
      <c r="R1435" s="159" t="str">
        <f>IF($E1435="","",(1-Q1435)^($F1435-Input!$C$20))</f>
        <v/>
      </c>
      <c r="S1435" s="147" t="str">
        <f t="shared" si="901"/>
        <v/>
      </c>
      <c r="T1435" s="147" t="str">
        <f t="shared" si="902"/>
        <v/>
      </c>
      <c r="U1435" s="160" t="str">
        <f>IF($E1435="","",IF($C1435=12,INDEX(Input!$C$15:$CP$15,1,$B1435),0))</f>
        <v/>
      </c>
      <c r="V1435" s="150" t="str">
        <f>IF(E1435="","",IF(C1435=1,IF($B1435=1,Input!$C$33,Input!$C$34),0))</f>
        <v/>
      </c>
      <c r="W1435" s="156" t="str">
        <f>IF($E1435="","",Input!$C$35)</f>
        <v/>
      </c>
      <c r="X1435" s="156" t="str">
        <f t="shared" si="903"/>
        <v/>
      </c>
      <c r="Y1435" s="154"/>
      <c r="Z1435" s="147" t="str">
        <f>IF($E1435="","",VLOOKUP($D1435,'Mortality Margins &amp; Grading'!$AB$5:$AF$125,3,0)*IF(Summary!$D$25="Included Margin",IF(AND($B1435&gt;Input!$C$9,Summary!$D$31&lt;&gt;"Included Margin"),0,1),0))</f>
        <v/>
      </c>
      <c r="AA1435" s="147" t="str">
        <f>IF($E1435="","",VLOOKUP($D1435,'Mortality Margins &amp; Grading'!$AB$5:$AF$125,5,0)*IF(Summary!$D$25="Included Margin",IF(AND($B1435&gt;Input!$C$9,Summary!$D$31&lt;&gt;"Included Margin"),0,1),0))</f>
        <v/>
      </c>
      <c r="AB1435" s="147" t="str">
        <f>IF($E1435="","",IF(AND($B1435&gt;Input!$C$9,Summary!$D$31&lt;&gt;"Included Margin"),1,IF(Summary!$D$25="Included Margin",VLOOKUP($B1435,'Mortality Margins &amp; Grading'!$AI$5:$AR$125,MATCH('Mortality Margins &amp; Grading'!$AQ$4,'Mortality Margins &amp; Grading'!$AI$4:$AR$4,0),0),1)))</f>
        <v/>
      </c>
      <c r="AC1435" s="154"/>
      <c r="AD1435" s="158" t="str">
        <f>IF(E1435="","",Input!$C$48*IF(Summary!$D$30="Included Margin",IF(AND($B1435&gt;Input!$C$9,Summary!$D$31&lt;&gt;"Included Margin"),0,1),0))</f>
        <v/>
      </c>
      <c r="AE1435" s="159" t="str">
        <f>IF(E1435="","",IF(Summary!$D$26="Included Margin",IF(AND($B1435&gt;Input!$C$9,Summary!$D$31&lt;&gt;"Included Margin"),1,1/$R1435),1))</f>
        <v/>
      </c>
      <c r="AF1435" s="160" t="str">
        <f>IF(E1435="","",IF(AND($B1435&gt;=Input!$C$9,$C1435=12,Summary!$D$31="Included Margin",$U1435&gt;0),1/U1435-1,IF($B1435&gt;=Input!$C$9,0,Input!$C$45*IF(Summary!$D$27="Included Margin",1,0))))</f>
        <v/>
      </c>
      <c r="AG1435" s="160" t="str">
        <f>IF(E1435="","",Input!$C$46*IF(Summary!$D$28="Included Margin",IF(AND($B1435&gt;Input!$C$9,Summary!$D$31&lt;&gt;"Included Margin"),0,1),0))</f>
        <v/>
      </c>
      <c r="AH1435" s="158" t="str">
        <f>IF(E1435="","",Input!$C$47*IF(Summary!$D$29="Included Margin",IF(AND($B1435&gt;Input!$C$9,Summary!$D$31&lt;&gt;"Included Margin"),0,1),0))</f>
        <v/>
      </c>
      <c r="AI1435" s="154"/>
      <c r="AJ1435" s="158" t="str">
        <f t="shared" si="914"/>
        <v/>
      </c>
      <c r="AK1435" s="150" t="str">
        <f t="shared" si="915"/>
        <v/>
      </c>
      <c r="AL1435" s="147" t="str">
        <f t="shared" si="916"/>
        <v/>
      </c>
      <c r="AM1435" s="147" t="str">
        <f t="shared" si="904"/>
        <v/>
      </c>
      <c r="AN1435" s="160" t="str">
        <f t="shared" si="917"/>
        <v/>
      </c>
      <c r="AO1435" s="161" t="str">
        <f t="shared" si="918"/>
        <v/>
      </c>
      <c r="AP1435" s="156" t="str">
        <f t="shared" si="905"/>
        <v/>
      </c>
      <c r="AQ1435" s="152"/>
      <c r="AR1435" s="162" t="str">
        <f t="shared" si="906"/>
        <v/>
      </c>
      <c r="AS1435" s="150" t="str">
        <f t="shared" si="919"/>
        <v/>
      </c>
      <c r="AT1435" s="163" t="str">
        <f t="shared" si="907"/>
        <v/>
      </c>
      <c r="AU1435" s="163" t="str">
        <f t="shared" si="908"/>
        <v/>
      </c>
      <c r="AV1435" s="163" t="str">
        <f t="shared" si="920"/>
        <v/>
      </c>
      <c r="AW1435" s="163" t="str">
        <f t="shared" si="909"/>
        <v/>
      </c>
      <c r="AX1435" s="163" t="str">
        <f t="shared" si="910"/>
        <v/>
      </c>
      <c r="AY1435" s="150" t="str">
        <f t="shared" si="921"/>
        <v/>
      </c>
      <c r="AZ1435" s="150" t="str">
        <f>IF($E1435="","",IF(OR(AND($D1435=Input!$C$6,$C1435=12),$AN1435=1),0,-AS1436+AT1436+AU1436-AV1436-AW1436-AX1436+AZ1436))</f>
        <v/>
      </c>
      <c r="BA1435" s="154" t="str">
        <f t="shared" si="911"/>
        <v/>
      </c>
      <c r="BC1435" s="147" t="str">
        <f t="shared" si="922"/>
        <v/>
      </c>
      <c r="BD1435" s="164" t="str">
        <f>IF(AND($C1434=12,$D1434=Input!$C$6),0,IF($E1435="","",AT1435+(AU1435+BD1436)/(1+$AK1435)*MIN((1-AM1435-AN1435),1)))</f>
        <v/>
      </c>
      <c r="BH1435" s="152"/>
      <c r="BI1435" s="162" t="str">
        <f t="shared" si="930"/>
        <v/>
      </c>
      <c r="BJ1435" s="150" t="str">
        <f t="shared" si="931"/>
        <v/>
      </c>
      <c r="BK1435" s="163" t="str">
        <f t="shared" si="927"/>
        <v/>
      </c>
      <c r="BL1435" s="163" t="str">
        <f t="shared" si="932"/>
        <v/>
      </c>
      <c r="BM1435" s="163" t="str">
        <f t="shared" si="928"/>
        <v/>
      </c>
      <c r="BN1435" s="163" t="str">
        <f t="shared" si="933"/>
        <v/>
      </c>
      <c r="BO1435" s="163" t="str">
        <f t="shared" si="934"/>
        <v/>
      </c>
      <c r="BP1435" s="150" t="str">
        <f t="shared" si="929"/>
        <v/>
      </c>
      <c r="BQ1435" s="150" t="str">
        <f t="shared" si="923"/>
        <v/>
      </c>
      <c r="BR1435" s="154" t="str">
        <f t="shared" si="935"/>
        <v/>
      </c>
      <c r="BT1435" s="147"/>
    </row>
    <row r="1436" spans="1:72" s="150" customFormat="1" x14ac:dyDescent="0.25">
      <c r="A1436" s="150" t="str">
        <f t="shared" si="924"/>
        <v/>
      </c>
      <c r="B1436" s="150" t="str">
        <f t="shared" si="925"/>
        <v/>
      </c>
      <c r="C1436" s="150" t="str">
        <f t="shared" si="926"/>
        <v/>
      </c>
      <c r="D1436" s="150" t="str">
        <f>IF(E1436="","",Input!$C$4+B1436-1)</f>
        <v/>
      </c>
      <c r="E1436" s="150" t="str">
        <f>IF(OR(AND(C1435=12,D1435=Input!$C$6),E1435=""),"",1)</f>
        <v/>
      </c>
      <c r="G1436" s="151" t="str">
        <f>IF(E1436="","",MAX(0,Input!$C$9-B1436))</f>
        <v/>
      </c>
      <c r="H1436" s="152" t="str">
        <f>IF(E1436="","",Input!$C$3)</f>
        <v/>
      </c>
      <c r="I1436" s="153" t="str">
        <f>IF(E1436="","",HLOOKUP($B1436,Input!$C$13:$BT$14,2))</f>
        <v/>
      </c>
      <c r="J1436" s="154"/>
      <c r="K1436" s="150" t="str">
        <f>IF($E1436="","",INDEX(Input!$C$16:$CP$16,1,$B1436))</f>
        <v/>
      </c>
      <c r="L1436" s="150" t="str">
        <f>IF($E1436="","",Input!$C$37)</f>
        <v/>
      </c>
      <c r="M1436" s="150" t="str">
        <f t="shared" si="912"/>
        <v/>
      </c>
      <c r="N1436" s="150" t="str">
        <f t="shared" si="913"/>
        <v/>
      </c>
      <c r="O1436" s="147" t="str">
        <f>IF($E1436="","",MIN(VLOOKUP(IF($B1436&lt;=Input!$C$7,$B1436,26),'Mortality Tables'!$A$41:$CW$67,IF($B1436&lt;=Input!$C$7+1,Input!$C$4+2,$D1436-Input!$C$7+2),0)*IF(B1436&gt;20,Input!$C$22,1)/1000,1))</f>
        <v/>
      </c>
      <c r="P1436" s="147" t="str">
        <f>IF($E1436="","",MIN(VLOOKUP(IF($B1436&lt;=Input!$C$7,$B1436,26),'Mortality Tables'!$A$12:$CW$37,IF($B1436&lt;=Input!$C$7+1,Input!$C$4+2,$D1436-Input!$C$7+2),0)*IF(B1436&gt;20,Input!$C$22,1)/1000,1))</f>
        <v/>
      </c>
      <c r="Q1436" s="155" t="str">
        <f>IF($E1436="","",Input!$C$21)</f>
        <v/>
      </c>
      <c r="R1436" s="159" t="str">
        <f>IF($E1436="","",(1-Q1436)^($F1436-Input!$C$20))</f>
        <v/>
      </c>
      <c r="S1436" s="147" t="str">
        <f t="shared" si="901"/>
        <v/>
      </c>
      <c r="T1436" s="147" t="str">
        <f t="shared" si="902"/>
        <v/>
      </c>
      <c r="U1436" s="160" t="str">
        <f>IF($E1436="","",IF($C1436=12,INDEX(Input!$C$15:$CP$15,1,$B1436),0))</f>
        <v/>
      </c>
      <c r="V1436" s="150" t="str">
        <f>IF(E1436="","",IF(C1436=1,IF($B1436=1,Input!$C$33,Input!$C$34),0))</f>
        <v/>
      </c>
      <c r="W1436" s="156" t="str">
        <f>IF($E1436="","",Input!$C$35)</f>
        <v/>
      </c>
      <c r="X1436" s="156" t="str">
        <f t="shared" si="903"/>
        <v/>
      </c>
      <c r="Y1436" s="154"/>
      <c r="Z1436" s="147" t="str">
        <f>IF($E1436="","",VLOOKUP($D1436,'Mortality Margins &amp; Grading'!$AB$5:$AF$125,3,0)*IF(Summary!$D$25="Included Margin",IF(AND($B1436&gt;Input!$C$9,Summary!$D$31&lt;&gt;"Included Margin"),0,1),0))</f>
        <v/>
      </c>
      <c r="AA1436" s="147" t="str">
        <f>IF($E1436="","",VLOOKUP($D1436,'Mortality Margins &amp; Grading'!$AB$5:$AF$125,5,0)*IF(Summary!$D$25="Included Margin",IF(AND($B1436&gt;Input!$C$9,Summary!$D$31&lt;&gt;"Included Margin"),0,1),0))</f>
        <v/>
      </c>
      <c r="AB1436" s="147" t="str">
        <f>IF($E1436="","",IF(AND($B1436&gt;Input!$C$9,Summary!$D$31&lt;&gt;"Included Margin"),1,IF(Summary!$D$25="Included Margin",VLOOKUP($B1436,'Mortality Margins &amp; Grading'!$AI$5:$AR$125,MATCH('Mortality Margins &amp; Grading'!$AQ$4,'Mortality Margins &amp; Grading'!$AI$4:$AR$4,0),0),1)))</f>
        <v/>
      </c>
      <c r="AC1436" s="154"/>
      <c r="AD1436" s="158" t="str">
        <f>IF(E1436="","",Input!$C$48*IF(Summary!$D$30="Included Margin",IF(AND($B1436&gt;Input!$C$9,Summary!$D$31&lt;&gt;"Included Margin"),0,1),0))</f>
        <v/>
      </c>
      <c r="AE1436" s="159" t="str">
        <f>IF(E1436="","",IF(Summary!$D$26="Included Margin",IF(AND($B1436&gt;Input!$C$9,Summary!$D$31&lt;&gt;"Included Margin"),1,1/$R1436),1))</f>
        <v/>
      </c>
      <c r="AF1436" s="160" t="str">
        <f>IF(E1436="","",IF(AND($B1436&gt;=Input!$C$9,$C1436=12,Summary!$D$31="Included Margin",$U1436&gt;0),1/U1436-1,IF($B1436&gt;=Input!$C$9,0,Input!$C$45*IF(Summary!$D$27="Included Margin",1,0))))</f>
        <v/>
      </c>
      <c r="AG1436" s="160" t="str">
        <f>IF(E1436="","",Input!$C$46*IF(Summary!$D$28="Included Margin",IF(AND($B1436&gt;Input!$C$9,Summary!$D$31&lt;&gt;"Included Margin"),0,1),0))</f>
        <v/>
      </c>
      <c r="AH1436" s="158" t="str">
        <f>IF(E1436="","",Input!$C$47*IF(Summary!$D$29="Included Margin",IF(AND($B1436&gt;Input!$C$9,Summary!$D$31&lt;&gt;"Included Margin"),0,1),0))</f>
        <v/>
      </c>
      <c r="AI1436" s="154"/>
      <c r="AJ1436" s="158" t="str">
        <f t="shared" si="914"/>
        <v/>
      </c>
      <c r="AK1436" s="150" t="str">
        <f t="shared" si="915"/>
        <v/>
      </c>
      <c r="AL1436" s="147" t="str">
        <f t="shared" si="916"/>
        <v/>
      </c>
      <c r="AM1436" s="147" t="str">
        <f t="shared" si="904"/>
        <v/>
      </c>
      <c r="AN1436" s="160" t="str">
        <f t="shared" si="917"/>
        <v/>
      </c>
      <c r="AO1436" s="161" t="str">
        <f t="shared" si="918"/>
        <v/>
      </c>
      <c r="AP1436" s="156" t="str">
        <f t="shared" si="905"/>
        <v/>
      </c>
      <c r="AQ1436" s="152"/>
      <c r="AR1436" s="162" t="str">
        <f t="shared" si="906"/>
        <v/>
      </c>
      <c r="AS1436" s="150" t="str">
        <f t="shared" si="919"/>
        <v/>
      </c>
      <c r="AT1436" s="163" t="str">
        <f t="shared" si="907"/>
        <v/>
      </c>
      <c r="AU1436" s="163" t="str">
        <f t="shared" si="908"/>
        <v/>
      </c>
      <c r="AV1436" s="163" t="str">
        <f t="shared" si="920"/>
        <v/>
      </c>
      <c r="AW1436" s="163" t="str">
        <f t="shared" si="909"/>
        <v/>
      </c>
      <c r="AX1436" s="163" t="str">
        <f t="shared" si="910"/>
        <v/>
      </c>
      <c r="AY1436" s="150" t="str">
        <f t="shared" si="921"/>
        <v/>
      </c>
      <c r="AZ1436" s="150" t="str">
        <f>IF($E1436="","",IF(OR(AND($D1436=Input!$C$6,$C1436=12),$AN1436=1),0,-AS1437+AT1437+AU1437-AV1437-AW1437-AX1437+AZ1437))</f>
        <v/>
      </c>
      <c r="BA1436" s="154" t="str">
        <f t="shared" si="911"/>
        <v/>
      </c>
      <c r="BC1436" s="147" t="str">
        <f t="shared" si="922"/>
        <v/>
      </c>
      <c r="BD1436" s="164" t="str">
        <f>IF(AND($C1435=12,$D1435=Input!$C$6),0,IF($E1436="","",AT1436+(AU1436+BD1437)/(1+$AK1436)*MIN((1-AM1436-AN1436),1)))</f>
        <v/>
      </c>
      <c r="BH1436" s="152"/>
      <c r="BI1436" s="162" t="str">
        <f t="shared" si="930"/>
        <v/>
      </c>
      <c r="BJ1436" s="150" t="str">
        <f t="shared" si="931"/>
        <v/>
      </c>
      <c r="BK1436" s="163" t="str">
        <f t="shared" si="927"/>
        <v/>
      </c>
      <c r="BL1436" s="163" t="str">
        <f t="shared" si="932"/>
        <v/>
      </c>
      <c r="BM1436" s="163" t="str">
        <f t="shared" si="928"/>
        <v/>
      </c>
      <c r="BN1436" s="163" t="str">
        <f t="shared" si="933"/>
        <v/>
      </c>
      <c r="BO1436" s="163" t="str">
        <f t="shared" si="934"/>
        <v/>
      </c>
      <c r="BP1436" s="150" t="str">
        <f t="shared" si="929"/>
        <v/>
      </c>
      <c r="BQ1436" s="150" t="str">
        <f t="shared" si="923"/>
        <v/>
      </c>
      <c r="BR1436" s="154" t="str">
        <f t="shared" si="935"/>
        <v/>
      </c>
      <c r="BT1436" s="147"/>
    </row>
    <row r="1437" spans="1:72" s="150" customFormat="1" x14ac:dyDescent="0.25">
      <c r="A1437" s="150" t="str">
        <f t="shared" si="924"/>
        <v/>
      </c>
      <c r="B1437" s="150" t="str">
        <f t="shared" si="925"/>
        <v/>
      </c>
      <c r="C1437" s="150" t="str">
        <f t="shared" si="926"/>
        <v/>
      </c>
      <c r="D1437" s="150" t="str">
        <f>IF(E1437="","",Input!$C$4+B1437-1)</f>
        <v/>
      </c>
      <c r="E1437" s="150" t="str">
        <f>IF(OR(AND(C1436=12,D1436=Input!$C$6),E1436=""),"",1)</f>
        <v/>
      </c>
      <c r="G1437" s="151" t="str">
        <f>IF(E1437="","",MAX(0,Input!$C$9-B1437))</f>
        <v/>
      </c>
      <c r="H1437" s="152" t="str">
        <f>IF(E1437="","",Input!$C$3)</f>
        <v/>
      </c>
      <c r="I1437" s="153" t="str">
        <f>IF(E1437="","",HLOOKUP($B1437,Input!$C$13:$BT$14,2))</f>
        <v/>
      </c>
      <c r="J1437" s="154"/>
      <c r="K1437" s="150" t="str">
        <f>IF($E1437="","",INDEX(Input!$C$16:$CP$16,1,$B1437))</f>
        <v/>
      </c>
      <c r="L1437" s="150" t="str">
        <f>IF($E1437="","",Input!$C$37)</f>
        <v/>
      </c>
      <c r="M1437" s="150" t="str">
        <f t="shared" si="912"/>
        <v/>
      </c>
      <c r="N1437" s="150" t="str">
        <f t="shared" si="913"/>
        <v/>
      </c>
      <c r="O1437" s="147" t="str">
        <f>IF($E1437="","",MIN(VLOOKUP(IF($B1437&lt;=Input!$C$7,$B1437,26),'Mortality Tables'!$A$41:$CW$67,IF($B1437&lt;=Input!$C$7+1,Input!$C$4+2,$D1437-Input!$C$7+2),0)*IF(B1437&gt;20,Input!$C$22,1)/1000,1))</f>
        <v/>
      </c>
      <c r="P1437" s="147" t="str">
        <f>IF($E1437="","",MIN(VLOOKUP(IF($B1437&lt;=Input!$C$7,$B1437,26),'Mortality Tables'!$A$12:$CW$37,IF($B1437&lt;=Input!$C$7+1,Input!$C$4+2,$D1437-Input!$C$7+2),0)*IF(B1437&gt;20,Input!$C$22,1)/1000,1))</f>
        <v/>
      </c>
      <c r="Q1437" s="155" t="str">
        <f>IF($E1437="","",Input!$C$21)</f>
        <v/>
      </c>
      <c r="R1437" s="159" t="str">
        <f>IF($E1437="","",(1-Q1437)^($F1437-Input!$C$20))</f>
        <v/>
      </c>
      <c r="S1437" s="147" t="str">
        <f t="shared" si="901"/>
        <v/>
      </c>
      <c r="T1437" s="147" t="str">
        <f t="shared" si="902"/>
        <v/>
      </c>
      <c r="U1437" s="160" t="str">
        <f>IF($E1437="","",IF($C1437=12,INDEX(Input!$C$15:$CP$15,1,$B1437),0))</f>
        <v/>
      </c>
      <c r="V1437" s="150" t="str">
        <f>IF(E1437="","",IF(C1437=1,IF($B1437=1,Input!$C$33,Input!$C$34),0))</f>
        <v/>
      </c>
      <c r="W1437" s="156" t="str">
        <f>IF($E1437="","",Input!$C$35)</f>
        <v/>
      </c>
      <c r="X1437" s="156" t="str">
        <f t="shared" si="903"/>
        <v/>
      </c>
      <c r="Y1437" s="154"/>
      <c r="Z1437" s="147" t="str">
        <f>IF($E1437="","",VLOOKUP($D1437,'Mortality Margins &amp; Grading'!$AB$5:$AF$125,3,0)*IF(Summary!$D$25="Included Margin",IF(AND($B1437&gt;Input!$C$9,Summary!$D$31&lt;&gt;"Included Margin"),0,1),0))</f>
        <v/>
      </c>
      <c r="AA1437" s="147" t="str">
        <f>IF($E1437="","",VLOOKUP($D1437,'Mortality Margins &amp; Grading'!$AB$5:$AF$125,5,0)*IF(Summary!$D$25="Included Margin",IF(AND($B1437&gt;Input!$C$9,Summary!$D$31&lt;&gt;"Included Margin"),0,1),0))</f>
        <v/>
      </c>
      <c r="AB1437" s="147" t="str">
        <f>IF($E1437="","",IF(AND($B1437&gt;Input!$C$9,Summary!$D$31&lt;&gt;"Included Margin"),1,IF(Summary!$D$25="Included Margin",VLOOKUP($B1437,'Mortality Margins &amp; Grading'!$AI$5:$AR$125,MATCH('Mortality Margins &amp; Grading'!$AQ$4,'Mortality Margins &amp; Grading'!$AI$4:$AR$4,0),0),1)))</f>
        <v/>
      </c>
      <c r="AC1437" s="154"/>
      <c r="AD1437" s="158" t="str">
        <f>IF(E1437="","",Input!$C$48*IF(Summary!$D$30="Included Margin",IF(AND($B1437&gt;Input!$C$9,Summary!$D$31&lt;&gt;"Included Margin"),0,1),0))</f>
        <v/>
      </c>
      <c r="AE1437" s="159" t="str">
        <f>IF(E1437="","",IF(Summary!$D$26="Included Margin",IF(AND($B1437&gt;Input!$C$9,Summary!$D$31&lt;&gt;"Included Margin"),1,1/$R1437),1))</f>
        <v/>
      </c>
      <c r="AF1437" s="160" t="str">
        <f>IF(E1437="","",IF(AND($B1437&gt;=Input!$C$9,$C1437=12,Summary!$D$31="Included Margin",$U1437&gt;0),1/U1437-1,IF($B1437&gt;=Input!$C$9,0,Input!$C$45*IF(Summary!$D$27="Included Margin",1,0))))</f>
        <v/>
      </c>
      <c r="AG1437" s="160" t="str">
        <f>IF(E1437="","",Input!$C$46*IF(Summary!$D$28="Included Margin",IF(AND($B1437&gt;Input!$C$9,Summary!$D$31&lt;&gt;"Included Margin"),0,1),0))</f>
        <v/>
      </c>
      <c r="AH1437" s="158" t="str">
        <f>IF(E1437="","",Input!$C$47*IF(Summary!$D$29="Included Margin",IF(AND($B1437&gt;Input!$C$9,Summary!$D$31&lt;&gt;"Included Margin"),0,1),0))</f>
        <v/>
      </c>
      <c r="AI1437" s="154"/>
      <c r="AJ1437" s="158" t="str">
        <f t="shared" si="914"/>
        <v/>
      </c>
      <c r="AK1437" s="150" t="str">
        <f t="shared" si="915"/>
        <v/>
      </c>
      <c r="AL1437" s="147" t="str">
        <f t="shared" si="916"/>
        <v/>
      </c>
      <c r="AM1437" s="147" t="str">
        <f t="shared" si="904"/>
        <v/>
      </c>
      <c r="AN1437" s="160" t="str">
        <f t="shared" si="917"/>
        <v/>
      </c>
      <c r="AO1437" s="161" t="str">
        <f t="shared" si="918"/>
        <v/>
      </c>
      <c r="AP1437" s="156" t="str">
        <f t="shared" si="905"/>
        <v/>
      </c>
      <c r="AQ1437" s="152"/>
      <c r="AR1437" s="162" t="str">
        <f t="shared" si="906"/>
        <v/>
      </c>
      <c r="AS1437" s="150" t="str">
        <f t="shared" si="919"/>
        <v/>
      </c>
      <c r="AT1437" s="163" t="str">
        <f t="shared" si="907"/>
        <v/>
      </c>
      <c r="AU1437" s="163" t="str">
        <f t="shared" si="908"/>
        <v/>
      </c>
      <c r="AV1437" s="163" t="str">
        <f t="shared" si="920"/>
        <v/>
      </c>
      <c r="AW1437" s="163" t="str">
        <f t="shared" si="909"/>
        <v/>
      </c>
      <c r="AX1437" s="163" t="str">
        <f t="shared" si="910"/>
        <v/>
      </c>
      <c r="AY1437" s="150" t="str">
        <f t="shared" si="921"/>
        <v/>
      </c>
      <c r="AZ1437" s="150" t="str">
        <f>IF($E1437="","",IF(OR(AND($D1437=Input!$C$6,$C1437=12),$AN1437=1),0,-AS1438+AT1438+AU1438-AV1438-AW1438-AX1438+AZ1438))</f>
        <v/>
      </c>
      <c r="BA1437" s="154" t="str">
        <f t="shared" si="911"/>
        <v/>
      </c>
      <c r="BC1437" s="147" t="str">
        <f t="shared" si="922"/>
        <v/>
      </c>
      <c r="BD1437" s="164" t="str">
        <f>IF(AND($C1436=12,$D1436=Input!$C$6),0,IF($E1437="","",AT1437+(AU1437+BD1438)/(1+$AK1437)*MIN((1-AM1437-AN1437),1)))</f>
        <v/>
      </c>
      <c r="BH1437" s="152"/>
      <c r="BI1437" s="162" t="str">
        <f t="shared" si="930"/>
        <v/>
      </c>
      <c r="BJ1437" s="150" t="str">
        <f t="shared" si="931"/>
        <v/>
      </c>
      <c r="BK1437" s="163" t="str">
        <f t="shared" si="927"/>
        <v/>
      </c>
      <c r="BL1437" s="163" t="str">
        <f t="shared" si="932"/>
        <v/>
      </c>
      <c r="BM1437" s="163" t="str">
        <f t="shared" si="928"/>
        <v/>
      </c>
      <c r="BN1437" s="163" t="str">
        <f t="shared" si="933"/>
        <v/>
      </c>
      <c r="BO1437" s="163" t="str">
        <f t="shared" si="934"/>
        <v/>
      </c>
      <c r="BP1437" s="150" t="str">
        <f t="shared" si="929"/>
        <v/>
      </c>
      <c r="BQ1437" s="150" t="str">
        <f t="shared" si="923"/>
        <v/>
      </c>
      <c r="BR1437" s="154" t="str">
        <f t="shared" si="935"/>
        <v/>
      </c>
      <c r="BT1437" s="147"/>
    </row>
    <row r="1438" spans="1:72" s="150" customFormat="1" x14ac:dyDescent="0.25">
      <c r="A1438" s="150" t="str">
        <f t="shared" si="924"/>
        <v/>
      </c>
      <c r="B1438" s="150" t="str">
        <f t="shared" si="925"/>
        <v/>
      </c>
      <c r="C1438" s="150" t="str">
        <f t="shared" si="926"/>
        <v/>
      </c>
      <c r="D1438" s="150" t="str">
        <f>IF(E1438="","",Input!$C$4+B1438-1)</f>
        <v/>
      </c>
      <c r="E1438" s="150" t="str">
        <f>IF(OR(AND(C1437=12,D1437=Input!$C$6),E1437=""),"",1)</f>
        <v/>
      </c>
      <c r="G1438" s="151" t="str">
        <f>IF(E1438="","",MAX(0,Input!$C$9-B1438))</f>
        <v/>
      </c>
      <c r="H1438" s="152" t="str">
        <f>IF(E1438="","",Input!$C$3)</f>
        <v/>
      </c>
      <c r="I1438" s="153" t="str">
        <f>IF(E1438="","",HLOOKUP($B1438,Input!$C$13:$BT$14,2))</f>
        <v/>
      </c>
      <c r="J1438" s="154"/>
      <c r="K1438" s="150" t="str">
        <f>IF($E1438="","",INDEX(Input!$C$16:$CP$16,1,$B1438))</f>
        <v/>
      </c>
      <c r="L1438" s="150" t="str">
        <f>IF($E1438="","",Input!$C$37)</f>
        <v/>
      </c>
      <c r="M1438" s="150" t="str">
        <f t="shared" si="912"/>
        <v/>
      </c>
      <c r="N1438" s="150" t="str">
        <f t="shared" si="913"/>
        <v/>
      </c>
      <c r="O1438" s="147" t="str">
        <f>IF($E1438="","",MIN(VLOOKUP(IF($B1438&lt;=Input!$C$7,$B1438,26),'Mortality Tables'!$A$41:$CW$67,IF($B1438&lt;=Input!$C$7+1,Input!$C$4+2,$D1438-Input!$C$7+2),0)*IF(B1438&gt;20,Input!$C$22,1)/1000,1))</f>
        <v/>
      </c>
      <c r="P1438" s="147" t="str">
        <f>IF($E1438="","",MIN(VLOOKUP(IF($B1438&lt;=Input!$C$7,$B1438,26),'Mortality Tables'!$A$12:$CW$37,IF($B1438&lt;=Input!$C$7+1,Input!$C$4+2,$D1438-Input!$C$7+2),0)*IF(B1438&gt;20,Input!$C$22,1)/1000,1))</f>
        <v/>
      </c>
      <c r="Q1438" s="155" t="str">
        <f>IF($E1438="","",Input!$C$21)</f>
        <v/>
      </c>
      <c r="R1438" s="159" t="str">
        <f>IF($E1438="","",(1-Q1438)^($F1438-Input!$C$20))</f>
        <v/>
      </c>
      <c r="S1438" s="147" t="str">
        <f t="shared" si="901"/>
        <v/>
      </c>
      <c r="T1438" s="147" t="str">
        <f t="shared" si="902"/>
        <v/>
      </c>
      <c r="U1438" s="160" t="str">
        <f>IF($E1438="","",IF($C1438=12,INDEX(Input!$C$15:$CP$15,1,$B1438),0))</f>
        <v/>
      </c>
      <c r="V1438" s="150" t="str">
        <f>IF(E1438="","",IF(C1438=1,IF($B1438=1,Input!$C$33,Input!$C$34),0))</f>
        <v/>
      </c>
      <c r="W1438" s="156" t="str">
        <f>IF($E1438="","",Input!$C$35)</f>
        <v/>
      </c>
      <c r="X1438" s="156" t="str">
        <f t="shared" si="903"/>
        <v/>
      </c>
      <c r="Y1438" s="154"/>
      <c r="Z1438" s="147" t="str">
        <f>IF($E1438="","",VLOOKUP($D1438,'Mortality Margins &amp; Grading'!$AB$5:$AF$125,3,0)*IF(Summary!$D$25="Included Margin",IF(AND($B1438&gt;Input!$C$9,Summary!$D$31&lt;&gt;"Included Margin"),0,1),0))</f>
        <v/>
      </c>
      <c r="AA1438" s="147" t="str">
        <f>IF($E1438="","",VLOOKUP($D1438,'Mortality Margins &amp; Grading'!$AB$5:$AF$125,5,0)*IF(Summary!$D$25="Included Margin",IF(AND($B1438&gt;Input!$C$9,Summary!$D$31&lt;&gt;"Included Margin"),0,1),0))</f>
        <v/>
      </c>
      <c r="AB1438" s="147" t="str">
        <f>IF($E1438="","",IF(AND($B1438&gt;Input!$C$9,Summary!$D$31&lt;&gt;"Included Margin"),1,IF(Summary!$D$25="Included Margin",VLOOKUP($B1438,'Mortality Margins &amp; Grading'!$AI$5:$AR$125,MATCH('Mortality Margins &amp; Grading'!$AQ$4,'Mortality Margins &amp; Grading'!$AI$4:$AR$4,0),0),1)))</f>
        <v/>
      </c>
      <c r="AC1438" s="154"/>
      <c r="AD1438" s="158" t="str">
        <f>IF(E1438="","",Input!$C$48*IF(Summary!$D$30="Included Margin",IF(AND($B1438&gt;Input!$C$9,Summary!$D$31&lt;&gt;"Included Margin"),0,1),0))</f>
        <v/>
      </c>
      <c r="AE1438" s="159" t="str">
        <f>IF(E1438="","",IF(Summary!$D$26="Included Margin",IF(AND($B1438&gt;Input!$C$9,Summary!$D$31&lt;&gt;"Included Margin"),1,1/$R1438),1))</f>
        <v/>
      </c>
      <c r="AF1438" s="160" t="str">
        <f>IF(E1438="","",IF(AND($B1438&gt;=Input!$C$9,$C1438=12,Summary!$D$31="Included Margin",$U1438&gt;0),1/U1438-1,IF($B1438&gt;=Input!$C$9,0,Input!$C$45*IF(Summary!$D$27="Included Margin",1,0))))</f>
        <v/>
      </c>
      <c r="AG1438" s="160" t="str">
        <f>IF(E1438="","",Input!$C$46*IF(Summary!$D$28="Included Margin",IF(AND($B1438&gt;Input!$C$9,Summary!$D$31&lt;&gt;"Included Margin"),0,1),0))</f>
        <v/>
      </c>
      <c r="AH1438" s="158" t="str">
        <f>IF(E1438="","",Input!$C$47*IF(Summary!$D$29="Included Margin",IF(AND($B1438&gt;Input!$C$9,Summary!$D$31&lt;&gt;"Included Margin"),0,1),0))</f>
        <v/>
      </c>
      <c r="AI1438" s="154"/>
      <c r="AJ1438" s="158" t="str">
        <f t="shared" si="914"/>
        <v/>
      </c>
      <c r="AK1438" s="150" t="str">
        <f t="shared" si="915"/>
        <v/>
      </c>
      <c r="AL1438" s="147" t="str">
        <f t="shared" si="916"/>
        <v/>
      </c>
      <c r="AM1438" s="147" t="str">
        <f t="shared" si="904"/>
        <v/>
      </c>
      <c r="AN1438" s="160" t="str">
        <f t="shared" si="917"/>
        <v/>
      </c>
      <c r="AO1438" s="161" t="str">
        <f t="shared" si="918"/>
        <v/>
      </c>
      <c r="AP1438" s="156" t="str">
        <f t="shared" si="905"/>
        <v/>
      </c>
      <c r="AQ1438" s="152"/>
      <c r="AR1438" s="162" t="str">
        <f t="shared" si="906"/>
        <v/>
      </c>
      <c r="AS1438" s="150" t="str">
        <f t="shared" si="919"/>
        <v/>
      </c>
      <c r="AT1438" s="163" t="str">
        <f t="shared" si="907"/>
        <v/>
      </c>
      <c r="AU1438" s="163" t="str">
        <f t="shared" si="908"/>
        <v/>
      </c>
      <c r="AV1438" s="163" t="str">
        <f t="shared" si="920"/>
        <v/>
      </c>
      <c r="AW1438" s="163" t="str">
        <f t="shared" si="909"/>
        <v/>
      </c>
      <c r="AX1438" s="163" t="str">
        <f t="shared" si="910"/>
        <v/>
      </c>
      <c r="AY1438" s="150" t="str">
        <f t="shared" si="921"/>
        <v/>
      </c>
      <c r="AZ1438" s="150" t="str">
        <f>IF($E1438="","",IF(OR(AND($D1438=Input!$C$6,$C1438=12),$AN1438=1),0,-AS1439+AT1439+AU1439-AV1439-AW1439-AX1439+AZ1439))</f>
        <v/>
      </c>
      <c r="BA1438" s="154" t="str">
        <f t="shared" si="911"/>
        <v/>
      </c>
      <c r="BC1438" s="147" t="str">
        <f t="shared" si="922"/>
        <v/>
      </c>
      <c r="BD1438" s="164" t="str">
        <f>IF(AND($C1437=12,$D1437=Input!$C$6),0,IF($E1438="","",AT1438+(AU1438+BD1439)/(1+$AK1438)*MIN((1-AM1438-AN1438),1)))</f>
        <v/>
      </c>
      <c r="BH1438" s="152"/>
      <c r="BI1438" s="162" t="str">
        <f t="shared" si="930"/>
        <v/>
      </c>
      <c r="BJ1438" s="150" t="str">
        <f t="shared" si="931"/>
        <v/>
      </c>
      <c r="BK1438" s="163" t="str">
        <f t="shared" si="927"/>
        <v/>
      </c>
      <c r="BL1438" s="163" t="str">
        <f t="shared" si="932"/>
        <v/>
      </c>
      <c r="BM1438" s="163" t="str">
        <f t="shared" si="928"/>
        <v/>
      </c>
      <c r="BN1438" s="163" t="str">
        <f t="shared" si="933"/>
        <v/>
      </c>
      <c r="BO1438" s="163" t="str">
        <f t="shared" si="934"/>
        <v/>
      </c>
      <c r="BP1438" s="150" t="str">
        <f t="shared" si="929"/>
        <v/>
      </c>
      <c r="BQ1438" s="150" t="str">
        <f t="shared" si="923"/>
        <v/>
      </c>
      <c r="BR1438" s="154" t="str">
        <f t="shared" si="935"/>
        <v/>
      </c>
      <c r="BT1438" s="147"/>
    </row>
    <row r="1439" spans="1:72" s="150" customFormat="1" x14ac:dyDescent="0.25">
      <c r="A1439" s="150" t="str">
        <f t="shared" si="924"/>
        <v/>
      </c>
      <c r="B1439" s="150" t="str">
        <f t="shared" si="925"/>
        <v/>
      </c>
      <c r="C1439" s="150" t="str">
        <f t="shared" si="926"/>
        <v/>
      </c>
      <c r="D1439" s="150" t="str">
        <f>IF(E1439="","",Input!$C$4+B1439-1)</f>
        <v/>
      </c>
      <c r="E1439" s="150" t="str">
        <f>IF(OR(AND(C1438=12,D1438=Input!$C$6),E1438=""),"",1)</f>
        <v/>
      </c>
      <c r="G1439" s="151" t="str">
        <f>IF(E1439="","",MAX(0,Input!$C$9-B1439))</f>
        <v/>
      </c>
      <c r="H1439" s="152" t="str">
        <f>IF(E1439="","",Input!$C$3)</f>
        <v/>
      </c>
      <c r="I1439" s="153" t="str">
        <f>IF(E1439="","",HLOOKUP($B1439,Input!$C$13:$BT$14,2))</f>
        <v/>
      </c>
      <c r="J1439" s="154"/>
      <c r="K1439" s="150" t="str">
        <f>IF($E1439="","",INDEX(Input!$C$16:$CP$16,1,$B1439))</f>
        <v/>
      </c>
      <c r="L1439" s="150" t="str">
        <f>IF($E1439="","",Input!$C$37)</f>
        <v/>
      </c>
      <c r="M1439" s="150" t="str">
        <f t="shared" si="912"/>
        <v/>
      </c>
      <c r="N1439" s="150" t="str">
        <f t="shared" si="913"/>
        <v/>
      </c>
      <c r="O1439" s="147" t="str">
        <f>IF($E1439="","",MIN(VLOOKUP(IF($B1439&lt;=Input!$C$7,$B1439,26),'Mortality Tables'!$A$41:$CW$67,IF($B1439&lt;=Input!$C$7+1,Input!$C$4+2,$D1439-Input!$C$7+2),0)*IF(B1439&gt;20,Input!$C$22,1)/1000,1))</f>
        <v/>
      </c>
      <c r="P1439" s="147" t="str">
        <f>IF($E1439="","",MIN(VLOOKUP(IF($B1439&lt;=Input!$C$7,$B1439,26),'Mortality Tables'!$A$12:$CW$37,IF($B1439&lt;=Input!$C$7+1,Input!$C$4+2,$D1439-Input!$C$7+2),0)*IF(B1439&gt;20,Input!$C$22,1)/1000,1))</f>
        <v/>
      </c>
      <c r="Q1439" s="155" t="str">
        <f>IF($E1439="","",Input!$C$21)</f>
        <v/>
      </c>
      <c r="R1439" s="159" t="str">
        <f>IF($E1439="","",(1-Q1439)^($F1439-Input!$C$20))</f>
        <v/>
      </c>
      <c r="S1439" s="147" t="str">
        <f t="shared" si="901"/>
        <v/>
      </c>
      <c r="T1439" s="147" t="str">
        <f t="shared" si="902"/>
        <v/>
      </c>
      <c r="U1439" s="160" t="str">
        <f>IF($E1439="","",IF($C1439=12,INDEX(Input!$C$15:$CP$15,1,$B1439),0))</f>
        <v/>
      </c>
      <c r="V1439" s="150" t="str">
        <f>IF(E1439="","",IF(C1439=1,IF($B1439=1,Input!$C$33,Input!$C$34),0))</f>
        <v/>
      </c>
      <c r="W1439" s="156" t="str">
        <f>IF($E1439="","",Input!$C$35)</f>
        <v/>
      </c>
      <c r="X1439" s="156" t="str">
        <f t="shared" si="903"/>
        <v/>
      </c>
      <c r="Y1439" s="154"/>
      <c r="Z1439" s="147" t="str">
        <f>IF($E1439="","",VLOOKUP($D1439,'Mortality Margins &amp; Grading'!$AB$5:$AF$125,3,0)*IF(Summary!$D$25="Included Margin",IF(AND($B1439&gt;Input!$C$9,Summary!$D$31&lt;&gt;"Included Margin"),0,1),0))</f>
        <v/>
      </c>
      <c r="AA1439" s="147" t="str">
        <f>IF($E1439="","",VLOOKUP($D1439,'Mortality Margins &amp; Grading'!$AB$5:$AF$125,5,0)*IF(Summary!$D$25="Included Margin",IF(AND($B1439&gt;Input!$C$9,Summary!$D$31&lt;&gt;"Included Margin"),0,1),0))</f>
        <v/>
      </c>
      <c r="AB1439" s="147" t="str">
        <f>IF($E1439="","",IF(AND($B1439&gt;Input!$C$9,Summary!$D$31&lt;&gt;"Included Margin"),1,IF(Summary!$D$25="Included Margin",VLOOKUP($B1439,'Mortality Margins &amp; Grading'!$AI$5:$AR$125,MATCH('Mortality Margins &amp; Grading'!$AQ$4,'Mortality Margins &amp; Grading'!$AI$4:$AR$4,0),0),1)))</f>
        <v/>
      </c>
      <c r="AC1439" s="154"/>
      <c r="AD1439" s="158" t="str">
        <f>IF(E1439="","",Input!$C$48*IF(Summary!$D$30="Included Margin",IF(AND($B1439&gt;Input!$C$9,Summary!$D$31&lt;&gt;"Included Margin"),0,1),0))</f>
        <v/>
      </c>
      <c r="AE1439" s="159" t="str">
        <f>IF(E1439="","",IF(Summary!$D$26="Included Margin",IF(AND($B1439&gt;Input!$C$9,Summary!$D$31&lt;&gt;"Included Margin"),1,1/$R1439),1))</f>
        <v/>
      </c>
      <c r="AF1439" s="160" t="str">
        <f>IF(E1439="","",IF(AND($B1439&gt;=Input!$C$9,$C1439=12,Summary!$D$31="Included Margin",$U1439&gt;0),1/U1439-1,IF($B1439&gt;=Input!$C$9,0,Input!$C$45*IF(Summary!$D$27="Included Margin",1,0))))</f>
        <v/>
      </c>
      <c r="AG1439" s="160" t="str">
        <f>IF(E1439="","",Input!$C$46*IF(Summary!$D$28="Included Margin",IF(AND($B1439&gt;Input!$C$9,Summary!$D$31&lt;&gt;"Included Margin"),0,1),0))</f>
        <v/>
      </c>
      <c r="AH1439" s="158" t="str">
        <f>IF(E1439="","",Input!$C$47*IF(Summary!$D$29="Included Margin",IF(AND($B1439&gt;Input!$C$9,Summary!$D$31&lt;&gt;"Included Margin"),0,1),0))</f>
        <v/>
      </c>
      <c r="AI1439" s="154"/>
      <c r="AJ1439" s="158" t="str">
        <f t="shared" si="914"/>
        <v/>
      </c>
      <c r="AK1439" s="150" t="str">
        <f t="shared" si="915"/>
        <v/>
      </c>
      <c r="AL1439" s="147" t="str">
        <f t="shared" si="916"/>
        <v/>
      </c>
      <c r="AM1439" s="147" t="str">
        <f t="shared" si="904"/>
        <v/>
      </c>
      <c r="AN1439" s="160" t="str">
        <f t="shared" si="917"/>
        <v/>
      </c>
      <c r="AO1439" s="161" t="str">
        <f t="shared" si="918"/>
        <v/>
      </c>
      <c r="AP1439" s="156" t="str">
        <f t="shared" si="905"/>
        <v/>
      </c>
      <c r="AQ1439" s="152"/>
      <c r="AR1439" s="162" t="str">
        <f t="shared" si="906"/>
        <v/>
      </c>
      <c r="AS1439" s="150" t="str">
        <f t="shared" si="919"/>
        <v/>
      </c>
      <c r="AT1439" s="163" t="str">
        <f t="shared" si="907"/>
        <v/>
      </c>
      <c r="AU1439" s="163" t="str">
        <f t="shared" si="908"/>
        <v/>
      </c>
      <c r="AV1439" s="163" t="str">
        <f t="shared" si="920"/>
        <v/>
      </c>
      <c r="AW1439" s="163" t="str">
        <f t="shared" si="909"/>
        <v/>
      </c>
      <c r="AX1439" s="163" t="str">
        <f t="shared" si="910"/>
        <v/>
      </c>
      <c r="AY1439" s="150" t="str">
        <f t="shared" si="921"/>
        <v/>
      </c>
      <c r="AZ1439" s="150" t="str">
        <f>IF($E1439="","",IF(OR(AND($D1439=Input!$C$6,$C1439=12),$AN1439=1),0,-AS1440+AT1440+AU1440-AV1440-AW1440-AX1440+AZ1440))</f>
        <v/>
      </c>
      <c r="BA1439" s="154" t="str">
        <f t="shared" si="911"/>
        <v/>
      </c>
      <c r="BC1439" s="147" t="str">
        <f t="shared" si="922"/>
        <v/>
      </c>
      <c r="BD1439" s="164" t="str">
        <f>IF(AND($C1438=12,$D1438=Input!$C$6),0,IF($E1439="","",AT1439+(AU1439+BD1440)/(1+$AK1439)*MIN((1-AM1439-AN1439),1)))</f>
        <v/>
      </c>
      <c r="BH1439" s="152"/>
      <c r="BI1439" s="162" t="str">
        <f t="shared" si="930"/>
        <v/>
      </c>
      <c r="BJ1439" s="150" t="str">
        <f t="shared" si="931"/>
        <v/>
      </c>
      <c r="BK1439" s="163" t="str">
        <f t="shared" si="927"/>
        <v/>
      </c>
      <c r="BL1439" s="163" t="str">
        <f t="shared" si="932"/>
        <v/>
      </c>
      <c r="BM1439" s="163" t="str">
        <f t="shared" si="928"/>
        <v/>
      </c>
      <c r="BN1439" s="163" t="str">
        <f t="shared" si="933"/>
        <v/>
      </c>
      <c r="BO1439" s="163" t="str">
        <f t="shared" si="934"/>
        <v/>
      </c>
      <c r="BP1439" s="150" t="str">
        <f t="shared" si="929"/>
        <v/>
      </c>
      <c r="BQ1439" s="150" t="str">
        <f t="shared" si="923"/>
        <v/>
      </c>
      <c r="BR1439" s="154" t="str">
        <f t="shared" si="935"/>
        <v/>
      </c>
      <c r="BT1439" s="147"/>
    </row>
    <row r="1440" spans="1:72" s="150" customFormat="1" x14ac:dyDescent="0.25">
      <c r="A1440" s="150" t="str">
        <f t="shared" si="924"/>
        <v/>
      </c>
      <c r="B1440" s="150" t="str">
        <f t="shared" si="925"/>
        <v/>
      </c>
      <c r="C1440" s="150" t="str">
        <f t="shared" si="926"/>
        <v/>
      </c>
      <c r="D1440" s="150" t="str">
        <f>IF(E1440="","",Input!$C$4+B1440-1)</f>
        <v/>
      </c>
      <c r="E1440" s="150" t="str">
        <f>IF(OR(AND(C1439=12,D1439=Input!$C$6),E1439=""),"",1)</f>
        <v/>
      </c>
      <c r="G1440" s="151" t="str">
        <f>IF(E1440="","",MAX(0,Input!$C$9-B1440))</f>
        <v/>
      </c>
      <c r="H1440" s="152" t="str">
        <f>IF(E1440="","",Input!$C$3)</f>
        <v/>
      </c>
      <c r="I1440" s="153" t="str">
        <f>IF(E1440="","",HLOOKUP($B1440,Input!$C$13:$BT$14,2))</f>
        <v/>
      </c>
      <c r="J1440" s="154"/>
      <c r="K1440" s="150" t="str">
        <f>IF($E1440="","",INDEX(Input!$C$16:$CP$16,1,$B1440))</f>
        <v/>
      </c>
      <c r="L1440" s="150" t="str">
        <f>IF($E1440="","",Input!$C$37)</f>
        <v/>
      </c>
      <c r="M1440" s="150" t="str">
        <f t="shared" si="912"/>
        <v/>
      </c>
      <c r="N1440" s="150" t="str">
        <f t="shared" si="913"/>
        <v/>
      </c>
      <c r="O1440" s="147" t="str">
        <f>IF($E1440="","",MIN(VLOOKUP(IF($B1440&lt;=Input!$C$7,$B1440,26),'Mortality Tables'!$A$41:$CW$67,IF($B1440&lt;=Input!$C$7+1,Input!$C$4+2,$D1440-Input!$C$7+2),0)*IF(B1440&gt;20,Input!$C$22,1)/1000,1))</f>
        <v/>
      </c>
      <c r="P1440" s="147" t="str">
        <f>IF($E1440="","",MIN(VLOOKUP(IF($B1440&lt;=Input!$C$7,$B1440,26),'Mortality Tables'!$A$12:$CW$37,IF($B1440&lt;=Input!$C$7+1,Input!$C$4+2,$D1440-Input!$C$7+2),0)*IF(B1440&gt;20,Input!$C$22,1)/1000,1))</f>
        <v/>
      </c>
      <c r="Q1440" s="155" t="str">
        <f>IF($E1440="","",Input!$C$21)</f>
        <v/>
      </c>
      <c r="R1440" s="159" t="str">
        <f>IF($E1440="","",(1-Q1440)^($F1440-Input!$C$20))</f>
        <v/>
      </c>
      <c r="S1440" s="147" t="str">
        <f t="shared" si="901"/>
        <v/>
      </c>
      <c r="T1440" s="147" t="str">
        <f t="shared" si="902"/>
        <v/>
      </c>
      <c r="U1440" s="160" t="str">
        <f>IF($E1440="","",IF($C1440=12,INDEX(Input!$C$15:$CP$15,1,$B1440),0))</f>
        <v/>
      </c>
      <c r="V1440" s="150" t="str">
        <f>IF(E1440="","",IF(C1440=1,IF($B1440=1,Input!$C$33,Input!$C$34),0))</f>
        <v/>
      </c>
      <c r="W1440" s="156" t="str">
        <f>IF($E1440="","",Input!$C$35)</f>
        <v/>
      </c>
      <c r="X1440" s="156" t="str">
        <f t="shared" si="903"/>
        <v/>
      </c>
      <c r="Y1440" s="154"/>
      <c r="Z1440" s="147" t="str">
        <f>IF($E1440="","",VLOOKUP($D1440,'Mortality Margins &amp; Grading'!$AB$5:$AF$125,3,0)*IF(Summary!$D$25="Included Margin",IF(AND($B1440&gt;Input!$C$9,Summary!$D$31&lt;&gt;"Included Margin"),0,1),0))</f>
        <v/>
      </c>
      <c r="AA1440" s="147" t="str">
        <f>IF($E1440="","",VLOOKUP($D1440,'Mortality Margins &amp; Grading'!$AB$5:$AF$125,5,0)*IF(Summary!$D$25="Included Margin",IF(AND($B1440&gt;Input!$C$9,Summary!$D$31&lt;&gt;"Included Margin"),0,1),0))</f>
        <v/>
      </c>
      <c r="AB1440" s="147" t="str">
        <f>IF($E1440="","",IF(AND($B1440&gt;Input!$C$9,Summary!$D$31&lt;&gt;"Included Margin"),1,IF(Summary!$D$25="Included Margin",VLOOKUP($B1440,'Mortality Margins &amp; Grading'!$AI$5:$AR$125,MATCH('Mortality Margins &amp; Grading'!$AQ$4,'Mortality Margins &amp; Grading'!$AI$4:$AR$4,0),0),1)))</f>
        <v/>
      </c>
      <c r="AC1440" s="154"/>
      <c r="AD1440" s="158" t="str">
        <f>IF(E1440="","",Input!$C$48*IF(Summary!$D$30="Included Margin",IF(AND($B1440&gt;Input!$C$9,Summary!$D$31&lt;&gt;"Included Margin"),0,1),0))</f>
        <v/>
      </c>
      <c r="AE1440" s="159" t="str">
        <f>IF(E1440="","",IF(Summary!$D$26="Included Margin",IF(AND($B1440&gt;Input!$C$9,Summary!$D$31&lt;&gt;"Included Margin"),1,1/$R1440),1))</f>
        <v/>
      </c>
      <c r="AF1440" s="160" t="str">
        <f>IF(E1440="","",IF(AND($B1440&gt;=Input!$C$9,$C1440=12,Summary!$D$31="Included Margin",$U1440&gt;0),1/U1440-1,IF($B1440&gt;=Input!$C$9,0,Input!$C$45*IF(Summary!$D$27="Included Margin",1,0))))</f>
        <v/>
      </c>
      <c r="AG1440" s="160" t="str">
        <f>IF(E1440="","",Input!$C$46*IF(Summary!$D$28="Included Margin",IF(AND($B1440&gt;Input!$C$9,Summary!$D$31&lt;&gt;"Included Margin"),0,1),0))</f>
        <v/>
      </c>
      <c r="AH1440" s="158" t="str">
        <f>IF(E1440="","",Input!$C$47*IF(Summary!$D$29="Included Margin",IF(AND($B1440&gt;Input!$C$9,Summary!$D$31&lt;&gt;"Included Margin"),0,1),0))</f>
        <v/>
      </c>
      <c r="AI1440" s="154"/>
      <c r="AJ1440" s="158" t="str">
        <f t="shared" si="914"/>
        <v/>
      </c>
      <c r="AK1440" s="150" t="str">
        <f t="shared" si="915"/>
        <v/>
      </c>
      <c r="AL1440" s="147" t="str">
        <f t="shared" si="916"/>
        <v/>
      </c>
      <c r="AM1440" s="147" t="str">
        <f t="shared" si="904"/>
        <v/>
      </c>
      <c r="AN1440" s="160" t="str">
        <f t="shared" si="917"/>
        <v/>
      </c>
      <c r="AO1440" s="161" t="str">
        <f t="shared" si="918"/>
        <v/>
      </c>
      <c r="AP1440" s="156" t="str">
        <f t="shared" si="905"/>
        <v/>
      </c>
      <c r="AQ1440" s="152"/>
      <c r="AR1440" s="162" t="str">
        <f t="shared" si="906"/>
        <v/>
      </c>
      <c r="AS1440" s="150" t="str">
        <f t="shared" si="919"/>
        <v/>
      </c>
      <c r="AT1440" s="163" t="str">
        <f t="shared" si="907"/>
        <v/>
      </c>
      <c r="AU1440" s="163" t="str">
        <f t="shared" si="908"/>
        <v/>
      </c>
      <c r="AV1440" s="163" t="str">
        <f t="shared" si="920"/>
        <v/>
      </c>
      <c r="AW1440" s="163" t="str">
        <f t="shared" si="909"/>
        <v/>
      </c>
      <c r="AX1440" s="163" t="str">
        <f t="shared" si="910"/>
        <v/>
      </c>
      <c r="AY1440" s="150" t="str">
        <f t="shared" si="921"/>
        <v/>
      </c>
      <c r="AZ1440" s="150" t="str">
        <f>IF($E1440="","",IF(OR(AND($D1440=Input!$C$6,$C1440=12),$AN1440=1),0,-AS1441+AT1441+AU1441-AV1441-AW1441-AX1441+AZ1441))</f>
        <v/>
      </c>
      <c r="BA1440" s="154" t="str">
        <f t="shared" si="911"/>
        <v/>
      </c>
      <c r="BC1440" s="147" t="str">
        <f t="shared" si="922"/>
        <v/>
      </c>
      <c r="BD1440" s="164" t="str">
        <f>IF(AND($C1439=12,$D1439=Input!$C$6),0,IF($E1440="","",AT1440+(AU1440+BD1441)/(1+$AK1440)*MIN((1-AM1440-AN1440),1)))</f>
        <v/>
      </c>
      <c r="BH1440" s="152"/>
      <c r="BI1440" s="162" t="str">
        <f t="shared" si="930"/>
        <v/>
      </c>
      <c r="BJ1440" s="150" t="str">
        <f t="shared" si="931"/>
        <v/>
      </c>
      <c r="BK1440" s="163" t="str">
        <f t="shared" si="927"/>
        <v/>
      </c>
      <c r="BL1440" s="163" t="str">
        <f t="shared" si="932"/>
        <v/>
      </c>
      <c r="BM1440" s="163" t="str">
        <f t="shared" si="928"/>
        <v/>
      </c>
      <c r="BN1440" s="163" t="str">
        <f t="shared" si="933"/>
        <v/>
      </c>
      <c r="BO1440" s="163" t="str">
        <f t="shared" si="934"/>
        <v/>
      </c>
      <c r="BP1440" s="150" t="str">
        <f t="shared" si="929"/>
        <v/>
      </c>
      <c r="BQ1440" s="150" t="str">
        <f t="shared" si="923"/>
        <v/>
      </c>
      <c r="BR1440" s="154" t="str">
        <f t="shared" si="935"/>
        <v/>
      </c>
      <c r="BT1440" s="147"/>
    </row>
    <row r="1441" spans="1:72" s="150" customFormat="1" x14ac:dyDescent="0.25">
      <c r="A1441" s="150" t="str">
        <f t="shared" si="924"/>
        <v/>
      </c>
      <c r="B1441" s="150" t="str">
        <f t="shared" si="925"/>
        <v/>
      </c>
      <c r="C1441" s="150" t="str">
        <f t="shared" si="926"/>
        <v/>
      </c>
      <c r="D1441" s="150" t="str">
        <f>IF(E1441="","",Input!$C$4+B1441-1)</f>
        <v/>
      </c>
      <c r="E1441" s="150" t="str">
        <f>IF(OR(AND(C1440=12,D1440=Input!$C$6),E1440=""),"",1)</f>
        <v/>
      </c>
      <c r="G1441" s="151" t="str">
        <f>IF(E1441="","",MAX(0,Input!$C$9-B1441))</f>
        <v/>
      </c>
      <c r="H1441" s="152" t="str">
        <f>IF(E1441="","",Input!$C$3)</f>
        <v/>
      </c>
      <c r="I1441" s="153" t="str">
        <f>IF(E1441="","",HLOOKUP($B1441,Input!$C$13:$BT$14,2))</f>
        <v/>
      </c>
      <c r="J1441" s="154"/>
      <c r="K1441" s="150" t="str">
        <f>IF($E1441="","",INDEX(Input!$C$16:$CP$16,1,$B1441))</f>
        <v/>
      </c>
      <c r="L1441" s="150" t="str">
        <f>IF($E1441="","",Input!$C$37)</f>
        <v/>
      </c>
      <c r="M1441" s="150" t="str">
        <f t="shared" si="912"/>
        <v/>
      </c>
      <c r="N1441" s="150" t="str">
        <f t="shared" si="913"/>
        <v/>
      </c>
      <c r="O1441" s="147" t="str">
        <f>IF($E1441="","",MIN(VLOOKUP(IF($B1441&lt;=Input!$C$7,$B1441,26),'Mortality Tables'!$A$41:$CW$67,IF($B1441&lt;=Input!$C$7+1,Input!$C$4+2,$D1441-Input!$C$7+2),0)*IF(B1441&gt;20,Input!$C$22,1)/1000,1))</f>
        <v/>
      </c>
      <c r="P1441" s="147" t="str">
        <f>IF($E1441="","",MIN(VLOOKUP(IF($B1441&lt;=Input!$C$7,$B1441,26),'Mortality Tables'!$A$12:$CW$37,IF($B1441&lt;=Input!$C$7+1,Input!$C$4+2,$D1441-Input!$C$7+2),0)*IF(B1441&gt;20,Input!$C$22,1)/1000,1))</f>
        <v/>
      </c>
      <c r="Q1441" s="155" t="str">
        <f>IF($E1441="","",Input!$C$21)</f>
        <v/>
      </c>
      <c r="R1441" s="159" t="str">
        <f>IF($E1441="","",(1-Q1441)^($F1441-Input!$C$20))</f>
        <v/>
      </c>
      <c r="S1441" s="147" t="str">
        <f t="shared" si="901"/>
        <v/>
      </c>
      <c r="T1441" s="147" t="str">
        <f t="shared" si="902"/>
        <v/>
      </c>
      <c r="U1441" s="160" t="str">
        <f>IF($E1441="","",IF($C1441=12,INDEX(Input!$C$15:$CP$15,1,$B1441),0))</f>
        <v/>
      </c>
      <c r="V1441" s="150" t="str">
        <f>IF(E1441="","",IF(C1441=1,IF($B1441=1,Input!$C$33,Input!$C$34),0))</f>
        <v/>
      </c>
      <c r="W1441" s="156" t="str">
        <f>IF($E1441="","",Input!$C$35)</f>
        <v/>
      </c>
      <c r="X1441" s="156" t="str">
        <f t="shared" si="903"/>
        <v/>
      </c>
      <c r="Y1441" s="154"/>
      <c r="Z1441" s="147" t="str">
        <f>IF($E1441="","",VLOOKUP($D1441,'Mortality Margins &amp; Grading'!$AB$5:$AF$125,3,0)*IF(Summary!$D$25="Included Margin",IF(AND($B1441&gt;Input!$C$9,Summary!$D$31&lt;&gt;"Included Margin"),0,1),0))</f>
        <v/>
      </c>
      <c r="AA1441" s="147" t="str">
        <f>IF($E1441="","",VLOOKUP($D1441,'Mortality Margins &amp; Grading'!$AB$5:$AF$125,5,0)*IF(Summary!$D$25="Included Margin",IF(AND($B1441&gt;Input!$C$9,Summary!$D$31&lt;&gt;"Included Margin"),0,1),0))</f>
        <v/>
      </c>
      <c r="AB1441" s="147" t="str">
        <f>IF($E1441="","",IF(AND($B1441&gt;Input!$C$9,Summary!$D$31&lt;&gt;"Included Margin"),1,IF(Summary!$D$25="Included Margin",VLOOKUP($B1441,'Mortality Margins &amp; Grading'!$AI$5:$AR$125,MATCH('Mortality Margins &amp; Grading'!$AQ$4,'Mortality Margins &amp; Grading'!$AI$4:$AR$4,0),0),1)))</f>
        <v/>
      </c>
      <c r="AC1441" s="154"/>
      <c r="AD1441" s="158" t="str">
        <f>IF(E1441="","",Input!$C$48*IF(Summary!$D$30="Included Margin",IF(AND($B1441&gt;Input!$C$9,Summary!$D$31&lt;&gt;"Included Margin"),0,1),0))</f>
        <v/>
      </c>
      <c r="AE1441" s="159" t="str">
        <f>IF(E1441="","",IF(Summary!$D$26="Included Margin",IF(AND($B1441&gt;Input!$C$9,Summary!$D$31&lt;&gt;"Included Margin"),1,1/$R1441),1))</f>
        <v/>
      </c>
      <c r="AF1441" s="160" t="str">
        <f>IF(E1441="","",IF(AND($B1441&gt;=Input!$C$9,$C1441=12,Summary!$D$31="Included Margin",$U1441&gt;0),1/U1441-1,IF($B1441&gt;=Input!$C$9,0,Input!$C$45*IF(Summary!$D$27="Included Margin",1,0))))</f>
        <v/>
      </c>
      <c r="AG1441" s="160" t="str">
        <f>IF(E1441="","",Input!$C$46*IF(Summary!$D$28="Included Margin",IF(AND($B1441&gt;Input!$C$9,Summary!$D$31&lt;&gt;"Included Margin"),0,1),0))</f>
        <v/>
      </c>
      <c r="AH1441" s="158" t="str">
        <f>IF(E1441="","",Input!$C$47*IF(Summary!$D$29="Included Margin",IF(AND($B1441&gt;Input!$C$9,Summary!$D$31&lt;&gt;"Included Margin"),0,1),0))</f>
        <v/>
      </c>
      <c r="AI1441" s="154"/>
      <c r="AJ1441" s="158" t="str">
        <f t="shared" si="914"/>
        <v/>
      </c>
      <c r="AK1441" s="150" t="str">
        <f t="shared" si="915"/>
        <v/>
      </c>
      <c r="AL1441" s="147" t="str">
        <f t="shared" si="916"/>
        <v/>
      </c>
      <c r="AM1441" s="147" t="str">
        <f t="shared" si="904"/>
        <v/>
      </c>
      <c r="AN1441" s="160" t="str">
        <f t="shared" si="917"/>
        <v/>
      </c>
      <c r="AO1441" s="161" t="str">
        <f t="shared" si="918"/>
        <v/>
      </c>
      <c r="AP1441" s="156" t="str">
        <f t="shared" si="905"/>
        <v/>
      </c>
      <c r="AQ1441" s="152"/>
      <c r="AR1441" s="162" t="str">
        <f t="shared" si="906"/>
        <v/>
      </c>
      <c r="AS1441" s="150" t="str">
        <f t="shared" si="919"/>
        <v/>
      </c>
      <c r="AT1441" s="163" t="str">
        <f t="shared" si="907"/>
        <v/>
      </c>
      <c r="AU1441" s="163" t="str">
        <f t="shared" si="908"/>
        <v/>
      </c>
      <c r="AV1441" s="163" t="str">
        <f t="shared" si="920"/>
        <v/>
      </c>
      <c r="AW1441" s="163" t="str">
        <f t="shared" si="909"/>
        <v/>
      </c>
      <c r="AX1441" s="163" t="str">
        <f t="shared" si="910"/>
        <v/>
      </c>
      <c r="AY1441" s="150" t="str">
        <f t="shared" si="921"/>
        <v/>
      </c>
      <c r="AZ1441" s="150" t="str">
        <f>IF($E1441="","",IF(OR(AND($D1441=Input!$C$6,$C1441=12),$AN1441=1),0,-AS1442+AT1442+AU1442-AV1442-AW1442-AX1442+AZ1442))</f>
        <v/>
      </c>
      <c r="BA1441" s="154" t="str">
        <f t="shared" si="911"/>
        <v/>
      </c>
      <c r="BC1441" s="147" t="str">
        <f t="shared" si="922"/>
        <v/>
      </c>
      <c r="BD1441" s="164" t="str">
        <f>IF(AND($C1440=12,$D1440=Input!$C$6),0,IF($E1441="","",AT1441+(AU1441+BD1442)/(1+$AK1441)*MIN((1-AM1441-AN1441),1)))</f>
        <v/>
      </c>
      <c r="BH1441" s="152"/>
      <c r="BI1441" s="162" t="str">
        <f t="shared" si="930"/>
        <v/>
      </c>
      <c r="BJ1441" s="150" t="str">
        <f t="shared" si="931"/>
        <v/>
      </c>
      <c r="BK1441" s="163" t="str">
        <f t="shared" si="927"/>
        <v/>
      </c>
      <c r="BL1441" s="163" t="str">
        <f t="shared" si="932"/>
        <v/>
      </c>
      <c r="BM1441" s="163" t="str">
        <f t="shared" si="928"/>
        <v/>
      </c>
      <c r="BN1441" s="163" t="str">
        <f t="shared" si="933"/>
        <v/>
      </c>
      <c r="BO1441" s="163" t="str">
        <f t="shared" si="934"/>
        <v/>
      </c>
      <c r="BP1441" s="150" t="str">
        <f t="shared" si="929"/>
        <v/>
      </c>
      <c r="BQ1441" s="150" t="str">
        <f t="shared" si="923"/>
        <v/>
      </c>
      <c r="BR1441" s="154" t="str">
        <f t="shared" si="935"/>
        <v/>
      </c>
      <c r="BT1441" s="147"/>
    </row>
    <row r="1442" spans="1:72" s="150" customFormat="1" x14ac:dyDescent="0.25">
      <c r="A1442" s="150" t="str">
        <f t="shared" si="924"/>
        <v/>
      </c>
      <c r="B1442" s="150" t="str">
        <f t="shared" si="925"/>
        <v/>
      </c>
      <c r="C1442" s="150" t="str">
        <f t="shared" si="926"/>
        <v/>
      </c>
      <c r="D1442" s="150" t="str">
        <f>IF(E1442="","",Input!$C$4+B1442-1)</f>
        <v/>
      </c>
      <c r="E1442" s="150" t="str">
        <f>IF(OR(AND(C1441=12,D1441=Input!$C$6),E1441=""),"",1)</f>
        <v/>
      </c>
      <c r="G1442" s="151" t="str">
        <f>IF(E1442="","",MAX(0,Input!$C$9-B1442))</f>
        <v/>
      </c>
      <c r="H1442" s="152" t="str">
        <f>IF(E1442="","",Input!$C$3)</f>
        <v/>
      </c>
      <c r="I1442" s="153" t="str">
        <f>IF(E1442="","",HLOOKUP($B1442,Input!$C$13:$BT$14,2))</f>
        <v/>
      </c>
      <c r="J1442" s="154"/>
      <c r="K1442" s="150" t="str">
        <f>IF($E1442="","",INDEX(Input!$C$16:$CP$16,1,$B1442))</f>
        <v/>
      </c>
      <c r="L1442" s="150" t="str">
        <f>IF($E1442="","",Input!$C$37)</f>
        <v/>
      </c>
      <c r="M1442" s="150" t="str">
        <f t="shared" si="912"/>
        <v/>
      </c>
      <c r="N1442" s="150" t="str">
        <f t="shared" si="913"/>
        <v/>
      </c>
      <c r="O1442" s="147" t="str">
        <f>IF($E1442="","",MIN(VLOOKUP(IF($B1442&lt;=Input!$C$7,$B1442,26),'Mortality Tables'!$A$41:$CW$67,IF($B1442&lt;=Input!$C$7+1,Input!$C$4+2,$D1442-Input!$C$7+2),0)*IF(B1442&gt;20,Input!$C$22,1)/1000,1))</f>
        <v/>
      </c>
      <c r="P1442" s="147" t="str">
        <f>IF($E1442="","",MIN(VLOOKUP(IF($B1442&lt;=Input!$C$7,$B1442,26),'Mortality Tables'!$A$12:$CW$37,IF($B1442&lt;=Input!$C$7+1,Input!$C$4+2,$D1442-Input!$C$7+2),0)*IF(B1442&gt;20,Input!$C$22,1)/1000,1))</f>
        <v/>
      </c>
      <c r="Q1442" s="155" t="str">
        <f>IF($E1442="","",Input!$C$21)</f>
        <v/>
      </c>
      <c r="R1442" s="159" t="str">
        <f>IF($E1442="","",(1-Q1442)^($F1442-Input!$C$20))</f>
        <v/>
      </c>
      <c r="S1442" s="147" t="str">
        <f t="shared" si="901"/>
        <v/>
      </c>
      <c r="T1442" s="147" t="str">
        <f t="shared" si="902"/>
        <v/>
      </c>
      <c r="U1442" s="160" t="str">
        <f>IF($E1442="","",IF($C1442=12,INDEX(Input!$C$15:$CP$15,1,$B1442),0))</f>
        <v/>
      </c>
      <c r="V1442" s="150" t="str">
        <f>IF(E1442="","",IF(C1442=1,IF($B1442=1,Input!$C$33,Input!$C$34),0))</f>
        <v/>
      </c>
      <c r="W1442" s="156" t="str">
        <f>IF($E1442="","",Input!$C$35)</f>
        <v/>
      </c>
      <c r="X1442" s="156" t="str">
        <f t="shared" si="903"/>
        <v/>
      </c>
      <c r="Y1442" s="154"/>
      <c r="Z1442" s="147" t="str">
        <f>IF($E1442="","",VLOOKUP($D1442,'Mortality Margins &amp; Grading'!$AB$5:$AF$125,3,0)*IF(Summary!$D$25="Included Margin",IF(AND($B1442&gt;Input!$C$9,Summary!$D$31&lt;&gt;"Included Margin"),0,1),0))</f>
        <v/>
      </c>
      <c r="AA1442" s="147" t="str">
        <f>IF($E1442="","",VLOOKUP($D1442,'Mortality Margins &amp; Grading'!$AB$5:$AF$125,5,0)*IF(Summary!$D$25="Included Margin",IF(AND($B1442&gt;Input!$C$9,Summary!$D$31&lt;&gt;"Included Margin"),0,1),0))</f>
        <v/>
      </c>
      <c r="AB1442" s="147" t="str">
        <f>IF($E1442="","",IF(AND($B1442&gt;Input!$C$9,Summary!$D$31&lt;&gt;"Included Margin"),1,IF(Summary!$D$25="Included Margin",VLOOKUP($B1442,'Mortality Margins &amp; Grading'!$AI$5:$AR$125,MATCH('Mortality Margins &amp; Grading'!$AQ$4,'Mortality Margins &amp; Grading'!$AI$4:$AR$4,0),0),1)))</f>
        <v/>
      </c>
      <c r="AC1442" s="154"/>
      <c r="AD1442" s="158" t="str">
        <f>IF(E1442="","",Input!$C$48*IF(Summary!$D$30="Included Margin",IF(AND($B1442&gt;Input!$C$9,Summary!$D$31&lt;&gt;"Included Margin"),0,1),0))</f>
        <v/>
      </c>
      <c r="AE1442" s="159" t="str">
        <f>IF(E1442="","",IF(Summary!$D$26="Included Margin",IF(AND($B1442&gt;Input!$C$9,Summary!$D$31&lt;&gt;"Included Margin"),1,1/$R1442),1))</f>
        <v/>
      </c>
      <c r="AF1442" s="160" t="str">
        <f>IF(E1442="","",IF(AND($B1442&gt;=Input!$C$9,$C1442=12,Summary!$D$31="Included Margin",$U1442&gt;0),1/U1442-1,IF($B1442&gt;=Input!$C$9,0,Input!$C$45*IF(Summary!$D$27="Included Margin",1,0))))</f>
        <v/>
      </c>
      <c r="AG1442" s="160" t="str">
        <f>IF(E1442="","",Input!$C$46*IF(Summary!$D$28="Included Margin",IF(AND($B1442&gt;Input!$C$9,Summary!$D$31&lt;&gt;"Included Margin"),0,1),0))</f>
        <v/>
      </c>
      <c r="AH1442" s="158" t="str">
        <f>IF(E1442="","",Input!$C$47*IF(Summary!$D$29="Included Margin",IF(AND($B1442&gt;Input!$C$9,Summary!$D$31&lt;&gt;"Included Margin"),0,1),0))</f>
        <v/>
      </c>
      <c r="AI1442" s="154"/>
      <c r="AJ1442" s="158" t="str">
        <f t="shared" si="914"/>
        <v/>
      </c>
      <c r="AK1442" s="150" t="str">
        <f t="shared" si="915"/>
        <v/>
      </c>
      <c r="AL1442" s="147" t="str">
        <f t="shared" si="916"/>
        <v/>
      </c>
      <c r="AM1442" s="147" t="str">
        <f t="shared" si="904"/>
        <v/>
      </c>
      <c r="AN1442" s="160" t="str">
        <f t="shared" si="917"/>
        <v/>
      </c>
      <c r="AO1442" s="161" t="str">
        <f t="shared" si="918"/>
        <v/>
      </c>
      <c r="AP1442" s="156" t="str">
        <f t="shared" si="905"/>
        <v/>
      </c>
      <c r="AQ1442" s="152"/>
      <c r="AR1442" s="162" t="str">
        <f t="shared" si="906"/>
        <v/>
      </c>
      <c r="AS1442" s="150" t="str">
        <f t="shared" si="919"/>
        <v/>
      </c>
      <c r="AT1442" s="163" t="str">
        <f t="shared" si="907"/>
        <v/>
      </c>
      <c r="AU1442" s="163" t="str">
        <f t="shared" si="908"/>
        <v/>
      </c>
      <c r="AV1442" s="163" t="str">
        <f t="shared" si="920"/>
        <v/>
      </c>
      <c r="AW1442" s="163" t="str">
        <f t="shared" si="909"/>
        <v/>
      </c>
      <c r="AX1442" s="163" t="str">
        <f t="shared" si="910"/>
        <v/>
      </c>
      <c r="AY1442" s="150" t="str">
        <f t="shared" si="921"/>
        <v/>
      </c>
      <c r="AZ1442" s="150" t="str">
        <f>IF($E1442="","",IF(OR(AND($D1442=Input!$C$6,$C1442=12),$AN1442=1),0,-AS1443+AT1443+AU1443-AV1443-AW1443-AX1443+AZ1443))</f>
        <v/>
      </c>
      <c r="BA1442" s="154" t="str">
        <f t="shared" si="911"/>
        <v/>
      </c>
      <c r="BC1442" s="147" t="str">
        <f t="shared" si="922"/>
        <v/>
      </c>
      <c r="BD1442" s="164" t="str">
        <f>IF(AND($C1441=12,$D1441=Input!$C$6),0,IF($E1442="","",AT1442+(AU1442+BD1443)/(1+$AK1442)*MIN((1-AM1442-AN1442),1)))</f>
        <v/>
      </c>
      <c r="BH1442" s="152"/>
      <c r="BI1442" s="162" t="str">
        <f t="shared" si="930"/>
        <v/>
      </c>
      <c r="BJ1442" s="150" t="str">
        <f t="shared" si="931"/>
        <v/>
      </c>
      <c r="BK1442" s="163" t="str">
        <f t="shared" si="927"/>
        <v/>
      </c>
      <c r="BL1442" s="163" t="str">
        <f t="shared" si="932"/>
        <v/>
      </c>
      <c r="BM1442" s="163" t="str">
        <f t="shared" si="928"/>
        <v/>
      </c>
      <c r="BN1442" s="163" t="str">
        <f t="shared" si="933"/>
        <v/>
      </c>
      <c r="BO1442" s="163" t="str">
        <f t="shared" si="934"/>
        <v/>
      </c>
      <c r="BP1442" s="150" t="str">
        <f t="shared" si="929"/>
        <v/>
      </c>
      <c r="BQ1442" s="150" t="str">
        <f t="shared" si="923"/>
        <v/>
      </c>
      <c r="BR1442" s="154" t="str">
        <f t="shared" si="935"/>
        <v/>
      </c>
      <c r="BT1442" s="147"/>
    </row>
    <row r="1443" spans="1:72" s="150" customFormat="1" x14ac:dyDescent="0.25">
      <c r="A1443" s="150" t="str">
        <f t="shared" si="924"/>
        <v/>
      </c>
      <c r="B1443" s="150" t="str">
        <f t="shared" si="925"/>
        <v/>
      </c>
      <c r="C1443" s="150" t="str">
        <f t="shared" si="926"/>
        <v/>
      </c>
      <c r="D1443" s="150" t="str">
        <f>IF(E1443="","",Input!$C$4+B1443-1)</f>
        <v/>
      </c>
      <c r="E1443" s="150" t="str">
        <f>IF(OR(AND(C1442=12,D1442=Input!$C$6),E1442=""),"",1)</f>
        <v/>
      </c>
      <c r="G1443" s="151" t="str">
        <f>IF(E1443="","",MAX(0,Input!$C$9-B1443))</f>
        <v/>
      </c>
      <c r="H1443" s="152" t="str">
        <f>IF(E1443="","",Input!$C$3)</f>
        <v/>
      </c>
      <c r="I1443" s="153" t="str">
        <f>IF(E1443="","",HLOOKUP($B1443,Input!$C$13:$BT$14,2))</f>
        <v/>
      </c>
      <c r="J1443" s="154"/>
      <c r="K1443" s="150" t="str">
        <f>IF($E1443="","",INDEX(Input!$C$16:$CP$16,1,$B1443))</f>
        <v/>
      </c>
      <c r="L1443" s="150" t="str">
        <f>IF($E1443="","",Input!$C$37)</f>
        <v/>
      </c>
      <c r="M1443" s="150" t="str">
        <f t="shared" si="912"/>
        <v/>
      </c>
      <c r="N1443" s="150" t="str">
        <f t="shared" si="913"/>
        <v/>
      </c>
      <c r="O1443" s="147" t="str">
        <f>IF($E1443="","",MIN(VLOOKUP(IF($B1443&lt;=Input!$C$7,$B1443,26),'Mortality Tables'!$A$41:$CW$67,IF($B1443&lt;=Input!$C$7+1,Input!$C$4+2,$D1443-Input!$C$7+2),0)*IF(B1443&gt;20,Input!$C$22,1)/1000,1))</f>
        <v/>
      </c>
      <c r="P1443" s="147" t="str">
        <f>IF($E1443="","",MIN(VLOOKUP(IF($B1443&lt;=Input!$C$7,$B1443,26),'Mortality Tables'!$A$12:$CW$37,IF($B1443&lt;=Input!$C$7+1,Input!$C$4+2,$D1443-Input!$C$7+2),0)*IF(B1443&gt;20,Input!$C$22,1)/1000,1))</f>
        <v/>
      </c>
      <c r="Q1443" s="155" t="str">
        <f>IF($E1443="","",Input!$C$21)</f>
        <v/>
      </c>
      <c r="R1443" s="159" t="str">
        <f>IF($E1443="","",(1-Q1443)^($F1443-Input!$C$20))</f>
        <v/>
      </c>
      <c r="S1443" s="147" t="str">
        <f t="shared" si="901"/>
        <v/>
      </c>
      <c r="T1443" s="147" t="str">
        <f t="shared" si="902"/>
        <v/>
      </c>
      <c r="U1443" s="160" t="str">
        <f>IF($E1443="","",IF($C1443=12,INDEX(Input!$C$15:$CP$15,1,$B1443),0))</f>
        <v/>
      </c>
      <c r="V1443" s="150" t="str">
        <f>IF(E1443="","",IF(C1443=1,IF($B1443=1,Input!$C$33,Input!$C$34),0))</f>
        <v/>
      </c>
      <c r="W1443" s="156" t="str">
        <f>IF($E1443="","",Input!$C$35)</f>
        <v/>
      </c>
      <c r="X1443" s="156" t="str">
        <f t="shared" si="903"/>
        <v/>
      </c>
      <c r="Y1443" s="154"/>
      <c r="Z1443" s="147" t="str">
        <f>IF($E1443="","",VLOOKUP($D1443,'Mortality Margins &amp; Grading'!$AB$5:$AF$125,3,0)*IF(Summary!$D$25="Included Margin",IF(AND($B1443&gt;Input!$C$9,Summary!$D$31&lt;&gt;"Included Margin"),0,1),0))</f>
        <v/>
      </c>
      <c r="AA1443" s="147" t="str">
        <f>IF($E1443="","",VLOOKUP($D1443,'Mortality Margins &amp; Grading'!$AB$5:$AF$125,5,0)*IF(Summary!$D$25="Included Margin",IF(AND($B1443&gt;Input!$C$9,Summary!$D$31&lt;&gt;"Included Margin"),0,1),0))</f>
        <v/>
      </c>
      <c r="AB1443" s="147" t="str">
        <f>IF($E1443="","",IF(AND($B1443&gt;Input!$C$9,Summary!$D$31&lt;&gt;"Included Margin"),1,IF(Summary!$D$25="Included Margin",VLOOKUP($B1443,'Mortality Margins &amp; Grading'!$AI$5:$AR$125,MATCH('Mortality Margins &amp; Grading'!$AQ$4,'Mortality Margins &amp; Grading'!$AI$4:$AR$4,0),0),1)))</f>
        <v/>
      </c>
      <c r="AC1443" s="154"/>
      <c r="AD1443" s="158" t="str">
        <f>IF(E1443="","",Input!$C$48*IF(Summary!$D$30="Included Margin",IF(AND($B1443&gt;Input!$C$9,Summary!$D$31&lt;&gt;"Included Margin"),0,1),0))</f>
        <v/>
      </c>
      <c r="AE1443" s="159" t="str">
        <f>IF(E1443="","",IF(Summary!$D$26="Included Margin",IF(AND($B1443&gt;Input!$C$9,Summary!$D$31&lt;&gt;"Included Margin"),1,1/$R1443),1))</f>
        <v/>
      </c>
      <c r="AF1443" s="160" t="str">
        <f>IF(E1443="","",IF(AND($B1443&gt;=Input!$C$9,$C1443=12,Summary!$D$31="Included Margin",$U1443&gt;0),1/U1443-1,IF($B1443&gt;=Input!$C$9,0,Input!$C$45*IF(Summary!$D$27="Included Margin",1,0))))</f>
        <v/>
      </c>
      <c r="AG1443" s="160" t="str">
        <f>IF(E1443="","",Input!$C$46*IF(Summary!$D$28="Included Margin",IF(AND($B1443&gt;Input!$C$9,Summary!$D$31&lt;&gt;"Included Margin"),0,1),0))</f>
        <v/>
      </c>
      <c r="AH1443" s="158" t="str">
        <f>IF(E1443="","",Input!$C$47*IF(Summary!$D$29="Included Margin",IF(AND($B1443&gt;Input!$C$9,Summary!$D$31&lt;&gt;"Included Margin"),0,1),0))</f>
        <v/>
      </c>
      <c r="AI1443" s="154"/>
      <c r="AJ1443" s="158" t="str">
        <f t="shared" si="914"/>
        <v/>
      </c>
      <c r="AK1443" s="150" t="str">
        <f t="shared" si="915"/>
        <v/>
      </c>
      <c r="AL1443" s="147" t="str">
        <f t="shared" si="916"/>
        <v/>
      </c>
      <c r="AM1443" s="147" t="str">
        <f t="shared" si="904"/>
        <v/>
      </c>
      <c r="AN1443" s="160" t="str">
        <f t="shared" si="917"/>
        <v/>
      </c>
      <c r="AO1443" s="161" t="str">
        <f t="shared" si="918"/>
        <v/>
      </c>
      <c r="AP1443" s="156" t="str">
        <f t="shared" si="905"/>
        <v/>
      </c>
      <c r="AQ1443" s="152"/>
      <c r="AR1443" s="162" t="str">
        <f t="shared" si="906"/>
        <v/>
      </c>
      <c r="AS1443" s="150" t="str">
        <f t="shared" si="919"/>
        <v/>
      </c>
      <c r="AT1443" s="163" t="str">
        <f t="shared" si="907"/>
        <v/>
      </c>
      <c r="AU1443" s="163" t="str">
        <f t="shared" si="908"/>
        <v/>
      </c>
      <c r="AV1443" s="163" t="str">
        <f t="shared" si="920"/>
        <v/>
      </c>
      <c r="AW1443" s="163" t="str">
        <f t="shared" si="909"/>
        <v/>
      </c>
      <c r="AX1443" s="163" t="str">
        <f t="shared" si="910"/>
        <v/>
      </c>
      <c r="AY1443" s="150" t="str">
        <f t="shared" si="921"/>
        <v/>
      </c>
      <c r="AZ1443" s="150" t="str">
        <f>IF($E1443="","",IF(OR(AND($D1443=Input!$C$6,$C1443=12),$AN1443=1),0,-AS1444+AT1444+AU1444-AV1444-AW1444-AX1444+AZ1444))</f>
        <v/>
      </c>
      <c r="BA1443" s="154" t="str">
        <f t="shared" si="911"/>
        <v/>
      </c>
      <c r="BC1443" s="147" t="str">
        <f t="shared" si="922"/>
        <v/>
      </c>
      <c r="BD1443" s="164" t="str">
        <f>IF(AND($C1442=12,$D1442=Input!$C$6),0,IF($E1443="","",AT1443+(AU1443+BD1444)/(1+$AK1443)*MIN((1-AM1443-AN1443),1)))</f>
        <v/>
      </c>
      <c r="BH1443" s="152"/>
      <c r="BI1443" s="162" t="str">
        <f t="shared" si="930"/>
        <v/>
      </c>
      <c r="BJ1443" s="150" t="str">
        <f t="shared" si="931"/>
        <v/>
      </c>
      <c r="BK1443" s="163" t="str">
        <f t="shared" si="927"/>
        <v/>
      </c>
      <c r="BL1443" s="163" t="str">
        <f t="shared" si="932"/>
        <v/>
      </c>
      <c r="BM1443" s="163" t="str">
        <f t="shared" si="928"/>
        <v/>
      </c>
      <c r="BN1443" s="163" t="str">
        <f t="shared" si="933"/>
        <v/>
      </c>
      <c r="BO1443" s="163" t="str">
        <f t="shared" si="934"/>
        <v/>
      </c>
      <c r="BP1443" s="150" t="str">
        <f t="shared" si="929"/>
        <v/>
      </c>
      <c r="BQ1443" s="150" t="str">
        <f t="shared" si="923"/>
        <v/>
      </c>
      <c r="BR1443" s="154" t="str">
        <f t="shared" si="935"/>
        <v/>
      </c>
      <c r="BT1443" s="147"/>
    </row>
    <row r="1444" spans="1:72" s="150" customFormat="1" x14ac:dyDescent="0.25">
      <c r="A1444" s="150" t="str">
        <f t="shared" si="924"/>
        <v/>
      </c>
      <c r="B1444" s="150" t="str">
        <f t="shared" si="925"/>
        <v/>
      </c>
      <c r="C1444" s="150" t="str">
        <f t="shared" si="926"/>
        <v/>
      </c>
      <c r="D1444" s="150" t="str">
        <f>IF(E1444="","",Input!$C$4+B1444-1)</f>
        <v/>
      </c>
      <c r="E1444" s="150" t="str">
        <f>IF(OR(AND(C1443=12,D1443=Input!$C$6),E1443=""),"",1)</f>
        <v/>
      </c>
      <c r="G1444" s="151" t="str">
        <f>IF(E1444="","",MAX(0,Input!$C$9-B1444))</f>
        <v/>
      </c>
      <c r="H1444" s="152" t="str">
        <f>IF(E1444="","",Input!$C$3)</f>
        <v/>
      </c>
      <c r="I1444" s="153" t="str">
        <f>IF(E1444="","",HLOOKUP($B1444,Input!$C$13:$BT$14,2))</f>
        <v/>
      </c>
      <c r="J1444" s="154"/>
      <c r="K1444" s="150" t="str">
        <f>IF($E1444="","",INDEX(Input!$C$16:$CP$16,1,$B1444))</f>
        <v/>
      </c>
      <c r="L1444" s="150" t="str">
        <f>IF($E1444="","",Input!$C$37)</f>
        <v/>
      </c>
      <c r="M1444" s="150" t="str">
        <f t="shared" si="912"/>
        <v/>
      </c>
      <c r="N1444" s="150" t="str">
        <f t="shared" si="913"/>
        <v/>
      </c>
      <c r="O1444" s="147" t="str">
        <f>IF($E1444="","",MIN(VLOOKUP(IF($B1444&lt;=Input!$C$7,$B1444,26),'Mortality Tables'!$A$41:$CW$67,IF($B1444&lt;=Input!$C$7+1,Input!$C$4+2,$D1444-Input!$C$7+2),0)*IF(B1444&gt;20,Input!$C$22,1)/1000,1))</f>
        <v/>
      </c>
      <c r="P1444" s="147" t="str">
        <f>IF($E1444="","",MIN(VLOOKUP(IF($B1444&lt;=Input!$C$7,$B1444,26),'Mortality Tables'!$A$12:$CW$37,IF($B1444&lt;=Input!$C$7+1,Input!$C$4+2,$D1444-Input!$C$7+2),0)*IF(B1444&gt;20,Input!$C$22,1)/1000,1))</f>
        <v/>
      </c>
      <c r="Q1444" s="155" t="str">
        <f>IF($E1444="","",Input!$C$21)</f>
        <v/>
      </c>
      <c r="R1444" s="159" t="str">
        <f>IF($E1444="","",(1-Q1444)^($F1444-Input!$C$20))</f>
        <v/>
      </c>
      <c r="S1444" s="147" t="str">
        <f t="shared" si="901"/>
        <v/>
      </c>
      <c r="T1444" s="147" t="str">
        <f t="shared" si="902"/>
        <v/>
      </c>
      <c r="U1444" s="160" t="str">
        <f>IF($E1444="","",IF($C1444=12,INDEX(Input!$C$15:$CP$15,1,$B1444),0))</f>
        <v/>
      </c>
      <c r="V1444" s="150" t="str">
        <f>IF(E1444="","",IF(C1444=1,IF($B1444=1,Input!$C$33,Input!$C$34),0))</f>
        <v/>
      </c>
      <c r="W1444" s="156" t="str">
        <f>IF($E1444="","",Input!$C$35)</f>
        <v/>
      </c>
      <c r="X1444" s="156" t="str">
        <f t="shared" si="903"/>
        <v/>
      </c>
      <c r="Y1444" s="154"/>
      <c r="Z1444" s="147" t="str">
        <f>IF($E1444="","",VLOOKUP($D1444,'Mortality Margins &amp; Grading'!$AB$5:$AF$125,3,0)*IF(Summary!$D$25="Included Margin",IF(AND($B1444&gt;Input!$C$9,Summary!$D$31&lt;&gt;"Included Margin"),0,1),0))</f>
        <v/>
      </c>
      <c r="AA1444" s="147" t="str">
        <f>IF($E1444="","",VLOOKUP($D1444,'Mortality Margins &amp; Grading'!$AB$5:$AF$125,5,0)*IF(Summary!$D$25="Included Margin",IF(AND($B1444&gt;Input!$C$9,Summary!$D$31&lt;&gt;"Included Margin"),0,1),0))</f>
        <v/>
      </c>
      <c r="AB1444" s="147" t="str">
        <f>IF($E1444="","",IF(AND($B1444&gt;Input!$C$9,Summary!$D$31&lt;&gt;"Included Margin"),1,IF(Summary!$D$25="Included Margin",VLOOKUP($B1444,'Mortality Margins &amp; Grading'!$AI$5:$AR$125,MATCH('Mortality Margins &amp; Grading'!$AQ$4,'Mortality Margins &amp; Grading'!$AI$4:$AR$4,0),0),1)))</f>
        <v/>
      </c>
      <c r="AC1444" s="154"/>
      <c r="AD1444" s="158" t="str">
        <f>IF(E1444="","",Input!$C$48*IF(Summary!$D$30="Included Margin",IF(AND($B1444&gt;Input!$C$9,Summary!$D$31&lt;&gt;"Included Margin"),0,1),0))</f>
        <v/>
      </c>
      <c r="AE1444" s="159" t="str">
        <f>IF(E1444="","",IF(Summary!$D$26="Included Margin",IF(AND($B1444&gt;Input!$C$9,Summary!$D$31&lt;&gt;"Included Margin"),1,1/$R1444),1))</f>
        <v/>
      </c>
      <c r="AF1444" s="160" t="str">
        <f>IF(E1444="","",IF(AND($B1444&gt;=Input!$C$9,$C1444=12,Summary!$D$31="Included Margin",$U1444&gt;0),1/U1444-1,IF($B1444&gt;=Input!$C$9,0,Input!$C$45*IF(Summary!$D$27="Included Margin",1,0))))</f>
        <v/>
      </c>
      <c r="AG1444" s="160" t="str">
        <f>IF(E1444="","",Input!$C$46*IF(Summary!$D$28="Included Margin",IF(AND($B1444&gt;Input!$C$9,Summary!$D$31&lt;&gt;"Included Margin"),0,1),0))</f>
        <v/>
      </c>
      <c r="AH1444" s="158" t="str">
        <f>IF(E1444="","",Input!$C$47*IF(Summary!$D$29="Included Margin",IF(AND($B1444&gt;Input!$C$9,Summary!$D$31&lt;&gt;"Included Margin"),0,1),0))</f>
        <v/>
      </c>
      <c r="AI1444" s="154"/>
      <c r="AJ1444" s="158" t="str">
        <f t="shared" si="914"/>
        <v/>
      </c>
      <c r="AK1444" s="150" t="str">
        <f t="shared" si="915"/>
        <v/>
      </c>
      <c r="AL1444" s="147" t="str">
        <f t="shared" si="916"/>
        <v/>
      </c>
      <c r="AM1444" s="147" t="str">
        <f t="shared" si="904"/>
        <v/>
      </c>
      <c r="AN1444" s="160" t="str">
        <f t="shared" si="917"/>
        <v/>
      </c>
      <c r="AO1444" s="161" t="str">
        <f t="shared" si="918"/>
        <v/>
      </c>
      <c r="AP1444" s="156" t="str">
        <f t="shared" si="905"/>
        <v/>
      </c>
      <c r="AQ1444" s="152"/>
      <c r="AR1444" s="162" t="str">
        <f t="shared" si="906"/>
        <v/>
      </c>
      <c r="AS1444" s="150" t="str">
        <f t="shared" si="919"/>
        <v/>
      </c>
      <c r="AT1444" s="163" t="str">
        <f t="shared" si="907"/>
        <v/>
      </c>
      <c r="AU1444" s="163" t="str">
        <f t="shared" si="908"/>
        <v/>
      </c>
      <c r="AV1444" s="163" t="str">
        <f t="shared" si="920"/>
        <v/>
      </c>
      <c r="AW1444" s="163" t="str">
        <f t="shared" si="909"/>
        <v/>
      </c>
      <c r="AX1444" s="163" t="str">
        <f t="shared" si="910"/>
        <v/>
      </c>
      <c r="AY1444" s="150" t="str">
        <f t="shared" si="921"/>
        <v/>
      </c>
      <c r="AZ1444" s="150" t="str">
        <f>IF($E1444="","",IF(OR(AND($D1444=Input!$C$6,$C1444=12),$AN1444=1),0,-AS1445+AT1445+AU1445-AV1445-AW1445-AX1445+AZ1445))</f>
        <v/>
      </c>
      <c r="BA1444" s="154" t="str">
        <f t="shared" si="911"/>
        <v/>
      </c>
      <c r="BC1444" s="147" t="str">
        <f t="shared" si="922"/>
        <v/>
      </c>
      <c r="BD1444" s="164" t="str">
        <f>IF(AND($C1443=12,$D1443=Input!$C$6),0,IF($E1444="","",AT1444+(AU1444+BD1445)/(1+$AK1444)*MIN((1-AM1444-AN1444),1)))</f>
        <v/>
      </c>
      <c r="BH1444" s="152"/>
      <c r="BI1444" s="162" t="str">
        <f t="shared" si="930"/>
        <v/>
      </c>
      <c r="BJ1444" s="150" t="str">
        <f t="shared" si="931"/>
        <v/>
      </c>
      <c r="BK1444" s="163" t="str">
        <f t="shared" si="927"/>
        <v/>
      </c>
      <c r="BL1444" s="163" t="str">
        <f t="shared" si="932"/>
        <v/>
      </c>
      <c r="BM1444" s="163" t="str">
        <f t="shared" si="928"/>
        <v/>
      </c>
      <c r="BN1444" s="163" t="str">
        <f t="shared" si="933"/>
        <v/>
      </c>
      <c r="BO1444" s="163" t="str">
        <f t="shared" si="934"/>
        <v/>
      </c>
      <c r="BP1444" s="150" t="str">
        <f t="shared" si="929"/>
        <v/>
      </c>
      <c r="BQ1444" s="150" t="str">
        <f t="shared" si="923"/>
        <v/>
      </c>
      <c r="BR1444" s="154" t="str">
        <f t="shared" si="935"/>
        <v/>
      </c>
      <c r="BT1444" s="147"/>
    </row>
    <row r="1445" spans="1:72" s="150" customFormat="1" x14ac:dyDescent="0.25">
      <c r="G1445" s="151"/>
      <c r="H1445" s="152"/>
      <c r="I1445" s="153"/>
      <c r="J1445" s="154"/>
      <c r="O1445" s="147"/>
      <c r="P1445" s="147"/>
      <c r="Q1445" s="155"/>
      <c r="R1445" s="159"/>
      <c r="T1445" s="147"/>
      <c r="U1445" s="157"/>
      <c r="W1445" s="156"/>
      <c r="X1445" s="156"/>
      <c r="Y1445" s="154"/>
      <c r="Z1445" s="147"/>
      <c r="AA1445" s="147"/>
      <c r="AB1445" s="147"/>
      <c r="AC1445" s="154"/>
      <c r="AD1445" s="158"/>
      <c r="AE1445" s="159"/>
      <c r="AF1445" s="160"/>
      <c r="AG1445" s="160"/>
      <c r="AH1445" s="160"/>
      <c r="AI1445" s="154"/>
      <c r="AJ1445" s="158"/>
      <c r="AL1445" s="147"/>
      <c r="AM1445" s="147"/>
      <c r="AN1445" s="147"/>
      <c r="AO1445" s="161"/>
      <c r="AP1445" s="156"/>
      <c r="AQ1445" s="152"/>
      <c r="AR1445" s="162"/>
      <c r="AT1445" s="163"/>
      <c r="AU1445" s="163"/>
      <c r="AV1445" s="163"/>
      <c r="AW1445" s="163"/>
      <c r="AX1445" s="163"/>
      <c r="BA1445" s="154"/>
      <c r="BC1445" s="147"/>
      <c r="BD1445" s="164"/>
      <c r="BH1445" s="152"/>
      <c r="BI1445" s="162"/>
      <c r="BK1445" s="163"/>
      <c r="BL1445" s="163"/>
      <c r="BM1445" s="163"/>
      <c r="BN1445" s="163"/>
      <c r="BO1445" s="163"/>
      <c r="BR1445" s="154"/>
      <c r="BT1445" s="147"/>
    </row>
    <row r="1446" spans="1:72" s="150" customFormat="1" x14ac:dyDescent="0.25">
      <c r="G1446" s="151"/>
      <c r="H1446" s="152"/>
      <c r="I1446" s="153"/>
      <c r="J1446" s="154"/>
      <c r="O1446" s="147"/>
      <c r="P1446" s="147"/>
      <c r="Q1446" s="155"/>
      <c r="R1446" s="159"/>
      <c r="T1446" s="147"/>
      <c r="U1446" s="157"/>
      <c r="W1446" s="156"/>
      <c r="X1446" s="156"/>
      <c r="Y1446" s="154"/>
      <c r="Z1446" s="147"/>
      <c r="AA1446" s="147"/>
      <c r="AB1446" s="147"/>
      <c r="AC1446" s="154"/>
      <c r="AD1446" s="158"/>
      <c r="AE1446" s="159"/>
      <c r="AF1446" s="160"/>
      <c r="AG1446" s="160"/>
      <c r="AH1446" s="160"/>
      <c r="AI1446" s="154"/>
      <c r="AJ1446" s="158"/>
      <c r="AL1446" s="147"/>
      <c r="AM1446" s="147"/>
      <c r="AN1446" s="147"/>
      <c r="AO1446" s="161"/>
      <c r="AP1446" s="156"/>
      <c r="AQ1446" s="152"/>
      <c r="AR1446" s="162"/>
      <c r="AT1446" s="163"/>
      <c r="AU1446" s="163"/>
      <c r="AV1446" s="163"/>
      <c r="AW1446" s="163"/>
      <c r="AX1446" s="163"/>
      <c r="BA1446" s="154"/>
      <c r="BC1446" s="147"/>
      <c r="BD1446" s="164"/>
      <c r="BH1446" s="152"/>
      <c r="BI1446" s="162"/>
      <c r="BK1446" s="163"/>
      <c r="BL1446" s="163"/>
      <c r="BM1446" s="163"/>
      <c r="BN1446" s="163"/>
      <c r="BO1446" s="163"/>
      <c r="BR1446" s="154"/>
      <c r="BT1446" s="147"/>
    </row>
    <row r="1447" spans="1:72" s="150" customFormat="1" x14ac:dyDescent="0.25">
      <c r="G1447" s="151"/>
      <c r="H1447" s="152"/>
      <c r="I1447" s="153"/>
      <c r="J1447" s="154"/>
      <c r="O1447" s="147"/>
      <c r="P1447" s="147"/>
      <c r="Q1447" s="155"/>
      <c r="R1447" s="159"/>
      <c r="T1447" s="147"/>
      <c r="U1447" s="157"/>
      <c r="W1447" s="156"/>
      <c r="X1447" s="156"/>
      <c r="Y1447" s="154"/>
      <c r="Z1447" s="147"/>
      <c r="AA1447" s="147"/>
      <c r="AB1447" s="147"/>
      <c r="AC1447" s="154"/>
      <c r="AD1447" s="158"/>
      <c r="AE1447" s="159"/>
      <c r="AF1447" s="160"/>
      <c r="AG1447" s="160"/>
      <c r="AH1447" s="160"/>
      <c r="AI1447" s="154"/>
      <c r="AJ1447" s="158"/>
      <c r="AL1447" s="147"/>
      <c r="AM1447" s="147"/>
      <c r="AN1447" s="147"/>
      <c r="AO1447" s="161"/>
      <c r="AP1447" s="156"/>
      <c r="AQ1447" s="152"/>
      <c r="AR1447" s="162"/>
      <c r="AT1447" s="163"/>
      <c r="AU1447" s="163"/>
      <c r="AV1447" s="163"/>
      <c r="AW1447" s="163"/>
      <c r="AX1447" s="163"/>
      <c r="BA1447" s="154"/>
      <c r="BC1447" s="147"/>
      <c r="BD1447" s="164"/>
      <c r="BH1447" s="152"/>
      <c r="BI1447" s="162"/>
      <c r="BK1447" s="163"/>
      <c r="BL1447" s="163"/>
      <c r="BM1447" s="163"/>
      <c r="BN1447" s="163"/>
      <c r="BO1447" s="163"/>
      <c r="BR1447" s="154"/>
      <c r="BT1447" s="147"/>
    </row>
    <row r="1448" spans="1:72" s="150" customFormat="1" x14ac:dyDescent="0.25">
      <c r="G1448" s="151"/>
      <c r="H1448" s="152"/>
      <c r="I1448" s="153"/>
      <c r="J1448" s="154"/>
      <c r="O1448" s="147"/>
      <c r="P1448" s="147"/>
      <c r="Q1448" s="155"/>
      <c r="R1448" s="159"/>
      <c r="T1448" s="147"/>
      <c r="U1448" s="157"/>
      <c r="W1448" s="156"/>
      <c r="X1448" s="156"/>
      <c r="Y1448" s="154"/>
      <c r="Z1448" s="147"/>
      <c r="AA1448" s="147"/>
      <c r="AB1448" s="147"/>
      <c r="AC1448" s="154"/>
      <c r="AD1448" s="158"/>
      <c r="AE1448" s="159"/>
      <c r="AF1448" s="160"/>
      <c r="AG1448" s="160"/>
      <c r="AH1448" s="160"/>
      <c r="AI1448" s="154"/>
      <c r="AJ1448" s="158"/>
      <c r="AL1448" s="147"/>
      <c r="AM1448" s="147"/>
      <c r="AN1448" s="147"/>
      <c r="AO1448" s="161"/>
      <c r="AP1448" s="156"/>
      <c r="AQ1448" s="152"/>
      <c r="AR1448" s="162"/>
      <c r="AT1448" s="163"/>
      <c r="AU1448" s="163"/>
      <c r="AV1448" s="163"/>
      <c r="AW1448" s="163"/>
      <c r="AX1448" s="163"/>
      <c r="BA1448" s="154"/>
      <c r="BC1448" s="147"/>
      <c r="BD1448" s="164"/>
      <c r="BH1448" s="152"/>
      <c r="BI1448" s="162"/>
      <c r="BK1448" s="163"/>
      <c r="BL1448" s="163"/>
      <c r="BM1448" s="163"/>
      <c r="BN1448" s="163"/>
      <c r="BO1448" s="163"/>
      <c r="BR1448" s="154"/>
      <c r="BT1448" s="147"/>
    </row>
    <row r="1449" spans="1:72" s="150" customFormat="1" x14ac:dyDescent="0.25">
      <c r="G1449" s="151"/>
      <c r="H1449" s="152"/>
      <c r="I1449" s="153"/>
      <c r="J1449" s="154"/>
      <c r="O1449" s="147"/>
      <c r="P1449" s="147"/>
      <c r="Q1449" s="155"/>
      <c r="R1449" s="159"/>
      <c r="T1449" s="147"/>
      <c r="U1449" s="157"/>
      <c r="W1449" s="156"/>
      <c r="X1449" s="156"/>
      <c r="Y1449" s="154"/>
      <c r="Z1449" s="147"/>
      <c r="AA1449" s="147"/>
      <c r="AB1449" s="147"/>
      <c r="AC1449" s="154"/>
      <c r="AD1449" s="158"/>
      <c r="AE1449" s="159"/>
      <c r="AF1449" s="160"/>
      <c r="AG1449" s="160"/>
      <c r="AH1449" s="160"/>
      <c r="AI1449" s="154"/>
      <c r="AJ1449" s="158"/>
      <c r="AL1449" s="147"/>
      <c r="AM1449" s="147"/>
      <c r="AN1449" s="147"/>
      <c r="AO1449" s="161"/>
      <c r="AP1449" s="156"/>
      <c r="AQ1449" s="152"/>
      <c r="AR1449" s="162"/>
      <c r="AT1449" s="163"/>
      <c r="AU1449" s="163"/>
      <c r="AV1449" s="163"/>
      <c r="AW1449" s="163"/>
      <c r="AX1449" s="163"/>
      <c r="BA1449" s="154"/>
      <c r="BC1449" s="147"/>
      <c r="BD1449" s="164"/>
      <c r="BH1449" s="152"/>
      <c r="BI1449" s="162"/>
      <c r="BK1449" s="163"/>
      <c r="BL1449" s="163"/>
      <c r="BM1449" s="163"/>
      <c r="BN1449" s="163"/>
      <c r="BO1449" s="163"/>
      <c r="BR1449" s="154"/>
      <c r="BT1449" s="147"/>
    </row>
    <row r="1450" spans="1:72" s="150" customFormat="1" x14ac:dyDescent="0.25">
      <c r="G1450" s="151"/>
      <c r="H1450" s="152"/>
      <c r="I1450" s="153"/>
      <c r="J1450" s="154"/>
      <c r="O1450" s="147"/>
      <c r="P1450" s="147"/>
      <c r="Q1450" s="155"/>
      <c r="R1450" s="159"/>
      <c r="T1450" s="147"/>
      <c r="U1450" s="157"/>
      <c r="W1450" s="156"/>
      <c r="X1450" s="156"/>
      <c r="Y1450" s="154"/>
      <c r="Z1450" s="147"/>
      <c r="AA1450" s="147"/>
      <c r="AB1450" s="147"/>
      <c r="AC1450" s="154"/>
      <c r="AD1450" s="158"/>
      <c r="AE1450" s="159"/>
      <c r="AF1450" s="160"/>
      <c r="AG1450" s="160"/>
      <c r="AH1450" s="160"/>
      <c r="AI1450" s="154"/>
      <c r="AJ1450" s="158"/>
      <c r="AL1450" s="147"/>
      <c r="AM1450" s="147"/>
      <c r="AN1450" s="147"/>
      <c r="AO1450" s="161"/>
      <c r="AP1450" s="156"/>
      <c r="AQ1450" s="152"/>
      <c r="AR1450" s="162"/>
      <c r="AT1450" s="163"/>
      <c r="AU1450" s="163"/>
      <c r="AV1450" s="163"/>
      <c r="AW1450" s="163"/>
      <c r="AX1450" s="163"/>
      <c r="BA1450" s="154"/>
      <c r="BC1450" s="147"/>
      <c r="BD1450" s="164"/>
      <c r="BH1450" s="152"/>
      <c r="BI1450" s="162"/>
      <c r="BK1450" s="163"/>
      <c r="BL1450" s="163"/>
      <c r="BM1450" s="163"/>
      <c r="BN1450" s="163"/>
      <c r="BO1450" s="163"/>
      <c r="BR1450" s="154"/>
      <c r="BT1450" s="147"/>
    </row>
    <row r="1451" spans="1:72" s="150" customFormat="1" x14ac:dyDescent="0.25">
      <c r="G1451" s="151"/>
      <c r="H1451" s="152"/>
      <c r="I1451" s="153"/>
      <c r="J1451" s="154"/>
      <c r="O1451" s="147"/>
      <c r="P1451" s="147"/>
      <c r="Q1451" s="155"/>
      <c r="R1451" s="159"/>
      <c r="T1451" s="147"/>
      <c r="U1451" s="157"/>
      <c r="W1451" s="156"/>
      <c r="X1451" s="156"/>
      <c r="Y1451" s="154"/>
      <c r="Z1451" s="147"/>
      <c r="AA1451" s="147"/>
      <c r="AB1451" s="147"/>
      <c r="AC1451" s="154"/>
      <c r="AD1451" s="158"/>
      <c r="AE1451" s="159"/>
      <c r="AF1451" s="160"/>
      <c r="AG1451" s="160"/>
      <c r="AH1451" s="160"/>
      <c r="AI1451" s="154"/>
      <c r="AJ1451" s="158"/>
      <c r="AL1451" s="147"/>
      <c r="AM1451" s="147"/>
      <c r="AN1451" s="147"/>
      <c r="AO1451" s="161"/>
      <c r="AP1451" s="156"/>
      <c r="AQ1451" s="152"/>
      <c r="AR1451" s="162"/>
      <c r="AT1451" s="163"/>
      <c r="AU1451" s="163"/>
      <c r="AV1451" s="163"/>
      <c r="AW1451" s="163"/>
      <c r="AX1451" s="163"/>
      <c r="BA1451" s="154"/>
      <c r="BC1451" s="147"/>
      <c r="BD1451" s="164"/>
      <c r="BH1451" s="152"/>
      <c r="BI1451" s="162"/>
      <c r="BK1451" s="163"/>
      <c r="BL1451" s="163"/>
      <c r="BM1451" s="163"/>
      <c r="BN1451" s="163"/>
      <c r="BO1451" s="163"/>
      <c r="BR1451" s="154"/>
      <c r="BT1451" s="147"/>
    </row>
    <row r="1452" spans="1:72" s="150" customFormat="1" x14ac:dyDescent="0.25">
      <c r="G1452" s="151"/>
      <c r="H1452" s="152"/>
      <c r="I1452" s="153"/>
      <c r="J1452" s="154"/>
      <c r="O1452" s="147"/>
      <c r="P1452" s="147"/>
      <c r="Q1452" s="155"/>
      <c r="R1452" s="159"/>
      <c r="T1452" s="147"/>
      <c r="U1452" s="157"/>
      <c r="W1452" s="156"/>
      <c r="X1452" s="156"/>
      <c r="Y1452" s="154"/>
      <c r="Z1452" s="147"/>
      <c r="AA1452" s="147"/>
      <c r="AB1452" s="147"/>
      <c r="AC1452" s="154"/>
      <c r="AD1452" s="158"/>
      <c r="AE1452" s="159"/>
      <c r="AF1452" s="160"/>
      <c r="AG1452" s="160"/>
      <c r="AH1452" s="160"/>
      <c r="AI1452" s="154"/>
      <c r="AJ1452" s="158"/>
      <c r="AL1452" s="147"/>
      <c r="AM1452" s="147"/>
      <c r="AN1452" s="147"/>
      <c r="AO1452" s="161"/>
      <c r="AP1452" s="156"/>
      <c r="AQ1452" s="152"/>
      <c r="AR1452" s="162"/>
      <c r="AT1452" s="163"/>
      <c r="AU1452" s="163"/>
      <c r="AV1452" s="163"/>
      <c r="AW1452" s="163"/>
      <c r="AX1452" s="163"/>
      <c r="BA1452" s="154"/>
      <c r="BC1452" s="147"/>
      <c r="BD1452" s="164"/>
      <c r="BH1452" s="152"/>
      <c r="BI1452" s="162"/>
      <c r="BK1452" s="163"/>
      <c r="BL1452" s="163"/>
      <c r="BM1452" s="163"/>
      <c r="BN1452" s="163"/>
      <c r="BO1452" s="163"/>
      <c r="BR1452" s="154"/>
      <c r="BT1452" s="147"/>
    </row>
  </sheetData>
  <conditionalFormatting sqref="A4:XFD1452">
    <cfRule type="expression" dxfId="59" priority="5">
      <formula>MOD(ROW(),2)=0</formula>
    </cfRule>
    <cfRule type="expression" dxfId="58" priority="6">
      <formula>MOD(ROW(),2)=1</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57B3E-9B3C-4379-A106-19B928E1B46C}">
  <sheetPr>
    <tabColor rgb="FF92D050"/>
  </sheetPr>
  <dimension ref="A1:AY1452"/>
  <sheetViews>
    <sheetView showGridLines="0" zoomScale="85" zoomScaleNormal="85" workbookViewId="0">
      <pane xSplit="4" ySplit="3" topLeftCell="AD4" activePane="bottomRight" state="frozen"/>
      <selection activeCell="G26" sqref="G26"/>
      <selection pane="topRight" activeCell="G26" sqref="G26"/>
      <selection pane="bottomLeft" activeCell="G26" sqref="G26"/>
      <selection pane="bottomRight" activeCell="AY9" sqref="AY9"/>
    </sheetView>
  </sheetViews>
  <sheetFormatPr defaultRowHeight="15" x14ac:dyDescent="0.25"/>
  <cols>
    <col min="7" max="7" width="11" customWidth="1"/>
    <col min="8" max="8" width="10.85546875" customWidth="1"/>
    <col min="9" max="9" width="11.5703125" customWidth="1"/>
    <col min="10" max="10" width="5.140625" style="4" customWidth="1"/>
    <col min="11" max="11" width="9.28515625" customWidth="1"/>
    <col min="13" max="14" width="9.7109375" bestFit="1" customWidth="1"/>
    <col min="15" max="15" width="6.28515625" style="37" customWidth="1"/>
    <col min="17" max="17" width="11.28515625" style="13" customWidth="1"/>
    <col min="18" max="18" width="7.5703125" customWidth="1"/>
    <col min="19" max="19" width="11.85546875" customWidth="1"/>
    <col min="20" max="20" width="5.5703125" customWidth="1"/>
    <col min="23" max="23" width="11" customWidth="1"/>
    <col min="25" max="25" width="5.5703125" customWidth="1"/>
    <col min="26" max="26" width="12.42578125" bestFit="1" customWidth="1"/>
    <col min="27" max="28" width="12.28515625" bestFit="1" customWidth="1"/>
    <col min="30" max="30" width="12.42578125" bestFit="1" customWidth="1"/>
    <col min="31" max="31" width="5.5703125" customWidth="1"/>
    <col min="32" max="32" width="12.42578125" bestFit="1" customWidth="1"/>
    <col min="33" max="35" width="12.28515625" bestFit="1" customWidth="1"/>
    <col min="36" max="36" width="5.5703125" customWidth="1"/>
    <col min="37" max="39" width="12.28515625" bestFit="1" customWidth="1"/>
    <col min="40" max="40" width="13" customWidth="1"/>
    <col min="41" max="41" width="12.28515625" bestFit="1" customWidth="1"/>
    <col min="42" max="42" width="5.5703125" customWidth="1"/>
    <col min="43" max="45" width="9.140625" customWidth="1"/>
    <col min="46" max="46" width="10.85546875" customWidth="1"/>
    <col min="47" max="47" width="5.5703125" customWidth="1"/>
    <col min="48" max="48" width="14.28515625" style="53" customWidth="1"/>
    <col min="49" max="49" width="9.140625" style="53" customWidth="1"/>
    <col min="50" max="50" width="11.85546875" style="53" customWidth="1"/>
    <col min="51" max="51" width="9" customWidth="1"/>
  </cols>
  <sheetData>
    <row r="1" spans="1:51" s="45" customFormat="1" ht="27" customHeight="1" x14ac:dyDescent="0.25">
      <c r="A1" s="44" t="s">
        <v>369</v>
      </c>
      <c r="J1" s="46"/>
      <c r="O1" s="49"/>
      <c r="Q1" s="47"/>
      <c r="AV1" s="75"/>
      <c r="AW1" s="75"/>
      <c r="AX1" s="75"/>
    </row>
    <row r="2" spans="1:51" s="39" customFormat="1" ht="16.899999999999999" customHeight="1" x14ac:dyDescent="0.25">
      <c r="J2" s="40"/>
      <c r="K2" s="41" t="s">
        <v>128</v>
      </c>
      <c r="L2" s="41"/>
      <c r="M2" s="41"/>
      <c r="N2" s="41"/>
      <c r="O2" s="50"/>
      <c r="Q2" s="42"/>
      <c r="U2" s="41" t="s">
        <v>361</v>
      </c>
      <c r="Z2" s="41" t="s">
        <v>362</v>
      </c>
      <c r="AF2" s="41" t="s">
        <v>363</v>
      </c>
      <c r="AK2" s="41" t="s">
        <v>365</v>
      </c>
      <c r="AQ2" s="41" t="s">
        <v>366</v>
      </c>
      <c r="AV2" s="80" t="s">
        <v>364</v>
      </c>
      <c r="AW2" s="76"/>
      <c r="AX2" s="76"/>
    </row>
    <row r="3" spans="1:51" s="92" customFormat="1" ht="45.75" customHeight="1" x14ac:dyDescent="0.25">
      <c r="A3" s="86" t="s">
        <v>14</v>
      </c>
      <c r="B3" s="86" t="s">
        <v>1</v>
      </c>
      <c r="C3" s="86" t="s">
        <v>12</v>
      </c>
      <c r="D3" s="86" t="s">
        <v>11</v>
      </c>
      <c r="E3" s="86" t="s">
        <v>127</v>
      </c>
      <c r="F3" s="86" t="s">
        <v>108</v>
      </c>
      <c r="G3" s="86" t="s">
        <v>315</v>
      </c>
      <c r="H3" s="86" t="s">
        <v>124</v>
      </c>
      <c r="I3" s="86" t="s">
        <v>144</v>
      </c>
      <c r="J3" s="87"/>
      <c r="K3" s="88" t="s">
        <v>138</v>
      </c>
      <c r="L3" s="88" t="s">
        <v>139</v>
      </c>
      <c r="M3" s="88" t="s">
        <v>358</v>
      </c>
      <c r="N3" s="88" t="s">
        <v>367</v>
      </c>
      <c r="O3" s="89" t="s">
        <v>13</v>
      </c>
      <c r="P3" s="88" t="s">
        <v>319</v>
      </c>
      <c r="Q3" s="90" t="s">
        <v>359</v>
      </c>
      <c r="R3" s="90" t="s">
        <v>322</v>
      </c>
      <c r="S3" s="90" t="s">
        <v>323</v>
      </c>
      <c r="U3" s="93" t="s">
        <v>320</v>
      </c>
      <c r="V3" s="93" t="s">
        <v>321</v>
      </c>
      <c r="W3" s="93" t="s">
        <v>360</v>
      </c>
      <c r="X3" s="93" t="s">
        <v>4</v>
      </c>
      <c r="Z3" s="185" t="s">
        <v>370</v>
      </c>
      <c r="AA3" s="185" t="s">
        <v>371</v>
      </c>
      <c r="AB3" s="185" t="s">
        <v>324</v>
      </c>
      <c r="AC3" s="185" t="s">
        <v>325</v>
      </c>
      <c r="AD3" s="185" t="s">
        <v>334</v>
      </c>
      <c r="AF3" s="186" t="s">
        <v>327</v>
      </c>
      <c r="AG3" s="186" t="s">
        <v>326</v>
      </c>
      <c r="AH3" s="186" t="s">
        <v>328</v>
      </c>
      <c r="AI3" s="186" t="s">
        <v>332</v>
      </c>
      <c r="AK3" s="189" t="s">
        <v>329</v>
      </c>
      <c r="AL3" s="189" t="s">
        <v>330</v>
      </c>
      <c r="AM3" s="189" t="s">
        <v>333</v>
      </c>
      <c r="AN3" s="189" t="s">
        <v>335</v>
      </c>
      <c r="AO3" s="189" t="s">
        <v>331</v>
      </c>
      <c r="AQ3" s="93" t="s">
        <v>336</v>
      </c>
      <c r="AR3" s="93" t="s">
        <v>337</v>
      </c>
      <c r="AS3" s="93" t="s">
        <v>338</v>
      </c>
      <c r="AT3" s="93" t="s">
        <v>339</v>
      </c>
      <c r="AV3" s="79" t="s">
        <v>297</v>
      </c>
      <c r="AW3" s="79" t="s">
        <v>340</v>
      </c>
      <c r="AX3" s="79" t="s">
        <v>341</v>
      </c>
    </row>
    <row r="4" spans="1:51" s="78" customFormat="1" x14ac:dyDescent="0.25">
      <c r="A4" s="78">
        <v>0</v>
      </c>
      <c r="B4" s="78">
        <v>0</v>
      </c>
      <c r="C4" s="78">
        <v>0</v>
      </c>
      <c r="E4" s="53">
        <v>1</v>
      </c>
      <c r="G4" s="95">
        <f>Input!C9</f>
        <v>20</v>
      </c>
      <c r="J4" s="82"/>
      <c r="O4" s="96"/>
      <c r="Q4" s="97"/>
      <c r="AV4" s="74">
        <f>'Deterministic Reserve'!BC4</f>
        <v>1</v>
      </c>
    </row>
    <row r="5" spans="1:51" s="150" customFormat="1" x14ac:dyDescent="0.25">
      <c r="A5" s="150">
        <v>1</v>
      </c>
      <c r="B5" s="150">
        <v>1</v>
      </c>
      <c r="C5" s="150">
        <v>1</v>
      </c>
      <c r="D5" s="150">
        <f>IF(E5="","",Input!$C$4+B5-1)</f>
        <v>45</v>
      </c>
      <c r="E5" s="150">
        <f>IF(OR(AND(C4=12,D4=Input!$C$6),E4=""),"",1)</f>
        <v>1</v>
      </c>
      <c r="F5" s="150">
        <f>IF(E5="","",Input!$C$8+B5-1)</f>
        <v>2018</v>
      </c>
      <c r="G5" s="151">
        <f>IF(E5="","",MAX(0,Input!$C$9-B5))</f>
        <v>19</v>
      </c>
      <c r="H5" s="152">
        <f>IF(E5="","",Input!$C$3)</f>
        <v>100000</v>
      </c>
      <c r="I5" s="153">
        <f>IF(E5="","",HLOOKUP($B5,Input!$C$13:$BT$14,2))</f>
        <v>2.2999999999999998</v>
      </c>
      <c r="J5" s="154"/>
      <c r="K5" s="155">
        <f>IF($E5="","",Input!$C$57)</f>
        <v>4.4999999999999998E-2</v>
      </c>
      <c r="L5" s="155">
        <f>IF($E5="","",(1+K5)^(1/12)-1)</f>
        <v>3.6748094004368514E-3</v>
      </c>
      <c r="M5" s="147">
        <f>IF($E5="","",VLOOKUP(IF($B5&lt;=Input!$C$7,$B5,26),'Mortality Tables'!$A$72:$CA$97,IF($B5&lt;=Input!$C$7+1,Input!$C$4-16,$D5-Input!$C$7-16),0)/1000)</f>
        <v>4.1999999999999996E-4</v>
      </c>
      <c r="N5" s="147">
        <f t="shared" ref="N5:N68" si="0">IF($E5="","",1-(1-M5)^(1/12))</f>
        <v>3.5006739308451884E-5</v>
      </c>
      <c r="O5" s="157">
        <f>IF($E5="","",IF($C5=12,IF($B5&lt;Input!$C$9,Input!$C$54,IF($B5=Input!$C$9,Input!$C$55,Input!$C$56)),0%))</f>
        <v>0</v>
      </c>
      <c r="P5" s="167">
        <f>IF($E5="","",IF($B5=1,Input!$C$59,IF($B5&lt;6,Input!$C$60,0%)))</f>
        <v>1</v>
      </c>
      <c r="Q5" s="162">
        <f>IF($E5="","",Input!$C$58)</f>
        <v>2.5</v>
      </c>
      <c r="R5" s="156">
        <f>IF($E5="","",MAX(1-N5-O5,0))</f>
        <v>0.99996499326069155</v>
      </c>
      <c r="S5" s="154">
        <f t="shared" ref="S5:S68" si="1">IF($E5="","",IF(AND($B5=1,$C5=1),1,S4*R5))</f>
        <v>1</v>
      </c>
      <c r="T5" s="152"/>
      <c r="U5" s="150">
        <f>IF($E5="","",IF($C5=1,$I5*$H5/1000,0))</f>
        <v>229.99999999999997</v>
      </c>
      <c r="V5" s="150">
        <f>IF($E5="","",U5*(1-$P5))</f>
        <v>0</v>
      </c>
      <c r="W5" s="168">
        <f>IF($E5="","",IF(AND($B5=1,$C5=1),$Q5*$H5/1000,0))</f>
        <v>250</v>
      </c>
      <c r="X5" s="163">
        <f t="shared" ref="X5:X68" si="2">IF($E5="","",N5*$H5)</f>
        <v>3.5006739308451884</v>
      </c>
      <c r="Y5" s="152"/>
      <c r="Z5" s="164">
        <f>IF(AND($C4=12,$D4=Input!$C$6),0,IF($E5="","",V5+Z6/(1+$L5)*$R5))</f>
        <v>2356.615579913585</v>
      </c>
      <c r="AA5" s="164">
        <f>IF(OR($M5=1,AND($C4=12,$D4=Input!$C$6)),0,IF($E5="","",W5+(X5+AA6*$R5)/(1+$L5)))</f>
        <v>1945.9053907960681</v>
      </c>
      <c r="AB5" s="160">
        <f t="shared" ref="AB5:AB68" si="3">IF($E5="","",$AA$5/$Z$5)</f>
        <v>0.825720328500681</v>
      </c>
      <c r="AC5" s="164">
        <f t="shared" ref="AC5:AC68" si="4">IF($E5="","",V5*AB5)</f>
        <v>0</v>
      </c>
      <c r="AD5" s="164">
        <f>IF(AND($C4=12,$D4=Input!$C$6),0,IF($E5="","",$AC5+AD6/(1+$L5)*$R5))</f>
        <v>1945.9053907960688</v>
      </c>
      <c r="AE5" s="152"/>
      <c r="AF5" s="164">
        <f>IF(AND($C4=12,$D4=Input!$C$6),0,IF($E5="","",IF($B5&gt;Input!$C$9,$AC5,0)+AF6/(1+$L5)*$R5))</f>
        <v>544.85288698778993</v>
      </c>
      <c r="AG5" s="164">
        <f>IF(AND($C4=12,$D4=Input!$C$6),0,IF($E5="","",(IF($B5&gt;Input!$C$9,$X5,0)+AG6)/(1+$L5)*$R5))</f>
        <v>260.07127375284512</v>
      </c>
      <c r="AH5" s="160">
        <f t="shared" ref="AH5:AH68" si="5">IF($E5="","",$AF$5/$AG$5)</f>
        <v>2.0950137211446997</v>
      </c>
      <c r="AI5" s="160">
        <f>IF($E5="","",MIN(Input!$C$61/AH5,1))</f>
        <v>0.64438718771845094</v>
      </c>
      <c r="AJ5" s="152"/>
      <c r="AK5" s="164">
        <f>IF(AND($C4=12,$D4=Input!$C$6),0,IF($E5="","",IF($B5&gt;Input!$C$9,$AC5*AI5,0)+AK6/(1+$L5)*$R5))</f>
        <v>351.09621956634095</v>
      </c>
      <c r="AL5" s="164">
        <f>IF(AND($C4=12,$D4=Input!$C$6),0,IF($E5="","",IF($B5&gt;Input!$C$9,0,$AC5)+AL6/(1+$L5)*$R5))</f>
        <v>1401.0525038082772</v>
      </c>
      <c r="AM5" s="160">
        <f t="shared" ref="AM5:AM68" si="6">IF($E5="","",($AD$5-$AK$5)/$AL$5)</f>
        <v>1.1382936520186004</v>
      </c>
      <c r="AN5" s="164">
        <f>IF($E5="","",IF($B5&gt;Input!$C$9,$AI5*$AC5,$AM5*$AC5))</f>
        <v>0</v>
      </c>
      <c r="AO5" s="164">
        <f>IF(AND($C4=12,$D4=Input!$C$6),0,IF($E5="","",$AN5+AO6/(1+$L5)*$R5))</f>
        <v>1945.9053907960663</v>
      </c>
      <c r="AP5" s="152"/>
      <c r="AQ5" s="164">
        <f t="shared" ref="AQ5:AQ68" si="7">IF($E5="","",$AA5-$AO5)</f>
        <v>1.8189894035458565E-12</v>
      </c>
      <c r="AR5" s="164">
        <f>IF($E5="","",IF($M5=1,0,0.5*(IF($B5=1,0,SUMIFS($AQ:$AQ,$B:$B,$B5-1,$C:$C,12))+SUMIFS($AN:$AN,$B:$B,$B5,$C:$C,1)+SUMIFS($AQ:$AQ,$B:$B,$B5,$C:$C,12))))</f>
        <v>-149.81241126017392</v>
      </c>
      <c r="AS5" s="164">
        <f>IF($E5="","",IF($M5=1,0,0.5*$M5*$H5/(1+$K5)))</f>
        <v>20.095693779904305</v>
      </c>
      <c r="AT5" s="164">
        <f t="shared" ref="AT5:AT68" si="8">IF($E5="","",MAX($AR5,$AS5))</f>
        <v>20.095693779904305</v>
      </c>
      <c r="AU5" s="152"/>
      <c r="AV5" s="147">
        <f>'Deterministic Reserve'!BC5</f>
        <v>0.99997666367168647</v>
      </c>
      <c r="AW5" s="164">
        <f t="shared" ref="AW5:AW68" si="9">IF($E5="","",$AT5)</f>
        <v>20.095693779904305</v>
      </c>
      <c r="AX5" s="164">
        <f t="shared" ref="AX5:AX68" si="10">IF($E5="","",AV5*AW5)</f>
        <v>20.09522482019657</v>
      </c>
      <c r="AY5" s="152"/>
    </row>
    <row r="6" spans="1:51" s="150" customFormat="1" x14ac:dyDescent="0.25">
      <c r="A6" s="150">
        <f>IF(E6="","",A5+1)</f>
        <v>2</v>
      </c>
      <c r="B6" s="150">
        <f>IF(E6="","",IF(C5+1&gt;12,B5+1,B5))</f>
        <v>1</v>
      </c>
      <c r="C6" s="150">
        <f>IF(E6="","",IF(C5+1&gt;12,1,C5+1))</f>
        <v>2</v>
      </c>
      <c r="D6" s="150">
        <f>IF(E6="","",Input!$C$4+B6-1)</f>
        <v>45</v>
      </c>
      <c r="E6" s="150">
        <f>IF(OR(AND(C5=12,D5=Input!$C$6),E5=""),"",1)</f>
        <v>1</v>
      </c>
      <c r="F6" s="150">
        <f>IF(E6="","",Input!$C$8+B6-1)</f>
        <v>2018</v>
      </c>
      <c r="G6" s="151">
        <f>IF(E6="","",MAX(0,Input!$C$9-B6))</f>
        <v>19</v>
      </c>
      <c r="H6" s="152">
        <f>IF(E6="","",Input!$C$3)</f>
        <v>100000</v>
      </c>
      <c r="I6" s="153">
        <f>IF(E6="","",HLOOKUP($B6,Input!$C$13:$BT$14,2))</f>
        <v>2.2999999999999998</v>
      </c>
      <c r="J6" s="154"/>
      <c r="K6" s="155">
        <f>IF($E6="","",Input!$C$57)</f>
        <v>4.4999999999999998E-2</v>
      </c>
      <c r="L6" s="155">
        <f t="shared" ref="L6:L69" si="11">IF($E6="","",(1+K6)^(1/12)-1)</f>
        <v>3.6748094004368514E-3</v>
      </c>
      <c r="M6" s="147">
        <f>IF($E6="","",VLOOKUP(IF($B6&lt;=Input!$C$7,$B6,26),'Mortality Tables'!$A$72:$CA$97,IF($B6&lt;=Input!$C$7+1,Input!$C$4-16,$D6-Input!$C$7-16),0)/1000)</f>
        <v>4.1999999999999996E-4</v>
      </c>
      <c r="N6" s="147">
        <f t="shared" si="0"/>
        <v>3.5006739308451884E-5</v>
      </c>
      <c r="O6" s="157">
        <f>IF($E6="","",IF($C6=12,IF($B6&lt;Input!$C$9,Input!$C$54,IF($B6=Input!$C$9,Input!$C$55,Input!$C$56)),0%))</f>
        <v>0</v>
      </c>
      <c r="P6" s="167">
        <f>IF($E6="","",IF($B6=1,Input!$C$59,IF($B6&lt;6,Input!$C$60,0%)))</f>
        <v>1</v>
      </c>
      <c r="Q6" s="162">
        <f>IF($E6="","",Input!$C$58)</f>
        <v>2.5</v>
      </c>
      <c r="R6" s="156">
        <f t="shared" ref="R6:R69" si="12">IF($E6="","",MAX(1-N6-O6,0))</f>
        <v>0.99996499326069155</v>
      </c>
      <c r="S6" s="154">
        <f t="shared" si="1"/>
        <v>0.99996499326069155</v>
      </c>
      <c r="T6" s="152"/>
      <c r="U6" s="150">
        <f t="shared" ref="U6:U69" si="13">IF($E6="","",IF($C6=1,$I6*$H6/1000,0))</f>
        <v>0</v>
      </c>
      <c r="V6" s="150">
        <f t="shared" ref="V6:V69" si="14">IF($E6="","",U6*(1-$P6))</f>
        <v>0</v>
      </c>
      <c r="W6" s="168">
        <f t="shared" ref="W6:W69" si="15">IF($E6="","",IF(AND($B6=1,$C6=1),$Q6*$H6/1000,0))</f>
        <v>0</v>
      </c>
      <c r="X6" s="163">
        <f t="shared" si="2"/>
        <v>3.5006739308451884</v>
      </c>
      <c r="Y6" s="152"/>
      <c r="Z6" s="164">
        <f>IF(AND($C5=12,$D5=Input!$C$6),0,IF($E6="","",V6+Z7/(1+L6)*R6))</f>
        <v>2365.3584964881247</v>
      </c>
      <c r="AA6" s="164">
        <f>IF(OR($M6=1,AND($C5=12,$D5=Input!$C$6)),0,IF($E6="","",W6+(X6+AA7*$R6)/(1+$L6)))</f>
        <v>1698.6963117565219</v>
      </c>
      <c r="AB6" s="160">
        <f t="shared" si="3"/>
        <v>0.825720328500681</v>
      </c>
      <c r="AC6" s="164">
        <f t="shared" si="4"/>
        <v>0</v>
      </c>
      <c r="AD6" s="164">
        <f>IF(AND($C5=12,$D5=Input!$C$6),0,IF($E6="","",$AC6+AD7/(1+$L6)*$R6))</f>
        <v>1953.1245947420521</v>
      </c>
      <c r="AE6" s="152"/>
      <c r="AF6" s="164">
        <f>IF(AND($C5=12,$D5=Input!$C$6),0,IF($E6="","",IF($B6&gt;Input!$C$9,$AC6,0)+AF7/(1+$L6)*$R6))</f>
        <v>546.87426178346448</v>
      </c>
      <c r="AG6" s="164">
        <f>IF(AND($C5=12,$D5=Input!$C$6),0,IF($E6="","",(IF($B6&gt;Input!$C$9,$X6,0)+AG7)/(1+$L6)*$R6))</f>
        <v>261.03612413796344</v>
      </c>
      <c r="AH6" s="160">
        <f t="shared" si="5"/>
        <v>2.0950137211446997</v>
      </c>
      <c r="AI6" s="160">
        <f>IF($E6="","",MIN(Input!$C$61/AH6,1))</f>
        <v>0.64438718771845094</v>
      </c>
      <c r="AJ6" s="152"/>
      <c r="AK6" s="164">
        <f>IF(AND($C5=12,$D5=Input!$C$6),0,IF($E6="","",IF($B6&gt;Input!$C$9,$AC6*AI6,0)+AK7/(1+$L6)*$R6))</f>
        <v>352.3987675862507</v>
      </c>
      <c r="AL6" s="164">
        <f>IF(AND($C5=12,$D5=Input!$C$6),0,IF($E6="","",IF($B6&gt;Input!$C$9,0,$AC6)+AL7/(1+$L6)*$R6))</f>
        <v>1406.2503329585857</v>
      </c>
      <c r="AM6" s="160">
        <f t="shared" si="6"/>
        <v>1.1382936520186004</v>
      </c>
      <c r="AN6" s="164">
        <f>IF($E6="","",IF($B6&gt;Input!$C$9,$AI6*$AC6,$AM6*$AC6))</f>
        <v>0</v>
      </c>
      <c r="AO6" s="164">
        <f>IF(AND($C5=12,$D5=Input!$C$6),0,IF($E6="","",$AN6+AO7/(1+$L6)*$R6))</f>
        <v>1953.1245947420496</v>
      </c>
      <c r="AP6" s="152"/>
      <c r="AQ6" s="164">
        <f t="shared" si="7"/>
        <v>-254.42828298552763</v>
      </c>
      <c r="AR6" s="164">
        <f t="shared" ref="AR6:AR69" si="16">IF($E6="","",IF($M6=1,0,0.5*(IF($B6=1,0,SUMIFS($AQ:$AQ,$B:$B,$B6-1,$C:$C,12))+SUMIFS($AN:$AN,$B:$B,$B6,$C:$C,1)+SUMIFS($AQ:$AQ,$B:$B,$B6,$C:$C,12))))</f>
        <v>-149.81241126017392</v>
      </c>
      <c r="AS6" s="164">
        <f t="shared" ref="AS6:AS69" si="17">IF($E6="","",IF($M6=1,0,0.5*$M6*$H6/(1+$K6)))</f>
        <v>20.095693779904305</v>
      </c>
      <c r="AT6" s="164">
        <f t="shared" si="8"/>
        <v>20.095693779904305</v>
      </c>
      <c r="AU6" s="152"/>
      <c r="AV6" s="147">
        <f>'Deterministic Reserve'!BC6</f>
        <v>0.99995332788795721</v>
      </c>
      <c r="AW6" s="164">
        <f t="shared" si="9"/>
        <v>20.095693779904305</v>
      </c>
      <c r="AX6" s="164">
        <f t="shared" si="10"/>
        <v>20.094755871432632</v>
      </c>
      <c r="AY6" s="152"/>
    </row>
    <row r="7" spans="1:51" s="150" customFormat="1" x14ac:dyDescent="0.25">
      <c r="A7" s="150">
        <f t="shared" ref="A7:A70" si="18">IF(E7="","",A6+1)</f>
        <v>3</v>
      </c>
      <c r="B7" s="150">
        <f t="shared" ref="B7:B70" si="19">IF(E7="","",IF(C6+1&gt;12,B6+1,B6))</f>
        <v>1</v>
      </c>
      <c r="C7" s="150">
        <f t="shared" ref="C7:C70" si="20">IF(E7="","",IF(C6+1&gt;12,1,C6+1))</f>
        <v>3</v>
      </c>
      <c r="D7" s="150">
        <f>IF(E7="","",Input!$C$4+B7-1)</f>
        <v>45</v>
      </c>
      <c r="E7" s="150">
        <f>IF(OR(AND(C6=12,D6=Input!$C$6),E6=""),"",1)</f>
        <v>1</v>
      </c>
      <c r="F7" s="150">
        <f>IF(E7="","",Input!$C$8+B7-1)</f>
        <v>2018</v>
      </c>
      <c r="G7" s="151">
        <f>IF(E7="","",MAX(0,Input!$C$9-B7))</f>
        <v>19</v>
      </c>
      <c r="H7" s="152">
        <f>IF(E7="","",Input!$C$3)</f>
        <v>100000</v>
      </c>
      <c r="I7" s="153">
        <f>IF(E7="","",HLOOKUP($B7,Input!$C$13:$BT$14,2))</f>
        <v>2.2999999999999998</v>
      </c>
      <c r="J7" s="154"/>
      <c r="K7" s="155">
        <f>IF($E7="","",Input!$C$57)</f>
        <v>4.4999999999999998E-2</v>
      </c>
      <c r="L7" s="155">
        <f t="shared" si="11"/>
        <v>3.6748094004368514E-3</v>
      </c>
      <c r="M7" s="147">
        <f>IF($E7="","",VLOOKUP(IF($B7&lt;=Input!$C$7,$B7,26),'Mortality Tables'!$A$72:$CA$97,IF($B7&lt;=Input!$C$7+1,Input!$C$4-16,$D7-Input!$C$7-16),0)/1000)</f>
        <v>4.1999999999999996E-4</v>
      </c>
      <c r="N7" s="147">
        <f t="shared" si="0"/>
        <v>3.5006739308451884E-5</v>
      </c>
      <c r="O7" s="157">
        <f>IF($E7="","",IF($C7=12,IF($B7&lt;Input!$C$9,Input!$C$54,IF($B7=Input!$C$9,Input!$C$55,Input!$C$56)),0%))</f>
        <v>0</v>
      </c>
      <c r="P7" s="167">
        <f>IF($E7="","",IF($B7=1,Input!$C$59,IF($B7&lt;6,Input!$C$60,0%)))</f>
        <v>1</v>
      </c>
      <c r="Q7" s="162">
        <f>IF($E7="","",Input!$C$58)</f>
        <v>2.5</v>
      </c>
      <c r="R7" s="156">
        <f t="shared" si="12"/>
        <v>0.99996499326069155</v>
      </c>
      <c r="S7" s="154">
        <f t="shared" si="1"/>
        <v>0.99992998774685493</v>
      </c>
      <c r="T7" s="152"/>
      <c r="U7" s="150">
        <f t="shared" si="13"/>
        <v>0</v>
      </c>
      <c r="V7" s="150">
        <f t="shared" si="14"/>
        <v>0</v>
      </c>
      <c r="W7" s="168">
        <f t="shared" si="15"/>
        <v>0</v>
      </c>
      <c r="X7" s="163">
        <f t="shared" si="2"/>
        <v>3.5006739308451884</v>
      </c>
      <c r="Y7" s="152"/>
      <c r="Z7" s="164">
        <f>IF(AND($C6=12,$D6=Input!$C$6),0,IF($E7="","",V7+Z8/(1+L7)*R7))</f>
        <v>2374.133848811151</v>
      </c>
      <c r="AA7" s="164">
        <f>IF(OR($M7=1,AND($C6=12,$D6=Input!$C$6)),0,IF($E7="","",W7+(X7+AA8*$R7)/(1+$L7)))</f>
        <v>1701.497586883065</v>
      </c>
      <c r="AB7" s="160">
        <f t="shared" si="3"/>
        <v>0.825720328500681</v>
      </c>
      <c r="AC7" s="164">
        <f t="shared" si="4"/>
        <v>0</v>
      </c>
      <c r="AD7" s="164">
        <f>IF(AND($C6=12,$D6=Input!$C$6),0,IF($E7="","",$AC7+AD8/(1+$L7)*$R7))</f>
        <v>1960.3705815449307</v>
      </c>
      <c r="AE7" s="152"/>
      <c r="AF7" s="164">
        <f>IF(AND($C6=12,$D6=Input!$C$6),0,IF($E7="","",IF($B7&gt;Input!$C$9,$AC7,0)+AF8/(1+$L7)*$R7))</f>
        <v>548.90313577050279</v>
      </c>
      <c r="AG7" s="164">
        <f>IF(AND($C6=12,$D6=Input!$C$6),0,IF($E7="","",(IF($B7&gt;Input!$C$9,$X7,0)+AG8)/(1+$L7)*$R7))</f>
        <v>262.00455406592107</v>
      </c>
      <c r="AH7" s="160">
        <f t="shared" si="5"/>
        <v>2.0950137211446997</v>
      </c>
      <c r="AI7" s="160">
        <f>IF($E7="","",MIN(Input!$C$61/AH7,1))</f>
        <v>0.64438718771845094</v>
      </c>
      <c r="AJ7" s="152"/>
      <c r="AK7" s="164">
        <f>IF(AND($C6=12,$D6=Input!$C$6),0,IF($E7="","",IF($B7&gt;Input!$C$9,$AC7*AI7,0)+AK8/(1+$L7)*$R7))</f>
        <v>353.70614798899345</v>
      </c>
      <c r="AL7" s="164">
        <f>IF(AND($C6=12,$D6=Input!$C$6),0,IF($E7="","",IF($B7&gt;Input!$C$9,0,$AC7)+AL8/(1+$L7)*$R7))</f>
        <v>1411.4674457744259</v>
      </c>
      <c r="AM7" s="160">
        <f t="shared" si="6"/>
        <v>1.1382936520186004</v>
      </c>
      <c r="AN7" s="164">
        <f>IF($E7="","",IF($B7&gt;Input!$C$9,$AI7*$AC7,$AM7*$AC7))</f>
        <v>0</v>
      </c>
      <c r="AO7" s="164">
        <f>IF(AND($C6=12,$D6=Input!$C$6),0,IF($E7="","",$AN7+AO8/(1+$L7)*$R7))</f>
        <v>1960.3705815449282</v>
      </c>
      <c r="AP7" s="152"/>
      <c r="AQ7" s="164">
        <f t="shared" si="7"/>
        <v>-258.87299466186323</v>
      </c>
      <c r="AR7" s="164">
        <f t="shared" si="16"/>
        <v>-149.81241126017392</v>
      </c>
      <c r="AS7" s="164">
        <f t="shared" si="17"/>
        <v>20.095693779904305</v>
      </c>
      <c r="AT7" s="164">
        <f t="shared" si="8"/>
        <v>20.095693779904305</v>
      </c>
      <c r="AU7" s="152"/>
      <c r="AV7" s="147">
        <f>'Deterministic Reserve'!BC7</f>
        <v>0.99992999264879945</v>
      </c>
      <c r="AW7" s="164">
        <f t="shared" si="9"/>
        <v>20.095693779904305</v>
      </c>
      <c r="AX7" s="164">
        <f t="shared" si="10"/>
        <v>20.094286933612238</v>
      </c>
      <c r="AY7" s="152"/>
    </row>
    <row r="8" spans="1:51" s="150" customFormat="1" x14ac:dyDescent="0.25">
      <c r="A8" s="150">
        <f t="shared" si="18"/>
        <v>4</v>
      </c>
      <c r="B8" s="150">
        <f t="shared" si="19"/>
        <v>1</v>
      </c>
      <c r="C8" s="150">
        <f t="shared" si="20"/>
        <v>4</v>
      </c>
      <c r="D8" s="150">
        <f>IF(E8="","",Input!$C$4+B8-1)</f>
        <v>45</v>
      </c>
      <c r="E8" s="150">
        <f>IF(OR(AND(C7=12,D7=Input!$C$6),E7=""),"",1)</f>
        <v>1</v>
      </c>
      <c r="F8" s="150">
        <f>IF(E8="","",Input!$C$8+B8-1)</f>
        <v>2018</v>
      </c>
      <c r="G8" s="151">
        <f>IF(E8="","",MAX(0,Input!$C$9-B8))</f>
        <v>19</v>
      </c>
      <c r="H8" s="152">
        <f>IF(E8="","",Input!$C$3)</f>
        <v>100000</v>
      </c>
      <c r="I8" s="153">
        <f>IF(E8="","",HLOOKUP($B8,Input!$C$13:$BT$14,2))</f>
        <v>2.2999999999999998</v>
      </c>
      <c r="J8" s="154"/>
      <c r="K8" s="155">
        <f>IF($E8="","",Input!$C$57)</f>
        <v>4.4999999999999998E-2</v>
      </c>
      <c r="L8" s="155">
        <f t="shared" si="11"/>
        <v>3.6748094004368514E-3</v>
      </c>
      <c r="M8" s="147">
        <f>IF($E8="","",VLOOKUP(IF($B8&lt;=Input!$C$7,$B8,26),'Mortality Tables'!$A$72:$CA$97,IF($B8&lt;=Input!$C$7+1,Input!$C$4-16,$D8-Input!$C$7-16),0)/1000)</f>
        <v>4.1999999999999996E-4</v>
      </c>
      <c r="N8" s="147">
        <f t="shared" si="0"/>
        <v>3.5006739308451884E-5</v>
      </c>
      <c r="O8" s="157">
        <f>IF($E8="","",IF($C8=12,IF($B8&lt;Input!$C$9,Input!$C$54,IF($B8=Input!$C$9,Input!$C$55,Input!$C$56)),0%))</f>
        <v>0</v>
      </c>
      <c r="P8" s="167">
        <f>IF($E8="","",IF($B8=1,Input!$C$59,IF($B8&lt;6,Input!$C$60,0%)))</f>
        <v>1</v>
      </c>
      <c r="Q8" s="162">
        <f>IF($E8="","",Input!$C$58)</f>
        <v>2.5</v>
      </c>
      <c r="R8" s="156">
        <f t="shared" si="12"/>
        <v>0.99996499326069155</v>
      </c>
      <c r="S8" s="154">
        <f t="shared" si="1"/>
        <v>0.99989498345844718</v>
      </c>
      <c r="T8" s="152"/>
      <c r="U8" s="150">
        <f t="shared" si="13"/>
        <v>0</v>
      </c>
      <c r="V8" s="150">
        <f t="shared" si="14"/>
        <v>0</v>
      </c>
      <c r="W8" s="168">
        <f t="shared" si="15"/>
        <v>0</v>
      </c>
      <c r="X8" s="163">
        <f t="shared" si="2"/>
        <v>3.5006739308451884</v>
      </c>
      <c r="Y8" s="152"/>
      <c r="Z8" s="164">
        <f>IF(AND($C7=12,$D7=Input!$C$6),0,IF($E8="","",V8+Z9/(1+L8)*R8))</f>
        <v>2382.9417572175394</v>
      </c>
      <c r="AA8" s="164">
        <f>IF(OR($M8=1,AND($C7=12,$D7=Input!$C$6)),0,IF($E8="","",W8+(X8+AA9*$R8)/(1+$L8)))</f>
        <v>1704.3092545890947</v>
      </c>
      <c r="AB8" s="160">
        <f t="shared" si="3"/>
        <v>0.825720328500681</v>
      </c>
      <c r="AC8" s="164">
        <f t="shared" si="4"/>
        <v>0</v>
      </c>
      <c r="AD8" s="164">
        <f>IF(AND($C7=12,$D7=Input!$C$6),0,IF($E8="","",$AC8+AD9/(1+$L8)*$R8))</f>
        <v>1967.6434505676577</v>
      </c>
      <c r="AE8" s="152"/>
      <c r="AF8" s="164">
        <f>IF(AND($C7=12,$D7=Input!$C$6),0,IF($E8="","",IF($B8&gt;Input!$C$9,$AC8,0)+AF9/(1+$L8)*$R8))</f>
        <v>550.9395367704999</v>
      </c>
      <c r="AG8" s="164">
        <f>IF(AND($C7=12,$D7=Input!$C$6),0,IF($E8="","",(IF($B8&gt;Input!$C$9,$X8,0)+AG9)/(1+$L8)*$R8))</f>
        <v>262.97657681662861</v>
      </c>
      <c r="AH8" s="160">
        <f t="shared" si="5"/>
        <v>2.0950137211446997</v>
      </c>
      <c r="AI8" s="160">
        <f>IF($E8="","",MIN(Input!$C$61/AH8,1))</f>
        <v>0.64438718771845094</v>
      </c>
      <c r="AJ8" s="152"/>
      <c r="AK8" s="164">
        <f>IF(AND($C7=12,$D7=Input!$C$6),0,IF($E8="","",IF($B8&gt;Input!$C$9,$AC8*AI8,0)+AK9/(1+$L8)*$R8))</f>
        <v>355.01837870244867</v>
      </c>
      <c r="AL8" s="164">
        <f>IF(AND($C7=12,$D7=Input!$C$6),0,IF($E8="","",IF($B8&gt;Input!$C$9,0,$AC8)+AL9/(1+$L8)*$R8))</f>
        <v>1416.7039137971558</v>
      </c>
      <c r="AM8" s="160">
        <f t="shared" si="6"/>
        <v>1.1382936520186004</v>
      </c>
      <c r="AN8" s="164">
        <f>IF($E8="","",IF($B8&gt;Input!$C$9,$AI8*$AC8,$AM8*$AC8))</f>
        <v>0</v>
      </c>
      <c r="AO8" s="164">
        <f>IF(AND($C7=12,$D7=Input!$C$6),0,IF($E8="","",$AN8+AO9/(1+$L8)*$R8))</f>
        <v>1967.6434505676552</v>
      </c>
      <c r="AP8" s="152"/>
      <c r="AQ8" s="164">
        <f t="shared" si="7"/>
        <v>-263.3341959785605</v>
      </c>
      <c r="AR8" s="164">
        <f t="shared" si="16"/>
        <v>-149.81241126017392</v>
      </c>
      <c r="AS8" s="164">
        <f t="shared" si="17"/>
        <v>20.095693779904305</v>
      </c>
      <c r="AT8" s="164">
        <f t="shared" si="8"/>
        <v>20.095693779904305</v>
      </c>
      <c r="AU8" s="152"/>
      <c r="AV8" s="147">
        <f>'Deterministic Reserve'!BC8</f>
        <v>0.99990665795420042</v>
      </c>
      <c r="AW8" s="164">
        <f t="shared" si="9"/>
        <v>20.095693779904305</v>
      </c>
      <c r="AX8" s="164">
        <f t="shared" si="10"/>
        <v>20.093818006735127</v>
      </c>
      <c r="AY8" s="152"/>
    </row>
    <row r="9" spans="1:51" s="150" customFormat="1" x14ac:dyDescent="0.25">
      <c r="A9" s="150">
        <f t="shared" si="18"/>
        <v>5</v>
      </c>
      <c r="B9" s="150">
        <f t="shared" si="19"/>
        <v>1</v>
      </c>
      <c r="C9" s="150">
        <f t="shared" si="20"/>
        <v>5</v>
      </c>
      <c r="D9" s="150">
        <f>IF(E9="","",Input!$C$4+B9-1)</f>
        <v>45</v>
      </c>
      <c r="E9" s="150">
        <f>IF(OR(AND(C8=12,D8=Input!$C$6),E8=""),"",1)</f>
        <v>1</v>
      </c>
      <c r="F9" s="150">
        <f>IF(E9="","",Input!$C$8+B9-1)</f>
        <v>2018</v>
      </c>
      <c r="G9" s="151">
        <f>IF(E9="","",MAX(0,Input!$C$9-B9))</f>
        <v>19</v>
      </c>
      <c r="H9" s="152">
        <f>IF(E9="","",Input!$C$3)</f>
        <v>100000</v>
      </c>
      <c r="I9" s="153">
        <f>IF(E9="","",HLOOKUP($B9,Input!$C$13:$BT$14,2))</f>
        <v>2.2999999999999998</v>
      </c>
      <c r="J9" s="154"/>
      <c r="K9" s="155">
        <f>IF($E9="","",Input!$C$57)</f>
        <v>4.4999999999999998E-2</v>
      </c>
      <c r="L9" s="155">
        <f t="shared" si="11"/>
        <v>3.6748094004368514E-3</v>
      </c>
      <c r="M9" s="147">
        <f>IF($E9="","",VLOOKUP(IF($B9&lt;=Input!$C$7,$B9,26),'Mortality Tables'!$A$72:$CA$97,IF($B9&lt;=Input!$C$7+1,Input!$C$4-16,$D9-Input!$C$7-16),0)/1000)</f>
        <v>4.1999999999999996E-4</v>
      </c>
      <c r="N9" s="147">
        <f t="shared" si="0"/>
        <v>3.5006739308451884E-5</v>
      </c>
      <c r="O9" s="157">
        <f>IF($E9="","",IF($C9=12,IF($B9&lt;Input!$C$9,Input!$C$54,IF($B9=Input!$C$9,Input!$C$55,Input!$C$56)),0%))</f>
        <v>0</v>
      </c>
      <c r="P9" s="167">
        <f>IF($E9="","",IF($B9=1,Input!$C$59,IF($B9&lt;6,Input!$C$60,0%)))</f>
        <v>1</v>
      </c>
      <c r="Q9" s="162">
        <f>IF($E9="","",Input!$C$58)</f>
        <v>2.5</v>
      </c>
      <c r="R9" s="156">
        <f t="shared" si="12"/>
        <v>0.99996499326069155</v>
      </c>
      <c r="S9" s="154">
        <f t="shared" si="1"/>
        <v>0.99985998039542545</v>
      </c>
      <c r="T9" s="152"/>
      <c r="U9" s="150">
        <f t="shared" si="13"/>
        <v>0</v>
      </c>
      <c r="V9" s="150">
        <f t="shared" si="14"/>
        <v>0</v>
      </c>
      <c r="W9" s="168">
        <f t="shared" si="15"/>
        <v>0</v>
      </c>
      <c r="X9" s="163">
        <f t="shared" si="2"/>
        <v>3.5006739308451884</v>
      </c>
      <c r="Y9" s="152"/>
      <c r="Z9" s="164">
        <f>IF(AND($C8=12,$D8=Input!$C$6),0,IF($E9="","",V9+Z10/(1+L9)*R9))</f>
        <v>2391.7823424886019</v>
      </c>
      <c r="AA9" s="164">
        <f>IF(OR($M9=1,AND($C8=12,$D8=Input!$C$6)),0,IF($E9="","",W9+(X9+AA10*$R9)/(1+$L9)))</f>
        <v>1707.13135343052</v>
      </c>
      <c r="AB9" s="160">
        <f t="shared" si="3"/>
        <v>0.825720328500681</v>
      </c>
      <c r="AC9" s="164">
        <f t="shared" si="4"/>
        <v>0</v>
      </c>
      <c r="AD9" s="164">
        <f>IF(AND($C8=12,$D8=Input!$C$6),0,IF($E9="","",$AC9+AD10/(1+$L9)*$R9))</f>
        <v>1974.9433015418178</v>
      </c>
      <c r="AE9" s="152"/>
      <c r="AF9" s="164">
        <f>IF(AND($C8=12,$D8=Input!$C$6),0,IF($E9="","",IF($B9&gt;Input!$C$9,$AC9,0)+AF10/(1+$L9)*$R9))</f>
        <v>552.98349270826759</v>
      </c>
      <c r="AG9" s="164">
        <f>IF(AND($C8=12,$D8=Input!$C$6),0,IF($E9="","",(IF($B9&gt;Input!$C$9,$X9,0)+AG10)/(1+$L9)*$R9))</f>
        <v>263.95220571926455</v>
      </c>
      <c r="AH9" s="160">
        <f t="shared" si="5"/>
        <v>2.0950137211446997</v>
      </c>
      <c r="AI9" s="160">
        <f>IF($E9="","",MIN(Input!$C$61/AH9,1))</f>
        <v>0.64438718771845094</v>
      </c>
      <c r="AJ9" s="152"/>
      <c r="AK9" s="164">
        <f>IF(AND($C8=12,$D8=Input!$C$6),0,IF($E9="","",IF($B9&gt;Input!$C$9,$AC9*AI9,0)+AK10/(1+$L9)*$R9))</f>
        <v>356.33547772100718</v>
      </c>
      <c r="AL9" s="164">
        <f>IF(AND($C8=12,$D8=Input!$C$6),0,IF($E9="","",IF($B9&gt;Input!$C$9,0,$AC9)+AL10/(1+$L9)*$R9))</f>
        <v>1421.9598088335481</v>
      </c>
      <c r="AM9" s="160">
        <f t="shared" si="6"/>
        <v>1.1382936520186004</v>
      </c>
      <c r="AN9" s="164">
        <f>IF($E9="","",IF($B9&gt;Input!$C$9,$AI9*$AC9,$AM9*$AC9))</f>
        <v>0</v>
      </c>
      <c r="AO9" s="164">
        <f>IF(AND($C8=12,$D8=Input!$C$6),0,IF($E9="","",$AN9+AO10/(1+$L9)*$R9))</f>
        <v>1974.9433015418153</v>
      </c>
      <c r="AP9" s="152"/>
      <c r="AQ9" s="164">
        <f t="shared" si="7"/>
        <v>-267.81194811129535</v>
      </c>
      <c r="AR9" s="164">
        <f t="shared" si="16"/>
        <v>-149.81241126017392</v>
      </c>
      <c r="AS9" s="164">
        <f t="shared" si="17"/>
        <v>20.095693779904305</v>
      </c>
      <c r="AT9" s="164">
        <f t="shared" si="8"/>
        <v>20.095693779904305</v>
      </c>
      <c r="AU9" s="152"/>
      <c r="AV9" s="147">
        <f>'Deterministic Reserve'!BC9</f>
        <v>0.99988332380414746</v>
      </c>
      <c r="AW9" s="164">
        <f t="shared" si="9"/>
        <v>20.095693779904305</v>
      </c>
      <c r="AX9" s="164">
        <f t="shared" si="10"/>
        <v>20.093349090801048</v>
      </c>
      <c r="AY9" s="152"/>
    </row>
    <row r="10" spans="1:51" s="150" customFormat="1" x14ac:dyDescent="0.25">
      <c r="A10" s="150">
        <f t="shared" si="18"/>
        <v>6</v>
      </c>
      <c r="B10" s="150">
        <f t="shared" si="19"/>
        <v>1</v>
      </c>
      <c r="C10" s="150">
        <f t="shared" si="20"/>
        <v>6</v>
      </c>
      <c r="D10" s="150">
        <f>IF(E10="","",Input!$C$4+B10-1)</f>
        <v>45</v>
      </c>
      <c r="E10" s="150">
        <f>IF(OR(AND(C9=12,D9=Input!$C$6),E9=""),"",1)</f>
        <v>1</v>
      </c>
      <c r="F10" s="150">
        <f>IF(E10="","",Input!$C$8+B10-1)</f>
        <v>2018</v>
      </c>
      <c r="G10" s="151">
        <f>IF(E10="","",MAX(0,Input!$C$9-B10))</f>
        <v>19</v>
      </c>
      <c r="H10" s="152">
        <f>IF(E10="","",Input!$C$3)</f>
        <v>100000</v>
      </c>
      <c r="I10" s="153">
        <f>IF(E10="","",HLOOKUP($B10,Input!$C$13:$BT$14,2))</f>
        <v>2.2999999999999998</v>
      </c>
      <c r="J10" s="154"/>
      <c r="K10" s="155">
        <f>IF($E10="","",Input!$C$57)</f>
        <v>4.4999999999999998E-2</v>
      </c>
      <c r="L10" s="155">
        <f t="shared" si="11"/>
        <v>3.6748094004368514E-3</v>
      </c>
      <c r="M10" s="147">
        <f>IF($E10="","",VLOOKUP(IF($B10&lt;=Input!$C$7,$B10,26),'Mortality Tables'!$A$72:$CA$97,IF($B10&lt;=Input!$C$7+1,Input!$C$4-16,$D10-Input!$C$7-16),0)/1000)</f>
        <v>4.1999999999999996E-4</v>
      </c>
      <c r="N10" s="147">
        <f t="shared" si="0"/>
        <v>3.5006739308451884E-5</v>
      </c>
      <c r="O10" s="157">
        <f>IF($E10="","",IF($C10=12,IF($B10&lt;Input!$C$9,Input!$C$54,IF($B10=Input!$C$9,Input!$C$55,Input!$C$56)),0%))</f>
        <v>0</v>
      </c>
      <c r="P10" s="167">
        <f>IF($E10="","",IF($B10=1,Input!$C$59,IF($B10&lt;6,Input!$C$60,0%)))</f>
        <v>1</v>
      </c>
      <c r="Q10" s="162">
        <f>IF($E10="","",Input!$C$58)</f>
        <v>2.5</v>
      </c>
      <c r="R10" s="156">
        <f t="shared" si="12"/>
        <v>0.99996499326069155</v>
      </c>
      <c r="S10" s="154">
        <f t="shared" si="1"/>
        <v>0.99982497855774677</v>
      </c>
      <c r="T10" s="152"/>
      <c r="U10" s="150">
        <f t="shared" si="13"/>
        <v>0</v>
      </c>
      <c r="V10" s="150">
        <f t="shared" si="14"/>
        <v>0</v>
      </c>
      <c r="W10" s="168">
        <f t="shared" si="15"/>
        <v>0</v>
      </c>
      <c r="X10" s="163">
        <f t="shared" si="2"/>
        <v>3.5006739308451884</v>
      </c>
      <c r="Y10" s="152"/>
      <c r="Z10" s="164">
        <f>IF(AND($C9=12,$D9=Input!$C$6),0,IF($E10="","",V10+Z11/(1+L10)*R10))</f>
        <v>2400.6557258537423</v>
      </c>
      <c r="AA10" s="164">
        <f>IF(OR($M10=1,AND($C9=12,$D9=Input!$C$6)),0,IF($E10="","",W10+(X10+AA11*$R10)/(1+$L10)))</f>
        <v>1709.9639221062901</v>
      </c>
      <c r="AB10" s="160">
        <f t="shared" si="3"/>
        <v>0.825720328500681</v>
      </c>
      <c r="AC10" s="164">
        <f t="shared" si="4"/>
        <v>0</v>
      </c>
      <c r="AD10" s="164">
        <f>IF(AND($C9=12,$D9=Input!$C$6),0,IF($E10="","",$AC10+AD11/(1+$L10)*$R10))</f>
        <v>1982.2702345689941</v>
      </c>
      <c r="AE10" s="152"/>
      <c r="AF10" s="164">
        <f>IF(AND($C9=12,$D9=Input!$C$6),0,IF($E10="","",IF($B10&gt;Input!$C$9,$AC10,0)+AF11/(1+$L10)*$R10))</f>
        <v>555.03503161221704</v>
      </c>
      <c r="AG10" s="164">
        <f>IF(AND($C9=12,$D9=Input!$C$6),0,IF($E10="","",(IF($B10&gt;Input!$C$9,$X10,0)+AG11)/(1+$L10)*$R10))</f>
        <v>264.93145415245789</v>
      </c>
      <c r="AH10" s="160">
        <f t="shared" si="5"/>
        <v>2.0950137211446997</v>
      </c>
      <c r="AI10" s="160">
        <f>IF($E10="","",MIN(Input!$C$61/AH10,1))</f>
        <v>0.64438718771845094</v>
      </c>
      <c r="AJ10" s="152"/>
      <c r="AK10" s="164">
        <f>IF(AND($C9=12,$D9=Input!$C$6),0,IF($E10="","",IF($B10&gt;Input!$C$9,$AC10*AI10,0)+AK11/(1+$L10)*$R10))</f>
        <v>357.65746310581818</v>
      </c>
      <c r="AL10" s="164">
        <f>IF(AND($C9=12,$D9=Input!$C$6),0,IF($E10="","",IF($B10&gt;Input!$C$9,0,$AC10)+AL11/(1+$L10)*$R10))</f>
        <v>1427.2352029567746</v>
      </c>
      <c r="AM10" s="160">
        <f t="shared" si="6"/>
        <v>1.1382936520186004</v>
      </c>
      <c r="AN10" s="164">
        <f>IF($E10="","",IF($B10&gt;Input!$C$9,$AI10*$AC10,$AM10*$AC10))</f>
        <v>0</v>
      </c>
      <c r="AO10" s="164">
        <f>IF(AND($C9=12,$D9=Input!$C$6),0,IF($E10="","",$AN10+AO11/(1+$L10)*$R10))</f>
        <v>1982.2702345689916</v>
      </c>
      <c r="AP10" s="152"/>
      <c r="AQ10" s="164">
        <f t="shared" si="7"/>
        <v>-272.3063124627015</v>
      </c>
      <c r="AR10" s="164">
        <f t="shared" si="16"/>
        <v>-149.81241126017392</v>
      </c>
      <c r="AS10" s="164">
        <f t="shared" si="17"/>
        <v>20.095693779904305</v>
      </c>
      <c r="AT10" s="164">
        <f t="shared" si="8"/>
        <v>20.095693779904305</v>
      </c>
      <c r="AU10" s="152"/>
      <c r="AV10" s="147">
        <f>'Deterministic Reserve'!BC10</f>
        <v>0.99985999019862792</v>
      </c>
      <c r="AW10" s="164">
        <f t="shared" si="9"/>
        <v>20.095693779904305</v>
      </c>
      <c r="AX10" s="164">
        <f t="shared" si="10"/>
        <v>20.092880185809747</v>
      </c>
      <c r="AY10" s="152"/>
    </row>
    <row r="11" spans="1:51" s="150" customFormat="1" x14ac:dyDescent="0.25">
      <c r="A11" s="150">
        <f t="shared" si="18"/>
        <v>7</v>
      </c>
      <c r="B11" s="150">
        <f t="shared" si="19"/>
        <v>1</v>
      </c>
      <c r="C11" s="150">
        <f t="shared" si="20"/>
        <v>7</v>
      </c>
      <c r="D11" s="150">
        <f>IF(E11="","",Input!$C$4+B11-1)</f>
        <v>45</v>
      </c>
      <c r="E11" s="150">
        <f>IF(OR(AND(C10=12,D10=Input!$C$6),E10=""),"",1)</f>
        <v>1</v>
      </c>
      <c r="F11" s="150">
        <f>IF(E11="","",Input!$C$8+B11-1)</f>
        <v>2018</v>
      </c>
      <c r="G11" s="151">
        <f>IF(E11="","",MAX(0,Input!$C$9-B11))</f>
        <v>19</v>
      </c>
      <c r="H11" s="152">
        <f>IF(E11="","",Input!$C$3)</f>
        <v>100000</v>
      </c>
      <c r="I11" s="153">
        <f>IF(E11="","",HLOOKUP($B11,Input!$C$13:$BT$14,2))</f>
        <v>2.2999999999999998</v>
      </c>
      <c r="J11" s="154"/>
      <c r="K11" s="155">
        <f>IF($E11="","",Input!$C$57)</f>
        <v>4.4999999999999998E-2</v>
      </c>
      <c r="L11" s="155">
        <f t="shared" si="11"/>
        <v>3.6748094004368514E-3</v>
      </c>
      <c r="M11" s="147">
        <f>IF($E11="","",VLOOKUP(IF($B11&lt;=Input!$C$7,$B11,26),'Mortality Tables'!$A$72:$CA$97,IF($B11&lt;=Input!$C$7+1,Input!$C$4-16,$D11-Input!$C$7-16),0)/1000)</f>
        <v>4.1999999999999996E-4</v>
      </c>
      <c r="N11" s="147">
        <f t="shared" si="0"/>
        <v>3.5006739308451884E-5</v>
      </c>
      <c r="O11" s="157">
        <f>IF($E11="","",IF($C11=12,IF($B11&lt;Input!$C$9,Input!$C$54,IF($B11=Input!$C$9,Input!$C$55,Input!$C$56)),0%))</f>
        <v>0</v>
      </c>
      <c r="P11" s="167">
        <f>IF($E11="","",IF($B11=1,Input!$C$59,IF($B11&lt;6,Input!$C$60,0%)))</f>
        <v>1</v>
      </c>
      <c r="Q11" s="162">
        <f>IF($E11="","",Input!$C$58)</f>
        <v>2.5</v>
      </c>
      <c r="R11" s="156">
        <f t="shared" si="12"/>
        <v>0.99996499326069155</v>
      </c>
      <c r="S11" s="154">
        <f t="shared" si="1"/>
        <v>0.99978997794536828</v>
      </c>
      <c r="T11" s="152"/>
      <c r="U11" s="150">
        <f t="shared" si="13"/>
        <v>0</v>
      </c>
      <c r="V11" s="150">
        <f t="shared" si="14"/>
        <v>0</v>
      </c>
      <c r="W11" s="168">
        <f t="shared" si="15"/>
        <v>0</v>
      </c>
      <c r="X11" s="163">
        <f t="shared" si="2"/>
        <v>3.5006739308451884</v>
      </c>
      <c r="Y11" s="152"/>
      <c r="Z11" s="164">
        <f>IF(AND($C10=12,$D10=Input!$C$6),0,IF($E11="","",V11+Z12/(1+L11)*R11))</f>
        <v>2409.5620289921189</v>
      </c>
      <c r="AA11" s="164">
        <f>IF(OR($M11=1,AND($C10=12,$D10=Input!$C$6)),0,IF($E11="","",W11+(X11+AA12*$R11)/(1+$L11)))</f>
        <v>1712.8069994589248</v>
      </c>
      <c r="AB11" s="160">
        <f t="shared" si="3"/>
        <v>0.825720328500681</v>
      </c>
      <c r="AC11" s="164">
        <f t="shared" si="4"/>
        <v>0</v>
      </c>
      <c r="AD11" s="164">
        <f>IF(AND($C10=12,$D10=Input!$C$6),0,IF($E11="","",$AC11+AD12/(1+$L11)*$R11))</f>
        <v>1989.6243501221409</v>
      </c>
      <c r="AE11" s="152"/>
      <c r="AF11" s="164">
        <f>IF(AND($C10=12,$D10=Input!$C$6),0,IF($E11="","",IF($B11&gt;Input!$C$9,$AC11,0)+AF12/(1+$L11)*$R11))</f>
        <v>557.09418161474332</v>
      </c>
      <c r="AG11" s="164">
        <f>IF(AND($C10=12,$D10=Input!$C$6),0,IF($E11="","",(IF($B11&gt;Input!$C$9,$X11,0)+AG12)/(1+$L11)*$R11))</f>
        <v>265.9143355444715</v>
      </c>
      <c r="AH11" s="160">
        <f t="shared" si="5"/>
        <v>2.0950137211446997</v>
      </c>
      <c r="AI11" s="160">
        <f>IF($E11="","",MIN(Input!$C$61/AH11,1))</f>
        <v>0.64438718771845094</v>
      </c>
      <c r="AJ11" s="152"/>
      <c r="AK11" s="164">
        <f>IF(AND($C10=12,$D10=Input!$C$6),0,IF($E11="","",IF($B11&gt;Input!$C$9,$AC11*AI11,0)+AK12/(1+$L11)*$R11))</f>
        <v>358.98435298503659</v>
      </c>
      <c r="AL11" s="164">
        <f>IF(AND($C10=12,$D10=Input!$C$6),0,IF($E11="","",IF($B11&gt;Input!$C$9,0,$AC11)+AL12/(1+$L11)*$R11))</f>
        <v>1432.530168507395</v>
      </c>
      <c r="AM11" s="160">
        <f t="shared" si="6"/>
        <v>1.1382936520186004</v>
      </c>
      <c r="AN11" s="164">
        <f>IF($E11="","",IF($B11&gt;Input!$C$9,$AI11*$AC11,$AM11*$AC11))</f>
        <v>0</v>
      </c>
      <c r="AO11" s="164">
        <f>IF(AND($C10=12,$D10=Input!$C$6),0,IF($E11="","",$AN11+AO12/(1+$L11)*$R11))</f>
        <v>1989.6243501221384</v>
      </c>
      <c r="AP11" s="152"/>
      <c r="AQ11" s="164">
        <f t="shared" si="7"/>
        <v>-276.81735066321357</v>
      </c>
      <c r="AR11" s="164">
        <f t="shared" si="16"/>
        <v>-149.81241126017392</v>
      </c>
      <c r="AS11" s="164">
        <f t="shared" si="17"/>
        <v>20.095693779904305</v>
      </c>
      <c r="AT11" s="164">
        <f t="shared" si="8"/>
        <v>20.095693779904305</v>
      </c>
      <c r="AU11" s="152"/>
      <c r="AV11" s="147">
        <f>'Deterministic Reserve'!BC11</f>
        <v>0.99983665713762904</v>
      </c>
      <c r="AW11" s="164">
        <f t="shared" si="9"/>
        <v>20.095693779904305</v>
      </c>
      <c r="AX11" s="164">
        <f t="shared" si="10"/>
        <v>20.092411291760964</v>
      </c>
      <c r="AY11" s="152"/>
    </row>
    <row r="12" spans="1:51" s="150" customFormat="1" x14ac:dyDescent="0.25">
      <c r="A12" s="150">
        <f t="shared" si="18"/>
        <v>8</v>
      </c>
      <c r="B12" s="150">
        <f t="shared" si="19"/>
        <v>1</v>
      </c>
      <c r="C12" s="150">
        <f t="shared" si="20"/>
        <v>8</v>
      </c>
      <c r="D12" s="150">
        <f>IF(E12="","",Input!$C$4+B12-1)</f>
        <v>45</v>
      </c>
      <c r="E12" s="150">
        <f>IF(OR(AND(C11=12,D11=Input!$C$6),E11=""),"",1)</f>
        <v>1</v>
      </c>
      <c r="F12" s="150">
        <f>IF(E12="","",Input!$C$8+B12-1)</f>
        <v>2018</v>
      </c>
      <c r="G12" s="151">
        <f>IF(E12="","",MAX(0,Input!$C$9-B12))</f>
        <v>19</v>
      </c>
      <c r="H12" s="152">
        <f>IF(E12="","",Input!$C$3)</f>
        <v>100000</v>
      </c>
      <c r="I12" s="153">
        <f>IF(E12="","",HLOOKUP($B12,Input!$C$13:$BT$14,2))</f>
        <v>2.2999999999999998</v>
      </c>
      <c r="J12" s="154"/>
      <c r="K12" s="155">
        <f>IF($E12="","",Input!$C$57)</f>
        <v>4.4999999999999998E-2</v>
      </c>
      <c r="L12" s="155">
        <f t="shared" si="11"/>
        <v>3.6748094004368514E-3</v>
      </c>
      <c r="M12" s="147">
        <f>IF($E12="","",VLOOKUP(IF($B12&lt;=Input!$C$7,$B12,26),'Mortality Tables'!$A$72:$CA$97,IF($B12&lt;=Input!$C$7+1,Input!$C$4-16,$D12-Input!$C$7-16),0)/1000)</f>
        <v>4.1999999999999996E-4</v>
      </c>
      <c r="N12" s="147">
        <f t="shared" si="0"/>
        <v>3.5006739308451884E-5</v>
      </c>
      <c r="O12" s="157">
        <f>IF($E12="","",IF($C12=12,IF($B12&lt;Input!$C$9,Input!$C$54,IF($B12=Input!$C$9,Input!$C$55,Input!$C$56)),0%))</f>
        <v>0</v>
      </c>
      <c r="P12" s="167">
        <f>IF($E12="","",IF($B12=1,Input!$C$59,IF($B12&lt;6,Input!$C$60,0%)))</f>
        <v>1</v>
      </c>
      <c r="Q12" s="162">
        <f>IF($E12="","",Input!$C$58)</f>
        <v>2.5</v>
      </c>
      <c r="R12" s="156">
        <f t="shared" si="12"/>
        <v>0.99996499326069155</v>
      </c>
      <c r="S12" s="154">
        <f t="shared" si="1"/>
        <v>0.99975497855824713</v>
      </c>
      <c r="T12" s="152"/>
      <c r="U12" s="150">
        <f t="shared" si="13"/>
        <v>0</v>
      </c>
      <c r="V12" s="150">
        <f t="shared" si="14"/>
        <v>0</v>
      </c>
      <c r="W12" s="168">
        <f t="shared" si="15"/>
        <v>0</v>
      </c>
      <c r="X12" s="163">
        <f t="shared" si="2"/>
        <v>3.5006739308451884</v>
      </c>
      <c r="Y12" s="152"/>
      <c r="Z12" s="164">
        <f>IF(AND($C11=12,$D11=Input!$C$6),0,IF($E12="","",V12+Z13/(1+L12)*R12))</f>
        <v>2418.5013740343129</v>
      </c>
      <c r="AA12" s="164">
        <f>IF(OR($M12=1,AND($C11=12,$D11=Input!$C$6)),0,IF($E12="","",W12+(X12+AA13*$R12)/(1+$L12)))</f>
        <v>1715.6606244750483</v>
      </c>
      <c r="AB12" s="160">
        <f t="shared" si="3"/>
        <v>0.825720328500681</v>
      </c>
      <c r="AC12" s="164">
        <f t="shared" si="4"/>
        <v>0</v>
      </c>
      <c r="AD12" s="164">
        <f>IF(AND($C11=12,$D11=Input!$C$6),0,IF($E12="","",$AC12+AD13/(1+$L12)*$R12))</f>
        <v>1997.0057490469621</v>
      </c>
      <c r="AE12" s="152"/>
      <c r="AF12" s="164">
        <f>IF(AND($C11=12,$D11=Input!$C$6),0,IF($E12="","",IF($B12&gt;Input!$C$9,$AC12,0)+AF13/(1+$L12)*$R12))</f>
        <v>559.16097095261148</v>
      </c>
      <c r="AG12" s="164">
        <f>IF(AND($C11=12,$D11=Input!$C$6),0,IF($E12="","",(IF($B12&gt;Input!$C$9,$X12,0)+AG13)/(1+$L12)*$R12))</f>
        <v>266.90086337338653</v>
      </c>
      <c r="AH12" s="160">
        <f t="shared" si="5"/>
        <v>2.0950137211446997</v>
      </c>
      <c r="AI12" s="160">
        <f>IF($E12="","",MIN(Input!$C$61/AH12,1))</f>
        <v>0.64438718771845094</v>
      </c>
      <c r="AJ12" s="152"/>
      <c r="AK12" s="164">
        <f>IF(AND($C11=12,$D11=Input!$C$6),0,IF($E12="","",IF($B12&gt;Input!$C$9,$AC12*AI12,0)+AK13/(1+$L12)*$R12))</f>
        <v>360.31616555407192</v>
      </c>
      <c r="AL12" s="164">
        <f>IF(AND($C11=12,$D11=Input!$C$6),0,IF($E12="","",IF($B12&gt;Input!$C$9,0,$AC12)+AL13/(1+$L12)*$R12))</f>
        <v>1437.8447780943482</v>
      </c>
      <c r="AM12" s="160">
        <f t="shared" si="6"/>
        <v>1.1382936520186004</v>
      </c>
      <c r="AN12" s="164">
        <f>IF($E12="","",IF($B12&gt;Input!$C$9,$AI12*$AC12,$AM12*$AC12))</f>
        <v>0</v>
      </c>
      <c r="AO12" s="164">
        <f>IF(AND($C11=12,$D11=Input!$C$6),0,IF($E12="","",$AN12+AO13/(1+$L12)*$R12))</f>
        <v>1997.0057490469596</v>
      </c>
      <c r="AP12" s="152"/>
      <c r="AQ12" s="164">
        <f t="shared" si="7"/>
        <v>-281.34512457191136</v>
      </c>
      <c r="AR12" s="164">
        <f t="shared" si="16"/>
        <v>-149.81241126017392</v>
      </c>
      <c r="AS12" s="164">
        <f t="shared" si="17"/>
        <v>20.095693779904305</v>
      </c>
      <c r="AT12" s="164">
        <f t="shared" si="8"/>
        <v>20.095693779904305</v>
      </c>
      <c r="AU12" s="152"/>
      <c r="AV12" s="147">
        <f>'Deterministic Reserve'!BC12</f>
        <v>0.99981332462113814</v>
      </c>
      <c r="AW12" s="164">
        <f t="shared" si="9"/>
        <v>20.095693779904305</v>
      </c>
      <c r="AX12" s="164">
        <f t="shared" si="10"/>
        <v>20.09194240865445</v>
      </c>
      <c r="AY12" s="152"/>
    </row>
    <row r="13" spans="1:51" s="150" customFormat="1" x14ac:dyDescent="0.25">
      <c r="A13" s="150">
        <f t="shared" si="18"/>
        <v>9</v>
      </c>
      <c r="B13" s="150">
        <f t="shared" si="19"/>
        <v>1</v>
      </c>
      <c r="C13" s="150">
        <f t="shared" si="20"/>
        <v>9</v>
      </c>
      <c r="D13" s="150">
        <f>IF(E13="","",Input!$C$4+B13-1)</f>
        <v>45</v>
      </c>
      <c r="E13" s="150">
        <f>IF(OR(AND(C12=12,D12=Input!$C$6),E12=""),"",1)</f>
        <v>1</v>
      </c>
      <c r="F13" s="150">
        <f>IF(E13="","",Input!$C$8+B13-1)</f>
        <v>2018</v>
      </c>
      <c r="G13" s="151">
        <f>IF(E13="","",MAX(0,Input!$C$9-B13))</f>
        <v>19</v>
      </c>
      <c r="H13" s="152">
        <f>IF(E13="","",Input!$C$3)</f>
        <v>100000</v>
      </c>
      <c r="I13" s="153">
        <f>IF(E13="","",HLOOKUP($B13,Input!$C$13:$BT$14,2))</f>
        <v>2.2999999999999998</v>
      </c>
      <c r="J13" s="154"/>
      <c r="K13" s="155">
        <f>IF($E13="","",Input!$C$57)</f>
        <v>4.4999999999999998E-2</v>
      </c>
      <c r="L13" s="155">
        <f t="shared" si="11"/>
        <v>3.6748094004368514E-3</v>
      </c>
      <c r="M13" s="147">
        <f>IF($E13="","",VLOOKUP(IF($B13&lt;=Input!$C$7,$B13,26),'Mortality Tables'!$A$72:$CA$97,IF($B13&lt;=Input!$C$7+1,Input!$C$4-16,$D13-Input!$C$7-16),0)/1000)</f>
        <v>4.1999999999999996E-4</v>
      </c>
      <c r="N13" s="147">
        <f t="shared" si="0"/>
        <v>3.5006739308451884E-5</v>
      </c>
      <c r="O13" s="157">
        <f>IF($E13="","",IF($C13=12,IF($B13&lt;Input!$C$9,Input!$C$54,IF($B13=Input!$C$9,Input!$C$55,Input!$C$56)),0%))</f>
        <v>0</v>
      </c>
      <c r="P13" s="167">
        <f>IF($E13="","",IF($B13=1,Input!$C$59,IF($B13&lt;6,Input!$C$60,0%)))</f>
        <v>1</v>
      </c>
      <c r="Q13" s="162">
        <f>IF($E13="","",Input!$C$58)</f>
        <v>2.5</v>
      </c>
      <c r="R13" s="156">
        <f t="shared" si="12"/>
        <v>0.99996499326069155</v>
      </c>
      <c r="S13" s="154">
        <f t="shared" si="1"/>
        <v>0.99971998039634047</v>
      </c>
      <c r="T13" s="152"/>
      <c r="U13" s="150">
        <f t="shared" si="13"/>
        <v>0</v>
      </c>
      <c r="V13" s="150">
        <f t="shared" si="14"/>
        <v>0</v>
      </c>
      <c r="W13" s="168">
        <f t="shared" si="15"/>
        <v>0</v>
      </c>
      <c r="X13" s="163">
        <f t="shared" si="2"/>
        <v>3.5006739308451884</v>
      </c>
      <c r="Y13" s="152"/>
      <c r="Z13" s="164">
        <f>IF(AND($C12=12,$D12=Input!$C$6),0,IF($E13="","",V13+Z14/(1+L13)*R13))</f>
        <v>2427.4738835640037</v>
      </c>
      <c r="AA13" s="164">
        <f>IF(OR($M13=1,AND($C12=12,$D12=Input!$C$6)),0,IF($E13="","",W13+(X13+AA14*$R13)/(1+$L13)))</f>
        <v>1718.5248362859224</v>
      </c>
      <c r="AB13" s="160">
        <f t="shared" si="3"/>
        <v>0.825720328500681</v>
      </c>
      <c r="AC13" s="164">
        <f t="shared" si="4"/>
        <v>0</v>
      </c>
      <c r="AD13" s="164">
        <f>IF(AND($C12=12,$D12=Input!$C$6),0,IF($E13="","",$AC13+AD14/(1+$L13)*$R13))</f>
        <v>2004.414532563294</v>
      </c>
      <c r="AE13" s="152"/>
      <c r="AF13" s="164">
        <f>IF(AND($C12=12,$D12=Input!$C$6),0,IF($E13="","",IF($B13&gt;Input!$C$9,$AC13,0)+AF14/(1+$L13)*$R13))</f>
        <v>561.23542796734296</v>
      </c>
      <c r="AG13" s="164">
        <f>IF(AND($C12=12,$D12=Input!$C$6),0,IF($E13="","",(IF($B13&gt;Input!$C$9,$X13,0)+AG14)/(1+$L13)*$R13))</f>
        <v>267.89105116728706</v>
      </c>
      <c r="AH13" s="160">
        <f t="shared" si="5"/>
        <v>2.0950137211446997</v>
      </c>
      <c r="AI13" s="160">
        <f>IF($E13="","",MIN(Input!$C$61/AH13,1))</f>
        <v>0.64438718771845094</v>
      </c>
      <c r="AJ13" s="152"/>
      <c r="AK13" s="164">
        <f>IF(AND($C12=12,$D12=Input!$C$6),0,IF($E13="","",IF($B13&gt;Input!$C$9,$AC13*AI13,0)+AK14/(1+$L13)*$R13))</f>
        <v>361.65291907583759</v>
      </c>
      <c r="AL13" s="164">
        <f>IF(AND($C12=12,$D12=Input!$C$6),0,IF($E13="","",IF($B13&gt;Input!$C$9,0,$AC13)+AL14/(1+$L13)*$R13))</f>
        <v>1443.1791045959483</v>
      </c>
      <c r="AM13" s="160">
        <f t="shared" si="6"/>
        <v>1.1382936520186004</v>
      </c>
      <c r="AN13" s="164">
        <f>IF($E13="","",IF($B13&gt;Input!$C$9,$AI13*$AC13,$AM13*$AC13))</f>
        <v>0</v>
      </c>
      <c r="AO13" s="164">
        <f>IF(AND($C12=12,$D12=Input!$C$6),0,IF($E13="","",$AN13+AO14/(1+$L13)*$R13))</f>
        <v>2004.4145325632915</v>
      </c>
      <c r="AP13" s="152"/>
      <c r="AQ13" s="164">
        <f t="shared" si="7"/>
        <v>-285.88969627736901</v>
      </c>
      <c r="AR13" s="164">
        <f t="shared" si="16"/>
        <v>-149.81241126017392</v>
      </c>
      <c r="AS13" s="164">
        <f t="shared" si="17"/>
        <v>20.095693779904305</v>
      </c>
      <c r="AT13" s="164">
        <f t="shared" si="8"/>
        <v>20.095693779904305</v>
      </c>
      <c r="AU13" s="152"/>
      <c r="AV13" s="147">
        <f>'Deterministic Reserve'!BC13</f>
        <v>0.99978999264914259</v>
      </c>
      <c r="AW13" s="164">
        <f t="shared" si="9"/>
        <v>20.095693779904305</v>
      </c>
      <c r="AX13" s="164">
        <f t="shared" si="10"/>
        <v>20.091473536489946</v>
      </c>
      <c r="AY13" s="152"/>
    </row>
    <row r="14" spans="1:51" s="150" customFormat="1" x14ac:dyDescent="0.25">
      <c r="A14" s="150">
        <f t="shared" si="18"/>
        <v>10</v>
      </c>
      <c r="B14" s="150">
        <f t="shared" si="19"/>
        <v>1</v>
      </c>
      <c r="C14" s="150">
        <f t="shared" si="20"/>
        <v>10</v>
      </c>
      <c r="D14" s="150">
        <f>IF(E14="","",Input!$C$4+B14-1)</f>
        <v>45</v>
      </c>
      <c r="E14" s="150">
        <f>IF(OR(AND(C13=12,D13=Input!$C$6),E13=""),"",1)</f>
        <v>1</v>
      </c>
      <c r="F14" s="150">
        <f>IF(E14="","",Input!$C$8+B14-1)</f>
        <v>2018</v>
      </c>
      <c r="G14" s="151">
        <f>IF(E14="","",MAX(0,Input!$C$9-B14))</f>
        <v>19</v>
      </c>
      <c r="H14" s="152">
        <f>IF(E14="","",Input!$C$3)</f>
        <v>100000</v>
      </c>
      <c r="I14" s="153">
        <f>IF(E14="","",HLOOKUP($B14,Input!$C$13:$BT$14,2))</f>
        <v>2.2999999999999998</v>
      </c>
      <c r="J14" s="154"/>
      <c r="K14" s="155">
        <f>IF($E14="","",Input!$C$57)</f>
        <v>4.4999999999999998E-2</v>
      </c>
      <c r="L14" s="155">
        <f t="shared" si="11"/>
        <v>3.6748094004368514E-3</v>
      </c>
      <c r="M14" s="147">
        <f>IF($E14="","",VLOOKUP(IF($B14&lt;=Input!$C$7,$B14,26),'Mortality Tables'!$A$72:$CA$97,IF($B14&lt;=Input!$C$7+1,Input!$C$4-16,$D14-Input!$C$7-16),0)/1000)</f>
        <v>4.1999999999999996E-4</v>
      </c>
      <c r="N14" s="147">
        <f t="shared" si="0"/>
        <v>3.5006739308451884E-5</v>
      </c>
      <c r="O14" s="157">
        <f>IF($E14="","",IF($C14=12,IF($B14&lt;Input!$C$9,Input!$C$54,IF($B14=Input!$C$9,Input!$C$55,Input!$C$56)),0%))</f>
        <v>0</v>
      </c>
      <c r="P14" s="167">
        <f>IF($E14="","",IF($B14=1,Input!$C$59,IF($B14&lt;6,Input!$C$60,0%)))</f>
        <v>1</v>
      </c>
      <c r="Q14" s="162">
        <f>IF($E14="","",Input!$C$58)</f>
        <v>2.5</v>
      </c>
      <c r="R14" s="156">
        <f t="shared" si="12"/>
        <v>0.99996499326069155</v>
      </c>
      <c r="S14" s="154">
        <f t="shared" si="1"/>
        <v>0.99968498345960533</v>
      </c>
      <c r="T14" s="152"/>
      <c r="U14" s="150">
        <f t="shared" si="13"/>
        <v>0</v>
      </c>
      <c r="V14" s="150">
        <f t="shared" si="14"/>
        <v>0</v>
      </c>
      <c r="W14" s="168">
        <f t="shared" si="15"/>
        <v>0</v>
      </c>
      <c r="X14" s="163">
        <f t="shared" si="2"/>
        <v>3.5006739308451884</v>
      </c>
      <c r="Y14" s="152"/>
      <c r="Z14" s="164">
        <f>IF(AND($C13=12,$D13=Input!$C$6),0,IF($E14="","",V14+Z15/(1+L14)*R14))</f>
        <v>2436.4796806196496</v>
      </c>
      <c r="AA14" s="164">
        <f>IF(OR($M14=1,AND($C13=12,$D13=Input!$C$6)),0,IF($E14="","",W14+(X14+AA15*$R14)/(1+$L14)))</f>
        <v>1721.3996741679844</v>
      </c>
      <c r="AB14" s="160">
        <f t="shared" si="3"/>
        <v>0.825720328500681</v>
      </c>
      <c r="AC14" s="164">
        <f t="shared" si="4"/>
        <v>0</v>
      </c>
      <c r="AD14" s="164">
        <f>IF(AND($C13=12,$D13=Input!$C$6),0,IF($E14="","",$AC14+AD15/(1+$L14)*$R14))</f>
        <v>2011.8508022664923</v>
      </c>
      <c r="AE14" s="152"/>
      <c r="AF14" s="164">
        <f>IF(AND($C13=12,$D13=Input!$C$6),0,IF($E14="","",IF($B14&gt;Input!$C$9,$AC14,0)+AF15/(1+$L14)*$R14))</f>
        <v>563.3175811056052</v>
      </c>
      <c r="AG14" s="164">
        <f>IF(AND($C13=12,$D13=Input!$C$6),0,IF($E14="","",(IF($B14&gt;Input!$C$9,$X14,0)+AG15)/(1+$L14)*$R14))</f>
        <v>268.88491250444554</v>
      </c>
      <c r="AH14" s="160">
        <f t="shared" si="5"/>
        <v>2.0950137211446997</v>
      </c>
      <c r="AI14" s="160">
        <f>IF($E14="","",MIN(Input!$C$61/AH14,1))</f>
        <v>0.64438718771845094</v>
      </c>
      <c r="AJ14" s="152"/>
      <c r="AK14" s="164">
        <f>IF(AND($C13=12,$D13=Input!$C$6),0,IF($E14="","",IF($B14&gt;Input!$C$9,$AC14*AI14,0)+AK15/(1+$L14)*$R14))</f>
        <v>362.99463188100151</v>
      </c>
      <c r="AL14" s="164">
        <f>IF(AND($C13=12,$D13=Input!$C$6),0,IF($E14="","",IF($B14&gt;Input!$C$9,0,$AC14)+AL15/(1+$L14)*$R14))</f>
        <v>1448.5332211608845</v>
      </c>
      <c r="AM14" s="160">
        <f t="shared" si="6"/>
        <v>1.1382936520186004</v>
      </c>
      <c r="AN14" s="164">
        <f>IF($E14="","",IF($B14&gt;Input!$C$9,$AI14*$AC14,$AM14*$AC14))</f>
        <v>0</v>
      </c>
      <c r="AO14" s="164">
        <f>IF(AND($C13=12,$D13=Input!$C$6),0,IF($E14="","",$AN14+AO15/(1+$L14)*$R14))</f>
        <v>2011.8508022664896</v>
      </c>
      <c r="AP14" s="152"/>
      <c r="AQ14" s="164">
        <f t="shared" si="7"/>
        <v>-290.45112809850525</v>
      </c>
      <c r="AR14" s="164">
        <f t="shared" si="16"/>
        <v>-149.81241126017392</v>
      </c>
      <c r="AS14" s="164">
        <f t="shared" si="17"/>
        <v>20.095693779904305</v>
      </c>
      <c r="AT14" s="164">
        <f t="shared" si="8"/>
        <v>20.095693779904305</v>
      </c>
      <c r="AU14" s="152"/>
      <c r="AV14" s="147">
        <f>'Deterministic Reserve'!BC14</f>
        <v>0.9997666612216296</v>
      </c>
      <c r="AW14" s="164">
        <f t="shared" si="9"/>
        <v>20.095693779904305</v>
      </c>
      <c r="AX14" s="164">
        <f t="shared" si="10"/>
        <v>20.091004675267197</v>
      </c>
      <c r="AY14" s="152"/>
    </row>
    <row r="15" spans="1:51" s="150" customFormat="1" x14ac:dyDescent="0.25">
      <c r="A15" s="150">
        <f t="shared" si="18"/>
        <v>11</v>
      </c>
      <c r="B15" s="150">
        <f t="shared" si="19"/>
        <v>1</v>
      </c>
      <c r="C15" s="150">
        <f t="shared" si="20"/>
        <v>11</v>
      </c>
      <c r="D15" s="150">
        <f>IF(E15="","",Input!$C$4+B15-1)</f>
        <v>45</v>
      </c>
      <c r="E15" s="150">
        <f>IF(OR(AND(C14=12,D14=Input!$C$6),E14=""),"",1)</f>
        <v>1</v>
      </c>
      <c r="F15" s="150">
        <f>IF(E15="","",Input!$C$8+B15-1)</f>
        <v>2018</v>
      </c>
      <c r="G15" s="151">
        <f>IF(E15="","",MAX(0,Input!$C$9-B15))</f>
        <v>19</v>
      </c>
      <c r="H15" s="152">
        <f>IF(E15="","",Input!$C$3)</f>
        <v>100000</v>
      </c>
      <c r="I15" s="153">
        <f>IF(E15="","",HLOOKUP($B15,Input!$C$13:$BT$14,2))</f>
        <v>2.2999999999999998</v>
      </c>
      <c r="J15" s="154"/>
      <c r="K15" s="155">
        <f>IF($E15="","",Input!$C$57)</f>
        <v>4.4999999999999998E-2</v>
      </c>
      <c r="L15" s="155">
        <f t="shared" si="11"/>
        <v>3.6748094004368514E-3</v>
      </c>
      <c r="M15" s="147">
        <f>IF($E15="","",VLOOKUP(IF($B15&lt;=Input!$C$7,$B15,26),'Mortality Tables'!$A$72:$CA$97,IF($B15&lt;=Input!$C$7+1,Input!$C$4-16,$D15-Input!$C$7-16),0)/1000)</f>
        <v>4.1999999999999996E-4</v>
      </c>
      <c r="N15" s="147">
        <f t="shared" si="0"/>
        <v>3.5006739308451884E-5</v>
      </c>
      <c r="O15" s="157">
        <f>IF($E15="","",IF($C15=12,IF($B15&lt;Input!$C$9,Input!$C$54,IF($B15=Input!$C$9,Input!$C$55,Input!$C$56)),0%))</f>
        <v>0</v>
      </c>
      <c r="P15" s="167">
        <f>IF($E15="","",IF($B15=1,Input!$C$59,IF($B15&lt;6,Input!$C$60,0%)))</f>
        <v>1</v>
      </c>
      <c r="Q15" s="162">
        <f>IF($E15="","",Input!$C$58)</f>
        <v>2.5</v>
      </c>
      <c r="R15" s="156">
        <f t="shared" si="12"/>
        <v>0.99996499326069155</v>
      </c>
      <c r="S15" s="154">
        <f t="shared" si="1"/>
        <v>0.99964998774799874</v>
      </c>
      <c r="T15" s="152"/>
      <c r="U15" s="150">
        <f t="shared" si="13"/>
        <v>0</v>
      </c>
      <c r="V15" s="150">
        <f t="shared" si="14"/>
        <v>0</v>
      </c>
      <c r="W15" s="168">
        <f t="shared" si="15"/>
        <v>0</v>
      </c>
      <c r="X15" s="163">
        <f t="shared" si="2"/>
        <v>3.5006739308451884</v>
      </c>
      <c r="Y15" s="152"/>
      <c r="Z15" s="164">
        <f>IF(AND($C14=12,$D14=Input!$C$6),0,IF($E15="","",V15+Z16/(1+L15)*R15))</f>
        <v>2445.5188886961741</v>
      </c>
      <c r="AA15" s="164">
        <f>IF(OR($M15=1,AND($C14=12,$D14=Input!$C$6)),0,IF($E15="","",W15+(X15+AA16*$R15)/(1+$L15)))</f>
        <v>1724.2851775433844</v>
      </c>
      <c r="AB15" s="160">
        <f t="shared" si="3"/>
        <v>0.825720328500681</v>
      </c>
      <c r="AC15" s="164">
        <f t="shared" si="4"/>
        <v>0</v>
      </c>
      <c r="AD15" s="164">
        <f>IF(AND($C14=12,$D14=Input!$C$6),0,IF($E15="","",$AC15+AD16/(1+$L15)*$R15))</f>
        <v>2019.3146601288265</v>
      </c>
      <c r="AE15" s="152"/>
      <c r="AF15" s="164">
        <f>IF(AND($C14=12,$D14=Input!$C$6),0,IF($E15="","",IF($B15&gt;Input!$C$9,$AC15,0)+AF16/(1+$L15)*$R15))</f>
        <v>565.4074589196008</v>
      </c>
      <c r="AG15" s="164">
        <f>IF(AND($C14=12,$D14=Input!$C$6),0,IF($E15="","",(IF($B15&gt;Input!$C$9,$X15,0)+AG16)/(1+$L15)*$R15))</f>
        <v>269.88246101350916</v>
      </c>
      <c r="AH15" s="160">
        <f t="shared" si="5"/>
        <v>2.0950137211446997</v>
      </c>
      <c r="AI15" s="160">
        <f>IF($E15="","",MIN(Input!$C$61/AH15,1))</f>
        <v>0.64438718771845094</v>
      </c>
      <c r="AJ15" s="152"/>
      <c r="AK15" s="164">
        <f>IF(AND($C14=12,$D14=Input!$C$6),0,IF($E15="","",IF($B15&gt;Input!$C$9,$AC15*AI15,0)+AK16/(1+$L15)*$R15))</f>
        <v>364.34132236823734</v>
      </c>
      <c r="AL15" s="164">
        <f>IF(AND($C14=12,$D14=Input!$C$6),0,IF($E15="","",IF($B15&gt;Input!$C$9,0,$AC15)+AL16/(1+$L15)*$R15))</f>
        <v>1453.9072012092229</v>
      </c>
      <c r="AM15" s="160">
        <f t="shared" si="6"/>
        <v>1.1382936520186004</v>
      </c>
      <c r="AN15" s="164">
        <f>IF($E15="","",IF($B15&gt;Input!$C$9,$AI15*$AC15,$AM15*$AC15))</f>
        <v>0</v>
      </c>
      <c r="AO15" s="164">
        <f>IF(AND($C14=12,$D14=Input!$C$6),0,IF($E15="","",$AN15+AO16/(1+$L15)*$R15))</f>
        <v>2019.3146601288238</v>
      </c>
      <c r="AP15" s="152"/>
      <c r="AQ15" s="164">
        <f t="shared" si="7"/>
        <v>-295.02948258543938</v>
      </c>
      <c r="AR15" s="164">
        <f t="shared" si="16"/>
        <v>-149.81241126017392</v>
      </c>
      <c r="AS15" s="164">
        <f t="shared" si="17"/>
        <v>20.095693779904305</v>
      </c>
      <c r="AT15" s="164">
        <f t="shared" si="8"/>
        <v>20.095693779904305</v>
      </c>
      <c r="AU15" s="152"/>
      <c r="AV15" s="147">
        <f>'Deterministic Reserve'!BC15</f>
        <v>0.99974333033858642</v>
      </c>
      <c r="AW15" s="164">
        <f t="shared" si="9"/>
        <v>20.095693779904305</v>
      </c>
      <c r="AX15" s="164">
        <f t="shared" si="10"/>
        <v>20.090535824985945</v>
      </c>
      <c r="AY15" s="152"/>
    </row>
    <row r="16" spans="1:51" s="150" customFormat="1" x14ac:dyDescent="0.25">
      <c r="A16" s="150">
        <f t="shared" si="18"/>
        <v>12</v>
      </c>
      <c r="B16" s="150">
        <f t="shared" si="19"/>
        <v>1</v>
      </c>
      <c r="C16" s="150">
        <f t="shared" si="20"/>
        <v>12</v>
      </c>
      <c r="D16" s="150">
        <f>IF(E16="","",Input!$C$4+B16-1)</f>
        <v>45</v>
      </c>
      <c r="E16" s="150">
        <f>IF(OR(AND(C15=12,D15=Input!$C$6),E15=""),"",1)</f>
        <v>1</v>
      </c>
      <c r="F16" s="150">
        <f>IF(E16="","",Input!$C$8+B16-1)</f>
        <v>2018</v>
      </c>
      <c r="G16" s="151">
        <f>IF(E16="","",MAX(0,Input!$C$9-B16))</f>
        <v>19</v>
      </c>
      <c r="H16" s="152">
        <f>IF(E16="","",Input!$C$3)</f>
        <v>100000</v>
      </c>
      <c r="I16" s="153">
        <f>IF(E16="","",HLOOKUP($B16,Input!$C$13:$BT$14,2))</f>
        <v>2.2999999999999998</v>
      </c>
      <c r="J16" s="154"/>
      <c r="K16" s="155">
        <f>IF($E16="","",Input!$C$57)</f>
        <v>4.4999999999999998E-2</v>
      </c>
      <c r="L16" s="155">
        <f t="shared" si="11"/>
        <v>3.6748094004368514E-3</v>
      </c>
      <c r="M16" s="147">
        <f>IF($E16="","",VLOOKUP(IF($B16&lt;=Input!$C$7,$B16,26),'Mortality Tables'!$A$72:$CA$97,IF($B16&lt;=Input!$C$7+1,Input!$C$4-16,$D16-Input!$C$7-16),0)/1000)</f>
        <v>4.1999999999999996E-4</v>
      </c>
      <c r="N16" s="147">
        <f t="shared" si="0"/>
        <v>3.5006739308451884E-5</v>
      </c>
      <c r="O16" s="157">
        <f>IF($E16="","",IF($C16=12,IF($B16&lt;Input!$C$9,Input!$C$54,IF($B16=Input!$C$9,Input!$C$55,Input!$C$56)),0%))</f>
        <v>0.06</v>
      </c>
      <c r="P16" s="167">
        <f>IF($E16="","",IF($B16=1,Input!$C$59,IF($B16&lt;6,Input!$C$60,0%)))</f>
        <v>1</v>
      </c>
      <c r="Q16" s="162">
        <f>IF($E16="","",Input!$C$58)</f>
        <v>2.5</v>
      </c>
      <c r="R16" s="156">
        <f t="shared" si="12"/>
        <v>0.93996499326069149</v>
      </c>
      <c r="S16" s="154">
        <f t="shared" si="1"/>
        <v>0.93963599399659792</v>
      </c>
      <c r="T16" s="152"/>
      <c r="U16" s="150">
        <f t="shared" si="13"/>
        <v>0</v>
      </c>
      <c r="V16" s="150">
        <f t="shared" si="14"/>
        <v>0</v>
      </c>
      <c r="W16" s="168">
        <f t="shared" si="15"/>
        <v>0</v>
      </c>
      <c r="X16" s="163">
        <f t="shared" si="2"/>
        <v>3.5006739308451884</v>
      </c>
      <c r="Y16" s="152"/>
      <c r="Z16" s="164">
        <f>IF(AND($C15=12,$D15=Input!$C$6),0,IF($E16="","",V16+Z17/(1+L16)*R16))</f>
        <v>2454.5916317466622</v>
      </c>
      <c r="AA16" s="164">
        <f>IF(OR($M16=1,AND($C15=12,$D15=Input!$C$6)),0,IF($E16="","",W16+(X16+AA17*$R16)/(1+$L16)))</f>
        <v>1727.181385980527</v>
      </c>
      <c r="AB16" s="160">
        <f t="shared" si="3"/>
        <v>0.825720328500681</v>
      </c>
      <c r="AC16" s="164">
        <f t="shared" si="4"/>
        <v>0</v>
      </c>
      <c r="AD16" s="164">
        <f>IF(AND($C15=12,$D15=Input!$C$6),0,IF($E16="","",$AC16+AD17/(1+$L16)*$R16))</f>
        <v>2026.8062085008776</v>
      </c>
      <c r="AE16" s="152"/>
      <c r="AF16" s="164">
        <f>IF(AND($C15=12,$D15=Input!$C$6),0,IF($E16="","",IF($B16&gt;Input!$C$9,$AC16,0)+AF17/(1+$L16)*$R16))</f>
        <v>567.50509006745983</v>
      </c>
      <c r="AG16" s="164">
        <f>IF(AND($C15=12,$D15=Input!$C$6),0,IF($E16="","",(IF($B16&gt;Input!$C$9,$X16,0)+AG17)/(1+$L16)*$R16))</f>
        <v>270.8837103736866</v>
      </c>
      <c r="AH16" s="160">
        <f t="shared" si="5"/>
        <v>2.0950137211446997</v>
      </c>
      <c r="AI16" s="160">
        <f>IF($E16="","",MIN(Input!$C$61/AH16,1))</f>
        <v>0.64438718771845094</v>
      </c>
      <c r="AJ16" s="152"/>
      <c r="AK16" s="164">
        <f>IF(AND($C15=12,$D15=Input!$C$6),0,IF($E16="","",IF($B16&gt;Input!$C$9,$AC16*AI16,0)+AK17/(1+$L16)*$R16))</f>
        <v>365.69300900447683</v>
      </c>
      <c r="AL16" s="164">
        <f>IF(AND($C15=12,$D15=Input!$C$6),0,IF($E16="","",IF($B16&gt;Input!$C$9,0,$AC16)+AL17/(1+$L16)*$R16))</f>
        <v>1459.301118433415</v>
      </c>
      <c r="AM16" s="160">
        <f t="shared" si="6"/>
        <v>1.1382936520186004</v>
      </c>
      <c r="AN16" s="164">
        <f>IF($E16="","",IF($B16&gt;Input!$C$9,$AI16*$AC16,$AM16*$AC16))</f>
        <v>0</v>
      </c>
      <c r="AO16" s="164">
        <f>IF(AND($C15=12,$D15=Input!$C$6),0,IF($E16="","",$AN16+AO17/(1+$L16)*$R16))</f>
        <v>2026.8062085008748</v>
      </c>
      <c r="AP16" s="152"/>
      <c r="AQ16" s="164">
        <f t="shared" si="7"/>
        <v>-299.62482252034783</v>
      </c>
      <c r="AR16" s="164">
        <f t="shared" si="16"/>
        <v>-149.81241126017392</v>
      </c>
      <c r="AS16" s="164">
        <f t="shared" si="17"/>
        <v>20.095693779904305</v>
      </c>
      <c r="AT16" s="164">
        <f t="shared" si="8"/>
        <v>20.095693779904305</v>
      </c>
      <c r="AU16" s="152"/>
      <c r="AV16" s="147">
        <f>'Deterministic Reserve'!BC16</f>
        <v>0.89974566696614178</v>
      </c>
      <c r="AW16" s="164">
        <f t="shared" si="9"/>
        <v>20.095693779904305</v>
      </c>
      <c r="AX16" s="164">
        <f t="shared" si="10"/>
        <v>18.081013403147345</v>
      </c>
      <c r="AY16" s="152"/>
    </row>
    <row r="17" spans="1:51" s="150" customFormat="1" x14ac:dyDescent="0.25">
      <c r="A17" s="150">
        <f t="shared" si="18"/>
        <v>13</v>
      </c>
      <c r="B17" s="150">
        <f t="shared" si="19"/>
        <v>2</v>
      </c>
      <c r="C17" s="150">
        <f t="shared" si="20"/>
        <v>1</v>
      </c>
      <c r="D17" s="150">
        <f>IF(E17="","",Input!$C$4+B17-1)</f>
        <v>46</v>
      </c>
      <c r="E17" s="150">
        <f>IF(OR(AND(C16=12,D16=Input!$C$6),E16=""),"",1)</f>
        <v>1</v>
      </c>
      <c r="F17" s="150">
        <f>IF(E17="","",Input!$C$8+B17-1)</f>
        <v>2019</v>
      </c>
      <c r="G17" s="151">
        <f>IF(E17="","",MAX(0,Input!$C$9-B17))</f>
        <v>18</v>
      </c>
      <c r="H17" s="152">
        <f>IF(E17="","",Input!$C$3)</f>
        <v>100000</v>
      </c>
      <c r="I17" s="153">
        <f>IF(E17="","",HLOOKUP($B17,Input!$C$13:$BT$14,2))</f>
        <v>2.2999999999999998</v>
      </c>
      <c r="J17" s="154"/>
      <c r="K17" s="155">
        <f>IF($E17="","",Input!$C$57)</f>
        <v>4.4999999999999998E-2</v>
      </c>
      <c r="L17" s="155">
        <f t="shared" si="11"/>
        <v>3.6748094004368514E-3</v>
      </c>
      <c r="M17" s="147">
        <f>IF($E17="","",VLOOKUP(IF($B17&lt;=Input!$C$7,$B17,26),'Mortality Tables'!$A$72:$CA$97,IF($B17&lt;=Input!$C$7+1,Input!$C$4-16,$D17-Input!$C$7-16),0)/1000)</f>
        <v>5.6999999999999998E-4</v>
      </c>
      <c r="N17" s="147">
        <f t="shared" si="0"/>
        <v>4.7512413896000361E-5</v>
      </c>
      <c r="O17" s="157">
        <f>IF($E17="","",IF($C17=12,IF($B17&lt;Input!$C$9,Input!$C$54,IF($B17=Input!$C$9,Input!$C$55,Input!$C$56)),0%))</f>
        <v>0</v>
      </c>
      <c r="P17" s="167">
        <f>IF($E17="","",IF($B17=1,Input!$C$59,IF($B17&lt;6,Input!$C$60,0%)))</f>
        <v>0.1</v>
      </c>
      <c r="Q17" s="162">
        <f>IF($E17="","",Input!$C$58)</f>
        <v>2.5</v>
      </c>
      <c r="R17" s="156">
        <f t="shared" si="12"/>
        <v>0.999952487586104</v>
      </c>
      <c r="S17" s="154">
        <f t="shared" si="1"/>
        <v>0.93959134962233959</v>
      </c>
      <c r="T17" s="152"/>
      <c r="U17" s="150">
        <f t="shared" si="13"/>
        <v>229.99999999999997</v>
      </c>
      <c r="V17" s="150">
        <f t="shared" si="14"/>
        <v>206.99999999999997</v>
      </c>
      <c r="W17" s="168">
        <f t="shared" si="15"/>
        <v>0</v>
      </c>
      <c r="X17" s="163">
        <f t="shared" si="2"/>
        <v>4.7512413896000361</v>
      </c>
      <c r="Y17" s="152"/>
      <c r="Z17" s="164">
        <f>IF(AND($C16=12,$D16=Input!$C$6),0,IF($E17="","",V17+Z18/(1+L17)*R17))</f>
        <v>2620.9612121863097</v>
      </c>
      <c r="AA17" s="164">
        <f>IF(OR($M17=1,AND($C16=12,$D16=Input!$C$6)),0,IF($E17="","",W17+(X17+AA18*$R17)/(1+$L17)))</f>
        <v>1840.5236225253061</v>
      </c>
      <c r="AB17" s="160">
        <f t="shared" si="3"/>
        <v>0.825720328500681</v>
      </c>
      <c r="AC17" s="164">
        <f t="shared" si="4"/>
        <v>170.92410799964094</v>
      </c>
      <c r="AD17" s="164">
        <f>IF(AND($C16=12,$D16=Input!$C$6),0,IF($E17="","",$AC17+AD18/(1+$L17)*$R17))</f>
        <v>2164.1809531140239</v>
      </c>
      <c r="AE17" s="152"/>
      <c r="AF17" s="164">
        <f>IF(AND($C16=12,$D16=Input!$C$6),0,IF($E17="","",IF($B17&gt;Input!$C$9,$AC17,0)+AF18/(1+$L17)*$R17))</f>
        <v>605.96997461719764</v>
      </c>
      <c r="AG17" s="164">
        <f>IF(AND($C16=12,$D16=Input!$C$6),0,IF($E17="","",(IF($B17&gt;Input!$C$9,$X17,0)+AG18)/(1+$L17)*$R17))</f>
        <v>289.24391687807207</v>
      </c>
      <c r="AH17" s="160">
        <f t="shared" si="5"/>
        <v>2.0950137211446997</v>
      </c>
      <c r="AI17" s="160">
        <f>IF($E17="","",MIN(Input!$C$61/AH17,1))</f>
        <v>0.64438718771845094</v>
      </c>
      <c r="AJ17" s="152"/>
      <c r="AK17" s="164">
        <f>IF(AND($C16=12,$D16=Input!$C$6),0,IF($E17="","",IF($B17&gt;Input!$C$9,$AC17*AI17,0)+AK18/(1+$L17)*$R17))</f>
        <v>390.47928778539728</v>
      </c>
      <c r="AL17" s="164">
        <f>IF(AND($C16=12,$D16=Input!$C$6),0,IF($E17="","",IF($B17&gt;Input!$C$9,0,$AC17)+AL18/(1+$L17)*$R17))</f>
        <v>1558.2109784968234</v>
      </c>
      <c r="AM17" s="160">
        <f t="shared" si="6"/>
        <v>1.1382936520186004</v>
      </c>
      <c r="AN17" s="164">
        <f>IF($E17="","",IF($B17&gt;Input!$C$9,$AI17*$AC17,$AM17*$AC17))</f>
        <v>194.56182711293297</v>
      </c>
      <c r="AO17" s="164">
        <f>IF(AND($C16=12,$D16=Input!$C$6),0,IF($E17="","",$AN17+AO18/(1+$L17)*$R17))</f>
        <v>2164.1809531140211</v>
      </c>
      <c r="AP17" s="152"/>
      <c r="AQ17" s="164">
        <f t="shared" si="7"/>
        <v>-323.65733058871501</v>
      </c>
      <c r="AR17" s="164">
        <f t="shared" si="16"/>
        <v>-146.39700854962081</v>
      </c>
      <c r="AS17" s="164">
        <f t="shared" si="17"/>
        <v>27.272727272727273</v>
      </c>
      <c r="AT17" s="164">
        <f t="shared" si="8"/>
        <v>27.272727272727273</v>
      </c>
      <c r="AU17" s="152"/>
      <c r="AV17" s="147">
        <f>'Deterministic Reserve'!BC17</f>
        <v>0.89971641700347771</v>
      </c>
      <c r="AW17" s="164">
        <f t="shared" si="9"/>
        <v>27.272727272727273</v>
      </c>
      <c r="AX17" s="164">
        <f t="shared" si="10"/>
        <v>24.537720463731212</v>
      </c>
      <c r="AY17" s="152"/>
    </row>
    <row r="18" spans="1:51" s="150" customFormat="1" x14ac:dyDescent="0.25">
      <c r="A18" s="150">
        <f t="shared" si="18"/>
        <v>14</v>
      </c>
      <c r="B18" s="150">
        <f t="shared" si="19"/>
        <v>2</v>
      </c>
      <c r="C18" s="150">
        <f t="shared" si="20"/>
        <v>2</v>
      </c>
      <c r="D18" s="150">
        <f>IF(E18="","",Input!$C$4+B18-1)</f>
        <v>46</v>
      </c>
      <c r="E18" s="150">
        <f>IF(OR(AND(C17=12,D17=Input!$C$6),E17=""),"",1)</f>
        <v>1</v>
      </c>
      <c r="F18" s="150">
        <f>IF(E18="","",Input!$C$8+B18-1)</f>
        <v>2019</v>
      </c>
      <c r="G18" s="151">
        <f>IF(E18="","",MAX(0,Input!$C$9-B18))</f>
        <v>18</v>
      </c>
      <c r="H18" s="152">
        <f>IF(E18="","",Input!$C$3)</f>
        <v>100000</v>
      </c>
      <c r="I18" s="153">
        <f>IF(E18="","",HLOOKUP($B18,Input!$C$13:$BT$14,2))</f>
        <v>2.2999999999999998</v>
      </c>
      <c r="J18" s="154"/>
      <c r="K18" s="155">
        <f>IF($E18="","",Input!$C$57)</f>
        <v>4.4999999999999998E-2</v>
      </c>
      <c r="L18" s="155">
        <f t="shared" si="11"/>
        <v>3.6748094004368514E-3</v>
      </c>
      <c r="M18" s="147">
        <f>IF($E18="","",VLOOKUP(IF($B18&lt;=Input!$C$7,$B18,26),'Mortality Tables'!$A$72:$CA$97,IF($B18&lt;=Input!$C$7+1,Input!$C$4-16,$D18-Input!$C$7-16),0)/1000)</f>
        <v>5.6999999999999998E-4</v>
      </c>
      <c r="N18" s="147">
        <f t="shared" si="0"/>
        <v>4.7512413896000361E-5</v>
      </c>
      <c r="O18" s="157">
        <f>IF($E18="","",IF($C18=12,IF($B18&lt;Input!$C$9,Input!$C$54,IF($B18=Input!$C$9,Input!$C$55,Input!$C$56)),0%))</f>
        <v>0</v>
      </c>
      <c r="P18" s="167">
        <f>IF($E18="","",IF($B18=1,Input!$C$59,IF($B18&lt;6,Input!$C$60,0%)))</f>
        <v>0.1</v>
      </c>
      <c r="Q18" s="162">
        <f>IF($E18="","",Input!$C$58)</f>
        <v>2.5</v>
      </c>
      <c r="R18" s="156">
        <f t="shared" si="12"/>
        <v>0.999952487586104</v>
      </c>
      <c r="S18" s="154">
        <f t="shared" si="1"/>
        <v>0.93954670736924328</v>
      </c>
      <c r="T18" s="152"/>
      <c r="U18" s="150">
        <f t="shared" si="13"/>
        <v>0</v>
      </c>
      <c r="V18" s="150">
        <f t="shared" si="14"/>
        <v>0</v>
      </c>
      <c r="W18" s="168">
        <f t="shared" si="15"/>
        <v>0</v>
      </c>
      <c r="X18" s="163">
        <f t="shared" si="2"/>
        <v>4.7512413896000361</v>
      </c>
      <c r="Y18" s="152"/>
      <c r="Z18" s="164">
        <f>IF(AND($C17=12,$D17=Input!$C$6),0,IF($E18="","",V18+Z19/(1+L18)*R18))</f>
        <v>2422.9471796103876</v>
      </c>
      <c r="AA18" s="164">
        <f>IF(OR($M18=1,AND($C17=12,$D17=Input!$C$6)),0,IF($E18="","",W18+(X18+AA19*$R18)/(1+$L18)))</f>
        <v>1842.6235021359764</v>
      </c>
      <c r="AB18" s="160">
        <f t="shared" si="3"/>
        <v>0.825720328500681</v>
      </c>
      <c r="AC18" s="164">
        <f t="shared" si="4"/>
        <v>0</v>
      </c>
      <c r="AD18" s="164">
        <f>IF(AND($C17=12,$D17=Input!$C$6),0,IF($E18="","",$AC18+AD19/(1+$L18)*$R18))</f>
        <v>2000.6767410876889</v>
      </c>
      <c r="AE18" s="152"/>
      <c r="AF18" s="164">
        <f>IF(AND($C17=12,$D17=Input!$C$6),0,IF($E18="","",IF($B18&gt;Input!$C$9,$AC18,0)+AF19/(1+$L18)*$R18))</f>
        <v>608.22569704736372</v>
      </c>
      <c r="AG18" s="164">
        <f>IF(AND($C17=12,$D17=Input!$C$6),0,IF($E18="","",(IF($B18&gt;Input!$C$9,$X18,0)+AG19)/(1+$L18)*$R18))</f>
        <v>290.32062697662622</v>
      </c>
      <c r="AH18" s="160">
        <f t="shared" si="5"/>
        <v>2.0950137211446997</v>
      </c>
      <c r="AI18" s="160">
        <f>IF($E18="","",MIN(Input!$C$61/AH18,1))</f>
        <v>0.64438718771845094</v>
      </c>
      <c r="AJ18" s="152"/>
      <c r="AK18" s="164">
        <f>IF(AND($C17=12,$D17=Input!$C$6),0,IF($E18="","",IF($B18&gt;Input!$C$9,$AC18*AI18,0)+AK19/(1+$L18)*$R18))</f>
        <v>391.93284641844542</v>
      </c>
      <c r="AL18" s="164">
        <f>IF(AND($C17=12,$D17=Input!$C$6),0,IF($E18="","",IF($B18&gt;Input!$C$9,0,$AC18)+AL19/(1+$L18)*$R18))</f>
        <v>1392.4510440403226</v>
      </c>
      <c r="AM18" s="160">
        <f t="shared" si="6"/>
        <v>1.1382936520186004</v>
      </c>
      <c r="AN18" s="164">
        <f>IF($E18="","",IF($B18&gt;Input!$C$9,$AI18*$AC18,$AM18*$AC18))</f>
        <v>0</v>
      </c>
      <c r="AO18" s="164">
        <f>IF(AND($C17=12,$D17=Input!$C$6),0,IF($E18="","",$AN18+AO19/(1+$L18)*$R18))</f>
        <v>1976.9510305962149</v>
      </c>
      <c r="AP18" s="152"/>
      <c r="AQ18" s="164">
        <f t="shared" si="7"/>
        <v>-134.32752846023845</v>
      </c>
      <c r="AR18" s="164">
        <f t="shared" si="16"/>
        <v>-146.39700854962081</v>
      </c>
      <c r="AS18" s="164">
        <f t="shared" si="17"/>
        <v>27.272727272727273</v>
      </c>
      <c r="AT18" s="164">
        <f t="shared" si="8"/>
        <v>27.272727272727273</v>
      </c>
      <c r="AU18" s="152"/>
      <c r="AV18" s="147">
        <f>'Deterministic Reserve'!BC18</f>
        <v>0.89968716799170489</v>
      </c>
      <c r="AW18" s="164">
        <f t="shared" si="9"/>
        <v>27.272727272727273</v>
      </c>
      <c r="AX18" s="164">
        <f t="shared" si="10"/>
        <v>24.536922763410136</v>
      </c>
      <c r="AY18" s="152"/>
    </row>
    <row r="19" spans="1:51" s="150" customFormat="1" x14ac:dyDescent="0.25">
      <c r="A19" s="150">
        <f t="shared" si="18"/>
        <v>15</v>
      </c>
      <c r="B19" s="150">
        <f t="shared" si="19"/>
        <v>2</v>
      </c>
      <c r="C19" s="150">
        <f t="shared" si="20"/>
        <v>3</v>
      </c>
      <c r="D19" s="150">
        <f>IF(E19="","",Input!$C$4+B19-1)</f>
        <v>46</v>
      </c>
      <c r="E19" s="150">
        <f>IF(OR(AND(C18=12,D18=Input!$C$6),E18=""),"",1)</f>
        <v>1</v>
      </c>
      <c r="F19" s="150">
        <f>IF(E19="","",Input!$C$8+B19-1)</f>
        <v>2019</v>
      </c>
      <c r="G19" s="151">
        <f>IF(E19="","",MAX(0,Input!$C$9-B19))</f>
        <v>18</v>
      </c>
      <c r="H19" s="152">
        <f>IF(E19="","",Input!$C$3)</f>
        <v>100000</v>
      </c>
      <c r="I19" s="153">
        <f>IF(E19="","",HLOOKUP($B19,Input!$C$13:$BT$14,2))</f>
        <v>2.2999999999999998</v>
      </c>
      <c r="J19" s="154"/>
      <c r="K19" s="155">
        <f>IF($E19="","",Input!$C$57)</f>
        <v>4.4999999999999998E-2</v>
      </c>
      <c r="L19" s="155">
        <f t="shared" si="11"/>
        <v>3.6748094004368514E-3</v>
      </c>
      <c r="M19" s="147">
        <f>IF($E19="","",VLOOKUP(IF($B19&lt;=Input!$C$7,$B19,26),'Mortality Tables'!$A$72:$CA$97,IF($B19&lt;=Input!$C$7+1,Input!$C$4-16,$D19-Input!$C$7-16),0)/1000)</f>
        <v>5.6999999999999998E-4</v>
      </c>
      <c r="N19" s="147">
        <f t="shared" si="0"/>
        <v>4.7512413896000361E-5</v>
      </c>
      <c r="O19" s="157">
        <f>IF($E19="","",IF($C19=12,IF($B19&lt;Input!$C$9,Input!$C$54,IF($B19=Input!$C$9,Input!$C$55,Input!$C$56)),0%))</f>
        <v>0</v>
      </c>
      <c r="P19" s="167">
        <f>IF($E19="","",IF($B19=1,Input!$C$59,IF($B19&lt;6,Input!$C$60,0%)))</f>
        <v>0.1</v>
      </c>
      <c r="Q19" s="162">
        <f>IF($E19="","",Input!$C$58)</f>
        <v>2.5</v>
      </c>
      <c r="R19" s="156">
        <f t="shared" si="12"/>
        <v>0.999952487586104</v>
      </c>
      <c r="S19" s="154">
        <f t="shared" si="1"/>
        <v>0.93950206723720808</v>
      </c>
      <c r="T19" s="152"/>
      <c r="U19" s="150">
        <f t="shared" si="13"/>
        <v>0</v>
      </c>
      <c r="V19" s="150">
        <f t="shared" si="14"/>
        <v>0</v>
      </c>
      <c r="W19" s="168">
        <f t="shared" si="15"/>
        <v>0</v>
      </c>
      <c r="X19" s="163">
        <f t="shared" si="2"/>
        <v>4.7512413896000361</v>
      </c>
      <c r="Y19" s="152"/>
      <c r="Z19" s="164">
        <f>IF(AND($C18=12,$D18=Input!$C$6),0,IF($E19="","",V19+Z20/(1+L19)*R19))</f>
        <v>2431.9665972863336</v>
      </c>
      <c r="AA19" s="164">
        <f>IF(OR($M19=1,AND($C18=12,$D18=Input!$C$6)),0,IF($E19="","",W19+(X19+AA20*$R19)/(1+$L19)))</f>
        <v>1844.7311985457238</v>
      </c>
      <c r="AB19" s="160">
        <f t="shared" si="3"/>
        <v>0.825720328500681</v>
      </c>
      <c r="AC19" s="164">
        <f t="shared" si="4"/>
        <v>0</v>
      </c>
      <c r="AD19" s="164">
        <f>IF(AND($C18=12,$D18=Input!$C$6),0,IF($E19="","",$AC19+AD20/(1+$L19)*$R19))</f>
        <v>2008.1242576139557</v>
      </c>
      <c r="AE19" s="152"/>
      <c r="AF19" s="164">
        <f>IF(AND($C18=12,$D18=Input!$C$6),0,IF($E19="","",IF($B19&gt;Input!$C$9,$AC19,0)+AF20/(1+$L19)*$R19))</f>
        <v>610.48981640129682</v>
      </c>
      <c r="AG19" s="164">
        <f>IF(AND($C18=12,$D18=Input!$C$6),0,IF($E19="","",(IF($B19&gt;Input!$C$9,$X19,0)+AG20)/(1+$L19)*$R19))</f>
        <v>291.40134512710017</v>
      </c>
      <c r="AH19" s="160">
        <f t="shared" si="5"/>
        <v>2.0950137211446997</v>
      </c>
      <c r="AI19" s="160">
        <f>IF($E19="","",MIN(Input!$C$61/AH19,1))</f>
        <v>0.64438718771845094</v>
      </c>
      <c r="AJ19" s="152"/>
      <c r="AK19" s="164">
        <f>IF(AND($C18=12,$D18=Input!$C$6),0,IF($E19="","",IF($B19&gt;Input!$C$9,$AC19*AI19,0)+AK20/(1+$L19)*$R19))</f>
        <v>393.39181592158525</v>
      </c>
      <c r="AL19" s="164">
        <f>IF(AND($C18=12,$D18=Input!$C$6),0,IF($E19="","",IF($B19&gt;Input!$C$9,0,$AC19)+AL20/(1+$L19)*$R19))</f>
        <v>1397.6344412126564</v>
      </c>
      <c r="AM19" s="160">
        <f t="shared" si="6"/>
        <v>1.1382936520186004</v>
      </c>
      <c r="AN19" s="164">
        <f>IF($E19="","",IF($B19&gt;Input!$C$9,$AI19*$AC19,$AM19*$AC19))</f>
        <v>0</v>
      </c>
      <c r="AO19" s="164">
        <f>IF(AND($C18=12,$D18=Input!$C$6),0,IF($E19="","",$AN19+AO20/(1+$L19)*$R19))</f>
        <v>1984.3102281965134</v>
      </c>
      <c r="AP19" s="152"/>
      <c r="AQ19" s="164">
        <f t="shared" si="7"/>
        <v>-139.57902965078961</v>
      </c>
      <c r="AR19" s="164">
        <f t="shared" si="16"/>
        <v>-146.39700854962081</v>
      </c>
      <c r="AS19" s="164">
        <f t="shared" si="17"/>
        <v>27.272727272727273</v>
      </c>
      <c r="AT19" s="164">
        <f t="shared" si="8"/>
        <v>27.272727272727273</v>
      </c>
      <c r="AU19" s="152"/>
      <c r="AV19" s="147">
        <f>'Deterministic Reserve'!BC19</f>
        <v>0.89965791993079247</v>
      </c>
      <c r="AW19" s="164">
        <f t="shared" si="9"/>
        <v>27.272727272727273</v>
      </c>
      <c r="AX19" s="164">
        <f t="shared" si="10"/>
        <v>24.536125089021613</v>
      </c>
      <c r="AY19" s="152"/>
    </row>
    <row r="20" spans="1:51" s="150" customFormat="1" x14ac:dyDescent="0.25">
      <c r="A20" s="150">
        <f t="shared" si="18"/>
        <v>16</v>
      </c>
      <c r="B20" s="150">
        <f t="shared" si="19"/>
        <v>2</v>
      </c>
      <c r="C20" s="150">
        <f t="shared" si="20"/>
        <v>4</v>
      </c>
      <c r="D20" s="150">
        <f>IF(E20="","",Input!$C$4+B20-1)</f>
        <v>46</v>
      </c>
      <c r="E20" s="150">
        <f>IF(OR(AND(C19=12,D19=Input!$C$6),E19=""),"",1)</f>
        <v>1</v>
      </c>
      <c r="F20" s="150">
        <f>IF(E20="","",Input!$C$8+B20-1)</f>
        <v>2019</v>
      </c>
      <c r="G20" s="151">
        <f>IF(E20="","",MAX(0,Input!$C$9-B20))</f>
        <v>18</v>
      </c>
      <c r="H20" s="152">
        <f>IF(E20="","",Input!$C$3)</f>
        <v>100000</v>
      </c>
      <c r="I20" s="153">
        <f>IF(E20="","",HLOOKUP($B20,Input!$C$13:$BT$14,2))</f>
        <v>2.2999999999999998</v>
      </c>
      <c r="J20" s="154"/>
      <c r="K20" s="155">
        <f>IF($E20="","",Input!$C$57)</f>
        <v>4.4999999999999998E-2</v>
      </c>
      <c r="L20" s="155">
        <f t="shared" si="11"/>
        <v>3.6748094004368514E-3</v>
      </c>
      <c r="M20" s="147">
        <f>IF($E20="","",VLOOKUP(IF($B20&lt;=Input!$C$7,$B20,26),'Mortality Tables'!$A$72:$CA$97,IF($B20&lt;=Input!$C$7+1,Input!$C$4-16,$D20-Input!$C$7-16),0)/1000)</f>
        <v>5.6999999999999998E-4</v>
      </c>
      <c r="N20" s="147">
        <f t="shared" si="0"/>
        <v>4.7512413896000361E-5</v>
      </c>
      <c r="O20" s="157">
        <f>IF($E20="","",IF($C20=12,IF($B20&lt;Input!$C$9,Input!$C$54,IF($B20=Input!$C$9,Input!$C$55,Input!$C$56)),0%))</f>
        <v>0</v>
      </c>
      <c r="P20" s="167">
        <f>IF($E20="","",IF($B20=1,Input!$C$59,IF($B20&lt;6,Input!$C$60,0%)))</f>
        <v>0.1</v>
      </c>
      <c r="Q20" s="162">
        <f>IF($E20="","",Input!$C$58)</f>
        <v>2.5</v>
      </c>
      <c r="R20" s="156">
        <f t="shared" si="12"/>
        <v>0.999952487586104</v>
      </c>
      <c r="S20" s="154">
        <f t="shared" si="1"/>
        <v>0.9394574292261334</v>
      </c>
      <c r="T20" s="152"/>
      <c r="U20" s="150">
        <f t="shared" si="13"/>
        <v>0</v>
      </c>
      <c r="V20" s="150">
        <f t="shared" si="14"/>
        <v>0</v>
      </c>
      <c r="W20" s="168">
        <f t="shared" si="15"/>
        <v>0</v>
      </c>
      <c r="X20" s="163">
        <f t="shared" si="2"/>
        <v>4.7512413896000361</v>
      </c>
      <c r="Y20" s="152"/>
      <c r="Z20" s="164">
        <f>IF(AND($C19=12,$D19=Input!$C$6),0,IF($E20="","",V20+Z21/(1+L20)*R20))</f>
        <v>2441.0195897326653</v>
      </c>
      <c r="AA20" s="164">
        <f>IF(OR($M20=1,AND($C19=12,$D19=Input!$C$6)),0,IF($E20="","",W20+(X20+AA21*$R20)/(1+$L20)))</f>
        <v>1846.8467408525728</v>
      </c>
      <c r="AB20" s="160">
        <f t="shared" si="3"/>
        <v>0.825720328500681</v>
      </c>
      <c r="AC20" s="164">
        <f t="shared" si="4"/>
        <v>0</v>
      </c>
      <c r="AD20" s="164">
        <f>IF(AND($C19=12,$D19=Input!$C$6),0,IF($E20="","",$AC20+AD21/(1+$L20)*$R20))</f>
        <v>2015.5994975106551</v>
      </c>
      <c r="AE20" s="152"/>
      <c r="AF20" s="164">
        <f>IF(AND($C19=12,$D19=Input!$C$6),0,IF($E20="","",IF($B20&gt;Input!$C$9,$AC20,0)+AF21/(1+$L20)*$R20))</f>
        <v>612.76236393653448</v>
      </c>
      <c r="AG20" s="164">
        <f>IF(AND($C19=12,$D19=Input!$C$6),0,IF($E20="","",(IF($B20&gt;Input!$C$9,$X20,0)+AG21)/(1+$L20)*$R20))</f>
        <v>292.48608624946189</v>
      </c>
      <c r="AH20" s="160">
        <f t="shared" si="5"/>
        <v>2.0950137211446997</v>
      </c>
      <c r="AI20" s="160">
        <f>IF($E20="","",MIN(Input!$C$61/AH20,1))</f>
        <v>0.64438718771845094</v>
      </c>
      <c r="AJ20" s="152"/>
      <c r="AK20" s="164">
        <f>IF(AND($C19=12,$D19=Input!$C$6),0,IF($E20="","",IF($B20&gt;Input!$C$9,$AC20*AI20,0)+AK21/(1+$L20)*$R20))</f>
        <v>394.85621643677354</v>
      </c>
      <c r="AL20" s="164">
        <f>IF(AND($C19=12,$D19=Input!$C$6),0,IF($E20="","",IF($B20&gt;Input!$C$9,0,$AC20)+AL21/(1+$L20)*$R20))</f>
        <v>1402.8371335741181</v>
      </c>
      <c r="AM20" s="160">
        <f t="shared" si="6"/>
        <v>1.1382936520186004</v>
      </c>
      <c r="AN20" s="164">
        <f>IF($E20="","",IF($B20&gt;Input!$C$9,$AI20*$AC20,$AM20*$AC20))</f>
        <v>0</v>
      </c>
      <c r="AO20" s="164">
        <f>IF(AND($C19=12,$D19=Input!$C$6),0,IF($E20="","",$AN20+AO21/(1+$L20)*$R20))</f>
        <v>1991.6968204001591</v>
      </c>
      <c r="AP20" s="152"/>
      <c r="AQ20" s="164">
        <f t="shared" si="7"/>
        <v>-144.85007954758635</v>
      </c>
      <c r="AR20" s="164">
        <f t="shared" si="16"/>
        <v>-146.39700854962081</v>
      </c>
      <c r="AS20" s="164">
        <f t="shared" si="17"/>
        <v>27.272727272727273</v>
      </c>
      <c r="AT20" s="164">
        <f t="shared" si="8"/>
        <v>27.272727272727273</v>
      </c>
      <c r="AU20" s="152"/>
      <c r="AV20" s="147">
        <f>'Deterministic Reserve'!BC20</f>
        <v>0.89962867282070957</v>
      </c>
      <c r="AW20" s="164">
        <f t="shared" si="9"/>
        <v>27.272727272727273</v>
      </c>
      <c r="AX20" s="164">
        <f t="shared" si="10"/>
        <v>24.535327440564807</v>
      </c>
      <c r="AY20" s="152"/>
    </row>
    <row r="21" spans="1:51" s="150" customFormat="1" x14ac:dyDescent="0.25">
      <c r="A21" s="150">
        <f t="shared" si="18"/>
        <v>17</v>
      </c>
      <c r="B21" s="150">
        <f t="shared" si="19"/>
        <v>2</v>
      </c>
      <c r="C21" s="150">
        <f t="shared" si="20"/>
        <v>5</v>
      </c>
      <c r="D21" s="150">
        <f>IF(E21="","",Input!$C$4+B21-1)</f>
        <v>46</v>
      </c>
      <c r="E21" s="150">
        <f>IF(OR(AND(C20=12,D20=Input!$C$6),E20=""),"",1)</f>
        <v>1</v>
      </c>
      <c r="F21" s="150">
        <f>IF(E21="","",Input!$C$8+B21-1)</f>
        <v>2019</v>
      </c>
      <c r="G21" s="151">
        <f>IF(E21="","",MAX(0,Input!$C$9-B21))</f>
        <v>18</v>
      </c>
      <c r="H21" s="152">
        <f>IF(E21="","",Input!$C$3)</f>
        <v>100000</v>
      </c>
      <c r="I21" s="153">
        <f>IF(E21="","",HLOOKUP($B21,Input!$C$13:$BT$14,2))</f>
        <v>2.2999999999999998</v>
      </c>
      <c r="J21" s="154"/>
      <c r="K21" s="155">
        <f>IF($E21="","",Input!$C$57)</f>
        <v>4.4999999999999998E-2</v>
      </c>
      <c r="L21" s="155">
        <f t="shared" si="11"/>
        <v>3.6748094004368514E-3</v>
      </c>
      <c r="M21" s="147">
        <f>IF($E21="","",VLOOKUP(IF($B21&lt;=Input!$C$7,$B21,26),'Mortality Tables'!$A$72:$CA$97,IF($B21&lt;=Input!$C$7+1,Input!$C$4-16,$D21-Input!$C$7-16),0)/1000)</f>
        <v>5.6999999999999998E-4</v>
      </c>
      <c r="N21" s="147">
        <f t="shared" si="0"/>
        <v>4.7512413896000361E-5</v>
      </c>
      <c r="O21" s="157">
        <f>IF($E21="","",IF($C21=12,IF($B21&lt;Input!$C$9,Input!$C$54,IF($B21=Input!$C$9,Input!$C$55,Input!$C$56)),0%))</f>
        <v>0</v>
      </c>
      <c r="P21" s="167">
        <f>IF($E21="","",IF($B21=1,Input!$C$59,IF($B21&lt;6,Input!$C$60,0%)))</f>
        <v>0.1</v>
      </c>
      <c r="Q21" s="162">
        <f>IF($E21="","",Input!$C$58)</f>
        <v>2.5</v>
      </c>
      <c r="R21" s="156">
        <f t="shared" si="12"/>
        <v>0.999952487586104</v>
      </c>
      <c r="S21" s="154">
        <f t="shared" si="1"/>
        <v>0.93941279333591832</v>
      </c>
      <c r="T21" s="152"/>
      <c r="U21" s="150">
        <f t="shared" si="13"/>
        <v>0</v>
      </c>
      <c r="V21" s="150">
        <f t="shared" si="14"/>
        <v>0</v>
      </c>
      <c r="W21" s="168">
        <f t="shared" si="15"/>
        <v>0</v>
      </c>
      <c r="X21" s="163">
        <f t="shared" si="2"/>
        <v>4.7512413896000361</v>
      </c>
      <c r="Y21" s="152"/>
      <c r="Z21" s="164">
        <f>IF(AND($C20=12,$D20=Input!$C$6),0,IF($E21="","",V21+Z22/(1+L21)*R21))</f>
        <v>2450.1062819314216</v>
      </c>
      <c r="AA21" s="164">
        <f>IF(OR($M21=1,AND($C20=12,$D20=Input!$C$6)),0,IF($E21="","",W21+(X21+AA22*$R21)/(1+$L21)))</f>
        <v>1848.9701582628647</v>
      </c>
      <c r="AB21" s="160">
        <f t="shared" si="3"/>
        <v>0.825720328500681</v>
      </c>
      <c r="AC21" s="164">
        <f t="shared" si="4"/>
        <v>0</v>
      </c>
      <c r="AD21" s="164">
        <f>IF(AND($C20=12,$D20=Input!$C$6),0,IF($E21="","",$AC21+AD22/(1+$L21)*$R21))</f>
        <v>2023.1025639779969</v>
      </c>
      <c r="AE21" s="152"/>
      <c r="AF21" s="164">
        <f>IF(AND($C20=12,$D20=Input!$C$6),0,IF($E21="","",IF($B21&gt;Input!$C$9,$AC21,0)+AF22/(1+$L21)*$R21))</f>
        <v>615.04337102697059</v>
      </c>
      <c r="AG21" s="164">
        <f>IF(AND($C20=12,$D20=Input!$C$6),0,IF($E21="","",(IF($B21&gt;Input!$C$9,$X21,0)+AG22)/(1+$L21)*$R21))</f>
        <v>293.57486531921887</v>
      </c>
      <c r="AH21" s="160">
        <f t="shared" si="5"/>
        <v>2.0950137211446997</v>
      </c>
      <c r="AI21" s="160">
        <f>IF($E21="","",MIN(Input!$C$61/AH21,1))</f>
        <v>0.64438718771845094</v>
      </c>
      <c r="AJ21" s="152"/>
      <c r="AK21" s="164">
        <f>IF(AND($C20=12,$D20=Input!$C$6),0,IF($E21="","",IF($B21&gt;Input!$C$9,$AC21*AI21,0)+AK22/(1+$L21)*$R21))</f>
        <v>396.32606818094553</v>
      </c>
      <c r="AL21" s="164">
        <f>IF(AND($C20=12,$D20=Input!$C$6),0,IF($E21="","",IF($B21&gt;Input!$C$9,0,$AC21)+AL22/(1+$L21)*$R21))</f>
        <v>1408.0591929510238</v>
      </c>
      <c r="AM21" s="160">
        <f t="shared" si="6"/>
        <v>1.1382936520186004</v>
      </c>
      <c r="AN21" s="164">
        <f>IF($E21="","",IF($B21&gt;Input!$C$9,$AI21*$AC21,$AM21*$AC21))</f>
        <v>0</v>
      </c>
      <c r="AO21" s="164">
        <f>IF(AND($C20=12,$D20=Input!$C$6),0,IF($E21="","",$AN21+AO22/(1+$L21)*$R21))</f>
        <v>1999.1109091835272</v>
      </c>
      <c r="AP21" s="152"/>
      <c r="AQ21" s="164">
        <f t="shared" si="7"/>
        <v>-150.14075092066241</v>
      </c>
      <c r="AR21" s="164">
        <f t="shared" si="16"/>
        <v>-146.39700854962081</v>
      </c>
      <c r="AS21" s="164">
        <f t="shared" si="17"/>
        <v>27.272727272727273</v>
      </c>
      <c r="AT21" s="164">
        <f t="shared" si="8"/>
        <v>27.272727272727273</v>
      </c>
      <c r="AU21" s="152"/>
      <c r="AV21" s="147">
        <f>'Deterministic Reserve'!BC21</f>
        <v>0.89959942666142523</v>
      </c>
      <c r="AW21" s="164">
        <f t="shared" si="9"/>
        <v>27.272727272727273</v>
      </c>
      <c r="AX21" s="164">
        <f t="shared" si="10"/>
        <v>24.53452981803887</v>
      </c>
      <c r="AY21" s="152"/>
    </row>
    <row r="22" spans="1:51" s="150" customFormat="1" x14ac:dyDescent="0.25">
      <c r="A22" s="150">
        <f t="shared" si="18"/>
        <v>18</v>
      </c>
      <c r="B22" s="150">
        <f t="shared" si="19"/>
        <v>2</v>
      </c>
      <c r="C22" s="150">
        <f t="shared" si="20"/>
        <v>6</v>
      </c>
      <c r="D22" s="150">
        <f>IF(E22="","",Input!$C$4+B22-1)</f>
        <v>46</v>
      </c>
      <c r="E22" s="150">
        <f>IF(OR(AND(C21=12,D21=Input!$C$6),E21=""),"",1)</f>
        <v>1</v>
      </c>
      <c r="F22" s="150">
        <f>IF(E22="","",Input!$C$8+B22-1)</f>
        <v>2019</v>
      </c>
      <c r="G22" s="151">
        <f>IF(E22="","",MAX(0,Input!$C$9-B22))</f>
        <v>18</v>
      </c>
      <c r="H22" s="152">
        <f>IF(E22="","",Input!$C$3)</f>
        <v>100000</v>
      </c>
      <c r="I22" s="153">
        <f>IF(E22="","",HLOOKUP($B22,Input!$C$13:$BT$14,2))</f>
        <v>2.2999999999999998</v>
      </c>
      <c r="J22" s="154"/>
      <c r="K22" s="155">
        <f>IF($E22="","",Input!$C$57)</f>
        <v>4.4999999999999998E-2</v>
      </c>
      <c r="L22" s="155">
        <f t="shared" si="11"/>
        <v>3.6748094004368514E-3</v>
      </c>
      <c r="M22" s="147">
        <f>IF($E22="","",VLOOKUP(IF($B22&lt;=Input!$C$7,$B22,26),'Mortality Tables'!$A$72:$CA$97,IF($B22&lt;=Input!$C$7+1,Input!$C$4-16,$D22-Input!$C$7-16),0)/1000)</f>
        <v>5.6999999999999998E-4</v>
      </c>
      <c r="N22" s="147">
        <f t="shared" si="0"/>
        <v>4.7512413896000361E-5</v>
      </c>
      <c r="O22" s="157">
        <f>IF($E22="","",IF($C22=12,IF($B22&lt;Input!$C$9,Input!$C$54,IF($B22=Input!$C$9,Input!$C$55,Input!$C$56)),0%))</f>
        <v>0</v>
      </c>
      <c r="P22" s="167">
        <f>IF($E22="","",IF($B22=1,Input!$C$59,IF($B22&lt;6,Input!$C$60,0%)))</f>
        <v>0.1</v>
      </c>
      <c r="Q22" s="162">
        <f>IF($E22="","",Input!$C$58)</f>
        <v>2.5</v>
      </c>
      <c r="R22" s="156">
        <f t="shared" si="12"/>
        <v>0.999952487586104</v>
      </c>
      <c r="S22" s="154">
        <f t="shared" si="1"/>
        <v>0.93936815956646214</v>
      </c>
      <c r="T22" s="152"/>
      <c r="U22" s="150">
        <f t="shared" si="13"/>
        <v>0</v>
      </c>
      <c r="V22" s="150">
        <f t="shared" si="14"/>
        <v>0</v>
      </c>
      <c r="W22" s="168">
        <f t="shared" si="15"/>
        <v>0</v>
      </c>
      <c r="X22" s="163">
        <f t="shared" si="2"/>
        <v>4.7512413896000361</v>
      </c>
      <c r="Y22" s="152"/>
      <c r="Z22" s="164">
        <f>IF(AND($C21=12,$D21=Input!$C$6),0,IF($E22="","",V22+Z23/(1+L22)*R22))</f>
        <v>2459.2267993298865</v>
      </c>
      <c r="AA22" s="164">
        <f>IF(OR($M22=1,AND($C21=12,$D21=Input!$C$6)),0,IF($E22="","",W22+(X22+AA23*$R22)/(1+$L22)))</f>
        <v>1851.1014800916621</v>
      </c>
      <c r="AB22" s="160">
        <f t="shared" si="3"/>
        <v>0.825720328500681</v>
      </c>
      <c r="AC22" s="164">
        <f t="shared" si="4"/>
        <v>0</v>
      </c>
      <c r="AD22" s="164">
        <f>IF(AND($C21=12,$D21=Input!$C$6),0,IF($E22="","",$AC22+AD23/(1+$L22)*$R22))</f>
        <v>2030.6335606003536</v>
      </c>
      <c r="AE22" s="152"/>
      <c r="AF22" s="164">
        <f>IF(AND($C21=12,$D21=Input!$C$6),0,IF($E22="","",IF($B22&gt;Input!$C$9,$AC22,0)+AF23/(1+$L22)*$R22))</f>
        <v>617.33286916328814</v>
      </c>
      <c r="AG22" s="164">
        <f>IF(AND($C21=12,$D21=Input!$C$6),0,IF($E22="","",(IF($B22&gt;Input!$C$9,$X22,0)+AG23)/(1+$L22)*$R22))</f>
        <v>294.66769736762507</v>
      </c>
      <c r="AH22" s="160">
        <f t="shared" si="5"/>
        <v>2.0950137211446997</v>
      </c>
      <c r="AI22" s="160">
        <f>IF($E22="","",MIN(Input!$C$61/AH22,1))</f>
        <v>0.64438718771845094</v>
      </c>
      <c r="AJ22" s="152"/>
      <c r="AK22" s="164">
        <f>IF(AND($C21=12,$D21=Input!$C$6),0,IF($E22="","",IF($B22&gt;Input!$C$9,$AC22*AI22,0)+AK23/(1+$L22)*$R22))</f>
        <v>397.80139144629385</v>
      </c>
      <c r="AL22" s="164">
        <f>IF(AND($C21=12,$D21=Input!$C$6),0,IF($E22="","",IF($B22&gt;Input!$C$9,0,$AC22)+AL23/(1+$L22)*$R22))</f>
        <v>1413.3006914370626</v>
      </c>
      <c r="AM22" s="160">
        <f t="shared" si="6"/>
        <v>1.1382936520186004</v>
      </c>
      <c r="AN22" s="164">
        <f>IF($E22="","",IF($B22&gt;Input!$C$9,$AI22*$AC22,$AM22*$AC22))</f>
        <v>0</v>
      </c>
      <c r="AO22" s="164">
        <f>IF(AND($C21=12,$D21=Input!$C$6),0,IF($E22="","",$AN22+AO23/(1+$L22)*$R22))</f>
        <v>2006.5525969025989</v>
      </c>
      <c r="AP22" s="152"/>
      <c r="AQ22" s="164">
        <f t="shared" si="7"/>
        <v>-155.45111681093681</v>
      </c>
      <c r="AR22" s="164">
        <f t="shared" si="16"/>
        <v>-146.39700854962081</v>
      </c>
      <c r="AS22" s="164">
        <f t="shared" si="17"/>
        <v>27.272727272727273</v>
      </c>
      <c r="AT22" s="164">
        <f t="shared" si="8"/>
        <v>27.272727272727273</v>
      </c>
      <c r="AU22" s="152"/>
      <c r="AV22" s="147">
        <f>'Deterministic Reserve'!BC22</f>
        <v>0.89957018145290846</v>
      </c>
      <c r="AW22" s="164">
        <f t="shared" si="9"/>
        <v>27.272727272727273</v>
      </c>
      <c r="AX22" s="164">
        <f t="shared" si="10"/>
        <v>24.533732221442957</v>
      </c>
      <c r="AY22" s="152"/>
    </row>
    <row r="23" spans="1:51" s="150" customFormat="1" x14ac:dyDescent="0.25">
      <c r="A23" s="150">
        <f t="shared" si="18"/>
        <v>19</v>
      </c>
      <c r="B23" s="150">
        <f t="shared" si="19"/>
        <v>2</v>
      </c>
      <c r="C23" s="150">
        <f t="shared" si="20"/>
        <v>7</v>
      </c>
      <c r="D23" s="150">
        <f>IF(E23="","",Input!$C$4+B23-1)</f>
        <v>46</v>
      </c>
      <c r="E23" s="150">
        <f>IF(OR(AND(C22=12,D22=Input!$C$6),E22=""),"",1)</f>
        <v>1</v>
      </c>
      <c r="F23" s="150">
        <f>IF(E23="","",Input!$C$8+B23-1)</f>
        <v>2019</v>
      </c>
      <c r="G23" s="151">
        <f>IF(E23="","",MAX(0,Input!$C$9-B23))</f>
        <v>18</v>
      </c>
      <c r="H23" s="152">
        <f>IF(E23="","",Input!$C$3)</f>
        <v>100000</v>
      </c>
      <c r="I23" s="153">
        <f>IF(E23="","",HLOOKUP($B23,Input!$C$13:$BT$14,2))</f>
        <v>2.2999999999999998</v>
      </c>
      <c r="J23" s="154"/>
      <c r="K23" s="155">
        <f>IF($E23="","",Input!$C$57)</f>
        <v>4.4999999999999998E-2</v>
      </c>
      <c r="L23" s="155">
        <f t="shared" si="11"/>
        <v>3.6748094004368514E-3</v>
      </c>
      <c r="M23" s="147">
        <f>IF($E23="","",VLOOKUP(IF($B23&lt;=Input!$C$7,$B23,26),'Mortality Tables'!$A$72:$CA$97,IF($B23&lt;=Input!$C$7+1,Input!$C$4-16,$D23-Input!$C$7-16),0)/1000)</f>
        <v>5.6999999999999998E-4</v>
      </c>
      <c r="N23" s="147">
        <f t="shared" si="0"/>
        <v>4.7512413896000361E-5</v>
      </c>
      <c r="O23" s="157">
        <f>IF($E23="","",IF($C23=12,IF($B23&lt;Input!$C$9,Input!$C$54,IF($B23=Input!$C$9,Input!$C$55,Input!$C$56)),0%))</f>
        <v>0</v>
      </c>
      <c r="P23" s="167">
        <f>IF($E23="","",IF($B23=1,Input!$C$59,IF($B23&lt;6,Input!$C$60,0%)))</f>
        <v>0.1</v>
      </c>
      <c r="Q23" s="162">
        <f>IF($E23="","",Input!$C$58)</f>
        <v>2.5</v>
      </c>
      <c r="R23" s="156">
        <f t="shared" si="12"/>
        <v>0.999952487586104</v>
      </c>
      <c r="S23" s="154">
        <f t="shared" si="1"/>
        <v>0.93932352791766405</v>
      </c>
      <c r="T23" s="152"/>
      <c r="U23" s="150">
        <f t="shared" si="13"/>
        <v>0</v>
      </c>
      <c r="V23" s="150">
        <f t="shared" si="14"/>
        <v>0</v>
      </c>
      <c r="W23" s="168">
        <f t="shared" si="15"/>
        <v>0</v>
      </c>
      <c r="X23" s="163">
        <f t="shared" si="2"/>
        <v>4.7512413896000361</v>
      </c>
      <c r="Y23" s="152"/>
      <c r="Z23" s="164">
        <f>IF(AND($C22=12,$D22=Input!$C$6),0,IF($E23="","",V23+Z24/(1+L23)*R23))</f>
        <v>2468.381267842321</v>
      </c>
      <c r="AA23" s="164">
        <f>IF(OR($M23=1,AND($C22=12,$D22=Input!$C$6)),0,IF($E23="","",W23+(X23+AA24*$R23)/(1+$L23)))</f>
        <v>1853.2407357631521</v>
      </c>
      <c r="AB23" s="160">
        <f t="shared" si="3"/>
        <v>0.825720328500681</v>
      </c>
      <c r="AC23" s="164">
        <f t="shared" si="4"/>
        <v>0</v>
      </c>
      <c r="AD23" s="164">
        <f>IF(AND($C22=12,$D22=Input!$C$6),0,IF($E23="","",$AC23+AD24/(1+$L23)*$R23))</f>
        <v>2038.19259134769</v>
      </c>
      <c r="AE23" s="152"/>
      <c r="AF23" s="164">
        <f>IF(AND($C22=12,$D22=Input!$C$6),0,IF($E23="","",IF($B23&gt;Input!$C$9,$AC23,0)+AF24/(1+$L23)*$R23))</f>
        <v>619.63088995339433</v>
      </c>
      <c r="AG23" s="164">
        <f>IF(AND($C22=12,$D22=Input!$C$6),0,IF($E23="","",(IF($B23&gt;Input!$C$9,$X23,0)+AG24)/(1+$L23)*$R23))</f>
        <v>295.76459748188802</v>
      </c>
      <c r="AH23" s="160">
        <f t="shared" si="5"/>
        <v>2.0950137211446997</v>
      </c>
      <c r="AI23" s="160">
        <f>IF($E23="","",MIN(Input!$C$61/AH23,1))</f>
        <v>0.64438718771845094</v>
      </c>
      <c r="AJ23" s="152"/>
      <c r="AK23" s="164">
        <f>IF(AND($C22=12,$D22=Input!$C$6),0,IF($E23="","",IF($B23&gt;Input!$C$9,$AC23*AI23,0)+AK24/(1+$L23)*$R23))</f>
        <v>399.28220660054888</v>
      </c>
      <c r="AL23" s="164">
        <f>IF(AND($C22=12,$D22=Input!$C$6),0,IF($E23="","",IF($B23&gt;Input!$C$9,0,$AC23)+AL24/(1+$L23)*$R23))</f>
        <v>1418.5617013942931</v>
      </c>
      <c r="AM23" s="160">
        <f t="shared" si="6"/>
        <v>1.1382936520186004</v>
      </c>
      <c r="AN23" s="164">
        <f>IF($E23="","",IF($B23&gt;Input!$C$9,$AI23*$AC23,$AM23*$AC23))</f>
        <v>0</v>
      </c>
      <c r="AO23" s="164">
        <f>IF(AND($C22=12,$D22=Input!$C$6),0,IF($E23="","",$AN23+AO24/(1+$L23)*$R23))</f>
        <v>2014.0219862943761</v>
      </c>
      <c r="AP23" s="152"/>
      <c r="AQ23" s="164">
        <f t="shared" si="7"/>
        <v>-160.78125053122403</v>
      </c>
      <c r="AR23" s="164">
        <f t="shared" si="16"/>
        <v>-146.39700854962081</v>
      </c>
      <c r="AS23" s="164">
        <f t="shared" si="17"/>
        <v>27.272727272727273</v>
      </c>
      <c r="AT23" s="164">
        <f t="shared" si="8"/>
        <v>27.272727272727273</v>
      </c>
      <c r="AU23" s="152"/>
      <c r="AV23" s="147">
        <f>'Deterministic Reserve'!BC23</f>
        <v>0.89954093719512851</v>
      </c>
      <c r="AW23" s="164">
        <f t="shared" si="9"/>
        <v>27.272727272727273</v>
      </c>
      <c r="AX23" s="164">
        <f t="shared" si="10"/>
        <v>24.532934650776234</v>
      </c>
      <c r="AY23" s="152"/>
    </row>
    <row r="24" spans="1:51" s="150" customFormat="1" x14ac:dyDescent="0.25">
      <c r="A24" s="150">
        <f t="shared" si="18"/>
        <v>20</v>
      </c>
      <c r="B24" s="150">
        <f t="shared" si="19"/>
        <v>2</v>
      </c>
      <c r="C24" s="150">
        <f t="shared" si="20"/>
        <v>8</v>
      </c>
      <c r="D24" s="150">
        <f>IF(E24="","",Input!$C$4+B24-1)</f>
        <v>46</v>
      </c>
      <c r="E24" s="150">
        <f>IF(OR(AND(C23=12,D23=Input!$C$6),E23=""),"",1)</f>
        <v>1</v>
      </c>
      <c r="F24" s="150">
        <f>IF(E24="","",Input!$C$8+B24-1)</f>
        <v>2019</v>
      </c>
      <c r="G24" s="151">
        <f>IF(E24="","",MAX(0,Input!$C$9-B24))</f>
        <v>18</v>
      </c>
      <c r="H24" s="152">
        <f>IF(E24="","",Input!$C$3)</f>
        <v>100000</v>
      </c>
      <c r="I24" s="153">
        <f>IF(E24="","",HLOOKUP($B24,Input!$C$13:$BT$14,2))</f>
        <v>2.2999999999999998</v>
      </c>
      <c r="J24" s="154"/>
      <c r="K24" s="155">
        <f>IF($E24="","",Input!$C$57)</f>
        <v>4.4999999999999998E-2</v>
      </c>
      <c r="L24" s="155">
        <f t="shared" si="11"/>
        <v>3.6748094004368514E-3</v>
      </c>
      <c r="M24" s="147">
        <f>IF($E24="","",VLOOKUP(IF($B24&lt;=Input!$C$7,$B24,26),'Mortality Tables'!$A$72:$CA$97,IF($B24&lt;=Input!$C$7+1,Input!$C$4-16,$D24-Input!$C$7-16),0)/1000)</f>
        <v>5.6999999999999998E-4</v>
      </c>
      <c r="N24" s="147">
        <f t="shared" si="0"/>
        <v>4.7512413896000361E-5</v>
      </c>
      <c r="O24" s="157">
        <f>IF($E24="","",IF($C24=12,IF($B24&lt;Input!$C$9,Input!$C$54,IF($B24=Input!$C$9,Input!$C$55,Input!$C$56)),0%))</f>
        <v>0</v>
      </c>
      <c r="P24" s="167">
        <f>IF($E24="","",IF($B24=1,Input!$C$59,IF($B24&lt;6,Input!$C$60,0%)))</f>
        <v>0.1</v>
      </c>
      <c r="Q24" s="162">
        <f>IF($E24="","",Input!$C$58)</f>
        <v>2.5</v>
      </c>
      <c r="R24" s="156">
        <f t="shared" si="12"/>
        <v>0.999952487586104</v>
      </c>
      <c r="S24" s="154">
        <f t="shared" si="1"/>
        <v>0.93927889838942336</v>
      </c>
      <c r="T24" s="152"/>
      <c r="U24" s="150">
        <f t="shared" si="13"/>
        <v>0</v>
      </c>
      <c r="V24" s="150">
        <f t="shared" si="14"/>
        <v>0</v>
      </c>
      <c r="W24" s="168">
        <f t="shared" si="15"/>
        <v>0</v>
      </c>
      <c r="X24" s="163">
        <f t="shared" si="2"/>
        <v>4.7512413896000361</v>
      </c>
      <c r="Y24" s="152"/>
      <c r="Z24" s="164">
        <f>IF(AND($C23=12,$D23=Input!$C$6),0,IF($E24="","",V24+Z25/(1+L24)*R24))</f>
        <v>2477.5698138517023</v>
      </c>
      <c r="AA24" s="164">
        <f>IF(OR($M24=1,AND($C23=12,$D23=Input!$C$6)),0,IF($E24="","",W24+(X24+AA25*$R24)/(1+$L24)))</f>
        <v>1855.3879548110535</v>
      </c>
      <c r="AB24" s="160">
        <f t="shared" si="3"/>
        <v>0.825720328500681</v>
      </c>
      <c r="AC24" s="164">
        <f t="shared" si="4"/>
        <v>0</v>
      </c>
      <c r="AD24" s="164">
        <f>IF(AND($C23=12,$D23=Input!$C$6),0,IF($E24="","",$AC24+AD25/(1+$L24)*$R24))</f>
        <v>2045.7797605769999</v>
      </c>
      <c r="AE24" s="152"/>
      <c r="AF24" s="164">
        <f>IF(AND($C23=12,$D23=Input!$C$6),0,IF($E24="","",IF($B24&gt;Input!$C$9,$AC24,0)+AF25/(1+$L24)*$R24))</f>
        <v>621.93746512285645</v>
      </c>
      <c r="AG24" s="164">
        <f>IF(AND($C23=12,$D23=Input!$C$6),0,IF($E24="","",(IF($B24&gt;Input!$C$9,$X24,0)+AG25)/(1+$L24)*$R24))</f>
        <v>296.86558080537759</v>
      </c>
      <c r="AH24" s="160">
        <f t="shared" si="5"/>
        <v>2.0950137211446997</v>
      </c>
      <c r="AI24" s="160">
        <f>IF($E24="","",MIN(Input!$C$61/AH24,1))</f>
        <v>0.64438718771845094</v>
      </c>
      <c r="AJ24" s="152"/>
      <c r="AK24" s="164">
        <f>IF(AND($C23=12,$D23=Input!$C$6),0,IF($E24="","",IF($B24&gt;Input!$C$9,$AC24*AI24,0)+AK25/(1+$L24)*$R24))</f>
        <v>400.76853408725981</v>
      </c>
      <c r="AL24" s="164">
        <f>IF(AND($C23=12,$D23=Input!$C$6),0,IF($E24="","",IF($B24&gt;Input!$C$9,0,$AC24)+AL25/(1+$L24)*$R24))</f>
        <v>1423.8422954541409</v>
      </c>
      <c r="AM24" s="160">
        <f t="shared" si="6"/>
        <v>1.1382936520186004</v>
      </c>
      <c r="AN24" s="164">
        <f>IF($E24="","",IF($B24&gt;Input!$C$9,$AI24*$AC24,$AM24*$AC24))</f>
        <v>0</v>
      </c>
      <c r="AO24" s="164">
        <f>IF(AND($C23=12,$D23=Input!$C$6),0,IF($E24="","",$AN24+AO25/(1+$L24)*$R24))</f>
        <v>2021.5191804782987</v>
      </c>
      <c r="AP24" s="152"/>
      <c r="AQ24" s="164">
        <f t="shared" si="7"/>
        <v>-166.13122566724519</v>
      </c>
      <c r="AR24" s="164">
        <f t="shared" si="16"/>
        <v>-146.39700854962081</v>
      </c>
      <c r="AS24" s="164">
        <f t="shared" si="17"/>
        <v>27.272727272727273</v>
      </c>
      <c r="AT24" s="164">
        <f t="shared" si="8"/>
        <v>27.272727272727273</v>
      </c>
      <c r="AU24" s="152"/>
      <c r="AV24" s="147">
        <f>'Deterministic Reserve'!BC24</f>
        <v>0.8995116938880543</v>
      </c>
      <c r="AW24" s="164">
        <f t="shared" si="9"/>
        <v>27.272727272727273</v>
      </c>
      <c r="AX24" s="164">
        <f t="shared" si="10"/>
        <v>24.532137106037844</v>
      </c>
      <c r="AY24" s="152"/>
    </row>
    <row r="25" spans="1:51" s="150" customFormat="1" x14ac:dyDescent="0.25">
      <c r="A25" s="150">
        <f t="shared" si="18"/>
        <v>21</v>
      </c>
      <c r="B25" s="150">
        <f t="shared" si="19"/>
        <v>2</v>
      </c>
      <c r="C25" s="150">
        <f t="shared" si="20"/>
        <v>9</v>
      </c>
      <c r="D25" s="150">
        <f>IF(E25="","",Input!$C$4+B25-1)</f>
        <v>46</v>
      </c>
      <c r="E25" s="150">
        <f>IF(OR(AND(C24=12,D24=Input!$C$6),E24=""),"",1)</f>
        <v>1</v>
      </c>
      <c r="F25" s="150">
        <f>IF(E25="","",Input!$C$8+B25-1)</f>
        <v>2019</v>
      </c>
      <c r="G25" s="151">
        <f>IF(E25="","",MAX(0,Input!$C$9-B25))</f>
        <v>18</v>
      </c>
      <c r="H25" s="152">
        <f>IF(E25="","",Input!$C$3)</f>
        <v>100000</v>
      </c>
      <c r="I25" s="153">
        <f>IF(E25="","",HLOOKUP($B25,Input!$C$13:$BT$14,2))</f>
        <v>2.2999999999999998</v>
      </c>
      <c r="J25" s="154"/>
      <c r="K25" s="155">
        <f>IF($E25="","",Input!$C$57)</f>
        <v>4.4999999999999998E-2</v>
      </c>
      <c r="L25" s="155">
        <f t="shared" si="11"/>
        <v>3.6748094004368514E-3</v>
      </c>
      <c r="M25" s="147">
        <f>IF($E25="","",VLOOKUP(IF($B25&lt;=Input!$C$7,$B25,26),'Mortality Tables'!$A$72:$CA$97,IF($B25&lt;=Input!$C$7+1,Input!$C$4-16,$D25-Input!$C$7-16),0)/1000)</f>
        <v>5.6999999999999998E-4</v>
      </c>
      <c r="N25" s="147">
        <f t="shared" si="0"/>
        <v>4.7512413896000361E-5</v>
      </c>
      <c r="O25" s="157">
        <f>IF($E25="","",IF($C25=12,IF($B25&lt;Input!$C$9,Input!$C$54,IF($B25=Input!$C$9,Input!$C$55,Input!$C$56)),0%))</f>
        <v>0</v>
      </c>
      <c r="P25" s="167">
        <f>IF($E25="","",IF($B25=1,Input!$C$59,IF($B25&lt;6,Input!$C$60,0%)))</f>
        <v>0.1</v>
      </c>
      <c r="Q25" s="162">
        <f>IF($E25="","",Input!$C$58)</f>
        <v>2.5</v>
      </c>
      <c r="R25" s="156">
        <f t="shared" si="12"/>
        <v>0.999952487586104</v>
      </c>
      <c r="S25" s="154">
        <f t="shared" si="1"/>
        <v>0.93923427098163925</v>
      </c>
      <c r="T25" s="152"/>
      <c r="U25" s="150">
        <f t="shared" si="13"/>
        <v>0</v>
      </c>
      <c r="V25" s="150">
        <f t="shared" si="14"/>
        <v>0</v>
      </c>
      <c r="W25" s="168">
        <f t="shared" si="15"/>
        <v>0</v>
      </c>
      <c r="X25" s="163">
        <f t="shared" si="2"/>
        <v>4.7512413896000361</v>
      </c>
      <c r="Y25" s="152"/>
      <c r="Z25" s="164">
        <f>IF(AND($C24=12,$D24=Input!$C$6),0,IF($E25="","",V25+Z26/(1+L25)*R25))</f>
        <v>2486.7925642114674</v>
      </c>
      <c r="AA25" s="164">
        <f>IF(OR($M25=1,AND($C24=12,$D24=Input!$C$6)),0,IF($E25="","",W25+(X25+AA26*$R25)/(1+$L25)))</f>
        <v>1857.543166879025</v>
      </c>
      <c r="AB25" s="160">
        <f t="shared" si="3"/>
        <v>0.825720328500681</v>
      </c>
      <c r="AC25" s="164">
        <f t="shared" si="4"/>
        <v>0</v>
      </c>
      <c r="AD25" s="164">
        <f>IF(AND($C24=12,$D24=Input!$C$6),0,IF($E25="","",$AC25+AD26/(1+$L25)*$R25))</f>
        <v>2053.3951730337449</v>
      </c>
      <c r="AE25" s="152"/>
      <c r="AF25" s="164">
        <f>IF(AND($C24=12,$D24=Input!$C$6),0,IF($E25="","",IF($B25&gt;Input!$C$9,$AC25,0)+AF26/(1+$L25)*$R25))</f>
        <v>624.25262651534047</v>
      </c>
      <c r="AG25" s="164">
        <f>IF(AND($C24=12,$D24=Input!$C$6),0,IF($E25="","",(IF($B25&gt;Input!$C$9,$X25,0)+AG26)/(1+$L25)*$R25))</f>
        <v>297.9706625378347</v>
      </c>
      <c r="AH25" s="160">
        <f t="shared" si="5"/>
        <v>2.0950137211446997</v>
      </c>
      <c r="AI25" s="160">
        <f>IF($E25="","",MIN(Input!$C$61/AH25,1))</f>
        <v>0.64438718771845094</v>
      </c>
      <c r="AJ25" s="152"/>
      <c r="AK25" s="164">
        <f>IF(AND($C24=12,$D24=Input!$C$6),0,IF($E25="","",IF($B25&gt;Input!$C$9,$AC25*AI25,0)+AK26/(1+$L25)*$R25))</f>
        <v>402.26039442607691</v>
      </c>
      <c r="AL25" s="164">
        <f>IF(AND($C24=12,$D24=Input!$C$6),0,IF($E25="","",IF($B25&gt;Input!$C$9,0,$AC25)+AL26/(1+$L25)*$R25))</f>
        <v>1429.142546518402</v>
      </c>
      <c r="AM25" s="160">
        <f t="shared" si="6"/>
        <v>1.1382936520186004</v>
      </c>
      <c r="AN25" s="164">
        <f>IF($E25="","",IF($B25&gt;Input!$C$9,$AI25*$AC25,$AM25*$AC25))</f>
        <v>0</v>
      </c>
      <c r="AO25" s="164">
        <f>IF(AND($C24=12,$D24=Input!$C$6),0,IF($E25="","",$AN25+AO26/(1+$L25)*$R25))</f>
        <v>2029.0442829576691</v>
      </c>
      <c r="AP25" s="152"/>
      <c r="AQ25" s="164">
        <f t="shared" si="7"/>
        <v>-171.50111607864415</v>
      </c>
      <c r="AR25" s="164">
        <f t="shared" si="16"/>
        <v>-146.39700854962081</v>
      </c>
      <c r="AS25" s="164">
        <f t="shared" si="17"/>
        <v>27.272727272727273</v>
      </c>
      <c r="AT25" s="164">
        <f t="shared" si="8"/>
        <v>27.272727272727273</v>
      </c>
      <c r="AU25" s="152"/>
      <c r="AV25" s="147">
        <f>'Deterministic Reserve'!BC25</f>
        <v>0.89948245153165507</v>
      </c>
      <c r="AW25" s="164">
        <f t="shared" si="9"/>
        <v>27.272727272727273</v>
      </c>
      <c r="AX25" s="164">
        <f t="shared" si="10"/>
        <v>24.531339587226956</v>
      </c>
      <c r="AY25" s="152"/>
    </row>
    <row r="26" spans="1:51" s="150" customFormat="1" x14ac:dyDescent="0.25">
      <c r="A26" s="150">
        <f t="shared" si="18"/>
        <v>22</v>
      </c>
      <c r="B26" s="150">
        <f t="shared" si="19"/>
        <v>2</v>
      </c>
      <c r="C26" s="150">
        <f t="shared" si="20"/>
        <v>10</v>
      </c>
      <c r="D26" s="150">
        <f>IF(E26="","",Input!$C$4+B26-1)</f>
        <v>46</v>
      </c>
      <c r="E26" s="150">
        <f>IF(OR(AND(C25=12,D25=Input!$C$6),E25=""),"",1)</f>
        <v>1</v>
      </c>
      <c r="F26" s="150">
        <f>IF(E26="","",Input!$C$8+B26-1)</f>
        <v>2019</v>
      </c>
      <c r="G26" s="151">
        <f>IF(E26="","",MAX(0,Input!$C$9-B26))</f>
        <v>18</v>
      </c>
      <c r="H26" s="152">
        <f>IF(E26="","",Input!$C$3)</f>
        <v>100000</v>
      </c>
      <c r="I26" s="153">
        <f>IF(E26="","",HLOOKUP($B26,Input!$C$13:$BT$14,2))</f>
        <v>2.2999999999999998</v>
      </c>
      <c r="J26" s="154"/>
      <c r="K26" s="155">
        <f>IF($E26="","",Input!$C$57)</f>
        <v>4.4999999999999998E-2</v>
      </c>
      <c r="L26" s="155">
        <f t="shared" si="11"/>
        <v>3.6748094004368514E-3</v>
      </c>
      <c r="M26" s="147">
        <f>IF($E26="","",VLOOKUP(IF($B26&lt;=Input!$C$7,$B26,26),'Mortality Tables'!$A$72:$CA$97,IF($B26&lt;=Input!$C$7+1,Input!$C$4-16,$D26-Input!$C$7-16),0)/1000)</f>
        <v>5.6999999999999998E-4</v>
      </c>
      <c r="N26" s="147">
        <f t="shared" si="0"/>
        <v>4.7512413896000361E-5</v>
      </c>
      <c r="O26" s="157">
        <f>IF($E26="","",IF($C26=12,IF($B26&lt;Input!$C$9,Input!$C$54,IF($B26=Input!$C$9,Input!$C$55,Input!$C$56)),0%))</f>
        <v>0</v>
      </c>
      <c r="P26" s="167">
        <f>IF($E26="","",IF($B26=1,Input!$C$59,IF($B26&lt;6,Input!$C$60,0%)))</f>
        <v>0.1</v>
      </c>
      <c r="Q26" s="162">
        <f>IF($E26="","",Input!$C$58)</f>
        <v>2.5</v>
      </c>
      <c r="R26" s="156">
        <f t="shared" si="12"/>
        <v>0.999952487586104</v>
      </c>
      <c r="S26" s="154">
        <f t="shared" si="1"/>
        <v>0.93918964569421104</v>
      </c>
      <c r="T26" s="152"/>
      <c r="U26" s="150">
        <f t="shared" si="13"/>
        <v>0</v>
      </c>
      <c r="V26" s="150">
        <f t="shared" si="14"/>
        <v>0</v>
      </c>
      <c r="W26" s="168">
        <f t="shared" si="15"/>
        <v>0</v>
      </c>
      <c r="X26" s="163">
        <f t="shared" si="2"/>
        <v>4.7512413896000361</v>
      </c>
      <c r="Y26" s="152"/>
      <c r="Z26" s="164">
        <f>IF(AND($C25=12,$D25=Input!$C$6),0,IF($E26="","",V26+Z27/(1+L26)*R26))</f>
        <v>2496.0496462472656</v>
      </c>
      <c r="AA26" s="164">
        <f>IF(OR($M26=1,AND($C25=12,$D25=Input!$C$6)),0,IF($E26="","",W26+(X26+AA27*$R26)/(1+$L26)))</f>
        <v>1859.7064017210728</v>
      </c>
      <c r="AB26" s="160">
        <f t="shared" si="3"/>
        <v>0.825720328500681</v>
      </c>
      <c r="AC26" s="164">
        <f t="shared" si="4"/>
        <v>0</v>
      </c>
      <c r="AD26" s="164">
        <f>IF(AND($C25=12,$D25=Input!$C$6),0,IF($E26="","",$AC26+AD27/(1+$L26)*$R26))</f>
        <v>2061.0389338533023</v>
      </c>
      <c r="AE26" s="152"/>
      <c r="AF26" s="164">
        <f>IF(AND($C25=12,$D25=Input!$C$6),0,IF($E26="","",IF($B26&gt;Input!$C$9,$AC26,0)+AF27/(1+$L26)*$R26))</f>
        <v>626.5764060930502</v>
      </c>
      <c r="AG26" s="164">
        <f>IF(AND($C25=12,$D25=Input!$C$6),0,IF($E26="","",(IF($B26&gt;Input!$C$9,$X26,0)+AG27)/(1+$L26)*$R26))</f>
        <v>299.07985793558129</v>
      </c>
      <c r="AH26" s="160">
        <f t="shared" si="5"/>
        <v>2.0950137211446997</v>
      </c>
      <c r="AI26" s="160">
        <f>IF($E26="","",MIN(Input!$C$61/AH26,1))</f>
        <v>0.64438718771845094</v>
      </c>
      <c r="AJ26" s="152"/>
      <c r="AK26" s="164">
        <f>IF(AND($C25=12,$D25=Input!$C$6),0,IF($E26="","",IF($B26&gt;Input!$C$9,$AC26*AI26,0)+AK27/(1+$L26)*$R26))</f>
        <v>403.75780821303488</v>
      </c>
      <c r="AL26" s="164">
        <f>IF(AND($C25=12,$D25=Input!$C$6),0,IF($E26="","",IF($B26&gt;Input!$C$9,0,$AC26)+AL27/(1+$L26)*$R26))</f>
        <v>1434.4625277602493</v>
      </c>
      <c r="AM26" s="160">
        <f t="shared" si="6"/>
        <v>1.1382936520186004</v>
      </c>
      <c r="AN26" s="164">
        <f>IF($E26="","",IF($B26&gt;Input!$C$9,$AI26*$AC26,$AM26*$AC26))</f>
        <v>0</v>
      </c>
      <c r="AO26" s="164">
        <f>IF(AND($C25=12,$D25=Input!$C$6),0,IF($E26="","",$AN26+AO27/(1+$L26)*$R26))</f>
        <v>2036.5973976210798</v>
      </c>
      <c r="AP26" s="152"/>
      <c r="AQ26" s="164">
        <f t="shared" si="7"/>
        <v>-176.89099590000706</v>
      </c>
      <c r="AR26" s="164">
        <f t="shared" si="16"/>
        <v>-146.39700854962081</v>
      </c>
      <c r="AS26" s="164">
        <f t="shared" si="17"/>
        <v>27.272727272727273</v>
      </c>
      <c r="AT26" s="164">
        <f t="shared" si="8"/>
        <v>27.272727272727273</v>
      </c>
      <c r="AU26" s="152"/>
      <c r="AV26" s="147">
        <f>'Deterministic Reserve'!BC26</f>
        <v>0.89945321012589985</v>
      </c>
      <c r="AW26" s="164">
        <f t="shared" si="9"/>
        <v>27.272727272727273</v>
      </c>
      <c r="AX26" s="164">
        <f t="shared" si="10"/>
        <v>24.530542094342724</v>
      </c>
      <c r="AY26" s="152"/>
    </row>
    <row r="27" spans="1:51" s="150" customFormat="1" x14ac:dyDescent="0.25">
      <c r="A27" s="150">
        <f t="shared" si="18"/>
        <v>23</v>
      </c>
      <c r="B27" s="150">
        <f t="shared" si="19"/>
        <v>2</v>
      </c>
      <c r="C27" s="150">
        <f t="shared" si="20"/>
        <v>11</v>
      </c>
      <c r="D27" s="150">
        <f>IF(E27="","",Input!$C$4+B27-1)</f>
        <v>46</v>
      </c>
      <c r="E27" s="150">
        <f>IF(OR(AND(C26=12,D26=Input!$C$6),E26=""),"",1)</f>
        <v>1</v>
      </c>
      <c r="F27" s="150">
        <f>IF(E27="","",Input!$C$8+B27-1)</f>
        <v>2019</v>
      </c>
      <c r="G27" s="151">
        <f>IF(E27="","",MAX(0,Input!$C$9-B27))</f>
        <v>18</v>
      </c>
      <c r="H27" s="152">
        <f>IF(E27="","",Input!$C$3)</f>
        <v>100000</v>
      </c>
      <c r="I27" s="153">
        <f>IF(E27="","",HLOOKUP($B27,Input!$C$13:$BT$14,2))</f>
        <v>2.2999999999999998</v>
      </c>
      <c r="J27" s="154"/>
      <c r="K27" s="155">
        <f>IF($E27="","",Input!$C$57)</f>
        <v>4.4999999999999998E-2</v>
      </c>
      <c r="L27" s="155">
        <f t="shared" si="11"/>
        <v>3.6748094004368514E-3</v>
      </c>
      <c r="M27" s="147">
        <f>IF($E27="","",VLOOKUP(IF($B27&lt;=Input!$C$7,$B27,26),'Mortality Tables'!$A$72:$CA$97,IF($B27&lt;=Input!$C$7+1,Input!$C$4-16,$D27-Input!$C$7-16),0)/1000)</f>
        <v>5.6999999999999998E-4</v>
      </c>
      <c r="N27" s="147">
        <f t="shared" si="0"/>
        <v>4.7512413896000361E-5</v>
      </c>
      <c r="O27" s="157">
        <f>IF($E27="","",IF($C27=12,IF($B27&lt;Input!$C$9,Input!$C$54,IF($B27=Input!$C$9,Input!$C$55,Input!$C$56)),0%))</f>
        <v>0</v>
      </c>
      <c r="P27" s="167">
        <f>IF($E27="","",IF($B27=1,Input!$C$59,IF($B27&lt;6,Input!$C$60,0%)))</f>
        <v>0.1</v>
      </c>
      <c r="Q27" s="162">
        <f>IF($E27="","",Input!$C$58)</f>
        <v>2.5</v>
      </c>
      <c r="R27" s="156">
        <f t="shared" si="12"/>
        <v>0.999952487586104</v>
      </c>
      <c r="S27" s="154">
        <f t="shared" si="1"/>
        <v>0.93914502252703802</v>
      </c>
      <c r="T27" s="152"/>
      <c r="U27" s="150">
        <f t="shared" si="13"/>
        <v>0</v>
      </c>
      <c r="V27" s="150">
        <f t="shared" si="14"/>
        <v>0</v>
      </c>
      <c r="W27" s="168">
        <f t="shared" si="15"/>
        <v>0</v>
      </c>
      <c r="X27" s="163">
        <f t="shared" si="2"/>
        <v>4.7512413896000361</v>
      </c>
      <c r="Y27" s="152"/>
      <c r="Z27" s="164">
        <f>IF(AND($C26=12,$D26=Input!$C$6),0,IF($E27="","",V27+Z28/(1+L27)*R27))</f>
        <v>2505.3411877587159</v>
      </c>
      <c r="AA27" s="164">
        <f>IF(OR($M27=1,AND($C26=12,$D26=Input!$C$6)),0,IF($E27="","",W27+(X27+AA28*$R27)/(1+$L27)))</f>
        <v>1861.877689201963</v>
      </c>
      <c r="AB27" s="160">
        <f t="shared" si="3"/>
        <v>0.825720328500681</v>
      </c>
      <c r="AC27" s="164">
        <f t="shared" si="4"/>
        <v>0</v>
      </c>
      <c r="AD27" s="164">
        <f>IF(AND($C26=12,$D26=Input!$C$6),0,IF($E27="","",$AC27+AD28/(1+$L27)*$R27))</f>
        <v>2068.7111485624146</v>
      </c>
      <c r="AE27" s="152"/>
      <c r="AF27" s="164">
        <f>IF(AND($C26=12,$D26=Input!$C$6),0,IF($E27="","",IF($B27&gt;Input!$C$9,$AC27,0)+AF28/(1+$L27)*$R27))</f>
        <v>628.90883593716876</v>
      </c>
      <c r="AG27" s="164">
        <f>IF(AND($C26=12,$D26=Input!$C$6),0,IF($E27="","",(IF($B27&gt;Input!$C$9,$X27,0)+AG28)/(1+$L27)*$R27))</f>
        <v>300.19318231173105</v>
      </c>
      <c r="AH27" s="160">
        <f t="shared" si="5"/>
        <v>2.0950137211446997</v>
      </c>
      <c r="AI27" s="160">
        <f>IF($E27="","",MIN(Input!$C$61/AH27,1))</f>
        <v>0.64438718771845094</v>
      </c>
      <c r="AJ27" s="152"/>
      <c r="AK27" s="164">
        <f>IF(AND($C26=12,$D26=Input!$C$6),0,IF($E27="","",IF($B27&gt;Input!$C$9,$AC27*AI27,0)+AK28/(1+$L27)*$R27))</f>
        <v>405.26079612083703</v>
      </c>
      <c r="AL27" s="164">
        <f>IF(AND($C26=12,$D26=Input!$C$6),0,IF($E27="","",IF($B27&gt;Input!$C$9,0,$AC27)+AL28/(1+$L27)*$R27))</f>
        <v>1439.8023126252428</v>
      </c>
      <c r="AM27" s="160">
        <f t="shared" si="6"/>
        <v>1.1382936520186004</v>
      </c>
      <c r="AN27" s="164">
        <f>IF($E27="","",IF($B27&gt;Input!$C$9,$AI27*$AC27,$AM27*$AC27))</f>
        <v>0</v>
      </c>
      <c r="AO27" s="164">
        <f>IF(AND($C26=12,$D26=Input!$C$6),0,IF($E27="","",$AN27+AO28/(1+$L27)*$R27))</f>
        <v>2044.1786287438492</v>
      </c>
      <c r="AP27" s="152"/>
      <c r="AQ27" s="164">
        <f t="shared" si="7"/>
        <v>-182.30093954188624</v>
      </c>
      <c r="AR27" s="164">
        <f t="shared" si="16"/>
        <v>-146.39700854962081</v>
      </c>
      <c r="AS27" s="164">
        <f t="shared" si="17"/>
        <v>27.272727272727273</v>
      </c>
      <c r="AT27" s="164">
        <f t="shared" si="8"/>
        <v>27.272727272727273</v>
      </c>
      <c r="AU27" s="152"/>
      <c r="AV27" s="147">
        <f>'Deterministic Reserve'!BC27</f>
        <v>0.89942396967075777</v>
      </c>
      <c r="AW27" s="164">
        <f t="shared" si="9"/>
        <v>27.272727272727273</v>
      </c>
      <c r="AX27" s="164">
        <f t="shared" si="10"/>
        <v>24.529744627384304</v>
      </c>
      <c r="AY27" s="152"/>
    </row>
    <row r="28" spans="1:51" s="150" customFormat="1" x14ac:dyDescent="0.25">
      <c r="A28" s="150">
        <f t="shared" si="18"/>
        <v>24</v>
      </c>
      <c r="B28" s="150">
        <f t="shared" si="19"/>
        <v>2</v>
      </c>
      <c r="C28" s="150">
        <f t="shared" si="20"/>
        <v>12</v>
      </c>
      <c r="D28" s="150">
        <f>IF(E28="","",Input!$C$4+B28-1)</f>
        <v>46</v>
      </c>
      <c r="E28" s="150">
        <f>IF(OR(AND(C27=12,D27=Input!$C$6),E27=""),"",1)</f>
        <v>1</v>
      </c>
      <c r="F28" s="150">
        <f>IF(E28="","",Input!$C$8+B28-1)</f>
        <v>2019</v>
      </c>
      <c r="G28" s="151">
        <f>IF(E28="","",MAX(0,Input!$C$9-B28))</f>
        <v>18</v>
      </c>
      <c r="H28" s="152">
        <f>IF(E28="","",Input!$C$3)</f>
        <v>100000</v>
      </c>
      <c r="I28" s="153">
        <f>IF(E28="","",HLOOKUP($B28,Input!$C$13:$BT$14,2))</f>
        <v>2.2999999999999998</v>
      </c>
      <c r="J28" s="154"/>
      <c r="K28" s="155">
        <f>IF($E28="","",Input!$C$57)</f>
        <v>4.4999999999999998E-2</v>
      </c>
      <c r="L28" s="155">
        <f t="shared" si="11"/>
        <v>3.6748094004368514E-3</v>
      </c>
      <c r="M28" s="147">
        <f>IF($E28="","",VLOOKUP(IF($B28&lt;=Input!$C$7,$B28,26),'Mortality Tables'!$A$72:$CA$97,IF($B28&lt;=Input!$C$7+1,Input!$C$4-16,$D28-Input!$C$7-16),0)/1000)</f>
        <v>5.6999999999999998E-4</v>
      </c>
      <c r="N28" s="147">
        <f t="shared" si="0"/>
        <v>4.7512413896000361E-5</v>
      </c>
      <c r="O28" s="157">
        <f>IF($E28="","",IF($C28=12,IF($B28&lt;Input!$C$9,Input!$C$54,IF($B28=Input!$C$9,Input!$C$55,Input!$C$56)),0%))</f>
        <v>0.06</v>
      </c>
      <c r="P28" s="167">
        <f>IF($E28="","",IF($B28=1,Input!$C$59,IF($B28&lt;6,Input!$C$60,0%)))</f>
        <v>0.1</v>
      </c>
      <c r="Q28" s="162">
        <f>IF($E28="","",Input!$C$58)</f>
        <v>2.5</v>
      </c>
      <c r="R28" s="156">
        <f t="shared" si="12"/>
        <v>0.93995248758610406</v>
      </c>
      <c r="S28" s="154">
        <f t="shared" si="1"/>
        <v>0.8827517001283971</v>
      </c>
      <c r="T28" s="152"/>
      <c r="U28" s="150">
        <f t="shared" si="13"/>
        <v>0</v>
      </c>
      <c r="V28" s="150">
        <f t="shared" si="14"/>
        <v>0</v>
      </c>
      <c r="W28" s="168">
        <f t="shared" si="15"/>
        <v>0</v>
      </c>
      <c r="X28" s="163">
        <f t="shared" si="2"/>
        <v>4.7512413896000361</v>
      </c>
      <c r="Y28" s="152"/>
      <c r="Z28" s="164">
        <f>IF(AND($C27=12,$D27=Input!$C$6),0,IF($E28="","",V28+Z29/(1+L28)*R28))</f>
        <v>2514.6673170211702</v>
      </c>
      <c r="AA28" s="164">
        <f>IF(OR($M28=1,AND($C27=12,$D27=Input!$C$6)),0,IF($E28="","",W28+(X28+AA29*$R28)/(1+$L28)))</f>
        <v>1864.0570592976333</v>
      </c>
      <c r="AB28" s="160">
        <f t="shared" si="3"/>
        <v>0.825720328500681</v>
      </c>
      <c r="AC28" s="164">
        <f t="shared" si="4"/>
        <v>0</v>
      </c>
      <c r="AD28" s="164">
        <f>IF(AND($C27=12,$D27=Input!$C$6),0,IF($E28="","",$AC28+AD29/(1+$L28)*$R28))</f>
        <v>2076.4119230806482</v>
      </c>
      <c r="AE28" s="152"/>
      <c r="AF28" s="164">
        <f>IF(AND($C27=12,$D27=Input!$C$6),0,IF($E28="","",IF($B28&gt;Input!$C$9,$AC28,0)+AF29/(1+$L28)*$R28))</f>
        <v>631.24994824830151</v>
      </c>
      <c r="AG28" s="164">
        <f>IF(AND($C27=12,$D27=Input!$C$6),0,IF($E28="","",(IF($B28&gt;Input!$C$9,$X28,0)+AG29)/(1+$L28)*$R28))</f>
        <v>301.3106510364006</v>
      </c>
      <c r="AH28" s="160">
        <f t="shared" si="5"/>
        <v>2.0950137211446997</v>
      </c>
      <c r="AI28" s="160">
        <f>IF($E28="","",MIN(Input!$C$61/AH28,1))</f>
        <v>0.64438718771845094</v>
      </c>
      <c r="AJ28" s="152"/>
      <c r="AK28" s="164">
        <f>IF(AND($C27=12,$D27=Input!$C$6),0,IF($E28="","",IF($B28&gt;Input!$C$9,$AC28*AI28,0)+AK29/(1+$L28)*$R28))</f>
        <v>406.76937889914086</v>
      </c>
      <c r="AL28" s="164">
        <f>IF(AND($C27=12,$D27=Input!$C$6),0,IF($E28="","",IF($B28&gt;Input!$C$9,0,$AC28)+AL29/(1+$L28)*$R28))</f>
        <v>1445.161974832344</v>
      </c>
      <c r="AM28" s="160">
        <f t="shared" si="6"/>
        <v>1.1382936520186004</v>
      </c>
      <c r="AN28" s="164">
        <f>IF($E28="","",IF($B28&gt;Input!$C$9,$AI28*$AC28,$AM28*$AC28))</f>
        <v>0</v>
      </c>
      <c r="AO28" s="164">
        <f>IF(AND($C27=12,$D27=Input!$C$6),0,IF($E28="","",$AN28+AO29/(1+$L28)*$R28))</f>
        <v>2051.78808098946</v>
      </c>
      <c r="AP28" s="152"/>
      <c r="AQ28" s="164">
        <f t="shared" si="7"/>
        <v>-187.73102169182675</v>
      </c>
      <c r="AR28" s="164">
        <f t="shared" si="16"/>
        <v>-146.39700854962081</v>
      </c>
      <c r="AS28" s="164">
        <f t="shared" si="17"/>
        <v>27.272727272727273</v>
      </c>
      <c r="AT28" s="164">
        <f t="shared" si="8"/>
        <v>27.272727272727273</v>
      </c>
      <c r="AU28" s="152"/>
      <c r="AV28" s="147">
        <f>'Deterministic Reserve'!BC28</f>
        <v>0.85442353168265994</v>
      </c>
      <c r="AW28" s="164">
        <f t="shared" si="9"/>
        <v>27.272727272727273</v>
      </c>
      <c r="AX28" s="164">
        <f t="shared" si="10"/>
        <v>23.302459954981636</v>
      </c>
      <c r="AY28" s="152"/>
    </row>
    <row r="29" spans="1:51" s="150" customFormat="1" x14ac:dyDescent="0.25">
      <c r="A29" s="150">
        <f t="shared" si="18"/>
        <v>25</v>
      </c>
      <c r="B29" s="150">
        <f t="shared" si="19"/>
        <v>3</v>
      </c>
      <c r="C29" s="150">
        <f t="shared" si="20"/>
        <v>1</v>
      </c>
      <c r="D29" s="150">
        <f>IF(E29="","",Input!$C$4+B29-1)</f>
        <v>47</v>
      </c>
      <c r="E29" s="150">
        <f>IF(OR(AND(C28=12,D28=Input!$C$6),E28=""),"",1)</f>
        <v>1</v>
      </c>
      <c r="F29" s="150">
        <f>IF(E29="","",Input!$C$8+B29-1)</f>
        <v>2020</v>
      </c>
      <c r="G29" s="151">
        <f>IF(E29="","",MAX(0,Input!$C$9-B29))</f>
        <v>17</v>
      </c>
      <c r="H29" s="152">
        <f>IF(E29="","",Input!$C$3)</f>
        <v>100000</v>
      </c>
      <c r="I29" s="153">
        <f>IF(E29="","",HLOOKUP($B29,Input!$C$13:$BT$14,2))</f>
        <v>2.2999999999999998</v>
      </c>
      <c r="J29" s="154"/>
      <c r="K29" s="155">
        <f>IF($E29="","",Input!$C$57)</f>
        <v>4.4999999999999998E-2</v>
      </c>
      <c r="L29" s="155">
        <f t="shared" si="11"/>
        <v>3.6748094004368514E-3</v>
      </c>
      <c r="M29" s="147">
        <f>IF($E29="","",VLOOKUP(IF($B29&lt;=Input!$C$7,$B29,26),'Mortality Tables'!$A$72:$CA$97,IF($B29&lt;=Input!$C$7+1,Input!$C$4-16,$D29-Input!$C$7-16),0)/1000)</f>
        <v>7.3999999999999999E-4</v>
      </c>
      <c r="N29" s="147">
        <f t="shared" si="0"/>
        <v>6.1687591838111011E-5</v>
      </c>
      <c r="O29" s="157">
        <f>IF($E29="","",IF($C29=12,IF($B29&lt;Input!$C$9,Input!$C$54,IF($B29=Input!$C$9,Input!$C$55,Input!$C$56)),0%))</f>
        <v>0</v>
      </c>
      <c r="P29" s="167">
        <f>IF($E29="","",IF($B29=1,Input!$C$59,IF($B29&lt;6,Input!$C$60,0%)))</f>
        <v>0.1</v>
      </c>
      <c r="Q29" s="162">
        <f>IF($E29="","",Input!$C$58)</f>
        <v>2.5</v>
      </c>
      <c r="R29" s="156">
        <f t="shared" si="12"/>
        <v>0.99993831240816189</v>
      </c>
      <c r="S29" s="154">
        <f t="shared" si="1"/>
        <v>0.88269724530182514</v>
      </c>
      <c r="T29" s="152"/>
      <c r="U29" s="150">
        <f t="shared" si="13"/>
        <v>229.99999999999997</v>
      </c>
      <c r="V29" s="150">
        <f t="shared" si="14"/>
        <v>206.99999999999997</v>
      </c>
      <c r="W29" s="168">
        <f t="shared" si="15"/>
        <v>0</v>
      </c>
      <c r="X29" s="163">
        <f t="shared" si="2"/>
        <v>6.1687591838111011</v>
      </c>
      <c r="Y29" s="152"/>
      <c r="Z29" s="164">
        <f>IF(AND($C28=12,$D28=Input!$C$6),0,IF($E29="","",V29+Z30/(1+L29)*R29))</f>
        <v>2685.1444870350738</v>
      </c>
      <c r="AA29" s="164">
        <f>IF(OR($M29=1,AND($C28=12,$D28=Input!$C$6)),0,IF($E29="","",W29+(X29+AA30*$R29)/(1+$L29)))</f>
        <v>1985.3725554841326</v>
      </c>
      <c r="AB29" s="160">
        <f t="shared" si="3"/>
        <v>0.825720328500681</v>
      </c>
      <c r="AC29" s="164">
        <f t="shared" si="4"/>
        <v>170.92410799964094</v>
      </c>
      <c r="AD29" s="164">
        <f>IF(AND($C28=12,$D28=Input!$C$6),0,IF($E29="","",$AC29+AD30/(1+$L29)*$R29))</f>
        <v>2217.1783879063951</v>
      </c>
      <c r="AE29" s="152"/>
      <c r="AF29" s="164">
        <f>IF(AND($C28=12,$D28=Input!$C$6),0,IF($E29="","",IF($B29&gt;Input!$C$9,$AC29,0)+AF30/(1+$L29)*$R29))</f>
        <v>674.04435847520608</v>
      </c>
      <c r="AG29" s="164">
        <f>IF(AND($C28=12,$D28=Input!$C$6),0,IF($E29="","",(IF($B29&gt;Input!$C$9,$X29,0)+AG30)/(1+$L29)*$R29))</f>
        <v>321.73744337431526</v>
      </c>
      <c r="AH29" s="160">
        <f t="shared" si="5"/>
        <v>2.0950137211446997</v>
      </c>
      <c r="AI29" s="160">
        <f>IF($E29="","",MIN(Input!$C$61/AH29,1))</f>
        <v>0.64438718771845094</v>
      </c>
      <c r="AJ29" s="152"/>
      <c r="AK29" s="164">
        <f>IF(AND($C28=12,$D28=Input!$C$6),0,IF($E29="","",IF($B29&gt;Input!$C$9,$AC29*AI29,0)+AK30/(1+$L29)*$R29))</f>
        <v>434.34554855532565</v>
      </c>
      <c r="AL29" s="164">
        <f>IF(AND($C28=12,$D28=Input!$C$6),0,IF($E29="","",IF($B29&gt;Input!$C$9,0,$AC29)+AL30/(1+$L29)*$R29))</f>
        <v>1543.1340294311863</v>
      </c>
      <c r="AM29" s="160">
        <f t="shared" si="6"/>
        <v>1.1382936520186004</v>
      </c>
      <c r="AN29" s="164">
        <f>IF($E29="","",IF($B29&gt;Input!$C$9,$AI29*$AC29,$AM29*$AC29))</f>
        <v>194.56182711293297</v>
      </c>
      <c r="AO29" s="164">
        <f>IF(AND($C28=12,$D28=Input!$C$6),0,IF($E29="","",$AN29+AO30/(1+$L29)*$R29))</f>
        <v>2190.8852184707266</v>
      </c>
      <c r="AP29" s="152"/>
      <c r="AQ29" s="164">
        <f t="shared" si="7"/>
        <v>-205.51266298659402</v>
      </c>
      <c r="AR29" s="164">
        <f t="shared" si="16"/>
        <v>-36.860698689399499</v>
      </c>
      <c r="AS29" s="164">
        <f t="shared" si="17"/>
        <v>35.406698564593306</v>
      </c>
      <c r="AT29" s="164">
        <f t="shared" si="8"/>
        <v>35.406698564593306</v>
      </c>
      <c r="AU29" s="152"/>
      <c r="AV29" s="147">
        <f>'Deterministic Reserve'!BC29</f>
        <v>0.85438799572741275</v>
      </c>
      <c r="AW29" s="164">
        <f t="shared" si="9"/>
        <v>35.406698564593306</v>
      </c>
      <c r="AX29" s="164">
        <f t="shared" si="10"/>
        <v>30.251058221927536</v>
      </c>
      <c r="AY29" s="152"/>
    </row>
    <row r="30" spans="1:51" s="150" customFormat="1" x14ac:dyDescent="0.25">
      <c r="A30" s="150">
        <f t="shared" si="18"/>
        <v>26</v>
      </c>
      <c r="B30" s="150">
        <f t="shared" si="19"/>
        <v>3</v>
      </c>
      <c r="C30" s="150">
        <f t="shared" si="20"/>
        <v>2</v>
      </c>
      <c r="D30" s="150">
        <f>IF(E30="","",Input!$C$4+B30-1)</f>
        <v>47</v>
      </c>
      <c r="E30" s="150">
        <f>IF(OR(AND(C29=12,D29=Input!$C$6),E29=""),"",1)</f>
        <v>1</v>
      </c>
      <c r="F30" s="150">
        <f>IF(E30="","",Input!$C$8+B30-1)</f>
        <v>2020</v>
      </c>
      <c r="G30" s="151">
        <f>IF(E30="","",MAX(0,Input!$C$9-B30))</f>
        <v>17</v>
      </c>
      <c r="H30" s="152">
        <f>IF(E30="","",Input!$C$3)</f>
        <v>100000</v>
      </c>
      <c r="I30" s="153">
        <f>IF(E30="","",HLOOKUP($B30,Input!$C$13:$BT$14,2))</f>
        <v>2.2999999999999998</v>
      </c>
      <c r="J30" s="154"/>
      <c r="K30" s="155">
        <f>IF($E30="","",Input!$C$57)</f>
        <v>4.4999999999999998E-2</v>
      </c>
      <c r="L30" s="155">
        <f t="shared" si="11"/>
        <v>3.6748094004368514E-3</v>
      </c>
      <c r="M30" s="147">
        <f>IF($E30="","",VLOOKUP(IF($B30&lt;=Input!$C$7,$B30,26),'Mortality Tables'!$A$72:$CA$97,IF($B30&lt;=Input!$C$7+1,Input!$C$4-16,$D30-Input!$C$7-16),0)/1000)</f>
        <v>7.3999999999999999E-4</v>
      </c>
      <c r="N30" s="147">
        <f t="shared" si="0"/>
        <v>6.1687591838111011E-5</v>
      </c>
      <c r="O30" s="157">
        <f>IF($E30="","",IF($C30=12,IF($B30&lt;Input!$C$9,Input!$C$54,IF($B30=Input!$C$9,Input!$C$55,Input!$C$56)),0%))</f>
        <v>0</v>
      </c>
      <c r="P30" s="167">
        <f>IF($E30="","",IF($B30=1,Input!$C$59,IF($B30&lt;6,Input!$C$60,0%)))</f>
        <v>0.1</v>
      </c>
      <c r="Q30" s="162">
        <f>IF($E30="","",Input!$C$58)</f>
        <v>2.5</v>
      </c>
      <c r="R30" s="156">
        <f t="shared" si="12"/>
        <v>0.99993831240816189</v>
      </c>
      <c r="S30" s="154">
        <f t="shared" si="1"/>
        <v>0.88264279383444033</v>
      </c>
      <c r="T30" s="152"/>
      <c r="U30" s="150">
        <f t="shared" si="13"/>
        <v>0</v>
      </c>
      <c r="V30" s="150">
        <f t="shared" si="14"/>
        <v>0</v>
      </c>
      <c r="W30" s="168">
        <f t="shared" si="15"/>
        <v>0</v>
      </c>
      <c r="X30" s="163">
        <f t="shared" si="2"/>
        <v>6.1687591838111011</v>
      </c>
      <c r="Y30" s="152"/>
      <c r="Z30" s="164">
        <f>IF(AND($C29=12,$D29=Input!$C$6),0,IF($E30="","",V30+Z31/(1+L30)*R30))</f>
        <v>2487.4046376936972</v>
      </c>
      <c r="AA30" s="164">
        <f>IF(OR($M30=1,AND($C29=12,$D29=Input!$C$6)),0,IF($E30="","",W30+(X30+AA31*$R30)/(1+$L30)))</f>
        <v>1986.6222119707325</v>
      </c>
      <c r="AB30" s="160">
        <f t="shared" si="3"/>
        <v>0.825720328500681</v>
      </c>
      <c r="AC30" s="164">
        <f t="shared" si="4"/>
        <v>0</v>
      </c>
      <c r="AD30" s="164">
        <f>IF(AND($C29=12,$D29=Input!$C$6),0,IF($E30="","",$AC30+AD31/(1+$L30)*$R30))</f>
        <v>2053.9005745505583</v>
      </c>
      <c r="AE30" s="152"/>
      <c r="AF30" s="164">
        <f>IF(AND($C29=12,$D29=Input!$C$6),0,IF($E30="","",IF($B30&gt;Input!$C$9,$AC30,0)+AF31/(1+$L30)*$R30))</f>
        <v>676.56307856708554</v>
      </c>
      <c r="AG30" s="164">
        <f>IF(AND($C29=12,$D29=Input!$C$6),0,IF($E30="","",(IF($B30&gt;Input!$C$9,$X30,0)+AG31)/(1+$L30)*$R30))</f>
        <v>322.93968852739391</v>
      </c>
      <c r="AH30" s="160">
        <f t="shared" si="5"/>
        <v>2.0950137211446997</v>
      </c>
      <c r="AI30" s="160">
        <f>IF($E30="","",MIN(Input!$C$61/AH30,1))</f>
        <v>0.64438718771845094</v>
      </c>
      <c r="AJ30" s="152"/>
      <c r="AK30" s="164">
        <f>IF(AND($C29=12,$D29=Input!$C$6),0,IF($E30="","",IF($B30&gt;Input!$C$9,$AC30*AI30,0)+AK31/(1+$L30)*$R30))</f>
        <v>435.96857951198189</v>
      </c>
      <c r="AL30" s="164">
        <f>IF(AND($C29=12,$D29=Input!$C$6),0,IF($E30="","",IF($B30&gt;Input!$C$9,0,$AC30)+AL31/(1+$L30)*$R30))</f>
        <v>1377.3374959834703</v>
      </c>
      <c r="AM30" s="160">
        <f t="shared" si="6"/>
        <v>1.1382936520186004</v>
      </c>
      <c r="AN30" s="164">
        <f>IF($E30="","",IF($B30&gt;Input!$C$9,$AI30*$AC30,$AM30*$AC30))</f>
        <v>0</v>
      </c>
      <c r="AO30" s="164">
        <f>IF(AND($C29=12,$D29=Input!$C$6),0,IF($E30="","",$AN30+AO31/(1+$L30)*$R30))</f>
        <v>2003.7831078771583</v>
      </c>
      <c r="AP30" s="152"/>
      <c r="AQ30" s="164">
        <f t="shared" si="7"/>
        <v>-17.160895906425822</v>
      </c>
      <c r="AR30" s="164">
        <f t="shared" si="16"/>
        <v>-36.860698689399499</v>
      </c>
      <c r="AS30" s="164">
        <f t="shared" si="17"/>
        <v>35.406698564593306</v>
      </c>
      <c r="AT30" s="164">
        <f t="shared" si="8"/>
        <v>35.406698564593306</v>
      </c>
      <c r="AU30" s="152"/>
      <c r="AV30" s="147">
        <f>'Deterministic Reserve'!BC30</f>
        <v>0.85435246125012587</v>
      </c>
      <c r="AW30" s="164">
        <f t="shared" si="9"/>
        <v>35.406698564593306</v>
      </c>
      <c r="AX30" s="164">
        <f t="shared" si="10"/>
        <v>30.24980006340159</v>
      </c>
      <c r="AY30" s="152"/>
    </row>
    <row r="31" spans="1:51" s="150" customFormat="1" x14ac:dyDescent="0.25">
      <c r="A31" s="150">
        <f t="shared" si="18"/>
        <v>27</v>
      </c>
      <c r="B31" s="150">
        <f t="shared" si="19"/>
        <v>3</v>
      </c>
      <c r="C31" s="150">
        <f t="shared" si="20"/>
        <v>3</v>
      </c>
      <c r="D31" s="150">
        <f>IF(E31="","",Input!$C$4+B31-1)</f>
        <v>47</v>
      </c>
      <c r="E31" s="150">
        <f>IF(OR(AND(C30=12,D30=Input!$C$6),E30=""),"",1)</f>
        <v>1</v>
      </c>
      <c r="F31" s="150">
        <f>IF(E31="","",Input!$C$8+B31-1)</f>
        <v>2020</v>
      </c>
      <c r="G31" s="151">
        <f>IF(E31="","",MAX(0,Input!$C$9-B31))</f>
        <v>17</v>
      </c>
      <c r="H31" s="152">
        <f>IF(E31="","",Input!$C$3)</f>
        <v>100000</v>
      </c>
      <c r="I31" s="153">
        <f>IF(E31="","",HLOOKUP($B31,Input!$C$13:$BT$14,2))</f>
        <v>2.2999999999999998</v>
      </c>
      <c r="J31" s="154"/>
      <c r="K31" s="155">
        <f>IF($E31="","",Input!$C$57)</f>
        <v>4.4999999999999998E-2</v>
      </c>
      <c r="L31" s="155">
        <f t="shared" si="11"/>
        <v>3.6748094004368514E-3</v>
      </c>
      <c r="M31" s="147">
        <f>IF($E31="","",VLOOKUP(IF($B31&lt;=Input!$C$7,$B31,26),'Mortality Tables'!$A$72:$CA$97,IF($B31&lt;=Input!$C$7+1,Input!$C$4-16,$D31-Input!$C$7-16),0)/1000)</f>
        <v>7.3999999999999999E-4</v>
      </c>
      <c r="N31" s="147">
        <f t="shared" si="0"/>
        <v>6.1687591838111011E-5</v>
      </c>
      <c r="O31" s="157">
        <f>IF($E31="","",IF($C31=12,IF($B31&lt;Input!$C$9,Input!$C$54,IF($B31=Input!$C$9,Input!$C$55,Input!$C$56)),0%))</f>
        <v>0</v>
      </c>
      <c r="P31" s="167">
        <f>IF($E31="","",IF($B31=1,Input!$C$59,IF($B31&lt;6,Input!$C$60,0%)))</f>
        <v>0.1</v>
      </c>
      <c r="Q31" s="162">
        <f>IF($E31="","",Input!$C$58)</f>
        <v>2.5</v>
      </c>
      <c r="R31" s="156">
        <f t="shared" si="12"/>
        <v>0.99993831240816189</v>
      </c>
      <c r="S31" s="154">
        <f t="shared" si="1"/>
        <v>0.88258834572603539</v>
      </c>
      <c r="T31" s="152"/>
      <c r="U31" s="150">
        <f t="shared" si="13"/>
        <v>0</v>
      </c>
      <c r="V31" s="150">
        <f t="shared" si="14"/>
        <v>0</v>
      </c>
      <c r="W31" s="168">
        <f t="shared" si="15"/>
        <v>0</v>
      </c>
      <c r="X31" s="163">
        <f t="shared" si="2"/>
        <v>6.1687591838111011</v>
      </c>
      <c r="Y31" s="152"/>
      <c r="Z31" s="164">
        <f>IF(AND($C30=12,$D30=Input!$C$6),0,IF($E31="","",V31+Z32/(1+L31)*R31))</f>
        <v>2496.6993910119595</v>
      </c>
      <c r="AA31" s="164">
        <f>IF(OR($M31=1,AND($C30=12,$D30=Input!$C$6)),0,IF($E31="","",W31+(X31+AA32*$R31)/(1+$L31)))</f>
        <v>1987.8765380830937</v>
      </c>
      <c r="AB31" s="160">
        <f t="shared" si="3"/>
        <v>0.825720328500681</v>
      </c>
      <c r="AC31" s="164">
        <f t="shared" si="4"/>
        <v>0</v>
      </c>
      <c r="AD31" s="164">
        <f>IF(AND($C30=12,$D30=Input!$C$6),0,IF($E31="","",$AC31+AD32/(1+$L31)*$R31))</f>
        <v>2061.5754413138466</v>
      </c>
      <c r="AE31" s="152"/>
      <c r="AF31" s="164">
        <f>IF(AND($C30=12,$D30=Input!$C$6),0,IF($E31="","",IF($B31&gt;Input!$C$9,$AC31,0)+AF32/(1+$L31)*$R31))</f>
        <v>679.09121042960214</v>
      </c>
      <c r="AG31" s="164">
        <f>IF(AND($C30=12,$D30=Input!$C$6),0,IF($E31="","",(IF($B31&gt;Input!$C$9,$X31,0)+AG32)/(1+$L31)*$R31))</f>
        <v>324.14642614300021</v>
      </c>
      <c r="AH31" s="160">
        <f t="shared" si="5"/>
        <v>2.0950137211446997</v>
      </c>
      <c r="AI31" s="160">
        <f>IF($E31="","",MIN(Input!$C$61/AH31,1))</f>
        <v>0.64438718771845094</v>
      </c>
      <c r="AJ31" s="152"/>
      <c r="AK31" s="164">
        <f>IF(AND($C30=12,$D30=Input!$C$6),0,IF($E31="","",IF($B31&gt;Input!$C$9,$AC31*AI31,0)+AK32/(1+$L31)*$R31))</f>
        <v>437.59767529305037</v>
      </c>
      <c r="AL31" s="164">
        <f>IF(AND($C30=12,$D30=Input!$C$6),0,IF($E31="","",IF($B31&gt;Input!$C$9,0,$AC31)+AL32/(1+$L31)*$R31))</f>
        <v>1382.4842308842419</v>
      </c>
      <c r="AM31" s="160">
        <f t="shared" si="6"/>
        <v>1.1382936520186004</v>
      </c>
      <c r="AN31" s="164">
        <f>IF($E31="","",IF($B31&gt;Input!$C$9,$AI31*$AC31,$AM31*$AC31))</f>
        <v>0</v>
      </c>
      <c r="AO31" s="164">
        <f>IF(AND($C30=12,$D30=Input!$C$6),0,IF($E31="","",$AN31+AO32/(1+$L31)*$R31))</f>
        <v>2011.2706993243976</v>
      </c>
      <c r="AP31" s="152"/>
      <c r="AQ31" s="164">
        <f t="shared" si="7"/>
        <v>-23.394161241303891</v>
      </c>
      <c r="AR31" s="164">
        <f t="shared" si="16"/>
        <v>-36.860698689399499</v>
      </c>
      <c r="AS31" s="164">
        <f t="shared" si="17"/>
        <v>35.406698564593306</v>
      </c>
      <c r="AT31" s="164">
        <f t="shared" si="8"/>
        <v>35.406698564593306</v>
      </c>
      <c r="AU31" s="152"/>
      <c r="AV31" s="147">
        <f>'Deterministic Reserve'!BC31</f>
        <v>0.85431692825073791</v>
      </c>
      <c r="AW31" s="164">
        <f t="shared" si="9"/>
        <v>35.406698564593306</v>
      </c>
      <c r="AX31" s="164">
        <f t="shared" si="10"/>
        <v>30.248541957203162</v>
      </c>
      <c r="AY31" s="152"/>
    </row>
    <row r="32" spans="1:51" s="150" customFormat="1" x14ac:dyDescent="0.25">
      <c r="A32" s="150">
        <f t="shared" si="18"/>
        <v>28</v>
      </c>
      <c r="B32" s="150">
        <f t="shared" si="19"/>
        <v>3</v>
      </c>
      <c r="C32" s="150">
        <f t="shared" si="20"/>
        <v>4</v>
      </c>
      <c r="D32" s="150">
        <f>IF(E32="","",Input!$C$4+B32-1)</f>
        <v>47</v>
      </c>
      <c r="E32" s="150">
        <f>IF(OR(AND(C31=12,D31=Input!$C$6),E31=""),"",1)</f>
        <v>1</v>
      </c>
      <c r="F32" s="150">
        <f>IF(E32="","",Input!$C$8+B32-1)</f>
        <v>2020</v>
      </c>
      <c r="G32" s="151">
        <f>IF(E32="","",MAX(0,Input!$C$9-B32))</f>
        <v>17</v>
      </c>
      <c r="H32" s="152">
        <f>IF(E32="","",Input!$C$3)</f>
        <v>100000</v>
      </c>
      <c r="I32" s="153">
        <f>IF(E32="","",HLOOKUP($B32,Input!$C$13:$BT$14,2))</f>
        <v>2.2999999999999998</v>
      </c>
      <c r="J32" s="154"/>
      <c r="K32" s="155">
        <f>IF($E32="","",Input!$C$57)</f>
        <v>4.4999999999999998E-2</v>
      </c>
      <c r="L32" s="155">
        <f t="shared" si="11"/>
        <v>3.6748094004368514E-3</v>
      </c>
      <c r="M32" s="147">
        <f>IF($E32="","",VLOOKUP(IF($B32&lt;=Input!$C$7,$B32,26),'Mortality Tables'!$A$72:$CA$97,IF($B32&lt;=Input!$C$7+1,Input!$C$4-16,$D32-Input!$C$7-16),0)/1000)</f>
        <v>7.3999999999999999E-4</v>
      </c>
      <c r="N32" s="147">
        <f t="shared" si="0"/>
        <v>6.1687591838111011E-5</v>
      </c>
      <c r="O32" s="157">
        <f>IF($E32="","",IF($C32=12,IF($B32&lt;Input!$C$9,Input!$C$54,IF($B32=Input!$C$9,Input!$C$55,Input!$C$56)),0%))</f>
        <v>0</v>
      </c>
      <c r="P32" s="167">
        <f>IF($E32="","",IF($B32=1,Input!$C$59,IF($B32&lt;6,Input!$C$60,0%)))</f>
        <v>0.1</v>
      </c>
      <c r="Q32" s="162">
        <f>IF($E32="","",Input!$C$58)</f>
        <v>2.5</v>
      </c>
      <c r="R32" s="156">
        <f t="shared" si="12"/>
        <v>0.99993831240816189</v>
      </c>
      <c r="S32" s="154">
        <f t="shared" si="1"/>
        <v>0.88253390097640316</v>
      </c>
      <c r="T32" s="152"/>
      <c r="U32" s="150">
        <f t="shared" si="13"/>
        <v>0</v>
      </c>
      <c r="V32" s="150">
        <f t="shared" si="14"/>
        <v>0</v>
      </c>
      <c r="W32" s="168">
        <f t="shared" si="15"/>
        <v>0</v>
      </c>
      <c r="X32" s="163">
        <f t="shared" si="2"/>
        <v>6.1687591838111011</v>
      </c>
      <c r="Y32" s="152"/>
      <c r="Z32" s="164">
        <f>IF(AND($C31=12,$D31=Input!$C$6),0,IF($E32="","",V32+Z33/(1+L32)*R32))</f>
        <v>2506.0288762905702</v>
      </c>
      <c r="AA32" s="164">
        <f>IF(OR($M32=1,AND($C31=12,$D31=Input!$C$6)),0,IF($E32="","",W32+(X32+AA33*$R32)/(1+$L32)))</f>
        <v>1989.1355512703358</v>
      </c>
      <c r="AB32" s="160">
        <f t="shared" si="3"/>
        <v>0.825720328500681</v>
      </c>
      <c r="AC32" s="164">
        <f t="shared" si="4"/>
        <v>0</v>
      </c>
      <c r="AD32" s="164">
        <f>IF(AND($C31=12,$D31=Input!$C$6),0,IF($E32="","",$AC32+AD33/(1+$L32)*$R32))</f>
        <v>2069.2789869628432</v>
      </c>
      <c r="AE32" s="152"/>
      <c r="AF32" s="164">
        <f>IF(AND($C31=12,$D31=Input!$C$6),0,IF($E32="","",IF($B32&gt;Input!$C$9,$AC32,0)+AF33/(1+$L32)*$R32))</f>
        <v>681.62878923197809</v>
      </c>
      <c r="AG32" s="164">
        <f>IF(AND($C31=12,$D31=Input!$C$6),0,IF($E32="","",(IF($B32&gt;Input!$C$9,$X32,0)+AG33)/(1+$L32)*$R32))</f>
        <v>325.35767300824244</v>
      </c>
      <c r="AH32" s="160">
        <f t="shared" si="5"/>
        <v>2.0950137211446997</v>
      </c>
      <c r="AI32" s="160">
        <f>IF($E32="","",MIN(Input!$C$61/AH32,1))</f>
        <v>0.64438718771845094</v>
      </c>
      <c r="AJ32" s="152"/>
      <c r="AK32" s="164">
        <f>IF(AND($C31=12,$D31=Input!$C$6),0,IF($E32="","",IF($B32&gt;Input!$C$9,$AC32*AI32,0)+AK33/(1+$L32)*$R32))</f>
        <v>439.23285856112739</v>
      </c>
      <c r="AL32" s="164">
        <f>IF(AND($C31=12,$D31=Input!$C$6),0,IF($E32="","",IF($B32&gt;Input!$C$9,0,$AC32)+AL33/(1+$L32)*$R32))</f>
        <v>1387.6501977308626</v>
      </c>
      <c r="AM32" s="160">
        <f t="shared" si="6"/>
        <v>1.1382936520186004</v>
      </c>
      <c r="AN32" s="164">
        <f>IF($E32="","",IF($B32&gt;Input!$C$9,$AI32*$AC32,$AM32*$AC32))</f>
        <v>0</v>
      </c>
      <c r="AO32" s="164">
        <f>IF(AND($C31=12,$D31=Input!$C$6),0,IF($E32="","",$AN32+AO33/(1+$L32)*$R32))</f>
        <v>2018.7862698605218</v>
      </c>
      <c r="AP32" s="152"/>
      <c r="AQ32" s="164">
        <f t="shared" si="7"/>
        <v>-29.650718590185988</v>
      </c>
      <c r="AR32" s="164">
        <f t="shared" si="16"/>
        <v>-36.860698689399499</v>
      </c>
      <c r="AS32" s="164">
        <f t="shared" si="17"/>
        <v>35.406698564593306</v>
      </c>
      <c r="AT32" s="164">
        <f t="shared" si="8"/>
        <v>35.406698564593306</v>
      </c>
      <c r="AU32" s="152"/>
      <c r="AV32" s="147">
        <f>'Deterministic Reserve'!BC32</f>
        <v>0.85428139672918735</v>
      </c>
      <c r="AW32" s="164">
        <f t="shared" si="9"/>
        <v>35.406698564593306</v>
      </c>
      <c r="AX32" s="164">
        <f t="shared" si="10"/>
        <v>30.247283903330082</v>
      </c>
      <c r="AY32" s="152"/>
    </row>
    <row r="33" spans="1:51" s="150" customFormat="1" x14ac:dyDescent="0.25">
      <c r="A33" s="150">
        <f t="shared" si="18"/>
        <v>29</v>
      </c>
      <c r="B33" s="150">
        <f t="shared" si="19"/>
        <v>3</v>
      </c>
      <c r="C33" s="150">
        <f t="shared" si="20"/>
        <v>5</v>
      </c>
      <c r="D33" s="150">
        <f>IF(E33="","",Input!$C$4+B33-1)</f>
        <v>47</v>
      </c>
      <c r="E33" s="150">
        <f>IF(OR(AND(C32=12,D32=Input!$C$6),E32=""),"",1)</f>
        <v>1</v>
      </c>
      <c r="F33" s="150">
        <f>IF(E33="","",Input!$C$8+B33-1)</f>
        <v>2020</v>
      </c>
      <c r="G33" s="151">
        <f>IF(E33="","",MAX(0,Input!$C$9-B33))</f>
        <v>17</v>
      </c>
      <c r="H33" s="152">
        <f>IF(E33="","",Input!$C$3)</f>
        <v>100000</v>
      </c>
      <c r="I33" s="153">
        <f>IF(E33="","",HLOOKUP($B33,Input!$C$13:$BT$14,2))</f>
        <v>2.2999999999999998</v>
      </c>
      <c r="J33" s="154"/>
      <c r="K33" s="155">
        <f>IF($E33="","",Input!$C$57)</f>
        <v>4.4999999999999998E-2</v>
      </c>
      <c r="L33" s="155">
        <f t="shared" si="11"/>
        <v>3.6748094004368514E-3</v>
      </c>
      <c r="M33" s="147">
        <f>IF($E33="","",VLOOKUP(IF($B33&lt;=Input!$C$7,$B33,26),'Mortality Tables'!$A$72:$CA$97,IF($B33&lt;=Input!$C$7+1,Input!$C$4-16,$D33-Input!$C$7-16),0)/1000)</f>
        <v>7.3999999999999999E-4</v>
      </c>
      <c r="N33" s="147">
        <f t="shared" si="0"/>
        <v>6.1687591838111011E-5</v>
      </c>
      <c r="O33" s="157">
        <f>IF($E33="","",IF($C33=12,IF($B33&lt;Input!$C$9,Input!$C$54,IF($B33=Input!$C$9,Input!$C$55,Input!$C$56)),0%))</f>
        <v>0</v>
      </c>
      <c r="P33" s="167">
        <f>IF($E33="","",IF($B33=1,Input!$C$59,IF($B33&lt;6,Input!$C$60,0%)))</f>
        <v>0.1</v>
      </c>
      <c r="Q33" s="162">
        <f>IF($E33="","",Input!$C$58)</f>
        <v>2.5</v>
      </c>
      <c r="R33" s="156">
        <f t="shared" si="12"/>
        <v>0.99993831240816189</v>
      </c>
      <c r="S33" s="154">
        <f t="shared" si="1"/>
        <v>0.88247945958533647</v>
      </c>
      <c r="T33" s="152"/>
      <c r="U33" s="150">
        <f t="shared" si="13"/>
        <v>0</v>
      </c>
      <c r="V33" s="150">
        <f t="shared" si="14"/>
        <v>0</v>
      </c>
      <c r="W33" s="168">
        <f t="shared" si="15"/>
        <v>0</v>
      </c>
      <c r="X33" s="163">
        <f t="shared" si="2"/>
        <v>6.1687591838111011</v>
      </c>
      <c r="Y33" s="152"/>
      <c r="Z33" s="164">
        <f>IF(AND($C32=12,$D32=Input!$C$6),0,IF($E33="","",V33+Z34/(1+L33)*R33))</f>
        <v>2515.393223313401</v>
      </c>
      <c r="AA33" s="164">
        <f>IF(OR($M33=1,AND($C32=12,$D32=Input!$C$6)),0,IF($E33="","",W33+(X33+AA34*$R33)/(1+$L33)))</f>
        <v>1990.3992690467799</v>
      </c>
      <c r="AB33" s="160">
        <f t="shared" si="3"/>
        <v>0.825720328500681</v>
      </c>
      <c r="AC33" s="164">
        <f t="shared" si="4"/>
        <v>0</v>
      </c>
      <c r="AD33" s="164">
        <f>IF(AND($C32=12,$D32=Input!$C$6),0,IF($E33="","",$AC33+AD34/(1+$L33)*$R33))</f>
        <v>2077.0113186627295</v>
      </c>
      <c r="AE33" s="152"/>
      <c r="AF33" s="164">
        <f>IF(AND($C32=12,$D32=Input!$C$6),0,IF($E33="","",IF($B33&gt;Input!$C$9,$AC33,0)+AF34/(1+$L33)*$R33))</f>
        <v>684.17585027485347</v>
      </c>
      <c r="AG33" s="164">
        <f>IF(AND($C32=12,$D32=Input!$C$6),0,IF($E33="","",(IF($B33&gt;Input!$C$9,$X33,0)+AG34)/(1+$L33)*$R33))</f>
        <v>326.5734459729577</v>
      </c>
      <c r="AH33" s="160">
        <f t="shared" si="5"/>
        <v>2.0950137211446997</v>
      </c>
      <c r="AI33" s="160">
        <f>IF($E33="","",MIN(Input!$C$61/AH33,1))</f>
        <v>0.64438718771845094</v>
      </c>
      <c r="AJ33" s="152"/>
      <c r="AK33" s="164">
        <f>IF(AND($C32=12,$D32=Input!$C$6),0,IF($E33="","",IF($B33&gt;Input!$C$9,$AC33*AI33,0)+AK34/(1+$L33)*$R33))</f>
        <v>440.874152063493</v>
      </c>
      <c r="AL33" s="164">
        <f>IF(AND($C32=12,$D32=Input!$C$6),0,IF($E33="","",IF($B33&gt;Input!$C$9,0,$AC33)+AL34/(1+$L33)*$R33))</f>
        <v>1392.8354683878736</v>
      </c>
      <c r="AM33" s="160">
        <f t="shared" si="6"/>
        <v>1.1382936520186004</v>
      </c>
      <c r="AN33" s="164">
        <f>IF($E33="","",IF($B33&gt;Input!$C$9,$AI33*$AC33,$AM33*$AC33))</f>
        <v>0</v>
      </c>
      <c r="AO33" s="164">
        <f>IF(AND($C32=12,$D32=Input!$C$6),0,IF($E33="","",$AN33+AO34/(1+$L33)*$R33))</f>
        <v>2026.3299240357612</v>
      </c>
      <c r="AP33" s="152"/>
      <c r="AQ33" s="164">
        <f t="shared" si="7"/>
        <v>-35.93065498898136</v>
      </c>
      <c r="AR33" s="164">
        <f t="shared" si="16"/>
        <v>-36.860698689399499</v>
      </c>
      <c r="AS33" s="164">
        <f t="shared" si="17"/>
        <v>35.406698564593306</v>
      </c>
      <c r="AT33" s="164">
        <f t="shared" si="8"/>
        <v>35.406698564593306</v>
      </c>
      <c r="AU33" s="152"/>
      <c r="AV33" s="147">
        <f>'Deterministic Reserve'!BC33</f>
        <v>0.8542458666854128</v>
      </c>
      <c r="AW33" s="164">
        <f t="shared" si="9"/>
        <v>35.406698564593306</v>
      </c>
      <c r="AX33" s="164">
        <f t="shared" si="10"/>
        <v>30.246025901780168</v>
      </c>
      <c r="AY33" s="152"/>
    </row>
    <row r="34" spans="1:51" s="150" customFormat="1" x14ac:dyDescent="0.25">
      <c r="A34" s="150">
        <f t="shared" si="18"/>
        <v>30</v>
      </c>
      <c r="B34" s="150">
        <f t="shared" si="19"/>
        <v>3</v>
      </c>
      <c r="C34" s="150">
        <f t="shared" si="20"/>
        <v>6</v>
      </c>
      <c r="D34" s="150">
        <f>IF(E34="","",Input!$C$4+B34-1)</f>
        <v>47</v>
      </c>
      <c r="E34" s="150">
        <f>IF(OR(AND(C33=12,D33=Input!$C$6),E33=""),"",1)</f>
        <v>1</v>
      </c>
      <c r="F34" s="150">
        <f>IF(E34="","",Input!$C$8+B34-1)</f>
        <v>2020</v>
      </c>
      <c r="G34" s="151">
        <f>IF(E34="","",MAX(0,Input!$C$9-B34))</f>
        <v>17</v>
      </c>
      <c r="H34" s="152">
        <f>IF(E34="","",Input!$C$3)</f>
        <v>100000</v>
      </c>
      <c r="I34" s="153">
        <f>IF(E34="","",HLOOKUP($B34,Input!$C$13:$BT$14,2))</f>
        <v>2.2999999999999998</v>
      </c>
      <c r="J34" s="154"/>
      <c r="K34" s="155">
        <f>IF($E34="","",Input!$C$57)</f>
        <v>4.4999999999999998E-2</v>
      </c>
      <c r="L34" s="155">
        <f t="shared" si="11"/>
        <v>3.6748094004368514E-3</v>
      </c>
      <c r="M34" s="147">
        <f>IF($E34="","",VLOOKUP(IF($B34&lt;=Input!$C$7,$B34,26),'Mortality Tables'!$A$72:$CA$97,IF($B34&lt;=Input!$C$7+1,Input!$C$4-16,$D34-Input!$C$7-16),0)/1000)</f>
        <v>7.3999999999999999E-4</v>
      </c>
      <c r="N34" s="147">
        <f t="shared" si="0"/>
        <v>6.1687591838111011E-5</v>
      </c>
      <c r="O34" s="157">
        <f>IF($E34="","",IF($C34=12,IF($B34&lt;Input!$C$9,Input!$C$54,IF($B34=Input!$C$9,Input!$C$55,Input!$C$56)),0%))</f>
        <v>0</v>
      </c>
      <c r="P34" s="167">
        <f>IF($E34="","",IF($B34=1,Input!$C$59,IF($B34&lt;6,Input!$C$60,0%)))</f>
        <v>0.1</v>
      </c>
      <c r="Q34" s="162">
        <f>IF($E34="","",Input!$C$58)</f>
        <v>2.5</v>
      </c>
      <c r="R34" s="156">
        <f t="shared" si="12"/>
        <v>0.99993831240816189</v>
      </c>
      <c r="S34" s="154">
        <f t="shared" si="1"/>
        <v>0.88242502155262803</v>
      </c>
      <c r="T34" s="152"/>
      <c r="U34" s="150">
        <f t="shared" si="13"/>
        <v>0</v>
      </c>
      <c r="V34" s="150">
        <f t="shared" si="14"/>
        <v>0</v>
      </c>
      <c r="W34" s="168">
        <f t="shared" si="15"/>
        <v>0</v>
      </c>
      <c r="X34" s="163">
        <f t="shared" si="2"/>
        <v>6.1687591838111011</v>
      </c>
      <c r="Y34" s="152"/>
      <c r="Z34" s="164">
        <f>IF(AND($C33=12,$D33=Input!$C$6),0,IF($E34="","",V34+Z35/(1+L34)*R34))</f>
        <v>2524.7925623492902</v>
      </c>
      <c r="AA34" s="164">
        <f>IF(OR($M34=1,AND($C33=12,$D33=Input!$C$6)),0,IF($E34="","",W34+(X34+AA35*$R34)/(1+$L34)))</f>
        <v>1991.6677089921941</v>
      </c>
      <c r="AB34" s="160">
        <f t="shared" si="3"/>
        <v>0.825720328500681</v>
      </c>
      <c r="AC34" s="164">
        <f t="shared" si="4"/>
        <v>0</v>
      </c>
      <c r="AD34" s="164">
        <f>IF(AND($C33=12,$D33=Input!$C$6),0,IF($E34="","",$AC34+AD35/(1+$L34)*$R34))</f>
        <v>2084.7725439791334</v>
      </c>
      <c r="AE34" s="152"/>
      <c r="AF34" s="164">
        <f>IF(AND($C33=12,$D33=Input!$C$6),0,IF($E34="","",IF($B34&gt;Input!$C$9,$AC34,0)+AF35/(1+$L34)*$R34))</f>
        <v>686.73242899077695</v>
      </c>
      <c r="AG34" s="164">
        <f>IF(AND($C33=12,$D33=Input!$C$6),0,IF($E34="","",(IF($B34&gt;Input!$C$9,$X34,0)+AG35)/(1+$L34)*$R34))</f>
        <v>327.79376194994643</v>
      </c>
      <c r="AH34" s="160">
        <f t="shared" si="5"/>
        <v>2.0950137211446997</v>
      </c>
      <c r="AI34" s="160">
        <f>IF($E34="","",MIN(Input!$C$61/AH34,1))</f>
        <v>0.64438718771845094</v>
      </c>
      <c r="AJ34" s="152"/>
      <c r="AK34" s="164">
        <f>IF(AND($C33=12,$D33=Input!$C$6),0,IF($E34="","",IF($B34&gt;Input!$C$9,$AC34*AI34,0)+AK35/(1+$L34)*$R34))</f>
        <v>442.52157863242775</v>
      </c>
      <c r="AL34" s="164">
        <f>IF(AND($C33=12,$D33=Input!$C$6),0,IF($E34="","",IF($B34&gt;Input!$C$9,0,$AC34)+AL35/(1+$L34)*$R34))</f>
        <v>1398.0401149883539</v>
      </c>
      <c r="AM34" s="160">
        <f t="shared" si="6"/>
        <v>1.1382936520186004</v>
      </c>
      <c r="AN34" s="164">
        <f>IF($E34="","",IF($B34&gt;Input!$C$9,$AI34*$AC34,$AM34*$AC34))</f>
        <v>0</v>
      </c>
      <c r="AO34" s="164">
        <f>IF(AND($C33=12,$D33=Input!$C$6),0,IF($E34="","",$AN34+AO35/(1+$L34)*$R34))</f>
        <v>2033.901766791023</v>
      </c>
      <c r="AP34" s="152"/>
      <c r="AQ34" s="164">
        <f t="shared" si="7"/>
        <v>-42.234057798828871</v>
      </c>
      <c r="AR34" s="164">
        <f t="shared" si="16"/>
        <v>-36.860698689399499</v>
      </c>
      <c r="AS34" s="164">
        <f t="shared" si="17"/>
        <v>35.406698564593306</v>
      </c>
      <c r="AT34" s="164">
        <f t="shared" si="8"/>
        <v>35.406698564593306</v>
      </c>
      <c r="AU34" s="152"/>
      <c r="AV34" s="147">
        <f>'Deterministic Reserve'!BC34</f>
        <v>0.85421033811935276</v>
      </c>
      <c r="AW34" s="164">
        <f t="shared" si="9"/>
        <v>35.406698564593306</v>
      </c>
      <c r="AX34" s="164">
        <f t="shared" si="10"/>
        <v>30.24476795255125</v>
      </c>
      <c r="AY34" s="152"/>
    </row>
    <row r="35" spans="1:51" s="150" customFormat="1" x14ac:dyDescent="0.25">
      <c r="A35" s="150">
        <f t="shared" si="18"/>
        <v>31</v>
      </c>
      <c r="B35" s="150">
        <f t="shared" si="19"/>
        <v>3</v>
      </c>
      <c r="C35" s="150">
        <f t="shared" si="20"/>
        <v>7</v>
      </c>
      <c r="D35" s="150">
        <f>IF(E35="","",Input!$C$4+B35-1)</f>
        <v>47</v>
      </c>
      <c r="E35" s="150">
        <f>IF(OR(AND(C34=12,D34=Input!$C$6),E34=""),"",1)</f>
        <v>1</v>
      </c>
      <c r="F35" s="150">
        <f>IF(E35="","",Input!$C$8+B35-1)</f>
        <v>2020</v>
      </c>
      <c r="G35" s="151">
        <f>IF(E35="","",MAX(0,Input!$C$9-B35))</f>
        <v>17</v>
      </c>
      <c r="H35" s="152">
        <f>IF(E35="","",Input!$C$3)</f>
        <v>100000</v>
      </c>
      <c r="I35" s="153">
        <f>IF(E35="","",HLOOKUP($B35,Input!$C$13:$BT$14,2))</f>
        <v>2.2999999999999998</v>
      </c>
      <c r="J35" s="154"/>
      <c r="K35" s="155">
        <f>IF($E35="","",Input!$C$57)</f>
        <v>4.4999999999999998E-2</v>
      </c>
      <c r="L35" s="155">
        <f t="shared" si="11"/>
        <v>3.6748094004368514E-3</v>
      </c>
      <c r="M35" s="147">
        <f>IF($E35="","",VLOOKUP(IF($B35&lt;=Input!$C$7,$B35,26),'Mortality Tables'!$A$72:$CA$97,IF($B35&lt;=Input!$C$7+1,Input!$C$4-16,$D35-Input!$C$7-16),0)/1000)</f>
        <v>7.3999999999999999E-4</v>
      </c>
      <c r="N35" s="147">
        <f t="shared" si="0"/>
        <v>6.1687591838111011E-5</v>
      </c>
      <c r="O35" s="157">
        <f>IF($E35="","",IF($C35=12,IF($B35&lt;Input!$C$9,Input!$C$54,IF($B35=Input!$C$9,Input!$C$55,Input!$C$56)),0%))</f>
        <v>0</v>
      </c>
      <c r="P35" s="167">
        <f>IF($E35="","",IF($B35=1,Input!$C$59,IF($B35&lt;6,Input!$C$60,0%)))</f>
        <v>0.1</v>
      </c>
      <c r="Q35" s="162">
        <f>IF($E35="","",Input!$C$58)</f>
        <v>2.5</v>
      </c>
      <c r="R35" s="156">
        <f t="shared" si="12"/>
        <v>0.99993831240816189</v>
      </c>
      <c r="S35" s="154">
        <f t="shared" si="1"/>
        <v>0.8823705868780708</v>
      </c>
      <c r="T35" s="152"/>
      <c r="U35" s="150">
        <f t="shared" si="13"/>
        <v>0</v>
      </c>
      <c r="V35" s="150">
        <f t="shared" si="14"/>
        <v>0</v>
      </c>
      <c r="W35" s="168">
        <f t="shared" si="15"/>
        <v>0</v>
      </c>
      <c r="X35" s="163">
        <f t="shared" si="2"/>
        <v>6.1687591838111011</v>
      </c>
      <c r="Y35" s="152"/>
      <c r="Z35" s="164">
        <f>IF(AND($C34=12,$D34=Input!$C$6),0,IF($E35="","",V35+Z36/(1+L35)*R35))</f>
        <v>2534.2270241538558</v>
      </c>
      <c r="AA35" s="164">
        <f>IF(OR($M35=1,AND($C34=12,$D34=Input!$C$6)),0,IF($E35="","",W35+(X35+AA36*$R35)/(1+$L35)))</f>
        <v>1992.9408887520367</v>
      </c>
      <c r="AB35" s="160">
        <f t="shared" si="3"/>
        <v>0.825720328500681</v>
      </c>
      <c r="AC35" s="164">
        <f t="shared" si="4"/>
        <v>0</v>
      </c>
      <c r="AD35" s="164">
        <f>IF(AND($C34=12,$D34=Input!$C$6),0,IF($E35="","",$AC35+AD36/(1+$L35)*$R35))</f>
        <v>2092.562770879626</v>
      </c>
      <c r="AE35" s="152"/>
      <c r="AF35" s="164">
        <f>IF(AND($C34=12,$D34=Input!$C$6),0,IF($E35="","",IF($B35&gt;Input!$C$9,$AC35,0)+AF36/(1+$L35)*$R35))</f>
        <v>689.29856094469926</v>
      </c>
      <c r="AG35" s="164">
        <f>IF(AND($C34=12,$D34=Input!$C$6),0,IF($E35="","",(IF($B35&gt;Input!$C$9,$X35,0)+AG36)/(1+$L35)*$R35))</f>
        <v>329.01863791520748</v>
      </c>
      <c r="AH35" s="160">
        <f t="shared" si="5"/>
        <v>2.0950137211446997</v>
      </c>
      <c r="AI35" s="160">
        <f>IF($E35="","",MIN(Input!$C$61/AH35,1))</f>
        <v>0.64438718771845094</v>
      </c>
      <c r="AJ35" s="152"/>
      <c r="AK35" s="164">
        <f>IF(AND($C34=12,$D34=Input!$C$6),0,IF($E35="","",IF($B35&gt;Input!$C$9,$AC35*AI35,0)+AK36/(1+$L35)*$R35))</f>
        <v>444.17516118553021</v>
      </c>
      <c r="AL35" s="164">
        <f>IF(AND($C34=12,$D34=Input!$C$6),0,IF($E35="","",IF($B35&gt;Input!$C$9,0,$AC35)+AL36/(1+$L35)*$R35))</f>
        <v>1403.2642099349243</v>
      </c>
      <c r="AM35" s="160">
        <f t="shared" si="6"/>
        <v>1.1382936520186004</v>
      </c>
      <c r="AN35" s="164">
        <f>IF($E35="","",IF($B35&gt;Input!$C$9,$AI35*$AC35,$AM35*$AC35))</f>
        <v>0</v>
      </c>
      <c r="AO35" s="164">
        <f>IF(AND($C34=12,$D34=Input!$C$6),0,IF($E35="","",$AN35+AO36/(1+$L35)*$R35))</f>
        <v>2041.501903459349</v>
      </c>
      <c r="AP35" s="152"/>
      <c r="AQ35" s="164">
        <f t="shared" si="7"/>
        <v>-48.561014707312324</v>
      </c>
      <c r="AR35" s="164">
        <f t="shared" si="16"/>
        <v>-36.860698689399499</v>
      </c>
      <c r="AS35" s="164">
        <f t="shared" si="17"/>
        <v>35.406698564593306</v>
      </c>
      <c r="AT35" s="164">
        <f t="shared" si="8"/>
        <v>35.406698564593306</v>
      </c>
      <c r="AU35" s="152"/>
      <c r="AV35" s="147">
        <f>'Deterministic Reserve'!BC35</f>
        <v>0.85417481103094572</v>
      </c>
      <c r="AW35" s="164">
        <f t="shared" si="9"/>
        <v>35.406698564593306</v>
      </c>
      <c r="AX35" s="164">
        <f t="shared" si="10"/>
        <v>30.243510055641146</v>
      </c>
      <c r="AY35" s="152"/>
    </row>
    <row r="36" spans="1:51" s="150" customFormat="1" x14ac:dyDescent="0.25">
      <c r="A36" s="150">
        <f t="shared" si="18"/>
        <v>32</v>
      </c>
      <c r="B36" s="150">
        <f t="shared" si="19"/>
        <v>3</v>
      </c>
      <c r="C36" s="150">
        <f t="shared" si="20"/>
        <v>8</v>
      </c>
      <c r="D36" s="150">
        <f>IF(E36="","",Input!$C$4+B36-1)</f>
        <v>47</v>
      </c>
      <c r="E36" s="150">
        <f>IF(OR(AND(C35=12,D35=Input!$C$6),E35=""),"",1)</f>
        <v>1</v>
      </c>
      <c r="F36" s="150">
        <f>IF(E36="","",Input!$C$8+B36-1)</f>
        <v>2020</v>
      </c>
      <c r="G36" s="151">
        <f>IF(E36="","",MAX(0,Input!$C$9-B36))</f>
        <v>17</v>
      </c>
      <c r="H36" s="152">
        <f>IF(E36="","",Input!$C$3)</f>
        <v>100000</v>
      </c>
      <c r="I36" s="153">
        <f>IF(E36="","",HLOOKUP($B36,Input!$C$13:$BT$14,2))</f>
        <v>2.2999999999999998</v>
      </c>
      <c r="J36" s="154"/>
      <c r="K36" s="155">
        <f>IF($E36="","",Input!$C$57)</f>
        <v>4.4999999999999998E-2</v>
      </c>
      <c r="L36" s="155">
        <f t="shared" si="11"/>
        <v>3.6748094004368514E-3</v>
      </c>
      <c r="M36" s="147">
        <f>IF($E36="","",VLOOKUP(IF($B36&lt;=Input!$C$7,$B36,26),'Mortality Tables'!$A$72:$CA$97,IF($B36&lt;=Input!$C$7+1,Input!$C$4-16,$D36-Input!$C$7-16),0)/1000)</f>
        <v>7.3999999999999999E-4</v>
      </c>
      <c r="N36" s="147">
        <f t="shared" si="0"/>
        <v>6.1687591838111011E-5</v>
      </c>
      <c r="O36" s="157">
        <f>IF($E36="","",IF($C36=12,IF($B36&lt;Input!$C$9,Input!$C$54,IF($B36=Input!$C$9,Input!$C$55,Input!$C$56)),0%))</f>
        <v>0</v>
      </c>
      <c r="P36" s="167">
        <f>IF($E36="","",IF($B36=1,Input!$C$59,IF($B36&lt;6,Input!$C$60,0%)))</f>
        <v>0.1</v>
      </c>
      <c r="Q36" s="162">
        <f>IF($E36="","",Input!$C$58)</f>
        <v>2.5</v>
      </c>
      <c r="R36" s="156">
        <f t="shared" si="12"/>
        <v>0.99993831240816189</v>
      </c>
      <c r="S36" s="154">
        <f t="shared" si="1"/>
        <v>0.88231615556145748</v>
      </c>
      <c r="T36" s="152"/>
      <c r="U36" s="150">
        <f t="shared" si="13"/>
        <v>0</v>
      </c>
      <c r="V36" s="150">
        <f t="shared" si="14"/>
        <v>0</v>
      </c>
      <c r="W36" s="168">
        <f t="shared" si="15"/>
        <v>0</v>
      </c>
      <c r="X36" s="163">
        <f t="shared" si="2"/>
        <v>6.1687591838111011</v>
      </c>
      <c r="Y36" s="152"/>
      <c r="Z36" s="164">
        <f>IF(AND($C35=12,$D35=Input!$C$6),0,IF($E36="","",V36+Z37/(1+L36)*R36))</f>
        <v>2543.696739971313</v>
      </c>
      <c r="AA36" s="164">
        <f>IF(OR($M36=1,AND($C35=12,$D35=Input!$C$6)),0,IF($E36="","",W36+(X36+AA37*$R36)/(1+$L36)))</f>
        <v>1994.2188260377031</v>
      </c>
      <c r="AB36" s="160">
        <f t="shared" si="3"/>
        <v>0.825720328500681</v>
      </c>
      <c r="AC36" s="164">
        <f t="shared" si="4"/>
        <v>0</v>
      </c>
      <c r="AD36" s="164">
        <f>IF(AND($C35=12,$D35=Input!$C$6),0,IF($E36="","",$AC36+AD37/(1+$L36)*$R36))</f>
        <v>2100.3821077352245</v>
      </c>
      <c r="AE36" s="152"/>
      <c r="AF36" s="164">
        <f>IF(AND($C35=12,$D35=Input!$C$6),0,IF($E36="","",IF($B36&gt;Input!$C$9,$AC36,0)+AF37/(1+$L36)*$R36))</f>
        <v>691.87428183446752</v>
      </c>
      <c r="AG36" s="164">
        <f>IF(AND($C35=12,$D35=Input!$C$6),0,IF($E36="","",(IF($B36&gt;Input!$C$9,$X36,0)+AG37)/(1+$L36)*$R36))</f>
        <v>330.2480909081745</v>
      </c>
      <c r="AH36" s="160">
        <f t="shared" si="5"/>
        <v>2.0950137211446997</v>
      </c>
      <c r="AI36" s="160">
        <f>IF($E36="","",MIN(Input!$C$61/AH36,1))</f>
        <v>0.64438718771845094</v>
      </c>
      <c r="AJ36" s="152"/>
      <c r="AK36" s="164">
        <f>IF(AND($C35=12,$D35=Input!$C$6),0,IF($E36="","",IF($B36&gt;Input!$C$9,$AC36*AI36,0)+AK37/(1+$L36)*$R36))</f>
        <v>445.83492272603564</v>
      </c>
      <c r="AL36" s="164">
        <f>IF(AND($C35=12,$D35=Input!$C$6),0,IF($E36="","",IF($B36&gt;Input!$C$9,0,$AC36)+AL37/(1+$L36)*$R36))</f>
        <v>1408.5078259007548</v>
      </c>
      <c r="AM36" s="160">
        <f t="shared" si="6"/>
        <v>1.1382936520186004</v>
      </c>
      <c r="AN36" s="164">
        <f>IF($E36="","",IF($B36&gt;Input!$C$9,$AI36*$AC36,$AM36*$AC36))</f>
        <v>0</v>
      </c>
      <c r="AO36" s="164">
        <f>IF(AND($C35=12,$D35=Input!$C$6),0,IF($E36="","",$AN36+AO37/(1+$L36)*$R36))</f>
        <v>2049.1304397673825</v>
      </c>
      <c r="AP36" s="152"/>
      <c r="AQ36" s="164">
        <f t="shared" si="7"/>
        <v>-54.911613729679402</v>
      </c>
      <c r="AR36" s="164">
        <f t="shared" si="16"/>
        <v>-36.860698689399499</v>
      </c>
      <c r="AS36" s="164">
        <f t="shared" si="17"/>
        <v>35.406698564593306</v>
      </c>
      <c r="AT36" s="164">
        <f t="shared" si="8"/>
        <v>35.406698564593306</v>
      </c>
      <c r="AU36" s="152"/>
      <c r="AV36" s="147">
        <f>'Deterministic Reserve'!BC36</f>
        <v>0.85413928542013029</v>
      </c>
      <c r="AW36" s="164">
        <f t="shared" si="9"/>
        <v>35.406698564593306</v>
      </c>
      <c r="AX36" s="164">
        <f t="shared" si="10"/>
        <v>30.242252211047678</v>
      </c>
      <c r="AY36" s="152"/>
    </row>
    <row r="37" spans="1:51" s="150" customFormat="1" x14ac:dyDescent="0.25">
      <c r="A37" s="150">
        <f t="shared" si="18"/>
        <v>33</v>
      </c>
      <c r="B37" s="150">
        <f t="shared" si="19"/>
        <v>3</v>
      </c>
      <c r="C37" s="150">
        <f t="shared" si="20"/>
        <v>9</v>
      </c>
      <c r="D37" s="150">
        <f>IF(E37="","",Input!$C$4+B37-1)</f>
        <v>47</v>
      </c>
      <c r="E37" s="150">
        <f>IF(OR(AND(C36=12,D36=Input!$C$6),E36=""),"",1)</f>
        <v>1</v>
      </c>
      <c r="F37" s="150">
        <f>IF(E37="","",Input!$C$8+B37-1)</f>
        <v>2020</v>
      </c>
      <c r="G37" s="151">
        <f>IF(E37="","",MAX(0,Input!$C$9-B37))</f>
        <v>17</v>
      </c>
      <c r="H37" s="152">
        <f>IF(E37="","",Input!$C$3)</f>
        <v>100000</v>
      </c>
      <c r="I37" s="153">
        <f>IF(E37="","",HLOOKUP($B37,Input!$C$13:$BT$14,2))</f>
        <v>2.2999999999999998</v>
      </c>
      <c r="J37" s="154"/>
      <c r="K37" s="155">
        <f>IF($E37="","",Input!$C$57)</f>
        <v>4.4999999999999998E-2</v>
      </c>
      <c r="L37" s="155">
        <f t="shared" si="11"/>
        <v>3.6748094004368514E-3</v>
      </c>
      <c r="M37" s="147">
        <f>IF($E37="","",VLOOKUP(IF($B37&lt;=Input!$C$7,$B37,26),'Mortality Tables'!$A$72:$CA$97,IF($B37&lt;=Input!$C$7+1,Input!$C$4-16,$D37-Input!$C$7-16),0)/1000)</f>
        <v>7.3999999999999999E-4</v>
      </c>
      <c r="N37" s="147">
        <f t="shared" si="0"/>
        <v>6.1687591838111011E-5</v>
      </c>
      <c r="O37" s="157">
        <f>IF($E37="","",IF($C37=12,IF($B37&lt;Input!$C$9,Input!$C$54,IF($B37=Input!$C$9,Input!$C$55,Input!$C$56)),0%))</f>
        <v>0</v>
      </c>
      <c r="P37" s="167">
        <f>IF($E37="","",IF($B37=1,Input!$C$59,IF($B37&lt;6,Input!$C$60,0%)))</f>
        <v>0.1</v>
      </c>
      <c r="Q37" s="162">
        <f>IF($E37="","",Input!$C$58)</f>
        <v>2.5</v>
      </c>
      <c r="R37" s="156">
        <f t="shared" si="12"/>
        <v>0.99993831240816189</v>
      </c>
      <c r="S37" s="154">
        <f t="shared" si="1"/>
        <v>0.88226172760258104</v>
      </c>
      <c r="T37" s="152"/>
      <c r="U37" s="150">
        <f t="shared" si="13"/>
        <v>0</v>
      </c>
      <c r="V37" s="150">
        <f t="shared" si="14"/>
        <v>0</v>
      </c>
      <c r="W37" s="168">
        <f t="shared" si="15"/>
        <v>0</v>
      </c>
      <c r="X37" s="163">
        <f t="shared" si="2"/>
        <v>6.1687591838111011</v>
      </c>
      <c r="Y37" s="152"/>
      <c r="Z37" s="164">
        <f>IF(AND($C36=12,$D36=Input!$C$6),0,IF($E37="","",V37+Z38/(1+L37)*R37))</f>
        <v>2553.2018415363009</v>
      </c>
      <c r="AA37" s="164">
        <f>IF(OR($M37=1,AND($C36=12,$D36=Input!$C$6)),0,IF($E37="","",W37+(X37+AA38*$R37)/(1+$L37)))</f>
        <v>1995.5015386267708</v>
      </c>
      <c r="AB37" s="160">
        <f t="shared" si="3"/>
        <v>0.825720328500681</v>
      </c>
      <c r="AC37" s="164">
        <f t="shared" si="4"/>
        <v>0</v>
      </c>
      <c r="AD37" s="164">
        <f>IF(AND($C36=12,$D36=Input!$C$6),0,IF($E37="","",$AC37+AD38/(1+$L37)*$R37))</f>
        <v>2108.2306633218986</v>
      </c>
      <c r="AE37" s="152"/>
      <c r="AF37" s="164">
        <f>IF(AND($C36=12,$D36=Input!$C$6),0,IF($E37="","",IF($B37&gt;Input!$C$9,$AC37,0)+AF38/(1+$L37)*$R37))</f>
        <v>694.45962749132207</v>
      </c>
      <c r="AG37" s="164">
        <f>IF(AND($C36=12,$D36=Input!$C$6),0,IF($E37="","",(IF($B37&gt;Input!$C$9,$X37,0)+AG38)/(1+$L37)*$R37))</f>
        <v>331.48213803195273</v>
      </c>
      <c r="AH37" s="160">
        <f t="shared" si="5"/>
        <v>2.0950137211446997</v>
      </c>
      <c r="AI37" s="160">
        <f>IF($E37="","",MIN(Input!$C$61/AH37,1))</f>
        <v>0.64438718771845094</v>
      </c>
      <c r="AJ37" s="152"/>
      <c r="AK37" s="164">
        <f>IF(AND($C36=12,$D36=Input!$C$6),0,IF($E37="","",IF($B37&gt;Input!$C$9,$AC37*AI37,0)+AK38/(1+$L37)*$R37))</f>
        <v>447.50088634313624</v>
      </c>
      <c r="AL37" s="164">
        <f>IF(AND($C36=12,$D36=Input!$C$6),0,IF($E37="","",IF($B37&gt;Input!$C$9,0,$AC37)+AL38/(1+$L37)*$R37))</f>
        <v>1413.7710358305746</v>
      </c>
      <c r="AM37" s="160">
        <f t="shared" si="6"/>
        <v>1.1382936520186004</v>
      </c>
      <c r="AN37" s="164">
        <f>IF($E37="","",IF($B37&gt;Input!$C$9,$AI37*$AC37,$AM37*$AC37))</f>
        <v>0</v>
      </c>
      <c r="AO37" s="164">
        <f>IF(AND($C36=12,$D36=Input!$C$6),0,IF($E37="","",$AN37+AO38/(1+$L37)*$R37))</f>
        <v>2056.7874818368382</v>
      </c>
      <c r="AP37" s="152"/>
      <c r="AQ37" s="164">
        <f t="shared" si="7"/>
        <v>-61.285943210067444</v>
      </c>
      <c r="AR37" s="164">
        <f t="shared" si="16"/>
        <v>-36.860698689399499</v>
      </c>
      <c r="AS37" s="164">
        <f t="shared" si="17"/>
        <v>35.406698564593306</v>
      </c>
      <c r="AT37" s="164">
        <f t="shared" si="8"/>
        <v>35.406698564593306</v>
      </c>
      <c r="AU37" s="152"/>
      <c r="AV37" s="147">
        <f>'Deterministic Reserve'!BC37</f>
        <v>0.85410376128684495</v>
      </c>
      <c r="AW37" s="164">
        <f t="shared" si="9"/>
        <v>35.406698564593306</v>
      </c>
      <c r="AX37" s="164">
        <f t="shared" si="10"/>
        <v>30.240994418768675</v>
      </c>
      <c r="AY37" s="152"/>
    </row>
    <row r="38" spans="1:51" s="150" customFormat="1" x14ac:dyDescent="0.25">
      <c r="A38" s="150">
        <f t="shared" si="18"/>
        <v>34</v>
      </c>
      <c r="B38" s="150">
        <f t="shared" si="19"/>
        <v>3</v>
      </c>
      <c r="C38" s="150">
        <f t="shared" si="20"/>
        <v>10</v>
      </c>
      <c r="D38" s="150">
        <f>IF(E38="","",Input!$C$4+B38-1)</f>
        <v>47</v>
      </c>
      <c r="E38" s="150">
        <f>IF(OR(AND(C37=12,D37=Input!$C$6),E37=""),"",1)</f>
        <v>1</v>
      </c>
      <c r="F38" s="150">
        <f>IF(E38="","",Input!$C$8+B38-1)</f>
        <v>2020</v>
      </c>
      <c r="G38" s="151">
        <f>IF(E38="","",MAX(0,Input!$C$9-B38))</f>
        <v>17</v>
      </c>
      <c r="H38" s="152">
        <f>IF(E38="","",Input!$C$3)</f>
        <v>100000</v>
      </c>
      <c r="I38" s="153">
        <f>IF(E38="","",HLOOKUP($B38,Input!$C$13:$BT$14,2))</f>
        <v>2.2999999999999998</v>
      </c>
      <c r="J38" s="154"/>
      <c r="K38" s="155">
        <f>IF($E38="","",Input!$C$57)</f>
        <v>4.4999999999999998E-2</v>
      </c>
      <c r="L38" s="155">
        <f t="shared" si="11"/>
        <v>3.6748094004368514E-3</v>
      </c>
      <c r="M38" s="147">
        <f>IF($E38="","",VLOOKUP(IF($B38&lt;=Input!$C$7,$B38,26),'Mortality Tables'!$A$72:$CA$97,IF($B38&lt;=Input!$C$7+1,Input!$C$4-16,$D38-Input!$C$7-16),0)/1000)</f>
        <v>7.3999999999999999E-4</v>
      </c>
      <c r="N38" s="147">
        <f t="shared" si="0"/>
        <v>6.1687591838111011E-5</v>
      </c>
      <c r="O38" s="157">
        <f>IF($E38="","",IF($C38=12,IF($B38&lt;Input!$C$9,Input!$C$54,IF($B38=Input!$C$9,Input!$C$55,Input!$C$56)),0%))</f>
        <v>0</v>
      </c>
      <c r="P38" s="167">
        <f>IF($E38="","",IF($B38=1,Input!$C$59,IF($B38&lt;6,Input!$C$60,0%)))</f>
        <v>0.1</v>
      </c>
      <c r="Q38" s="162">
        <f>IF($E38="","",Input!$C$58)</f>
        <v>2.5</v>
      </c>
      <c r="R38" s="156">
        <f t="shared" si="12"/>
        <v>0.99993831240816189</v>
      </c>
      <c r="S38" s="154">
        <f t="shared" si="1"/>
        <v>0.88220730300123429</v>
      </c>
      <c r="T38" s="152"/>
      <c r="U38" s="150">
        <f t="shared" si="13"/>
        <v>0</v>
      </c>
      <c r="V38" s="150">
        <f t="shared" si="14"/>
        <v>0</v>
      </c>
      <c r="W38" s="168">
        <f t="shared" si="15"/>
        <v>0</v>
      </c>
      <c r="X38" s="163">
        <f t="shared" si="2"/>
        <v>6.1687591838111011</v>
      </c>
      <c r="Y38" s="152"/>
      <c r="Z38" s="164">
        <f>IF(AND($C37=12,$D37=Input!$C$6),0,IF($E38="","",V38+Z39/(1+L38)*R38))</f>
        <v>2562.7424610757162</v>
      </c>
      <c r="AA38" s="164">
        <f>IF(OR($M38=1,AND($C37=12,$D37=Input!$C$6)),0,IF($E38="","",W38+(X38+AA39*$R38)/(1+$L38)))</f>
        <v>1996.7890443632471</v>
      </c>
      <c r="AB38" s="160">
        <f t="shared" si="3"/>
        <v>0.825720328500681</v>
      </c>
      <c r="AC38" s="164">
        <f t="shared" si="4"/>
        <v>0</v>
      </c>
      <c r="AD38" s="164">
        <f>IF(AND($C37=12,$D37=Input!$C$6),0,IF($E38="","",$AC38+AD39/(1+$L38)*$R38))</f>
        <v>2116.1085468220845</v>
      </c>
      <c r="AE38" s="152"/>
      <c r="AF38" s="164">
        <f>IF(AND($C37=12,$D37=Input!$C$6),0,IF($E38="","",IF($B38&gt;Input!$C$9,$AC38,0)+AF39/(1+$L38)*$R38))</f>
        <v>697.05463388039482</v>
      </c>
      <c r="AG38" s="164">
        <f>IF(AND($C37=12,$D37=Input!$C$6),0,IF($E38="","",(IF($B38&gt;Input!$C$9,$X38,0)+AG39)/(1+$L38)*$R38))</f>
        <v>332.72079645355711</v>
      </c>
      <c r="AH38" s="160">
        <f t="shared" si="5"/>
        <v>2.0950137211446997</v>
      </c>
      <c r="AI38" s="160">
        <f>IF($E38="","",MIN(Input!$C$61/AH38,1))</f>
        <v>0.64438718771845094</v>
      </c>
      <c r="AJ38" s="152"/>
      <c r="AK38" s="164">
        <f>IF(AND($C37=12,$D37=Input!$C$6),0,IF($E38="","",IF($B38&gt;Input!$C$9,$AC38*AI38,0)+AK39/(1+$L38)*$R38))</f>
        <v>449.17307521230219</v>
      </c>
      <c r="AL38" s="164">
        <f>IF(AND($C37=12,$D37=Input!$C$6),0,IF($E38="","",IF($B38&gt;Input!$C$9,0,$AC38)+AL39/(1+$L38)*$R38))</f>
        <v>1419.0539129416879</v>
      </c>
      <c r="AM38" s="160">
        <f t="shared" si="6"/>
        <v>1.1382936520186004</v>
      </c>
      <c r="AN38" s="164">
        <f>IF($E38="","",IF($B38&gt;Input!$C$9,$AI38*$AC38,$AM38*$AC38))</f>
        <v>0</v>
      </c>
      <c r="AO38" s="164">
        <f>IF(AND($C37=12,$D37=Input!$C$6),0,IF($E38="","",$AN38+AO39/(1+$L38)*$R38))</f>
        <v>2064.473136185979</v>
      </c>
      <c r="AP38" s="152"/>
      <c r="AQ38" s="164">
        <f t="shared" si="7"/>
        <v>-67.684091822731943</v>
      </c>
      <c r="AR38" s="164">
        <f t="shared" si="16"/>
        <v>-36.860698689399499</v>
      </c>
      <c r="AS38" s="164">
        <f t="shared" si="17"/>
        <v>35.406698564593306</v>
      </c>
      <c r="AT38" s="164">
        <f t="shared" si="8"/>
        <v>35.406698564593306</v>
      </c>
      <c r="AU38" s="152"/>
      <c r="AV38" s="147">
        <f>'Deterministic Reserve'!BC38</f>
        <v>0.85406823863102832</v>
      </c>
      <c r="AW38" s="164">
        <f t="shared" si="9"/>
        <v>35.406698564593306</v>
      </c>
      <c r="AX38" s="164">
        <f t="shared" si="10"/>
        <v>30.239736678801965</v>
      </c>
      <c r="AY38" s="152"/>
    </row>
    <row r="39" spans="1:51" s="150" customFormat="1" x14ac:dyDescent="0.25">
      <c r="A39" s="150">
        <f t="shared" si="18"/>
        <v>35</v>
      </c>
      <c r="B39" s="150">
        <f t="shared" si="19"/>
        <v>3</v>
      </c>
      <c r="C39" s="150">
        <f t="shared" si="20"/>
        <v>11</v>
      </c>
      <c r="D39" s="150">
        <f>IF(E39="","",Input!$C$4+B39-1)</f>
        <v>47</v>
      </c>
      <c r="E39" s="150">
        <f>IF(OR(AND(C38=12,D38=Input!$C$6),E38=""),"",1)</f>
        <v>1</v>
      </c>
      <c r="F39" s="150">
        <f>IF(E39="","",Input!$C$8+B39-1)</f>
        <v>2020</v>
      </c>
      <c r="G39" s="151">
        <f>IF(E39="","",MAX(0,Input!$C$9-B39))</f>
        <v>17</v>
      </c>
      <c r="H39" s="152">
        <f>IF(E39="","",Input!$C$3)</f>
        <v>100000</v>
      </c>
      <c r="I39" s="153">
        <f>IF(E39="","",HLOOKUP($B39,Input!$C$13:$BT$14,2))</f>
        <v>2.2999999999999998</v>
      </c>
      <c r="J39" s="154"/>
      <c r="K39" s="155">
        <f>IF($E39="","",Input!$C$57)</f>
        <v>4.4999999999999998E-2</v>
      </c>
      <c r="L39" s="155">
        <f t="shared" si="11"/>
        <v>3.6748094004368514E-3</v>
      </c>
      <c r="M39" s="147">
        <f>IF($E39="","",VLOOKUP(IF($B39&lt;=Input!$C$7,$B39,26),'Mortality Tables'!$A$72:$CA$97,IF($B39&lt;=Input!$C$7+1,Input!$C$4-16,$D39-Input!$C$7-16),0)/1000)</f>
        <v>7.3999999999999999E-4</v>
      </c>
      <c r="N39" s="147">
        <f t="shared" si="0"/>
        <v>6.1687591838111011E-5</v>
      </c>
      <c r="O39" s="157">
        <f>IF($E39="","",IF($C39=12,IF($B39&lt;Input!$C$9,Input!$C$54,IF($B39=Input!$C$9,Input!$C$55,Input!$C$56)),0%))</f>
        <v>0</v>
      </c>
      <c r="P39" s="167">
        <f>IF($E39="","",IF($B39=1,Input!$C$59,IF($B39&lt;6,Input!$C$60,0%)))</f>
        <v>0.1</v>
      </c>
      <c r="Q39" s="162">
        <f>IF($E39="","",Input!$C$58)</f>
        <v>2.5</v>
      </c>
      <c r="R39" s="156">
        <f t="shared" si="12"/>
        <v>0.99993831240816189</v>
      </c>
      <c r="S39" s="154">
        <f t="shared" si="1"/>
        <v>0.88215288175721018</v>
      </c>
      <c r="T39" s="152"/>
      <c r="U39" s="150">
        <f t="shared" si="13"/>
        <v>0</v>
      </c>
      <c r="V39" s="150">
        <f t="shared" si="14"/>
        <v>0</v>
      </c>
      <c r="W39" s="168">
        <f t="shared" si="15"/>
        <v>0</v>
      </c>
      <c r="X39" s="163">
        <f t="shared" si="2"/>
        <v>6.1687591838111011</v>
      </c>
      <c r="Y39" s="152"/>
      <c r="Z39" s="164">
        <f>IF(AND($C38=12,$D38=Input!$C$6),0,IF($E39="","",V39+Z40/(1+L39)*R39))</f>
        <v>2572.3187313105504</v>
      </c>
      <c r="AA39" s="164">
        <f>IF(OR($M39=1,AND($C38=12,$D38=Input!$C$6)),0,IF($E39="","",W39+(X39+AA40*$R39)/(1+$L39)))</f>
        <v>1998.0813611578178</v>
      </c>
      <c r="AB39" s="160">
        <f t="shared" si="3"/>
        <v>0.825720328500681</v>
      </c>
      <c r="AC39" s="164">
        <f t="shared" si="4"/>
        <v>0</v>
      </c>
      <c r="AD39" s="164">
        <f>IF(AND($C38=12,$D38=Input!$C$6),0,IF($E39="","",$AC39+AD40/(1+$L39)*$R39))</f>
        <v>2124.0158678262032</v>
      </c>
      <c r="AE39" s="152"/>
      <c r="AF39" s="164">
        <f>IF(AND($C38=12,$D38=Input!$C$6),0,IF($E39="","",IF($B39&gt;Input!$C$9,$AC39,0)+AF40/(1+$L39)*$R39))</f>
        <v>699.65933710120942</v>
      </c>
      <c r="AG39" s="164">
        <f>IF(AND($C38=12,$D38=Input!$C$6),0,IF($E39="","",(IF($B39&gt;Input!$C$9,$X39,0)+AG40)/(1+$L39)*$R39))</f>
        <v>333.9640834041511</v>
      </c>
      <c r="AH39" s="160">
        <f t="shared" si="5"/>
        <v>2.0950137211446997</v>
      </c>
      <c r="AI39" s="160">
        <f>IF($E39="","",MIN(Input!$C$61/AH39,1))</f>
        <v>0.64438718771845094</v>
      </c>
      <c r="AJ39" s="152"/>
      <c r="AK39" s="164">
        <f>IF(AND($C38=12,$D38=Input!$C$6),0,IF($E39="","",IF($B39&gt;Input!$C$9,$AC39*AI39,0)+AK40/(1+$L39)*$R39))</f>
        <v>450.85151259560411</v>
      </c>
      <c r="AL39" s="164">
        <f>IF(AND($C38=12,$D38=Input!$C$6),0,IF($E39="","",IF($B39&gt;Input!$C$9,0,$AC39)+AL40/(1+$L39)*$R39))</f>
        <v>1424.3565307249919</v>
      </c>
      <c r="AM39" s="160">
        <f t="shared" si="6"/>
        <v>1.1382936520186004</v>
      </c>
      <c r="AN39" s="164">
        <f>IF($E39="","",IF($B39&gt;Input!$C$9,$AI39*$AC39,$AM39*$AC39))</f>
        <v>0</v>
      </c>
      <c r="AO39" s="164">
        <f>IF(AND($C38=12,$D38=Input!$C$6),0,IF($E39="","",$AN39+AO40/(1+$L39)*$R39))</f>
        <v>2072.1875097310972</v>
      </c>
      <c r="AP39" s="152"/>
      <c r="AQ39" s="164">
        <f t="shared" si="7"/>
        <v>-74.10614857327937</v>
      </c>
      <c r="AR39" s="164">
        <f t="shared" si="16"/>
        <v>-36.860698689399499</v>
      </c>
      <c r="AS39" s="164">
        <f t="shared" si="17"/>
        <v>35.406698564593306</v>
      </c>
      <c r="AT39" s="164">
        <f t="shared" si="8"/>
        <v>35.406698564593306</v>
      </c>
      <c r="AU39" s="152"/>
      <c r="AV39" s="147">
        <f>'Deterministic Reserve'!BC39</f>
        <v>0.85403271745261899</v>
      </c>
      <c r="AW39" s="164">
        <f t="shared" si="9"/>
        <v>35.406698564593306</v>
      </c>
      <c r="AX39" s="164">
        <f t="shared" si="10"/>
        <v>30.238478991145364</v>
      </c>
      <c r="AY39" s="152"/>
    </row>
    <row r="40" spans="1:51" s="150" customFormat="1" x14ac:dyDescent="0.25">
      <c r="A40" s="150">
        <f t="shared" si="18"/>
        <v>36</v>
      </c>
      <c r="B40" s="150">
        <f t="shared" si="19"/>
        <v>3</v>
      </c>
      <c r="C40" s="150">
        <f t="shared" si="20"/>
        <v>12</v>
      </c>
      <c r="D40" s="150">
        <f>IF(E40="","",Input!$C$4+B40-1)</f>
        <v>47</v>
      </c>
      <c r="E40" s="150">
        <f>IF(OR(AND(C39=12,D39=Input!$C$6),E39=""),"",1)</f>
        <v>1</v>
      </c>
      <c r="F40" s="150">
        <f>IF(E40="","",Input!$C$8+B40-1)</f>
        <v>2020</v>
      </c>
      <c r="G40" s="151">
        <f>IF(E40="","",MAX(0,Input!$C$9-B40))</f>
        <v>17</v>
      </c>
      <c r="H40" s="152">
        <f>IF(E40="","",Input!$C$3)</f>
        <v>100000</v>
      </c>
      <c r="I40" s="153">
        <f>IF(E40="","",HLOOKUP($B40,Input!$C$13:$BT$14,2))</f>
        <v>2.2999999999999998</v>
      </c>
      <c r="J40" s="154"/>
      <c r="K40" s="155">
        <f>IF($E40="","",Input!$C$57)</f>
        <v>4.4999999999999998E-2</v>
      </c>
      <c r="L40" s="155">
        <f t="shared" si="11"/>
        <v>3.6748094004368514E-3</v>
      </c>
      <c r="M40" s="147">
        <f>IF($E40="","",VLOOKUP(IF($B40&lt;=Input!$C$7,$B40,26),'Mortality Tables'!$A$72:$CA$97,IF($B40&lt;=Input!$C$7+1,Input!$C$4-16,$D40-Input!$C$7-16),0)/1000)</f>
        <v>7.3999999999999999E-4</v>
      </c>
      <c r="N40" s="147">
        <f t="shared" si="0"/>
        <v>6.1687591838111011E-5</v>
      </c>
      <c r="O40" s="157">
        <f>IF($E40="","",IF($C40=12,IF($B40&lt;Input!$C$9,Input!$C$54,IF($B40=Input!$C$9,Input!$C$55,Input!$C$56)),0%))</f>
        <v>0.06</v>
      </c>
      <c r="P40" s="167">
        <f>IF($E40="","",IF($B40=1,Input!$C$59,IF($B40&lt;6,Input!$C$60,0%)))</f>
        <v>0.1</v>
      </c>
      <c r="Q40" s="162">
        <f>IF($E40="","",Input!$C$58)</f>
        <v>2.5</v>
      </c>
      <c r="R40" s="156">
        <f t="shared" si="12"/>
        <v>0.93993831240816195</v>
      </c>
      <c r="S40" s="154">
        <f t="shared" si="1"/>
        <v>0.82916929096486902</v>
      </c>
      <c r="T40" s="152"/>
      <c r="U40" s="150">
        <f t="shared" si="13"/>
        <v>0</v>
      </c>
      <c r="V40" s="150">
        <f t="shared" si="14"/>
        <v>0</v>
      </c>
      <c r="W40" s="168">
        <f t="shared" si="15"/>
        <v>0</v>
      </c>
      <c r="X40" s="163">
        <f t="shared" si="2"/>
        <v>6.1687591838111011</v>
      </c>
      <c r="Y40" s="152"/>
      <c r="Z40" s="164">
        <f>IF(AND($C39=12,$D39=Input!$C$6),0,IF($E40="","",V40+Z41/(1+L40)*R40))</f>
        <v>2581.9307854577378</v>
      </c>
      <c r="AA40" s="164">
        <f>IF(OR($M40=1,AND($C39=12,$D39=Input!$C$6)),0,IF($E40="","",W40+(X40+AA41*$R40)/(1+$L40)))</f>
        <v>1999.3785069880962</v>
      </c>
      <c r="AB40" s="160">
        <f t="shared" si="3"/>
        <v>0.825720328500681</v>
      </c>
      <c r="AC40" s="164">
        <f t="shared" si="4"/>
        <v>0</v>
      </c>
      <c r="AD40" s="164">
        <f>IF(AND($C39=12,$D39=Input!$C$6),0,IF($E40="","",$AC40+AD41/(1+$L40)*$R40))</f>
        <v>2131.9527363341849</v>
      </c>
      <c r="AE40" s="152"/>
      <c r="AF40" s="164">
        <f>IF(AND($C39=12,$D39=Input!$C$6),0,IF($E40="","",IF($B40&gt;Input!$C$9,$AC40,0)+AF41/(1+$L40)*$R40))</f>
        <v>702.27377338818371</v>
      </c>
      <c r="AG40" s="164">
        <f>IF(AND($C39=12,$D39=Input!$C$6),0,IF($E40="","",(IF($B40&gt;Input!$C$9,$X40,0)+AG41)/(1+$L40)*$R40))</f>
        <v>335.21201617928625</v>
      </c>
      <c r="AH40" s="160">
        <f t="shared" si="5"/>
        <v>2.0950137211446997</v>
      </c>
      <c r="AI40" s="160">
        <f>IF($E40="","",MIN(Input!$C$61/AH40,1))</f>
        <v>0.64438718771845094</v>
      </c>
      <c r="AJ40" s="152"/>
      <c r="AK40" s="164">
        <f>IF(AND($C39=12,$D39=Input!$C$6),0,IF($E40="","",IF($B40&gt;Input!$C$9,$AC40*AI40,0)+AK41/(1+$L40)*$R40))</f>
        <v>452.53622184203658</v>
      </c>
      <c r="AL40" s="164">
        <f>IF(AND($C39=12,$D39=Input!$C$6),0,IF($E40="","",IF($B40&gt;Input!$C$9,0,$AC40)+AL41/(1+$L40)*$R40))</f>
        <v>1429.6789629459995</v>
      </c>
      <c r="AM40" s="160">
        <f t="shared" si="6"/>
        <v>1.1382936520186004</v>
      </c>
      <c r="AN40" s="164">
        <f>IF($E40="","",IF($B40&gt;Input!$C$9,$AI40*$AC40,$AM40*$AC40))</f>
        <v>0</v>
      </c>
      <c r="AO40" s="164">
        <f>IF(AND($C39=12,$D39=Input!$C$6),0,IF($E40="","",$AN40+AO41/(1+$L40)*$R40))</f>
        <v>2079.9307097880014</v>
      </c>
      <c r="AP40" s="152"/>
      <c r="AQ40" s="164">
        <f t="shared" si="7"/>
        <v>-80.552202799905217</v>
      </c>
      <c r="AR40" s="164">
        <f t="shared" si="16"/>
        <v>-36.860698689399499</v>
      </c>
      <c r="AS40" s="164">
        <f t="shared" si="17"/>
        <v>35.406698564593306</v>
      </c>
      <c r="AT40" s="164">
        <f t="shared" si="8"/>
        <v>35.406698564593306</v>
      </c>
      <c r="AU40" s="152"/>
      <c r="AV40" s="147">
        <f>'Deterministic Reserve'!BC40</f>
        <v>0.81129556187892438</v>
      </c>
      <c r="AW40" s="164">
        <f t="shared" si="9"/>
        <v>35.406698564593306</v>
      </c>
      <c r="AX40" s="164">
        <f t="shared" si="10"/>
        <v>28.725297406239431</v>
      </c>
      <c r="AY40" s="152"/>
    </row>
    <row r="41" spans="1:51" s="150" customFormat="1" x14ac:dyDescent="0.25">
      <c r="A41" s="150">
        <f t="shared" si="18"/>
        <v>37</v>
      </c>
      <c r="B41" s="150">
        <f t="shared" si="19"/>
        <v>4</v>
      </c>
      <c r="C41" s="150">
        <f t="shared" si="20"/>
        <v>1</v>
      </c>
      <c r="D41" s="150">
        <f>IF(E41="","",Input!$C$4+B41-1)</f>
        <v>48</v>
      </c>
      <c r="E41" s="150">
        <f>IF(OR(AND(C40=12,D40=Input!$C$6),E40=""),"",1)</f>
        <v>1</v>
      </c>
      <c r="F41" s="150">
        <f>IF(E41="","",Input!$C$8+B41-1)</f>
        <v>2021</v>
      </c>
      <c r="G41" s="151">
        <f>IF(E41="","",MAX(0,Input!$C$9-B41))</f>
        <v>16</v>
      </c>
      <c r="H41" s="152">
        <f>IF(E41="","",Input!$C$3)</f>
        <v>100000</v>
      </c>
      <c r="I41" s="153">
        <f>IF(E41="","",HLOOKUP($B41,Input!$C$13:$BT$14,2))</f>
        <v>2.2999999999999998</v>
      </c>
      <c r="J41" s="154"/>
      <c r="K41" s="155">
        <f>IF($E41="","",Input!$C$57)</f>
        <v>4.4999999999999998E-2</v>
      </c>
      <c r="L41" s="155">
        <f t="shared" si="11"/>
        <v>3.6748094004368514E-3</v>
      </c>
      <c r="M41" s="147">
        <f>IF($E41="","",VLOOKUP(IF($B41&lt;=Input!$C$7,$B41,26),'Mortality Tables'!$A$72:$CA$97,IF($B41&lt;=Input!$C$7+1,Input!$C$4-16,$D41-Input!$C$7-16),0)/1000)</f>
        <v>8.9999999999999998E-4</v>
      </c>
      <c r="N41" s="147">
        <f t="shared" si="0"/>
        <v>7.5030955300703361E-5</v>
      </c>
      <c r="O41" s="157">
        <f>IF($E41="","",IF($C41=12,IF($B41&lt;Input!$C$9,Input!$C$54,IF($B41=Input!$C$9,Input!$C$55,Input!$C$56)),0%))</f>
        <v>0</v>
      </c>
      <c r="P41" s="167">
        <f>IF($E41="","",IF($B41=1,Input!$C$59,IF($B41&lt;6,Input!$C$60,0%)))</f>
        <v>0.1</v>
      </c>
      <c r="Q41" s="162">
        <f>IF($E41="","",Input!$C$58)</f>
        <v>2.5</v>
      </c>
      <c r="R41" s="156">
        <f t="shared" si="12"/>
        <v>0.9999249690446993</v>
      </c>
      <c r="S41" s="154">
        <f t="shared" si="1"/>
        <v>0.82910707760086189</v>
      </c>
      <c r="T41" s="152"/>
      <c r="U41" s="150">
        <f t="shared" si="13"/>
        <v>229.99999999999997</v>
      </c>
      <c r="V41" s="150">
        <f t="shared" si="14"/>
        <v>206.99999999999997</v>
      </c>
      <c r="W41" s="168">
        <f t="shared" si="15"/>
        <v>0</v>
      </c>
      <c r="X41" s="163">
        <f t="shared" si="2"/>
        <v>7.5030955300703361</v>
      </c>
      <c r="Y41" s="152"/>
      <c r="Z41" s="164">
        <f>IF(AND($C40=12,$D40=Input!$C$6),0,IF($E41="","",V41+Z42/(1+L41)*R41))</f>
        <v>2757.0095343172998</v>
      </c>
      <c r="AA41" s="164">
        <f>IF(OR($M41=1,AND($C40=12,$D40=Input!$C$6)),0,IF($E41="","",W41+(X41+AA42*$R41)/(1+$L41)))</f>
        <v>2128.3918916032735</v>
      </c>
      <c r="AB41" s="160">
        <f t="shared" si="3"/>
        <v>0.825720328500681</v>
      </c>
      <c r="AC41" s="164">
        <f t="shared" si="4"/>
        <v>170.92410799964094</v>
      </c>
      <c r="AD41" s="164">
        <f>IF(AND($C40=12,$D40=Input!$C$6),0,IF($E41="","",$AC41+AD42/(1+$L41)*$R41))</f>
        <v>2276.5188183559903</v>
      </c>
      <c r="AE41" s="152"/>
      <c r="AF41" s="164">
        <f>IF(AND($C40=12,$D40=Input!$C$6),0,IF($E41="","",IF($B41&gt;Input!$C$9,$AC41,0)+AF42/(1+$L41)*$R41))</f>
        <v>749.89442003533577</v>
      </c>
      <c r="AG41" s="164">
        <f>IF(AND($C40=12,$D40=Input!$C$6),0,IF($E41="","",(IF($B41&gt;Input!$C$9,$X41,0)+AG42)/(1+$L41)*$R41))</f>
        <v>357.94248623135474</v>
      </c>
      <c r="AH41" s="160">
        <f t="shared" si="5"/>
        <v>2.0950137211446997</v>
      </c>
      <c r="AI41" s="160">
        <f>IF($E41="","",MIN(Input!$C$61/AH41,1))</f>
        <v>0.64438718771845094</v>
      </c>
      <c r="AJ41" s="152"/>
      <c r="AK41" s="164">
        <f>IF(AND($C40=12,$D40=Input!$C$6),0,IF($E41="","",IF($B41&gt;Input!$C$9,$AC41*AI41,0)+AK42/(1+$L41)*$R41))</f>
        <v>483.22235641232902</v>
      </c>
      <c r="AL41" s="164">
        <f>IF(AND($C40=12,$D40=Input!$C$6),0,IF($E41="","",IF($B41&gt;Input!$C$9,0,$AC41)+AL42/(1+$L41)*$R41))</f>
        <v>1526.6243983206532</v>
      </c>
      <c r="AM41" s="160">
        <f t="shared" si="6"/>
        <v>1.1382936520186004</v>
      </c>
      <c r="AN41" s="164">
        <f>IF($E41="","",IF($B41&gt;Input!$C$9,$AI41*$AC41,$AM41*$AC41))</f>
        <v>194.56182711293297</v>
      </c>
      <c r="AO41" s="164">
        <f>IF(AND($C40=12,$D40=Input!$C$6),0,IF($E41="","",$AN41+AO42/(1+$L41)*$R41))</f>
        <v>2220.9692180374414</v>
      </c>
      <c r="AP41" s="152"/>
      <c r="AQ41" s="164">
        <f t="shared" si="7"/>
        <v>-92.577326434167844</v>
      </c>
      <c r="AR41" s="164">
        <f t="shared" si="16"/>
        <v>68.087716582928749</v>
      </c>
      <c r="AS41" s="164">
        <f t="shared" si="17"/>
        <v>43.062200956937801</v>
      </c>
      <c r="AT41" s="164">
        <f t="shared" si="8"/>
        <v>68.087716582928749</v>
      </c>
      <c r="AU41" s="152"/>
      <c r="AV41" s="147">
        <f>'Deterministic Reserve'!BC41</f>
        <v>0.81125452553845889</v>
      </c>
      <c r="AW41" s="164">
        <f t="shared" si="9"/>
        <v>68.087716582928749</v>
      </c>
      <c r="AX41" s="164">
        <f t="shared" si="10"/>
        <v>55.236468211480918</v>
      </c>
      <c r="AY41" s="152"/>
    </row>
    <row r="42" spans="1:51" s="150" customFormat="1" x14ac:dyDescent="0.25">
      <c r="A42" s="150">
        <f t="shared" si="18"/>
        <v>38</v>
      </c>
      <c r="B42" s="150">
        <f t="shared" si="19"/>
        <v>4</v>
      </c>
      <c r="C42" s="150">
        <f t="shared" si="20"/>
        <v>2</v>
      </c>
      <c r="D42" s="150">
        <f>IF(E42="","",Input!$C$4+B42-1)</f>
        <v>48</v>
      </c>
      <c r="E42" s="150">
        <f>IF(OR(AND(C41=12,D41=Input!$C$6),E41=""),"",1)</f>
        <v>1</v>
      </c>
      <c r="F42" s="150">
        <f>IF(E42="","",Input!$C$8+B42-1)</f>
        <v>2021</v>
      </c>
      <c r="G42" s="151">
        <f>IF(E42="","",MAX(0,Input!$C$9-B42))</f>
        <v>16</v>
      </c>
      <c r="H42" s="152">
        <f>IF(E42="","",Input!$C$3)</f>
        <v>100000</v>
      </c>
      <c r="I42" s="153">
        <f>IF(E42="","",HLOOKUP($B42,Input!$C$13:$BT$14,2))</f>
        <v>2.2999999999999998</v>
      </c>
      <c r="J42" s="154"/>
      <c r="K42" s="155">
        <f>IF($E42="","",Input!$C$57)</f>
        <v>4.4999999999999998E-2</v>
      </c>
      <c r="L42" s="155">
        <f t="shared" si="11"/>
        <v>3.6748094004368514E-3</v>
      </c>
      <c r="M42" s="147">
        <f>IF($E42="","",VLOOKUP(IF($B42&lt;=Input!$C$7,$B42,26),'Mortality Tables'!$A$72:$CA$97,IF($B42&lt;=Input!$C$7+1,Input!$C$4-16,$D42-Input!$C$7-16),0)/1000)</f>
        <v>8.9999999999999998E-4</v>
      </c>
      <c r="N42" s="147">
        <f t="shared" si="0"/>
        <v>7.5030955300703361E-5</v>
      </c>
      <c r="O42" s="157">
        <f>IF($E42="","",IF($C42=12,IF($B42&lt;Input!$C$9,Input!$C$54,IF($B42=Input!$C$9,Input!$C$55,Input!$C$56)),0%))</f>
        <v>0</v>
      </c>
      <c r="P42" s="167">
        <f>IF($E42="","",IF($B42=1,Input!$C$59,IF($B42&lt;6,Input!$C$60,0%)))</f>
        <v>0.1</v>
      </c>
      <c r="Q42" s="162">
        <f>IF($E42="","",Input!$C$58)</f>
        <v>2.5</v>
      </c>
      <c r="R42" s="156">
        <f t="shared" si="12"/>
        <v>0.9999249690446993</v>
      </c>
      <c r="S42" s="154">
        <f t="shared" si="1"/>
        <v>0.82904486890478291</v>
      </c>
      <c r="T42" s="152"/>
      <c r="U42" s="150">
        <f t="shared" si="13"/>
        <v>0</v>
      </c>
      <c r="V42" s="150">
        <f t="shared" si="14"/>
        <v>0</v>
      </c>
      <c r="W42" s="168">
        <f t="shared" si="15"/>
        <v>0</v>
      </c>
      <c r="X42" s="163">
        <f t="shared" si="2"/>
        <v>7.5030955300703361</v>
      </c>
      <c r="Y42" s="152"/>
      <c r="Z42" s="164">
        <f>IF(AND($C41=12,$D41=Input!$C$6),0,IF($E42="","",V42+Z43/(1+L42)*R42))</f>
        <v>2559.5723804860818</v>
      </c>
      <c r="AA42" s="164">
        <f>IF(OR($M42=1,AND($C41=12,$D41=Input!$C$6)),0,IF($E42="","",W42+(X42+AA43*$R42)/(1+$L42)))</f>
        <v>2128.8699617512216</v>
      </c>
      <c r="AB42" s="160">
        <f t="shared" si="3"/>
        <v>0.825720328500681</v>
      </c>
      <c r="AC42" s="164">
        <f t="shared" si="4"/>
        <v>0</v>
      </c>
      <c r="AD42" s="164">
        <f>IF(AND($C41=12,$D41=Input!$C$6),0,IF($E42="","",$AC42+AD43/(1+$L42)*$R42))</f>
        <v>2113.4909468362375</v>
      </c>
      <c r="AE42" s="152"/>
      <c r="AF42" s="164">
        <f>IF(AND($C41=12,$D41=Input!$C$6),0,IF($E42="","",IF($B42&gt;Input!$C$9,$AC42,0)+AF43/(1+$L42)*$R42))</f>
        <v>752.70661539583102</v>
      </c>
      <c r="AG42" s="164">
        <f>IF(AND($C41=12,$D41=Input!$C$6),0,IF($E42="","",(IF($B42&gt;Input!$C$9,$X42,0)+AG43)/(1+$L42)*$R42))</f>
        <v>359.28481412740246</v>
      </c>
      <c r="AH42" s="160">
        <f t="shared" si="5"/>
        <v>2.0950137211446997</v>
      </c>
      <c r="AI42" s="160">
        <f>IF($E42="","",MIN(Input!$C$61/AH42,1))</f>
        <v>0.64438718771845094</v>
      </c>
      <c r="AJ42" s="152"/>
      <c r="AK42" s="164">
        <f>IF(AND($C41=12,$D41=Input!$C$6),0,IF($E42="","",IF($B42&gt;Input!$C$9,$AC42*AI42,0)+AK43/(1+$L42)*$R42))</f>
        <v>485.03449907199348</v>
      </c>
      <c r="AL42" s="164">
        <f>IF(AND($C41=12,$D41=Input!$C$6),0,IF($E42="","",IF($B42&gt;Input!$C$9,0,$AC42)+AL43/(1+$L42)*$R42))</f>
        <v>1360.7843314404051</v>
      </c>
      <c r="AM42" s="160">
        <f t="shared" si="6"/>
        <v>1.1382936520186004</v>
      </c>
      <c r="AN42" s="164">
        <f>IF($E42="","",IF($B42&gt;Input!$C$9,$AI42*$AC42,$AM42*$AC42))</f>
        <v>0</v>
      </c>
      <c r="AO42" s="164">
        <f>IF(AND($C41=12,$D41=Input!$C$6),0,IF($E42="","",$AN42+AO43/(1+$L42)*$R42))</f>
        <v>2034.0066653169793</v>
      </c>
      <c r="AP42" s="152"/>
      <c r="AQ42" s="164">
        <f t="shared" si="7"/>
        <v>94.863296434242329</v>
      </c>
      <c r="AR42" s="164">
        <f t="shared" si="16"/>
        <v>68.087716582928749</v>
      </c>
      <c r="AS42" s="164">
        <f t="shared" si="17"/>
        <v>43.062200956937801</v>
      </c>
      <c r="AT42" s="164">
        <f t="shared" si="8"/>
        <v>68.087716582928749</v>
      </c>
      <c r="AU42" s="152"/>
      <c r="AV42" s="147">
        <f>'Deterministic Reserve'!BC42</f>
        <v>0.81121349127366271</v>
      </c>
      <c r="AW42" s="164">
        <f t="shared" si="9"/>
        <v>68.087716582928749</v>
      </c>
      <c r="AX42" s="164">
        <f t="shared" si="10"/>
        <v>55.233674282089289</v>
      </c>
      <c r="AY42" s="152"/>
    </row>
    <row r="43" spans="1:51" s="150" customFormat="1" x14ac:dyDescent="0.25">
      <c r="A43" s="150">
        <f t="shared" si="18"/>
        <v>39</v>
      </c>
      <c r="B43" s="150">
        <f t="shared" si="19"/>
        <v>4</v>
      </c>
      <c r="C43" s="150">
        <f t="shared" si="20"/>
        <v>3</v>
      </c>
      <c r="D43" s="150">
        <f>IF(E43="","",Input!$C$4+B43-1)</f>
        <v>48</v>
      </c>
      <c r="E43" s="150">
        <f>IF(OR(AND(C42=12,D42=Input!$C$6),E42=""),"",1)</f>
        <v>1</v>
      </c>
      <c r="F43" s="150">
        <f>IF(E43="","",Input!$C$8+B43-1)</f>
        <v>2021</v>
      </c>
      <c r="G43" s="151">
        <f>IF(E43="","",MAX(0,Input!$C$9-B43))</f>
        <v>16</v>
      </c>
      <c r="H43" s="152">
        <f>IF(E43="","",Input!$C$3)</f>
        <v>100000</v>
      </c>
      <c r="I43" s="153">
        <f>IF(E43="","",HLOOKUP($B43,Input!$C$13:$BT$14,2))</f>
        <v>2.2999999999999998</v>
      </c>
      <c r="J43" s="154"/>
      <c r="K43" s="155">
        <f>IF($E43="","",Input!$C$57)</f>
        <v>4.4999999999999998E-2</v>
      </c>
      <c r="L43" s="155">
        <f t="shared" si="11"/>
        <v>3.6748094004368514E-3</v>
      </c>
      <c r="M43" s="147">
        <f>IF($E43="","",VLOOKUP(IF($B43&lt;=Input!$C$7,$B43,26),'Mortality Tables'!$A$72:$CA$97,IF($B43&lt;=Input!$C$7+1,Input!$C$4-16,$D43-Input!$C$7-16),0)/1000)</f>
        <v>8.9999999999999998E-4</v>
      </c>
      <c r="N43" s="147">
        <f t="shared" si="0"/>
        <v>7.5030955300703361E-5</v>
      </c>
      <c r="O43" s="157">
        <f>IF($E43="","",IF($C43=12,IF($B43&lt;Input!$C$9,Input!$C$54,IF($B43=Input!$C$9,Input!$C$55,Input!$C$56)),0%))</f>
        <v>0</v>
      </c>
      <c r="P43" s="167">
        <f>IF($E43="","",IF($B43=1,Input!$C$59,IF($B43&lt;6,Input!$C$60,0%)))</f>
        <v>0.1</v>
      </c>
      <c r="Q43" s="162">
        <f>IF($E43="","",Input!$C$58)</f>
        <v>2.5</v>
      </c>
      <c r="R43" s="156">
        <f t="shared" si="12"/>
        <v>0.9999249690446993</v>
      </c>
      <c r="S43" s="154">
        <f t="shared" si="1"/>
        <v>0.82898266487628181</v>
      </c>
      <c r="T43" s="152"/>
      <c r="U43" s="150">
        <f t="shared" si="13"/>
        <v>0</v>
      </c>
      <c r="V43" s="150">
        <f t="shared" si="14"/>
        <v>0</v>
      </c>
      <c r="W43" s="168">
        <f t="shared" si="15"/>
        <v>0</v>
      </c>
      <c r="X43" s="163">
        <f t="shared" si="2"/>
        <v>7.5030955300703361</v>
      </c>
      <c r="Y43" s="152"/>
      <c r="Z43" s="164">
        <f>IF(AND($C42=12,$D42=Input!$C$6),0,IF($E43="","",V43+Z44/(1+L43)*R43))</f>
        <v>2569.1710884920913</v>
      </c>
      <c r="AA43" s="164">
        <f>IF(OR($M43=1,AND($C42=12,$D42=Input!$C$6)),0,IF($E43="","",W43+(X43+AA44*$R43)/(1+$L43)))</f>
        <v>2129.3498247204207</v>
      </c>
      <c r="AB43" s="160">
        <f t="shared" si="3"/>
        <v>0.825720328500681</v>
      </c>
      <c r="AC43" s="164">
        <f t="shared" si="4"/>
        <v>0</v>
      </c>
      <c r="AD43" s="164">
        <f>IF(AND($C42=12,$D42=Input!$C$6),0,IF($E43="","",$AC43+AD44/(1+$L43)*$R43))</f>
        <v>2121.4167951641416</v>
      </c>
      <c r="AE43" s="152"/>
      <c r="AF43" s="164">
        <f>IF(AND($C42=12,$D42=Input!$C$6),0,IF($E43="","",IF($B43&gt;Input!$C$9,$AC43,0)+AF44/(1+$L43)*$R43))</f>
        <v>755.52935683125941</v>
      </c>
      <c r="AG43" s="164">
        <f>IF(AND($C42=12,$D42=Input!$C$6),0,IF($E43="","",(IF($B43&gt;Input!$C$9,$X43,0)+AG44)/(1+$L43)*$R43))</f>
        <v>360.63217591646321</v>
      </c>
      <c r="AH43" s="160">
        <f t="shared" si="5"/>
        <v>2.0950137211446997</v>
      </c>
      <c r="AI43" s="160">
        <f>IF($E43="","",MIN(Input!$C$61/AH43,1))</f>
        <v>0.64438718771845094</v>
      </c>
      <c r="AJ43" s="152"/>
      <c r="AK43" s="164">
        <f>IF(AND($C42=12,$D42=Input!$C$6),0,IF($E43="","",IF($B43&gt;Input!$C$9,$AC43*AI43,0)+AK44/(1+$L43)*$R43))</f>
        <v>486.85343748722556</v>
      </c>
      <c r="AL43" s="164">
        <f>IF(AND($C42=12,$D42=Input!$C$6),0,IF($E43="","",IF($B43&gt;Input!$C$9,0,$AC43)+AL44/(1+$L43)*$R43))</f>
        <v>1365.8874383328809</v>
      </c>
      <c r="AM43" s="160">
        <f t="shared" si="6"/>
        <v>1.1382936520186004</v>
      </c>
      <c r="AN43" s="164">
        <f>IF($E43="","",IF($B43&gt;Input!$C$9,$AI43*$AC43,$AM43*$AC43))</f>
        <v>0</v>
      </c>
      <c r="AO43" s="164">
        <f>IF(AND($C42=12,$D42=Input!$C$6),0,IF($E43="","",$AN43+AO44/(1+$L43)*$R43))</f>
        <v>2041.6344379134887</v>
      </c>
      <c r="AP43" s="152"/>
      <c r="AQ43" s="164">
        <f t="shared" si="7"/>
        <v>87.715386806931974</v>
      </c>
      <c r="AR43" s="164">
        <f t="shared" si="16"/>
        <v>68.087716582928749</v>
      </c>
      <c r="AS43" s="164">
        <f t="shared" si="17"/>
        <v>43.062200956937801</v>
      </c>
      <c r="AT43" s="164">
        <f t="shared" si="8"/>
        <v>68.087716582928749</v>
      </c>
      <c r="AU43" s="152"/>
      <c r="AV43" s="147">
        <f>'Deterministic Reserve'!BC43</f>
        <v>0.81117245908443081</v>
      </c>
      <c r="AW43" s="164">
        <f t="shared" si="9"/>
        <v>68.087716582928749</v>
      </c>
      <c r="AX43" s="164">
        <f t="shared" si="10"/>
        <v>55.230880494018095</v>
      </c>
      <c r="AY43" s="152"/>
    </row>
    <row r="44" spans="1:51" s="150" customFormat="1" x14ac:dyDescent="0.25">
      <c r="A44" s="150">
        <f t="shared" si="18"/>
        <v>40</v>
      </c>
      <c r="B44" s="150">
        <f t="shared" si="19"/>
        <v>4</v>
      </c>
      <c r="C44" s="150">
        <f t="shared" si="20"/>
        <v>4</v>
      </c>
      <c r="D44" s="150">
        <f>IF(E44="","",Input!$C$4+B44-1)</f>
        <v>48</v>
      </c>
      <c r="E44" s="150">
        <f>IF(OR(AND(C43=12,D43=Input!$C$6),E43=""),"",1)</f>
        <v>1</v>
      </c>
      <c r="F44" s="150">
        <f>IF(E44="","",Input!$C$8+B44-1)</f>
        <v>2021</v>
      </c>
      <c r="G44" s="151">
        <f>IF(E44="","",MAX(0,Input!$C$9-B44))</f>
        <v>16</v>
      </c>
      <c r="H44" s="152">
        <f>IF(E44="","",Input!$C$3)</f>
        <v>100000</v>
      </c>
      <c r="I44" s="153">
        <f>IF(E44="","",HLOOKUP($B44,Input!$C$13:$BT$14,2))</f>
        <v>2.2999999999999998</v>
      </c>
      <c r="J44" s="154"/>
      <c r="K44" s="155">
        <f>IF($E44="","",Input!$C$57)</f>
        <v>4.4999999999999998E-2</v>
      </c>
      <c r="L44" s="155">
        <f t="shared" si="11"/>
        <v>3.6748094004368514E-3</v>
      </c>
      <c r="M44" s="147">
        <f>IF($E44="","",VLOOKUP(IF($B44&lt;=Input!$C$7,$B44,26),'Mortality Tables'!$A$72:$CA$97,IF($B44&lt;=Input!$C$7+1,Input!$C$4-16,$D44-Input!$C$7-16),0)/1000)</f>
        <v>8.9999999999999998E-4</v>
      </c>
      <c r="N44" s="147">
        <f t="shared" si="0"/>
        <v>7.5030955300703361E-5</v>
      </c>
      <c r="O44" s="157">
        <f>IF($E44="","",IF($C44=12,IF($B44&lt;Input!$C$9,Input!$C$54,IF($B44=Input!$C$9,Input!$C$55,Input!$C$56)),0%))</f>
        <v>0</v>
      </c>
      <c r="P44" s="167">
        <f>IF($E44="","",IF($B44=1,Input!$C$59,IF($B44&lt;6,Input!$C$60,0%)))</f>
        <v>0.1</v>
      </c>
      <c r="Q44" s="162">
        <f>IF($E44="","",Input!$C$58)</f>
        <v>2.5</v>
      </c>
      <c r="R44" s="156">
        <f t="shared" si="12"/>
        <v>0.9999249690446993</v>
      </c>
      <c r="S44" s="154">
        <f t="shared" si="1"/>
        <v>0.82892046551500842</v>
      </c>
      <c r="T44" s="152"/>
      <c r="U44" s="150">
        <f t="shared" si="13"/>
        <v>0</v>
      </c>
      <c r="V44" s="150">
        <f t="shared" si="14"/>
        <v>0</v>
      </c>
      <c r="W44" s="168">
        <f t="shared" si="15"/>
        <v>0</v>
      </c>
      <c r="X44" s="163">
        <f t="shared" si="2"/>
        <v>7.5030955300703361</v>
      </c>
      <c r="Y44" s="152"/>
      <c r="Z44" s="164">
        <f>IF(AND($C43=12,$D43=Input!$C$6),0,IF($E44="","",V44+Z45/(1+L44)*R44))</f>
        <v>2578.8057928215831</v>
      </c>
      <c r="AA44" s="164">
        <f>IF(OR($M44=1,AND($C43=12,$D43=Input!$C$6)),0,IF($E44="","",W44+(X44+AA45*$R44)/(1+$L44)))</f>
        <v>2129.831487234168</v>
      </c>
      <c r="AB44" s="160">
        <f t="shared" si="3"/>
        <v>0.825720328500681</v>
      </c>
      <c r="AC44" s="164">
        <f t="shared" si="4"/>
        <v>0</v>
      </c>
      <c r="AD44" s="164">
        <f>IF(AND($C43=12,$D43=Input!$C$6),0,IF($E44="","",$AC44+AD45/(1+$L44)*$R44))</f>
        <v>2129.3723663880965</v>
      </c>
      <c r="AE44" s="152"/>
      <c r="AF44" s="164">
        <f>IF(AND($C43=12,$D43=Input!$C$6),0,IF($E44="","",IF($B44&gt;Input!$C$9,$AC44,0)+AF45/(1+$L44)*$R44))</f>
        <v>758.36268389068562</v>
      </c>
      <c r="AG44" s="164">
        <f>IF(AND($C43=12,$D43=Input!$C$6),0,IF($E44="","",(IF($B44&gt;Input!$C$9,$X44,0)+AG45)/(1+$L44)*$R44))</f>
        <v>361.98459047624863</v>
      </c>
      <c r="AH44" s="160">
        <f t="shared" si="5"/>
        <v>2.0950137211446997</v>
      </c>
      <c r="AI44" s="160">
        <f>IF($E44="","",MIN(Input!$C$61/AH44,1))</f>
        <v>0.64438718771845094</v>
      </c>
      <c r="AJ44" s="152"/>
      <c r="AK44" s="164">
        <f>IF(AND($C43=12,$D43=Input!$C$6),0,IF($E44="","",IF($B44&gt;Input!$C$9,$AC44*AI44,0)+AK45/(1+$L44)*$R44))</f>
        <v>488.67919714293583</v>
      </c>
      <c r="AL44" s="164">
        <f>IF(AND($C43=12,$D43=Input!$C$6),0,IF($E44="","",IF($B44&gt;Input!$C$9,0,$AC44)+AL45/(1+$L44)*$R44))</f>
        <v>1371.0096824974096</v>
      </c>
      <c r="AM44" s="160">
        <f t="shared" si="6"/>
        <v>1.1382936520186004</v>
      </c>
      <c r="AN44" s="164">
        <f>IF($E44="","",IF($B44&gt;Input!$C$9,$AI44*$AC44,$AM44*$AC44))</f>
        <v>0</v>
      </c>
      <c r="AO44" s="164">
        <f>IF(AND($C43=12,$D43=Input!$C$6),0,IF($E44="","",$AN44+AO45/(1+$L44)*$R44))</f>
        <v>2049.2908155857713</v>
      </c>
      <c r="AP44" s="152"/>
      <c r="AQ44" s="164">
        <f t="shared" si="7"/>
        <v>80.54067164839671</v>
      </c>
      <c r="AR44" s="164">
        <f t="shared" si="16"/>
        <v>68.087716582928749</v>
      </c>
      <c r="AS44" s="164">
        <f t="shared" si="17"/>
        <v>43.062200956937801</v>
      </c>
      <c r="AT44" s="164">
        <f t="shared" si="8"/>
        <v>68.087716582928749</v>
      </c>
      <c r="AU44" s="152"/>
      <c r="AV44" s="147">
        <f>'Deterministic Reserve'!BC44</f>
        <v>0.81113142897065815</v>
      </c>
      <c r="AW44" s="164">
        <f t="shared" si="9"/>
        <v>68.087716582928749</v>
      </c>
      <c r="AX44" s="164">
        <f t="shared" si="10"/>
        <v>55.228086847260172</v>
      </c>
      <c r="AY44" s="152"/>
    </row>
    <row r="45" spans="1:51" s="150" customFormat="1" x14ac:dyDescent="0.25">
      <c r="A45" s="150">
        <f t="shared" si="18"/>
        <v>41</v>
      </c>
      <c r="B45" s="150">
        <f t="shared" si="19"/>
        <v>4</v>
      </c>
      <c r="C45" s="150">
        <f t="shared" si="20"/>
        <v>5</v>
      </c>
      <c r="D45" s="150">
        <f>IF(E45="","",Input!$C$4+B45-1)</f>
        <v>48</v>
      </c>
      <c r="E45" s="150">
        <f>IF(OR(AND(C44=12,D44=Input!$C$6),E44=""),"",1)</f>
        <v>1</v>
      </c>
      <c r="F45" s="150">
        <f>IF(E45="","",Input!$C$8+B45-1)</f>
        <v>2021</v>
      </c>
      <c r="G45" s="151">
        <f>IF(E45="","",MAX(0,Input!$C$9-B45))</f>
        <v>16</v>
      </c>
      <c r="H45" s="152">
        <f>IF(E45="","",Input!$C$3)</f>
        <v>100000</v>
      </c>
      <c r="I45" s="153">
        <f>IF(E45="","",HLOOKUP($B45,Input!$C$13:$BT$14,2))</f>
        <v>2.2999999999999998</v>
      </c>
      <c r="J45" s="154"/>
      <c r="K45" s="155">
        <f>IF($E45="","",Input!$C$57)</f>
        <v>4.4999999999999998E-2</v>
      </c>
      <c r="L45" s="155">
        <f t="shared" si="11"/>
        <v>3.6748094004368514E-3</v>
      </c>
      <c r="M45" s="147">
        <f>IF($E45="","",VLOOKUP(IF($B45&lt;=Input!$C$7,$B45,26),'Mortality Tables'!$A$72:$CA$97,IF($B45&lt;=Input!$C$7+1,Input!$C$4-16,$D45-Input!$C$7-16),0)/1000)</f>
        <v>8.9999999999999998E-4</v>
      </c>
      <c r="N45" s="147">
        <f t="shared" si="0"/>
        <v>7.5030955300703361E-5</v>
      </c>
      <c r="O45" s="157">
        <f>IF($E45="","",IF($C45=12,IF($B45&lt;Input!$C$9,Input!$C$54,IF($B45=Input!$C$9,Input!$C$55,Input!$C$56)),0%))</f>
        <v>0</v>
      </c>
      <c r="P45" s="167">
        <f>IF($E45="","",IF($B45=1,Input!$C$59,IF($B45&lt;6,Input!$C$60,0%)))</f>
        <v>0.1</v>
      </c>
      <c r="Q45" s="162">
        <f>IF($E45="","",Input!$C$58)</f>
        <v>2.5</v>
      </c>
      <c r="R45" s="156">
        <f t="shared" si="12"/>
        <v>0.9999249690446993</v>
      </c>
      <c r="S45" s="154">
        <f t="shared" si="1"/>
        <v>0.82885827082061247</v>
      </c>
      <c r="T45" s="152"/>
      <c r="U45" s="150">
        <f t="shared" si="13"/>
        <v>0</v>
      </c>
      <c r="V45" s="150">
        <f t="shared" si="14"/>
        <v>0</v>
      </c>
      <c r="W45" s="168">
        <f t="shared" si="15"/>
        <v>0</v>
      </c>
      <c r="X45" s="163">
        <f t="shared" si="2"/>
        <v>7.5030955300703361</v>
      </c>
      <c r="Y45" s="152"/>
      <c r="Z45" s="164">
        <f>IF(AND($C44=12,$D44=Input!$C$6),0,IF($E45="","",V45+Z46/(1+L45)*R45))</f>
        <v>2588.4766284651519</v>
      </c>
      <c r="AA45" s="164">
        <f>IF(OR($M45=1,AND($C44=12,$D44=Input!$C$6)),0,IF($E45="","",W45+(X45+AA46*$R45)/(1+$L45)))</f>
        <v>2130.3149560409752</v>
      </c>
      <c r="AB45" s="160">
        <f t="shared" si="3"/>
        <v>0.825720328500681</v>
      </c>
      <c r="AC45" s="164">
        <f t="shared" si="4"/>
        <v>0</v>
      </c>
      <c r="AD45" s="164">
        <f>IF(AND($C44=12,$D44=Input!$C$6),0,IF($E45="","",$AC45+AD46/(1+$L45)*$R45))</f>
        <v>2137.3577719725804</v>
      </c>
      <c r="AE45" s="152"/>
      <c r="AF45" s="164">
        <f>IF(AND($C44=12,$D44=Input!$C$6),0,IF($E45="","",IF($B45&gt;Input!$C$9,$AC45,0)+AF46/(1+$L45)*$R45))</f>
        <v>761.20663627148838</v>
      </c>
      <c r="AG45" s="164">
        <f>IF(AND($C44=12,$D44=Input!$C$6),0,IF($E45="","",(IF($B45&gt;Input!$C$9,$X45,0)+AG46)/(1+$L45)*$R45))</f>
        <v>363.34207675526392</v>
      </c>
      <c r="AH45" s="160">
        <f t="shared" si="5"/>
        <v>2.0950137211446997</v>
      </c>
      <c r="AI45" s="160">
        <f>IF($E45="","",MIN(Input!$C$61/AH45,1))</f>
        <v>0.64438718771845094</v>
      </c>
      <c r="AJ45" s="152"/>
      <c r="AK45" s="164">
        <f>IF(AND($C44=12,$D44=Input!$C$6),0,IF($E45="","",IF($B45&gt;Input!$C$9,$AC45*AI45,0)+AK46/(1+$L45)*$R45))</f>
        <v>490.51180361960644</v>
      </c>
      <c r="AL45" s="164">
        <f>IF(AND($C44=12,$D44=Input!$C$6),0,IF($E45="","",IF($B45&gt;Input!$C$9,0,$AC45)+AL46/(1+$L45)*$R45))</f>
        <v>1376.1511357010909</v>
      </c>
      <c r="AM45" s="160">
        <f t="shared" si="6"/>
        <v>1.1382936520186004</v>
      </c>
      <c r="AN45" s="164">
        <f>IF($E45="","",IF($B45&gt;Input!$C$9,$AI45*$AC45,$AM45*$AC45))</f>
        <v>0</v>
      </c>
      <c r="AO45" s="164">
        <f>IF(AND($C44=12,$D44=Input!$C$6),0,IF($E45="","",$AN45+AO46/(1+$L45)*$R45))</f>
        <v>2056.9759056063426</v>
      </c>
      <c r="AP45" s="152"/>
      <c r="AQ45" s="164">
        <f t="shared" si="7"/>
        <v>73.339050434632554</v>
      </c>
      <c r="AR45" s="164">
        <f t="shared" si="16"/>
        <v>68.087716582928749</v>
      </c>
      <c r="AS45" s="164">
        <f t="shared" si="17"/>
        <v>43.062200956937801</v>
      </c>
      <c r="AT45" s="164">
        <f t="shared" si="8"/>
        <v>68.087716582928749</v>
      </c>
      <c r="AU45" s="152"/>
      <c r="AV45" s="147">
        <f>'Deterministic Reserve'!BC45</f>
        <v>0.81109040093223972</v>
      </c>
      <c r="AW45" s="164">
        <f t="shared" si="9"/>
        <v>68.087716582928749</v>
      </c>
      <c r="AX45" s="164">
        <f t="shared" si="10"/>
        <v>55.225293341808388</v>
      </c>
      <c r="AY45" s="152"/>
    </row>
    <row r="46" spans="1:51" s="150" customFormat="1" x14ac:dyDescent="0.25">
      <c r="A46" s="150">
        <f t="shared" si="18"/>
        <v>42</v>
      </c>
      <c r="B46" s="150">
        <f t="shared" si="19"/>
        <v>4</v>
      </c>
      <c r="C46" s="150">
        <f t="shared" si="20"/>
        <v>6</v>
      </c>
      <c r="D46" s="150">
        <f>IF(E46="","",Input!$C$4+B46-1)</f>
        <v>48</v>
      </c>
      <c r="E46" s="150">
        <f>IF(OR(AND(C45=12,D45=Input!$C$6),E45=""),"",1)</f>
        <v>1</v>
      </c>
      <c r="F46" s="150">
        <f>IF(E46="","",Input!$C$8+B46-1)</f>
        <v>2021</v>
      </c>
      <c r="G46" s="151">
        <f>IF(E46="","",MAX(0,Input!$C$9-B46))</f>
        <v>16</v>
      </c>
      <c r="H46" s="152">
        <f>IF(E46="","",Input!$C$3)</f>
        <v>100000</v>
      </c>
      <c r="I46" s="153">
        <f>IF(E46="","",HLOOKUP($B46,Input!$C$13:$BT$14,2))</f>
        <v>2.2999999999999998</v>
      </c>
      <c r="J46" s="154"/>
      <c r="K46" s="155">
        <f>IF($E46="","",Input!$C$57)</f>
        <v>4.4999999999999998E-2</v>
      </c>
      <c r="L46" s="155">
        <f t="shared" si="11"/>
        <v>3.6748094004368514E-3</v>
      </c>
      <c r="M46" s="147">
        <f>IF($E46="","",VLOOKUP(IF($B46&lt;=Input!$C$7,$B46,26),'Mortality Tables'!$A$72:$CA$97,IF($B46&lt;=Input!$C$7+1,Input!$C$4-16,$D46-Input!$C$7-16),0)/1000)</f>
        <v>8.9999999999999998E-4</v>
      </c>
      <c r="N46" s="147">
        <f t="shared" si="0"/>
        <v>7.5030955300703361E-5</v>
      </c>
      <c r="O46" s="157">
        <f>IF($E46="","",IF($C46=12,IF($B46&lt;Input!$C$9,Input!$C$54,IF($B46=Input!$C$9,Input!$C$55,Input!$C$56)),0%))</f>
        <v>0</v>
      </c>
      <c r="P46" s="167">
        <f>IF($E46="","",IF($B46=1,Input!$C$59,IF($B46&lt;6,Input!$C$60,0%)))</f>
        <v>0.1</v>
      </c>
      <c r="Q46" s="162">
        <f>IF($E46="","",Input!$C$58)</f>
        <v>2.5</v>
      </c>
      <c r="R46" s="156">
        <f t="shared" si="12"/>
        <v>0.9999249690446993</v>
      </c>
      <c r="S46" s="154">
        <f t="shared" si="1"/>
        <v>0.82879608079274392</v>
      </c>
      <c r="T46" s="152"/>
      <c r="U46" s="150">
        <f t="shared" si="13"/>
        <v>0</v>
      </c>
      <c r="V46" s="150">
        <f t="shared" si="14"/>
        <v>0</v>
      </c>
      <c r="W46" s="168">
        <f t="shared" si="15"/>
        <v>0</v>
      </c>
      <c r="X46" s="163">
        <f t="shared" si="2"/>
        <v>7.5030955300703361</v>
      </c>
      <c r="Y46" s="152"/>
      <c r="Z46" s="164">
        <f>IF(AND($C45=12,$D45=Input!$C$6),0,IF($E46="","",V46+Z47/(1+L46)*R46))</f>
        <v>2598.1837309196244</v>
      </c>
      <c r="AA46" s="164">
        <f>IF(OR($M46=1,AND($C45=12,$D45=Input!$C$6)),0,IF($E46="","",W46+(X46+AA47*$R46)/(1+$L46)))</f>
        <v>2130.800237914661</v>
      </c>
      <c r="AB46" s="160">
        <f t="shared" si="3"/>
        <v>0.825720328500681</v>
      </c>
      <c r="AC46" s="164">
        <f t="shared" si="4"/>
        <v>0</v>
      </c>
      <c r="AD46" s="164">
        <f>IF(AND($C45=12,$D45=Input!$C$6),0,IF($E46="","",$AC46+AD47/(1+$L46)*$R46))</f>
        <v>2145.3731238000769</v>
      </c>
      <c r="AE46" s="152"/>
      <c r="AF46" s="164">
        <f>IF(AND($C45=12,$D45=Input!$C$6),0,IF($E46="","",IF($B46&gt;Input!$C$9,$AC46,0)+AF47/(1+$L46)*$R46))</f>
        <v>764.06125381991615</v>
      </c>
      <c r="AG46" s="164">
        <f>IF(AND($C45=12,$D45=Input!$C$6),0,IF($E46="","",(IF($B46&gt;Input!$C$9,$X46,0)+AG47)/(1+$L46)*$R46))</f>
        <v>364.70465377307363</v>
      </c>
      <c r="AH46" s="160">
        <f t="shared" si="5"/>
        <v>2.0950137211446997</v>
      </c>
      <c r="AI46" s="160">
        <f>IF($E46="","",MIN(Input!$C$61/AH46,1))</f>
        <v>0.64438718771845094</v>
      </c>
      <c r="AJ46" s="152"/>
      <c r="AK46" s="164">
        <f>IF(AND($C45=12,$D45=Input!$C$6),0,IF($E46="","",IF($B46&gt;Input!$C$9,$AC46*AI46,0)+AK47/(1+$L46)*$R46))</f>
        <v>492.35128259364956</v>
      </c>
      <c r="AL46" s="164">
        <f>IF(AND($C45=12,$D45=Input!$C$6),0,IF($E46="","",IF($B46&gt;Input!$C$9,0,$AC46)+AL47/(1+$L46)*$R46))</f>
        <v>1381.3118699801598</v>
      </c>
      <c r="AM46" s="160">
        <f t="shared" si="6"/>
        <v>1.1382936520186004</v>
      </c>
      <c r="AN46" s="164">
        <f>IF($E46="","",IF($B46&gt;Input!$C$9,$AI46*$AC46,$AM46*$AC46))</f>
        <v>0</v>
      </c>
      <c r="AO46" s="164">
        <f>IF(AND($C45=12,$D45=Input!$C$6),0,IF($E46="","",$AN46+AO47/(1+$L46)*$R46))</f>
        <v>2064.6898156500051</v>
      </c>
      <c r="AP46" s="152"/>
      <c r="AQ46" s="164">
        <f t="shared" si="7"/>
        <v>66.110422264655881</v>
      </c>
      <c r="AR46" s="164">
        <f t="shared" si="16"/>
        <v>68.087716582928749</v>
      </c>
      <c r="AS46" s="164">
        <f t="shared" si="17"/>
        <v>43.062200956937801</v>
      </c>
      <c r="AT46" s="164">
        <f t="shared" si="8"/>
        <v>68.087716582928749</v>
      </c>
      <c r="AU46" s="152"/>
      <c r="AV46" s="147">
        <f>'Deterministic Reserve'!BC46</f>
        <v>0.81104937496907059</v>
      </c>
      <c r="AW46" s="164">
        <f t="shared" si="9"/>
        <v>68.087716582928749</v>
      </c>
      <c r="AX46" s="164">
        <f t="shared" si="10"/>
        <v>55.222499977655588</v>
      </c>
      <c r="AY46" s="152"/>
    </row>
    <row r="47" spans="1:51" s="150" customFormat="1" x14ac:dyDescent="0.25">
      <c r="A47" s="150">
        <f t="shared" si="18"/>
        <v>43</v>
      </c>
      <c r="B47" s="150">
        <f t="shared" si="19"/>
        <v>4</v>
      </c>
      <c r="C47" s="150">
        <f t="shared" si="20"/>
        <v>7</v>
      </c>
      <c r="D47" s="150">
        <f>IF(E47="","",Input!$C$4+B47-1)</f>
        <v>48</v>
      </c>
      <c r="E47" s="150">
        <f>IF(OR(AND(C46=12,D46=Input!$C$6),E46=""),"",1)</f>
        <v>1</v>
      </c>
      <c r="F47" s="150">
        <f>IF(E47="","",Input!$C$8+B47-1)</f>
        <v>2021</v>
      </c>
      <c r="G47" s="151">
        <f>IF(E47="","",MAX(0,Input!$C$9-B47))</f>
        <v>16</v>
      </c>
      <c r="H47" s="152">
        <f>IF(E47="","",Input!$C$3)</f>
        <v>100000</v>
      </c>
      <c r="I47" s="153">
        <f>IF(E47="","",HLOOKUP($B47,Input!$C$13:$BT$14,2))</f>
        <v>2.2999999999999998</v>
      </c>
      <c r="J47" s="154"/>
      <c r="K47" s="155">
        <f>IF($E47="","",Input!$C$57)</f>
        <v>4.4999999999999998E-2</v>
      </c>
      <c r="L47" s="155">
        <f t="shared" si="11"/>
        <v>3.6748094004368514E-3</v>
      </c>
      <c r="M47" s="147">
        <f>IF($E47="","",VLOOKUP(IF($B47&lt;=Input!$C$7,$B47,26),'Mortality Tables'!$A$72:$CA$97,IF($B47&lt;=Input!$C$7+1,Input!$C$4-16,$D47-Input!$C$7-16),0)/1000)</f>
        <v>8.9999999999999998E-4</v>
      </c>
      <c r="N47" s="147">
        <f t="shared" si="0"/>
        <v>7.5030955300703361E-5</v>
      </c>
      <c r="O47" s="157">
        <f>IF($E47="","",IF($C47=12,IF($B47&lt;Input!$C$9,Input!$C$54,IF($B47=Input!$C$9,Input!$C$55,Input!$C$56)),0%))</f>
        <v>0</v>
      </c>
      <c r="P47" s="167">
        <f>IF($E47="","",IF($B47=1,Input!$C$59,IF($B47&lt;6,Input!$C$60,0%)))</f>
        <v>0.1</v>
      </c>
      <c r="Q47" s="162">
        <f>IF($E47="","",Input!$C$58)</f>
        <v>2.5</v>
      </c>
      <c r="R47" s="156">
        <f t="shared" si="12"/>
        <v>0.9999249690446993</v>
      </c>
      <c r="S47" s="154">
        <f t="shared" si="1"/>
        <v>0.82873389543105258</v>
      </c>
      <c r="T47" s="152"/>
      <c r="U47" s="150">
        <f t="shared" si="13"/>
        <v>0</v>
      </c>
      <c r="V47" s="150">
        <f t="shared" si="14"/>
        <v>0</v>
      </c>
      <c r="W47" s="168">
        <f t="shared" si="15"/>
        <v>0</v>
      </c>
      <c r="X47" s="163">
        <f t="shared" si="2"/>
        <v>7.5030955300703361</v>
      </c>
      <c r="Y47" s="152"/>
      <c r="Z47" s="164">
        <f>IF(AND($C46=12,$D46=Input!$C$6),0,IF($E47="","",V47+Z48/(1+L47)*R47))</f>
        <v>2607.9272361899561</v>
      </c>
      <c r="AA47" s="164">
        <f>IF(OR($M47=1,AND($C46=12,$D46=Input!$C$6)),0,IF($E47="","",W47+(X47+AA48*$R47)/(1+$L47)))</f>
        <v>2131.2873396544469</v>
      </c>
      <c r="AB47" s="160">
        <f t="shared" si="3"/>
        <v>0.825720328500681</v>
      </c>
      <c r="AC47" s="164">
        <f t="shared" si="4"/>
        <v>0</v>
      </c>
      <c r="AD47" s="164">
        <f>IF(AND($C46=12,$D46=Input!$C$6),0,IF($E47="","",$AC47+AD48/(1+$L47)*$R47))</f>
        <v>2153.4185341726429</v>
      </c>
      <c r="AE47" s="152"/>
      <c r="AF47" s="164">
        <f>IF(AND($C46=12,$D46=Input!$C$6),0,IF($E47="","",IF($B47&gt;Input!$C$9,$AC47,0)+AF48/(1+$L47)*$R47))</f>
        <v>766.92657653164576</v>
      </c>
      <c r="AG47" s="164">
        <f>IF(AND($C46=12,$D46=Input!$C$6),0,IF($E47="","",(IF($B47&gt;Input!$C$9,$X47,0)+AG48)/(1+$L47)*$R47))</f>
        <v>366.0723406205679</v>
      </c>
      <c r="AH47" s="160">
        <f t="shared" si="5"/>
        <v>2.0950137211446997</v>
      </c>
      <c r="AI47" s="160">
        <f>IF($E47="","",MIN(Input!$C$61/AH47,1))</f>
        <v>0.64438718771845094</v>
      </c>
      <c r="AJ47" s="152"/>
      <c r="AK47" s="164">
        <f>IF(AND($C46=12,$D46=Input!$C$6),0,IF($E47="","",IF($B47&gt;Input!$C$9,$AC47*AI47,0)+AK48/(1+$L47)*$R47))</f>
        <v>494.19765983776682</v>
      </c>
      <c r="AL47" s="164">
        <f>IF(AND($C46=12,$D46=Input!$C$6),0,IF($E47="","",IF($B47&gt;Input!$C$9,0,$AC47)+AL48/(1+$L47)*$R47))</f>
        <v>1386.4919576409964</v>
      </c>
      <c r="AM47" s="160">
        <f t="shared" si="6"/>
        <v>1.1382936520186004</v>
      </c>
      <c r="AN47" s="164">
        <f>IF($E47="","",IF($B47&gt;Input!$C$9,$AI47*$AC47,$AM47*$AC47))</f>
        <v>0</v>
      </c>
      <c r="AO47" s="164">
        <f>IF(AND($C46=12,$D46=Input!$C$6),0,IF($E47="","",$AN47+AO48/(1+$L47)*$R47))</f>
        <v>2072.4326537953525</v>
      </c>
      <c r="AP47" s="152"/>
      <c r="AQ47" s="164">
        <f t="shared" si="7"/>
        <v>58.854685859094388</v>
      </c>
      <c r="AR47" s="164">
        <f t="shared" si="16"/>
        <v>68.087716582928749</v>
      </c>
      <c r="AS47" s="164">
        <f t="shared" si="17"/>
        <v>43.062200956937801</v>
      </c>
      <c r="AT47" s="164">
        <f t="shared" si="8"/>
        <v>68.087716582928749</v>
      </c>
      <c r="AU47" s="152"/>
      <c r="AV47" s="147">
        <f>'Deterministic Reserve'!BC47</f>
        <v>0.81100835108104585</v>
      </c>
      <c r="AW47" s="164">
        <f t="shared" si="9"/>
        <v>68.087716582928749</v>
      </c>
      <c r="AX47" s="164">
        <f t="shared" si="10"/>
        <v>55.219706754794629</v>
      </c>
      <c r="AY47" s="152"/>
    </row>
    <row r="48" spans="1:51" s="150" customFormat="1" x14ac:dyDescent="0.25">
      <c r="A48" s="150">
        <f t="shared" si="18"/>
        <v>44</v>
      </c>
      <c r="B48" s="150">
        <f t="shared" si="19"/>
        <v>4</v>
      </c>
      <c r="C48" s="150">
        <f t="shared" si="20"/>
        <v>8</v>
      </c>
      <c r="D48" s="150">
        <f>IF(E48="","",Input!$C$4+B48-1)</f>
        <v>48</v>
      </c>
      <c r="E48" s="150">
        <f>IF(OR(AND(C47=12,D47=Input!$C$6),E47=""),"",1)</f>
        <v>1</v>
      </c>
      <c r="F48" s="150">
        <f>IF(E48="","",Input!$C$8+B48-1)</f>
        <v>2021</v>
      </c>
      <c r="G48" s="151">
        <f>IF(E48="","",MAX(0,Input!$C$9-B48))</f>
        <v>16</v>
      </c>
      <c r="H48" s="152">
        <f>IF(E48="","",Input!$C$3)</f>
        <v>100000</v>
      </c>
      <c r="I48" s="153">
        <f>IF(E48="","",HLOOKUP($B48,Input!$C$13:$BT$14,2))</f>
        <v>2.2999999999999998</v>
      </c>
      <c r="J48" s="154"/>
      <c r="K48" s="155">
        <f>IF($E48="","",Input!$C$57)</f>
        <v>4.4999999999999998E-2</v>
      </c>
      <c r="L48" s="155">
        <f t="shared" si="11"/>
        <v>3.6748094004368514E-3</v>
      </c>
      <c r="M48" s="147">
        <f>IF($E48="","",VLOOKUP(IF($B48&lt;=Input!$C$7,$B48,26),'Mortality Tables'!$A$72:$CA$97,IF($B48&lt;=Input!$C$7+1,Input!$C$4-16,$D48-Input!$C$7-16),0)/1000)</f>
        <v>8.9999999999999998E-4</v>
      </c>
      <c r="N48" s="147">
        <f t="shared" si="0"/>
        <v>7.5030955300703361E-5</v>
      </c>
      <c r="O48" s="157">
        <f>IF($E48="","",IF($C48=12,IF($B48&lt;Input!$C$9,Input!$C$54,IF($B48=Input!$C$9,Input!$C$55,Input!$C$56)),0%))</f>
        <v>0</v>
      </c>
      <c r="P48" s="167">
        <f>IF($E48="","",IF($B48=1,Input!$C$59,IF($B48&lt;6,Input!$C$60,0%)))</f>
        <v>0.1</v>
      </c>
      <c r="Q48" s="162">
        <f>IF($E48="","",Input!$C$58)</f>
        <v>2.5</v>
      </c>
      <c r="R48" s="156">
        <f t="shared" si="12"/>
        <v>0.9999249690446993</v>
      </c>
      <c r="S48" s="154">
        <f t="shared" si="1"/>
        <v>0.8286717147351883</v>
      </c>
      <c r="T48" s="152"/>
      <c r="U48" s="150">
        <f t="shared" si="13"/>
        <v>0</v>
      </c>
      <c r="V48" s="150">
        <f t="shared" si="14"/>
        <v>0</v>
      </c>
      <c r="W48" s="168">
        <f t="shared" si="15"/>
        <v>0</v>
      </c>
      <c r="X48" s="163">
        <f t="shared" si="2"/>
        <v>7.5030955300703361</v>
      </c>
      <c r="Y48" s="152"/>
      <c r="Z48" s="164">
        <f>IF(AND($C47=12,$D47=Input!$C$6),0,IF($E48="","",V48+Z49/(1+L48)*R48))</f>
        <v>2617.7072807911377</v>
      </c>
      <c r="AA48" s="164">
        <f>IF(OR($M48=1,AND($C47=12,$D47=Input!$C$6)),0,IF($E48="","",W48+(X48+AA49*$R48)/(1+$L48)))</f>
        <v>2131.7762680850524</v>
      </c>
      <c r="AB48" s="160">
        <f t="shared" si="3"/>
        <v>0.825720328500681</v>
      </c>
      <c r="AC48" s="164">
        <f t="shared" si="4"/>
        <v>0</v>
      </c>
      <c r="AD48" s="164">
        <f>IF(AND($C47=12,$D47=Input!$C$6),0,IF($E48="","",$AC48+AD49/(1+$L48)*$R48))</f>
        <v>2161.4941158134816</v>
      </c>
      <c r="AE48" s="152"/>
      <c r="AF48" s="164">
        <f>IF(AND($C47=12,$D47=Input!$C$6),0,IF($E48="","",IF($B48&gt;Input!$C$9,$AC48,0)+AF49/(1+$L48)*$R48))</f>
        <v>769.80264455234283</v>
      </c>
      <c r="AG48" s="164">
        <f>IF(AND($C47=12,$D47=Input!$C$6),0,IF($E48="","",(IF($B48&gt;Input!$C$9,$X48,0)+AG49)/(1+$L48)*$R48))</f>
        <v>367.44515646023012</v>
      </c>
      <c r="AH48" s="160">
        <f t="shared" si="5"/>
        <v>2.0950137211446997</v>
      </c>
      <c r="AI48" s="160">
        <f>IF($E48="","",MIN(Input!$C$61/AH48,1))</f>
        <v>0.64438718771845094</v>
      </c>
      <c r="AJ48" s="152"/>
      <c r="AK48" s="164">
        <f>IF(AND($C47=12,$D47=Input!$C$6),0,IF($E48="","",IF($B48&gt;Input!$C$9,$AC48*AI48,0)+AK49/(1+$L48)*$R48))</f>
        <v>496.05096122131079</v>
      </c>
      <c r="AL48" s="164">
        <f>IF(AND($C47=12,$D47=Input!$C$6),0,IF($E48="","",IF($B48&gt;Input!$C$9,0,$AC48)+AL49/(1+$L48)*$R48))</f>
        <v>1391.6914712611383</v>
      </c>
      <c r="AM48" s="160">
        <f t="shared" si="6"/>
        <v>1.1382936520186004</v>
      </c>
      <c r="AN48" s="164">
        <f>IF($E48="","",IF($B48&gt;Input!$C$9,$AI48*$AC48,$AM48*$AC48))</f>
        <v>0</v>
      </c>
      <c r="AO48" s="164">
        <f>IF(AND($C47=12,$D47=Input!$C$6),0,IF($E48="","",$AN48+AO49/(1+$L48)*$R48))</f>
        <v>2080.204528526288</v>
      </c>
      <c r="AP48" s="152"/>
      <c r="AQ48" s="164">
        <f t="shared" si="7"/>
        <v>51.571739558764421</v>
      </c>
      <c r="AR48" s="164">
        <f t="shared" si="16"/>
        <v>68.087716582928749</v>
      </c>
      <c r="AS48" s="164">
        <f t="shared" si="17"/>
        <v>43.062200956937801</v>
      </c>
      <c r="AT48" s="164">
        <f t="shared" si="8"/>
        <v>68.087716582928749</v>
      </c>
      <c r="AU48" s="152"/>
      <c r="AV48" s="147">
        <f>'Deterministic Reserve'!BC48</f>
        <v>0.81096732926806048</v>
      </c>
      <c r="AW48" s="164">
        <f t="shared" si="9"/>
        <v>68.087716582928749</v>
      </c>
      <c r="AX48" s="164">
        <f t="shared" si="10"/>
        <v>55.216913673218357</v>
      </c>
      <c r="AY48" s="152"/>
    </row>
    <row r="49" spans="1:51" s="150" customFormat="1" x14ac:dyDescent="0.25">
      <c r="A49" s="150">
        <f t="shared" si="18"/>
        <v>45</v>
      </c>
      <c r="B49" s="150">
        <f t="shared" si="19"/>
        <v>4</v>
      </c>
      <c r="C49" s="150">
        <f t="shared" si="20"/>
        <v>9</v>
      </c>
      <c r="D49" s="150">
        <f>IF(E49="","",Input!$C$4+B49-1)</f>
        <v>48</v>
      </c>
      <c r="E49" s="150">
        <f>IF(OR(AND(C48=12,D48=Input!$C$6),E48=""),"",1)</f>
        <v>1</v>
      </c>
      <c r="F49" s="150">
        <f>IF(E49="","",Input!$C$8+B49-1)</f>
        <v>2021</v>
      </c>
      <c r="G49" s="151">
        <f>IF(E49="","",MAX(0,Input!$C$9-B49))</f>
        <v>16</v>
      </c>
      <c r="H49" s="152">
        <f>IF(E49="","",Input!$C$3)</f>
        <v>100000</v>
      </c>
      <c r="I49" s="153">
        <f>IF(E49="","",HLOOKUP($B49,Input!$C$13:$BT$14,2))</f>
        <v>2.2999999999999998</v>
      </c>
      <c r="J49" s="154"/>
      <c r="K49" s="155">
        <f>IF($E49="","",Input!$C$57)</f>
        <v>4.4999999999999998E-2</v>
      </c>
      <c r="L49" s="155">
        <f t="shared" si="11"/>
        <v>3.6748094004368514E-3</v>
      </c>
      <c r="M49" s="147">
        <f>IF($E49="","",VLOOKUP(IF($B49&lt;=Input!$C$7,$B49,26),'Mortality Tables'!$A$72:$CA$97,IF($B49&lt;=Input!$C$7+1,Input!$C$4-16,$D49-Input!$C$7-16),0)/1000)</f>
        <v>8.9999999999999998E-4</v>
      </c>
      <c r="N49" s="147">
        <f t="shared" si="0"/>
        <v>7.5030955300703361E-5</v>
      </c>
      <c r="O49" s="157">
        <f>IF($E49="","",IF($C49=12,IF($B49&lt;Input!$C$9,Input!$C$54,IF($B49=Input!$C$9,Input!$C$55,Input!$C$56)),0%))</f>
        <v>0</v>
      </c>
      <c r="P49" s="167">
        <f>IF($E49="","",IF($B49=1,Input!$C$59,IF($B49&lt;6,Input!$C$60,0%)))</f>
        <v>0.1</v>
      </c>
      <c r="Q49" s="162">
        <f>IF($E49="","",Input!$C$58)</f>
        <v>2.5</v>
      </c>
      <c r="R49" s="156">
        <f t="shared" si="12"/>
        <v>0.9999249690446993</v>
      </c>
      <c r="S49" s="154">
        <f t="shared" si="1"/>
        <v>0.82860953870480103</v>
      </c>
      <c r="T49" s="152"/>
      <c r="U49" s="150">
        <f t="shared" si="13"/>
        <v>0</v>
      </c>
      <c r="V49" s="150">
        <f t="shared" si="14"/>
        <v>0</v>
      </c>
      <c r="W49" s="168">
        <f t="shared" si="15"/>
        <v>0</v>
      </c>
      <c r="X49" s="163">
        <f t="shared" si="2"/>
        <v>7.5030955300703361</v>
      </c>
      <c r="Y49" s="152"/>
      <c r="Z49" s="164">
        <f>IF(AND($C48=12,$D48=Input!$C$6),0,IF($E49="","",V49+Z50/(1+L49)*R49))</f>
        <v>2627.5240017501078</v>
      </c>
      <c r="AA49" s="164">
        <f>IF(OR($M49=1,AND($C48=12,$D48=Input!$C$6)),0,IF($E49="","",W49+(X49+AA50*$R49)/(1+$L49)))</f>
        <v>2132.2670300567902</v>
      </c>
      <c r="AB49" s="160">
        <f t="shared" si="3"/>
        <v>0.825720328500681</v>
      </c>
      <c r="AC49" s="164">
        <f t="shared" si="4"/>
        <v>0</v>
      </c>
      <c r="AD49" s="164">
        <f>IF(AND($C48=12,$D48=Input!$C$6),0,IF($E49="","",$AC49+AD50/(1+$L49)*$R49))</f>
        <v>2169.5999818685218</v>
      </c>
      <c r="AE49" s="152"/>
      <c r="AF49" s="164">
        <f>IF(AND($C48=12,$D48=Input!$C$6),0,IF($E49="","",IF($B49&gt;Input!$C$9,$AC49,0)+AF50/(1+$L49)*$R49))</f>
        <v>772.68949817822408</v>
      </c>
      <c r="AG49" s="164">
        <f>IF(AND($C48=12,$D48=Input!$C$6),0,IF($E49="","",(IF($B49&gt;Input!$C$9,$X49,0)+AG50)/(1+$L49)*$R49))</f>
        <v>368.82312052640526</v>
      </c>
      <c r="AH49" s="160">
        <f t="shared" si="5"/>
        <v>2.0950137211446997</v>
      </c>
      <c r="AI49" s="160">
        <f>IF($E49="","",MIN(Input!$C$61/AH49,1))</f>
        <v>0.64438718771845094</v>
      </c>
      <c r="AJ49" s="152"/>
      <c r="AK49" s="164">
        <f>IF(AND($C48=12,$D48=Input!$C$6),0,IF($E49="","",IF($B49&gt;Input!$C$9,$AC49*AI49,0)+AK50/(1+$L49)*$R49))</f>
        <v>497.91121271064725</v>
      </c>
      <c r="AL49" s="164">
        <f>IF(AND($C48=12,$D48=Input!$C$6),0,IF($E49="","",IF($B49&gt;Input!$C$9,0,$AC49)+AL50/(1+$L49)*$R49))</f>
        <v>1396.9104836902973</v>
      </c>
      <c r="AM49" s="160">
        <f t="shared" si="6"/>
        <v>1.1382936520186004</v>
      </c>
      <c r="AN49" s="164">
        <f>IF($E49="","",IF($B49&gt;Input!$C$9,$AI49*$AC49,$AM49*$AC49))</f>
        <v>0</v>
      </c>
      <c r="AO49" s="164">
        <f>IF(AND($C48=12,$D48=Input!$C$6),0,IF($E49="","",$AN49+AO50/(1+$L49)*$R49))</f>
        <v>2088.0055487335421</v>
      </c>
      <c r="AP49" s="152"/>
      <c r="AQ49" s="164">
        <f t="shared" si="7"/>
        <v>44.261481323248063</v>
      </c>
      <c r="AR49" s="164">
        <f t="shared" si="16"/>
        <v>68.087716582928749</v>
      </c>
      <c r="AS49" s="164">
        <f t="shared" si="17"/>
        <v>43.062200956937801</v>
      </c>
      <c r="AT49" s="164">
        <f t="shared" si="8"/>
        <v>68.087716582928749</v>
      </c>
      <c r="AU49" s="152"/>
      <c r="AV49" s="147">
        <f>'Deterministic Reserve'!BC49</f>
        <v>0.81092630953000955</v>
      </c>
      <c r="AW49" s="164">
        <f t="shared" si="9"/>
        <v>68.087716582928749</v>
      </c>
      <c r="AX49" s="164">
        <f t="shared" si="10"/>
        <v>55.214120732919646</v>
      </c>
      <c r="AY49" s="152"/>
    </row>
    <row r="50" spans="1:51" s="150" customFormat="1" x14ac:dyDescent="0.25">
      <c r="A50" s="150">
        <f t="shared" si="18"/>
        <v>46</v>
      </c>
      <c r="B50" s="150">
        <f t="shared" si="19"/>
        <v>4</v>
      </c>
      <c r="C50" s="150">
        <f t="shared" si="20"/>
        <v>10</v>
      </c>
      <c r="D50" s="150">
        <f>IF(E50="","",Input!$C$4+B50-1)</f>
        <v>48</v>
      </c>
      <c r="E50" s="150">
        <f>IF(OR(AND(C49=12,D49=Input!$C$6),E49=""),"",1)</f>
        <v>1</v>
      </c>
      <c r="F50" s="150">
        <f>IF(E50="","",Input!$C$8+B50-1)</f>
        <v>2021</v>
      </c>
      <c r="G50" s="151">
        <f>IF(E50="","",MAX(0,Input!$C$9-B50))</f>
        <v>16</v>
      </c>
      <c r="H50" s="152">
        <f>IF(E50="","",Input!$C$3)</f>
        <v>100000</v>
      </c>
      <c r="I50" s="153">
        <f>IF(E50="","",HLOOKUP($B50,Input!$C$13:$BT$14,2))</f>
        <v>2.2999999999999998</v>
      </c>
      <c r="J50" s="154"/>
      <c r="K50" s="155">
        <f>IF($E50="","",Input!$C$57)</f>
        <v>4.4999999999999998E-2</v>
      </c>
      <c r="L50" s="155">
        <f t="shared" si="11"/>
        <v>3.6748094004368514E-3</v>
      </c>
      <c r="M50" s="147">
        <f>IF($E50="","",VLOOKUP(IF($B50&lt;=Input!$C$7,$B50,26),'Mortality Tables'!$A$72:$CA$97,IF($B50&lt;=Input!$C$7+1,Input!$C$4-16,$D50-Input!$C$7-16),0)/1000)</f>
        <v>8.9999999999999998E-4</v>
      </c>
      <c r="N50" s="147">
        <f t="shared" si="0"/>
        <v>7.5030955300703361E-5</v>
      </c>
      <c r="O50" s="157">
        <f>IF($E50="","",IF($C50=12,IF($B50&lt;Input!$C$9,Input!$C$54,IF($B50=Input!$C$9,Input!$C$55,Input!$C$56)),0%))</f>
        <v>0</v>
      </c>
      <c r="P50" s="167">
        <f>IF($E50="","",IF($B50=1,Input!$C$59,IF($B50&lt;6,Input!$C$60,0%)))</f>
        <v>0.1</v>
      </c>
      <c r="Q50" s="162">
        <f>IF($E50="","",Input!$C$58)</f>
        <v>2.5</v>
      </c>
      <c r="R50" s="156">
        <f t="shared" si="12"/>
        <v>0.9999249690446993</v>
      </c>
      <c r="S50" s="154">
        <f t="shared" si="1"/>
        <v>0.82854736733954071</v>
      </c>
      <c r="T50" s="152"/>
      <c r="U50" s="150">
        <f t="shared" si="13"/>
        <v>0</v>
      </c>
      <c r="V50" s="150">
        <f t="shared" si="14"/>
        <v>0</v>
      </c>
      <c r="W50" s="168">
        <f t="shared" si="15"/>
        <v>0</v>
      </c>
      <c r="X50" s="163">
        <f t="shared" si="2"/>
        <v>7.5030955300703361</v>
      </c>
      <c r="Y50" s="152"/>
      <c r="Z50" s="164">
        <f>IF(AND($C49=12,$D49=Input!$C$6),0,IF($E50="","",V50+Z51/(1+L50)*R50))</f>
        <v>2637.3775366076725</v>
      </c>
      <c r="AA50" s="164">
        <f>IF(OR($M50=1,AND($C49=12,$D49=Input!$C$6)),0,IF($E50="","",W50+(X50+AA51*$R50)/(1+$L50)))</f>
        <v>2132.7596324456636</v>
      </c>
      <c r="AB50" s="160">
        <f t="shared" si="3"/>
        <v>0.825720328500681</v>
      </c>
      <c r="AC50" s="164">
        <f t="shared" si="4"/>
        <v>0</v>
      </c>
      <c r="AD50" s="164">
        <f>IF(AND($C49=12,$D49=Input!$C$6),0,IF($E50="","",$AC50+AD51/(1+$L50)*$R50))</f>
        <v>2177.7362459080036</v>
      </c>
      <c r="AE50" s="152"/>
      <c r="AF50" s="164">
        <f>IF(AND($C49=12,$D49=Input!$C$6),0,IF($E50="","",IF($B50&gt;Input!$C$9,$AC50,0)+AF51/(1+$L50)*$R50))</f>
        <v>775.58717785662179</v>
      </c>
      <c r="AG50" s="164">
        <f>IF(AND($C49=12,$D49=Input!$C$6),0,IF($E50="","",(IF($B50&gt;Input!$C$9,$X50,0)+AG51)/(1+$L50)*$R50))</f>
        <v>370.20625212556945</v>
      </c>
      <c r="AH50" s="160">
        <f t="shared" si="5"/>
        <v>2.0950137211446997</v>
      </c>
      <c r="AI50" s="160">
        <f>IF($E50="","",MIN(Input!$C$61/AH50,1))</f>
        <v>0.64438718771845094</v>
      </c>
      <c r="AJ50" s="152"/>
      <c r="AK50" s="164">
        <f>IF(AND($C49=12,$D49=Input!$C$6),0,IF($E50="","",IF($B50&gt;Input!$C$9,$AC50*AI50,0)+AK51/(1+$L50)*$R50))</f>
        <v>499.77844036951888</v>
      </c>
      <c r="AL50" s="164">
        <f>IF(AND($C49=12,$D49=Input!$C$6),0,IF($E50="","",IF($B50&gt;Input!$C$9,0,$AC50)+AL51/(1+$L50)*$R50))</f>
        <v>1402.1490680513809</v>
      </c>
      <c r="AM50" s="160">
        <f t="shared" si="6"/>
        <v>1.1382936520186004</v>
      </c>
      <c r="AN50" s="164">
        <f>IF($E50="","",IF($B50&gt;Input!$C$9,$AI50*$AC50,$AM50*$AC50))</f>
        <v>0</v>
      </c>
      <c r="AO50" s="164">
        <f>IF(AND($C49=12,$D49=Input!$C$6),0,IF($E50="","",$AN50+AO51/(1+$L50)*$R50))</f>
        <v>2095.8358237161992</v>
      </c>
      <c r="AP50" s="152"/>
      <c r="AQ50" s="164">
        <f t="shared" si="7"/>
        <v>36.923808729464326</v>
      </c>
      <c r="AR50" s="164">
        <f t="shared" si="16"/>
        <v>68.087716582928749</v>
      </c>
      <c r="AS50" s="164">
        <f t="shared" si="17"/>
        <v>43.062200956937801</v>
      </c>
      <c r="AT50" s="164">
        <f t="shared" si="8"/>
        <v>68.087716582928749</v>
      </c>
      <c r="AU50" s="152"/>
      <c r="AV50" s="147">
        <f>'Deterministic Reserve'!BC50</f>
        <v>0.81088529186678804</v>
      </c>
      <c r="AW50" s="164">
        <f t="shared" si="9"/>
        <v>68.087716582928749</v>
      </c>
      <c r="AX50" s="164">
        <f t="shared" si="10"/>
        <v>55.211327933891326</v>
      </c>
      <c r="AY50" s="152"/>
    </row>
    <row r="51" spans="1:51" s="150" customFormat="1" x14ac:dyDescent="0.25">
      <c r="A51" s="150">
        <f t="shared" si="18"/>
        <v>47</v>
      </c>
      <c r="B51" s="150">
        <f t="shared" si="19"/>
        <v>4</v>
      </c>
      <c r="C51" s="150">
        <f t="shared" si="20"/>
        <v>11</v>
      </c>
      <c r="D51" s="150">
        <f>IF(E51="","",Input!$C$4+B51-1)</f>
        <v>48</v>
      </c>
      <c r="E51" s="150">
        <f>IF(OR(AND(C50=12,D50=Input!$C$6),E50=""),"",1)</f>
        <v>1</v>
      </c>
      <c r="F51" s="150">
        <f>IF(E51="","",Input!$C$8+B51-1)</f>
        <v>2021</v>
      </c>
      <c r="G51" s="151">
        <f>IF(E51="","",MAX(0,Input!$C$9-B51))</f>
        <v>16</v>
      </c>
      <c r="H51" s="152">
        <f>IF(E51="","",Input!$C$3)</f>
        <v>100000</v>
      </c>
      <c r="I51" s="153">
        <f>IF(E51="","",HLOOKUP($B51,Input!$C$13:$BT$14,2))</f>
        <v>2.2999999999999998</v>
      </c>
      <c r="J51" s="154"/>
      <c r="K51" s="155">
        <f>IF($E51="","",Input!$C$57)</f>
        <v>4.4999999999999998E-2</v>
      </c>
      <c r="L51" s="155">
        <f t="shared" si="11"/>
        <v>3.6748094004368514E-3</v>
      </c>
      <c r="M51" s="147">
        <f>IF($E51="","",VLOOKUP(IF($B51&lt;=Input!$C$7,$B51,26),'Mortality Tables'!$A$72:$CA$97,IF($B51&lt;=Input!$C$7+1,Input!$C$4-16,$D51-Input!$C$7-16),0)/1000)</f>
        <v>8.9999999999999998E-4</v>
      </c>
      <c r="N51" s="147">
        <f t="shared" si="0"/>
        <v>7.5030955300703361E-5</v>
      </c>
      <c r="O51" s="157">
        <f>IF($E51="","",IF($C51=12,IF($B51&lt;Input!$C$9,Input!$C$54,IF($B51=Input!$C$9,Input!$C$55,Input!$C$56)),0%))</f>
        <v>0</v>
      </c>
      <c r="P51" s="167">
        <f>IF($E51="","",IF($B51=1,Input!$C$59,IF($B51&lt;6,Input!$C$60,0%)))</f>
        <v>0.1</v>
      </c>
      <c r="Q51" s="162">
        <f>IF($E51="","",Input!$C$58)</f>
        <v>2.5</v>
      </c>
      <c r="R51" s="156">
        <f t="shared" si="12"/>
        <v>0.9999249690446993</v>
      </c>
      <c r="S51" s="154">
        <f t="shared" si="1"/>
        <v>0.82848520063905728</v>
      </c>
      <c r="T51" s="152"/>
      <c r="U51" s="150">
        <f t="shared" si="13"/>
        <v>0</v>
      </c>
      <c r="V51" s="150">
        <f t="shared" si="14"/>
        <v>0</v>
      </c>
      <c r="W51" s="168">
        <f t="shared" si="15"/>
        <v>0</v>
      </c>
      <c r="X51" s="163">
        <f t="shared" si="2"/>
        <v>7.5030955300703361</v>
      </c>
      <c r="Y51" s="152"/>
      <c r="Z51" s="164">
        <f>IF(AND($C50=12,$D50=Input!$C$6),0,IF($E51="","",V51+Z52/(1+L51)*R51))</f>
        <v>2647.2680234204336</v>
      </c>
      <c r="AA51" s="164">
        <f>IF(OR($M51=1,AND($C50=12,$D50=Input!$C$6)),0,IF($E51="","",W51+(X51+AA52*$R51)/(1+$L51)))</f>
        <v>2133.2540821534599</v>
      </c>
      <c r="AB51" s="160">
        <f t="shared" si="3"/>
        <v>0.825720328500681</v>
      </c>
      <c r="AC51" s="164">
        <f t="shared" si="4"/>
        <v>0</v>
      </c>
      <c r="AD51" s="164">
        <f>IF(AND($C50=12,$D50=Input!$C$6),0,IF($E51="","",$AC51+AD52/(1+$L51)*$R51))</f>
        <v>2185.9030219280685</v>
      </c>
      <c r="AE51" s="152"/>
      <c r="AF51" s="164">
        <f>IF(AND($C50=12,$D50=Input!$C$6),0,IF($E51="","",IF($B51&gt;Input!$C$9,$AC51,0)+AF52/(1+$L51)*$R51))</f>
        <v>778.49572418655089</v>
      </c>
      <c r="AG51" s="164">
        <f>IF(AND($C50=12,$D50=Input!$C$6),0,IF($E51="","",(IF($B51&gt;Input!$C$9,$X51,0)+AG52)/(1+$L51)*$R51))</f>
        <v>371.59457063660039</v>
      </c>
      <c r="AH51" s="160">
        <f t="shared" si="5"/>
        <v>2.0950137211446997</v>
      </c>
      <c r="AI51" s="160">
        <f>IF($E51="","",MIN(Input!$C$61/AH51,1))</f>
        <v>0.64438718771845094</v>
      </c>
      <c r="AJ51" s="152"/>
      <c r="AK51" s="164">
        <f>IF(AND($C50=12,$D50=Input!$C$6),0,IF($E51="","",IF($B51&gt;Input!$C$9,$AC51*AI51,0)+AK52/(1+$L51)*$R51))</f>
        <v>501.65267035941065</v>
      </c>
      <c r="AL51" s="164">
        <f>IF(AND($C50=12,$D50=Input!$C$6),0,IF($E51="","",IF($B51&gt;Input!$C$9,0,$AC51)+AL52/(1+$L51)*$R51))</f>
        <v>1407.4072977415167</v>
      </c>
      <c r="AM51" s="160">
        <f t="shared" si="6"/>
        <v>1.1382936520186004</v>
      </c>
      <c r="AN51" s="164">
        <f>IF($E51="","",IF($B51&gt;Input!$C$9,$AI51*$AC51,$AM51*$AC51))</f>
        <v>0</v>
      </c>
      <c r="AO51" s="164">
        <f>IF(AND($C50=12,$D50=Input!$C$6),0,IF($E51="","",$AN51+AO52/(1+$L51)*$R51))</f>
        <v>2103.6954631832282</v>
      </c>
      <c r="AP51" s="152"/>
      <c r="AQ51" s="164">
        <f t="shared" si="7"/>
        <v>29.558618970231691</v>
      </c>
      <c r="AR51" s="164">
        <f t="shared" si="16"/>
        <v>68.087716582928749</v>
      </c>
      <c r="AS51" s="164">
        <f t="shared" si="17"/>
        <v>43.062200956937801</v>
      </c>
      <c r="AT51" s="164">
        <f t="shared" si="8"/>
        <v>68.087716582928749</v>
      </c>
      <c r="AU51" s="152"/>
      <c r="AV51" s="147">
        <f>'Deterministic Reserve'!BC51</f>
        <v>0.81084427627829103</v>
      </c>
      <c r="AW51" s="164">
        <f t="shared" si="9"/>
        <v>68.087716582928749</v>
      </c>
      <c r="AX51" s="164">
        <f t="shared" si="10"/>
        <v>55.208535276126256</v>
      </c>
      <c r="AY51" s="152"/>
    </row>
    <row r="52" spans="1:51" s="150" customFormat="1" x14ac:dyDescent="0.25">
      <c r="A52" s="150">
        <f t="shared" si="18"/>
        <v>48</v>
      </c>
      <c r="B52" s="150">
        <f t="shared" si="19"/>
        <v>4</v>
      </c>
      <c r="C52" s="150">
        <f t="shared" si="20"/>
        <v>12</v>
      </c>
      <c r="D52" s="150">
        <f>IF(E52="","",Input!$C$4+B52-1)</f>
        <v>48</v>
      </c>
      <c r="E52" s="150">
        <f>IF(OR(AND(C51=12,D51=Input!$C$6),E51=""),"",1)</f>
        <v>1</v>
      </c>
      <c r="F52" s="150">
        <f>IF(E52="","",Input!$C$8+B52-1)</f>
        <v>2021</v>
      </c>
      <c r="G52" s="151">
        <f>IF(E52="","",MAX(0,Input!$C$9-B52))</f>
        <v>16</v>
      </c>
      <c r="H52" s="152">
        <f>IF(E52="","",Input!$C$3)</f>
        <v>100000</v>
      </c>
      <c r="I52" s="153">
        <f>IF(E52="","",HLOOKUP($B52,Input!$C$13:$BT$14,2))</f>
        <v>2.2999999999999998</v>
      </c>
      <c r="J52" s="154"/>
      <c r="K52" s="155">
        <f>IF($E52="","",Input!$C$57)</f>
        <v>4.4999999999999998E-2</v>
      </c>
      <c r="L52" s="155">
        <f t="shared" si="11"/>
        <v>3.6748094004368514E-3</v>
      </c>
      <c r="M52" s="147">
        <f>IF($E52="","",VLOOKUP(IF($B52&lt;=Input!$C$7,$B52,26),'Mortality Tables'!$A$72:$CA$97,IF($B52&lt;=Input!$C$7+1,Input!$C$4-16,$D52-Input!$C$7-16),0)/1000)</f>
        <v>8.9999999999999998E-4</v>
      </c>
      <c r="N52" s="147">
        <f t="shared" si="0"/>
        <v>7.5030955300703361E-5</v>
      </c>
      <c r="O52" s="157">
        <f>IF($E52="","",IF($C52=12,IF($B52&lt;Input!$C$9,Input!$C$54,IF($B52=Input!$C$9,Input!$C$55,Input!$C$56)),0%))</f>
        <v>0.06</v>
      </c>
      <c r="P52" s="167">
        <f>IF($E52="","",IF($B52=1,Input!$C$59,IF($B52&lt;6,Input!$C$60,0%)))</f>
        <v>0.1</v>
      </c>
      <c r="Q52" s="162">
        <f>IF($E52="","",Input!$C$58)</f>
        <v>2.5</v>
      </c>
      <c r="R52" s="156">
        <f t="shared" si="12"/>
        <v>0.93992496904469935</v>
      </c>
      <c r="S52" s="154">
        <f t="shared" si="1"/>
        <v>0.77871392656465743</v>
      </c>
      <c r="T52" s="152"/>
      <c r="U52" s="150">
        <f t="shared" si="13"/>
        <v>0</v>
      </c>
      <c r="V52" s="150">
        <f t="shared" si="14"/>
        <v>0</v>
      </c>
      <c r="W52" s="168">
        <f t="shared" si="15"/>
        <v>0</v>
      </c>
      <c r="X52" s="163">
        <f t="shared" si="2"/>
        <v>7.5030955300703361</v>
      </c>
      <c r="Y52" s="152"/>
      <c r="Z52" s="164">
        <f>IF(AND($C51=12,$D51=Input!$C$6),0,IF($E52="","",V52+Z53/(1+L52)*R52))</f>
        <v>2657.1956007627209</v>
      </c>
      <c r="AA52" s="164">
        <f>IF(OR($M52=1,AND($C51=12,$D51=Input!$C$6)),0,IF($E52="","",W52+(X52+AA53*$R52)/(1+$L52)))</f>
        <v>2133.7503861078499</v>
      </c>
      <c r="AB52" s="160">
        <f t="shared" si="3"/>
        <v>0.825720328500681</v>
      </c>
      <c r="AC52" s="164">
        <f t="shared" si="4"/>
        <v>0</v>
      </c>
      <c r="AD52" s="164">
        <f>IF(AND($C51=12,$D51=Input!$C$6),0,IF($E52="","",$AC52+AD53/(1+$L52)*$R52))</f>
        <v>2194.100424352358</v>
      </c>
      <c r="AE52" s="152"/>
      <c r="AF52" s="164">
        <f>IF(AND($C51=12,$D51=Input!$C$6),0,IF($E52="","",IF($B52&gt;Input!$C$9,$AC52,0)+AF53/(1+$L52)*$R52))</f>
        <v>781.41517791927731</v>
      </c>
      <c r="AG52" s="164">
        <f>IF(AND($C51=12,$D51=Input!$C$6),0,IF($E52="","",(IF($B52&gt;Input!$C$9,$X52,0)+AG53)/(1+$L52)*$R52))</f>
        <v>372.98809551104904</v>
      </c>
      <c r="AH52" s="160">
        <f t="shared" si="5"/>
        <v>2.0950137211446997</v>
      </c>
      <c r="AI52" s="160">
        <f>IF($E52="","",MIN(Input!$C$61/AH52,1))</f>
        <v>0.64438718771845094</v>
      </c>
      <c r="AJ52" s="152"/>
      <c r="AK52" s="164">
        <f>IF(AND($C51=12,$D51=Input!$C$6),0,IF($E52="","",IF($B52&gt;Input!$C$9,$AC52*AI52,0)+AK53/(1+$L52)*$R52))</f>
        <v>503.53392893991634</v>
      </c>
      <c r="AL52" s="164">
        <f>IF(AND($C51=12,$D51=Input!$C$6),0,IF($E52="","",IF($B52&gt;Input!$C$9,0,$AC52)+AL53/(1+$L52)*$R52))</f>
        <v>1412.6852464330796</v>
      </c>
      <c r="AM52" s="160">
        <f t="shared" si="6"/>
        <v>1.1382936520186004</v>
      </c>
      <c r="AN52" s="164">
        <f>IF($E52="","",IF($B52&gt;Input!$C$9,$AI52*$AC52,$AM52*$AC52))</f>
        <v>0</v>
      </c>
      <c r="AO52" s="164">
        <f>IF(AND($C51=12,$D51=Input!$C$6),0,IF($E52="","",$AN52+AO53/(1+$L52)*$R52))</f>
        <v>2111.5845772550201</v>
      </c>
      <c r="AP52" s="152"/>
      <c r="AQ52" s="164">
        <f t="shared" si="7"/>
        <v>22.165808852829741</v>
      </c>
      <c r="AR52" s="164">
        <f t="shared" si="16"/>
        <v>68.087716582928749</v>
      </c>
      <c r="AS52" s="164">
        <f t="shared" si="17"/>
        <v>43.062200956937801</v>
      </c>
      <c r="AT52" s="164">
        <f t="shared" si="8"/>
        <v>68.087716582928749</v>
      </c>
      <c r="AU52" s="152"/>
      <c r="AV52" s="147">
        <f>'Deterministic Reserve'!BC52</f>
        <v>0.77026104895049907</v>
      </c>
      <c r="AW52" s="164">
        <f t="shared" si="9"/>
        <v>68.087716582928749</v>
      </c>
      <c r="AX52" s="164">
        <f t="shared" si="10"/>
        <v>52.445315995810986</v>
      </c>
      <c r="AY52" s="152"/>
    </row>
    <row r="53" spans="1:51" s="150" customFormat="1" x14ac:dyDescent="0.25">
      <c r="A53" s="150">
        <f t="shared" si="18"/>
        <v>49</v>
      </c>
      <c r="B53" s="150">
        <f t="shared" si="19"/>
        <v>5</v>
      </c>
      <c r="C53" s="150">
        <f t="shared" si="20"/>
        <v>1</v>
      </c>
      <c r="D53" s="150">
        <f>IF(E53="","",Input!$C$4+B53-1)</f>
        <v>49</v>
      </c>
      <c r="E53" s="150">
        <f>IF(OR(AND(C52=12,D52=Input!$C$6),E52=""),"",1)</f>
        <v>1</v>
      </c>
      <c r="F53" s="150">
        <f>IF(E53="","",Input!$C$8+B53-1)</f>
        <v>2022</v>
      </c>
      <c r="G53" s="151">
        <f>IF(E53="","",MAX(0,Input!$C$9-B53))</f>
        <v>15</v>
      </c>
      <c r="H53" s="152">
        <f>IF(E53="","",Input!$C$3)</f>
        <v>100000</v>
      </c>
      <c r="I53" s="153">
        <f>IF(E53="","",HLOOKUP($B53,Input!$C$13:$BT$14,2))</f>
        <v>2.2999999999999998</v>
      </c>
      <c r="J53" s="154"/>
      <c r="K53" s="155">
        <f>IF($E53="","",Input!$C$57)</f>
        <v>4.4999999999999998E-2</v>
      </c>
      <c r="L53" s="155">
        <f t="shared" si="11"/>
        <v>3.6748094004368514E-3</v>
      </c>
      <c r="M53" s="147">
        <f>IF($E53="","",VLOOKUP(IF($B53&lt;=Input!$C$7,$B53,26),'Mortality Tables'!$A$72:$CA$97,IF($B53&lt;=Input!$C$7+1,Input!$C$4-16,$D53-Input!$C$7-16),0)/1000)</f>
        <v>9.7999999999999997E-4</v>
      </c>
      <c r="N53" s="147">
        <f t="shared" si="0"/>
        <v>8.1703371594521457E-5</v>
      </c>
      <c r="O53" s="157">
        <f>IF($E53="","",IF($C53=12,IF($B53&lt;Input!$C$9,Input!$C$54,IF($B53=Input!$C$9,Input!$C$55,Input!$C$56)),0%))</f>
        <v>0</v>
      </c>
      <c r="P53" s="167">
        <f>IF($E53="","",IF($B53=1,Input!$C$59,IF($B53&lt;6,Input!$C$60,0%)))</f>
        <v>0.1</v>
      </c>
      <c r="Q53" s="162">
        <f>IF($E53="","",Input!$C$58)</f>
        <v>2.5</v>
      </c>
      <c r="R53" s="156">
        <f t="shared" si="12"/>
        <v>0.99991829662840548</v>
      </c>
      <c r="S53" s="154">
        <f t="shared" si="1"/>
        <v>0.77865030301134952</v>
      </c>
      <c r="T53" s="152"/>
      <c r="U53" s="150">
        <f t="shared" si="13"/>
        <v>229.99999999999997</v>
      </c>
      <c r="V53" s="150">
        <f t="shared" si="14"/>
        <v>206.99999999999997</v>
      </c>
      <c r="W53" s="168">
        <f t="shared" si="15"/>
        <v>0</v>
      </c>
      <c r="X53" s="163">
        <f t="shared" si="2"/>
        <v>8.1703371594521457</v>
      </c>
      <c r="Y53" s="152"/>
      <c r="Z53" s="164">
        <f>IF(AND($C52=12,$D52=Input!$C$6),0,IF($E53="","",V53+Z54/(1+L53)*R53))</f>
        <v>2837.4182790843302</v>
      </c>
      <c r="AA53" s="164">
        <f>IF(OR($M53=1,AND($C52=12,$D52=Input!$C$6)),0,IF($E53="","",W53+(X53+AA54*$R53)/(1+$L53)))</f>
        <v>2270.4880568539775</v>
      </c>
      <c r="AB53" s="160">
        <f t="shared" si="3"/>
        <v>0.825720328500681</v>
      </c>
      <c r="AC53" s="164">
        <f t="shared" si="4"/>
        <v>170.92410799964094</v>
      </c>
      <c r="AD53" s="164">
        <f>IF(AND($C52=12,$D52=Input!$C$6),0,IF($E53="","",$AC53+AD54/(1+$L53)*$R53))</f>
        <v>2342.9139534993496</v>
      </c>
      <c r="AE53" s="152"/>
      <c r="AF53" s="164">
        <f>IF(AND($C52=12,$D52=Input!$C$6),0,IF($E53="","",IF($B53&gt;Input!$C$9,$AC53,0)+AF54/(1+$L53)*$R53))</f>
        <v>834.41418793018715</v>
      </c>
      <c r="AG53" s="164">
        <f>IF(AND($C52=12,$D52=Input!$C$6),0,IF($E53="","",(IF($B53&gt;Input!$C$9,$X53,0)+AG54)/(1+$L53)*$R53))</f>
        <v>398.28578663163592</v>
      </c>
      <c r="AH53" s="160">
        <f t="shared" si="5"/>
        <v>2.0950137211446997</v>
      </c>
      <c r="AI53" s="160">
        <f>IF($E53="","",MIN(Input!$C$61/AH53,1))</f>
        <v>0.64438718771845094</v>
      </c>
      <c r="AJ53" s="152"/>
      <c r="AK53" s="164">
        <f>IF(AND($C52=12,$D52=Input!$C$6),0,IF($E53="","",IF($B53&gt;Input!$C$9,$AC53*AI53,0)+AK54/(1+$L53)*$R53))</f>
        <v>537.6858119527086</v>
      </c>
      <c r="AL53" s="164">
        <f>IF(AND($C52=12,$D52=Input!$C$6),0,IF($E53="","",IF($B53&gt;Input!$C$9,0,$AC53)+AL54/(1+$L53)*$R53))</f>
        <v>1508.4997655691614</v>
      </c>
      <c r="AM53" s="160">
        <f t="shared" si="6"/>
        <v>1.1382936520186004</v>
      </c>
      <c r="AN53" s="164">
        <f>IF($E53="","",IF($B53&gt;Input!$C$9,$AI53*$AC53,$AM53*$AC53))</f>
        <v>194.56182711293297</v>
      </c>
      <c r="AO53" s="164">
        <f>IF(AND($C52=12,$D52=Input!$C$6),0,IF($E53="","",$AN53+AO54/(1+$L53)*$R53))</f>
        <v>2254.801519171629</v>
      </c>
      <c r="AP53" s="152"/>
      <c r="AQ53" s="164">
        <f t="shared" si="7"/>
        <v>15.686537682348444</v>
      </c>
      <c r="AR53" s="164">
        <f t="shared" si="16"/>
        <v>172.12050916552818</v>
      </c>
      <c r="AS53" s="164">
        <f t="shared" si="17"/>
        <v>46.889952153110052</v>
      </c>
      <c r="AT53" s="164">
        <f t="shared" si="8"/>
        <v>172.12050916552818</v>
      </c>
      <c r="AU53" s="152"/>
      <c r="AV53" s="147">
        <f>'Deterministic Reserve'!BC53</f>
        <v>0.77021875780685523</v>
      </c>
      <c r="AW53" s="164">
        <f t="shared" si="9"/>
        <v>172.12050916552818</v>
      </c>
      <c r="AX53" s="164">
        <f t="shared" si="10"/>
        <v>132.57044476255655</v>
      </c>
      <c r="AY53" s="152"/>
    </row>
    <row r="54" spans="1:51" s="150" customFormat="1" x14ac:dyDescent="0.25">
      <c r="A54" s="150">
        <f t="shared" si="18"/>
        <v>50</v>
      </c>
      <c r="B54" s="150">
        <f t="shared" si="19"/>
        <v>5</v>
      </c>
      <c r="C54" s="150">
        <f t="shared" si="20"/>
        <v>2</v>
      </c>
      <c r="D54" s="150">
        <f>IF(E54="","",Input!$C$4+B54-1)</f>
        <v>49</v>
      </c>
      <c r="E54" s="150">
        <f>IF(OR(AND(C53=12,D53=Input!$C$6),E53=""),"",1)</f>
        <v>1</v>
      </c>
      <c r="F54" s="150">
        <f>IF(E54="","",Input!$C$8+B54-1)</f>
        <v>2022</v>
      </c>
      <c r="G54" s="151">
        <f>IF(E54="","",MAX(0,Input!$C$9-B54))</f>
        <v>15</v>
      </c>
      <c r="H54" s="152">
        <f>IF(E54="","",Input!$C$3)</f>
        <v>100000</v>
      </c>
      <c r="I54" s="153">
        <f>IF(E54="","",HLOOKUP($B54,Input!$C$13:$BT$14,2))</f>
        <v>2.2999999999999998</v>
      </c>
      <c r="J54" s="154"/>
      <c r="K54" s="155">
        <f>IF($E54="","",Input!$C$57)</f>
        <v>4.4999999999999998E-2</v>
      </c>
      <c r="L54" s="155">
        <f t="shared" si="11"/>
        <v>3.6748094004368514E-3</v>
      </c>
      <c r="M54" s="147">
        <f>IF($E54="","",VLOOKUP(IF($B54&lt;=Input!$C$7,$B54,26),'Mortality Tables'!$A$72:$CA$97,IF($B54&lt;=Input!$C$7+1,Input!$C$4-16,$D54-Input!$C$7-16),0)/1000)</f>
        <v>9.7999999999999997E-4</v>
      </c>
      <c r="N54" s="147">
        <f t="shared" si="0"/>
        <v>8.1703371594521457E-5</v>
      </c>
      <c r="O54" s="157">
        <f>IF($E54="","",IF($C54=12,IF($B54&lt;Input!$C$9,Input!$C$54,IF($B54=Input!$C$9,Input!$C$55,Input!$C$56)),0%))</f>
        <v>0</v>
      </c>
      <c r="P54" s="167">
        <f>IF($E54="","",IF($B54=1,Input!$C$59,IF($B54&lt;6,Input!$C$60,0%)))</f>
        <v>0.1</v>
      </c>
      <c r="Q54" s="162">
        <f>IF($E54="","",Input!$C$58)</f>
        <v>2.5</v>
      </c>
      <c r="R54" s="156">
        <f t="shared" si="12"/>
        <v>0.99991829662840548</v>
      </c>
      <c r="S54" s="154">
        <f t="shared" si="1"/>
        <v>0.77858668465630043</v>
      </c>
      <c r="T54" s="152"/>
      <c r="U54" s="150">
        <f t="shared" si="13"/>
        <v>0</v>
      </c>
      <c r="V54" s="150">
        <f t="shared" si="14"/>
        <v>0</v>
      </c>
      <c r="W54" s="168">
        <f t="shared" si="15"/>
        <v>0</v>
      </c>
      <c r="X54" s="163">
        <f t="shared" si="2"/>
        <v>8.1703371594521457</v>
      </c>
      <c r="Y54" s="152"/>
      <c r="Z54" s="164">
        <f>IF(AND($C53=12,$D53=Input!$C$6),0,IF($E54="","",V54+Z55/(1+L54)*R54))</f>
        <v>2640.300286338806</v>
      </c>
      <c r="AA54" s="164">
        <f>IF(OR($M54=1,AND($C53=12,$D53=Input!$C$6)),0,IF($E54="","",W54+(X54+AA55*$R54)/(1+$L54)))</f>
        <v>2270.8468663947915</v>
      </c>
      <c r="AB54" s="160">
        <f t="shared" si="3"/>
        <v>0.825720328500681</v>
      </c>
      <c r="AC54" s="164">
        <f t="shared" si="4"/>
        <v>0</v>
      </c>
      <c r="AD54" s="164">
        <f>IF(AND($C53=12,$D53=Input!$C$6),0,IF($E54="","",$AC54+AD55/(1+$L54)*$R54))</f>
        <v>2180.1496197761203</v>
      </c>
      <c r="AE54" s="152"/>
      <c r="AF54" s="164">
        <f>IF(AND($C53=12,$D53=Input!$C$6),0,IF($E54="","",IF($B54&gt;Input!$C$9,$AC54,0)+AF55/(1+$L54)*$R54))</f>
        <v>837.54893160343829</v>
      </c>
      <c r="AG54" s="164">
        <f>IF(AND($C53=12,$D53=Input!$C$6),0,IF($E54="","",(IF($B54&gt;Input!$C$9,$X54,0)+AG55)/(1+$L54)*$R54))</f>
        <v>399.78207452780225</v>
      </c>
      <c r="AH54" s="160">
        <f t="shared" si="5"/>
        <v>2.0950137211446997</v>
      </c>
      <c r="AI54" s="160">
        <f>IF($E54="","",MIN(Input!$C$61/AH54,1))</f>
        <v>0.64438718771845094</v>
      </c>
      <c r="AJ54" s="152"/>
      <c r="AK54" s="164">
        <f>IF(AND($C53=12,$D53=Input!$C$6),0,IF($E54="","",IF($B54&gt;Input!$C$9,$AC54*AI54,0)+AK55/(1+$L54)*$R54))</f>
        <v>539.70580061253315</v>
      </c>
      <c r="AL54" s="164">
        <f>IF(AND($C53=12,$D53=Input!$C$6),0,IF($E54="","",IF($B54&gt;Input!$C$9,0,$AC54)+AL55/(1+$L54)*$R54))</f>
        <v>1342.6006881726814</v>
      </c>
      <c r="AM54" s="160">
        <f t="shared" si="6"/>
        <v>1.1382936520186004</v>
      </c>
      <c r="AN54" s="164">
        <f>IF($E54="","",IF($B54&gt;Input!$C$9,$AI54*$AC54,$AM54*$AC54))</f>
        <v>0</v>
      </c>
      <c r="AO54" s="164">
        <f>IF(AND($C53=12,$D53=Input!$C$6),0,IF($E54="","",$AN54+AO55/(1+$L54)*$R54))</f>
        <v>2067.9796411552979</v>
      </c>
      <c r="AP54" s="152"/>
      <c r="AQ54" s="164">
        <f t="shared" si="7"/>
        <v>202.86722523949356</v>
      </c>
      <c r="AR54" s="164">
        <f t="shared" si="16"/>
        <v>172.12050916552818</v>
      </c>
      <c r="AS54" s="164">
        <f t="shared" si="17"/>
        <v>46.889952153110052</v>
      </c>
      <c r="AT54" s="164">
        <f t="shared" si="8"/>
        <v>172.12050916552818</v>
      </c>
      <c r="AU54" s="152"/>
      <c r="AV54" s="147">
        <f>'Deterministic Reserve'!BC54</f>
        <v>0.77017646898520453</v>
      </c>
      <c r="AW54" s="164">
        <f t="shared" si="9"/>
        <v>172.12050916552818</v>
      </c>
      <c r="AX54" s="164">
        <f t="shared" si="10"/>
        <v>132.56316598904203</v>
      </c>
      <c r="AY54" s="152"/>
    </row>
    <row r="55" spans="1:51" s="150" customFormat="1" x14ac:dyDescent="0.25">
      <c r="A55" s="150">
        <f t="shared" si="18"/>
        <v>51</v>
      </c>
      <c r="B55" s="150">
        <f t="shared" si="19"/>
        <v>5</v>
      </c>
      <c r="C55" s="150">
        <f t="shared" si="20"/>
        <v>3</v>
      </c>
      <c r="D55" s="150">
        <f>IF(E55="","",Input!$C$4+B55-1)</f>
        <v>49</v>
      </c>
      <c r="E55" s="150">
        <f>IF(OR(AND(C54=12,D54=Input!$C$6),E54=""),"",1)</f>
        <v>1</v>
      </c>
      <c r="F55" s="150">
        <f>IF(E55="","",Input!$C$8+B55-1)</f>
        <v>2022</v>
      </c>
      <c r="G55" s="151">
        <f>IF(E55="","",MAX(0,Input!$C$9-B55))</f>
        <v>15</v>
      </c>
      <c r="H55" s="152">
        <f>IF(E55="","",Input!$C$3)</f>
        <v>100000</v>
      </c>
      <c r="I55" s="153">
        <f>IF(E55="","",HLOOKUP($B55,Input!$C$13:$BT$14,2))</f>
        <v>2.2999999999999998</v>
      </c>
      <c r="J55" s="154"/>
      <c r="K55" s="155">
        <f>IF($E55="","",Input!$C$57)</f>
        <v>4.4999999999999998E-2</v>
      </c>
      <c r="L55" s="155">
        <f t="shared" si="11"/>
        <v>3.6748094004368514E-3</v>
      </c>
      <c r="M55" s="147">
        <f>IF($E55="","",VLOOKUP(IF($B55&lt;=Input!$C$7,$B55,26),'Mortality Tables'!$A$72:$CA$97,IF($B55&lt;=Input!$C$7+1,Input!$C$4-16,$D55-Input!$C$7-16),0)/1000)</f>
        <v>9.7999999999999997E-4</v>
      </c>
      <c r="N55" s="147">
        <f t="shared" si="0"/>
        <v>8.1703371594521457E-5</v>
      </c>
      <c r="O55" s="157">
        <f>IF($E55="","",IF($C55=12,IF($B55&lt;Input!$C$9,Input!$C$54,IF($B55=Input!$C$9,Input!$C$55,Input!$C$56)),0%))</f>
        <v>0</v>
      </c>
      <c r="P55" s="167">
        <f>IF($E55="","",IF($B55=1,Input!$C$59,IF($B55&lt;6,Input!$C$60,0%)))</f>
        <v>0.1</v>
      </c>
      <c r="Q55" s="162">
        <f>IF($E55="","",Input!$C$58)</f>
        <v>2.5</v>
      </c>
      <c r="R55" s="156">
        <f t="shared" si="12"/>
        <v>0.99991829662840548</v>
      </c>
      <c r="S55" s="154">
        <f t="shared" si="1"/>
        <v>0.7785230714990854</v>
      </c>
      <c r="T55" s="152"/>
      <c r="U55" s="150">
        <f t="shared" si="13"/>
        <v>0</v>
      </c>
      <c r="V55" s="150">
        <f t="shared" si="14"/>
        <v>0</v>
      </c>
      <c r="W55" s="168">
        <f t="shared" si="15"/>
        <v>0</v>
      </c>
      <c r="X55" s="163">
        <f t="shared" si="2"/>
        <v>8.1703371594521457</v>
      </c>
      <c r="Y55" s="152"/>
      <c r="Z55" s="164">
        <f>IF(AND($C54=12,$D54=Input!$C$6),0,IF($E55="","",V55+Z56/(1+L55)*R55))</f>
        <v>2650.2194185129779</v>
      </c>
      <c r="AA55" s="164">
        <f>IF(OR($M55=1,AND($C54=12,$D54=Input!$C$6)),0,IF($E55="","",W55+(X55+AA56*$R55)/(1+$L55)))</f>
        <v>2271.2070239183631</v>
      </c>
      <c r="AB55" s="160">
        <f t="shared" si="3"/>
        <v>0.825720328500681</v>
      </c>
      <c r="AC55" s="164">
        <f t="shared" si="4"/>
        <v>0</v>
      </c>
      <c r="AD55" s="164">
        <f>IF(AND($C54=12,$D54=Input!$C$6),0,IF($E55="","",$AC55+AD56/(1+$L55)*$R55))</f>
        <v>2188.3400488534194</v>
      </c>
      <c r="AE55" s="152"/>
      <c r="AF55" s="164">
        <f>IF(AND($C54=12,$D54=Input!$C$6),0,IF($E55="","",IF($B55&gt;Input!$C$9,$AC55,0)+AF56/(1+$L55)*$R55))</f>
        <v>840.69545194352838</v>
      </c>
      <c r="AG55" s="164">
        <f>IF(AND($C54=12,$D54=Input!$C$6),0,IF($E55="","",(IF($B55&gt;Input!$C$9,$X55,0)+AG56)/(1+$L55)*$R55))</f>
        <v>401.28398370783896</v>
      </c>
      <c r="AH55" s="160">
        <f t="shared" si="5"/>
        <v>2.0950137211446997</v>
      </c>
      <c r="AI55" s="160">
        <f>IF($E55="","",MIN(Input!$C$61/AH55,1))</f>
        <v>0.64438718771845094</v>
      </c>
      <c r="AJ55" s="152"/>
      <c r="AK55" s="164">
        <f>IF(AND($C54=12,$D54=Input!$C$6),0,IF($E55="","",IF($B55&gt;Input!$C$9,$AC55*AI55,0)+AK56/(1+$L55)*$R55))</f>
        <v>541.73337800558272</v>
      </c>
      <c r="AL55" s="164">
        <f>IF(AND($C54=12,$D54=Input!$C$6),0,IF($E55="","",IF($B55&gt;Input!$C$9,0,$AC55)+AL56/(1+$L55)*$R55))</f>
        <v>1347.64459690989</v>
      </c>
      <c r="AM55" s="160">
        <f t="shared" si="6"/>
        <v>1.1382936520186004</v>
      </c>
      <c r="AN55" s="164">
        <f>IF($E55="","",IF($B55&gt;Input!$C$9,$AI55*$AC55,$AM55*$AC55))</f>
        <v>0</v>
      </c>
      <c r="AO55" s="164">
        <f>IF(AND($C54=12,$D54=Input!$C$6),0,IF($E55="","",$AN55+AO56/(1+$L55)*$R55))</f>
        <v>2075.7486678452733</v>
      </c>
      <c r="AP55" s="152"/>
      <c r="AQ55" s="164">
        <f t="shared" si="7"/>
        <v>195.45835607308982</v>
      </c>
      <c r="AR55" s="164">
        <f t="shared" si="16"/>
        <v>172.12050916552818</v>
      </c>
      <c r="AS55" s="164">
        <f t="shared" si="17"/>
        <v>46.889952153110052</v>
      </c>
      <c r="AT55" s="164">
        <f t="shared" si="8"/>
        <v>172.12050916552818</v>
      </c>
      <c r="AU55" s="152"/>
      <c r="AV55" s="147">
        <f>'Deterministic Reserve'!BC55</f>
        <v>0.77013418248541943</v>
      </c>
      <c r="AW55" s="164">
        <f t="shared" si="9"/>
        <v>172.12050916552818</v>
      </c>
      <c r="AX55" s="164">
        <f t="shared" si="10"/>
        <v>132.55588761516819</v>
      </c>
      <c r="AY55" s="152"/>
    </row>
    <row r="56" spans="1:51" s="150" customFormat="1" x14ac:dyDescent="0.25">
      <c r="A56" s="150">
        <f t="shared" si="18"/>
        <v>52</v>
      </c>
      <c r="B56" s="150">
        <f t="shared" si="19"/>
        <v>5</v>
      </c>
      <c r="C56" s="150">
        <f t="shared" si="20"/>
        <v>4</v>
      </c>
      <c r="D56" s="150">
        <f>IF(E56="","",Input!$C$4+B56-1)</f>
        <v>49</v>
      </c>
      <c r="E56" s="150">
        <f>IF(OR(AND(C55=12,D55=Input!$C$6),E55=""),"",1)</f>
        <v>1</v>
      </c>
      <c r="F56" s="150">
        <f>IF(E56="","",Input!$C$8+B56-1)</f>
        <v>2022</v>
      </c>
      <c r="G56" s="151">
        <f>IF(E56="","",MAX(0,Input!$C$9-B56))</f>
        <v>15</v>
      </c>
      <c r="H56" s="152">
        <f>IF(E56="","",Input!$C$3)</f>
        <v>100000</v>
      </c>
      <c r="I56" s="153">
        <f>IF(E56="","",HLOOKUP($B56,Input!$C$13:$BT$14,2))</f>
        <v>2.2999999999999998</v>
      </c>
      <c r="J56" s="154"/>
      <c r="K56" s="155">
        <f>IF($E56="","",Input!$C$57)</f>
        <v>4.4999999999999998E-2</v>
      </c>
      <c r="L56" s="155">
        <f t="shared" si="11"/>
        <v>3.6748094004368514E-3</v>
      </c>
      <c r="M56" s="147">
        <f>IF($E56="","",VLOOKUP(IF($B56&lt;=Input!$C$7,$B56,26),'Mortality Tables'!$A$72:$CA$97,IF($B56&lt;=Input!$C$7+1,Input!$C$4-16,$D56-Input!$C$7-16),0)/1000)</f>
        <v>9.7999999999999997E-4</v>
      </c>
      <c r="N56" s="147">
        <f t="shared" si="0"/>
        <v>8.1703371594521457E-5</v>
      </c>
      <c r="O56" s="157">
        <f>IF($E56="","",IF($C56=12,IF($B56&lt;Input!$C$9,Input!$C$54,IF($B56=Input!$C$9,Input!$C$55,Input!$C$56)),0%))</f>
        <v>0</v>
      </c>
      <c r="P56" s="167">
        <f>IF($E56="","",IF($B56=1,Input!$C$59,IF($B56&lt;6,Input!$C$60,0%)))</f>
        <v>0.1</v>
      </c>
      <c r="Q56" s="162">
        <f>IF($E56="","",Input!$C$58)</f>
        <v>2.5</v>
      </c>
      <c r="R56" s="156">
        <f t="shared" si="12"/>
        <v>0.99991829662840548</v>
      </c>
      <c r="S56" s="154">
        <f t="shared" si="1"/>
        <v>0.77845946353927975</v>
      </c>
      <c r="T56" s="152"/>
      <c r="U56" s="150">
        <f t="shared" si="13"/>
        <v>0</v>
      </c>
      <c r="V56" s="150">
        <f t="shared" si="14"/>
        <v>0</v>
      </c>
      <c r="W56" s="168">
        <f t="shared" si="15"/>
        <v>0</v>
      </c>
      <c r="X56" s="163">
        <f t="shared" si="2"/>
        <v>8.1703371594521457</v>
      </c>
      <c r="Y56" s="152"/>
      <c r="Z56" s="164">
        <f>IF(AND($C55=12,$D55=Input!$C$6),0,IF($E56="","",V56+Z57/(1+L56)*R56))</f>
        <v>2660.1758150784758</v>
      </c>
      <c r="AA56" s="164">
        <f>IF(OR($M56=1,AND($C55=12,$D55=Input!$C$6)),0,IF($E56="","",W56+(X56+AA57*$R56)/(1+$L56)))</f>
        <v>2271.5685344888198</v>
      </c>
      <c r="AB56" s="160">
        <f t="shared" si="3"/>
        <v>0.825720328500681</v>
      </c>
      <c r="AC56" s="164">
        <f t="shared" si="4"/>
        <v>0</v>
      </c>
      <c r="AD56" s="164">
        <f>IF(AND($C55=12,$D55=Input!$C$6),0,IF($E56="","",$AC56+AD57/(1+$L56)*$R56))</f>
        <v>2196.5612478961652</v>
      </c>
      <c r="AE56" s="152"/>
      <c r="AF56" s="164">
        <f>IF(AND($C55=12,$D55=Input!$C$6),0,IF($E56="","",IF($B56&gt;Input!$C$9,$AC56,0)+AF57/(1+$L56)*$R56))</f>
        <v>843.85379319327171</v>
      </c>
      <c r="AG56" s="164">
        <f>IF(AND($C55=12,$D55=Input!$C$6),0,IF($E56="","",(IF($B56&gt;Input!$C$9,$X56,0)+AG57)/(1+$L56)*$R56))</f>
        <v>402.79153528989622</v>
      </c>
      <c r="AH56" s="160">
        <f t="shared" si="5"/>
        <v>2.0950137211446997</v>
      </c>
      <c r="AI56" s="160">
        <f>IF($E56="","",MIN(Input!$C$61/AH56,1))</f>
        <v>0.64438718771845094</v>
      </c>
      <c r="AJ56" s="152"/>
      <c r="AK56" s="164">
        <f>IF(AND($C55=12,$D55=Input!$C$6),0,IF($E56="","",IF($B56&gt;Input!$C$9,$AC56*AI56,0)+AK57/(1+$L56)*$R56))</f>
        <v>543.76857264136004</v>
      </c>
      <c r="AL56" s="164">
        <f>IF(AND($C55=12,$D55=Input!$C$6),0,IF($E56="","",IF($B56&gt;Input!$C$9,0,$AC56)+AL57/(1+$L56)*$R56))</f>
        <v>1352.7074547028926</v>
      </c>
      <c r="AM56" s="160">
        <f t="shared" si="6"/>
        <v>1.1382936520186004</v>
      </c>
      <c r="AN56" s="164">
        <f>IF($E56="","",IF($B56&gt;Input!$C$9,$AI56*$AC56,$AM56*$AC56))</f>
        <v>0</v>
      </c>
      <c r="AO56" s="164">
        <f>IF(AND($C55=12,$D55=Input!$C$6),0,IF($E56="","",$AN56+AO57/(1+$L56)*$R56))</f>
        <v>2083.5468813678985</v>
      </c>
      <c r="AP56" s="152"/>
      <c r="AQ56" s="164">
        <f t="shared" si="7"/>
        <v>188.0216531209212</v>
      </c>
      <c r="AR56" s="164">
        <f t="shared" si="16"/>
        <v>172.12050916552818</v>
      </c>
      <c r="AS56" s="164">
        <f t="shared" si="17"/>
        <v>46.889952153110052</v>
      </c>
      <c r="AT56" s="164">
        <f t="shared" si="8"/>
        <v>172.12050916552818</v>
      </c>
      <c r="AU56" s="152"/>
      <c r="AV56" s="147">
        <f>'Deterministic Reserve'!BC56</f>
        <v>0.77009189830737235</v>
      </c>
      <c r="AW56" s="164">
        <f t="shared" si="9"/>
        <v>172.12050916552818</v>
      </c>
      <c r="AX56" s="164">
        <f t="shared" si="10"/>
        <v>132.54860964091307</v>
      </c>
      <c r="AY56" s="152"/>
    </row>
    <row r="57" spans="1:51" s="150" customFormat="1" x14ac:dyDescent="0.25">
      <c r="A57" s="150">
        <f t="shared" si="18"/>
        <v>53</v>
      </c>
      <c r="B57" s="150">
        <f t="shared" si="19"/>
        <v>5</v>
      </c>
      <c r="C57" s="150">
        <f t="shared" si="20"/>
        <v>5</v>
      </c>
      <c r="D57" s="150">
        <f>IF(E57="","",Input!$C$4+B57-1)</f>
        <v>49</v>
      </c>
      <c r="E57" s="150">
        <f>IF(OR(AND(C56=12,D56=Input!$C$6),E56=""),"",1)</f>
        <v>1</v>
      </c>
      <c r="F57" s="150">
        <f>IF(E57="","",Input!$C$8+B57-1)</f>
        <v>2022</v>
      </c>
      <c r="G57" s="151">
        <f>IF(E57="","",MAX(0,Input!$C$9-B57))</f>
        <v>15</v>
      </c>
      <c r="H57" s="152">
        <f>IF(E57="","",Input!$C$3)</f>
        <v>100000</v>
      </c>
      <c r="I57" s="153">
        <f>IF(E57="","",HLOOKUP($B57,Input!$C$13:$BT$14,2))</f>
        <v>2.2999999999999998</v>
      </c>
      <c r="J57" s="154"/>
      <c r="K57" s="155">
        <f>IF($E57="","",Input!$C$57)</f>
        <v>4.4999999999999998E-2</v>
      </c>
      <c r="L57" s="155">
        <f t="shared" si="11"/>
        <v>3.6748094004368514E-3</v>
      </c>
      <c r="M57" s="147">
        <f>IF($E57="","",VLOOKUP(IF($B57&lt;=Input!$C$7,$B57,26),'Mortality Tables'!$A$72:$CA$97,IF($B57&lt;=Input!$C$7+1,Input!$C$4-16,$D57-Input!$C$7-16),0)/1000)</f>
        <v>9.7999999999999997E-4</v>
      </c>
      <c r="N57" s="147">
        <f t="shared" si="0"/>
        <v>8.1703371594521457E-5</v>
      </c>
      <c r="O57" s="157">
        <f>IF($E57="","",IF($C57=12,IF($B57&lt;Input!$C$9,Input!$C$54,IF($B57=Input!$C$9,Input!$C$55,Input!$C$56)),0%))</f>
        <v>0</v>
      </c>
      <c r="P57" s="167">
        <f>IF($E57="","",IF($B57=1,Input!$C$59,IF($B57&lt;6,Input!$C$60,0%)))</f>
        <v>0.1</v>
      </c>
      <c r="Q57" s="162">
        <f>IF($E57="","",Input!$C$58)</f>
        <v>2.5</v>
      </c>
      <c r="R57" s="156">
        <f t="shared" si="12"/>
        <v>0.99991829662840548</v>
      </c>
      <c r="S57" s="154">
        <f t="shared" si="1"/>
        <v>0.77839586077645895</v>
      </c>
      <c r="T57" s="152"/>
      <c r="U57" s="150">
        <f t="shared" si="13"/>
        <v>0</v>
      </c>
      <c r="V57" s="150">
        <f t="shared" si="14"/>
        <v>0</v>
      </c>
      <c r="W57" s="168">
        <f t="shared" si="15"/>
        <v>0</v>
      </c>
      <c r="X57" s="163">
        <f t="shared" si="2"/>
        <v>8.1703371594521457</v>
      </c>
      <c r="Y57" s="152"/>
      <c r="Z57" s="164">
        <f>IF(AND($C56=12,$D56=Input!$C$6),0,IF($E57="","",V57+Z58/(1+L57)*R57))</f>
        <v>2670.1696160308998</v>
      </c>
      <c r="AA57" s="164">
        <f>IF(OR($M57=1,AND($C56=12,$D56=Input!$C$6)),0,IF($E57="","",W57+(X57+AA58*$R57)/(1+$L57)))</f>
        <v>2271.9314031893159</v>
      </c>
      <c r="AB57" s="160">
        <f t="shared" si="3"/>
        <v>0.825720328500681</v>
      </c>
      <c r="AC57" s="164">
        <f t="shared" si="4"/>
        <v>0</v>
      </c>
      <c r="AD57" s="164">
        <f>IF(AND($C56=12,$D56=Input!$C$6),0,IF($E57="","",$AC57+AD58/(1+$L57)*$R57))</f>
        <v>2204.813332501571</v>
      </c>
      <c r="AE57" s="152"/>
      <c r="AF57" s="164">
        <f>IF(AND($C56=12,$D56=Input!$C$6),0,IF($E57="","",IF($B57&gt;Input!$C$9,$AC57,0)+AF58/(1+$L57)*$R57))</f>
        <v>847.02399976169465</v>
      </c>
      <c r="AG57" s="164">
        <f>IF(AND($C56=12,$D56=Input!$C$6),0,IF($E57="","",(IF($B57&gt;Input!$C$9,$X57,0)+AG58)/(1+$L57)*$R57))</f>
        <v>404.30475047146115</v>
      </c>
      <c r="AH57" s="160">
        <f t="shared" si="5"/>
        <v>2.0950137211446997</v>
      </c>
      <c r="AI57" s="160">
        <f>IF($E57="","",MIN(Input!$C$61/AH57,1))</f>
        <v>0.64438718771845094</v>
      </c>
      <c r="AJ57" s="152"/>
      <c r="AK57" s="164">
        <f>IF(AND($C56=12,$D56=Input!$C$6),0,IF($E57="","",IF($B57&gt;Input!$C$9,$AC57*AI57,0)+AK58/(1+$L57)*$R57))</f>
        <v>545.81141313647265</v>
      </c>
      <c r="AL57" s="164">
        <f>IF(AND($C56=12,$D56=Input!$C$6),0,IF($E57="","",IF($B57&gt;Input!$C$9,0,$AC57)+AL58/(1+$L57)*$R57))</f>
        <v>1357.7893327398758</v>
      </c>
      <c r="AM57" s="160">
        <f t="shared" si="6"/>
        <v>1.1382936520186004</v>
      </c>
      <c r="AN57" s="164">
        <f>IF($E57="","",IF($B57&gt;Input!$C$9,$AI57*$AC57,$AM57*$AC57))</f>
        <v>0</v>
      </c>
      <c r="AO57" s="164">
        <f>IF(AND($C56=12,$D56=Input!$C$6),0,IF($E57="","",$AN57+AO58/(1+$L57)*$R57))</f>
        <v>2091.3743913728417</v>
      </c>
      <c r="AP57" s="152"/>
      <c r="AQ57" s="164">
        <f t="shared" si="7"/>
        <v>180.55701181647419</v>
      </c>
      <c r="AR57" s="164">
        <f t="shared" si="16"/>
        <v>172.12050916552818</v>
      </c>
      <c r="AS57" s="164">
        <f t="shared" si="17"/>
        <v>46.889952153110052</v>
      </c>
      <c r="AT57" s="164">
        <f t="shared" si="8"/>
        <v>172.12050916552818</v>
      </c>
      <c r="AU57" s="152"/>
      <c r="AV57" s="147">
        <f>'Deterministic Reserve'!BC57</f>
        <v>0.77004961645093595</v>
      </c>
      <c r="AW57" s="164">
        <f t="shared" si="9"/>
        <v>172.12050916552818</v>
      </c>
      <c r="AX57" s="164">
        <f t="shared" si="10"/>
        <v>132.54133206625477</v>
      </c>
      <c r="AY57" s="152"/>
    </row>
    <row r="58" spans="1:51" s="150" customFormat="1" x14ac:dyDescent="0.25">
      <c r="A58" s="150">
        <f t="shared" si="18"/>
        <v>54</v>
      </c>
      <c r="B58" s="150">
        <f t="shared" si="19"/>
        <v>5</v>
      </c>
      <c r="C58" s="150">
        <f t="shared" si="20"/>
        <v>6</v>
      </c>
      <c r="D58" s="150">
        <f>IF(E58="","",Input!$C$4+B58-1)</f>
        <v>49</v>
      </c>
      <c r="E58" s="150">
        <f>IF(OR(AND(C57=12,D57=Input!$C$6),E57=""),"",1)</f>
        <v>1</v>
      </c>
      <c r="F58" s="150">
        <f>IF(E58="","",Input!$C$8+B58-1)</f>
        <v>2022</v>
      </c>
      <c r="G58" s="151">
        <f>IF(E58="","",MAX(0,Input!$C$9-B58))</f>
        <v>15</v>
      </c>
      <c r="H58" s="152">
        <f>IF(E58="","",Input!$C$3)</f>
        <v>100000</v>
      </c>
      <c r="I58" s="153">
        <f>IF(E58="","",HLOOKUP($B58,Input!$C$13:$BT$14,2))</f>
        <v>2.2999999999999998</v>
      </c>
      <c r="J58" s="154"/>
      <c r="K58" s="155">
        <f>IF($E58="","",Input!$C$57)</f>
        <v>4.4999999999999998E-2</v>
      </c>
      <c r="L58" s="155">
        <f t="shared" si="11"/>
        <v>3.6748094004368514E-3</v>
      </c>
      <c r="M58" s="147">
        <f>IF($E58="","",VLOOKUP(IF($B58&lt;=Input!$C$7,$B58,26),'Mortality Tables'!$A$72:$CA$97,IF($B58&lt;=Input!$C$7+1,Input!$C$4-16,$D58-Input!$C$7-16),0)/1000)</f>
        <v>9.7999999999999997E-4</v>
      </c>
      <c r="N58" s="147">
        <f t="shared" si="0"/>
        <v>8.1703371594521457E-5</v>
      </c>
      <c r="O58" s="157">
        <f>IF($E58="","",IF($C58=12,IF($B58&lt;Input!$C$9,Input!$C$54,IF($B58=Input!$C$9,Input!$C$55,Input!$C$56)),0%))</f>
        <v>0</v>
      </c>
      <c r="P58" s="167">
        <f>IF($E58="","",IF($B58=1,Input!$C$59,IF($B58&lt;6,Input!$C$60,0%)))</f>
        <v>0.1</v>
      </c>
      <c r="Q58" s="162">
        <f>IF($E58="","",Input!$C$58)</f>
        <v>2.5</v>
      </c>
      <c r="R58" s="156">
        <f t="shared" si="12"/>
        <v>0.99991829662840548</v>
      </c>
      <c r="S58" s="154">
        <f t="shared" si="1"/>
        <v>0.77833226321019833</v>
      </c>
      <c r="T58" s="152"/>
      <c r="U58" s="150">
        <f t="shared" si="13"/>
        <v>0</v>
      </c>
      <c r="V58" s="150">
        <f t="shared" si="14"/>
        <v>0</v>
      </c>
      <c r="W58" s="168">
        <f t="shared" si="15"/>
        <v>0</v>
      </c>
      <c r="X58" s="163">
        <f t="shared" si="2"/>
        <v>8.1703371594521457</v>
      </c>
      <c r="Y58" s="152"/>
      <c r="Z58" s="164">
        <f>IF(AND($C57=12,$D57=Input!$C$6),0,IF($E58="","",V58+Z59/(1+L58)*R58))</f>
        <v>2680.2009618917887</v>
      </c>
      <c r="AA58" s="164">
        <f>IF(OR($M58=1,AND($C57=12,$D57=Input!$C$6)),0,IF($E58="","",W58+(X58+AA59*$R58)/(1+$L58)))</f>
        <v>2272.2956351221005</v>
      </c>
      <c r="AB58" s="160">
        <f t="shared" si="3"/>
        <v>0.825720328500681</v>
      </c>
      <c r="AC58" s="164">
        <f t="shared" si="4"/>
        <v>0</v>
      </c>
      <c r="AD58" s="164">
        <f>IF(AND($C57=12,$D57=Input!$C$6),0,IF($E58="","",$AC58+AD59/(1+$L58)*$R58))</f>
        <v>2213.0964187011282</v>
      </c>
      <c r="AE58" s="152"/>
      <c r="AF58" s="164">
        <f>IF(AND($C57=12,$D57=Input!$C$6),0,IF($E58="","",IF($B58&gt;Input!$C$9,$AC58,0)+AF59/(1+$L58)*$R58))</f>
        <v>850.20611622466038</v>
      </c>
      <c r="AG58" s="164">
        <f>IF(AND($C57=12,$D57=Input!$C$6),0,IF($E58="","",(IF($B58&gt;Input!$C$9,$X58,0)+AG59)/(1+$L58)*$R58))</f>
        <v>405.82365052965599</v>
      </c>
      <c r="AH58" s="160">
        <f t="shared" si="5"/>
        <v>2.0950137211446997</v>
      </c>
      <c r="AI58" s="160">
        <f>IF($E58="","",MIN(Input!$C$61/AH58,1))</f>
        <v>0.64438718771845094</v>
      </c>
      <c r="AJ58" s="152"/>
      <c r="AK58" s="164">
        <f>IF(AND($C57=12,$D57=Input!$C$6),0,IF($E58="","",IF($B58&gt;Input!$C$9,$AC58*AI58,0)+AK59/(1+$L58)*$R58))</f>
        <v>547.86192821503573</v>
      </c>
      <c r="AL58" s="164">
        <f>IF(AND($C57=12,$D57=Input!$C$6),0,IF($E58="","",IF($B58&gt;Input!$C$9,0,$AC58)+AL59/(1+$L58)*$R58))</f>
        <v>1362.890302476467</v>
      </c>
      <c r="AM58" s="160">
        <f t="shared" si="6"/>
        <v>1.1382936520186004</v>
      </c>
      <c r="AN58" s="164">
        <f>IF($E58="","",IF($B58&gt;Input!$C$9,$AI58*$AC58,$AM58*$AC58))</f>
        <v>0</v>
      </c>
      <c r="AO58" s="164">
        <f>IF(AND($C57=12,$D57=Input!$C$6),0,IF($E58="","",$AN58+AO59/(1+$L58)*$R58))</f>
        <v>2099.2313079217056</v>
      </c>
      <c r="AP58" s="152"/>
      <c r="AQ58" s="164">
        <f t="shared" si="7"/>
        <v>173.06432720039493</v>
      </c>
      <c r="AR58" s="164">
        <f t="shared" si="16"/>
        <v>172.12050916552818</v>
      </c>
      <c r="AS58" s="164">
        <f t="shared" si="17"/>
        <v>46.889952153110052</v>
      </c>
      <c r="AT58" s="164">
        <f t="shared" si="8"/>
        <v>172.12050916552818</v>
      </c>
      <c r="AU58" s="152"/>
      <c r="AV58" s="147">
        <f>'Deterministic Reserve'!BC58</f>
        <v>0.77000733691598278</v>
      </c>
      <c r="AW58" s="164">
        <f t="shared" si="9"/>
        <v>172.12050916552818</v>
      </c>
      <c r="AX58" s="164">
        <f t="shared" si="10"/>
        <v>132.53405489117137</v>
      </c>
      <c r="AY58" s="152"/>
    </row>
    <row r="59" spans="1:51" s="150" customFormat="1" x14ac:dyDescent="0.25">
      <c r="A59" s="150">
        <f t="shared" si="18"/>
        <v>55</v>
      </c>
      <c r="B59" s="150">
        <f t="shared" si="19"/>
        <v>5</v>
      </c>
      <c r="C59" s="150">
        <f t="shared" si="20"/>
        <v>7</v>
      </c>
      <c r="D59" s="150">
        <f>IF(E59="","",Input!$C$4+B59-1)</f>
        <v>49</v>
      </c>
      <c r="E59" s="150">
        <f>IF(OR(AND(C58=12,D58=Input!$C$6),E58=""),"",1)</f>
        <v>1</v>
      </c>
      <c r="F59" s="150">
        <f>IF(E59="","",Input!$C$8+B59-1)</f>
        <v>2022</v>
      </c>
      <c r="G59" s="151">
        <f>IF(E59="","",MAX(0,Input!$C$9-B59))</f>
        <v>15</v>
      </c>
      <c r="H59" s="152">
        <f>IF(E59="","",Input!$C$3)</f>
        <v>100000</v>
      </c>
      <c r="I59" s="153">
        <f>IF(E59="","",HLOOKUP($B59,Input!$C$13:$BT$14,2))</f>
        <v>2.2999999999999998</v>
      </c>
      <c r="J59" s="154"/>
      <c r="K59" s="155">
        <f>IF($E59="","",Input!$C$57)</f>
        <v>4.4999999999999998E-2</v>
      </c>
      <c r="L59" s="155">
        <f t="shared" si="11"/>
        <v>3.6748094004368514E-3</v>
      </c>
      <c r="M59" s="147">
        <f>IF($E59="","",VLOOKUP(IF($B59&lt;=Input!$C$7,$B59,26),'Mortality Tables'!$A$72:$CA$97,IF($B59&lt;=Input!$C$7+1,Input!$C$4-16,$D59-Input!$C$7-16),0)/1000)</f>
        <v>9.7999999999999997E-4</v>
      </c>
      <c r="N59" s="147">
        <f t="shared" si="0"/>
        <v>8.1703371594521457E-5</v>
      </c>
      <c r="O59" s="157">
        <f>IF($E59="","",IF($C59=12,IF($B59&lt;Input!$C$9,Input!$C$54,IF($B59=Input!$C$9,Input!$C$55,Input!$C$56)),0%))</f>
        <v>0</v>
      </c>
      <c r="P59" s="167">
        <f>IF($E59="","",IF($B59=1,Input!$C$59,IF($B59&lt;6,Input!$C$60,0%)))</f>
        <v>0.1</v>
      </c>
      <c r="Q59" s="162">
        <f>IF($E59="","",Input!$C$58)</f>
        <v>2.5</v>
      </c>
      <c r="R59" s="156">
        <f t="shared" si="12"/>
        <v>0.99991829662840548</v>
      </c>
      <c r="S59" s="154">
        <f t="shared" si="1"/>
        <v>0.77826867084007323</v>
      </c>
      <c r="T59" s="152"/>
      <c r="U59" s="150">
        <f t="shared" si="13"/>
        <v>0</v>
      </c>
      <c r="V59" s="150">
        <f t="shared" si="14"/>
        <v>0</v>
      </c>
      <c r="W59" s="168">
        <f t="shared" si="15"/>
        <v>0</v>
      </c>
      <c r="X59" s="163">
        <f t="shared" si="2"/>
        <v>8.1703371594521457</v>
      </c>
      <c r="Y59" s="152"/>
      <c r="Z59" s="164">
        <f>IF(AND($C58=12,$D58=Input!$C$6),0,IF($E59="","",V59+Z60/(1+L59)*R59))</f>
        <v>2690.269993710594</v>
      </c>
      <c r="AA59" s="164">
        <f>IF(OR($M59=1,AND($C58=12,$D58=Input!$C$6)),0,IF($E59="","",W59+(X59+AA60*$R59)/(1+$L59)))</f>
        <v>2272.6612354085919</v>
      </c>
      <c r="AB59" s="160">
        <f t="shared" si="3"/>
        <v>0.825720328500681</v>
      </c>
      <c r="AC59" s="164">
        <f t="shared" si="4"/>
        <v>0</v>
      </c>
      <c r="AD59" s="164">
        <f>IF(AND($C58=12,$D58=Input!$C$6),0,IF($E59="","",$AC59+AD60/(1+$L59)*$R59))</f>
        <v>2221.4106229622362</v>
      </c>
      <c r="AE59" s="152"/>
      <c r="AF59" s="164">
        <f>IF(AND($C58=12,$D58=Input!$C$6),0,IF($E59="","",IF($B59&gt;Input!$C$9,$AC59,0)+AF60/(1+$L59)*$R59))</f>
        <v>853.40018732549549</v>
      </c>
      <c r="AG59" s="164">
        <f>IF(AND($C58=12,$D58=Input!$C$6),0,IF($E59="","",(IF($B59&gt;Input!$C$9,$X59,0)+AG60)/(1+$L59)*$R59))</f>
        <v>407.34825682153746</v>
      </c>
      <c r="AH59" s="160">
        <f t="shared" si="5"/>
        <v>2.0950137211446997</v>
      </c>
      <c r="AI59" s="160">
        <f>IF($E59="","",MIN(Input!$C$61/AH59,1))</f>
        <v>0.64438718771845094</v>
      </c>
      <c r="AJ59" s="152"/>
      <c r="AK59" s="164">
        <f>IF(AND($C58=12,$D58=Input!$C$6),0,IF($E59="","",IF($B59&gt;Input!$C$9,$AC59*AI59,0)+AK60/(1+$L59)*$R59))</f>
        <v>549.92014670907565</v>
      </c>
      <c r="AL59" s="164">
        <f>IF(AND($C58=12,$D58=Input!$C$6),0,IF($E59="","",IF($B59&gt;Input!$C$9,0,$AC59)+AL60/(1+$L59)*$R59))</f>
        <v>1368.0104356367399</v>
      </c>
      <c r="AM59" s="160">
        <f t="shared" si="6"/>
        <v>1.1382936520186004</v>
      </c>
      <c r="AN59" s="164">
        <f>IF($E59="","",IF($B59&gt;Input!$C$9,$AI59*$AC59,$AM59*$AC59))</f>
        <v>0</v>
      </c>
      <c r="AO59" s="164">
        <f>IF(AND($C58=12,$D58=Input!$C$6),0,IF($E59="","",$AN59+AO60/(1+$L59)*$R59))</f>
        <v>2107.1177414895742</v>
      </c>
      <c r="AP59" s="152"/>
      <c r="AQ59" s="164">
        <f t="shared" si="7"/>
        <v>165.54349391901769</v>
      </c>
      <c r="AR59" s="164">
        <f t="shared" si="16"/>
        <v>172.12050916552818</v>
      </c>
      <c r="AS59" s="164">
        <f t="shared" si="17"/>
        <v>46.889952153110052</v>
      </c>
      <c r="AT59" s="164">
        <f t="shared" si="8"/>
        <v>172.12050916552818</v>
      </c>
      <c r="AU59" s="152"/>
      <c r="AV59" s="147">
        <f>'Deterministic Reserve'!BC59</f>
        <v>0.76996505970238527</v>
      </c>
      <c r="AW59" s="164">
        <f t="shared" si="9"/>
        <v>172.12050916552818</v>
      </c>
      <c r="AX59" s="164">
        <f t="shared" si="10"/>
        <v>132.52677811564087</v>
      </c>
      <c r="AY59" s="152"/>
    </row>
    <row r="60" spans="1:51" s="150" customFormat="1" x14ac:dyDescent="0.25">
      <c r="A60" s="150">
        <f t="shared" si="18"/>
        <v>56</v>
      </c>
      <c r="B60" s="150">
        <f t="shared" si="19"/>
        <v>5</v>
      </c>
      <c r="C60" s="150">
        <f t="shared" si="20"/>
        <v>8</v>
      </c>
      <c r="D60" s="150">
        <f>IF(E60="","",Input!$C$4+B60-1)</f>
        <v>49</v>
      </c>
      <c r="E60" s="150">
        <f>IF(OR(AND(C59=12,D59=Input!$C$6),E59=""),"",1)</f>
        <v>1</v>
      </c>
      <c r="F60" s="150">
        <f>IF(E60="","",Input!$C$8+B60-1)</f>
        <v>2022</v>
      </c>
      <c r="G60" s="151">
        <f>IF(E60="","",MAX(0,Input!$C$9-B60))</f>
        <v>15</v>
      </c>
      <c r="H60" s="152">
        <f>IF(E60="","",Input!$C$3)</f>
        <v>100000</v>
      </c>
      <c r="I60" s="153">
        <f>IF(E60="","",HLOOKUP($B60,Input!$C$13:$BT$14,2))</f>
        <v>2.2999999999999998</v>
      </c>
      <c r="J60" s="154"/>
      <c r="K60" s="155">
        <f>IF($E60="","",Input!$C$57)</f>
        <v>4.4999999999999998E-2</v>
      </c>
      <c r="L60" s="155">
        <f t="shared" si="11"/>
        <v>3.6748094004368514E-3</v>
      </c>
      <c r="M60" s="147">
        <f>IF($E60="","",VLOOKUP(IF($B60&lt;=Input!$C$7,$B60,26),'Mortality Tables'!$A$72:$CA$97,IF($B60&lt;=Input!$C$7+1,Input!$C$4-16,$D60-Input!$C$7-16),0)/1000)</f>
        <v>9.7999999999999997E-4</v>
      </c>
      <c r="N60" s="147">
        <f t="shared" si="0"/>
        <v>8.1703371594521457E-5</v>
      </c>
      <c r="O60" s="157">
        <f>IF($E60="","",IF($C60=12,IF($B60&lt;Input!$C$9,Input!$C$54,IF($B60=Input!$C$9,Input!$C$55,Input!$C$56)),0%))</f>
        <v>0</v>
      </c>
      <c r="P60" s="167">
        <f>IF($E60="","",IF($B60=1,Input!$C$59,IF($B60&lt;6,Input!$C$60,0%)))</f>
        <v>0.1</v>
      </c>
      <c r="Q60" s="162">
        <f>IF($E60="","",Input!$C$58)</f>
        <v>2.5</v>
      </c>
      <c r="R60" s="156">
        <f t="shared" si="12"/>
        <v>0.99991829662840548</v>
      </c>
      <c r="S60" s="154">
        <f t="shared" si="1"/>
        <v>0.77820508366565921</v>
      </c>
      <c r="T60" s="152"/>
      <c r="U60" s="150">
        <f t="shared" si="13"/>
        <v>0</v>
      </c>
      <c r="V60" s="150">
        <f t="shared" si="14"/>
        <v>0</v>
      </c>
      <c r="W60" s="168">
        <f t="shared" si="15"/>
        <v>0</v>
      </c>
      <c r="X60" s="163">
        <f t="shared" si="2"/>
        <v>8.1703371594521457</v>
      </c>
      <c r="Y60" s="152"/>
      <c r="Z60" s="164">
        <f>IF(AND($C59=12,$D59=Input!$C$6),0,IF($E60="","",V60+Z61/(1+L60)*R60))</f>
        <v>2700.3768530666662</v>
      </c>
      <c r="AA60" s="164">
        <f>IF(OR($M60=1,AND($C59=12,$D59=Input!$C$6)),0,IF($E60="","",W60+(X60+AA61*$R60)/(1+$L60)))</f>
        <v>2273.0282091894478</v>
      </c>
      <c r="AB60" s="160">
        <f t="shared" si="3"/>
        <v>0.825720328500681</v>
      </c>
      <c r="AC60" s="164">
        <f t="shared" si="4"/>
        <v>0</v>
      </c>
      <c r="AD60" s="164">
        <f>IF(AND($C59=12,$D59=Input!$C$6),0,IF($E60="","",$AC60+AD61/(1+$L60)*$R60))</f>
        <v>2229.7560621898424</v>
      </c>
      <c r="AE60" s="152"/>
      <c r="AF60" s="164">
        <f>IF(AND($C59=12,$D59=Input!$C$6),0,IF($E60="","",IF($B60&gt;Input!$C$9,$AC60,0)+AF61/(1+$L60)*$R60))</f>
        <v>856.60625797561931</v>
      </c>
      <c r="AG60" s="164">
        <f>IF(AND($C59=12,$D59=Input!$C$6),0,IF($E60="","",(IF($B60&gt;Input!$C$9,$X60,0)+AG61)/(1+$L60)*$R60))</f>
        <v>408.87859078439675</v>
      </c>
      <c r="AH60" s="160">
        <f t="shared" si="5"/>
        <v>2.0950137211446997</v>
      </c>
      <c r="AI60" s="160">
        <f>IF($E60="","",MIN(Input!$C$61/AH60,1))</f>
        <v>0.64438718771845094</v>
      </c>
      <c r="AJ60" s="152"/>
      <c r="AK60" s="164">
        <f>IF(AND($C59=12,$D59=Input!$C$6),0,IF($E60="","",IF($B60&gt;Input!$C$9,$AC60*AI60,0)+AK61/(1+$L60)*$R60))</f>
        <v>551.98609755893574</v>
      </c>
      <c r="AL60" s="164">
        <f>IF(AND($C59=12,$D59=Input!$C$6),0,IF($E60="","",IF($B60&gt;Input!$C$9,0,$AC60)+AL61/(1+$L60)*$R60))</f>
        <v>1373.1498042142223</v>
      </c>
      <c r="AM60" s="160">
        <f t="shared" si="6"/>
        <v>1.1382936520186004</v>
      </c>
      <c r="AN60" s="164">
        <f>IF($E60="","",IF($B60&gt;Input!$C$9,$AI60*$AC60,$AM60*$AC60))</f>
        <v>0</v>
      </c>
      <c r="AO60" s="164">
        <f>IF(AND($C59=12,$D59=Input!$C$6),0,IF($E60="","",$AN60+AO61/(1+$L60)*$R60))</f>
        <v>2115.0338029665663</v>
      </c>
      <c r="AP60" s="152"/>
      <c r="AQ60" s="164">
        <f t="shared" si="7"/>
        <v>157.99440622288148</v>
      </c>
      <c r="AR60" s="164">
        <f t="shared" si="16"/>
        <v>172.12050916552818</v>
      </c>
      <c r="AS60" s="164">
        <f t="shared" si="17"/>
        <v>46.889952153110052</v>
      </c>
      <c r="AT60" s="164">
        <f t="shared" si="8"/>
        <v>172.12050916552818</v>
      </c>
      <c r="AU60" s="152"/>
      <c r="AV60" s="147">
        <f>'Deterministic Reserve'!BC60</f>
        <v>0.76992278481001597</v>
      </c>
      <c r="AW60" s="164">
        <f t="shared" si="9"/>
        <v>172.12050916552818</v>
      </c>
      <c r="AX60" s="164">
        <f t="shared" si="10"/>
        <v>132.51950173964133</v>
      </c>
      <c r="AY60" s="152"/>
    </row>
    <row r="61" spans="1:51" s="150" customFormat="1" x14ac:dyDescent="0.25">
      <c r="A61" s="150">
        <f t="shared" si="18"/>
        <v>57</v>
      </c>
      <c r="B61" s="150">
        <f t="shared" si="19"/>
        <v>5</v>
      </c>
      <c r="C61" s="150">
        <f t="shared" si="20"/>
        <v>9</v>
      </c>
      <c r="D61" s="150">
        <f>IF(E61="","",Input!$C$4+B61-1)</f>
        <v>49</v>
      </c>
      <c r="E61" s="150">
        <f>IF(OR(AND(C60=12,D60=Input!$C$6),E60=""),"",1)</f>
        <v>1</v>
      </c>
      <c r="F61" s="150">
        <f>IF(E61="","",Input!$C$8+B61-1)</f>
        <v>2022</v>
      </c>
      <c r="G61" s="151">
        <f>IF(E61="","",MAX(0,Input!$C$9-B61))</f>
        <v>15</v>
      </c>
      <c r="H61" s="152">
        <f>IF(E61="","",Input!$C$3)</f>
        <v>100000</v>
      </c>
      <c r="I61" s="153">
        <f>IF(E61="","",HLOOKUP($B61,Input!$C$13:$BT$14,2))</f>
        <v>2.2999999999999998</v>
      </c>
      <c r="J61" s="154"/>
      <c r="K61" s="155">
        <f>IF($E61="","",Input!$C$57)</f>
        <v>4.4999999999999998E-2</v>
      </c>
      <c r="L61" s="155">
        <f t="shared" si="11"/>
        <v>3.6748094004368514E-3</v>
      </c>
      <c r="M61" s="147">
        <f>IF($E61="","",VLOOKUP(IF($B61&lt;=Input!$C$7,$B61,26),'Mortality Tables'!$A$72:$CA$97,IF($B61&lt;=Input!$C$7+1,Input!$C$4-16,$D61-Input!$C$7-16),0)/1000)</f>
        <v>9.7999999999999997E-4</v>
      </c>
      <c r="N61" s="147">
        <f t="shared" si="0"/>
        <v>8.1703371594521457E-5</v>
      </c>
      <c r="O61" s="157">
        <f>IF($E61="","",IF($C61=12,IF($B61&lt;Input!$C$9,Input!$C$54,IF($B61=Input!$C$9,Input!$C$55,Input!$C$56)),0%))</f>
        <v>0</v>
      </c>
      <c r="P61" s="167">
        <f>IF($E61="","",IF($B61=1,Input!$C$59,IF($B61&lt;6,Input!$C$60,0%)))</f>
        <v>0.1</v>
      </c>
      <c r="Q61" s="162">
        <f>IF($E61="","",Input!$C$58)</f>
        <v>2.5</v>
      </c>
      <c r="R61" s="156">
        <f t="shared" si="12"/>
        <v>0.99991829662840548</v>
      </c>
      <c r="S61" s="154">
        <f t="shared" si="1"/>
        <v>0.77814150168653173</v>
      </c>
      <c r="T61" s="152"/>
      <c r="U61" s="150">
        <f t="shared" si="13"/>
        <v>0</v>
      </c>
      <c r="V61" s="150">
        <f t="shared" si="14"/>
        <v>0</v>
      </c>
      <c r="W61" s="168">
        <f t="shared" si="15"/>
        <v>0</v>
      </c>
      <c r="X61" s="163">
        <f t="shared" si="2"/>
        <v>8.1703371594521457</v>
      </c>
      <c r="Y61" s="152"/>
      <c r="Z61" s="164">
        <f>IF(AND($C60=12,$D60=Input!$C$6),0,IF($E61="","",V61+Z62/(1+L61)*R61))</f>
        <v>2710.521682071243</v>
      </c>
      <c r="AA61" s="164">
        <f>IF(OR($M61=1,AND($C60=12,$D60=Input!$C$6)),0,IF($E61="","",W61+(X61+AA62*$R61)/(1+$L61)))</f>
        <v>2273.3965616246392</v>
      </c>
      <c r="AB61" s="160">
        <f t="shared" si="3"/>
        <v>0.825720328500681</v>
      </c>
      <c r="AC61" s="164">
        <f t="shared" si="4"/>
        <v>0</v>
      </c>
      <c r="AD61" s="164">
        <f>IF(AND($C60=12,$D60=Input!$C$6),0,IF($E61="","",$AC61+AD62/(1+$L61)*$R61))</f>
        <v>2238.1328537280851</v>
      </c>
      <c r="AE61" s="152"/>
      <c r="AF61" s="164">
        <f>IF(AND($C60=12,$D60=Input!$C$6),0,IF($E61="","",IF($B61&gt;Input!$C$9,$AC61,0)+AF62/(1+$L61)*$R61))</f>
        <v>859.82437325517526</v>
      </c>
      <c r="AG61" s="164">
        <f>IF(AND($C60=12,$D60=Input!$C$6),0,IF($E61="","",(IF($B61&gt;Input!$C$9,$X61,0)+AG62)/(1+$L61)*$R61))</f>
        <v>410.41467393606104</v>
      </c>
      <c r="AH61" s="160">
        <f t="shared" si="5"/>
        <v>2.0950137211446997</v>
      </c>
      <c r="AI61" s="160">
        <f>IF($E61="","",MIN(Input!$C$61/AH61,1))</f>
        <v>0.64438718771845094</v>
      </c>
      <c r="AJ61" s="152"/>
      <c r="AK61" s="164">
        <f>IF(AND($C60=12,$D60=Input!$C$6),0,IF($E61="","",IF($B61&gt;Input!$C$9,$AC61*AI61,0)+AK62/(1+$L61)*$R61))</f>
        <v>554.05980981368259</v>
      </c>
      <c r="AL61" s="164">
        <f>IF(AND($C60=12,$D60=Input!$C$6),0,IF($E61="","",IF($B61&gt;Input!$C$9,0,$AC61)+AL62/(1+$L61)*$R61))</f>
        <v>1378.3084804729087</v>
      </c>
      <c r="AM61" s="160">
        <f t="shared" si="6"/>
        <v>1.1382936520186004</v>
      </c>
      <c r="AN61" s="164">
        <f>IF($E61="","",IF($B61&gt;Input!$C$9,$AI61*$AC61,$AM61*$AC61))</f>
        <v>0</v>
      </c>
      <c r="AO61" s="164">
        <f>IF(AND($C60=12,$D60=Input!$C$6),0,IF($E61="","",$AN61+AO62/(1+$L61)*$R61))</f>
        <v>2122.9796036593948</v>
      </c>
      <c r="AP61" s="152"/>
      <c r="AQ61" s="164">
        <f t="shared" si="7"/>
        <v>150.41695796524436</v>
      </c>
      <c r="AR61" s="164">
        <f t="shared" si="16"/>
        <v>172.12050916552818</v>
      </c>
      <c r="AS61" s="164">
        <f t="shared" si="17"/>
        <v>46.889952153110052</v>
      </c>
      <c r="AT61" s="164">
        <f t="shared" si="8"/>
        <v>172.12050916552818</v>
      </c>
      <c r="AU61" s="152"/>
      <c r="AV61" s="147">
        <f>'Deterministic Reserve'!BC61</f>
        <v>0.76988051223874754</v>
      </c>
      <c r="AW61" s="164">
        <f t="shared" si="9"/>
        <v>172.12050916552818</v>
      </c>
      <c r="AX61" s="164">
        <f t="shared" si="10"/>
        <v>132.51222576315087</v>
      </c>
      <c r="AY61" s="152"/>
    </row>
    <row r="62" spans="1:51" s="150" customFormat="1" x14ac:dyDescent="0.25">
      <c r="A62" s="150">
        <f t="shared" si="18"/>
        <v>58</v>
      </c>
      <c r="B62" s="150">
        <f t="shared" si="19"/>
        <v>5</v>
      </c>
      <c r="C62" s="150">
        <f t="shared" si="20"/>
        <v>10</v>
      </c>
      <c r="D62" s="150">
        <f>IF(E62="","",Input!$C$4+B62-1)</f>
        <v>49</v>
      </c>
      <c r="E62" s="150">
        <f>IF(OR(AND(C61=12,D61=Input!$C$6),E61=""),"",1)</f>
        <v>1</v>
      </c>
      <c r="F62" s="150">
        <f>IF(E62="","",Input!$C$8+B62-1)</f>
        <v>2022</v>
      </c>
      <c r="G62" s="151">
        <f>IF(E62="","",MAX(0,Input!$C$9-B62))</f>
        <v>15</v>
      </c>
      <c r="H62" s="152">
        <f>IF(E62="","",Input!$C$3)</f>
        <v>100000</v>
      </c>
      <c r="I62" s="153">
        <f>IF(E62="","",HLOOKUP($B62,Input!$C$13:$BT$14,2))</f>
        <v>2.2999999999999998</v>
      </c>
      <c r="J62" s="154"/>
      <c r="K62" s="155">
        <f>IF($E62="","",Input!$C$57)</f>
        <v>4.4999999999999998E-2</v>
      </c>
      <c r="L62" s="155">
        <f t="shared" si="11"/>
        <v>3.6748094004368514E-3</v>
      </c>
      <c r="M62" s="147">
        <f>IF($E62="","",VLOOKUP(IF($B62&lt;=Input!$C$7,$B62,26),'Mortality Tables'!$A$72:$CA$97,IF($B62&lt;=Input!$C$7+1,Input!$C$4-16,$D62-Input!$C$7-16),0)/1000)</f>
        <v>9.7999999999999997E-4</v>
      </c>
      <c r="N62" s="147">
        <f t="shared" si="0"/>
        <v>8.1703371594521457E-5</v>
      </c>
      <c r="O62" s="157">
        <f>IF($E62="","",IF($C62=12,IF($B62&lt;Input!$C$9,Input!$C$54,IF($B62=Input!$C$9,Input!$C$55,Input!$C$56)),0%))</f>
        <v>0</v>
      </c>
      <c r="P62" s="167">
        <f>IF($E62="","",IF($B62=1,Input!$C$59,IF($B62&lt;6,Input!$C$60,0%)))</f>
        <v>0.1</v>
      </c>
      <c r="Q62" s="162">
        <f>IF($E62="","",Input!$C$58)</f>
        <v>2.5</v>
      </c>
      <c r="R62" s="156">
        <f t="shared" si="12"/>
        <v>0.99991829662840548</v>
      </c>
      <c r="S62" s="154">
        <f t="shared" si="1"/>
        <v>0.77807792490226635</v>
      </c>
      <c r="T62" s="152"/>
      <c r="U62" s="150">
        <f t="shared" si="13"/>
        <v>0</v>
      </c>
      <c r="V62" s="150">
        <f t="shared" si="14"/>
        <v>0</v>
      </c>
      <c r="W62" s="168">
        <f t="shared" si="15"/>
        <v>0</v>
      </c>
      <c r="X62" s="163">
        <f t="shared" si="2"/>
        <v>8.1703371594521457</v>
      </c>
      <c r="Y62" s="152"/>
      <c r="Z62" s="164">
        <f>IF(AND($C61=12,$D61=Input!$C$6),0,IF($E62="","",V62+Z63/(1+L62)*R62))</f>
        <v>2720.7046233694482</v>
      </c>
      <c r="AA62" s="164">
        <f>IF(OR($M62=1,AND($C61=12,$D61=Input!$C$6)),0,IF($E62="","",W62+(X62+AA63*$R62)/(1+$L62)))</f>
        <v>2273.7662978935218</v>
      </c>
      <c r="AB62" s="160">
        <f t="shared" si="3"/>
        <v>0.825720328500681</v>
      </c>
      <c r="AC62" s="164">
        <f t="shared" si="4"/>
        <v>0</v>
      </c>
      <c r="AD62" s="164">
        <f>IF(AND($C61=12,$D61=Input!$C$6),0,IF($E62="","",$AC62+AD63/(1+$L62)*$R62))</f>
        <v>2246.5411153619425</v>
      </c>
      <c r="AE62" s="152"/>
      <c r="AF62" s="164">
        <f>IF(AND($C61=12,$D61=Input!$C$6),0,IF($E62="","",IF($B62&gt;Input!$C$9,$AC62,0)+AF63/(1+$L62)*$R62))</f>
        <v>863.05457841366467</v>
      </c>
      <c r="AG62" s="164">
        <f>IF(AND($C61=12,$D61=Input!$C$6),0,IF($E62="","",(IF($B62&gt;Input!$C$9,$X62,0)+AG63)/(1+$L62)*$R62))</f>
        <v>411.95652787519623</v>
      </c>
      <c r="AH62" s="160">
        <f t="shared" si="5"/>
        <v>2.0950137211446997</v>
      </c>
      <c r="AI62" s="160">
        <f>IF($E62="","",MIN(Input!$C$61/AH62,1))</f>
        <v>0.64438718771845094</v>
      </c>
      <c r="AJ62" s="152"/>
      <c r="AK62" s="164">
        <f>IF(AND($C61=12,$D61=Input!$C$6),0,IF($E62="","",IF($B62&gt;Input!$C$9,$AC62*AI62,0)+AK63/(1+$L62)*$R62))</f>
        <v>556.14131263151523</v>
      </c>
      <c r="AL62" s="164">
        <f>IF(AND($C61=12,$D61=Input!$C$6),0,IF($E62="","",IF($B62&gt;Input!$C$9,0,$AC62)+AL63/(1+$L62)*$R62))</f>
        <v>1383.4865369482768</v>
      </c>
      <c r="AM62" s="160">
        <f t="shared" si="6"/>
        <v>1.1382936520186004</v>
      </c>
      <c r="AN62" s="164">
        <f>IF($E62="","",IF($B62&gt;Input!$C$9,$AI62*$AC62,$AM62*$AC62))</f>
        <v>0</v>
      </c>
      <c r="AO62" s="164">
        <f>IF(AND($C61=12,$D61=Input!$C$6),0,IF($E62="","",$AN62+AO63/(1+$L62)*$R62))</f>
        <v>2130.9552552929326</v>
      </c>
      <c r="AP62" s="152"/>
      <c r="AQ62" s="164">
        <f t="shared" si="7"/>
        <v>142.81104260058919</v>
      </c>
      <c r="AR62" s="164">
        <f t="shared" si="16"/>
        <v>172.12050916552818</v>
      </c>
      <c r="AS62" s="164">
        <f t="shared" si="17"/>
        <v>46.889952153110052</v>
      </c>
      <c r="AT62" s="164">
        <f t="shared" si="8"/>
        <v>172.12050916552818</v>
      </c>
      <c r="AU62" s="152"/>
      <c r="AV62" s="147">
        <f>'Deterministic Reserve'!BC62</f>
        <v>0.76983824198845252</v>
      </c>
      <c r="AW62" s="164">
        <f t="shared" si="9"/>
        <v>172.12050916552818</v>
      </c>
      <c r="AX62" s="164">
        <f t="shared" si="10"/>
        <v>132.50495018614754</v>
      </c>
      <c r="AY62" s="152"/>
    </row>
    <row r="63" spans="1:51" s="150" customFormat="1" x14ac:dyDescent="0.25">
      <c r="A63" s="150">
        <f t="shared" si="18"/>
        <v>59</v>
      </c>
      <c r="B63" s="150">
        <f t="shared" si="19"/>
        <v>5</v>
      </c>
      <c r="C63" s="150">
        <f t="shared" si="20"/>
        <v>11</v>
      </c>
      <c r="D63" s="150">
        <f>IF(E63="","",Input!$C$4+B63-1)</f>
        <v>49</v>
      </c>
      <c r="E63" s="150">
        <f>IF(OR(AND(C62=12,D62=Input!$C$6),E62=""),"",1)</f>
        <v>1</v>
      </c>
      <c r="F63" s="150">
        <f>IF(E63="","",Input!$C$8+B63-1)</f>
        <v>2022</v>
      </c>
      <c r="G63" s="151">
        <f>IF(E63="","",MAX(0,Input!$C$9-B63))</f>
        <v>15</v>
      </c>
      <c r="H63" s="152">
        <f>IF(E63="","",Input!$C$3)</f>
        <v>100000</v>
      </c>
      <c r="I63" s="153">
        <f>IF(E63="","",HLOOKUP($B63,Input!$C$13:$BT$14,2))</f>
        <v>2.2999999999999998</v>
      </c>
      <c r="J63" s="154"/>
      <c r="K63" s="155">
        <f>IF($E63="","",Input!$C$57)</f>
        <v>4.4999999999999998E-2</v>
      </c>
      <c r="L63" s="155">
        <f t="shared" si="11"/>
        <v>3.6748094004368514E-3</v>
      </c>
      <c r="M63" s="147">
        <f>IF($E63="","",VLOOKUP(IF($B63&lt;=Input!$C$7,$B63,26),'Mortality Tables'!$A$72:$CA$97,IF($B63&lt;=Input!$C$7+1,Input!$C$4-16,$D63-Input!$C$7-16),0)/1000)</f>
        <v>9.7999999999999997E-4</v>
      </c>
      <c r="N63" s="147">
        <f t="shared" si="0"/>
        <v>8.1703371594521457E-5</v>
      </c>
      <c r="O63" s="157">
        <f>IF($E63="","",IF($C63=12,IF($B63&lt;Input!$C$9,Input!$C$54,IF($B63=Input!$C$9,Input!$C$55,Input!$C$56)),0%))</f>
        <v>0</v>
      </c>
      <c r="P63" s="167">
        <f>IF($E63="","",IF($B63=1,Input!$C$59,IF($B63&lt;6,Input!$C$60,0%)))</f>
        <v>0.1</v>
      </c>
      <c r="Q63" s="162">
        <f>IF($E63="","",Input!$C$58)</f>
        <v>2.5</v>
      </c>
      <c r="R63" s="156">
        <f t="shared" si="12"/>
        <v>0.99991829662840548</v>
      </c>
      <c r="S63" s="154">
        <f t="shared" si="1"/>
        <v>0.77801435331243851</v>
      </c>
      <c r="T63" s="152"/>
      <c r="U63" s="150">
        <f t="shared" si="13"/>
        <v>0</v>
      </c>
      <c r="V63" s="150">
        <f t="shared" si="14"/>
        <v>0</v>
      </c>
      <c r="W63" s="168">
        <f t="shared" si="15"/>
        <v>0</v>
      </c>
      <c r="X63" s="163">
        <f t="shared" si="2"/>
        <v>8.1703371594521457</v>
      </c>
      <c r="Y63" s="152"/>
      <c r="Z63" s="164">
        <f>IF(AND($C62=12,$D62=Input!$C$6),0,IF($E63="","",V63+Z64/(1+L63)*R63))</f>
        <v>2730.9258201422986</v>
      </c>
      <c r="AA63" s="164">
        <f>IF(OR($M63=1,AND($C62=12,$D62=Input!$C$6)),0,IF($E63="","",W63+(X63+AA64*$R63)/(1+$L63)))</f>
        <v>2274.1374231949094</v>
      </c>
      <c r="AB63" s="160">
        <f t="shared" si="3"/>
        <v>0.825720328500681</v>
      </c>
      <c r="AC63" s="164">
        <f t="shared" si="4"/>
        <v>0</v>
      </c>
      <c r="AD63" s="164">
        <f>IF(AND($C62=12,$D62=Input!$C$6),0,IF($E63="","",$AC63+AD64/(1+$L63)*$R63))</f>
        <v>2254.9809653188909</v>
      </c>
      <c r="AE63" s="152"/>
      <c r="AF63" s="164">
        <f>IF(AND($C62=12,$D62=Input!$C$6),0,IF($E63="","",IF($B63&gt;Input!$C$9,$AC63,0)+AF64/(1+$L63)*$R63))</f>
        <v>866.29691887058289</v>
      </c>
      <c r="AG63" s="164">
        <f>IF(AND($C62=12,$D62=Input!$C$6),0,IF($E63="","",(IF($B63&gt;Input!$C$9,$X63,0)+AG64)/(1+$L63)*$R63))</f>
        <v>413.50417428161052</v>
      </c>
      <c r="AH63" s="160">
        <f t="shared" si="5"/>
        <v>2.0950137211446997</v>
      </c>
      <c r="AI63" s="160">
        <f>IF($E63="","",MIN(Input!$C$61/AH63,1))</f>
        <v>0.64438718771845094</v>
      </c>
      <c r="AJ63" s="152"/>
      <c r="AK63" s="164">
        <f>IF(AND($C62=12,$D62=Input!$C$6),0,IF($E63="","",IF($B63&gt;Input!$C$9,$AC63*AI63,0)+AK64/(1+$L63)*$R63))</f>
        <v>558.23063528017462</v>
      </c>
      <c r="AL63" s="164">
        <f>IF(AND($C62=12,$D62=Input!$C$6),0,IF($E63="","",IF($B63&gt;Input!$C$9,0,$AC63)+AL64/(1+$L63)*$R63))</f>
        <v>1388.6840464483066</v>
      </c>
      <c r="AM63" s="160">
        <f t="shared" si="6"/>
        <v>1.1382936520186004</v>
      </c>
      <c r="AN63" s="164">
        <f>IF($E63="","",IF($B63&gt;Input!$C$9,$AI63*$AC63,$AM63*$AC63))</f>
        <v>0</v>
      </c>
      <c r="AO63" s="164">
        <f>IF(AND($C62=12,$D62=Input!$C$6),0,IF($E63="","",$AN63+AO64/(1+$L63)*$R63))</f>
        <v>2138.9608700117819</v>
      </c>
      <c r="AP63" s="152"/>
      <c r="AQ63" s="164">
        <f t="shared" si="7"/>
        <v>135.17655318312745</v>
      </c>
      <c r="AR63" s="164">
        <f t="shared" si="16"/>
        <v>172.12050916552818</v>
      </c>
      <c r="AS63" s="164">
        <f t="shared" si="17"/>
        <v>46.889952153110052</v>
      </c>
      <c r="AT63" s="164">
        <f t="shared" si="8"/>
        <v>172.12050916552818</v>
      </c>
      <c r="AU63" s="152"/>
      <c r="AV63" s="147">
        <f>'Deterministic Reserve'!BC63</f>
        <v>0.76979597405900335</v>
      </c>
      <c r="AW63" s="164">
        <f t="shared" si="9"/>
        <v>172.12050916552818</v>
      </c>
      <c r="AX63" s="164">
        <f t="shared" si="10"/>
        <v>132.49767500860938</v>
      </c>
      <c r="AY63" s="152"/>
    </row>
    <row r="64" spans="1:51" s="150" customFormat="1" x14ac:dyDescent="0.25">
      <c r="A64" s="150">
        <f t="shared" si="18"/>
        <v>60</v>
      </c>
      <c r="B64" s="150">
        <f t="shared" si="19"/>
        <v>5</v>
      </c>
      <c r="C64" s="150">
        <f t="shared" si="20"/>
        <v>12</v>
      </c>
      <c r="D64" s="150">
        <f>IF(E64="","",Input!$C$4+B64-1)</f>
        <v>49</v>
      </c>
      <c r="E64" s="150">
        <f>IF(OR(AND(C63=12,D63=Input!$C$6),E63=""),"",1)</f>
        <v>1</v>
      </c>
      <c r="F64" s="150">
        <f>IF(E64="","",Input!$C$8+B64-1)</f>
        <v>2022</v>
      </c>
      <c r="G64" s="151">
        <f>IF(E64="","",MAX(0,Input!$C$9-B64))</f>
        <v>15</v>
      </c>
      <c r="H64" s="152">
        <f>IF(E64="","",Input!$C$3)</f>
        <v>100000</v>
      </c>
      <c r="I64" s="153">
        <f>IF(E64="","",HLOOKUP($B64,Input!$C$13:$BT$14,2))</f>
        <v>2.2999999999999998</v>
      </c>
      <c r="J64" s="154"/>
      <c r="K64" s="155">
        <f>IF($E64="","",Input!$C$57)</f>
        <v>4.4999999999999998E-2</v>
      </c>
      <c r="L64" s="155">
        <f t="shared" si="11"/>
        <v>3.6748094004368514E-3</v>
      </c>
      <c r="M64" s="147">
        <f>IF($E64="","",VLOOKUP(IF($B64&lt;=Input!$C$7,$B64,26),'Mortality Tables'!$A$72:$CA$97,IF($B64&lt;=Input!$C$7+1,Input!$C$4-16,$D64-Input!$C$7-16),0)/1000)</f>
        <v>9.7999999999999997E-4</v>
      </c>
      <c r="N64" s="147">
        <f t="shared" si="0"/>
        <v>8.1703371594521457E-5</v>
      </c>
      <c r="O64" s="157">
        <f>IF($E64="","",IF($C64=12,IF($B64&lt;Input!$C$9,Input!$C$54,IF($B64=Input!$C$9,Input!$C$55,Input!$C$56)),0%))</f>
        <v>0.06</v>
      </c>
      <c r="P64" s="167">
        <f>IF($E64="","",IF($B64=1,Input!$C$59,IF($B64&lt;6,Input!$C$60,0%)))</f>
        <v>0.1</v>
      </c>
      <c r="Q64" s="162">
        <f>IF($E64="","",Input!$C$58)</f>
        <v>2.5</v>
      </c>
      <c r="R64" s="156">
        <f t="shared" si="12"/>
        <v>0.93991829662840543</v>
      </c>
      <c r="S64" s="154">
        <f t="shared" si="1"/>
        <v>0.73126992571787763</v>
      </c>
      <c r="T64" s="152"/>
      <c r="U64" s="150">
        <f t="shared" si="13"/>
        <v>0</v>
      </c>
      <c r="V64" s="150">
        <f t="shared" si="14"/>
        <v>0</v>
      </c>
      <c r="W64" s="168">
        <f t="shared" si="15"/>
        <v>0</v>
      </c>
      <c r="X64" s="163">
        <f t="shared" si="2"/>
        <v>8.1703371594521457</v>
      </c>
      <c r="Y64" s="152"/>
      <c r="Z64" s="164">
        <f>IF(AND($C63=12,$D63=Input!$C$6),0,IF($E64="","",V64+Z65/(1+L64)*R64))</f>
        <v>2741.1854161087149</v>
      </c>
      <c r="AA64" s="164">
        <f>IF(OR($M64=1,AND($C63=12,$D63=Input!$C$6)),0,IF($E64="","",W64+(X64+AA65*$R64)/(1+$L64)))</f>
        <v>2274.5099427471464</v>
      </c>
      <c r="AB64" s="160">
        <f t="shared" si="3"/>
        <v>0.825720328500681</v>
      </c>
      <c r="AC64" s="164">
        <f t="shared" si="4"/>
        <v>0</v>
      </c>
      <c r="AD64" s="164">
        <f>IF(AND($C63=12,$D63=Input!$C$6),0,IF($E64="","",$AC64+AD65/(1+$L64)*$R64))</f>
        <v>2263.4525222705647</v>
      </c>
      <c r="AE64" s="152"/>
      <c r="AF64" s="164">
        <f>IF(AND($C63=12,$D63=Input!$C$6),0,IF($E64="","",IF($B64&gt;Input!$C$9,$AC64,0)+AF65/(1+$L64)*$R64))</f>
        <v>869.5514402160585</v>
      </c>
      <c r="AG64" s="164">
        <f>IF(AND($C63=12,$D63=Input!$C$6),0,IF($E64="","",(IF($B64&gt;Input!$C$9,$X64,0)+AG65)/(1+$L64)*$R64))</f>
        <v>415.05763491655921</v>
      </c>
      <c r="AH64" s="160">
        <f t="shared" si="5"/>
        <v>2.0950137211446997</v>
      </c>
      <c r="AI64" s="160">
        <f>IF($E64="","",MIN(Input!$C$61/AH64,1))</f>
        <v>0.64438718771845094</v>
      </c>
      <c r="AJ64" s="152"/>
      <c r="AK64" s="164">
        <f>IF(AND($C63=12,$D63=Input!$C$6),0,IF($E64="","",IF($B64&gt;Input!$C$9,$AC64*AI64,0)+AK65/(1+$L64)*$R64))</f>
        <v>560.32780713735531</v>
      </c>
      <c r="AL64" s="164">
        <f>IF(AND($C63=12,$D63=Input!$C$6),0,IF($E64="","",IF($B64&gt;Input!$C$9,0,$AC64)+AL65/(1+$L64)*$R64))</f>
        <v>1393.9010820545045</v>
      </c>
      <c r="AM64" s="160">
        <f t="shared" si="6"/>
        <v>1.1382936520186004</v>
      </c>
      <c r="AN64" s="164">
        <f>IF($E64="","",IF($B64&gt;Input!$C$9,$AI64*$AC64,$AM64*$AC64))</f>
        <v>0</v>
      </c>
      <c r="AO64" s="164">
        <f>IF(AND($C63=12,$D63=Input!$C$6),0,IF($E64="","",$AN64+AO65/(1+$L64)*$R64))</f>
        <v>2146.9965603818528</v>
      </c>
      <c r="AP64" s="152"/>
      <c r="AQ64" s="164">
        <f t="shared" si="7"/>
        <v>127.51338236529364</v>
      </c>
      <c r="AR64" s="164">
        <f t="shared" si="16"/>
        <v>172.12050916552818</v>
      </c>
      <c r="AS64" s="164">
        <f t="shared" si="17"/>
        <v>46.889952153110052</v>
      </c>
      <c r="AT64" s="164">
        <f t="shared" si="8"/>
        <v>172.12050916552818</v>
      </c>
      <c r="AU64" s="152"/>
      <c r="AV64" s="147">
        <f>'Deterministic Reserve'!BC64</f>
        <v>0.73126390974732258</v>
      </c>
      <c r="AW64" s="164">
        <f t="shared" si="9"/>
        <v>172.12050916552818</v>
      </c>
      <c r="AX64" s="164">
        <f t="shared" si="10"/>
        <v>125.86551648008401</v>
      </c>
      <c r="AY64" s="152"/>
    </row>
    <row r="65" spans="1:51" s="150" customFormat="1" x14ac:dyDescent="0.25">
      <c r="A65" s="150">
        <f t="shared" si="18"/>
        <v>61</v>
      </c>
      <c r="B65" s="150">
        <f t="shared" si="19"/>
        <v>6</v>
      </c>
      <c r="C65" s="150">
        <f t="shared" si="20"/>
        <v>1</v>
      </c>
      <c r="D65" s="150">
        <f>IF(E65="","",Input!$C$4+B65-1)</f>
        <v>50</v>
      </c>
      <c r="E65" s="150">
        <f>IF(OR(AND(C64=12,D64=Input!$C$6),E64=""),"",1)</f>
        <v>1</v>
      </c>
      <c r="F65" s="150">
        <f>IF(E65="","",Input!$C$8+B65-1)</f>
        <v>2023</v>
      </c>
      <c r="G65" s="151">
        <f>IF(E65="","",MAX(0,Input!$C$9-B65))</f>
        <v>14</v>
      </c>
      <c r="H65" s="152">
        <f>IF(E65="","",Input!$C$3)</f>
        <v>100000</v>
      </c>
      <c r="I65" s="153">
        <f>IF(E65="","",HLOOKUP($B65,Input!$C$13:$BT$14,2))</f>
        <v>2.2999999999999998</v>
      </c>
      <c r="J65" s="154"/>
      <c r="K65" s="155">
        <f>IF($E65="","",Input!$C$57)</f>
        <v>4.4999999999999998E-2</v>
      </c>
      <c r="L65" s="155">
        <f t="shared" si="11"/>
        <v>3.6748094004368514E-3</v>
      </c>
      <c r="M65" s="147">
        <f>IF($E65="","",VLOOKUP(IF($B65&lt;=Input!$C$7,$B65,26),'Mortality Tables'!$A$72:$CA$97,IF($B65&lt;=Input!$C$7+1,Input!$C$4-16,$D65-Input!$C$7-16),0)/1000)</f>
        <v>1.1000000000000001E-3</v>
      </c>
      <c r="N65" s="147">
        <f t="shared" si="0"/>
        <v>9.1712914449537664E-5</v>
      </c>
      <c r="O65" s="157">
        <f>IF($E65="","",IF($C65=12,IF($B65&lt;Input!$C$9,Input!$C$54,IF($B65=Input!$C$9,Input!$C$55,Input!$C$56)),0%))</f>
        <v>0</v>
      </c>
      <c r="P65" s="167">
        <f>IF($E65="","",IF($B65=1,Input!$C$59,IF($B65&lt;6,Input!$C$60,0%)))</f>
        <v>0</v>
      </c>
      <c r="Q65" s="162">
        <f>IF($E65="","",Input!$C$58)</f>
        <v>2.5</v>
      </c>
      <c r="R65" s="156">
        <f t="shared" si="12"/>
        <v>0.99990828708555046</v>
      </c>
      <c r="S65" s="154">
        <f t="shared" si="1"/>
        <v>0.73120285882174074</v>
      </c>
      <c r="T65" s="152"/>
      <c r="U65" s="150">
        <f t="shared" si="13"/>
        <v>229.99999999999997</v>
      </c>
      <c r="V65" s="150">
        <f t="shared" si="14"/>
        <v>229.99999999999997</v>
      </c>
      <c r="W65" s="168">
        <f t="shared" si="15"/>
        <v>0</v>
      </c>
      <c r="X65" s="163">
        <f t="shared" si="2"/>
        <v>9.1712914449537664</v>
      </c>
      <c r="Y65" s="152"/>
      <c r="Z65" s="164">
        <f>IF(AND($C64=12,$D64=Input!$C$6),0,IF($E65="","",V65+Z66/(1+L65)*R65))</f>
        <v>2927.1254319798345</v>
      </c>
      <c r="AA65" s="164">
        <f>IF(OR($M65=1,AND($C64=12,$D64=Input!$C$6)),0,IF($E65="","",W65+(X65+AA66*$R65)/(1+$L65)))</f>
        <v>2420.1018367939969</v>
      </c>
      <c r="AB65" s="160">
        <f t="shared" si="3"/>
        <v>0.825720328500681</v>
      </c>
      <c r="AC65" s="164">
        <f t="shared" si="4"/>
        <v>189.91567555515661</v>
      </c>
      <c r="AD65" s="164">
        <f>IF(AND($C64=12,$D64=Input!$C$6),0,IF($E65="","",$AC65+AD66/(1+$L65)*$R65))</f>
        <v>2416.9869732570874</v>
      </c>
      <c r="AE65" s="152"/>
      <c r="AF65" s="164">
        <f>IF(AND($C64=12,$D64=Input!$C$6),0,IF($E65="","",IF($B65&gt;Input!$C$9,$AC65,0)+AF66/(1+$L65)*$R65))</f>
        <v>928.53483026489732</v>
      </c>
      <c r="AG65" s="164">
        <f>IF(AND($C64=12,$D64=Input!$C$6),0,IF($E65="","",(IF($B65&gt;Input!$C$9,$X65,0)+AG66)/(1+$L65)*$R65))</f>
        <v>443.2118133133531</v>
      </c>
      <c r="AH65" s="160">
        <f t="shared" si="5"/>
        <v>2.0950137211446997</v>
      </c>
      <c r="AI65" s="160">
        <f>IF($E65="","",MIN(Input!$C$61/AH65,1))</f>
        <v>0.64438718771845094</v>
      </c>
      <c r="AJ65" s="152"/>
      <c r="AK65" s="164">
        <f>IF(AND($C64=12,$D64=Input!$C$6),0,IF($E65="","",IF($B65&gt;Input!$C$9,$AC65*AI65,0)+AK66/(1+$L65)*$R65))</f>
        <v>598.33594797302703</v>
      </c>
      <c r="AL65" s="164">
        <f>IF(AND($C64=12,$D64=Input!$C$6),0,IF($E65="","",IF($B65&gt;Input!$C$9,0,$AC65)+AL66/(1+$L65)*$R65))</f>
        <v>1488.4521429921886</v>
      </c>
      <c r="AM65" s="160">
        <f t="shared" si="6"/>
        <v>1.1382936520186004</v>
      </c>
      <c r="AN65" s="164">
        <f>IF($E65="","",IF($B65&gt;Input!$C$9,$AI65*$AC65,$AM65*$AC65))</f>
        <v>216.17980790325885</v>
      </c>
      <c r="AO65" s="164">
        <f>IF(AND($C64=12,$D64=Input!$C$6),0,IF($E65="","",$AN65+AO66/(1+$L65)*$R65))</f>
        <v>2292.6315736745137</v>
      </c>
      <c r="AP65" s="152"/>
      <c r="AQ65" s="164">
        <f t="shared" si="7"/>
        <v>127.47026311948321</v>
      </c>
      <c r="AR65" s="164">
        <f t="shared" si="16"/>
        <v>299.51923699893433</v>
      </c>
      <c r="AS65" s="164">
        <f t="shared" si="17"/>
        <v>52.631578947368425</v>
      </c>
      <c r="AT65" s="164">
        <f t="shared" si="8"/>
        <v>299.51923699893433</v>
      </c>
      <c r="AU65" s="152"/>
      <c r="AV65" s="147">
        <f>'Deterministic Reserve'!BC65</f>
        <v>0.73121920309361377</v>
      </c>
      <c r="AW65" s="164">
        <f t="shared" si="9"/>
        <v>299.51923699893433</v>
      </c>
      <c r="AX65" s="164">
        <f t="shared" si="10"/>
        <v>219.01421778956799</v>
      </c>
      <c r="AY65" s="152"/>
    </row>
    <row r="66" spans="1:51" s="150" customFormat="1" x14ac:dyDescent="0.25">
      <c r="A66" s="150">
        <f t="shared" si="18"/>
        <v>62</v>
      </c>
      <c r="B66" s="150">
        <f t="shared" si="19"/>
        <v>6</v>
      </c>
      <c r="C66" s="150">
        <f t="shared" si="20"/>
        <v>2</v>
      </c>
      <c r="D66" s="150">
        <f>IF(E66="","",Input!$C$4+B66-1)</f>
        <v>50</v>
      </c>
      <c r="E66" s="150">
        <f>IF(OR(AND(C65=12,D65=Input!$C$6),E65=""),"",1)</f>
        <v>1</v>
      </c>
      <c r="F66" s="150">
        <f>IF(E66="","",Input!$C$8+B66-1)</f>
        <v>2023</v>
      </c>
      <c r="G66" s="151">
        <f>IF(E66="","",MAX(0,Input!$C$9-B66))</f>
        <v>14</v>
      </c>
      <c r="H66" s="152">
        <f>IF(E66="","",Input!$C$3)</f>
        <v>100000</v>
      </c>
      <c r="I66" s="153">
        <f>IF(E66="","",HLOOKUP($B66,Input!$C$13:$BT$14,2))</f>
        <v>2.2999999999999998</v>
      </c>
      <c r="J66" s="154"/>
      <c r="K66" s="155">
        <f>IF($E66="","",Input!$C$57)</f>
        <v>4.4999999999999998E-2</v>
      </c>
      <c r="L66" s="155">
        <f t="shared" si="11"/>
        <v>3.6748094004368514E-3</v>
      </c>
      <c r="M66" s="147">
        <f>IF($E66="","",VLOOKUP(IF($B66&lt;=Input!$C$7,$B66,26),'Mortality Tables'!$A$72:$CA$97,IF($B66&lt;=Input!$C$7+1,Input!$C$4-16,$D66-Input!$C$7-16),0)/1000)</f>
        <v>1.1000000000000001E-3</v>
      </c>
      <c r="N66" s="147">
        <f t="shared" si="0"/>
        <v>9.1712914449537664E-5</v>
      </c>
      <c r="O66" s="157">
        <f>IF($E66="","",IF($C66=12,IF($B66&lt;Input!$C$9,Input!$C$54,IF($B66=Input!$C$9,Input!$C$55,Input!$C$56)),0%))</f>
        <v>0</v>
      </c>
      <c r="P66" s="167">
        <f>IF($E66="","",IF($B66=1,Input!$C$59,IF($B66&lt;6,Input!$C$60,0%)))</f>
        <v>0</v>
      </c>
      <c r="Q66" s="162">
        <f>IF($E66="","",Input!$C$58)</f>
        <v>2.5</v>
      </c>
      <c r="R66" s="156">
        <f t="shared" si="12"/>
        <v>0.99990828708555046</v>
      </c>
      <c r="S66" s="154">
        <f t="shared" si="1"/>
        <v>0.73113579807650442</v>
      </c>
      <c r="T66" s="152"/>
      <c r="U66" s="150">
        <f t="shared" si="13"/>
        <v>0</v>
      </c>
      <c r="V66" s="150">
        <f t="shared" si="14"/>
        <v>0</v>
      </c>
      <c r="W66" s="168">
        <f t="shared" si="15"/>
        <v>0</v>
      </c>
      <c r="X66" s="163">
        <f t="shared" si="2"/>
        <v>9.1712914449537664</v>
      </c>
      <c r="Y66" s="152"/>
      <c r="Z66" s="164">
        <f>IF(AND($C65=12,$D65=Input!$C$6),0,IF($E66="","",V66+Z67/(1+L66)*R66))</f>
        <v>2707.2851468824979</v>
      </c>
      <c r="AA66" s="164">
        <f>IF(OR($M66=1,AND($C65=12,$D65=Input!$C$6)),0,IF($E66="","",W66+(X66+AA67*$R66)/(1+$L66)))</f>
        <v>2420.0459077922137</v>
      </c>
      <c r="AB66" s="160">
        <f t="shared" si="3"/>
        <v>0.825720328500681</v>
      </c>
      <c r="AC66" s="164">
        <f t="shared" si="4"/>
        <v>0</v>
      </c>
      <c r="AD66" s="164">
        <f>IF(AND($C65=12,$D65=Input!$C$6),0,IF($E66="","",$AC66+AD67/(1+$L66)*$R66))</f>
        <v>2235.4603808288311</v>
      </c>
      <c r="AE66" s="152"/>
      <c r="AF66" s="164">
        <f>IF(AND($C65=12,$D65=Input!$C$6),0,IF($E66="","",IF($B66&gt;Input!$C$9,$AC66,0)+AF67/(1+$L66)*$R66))</f>
        <v>932.03249820455983</v>
      </c>
      <c r="AG66" s="164">
        <f>IF(AND($C65=12,$D65=Input!$C$6),0,IF($E66="","",(IF($B66&gt;Input!$C$9,$X66,0)+AG67)/(1+$L66)*$R66))</f>
        <v>444.88133361499172</v>
      </c>
      <c r="AH66" s="160">
        <f t="shared" si="5"/>
        <v>2.0950137211446997</v>
      </c>
      <c r="AI66" s="160">
        <f>IF($E66="","",MIN(Input!$C$61/AH66,1))</f>
        <v>0.64438718771845094</v>
      </c>
      <c r="AJ66" s="152"/>
      <c r="AK66" s="164">
        <f>IF(AND($C65=12,$D65=Input!$C$6),0,IF($E66="","",IF($B66&gt;Input!$C$9,$AC66*AI66,0)+AK67/(1+$L66)*$R66))</f>
        <v>600.58980038023913</v>
      </c>
      <c r="AL66" s="164">
        <f>IF(AND($C65=12,$D65=Input!$C$6),0,IF($E66="","",IF($B66&gt;Input!$C$9,0,$AC66)+AL67/(1+$L66)*$R66))</f>
        <v>1303.4278826242698</v>
      </c>
      <c r="AM66" s="160">
        <f t="shared" si="6"/>
        <v>1.1382936520186004</v>
      </c>
      <c r="AN66" s="164">
        <f>IF($E66="","",IF($B66&gt;Input!$C$9,$AI66*$AC66,$AM66*$AC66))</f>
        <v>0</v>
      </c>
      <c r="AO66" s="164">
        <f>IF(AND($C65=12,$D65=Input!$C$6),0,IF($E66="","",$AN66+AO67/(1+$L66)*$R66))</f>
        <v>2084.2734850354877</v>
      </c>
      <c r="AP66" s="152"/>
      <c r="AQ66" s="164">
        <f t="shared" si="7"/>
        <v>335.77242275672597</v>
      </c>
      <c r="AR66" s="164">
        <f t="shared" si="16"/>
        <v>299.51923699893433</v>
      </c>
      <c r="AS66" s="164">
        <f t="shared" si="17"/>
        <v>52.631578947368425</v>
      </c>
      <c r="AT66" s="164">
        <f t="shared" si="8"/>
        <v>299.51923699893433</v>
      </c>
      <c r="AU66" s="152"/>
      <c r="AV66" s="147">
        <f>'Deterministic Reserve'!BC66</f>
        <v>0.73117449917309729</v>
      </c>
      <c r="AW66" s="164">
        <f t="shared" si="9"/>
        <v>299.51923699893433</v>
      </c>
      <c r="AX66" s="164">
        <f t="shared" si="10"/>
        <v>219.00082810540405</v>
      </c>
      <c r="AY66" s="152"/>
    </row>
    <row r="67" spans="1:51" s="150" customFormat="1" x14ac:dyDescent="0.25">
      <c r="A67" s="150">
        <f t="shared" si="18"/>
        <v>63</v>
      </c>
      <c r="B67" s="150">
        <f t="shared" si="19"/>
        <v>6</v>
      </c>
      <c r="C67" s="150">
        <f t="shared" si="20"/>
        <v>3</v>
      </c>
      <c r="D67" s="150">
        <f>IF(E67="","",Input!$C$4+B67-1)</f>
        <v>50</v>
      </c>
      <c r="E67" s="150">
        <f>IF(OR(AND(C66=12,D66=Input!$C$6),E66=""),"",1)</f>
        <v>1</v>
      </c>
      <c r="F67" s="150">
        <f>IF(E67="","",Input!$C$8+B67-1)</f>
        <v>2023</v>
      </c>
      <c r="G67" s="151">
        <f>IF(E67="","",MAX(0,Input!$C$9-B67))</f>
        <v>14</v>
      </c>
      <c r="H67" s="152">
        <f>IF(E67="","",Input!$C$3)</f>
        <v>100000</v>
      </c>
      <c r="I67" s="153">
        <f>IF(E67="","",HLOOKUP($B67,Input!$C$13:$BT$14,2))</f>
        <v>2.2999999999999998</v>
      </c>
      <c r="J67" s="154"/>
      <c r="K67" s="155">
        <f>IF($E67="","",Input!$C$57)</f>
        <v>4.4999999999999998E-2</v>
      </c>
      <c r="L67" s="155">
        <f t="shared" si="11"/>
        <v>3.6748094004368514E-3</v>
      </c>
      <c r="M67" s="147">
        <f>IF($E67="","",VLOOKUP(IF($B67&lt;=Input!$C$7,$B67,26),'Mortality Tables'!$A$72:$CA$97,IF($B67&lt;=Input!$C$7+1,Input!$C$4-16,$D67-Input!$C$7-16),0)/1000)</f>
        <v>1.1000000000000001E-3</v>
      </c>
      <c r="N67" s="147">
        <f t="shared" si="0"/>
        <v>9.1712914449537664E-5</v>
      </c>
      <c r="O67" s="157">
        <f>IF($E67="","",IF($C67=12,IF($B67&lt;Input!$C$9,Input!$C$54,IF($B67=Input!$C$9,Input!$C$55,Input!$C$56)),0%))</f>
        <v>0</v>
      </c>
      <c r="P67" s="167">
        <f>IF($E67="","",IF($B67=1,Input!$C$59,IF($B67&lt;6,Input!$C$60,0%)))</f>
        <v>0</v>
      </c>
      <c r="Q67" s="162">
        <f>IF($E67="","",Input!$C$58)</f>
        <v>2.5</v>
      </c>
      <c r="R67" s="156">
        <f t="shared" si="12"/>
        <v>0.99990828708555046</v>
      </c>
      <c r="S67" s="154">
        <f t="shared" si="1"/>
        <v>0.73106874348160444</v>
      </c>
      <c r="T67" s="152"/>
      <c r="U67" s="150">
        <f t="shared" si="13"/>
        <v>0</v>
      </c>
      <c r="V67" s="150">
        <f t="shared" si="14"/>
        <v>0</v>
      </c>
      <c r="W67" s="168">
        <f t="shared" si="15"/>
        <v>0</v>
      </c>
      <c r="X67" s="163">
        <f t="shared" si="2"/>
        <v>9.1712914449537664</v>
      </c>
      <c r="Y67" s="152"/>
      <c r="Z67" s="164">
        <f>IF(AND($C66=12,$D66=Input!$C$6),0,IF($E67="","",V67+Z68/(1+L67)*R67))</f>
        <v>2717.4831320879362</v>
      </c>
      <c r="AA67" s="164">
        <f>IF(OR($M67=1,AND($C66=12,$D66=Input!$C$6)),0,IF($E67="","",W67+(X67+AA68*$R67)/(1+$L67)))</f>
        <v>2419.9897681132757</v>
      </c>
      <c r="AB67" s="160">
        <f t="shared" si="3"/>
        <v>0.825720328500681</v>
      </c>
      <c r="AC67" s="164">
        <f t="shared" si="4"/>
        <v>0</v>
      </c>
      <c r="AD67" s="164">
        <f>IF(AND($C66=12,$D66=Input!$C$6),0,IF($E67="","",$AC67+AD68/(1+$L67)*$R67))</f>
        <v>2243.8810645227104</v>
      </c>
      <c r="AE67" s="152"/>
      <c r="AF67" s="164">
        <f>IF(AND($C66=12,$D66=Input!$C$6),0,IF($E67="","",IF($B67&gt;Input!$C$9,$AC67,0)+AF68/(1+$L67)*$R67))</f>
        <v>935.54334139690798</v>
      </c>
      <c r="AG67" s="164">
        <f>IF(AND($C66=12,$D66=Input!$C$6),0,IF($E67="","",(IF($B67&gt;Input!$C$9,$X67,0)+AG68)/(1+$L67)*$R67))</f>
        <v>446.55714277887148</v>
      </c>
      <c r="AH67" s="160">
        <f t="shared" si="5"/>
        <v>2.0950137211446997</v>
      </c>
      <c r="AI67" s="160">
        <f>IF($E67="","",MIN(Input!$C$61/AH67,1))</f>
        <v>0.64438718771845094</v>
      </c>
      <c r="AJ67" s="152"/>
      <c r="AK67" s="164">
        <f>IF(AND($C66=12,$D66=Input!$C$6),0,IF($E67="","",IF($B67&gt;Input!$C$9,$AC67*AI67,0)+AK68/(1+$L67)*$R67))</f>
        <v>602.85214275147678</v>
      </c>
      <c r="AL67" s="164">
        <f>IF(AND($C66=12,$D66=Input!$C$6),0,IF($E67="","",IF($B67&gt;Input!$C$9,0,$AC67)+AL68/(1+$L67)*$R67))</f>
        <v>1308.3377231258012</v>
      </c>
      <c r="AM67" s="160">
        <f t="shared" si="6"/>
        <v>1.1382936520186004</v>
      </c>
      <c r="AN67" s="164">
        <f>IF($E67="","",IF($B67&gt;Input!$C$9,$AI67*$AC67,$AM67*$AC67))</f>
        <v>0</v>
      </c>
      <c r="AO67" s="164">
        <f>IF(AND($C66=12,$D66=Input!$C$6),0,IF($E67="","",$AN67+AO68/(1+$L67)*$R67))</f>
        <v>2092.1246676820424</v>
      </c>
      <c r="AP67" s="152"/>
      <c r="AQ67" s="164">
        <f t="shared" si="7"/>
        <v>327.86510043123326</v>
      </c>
      <c r="AR67" s="164">
        <f t="shared" si="16"/>
        <v>299.51923699893433</v>
      </c>
      <c r="AS67" s="164">
        <f t="shared" si="17"/>
        <v>52.631578947368425</v>
      </c>
      <c r="AT67" s="164">
        <f t="shared" si="8"/>
        <v>299.51923699893433</v>
      </c>
      <c r="AU67" s="152"/>
      <c r="AV67" s="147">
        <f>'Deterministic Reserve'!BC67</f>
        <v>0.73112979798560596</v>
      </c>
      <c r="AW67" s="164">
        <f t="shared" si="9"/>
        <v>299.51923699893433</v>
      </c>
      <c r="AX67" s="164">
        <f t="shared" si="10"/>
        <v>218.98743923983369</v>
      </c>
      <c r="AY67" s="152"/>
    </row>
    <row r="68" spans="1:51" s="150" customFormat="1" x14ac:dyDescent="0.25">
      <c r="A68" s="150">
        <f t="shared" si="18"/>
        <v>64</v>
      </c>
      <c r="B68" s="150">
        <f t="shared" si="19"/>
        <v>6</v>
      </c>
      <c r="C68" s="150">
        <f t="shared" si="20"/>
        <v>4</v>
      </c>
      <c r="D68" s="150">
        <f>IF(E68="","",Input!$C$4+B68-1)</f>
        <v>50</v>
      </c>
      <c r="E68" s="150">
        <f>IF(OR(AND(C67=12,D67=Input!$C$6),E67=""),"",1)</f>
        <v>1</v>
      </c>
      <c r="F68" s="150">
        <f>IF(E68="","",Input!$C$8+B68-1)</f>
        <v>2023</v>
      </c>
      <c r="G68" s="151">
        <f>IF(E68="","",MAX(0,Input!$C$9-B68))</f>
        <v>14</v>
      </c>
      <c r="H68" s="152">
        <f>IF(E68="","",Input!$C$3)</f>
        <v>100000</v>
      </c>
      <c r="I68" s="153">
        <f>IF(E68="","",HLOOKUP($B68,Input!$C$13:$BT$14,2))</f>
        <v>2.2999999999999998</v>
      </c>
      <c r="J68" s="154"/>
      <c r="K68" s="155">
        <f>IF($E68="","",Input!$C$57)</f>
        <v>4.4999999999999998E-2</v>
      </c>
      <c r="L68" s="155">
        <f t="shared" si="11"/>
        <v>3.6748094004368514E-3</v>
      </c>
      <c r="M68" s="147">
        <f>IF($E68="","",VLOOKUP(IF($B68&lt;=Input!$C$7,$B68,26),'Mortality Tables'!$A$72:$CA$97,IF($B68&lt;=Input!$C$7+1,Input!$C$4-16,$D68-Input!$C$7-16),0)/1000)</f>
        <v>1.1000000000000001E-3</v>
      </c>
      <c r="N68" s="147">
        <f t="shared" si="0"/>
        <v>9.1712914449537664E-5</v>
      </c>
      <c r="O68" s="157">
        <f>IF($E68="","",IF($C68=12,IF($B68&lt;Input!$C$9,Input!$C$54,IF($B68=Input!$C$9,Input!$C$55,Input!$C$56)),0%))</f>
        <v>0</v>
      </c>
      <c r="P68" s="167">
        <f>IF($E68="","",IF($B68=1,Input!$C$59,IF($B68&lt;6,Input!$C$60,0%)))</f>
        <v>0</v>
      </c>
      <c r="Q68" s="162">
        <f>IF($E68="","",Input!$C$58)</f>
        <v>2.5</v>
      </c>
      <c r="R68" s="156">
        <f t="shared" si="12"/>
        <v>0.99990828708555046</v>
      </c>
      <c r="S68" s="154">
        <f t="shared" si="1"/>
        <v>0.73100169503647683</v>
      </c>
      <c r="T68" s="152"/>
      <c r="U68" s="150">
        <f t="shared" si="13"/>
        <v>0</v>
      </c>
      <c r="V68" s="150">
        <f t="shared" si="14"/>
        <v>0</v>
      </c>
      <c r="W68" s="168">
        <f t="shared" si="15"/>
        <v>0</v>
      </c>
      <c r="X68" s="163">
        <f t="shared" si="2"/>
        <v>9.1712914449537664</v>
      </c>
      <c r="Y68" s="152"/>
      <c r="Z68" s="164">
        <f>IF(AND($C67=12,$D67=Input!$C$6),0,IF($E68="","",V68+Z69/(1+L68)*R68))</f>
        <v>2727.7195317553201</v>
      </c>
      <c r="AA68" s="164">
        <f>IF(OR($M68=1,AND($C67=12,$D67=Input!$C$6)),0,IF($E68="","",W68+(X68+AA69*$R68)/(1+$L68)))</f>
        <v>2419.9334169635895</v>
      </c>
      <c r="AB68" s="160">
        <f t="shared" si="3"/>
        <v>0.825720328500681</v>
      </c>
      <c r="AC68" s="164">
        <f t="shared" si="4"/>
        <v>0</v>
      </c>
      <c r="AD68" s="164">
        <f>IF(AND($C67=12,$D67=Input!$C$6),0,IF($E68="","",$AC68+AD69/(1+$L68)*$R68))</f>
        <v>2252.3334678187266</v>
      </c>
      <c r="AE68" s="152"/>
      <c r="AF68" s="164">
        <f>IF(AND($C67=12,$D67=Input!$C$6),0,IF($E68="","",IF($B68&gt;Input!$C$9,$AC68,0)+AF69/(1+$L68)*$R68))</f>
        <v>939.06740947137666</v>
      </c>
      <c r="AG68" s="164">
        <f>IF(AND($C67=12,$D67=Input!$C$6),0,IF($E68="","",(IF($B68&gt;Input!$C$9,$X68,0)+AG69)/(1+$L68)*$R68))</f>
        <v>448.23926449430502</v>
      </c>
      <c r="AH68" s="160">
        <f t="shared" si="5"/>
        <v>2.0950137211446997</v>
      </c>
      <c r="AI68" s="160">
        <f>IF($E68="","",MIN(Input!$C$61/AH68,1))</f>
        <v>0.64438718771845094</v>
      </c>
      <c r="AJ68" s="152"/>
      <c r="AK68" s="164">
        <f>IF(AND($C67=12,$D67=Input!$C$6),0,IF($E68="","",IF($B68&gt;Input!$C$9,$AC68*AI68,0)+AK69/(1+$L68)*$R68))</f>
        <v>605.12300706731196</v>
      </c>
      <c r="AL68" s="164">
        <f>IF(AND($C67=12,$D67=Input!$C$6),0,IF($E68="","",IF($B68&gt;Input!$C$9,0,$AC68)+AL69/(1+$L68)*$R68))</f>
        <v>1313.2660583473487</v>
      </c>
      <c r="AM68" s="160">
        <f t="shared" si="6"/>
        <v>1.1382936520186004</v>
      </c>
      <c r="AN68" s="164">
        <f>IF($E68="","",IF($B68&gt;Input!$C$9,$AI68*$AC68,$AM68*$AC68))</f>
        <v>0</v>
      </c>
      <c r="AO68" s="164">
        <f>IF(AND($C67=12,$D67=Input!$C$6),0,IF($E68="","",$AN68+AO69/(1+$L68)*$R68))</f>
        <v>2100.0054246955851</v>
      </c>
      <c r="AP68" s="152"/>
      <c r="AQ68" s="164">
        <f t="shared" si="7"/>
        <v>319.92799226800435</v>
      </c>
      <c r="AR68" s="164">
        <f t="shared" si="16"/>
        <v>299.51923699893433</v>
      </c>
      <c r="AS68" s="164">
        <f t="shared" si="17"/>
        <v>52.631578947368425</v>
      </c>
      <c r="AT68" s="164">
        <f t="shared" si="8"/>
        <v>299.51923699893433</v>
      </c>
      <c r="AU68" s="152"/>
      <c r="AV68" s="147">
        <f>'Deterministic Reserve'!BC68</f>
        <v>0.73108509953097278</v>
      </c>
      <c r="AW68" s="164">
        <f t="shared" si="9"/>
        <v>299.51923699893433</v>
      </c>
      <c r="AX68" s="164">
        <f t="shared" si="10"/>
        <v>218.97405119280694</v>
      </c>
      <c r="AY68" s="152"/>
    </row>
    <row r="69" spans="1:51" s="150" customFormat="1" x14ac:dyDescent="0.25">
      <c r="A69" s="150">
        <f t="shared" si="18"/>
        <v>65</v>
      </c>
      <c r="B69" s="150">
        <f t="shared" si="19"/>
        <v>6</v>
      </c>
      <c r="C69" s="150">
        <f t="shared" si="20"/>
        <v>5</v>
      </c>
      <c r="D69" s="150">
        <f>IF(E69="","",Input!$C$4+B69-1)</f>
        <v>50</v>
      </c>
      <c r="E69" s="150">
        <f>IF(OR(AND(C68=12,D68=Input!$C$6),E68=""),"",1)</f>
        <v>1</v>
      </c>
      <c r="F69" s="150">
        <f>IF(E69="","",Input!$C$8+B69-1)</f>
        <v>2023</v>
      </c>
      <c r="G69" s="151">
        <f>IF(E69="","",MAX(0,Input!$C$9-B69))</f>
        <v>14</v>
      </c>
      <c r="H69" s="152">
        <f>IF(E69="","",Input!$C$3)</f>
        <v>100000</v>
      </c>
      <c r="I69" s="153">
        <f>IF(E69="","",HLOOKUP($B69,Input!$C$13:$BT$14,2))</f>
        <v>2.2999999999999998</v>
      </c>
      <c r="J69" s="154"/>
      <c r="K69" s="155">
        <f>IF($E69="","",Input!$C$57)</f>
        <v>4.4999999999999998E-2</v>
      </c>
      <c r="L69" s="155">
        <f t="shared" si="11"/>
        <v>3.6748094004368514E-3</v>
      </c>
      <c r="M69" s="147">
        <f>IF($E69="","",VLOOKUP(IF($B69&lt;=Input!$C$7,$B69,26),'Mortality Tables'!$A$72:$CA$97,IF($B69&lt;=Input!$C$7+1,Input!$C$4-16,$D69-Input!$C$7-16),0)/1000)</f>
        <v>1.1000000000000001E-3</v>
      </c>
      <c r="N69" s="147">
        <f t="shared" ref="N69:N132" si="21">IF($E69="","",1-(1-M69)^(1/12))</f>
        <v>9.1712914449537664E-5</v>
      </c>
      <c r="O69" s="157">
        <f>IF($E69="","",IF($C69=12,IF($B69&lt;Input!$C$9,Input!$C$54,IF($B69=Input!$C$9,Input!$C$55,Input!$C$56)),0%))</f>
        <v>0</v>
      </c>
      <c r="P69" s="167">
        <f>IF($E69="","",IF($B69=1,Input!$C$59,IF($B69&lt;6,Input!$C$60,0%)))</f>
        <v>0</v>
      </c>
      <c r="Q69" s="162">
        <f>IF($E69="","",Input!$C$58)</f>
        <v>2.5</v>
      </c>
      <c r="R69" s="156">
        <f t="shared" si="12"/>
        <v>0.99990828708555046</v>
      </c>
      <c r="S69" s="154">
        <f t="shared" ref="S69:S132" si="22">IF($E69="","",IF(AND($B69=1,$C69=1),1,S68*R69))</f>
        <v>0.73093465274055747</v>
      </c>
      <c r="T69" s="152"/>
      <c r="U69" s="150">
        <f t="shared" si="13"/>
        <v>0</v>
      </c>
      <c r="V69" s="150">
        <f t="shared" si="14"/>
        <v>0</v>
      </c>
      <c r="W69" s="168">
        <f t="shared" si="15"/>
        <v>0</v>
      </c>
      <c r="X69" s="163">
        <f t="shared" ref="X69:X132" si="23">IF($E69="","",N69*$H69)</f>
        <v>9.1712914449537664</v>
      </c>
      <c r="Y69" s="152"/>
      <c r="Z69" s="164">
        <f>IF(AND($C68=12,$D68=Input!$C$6),0,IF($E69="","",V69+Z70/(1+L69)*R69))</f>
        <v>2737.9944905868483</v>
      </c>
      <c r="AA69" s="164">
        <f>IF(OR($M69=1,AND($C68=12,$D68=Input!$C$6)),0,IF($E69="","",W69+(X69+AA70*$R69)/(1+$L69)))</f>
        <v>2419.8768535465729</v>
      </c>
      <c r="AB69" s="160">
        <f t="shared" ref="AB69:AB132" si="24">IF($E69="","",$AA$5/$Z$5)</f>
        <v>0.825720328500681</v>
      </c>
      <c r="AC69" s="164">
        <f t="shared" ref="AC69:AC132" si="25">IF($E69="","",V69*AB69)</f>
        <v>0</v>
      </c>
      <c r="AD69" s="164">
        <f>IF(AND($C68=12,$D68=Input!$C$6),0,IF($E69="","",$AC69+AD70/(1+$L69)*$R69))</f>
        <v>2260.817710200427</v>
      </c>
      <c r="AE69" s="152"/>
      <c r="AF69" s="164">
        <f>IF(AND($C68=12,$D68=Input!$C$6),0,IF($E69="","",IF($B69&gt;Input!$C$9,$AC69,0)+AF70/(1+$L69)*$R69))</f>
        <v>942.60475224434822</v>
      </c>
      <c r="AG69" s="164">
        <f>IF(AND($C68=12,$D68=Input!$C$6),0,IF($E69="","",(IF($B69&gt;Input!$C$9,$X69,0)+AG70)/(1+$L69)*$R69))</f>
        <v>449.92772253983935</v>
      </c>
      <c r="AH69" s="160">
        <f t="shared" ref="AH69:AH132" si="26">IF($E69="","",$AF$5/$AG$5)</f>
        <v>2.0950137211446997</v>
      </c>
      <c r="AI69" s="160">
        <f>IF($E69="","",MIN(Input!$C$61/AH69,1))</f>
        <v>0.64438718771845094</v>
      </c>
      <c r="AJ69" s="152"/>
      <c r="AK69" s="164">
        <f>IF(AND($C68=12,$D68=Input!$C$6),0,IF($E69="","",IF($B69&gt;Input!$C$9,$AC69*AI69,0)+AK70/(1+$L69)*$R69))</f>
        <v>607.40242542878332</v>
      </c>
      <c r="AL69" s="164">
        <f>IF(AND($C68=12,$D68=Input!$C$6),0,IF($E69="","",IF($B69&gt;Input!$C$9,0,$AC69)+AL70/(1+$L69)*$R69))</f>
        <v>1318.2129579560776</v>
      </c>
      <c r="AM69" s="160">
        <f t="shared" ref="AM69:AM132" si="27">IF($E69="","",($AD$5-$AK$5)/$AL$5)</f>
        <v>1.1382936520186004</v>
      </c>
      <c r="AN69" s="164">
        <f>IF($E69="","",IF($B69&gt;Input!$C$9,$AI69*$AC69,$AM69*$AC69))</f>
        <v>0</v>
      </c>
      <c r="AO69" s="164">
        <f>IF(AND($C68=12,$D68=Input!$C$6),0,IF($E69="","",$AN69+AO70/(1+$L69)*$R69))</f>
        <v>2107.9158674788455</v>
      </c>
      <c r="AP69" s="152"/>
      <c r="AQ69" s="164">
        <f t="shared" ref="AQ69:AQ132" si="28">IF($E69="","",$AA69-$AO69)</f>
        <v>311.96098606772739</v>
      </c>
      <c r="AR69" s="164">
        <f t="shared" si="16"/>
        <v>299.51923699893433</v>
      </c>
      <c r="AS69" s="164">
        <f t="shared" si="17"/>
        <v>52.631578947368425</v>
      </c>
      <c r="AT69" s="164">
        <f t="shared" ref="AT69:AT132" si="29">IF($E69="","",MAX($AR69,$AS69))</f>
        <v>299.51923699893433</v>
      </c>
      <c r="AU69" s="152"/>
      <c r="AV69" s="147">
        <f>'Deterministic Reserve'!BC69</f>
        <v>0.73104040380903068</v>
      </c>
      <c r="AW69" s="164">
        <f t="shared" ref="AW69:AW132" si="30">IF($E69="","",$AT69)</f>
        <v>299.51923699893433</v>
      </c>
      <c r="AX69" s="164">
        <f t="shared" ref="AX69:AX132" si="31">IF($E69="","",AV69*AW69)</f>
        <v>218.96066396427372</v>
      </c>
      <c r="AY69" s="152"/>
    </row>
    <row r="70" spans="1:51" s="150" customFormat="1" x14ac:dyDescent="0.25">
      <c r="A70" s="150">
        <f t="shared" si="18"/>
        <v>66</v>
      </c>
      <c r="B70" s="150">
        <f t="shared" si="19"/>
        <v>6</v>
      </c>
      <c r="C70" s="150">
        <f t="shared" si="20"/>
        <v>6</v>
      </c>
      <c r="D70" s="150">
        <f>IF(E70="","",Input!$C$4+B70-1)</f>
        <v>50</v>
      </c>
      <c r="E70" s="150">
        <f>IF(OR(AND(C69=12,D69=Input!$C$6),E69=""),"",1)</f>
        <v>1</v>
      </c>
      <c r="F70" s="150">
        <f>IF(E70="","",Input!$C$8+B70-1)</f>
        <v>2023</v>
      </c>
      <c r="G70" s="151">
        <f>IF(E70="","",MAX(0,Input!$C$9-B70))</f>
        <v>14</v>
      </c>
      <c r="H70" s="152">
        <f>IF(E70="","",Input!$C$3)</f>
        <v>100000</v>
      </c>
      <c r="I70" s="153">
        <f>IF(E70="","",HLOOKUP($B70,Input!$C$13:$BT$14,2))</f>
        <v>2.2999999999999998</v>
      </c>
      <c r="J70" s="154"/>
      <c r="K70" s="155">
        <f>IF($E70="","",Input!$C$57)</f>
        <v>4.4999999999999998E-2</v>
      </c>
      <c r="L70" s="155">
        <f t="shared" ref="L70:L133" si="32">IF($E70="","",(1+K70)^(1/12)-1)</f>
        <v>3.6748094004368514E-3</v>
      </c>
      <c r="M70" s="147">
        <f>IF($E70="","",VLOOKUP(IF($B70&lt;=Input!$C$7,$B70,26),'Mortality Tables'!$A$72:$CA$97,IF($B70&lt;=Input!$C$7+1,Input!$C$4-16,$D70-Input!$C$7-16),0)/1000)</f>
        <v>1.1000000000000001E-3</v>
      </c>
      <c r="N70" s="147">
        <f t="shared" si="21"/>
        <v>9.1712914449537664E-5</v>
      </c>
      <c r="O70" s="157">
        <f>IF($E70="","",IF($C70=12,IF($B70&lt;Input!$C$9,Input!$C$54,IF($B70=Input!$C$9,Input!$C$55,Input!$C$56)),0%))</f>
        <v>0</v>
      </c>
      <c r="P70" s="167">
        <f>IF($E70="","",IF($B70=1,Input!$C$59,IF($B70&lt;6,Input!$C$60,0%)))</f>
        <v>0</v>
      </c>
      <c r="Q70" s="162">
        <f>IF($E70="","",Input!$C$58)</f>
        <v>2.5</v>
      </c>
      <c r="R70" s="156">
        <f t="shared" ref="R70:R133" si="33">IF($E70="","",MAX(1-N70-O70,0))</f>
        <v>0.99990828708555046</v>
      </c>
      <c r="S70" s="154">
        <f t="shared" si="22"/>
        <v>0.73086761659328248</v>
      </c>
      <c r="T70" s="152"/>
      <c r="U70" s="150">
        <f t="shared" ref="U70:U133" si="34">IF($E70="","",IF($C70=1,$I70*$H70/1000,0))</f>
        <v>0</v>
      </c>
      <c r="V70" s="150">
        <f t="shared" ref="V70:V133" si="35">IF($E70="","",U70*(1-$P70))</f>
        <v>0</v>
      </c>
      <c r="W70" s="168">
        <f t="shared" ref="W70:W133" si="36">IF($E70="","",IF(AND($B70=1,$C70=1),$Q70*$H70/1000,0))</f>
        <v>0</v>
      </c>
      <c r="X70" s="163">
        <f t="shared" si="23"/>
        <v>9.1712914449537664</v>
      </c>
      <c r="Y70" s="152"/>
      <c r="Z70" s="164">
        <f>IF(AND($C69=12,$D69=Input!$C$6),0,IF($E70="","",V70+Z71/(1+L70)*R70))</f>
        <v>2748.3081538297943</v>
      </c>
      <c r="AA70" s="164">
        <f>IF(OR($M70=1,AND($C69=12,$D69=Input!$C$6)),0,IF($E70="","",W70+(X70+AA71*$R70)/(1+$L70)))</f>
        <v>2419.8200770626427</v>
      </c>
      <c r="AB70" s="160">
        <f t="shared" si="24"/>
        <v>0.825720328500681</v>
      </c>
      <c r="AC70" s="164">
        <f t="shared" si="25"/>
        <v>0</v>
      </c>
      <c r="AD70" s="164">
        <f>IF(AND($C69=12,$D69=Input!$C$6),0,IF($E70="","",$AC70+AD71/(1+$L70)*$R70))</f>
        <v>2269.3339116014376</v>
      </c>
      <c r="AE70" s="152"/>
      <c r="AF70" s="164">
        <f>IF(AND($C69=12,$D69=Input!$C$6),0,IF($E70="","",IF($B70&gt;Input!$C$9,$AC70,0)+AF71/(1+$L70)*$R70))</f>
        <v>946.15541971985692</v>
      </c>
      <c r="AG70" s="164">
        <f>IF(AND($C69=12,$D69=Input!$C$6),0,IF($E70="","",(IF($B70&gt;Input!$C$9,$X70,0)+AG71)/(1+$L70)*$R70))</f>
        <v>451.62254078359223</v>
      </c>
      <c r="AH70" s="160">
        <f t="shared" si="26"/>
        <v>2.0950137211446997</v>
      </c>
      <c r="AI70" s="160">
        <f>IF($E70="","",MIN(Input!$C$61/AH70,1))</f>
        <v>0.64438718771845094</v>
      </c>
      <c r="AJ70" s="152"/>
      <c r="AK70" s="164">
        <f>IF(AND($C69=12,$D69=Input!$C$6),0,IF($E70="","",IF($B70&gt;Input!$C$9,$AC70*AI70,0)+AK71/(1+$L70)*$R70))</f>
        <v>609.69043005784977</v>
      </c>
      <c r="AL70" s="164">
        <f>IF(AND($C69=12,$D69=Input!$C$6),0,IF($E70="","",IF($B70&gt;Input!$C$9,0,$AC70)+AL71/(1+$L70)*$R70))</f>
        <v>1323.1784918815797</v>
      </c>
      <c r="AM70" s="160">
        <f t="shared" si="27"/>
        <v>1.1382936520186004</v>
      </c>
      <c r="AN70" s="164">
        <f>IF($E70="","",IF($B70&gt;Input!$C$9,$AI70*$AC70,$AM70*$AC70))</f>
        <v>0</v>
      </c>
      <c r="AO70" s="164">
        <f>IF(AND($C69=12,$D69=Input!$C$6),0,IF($E70="","",$AN70+AO71/(1+$L70)*$R70))</f>
        <v>2115.8561078541943</v>
      </c>
      <c r="AP70" s="152"/>
      <c r="AQ70" s="164">
        <f t="shared" si="28"/>
        <v>303.96396920844836</v>
      </c>
      <c r="AR70" s="164">
        <f t="shared" ref="AR70:AR133" si="37">IF($E70="","",IF($M70=1,0,0.5*(IF($B70=1,0,SUMIFS($AQ:$AQ,$B:$B,$B70-1,$C:$C,12))+SUMIFS($AN:$AN,$B:$B,$B70,$C:$C,1)+SUMIFS($AQ:$AQ,$B:$B,$B70,$C:$C,12))))</f>
        <v>299.51923699893433</v>
      </c>
      <c r="AS70" s="164">
        <f t="shared" ref="AS70:AS133" si="38">IF($E70="","",IF($M70=1,0,0.5*$M70*$H70/(1+$K70)))</f>
        <v>52.631578947368425</v>
      </c>
      <c r="AT70" s="164">
        <f t="shared" si="29"/>
        <v>299.51923699893433</v>
      </c>
      <c r="AU70" s="152"/>
      <c r="AV70" s="147">
        <f>'Deterministic Reserve'!BC70</f>
        <v>0.73099571081961257</v>
      </c>
      <c r="AW70" s="164">
        <f t="shared" si="30"/>
        <v>299.51923699893433</v>
      </c>
      <c r="AX70" s="164">
        <f t="shared" si="31"/>
        <v>218.94727755418401</v>
      </c>
      <c r="AY70" s="152"/>
    </row>
    <row r="71" spans="1:51" s="150" customFormat="1" x14ac:dyDescent="0.25">
      <c r="A71" s="150">
        <f t="shared" ref="A71:A134" si="39">IF(E71="","",A70+1)</f>
        <v>67</v>
      </c>
      <c r="B71" s="150">
        <f t="shared" ref="B71:B134" si="40">IF(E71="","",IF(C70+1&gt;12,B70+1,B70))</f>
        <v>6</v>
      </c>
      <c r="C71" s="150">
        <f t="shared" ref="C71:C134" si="41">IF(E71="","",IF(C70+1&gt;12,1,C70+1))</f>
        <v>7</v>
      </c>
      <c r="D71" s="150">
        <f>IF(E71="","",Input!$C$4+B71-1)</f>
        <v>50</v>
      </c>
      <c r="E71" s="150">
        <f>IF(OR(AND(C70=12,D70=Input!$C$6),E70=""),"",1)</f>
        <v>1</v>
      </c>
      <c r="F71" s="150">
        <f>IF(E71="","",Input!$C$8+B71-1)</f>
        <v>2023</v>
      </c>
      <c r="G71" s="151">
        <f>IF(E71="","",MAX(0,Input!$C$9-B71))</f>
        <v>14</v>
      </c>
      <c r="H71" s="152">
        <f>IF(E71="","",Input!$C$3)</f>
        <v>100000</v>
      </c>
      <c r="I71" s="153">
        <f>IF(E71="","",HLOOKUP($B71,Input!$C$13:$BT$14,2))</f>
        <v>2.2999999999999998</v>
      </c>
      <c r="J71" s="154"/>
      <c r="K71" s="155">
        <f>IF($E71="","",Input!$C$57)</f>
        <v>4.4999999999999998E-2</v>
      </c>
      <c r="L71" s="155">
        <f t="shared" si="32"/>
        <v>3.6748094004368514E-3</v>
      </c>
      <c r="M71" s="147">
        <f>IF($E71="","",VLOOKUP(IF($B71&lt;=Input!$C$7,$B71,26),'Mortality Tables'!$A$72:$CA$97,IF($B71&lt;=Input!$C$7+1,Input!$C$4-16,$D71-Input!$C$7-16),0)/1000)</f>
        <v>1.1000000000000001E-3</v>
      </c>
      <c r="N71" s="147">
        <f t="shared" si="21"/>
        <v>9.1712914449537664E-5</v>
      </c>
      <c r="O71" s="157">
        <f>IF($E71="","",IF($C71=12,IF($B71&lt;Input!$C$9,Input!$C$54,IF($B71=Input!$C$9,Input!$C$55,Input!$C$56)),0%))</f>
        <v>0</v>
      </c>
      <c r="P71" s="167">
        <f>IF($E71="","",IF($B71=1,Input!$C$59,IF($B71&lt;6,Input!$C$60,0%)))</f>
        <v>0</v>
      </c>
      <c r="Q71" s="162">
        <f>IF($E71="","",Input!$C$58)</f>
        <v>2.5</v>
      </c>
      <c r="R71" s="156">
        <f t="shared" si="33"/>
        <v>0.99990828708555046</v>
      </c>
      <c r="S71" s="154">
        <f t="shared" si="22"/>
        <v>0.73080058659408786</v>
      </c>
      <c r="T71" s="152"/>
      <c r="U71" s="150">
        <f t="shared" si="34"/>
        <v>0</v>
      </c>
      <c r="V71" s="150">
        <f t="shared" si="35"/>
        <v>0</v>
      </c>
      <c r="W71" s="168">
        <f t="shared" si="36"/>
        <v>0</v>
      </c>
      <c r="X71" s="163">
        <f t="shared" si="23"/>
        <v>9.1712914449537664</v>
      </c>
      <c r="Y71" s="152"/>
      <c r="Z71" s="164">
        <f>IF(AND($C70=12,$D70=Input!$C$6),0,IF($E71="","",V71+Z72/(1+L71)*R71))</f>
        <v>2758.6606672785588</v>
      </c>
      <c r="AA71" s="164">
        <f>IF(OR($M71=1,AND($C70=12,$D70=Input!$C$6)),0,IF($E71="","",W71+(X71+AA72*$R71)/(1+$L71)))</f>
        <v>2419.7630867092043</v>
      </c>
      <c r="AB71" s="160">
        <f t="shared" si="24"/>
        <v>0.825720328500681</v>
      </c>
      <c r="AC71" s="164">
        <f t="shared" si="25"/>
        <v>0</v>
      </c>
      <c r="AD71" s="164">
        <f>IF(AND($C70=12,$D70=Input!$C$6),0,IF($E71="","",$AC71+AD72/(1+$L71)*$R71))</f>
        <v>2277.882192407159</v>
      </c>
      <c r="AE71" s="152"/>
      <c r="AF71" s="164">
        <f>IF(AND($C70=12,$D70=Input!$C$6),0,IF($E71="","",IF($B71&gt;Input!$C$9,$AC71,0)+AF72/(1+$L71)*$R71))</f>
        <v>949.71946209029545</v>
      </c>
      <c r="AG71" s="164">
        <f>IF(AND($C70=12,$D70=Input!$C$6),0,IF($E71="","",(IF($B71&gt;Input!$C$9,$X71,0)+AG72)/(1+$L71)*$R71))</f>
        <v>453.3237431835895</v>
      </c>
      <c r="AH71" s="160">
        <f t="shared" si="26"/>
        <v>2.0950137211446997</v>
      </c>
      <c r="AI71" s="160">
        <f>IF($E71="","",MIN(Input!$C$61/AH71,1))</f>
        <v>0.64438718771845094</v>
      </c>
      <c r="AJ71" s="152"/>
      <c r="AK71" s="164">
        <f>IF(AND($C70=12,$D70=Input!$C$6),0,IF($E71="","",IF($B71&gt;Input!$C$9,$AC71*AI71,0)+AK72/(1+$L71)*$R71))</f>
        <v>611.98705329784605</v>
      </c>
      <c r="AL71" s="164">
        <f>IF(AND($C70=12,$D70=Input!$C$6),0,IF($E71="","",IF($B71&gt;Input!$C$9,0,$AC71)+AL72/(1+$L71)*$R71))</f>
        <v>1328.1627303168625</v>
      </c>
      <c r="AM71" s="160">
        <f t="shared" si="27"/>
        <v>1.1382936520186004</v>
      </c>
      <c r="AN71" s="164">
        <f>IF($E71="","",IF($B71&gt;Input!$C$9,$AI71*$AC71,$AM71*$AC71))</f>
        <v>0</v>
      </c>
      <c r="AO71" s="164">
        <f>IF(AND($C70=12,$D70=Input!$C$6),0,IF($E71="","",$AN71+AO72/(1+$L71)*$R71))</f>
        <v>2123.8262580652204</v>
      </c>
      <c r="AP71" s="152"/>
      <c r="AQ71" s="164">
        <f t="shared" si="28"/>
        <v>295.93682864398397</v>
      </c>
      <c r="AR71" s="164">
        <f t="shared" si="37"/>
        <v>299.51923699893433</v>
      </c>
      <c r="AS71" s="164">
        <f t="shared" si="38"/>
        <v>52.631578947368425</v>
      </c>
      <c r="AT71" s="164">
        <f t="shared" si="29"/>
        <v>299.51923699893433</v>
      </c>
      <c r="AU71" s="152"/>
      <c r="AV71" s="147">
        <f>'Deterministic Reserve'!BC71</f>
        <v>0.73095102056255135</v>
      </c>
      <c r="AW71" s="164">
        <f t="shared" si="30"/>
        <v>299.51923699893433</v>
      </c>
      <c r="AX71" s="164">
        <f t="shared" si="31"/>
        <v>218.93389196248773</v>
      </c>
      <c r="AY71" s="152"/>
    </row>
    <row r="72" spans="1:51" s="150" customFormat="1" x14ac:dyDescent="0.25">
      <c r="A72" s="150">
        <f t="shared" si="39"/>
        <v>68</v>
      </c>
      <c r="B72" s="150">
        <f t="shared" si="40"/>
        <v>6</v>
      </c>
      <c r="C72" s="150">
        <f t="shared" si="41"/>
        <v>8</v>
      </c>
      <c r="D72" s="150">
        <f>IF(E72="","",Input!$C$4+B72-1)</f>
        <v>50</v>
      </c>
      <c r="E72" s="150">
        <f>IF(OR(AND(C71=12,D71=Input!$C$6),E71=""),"",1)</f>
        <v>1</v>
      </c>
      <c r="F72" s="150">
        <f>IF(E72="","",Input!$C$8+B72-1)</f>
        <v>2023</v>
      </c>
      <c r="G72" s="151">
        <f>IF(E72="","",MAX(0,Input!$C$9-B72))</f>
        <v>14</v>
      </c>
      <c r="H72" s="152">
        <f>IF(E72="","",Input!$C$3)</f>
        <v>100000</v>
      </c>
      <c r="I72" s="153">
        <f>IF(E72="","",HLOOKUP($B72,Input!$C$13:$BT$14,2))</f>
        <v>2.2999999999999998</v>
      </c>
      <c r="J72" s="154"/>
      <c r="K72" s="155">
        <f>IF($E72="","",Input!$C$57)</f>
        <v>4.4999999999999998E-2</v>
      </c>
      <c r="L72" s="155">
        <f t="shared" si="32"/>
        <v>3.6748094004368514E-3</v>
      </c>
      <c r="M72" s="147">
        <f>IF($E72="","",VLOOKUP(IF($B72&lt;=Input!$C$7,$B72,26),'Mortality Tables'!$A$72:$CA$97,IF($B72&lt;=Input!$C$7+1,Input!$C$4-16,$D72-Input!$C$7-16),0)/1000)</f>
        <v>1.1000000000000001E-3</v>
      </c>
      <c r="N72" s="147">
        <f t="shared" si="21"/>
        <v>9.1712914449537664E-5</v>
      </c>
      <c r="O72" s="157">
        <f>IF($E72="","",IF($C72=12,IF($B72&lt;Input!$C$9,Input!$C$54,IF($B72=Input!$C$9,Input!$C$55,Input!$C$56)),0%))</f>
        <v>0</v>
      </c>
      <c r="P72" s="167">
        <f>IF($E72="","",IF($B72=1,Input!$C$59,IF($B72&lt;6,Input!$C$60,0%)))</f>
        <v>0</v>
      </c>
      <c r="Q72" s="162">
        <f>IF($E72="","",Input!$C$58)</f>
        <v>2.5</v>
      </c>
      <c r="R72" s="156">
        <f t="shared" si="33"/>
        <v>0.99990828708555046</v>
      </c>
      <c r="S72" s="154">
        <f t="shared" si="22"/>
        <v>0.73073356274240986</v>
      </c>
      <c r="T72" s="152"/>
      <c r="U72" s="150">
        <f t="shared" si="34"/>
        <v>0</v>
      </c>
      <c r="V72" s="150">
        <f t="shared" si="35"/>
        <v>0</v>
      </c>
      <c r="W72" s="168">
        <f t="shared" si="36"/>
        <v>0</v>
      </c>
      <c r="X72" s="163">
        <f t="shared" si="23"/>
        <v>9.1712914449537664</v>
      </c>
      <c r="Y72" s="152"/>
      <c r="Z72" s="164">
        <f>IF(AND($C71=12,$D71=Input!$C$6),0,IF($E72="","",V72+Z73/(1+L72)*R72))</f>
        <v>2769.0521772767302</v>
      </c>
      <c r="AA72" s="164">
        <f>IF(OR($M72=1,AND($C71=12,$D71=Input!$C$6)),0,IF($E72="","",W72+(X72+AA73*$R72)/(1+$L72)))</f>
        <v>2419.7058816806398</v>
      </c>
      <c r="AB72" s="160">
        <f t="shared" si="24"/>
        <v>0.825720328500681</v>
      </c>
      <c r="AC72" s="164">
        <f t="shared" si="25"/>
        <v>0</v>
      </c>
      <c r="AD72" s="164">
        <f>IF(AND($C71=12,$D71=Input!$C$6),0,IF($E72="","",$AC72+AD73/(1+$L72)*$R72))</f>
        <v>2286.4626734564677</v>
      </c>
      <c r="AE72" s="152"/>
      <c r="AF72" s="164">
        <f>IF(AND($C71=12,$D71=Input!$C$6),0,IF($E72="","",IF($B72&gt;Input!$C$9,$AC72,0)+AF73/(1+$L72)*$R72))</f>
        <v>953.29692973712474</v>
      </c>
      <c r="AG72" s="164">
        <f>IF(AND($C71=12,$D71=Input!$C$6),0,IF($E72="","",(IF($B72&gt;Input!$C$9,$X72,0)+AG73)/(1+$L72)*$R72))</f>
        <v>455.03135378810362</v>
      </c>
      <c r="AH72" s="160">
        <f t="shared" si="26"/>
        <v>2.0950137211446997</v>
      </c>
      <c r="AI72" s="160">
        <f>IF($E72="","",MIN(Input!$C$61/AH72,1))</f>
        <v>0.64438718771845094</v>
      </c>
      <c r="AJ72" s="152"/>
      <c r="AK72" s="164">
        <f>IF(AND($C71=12,$D71=Input!$C$6),0,IF($E72="","",IF($B72&gt;Input!$C$9,$AC72*AI72,0)+AK73/(1+$L72)*$R72))</f>
        <v>614.29232761394007</v>
      </c>
      <c r="AL72" s="164">
        <f>IF(AND($C71=12,$D71=Input!$C$6),0,IF($E72="","",IF($B72&gt;Input!$C$9,0,$AC72)+AL73/(1+$L72)*$R72))</f>
        <v>1333.1657437193417</v>
      </c>
      <c r="AM72" s="160">
        <f t="shared" si="27"/>
        <v>1.1382936520186004</v>
      </c>
      <c r="AN72" s="164">
        <f>IF($E72="","",IF($B72&gt;Input!$C$9,$AI72*$AC72,$AM72*$AC72))</f>
        <v>0</v>
      </c>
      <c r="AO72" s="164">
        <f>IF(AND($C71=12,$D71=Input!$C$6),0,IF($E72="","",$AN72+AO73/(1+$L72)*$R72))</f>
        <v>2131.8264307783202</v>
      </c>
      <c r="AP72" s="152"/>
      <c r="AQ72" s="164">
        <f t="shared" si="28"/>
        <v>287.8794509023196</v>
      </c>
      <c r="AR72" s="164">
        <f t="shared" si="37"/>
        <v>299.51923699893433</v>
      </c>
      <c r="AS72" s="164">
        <f t="shared" si="38"/>
        <v>52.631578947368425</v>
      </c>
      <c r="AT72" s="164">
        <f t="shared" si="29"/>
        <v>299.51923699893433</v>
      </c>
      <c r="AU72" s="152"/>
      <c r="AV72" s="147">
        <f>'Deterministic Reserve'!BC72</f>
        <v>0.73090633303767993</v>
      </c>
      <c r="AW72" s="164">
        <f t="shared" si="30"/>
        <v>299.51923699893433</v>
      </c>
      <c r="AX72" s="164">
        <f t="shared" si="31"/>
        <v>218.9205071891349</v>
      </c>
      <c r="AY72" s="152"/>
    </row>
    <row r="73" spans="1:51" s="150" customFormat="1" x14ac:dyDescent="0.25">
      <c r="A73" s="150">
        <f t="shared" si="39"/>
        <v>69</v>
      </c>
      <c r="B73" s="150">
        <f t="shared" si="40"/>
        <v>6</v>
      </c>
      <c r="C73" s="150">
        <f t="shared" si="41"/>
        <v>9</v>
      </c>
      <c r="D73" s="150">
        <f>IF(E73="","",Input!$C$4+B73-1)</f>
        <v>50</v>
      </c>
      <c r="E73" s="150">
        <f>IF(OR(AND(C72=12,D72=Input!$C$6),E72=""),"",1)</f>
        <v>1</v>
      </c>
      <c r="F73" s="150">
        <f>IF(E73="","",Input!$C$8+B73-1)</f>
        <v>2023</v>
      </c>
      <c r="G73" s="151">
        <f>IF(E73="","",MAX(0,Input!$C$9-B73))</f>
        <v>14</v>
      </c>
      <c r="H73" s="152">
        <f>IF(E73="","",Input!$C$3)</f>
        <v>100000</v>
      </c>
      <c r="I73" s="153">
        <f>IF(E73="","",HLOOKUP($B73,Input!$C$13:$BT$14,2))</f>
        <v>2.2999999999999998</v>
      </c>
      <c r="J73" s="154"/>
      <c r="K73" s="155">
        <f>IF($E73="","",Input!$C$57)</f>
        <v>4.4999999999999998E-2</v>
      </c>
      <c r="L73" s="155">
        <f t="shared" si="32"/>
        <v>3.6748094004368514E-3</v>
      </c>
      <c r="M73" s="147">
        <f>IF($E73="","",VLOOKUP(IF($B73&lt;=Input!$C$7,$B73,26),'Mortality Tables'!$A$72:$CA$97,IF($B73&lt;=Input!$C$7+1,Input!$C$4-16,$D73-Input!$C$7-16),0)/1000)</f>
        <v>1.1000000000000001E-3</v>
      </c>
      <c r="N73" s="147">
        <f t="shared" si="21"/>
        <v>9.1712914449537664E-5</v>
      </c>
      <c r="O73" s="157">
        <f>IF($E73="","",IF($C73=12,IF($B73&lt;Input!$C$9,Input!$C$54,IF($B73=Input!$C$9,Input!$C$55,Input!$C$56)),0%))</f>
        <v>0</v>
      </c>
      <c r="P73" s="167">
        <f>IF($E73="","",IF($B73=1,Input!$C$59,IF($B73&lt;6,Input!$C$60,0%)))</f>
        <v>0</v>
      </c>
      <c r="Q73" s="162">
        <f>IF($E73="","",Input!$C$58)</f>
        <v>2.5</v>
      </c>
      <c r="R73" s="156">
        <f t="shared" si="33"/>
        <v>0.99990828708555046</v>
      </c>
      <c r="S73" s="154">
        <f t="shared" si="22"/>
        <v>0.73066654503768469</v>
      </c>
      <c r="T73" s="152"/>
      <c r="U73" s="150">
        <f t="shared" si="34"/>
        <v>0</v>
      </c>
      <c r="V73" s="150">
        <f t="shared" si="35"/>
        <v>0</v>
      </c>
      <c r="W73" s="168">
        <f t="shared" si="36"/>
        <v>0</v>
      </c>
      <c r="X73" s="163">
        <f t="shared" si="23"/>
        <v>9.1712914449537664</v>
      </c>
      <c r="Y73" s="152"/>
      <c r="Z73" s="164">
        <f>IF(AND($C72=12,$D72=Input!$C$6),0,IF($E73="","",V73+Z74/(1+L73)*R73))</f>
        <v>2779.4828307191547</v>
      </c>
      <c r="AA73" s="164">
        <f>IF(OR($M73=1,AND($C72=12,$D72=Input!$C$6)),0,IF($E73="","",W73+(X73+AA74*$R73)/(1+$L73)))</f>
        <v>2419.6484611682959</v>
      </c>
      <c r="AB73" s="160">
        <f t="shared" si="24"/>
        <v>0.825720328500681</v>
      </c>
      <c r="AC73" s="164">
        <f t="shared" si="25"/>
        <v>0</v>
      </c>
      <c r="AD73" s="164">
        <f>IF(AND($C72=12,$D72=Input!$C$6),0,IF($E73="","",$AC73+AD74/(1+$L73)*$R73))</f>
        <v>2295.0754760434229</v>
      </c>
      <c r="AE73" s="152"/>
      <c r="AF73" s="164">
        <f>IF(AND($C72=12,$D72=Input!$C$6),0,IF($E73="","",IF($B73&gt;Input!$C$9,$AC73,0)+AF74/(1+$L73)*$R73))</f>
        <v>956.88787323158579</v>
      </c>
      <c r="AG73" s="164">
        <f>IF(AND($C72=12,$D72=Input!$C$6),0,IF($E73="","",(IF($B73&gt;Input!$C$9,$X73,0)+AG74)/(1+$L73)*$R73))</f>
        <v>456.74539673599372</v>
      </c>
      <c r="AH73" s="160">
        <f t="shared" si="26"/>
        <v>2.0950137211446997</v>
      </c>
      <c r="AI73" s="160">
        <f>IF($E73="","",MIN(Input!$C$61/AH73,1))</f>
        <v>0.64438718771845094</v>
      </c>
      <c r="AJ73" s="152"/>
      <c r="AK73" s="164">
        <f>IF(AND($C72=12,$D72=Input!$C$6),0,IF($E73="","",IF($B73&gt;Input!$C$9,$AC73*AI73,0)+AK74/(1+$L73)*$R73))</f>
        <v>616.60628559359168</v>
      </c>
      <c r="AL73" s="164">
        <f>IF(AND($C72=12,$D72=Input!$C$6),0,IF($E73="","",IF($B73&gt;Input!$C$9,0,$AC73)+AL74/(1+$L73)*$R73))</f>
        <v>1338.1876028118361</v>
      </c>
      <c r="AM73" s="160">
        <f t="shared" si="27"/>
        <v>1.1382936520186004</v>
      </c>
      <c r="AN73" s="164">
        <f>IF($E73="","",IF($B73&gt;Input!$C$9,$AI73*$AC73,$AM73*$AC73))</f>
        <v>0</v>
      </c>
      <c r="AO73" s="164">
        <f>IF(AND($C72=12,$D72=Input!$C$6),0,IF($E73="","",$AN73+AO74/(1+$L73)*$R73))</f>
        <v>2139.85673908429</v>
      </c>
      <c r="AP73" s="152"/>
      <c r="AQ73" s="164">
        <f t="shared" si="28"/>
        <v>279.79172208400587</v>
      </c>
      <c r="AR73" s="164">
        <f t="shared" si="37"/>
        <v>299.51923699893433</v>
      </c>
      <c r="AS73" s="164">
        <f t="shared" si="38"/>
        <v>52.631578947368425</v>
      </c>
      <c r="AT73" s="164">
        <f t="shared" si="29"/>
        <v>299.51923699893433</v>
      </c>
      <c r="AU73" s="152"/>
      <c r="AV73" s="147">
        <f>'Deterministic Reserve'!BC73</f>
        <v>0.73086164824483135</v>
      </c>
      <c r="AW73" s="164">
        <f t="shared" si="30"/>
        <v>299.51923699893433</v>
      </c>
      <c r="AX73" s="164">
        <f t="shared" si="31"/>
        <v>218.90712323407541</v>
      </c>
      <c r="AY73" s="152"/>
    </row>
    <row r="74" spans="1:51" s="150" customFormat="1" x14ac:dyDescent="0.25">
      <c r="A74" s="150">
        <f t="shared" si="39"/>
        <v>70</v>
      </c>
      <c r="B74" s="150">
        <f t="shared" si="40"/>
        <v>6</v>
      </c>
      <c r="C74" s="150">
        <f t="shared" si="41"/>
        <v>10</v>
      </c>
      <c r="D74" s="150">
        <f>IF(E74="","",Input!$C$4+B74-1)</f>
        <v>50</v>
      </c>
      <c r="E74" s="150">
        <f>IF(OR(AND(C73=12,D73=Input!$C$6),E73=""),"",1)</f>
        <v>1</v>
      </c>
      <c r="F74" s="150">
        <f>IF(E74="","",Input!$C$8+B74-1)</f>
        <v>2023</v>
      </c>
      <c r="G74" s="151">
        <f>IF(E74="","",MAX(0,Input!$C$9-B74))</f>
        <v>14</v>
      </c>
      <c r="H74" s="152">
        <f>IF(E74="","",Input!$C$3)</f>
        <v>100000</v>
      </c>
      <c r="I74" s="153">
        <f>IF(E74="","",HLOOKUP($B74,Input!$C$13:$BT$14,2))</f>
        <v>2.2999999999999998</v>
      </c>
      <c r="J74" s="154"/>
      <c r="K74" s="155">
        <f>IF($E74="","",Input!$C$57)</f>
        <v>4.4999999999999998E-2</v>
      </c>
      <c r="L74" s="155">
        <f t="shared" si="32"/>
        <v>3.6748094004368514E-3</v>
      </c>
      <c r="M74" s="147">
        <f>IF($E74="","",VLOOKUP(IF($B74&lt;=Input!$C$7,$B74,26),'Mortality Tables'!$A$72:$CA$97,IF($B74&lt;=Input!$C$7+1,Input!$C$4-16,$D74-Input!$C$7-16),0)/1000)</f>
        <v>1.1000000000000001E-3</v>
      </c>
      <c r="N74" s="147">
        <f t="shared" si="21"/>
        <v>9.1712914449537664E-5</v>
      </c>
      <c r="O74" s="157">
        <f>IF($E74="","",IF($C74=12,IF($B74&lt;Input!$C$9,Input!$C$54,IF($B74=Input!$C$9,Input!$C$55,Input!$C$56)),0%))</f>
        <v>0</v>
      </c>
      <c r="P74" s="167">
        <f>IF($E74="","",IF($B74=1,Input!$C$59,IF($B74&lt;6,Input!$C$60,0%)))</f>
        <v>0</v>
      </c>
      <c r="Q74" s="162">
        <f>IF($E74="","",Input!$C$58)</f>
        <v>2.5</v>
      </c>
      <c r="R74" s="156">
        <f t="shared" si="33"/>
        <v>0.99990828708555046</v>
      </c>
      <c r="S74" s="154">
        <f t="shared" si="22"/>
        <v>0.73059953347934847</v>
      </c>
      <c r="T74" s="152"/>
      <c r="U74" s="150">
        <f t="shared" si="34"/>
        <v>0</v>
      </c>
      <c r="V74" s="150">
        <f t="shared" si="35"/>
        <v>0</v>
      </c>
      <c r="W74" s="168">
        <f t="shared" si="36"/>
        <v>0</v>
      </c>
      <c r="X74" s="163">
        <f t="shared" si="23"/>
        <v>9.1712914449537664</v>
      </c>
      <c r="Y74" s="152"/>
      <c r="Z74" s="164">
        <f>IF(AND($C73=12,$D73=Input!$C$6),0,IF($E74="","",V74+Z75/(1+L74)*R74))</f>
        <v>2789.952775054011</v>
      </c>
      <c r="AA74" s="164">
        <f>IF(OR($M74=1,AND($C73=12,$D73=Input!$C$6)),0,IF($E74="","",W74+(X74+AA75*$R74)/(1+$L74)))</f>
        <v>2419.5908243604736</v>
      </c>
      <c r="AB74" s="160">
        <f t="shared" si="24"/>
        <v>0.825720328500681</v>
      </c>
      <c r="AC74" s="164">
        <f t="shared" si="25"/>
        <v>0</v>
      </c>
      <c r="AD74" s="164">
        <f>IF(AND($C73=12,$D73=Input!$C$6),0,IF($E74="","",$AC74+AD75/(1+$L74)*$R74))</f>
        <v>2303.7207219189841</v>
      </c>
      <c r="AE74" s="152"/>
      <c r="AF74" s="164">
        <f>IF(AND($C73=12,$D73=Input!$C$6),0,IF($E74="","",IF($B74&gt;Input!$C$9,$AC74,0)+AF75/(1+$L74)*$R74))</f>
        <v>960.49234333541506</v>
      </c>
      <c r="AG74" s="164">
        <f>IF(AND($C73=12,$D73=Input!$C$6),0,IF($E74="","",(IF($B74&gt;Input!$C$9,$X74,0)+AG75)/(1+$L74)*$R74))</f>
        <v>458.46589625704689</v>
      </c>
      <c r="AH74" s="160">
        <f t="shared" si="26"/>
        <v>2.0950137211446997</v>
      </c>
      <c r="AI74" s="160">
        <f>IF($E74="","",MIN(Input!$C$61/AH74,1))</f>
        <v>0.64438718771845094</v>
      </c>
      <c r="AJ74" s="152"/>
      <c r="AK74" s="164">
        <f>IF(AND($C73=12,$D73=Input!$C$6),0,IF($E74="","",IF($B74&gt;Input!$C$9,$AC74*AI74,0)+AK75/(1+$L74)*$R74))</f>
        <v>618.92895994701348</v>
      </c>
      <c r="AL74" s="164">
        <f>IF(AND($C73=12,$D73=Input!$C$6),0,IF($E74="","",IF($B74&gt;Input!$C$9,0,$AC74)+AL75/(1+$L74)*$R74))</f>
        <v>1343.2283785835684</v>
      </c>
      <c r="AM74" s="160">
        <f t="shared" si="27"/>
        <v>1.1382936520186004</v>
      </c>
      <c r="AN74" s="164">
        <f>IF($E74="","",IF($B74&gt;Input!$C$9,$AI74*$AC74,$AM74*$AC74))</f>
        <v>0</v>
      </c>
      <c r="AO74" s="164">
        <f>IF(AND($C73=12,$D73=Input!$C$6),0,IF($E74="","",$AN74+AO75/(1+$L74)*$R74))</f>
        <v>2147.9172964999239</v>
      </c>
      <c r="AP74" s="152"/>
      <c r="AQ74" s="164">
        <f t="shared" si="28"/>
        <v>271.67352786054971</v>
      </c>
      <c r="AR74" s="164">
        <f t="shared" si="37"/>
        <v>299.51923699893433</v>
      </c>
      <c r="AS74" s="164">
        <f t="shared" si="38"/>
        <v>52.631578947368425</v>
      </c>
      <c r="AT74" s="164">
        <f t="shared" si="29"/>
        <v>299.51923699893433</v>
      </c>
      <c r="AU74" s="152"/>
      <c r="AV74" s="147">
        <f>'Deterministic Reserve'!BC74</f>
        <v>0.73081696618383862</v>
      </c>
      <c r="AW74" s="164">
        <f t="shared" si="30"/>
        <v>299.51923699893433</v>
      </c>
      <c r="AX74" s="164">
        <f t="shared" si="31"/>
        <v>218.89374009725933</v>
      </c>
      <c r="AY74" s="152"/>
    </row>
    <row r="75" spans="1:51" s="150" customFormat="1" x14ac:dyDescent="0.25">
      <c r="A75" s="150">
        <f t="shared" si="39"/>
        <v>71</v>
      </c>
      <c r="B75" s="150">
        <f t="shared" si="40"/>
        <v>6</v>
      </c>
      <c r="C75" s="150">
        <f t="shared" si="41"/>
        <v>11</v>
      </c>
      <c r="D75" s="150">
        <f>IF(E75="","",Input!$C$4+B75-1)</f>
        <v>50</v>
      </c>
      <c r="E75" s="150">
        <f>IF(OR(AND(C74=12,D74=Input!$C$6),E74=""),"",1)</f>
        <v>1</v>
      </c>
      <c r="F75" s="150">
        <f>IF(E75="","",Input!$C$8+B75-1)</f>
        <v>2023</v>
      </c>
      <c r="G75" s="151">
        <f>IF(E75="","",MAX(0,Input!$C$9-B75))</f>
        <v>14</v>
      </c>
      <c r="H75" s="152">
        <f>IF(E75="","",Input!$C$3)</f>
        <v>100000</v>
      </c>
      <c r="I75" s="153">
        <f>IF(E75="","",HLOOKUP($B75,Input!$C$13:$BT$14,2))</f>
        <v>2.2999999999999998</v>
      </c>
      <c r="J75" s="154"/>
      <c r="K75" s="155">
        <f>IF($E75="","",Input!$C$57)</f>
        <v>4.4999999999999998E-2</v>
      </c>
      <c r="L75" s="155">
        <f t="shared" si="32"/>
        <v>3.6748094004368514E-3</v>
      </c>
      <c r="M75" s="147">
        <f>IF($E75="","",VLOOKUP(IF($B75&lt;=Input!$C$7,$B75,26),'Mortality Tables'!$A$72:$CA$97,IF($B75&lt;=Input!$C$7+1,Input!$C$4-16,$D75-Input!$C$7-16),0)/1000)</f>
        <v>1.1000000000000001E-3</v>
      </c>
      <c r="N75" s="147">
        <f t="shared" si="21"/>
        <v>9.1712914449537664E-5</v>
      </c>
      <c r="O75" s="157">
        <f>IF($E75="","",IF($C75=12,IF($B75&lt;Input!$C$9,Input!$C$54,IF($B75=Input!$C$9,Input!$C$55,Input!$C$56)),0%))</f>
        <v>0</v>
      </c>
      <c r="P75" s="167">
        <f>IF($E75="","",IF($B75=1,Input!$C$59,IF($B75&lt;6,Input!$C$60,0%)))</f>
        <v>0</v>
      </c>
      <c r="Q75" s="162">
        <f>IF($E75="","",Input!$C$58)</f>
        <v>2.5</v>
      </c>
      <c r="R75" s="156">
        <f t="shared" si="33"/>
        <v>0.99990828708555046</v>
      </c>
      <c r="S75" s="154">
        <f t="shared" si="22"/>
        <v>0.73053252806683766</v>
      </c>
      <c r="T75" s="152"/>
      <c r="U75" s="150">
        <f t="shared" si="34"/>
        <v>0</v>
      </c>
      <c r="V75" s="150">
        <f t="shared" si="35"/>
        <v>0</v>
      </c>
      <c r="W75" s="168">
        <f t="shared" si="36"/>
        <v>0</v>
      </c>
      <c r="X75" s="163">
        <f t="shared" si="23"/>
        <v>9.1712914449537664</v>
      </c>
      <c r="Y75" s="152"/>
      <c r="Z75" s="164">
        <f>IF(AND($C74=12,$D74=Input!$C$6),0,IF($E75="","",V75+Z76/(1+L75)*R75))</f>
        <v>2800.4621582848963</v>
      </c>
      <c r="AA75" s="164">
        <f>IF(OR($M75=1,AND($C74=12,$D74=Input!$C$6)),0,IF($E75="","",W75+(X75+AA76*$R75)/(1+$L75)))</f>
        <v>2419.5329704424166</v>
      </c>
      <c r="AB75" s="160">
        <f t="shared" si="24"/>
        <v>0.825720328500681</v>
      </c>
      <c r="AC75" s="164">
        <f t="shared" si="25"/>
        <v>0</v>
      </c>
      <c r="AD75" s="164">
        <f>IF(AND($C74=12,$D74=Input!$C$6),0,IF($E75="","",$AC75+AD76/(1+$L75)*$R75))</f>
        <v>2312.39853329273</v>
      </c>
      <c r="AE75" s="152"/>
      <c r="AF75" s="164">
        <f>IF(AND($C74=12,$D74=Input!$C$6),0,IF($E75="","",IF($B75&gt;Input!$C$9,$AC75,0)+AF76/(1+$L75)*$R75))</f>
        <v>964.11039100156154</v>
      </c>
      <c r="AG75" s="164">
        <f>IF(AND($C74=12,$D74=Input!$C$6),0,IF($E75="","",(IF($B75&gt;Input!$C$9,$X75,0)+AG76)/(1+$L75)*$R75))</f>
        <v>460.19287667232049</v>
      </c>
      <c r="AH75" s="160">
        <f t="shared" si="26"/>
        <v>2.0950137211446997</v>
      </c>
      <c r="AI75" s="160">
        <f>IF($E75="","",MIN(Input!$C$61/AH75,1))</f>
        <v>0.64438718771845094</v>
      </c>
      <c r="AJ75" s="152"/>
      <c r="AK75" s="164">
        <f>IF(AND($C74=12,$D74=Input!$C$6),0,IF($E75="","",IF($B75&gt;Input!$C$9,$AC75*AI75,0)+AK76/(1+$L75)*$R75))</f>
        <v>621.26038350763281</v>
      </c>
      <c r="AL75" s="164">
        <f>IF(AND($C74=12,$D74=Input!$C$6),0,IF($E75="","",IF($B75&gt;Input!$C$9,0,$AC75)+AL76/(1+$L75)*$R75))</f>
        <v>1348.2881422911682</v>
      </c>
      <c r="AM75" s="160">
        <f t="shared" si="27"/>
        <v>1.1382936520186004</v>
      </c>
      <c r="AN75" s="164">
        <f>IF($E75="","",IF($B75&gt;Input!$C$9,$AI75*$AC75,$AM75*$AC75))</f>
        <v>0</v>
      </c>
      <c r="AO75" s="164">
        <f>IF(AND($C74=12,$D74=Input!$C$6),0,IF($E75="","",$AN75+AO76/(1+$L75)*$R75))</f>
        <v>2156.0082169696184</v>
      </c>
      <c r="AP75" s="152"/>
      <c r="AQ75" s="164">
        <f t="shared" si="28"/>
        <v>263.52475347279824</v>
      </c>
      <c r="AR75" s="164">
        <f t="shared" si="37"/>
        <v>299.51923699893433</v>
      </c>
      <c r="AS75" s="164">
        <f t="shared" si="38"/>
        <v>52.631578947368425</v>
      </c>
      <c r="AT75" s="164">
        <f t="shared" si="29"/>
        <v>299.51923699893433</v>
      </c>
      <c r="AU75" s="152"/>
      <c r="AV75" s="147">
        <f>'Deterministic Reserve'!BC75</f>
        <v>0.73077228685453466</v>
      </c>
      <c r="AW75" s="164">
        <f t="shared" si="30"/>
        <v>299.51923699893433</v>
      </c>
      <c r="AX75" s="164">
        <f t="shared" si="31"/>
        <v>218.88035777863658</v>
      </c>
      <c r="AY75" s="152"/>
    </row>
    <row r="76" spans="1:51" s="150" customFormat="1" x14ac:dyDescent="0.25">
      <c r="A76" s="150">
        <f t="shared" si="39"/>
        <v>72</v>
      </c>
      <c r="B76" s="150">
        <f t="shared" si="40"/>
        <v>6</v>
      </c>
      <c r="C76" s="150">
        <f t="shared" si="41"/>
        <v>12</v>
      </c>
      <c r="D76" s="150">
        <f>IF(E76="","",Input!$C$4+B76-1)</f>
        <v>50</v>
      </c>
      <c r="E76" s="150">
        <f>IF(OR(AND(C75=12,D75=Input!$C$6),E75=""),"",1)</f>
        <v>1</v>
      </c>
      <c r="F76" s="150">
        <f>IF(E76="","",Input!$C$8+B76-1)</f>
        <v>2023</v>
      </c>
      <c r="G76" s="151">
        <f>IF(E76="","",MAX(0,Input!$C$9-B76))</f>
        <v>14</v>
      </c>
      <c r="H76" s="152">
        <f>IF(E76="","",Input!$C$3)</f>
        <v>100000</v>
      </c>
      <c r="I76" s="153">
        <f>IF(E76="","",HLOOKUP($B76,Input!$C$13:$BT$14,2))</f>
        <v>2.2999999999999998</v>
      </c>
      <c r="J76" s="154"/>
      <c r="K76" s="155">
        <f>IF($E76="","",Input!$C$57)</f>
        <v>4.4999999999999998E-2</v>
      </c>
      <c r="L76" s="155">
        <f t="shared" si="32"/>
        <v>3.6748094004368514E-3</v>
      </c>
      <c r="M76" s="147">
        <f>IF($E76="","",VLOOKUP(IF($B76&lt;=Input!$C$7,$B76,26),'Mortality Tables'!$A$72:$CA$97,IF($B76&lt;=Input!$C$7+1,Input!$C$4-16,$D76-Input!$C$7-16),0)/1000)</f>
        <v>1.1000000000000001E-3</v>
      </c>
      <c r="N76" s="147">
        <f t="shared" si="21"/>
        <v>9.1712914449537664E-5</v>
      </c>
      <c r="O76" s="157">
        <f>IF($E76="","",IF($C76=12,IF($B76&lt;Input!$C$9,Input!$C$54,IF($B76=Input!$C$9,Input!$C$55,Input!$C$56)),0%))</f>
        <v>0.06</v>
      </c>
      <c r="P76" s="167">
        <f>IF($E76="","",IF($B76=1,Input!$C$59,IF($B76&lt;6,Input!$C$60,0%)))</f>
        <v>0</v>
      </c>
      <c r="Q76" s="162">
        <f>IF($E76="","",Input!$C$58)</f>
        <v>2.5</v>
      </c>
      <c r="R76" s="156">
        <f t="shared" si="33"/>
        <v>0.93990828708555041</v>
      </c>
      <c r="S76" s="154">
        <f t="shared" si="22"/>
        <v>0.68663357711557815</v>
      </c>
      <c r="T76" s="152"/>
      <c r="U76" s="150">
        <f t="shared" si="34"/>
        <v>0</v>
      </c>
      <c r="V76" s="150">
        <f t="shared" si="35"/>
        <v>0</v>
      </c>
      <c r="W76" s="168">
        <f t="shared" si="36"/>
        <v>0</v>
      </c>
      <c r="X76" s="163">
        <f t="shared" si="23"/>
        <v>9.1712914449537664</v>
      </c>
      <c r="Y76" s="152"/>
      <c r="Z76" s="164">
        <f>IF(AND($C75=12,$D75=Input!$C$6),0,IF($E76="","",V76+Z77/(1+L76)*R76))</f>
        <v>2811.0111289729175</v>
      </c>
      <c r="AA76" s="164">
        <f>IF(OR($M76=1,AND($C75=12,$D75=Input!$C$6)),0,IF($E76="","",W76+(X76+AA77*$R76)/(1+$L76)))</f>
        <v>2419.4748985962997</v>
      </c>
      <c r="AB76" s="160">
        <f t="shared" si="24"/>
        <v>0.825720328500681</v>
      </c>
      <c r="AC76" s="164">
        <f t="shared" si="25"/>
        <v>0</v>
      </c>
      <c r="AD76" s="164">
        <f>IF(AND($C75=12,$D75=Input!$C$6),0,IF($E76="","",$AC76+AD77/(1+$L76)*$R76))</f>
        <v>2321.1090328345867</v>
      </c>
      <c r="AE76" s="152"/>
      <c r="AF76" s="164">
        <f>IF(AND($C75=12,$D75=Input!$C$6),0,IF($E76="","",IF($B76&gt;Input!$C$9,$AC76,0)+AF77/(1+$L76)*$R76))</f>
        <v>967.74206737490738</v>
      </c>
      <c r="AG76" s="164">
        <f>IF(AND($C75=12,$D75=Input!$C$6),0,IF($E76="","",(IF($B76&gt;Input!$C$9,$X76,0)+AG77)/(1+$L76)*$R76))</f>
        <v>461.92636239448626</v>
      </c>
      <c r="AH76" s="160">
        <f t="shared" si="26"/>
        <v>2.0950137211446997</v>
      </c>
      <c r="AI76" s="160">
        <f>IF($E76="","",MIN(Input!$C$61/AH76,1))</f>
        <v>0.64438718771845094</v>
      </c>
      <c r="AJ76" s="152"/>
      <c r="AK76" s="164">
        <f>IF(AND($C75=12,$D75=Input!$C$6),0,IF($E76="","",IF($B76&gt;Input!$C$9,$AC76*AI76,0)+AK77/(1+$L76)*$R76))</f>
        <v>623.60058923255667</v>
      </c>
      <c r="AL76" s="164">
        <f>IF(AND($C75=12,$D75=Input!$C$6),0,IF($E76="","",IF($B76&gt;Input!$C$9,0,$AC76)+AL77/(1+$L76)*$R76))</f>
        <v>1353.3669654596795</v>
      </c>
      <c r="AM76" s="160">
        <f t="shared" si="27"/>
        <v>1.1382936520186004</v>
      </c>
      <c r="AN76" s="164">
        <f>IF($E76="","",IF($B76&gt;Input!$C$9,$AI76*$AC76,$AM76*$AC76))</f>
        <v>0</v>
      </c>
      <c r="AO76" s="164">
        <f>IF(AND($C75=12,$D75=Input!$C$6),0,IF($E76="","",$AN76+AO77/(1+$L76)*$R76))</f>
        <v>2164.1296148669835</v>
      </c>
      <c r="AP76" s="152"/>
      <c r="AQ76" s="164">
        <f t="shared" si="28"/>
        <v>255.34528372931618</v>
      </c>
      <c r="AR76" s="164">
        <f t="shared" si="37"/>
        <v>299.51923699893433</v>
      </c>
      <c r="AS76" s="164">
        <f t="shared" si="38"/>
        <v>52.631578947368425</v>
      </c>
      <c r="AT76" s="164">
        <f t="shared" si="29"/>
        <v>299.51923699893433</v>
      </c>
      <c r="AU76" s="152"/>
      <c r="AV76" s="147">
        <f>'Deterministic Reserve'!BC76</f>
        <v>0.69418899591402572</v>
      </c>
      <c r="AW76" s="164">
        <f t="shared" si="30"/>
        <v>299.51923699893433</v>
      </c>
      <c r="AX76" s="164">
        <f t="shared" si="31"/>
        <v>207.92295838922533</v>
      </c>
      <c r="AY76" s="152"/>
    </row>
    <row r="77" spans="1:51" s="150" customFormat="1" x14ac:dyDescent="0.25">
      <c r="A77" s="150">
        <f t="shared" si="39"/>
        <v>73</v>
      </c>
      <c r="B77" s="150">
        <f t="shared" si="40"/>
        <v>7</v>
      </c>
      <c r="C77" s="150">
        <f t="shared" si="41"/>
        <v>1</v>
      </c>
      <c r="D77" s="150">
        <f>IF(E77="","",Input!$C$4+B77-1)</f>
        <v>51</v>
      </c>
      <c r="E77" s="150">
        <f>IF(OR(AND(C76=12,D76=Input!$C$6),E76=""),"",1)</f>
        <v>1</v>
      </c>
      <c r="F77" s="150">
        <f>IF(E77="","",Input!$C$8+B77-1)</f>
        <v>2024</v>
      </c>
      <c r="G77" s="151">
        <f>IF(E77="","",MAX(0,Input!$C$9-B77))</f>
        <v>13</v>
      </c>
      <c r="H77" s="152">
        <f>IF(E77="","",Input!$C$3)</f>
        <v>100000</v>
      </c>
      <c r="I77" s="153">
        <f>IF(E77="","",HLOOKUP($B77,Input!$C$13:$BT$14,2))</f>
        <v>2.2999999999999998</v>
      </c>
      <c r="J77" s="154"/>
      <c r="K77" s="155">
        <f>IF($E77="","",Input!$C$57)</f>
        <v>4.4999999999999998E-2</v>
      </c>
      <c r="L77" s="155">
        <f t="shared" si="32"/>
        <v>3.6748094004368514E-3</v>
      </c>
      <c r="M77" s="147">
        <f>IF($E77="","",VLOOKUP(IF($B77&lt;=Input!$C$7,$B77,26),'Mortality Tables'!$A$72:$CA$97,IF($B77&lt;=Input!$C$7+1,Input!$C$4-16,$D77-Input!$C$7-16),0)/1000)</f>
        <v>1.2900000000000001E-3</v>
      </c>
      <c r="N77" s="147">
        <f t="shared" si="21"/>
        <v>1.0756361180785934E-4</v>
      </c>
      <c r="O77" s="157">
        <f>IF($E77="","",IF($C77=12,IF($B77&lt;Input!$C$9,Input!$C$54,IF($B77=Input!$C$9,Input!$C$55,Input!$C$56)),0%))</f>
        <v>0</v>
      </c>
      <c r="P77" s="167">
        <f>IF($E77="","",IF($B77=1,Input!$C$59,IF($B77&lt;6,Input!$C$60,0%)))</f>
        <v>0</v>
      </c>
      <c r="Q77" s="162">
        <f>IF($E77="","",Input!$C$58)</f>
        <v>2.5</v>
      </c>
      <c r="R77" s="156">
        <f t="shared" si="33"/>
        <v>0.99989243638819214</v>
      </c>
      <c r="S77" s="154">
        <f t="shared" si="22"/>
        <v>0.68655972032803503</v>
      </c>
      <c r="T77" s="152"/>
      <c r="U77" s="150">
        <f t="shared" si="34"/>
        <v>229.99999999999997</v>
      </c>
      <c r="V77" s="150">
        <f t="shared" si="35"/>
        <v>229.99999999999997</v>
      </c>
      <c r="W77" s="168">
        <f t="shared" si="36"/>
        <v>0</v>
      </c>
      <c r="X77" s="163">
        <f t="shared" si="23"/>
        <v>10.756361180785934</v>
      </c>
      <c r="Y77" s="152"/>
      <c r="Z77" s="164">
        <f>IF(AND($C76=12,$D76=Input!$C$6),0,IF($E77="","",V77+Z78/(1+L77)*R77))</f>
        <v>3001.7195271708474</v>
      </c>
      <c r="AA77" s="164">
        <f>IF(OR($M77=1,AND($C76=12,$D76=Input!$C$6)),0,IF($E77="","",W77+(X77+AA78*$R77)/(1+$L77)))</f>
        <v>2573.8625241343721</v>
      </c>
      <c r="AB77" s="160">
        <f t="shared" si="24"/>
        <v>0.825720328500681</v>
      </c>
      <c r="AC77" s="164">
        <f t="shared" si="25"/>
        <v>189.91567555515661</v>
      </c>
      <c r="AD77" s="164">
        <f>IF(AND($C76=12,$D76=Input!$C$6),0,IF($E77="","",$AC77+AD78/(1+$L77)*$R77))</f>
        <v>2478.5808340424201</v>
      </c>
      <c r="AE77" s="152"/>
      <c r="AF77" s="164">
        <f>IF(AND($C76=12,$D76=Input!$C$6),0,IF($E77="","",IF($B77&gt;Input!$C$9,$AC77,0)+AF78/(1+$L77)*$R77))</f>
        <v>1033.3969264523437</v>
      </c>
      <c r="AG77" s="164">
        <f>IF(AND($C76=12,$D76=Input!$C$6),0,IF($E77="","",(IF($B77&gt;Input!$C$9,$X77,0)+AG78)/(1+$L77)*$R77))</f>
        <v>493.26499202482734</v>
      </c>
      <c r="AH77" s="160">
        <f t="shared" si="26"/>
        <v>2.0950137211446997</v>
      </c>
      <c r="AI77" s="160">
        <f>IF($E77="","",MIN(Input!$C$61/AH77,1))</f>
        <v>0.64438718771845094</v>
      </c>
      <c r="AJ77" s="152"/>
      <c r="AK77" s="164">
        <f>IF(AND($C76=12,$D76=Input!$C$6),0,IF($E77="","",IF($B77&gt;Input!$C$9,$AC77*AI77,0)+AK78/(1+$L77)*$R77))</f>
        <v>665.90773923351708</v>
      </c>
      <c r="AL77" s="164">
        <f>IF(AND($C76=12,$D76=Input!$C$6),0,IF($E77="","",IF($B77&gt;Input!$C$9,0,$AC77)+AL78/(1+$L77)*$R77))</f>
        <v>1445.1839075900768</v>
      </c>
      <c r="AM77" s="160">
        <f t="shared" si="27"/>
        <v>1.1382936520186004</v>
      </c>
      <c r="AN77" s="164">
        <f>IF($E77="","",IF($B77&gt;Input!$C$9,$AI77*$AC77,$AM77*$AC77))</f>
        <v>216.17980790325885</v>
      </c>
      <c r="AO77" s="164">
        <f>IF(AND($C76=12,$D76=Input!$C$6),0,IF($E77="","",$AN77+AO78/(1+$L77)*$R77))</f>
        <v>2310.9514072427341</v>
      </c>
      <c r="AP77" s="152"/>
      <c r="AQ77" s="164">
        <f t="shared" si="28"/>
        <v>262.9111168916379</v>
      </c>
      <c r="AR77" s="164">
        <f t="shared" si="37"/>
        <v>425.16810279624139</v>
      </c>
      <c r="AS77" s="164">
        <f t="shared" si="38"/>
        <v>61.722488038277518</v>
      </c>
      <c r="AT77" s="164">
        <f t="shared" si="29"/>
        <v>425.16810279624139</v>
      </c>
      <c r="AU77" s="152"/>
      <c r="AV77" s="147">
        <f>'Deterministic Reserve'!BC77</f>
        <v>0.69413957762888867</v>
      </c>
      <c r="AW77" s="164">
        <f t="shared" si="30"/>
        <v>425.16810279624139</v>
      </c>
      <c r="AX77" s="164">
        <f t="shared" si="31"/>
        <v>295.12600729625893</v>
      </c>
      <c r="AY77" s="152"/>
    </row>
    <row r="78" spans="1:51" s="150" customFormat="1" x14ac:dyDescent="0.25">
      <c r="A78" s="150">
        <f t="shared" si="39"/>
        <v>74</v>
      </c>
      <c r="B78" s="150">
        <f t="shared" si="40"/>
        <v>7</v>
      </c>
      <c r="C78" s="150">
        <f t="shared" si="41"/>
        <v>2</v>
      </c>
      <c r="D78" s="150">
        <f>IF(E78="","",Input!$C$4+B78-1)</f>
        <v>51</v>
      </c>
      <c r="E78" s="150">
        <f>IF(OR(AND(C77=12,D77=Input!$C$6),E77=""),"",1)</f>
        <v>1</v>
      </c>
      <c r="F78" s="150">
        <f>IF(E78="","",Input!$C$8+B78-1)</f>
        <v>2024</v>
      </c>
      <c r="G78" s="151">
        <f>IF(E78="","",MAX(0,Input!$C$9-B78))</f>
        <v>13</v>
      </c>
      <c r="H78" s="152">
        <f>IF(E78="","",Input!$C$3)</f>
        <v>100000</v>
      </c>
      <c r="I78" s="153">
        <f>IF(E78="","",HLOOKUP($B78,Input!$C$13:$BT$14,2))</f>
        <v>2.2999999999999998</v>
      </c>
      <c r="J78" s="154"/>
      <c r="K78" s="155">
        <f>IF($E78="","",Input!$C$57)</f>
        <v>4.4999999999999998E-2</v>
      </c>
      <c r="L78" s="155">
        <f t="shared" si="32"/>
        <v>3.6748094004368514E-3</v>
      </c>
      <c r="M78" s="147">
        <f>IF($E78="","",VLOOKUP(IF($B78&lt;=Input!$C$7,$B78,26),'Mortality Tables'!$A$72:$CA$97,IF($B78&lt;=Input!$C$7+1,Input!$C$4-16,$D78-Input!$C$7-16),0)/1000)</f>
        <v>1.2900000000000001E-3</v>
      </c>
      <c r="N78" s="147">
        <f t="shared" si="21"/>
        <v>1.0756361180785934E-4</v>
      </c>
      <c r="O78" s="157">
        <f>IF($E78="","",IF($C78=12,IF($B78&lt;Input!$C$9,Input!$C$54,IF($B78=Input!$C$9,Input!$C$55,Input!$C$56)),0%))</f>
        <v>0</v>
      </c>
      <c r="P78" s="167">
        <f>IF($E78="","",IF($B78=1,Input!$C$59,IF($B78&lt;6,Input!$C$60,0%)))</f>
        <v>0</v>
      </c>
      <c r="Q78" s="162">
        <f>IF($E78="","",Input!$C$58)</f>
        <v>2.5</v>
      </c>
      <c r="R78" s="156">
        <f t="shared" si="33"/>
        <v>0.99989243638819214</v>
      </c>
      <c r="S78" s="154">
        <f t="shared" si="22"/>
        <v>0.68648587148479479</v>
      </c>
      <c r="T78" s="152"/>
      <c r="U78" s="150">
        <f t="shared" si="34"/>
        <v>0</v>
      </c>
      <c r="V78" s="150">
        <f t="shared" si="35"/>
        <v>0</v>
      </c>
      <c r="W78" s="168">
        <f t="shared" si="36"/>
        <v>0</v>
      </c>
      <c r="X78" s="163">
        <f t="shared" si="23"/>
        <v>10.756361180785934</v>
      </c>
      <c r="Y78" s="152"/>
      <c r="Z78" s="164">
        <f>IF(AND($C77=12,$D77=Input!$C$6),0,IF($E78="","",V78+Z79/(1+L78)*R78))</f>
        <v>2782.2043320914167</v>
      </c>
      <c r="AA78" s="164">
        <f>IF(OR($M78=1,AND($C77=12,$D77=Input!$C$6)),0,IF($E78="","",W78+(X78+AA79*$R78)/(1+$L78)))</f>
        <v>2572.8413612621334</v>
      </c>
      <c r="AB78" s="160">
        <f t="shared" si="24"/>
        <v>0.825720328500681</v>
      </c>
      <c r="AC78" s="164">
        <f t="shared" si="25"/>
        <v>0</v>
      </c>
      <c r="AD78" s="164">
        <f>IF(AND($C77=12,$D77=Input!$C$6),0,IF($E78="","",$AC78+AD79/(1+$L78)*$R78))</f>
        <v>2297.3226750505414</v>
      </c>
      <c r="AE78" s="152"/>
      <c r="AF78" s="164">
        <f>IF(AND($C77=12,$D77=Input!$C$6),0,IF($E78="","",IF($B78&gt;Input!$C$9,$AC78,0)+AF79/(1+$L78)*$R78))</f>
        <v>1037.3060395762202</v>
      </c>
      <c r="AG78" s="164">
        <f>IF(AND($C77=12,$D77=Input!$C$6),0,IF($E78="","",(IF($B78&gt;Input!$C$9,$X78,0)+AG79)/(1+$L78)*$R78))</f>
        <v>495.13090492287773</v>
      </c>
      <c r="AH78" s="160">
        <f t="shared" si="26"/>
        <v>2.0950137211446997</v>
      </c>
      <c r="AI78" s="160">
        <f>IF($E78="","",MIN(Input!$C$61/AH78,1))</f>
        <v>0.64438718771845094</v>
      </c>
      <c r="AJ78" s="152"/>
      <c r="AK78" s="164">
        <f>IF(AND($C77=12,$D77=Input!$C$6),0,IF($E78="","",IF($B78&gt;Input!$C$9,$AC78*AI78,0)+AK79/(1+$L78)*$R78))</f>
        <v>668.4267216458851</v>
      </c>
      <c r="AL78" s="164">
        <f>IF(AND($C77=12,$D77=Input!$C$6),0,IF($E78="","",IF($B78&gt;Input!$C$9,0,$AC78)+AL79/(1+$L78)*$R78))</f>
        <v>1260.0166354743214</v>
      </c>
      <c r="AM78" s="160">
        <f t="shared" si="27"/>
        <v>1.1382936520186004</v>
      </c>
      <c r="AN78" s="164">
        <f>IF($E78="","",IF($B78&gt;Input!$C$9,$AI78*$AC78,$AM78*$AC78))</f>
        <v>0</v>
      </c>
      <c r="AO78" s="164">
        <f>IF(AND($C77=12,$D77=Input!$C$6),0,IF($E78="","",$AN78+AO79/(1+$L78)*$R78))</f>
        <v>2102.695659244137</v>
      </c>
      <c r="AP78" s="152"/>
      <c r="AQ78" s="164">
        <f t="shared" si="28"/>
        <v>470.14570201799643</v>
      </c>
      <c r="AR78" s="164">
        <f t="shared" si="37"/>
        <v>425.16810279624139</v>
      </c>
      <c r="AS78" s="164">
        <f t="shared" si="38"/>
        <v>61.722488038277518</v>
      </c>
      <c r="AT78" s="164">
        <f t="shared" si="29"/>
        <v>425.16810279624139</v>
      </c>
      <c r="AU78" s="152"/>
      <c r="AV78" s="147">
        <f>'Deterministic Reserve'!BC78</f>
        <v>0.69409016286176606</v>
      </c>
      <c r="AW78" s="164">
        <f t="shared" si="30"/>
        <v>425.16810279624139</v>
      </c>
      <c r="AX78" s="164">
        <f t="shared" si="31"/>
        <v>295.10499771347128</v>
      </c>
      <c r="AY78" s="152"/>
    </row>
    <row r="79" spans="1:51" s="150" customFormat="1" x14ac:dyDescent="0.25">
      <c r="A79" s="150">
        <f t="shared" si="39"/>
        <v>75</v>
      </c>
      <c r="B79" s="150">
        <f t="shared" si="40"/>
        <v>7</v>
      </c>
      <c r="C79" s="150">
        <f t="shared" si="41"/>
        <v>3</v>
      </c>
      <c r="D79" s="150">
        <f>IF(E79="","",Input!$C$4+B79-1)</f>
        <v>51</v>
      </c>
      <c r="E79" s="150">
        <f>IF(OR(AND(C78=12,D78=Input!$C$6),E78=""),"",1)</f>
        <v>1</v>
      </c>
      <c r="F79" s="150">
        <f>IF(E79="","",Input!$C$8+B79-1)</f>
        <v>2024</v>
      </c>
      <c r="G79" s="151">
        <f>IF(E79="","",MAX(0,Input!$C$9-B79))</f>
        <v>13</v>
      </c>
      <c r="H79" s="152">
        <f>IF(E79="","",Input!$C$3)</f>
        <v>100000</v>
      </c>
      <c r="I79" s="153">
        <f>IF(E79="","",HLOOKUP($B79,Input!$C$13:$BT$14,2))</f>
        <v>2.2999999999999998</v>
      </c>
      <c r="J79" s="154"/>
      <c r="K79" s="155">
        <f>IF($E79="","",Input!$C$57)</f>
        <v>4.4999999999999998E-2</v>
      </c>
      <c r="L79" s="155">
        <f t="shared" si="32"/>
        <v>3.6748094004368514E-3</v>
      </c>
      <c r="M79" s="147">
        <f>IF($E79="","",VLOOKUP(IF($B79&lt;=Input!$C$7,$B79,26),'Mortality Tables'!$A$72:$CA$97,IF($B79&lt;=Input!$C$7+1,Input!$C$4-16,$D79-Input!$C$7-16),0)/1000)</f>
        <v>1.2900000000000001E-3</v>
      </c>
      <c r="N79" s="147">
        <f t="shared" si="21"/>
        <v>1.0756361180785934E-4</v>
      </c>
      <c r="O79" s="157">
        <f>IF($E79="","",IF($C79=12,IF($B79&lt;Input!$C$9,Input!$C$54,IF($B79=Input!$C$9,Input!$C$55,Input!$C$56)),0%))</f>
        <v>0</v>
      </c>
      <c r="P79" s="167">
        <f>IF($E79="","",IF($B79=1,Input!$C$59,IF($B79&lt;6,Input!$C$60,0%)))</f>
        <v>0</v>
      </c>
      <c r="Q79" s="162">
        <f>IF($E79="","",Input!$C$58)</f>
        <v>2.5</v>
      </c>
      <c r="R79" s="156">
        <f t="shared" si="33"/>
        <v>0.99989243638819214</v>
      </c>
      <c r="S79" s="154">
        <f t="shared" si="22"/>
        <v>0.68641203058500277</v>
      </c>
      <c r="T79" s="152"/>
      <c r="U79" s="150">
        <f t="shared" si="34"/>
        <v>0</v>
      </c>
      <c r="V79" s="150">
        <f t="shared" si="35"/>
        <v>0</v>
      </c>
      <c r="W79" s="168">
        <f t="shared" si="36"/>
        <v>0</v>
      </c>
      <c r="X79" s="163">
        <f t="shared" si="23"/>
        <v>10.756361180785934</v>
      </c>
      <c r="Y79" s="152"/>
      <c r="Z79" s="164">
        <f>IF(AND($C78=12,$D78=Input!$C$6),0,IF($E79="","",V79+Z80/(1+L79)*R79))</f>
        <v>2792.7287987213126</v>
      </c>
      <c r="AA79" s="164">
        <f>IF(OR($M79=1,AND($C78=12,$D78=Input!$C$6)),0,IF($E79="","",W79+(X79+AA80*$R79)/(1+$L79)))</f>
        <v>2571.8163355555048</v>
      </c>
      <c r="AB79" s="160">
        <f t="shared" si="24"/>
        <v>0.825720328500681</v>
      </c>
      <c r="AC79" s="164">
        <f t="shared" si="25"/>
        <v>0</v>
      </c>
      <c r="AD79" s="164">
        <f>IF(AND($C78=12,$D78=Input!$C$6),0,IF($E79="","",$AC79+AD80/(1+$L79)*$R79))</f>
        <v>2306.0129410934737</v>
      </c>
      <c r="AE79" s="152"/>
      <c r="AF79" s="164">
        <f>IF(AND($C78=12,$D78=Input!$C$6),0,IF($E79="","",IF($B79&gt;Input!$C$9,$AC79,0)+AF80/(1+$L79)*$R79))</f>
        <v>1041.2299400146553</v>
      </c>
      <c r="AG79" s="164">
        <f>IF(AND($C78=12,$D78=Input!$C$6),0,IF($E79="","",(IF($B79&gt;Input!$C$9,$X79,0)+AG80)/(1+$L79)*$R79))</f>
        <v>497.00387615873723</v>
      </c>
      <c r="AH79" s="160">
        <f t="shared" si="26"/>
        <v>2.0950137211446997</v>
      </c>
      <c r="AI79" s="160">
        <f>IF($E79="","",MIN(Input!$C$61/AH79,1))</f>
        <v>0.64438718771845094</v>
      </c>
      <c r="AJ79" s="152"/>
      <c r="AK79" s="164">
        <f>IF(AND($C78=12,$D78=Input!$C$6),0,IF($E79="","",IF($B79&gt;Input!$C$9,$AC79*AI79,0)+AK80/(1+$L79)*$R79))</f>
        <v>670.95523281429541</v>
      </c>
      <c r="AL79" s="164">
        <f>IF(AND($C78=12,$D78=Input!$C$6),0,IF($E79="","",IF($B79&gt;Input!$C$9,0,$AC79)+AL80/(1+$L79)*$R79))</f>
        <v>1264.7830010788186</v>
      </c>
      <c r="AM79" s="160">
        <f t="shared" si="27"/>
        <v>1.1382936520186004</v>
      </c>
      <c r="AN79" s="164">
        <f>IF($E79="","",IF($B79&gt;Input!$C$9,$AI79*$AC79,$AM79*$AC79))</f>
        <v>0</v>
      </c>
      <c r="AO79" s="164">
        <f>IF(AND($C78=12,$D78=Input!$C$6),0,IF($E79="","",$AN79+AO80/(1+$L79)*$R79))</f>
        <v>2110.6496941233463</v>
      </c>
      <c r="AP79" s="152"/>
      <c r="AQ79" s="164">
        <f t="shared" si="28"/>
        <v>461.16664143215849</v>
      </c>
      <c r="AR79" s="164">
        <f t="shared" si="37"/>
        <v>425.16810279624139</v>
      </c>
      <c r="AS79" s="164">
        <f t="shared" si="38"/>
        <v>61.722488038277518</v>
      </c>
      <c r="AT79" s="164">
        <f t="shared" si="29"/>
        <v>425.16810279624139</v>
      </c>
      <c r="AU79" s="152"/>
      <c r="AV79" s="147">
        <f>'Deterministic Reserve'!BC79</f>
        <v>0.69404075161240741</v>
      </c>
      <c r="AW79" s="164">
        <f t="shared" si="30"/>
        <v>425.16810279624139</v>
      </c>
      <c r="AX79" s="164">
        <f t="shared" si="31"/>
        <v>295.08398962632469</v>
      </c>
      <c r="AY79" s="152"/>
    </row>
    <row r="80" spans="1:51" s="150" customFormat="1" x14ac:dyDescent="0.25">
      <c r="A80" s="150">
        <f t="shared" si="39"/>
        <v>76</v>
      </c>
      <c r="B80" s="150">
        <f t="shared" si="40"/>
        <v>7</v>
      </c>
      <c r="C80" s="150">
        <f t="shared" si="41"/>
        <v>4</v>
      </c>
      <c r="D80" s="150">
        <f>IF(E80="","",Input!$C$4+B80-1)</f>
        <v>51</v>
      </c>
      <c r="E80" s="150">
        <f>IF(OR(AND(C79=12,D79=Input!$C$6),E79=""),"",1)</f>
        <v>1</v>
      </c>
      <c r="F80" s="150">
        <f>IF(E80="","",Input!$C$8+B80-1)</f>
        <v>2024</v>
      </c>
      <c r="G80" s="151">
        <f>IF(E80="","",MAX(0,Input!$C$9-B80))</f>
        <v>13</v>
      </c>
      <c r="H80" s="152">
        <f>IF(E80="","",Input!$C$3)</f>
        <v>100000</v>
      </c>
      <c r="I80" s="153">
        <f>IF(E80="","",HLOOKUP($B80,Input!$C$13:$BT$14,2))</f>
        <v>2.2999999999999998</v>
      </c>
      <c r="J80" s="154"/>
      <c r="K80" s="155">
        <f>IF($E80="","",Input!$C$57)</f>
        <v>4.4999999999999998E-2</v>
      </c>
      <c r="L80" s="155">
        <f t="shared" si="32"/>
        <v>3.6748094004368514E-3</v>
      </c>
      <c r="M80" s="147">
        <f>IF($E80="","",VLOOKUP(IF($B80&lt;=Input!$C$7,$B80,26),'Mortality Tables'!$A$72:$CA$97,IF($B80&lt;=Input!$C$7+1,Input!$C$4-16,$D80-Input!$C$7-16),0)/1000)</f>
        <v>1.2900000000000001E-3</v>
      </c>
      <c r="N80" s="147">
        <f t="shared" si="21"/>
        <v>1.0756361180785934E-4</v>
      </c>
      <c r="O80" s="157">
        <f>IF($E80="","",IF($C80=12,IF($B80&lt;Input!$C$9,Input!$C$54,IF($B80=Input!$C$9,Input!$C$55,Input!$C$56)),0%))</f>
        <v>0</v>
      </c>
      <c r="P80" s="167">
        <f>IF($E80="","",IF($B80=1,Input!$C$59,IF($B80&lt;6,Input!$C$60,0%)))</f>
        <v>0</v>
      </c>
      <c r="Q80" s="162">
        <f>IF($E80="","",Input!$C$58)</f>
        <v>2.5</v>
      </c>
      <c r="R80" s="156">
        <f t="shared" si="33"/>
        <v>0.99989243638819214</v>
      </c>
      <c r="S80" s="154">
        <f t="shared" si="22"/>
        <v>0.68633819762780468</v>
      </c>
      <c r="T80" s="152"/>
      <c r="U80" s="150">
        <f t="shared" si="34"/>
        <v>0</v>
      </c>
      <c r="V80" s="150">
        <f t="shared" si="35"/>
        <v>0</v>
      </c>
      <c r="W80" s="168">
        <f t="shared" si="36"/>
        <v>0</v>
      </c>
      <c r="X80" s="163">
        <f t="shared" si="23"/>
        <v>10.756361180785934</v>
      </c>
      <c r="Y80" s="152"/>
      <c r="Z80" s="164">
        <f>IF(AND($C79=12,$D79=Input!$C$6),0,IF($E80="","",V80+Z81/(1+L80)*R80))</f>
        <v>2803.2930770920525</v>
      </c>
      <c r="AA80" s="164">
        <f>IF(OR($M80=1,AND($C79=12,$D79=Input!$C$6)),0,IF($E80="","",W80+(X80+AA81*$R80)/(1+$L80)))</f>
        <v>2570.787432402235</v>
      </c>
      <c r="AB80" s="160">
        <f t="shared" si="24"/>
        <v>0.825720328500681</v>
      </c>
      <c r="AC80" s="164">
        <f t="shared" si="25"/>
        <v>0</v>
      </c>
      <c r="AD80" s="164">
        <f>IF(AND($C79=12,$D79=Input!$C$6),0,IF($E80="","",$AC80+AD81/(1+$L80)*$R80))</f>
        <v>2314.7360805001335</v>
      </c>
      <c r="AE80" s="152"/>
      <c r="AF80" s="164">
        <f>IF(AND($C79=12,$D79=Input!$C$6),0,IF($E80="","",IF($B80&gt;Input!$C$9,$AC80,0)+AF81/(1+$L80)*$R80))</f>
        <v>1045.1686837048051</v>
      </c>
      <c r="AG80" s="164">
        <f>IF(AND($C79=12,$D79=Input!$C$6),0,IF($E80="","",(IF($B80&gt;Input!$C$9,$X80,0)+AG81)/(1+$L80)*$R80))</f>
        <v>498.88393243254427</v>
      </c>
      <c r="AH80" s="160">
        <f t="shared" si="26"/>
        <v>2.0950137211446997</v>
      </c>
      <c r="AI80" s="160">
        <f>IF($E80="","",MIN(Input!$C$61/AH80,1))</f>
        <v>0.64438718771845094</v>
      </c>
      <c r="AJ80" s="152"/>
      <c r="AK80" s="164">
        <f>IF(AND($C79=12,$D79=Input!$C$6),0,IF($E80="","",IF($B80&gt;Input!$C$9,$AC80*AI80,0)+AK81/(1+$L80)*$R80))</f>
        <v>673.49330878393494</v>
      </c>
      <c r="AL80" s="164">
        <f>IF(AND($C79=12,$D79=Input!$C$6),0,IF($E80="","",IF($B80&gt;Input!$C$9,0,$AC80)+AL81/(1+$L80)*$R80))</f>
        <v>1269.5673967953287</v>
      </c>
      <c r="AM80" s="160">
        <f t="shared" si="27"/>
        <v>1.1382936520186004</v>
      </c>
      <c r="AN80" s="164">
        <f>IF($E80="","",IF($B80&gt;Input!$C$9,$AI80*$AC80,$AM80*$AC80))</f>
        <v>0</v>
      </c>
      <c r="AO80" s="164">
        <f>IF(AND($C79=12,$D79=Input!$C$6),0,IF($E80="","",$AN80+AO81/(1+$L80)*$R80))</f>
        <v>2118.6338173658341</v>
      </c>
      <c r="AP80" s="152"/>
      <c r="AQ80" s="164">
        <f t="shared" si="28"/>
        <v>452.15361503640088</v>
      </c>
      <c r="AR80" s="164">
        <f t="shared" si="37"/>
        <v>425.16810279624139</v>
      </c>
      <c r="AS80" s="164">
        <f t="shared" si="38"/>
        <v>61.722488038277518</v>
      </c>
      <c r="AT80" s="164">
        <f t="shared" si="29"/>
        <v>425.16810279624139</v>
      </c>
      <c r="AU80" s="152"/>
      <c r="AV80" s="147">
        <f>'Deterministic Reserve'!BC80</f>
        <v>0.69399134388056238</v>
      </c>
      <c r="AW80" s="164">
        <f t="shared" si="30"/>
        <v>425.16810279624139</v>
      </c>
      <c r="AX80" s="164">
        <f t="shared" si="31"/>
        <v>295.06298303471266</v>
      </c>
      <c r="AY80" s="152"/>
    </row>
    <row r="81" spans="1:51" s="150" customFormat="1" x14ac:dyDescent="0.25">
      <c r="A81" s="150">
        <f t="shared" si="39"/>
        <v>77</v>
      </c>
      <c r="B81" s="150">
        <f t="shared" si="40"/>
        <v>7</v>
      </c>
      <c r="C81" s="150">
        <f t="shared" si="41"/>
        <v>5</v>
      </c>
      <c r="D81" s="150">
        <f>IF(E81="","",Input!$C$4+B81-1)</f>
        <v>51</v>
      </c>
      <c r="E81" s="150">
        <f>IF(OR(AND(C80=12,D80=Input!$C$6),E80=""),"",1)</f>
        <v>1</v>
      </c>
      <c r="F81" s="150">
        <f>IF(E81="","",Input!$C$8+B81-1)</f>
        <v>2024</v>
      </c>
      <c r="G81" s="151">
        <f>IF(E81="","",MAX(0,Input!$C$9-B81))</f>
        <v>13</v>
      </c>
      <c r="H81" s="152">
        <f>IF(E81="","",Input!$C$3)</f>
        <v>100000</v>
      </c>
      <c r="I81" s="153">
        <f>IF(E81="","",HLOOKUP($B81,Input!$C$13:$BT$14,2))</f>
        <v>2.2999999999999998</v>
      </c>
      <c r="J81" s="154"/>
      <c r="K81" s="155">
        <f>IF($E81="","",Input!$C$57)</f>
        <v>4.4999999999999998E-2</v>
      </c>
      <c r="L81" s="155">
        <f t="shared" si="32"/>
        <v>3.6748094004368514E-3</v>
      </c>
      <c r="M81" s="147">
        <f>IF($E81="","",VLOOKUP(IF($B81&lt;=Input!$C$7,$B81,26),'Mortality Tables'!$A$72:$CA$97,IF($B81&lt;=Input!$C$7+1,Input!$C$4-16,$D81-Input!$C$7-16),0)/1000)</f>
        <v>1.2900000000000001E-3</v>
      </c>
      <c r="N81" s="147">
        <f t="shared" si="21"/>
        <v>1.0756361180785934E-4</v>
      </c>
      <c r="O81" s="157">
        <f>IF($E81="","",IF($C81=12,IF($B81&lt;Input!$C$9,Input!$C$54,IF($B81=Input!$C$9,Input!$C$55,Input!$C$56)),0%))</f>
        <v>0</v>
      </c>
      <c r="P81" s="167">
        <f>IF($E81="","",IF($B81=1,Input!$C$59,IF($B81&lt;6,Input!$C$60,0%)))</f>
        <v>0</v>
      </c>
      <c r="Q81" s="162">
        <f>IF($E81="","",Input!$C$58)</f>
        <v>2.5</v>
      </c>
      <c r="R81" s="156">
        <f t="shared" si="33"/>
        <v>0.99989243638819214</v>
      </c>
      <c r="S81" s="154">
        <f t="shared" si="22"/>
        <v>0.68626437261234619</v>
      </c>
      <c r="T81" s="152"/>
      <c r="U81" s="150">
        <f t="shared" si="34"/>
        <v>0</v>
      </c>
      <c r="V81" s="150">
        <f t="shared" si="35"/>
        <v>0</v>
      </c>
      <c r="W81" s="168">
        <f t="shared" si="36"/>
        <v>0</v>
      </c>
      <c r="X81" s="163">
        <f t="shared" si="23"/>
        <v>10.756361180785934</v>
      </c>
      <c r="Y81" s="152"/>
      <c r="Z81" s="164">
        <f>IF(AND($C80=12,$D80=Input!$C$6),0,IF($E81="","",V81+Z82/(1+L81)*R81))</f>
        <v>2813.8973178026895</v>
      </c>
      <c r="AA81" s="164">
        <f>IF(OR($M81=1,AND($C80=12,$D80=Input!$C$6)),0,IF($E81="","",W81+(X81+AA82*$R81)/(1+$L81)))</f>
        <v>2569.7546371347962</v>
      </c>
      <c r="AB81" s="160">
        <f t="shared" si="24"/>
        <v>0.825720328500681</v>
      </c>
      <c r="AC81" s="164">
        <f t="shared" si="25"/>
        <v>0</v>
      </c>
      <c r="AD81" s="164">
        <f>IF(AND($C80=12,$D80=Input!$C$6),0,IF($E81="","",$AC81+AD82/(1+$L81)*$R81))</f>
        <v>2323.4922176232208</v>
      </c>
      <c r="AE81" s="152"/>
      <c r="AF81" s="164">
        <f>IF(AND($C80=12,$D80=Input!$C$6),0,IF($E81="","",IF($B81&gt;Input!$C$9,$AC81,0)+AF82/(1+$L81)*$R81))</f>
        <v>1049.1223267954242</v>
      </c>
      <c r="AG81" s="164">
        <f>IF(AND($C80=12,$D80=Input!$C$6),0,IF($E81="","",(IF($B81&gt;Input!$C$9,$X81,0)+AG82)/(1+$L81)*$R81))</f>
        <v>500.77110054543795</v>
      </c>
      <c r="AH81" s="160">
        <f t="shared" si="26"/>
        <v>2.0950137211446997</v>
      </c>
      <c r="AI81" s="160">
        <f>IF($E81="","",MIN(Input!$C$61/AH81,1))</f>
        <v>0.64438718771845094</v>
      </c>
      <c r="AJ81" s="152"/>
      <c r="AK81" s="164">
        <f>IF(AND($C80=12,$D80=Input!$C$6),0,IF($E81="","",IF($B81&gt;Input!$C$9,$AC81*AI81,0)+AK82/(1+$L81)*$R81))</f>
        <v>676.04098573634133</v>
      </c>
      <c r="AL81" s="164">
        <f>IF(AND($C80=12,$D80=Input!$C$6),0,IF($E81="","",IF($B81&gt;Input!$C$9,0,$AC81)+AL82/(1+$L81)*$R81))</f>
        <v>1274.369890827797</v>
      </c>
      <c r="AM81" s="160">
        <f t="shared" si="27"/>
        <v>1.1382936520186004</v>
      </c>
      <c r="AN81" s="164">
        <f>IF($E81="","",IF($B81&gt;Input!$C$9,$AI81*$AC81,$AM81*$AC81))</f>
        <v>0</v>
      </c>
      <c r="AO81" s="164">
        <f>IF(AND($C80=12,$D80=Input!$C$6),0,IF($E81="","",$AN81+AO82/(1+$L81)*$R81))</f>
        <v>2126.6481427892568</v>
      </c>
      <c r="AP81" s="152"/>
      <c r="AQ81" s="164">
        <f t="shared" si="28"/>
        <v>443.10649434553943</v>
      </c>
      <c r="AR81" s="164">
        <f t="shared" si="37"/>
        <v>425.16810279624139</v>
      </c>
      <c r="AS81" s="164">
        <f t="shared" si="38"/>
        <v>61.722488038277518</v>
      </c>
      <c r="AT81" s="164">
        <f t="shared" si="29"/>
        <v>425.16810279624139</v>
      </c>
      <c r="AU81" s="152"/>
      <c r="AV81" s="147">
        <f>'Deterministic Reserve'!BC81</f>
        <v>0.6939419396659805</v>
      </c>
      <c r="AW81" s="164">
        <f t="shared" si="30"/>
        <v>425.16810279624139</v>
      </c>
      <c r="AX81" s="164">
        <f t="shared" si="31"/>
        <v>295.04197793852876</v>
      </c>
      <c r="AY81" s="152"/>
    </row>
    <row r="82" spans="1:51" s="150" customFormat="1" x14ac:dyDescent="0.25">
      <c r="A82" s="150">
        <f t="shared" si="39"/>
        <v>78</v>
      </c>
      <c r="B82" s="150">
        <f t="shared" si="40"/>
        <v>7</v>
      </c>
      <c r="C82" s="150">
        <f t="shared" si="41"/>
        <v>6</v>
      </c>
      <c r="D82" s="150">
        <f>IF(E82="","",Input!$C$4+B82-1)</f>
        <v>51</v>
      </c>
      <c r="E82" s="150">
        <f>IF(OR(AND(C81=12,D81=Input!$C$6),E81=""),"",1)</f>
        <v>1</v>
      </c>
      <c r="F82" s="150">
        <f>IF(E82="","",Input!$C$8+B82-1)</f>
        <v>2024</v>
      </c>
      <c r="G82" s="151">
        <f>IF(E82="","",MAX(0,Input!$C$9-B82))</f>
        <v>13</v>
      </c>
      <c r="H82" s="152">
        <f>IF(E82="","",Input!$C$3)</f>
        <v>100000</v>
      </c>
      <c r="I82" s="153">
        <f>IF(E82="","",HLOOKUP($B82,Input!$C$13:$BT$14,2))</f>
        <v>2.2999999999999998</v>
      </c>
      <c r="J82" s="154"/>
      <c r="K82" s="155">
        <f>IF($E82="","",Input!$C$57)</f>
        <v>4.4999999999999998E-2</v>
      </c>
      <c r="L82" s="155">
        <f t="shared" si="32"/>
        <v>3.6748094004368514E-3</v>
      </c>
      <c r="M82" s="147">
        <f>IF($E82="","",VLOOKUP(IF($B82&lt;=Input!$C$7,$B82,26),'Mortality Tables'!$A$72:$CA$97,IF($B82&lt;=Input!$C$7+1,Input!$C$4-16,$D82-Input!$C$7-16),0)/1000)</f>
        <v>1.2900000000000001E-3</v>
      </c>
      <c r="N82" s="147">
        <f t="shared" si="21"/>
        <v>1.0756361180785934E-4</v>
      </c>
      <c r="O82" s="157">
        <f>IF($E82="","",IF($C82=12,IF($B82&lt;Input!$C$9,Input!$C$54,IF($B82=Input!$C$9,Input!$C$55,Input!$C$56)),0%))</f>
        <v>0</v>
      </c>
      <c r="P82" s="167">
        <f>IF($E82="","",IF($B82=1,Input!$C$59,IF($B82&lt;6,Input!$C$60,0%)))</f>
        <v>0</v>
      </c>
      <c r="Q82" s="162">
        <f>IF($E82="","",Input!$C$58)</f>
        <v>2.5</v>
      </c>
      <c r="R82" s="156">
        <f t="shared" si="33"/>
        <v>0.99989243638819214</v>
      </c>
      <c r="S82" s="154">
        <f t="shared" si="22"/>
        <v>0.68619055553777297</v>
      </c>
      <c r="T82" s="152"/>
      <c r="U82" s="150">
        <f t="shared" si="34"/>
        <v>0</v>
      </c>
      <c r="V82" s="150">
        <f t="shared" si="35"/>
        <v>0</v>
      </c>
      <c r="W82" s="168">
        <f t="shared" si="36"/>
        <v>0</v>
      </c>
      <c r="X82" s="163">
        <f t="shared" si="23"/>
        <v>10.756361180785934</v>
      </c>
      <c r="Y82" s="152"/>
      <c r="Z82" s="164">
        <f>IF(AND($C81=12,$D81=Input!$C$6),0,IF($E82="","",V82+Z83/(1+L82)*R82))</f>
        <v>2824.5416720219591</v>
      </c>
      <c r="AA82" s="164">
        <f>IF(OR($M82=1,AND($C81=12,$D81=Input!$C$6)),0,IF($E82="","",W82+(X82+AA83*$R82)/(1+$L82)))</f>
        <v>2568.7179350301767</v>
      </c>
      <c r="AB82" s="160">
        <f t="shared" si="24"/>
        <v>0.825720328500681</v>
      </c>
      <c r="AC82" s="164">
        <f t="shared" si="25"/>
        <v>0</v>
      </c>
      <c r="AD82" s="164">
        <f>IF(AND($C81=12,$D81=Input!$C$6),0,IF($E82="","",$AC82+AD83/(1+$L82)*$R82))</f>
        <v>2332.2814772858337</v>
      </c>
      <c r="AE82" s="152"/>
      <c r="AF82" s="164">
        <f>IF(AND($C81=12,$D81=Input!$C$6),0,IF($E82="","",IF($B82&gt;Input!$C$9,$AC82,0)+AF83/(1+$L82)*$R82))</f>
        <v>1053.090925647665</v>
      </c>
      <c r="AG82" s="164">
        <f>IF(AND($C81=12,$D81=Input!$C$6),0,IF($E82="","",(IF($B82&gt;Input!$C$9,$X82,0)+AG83)/(1+$L82)*$R82))</f>
        <v>502.66540739994025</v>
      </c>
      <c r="AH82" s="160">
        <f t="shared" si="26"/>
        <v>2.0950137211446997</v>
      </c>
      <c r="AI82" s="160">
        <f>IF($E82="","",MIN(Input!$C$61/AH82,1))</f>
        <v>0.64438718771845094</v>
      </c>
      <c r="AJ82" s="152"/>
      <c r="AK82" s="164">
        <f>IF(AND($C81=12,$D81=Input!$C$6),0,IF($E82="","",IF($B82&gt;Input!$C$9,$AC82*AI82,0)+AK83/(1+$L82)*$R82))</f>
        <v>678.5982999899195</v>
      </c>
      <c r="AL82" s="164">
        <f>IF(AND($C81=12,$D81=Input!$C$6),0,IF($E82="","",IF($B82&gt;Input!$C$9,0,$AC82)+AL83/(1+$L82)*$R82))</f>
        <v>1279.1905516381694</v>
      </c>
      <c r="AM82" s="160">
        <f t="shared" si="27"/>
        <v>1.1382936520186004</v>
      </c>
      <c r="AN82" s="164">
        <f>IF($E82="","",IF($B82&gt;Input!$C$9,$AI82*$AC82,$AM82*$AC82))</f>
        <v>0</v>
      </c>
      <c r="AO82" s="164">
        <f>IF(AND($C81=12,$D81=Input!$C$6),0,IF($E82="","",$AN82+AO83/(1+$L82)*$R82))</f>
        <v>2134.6927846418166</v>
      </c>
      <c r="AP82" s="152"/>
      <c r="AQ82" s="164">
        <f t="shared" si="28"/>
        <v>434.02515038836009</v>
      </c>
      <c r="AR82" s="164">
        <f t="shared" si="37"/>
        <v>425.16810279624139</v>
      </c>
      <c r="AS82" s="164">
        <f t="shared" si="38"/>
        <v>61.722488038277518</v>
      </c>
      <c r="AT82" s="164">
        <f t="shared" si="29"/>
        <v>425.16810279624139</v>
      </c>
      <c r="AU82" s="152"/>
      <c r="AV82" s="147">
        <f>'Deterministic Reserve'!BC82</f>
        <v>0.69389253896841141</v>
      </c>
      <c r="AW82" s="164">
        <f t="shared" si="30"/>
        <v>425.16810279624139</v>
      </c>
      <c r="AX82" s="164">
        <f t="shared" si="31"/>
        <v>295.02097433766647</v>
      </c>
      <c r="AY82" s="152"/>
    </row>
    <row r="83" spans="1:51" s="150" customFormat="1" x14ac:dyDescent="0.25">
      <c r="A83" s="150">
        <f t="shared" si="39"/>
        <v>79</v>
      </c>
      <c r="B83" s="150">
        <f t="shared" si="40"/>
        <v>7</v>
      </c>
      <c r="C83" s="150">
        <f t="shared" si="41"/>
        <v>7</v>
      </c>
      <c r="D83" s="150">
        <f>IF(E83="","",Input!$C$4+B83-1)</f>
        <v>51</v>
      </c>
      <c r="E83" s="150">
        <f>IF(OR(AND(C82=12,D82=Input!$C$6),E82=""),"",1)</f>
        <v>1</v>
      </c>
      <c r="F83" s="150">
        <f>IF(E83="","",Input!$C$8+B83-1)</f>
        <v>2024</v>
      </c>
      <c r="G83" s="151">
        <f>IF(E83="","",MAX(0,Input!$C$9-B83))</f>
        <v>13</v>
      </c>
      <c r="H83" s="152">
        <f>IF(E83="","",Input!$C$3)</f>
        <v>100000</v>
      </c>
      <c r="I83" s="153">
        <f>IF(E83="","",HLOOKUP($B83,Input!$C$13:$BT$14,2))</f>
        <v>2.2999999999999998</v>
      </c>
      <c r="J83" s="154"/>
      <c r="K83" s="155">
        <f>IF($E83="","",Input!$C$57)</f>
        <v>4.4999999999999998E-2</v>
      </c>
      <c r="L83" s="155">
        <f t="shared" si="32"/>
        <v>3.6748094004368514E-3</v>
      </c>
      <c r="M83" s="147">
        <f>IF($E83="","",VLOOKUP(IF($B83&lt;=Input!$C$7,$B83,26),'Mortality Tables'!$A$72:$CA$97,IF($B83&lt;=Input!$C$7+1,Input!$C$4-16,$D83-Input!$C$7-16),0)/1000)</f>
        <v>1.2900000000000001E-3</v>
      </c>
      <c r="N83" s="147">
        <f t="shared" si="21"/>
        <v>1.0756361180785934E-4</v>
      </c>
      <c r="O83" s="157">
        <f>IF($E83="","",IF($C83=12,IF($B83&lt;Input!$C$9,Input!$C$54,IF($B83=Input!$C$9,Input!$C$55,Input!$C$56)),0%))</f>
        <v>0</v>
      </c>
      <c r="P83" s="167">
        <f>IF($E83="","",IF($B83=1,Input!$C$59,IF($B83&lt;6,Input!$C$60,0%)))</f>
        <v>0</v>
      </c>
      <c r="Q83" s="162">
        <f>IF($E83="","",Input!$C$58)</f>
        <v>2.5</v>
      </c>
      <c r="R83" s="156">
        <f t="shared" si="33"/>
        <v>0.99989243638819214</v>
      </c>
      <c r="S83" s="154">
        <f t="shared" si="22"/>
        <v>0.68611674640323084</v>
      </c>
      <c r="T83" s="152"/>
      <c r="U83" s="150">
        <f t="shared" si="34"/>
        <v>0</v>
      </c>
      <c r="V83" s="150">
        <f t="shared" si="35"/>
        <v>0</v>
      </c>
      <c r="W83" s="168">
        <f t="shared" si="36"/>
        <v>0</v>
      </c>
      <c r="X83" s="163">
        <f t="shared" si="23"/>
        <v>10.756361180785934</v>
      </c>
      <c r="Y83" s="152"/>
      <c r="Z83" s="164">
        <f>IF(AND($C82=12,$D82=Input!$C$6),0,IF($E83="","",V83+Z84/(1+L83)*R83))</f>
        <v>2835.2262914904363</v>
      </c>
      <c r="AA83" s="164">
        <f>IF(OR($M83=1,AND($C82=12,$D82=Input!$C$6)),0,IF($E83="","",W83+(X83+AA84*$R83)/(1+$L83)))</f>
        <v>2567.6773113096719</v>
      </c>
      <c r="AB83" s="160">
        <f t="shared" si="24"/>
        <v>0.825720328500681</v>
      </c>
      <c r="AC83" s="164">
        <f t="shared" si="25"/>
        <v>0</v>
      </c>
      <c r="AD83" s="164">
        <f>IF(AND($C82=12,$D82=Input!$C$6),0,IF($E83="","",$AC83+AD84/(1+$L83)*$R83))</f>
        <v>2341.1039847832494</v>
      </c>
      <c r="AE83" s="152"/>
      <c r="AF83" s="164">
        <f>IF(AND($C82=12,$D82=Input!$C$6),0,IF($E83="","",IF($B83&gt;Input!$C$9,$AC83,0)+AF84/(1+$L83)*$R83))</f>
        <v>1057.0745368358821</v>
      </c>
      <c r="AG83" s="164">
        <f>IF(AND($C82=12,$D82=Input!$C$6),0,IF($E83="","",(IF($B83&gt;Input!$C$9,$X83,0)+AG84)/(1+$L83)*$R83))</f>
        <v>504.56688000033944</v>
      </c>
      <c r="AH83" s="160">
        <f t="shared" si="26"/>
        <v>2.0950137211446997</v>
      </c>
      <c r="AI83" s="160">
        <f>IF($E83="","",MIN(Input!$C$61/AH83,1))</f>
        <v>0.64438718771845094</v>
      </c>
      <c r="AJ83" s="152"/>
      <c r="AK83" s="164">
        <f>IF(AND($C82=12,$D82=Input!$C$6),0,IF($E83="","",IF($B83&gt;Input!$C$9,$AC83*AI83,0)+AK84/(1+$L83)*$R83))</f>
        <v>681.1652880004583</v>
      </c>
      <c r="AL83" s="164">
        <f>IF(AND($C82=12,$D82=Input!$C$6),0,IF($E83="","",IF($B83&gt;Input!$C$9,0,$AC83)+AL84/(1+$L83)*$R83))</f>
        <v>1284.029447947368</v>
      </c>
      <c r="AM83" s="160">
        <f t="shared" si="27"/>
        <v>1.1382936520186004</v>
      </c>
      <c r="AN83" s="164">
        <f>IF($E83="","",IF($B83&gt;Input!$C$9,$AI83*$AC83,$AM83*$AC83))</f>
        <v>0</v>
      </c>
      <c r="AO83" s="164">
        <f>IF(AND($C82=12,$D82=Input!$C$6),0,IF($E83="","",$AN83+AO84/(1+$L83)*$R83))</f>
        <v>2142.7678576038925</v>
      </c>
      <c r="AP83" s="152"/>
      <c r="AQ83" s="164">
        <f t="shared" si="28"/>
        <v>424.90945370577947</v>
      </c>
      <c r="AR83" s="164">
        <f t="shared" si="37"/>
        <v>425.16810279624139</v>
      </c>
      <c r="AS83" s="164">
        <f t="shared" si="38"/>
        <v>61.722488038277518</v>
      </c>
      <c r="AT83" s="164">
        <f t="shared" si="29"/>
        <v>425.16810279624139</v>
      </c>
      <c r="AU83" s="152"/>
      <c r="AV83" s="147">
        <f>'Deterministic Reserve'!BC83</f>
        <v>0.69384314178760464</v>
      </c>
      <c r="AW83" s="164">
        <f t="shared" si="30"/>
        <v>425.16810279624139</v>
      </c>
      <c r="AX83" s="164">
        <f t="shared" si="31"/>
        <v>294.99997223201939</v>
      </c>
      <c r="AY83" s="152"/>
    </row>
    <row r="84" spans="1:51" s="150" customFormat="1" x14ac:dyDescent="0.25">
      <c r="A84" s="150">
        <f t="shared" si="39"/>
        <v>80</v>
      </c>
      <c r="B84" s="150">
        <f t="shared" si="40"/>
        <v>7</v>
      </c>
      <c r="C84" s="150">
        <f t="shared" si="41"/>
        <v>8</v>
      </c>
      <c r="D84" s="150">
        <f>IF(E84="","",Input!$C$4+B84-1)</f>
        <v>51</v>
      </c>
      <c r="E84" s="150">
        <f>IF(OR(AND(C83=12,D83=Input!$C$6),E83=""),"",1)</f>
        <v>1</v>
      </c>
      <c r="F84" s="150">
        <f>IF(E84="","",Input!$C$8+B84-1)</f>
        <v>2024</v>
      </c>
      <c r="G84" s="151">
        <f>IF(E84="","",MAX(0,Input!$C$9-B84))</f>
        <v>13</v>
      </c>
      <c r="H84" s="152">
        <f>IF(E84="","",Input!$C$3)</f>
        <v>100000</v>
      </c>
      <c r="I84" s="153">
        <f>IF(E84="","",HLOOKUP($B84,Input!$C$13:$BT$14,2))</f>
        <v>2.2999999999999998</v>
      </c>
      <c r="J84" s="154"/>
      <c r="K84" s="155">
        <f>IF($E84="","",Input!$C$57)</f>
        <v>4.4999999999999998E-2</v>
      </c>
      <c r="L84" s="155">
        <f t="shared" si="32"/>
        <v>3.6748094004368514E-3</v>
      </c>
      <c r="M84" s="147">
        <f>IF($E84="","",VLOOKUP(IF($B84&lt;=Input!$C$7,$B84,26),'Mortality Tables'!$A$72:$CA$97,IF($B84&lt;=Input!$C$7+1,Input!$C$4-16,$D84-Input!$C$7-16),0)/1000)</f>
        <v>1.2900000000000001E-3</v>
      </c>
      <c r="N84" s="147">
        <f t="shared" si="21"/>
        <v>1.0756361180785934E-4</v>
      </c>
      <c r="O84" s="157">
        <f>IF($E84="","",IF($C84=12,IF($B84&lt;Input!$C$9,Input!$C$54,IF($B84=Input!$C$9,Input!$C$55,Input!$C$56)),0%))</f>
        <v>0</v>
      </c>
      <c r="P84" s="167">
        <f>IF($E84="","",IF($B84=1,Input!$C$59,IF($B84&lt;6,Input!$C$60,0%)))</f>
        <v>0</v>
      </c>
      <c r="Q84" s="162">
        <f>IF($E84="","",Input!$C$58)</f>
        <v>2.5</v>
      </c>
      <c r="R84" s="156">
        <f t="shared" si="33"/>
        <v>0.99989243638819214</v>
      </c>
      <c r="S84" s="154">
        <f t="shared" si="22"/>
        <v>0.6860429452078658</v>
      </c>
      <c r="T84" s="152"/>
      <c r="U84" s="150">
        <f t="shared" si="34"/>
        <v>0</v>
      </c>
      <c r="V84" s="150">
        <f t="shared" si="35"/>
        <v>0</v>
      </c>
      <c r="W84" s="168">
        <f t="shared" si="36"/>
        <v>0</v>
      </c>
      <c r="X84" s="163">
        <f t="shared" si="23"/>
        <v>10.756361180785934</v>
      </c>
      <c r="Y84" s="152"/>
      <c r="Z84" s="164">
        <f>IF(AND($C83=12,$D83=Input!$C$6),0,IF($E84="","",V84+Z85/(1+L84)*R84))</f>
        <v>2845.9513285226963</v>
      </c>
      <c r="AA84" s="164">
        <f>IF(OR($M84=1,AND($C83=12,$D83=Input!$C$6)),0,IF($E84="","",W84+(X84+AA85*$R84)/(1+$L84)))</f>
        <v>2566.6327511386721</v>
      </c>
      <c r="AB84" s="160">
        <f t="shared" si="24"/>
        <v>0.825720328500681</v>
      </c>
      <c r="AC84" s="164">
        <f t="shared" si="25"/>
        <v>0</v>
      </c>
      <c r="AD84" s="164">
        <f>IF(AND($C83=12,$D83=Input!$C$6),0,IF($E84="","",$AC84+AD85/(1+$L84)*$R84))</f>
        <v>2349.9598658847094</v>
      </c>
      <c r="AE84" s="152"/>
      <c r="AF84" s="164">
        <f>IF(AND($C83=12,$D83=Input!$C$6),0,IF($E84="","",IF($B84&gt;Input!$C$9,$AC84,0)+AF85/(1+$L84)*$R84))</f>
        <v>1061.0732171484381</v>
      </c>
      <c r="AG84" s="164">
        <f>IF(AND($C83=12,$D83=Input!$C$6),0,IF($E84="","",(IF($B84&gt;Input!$C$9,$X84,0)+AG85)/(1+$L84)*$R84))</f>
        <v>506.47554545307509</v>
      </c>
      <c r="AH84" s="160">
        <f t="shared" si="26"/>
        <v>2.0950137211446997</v>
      </c>
      <c r="AI84" s="160">
        <f>IF($E84="","",MIN(Input!$C$61/AH84,1))</f>
        <v>0.64438718771845094</v>
      </c>
      <c r="AJ84" s="152"/>
      <c r="AK84" s="164">
        <f>IF(AND($C83=12,$D83=Input!$C$6),0,IF($E84="","",IF($B84&gt;Input!$C$9,$AC84*AI84,0)+AK85/(1+$L84)*$R84))</f>
        <v>683.74198636165147</v>
      </c>
      <c r="AL84" s="164">
        <f>IF(AND($C83=12,$D83=Input!$C$6),0,IF($E84="","",IF($B84&gt;Input!$C$9,0,$AC84)+AL85/(1+$L84)*$R84))</f>
        <v>1288.8866487362716</v>
      </c>
      <c r="AM84" s="160">
        <f t="shared" si="27"/>
        <v>1.1382936520186004</v>
      </c>
      <c r="AN84" s="164">
        <f>IF($E84="","",IF($B84&gt;Input!$C$9,$AI84*$AC84,$AM84*$AC84))</f>
        <v>0</v>
      </c>
      <c r="AO84" s="164">
        <f>IF(AND($C83=12,$D83=Input!$C$6),0,IF($E84="","",$AN84+AO85/(1+$L84)*$R84))</f>
        <v>2150.8734767896744</v>
      </c>
      <c r="AP84" s="152"/>
      <c r="AQ84" s="164">
        <f t="shared" si="28"/>
        <v>415.75927434899768</v>
      </c>
      <c r="AR84" s="164">
        <f t="shared" si="37"/>
        <v>425.16810279624139</v>
      </c>
      <c r="AS84" s="164">
        <f t="shared" si="38"/>
        <v>61.722488038277518</v>
      </c>
      <c r="AT84" s="164">
        <f t="shared" si="29"/>
        <v>425.16810279624139</v>
      </c>
      <c r="AU84" s="152"/>
      <c r="AV84" s="147">
        <f>'Deterministic Reserve'!BC84</f>
        <v>0.69379374812330996</v>
      </c>
      <c r="AW84" s="164">
        <f t="shared" si="30"/>
        <v>425.16810279624139</v>
      </c>
      <c r="AX84" s="164">
        <f t="shared" si="31"/>
        <v>294.97897162148104</v>
      </c>
      <c r="AY84" s="152"/>
    </row>
    <row r="85" spans="1:51" s="150" customFormat="1" x14ac:dyDescent="0.25">
      <c r="A85" s="150">
        <f t="shared" si="39"/>
        <v>81</v>
      </c>
      <c r="B85" s="150">
        <f t="shared" si="40"/>
        <v>7</v>
      </c>
      <c r="C85" s="150">
        <f t="shared" si="41"/>
        <v>9</v>
      </c>
      <c r="D85" s="150">
        <f>IF(E85="","",Input!$C$4+B85-1)</f>
        <v>51</v>
      </c>
      <c r="E85" s="150">
        <f>IF(OR(AND(C84=12,D84=Input!$C$6),E84=""),"",1)</f>
        <v>1</v>
      </c>
      <c r="F85" s="150">
        <f>IF(E85="","",Input!$C$8+B85-1)</f>
        <v>2024</v>
      </c>
      <c r="G85" s="151">
        <f>IF(E85="","",MAX(0,Input!$C$9-B85))</f>
        <v>13</v>
      </c>
      <c r="H85" s="152">
        <f>IF(E85="","",Input!$C$3)</f>
        <v>100000</v>
      </c>
      <c r="I85" s="153">
        <f>IF(E85="","",HLOOKUP($B85,Input!$C$13:$BT$14,2))</f>
        <v>2.2999999999999998</v>
      </c>
      <c r="J85" s="154"/>
      <c r="K85" s="155">
        <f>IF($E85="","",Input!$C$57)</f>
        <v>4.4999999999999998E-2</v>
      </c>
      <c r="L85" s="155">
        <f t="shared" si="32"/>
        <v>3.6748094004368514E-3</v>
      </c>
      <c r="M85" s="147">
        <f>IF($E85="","",VLOOKUP(IF($B85&lt;=Input!$C$7,$B85,26),'Mortality Tables'!$A$72:$CA$97,IF($B85&lt;=Input!$C$7+1,Input!$C$4-16,$D85-Input!$C$7-16),0)/1000)</f>
        <v>1.2900000000000001E-3</v>
      </c>
      <c r="N85" s="147">
        <f t="shared" si="21"/>
        <v>1.0756361180785934E-4</v>
      </c>
      <c r="O85" s="157">
        <f>IF($E85="","",IF($C85=12,IF($B85&lt;Input!$C$9,Input!$C$54,IF($B85=Input!$C$9,Input!$C$55,Input!$C$56)),0%))</f>
        <v>0</v>
      </c>
      <c r="P85" s="167">
        <f>IF($E85="","",IF($B85=1,Input!$C$59,IF($B85&lt;6,Input!$C$60,0%)))</f>
        <v>0</v>
      </c>
      <c r="Q85" s="162">
        <f>IF($E85="","",Input!$C$58)</f>
        <v>2.5</v>
      </c>
      <c r="R85" s="156">
        <f t="shared" si="33"/>
        <v>0.99989243638819214</v>
      </c>
      <c r="S85" s="154">
        <f t="shared" si="22"/>
        <v>0.68596915195082397</v>
      </c>
      <c r="T85" s="152"/>
      <c r="U85" s="150">
        <f t="shared" si="34"/>
        <v>0</v>
      </c>
      <c r="V85" s="150">
        <f t="shared" si="35"/>
        <v>0</v>
      </c>
      <c r="W85" s="168">
        <f t="shared" si="36"/>
        <v>0</v>
      </c>
      <c r="X85" s="163">
        <f t="shared" si="23"/>
        <v>10.756361180785934</v>
      </c>
      <c r="Y85" s="152"/>
      <c r="Z85" s="164">
        <f>IF(AND($C84=12,$D84=Input!$C$6),0,IF($E85="","",V85+Z86/(1+L85)*R85))</f>
        <v>2856.7169360094872</v>
      </c>
      <c r="AA85" s="164">
        <f>IF(OR($M85=1,AND($C84=12,$D84=Input!$C$6)),0,IF($E85="","",W85+(X85+AA86*$R85)/(1+$L85)))</f>
        <v>2565.5842396264511</v>
      </c>
      <c r="AB85" s="160">
        <f t="shared" si="24"/>
        <v>0.825720328500681</v>
      </c>
      <c r="AC85" s="164">
        <f t="shared" si="25"/>
        <v>0</v>
      </c>
      <c r="AD85" s="164">
        <f>IF(AND($C84=12,$D84=Input!$C$6),0,IF($E85="","",$AC85+AD86/(1+$L85)*$R85))</f>
        <v>2358.8492468352119</v>
      </c>
      <c r="AE85" s="152"/>
      <c r="AF85" s="164">
        <f>IF(AND($C84=12,$D84=Input!$C$6),0,IF($E85="","",IF($B85&gt;Input!$C$9,$AC85,0)+AF86/(1+$L85)*$R85))</f>
        <v>1065.0870235885138</v>
      </c>
      <c r="AG85" s="164">
        <f>IF(AND($C84=12,$D84=Input!$C$6),0,IF($E85="","",(IF($B85&gt;Input!$C$9,$X85,0)+AG86)/(1+$L85)*$R85))</f>
        <v>508.39143096712439</v>
      </c>
      <c r="AH85" s="160">
        <f t="shared" si="26"/>
        <v>2.0950137211446997</v>
      </c>
      <c r="AI85" s="160">
        <f>IF($E85="","",MIN(Input!$C$61/AH85,1))</f>
        <v>0.64438718771845094</v>
      </c>
      <c r="AJ85" s="152"/>
      <c r="AK85" s="164">
        <f>IF(AND($C84=12,$D84=Input!$C$6),0,IF($E85="","",IF($B85&gt;Input!$C$9,$AC85*AI85,0)+AK86/(1+$L85)*$R85))</f>
        <v>686.32843180561804</v>
      </c>
      <c r="AL85" s="164">
        <f>IF(AND($C84=12,$D84=Input!$C$6),0,IF($E85="","",IF($B85&gt;Input!$C$9,0,$AC85)+AL86/(1+$L85)*$R85))</f>
        <v>1293.7622232466981</v>
      </c>
      <c r="AM85" s="160">
        <f t="shared" si="27"/>
        <v>1.1382936520186004</v>
      </c>
      <c r="AN85" s="164">
        <f>IF($E85="","",IF($B85&gt;Input!$C$9,$AI85*$AC85,$AM85*$AC85))</f>
        <v>0</v>
      </c>
      <c r="AO85" s="164">
        <f>IF(AND($C84=12,$D84=Input!$C$6),0,IF($E85="","",$AN85+AO86/(1+$L85)*$R85))</f>
        <v>2159.0097577488032</v>
      </c>
      <c r="AP85" s="152"/>
      <c r="AQ85" s="164">
        <f t="shared" si="28"/>
        <v>406.57448187764794</v>
      </c>
      <c r="AR85" s="164">
        <f t="shared" si="37"/>
        <v>425.16810279624139</v>
      </c>
      <c r="AS85" s="164">
        <f t="shared" si="38"/>
        <v>61.722488038277518</v>
      </c>
      <c r="AT85" s="164">
        <f t="shared" si="29"/>
        <v>425.16810279624139</v>
      </c>
      <c r="AU85" s="152"/>
      <c r="AV85" s="147">
        <f>'Deterministic Reserve'!BC85</f>
        <v>0.693744357975277</v>
      </c>
      <c r="AW85" s="164">
        <f t="shared" si="30"/>
        <v>425.16810279624139</v>
      </c>
      <c r="AX85" s="164">
        <f t="shared" si="31"/>
        <v>294.95797250594507</v>
      </c>
      <c r="AY85" s="152"/>
    </row>
    <row r="86" spans="1:51" s="150" customFormat="1" x14ac:dyDescent="0.25">
      <c r="A86" s="150">
        <f t="shared" si="39"/>
        <v>82</v>
      </c>
      <c r="B86" s="150">
        <f t="shared" si="40"/>
        <v>7</v>
      </c>
      <c r="C86" s="150">
        <f t="shared" si="41"/>
        <v>10</v>
      </c>
      <c r="D86" s="150">
        <f>IF(E86="","",Input!$C$4+B86-1)</f>
        <v>51</v>
      </c>
      <c r="E86" s="150">
        <f>IF(OR(AND(C85=12,D85=Input!$C$6),E85=""),"",1)</f>
        <v>1</v>
      </c>
      <c r="F86" s="150">
        <f>IF(E86="","",Input!$C$8+B86-1)</f>
        <v>2024</v>
      </c>
      <c r="G86" s="151">
        <f>IF(E86="","",MAX(0,Input!$C$9-B86))</f>
        <v>13</v>
      </c>
      <c r="H86" s="152">
        <f>IF(E86="","",Input!$C$3)</f>
        <v>100000</v>
      </c>
      <c r="I86" s="153">
        <f>IF(E86="","",HLOOKUP($B86,Input!$C$13:$BT$14,2))</f>
        <v>2.2999999999999998</v>
      </c>
      <c r="J86" s="154"/>
      <c r="K86" s="155">
        <f>IF($E86="","",Input!$C$57)</f>
        <v>4.4999999999999998E-2</v>
      </c>
      <c r="L86" s="155">
        <f t="shared" si="32"/>
        <v>3.6748094004368514E-3</v>
      </c>
      <c r="M86" s="147">
        <f>IF($E86="","",VLOOKUP(IF($B86&lt;=Input!$C$7,$B86,26),'Mortality Tables'!$A$72:$CA$97,IF($B86&lt;=Input!$C$7+1,Input!$C$4-16,$D86-Input!$C$7-16),0)/1000)</f>
        <v>1.2900000000000001E-3</v>
      </c>
      <c r="N86" s="147">
        <f t="shared" si="21"/>
        <v>1.0756361180785934E-4</v>
      </c>
      <c r="O86" s="157">
        <f>IF($E86="","",IF($C86=12,IF($B86&lt;Input!$C$9,Input!$C$54,IF($B86=Input!$C$9,Input!$C$55,Input!$C$56)),0%))</f>
        <v>0</v>
      </c>
      <c r="P86" s="167">
        <f>IF($E86="","",IF($B86=1,Input!$C$59,IF($B86&lt;6,Input!$C$60,0%)))</f>
        <v>0</v>
      </c>
      <c r="Q86" s="162">
        <f>IF($E86="","",Input!$C$58)</f>
        <v>2.5</v>
      </c>
      <c r="R86" s="156">
        <f t="shared" si="33"/>
        <v>0.99989243638819214</v>
      </c>
      <c r="S86" s="154">
        <f t="shared" si="22"/>
        <v>0.68589536663125139</v>
      </c>
      <c r="T86" s="152"/>
      <c r="U86" s="150">
        <f t="shared" si="34"/>
        <v>0</v>
      </c>
      <c r="V86" s="150">
        <f t="shared" si="35"/>
        <v>0</v>
      </c>
      <c r="W86" s="168">
        <f t="shared" si="36"/>
        <v>0</v>
      </c>
      <c r="X86" s="163">
        <f t="shared" si="23"/>
        <v>10.756361180785934</v>
      </c>
      <c r="Y86" s="152"/>
      <c r="Z86" s="164">
        <f>IF(AND($C85=12,$D85=Input!$C$6),0,IF($E86="","",V86+Z87/(1+L86)*R86))</f>
        <v>2867.5232674199087</v>
      </c>
      <c r="AA86" s="164">
        <f>IF(OR($M86=1,AND($C85=12,$D85=Input!$C$6)),0,IF($E86="","",W86+(X86+AA87*$R86)/(1+$L86)))</f>
        <v>2564.5317618259551</v>
      </c>
      <c r="AB86" s="160">
        <f t="shared" si="24"/>
        <v>0.825720328500681</v>
      </c>
      <c r="AC86" s="164">
        <f t="shared" si="25"/>
        <v>0</v>
      </c>
      <c r="AD86" s="164">
        <f>IF(AND($C85=12,$D85=Input!$C$6),0,IF($E86="","",$AC86+AD87/(1+$L86)*$R86))</f>
        <v>2367.7722543573127</v>
      </c>
      <c r="AE86" s="152"/>
      <c r="AF86" s="164">
        <f>IF(AND($C85=12,$D85=Input!$C$6),0,IF($E86="","",IF($B86&gt;Input!$C$9,$AC86,0)+AF87/(1+$L86)*$R86))</f>
        <v>1069.1160133749206</v>
      </c>
      <c r="AG86" s="164">
        <f>IF(AND($C85=12,$D85=Input!$C$6),0,IF($E86="","",(IF($B86&gt;Input!$C$9,$X86,0)+AG87)/(1+$L86)*$R86))</f>
        <v>510.31456385439026</v>
      </c>
      <c r="AH86" s="160">
        <f t="shared" si="26"/>
        <v>2.0950137211446997</v>
      </c>
      <c r="AI86" s="160">
        <f>IF($E86="","",MIN(Input!$C$61/AH86,1))</f>
        <v>0.64438718771845094</v>
      </c>
      <c r="AJ86" s="152"/>
      <c r="AK86" s="164">
        <f>IF(AND($C85=12,$D85=Input!$C$6),0,IF($E86="","",IF($B86&gt;Input!$C$9,$AC86*AI86,0)+AK87/(1+$L86)*$R86))</f>
        <v>688.92466120342704</v>
      </c>
      <c r="AL86" s="164">
        <f>IF(AND($C85=12,$D85=Input!$C$6),0,IF($E86="","",IF($B86&gt;Input!$C$9,0,$AC86)+AL87/(1+$L86)*$R86))</f>
        <v>1298.6562409823921</v>
      </c>
      <c r="AM86" s="160">
        <f t="shared" si="27"/>
        <v>1.1382936520186004</v>
      </c>
      <c r="AN86" s="164">
        <f>IF($E86="","",IF($B86&gt;Input!$C$9,$AI86*$AC86,$AM86*$AC86))</f>
        <v>0</v>
      </c>
      <c r="AO86" s="164">
        <f>IF(AND($C85=12,$D85=Input!$C$6),0,IF($E86="","",$AN86+AO87/(1+$L86)*$R86))</f>
        <v>2167.1768164680188</v>
      </c>
      <c r="AP86" s="152"/>
      <c r="AQ86" s="164">
        <f t="shared" si="28"/>
        <v>397.35494535793623</v>
      </c>
      <c r="AR86" s="164">
        <f t="shared" si="37"/>
        <v>425.16810279624139</v>
      </c>
      <c r="AS86" s="164">
        <f t="shared" si="38"/>
        <v>61.722488038277518</v>
      </c>
      <c r="AT86" s="164">
        <f t="shared" si="29"/>
        <v>425.16810279624139</v>
      </c>
      <c r="AU86" s="152"/>
      <c r="AV86" s="147">
        <f>'Deterministic Reserve'!BC86</f>
        <v>0.69369497134325542</v>
      </c>
      <c r="AW86" s="164">
        <f t="shared" si="30"/>
        <v>425.16810279624139</v>
      </c>
      <c r="AX86" s="164">
        <f t="shared" si="31"/>
        <v>294.93697488530495</v>
      </c>
      <c r="AY86" s="152"/>
    </row>
    <row r="87" spans="1:51" s="150" customFormat="1" x14ac:dyDescent="0.25">
      <c r="A87" s="150">
        <f t="shared" si="39"/>
        <v>83</v>
      </c>
      <c r="B87" s="150">
        <f t="shared" si="40"/>
        <v>7</v>
      </c>
      <c r="C87" s="150">
        <f t="shared" si="41"/>
        <v>11</v>
      </c>
      <c r="D87" s="150">
        <f>IF(E87="","",Input!$C$4+B87-1)</f>
        <v>51</v>
      </c>
      <c r="E87" s="150">
        <f>IF(OR(AND(C86=12,D86=Input!$C$6),E86=""),"",1)</f>
        <v>1</v>
      </c>
      <c r="F87" s="150">
        <f>IF(E87="","",Input!$C$8+B87-1)</f>
        <v>2024</v>
      </c>
      <c r="G87" s="151">
        <f>IF(E87="","",MAX(0,Input!$C$9-B87))</f>
        <v>13</v>
      </c>
      <c r="H87" s="152">
        <f>IF(E87="","",Input!$C$3)</f>
        <v>100000</v>
      </c>
      <c r="I87" s="153">
        <f>IF(E87="","",HLOOKUP($B87,Input!$C$13:$BT$14,2))</f>
        <v>2.2999999999999998</v>
      </c>
      <c r="J87" s="154"/>
      <c r="K87" s="155">
        <f>IF($E87="","",Input!$C$57)</f>
        <v>4.4999999999999998E-2</v>
      </c>
      <c r="L87" s="155">
        <f t="shared" si="32"/>
        <v>3.6748094004368514E-3</v>
      </c>
      <c r="M87" s="147">
        <f>IF($E87="","",VLOOKUP(IF($B87&lt;=Input!$C$7,$B87,26),'Mortality Tables'!$A$72:$CA$97,IF($B87&lt;=Input!$C$7+1,Input!$C$4-16,$D87-Input!$C$7-16),0)/1000)</f>
        <v>1.2900000000000001E-3</v>
      </c>
      <c r="N87" s="147">
        <f t="shared" si="21"/>
        <v>1.0756361180785934E-4</v>
      </c>
      <c r="O87" s="157">
        <f>IF($E87="","",IF($C87=12,IF($B87&lt;Input!$C$9,Input!$C$54,IF($B87=Input!$C$9,Input!$C$55,Input!$C$56)),0%))</f>
        <v>0</v>
      </c>
      <c r="P87" s="167">
        <f>IF($E87="","",IF($B87=1,Input!$C$59,IF($B87&lt;6,Input!$C$60,0%)))</f>
        <v>0</v>
      </c>
      <c r="Q87" s="162">
        <f>IF($E87="","",Input!$C$58)</f>
        <v>2.5</v>
      </c>
      <c r="R87" s="156">
        <f t="shared" si="33"/>
        <v>0.99989243638819214</v>
      </c>
      <c r="S87" s="154">
        <f t="shared" si="22"/>
        <v>0.68582158924829428</v>
      </c>
      <c r="T87" s="152"/>
      <c r="U87" s="150">
        <f t="shared" si="34"/>
        <v>0</v>
      </c>
      <c r="V87" s="150">
        <f t="shared" si="35"/>
        <v>0</v>
      </c>
      <c r="W87" s="168">
        <f t="shared" si="36"/>
        <v>0</v>
      </c>
      <c r="X87" s="163">
        <f t="shared" si="23"/>
        <v>10.756361180785934</v>
      </c>
      <c r="Y87" s="152"/>
      <c r="Z87" s="164">
        <f>IF(AND($C86=12,$D86=Input!$C$6),0,IF($E87="","",V87+Z88/(1+L87)*R87))</f>
        <v>2878.3704768036009</v>
      </c>
      <c r="AA87" s="164">
        <f>IF(OR($M87=1,AND($C86=12,$D86=Input!$C$6)),0,IF($E87="","",W87+(X87+AA88*$R87)/(1+$L87)))</f>
        <v>2563.4753027335883</v>
      </c>
      <c r="AB87" s="160">
        <f t="shared" si="24"/>
        <v>0.825720328500681</v>
      </c>
      <c r="AC87" s="164">
        <f t="shared" si="25"/>
        <v>0</v>
      </c>
      <c r="AD87" s="164">
        <f>IF(AND($C86=12,$D86=Input!$C$6),0,IF($E87="","",$AC87+AD88/(1+$L87)*$R87))</f>
        <v>2376.7290156529307</v>
      </c>
      <c r="AE87" s="152"/>
      <c r="AF87" s="164">
        <f>IF(AND($C86=12,$D86=Input!$C$6),0,IF($E87="","",IF($B87&gt;Input!$C$9,$AC87,0)+AF88/(1+$L87)*$R87))</f>
        <v>1073.1602439429155</v>
      </c>
      <c r="AG87" s="164">
        <f>IF(AND($C86=12,$D86=Input!$C$6),0,IF($E87="","",(IF($B87&gt;Input!$C$9,$X87,0)+AG88)/(1+$L87)*$R87))</f>
        <v>512.24497153009042</v>
      </c>
      <c r="AH87" s="160">
        <f t="shared" si="26"/>
        <v>2.0950137211446997</v>
      </c>
      <c r="AI87" s="160">
        <f>IF($E87="","",MIN(Input!$C$61/AH87,1))</f>
        <v>0.64438718771845094</v>
      </c>
      <c r="AJ87" s="152"/>
      <c r="AK87" s="164">
        <f>IF(AND($C86=12,$D86=Input!$C$6),0,IF($E87="","",IF($B87&gt;Input!$C$9,$AC87*AI87,0)+AK88/(1+$L87)*$R87))</f>
        <v>691.53071156562225</v>
      </c>
      <c r="AL87" s="164">
        <f>IF(AND($C86=12,$D86=Input!$C$6),0,IF($E87="","",IF($B87&gt;Input!$C$9,0,$AC87)+AL88/(1+$L87)*$R87))</f>
        <v>1303.5687717100152</v>
      </c>
      <c r="AM87" s="160">
        <f t="shared" si="27"/>
        <v>1.1382936520186004</v>
      </c>
      <c r="AN87" s="164">
        <f>IF($E87="","",IF($B87&gt;Input!$C$9,$AI87*$AC87,$AM87*$AC87))</f>
        <v>0</v>
      </c>
      <c r="AO87" s="164">
        <f>IF(AND($C86=12,$D86=Input!$C$6),0,IF($E87="","",$AN87+AO88/(1+$L87)*$R87))</f>
        <v>2175.3747693728137</v>
      </c>
      <c r="AP87" s="152"/>
      <c r="AQ87" s="164">
        <f t="shared" si="28"/>
        <v>388.10053336077453</v>
      </c>
      <c r="AR87" s="164">
        <f t="shared" si="37"/>
        <v>425.16810279624139</v>
      </c>
      <c r="AS87" s="164">
        <f t="shared" si="38"/>
        <v>61.722488038277518</v>
      </c>
      <c r="AT87" s="164">
        <f t="shared" si="29"/>
        <v>425.16810279624139</v>
      </c>
      <c r="AU87" s="152"/>
      <c r="AV87" s="147">
        <f>'Deterministic Reserve'!BC87</f>
        <v>0.69364558822699496</v>
      </c>
      <c r="AW87" s="164">
        <f t="shared" si="30"/>
        <v>425.16810279624139</v>
      </c>
      <c r="AX87" s="164">
        <f t="shared" si="31"/>
        <v>294.91597875945433</v>
      </c>
      <c r="AY87" s="152"/>
    </row>
    <row r="88" spans="1:51" s="150" customFormat="1" x14ac:dyDescent="0.25">
      <c r="A88" s="150">
        <f t="shared" si="39"/>
        <v>84</v>
      </c>
      <c r="B88" s="150">
        <f t="shared" si="40"/>
        <v>7</v>
      </c>
      <c r="C88" s="150">
        <f t="shared" si="41"/>
        <v>12</v>
      </c>
      <c r="D88" s="150">
        <f>IF(E88="","",Input!$C$4+B88-1)</f>
        <v>51</v>
      </c>
      <c r="E88" s="150">
        <f>IF(OR(AND(C87=12,D87=Input!$C$6),E87=""),"",1)</f>
        <v>1</v>
      </c>
      <c r="F88" s="150">
        <f>IF(E88="","",Input!$C$8+B88-1)</f>
        <v>2024</v>
      </c>
      <c r="G88" s="151">
        <f>IF(E88="","",MAX(0,Input!$C$9-B88))</f>
        <v>13</v>
      </c>
      <c r="H88" s="152">
        <f>IF(E88="","",Input!$C$3)</f>
        <v>100000</v>
      </c>
      <c r="I88" s="153">
        <f>IF(E88="","",HLOOKUP($B88,Input!$C$13:$BT$14,2))</f>
        <v>2.2999999999999998</v>
      </c>
      <c r="J88" s="154"/>
      <c r="K88" s="155">
        <f>IF($E88="","",Input!$C$57)</f>
        <v>4.4999999999999998E-2</v>
      </c>
      <c r="L88" s="155">
        <f t="shared" si="32"/>
        <v>3.6748094004368514E-3</v>
      </c>
      <c r="M88" s="147">
        <f>IF($E88="","",VLOOKUP(IF($B88&lt;=Input!$C$7,$B88,26),'Mortality Tables'!$A$72:$CA$97,IF($B88&lt;=Input!$C$7+1,Input!$C$4-16,$D88-Input!$C$7-16),0)/1000)</f>
        <v>1.2900000000000001E-3</v>
      </c>
      <c r="N88" s="147">
        <f t="shared" si="21"/>
        <v>1.0756361180785934E-4</v>
      </c>
      <c r="O88" s="157">
        <f>IF($E88="","",IF($C88=12,IF($B88&lt;Input!$C$9,Input!$C$54,IF($B88=Input!$C$9,Input!$C$55,Input!$C$56)),0%))</f>
        <v>0.06</v>
      </c>
      <c r="P88" s="167">
        <f>IF($E88="","",IF($B88=1,Input!$C$59,IF($B88&lt;6,Input!$C$60,0%)))</f>
        <v>0</v>
      </c>
      <c r="Q88" s="162">
        <f>IF($E88="","",Input!$C$58)</f>
        <v>2.5</v>
      </c>
      <c r="R88" s="156">
        <f t="shared" si="33"/>
        <v>0.9398924363881922</v>
      </c>
      <c r="S88" s="154">
        <f t="shared" si="22"/>
        <v>0.64459852444620136</v>
      </c>
      <c r="T88" s="152"/>
      <c r="U88" s="150">
        <f t="shared" si="34"/>
        <v>0</v>
      </c>
      <c r="V88" s="150">
        <f t="shared" si="35"/>
        <v>0</v>
      </c>
      <c r="W88" s="168">
        <f t="shared" si="36"/>
        <v>0</v>
      </c>
      <c r="X88" s="163">
        <f t="shared" si="23"/>
        <v>10.756361180785934</v>
      </c>
      <c r="Y88" s="152"/>
      <c r="Z88" s="164">
        <f>IF(AND($C87=12,$D87=Input!$C$6),0,IF($E88="","",V88+Z89/(1+L88)*R88))</f>
        <v>2889.2587187929398</v>
      </c>
      <c r="AA88" s="164">
        <f>IF(OR($M88=1,AND($C87=12,$D87=Input!$C$6)),0,IF($E88="","",W88+(X88+AA89*$R88)/(1+$L88)))</f>
        <v>2562.4148472890001</v>
      </c>
      <c r="AB88" s="160">
        <f t="shared" si="24"/>
        <v>0.825720328500681</v>
      </c>
      <c r="AC88" s="164">
        <f t="shared" si="25"/>
        <v>0</v>
      </c>
      <c r="AD88" s="164">
        <f>IF(AND($C87=12,$D87=Input!$C$6),0,IF($E88="","",$AC88+AD89/(1+$L88)*$R88))</f>
        <v>2385.7196584051626</v>
      </c>
      <c r="AE88" s="152"/>
      <c r="AF88" s="164">
        <f>IF(AND($C87=12,$D87=Input!$C$6),0,IF($E88="","",IF($B88&gt;Input!$C$9,$AC88,0)+AF89/(1+$L88)*$R88))</f>
        <v>1077.2197729450206</v>
      </c>
      <c r="AG88" s="164">
        <f>IF(AND($C87=12,$D87=Input!$C$6),0,IF($E88="","",(IF($B88&gt;Input!$C$9,$X88,0)+AG89)/(1+$L88)*$R88))</f>
        <v>514.18268151314828</v>
      </c>
      <c r="AH88" s="160">
        <f t="shared" si="26"/>
        <v>2.0950137211446997</v>
      </c>
      <c r="AI88" s="160">
        <f>IF($E88="","",MIN(Input!$C$61/AH88,1))</f>
        <v>0.64438718771845094</v>
      </c>
      <c r="AJ88" s="152"/>
      <c r="AK88" s="164">
        <f>IF(AND($C87=12,$D87=Input!$C$6),0,IF($E88="","",IF($B88&gt;Input!$C$9,$AC88*AI88,0)+AK89/(1+$L88)*$R88))</f>
        <v>694.14662004275044</v>
      </c>
      <c r="AL88" s="164">
        <f>IF(AND($C87=12,$D87=Input!$C$6),0,IF($E88="","",IF($B88&gt;Input!$C$9,0,$AC88)+AL89/(1+$L88)*$R88))</f>
        <v>1308.4998854601415</v>
      </c>
      <c r="AM88" s="160">
        <f t="shared" si="27"/>
        <v>1.1382936520186004</v>
      </c>
      <c r="AN88" s="164">
        <f>IF($E88="","",IF($B88&gt;Input!$C$9,$AI88*$AC88,$AM88*$AC88))</f>
        <v>0</v>
      </c>
      <c r="AO88" s="164">
        <f>IF(AND($C87=12,$D87=Input!$C$6),0,IF($E88="","",$AN88+AO89/(1+$L88)*$R88))</f>
        <v>2183.6037333290924</v>
      </c>
      <c r="AP88" s="152"/>
      <c r="AQ88" s="164">
        <f t="shared" si="28"/>
        <v>378.81111395990774</v>
      </c>
      <c r="AR88" s="164">
        <f t="shared" si="37"/>
        <v>425.16810279624139</v>
      </c>
      <c r="AS88" s="164">
        <f t="shared" si="38"/>
        <v>61.722488038277518</v>
      </c>
      <c r="AT88" s="164">
        <f t="shared" si="29"/>
        <v>425.16810279624139</v>
      </c>
      <c r="AU88" s="152"/>
      <c r="AV88" s="147">
        <f>'Deterministic Reserve'!BC88</f>
        <v>0.65891392921489556</v>
      </c>
      <c r="AW88" s="164">
        <f t="shared" si="30"/>
        <v>425.16810279624139</v>
      </c>
      <c r="AX88" s="164">
        <f t="shared" si="31"/>
        <v>280.14918519031403</v>
      </c>
      <c r="AY88" s="152"/>
    </row>
    <row r="89" spans="1:51" s="150" customFormat="1" x14ac:dyDescent="0.25">
      <c r="A89" s="150">
        <f t="shared" si="39"/>
        <v>85</v>
      </c>
      <c r="B89" s="150">
        <f t="shared" si="40"/>
        <v>8</v>
      </c>
      <c r="C89" s="150">
        <f t="shared" si="41"/>
        <v>1</v>
      </c>
      <c r="D89" s="150">
        <f>IF(E89="","",Input!$C$4+B89-1)</f>
        <v>52</v>
      </c>
      <c r="E89" s="150">
        <f>IF(OR(AND(C88=12,D88=Input!$C$6),E88=""),"",1)</f>
        <v>1</v>
      </c>
      <c r="F89" s="150">
        <f>IF(E89="","",Input!$C$8+B89-1)</f>
        <v>2025</v>
      </c>
      <c r="G89" s="151">
        <f>IF(E89="","",MAX(0,Input!$C$9-B89))</f>
        <v>12</v>
      </c>
      <c r="H89" s="152">
        <f>IF(E89="","",Input!$C$3)</f>
        <v>100000</v>
      </c>
      <c r="I89" s="153">
        <f>IF(E89="","",HLOOKUP($B89,Input!$C$13:$BT$14,2))</f>
        <v>2.2999999999999998</v>
      </c>
      <c r="J89" s="154"/>
      <c r="K89" s="155">
        <f>IF($E89="","",Input!$C$57)</f>
        <v>4.4999999999999998E-2</v>
      </c>
      <c r="L89" s="155">
        <f t="shared" si="32"/>
        <v>3.6748094004368514E-3</v>
      </c>
      <c r="M89" s="147">
        <f>IF($E89="","",VLOOKUP(IF($B89&lt;=Input!$C$7,$B89,26),'Mortality Tables'!$A$72:$CA$97,IF($B89&lt;=Input!$C$7+1,Input!$C$4-16,$D89-Input!$C$7-16),0)/1000)</f>
        <v>1.5100000000000001E-3</v>
      </c>
      <c r="N89" s="147">
        <f t="shared" si="21"/>
        <v>1.2592050459359072E-4</v>
      </c>
      <c r="O89" s="157">
        <f>IF($E89="","",IF($C89=12,IF($B89&lt;Input!$C$9,Input!$C$54,IF($B89=Input!$C$9,Input!$C$55,Input!$C$56)),0%))</f>
        <v>0</v>
      </c>
      <c r="P89" s="167">
        <f>IF($E89="","",IF($B89=1,Input!$C$59,IF($B89&lt;6,Input!$C$60,0%)))</f>
        <v>0</v>
      </c>
      <c r="Q89" s="162">
        <f>IF($E89="","",Input!$C$58)</f>
        <v>2.5</v>
      </c>
      <c r="R89" s="156">
        <f t="shared" si="33"/>
        <v>0.99987407949540641</v>
      </c>
      <c r="S89" s="154">
        <f t="shared" si="22"/>
        <v>0.64451735627474283</v>
      </c>
      <c r="T89" s="152"/>
      <c r="U89" s="150">
        <f t="shared" si="34"/>
        <v>229.99999999999997</v>
      </c>
      <c r="V89" s="150">
        <f t="shared" si="35"/>
        <v>229.99999999999997</v>
      </c>
      <c r="W89" s="168">
        <f t="shared" si="36"/>
        <v>0</v>
      </c>
      <c r="X89" s="163">
        <f t="shared" si="23"/>
        <v>12.592050459359072</v>
      </c>
      <c r="Y89" s="152"/>
      <c r="Z89" s="164">
        <f>IF(AND($C88=12,$D88=Input!$C$6),0,IF($E89="","",V89+Z90/(1+L89)*R89))</f>
        <v>3085.3277264754515</v>
      </c>
      <c r="AA89" s="164">
        <f>IF(OR($M89=1,AND($C88=12,$D88=Input!$C$6)),0,IF($E89="","",W89+(X89+AA90*$R89)/(1+$L89)))</f>
        <v>2724.8595404369034</v>
      </c>
      <c r="AB89" s="160">
        <f t="shared" si="24"/>
        <v>0.825720328500681</v>
      </c>
      <c r="AC89" s="164">
        <f t="shared" si="25"/>
        <v>189.91567555515661</v>
      </c>
      <c r="AD89" s="164">
        <f>IF(AND($C88=12,$D88=Input!$C$6),0,IF($E89="","",$AC89+AD90/(1+$L89)*$R89))</f>
        <v>2547.6178238375692</v>
      </c>
      <c r="AE89" s="152"/>
      <c r="AF89" s="164">
        <f>IF(AND($C88=12,$D88=Input!$C$6),0,IF($E89="","",IF($B89&gt;Input!$C$9,$AC89,0)+AF90/(1+$L89)*$R89))</f>
        <v>1150.3213649082177</v>
      </c>
      <c r="AG89" s="164">
        <f>IF(AND($C88=12,$D88=Input!$C$6),0,IF($E89="","",(IF($B89&gt;Input!$C$9,$X89,0)+AG90)/(1+$L89)*$R89))</f>
        <v>549.07581430048629</v>
      </c>
      <c r="AH89" s="160">
        <f t="shared" si="26"/>
        <v>2.0950137211446997</v>
      </c>
      <c r="AI89" s="160">
        <f>IF($E89="","",MIN(Input!$C$61/AH89,1))</f>
        <v>0.64438718771845094</v>
      </c>
      <c r="AJ89" s="152"/>
      <c r="AK89" s="164">
        <f>IF(AND($C88=12,$D88=Input!$C$6),0,IF($E89="","",IF($B89&gt;Input!$C$9,$AC89*AI89,0)+AK90/(1+$L89)*$R89))</f>
        <v>741.25234930565682</v>
      </c>
      <c r="AL89" s="164">
        <f>IF(AND($C88=12,$D88=Input!$C$6),0,IF($E89="","",IF($B89&gt;Input!$C$9,0,$AC89)+AL90/(1+$L89)*$R89))</f>
        <v>1397.2964589293508</v>
      </c>
      <c r="AM89" s="160">
        <f t="shared" si="27"/>
        <v>1.1382936520186004</v>
      </c>
      <c r="AN89" s="164">
        <f>IF($E89="","",IF($B89&gt;Input!$C$9,$AI89*$AC89,$AM89*$AC89))</f>
        <v>216.17980790325885</v>
      </c>
      <c r="AO89" s="164">
        <f>IF(AND($C88=12,$D88=Input!$C$6),0,IF($E89="","",$AN89+AO90/(1+$L89)*$R89))</f>
        <v>2331.7860384930027</v>
      </c>
      <c r="AP89" s="152"/>
      <c r="AQ89" s="164">
        <f t="shared" si="28"/>
        <v>393.07350194390074</v>
      </c>
      <c r="AR89" s="164">
        <f t="shared" si="37"/>
        <v>544.50784992460785</v>
      </c>
      <c r="AS89" s="164">
        <f t="shared" si="38"/>
        <v>72.248803827751203</v>
      </c>
      <c r="AT89" s="164">
        <f t="shared" si="29"/>
        <v>544.50784992460785</v>
      </c>
      <c r="AU89" s="152"/>
      <c r="AV89" s="147">
        <f>'Deterministic Reserve'!BC89</f>
        <v>0.65885919144186411</v>
      </c>
      <c r="AW89" s="164">
        <f t="shared" si="30"/>
        <v>544.50784992460785</v>
      </c>
      <c r="AX89" s="164">
        <f t="shared" si="31"/>
        <v>358.75400173507501</v>
      </c>
      <c r="AY89" s="152"/>
    </row>
    <row r="90" spans="1:51" s="150" customFormat="1" x14ac:dyDescent="0.25">
      <c r="A90" s="150">
        <f t="shared" si="39"/>
        <v>86</v>
      </c>
      <c r="B90" s="150">
        <f t="shared" si="40"/>
        <v>8</v>
      </c>
      <c r="C90" s="150">
        <f t="shared" si="41"/>
        <v>2</v>
      </c>
      <c r="D90" s="150">
        <f>IF(E90="","",Input!$C$4+B90-1)</f>
        <v>52</v>
      </c>
      <c r="E90" s="150">
        <f>IF(OR(AND(C89=12,D89=Input!$C$6),E89=""),"",1)</f>
        <v>1</v>
      </c>
      <c r="F90" s="150">
        <f>IF(E90="","",Input!$C$8+B90-1)</f>
        <v>2025</v>
      </c>
      <c r="G90" s="151">
        <f>IF(E90="","",MAX(0,Input!$C$9-B90))</f>
        <v>12</v>
      </c>
      <c r="H90" s="152">
        <f>IF(E90="","",Input!$C$3)</f>
        <v>100000</v>
      </c>
      <c r="I90" s="153">
        <f>IF(E90="","",HLOOKUP($B90,Input!$C$13:$BT$14,2))</f>
        <v>2.2999999999999998</v>
      </c>
      <c r="J90" s="154"/>
      <c r="K90" s="155">
        <f>IF($E90="","",Input!$C$57)</f>
        <v>4.4999999999999998E-2</v>
      </c>
      <c r="L90" s="155">
        <f t="shared" si="32"/>
        <v>3.6748094004368514E-3</v>
      </c>
      <c r="M90" s="147">
        <f>IF($E90="","",VLOOKUP(IF($B90&lt;=Input!$C$7,$B90,26),'Mortality Tables'!$A$72:$CA$97,IF($B90&lt;=Input!$C$7+1,Input!$C$4-16,$D90-Input!$C$7-16),0)/1000)</f>
        <v>1.5100000000000001E-3</v>
      </c>
      <c r="N90" s="147">
        <f t="shared" si="21"/>
        <v>1.2592050459359072E-4</v>
      </c>
      <c r="O90" s="157">
        <f>IF($E90="","",IF($C90=12,IF($B90&lt;Input!$C$9,Input!$C$54,IF($B90=Input!$C$9,Input!$C$55,Input!$C$56)),0%))</f>
        <v>0</v>
      </c>
      <c r="P90" s="167">
        <f>IF($E90="","",IF($B90=1,Input!$C$59,IF($B90&lt;6,Input!$C$60,0%)))</f>
        <v>0</v>
      </c>
      <c r="Q90" s="162">
        <f>IF($E90="","",Input!$C$58)</f>
        <v>2.5</v>
      </c>
      <c r="R90" s="156">
        <f t="shared" si="33"/>
        <v>0.99987407949540641</v>
      </c>
      <c r="S90" s="154">
        <f t="shared" si="22"/>
        <v>0.64443619832402144</v>
      </c>
      <c r="T90" s="152"/>
      <c r="U90" s="150">
        <f t="shared" si="34"/>
        <v>0</v>
      </c>
      <c r="V90" s="150">
        <f t="shared" si="35"/>
        <v>0</v>
      </c>
      <c r="W90" s="168">
        <f t="shared" si="36"/>
        <v>0</v>
      </c>
      <c r="X90" s="163">
        <f t="shared" si="23"/>
        <v>12.592050459359072</v>
      </c>
      <c r="Y90" s="152"/>
      <c r="Z90" s="164">
        <f>IF(AND($C89=12,$D89=Input!$C$6),0,IF($E90="","",V90+Z91/(1+L90)*R90))</f>
        <v>2866.1814226570291</v>
      </c>
      <c r="AA90" s="164">
        <f>IF(OR($M90=1,AND($C89=12,$D89=Input!$C$6)),0,IF($E90="","",W90+(X90+AA91*$R90)/(1+$L90)))</f>
        <v>2722.6236635771479</v>
      </c>
      <c r="AB90" s="160">
        <f t="shared" si="24"/>
        <v>0.825720328500681</v>
      </c>
      <c r="AC90" s="164">
        <f t="shared" si="25"/>
        <v>0</v>
      </c>
      <c r="AD90" s="164">
        <f>IF(AND($C89=12,$D89=Input!$C$6),0,IF($E90="","",$AC90+AD91/(1+$L90)*$R90))</f>
        <v>2366.6642658589112</v>
      </c>
      <c r="AE90" s="152"/>
      <c r="AF90" s="164">
        <f>IF(AND($C89=12,$D89=Input!$C$6),0,IF($E90="","",IF($B90&gt;Input!$C$9,$AC90,0)+AF91/(1+$L90)*$R90))</f>
        <v>1154.6939763216553</v>
      </c>
      <c r="AG90" s="164">
        <f>IF(AND($C89=12,$D89=Input!$C$6),0,IF($E90="","",(IF($B90&gt;Input!$C$9,$X90,0)+AG91)/(1+$L90)*$R90))</f>
        <v>551.16296598322015</v>
      </c>
      <c r="AH90" s="160">
        <f t="shared" si="26"/>
        <v>2.0950137211446997</v>
      </c>
      <c r="AI90" s="160">
        <f>IF($E90="","",MIN(Input!$C$61/AH90,1))</f>
        <v>0.64438718771845094</v>
      </c>
      <c r="AJ90" s="152"/>
      <c r="AK90" s="164">
        <f>IF(AND($C89=12,$D89=Input!$C$6),0,IF($E90="","",IF($B90&gt;Input!$C$9,$AC90*AI90,0)+AK91/(1+$L90)*$R90))</f>
        <v>744.07000407734756</v>
      </c>
      <c r="AL90" s="164">
        <f>IF(AND($C89=12,$D89=Input!$C$6),0,IF($E90="","",IF($B90&gt;Input!$C$9,0,$AC90)+AL91/(1+$L90)*$R90))</f>
        <v>1211.9702895372554</v>
      </c>
      <c r="AM90" s="160">
        <f t="shared" si="27"/>
        <v>1.1382936520186004</v>
      </c>
      <c r="AN90" s="164">
        <f>IF($E90="","",IF($B90&gt;Input!$C$9,$AI90*$AC90,$AM90*$AC90))</f>
        <v>0</v>
      </c>
      <c r="AO90" s="164">
        <f>IF(AND($C89=12,$D89=Input!$C$6),0,IF($E90="","",$AN90+AO91/(1+$L90)*$R90))</f>
        <v>2123.6480910927476</v>
      </c>
      <c r="AP90" s="152"/>
      <c r="AQ90" s="164">
        <f t="shared" si="28"/>
        <v>598.97557248440035</v>
      </c>
      <c r="AR90" s="164">
        <f t="shared" si="37"/>
        <v>544.50784992460785</v>
      </c>
      <c r="AS90" s="164">
        <f t="shared" si="38"/>
        <v>72.248803827751203</v>
      </c>
      <c r="AT90" s="164">
        <f t="shared" si="29"/>
        <v>544.50784992460785</v>
      </c>
      <c r="AU90" s="152"/>
      <c r="AV90" s="147">
        <f>'Deterministic Reserve'!BC90</f>
        <v>0.65880445821604838</v>
      </c>
      <c r="AW90" s="164">
        <f t="shared" si="30"/>
        <v>544.50784992460785</v>
      </c>
      <c r="AX90" s="164">
        <f t="shared" si="31"/>
        <v>358.72419906396664</v>
      </c>
      <c r="AY90" s="152"/>
    </row>
    <row r="91" spans="1:51" s="150" customFormat="1" x14ac:dyDescent="0.25">
      <c r="A91" s="150">
        <f t="shared" si="39"/>
        <v>87</v>
      </c>
      <c r="B91" s="150">
        <f t="shared" si="40"/>
        <v>8</v>
      </c>
      <c r="C91" s="150">
        <f t="shared" si="41"/>
        <v>3</v>
      </c>
      <c r="D91" s="150">
        <f>IF(E91="","",Input!$C$4+B91-1)</f>
        <v>52</v>
      </c>
      <c r="E91" s="150">
        <f>IF(OR(AND(C90=12,D90=Input!$C$6),E90=""),"",1)</f>
        <v>1</v>
      </c>
      <c r="F91" s="150">
        <f>IF(E91="","",Input!$C$8+B91-1)</f>
        <v>2025</v>
      </c>
      <c r="G91" s="151">
        <f>IF(E91="","",MAX(0,Input!$C$9-B91))</f>
        <v>12</v>
      </c>
      <c r="H91" s="152">
        <f>IF(E91="","",Input!$C$3)</f>
        <v>100000</v>
      </c>
      <c r="I91" s="153">
        <f>IF(E91="","",HLOOKUP($B91,Input!$C$13:$BT$14,2))</f>
        <v>2.2999999999999998</v>
      </c>
      <c r="J91" s="154"/>
      <c r="K91" s="155">
        <f>IF($E91="","",Input!$C$57)</f>
        <v>4.4999999999999998E-2</v>
      </c>
      <c r="L91" s="155">
        <f t="shared" si="32"/>
        <v>3.6748094004368514E-3</v>
      </c>
      <c r="M91" s="147">
        <f>IF($E91="","",VLOOKUP(IF($B91&lt;=Input!$C$7,$B91,26),'Mortality Tables'!$A$72:$CA$97,IF($B91&lt;=Input!$C$7+1,Input!$C$4-16,$D91-Input!$C$7-16),0)/1000)</f>
        <v>1.5100000000000001E-3</v>
      </c>
      <c r="N91" s="147">
        <f t="shared" si="21"/>
        <v>1.2592050459359072E-4</v>
      </c>
      <c r="O91" s="157">
        <f>IF($E91="","",IF($C91=12,IF($B91&lt;Input!$C$9,Input!$C$54,IF($B91=Input!$C$9,Input!$C$55,Input!$C$56)),0%))</f>
        <v>0</v>
      </c>
      <c r="P91" s="167">
        <f>IF($E91="","",IF($B91=1,Input!$C$59,IF($B91&lt;6,Input!$C$60,0%)))</f>
        <v>0</v>
      </c>
      <c r="Q91" s="162">
        <f>IF($E91="","",Input!$C$58)</f>
        <v>2.5</v>
      </c>
      <c r="R91" s="156">
        <f t="shared" si="33"/>
        <v>0.99987407949540641</v>
      </c>
      <c r="S91" s="154">
        <f t="shared" si="22"/>
        <v>0.64435505059275011</v>
      </c>
      <c r="T91" s="152"/>
      <c r="U91" s="150">
        <f t="shared" si="34"/>
        <v>0</v>
      </c>
      <c r="V91" s="150">
        <f t="shared" si="35"/>
        <v>0</v>
      </c>
      <c r="W91" s="168">
        <f t="shared" si="36"/>
        <v>0</v>
      </c>
      <c r="X91" s="163">
        <f t="shared" si="23"/>
        <v>12.592050459359072</v>
      </c>
      <c r="Y91" s="152"/>
      <c r="Z91" s="164">
        <f>IF(AND($C90=12,$D90=Input!$C$6),0,IF($E91="","",V91+Z92/(1+L91)*R91))</f>
        <v>2877.076376001387</v>
      </c>
      <c r="AA91" s="164">
        <f>IF(OR($M91=1,AND($C90=12,$D90=Input!$C$6)),0,IF($E91="","",W91+(X91+AA92*$R91)/(1+$L91)))</f>
        <v>2720.3792876831449</v>
      </c>
      <c r="AB91" s="160">
        <f t="shared" si="24"/>
        <v>0.825720328500681</v>
      </c>
      <c r="AC91" s="164">
        <f t="shared" si="25"/>
        <v>0</v>
      </c>
      <c r="AD91" s="164">
        <f>IF(AND($C90=12,$D90=Input!$C$6),0,IF($E91="","",$AC91+AD92/(1+$L91)*$R91))</f>
        <v>2375.660450313414</v>
      </c>
      <c r="AE91" s="152"/>
      <c r="AF91" s="164">
        <f>IF(AND($C90=12,$D90=Input!$C$6),0,IF($E91="","",IF($B91&gt;Input!$C$9,$AC91,0)+AF92/(1+$L91)*$R91))</f>
        <v>1159.083208943006</v>
      </c>
      <c r="AG91" s="164">
        <f>IF(AND($C90=12,$D90=Input!$C$6),0,IF($E91="","",(IF($B91&gt;Input!$C$9,$X91,0)+AG92)/(1+$L91)*$R91))</f>
        <v>553.25805136478618</v>
      </c>
      <c r="AH91" s="160">
        <f t="shared" si="26"/>
        <v>2.0950137211446997</v>
      </c>
      <c r="AI91" s="160">
        <f>IF($E91="","",MIN(Input!$C$61/AH91,1))</f>
        <v>0.64438718771845094</v>
      </c>
      <c r="AJ91" s="152"/>
      <c r="AK91" s="164">
        <f>IF(AND($C90=12,$D90=Input!$C$6),0,IF($E91="","",IF($B91&gt;Input!$C$9,$AC91*AI91,0)+AK92/(1+$L91)*$R91))</f>
        <v>746.89836934246182</v>
      </c>
      <c r="AL91" s="164">
        <f>IF(AND($C90=12,$D90=Input!$C$6),0,IF($E91="","",IF($B91&gt;Input!$C$9,0,$AC91)+AL92/(1+$L91)*$R91))</f>
        <v>1216.5772413704076</v>
      </c>
      <c r="AM91" s="160">
        <f t="shared" si="27"/>
        <v>1.1382936520186004</v>
      </c>
      <c r="AN91" s="164">
        <f>IF($E91="","",IF($B91&gt;Input!$C$9,$AI91*$AC91,$AM91*$AC91))</f>
        <v>0</v>
      </c>
      <c r="AO91" s="164">
        <f>IF(AND($C90=12,$D90=Input!$C$6),0,IF($E91="","",$AN91+AO92/(1+$L91)*$R91))</f>
        <v>2131.7205203846947</v>
      </c>
      <c r="AP91" s="152"/>
      <c r="AQ91" s="164">
        <f t="shared" si="28"/>
        <v>588.65876729845013</v>
      </c>
      <c r="AR91" s="164">
        <f t="shared" si="37"/>
        <v>544.50784992460785</v>
      </c>
      <c r="AS91" s="164">
        <f t="shared" si="38"/>
        <v>72.248803827751203</v>
      </c>
      <c r="AT91" s="164">
        <f t="shared" si="29"/>
        <v>544.50784992460785</v>
      </c>
      <c r="AU91" s="152"/>
      <c r="AV91" s="147">
        <f>'Deterministic Reserve'!BC91</f>
        <v>0.65874972953707067</v>
      </c>
      <c r="AW91" s="164">
        <f t="shared" si="30"/>
        <v>544.50784992460785</v>
      </c>
      <c r="AX91" s="164">
        <f t="shared" si="31"/>
        <v>358.69439886864728</v>
      </c>
      <c r="AY91" s="152"/>
    </row>
    <row r="92" spans="1:51" s="150" customFormat="1" x14ac:dyDescent="0.25">
      <c r="A92" s="150">
        <f t="shared" si="39"/>
        <v>88</v>
      </c>
      <c r="B92" s="150">
        <f t="shared" si="40"/>
        <v>8</v>
      </c>
      <c r="C92" s="150">
        <f t="shared" si="41"/>
        <v>4</v>
      </c>
      <c r="D92" s="150">
        <f>IF(E92="","",Input!$C$4+B92-1)</f>
        <v>52</v>
      </c>
      <c r="E92" s="150">
        <f>IF(OR(AND(C91=12,D91=Input!$C$6),E91=""),"",1)</f>
        <v>1</v>
      </c>
      <c r="F92" s="150">
        <f>IF(E92="","",Input!$C$8+B92-1)</f>
        <v>2025</v>
      </c>
      <c r="G92" s="151">
        <f>IF(E92="","",MAX(0,Input!$C$9-B92))</f>
        <v>12</v>
      </c>
      <c r="H92" s="152">
        <f>IF(E92="","",Input!$C$3)</f>
        <v>100000</v>
      </c>
      <c r="I92" s="153">
        <f>IF(E92="","",HLOOKUP($B92,Input!$C$13:$BT$14,2))</f>
        <v>2.2999999999999998</v>
      </c>
      <c r="J92" s="154"/>
      <c r="K92" s="155">
        <f>IF($E92="","",Input!$C$57)</f>
        <v>4.4999999999999998E-2</v>
      </c>
      <c r="L92" s="155">
        <f t="shared" si="32"/>
        <v>3.6748094004368514E-3</v>
      </c>
      <c r="M92" s="147">
        <f>IF($E92="","",VLOOKUP(IF($B92&lt;=Input!$C$7,$B92,26),'Mortality Tables'!$A$72:$CA$97,IF($B92&lt;=Input!$C$7+1,Input!$C$4-16,$D92-Input!$C$7-16),0)/1000)</f>
        <v>1.5100000000000001E-3</v>
      </c>
      <c r="N92" s="147">
        <f t="shared" si="21"/>
        <v>1.2592050459359072E-4</v>
      </c>
      <c r="O92" s="157">
        <f>IF($E92="","",IF($C92=12,IF($B92&lt;Input!$C$9,Input!$C$54,IF($B92=Input!$C$9,Input!$C$55,Input!$C$56)),0%))</f>
        <v>0</v>
      </c>
      <c r="P92" s="167">
        <f>IF($E92="","",IF($B92=1,Input!$C$59,IF($B92&lt;6,Input!$C$60,0%)))</f>
        <v>0</v>
      </c>
      <c r="Q92" s="162">
        <f>IF($E92="","",Input!$C$58)</f>
        <v>2.5</v>
      </c>
      <c r="R92" s="156">
        <f t="shared" si="33"/>
        <v>0.99987407949540641</v>
      </c>
      <c r="S92" s="154">
        <f t="shared" si="22"/>
        <v>0.64427391307964199</v>
      </c>
      <c r="T92" s="152"/>
      <c r="U92" s="150">
        <f t="shared" si="34"/>
        <v>0</v>
      </c>
      <c r="V92" s="150">
        <f t="shared" si="35"/>
        <v>0</v>
      </c>
      <c r="W92" s="168">
        <f t="shared" si="36"/>
        <v>0</v>
      </c>
      <c r="X92" s="163">
        <f t="shared" si="23"/>
        <v>12.592050459359072</v>
      </c>
      <c r="Y92" s="152"/>
      <c r="Z92" s="164">
        <f>IF(AND($C91=12,$D91=Input!$C$6),0,IF($E92="","",V92+Z93/(1+L92)*R92))</f>
        <v>2888.0127433356051</v>
      </c>
      <c r="AA92" s="164">
        <f>IF(OR($M92=1,AND($C91=12,$D91=Input!$C$6)),0,IF($E92="","",W92+(X92+AA93*$R92)/(1+$L92)))</f>
        <v>2718.1263804482928</v>
      </c>
      <c r="AB92" s="160">
        <f t="shared" si="24"/>
        <v>0.825720328500681</v>
      </c>
      <c r="AC92" s="164">
        <f t="shared" si="25"/>
        <v>0</v>
      </c>
      <c r="AD92" s="164">
        <f>IF(AND($C91=12,$D91=Input!$C$6),0,IF($E92="","",$AC92+AD93/(1+$L92)*$R92))</f>
        <v>2384.6908311412285</v>
      </c>
      <c r="AE92" s="152"/>
      <c r="AF92" s="164">
        <f>IF(AND($C91=12,$D91=Input!$C$6),0,IF($E92="","",IF($B92&gt;Input!$C$9,$AC92,0)+AF93/(1+$L92)*$R92))</f>
        <v>1163.4891259529475</v>
      </c>
      <c r="AG92" s="164">
        <f>IF(AND($C91=12,$D91=Input!$C$6),0,IF($E92="","",(IF($B92&gt;Input!$C$9,$X92,0)+AG93)/(1+$L92)*$R92))</f>
        <v>555.36110060282851</v>
      </c>
      <c r="AH92" s="160">
        <f t="shared" si="26"/>
        <v>2.0950137211446997</v>
      </c>
      <c r="AI92" s="160">
        <f>IF($E92="","",MIN(Input!$C$61/AH92,1))</f>
        <v>0.64438718771845094</v>
      </c>
      <c r="AJ92" s="152"/>
      <c r="AK92" s="164">
        <f>IF(AND($C91=12,$D91=Input!$C$6),0,IF($E92="","",IF($B92&gt;Input!$C$9,$AC92*AI92,0)+AK93/(1+$L92)*$R92))</f>
        <v>749.73748581381881</v>
      </c>
      <c r="AL92" s="164">
        <f>IF(AND($C91=12,$D91=Input!$C$6),0,IF($E92="","",IF($B92&gt;Input!$C$9,0,$AC92)+AL93/(1+$L92)*$R92))</f>
        <v>1221.201705188281</v>
      </c>
      <c r="AM92" s="160">
        <f t="shared" si="27"/>
        <v>1.1382936520186004</v>
      </c>
      <c r="AN92" s="164">
        <f>IF($E92="","",IF($B92&gt;Input!$C$9,$AI92*$AC92,$AM92*$AC92))</f>
        <v>0</v>
      </c>
      <c r="AO92" s="164">
        <f>IF(AND($C91=12,$D91=Input!$C$6),0,IF($E92="","",$AN92+AO93/(1+$L92)*$R92))</f>
        <v>2139.8236346639269</v>
      </c>
      <c r="AP92" s="152"/>
      <c r="AQ92" s="164">
        <f t="shared" si="28"/>
        <v>578.30274578436592</v>
      </c>
      <c r="AR92" s="164">
        <f t="shared" si="37"/>
        <v>544.50784992460785</v>
      </c>
      <c r="AS92" s="164">
        <f t="shared" si="38"/>
        <v>72.248803827751203</v>
      </c>
      <c r="AT92" s="164">
        <f t="shared" si="29"/>
        <v>544.50784992460785</v>
      </c>
      <c r="AU92" s="152"/>
      <c r="AV92" s="147">
        <f>'Deterministic Reserve'!BC92</f>
        <v>0.65869500540455317</v>
      </c>
      <c r="AW92" s="164">
        <f t="shared" si="30"/>
        <v>544.50784992460785</v>
      </c>
      <c r="AX92" s="164">
        <f t="shared" si="31"/>
        <v>358.66460114891117</v>
      </c>
      <c r="AY92" s="152"/>
    </row>
    <row r="93" spans="1:51" s="150" customFormat="1" x14ac:dyDescent="0.25">
      <c r="A93" s="150">
        <f t="shared" si="39"/>
        <v>89</v>
      </c>
      <c r="B93" s="150">
        <f t="shared" si="40"/>
        <v>8</v>
      </c>
      <c r="C93" s="150">
        <f t="shared" si="41"/>
        <v>5</v>
      </c>
      <c r="D93" s="150">
        <f>IF(E93="","",Input!$C$4+B93-1)</f>
        <v>52</v>
      </c>
      <c r="E93" s="150">
        <f>IF(OR(AND(C92=12,D92=Input!$C$6),E92=""),"",1)</f>
        <v>1</v>
      </c>
      <c r="F93" s="150">
        <f>IF(E93="","",Input!$C$8+B93-1)</f>
        <v>2025</v>
      </c>
      <c r="G93" s="151">
        <f>IF(E93="","",MAX(0,Input!$C$9-B93))</f>
        <v>12</v>
      </c>
      <c r="H93" s="152">
        <f>IF(E93="","",Input!$C$3)</f>
        <v>100000</v>
      </c>
      <c r="I93" s="153">
        <f>IF(E93="","",HLOOKUP($B93,Input!$C$13:$BT$14,2))</f>
        <v>2.2999999999999998</v>
      </c>
      <c r="J93" s="154"/>
      <c r="K93" s="155">
        <f>IF($E93="","",Input!$C$57)</f>
        <v>4.4999999999999998E-2</v>
      </c>
      <c r="L93" s="155">
        <f t="shared" si="32"/>
        <v>3.6748094004368514E-3</v>
      </c>
      <c r="M93" s="147">
        <f>IF($E93="","",VLOOKUP(IF($B93&lt;=Input!$C$7,$B93,26),'Mortality Tables'!$A$72:$CA$97,IF($B93&lt;=Input!$C$7+1,Input!$C$4-16,$D93-Input!$C$7-16),0)/1000)</f>
        <v>1.5100000000000001E-3</v>
      </c>
      <c r="N93" s="147">
        <f t="shared" si="21"/>
        <v>1.2592050459359072E-4</v>
      </c>
      <c r="O93" s="157">
        <f>IF($E93="","",IF($C93=12,IF($B93&lt;Input!$C$9,Input!$C$54,IF($B93=Input!$C$9,Input!$C$55,Input!$C$56)),0%))</f>
        <v>0</v>
      </c>
      <c r="P93" s="167">
        <f>IF($E93="","",IF($B93=1,Input!$C$59,IF($B93&lt;6,Input!$C$60,0%)))</f>
        <v>0</v>
      </c>
      <c r="Q93" s="162">
        <f>IF($E93="","",Input!$C$58)</f>
        <v>2.5</v>
      </c>
      <c r="R93" s="156">
        <f t="shared" si="33"/>
        <v>0.99987407949540641</v>
      </c>
      <c r="S93" s="154">
        <f t="shared" si="22"/>
        <v>0.64419278578341055</v>
      </c>
      <c r="T93" s="152"/>
      <c r="U93" s="150">
        <f t="shared" si="34"/>
        <v>0</v>
      </c>
      <c r="V93" s="150">
        <f t="shared" si="35"/>
        <v>0</v>
      </c>
      <c r="W93" s="168">
        <f t="shared" si="36"/>
        <v>0</v>
      </c>
      <c r="X93" s="163">
        <f t="shared" si="23"/>
        <v>12.592050459359072</v>
      </c>
      <c r="Y93" s="152"/>
      <c r="Z93" s="164">
        <f>IF(AND($C92=12,$D92=Input!$C$6),0,IF($E93="","",V93+Z94/(1+L93)*R93))</f>
        <v>2898.990682082896</v>
      </c>
      <c r="AA93" s="164">
        <f>IF(OR($M93=1,AND($C92=12,$D92=Input!$C$6)),0,IF($E93="","",W93+(X93+AA94*$R93)/(1+$L93)))</f>
        <v>2715.8649094431858</v>
      </c>
      <c r="AB93" s="160">
        <f t="shared" si="24"/>
        <v>0.825720328500681</v>
      </c>
      <c r="AC93" s="164">
        <f t="shared" si="25"/>
        <v>0</v>
      </c>
      <c r="AD93" s="164">
        <f>IF(AND($C92=12,$D92=Input!$C$6),0,IF($E93="","",$AC93+AD94/(1+$L93)*$R93))</f>
        <v>2393.7555383299018</v>
      </c>
      <c r="AE93" s="152"/>
      <c r="AF93" s="164">
        <f>IF(AND($C92=12,$D92=Input!$C$6),0,IF($E93="","",IF($B93&gt;Input!$C$9,$AC93,0)+AF94/(1+$L93)*$R93))</f>
        <v>1167.9117907723203</v>
      </c>
      <c r="AG93" s="164">
        <f>IF(AND($C92=12,$D92=Input!$C$6),0,IF($E93="","",(IF($B93&gt;Input!$C$9,$X93,0)+AG94)/(1+$L93)*$R93))</f>
        <v>557.47214396962625</v>
      </c>
      <c r="AH93" s="160">
        <f t="shared" si="26"/>
        <v>2.0950137211446997</v>
      </c>
      <c r="AI93" s="160">
        <f>IF($E93="","",MIN(Input!$C$61/AH93,1))</f>
        <v>0.64438718771845094</v>
      </c>
      <c r="AJ93" s="152"/>
      <c r="AK93" s="164">
        <f>IF(AND($C92=12,$D92=Input!$C$6),0,IF($E93="","",IF($B93&gt;Input!$C$9,$AC93*AI93,0)+AK94/(1+$L93)*$R93))</f>
        <v>752.58739435899577</v>
      </c>
      <c r="AL93" s="164">
        <f>IF(AND($C92=12,$D92=Input!$C$6),0,IF($E93="","",IF($B93&gt;Input!$C$9,0,$AC93)+AL94/(1+$L93)*$R93))</f>
        <v>1225.8437475575818</v>
      </c>
      <c r="AM93" s="160">
        <f t="shared" si="27"/>
        <v>1.1382936520186004</v>
      </c>
      <c r="AN93" s="164">
        <f>IF($E93="","",IF($B93&gt;Input!$C$9,$AI93*$AC93,$AM93*$AC93))</f>
        <v>0</v>
      </c>
      <c r="AO93" s="164">
        <f>IF(AND($C92=12,$D92=Input!$C$6),0,IF($E93="","",$AN93+AO94/(1+$L93)*$R93))</f>
        <v>2147.9575505704806</v>
      </c>
      <c r="AP93" s="152"/>
      <c r="AQ93" s="164">
        <f t="shared" si="28"/>
        <v>567.90735887270512</v>
      </c>
      <c r="AR93" s="164">
        <f t="shared" si="37"/>
        <v>544.50784992460785</v>
      </c>
      <c r="AS93" s="164">
        <f t="shared" si="38"/>
        <v>72.248803827751203</v>
      </c>
      <c r="AT93" s="164">
        <f t="shared" si="29"/>
        <v>544.50784992460785</v>
      </c>
      <c r="AU93" s="152"/>
      <c r="AV93" s="147">
        <f>'Deterministic Reserve'!BC93</f>
        <v>0.65864028581811829</v>
      </c>
      <c r="AW93" s="164">
        <f t="shared" si="30"/>
        <v>544.50784992460785</v>
      </c>
      <c r="AX93" s="164">
        <f t="shared" si="31"/>
        <v>358.63480590455276</v>
      </c>
      <c r="AY93" s="152"/>
    </row>
    <row r="94" spans="1:51" s="150" customFormat="1" x14ac:dyDescent="0.25">
      <c r="A94" s="150">
        <f t="shared" si="39"/>
        <v>90</v>
      </c>
      <c r="B94" s="150">
        <f t="shared" si="40"/>
        <v>8</v>
      </c>
      <c r="C94" s="150">
        <f t="shared" si="41"/>
        <v>6</v>
      </c>
      <c r="D94" s="150">
        <f>IF(E94="","",Input!$C$4+B94-1)</f>
        <v>52</v>
      </c>
      <c r="E94" s="150">
        <f>IF(OR(AND(C93=12,D93=Input!$C$6),E93=""),"",1)</f>
        <v>1</v>
      </c>
      <c r="F94" s="150">
        <f>IF(E94="","",Input!$C$8+B94-1)</f>
        <v>2025</v>
      </c>
      <c r="G94" s="151">
        <f>IF(E94="","",MAX(0,Input!$C$9-B94))</f>
        <v>12</v>
      </c>
      <c r="H94" s="152">
        <f>IF(E94="","",Input!$C$3)</f>
        <v>100000</v>
      </c>
      <c r="I94" s="153">
        <f>IF(E94="","",HLOOKUP($B94,Input!$C$13:$BT$14,2))</f>
        <v>2.2999999999999998</v>
      </c>
      <c r="J94" s="154"/>
      <c r="K94" s="155">
        <f>IF($E94="","",Input!$C$57)</f>
        <v>4.4999999999999998E-2</v>
      </c>
      <c r="L94" s="155">
        <f t="shared" si="32"/>
        <v>3.6748094004368514E-3</v>
      </c>
      <c r="M94" s="147">
        <f>IF($E94="","",VLOOKUP(IF($B94&lt;=Input!$C$7,$B94,26),'Mortality Tables'!$A$72:$CA$97,IF($B94&lt;=Input!$C$7+1,Input!$C$4-16,$D94-Input!$C$7-16),0)/1000)</f>
        <v>1.5100000000000001E-3</v>
      </c>
      <c r="N94" s="147">
        <f t="shared" si="21"/>
        <v>1.2592050459359072E-4</v>
      </c>
      <c r="O94" s="157">
        <f>IF($E94="","",IF($C94=12,IF($B94&lt;Input!$C$9,Input!$C$54,IF($B94=Input!$C$9,Input!$C$55,Input!$C$56)),0%))</f>
        <v>0</v>
      </c>
      <c r="P94" s="167">
        <f>IF($E94="","",IF($B94=1,Input!$C$59,IF($B94&lt;6,Input!$C$60,0%)))</f>
        <v>0</v>
      </c>
      <c r="Q94" s="162">
        <f>IF($E94="","",Input!$C$58)</f>
        <v>2.5</v>
      </c>
      <c r="R94" s="156">
        <f t="shared" si="33"/>
        <v>0.99987407949540641</v>
      </c>
      <c r="S94" s="154">
        <f t="shared" si="22"/>
        <v>0.64411166870276915</v>
      </c>
      <c r="T94" s="152"/>
      <c r="U94" s="150">
        <f t="shared" si="34"/>
        <v>0</v>
      </c>
      <c r="V94" s="150">
        <f t="shared" si="35"/>
        <v>0</v>
      </c>
      <c r="W94" s="168">
        <f t="shared" si="36"/>
        <v>0</v>
      </c>
      <c r="X94" s="163">
        <f t="shared" si="23"/>
        <v>12.592050459359072</v>
      </c>
      <c r="Y94" s="152"/>
      <c r="Z94" s="164">
        <f>IF(AND($C93=12,$D93=Input!$C$6),0,IF($E94="","",V94+Z95/(1+L94)*R94))</f>
        <v>2910.0103502648708</v>
      </c>
      <c r="AA94" s="164">
        <f>IF(OR($M94=1,AND($C93=12,$D93=Input!$C$6)),0,IF($E94="","",W94+(X94+AA95*$R94)/(1+$L94)))</f>
        <v>2713.594842115147</v>
      </c>
      <c r="AB94" s="160">
        <f t="shared" si="24"/>
        <v>0.825720328500681</v>
      </c>
      <c r="AC94" s="164">
        <f t="shared" si="25"/>
        <v>0</v>
      </c>
      <c r="AD94" s="164">
        <f>IF(AND($C93=12,$D93=Input!$C$6),0,IF($E94="","",$AC94+AD95/(1+$L94)*$R94))</f>
        <v>2402.8547023610904</v>
      </c>
      <c r="AE94" s="152"/>
      <c r="AF94" s="164">
        <f>IF(AND($C93=12,$D93=Input!$C$6),0,IF($E94="","",IF($B94&gt;Input!$C$9,$AC94,0)+AF95/(1+$L94)*$R94))</f>
        <v>1172.351267063041</v>
      </c>
      <c r="AG94" s="164">
        <f>IF(AND($C93=12,$D93=Input!$C$6),0,IF($E94="","",(IF($B94&gt;Input!$C$9,$X94,0)+AG95)/(1+$L94)*$R94))</f>
        <v>559.59121185253014</v>
      </c>
      <c r="AH94" s="160">
        <f t="shared" si="26"/>
        <v>2.0950137211446997</v>
      </c>
      <c r="AI94" s="160">
        <f>IF($E94="","",MIN(Input!$C$61/AH94,1))</f>
        <v>0.64438718771845094</v>
      </c>
      <c r="AJ94" s="152"/>
      <c r="AK94" s="164">
        <f>IF(AND($C93=12,$D93=Input!$C$6),0,IF($E94="","",IF($B94&gt;Input!$C$9,$AC94*AI94,0)+AK95/(1+$L94)*$R94))</f>
        <v>755.44813600091607</v>
      </c>
      <c r="AL94" s="164">
        <f>IF(AND($C93=12,$D93=Input!$C$6),0,IF($E94="","",IF($B94&gt;Input!$C$9,0,$AC94)+AL95/(1+$L94)*$R94))</f>
        <v>1230.5034352980499</v>
      </c>
      <c r="AM94" s="160">
        <f t="shared" si="27"/>
        <v>1.1382936520186004</v>
      </c>
      <c r="AN94" s="164">
        <f>IF($E94="","",IF($B94&gt;Input!$C$9,$AI94*$AC94,$AM94*$AC94))</f>
        <v>0</v>
      </c>
      <c r="AO94" s="164">
        <f>IF(AND($C93=12,$D93=Input!$C$6),0,IF($E94="","",$AN94+AO95/(1+$L94)*$R94))</f>
        <v>2156.1223851877648</v>
      </c>
      <c r="AP94" s="152"/>
      <c r="AQ94" s="164">
        <f t="shared" si="28"/>
        <v>557.47245692738215</v>
      </c>
      <c r="AR94" s="164">
        <f t="shared" si="37"/>
        <v>544.50784992460785</v>
      </c>
      <c r="AS94" s="164">
        <f t="shared" si="38"/>
        <v>72.248803827751203</v>
      </c>
      <c r="AT94" s="164">
        <f t="shared" si="29"/>
        <v>544.50784992460785</v>
      </c>
      <c r="AU94" s="152"/>
      <c r="AV94" s="147">
        <f>'Deterministic Reserve'!BC94</f>
        <v>0.65858557077738833</v>
      </c>
      <c r="AW94" s="164">
        <f t="shared" si="30"/>
        <v>544.50784992460785</v>
      </c>
      <c r="AX94" s="164">
        <f t="shared" si="31"/>
        <v>358.60501313536639</v>
      </c>
      <c r="AY94" s="152"/>
    </row>
    <row r="95" spans="1:51" s="150" customFormat="1" x14ac:dyDescent="0.25">
      <c r="A95" s="150">
        <f t="shared" si="39"/>
        <v>91</v>
      </c>
      <c r="B95" s="150">
        <f t="shared" si="40"/>
        <v>8</v>
      </c>
      <c r="C95" s="150">
        <f t="shared" si="41"/>
        <v>7</v>
      </c>
      <c r="D95" s="150">
        <f>IF(E95="","",Input!$C$4+B95-1)</f>
        <v>52</v>
      </c>
      <c r="E95" s="150">
        <f>IF(OR(AND(C94=12,D94=Input!$C$6),E94=""),"",1)</f>
        <v>1</v>
      </c>
      <c r="F95" s="150">
        <f>IF(E95="","",Input!$C$8+B95-1)</f>
        <v>2025</v>
      </c>
      <c r="G95" s="151">
        <f>IF(E95="","",MAX(0,Input!$C$9-B95))</f>
        <v>12</v>
      </c>
      <c r="H95" s="152">
        <f>IF(E95="","",Input!$C$3)</f>
        <v>100000</v>
      </c>
      <c r="I95" s="153">
        <f>IF(E95="","",HLOOKUP($B95,Input!$C$13:$BT$14,2))</f>
        <v>2.2999999999999998</v>
      </c>
      <c r="J95" s="154"/>
      <c r="K95" s="155">
        <f>IF($E95="","",Input!$C$57)</f>
        <v>4.4999999999999998E-2</v>
      </c>
      <c r="L95" s="155">
        <f t="shared" si="32"/>
        <v>3.6748094004368514E-3</v>
      </c>
      <c r="M95" s="147">
        <f>IF($E95="","",VLOOKUP(IF($B95&lt;=Input!$C$7,$B95,26),'Mortality Tables'!$A$72:$CA$97,IF($B95&lt;=Input!$C$7+1,Input!$C$4-16,$D95-Input!$C$7-16),0)/1000)</f>
        <v>1.5100000000000001E-3</v>
      </c>
      <c r="N95" s="147">
        <f t="shared" si="21"/>
        <v>1.2592050459359072E-4</v>
      </c>
      <c r="O95" s="157">
        <f>IF($E95="","",IF($C95=12,IF($B95&lt;Input!$C$9,Input!$C$54,IF($B95=Input!$C$9,Input!$C$55,Input!$C$56)),0%))</f>
        <v>0</v>
      </c>
      <c r="P95" s="167">
        <f>IF($E95="","",IF($B95=1,Input!$C$59,IF($B95&lt;6,Input!$C$60,0%)))</f>
        <v>0</v>
      </c>
      <c r="Q95" s="162">
        <f>IF($E95="","",Input!$C$58)</f>
        <v>2.5</v>
      </c>
      <c r="R95" s="156">
        <f t="shared" si="33"/>
        <v>0.99987407949540641</v>
      </c>
      <c r="S95" s="154">
        <f t="shared" si="22"/>
        <v>0.64403056183643148</v>
      </c>
      <c r="T95" s="152"/>
      <c r="U95" s="150">
        <f t="shared" si="34"/>
        <v>0</v>
      </c>
      <c r="V95" s="150">
        <f t="shared" si="35"/>
        <v>0</v>
      </c>
      <c r="W95" s="168">
        <f t="shared" si="36"/>
        <v>0</v>
      </c>
      <c r="X95" s="163">
        <f t="shared" si="23"/>
        <v>12.592050459359072</v>
      </c>
      <c r="Y95" s="152"/>
      <c r="Z95" s="164">
        <f>IF(AND($C94=12,$D94=Input!$C$6),0,IF($E95="","",V95+Z96/(1+L95)*R95))</f>
        <v>2921.0719065038138</v>
      </c>
      <c r="AA95" s="164">
        <f>IF(OR($M95=1,AND($C94=12,$D94=Input!$C$6)),0,IF($E95="","",W95+(X95+AA96*$R95)/(1+$L95)))</f>
        <v>2711.3161457877595</v>
      </c>
      <c r="AB95" s="160">
        <f t="shared" si="24"/>
        <v>0.825720328500681</v>
      </c>
      <c r="AC95" s="164">
        <f t="shared" si="25"/>
        <v>0</v>
      </c>
      <c r="AD95" s="164">
        <f>IF(AND($C94=12,$D94=Input!$C$6),0,IF($E95="","",$AC95+AD96/(1+$L95)*$R95))</f>
        <v>2411.9884542124391</v>
      </c>
      <c r="AE95" s="152"/>
      <c r="AF95" s="164">
        <f>IF(AND($C94=12,$D94=Input!$C$6),0,IF($E95="","",IF($B95&gt;Input!$C$9,$AC95,0)+AF96/(1+$L95)*$R95))</f>
        <v>1176.8076187290183</v>
      </c>
      <c r="AG95" s="164">
        <f>IF(AND($C94=12,$D94=Input!$C$6),0,IF($E95="","",(IF($B95&gt;Input!$C$9,$X95,0)+AG96)/(1+$L95)*$R95))</f>
        <v>561.71833475439939</v>
      </c>
      <c r="AH95" s="160">
        <f t="shared" si="26"/>
        <v>2.0950137211446997</v>
      </c>
      <c r="AI95" s="160">
        <f>IF($E95="","",MIN(Input!$C$61/AH95,1))</f>
        <v>0.64438718771845094</v>
      </c>
      <c r="AJ95" s="152"/>
      <c r="AK95" s="164">
        <f>IF(AND($C94=12,$D94=Input!$C$6),0,IF($E95="","",IF($B95&gt;Input!$C$9,$AC95*AI95,0)+AK96/(1+$L95)*$R95))</f>
        <v>758.31975191843958</v>
      </c>
      <c r="AL95" s="164">
        <f>IF(AND($C94=12,$D94=Input!$C$6),0,IF($E95="","",IF($B95&gt;Input!$C$9,0,$AC95)+AL96/(1+$L95)*$R95))</f>
        <v>1235.1808354834213</v>
      </c>
      <c r="AM95" s="160">
        <f t="shared" si="27"/>
        <v>1.1382936520186004</v>
      </c>
      <c r="AN95" s="164">
        <f>IF($E95="","",IF($B95&gt;Input!$C$9,$AI95*$AC95,$AM95*$AC95))</f>
        <v>0</v>
      </c>
      <c r="AO95" s="164">
        <f>IF(AND($C94=12,$D94=Input!$C$6),0,IF($E95="","",$AN95+AO96/(1+$L95)*$R95))</f>
        <v>2164.3182560442469</v>
      </c>
      <c r="AP95" s="152"/>
      <c r="AQ95" s="164">
        <f t="shared" si="28"/>
        <v>546.99788974351259</v>
      </c>
      <c r="AR95" s="164">
        <f t="shared" si="37"/>
        <v>544.50784992460785</v>
      </c>
      <c r="AS95" s="164">
        <f t="shared" si="38"/>
        <v>72.248803827751203</v>
      </c>
      <c r="AT95" s="164">
        <f t="shared" si="29"/>
        <v>544.50784992460785</v>
      </c>
      <c r="AU95" s="152"/>
      <c r="AV95" s="147">
        <f>'Deterministic Reserve'!BC95</f>
        <v>0.65853086028198571</v>
      </c>
      <c r="AW95" s="164">
        <f t="shared" si="30"/>
        <v>544.50784992460785</v>
      </c>
      <c r="AX95" s="164">
        <f t="shared" si="31"/>
        <v>358.5752228411464</v>
      </c>
      <c r="AY95" s="152"/>
    </row>
    <row r="96" spans="1:51" s="150" customFormat="1" x14ac:dyDescent="0.25">
      <c r="A96" s="150">
        <f t="shared" si="39"/>
        <v>92</v>
      </c>
      <c r="B96" s="150">
        <f t="shared" si="40"/>
        <v>8</v>
      </c>
      <c r="C96" s="150">
        <f t="shared" si="41"/>
        <v>8</v>
      </c>
      <c r="D96" s="150">
        <f>IF(E96="","",Input!$C$4+B96-1)</f>
        <v>52</v>
      </c>
      <c r="E96" s="150">
        <f>IF(OR(AND(C95=12,D95=Input!$C$6),E95=""),"",1)</f>
        <v>1</v>
      </c>
      <c r="F96" s="150">
        <f>IF(E96="","",Input!$C$8+B96-1)</f>
        <v>2025</v>
      </c>
      <c r="G96" s="151">
        <f>IF(E96="","",MAX(0,Input!$C$9-B96))</f>
        <v>12</v>
      </c>
      <c r="H96" s="152">
        <f>IF(E96="","",Input!$C$3)</f>
        <v>100000</v>
      </c>
      <c r="I96" s="153">
        <f>IF(E96="","",HLOOKUP($B96,Input!$C$13:$BT$14,2))</f>
        <v>2.2999999999999998</v>
      </c>
      <c r="J96" s="154"/>
      <c r="K96" s="155">
        <f>IF($E96="","",Input!$C$57)</f>
        <v>4.4999999999999998E-2</v>
      </c>
      <c r="L96" s="155">
        <f t="shared" si="32"/>
        <v>3.6748094004368514E-3</v>
      </c>
      <c r="M96" s="147">
        <f>IF($E96="","",VLOOKUP(IF($B96&lt;=Input!$C$7,$B96,26),'Mortality Tables'!$A$72:$CA$97,IF($B96&lt;=Input!$C$7+1,Input!$C$4-16,$D96-Input!$C$7-16),0)/1000)</f>
        <v>1.5100000000000001E-3</v>
      </c>
      <c r="N96" s="147">
        <f t="shared" si="21"/>
        <v>1.2592050459359072E-4</v>
      </c>
      <c r="O96" s="157">
        <f>IF($E96="","",IF($C96=12,IF($B96&lt;Input!$C$9,Input!$C$54,IF($B96=Input!$C$9,Input!$C$55,Input!$C$56)),0%))</f>
        <v>0</v>
      </c>
      <c r="P96" s="167">
        <f>IF($E96="","",IF($B96=1,Input!$C$59,IF($B96&lt;6,Input!$C$60,0%)))</f>
        <v>0</v>
      </c>
      <c r="Q96" s="162">
        <f>IF($E96="","",Input!$C$58)</f>
        <v>2.5</v>
      </c>
      <c r="R96" s="156">
        <f t="shared" si="33"/>
        <v>0.99987407949540641</v>
      </c>
      <c r="S96" s="154">
        <f t="shared" si="22"/>
        <v>0.64394946518311136</v>
      </c>
      <c r="T96" s="152"/>
      <c r="U96" s="150">
        <f t="shared" si="34"/>
        <v>0</v>
      </c>
      <c r="V96" s="150">
        <f t="shared" si="35"/>
        <v>0</v>
      </c>
      <c r="W96" s="168">
        <f t="shared" si="36"/>
        <v>0</v>
      </c>
      <c r="X96" s="163">
        <f t="shared" si="23"/>
        <v>12.592050459359072</v>
      </c>
      <c r="Y96" s="152"/>
      <c r="Z96" s="164">
        <f>IF(AND($C95=12,$D95=Input!$C$6),0,IF($E96="","",V96+Z97/(1+L96)*R96))</f>
        <v>2932.1755100249652</v>
      </c>
      <c r="AA96" s="164">
        <f>IF(OR($M96=1,AND($C95=12,$D95=Input!$C$6)),0,IF($E96="","",W96+(X96+AA97*$R96)/(1+$L96)))</f>
        <v>2709.0287876603984</v>
      </c>
      <c r="AB96" s="160">
        <f t="shared" si="24"/>
        <v>0.825720328500681</v>
      </c>
      <c r="AC96" s="164">
        <f t="shared" si="25"/>
        <v>0</v>
      </c>
      <c r="AD96" s="164">
        <f>IF(AND($C95=12,$D95=Input!$C$6),0,IF($E96="","",$AC96+AD97/(1+$L96)*$R96))</f>
        <v>2421.1569253594657</v>
      </c>
      <c r="AE96" s="152"/>
      <c r="AF96" s="164">
        <f>IF(AND($C95=12,$D95=Input!$C$6),0,IF($E96="","",IF($B96&gt;Input!$C$9,$AC96,0)+AF97/(1+$L96)*$R96))</f>
        <v>1181.2809099170729</v>
      </c>
      <c r="AG96" s="164">
        <f>IF(AND($C95=12,$D95=Input!$C$6),0,IF($E96="","",(IF($B96&gt;Input!$C$9,$X96,0)+AG97)/(1+$L96)*$R96))</f>
        <v>563.85354329404106</v>
      </c>
      <c r="AH96" s="160">
        <f t="shared" si="26"/>
        <v>2.0950137211446997</v>
      </c>
      <c r="AI96" s="160">
        <f>IF($E96="","",MIN(Input!$C$61/AH96,1))</f>
        <v>0.64438718771845094</v>
      </c>
      <c r="AJ96" s="152"/>
      <c r="AK96" s="164">
        <f>IF(AND($C95=12,$D95=Input!$C$6),0,IF($E96="","",IF($B96&gt;Input!$C$9,$AC96*AI96,0)+AK97/(1+$L96)*$R96))</f>
        <v>761.20228344695579</v>
      </c>
      <c r="AL96" s="164">
        <f>IF(AND($C95=12,$D95=Input!$C$6),0,IF($E96="","",IF($B96&gt;Input!$C$9,0,$AC96)+AL97/(1+$L96)*$R96))</f>
        <v>1239.8760154423933</v>
      </c>
      <c r="AM96" s="160">
        <f t="shared" si="27"/>
        <v>1.1382936520186004</v>
      </c>
      <c r="AN96" s="164">
        <f>IF($E96="","",IF($B96&gt;Input!$C$9,$AI96*$AC96,$AM96*$AC96))</f>
        <v>0</v>
      </c>
      <c r="AO96" s="164">
        <f>IF(AND($C95=12,$D95=Input!$C$6),0,IF($E96="","",$AN96+AO97/(1+$L96)*$R96))</f>
        <v>2172.5452811151458</v>
      </c>
      <c r="AP96" s="152"/>
      <c r="AQ96" s="164">
        <f t="shared" si="28"/>
        <v>536.48350654525257</v>
      </c>
      <c r="AR96" s="164">
        <f t="shared" si="37"/>
        <v>544.50784992460785</v>
      </c>
      <c r="AS96" s="164">
        <f t="shared" si="38"/>
        <v>72.248803827751203</v>
      </c>
      <c r="AT96" s="164">
        <f t="shared" si="29"/>
        <v>544.50784992460785</v>
      </c>
      <c r="AU96" s="152"/>
      <c r="AV96" s="147">
        <f>'Deterministic Reserve'!BC96</f>
        <v>0.65847615433153284</v>
      </c>
      <c r="AW96" s="164">
        <f t="shared" si="30"/>
        <v>544.50784992460785</v>
      </c>
      <c r="AX96" s="164">
        <f t="shared" si="31"/>
        <v>358.54543502168718</v>
      </c>
      <c r="AY96" s="152"/>
    </row>
    <row r="97" spans="1:51" s="150" customFormat="1" x14ac:dyDescent="0.25">
      <c r="A97" s="150">
        <f t="shared" si="39"/>
        <v>93</v>
      </c>
      <c r="B97" s="150">
        <f t="shared" si="40"/>
        <v>8</v>
      </c>
      <c r="C97" s="150">
        <f t="shared" si="41"/>
        <v>9</v>
      </c>
      <c r="D97" s="150">
        <f>IF(E97="","",Input!$C$4+B97-1)</f>
        <v>52</v>
      </c>
      <c r="E97" s="150">
        <f>IF(OR(AND(C96=12,D96=Input!$C$6),E96=""),"",1)</f>
        <v>1</v>
      </c>
      <c r="F97" s="150">
        <f>IF(E97="","",Input!$C$8+B97-1)</f>
        <v>2025</v>
      </c>
      <c r="G97" s="151">
        <f>IF(E97="","",MAX(0,Input!$C$9-B97))</f>
        <v>12</v>
      </c>
      <c r="H97" s="152">
        <f>IF(E97="","",Input!$C$3)</f>
        <v>100000</v>
      </c>
      <c r="I97" s="153">
        <f>IF(E97="","",HLOOKUP($B97,Input!$C$13:$BT$14,2))</f>
        <v>2.2999999999999998</v>
      </c>
      <c r="J97" s="154"/>
      <c r="K97" s="155">
        <f>IF($E97="","",Input!$C$57)</f>
        <v>4.4999999999999998E-2</v>
      </c>
      <c r="L97" s="155">
        <f t="shared" si="32"/>
        <v>3.6748094004368514E-3</v>
      </c>
      <c r="M97" s="147">
        <f>IF($E97="","",VLOOKUP(IF($B97&lt;=Input!$C$7,$B97,26),'Mortality Tables'!$A$72:$CA$97,IF($B97&lt;=Input!$C$7+1,Input!$C$4-16,$D97-Input!$C$7-16),0)/1000)</f>
        <v>1.5100000000000001E-3</v>
      </c>
      <c r="N97" s="147">
        <f t="shared" si="21"/>
        <v>1.2592050459359072E-4</v>
      </c>
      <c r="O97" s="157">
        <f>IF($E97="","",IF($C97=12,IF($B97&lt;Input!$C$9,Input!$C$54,IF($B97=Input!$C$9,Input!$C$55,Input!$C$56)),0%))</f>
        <v>0</v>
      </c>
      <c r="P97" s="167">
        <f>IF($E97="","",IF($B97=1,Input!$C$59,IF($B97&lt;6,Input!$C$60,0%)))</f>
        <v>0</v>
      </c>
      <c r="Q97" s="162">
        <f>IF($E97="","",Input!$C$58)</f>
        <v>2.5</v>
      </c>
      <c r="R97" s="156">
        <f t="shared" si="33"/>
        <v>0.99987407949540641</v>
      </c>
      <c r="S97" s="154">
        <f t="shared" si="22"/>
        <v>0.6438683787415227</v>
      </c>
      <c r="T97" s="152"/>
      <c r="U97" s="150">
        <f t="shared" si="34"/>
        <v>0</v>
      </c>
      <c r="V97" s="150">
        <f t="shared" si="35"/>
        <v>0</v>
      </c>
      <c r="W97" s="168">
        <f t="shared" si="36"/>
        <v>0</v>
      </c>
      <c r="X97" s="163">
        <f t="shared" si="23"/>
        <v>12.592050459359072</v>
      </c>
      <c r="Y97" s="152"/>
      <c r="Z97" s="164">
        <f>IF(AND($C96=12,$D96=Input!$C$6),0,IF($E97="","",V97+Z98/(1+L97)*R97))</f>
        <v>2943.3213206588139</v>
      </c>
      <c r="AA97" s="164">
        <f>IF(OR($M97=1,AND($C96=12,$D96=Input!$C$6)),0,IF($E97="","",W97+(X97+AA98*$R97)/(1+$L97)))</f>
        <v>2706.7327348077547</v>
      </c>
      <c r="AB97" s="160">
        <f t="shared" si="24"/>
        <v>0.825720328500681</v>
      </c>
      <c r="AC97" s="164">
        <f t="shared" si="25"/>
        <v>0</v>
      </c>
      <c r="AD97" s="164">
        <f>IF(AND($C96=12,$D96=Input!$C$6),0,IF($E97="","",$AC97+AD98/(1+$L97)*$R97))</f>
        <v>2430.3602477774539</v>
      </c>
      <c r="AE97" s="152"/>
      <c r="AF97" s="164">
        <f>IF(AND($C96=12,$D96=Input!$C$6),0,IF($E97="","",IF($B97&gt;Input!$C$9,$AC97,0)+AF98/(1+$L97)*$R97))</f>
        <v>1185.7712050178611</v>
      </c>
      <c r="AG97" s="164">
        <f>IF(AND($C96=12,$D96=Input!$C$6),0,IF($E97="","",(IF($B97&gt;Input!$C$9,$X97,0)+AG98)/(1+$L97)*$R97))</f>
        <v>565.99686820665056</v>
      </c>
      <c r="AH97" s="160">
        <f t="shared" si="26"/>
        <v>2.0950137211446997</v>
      </c>
      <c r="AI97" s="160">
        <f>IF($E97="","",MIN(Input!$C$61/AH97,1))</f>
        <v>0.64438718771845094</v>
      </c>
      <c r="AJ97" s="152"/>
      <c r="AK97" s="164">
        <f>IF(AND($C96=12,$D96=Input!$C$6),0,IF($E97="","",IF($B97&gt;Input!$C$9,$AC97*AI97,0)+AK98/(1+$L97)*$R97))</f>
        <v>764.09577207897871</v>
      </c>
      <c r="AL97" s="164">
        <f>IF(AND($C96=12,$D96=Input!$C$6),0,IF($E97="","",IF($B97&gt;Input!$C$9,0,$AC97)+AL98/(1+$L97)*$R97))</f>
        <v>1244.5890427595932</v>
      </c>
      <c r="AM97" s="160">
        <f t="shared" si="27"/>
        <v>1.1382936520186004</v>
      </c>
      <c r="AN97" s="164">
        <f>IF($E97="","",IF($B97&gt;Input!$C$9,$AI97*$AC97,$AM97*$AC97))</f>
        <v>0</v>
      </c>
      <c r="AO97" s="164">
        <f>IF(AND($C96=12,$D96=Input!$C$6),0,IF($E97="","",$AN97+AO98/(1+$L97)*$R97))</f>
        <v>2180.8035788241277</v>
      </c>
      <c r="AP97" s="152"/>
      <c r="AQ97" s="164">
        <f t="shared" si="28"/>
        <v>525.92915598362697</v>
      </c>
      <c r="AR97" s="164">
        <f t="shared" si="37"/>
        <v>544.50784992460785</v>
      </c>
      <c r="AS97" s="164">
        <f t="shared" si="38"/>
        <v>72.248803827751203</v>
      </c>
      <c r="AT97" s="164">
        <f t="shared" si="29"/>
        <v>544.50784992460785</v>
      </c>
      <c r="AU97" s="152"/>
      <c r="AV97" s="147">
        <f>'Deterministic Reserve'!BC97</f>
        <v>0.65842145292565213</v>
      </c>
      <c r="AW97" s="164">
        <f t="shared" si="30"/>
        <v>544.50784992460785</v>
      </c>
      <c r="AX97" s="164">
        <f t="shared" si="31"/>
        <v>358.51564967678326</v>
      </c>
      <c r="AY97" s="152"/>
    </row>
    <row r="98" spans="1:51" s="150" customFormat="1" x14ac:dyDescent="0.25">
      <c r="A98" s="150">
        <f t="shared" si="39"/>
        <v>94</v>
      </c>
      <c r="B98" s="150">
        <f t="shared" si="40"/>
        <v>8</v>
      </c>
      <c r="C98" s="150">
        <f t="shared" si="41"/>
        <v>10</v>
      </c>
      <c r="D98" s="150">
        <f>IF(E98="","",Input!$C$4+B98-1)</f>
        <v>52</v>
      </c>
      <c r="E98" s="150">
        <f>IF(OR(AND(C97=12,D97=Input!$C$6),E97=""),"",1)</f>
        <v>1</v>
      </c>
      <c r="F98" s="150">
        <f>IF(E98="","",Input!$C$8+B98-1)</f>
        <v>2025</v>
      </c>
      <c r="G98" s="151">
        <f>IF(E98="","",MAX(0,Input!$C$9-B98))</f>
        <v>12</v>
      </c>
      <c r="H98" s="152">
        <f>IF(E98="","",Input!$C$3)</f>
        <v>100000</v>
      </c>
      <c r="I98" s="153">
        <f>IF(E98="","",HLOOKUP($B98,Input!$C$13:$BT$14,2))</f>
        <v>2.2999999999999998</v>
      </c>
      <c r="J98" s="154"/>
      <c r="K98" s="155">
        <f>IF($E98="","",Input!$C$57)</f>
        <v>4.4999999999999998E-2</v>
      </c>
      <c r="L98" s="155">
        <f t="shared" si="32"/>
        <v>3.6748094004368514E-3</v>
      </c>
      <c r="M98" s="147">
        <f>IF($E98="","",VLOOKUP(IF($B98&lt;=Input!$C$7,$B98,26),'Mortality Tables'!$A$72:$CA$97,IF($B98&lt;=Input!$C$7+1,Input!$C$4-16,$D98-Input!$C$7-16),0)/1000)</f>
        <v>1.5100000000000001E-3</v>
      </c>
      <c r="N98" s="147">
        <f t="shared" si="21"/>
        <v>1.2592050459359072E-4</v>
      </c>
      <c r="O98" s="157">
        <f>IF($E98="","",IF($C98=12,IF($B98&lt;Input!$C$9,Input!$C$54,IF($B98=Input!$C$9,Input!$C$55,Input!$C$56)),0%))</f>
        <v>0</v>
      </c>
      <c r="P98" s="167">
        <f>IF($E98="","",IF($B98=1,Input!$C$59,IF($B98&lt;6,Input!$C$60,0%)))</f>
        <v>0</v>
      </c>
      <c r="Q98" s="162">
        <f>IF($E98="","",Input!$C$58)</f>
        <v>2.5</v>
      </c>
      <c r="R98" s="156">
        <f t="shared" si="33"/>
        <v>0.99987407949540641</v>
      </c>
      <c r="S98" s="154">
        <f t="shared" si="22"/>
        <v>0.64378730251037974</v>
      </c>
      <c r="T98" s="152"/>
      <c r="U98" s="150">
        <f t="shared" si="34"/>
        <v>0</v>
      </c>
      <c r="V98" s="150">
        <f t="shared" si="35"/>
        <v>0</v>
      </c>
      <c r="W98" s="168">
        <f t="shared" si="36"/>
        <v>0</v>
      </c>
      <c r="X98" s="163">
        <f t="shared" si="23"/>
        <v>12.592050459359072</v>
      </c>
      <c r="Y98" s="152"/>
      <c r="Z98" s="164">
        <f>IF(AND($C97=12,$D97=Input!$C$6),0,IF($E98="","",V98+Z99/(1+L98)*R98))</f>
        <v>2954.509498843398</v>
      </c>
      <c r="AA98" s="164">
        <f>IF(OR($M98=1,AND($C97=12,$D97=Input!$C$6)),0,IF($E98="","",W98+(X98+AA99*$R98)/(1+$L98)))</f>
        <v>2704.4279541793644</v>
      </c>
      <c r="AB98" s="160">
        <f t="shared" si="24"/>
        <v>0.825720328500681</v>
      </c>
      <c r="AC98" s="164">
        <f t="shared" si="25"/>
        <v>0</v>
      </c>
      <c r="AD98" s="164">
        <f>IF(AND($C97=12,$D97=Input!$C$6),0,IF($E98="","",$AC98+AD99/(1+$L98)*$R98))</f>
        <v>2439.5985539433527</v>
      </c>
      <c r="AE98" s="152"/>
      <c r="AF98" s="164">
        <f>IF(AND($C97=12,$D97=Input!$C$6),0,IF($E98="","",IF($B98&gt;Input!$C$9,$AC98,0)+AF99/(1+$L98)*$R98))</f>
        <v>1190.2785686668014</v>
      </c>
      <c r="AG98" s="164">
        <f>IF(AND($C97=12,$D97=Input!$C$6),0,IF($E98="","",(IF($B98&gt;Input!$C$9,$X98,0)+AG99)/(1+$L98)*$R98))</f>
        <v>568.14834034425428</v>
      </c>
      <c r="AH98" s="160">
        <f t="shared" si="26"/>
        <v>2.0950137211446997</v>
      </c>
      <c r="AI98" s="160">
        <f>IF($E98="","",MIN(Input!$C$61/AH98,1))</f>
        <v>0.64438718771845094</v>
      </c>
      <c r="AJ98" s="152"/>
      <c r="AK98" s="164">
        <f>IF(AND($C97=12,$D97=Input!$C$6),0,IF($E98="","",IF($B98&gt;Input!$C$9,$AC98*AI98,0)+AK99/(1+$L98)*$R98))</f>
        <v>767.00025946474386</v>
      </c>
      <c r="AL98" s="164">
        <f>IF(AND($C97=12,$D97=Input!$C$6),0,IF($E98="","",IF($B98&gt;Input!$C$9,0,$AC98)+AL99/(1+$L98)*$R98))</f>
        <v>1249.3199852765517</v>
      </c>
      <c r="AM98" s="160">
        <f t="shared" si="27"/>
        <v>1.1382936520186004</v>
      </c>
      <c r="AN98" s="164">
        <f>IF($E98="","",IF($B98&gt;Input!$C$9,$AI98*$AC98,$AM98*$AC98))</f>
        <v>0</v>
      </c>
      <c r="AO98" s="164">
        <f>IF(AND($C97=12,$D97=Input!$C$6),0,IF($E98="","",$AN98+AO99/(1+$L98)*$R98))</f>
        <v>2189.0932680450119</v>
      </c>
      <c r="AP98" s="152"/>
      <c r="AQ98" s="164">
        <f t="shared" si="28"/>
        <v>515.33468613435252</v>
      </c>
      <c r="AR98" s="164">
        <f t="shared" si="37"/>
        <v>544.50784992460785</v>
      </c>
      <c r="AS98" s="164">
        <f t="shared" si="38"/>
        <v>72.248803827751203</v>
      </c>
      <c r="AT98" s="164">
        <f t="shared" si="29"/>
        <v>544.50784992460785</v>
      </c>
      <c r="AU98" s="152"/>
      <c r="AV98" s="147">
        <f>'Deterministic Reserve'!BC98</f>
        <v>0.658366756063966</v>
      </c>
      <c r="AW98" s="164">
        <f t="shared" si="30"/>
        <v>544.50784992460785</v>
      </c>
      <c r="AX98" s="164">
        <f t="shared" si="31"/>
        <v>358.4858668062289</v>
      </c>
      <c r="AY98" s="152"/>
    </row>
    <row r="99" spans="1:51" s="150" customFormat="1" x14ac:dyDescent="0.25">
      <c r="A99" s="150">
        <f t="shared" si="39"/>
        <v>95</v>
      </c>
      <c r="B99" s="150">
        <f t="shared" si="40"/>
        <v>8</v>
      </c>
      <c r="C99" s="150">
        <f t="shared" si="41"/>
        <v>11</v>
      </c>
      <c r="D99" s="150">
        <f>IF(E99="","",Input!$C$4+B99-1)</f>
        <v>52</v>
      </c>
      <c r="E99" s="150">
        <f>IF(OR(AND(C98=12,D98=Input!$C$6),E98=""),"",1)</f>
        <v>1</v>
      </c>
      <c r="F99" s="150">
        <f>IF(E99="","",Input!$C$8+B99-1)</f>
        <v>2025</v>
      </c>
      <c r="G99" s="151">
        <f>IF(E99="","",MAX(0,Input!$C$9-B99))</f>
        <v>12</v>
      </c>
      <c r="H99" s="152">
        <f>IF(E99="","",Input!$C$3)</f>
        <v>100000</v>
      </c>
      <c r="I99" s="153">
        <f>IF(E99="","",HLOOKUP($B99,Input!$C$13:$BT$14,2))</f>
        <v>2.2999999999999998</v>
      </c>
      <c r="J99" s="154"/>
      <c r="K99" s="155">
        <f>IF($E99="","",Input!$C$57)</f>
        <v>4.4999999999999998E-2</v>
      </c>
      <c r="L99" s="155">
        <f t="shared" si="32"/>
        <v>3.6748094004368514E-3</v>
      </c>
      <c r="M99" s="147">
        <f>IF($E99="","",VLOOKUP(IF($B99&lt;=Input!$C$7,$B99,26),'Mortality Tables'!$A$72:$CA$97,IF($B99&lt;=Input!$C$7+1,Input!$C$4-16,$D99-Input!$C$7-16),0)/1000)</f>
        <v>1.5100000000000001E-3</v>
      </c>
      <c r="N99" s="147">
        <f t="shared" si="21"/>
        <v>1.2592050459359072E-4</v>
      </c>
      <c r="O99" s="157">
        <f>IF($E99="","",IF($C99=12,IF($B99&lt;Input!$C$9,Input!$C$54,IF($B99=Input!$C$9,Input!$C$55,Input!$C$56)),0%))</f>
        <v>0</v>
      </c>
      <c r="P99" s="167">
        <f>IF($E99="","",IF($B99=1,Input!$C$59,IF($B99&lt;6,Input!$C$60,0%)))</f>
        <v>0</v>
      </c>
      <c r="Q99" s="162">
        <f>IF($E99="","",Input!$C$58)</f>
        <v>2.5</v>
      </c>
      <c r="R99" s="156">
        <f t="shared" si="33"/>
        <v>0.99987407949540641</v>
      </c>
      <c r="S99" s="154">
        <f t="shared" si="22"/>
        <v>0.64370623648839664</v>
      </c>
      <c r="T99" s="152"/>
      <c r="U99" s="150">
        <f t="shared" si="34"/>
        <v>0</v>
      </c>
      <c r="V99" s="150">
        <f t="shared" si="35"/>
        <v>0</v>
      </c>
      <c r="W99" s="168">
        <f t="shared" si="36"/>
        <v>0</v>
      </c>
      <c r="X99" s="163">
        <f t="shared" si="23"/>
        <v>12.592050459359072</v>
      </c>
      <c r="Y99" s="152"/>
      <c r="Z99" s="164">
        <f>IF(AND($C98=12,$D98=Input!$C$6),0,IF($E99="","",V99+Z100/(1+L99)*R99))</f>
        <v>2965.7402056266137</v>
      </c>
      <c r="AA99" s="164">
        <f>IF(OR($M99=1,AND($C98=12,$D98=Input!$C$6)),0,IF($E99="","",W99+(X99+AA100*$R99)/(1+$L99)))</f>
        <v>2702.1144125991318</v>
      </c>
      <c r="AB99" s="160">
        <f t="shared" si="24"/>
        <v>0.825720328500681</v>
      </c>
      <c r="AC99" s="164">
        <f t="shared" si="25"/>
        <v>0</v>
      </c>
      <c r="AD99" s="164">
        <f>IF(AND($C98=12,$D98=Input!$C$6),0,IF($E99="","",$AC99+AD100/(1+$L99)*$R99))</f>
        <v>2448.8719768376845</v>
      </c>
      <c r="AE99" s="152"/>
      <c r="AF99" s="164">
        <f>IF(AND($C98=12,$D98=Input!$C$6),0,IF($E99="","",IF($B99&gt;Input!$C$9,$AC99,0)+AF100/(1+$L99)*$R99))</f>
        <v>1194.8030657450054</v>
      </c>
      <c r="AG99" s="164">
        <f>IF(AND($C98=12,$D98=Input!$C$6),0,IF($E99="","",(IF($B99&gt;Input!$C$9,$X99,0)+AG100)/(1+$L99)*$R99))</f>
        <v>570.30799067615362</v>
      </c>
      <c r="AH99" s="160">
        <f t="shared" si="26"/>
        <v>2.0950137211446997</v>
      </c>
      <c r="AI99" s="160">
        <f>IF($E99="","",MIN(Input!$C$61/AH99,1))</f>
        <v>0.64438718771845094</v>
      </c>
      <c r="AJ99" s="152"/>
      <c r="AK99" s="164">
        <f>IF(AND($C98=12,$D98=Input!$C$6),0,IF($E99="","",IF($B99&gt;Input!$C$9,$AC99*AI99,0)+AK100/(1+$L99)*$R99))</f>
        <v>769.91578741280796</v>
      </c>
      <c r="AL99" s="164">
        <f>IF(AND($C98=12,$D98=Input!$C$6),0,IF($E99="","",IF($B99&gt;Input!$C$9,0,$AC99)+AL100/(1+$L99)*$R99))</f>
        <v>1254.0689110926796</v>
      </c>
      <c r="AM99" s="160">
        <f t="shared" si="27"/>
        <v>1.1382936520186004</v>
      </c>
      <c r="AN99" s="164">
        <f>IF($E99="","",IF($B99&gt;Input!$C$9,$AI99*$AC99,$AM99*$AC99))</f>
        <v>0</v>
      </c>
      <c r="AO99" s="164">
        <f>IF(AND($C98=12,$D98=Input!$C$6),0,IF($E99="","",$AN99+AO100/(1+$L99)*$R99))</f>
        <v>2197.4144681034818</v>
      </c>
      <c r="AP99" s="152"/>
      <c r="AQ99" s="164">
        <f t="shared" si="28"/>
        <v>504.69994449565002</v>
      </c>
      <c r="AR99" s="164">
        <f t="shared" si="37"/>
        <v>544.50784992460785</v>
      </c>
      <c r="AS99" s="164">
        <f t="shared" si="38"/>
        <v>72.248803827751203</v>
      </c>
      <c r="AT99" s="164">
        <f t="shared" si="29"/>
        <v>544.50784992460785</v>
      </c>
      <c r="AU99" s="152"/>
      <c r="AV99" s="147">
        <f>'Deterministic Reserve'!BC99</f>
        <v>0.65831206374609708</v>
      </c>
      <c r="AW99" s="164">
        <f t="shared" si="30"/>
        <v>544.50784992460785</v>
      </c>
      <c r="AX99" s="164">
        <f t="shared" si="31"/>
        <v>358.45608640981868</v>
      </c>
      <c r="AY99" s="152"/>
    </row>
    <row r="100" spans="1:51" s="150" customFormat="1" x14ac:dyDescent="0.25">
      <c r="A100" s="150">
        <f t="shared" si="39"/>
        <v>96</v>
      </c>
      <c r="B100" s="150">
        <f t="shared" si="40"/>
        <v>8</v>
      </c>
      <c r="C100" s="150">
        <f t="shared" si="41"/>
        <v>12</v>
      </c>
      <c r="D100" s="150">
        <f>IF(E100="","",Input!$C$4+B100-1)</f>
        <v>52</v>
      </c>
      <c r="E100" s="150">
        <f>IF(OR(AND(C99=12,D99=Input!$C$6),E99=""),"",1)</f>
        <v>1</v>
      </c>
      <c r="F100" s="150">
        <f>IF(E100="","",Input!$C$8+B100-1)</f>
        <v>2025</v>
      </c>
      <c r="G100" s="151">
        <f>IF(E100="","",MAX(0,Input!$C$9-B100))</f>
        <v>12</v>
      </c>
      <c r="H100" s="152">
        <f>IF(E100="","",Input!$C$3)</f>
        <v>100000</v>
      </c>
      <c r="I100" s="153">
        <f>IF(E100="","",HLOOKUP($B100,Input!$C$13:$BT$14,2))</f>
        <v>2.2999999999999998</v>
      </c>
      <c r="J100" s="154"/>
      <c r="K100" s="155">
        <f>IF($E100="","",Input!$C$57)</f>
        <v>4.4999999999999998E-2</v>
      </c>
      <c r="L100" s="155">
        <f t="shared" si="32"/>
        <v>3.6748094004368514E-3</v>
      </c>
      <c r="M100" s="147">
        <f>IF($E100="","",VLOOKUP(IF($B100&lt;=Input!$C$7,$B100,26),'Mortality Tables'!$A$72:$CA$97,IF($B100&lt;=Input!$C$7+1,Input!$C$4-16,$D100-Input!$C$7-16),0)/1000)</f>
        <v>1.5100000000000001E-3</v>
      </c>
      <c r="N100" s="147">
        <f t="shared" si="21"/>
        <v>1.2592050459359072E-4</v>
      </c>
      <c r="O100" s="157">
        <f>IF($E100="","",IF($C100=12,IF($B100&lt;Input!$C$9,Input!$C$54,IF($B100=Input!$C$9,Input!$C$55,Input!$C$56)),0%))</f>
        <v>0.06</v>
      </c>
      <c r="P100" s="167">
        <f>IF($E100="","",IF($B100=1,Input!$C$59,IF($B100&lt;6,Input!$C$60,0%)))</f>
        <v>0</v>
      </c>
      <c r="Q100" s="162">
        <f>IF($E100="","",Input!$C$58)</f>
        <v>2.5</v>
      </c>
      <c r="R100" s="156">
        <f t="shared" si="33"/>
        <v>0.93987407949540636</v>
      </c>
      <c r="S100" s="154">
        <f t="shared" si="22"/>
        <v>0.60500280648498417</v>
      </c>
      <c r="T100" s="152"/>
      <c r="U100" s="150">
        <f t="shared" si="34"/>
        <v>0</v>
      </c>
      <c r="V100" s="150">
        <f t="shared" si="35"/>
        <v>0</v>
      </c>
      <c r="W100" s="168">
        <f t="shared" si="36"/>
        <v>0</v>
      </c>
      <c r="X100" s="163">
        <f t="shared" si="23"/>
        <v>12.592050459359072</v>
      </c>
      <c r="Y100" s="152"/>
      <c r="Z100" s="164">
        <f>IF(AND($C99=12,$D99=Input!$C$6),0,IF($E100="","",V100+Z101/(1+L100)*R100))</f>
        <v>2977.0136026685336</v>
      </c>
      <c r="AA100" s="164">
        <f>IF(OR($M100=1,AND($C99=12,$D99=Input!$C$6)),0,IF($E100="","",W100+(X100+AA101*$R100)/(1+$L100)))</f>
        <v>2699.792076764852</v>
      </c>
      <c r="AB100" s="160">
        <f t="shared" si="24"/>
        <v>0.825720328500681</v>
      </c>
      <c r="AC100" s="164">
        <f t="shared" si="25"/>
        <v>0</v>
      </c>
      <c r="AD100" s="164">
        <f>IF(AND($C99=12,$D99=Input!$C$6),0,IF($E100="","",$AC100+AD101/(1+$L100)*$R100))</f>
        <v>2458.1806499464574</v>
      </c>
      <c r="AE100" s="152"/>
      <c r="AF100" s="164">
        <f>IF(AND($C99=12,$D99=Input!$C$6),0,IF($E100="","",IF($B100&gt;Input!$C$9,$AC100,0)+AF101/(1+$L100)*$R100))</f>
        <v>1199.3447613802107</v>
      </c>
      <c r="AG100" s="164">
        <f>IF(AND($C99=12,$D99=Input!$C$6),0,IF($E100="","",(IF($B100&gt;Input!$C$9,$X100,0)+AG101)/(1+$L100)*$R100))</f>
        <v>572.47585028937067</v>
      </c>
      <c r="AH100" s="160">
        <f t="shared" si="26"/>
        <v>2.0950137211446997</v>
      </c>
      <c r="AI100" s="160">
        <f>IF($E100="","",MIN(Input!$C$61/AH100,1))</f>
        <v>0.64438718771845094</v>
      </c>
      <c r="AJ100" s="152"/>
      <c r="AK100" s="164">
        <f>IF(AND($C99=12,$D99=Input!$C$6),0,IF($E100="","",IF($B100&gt;Input!$C$9,$AC100*AI100,0)+AK101/(1+$L100)*$R100))</f>
        <v>772.842397890651</v>
      </c>
      <c r="AL100" s="164">
        <f>IF(AND($C99=12,$D99=Input!$C$6),0,IF($E100="","",IF($B100&gt;Input!$C$9,0,$AC100)+AL101/(1+$L100)*$R100))</f>
        <v>1258.8358885662474</v>
      </c>
      <c r="AM100" s="160">
        <f t="shared" si="27"/>
        <v>1.1382936520186004</v>
      </c>
      <c r="AN100" s="164">
        <f>IF($E100="","",IF($B100&gt;Input!$C$9,$AI100*$AC100,$AM100*$AC100))</f>
        <v>0</v>
      </c>
      <c r="AO100" s="164">
        <f>IF(AND($C99=12,$D99=Input!$C$6),0,IF($E100="","",$AN100+AO101/(1+$L100)*$R100))</f>
        <v>2205.7672987788028</v>
      </c>
      <c r="AP100" s="152"/>
      <c r="AQ100" s="164">
        <f t="shared" si="28"/>
        <v>494.02477798604923</v>
      </c>
      <c r="AR100" s="164">
        <f t="shared" si="37"/>
        <v>544.50784992460785</v>
      </c>
      <c r="AS100" s="164">
        <f t="shared" si="38"/>
        <v>72.248803827751203</v>
      </c>
      <c r="AT100" s="164">
        <f t="shared" si="29"/>
        <v>544.50784992460785</v>
      </c>
      <c r="AU100" s="152"/>
      <c r="AV100" s="147">
        <f>'Deterministic Reserve'!BC100</f>
        <v>0.62534177278436287</v>
      </c>
      <c r="AW100" s="164">
        <f t="shared" si="30"/>
        <v>544.50784992460785</v>
      </c>
      <c r="AX100" s="164">
        <f t="shared" si="31"/>
        <v>340.50350416685609</v>
      </c>
      <c r="AY100" s="152"/>
    </row>
    <row r="101" spans="1:51" s="150" customFormat="1" x14ac:dyDescent="0.25">
      <c r="A101" s="150">
        <f t="shared" si="39"/>
        <v>97</v>
      </c>
      <c r="B101" s="150">
        <f t="shared" si="40"/>
        <v>9</v>
      </c>
      <c r="C101" s="150">
        <f t="shared" si="41"/>
        <v>1</v>
      </c>
      <c r="D101" s="150">
        <f>IF(E101="","",Input!$C$4+B101-1)</f>
        <v>53</v>
      </c>
      <c r="E101" s="150">
        <f>IF(OR(AND(C100=12,D100=Input!$C$6),E100=""),"",1)</f>
        <v>1</v>
      </c>
      <c r="F101" s="150">
        <f>IF(E101="","",Input!$C$8+B101-1)</f>
        <v>2026</v>
      </c>
      <c r="G101" s="151">
        <f>IF(E101="","",MAX(0,Input!$C$9-B101))</f>
        <v>11</v>
      </c>
      <c r="H101" s="152">
        <f>IF(E101="","",Input!$C$3)</f>
        <v>100000</v>
      </c>
      <c r="I101" s="153">
        <f>IF(E101="","",HLOOKUP($B101,Input!$C$13:$BT$14,2))</f>
        <v>2.2999999999999998</v>
      </c>
      <c r="J101" s="154"/>
      <c r="K101" s="155">
        <f>IF($E101="","",Input!$C$57)</f>
        <v>4.4999999999999998E-2</v>
      </c>
      <c r="L101" s="155">
        <f t="shared" si="32"/>
        <v>3.6748094004368514E-3</v>
      </c>
      <c r="M101" s="147">
        <f>IF($E101="","",VLOOKUP(IF($B101&lt;=Input!$C$7,$B101,26),'Mortality Tables'!$A$72:$CA$97,IF($B101&lt;=Input!$C$7+1,Input!$C$4-16,$D101-Input!$C$7-16),0)/1000)</f>
        <v>1.7099999999999999E-3</v>
      </c>
      <c r="N101" s="147">
        <f t="shared" si="21"/>
        <v>1.4261180654251415E-4</v>
      </c>
      <c r="O101" s="157">
        <f>IF($E101="","",IF($C101=12,IF($B101&lt;Input!$C$9,Input!$C$54,IF($B101=Input!$C$9,Input!$C$55,Input!$C$56)),0%))</f>
        <v>0</v>
      </c>
      <c r="P101" s="167">
        <f>IF($E101="","",IF($B101=1,Input!$C$59,IF($B101&lt;6,Input!$C$60,0%)))</f>
        <v>0</v>
      </c>
      <c r="Q101" s="162">
        <f>IF($E101="","",Input!$C$58)</f>
        <v>2.5</v>
      </c>
      <c r="R101" s="156">
        <f t="shared" si="33"/>
        <v>0.99985738819345749</v>
      </c>
      <c r="S101" s="154">
        <f t="shared" si="22"/>
        <v>0.60491652594178802</v>
      </c>
      <c r="T101" s="152"/>
      <c r="U101" s="150">
        <f t="shared" si="34"/>
        <v>229.99999999999997</v>
      </c>
      <c r="V101" s="150">
        <f t="shared" si="35"/>
        <v>229.99999999999997</v>
      </c>
      <c r="W101" s="168">
        <f t="shared" si="36"/>
        <v>0</v>
      </c>
      <c r="X101" s="163">
        <f t="shared" si="23"/>
        <v>14.261180654251415</v>
      </c>
      <c r="Y101" s="152"/>
      <c r="Z101" s="164">
        <f>IF(AND($C100=12,$D100=Input!$C$6),0,IF($E101="","",V101+Z102/(1+L101)*R101))</f>
        <v>3179.0998660639752</v>
      </c>
      <c r="AA101" s="164">
        <f>IF(OR($M101=1,AND($C100=12,$D100=Input!$C$6)),0,IF($E101="","",W101+(X101+AA102*$R101)/(1+$L101)))</f>
        <v>2869.662337168003</v>
      </c>
      <c r="AB101" s="160">
        <f t="shared" si="24"/>
        <v>0.825720328500681</v>
      </c>
      <c r="AC101" s="164">
        <f t="shared" si="25"/>
        <v>189.91567555515661</v>
      </c>
      <c r="AD101" s="164">
        <f>IF(AND($C100=12,$D100=Input!$C$6),0,IF($E101="","",$AC101+AD102/(1+$L101)*$R101))</f>
        <v>2625.0473857428165</v>
      </c>
      <c r="AE101" s="152"/>
      <c r="AF101" s="164">
        <f>IF(AND($C100=12,$D100=Input!$C$6),0,IF($E101="","",IF($B101&gt;Input!$C$9,$AC101,0)+AF102/(1+$L101)*$R101))</f>
        <v>1280.7589346755451</v>
      </c>
      <c r="AG101" s="164">
        <f>IF(AND($C100=12,$D100=Input!$C$6),0,IF($E101="","",(IF($B101&gt;Input!$C$9,$X101,0)+AG102)/(1+$L101)*$R101))</f>
        <v>611.33677634137302</v>
      </c>
      <c r="AH101" s="160">
        <f t="shared" si="26"/>
        <v>2.0950137211446997</v>
      </c>
      <c r="AI101" s="160">
        <f>IF($E101="","",MIN(Input!$C$61/AH101,1))</f>
        <v>0.64438718771845094</v>
      </c>
      <c r="AJ101" s="152"/>
      <c r="AK101" s="164">
        <f>IF(AND($C100=12,$D100=Input!$C$6),0,IF($E101="","",IF($B101&gt;Input!$C$9,$AC101*AI101,0)+AK102/(1+$L101)*$R101))</f>
        <v>825.30464806085433</v>
      </c>
      <c r="AL101" s="164">
        <f>IF(AND($C100=12,$D100=Input!$C$6),0,IF($E101="","",IF($B101&gt;Input!$C$9,0,$AC101)+AL102/(1+$L101)*$R101))</f>
        <v>1344.2884510672718</v>
      </c>
      <c r="AM101" s="160">
        <f t="shared" si="27"/>
        <v>1.1382936520186004</v>
      </c>
      <c r="AN101" s="164">
        <f>IF($E101="","",IF($B101&gt;Input!$C$9,$AI101*$AC101,$AM101*$AC101))</f>
        <v>216.17980790325885</v>
      </c>
      <c r="AO101" s="164">
        <f>IF(AND($C100=12,$D100=Input!$C$6),0,IF($E101="","",$AN101+AO102/(1+$L101)*$R101))</f>
        <v>2355.499658392645</v>
      </c>
      <c r="AP101" s="152"/>
      <c r="AQ101" s="164">
        <f t="shared" si="28"/>
        <v>514.16267877535802</v>
      </c>
      <c r="AR101" s="164">
        <f t="shared" si="37"/>
        <v>655.9434887926493</v>
      </c>
      <c r="AS101" s="164">
        <f t="shared" si="38"/>
        <v>81.818181818181827</v>
      </c>
      <c r="AT101" s="164">
        <f t="shared" si="29"/>
        <v>655.9434887926493</v>
      </c>
      <c r="AU101" s="152"/>
      <c r="AV101" s="147">
        <f>'Deterministic Reserve'!BC101</f>
        <v>0.62528286765014551</v>
      </c>
      <c r="AW101" s="164">
        <f t="shared" si="30"/>
        <v>655.9434887926493</v>
      </c>
      <c r="AX101" s="164">
        <f t="shared" si="31"/>
        <v>410.15022568870882</v>
      </c>
      <c r="AY101" s="152"/>
    </row>
    <row r="102" spans="1:51" s="150" customFormat="1" x14ac:dyDescent="0.25">
      <c r="A102" s="150">
        <f t="shared" si="39"/>
        <v>98</v>
      </c>
      <c r="B102" s="150">
        <f t="shared" si="40"/>
        <v>9</v>
      </c>
      <c r="C102" s="150">
        <f t="shared" si="41"/>
        <v>2</v>
      </c>
      <c r="D102" s="150">
        <f>IF(E102="","",Input!$C$4+B102-1)</f>
        <v>53</v>
      </c>
      <c r="E102" s="150">
        <f>IF(OR(AND(C101=12,D101=Input!$C$6),E101=""),"",1)</f>
        <v>1</v>
      </c>
      <c r="F102" s="150">
        <f>IF(E102="","",Input!$C$8+B102-1)</f>
        <v>2026</v>
      </c>
      <c r="G102" s="151">
        <f>IF(E102="","",MAX(0,Input!$C$9-B102))</f>
        <v>11</v>
      </c>
      <c r="H102" s="152">
        <f>IF(E102="","",Input!$C$3)</f>
        <v>100000</v>
      </c>
      <c r="I102" s="153">
        <f>IF(E102="","",HLOOKUP($B102,Input!$C$13:$BT$14,2))</f>
        <v>2.2999999999999998</v>
      </c>
      <c r="J102" s="154"/>
      <c r="K102" s="155">
        <f>IF($E102="","",Input!$C$57)</f>
        <v>4.4999999999999998E-2</v>
      </c>
      <c r="L102" s="155">
        <f t="shared" si="32"/>
        <v>3.6748094004368514E-3</v>
      </c>
      <c r="M102" s="147">
        <f>IF($E102="","",VLOOKUP(IF($B102&lt;=Input!$C$7,$B102,26),'Mortality Tables'!$A$72:$CA$97,IF($B102&lt;=Input!$C$7+1,Input!$C$4-16,$D102-Input!$C$7-16),0)/1000)</f>
        <v>1.7099999999999999E-3</v>
      </c>
      <c r="N102" s="147">
        <f t="shared" si="21"/>
        <v>1.4261180654251415E-4</v>
      </c>
      <c r="O102" s="157">
        <f>IF($E102="","",IF($C102=12,IF($B102&lt;Input!$C$9,Input!$C$54,IF($B102=Input!$C$9,Input!$C$55,Input!$C$56)),0%))</f>
        <v>0</v>
      </c>
      <c r="P102" s="167">
        <f>IF($E102="","",IF($B102=1,Input!$C$59,IF($B102&lt;6,Input!$C$60,0%)))</f>
        <v>0</v>
      </c>
      <c r="Q102" s="162">
        <f>IF($E102="","",Input!$C$58)</f>
        <v>2.5</v>
      </c>
      <c r="R102" s="156">
        <f t="shared" si="33"/>
        <v>0.99985738819345749</v>
      </c>
      <c r="S102" s="154">
        <f t="shared" si="22"/>
        <v>0.60483025770321608</v>
      </c>
      <c r="T102" s="152"/>
      <c r="U102" s="150">
        <f t="shared" si="34"/>
        <v>0</v>
      </c>
      <c r="V102" s="150">
        <f t="shared" si="35"/>
        <v>0</v>
      </c>
      <c r="W102" s="168">
        <f t="shared" si="36"/>
        <v>0</v>
      </c>
      <c r="X102" s="163">
        <f t="shared" si="23"/>
        <v>14.261180654251415</v>
      </c>
      <c r="Y102" s="152"/>
      <c r="Z102" s="164">
        <f>IF(AND($C101=12,$D101=Input!$C$6),0,IF($E102="","",V102+Z103/(1+L102)*R102))</f>
        <v>2960.3594281806822</v>
      </c>
      <c r="AA102" s="164">
        <f>IF(OR($M102=1,AND($C101=12,$D101=Input!$C$6)),0,IF($E102="","",W102+(X102+AA103*$R102)/(1+$L102)))</f>
        <v>2866.3553947674968</v>
      </c>
      <c r="AB102" s="160">
        <f t="shared" si="24"/>
        <v>0.825720328500681</v>
      </c>
      <c r="AC102" s="164">
        <f t="shared" si="25"/>
        <v>0</v>
      </c>
      <c r="AD102" s="164">
        <f>IF(AND($C101=12,$D101=Input!$C$6),0,IF($E102="","",$AC102+AD103/(1+$L102)*$R102))</f>
        <v>2444.4289595174409</v>
      </c>
      <c r="AE102" s="152"/>
      <c r="AF102" s="164">
        <f>IF(AND($C101=12,$D101=Input!$C$6),0,IF($E102="","",IF($B102&gt;Input!$C$9,$AC102,0)+AF103/(1+$L102)*$R102))</f>
        <v>1285.6488283503747</v>
      </c>
      <c r="AG102" s="164">
        <f>IF(AND($C101=12,$D101=Input!$C$6),0,IF($E102="","",(IF($B102&gt;Input!$C$9,$X102,0)+AG103)/(1+$L102)*$R102))</f>
        <v>613.67083918090304</v>
      </c>
      <c r="AH102" s="160">
        <f t="shared" si="26"/>
        <v>2.0950137211446997</v>
      </c>
      <c r="AI102" s="160">
        <f>IF($E102="","",MIN(Input!$C$61/AH102,1))</f>
        <v>0.64438718771845094</v>
      </c>
      <c r="AJ102" s="152"/>
      <c r="AK102" s="164">
        <f>IF(AND($C101=12,$D101=Input!$C$6),0,IF($E102="","",IF($B102&gt;Input!$C$9,$AC102*AI102,0)+AK103/(1+$L102)*$R102))</f>
        <v>828.45563289421989</v>
      </c>
      <c r="AL102" s="164">
        <f>IF(AND($C101=12,$D101=Input!$C$6),0,IF($E102="","",IF($B102&gt;Input!$C$9,0,$AC102)+AL103/(1+$L102)*$R102))</f>
        <v>1158.7801311670669</v>
      </c>
      <c r="AM102" s="160">
        <f t="shared" si="27"/>
        <v>1.1382936520186004</v>
      </c>
      <c r="AN102" s="164">
        <f>IF($E102="","",IF($B102&gt;Input!$C$9,$AI102*$AC102,$AM102*$AC102))</f>
        <v>0</v>
      </c>
      <c r="AO102" s="164">
        <f>IF(AND($C101=12,$D101=Input!$C$6),0,IF($E102="","",$AN102+AO103/(1+$L102)*$R102))</f>
        <v>2147.4877002869716</v>
      </c>
      <c r="AP102" s="152"/>
      <c r="AQ102" s="164">
        <f t="shared" si="28"/>
        <v>718.86769448052519</v>
      </c>
      <c r="AR102" s="164">
        <f t="shared" si="37"/>
        <v>655.9434887926493</v>
      </c>
      <c r="AS102" s="164">
        <f t="shared" si="38"/>
        <v>81.818181818181827</v>
      </c>
      <c r="AT102" s="164">
        <f t="shared" si="29"/>
        <v>655.9434887926493</v>
      </c>
      <c r="AU102" s="152"/>
      <c r="AV102" s="147">
        <f>'Deterministic Reserve'!BC102</f>
        <v>0.62522396806459768</v>
      </c>
      <c r="AW102" s="164">
        <f t="shared" si="30"/>
        <v>655.9434887926493</v>
      </c>
      <c r="AX102" s="164">
        <f t="shared" si="31"/>
        <v>410.11159088907618</v>
      </c>
      <c r="AY102" s="152"/>
    </row>
    <row r="103" spans="1:51" s="150" customFormat="1" x14ac:dyDescent="0.25">
      <c r="A103" s="150">
        <f t="shared" si="39"/>
        <v>99</v>
      </c>
      <c r="B103" s="150">
        <f t="shared" si="40"/>
        <v>9</v>
      </c>
      <c r="C103" s="150">
        <f t="shared" si="41"/>
        <v>3</v>
      </c>
      <c r="D103" s="150">
        <f>IF(E103="","",Input!$C$4+B103-1)</f>
        <v>53</v>
      </c>
      <c r="E103" s="150">
        <f>IF(OR(AND(C102=12,D102=Input!$C$6),E102=""),"",1)</f>
        <v>1</v>
      </c>
      <c r="F103" s="150">
        <f>IF(E103="","",Input!$C$8+B103-1)</f>
        <v>2026</v>
      </c>
      <c r="G103" s="151">
        <f>IF(E103="","",MAX(0,Input!$C$9-B103))</f>
        <v>11</v>
      </c>
      <c r="H103" s="152">
        <f>IF(E103="","",Input!$C$3)</f>
        <v>100000</v>
      </c>
      <c r="I103" s="153">
        <f>IF(E103="","",HLOOKUP($B103,Input!$C$13:$BT$14,2))</f>
        <v>2.2999999999999998</v>
      </c>
      <c r="J103" s="154"/>
      <c r="K103" s="155">
        <f>IF($E103="","",Input!$C$57)</f>
        <v>4.4999999999999998E-2</v>
      </c>
      <c r="L103" s="155">
        <f t="shared" si="32"/>
        <v>3.6748094004368514E-3</v>
      </c>
      <c r="M103" s="147">
        <f>IF($E103="","",VLOOKUP(IF($B103&lt;=Input!$C$7,$B103,26),'Mortality Tables'!$A$72:$CA$97,IF($B103&lt;=Input!$C$7+1,Input!$C$4-16,$D103-Input!$C$7-16),0)/1000)</f>
        <v>1.7099999999999999E-3</v>
      </c>
      <c r="N103" s="147">
        <f t="shared" si="21"/>
        <v>1.4261180654251415E-4</v>
      </c>
      <c r="O103" s="157">
        <f>IF($E103="","",IF($C103=12,IF($B103&lt;Input!$C$9,Input!$C$54,IF($B103=Input!$C$9,Input!$C$55,Input!$C$56)),0%))</f>
        <v>0</v>
      </c>
      <c r="P103" s="167">
        <f>IF($E103="","",IF($B103=1,Input!$C$59,IF($B103&lt;6,Input!$C$60,0%)))</f>
        <v>0</v>
      </c>
      <c r="Q103" s="162">
        <f>IF($E103="","",Input!$C$58)</f>
        <v>2.5</v>
      </c>
      <c r="R103" s="156">
        <f t="shared" si="33"/>
        <v>0.99985738819345749</v>
      </c>
      <c r="S103" s="154">
        <f t="shared" si="22"/>
        <v>0.60474400176751342</v>
      </c>
      <c r="T103" s="152"/>
      <c r="U103" s="150">
        <f t="shared" si="34"/>
        <v>0</v>
      </c>
      <c r="V103" s="150">
        <f t="shared" si="35"/>
        <v>0</v>
      </c>
      <c r="W103" s="168">
        <f t="shared" si="36"/>
        <v>0</v>
      </c>
      <c r="X103" s="163">
        <f t="shared" si="23"/>
        <v>14.261180654251415</v>
      </c>
      <c r="Y103" s="152"/>
      <c r="Z103" s="164">
        <f>IF(AND($C102=12,$D102=Input!$C$6),0,IF($E103="","",V103+Z104/(1+L103)*R103))</f>
        <v>2971.66197891928</v>
      </c>
      <c r="AA103" s="164">
        <f>IF(OR($M103=1,AND($C102=12,$D102=Input!$C$6)),0,IF($E103="","",W103+(X103+AA104*$R103)/(1+$L103)))</f>
        <v>2863.0358265743539</v>
      </c>
      <c r="AB103" s="160">
        <f t="shared" si="24"/>
        <v>0.825720328500681</v>
      </c>
      <c r="AC103" s="164">
        <f t="shared" si="25"/>
        <v>0</v>
      </c>
      <c r="AD103" s="164">
        <f>IF(AND($C102=12,$D102=Input!$C$6),0,IF($E103="","",$AC103+AD104/(1+$L103)*$R103))</f>
        <v>2453.7617054262114</v>
      </c>
      <c r="AE103" s="152"/>
      <c r="AF103" s="164">
        <f>IF(AND($C102=12,$D102=Input!$C$6),0,IF($E103="","",IF($B103&gt;Input!$C$9,$AC103,0)+AF104/(1+$L103)*$R103))</f>
        <v>1290.5573914715019</v>
      </c>
      <c r="AG103" s="164">
        <f>IF(AND($C102=12,$D102=Input!$C$6),0,IF($E103="","",(IF($B103&gt;Input!$C$9,$X103,0)+AG104)/(1+$L103)*$R103))</f>
        <v>616.01381339228203</v>
      </c>
      <c r="AH103" s="160">
        <f t="shared" si="26"/>
        <v>2.0950137211446997</v>
      </c>
      <c r="AI103" s="160">
        <f>IF($E103="","",MIN(Input!$C$61/AH103,1))</f>
        <v>0.64438718771845094</v>
      </c>
      <c r="AJ103" s="152"/>
      <c r="AK103" s="164">
        <f>IF(AND($C102=12,$D102=Input!$C$6),0,IF($E103="","",IF($B103&gt;Input!$C$9,$AC103*AI103,0)+AK104/(1+$L103)*$R103))</f>
        <v>831.61864807958148</v>
      </c>
      <c r="AL103" s="164">
        <f>IF(AND($C102=12,$D102=Input!$C$6),0,IF($E103="","",IF($B103&gt;Input!$C$9,0,$AC103)+AL104/(1+$L103)*$R103))</f>
        <v>1163.2043139547102</v>
      </c>
      <c r="AM103" s="160">
        <f t="shared" si="27"/>
        <v>1.1382936520186004</v>
      </c>
      <c r="AN103" s="164">
        <f>IF($E103="","",IF($B103&gt;Input!$C$9,$AI103*$AC103,$AM103*$AC103))</f>
        <v>0</v>
      </c>
      <c r="AO103" s="164">
        <f>IF(AND($C102=12,$D102=Input!$C$6),0,IF($E103="","",$AN103+AO104/(1+$L103)*$R103))</f>
        <v>2155.6867346548775</v>
      </c>
      <c r="AP103" s="152"/>
      <c r="AQ103" s="164">
        <f t="shared" si="28"/>
        <v>707.34909191947645</v>
      </c>
      <c r="AR103" s="164">
        <f t="shared" si="37"/>
        <v>655.9434887926493</v>
      </c>
      <c r="AS103" s="164">
        <f t="shared" si="38"/>
        <v>81.818181818181827</v>
      </c>
      <c r="AT103" s="164">
        <f t="shared" si="29"/>
        <v>655.9434887926493</v>
      </c>
      <c r="AU103" s="152"/>
      <c r="AV103" s="147">
        <f>'Deterministic Reserve'!BC103</f>
        <v>0.62516507402719668</v>
      </c>
      <c r="AW103" s="164">
        <f t="shared" si="30"/>
        <v>655.9434887926493</v>
      </c>
      <c r="AX103" s="164">
        <f t="shared" si="31"/>
        <v>410.07295972871424</v>
      </c>
      <c r="AY103" s="152"/>
    </row>
    <row r="104" spans="1:51" s="150" customFormat="1" x14ac:dyDescent="0.25">
      <c r="A104" s="150">
        <f t="shared" si="39"/>
        <v>100</v>
      </c>
      <c r="B104" s="150">
        <f t="shared" si="40"/>
        <v>9</v>
      </c>
      <c r="C104" s="150">
        <f t="shared" si="41"/>
        <v>4</v>
      </c>
      <c r="D104" s="150">
        <f>IF(E104="","",Input!$C$4+B104-1)</f>
        <v>53</v>
      </c>
      <c r="E104" s="150">
        <f>IF(OR(AND(C103=12,D103=Input!$C$6),E103=""),"",1)</f>
        <v>1</v>
      </c>
      <c r="F104" s="150">
        <f>IF(E104="","",Input!$C$8+B104-1)</f>
        <v>2026</v>
      </c>
      <c r="G104" s="151">
        <f>IF(E104="","",MAX(0,Input!$C$9-B104))</f>
        <v>11</v>
      </c>
      <c r="H104" s="152">
        <f>IF(E104="","",Input!$C$3)</f>
        <v>100000</v>
      </c>
      <c r="I104" s="153">
        <f>IF(E104="","",HLOOKUP($B104,Input!$C$13:$BT$14,2))</f>
        <v>2.2999999999999998</v>
      </c>
      <c r="J104" s="154"/>
      <c r="K104" s="155">
        <f>IF($E104="","",Input!$C$57)</f>
        <v>4.4999999999999998E-2</v>
      </c>
      <c r="L104" s="155">
        <f t="shared" si="32"/>
        <v>3.6748094004368514E-3</v>
      </c>
      <c r="M104" s="147">
        <f>IF($E104="","",VLOOKUP(IF($B104&lt;=Input!$C$7,$B104,26),'Mortality Tables'!$A$72:$CA$97,IF($B104&lt;=Input!$C$7+1,Input!$C$4-16,$D104-Input!$C$7-16),0)/1000)</f>
        <v>1.7099999999999999E-3</v>
      </c>
      <c r="N104" s="147">
        <f t="shared" si="21"/>
        <v>1.4261180654251415E-4</v>
      </c>
      <c r="O104" s="157">
        <f>IF($E104="","",IF($C104=12,IF($B104&lt;Input!$C$9,Input!$C$54,IF($B104=Input!$C$9,Input!$C$55,Input!$C$56)),0%))</f>
        <v>0</v>
      </c>
      <c r="P104" s="167">
        <f>IF($E104="","",IF($B104=1,Input!$C$59,IF($B104&lt;6,Input!$C$60,0%)))</f>
        <v>0</v>
      </c>
      <c r="Q104" s="162">
        <f>IF($E104="","",Input!$C$58)</f>
        <v>2.5</v>
      </c>
      <c r="R104" s="156">
        <f t="shared" si="33"/>
        <v>0.99985738819345749</v>
      </c>
      <c r="S104" s="154">
        <f t="shared" si="22"/>
        <v>0.60465775813292555</v>
      </c>
      <c r="T104" s="152"/>
      <c r="U104" s="150">
        <f t="shared" si="34"/>
        <v>0</v>
      </c>
      <c r="V104" s="150">
        <f t="shared" si="35"/>
        <v>0</v>
      </c>
      <c r="W104" s="168">
        <f t="shared" si="36"/>
        <v>0</v>
      </c>
      <c r="X104" s="163">
        <f t="shared" si="23"/>
        <v>14.261180654251415</v>
      </c>
      <c r="Y104" s="152"/>
      <c r="Z104" s="164">
        <f>IF(AND($C103=12,$D103=Input!$C$6),0,IF($E104="","",V104+Z105/(1+L104)*R104))</f>
        <v>2983.0076824088519</v>
      </c>
      <c r="AA104" s="164">
        <f>IF(OR($M104=1,AND($C103=12,$D103=Input!$C$6)),0,IF($E104="","",W104+(X104+AA105*$R104)/(1+$L104)))</f>
        <v>2859.7035843837302</v>
      </c>
      <c r="AB104" s="160">
        <f t="shared" si="24"/>
        <v>0.825720328500681</v>
      </c>
      <c r="AC104" s="164">
        <f t="shared" si="25"/>
        <v>0</v>
      </c>
      <c r="AD104" s="164">
        <f>IF(AND($C103=12,$D103=Input!$C$6),0,IF($E104="","",$AC104+AD105/(1+$L104)*$R104))</f>
        <v>2463.1300834386921</v>
      </c>
      <c r="AE104" s="152"/>
      <c r="AF104" s="164">
        <f>IF(AND($C103=12,$D103=Input!$C$6),0,IF($E104="","",IF($B104&gt;Input!$C$9,$AC104,0)+AF105/(1+$L104)*$R104))</f>
        <v>1295.4846953182323</v>
      </c>
      <c r="AG104" s="164">
        <f>IF(AND($C103=12,$D103=Input!$C$6),0,IF($E104="","",(IF($B104&gt;Input!$C$9,$X104,0)+AG105)/(1+$L104)*$R104))</f>
        <v>618.36573299882184</v>
      </c>
      <c r="AH104" s="160">
        <f t="shared" si="26"/>
        <v>2.0950137211446997</v>
      </c>
      <c r="AI104" s="160">
        <f>IF($E104="","",MIN(Input!$C$61/AH104,1))</f>
        <v>0.64438718771845094</v>
      </c>
      <c r="AJ104" s="152"/>
      <c r="AK104" s="164">
        <f>IF(AND($C103=12,$D103=Input!$C$6),0,IF($E104="","",IF($B104&gt;Input!$C$9,$AC104*AI104,0)+AK105/(1+$L104)*$R104))</f>
        <v>834.79373954841026</v>
      </c>
      <c r="AL104" s="164">
        <f>IF(AND($C103=12,$D103=Input!$C$6),0,IF($E104="","",IF($B104&gt;Input!$C$9,0,$AC104)+AL105/(1+$L104)*$R104))</f>
        <v>1167.6453881204607</v>
      </c>
      <c r="AM104" s="160">
        <f t="shared" si="27"/>
        <v>1.1382936520186004</v>
      </c>
      <c r="AN104" s="164">
        <f>IF($E104="","",IF($B104&gt;Input!$C$9,$AI104*$AC104,$AM104*$AC104))</f>
        <v>0</v>
      </c>
      <c r="AO104" s="164">
        <f>IF(AND($C103=12,$D103=Input!$C$6),0,IF($E104="","",$AN104+AO105/(1+$L104)*$R104))</f>
        <v>2163.9170726547236</v>
      </c>
      <c r="AP104" s="152"/>
      <c r="AQ104" s="164">
        <f t="shared" si="28"/>
        <v>695.78651172900663</v>
      </c>
      <c r="AR104" s="164">
        <f t="shared" si="37"/>
        <v>655.9434887926493</v>
      </c>
      <c r="AS104" s="164">
        <f t="shared" si="38"/>
        <v>81.818181818181827</v>
      </c>
      <c r="AT104" s="164">
        <f t="shared" si="29"/>
        <v>655.9434887926493</v>
      </c>
      <c r="AU104" s="152"/>
      <c r="AV104" s="147">
        <f>'Deterministic Reserve'!BC104</f>
        <v>0.62510618553741992</v>
      </c>
      <c r="AW104" s="164">
        <f t="shared" si="30"/>
        <v>655.9434887926493</v>
      </c>
      <c r="AX104" s="164">
        <f t="shared" si="31"/>
        <v>410.03433220728039</v>
      </c>
      <c r="AY104" s="152"/>
    </row>
    <row r="105" spans="1:51" s="150" customFormat="1" x14ac:dyDescent="0.25">
      <c r="A105" s="150">
        <f t="shared" si="39"/>
        <v>101</v>
      </c>
      <c r="B105" s="150">
        <f t="shared" si="40"/>
        <v>9</v>
      </c>
      <c r="C105" s="150">
        <f t="shared" si="41"/>
        <v>5</v>
      </c>
      <c r="D105" s="150">
        <f>IF(E105="","",Input!$C$4+B105-1)</f>
        <v>53</v>
      </c>
      <c r="E105" s="150">
        <f>IF(OR(AND(C104=12,D104=Input!$C$6),E104=""),"",1)</f>
        <v>1</v>
      </c>
      <c r="F105" s="150">
        <f>IF(E105="","",Input!$C$8+B105-1)</f>
        <v>2026</v>
      </c>
      <c r="G105" s="151">
        <f>IF(E105="","",MAX(0,Input!$C$9-B105))</f>
        <v>11</v>
      </c>
      <c r="H105" s="152">
        <f>IF(E105="","",Input!$C$3)</f>
        <v>100000</v>
      </c>
      <c r="I105" s="153">
        <f>IF(E105="","",HLOOKUP($B105,Input!$C$13:$BT$14,2))</f>
        <v>2.2999999999999998</v>
      </c>
      <c r="J105" s="154"/>
      <c r="K105" s="155">
        <f>IF($E105="","",Input!$C$57)</f>
        <v>4.4999999999999998E-2</v>
      </c>
      <c r="L105" s="155">
        <f t="shared" si="32"/>
        <v>3.6748094004368514E-3</v>
      </c>
      <c r="M105" s="147">
        <f>IF($E105="","",VLOOKUP(IF($B105&lt;=Input!$C$7,$B105,26),'Mortality Tables'!$A$72:$CA$97,IF($B105&lt;=Input!$C$7+1,Input!$C$4-16,$D105-Input!$C$7-16),0)/1000)</f>
        <v>1.7099999999999999E-3</v>
      </c>
      <c r="N105" s="147">
        <f t="shared" si="21"/>
        <v>1.4261180654251415E-4</v>
      </c>
      <c r="O105" s="157">
        <f>IF($E105="","",IF($C105=12,IF($B105&lt;Input!$C$9,Input!$C$54,IF($B105=Input!$C$9,Input!$C$55,Input!$C$56)),0%))</f>
        <v>0</v>
      </c>
      <c r="P105" s="167">
        <f>IF($E105="","",IF($B105=1,Input!$C$59,IF($B105&lt;6,Input!$C$60,0%)))</f>
        <v>0</v>
      </c>
      <c r="Q105" s="162">
        <f>IF($E105="","",Input!$C$58)</f>
        <v>2.5</v>
      </c>
      <c r="R105" s="156">
        <f t="shared" si="33"/>
        <v>0.99985738819345749</v>
      </c>
      <c r="S105" s="154">
        <f t="shared" si="22"/>
        <v>0.60457152679769821</v>
      </c>
      <c r="T105" s="152"/>
      <c r="U105" s="150">
        <f t="shared" si="34"/>
        <v>0</v>
      </c>
      <c r="V105" s="150">
        <f t="shared" si="35"/>
        <v>0</v>
      </c>
      <c r="W105" s="168">
        <f t="shared" si="36"/>
        <v>0</v>
      </c>
      <c r="X105" s="163">
        <f t="shared" si="23"/>
        <v>14.261180654251415</v>
      </c>
      <c r="Y105" s="152"/>
      <c r="Z105" s="164">
        <f>IF(AND($C104=12,$D104=Input!$C$6),0,IF($E105="","",V105+Z106/(1+L105)*R105))</f>
        <v>2994.3967034051207</v>
      </c>
      <c r="AA105" s="164">
        <f>IF(OR($M105=1,AND($C104=12,$D104=Input!$C$6)),0,IF($E105="","",W105+(X105+AA106*$R105)/(1+$L105)))</f>
        <v>2856.3586198067392</v>
      </c>
      <c r="AB105" s="160">
        <f t="shared" si="24"/>
        <v>0.825720328500681</v>
      </c>
      <c r="AC105" s="164">
        <f t="shared" si="25"/>
        <v>0</v>
      </c>
      <c r="AD105" s="164">
        <f>IF(AND($C104=12,$D104=Input!$C$6),0,IF($E105="","",$AC105+AD106/(1+$L105)*$R105))</f>
        <v>2472.5342295970322</v>
      </c>
      <c r="AE105" s="152"/>
      <c r="AF105" s="164">
        <f>IF(AND($C104=12,$D104=Input!$C$6),0,IF($E105="","",IF($B105&gt;Input!$C$9,$AC105,0)+AF106/(1+$L105)*$R105))</f>
        <v>1300.4308114420132</v>
      </c>
      <c r="AG105" s="164">
        <f>IF(AND($C104=12,$D104=Input!$C$6),0,IF($E105="","",(IF($B105&gt;Input!$C$9,$X105,0)+AG106)/(1+$L105)*$R105))</f>
        <v>620.72663215373439</v>
      </c>
      <c r="AH105" s="160">
        <f t="shared" si="26"/>
        <v>2.0950137211446997</v>
      </c>
      <c r="AI105" s="160">
        <f>IF($E105="","",MIN(Input!$C$61/AH105,1))</f>
        <v>0.64438718771845094</v>
      </c>
      <c r="AJ105" s="152"/>
      <c r="AK105" s="164">
        <f>IF(AND($C104=12,$D104=Input!$C$6),0,IF($E105="","",IF($B105&gt;Input!$C$9,$AC105*AI105,0)+AK106/(1+$L105)*$R105))</f>
        <v>837.9809534075423</v>
      </c>
      <c r="AL105" s="164">
        <f>IF(AND($C104=12,$D104=Input!$C$6),0,IF($E105="","",IF($B105&gt;Input!$C$9,0,$AC105)+AL106/(1+$L105)*$R105))</f>
        <v>1172.1034181550201</v>
      </c>
      <c r="AM105" s="160">
        <f t="shared" si="27"/>
        <v>1.1382936520186004</v>
      </c>
      <c r="AN105" s="164">
        <f>IF($E105="","",IF($B105&gt;Input!$C$9,$AI105*$AC105,$AM105*$AC105))</f>
        <v>0</v>
      </c>
      <c r="AO105" s="164">
        <f>IF(AND($C104=12,$D104=Input!$C$6),0,IF($E105="","",$AN105+AO106/(1+$L105)*$R105))</f>
        <v>2172.1788338027031</v>
      </c>
      <c r="AP105" s="152"/>
      <c r="AQ105" s="164">
        <f t="shared" si="28"/>
        <v>684.17978600403603</v>
      </c>
      <c r="AR105" s="164">
        <f t="shared" si="37"/>
        <v>655.9434887926493</v>
      </c>
      <c r="AS105" s="164">
        <f t="shared" si="38"/>
        <v>81.818181818181827</v>
      </c>
      <c r="AT105" s="164">
        <f t="shared" si="29"/>
        <v>655.9434887926493</v>
      </c>
      <c r="AU105" s="152"/>
      <c r="AV105" s="147">
        <f>'Deterministic Reserve'!BC105</f>
        <v>0.62504730259474484</v>
      </c>
      <c r="AW105" s="164">
        <f t="shared" si="30"/>
        <v>655.9434887926493</v>
      </c>
      <c r="AX105" s="164">
        <f t="shared" si="31"/>
        <v>409.99570832443169</v>
      </c>
      <c r="AY105" s="152"/>
    </row>
    <row r="106" spans="1:51" s="150" customFormat="1" x14ac:dyDescent="0.25">
      <c r="A106" s="150">
        <f t="shared" si="39"/>
        <v>102</v>
      </c>
      <c r="B106" s="150">
        <f t="shared" si="40"/>
        <v>9</v>
      </c>
      <c r="C106" s="150">
        <f t="shared" si="41"/>
        <v>6</v>
      </c>
      <c r="D106" s="150">
        <f>IF(E106="","",Input!$C$4+B106-1)</f>
        <v>53</v>
      </c>
      <c r="E106" s="150">
        <f>IF(OR(AND(C105=12,D105=Input!$C$6),E105=""),"",1)</f>
        <v>1</v>
      </c>
      <c r="F106" s="150">
        <f>IF(E106="","",Input!$C$8+B106-1)</f>
        <v>2026</v>
      </c>
      <c r="G106" s="151">
        <f>IF(E106="","",MAX(0,Input!$C$9-B106))</f>
        <v>11</v>
      </c>
      <c r="H106" s="152">
        <f>IF(E106="","",Input!$C$3)</f>
        <v>100000</v>
      </c>
      <c r="I106" s="153">
        <f>IF(E106="","",HLOOKUP($B106,Input!$C$13:$BT$14,2))</f>
        <v>2.2999999999999998</v>
      </c>
      <c r="J106" s="154"/>
      <c r="K106" s="155">
        <f>IF($E106="","",Input!$C$57)</f>
        <v>4.4999999999999998E-2</v>
      </c>
      <c r="L106" s="155">
        <f t="shared" si="32"/>
        <v>3.6748094004368514E-3</v>
      </c>
      <c r="M106" s="147">
        <f>IF($E106="","",VLOOKUP(IF($B106&lt;=Input!$C$7,$B106,26),'Mortality Tables'!$A$72:$CA$97,IF($B106&lt;=Input!$C$7+1,Input!$C$4-16,$D106-Input!$C$7-16),0)/1000)</f>
        <v>1.7099999999999999E-3</v>
      </c>
      <c r="N106" s="147">
        <f t="shared" si="21"/>
        <v>1.4261180654251415E-4</v>
      </c>
      <c r="O106" s="157">
        <f>IF($E106="","",IF($C106=12,IF($B106&lt;Input!$C$9,Input!$C$54,IF($B106=Input!$C$9,Input!$C$55,Input!$C$56)),0%))</f>
        <v>0</v>
      </c>
      <c r="P106" s="167">
        <f>IF($E106="","",IF($B106=1,Input!$C$59,IF($B106&lt;6,Input!$C$60,0%)))</f>
        <v>0</v>
      </c>
      <c r="Q106" s="162">
        <f>IF($E106="","",Input!$C$58)</f>
        <v>2.5</v>
      </c>
      <c r="R106" s="156">
        <f t="shared" si="33"/>
        <v>0.99985738819345749</v>
      </c>
      <c r="S106" s="154">
        <f t="shared" si="22"/>
        <v>0.60448530776007747</v>
      </c>
      <c r="T106" s="152"/>
      <c r="U106" s="150">
        <f t="shared" si="34"/>
        <v>0</v>
      </c>
      <c r="V106" s="150">
        <f t="shared" si="35"/>
        <v>0</v>
      </c>
      <c r="W106" s="168">
        <f t="shared" si="36"/>
        <v>0</v>
      </c>
      <c r="X106" s="163">
        <f t="shared" si="23"/>
        <v>14.261180654251415</v>
      </c>
      <c r="Y106" s="152"/>
      <c r="Z106" s="164">
        <f>IF(AND($C105=12,$D105=Input!$C$6),0,IF($E106="","",V106+Z107/(1+L106)*R106))</f>
        <v>3005.8292072928411</v>
      </c>
      <c r="AA106" s="164">
        <f>IF(OR($M106=1,AND($C105=12,$D105=Input!$C$6)),0,IF($E106="","",W106+(X106+AA107*$R106)/(1+$L106)))</f>
        <v>2853.0008842697457</v>
      </c>
      <c r="AB106" s="160">
        <f t="shared" si="24"/>
        <v>0.825720328500681</v>
      </c>
      <c r="AC106" s="164">
        <f t="shared" si="25"/>
        <v>0</v>
      </c>
      <c r="AD106" s="164">
        <f>IF(AND($C105=12,$D105=Input!$C$6),0,IF($E106="","",$AC106+AD107/(1+$L106)*$R106))</f>
        <v>2481.9742804627863</v>
      </c>
      <c r="AE106" s="152"/>
      <c r="AF106" s="164">
        <f>IF(AND($C105=12,$D105=Input!$C$6),0,IF($E106="","",IF($B106&gt;Input!$C$9,$AC106,0)+AF107/(1+$L106)*$R106))</f>
        <v>1305.395811667473</v>
      </c>
      <c r="AG106" s="164">
        <f>IF(AND($C105=12,$D105=Input!$C$6),0,IF($E106="","",(IF($B106&gt;Input!$C$9,$X106,0)+AG107)/(1+$L106)*$R106))</f>
        <v>623.09654514062731</v>
      </c>
      <c r="AH106" s="160">
        <f t="shared" si="26"/>
        <v>2.0950137211446997</v>
      </c>
      <c r="AI106" s="160">
        <f>IF($E106="","",MIN(Input!$C$61/AH106,1))</f>
        <v>0.64438718771845094</v>
      </c>
      <c r="AJ106" s="152"/>
      <c r="AK106" s="164">
        <f>IF(AND($C105=12,$D105=Input!$C$6),0,IF($E106="","",IF($B106&gt;Input!$C$9,$AC106*AI106,0)+AK107/(1+$L106)*$R106))</f>
        <v>841.18033593984774</v>
      </c>
      <c r="AL106" s="164">
        <f>IF(AND($C105=12,$D105=Input!$C$6),0,IF($E106="","",IF($B106&gt;Input!$C$9,0,$AC106)+AL107/(1+$L106)*$R106))</f>
        <v>1176.5784687953142</v>
      </c>
      <c r="AM106" s="160">
        <f t="shared" si="27"/>
        <v>1.1382936520186004</v>
      </c>
      <c r="AN106" s="164">
        <f>IF($E106="","",IF($B106&gt;Input!$C$9,$AI106*$AC106,$AM106*$AC106))</f>
        <v>0</v>
      </c>
      <c r="AO106" s="164">
        <f>IF(AND($C105=12,$D105=Input!$C$6),0,IF($E106="","",$AN106+AO107/(1+$L106)*$R106))</f>
        <v>2180.4721380713172</v>
      </c>
      <c r="AP106" s="152"/>
      <c r="AQ106" s="164">
        <f t="shared" si="28"/>
        <v>672.52874619842851</v>
      </c>
      <c r="AR106" s="164">
        <f t="shared" si="37"/>
        <v>655.9434887926493</v>
      </c>
      <c r="AS106" s="164">
        <f t="shared" si="38"/>
        <v>81.818181818181827</v>
      </c>
      <c r="AT106" s="164">
        <f t="shared" si="29"/>
        <v>655.9434887926493</v>
      </c>
      <c r="AU106" s="152"/>
      <c r="AV106" s="147">
        <f>'Deterministic Reserve'!BC106</f>
        <v>0.62498842519864894</v>
      </c>
      <c r="AW106" s="164">
        <f t="shared" si="30"/>
        <v>655.9434887926493</v>
      </c>
      <c r="AX106" s="164">
        <f t="shared" si="31"/>
        <v>409.9570880798255</v>
      </c>
      <c r="AY106" s="152"/>
    </row>
    <row r="107" spans="1:51" s="150" customFormat="1" x14ac:dyDescent="0.25">
      <c r="A107" s="150">
        <f t="shared" si="39"/>
        <v>103</v>
      </c>
      <c r="B107" s="150">
        <f t="shared" si="40"/>
        <v>9</v>
      </c>
      <c r="C107" s="150">
        <f t="shared" si="41"/>
        <v>7</v>
      </c>
      <c r="D107" s="150">
        <f>IF(E107="","",Input!$C$4+B107-1)</f>
        <v>53</v>
      </c>
      <c r="E107" s="150">
        <f>IF(OR(AND(C106=12,D106=Input!$C$6),E106=""),"",1)</f>
        <v>1</v>
      </c>
      <c r="F107" s="150">
        <f>IF(E107="","",Input!$C$8+B107-1)</f>
        <v>2026</v>
      </c>
      <c r="G107" s="151">
        <f>IF(E107="","",MAX(0,Input!$C$9-B107))</f>
        <v>11</v>
      </c>
      <c r="H107" s="152">
        <f>IF(E107="","",Input!$C$3)</f>
        <v>100000</v>
      </c>
      <c r="I107" s="153">
        <f>IF(E107="","",HLOOKUP($B107,Input!$C$13:$BT$14,2))</f>
        <v>2.2999999999999998</v>
      </c>
      <c r="J107" s="154"/>
      <c r="K107" s="155">
        <f>IF($E107="","",Input!$C$57)</f>
        <v>4.4999999999999998E-2</v>
      </c>
      <c r="L107" s="155">
        <f t="shared" si="32"/>
        <v>3.6748094004368514E-3</v>
      </c>
      <c r="M107" s="147">
        <f>IF($E107="","",VLOOKUP(IF($B107&lt;=Input!$C$7,$B107,26),'Mortality Tables'!$A$72:$CA$97,IF($B107&lt;=Input!$C$7+1,Input!$C$4-16,$D107-Input!$C$7-16),0)/1000)</f>
        <v>1.7099999999999999E-3</v>
      </c>
      <c r="N107" s="147">
        <f t="shared" si="21"/>
        <v>1.4261180654251415E-4</v>
      </c>
      <c r="O107" s="157">
        <f>IF($E107="","",IF($C107=12,IF($B107&lt;Input!$C$9,Input!$C$54,IF($B107=Input!$C$9,Input!$C$55,Input!$C$56)),0%))</f>
        <v>0</v>
      </c>
      <c r="P107" s="167">
        <f>IF($E107="","",IF($B107=1,Input!$C$59,IF($B107&lt;6,Input!$C$60,0%)))</f>
        <v>0</v>
      </c>
      <c r="Q107" s="162">
        <f>IF($E107="","",Input!$C$58)</f>
        <v>2.5</v>
      </c>
      <c r="R107" s="156">
        <f t="shared" si="33"/>
        <v>0.99985738819345749</v>
      </c>
      <c r="S107" s="154">
        <f t="shared" si="22"/>
        <v>0.6043991010183094</v>
      </c>
      <c r="T107" s="152"/>
      <c r="U107" s="150">
        <f t="shared" si="34"/>
        <v>0</v>
      </c>
      <c r="V107" s="150">
        <f t="shared" si="35"/>
        <v>0</v>
      </c>
      <c r="W107" s="168">
        <f t="shared" si="36"/>
        <v>0</v>
      </c>
      <c r="X107" s="163">
        <f t="shared" si="23"/>
        <v>14.261180654251415</v>
      </c>
      <c r="Y107" s="152"/>
      <c r="Z107" s="164">
        <f>IF(AND($C106=12,$D106=Input!$C$6),0,IF($E107="","",V107+Z108/(1+L107)*R107))</f>
        <v>3017.3053600882013</v>
      </c>
      <c r="AA107" s="164">
        <f>IF(OR($M107=1,AND($C106=12,$D106=Input!$C$6)),0,IF($E107="","",W107+(X107+AA108*$R107)/(1+$L107)))</f>
        <v>2849.6303290136625</v>
      </c>
      <c r="AB107" s="160">
        <f t="shared" si="24"/>
        <v>0.825720328500681</v>
      </c>
      <c r="AC107" s="164">
        <f t="shared" si="25"/>
        <v>0</v>
      </c>
      <c r="AD107" s="164">
        <f>IF(AND($C106=12,$D106=Input!$C$6),0,IF($E107="","",$AC107+AD108/(1+$L107)*$R107))</f>
        <v>2491.4503731188947</v>
      </c>
      <c r="AE107" s="152"/>
      <c r="AF107" s="164">
        <f>IF(AND($C106=12,$D106=Input!$C$6),0,IF($E107="","",IF($B107&gt;Input!$C$9,$AC107,0)+AF108/(1+$L107)*$R107))</f>
        <v>1310.379768093464</v>
      </c>
      <c r="AG107" s="164">
        <f>IF(AND($C106=12,$D106=Input!$C$6),0,IF($E107="","",(IF($B107&gt;Input!$C$9,$X107,0)+AG108)/(1+$L107)*$R107))</f>
        <v>625.47550637400184</v>
      </c>
      <c r="AH107" s="160">
        <f t="shared" si="26"/>
        <v>2.0950137211446997</v>
      </c>
      <c r="AI107" s="160">
        <f>IF($E107="","",MIN(Input!$C$61/AH107,1))</f>
        <v>0.64438718771845094</v>
      </c>
      <c r="AJ107" s="152"/>
      <c r="AK107" s="164">
        <f>IF(AND($C106=12,$D106=Input!$C$6),0,IF($E107="","",IF($B107&gt;Input!$C$9,$AC107*AI107,0)+AK108/(1+$L107)*$R107))</f>
        <v>844.39193360490344</v>
      </c>
      <c r="AL107" s="164">
        <f>IF(AND($C106=12,$D106=Input!$C$6),0,IF($E107="","",IF($B107&gt;Input!$C$9,0,$AC107)+AL108/(1+$L107)*$R107))</f>
        <v>1181.0706050254316</v>
      </c>
      <c r="AM107" s="160">
        <f t="shared" si="27"/>
        <v>1.1382936520186004</v>
      </c>
      <c r="AN107" s="164">
        <f>IF($E107="","",IF($B107&gt;Input!$C$9,$AI107*$AC107,$AM107*$AC107))</f>
        <v>0</v>
      </c>
      <c r="AO107" s="164">
        <f>IF(AND($C106=12,$D106=Input!$C$6),0,IF($E107="","",$AN107+AO108/(1+$L107)*$R107))</f>
        <v>2188.7971058911185</v>
      </c>
      <c r="AP107" s="152"/>
      <c r="AQ107" s="164">
        <f t="shared" si="28"/>
        <v>660.83322312254404</v>
      </c>
      <c r="AR107" s="164">
        <f t="shared" si="37"/>
        <v>655.9434887926493</v>
      </c>
      <c r="AS107" s="164">
        <f t="shared" si="38"/>
        <v>81.818181818181827</v>
      </c>
      <c r="AT107" s="164">
        <f t="shared" si="29"/>
        <v>655.9434887926493</v>
      </c>
      <c r="AU107" s="152"/>
      <c r="AV107" s="147">
        <f>'Deterministic Reserve'!BC107</f>
        <v>0.62492955334860967</v>
      </c>
      <c r="AW107" s="164">
        <f t="shared" si="30"/>
        <v>655.9434887926493</v>
      </c>
      <c r="AX107" s="164">
        <f t="shared" si="31"/>
        <v>409.9184714731191</v>
      </c>
      <c r="AY107" s="152"/>
    </row>
    <row r="108" spans="1:51" s="150" customFormat="1" x14ac:dyDescent="0.25">
      <c r="A108" s="150">
        <f t="shared" si="39"/>
        <v>104</v>
      </c>
      <c r="B108" s="150">
        <f t="shared" si="40"/>
        <v>9</v>
      </c>
      <c r="C108" s="150">
        <f t="shared" si="41"/>
        <v>8</v>
      </c>
      <c r="D108" s="150">
        <f>IF(E108="","",Input!$C$4+B108-1)</f>
        <v>53</v>
      </c>
      <c r="E108" s="150">
        <f>IF(OR(AND(C107=12,D107=Input!$C$6),E107=""),"",1)</f>
        <v>1</v>
      </c>
      <c r="F108" s="150">
        <f>IF(E108="","",Input!$C$8+B108-1)</f>
        <v>2026</v>
      </c>
      <c r="G108" s="151">
        <f>IF(E108="","",MAX(0,Input!$C$9-B108))</f>
        <v>11</v>
      </c>
      <c r="H108" s="152">
        <f>IF(E108="","",Input!$C$3)</f>
        <v>100000</v>
      </c>
      <c r="I108" s="153">
        <f>IF(E108="","",HLOOKUP($B108,Input!$C$13:$BT$14,2))</f>
        <v>2.2999999999999998</v>
      </c>
      <c r="J108" s="154"/>
      <c r="K108" s="155">
        <f>IF($E108="","",Input!$C$57)</f>
        <v>4.4999999999999998E-2</v>
      </c>
      <c r="L108" s="155">
        <f t="shared" si="32"/>
        <v>3.6748094004368514E-3</v>
      </c>
      <c r="M108" s="147">
        <f>IF($E108="","",VLOOKUP(IF($B108&lt;=Input!$C$7,$B108,26),'Mortality Tables'!$A$72:$CA$97,IF($B108&lt;=Input!$C$7+1,Input!$C$4-16,$D108-Input!$C$7-16),0)/1000)</f>
        <v>1.7099999999999999E-3</v>
      </c>
      <c r="N108" s="147">
        <f t="shared" si="21"/>
        <v>1.4261180654251415E-4</v>
      </c>
      <c r="O108" s="157">
        <f>IF($E108="","",IF($C108=12,IF($B108&lt;Input!$C$9,Input!$C$54,IF($B108=Input!$C$9,Input!$C$55,Input!$C$56)),0%))</f>
        <v>0</v>
      </c>
      <c r="P108" s="167">
        <f>IF($E108="","",IF($B108=1,Input!$C$59,IF($B108&lt;6,Input!$C$60,0%)))</f>
        <v>0</v>
      </c>
      <c r="Q108" s="162">
        <f>IF($E108="","",Input!$C$58)</f>
        <v>2.5</v>
      </c>
      <c r="R108" s="156">
        <f t="shared" si="33"/>
        <v>0.99985738819345749</v>
      </c>
      <c r="S108" s="154">
        <f t="shared" si="22"/>
        <v>0.60431290657064052</v>
      </c>
      <c r="T108" s="152"/>
      <c r="U108" s="150">
        <f t="shared" si="34"/>
        <v>0</v>
      </c>
      <c r="V108" s="150">
        <f t="shared" si="35"/>
        <v>0</v>
      </c>
      <c r="W108" s="168">
        <f t="shared" si="36"/>
        <v>0</v>
      </c>
      <c r="X108" s="163">
        <f t="shared" si="23"/>
        <v>14.261180654251415</v>
      </c>
      <c r="Y108" s="152"/>
      <c r="Z108" s="164">
        <f>IF(AND($C107=12,$D107=Input!$C$6),0,IF($E108="","",V108+Z109/(1+L108)*R108))</f>
        <v>3028.8253284412326</v>
      </c>
      <c r="AA108" s="164">
        <f>IF(OR($M108=1,AND($C107=12,$D107=Input!$C$6)),0,IF($E108="","",W108+(X108+AA109*$R108)/(1+$L108)))</f>
        <v>2846.2469050932418</v>
      </c>
      <c r="AB108" s="160">
        <f t="shared" si="24"/>
        <v>0.825720328500681</v>
      </c>
      <c r="AC108" s="164">
        <f t="shared" si="25"/>
        <v>0</v>
      </c>
      <c r="AD108" s="164">
        <f>IF(AND($C107=12,$D107=Input!$C$6),0,IF($E108="","",$AC108+AD109/(1+$L108)*$R108))</f>
        <v>2500.9626451716772</v>
      </c>
      <c r="AE108" s="152"/>
      <c r="AF108" s="164">
        <f>IF(AND($C107=12,$D107=Input!$C$6),0,IF($E108="","",IF($B108&gt;Input!$C$9,$AC108,0)+AF109/(1+$L108)*$R108))</f>
        <v>1315.3827530941098</v>
      </c>
      <c r="AG108" s="164">
        <f>IF(AND($C107=12,$D107=Input!$C$6),0,IF($E108="","",(IF($B108&gt;Input!$C$9,$X108,0)+AG109)/(1+$L108)*$R108))</f>
        <v>627.86355039975274</v>
      </c>
      <c r="AH108" s="160">
        <f t="shared" si="26"/>
        <v>2.0950137211446997</v>
      </c>
      <c r="AI108" s="160">
        <f>IF($E108="","",MIN(Input!$C$61/AH108,1))</f>
        <v>0.64438718771845094</v>
      </c>
      <c r="AJ108" s="152"/>
      <c r="AK108" s="164">
        <f>IF(AND($C107=12,$D107=Input!$C$6),0,IF($E108="","",IF($B108&gt;Input!$C$9,$AC108*AI108,0)+AK109/(1+$L108)*$R108))</f>
        <v>847.61579303966721</v>
      </c>
      <c r="AL108" s="164">
        <f>IF(AND($C107=12,$D107=Input!$C$6),0,IF($E108="","",IF($B108&gt;Input!$C$9,0,$AC108)+AL109/(1+$L108)*$R108))</f>
        <v>1185.5798920775683</v>
      </c>
      <c r="AM108" s="160">
        <f t="shared" si="27"/>
        <v>1.1382936520186004</v>
      </c>
      <c r="AN108" s="164">
        <f>IF($E108="","",IF($B108&gt;Input!$C$9,$AI108*$AC108,$AM108*$AC108))</f>
        <v>0</v>
      </c>
      <c r="AO108" s="164">
        <f>IF(AND($C107=12,$D107=Input!$C$6),0,IF($E108="","",$AN108+AO109/(1+$L108)*$R108))</f>
        <v>2197.1538581524592</v>
      </c>
      <c r="AP108" s="152"/>
      <c r="AQ108" s="164">
        <f t="shared" si="28"/>
        <v>649.09304694078264</v>
      </c>
      <c r="AR108" s="164">
        <f t="shared" si="37"/>
        <v>655.9434887926493</v>
      </c>
      <c r="AS108" s="164">
        <f t="shared" si="38"/>
        <v>81.818181818181827</v>
      </c>
      <c r="AT108" s="164">
        <f t="shared" si="29"/>
        <v>655.9434887926493</v>
      </c>
      <c r="AU108" s="152"/>
      <c r="AV108" s="147">
        <f>'Deterministic Reserve'!BC108</f>
        <v>0.62487068704410476</v>
      </c>
      <c r="AW108" s="164">
        <f t="shared" si="30"/>
        <v>655.9434887926493</v>
      </c>
      <c r="AX108" s="164">
        <f t="shared" si="31"/>
        <v>409.87985850396979</v>
      </c>
      <c r="AY108" s="152"/>
    </row>
    <row r="109" spans="1:51" s="150" customFormat="1" x14ac:dyDescent="0.25">
      <c r="A109" s="150">
        <f t="shared" si="39"/>
        <v>105</v>
      </c>
      <c r="B109" s="150">
        <f t="shared" si="40"/>
        <v>9</v>
      </c>
      <c r="C109" s="150">
        <f t="shared" si="41"/>
        <v>9</v>
      </c>
      <c r="D109" s="150">
        <f>IF(E109="","",Input!$C$4+B109-1)</f>
        <v>53</v>
      </c>
      <c r="E109" s="150">
        <f>IF(OR(AND(C108=12,D108=Input!$C$6),E108=""),"",1)</f>
        <v>1</v>
      </c>
      <c r="F109" s="150">
        <f>IF(E109="","",Input!$C$8+B109-1)</f>
        <v>2026</v>
      </c>
      <c r="G109" s="151">
        <f>IF(E109="","",MAX(0,Input!$C$9-B109))</f>
        <v>11</v>
      </c>
      <c r="H109" s="152">
        <f>IF(E109="","",Input!$C$3)</f>
        <v>100000</v>
      </c>
      <c r="I109" s="153">
        <f>IF(E109="","",HLOOKUP($B109,Input!$C$13:$BT$14,2))</f>
        <v>2.2999999999999998</v>
      </c>
      <c r="J109" s="154"/>
      <c r="K109" s="155">
        <f>IF($E109="","",Input!$C$57)</f>
        <v>4.4999999999999998E-2</v>
      </c>
      <c r="L109" s="155">
        <f t="shared" si="32"/>
        <v>3.6748094004368514E-3</v>
      </c>
      <c r="M109" s="147">
        <f>IF($E109="","",VLOOKUP(IF($B109&lt;=Input!$C$7,$B109,26),'Mortality Tables'!$A$72:$CA$97,IF($B109&lt;=Input!$C$7+1,Input!$C$4-16,$D109-Input!$C$7-16),0)/1000)</f>
        <v>1.7099999999999999E-3</v>
      </c>
      <c r="N109" s="147">
        <f t="shared" si="21"/>
        <v>1.4261180654251415E-4</v>
      </c>
      <c r="O109" s="157">
        <f>IF($E109="","",IF($C109=12,IF($B109&lt;Input!$C$9,Input!$C$54,IF($B109=Input!$C$9,Input!$C$55,Input!$C$56)),0%))</f>
        <v>0</v>
      </c>
      <c r="P109" s="167">
        <f>IF($E109="","",IF($B109=1,Input!$C$59,IF($B109&lt;6,Input!$C$60,0%)))</f>
        <v>0</v>
      </c>
      <c r="Q109" s="162">
        <f>IF($E109="","",Input!$C$58)</f>
        <v>2.5</v>
      </c>
      <c r="R109" s="156">
        <f t="shared" si="33"/>
        <v>0.99985738819345749</v>
      </c>
      <c r="S109" s="154">
        <f t="shared" si="22"/>
        <v>0.60422672441531755</v>
      </c>
      <c r="T109" s="152"/>
      <c r="U109" s="150">
        <f t="shared" si="34"/>
        <v>0</v>
      </c>
      <c r="V109" s="150">
        <f t="shared" si="35"/>
        <v>0</v>
      </c>
      <c r="W109" s="168">
        <f t="shared" si="36"/>
        <v>0</v>
      </c>
      <c r="X109" s="163">
        <f t="shared" si="23"/>
        <v>14.261180654251415</v>
      </c>
      <c r="Y109" s="152"/>
      <c r="Z109" s="164">
        <f>IF(AND($C108=12,$D108=Input!$C$6),0,IF($E109="","",V109+Z110/(1+L109)*R109))</f>
        <v>3040.3892796382315</v>
      </c>
      <c r="AA109" s="164">
        <f>IF(OR($M109=1,AND($C108=12,$D108=Input!$C$6)),0,IF($E109="","",W109+(X109+AA110*$R109)/(1+$L109)))</f>
        <v>2842.8505633763648</v>
      </c>
      <c r="AB109" s="160">
        <f t="shared" si="24"/>
        <v>0.825720328500681</v>
      </c>
      <c r="AC109" s="164">
        <f t="shared" si="25"/>
        <v>0</v>
      </c>
      <c r="AD109" s="164">
        <f>IF(AND($C108=12,$D108=Input!$C$6),0,IF($E109="","",$AC109+AD110/(1+$L109)*$R109))</f>
        <v>2510.5112347528288</v>
      </c>
      <c r="AE109" s="152"/>
      <c r="AF109" s="164">
        <f>IF(AND($C108=12,$D108=Input!$C$6),0,IF($E109="","",IF($B109&gt;Input!$C$9,$AC109,0)+AF110/(1+$L109)*$R109))</f>
        <v>1320.4048393198555</v>
      </c>
      <c r="AG109" s="164">
        <f>IF(AND($C108=12,$D108=Input!$C$6),0,IF($E109="","",(IF($B109&gt;Input!$C$9,$X109,0)+AG110)/(1+$L109)*$R109))</f>
        <v>630.2607118956696</v>
      </c>
      <c r="AH109" s="160">
        <f t="shared" si="26"/>
        <v>2.0950137211446997</v>
      </c>
      <c r="AI109" s="160">
        <f>IF($E109="","",MIN(Input!$C$61/AH109,1))</f>
        <v>0.64438718771845094</v>
      </c>
      <c r="AJ109" s="152"/>
      <c r="AK109" s="164">
        <f>IF(AND($C108=12,$D108=Input!$C$6),0,IF($E109="","",IF($B109&gt;Input!$C$9,$AC109*AI109,0)+AK110/(1+$L109)*$R109))</f>
        <v>850.85196105915509</v>
      </c>
      <c r="AL109" s="164">
        <f>IF(AND($C108=12,$D108=Input!$C$6),0,IF($E109="","",IF($B109&gt;Input!$C$9,0,$AC109)+AL110/(1+$L109)*$R109))</f>
        <v>1190.1063954329743</v>
      </c>
      <c r="AM109" s="160">
        <f t="shared" si="27"/>
        <v>1.1382936520186004</v>
      </c>
      <c r="AN109" s="164">
        <f>IF($E109="","",IF($B109&gt;Input!$C$9,$AI109*$AC109,$AM109*$AC109))</f>
        <v>0</v>
      </c>
      <c r="AO109" s="164">
        <f>IF(AND($C108=12,$D108=Input!$C$6),0,IF($E109="","",$AN109+AO110/(1+$L109)*$R109))</f>
        <v>2205.5425162072465</v>
      </c>
      <c r="AP109" s="152"/>
      <c r="AQ109" s="164">
        <f t="shared" si="28"/>
        <v>637.30804716911825</v>
      </c>
      <c r="AR109" s="164">
        <f t="shared" si="37"/>
        <v>655.9434887926493</v>
      </c>
      <c r="AS109" s="164">
        <f t="shared" si="38"/>
        <v>81.818181818181827</v>
      </c>
      <c r="AT109" s="164">
        <f t="shared" si="29"/>
        <v>655.9434887926493</v>
      </c>
      <c r="AU109" s="152"/>
      <c r="AV109" s="147">
        <f>'Deterministic Reserve'!BC109</f>
        <v>0.62481182628461174</v>
      </c>
      <c r="AW109" s="164">
        <f t="shared" si="30"/>
        <v>655.9434887926493</v>
      </c>
      <c r="AX109" s="164">
        <f t="shared" si="31"/>
        <v>409.84124917203496</v>
      </c>
      <c r="AY109" s="152"/>
    </row>
    <row r="110" spans="1:51" s="150" customFormat="1" x14ac:dyDescent="0.25">
      <c r="A110" s="150">
        <f t="shared" si="39"/>
        <v>106</v>
      </c>
      <c r="B110" s="150">
        <f t="shared" si="40"/>
        <v>9</v>
      </c>
      <c r="C110" s="150">
        <f t="shared" si="41"/>
        <v>10</v>
      </c>
      <c r="D110" s="150">
        <f>IF(E110="","",Input!$C$4+B110-1)</f>
        <v>53</v>
      </c>
      <c r="E110" s="150">
        <f>IF(OR(AND(C109=12,D109=Input!$C$6),E109=""),"",1)</f>
        <v>1</v>
      </c>
      <c r="F110" s="150">
        <f>IF(E110="","",Input!$C$8+B110-1)</f>
        <v>2026</v>
      </c>
      <c r="G110" s="151">
        <f>IF(E110="","",MAX(0,Input!$C$9-B110))</f>
        <v>11</v>
      </c>
      <c r="H110" s="152">
        <f>IF(E110="","",Input!$C$3)</f>
        <v>100000</v>
      </c>
      <c r="I110" s="153">
        <f>IF(E110="","",HLOOKUP($B110,Input!$C$13:$BT$14,2))</f>
        <v>2.2999999999999998</v>
      </c>
      <c r="J110" s="154"/>
      <c r="K110" s="155">
        <f>IF($E110="","",Input!$C$57)</f>
        <v>4.4999999999999998E-2</v>
      </c>
      <c r="L110" s="155">
        <f t="shared" si="32"/>
        <v>3.6748094004368514E-3</v>
      </c>
      <c r="M110" s="147">
        <f>IF($E110="","",VLOOKUP(IF($B110&lt;=Input!$C$7,$B110,26),'Mortality Tables'!$A$72:$CA$97,IF($B110&lt;=Input!$C$7+1,Input!$C$4-16,$D110-Input!$C$7-16),0)/1000)</f>
        <v>1.7099999999999999E-3</v>
      </c>
      <c r="N110" s="147">
        <f t="shared" si="21"/>
        <v>1.4261180654251415E-4</v>
      </c>
      <c r="O110" s="157">
        <f>IF($E110="","",IF($C110=12,IF($B110&lt;Input!$C$9,Input!$C$54,IF($B110=Input!$C$9,Input!$C$55,Input!$C$56)),0%))</f>
        <v>0</v>
      </c>
      <c r="P110" s="167">
        <f>IF($E110="","",IF($B110=1,Input!$C$59,IF($B110&lt;6,Input!$C$60,0%)))</f>
        <v>0</v>
      </c>
      <c r="Q110" s="162">
        <f>IF($E110="","",Input!$C$58)</f>
        <v>2.5</v>
      </c>
      <c r="R110" s="156">
        <f t="shared" si="33"/>
        <v>0.99985738819345749</v>
      </c>
      <c r="S110" s="154">
        <f t="shared" si="22"/>
        <v>0.60414055455058746</v>
      </c>
      <c r="T110" s="152"/>
      <c r="U110" s="150">
        <f t="shared" si="34"/>
        <v>0</v>
      </c>
      <c r="V110" s="150">
        <f t="shared" si="35"/>
        <v>0</v>
      </c>
      <c r="W110" s="168">
        <f t="shared" si="36"/>
        <v>0</v>
      </c>
      <c r="X110" s="163">
        <f t="shared" si="23"/>
        <v>14.261180654251415</v>
      </c>
      <c r="Y110" s="152"/>
      <c r="Z110" s="164">
        <f>IF(AND($C109=12,$D109=Input!$C$6),0,IF($E110="","",V110+Z111/(1+L110)*R110))</f>
        <v>3051.997381604187</v>
      </c>
      <c r="AA110" s="164">
        <f>IF(OR($M110=1,AND($C109=12,$D109=Input!$C$6)),0,IF($E110="","",W110+(X110+AA111*$R110)/(1+$L110)))</f>
        <v>2839.4412545433279</v>
      </c>
      <c r="AB110" s="160">
        <f t="shared" si="24"/>
        <v>0.825720328500681</v>
      </c>
      <c r="AC110" s="164">
        <f t="shared" si="25"/>
        <v>0</v>
      </c>
      <c r="AD110" s="164">
        <f>IF(AND($C109=12,$D109=Input!$C$6),0,IF($E110="","",$AC110+AD111/(1+$L110)*$R110))</f>
        <v>2520.0962805214272</v>
      </c>
      <c r="AE110" s="152"/>
      <c r="AF110" s="164">
        <f>IF(AND($C109=12,$D109=Input!$C$6),0,IF($E110="","",IF($B110&gt;Input!$C$9,$AC110,0)+AF111/(1+$L110)*$R110))</f>
        <v>1325.4460996985231</v>
      </c>
      <c r="AG110" s="164">
        <f>IF(AND($C109=12,$D109=Input!$C$6),0,IF($E110="","",(IF($B110&gt;Input!$C$9,$X110,0)+AG111)/(1+$L110)*$R110))</f>
        <v>632.66702567194079</v>
      </c>
      <c r="AH110" s="160">
        <f t="shared" si="26"/>
        <v>2.0950137211446997</v>
      </c>
      <c r="AI110" s="160">
        <f>IF($E110="","",MIN(Input!$C$61/AH110,1))</f>
        <v>0.64438718771845094</v>
      </c>
      <c r="AJ110" s="152"/>
      <c r="AK110" s="164">
        <f>IF(AND($C109=12,$D109=Input!$C$6),0,IF($E110="","",IF($B110&gt;Input!$C$9,$AC110*AI110,0)+AK111/(1+$L110)*$R110))</f>
        <v>854.10048465712111</v>
      </c>
      <c r="AL110" s="164">
        <f>IF(AND($C109=12,$D109=Input!$C$6),0,IF($E110="","",IF($B110&gt;Input!$C$9,0,$AC110)+AL111/(1+$L110)*$R110))</f>
        <v>1194.650180822905</v>
      </c>
      <c r="AM110" s="160">
        <f t="shared" si="27"/>
        <v>1.1382936520186004</v>
      </c>
      <c r="AN110" s="164">
        <f>IF($E110="","",IF($B110&gt;Input!$C$9,$AI110*$AC110,$AM110*$AC110))</f>
        <v>0</v>
      </c>
      <c r="AO110" s="164">
        <f>IF(AND($C109=12,$D109=Input!$C$6),0,IF($E110="","",$AN110+AO111/(1+$L110)*$R110))</f>
        <v>2213.9632018707057</v>
      </c>
      <c r="AP110" s="152"/>
      <c r="AQ110" s="164">
        <f t="shared" si="28"/>
        <v>625.4780526726222</v>
      </c>
      <c r="AR110" s="164">
        <f t="shared" si="37"/>
        <v>655.9434887926493</v>
      </c>
      <c r="AS110" s="164">
        <f t="shared" si="38"/>
        <v>81.818181818181827</v>
      </c>
      <c r="AT110" s="164">
        <f t="shared" si="29"/>
        <v>655.9434887926493</v>
      </c>
      <c r="AU110" s="152"/>
      <c r="AV110" s="147">
        <f>'Deterministic Reserve'!BC110</f>
        <v>0.62475297106960825</v>
      </c>
      <c r="AW110" s="164">
        <f t="shared" si="30"/>
        <v>655.9434887926493</v>
      </c>
      <c r="AX110" s="164">
        <f t="shared" si="31"/>
        <v>409.80264347697192</v>
      </c>
      <c r="AY110" s="152"/>
    </row>
    <row r="111" spans="1:51" s="150" customFormat="1" x14ac:dyDescent="0.25">
      <c r="A111" s="150">
        <f t="shared" si="39"/>
        <v>107</v>
      </c>
      <c r="B111" s="150">
        <f t="shared" si="40"/>
        <v>9</v>
      </c>
      <c r="C111" s="150">
        <f t="shared" si="41"/>
        <v>11</v>
      </c>
      <c r="D111" s="150">
        <f>IF(E111="","",Input!$C$4+B111-1)</f>
        <v>53</v>
      </c>
      <c r="E111" s="150">
        <f>IF(OR(AND(C110=12,D110=Input!$C$6),E110=""),"",1)</f>
        <v>1</v>
      </c>
      <c r="F111" s="150">
        <f>IF(E111="","",Input!$C$8+B111-1)</f>
        <v>2026</v>
      </c>
      <c r="G111" s="151">
        <f>IF(E111="","",MAX(0,Input!$C$9-B111))</f>
        <v>11</v>
      </c>
      <c r="H111" s="152">
        <f>IF(E111="","",Input!$C$3)</f>
        <v>100000</v>
      </c>
      <c r="I111" s="153">
        <f>IF(E111="","",HLOOKUP($B111,Input!$C$13:$BT$14,2))</f>
        <v>2.2999999999999998</v>
      </c>
      <c r="J111" s="154"/>
      <c r="K111" s="155">
        <f>IF($E111="","",Input!$C$57)</f>
        <v>4.4999999999999998E-2</v>
      </c>
      <c r="L111" s="155">
        <f t="shared" si="32"/>
        <v>3.6748094004368514E-3</v>
      </c>
      <c r="M111" s="147">
        <f>IF($E111="","",VLOOKUP(IF($B111&lt;=Input!$C$7,$B111,26),'Mortality Tables'!$A$72:$CA$97,IF($B111&lt;=Input!$C$7+1,Input!$C$4-16,$D111-Input!$C$7-16),0)/1000)</f>
        <v>1.7099999999999999E-3</v>
      </c>
      <c r="N111" s="147">
        <f t="shared" si="21"/>
        <v>1.4261180654251415E-4</v>
      </c>
      <c r="O111" s="157">
        <f>IF($E111="","",IF($C111=12,IF($B111&lt;Input!$C$9,Input!$C$54,IF($B111=Input!$C$9,Input!$C$55,Input!$C$56)),0%))</f>
        <v>0</v>
      </c>
      <c r="P111" s="167">
        <f>IF($E111="","",IF($B111=1,Input!$C$59,IF($B111&lt;6,Input!$C$60,0%)))</f>
        <v>0</v>
      </c>
      <c r="Q111" s="162">
        <f>IF($E111="","",Input!$C$58)</f>
        <v>2.5</v>
      </c>
      <c r="R111" s="156">
        <f t="shared" si="33"/>
        <v>0.99985738819345749</v>
      </c>
      <c r="S111" s="154">
        <f t="shared" si="22"/>
        <v>0.60405439697469743</v>
      </c>
      <c r="T111" s="152"/>
      <c r="U111" s="150">
        <f t="shared" si="34"/>
        <v>0</v>
      </c>
      <c r="V111" s="150">
        <f t="shared" si="35"/>
        <v>0</v>
      </c>
      <c r="W111" s="168">
        <f t="shared" si="36"/>
        <v>0</v>
      </c>
      <c r="X111" s="163">
        <f t="shared" si="23"/>
        <v>14.261180654251415</v>
      </c>
      <c r="Y111" s="152"/>
      <c r="Z111" s="164">
        <f>IF(AND($C110=12,$D110=Input!$C$6),0,IF($E111="","",V111+Z112/(1+L111)*R111))</f>
        <v>3063.6498029052209</v>
      </c>
      <c r="AA111" s="164">
        <f>IF(OR($M111=1,AND($C110=12,$D110=Input!$C$6)),0,IF($E111="","",W111+(X111+AA112*$R111)/(1+$L111)))</f>
        <v>2836.0189290861263</v>
      </c>
      <c r="AB111" s="160">
        <f t="shared" si="24"/>
        <v>0.825720328500681</v>
      </c>
      <c r="AC111" s="164">
        <f t="shared" si="25"/>
        <v>0</v>
      </c>
      <c r="AD111" s="164">
        <f>IF(AND($C110=12,$D110=Input!$C$6),0,IF($E111="","",$AC111+AD112/(1+$L111)*$R111))</f>
        <v>2529.7179216659451</v>
      </c>
      <c r="AE111" s="152"/>
      <c r="AF111" s="164">
        <f>IF(AND($C110=12,$D110=Input!$C$6),0,IF($E111="","",IF($B111&gt;Input!$C$9,$AC111,0)+AF112/(1+$L111)*$R111))</f>
        <v>1330.506607436371</v>
      </c>
      <c r="AG111" s="164">
        <f>IF(AND($C110=12,$D110=Input!$C$6),0,IF($E111="","",(IF($B111&gt;Input!$C$9,$X111,0)+AG112)/(1+$L111)*$R111))</f>
        <v>635.08252667165868</v>
      </c>
      <c r="AH111" s="160">
        <f t="shared" si="26"/>
        <v>2.0950137211446997</v>
      </c>
      <c r="AI111" s="160">
        <f>IF($E111="","",MIN(Input!$C$61/AH111,1))</f>
        <v>0.64438718771845094</v>
      </c>
      <c r="AJ111" s="152"/>
      <c r="AK111" s="164">
        <f>IF(AND($C110=12,$D110=Input!$C$6),0,IF($E111="","",IF($B111&gt;Input!$C$9,$AC111*AI111,0)+AK112/(1+$L111)*$R111))</f>
        <v>857.36141100674024</v>
      </c>
      <c r="AL111" s="164">
        <f>IF(AND($C110=12,$D110=Input!$C$6),0,IF($E111="","",IF($B111&gt;Input!$C$9,0,$AC111)+AL112/(1+$L111)*$R111))</f>
        <v>1199.211314229575</v>
      </c>
      <c r="AM111" s="160">
        <f t="shared" si="27"/>
        <v>1.1382936520186004</v>
      </c>
      <c r="AN111" s="164">
        <f>IF($E111="","",IF($B111&gt;Input!$C$9,$AI111*$AC111,$AM111*$AC111))</f>
        <v>0</v>
      </c>
      <c r="AO111" s="164">
        <f>IF(AND($C110=12,$D110=Input!$C$6),0,IF($E111="","",$AN111+AO112/(1+$L111)*$R111))</f>
        <v>2222.4160374231474</v>
      </c>
      <c r="AP111" s="152"/>
      <c r="AQ111" s="164">
        <f t="shared" si="28"/>
        <v>613.60289166297889</v>
      </c>
      <c r="AR111" s="164">
        <f t="shared" si="37"/>
        <v>655.9434887926493</v>
      </c>
      <c r="AS111" s="164">
        <f t="shared" si="38"/>
        <v>81.818181818181827</v>
      </c>
      <c r="AT111" s="164">
        <f t="shared" si="29"/>
        <v>655.9434887926493</v>
      </c>
      <c r="AU111" s="152"/>
      <c r="AV111" s="147">
        <f>'Deterministic Reserve'!BC111</f>
        <v>0.62469412139857206</v>
      </c>
      <c r="AW111" s="164">
        <f t="shared" si="30"/>
        <v>655.9434887926493</v>
      </c>
      <c r="AX111" s="164">
        <f t="shared" si="31"/>
        <v>409.76404141843813</v>
      </c>
      <c r="AY111" s="152"/>
    </row>
    <row r="112" spans="1:51" s="150" customFormat="1" x14ac:dyDescent="0.25">
      <c r="A112" s="150">
        <f t="shared" si="39"/>
        <v>108</v>
      </c>
      <c r="B112" s="150">
        <f t="shared" si="40"/>
        <v>9</v>
      </c>
      <c r="C112" s="150">
        <f t="shared" si="41"/>
        <v>12</v>
      </c>
      <c r="D112" s="150">
        <f>IF(E112="","",Input!$C$4+B112-1)</f>
        <v>53</v>
      </c>
      <c r="E112" s="150">
        <f>IF(OR(AND(C111=12,D111=Input!$C$6),E111=""),"",1)</f>
        <v>1</v>
      </c>
      <c r="F112" s="150">
        <f>IF(E112="","",Input!$C$8+B112-1)</f>
        <v>2026</v>
      </c>
      <c r="G112" s="151">
        <f>IF(E112="","",MAX(0,Input!$C$9-B112))</f>
        <v>11</v>
      </c>
      <c r="H112" s="152">
        <f>IF(E112="","",Input!$C$3)</f>
        <v>100000</v>
      </c>
      <c r="I112" s="153">
        <f>IF(E112="","",HLOOKUP($B112,Input!$C$13:$BT$14,2))</f>
        <v>2.2999999999999998</v>
      </c>
      <c r="J112" s="154"/>
      <c r="K112" s="155">
        <f>IF($E112="","",Input!$C$57)</f>
        <v>4.4999999999999998E-2</v>
      </c>
      <c r="L112" s="155">
        <f t="shared" si="32"/>
        <v>3.6748094004368514E-3</v>
      </c>
      <c r="M112" s="147">
        <f>IF($E112="","",VLOOKUP(IF($B112&lt;=Input!$C$7,$B112,26),'Mortality Tables'!$A$72:$CA$97,IF($B112&lt;=Input!$C$7+1,Input!$C$4-16,$D112-Input!$C$7-16),0)/1000)</f>
        <v>1.7099999999999999E-3</v>
      </c>
      <c r="N112" s="147">
        <f t="shared" si="21"/>
        <v>1.4261180654251415E-4</v>
      </c>
      <c r="O112" s="157">
        <f>IF($E112="","",IF($C112=12,IF($B112&lt;Input!$C$9,Input!$C$54,IF($B112=Input!$C$9,Input!$C$55,Input!$C$56)),0%))</f>
        <v>0.06</v>
      </c>
      <c r="P112" s="167">
        <f>IF($E112="","",IF($B112=1,Input!$C$59,IF($B112&lt;6,Input!$C$60,0%)))</f>
        <v>0</v>
      </c>
      <c r="Q112" s="162">
        <f>IF($E112="","",Input!$C$58)</f>
        <v>2.5</v>
      </c>
      <c r="R112" s="156">
        <f t="shared" si="33"/>
        <v>0.93985738819345754</v>
      </c>
      <c r="S112" s="154">
        <f t="shared" si="22"/>
        <v>0.5677249878674131</v>
      </c>
      <c r="T112" s="152"/>
      <c r="U112" s="150">
        <f t="shared" si="34"/>
        <v>0</v>
      </c>
      <c r="V112" s="150">
        <f t="shared" si="35"/>
        <v>0</v>
      </c>
      <c r="W112" s="168">
        <f t="shared" si="36"/>
        <v>0</v>
      </c>
      <c r="X112" s="163">
        <f t="shared" si="23"/>
        <v>14.261180654251415</v>
      </c>
      <c r="Y112" s="152"/>
      <c r="Z112" s="164">
        <f>IF(AND($C111=12,$D111=Input!$C$6),0,IF($E112="","",V112+Z113/(1+L112)*R112))</f>
        <v>3075.3467127510335</v>
      </c>
      <c r="AA112" s="164">
        <f>IF(OR($M112=1,AND($C111=12,$D111=Input!$C$6)),0,IF($E112="","",W112+(X112+AA113*$R112)/(1+$L112)))</f>
        <v>2832.5835373077357</v>
      </c>
      <c r="AB112" s="160">
        <f t="shared" si="24"/>
        <v>0.825720328500681</v>
      </c>
      <c r="AC112" s="164">
        <f t="shared" si="25"/>
        <v>0</v>
      </c>
      <c r="AD112" s="164">
        <f>IF(AND($C111=12,$D111=Input!$C$6),0,IF($E112="","",$AC112+AD113/(1+$L112)*$R112))</f>
        <v>2539.3762979062722</v>
      </c>
      <c r="AE112" s="152"/>
      <c r="AF112" s="164">
        <f>IF(AND($C111=12,$D111=Input!$C$6),0,IF($E112="","",IF($B112&gt;Input!$C$9,$AC112,0)+AF113/(1+$L112)*$R112))</f>
        <v>1335.5864360191558</v>
      </c>
      <c r="AG112" s="164">
        <f>IF(AND($C111=12,$D111=Input!$C$6),0,IF($E112="","",(IF($B112&gt;Input!$C$9,$X112,0)+AG113)/(1+$L112)*$R112))</f>
        <v>637.50724997132727</v>
      </c>
      <c r="AH112" s="160">
        <f t="shared" si="26"/>
        <v>2.0950137211446997</v>
      </c>
      <c r="AI112" s="160">
        <f>IF($E112="","",MIN(Input!$C$61/AH112,1))</f>
        <v>0.64438718771845094</v>
      </c>
      <c r="AJ112" s="152"/>
      <c r="AK112" s="164">
        <f>IF(AND($C111=12,$D111=Input!$C$6),0,IF($E112="","",IF($B112&gt;Input!$C$9,$AC112*AI112,0)+AK113/(1+$L112)*$R112))</f>
        <v>860.63478746129283</v>
      </c>
      <c r="AL112" s="164">
        <f>IF(AND($C111=12,$D111=Input!$C$6),0,IF($E112="","",IF($B112&gt;Input!$C$9,0,$AC112)+AL113/(1+$L112)*$R112))</f>
        <v>1203.7898618871175</v>
      </c>
      <c r="AM112" s="160">
        <f t="shared" si="27"/>
        <v>1.1382936520186004</v>
      </c>
      <c r="AN112" s="164">
        <f>IF($E112="","",IF($B112&gt;Input!$C$9,$AI112*$AC112,$AM112*$AC112))</f>
        <v>0</v>
      </c>
      <c r="AO112" s="164">
        <f>IF(AND($C111=12,$D111=Input!$C$6),0,IF($E112="","",$AN112+AO113/(1+$L112)*$R112))</f>
        <v>2230.9011456117451</v>
      </c>
      <c r="AP112" s="152"/>
      <c r="AQ112" s="164">
        <f t="shared" si="28"/>
        <v>601.68239169599065</v>
      </c>
      <c r="AR112" s="164">
        <f t="shared" si="37"/>
        <v>655.9434887926493</v>
      </c>
      <c r="AS112" s="164">
        <f t="shared" si="38"/>
        <v>81.818181818181827</v>
      </c>
      <c r="AT112" s="164">
        <f t="shared" si="29"/>
        <v>655.9434887926493</v>
      </c>
      <c r="AU112" s="152"/>
      <c r="AV112" s="147">
        <f>'Deterministic Reserve'!BC112</f>
        <v>0.59340057120105227</v>
      </c>
      <c r="AW112" s="164">
        <f t="shared" si="30"/>
        <v>655.9434887926493</v>
      </c>
      <c r="AX112" s="164">
        <f t="shared" si="31"/>
        <v>389.23724092516915</v>
      </c>
      <c r="AY112" s="152"/>
    </row>
    <row r="113" spans="1:51" s="150" customFormat="1" x14ac:dyDescent="0.25">
      <c r="A113" s="150">
        <f t="shared" si="39"/>
        <v>109</v>
      </c>
      <c r="B113" s="150">
        <f t="shared" si="40"/>
        <v>10</v>
      </c>
      <c r="C113" s="150">
        <f t="shared" si="41"/>
        <v>1</v>
      </c>
      <c r="D113" s="150">
        <f>IF(E113="","",Input!$C$4+B113-1)</f>
        <v>54</v>
      </c>
      <c r="E113" s="150">
        <f>IF(OR(AND(C112=12,D112=Input!$C$6),E112=""),"",1)</f>
        <v>1</v>
      </c>
      <c r="F113" s="150">
        <f>IF(E113="","",Input!$C$8+B113-1)</f>
        <v>2027</v>
      </c>
      <c r="G113" s="151">
        <f>IF(E113="","",MAX(0,Input!$C$9-B113))</f>
        <v>10</v>
      </c>
      <c r="H113" s="152">
        <f>IF(E113="","",Input!$C$3)</f>
        <v>100000</v>
      </c>
      <c r="I113" s="153">
        <f>IF(E113="","",HLOOKUP($B113,Input!$C$13:$BT$14,2))</f>
        <v>2.2999999999999998</v>
      </c>
      <c r="J113" s="154"/>
      <c r="K113" s="155">
        <f>IF($E113="","",Input!$C$57)</f>
        <v>4.4999999999999998E-2</v>
      </c>
      <c r="L113" s="155">
        <f t="shared" si="32"/>
        <v>3.6748094004368514E-3</v>
      </c>
      <c r="M113" s="147">
        <f>IF($E113="","",VLOOKUP(IF($B113&lt;=Input!$C$7,$B113,26),'Mortality Tables'!$A$72:$CA$97,IF($B113&lt;=Input!$C$7+1,Input!$C$4-16,$D113-Input!$C$7-16),0)/1000)</f>
        <v>1.9299999999999999E-3</v>
      </c>
      <c r="N113" s="147">
        <f t="shared" si="21"/>
        <v>1.6097577949414354E-4</v>
      </c>
      <c r="O113" s="157">
        <f>IF($E113="","",IF($C113=12,IF($B113&lt;Input!$C$9,Input!$C$54,IF($B113=Input!$C$9,Input!$C$55,Input!$C$56)),0%))</f>
        <v>0</v>
      </c>
      <c r="P113" s="167">
        <f>IF($E113="","",IF($B113=1,Input!$C$59,IF($B113&lt;6,Input!$C$60,0%)))</f>
        <v>0</v>
      </c>
      <c r="Q113" s="162">
        <f>IF($E113="","",Input!$C$58)</f>
        <v>2.5</v>
      </c>
      <c r="R113" s="156">
        <f t="shared" si="33"/>
        <v>0.99983902422050586</v>
      </c>
      <c r="S113" s="154">
        <f t="shared" si="22"/>
        <v>0.56763359789495282</v>
      </c>
      <c r="T113" s="152"/>
      <c r="U113" s="150">
        <f t="shared" si="34"/>
        <v>229.99999999999997</v>
      </c>
      <c r="V113" s="150">
        <f t="shared" si="35"/>
        <v>229.99999999999997</v>
      </c>
      <c r="W113" s="168">
        <f t="shared" si="36"/>
        <v>0</v>
      </c>
      <c r="X113" s="163">
        <f t="shared" si="23"/>
        <v>16.097577949414354</v>
      </c>
      <c r="Y113" s="152"/>
      <c r="Z113" s="164">
        <f>IF(AND($C112=12,$D112=Input!$C$6),0,IF($E113="","",V113+Z114/(1+L113)*R113))</f>
        <v>3284.166368786694</v>
      </c>
      <c r="AA113" s="164">
        <f>IF(OR($M113=1,AND($C112=12,$D112=Input!$C$6)),0,IF($E113="","",W113+(X113+AA114*$R113)/(1+$L113)))</f>
        <v>3009.7455175631894</v>
      </c>
      <c r="AB113" s="160">
        <f t="shared" si="24"/>
        <v>0.825720328500681</v>
      </c>
      <c r="AC113" s="164">
        <f t="shared" si="25"/>
        <v>189.91567555515661</v>
      </c>
      <c r="AD113" s="164">
        <f>IF(AND($C112=12,$D112=Input!$C$6),0,IF($E113="","",$AC113+AD114/(1+$L113)*$R113))</f>
        <v>2711.8029328854368</v>
      </c>
      <c r="AE113" s="152"/>
      <c r="AF113" s="164">
        <f>IF(AND($C112=12,$D112=Input!$C$6),0,IF($E113="","",IF($B113&gt;Input!$C$9,$AC113,0)+AF114/(1+$L113)*$R113))</f>
        <v>1426.274324646168</v>
      </c>
      <c r="AG113" s="164">
        <f>IF(AND($C112=12,$D112=Input!$C$6),0,IF($E113="","",(IF($B113&gt;Input!$C$9,$X113,0)+AG114)/(1+$L113)*$R113))</f>
        <v>680.79474146205644</v>
      </c>
      <c r="AH113" s="160">
        <f t="shared" si="26"/>
        <v>2.0950137211446997</v>
      </c>
      <c r="AI113" s="160">
        <f>IF($E113="","",MIN(Input!$C$61/AH113,1))</f>
        <v>0.64438718771845094</v>
      </c>
      <c r="AJ113" s="152"/>
      <c r="AK113" s="164">
        <f>IF(AND($C112=12,$D112=Input!$C$6),0,IF($E113="","",IF($B113&gt;Input!$C$9,$AC113*AI113,0)+AK114/(1+$L113)*$R113))</f>
        <v>919.07290097377734</v>
      </c>
      <c r="AL113" s="164">
        <f>IF(AND($C112=12,$D112=Input!$C$6),0,IF($E113="","",IF($B113&gt;Input!$C$9,0,$AC113)+AL114/(1+$L113)*$R113))</f>
        <v>1285.5286082392699</v>
      </c>
      <c r="AM113" s="160">
        <f t="shared" si="27"/>
        <v>1.1382936520186004</v>
      </c>
      <c r="AN113" s="164">
        <f>IF($E113="","",IF($B113&gt;Input!$C$9,$AI113*$AC113,$AM113*$AC113))</f>
        <v>216.17980790325885</v>
      </c>
      <c r="AO113" s="164">
        <f>IF(AND($C112=12,$D112=Input!$C$6),0,IF($E113="","",$AN113+AO114/(1+$L113)*$R113))</f>
        <v>2382.3819552208433</v>
      </c>
      <c r="AP113" s="152"/>
      <c r="AQ113" s="164">
        <f t="shared" si="28"/>
        <v>627.36356234234609</v>
      </c>
      <c r="AR113" s="164">
        <f t="shared" si="37"/>
        <v>758.57789223758573</v>
      </c>
      <c r="AS113" s="164">
        <f t="shared" si="38"/>
        <v>92.344497607655512</v>
      </c>
      <c r="AT113" s="164">
        <f t="shared" si="29"/>
        <v>758.57789223758573</v>
      </c>
      <c r="AU113" s="152"/>
      <c r="AV113" s="147">
        <f>'Deterministic Reserve'!BC113</f>
        <v>0.59333814029180487</v>
      </c>
      <c r="AW113" s="164">
        <f t="shared" si="30"/>
        <v>758.57789223758573</v>
      </c>
      <c r="AX113" s="164">
        <f t="shared" si="31"/>
        <v>450.0931958467263</v>
      </c>
      <c r="AY113" s="152"/>
    </row>
    <row r="114" spans="1:51" s="150" customFormat="1" x14ac:dyDescent="0.25">
      <c r="A114" s="150">
        <f t="shared" si="39"/>
        <v>110</v>
      </c>
      <c r="B114" s="150">
        <f t="shared" si="40"/>
        <v>10</v>
      </c>
      <c r="C114" s="150">
        <f t="shared" si="41"/>
        <v>2</v>
      </c>
      <c r="D114" s="150">
        <f>IF(E114="","",Input!$C$4+B114-1)</f>
        <v>54</v>
      </c>
      <c r="E114" s="150">
        <f>IF(OR(AND(C113=12,D113=Input!$C$6),E113=""),"",1)</f>
        <v>1</v>
      </c>
      <c r="F114" s="150">
        <f>IF(E114="","",Input!$C$8+B114-1)</f>
        <v>2027</v>
      </c>
      <c r="G114" s="151">
        <f>IF(E114="","",MAX(0,Input!$C$9-B114))</f>
        <v>10</v>
      </c>
      <c r="H114" s="152">
        <f>IF(E114="","",Input!$C$3)</f>
        <v>100000</v>
      </c>
      <c r="I114" s="153">
        <f>IF(E114="","",HLOOKUP($B114,Input!$C$13:$BT$14,2))</f>
        <v>2.2999999999999998</v>
      </c>
      <c r="J114" s="154"/>
      <c r="K114" s="155">
        <f>IF($E114="","",Input!$C$57)</f>
        <v>4.4999999999999998E-2</v>
      </c>
      <c r="L114" s="155">
        <f t="shared" si="32"/>
        <v>3.6748094004368514E-3</v>
      </c>
      <c r="M114" s="147">
        <f>IF($E114="","",VLOOKUP(IF($B114&lt;=Input!$C$7,$B114,26),'Mortality Tables'!$A$72:$CA$97,IF($B114&lt;=Input!$C$7+1,Input!$C$4-16,$D114-Input!$C$7-16),0)/1000)</f>
        <v>1.9299999999999999E-3</v>
      </c>
      <c r="N114" s="147">
        <f t="shared" si="21"/>
        <v>1.6097577949414354E-4</v>
      </c>
      <c r="O114" s="157">
        <f>IF($E114="","",IF($C114=12,IF($B114&lt;Input!$C$9,Input!$C$54,IF($B114=Input!$C$9,Input!$C$55,Input!$C$56)),0%))</f>
        <v>0</v>
      </c>
      <c r="P114" s="167">
        <f>IF($E114="","",IF($B114=1,Input!$C$59,IF($B114&lt;6,Input!$C$60,0%)))</f>
        <v>0</v>
      </c>
      <c r="Q114" s="162">
        <f>IF($E114="","",Input!$C$58)</f>
        <v>2.5</v>
      </c>
      <c r="R114" s="156">
        <f t="shared" si="33"/>
        <v>0.99983902422050586</v>
      </c>
      <c r="S114" s="154">
        <f t="shared" si="22"/>
        <v>0.56754222263406462</v>
      </c>
      <c r="T114" s="152"/>
      <c r="U114" s="150">
        <f t="shared" si="34"/>
        <v>0</v>
      </c>
      <c r="V114" s="150">
        <f t="shared" si="35"/>
        <v>0</v>
      </c>
      <c r="W114" s="168">
        <f t="shared" si="36"/>
        <v>0</v>
      </c>
      <c r="X114" s="163">
        <f t="shared" si="23"/>
        <v>16.097577949414354</v>
      </c>
      <c r="Y114" s="152"/>
      <c r="Z114" s="164">
        <f>IF(AND($C113=12,$D113=Input!$C$6),0,IF($E114="","",V114+Z115/(1+L114)*R114))</f>
        <v>3065.8833810363099</v>
      </c>
      <c r="AA114" s="164">
        <f>IF(OR($M114=1,AND($C113=12,$D113=Input!$C$6)),0,IF($E114="","",W114+(X114+AA115*$R114)/(1+$L114)))</f>
        <v>3005.1919438503296</v>
      </c>
      <c r="AB114" s="160">
        <f t="shared" si="24"/>
        <v>0.825720328500681</v>
      </c>
      <c r="AC114" s="164">
        <f t="shared" si="25"/>
        <v>0</v>
      </c>
      <c r="AD114" s="164">
        <f>IF(AND($C113=12,$D113=Input!$C$6),0,IF($E114="","",$AC114+AD115/(1+$L114)*$R114))</f>
        <v>2531.5622325340792</v>
      </c>
      <c r="AE114" s="152"/>
      <c r="AF114" s="164">
        <f>IF(AND($C113=12,$D113=Input!$C$6),0,IF($E114="","",IF($B114&gt;Input!$C$9,$AC114,0)+AF115/(1+$L114)*$R114))</f>
        <v>1431.7460873844338</v>
      </c>
      <c r="AG114" s="164">
        <f>IF(AND($C113=12,$D113=Input!$C$6),0,IF($E114="","",(IF($B114&gt;Input!$C$9,$X114,0)+AG115)/(1+$L114)*$R114))</f>
        <v>683.40654427892594</v>
      </c>
      <c r="AH114" s="160">
        <f t="shared" si="26"/>
        <v>2.0950137211446997</v>
      </c>
      <c r="AI114" s="160">
        <f>IF($E114="","",MIN(Input!$C$61/AH114,1))</f>
        <v>0.64438718771845094</v>
      </c>
      <c r="AJ114" s="152"/>
      <c r="AK114" s="164">
        <f>IF(AND($C113=12,$D113=Input!$C$6),0,IF($E114="","",IF($B114&gt;Input!$C$9,$AC114*AI114,0)+AK115/(1+$L114)*$R114))</f>
        <v>922.59883477655114</v>
      </c>
      <c r="AL114" s="164">
        <f>IF(AND($C113=12,$D113=Input!$C$6),0,IF($E114="","",IF($B114&gt;Input!$C$9,0,$AC114)+AL115/(1+$L114)*$R114))</f>
        <v>1099.8161451496469</v>
      </c>
      <c r="AM114" s="160">
        <f t="shared" si="27"/>
        <v>1.1382936520186004</v>
      </c>
      <c r="AN114" s="164">
        <f>IF($E114="","",IF($B114&gt;Input!$C$9,$AI114*$AC114,$AM114*$AC114))</f>
        <v>0</v>
      </c>
      <c r="AO114" s="164">
        <f>IF(AND($C113=12,$D113=Input!$C$6),0,IF($E114="","",$AN114+AO115/(1+$L114)*$R114))</f>
        <v>2174.5125711879605</v>
      </c>
      <c r="AP114" s="152"/>
      <c r="AQ114" s="164">
        <f t="shared" si="28"/>
        <v>830.67937266236913</v>
      </c>
      <c r="AR114" s="164">
        <f t="shared" si="37"/>
        <v>758.57789223758573</v>
      </c>
      <c r="AS114" s="164">
        <f t="shared" si="38"/>
        <v>92.344497607655512</v>
      </c>
      <c r="AT114" s="164">
        <f t="shared" si="29"/>
        <v>758.57789223758573</v>
      </c>
      <c r="AU114" s="152"/>
      <c r="AV114" s="147">
        <f>'Deterministic Reserve'!BC114</f>
        <v>0.59327571595083295</v>
      </c>
      <c r="AW114" s="164">
        <f t="shared" si="30"/>
        <v>758.57789223758573</v>
      </c>
      <c r="AX114" s="164">
        <f t="shared" si="31"/>
        <v>450.0458421217275</v>
      </c>
      <c r="AY114" s="152"/>
    </row>
    <row r="115" spans="1:51" s="150" customFormat="1" x14ac:dyDescent="0.25">
      <c r="A115" s="150">
        <f t="shared" si="39"/>
        <v>111</v>
      </c>
      <c r="B115" s="150">
        <f t="shared" si="40"/>
        <v>10</v>
      </c>
      <c r="C115" s="150">
        <f t="shared" si="41"/>
        <v>3</v>
      </c>
      <c r="D115" s="150">
        <f>IF(E115="","",Input!$C$4+B115-1)</f>
        <v>54</v>
      </c>
      <c r="E115" s="150">
        <f>IF(OR(AND(C114=12,D114=Input!$C$6),E114=""),"",1)</f>
        <v>1</v>
      </c>
      <c r="F115" s="150">
        <f>IF(E115="","",Input!$C$8+B115-1)</f>
        <v>2027</v>
      </c>
      <c r="G115" s="151">
        <f>IF(E115="","",MAX(0,Input!$C$9-B115))</f>
        <v>10</v>
      </c>
      <c r="H115" s="152">
        <f>IF(E115="","",Input!$C$3)</f>
        <v>100000</v>
      </c>
      <c r="I115" s="153">
        <f>IF(E115="","",HLOOKUP($B115,Input!$C$13:$BT$14,2))</f>
        <v>2.2999999999999998</v>
      </c>
      <c r="J115" s="154"/>
      <c r="K115" s="155">
        <f>IF($E115="","",Input!$C$57)</f>
        <v>4.4999999999999998E-2</v>
      </c>
      <c r="L115" s="155">
        <f t="shared" si="32"/>
        <v>3.6748094004368514E-3</v>
      </c>
      <c r="M115" s="147">
        <f>IF($E115="","",VLOOKUP(IF($B115&lt;=Input!$C$7,$B115,26),'Mortality Tables'!$A$72:$CA$97,IF($B115&lt;=Input!$C$7+1,Input!$C$4-16,$D115-Input!$C$7-16),0)/1000)</f>
        <v>1.9299999999999999E-3</v>
      </c>
      <c r="N115" s="147">
        <f t="shared" si="21"/>
        <v>1.6097577949414354E-4</v>
      </c>
      <c r="O115" s="157">
        <f>IF($E115="","",IF($C115=12,IF($B115&lt;Input!$C$9,Input!$C$54,IF($B115=Input!$C$9,Input!$C$55,Input!$C$56)),0%))</f>
        <v>0</v>
      </c>
      <c r="P115" s="167">
        <f>IF($E115="","",IF($B115=1,Input!$C$59,IF($B115&lt;6,Input!$C$60,0%)))</f>
        <v>0</v>
      </c>
      <c r="Q115" s="162">
        <f>IF($E115="","",Input!$C$58)</f>
        <v>2.5</v>
      </c>
      <c r="R115" s="156">
        <f t="shared" si="33"/>
        <v>0.99983902422050586</v>
      </c>
      <c r="S115" s="154">
        <f t="shared" si="22"/>
        <v>0.56745086208238027</v>
      </c>
      <c r="T115" s="152"/>
      <c r="U115" s="150">
        <f t="shared" si="34"/>
        <v>0</v>
      </c>
      <c r="V115" s="150">
        <f t="shared" si="35"/>
        <v>0</v>
      </c>
      <c r="W115" s="168">
        <f t="shared" si="36"/>
        <v>0</v>
      </c>
      <c r="X115" s="163">
        <f t="shared" si="23"/>
        <v>16.097577949414354</v>
      </c>
      <c r="Y115" s="152"/>
      <c r="Z115" s="164">
        <f>IF(AND($C114=12,$D114=Input!$C$6),0,IF($E115="","",V115+Z116/(1+L115)*R115))</f>
        <v>3077.6453444639169</v>
      </c>
      <c r="AA115" s="164">
        <f>IF(OR($M115=1,AND($C114=12,$D114=Input!$C$6)),0,IF($E115="","",W115+(X115+AA116*$R115)/(1+$L115)))</f>
        <v>3000.6209007947655</v>
      </c>
      <c r="AB115" s="160">
        <f t="shared" si="24"/>
        <v>0.825720328500681</v>
      </c>
      <c r="AC115" s="164">
        <f t="shared" si="25"/>
        <v>0</v>
      </c>
      <c r="AD115" s="164">
        <f>IF(AND($C114=12,$D114=Input!$C$6),0,IF($E115="","",$AC115+AD116/(1+$L115)*$R115))</f>
        <v>2541.2743248393358</v>
      </c>
      <c r="AE115" s="152"/>
      <c r="AF115" s="164">
        <f>IF(AND($C114=12,$D114=Input!$C$6),0,IF($E115="","",IF($B115&gt;Input!$C$9,$AC115,0)+AF116/(1+$L115)*$R115))</f>
        <v>1437.2388420083046</v>
      </c>
      <c r="AG115" s="164">
        <f>IF(AND($C114=12,$D114=Input!$C$6),0,IF($E115="","",(IF($B115&gt;Input!$C$9,$X115,0)+AG116)/(1+$L115)*$R115))</f>
        <v>686.02836702329887</v>
      </c>
      <c r="AH115" s="160">
        <f t="shared" si="26"/>
        <v>2.0950137211446997</v>
      </c>
      <c r="AI115" s="160">
        <f>IF($E115="","",MIN(Input!$C$61/AH115,1))</f>
        <v>0.64438718771845094</v>
      </c>
      <c r="AJ115" s="152"/>
      <c r="AK115" s="164">
        <f>IF(AND($C114=12,$D114=Input!$C$6),0,IF($E115="","",IF($B115&gt;Input!$C$9,$AC115*AI115,0)+AK116/(1+$L115)*$R115))</f>
        <v>926.13829548145463</v>
      </c>
      <c r="AL115" s="164">
        <f>IF(AND($C114=12,$D114=Input!$C$6),0,IF($E115="","",IF($B115&gt;Input!$C$9,0,$AC115)+AL116/(1+$L115)*$R115))</f>
        <v>1104.0354828310331</v>
      </c>
      <c r="AM115" s="160">
        <f t="shared" si="27"/>
        <v>1.1382936520186004</v>
      </c>
      <c r="AN115" s="164">
        <f>IF($E115="","",IF($B115&gt;Input!$C$9,$AI115*$AC115,$AM115*$AC115))</f>
        <v>0</v>
      </c>
      <c r="AO115" s="164">
        <f>IF(AND($C114=12,$D114=Input!$C$6),0,IF($E115="","",$AN115+AO116/(1+$L115)*$R115))</f>
        <v>2182.8548771913083</v>
      </c>
      <c r="AP115" s="152"/>
      <c r="AQ115" s="164">
        <f t="shared" si="28"/>
        <v>817.76602360345714</v>
      </c>
      <c r="AR115" s="164">
        <f t="shared" si="37"/>
        <v>758.57789223758573</v>
      </c>
      <c r="AS115" s="164">
        <f t="shared" si="38"/>
        <v>92.344497607655512</v>
      </c>
      <c r="AT115" s="164">
        <f t="shared" si="29"/>
        <v>758.57789223758573</v>
      </c>
      <c r="AU115" s="152"/>
      <c r="AV115" s="147">
        <f>'Deterministic Reserve'!BC115</f>
        <v>0.5932132981774455</v>
      </c>
      <c r="AW115" s="164">
        <f t="shared" si="30"/>
        <v>758.57789223758573</v>
      </c>
      <c r="AX115" s="164">
        <f t="shared" si="31"/>
        <v>449.99849337875304</v>
      </c>
      <c r="AY115" s="152"/>
    </row>
    <row r="116" spans="1:51" s="150" customFormat="1" x14ac:dyDescent="0.25">
      <c r="A116" s="150">
        <f t="shared" si="39"/>
        <v>112</v>
      </c>
      <c r="B116" s="150">
        <f t="shared" si="40"/>
        <v>10</v>
      </c>
      <c r="C116" s="150">
        <f t="shared" si="41"/>
        <v>4</v>
      </c>
      <c r="D116" s="150">
        <f>IF(E116="","",Input!$C$4+B116-1)</f>
        <v>54</v>
      </c>
      <c r="E116" s="150">
        <f>IF(OR(AND(C115=12,D115=Input!$C$6),E115=""),"",1)</f>
        <v>1</v>
      </c>
      <c r="F116" s="150">
        <f>IF(E116="","",Input!$C$8+B116-1)</f>
        <v>2027</v>
      </c>
      <c r="G116" s="151">
        <f>IF(E116="","",MAX(0,Input!$C$9-B116))</f>
        <v>10</v>
      </c>
      <c r="H116" s="152">
        <f>IF(E116="","",Input!$C$3)</f>
        <v>100000</v>
      </c>
      <c r="I116" s="153">
        <f>IF(E116="","",HLOOKUP($B116,Input!$C$13:$BT$14,2))</f>
        <v>2.2999999999999998</v>
      </c>
      <c r="J116" s="154"/>
      <c r="K116" s="155">
        <f>IF($E116="","",Input!$C$57)</f>
        <v>4.4999999999999998E-2</v>
      </c>
      <c r="L116" s="155">
        <f t="shared" si="32"/>
        <v>3.6748094004368514E-3</v>
      </c>
      <c r="M116" s="147">
        <f>IF($E116="","",VLOOKUP(IF($B116&lt;=Input!$C$7,$B116,26),'Mortality Tables'!$A$72:$CA$97,IF($B116&lt;=Input!$C$7+1,Input!$C$4-16,$D116-Input!$C$7-16),0)/1000)</f>
        <v>1.9299999999999999E-3</v>
      </c>
      <c r="N116" s="147">
        <f t="shared" si="21"/>
        <v>1.6097577949414354E-4</v>
      </c>
      <c r="O116" s="157">
        <f>IF($E116="","",IF($C116=12,IF($B116&lt;Input!$C$9,Input!$C$54,IF($B116=Input!$C$9,Input!$C$55,Input!$C$56)),0%))</f>
        <v>0</v>
      </c>
      <c r="P116" s="167">
        <f>IF($E116="","",IF($B116=1,Input!$C$59,IF($B116&lt;6,Input!$C$60,0%)))</f>
        <v>0</v>
      </c>
      <c r="Q116" s="162">
        <f>IF($E116="","",Input!$C$58)</f>
        <v>2.5</v>
      </c>
      <c r="R116" s="156">
        <f t="shared" si="33"/>
        <v>0.99983902422050586</v>
      </c>
      <c r="S116" s="154">
        <f t="shared" si="22"/>
        <v>0.56735951623753189</v>
      </c>
      <c r="T116" s="152"/>
      <c r="U116" s="150">
        <f t="shared" si="34"/>
        <v>0</v>
      </c>
      <c r="V116" s="150">
        <f t="shared" si="35"/>
        <v>0</v>
      </c>
      <c r="W116" s="168">
        <f t="shared" si="36"/>
        <v>0</v>
      </c>
      <c r="X116" s="163">
        <f t="shared" si="23"/>
        <v>16.097577949414354</v>
      </c>
      <c r="Y116" s="152"/>
      <c r="Z116" s="164">
        <f>IF(AND($C115=12,$D115=Input!$C$6),0,IF($E116="","",V116+Z117/(1+L116)*R116))</f>
        <v>3089.452431520338</v>
      </c>
      <c r="AA116" s="164">
        <f>IF(OR($M116=1,AND($C115=12,$D115=Input!$C$6)),0,IF($E116="","",W116+(X116+AA117*$R116)/(1+$L116)))</f>
        <v>2996.0323213770621</v>
      </c>
      <c r="AB116" s="160">
        <f t="shared" si="24"/>
        <v>0.825720328500681</v>
      </c>
      <c r="AC116" s="164">
        <f t="shared" si="25"/>
        <v>0</v>
      </c>
      <c r="AD116" s="164">
        <f>IF(AND($C115=12,$D115=Input!$C$6),0,IF($E116="","",$AC116+AD117/(1+$L116)*$R116))</f>
        <v>2551.0236766421999</v>
      </c>
      <c r="AE116" s="152"/>
      <c r="AF116" s="164">
        <f>IF(AND($C115=12,$D115=Input!$C$6),0,IF($E116="","",IF($B116&gt;Input!$C$9,$AC116,0)+AF117/(1+$L116)*$R116))</f>
        <v>1442.7526690511074</v>
      </c>
      <c r="AG116" s="164">
        <f>IF(AND($C115=12,$D115=Input!$C$6),0,IF($E116="","",(IF($B116&gt;Input!$C$9,$X116,0)+AG117)/(1+$L116)*$R116))</f>
        <v>688.66024813565275</v>
      </c>
      <c r="AH116" s="160">
        <f t="shared" si="26"/>
        <v>2.0950137211446997</v>
      </c>
      <c r="AI116" s="160">
        <f>IF($E116="","",MIN(Input!$C$61/AH116,1))</f>
        <v>0.64438718771845094</v>
      </c>
      <c r="AJ116" s="152"/>
      <c r="AK116" s="164">
        <f>IF(AND($C115=12,$D115=Input!$C$6),0,IF($E116="","",IF($B116&gt;Input!$C$9,$AC116*AI116,0)+AK117/(1+$L116)*$R116))</f>
        <v>929.69133498313226</v>
      </c>
      <c r="AL116" s="164">
        <f>IF(AND($C115=12,$D115=Input!$C$6),0,IF($E116="","",IF($B116&gt;Input!$C$9,0,$AC116)+AL117/(1+$L116)*$R116))</f>
        <v>1108.2710075910941</v>
      </c>
      <c r="AM116" s="160">
        <f t="shared" si="27"/>
        <v>1.1382936520186004</v>
      </c>
      <c r="AN116" s="164">
        <f>IF($E116="","",IF($B116&gt;Input!$C$9,$AI116*$AC116,$AM116*$AC116))</f>
        <v>0</v>
      </c>
      <c r="AO116" s="164">
        <f>IF(AND($C115=12,$D115=Input!$C$6),0,IF($E116="","",$AN116+AO117/(1+$L116)*$R116))</f>
        <v>2191.229187640331</v>
      </c>
      <c r="AP116" s="152"/>
      <c r="AQ116" s="164">
        <f t="shared" si="28"/>
        <v>804.80313373673107</v>
      </c>
      <c r="AR116" s="164">
        <f t="shared" si="37"/>
        <v>758.57789223758573</v>
      </c>
      <c r="AS116" s="164">
        <f t="shared" si="38"/>
        <v>92.344497607655512</v>
      </c>
      <c r="AT116" s="164">
        <f t="shared" si="29"/>
        <v>758.57789223758573</v>
      </c>
      <c r="AU116" s="152"/>
      <c r="AV116" s="147">
        <f>'Deterministic Reserve'!BC116</f>
        <v>0.59315088697095153</v>
      </c>
      <c r="AW116" s="164">
        <f t="shared" si="30"/>
        <v>758.57789223758573</v>
      </c>
      <c r="AX116" s="164">
        <f t="shared" si="31"/>
        <v>449.95114961727887</v>
      </c>
      <c r="AY116" s="152"/>
    </row>
    <row r="117" spans="1:51" s="150" customFormat="1" x14ac:dyDescent="0.25">
      <c r="A117" s="150">
        <f t="shared" si="39"/>
        <v>113</v>
      </c>
      <c r="B117" s="150">
        <f t="shared" si="40"/>
        <v>10</v>
      </c>
      <c r="C117" s="150">
        <f t="shared" si="41"/>
        <v>5</v>
      </c>
      <c r="D117" s="150">
        <f>IF(E117="","",Input!$C$4+B117-1)</f>
        <v>54</v>
      </c>
      <c r="E117" s="150">
        <f>IF(OR(AND(C116=12,D116=Input!$C$6),E116=""),"",1)</f>
        <v>1</v>
      </c>
      <c r="F117" s="150">
        <f>IF(E117="","",Input!$C$8+B117-1)</f>
        <v>2027</v>
      </c>
      <c r="G117" s="151">
        <f>IF(E117="","",MAX(0,Input!$C$9-B117))</f>
        <v>10</v>
      </c>
      <c r="H117" s="152">
        <f>IF(E117="","",Input!$C$3)</f>
        <v>100000</v>
      </c>
      <c r="I117" s="153">
        <f>IF(E117="","",HLOOKUP($B117,Input!$C$13:$BT$14,2))</f>
        <v>2.2999999999999998</v>
      </c>
      <c r="J117" s="154"/>
      <c r="K117" s="155">
        <f>IF($E117="","",Input!$C$57)</f>
        <v>4.4999999999999998E-2</v>
      </c>
      <c r="L117" s="155">
        <f t="shared" si="32"/>
        <v>3.6748094004368514E-3</v>
      </c>
      <c r="M117" s="147">
        <f>IF($E117="","",VLOOKUP(IF($B117&lt;=Input!$C$7,$B117,26),'Mortality Tables'!$A$72:$CA$97,IF($B117&lt;=Input!$C$7+1,Input!$C$4-16,$D117-Input!$C$7-16),0)/1000)</f>
        <v>1.9299999999999999E-3</v>
      </c>
      <c r="N117" s="147">
        <f t="shared" si="21"/>
        <v>1.6097577949414354E-4</v>
      </c>
      <c r="O117" s="157">
        <f>IF($E117="","",IF($C117=12,IF($B117&lt;Input!$C$9,Input!$C$54,IF($B117=Input!$C$9,Input!$C$55,Input!$C$56)),0%))</f>
        <v>0</v>
      </c>
      <c r="P117" s="167">
        <f>IF($E117="","",IF($B117=1,Input!$C$59,IF($B117&lt;6,Input!$C$60,0%)))</f>
        <v>0</v>
      </c>
      <c r="Q117" s="162">
        <f>IF($E117="","",Input!$C$58)</f>
        <v>2.5</v>
      </c>
      <c r="R117" s="156">
        <f t="shared" si="33"/>
        <v>0.99983902422050586</v>
      </c>
      <c r="S117" s="154">
        <f t="shared" si="22"/>
        <v>0.56726818509715216</v>
      </c>
      <c r="T117" s="152"/>
      <c r="U117" s="150">
        <f t="shared" si="34"/>
        <v>0</v>
      </c>
      <c r="V117" s="150">
        <f t="shared" si="35"/>
        <v>0</v>
      </c>
      <c r="W117" s="168">
        <f t="shared" si="36"/>
        <v>0</v>
      </c>
      <c r="X117" s="163">
        <f t="shared" si="23"/>
        <v>16.097577949414354</v>
      </c>
      <c r="Y117" s="152"/>
      <c r="Z117" s="164">
        <f>IF(AND($C116=12,$D116=Input!$C$6),0,IF($E117="","",V117+Z118/(1+L117)*R117))</f>
        <v>3101.3048153179861</v>
      </c>
      <c r="AA117" s="164">
        <f>IF(OR($M117=1,AND($C116=12,$D116=Input!$C$6)),0,IF($E117="","",W117+(X117+AA118*$R117)/(1+$L117)))</f>
        <v>2991.4261383206722</v>
      </c>
      <c r="AB117" s="160">
        <f t="shared" si="24"/>
        <v>0.825720328500681</v>
      </c>
      <c r="AC117" s="164">
        <f t="shared" si="25"/>
        <v>0</v>
      </c>
      <c r="AD117" s="164">
        <f>IF(AND($C116=12,$D116=Input!$C$6),0,IF($E117="","",$AC117+AD118/(1+$L117)*$R117))</f>
        <v>2560.8104308851102</v>
      </c>
      <c r="AE117" s="152"/>
      <c r="AF117" s="164">
        <f>IF(AND($C116=12,$D116=Input!$C$6),0,IF($E117="","",IF($B117&gt;Input!$C$9,$AC117,0)+AF118/(1+$L117)*$R117))</f>
        <v>1448.2876493551285</v>
      </c>
      <c r="AG117" s="164">
        <f>IF(AND($C116=12,$D116=Input!$C$6),0,IF($E117="","",(IF($B117&gt;Input!$C$9,$X117,0)+AG118)/(1+$L117)*$R117))</f>
        <v>691.30222620393806</v>
      </c>
      <c r="AH117" s="160">
        <f t="shared" si="26"/>
        <v>2.0950137211446997</v>
      </c>
      <c r="AI117" s="160">
        <f>IF($E117="","",MIN(Input!$C$61/AH117,1))</f>
        <v>0.64438718771845094</v>
      </c>
      <c r="AJ117" s="152"/>
      <c r="AK117" s="164">
        <f>IF(AND($C116=12,$D116=Input!$C$6),0,IF($E117="","",IF($B117&gt;Input!$C$9,$AC117*AI117,0)+AK118/(1+$L117)*$R117))</f>
        <v>933.25800537531734</v>
      </c>
      <c r="AL117" s="164">
        <f>IF(AND($C116=12,$D116=Input!$C$6),0,IF($E117="","",IF($B117&gt;Input!$C$9,0,$AC117)+AL118/(1+$L117)*$R117))</f>
        <v>1112.5227815299834</v>
      </c>
      <c r="AM117" s="160">
        <f t="shared" si="27"/>
        <v>1.1382936520186004</v>
      </c>
      <c r="AN117" s="164">
        <f>IF($E117="","",IF($B117&gt;Input!$C$9,$AI117*$AC117,$AM117*$AC117))</f>
        <v>0</v>
      </c>
      <c r="AO117" s="164">
        <f>IF(AND($C116=12,$D116=Input!$C$6),0,IF($E117="","",$AN117+AO118/(1+$L117)*$R117))</f>
        <v>2199.6356253169715</v>
      </c>
      <c r="AP117" s="152"/>
      <c r="AQ117" s="164">
        <f t="shared" si="28"/>
        <v>791.79051300370065</v>
      </c>
      <c r="AR117" s="164">
        <f t="shared" si="37"/>
        <v>758.57789223758573</v>
      </c>
      <c r="AS117" s="164">
        <f t="shared" si="38"/>
        <v>92.344497607655512</v>
      </c>
      <c r="AT117" s="164">
        <f t="shared" si="29"/>
        <v>758.57789223758573</v>
      </c>
      <c r="AU117" s="152"/>
      <c r="AV117" s="147">
        <f>'Deterministic Reserve'!BC117</f>
        <v>0.59308848233066014</v>
      </c>
      <c r="AW117" s="164">
        <f t="shared" si="30"/>
        <v>758.57789223758573</v>
      </c>
      <c r="AX117" s="164">
        <f t="shared" si="31"/>
        <v>449.90381083678079</v>
      </c>
      <c r="AY117" s="152"/>
    </row>
    <row r="118" spans="1:51" s="150" customFormat="1" x14ac:dyDescent="0.25">
      <c r="A118" s="150">
        <f t="shared" si="39"/>
        <v>114</v>
      </c>
      <c r="B118" s="150">
        <f t="shared" si="40"/>
        <v>10</v>
      </c>
      <c r="C118" s="150">
        <f t="shared" si="41"/>
        <v>6</v>
      </c>
      <c r="D118" s="150">
        <f>IF(E118="","",Input!$C$4+B118-1)</f>
        <v>54</v>
      </c>
      <c r="E118" s="150">
        <f>IF(OR(AND(C117=12,D117=Input!$C$6),E117=""),"",1)</f>
        <v>1</v>
      </c>
      <c r="F118" s="150">
        <f>IF(E118="","",Input!$C$8+B118-1)</f>
        <v>2027</v>
      </c>
      <c r="G118" s="151">
        <f>IF(E118="","",MAX(0,Input!$C$9-B118))</f>
        <v>10</v>
      </c>
      <c r="H118" s="152">
        <f>IF(E118="","",Input!$C$3)</f>
        <v>100000</v>
      </c>
      <c r="I118" s="153">
        <f>IF(E118="","",HLOOKUP($B118,Input!$C$13:$BT$14,2))</f>
        <v>2.2999999999999998</v>
      </c>
      <c r="J118" s="154"/>
      <c r="K118" s="155">
        <f>IF($E118="","",Input!$C$57)</f>
        <v>4.4999999999999998E-2</v>
      </c>
      <c r="L118" s="155">
        <f t="shared" si="32"/>
        <v>3.6748094004368514E-3</v>
      </c>
      <c r="M118" s="147">
        <f>IF($E118="","",VLOOKUP(IF($B118&lt;=Input!$C$7,$B118,26),'Mortality Tables'!$A$72:$CA$97,IF($B118&lt;=Input!$C$7+1,Input!$C$4-16,$D118-Input!$C$7-16),0)/1000)</f>
        <v>1.9299999999999999E-3</v>
      </c>
      <c r="N118" s="147">
        <f t="shared" si="21"/>
        <v>1.6097577949414354E-4</v>
      </c>
      <c r="O118" s="157">
        <f>IF($E118="","",IF($C118=12,IF($B118&lt;Input!$C$9,Input!$C$54,IF($B118=Input!$C$9,Input!$C$55,Input!$C$56)),0%))</f>
        <v>0</v>
      </c>
      <c r="P118" s="167">
        <f>IF($E118="","",IF($B118=1,Input!$C$59,IF($B118&lt;6,Input!$C$60,0%)))</f>
        <v>0</v>
      </c>
      <c r="Q118" s="162">
        <f>IF($E118="","",Input!$C$58)</f>
        <v>2.5</v>
      </c>
      <c r="R118" s="156">
        <f t="shared" si="33"/>
        <v>0.99983902422050586</v>
      </c>
      <c r="S118" s="154">
        <f t="shared" si="22"/>
        <v>0.56717686865887396</v>
      </c>
      <c r="T118" s="152"/>
      <c r="U118" s="150">
        <f t="shared" si="34"/>
        <v>0</v>
      </c>
      <c r="V118" s="150">
        <f t="shared" si="35"/>
        <v>0</v>
      </c>
      <c r="W118" s="168">
        <f t="shared" si="36"/>
        <v>0</v>
      </c>
      <c r="X118" s="163">
        <f t="shared" si="23"/>
        <v>16.097577949414354</v>
      </c>
      <c r="Y118" s="152"/>
      <c r="Z118" s="164">
        <f>IF(AND($C117=12,$D117=Input!$C$6),0,IF($E118="","",V118+Z119/(1+L118)*R118))</f>
        <v>3113.2026696334042</v>
      </c>
      <c r="AA118" s="164">
        <f>IF(OR($M118=1,AND($C117=12,$D117=Input!$C$6)),0,IF($E118="","",W118+(X118+AA119*$R118)/(1+$L118)))</f>
        <v>2986.8022840909475</v>
      </c>
      <c r="AB118" s="160">
        <f t="shared" si="24"/>
        <v>0.825720328500681</v>
      </c>
      <c r="AC118" s="164">
        <f t="shared" si="25"/>
        <v>0</v>
      </c>
      <c r="AD118" s="164">
        <f>IF(AND($C117=12,$D117=Input!$C$6),0,IF($E118="","",$AC118+AD119/(1+$L118)*$R118))</f>
        <v>2570.6347310588903</v>
      </c>
      <c r="AE118" s="152"/>
      <c r="AF118" s="164">
        <f>IF(AND($C117=12,$D117=Input!$C$6),0,IF($E118="","",IF($B118&gt;Input!$C$9,$AC118,0)+AF119/(1+$L118)*$R118))</f>
        <v>1453.8438640727973</v>
      </c>
      <c r="AG118" s="164">
        <f>IF(AND($C117=12,$D117=Input!$C$6),0,IF($E118="","",(IF($B118&gt;Input!$C$9,$X118,0)+AG119)/(1+$L118)*$R118))</f>
        <v>693.95433996414431</v>
      </c>
      <c r="AH118" s="160">
        <f t="shared" si="26"/>
        <v>2.0950137211446997</v>
      </c>
      <c r="AI118" s="160">
        <f>IF($E118="","",MIN(Input!$C$61/AH118,1))</f>
        <v>0.64438718771845094</v>
      </c>
      <c r="AJ118" s="152"/>
      <c r="AK118" s="164">
        <f>IF(AND($C117=12,$D117=Input!$C$6),0,IF($E118="","",IF($B118&gt;Input!$C$9,$AC118*AI118,0)+AK119/(1+$L118)*$R118))</f>
        <v>936.83835895159575</v>
      </c>
      <c r="AL118" s="164">
        <f>IF(AND($C117=12,$D117=Input!$C$6),0,IF($E118="","",IF($B118&gt;Input!$C$9,0,$AC118)+AL119/(1+$L118)*$R118))</f>
        <v>1116.7908669860949</v>
      </c>
      <c r="AM118" s="160">
        <f t="shared" si="27"/>
        <v>1.1382936520186004</v>
      </c>
      <c r="AN118" s="164">
        <f>IF($E118="","",IF($B118&gt;Input!$C$9,$AI118*$AC118,$AM118*$AC118))</f>
        <v>0</v>
      </c>
      <c r="AO118" s="164">
        <f>IF(AND($C117=12,$D117=Input!$C$6),0,IF($E118="","",$AN118+AO119/(1+$L118)*$R118))</f>
        <v>2208.0743134742147</v>
      </c>
      <c r="AP118" s="152"/>
      <c r="AQ118" s="164">
        <f t="shared" si="28"/>
        <v>778.72797061673282</v>
      </c>
      <c r="AR118" s="164">
        <f t="shared" si="37"/>
        <v>758.57789223758573</v>
      </c>
      <c r="AS118" s="164">
        <f t="shared" si="38"/>
        <v>92.344497607655512</v>
      </c>
      <c r="AT118" s="164">
        <f t="shared" si="29"/>
        <v>758.57789223758573</v>
      </c>
      <c r="AU118" s="152"/>
      <c r="AV118" s="147">
        <f>'Deterministic Reserve'!BC118</f>
        <v>0.59302608425588055</v>
      </c>
      <c r="AW118" s="164">
        <f t="shared" si="30"/>
        <v>758.57789223758573</v>
      </c>
      <c r="AX118" s="164">
        <f t="shared" si="31"/>
        <v>449.85647703673482</v>
      </c>
      <c r="AY118" s="152"/>
    </row>
    <row r="119" spans="1:51" s="150" customFormat="1" x14ac:dyDescent="0.25">
      <c r="A119" s="150">
        <f t="shared" si="39"/>
        <v>115</v>
      </c>
      <c r="B119" s="150">
        <f t="shared" si="40"/>
        <v>10</v>
      </c>
      <c r="C119" s="150">
        <f t="shared" si="41"/>
        <v>7</v>
      </c>
      <c r="D119" s="150">
        <f>IF(E119="","",Input!$C$4+B119-1)</f>
        <v>54</v>
      </c>
      <c r="E119" s="150">
        <f>IF(OR(AND(C118=12,D118=Input!$C$6),E118=""),"",1)</f>
        <v>1</v>
      </c>
      <c r="F119" s="150">
        <f>IF(E119="","",Input!$C$8+B119-1)</f>
        <v>2027</v>
      </c>
      <c r="G119" s="151">
        <f>IF(E119="","",MAX(0,Input!$C$9-B119))</f>
        <v>10</v>
      </c>
      <c r="H119" s="152">
        <f>IF(E119="","",Input!$C$3)</f>
        <v>100000</v>
      </c>
      <c r="I119" s="153">
        <f>IF(E119="","",HLOOKUP($B119,Input!$C$13:$BT$14,2))</f>
        <v>2.2999999999999998</v>
      </c>
      <c r="J119" s="154"/>
      <c r="K119" s="155">
        <f>IF($E119="","",Input!$C$57)</f>
        <v>4.4999999999999998E-2</v>
      </c>
      <c r="L119" s="155">
        <f t="shared" si="32"/>
        <v>3.6748094004368514E-3</v>
      </c>
      <c r="M119" s="147">
        <f>IF($E119="","",VLOOKUP(IF($B119&lt;=Input!$C$7,$B119,26),'Mortality Tables'!$A$72:$CA$97,IF($B119&lt;=Input!$C$7+1,Input!$C$4-16,$D119-Input!$C$7-16),0)/1000)</f>
        <v>1.9299999999999999E-3</v>
      </c>
      <c r="N119" s="147">
        <f t="shared" si="21"/>
        <v>1.6097577949414354E-4</v>
      </c>
      <c r="O119" s="157">
        <f>IF($E119="","",IF($C119=12,IF($B119&lt;Input!$C$9,Input!$C$54,IF($B119=Input!$C$9,Input!$C$55,Input!$C$56)),0%))</f>
        <v>0</v>
      </c>
      <c r="P119" s="167">
        <f>IF($E119="","",IF($B119=1,Input!$C$59,IF($B119&lt;6,Input!$C$60,0%)))</f>
        <v>0</v>
      </c>
      <c r="Q119" s="162">
        <f>IF($E119="","",Input!$C$58)</f>
        <v>2.5</v>
      </c>
      <c r="R119" s="156">
        <f t="shared" si="33"/>
        <v>0.99983902422050586</v>
      </c>
      <c r="S119" s="154">
        <f t="shared" si="22"/>
        <v>0.56708556692033052</v>
      </c>
      <c r="T119" s="152"/>
      <c r="U119" s="150">
        <f t="shared" si="34"/>
        <v>0</v>
      </c>
      <c r="V119" s="150">
        <f t="shared" si="35"/>
        <v>0</v>
      </c>
      <c r="W119" s="168">
        <f t="shared" si="36"/>
        <v>0</v>
      </c>
      <c r="X119" s="163">
        <f t="shared" si="23"/>
        <v>16.097577949414354</v>
      </c>
      <c r="Y119" s="152"/>
      <c r="Z119" s="164">
        <f>IF(AND($C118=12,$D118=Input!$C$6),0,IF($E119="","",V119+Z120/(1+L119)*R119))</f>
        <v>3125.1461689098119</v>
      </c>
      <c r="AA119" s="164">
        <f>IF(OR($M119=1,AND($C118=12,$D118=Input!$C$6)),0,IF($E119="","",W119+(X119+AA120*$R119)/(1+$L119)))</f>
        <v>2982.1606908941503</v>
      </c>
      <c r="AB119" s="160">
        <f t="shared" si="24"/>
        <v>0.825720328500681</v>
      </c>
      <c r="AC119" s="164">
        <f t="shared" si="25"/>
        <v>0</v>
      </c>
      <c r="AD119" s="164">
        <f>IF(AND($C118=12,$D118=Input!$C$6),0,IF($E119="","",$AC119+AD120/(1+$L119)*$R119))</f>
        <v>2580.4967212048532</v>
      </c>
      <c r="AE119" s="152"/>
      <c r="AF119" s="164">
        <f>IF(AND($C118=12,$D118=Input!$C$6),0,IF($E119="","",IF($B119&gt;Input!$C$9,$AC119,0)+AF120/(1+$L119)*$R119))</f>
        <v>1459.4213946678767</v>
      </c>
      <c r="AG119" s="164">
        <f>IF(AND($C118=12,$D118=Input!$C$6),0,IF($E119="","",(IF($B119&gt;Input!$C$9,$X119,0)+AG120)/(1+$L119)*$R119))</f>
        <v>696.61662830086777</v>
      </c>
      <c r="AH119" s="160">
        <f t="shared" si="26"/>
        <v>2.0950137211446997</v>
      </c>
      <c r="AI119" s="160">
        <f>IF($E119="","",MIN(Input!$C$61/AH119,1))</f>
        <v>0.64438718771845094</v>
      </c>
      <c r="AJ119" s="152"/>
      <c r="AK119" s="164">
        <f>IF(AND($C118=12,$D118=Input!$C$6),0,IF($E119="","",IF($B119&gt;Input!$C$9,$AC119*AI119,0)+AK120/(1+$L119)*$R119))</f>
        <v>940.43244820617247</v>
      </c>
      <c r="AL119" s="164">
        <f>IF(AND($C118=12,$D118=Input!$C$6),0,IF($E119="","",IF($B119&gt;Input!$C$9,0,$AC119)+AL120/(1+$L119)*$R119))</f>
        <v>1121.0753265369785</v>
      </c>
      <c r="AM119" s="160">
        <f t="shared" si="27"/>
        <v>1.1382936520186004</v>
      </c>
      <c r="AN119" s="164">
        <f>IF($E119="","",IF($B119&gt;Input!$C$9,$AI119*$AC119,$AM119*$AC119))</f>
        <v>0</v>
      </c>
      <c r="AO119" s="164">
        <f>IF(AND($C118=12,$D118=Input!$C$6),0,IF($E119="","",$AN119+AO120/(1+$L119)*$R119))</f>
        <v>2216.5453758378926</v>
      </c>
      <c r="AP119" s="152"/>
      <c r="AQ119" s="164">
        <f t="shared" si="28"/>
        <v>765.61531505625771</v>
      </c>
      <c r="AR119" s="164">
        <f t="shared" si="37"/>
        <v>758.57789223758573</v>
      </c>
      <c r="AS119" s="164">
        <f t="shared" si="38"/>
        <v>92.344497607655512</v>
      </c>
      <c r="AT119" s="164">
        <f t="shared" si="29"/>
        <v>758.57789223758573</v>
      </c>
      <c r="AU119" s="152"/>
      <c r="AV119" s="147">
        <f>'Deterministic Reserve'!BC119</f>
        <v>0.59296369274592198</v>
      </c>
      <c r="AW119" s="164">
        <f t="shared" si="30"/>
        <v>758.57789223758573</v>
      </c>
      <c r="AX119" s="164">
        <f t="shared" si="31"/>
        <v>449.8091482166169</v>
      </c>
      <c r="AY119" s="152"/>
    </row>
    <row r="120" spans="1:51" s="150" customFormat="1" x14ac:dyDescent="0.25">
      <c r="A120" s="150">
        <f t="shared" si="39"/>
        <v>116</v>
      </c>
      <c r="B120" s="150">
        <f t="shared" si="40"/>
        <v>10</v>
      </c>
      <c r="C120" s="150">
        <f t="shared" si="41"/>
        <v>8</v>
      </c>
      <c r="D120" s="150">
        <f>IF(E120="","",Input!$C$4+B120-1)</f>
        <v>54</v>
      </c>
      <c r="E120" s="150">
        <f>IF(OR(AND(C119=12,D119=Input!$C$6),E119=""),"",1)</f>
        <v>1</v>
      </c>
      <c r="F120" s="150">
        <f>IF(E120="","",Input!$C$8+B120-1)</f>
        <v>2027</v>
      </c>
      <c r="G120" s="151">
        <f>IF(E120="","",MAX(0,Input!$C$9-B120))</f>
        <v>10</v>
      </c>
      <c r="H120" s="152">
        <f>IF(E120="","",Input!$C$3)</f>
        <v>100000</v>
      </c>
      <c r="I120" s="153">
        <f>IF(E120="","",HLOOKUP($B120,Input!$C$13:$BT$14,2))</f>
        <v>2.2999999999999998</v>
      </c>
      <c r="J120" s="154"/>
      <c r="K120" s="155">
        <f>IF($E120="","",Input!$C$57)</f>
        <v>4.4999999999999998E-2</v>
      </c>
      <c r="L120" s="155">
        <f t="shared" si="32"/>
        <v>3.6748094004368514E-3</v>
      </c>
      <c r="M120" s="147">
        <f>IF($E120="","",VLOOKUP(IF($B120&lt;=Input!$C$7,$B120,26),'Mortality Tables'!$A$72:$CA$97,IF($B120&lt;=Input!$C$7+1,Input!$C$4-16,$D120-Input!$C$7-16),0)/1000)</f>
        <v>1.9299999999999999E-3</v>
      </c>
      <c r="N120" s="147">
        <f t="shared" si="21"/>
        <v>1.6097577949414354E-4</v>
      </c>
      <c r="O120" s="157">
        <f>IF($E120="","",IF($C120=12,IF($B120&lt;Input!$C$9,Input!$C$54,IF($B120=Input!$C$9,Input!$C$55,Input!$C$56)),0%))</f>
        <v>0</v>
      </c>
      <c r="P120" s="167">
        <f>IF($E120="","",IF($B120=1,Input!$C$59,IF($B120&lt;6,Input!$C$60,0%)))</f>
        <v>0</v>
      </c>
      <c r="Q120" s="162">
        <f>IF($E120="","",Input!$C$58)</f>
        <v>2.5</v>
      </c>
      <c r="R120" s="156">
        <f t="shared" si="33"/>
        <v>0.99983902422050586</v>
      </c>
      <c r="S120" s="154">
        <f t="shared" si="22"/>
        <v>0.56699427987915563</v>
      </c>
      <c r="T120" s="152"/>
      <c r="U120" s="150">
        <f t="shared" si="34"/>
        <v>0</v>
      </c>
      <c r="V120" s="150">
        <f t="shared" si="35"/>
        <v>0</v>
      </c>
      <c r="W120" s="168">
        <f t="shared" si="36"/>
        <v>0</v>
      </c>
      <c r="X120" s="163">
        <f t="shared" si="23"/>
        <v>16.097577949414354</v>
      </c>
      <c r="Y120" s="152"/>
      <c r="Z120" s="164">
        <f>IF(AND($C119=12,$D119=Input!$C$6),0,IF($E120="","",V120+Z121/(1+L120)*R120))</f>
        <v>3137.1354882596625</v>
      </c>
      <c r="AA120" s="164">
        <f>IF(OR($M120=1,AND($C119=12,$D119=Input!$C$6)),0,IF($E120="","",W120+(X120+AA121*$R120)/(1+$L120)))</f>
        <v>2977.5012906764587</v>
      </c>
      <c r="AB120" s="160">
        <f t="shared" si="24"/>
        <v>0.825720328500681</v>
      </c>
      <c r="AC120" s="164">
        <f t="shared" si="25"/>
        <v>0</v>
      </c>
      <c r="AD120" s="164">
        <f>IF(AND($C119=12,$D119=Input!$C$6),0,IF($E120="","",$AC120+AD121/(1+$L120)*$R120))</f>
        <v>2590.3965459169112</v>
      </c>
      <c r="AE120" s="152"/>
      <c r="AF120" s="164">
        <f>IF(AND($C119=12,$D119=Input!$C$6),0,IF($E120="","",IF($B120&gt;Input!$C$9,$AC120,0)+AF121/(1+$L120)*$R120))</f>
        <v>1465.0203229166571</v>
      </c>
      <c r="AG120" s="164">
        <f>IF(AND($C119=12,$D119=Input!$C$6),0,IF($E120="","",(IF($B120&gt;Input!$C$9,$X120,0)+AG121)/(1+$L120)*$R120))</f>
        <v>699.28913024788187</v>
      </c>
      <c r="AH120" s="160">
        <f t="shared" si="26"/>
        <v>2.0950137211446997</v>
      </c>
      <c r="AI120" s="160">
        <f>IF($E120="","",MIN(Input!$C$61/AH120,1))</f>
        <v>0.64438718771845094</v>
      </c>
      <c r="AJ120" s="152"/>
      <c r="AK120" s="164">
        <f>IF(AND($C119=12,$D119=Input!$C$6),0,IF($E120="","",IF($B120&gt;Input!$C$9,$AC120*AI120,0)+AK121/(1+$L120)*$R120))</f>
        <v>944.04032583464152</v>
      </c>
      <c r="AL120" s="164">
        <f>IF(AND($C119=12,$D119=Input!$C$6),0,IF($E120="","",IF($B120&gt;Input!$C$9,0,$AC120)+AL121/(1+$L120)*$R120))</f>
        <v>1125.376223000256</v>
      </c>
      <c r="AM120" s="160">
        <f t="shared" si="27"/>
        <v>1.1382936520186004</v>
      </c>
      <c r="AN120" s="164">
        <f>IF($E120="","",IF($B120&gt;Input!$C$9,$AI120*$AC120,$AM120*$AC120))</f>
        <v>0</v>
      </c>
      <c r="AO120" s="164">
        <f>IF(AND($C119=12,$D119=Input!$C$6),0,IF($E120="","",$AN120+AO121/(1+$L120)*$R120))</f>
        <v>2225.0489366084998</v>
      </c>
      <c r="AP120" s="152"/>
      <c r="AQ120" s="164">
        <f t="shared" si="28"/>
        <v>752.45235406795882</v>
      </c>
      <c r="AR120" s="164">
        <f t="shared" si="37"/>
        <v>758.57789223758573</v>
      </c>
      <c r="AS120" s="164">
        <f t="shared" si="38"/>
        <v>92.344497607655512</v>
      </c>
      <c r="AT120" s="164">
        <f t="shared" si="29"/>
        <v>758.57789223758573</v>
      </c>
      <c r="AU120" s="152"/>
      <c r="AV120" s="147">
        <f>'Deterministic Reserve'!BC120</f>
        <v>0.59290130780009376</v>
      </c>
      <c r="AW120" s="164">
        <f t="shared" si="30"/>
        <v>758.57789223758573</v>
      </c>
      <c r="AX120" s="164">
        <f t="shared" si="31"/>
        <v>449.76182437590319</v>
      </c>
      <c r="AY120" s="152"/>
    </row>
    <row r="121" spans="1:51" s="150" customFormat="1" x14ac:dyDescent="0.25">
      <c r="A121" s="150">
        <f t="shared" si="39"/>
        <v>117</v>
      </c>
      <c r="B121" s="150">
        <f t="shared" si="40"/>
        <v>10</v>
      </c>
      <c r="C121" s="150">
        <f t="shared" si="41"/>
        <v>9</v>
      </c>
      <c r="D121" s="150">
        <f>IF(E121="","",Input!$C$4+B121-1)</f>
        <v>54</v>
      </c>
      <c r="E121" s="150">
        <f>IF(OR(AND(C120=12,D120=Input!$C$6),E120=""),"",1)</f>
        <v>1</v>
      </c>
      <c r="F121" s="150">
        <f>IF(E121="","",Input!$C$8+B121-1)</f>
        <v>2027</v>
      </c>
      <c r="G121" s="151">
        <f>IF(E121="","",MAX(0,Input!$C$9-B121))</f>
        <v>10</v>
      </c>
      <c r="H121" s="152">
        <f>IF(E121="","",Input!$C$3)</f>
        <v>100000</v>
      </c>
      <c r="I121" s="153">
        <f>IF(E121="","",HLOOKUP($B121,Input!$C$13:$BT$14,2))</f>
        <v>2.2999999999999998</v>
      </c>
      <c r="J121" s="154"/>
      <c r="K121" s="155">
        <f>IF($E121="","",Input!$C$57)</f>
        <v>4.4999999999999998E-2</v>
      </c>
      <c r="L121" s="155">
        <f t="shared" si="32"/>
        <v>3.6748094004368514E-3</v>
      </c>
      <c r="M121" s="147">
        <f>IF($E121="","",VLOOKUP(IF($B121&lt;=Input!$C$7,$B121,26),'Mortality Tables'!$A$72:$CA$97,IF($B121&lt;=Input!$C$7+1,Input!$C$4-16,$D121-Input!$C$7-16),0)/1000)</f>
        <v>1.9299999999999999E-3</v>
      </c>
      <c r="N121" s="147">
        <f t="shared" si="21"/>
        <v>1.6097577949414354E-4</v>
      </c>
      <c r="O121" s="157">
        <f>IF($E121="","",IF($C121=12,IF($B121&lt;Input!$C$9,Input!$C$54,IF($B121=Input!$C$9,Input!$C$55,Input!$C$56)),0%))</f>
        <v>0</v>
      </c>
      <c r="P121" s="167">
        <f>IF($E121="","",IF($B121=1,Input!$C$59,IF($B121&lt;6,Input!$C$60,0%)))</f>
        <v>0</v>
      </c>
      <c r="Q121" s="162">
        <f>IF($E121="","",Input!$C$58)</f>
        <v>2.5</v>
      </c>
      <c r="R121" s="156">
        <f t="shared" si="33"/>
        <v>0.99983902422050586</v>
      </c>
      <c r="S121" s="154">
        <f t="shared" si="22"/>
        <v>0.56690300753298339</v>
      </c>
      <c r="T121" s="152"/>
      <c r="U121" s="150">
        <f t="shared" si="34"/>
        <v>0</v>
      </c>
      <c r="V121" s="150">
        <f t="shared" si="35"/>
        <v>0</v>
      </c>
      <c r="W121" s="168">
        <f t="shared" si="36"/>
        <v>0</v>
      </c>
      <c r="X121" s="163">
        <f t="shared" si="23"/>
        <v>16.097577949414354</v>
      </c>
      <c r="Y121" s="152"/>
      <c r="Z121" s="164">
        <f>IF(AND($C120=12,$D120=Input!$C$6),0,IF($E121="","",V121+Z122/(1+L121)*R121))</f>
        <v>3149.1708034672115</v>
      </c>
      <c r="AA121" s="164">
        <f>IF(OR($M121=1,AND($C120=12,$D120=Input!$C$6)),0,IF($E121="","",W121+(X121+AA122*$R121)/(1+$L121)))</f>
        <v>2972.8240151229688</v>
      </c>
      <c r="AB121" s="160">
        <f t="shared" si="24"/>
        <v>0.825720328500681</v>
      </c>
      <c r="AC121" s="164">
        <f t="shared" si="25"/>
        <v>0</v>
      </c>
      <c r="AD121" s="164">
        <f>IF(AND($C120=12,$D120=Input!$C$6),0,IF($E121="","",$AC121+AD122/(1+$L121)*$R121))</f>
        <v>2600.3343503436977</v>
      </c>
      <c r="AE121" s="152"/>
      <c r="AF121" s="164">
        <f>IF(AND($C120=12,$D120=Input!$C$6),0,IF($E121="","",IF($B121&gt;Input!$C$9,$AC121,0)+AF122/(1+$L121)*$R121))</f>
        <v>1470.6407309091562</v>
      </c>
      <c r="AG121" s="164">
        <f>IF(AND($C120=12,$D120=Input!$C$6),0,IF($E121="","",(IF($B121&gt;Input!$C$9,$X121,0)+AG122)/(1+$L121)*$R121))</f>
        <v>701.97188498870912</v>
      </c>
      <c r="AH121" s="160">
        <f t="shared" si="26"/>
        <v>2.0950137211446997</v>
      </c>
      <c r="AI121" s="160">
        <f>IF($E121="","",MIN(Input!$C$61/AH121,1))</f>
        <v>0.64438718771845094</v>
      </c>
      <c r="AJ121" s="152"/>
      <c r="AK121" s="164">
        <f>IF(AND($C120=12,$D120=Input!$C$6),0,IF($E121="","",IF($B121&gt;Input!$C$9,$AC121*AI121,0)+AK122/(1+$L121)*$R121))</f>
        <v>947.66204473475841</v>
      </c>
      <c r="AL121" s="164">
        <f>IF(AND($C120=12,$D120=Input!$C$6),0,IF($E121="","",IF($B121&gt;Input!$C$9,0,$AC121)+AL122/(1+$L121)*$R121))</f>
        <v>1129.6936194345435</v>
      </c>
      <c r="AM121" s="160">
        <f t="shared" si="27"/>
        <v>1.1382936520186004</v>
      </c>
      <c r="AN121" s="164">
        <f>IF($E121="","",IF($B121&gt;Input!$C$9,$AI121*$AC121,$AM121*$AC121))</f>
        <v>0</v>
      </c>
      <c r="AO121" s="164">
        <f>IF(AND($C120=12,$D120=Input!$C$6),0,IF($E121="","",$AN121+AO122/(1+$L121)*$R121))</f>
        <v>2233.5851204630139</v>
      </c>
      <c r="AP121" s="152"/>
      <c r="AQ121" s="164">
        <f t="shared" si="28"/>
        <v>739.23889465995489</v>
      </c>
      <c r="AR121" s="164">
        <f t="shared" si="37"/>
        <v>758.57789223758573</v>
      </c>
      <c r="AS121" s="164">
        <f t="shared" si="38"/>
        <v>92.344497607655512</v>
      </c>
      <c r="AT121" s="164">
        <f t="shared" si="29"/>
        <v>758.57789223758573</v>
      </c>
      <c r="AU121" s="152"/>
      <c r="AV121" s="147">
        <f>'Deterministic Reserve'!BC121</f>
        <v>0.59283892941770522</v>
      </c>
      <c r="AW121" s="164">
        <f t="shared" si="30"/>
        <v>758.57789223758573</v>
      </c>
      <c r="AX121" s="164">
        <f t="shared" si="31"/>
        <v>449.71450551406969</v>
      </c>
      <c r="AY121" s="152"/>
    </row>
    <row r="122" spans="1:51" s="150" customFormat="1" x14ac:dyDescent="0.25">
      <c r="A122" s="150">
        <f t="shared" si="39"/>
        <v>118</v>
      </c>
      <c r="B122" s="150">
        <f t="shared" si="40"/>
        <v>10</v>
      </c>
      <c r="C122" s="150">
        <f t="shared" si="41"/>
        <v>10</v>
      </c>
      <c r="D122" s="150">
        <f>IF(E122="","",Input!$C$4+B122-1)</f>
        <v>54</v>
      </c>
      <c r="E122" s="150">
        <f>IF(OR(AND(C121=12,D121=Input!$C$6),E121=""),"",1)</f>
        <v>1</v>
      </c>
      <c r="F122" s="150">
        <f>IF(E122="","",Input!$C$8+B122-1)</f>
        <v>2027</v>
      </c>
      <c r="G122" s="151">
        <f>IF(E122="","",MAX(0,Input!$C$9-B122))</f>
        <v>10</v>
      </c>
      <c r="H122" s="152">
        <f>IF(E122="","",Input!$C$3)</f>
        <v>100000</v>
      </c>
      <c r="I122" s="153">
        <f>IF(E122="","",HLOOKUP($B122,Input!$C$13:$BT$14,2))</f>
        <v>2.2999999999999998</v>
      </c>
      <c r="J122" s="154"/>
      <c r="K122" s="155">
        <f>IF($E122="","",Input!$C$57)</f>
        <v>4.4999999999999998E-2</v>
      </c>
      <c r="L122" s="155">
        <f t="shared" si="32"/>
        <v>3.6748094004368514E-3</v>
      </c>
      <c r="M122" s="147">
        <f>IF($E122="","",VLOOKUP(IF($B122&lt;=Input!$C$7,$B122,26),'Mortality Tables'!$A$72:$CA$97,IF($B122&lt;=Input!$C$7+1,Input!$C$4-16,$D122-Input!$C$7-16),0)/1000)</f>
        <v>1.9299999999999999E-3</v>
      </c>
      <c r="N122" s="147">
        <f t="shared" si="21"/>
        <v>1.6097577949414354E-4</v>
      </c>
      <c r="O122" s="157">
        <f>IF($E122="","",IF($C122=12,IF($B122&lt;Input!$C$9,Input!$C$54,IF($B122=Input!$C$9,Input!$C$55,Input!$C$56)),0%))</f>
        <v>0</v>
      </c>
      <c r="P122" s="167">
        <f>IF($E122="","",IF($B122=1,Input!$C$59,IF($B122&lt;6,Input!$C$60,0%)))</f>
        <v>0</v>
      </c>
      <c r="Q122" s="162">
        <f>IF($E122="","",Input!$C$58)</f>
        <v>2.5</v>
      </c>
      <c r="R122" s="156">
        <f t="shared" si="33"/>
        <v>0.99983902422050586</v>
      </c>
      <c r="S122" s="154">
        <f t="shared" si="22"/>
        <v>0.56681174987944816</v>
      </c>
      <c r="T122" s="152"/>
      <c r="U122" s="150">
        <f t="shared" si="34"/>
        <v>0</v>
      </c>
      <c r="V122" s="150">
        <f t="shared" si="35"/>
        <v>0</v>
      </c>
      <c r="W122" s="168">
        <f t="shared" si="36"/>
        <v>0</v>
      </c>
      <c r="X122" s="163">
        <f t="shared" si="23"/>
        <v>16.097577949414354</v>
      </c>
      <c r="Y122" s="152"/>
      <c r="Z122" s="164">
        <f>IF(AND($C121=12,$D121=Input!$C$6),0,IF($E122="","",V122+Z123/(1+L122)*R122))</f>
        <v>3161.252290991094</v>
      </c>
      <c r="AA122" s="164">
        <f>IF(OR($M122=1,AND($C121=12,$D121=Input!$C$6)),0,IF($E122="","",W122+(X122+AA123*$R122)/(1+$L122)))</f>
        <v>2968.128795656693</v>
      </c>
      <c r="AB122" s="160">
        <f t="shared" si="24"/>
        <v>0.825720328500681</v>
      </c>
      <c r="AC122" s="164">
        <f t="shared" si="25"/>
        <v>0</v>
      </c>
      <c r="AD122" s="164">
        <f>IF(AND($C121=12,$D121=Input!$C$6),0,IF($E122="","",$AC122+AD123/(1+$L122)*$R122))</f>
        <v>2610.3102801906948</v>
      </c>
      <c r="AE122" s="152"/>
      <c r="AF122" s="164">
        <f>IF(AND($C121=12,$D121=Input!$C$6),0,IF($E122="","",IF($B122&gt;Input!$C$9,$AC122,0)+AF123/(1+$L122)*$R122))</f>
        <v>1476.282701050322</v>
      </c>
      <c r="AG122" s="164">
        <f>IF(AND($C121=12,$D121=Input!$C$6),0,IF($E122="","",(IF($B122&gt;Input!$C$9,$X122,0)+AG123)/(1+$L122)*$R122))</f>
        <v>704.66493185719594</v>
      </c>
      <c r="AH122" s="160">
        <f t="shared" si="26"/>
        <v>2.0950137211446997</v>
      </c>
      <c r="AI122" s="160">
        <f>IF($E122="","",MIN(Input!$C$61/AH122,1))</f>
        <v>0.64438718771845094</v>
      </c>
      <c r="AJ122" s="152"/>
      <c r="AK122" s="164">
        <f>IF(AND($C121=12,$D121=Input!$C$6),0,IF($E122="","",IF($B122&gt;Input!$C$9,$AC122*AI122,0)+AK123/(1+$L122)*$R122))</f>
        <v>951.29765800721555</v>
      </c>
      <c r="AL122" s="164">
        <f>IF(AND($C121=12,$D121=Input!$C$6),0,IF($E122="","",IF($B122&gt;Input!$C$9,0,$AC122)+AL123/(1+$L122)*$R122))</f>
        <v>1134.0275791403751</v>
      </c>
      <c r="AM122" s="160">
        <f t="shared" si="27"/>
        <v>1.1382936520186004</v>
      </c>
      <c r="AN122" s="164">
        <f>IF($E122="","",IF($B122&gt;Input!$C$9,$AI122*$AC122,$AM122*$AC122))</f>
        <v>0</v>
      </c>
      <c r="AO122" s="164">
        <f>IF(AND($C121=12,$D121=Input!$C$6),0,IF($E122="","",$AN122+AO123/(1+$L122)*$R122))</f>
        <v>2242.1540525567239</v>
      </c>
      <c r="AP122" s="152"/>
      <c r="AQ122" s="164">
        <f t="shared" si="28"/>
        <v>725.97474309996915</v>
      </c>
      <c r="AR122" s="164">
        <f t="shared" si="37"/>
        <v>758.57789223758573</v>
      </c>
      <c r="AS122" s="164">
        <f t="shared" si="38"/>
        <v>92.344497607655512</v>
      </c>
      <c r="AT122" s="164">
        <f t="shared" si="29"/>
        <v>758.57789223758573</v>
      </c>
      <c r="AU122" s="152"/>
      <c r="AV122" s="147">
        <f>'Deterministic Reserve'!BC122</f>
        <v>0.59277655759806591</v>
      </c>
      <c r="AW122" s="164">
        <f t="shared" si="30"/>
        <v>758.57789223758573</v>
      </c>
      <c r="AX122" s="164">
        <f t="shared" si="31"/>
        <v>449.6671916305927</v>
      </c>
      <c r="AY122" s="152"/>
    </row>
    <row r="123" spans="1:51" s="150" customFormat="1" x14ac:dyDescent="0.25">
      <c r="A123" s="150">
        <f t="shared" si="39"/>
        <v>119</v>
      </c>
      <c r="B123" s="150">
        <f t="shared" si="40"/>
        <v>10</v>
      </c>
      <c r="C123" s="150">
        <f t="shared" si="41"/>
        <v>11</v>
      </c>
      <c r="D123" s="150">
        <f>IF(E123="","",Input!$C$4+B123-1)</f>
        <v>54</v>
      </c>
      <c r="E123" s="150">
        <f>IF(OR(AND(C122=12,D122=Input!$C$6),E122=""),"",1)</f>
        <v>1</v>
      </c>
      <c r="F123" s="150">
        <f>IF(E123="","",Input!$C$8+B123-1)</f>
        <v>2027</v>
      </c>
      <c r="G123" s="151">
        <f>IF(E123="","",MAX(0,Input!$C$9-B123))</f>
        <v>10</v>
      </c>
      <c r="H123" s="152">
        <f>IF(E123="","",Input!$C$3)</f>
        <v>100000</v>
      </c>
      <c r="I123" s="153">
        <f>IF(E123="","",HLOOKUP($B123,Input!$C$13:$BT$14,2))</f>
        <v>2.2999999999999998</v>
      </c>
      <c r="J123" s="154"/>
      <c r="K123" s="155">
        <f>IF($E123="","",Input!$C$57)</f>
        <v>4.4999999999999998E-2</v>
      </c>
      <c r="L123" s="155">
        <f t="shared" si="32"/>
        <v>3.6748094004368514E-3</v>
      </c>
      <c r="M123" s="147">
        <f>IF($E123="","",VLOOKUP(IF($B123&lt;=Input!$C$7,$B123,26),'Mortality Tables'!$A$72:$CA$97,IF($B123&lt;=Input!$C$7+1,Input!$C$4-16,$D123-Input!$C$7-16),0)/1000)</f>
        <v>1.9299999999999999E-3</v>
      </c>
      <c r="N123" s="147">
        <f t="shared" si="21"/>
        <v>1.6097577949414354E-4</v>
      </c>
      <c r="O123" s="157">
        <f>IF($E123="","",IF($C123=12,IF($B123&lt;Input!$C$9,Input!$C$54,IF($B123=Input!$C$9,Input!$C$55,Input!$C$56)),0%))</f>
        <v>0</v>
      </c>
      <c r="P123" s="167">
        <f>IF($E123="","",IF($B123=1,Input!$C$59,IF($B123&lt;6,Input!$C$60,0%)))</f>
        <v>0</v>
      </c>
      <c r="Q123" s="162">
        <f>IF($E123="","",Input!$C$58)</f>
        <v>2.5</v>
      </c>
      <c r="R123" s="156">
        <f t="shared" si="33"/>
        <v>0.99983902422050586</v>
      </c>
      <c r="S123" s="154">
        <f t="shared" si="22"/>
        <v>0.56672050691618492</v>
      </c>
      <c r="T123" s="152"/>
      <c r="U123" s="150">
        <f t="shared" si="34"/>
        <v>0</v>
      </c>
      <c r="V123" s="150">
        <f t="shared" si="35"/>
        <v>0</v>
      </c>
      <c r="W123" s="168">
        <f t="shared" si="36"/>
        <v>0</v>
      </c>
      <c r="X123" s="163">
        <f t="shared" si="23"/>
        <v>16.097577949414354</v>
      </c>
      <c r="Y123" s="152"/>
      <c r="Z123" s="164">
        <f>IF(AND($C122=12,$D122=Input!$C$6),0,IF($E123="","",V123+Z124/(1+L123)*R123))</f>
        <v>3173.3801279669115</v>
      </c>
      <c r="AA123" s="164">
        <f>IF(OR($M123=1,AND($C122=12,$D122=Input!$C$6)),0,IF($E123="","",W123+(X123+AA124*$R123)/(1+$L123)))</f>
        <v>2963.4155634375547</v>
      </c>
      <c r="AB123" s="160">
        <f t="shared" si="24"/>
        <v>0.825720328500681</v>
      </c>
      <c r="AC123" s="164">
        <f t="shared" si="25"/>
        <v>0</v>
      </c>
      <c r="AD123" s="164">
        <f>IF(AND($C122=12,$D122=Input!$C$6),0,IF($E123="","",$AC123+AD124/(1+$L123)*$R123))</f>
        <v>2620.3244817223695</v>
      </c>
      <c r="AE123" s="152"/>
      <c r="AF123" s="164">
        <f>IF(AND($C122=12,$D122=Input!$C$6),0,IF($E123="","",IF($B123&gt;Input!$C$9,$AC123,0)+AF124/(1+$L123)*$R123))</f>
        <v>1481.9463160612404</v>
      </c>
      <c r="AG123" s="164">
        <f>IF(AND($C122=12,$D122=Input!$C$6),0,IF($E123="","",(IF($B123&gt;Input!$C$9,$X123,0)+AG124)/(1+$L123)*$R123))</f>
        <v>707.36831033808903</v>
      </c>
      <c r="AH123" s="160">
        <f t="shared" si="26"/>
        <v>2.0950137211446997</v>
      </c>
      <c r="AI123" s="160">
        <f>IF($E123="","",MIN(Input!$C$61/AH123,1))</f>
        <v>0.64438718771845094</v>
      </c>
      <c r="AJ123" s="152"/>
      <c r="AK123" s="164">
        <f>IF(AND($C122=12,$D122=Input!$C$6),0,IF($E123="","",IF($B123&gt;Input!$C$9,$AC123*AI123,0)+AK124/(1+$L123)*$R123))</f>
        <v>954.94721895642124</v>
      </c>
      <c r="AL123" s="164">
        <f>IF(AND($C122=12,$D122=Input!$C$6),0,IF($E123="","",IF($B123&gt;Input!$C$9,0,$AC123)+AL124/(1+$L123)*$R123))</f>
        <v>1138.3781656611313</v>
      </c>
      <c r="AM123" s="160">
        <f t="shared" si="27"/>
        <v>1.1382936520186004</v>
      </c>
      <c r="AN123" s="164">
        <f>IF($E123="","",IF($B123&gt;Input!$C$9,$AI123*$AC123,$AM123*$AC123))</f>
        <v>0</v>
      </c>
      <c r="AO123" s="164">
        <f>IF(AND($C122=12,$D122=Input!$C$6),0,IF($E123="","",$AN123+AO124/(1+$L123)*$R123))</f>
        <v>2250.755858525064</v>
      </c>
      <c r="AP123" s="152"/>
      <c r="AQ123" s="164">
        <f t="shared" si="28"/>
        <v>712.65970491249072</v>
      </c>
      <c r="AR123" s="164">
        <f t="shared" si="37"/>
        <v>758.57789223758573</v>
      </c>
      <c r="AS123" s="164">
        <f t="shared" si="38"/>
        <v>92.344497607655512</v>
      </c>
      <c r="AT123" s="164">
        <f t="shared" si="29"/>
        <v>758.57789223758573</v>
      </c>
      <c r="AU123" s="152"/>
      <c r="AV123" s="147">
        <f>'Deterministic Reserve'!BC123</f>
        <v>0.59271419234048539</v>
      </c>
      <c r="AW123" s="164">
        <f t="shared" si="30"/>
        <v>758.57789223758573</v>
      </c>
      <c r="AX123" s="164">
        <f t="shared" si="31"/>
        <v>449.61988272494841</v>
      </c>
      <c r="AY123" s="152"/>
    </row>
    <row r="124" spans="1:51" s="150" customFormat="1" x14ac:dyDescent="0.25">
      <c r="A124" s="150">
        <f t="shared" si="39"/>
        <v>120</v>
      </c>
      <c r="B124" s="150">
        <f t="shared" si="40"/>
        <v>10</v>
      </c>
      <c r="C124" s="150">
        <f t="shared" si="41"/>
        <v>12</v>
      </c>
      <c r="D124" s="150">
        <f>IF(E124="","",Input!$C$4+B124-1)</f>
        <v>54</v>
      </c>
      <c r="E124" s="150">
        <f>IF(OR(AND(C123=12,D123=Input!$C$6),E123=""),"",1)</f>
        <v>1</v>
      </c>
      <c r="F124" s="150">
        <f>IF(E124="","",Input!$C$8+B124-1)</f>
        <v>2027</v>
      </c>
      <c r="G124" s="151">
        <f>IF(E124="","",MAX(0,Input!$C$9-B124))</f>
        <v>10</v>
      </c>
      <c r="H124" s="152">
        <f>IF(E124="","",Input!$C$3)</f>
        <v>100000</v>
      </c>
      <c r="I124" s="153">
        <f>IF(E124="","",HLOOKUP($B124,Input!$C$13:$BT$14,2))</f>
        <v>2.2999999999999998</v>
      </c>
      <c r="J124" s="154"/>
      <c r="K124" s="155">
        <f>IF($E124="","",Input!$C$57)</f>
        <v>4.4999999999999998E-2</v>
      </c>
      <c r="L124" s="155">
        <f t="shared" si="32"/>
        <v>3.6748094004368514E-3</v>
      </c>
      <c r="M124" s="147">
        <f>IF($E124="","",VLOOKUP(IF($B124&lt;=Input!$C$7,$B124,26),'Mortality Tables'!$A$72:$CA$97,IF($B124&lt;=Input!$C$7+1,Input!$C$4-16,$D124-Input!$C$7-16),0)/1000)</f>
        <v>1.9299999999999999E-3</v>
      </c>
      <c r="N124" s="147">
        <f t="shared" si="21"/>
        <v>1.6097577949414354E-4</v>
      </c>
      <c r="O124" s="157">
        <f>IF($E124="","",IF($C124=12,IF($B124&lt;Input!$C$9,Input!$C$54,IF($B124=Input!$C$9,Input!$C$55,Input!$C$56)),0%))</f>
        <v>0.06</v>
      </c>
      <c r="P124" s="167">
        <f>IF($E124="","",IF($B124=1,Input!$C$59,IF($B124&lt;6,Input!$C$60,0%)))</f>
        <v>0</v>
      </c>
      <c r="Q124" s="162">
        <f>IF($E124="","",Input!$C$58)</f>
        <v>2.5</v>
      </c>
      <c r="R124" s="156">
        <f t="shared" si="33"/>
        <v>0.93983902422050591</v>
      </c>
      <c r="S124" s="154">
        <f t="shared" si="22"/>
        <v>0.53262604822585768</v>
      </c>
      <c r="T124" s="152"/>
      <c r="U124" s="150">
        <f t="shared" si="34"/>
        <v>0</v>
      </c>
      <c r="V124" s="150">
        <f t="shared" si="35"/>
        <v>0</v>
      </c>
      <c r="W124" s="168">
        <f t="shared" si="36"/>
        <v>0</v>
      </c>
      <c r="X124" s="163">
        <f t="shared" si="23"/>
        <v>16.097577949414354</v>
      </c>
      <c r="Y124" s="152"/>
      <c r="Z124" s="164">
        <f>IF(AND($C123=12,$D123=Input!$C$6),0,IF($E124="","",V124+Z125/(1+L124)*R124))</f>
        <v>3185.5544922098284</v>
      </c>
      <c r="AA124" s="164">
        <f>IF(OR($M124=1,AND($C123=12,$D123=Input!$C$6)),0,IF($E124="","",W124+(X124+AA125*$R124)/(1+$L124)))</f>
        <v>2958.6842493613794</v>
      </c>
      <c r="AB124" s="160">
        <f t="shared" si="24"/>
        <v>0.825720328500681</v>
      </c>
      <c r="AC124" s="164">
        <f t="shared" si="25"/>
        <v>0</v>
      </c>
      <c r="AD124" s="164">
        <f>IF(AND($C123=12,$D123=Input!$C$6),0,IF($E124="","",$AC124+AD125/(1+$L124)*$R124))</f>
        <v>2630.377101764318</v>
      </c>
      <c r="AE124" s="152"/>
      <c r="AF124" s="164">
        <f>IF(AND($C123=12,$D123=Input!$C$6),0,IF($E124="","",IF($B124&gt;Input!$C$9,$AC124,0)+AF125/(1+$L124)*$R124))</f>
        <v>1487.6316589803496</v>
      </c>
      <c r="AG124" s="164">
        <f>IF(AND($C123=12,$D123=Input!$C$6),0,IF($E124="","",(IF($B124&gt;Input!$C$9,$X124,0)+AG125)/(1+$L124)*$R124))</f>
        <v>710.08206006761475</v>
      </c>
      <c r="AH124" s="160">
        <f t="shared" si="26"/>
        <v>2.0950137211446997</v>
      </c>
      <c r="AI124" s="160">
        <f>IF($E124="","",MIN(Input!$C$61/AH124,1))</f>
        <v>0.64438718771845094</v>
      </c>
      <c r="AJ124" s="152"/>
      <c r="AK124" s="164">
        <f>IF(AND($C123=12,$D123=Input!$C$6),0,IF($E124="","",IF($B124&gt;Input!$C$9,$AC124*AI124,0)+AK125/(1+$L124)*$R124))</f>
        <v>958.61078109128096</v>
      </c>
      <c r="AL124" s="164">
        <f>IF(AND($C123=12,$D123=Input!$C$6),0,IF($E124="","",IF($B124&gt;Input!$C$9,0,$AC124)+AL125/(1+$L124)*$R124))</f>
        <v>1142.7454427839705</v>
      </c>
      <c r="AM124" s="160">
        <f t="shared" si="27"/>
        <v>1.1382936520186004</v>
      </c>
      <c r="AN124" s="164">
        <f>IF($E124="","",IF($B124&gt;Input!$C$9,$AI124*$AC124,$AM124*$AC124))</f>
        <v>0</v>
      </c>
      <c r="AO124" s="164">
        <f>IF(AND($C123=12,$D123=Input!$C$6),0,IF($E124="","",$AN124+AO125/(1+$L124)*$R124))</f>
        <v>2259.3906644854574</v>
      </c>
      <c r="AP124" s="152"/>
      <c r="AQ124" s="164">
        <f t="shared" si="28"/>
        <v>699.29358487592208</v>
      </c>
      <c r="AR124" s="164">
        <f t="shared" si="37"/>
        <v>758.57789223758573</v>
      </c>
      <c r="AS124" s="164">
        <f t="shared" si="38"/>
        <v>92.344497607655512</v>
      </c>
      <c r="AT124" s="164">
        <f t="shared" si="29"/>
        <v>758.57789223758573</v>
      </c>
      <c r="AU124" s="152"/>
      <c r="AV124" s="147">
        <f>'Deterministic Reserve'!BC124</f>
        <v>0.56301612402724888</v>
      </c>
      <c r="AW124" s="164">
        <f t="shared" si="30"/>
        <v>758.57789223758573</v>
      </c>
      <c r="AX124" s="164">
        <f t="shared" si="31"/>
        <v>427.09158466036558</v>
      </c>
      <c r="AY124" s="152"/>
    </row>
    <row r="125" spans="1:51" s="150" customFormat="1" x14ac:dyDescent="0.25">
      <c r="A125" s="150">
        <f t="shared" si="39"/>
        <v>121</v>
      </c>
      <c r="B125" s="150">
        <f t="shared" si="40"/>
        <v>11</v>
      </c>
      <c r="C125" s="150">
        <f t="shared" si="41"/>
        <v>1</v>
      </c>
      <c r="D125" s="150">
        <f>IF(E125="","",Input!$C$4+B125-1)</f>
        <v>55</v>
      </c>
      <c r="E125" s="150">
        <f>IF(OR(AND(C124=12,D124=Input!$C$6),E124=""),"",1)</f>
        <v>1</v>
      </c>
      <c r="F125" s="150">
        <f>IF(E125="","",Input!$C$8+B125-1)</f>
        <v>2028</v>
      </c>
      <c r="G125" s="151">
        <f>IF(E125="","",MAX(0,Input!$C$9-B125))</f>
        <v>9</v>
      </c>
      <c r="H125" s="152">
        <f>IF(E125="","",Input!$C$3)</f>
        <v>100000</v>
      </c>
      <c r="I125" s="153">
        <f>IF(E125="","",HLOOKUP($B125,Input!$C$13:$BT$14,2))</f>
        <v>2.2999999999999998</v>
      </c>
      <c r="J125" s="154"/>
      <c r="K125" s="155">
        <f>IF($E125="","",Input!$C$57)</f>
        <v>4.4999999999999998E-2</v>
      </c>
      <c r="L125" s="155">
        <f t="shared" si="32"/>
        <v>3.6748094004368514E-3</v>
      </c>
      <c r="M125" s="147">
        <f>IF($E125="","",VLOOKUP(IF($B125&lt;=Input!$C$7,$B125,26),'Mortality Tables'!$A$72:$CA$97,IF($B125&lt;=Input!$C$7+1,Input!$C$4-16,$D125-Input!$C$7-16),0)/1000)</f>
        <v>2.1900000000000001E-3</v>
      </c>
      <c r="N125" s="147">
        <f t="shared" si="21"/>
        <v>1.8268344109051426E-4</v>
      </c>
      <c r="O125" s="157">
        <f>IF($E125="","",IF($C125=12,IF($B125&lt;Input!$C$9,Input!$C$54,IF($B125=Input!$C$9,Input!$C$55,Input!$C$56)),0%))</f>
        <v>0</v>
      </c>
      <c r="P125" s="167">
        <f>IF($E125="","",IF($B125=1,Input!$C$59,IF($B125&lt;6,Input!$C$60,0%)))</f>
        <v>0</v>
      </c>
      <c r="Q125" s="162">
        <f>IF($E125="","",Input!$C$58)</f>
        <v>2.5</v>
      </c>
      <c r="R125" s="156">
        <f t="shared" si="33"/>
        <v>0.99981731655890949</v>
      </c>
      <c r="S125" s="154">
        <f t="shared" si="22"/>
        <v>0.53252874626655333</v>
      </c>
      <c r="T125" s="152"/>
      <c r="U125" s="150">
        <f t="shared" si="34"/>
        <v>229.99999999999997</v>
      </c>
      <c r="V125" s="150">
        <f t="shared" si="35"/>
        <v>229.99999999999997</v>
      </c>
      <c r="W125" s="168">
        <f t="shared" si="36"/>
        <v>0</v>
      </c>
      <c r="X125" s="163">
        <f t="shared" si="23"/>
        <v>18.268344109051426</v>
      </c>
      <c r="Y125" s="152"/>
      <c r="Z125" s="164">
        <f>IF(AND($C124=12,$D124=Input!$C$6),0,IF($E125="","",V125+Z126/(1+L125)*R125))</f>
        <v>3401.9238565404157</v>
      </c>
      <c r="AA125" s="164">
        <f>IF(OR($M125=1,AND($C124=12,$D124=Input!$C$6)),0,IF($E125="","",W125+(X125+AA126*$R125)/(1+$L125)))</f>
        <v>3142.5161075366236</v>
      </c>
      <c r="AB125" s="160">
        <f t="shared" si="24"/>
        <v>0.825720328500681</v>
      </c>
      <c r="AC125" s="164">
        <f t="shared" si="25"/>
        <v>189.91567555515661</v>
      </c>
      <c r="AD125" s="164">
        <f>IF(AND($C124=12,$D124=Input!$C$6),0,IF($E125="","",$AC125+AD126/(1+$L125)*$R125))</f>
        <v>2809.0376843568542</v>
      </c>
      <c r="AE125" s="152"/>
      <c r="AF125" s="164">
        <f>IF(AND($C124=12,$D124=Input!$C$6),0,IF($E125="","",IF($B125&gt;Input!$C$9,$AC125,0)+AF126/(1+$L125)*$R125))</f>
        <v>1588.6746382163908</v>
      </c>
      <c r="AG125" s="164">
        <f>IF(AND($C124=12,$D124=Input!$C$6),0,IF($E125="","",(IF($B125&gt;Input!$C$9,$X125,0)+AG126)/(1+$L125)*$R125))</f>
        <v>758.31228319991578</v>
      </c>
      <c r="AH125" s="160">
        <f t="shared" si="26"/>
        <v>2.0950137211446997</v>
      </c>
      <c r="AI125" s="160">
        <f>IF($E125="","",MIN(Input!$C$61/AH125,1))</f>
        <v>0.64438718771845094</v>
      </c>
      <c r="AJ125" s="152"/>
      <c r="AK125" s="164">
        <f>IF(AND($C124=12,$D124=Input!$C$6),0,IF($E125="","",IF($B125&gt;Input!$C$9,$AC125*AI125,0)+AK126/(1+$L125)*$R125))</f>
        <v>1023.7215823198875</v>
      </c>
      <c r="AL125" s="164">
        <f>IF(AND($C124=12,$D124=Input!$C$6),0,IF($E125="","",IF($B125&gt;Input!$C$9,0,$AC125)+AL126/(1+$L125)*$R125))</f>
        <v>1220.3630461404655</v>
      </c>
      <c r="AM125" s="160">
        <f t="shared" si="27"/>
        <v>1.1382936520186004</v>
      </c>
      <c r="AN125" s="164">
        <f>IF($E125="","",IF($B125&gt;Input!$C$9,$AI125*$AC125,$AM125*$AC125))</f>
        <v>216.17980790325885</v>
      </c>
      <c r="AO125" s="164">
        <f>IF(AND($C124=12,$D124=Input!$C$6),0,IF($E125="","",$AN125+AO126/(1+$L125)*$R125))</f>
        <v>2412.8530908996599</v>
      </c>
      <c r="AP125" s="152"/>
      <c r="AQ125" s="164">
        <f t="shared" si="28"/>
        <v>729.66301663696368</v>
      </c>
      <c r="AR125" s="164">
        <f t="shared" si="37"/>
        <v>848.66518138155652</v>
      </c>
      <c r="AS125" s="164">
        <f t="shared" si="38"/>
        <v>104.78468899521532</v>
      </c>
      <c r="AT125" s="164">
        <f t="shared" si="29"/>
        <v>848.66518138155652</v>
      </c>
      <c r="AU125" s="152"/>
      <c r="AV125" s="147">
        <f>'Deterministic Reserve'!BC125</f>
        <v>0.56294896519521764</v>
      </c>
      <c r="AW125" s="164">
        <f t="shared" si="30"/>
        <v>848.66518138155652</v>
      </c>
      <c r="AX125" s="164">
        <f t="shared" si="31"/>
        <v>477.75518565595894</v>
      </c>
      <c r="AY125" s="152"/>
    </row>
    <row r="126" spans="1:51" s="150" customFormat="1" x14ac:dyDescent="0.25">
      <c r="A126" s="150">
        <f t="shared" si="39"/>
        <v>122</v>
      </c>
      <c r="B126" s="150">
        <f t="shared" si="40"/>
        <v>11</v>
      </c>
      <c r="C126" s="150">
        <f t="shared" si="41"/>
        <v>2</v>
      </c>
      <c r="D126" s="150">
        <f>IF(E126="","",Input!$C$4+B126-1)</f>
        <v>55</v>
      </c>
      <c r="E126" s="150">
        <f>IF(OR(AND(C125=12,D125=Input!$C$6),E125=""),"",1)</f>
        <v>1</v>
      </c>
      <c r="F126" s="150">
        <f>IF(E126="","",Input!$C$8+B126-1)</f>
        <v>2028</v>
      </c>
      <c r="G126" s="151">
        <f>IF(E126="","",MAX(0,Input!$C$9-B126))</f>
        <v>9</v>
      </c>
      <c r="H126" s="152">
        <f>IF(E126="","",Input!$C$3)</f>
        <v>100000</v>
      </c>
      <c r="I126" s="153">
        <f>IF(E126="","",HLOOKUP($B126,Input!$C$13:$BT$14,2))</f>
        <v>2.2999999999999998</v>
      </c>
      <c r="J126" s="154"/>
      <c r="K126" s="155">
        <f>IF($E126="","",Input!$C$57)</f>
        <v>4.4999999999999998E-2</v>
      </c>
      <c r="L126" s="155">
        <f t="shared" si="32"/>
        <v>3.6748094004368514E-3</v>
      </c>
      <c r="M126" s="147">
        <f>IF($E126="","",VLOOKUP(IF($B126&lt;=Input!$C$7,$B126,26),'Mortality Tables'!$A$72:$CA$97,IF($B126&lt;=Input!$C$7+1,Input!$C$4-16,$D126-Input!$C$7-16),0)/1000)</f>
        <v>2.1900000000000001E-3</v>
      </c>
      <c r="N126" s="147">
        <f t="shared" si="21"/>
        <v>1.8268344109051426E-4</v>
      </c>
      <c r="O126" s="157">
        <f>IF($E126="","",IF($C126=12,IF($B126&lt;Input!$C$9,Input!$C$54,IF($B126=Input!$C$9,Input!$C$55,Input!$C$56)),0%))</f>
        <v>0</v>
      </c>
      <c r="P126" s="167">
        <f>IF($E126="","",IF($B126=1,Input!$C$59,IF($B126&lt;6,Input!$C$60,0%)))</f>
        <v>0</v>
      </c>
      <c r="Q126" s="162">
        <f>IF($E126="","",Input!$C$58)</f>
        <v>2.5</v>
      </c>
      <c r="R126" s="156">
        <f t="shared" si="33"/>
        <v>0.99981731655890949</v>
      </c>
      <c r="S126" s="154">
        <f t="shared" si="22"/>
        <v>0.53243146208270575</v>
      </c>
      <c r="T126" s="152"/>
      <c r="U126" s="150">
        <f t="shared" si="34"/>
        <v>0</v>
      </c>
      <c r="V126" s="150">
        <f t="shared" si="35"/>
        <v>0</v>
      </c>
      <c r="W126" s="168">
        <f t="shared" si="36"/>
        <v>0</v>
      </c>
      <c r="X126" s="163">
        <f t="shared" si="23"/>
        <v>18.268344109051426</v>
      </c>
      <c r="Y126" s="152"/>
      <c r="Z126" s="164">
        <f>IF(AND($C125=12,$D125=Input!$C$6),0,IF($E126="","",V126+Z127/(1+L126)*R126))</f>
        <v>3184.1617657742609</v>
      </c>
      <c r="AA126" s="164">
        <f>IF(OR($M126=1,AND($C125=12,$D125=Input!$C$6)),0,IF($E126="","",W126+(X126+AA127*$R126)/(1+$L126)))</f>
        <v>3136.3688738189708</v>
      </c>
      <c r="AB126" s="160">
        <f t="shared" si="24"/>
        <v>0.825720328500681</v>
      </c>
      <c r="AC126" s="164">
        <f t="shared" si="25"/>
        <v>0</v>
      </c>
      <c r="AD126" s="164">
        <f>IF(AND($C125=12,$D125=Input!$C$6),0,IF($E126="","",$AC126+AD127/(1+$L126)*$R126))</f>
        <v>2629.2270992344297</v>
      </c>
      <c r="AE126" s="152"/>
      <c r="AF126" s="164">
        <f>IF(AND($C125=12,$D125=Input!$C$6),0,IF($E126="","",IF($B126&gt;Input!$C$9,$AC126,0)+AF127/(1+$L126)*$R126))</f>
        <v>1594.804059004508</v>
      </c>
      <c r="AG126" s="164">
        <f>IF(AND($C125=12,$D125=Input!$C$6),0,IF($E126="","",(IF($B126&gt;Input!$C$9,$X126,0)+AG127)/(1+$L126)*$R126))</f>
        <v>761.23800188435871</v>
      </c>
      <c r="AH126" s="160">
        <f t="shared" si="26"/>
        <v>2.0950137211446997</v>
      </c>
      <c r="AI126" s="160">
        <f>IF($E126="","",MIN(Input!$C$61/AH126,1))</f>
        <v>0.64438718771845094</v>
      </c>
      <c r="AJ126" s="152"/>
      <c r="AK126" s="164">
        <f>IF(AND($C125=12,$D125=Input!$C$6),0,IF($E126="","",IF($B126&gt;Input!$C$9,$AC126*AI126,0)+AK127/(1+$L126)*$R126))</f>
        <v>1027.6713025438853</v>
      </c>
      <c r="AL126" s="164">
        <f>IF(AND($C125=12,$D125=Input!$C$6),0,IF($E126="","",IF($B126&gt;Input!$C$9,0,$AC126)+AL127/(1+$L126)*$R126))</f>
        <v>1034.4230402299236</v>
      </c>
      <c r="AM126" s="160">
        <f t="shared" si="27"/>
        <v>1.1382936520186004</v>
      </c>
      <c r="AN126" s="164">
        <f>IF($E126="","",IF($B126&gt;Input!$C$9,$AI126*$AC126,$AM126*$AC126))</f>
        <v>0</v>
      </c>
      <c r="AO126" s="164">
        <f>IF(AND($C125=12,$D125=Input!$C$6),0,IF($E126="","",$AN126+AO127/(1+$L126)*$R126))</f>
        <v>2205.1484827393874</v>
      </c>
      <c r="AP126" s="152"/>
      <c r="AQ126" s="164">
        <f t="shared" si="28"/>
        <v>931.22039107958335</v>
      </c>
      <c r="AR126" s="164">
        <f t="shared" si="37"/>
        <v>848.66518138155652</v>
      </c>
      <c r="AS126" s="164">
        <f t="shared" si="38"/>
        <v>104.78468899521532</v>
      </c>
      <c r="AT126" s="164">
        <f t="shared" si="29"/>
        <v>848.66518138155652</v>
      </c>
      <c r="AU126" s="152"/>
      <c r="AV126" s="147">
        <f>'Deterministic Reserve'!BC126</f>
        <v>0.56288181437416251</v>
      </c>
      <c r="AW126" s="164">
        <f t="shared" si="30"/>
        <v>848.66518138155652</v>
      </c>
      <c r="AX126" s="164">
        <f t="shared" si="31"/>
        <v>477.69819709222827</v>
      </c>
      <c r="AY126" s="152"/>
    </row>
    <row r="127" spans="1:51" s="150" customFormat="1" x14ac:dyDescent="0.25">
      <c r="A127" s="150">
        <f t="shared" si="39"/>
        <v>123</v>
      </c>
      <c r="B127" s="150">
        <f t="shared" si="40"/>
        <v>11</v>
      </c>
      <c r="C127" s="150">
        <f t="shared" si="41"/>
        <v>3</v>
      </c>
      <c r="D127" s="150">
        <f>IF(E127="","",Input!$C$4+B127-1)</f>
        <v>55</v>
      </c>
      <c r="E127" s="150">
        <f>IF(OR(AND(C126=12,D126=Input!$C$6),E126=""),"",1)</f>
        <v>1</v>
      </c>
      <c r="F127" s="150">
        <f>IF(E127="","",Input!$C$8+B127-1)</f>
        <v>2028</v>
      </c>
      <c r="G127" s="151">
        <f>IF(E127="","",MAX(0,Input!$C$9-B127))</f>
        <v>9</v>
      </c>
      <c r="H127" s="152">
        <f>IF(E127="","",Input!$C$3)</f>
        <v>100000</v>
      </c>
      <c r="I127" s="153">
        <f>IF(E127="","",HLOOKUP($B127,Input!$C$13:$BT$14,2))</f>
        <v>2.2999999999999998</v>
      </c>
      <c r="J127" s="154"/>
      <c r="K127" s="155">
        <f>IF($E127="","",Input!$C$57)</f>
        <v>4.4999999999999998E-2</v>
      </c>
      <c r="L127" s="155">
        <f t="shared" si="32"/>
        <v>3.6748094004368514E-3</v>
      </c>
      <c r="M127" s="147">
        <f>IF($E127="","",VLOOKUP(IF($B127&lt;=Input!$C$7,$B127,26),'Mortality Tables'!$A$72:$CA$97,IF($B127&lt;=Input!$C$7+1,Input!$C$4-16,$D127-Input!$C$7-16),0)/1000)</f>
        <v>2.1900000000000001E-3</v>
      </c>
      <c r="N127" s="147">
        <f t="shared" si="21"/>
        <v>1.8268344109051426E-4</v>
      </c>
      <c r="O127" s="157">
        <f>IF($E127="","",IF($C127=12,IF($B127&lt;Input!$C$9,Input!$C$54,IF($B127=Input!$C$9,Input!$C$55,Input!$C$56)),0%))</f>
        <v>0</v>
      </c>
      <c r="P127" s="167">
        <f>IF($E127="","",IF($B127=1,Input!$C$59,IF($B127&lt;6,Input!$C$60,0%)))</f>
        <v>0</v>
      </c>
      <c r="Q127" s="162">
        <f>IF($E127="","",Input!$C$58)</f>
        <v>2.5</v>
      </c>
      <c r="R127" s="156">
        <f t="shared" si="33"/>
        <v>0.99981731655890949</v>
      </c>
      <c r="S127" s="154">
        <f t="shared" si="22"/>
        <v>0.53233419567106766</v>
      </c>
      <c r="T127" s="152"/>
      <c r="U127" s="150">
        <f t="shared" si="34"/>
        <v>0</v>
      </c>
      <c r="V127" s="150">
        <f t="shared" si="35"/>
        <v>0</v>
      </c>
      <c r="W127" s="168">
        <f t="shared" si="36"/>
        <v>0</v>
      </c>
      <c r="X127" s="163">
        <f t="shared" si="23"/>
        <v>18.268344109051426</v>
      </c>
      <c r="Y127" s="152"/>
      <c r="Z127" s="164">
        <f>IF(AND($C126=12,$D126=Input!$C$6),0,IF($E127="","",V127+Z128/(1+L127)*R127))</f>
        <v>3196.4468912810021</v>
      </c>
      <c r="AA127" s="164">
        <f>IF(OR($M127=1,AND($C126=12,$D126=Input!$C$6)),0,IF($E127="","",W127+(X127+AA128*$R127)/(1+$L127)))</f>
        <v>3130.1979228585092</v>
      </c>
      <c r="AB127" s="160">
        <f t="shared" si="24"/>
        <v>0.825720328500681</v>
      </c>
      <c r="AC127" s="164">
        <f t="shared" si="25"/>
        <v>0</v>
      </c>
      <c r="AD127" s="164">
        <f>IF(AND($C126=12,$D126=Input!$C$6),0,IF($E127="","",$AC127+AD128/(1+$L127)*$R127))</f>
        <v>2639.3711771035278</v>
      </c>
      <c r="AE127" s="152"/>
      <c r="AF127" s="164">
        <f>IF(AND($C126=12,$D126=Input!$C$6),0,IF($E127="","",IF($B127&gt;Input!$C$9,$AC127,0)+AF128/(1+$L127)*$R127))</f>
        <v>1600.9571283096307</v>
      </c>
      <c r="AG127" s="164">
        <f>IF(AND($C126=12,$D126=Input!$C$6),0,IF($E127="","",(IF($B127&gt;Input!$C$9,$X127,0)+AG128)/(1+$L127)*$R127))</f>
        <v>764.17500856981394</v>
      </c>
      <c r="AH127" s="160">
        <f t="shared" si="26"/>
        <v>2.0950137211446997</v>
      </c>
      <c r="AI127" s="160">
        <f>IF($E127="","",MIN(Input!$C$61/AH127,1))</f>
        <v>0.64438718771845094</v>
      </c>
      <c r="AJ127" s="152"/>
      <c r="AK127" s="164">
        <f>IF(AND($C126=12,$D126=Input!$C$6),0,IF($E127="","",IF($B127&gt;Input!$C$9,$AC127*AI127,0)+AK128/(1+$L127)*$R127))</f>
        <v>1031.6362615692499</v>
      </c>
      <c r="AL127" s="164">
        <f>IF(AND($C126=12,$D126=Input!$C$6),0,IF($E127="","",IF($B127&gt;Input!$C$9,0,$AC127)+AL128/(1+$L127)*$R127))</f>
        <v>1038.4140487938994</v>
      </c>
      <c r="AM127" s="160">
        <f t="shared" si="27"/>
        <v>1.1382936520186004</v>
      </c>
      <c r="AN127" s="164">
        <f>IF($E127="","",IF($B127&gt;Input!$C$9,$AI127*$AC127,$AM127*$AC127))</f>
        <v>0</v>
      </c>
      <c r="AO127" s="164">
        <f>IF(AND($C126=12,$D126=Input!$C$6),0,IF($E127="","",$AN127+AO128/(1+$L127)*$R127))</f>
        <v>2213.6563814782776</v>
      </c>
      <c r="AP127" s="152"/>
      <c r="AQ127" s="164">
        <f t="shared" si="28"/>
        <v>916.54154138023159</v>
      </c>
      <c r="AR127" s="164">
        <f t="shared" si="37"/>
        <v>848.66518138155652</v>
      </c>
      <c r="AS127" s="164">
        <f t="shared" si="38"/>
        <v>104.78468899521532</v>
      </c>
      <c r="AT127" s="164">
        <f t="shared" si="29"/>
        <v>848.66518138155652</v>
      </c>
      <c r="AU127" s="152"/>
      <c r="AV127" s="147">
        <f>'Deterministic Reserve'!BC127</f>
        <v>0.56281467156312792</v>
      </c>
      <c r="AW127" s="164">
        <f t="shared" si="30"/>
        <v>848.66518138155652</v>
      </c>
      <c r="AX127" s="164">
        <f t="shared" si="31"/>
        <v>477.64121532632311</v>
      </c>
      <c r="AY127" s="152"/>
    </row>
    <row r="128" spans="1:51" s="150" customFormat="1" x14ac:dyDescent="0.25">
      <c r="A128" s="150">
        <f t="shared" si="39"/>
        <v>124</v>
      </c>
      <c r="B128" s="150">
        <f t="shared" si="40"/>
        <v>11</v>
      </c>
      <c r="C128" s="150">
        <f t="shared" si="41"/>
        <v>4</v>
      </c>
      <c r="D128" s="150">
        <f>IF(E128="","",Input!$C$4+B128-1)</f>
        <v>55</v>
      </c>
      <c r="E128" s="150">
        <f>IF(OR(AND(C127=12,D127=Input!$C$6),E127=""),"",1)</f>
        <v>1</v>
      </c>
      <c r="F128" s="150">
        <f>IF(E128="","",Input!$C$8+B128-1)</f>
        <v>2028</v>
      </c>
      <c r="G128" s="151">
        <f>IF(E128="","",MAX(0,Input!$C$9-B128))</f>
        <v>9</v>
      </c>
      <c r="H128" s="152">
        <f>IF(E128="","",Input!$C$3)</f>
        <v>100000</v>
      </c>
      <c r="I128" s="153">
        <f>IF(E128="","",HLOOKUP($B128,Input!$C$13:$BT$14,2))</f>
        <v>2.2999999999999998</v>
      </c>
      <c r="J128" s="154"/>
      <c r="K128" s="155">
        <f>IF($E128="","",Input!$C$57)</f>
        <v>4.4999999999999998E-2</v>
      </c>
      <c r="L128" s="155">
        <f t="shared" si="32"/>
        <v>3.6748094004368514E-3</v>
      </c>
      <c r="M128" s="147">
        <f>IF($E128="","",VLOOKUP(IF($B128&lt;=Input!$C$7,$B128,26),'Mortality Tables'!$A$72:$CA$97,IF($B128&lt;=Input!$C$7+1,Input!$C$4-16,$D128-Input!$C$7-16),0)/1000)</f>
        <v>2.1900000000000001E-3</v>
      </c>
      <c r="N128" s="147">
        <f t="shared" si="21"/>
        <v>1.8268344109051426E-4</v>
      </c>
      <c r="O128" s="157">
        <f>IF($E128="","",IF($C128=12,IF($B128&lt;Input!$C$9,Input!$C$54,IF($B128=Input!$C$9,Input!$C$55,Input!$C$56)),0%))</f>
        <v>0</v>
      </c>
      <c r="P128" s="167">
        <f>IF($E128="","",IF($B128=1,Input!$C$59,IF($B128&lt;6,Input!$C$60,0%)))</f>
        <v>0</v>
      </c>
      <c r="Q128" s="162">
        <f>IF($E128="","",Input!$C$58)</f>
        <v>2.5</v>
      </c>
      <c r="R128" s="156">
        <f t="shared" si="33"/>
        <v>0.99981731655890949</v>
      </c>
      <c r="S128" s="154">
        <f t="shared" si="22"/>
        <v>0.5322369470283923</v>
      </c>
      <c r="T128" s="152"/>
      <c r="U128" s="150">
        <f t="shared" si="34"/>
        <v>0</v>
      </c>
      <c r="V128" s="150">
        <f t="shared" si="35"/>
        <v>0</v>
      </c>
      <c r="W128" s="168">
        <f t="shared" si="36"/>
        <v>0</v>
      </c>
      <c r="X128" s="163">
        <f t="shared" si="23"/>
        <v>18.268344109051426</v>
      </c>
      <c r="Y128" s="152"/>
      <c r="Z128" s="164">
        <f>IF(AND($C127=12,$D127=Input!$C$6),0,IF($E128="","",V128+Z129/(1+L128)*R128))</f>
        <v>3208.7794152303532</v>
      </c>
      <c r="AA128" s="164">
        <f>IF(OR($M128=1,AND($C127=12,$D127=Input!$C$6)),0,IF($E128="","",W128+(X128+AA129*$R128)/(1+$L128)))</f>
        <v>3124.003163149428</v>
      </c>
      <c r="AB128" s="160">
        <f t="shared" si="24"/>
        <v>0.825720328500681</v>
      </c>
      <c r="AC128" s="164">
        <f t="shared" si="25"/>
        <v>0</v>
      </c>
      <c r="AD128" s="164">
        <f>IF(AND($C127=12,$D127=Input!$C$6),0,IF($E128="","",$AC128+AD129/(1+$L128)*$R128))</f>
        <v>2649.5543928302286</v>
      </c>
      <c r="AE128" s="152"/>
      <c r="AF128" s="164">
        <f>IF(AND($C127=12,$D127=Input!$C$6),0,IF($E128="","",IF($B128&gt;Input!$C$9,$AC128,0)+AF129/(1+$L128)*$R128))</f>
        <v>1607.1339373724118</v>
      </c>
      <c r="AG128" s="164">
        <f>IF(AND($C127=12,$D127=Input!$C$6),0,IF($E128="","",(IF($B128&gt;Input!$C$9,$X128,0)+AG129)/(1+$L128)*$R128))</f>
        <v>767.12334680762092</v>
      </c>
      <c r="AH128" s="160">
        <f t="shared" si="26"/>
        <v>2.0950137211446997</v>
      </c>
      <c r="AI128" s="160">
        <f>IF($E128="","",MIN(Input!$C$61/AH128,1))</f>
        <v>0.64438718771845094</v>
      </c>
      <c r="AJ128" s="152"/>
      <c r="AK128" s="164">
        <f>IF(AND($C127=12,$D127=Input!$C$6),0,IF($E128="","",IF($B128&gt;Input!$C$9,$AC128*AI128,0)+AK129/(1+$L128)*$R128))</f>
        <v>1035.6165181902893</v>
      </c>
      <c r="AL128" s="164">
        <f>IF(AND($C127=12,$D127=Input!$C$6),0,IF($E128="","",IF($B128&gt;Input!$C$9,0,$AC128)+AL129/(1+$L128)*$R128))</f>
        <v>1042.4204554578191</v>
      </c>
      <c r="AM128" s="160">
        <f t="shared" si="27"/>
        <v>1.1382936520186004</v>
      </c>
      <c r="AN128" s="164">
        <f>IF($E128="","",IF($B128&gt;Input!$C$9,$AI128*$AC128,$AM128*$AC128))</f>
        <v>0</v>
      </c>
      <c r="AO128" s="164">
        <f>IF(AND($C127=12,$D127=Input!$C$6),0,IF($E128="","",$AN128+AO129/(1+$L128)*$R128))</f>
        <v>2222.1971053722618</v>
      </c>
      <c r="AP128" s="152"/>
      <c r="AQ128" s="164">
        <f t="shared" si="28"/>
        <v>901.80605777716619</v>
      </c>
      <c r="AR128" s="164">
        <f t="shared" si="37"/>
        <v>848.66518138155652</v>
      </c>
      <c r="AS128" s="164">
        <f t="shared" si="38"/>
        <v>104.78468899521532</v>
      </c>
      <c r="AT128" s="164">
        <f t="shared" si="29"/>
        <v>848.66518138155652</v>
      </c>
      <c r="AU128" s="152"/>
      <c r="AV128" s="147">
        <f>'Deterministic Reserve'!BC128</f>
        <v>0.56274753676115841</v>
      </c>
      <c r="AW128" s="164">
        <f t="shared" si="30"/>
        <v>848.66518138155652</v>
      </c>
      <c r="AX128" s="164">
        <f t="shared" si="31"/>
        <v>477.58424035743263</v>
      </c>
      <c r="AY128" s="152"/>
    </row>
    <row r="129" spans="1:51" s="150" customFormat="1" x14ac:dyDescent="0.25">
      <c r="A129" s="150">
        <f t="shared" si="39"/>
        <v>125</v>
      </c>
      <c r="B129" s="150">
        <f t="shared" si="40"/>
        <v>11</v>
      </c>
      <c r="C129" s="150">
        <f t="shared" si="41"/>
        <v>5</v>
      </c>
      <c r="D129" s="150">
        <f>IF(E129="","",Input!$C$4+B129-1)</f>
        <v>55</v>
      </c>
      <c r="E129" s="150">
        <f>IF(OR(AND(C128=12,D128=Input!$C$6),E128=""),"",1)</f>
        <v>1</v>
      </c>
      <c r="F129" s="150">
        <f>IF(E129="","",Input!$C$8+B129-1)</f>
        <v>2028</v>
      </c>
      <c r="G129" s="151">
        <f>IF(E129="","",MAX(0,Input!$C$9-B129))</f>
        <v>9</v>
      </c>
      <c r="H129" s="152">
        <f>IF(E129="","",Input!$C$3)</f>
        <v>100000</v>
      </c>
      <c r="I129" s="153">
        <f>IF(E129="","",HLOOKUP($B129,Input!$C$13:$BT$14,2))</f>
        <v>2.2999999999999998</v>
      </c>
      <c r="J129" s="154"/>
      <c r="K129" s="155">
        <f>IF($E129="","",Input!$C$57)</f>
        <v>4.4999999999999998E-2</v>
      </c>
      <c r="L129" s="155">
        <f t="shared" si="32"/>
        <v>3.6748094004368514E-3</v>
      </c>
      <c r="M129" s="147">
        <f>IF($E129="","",VLOOKUP(IF($B129&lt;=Input!$C$7,$B129,26),'Mortality Tables'!$A$72:$CA$97,IF($B129&lt;=Input!$C$7+1,Input!$C$4-16,$D129-Input!$C$7-16),0)/1000)</f>
        <v>2.1900000000000001E-3</v>
      </c>
      <c r="N129" s="147">
        <f t="shared" si="21"/>
        <v>1.8268344109051426E-4</v>
      </c>
      <c r="O129" s="157">
        <f>IF($E129="","",IF($C129=12,IF($B129&lt;Input!$C$9,Input!$C$54,IF($B129=Input!$C$9,Input!$C$55,Input!$C$56)),0%))</f>
        <v>0</v>
      </c>
      <c r="P129" s="167">
        <f>IF($E129="","",IF($B129=1,Input!$C$59,IF($B129&lt;6,Input!$C$60,0%)))</f>
        <v>0</v>
      </c>
      <c r="Q129" s="162">
        <f>IF($E129="","",Input!$C$58)</f>
        <v>2.5</v>
      </c>
      <c r="R129" s="156">
        <f t="shared" si="33"/>
        <v>0.99981731655890949</v>
      </c>
      <c r="S129" s="154">
        <f t="shared" si="22"/>
        <v>0.53213971615143363</v>
      </c>
      <c r="T129" s="152"/>
      <c r="U129" s="150">
        <f t="shared" si="34"/>
        <v>0</v>
      </c>
      <c r="V129" s="150">
        <f t="shared" si="35"/>
        <v>0</v>
      </c>
      <c r="W129" s="168">
        <f t="shared" si="36"/>
        <v>0</v>
      </c>
      <c r="X129" s="163">
        <f t="shared" si="23"/>
        <v>18.268344109051426</v>
      </c>
      <c r="Y129" s="152"/>
      <c r="Z129" s="164">
        <f>IF(AND($C128=12,$D128=Input!$C$6),0,IF($E129="","",V129+Z130/(1+L129)*R129))</f>
        <v>3221.1595204948753</v>
      </c>
      <c r="AA129" s="164">
        <f>IF(OR($M129=1,AND($C128=12,$D128=Input!$C$6)),0,IF($E129="","",W129+(X129+AA130*$R129)/(1+$L129)))</f>
        <v>3117.7845028328688</v>
      </c>
      <c r="AB129" s="160">
        <f t="shared" si="24"/>
        <v>0.825720328500681</v>
      </c>
      <c r="AC129" s="164">
        <f t="shared" si="25"/>
        <v>0</v>
      </c>
      <c r="AD129" s="164">
        <f>IF(AND($C128=12,$D128=Input!$C$6),0,IF($E129="","",$AC129+AD130/(1+$L129)*$R129))</f>
        <v>2659.7768974161231</v>
      </c>
      <c r="AE129" s="152"/>
      <c r="AF129" s="164">
        <f>IF(AND($C128=12,$D128=Input!$C$6),0,IF($E129="","",IF($B129&gt;Input!$C$9,$AC129,0)+AF130/(1+$L129)*$R129))</f>
        <v>1613.3345777855291</v>
      </c>
      <c r="AG129" s="164">
        <f>IF(AND($C128=12,$D128=Input!$C$6),0,IF($E129="","",(IF($B129&gt;Input!$C$9,$X129,0)+AG130)/(1+$L129)*$R129))</f>
        <v>770.08306031714835</v>
      </c>
      <c r="AH129" s="160">
        <f t="shared" si="26"/>
        <v>2.0950137211446997</v>
      </c>
      <c r="AI129" s="160">
        <f>IF($E129="","",MIN(Input!$C$61/AH129,1))</f>
        <v>0.64438718771845094</v>
      </c>
      <c r="AJ129" s="152"/>
      <c r="AK129" s="164">
        <f>IF(AND($C128=12,$D128=Input!$C$6),0,IF($E129="","",IF($B129&gt;Input!$C$9,$AC129*AI129,0)+AK130/(1+$L129)*$R129))</f>
        <v>1039.6121314281515</v>
      </c>
      <c r="AL129" s="164">
        <f>IF(AND($C128=12,$D128=Input!$C$6),0,IF($E129="","",IF($B129&gt;Input!$C$9,0,$AC129)+AL130/(1+$L129)*$R129))</f>
        <v>1046.4423196305961</v>
      </c>
      <c r="AM129" s="160">
        <f t="shared" si="27"/>
        <v>1.1382936520186004</v>
      </c>
      <c r="AN129" s="164">
        <f>IF($E129="","",IF($B129&gt;Input!$C$9,$AI129*$AC129,$AM129*$AC129))</f>
        <v>0</v>
      </c>
      <c r="AO129" s="164">
        <f>IF(AND($C128=12,$D128=Input!$C$6),0,IF($E129="","",$AN129+AO130/(1+$L129)*$R129))</f>
        <v>2230.7707810672769</v>
      </c>
      <c r="AP129" s="152"/>
      <c r="AQ129" s="164">
        <f t="shared" si="28"/>
        <v>887.01372176559198</v>
      </c>
      <c r="AR129" s="164">
        <f t="shared" si="37"/>
        <v>848.66518138155652</v>
      </c>
      <c r="AS129" s="164">
        <f t="shared" si="38"/>
        <v>104.78468899521532</v>
      </c>
      <c r="AT129" s="164">
        <f t="shared" si="29"/>
        <v>848.66518138155652</v>
      </c>
      <c r="AU129" s="152"/>
      <c r="AV129" s="147">
        <f>'Deterministic Reserve'!BC129</f>
        <v>0.56268040996729851</v>
      </c>
      <c r="AW129" s="164">
        <f t="shared" si="30"/>
        <v>848.66518138155652</v>
      </c>
      <c r="AX129" s="164">
        <f t="shared" si="31"/>
        <v>477.52727218474598</v>
      </c>
      <c r="AY129" s="152"/>
    </row>
    <row r="130" spans="1:51" s="150" customFormat="1" x14ac:dyDescent="0.25">
      <c r="A130" s="150">
        <f t="shared" si="39"/>
        <v>126</v>
      </c>
      <c r="B130" s="150">
        <f t="shared" si="40"/>
        <v>11</v>
      </c>
      <c r="C130" s="150">
        <f t="shared" si="41"/>
        <v>6</v>
      </c>
      <c r="D130" s="150">
        <f>IF(E130="","",Input!$C$4+B130-1)</f>
        <v>55</v>
      </c>
      <c r="E130" s="150">
        <f>IF(OR(AND(C129=12,D129=Input!$C$6),E129=""),"",1)</f>
        <v>1</v>
      </c>
      <c r="F130" s="150">
        <f>IF(E130="","",Input!$C$8+B130-1)</f>
        <v>2028</v>
      </c>
      <c r="G130" s="151">
        <f>IF(E130="","",MAX(0,Input!$C$9-B130))</f>
        <v>9</v>
      </c>
      <c r="H130" s="152">
        <f>IF(E130="","",Input!$C$3)</f>
        <v>100000</v>
      </c>
      <c r="I130" s="153">
        <f>IF(E130="","",HLOOKUP($B130,Input!$C$13:$BT$14,2))</f>
        <v>2.2999999999999998</v>
      </c>
      <c r="J130" s="154"/>
      <c r="K130" s="155">
        <f>IF($E130="","",Input!$C$57)</f>
        <v>4.4999999999999998E-2</v>
      </c>
      <c r="L130" s="155">
        <f t="shared" si="32"/>
        <v>3.6748094004368514E-3</v>
      </c>
      <c r="M130" s="147">
        <f>IF($E130="","",VLOOKUP(IF($B130&lt;=Input!$C$7,$B130,26),'Mortality Tables'!$A$72:$CA$97,IF($B130&lt;=Input!$C$7+1,Input!$C$4-16,$D130-Input!$C$7-16),0)/1000)</f>
        <v>2.1900000000000001E-3</v>
      </c>
      <c r="N130" s="147">
        <f t="shared" si="21"/>
        <v>1.8268344109051426E-4</v>
      </c>
      <c r="O130" s="157">
        <f>IF($E130="","",IF($C130=12,IF($B130&lt;Input!$C$9,Input!$C$54,IF($B130=Input!$C$9,Input!$C$55,Input!$C$56)),0%))</f>
        <v>0</v>
      </c>
      <c r="P130" s="167">
        <f>IF($E130="","",IF($B130=1,Input!$C$59,IF($B130&lt;6,Input!$C$60,0%)))</f>
        <v>0</v>
      </c>
      <c r="Q130" s="162">
        <f>IF($E130="","",Input!$C$58)</f>
        <v>2.5</v>
      </c>
      <c r="R130" s="156">
        <f t="shared" si="33"/>
        <v>0.99981731655890949</v>
      </c>
      <c r="S130" s="154">
        <f t="shared" si="22"/>
        <v>0.53204250303694611</v>
      </c>
      <c r="T130" s="152"/>
      <c r="U130" s="150">
        <f t="shared" si="34"/>
        <v>0</v>
      </c>
      <c r="V130" s="150">
        <f t="shared" si="35"/>
        <v>0</v>
      </c>
      <c r="W130" s="168">
        <f t="shared" si="36"/>
        <v>0</v>
      </c>
      <c r="X130" s="163">
        <f t="shared" si="23"/>
        <v>18.268344109051426</v>
      </c>
      <c r="Y130" s="152"/>
      <c r="Z130" s="164">
        <f>IF(AND($C129=12,$D129=Input!$C$6),0,IF($E130="","",V130+Z131/(1+L130)*R130))</f>
        <v>3233.5873906526876</v>
      </c>
      <c r="AA130" s="164">
        <f>IF(OR($M130=1,AND($C129=12,$D129=Input!$C$6)),0,IF($E130="","",W130+(X130+AA131*$R130)/(1+$L130)))</f>
        <v>3111.5418496955635</v>
      </c>
      <c r="AB130" s="160">
        <f t="shared" si="24"/>
        <v>0.825720328500681</v>
      </c>
      <c r="AC130" s="164">
        <f t="shared" si="25"/>
        <v>0</v>
      </c>
      <c r="AD130" s="164">
        <f>IF(AND($C129=12,$D129=Input!$C$6),0,IF($E130="","",$AC130+AD131/(1+$L130)*$R130))</f>
        <v>2670.0388424453959</v>
      </c>
      <c r="AE130" s="152"/>
      <c r="AF130" s="164">
        <f>IF(AND($C129=12,$D129=Input!$C$6),0,IF($E130="","",IF($B130&gt;Input!$C$9,$AC130,0)+AF131/(1+$L130)*$R130))</f>
        <v>1619.5591414950431</v>
      </c>
      <c r="AG130" s="164">
        <f>IF(AND($C129=12,$D129=Input!$C$6),0,IF($E130="","",(IF($B130&gt;Input!$C$9,$X130,0)+AG131)/(1+$L130)*$R130))</f>
        <v>773.05419298644324</v>
      </c>
      <c r="AH130" s="160">
        <f t="shared" si="26"/>
        <v>2.0950137211446997</v>
      </c>
      <c r="AI130" s="160">
        <f>IF($E130="","",MIN(Input!$C$61/AH130,1))</f>
        <v>0.64438718771845094</v>
      </c>
      <c r="AJ130" s="152"/>
      <c r="AK130" s="164">
        <f>IF(AND($C129=12,$D129=Input!$C$6),0,IF($E130="","",IF($B130&gt;Input!$C$9,$AC130*AI130,0)+AK131/(1+$L130)*$R130))</f>
        <v>1043.6231605316996</v>
      </c>
      <c r="AL130" s="164">
        <f>IF(AND($C129=12,$D129=Input!$C$6),0,IF($E130="","",IF($B130&gt;Input!$C$9,0,$AC130)+AL131/(1+$L130)*$R130))</f>
        <v>1050.4797009503548</v>
      </c>
      <c r="AM130" s="160">
        <f t="shared" si="27"/>
        <v>1.1382936520186004</v>
      </c>
      <c r="AN130" s="164">
        <f>IF($E130="","",IF($B130&gt;Input!$C$9,$AI130*$AC130,$AM130*$AC130))</f>
        <v>0</v>
      </c>
      <c r="AO130" s="164">
        <f>IF(AND($C129=12,$D129=Input!$C$6),0,IF($E130="","",$AN130+AO131/(1+$L130)*$R130))</f>
        <v>2239.3775356978849</v>
      </c>
      <c r="AP130" s="152"/>
      <c r="AQ130" s="164">
        <f t="shared" si="28"/>
        <v>872.16431399767862</v>
      </c>
      <c r="AR130" s="164">
        <f t="shared" si="37"/>
        <v>848.66518138155652</v>
      </c>
      <c r="AS130" s="164">
        <f t="shared" si="38"/>
        <v>104.78468899521532</v>
      </c>
      <c r="AT130" s="164">
        <f t="shared" si="29"/>
        <v>848.66518138155652</v>
      </c>
      <c r="AU130" s="152"/>
      <c r="AV130" s="147">
        <f>'Deterministic Reserve'!BC130</f>
        <v>0.56261329118059311</v>
      </c>
      <c r="AW130" s="164">
        <f t="shared" si="30"/>
        <v>848.66518138155652</v>
      </c>
      <c r="AX130" s="164">
        <f t="shared" si="31"/>
        <v>477.47031080745251</v>
      </c>
      <c r="AY130" s="152"/>
    </row>
    <row r="131" spans="1:51" s="150" customFormat="1" x14ac:dyDescent="0.25">
      <c r="A131" s="150">
        <f t="shared" si="39"/>
        <v>127</v>
      </c>
      <c r="B131" s="150">
        <f t="shared" si="40"/>
        <v>11</v>
      </c>
      <c r="C131" s="150">
        <f t="shared" si="41"/>
        <v>7</v>
      </c>
      <c r="D131" s="150">
        <f>IF(E131="","",Input!$C$4+B131-1)</f>
        <v>55</v>
      </c>
      <c r="E131" s="150">
        <f>IF(OR(AND(C130=12,D130=Input!$C$6),E130=""),"",1)</f>
        <v>1</v>
      </c>
      <c r="F131" s="150">
        <f>IF(E131="","",Input!$C$8+B131-1)</f>
        <v>2028</v>
      </c>
      <c r="G131" s="151">
        <f>IF(E131="","",MAX(0,Input!$C$9-B131))</f>
        <v>9</v>
      </c>
      <c r="H131" s="152">
        <f>IF(E131="","",Input!$C$3)</f>
        <v>100000</v>
      </c>
      <c r="I131" s="153">
        <f>IF(E131="","",HLOOKUP($B131,Input!$C$13:$BT$14,2))</f>
        <v>2.2999999999999998</v>
      </c>
      <c r="J131" s="154"/>
      <c r="K131" s="155">
        <f>IF($E131="","",Input!$C$57)</f>
        <v>4.4999999999999998E-2</v>
      </c>
      <c r="L131" s="155">
        <f t="shared" si="32"/>
        <v>3.6748094004368514E-3</v>
      </c>
      <c r="M131" s="147">
        <f>IF($E131="","",VLOOKUP(IF($B131&lt;=Input!$C$7,$B131,26),'Mortality Tables'!$A$72:$CA$97,IF($B131&lt;=Input!$C$7+1,Input!$C$4-16,$D131-Input!$C$7-16),0)/1000)</f>
        <v>2.1900000000000001E-3</v>
      </c>
      <c r="N131" s="147">
        <f t="shared" si="21"/>
        <v>1.8268344109051426E-4</v>
      </c>
      <c r="O131" s="157">
        <f>IF($E131="","",IF($C131=12,IF($B131&lt;Input!$C$9,Input!$C$54,IF($B131=Input!$C$9,Input!$C$55,Input!$C$56)),0%))</f>
        <v>0</v>
      </c>
      <c r="P131" s="167">
        <f>IF($E131="","",IF($B131=1,Input!$C$59,IF($B131&lt;6,Input!$C$60,0%)))</f>
        <v>0</v>
      </c>
      <c r="Q131" s="162">
        <f>IF($E131="","",Input!$C$58)</f>
        <v>2.5</v>
      </c>
      <c r="R131" s="156">
        <f t="shared" si="33"/>
        <v>0.99981731655890949</v>
      </c>
      <c r="S131" s="154">
        <f t="shared" si="22"/>
        <v>0.53194530768168491</v>
      </c>
      <c r="T131" s="152"/>
      <c r="U131" s="150">
        <f t="shared" si="34"/>
        <v>0</v>
      </c>
      <c r="V131" s="150">
        <f t="shared" si="35"/>
        <v>0</v>
      </c>
      <c r="W131" s="168">
        <f t="shared" si="36"/>
        <v>0</v>
      </c>
      <c r="X131" s="163">
        <f t="shared" si="23"/>
        <v>18.268344109051426</v>
      </c>
      <c r="Y131" s="152"/>
      <c r="Z131" s="164">
        <f>IF(AND($C130=12,$D130=Input!$C$6),0,IF($E131="","",V131+Z132/(1+L131)*R131))</f>
        <v>3246.0632099901909</v>
      </c>
      <c r="AA131" s="164">
        <f>IF(OR($M131=1,AND($C130=12,$D130=Input!$C$6)),0,IF($E131="","",W131+(X131+AA132*$R131)/(1+$L131)))</f>
        <v>3105.275111168467</v>
      </c>
      <c r="AB131" s="160">
        <f t="shared" si="24"/>
        <v>0.825720328500681</v>
      </c>
      <c r="AC131" s="164">
        <f t="shared" si="25"/>
        <v>0</v>
      </c>
      <c r="AD131" s="164">
        <f>IF(AND($C130=12,$D130=Input!$C$6),0,IF($E131="","",$AC131+AD132/(1+$L131)*$R131))</f>
        <v>2680.3403800870738</v>
      </c>
      <c r="AE131" s="152"/>
      <c r="AF131" s="164">
        <f>IF(AND($C130=12,$D130=Input!$C$6),0,IF($E131="","",IF($B131&gt;Input!$C$9,$AC131,0)+AF132/(1+$L131)*$R131))</f>
        <v>1625.8077208017603</v>
      </c>
      <c r="AG131" s="164">
        <f>IF(AND($C130=12,$D130=Input!$C$6),0,IF($E131="","",(IF($B131&gt;Input!$C$9,$X131,0)+AG132)/(1+$L131)*$R131))</f>
        <v>776.03678887288106</v>
      </c>
      <c r="AH131" s="160">
        <f t="shared" si="26"/>
        <v>2.0950137211446997</v>
      </c>
      <c r="AI131" s="160">
        <f>IF($E131="","",MIN(Input!$C$61/AH131,1))</f>
        <v>0.64438718771845094</v>
      </c>
      <c r="AJ131" s="152"/>
      <c r="AK131" s="164">
        <f>IF(AND($C130=12,$D130=Input!$C$6),0,IF($E131="","",IF($B131&gt;Input!$C$9,$AC131*AI131,0)+AK132/(1+$L131)*$R131))</f>
        <v>1047.6496649783908</v>
      </c>
      <c r="AL131" s="164">
        <f>IF(AND($C130=12,$D130=Input!$C$6),0,IF($E131="","",IF($B131&gt;Input!$C$9,0,$AC131)+AL132/(1+$L131)*$R131))</f>
        <v>1054.5326592853157</v>
      </c>
      <c r="AM131" s="160">
        <f t="shared" si="27"/>
        <v>1.1382936520186004</v>
      </c>
      <c r="AN131" s="164">
        <f>IF($E131="","",IF($B131&gt;Input!$C$9,$AI131*$AC131,$AM131*$AC131))</f>
        <v>0</v>
      </c>
      <c r="AO131" s="164">
        <f>IF(AND($C130=12,$D130=Input!$C$6),0,IF($E131="","",$AN131+AO132/(1+$L131)*$R131))</f>
        <v>2248.0174968891583</v>
      </c>
      <c r="AP131" s="152"/>
      <c r="AQ131" s="164">
        <f t="shared" si="28"/>
        <v>857.25761427930865</v>
      </c>
      <c r="AR131" s="164">
        <f t="shared" si="37"/>
        <v>848.66518138155652</v>
      </c>
      <c r="AS131" s="164">
        <f t="shared" si="38"/>
        <v>104.78468899521532</v>
      </c>
      <c r="AT131" s="164">
        <f t="shared" si="29"/>
        <v>848.66518138155652</v>
      </c>
      <c r="AU131" s="152"/>
      <c r="AV131" s="147">
        <f>'Deterministic Reserve'!BC131</f>
        <v>0.56254618040008708</v>
      </c>
      <c r="AW131" s="164">
        <f t="shared" si="30"/>
        <v>848.66518138155652</v>
      </c>
      <c r="AX131" s="164">
        <f t="shared" si="31"/>
        <v>477.41335622474173</v>
      </c>
      <c r="AY131" s="152"/>
    </row>
    <row r="132" spans="1:51" s="150" customFormat="1" x14ac:dyDescent="0.25">
      <c r="A132" s="150">
        <f t="shared" si="39"/>
        <v>128</v>
      </c>
      <c r="B132" s="150">
        <f t="shared" si="40"/>
        <v>11</v>
      </c>
      <c r="C132" s="150">
        <f t="shared" si="41"/>
        <v>8</v>
      </c>
      <c r="D132" s="150">
        <f>IF(E132="","",Input!$C$4+B132-1)</f>
        <v>55</v>
      </c>
      <c r="E132" s="150">
        <f>IF(OR(AND(C131=12,D131=Input!$C$6),E131=""),"",1)</f>
        <v>1</v>
      </c>
      <c r="F132" s="150">
        <f>IF(E132="","",Input!$C$8+B132-1)</f>
        <v>2028</v>
      </c>
      <c r="G132" s="151">
        <f>IF(E132="","",MAX(0,Input!$C$9-B132))</f>
        <v>9</v>
      </c>
      <c r="H132" s="152">
        <f>IF(E132="","",Input!$C$3)</f>
        <v>100000</v>
      </c>
      <c r="I132" s="153">
        <f>IF(E132="","",HLOOKUP($B132,Input!$C$13:$BT$14,2))</f>
        <v>2.2999999999999998</v>
      </c>
      <c r="J132" s="154"/>
      <c r="K132" s="155">
        <f>IF($E132="","",Input!$C$57)</f>
        <v>4.4999999999999998E-2</v>
      </c>
      <c r="L132" s="155">
        <f t="shared" si="32"/>
        <v>3.6748094004368514E-3</v>
      </c>
      <c r="M132" s="147">
        <f>IF($E132="","",VLOOKUP(IF($B132&lt;=Input!$C$7,$B132,26),'Mortality Tables'!$A$72:$CA$97,IF($B132&lt;=Input!$C$7+1,Input!$C$4-16,$D132-Input!$C$7-16),0)/1000)</f>
        <v>2.1900000000000001E-3</v>
      </c>
      <c r="N132" s="147">
        <f t="shared" si="21"/>
        <v>1.8268344109051426E-4</v>
      </c>
      <c r="O132" s="157">
        <f>IF($E132="","",IF($C132=12,IF($B132&lt;Input!$C$9,Input!$C$54,IF($B132=Input!$C$9,Input!$C$55,Input!$C$56)),0%))</f>
        <v>0</v>
      </c>
      <c r="P132" s="167">
        <f>IF($E132="","",IF($B132=1,Input!$C$59,IF($B132&lt;6,Input!$C$60,0%)))</f>
        <v>0</v>
      </c>
      <c r="Q132" s="162">
        <f>IF($E132="","",Input!$C$58)</f>
        <v>2.5</v>
      </c>
      <c r="R132" s="156">
        <f t="shared" si="33"/>
        <v>0.99981731655890949</v>
      </c>
      <c r="S132" s="154">
        <f t="shared" si="22"/>
        <v>0.53184813008240561</v>
      </c>
      <c r="T132" s="152"/>
      <c r="U132" s="150">
        <f t="shared" si="34"/>
        <v>0</v>
      </c>
      <c r="V132" s="150">
        <f t="shared" si="35"/>
        <v>0</v>
      </c>
      <c r="W132" s="168">
        <f t="shared" si="36"/>
        <v>0</v>
      </c>
      <c r="X132" s="163">
        <f t="shared" si="23"/>
        <v>18.268344109051426</v>
      </c>
      <c r="Y132" s="152"/>
      <c r="Z132" s="164">
        <f>IF(AND($C131=12,$D131=Input!$C$6),0,IF($E132="","",V132+Z133/(1+L132)*R132))</f>
        <v>3258.5871635047974</v>
      </c>
      <c r="AA132" s="164">
        <f>IF(OR($M132=1,AND($C131=12,$D131=Input!$C$6)),0,IF($E132="","",W132+(X132+AA133*$R132)/(1+$L132)))</f>
        <v>3098.9841943253846</v>
      </c>
      <c r="AB132" s="160">
        <f t="shared" si="24"/>
        <v>0.825720328500681</v>
      </c>
      <c r="AC132" s="164">
        <f t="shared" si="25"/>
        <v>0</v>
      </c>
      <c r="AD132" s="164">
        <f>IF(AND($C131=12,$D131=Input!$C$6),0,IF($E132="","",$AC132+AD133/(1+$L132)*$R132))</f>
        <v>2690.6816630972821</v>
      </c>
      <c r="AE132" s="152"/>
      <c r="AF132" s="164">
        <f>IF(AND($C131=12,$D131=Input!$C$6),0,IF($E132="","",IF($B132&gt;Input!$C$9,$AC132,0)+AF133/(1+$L132)*$R132))</f>
        <v>1632.0804083626015</v>
      </c>
      <c r="AG132" s="164">
        <f>IF(AND($C131=12,$D131=Input!$C$6),0,IF($E132="","",(IF($B132&gt;Input!$C$9,$X132,0)+AG133)/(1+$L132)*$R132))</f>
        <v>779.03089220381958</v>
      </c>
      <c r="AH132" s="160">
        <f t="shared" si="26"/>
        <v>2.0950137211446997</v>
      </c>
      <c r="AI132" s="160">
        <f>IF($E132="","",MIN(Input!$C$61/AH132,1))</f>
        <v>0.64438718771845094</v>
      </c>
      <c r="AJ132" s="152"/>
      <c r="AK132" s="164">
        <f>IF(AND($C131=12,$D131=Input!$C$6),0,IF($E132="","",IF($B132&gt;Input!$C$9,$AC132*AI132,0)+AK133/(1+$L132)*$R132))</f>
        <v>1051.6917044751578</v>
      </c>
      <c r="AL132" s="164">
        <f>IF(AND($C131=12,$D131=Input!$C$6),0,IF($E132="","",IF($B132&gt;Input!$C$9,0,$AC132)+AL133/(1+$L132)*$R132))</f>
        <v>1058.6012547346827</v>
      </c>
      <c r="AM132" s="160">
        <f t="shared" si="27"/>
        <v>1.1382936520186004</v>
      </c>
      <c r="AN132" s="164">
        <f>IF($E132="","",IF($B132&gt;Input!$C$9,$AI132*$AC132,$AM132*$AC132))</f>
        <v>0</v>
      </c>
      <c r="AO132" s="164">
        <f>IF(AND($C131=12,$D131=Input!$C$6),0,IF($E132="","",$AN132+AO133/(1+$L132)*$R132))</f>
        <v>2256.6907927585717</v>
      </c>
      <c r="AP132" s="152"/>
      <c r="AQ132" s="164">
        <f t="shared" si="28"/>
        <v>842.29340156681292</v>
      </c>
      <c r="AR132" s="164">
        <f t="shared" si="37"/>
        <v>848.66518138155652</v>
      </c>
      <c r="AS132" s="164">
        <f t="shared" si="38"/>
        <v>104.78468899521532</v>
      </c>
      <c r="AT132" s="164">
        <f t="shared" si="29"/>
        <v>848.66518138155652</v>
      </c>
      <c r="AU132" s="152"/>
      <c r="AV132" s="147">
        <f>'Deterministic Reserve'!BC132</f>
        <v>0.56247907762482541</v>
      </c>
      <c r="AW132" s="164">
        <f t="shared" si="30"/>
        <v>848.66518138155652</v>
      </c>
      <c r="AX132" s="164">
        <f t="shared" si="31"/>
        <v>477.35640843580308</v>
      </c>
      <c r="AY132" s="152"/>
    </row>
    <row r="133" spans="1:51" s="150" customFormat="1" x14ac:dyDescent="0.25">
      <c r="A133" s="150">
        <f t="shared" si="39"/>
        <v>129</v>
      </c>
      <c r="B133" s="150">
        <f t="shared" si="40"/>
        <v>11</v>
      </c>
      <c r="C133" s="150">
        <f t="shared" si="41"/>
        <v>9</v>
      </c>
      <c r="D133" s="150">
        <f>IF(E133="","",Input!$C$4+B133-1)</f>
        <v>55</v>
      </c>
      <c r="E133" s="150">
        <f>IF(OR(AND(C132=12,D132=Input!$C$6),E132=""),"",1)</f>
        <v>1</v>
      </c>
      <c r="F133" s="150">
        <f>IF(E133="","",Input!$C$8+B133-1)</f>
        <v>2028</v>
      </c>
      <c r="G133" s="151">
        <f>IF(E133="","",MAX(0,Input!$C$9-B133))</f>
        <v>9</v>
      </c>
      <c r="H133" s="152">
        <f>IF(E133="","",Input!$C$3)</f>
        <v>100000</v>
      </c>
      <c r="I133" s="153">
        <f>IF(E133="","",HLOOKUP($B133,Input!$C$13:$BT$14,2))</f>
        <v>2.2999999999999998</v>
      </c>
      <c r="J133" s="154"/>
      <c r="K133" s="155">
        <f>IF($E133="","",Input!$C$57)</f>
        <v>4.4999999999999998E-2</v>
      </c>
      <c r="L133" s="155">
        <f t="shared" si="32"/>
        <v>3.6748094004368514E-3</v>
      </c>
      <c r="M133" s="147">
        <f>IF($E133="","",VLOOKUP(IF($B133&lt;=Input!$C$7,$B133,26),'Mortality Tables'!$A$72:$CA$97,IF($B133&lt;=Input!$C$7+1,Input!$C$4-16,$D133-Input!$C$7-16),0)/1000)</f>
        <v>2.1900000000000001E-3</v>
      </c>
      <c r="N133" s="147">
        <f t="shared" ref="N133:N196" si="42">IF($E133="","",1-(1-M133)^(1/12))</f>
        <v>1.8268344109051426E-4</v>
      </c>
      <c r="O133" s="157">
        <f>IF($E133="","",IF($C133=12,IF($B133&lt;Input!$C$9,Input!$C$54,IF($B133=Input!$C$9,Input!$C$55,Input!$C$56)),0%))</f>
        <v>0</v>
      </c>
      <c r="P133" s="167">
        <f>IF($E133="","",IF($B133=1,Input!$C$59,IF($B133&lt;6,Input!$C$60,0%)))</f>
        <v>0</v>
      </c>
      <c r="Q133" s="162">
        <f>IF($E133="","",Input!$C$58)</f>
        <v>2.5</v>
      </c>
      <c r="R133" s="156">
        <f t="shared" si="33"/>
        <v>0.99981731655890949</v>
      </c>
      <c r="S133" s="154">
        <f t="shared" ref="S133:S196" si="43">IF($E133="","",IF(AND($B133=1,$C133=1),1,S132*R133))</f>
        <v>0.5317509702358646</v>
      </c>
      <c r="T133" s="152"/>
      <c r="U133" s="150">
        <f t="shared" si="34"/>
        <v>0</v>
      </c>
      <c r="V133" s="150">
        <f t="shared" si="35"/>
        <v>0</v>
      </c>
      <c r="W133" s="168">
        <f t="shared" si="36"/>
        <v>0</v>
      </c>
      <c r="X133" s="163">
        <f t="shared" ref="X133:X196" si="44">IF($E133="","",N133*$H133)</f>
        <v>18.268344109051426</v>
      </c>
      <c r="Y133" s="152"/>
      <c r="Z133" s="164">
        <f>IF(AND($C132=12,$D132=Input!$C$6),0,IF($E133="","",V133+Z134/(1+L133)*R133))</f>
        <v>3271.1594369076774</v>
      </c>
      <c r="AA133" s="164">
        <f>IF(OR($M133=1,AND($C132=12,$D132=Input!$C$6)),0,IF($E133="","",W133+(X133+AA134*$R133)/(1+$L133)))</f>
        <v>3092.6690058815943</v>
      </c>
      <c r="AB133" s="160">
        <f t="shared" ref="AB133:AB196" si="45">IF($E133="","",$AA$5/$Z$5)</f>
        <v>0.825720328500681</v>
      </c>
      <c r="AC133" s="164">
        <f t="shared" ref="AC133:AC196" si="46">IF($E133="","",V133*AB133)</f>
        <v>0</v>
      </c>
      <c r="AD133" s="164">
        <f>IF(AND($C132=12,$D132=Input!$C$6),0,IF($E133="","",$AC133+AD134/(1+$L133)*$R133))</f>
        <v>2701.0628448215089</v>
      </c>
      <c r="AE133" s="152"/>
      <c r="AF133" s="164">
        <f>IF(AND($C132=12,$D132=Input!$C$6),0,IF($E133="","",IF($B133&gt;Input!$C$9,$AC133,0)+AF134/(1+$L133)*$R133))</f>
        <v>1638.3772971919768</v>
      </c>
      <c r="AG133" s="164">
        <f>IF(AND($C132=12,$D132=Input!$C$6),0,IF($E133="","",(IF($B133&gt;Input!$C$9,$X133,0)+AG134)/(1+$L133)*$R133))</f>
        <v>782.03654737725424</v>
      </c>
      <c r="AH133" s="160">
        <f t="shared" ref="AH133:AH196" si="47">IF($E133="","",$AF$5/$AG$5)</f>
        <v>2.0950137211446997</v>
      </c>
      <c r="AI133" s="160">
        <f>IF($E133="","",MIN(Input!$C$61/AH133,1))</f>
        <v>0.64438718771845094</v>
      </c>
      <c r="AJ133" s="152"/>
      <c r="AK133" s="164">
        <f>IF(AND($C132=12,$D132=Input!$C$6),0,IF($E133="","",IF($B133&gt;Input!$C$9,$AC133*AI133,0)+AK134/(1+$L133)*$R133))</f>
        <v>1055.7493389592948</v>
      </c>
      <c r="AL133" s="164">
        <f>IF(AND($C132=12,$D132=Input!$C$6),0,IF($E133="","",IF($B133&gt;Input!$C$9,0,$AC133)+AL134/(1+$L133)*$R133))</f>
        <v>1062.6855476295341</v>
      </c>
      <c r="AM133" s="160">
        <f t="shared" ref="AM133:AM196" si="48">IF($E133="","",($AD$5-$AK$5)/$AL$5)</f>
        <v>1.1382936520186004</v>
      </c>
      <c r="AN133" s="164">
        <f>IF($E133="","",IF($B133&gt;Input!$C$9,$AI133*$AC133,$AM133*$AC133))</f>
        <v>0</v>
      </c>
      <c r="AO133" s="164">
        <f>IF(AND($C132=12,$D132=Input!$C$6),0,IF($E133="","",$AN133+AO134/(1+$L133)*$R133))</f>
        <v>2265.3975519179025</v>
      </c>
      <c r="AP133" s="152"/>
      <c r="AQ133" s="164">
        <f t="shared" ref="AQ133:AQ196" si="49">IF($E133="","",$AA133-$AO133)</f>
        <v>827.27145396369178</v>
      </c>
      <c r="AR133" s="164">
        <f t="shared" si="37"/>
        <v>848.66518138155652</v>
      </c>
      <c r="AS133" s="164">
        <f t="shared" si="38"/>
        <v>104.78468899521532</v>
      </c>
      <c r="AT133" s="164">
        <f t="shared" ref="AT133:AT196" si="50">IF($E133="","",MAX($AR133,$AS133))</f>
        <v>848.66518138155652</v>
      </c>
      <c r="AU133" s="152"/>
      <c r="AV133" s="147">
        <f>'Deterministic Reserve'!BC133</f>
        <v>0.56241198285385308</v>
      </c>
      <c r="AW133" s="164">
        <f t="shared" ref="AW133:AW196" si="51">IF($E133="","",$AT133)</f>
        <v>848.66518138155652</v>
      </c>
      <c r="AX133" s="164">
        <f t="shared" ref="AX133:AX196" si="52">IF($E133="","",AV133*AW133)</f>
        <v>477.29946743982606</v>
      </c>
      <c r="AY133" s="152"/>
    </row>
    <row r="134" spans="1:51" s="150" customFormat="1" x14ac:dyDescent="0.25">
      <c r="A134" s="150">
        <f t="shared" si="39"/>
        <v>130</v>
      </c>
      <c r="B134" s="150">
        <f t="shared" si="40"/>
        <v>11</v>
      </c>
      <c r="C134" s="150">
        <f t="shared" si="41"/>
        <v>10</v>
      </c>
      <c r="D134" s="150">
        <f>IF(E134="","",Input!$C$4+B134-1)</f>
        <v>55</v>
      </c>
      <c r="E134" s="150">
        <f>IF(OR(AND(C133=12,D133=Input!$C$6),E133=""),"",1)</f>
        <v>1</v>
      </c>
      <c r="F134" s="150">
        <f>IF(E134="","",Input!$C$8+B134-1)</f>
        <v>2028</v>
      </c>
      <c r="G134" s="151">
        <f>IF(E134="","",MAX(0,Input!$C$9-B134))</f>
        <v>9</v>
      </c>
      <c r="H134" s="152">
        <f>IF(E134="","",Input!$C$3)</f>
        <v>100000</v>
      </c>
      <c r="I134" s="153">
        <f>IF(E134="","",HLOOKUP($B134,Input!$C$13:$BT$14,2))</f>
        <v>2.2999999999999998</v>
      </c>
      <c r="J134" s="154"/>
      <c r="K134" s="155">
        <f>IF($E134="","",Input!$C$57)</f>
        <v>4.4999999999999998E-2</v>
      </c>
      <c r="L134" s="155">
        <f t="shared" ref="L134:L197" si="53">IF($E134="","",(1+K134)^(1/12)-1)</f>
        <v>3.6748094004368514E-3</v>
      </c>
      <c r="M134" s="147">
        <f>IF($E134="","",VLOOKUP(IF($B134&lt;=Input!$C$7,$B134,26),'Mortality Tables'!$A$72:$CA$97,IF($B134&lt;=Input!$C$7+1,Input!$C$4-16,$D134-Input!$C$7-16),0)/1000)</f>
        <v>2.1900000000000001E-3</v>
      </c>
      <c r="N134" s="147">
        <f t="shared" si="42"/>
        <v>1.8268344109051426E-4</v>
      </c>
      <c r="O134" s="157">
        <f>IF($E134="","",IF($C134=12,IF($B134&lt;Input!$C$9,Input!$C$54,IF($B134=Input!$C$9,Input!$C$55,Input!$C$56)),0%))</f>
        <v>0</v>
      </c>
      <c r="P134" s="167">
        <f>IF($E134="","",IF($B134=1,Input!$C$59,IF($B134&lt;6,Input!$C$60,0%)))</f>
        <v>0</v>
      </c>
      <c r="Q134" s="162">
        <f>IF($E134="","",Input!$C$58)</f>
        <v>2.5</v>
      </c>
      <c r="R134" s="156">
        <f t="shared" ref="R134:R197" si="54">IF($E134="","",MAX(1-N134-O134,0))</f>
        <v>0.99981731655890949</v>
      </c>
      <c r="S134" s="154">
        <f t="shared" si="43"/>
        <v>0.53165382813881867</v>
      </c>
      <c r="T134" s="152"/>
      <c r="U134" s="150">
        <f t="shared" ref="U134:U197" si="55">IF($E134="","",IF($C134=1,$I134*$H134/1000,0))</f>
        <v>0</v>
      </c>
      <c r="V134" s="150">
        <f t="shared" ref="V134:V197" si="56">IF($E134="","",U134*(1-$P134))</f>
        <v>0</v>
      </c>
      <c r="W134" s="168">
        <f t="shared" ref="W134:W197" si="57">IF($E134="","",IF(AND($B134=1,$C134=1),$Q134*$H134/1000,0))</f>
        <v>0</v>
      </c>
      <c r="X134" s="163">
        <f t="shared" si="44"/>
        <v>18.268344109051426</v>
      </c>
      <c r="Y134" s="152"/>
      <c r="Z134" s="164">
        <f>IF(AND($C133=12,$D133=Input!$C$6),0,IF($E134="","",V134+Z135/(1+L134)*R134))</f>
        <v>3283.7802166265119</v>
      </c>
      <c r="AA134" s="164">
        <f>IF(OR($M134=1,AND($C133=12,$D133=Input!$C$6)),0,IF($E134="","",W134+(X134+AA135*$R134)/(1+$L134)))</f>
        <v>3086.3294521924622</v>
      </c>
      <c r="AB134" s="160">
        <f t="shared" si="45"/>
        <v>0.825720328500681</v>
      </c>
      <c r="AC134" s="164">
        <f t="shared" si="46"/>
        <v>0</v>
      </c>
      <c r="AD134" s="164">
        <f>IF(AND($C133=12,$D133=Input!$C$6),0,IF($E134="","",$AC134+AD135/(1+$L134)*$R134))</f>
        <v>2711.4840791968795</v>
      </c>
      <c r="AE134" s="152"/>
      <c r="AF134" s="164">
        <f>IF(AND($C133=12,$D133=Input!$C$6),0,IF($E134="","",IF($B134&gt;Input!$C$9,$AC134,0)+AF135/(1+$L134)*$R134))</f>
        <v>1644.698480663164</v>
      </c>
      <c r="AG134" s="164">
        <f>IF(AND($C133=12,$D133=Input!$C$6),0,IF($E134="","",(IF($B134&gt;Input!$C$9,$X134,0)+AG135)/(1+$L134)*$R134))</f>
        <v>785.053798962477</v>
      </c>
      <c r="AH134" s="160">
        <f t="shared" si="47"/>
        <v>2.0950137211446997</v>
      </c>
      <c r="AI134" s="160">
        <f>IF($E134="","",MIN(Input!$C$61/AH134,1))</f>
        <v>0.64438718771845094</v>
      </c>
      <c r="AJ134" s="152"/>
      <c r="AK134" s="164">
        <f>IF(AND($C133=12,$D133=Input!$C$6),0,IF($E134="","",IF($B134&gt;Input!$C$9,$AC134*AI134,0)+AK135/(1+$L134)*$R134))</f>
        <v>1059.8226285993455</v>
      </c>
      <c r="AL134" s="164">
        <f>IF(AND($C133=12,$D133=Input!$C$6),0,IF($E134="","",IF($B134&gt;Input!$C$9,0,$AC134)+AL135/(1+$L134)*$R134))</f>
        <v>1066.7855985337173</v>
      </c>
      <c r="AM134" s="160">
        <f t="shared" si="48"/>
        <v>1.1382936520186004</v>
      </c>
      <c r="AN134" s="164">
        <f>IF($E134="","",IF($B134&gt;Input!$C$9,$AI134*$AC134,$AM134*$AC134))</f>
        <v>0</v>
      </c>
      <c r="AO134" s="164">
        <f>IF(AND($C133=12,$D133=Input!$C$6),0,IF($E134="","",$AN134+AO135/(1+$L134)*$R134))</f>
        <v>2274.1379034751385</v>
      </c>
      <c r="AP134" s="152"/>
      <c r="AQ134" s="164">
        <f t="shared" si="49"/>
        <v>812.19154871732371</v>
      </c>
      <c r="AR134" s="164">
        <f t="shared" ref="AR134:AR197" si="58">IF($E134="","",IF($M134=1,0,0.5*(IF($B134=1,0,SUMIFS($AQ:$AQ,$B:$B,$B134-1,$C:$C,12))+SUMIFS($AN:$AN,$B:$B,$B134,$C:$C,1)+SUMIFS($AQ:$AQ,$B:$B,$B134,$C:$C,12))))</f>
        <v>848.66518138155652</v>
      </c>
      <c r="AS134" s="164">
        <f t="shared" ref="AS134:AS197" si="59">IF($E134="","",IF($M134=1,0,0.5*$M134*$H134/(1+$K134)))</f>
        <v>104.78468899521532</v>
      </c>
      <c r="AT134" s="164">
        <f t="shared" si="50"/>
        <v>848.66518138155652</v>
      </c>
      <c r="AU134" s="152"/>
      <c r="AV134" s="147">
        <f>'Deterministic Reserve'!BC134</f>
        <v>0.56234489608621541</v>
      </c>
      <c r="AW134" s="164">
        <f t="shared" si="51"/>
        <v>848.66518138155652</v>
      </c>
      <c r="AX134" s="164">
        <f t="shared" si="52"/>
        <v>477.24253323600055</v>
      </c>
      <c r="AY134" s="152"/>
    </row>
    <row r="135" spans="1:51" s="150" customFormat="1" x14ac:dyDescent="0.25">
      <c r="A135" s="150">
        <f t="shared" ref="A135:A198" si="60">IF(E135="","",A134+1)</f>
        <v>131</v>
      </c>
      <c r="B135" s="150">
        <f t="shared" ref="B135:B198" si="61">IF(E135="","",IF(C134+1&gt;12,B134+1,B134))</f>
        <v>11</v>
      </c>
      <c r="C135" s="150">
        <f t="shared" ref="C135:C198" si="62">IF(E135="","",IF(C134+1&gt;12,1,C134+1))</f>
        <v>11</v>
      </c>
      <c r="D135" s="150">
        <f>IF(E135="","",Input!$C$4+B135-1)</f>
        <v>55</v>
      </c>
      <c r="E135" s="150">
        <f>IF(OR(AND(C134=12,D134=Input!$C$6),E134=""),"",1)</f>
        <v>1</v>
      </c>
      <c r="F135" s="150">
        <f>IF(E135="","",Input!$C$8+B135-1)</f>
        <v>2028</v>
      </c>
      <c r="G135" s="151">
        <f>IF(E135="","",MAX(0,Input!$C$9-B135))</f>
        <v>9</v>
      </c>
      <c r="H135" s="152">
        <f>IF(E135="","",Input!$C$3)</f>
        <v>100000</v>
      </c>
      <c r="I135" s="153">
        <f>IF(E135="","",HLOOKUP($B135,Input!$C$13:$BT$14,2))</f>
        <v>2.2999999999999998</v>
      </c>
      <c r="J135" s="154"/>
      <c r="K135" s="155">
        <f>IF($E135="","",Input!$C$57)</f>
        <v>4.4999999999999998E-2</v>
      </c>
      <c r="L135" s="155">
        <f t="shared" si="53"/>
        <v>3.6748094004368514E-3</v>
      </c>
      <c r="M135" s="147">
        <f>IF($E135="","",VLOOKUP(IF($B135&lt;=Input!$C$7,$B135,26),'Mortality Tables'!$A$72:$CA$97,IF($B135&lt;=Input!$C$7+1,Input!$C$4-16,$D135-Input!$C$7-16),0)/1000)</f>
        <v>2.1900000000000001E-3</v>
      </c>
      <c r="N135" s="147">
        <f t="shared" si="42"/>
        <v>1.8268344109051426E-4</v>
      </c>
      <c r="O135" s="157">
        <f>IF($E135="","",IF($C135=12,IF($B135&lt;Input!$C$9,Input!$C$54,IF($B135=Input!$C$9,Input!$C$55,Input!$C$56)),0%))</f>
        <v>0</v>
      </c>
      <c r="P135" s="167">
        <f>IF($E135="","",IF($B135=1,Input!$C$59,IF($B135&lt;6,Input!$C$60,0%)))</f>
        <v>0</v>
      </c>
      <c r="Q135" s="162">
        <f>IF($E135="","",Input!$C$58)</f>
        <v>2.5</v>
      </c>
      <c r="R135" s="156">
        <f t="shared" si="54"/>
        <v>0.99981731655890949</v>
      </c>
      <c r="S135" s="154">
        <f t="shared" si="43"/>
        <v>0.53155670378802533</v>
      </c>
      <c r="T135" s="152"/>
      <c r="U135" s="150">
        <f t="shared" si="55"/>
        <v>0</v>
      </c>
      <c r="V135" s="150">
        <f t="shared" si="56"/>
        <v>0</v>
      </c>
      <c r="W135" s="168">
        <f t="shared" si="57"/>
        <v>0</v>
      </c>
      <c r="X135" s="163">
        <f t="shared" si="44"/>
        <v>18.268344109051426</v>
      </c>
      <c r="Y135" s="152"/>
      <c r="Z135" s="164">
        <f>IF(AND($C134=12,$D134=Input!$C$6),0,IF($E135="","",V135+Z136/(1+L135)*R135))</f>
        <v>3296.4496898082557</v>
      </c>
      <c r="AA135" s="164">
        <f>IF(OR($M135=1,AND($C134=12,$D134=Input!$C$6)),0,IF($E135="","",W135+(X135+AA136*$R135)/(1+$L135)))</f>
        <v>3079.9654392520556</v>
      </c>
      <c r="AB135" s="160">
        <f t="shared" si="45"/>
        <v>0.825720328500681</v>
      </c>
      <c r="AC135" s="164">
        <f t="shared" si="46"/>
        <v>0</v>
      </c>
      <c r="AD135" s="164">
        <f>IF(AND($C134=12,$D134=Input!$C$6),0,IF($E135="","",$AC135+AD136/(1+$L135)*$R135))</f>
        <v>2721.9455207544393</v>
      </c>
      <c r="AE135" s="152"/>
      <c r="AF135" s="164">
        <f>IF(AND($C134=12,$D134=Input!$C$6),0,IF($E135="","",IF($B135&gt;Input!$C$9,$AC135,0)+AF136/(1+$L135)*$R135))</f>
        <v>1651.0440525096938</v>
      </c>
      <c r="AG135" s="164">
        <f>IF(AND($C134=12,$D134=Input!$C$6),0,IF($E135="","",(IF($B135&gt;Input!$C$9,$X135,0)+AG136)/(1+$L135)*$R135))</f>
        <v>788.08269170073675</v>
      </c>
      <c r="AH135" s="160">
        <f t="shared" si="47"/>
        <v>2.0950137211446997</v>
      </c>
      <c r="AI135" s="160">
        <f>IF($E135="","",MIN(Input!$C$61/AH135,1))</f>
        <v>0.64438718771845094</v>
      </c>
      <c r="AJ135" s="152"/>
      <c r="AK135" s="164">
        <f>IF(AND($C134=12,$D134=Input!$C$6),0,IF($E135="","",IF($B135&gt;Input!$C$9,$AC135*AI135,0)+AK136/(1+$L135)*$R135))</f>
        <v>1063.9116337959963</v>
      </c>
      <c r="AL135" s="164">
        <f>IF(AND($C134=12,$D134=Input!$C$6),0,IF($E135="","",IF($B135&gt;Input!$C$9,0,$AC135)+AL136/(1+$L135)*$R135))</f>
        <v>1070.9014682447475</v>
      </c>
      <c r="AM135" s="160">
        <f t="shared" si="48"/>
        <v>1.1382936520186004</v>
      </c>
      <c r="AN135" s="164">
        <f>IF($E135="","",IF($B135&gt;Input!$C$9,$AI135*$AC135,$AM135*$AC135))</f>
        <v>0</v>
      </c>
      <c r="AO135" s="164">
        <f>IF(AND($C134=12,$D134=Input!$C$6),0,IF($E135="","",$AN135+AO136/(1+$L135)*$R135))</f>
        <v>2282.9119770363905</v>
      </c>
      <c r="AP135" s="152"/>
      <c r="AQ135" s="164">
        <f t="shared" si="49"/>
        <v>797.05346221566515</v>
      </c>
      <c r="AR135" s="164">
        <f t="shared" si="58"/>
        <v>848.66518138155652</v>
      </c>
      <c r="AS135" s="164">
        <f t="shared" si="59"/>
        <v>104.78468899521532</v>
      </c>
      <c r="AT135" s="164">
        <f t="shared" si="50"/>
        <v>848.66518138155652</v>
      </c>
      <c r="AU135" s="152"/>
      <c r="AV135" s="147">
        <f>'Deterministic Reserve'!BC135</f>
        <v>0.56227781732095772</v>
      </c>
      <c r="AW135" s="164">
        <f t="shared" si="51"/>
        <v>848.66518138155652</v>
      </c>
      <c r="AX135" s="164">
        <f t="shared" si="52"/>
        <v>477.18560582351631</v>
      </c>
      <c r="AY135" s="152"/>
    </row>
    <row r="136" spans="1:51" s="150" customFormat="1" x14ac:dyDescent="0.25">
      <c r="A136" s="150">
        <f t="shared" si="60"/>
        <v>132</v>
      </c>
      <c r="B136" s="150">
        <f t="shared" si="61"/>
        <v>11</v>
      </c>
      <c r="C136" s="150">
        <f t="shared" si="62"/>
        <v>12</v>
      </c>
      <c r="D136" s="150">
        <f>IF(E136="","",Input!$C$4+B136-1)</f>
        <v>55</v>
      </c>
      <c r="E136" s="150">
        <f>IF(OR(AND(C135=12,D135=Input!$C$6),E135=""),"",1)</f>
        <v>1</v>
      </c>
      <c r="F136" s="150">
        <f>IF(E136="","",Input!$C$8+B136-1)</f>
        <v>2028</v>
      </c>
      <c r="G136" s="151">
        <f>IF(E136="","",MAX(0,Input!$C$9-B136))</f>
        <v>9</v>
      </c>
      <c r="H136" s="152">
        <f>IF(E136="","",Input!$C$3)</f>
        <v>100000</v>
      </c>
      <c r="I136" s="153">
        <f>IF(E136="","",HLOOKUP($B136,Input!$C$13:$BT$14,2))</f>
        <v>2.2999999999999998</v>
      </c>
      <c r="J136" s="154"/>
      <c r="K136" s="155">
        <f>IF($E136="","",Input!$C$57)</f>
        <v>4.4999999999999998E-2</v>
      </c>
      <c r="L136" s="155">
        <f t="shared" si="53"/>
        <v>3.6748094004368514E-3</v>
      </c>
      <c r="M136" s="147">
        <f>IF($E136="","",VLOOKUP(IF($B136&lt;=Input!$C$7,$B136,26),'Mortality Tables'!$A$72:$CA$97,IF($B136&lt;=Input!$C$7+1,Input!$C$4-16,$D136-Input!$C$7-16),0)/1000)</f>
        <v>2.1900000000000001E-3</v>
      </c>
      <c r="N136" s="147">
        <f t="shared" si="42"/>
        <v>1.8268344109051426E-4</v>
      </c>
      <c r="O136" s="157">
        <f>IF($E136="","",IF($C136=12,IF($B136&lt;Input!$C$9,Input!$C$54,IF($B136=Input!$C$9,Input!$C$55,Input!$C$56)),0%))</f>
        <v>0.06</v>
      </c>
      <c r="P136" s="167">
        <f>IF($E136="","",IF($B136=1,Input!$C$59,IF($B136&lt;6,Input!$C$60,0%)))</f>
        <v>0</v>
      </c>
      <c r="Q136" s="162">
        <f>IF($E136="","",Input!$C$58)</f>
        <v>2.5</v>
      </c>
      <c r="R136" s="156">
        <f t="shared" si="54"/>
        <v>0.93981731655890943</v>
      </c>
      <c r="S136" s="154">
        <f t="shared" si="43"/>
        <v>0.49956619495296106</v>
      </c>
      <c r="T136" s="152"/>
      <c r="U136" s="150">
        <f t="shared" si="55"/>
        <v>0</v>
      </c>
      <c r="V136" s="150">
        <f t="shared" si="56"/>
        <v>0</v>
      </c>
      <c r="W136" s="168">
        <f t="shared" si="57"/>
        <v>0</v>
      </c>
      <c r="X136" s="163">
        <f t="shared" si="44"/>
        <v>18.268344109051426</v>
      </c>
      <c r="Y136" s="152"/>
      <c r="Z136" s="164">
        <f>IF(AND($C135=12,$D135=Input!$C$6),0,IF($E136="","",V136+Z137/(1+L136)*R136))</f>
        <v>3309.1680443219138</v>
      </c>
      <c r="AA136" s="164">
        <f>IF(OR($M136=1,AND($C135=12,$D135=Input!$C$6)),0,IF($E136="","",W136+(X136+AA137*$R136)/(1+$L136)))</f>
        <v>3073.5768726917481</v>
      </c>
      <c r="AB136" s="160">
        <f t="shared" si="45"/>
        <v>0.825720328500681</v>
      </c>
      <c r="AC136" s="164">
        <f t="shared" si="46"/>
        <v>0</v>
      </c>
      <c r="AD136" s="164">
        <f>IF(AND($C135=12,$D135=Input!$C$6),0,IF($E136="","",$AC136+AD137/(1+$L136)*$R136))</f>
        <v>2732.4473246214452</v>
      </c>
      <c r="AE136" s="152"/>
      <c r="AF136" s="164">
        <f>IF(AND($C135=12,$D135=Input!$C$6),0,IF($E136="","",IF($B136&gt;Input!$C$9,$AC136,0)+AF137/(1+$L136)*$R136))</f>
        <v>1657.4141068267388</v>
      </c>
      <c r="AG136" s="164">
        <f>IF(AND($C135=12,$D135=Input!$C$6),0,IF($E136="","",(IF($B136&gt;Input!$C$9,$X136,0)+AG137)/(1+$L136)*$R136))</f>
        <v>791.12327050590306</v>
      </c>
      <c r="AH136" s="160">
        <f t="shared" si="47"/>
        <v>2.0950137211446997</v>
      </c>
      <c r="AI136" s="160">
        <f>IF($E136="","",MIN(Input!$C$61/AH136,1))</f>
        <v>0.64438718771845094</v>
      </c>
      <c r="AJ136" s="152"/>
      <c r="AK136" s="164">
        <f>IF(AND($C135=12,$D135=Input!$C$6),0,IF($E136="","",IF($B136&gt;Input!$C$9,$AC136*AI136,0)+AK137/(1+$L136)*$R136))</f>
        <v>1068.0164151829708</v>
      </c>
      <c r="AL136" s="164">
        <f>IF(AND($C135=12,$D135=Input!$C$6),0,IF($E136="","",IF($B136&gt;Input!$C$9,0,$AC136)+AL137/(1+$L136)*$R136))</f>
        <v>1075.0332177947082</v>
      </c>
      <c r="AM136" s="160">
        <f t="shared" si="48"/>
        <v>1.1382936520186004</v>
      </c>
      <c r="AN136" s="164">
        <f>IF($E136="","",IF($B136&gt;Input!$C$9,$AI136*$AC136,$AM136*$AC136))</f>
        <v>0</v>
      </c>
      <c r="AO136" s="164">
        <f>IF(AND($C135=12,$D135=Input!$C$6),0,IF($E136="","",$AN136+AO137/(1+$L136)*$R136))</f>
        <v>2291.7199027078159</v>
      </c>
      <c r="AP136" s="152"/>
      <c r="AQ136" s="164">
        <f t="shared" si="49"/>
        <v>781.85696998393223</v>
      </c>
      <c r="AR136" s="164">
        <f t="shared" si="58"/>
        <v>848.66518138155652</v>
      </c>
      <c r="AS136" s="164">
        <f t="shared" si="59"/>
        <v>104.78468899521532</v>
      </c>
      <c r="AT136" s="164">
        <f t="shared" si="50"/>
        <v>848.66518138155652</v>
      </c>
      <c r="AU136" s="152"/>
      <c r="AV136" s="147">
        <f>'Deterministic Reserve'!BC136</f>
        <v>0.55096519021070633</v>
      </c>
      <c r="AW136" s="164">
        <f t="shared" si="51"/>
        <v>848.66518138155652</v>
      </c>
      <c r="AX136" s="164">
        <f t="shared" si="52"/>
        <v>467.58497308509288</v>
      </c>
      <c r="AY136" s="152"/>
    </row>
    <row r="137" spans="1:51" s="150" customFormat="1" x14ac:dyDescent="0.25">
      <c r="A137" s="150">
        <f t="shared" si="60"/>
        <v>133</v>
      </c>
      <c r="B137" s="150">
        <f t="shared" si="61"/>
        <v>12</v>
      </c>
      <c r="C137" s="150">
        <f t="shared" si="62"/>
        <v>1</v>
      </c>
      <c r="D137" s="150">
        <f>IF(E137="","",Input!$C$4+B137-1)</f>
        <v>56</v>
      </c>
      <c r="E137" s="150">
        <f>IF(OR(AND(C136=12,D136=Input!$C$6),E136=""),"",1)</f>
        <v>1</v>
      </c>
      <c r="F137" s="150">
        <f>IF(E137="","",Input!$C$8+B137-1)</f>
        <v>2029</v>
      </c>
      <c r="G137" s="151">
        <f>IF(E137="","",MAX(0,Input!$C$9-B137))</f>
        <v>8</v>
      </c>
      <c r="H137" s="152">
        <f>IF(E137="","",Input!$C$3)</f>
        <v>100000</v>
      </c>
      <c r="I137" s="153">
        <f>IF(E137="","",HLOOKUP($B137,Input!$C$13:$BT$14,2))</f>
        <v>2.2999999999999998</v>
      </c>
      <c r="J137" s="154"/>
      <c r="K137" s="155">
        <f>IF($E137="","",Input!$C$57)</f>
        <v>4.4999999999999998E-2</v>
      </c>
      <c r="L137" s="155">
        <f t="shared" si="53"/>
        <v>3.6748094004368514E-3</v>
      </c>
      <c r="M137" s="147">
        <f>IF($E137="","",VLOOKUP(IF($B137&lt;=Input!$C$7,$B137,26),'Mortality Tables'!$A$72:$CA$97,IF($B137&lt;=Input!$C$7+1,Input!$C$4-16,$D137-Input!$C$7-16),0)/1000)</f>
        <v>2.5200000000000001E-3</v>
      </c>
      <c r="N137" s="147">
        <f t="shared" si="42"/>
        <v>2.1024294122451437E-4</v>
      </c>
      <c r="O137" s="157">
        <f>IF($E137="","",IF($C137=12,IF($B137&lt;Input!$C$9,Input!$C$54,IF($B137=Input!$C$9,Input!$C$55,Input!$C$56)),0%))</f>
        <v>0</v>
      </c>
      <c r="P137" s="167">
        <f>IF($E137="","",IF($B137=1,Input!$C$59,IF($B137&lt;6,Input!$C$60,0%)))</f>
        <v>0</v>
      </c>
      <c r="Q137" s="162">
        <f>IF($E137="","",Input!$C$58)</f>
        <v>2.5</v>
      </c>
      <c r="R137" s="156">
        <f t="shared" si="54"/>
        <v>0.99978975705877549</v>
      </c>
      <c r="S137" s="154">
        <f t="shared" si="43"/>
        <v>0.4994611646867978</v>
      </c>
      <c r="T137" s="152"/>
      <c r="U137" s="150">
        <f t="shared" si="55"/>
        <v>229.99999999999997</v>
      </c>
      <c r="V137" s="150">
        <f t="shared" si="56"/>
        <v>229.99999999999997</v>
      </c>
      <c r="W137" s="168">
        <f t="shared" si="57"/>
        <v>0</v>
      </c>
      <c r="X137" s="163">
        <f t="shared" si="44"/>
        <v>21.024294122451437</v>
      </c>
      <c r="Y137" s="152"/>
      <c r="Z137" s="164">
        <f>IF(AND($C136=12,$D136=Input!$C$6),0,IF($E137="","",V137+Z138/(1+L137)*R137))</f>
        <v>3534.0151193634943</v>
      </c>
      <c r="AA137" s="164">
        <f>IF(OR($M137=1,AND($C136=12,$D136=Input!$C$6)),0,IF($E137="","",W137+(X137+AA138*$R137)/(1+$L137)))</f>
        <v>3262.9781168489562</v>
      </c>
      <c r="AB137" s="160">
        <f t="shared" si="45"/>
        <v>0.825720328500681</v>
      </c>
      <c r="AC137" s="164">
        <f t="shared" si="46"/>
        <v>189.91567555515661</v>
      </c>
      <c r="AD137" s="164">
        <f>IF(AND($C136=12,$D136=Input!$C$6),0,IF($E137="","",$AC137+AD138/(1+$L137)*$R137))</f>
        <v>2918.1081252871959</v>
      </c>
      <c r="AE137" s="152"/>
      <c r="AF137" s="164">
        <f>IF(AND($C136=12,$D136=Input!$C$6),0,IF($E137="","",IF($B137&gt;Input!$C$9,$AC137,0)+AF138/(1+$L137)*$R137))</f>
        <v>1770.0299392841109</v>
      </c>
      <c r="AG137" s="164">
        <f>IF(AND($C136=12,$D136=Input!$C$6),0,IF($E137="","",(IF($B137&gt;Input!$C$9,$X137,0)+AG138)/(1+$L137)*$R137))</f>
        <v>844.87749240944231</v>
      </c>
      <c r="AH137" s="160">
        <f t="shared" si="47"/>
        <v>2.0950137211446997</v>
      </c>
      <c r="AI137" s="160">
        <f>IF($E137="","",MIN(Input!$C$61/AH137,1))</f>
        <v>0.64438718771845094</v>
      </c>
      <c r="AJ137" s="152"/>
      <c r="AK137" s="164">
        <f>IF(AND($C136=12,$D136=Input!$C$6),0,IF($E137="","",IF($B137&gt;Input!$C$9,$AC137*AI137,0)+AK138/(1+$L137)*$R137))</f>
        <v>1140.5846147527491</v>
      </c>
      <c r="AL137" s="164">
        <f>IF(AND($C136=12,$D136=Input!$C$6),0,IF($E137="","",IF($B137&gt;Input!$C$9,0,$AC137)+AL138/(1+$L137)*$R137))</f>
        <v>1148.0781860030872</v>
      </c>
      <c r="AM137" s="160">
        <f t="shared" si="48"/>
        <v>1.1382936520186004</v>
      </c>
      <c r="AN137" s="164">
        <f>IF($E137="","",IF($B137&gt;Input!$C$9,$AI137*$AC137,$AM137*$AC137))</f>
        <v>216.17980790325885</v>
      </c>
      <c r="AO137" s="164">
        <f>IF(AND($C136=12,$D136=Input!$C$6),0,IF($E137="","",$AN137+AO138/(1+$L137)*$R137))</f>
        <v>2447.4347259010924</v>
      </c>
      <c r="AP137" s="152"/>
      <c r="AQ137" s="164">
        <f t="shared" si="49"/>
        <v>815.54339094786383</v>
      </c>
      <c r="AR137" s="164">
        <f t="shared" si="58"/>
        <v>919.43222944287299</v>
      </c>
      <c r="AS137" s="164">
        <f t="shared" si="59"/>
        <v>120.57416267942584</v>
      </c>
      <c r="AT137" s="164">
        <f t="shared" si="50"/>
        <v>919.43222944287299</v>
      </c>
      <c r="AU137" s="152"/>
      <c r="AV137" s="147">
        <f>'Deterministic Reserve'!BC137</f>
        <v>0.55089005106223399</v>
      </c>
      <c r="AW137" s="164">
        <f t="shared" si="51"/>
        <v>919.43222944287299</v>
      </c>
      <c r="AX137" s="164">
        <f t="shared" si="52"/>
        <v>506.50606782604797</v>
      </c>
      <c r="AY137" s="152"/>
    </row>
    <row r="138" spans="1:51" s="150" customFormat="1" x14ac:dyDescent="0.25">
      <c r="A138" s="150">
        <f t="shared" si="60"/>
        <v>134</v>
      </c>
      <c r="B138" s="150">
        <f t="shared" si="61"/>
        <v>12</v>
      </c>
      <c r="C138" s="150">
        <f t="shared" si="62"/>
        <v>2</v>
      </c>
      <c r="D138" s="150">
        <f>IF(E138="","",Input!$C$4+B138-1)</f>
        <v>56</v>
      </c>
      <c r="E138" s="150">
        <f>IF(OR(AND(C137=12,D137=Input!$C$6),E137=""),"",1)</f>
        <v>1</v>
      </c>
      <c r="F138" s="150">
        <f>IF(E138="","",Input!$C$8+B138-1)</f>
        <v>2029</v>
      </c>
      <c r="G138" s="151">
        <f>IF(E138="","",MAX(0,Input!$C$9-B138))</f>
        <v>8</v>
      </c>
      <c r="H138" s="152">
        <f>IF(E138="","",Input!$C$3)</f>
        <v>100000</v>
      </c>
      <c r="I138" s="153">
        <f>IF(E138="","",HLOOKUP($B138,Input!$C$13:$BT$14,2))</f>
        <v>2.2999999999999998</v>
      </c>
      <c r="J138" s="154"/>
      <c r="K138" s="155">
        <f>IF($E138="","",Input!$C$57)</f>
        <v>4.4999999999999998E-2</v>
      </c>
      <c r="L138" s="155">
        <f t="shared" si="53"/>
        <v>3.6748094004368514E-3</v>
      </c>
      <c r="M138" s="147">
        <f>IF($E138="","",VLOOKUP(IF($B138&lt;=Input!$C$7,$B138,26),'Mortality Tables'!$A$72:$CA$97,IF($B138&lt;=Input!$C$7+1,Input!$C$4-16,$D138-Input!$C$7-16),0)/1000)</f>
        <v>2.5200000000000001E-3</v>
      </c>
      <c r="N138" s="147">
        <f t="shared" si="42"/>
        <v>2.1024294122451437E-4</v>
      </c>
      <c r="O138" s="157">
        <f>IF($E138="","",IF($C138=12,IF($B138&lt;Input!$C$9,Input!$C$54,IF($B138=Input!$C$9,Input!$C$55,Input!$C$56)),0%))</f>
        <v>0</v>
      </c>
      <c r="P138" s="167">
        <f>IF($E138="","",IF($B138=1,Input!$C$59,IF($B138&lt;6,Input!$C$60,0%)))</f>
        <v>0</v>
      </c>
      <c r="Q138" s="162">
        <f>IF($E138="","",Input!$C$58)</f>
        <v>2.5</v>
      </c>
      <c r="R138" s="156">
        <f t="shared" si="54"/>
        <v>0.99978975705877549</v>
      </c>
      <c r="S138" s="154">
        <f t="shared" si="43"/>
        <v>0.49935615650250664</v>
      </c>
      <c r="T138" s="152"/>
      <c r="U138" s="150">
        <f t="shared" si="55"/>
        <v>0</v>
      </c>
      <c r="V138" s="150">
        <f t="shared" si="56"/>
        <v>0</v>
      </c>
      <c r="W138" s="168">
        <f t="shared" si="57"/>
        <v>0</v>
      </c>
      <c r="X138" s="163">
        <f t="shared" si="44"/>
        <v>21.024294122451437</v>
      </c>
      <c r="Y138" s="152"/>
      <c r="Z138" s="164">
        <f>IF(AND($C137=12,$D137=Input!$C$6),0,IF($E138="","",V138+Z139/(1+L138)*R138))</f>
        <v>3316.854090342883</v>
      </c>
      <c r="AA138" s="164">
        <f>IF(OR($M138=1,AND($C137=12,$D137=Input!$C$6)),0,IF($E138="","",W138+(X138+AA139*$R138)/(1+$L138)))</f>
        <v>3254.6289081379623</v>
      </c>
      <c r="AB138" s="160">
        <f t="shared" si="45"/>
        <v>0.825720328500681</v>
      </c>
      <c r="AC138" s="164">
        <f t="shared" si="46"/>
        <v>0</v>
      </c>
      <c r="AD138" s="164">
        <f>IF(AND($C137=12,$D137=Input!$C$6),0,IF($E138="","",$AC138+AD139/(1+$L138)*$R138))</f>
        <v>2738.7938490667511</v>
      </c>
      <c r="AE138" s="152"/>
      <c r="AF138" s="164">
        <f>IF(AND($C137=12,$D137=Input!$C$6),0,IF($E138="","",IF($B138&gt;Input!$C$9,$AC138,0)+AF139/(1+$L138)*$R138))</f>
        <v>1776.9080443175696</v>
      </c>
      <c r="AG138" s="164">
        <f>IF(AND($C137=12,$D137=Input!$C$6),0,IF($E138="","",(IF($B138&gt;Input!$C$9,$X138,0)+AG139)/(1+$L138)*$R138))</f>
        <v>848.16057593488119</v>
      </c>
      <c r="AH138" s="160">
        <f t="shared" si="47"/>
        <v>2.0950137211446997</v>
      </c>
      <c r="AI138" s="160">
        <f>IF($E138="","",MIN(Input!$C$61/AH138,1))</f>
        <v>0.64438718771845094</v>
      </c>
      <c r="AJ138" s="152"/>
      <c r="AK138" s="164">
        <f>IF(AND($C137=12,$D137=Input!$C$6),0,IF($E138="","",IF($B138&gt;Input!$C$9,$AC138*AI138,0)+AK139/(1+$L138)*$R138))</f>
        <v>1145.0167775120917</v>
      </c>
      <c r="AL138" s="164">
        <f>IF(AND($C137=12,$D137=Input!$C$6),0,IF($E138="","",IF($B138&gt;Input!$C$9,0,$AC138)+AL139/(1+$L138)*$R138))</f>
        <v>961.88580474918331</v>
      </c>
      <c r="AM138" s="160">
        <f t="shared" si="48"/>
        <v>1.1382936520186004</v>
      </c>
      <c r="AN138" s="164">
        <f>IF($E138="","",IF($B138&gt;Input!$C$9,$AI138*$AC138,$AM138*$AC138))</f>
        <v>0</v>
      </c>
      <c r="AO138" s="164">
        <f>IF(AND($C137=12,$D137=Input!$C$6),0,IF($E138="","",$AN138+AO139/(1+$L138)*$R138))</f>
        <v>2239.9252830248893</v>
      </c>
      <c r="AP138" s="152"/>
      <c r="AQ138" s="164">
        <f t="shared" si="49"/>
        <v>1014.703625113073</v>
      </c>
      <c r="AR138" s="164">
        <f t="shared" si="58"/>
        <v>919.43222944287299</v>
      </c>
      <c r="AS138" s="164">
        <f t="shared" si="59"/>
        <v>120.57416267942584</v>
      </c>
      <c r="AT138" s="164">
        <f t="shared" si="50"/>
        <v>919.43222944287299</v>
      </c>
      <c r="AU138" s="152"/>
      <c r="AV138" s="147">
        <f>'Deterministic Reserve'!BC138</f>
        <v>0.55081492216103634</v>
      </c>
      <c r="AW138" s="164">
        <f t="shared" si="51"/>
        <v>919.43222944287299</v>
      </c>
      <c r="AX138" s="164">
        <f t="shared" si="52"/>
        <v>506.4369918929242</v>
      </c>
      <c r="AY138" s="152"/>
    </row>
    <row r="139" spans="1:51" s="150" customFormat="1" x14ac:dyDescent="0.25">
      <c r="A139" s="150">
        <f t="shared" si="60"/>
        <v>135</v>
      </c>
      <c r="B139" s="150">
        <f t="shared" si="61"/>
        <v>12</v>
      </c>
      <c r="C139" s="150">
        <f t="shared" si="62"/>
        <v>3</v>
      </c>
      <c r="D139" s="150">
        <f>IF(E139="","",Input!$C$4+B139-1)</f>
        <v>56</v>
      </c>
      <c r="E139" s="150">
        <f>IF(OR(AND(C138=12,D138=Input!$C$6),E138=""),"",1)</f>
        <v>1</v>
      </c>
      <c r="F139" s="150">
        <f>IF(E139="","",Input!$C$8+B139-1)</f>
        <v>2029</v>
      </c>
      <c r="G139" s="151">
        <f>IF(E139="","",MAX(0,Input!$C$9-B139))</f>
        <v>8</v>
      </c>
      <c r="H139" s="152">
        <f>IF(E139="","",Input!$C$3)</f>
        <v>100000</v>
      </c>
      <c r="I139" s="153">
        <f>IF(E139="","",HLOOKUP($B139,Input!$C$13:$BT$14,2))</f>
        <v>2.2999999999999998</v>
      </c>
      <c r="J139" s="154"/>
      <c r="K139" s="155">
        <f>IF($E139="","",Input!$C$57)</f>
        <v>4.4999999999999998E-2</v>
      </c>
      <c r="L139" s="155">
        <f t="shared" si="53"/>
        <v>3.6748094004368514E-3</v>
      </c>
      <c r="M139" s="147">
        <f>IF($E139="","",VLOOKUP(IF($B139&lt;=Input!$C$7,$B139,26),'Mortality Tables'!$A$72:$CA$97,IF($B139&lt;=Input!$C$7+1,Input!$C$4-16,$D139-Input!$C$7-16),0)/1000)</f>
        <v>2.5200000000000001E-3</v>
      </c>
      <c r="N139" s="147">
        <f t="shared" si="42"/>
        <v>2.1024294122451437E-4</v>
      </c>
      <c r="O139" s="157">
        <f>IF($E139="","",IF($C139=12,IF($B139&lt;Input!$C$9,Input!$C$54,IF($B139=Input!$C$9,Input!$C$55,Input!$C$56)),0%))</f>
        <v>0</v>
      </c>
      <c r="P139" s="167">
        <f>IF($E139="","",IF($B139=1,Input!$C$59,IF($B139&lt;6,Input!$C$60,0%)))</f>
        <v>0</v>
      </c>
      <c r="Q139" s="162">
        <f>IF($E139="","",Input!$C$58)</f>
        <v>2.5</v>
      </c>
      <c r="R139" s="156">
        <f t="shared" si="54"/>
        <v>0.99978975705877549</v>
      </c>
      <c r="S139" s="154">
        <f t="shared" si="43"/>
        <v>0.49925117039544498</v>
      </c>
      <c r="T139" s="152"/>
      <c r="U139" s="150">
        <f t="shared" si="55"/>
        <v>0</v>
      </c>
      <c r="V139" s="150">
        <f t="shared" si="56"/>
        <v>0</v>
      </c>
      <c r="W139" s="168">
        <f t="shared" si="57"/>
        <v>0</v>
      </c>
      <c r="X139" s="163">
        <f t="shared" si="44"/>
        <v>21.024294122451437</v>
      </c>
      <c r="Y139" s="152"/>
      <c r="Z139" s="164">
        <f>IF(AND($C138=12,$D138=Input!$C$6),0,IF($E139="","",V139+Z140/(1+L139)*R139))</f>
        <v>3329.7429518856784</v>
      </c>
      <c r="AA139" s="164">
        <f>IF(OR($M139=1,AND($C138=12,$D138=Input!$C$6)),0,IF($E139="","",W139+(X139+AA140*$R139)/(1+$L139)))</f>
        <v>3246.2472554930068</v>
      </c>
      <c r="AB139" s="160">
        <f t="shared" si="45"/>
        <v>0.825720328500681</v>
      </c>
      <c r="AC139" s="164">
        <f t="shared" si="46"/>
        <v>0</v>
      </c>
      <c r="AD139" s="164">
        <f>IF(AND($C138=12,$D138=Input!$C$6),0,IF($E139="","",$AC139+AD140/(1+$L139)*$R139))</f>
        <v>2749.4364440538679</v>
      </c>
      <c r="AE139" s="152"/>
      <c r="AF139" s="164">
        <f>IF(AND($C138=12,$D138=Input!$C$6),0,IF($E139="","",IF($B139&gt;Input!$C$9,$AC139,0)+AF140/(1+$L139)*$R139))</f>
        <v>1783.8128767683459</v>
      </c>
      <c r="AG139" s="164">
        <f>IF(AND($C138=12,$D138=Input!$C$6),0,IF($E139="","",(IF($B139&gt;Input!$C$9,$X139,0)+AG140)/(1+$L139)*$R139))</f>
        <v>851.45641709386098</v>
      </c>
      <c r="AH139" s="160">
        <f t="shared" si="47"/>
        <v>2.0950137211446997</v>
      </c>
      <c r="AI139" s="160">
        <f>IF($E139="","",MIN(Input!$C$61/AH139,1))</f>
        <v>0.64438718771845094</v>
      </c>
      <c r="AJ139" s="152"/>
      <c r="AK139" s="164">
        <f>IF(AND($C138=12,$D138=Input!$C$6),0,IF($E139="","",IF($B139&gt;Input!$C$9,$AC139*AI139,0)+AK140/(1+$L139)*$R139))</f>
        <v>1149.4661630767143</v>
      </c>
      <c r="AL139" s="164">
        <f>IF(AND($C138=12,$D138=Input!$C$6),0,IF($E139="","",IF($B139&gt;Input!$C$9,0,$AC139)+AL140/(1+$L139)*$R139))</f>
        <v>965.62356728552425</v>
      </c>
      <c r="AM139" s="160">
        <f t="shared" si="48"/>
        <v>1.1382936520186004</v>
      </c>
      <c r="AN139" s="164">
        <f>IF($E139="","",IF($B139&gt;Input!$C$9,$AI139*$AC139,$AM139*$AC139))</f>
        <v>0</v>
      </c>
      <c r="AO139" s="164">
        <f>IF(AND($C138=12,$D138=Input!$C$6),0,IF($E139="","",$AN139+AO140/(1+$L139)*$R139))</f>
        <v>2248.6293399573819</v>
      </c>
      <c r="AP139" s="152"/>
      <c r="AQ139" s="164">
        <f t="shared" si="49"/>
        <v>997.61791553562489</v>
      </c>
      <c r="AR139" s="164">
        <f t="shared" si="58"/>
        <v>919.43222944287299</v>
      </c>
      <c r="AS139" s="164">
        <f t="shared" si="59"/>
        <v>120.57416267942584</v>
      </c>
      <c r="AT139" s="164">
        <f t="shared" si="50"/>
        <v>919.43222944287299</v>
      </c>
      <c r="AU139" s="152"/>
      <c r="AV139" s="147">
        <f>'Deterministic Reserve'!BC139</f>
        <v>0.55073980350571583</v>
      </c>
      <c r="AW139" s="164">
        <f t="shared" si="51"/>
        <v>919.43222944287299</v>
      </c>
      <c r="AX139" s="164">
        <f t="shared" si="52"/>
        <v>506.36792538019012</v>
      </c>
      <c r="AY139" s="152"/>
    </row>
    <row r="140" spans="1:51" s="150" customFormat="1" x14ac:dyDescent="0.25">
      <c r="A140" s="150">
        <f t="shared" si="60"/>
        <v>136</v>
      </c>
      <c r="B140" s="150">
        <f t="shared" si="61"/>
        <v>12</v>
      </c>
      <c r="C140" s="150">
        <f t="shared" si="62"/>
        <v>4</v>
      </c>
      <c r="D140" s="150">
        <f>IF(E140="","",Input!$C$4+B140-1)</f>
        <v>56</v>
      </c>
      <c r="E140" s="150">
        <f>IF(OR(AND(C139=12,D139=Input!$C$6),E139=""),"",1)</f>
        <v>1</v>
      </c>
      <c r="F140" s="150">
        <f>IF(E140="","",Input!$C$8+B140-1)</f>
        <v>2029</v>
      </c>
      <c r="G140" s="151">
        <f>IF(E140="","",MAX(0,Input!$C$9-B140))</f>
        <v>8</v>
      </c>
      <c r="H140" s="152">
        <f>IF(E140="","",Input!$C$3)</f>
        <v>100000</v>
      </c>
      <c r="I140" s="153">
        <f>IF(E140="","",HLOOKUP($B140,Input!$C$13:$BT$14,2))</f>
        <v>2.2999999999999998</v>
      </c>
      <c r="J140" s="154"/>
      <c r="K140" s="155">
        <f>IF($E140="","",Input!$C$57)</f>
        <v>4.4999999999999998E-2</v>
      </c>
      <c r="L140" s="155">
        <f t="shared" si="53"/>
        <v>3.6748094004368514E-3</v>
      </c>
      <c r="M140" s="147">
        <f>IF($E140="","",VLOOKUP(IF($B140&lt;=Input!$C$7,$B140,26),'Mortality Tables'!$A$72:$CA$97,IF($B140&lt;=Input!$C$7+1,Input!$C$4-16,$D140-Input!$C$7-16),0)/1000)</f>
        <v>2.5200000000000001E-3</v>
      </c>
      <c r="N140" s="147">
        <f t="shared" si="42"/>
        <v>2.1024294122451437E-4</v>
      </c>
      <c r="O140" s="157">
        <f>IF($E140="","",IF($C140=12,IF($B140&lt;Input!$C$9,Input!$C$54,IF($B140=Input!$C$9,Input!$C$55,Input!$C$56)),0%))</f>
        <v>0</v>
      </c>
      <c r="P140" s="167">
        <f>IF($E140="","",IF($B140=1,Input!$C$59,IF($B140&lt;6,Input!$C$60,0%)))</f>
        <v>0</v>
      </c>
      <c r="Q140" s="162">
        <f>IF($E140="","",Input!$C$58)</f>
        <v>2.5</v>
      </c>
      <c r="R140" s="156">
        <f t="shared" si="54"/>
        <v>0.99978975705877549</v>
      </c>
      <c r="S140" s="154">
        <f t="shared" si="43"/>
        <v>0.49914620636097123</v>
      </c>
      <c r="T140" s="152"/>
      <c r="U140" s="150">
        <f t="shared" si="55"/>
        <v>0</v>
      </c>
      <c r="V140" s="150">
        <f t="shared" si="56"/>
        <v>0</v>
      </c>
      <c r="W140" s="168">
        <f t="shared" si="57"/>
        <v>0</v>
      </c>
      <c r="X140" s="163">
        <f t="shared" si="44"/>
        <v>21.024294122451437</v>
      </c>
      <c r="Y140" s="152"/>
      <c r="Z140" s="164">
        <f>IF(AND($C139=12,$D139=Input!$C$6),0,IF($E140="","",V140+Z141/(1+L140)*R140))</f>
        <v>3342.68189786009</v>
      </c>
      <c r="AA140" s="164">
        <f>IF(OR($M140=1,AND($C139=12,$D139=Input!$C$6)),0,IF($E140="","",W140+(X140+AA141*$R140)/(1+$L140)))</f>
        <v>3237.8330328412017</v>
      </c>
      <c r="AB140" s="160">
        <f t="shared" si="45"/>
        <v>0.825720328500681</v>
      </c>
      <c r="AC140" s="164">
        <f t="shared" si="46"/>
        <v>0</v>
      </c>
      <c r="AD140" s="164">
        <f>IF(AND($C139=12,$D139=Input!$C$6),0,IF($E140="","",$AC140+AD141/(1+$L140)*$R140))</f>
        <v>2760.1203947743115</v>
      </c>
      <c r="AE140" s="152"/>
      <c r="AF140" s="164">
        <f>IF(AND($C139=12,$D139=Input!$C$6),0,IF($E140="","",IF($B140&gt;Input!$C$9,$AC140,0)+AF141/(1+$L140)*$R140))</f>
        <v>1790.74454049569</v>
      </c>
      <c r="AG140" s="164">
        <f>IF(AND($C139=12,$D139=Input!$C$6),0,IF($E140="","",(IF($B140&gt;Input!$C$9,$X140,0)+AG141)/(1+$L140)*$R140))</f>
        <v>854.76506546087819</v>
      </c>
      <c r="AH140" s="160">
        <f t="shared" si="47"/>
        <v>2.0950137211446997</v>
      </c>
      <c r="AI140" s="160">
        <f>IF($E140="","",MIN(Input!$C$61/AH140,1))</f>
        <v>0.64438718771845094</v>
      </c>
      <c r="AJ140" s="152"/>
      <c r="AK140" s="164">
        <f>IF(AND($C139=12,$D139=Input!$C$6),0,IF($E140="","",IF($B140&gt;Input!$C$9,$AC140*AI140,0)+AK141/(1+$L140)*$R140))</f>
        <v>1153.9328383721875</v>
      </c>
      <c r="AL140" s="164">
        <f>IF(AND($C139=12,$D139=Input!$C$6),0,IF($E140="","",IF($B140&gt;Input!$C$9,0,$AC140)+AL141/(1+$L140)*$R140))</f>
        <v>969.37585427862405</v>
      </c>
      <c r="AM140" s="160">
        <f t="shared" si="48"/>
        <v>1.1382936520186004</v>
      </c>
      <c r="AN140" s="164">
        <f>IF($E140="","",IF($B140&gt;Input!$C$9,$AI140*$AC140,$AM140*$AC140))</f>
        <v>0</v>
      </c>
      <c r="AO140" s="164">
        <f>IF(AND($C139=12,$D139=Input!$C$6),0,IF($E140="","",$AN140+AO141/(1+$L140)*$R140))</f>
        <v>2257.3672197176529</v>
      </c>
      <c r="AP140" s="152"/>
      <c r="AQ140" s="164">
        <f t="shared" si="49"/>
        <v>980.46581312354874</v>
      </c>
      <c r="AR140" s="164">
        <f t="shared" si="58"/>
        <v>919.43222944287299</v>
      </c>
      <c r="AS140" s="164">
        <f t="shared" si="59"/>
        <v>120.57416267942584</v>
      </c>
      <c r="AT140" s="164">
        <f t="shared" si="50"/>
        <v>919.43222944287299</v>
      </c>
      <c r="AU140" s="152"/>
      <c r="AV140" s="147">
        <f>'Deterministic Reserve'!BC140</f>
        <v>0.55066469509487515</v>
      </c>
      <c r="AW140" s="164">
        <f t="shared" si="51"/>
        <v>919.43222944287299</v>
      </c>
      <c r="AX140" s="164">
        <f t="shared" si="52"/>
        <v>506.29886828656095</v>
      </c>
      <c r="AY140" s="152"/>
    </row>
    <row r="141" spans="1:51" s="150" customFormat="1" x14ac:dyDescent="0.25">
      <c r="A141" s="150">
        <f t="shared" si="60"/>
        <v>137</v>
      </c>
      <c r="B141" s="150">
        <f t="shared" si="61"/>
        <v>12</v>
      </c>
      <c r="C141" s="150">
        <f t="shared" si="62"/>
        <v>5</v>
      </c>
      <c r="D141" s="150">
        <f>IF(E141="","",Input!$C$4+B141-1)</f>
        <v>56</v>
      </c>
      <c r="E141" s="150">
        <f>IF(OR(AND(C140=12,D140=Input!$C$6),E140=""),"",1)</f>
        <v>1</v>
      </c>
      <c r="F141" s="150">
        <f>IF(E141="","",Input!$C$8+B141-1)</f>
        <v>2029</v>
      </c>
      <c r="G141" s="151">
        <f>IF(E141="","",MAX(0,Input!$C$9-B141))</f>
        <v>8</v>
      </c>
      <c r="H141" s="152">
        <f>IF(E141="","",Input!$C$3)</f>
        <v>100000</v>
      </c>
      <c r="I141" s="153">
        <f>IF(E141="","",HLOOKUP($B141,Input!$C$13:$BT$14,2))</f>
        <v>2.2999999999999998</v>
      </c>
      <c r="J141" s="154"/>
      <c r="K141" s="155">
        <f>IF($E141="","",Input!$C$57)</f>
        <v>4.4999999999999998E-2</v>
      </c>
      <c r="L141" s="155">
        <f t="shared" si="53"/>
        <v>3.6748094004368514E-3</v>
      </c>
      <c r="M141" s="147">
        <f>IF($E141="","",VLOOKUP(IF($B141&lt;=Input!$C$7,$B141,26),'Mortality Tables'!$A$72:$CA$97,IF($B141&lt;=Input!$C$7+1,Input!$C$4-16,$D141-Input!$C$7-16),0)/1000)</f>
        <v>2.5200000000000001E-3</v>
      </c>
      <c r="N141" s="147">
        <f t="shared" si="42"/>
        <v>2.1024294122451437E-4</v>
      </c>
      <c r="O141" s="157">
        <f>IF($E141="","",IF($C141=12,IF($B141&lt;Input!$C$9,Input!$C$54,IF($B141=Input!$C$9,Input!$C$55,Input!$C$56)),0%))</f>
        <v>0</v>
      </c>
      <c r="P141" s="167">
        <f>IF($E141="","",IF($B141=1,Input!$C$59,IF($B141&lt;6,Input!$C$60,0%)))</f>
        <v>0</v>
      </c>
      <c r="Q141" s="162">
        <f>IF($E141="","",Input!$C$58)</f>
        <v>2.5</v>
      </c>
      <c r="R141" s="156">
        <f t="shared" si="54"/>
        <v>0.99978975705877549</v>
      </c>
      <c r="S141" s="154">
        <f t="shared" si="43"/>
        <v>0.49904126439444485</v>
      </c>
      <c r="T141" s="152"/>
      <c r="U141" s="150">
        <f t="shared" si="55"/>
        <v>0</v>
      </c>
      <c r="V141" s="150">
        <f t="shared" si="56"/>
        <v>0</v>
      </c>
      <c r="W141" s="168">
        <f t="shared" si="57"/>
        <v>0</v>
      </c>
      <c r="X141" s="163">
        <f t="shared" si="44"/>
        <v>21.024294122451437</v>
      </c>
      <c r="Y141" s="152"/>
      <c r="Z141" s="164">
        <f>IF(AND($C140=12,$D140=Input!$C$6),0,IF($E141="","",V141+Z142/(1+L141)*R141))</f>
        <v>3355.6711228876743</v>
      </c>
      <c r="AA141" s="164">
        <f>IF(OR($M141=1,AND($C140=12,$D140=Input!$C$6)),0,IF($E141="","",W141+(X141+AA142*$R141)/(1+$L141)))</f>
        <v>3229.386113619757</v>
      </c>
      <c r="AB141" s="160">
        <f t="shared" si="45"/>
        <v>0.825720328500681</v>
      </c>
      <c r="AC141" s="164">
        <f t="shared" si="46"/>
        <v>0</v>
      </c>
      <c r="AD141" s="164">
        <f>IF(AND($C140=12,$D140=Input!$C$6),0,IF($E141="","",$AC141+AD142/(1+$L141)*$R141))</f>
        <v>2770.8458619310582</v>
      </c>
      <c r="AE141" s="152"/>
      <c r="AF141" s="164">
        <f>IF(AND($C140=12,$D140=Input!$C$6),0,IF($E141="","",IF($B141&gt;Input!$C$9,$AC141,0)+AF142/(1+$L141)*$R141))</f>
        <v>1797.7031397624366</v>
      </c>
      <c r="AG141" s="164">
        <f>IF(AND($C140=12,$D140=Input!$C$6),0,IF($E141="","",(IF($B141&gt;Input!$C$9,$X141,0)+AG142)/(1+$L141)*$R141))</f>
        <v>858.08657080306966</v>
      </c>
      <c r="AH141" s="160">
        <f t="shared" si="47"/>
        <v>2.0950137211446997</v>
      </c>
      <c r="AI141" s="160">
        <f>IF($E141="","",MIN(Input!$C$61/AH141,1))</f>
        <v>0.64438718771845094</v>
      </c>
      <c r="AJ141" s="152"/>
      <c r="AK141" s="164">
        <f>IF(AND($C140=12,$D140=Input!$C$6),0,IF($E141="","",IF($B141&gt;Input!$C$9,$AC141*AI141,0)+AK142/(1+$L141)*$R141))</f>
        <v>1158.4168705841462</v>
      </c>
      <c r="AL141" s="164">
        <f>IF(AND($C140=12,$D140=Input!$C$6),0,IF($E141="","",IF($B141&gt;Input!$C$9,0,$AC141)+AL142/(1+$L141)*$R141))</f>
        <v>973.14272216862355</v>
      </c>
      <c r="AM141" s="160">
        <f t="shared" si="48"/>
        <v>1.1382936520186004</v>
      </c>
      <c r="AN141" s="164">
        <f>IF($E141="","",IF($B141&gt;Input!$C$9,$AI141*$AC141,$AM141*$AC141))</f>
        <v>0</v>
      </c>
      <c r="AO141" s="164">
        <f>IF(AND($C140=12,$D140=Input!$C$6),0,IF($E141="","",$AN141+AO142/(1+$L141)*$R141))</f>
        <v>2266.1390537367911</v>
      </c>
      <c r="AP141" s="152"/>
      <c r="AQ141" s="164">
        <f t="shared" si="49"/>
        <v>963.24705988296591</v>
      </c>
      <c r="AR141" s="164">
        <f t="shared" si="58"/>
        <v>919.43222944287299</v>
      </c>
      <c r="AS141" s="164">
        <f t="shared" si="59"/>
        <v>120.57416267942584</v>
      </c>
      <c r="AT141" s="164">
        <f t="shared" si="50"/>
        <v>919.43222944287299</v>
      </c>
      <c r="AU141" s="152"/>
      <c r="AV141" s="147">
        <f>'Deterministic Reserve'!BC141</f>
        <v>0.55058959692711718</v>
      </c>
      <c r="AW141" s="164">
        <f t="shared" si="51"/>
        <v>919.43222944287299</v>
      </c>
      <c r="AX141" s="164">
        <f t="shared" si="52"/>
        <v>506.22982061075214</v>
      </c>
      <c r="AY141" s="152"/>
    </row>
    <row r="142" spans="1:51" s="150" customFormat="1" x14ac:dyDescent="0.25">
      <c r="A142" s="150">
        <f t="shared" si="60"/>
        <v>138</v>
      </c>
      <c r="B142" s="150">
        <f t="shared" si="61"/>
        <v>12</v>
      </c>
      <c r="C142" s="150">
        <f t="shared" si="62"/>
        <v>6</v>
      </c>
      <c r="D142" s="150">
        <f>IF(E142="","",Input!$C$4+B142-1)</f>
        <v>56</v>
      </c>
      <c r="E142" s="150">
        <f>IF(OR(AND(C141=12,D141=Input!$C$6),E141=""),"",1)</f>
        <v>1</v>
      </c>
      <c r="F142" s="150">
        <f>IF(E142="","",Input!$C$8+B142-1)</f>
        <v>2029</v>
      </c>
      <c r="G142" s="151">
        <f>IF(E142="","",MAX(0,Input!$C$9-B142))</f>
        <v>8</v>
      </c>
      <c r="H142" s="152">
        <f>IF(E142="","",Input!$C$3)</f>
        <v>100000</v>
      </c>
      <c r="I142" s="153">
        <f>IF(E142="","",HLOOKUP($B142,Input!$C$13:$BT$14,2))</f>
        <v>2.2999999999999998</v>
      </c>
      <c r="J142" s="154"/>
      <c r="K142" s="155">
        <f>IF($E142="","",Input!$C$57)</f>
        <v>4.4999999999999998E-2</v>
      </c>
      <c r="L142" s="155">
        <f t="shared" si="53"/>
        <v>3.6748094004368514E-3</v>
      </c>
      <c r="M142" s="147">
        <f>IF($E142="","",VLOOKUP(IF($B142&lt;=Input!$C$7,$B142,26),'Mortality Tables'!$A$72:$CA$97,IF($B142&lt;=Input!$C$7+1,Input!$C$4-16,$D142-Input!$C$7-16),0)/1000)</f>
        <v>2.5200000000000001E-3</v>
      </c>
      <c r="N142" s="147">
        <f t="shared" si="42"/>
        <v>2.1024294122451437E-4</v>
      </c>
      <c r="O142" s="157">
        <f>IF($E142="","",IF($C142=12,IF($B142&lt;Input!$C$9,Input!$C$54,IF($B142=Input!$C$9,Input!$C$55,Input!$C$56)),0%))</f>
        <v>0</v>
      </c>
      <c r="P142" s="167">
        <f>IF($E142="","",IF($B142=1,Input!$C$59,IF($B142&lt;6,Input!$C$60,0%)))</f>
        <v>0</v>
      </c>
      <c r="Q142" s="162">
        <f>IF($E142="","",Input!$C$58)</f>
        <v>2.5</v>
      </c>
      <c r="R142" s="156">
        <f t="shared" si="54"/>
        <v>0.99978975705877549</v>
      </c>
      <c r="S142" s="154">
        <f t="shared" si="43"/>
        <v>0.49893634449122615</v>
      </c>
      <c r="T142" s="152"/>
      <c r="U142" s="150">
        <f t="shared" si="55"/>
        <v>0</v>
      </c>
      <c r="V142" s="150">
        <f t="shared" si="56"/>
        <v>0</v>
      </c>
      <c r="W142" s="168">
        <f t="shared" si="57"/>
        <v>0</v>
      </c>
      <c r="X142" s="163">
        <f t="shared" si="44"/>
        <v>21.024294122451437</v>
      </c>
      <c r="Y142" s="152"/>
      <c r="Z142" s="164">
        <f>IF(AND($C141=12,$D141=Input!$C$6),0,IF($E142="","",V142+Z143/(1+L142)*R142))</f>
        <v>3368.7108223462615</v>
      </c>
      <c r="AA142" s="164">
        <f>IF(OR($M142=1,AND($C141=12,$D141=Input!$C$6)),0,IF($E142="","",W142+(X142+AA143*$R142)/(1+$L142)))</f>
        <v>3220.9063707740761</v>
      </c>
      <c r="AB142" s="160">
        <f t="shared" si="45"/>
        <v>0.825720328500681</v>
      </c>
      <c r="AC142" s="164">
        <f t="shared" si="46"/>
        <v>0</v>
      </c>
      <c r="AD142" s="164">
        <f>IF(AND($C141=12,$D141=Input!$C$6),0,IF($E142="","",$AC142+AD143/(1+$L142)*$R142))</f>
        <v>2781.6130068515527</v>
      </c>
      <c r="AE142" s="152"/>
      <c r="AF142" s="164">
        <f>IF(AND($C141=12,$D141=Input!$C$6),0,IF($E142="","",IF($B142&gt;Input!$C$9,$AC142,0)+AF143/(1+$L142)*$R142))</f>
        <v>1804.6887792365721</v>
      </c>
      <c r="AG142" s="164">
        <f>IF(AND($C141=12,$D141=Input!$C$6),0,IF($E142="","",(IF($B142&gt;Input!$C$9,$X142,0)+AG143)/(1+$L142)*$R142))</f>
        <v>861.42098308096092</v>
      </c>
      <c r="AH142" s="160">
        <f t="shared" si="47"/>
        <v>2.0950137211446997</v>
      </c>
      <c r="AI142" s="160">
        <f>IF($E142="","",MIN(Input!$C$61/AH142,1))</f>
        <v>0.64438718771845094</v>
      </c>
      <c r="AJ142" s="152"/>
      <c r="AK142" s="164">
        <f>IF(AND($C141=12,$D141=Input!$C$6),0,IF($E142="","",IF($B142&gt;Input!$C$9,$AC142*AI142,0)+AK143/(1+$L142)*$R142))</f>
        <v>1162.9183271592995</v>
      </c>
      <c r="AL142" s="164">
        <f>IF(AND($C141=12,$D141=Input!$C$6),0,IF($E142="","",IF($B142&gt;Input!$C$9,0,$AC142)+AL143/(1+$L142)*$R142))</f>
        <v>976.92422761498278</v>
      </c>
      <c r="AM142" s="160">
        <f t="shared" si="48"/>
        <v>1.1382936520186004</v>
      </c>
      <c r="AN142" s="164">
        <f>IF($E142="","",IF($B142&gt;Input!$C$9,$AI142*$AC142,$AM142*$AC142))</f>
        <v>0</v>
      </c>
      <c r="AO142" s="164">
        <f>IF(AND($C141=12,$D141=Input!$C$6),0,IF($E142="","",$AN142+AO143/(1+$L142)*$R142))</f>
        <v>2274.9449739566089</v>
      </c>
      <c r="AP142" s="152"/>
      <c r="AQ142" s="164">
        <f t="shared" si="49"/>
        <v>945.96139681746718</v>
      </c>
      <c r="AR142" s="164">
        <f t="shared" si="58"/>
        <v>919.43222944287299</v>
      </c>
      <c r="AS142" s="164">
        <f t="shared" si="59"/>
        <v>120.57416267942584</v>
      </c>
      <c r="AT142" s="164">
        <f t="shared" si="50"/>
        <v>919.43222944287299</v>
      </c>
      <c r="AU142" s="152"/>
      <c r="AV142" s="147">
        <f>'Deterministic Reserve'!BC142</f>
        <v>0.55051450900104504</v>
      </c>
      <c r="AW142" s="164">
        <f t="shared" si="51"/>
        <v>919.43222944287299</v>
      </c>
      <c r="AX142" s="164">
        <f t="shared" si="52"/>
        <v>506.16078235147938</v>
      </c>
      <c r="AY142" s="152"/>
    </row>
    <row r="143" spans="1:51" s="150" customFormat="1" x14ac:dyDescent="0.25">
      <c r="A143" s="150">
        <f t="shared" si="60"/>
        <v>139</v>
      </c>
      <c r="B143" s="150">
        <f t="shared" si="61"/>
        <v>12</v>
      </c>
      <c r="C143" s="150">
        <f t="shared" si="62"/>
        <v>7</v>
      </c>
      <c r="D143" s="150">
        <f>IF(E143="","",Input!$C$4+B143-1)</f>
        <v>56</v>
      </c>
      <c r="E143" s="150">
        <f>IF(OR(AND(C142=12,D142=Input!$C$6),E142=""),"",1)</f>
        <v>1</v>
      </c>
      <c r="F143" s="150">
        <f>IF(E143="","",Input!$C$8+B143-1)</f>
        <v>2029</v>
      </c>
      <c r="G143" s="151">
        <f>IF(E143="","",MAX(0,Input!$C$9-B143))</f>
        <v>8</v>
      </c>
      <c r="H143" s="152">
        <f>IF(E143="","",Input!$C$3)</f>
        <v>100000</v>
      </c>
      <c r="I143" s="153">
        <f>IF(E143="","",HLOOKUP($B143,Input!$C$13:$BT$14,2))</f>
        <v>2.2999999999999998</v>
      </c>
      <c r="J143" s="154"/>
      <c r="K143" s="155">
        <f>IF($E143="","",Input!$C$57)</f>
        <v>4.4999999999999998E-2</v>
      </c>
      <c r="L143" s="155">
        <f t="shared" si="53"/>
        <v>3.6748094004368514E-3</v>
      </c>
      <c r="M143" s="147">
        <f>IF($E143="","",VLOOKUP(IF($B143&lt;=Input!$C$7,$B143,26),'Mortality Tables'!$A$72:$CA$97,IF($B143&lt;=Input!$C$7+1,Input!$C$4-16,$D143-Input!$C$7-16),0)/1000)</f>
        <v>2.5200000000000001E-3</v>
      </c>
      <c r="N143" s="147">
        <f t="shared" si="42"/>
        <v>2.1024294122451437E-4</v>
      </c>
      <c r="O143" s="157">
        <f>IF($E143="","",IF($C143=12,IF($B143&lt;Input!$C$9,Input!$C$54,IF($B143=Input!$C$9,Input!$C$55,Input!$C$56)),0%))</f>
        <v>0</v>
      </c>
      <c r="P143" s="167">
        <f>IF($E143="","",IF($B143=1,Input!$C$59,IF($B143&lt;6,Input!$C$60,0%)))</f>
        <v>0</v>
      </c>
      <c r="Q143" s="162">
        <f>IF($E143="","",Input!$C$58)</f>
        <v>2.5</v>
      </c>
      <c r="R143" s="156">
        <f t="shared" si="54"/>
        <v>0.99978975705877549</v>
      </c>
      <c r="S143" s="154">
        <f t="shared" si="43"/>
        <v>0.4988314466466765</v>
      </c>
      <c r="T143" s="152"/>
      <c r="U143" s="150">
        <f t="shared" si="55"/>
        <v>0</v>
      </c>
      <c r="V143" s="150">
        <f t="shared" si="56"/>
        <v>0</v>
      </c>
      <c r="W143" s="168">
        <f t="shared" si="57"/>
        <v>0</v>
      </c>
      <c r="X143" s="163">
        <f t="shared" si="44"/>
        <v>21.024294122451437</v>
      </c>
      <c r="Y143" s="152"/>
      <c r="Z143" s="164">
        <f>IF(AND($C142=12,$D142=Input!$C$6),0,IF($E143="","",V143+Z144/(1+L143)*R143))</f>
        <v>3381.8011923728941</v>
      </c>
      <c r="AA143" s="164">
        <f>IF(OR($M143=1,AND($C142=12,$D142=Input!$C$6)),0,IF($E143="","",W143+(X143+AA144*$R143)/(1+$L143)))</f>
        <v>3212.3936767558444</v>
      </c>
      <c r="AB143" s="160">
        <f t="shared" si="45"/>
        <v>0.825720328500681</v>
      </c>
      <c r="AC143" s="164">
        <f t="shared" si="46"/>
        <v>0</v>
      </c>
      <c r="AD143" s="164">
        <f>IF(AND($C142=12,$D142=Input!$C$6),0,IF($E143="","",$AC143+AD144/(1+$L143)*$R143))</f>
        <v>2792.4219914901391</v>
      </c>
      <c r="AE143" s="152"/>
      <c r="AF143" s="164">
        <f>IF(AND($C142=12,$D142=Input!$C$6),0,IF($E143="","",IF($B143&gt;Input!$C$9,$AC143,0)+AF144/(1+$L143)*$R143))</f>
        <v>1811.7015639928086</v>
      </c>
      <c r="AG143" s="164">
        <f>IF(AND($C142=12,$D142=Input!$C$6),0,IF($E143="","",(IF($B143&gt;Input!$C$9,$X143,0)+AG144)/(1+$L143)*$R143))</f>
        <v>864.76835244921722</v>
      </c>
      <c r="AH143" s="160">
        <f t="shared" si="47"/>
        <v>2.0950137211446997</v>
      </c>
      <c r="AI143" s="160">
        <f>IF($E143="","",MIN(Input!$C$61/AH143,1))</f>
        <v>0.64438718771845094</v>
      </c>
      <c r="AJ143" s="152"/>
      <c r="AK143" s="164">
        <f>IF(AND($C142=12,$D142=Input!$C$6),0,IF($E143="","",IF($B143&gt;Input!$C$9,$AC143*AI143,0)+AK144/(1+$L143)*$R143))</f>
        <v>1167.4372758064455</v>
      </c>
      <c r="AL143" s="164">
        <f>IF(AND($C142=12,$D142=Input!$C$6),0,IF($E143="","",IF($B143&gt;Input!$C$9,0,$AC143)+AL144/(1+$L143)*$R143))</f>
        <v>980.72042749733282</v>
      </c>
      <c r="AM143" s="160">
        <f t="shared" si="48"/>
        <v>1.1382936520186004</v>
      </c>
      <c r="AN143" s="164">
        <f>IF($E143="","",IF($B143&gt;Input!$C$9,$AI143*$AC143,$AM143*$AC143))</f>
        <v>0</v>
      </c>
      <c r="AO143" s="164">
        <f>IF(AND($C142=12,$D142=Input!$C$6),0,IF($E143="","",$AN143+AO144/(1+$L143)*$R143))</f>
        <v>2283.7851128316274</v>
      </c>
      <c r="AP143" s="152"/>
      <c r="AQ143" s="164">
        <f t="shared" si="49"/>
        <v>928.60856392421692</v>
      </c>
      <c r="AR143" s="164">
        <f t="shared" si="58"/>
        <v>919.43222944287299</v>
      </c>
      <c r="AS143" s="164">
        <f t="shared" si="59"/>
        <v>120.57416267942584</v>
      </c>
      <c r="AT143" s="164">
        <f t="shared" si="50"/>
        <v>919.43222944287299</v>
      </c>
      <c r="AU143" s="152"/>
      <c r="AV143" s="147">
        <f>'Deterministic Reserve'!BC143</f>
        <v>0.55043943131526207</v>
      </c>
      <c r="AW143" s="164">
        <f t="shared" si="51"/>
        <v>919.43222944287299</v>
      </c>
      <c r="AX143" s="164">
        <f t="shared" si="52"/>
        <v>506.09175350745858</v>
      </c>
      <c r="AY143" s="152"/>
    </row>
    <row r="144" spans="1:51" s="150" customFormat="1" x14ac:dyDescent="0.25">
      <c r="A144" s="150">
        <f t="shared" si="60"/>
        <v>140</v>
      </c>
      <c r="B144" s="150">
        <f t="shared" si="61"/>
        <v>12</v>
      </c>
      <c r="C144" s="150">
        <f t="shared" si="62"/>
        <v>8</v>
      </c>
      <c r="D144" s="150">
        <f>IF(E144="","",Input!$C$4+B144-1)</f>
        <v>56</v>
      </c>
      <c r="E144" s="150">
        <f>IF(OR(AND(C143=12,D143=Input!$C$6),E143=""),"",1)</f>
        <v>1</v>
      </c>
      <c r="F144" s="150">
        <f>IF(E144="","",Input!$C$8+B144-1)</f>
        <v>2029</v>
      </c>
      <c r="G144" s="151">
        <f>IF(E144="","",MAX(0,Input!$C$9-B144))</f>
        <v>8</v>
      </c>
      <c r="H144" s="152">
        <f>IF(E144="","",Input!$C$3)</f>
        <v>100000</v>
      </c>
      <c r="I144" s="153">
        <f>IF(E144="","",HLOOKUP($B144,Input!$C$13:$BT$14,2))</f>
        <v>2.2999999999999998</v>
      </c>
      <c r="J144" s="154"/>
      <c r="K144" s="155">
        <f>IF($E144="","",Input!$C$57)</f>
        <v>4.4999999999999998E-2</v>
      </c>
      <c r="L144" s="155">
        <f t="shared" si="53"/>
        <v>3.6748094004368514E-3</v>
      </c>
      <c r="M144" s="147">
        <f>IF($E144="","",VLOOKUP(IF($B144&lt;=Input!$C$7,$B144,26),'Mortality Tables'!$A$72:$CA$97,IF($B144&lt;=Input!$C$7+1,Input!$C$4-16,$D144-Input!$C$7-16),0)/1000)</f>
        <v>2.5200000000000001E-3</v>
      </c>
      <c r="N144" s="147">
        <f t="shared" si="42"/>
        <v>2.1024294122451437E-4</v>
      </c>
      <c r="O144" s="157">
        <f>IF($E144="","",IF($C144=12,IF($B144&lt;Input!$C$9,Input!$C$54,IF($B144=Input!$C$9,Input!$C$55,Input!$C$56)),0%))</f>
        <v>0</v>
      </c>
      <c r="P144" s="167">
        <f>IF($E144="","",IF($B144=1,Input!$C$59,IF($B144&lt;6,Input!$C$60,0%)))</f>
        <v>0</v>
      </c>
      <c r="Q144" s="162">
        <f>IF($E144="","",Input!$C$58)</f>
        <v>2.5</v>
      </c>
      <c r="R144" s="156">
        <f t="shared" si="54"/>
        <v>0.99978975705877549</v>
      </c>
      <c r="S144" s="154">
        <f t="shared" si="43"/>
        <v>0.49872657085615824</v>
      </c>
      <c r="T144" s="152"/>
      <c r="U144" s="150">
        <f t="shared" si="55"/>
        <v>0</v>
      </c>
      <c r="V144" s="150">
        <f t="shared" si="56"/>
        <v>0</v>
      </c>
      <c r="W144" s="168">
        <f t="shared" si="57"/>
        <v>0</v>
      </c>
      <c r="X144" s="163">
        <f t="shared" si="44"/>
        <v>21.024294122451437</v>
      </c>
      <c r="Y144" s="152"/>
      <c r="Z144" s="164">
        <f>IF(AND($C143=12,$D143=Input!$C$6),0,IF($E144="","",V144+Z145/(1+L144)*R144))</f>
        <v>3394.9424298667777</v>
      </c>
      <c r="AA144" s="164">
        <f>IF(OR($M144=1,AND($C143=12,$D143=Input!$C$6)),0,IF($E144="","",W144+(X144+AA145*$R144)/(1+$L144)))</f>
        <v>3203.8479035211112</v>
      </c>
      <c r="AB144" s="160">
        <f t="shared" si="45"/>
        <v>0.825720328500681</v>
      </c>
      <c r="AC144" s="164">
        <f t="shared" si="46"/>
        <v>0</v>
      </c>
      <c r="AD144" s="164">
        <f>IF(AND($C143=12,$D143=Input!$C$6),0,IF($E144="","",$AC144+AD145/(1+$L144)*$R144))</f>
        <v>2803.2729784304943</v>
      </c>
      <c r="AE144" s="152"/>
      <c r="AF144" s="164">
        <f>IF(AND($C143=12,$D143=Input!$C$6),0,IF($E144="","",IF($B144&gt;Input!$C$9,$AC144,0)+AF145/(1+$L144)*$R144))</f>
        <v>1818.7415995141646</v>
      </c>
      <c r="AG144" s="164">
        <f>IF(AND($C143=12,$D143=Input!$C$6),0,IF($E144="","",(IF($B144&gt;Input!$C$9,$X144,0)+AG145)/(1+$L144)*$R144))</f>
        <v>868.1287292573985</v>
      </c>
      <c r="AH144" s="160">
        <f t="shared" si="47"/>
        <v>2.0950137211446997</v>
      </c>
      <c r="AI144" s="160">
        <f>IF($E144="","",MIN(Input!$C$61/AH144,1))</f>
        <v>0.64438718771845094</v>
      </c>
      <c r="AJ144" s="152"/>
      <c r="AK144" s="164">
        <f>IF(AND($C143=12,$D143=Input!$C$6),0,IF($E144="","",IF($B144&gt;Input!$C$9,$AC144*AI144,0)+AK145/(1+$L144)*$R144))</f>
        <v>1171.9737844974902</v>
      </c>
      <c r="AL144" s="164">
        <f>IF(AND($C143=12,$D143=Input!$C$6),0,IF($E144="","",IF($B144&gt;Input!$C$9,0,$AC144)+AL145/(1+$L144)*$R144))</f>
        <v>984.53137891633173</v>
      </c>
      <c r="AM144" s="160">
        <f t="shared" si="48"/>
        <v>1.1382936520186004</v>
      </c>
      <c r="AN144" s="164">
        <f>IF($E144="","",IF($B144&gt;Input!$C$9,$AI144*$AC144,$AM144*$AC144))</f>
        <v>0</v>
      </c>
      <c r="AO144" s="164">
        <f>IF(AND($C143=12,$D143=Input!$C$6),0,IF($E144="","",$AN144+AO145/(1+$L144)*$R144))</f>
        <v>2292.6596033310698</v>
      </c>
      <c r="AP144" s="152"/>
      <c r="AQ144" s="164">
        <f t="shared" si="49"/>
        <v>911.18830019004145</v>
      </c>
      <c r="AR144" s="164">
        <f t="shared" si="58"/>
        <v>919.43222944287299</v>
      </c>
      <c r="AS144" s="164">
        <f t="shared" si="59"/>
        <v>120.57416267942584</v>
      </c>
      <c r="AT144" s="164">
        <f t="shared" si="50"/>
        <v>919.43222944287299</v>
      </c>
      <c r="AU144" s="152"/>
      <c r="AV144" s="147">
        <f>'Deterministic Reserve'!BC144</f>
        <v>0.55036436386837162</v>
      </c>
      <c r="AW144" s="164">
        <f t="shared" si="51"/>
        <v>919.43222944287299</v>
      </c>
      <c r="AX144" s="164">
        <f t="shared" si="52"/>
        <v>506.02273407740552</v>
      </c>
      <c r="AY144" s="152"/>
    </row>
    <row r="145" spans="1:51" s="150" customFormat="1" x14ac:dyDescent="0.25">
      <c r="A145" s="150">
        <f t="shared" si="60"/>
        <v>141</v>
      </c>
      <c r="B145" s="150">
        <f t="shared" si="61"/>
        <v>12</v>
      </c>
      <c r="C145" s="150">
        <f t="shared" si="62"/>
        <v>9</v>
      </c>
      <c r="D145" s="150">
        <f>IF(E145="","",Input!$C$4+B145-1)</f>
        <v>56</v>
      </c>
      <c r="E145" s="150">
        <f>IF(OR(AND(C144=12,D144=Input!$C$6),E144=""),"",1)</f>
        <v>1</v>
      </c>
      <c r="F145" s="150">
        <f>IF(E145="","",Input!$C$8+B145-1)</f>
        <v>2029</v>
      </c>
      <c r="G145" s="151">
        <f>IF(E145="","",MAX(0,Input!$C$9-B145))</f>
        <v>8</v>
      </c>
      <c r="H145" s="152">
        <f>IF(E145="","",Input!$C$3)</f>
        <v>100000</v>
      </c>
      <c r="I145" s="153">
        <f>IF(E145="","",HLOOKUP($B145,Input!$C$13:$BT$14,2))</f>
        <v>2.2999999999999998</v>
      </c>
      <c r="J145" s="154"/>
      <c r="K145" s="155">
        <f>IF($E145="","",Input!$C$57)</f>
        <v>4.4999999999999998E-2</v>
      </c>
      <c r="L145" s="155">
        <f t="shared" si="53"/>
        <v>3.6748094004368514E-3</v>
      </c>
      <c r="M145" s="147">
        <f>IF($E145="","",VLOOKUP(IF($B145&lt;=Input!$C$7,$B145,26),'Mortality Tables'!$A$72:$CA$97,IF($B145&lt;=Input!$C$7+1,Input!$C$4-16,$D145-Input!$C$7-16),0)/1000)</f>
        <v>2.5200000000000001E-3</v>
      </c>
      <c r="N145" s="147">
        <f t="shared" si="42"/>
        <v>2.1024294122451437E-4</v>
      </c>
      <c r="O145" s="157">
        <f>IF($E145="","",IF($C145=12,IF($B145&lt;Input!$C$9,Input!$C$54,IF($B145=Input!$C$9,Input!$C$55,Input!$C$56)),0%))</f>
        <v>0</v>
      </c>
      <c r="P145" s="167">
        <f>IF($E145="","",IF($B145=1,Input!$C$59,IF($B145&lt;6,Input!$C$60,0%)))</f>
        <v>0</v>
      </c>
      <c r="Q145" s="162">
        <f>IF($E145="","",Input!$C$58)</f>
        <v>2.5</v>
      </c>
      <c r="R145" s="156">
        <f t="shared" si="54"/>
        <v>0.99978975705877549</v>
      </c>
      <c r="S145" s="154">
        <f t="shared" si="43"/>
        <v>0.49862171711503461</v>
      </c>
      <c r="T145" s="152"/>
      <c r="U145" s="150">
        <f t="shared" si="55"/>
        <v>0</v>
      </c>
      <c r="V145" s="150">
        <f t="shared" si="56"/>
        <v>0</v>
      </c>
      <c r="W145" s="168">
        <f t="shared" si="57"/>
        <v>0</v>
      </c>
      <c r="X145" s="163">
        <f t="shared" si="44"/>
        <v>21.024294122451437</v>
      </c>
      <c r="Y145" s="152"/>
      <c r="Z145" s="164">
        <f>IF(AND($C144=12,$D144=Input!$C$6),0,IF($E145="","",V145+Z146/(1+L145)*R145))</f>
        <v>3408.1347324922426</v>
      </c>
      <c r="AA145" s="164">
        <f>IF(OR($M145=1,AND($C144=12,$D144=Input!$C$6)),0,IF($E145="","",W145+(X145+AA146*$R145)/(1+$L145)))</f>
        <v>3195.2689225283648</v>
      </c>
      <c r="AB145" s="160">
        <f t="shared" si="45"/>
        <v>0.825720328500681</v>
      </c>
      <c r="AC145" s="164">
        <f t="shared" si="46"/>
        <v>0</v>
      </c>
      <c r="AD145" s="164">
        <f>IF(AND($C144=12,$D144=Input!$C$6),0,IF($E145="","",$AC145+AD146/(1+$L145)*$R145))</f>
        <v>2814.1661308880739</v>
      </c>
      <c r="AE145" s="152"/>
      <c r="AF145" s="164">
        <f>IF(AND($C144=12,$D144=Input!$C$6),0,IF($E145="","",IF($B145&gt;Input!$C$9,$AC145,0)+AF146/(1+$L145)*$R145))</f>
        <v>1825.8089916935528</v>
      </c>
      <c r="AG145" s="164">
        <f>IF(AND($C144=12,$D144=Input!$C$6),0,IF($E145="","",(IF($B145&gt;Input!$C$9,$X145,0)+AG146)/(1+$L145)*$R145))</f>
        <v>871.50216405071637</v>
      </c>
      <c r="AH145" s="160">
        <f t="shared" si="47"/>
        <v>2.0950137211446997</v>
      </c>
      <c r="AI145" s="160">
        <f>IF($E145="","",MIN(Input!$C$61/AH145,1))</f>
        <v>0.64438718771845094</v>
      </c>
      <c r="AJ145" s="152"/>
      <c r="AK145" s="164">
        <f>IF(AND($C144=12,$D144=Input!$C$6),0,IF($E145="","",IF($B145&gt;Input!$C$9,$AC145*AI145,0)+AK146/(1+$L145)*$R145))</f>
        <v>1176.5279214684695</v>
      </c>
      <c r="AL145" s="164">
        <f>IF(AND($C144=12,$D144=Input!$C$6),0,IF($E145="","",IF($B145&gt;Input!$C$9,0,$AC145)+AL146/(1+$L145)*$R145))</f>
        <v>988.35713919452303</v>
      </c>
      <c r="AM145" s="160">
        <f t="shared" si="48"/>
        <v>1.1382936520186004</v>
      </c>
      <c r="AN145" s="164">
        <f>IF($E145="","",IF($B145&gt;Input!$C$9,$AI145*$AC145,$AM145*$AC145))</f>
        <v>0</v>
      </c>
      <c r="AO145" s="164">
        <f>IF(AND($C144=12,$D144=Input!$C$6),0,IF($E145="","",$AN145+AO146/(1+$L145)*$R145))</f>
        <v>2301.5685789408594</v>
      </c>
      <c r="AP145" s="152"/>
      <c r="AQ145" s="164">
        <f t="shared" si="49"/>
        <v>893.70034358750536</v>
      </c>
      <c r="AR145" s="164">
        <f t="shared" si="58"/>
        <v>919.43222944287299</v>
      </c>
      <c r="AS145" s="164">
        <f t="shared" si="59"/>
        <v>120.57416267942584</v>
      </c>
      <c r="AT145" s="164">
        <f t="shared" si="50"/>
        <v>919.43222944287299</v>
      </c>
      <c r="AU145" s="152"/>
      <c r="AV145" s="147">
        <f>'Deterministic Reserve'!BC145</f>
        <v>0.55028930665897735</v>
      </c>
      <c r="AW145" s="164">
        <f t="shared" si="51"/>
        <v>919.43222944287299</v>
      </c>
      <c r="AX145" s="164">
        <f t="shared" si="52"/>
        <v>505.95372406003634</v>
      </c>
      <c r="AY145" s="152"/>
    </row>
    <row r="146" spans="1:51" s="150" customFormat="1" x14ac:dyDescent="0.25">
      <c r="A146" s="150">
        <f t="shared" si="60"/>
        <v>142</v>
      </c>
      <c r="B146" s="150">
        <f t="shared" si="61"/>
        <v>12</v>
      </c>
      <c r="C146" s="150">
        <f t="shared" si="62"/>
        <v>10</v>
      </c>
      <c r="D146" s="150">
        <f>IF(E146="","",Input!$C$4+B146-1)</f>
        <v>56</v>
      </c>
      <c r="E146" s="150">
        <f>IF(OR(AND(C145=12,D145=Input!$C$6),E145=""),"",1)</f>
        <v>1</v>
      </c>
      <c r="F146" s="150">
        <f>IF(E146="","",Input!$C$8+B146-1)</f>
        <v>2029</v>
      </c>
      <c r="G146" s="151">
        <f>IF(E146="","",MAX(0,Input!$C$9-B146))</f>
        <v>8</v>
      </c>
      <c r="H146" s="152">
        <f>IF(E146="","",Input!$C$3)</f>
        <v>100000</v>
      </c>
      <c r="I146" s="153">
        <f>IF(E146="","",HLOOKUP($B146,Input!$C$13:$BT$14,2))</f>
        <v>2.2999999999999998</v>
      </c>
      <c r="J146" s="154"/>
      <c r="K146" s="155">
        <f>IF($E146="","",Input!$C$57)</f>
        <v>4.4999999999999998E-2</v>
      </c>
      <c r="L146" s="155">
        <f t="shared" si="53"/>
        <v>3.6748094004368514E-3</v>
      </c>
      <c r="M146" s="147">
        <f>IF($E146="","",VLOOKUP(IF($B146&lt;=Input!$C$7,$B146,26),'Mortality Tables'!$A$72:$CA$97,IF($B146&lt;=Input!$C$7+1,Input!$C$4-16,$D146-Input!$C$7-16),0)/1000)</f>
        <v>2.5200000000000001E-3</v>
      </c>
      <c r="N146" s="147">
        <f t="shared" si="42"/>
        <v>2.1024294122451437E-4</v>
      </c>
      <c r="O146" s="157">
        <f>IF($E146="","",IF($C146=12,IF($B146&lt;Input!$C$9,Input!$C$54,IF($B146=Input!$C$9,Input!$C$55,Input!$C$56)),0%))</f>
        <v>0</v>
      </c>
      <c r="P146" s="167">
        <f>IF($E146="","",IF($B146=1,Input!$C$59,IF($B146&lt;6,Input!$C$60,0%)))</f>
        <v>0</v>
      </c>
      <c r="Q146" s="162">
        <f>IF($E146="","",Input!$C$58)</f>
        <v>2.5</v>
      </c>
      <c r="R146" s="156">
        <f t="shared" si="54"/>
        <v>0.99978975705877549</v>
      </c>
      <c r="S146" s="154">
        <f t="shared" si="43"/>
        <v>0.49851688541866995</v>
      </c>
      <c r="T146" s="152"/>
      <c r="U146" s="150">
        <f t="shared" si="55"/>
        <v>0</v>
      </c>
      <c r="V146" s="150">
        <f t="shared" si="56"/>
        <v>0</v>
      </c>
      <c r="W146" s="168">
        <f t="shared" si="57"/>
        <v>0</v>
      </c>
      <c r="X146" s="163">
        <f t="shared" si="44"/>
        <v>21.024294122451437</v>
      </c>
      <c r="Y146" s="152"/>
      <c r="Z146" s="164">
        <f>IF(AND($C145=12,$D145=Input!$C$6),0,IF($E146="","",V146+Z147/(1+L146)*R146))</f>
        <v>3421.3782986817168</v>
      </c>
      <c r="AA146" s="164">
        <f>IF(OR($M146=1,AND($C145=12,$D145=Input!$C$6)),0,IF($E146="","",W146+(X146+AA147*$R146)/(1+$L146)))</f>
        <v>3186.6566047365968</v>
      </c>
      <c r="AB146" s="160">
        <f t="shared" si="45"/>
        <v>0.825720328500681</v>
      </c>
      <c r="AC146" s="164">
        <f t="shared" si="46"/>
        <v>0</v>
      </c>
      <c r="AD146" s="164">
        <f>IF(AND($C145=12,$D145=Input!$C$6),0,IF($E146="","",$AC146+AD147/(1+$L146)*$R146))</f>
        <v>2825.1016127125672</v>
      </c>
      <c r="AE146" s="152"/>
      <c r="AF146" s="164">
        <f>IF(AND($C145=12,$D145=Input!$C$6),0,IF($E146="","",IF($B146&gt;Input!$C$9,$AC146,0)+AF147/(1+$L146)*$R146))</f>
        <v>1832.9038468353708</v>
      </c>
      <c r="AG146" s="164">
        <f>IF(AND($C145=12,$D145=Input!$C$6),0,IF($E146="","",(IF($B146&gt;Input!$C$9,$X146,0)+AG147)/(1+$L146)*$R146))</f>
        <v>874.88870757079485</v>
      </c>
      <c r="AH146" s="160">
        <f t="shared" si="47"/>
        <v>2.0950137211446997</v>
      </c>
      <c r="AI146" s="160">
        <f>IF($E146="","",MIN(Input!$C$61/AH146,1))</f>
        <v>0.64438718771845094</v>
      </c>
      <c r="AJ146" s="152"/>
      <c r="AK146" s="164">
        <f>IF(AND($C145=12,$D145=Input!$C$6),0,IF($E146="","",IF($B146&gt;Input!$C$9,$AC146*AI146,0)+AK147/(1+$L146)*$R146))</f>
        <v>1181.0997552205754</v>
      </c>
      <c r="AL146" s="164">
        <f>IF(AND($C145=12,$D145=Input!$C$6),0,IF($E146="","",IF($B146&gt;Input!$C$9,0,$AC146)+AL147/(1+$L146)*$R146))</f>
        <v>992.19776587719832</v>
      </c>
      <c r="AM146" s="160">
        <f t="shared" si="48"/>
        <v>1.1382936520186004</v>
      </c>
      <c r="AN146" s="164">
        <f>IF($E146="","",IF($B146&gt;Input!$C$9,$AI146*$AC146,$AM146*$AC146))</f>
        <v>0</v>
      </c>
      <c r="AO146" s="164">
        <f>IF(AND($C145=12,$D145=Input!$C$6),0,IF($E146="","",$AN146+AO147/(1+$L146)*$R146))</f>
        <v>2310.5121736656279</v>
      </c>
      <c r="AP146" s="152"/>
      <c r="AQ146" s="164">
        <f t="shared" si="49"/>
        <v>876.14443107096895</v>
      </c>
      <c r="AR146" s="164">
        <f t="shared" si="58"/>
        <v>919.43222944287299</v>
      </c>
      <c r="AS146" s="164">
        <f t="shared" si="59"/>
        <v>120.57416267942584</v>
      </c>
      <c r="AT146" s="164">
        <f t="shared" si="50"/>
        <v>919.43222944287299</v>
      </c>
      <c r="AU146" s="152"/>
      <c r="AV146" s="147">
        <f>'Deterministic Reserve'!BC146</f>
        <v>0.55021425968568305</v>
      </c>
      <c r="AW146" s="164">
        <f t="shared" si="51"/>
        <v>919.43222944287299</v>
      </c>
      <c r="AX146" s="164">
        <f t="shared" si="52"/>
        <v>505.88472345406745</v>
      </c>
      <c r="AY146" s="152"/>
    </row>
    <row r="147" spans="1:51" s="150" customFormat="1" x14ac:dyDescent="0.25">
      <c r="A147" s="150">
        <f t="shared" si="60"/>
        <v>143</v>
      </c>
      <c r="B147" s="150">
        <f t="shared" si="61"/>
        <v>12</v>
      </c>
      <c r="C147" s="150">
        <f t="shared" si="62"/>
        <v>11</v>
      </c>
      <c r="D147" s="150">
        <f>IF(E147="","",Input!$C$4+B147-1)</f>
        <v>56</v>
      </c>
      <c r="E147" s="150">
        <f>IF(OR(AND(C146=12,D146=Input!$C$6),E146=""),"",1)</f>
        <v>1</v>
      </c>
      <c r="F147" s="150">
        <f>IF(E147="","",Input!$C$8+B147-1)</f>
        <v>2029</v>
      </c>
      <c r="G147" s="151">
        <f>IF(E147="","",MAX(0,Input!$C$9-B147))</f>
        <v>8</v>
      </c>
      <c r="H147" s="152">
        <f>IF(E147="","",Input!$C$3)</f>
        <v>100000</v>
      </c>
      <c r="I147" s="153">
        <f>IF(E147="","",HLOOKUP($B147,Input!$C$13:$BT$14,2))</f>
        <v>2.2999999999999998</v>
      </c>
      <c r="J147" s="154"/>
      <c r="K147" s="155">
        <f>IF($E147="","",Input!$C$57)</f>
        <v>4.4999999999999998E-2</v>
      </c>
      <c r="L147" s="155">
        <f t="shared" si="53"/>
        <v>3.6748094004368514E-3</v>
      </c>
      <c r="M147" s="147">
        <f>IF($E147="","",VLOOKUP(IF($B147&lt;=Input!$C$7,$B147,26),'Mortality Tables'!$A$72:$CA$97,IF($B147&lt;=Input!$C$7+1,Input!$C$4-16,$D147-Input!$C$7-16),0)/1000)</f>
        <v>2.5200000000000001E-3</v>
      </c>
      <c r="N147" s="147">
        <f t="shared" si="42"/>
        <v>2.1024294122451437E-4</v>
      </c>
      <c r="O147" s="157">
        <f>IF($E147="","",IF($C147=12,IF($B147&lt;Input!$C$9,Input!$C$54,IF($B147=Input!$C$9,Input!$C$55,Input!$C$56)),0%))</f>
        <v>0</v>
      </c>
      <c r="P147" s="167">
        <f>IF($E147="","",IF($B147=1,Input!$C$59,IF($B147&lt;6,Input!$C$60,0%)))</f>
        <v>0</v>
      </c>
      <c r="Q147" s="162">
        <f>IF($E147="","",Input!$C$58)</f>
        <v>2.5</v>
      </c>
      <c r="R147" s="156">
        <f t="shared" si="54"/>
        <v>0.99978975705877549</v>
      </c>
      <c r="S147" s="154">
        <f t="shared" si="43"/>
        <v>0.49841207576242946</v>
      </c>
      <c r="T147" s="152"/>
      <c r="U147" s="150">
        <f t="shared" si="55"/>
        <v>0</v>
      </c>
      <c r="V147" s="150">
        <f t="shared" si="56"/>
        <v>0</v>
      </c>
      <c r="W147" s="168">
        <f t="shared" si="57"/>
        <v>0</v>
      </c>
      <c r="X147" s="163">
        <f t="shared" si="44"/>
        <v>21.024294122451437</v>
      </c>
      <c r="Y147" s="152"/>
      <c r="Z147" s="164">
        <f>IF(AND($C146=12,$D146=Input!$C$6),0,IF($E147="","",V147+Z148/(1+L147)*R147))</f>
        <v>3434.6733276387113</v>
      </c>
      <c r="AA147" s="164">
        <f>IF(OR($M147=1,AND($C146=12,$D146=Input!$C$6)),0,IF($E147="","",W147+(X147+AA148*$R147)/(1+$L147)))</f>
        <v>3178.0108206033624</v>
      </c>
      <c r="AB147" s="160">
        <f t="shared" si="45"/>
        <v>0.825720328500681</v>
      </c>
      <c r="AC147" s="164">
        <f t="shared" si="46"/>
        <v>0</v>
      </c>
      <c r="AD147" s="164">
        <f>IF(AND($C146=12,$D146=Input!$C$6),0,IF($E147="","",$AC147+AD148/(1+$L147)*$R147))</f>
        <v>2836.0795883903629</v>
      </c>
      <c r="AE147" s="152"/>
      <c r="AF147" s="164">
        <f>IF(AND($C146=12,$D146=Input!$C$6),0,IF($E147="","",IF($B147&gt;Input!$C$9,$AC147,0)+AF148/(1+$L147)*$R147))</f>
        <v>1840.0262716571017</v>
      </c>
      <c r="AG147" s="164">
        <f>IF(AND($C146=12,$D146=Input!$C$6),0,IF($E147="","",(IF($B147&gt;Input!$C$9,$X147,0)+AG148)/(1+$L147)*$R147))</f>
        <v>878.28841075643288</v>
      </c>
      <c r="AH147" s="160">
        <f t="shared" si="47"/>
        <v>2.0950137211446997</v>
      </c>
      <c r="AI147" s="160">
        <f>IF($E147="","",MIN(Input!$C$61/AH147,1))</f>
        <v>0.64438718771845094</v>
      </c>
      <c r="AJ147" s="152"/>
      <c r="AK147" s="164">
        <f>IF(AND($C146=12,$D146=Input!$C$6),0,IF($E147="","",IF($B147&gt;Input!$C$9,$AC147*AI147,0)+AK148/(1+$L147)*$R147))</f>
        <v>1185.6893545211867</v>
      </c>
      <c r="AL147" s="164">
        <f>IF(AND($C146=12,$D146=Input!$C$6),0,IF($E147="","",IF($B147&gt;Input!$C$9,0,$AC147)+AL148/(1+$L147)*$R147))</f>
        <v>996.0533167332627</v>
      </c>
      <c r="AM147" s="160">
        <f t="shared" si="48"/>
        <v>1.1382936520186004</v>
      </c>
      <c r="AN147" s="164">
        <f>IF($E147="","",IF($B147&gt;Input!$C$9,$AI147*$AC147,$AM147*$AC147))</f>
        <v>0</v>
      </c>
      <c r="AO147" s="164">
        <f>IF(AND($C146=12,$D146=Input!$C$6),0,IF($E147="","",$AN147+AO148/(1+$L147)*$R147))</f>
        <v>2319.4905220307323</v>
      </c>
      <c r="AP147" s="152"/>
      <c r="AQ147" s="164">
        <f t="shared" si="49"/>
        <v>858.52029857263005</v>
      </c>
      <c r="AR147" s="164">
        <f t="shared" si="58"/>
        <v>919.43222944287299</v>
      </c>
      <c r="AS147" s="164">
        <f t="shared" si="59"/>
        <v>120.57416267942584</v>
      </c>
      <c r="AT147" s="164">
        <f t="shared" si="50"/>
        <v>919.43222944287299</v>
      </c>
      <c r="AU147" s="152"/>
      <c r="AV147" s="147">
        <f>'Deterministic Reserve'!BC147</f>
        <v>0.55013922294709283</v>
      </c>
      <c r="AW147" s="164">
        <f t="shared" si="51"/>
        <v>919.43222944287299</v>
      </c>
      <c r="AX147" s="164">
        <f t="shared" si="52"/>
        <v>505.81573225821529</v>
      </c>
      <c r="AY147" s="152"/>
    </row>
    <row r="148" spans="1:51" s="150" customFormat="1" x14ac:dyDescent="0.25">
      <c r="A148" s="150">
        <f t="shared" si="60"/>
        <v>144</v>
      </c>
      <c r="B148" s="150">
        <f t="shared" si="61"/>
        <v>12</v>
      </c>
      <c r="C148" s="150">
        <f t="shared" si="62"/>
        <v>12</v>
      </c>
      <c r="D148" s="150">
        <f>IF(E148="","",Input!$C$4+B148-1)</f>
        <v>56</v>
      </c>
      <c r="E148" s="150">
        <f>IF(OR(AND(C147=12,D147=Input!$C$6),E147=""),"",1)</f>
        <v>1</v>
      </c>
      <c r="F148" s="150">
        <f>IF(E148="","",Input!$C$8+B148-1)</f>
        <v>2029</v>
      </c>
      <c r="G148" s="151">
        <f>IF(E148="","",MAX(0,Input!$C$9-B148))</f>
        <v>8</v>
      </c>
      <c r="H148" s="152">
        <f>IF(E148="","",Input!$C$3)</f>
        <v>100000</v>
      </c>
      <c r="I148" s="153">
        <f>IF(E148="","",HLOOKUP($B148,Input!$C$13:$BT$14,2))</f>
        <v>2.2999999999999998</v>
      </c>
      <c r="J148" s="154"/>
      <c r="K148" s="155">
        <f>IF($E148="","",Input!$C$57)</f>
        <v>4.4999999999999998E-2</v>
      </c>
      <c r="L148" s="155">
        <f t="shared" si="53"/>
        <v>3.6748094004368514E-3</v>
      </c>
      <c r="M148" s="147">
        <f>IF($E148="","",VLOOKUP(IF($B148&lt;=Input!$C$7,$B148,26),'Mortality Tables'!$A$72:$CA$97,IF($B148&lt;=Input!$C$7+1,Input!$C$4-16,$D148-Input!$C$7-16),0)/1000)</f>
        <v>2.5200000000000001E-3</v>
      </c>
      <c r="N148" s="147">
        <f t="shared" si="42"/>
        <v>2.1024294122451437E-4</v>
      </c>
      <c r="O148" s="157">
        <f>IF($E148="","",IF($C148=12,IF($B148&lt;Input!$C$9,Input!$C$54,IF($B148=Input!$C$9,Input!$C$55,Input!$C$56)),0%))</f>
        <v>0.06</v>
      </c>
      <c r="P148" s="167">
        <f>IF($E148="","",IF($B148=1,Input!$C$59,IF($B148&lt;6,Input!$C$60,0%)))</f>
        <v>0</v>
      </c>
      <c r="Q148" s="162">
        <f>IF($E148="","",Input!$C$58)</f>
        <v>2.5</v>
      </c>
      <c r="R148" s="156">
        <f t="shared" si="54"/>
        <v>0.93978975705877543</v>
      </c>
      <c r="S148" s="154">
        <f t="shared" si="43"/>
        <v>0.46840256359593357</v>
      </c>
      <c r="T148" s="152"/>
      <c r="U148" s="150">
        <f t="shared" si="55"/>
        <v>0</v>
      </c>
      <c r="V148" s="150">
        <f t="shared" si="56"/>
        <v>0</v>
      </c>
      <c r="W148" s="168">
        <f t="shared" si="57"/>
        <v>0</v>
      </c>
      <c r="X148" s="163">
        <f t="shared" si="44"/>
        <v>21.024294122451437</v>
      </c>
      <c r="Y148" s="152"/>
      <c r="Z148" s="164">
        <f>IF(AND($C147=12,$D147=Input!$C$6),0,IF($E148="","",V148+Z149/(1+L148)*R148))</f>
        <v>3448.020019340815</v>
      </c>
      <c r="AA148" s="164">
        <f>IF(OR($M148=1,AND($C147=12,$D147=Input!$C$6)),0,IF($E148="","",W148+(X148+AA149*$R148)/(1+$L148)))</f>
        <v>3169.3314400828322</v>
      </c>
      <c r="AB148" s="160">
        <f t="shared" si="45"/>
        <v>0.825720328500681</v>
      </c>
      <c r="AC148" s="164">
        <f t="shared" si="46"/>
        <v>0</v>
      </c>
      <c r="AD148" s="164">
        <f>IF(AND($C147=12,$D147=Input!$C$6),0,IF($E148="","",$AC148+AD149/(1+$L148)*$R148))</f>
        <v>2847.1002230470212</v>
      </c>
      <c r="AE148" s="152"/>
      <c r="AF148" s="164">
        <f>IF(AND($C147=12,$D147=Input!$C$6),0,IF($E148="","",IF($B148&gt;Input!$C$9,$AC148,0)+AF149/(1+$L148)*$R148))</f>
        <v>1847.1763732909192</v>
      </c>
      <c r="AG148" s="164">
        <f>IF(AND($C147=12,$D147=Input!$C$6),0,IF($E148="","",(IF($B148&gt;Input!$C$9,$X148,0)+AG149)/(1+$L148)*$R148))</f>
        <v>881.70132474437116</v>
      </c>
      <c r="AH148" s="160">
        <f t="shared" si="47"/>
        <v>2.0950137211446997</v>
      </c>
      <c r="AI148" s="160">
        <f>IF($E148="","",MIN(Input!$C$61/AH148,1))</f>
        <v>0.64438718771845094</v>
      </c>
      <c r="AJ148" s="152"/>
      <c r="AK148" s="164">
        <f>IF(AND($C147=12,$D147=Input!$C$6),0,IF($E148="","",IF($B148&gt;Input!$C$9,$AC148*AI148,0)+AK149/(1+$L148)*$R148))</f>
        <v>1190.2967884049033</v>
      </c>
      <c r="AL148" s="164">
        <f>IF(AND($C147=12,$D147=Input!$C$6),0,IF($E148="","",IF($B148&gt;Input!$C$9,0,$AC148)+AL149/(1+$L148)*$R148))</f>
        <v>999.92384975610366</v>
      </c>
      <c r="AM148" s="160">
        <f t="shared" si="48"/>
        <v>1.1382936520186004</v>
      </c>
      <c r="AN148" s="164">
        <f>IF($E148="","",IF($B148&gt;Input!$C$9,$AI148*$AC148,$AM148*$AC148))</f>
        <v>0</v>
      </c>
      <c r="AO148" s="164">
        <f>IF(AND($C147=12,$D147=Input!$C$6),0,IF($E148="","",$AN148+AO149/(1+$L148)*$R148))</f>
        <v>2328.5037590842771</v>
      </c>
      <c r="AP148" s="152"/>
      <c r="AQ148" s="164">
        <f t="shared" si="49"/>
        <v>840.82768099855502</v>
      </c>
      <c r="AR148" s="164">
        <f t="shared" si="58"/>
        <v>919.43222944287299</v>
      </c>
      <c r="AS148" s="164">
        <f t="shared" si="59"/>
        <v>120.57416267942584</v>
      </c>
      <c r="AT148" s="164">
        <f t="shared" si="50"/>
        <v>919.43222944287299</v>
      </c>
      <c r="AU148" s="152"/>
      <c r="AV148" s="147">
        <f>'Deterministic Reserve'!BC148</f>
        <v>0.53906141198286905</v>
      </c>
      <c r="AW148" s="164">
        <f t="shared" si="51"/>
        <v>919.43222944287299</v>
      </c>
      <c r="AX148" s="164">
        <f t="shared" si="52"/>
        <v>495.63043582603234</v>
      </c>
      <c r="AY148" s="152"/>
    </row>
    <row r="149" spans="1:51" s="150" customFormat="1" x14ac:dyDescent="0.25">
      <c r="A149" s="150">
        <f t="shared" si="60"/>
        <v>145</v>
      </c>
      <c r="B149" s="150">
        <f t="shared" si="61"/>
        <v>13</v>
      </c>
      <c r="C149" s="150">
        <f t="shared" si="62"/>
        <v>1</v>
      </c>
      <c r="D149" s="150">
        <f>IF(E149="","",Input!$C$4+B149-1)</f>
        <v>57</v>
      </c>
      <c r="E149" s="150">
        <f>IF(OR(AND(C148=12,D148=Input!$C$6),E148=""),"",1)</f>
        <v>1</v>
      </c>
      <c r="F149" s="150">
        <f>IF(E149="","",Input!$C$8+B149-1)</f>
        <v>2030</v>
      </c>
      <c r="G149" s="151">
        <f>IF(E149="","",MAX(0,Input!$C$9-B149))</f>
        <v>7</v>
      </c>
      <c r="H149" s="152">
        <f>IF(E149="","",Input!$C$3)</f>
        <v>100000</v>
      </c>
      <c r="I149" s="153">
        <f>IF(E149="","",HLOOKUP($B149,Input!$C$13:$BT$14,2))</f>
        <v>2.2999999999999998</v>
      </c>
      <c r="J149" s="154"/>
      <c r="K149" s="155">
        <f>IF($E149="","",Input!$C$57)</f>
        <v>4.4999999999999998E-2</v>
      </c>
      <c r="L149" s="155">
        <f t="shared" si="53"/>
        <v>3.6748094004368514E-3</v>
      </c>
      <c r="M149" s="147">
        <f>IF($E149="","",VLOOKUP(IF($B149&lt;=Input!$C$7,$B149,26),'Mortality Tables'!$A$72:$CA$97,IF($B149&lt;=Input!$C$7+1,Input!$C$4-16,$D149-Input!$C$7-16),0)/1000)</f>
        <v>2.8999999999999998E-3</v>
      </c>
      <c r="N149" s="147">
        <f t="shared" si="42"/>
        <v>2.419884783463333E-4</v>
      </c>
      <c r="O149" s="157">
        <f>IF($E149="","",IF($C149=12,IF($B149&lt;Input!$C$9,Input!$C$54,IF($B149=Input!$C$9,Input!$C$55,Input!$C$56)),0%))</f>
        <v>0</v>
      </c>
      <c r="P149" s="167">
        <f>IF($E149="","",IF($B149=1,Input!$C$59,IF($B149&lt;6,Input!$C$60,0%)))</f>
        <v>0</v>
      </c>
      <c r="Q149" s="162">
        <f>IF($E149="","",Input!$C$58)</f>
        <v>2.5</v>
      </c>
      <c r="R149" s="156">
        <f t="shared" si="54"/>
        <v>0.99975801152165367</v>
      </c>
      <c r="S149" s="154">
        <f t="shared" si="43"/>
        <v>0.46828921557231545</v>
      </c>
      <c r="T149" s="152"/>
      <c r="U149" s="150">
        <f t="shared" si="55"/>
        <v>229.99999999999997</v>
      </c>
      <c r="V149" s="150">
        <f t="shared" si="56"/>
        <v>229.99999999999997</v>
      </c>
      <c r="W149" s="168">
        <f t="shared" si="57"/>
        <v>0</v>
      </c>
      <c r="X149" s="163">
        <f t="shared" si="44"/>
        <v>24.19884783463333</v>
      </c>
      <c r="Y149" s="152"/>
      <c r="Z149" s="164">
        <f>IF(AND($C148=12,$D148=Input!$C$6),0,IF($E149="","",V149+Z150/(1+L149)*R149))</f>
        <v>3682.4096131368537</v>
      </c>
      <c r="AA149" s="164">
        <f>IF(OR($M149=1,AND($C148=12,$D148=Input!$C$6)),0,IF($E149="","",W149+(X149+AA150*$R149)/(1+$L149)))</f>
        <v>3362.4050604883005</v>
      </c>
      <c r="AB149" s="160">
        <f t="shared" si="45"/>
        <v>0.825720328500681</v>
      </c>
      <c r="AC149" s="164">
        <f t="shared" si="46"/>
        <v>189.91567555515661</v>
      </c>
      <c r="AD149" s="164">
        <f>IF(AND($C148=12,$D148=Input!$C$6),0,IF($E149="","",$AC149+AD150/(1+$L149)*$R149))</f>
        <v>3040.6404754334276</v>
      </c>
      <c r="AE149" s="152"/>
      <c r="AF149" s="164">
        <f>IF(AND($C148=12,$D148=Input!$C$6),0,IF($E149="","",IF($B149&gt;Input!$C$9,$AC149,0)+AF150/(1+$L149)*$R149))</f>
        <v>1972.7437764314818</v>
      </c>
      <c r="AG149" s="164">
        <f>IF(AND($C148=12,$D148=Input!$C$6),0,IF($E149="","",(IF($B149&gt;Input!$C$9,$X149,0)+AG150)/(1+$L149)*$R149))</f>
        <v>941.63764013611637</v>
      </c>
      <c r="AH149" s="160">
        <f t="shared" si="47"/>
        <v>2.0950137211446997</v>
      </c>
      <c r="AI149" s="160">
        <f>IF($E149="","",MIN(Input!$C$61/AH149,1))</f>
        <v>0.64438718771845094</v>
      </c>
      <c r="AJ149" s="152"/>
      <c r="AK149" s="164">
        <f>IF(AND($C148=12,$D148=Input!$C$6),0,IF($E149="","",IF($B149&gt;Input!$C$9,$AC149*AI149,0)+AK150/(1+$L149)*$R149))</f>
        <v>1271.2108141837593</v>
      </c>
      <c r="AL149" s="164">
        <f>IF(AND($C148=12,$D148=Input!$C$6),0,IF($E149="","",IF($B149&gt;Input!$C$9,0,$AC149)+AL150/(1+$L149)*$R149))</f>
        <v>1067.8966990019474</v>
      </c>
      <c r="AM149" s="160">
        <f t="shared" si="48"/>
        <v>1.1382936520186004</v>
      </c>
      <c r="AN149" s="164">
        <f>IF($E149="","",IF($B149&gt;Input!$C$9,$AI149*$AC149,$AM149*$AC149))</f>
        <v>216.17980790325885</v>
      </c>
      <c r="AO149" s="164">
        <f>IF(AND($C148=12,$D148=Input!$C$6),0,IF($E149="","",$AN149+AO150/(1+$L149)*$R149))</f>
        <v>2486.7908476692942</v>
      </c>
      <c r="AP149" s="152"/>
      <c r="AQ149" s="164">
        <f t="shared" si="49"/>
        <v>875.6142128190063</v>
      </c>
      <c r="AR149" s="164">
        <f t="shared" si="58"/>
        <v>962.62805696094915</v>
      </c>
      <c r="AS149" s="164">
        <f t="shared" si="59"/>
        <v>138.75598086124404</v>
      </c>
      <c r="AT149" s="164">
        <f t="shared" si="50"/>
        <v>962.62805696094915</v>
      </c>
      <c r="AU149" s="152"/>
      <c r="AV149" s="147">
        <f>'Deterministic Reserve'!BC149</f>
        <v>0.5389770790988796</v>
      </c>
      <c r="AW149" s="164">
        <f t="shared" si="51"/>
        <v>962.62805696094915</v>
      </c>
      <c r="AX149" s="164">
        <f t="shared" si="52"/>
        <v>518.83445839944227</v>
      </c>
      <c r="AY149" s="152"/>
    </row>
    <row r="150" spans="1:51" s="150" customFormat="1" x14ac:dyDescent="0.25">
      <c r="A150" s="150">
        <f t="shared" si="60"/>
        <v>146</v>
      </c>
      <c r="B150" s="150">
        <f t="shared" si="61"/>
        <v>13</v>
      </c>
      <c r="C150" s="150">
        <f t="shared" si="62"/>
        <v>2</v>
      </c>
      <c r="D150" s="150">
        <f>IF(E150="","",Input!$C$4+B150-1)</f>
        <v>57</v>
      </c>
      <c r="E150" s="150">
        <f>IF(OR(AND(C149=12,D149=Input!$C$6),E149=""),"",1)</f>
        <v>1</v>
      </c>
      <c r="F150" s="150">
        <f>IF(E150="","",Input!$C$8+B150-1)</f>
        <v>2030</v>
      </c>
      <c r="G150" s="151">
        <f>IF(E150="","",MAX(0,Input!$C$9-B150))</f>
        <v>7</v>
      </c>
      <c r="H150" s="152">
        <f>IF(E150="","",Input!$C$3)</f>
        <v>100000</v>
      </c>
      <c r="I150" s="153">
        <f>IF(E150="","",HLOOKUP($B150,Input!$C$13:$BT$14,2))</f>
        <v>2.2999999999999998</v>
      </c>
      <c r="J150" s="154"/>
      <c r="K150" s="155">
        <f>IF($E150="","",Input!$C$57)</f>
        <v>4.4999999999999998E-2</v>
      </c>
      <c r="L150" s="155">
        <f t="shared" si="53"/>
        <v>3.6748094004368514E-3</v>
      </c>
      <c r="M150" s="147">
        <f>IF($E150="","",VLOOKUP(IF($B150&lt;=Input!$C$7,$B150,26),'Mortality Tables'!$A$72:$CA$97,IF($B150&lt;=Input!$C$7+1,Input!$C$4-16,$D150-Input!$C$7-16),0)/1000)</f>
        <v>2.8999999999999998E-3</v>
      </c>
      <c r="N150" s="147">
        <f t="shared" si="42"/>
        <v>2.419884783463333E-4</v>
      </c>
      <c r="O150" s="157">
        <f>IF($E150="","",IF($C150=12,IF($B150&lt;Input!$C$9,Input!$C$54,IF($B150=Input!$C$9,Input!$C$55,Input!$C$56)),0%))</f>
        <v>0</v>
      </c>
      <c r="P150" s="167">
        <f>IF($E150="","",IF($B150=1,Input!$C$59,IF($B150&lt;6,Input!$C$60,0%)))</f>
        <v>0</v>
      </c>
      <c r="Q150" s="162">
        <f>IF($E150="","",Input!$C$58)</f>
        <v>2.5</v>
      </c>
      <c r="R150" s="156">
        <f t="shared" si="54"/>
        <v>0.99975801152165367</v>
      </c>
      <c r="S150" s="154">
        <f t="shared" si="43"/>
        <v>0.46817589497761314</v>
      </c>
      <c r="T150" s="152"/>
      <c r="U150" s="150">
        <f t="shared" si="55"/>
        <v>0</v>
      </c>
      <c r="V150" s="150">
        <f t="shared" si="56"/>
        <v>0</v>
      </c>
      <c r="W150" s="168">
        <f t="shared" si="57"/>
        <v>0</v>
      </c>
      <c r="X150" s="163">
        <f t="shared" si="44"/>
        <v>24.19884783463333</v>
      </c>
      <c r="Y150" s="152"/>
      <c r="Z150" s="164">
        <f>IF(AND($C149=12,$D149=Input!$C$6),0,IF($E150="","",V150+Z151/(1+L150)*R150))</f>
        <v>3465.9352768410577</v>
      </c>
      <c r="AA150" s="164">
        <f>IF(OR($M150=1,AND($C149=12,$D149=Input!$C$6)),0,IF($E150="","",W150+(X150+AA151*$R150)/(1+$L150)))</f>
        <v>3351.3734041284615</v>
      </c>
      <c r="AB150" s="160">
        <f t="shared" si="45"/>
        <v>0.825720328500681</v>
      </c>
      <c r="AC150" s="164">
        <f t="shared" si="46"/>
        <v>0</v>
      </c>
      <c r="AD150" s="164">
        <f>IF(AND($C149=12,$D149=Input!$C$6),0,IF($E150="","",$AC150+AD151/(1+$L150)*$R150))</f>
        <v>2861.893215355296</v>
      </c>
      <c r="AE150" s="152"/>
      <c r="AF150" s="164">
        <f>IF(AND($C149=12,$D149=Input!$C$6),0,IF($E150="","",IF($B150&gt;Input!$C$9,$AC150,0)+AF151/(1+$L150)*$R150))</f>
        <v>1980.4724853288969</v>
      </c>
      <c r="AG150" s="164">
        <f>IF(AND($C149=12,$D149=Input!$C$6),0,IF($E150="","",(IF($B150&gt;Input!$C$9,$X150,0)+AG151)/(1+$L150)*$R150))</f>
        <v>945.32673716656075</v>
      </c>
      <c r="AH150" s="160">
        <f t="shared" si="47"/>
        <v>2.0950137211446997</v>
      </c>
      <c r="AI150" s="160">
        <f>IF($E150="","",MIN(Input!$C$61/AH150,1))</f>
        <v>0.64438718771845094</v>
      </c>
      <c r="AJ150" s="152"/>
      <c r="AK150" s="164">
        <f>IF(AND($C149=12,$D149=Input!$C$6),0,IF($E150="","",IF($B150&gt;Input!$C$9,$AC150*AI150,0)+AK151/(1+$L150)*$R150))</f>
        <v>1276.1910951748594</v>
      </c>
      <c r="AL150" s="164">
        <f>IF(AND($C149=12,$D149=Input!$C$6),0,IF($E150="","",IF($B150&gt;Input!$C$9,0,$AC150)+AL151/(1+$L150)*$R150))</f>
        <v>881.42073002640007</v>
      </c>
      <c r="AM150" s="160">
        <f t="shared" si="48"/>
        <v>1.1382936520186004</v>
      </c>
      <c r="AN150" s="164">
        <f>IF($E150="","",IF($B150&gt;Input!$C$9,$AI150*$AC150,$AM150*$AC150))</f>
        <v>0</v>
      </c>
      <c r="AO150" s="164">
        <f>IF(AND($C149=12,$D149=Input!$C$6),0,IF($E150="","",$AN150+AO151/(1+$L150)*$R150))</f>
        <v>2279.5067169215113</v>
      </c>
      <c r="AP150" s="152"/>
      <c r="AQ150" s="164">
        <f t="shared" si="49"/>
        <v>1071.8666872069502</v>
      </c>
      <c r="AR150" s="164">
        <f t="shared" si="58"/>
        <v>962.62805696094915</v>
      </c>
      <c r="AS150" s="164">
        <f t="shared" si="59"/>
        <v>138.75598086124404</v>
      </c>
      <c r="AT150" s="164">
        <f t="shared" si="50"/>
        <v>962.62805696094915</v>
      </c>
      <c r="AU150" s="152"/>
      <c r="AV150" s="147">
        <f>'Deterministic Reserve'!BC150</f>
        <v>0.53889275940825765</v>
      </c>
      <c r="AW150" s="164">
        <f t="shared" si="51"/>
        <v>962.62805696094915</v>
      </c>
      <c r="AX150" s="164">
        <f t="shared" si="52"/>
        <v>518.75328989949526</v>
      </c>
      <c r="AY150" s="152"/>
    </row>
    <row r="151" spans="1:51" s="150" customFormat="1" x14ac:dyDescent="0.25">
      <c r="A151" s="150">
        <f t="shared" si="60"/>
        <v>147</v>
      </c>
      <c r="B151" s="150">
        <f t="shared" si="61"/>
        <v>13</v>
      </c>
      <c r="C151" s="150">
        <f t="shared" si="62"/>
        <v>3</v>
      </c>
      <c r="D151" s="150">
        <f>IF(E151="","",Input!$C$4+B151-1)</f>
        <v>57</v>
      </c>
      <c r="E151" s="150">
        <f>IF(OR(AND(C150=12,D150=Input!$C$6),E150=""),"",1)</f>
        <v>1</v>
      </c>
      <c r="F151" s="150">
        <f>IF(E151="","",Input!$C$8+B151-1)</f>
        <v>2030</v>
      </c>
      <c r="G151" s="151">
        <f>IF(E151="","",MAX(0,Input!$C$9-B151))</f>
        <v>7</v>
      </c>
      <c r="H151" s="152">
        <f>IF(E151="","",Input!$C$3)</f>
        <v>100000</v>
      </c>
      <c r="I151" s="153">
        <f>IF(E151="","",HLOOKUP($B151,Input!$C$13:$BT$14,2))</f>
        <v>2.2999999999999998</v>
      </c>
      <c r="J151" s="154"/>
      <c r="K151" s="155">
        <f>IF($E151="","",Input!$C$57)</f>
        <v>4.4999999999999998E-2</v>
      </c>
      <c r="L151" s="155">
        <f t="shared" si="53"/>
        <v>3.6748094004368514E-3</v>
      </c>
      <c r="M151" s="147">
        <f>IF($E151="","",VLOOKUP(IF($B151&lt;=Input!$C$7,$B151,26),'Mortality Tables'!$A$72:$CA$97,IF($B151&lt;=Input!$C$7+1,Input!$C$4-16,$D151-Input!$C$7-16),0)/1000)</f>
        <v>2.8999999999999998E-3</v>
      </c>
      <c r="N151" s="147">
        <f t="shared" si="42"/>
        <v>2.419884783463333E-4</v>
      </c>
      <c r="O151" s="157">
        <f>IF($E151="","",IF($C151=12,IF($B151&lt;Input!$C$9,Input!$C$54,IF($B151=Input!$C$9,Input!$C$55,Input!$C$56)),0%))</f>
        <v>0</v>
      </c>
      <c r="P151" s="167">
        <f>IF($E151="","",IF($B151=1,Input!$C$59,IF($B151&lt;6,Input!$C$60,0%)))</f>
        <v>0</v>
      </c>
      <c r="Q151" s="162">
        <f>IF($E151="","",Input!$C$58)</f>
        <v>2.5</v>
      </c>
      <c r="R151" s="156">
        <f t="shared" si="54"/>
        <v>0.99975801152165367</v>
      </c>
      <c r="S151" s="154">
        <f t="shared" si="43"/>
        <v>0.46806260180518905</v>
      </c>
      <c r="T151" s="152"/>
      <c r="U151" s="150">
        <f t="shared" si="55"/>
        <v>0</v>
      </c>
      <c r="V151" s="150">
        <f t="shared" si="56"/>
        <v>0</v>
      </c>
      <c r="W151" s="168">
        <f t="shared" si="57"/>
        <v>0</v>
      </c>
      <c r="X151" s="163">
        <f t="shared" si="44"/>
        <v>24.19884783463333</v>
      </c>
      <c r="Y151" s="152"/>
      <c r="Z151" s="164">
        <f>IF(AND($C150=12,$D150=Input!$C$6),0,IF($E151="","",V151+Z152/(1+L151)*R151))</f>
        <v>3479.5139306591636</v>
      </c>
      <c r="AA151" s="164">
        <f>IF(OR($M151=1,AND($C150=12,$D150=Input!$C$6)),0,IF($E151="","",W151+(X151+AA152*$R151)/(1+$L151)))</f>
        <v>3340.2985285418376</v>
      </c>
      <c r="AB151" s="160">
        <f t="shared" si="45"/>
        <v>0.825720328500681</v>
      </c>
      <c r="AC151" s="164">
        <f t="shared" si="46"/>
        <v>0</v>
      </c>
      <c r="AD151" s="164">
        <f>IF(AND($C150=12,$D150=Input!$C$6),0,IF($E151="","",$AC151+AD152/(1+$L151)*$R151))</f>
        <v>2873.1053858465798</v>
      </c>
      <c r="AE151" s="152"/>
      <c r="AF151" s="164">
        <f>IF(AND($C150=12,$D150=Input!$C$6),0,IF($E151="","",IF($B151&gt;Input!$C$9,$AC151,0)+AF152/(1+$L151)*$R151))</f>
        <v>1988.2314733441249</v>
      </c>
      <c r="AG151" s="164">
        <f>IF(AND($C150=12,$D150=Input!$C$6),0,IF($E151="","",(IF($B151&gt;Input!$C$9,$X151,0)+AG152)/(1+$L151)*$R151))</f>
        <v>949.03028714187474</v>
      </c>
      <c r="AH151" s="160">
        <f t="shared" si="47"/>
        <v>2.0950137211446997</v>
      </c>
      <c r="AI151" s="160">
        <f>IF($E151="","",MIN(Input!$C$61/AH151,1))</f>
        <v>0.64438718771845094</v>
      </c>
      <c r="AJ151" s="152"/>
      <c r="AK151" s="164">
        <f>IF(AND($C150=12,$D150=Input!$C$6),0,IF($E151="","",IF($B151&gt;Input!$C$9,$AC151*AI151,0)+AK152/(1+$L151)*$R151))</f>
        <v>1281.1908876415332</v>
      </c>
      <c r="AL151" s="164">
        <f>IF(AND($C150=12,$D150=Input!$C$6),0,IF($E151="","",IF($B151&gt;Input!$C$9,0,$AC151)+AL152/(1+$L151)*$R151))</f>
        <v>884.87391250245582</v>
      </c>
      <c r="AM151" s="160">
        <f t="shared" si="48"/>
        <v>1.1382936520186004</v>
      </c>
      <c r="AN151" s="164">
        <f>IF($E151="","",IF($B151&gt;Input!$C$9,$AI151*$AC151,$AM151*$AC151))</f>
        <v>0</v>
      </c>
      <c r="AO151" s="164">
        <f>IF(AND($C150=12,$D150=Input!$C$6),0,IF($E151="","",$AN151+AO152/(1+$L151)*$R151))</f>
        <v>2288.4372450799415</v>
      </c>
      <c r="AP151" s="152"/>
      <c r="AQ151" s="164">
        <f t="shared" si="49"/>
        <v>1051.8612834618962</v>
      </c>
      <c r="AR151" s="164">
        <f t="shared" si="58"/>
        <v>962.62805696094915</v>
      </c>
      <c r="AS151" s="164">
        <f t="shared" si="59"/>
        <v>138.75598086124404</v>
      </c>
      <c r="AT151" s="164">
        <f t="shared" si="50"/>
        <v>962.62805696094915</v>
      </c>
      <c r="AU151" s="152"/>
      <c r="AV151" s="147">
        <f>'Deterministic Reserve'!BC151</f>
        <v>0.53880845290893919</v>
      </c>
      <c r="AW151" s="164">
        <f t="shared" si="51"/>
        <v>962.62805696094915</v>
      </c>
      <c r="AX151" s="164">
        <f t="shared" si="52"/>
        <v>518.67213409786723</v>
      </c>
      <c r="AY151" s="152"/>
    </row>
    <row r="152" spans="1:51" s="150" customFormat="1" x14ac:dyDescent="0.25">
      <c r="A152" s="150">
        <f t="shared" si="60"/>
        <v>148</v>
      </c>
      <c r="B152" s="150">
        <f t="shared" si="61"/>
        <v>13</v>
      </c>
      <c r="C152" s="150">
        <f t="shared" si="62"/>
        <v>4</v>
      </c>
      <c r="D152" s="150">
        <f>IF(E152="","",Input!$C$4+B152-1)</f>
        <v>57</v>
      </c>
      <c r="E152" s="150">
        <f>IF(OR(AND(C151=12,D151=Input!$C$6),E151=""),"",1)</f>
        <v>1</v>
      </c>
      <c r="F152" s="150">
        <f>IF(E152="","",Input!$C$8+B152-1)</f>
        <v>2030</v>
      </c>
      <c r="G152" s="151">
        <f>IF(E152="","",MAX(0,Input!$C$9-B152))</f>
        <v>7</v>
      </c>
      <c r="H152" s="152">
        <f>IF(E152="","",Input!$C$3)</f>
        <v>100000</v>
      </c>
      <c r="I152" s="153">
        <f>IF(E152="","",HLOOKUP($B152,Input!$C$13:$BT$14,2))</f>
        <v>2.2999999999999998</v>
      </c>
      <c r="J152" s="154"/>
      <c r="K152" s="155">
        <f>IF($E152="","",Input!$C$57)</f>
        <v>4.4999999999999998E-2</v>
      </c>
      <c r="L152" s="155">
        <f t="shared" si="53"/>
        <v>3.6748094004368514E-3</v>
      </c>
      <c r="M152" s="147">
        <f>IF($E152="","",VLOOKUP(IF($B152&lt;=Input!$C$7,$B152,26),'Mortality Tables'!$A$72:$CA$97,IF($B152&lt;=Input!$C$7+1,Input!$C$4-16,$D152-Input!$C$7-16),0)/1000)</f>
        <v>2.8999999999999998E-3</v>
      </c>
      <c r="N152" s="147">
        <f t="shared" si="42"/>
        <v>2.419884783463333E-4</v>
      </c>
      <c r="O152" s="157">
        <f>IF($E152="","",IF($C152=12,IF($B152&lt;Input!$C$9,Input!$C$54,IF($B152=Input!$C$9,Input!$C$55,Input!$C$56)),0%))</f>
        <v>0</v>
      </c>
      <c r="P152" s="167">
        <f>IF($E152="","",IF($B152=1,Input!$C$59,IF($B152&lt;6,Input!$C$60,0%)))</f>
        <v>0</v>
      </c>
      <c r="Q152" s="162">
        <f>IF($E152="","",Input!$C$58)</f>
        <v>2.5</v>
      </c>
      <c r="R152" s="156">
        <f t="shared" si="54"/>
        <v>0.99975801152165367</v>
      </c>
      <c r="S152" s="154">
        <f t="shared" si="43"/>
        <v>0.46794933604840738</v>
      </c>
      <c r="T152" s="152"/>
      <c r="U152" s="150">
        <f t="shared" si="55"/>
        <v>0</v>
      </c>
      <c r="V152" s="150">
        <f t="shared" si="56"/>
        <v>0</v>
      </c>
      <c r="W152" s="168">
        <f t="shared" si="57"/>
        <v>0</v>
      </c>
      <c r="X152" s="163">
        <f t="shared" si="44"/>
        <v>24.19884783463333</v>
      </c>
      <c r="Y152" s="152"/>
      <c r="Z152" s="164">
        <f>IF(AND($C151=12,$D151=Input!$C$6),0,IF($E152="","",V152+Z153/(1+L152)*R152))</f>
        <v>3493.1457821929757</v>
      </c>
      <c r="AA152" s="164">
        <f>IF(OR($M152=1,AND($C151=12,$D151=Input!$C$6)),0,IF($E152="","",W152+(X152+AA153*$R152)/(1+$L152)))</f>
        <v>3329.1802644064796</v>
      </c>
      <c r="AB152" s="160">
        <f t="shared" si="45"/>
        <v>0.825720328500681</v>
      </c>
      <c r="AC152" s="164">
        <f t="shared" si="46"/>
        <v>0</v>
      </c>
      <c r="AD152" s="164">
        <f>IF(AND($C151=12,$D151=Input!$C$6),0,IF($E152="","",$AC152+AD153/(1+$L152)*$R152))</f>
        <v>2884.3614827731517</v>
      </c>
      <c r="AE152" s="152"/>
      <c r="AF152" s="164">
        <f>IF(AND($C151=12,$D151=Input!$C$6),0,IF($E152="","",IF($B152&gt;Input!$C$9,$AC152,0)+AF153/(1+$L152)*$R152))</f>
        <v>1996.0208591030562</v>
      </c>
      <c r="AG152" s="164">
        <f>IF(AND($C151=12,$D151=Input!$C$6),0,IF($E152="","",(IF($B152&gt;Input!$C$9,$X152,0)+AG153)/(1+$L152)*$R152))</f>
        <v>952.74834668502433</v>
      </c>
      <c r="AH152" s="160">
        <f t="shared" si="47"/>
        <v>2.0950137211446997</v>
      </c>
      <c r="AI152" s="160">
        <f>IF($E152="","",MIN(Input!$C$61/AH152,1))</f>
        <v>0.64438718771845094</v>
      </c>
      <c r="AJ152" s="152"/>
      <c r="AK152" s="164">
        <f>IF(AND($C151=12,$D151=Input!$C$6),0,IF($E152="","",IF($B152&gt;Input!$C$9,$AC152*AI152,0)+AK153/(1+$L152)*$R152))</f>
        <v>1286.2102680247851</v>
      </c>
      <c r="AL152" s="164">
        <f>IF(AND($C151=12,$D151=Input!$C$6),0,IF($E152="","",IF($B152&gt;Input!$C$9,0,$AC152)+AL153/(1+$L152)*$R152))</f>
        <v>888.34062367009642</v>
      </c>
      <c r="AM152" s="160">
        <f t="shared" si="48"/>
        <v>1.1382936520186004</v>
      </c>
      <c r="AN152" s="164">
        <f>IF($E152="","",IF($B152&gt;Input!$C$9,$AI152*$AC152,$AM152*$AC152))</f>
        <v>0</v>
      </c>
      <c r="AO152" s="164">
        <f>IF(AND($C151=12,$D151=Input!$C$6),0,IF($E152="","",$AN152+AO153/(1+$L152)*$R152))</f>
        <v>2297.4027607787007</v>
      </c>
      <c r="AP152" s="152"/>
      <c r="AQ152" s="164">
        <f t="shared" si="49"/>
        <v>1031.777503627779</v>
      </c>
      <c r="AR152" s="164">
        <f t="shared" si="58"/>
        <v>962.62805696094915</v>
      </c>
      <c r="AS152" s="164">
        <f t="shared" si="59"/>
        <v>138.75598086124404</v>
      </c>
      <c r="AT152" s="164">
        <f t="shared" si="50"/>
        <v>962.62805696094915</v>
      </c>
      <c r="AU152" s="152"/>
      <c r="AV152" s="147">
        <f>'Deterministic Reserve'!BC152</f>
        <v>0.53872415959886055</v>
      </c>
      <c r="AW152" s="164">
        <f t="shared" si="51"/>
        <v>962.62805696094915</v>
      </c>
      <c r="AX152" s="164">
        <f t="shared" si="52"/>
        <v>518.59099099257139</v>
      </c>
      <c r="AY152" s="152"/>
    </row>
    <row r="153" spans="1:51" s="150" customFormat="1" x14ac:dyDescent="0.25">
      <c r="A153" s="150">
        <f t="shared" si="60"/>
        <v>149</v>
      </c>
      <c r="B153" s="150">
        <f t="shared" si="61"/>
        <v>13</v>
      </c>
      <c r="C153" s="150">
        <f t="shared" si="62"/>
        <v>5</v>
      </c>
      <c r="D153" s="150">
        <f>IF(E153="","",Input!$C$4+B153-1)</f>
        <v>57</v>
      </c>
      <c r="E153" s="150">
        <f>IF(OR(AND(C152=12,D152=Input!$C$6),E152=""),"",1)</f>
        <v>1</v>
      </c>
      <c r="F153" s="150">
        <f>IF(E153="","",Input!$C$8+B153-1)</f>
        <v>2030</v>
      </c>
      <c r="G153" s="151">
        <f>IF(E153="","",MAX(0,Input!$C$9-B153))</f>
        <v>7</v>
      </c>
      <c r="H153" s="152">
        <f>IF(E153="","",Input!$C$3)</f>
        <v>100000</v>
      </c>
      <c r="I153" s="153">
        <f>IF(E153="","",HLOOKUP($B153,Input!$C$13:$BT$14,2))</f>
        <v>2.2999999999999998</v>
      </c>
      <c r="J153" s="154"/>
      <c r="K153" s="155">
        <f>IF($E153="","",Input!$C$57)</f>
        <v>4.4999999999999998E-2</v>
      </c>
      <c r="L153" s="155">
        <f t="shared" si="53"/>
        <v>3.6748094004368514E-3</v>
      </c>
      <c r="M153" s="147">
        <f>IF($E153="","",VLOOKUP(IF($B153&lt;=Input!$C$7,$B153,26),'Mortality Tables'!$A$72:$CA$97,IF($B153&lt;=Input!$C$7+1,Input!$C$4-16,$D153-Input!$C$7-16),0)/1000)</f>
        <v>2.8999999999999998E-3</v>
      </c>
      <c r="N153" s="147">
        <f t="shared" si="42"/>
        <v>2.419884783463333E-4</v>
      </c>
      <c r="O153" s="157">
        <f>IF($E153="","",IF($C153=12,IF($B153&lt;Input!$C$9,Input!$C$54,IF($B153=Input!$C$9,Input!$C$55,Input!$C$56)),0%))</f>
        <v>0</v>
      </c>
      <c r="P153" s="167">
        <f>IF($E153="","",IF($B153=1,Input!$C$59,IF($B153&lt;6,Input!$C$60,0%)))</f>
        <v>0</v>
      </c>
      <c r="Q153" s="162">
        <f>IF($E153="","",Input!$C$58)</f>
        <v>2.5</v>
      </c>
      <c r="R153" s="156">
        <f t="shared" si="54"/>
        <v>0.99975801152165367</v>
      </c>
      <c r="S153" s="154">
        <f t="shared" si="43"/>
        <v>0.46783609770063384</v>
      </c>
      <c r="T153" s="152"/>
      <c r="U153" s="150">
        <f t="shared" si="55"/>
        <v>0</v>
      </c>
      <c r="V153" s="150">
        <f t="shared" si="56"/>
        <v>0</v>
      </c>
      <c r="W153" s="168">
        <f t="shared" si="57"/>
        <v>0</v>
      </c>
      <c r="X153" s="163">
        <f t="shared" si="44"/>
        <v>24.19884783463333</v>
      </c>
      <c r="Y153" s="152"/>
      <c r="Z153" s="164">
        <f>IF(AND($C152=12,$D152=Input!$C$6),0,IF($E153="","",V153+Z154/(1+L153)*R153))</f>
        <v>3506.8310398576277</v>
      </c>
      <c r="AA153" s="164">
        <f>IF(OR($M153=1,AND($C152=12,$D152=Input!$C$6)),0,IF($E153="","",W153+(X153+AA154*$R153)/(1+$L153)))</f>
        <v>3318.018441737077</v>
      </c>
      <c r="AB153" s="160">
        <f t="shared" si="45"/>
        <v>0.825720328500681</v>
      </c>
      <c r="AC153" s="164">
        <f t="shared" si="46"/>
        <v>0</v>
      </c>
      <c r="AD153" s="164">
        <f>IF(AND($C152=12,$D152=Input!$C$6),0,IF($E153="","",$AC153+AD154/(1+$L153)*$R153))</f>
        <v>2895.6616782276246</v>
      </c>
      <c r="AE153" s="152"/>
      <c r="AF153" s="164">
        <f>IF(AND($C152=12,$D152=Input!$C$6),0,IF($E153="","",IF($B153&gt;Input!$C$9,$AC153,0)+AF154/(1+$L153)*$R153))</f>
        <v>2003.8407616963273</v>
      </c>
      <c r="AG153" s="164">
        <f>IF(AND($C152=12,$D152=Input!$C$6),0,IF($E153="","",(IF($B153&gt;Input!$C$9,$X153,0)+AG154)/(1+$L153)*$R153))</f>
        <v>956.48097264080968</v>
      </c>
      <c r="AH153" s="160">
        <f t="shared" si="47"/>
        <v>2.0950137211446997</v>
      </c>
      <c r="AI153" s="160">
        <f>IF($E153="","",MIN(Input!$C$61/AH153,1))</f>
        <v>0.64438718771845094</v>
      </c>
      <c r="AJ153" s="152"/>
      <c r="AK153" s="164">
        <f>IF(AND($C152=12,$D152=Input!$C$6),0,IF($E153="","",IF($B153&gt;Input!$C$9,$AC153*AI153,0)+AK154/(1+$L153)*$R153))</f>
        <v>1291.2493130650955</v>
      </c>
      <c r="AL153" s="164">
        <f>IF(AND($C152=12,$D152=Input!$C$6),0,IF($E153="","",IF($B153&gt;Input!$C$9,0,$AC153)+AL154/(1+$L153)*$R153))</f>
        <v>891.82091653129805</v>
      </c>
      <c r="AM153" s="160">
        <f t="shared" si="48"/>
        <v>1.1382936520186004</v>
      </c>
      <c r="AN153" s="164">
        <f>IF($E153="","",IF($B153&gt;Input!$C$9,$AI153*$AC153,$AM153*$AC153))</f>
        <v>0</v>
      </c>
      <c r="AO153" s="164">
        <f>IF(AND($C152=12,$D152=Input!$C$6),0,IF($E153="","",$AN153+AO154/(1+$L153)*$R153))</f>
        <v>2306.4034010900823</v>
      </c>
      <c r="AP153" s="152"/>
      <c r="AQ153" s="164">
        <f t="shared" si="49"/>
        <v>1011.6150406469947</v>
      </c>
      <c r="AR153" s="164">
        <f t="shared" si="58"/>
        <v>962.62805696094915</v>
      </c>
      <c r="AS153" s="164">
        <f t="shared" si="59"/>
        <v>138.75598086124404</v>
      </c>
      <c r="AT153" s="164">
        <f t="shared" si="50"/>
        <v>962.62805696094915</v>
      </c>
      <c r="AU153" s="152"/>
      <c r="AV153" s="147">
        <f>'Deterministic Reserve'!BC153</f>
        <v>0.53863987947595837</v>
      </c>
      <c r="AW153" s="164">
        <f t="shared" si="51"/>
        <v>962.62805696094915</v>
      </c>
      <c r="AX153" s="164">
        <f t="shared" si="52"/>
        <v>518.50986058162164</v>
      </c>
      <c r="AY153" s="152"/>
    </row>
    <row r="154" spans="1:51" s="150" customFormat="1" x14ac:dyDescent="0.25">
      <c r="A154" s="150">
        <f t="shared" si="60"/>
        <v>150</v>
      </c>
      <c r="B154" s="150">
        <f t="shared" si="61"/>
        <v>13</v>
      </c>
      <c r="C154" s="150">
        <f t="shared" si="62"/>
        <v>6</v>
      </c>
      <c r="D154" s="150">
        <f>IF(E154="","",Input!$C$4+B154-1)</f>
        <v>57</v>
      </c>
      <c r="E154" s="150">
        <f>IF(OR(AND(C153=12,D153=Input!$C$6),E153=""),"",1)</f>
        <v>1</v>
      </c>
      <c r="F154" s="150">
        <f>IF(E154="","",Input!$C$8+B154-1)</f>
        <v>2030</v>
      </c>
      <c r="G154" s="151">
        <f>IF(E154="","",MAX(0,Input!$C$9-B154))</f>
        <v>7</v>
      </c>
      <c r="H154" s="152">
        <f>IF(E154="","",Input!$C$3)</f>
        <v>100000</v>
      </c>
      <c r="I154" s="153">
        <f>IF(E154="","",HLOOKUP($B154,Input!$C$13:$BT$14,2))</f>
        <v>2.2999999999999998</v>
      </c>
      <c r="J154" s="154"/>
      <c r="K154" s="155">
        <f>IF($E154="","",Input!$C$57)</f>
        <v>4.4999999999999998E-2</v>
      </c>
      <c r="L154" s="155">
        <f t="shared" si="53"/>
        <v>3.6748094004368514E-3</v>
      </c>
      <c r="M154" s="147">
        <f>IF($E154="","",VLOOKUP(IF($B154&lt;=Input!$C$7,$B154,26),'Mortality Tables'!$A$72:$CA$97,IF($B154&lt;=Input!$C$7+1,Input!$C$4-16,$D154-Input!$C$7-16),0)/1000)</f>
        <v>2.8999999999999998E-3</v>
      </c>
      <c r="N154" s="147">
        <f t="shared" si="42"/>
        <v>2.419884783463333E-4</v>
      </c>
      <c r="O154" s="157">
        <f>IF($E154="","",IF($C154=12,IF($B154&lt;Input!$C$9,Input!$C$54,IF($B154=Input!$C$9,Input!$C$55,Input!$C$56)),0%))</f>
        <v>0</v>
      </c>
      <c r="P154" s="167">
        <f>IF($E154="","",IF($B154=1,Input!$C$59,IF($B154&lt;6,Input!$C$60,0%)))</f>
        <v>0</v>
      </c>
      <c r="Q154" s="162">
        <f>IF($E154="","",Input!$C$58)</f>
        <v>2.5</v>
      </c>
      <c r="R154" s="156">
        <f t="shared" si="54"/>
        <v>0.99975801152165367</v>
      </c>
      <c r="S154" s="154">
        <f t="shared" si="43"/>
        <v>0.46772288675523577</v>
      </c>
      <c r="T154" s="152"/>
      <c r="U154" s="150">
        <f t="shared" si="55"/>
        <v>0</v>
      </c>
      <c r="V154" s="150">
        <f t="shared" si="56"/>
        <v>0</v>
      </c>
      <c r="W154" s="168">
        <f t="shared" si="57"/>
        <v>0</v>
      </c>
      <c r="X154" s="163">
        <f t="shared" si="44"/>
        <v>24.19884783463333</v>
      </c>
      <c r="Y154" s="152"/>
      <c r="Z154" s="164">
        <f>IF(AND($C153=12,$D153=Input!$C$6),0,IF($E154="","",V154+Z155/(1+L154)*R154))</f>
        <v>3520.5699128847714</v>
      </c>
      <c r="AA154" s="164">
        <f>IF(OR($M154=1,AND($C153=12,$D153=Input!$C$6)),0,IF($E154="","",W154+(X154+AA155*$R154)/(1+$L154)))</f>
        <v>3306.8128898823602</v>
      </c>
      <c r="AB154" s="160">
        <f t="shared" si="45"/>
        <v>0.825720328500681</v>
      </c>
      <c r="AC154" s="164">
        <f t="shared" si="46"/>
        <v>0</v>
      </c>
      <c r="AD154" s="164">
        <f>IF(AND($C153=12,$D153=Input!$C$6),0,IF($E154="","",$AC154+AD155/(1+$L154)*$R154))</f>
        <v>2907.0061449768264</v>
      </c>
      <c r="AE154" s="152"/>
      <c r="AF154" s="164">
        <f>IF(AND($C153=12,$D153=Input!$C$6),0,IF($E154="","",IF($B154&gt;Input!$C$9,$AC154,0)+AF155/(1+$L154)*$R154))</f>
        <v>2011.6913006811419</v>
      </c>
      <c r="AG154" s="164">
        <f>IF(AND($C153=12,$D153=Input!$C$6),0,IF($E154="","",(IF($B154&gt;Input!$C$9,$X154,0)+AG155)/(1+$L154)*$R154))</f>
        <v>960.2282220767346</v>
      </c>
      <c r="AH154" s="160">
        <f t="shared" si="47"/>
        <v>2.0950137211446997</v>
      </c>
      <c r="AI154" s="160">
        <f>IF($E154="","",MIN(Input!$C$61/AH154,1))</f>
        <v>0.64438718771845094</v>
      </c>
      <c r="AJ154" s="152"/>
      <c r="AK154" s="164">
        <f>IF(AND($C153=12,$D153=Input!$C$6),0,IF($E154="","",IF($B154&gt;Input!$C$9,$AC154*AI154,0)+AK155/(1+$L154)*$R154))</f>
        <v>1296.3080998035944</v>
      </c>
      <c r="AL154" s="164">
        <f>IF(AND($C153=12,$D153=Input!$C$6),0,IF($E154="","",IF($B154&gt;Input!$C$9,0,$AC154)+AL155/(1+$L154)*$R154))</f>
        <v>895.31484429568548</v>
      </c>
      <c r="AM154" s="160">
        <f t="shared" si="48"/>
        <v>1.1382936520186004</v>
      </c>
      <c r="AN154" s="164">
        <f>IF($E154="","",IF($B154&gt;Input!$C$9,$AI154*$AC154,$AM154*$AC154))</f>
        <v>0</v>
      </c>
      <c r="AO154" s="164">
        <f>IF(AND($C153=12,$D153=Input!$C$6),0,IF($E154="","",$AN154+AO155/(1+$L154)*$R154))</f>
        <v>2315.4393036233946</v>
      </c>
      <c r="AP154" s="152"/>
      <c r="AQ154" s="164">
        <f t="shared" si="49"/>
        <v>991.37358625896559</v>
      </c>
      <c r="AR154" s="164">
        <f t="shared" si="58"/>
        <v>962.62805696094915</v>
      </c>
      <c r="AS154" s="164">
        <f t="shared" si="59"/>
        <v>138.75598086124404</v>
      </c>
      <c r="AT154" s="164">
        <f t="shared" si="50"/>
        <v>962.62805696094915</v>
      </c>
      <c r="AU154" s="152"/>
      <c r="AV154" s="147">
        <f>'Deterministic Reserve'!BC154</f>
        <v>0.53855561253816953</v>
      </c>
      <c r="AW154" s="164">
        <f t="shared" si="51"/>
        <v>962.62805696094915</v>
      </c>
      <c r="AX154" s="164">
        <f t="shared" si="52"/>
        <v>518.42874286303197</v>
      </c>
      <c r="AY154" s="152"/>
    </row>
    <row r="155" spans="1:51" s="150" customFormat="1" x14ac:dyDescent="0.25">
      <c r="A155" s="150">
        <f t="shared" si="60"/>
        <v>151</v>
      </c>
      <c r="B155" s="150">
        <f t="shared" si="61"/>
        <v>13</v>
      </c>
      <c r="C155" s="150">
        <f t="shared" si="62"/>
        <v>7</v>
      </c>
      <c r="D155" s="150">
        <f>IF(E155="","",Input!$C$4+B155-1)</f>
        <v>57</v>
      </c>
      <c r="E155" s="150">
        <f>IF(OR(AND(C154=12,D154=Input!$C$6),E154=""),"",1)</f>
        <v>1</v>
      </c>
      <c r="F155" s="150">
        <f>IF(E155="","",Input!$C$8+B155-1)</f>
        <v>2030</v>
      </c>
      <c r="G155" s="151">
        <f>IF(E155="","",MAX(0,Input!$C$9-B155))</f>
        <v>7</v>
      </c>
      <c r="H155" s="152">
        <f>IF(E155="","",Input!$C$3)</f>
        <v>100000</v>
      </c>
      <c r="I155" s="153">
        <f>IF(E155="","",HLOOKUP($B155,Input!$C$13:$BT$14,2))</f>
        <v>2.2999999999999998</v>
      </c>
      <c r="J155" s="154"/>
      <c r="K155" s="155">
        <f>IF($E155="","",Input!$C$57)</f>
        <v>4.4999999999999998E-2</v>
      </c>
      <c r="L155" s="155">
        <f t="shared" si="53"/>
        <v>3.6748094004368514E-3</v>
      </c>
      <c r="M155" s="147">
        <f>IF($E155="","",VLOOKUP(IF($B155&lt;=Input!$C$7,$B155,26),'Mortality Tables'!$A$72:$CA$97,IF($B155&lt;=Input!$C$7+1,Input!$C$4-16,$D155-Input!$C$7-16),0)/1000)</f>
        <v>2.8999999999999998E-3</v>
      </c>
      <c r="N155" s="147">
        <f t="shared" si="42"/>
        <v>2.419884783463333E-4</v>
      </c>
      <c r="O155" s="157">
        <f>IF($E155="","",IF($C155=12,IF($B155&lt;Input!$C$9,Input!$C$54,IF($B155=Input!$C$9,Input!$C$55,Input!$C$56)),0%))</f>
        <v>0</v>
      </c>
      <c r="P155" s="167">
        <f>IF($E155="","",IF($B155=1,Input!$C$59,IF($B155&lt;6,Input!$C$60,0%)))</f>
        <v>0</v>
      </c>
      <c r="Q155" s="162">
        <f>IF($E155="","",Input!$C$58)</f>
        <v>2.5</v>
      </c>
      <c r="R155" s="156">
        <f t="shared" si="54"/>
        <v>0.99975801152165367</v>
      </c>
      <c r="S155" s="154">
        <f t="shared" si="43"/>
        <v>0.46760970320558209</v>
      </c>
      <c r="T155" s="152"/>
      <c r="U155" s="150">
        <f t="shared" si="55"/>
        <v>0</v>
      </c>
      <c r="V155" s="150">
        <f t="shared" si="56"/>
        <v>0</v>
      </c>
      <c r="W155" s="168">
        <f t="shared" si="57"/>
        <v>0</v>
      </c>
      <c r="X155" s="163">
        <f t="shared" si="44"/>
        <v>24.19884783463333</v>
      </c>
      <c r="Y155" s="152"/>
      <c r="Z155" s="164">
        <f>IF(AND($C154=12,$D154=Input!$C$6),0,IF($E155="","",V155+Z156/(1+L155)*R155))</f>
        <v>3534.3626113257742</v>
      </c>
      <c r="AA155" s="164">
        <f>IF(OR($M155=1,AND($C154=12,$D154=Input!$C$6)),0,IF($E155="","",W155+(X155+AA156*$R155)/(1+$L155)))</f>
        <v>3295.5634375224922</v>
      </c>
      <c r="AB155" s="160">
        <f t="shared" si="45"/>
        <v>0.825720328500681</v>
      </c>
      <c r="AC155" s="164">
        <f t="shared" si="46"/>
        <v>0</v>
      </c>
      <c r="AD155" s="164">
        <f>IF(AND($C154=12,$D154=Input!$C$6),0,IF($E155="","",$AC155+AD156/(1+$L155)*$R155))</f>
        <v>2918.395056464442</v>
      </c>
      <c r="AE155" s="152"/>
      <c r="AF155" s="164">
        <f>IF(AND($C154=12,$D154=Input!$C$6),0,IF($E155="","",IF($B155&gt;Input!$C$9,$AC155,0)+AF156/(1+$L155)*$R155))</f>
        <v>2019.5725960830982</v>
      </c>
      <c r="AG155" s="164">
        <f>IF(AND($C154=12,$D154=Input!$C$6),0,IF($E155="","",(IF($B155&gt;Input!$C$9,$X155,0)+AG156)/(1+$L155)*$R155))</f>
        <v>963.99015228387907</v>
      </c>
      <c r="AH155" s="160">
        <f t="shared" si="47"/>
        <v>2.0950137211446997</v>
      </c>
      <c r="AI155" s="160">
        <f>IF($E155="","",MIN(Input!$C$61/AH155,1))</f>
        <v>0.64438718771845094</v>
      </c>
      <c r="AJ155" s="152"/>
      <c r="AK155" s="164">
        <f>IF(AND($C154=12,$D154=Input!$C$6),0,IF($E155="","",IF($B155&gt;Input!$C$9,$AC155*AI155,0)+AK156/(1+$L155)*$R155))</f>
        <v>1301.3867055832393</v>
      </c>
      <c r="AL155" s="164">
        <f>IF(AND($C154=12,$D154=Input!$C$6),0,IF($E155="","",IF($B155&gt;Input!$C$9,0,$AC155)+AL156/(1+$L155)*$R155))</f>
        <v>898.82246038134508</v>
      </c>
      <c r="AM155" s="160">
        <f t="shared" si="48"/>
        <v>1.1382936520186004</v>
      </c>
      <c r="AN155" s="164">
        <f>IF($E155="","",IF($B155&gt;Input!$C$9,$AI155*$AC155,$AM155*$AC155))</f>
        <v>0</v>
      </c>
      <c r="AO155" s="164">
        <f>IF(AND($C154=12,$D154=Input!$C$6),0,IF($E155="","",$AN155+AO156/(1+$L155)*$R155))</f>
        <v>2324.5106065270643</v>
      </c>
      <c r="AP155" s="152"/>
      <c r="AQ155" s="164">
        <f t="shared" si="49"/>
        <v>971.05283099542794</v>
      </c>
      <c r="AR155" s="164">
        <f t="shared" si="58"/>
        <v>962.62805696094915</v>
      </c>
      <c r="AS155" s="164">
        <f t="shared" si="59"/>
        <v>138.75598086124404</v>
      </c>
      <c r="AT155" s="164">
        <f t="shared" si="50"/>
        <v>962.62805696094915</v>
      </c>
      <c r="AU155" s="152"/>
      <c r="AV155" s="147">
        <f>'Deterministic Reserve'!BC155</f>
        <v>0.53847135878343133</v>
      </c>
      <c r="AW155" s="164">
        <f t="shared" si="51"/>
        <v>962.62805696094915</v>
      </c>
      <c r="AX155" s="164">
        <f t="shared" si="52"/>
        <v>518.34763783481662</v>
      </c>
      <c r="AY155" s="152"/>
    </row>
    <row r="156" spans="1:51" s="150" customFormat="1" x14ac:dyDescent="0.25">
      <c r="A156" s="150">
        <f t="shared" si="60"/>
        <v>152</v>
      </c>
      <c r="B156" s="150">
        <f t="shared" si="61"/>
        <v>13</v>
      </c>
      <c r="C156" s="150">
        <f t="shared" si="62"/>
        <v>8</v>
      </c>
      <c r="D156" s="150">
        <f>IF(E156="","",Input!$C$4+B156-1)</f>
        <v>57</v>
      </c>
      <c r="E156" s="150">
        <f>IF(OR(AND(C155=12,D155=Input!$C$6),E155=""),"",1)</f>
        <v>1</v>
      </c>
      <c r="F156" s="150">
        <f>IF(E156="","",Input!$C$8+B156-1)</f>
        <v>2030</v>
      </c>
      <c r="G156" s="151">
        <f>IF(E156="","",MAX(0,Input!$C$9-B156))</f>
        <v>7</v>
      </c>
      <c r="H156" s="152">
        <f>IF(E156="","",Input!$C$3)</f>
        <v>100000</v>
      </c>
      <c r="I156" s="153">
        <f>IF(E156="","",HLOOKUP($B156,Input!$C$13:$BT$14,2))</f>
        <v>2.2999999999999998</v>
      </c>
      <c r="J156" s="154"/>
      <c r="K156" s="155">
        <f>IF($E156="","",Input!$C$57)</f>
        <v>4.4999999999999998E-2</v>
      </c>
      <c r="L156" s="155">
        <f t="shared" si="53"/>
        <v>3.6748094004368514E-3</v>
      </c>
      <c r="M156" s="147">
        <f>IF($E156="","",VLOOKUP(IF($B156&lt;=Input!$C$7,$B156,26),'Mortality Tables'!$A$72:$CA$97,IF($B156&lt;=Input!$C$7+1,Input!$C$4-16,$D156-Input!$C$7-16),0)/1000)</f>
        <v>2.8999999999999998E-3</v>
      </c>
      <c r="N156" s="147">
        <f t="shared" si="42"/>
        <v>2.419884783463333E-4</v>
      </c>
      <c r="O156" s="157">
        <f>IF($E156="","",IF($C156=12,IF($B156&lt;Input!$C$9,Input!$C$54,IF($B156=Input!$C$9,Input!$C$55,Input!$C$56)),0%))</f>
        <v>0</v>
      </c>
      <c r="P156" s="167">
        <f>IF($E156="","",IF($B156=1,Input!$C$59,IF($B156&lt;6,Input!$C$60,0%)))</f>
        <v>0</v>
      </c>
      <c r="Q156" s="162">
        <f>IF($E156="","",Input!$C$58)</f>
        <v>2.5</v>
      </c>
      <c r="R156" s="156">
        <f t="shared" si="54"/>
        <v>0.99975801152165367</v>
      </c>
      <c r="S156" s="154">
        <f t="shared" si="43"/>
        <v>0.4674965470450434</v>
      </c>
      <c r="T156" s="152"/>
      <c r="U156" s="150">
        <f t="shared" si="55"/>
        <v>0</v>
      </c>
      <c r="V156" s="150">
        <f t="shared" si="56"/>
        <v>0</v>
      </c>
      <c r="W156" s="168">
        <f t="shared" si="57"/>
        <v>0</v>
      </c>
      <c r="X156" s="163">
        <f t="shared" si="44"/>
        <v>24.19884783463333</v>
      </c>
      <c r="Y156" s="152"/>
      <c r="Z156" s="164">
        <f>IF(AND($C155=12,$D155=Input!$C$6),0,IF($E156="","",V156+Z157/(1+L156)*R156))</f>
        <v>3548.2093460549327</v>
      </c>
      <c r="AA156" s="164">
        <f>IF(OR($M156=1,AND($C155=12,$D155=Input!$C$6)),0,IF($E156="","",W156+(X156+AA157*$R156)/(1+$L156)))</f>
        <v>3284.269912666447</v>
      </c>
      <c r="AB156" s="160">
        <f t="shared" si="45"/>
        <v>0.825720328500681</v>
      </c>
      <c r="AC156" s="164">
        <f t="shared" si="46"/>
        <v>0</v>
      </c>
      <c r="AD156" s="164">
        <f>IF(AND($C155=12,$D155=Input!$C$6),0,IF($E156="","",$AC156+AD157/(1+$L156)*$R156))</f>
        <v>2929.8285868136645</v>
      </c>
      <c r="AE156" s="152"/>
      <c r="AF156" s="164">
        <f>IF(AND($C155=12,$D155=Input!$C$6),0,IF($E156="","",IF($B156&gt;Input!$C$9,$AC156,0)+AF157/(1+$L156)*$R156))</f>
        <v>2027.484768398024</v>
      </c>
      <c r="AG156" s="164">
        <f>IF(AND($C155=12,$D155=Input!$C$6),0,IF($E156="","",(IF($B156&gt;Input!$C$9,$X156,0)+AG157)/(1+$L156)*$R156))</f>
        <v>967.76682077777457</v>
      </c>
      <c r="AH156" s="160">
        <f t="shared" si="47"/>
        <v>2.0950137211446997</v>
      </c>
      <c r="AI156" s="160">
        <f>IF($E156="","",MIN(Input!$C$61/AH156,1))</f>
        <v>0.64438718771845094</v>
      </c>
      <c r="AJ156" s="152"/>
      <c r="AK156" s="164">
        <f>IF(AND($C155=12,$D155=Input!$C$6),0,IF($E156="","",IF($B156&gt;Input!$C$9,$AC156*AI156,0)+AK157/(1+$L156)*$R156))</f>
        <v>1306.4852080499982</v>
      </c>
      <c r="AL156" s="164">
        <f>IF(AND($C155=12,$D155=Input!$C$6),0,IF($E156="","",IF($B156&gt;Input!$C$9,0,$AC156)+AL157/(1+$L156)*$R156))</f>
        <v>902.34381841564186</v>
      </c>
      <c r="AM156" s="160">
        <f t="shared" si="48"/>
        <v>1.1382936520186004</v>
      </c>
      <c r="AN156" s="164">
        <f>IF($E156="","",IF($B156&gt;Input!$C$9,$AI156*$AC156,$AM156*$AC156))</f>
        <v>0</v>
      </c>
      <c r="AO156" s="164">
        <f>IF(AND($C155=12,$D155=Input!$C$6),0,IF($E156="","",$AN156+AO157/(1+$L156)*$R156))</f>
        <v>2333.6174484907478</v>
      </c>
      <c r="AP156" s="152"/>
      <c r="AQ156" s="164">
        <f t="shared" si="49"/>
        <v>950.65246417569915</v>
      </c>
      <c r="AR156" s="164">
        <f t="shared" si="58"/>
        <v>962.62805696094915</v>
      </c>
      <c r="AS156" s="164">
        <f t="shared" si="59"/>
        <v>138.75598086124404</v>
      </c>
      <c r="AT156" s="164">
        <f t="shared" si="50"/>
        <v>962.62805696094915</v>
      </c>
      <c r="AU156" s="152"/>
      <c r="AV156" s="147">
        <f>'Deterministic Reserve'!BC156</f>
        <v>0.53838711820968133</v>
      </c>
      <c r="AW156" s="164">
        <f t="shared" si="51"/>
        <v>962.62805696094915</v>
      </c>
      <c r="AX156" s="164">
        <f t="shared" si="52"/>
        <v>518.2665454949904</v>
      </c>
      <c r="AY156" s="152"/>
    </row>
    <row r="157" spans="1:51" s="150" customFormat="1" x14ac:dyDescent="0.25">
      <c r="A157" s="150">
        <f t="shared" si="60"/>
        <v>153</v>
      </c>
      <c r="B157" s="150">
        <f t="shared" si="61"/>
        <v>13</v>
      </c>
      <c r="C157" s="150">
        <f t="shared" si="62"/>
        <v>9</v>
      </c>
      <c r="D157" s="150">
        <f>IF(E157="","",Input!$C$4+B157-1)</f>
        <v>57</v>
      </c>
      <c r="E157" s="150">
        <f>IF(OR(AND(C156=12,D156=Input!$C$6),E156=""),"",1)</f>
        <v>1</v>
      </c>
      <c r="F157" s="150">
        <f>IF(E157="","",Input!$C$8+B157-1)</f>
        <v>2030</v>
      </c>
      <c r="G157" s="151">
        <f>IF(E157="","",MAX(0,Input!$C$9-B157))</f>
        <v>7</v>
      </c>
      <c r="H157" s="152">
        <f>IF(E157="","",Input!$C$3)</f>
        <v>100000</v>
      </c>
      <c r="I157" s="153">
        <f>IF(E157="","",HLOOKUP($B157,Input!$C$13:$BT$14,2))</f>
        <v>2.2999999999999998</v>
      </c>
      <c r="J157" s="154"/>
      <c r="K157" s="155">
        <f>IF($E157="","",Input!$C$57)</f>
        <v>4.4999999999999998E-2</v>
      </c>
      <c r="L157" s="155">
        <f t="shared" si="53"/>
        <v>3.6748094004368514E-3</v>
      </c>
      <c r="M157" s="147">
        <f>IF($E157="","",VLOOKUP(IF($B157&lt;=Input!$C$7,$B157,26),'Mortality Tables'!$A$72:$CA$97,IF($B157&lt;=Input!$C$7+1,Input!$C$4-16,$D157-Input!$C$7-16),0)/1000)</f>
        <v>2.8999999999999998E-3</v>
      </c>
      <c r="N157" s="147">
        <f t="shared" si="42"/>
        <v>2.419884783463333E-4</v>
      </c>
      <c r="O157" s="157">
        <f>IF($E157="","",IF($C157=12,IF($B157&lt;Input!$C$9,Input!$C$54,IF($B157=Input!$C$9,Input!$C$55,Input!$C$56)),0%))</f>
        <v>0</v>
      </c>
      <c r="P157" s="167">
        <f>IF($E157="","",IF($B157=1,Input!$C$59,IF($B157&lt;6,Input!$C$60,0%)))</f>
        <v>0</v>
      </c>
      <c r="Q157" s="162">
        <f>IF($E157="","",Input!$C$58)</f>
        <v>2.5</v>
      </c>
      <c r="R157" s="156">
        <f t="shared" si="54"/>
        <v>0.99975801152165367</v>
      </c>
      <c r="S157" s="154">
        <f t="shared" si="43"/>
        <v>0.46738341826699181</v>
      </c>
      <c r="T157" s="152"/>
      <c r="U157" s="150">
        <f t="shared" si="55"/>
        <v>0</v>
      </c>
      <c r="V157" s="150">
        <f t="shared" si="56"/>
        <v>0</v>
      </c>
      <c r="W157" s="168">
        <f t="shared" si="57"/>
        <v>0</v>
      </c>
      <c r="X157" s="163">
        <f t="shared" si="44"/>
        <v>24.19884783463333</v>
      </c>
      <c r="Y157" s="152"/>
      <c r="Z157" s="164">
        <f>IF(AND($C156=12,$D156=Input!$C$6),0,IF($E157="","",V157+Z158/(1+L157)*R157))</f>
        <v>3562.1103287726946</v>
      </c>
      <c r="AA157" s="164">
        <f>IF(OR($M157=1,AND($C156=12,$D156=Input!$C$6)),0,IF($E157="","",W157+(X157+AA158*$R157)/(1+$L157)))</f>
        <v>3272.9321426493825</v>
      </c>
      <c r="AB157" s="160">
        <f t="shared" si="45"/>
        <v>0.825720328500681</v>
      </c>
      <c r="AC157" s="164">
        <f t="shared" si="46"/>
        <v>0</v>
      </c>
      <c r="AD157" s="164">
        <f>IF(AND($C156=12,$D156=Input!$C$6),0,IF($E157="","",$AC157+AD158/(1+$L157)*$R157))</f>
        <v>2941.3069108298573</v>
      </c>
      <c r="AE157" s="152"/>
      <c r="AF157" s="164">
        <f>IF(AND($C156=12,$D156=Input!$C$6),0,IF($E157="","",IF($B157&gt;Input!$C$9,$AC157,0)+AF158/(1+$L157)*$R157))</f>
        <v>2035.4279385938194</v>
      </c>
      <c r="AG157" s="164">
        <f>IF(AND($C156=12,$D156=Input!$C$6),0,IF($E157="","",(IF($B157&gt;Input!$C$9,$X157,0)+AG158)/(1+$L157)*$R157))</f>
        <v>971.55828529928397</v>
      </c>
      <c r="AH157" s="160">
        <f t="shared" si="47"/>
        <v>2.0950137211446997</v>
      </c>
      <c r="AI157" s="160">
        <f>IF($E157="","",MIN(Input!$C$61/AH157,1))</f>
        <v>0.64438718771845094</v>
      </c>
      <c r="AJ157" s="152"/>
      <c r="AK157" s="164">
        <f>IF(AND($C156=12,$D156=Input!$C$6),0,IF($E157="","",IF($B157&gt;Input!$C$9,$AC157*AI157,0)+AK158/(1+$L157)*$R157))</f>
        <v>1311.6036851540359</v>
      </c>
      <c r="AL157" s="164">
        <f>IF(AND($C156=12,$D156=Input!$C$6),0,IF($E157="","",IF($B157&gt;Input!$C$9,0,$AC157)+AL158/(1+$L157)*$R157))</f>
        <v>905.87897223603909</v>
      </c>
      <c r="AM157" s="160">
        <f t="shared" si="48"/>
        <v>1.1382936520186004</v>
      </c>
      <c r="AN157" s="164">
        <f>IF($E157="","",IF($B157&gt;Input!$C$9,$AI157*$AC157,$AM157*$AC157))</f>
        <v>0</v>
      </c>
      <c r="AO157" s="164">
        <f>IF(AND($C156=12,$D156=Input!$C$6),0,IF($E157="","",$AN157+AO158/(1+$L157)*$R157))</f>
        <v>2342.7599687474531</v>
      </c>
      <c r="AP157" s="152"/>
      <c r="AQ157" s="164">
        <f t="shared" si="49"/>
        <v>930.17217390192945</v>
      </c>
      <c r="AR157" s="164">
        <f t="shared" si="58"/>
        <v>962.62805696094915</v>
      </c>
      <c r="AS157" s="164">
        <f t="shared" si="59"/>
        <v>138.75598086124404</v>
      </c>
      <c r="AT157" s="164">
        <f t="shared" si="50"/>
        <v>962.62805696094915</v>
      </c>
      <c r="AU157" s="152"/>
      <c r="AV157" s="147">
        <f>'Deterministic Reserve'!BC157</f>
        <v>0.53830289081485749</v>
      </c>
      <c r="AW157" s="164">
        <f t="shared" si="51"/>
        <v>962.62805696094915</v>
      </c>
      <c r="AX157" s="164">
        <f t="shared" si="52"/>
        <v>518.1854658415682</v>
      </c>
      <c r="AY157" s="152"/>
    </row>
    <row r="158" spans="1:51" s="150" customFormat="1" x14ac:dyDescent="0.25">
      <c r="A158" s="150">
        <f t="shared" si="60"/>
        <v>154</v>
      </c>
      <c r="B158" s="150">
        <f t="shared" si="61"/>
        <v>13</v>
      </c>
      <c r="C158" s="150">
        <f t="shared" si="62"/>
        <v>10</v>
      </c>
      <c r="D158" s="150">
        <f>IF(E158="","",Input!$C$4+B158-1)</f>
        <v>57</v>
      </c>
      <c r="E158" s="150">
        <f>IF(OR(AND(C157=12,D157=Input!$C$6),E157=""),"",1)</f>
        <v>1</v>
      </c>
      <c r="F158" s="150">
        <f>IF(E158="","",Input!$C$8+B158-1)</f>
        <v>2030</v>
      </c>
      <c r="G158" s="151">
        <f>IF(E158="","",MAX(0,Input!$C$9-B158))</f>
        <v>7</v>
      </c>
      <c r="H158" s="152">
        <f>IF(E158="","",Input!$C$3)</f>
        <v>100000</v>
      </c>
      <c r="I158" s="153">
        <f>IF(E158="","",HLOOKUP($B158,Input!$C$13:$BT$14,2))</f>
        <v>2.2999999999999998</v>
      </c>
      <c r="J158" s="154"/>
      <c r="K158" s="155">
        <f>IF($E158="","",Input!$C$57)</f>
        <v>4.4999999999999998E-2</v>
      </c>
      <c r="L158" s="155">
        <f t="shared" si="53"/>
        <v>3.6748094004368514E-3</v>
      </c>
      <c r="M158" s="147">
        <f>IF($E158="","",VLOOKUP(IF($B158&lt;=Input!$C$7,$B158,26),'Mortality Tables'!$A$72:$CA$97,IF($B158&lt;=Input!$C$7+1,Input!$C$4-16,$D158-Input!$C$7-16),0)/1000)</f>
        <v>2.8999999999999998E-3</v>
      </c>
      <c r="N158" s="147">
        <f t="shared" si="42"/>
        <v>2.419884783463333E-4</v>
      </c>
      <c r="O158" s="157">
        <f>IF($E158="","",IF($C158=12,IF($B158&lt;Input!$C$9,Input!$C$54,IF($B158=Input!$C$9,Input!$C$55,Input!$C$56)),0%))</f>
        <v>0</v>
      </c>
      <c r="P158" s="167">
        <f>IF($E158="","",IF($B158=1,Input!$C$59,IF($B158&lt;6,Input!$C$60,0%)))</f>
        <v>0</v>
      </c>
      <c r="Q158" s="162">
        <f>IF($E158="","",Input!$C$58)</f>
        <v>2.5</v>
      </c>
      <c r="R158" s="156">
        <f t="shared" si="54"/>
        <v>0.99975801152165367</v>
      </c>
      <c r="S158" s="154">
        <f t="shared" si="43"/>
        <v>0.46727031686480108</v>
      </c>
      <c r="T158" s="152"/>
      <c r="U158" s="150">
        <f t="shared" si="55"/>
        <v>0</v>
      </c>
      <c r="V158" s="150">
        <f t="shared" si="56"/>
        <v>0</v>
      </c>
      <c r="W158" s="168">
        <f t="shared" si="57"/>
        <v>0</v>
      </c>
      <c r="X158" s="163">
        <f t="shared" si="44"/>
        <v>24.19884783463333</v>
      </c>
      <c r="Y158" s="152"/>
      <c r="Z158" s="164">
        <f>IF(AND($C157=12,$D157=Input!$C$6),0,IF($E158="","",V158+Z159/(1+L158)*R158))</f>
        <v>3576.0657720088966</v>
      </c>
      <c r="AA158" s="164">
        <f>IF(OR($M158=1,AND($C157=12,$D157=Input!$C$6)),0,IF($E158="","",W158+(X158+AA159*$R158)/(1+$L158)))</f>
        <v>3261.5499541299996</v>
      </c>
      <c r="AB158" s="160">
        <f t="shared" si="45"/>
        <v>0.825720328500681</v>
      </c>
      <c r="AC158" s="164">
        <f t="shared" si="46"/>
        <v>0</v>
      </c>
      <c r="AD158" s="164">
        <f>IF(AND($C157=12,$D157=Input!$C$6),0,IF($E158="","",$AC158+AD159/(1+$L158)*$R158))</f>
        <v>2952.8302040032268</v>
      </c>
      <c r="AE158" s="152"/>
      <c r="AF158" s="164">
        <f>IF(AND($C157=12,$D157=Input!$C$6),0,IF($E158="","",IF($B158&gt;Input!$C$9,$AC158,0)+AF159/(1+$L158)*$R158))</f>
        <v>2043.4022281123061</v>
      </c>
      <c r="AG158" s="164">
        <f>IF(AND($C157=12,$D157=Input!$C$6),0,IF($E158="","",(IF($B158&gt;Input!$C$9,$X158,0)+AG159)/(1+$L158)*$R158))</f>
        <v>975.3646038154842</v>
      </c>
      <c r="AH158" s="160">
        <f t="shared" si="47"/>
        <v>2.0950137211446997</v>
      </c>
      <c r="AI158" s="160">
        <f>IF($E158="","",MIN(Input!$C$61/AH158,1))</f>
        <v>0.64438718771845094</v>
      </c>
      <c r="AJ158" s="152"/>
      <c r="AK158" s="164">
        <f>IF(AND($C157=12,$D157=Input!$C$6),0,IF($E158="","",IF($B158&gt;Input!$C$9,$AC158*AI158,0)+AK159/(1+$L158)*$R158))</f>
        <v>1316.7422151509063</v>
      </c>
      <c r="AL158" s="164">
        <f>IF(AND($C157=12,$D157=Input!$C$6),0,IF($E158="","",IF($B158&gt;Input!$C$9,0,$AC158)+AL159/(1+$L158)*$R158))</f>
        <v>909.42797589092152</v>
      </c>
      <c r="AM158" s="160">
        <f t="shared" si="48"/>
        <v>1.1382936520186004</v>
      </c>
      <c r="AN158" s="164">
        <f>IF($E158="","",IF($B158&gt;Input!$C$9,$AI158*$AC158,$AM158*$AC158))</f>
        <v>0</v>
      </c>
      <c r="AO158" s="164">
        <f>IF(AND($C157=12,$D157=Input!$C$6),0,IF($E158="","",$AN158+AO159/(1+$L158)*$R158))</f>
        <v>2351.9383070756671</v>
      </c>
      <c r="AP158" s="152"/>
      <c r="AQ158" s="164">
        <f t="shared" si="49"/>
        <v>909.61164705433248</v>
      </c>
      <c r="AR158" s="164">
        <f t="shared" si="58"/>
        <v>962.62805696094915</v>
      </c>
      <c r="AS158" s="164">
        <f t="shared" si="59"/>
        <v>138.75598086124404</v>
      </c>
      <c r="AT158" s="164">
        <f t="shared" si="50"/>
        <v>962.62805696094915</v>
      </c>
      <c r="AU158" s="152"/>
      <c r="AV158" s="147">
        <f>'Deterministic Reserve'!BC158</f>
        <v>0.53821867659689804</v>
      </c>
      <c r="AW158" s="164">
        <f t="shared" si="51"/>
        <v>962.62805696094915</v>
      </c>
      <c r="AX158" s="164">
        <f t="shared" si="52"/>
        <v>518.10439887256541</v>
      </c>
      <c r="AY158" s="152"/>
    </row>
    <row r="159" spans="1:51" s="150" customFormat="1" x14ac:dyDescent="0.25">
      <c r="A159" s="150">
        <f t="shared" si="60"/>
        <v>155</v>
      </c>
      <c r="B159" s="150">
        <f t="shared" si="61"/>
        <v>13</v>
      </c>
      <c r="C159" s="150">
        <f t="shared" si="62"/>
        <v>11</v>
      </c>
      <c r="D159" s="150">
        <f>IF(E159="","",Input!$C$4+B159-1)</f>
        <v>57</v>
      </c>
      <c r="E159" s="150">
        <f>IF(OR(AND(C158=12,D158=Input!$C$6),E158=""),"",1)</f>
        <v>1</v>
      </c>
      <c r="F159" s="150">
        <f>IF(E159="","",Input!$C$8+B159-1)</f>
        <v>2030</v>
      </c>
      <c r="G159" s="151">
        <f>IF(E159="","",MAX(0,Input!$C$9-B159))</f>
        <v>7</v>
      </c>
      <c r="H159" s="152">
        <f>IF(E159="","",Input!$C$3)</f>
        <v>100000</v>
      </c>
      <c r="I159" s="153">
        <f>IF(E159="","",HLOOKUP($B159,Input!$C$13:$BT$14,2))</f>
        <v>2.2999999999999998</v>
      </c>
      <c r="J159" s="154"/>
      <c r="K159" s="155">
        <f>IF($E159="","",Input!$C$57)</f>
        <v>4.4999999999999998E-2</v>
      </c>
      <c r="L159" s="155">
        <f t="shared" si="53"/>
        <v>3.6748094004368514E-3</v>
      </c>
      <c r="M159" s="147">
        <f>IF($E159="","",VLOOKUP(IF($B159&lt;=Input!$C$7,$B159,26),'Mortality Tables'!$A$72:$CA$97,IF($B159&lt;=Input!$C$7+1,Input!$C$4-16,$D159-Input!$C$7-16),0)/1000)</f>
        <v>2.8999999999999998E-3</v>
      </c>
      <c r="N159" s="147">
        <f t="shared" si="42"/>
        <v>2.419884783463333E-4</v>
      </c>
      <c r="O159" s="157">
        <f>IF($E159="","",IF($C159=12,IF($B159&lt;Input!$C$9,Input!$C$54,IF($B159=Input!$C$9,Input!$C$55,Input!$C$56)),0%))</f>
        <v>0</v>
      </c>
      <c r="P159" s="167">
        <f>IF($E159="","",IF($B159=1,Input!$C$59,IF($B159&lt;6,Input!$C$60,0%)))</f>
        <v>0</v>
      </c>
      <c r="Q159" s="162">
        <f>IF($E159="","",Input!$C$58)</f>
        <v>2.5</v>
      </c>
      <c r="R159" s="156">
        <f t="shared" si="54"/>
        <v>0.99975801152165367</v>
      </c>
      <c r="S159" s="154">
        <f t="shared" si="43"/>
        <v>0.46715724283184656</v>
      </c>
      <c r="T159" s="152"/>
      <c r="U159" s="150">
        <f t="shared" si="55"/>
        <v>0</v>
      </c>
      <c r="V159" s="150">
        <f t="shared" si="56"/>
        <v>0</v>
      </c>
      <c r="W159" s="168">
        <f t="shared" si="57"/>
        <v>0</v>
      </c>
      <c r="X159" s="163">
        <f t="shared" si="44"/>
        <v>24.19884783463333</v>
      </c>
      <c r="Y159" s="152"/>
      <c r="Z159" s="164">
        <f>IF(AND($C158=12,$D158=Input!$C$6),0,IF($E159="","",V159+Z160/(1+L159)*R159))</f>
        <v>3590.075889126013</v>
      </c>
      <c r="AA159" s="164">
        <f>IF(OR($M159=1,AND($C158=12,$D158=Input!$C$6)),0,IF($E159="","",W159+(X159+AA160*$R159)/(1+$L159)))</f>
        <v>3250.1231730878912</v>
      </c>
      <c r="AB159" s="160">
        <f t="shared" si="45"/>
        <v>0.825720328500681</v>
      </c>
      <c r="AC159" s="164">
        <f t="shared" si="46"/>
        <v>0</v>
      </c>
      <c r="AD159" s="164">
        <f>IF(AND($C158=12,$D158=Input!$C$6),0,IF($E159="","",$AC159+AD160/(1+$L159)*$R159))</f>
        <v>2964.3986425115049</v>
      </c>
      <c r="AE159" s="152"/>
      <c r="AF159" s="164">
        <f>IF(AND($C158=12,$D158=Input!$C$6),0,IF($E159="","",IF($B159&gt;Input!$C$9,$AC159,0)+AF160/(1+$L159)*$R159))</f>
        <v>2051.4077588710838</v>
      </c>
      <c r="AG159" s="164">
        <f>IF(AND($C158=12,$D158=Input!$C$6),0,IF($E159="","",(IF($B159&gt;Input!$C$9,$X159,0)+AG160)/(1+$L159)*$R159))</f>
        <v>979.18583452055259</v>
      </c>
      <c r="AH159" s="160">
        <f t="shared" si="47"/>
        <v>2.0950137211446997</v>
      </c>
      <c r="AI159" s="160">
        <f>IF($E159="","",MIN(Input!$C$61/AH159,1))</f>
        <v>0.64438718771845094</v>
      </c>
      <c r="AJ159" s="152"/>
      <c r="AK159" s="164">
        <f>IF(AND($C158=12,$D158=Input!$C$6),0,IF($E159="","",IF($B159&gt;Input!$C$9,$AC159*AI159,0)+AK160/(1+$L159)*$R159))</f>
        <v>1321.9008766027489</v>
      </c>
      <c r="AL159" s="164">
        <f>IF(AND($C158=12,$D158=Input!$C$6),0,IF($E159="","",IF($B159&gt;Input!$C$9,0,$AC159)+AL160/(1+$L159)*$R159))</f>
        <v>912.990883640422</v>
      </c>
      <c r="AM159" s="160">
        <f t="shared" si="48"/>
        <v>1.1382936520186004</v>
      </c>
      <c r="AN159" s="164">
        <f>IF($E159="","",IF($B159&gt;Input!$C$9,$AI159*$AC159,$AM159*$AC159))</f>
        <v>0</v>
      </c>
      <c r="AO159" s="164">
        <f>IF(AND($C158=12,$D158=Input!$C$6),0,IF($E159="","",$AN159+AO160/(1+$L159)*$R159))</f>
        <v>2361.1526038014936</v>
      </c>
      <c r="AP159" s="152"/>
      <c r="AQ159" s="164">
        <f t="shared" si="49"/>
        <v>888.97056928639768</v>
      </c>
      <c r="AR159" s="164">
        <f t="shared" si="58"/>
        <v>962.62805696094915</v>
      </c>
      <c r="AS159" s="164">
        <f t="shared" si="59"/>
        <v>138.75598086124404</v>
      </c>
      <c r="AT159" s="164">
        <f t="shared" si="50"/>
        <v>962.62805696094915</v>
      </c>
      <c r="AU159" s="152"/>
      <c r="AV159" s="147">
        <f>'Deterministic Reserve'!BC159</f>
        <v>0.5381344755537415</v>
      </c>
      <c r="AW159" s="164">
        <f t="shared" si="51"/>
        <v>962.62805696094915</v>
      </c>
      <c r="AX159" s="164">
        <f t="shared" si="52"/>
        <v>518.02334458599762</v>
      </c>
      <c r="AY159" s="152"/>
    </row>
    <row r="160" spans="1:51" s="150" customFormat="1" x14ac:dyDescent="0.25">
      <c r="A160" s="150">
        <f t="shared" si="60"/>
        <v>156</v>
      </c>
      <c r="B160" s="150">
        <f t="shared" si="61"/>
        <v>13</v>
      </c>
      <c r="C160" s="150">
        <f t="shared" si="62"/>
        <v>12</v>
      </c>
      <c r="D160" s="150">
        <f>IF(E160="","",Input!$C$4+B160-1)</f>
        <v>57</v>
      </c>
      <c r="E160" s="150">
        <f>IF(OR(AND(C159=12,D159=Input!$C$6),E159=""),"",1)</f>
        <v>1</v>
      </c>
      <c r="F160" s="150">
        <f>IF(E160="","",Input!$C$8+B160-1)</f>
        <v>2030</v>
      </c>
      <c r="G160" s="151">
        <f>IF(E160="","",MAX(0,Input!$C$9-B160))</f>
        <v>7</v>
      </c>
      <c r="H160" s="152">
        <f>IF(E160="","",Input!$C$3)</f>
        <v>100000</v>
      </c>
      <c r="I160" s="153">
        <f>IF(E160="","",HLOOKUP($B160,Input!$C$13:$BT$14,2))</f>
        <v>2.2999999999999998</v>
      </c>
      <c r="J160" s="154"/>
      <c r="K160" s="155">
        <f>IF($E160="","",Input!$C$57)</f>
        <v>4.4999999999999998E-2</v>
      </c>
      <c r="L160" s="155">
        <f t="shared" si="53"/>
        <v>3.6748094004368514E-3</v>
      </c>
      <c r="M160" s="147">
        <f>IF($E160="","",VLOOKUP(IF($B160&lt;=Input!$C$7,$B160,26),'Mortality Tables'!$A$72:$CA$97,IF($B160&lt;=Input!$C$7+1,Input!$C$4-16,$D160-Input!$C$7-16),0)/1000)</f>
        <v>2.8999999999999998E-3</v>
      </c>
      <c r="N160" s="147">
        <f t="shared" si="42"/>
        <v>2.419884783463333E-4</v>
      </c>
      <c r="O160" s="157">
        <f>IF($E160="","",IF($C160=12,IF($B160&lt;Input!$C$9,Input!$C$54,IF($B160=Input!$C$9,Input!$C$55,Input!$C$56)),0%))</f>
        <v>0.06</v>
      </c>
      <c r="P160" s="167">
        <f>IF($E160="","",IF($B160=1,Input!$C$59,IF($B160&lt;6,Input!$C$60,0%)))</f>
        <v>0</v>
      </c>
      <c r="Q160" s="162">
        <f>IF($E160="","",Input!$C$58)</f>
        <v>2.5</v>
      </c>
      <c r="R160" s="156">
        <f t="shared" si="54"/>
        <v>0.93975801152165372</v>
      </c>
      <c r="S160" s="154">
        <f t="shared" si="43"/>
        <v>0.43901476159159447</v>
      </c>
      <c r="T160" s="152"/>
      <c r="U160" s="150">
        <f t="shared" si="55"/>
        <v>0</v>
      </c>
      <c r="V160" s="150">
        <f t="shared" si="56"/>
        <v>0</v>
      </c>
      <c r="W160" s="168">
        <f t="shared" si="57"/>
        <v>0</v>
      </c>
      <c r="X160" s="163">
        <f t="shared" si="44"/>
        <v>24.19884783463333</v>
      </c>
      <c r="Y160" s="152"/>
      <c r="Z160" s="164">
        <f>IF(AND($C159=12,$D159=Input!$C$6),0,IF($E160="","",V160+Z161/(1+L160)*R160))</f>
        <v>3604.1408943224178</v>
      </c>
      <c r="AA160" s="164">
        <f>IF(OR($M160=1,AND($C159=12,$D159=Input!$C$6)),0,IF($E160="","",W160+(X160+AA161*$R160)/(1+$L160)))</f>
        <v>3238.6516248208832</v>
      </c>
      <c r="AB160" s="160">
        <f t="shared" si="45"/>
        <v>0.825720328500681</v>
      </c>
      <c r="AC160" s="164">
        <f t="shared" si="46"/>
        <v>0</v>
      </c>
      <c r="AD160" s="164">
        <f>IF(AND($C159=12,$D159=Input!$C$6),0,IF($E160="","",$AC160+AD161/(1+$L160)*$R160))</f>
        <v>2976.0124032226445</v>
      </c>
      <c r="AE160" s="152"/>
      <c r="AF160" s="164">
        <f>IF(AND($C159=12,$D159=Input!$C$6),0,IF($E160="","",IF($B160&gt;Input!$C$9,$AC160,0)+AF161/(1+$L160)*$R160))</f>
        <v>2059.4446532653947</v>
      </c>
      <c r="AG160" s="164">
        <f>IF(AND($C159=12,$D159=Input!$C$6),0,IF($E160="","",(IF($B160&gt;Input!$C$9,$X160,0)+AG161)/(1+$L160)*$R160))</f>
        <v>983.0220358366563</v>
      </c>
      <c r="AH160" s="160">
        <f t="shared" si="47"/>
        <v>2.0950137211446997</v>
      </c>
      <c r="AI160" s="160">
        <f>IF($E160="","",MIN(Input!$C$61/AH160,1))</f>
        <v>0.64438718771845094</v>
      </c>
      <c r="AJ160" s="152"/>
      <c r="AK160" s="164">
        <f>IF(AND($C159=12,$D159=Input!$C$6),0,IF($E160="","",IF($B160&gt;Input!$C$9,$AC160*AI160,0)+AK161/(1+$L160)*$R160))</f>
        <v>1327.079748379489</v>
      </c>
      <c r="AL160" s="164">
        <f>IF(AND($C159=12,$D159=Input!$C$6),0,IF($E160="","",IF($B160&gt;Input!$C$9,0,$AC160)+AL161/(1+$L160)*$R160))</f>
        <v>916.56774995725038</v>
      </c>
      <c r="AM160" s="160">
        <f t="shared" si="48"/>
        <v>1.1382936520186004</v>
      </c>
      <c r="AN160" s="164">
        <f>IF($E160="","",IF($B160&gt;Input!$C$9,$AI160*$AC160,$AM160*$AC160))</f>
        <v>0</v>
      </c>
      <c r="AO160" s="164">
        <f>IF(AND($C159=12,$D159=Input!$C$6),0,IF($E160="","",$AN160+AO161/(1+$L160)*$R160))</f>
        <v>2370.4029998007986</v>
      </c>
      <c r="AP160" s="152"/>
      <c r="AQ160" s="164">
        <f t="shared" si="49"/>
        <v>868.24862502008455</v>
      </c>
      <c r="AR160" s="164">
        <f t="shared" si="58"/>
        <v>962.62805696094915</v>
      </c>
      <c r="AS160" s="164">
        <f t="shared" si="59"/>
        <v>138.75598086124404</v>
      </c>
      <c r="AT160" s="164">
        <f t="shared" si="50"/>
        <v>962.62805696094915</v>
      </c>
      <c r="AU160" s="152"/>
      <c r="AV160" s="147">
        <f>'Deterministic Reserve'!BC160</f>
        <v>0.52728759817225201</v>
      </c>
      <c r="AW160" s="164">
        <f t="shared" si="51"/>
        <v>962.62805696094915</v>
      </c>
      <c r="AX160" s="164">
        <f t="shared" si="52"/>
        <v>507.58183608816068</v>
      </c>
      <c r="AY160" s="152"/>
    </row>
    <row r="161" spans="1:51" s="150" customFormat="1" x14ac:dyDescent="0.25">
      <c r="A161" s="150">
        <f t="shared" si="60"/>
        <v>157</v>
      </c>
      <c r="B161" s="150">
        <f t="shared" si="61"/>
        <v>14</v>
      </c>
      <c r="C161" s="150">
        <f t="shared" si="62"/>
        <v>1</v>
      </c>
      <c r="D161" s="150">
        <f>IF(E161="","",Input!$C$4+B161-1)</f>
        <v>58</v>
      </c>
      <c r="E161" s="150">
        <f>IF(OR(AND(C160=12,D160=Input!$C$6),E160=""),"",1)</f>
        <v>1</v>
      </c>
      <c r="F161" s="150">
        <f>IF(E161="","",Input!$C$8+B161-1)</f>
        <v>2031</v>
      </c>
      <c r="G161" s="151">
        <f>IF(E161="","",MAX(0,Input!$C$9-B161))</f>
        <v>6</v>
      </c>
      <c r="H161" s="152">
        <f>IF(E161="","",Input!$C$3)</f>
        <v>100000</v>
      </c>
      <c r="I161" s="153">
        <f>IF(E161="","",HLOOKUP($B161,Input!$C$13:$BT$14,2))</f>
        <v>2.2999999999999998</v>
      </c>
      <c r="J161" s="154"/>
      <c r="K161" s="155">
        <f>IF($E161="","",Input!$C$57)</f>
        <v>4.4999999999999998E-2</v>
      </c>
      <c r="L161" s="155">
        <f t="shared" si="53"/>
        <v>3.6748094004368514E-3</v>
      </c>
      <c r="M161" s="147">
        <f>IF($E161="","",VLOOKUP(IF($B161&lt;=Input!$C$7,$B161,26),'Mortality Tables'!$A$72:$CA$97,IF($B161&lt;=Input!$C$7+1,Input!$C$4-16,$D161-Input!$C$7-16),0)/1000)</f>
        <v>3.29E-3</v>
      </c>
      <c r="N161" s="147">
        <f t="shared" si="42"/>
        <v>2.7458095822974204E-4</v>
      </c>
      <c r="O161" s="157">
        <f>IF($E161="","",IF($C161=12,IF($B161&lt;Input!$C$9,Input!$C$54,IF($B161=Input!$C$9,Input!$C$55,Input!$C$56)),0%))</f>
        <v>0</v>
      </c>
      <c r="P161" s="167">
        <f>IF($E161="","",IF($B161=1,Input!$C$59,IF($B161&lt;6,Input!$C$60,0%)))</f>
        <v>0</v>
      </c>
      <c r="Q161" s="162">
        <f>IF($E161="","",Input!$C$58)</f>
        <v>2.5</v>
      </c>
      <c r="R161" s="156">
        <f t="shared" si="54"/>
        <v>0.99972541904177026</v>
      </c>
      <c r="S161" s="154">
        <f t="shared" si="43"/>
        <v>0.43889421649767962</v>
      </c>
      <c r="T161" s="152"/>
      <c r="U161" s="150">
        <f t="shared" si="55"/>
        <v>229.99999999999997</v>
      </c>
      <c r="V161" s="150">
        <f t="shared" si="56"/>
        <v>229.99999999999997</v>
      </c>
      <c r="W161" s="168">
        <f t="shared" si="57"/>
        <v>0</v>
      </c>
      <c r="X161" s="163">
        <f t="shared" si="44"/>
        <v>27.458095822974204</v>
      </c>
      <c r="Y161" s="152"/>
      <c r="Z161" s="164">
        <f>IF(AND($C160=12,$D160=Input!$C$6),0,IF($E161="","",V161+Z162/(1+L161)*R161))</f>
        <v>3849.2733031390835</v>
      </c>
      <c r="AA161" s="164">
        <f>IF(OR($M161=1,AND($C160=12,$D160=Input!$C$6)),0,IF($E161="","",W161+(X161+AA162*$R161)/(1+$L161)))</f>
        <v>3433.1755248330123</v>
      </c>
      <c r="AB161" s="160">
        <f t="shared" si="45"/>
        <v>0.825720328500681</v>
      </c>
      <c r="AC161" s="164">
        <f t="shared" si="46"/>
        <v>189.91567555515661</v>
      </c>
      <c r="AD161" s="164">
        <f>IF(AND($C160=12,$D160=Input!$C$6),0,IF($E161="","",$AC161+AD162/(1+$L161)*$R161))</f>
        <v>3178.4232163569045</v>
      </c>
      <c r="AE161" s="152"/>
      <c r="AF161" s="164">
        <f>IF(AND($C160=12,$D160=Input!$C$6),0,IF($E161="","",IF($B161&gt;Input!$C$9,$AC161,0)+AF162/(1+$L161)*$R161))</f>
        <v>2199.5159333518127</v>
      </c>
      <c r="AG161" s="164">
        <f>IF(AND($C160=12,$D160=Input!$C$6),0,IF($E161="","",(IF($B161&gt;Input!$C$9,$X161,0)+AG162)/(1+$L161)*$R161))</f>
        <v>1049.8813975070343</v>
      </c>
      <c r="AH161" s="160">
        <f t="shared" si="47"/>
        <v>2.0950137211446997</v>
      </c>
      <c r="AI161" s="160">
        <f>IF($E161="","",MIN(Input!$C$61/AH161,1))</f>
        <v>0.64438718771845094</v>
      </c>
      <c r="AJ161" s="152"/>
      <c r="AK161" s="164">
        <f>IF(AND($C160=12,$D160=Input!$C$6),0,IF($E161="","",IF($B161&gt;Input!$C$9,$AC161*AI161,0)+AK162/(1+$L161)*$R161))</f>
        <v>1417.3398866344994</v>
      </c>
      <c r="AL161" s="164">
        <f>IF(AND($C160=12,$D160=Input!$C$6),0,IF($E161="","",IF($B161&gt;Input!$C$9,0,$AC161)+AL162/(1+$L161)*$R161))</f>
        <v>978.90728300509249</v>
      </c>
      <c r="AM161" s="160">
        <f t="shared" si="48"/>
        <v>1.1382936520186004</v>
      </c>
      <c r="AN161" s="164">
        <f>IF($E161="","",IF($B161&gt;Input!$C$9,$AI161*$AC161,$AM161*$AC161))</f>
        <v>216.17980790325885</v>
      </c>
      <c r="AO161" s="164">
        <f>IF(AND($C160=12,$D160=Input!$C$6),0,IF($E161="","",$AN161+AO162/(1+$L161)*$R161))</f>
        <v>2531.6238327939718</v>
      </c>
      <c r="AP161" s="152"/>
      <c r="AQ161" s="164">
        <f t="shared" si="49"/>
        <v>901.55169203904052</v>
      </c>
      <c r="AR161" s="164">
        <f t="shared" si="58"/>
        <v>971.77057058338414</v>
      </c>
      <c r="AS161" s="164">
        <f t="shared" si="59"/>
        <v>157.41626794258374</v>
      </c>
      <c r="AT161" s="164">
        <f t="shared" si="50"/>
        <v>971.77057058338414</v>
      </c>
      <c r="AU161" s="152"/>
      <c r="AV161" s="147">
        <f>'Deterministic Reserve'!BC161</f>
        <v>0.52719463165704961</v>
      </c>
      <c r="AW161" s="164">
        <f t="shared" si="51"/>
        <v>971.77057058338414</v>
      </c>
      <c r="AX161" s="164">
        <f t="shared" si="52"/>
        <v>512.31222801386809</v>
      </c>
      <c r="AY161" s="152"/>
    </row>
    <row r="162" spans="1:51" s="150" customFormat="1" x14ac:dyDescent="0.25">
      <c r="A162" s="150">
        <f t="shared" si="60"/>
        <v>158</v>
      </c>
      <c r="B162" s="150">
        <f t="shared" si="61"/>
        <v>14</v>
      </c>
      <c r="C162" s="150">
        <f t="shared" si="62"/>
        <v>2</v>
      </c>
      <c r="D162" s="150">
        <f>IF(E162="","",Input!$C$4+B162-1)</f>
        <v>58</v>
      </c>
      <c r="E162" s="150">
        <f>IF(OR(AND(C161=12,D161=Input!$C$6),E161=""),"",1)</f>
        <v>1</v>
      </c>
      <c r="F162" s="150">
        <f>IF(E162="","",Input!$C$8+B162-1)</f>
        <v>2031</v>
      </c>
      <c r="G162" s="151">
        <f>IF(E162="","",MAX(0,Input!$C$9-B162))</f>
        <v>6</v>
      </c>
      <c r="H162" s="152">
        <f>IF(E162="","",Input!$C$3)</f>
        <v>100000</v>
      </c>
      <c r="I162" s="153">
        <f>IF(E162="","",HLOOKUP($B162,Input!$C$13:$BT$14,2))</f>
        <v>2.2999999999999998</v>
      </c>
      <c r="J162" s="154"/>
      <c r="K162" s="155">
        <f>IF($E162="","",Input!$C$57)</f>
        <v>4.4999999999999998E-2</v>
      </c>
      <c r="L162" s="155">
        <f t="shared" si="53"/>
        <v>3.6748094004368514E-3</v>
      </c>
      <c r="M162" s="147">
        <f>IF($E162="","",VLOOKUP(IF($B162&lt;=Input!$C$7,$B162,26),'Mortality Tables'!$A$72:$CA$97,IF($B162&lt;=Input!$C$7+1,Input!$C$4-16,$D162-Input!$C$7-16),0)/1000)</f>
        <v>3.29E-3</v>
      </c>
      <c r="N162" s="147">
        <f t="shared" si="42"/>
        <v>2.7458095822974204E-4</v>
      </c>
      <c r="O162" s="157">
        <f>IF($E162="","",IF($C162=12,IF($B162&lt;Input!$C$9,Input!$C$54,IF($B162=Input!$C$9,Input!$C$55,Input!$C$56)),0%))</f>
        <v>0</v>
      </c>
      <c r="P162" s="167">
        <f>IF($E162="","",IF($B162=1,Input!$C$59,IF($B162&lt;6,Input!$C$60,0%)))</f>
        <v>0</v>
      </c>
      <c r="Q162" s="162">
        <f>IF($E162="","",Input!$C$58)</f>
        <v>2.5</v>
      </c>
      <c r="R162" s="156">
        <f t="shared" si="54"/>
        <v>0.99972541904177026</v>
      </c>
      <c r="S162" s="154">
        <f t="shared" si="43"/>
        <v>0.43877370450315217</v>
      </c>
      <c r="T162" s="152"/>
      <c r="U162" s="150">
        <f t="shared" si="55"/>
        <v>0</v>
      </c>
      <c r="V162" s="150">
        <f t="shared" si="56"/>
        <v>0</v>
      </c>
      <c r="W162" s="168">
        <f t="shared" si="57"/>
        <v>0</v>
      </c>
      <c r="X162" s="163">
        <f t="shared" si="44"/>
        <v>27.458095822974204</v>
      </c>
      <c r="Y162" s="152"/>
      <c r="Z162" s="164">
        <f>IF(AND($C161=12,$D161=Input!$C$6),0,IF($E162="","",V162+Z163/(1+L162)*R162))</f>
        <v>3633.5711521449607</v>
      </c>
      <c r="AA162" s="164">
        <f>IF(OR($M162=1,AND($C161=12,$D161=Input!$C$6)),0,IF($E162="","",W162+(X162+AA163*$R162)/(1+$L162)))</f>
        <v>3419.2725618385221</v>
      </c>
      <c r="AB162" s="160">
        <f t="shared" si="45"/>
        <v>0.825720328500681</v>
      </c>
      <c r="AC162" s="164">
        <f t="shared" si="46"/>
        <v>0</v>
      </c>
      <c r="AD162" s="164">
        <f>IF(AND($C161=12,$D161=Input!$C$6),0,IF($E162="","",$AC162+AD163/(1+$L162)*$R162))</f>
        <v>3000.3135653797344</v>
      </c>
      <c r="AE162" s="152"/>
      <c r="AF162" s="164">
        <f>IF(AND($C161=12,$D161=Input!$C$6),0,IF($E162="","",IF($B162&gt;Input!$C$9,$AC162,0)+AF163/(1+$L162)*$R162))</f>
        <v>2208.2050662431616</v>
      </c>
      <c r="AG162" s="164">
        <f>IF(AND($C161=12,$D161=Input!$C$6),0,IF($E162="","",(IF($B162&gt;Input!$C$9,$X162,0)+AG163)/(1+$L162)*$R162))</f>
        <v>1054.0289278089367</v>
      </c>
      <c r="AH162" s="160">
        <f t="shared" si="47"/>
        <v>2.0950137211446997</v>
      </c>
      <c r="AI162" s="160">
        <f>IF($E162="","",MIN(Input!$C$61/AH162,1))</f>
        <v>0.64438718771845094</v>
      </c>
      <c r="AJ162" s="152"/>
      <c r="AK162" s="164">
        <f>IF(AND($C161=12,$D161=Input!$C$6),0,IF($E162="","",IF($B162&gt;Input!$C$9,$AC162*AI162,0)+AK163/(1+$L162)*$R162))</f>
        <v>1422.9390525420674</v>
      </c>
      <c r="AL162" s="164">
        <f>IF(AND($C161=12,$D161=Input!$C$6),0,IF($E162="","",IF($B162&gt;Input!$C$9,0,$AC162)+AL163/(1+$L162)*$R162))</f>
        <v>792.10849913657341</v>
      </c>
      <c r="AM162" s="160">
        <f t="shared" si="48"/>
        <v>1.1382936520186004</v>
      </c>
      <c r="AN162" s="164">
        <f>IF($E162="","",IF($B162&gt;Input!$C$9,$AI162*$AC162,$AM162*$AC162))</f>
        <v>0</v>
      </c>
      <c r="AO162" s="164">
        <f>IF(AND($C161=12,$D161=Input!$C$6),0,IF($E162="","",$AN162+AO163/(1+$L162)*$R162))</f>
        <v>2324.5911288192101</v>
      </c>
      <c r="AP162" s="152"/>
      <c r="AQ162" s="164">
        <f t="shared" si="49"/>
        <v>1094.681433019312</v>
      </c>
      <c r="AR162" s="164">
        <f t="shared" si="58"/>
        <v>971.77057058338414</v>
      </c>
      <c r="AS162" s="164">
        <f t="shared" si="59"/>
        <v>157.41626794258374</v>
      </c>
      <c r="AT162" s="164">
        <f t="shared" si="50"/>
        <v>971.77057058338414</v>
      </c>
      <c r="AU162" s="152"/>
      <c r="AV162" s="147">
        <f>'Deterministic Reserve'!BC162</f>
        <v>0.52710168153285086</v>
      </c>
      <c r="AW162" s="164">
        <f t="shared" si="51"/>
        <v>971.77057058338414</v>
      </c>
      <c r="AX162" s="164">
        <f t="shared" si="52"/>
        <v>512.22190181863971</v>
      </c>
      <c r="AY162" s="152"/>
    </row>
    <row r="163" spans="1:51" s="150" customFormat="1" x14ac:dyDescent="0.25">
      <c r="A163" s="150">
        <f t="shared" si="60"/>
        <v>159</v>
      </c>
      <c r="B163" s="150">
        <f t="shared" si="61"/>
        <v>14</v>
      </c>
      <c r="C163" s="150">
        <f t="shared" si="62"/>
        <v>3</v>
      </c>
      <c r="D163" s="150">
        <f>IF(E163="","",Input!$C$4+B163-1)</f>
        <v>58</v>
      </c>
      <c r="E163" s="150">
        <f>IF(OR(AND(C162=12,D162=Input!$C$6),E162=""),"",1)</f>
        <v>1</v>
      </c>
      <c r="F163" s="150">
        <f>IF(E163="","",Input!$C$8+B163-1)</f>
        <v>2031</v>
      </c>
      <c r="G163" s="151">
        <f>IF(E163="","",MAX(0,Input!$C$9-B163))</f>
        <v>6</v>
      </c>
      <c r="H163" s="152">
        <f>IF(E163="","",Input!$C$3)</f>
        <v>100000</v>
      </c>
      <c r="I163" s="153">
        <f>IF(E163="","",HLOOKUP($B163,Input!$C$13:$BT$14,2))</f>
        <v>2.2999999999999998</v>
      </c>
      <c r="J163" s="154"/>
      <c r="K163" s="155">
        <f>IF($E163="","",Input!$C$57)</f>
        <v>4.4999999999999998E-2</v>
      </c>
      <c r="L163" s="155">
        <f t="shared" si="53"/>
        <v>3.6748094004368514E-3</v>
      </c>
      <c r="M163" s="147">
        <f>IF($E163="","",VLOOKUP(IF($B163&lt;=Input!$C$7,$B163,26),'Mortality Tables'!$A$72:$CA$97,IF($B163&lt;=Input!$C$7+1,Input!$C$4-16,$D163-Input!$C$7-16),0)/1000)</f>
        <v>3.29E-3</v>
      </c>
      <c r="N163" s="147">
        <f t="shared" si="42"/>
        <v>2.7458095822974204E-4</v>
      </c>
      <c r="O163" s="157">
        <f>IF($E163="","",IF($C163=12,IF($B163&lt;Input!$C$9,Input!$C$54,IF($B163=Input!$C$9,Input!$C$55,Input!$C$56)),0%))</f>
        <v>0</v>
      </c>
      <c r="P163" s="167">
        <f>IF($E163="","",IF($B163=1,Input!$C$59,IF($B163&lt;6,Input!$C$60,0%)))</f>
        <v>0</v>
      </c>
      <c r="Q163" s="162">
        <f>IF($E163="","",Input!$C$58)</f>
        <v>2.5</v>
      </c>
      <c r="R163" s="156">
        <f t="shared" si="54"/>
        <v>0.99972541904177026</v>
      </c>
      <c r="S163" s="154">
        <f t="shared" si="43"/>
        <v>0.43865322559892367</v>
      </c>
      <c r="T163" s="152"/>
      <c r="U163" s="150">
        <f t="shared" si="55"/>
        <v>0</v>
      </c>
      <c r="V163" s="150">
        <f t="shared" si="56"/>
        <v>0</v>
      </c>
      <c r="W163" s="168">
        <f t="shared" si="57"/>
        <v>0</v>
      </c>
      <c r="X163" s="163">
        <f t="shared" si="44"/>
        <v>27.458095822974204</v>
      </c>
      <c r="Y163" s="152"/>
      <c r="Z163" s="164">
        <f>IF(AND($C162=12,$D162=Input!$C$6),0,IF($E163="","",V163+Z164/(1+L163)*R163))</f>
        <v>3647.9254844470893</v>
      </c>
      <c r="AA163" s="164">
        <f>IF(OR($M163=1,AND($C162=12,$D162=Input!$C$6)),0,IF($E163="","",W163+(X163+AA164*$R163)/(1+$L163)))</f>
        <v>3405.3146755351299</v>
      </c>
      <c r="AB163" s="160">
        <f t="shared" si="45"/>
        <v>0.825720328500681</v>
      </c>
      <c r="AC163" s="164">
        <f t="shared" si="46"/>
        <v>0</v>
      </c>
      <c r="AD163" s="164">
        <f>IF(AND($C162=12,$D162=Input!$C$6),0,IF($E163="","",$AC163+AD164/(1+$L163)*$R163))</f>
        <v>3012.1662293636559</v>
      </c>
      <c r="AE163" s="152"/>
      <c r="AF163" s="164">
        <f>IF(AND($C162=12,$D162=Input!$C$6),0,IF($E163="","",IF($B163&gt;Input!$C$9,$AC163,0)+AF164/(1+$L163)*$R163))</f>
        <v>2216.9285253374983</v>
      </c>
      <c r="AG163" s="164">
        <f>IF(AND($C162=12,$D162=Input!$C$6),0,IF($E163="","",(IF($B163&gt;Input!$C$9,$X163,0)+AG164)/(1+$L163)*$R163))</f>
        <v>1058.1928428259564</v>
      </c>
      <c r="AH163" s="160">
        <f t="shared" si="47"/>
        <v>2.0950137211446997</v>
      </c>
      <c r="AI163" s="160">
        <f>IF($E163="","",MIN(Input!$C$61/AH163,1))</f>
        <v>0.64438718771845094</v>
      </c>
      <c r="AJ163" s="152"/>
      <c r="AK163" s="164">
        <f>IF(AND($C162=12,$D162=Input!$C$6),0,IF($E163="","",IF($B163&gt;Input!$C$9,$AC163*AI163,0)+AK164/(1+$L163)*$R163))</f>
        <v>1428.560337815044</v>
      </c>
      <c r="AL163" s="164">
        <f>IF(AND($C162=12,$D162=Input!$C$6),0,IF($E163="","",IF($B163&gt;Input!$C$9,0,$AC163)+AL164/(1+$L163)*$R163))</f>
        <v>795.23770402615833</v>
      </c>
      <c r="AM163" s="160">
        <f t="shared" si="48"/>
        <v>1.1382936520186004</v>
      </c>
      <c r="AN163" s="164">
        <f>IF($E163="","",IF($B163&gt;Input!$C$9,$AI163*$AC163,$AM163*$AC163))</f>
        <v>0</v>
      </c>
      <c r="AO163" s="164">
        <f>IF(AND($C162=12,$D162=Input!$C$6),0,IF($E163="","",$AN163+AO164/(1+$L163)*$R163))</f>
        <v>2333.7743681538668</v>
      </c>
      <c r="AP163" s="152"/>
      <c r="AQ163" s="164">
        <f t="shared" si="49"/>
        <v>1071.5403073812631</v>
      </c>
      <c r="AR163" s="164">
        <f t="shared" si="58"/>
        <v>971.77057058338414</v>
      </c>
      <c r="AS163" s="164">
        <f t="shared" si="59"/>
        <v>157.41626794258374</v>
      </c>
      <c r="AT163" s="164">
        <f t="shared" si="50"/>
        <v>971.77057058338414</v>
      </c>
      <c r="AU163" s="152"/>
      <c r="AV163" s="147">
        <f>'Deterministic Reserve'!BC163</f>
        <v>0.52700874779676588</v>
      </c>
      <c r="AW163" s="164">
        <f t="shared" si="51"/>
        <v>971.77057058338414</v>
      </c>
      <c r="AX163" s="164">
        <f t="shared" si="52"/>
        <v>512.13159154889797</v>
      </c>
      <c r="AY163" s="152"/>
    </row>
    <row r="164" spans="1:51" s="150" customFormat="1" x14ac:dyDescent="0.25">
      <c r="A164" s="150">
        <f t="shared" si="60"/>
        <v>160</v>
      </c>
      <c r="B164" s="150">
        <f t="shared" si="61"/>
        <v>14</v>
      </c>
      <c r="C164" s="150">
        <f t="shared" si="62"/>
        <v>4</v>
      </c>
      <c r="D164" s="150">
        <f>IF(E164="","",Input!$C$4+B164-1)</f>
        <v>58</v>
      </c>
      <c r="E164" s="150">
        <f>IF(OR(AND(C163=12,D163=Input!$C$6),E163=""),"",1)</f>
        <v>1</v>
      </c>
      <c r="F164" s="150">
        <f>IF(E164="","",Input!$C$8+B164-1)</f>
        <v>2031</v>
      </c>
      <c r="G164" s="151">
        <f>IF(E164="","",MAX(0,Input!$C$9-B164))</f>
        <v>6</v>
      </c>
      <c r="H164" s="152">
        <f>IF(E164="","",Input!$C$3)</f>
        <v>100000</v>
      </c>
      <c r="I164" s="153">
        <f>IF(E164="","",HLOOKUP($B164,Input!$C$13:$BT$14,2))</f>
        <v>2.2999999999999998</v>
      </c>
      <c r="J164" s="154"/>
      <c r="K164" s="155">
        <f>IF($E164="","",Input!$C$57)</f>
        <v>4.4999999999999998E-2</v>
      </c>
      <c r="L164" s="155">
        <f t="shared" si="53"/>
        <v>3.6748094004368514E-3</v>
      </c>
      <c r="M164" s="147">
        <f>IF($E164="","",VLOOKUP(IF($B164&lt;=Input!$C$7,$B164,26),'Mortality Tables'!$A$72:$CA$97,IF($B164&lt;=Input!$C$7+1,Input!$C$4-16,$D164-Input!$C$7-16),0)/1000)</f>
        <v>3.29E-3</v>
      </c>
      <c r="N164" s="147">
        <f t="shared" si="42"/>
        <v>2.7458095822974204E-4</v>
      </c>
      <c r="O164" s="157">
        <f>IF($E164="","",IF($C164=12,IF($B164&lt;Input!$C$9,Input!$C$54,IF($B164=Input!$C$9,Input!$C$55,Input!$C$56)),0%))</f>
        <v>0</v>
      </c>
      <c r="P164" s="167">
        <f>IF($E164="","",IF($B164=1,Input!$C$59,IF($B164&lt;6,Input!$C$60,0%)))</f>
        <v>0</v>
      </c>
      <c r="Q164" s="162">
        <f>IF($E164="","",Input!$C$58)</f>
        <v>2.5</v>
      </c>
      <c r="R164" s="156">
        <f t="shared" si="54"/>
        <v>0.99972541904177026</v>
      </c>
      <c r="S164" s="154">
        <f t="shared" si="43"/>
        <v>0.43853277977590815</v>
      </c>
      <c r="T164" s="152"/>
      <c r="U164" s="150">
        <f t="shared" si="55"/>
        <v>0</v>
      </c>
      <c r="V164" s="150">
        <f t="shared" si="56"/>
        <v>0</v>
      </c>
      <c r="W164" s="168">
        <f t="shared" si="57"/>
        <v>0</v>
      </c>
      <c r="X164" s="163">
        <f t="shared" si="44"/>
        <v>27.458095822974204</v>
      </c>
      <c r="Y164" s="152"/>
      <c r="Z164" s="164">
        <f>IF(AND($C163=12,$D163=Input!$C$6),0,IF($E164="","",V164+Z165/(1+L164)*R164))</f>
        <v>3662.3365231813236</v>
      </c>
      <c r="AA164" s="164">
        <f>IF(OR($M164=1,AND($C163=12,$D163=Input!$C$6)),0,IF($E164="","",W164+(X164+AA165*$R164)/(1+$L164)))</f>
        <v>3391.3016489496722</v>
      </c>
      <c r="AB164" s="160">
        <f t="shared" si="45"/>
        <v>0.825720328500681</v>
      </c>
      <c r="AC164" s="164">
        <f t="shared" si="46"/>
        <v>0</v>
      </c>
      <c r="AD164" s="164">
        <f>IF(AND($C163=12,$D163=Input!$C$6),0,IF($E164="","",$AC164+AD165/(1+$L164)*$R164))</f>
        <v>3024.0657170013237</v>
      </c>
      <c r="AE164" s="152"/>
      <c r="AF164" s="164">
        <f>IF(AND($C163=12,$D163=Input!$C$6),0,IF($E164="","",IF($B164&gt;Input!$C$9,$AC164,0)+AF165/(1+$L164)*$R164))</f>
        <v>2225.6864462396325</v>
      </c>
      <c r="AG164" s="164">
        <f>IF(AND($C163=12,$D163=Input!$C$6),0,IF($E164="","",(IF($B164&gt;Input!$C$9,$X164,0)+AG165)/(1+$L164)*$R164))</f>
        <v>1062.3732072855023</v>
      </c>
      <c r="AH164" s="160">
        <f t="shared" si="47"/>
        <v>2.0950137211446997</v>
      </c>
      <c r="AI164" s="160">
        <f>IF($E164="","",MIN(Input!$C$61/AH164,1))</f>
        <v>0.64438718771845094</v>
      </c>
      <c r="AJ164" s="152"/>
      <c r="AK164" s="164">
        <f>IF(AND($C163=12,$D163=Input!$C$6),0,IF($E164="","",IF($B164&gt;Input!$C$9,$AC164*AI164,0)+AK165/(1+$L164)*$R164))</f>
        <v>1434.203829835431</v>
      </c>
      <c r="AL164" s="164">
        <f>IF(AND($C163=12,$D163=Input!$C$6),0,IF($E164="","",IF($B164&gt;Input!$C$9,0,$AC164)+AL165/(1+$L164)*$R164))</f>
        <v>798.37927076169194</v>
      </c>
      <c r="AM164" s="160">
        <f t="shared" si="48"/>
        <v>1.1382936520186004</v>
      </c>
      <c r="AN164" s="164">
        <f>IF($E164="","",IF($B164&gt;Input!$C$9,$AI164*$AC164,$AM164*$AC164))</f>
        <v>0</v>
      </c>
      <c r="AO164" s="164">
        <f>IF(AND($C163=12,$D163=Input!$C$6),0,IF($E164="","",$AN164+AO165/(1+$L164)*$R164))</f>
        <v>2342.9938856467047</v>
      </c>
      <c r="AP164" s="152"/>
      <c r="AQ164" s="164">
        <f t="shared" si="49"/>
        <v>1048.3077633029675</v>
      </c>
      <c r="AR164" s="164">
        <f t="shared" si="58"/>
        <v>971.77057058338414</v>
      </c>
      <c r="AS164" s="164">
        <f t="shared" si="59"/>
        <v>157.41626794258374</v>
      </c>
      <c r="AT164" s="164">
        <f t="shared" si="50"/>
        <v>971.77057058338414</v>
      </c>
      <c r="AU164" s="152"/>
      <c r="AV164" s="147">
        <f>'Deterministic Reserve'!BC164</f>
        <v>0.52691583044590529</v>
      </c>
      <c r="AW164" s="164">
        <f t="shared" si="51"/>
        <v>971.77057058338414</v>
      </c>
      <c r="AX164" s="164">
        <f t="shared" si="52"/>
        <v>512.04129720183505</v>
      </c>
      <c r="AY164" s="152"/>
    </row>
    <row r="165" spans="1:51" s="150" customFormat="1" x14ac:dyDescent="0.25">
      <c r="A165" s="150">
        <f t="shared" si="60"/>
        <v>161</v>
      </c>
      <c r="B165" s="150">
        <f t="shared" si="61"/>
        <v>14</v>
      </c>
      <c r="C165" s="150">
        <f t="shared" si="62"/>
        <v>5</v>
      </c>
      <c r="D165" s="150">
        <f>IF(E165="","",Input!$C$4+B165-1)</f>
        <v>58</v>
      </c>
      <c r="E165" s="150">
        <f>IF(OR(AND(C164=12,D164=Input!$C$6),E164=""),"",1)</f>
        <v>1</v>
      </c>
      <c r="F165" s="150">
        <f>IF(E165="","",Input!$C$8+B165-1)</f>
        <v>2031</v>
      </c>
      <c r="G165" s="151">
        <f>IF(E165="","",MAX(0,Input!$C$9-B165))</f>
        <v>6</v>
      </c>
      <c r="H165" s="152">
        <f>IF(E165="","",Input!$C$3)</f>
        <v>100000</v>
      </c>
      <c r="I165" s="153">
        <f>IF(E165="","",HLOOKUP($B165,Input!$C$13:$BT$14,2))</f>
        <v>2.2999999999999998</v>
      </c>
      <c r="J165" s="154"/>
      <c r="K165" s="155">
        <f>IF($E165="","",Input!$C$57)</f>
        <v>4.4999999999999998E-2</v>
      </c>
      <c r="L165" s="155">
        <f t="shared" si="53"/>
        <v>3.6748094004368514E-3</v>
      </c>
      <c r="M165" s="147">
        <f>IF($E165="","",VLOOKUP(IF($B165&lt;=Input!$C$7,$B165,26),'Mortality Tables'!$A$72:$CA$97,IF($B165&lt;=Input!$C$7+1,Input!$C$4-16,$D165-Input!$C$7-16),0)/1000)</f>
        <v>3.29E-3</v>
      </c>
      <c r="N165" s="147">
        <f t="shared" si="42"/>
        <v>2.7458095822974204E-4</v>
      </c>
      <c r="O165" s="157">
        <f>IF($E165="","",IF($C165=12,IF($B165&lt;Input!$C$9,Input!$C$54,IF($B165=Input!$C$9,Input!$C$55,Input!$C$56)),0%))</f>
        <v>0</v>
      </c>
      <c r="P165" s="167">
        <f>IF($E165="","",IF($B165=1,Input!$C$59,IF($B165&lt;6,Input!$C$60,0%)))</f>
        <v>0</v>
      </c>
      <c r="Q165" s="162">
        <f>IF($E165="","",Input!$C$58)</f>
        <v>2.5</v>
      </c>
      <c r="R165" s="156">
        <f t="shared" si="54"/>
        <v>0.99972541904177026</v>
      </c>
      <c r="S165" s="154">
        <f t="shared" si="43"/>
        <v>0.43841236702502212</v>
      </c>
      <c r="T165" s="152"/>
      <c r="U165" s="150">
        <f t="shared" si="55"/>
        <v>0</v>
      </c>
      <c r="V165" s="150">
        <f t="shared" si="56"/>
        <v>0</v>
      </c>
      <c r="W165" s="168">
        <f t="shared" si="57"/>
        <v>0</v>
      </c>
      <c r="X165" s="163">
        <f t="shared" si="44"/>
        <v>27.458095822974204</v>
      </c>
      <c r="Y165" s="152"/>
      <c r="Z165" s="164">
        <f>IF(AND($C164=12,$D164=Input!$C$6),0,IF($E165="","",V165+Z166/(1+L165)*R165))</f>
        <v>3676.8044923650109</v>
      </c>
      <c r="AA165" s="164">
        <f>IF(OR($M165=1,AND($C164=12,$D164=Input!$C$6)),0,IF($E165="","",W165+(X165+AA166*$R165)/(1+$L165)))</f>
        <v>3377.2332642518386</v>
      </c>
      <c r="AB165" s="160">
        <f t="shared" si="45"/>
        <v>0.825720328500681</v>
      </c>
      <c r="AC165" s="164">
        <f t="shared" si="46"/>
        <v>0</v>
      </c>
      <c r="AD165" s="164">
        <f>IF(AND($C164=12,$D164=Input!$C$6),0,IF($E165="","",$AC165+AD166/(1+$L165)*$R165))</f>
        <v>3036.0122132684155</v>
      </c>
      <c r="AE165" s="152"/>
      <c r="AF165" s="164">
        <f>IF(AND($C164=12,$D164=Input!$C$6),0,IF($E165="","",IF($B165&gt;Input!$C$9,$AC165,0)+AF166/(1+$L165)*$R165))</f>
        <v>2234.4789650900771</v>
      </c>
      <c r="AG165" s="164">
        <f>IF(AND($C164=12,$D164=Input!$C$6),0,IF($E165="","",(IF($B165&gt;Input!$C$9,$X165,0)+AG166)/(1+$L165)*$R165))</f>
        <v>1066.5700861706871</v>
      </c>
      <c r="AH165" s="160">
        <f t="shared" si="47"/>
        <v>2.0950137211446997</v>
      </c>
      <c r="AI165" s="160">
        <f>IF($E165="","",MIN(Input!$C$61/AH165,1))</f>
        <v>0.64438718771845094</v>
      </c>
      <c r="AJ165" s="152"/>
      <c r="AK165" s="164">
        <f>IF(AND($C164=12,$D164=Input!$C$6),0,IF($E165="","",IF($B165&gt;Input!$C$9,$AC165*AI165,0)+AK166/(1+$L165)*$R165))</f>
        <v>1439.8696163304305</v>
      </c>
      <c r="AL165" s="164">
        <f>IF(AND($C164=12,$D164=Input!$C$6),0,IF($E165="","",IF($B165&gt;Input!$C$9,0,$AC165)+AL166/(1+$L165)*$R165))</f>
        <v>801.53324817833879</v>
      </c>
      <c r="AM165" s="160">
        <f t="shared" si="48"/>
        <v>1.1382936520186004</v>
      </c>
      <c r="AN165" s="164">
        <f>IF($E165="","",IF($B165&gt;Input!$C$9,$AI165*$AC165,$AM165*$AC165))</f>
        <v>0</v>
      </c>
      <c r="AO165" s="164">
        <f>IF(AND($C164=12,$D164=Input!$C$6),0,IF($E165="","",$AN165+AO166/(1+$L165)*$R165))</f>
        <v>2352.2498246136834</v>
      </c>
      <c r="AP165" s="152"/>
      <c r="AQ165" s="164">
        <f t="shared" si="49"/>
        <v>1024.9834396381552</v>
      </c>
      <c r="AR165" s="164">
        <f t="shared" si="58"/>
        <v>971.77057058338414</v>
      </c>
      <c r="AS165" s="164">
        <f t="shared" si="59"/>
        <v>157.41626794258374</v>
      </c>
      <c r="AT165" s="164">
        <f t="shared" si="50"/>
        <v>971.77057058338414</v>
      </c>
      <c r="AU165" s="152"/>
      <c r="AV165" s="147">
        <f>'Deterministic Reserve'!BC165</f>
        <v>0.52682292947738008</v>
      </c>
      <c r="AW165" s="164">
        <f t="shared" si="51"/>
        <v>971.77057058338414</v>
      </c>
      <c r="AX165" s="164">
        <f t="shared" si="52"/>
        <v>511.95101877464356</v>
      </c>
      <c r="AY165" s="152"/>
    </row>
    <row r="166" spans="1:51" s="150" customFormat="1" x14ac:dyDescent="0.25">
      <c r="A166" s="150">
        <f t="shared" si="60"/>
        <v>162</v>
      </c>
      <c r="B166" s="150">
        <f t="shared" si="61"/>
        <v>14</v>
      </c>
      <c r="C166" s="150">
        <f t="shared" si="62"/>
        <v>6</v>
      </c>
      <c r="D166" s="150">
        <f>IF(E166="","",Input!$C$4+B166-1)</f>
        <v>58</v>
      </c>
      <c r="E166" s="150">
        <f>IF(OR(AND(C165=12,D165=Input!$C$6),E165=""),"",1)</f>
        <v>1</v>
      </c>
      <c r="F166" s="150">
        <f>IF(E166="","",Input!$C$8+B166-1)</f>
        <v>2031</v>
      </c>
      <c r="G166" s="151">
        <f>IF(E166="","",MAX(0,Input!$C$9-B166))</f>
        <v>6</v>
      </c>
      <c r="H166" s="152">
        <f>IF(E166="","",Input!$C$3)</f>
        <v>100000</v>
      </c>
      <c r="I166" s="153">
        <f>IF(E166="","",HLOOKUP($B166,Input!$C$13:$BT$14,2))</f>
        <v>2.2999999999999998</v>
      </c>
      <c r="J166" s="154"/>
      <c r="K166" s="155">
        <f>IF($E166="","",Input!$C$57)</f>
        <v>4.4999999999999998E-2</v>
      </c>
      <c r="L166" s="155">
        <f t="shared" si="53"/>
        <v>3.6748094004368514E-3</v>
      </c>
      <c r="M166" s="147">
        <f>IF($E166="","",VLOOKUP(IF($B166&lt;=Input!$C$7,$B166,26),'Mortality Tables'!$A$72:$CA$97,IF($B166&lt;=Input!$C$7+1,Input!$C$4-16,$D166-Input!$C$7-16),0)/1000)</f>
        <v>3.29E-3</v>
      </c>
      <c r="N166" s="147">
        <f t="shared" si="42"/>
        <v>2.7458095822974204E-4</v>
      </c>
      <c r="O166" s="157">
        <f>IF($E166="","",IF($C166=12,IF($B166&lt;Input!$C$9,Input!$C$54,IF($B166=Input!$C$9,Input!$C$55,Input!$C$56)),0%))</f>
        <v>0</v>
      </c>
      <c r="P166" s="167">
        <f>IF($E166="","",IF($B166=1,Input!$C$59,IF($B166&lt;6,Input!$C$60,0%)))</f>
        <v>0</v>
      </c>
      <c r="Q166" s="162">
        <f>IF($E166="","",Input!$C$58)</f>
        <v>2.5</v>
      </c>
      <c r="R166" s="156">
        <f t="shared" si="54"/>
        <v>0.99972541904177026</v>
      </c>
      <c r="S166" s="154">
        <f t="shared" si="43"/>
        <v>0.43829198733718461</v>
      </c>
      <c r="T166" s="152"/>
      <c r="U166" s="150">
        <f t="shared" si="55"/>
        <v>0</v>
      </c>
      <c r="V166" s="150">
        <f t="shared" si="56"/>
        <v>0</v>
      </c>
      <c r="W166" s="168">
        <f t="shared" si="57"/>
        <v>0</v>
      </c>
      <c r="X166" s="163">
        <f t="shared" si="44"/>
        <v>27.458095822974204</v>
      </c>
      <c r="Y166" s="152"/>
      <c r="Z166" s="164">
        <f>IF(AND($C165=12,$D165=Input!$C$6),0,IF($E166="","",V166+Z167/(1+L166)*R166))</f>
        <v>3691.329616900473</v>
      </c>
      <c r="AA166" s="164">
        <f>IF(OR($M166=1,AND($C165=12,$D165=Input!$C$6)),0,IF($E166="","",W166+(X166+AA167*$R166)/(1+$L166)))</f>
        <v>3363.1093027507854</v>
      </c>
      <c r="AB166" s="160">
        <f t="shared" si="45"/>
        <v>0.825720328500681</v>
      </c>
      <c r="AC166" s="164">
        <f t="shared" si="46"/>
        <v>0</v>
      </c>
      <c r="AD166" s="164">
        <f>IF(AND($C165=12,$D165=Input!$C$6),0,IF($E166="","",$AC166+AD167/(1+$L166)*$R166))</f>
        <v>3048.0059038713503</v>
      </c>
      <c r="AE166" s="152"/>
      <c r="AF166" s="164">
        <f>IF(AND($C165=12,$D165=Input!$C$6),0,IF($E166="","",IF($B166&gt;Input!$C$9,$AC166,0)+AF167/(1+$L166)*$R166))</f>
        <v>2243.3062185671652</v>
      </c>
      <c r="AG166" s="164">
        <f>IF(AND($C165=12,$D165=Input!$C$6),0,IF($E166="","",(IF($B166&gt;Input!$C$9,$X166,0)+AG167)/(1+$L166)*$R166))</f>
        <v>1070.7835447213381</v>
      </c>
      <c r="AH166" s="160">
        <f t="shared" si="47"/>
        <v>2.0950137211446997</v>
      </c>
      <c r="AI166" s="160">
        <f>IF($E166="","",MIN(Input!$C$61/AH166,1))</f>
        <v>0.64438718771845094</v>
      </c>
      <c r="AJ166" s="152"/>
      <c r="AK166" s="164">
        <f>IF(AND($C165=12,$D165=Input!$C$6),0,IF($E166="","",IF($B166&gt;Input!$C$9,$AC166*AI166,0)+AK167/(1+$L166)*$R166))</f>
        <v>1445.5577853738093</v>
      </c>
      <c r="AL166" s="164">
        <f>IF(AND($C165=12,$D165=Input!$C$6),0,IF($E166="","",IF($B166&gt;Input!$C$9,0,$AC166)+AL167/(1+$L166)*$R166))</f>
        <v>804.69968530418532</v>
      </c>
      <c r="AM166" s="160">
        <f t="shared" si="48"/>
        <v>1.1382936520186004</v>
      </c>
      <c r="AN166" s="164">
        <f>IF($E166="","",IF($B166&gt;Input!$C$9,$AI166*$AC166,$AM166*$AC166))</f>
        <v>0</v>
      </c>
      <c r="AO166" s="164">
        <f>IF(AND($C165=12,$D165=Input!$C$6),0,IF($E166="","",$AN166+AO167/(1+$L166)*$R166))</f>
        <v>2361.5423289369292</v>
      </c>
      <c r="AP166" s="152"/>
      <c r="AQ166" s="164">
        <f t="shared" si="49"/>
        <v>1001.5669738138563</v>
      </c>
      <c r="AR166" s="164">
        <f t="shared" si="58"/>
        <v>971.77057058338414</v>
      </c>
      <c r="AS166" s="164">
        <f t="shared" si="59"/>
        <v>157.41626794258374</v>
      </c>
      <c r="AT166" s="164">
        <f t="shared" si="50"/>
        <v>971.77057058338414</v>
      </c>
      <c r="AU166" s="152"/>
      <c r="AV166" s="147">
        <f>'Deterministic Reserve'!BC166</f>
        <v>0.526730044888302</v>
      </c>
      <c r="AW166" s="164">
        <f t="shared" si="51"/>
        <v>971.77057058338414</v>
      </c>
      <c r="AX166" s="164">
        <f t="shared" si="52"/>
        <v>511.86075626451679</v>
      </c>
      <c r="AY166" s="152"/>
    </row>
    <row r="167" spans="1:51" s="150" customFormat="1" x14ac:dyDescent="0.25">
      <c r="A167" s="150">
        <f t="shared" si="60"/>
        <v>163</v>
      </c>
      <c r="B167" s="150">
        <f t="shared" si="61"/>
        <v>14</v>
      </c>
      <c r="C167" s="150">
        <f t="shared" si="62"/>
        <v>7</v>
      </c>
      <c r="D167" s="150">
        <f>IF(E167="","",Input!$C$4+B167-1)</f>
        <v>58</v>
      </c>
      <c r="E167" s="150">
        <f>IF(OR(AND(C166=12,D166=Input!$C$6),E166=""),"",1)</f>
        <v>1</v>
      </c>
      <c r="F167" s="150">
        <f>IF(E167="","",Input!$C$8+B167-1)</f>
        <v>2031</v>
      </c>
      <c r="G167" s="151">
        <f>IF(E167="","",MAX(0,Input!$C$9-B167))</f>
        <v>6</v>
      </c>
      <c r="H167" s="152">
        <f>IF(E167="","",Input!$C$3)</f>
        <v>100000</v>
      </c>
      <c r="I167" s="153">
        <f>IF(E167="","",HLOOKUP($B167,Input!$C$13:$BT$14,2))</f>
        <v>2.2999999999999998</v>
      </c>
      <c r="J167" s="154"/>
      <c r="K167" s="155">
        <f>IF($E167="","",Input!$C$57)</f>
        <v>4.4999999999999998E-2</v>
      </c>
      <c r="L167" s="155">
        <f t="shared" si="53"/>
        <v>3.6748094004368514E-3</v>
      </c>
      <c r="M167" s="147">
        <f>IF($E167="","",VLOOKUP(IF($B167&lt;=Input!$C$7,$B167,26),'Mortality Tables'!$A$72:$CA$97,IF($B167&lt;=Input!$C$7+1,Input!$C$4-16,$D167-Input!$C$7-16),0)/1000)</f>
        <v>3.29E-3</v>
      </c>
      <c r="N167" s="147">
        <f t="shared" si="42"/>
        <v>2.7458095822974204E-4</v>
      </c>
      <c r="O167" s="157">
        <f>IF($E167="","",IF($C167=12,IF($B167&lt;Input!$C$9,Input!$C$54,IF($B167=Input!$C$9,Input!$C$55,Input!$C$56)),0%))</f>
        <v>0</v>
      </c>
      <c r="P167" s="167">
        <f>IF($E167="","",IF($B167=1,Input!$C$59,IF($B167&lt;6,Input!$C$60,0%)))</f>
        <v>0</v>
      </c>
      <c r="Q167" s="162">
        <f>IF($E167="","",Input!$C$58)</f>
        <v>2.5</v>
      </c>
      <c r="R167" s="156">
        <f t="shared" si="54"/>
        <v>0.99972541904177026</v>
      </c>
      <c r="S167" s="154">
        <f t="shared" si="43"/>
        <v>0.43817164070331716</v>
      </c>
      <c r="T167" s="152"/>
      <c r="U167" s="150">
        <f t="shared" si="55"/>
        <v>0</v>
      </c>
      <c r="V167" s="150">
        <f t="shared" si="56"/>
        <v>0</v>
      </c>
      <c r="W167" s="168">
        <f t="shared" si="57"/>
        <v>0</v>
      </c>
      <c r="X167" s="163">
        <f t="shared" si="44"/>
        <v>27.458095822974204</v>
      </c>
      <c r="Y167" s="152"/>
      <c r="Z167" s="164">
        <f>IF(AND($C166=12,$D166=Input!$C$6),0,IF($E167="","",V167+Z168/(1+L167)*R167))</f>
        <v>3705.9121225785025</v>
      </c>
      <c r="AA167" s="164">
        <f>IF(OR($M167=1,AND($C166=12,$D166=Input!$C$6)),0,IF($E167="","",W167+(X167+AA168*$R167)/(1+$L167)))</f>
        <v>3348.9295448917364</v>
      </c>
      <c r="AB167" s="160">
        <f t="shared" si="45"/>
        <v>0.825720328500681</v>
      </c>
      <c r="AC167" s="164">
        <f t="shared" si="46"/>
        <v>0</v>
      </c>
      <c r="AD167" s="164">
        <f>IF(AND($C166=12,$D166=Input!$C$6),0,IF($E167="","",$AC167+AD168/(1+$L167)*$R167))</f>
        <v>3060.0469752501758</v>
      </c>
      <c r="AE167" s="152"/>
      <c r="AF167" s="164">
        <f>IF(AND($C166=12,$D166=Input!$C$6),0,IF($E167="","",IF($B167&gt;Input!$C$9,$AC167,0)+AF168/(1+$L167)*$R167))</f>
        <v>2252.1683438891741</v>
      </c>
      <c r="AG167" s="164">
        <f>IF(AND($C166=12,$D166=Input!$C$6),0,IF($E167="","",(IF($B167&gt;Input!$C$9,$X167,0)+AG168)/(1+$L167)*$R167))</f>
        <v>1075.0136484350105</v>
      </c>
      <c r="AH167" s="160">
        <f t="shared" si="47"/>
        <v>2.0950137211446997</v>
      </c>
      <c r="AI167" s="160">
        <f>IF($E167="","",MIN(Input!$C$61/AH167,1))</f>
        <v>0.64438718771845094</v>
      </c>
      <c r="AJ167" s="152"/>
      <c r="AK167" s="164">
        <f>IF(AND($C166=12,$D166=Input!$C$6),0,IF($E167="","",IF($B167&gt;Input!$C$9,$AC167*AI167,0)+AK168/(1+$L167)*$R167))</f>
        <v>1451.2684253872671</v>
      </c>
      <c r="AL167" s="164">
        <f>IF(AND($C166=12,$D166=Input!$C$6),0,IF($E167="","",IF($B167&gt;Input!$C$9,0,$AC167)+AL168/(1+$L167)*$R167))</f>
        <v>807.87863136100214</v>
      </c>
      <c r="AM167" s="160">
        <f t="shared" si="48"/>
        <v>1.1382936520186004</v>
      </c>
      <c r="AN167" s="164">
        <f>IF($E167="","",IF($B167&gt;Input!$C$9,$AI167*$AC167,$AM167*$AC167))</f>
        <v>0</v>
      </c>
      <c r="AO167" s="164">
        <f>IF(AND($C166=12,$D166=Input!$C$6),0,IF($E167="","",$AN167+AO168/(1+$L167)*$R167))</f>
        <v>2370.8715430669713</v>
      </c>
      <c r="AP167" s="152"/>
      <c r="AQ167" s="164">
        <f t="shared" si="49"/>
        <v>978.05800182476514</v>
      </c>
      <c r="AR167" s="164">
        <f t="shared" si="58"/>
        <v>971.77057058338414</v>
      </c>
      <c r="AS167" s="164">
        <f t="shared" si="59"/>
        <v>157.41626794258374</v>
      </c>
      <c r="AT167" s="164">
        <f t="shared" si="50"/>
        <v>971.77057058338414</v>
      </c>
      <c r="AU167" s="152"/>
      <c r="AV167" s="147">
        <f>'Deterministic Reserve'!BC167</f>
        <v>0.52663717667578314</v>
      </c>
      <c r="AW167" s="164">
        <f t="shared" si="51"/>
        <v>971.77057058338414</v>
      </c>
      <c r="AX167" s="164">
        <f t="shared" si="52"/>
        <v>511.77050966864829</v>
      </c>
      <c r="AY167" s="152"/>
    </row>
    <row r="168" spans="1:51" s="150" customFormat="1" x14ac:dyDescent="0.25">
      <c r="A168" s="150">
        <f t="shared" si="60"/>
        <v>164</v>
      </c>
      <c r="B168" s="150">
        <f t="shared" si="61"/>
        <v>14</v>
      </c>
      <c r="C168" s="150">
        <f t="shared" si="62"/>
        <v>8</v>
      </c>
      <c r="D168" s="150">
        <f>IF(E168="","",Input!$C$4+B168-1)</f>
        <v>58</v>
      </c>
      <c r="E168" s="150">
        <f>IF(OR(AND(C167=12,D167=Input!$C$6),E167=""),"",1)</f>
        <v>1</v>
      </c>
      <c r="F168" s="150">
        <f>IF(E168="","",Input!$C$8+B168-1)</f>
        <v>2031</v>
      </c>
      <c r="G168" s="151">
        <f>IF(E168="","",MAX(0,Input!$C$9-B168))</f>
        <v>6</v>
      </c>
      <c r="H168" s="152">
        <f>IF(E168="","",Input!$C$3)</f>
        <v>100000</v>
      </c>
      <c r="I168" s="153">
        <f>IF(E168="","",HLOOKUP($B168,Input!$C$13:$BT$14,2))</f>
        <v>2.2999999999999998</v>
      </c>
      <c r="J168" s="154"/>
      <c r="K168" s="155">
        <f>IF($E168="","",Input!$C$57)</f>
        <v>4.4999999999999998E-2</v>
      </c>
      <c r="L168" s="155">
        <f t="shared" si="53"/>
        <v>3.6748094004368514E-3</v>
      </c>
      <c r="M168" s="147">
        <f>IF($E168="","",VLOOKUP(IF($B168&lt;=Input!$C$7,$B168,26),'Mortality Tables'!$A$72:$CA$97,IF($B168&lt;=Input!$C$7+1,Input!$C$4-16,$D168-Input!$C$7-16),0)/1000)</f>
        <v>3.29E-3</v>
      </c>
      <c r="N168" s="147">
        <f t="shared" si="42"/>
        <v>2.7458095822974204E-4</v>
      </c>
      <c r="O168" s="157">
        <f>IF($E168="","",IF($C168=12,IF($B168&lt;Input!$C$9,Input!$C$54,IF($B168=Input!$C$9,Input!$C$55,Input!$C$56)),0%))</f>
        <v>0</v>
      </c>
      <c r="P168" s="167">
        <f>IF($E168="","",IF($B168=1,Input!$C$59,IF($B168&lt;6,Input!$C$60,0%)))</f>
        <v>0</v>
      </c>
      <c r="Q168" s="162">
        <f>IF($E168="","",Input!$C$58)</f>
        <v>2.5</v>
      </c>
      <c r="R168" s="156">
        <f t="shared" si="54"/>
        <v>0.99972541904177026</v>
      </c>
      <c r="S168" s="154">
        <f t="shared" si="43"/>
        <v>0.43805132711434375</v>
      </c>
      <c r="T168" s="152"/>
      <c r="U168" s="150">
        <f t="shared" si="55"/>
        <v>0</v>
      </c>
      <c r="V168" s="150">
        <f t="shared" si="56"/>
        <v>0</v>
      </c>
      <c r="W168" s="168">
        <f t="shared" si="57"/>
        <v>0</v>
      </c>
      <c r="X168" s="163">
        <f t="shared" si="44"/>
        <v>27.458095822974204</v>
      </c>
      <c r="Y168" s="152"/>
      <c r="Z168" s="164">
        <f>IF(AND($C167=12,$D167=Input!$C$6),0,IF($E168="","",V168+Z169/(1+L168)*R168))</f>
        <v>3720.5522360818736</v>
      </c>
      <c r="AA168" s="164">
        <f>IF(OR($M168=1,AND($C167=12,$D167=Input!$C$6)),0,IF($E168="","",W168+(X168+AA169*$R168)/(1+$L168)))</f>
        <v>3334.6937702525693</v>
      </c>
      <c r="AB168" s="160">
        <f t="shared" si="45"/>
        <v>0.825720328500681</v>
      </c>
      <c r="AC168" s="164">
        <f t="shared" si="46"/>
        <v>0</v>
      </c>
      <c r="AD168" s="164">
        <f>IF(AND($C167=12,$D167=Input!$C$6),0,IF($E168="","",$AC168+AD169/(1+$L168)*$R168))</f>
        <v>3072.1356145814671</v>
      </c>
      <c r="AE168" s="152"/>
      <c r="AF168" s="164">
        <f>IF(AND($C167=12,$D167=Input!$C$6),0,IF($E168="","",IF($B168&gt;Input!$C$9,$AC168,0)+AF169/(1+$L168)*$R168))</f>
        <v>2261.0654788164579</v>
      </c>
      <c r="AG168" s="164">
        <f>IF(AND($C167=12,$D167=Input!$C$6),0,IF($E168="","",(IF($B168&gt;Input!$C$9,$X168,0)+AG169)/(1+$L168)*$R168))</f>
        <v>1079.2604630680059</v>
      </c>
      <c r="AH168" s="160">
        <f t="shared" si="47"/>
        <v>2.0950137211446997</v>
      </c>
      <c r="AI168" s="160">
        <f>IF($E168="","",MIN(Input!$C$61/AH168,1))</f>
        <v>0.64438718771845094</v>
      </c>
      <c r="AJ168" s="152"/>
      <c r="AK168" s="164">
        <f>IF(AND($C167=12,$D167=Input!$C$6),0,IF($E168="","",IF($B168&gt;Input!$C$9,$AC168*AI168,0)+AK169/(1+$L168)*$R168))</f>
        <v>1457.001625141811</v>
      </c>
      <c r="AL168" s="164">
        <f>IF(AND($C167=12,$D167=Input!$C$6),0,IF($E168="","",IF($B168&gt;Input!$C$9,0,$AC168)+AL169/(1+$L168)*$R168))</f>
        <v>811.07013576500947</v>
      </c>
      <c r="AM168" s="160">
        <f t="shared" si="48"/>
        <v>1.1382936520186004</v>
      </c>
      <c r="AN168" s="164">
        <f>IF($E168="","",IF($B168&gt;Input!$C$9,$AI168*$AC168,$AM168*$AC168))</f>
        <v>0</v>
      </c>
      <c r="AO168" s="164">
        <f>IF(AND($C167=12,$D167=Input!$C$6),0,IF($E168="","",$AN168+AO169/(1+$L168)*$R168))</f>
        <v>2380.237612024986</v>
      </c>
      <c r="AP168" s="152"/>
      <c r="AQ168" s="164">
        <f t="shared" si="49"/>
        <v>954.45615822758327</v>
      </c>
      <c r="AR168" s="164">
        <f t="shared" si="58"/>
        <v>971.77057058338414</v>
      </c>
      <c r="AS168" s="164">
        <f t="shared" si="59"/>
        <v>157.41626794258374</v>
      </c>
      <c r="AT168" s="164">
        <f t="shared" si="50"/>
        <v>971.77057058338414</v>
      </c>
      <c r="AU168" s="152"/>
      <c r="AV168" s="147">
        <f>'Deterministic Reserve'!BC168</f>
        <v>0.52654432483693603</v>
      </c>
      <c r="AW168" s="164">
        <f t="shared" si="51"/>
        <v>971.77057058338414</v>
      </c>
      <c r="AX168" s="164">
        <f t="shared" si="52"/>
        <v>511.68027898423207</v>
      </c>
      <c r="AY168" s="152"/>
    </row>
    <row r="169" spans="1:51" s="150" customFormat="1" x14ac:dyDescent="0.25">
      <c r="A169" s="150">
        <f t="shared" si="60"/>
        <v>165</v>
      </c>
      <c r="B169" s="150">
        <f t="shared" si="61"/>
        <v>14</v>
      </c>
      <c r="C169" s="150">
        <f t="shared" si="62"/>
        <v>9</v>
      </c>
      <c r="D169" s="150">
        <f>IF(E169="","",Input!$C$4+B169-1)</f>
        <v>58</v>
      </c>
      <c r="E169" s="150">
        <f>IF(OR(AND(C168=12,D168=Input!$C$6),E168=""),"",1)</f>
        <v>1</v>
      </c>
      <c r="F169" s="150">
        <f>IF(E169="","",Input!$C$8+B169-1)</f>
        <v>2031</v>
      </c>
      <c r="G169" s="151">
        <f>IF(E169="","",MAX(0,Input!$C$9-B169))</f>
        <v>6</v>
      </c>
      <c r="H169" s="152">
        <f>IF(E169="","",Input!$C$3)</f>
        <v>100000</v>
      </c>
      <c r="I169" s="153">
        <f>IF(E169="","",HLOOKUP($B169,Input!$C$13:$BT$14,2))</f>
        <v>2.2999999999999998</v>
      </c>
      <c r="J169" s="154"/>
      <c r="K169" s="155">
        <f>IF($E169="","",Input!$C$57)</f>
        <v>4.4999999999999998E-2</v>
      </c>
      <c r="L169" s="155">
        <f t="shared" si="53"/>
        <v>3.6748094004368514E-3</v>
      </c>
      <c r="M169" s="147">
        <f>IF($E169="","",VLOOKUP(IF($B169&lt;=Input!$C$7,$B169,26),'Mortality Tables'!$A$72:$CA$97,IF($B169&lt;=Input!$C$7+1,Input!$C$4-16,$D169-Input!$C$7-16),0)/1000)</f>
        <v>3.29E-3</v>
      </c>
      <c r="N169" s="147">
        <f t="shared" si="42"/>
        <v>2.7458095822974204E-4</v>
      </c>
      <c r="O169" s="157">
        <f>IF($E169="","",IF($C169=12,IF($B169&lt;Input!$C$9,Input!$C$54,IF($B169=Input!$C$9,Input!$C$55,Input!$C$56)),0%))</f>
        <v>0</v>
      </c>
      <c r="P169" s="167">
        <f>IF($E169="","",IF($B169=1,Input!$C$59,IF($B169&lt;6,Input!$C$60,0%)))</f>
        <v>0</v>
      </c>
      <c r="Q169" s="162">
        <f>IF($E169="","",Input!$C$58)</f>
        <v>2.5</v>
      </c>
      <c r="R169" s="156">
        <f t="shared" si="54"/>
        <v>0.99972541904177026</v>
      </c>
      <c r="S169" s="154">
        <f t="shared" si="43"/>
        <v>0.43793104656119086</v>
      </c>
      <c r="T169" s="152"/>
      <c r="U169" s="150">
        <f t="shared" si="55"/>
        <v>0</v>
      </c>
      <c r="V169" s="150">
        <f t="shared" si="56"/>
        <v>0</v>
      </c>
      <c r="W169" s="168">
        <f t="shared" si="57"/>
        <v>0</v>
      </c>
      <c r="X169" s="163">
        <f t="shared" si="44"/>
        <v>27.458095822974204</v>
      </c>
      <c r="Y169" s="152"/>
      <c r="Z169" s="164">
        <f>IF(AND($C168=12,$D168=Input!$C$6),0,IF($E169="","",V169+Z170/(1+L169)*R169))</f>
        <v>3735.2501849888658</v>
      </c>
      <c r="AA169" s="164">
        <f>IF(OR($M169=1,AND($C168=12,$D168=Input!$C$6)),0,IF($E169="","",W169+(X169+AA170*$R169)/(1+$L169)))</f>
        <v>3320.4017575403905</v>
      </c>
      <c r="AB169" s="160">
        <f t="shared" si="45"/>
        <v>0.825720328500681</v>
      </c>
      <c r="AC169" s="164">
        <f t="shared" si="46"/>
        <v>0</v>
      </c>
      <c r="AD169" s="164">
        <f>IF(AND($C168=12,$D168=Input!$C$6),0,IF($E169="","",$AC169+AD170/(1+$L169)*$R169))</f>
        <v>3084.2720097812348</v>
      </c>
      <c r="AE169" s="152"/>
      <c r="AF169" s="164">
        <f>IF(AND($C168=12,$D168=Input!$C$6),0,IF($E169="","",IF($B169&gt;Input!$C$9,$AC169,0)+AF170/(1+$L169)*$R169))</f>
        <v>2269.9977616535898</v>
      </c>
      <c r="AG169" s="164">
        <f>IF(AND($C168=12,$D168=Input!$C$6),0,IF($E169="","",(IF($B169&gt;Input!$C$9,$X169,0)+AG170)/(1+$L169)*$R169))</f>
        <v>1083.524054636395</v>
      </c>
      <c r="AH169" s="160">
        <f t="shared" si="47"/>
        <v>2.0950137211446997</v>
      </c>
      <c r="AI169" s="160">
        <f>IF($E169="","",MIN(Input!$C$61/AH169,1))</f>
        <v>0.64438718771845094</v>
      </c>
      <c r="AJ169" s="152"/>
      <c r="AK169" s="164">
        <f>IF(AND($C168=12,$D168=Input!$C$6),0,IF($E169="","",IF($B169&gt;Input!$C$9,$AC169*AI169,0)+AK170/(1+$L169)*$R169))</f>
        <v>1462.7574737591365</v>
      </c>
      <c r="AL169" s="164">
        <f>IF(AND($C168=12,$D168=Input!$C$6),0,IF($E169="","",IF($B169&gt;Input!$C$9,0,$AC169)+AL170/(1+$L169)*$R169))</f>
        <v>814.27424812764502</v>
      </c>
      <c r="AM169" s="160">
        <f t="shared" si="48"/>
        <v>1.1382936520186004</v>
      </c>
      <c r="AN169" s="164">
        <f>IF($E169="","",IF($B169&gt;Input!$C$9,$AI169*$AC169,$AM169*$AC169))</f>
        <v>0</v>
      </c>
      <c r="AO169" s="164">
        <f>IF(AND($C168=12,$D168=Input!$C$6),0,IF($E169="","",$AN169+AO170/(1+$L169)*$R169))</f>
        <v>2389.6406814050538</v>
      </c>
      <c r="AP169" s="152"/>
      <c r="AQ169" s="164">
        <f t="shared" si="49"/>
        <v>930.76107613533668</v>
      </c>
      <c r="AR169" s="164">
        <f t="shared" si="58"/>
        <v>971.77057058338414</v>
      </c>
      <c r="AS169" s="164">
        <f t="shared" si="59"/>
        <v>157.41626794258374</v>
      </c>
      <c r="AT169" s="164">
        <f t="shared" si="50"/>
        <v>971.77057058338414</v>
      </c>
      <c r="AU169" s="152"/>
      <c r="AV169" s="147">
        <f>'Deterministic Reserve'!BC169</f>
        <v>0.52645148936887387</v>
      </c>
      <c r="AW169" s="164">
        <f t="shared" si="51"/>
        <v>971.77057058338414</v>
      </c>
      <c r="AX169" s="164">
        <f t="shared" si="52"/>
        <v>511.59006420846293</v>
      </c>
      <c r="AY169" s="152"/>
    </row>
    <row r="170" spans="1:51" s="150" customFormat="1" x14ac:dyDescent="0.25">
      <c r="A170" s="150">
        <f t="shared" si="60"/>
        <v>166</v>
      </c>
      <c r="B170" s="150">
        <f t="shared" si="61"/>
        <v>14</v>
      </c>
      <c r="C170" s="150">
        <f t="shared" si="62"/>
        <v>10</v>
      </c>
      <c r="D170" s="150">
        <f>IF(E170="","",Input!$C$4+B170-1)</f>
        <v>58</v>
      </c>
      <c r="E170" s="150">
        <f>IF(OR(AND(C169=12,D169=Input!$C$6),E169=""),"",1)</f>
        <v>1</v>
      </c>
      <c r="F170" s="150">
        <f>IF(E170="","",Input!$C$8+B170-1)</f>
        <v>2031</v>
      </c>
      <c r="G170" s="151">
        <f>IF(E170="","",MAX(0,Input!$C$9-B170))</f>
        <v>6</v>
      </c>
      <c r="H170" s="152">
        <f>IF(E170="","",Input!$C$3)</f>
        <v>100000</v>
      </c>
      <c r="I170" s="153">
        <f>IF(E170="","",HLOOKUP($B170,Input!$C$13:$BT$14,2))</f>
        <v>2.2999999999999998</v>
      </c>
      <c r="J170" s="154"/>
      <c r="K170" s="155">
        <f>IF($E170="","",Input!$C$57)</f>
        <v>4.4999999999999998E-2</v>
      </c>
      <c r="L170" s="155">
        <f t="shared" si="53"/>
        <v>3.6748094004368514E-3</v>
      </c>
      <c r="M170" s="147">
        <f>IF($E170="","",VLOOKUP(IF($B170&lt;=Input!$C$7,$B170,26),'Mortality Tables'!$A$72:$CA$97,IF($B170&lt;=Input!$C$7+1,Input!$C$4-16,$D170-Input!$C$7-16),0)/1000)</f>
        <v>3.29E-3</v>
      </c>
      <c r="N170" s="147">
        <f t="shared" si="42"/>
        <v>2.7458095822974204E-4</v>
      </c>
      <c r="O170" s="157">
        <f>IF($E170="","",IF($C170=12,IF($B170&lt;Input!$C$9,Input!$C$54,IF($B170=Input!$C$9,Input!$C$55,Input!$C$56)),0%))</f>
        <v>0</v>
      </c>
      <c r="P170" s="167">
        <f>IF($E170="","",IF($B170=1,Input!$C$59,IF($B170&lt;6,Input!$C$60,0%)))</f>
        <v>0</v>
      </c>
      <c r="Q170" s="162">
        <f>IF($E170="","",Input!$C$58)</f>
        <v>2.5</v>
      </c>
      <c r="R170" s="156">
        <f t="shared" si="54"/>
        <v>0.99972541904177026</v>
      </c>
      <c r="S170" s="154">
        <f t="shared" si="43"/>
        <v>0.43781079903478753</v>
      </c>
      <c r="T170" s="152"/>
      <c r="U170" s="150">
        <f t="shared" si="55"/>
        <v>0</v>
      </c>
      <c r="V170" s="150">
        <f t="shared" si="56"/>
        <v>0</v>
      </c>
      <c r="W170" s="168">
        <f t="shared" si="57"/>
        <v>0</v>
      </c>
      <c r="X170" s="163">
        <f t="shared" si="44"/>
        <v>27.458095822974204</v>
      </c>
      <c r="Y170" s="152"/>
      <c r="Z170" s="164">
        <f>IF(AND($C169=12,$D169=Input!$C$6),0,IF($E170="","",V170+Z171/(1+L170)*R170))</f>
        <v>3750.0061977767996</v>
      </c>
      <c r="AA170" s="164">
        <f>IF(OR($M170=1,AND($C169=12,$D169=Input!$C$6)),0,IF($E170="","",W170+(X170+AA171*$R170)/(1+$L170)))</f>
        <v>3306.0532845880934</v>
      </c>
      <c r="AB170" s="160">
        <f t="shared" si="45"/>
        <v>0.825720328500681</v>
      </c>
      <c r="AC170" s="164">
        <f t="shared" si="46"/>
        <v>0</v>
      </c>
      <c r="AD170" s="164">
        <f>IF(AND($C169=12,$D169=Input!$C$6),0,IF($E170="","",$AC170+AD171/(1+$L170)*$R170))</f>
        <v>3096.4563495078478</v>
      </c>
      <c r="AE170" s="152"/>
      <c r="AF170" s="164">
        <f>IF(AND($C169=12,$D169=Input!$C$6),0,IF($E170="","",IF($B170&gt;Input!$C$9,$AC170,0)+AF171/(1+$L170)*$R170))</f>
        <v>2278.9653312515125</v>
      </c>
      <c r="AG170" s="164">
        <f>IF(AND($C169=12,$D169=Input!$C$6),0,IF($E170="","",(IF($B170&gt;Input!$C$9,$X170,0)+AG171)/(1+$L170)*$R170))</f>
        <v>1087.804489417043</v>
      </c>
      <c r="AH170" s="160">
        <f t="shared" si="47"/>
        <v>2.0950137211446997</v>
      </c>
      <c r="AI170" s="160">
        <f>IF($E170="","",MIN(Input!$C$61/AH170,1))</f>
        <v>0.64438718771845094</v>
      </c>
      <c r="AJ170" s="152"/>
      <c r="AK170" s="164">
        <f>IF(AND($C169=12,$D169=Input!$C$6),0,IF($E170="","",IF($B170&gt;Input!$C$9,$AC170*AI170,0)+AK171/(1+$L170)*$R170))</f>
        <v>1468.5360607130112</v>
      </c>
      <c r="AL170" s="164">
        <f>IF(AND($C169=12,$D169=Input!$C$6),0,IF($E170="","",IF($B170&gt;Input!$C$9,0,$AC170)+AL171/(1+$L170)*$R170))</f>
        <v>817.49101825633522</v>
      </c>
      <c r="AM170" s="160">
        <f t="shared" si="48"/>
        <v>1.1382936520186004</v>
      </c>
      <c r="AN170" s="164">
        <f>IF($E170="","",IF($B170&gt;Input!$C$9,$AI170*$AC170,$AM170*$AC170))</f>
        <v>0</v>
      </c>
      <c r="AO170" s="164">
        <f>IF(AND($C169=12,$D169=Input!$C$6),0,IF($E170="","",$AN170+AO171/(1+$L170)*$R170))</f>
        <v>2399.0808973764197</v>
      </c>
      <c r="AP170" s="152"/>
      <c r="AQ170" s="164">
        <f t="shared" si="49"/>
        <v>906.97238721167378</v>
      </c>
      <c r="AR170" s="164">
        <f t="shared" si="58"/>
        <v>971.77057058338414</v>
      </c>
      <c r="AS170" s="164">
        <f t="shared" si="59"/>
        <v>157.41626794258374</v>
      </c>
      <c r="AT170" s="164">
        <f t="shared" si="50"/>
        <v>971.77057058338414</v>
      </c>
      <c r="AU170" s="152"/>
      <c r="AV170" s="147">
        <f>'Deterministic Reserve'!BC170</f>
        <v>0.52635867026871042</v>
      </c>
      <c r="AW170" s="164">
        <f t="shared" si="51"/>
        <v>971.77057058338414</v>
      </c>
      <c r="AX170" s="164">
        <f t="shared" si="52"/>
        <v>511.4998653385361</v>
      </c>
      <c r="AY170" s="152"/>
    </row>
    <row r="171" spans="1:51" s="150" customFormat="1" x14ac:dyDescent="0.25">
      <c r="A171" s="150">
        <f t="shared" si="60"/>
        <v>167</v>
      </c>
      <c r="B171" s="150">
        <f t="shared" si="61"/>
        <v>14</v>
      </c>
      <c r="C171" s="150">
        <f t="shared" si="62"/>
        <v>11</v>
      </c>
      <c r="D171" s="150">
        <f>IF(E171="","",Input!$C$4+B171-1)</f>
        <v>58</v>
      </c>
      <c r="E171" s="150">
        <f>IF(OR(AND(C170=12,D170=Input!$C$6),E170=""),"",1)</f>
        <v>1</v>
      </c>
      <c r="F171" s="150">
        <f>IF(E171="","",Input!$C$8+B171-1)</f>
        <v>2031</v>
      </c>
      <c r="G171" s="151">
        <f>IF(E171="","",MAX(0,Input!$C$9-B171))</f>
        <v>6</v>
      </c>
      <c r="H171" s="152">
        <f>IF(E171="","",Input!$C$3)</f>
        <v>100000</v>
      </c>
      <c r="I171" s="153">
        <f>IF(E171="","",HLOOKUP($B171,Input!$C$13:$BT$14,2))</f>
        <v>2.2999999999999998</v>
      </c>
      <c r="J171" s="154"/>
      <c r="K171" s="155">
        <f>IF($E171="","",Input!$C$57)</f>
        <v>4.4999999999999998E-2</v>
      </c>
      <c r="L171" s="155">
        <f t="shared" si="53"/>
        <v>3.6748094004368514E-3</v>
      </c>
      <c r="M171" s="147">
        <f>IF($E171="","",VLOOKUP(IF($B171&lt;=Input!$C$7,$B171,26),'Mortality Tables'!$A$72:$CA$97,IF($B171&lt;=Input!$C$7+1,Input!$C$4-16,$D171-Input!$C$7-16),0)/1000)</f>
        <v>3.29E-3</v>
      </c>
      <c r="N171" s="147">
        <f t="shared" si="42"/>
        <v>2.7458095822974204E-4</v>
      </c>
      <c r="O171" s="157">
        <f>IF($E171="","",IF($C171=12,IF($B171&lt;Input!$C$9,Input!$C$54,IF($B171=Input!$C$9,Input!$C$55,Input!$C$56)),0%))</f>
        <v>0</v>
      </c>
      <c r="P171" s="167">
        <f>IF($E171="","",IF($B171=1,Input!$C$59,IF($B171&lt;6,Input!$C$60,0%)))</f>
        <v>0</v>
      </c>
      <c r="Q171" s="162">
        <f>IF($E171="","",Input!$C$58)</f>
        <v>2.5</v>
      </c>
      <c r="R171" s="156">
        <f t="shared" si="54"/>
        <v>0.99972541904177026</v>
      </c>
      <c r="S171" s="154">
        <f t="shared" si="43"/>
        <v>0.43769058452606524</v>
      </c>
      <c r="T171" s="152"/>
      <c r="U171" s="150">
        <f t="shared" si="55"/>
        <v>0</v>
      </c>
      <c r="V171" s="150">
        <f t="shared" si="56"/>
        <v>0</v>
      </c>
      <c r="W171" s="168">
        <f t="shared" si="57"/>
        <v>0</v>
      </c>
      <c r="X171" s="163">
        <f t="shared" si="44"/>
        <v>27.458095822974204</v>
      </c>
      <c r="Y171" s="152"/>
      <c r="Z171" s="164">
        <f>IF(AND($C170=12,$D170=Input!$C$6),0,IF($E171="","",V171+Z172/(1+L171)*R171))</f>
        <v>3764.8205038255896</v>
      </c>
      <c r="AA171" s="164">
        <f>IF(OR($M171=1,AND($C170=12,$D170=Input!$C$6)),0,IF($E171="","",W171+(X171+AA172*$R171)/(1+$L171)))</f>
        <v>3291.6481283509061</v>
      </c>
      <c r="AB171" s="160">
        <f t="shared" si="45"/>
        <v>0.825720328500681</v>
      </c>
      <c r="AC171" s="164">
        <f t="shared" si="46"/>
        <v>0</v>
      </c>
      <c r="AD171" s="164">
        <f>IF(AND($C170=12,$D170=Input!$C$6),0,IF($E171="","",$AC171+AD172/(1+$L171)*$R171))</f>
        <v>3108.6888231649646</v>
      </c>
      <c r="AE171" s="152"/>
      <c r="AF171" s="164">
        <f>IF(AND($C170=12,$D170=Input!$C$6),0,IF($E171="","",IF($B171&gt;Input!$C$9,$AC171,0)+AF172/(1+$L171)*$R171))</f>
        <v>2287.9683270096948</v>
      </c>
      <c r="AG171" s="164">
        <f>IF(AND($C170=12,$D170=Input!$C$6),0,IF($E171="","",(IF($B171&gt;Input!$C$9,$X171,0)+AG172)/(1+$L171)*$R171))</f>
        <v>1092.1018339486402</v>
      </c>
      <c r="AH171" s="160">
        <f t="shared" si="47"/>
        <v>2.0950137211446997</v>
      </c>
      <c r="AI171" s="160">
        <f>IF($E171="","",MIN(Input!$C$61/AH171,1))</f>
        <v>0.64438718771845094</v>
      </c>
      <c r="AJ171" s="152"/>
      <c r="AK171" s="164">
        <f>IF(AND($C170=12,$D170=Input!$C$6),0,IF($E171="","",IF($B171&gt;Input!$C$9,$AC171*AI171,0)+AK172/(1+$L171)*$R171))</f>
        <v>1474.3374758306675</v>
      </c>
      <c r="AL171" s="164">
        <f>IF(AND($C170=12,$D170=Input!$C$6),0,IF($E171="","",IF($B171&gt;Input!$C$9,0,$AC171)+AL172/(1+$L171)*$R171))</f>
        <v>820.72049615526942</v>
      </c>
      <c r="AM171" s="160">
        <f t="shared" si="48"/>
        <v>1.1382936520186004</v>
      </c>
      <c r="AN171" s="164">
        <f>IF($E171="","",IF($B171&gt;Input!$C$9,$AI171*$AC171,$AM171*$AC171))</f>
        <v>0</v>
      </c>
      <c r="AO171" s="164">
        <f>IF(AND($C170=12,$D170=Input!$C$6),0,IF($E171="","",$AN171+AO172/(1+$L171)*$R171))</f>
        <v>2408.5584066857673</v>
      </c>
      <c r="AP171" s="152"/>
      <c r="AQ171" s="164">
        <f t="shared" si="49"/>
        <v>883.08972166513877</v>
      </c>
      <c r="AR171" s="164">
        <f t="shared" si="58"/>
        <v>971.77057058338414</v>
      </c>
      <c r="AS171" s="164">
        <f t="shared" si="59"/>
        <v>157.41626794258374</v>
      </c>
      <c r="AT171" s="164">
        <f t="shared" si="50"/>
        <v>971.77057058338414</v>
      </c>
      <c r="AU171" s="152"/>
      <c r="AV171" s="147">
        <f>'Deterministic Reserve'!BC171</f>
        <v>0.52626586753355975</v>
      </c>
      <c r="AW171" s="164">
        <f t="shared" si="51"/>
        <v>971.77057058338414</v>
      </c>
      <c r="AX171" s="164">
        <f t="shared" si="52"/>
        <v>511.40968237164702</v>
      </c>
      <c r="AY171" s="152"/>
    </row>
    <row r="172" spans="1:51" s="150" customFormat="1" x14ac:dyDescent="0.25">
      <c r="A172" s="150">
        <f t="shared" si="60"/>
        <v>168</v>
      </c>
      <c r="B172" s="150">
        <f t="shared" si="61"/>
        <v>14</v>
      </c>
      <c r="C172" s="150">
        <f t="shared" si="62"/>
        <v>12</v>
      </c>
      <c r="D172" s="150">
        <f>IF(E172="","",Input!$C$4+B172-1)</f>
        <v>58</v>
      </c>
      <c r="E172" s="150">
        <f>IF(OR(AND(C171=12,D171=Input!$C$6),E171=""),"",1)</f>
        <v>1</v>
      </c>
      <c r="F172" s="150">
        <f>IF(E172="","",Input!$C$8+B172-1)</f>
        <v>2031</v>
      </c>
      <c r="G172" s="151">
        <f>IF(E172="","",MAX(0,Input!$C$9-B172))</f>
        <v>6</v>
      </c>
      <c r="H172" s="152">
        <f>IF(E172="","",Input!$C$3)</f>
        <v>100000</v>
      </c>
      <c r="I172" s="153">
        <f>IF(E172="","",HLOOKUP($B172,Input!$C$13:$BT$14,2))</f>
        <v>2.2999999999999998</v>
      </c>
      <c r="J172" s="154"/>
      <c r="K172" s="155">
        <f>IF($E172="","",Input!$C$57)</f>
        <v>4.4999999999999998E-2</v>
      </c>
      <c r="L172" s="155">
        <f t="shared" si="53"/>
        <v>3.6748094004368514E-3</v>
      </c>
      <c r="M172" s="147">
        <f>IF($E172="","",VLOOKUP(IF($B172&lt;=Input!$C$7,$B172,26),'Mortality Tables'!$A$72:$CA$97,IF($B172&lt;=Input!$C$7+1,Input!$C$4-16,$D172-Input!$C$7-16),0)/1000)</f>
        <v>3.29E-3</v>
      </c>
      <c r="N172" s="147">
        <f t="shared" si="42"/>
        <v>2.7458095822974204E-4</v>
      </c>
      <c r="O172" s="157">
        <f>IF($E172="","",IF($C172=12,IF($B172&lt;Input!$C$9,Input!$C$54,IF($B172=Input!$C$9,Input!$C$55,Input!$C$56)),0%))</f>
        <v>0.06</v>
      </c>
      <c r="P172" s="167">
        <f>IF($E172="","",IF($B172=1,Input!$C$59,IF($B172&lt;6,Input!$C$60,0%)))</f>
        <v>0</v>
      </c>
      <c r="Q172" s="162">
        <f>IF($E172="","",Input!$C$58)</f>
        <v>2.5</v>
      </c>
      <c r="R172" s="156">
        <f t="shared" si="54"/>
        <v>0.93972541904177032</v>
      </c>
      <c r="S172" s="154">
        <f t="shared" si="43"/>
        <v>0.41130896795439403</v>
      </c>
      <c r="T172" s="152"/>
      <c r="U172" s="150">
        <f t="shared" si="55"/>
        <v>0</v>
      </c>
      <c r="V172" s="150">
        <f t="shared" si="56"/>
        <v>0</v>
      </c>
      <c r="W172" s="168">
        <f t="shared" si="57"/>
        <v>0</v>
      </c>
      <c r="X172" s="163">
        <f t="shared" si="44"/>
        <v>27.458095822974204</v>
      </c>
      <c r="Y172" s="152"/>
      <c r="Z172" s="164">
        <f>IF(AND($C171=12,$D171=Input!$C$6),0,IF($E172="","",V172+Z173/(1+L172)*R172))</f>
        <v>3779.6933334213104</v>
      </c>
      <c r="AA172" s="164">
        <f>IF(OR($M172=1,AND($C171=12,$D171=Input!$C$6)),0,IF($E172="","",W172+(X172+AA173*$R172)/(1+$L172)))</f>
        <v>3277.186064902924</v>
      </c>
      <c r="AB172" s="160">
        <f t="shared" si="45"/>
        <v>0.825720328500681</v>
      </c>
      <c r="AC172" s="164">
        <f t="shared" si="46"/>
        <v>0</v>
      </c>
      <c r="AD172" s="164">
        <f>IF(AND($C171=12,$D171=Input!$C$6),0,IF($E172="","",$AC172+AD173/(1+$L172)*$R172))</f>
        <v>3120.9696209044782</v>
      </c>
      <c r="AE172" s="152"/>
      <c r="AF172" s="164">
        <f>IF(AND($C171=12,$D171=Input!$C$6),0,IF($E172="","",IF($B172&gt;Input!$C$9,$AC172,0)+AF173/(1+$L172)*$R172))</f>
        <v>2297.0068888783003</v>
      </c>
      <c r="AG172" s="164">
        <f>IF(AND($C171=12,$D171=Input!$C$6),0,IF($E172="","",(IF($B172&gt;Input!$C$9,$X172,0)+AG173)/(1+$L172)*$R172))</f>
        <v>1096.4161550327365</v>
      </c>
      <c r="AH172" s="160">
        <f t="shared" si="47"/>
        <v>2.0950137211446997</v>
      </c>
      <c r="AI172" s="160">
        <f>IF($E172="","",MIN(Input!$C$61/AH172,1))</f>
        <v>0.64438718771845094</v>
      </c>
      <c r="AJ172" s="152"/>
      <c r="AK172" s="164">
        <f>IF(AND($C171=12,$D171=Input!$C$6),0,IF($E172="","",IF($B172&gt;Input!$C$9,$AC172*AI172,0)+AK173/(1+$L172)*$R172))</f>
        <v>1480.1618092941974</v>
      </c>
      <c r="AL172" s="164">
        <f>IF(AND($C171=12,$D171=Input!$C$6),0,IF($E172="","",IF($B172&gt;Input!$C$9,0,$AC172)+AL173/(1+$L172)*$R172))</f>
        <v>823.96273202617738</v>
      </c>
      <c r="AM172" s="160">
        <f t="shared" si="48"/>
        <v>1.1382936520186004</v>
      </c>
      <c r="AN172" s="164">
        <f>IF($E172="","",IF($B172&gt;Input!$C$9,$AI172*$AC172,$AM172*$AC172))</f>
        <v>0</v>
      </c>
      <c r="AO172" s="164">
        <f>IF(AND($C171=12,$D171=Input!$C$6),0,IF($E172="","",$AN172+AO173/(1+$L172)*$R172))</f>
        <v>2418.073356659499</v>
      </c>
      <c r="AP172" s="152"/>
      <c r="AQ172" s="164">
        <f t="shared" si="49"/>
        <v>859.112708243425</v>
      </c>
      <c r="AR172" s="164">
        <f t="shared" si="58"/>
        <v>971.77057058338414</v>
      </c>
      <c r="AS172" s="164">
        <f t="shared" si="59"/>
        <v>157.41626794258374</v>
      </c>
      <c r="AT172" s="164">
        <f t="shared" si="50"/>
        <v>971.77057058338414</v>
      </c>
      <c r="AU172" s="152"/>
      <c r="AV172" s="147">
        <f>'Deterministic Reserve'!BC172</f>
        <v>0.51564776380986532</v>
      </c>
      <c r="AW172" s="164">
        <f t="shared" si="51"/>
        <v>971.77057058338414</v>
      </c>
      <c r="AX172" s="164">
        <f t="shared" si="52"/>
        <v>501.09132165755892</v>
      </c>
      <c r="AY172" s="152"/>
    </row>
    <row r="173" spans="1:51" s="150" customFormat="1" x14ac:dyDescent="0.25">
      <c r="A173" s="150">
        <f t="shared" si="60"/>
        <v>169</v>
      </c>
      <c r="B173" s="150">
        <f t="shared" si="61"/>
        <v>15</v>
      </c>
      <c r="C173" s="150">
        <f t="shared" si="62"/>
        <v>1</v>
      </c>
      <c r="D173" s="150">
        <f>IF(E173="","",Input!$C$4+B173-1)</f>
        <v>59</v>
      </c>
      <c r="E173" s="150">
        <f>IF(OR(AND(C172=12,D172=Input!$C$6),E172=""),"",1)</f>
        <v>1</v>
      </c>
      <c r="F173" s="150">
        <f>IF(E173="","",Input!$C$8+B173-1)</f>
        <v>2032</v>
      </c>
      <c r="G173" s="151">
        <f>IF(E173="","",MAX(0,Input!$C$9-B173))</f>
        <v>5</v>
      </c>
      <c r="H173" s="152">
        <f>IF(E173="","",Input!$C$3)</f>
        <v>100000</v>
      </c>
      <c r="I173" s="153">
        <f>IF(E173="","",HLOOKUP($B173,Input!$C$13:$BT$14,2))</f>
        <v>2.2999999999999998</v>
      </c>
      <c r="J173" s="154"/>
      <c r="K173" s="155">
        <f>IF($E173="","",Input!$C$57)</f>
        <v>4.4999999999999998E-2</v>
      </c>
      <c r="L173" s="155">
        <f t="shared" si="53"/>
        <v>3.6748094004368514E-3</v>
      </c>
      <c r="M173" s="147">
        <f>IF($E173="","",VLOOKUP(IF($B173&lt;=Input!$C$7,$B173,26),'Mortality Tables'!$A$72:$CA$97,IF($B173&lt;=Input!$C$7+1,Input!$C$4-16,$D173-Input!$C$7-16),0)/1000)</f>
        <v>3.7499999999999999E-3</v>
      </c>
      <c r="N173" s="147">
        <f t="shared" si="42"/>
        <v>3.1303839972862679E-4</v>
      </c>
      <c r="O173" s="157">
        <f>IF($E173="","",IF($C173=12,IF($B173&lt;Input!$C$9,Input!$C$54,IF($B173=Input!$C$9,Input!$C$55,Input!$C$56)),0%))</f>
        <v>0</v>
      </c>
      <c r="P173" s="167">
        <f>IF($E173="","",IF($B173=1,Input!$C$59,IF($B173&lt;6,Input!$C$60,0%)))</f>
        <v>0</v>
      </c>
      <c r="Q173" s="162">
        <f>IF($E173="","",Input!$C$58)</f>
        <v>2.5</v>
      </c>
      <c r="R173" s="156">
        <f t="shared" si="54"/>
        <v>0.99968696160027137</v>
      </c>
      <c r="S173" s="154">
        <f t="shared" si="43"/>
        <v>0.41118021245327158</v>
      </c>
      <c r="T173" s="152"/>
      <c r="U173" s="150">
        <f t="shared" si="55"/>
        <v>229.99999999999997</v>
      </c>
      <c r="V173" s="150">
        <f t="shared" si="56"/>
        <v>229.99999999999997</v>
      </c>
      <c r="W173" s="168">
        <f t="shared" si="57"/>
        <v>0</v>
      </c>
      <c r="X173" s="163">
        <f t="shared" si="44"/>
        <v>31.303839972862679</v>
      </c>
      <c r="Y173" s="152"/>
      <c r="Z173" s="164">
        <f>IF(AND($C172=12,$D172=Input!$C$6),0,IF($E173="","",V173+Z174/(1+L173)*R173))</f>
        <v>4036.9057909298854</v>
      </c>
      <c r="AA173" s="164">
        <f>IF(OR($M173=1,AND($C172=12,$D172=Input!$C$6)),0,IF($E173="","",W173+(X173+AA174*$R173)/(1+$L173)))</f>
        <v>3470.9830522241641</v>
      </c>
      <c r="AB173" s="160">
        <f t="shared" si="45"/>
        <v>0.825720328500681</v>
      </c>
      <c r="AC173" s="164">
        <f t="shared" si="46"/>
        <v>189.91567555515661</v>
      </c>
      <c r="AD173" s="164">
        <f>IF(AND($C172=12,$D172=Input!$C$6),0,IF($E173="","",$AC173+AD174/(1+$L173)*$R173))</f>
        <v>3333.3551758129261</v>
      </c>
      <c r="AE173" s="152"/>
      <c r="AF173" s="164">
        <f>IF(AND($C172=12,$D172=Input!$C$6),0,IF($E173="","",IF($B173&gt;Input!$C$9,$AC173,0)+AF174/(1+$L173)*$R173))</f>
        <v>2453.3208367793895</v>
      </c>
      <c r="AG173" s="164">
        <f>IF(AND($C172=12,$D172=Input!$C$6),0,IF($E173="","",(IF($B173&gt;Input!$C$9,$X173,0)+AG174)/(1+$L173)*$R173))</f>
        <v>1171.0285293209965</v>
      </c>
      <c r="AH173" s="160">
        <f t="shared" si="47"/>
        <v>2.0950137211446997</v>
      </c>
      <c r="AI173" s="160">
        <f>IF($E173="","",MIN(Input!$C$61/AH173,1))</f>
        <v>0.64438718771845094</v>
      </c>
      <c r="AJ173" s="152"/>
      <c r="AK173" s="164">
        <f>IF(AND($C172=12,$D172=Input!$C$6),0,IF($E173="","",IF($B173&gt;Input!$C$9,$AC173*AI173,0)+AK174/(1+$L173)*$R173))</f>
        <v>1580.888514583349</v>
      </c>
      <c r="AL173" s="164">
        <f>IF(AND($C172=12,$D172=Input!$C$6),0,IF($E173="","",IF($B173&gt;Input!$C$9,0,$AC173)+AL174/(1+$L173)*$R173))</f>
        <v>880.03433903353584</v>
      </c>
      <c r="AM173" s="160">
        <f t="shared" si="48"/>
        <v>1.1382936520186004</v>
      </c>
      <c r="AN173" s="164">
        <f>IF($E173="","",IF($B173&gt;Input!$C$9,$AI173*$AC173,$AM173*$AC173))</f>
        <v>216.17980790325885</v>
      </c>
      <c r="AO173" s="164">
        <f>IF(AND($C172=12,$D172=Input!$C$6),0,IF($E173="","",$AN173+AO174/(1+$L173)*$R173))</f>
        <v>2582.6260162636086</v>
      </c>
      <c r="AP173" s="152"/>
      <c r="AQ173" s="164">
        <f t="shared" si="49"/>
        <v>888.35703596055555</v>
      </c>
      <c r="AR173" s="164">
        <f t="shared" si="58"/>
        <v>938.93585057218525</v>
      </c>
      <c r="AS173" s="164">
        <f t="shared" si="59"/>
        <v>179.42583732057417</v>
      </c>
      <c r="AT173" s="164">
        <f t="shared" si="50"/>
        <v>938.93585057218525</v>
      </c>
      <c r="AU173" s="152"/>
      <c r="AV173" s="147">
        <f>'Deterministic Reserve'!BC173</f>
        <v>0.51554445928125603</v>
      </c>
      <c r="AW173" s="164">
        <f t="shared" si="51"/>
        <v>938.93585057218525</v>
      </c>
      <c r="AX173" s="164">
        <f t="shared" si="52"/>
        <v>484.06317538302346</v>
      </c>
      <c r="AY173" s="152"/>
    </row>
    <row r="174" spans="1:51" s="150" customFormat="1" x14ac:dyDescent="0.25">
      <c r="A174" s="150">
        <f t="shared" si="60"/>
        <v>170</v>
      </c>
      <c r="B174" s="150">
        <f t="shared" si="61"/>
        <v>15</v>
      </c>
      <c r="C174" s="150">
        <f t="shared" si="62"/>
        <v>2</v>
      </c>
      <c r="D174" s="150">
        <f>IF(E174="","",Input!$C$4+B174-1)</f>
        <v>59</v>
      </c>
      <c r="E174" s="150">
        <f>IF(OR(AND(C173=12,D173=Input!$C$6),E173=""),"",1)</f>
        <v>1</v>
      </c>
      <c r="F174" s="150">
        <f>IF(E174="","",Input!$C$8+B174-1)</f>
        <v>2032</v>
      </c>
      <c r="G174" s="151">
        <f>IF(E174="","",MAX(0,Input!$C$9-B174))</f>
        <v>5</v>
      </c>
      <c r="H174" s="152">
        <f>IF(E174="","",Input!$C$3)</f>
        <v>100000</v>
      </c>
      <c r="I174" s="153">
        <f>IF(E174="","",HLOOKUP($B174,Input!$C$13:$BT$14,2))</f>
        <v>2.2999999999999998</v>
      </c>
      <c r="J174" s="154"/>
      <c r="K174" s="155">
        <f>IF($E174="","",Input!$C$57)</f>
        <v>4.4999999999999998E-2</v>
      </c>
      <c r="L174" s="155">
        <f t="shared" si="53"/>
        <v>3.6748094004368514E-3</v>
      </c>
      <c r="M174" s="147">
        <f>IF($E174="","",VLOOKUP(IF($B174&lt;=Input!$C$7,$B174,26),'Mortality Tables'!$A$72:$CA$97,IF($B174&lt;=Input!$C$7+1,Input!$C$4-16,$D174-Input!$C$7-16),0)/1000)</f>
        <v>3.7499999999999999E-3</v>
      </c>
      <c r="N174" s="147">
        <f t="shared" si="42"/>
        <v>3.1303839972862679E-4</v>
      </c>
      <c r="O174" s="157">
        <f>IF($E174="","",IF($C174=12,IF($B174&lt;Input!$C$9,Input!$C$54,IF($B174=Input!$C$9,Input!$C$55,Input!$C$56)),0%))</f>
        <v>0</v>
      </c>
      <c r="P174" s="167">
        <f>IF($E174="","",IF($B174=1,Input!$C$59,IF($B174&lt;6,Input!$C$60,0%)))</f>
        <v>0</v>
      </c>
      <c r="Q174" s="162">
        <f>IF($E174="","",Input!$C$58)</f>
        <v>2.5</v>
      </c>
      <c r="R174" s="156">
        <f t="shared" si="54"/>
        <v>0.99968696160027137</v>
      </c>
      <c r="S174" s="154">
        <f t="shared" si="43"/>
        <v>0.41105149725756512</v>
      </c>
      <c r="T174" s="152"/>
      <c r="U174" s="150">
        <f t="shared" si="55"/>
        <v>0</v>
      </c>
      <c r="V174" s="150">
        <f t="shared" si="56"/>
        <v>0</v>
      </c>
      <c r="W174" s="168">
        <f t="shared" si="57"/>
        <v>0</v>
      </c>
      <c r="X174" s="163">
        <f t="shared" si="44"/>
        <v>31.303839972862679</v>
      </c>
      <c r="Y174" s="152"/>
      <c r="Z174" s="164">
        <f>IF(AND($C173=12,$D173=Input!$C$6),0,IF($E174="","",V174+Z175/(1+L174)*R174))</f>
        <v>3822.0919056507328</v>
      </c>
      <c r="AA174" s="164">
        <f>IF(OR($M174=1,AND($C173=12,$D173=Input!$C$6)),0,IF($E174="","",W174+(X174+AA175*$R174)/(1+$L174)))</f>
        <v>3453.5154963647919</v>
      </c>
      <c r="AB174" s="160">
        <f t="shared" si="45"/>
        <v>0.825720328500681</v>
      </c>
      <c r="AC174" s="164">
        <f t="shared" si="46"/>
        <v>0</v>
      </c>
      <c r="AD174" s="164">
        <f>IF(AND($C173=12,$D173=Input!$C$6),0,IF($E174="","",$AC174+AD175/(1+$L174)*$R174))</f>
        <v>3155.9789838937163</v>
      </c>
      <c r="AE174" s="152"/>
      <c r="AF174" s="164">
        <f>IF(AND($C173=12,$D173=Input!$C$6),0,IF($E174="","",IF($B174&gt;Input!$C$9,$AC174,0)+AF175/(1+$L174)*$R174))</f>
        <v>2463.107370442277</v>
      </c>
      <c r="AG174" s="164">
        <f>IF(AND($C173=12,$D173=Input!$C$6),0,IF($E174="","",(IF($B174&gt;Input!$C$9,$X174,0)+AG175)/(1+$L174)*$R174))</f>
        <v>1175.6998751762114</v>
      </c>
      <c r="AH174" s="160">
        <f t="shared" si="47"/>
        <v>2.0950137211446997</v>
      </c>
      <c r="AI174" s="160">
        <f>IF($E174="","",MIN(Input!$C$61/AH174,1))</f>
        <v>0.64438718771845094</v>
      </c>
      <c r="AJ174" s="152"/>
      <c r="AK174" s="164">
        <f>IF(AND($C173=12,$D173=Input!$C$6),0,IF($E174="","",IF($B174&gt;Input!$C$9,$AC174*AI174,0)+AK175/(1+$L174)*$R174))</f>
        <v>1587.1948314878889</v>
      </c>
      <c r="AL174" s="164">
        <f>IF(AND($C173=12,$D173=Input!$C$6),0,IF($E174="","",IF($B174&gt;Input!$C$9,0,$AC174)+AL175/(1+$L174)*$R174))</f>
        <v>692.87161345143863</v>
      </c>
      <c r="AM174" s="160">
        <f t="shared" si="48"/>
        <v>1.1382936520186004</v>
      </c>
      <c r="AN174" s="164">
        <f>IF($E174="","",IF($B174&gt;Input!$C$9,$AI174*$AC174,$AM174*$AC174))</f>
        <v>0</v>
      </c>
      <c r="AO174" s="164">
        <f>IF(AND($C173=12,$D173=Input!$C$6),0,IF($E174="","",$AN174+AO175/(1+$L174)*$R174))</f>
        <v>2375.886190743548</v>
      </c>
      <c r="AP174" s="152"/>
      <c r="AQ174" s="164">
        <f t="shared" si="49"/>
        <v>1077.6293056212439</v>
      </c>
      <c r="AR174" s="164">
        <f t="shared" si="58"/>
        <v>938.93585057218525</v>
      </c>
      <c r="AS174" s="164">
        <f t="shared" si="59"/>
        <v>179.42583732057417</v>
      </c>
      <c r="AT174" s="164">
        <f t="shared" si="50"/>
        <v>938.93585057218525</v>
      </c>
      <c r="AU174" s="152"/>
      <c r="AV174" s="147">
        <f>'Deterministic Reserve'!BC174</f>
        <v>0.51544117544860701</v>
      </c>
      <c r="AW174" s="164">
        <f t="shared" si="51"/>
        <v>938.93585057218525</v>
      </c>
      <c r="AX174" s="164">
        <f t="shared" si="52"/>
        <v>483.96619848976479</v>
      </c>
      <c r="AY174" s="152"/>
    </row>
    <row r="175" spans="1:51" s="150" customFormat="1" x14ac:dyDescent="0.25">
      <c r="A175" s="150">
        <f t="shared" si="60"/>
        <v>171</v>
      </c>
      <c r="B175" s="150">
        <f t="shared" si="61"/>
        <v>15</v>
      </c>
      <c r="C175" s="150">
        <f t="shared" si="62"/>
        <v>3</v>
      </c>
      <c r="D175" s="150">
        <f>IF(E175="","",Input!$C$4+B175-1)</f>
        <v>59</v>
      </c>
      <c r="E175" s="150">
        <f>IF(OR(AND(C174=12,D174=Input!$C$6),E174=""),"",1)</f>
        <v>1</v>
      </c>
      <c r="F175" s="150">
        <f>IF(E175="","",Input!$C$8+B175-1)</f>
        <v>2032</v>
      </c>
      <c r="G175" s="151">
        <f>IF(E175="","",MAX(0,Input!$C$9-B175))</f>
        <v>5</v>
      </c>
      <c r="H175" s="152">
        <f>IF(E175="","",Input!$C$3)</f>
        <v>100000</v>
      </c>
      <c r="I175" s="153">
        <f>IF(E175="","",HLOOKUP($B175,Input!$C$13:$BT$14,2))</f>
        <v>2.2999999999999998</v>
      </c>
      <c r="J175" s="154"/>
      <c r="K175" s="155">
        <f>IF($E175="","",Input!$C$57)</f>
        <v>4.4999999999999998E-2</v>
      </c>
      <c r="L175" s="155">
        <f t="shared" si="53"/>
        <v>3.6748094004368514E-3</v>
      </c>
      <c r="M175" s="147">
        <f>IF($E175="","",VLOOKUP(IF($B175&lt;=Input!$C$7,$B175,26),'Mortality Tables'!$A$72:$CA$97,IF($B175&lt;=Input!$C$7+1,Input!$C$4-16,$D175-Input!$C$7-16),0)/1000)</f>
        <v>3.7499999999999999E-3</v>
      </c>
      <c r="N175" s="147">
        <f t="shared" si="42"/>
        <v>3.1303839972862679E-4</v>
      </c>
      <c r="O175" s="157">
        <f>IF($E175="","",IF($C175=12,IF($B175&lt;Input!$C$9,Input!$C$54,IF($B175=Input!$C$9,Input!$C$55,Input!$C$56)),0%))</f>
        <v>0</v>
      </c>
      <c r="P175" s="167">
        <f>IF($E175="","",IF($B175=1,Input!$C$59,IF($B175&lt;6,Input!$C$60,0%)))</f>
        <v>0</v>
      </c>
      <c r="Q175" s="162">
        <f>IF($E175="","",Input!$C$58)</f>
        <v>2.5</v>
      </c>
      <c r="R175" s="156">
        <f t="shared" si="54"/>
        <v>0.99968696160027137</v>
      </c>
      <c r="S175" s="154">
        <f t="shared" si="43"/>
        <v>0.41092282235465755</v>
      </c>
      <c r="T175" s="152"/>
      <c r="U175" s="150">
        <f t="shared" si="55"/>
        <v>0</v>
      </c>
      <c r="V175" s="150">
        <f t="shared" si="56"/>
        <v>0</v>
      </c>
      <c r="W175" s="168">
        <f t="shared" si="57"/>
        <v>0</v>
      </c>
      <c r="X175" s="163">
        <f t="shared" si="44"/>
        <v>31.303839972862679</v>
      </c>
      <c r="Y175" s="152"/>
      <c r="Z175" s="164">
        <f>IF(AND($C174=12,$D174=Input!$C$6),0,IF($E175="","",V175+Z176/(1+L175)*R175))</f>
        <v>3837.3385992492776</v>
      </c>
      <c r="AA175" s="164">
        <f>IF(OR($M175=1,AND($C174=12,$D174=Input!$C$6)),0,IF($E175="","",W175+(X175+AA176*$R175)/(1+$L175)))</f>
        <v>3435.9782607387692</v>
      </c>
      <c r="AB175" s="160">
        <f t="shared" si="45"/>
        <v>0.825720328500681</v>
      </c>
      <c r="AC175" s="164">
        <f t="shared" si="46"/>
        <v>0</v>
      </c>
      <c r="AD175" s="164">
        <f>IF(AND($C174=12,$D174=Input!$C$6),0,IF($E175="","",$AC175+AD176/(1+$L175)*$R175))</f>
        <v>3168.5684887404559</v>
      </c>
      <c r="AE175" s="152"/>
      <c r="AF175" s="164">
        <f>IF(AND($C174=12,$D174=Input!$C$6),0,IF($E175="","",IF($B175&gt;Input!$C$9,$AC175,0)+AF176/(1+$L175)*$R175))</f>
        <v>2472.9329435327431</v>
      </c>
      <c r="AG175" s="164">
        <f>IF(AND($C174=12,$D174=Input!$C$6),0,IF($E175="","",(IF($B175&gt;Input!$C$9,$X175,0)+AG176)/(1+$L175)*$R175))</f>
        <v>1180.3898554810171</v>
      </c>
      <c r="AH175" s="160">
        <f t="shared" si="47"/>
        <v>2.0950137211446997</v>
      </c>
      <c r="AI175" s="160">
        <f>IF($E175="","",MIN(Input!$C$61/AH175,1))</f>
        <v>0.64438718771845094</v>
      </c>
      <c r="AJ175" s="152"/>
      <c r="AK175" s="164">
        <f>IF(AND($C174=12,$D174=Input!$C$6),0,IF($E175="","",IF($B175&gt;Input!$C$9,$AC175*AI175,0)+AK176/(1+$L175)*$R175))</f>
        <v>1593.5263048993766</v>
      </c>
      <c r="AL175" s="164">
        <f>IF(AND($C174=12,$D174=Input!$C$6),0,IF($E175="","",IF($B175&gt;Input!$C$9,0,$AC175)+AL176/(1+$L175)*$R175))</f>
        <v>695.63554520771197</v>
      </c>
      <c r="AM175" s="160">
        <f t="shared" si="48"/>
        <v>1.1382936520186004</v>
      </c>
      <c r="AN175" s="164">
        <f>IF($E175="","",IF($B175&gt;Input!$C$9,$AI175*$AC175,$AM175*$AC175))</f>
        <v>0</v>
      </c>
      <c r="AO175" s="164">
        <f>IF(AND($C174=12,$D174=Input!$C$6),0,IF($E175="","",$AN175+AO176/(1+$L175)*$R175))</f>
        <v>2385.3638301278143</v>
      </c>
      <c r="AP175" s="152"/>
      <c r="AQ175" s="164">
        <f t="shared" si="49"/>
        <v>1050.614430610955</v>
      </c>
      <c r="AR175" s="164">
        <f t="shared" si="58"/>
        <v>938.93585057218525</v>
      </c>
      <c r="AS175" s="164">
        <f t="shared" si="59"/>
        <v>179.42583732057417</v>
      </c>
      <c r="AT175" s="164">
        <f t="shared" si="50"/>
        <v>938.93585057218525</v>
      </c>
      <c r="AU175" s="152"/>
      <c r="AV175" s="147">
        <f>'Deterministic Reserve'!BC175</f>
        <v>0.51533791230777204</v>
      </c>
      <c r="AW175" s="164">
        <f t="shared" si="51"/>
        <v>938.93585057218525</v>
      </c>
      <c r="AX175" s="164">
        <f t="shared" si="52"/>
        <v>483.86924102479213</v>
      </c>
      <c r="AY175" s="152"/>
    </row>
    <row r="176" spans="1:51" s="150" customFormat="1" x14ac:dyDescent="0.25">
      <c r="A176" s="150">
        <f t="shared" si="60"/>
        <v>172</v>
      </c>
      <c r="B176" s="150">
        <f t="shared" si="61"/>
        <v>15</v>
      </c>
      <c r="C176" s="150">
        <f t="shared" si="62"/>
        <v>4</v>
      </c>
      <c r="D176" s="150">
        <f>IF(E176="","",Input!$C$4+B176-1)</f>
        <v>59</v>
      </c>
      <c r="E176" s="150">
        <f>IF(OR(AND(C175=12,D175=Input!$C$6),E175=""),"",1)</f>
        <v>1</v>
      </c>
      <c r="F176" s="150">
        <f>IF(E176="","",Input!$C$8+B176-1)</f>
        <v>2032</v>
      </c>
      <c r="G176" s="151">
        <f>IF(E176="","",MAX(0,Input!$C$9-B176))</f>
        <v>5</v>
      </c>
      <c r="H176" s="152">
        <f>IF(E176="","",Input!$C$3)</f>
        <v>100000</v>
      </c>
      <c r="I176" s="153">
        <f>IF(E176="","",HLOOKUP($B176,Input!$C$13:$BT$14,2))</f>
        <v>2.2999999999999998</v>
      </c>
      <c r="J176" s="154"/>
      <c r="K176" s="155">
        <f>IF($E176="","",Input!$C$57)</f>
        <v>4.4999999999999998E-2</v>
      </c>
      <c r="L176" s="155">
        <f t="shared" si="53"/>
        <v>3.6748094004368514E-3</v>
      </c>
      <c r="M176" s="147">
        <f>IF($E176="","",VLOOKUP(IF($B176&lt;=Input!$C$7,$B176,26),'Mortality Tables'!$A$72:$CA$97,IF($B176&lt;=Input!$C$7+1,Input!$C$4-16,$D176-Input!$C$7-16),0)/1000)</f>
        <v>3.7499999999999999E-3</v>
      </c>
      <c r="N176" s="147">
        <f t="shared" si="42"/>
        <v>3.1303839972862679E-4</v>
      </c>
      <c r="O176" s="157">
        <f>IF($E176="","",IF($C176=12,IF($B176&lt;Input!$C$9,Input!$C$54,IF($B176=Input!$C$9,Input!$C$55,Input!$C$56)),0%))</f>
        <v>0</v>
      </c>
      <c r="P176" s="167">
        <f>IF($E176="","",IF($B176=1,Input!$C$59,IF($B176&lt;6,Input!$C$60,0%)))</f>
        <v>0</v>
      </c>
      <c r="Q176" s="162">
        <f>IF($E176="","",Input!$C$58)</f>
        <v>2.5</v>
      </c>
      <c r="R176" s="156">
        <f t="shared" si="54"/>
        <v>0.99968696160027137</v>
      </c>
      <c r="S176" s="154">
        <f t="shared" si="43"/>
        <v>0.41079418773193566</v>
      </c>
      <c r="T176" s="152"/>
      <c r="U176" s="150">
        <f t="shared" si="55"/>
        <v>0</v>
      </c>
      <c r="V176" s="150">
        <f t="shared" si="56"/>
        <v>0</v>
      </c>
      <c r="W176" s="168">
        <f t="shared" si="57"/>
        <v>0</v>
      </c>
      <c r="X176" s="163">
        <f t="shared" si="44"/>
        <v>31.303839972862679</v>
      </c>
      <c r="Y176" s="152"/>
      <c r="Z176" s="164">
        <f>IF(AND($C175=12,$D175=Input!$C$6),0,IF($E176="","",V176+Z177/(1+L176)*R176))</f>
        <v>3852.646113380511</v>
      </c>
      <c r="AA176" s="164">
        <f>IF(OR($M176=1,AND($C175=12,$D175=Input!$C$6)),0,IF($E176="","",W176+(X176+AA177*$R176)/(1+$L176)))</f>
        <v>3418.3710673867795</v>
      </c>
      <c r="AB176" s="160">
        <f t="shared" si="45"/>
        <v>0.825720328500681</v>
      </c>
      <c r="AC176" s="164">
        <f t="shared" si="46"/>
        <v>0</v>
      </c>
      <c r="AD176" s="164">
        <f>IF(AND($C175=12,$D175=Input!$C$6),0,IF($E176="","",$AC176+AD177/(1+$L176)*$R176))</f>
        <v>3181.2082143374273</v>
      </c>
      <c r="AE176" s="152"/>
      <c r="AF176" s="164">
        <f>IF(AND($C175=12,$D175=Input!$C$6),0,IF($E176="","",IF($B176&gt;Input!$C$9,$AC176,0)+AF177/(1+$L176)*$R176))</f>
        <v>2482.7977117828336</v>
      </c>
      <c r="AG176" s="164">
        <f>IF(AND($C175=12,$D175=Input!$C$6),0,IF($E176="","",(IF($B176&gt;Input!$C$9,$X176,0)+AG177)/(1+$L176)*$R176))</f>
        <v>1185.0985445700319</v>
      </c>
      <c r="AH176" s="160">
        <f t="shared" si="47"/>
        <v>2.0950137211446997</v>
      </c>
      <c r="AI176" s="160">
        <f>IF($E176="","",MIN(Input!$C$61/AH176,1))</f>
        <v>0.64438718771845094</v>
      </c>
      <c r="AJ176" s="152"/>
      <c r="AK176" s="164">
        <f>IF(AND($C175=12,$D175=Input!$C$6),0,IF($E176="","",IF($B176&gt;Input!$C$9,$AC176*AI176,0)+AK177/(1+$L176)*$R176))</f>
        <v>1599.8830351695467</v>
      </c>
      <c r="AL176" s="164">
        <f>IF(AND($C175=12,$D175=Input!$C$6),0,IF($E176="","",IF($B176&gt;Input!$C$9,0,$AC176)+AL177/(1+$L176)*$R176))</f>
        <v>698.41050255459254</v>
      </c>
      <c r="AM176" s="160">
        <f t="shared" si="48"/>
        <v>1.1382936520186004</v>
      </c>
      <c r="AN176" s="164">
        <f>IF($E176="","",IF($B176&gt;Input!$C$9,$AI176*$AC176,$AM176*$AC176))</f>
        <v>0</v>
      </c>
      <c r="AO176" s="164">
        <f>IF(AND($C175=12,$D175=Input!$C$6),0,IF($E176="","",$AN176+AO177/(1+$L176)*$R176))</f>
        <v>2394.8792767305608</v>
      </c>
      <c r="AP176" s="152"/>
      <c r="AQ176" s="164">
        <f t="shared" si="49"/>
        <v>1023.4917906562187</v>
      </c>
      <c r="AR176" s="164">
        <f t="shared" si="58"/>
        <v>938.93585057218525</v>
      </c>
      <c r="AS176" s="164">
        <f t="shared" si="59"/>
        <v>179.42583732057417</v>
      </c>
      <c r="AT176" s="164">
        <f t="shared" si="50"/>
        <v>938.93585057218525</v>
      </c>
      <c r="AU176" s="152"/>
      <c r="AV176" s="147">
        <f>'Deterministic Reserve'!BC176</f>
        <v>0.51523466985460575</v>
      </c>
      <c r="AW176" s="164">
        <f t="shared" si="51"/>
        <v>938.93585057218525</v>
      </c>
      <c r="AX176" s="164">
        <f t="shared" si="52"/>
        <v>483.7723029842133</v>
      </c>
      <c r="AY176" s="152"/>
    </row>
    <row r="177" spans="1:51" s="150" customFormat="1" x14ac:dyDescent="0.25">
      <c r="A177" s="150">
        <f t="shared" si="60"/>
        <v>173</v>
      </c>
      <c r="B177" s="150">
        <f t="shared" si="61"/>
        <v>15</v>
      </c>
      <c r="C177" s="150">
        <f t="shared" si="62"/>
        <v>5</v>
      </c>
      <c r="D177" s="150">
        <f>IF(E177="","",Input!$C$4+B177-1)</f>
        <v>59</v>
      </c>
      <c r="E177" s="150">
        <f>IF(OR(AND(C176=12,D176=Input!$C$6),E176=""),"",1)</f>
        <v>1</v>
      </c>
      <c r="F177" s="150">
        <f>IF(E177="","",Input!$C$8+B177-1)</f>
        <v>2032</v>
      </c>
      <c r="G177" s="151">
        <f>IF(E177="","",MAX(0,Input!$C$9-B177))</f>
        <v>5</v>
      </c>
      <c r="H177" s="152">
        <f>IF(E177="","",Input!$C$3)</f>
        <v>100000</v>
      </c>
      <c r="I177" s="153">
        <f>IF(E177="","",HLOOKUP($B177,Input!$C$13:$BT$14,2))</f>
        <v>2.2999999999999998</v>
      </c>
      <c r="J177" s="154"/>
      <c r="K177" s="155">
        <f>IF($E177="","",Input!$C$57)</f>
        <v>4.4999999999999998E-2</v>
      </c>
      <c r="L177" s="155">
        <f t="shared" si="53"/>
        <v>3.6748094004368514E-3</v>
      </c>
      <c r="M177" s="147">
        <f>IF($E177="","",VLOOKUP(IF($B177&lt;=Input!$C$7,$B177,26),'Mortality Tables'!$A$72:$CA$97,IF($B177&lt;=Input!$C$7+1,Input!$C$4-16,$D177-Input!$C$7-16),0)/1000)</f>
        <v>3.7499999999999999E-3</v>
      </c>
      <c r="N177" s="147">
        <f t="shared" si="42"/>
        <v>3.1303839972862679E-4</v>
      </c>
      <c r="O177" s="157">
        <f>IF($E177="","",IF($C177=12,IF($B177&lt;Input!$C$9,Input!$C$54,IF($B177=Input!$C$9,Input!$C$55,Input!$C$56)),0%))</f>
        <v>0</v>
      </c>
      <c r="P177" s="167">
        <f>IF($E177="","",IF($B177=1,Input!$C$59,IF($B177&lt;6,Input!$C$60,0%)))</f>
        <v>0</v>
      </c>
      <c r="Q177" s="162">
        <f>IF($E177="","",Input!$C$58)</f>
        <v>2.5</v>
      </c>
      <c r="R177" s="156">
        <f t="shared" si="54"/>
        <v>0.99968696160027137</v>
      </c>
      <c r="S177" s="154">
        <f t="shared" si="43"/>
        <v>0.41066559337679021</v>
      </c>
      <c r="T177" s="152"/>
      <c r="U177" s="150">
        <f t="shared" si="55"/>
        <v>0</v>
      </c>
      <c r="V177" s="150">
        <f t="shared" si="56"/>
        <v>0</v>
      </c>
      <c r="W177" s="168">
        <f t="shared" si="57"/>
        <v>0</v>
      </c>
      <c r="X177" s="163">
        <f t="shared" si="44"/>
        <v>31.303839972862679</v>
      </c>
      <c r="Y177" s="152"/>
      <c r="Z177" s="164">
        <f>IF(AND($C176=12,$D176=Input!$C$6),0,IF($E177="","",V177+Z178/(1+L177)*R177))</f>
        <v>3868.01469066341</v>
      </c>
      <c r="AA177" s="164">
        <f>IF(OR($M177=1,AND($C176=12,$D176=Input!$C$6)),0,IF($E177="","",W177+(X177+AA178*$R177)/(1+$L177)))</f>
        <v>3400.6936372407004</v>
      </c>
      <c r="AB177" s="160">
        <f t="shared" si="45"/>
        <v>0.825720328500681</v>
      </c>
      <c r="AC177" s="164">
        <f t="shared" si="46"/>
        <v>0</v>
      </c>
      <c r="AD177" s="164">
        <f>IF(AND($C176=12,$D176=Input!$C$6),0,IF($E177="","",$AC177+AD178/(1+$L177)*$R177))</f>
        <v>3193.8983610200512</v>
      </c>
      <c r="AE177" s="152"/>
      <c r="AF177" s="164">
        <f>IF(AND($C176=12,$D176=Input!$C$6),0,IF($E177="","",IF($B177&gt;Input!$C$9,$AC177,0)+AF178/(1+$L177)*$R177))</f>
        <v>2492.701831545824</v>
      </c>
      <c r="AG177" s="164">
        <f>IF(AND($C176=12,$D176=Input!$C$6),0,IF($E177="","",(IF($B177&gt;Input!$C$9,$X177,0)+AG178)/(1+$L177)*$R177))</f>
        <v>1189.8260170744022</v>
      </c>
      <c r="AH177" s="160">
        <f t="shared" si="47"/>
        <v>2.0950137211446997</v>
      </c>
      <c r="AI177" s="160">
        <f>IF($E177="","",MIN(Input!$C$61/AH177,1))</f>
        <v>0.64438718771845094</v>
      </c>
      <c r="AJ177" s="152"/>
      <c r="AK177" s="164">
        <f>IF(AND($C176=12,$D176=Input!$C$6),0,IF($E177="","",IF($B177&gt;Input!$C$9,$AC177*AI177,0)+AK178/(1+$L177)*$R177))</f>
        <v>1606.2651230504468</v>
      </c>
      <c r="AL177" s="164">
        <f>IF(AND($C176=12,$D176=Input!$C$6),0,IF($E177="","",IF($B177&gt;Input!$C$9,0,$AC177)+AL178/(1+$L177)*$R177))</f>
        <v>701.19652947422583</v>
      </c>
      <c r="AM177" s="160">
        <f t="shared" si="48"/>
        <v>1.1382936520186004</v>
      </c>
      <c r="AN177" s="164">
        <f>IF($E177="","",IF($B177&gt;Input!$C$9,$AI177*$AC177,$AM177*$AC177))</f>
        <v>0</v>
      </c>
      <c r="AO177" s="164">
        <f>IF(AND($C176=12,$D176=Input!$C$6),0,IF($E177="","",$AN177+AO178/(1+$L177)*$R177))</f>
        <v>2404.4326813684324</v>
      </c>
      <c r="AP177" s="152"/>
      <c r="AQ177" s="164">
        <f t="shared" si="49"/>
        <v>996.26095587226791</v>
      </c>
      <c r="AR177" s="164">
        <f t="shared" si="58"/>
        <v>938.93585057218525</v>
      </c>
      <c r="AS177" s="164">
        <f t="shared" si="59"/>
        <v>179.42583732057417</v>
      </c>
      <c r="AT177" s="164">
        <f t="shared" si="50"/>
        <v>938.93585057218525</v>
      </c>
      <c r="AU177" s="152"/>
      <c r="AV177" s="147">
        <f>'Deterministic Reserve'!BC177</f>
        <v>0.51513144808496358</v>
      </c>
      <c r="AW177" s="164">
        <f t="shared" si="51"/>
        <v>938.93585057218525</v>
      </c>
      <c r="AX177" s="164">
        <f t="shared" si="52"/>
        <v>483.67538436413679</v>
      </c>
      <c r="AY177" s="152"/>
    </row>
    <row r="178" spans="1:51" s="150" customFormat="1" x14ac:dyDescent="0.25">
      <c r="A178" s="150">
        <f t="shared" si="60"/>
        <v>174</v>
      </c>
      <c r="B178" s="150">
        <f t="shared" si="61"/>
        <v>15</v>
      </c>
      <c r="C178" s="150">
        <f t="shared" si="62"/>
        <v>6</v>
      </c>
      <c r="D178" s="150">
        <f>IF(E178="","",Input!$C$4+B178-1)</f>
        <v>59</v>
      </c>
      <c r="E178" s="150">
        <f>IF(OR(AND(C177=12,D177=Input!$C$6),E177=""),"",1)</f>
        <v>1</v>
      </c>
      <c r="F178" s="150">
        <f>IF(E178="","",Input!$C$8+B178-1)</f>
        <v>2032</v>
      </c>
      <c r="G178" s="151">
        <f>IF(E178="","",MAX(0,Input!$C$9-B178))</f>
        <v>5</v>
      </c>
      <c r="H178" s="152">
        <f>IF(E178="","",Input!$C$3)</f>
        <v>100000</v>
      </c>
      <c r="I178" s="153">
        <f>IF(E178="","",HLOOKUP($B178,Input!$C$13:$BT$14,2))</f>
        <v>2.2999999999999998</v>
      </c>
      <c r="J178" s="154"/>
      <c r="K178" s="155">
        <f>IF($E178="","",Input!$C$57)</f>
        <v>4.4999999999999998E-2</v>
      </c>
      <c r="L178" s="155">
        <f t="shared" si="53"/>
        <v>3.6748094004368514E-3</v>
      </c>
      <c r="M178" s="147">
        <f>IF($E178="","",VLOOKUP(IF($B178&lt;=Input!$C$7,$B178,26),'Mortality Tables'!$A$72:$CA$97,IF($B178&lt;=Input!$C$7+1,Input!$C$4-16,$D178-Input!$C$7-16),0)/1000)</f>
        <v>3.7499999999999999E-3</v>
      </c>
      <c r="N178" s="147">
        <f t="shared" si="42"/>
        <v>3.1303839972862679E-4</v>
      </c>
      <c r="O178" s="157">
        <f>IF($E178="","",IF($C178=12,IF($B178&lt;Input!$C$9,Input!$C$54,IF($B178=Input!$C$9,Input!$C$55,Input!$C$56)),0%))</f>
        <v>0</v>
      </c>
      <c r="P178" s="167">
        <f>IF($E178="","",IF($B178=1,Input!$C$59,IF($B178&lt;6,Input!$C$60,0%)))</f>
        <v>0</v>
      </c>
      <c r="Q178" s="162">
        <f>IF($E178="","",Input!$C$58)</f>
        <v>2.5</v>
      </c>
      <c r="R178" s="156">
        <f t="shared" si="54"/>
        <v>0.99968696160027137</v>
      </c>
      <c r="S178" s="154">
        <f t="shared" si="43"/>
        <v>0.41053703927661594</v>
      </c>
      <c r="T178" s="152"/>
      <c r="U178" s="150">
        <f t="shared" si="55"/>
        <v>0</v>
      </c>
      <c r="V178" s="150">
        <f t="shared" si="56"/>
        <v>0</v>
      </c>
      <c r="W178" s="168">
        <f t="shared" si="57"/>
        <v>0</v>
      </c>
      <c r="X178" s="163">
        <f t="shared" si="44"/>
        <v>31.303839972862679</v>
      </c>
      <c r="Y178" s="152"/>
      <c r="Z178" s="164">
        <f>IF(AND($C177=12,$D177=Input!$C$6),0,IF($E178="","",V178+Z179/(1+L178)*R178))</f>
        <v>3883.4445746847819</v>
      </c>
      <c r="AA178" s="164">
        <f>IF(OR($M178=1,AND($C177=12,$D177=Input!$C$6)),0,IF($E178="","",W178+(X178+AA179*$R178)/(1+$L178)))</f>
        <v>3382.9456901191793</v>
      </c>
      <c r="AB178" s="160">
        <f t="shared" si="45"/>
        <v>0.825720328500681</v>
      </c>
      <c r="AC178" s="164">
        <f t="shared" si="46"/>
        <v>0</v>
      </c>
      <c r="AD178" s="164">
        <f>IF(AND($C177=12,$D177=Input!$C$6),0,IF($E178="","",$AC178+AD179/(1+$L178)*$R178))</f>
        <v>3206.6391299229058</v>
      </c>
      <c r="AE178" s="152"/>
      <c r="AF178" s="164">
        <f>IF(AND($C177=12,$D177=Input!$C$6),0,IF($E178="","",IF($B178&gt;Input!$C$9,$AC178,0)+AF179/(1+$L178)*$R178))</f>
        <v>2502.6454597986981</v>
      </c>
      <c r="AG178" s="164">
        <f>IF(AND($C177=12,$D177=Input!$C$6),0,IF($E178="","",(IF($B178&gt;Input!$C$9,$X178,0)+AG179)/(1+$L178)*$R178))</f>
        <v>1194.5723479229855</v>
      </c>
      <c r="AH178" s="160">
        <f t="shared" si="47"/>
        <v>2.0950137211446997</v>
      </c>
      <c r="AI178" s="160">
        <f>IF($E178="","",MIN(Input!$C$61/AH178,1))</f>
        <v>0.64438718771845094</v>
      </c>
      <c r="AJ178" s="152"/>
      <c r="AK178" s="164">
        <f>IF(AND($C177=12,$D177=Input!$C$6),0,IF($E178="","",IF($B178&gt;Input!$C$9,$AC178*AI178,0)+AK179/(1+$L178)*$R178))</f>
        <v>1612.6726696960343</v>
      </c>
      <c r="AL178" s="164">
        <f>IF(AND($C177=12,$D177=Input!$C$6),0,IF($E178="","",IF($B178&gt;Input!$C$9,0,$AC178)+AL179/(1+$L178)*$R178))</f>
        <v>703.99367012420623</v>
      </c>
      <c r="AM178" s="160">
        <f t="shared" si="48"/>
        <v>1.1382936520186004</v>
      </c>
      <c r="AN178" s="164">
        <f>IF($E178="","",IF($B178&gt;Input!$C$9,$AI178*$AC178,$AM178*$AC178))</f>
        <v>0</v>
      </c>
      <c r="AO178" s="164">
        <f>IF(AND($C177=12,$D177=Input!$C$6),0,IF($E178="","",$AN178+AO179/(1+$L178)*$R178))</f>
        <v>2414.0241954596959</v>
      </c>
      <c r="AP178" s="152"/>
      <c r="AQ178" s="164">
        <f t="shared" si="49"/>
        <v>968.92149465948341</v>
      </c>
      <c r="AR178" s="164">
        <f t="shared" si="58"/>
        <v>938.93585057218525</v>
      </c>
      <c r="AS178" s="164">
        <f t="shared" si="59"/>
        <v>179.42583732057417</v>
      </c>
      <c r="AT178" s="164">
        <f t="shared" si="50"/>
        <v>938.93585057218525</v>
      </c>
      <c r="AU178" s="152"/>
      <c r="AV178" s="147">
        <f>'Deterministic Reserve'!BC178</f>
        <v>0.51502824699470173</v>
      </c>
      <c r="AW178" s="164">
        <f t="shared" si="51"/>
        <v>938.93585057218525</v>
      </c>
      <c r="AX178" s="164">
        <f t="shared" si="52"/>
        <v>483.57848516067179</v>
      </c>
      <c r="AY178" s="152"/>
    </row>
    <row r="179" spans="1:51" s="150" customFormat="1" x14ac:dyDescent="0.25">
      <c r="A179" s="150">
        <f t="shared" si="60"/>
        <v>175</v>
      </c>
      <c r="B179" s="150">
        <f t="shared" si="61"/>
        <v>15</v>
      </c>
      <c r="C179" s="150">
        <f t="shared" si="62"/>
        <v>7</v>
      </c>
      <c r="D179" s="150">
        <f>IF(E179="","",Input!$C$4+B179-1)</f>
        <v>59</v>
      </c>
      <c r="E179" s="150">
        <f>IF(OR(AND(C178=12,D178=Input!$C$6),E178=""),"",1)</f>
        <v>1</v>
      </c>
      <c r="F179" s="150">
        <f>IF(E179="","",Input!$C$8+B179-1)</f>
        <v>2032</v>
      </c>
      <c r="G179" s="151">
        <f>IF(E179="","",MAX(0,Input!$C$9-B179))</f>
        <v>5</v>
      </c>
      <c r="H179" s="152">
        <f>IF(E179="","",Input!$C$3)</f>
        <v>100000</v>
      </c>
      <c r="I179" s="153">
        <f>IF(E179="","",HLOOKUP($B179,Input!$C$13:$BT$14,2))</f>
        <v>2.2999999999999998</v>
      </c>
      <c r="J179" s="154"/>
      <c r="K179" s="155">
        <f>IF($E179="","",Input!$C$57)</f>
        <v>4.4999999999999998E-2</v>
      </c>
      <c r="L179" s="155">
        <f t="shared" si="53"/>
        <v>3.6748094004368514E-3</v>
      </c>
      <c r="M179" s="147">
        <f>IF($E179="","",VLOOKUP(IF($B179&lt;=Input!$C$7,$B179,26),'Mortality Tables'!$A$72:$CA$97,IF($B179&lt;=Input!$C$7+1,Input!$C$4-16,$D179-Input!$C$7-16),0)/1000)</f>
        <v>3.7499999999999999E-3</v>
      </c>
      <c r="N179" s="147">
        <f t="shared" si="42"/>
        <v>3.1303839972862679E-4</v>
      </c>
      <c r="O179" s="157">
        <f>IF($E179="","",IF($C179=12,IF($B179&lt;Input!$C$9,Input!$C$54,IF($B179=Input!$C$9,Input!$C$55,Input!$C$56)),0%))</f>
        <v>0</v>
      </c>
      <c r="P179" s="167">
        <f>IF($E179="","",IF($B179=1,Input!$C$59,IF($B179&lt;6,Input!$C$60,0%)))</f>
        <v>0</v>
      </c>
      <c r="Q179" s="162">
        <f>IF($E179="","",Input!$C$58)</f>
        <v>2.5</v>
      </c>
      <c r="R179" s="156">
        <f t="shared" si="54"/>
        <v>0.99968696160027137</v>
      </c>
      <c r="S179" s="154">
        <f t="shared" si="43"/>
        <v>0.41040852541881145</v>
      </c>
      <c r="T179" s="152"/>
      <c r="U179" s="150">
        <f t="shared" si="55"/>
        <v>0</v>
      </c>
      <c r="V179" s="150">
        <f t="shared" si="56"/>
        <v>0</v>
      </c>
      <c r="W179" s="168">
        <f t="shared" si="57"/>
        <v>0</v>
      </c>
      <c r="X179" s="163">
        <f t="shared" si="44"/>
        <v>31.303839972862679</v>
      </c>
      <c r="Y179" s="152"/>
      <c r="Z179" s="164">
        <f>IF(AND($C178=12,$D178=Input!$C$6),0,IF($E179="","",V179+Z180/(1+L179)*R179))</f>
        <v>3898.9360100031245</v>
      </c>
      <c r="AA179" s="164">
        <f>IF(OR($M179=1,AND($C178=12,$D178=Input!$C$6)),0,IF($E179="","",W179+(X179+AA180*$R179)/(1+$L179)))</f>
        <v>3365.1269447231939</v>
      </c>
      <c r="AB179" s="160">
        <f t="shared" si="45"/>
        <v>0.825720328500681</v>
      </c>
      <c r="AC179" s="164">
        <f t="shared" si="46"/>
        <v>0</v>
      </c>
      <c r="AD179" s="164">
        <f>IF(AND($C178=12,$D178=Input!$C$6),0,IF($E179="","",$AC179+AD180/(1+$L179)*$R179))</f>
        <v>3219.4307229829146</v>
      </c>
      <c r="AE179" s="152"/>
      <c r="AF179" s="164">
        <f>IF(AND($C178=12,$D178=Input!$C$6),0,IF($E179="","",IF($B179&gt;Input!$C$9,$AC179,0)+AF180/(1+$L179)*$R179))</f>
        <v>2512.6287541446363</v>
      </c>
      <c r="AG179" s="164">
        <f>IF(AND($C178=12,$D178=Input!$C$6),0,IF($E179="","",(IF($B179&gt;Input!$C$9,$X179,0)+AG180)/(1+$L179)*$R179))</f>
        <v>1199.3376123435371</v>
      </c>
      <c r="AH179" s="160">
        <f t="shared" si="47"/>
        <v>2.0950137211446997</v>
      </c>
      <c r="AI179" s="160">
        <f>IF($E179="","",MIN(Input!$C$61/AH179,1))</f>
        <v>0.64438718771845094</v>
      </c>
      <c r="AJ179" s="152"/>
      <c r="AK179" s="164">
        <f>IF(AND($C178=12,$D178=Input!$C$6),0,IF($E179="","",IF($B179&gt;Input!$C$9,$AC179*AI179,0)+AK180/(1+$L179)*$R179))</f>
        <v>1619.1057766637789</v>
      </c>
      <c r="AL179" s="164">
        <f>IF(AND($C178=12,$D178=Input!$C$6),0,IF($E179="","",IF($B179&gt;Input!$C$9,0,$AC179)+AL180/(1+$L179)*$R179))</f>
        <v>706.80196883827682</v>
      </c>
      <c r="AM179" s="160">
        <f t="shared" si="48"/>
        <v>1.1382936520186004</v>
      </c>
      <c r="AN179" s="164">
        <f>IF($E179="","",IF($B179&gt;Input!$C$9,$AI179*$AC179,$AM179*$AC179))</f>
        <v>0</v>
      </c>
      <c r="AO179" s="164">
        <f>IF(AND($C178=12,$D178=Input!$C$6),0,IF($E179="","",$AN179+AO180/(1+$L179)*$R179))</f>
        <v>2423.6539710266393</v>
      </c>
      <c r="AP179" s="152"/>
      <c r="AQ179" s="164">
        <f t="shared" si="49"/>
        <v>941.47297369655462</v>
      </c>
      <c r="AR179" s="164">
        <f t="shared" si="58"/>
        <v>938.93585057218525</v>
      </c>
      <c r="AS179" s="164">
        <f t="shared" si="59"/>
        <v>179.42583732057417</v>
      </c>
      <c r="AT179" s="164">
        <f t="shared" si="50"/>
        <v>938.93585057218525</v>
      </c>
      <c r="AU179" s="152"/>
      <c r="AV179" s="147">
        <f>'Deterministic Reserve'!BC179</f>
        <v>0.5149250665796774</v>
      </c>
      <c r="AW179" s="164">
        <f t="shared" si="51"/>
        <v>938.93585057218525</v>
      </c>
      <c r="AX179" s="164">
        <f t="shared" si="52"/>
        <v>483.4816053699285</v>
      </c>
      <c r="AY179" s="152"/>
    </row>
    <row r="180" spans="1:51" s="150" customFormat="1" x14ac:dyDescent="0.25">
      <c r="A180" s="150">
        <f t="shared" si="60"/>
        <v>176</v>
      </c>
      <c r="B180" s="150">
        <f t="shared" si="61"/>
        <v>15</v>
      </c>
      <c r="C180" s="150">
        <f t="shared" si="62"/>
        <v>8</v>
      </c>
      <c r="D180" s="150">
        <f>IF(E180="","",Input!$C$4+B180-1)</f>
        <v>59</v>
      </c>
      <c r="E180" s="150">
        <f>IF(OR(AND(C179=12,D179=Input!$C$6),E179=""),"",1)</f>
        <v>1</v>
      </c>
      <c r="F180" s="150">
        <f>IF(E180="","",Input!$C$8+B180-1)</f>
        <v>2032</v>
      </c>
      <c r="G180" s="151">
        <f>IF(E180="","",MAX(0,Input!$C$9-B180))</f>
        <v>5</v>
      </c>
      <c r="H180" s="152">
        <f>IF(E180="","",Input!$C$3)</f>
        <v>100000</v>
      </c>
      <c r="I180" s="153">
        <f>IF(E180="","",HLOOKUP($B180,Input!$C$13:$BT$14,2))</f>
        <v>2.2999999999999998</v>
      </c>
      <c r="J180" s="154"/>
      <c r="K180" s="155">
        <f>IF($E180="","",Input!$C$57)</f>
        <v>4.4999999999999998E-2</v>
      </c>
      <c r="L180" s="155">
        <f t="shared" si="53"/>
        <v>3.6748094004368514E-3</v>
      </c>
      <c r="M180" s="147">
        <f>IF($E180="","",VLOOKUP(IF($B180&lt;=Input!$C$7,$B180,26),'Mortality Tables'!$A$72:$CA$97,IF($B180&lt;=Input!$C$7+1,Input!$C$4-16,$D180-Input!$C$7-16),0)/1000)</f>
        <v>3.7499999999999999E-3</v>
      </c>
      <c r="N180" s="147">
        <f t="shared" si="42"/>
        <v>3.1303839972862679E-4</v>
      </c>
      <c r="O180" s="157">
        <f>IF($E180="","",IF($C180=12,IF($B180&lt;Input!$C$9,Input!$C$54,IF($B180=Input!$C$9,Input!$C$55,Input!$C$56)),0%))</f>
        <v>0</v>
      </c>
      <c r="P180" s="167">
        <f>IF($E180="","",IF($B180=1,Input!$C$59,IF($B180&lt;6,Input!$C$60,0%)))</f>
        <v>0</v>
      </c>
      <c r="Q180" s="162">
        <f>IF($E180="","",Input!$C$58)</f>
        <v>2.5</v>
      </c>
      <c r="R180" s="156">
        <f t="shared" si="54"/>
        <v>0.99968696160027137</v>
      </c>
      <c r="S180" s="154">
        <f t="shared" si="43"/>
        <v>0.41028005179077937</v>
      </c>
      <c r="T180" s="152"/>
      <c r="U180" s="150">
        <f t="shared" si="55"/>
        <v>0</v>
      </c>
      <c r="V180" s="150">
        <f t="shared" si="56"/>
        <v>0</v>
      </c>
      <c r="W180" s="168">
        <f t="shared" si="57"/>
        <v>0</v>
      </c>
      <c r="X180" s="163">
        <f t="shared" si="44"/>
        <v>31.303839972862679</v>
      </c>
      <c r="Y180" s="152"/>
      <c r="Z180" s="164">
        <f>IF(AND($C179=12,$D179=Input!$C$6),0,IF($E180="","",V180+Z181/(1+L180)*R180))</f>
        <v>3914.4892421525037</v>
      </c>
      <c r="AA180" s="164">
        <f>IF(OR($M180=1,AND($C179=12,$D179=Input!$C$6)),0,IF($E180="","",W180+(X180+AA181*$R180)/(1+$L180)))</f>
        <v>3347.2371186315922</v>
      </c>
      <c r="AB180" s="160">
        <f t="shared" si="45"/>
        <v>0.825720328500681</v>
      </c>
      <c r="AC180" s="164">
        <f t="shared" si="46"/>
        <v>0</v>
      </c>
      <c r="AD180" s="164">
        <f>IF(AND($C179=12,$D179=Input!$C$6),0,IF($E180="","",$AC180+AD181/(1+$L180)*$R180))</f>
        <v>3232.2733429425475</v>
      </c>
      <c r="AE180" s="152"/>
      <c r="AF180" s="164">
        <f>IF(AND($C179=12,$D179=Input!$C$6),0,IF($E180="","",IF($B180&gt;Input!$C$9,$AC180,0)+AF181/(1+$L180)*$R180))</f>
        <v>2522.6518728155138</v>
      </c>
      <c r="AG180" s="164">
        <f>IF(AND($C179=12,$D179=Input!$C$6),0,IF($E180="","",(IF($B180&gt;Input!$C$9,$X180,0)+AG181)/(1+$L180)*$R180))</f>
        <v>1204.1218858639036</v>
      </c>
      <c r="AH180" s="160">
        <f t="shared" si="47"/>
        <v>2.0950137211446997</v>
      </c>
      <c r="AI180" s="160">
        <f>IF($E180="","",MIN(Input!$C$61/AH180,1))</f>
        <v>0.64438718771845094</v>
      </c>
      <c r="AJ180" s="152"/>
      <c r="AK180" s="164">
        <f>IF(AND($C179=12,$D179=Input!$C$6),0,IF($E180="","",IF($B180&gt;Input!$C$9,$AC180*AI180,0)+AK181/(1+$L180)*$R180))</f>
        <v>1625.5645459162738</v>
      </c>
      <c r="AL180" s="164">
        <f>IF(AND($C179=12,$D179=Input!$C$6),0,IF($E180="","",IF($B180&gt;Input!$C$9,0,$AC180)+AL181/(1+$L180)*$R180))</f>
        <v>709.62147012703269</v>
      </c>
      <c r="AM180" s="160">
        <f t="shared" si="48"/>
        <v>1.1382936520186004</v>
      </c>
      <c r="AN180" s="164">
        <f>IF($E180="","",IF($B180&gt;Input!$C$9,$AI180*$AC180,$AM180*$AC180))</f>
        <v>0</v>
      </c>
      <c r="AO180" s="164">
        <f>IF(AND($C179=12,$D179=Input!$C$6),0,IF($E180="","",$AN180+AO181/(1+$L180)*$R180))</f>
        <v>2433.3221606979828</v>
      </c>
      <c r="AP180" s="152"/>
      <c r="AQ180" s="164">
        <f t="shared" si="49"/>
        <v>913.91495793360946</v>
      </c>
      <c r="AR180" s="164">
        <f t="shared" si="58"/>
        <v>938.93585057218525</v>
      </c>
      <c r="AS180" s="164">
        <f t="shared" si="59"/>
        <v>179.42583732057417</v>
      </c>
      <c r="AT180" s="164">
        <f t="shared" si="50"/>
        <v>938.93585057218525</v>
      </c>
      <c r="AU180" s="152"/>
      <c r="AV180" s="147">
        <f>'Deterministic Reserve'!BC180</f>
        <v>0.51482190683574847</v>
      </c>
      <c r="AW180" s="164">
        <f t="shared" si="51"/>
        <v>938.93585057218525</v>
      </c>
      <c r="AX180" s="164">
        <f t="shared" si="52"/>
        <v>483.38474498801781</v>
      </c>
      <c r="AY180" s="152"/>
    </row>
    <row r="181" spans="1:51" s="150" customFormat="1" x14ac:dyDescent="0.25">
      <c r="A181" s="150">
        <f t="shared" si="60"/>
        <v>177</v>
      </c>
      <c r="B181" s="150">
        <f t="shared" si="61"/>
        <v>15</v>
      </c>
      <c r="C181" s="150">
        <f t="shared" si="62"/>
        <v>9</v>
      </c>
      <c r="D181" s="150">
        <f>IF(E181="","",Input!$C$4+B181-1)</f>
        <v>59</v>
      </c>
      <c r="E181" s="150">
        <f>IF(OR(AND(C180=12,D180=Input!$C$6),E180=""),"",1)</f>
        <v>1</v>
      </c>
      <c r="F181" s="150">
        <f>IF(E181="","",Input!$C$8+B181-1)</f>
        <v>2032</v>
      </c>
      <c r="G181" s="151">
        <f>IF(E181="","",MAX(0,Input!$C$9-B181))</f>
        <v>5</v>
      </c>
      <c r="H181" s="152">
        <f>IF(E181="","",Input!$C$3)</f>
        <v>100000</v>
      </c>
      <c r="I181" s="153">
        <f>IF(E181="","",HLOOKUP($B181,Input!$C$13:$BT$14,2))</f>
        <v>2.2999999999999998</v>
      </c>
      <c r="J181" s="154"/>
      <c r="K181" s="155">
        <f>IF($E181="","",Input!$C$57)</f>
        <v>4.4999999999999998E-2</v>
      </c>
      <c r="L181" s="155">
        <f t="shared" si="53"/>
        <v>3.6748094004368514E-3</v>
      </c>
      <c r="M181" s="147">
        <f>IF($E181="","",VLOOKUP(IF($B181&lt;=Input!$C$7,$B181,26),'Mortality Tables'!$A$72:$CA$97,IF($B181&lt;=Input!$C$7+1,Input!$C$4-16,$D181-Input!$C$7-16),0)/1000)</f>
        <v>3.7499999999999999E-3</v>
      </c>
      <c r="N181" s="147">
        <f t="shared" si="42"/>
        <v>3.1303839972862679E-4</v>
      </c>
      <c r="O181" s="157">
        <f>IF($E181="","",IF($C181=12,IF($B181&lt;Input!$C$9,Input!$C$54,IF($B181=Input!$C$9,Input!$C$55,Input!$C$56)),0%))</f>
        <v>0</v>
      </c>
      <c r="P181" s="167">
        <f>IF($E181="","",IF($B181=1,Input!$C$59,IF($B181&lt;6,Input!$C$60,0%)))</f>
        <v>0</v>
      </c>
      <c r="Q181" s="162">
        <f>IF($E181="","",Input!$C$58)</f>
        <v>2.5</v>
      </c>
      <c r="R181" s="156">
        <f t="shared" si="54"/>
        <v>0.99968696160027137</v>
      </c>
      <c r="S181" s="154">
        <f t="shared" si="43"/>
        <v>0.4101516183799262</v>
      </c>
      <c r="T181" s="152"/>
      <c r="U181" s="150">
        <f t="shared" si="55"/>
        <v>0</v>
      </c>
      <c r="V181" s="150">
        <f t="shared" si="56"/>
        <v>0</v>
      </c>
      <c r="W181" s="168">
        <f t="shared" si="57"/>
        <v>0</v>
      </c>
      <c r="X181" s="163">
        <f t="shared" si="44"/>
        <v>31.303839972862679</v>
      </c>
      <c r="Y181" s="152"/>
      <c r="Z181" s="164">
        <f>IF(AND($C180=12,$D180=Input!$C$6),0,IF($E181="","",V181+Z182/(1+L181)*R181))</f>
        <v>3930.1045176464449</v>
      </c>
      <c r="AA181" s="164">
        <f>IF(OR($M181=1,AND($C180=12,$D180=Input!$C$6)),0,IF($E181="","",W181+(X181+AA182*$R181)/(1+$L181)))</f>
        <v>3329.2759282966172</v>
      </c>
      <c r="AB181" s="160">
        <f t="shared" si="45"/>
        <v>0.825720328500681</v>
      </c>
      <c r="AC181" s="164">
        <f t="shared" si="46"/>
        <v>0</v>
      </c>
      <c r="AD181" s="164">
        <f>IF(AND($C180=12,$D180=Input!$C$6),0,IF($E181="","",$AC181+AD182/(1+$L181)*$R181))</f>
        <v>3245.1671933530333</v>
      </c>
      <c r="AE181" s="152"/>
      <c r="AF181" s="164">
        <f>IF(AND($C180=12,$D180=Input!$C$6),0,IF($E181="","",IF($B181&gt;Input!$C$9,$AC181,0)+AF182/(1+$L181)*$R181))</f>
        <v>2532.7149746744067</v>
      </c>
      <c r="AG181" s="164">
        <f>IF(AND($C180=12,$D180=Input!$C$6),0,IF($E181="","",(IF($B181&gt;Input!$C$9,$X181,0)+AG182)/(1+$L181)*$R181))</f>
        <v>1208.9252443132195</v>
      </c>
      <c r="AH181" s="160">
        <f t="shared" si="47"/>
        <v>2.0950137211446997</v>
      </c>
      <c r="AI181" s="160">
        <f>IF($E181="","",MIN(Input!$C$61/AH181,1))</f>
        <v>0.64438718771845094</v>
      </c>
      <c r="AJ181" s="152"/>
      <c r="AK181" s="164">
        <f>IF(AND($C180=12,$D180=Input!$C$6),0,IF($E181="","",IF($B181&gt;Input!$C$9,$AC181*AI181,0)+AK182/(1+$L181)*$R181))</f>
        <v>1632.04907982285</v>
      </c>
      <c r="AL181" s="164">
        <f>IF(AND($C180=12,$D180=Input!$C$6),0,IF($E181="","",IF($B181&gt;Input!$C$9,0,$AC181)+AL182/(1+$L181)*$R181))</f>
        <v>712.45221867862563</v>
      </c>
      <c r="AM181" s="160">
        <f t="shared" si="48"/>
        <v>1.1382936520186004</v>
      </c>
      <c r="AN181" s="164">
        <f>IF($E181="","",IF($B181&gt;Input!$C$9,$AI181*$AC181,$AM181*$AC181))</f>
        <v>0</v>
      </c>
      <c r="AO181" s="164">
        <f>IF(AND($C180=12,$D180=Input!$C$6),0,IF($E181="","",$AN181+AO182/(1+$L181)*$R181))</f>
        <v>2443.0289177112982</v>
      </c>
      <c r="AP181" s="152"/>
      <c r="AQ181" s="164">
        <f t="shared" si="49"/>
        <v>886.247010585319</v>
      </c>
      <c r="AR181" s="164">
        <f t="shared" si="58"/>
        <v>938.93585057218525</v>
      </c>
      <c r="AS181" s="164">
        <f t="shared" si="59"/>
        <v>179.42583732057417</v>
      </c>
      <c r="AT181" s="164">
        <f t="shared" si="50"/>
        <v>938.93585057218525</v>
      </c>
      <c r="AU181" s="152"/>
      <c r="AV181" s="147">
        <f>'Deterministic Reserve'!BC181</f>
        <v>0.51471876775877379</v>
      </c>
      <c r="AW181" s="164">
        <f t="shared" si="51"/>
        <v>938.93585057218525</v>
      </c>
      <c r="AX181" s="164">
        <f t="shared" si="52"/>
        <v>483.28790401105135</v>
      </c>
      <c r="AY181" s="152"/>
    </row>
    <row r="182" spans="1:51" s="150" customFormat="1" x14ac:dyDescent="0.25">
      <c r="A182" s="150">
        <f t="shared" si="60"/>
        <v>178</v>
      </c>
      <c r="B182" s="150">
        <f t="shared" si="61"/>
        <v>15</v>
      </c>
      <c r="C182" s="150">
        <f t="shared" si="62"/>
        <v>10</v>
      </c>
      <c r="D182" s="150">
        <f>IF(E182="","",Input!$C$4+B182-1)</f>
        <v>59</v>
      </c>
      <c r="E182" s="150">
        <f>IF(OR(AND(C181=12,D181=Input!$C$6),E181=""),"",1)</f>
        <v>1</v>
      </c>
      <c r="F182" s="150">
        <f>IF(E182="","",Input!$C$8+B182-1)</f>
        <v>2032</v>
      </c>
      <c r="G182" s="151">
        <f>IF(E182="","",MAX(0,Input!$C$9-B182))</f>
        <v>5</v>
      </c>
      <c r="H182" s="152">
        <f>IF(E182="","",Input!$C$3)</f>
        <v>100000</v>
      </c>
      <c r="I182" s="153">
        <f>IF(E182="","",HLOOKUP($B182,Input!$C$13:$BT$14,2))</f>
        <v>2.2999999999999998</v>
      </c>
      <c r="J182" s="154"/>
      <c r="K182" s="155">
        <f>IF($E182="","",Input!$C$57)</f>
        <v>4.4999999999999998E-2</v>
      </c>
      <c r="L182" s="155">
        <f t="shared" si="53"/>
        <v>3.6748094004368514E-3</v>
      </c>
      <c r="M182" s="147">
        <f>IF($E182="","",VLOOKUP(IF($B182&lt;=Input!$C$7,$B182,26),'Mortality Tables'!$A$72:$CA$97,IF($B182&lt;=Input!$C$7+1,Input!$C$4-16,$D182-Input!$C$7-16),0)/1000)</f>
        <v>3.7499999999999999E-3</v>
      </c>
      <c r="N182" s="147">
        <f t="shared" si="42"/>
        <v>3.1303839972862679E-4</v>
      </c>
      <c r="O182" s="157">
        <f>IF($E182="","",IF($C182=12,IF($B182&lt;Input!$C$9,Input!$C$54,IF($B182=Input!$C$9,Input!$C$55,Input!$C$56)),0%))</f>
        <v>0</v>
      </c>
      <c r="P182" s="167">
        <f>IF($E182="","",IF($B182=1,Input!$C$59,IF($B182&lt;6,Input!$C$60,0%)))</f>
        <v>0</v>
      </c>
      <c r="Q182" s="162">
        <f>IF($E182="","",Input!$C$58)</f>
        <v>2.5</v>
      </c>
      <c r="R182" s="156">
        <f t="shared" si="54"/>
        <v>0.99968696160027137</v>
      </c>
      <c r="S182" s="154">
        <f t="shared" si="43"/>
        <v>0.41002322517366246</v>
      </c>
      <c r="T182" s="152"/>
      <c r="U182" s="150">
        <f t="shared" si="55"/>
        <v>0</v>
      </c>
      <c r="V182" s="150">
        <f t="shared" si="56"/>
        <v>0</v>
      </c>
      <c r="W182" s="168">
        <f t="shared" si="57"/>
        <v>0</v>
      </c>
      <c r="X182" s="163">
        <f t="shared" si="44"/>
        <v>31.303839972862679</v>
      </c>
      <c r="Y182" s="152"/>
      <c r="Z182" s="164">
        <f>IF(AND($C181=12,$D181=Input!$C$6),0,IF($E182="","",V182+Z183/(1+L182)*R182))</f>
        <v>3945.7820839818387</v>
      </c>
      <c r="AA182" s="164">
        <f>IF(OR($M182=1,AND($C181=12,$D181=Input!$C$6)),0,IF($E182="","",W182+(X182+AA183*$R182)/(1+$L182)))</f>
        <v>3311.2430890394126</v>
      </c>
      <c r="AB182" s="160">
        <f t="shared" si="45"/>
        <v>0.825720328500681</v>
      </c>
      <c r="AC182" s="164">
        <f t="shared" si="46"/>
        <v>0</v>
      </c>
      <c r="AD182" s="164">
        <f>IF(AND($C181=12,$D181=Input!$C$6),0,IF($E182="","",$AC182+AD183/(1+$L182)*$R182))</f>
        <v>3258.112478577586</v>
      </c>
      <c r="AE182" s="152"/>
      <c r="AF182" s="164">
        <f>IF(AND($C181=12,$D181=Input!$C$6),0,IF($E182="","",IF($B182&gt;Input!$C$9,$AC182,0)+AF183/(1+$L182)*$R182))</f>
        <v>2542.8182192181125</v>
      </c>
      <c r="AG182" s="164">
        <f>IF(AND($C181=12,$D181=Input!$C$6),0,IF($E182="","",(IF($B182&gt;Input!$C$9,$X182,0)+AG183)/(1+$L182)*$R182))</f>
        <v>1213.7477638231085</v>
      </c>
      <c r="AH182" s="160">
        <f t="shared" si="47"/>
        <v>2.0950137211446997</v>
      </c>
      <c r="AI182" s="160">
        <f>IF($E182="","",MIN(Input!$C$61/AH182,1))</f>
        <v>0.64438718771845094</v>
      </c>
      <c r="AJ182" s="152"/>
      <c r="AK182" s="164">
        <f>IF(AND($C181=12,$D181=Input!$C$6),0,IF($E182="","",IF($B182&gt;Input!$C$9,$AC182*AI182,0)+AK183/(1+$L182)*$R182))</f>
        <v>1638.5594811612002</v>
      </c>
      <c r="AL182" s="164">
        <f>IF(AND($C181=12,$D181=Input!$C$6),0,IF($E182="","",IF($B182&gt;Input!$C$9,0,$AC182)+AL183/(1+$L182)*$R182))</f>
        <v>715.2942593594729</v>
      </c>
      <c r="AM182" s="160">
        <f t="shared" si="48"/>
        <v>1.1382936520186004</v>
      </c>
      <c r="AN182" s="164">
        <f>IF($E182="","",IF($B182&gt;Input!$C$9,$AI182*$AC182,$AM182*$AC182))</f>
        <v>0</v>
      </c>
      <c r="AO182" s="164">
        <f>IF(AND($C181=12,$D181=Input!$C$6),0,IF($E182="","",$AN182+AO183/(1+$L182)*$R182))</f>
        <v>2452.7743959154354</v>
      </c>
      <c r="AP182" s="152"/>
      <c r="AQ182" s="164">
        <f t="shared" si="49"/>
        <v>858.46869312397712</v>
      </c>
      <c r="AR182" s="164">
        <f t="shared" si="58"/>
        <v>938.93585057218525</v>
      </c>
      <c r="AS182" s="164">
        <f t="shared" si="59"/>
        <v>179.42583732057417</v>
      </c>
      <c r="AT182" s="164">
        <f t="shared" si="50"/>
        <v>938.93585057218525</v>
      </c>
      <c r="AU182" s="152"/>
      <c r="AV182" s="147">
        <f>'Deterministic Reserve'!BC182</f>
        <v>0.5146156493446129</v>
      </c>
      <c r="AW182" s="164">
        <f t="shared" si="51"/>
        <v>938.93585057218525</v>
      </c>
      <c r="AX182" s="164">
        <f t="shared" si="52"/>
        <v>483.19108243514154</v>
      </c>
      <c r="AY182" s="152"/>
    </row>
    <row r="183" spans="1:51" s="150" customFormat="1" x14ac:dyDescent="0.25">
      <c r="A183" s="150">
        <f t="shared" si="60"/>
        <v>179</v>
      </c>
      <c r="B183" s="150">
        <f t="shared" si="61"/>
        <v>15</v>
      </c>
      <c r="C183" s="150">
        <f t="shared" si="62"/>
        <v>11</v>
      </c>
      <c r="D183" s="150">
        <f>IF(E183="","",Input!$C$4+B183-1)</f>
        <v>59</v>
      </c>
      <c r="E183" s="150">
        <f>IF(OR(AND(C182=12,D182=Input!$C$6),E182=""),"",1)</f>
        <v>1</v>
      </c>
      <c r="F183" s="150">
        <f>IF(E183="","",Input!$C$8+B183-1)</f>
        <v>2032</v>
      </c>
      <c r="G183" s="151">
        <f>IF(E183="","",MAX(0,Input!$C$9-B183))</f>
        <v>5</v>
      </c>
      <c r="H183" s="152">
        <f>IF(E183="","",Input!$C$3)</f>
        <v>100000</v>
      </c>
      <c r="I183" s="153">
        <f>IF(E183="","",HLOOKUP($B183,Input!$C$13:$BT$14,2))</f>
        <v>2.2999999999999998</v>
      </c>
      <c r="J183" s="154"/>
      <c r="K183" s="155">
        <f>IF($E183="","",Input!$C$57)</f>
        <v>4.4999999999999998E-2</v>
      </c>
      <c r="L183" s="155">
        <f t="shared" si="53"/>
        <v>3.6748094004368514E-3</v>
      </c>
      <c r="M183" s="147">
        <f>IF($E183="","",VLOOKUP(IF($B183&lt;=Input!$C$7,$B183,26),'Mortality Tables'!$A$72:$CA$97,IF($B183&lt;=Input!$C$7+1,Input!$C$4-16,$D183-Input!$C$7-16),0)/1000)</f>
        <v>3.7499999999999999E-3</v>
      </c>
      <c r="N183" s="147">
        <f t="shared" si="42"/>
        <v>3.1303839972862679E-4</v>
      </c>
      <c r="O183" s="157">
        <f>IF($E183="","",IF($C183=12,IF($B183&lt;Input!$C$9,Input!$C$54,IF($B183=Input!$C$9,Input!$C$55,Input!$C$56)),0%))</f>
        <v>0</v>
      </c>
      <c r="P183" s="167">
        <f>IF($E183="","",IF($B183=1,Input!$C$59,IF($B183&lt;6,Input!$C$60,0%)))</f>
        <v>0</v>
      </c>
      <c r="Q183" s="162">
        <f>IF($E183="","",Input!$C$58)</f>
        <v>2.5</v>
      </c>
      <c r="R183" s="156">
        <f t="shared" si="54"/>
        <v>0.99968696160027137</v>
      </c>
      <c r="S183" s="154">
        <f t="shared" si="43"/>
        <v>0.40989487215940251</v>
      </c>
      <c r="T183" s="152"/>
      <c r="U183" s="150">
        <f t="shared" si="55"/>
        <v>0</v>
      </c>
      <c r="V183" s="150">
        <f t="shared" si="56"/>
        <v>0</v>
      </c>
      <c r="W183" s="168">
        <f t="shared" si="57"/>
        <v>0</v>
      </c>
      <c r="X183" s="163">
        <f t="shared" si="44"/>
        <v>31.303839972862679</v>
      </c>
      <c r="Y183" s="152"/>
      <c r="Z183" s="164">
        <f>IF(AND($C182=12,$D182=Input!$C$6),0,IF($E183="","",V183+Z184/(1+L183)*R183))</f>
        <v>3961.5221896428661</v>
      </c>
      <c r="AA183" s="164">
        <f>IF(OR($M183=1,AND($C182=12,$D182=Input!$C$6)),0,IF($E183="","",W183+(X183+AA184*$R183)/(1+$L183)))</f>
        <v>3293.1383150455104</v>
      </c>
      <c r="AB183" s="160">
        <f t="shared" si="45"/>
        <v>0.825720328500681</v>
      </c>
      <c r="AC183" s="164">
        <f t="shared" si="46"/>
        <v>0</v>
      </c>
      <c r="AD183" s="164">
        <f>IF(AND($C182=12,$D182=Input!$C$6),0,IF($E183="","",$AC183+AD184/(1+$L183)*$R183))</f>
        <v>3271.1094037946445</v>
      </c>
      <c r="AE183" s="152"/>
      <c r="AF183" s="164">
        <f>IF(AND($C182=12,$D182=Input!$C$6),0,IF($E183="","",IF($B183&gt;Input!$C$9,$AC183,0)+AF184/(1+$L183)*$R183))</f>
        <v>2552.9617665796759</v>
      </c>
      <c r="AG183" s="164">
        <f>IF(AND($C182=12,$D182=Input!$C$6),0,IF($E183="","",(IF($B183&gt;Input!$C$9,$X183,0)+AG184)/(1+$L183)*$R183))</f>
        <v>1218.5895208288912</v>
      </c>
      <c r="AH183" s="160">
        <f t="shared" si="47"/>
        <v>2.0950137211446997</v>
      </c>
      <c r="AI183" s="160">
        <f>IF($E183="","",MIN(Input!$C$61/AH183,1))</f>
        <v>0.64438718771845094</v>
      </c>
      <c r="AJ183" s="152"/>
      <c r="AK183" s="164">
        <f>IF(AND($C182=12,$D182=Input!$C$6),0,IF($E183="","",IF($B183&gt;Input!$C$9,$AC183*AI183,0)+AK184/(1+$L183)*$R183))</f>
        <v>1645.095853119007</v>
      </c>
      <c r="AL183" s="164">
        <f>IF(AND($C182=12,$D182=Input!$C$6),0,IF($E183="","",IF($B183&gt;Input!$C$9,0,$AC183)+AL184/(1+$L183)*$R183))</f>
        <v>718.14763721496831</v>
      </c>
      <c r="AM183" s="160">
        <f t="shared" si="48"/>
        <v>1.1382936520186004</v>
      </c>
      <c r="AN183" s="164">
        <f>IF($E183="","",IF($B183&gt;Input!$C$9,$AI183*$AC183,$AM183*$AC183))</f>
        <v>0</v>
      </c>
      <c r="AO183" s="164">
        <f>IF(AND($C182=12,$D182=Input!$C$6),0,IF($E183="","",$AN183+AO184/(1+$L183)*$R183))</f>
        <v>2462.558749772963</v>
      </c>
      <c r="AP183" s="152"/>
      <c r="AQ183" s="164">
        <f t="shared" si="49"/>
        <v>830.57956527254737</v>
      </c>
      <c r="AR183" s="164">
        <f t="shared" si="58"/>
        <v>938.93585057218525</v>
      </c>
      <c r="AS183" s="164">
        <f t="shared" si="59"/>
        <v>179.42583732057417</v>
      </c>
      <c r="AT183" s="164">
        <f t="shared" si="50"/>
        <v>938.93585057218525</v>
      </c>
      <c r="AU183" s="152"/>
      <c r="AV183" s="147">
        <f>'Deterministic Reserve'!BC183</f>
        <v>0.51451255158912623</v>
      </c>
      <c r="AW183" s="164">
        <f t="shared" si="51"/>
        <v>938.93585057218525</v>
      </c>
      <c r="AX183" s="164">
        <f t="shared" si="52"/>
        <v>483.09428025640159</v>
      </c>
      <c r="AY183" s="152"/>
    </row>
    <row r="184" spans="1:51" s="150" customFormat="1" x14ac:dyDescent="0.25">
      <c r="A184" s="150">
        <f t="shared" si="60"/>
        <v>180</v>
      </c>
      <c r="B184" s="150">
        <f t="shared" si="61"/>
        <v>15</v>
      </c>
      <c r="C184" s="150">
        <f t="shared" si="62"/>
        <v>12</v>
      </c>
      <c r="D184" s="150">
        <f>IF(E184="","",Input!$C$4+B184-1)</f>
        <v>59</v>
      </c>
      <c r="E184" s="150">
        <f>IF(OR(AND(C183=12,D183=Input!$C$6),E183=""),"",1)</f>
        <v>1</v>
      </c>
      <c r="F184" s="150">
        <f>IF(E184="","",Input!$C$8+B184-1)</f>
        <v>2032</v>
      </c>
      <c r="G184" s="151">
        <f>IF(E184="","",MAX(0,Input!$C$9-B184))</f>
        <v>5</v>
      </c>
      <c r="H184" s="152">
        <f>IF(E184="","",Input!$C$3)</f>
        <v>100000</v>
      </c>
      <c r="I184" s="153">
        <f>IF(E184="","",HLOOKUP($B184,Input!$C$13:$BT$14,2))</f>
        <v>2.2999999999999998</v>
      </c>
      <c r="J184" s="154"/>
      <c r="K184" s="155">
        <f>IF($E184="","",Input!$C$57)</f>
        <v>4.4999999999999998E-2</v>
      </c>
      <c r="L184" s="155">
        <f t="shared" si="53"/>
        <v>3.6748094004368514E-3</v>
      </c>
      <c r="M184" s="147">
        <f>IF($E184="","",VLOOKUP(IF($B184&lt;=Input!$C$7,$B184,26),'Mortality Tables'!$A$72:$CA$97,IF($B184&lt;=Input!$C$7+1,Input!$C$4-16,$D184-Input!$C$7-16),0)/1000)</f>
        <v>3.7499999999999999E-3</v>
      </c>
      <c r="N184" s="147">
        <f t="shared" si="42"/>
        <v>3.1303839972862679E-4</v>
      </c>
      <c r="O184" s="157">
        <f>IF($E184="","",IF($C184=12,IF($B184&lt;Input!$C$9,Input!$C$54,IF($B184=Input!$C$9,Input!$C$55,Input!$C$56)),0%))</f>
        <v>0.06</v>
      </c>
      <c r="P184" s="167">
        <f>IF($E184="","",IF($B184=1,Input!$C$59,IF($B184&lt;6,Input!$C$60,0%)))</f>
        <v>0</v>
      </c>
      <c r="Q184" s="162">
        <f>IF($E184="","",Input!$C$58)</f>
        <v>2.5</v>
      </c>
      <c r="R184" s="156">
        <f t="shared" si="54"/>
        <v>0.93968696160027143</v>
      </c>
      <c r="S184" s="154">
        <f t="shared" si="43"/>
        <v>0.38517286699500064</v>
      </c>
      <c r="T184" s="152"/>
      <c r="U184" s="150">
        <f t="shared" si="55"/>
        <v>0</v>
      </c>
      <c r="V184" s="150">
        <f t="shared" si="56"/>
        <v>0</v>
      </c>
      <c r="W184" s="168">
        <f t="shared" si="57"/>
        <v>0</v>
      </c>
      <c r="X184" s="163">
        <f t="shared" si="44"/>
        <v>31.303839972862679</v>
      </c>
      <c r="Y184" s="152"/>
      <c r="Z184" s="164">
        <f>IF(AND($C183=12,$D183=Input!$C$6),0,IF($E184="","",V184+Z185/(1+L184)*R184))</f>
        <v>3977.3250841049335</v>
      </c>
      <c r="AA184" s="164">
        <f>IF(OR($M184=1,AND($C183=12,$D183=Input!$C$6)),0,IF($E184="","",W184+(X184+AA185*$R184)/(1+$L184)))</f>
        <v>3274.9613193603018</v>
      </c>
      <c r="AB184" s="160">
        <f t="shared" si="45"/>
        <v>0.825720328500681</v>
      </c>
      <c r="AC184" s="164">
        <f t="shared" si="46"/>
        <v>0</v>
      </c>
      <c r="AD184" s="164">
        <f>IF(AND($C183=12,$D183=Input!$C$6),0,IF($E184="","",$AC184+AD185/(1+$L184)*$R184))</f>
        <v>3284.1581750011246</v>
      </c>
      <c r="AE184" s="152"/>
      <c r="AF184" s="164">
        <f>IF(AND($C183=12,$D183=Input!$C$6),0,IF($E184="","",IF($B184&gt;Input!$C$9,$AC184,0)+AF185/(1+$L184)*$R184))</f>
        <v>2563.1457775309282</v>
      </c>
      <c r="AG184" s="164">
        <f>IF(AND($C183=12,$D183=Input!$C$6),0,IF($E184="","",(IF($B184&gt;Input!$C$9,$X184,0)+AG185)/(1+$L184)*$R184))</f>
        <v>1223.4505920707961</v>
      </c>
      <c r="AH184" s="160">
        <f t="shared" si="47"/>
        <v>2.0950137211446997</v>
      </c>
      <c r="AI184" s="160">
        <f>IF($E184="","",MIN(Input!$C$61/AH184,1))</f>
        <v>0.64438718771845094</v>
      </c>
      <c r="AJ184" s="152"/>
      <c r="AK184" s="164">
        <f>IF(AND($C183=12,$D183=Input!$C$6),0,IF($E184="","",IF($B184&gt;Input!$C$9,$AC184*AI184,0)+AK185/(1+$L184)*$R184))</f>
        <v>1651.6582992955782</v>
      </c>
      <c r="AL184" s="164">
        <f>IF(AND($C183=12,$D183=Input!$C$6),0,IF($E184="","",IF($B184&gt;Input!$C$9,0,$AC184)+AL185/(1+$L184)*$R184))</f>
        <v>721.01239747019599</v>
      </c>
      <c r="AM184" s="160">
        <f t="shared" si="48"/>
        <v>1.1382936520186004</v>
      </c>
      <c r="AN184" s="164">
        <f>IF($E184="","",IF($B184&gt;Input!$C$9,$AI184*$AC184,$AM184*$AC184))</f>
        <v>0</v>
      </c>
      <c r="AO184" s="164">
        <f>IF(AND($C183=12,$D183=Input!$C$6),0,IF($E184="","",$AN184+AO185/(1+$L184)*$R184))</f>
        <v>2472.382134362615</v>
      </c>
      <c r="AP184" s="152"/>
      <c r="AQ184" s="164">
        <f t="shared" si="49"/>
        <v>802.57918499768675</v>
      </c>
      <c r="AR184" s="164">
        <f t="shared" si="58"/>
        <v>938.93585057218525</v>
      </c>
      <c r="AS184" s="164">
        <f t="shared" si="59"/>
        <v>179.42583732057417</v>
      </c>
      <c r="AT184" s="164">
        <f t="shared" si="50"/>
        <v>938.93585057218525</v>
      </c>
      <c r="AU184" s="152"/>
      <c r="AV184" s="147">
        <f>'Deterministic Reserve'!BC184</f>
        <v>0.50411922345639248</v>
      </c>
      <c r="AW184" s="164">
        <f t="shared" si="51"/>
        <v>938.93585057218525</v>
      </c>
      <c r="AX184" s="164">
        <f t="shared" si="52"/>
        <v>473.33561186581738</v>
      </c>
      <c r="AY184" s="152"/>
    </row>
    <row r="185" spans="1:51" s="150" customFormat="1" x14ac:dyDescent="0.25">
      <c r="A185" s="150">
        <f t="shared" si="60"/>
        <v>181</v>
      </c>
      <c r="B185" s="150">
        <f t="shared" si="61"/>
        <v>16</v>
      </c>
      <c r="C185" s="150">
        <f t="shared" si="62"/>
        <v>1</v>
      </c>
      <c r="D185" s="150">
        <f>IF(E185="","",Input!$C$4+B185-1)</f>
        <v>60</v>
      </c>
      <c r="E185" s="150">
        <f>IF(OR(AND(C184=12,D184=Input!$C$6),E184=""),"",1)</f>
        <v>1</v>
      </c>
      <c r="F185" s="150">
        <f>IF(E185="","",Input!$C$8+B185-1)</f>
        <v>2033</v>
      </c>
      <c r="G185" s="151">
        <f>IF(E185="","",MAX(0,Input!$C$9-B185))</f>
        <v>4</v>
      </c>
      <c r="H185" s="152">
        <f>IF(E185="","",Input!$C$3)</f>
        <v>100000</v>
      </c>
      <c r="I185" s="153">
        <f>IF(E185="","",HLOOKUP($B185,Input!$C$13:$BT$14,2))</f>
        <v>2.2999999999999998</v>
      </c>
      <c r="J185" s="154"/>
      <c r="K185" s="155">
        <f>IF($E185="","",Input!$C$57)</f>
        <v>4.4999999999999998E-2</v>
      </c>
      <c r="L185" s="155">
        <f t="shared" si="53"/>
        <v>3.6748094004368514E-3</v>
      </c>
      <c r="M185" s="147">
        <f>IF($E185="","",VLOOKUP(IF($B185&lt;=Input!$C$7,$B185,26),'Mortality Tables'!$A$72:$CA$97,IF($B185&lt;=Input!$C$7+1,Input!$C$4-16,$D185-Input!$C$7-16),0)/1000)</f>
        <v>4.3499999999999997E-3</v>
      </c>
      <c r="N185" s="147">
        <f t="shared" si="42"/>
        <v>3.6322474936711924E-4</v>
      </c>
      <c r="O185" s="157">
        <f>IF($E185="","",IF($C185=12,IF($B185&lt;Input!$C$9,Input!$C$54,IF($B185=Input!$C$9,Input!$C$55,Input!$C$56)),0%))</f>
        <v>0</v>
      </c>
      <c r="P185" s="167">
        <f>IF($E185="","",IF($B185=1,Input!$C$59,IF($B185&lt;6,Input!$C$60,0%)))</f>
        <v>0</v>
      </c>
      <c r="Q185" s="162">
        <f>IF($E185="","",Input!$C$58)</f>
        <v>2.5</v>
      </c>
      <c r="R185" s="156">
        <f t="shared" si="54"/>
        <v>0.99963677525063288</v>
      </c>
      <c r="S185" s="154">
        <f t="shared" si="43"/>
        <v>0.38503296267692338</v>
      </c>
      <c r="T185" s="152"/>
      <c r="U185" s="150">
        <f t="shared" si="55"/>
        <v>229.99999999999997</v>
      </c>
      <c r="V185" s="150">
        <f t="shared" si="56"/>
        <v>229.99999999999997</v>
      </c>
      <c r="W185" s="168">
        <f t="shared" si="57"/>
        <v>0</v>
      </c>
      <c r="X185" s="163">
        <f t="shared" si="44"/>
        <v>36.322474936711927</v>
      </c>
      <c r="Y185" s="152"/>
      <c r="Z185" s="164">
        <f>IF(AND($C184=12,$D184=Input!$C$6),0,IF($E185="","",V185+Z186/(1+L185)*R185))</f>
        <v>4248.1604607074532</v>
      </c>
      <c r="AA185" s="164">
        <f>IF(OR($M185=1,AND($C184=12,$D184=Input!$C$6)),0,IF($E185="","",W185+(X185+AA186*$R185)/(1+$L185)))</f>
        <v>3464.6562856267592</v>
      </c>
      <c r="AB185" s="160">
        <f t="shared" si="45"/>
        <v>0.825720328500681</v>
      </c>
      <c r="AC185" s="164">
        <f t="shared" si="46"/>
        <v>189.91567555515661</v>
      </c>
      <c r="AD185" s="164">
        <f>IF(AND($C184=12,$D184=Input!$C$6),0,IF($E185="","",$AC185+AD186/(1+$L185)*$R185))</f>
        <v>3507.7924511389624</v>
      </c>
      <c r="AE185" s="152"/>
      <c r="AF185" s="164">
        <f>IF(AND($C184=12,$D184=Input!$C$6),0,IF($E185="","",IF($B185&gt;Input!$C$9,$AC185,0)+AF186/(1+$L185)*$R185))</f>
        <v>2737.6828186993816</v>
      </c>
      <c r="AG185" s="164">
        <f>IF(AND($C184=12,$D184=Input!$C$6),0,IF($E185="","",(IF($B185&gt;Input!$C$9,$X185,0)+AG186)/(1+$L185)*$R185))</f>
        <v>1306.7612832643067</v>
      </c>
      <c r="AH185" s="160">
        <f t="shared" si="47"/>
        <v>2.0950137211446997</v>
      </c>
      <c r="AI185" s="160">
        <f>IF($E185="","",MIN(Input!$C$61/AH185,1))</f>
        <v>0.64438718771845094</v>
      </c>
      <c r="AJ185" s="152"/>
      <c r="AK185" s="164">
        <f>IF(AND($C184=12,$D184=Input!$C$6),0,IF($E185="","",IF($B185&gt;Input!$C$9,$AC185*AI185,0)+AK186/(1+$L185)*$R185))</f>
        <v>1764.1277324068178</v>
      </c>
      <c r="AL185" s="164">
        <f>IF(AND($C184=12,$D184=Input!$C$6),0,IF($E185="","",IF($B185&gt;Input!$C$9,0,$AC185)+AL186/(1+$L185)*$R185))</f>
        <v>770.10963243958031</v>
      </c>
      <c r="AM185" s="160">
        <f t="shared" si="48"/>
        <v>1.1382936520186004</v>
      </c>
      <c r="AN185" s="164">
        <f>IF($E185="","",IF($B185&gt;Input!$C$9,$AI185*$AC185,$AM185*$AC185))</f>
        <v>216.17980790325885</v>
      </c>
      <c r="AO185" s="164">
        <f>IF(AND($C184=12,$D184=Input!$C$6),0,IF($E185="","",$AN185+AO186/(1+$L185)*$R185))</f>
        <v>2640.7386383711705</v>
      </c>
      <c r="AP185" s="152"/>
      <c r="AQ185" s="164">
        <f t="shared" si="49"/>
        <v>823.91764725558869</v>
      </c>
      <c r="AR185" s="164">
        <f t="shared" si="58"/>
        <v>849.07685667880764</v>
      </c>
      <c r="AS185" s="164">
        <f t="shared" si="59"/>
        <v>208.133971291866</v>
      </c>
      <c r="AT185" s="164">
        <f t="shared" si="50"/>
        <v>849.07685667880764</v>
      </c>
      <c r="AU185" s="152"/>
      <c r="AV185" s="147">
        <f>'Deterministic Reserve'!BC185</f>
        <v>0.50400248529003722</v>
      </c>
      <c r="AW185" s="164">
        <f t="shared" si="51"/>
        <v>849.07685667880764</v>
      </c>
      <c r="AX185" s="164">
        <f t="shared" si="52"/>
        <v>427.93684596837181</v>
      </c>
      <c r="AY185" s="152"/>
    </row>
    <row r="186" spans="1:51" s="150" customFormat="1" x14ac:dyDescent="0.25">
      <c r="A186" s="150">
        <f t="shared" si="60"/>
        <v>182</v>
      </c>
      <c r="B186" s="150">
        <f t="shared" si="61"/>
        <v>16</v>
      </c>
      <c r="C186" s="150">
        <f t="shared" si="62"/>
        <v>2</v>
      </c>
      <c r="D186" s="150">
        <f>IF(E186="","",Input!$C$4+B186-1)</f>
        <v>60</v>
      </c>
      <c r="E186" s="150">
        <f>IF(OR(AND(C185=12,D185=Input!$C$6),E185=""),"",1)</f>
        <v>1</v>
      </c>
      <c r="F186" s="150">
        <f>IF(E186="","",Input!$C$8+B186-1)</f>
        <v>2033</v>
      </c>
      <c r="G186" s="151">
        <f>IF(E186="","",MAX(0,Input!$C$9-B186))</f>
        <v>4</v>
      </c>
      <c r="H186" s="152">
        <f>IF(E186="","",Input!$C$3)</f>
        <v>100000</v>
      </c>
      <c r="I186" s="153">
        <f>IF(E186="","",HLOOKUP($B186,Input!$C$13:$BT$14,2))</f>
        <v>2.2999999999999998</v>
      </c>
      <c r="J186" s="154"/>
      <c r="K186" s="155">
        <f>IF($E186="","",Input!$C$57)</f>
        <v>4.4999999999999998E-2</v>
      </c>
      <c r="L186" s="155">
        <f t="shared" si="53"/>
        <v>3.6748094004368514E-3</v>
      </c>
      <c r="M186" s="147">
        <f>IF($E186="","",VLOOKUP(IF($B186&lt;=Input!$C$7,$B186,26),'Mortality Tables'!$A$72:$CA$97,IF($B186&lt;=Input!$C$7+1,Input!$C$4-16,$D186-Input!$C$7-16),0)/1000)</f>
        <v>4.3499999999999997E-3</v>
      </c>
      <c r="N186" s="147">
        <f t="shared" si="42"/>
        <v>3.6322474936711924E-4</v>
      </c>
      <c r="O186" s="157">
        <f>IF($E186="","",IF($C186=12,IF($B186&lt;Input!$C$9,Input!$C$54,IF($B186=Input!$C$9,Input!$C$55,Input!$C$56)),0%))</f>
        <v>0</v>
      </c>
      <c r="P186" s="167">
        <f>IF($E186="","",IF($B186=1,Input!$C$59,IF($B186&lt;6,Input!$C$60,0%)))</f>
        <v>0</v>
      </c>
      <c r="Q186" s="162">
        <f>IF($E186="","",Input!$C$58)</f>
        <v>2.5</v>
      </c>
      <c r="R186" s="156">
        <f t="shared" si="54"/>
        <v>0.99963677525063288</v>
      </c>
      <c r="S186" s="154">
        <f t="shared" si="43"/>
        <v>0.38489310917555697</v>
      </c>
      <c r="T186" s="152"/>
      <c r="U186" s="150">
        <f t="shared" si="55"/>
        <v>0</v>
      </c>
      <c r="V186" s="150">
        <f t="shared" si="56"/>
        <v>0</v>
      </c>
      <c r="W186" s="168">
        <f t="shared" si="57"/>
        <v>0</v>
      </c>
      <c r="X186" s="163">
        <f t="shared" si="44"/>
        <v>36.322474936711927</v>
      </c>
      <c r="Y186" s="152"/>
      <c r="Z186" s="164">
        <f>IF(AND($C185=12,$D185=Input!$C$6),0,IF($E186="","",V186+Z187/(1+L186)*R186))</f>
        <v>4034.391825500591</v>
      </c>
      <c r="AA186" s="164">
        <f>IF(OR($M186=1,AND($C185=12,$D185=Input!$C$6)),0,IF($E186="","",W186+(X186+AA187*$R186)/(1+$L186)))</f>
        <v>3442.3160965791735</v>
      </c>
      <c r="AB186" s="160">
        <f t="shared" si="45"/>
        <v>0.825720328500681</v>
      </c>
      <c r="AC186" s="164">
        <f t="shared" si="46"/>
        <v>0</v>
      </c>
      <c r="AD186" s="164">
        <f>IF(AND($C185=12,$D185=Input!$C$6),0,IF($E186="","",$AC186+AD187/(1+$L186)*$R186))</f>
        <v>3331.2793434528098</v>
      </c>
      <c r="AE186" s="152"/>
      <c r="AF186" s="164">
        <f>IF(AND($C185=12,$D185=Input!$C$6),0,IF($E186="","",IF($B186&gt;Input!$C$9,$AC186,0)+AF187/(1+$L186)*$R186))</f>
        <v>2748.7416922692023</v>
      </c>
      <c r="AG186" s="164">
        <f>IF(AND($C185=12,$D185=Input!$C$6),0,IF($E186="","",(IF($B186&gt;Input!$C$9,$X186,0)+AG187)/(1+$L186)*$R186))</f>
        <v>1312.0399472931886</v>
      </c>
      <c r="AH186" s="160">
        <f t="shared" si="47"/>
        <v>2.0950137211446997</v>
      </c>
      <c r="AI186" s="160">
        <f>IF($E186="","",MIN(Input!$C$61/AH186,1))</f>
        <v>0.64438718771845094</v>
      </c>
      <c r="AJ186" s="152"/>
      <c r="AK186" s="164">
        <f>IF(AND($C185=12,$D185=Input!$C$6),0,IF($E186="","",IF($B186&gt;Input!$C$9,$AC186*AI186,0)+AK187/(1+$L186)*$R186))</f>
        <v>1771.2539288458083</v>
      </c>
      <c r="AL186" s="164">
        <f>IF(AND($C185=12,$D185=Input!$C$6),0,IF($E186="","",IF($B186&gt;Input!$C$9,0,$AC186)+AL187/(1+$L186)*$R186))</f>
        <v>582.53765118360718</v>
      </c>
      <c r="AM186" s="160">
        <f t="shared" si="48"/>
        <v>1.1382936520186004</v>
      </c>
      <c r="AN186" s="164">
        <f>IF($E186="","",IF($B186&gt;Input!$C$9,$AI186*$AC186,$AM186*$AC186))</f>
        <v>0</v>
      </c>
      <c r="AO186" s="164">
        <f>IF(AND($C185=12,$D185=Input!$C$6),0,IF($E186="","",$AN186+AO187/(1+$L186)*$R186))</f>
        <v>2434.3528392499347</v>
      </c>
      <c r="AP186" s="152"/>
      <c r="AQ186" s="164">
        <f t="shared" si="49"/>
        <v>1007.9632573292388</v>
      </c>
      <c r="AR186" s="164">
        <f t="shared" si="58"/>
        <v>849.07685667880764</v>
      </c>
      <c r="AS186" s="164">
        <f t="shared" si="59"/>
        <v>208.133971291866</v>
      </c>
      <c r="AT186" s="164">
        <f t="shared" si="50"/>
        <v>849.07685667880764</v>
      </c>
      <c r="AU186" s="152"/>
      <c r="AV186" s="147">
        <f>'Deterministic Reserve'!BC186</f>
        <v>0.50388577415657188</v>
      </c>
      <c r="AW186" s="164">
        <f t="shared" si="51"/>
        <v>849.07685667880764</v>
      </c>
      <c r="AX186" s="164">
        <f t="shared" si="52"/>
        <v>427.8377492460296</v>
      </c>
      <c r="AY186" s="152"/>
    </row>
    <row r="187" spans="1:51" s="150" customFormat="1" x14ac:dyDescent="0.25">
      <c r="A187" s="150">
        <f t="shared" si="60"/>
        <v>183</v>
      </c>
      <c r="B187" s="150">
        <f t="shared" si="61"/>
        <v>16</v>
      </c>
      <c r="C187" s="150">
        <f t="shared" si="62"/>
        <v>3</v>
      </c>
      <c r="D187" s="150">
        <f>IF(E187="","",Input!$C$4+B187-1)</f>
        <v>60</v>
      </c>
      <c r="E187" s="150">
        <f>IF(OR(AND(C186=12,D186=Input!$C$6),E186=""),"",1)</f>
        <v>1</v>
      </c>
      <c r="F187" s="150">
        <f>IF(E187="","",Input!$C$8+B187-1)</f>
        <v>2033</v>
      </c>
      <c r="G187" s="151">
        <f>IF(E187="","",MAX(0,Input!$C$9-B187))</f>
        <v>4</v>
      </c>
      <c r="H187" s="152">
        <f>IF(E187="","",Input!$C$3)</f>
        <v>100000</v>
      </c>
      <c r="I187" s="153">
        <f>IF(E187="","",HLOOKUP($B187,Input!$C$13:$BT$14,2))</f>
        <v>2.2999999999999998</v>
      </c>
      <c r="J187" s="154"/>
      <c r="K187" s="155">
        <f>IF($E187="","",Input!$C$57)</f>
        <v>4.4999999999999998E-2</v>
      </c>
      <c r="L187" s="155">
        <f t="shared" si="53"/>
        <v>3.6748094004368514E-3</v>
      </c>
      <c r="M187" s="147">
        <f>IF($E187="","",VLOOKUP(IF($B187&lt;=Input!$C$7,$B187,26),'Mortality Tables'!$A$72:$CA$97,IF($B187&lt;=Input!$C$7+1,Input!$C$4-16,$D187-Input!$C$7-16),0)/1000)</f>
        <v>4.3499999999999997E-3</v>
      </c>
      <c r="N187" s="147">
        <f t="shared" si="42"/>
        <v>3.6322474936711924E-4</v>
      </c>
      <c r="O187" s="157">
        <f>IF($E187="","",IF($C187=12,IF($B187&lt;Input!$C$9,Input!$C$54,IF($B187=Input!$C$9,Input!$C$55,Input!$C$56)),0%))</f>
        <v>0</v>
      </c>
      <c r="P187" s="167">
        <f>IF($E187="","",IF($B187=1,Input!$C$59,IF($B187&lt;6,Input!$C$60,0%)))</f>
        <v>0</v>
      </c>
      <c r="Q187" s="162">
        <f>IF($E187="","",Input!$C$58)</f>
        <v>2.5</v>
      </c>
      <c r="R187" s="156">
        <f t="shared" si="54"/>
        <v>0.99963677525063288</v>
      </c>
      <c r="S187" s="154">
        <f t="shared" si="43"/>
        <v>0.38475330647244355</v>
      </c>
      <c r="T187" s="152"/>
      <c r="U187" s="150">
        <f t="shared" si="55"/>
        <v>0</v>
      </c>
      <c r="V187" s="150">
        <f t="shared" si="56"/>
        <v>0</v>
      </c>
      <c r="W187" s="168">
        <f t="shared" si="57"/>
        <v>0</v>
      </c>
      <c r="X187" s="163">
        <f t="shared" si="44"/>
        <v>36.322474936711927</v>
      </c>
      <c r="Y187" s="152"/>
      <c r="Z187" s="164">
        <f>IF(AND($C186=12,$D186=Input!$C$6),0,IF($E187="","",V187+Z188/(1+L187)*R187))</f>
        <v>4050.6887569144806</v>
      </c>
      <c r="AA187" s="164">
        <f>IF(OR($M187=1,AND($C186=12,$D186=Input!$C$6)),0,IF($E187="","",W187+(X187+AA188*$R187)/(1+$L187)))</f>
        <v>3419.8856643067279</v>
      </c>
      <c r="AB187" s="160">
        <f t="shared" si="45"/>
        <v>0.825720328500681</v>
      </c>
      <c r="AC187" s="164">
        <f t="shared" si="46"/>
        <v>0</v>
      </c>
      <c r="AD187" s="164">
        <f>IF(AND($C186=12,$D186=Input!$C$6),0,IF($E187="","",$AC187+AD188/(1+$L187)*$R187))</f>
        <v>3344.7360510134399</v>
      </c>
      <c r="AE187" s="152"/>
      <c r="AF187" s="164">
        <f>IF(AND($C186=12,$D186=Input!$C$6),0,IF($E187="","",IF($B187&gt;Input!$C$9,$AC187,0)+AF188/(1+$L187)*$R187))</f>
        <v>2759.8452381742536</v>
      </c>
      <c r="AG187" s="164">
        <f>IF(AND($C186=12,$D186=Input!$C$6),0,IF($E187="","",(IF($B187&gt;Input!$C$9,$X187,0)+AG188)/(1+$L187)*$R187))</f>
        <v>1317.3399344927877</v>
      </c>
      <c r="AH187" s="160">
        <f t="shared" si="47"/>
        <v>2.0950137211446997</v>
      </c>
      <c r="AI187" s="160">
        <f>IF($E187="","",MIN(Input!$C$61/AH187,1))</f>
        <v>0.64438718771845094</v>
      </c>
      <c r="AJ187" s="152"/>
      <c r="AK187" s="164">
        <f>IF(AND($C186=12,$D186=Input!$C$6),0,IF($E187="","",IF($B187&gt;Input!$C$9,$AC187*AI187,0)+AK188/(1+$L187)*$R187))</f>
        <v>1778.4089115652673</v>
      </c>
      <c r="AL187" s="164">
        <f>IF(AND($C186=12,$D186=Input!$C$6),0,IF($E187="","",IF($B187&gt;Input!$C$9,0,$AC187)+AL188/(1+$L187)*$R187))</f>
        <v>584.89081283918574</v>
      </c>
      <c r="AM187" s="160">
        <f t="shared" si="48"/>
        <v>1.1382936520186004</v>
      </c>
      <c r="AN187" s="164">
        <f>IF($E187="","",IF($B187&gt;Input!$C$9,$AI187*$AC187,$AM187*$AC187))</f>
        <v>0</v>
      </c>
      <c r="AO187" s="164">
        <f>IF(AND($C186=12,$D186=Input!$C$6),0,IF($E187="","",$AN187+AO188/(1+$L187)*$R187))</f>
        <v>2444.1864109441121</v>
      </c>
      <c r="AP187" s="152"/>
      <c r="AQ187" s="164">
        <f t="shared" si="49"/>
        <v>975.69925336261576</v>
      </c>
      <c r="AR187" s="164">
        <f t="shared" si="58"/>
        <v>849.07685667880764</v>
      </c>
      <c r="AS187" s="164">
        <f t="shared" si="59"/>
        <v>208.133971291866</v>
      </c>
      <c r="AT187" s="164">
        <f t="shared" si="50"/>
        <v>849.07685667880764</v>
      </c>
      <c r="AU187" s="152"/>
      <c r="AV187" s="147">
        <f>'Deterministic Reserve'!BC187</f>
        <v>0.50376909004973658</v>
      </c>
      <c r="AW187" s="164">
        <f t="shared" si="51"/>
        <v>849.07685667880764</v>
      </c>
      <c r="AX187" s="164">
        <f t="shared" si="52"/>
        <v>427.73867547137354</v>
      </c>
      <c r="AY187" s="152"/>
    </row>
    <row r="188" spans="1:51" s="150" customFormat="1" x14ac:dyDescent="0.25">
      <c r="A188" s="150">
        <f t="shared" si="60"/>
        <v>184</v>
      </c>
      <c r="B188" s="150">
        <f t="shared" si="61"/>
        <v>16</v>
      </c>
      <c r="C188" s="150">
        <f t="shared" si="62"/>
        <v>4</v>
      </c>
      <c r="D188" s="150">
        <f>IF(E188="","",Input!$C$4+B188-1)</f>
        <v>60</v>
      </c>
      <c r="E188" s="150">
        <f>IF(OR(AND(C187=12,D187=Input!$C$6),E187=""),"",1)</f>
        <v>1</v>
      </c>
      <c r="F188" s="150">
        <f>IF(E188="","",Input!$C$8+B188-1)</f>
        <v>2033</v>
      </c>
      <c r="G188" s="151">
        <f>IF(E188="","",MAX(0,Input!$C$9-B188))</f>
        <v>4</v>
      </c>
      <c r="H188" s="152">
        <f>IF(E188="","",Input!$C$3)</f>
        <v>100000</v>
      </c>
      <c r="I188" s="153">
        <f>IF(E188="","",HLOOKUP($B188,Input!$C$13:$BT$14,2))</f>
        <v>2.2999999999999998</v>
      </c>
      <c r="J188" s="154"/>
      <c r="K188" s="155">
        <f>IF($E188="","",Input!$C$57)</f>
        <v>4.4999999999999998E-2</v>
      </c>
      <c r="L188" s="155">
        <f t="shared" si="53"/>
        <v>3.6748094004368514E-3</v>
      </c>
      <c r="M188" s="147">
        <f>IF($E188="","",VLOOKUP(IF($B188&lt;=Input!$C$7,$B188,26),'Mortality Tables'!$A$72:$CA$97,IF($B188&lt;=Input!$C$7+1,Input!$C$4-16,$D188-Input!$C$7-16),0)/1000)</f>
        <v>4.3499999999999997E-3</v>
      </c>
      <c r="N188" s="147">
        <f t="shared" si="42"/>
        <v>3.6322474936711924E-4</v>
      </c>
      <c r="O188" s="157">
        <f>IF($E188="","",IF($C188=12,IF($B188&lt;Input!$C$9,Input!$C$54,IF($B188=Input!$C$9,Input!$C$55,Input!$C$56)),0%))</f>
        <v>0</v>
      </c>
      <c r="P188" s="167">
        <f>IF($E188="","",IF($B188=1,Input!$C$59,IF($B188&lt;6,Input!$C$60,0%)))</f>
        <v>0</v>
      </c>
      <c r="Q188" s="162">
        <f>IF($E188="","",Input!$C$58)</f>
        <v>2.5</v>
      </c>
      <c r="R188" s="156">
        <f t="shared" si="54"/>
        <v>0.99963677525063288</v>
      </c>
      <c r="S188" s="154">
        <f t="shared" si="43"/>
        <v>0.38461355454913193</v>
      </c>
      <c r="T188" s="152"/>
      <c r="U188" s="150">
        <f t="shared" si="55"/>
        <v>0</v>
      </c>
      <c r="V188" s="150">
        <f t="shared" si="56"/>
        <v>0</v>
      </c>
      <c r="W188" s="168">
        <f t="shared" si="57"/>
        <v>0</v>
      </c>
      <c r="X188" s="163">
        <f t="shared" si="44"/>
        <v>36.322474936711927</v>
      </c>
      <c r="Y188" s="152"/>
      <c r="Z188" s="164">
        <f>IF(AND($C187=12,$D187=Input!$C$6),0,IF($E188="","",V188+Z189/(1+L188)*R188))</f>
        <v>4067.0515198055782</v>
      </c>
      <c r="AA188" s="164">
        <f>IF(OR($M188=1,AND($C187=12,$D187=Input!$C$6)),0,IF($E188="","",W188+(X188+AA189*$R188)/(1+$L188)))</f>
        <v>3397.3646242717891</v>
      </c>
      <c r="AB188" s="160">
        <f t="shared" si="45"/>
        <v>0.825720328500681</v>
      </c>
      <c r="AC188" s="164">
        <f t="shared" si="46"/>
        <v>0</v>
      </c>
      <c r="AD188" s="164">
        <f>IF(AND($C187=12,$D187=Input!$C$6),0,IF($E188="","",$AC188+AD189/(1+$L188)*$R188))</f>
        <v>3358.2471169630558</v>
      </c>
      <c r="AE188" s="152"/>
      <c r="AF188" s="164">
        <f>IF(AND($C187=12,$D187=Input!$C$6),0,IF($E188="","",IF($B188&gt;Input!$C$9,$AC188,0)+AF189/(1+$L188)*$R188))</f>
        <v>2770.9936368684967</v>
      </c>
      <c r="AG188" s="164">
        <f>IF(AND($C187=12,$D187=Input!$C$6),0,IF($E188="","",(IF($B188&gt;Input!$C$9,$X188,0)+AG189)/(1+$L188)*$R188))</f>
        <v>1322.6613309980821</v>
      </c>
      <c r="AH188" s="160">
        <f t="shared" si="47"/>
        <v>2.0950137211446997</v>
      </c>
      <c r="AI188" s="160">
        <f>IF($E188="","",MIN(Input!$C$61/AH188,1))</f>
        <v>0.64438718771845094</v>
      </c>
      <c r="AJ188" s="152"/>
      <c r="AK188" s="164">
        <f>IF(AND($C187=12,$D187=Input!$C$6),0,IF($E188="","",IF($B188&gt;Input!$C$9,$AC188*AI188,0)+AK189/(1+$L188)*$R188))</f>
        <v>1785.5927968474148</v>
      </c>
      <c r="AL188" s="164">
        <f>IF(AND($C187=12,$D187=Input!$C$6),0,IF($E188="","",IF($B188&gt;Input!$C$9,0,$AC188)+AL189/(1+$L188)*$R188))</f>
        <v>587.25348009455865</v>
      </c>
      <c r="AM188" s="160">
        <f t="shared" si="48"/>
        <v>1.1382936520186004</v>
      </c>
      <c r="AN188" s="164">
        <f>IF($E188="","",IF($B188&gt;Input!$C$9,$AI188*$AC188,$AM188*$AC188))</f>
        <v>0</v>
      </c>
      <c r="AO188" s="164">
        <f>IF(AND($C187=12,$D187=Input!$C$6),0,IF($E188="","",$AN188+AO189/(1+$L188)*$R188))</f>
        <v>2454.0597053648826</v>
      </c>
      <c r="AP188" s="152"/>
      <c r="AQ188" s="164">
        <f t="shared" si="49"/>
        <v>943.30491890690655</v>
      </c>
      <c r="AR188" s="164">
        <f t="shared" si="58"/>
        <v>849.07685667880764</v>
      </c>
      <c r="AS188" s="164">
        <f t="shared" si="59"/>
        <v>208.133971291866</v>
      </c>
      <c r="AT188" s="164">
        <f t="shared" si="50"/>
        <v>849.07685667880764</v>
      </c>
      <c r="AU188" s="152"/>
      <c r="AV188" s="147">
        <f>'Deterministic Reserve'!BC188</f>
        <v>0.50365243296327267</v>
      </c>
      <c r="AW188" s="164">
        <f t="shared" si="51"/>
        <v>849.07685667880764</v>
      </c>
      <c r="AX188" s="164">
        <f t="shared" si="52"/>
        <v>427.63962463908945</v>
      </c>
      <c r="AY188" s="152"/>
    </row>
    <row r="189" spans="1:51" s="150" customFormat="1" x14ac:dyDescent="0.25">
      <c r="A189" s="150">
        <f t="shared" si="60"/>
        <v>185</v>
      </c>
      <c r="B189" s="150">
        <f t="shared" si="61"/>
        <v>16</v>
      </c>
      <c r="C189" s="150">
        <f t="shared" si="62"/>
        <v>5</v>
      </c>
      <c r="D189" s="150">
        <f>IF(E189="","",Input!$C$4+B189-1)</f>
        <v>60</v>
      </c>
      <c r="E189" s="150">
        <f>IF(OR(AND(C188=12,D188=Input!$C$6),E188=""),"",1)</f>
        <v>1</v>
      </c>
      <c r="F189" s="150">
        <f>IF(E189="","",Input!$C$8+B189-1)</f>
        <v>2033</v>
      </c>
      <c r="G189" s="151">
        <f>IF(E189="","",MAX(0,Input!$C$9-B189))</f>
        <v>4</v>
      </c>
      <c r="H189" s="152">
        <f>IF(E189="","",Input!$C$3)</f>
        <v>100000</v>
      </c>
      <c r="I189" s="153">
        <f>IF(E189="","",HLOOKUP($B189,Input!$C$13:$BT$14,2))</f>
        <v>2.2999999999999998</v>
      </c>
      <c r="J189" s="154"/>
      <c r="K189" s="155">
        <f>IF($E189="","",Input!$C$57)</f>
        <v>4.4999999999999998E-2</v>
      </c>
      <c r="L189" s="155">
        <f t="shared" si="53"/>
        <v>3.6748094004368514E-3</v>
      </c>
      <c r="M189" s="147">
        <f>IF($E189="","",VLOOKUP(IF($B189&lt;=Input!$C$7,$B189,26),'Mortality Tables'!$A$72:$CA$97,IF($B189&lt;=Input!$C$7+1,Input!$C$4-16,$D189-Input!$C$7-16),0)/1000)</f>
        <v>4.3499999999999997E-3</v>
      </c>
      <c r="N189" s="147">
        <f t="shared" si="42"/>
        <v>3.6322474936711924E-4</v>
      </c>
      <c r="O189" s="157">
        <f>IF($E189="","",IF($C189=12,IF($B189&lt;Input!$C$9,Input!$C$54,IF($B189=Input!$C$9,Input!$C$55,Input!$C$56)),0%))</f>
        <v>0</v>
      </c>
      <c r="P189" s="167">
        <f>IF($E189="","",IF($B189=1,Input!$C$59,IF($B189&lt;6,Input!$C$60,0%)))</f>
        <v>0</v>
      </c>
      <c r="Q189" s="162">
        <f>IF($E189="","",Input!$C$58)</f>
        <v>2.5</v>
      </c>
      <c r="R189" s="156">
        <f t="shared" si="54"/>
        <v>0.99963677525063288</v>
      </c>
      <c r="S189" s="154">
        <f t="shared" si="43"/>
        <v>0.3844738533871776</v>
      </c>
      <c r="T189" s="152"/>
      <c r="U189" s="150">
        <f t="shared" si="55"/>
        <v>0</v>
      </c>
      <c r="V189" s="150">
        <f t="shared" si="56"/>
        <v>0</v>
      </c>
      <c r="W189" s="168">
        <f t="shared" si="57"/>
        <v>0</v>
      </c>
      <c r="X189" s="163">
        <f t="shared" si="44"/>
        <v>36.322474936711927</v>
      </c>
      <c r="Y189" s="152"/>
      <c r="Z189" s="164">
        <f>IF(AND($C188=12,$D188=Input!$C$6),0,IF($E189="","",V189+Z190/(1+L189)*R189))</f>
        <v>4083.4803801002286</v>
      </c>
      <c r="AA189" s="164">
        <f>IF(OR($M189=1,AND($C188=12,$D188=Input!$C$6)),0,IF($E189="","",W189+(X189+AA190*$R189)/(1+$L189)))</f>
        <v>3374.7526104641747</v>
      </c>
      <c r="AB189" s="160">
        <f t="shared" si="45"/>
        <v>0.825720328500681</v>
      </c>
      <c r="AC189" s="164">
        <f t="shared" si="46"/>
        <v>0</v>
      </c>
      <c r="AD189" s="164">
        <f>IF(AND($C188=12,$D188=Input!$C$6),0,IF($E189="","",$AC189+AD190/(1+$L189)*$R189))</f>
        <v>3371.8127608824457</v>
      </c>
      <c r="AE189" s="152"/>
      <c r="AF189" s="164">
        <f>IF(AND($C188=12,$D188=Input!$C$6),0,IF($E189="","",IF($B189&gt;Input!$C$9,$AC189,0)+AF190/(1+$L189)*$R189))</f>
        <v>2782.1870695348357</v>
      </c>
      <c r="AG189" s="164">
        <f>IF(AND($C188=12,$D188=Input!$C$6),0,IF($E189="","",(IF($B189&gt;Input!$C$9,$X189,0)+AG190)/(1+$L189)*$R189))</f>
        <v>1328.0042232919918</v>
      </c>
      <c r="AH189" s="160">
        <f t="shared" si="47"/>
        <v>2.0950137211446997</v>
      </c>
      <c r="AI189" s="160">
        <f>IF($E189="","",MIN(Input!$C$61/AH189,1))</f>
        <v>0.64438718771845094</v>
      </c>
      <c r="AJ189" s="152"/>
      <c r="AK189" s="164">
        <f>IF(AND($C188=12,$D188=Input!$C$6),0,IF($E189="","",IF($B189&gt;Input!$C$9,$AC189*AI189,0)+AK190/(1+$L189)*$R189))</f>
        <v>1792.8057014441929</v>
      </c>
      <c r="AL189" s="164">
        <f>IF(AND($C188=12,$D188=Input!$C$6),0,IF($E189="","",IF($B189&gt;Input!$C$9,0,$AC189)+AL190/(1+$L189)*$R189))</f>
        <v>589.62569134760963</v>
      </c>
      <c r="AM189" s="160">
        <f t="shared" si="48"/>
        <v>1.1382936520186004</v>
      </c>
      <c r="AN189" s="164">
        <f>IF($E189="","",IF($B189&gt;Input!$C$9,$AI189*$AC189,$AM189*$AC189))</f>
        <v>0</v>
      </c>
      <c r="AO189" s="164">
        <f>IF(AND($C188=12,$D188=Input!$C$6),0,IF($E189="","",$AN189+AO190/(1+$L189)*$R189))</f>
        <v>2463.9728829722558</v>
      </c>
      <c r="AP189" s="152"/>
      <c r="AQ189" s="164">
        <f t="shared" si="49"/>
        <v>910.77972749191895</v>
      </c>
      <c r="AR189" s="164">
        <f t="shared" si="58"/>
        <v>849.07685667880764</v>
      </c>
      <c r="AS189" s="164">
        <f t="shared" si="59"/>
        <v>208.133971291866</v>
      </c>
      <c r="AT189" s="164">
        <f t="shared" si="50"/>
        <v>849.07685667880764</v>
      </c>
      <c r="AU189" s="152"/>
      <c r="AV189" s="147">
        <f>'Deterministic Reserve'!BC189</f>
        <v>0.50353580289092315</v>
      </c>
      <c r="AW189" s="164">
        <f t="shared" si="51"/>
        <v>849.07685667880764</v>
      </c>
      <c r="AX189" s="164">
        <f t="shared" si="52"/>
        <v>427.54059674386468</v>
      </c>
      <c r="AY189" s="152"/>
    </row>
    <row r="190" spans="1:51" s="150" customFormat="1" x14ac:dyDescent="0.25">
      <c r="A190" s="150">
        <f t="shared" si="60"/>
        <v>186</v>
      </c>
      <c r="B190" s="150">
        <f t="shared" si="61"/>
        <v>16</v>
      </c>
      <c r="C190" s="150">
        <f t="shared" si="62"/>
        <v>6</v>
      </c>
      <c r="D190" s="150">
        <f>IF(E190="","",Input!$C$4+B190-1)</f>
        <v>60</v>
      </c>
      <c r="E190" s="150">
        <f>IF(OR(AND(C189=12,D189=Input!$C$6),E189=""),"",1)</f>
        <v>1</v>
      </c>
      <c r="F190" s="150">
        <f>IF(E190="","",Input!$C$8+B190-1)</f>
        <v>2033</v>
      </c>
      <c r="G190" s="151">
        <f>IF(E190="","",MAX(0,Input!$C$9-B190))</f>
        <v>4</v>
      </c>
      <c r="H190" s="152">
        <f>IF(E190="","",Input!$C$3)</f>
        <v>100000</v>
      </c>
      <c r="I190" s="153">
        <f>IF(E190="","",HLOOKUP($B190,Input!$C$13:$BT$14,2))</f>
        <v>2.2999999999999998</v>
      </c>
      <c r="J190" s="154"/>
      <c r="K190" s="155">
        <f>IF($E190="","",Input!$C$57)</f>
        <v>4.4999999999999998E-2</v>
      </c>
      <c r="L190" s="155">
        <f t="shared" si="53"/>
        <v>3.6748094004368514E-3</v>
      </c>
      <c r="M190" s="147">
        <f>IF($E190="","",VLOOKUP(IF($B190&lt;=Input!$C$7,$B190,26),'Mortality Tables'!$A$72:$CA$97,IF($B190&lt;=Input!$C$7+1,Input!$C$4-16,$D190-Input!$C$7-16),0)/1000)</f>
        <v>4.3499999999999997E-3</v>
      </c>
      <c r="N190" s="147">
        <f t="shared" si="42"/>
        <v>3.6322474936711924E-4</v>
      </c>
      <c r="O190" s="157">
        <f>IF($E190="","",IF($C190=12,IF($B190&lt;Input!$C$9,Input!$C$54,IF($B190=Input!$C$9,Input!$C$55,Input!$C$56)),0%))</f>
        <v>0</v>
      </c>
      <c r="P190" s="167">
        <f>IF($E190="","",IF($B190=1,Input!$C$59,IF($B190&lt;6,Input!$C$60,0%)))</f>
        <v>0</v>
      </c>
      <c r="Q190" s="162">
        <f>IF($E190="","",Input!$C$58)</f>
        <v>2.5</v>
      </c>
      <c r="R190" s="156">
        <f t="shared" si="54"/>
        <v>0.99963677525063288</v>
      </c>
      <c r="S190" s="154">
        <f t="shared" si="43"/>
        <v>0.38433420296814286</v>
      </c>
      <c r="T190" s="152"/>
      <c r="U190" s="150">
        <f t="shared" si="55"/>
        <v>0</v>
      </c>
      <c r="V190" s="150">
        <f t="shared" si="56"/>
        <v>0</v>
      </c>
      <c r="W190" s="168">
        <f t="shared" si="57"/>
        <v>0</v>
      </c>
      <c r="X190" s="163">
        <f t="shared" si="44"/>
        <v>36.322474936711927</v>
      </c>
      <c r="Y190" s="152"/>
      <c r="Z190" s="164">
        <f>IF(AND($C189=12,$D189=Input!$C$6),0,IF($E190="","",V190+Z191/(1+L190)*R190))</f>
        <v>4099.9756047989849</v>
      </c>
      <c r="AA190" s="164">
        <f>IF(OR($M190=1,AND($C189=12,$D189=Input!$C$6)),0,IF($E190="","",W190+(X190+AA191*$R190)/(1+$L190)))</f>
        <v>3352.0492553952022</v>
      </c>
      <c r="AB190" s="160">
        <f t="shared" si="45"/>
        <v>0.825720328500681</v>
      </c>
      <c r="AC190" s="164">
        <f t="shared" si="46"/>
        <v>0</v>
      </c>
      <c r="AD190" s="164">
        <f>IF(AND($C189=12,$D189=Input!$C$6),0,IF($E190="","",$AC190+AD191/(1+$L190)*$R190))</f>
        <v>3385.4332032393954</v>
      </c>
      <c r="AE190" s="152"/>
      <c r="AF190" s="164">
        <f>IF(AND($C189=12,$D189=Input!$C$6),0,IF($E190="","",IF($B190&gt;Input!$C$9,$AC190,0)+AF191/(1+$L190)*$R190))</f>
        <v>2793.4257180880645</v>
      </c>
      <c r="AG190" s="164">
        <f>IF(AND($C189=12,$D189=Input!$C$6),0,IF($E190="","",(IF($B190&gt;Input!$C$9,$X190,0)+AG191)/(1+$L190)*$R190))</f>
        <v>1333.3686982067852</v>
      </c>
      <c r="AH190" s="160">
        <f t="shared" si="47"/>
        <v>2.0950137211446997</v>
      </c>
      <c r="AI190" s="160">
        <f>IF($E190="","",MIN(Input!$C$61/AH190,1))</f>
        <v>0.64438718771845094</v>
      </c>
      <c r="AJ190" s="152"/>
      <c r="AK190" s="164">
        <f>IF(AND($C189=12,$D189=Input!$C$6),0,IF($E190="","",IF($B190&gt;Input!$C$9,$AC190*AI190,0)+AK191/(1+$L190)*$R190))</f>
        <v>1800.0477425791639</v>
      </c>
      <c r="AL190" s="164">
        <f>IF(AND($C189=12,$D189=Input!$C$6),0,IF($E190="","",IF($B190&gt;Input!$C$9,0,$AC190)+AL191/(1+$L190)*$R190))</f>
        <v>592.00748515133046</v>
      </c>
      <c r="AM190" s="160">
        <f t="shared" si="48"/>
        <v>1.1382936520186004</v>
      </c>
      <c r="AN190" s="164">
        <f>IF($E190="","",IF($B190&gt;Input!$C$9,$AI190*$AC190,$AM190*$AC190))</f>
        <v>0</v>
      </c>
      <c r="AO190" s="164">
        <f>IF(AND($C189=12,$D189=Input!$C$6),0,IF($E190="","",$AN190+AO191/(1+$L190)*$R190))</f>
        <v>2473.9261048744197</v>
      </c>
      <c r="AP190" s="152"/>
      <c r="AQ190" s="164">
        <f t="shared" si="49"/>
        <v>878.12315052078247</v>
      </c>
      <c r="AR190" s="164">
        <f t="shared" si="58"/>
        <v>849.07685667880764</v>
      </c>
      <c r="AS190" s="164">
        <f t="shared" si="59"/>
        <v>208.133971291866</v>
      </c>
      <c r="AT190" s="164">
        <f t="shared" si="50"/>
        <v>849.07685667880764</v>
      </c>
      <c r="AU190" s="152"/>
      <c r="AV190" s="147">
        <f>'Deterministic Reserve'!BC190</f>
        <v>0.50341919982643246</v>
      </c>
      <c r="AW190" s="164">
        <f t="shared" si="51"/>
        <v>849.07685667880764</v>
      </c>
      <c r="AX190" s="164">
        <f t="shared" si="52"/>
        <v>427.4415917803878</v>
      </c>
      <c r="AY190" s="152"/>
    </row>
    <row r="191" spans="1:51" s="150" customFormat="1" x14ac:dyDescent="0.25">
      <c r="A191" s="150">
        <f t="shared" si="60"/>
        <v>187</v>
      </c>
      <c r="B191" s="150">
        <f t="shared" si="61"/>
        <v>16</v>
      </c>
      <c r="C191" s="150">
        <f t="shared" si="62"/>
        <v>7</v>
      </c>
      <c r="D191" s="150">
        <f>IF(E191="","",Input!$C$4+B191-1)</f>
        <v>60</v>
      </c>
      <c r="E191" s="150">
        <f>IF(OR(AND(C190=12,D190=Input!$C$6),E190=""),"",1)</f>
        <v>1</v>
      </c>
      <c r="F191" s="150">
        <f>IF(E191="","",Input!$C$8+B191-1)</f>
        <v>2033</v>
      </c>
      <c r="G191" s="151">
        <f>IF(E191="","",MAX(0,Input!$C$9-B191))</f>
        <v>4</v>
      </c>
      <c r="H191" s="152">
        <f>IF(E191="","",Input!$C$3)</f>
        <v>100000</v>
      </c>
      <c r="I191" s="153">
        <f>IF(E191="","",HLOOKUP($B191,Input!$C$13:$BT$14,2))</f>
        <v>2.2999999999999998</v>
      </c>
      <c r="J191" s="154"/>
      <c r="K191" s="155">
        <f>IF($E191="","",Input!$C$57)</f>
        <v>4.4999999999999998E-2</v>
      </c>
      <c r="L191" s="155">
        <f t="shared" si="53"/>
        <v>3.6748094004368514E-3</v>
      </c>
      <c r="M191" s="147">
        <f>IF($E191="","",VLOOKUP(IF($B191&lt;=Input!$C$7,$B191,26),'Mortality Tables'!$A$72:$CA$97,IF($B191&lt;=Input!$C$7+1,Input!$C$4-16,$D191-Input!$C$7-16),0)/1000)</f>
        <v>4.3499999999999997E-3</v>
      </c>
      <c r="N191" s="147">
        <f t="shared" si="42"/>
        <v>3.6322474936711924E-4</v>
      </c>
      <c r="O191" s="157">
        <f>IF($E191="","",IF($C191=12,IF($B191&lt;Input!$C$9,Input!$C$54,IF($B191=Input!$C$9,Input!$C$55,Input!$C$56)),0%))</f>
        <v>0</v>
      </c>
      <c r="P191" s="167">
        <f>IF($E191="","",IF($B191=1,Input!$C$59,IF($B191&lt;6,Input!$C$60,0%)))</f>
        <v>0</v>
      </c>
      <c r="Q191" s="162">
        <f>IF($E191="","",Input!$C$58)</f>
        <v>2.5</v>
      </c>
      <c r="R191" s="156">
        <f t="shared" si="54"/>
        <v>0.99963677525063288</v>
      </c>
      <c r="S191" s="154">
        <f t="shared" si="43"/>
        <v>0.38419460327359656</v>
      </c>
      <c r="T191" s="152"/>
      <c r="U191" s="150">
        <f t="shared" si="55"/>
        <v>0</v>
      </c>
      <c r="V191" s="150">
        <f t="shared" si="56"/>
        <v>0</v>
      </c>
      <c r="W191" s="168">
        <f t="shared" si="57"/>
        <v>0</v>
      </c>
      <c r="X191" s="163">
        <f t="shared" si="44"/>
        <v>36.322474936711927</v>
      </c>
      <c r="Y191" s="152"/>
      <c r="Z191" s="164">
        <f>IF(AND($C190=12,$D190=Input!$C$6),0,IF($E191="","",V191+Z192/(1+L191)*R191))</f>
        <v>4116.5374619809509</v>
      </c>
      <c r="AA191" s="164">
        <f>IF(OR($M191=1,AND($C190=12,$D190=Input!$C$6)),0,IF($E191="","",W191+(X191+AA192*$R191)/(1+$L191)))</f>
        <v>3329.2541900917195</v>
      </c>
      <c r="AB191" s="160">
        <f t="shared" si="45"/>
        <v>0.825720328500681</v>
      </c>
      <c r="AC191" s="164">
        <f t="shared" si="46"/>
        <v>0</v>
      </c>
      <c r="AD191" s="164">
        <f>IF(AND($C190=12,$D190=Input!$C$6),0,IF($E191="","",$AC191+AD192/(1+$L191)*$R191))</f>
        <v>3399.1086653922694</v>
      </c>
      <c r="AE191" s="152"/>
      <c r="AF191" s="164">
        <f>IF(AND($C190=12,$D190=Input!$C$6),0,IF($E191="","",IF($B191&gt;Input!$C$9,$AC191,0)+AF192/(1+$L191)*$R191))</f>
        <v>2804.7097651778208</v>
      </c>
      <c r="AG191" s="164">
        <f>IF(AND($C190=12,$D190=Input!$C$6),0,IF($E191="","",(IF($B191&gt;Input!$C$9,$X191,0)+AG192)/(1+$L191)*$R191))</f>
        <v>1338.7548429254894</v>
      </c>
      <c r="AH191" s="160">
        <f t="shared" si="47"/>
        <v>2.0950137211446997</v>
      </c>
      <c r="AI191" s="160">
        <f>IF($E191="","",MIN(Input!$C$61/AH191,1))</f>
        <v>0.64438718771845094</v>
      </c>
      <c r="AJ191" s="152"/>
      <c r="AK191" s="164">
        <f>IF(AND($C190=12,$D190=Input!$C$6),0,IF($E191="","",IF($B191&gt;Input!$C$9,$AC191*AI191,0)+AK192/(1+$L191)*$R191))</f>
        <v>1807.3190379494147</v>
      </c>
      <c r="AL191" s="164">
        <f>IF(AND($C190=12,$D190=Input!$C$6),0,IF($E191="","",IF($B191&gt;Input!$C$9,0,$AC191)+AL192/(1+$L191)*$R191))</f>
        <v>594.39890021444796</v>
      </c>
      <c r="AM191" s="160">
        <f t="shared" si="48"/>
        <v>1.1382936520186004</v>
      </c>
      <c r="AN191" s="164">
        <f>IF($E191="","",IF($B191&gt;Input!$C$9,$AI191*$AC191,$AM191*$AC191))</f>
        <v>0</v>
      </c>
      <c r="AO191" s="164">
        <f>IF(AND($C190=12,$D190=Input!$C$6),0,IF($E191="","",$AN191+AO192/(1+$L191)*$R191))</f>
        <v>2483.9195328303585</v>
      </c>
      <c r="AP191" s="152"/>
      <c r="AQ191" s="164">
        <f t="shared" si="49"/>
        <v>845.33465726136092</v>
      </c>
      <c r="AR191" s="164">
        <f t="shared" si="58"/>
        <v>849.07685667880764</v>
      </c>
      <c r="AS191" s="164">
        <f t="shared" si="59"/>
        <v>208.133971291866</v>
      </c>
      <c r="AT191" s="164">
        <f t="shared" si="50"/>
        <v>849.07685667880764</v>
      </c>
      <c r="AU191" s="152"/>
      <c r="AV191" s="147">
        <f>'Deterministic Reserve'!BC191</f>
        <v>0.50330262376354629</v>
      </c>
      <c r="AW191" s="164">
        <f t="shared" si="51"/>
        <v>849.07685667880764</v>
      </c>
      <c r="AX191" s="164">
        <f t="shared" si="52"/>
        <v>427.34260974334842</v>
      </c>
      <c r="AY191" s="152"/>
    </row>
    <row r="192" spans="1:51" s="150" customFormat="1" x14ac:dyDescent="0.25">
      <c r="A192" s="150">
        <f t="shared" si="60"/>
        <v>188</v>
      </c>
      <c r="B192" s="150">
        <f t="shared" si="61"/>
        <v>16</v>
      </c>
      <c r="C192" s="150">
        <f t="shared" si="62"/>
        <v>8</v>
      </c>
      <c r="D192" s="150">
        <f>IF(E192="","",Input!$C$4+B192-1)</f>
        <v>60</v>
      </c>
      <c r="E192" s="150">
        <f>IF(OR(AND(C191=12,D191=Input!$C$6),E191=""),"",1)</f>
        <v>1</v>
      </c>
      <c r="F192" s="150">
        <f>IF(E192="","",Input!$C$8+B192-1)</f>
        <v>2033</v>
      </c>
      <c r="G192" s="151">
        <f>IF(E192="","",MAX(0,Input!$C$9-B192))</f>
        <v>4</v>
      </c>
      <c r="H192" s="152">
        <f>IF(E192="","",Input!$C$3)</f>
        <v>100000</v>
      </c>
      <c r="I192" s="153">
        <f>IF(E192="","",HLOOKUP($B192,Input!$C$13:$BT$14,2))</f>
        <v>2.2999999999999998</v>
      </c>
      <c r="J192" s="154"/>
      <c r="K192" s="155">
        <f>IF($E192="","",Input!$C$57)</f>
        <v>4.4999999999999998E-2</v>
      </c>
      <c r="L192" s="155">
        <f t="shared" si="53"/>
        <v>3.6748094004368514E-3</v>
      </c>
      <c r="M192" s="147">
        <f>IF($E192="","",VLOOKUP(IF($B192&lt;=Input!$C$7,$B192,26),'Mortality Tables'!$A$72:$CA$97,IF($B192&lt;=Input!$C$7+1,Input!$C$4-16,$D192-Input!$C$7-16),0)/1000)</f>
        <v>4.3499999999999997E-3</v>
      </c>
      <c r="N192" s="147">
        <f t="shared" si="42"/>
        <v>3.6322474936711924E-4</v>
      </c>
      <c r="O192" s="157">
        <f>IF($E192="","",IF($C192=12,IF($B192&lt;Input!$C$9,Input!$C$54,IF($B192=Input!$C$9,Input!$C$55,Input!$C$56)),0%))</f>
        <v>0</v>
      </c>
      <c r="P192" s="167">
        <f>IF($E192="","",IF($B192=1,Input!$C$59,IF($B192&lt;6,Input!$C$60,0%)))</f>
        <v>0</v>
      </c>
      <c r="Q192" s="162">
        <f>IF($E192="","",Input!$C$58)</f>
        <v>2.5</v>
      </c>
      <c r="R192" s="156">
        <f t="shared" si="54"/>
        <v>0.99963677525063288</v>
      </c>
      <c r="S192" s="154">
        <f t="shared" si="43"/>
        <v>0.38405505428511433</v>
      </c>
      <c r="T192" s="152"/>
      <c r="U192" s="150">
        <f t="shared" si="55"/>
        <v>0</v>
      </c>
      <c r="V192" s="150">
        <f t="shared" si="56"/>
        <v>0</v>
      </c>
      <c r="W192" s="168">
        <f t="shared" si="57"/>
        <v>0</v>
      </c>
      <c r="X192" s="163">
        <f t="shared" si="44"/>
        <v>36.322474936711927</v>
      </c>
      <c r="Y192" s="152"/>
      <c r="Z192" s="164">
        <f>IF(AND($C191=12,$D191=Input!$C$6),0,IF($E192="","",V192+Z193/(1+L192)*R192))</f>
        <v>4133.1662208081343</v>
      </c>
      <c r="AA192" s="164">
        <f>IF(OR($M192=1,AND($C191=12,$D191=Input!$C$6)),0,IF($E192="","",W192+(X192+AA193*$R192)/(1+$L192)))</f>
        <v>3306.367044090106</v>
      </c>
      <c r="AB192" s="160">
        <f t="shared" si="45"/>
        <v>0.825720328500681</v>
      </c>
      <c r="AC192" s="164">
        <f t="shared" si="46"/>
        <v>0</v>
      </c>
      <c r="AD192" s="164">
        <f>IF(AND($C191=12,$D191=Input!$C$6),0,IF($E192="","",$AC192+AD193/(1+$L192)*$R192))</f>
        <v>3412.8393695936102</v>
      </c>
      <c r="AE192" s="152"/>
      <c r="AF192" s="164">
        <f>IF(AND($C191=12,$D191=Input!$C$6),0,IF($E192="","",IF($B192&gt;Input!$C$9,$AC192,0)+AF193/(1+$L192)*$R192))</f>
        <v>2816.0393941915568</v>
      </c>
      <c r="AG192" s="164">
        <f>IF(AND($C191=12,$D191=Input!$C$6),0,IF($E192="","",(IF($B192&gt;Input!$C$9,$X192,0)+AG193)/(1+$L192)*$R192))</f>
        <v>1344.1627449833074</v>
      </c>
      <c r="AH192" s="160">
        <f t="shared" si="47"/>
        <v>2.0950137211446997</v>
      </c>
      <c r="AI192" s="160">
        <f>IF($E192="","",MIN(Input!$C$61/AH192,1))</f>
        <v>0.64438718771845094</v>
      </c>
      <c r="AJ192" s="152"/>
      <c r="AK192" s="164">
        <f>IF(AND($C191=12,$D191=Input!$C$6),0,IF($E192="","",IF($B192&gt;Input!$C$9,$AC192*AI192,0)+AK193/(1+$L192)*$R192))</f>
        <v>1814.6197057274692</v>
      </c>
      <c r="AL192" s="164">
        <f>IF(AND($C191=12,$D191=Input!$C$6),0,IF($E192="","",IF($B192&gt;Input!$C$9,0,$AC192)+AL193/(1+$L192)*$R192))</f>
        <v>596.79997540205306</v>
      </c>
      <c r="AM192" s="160">
        <f t="shared" si="48"/>
        <v>1.1382936520186004</v>
      </c>
      <c r="AN192" s="164">
        <f>IF($E192="","",IF($B192&gt;Input!$C$9,$AI192*$AC192,$AM192*$AC192))</f>
        <v>0</v>
      </c>
      <c r="AO192" s="164">
        <f>IF(AND($C191=12,$D191=Input!$C$6),0,IF($E192="","",$AN192+AO193/(1+$L192)*$R192))</f>
        <v>2493.9533292524829</v>
      </c>
      <c r="AP192" s="152"/>
      <c r="AQ192" s="164">
        <f t="shared" si="49"/>
        <v>812.41371483762305</v>
      </c>
      <c r="AR192" s="164">
        <f t="shared" si="58"/>
        <v>849.07685667880764</v>
      </c>
      <c r="AS192" s="164">
        <f t="shared" si="59"/>
        <v>208.133971291866</v>
      </c>
      <c r="AT192" s="164">
        <f t="shared" si="50"/>
        <v>849.07685667880764</v>
      </c>
      <c r="AU192" s="152"/>
      <c r="AV192" s="147">
        <f>'Deterministic Reserve'!BC192</f>
        <v>0.50318607469601206</v>
      </c>
      <c r="AW192" s="164">
        <f t="shared" si="51"/>
        <v>849.07685667880764</v>
      </c>
      <c r="AX192" s="164">
        <f t="shared" si="52"/>
        <v>427.24365062743766</v>
      </c>
      <c r="AY192" s="152"/>
    </row>
    <row r="193" spans="1:51" s="150" customFormat="1" x14ac:dyDescent="0.25">
      <c r="A193" s="150">
        <f t="shared" si="60"/>
        <v>189</v>
      </c>
      <c r="B193" s="150">
        <f t="shared" si="61"/>
        <v>16</v>
      </c>
      <c r="C193" s="150">
        <f t="shared" si="62"/>
        <v>9</v>
      </c>
      <c r="D193" s="150">
        <f>IF(E193="","",Input!$C$4+B193-1)</f>
        <v>60</v>
      </c>
      <c r="E193" s="150">
        <f>IF(OR(AND(C192=12,D192=Input!$C$6),E192=""),"",1)</f>
        <v>1</v>
      </c>
      <c r="F193" s="150">
        <f>IF(E193="","",Input!$C$8+B193-1)</f>
        <v>2033</v>
      </c>
      <c r="G193" s="151">
        <f>IF(E193="","",MAX(0,Input!$C$9-B193))</f>
        <v>4</v>
      </c>
      <c r="H193" s="152">
        <f>IF(E193="","",Input!$C$3)</f>
        <v>100000</v>
      </c>
      <c r="I193" s="153">
        <f>IF(E193="","",HLOOKUP($B193,Input!$C$13:$BT$14,2))</f>
        <v>2.2999999999999998</v>
      </c>
      <c r="J193" s="154"/>
      <c r="K193" s="155">
        <f>IF($E193="","",Input!$C$57)</f>
        <v>4.4999999999999998E-2</v>
      </c>
      <c r="L193" s="155">
        <f t="shared" si="53"/>
        <v>3.6748094004368514E-3</v>
      </c>
      <c r="M193" s="147">
        <f>IF($E193="","",VLOOKUP(IF($B193&lt;=Input!$C$7,$B193,26),'Mortality Tables'!$A$72:$CA$97,IF($B193&lt;=Input!$C$7+1,Input!$C$4-16,$D193-Input!$C$7-16),0)/1000)</f>
        <v>4.3499999999999997E-3</v>
      </c>
      <c r="N193" s="147">
        <f t="shared" si="42"/>
        <v>3.6322474936711924E-4</v>
      </c>
      <c r="O193" s="157">
        <f>IF($E193="","",IF($C193=12,IF($B193&lt;Input!$C$9,Input!$C$54,IF($B193=Input!$C$9,Input!$C$55,Input!$C$56)),0%))</f>
        <v>0</v>
      </c>
      <c r="P193" s="167">
        <f>IF($E193="","",IF($B193=1,Input!$C$59,IF($B193&lt;6,Input!$C$60,0%)))</f>
        <v>0</v>
      </c>
      <c r="Q193" s="162">
        <f>IF($E193="","",Input!$C$58)</f>
        <v>2.5</v>
      </c>
      <c r="R193" s="156">
        <f t="shared" si="54"/>
        <v>0.99963677525063288</v>
      </c>
      <c r="S193" s="154">
        <f t="shared" si="43"/>
        <v>0.38391555598427846</v>
      </c>
      <c r="T193" s="152"/>
      <c r="U193" s="150">
        <f t="shared" si="55"/>
        <v>0</v>
      </c>
      <c r="V193" s="150">
        <f t="shared" si="56"/>
        <v>0</v>
      </c>
      <c r="W193" s="168">
        <f t="shared" si="57"/>
        <v>0</v>
      </c>
      <c r="X193" s="163">
        <f t="shared" si="44"/>
        <v>36.322474936711927</v>
      </c>
      <c r="Y193" s="152"/>
      <c r="Z193" s="164">
        <f>IF(AND($C192=12,$D192=Input!$C$6),0,IF($E193="","",V193+Z194/(1+L193)*R193))</f>
        <v>4149.8621515298255</v>
      </c>
      <c r="AA193" s="164">
        <f>IF(OR($M193=1,AND($C192=12,$D192=Input!$C$6)),0,IF($E193="","",W193+(X193+AA194*$R193)/(1+$L193)))</f>
        <v>3283.3874454302527</v>
      </c>
      <c r="AB193" s="160">
        <f t="shared" si="45"/>
        <v>0.825720328500681</v>
      </c>
      <c r="AC193" s="164">
        <f t="shared" si="46"/>
        <v>0</v>
      </c>
      <c r="AD193" s="164">
        <f>IF(AND($C192=12,$D192=Input!$C$6),0,IF($E193="","",$AC193+AD194/(1+$L193)*$R193))</f>
        <v>3426.6255389937496</v>
      </c>
      <c r="AE193" s="152"/>
      <c r="AF193" s="164">
        <f>IF(AND($C192=12,$D192=Input!$C$6),0,IF($E193="","",IF($B193&gt;Input!$C$9,$AC193,0)+AF194/(1+$L193)*$R193))</f>
        <v>2827.4147892575174</v>
      </c>
      <c r="AG193" s="164">
        <f>IF(AND($C192=12,$D192=Input!$C$6),0,IF($E193="","",(IF($B193&gt;Input!$C$9,$X193,0)+AG194)/(1+$L193)*$R193))</f>
        <v>1349.5924922690413</v>
      </c>
      <c r="AH193" s="160">
        <f t="shared" si="47"/>
        <v>2.0950137211446997</v>
      </c>
      <c r="AI193" s="160">
        <f>IF($E193="","",MIN(Input!$C$61/AH193,1))</f>
        <v>0.64438718771845094</v>
      </c>
      <c r="AJ193" s="152"/>
      <c r="AK193" s="164">
        <f>IF(AND($C192=12,$D192=Input!$C$6),0,IF($E193="","",IF($B193&gt;Input!$C$9,$AC193*AI193,0)+AK194/(1+$L193)*$R193))</f>
        <v>1821.9498645632098</v>
      </c>
      <c r="AL193" s="164">
        <f>IF(AND($C192=12,$D192=Input!$C$6),0,IF($E193="","",IF($B193&gt;Input!$C$9,0,$AC193)+AL194/(1+$L193)*$R193))</f>
        <v>599.21074973623206</v>
      </c>
      <c r="AM193" s="160">
        <f t="shared" si="48"/>
        <v>1.1382936520186004</v>
      </c>
      <c r="AN193" s="164">
        <f>IF($E193="","",IF($B193&gt;Input!$C$9,$AI193*$AC193,$AM193*$AC193))</f>
        <v>0</v>
      </c>
      <c r="AO193" s="164">
        <f>IF(AND($C192=12,$D192=Input!$C$6),0,IF($E193="","",$AN193+AO194/(1+$L193)*$R193))</f>
        <v>2504.0276572092689</v>
      </c>
      <c r="AP193" s="152"/>
      <c r="AQ193" s="164">
        <f t="shared" si="49"/>
        <v>779.35978822098377</v>
      </c>
      <c r="AR193" s="164">
        <f t="shared" si="58"/>
        <v>849.07685667880764</v>
      </c>
      <c r="AS193" s="164">
        <f t="shared" si="59"/>
        <v>208.133971291866</v>
      </c>
      <c r="AT193" s="164">
        <f t="shared" si="50"/>
        <v>849.07685667880764</v>
      </c>
      <c r="AU193" s="152"/>
      <c r="AV193" s="147">
        <f>'Deterministic Reserve'!BC193</f>
        <v>0.50306955261757835</v>
      </c>
      <c r="AW193" s="164">
        <f t="shared" si="51"/>
        <v>849.07685667880764</v>
      </c>
      <c r="AX193" s="164">
        <f t="shared" si="52"/>
        <v>427.14471442734748</v>
      </c>
      <c r="AY193" s="152"/>
    </row>
    <row r="194" spans="1:51" s="150" customFormat="1" x14ac:dyDescent="0.25">
      <c r="A194" s="150">
        <f t="shared" si="60"/>
        <v>190</v>
      </c>
      <c r="B194" s="150">
        <f t="shared" si="61"/>
        <v>16</v>
      </c>
      <c r="C194" s="150">
        <f t="shared" si="62"/>
        <v>10</v>
      </c>
      <c r="D194" s="150">
        <f>IF(E194="","",Input!$C$4+B194-1)</f>
        <v>60</v>
      </c>
      <c r="E194" s="150">
        <f>IF(OR(AND(C193=12,D193=Input!$C$6),E193=""),"",1)</f>
        <v>1</v>
      </c>
      <c r="F194" s="150">
        <f>IF(E194="","",Input!$C$8+B194-1)</f>
        <v>2033</v>
      </c>
      <c r="G194" s="151">
        <f>IF(E194="","",MAX(0,Input!$C$9-B194))</f>
        <v>4</v>
      </c>
      <c r="H194" s="152">
        <f>IF(E194="","",Input!$C$3)</f>
        <v>100000</v>
      </c>
      <c r="I194" s="153">
        <f>IF(E194="","",HLOOKUP($B194,Input!$C$13:$BT$14,2))</f>
        <v>2.2999999999999998</v>
      </c>
      <c r="J194" s="154"/>
      <c r="K194" s="155">
        <f>IF($E194="","",Input!$C$57)</f>
        <v>4.4999999999999998E-2</v>
      </c>
      <c r="L194" s="155">
        <f t="shared" si="53"/>
        <v>3.6748094004368514E-3</v>
      </c>
      <c r="M194" s="147">
        <f>IF($E194="","",VLOOKUP(IF($B194&lt;=Input!$C$7,$B194,26),'Mortality Tables'!$A$72:$CA$97,IF($B194&lt;=Input!$C$7+1,Input!$C$4-16,$D194-Input!$C$7-16),0)/1000)</f>
        <v>4.3499999999999997E-3</v>
      </c>
      <c r="N194" s="147">
        <f t="shared" si="42"/>
        <v>3.6322474936711924E-4</v>
      </c>
      <c r="O194" s="157">
        <f>IF($E194="","",IF($C194=12,IF($B194&lt;Input!$C$9,Input!$C$54,IF($B194=Input!$C$9,Input!$C$55,Input!$C$56)),0%))</f>
        <v>0</v>
      </c>
      <c r="P194" s="167">
        <f>IF($E194="","",IF($B194=1,Input!$C$59,IF($B194&lt;6,Input!$C$60,0%)))</f>
        <v>0</v>
      </c>
      <c r="Q194" s="162">
        <f>IF($E194="","",Input!$C$58)</f>
        <v>2.5</v>
      </c>
      <c r="R194" s="156">
        <f t="shared" si="54"/>
        <v>0.99963677525063288</v>
      </c>
      <c r="S194" s="154">
        <f t="shared" si="43"/>
        <v>0.38377610835267795</v>
      </c>
      <c r="T194" s="152"/>
      <c r="U194" s="150">
        <f t="shared" si="55"/>
        <v>0</v>
      </c>
      <c r="V194" s="150">
        <f t="shared" si="56"/>
        <v>0</v>
      </c>
      <c r="W194" s="168">
        <f t="shared" si="57"/>
        <v>0</v>
      </c>
      <c r="X194" s="163">
        <f t="shared" si="44"/>
        <v>36.322474936711927</v>
      </c>
      <c r="Y194" s="152"/>
      <c r="Z194" s="164">
        <f>IF(AND($C193=12,$D193=Input!$C$6),0,IF($E194="","",V194+Z195/(1+L194)*R194))</f>
        <v>4166.6255254869866</v>
      </c>
      <c r="AA194" s="164">
        <f>IF(OR($M194=1,AND($C193=12,$D193=Input!$C$6)),0,IF($E194="","",W194+(X194+AA195*$R194)/(1+$L194)))</f>
        <v>3260.3150206495175</v>
      </c>
      <c r="AB194" s="160">
        <f t="shared" si="45"/>
        <v>0.825720328500681</v>
      </c>
      <c r="AC194" s="164">
        <f t="shared" si="46"/>
        <v>0</v>
      </c>
      <c r="AD194" s="164">
        <f>IF(AND($C193=12,$D193=Input!$C$6),0,IF($E194="","",$AC194+AD195/(1+$L194)*$R194))</f>
        <v>3440.467397644436</v>
      </c>
      <c r="AE194" s="152"/>
      <c r="AF194" s="164">
        <f>IF(AND($C193=12,$D193=Input!$C$6),0,IF($E194="","",IF($B194&gt;Input!$C$9,$AC194,0)+AF195/(1+$L194)*$R194))</f>
        <v>2838.836135247735</v>
      </c>
      <c r="AG194" s="164">
        <f>IF(AND($C193=12,$D193=Input!$C$6),0,IF($E194="","",(IF($B194&gt;Input!$C$9,$X194,0)+AG195)/(1+$L194)*$R194))</f>
        <v>1355.0441730265195</v>
      </c>
      <c r="AH194" s="160">
        <f t="shared" si="47"/>
        <v>2.0950137211446997</v>
      </c>
      <c r="AI194" s="160">
        <f>IF($E194="","",MIN(Input!$C$61/AH194,1))</f>
        <v>0.64438718771845094</v>
      </c>
      <c r="AJ194" s="152"/>
      <c r="AK194" s="164">
        <f>IF(AND($C193=12,$D193=Input!$C$6),0,IF($E194="","",IF($B194&gt;Input!$C$9,$AC194*AI194,0)+AK195/(1+$L194)*$R194))</f>
        <v>1829.3096335858054</v>
      </c>
      <c r="AL194" s="164">
        <f>IF(AND($C193=12,$D193=Input!$C$6),0,IF($E194="","",IF($B194&gt;Input!$C$9,0,$AC194)+AL195/(1+$L194)*$R194))</f>
        <v>601.63126239670112</v>
      </c>
      <c r="AM194" s="160">
        <f t="shared" si="48"/>
        <v>1.1382936520186004</v>
      </c>
      <c r="AN194" s="164">
        <f>IF($E194="","",IF($B194&gt;Input!$C$9,$AI194*$AC194,$AM194*$AC194))</f>
        <v>0</v>
      </c>
      <c r="AO194" s="164">
        <f>IF(AND($C193=12,$D193=Input!$C$6),0,IF($E194="","",$AN194+AO195/(1+$L194)*$R194))</f>
        <v>2514.1426804279067</v>
      </c>
      <c r="AP194" s="152"/>
      <c r="AQ194" s="164">
        <f t="shared" si="49"/>
        <v>746.17234022161074</v>
      </c>
      <c r="AR194" s="164">
        <f t="shared" si="58"/>
        <v>849.07685667880764</v>
      </c>
      <c r="AS194" s="164">
        <f t="shared" si="59"/>
        <v>208.133971291866</v>
      </c>
      <c r="AT194" s="164">
        <f t="shared" si="50"/>
        <v>849.07685667880764</v>
      </c>
      <c r="AU194" s="152"/>
      <c r="AV194" s="147">
        <f>'Deterministic Reserve'!BC194</f>
        <v>0.50295305752199548</v>
      </c>
      <c r="AW194" s="164">
        <f t="shared" si="51"/>
        <v>849.07685667880764</v>
      </c>
      <c r="AX194" s="164">
        <f t="shared" si="52"/>
        <v>427.04580113777143</v>
      </c>
      <c r="AY194" s="152"/>
    </row>
    <row r="195" spans="1:51" s="150" customFormat="1" x14ac:dyDescent="0.25">
      <c r="A195" s="150">
        <f t="shared" si="60"/>
        <v>191</v>
      </c>
      <c r="B195" s="150">
        <f t="shared" si="61"/>
        <v>16</v>
      </c>
      <c r="C195" s="150">
        <f t="shared" si="62"/>
        <v>11</v>
      </c>
      <c r="D195" s="150">
        <f>IF(E195="","",Input!$C$4+B195-1)</f>
        <v>60</v>
      </c>
      <c r="E195" s="150">
        <f>IF(OR(AND(C194=12,D194=Input!$C$6),E194=""),"",1)</f>
        <v>1</v>
      </c>
      <c r="F195" s="150">
        <f>IF(E195="","",Input!$C$8+B195-1)</f>
        <v>2033</v>
      </c>
      <c r="G195" s="151">
        <f>IF(E195="","",MAX(0,Input!$C$9-B195))</f>
        <v>4</v>
      </c>
      <c r="H195" s="152">
        <f>IF(E195="","",Input!$C$3)</f>
        <v>100000</v>
      </c>
      <c r="I195" s="153">
        <f>IF(E195="","",HLOOKUP($B195,Input!$C$13:$BT$14,2))</f>
        <v>2.2999999999999998</v>
      </c>
      <c r="J195" s="154"/>
      <c r="K195" s="155">
        <f>IF($E195="","",Input!$C$57)</f>
        <v>4.4999999999999998E-2</v>
      </c>
      <c r="L195" s="155">
        <f t="shared" si="53"/>
        <v>3.6748094004368514E-3</v>
      </c>
      <c r="M195" s="147">
        <f>IF($E195="","",VLOOKUP(IF($B195&lt;=Input!$C$7,$B195,26),'Mortality Tables'!$A$72:$CA$97,IF($B195&lt;=Input!$C$7+1,Input!$C$4-16,$D195-Input!$C$7-16),0)/1000)</f>
        <v>4.3499999999999997E-3</v>
      </c>
      <c r="N195" s="147">
        <f t="shared" si="42"/>
        <v>3.6322474936711924E-4</v>
      </c>
      <c r="O195" s="157">
        <f>IF($E195="","",IF($C195=12,IF($B195&lt;Input!$C$9,Input!$C$54,IF($B195=Input!$C$9,Input!$C$55,Input!$C$56)),0%))</f>
        <v>0</v>
      </c>
      <c r="P195" s="167">
        <f>IF($E195="","",IF($B195=1,Input!$C$59,IF($B195&lt;6,Input!$C$60,0%)))</f>
        <v>0</v>
      </c>
      <c r="Q195" s="162">
        <f>IF($E195="","",Input!$C$58)</f>
        <v>2.5</v>
      </c>
      <c r="R195" s="156">
        <f t="shared" si="54"/>
        <v>0.99963677525063288</v>
      </c>
      <c r="S195" s="154">
        <f t="shared" si="43"/>
        <v>0.38363671137190847</v>
      </c>
      <c r="T195" s="152"/>
      <c r="U195" s="150">
        <f t="shared" si="55"/>
        <v>0</v>
      </c>
      <c r="V195" s="150">
        <f t="shared" si="56"/>
        <v>0</v>
      </c>
      <c r="W195" s="168">
        <f t="shared" si="57"/>
        <v>0</v>
      </c>
      <c r="X195" s="163">
        <f t="shared" si="44"/>
        <v>36.322474936711927</v>
      </c>
      <c r="Y195" s="152"/>
      <c r="Z195" s="164">
        <f>IF(AND($C194=12,$D194=Input!$C$6),0,IF($E195="","",V195+Z196/(1+L195)*R195))</f>
        <v>4183.4566151166609</v>
      </c>
      <c r="AA195" s="164">
        <f>IF(OR($M195=1,AND($C194=12,$D194=Input!$C$6)),0,IF($E195="","",W195+(X195+AA196*$R195)/(1+$L195)))</f>
        <v>3237.1493947766553</v>
      </c>
      <c r="AB195" s="160">
        <f t="shared" si="45"/>
        <v>0.825720328500681</v>
      </c>
      <c r="AC195" s="164">
        <f t="shared" si="46"/>
        <v>0</v>
      </c>
      <c r="AD195" s="164">
        <f>IF(AND($C194=12,$D194=Input!$C$6),0,IF($E195="","",$AC195+AD196/(1+$L195)*$R195))</f>
        <v>3454.3651705024745</v>
      </c>
      <c r="AE195" s="152"/>
      <c r="AF195" s="164">
        <f>IF(AND($C194=12,$D194=Input!$C$6),0,IF($E195="","",IF($B195&gt;Input!$C$9,$AC195,0)+AF196/(1+$L195)*$R195))</f>
        <v>2850.3036177810318</v>
      </c>
      <c r="AG195" s="164">
        <f>IF(AND($C194=12,$D194=Input!$C$6),0,IF($E195="","",(IF($B195&gt;Input!$C$9,$X195,0)+AG196)/(1+$L195)*$R195))</f>
        <v>1360.5178758560319</v>
      </c>
      <c r="AH195" s="160">
        <f t="shared" si="47"/>
        <v>2.0950137211446997</v>
      </c>
      <c r="AI195" s="160">
        <f>IF($E195="","",MIN(Input!$C$61/AH195,1))</f>
        <v>0.64438718771845094</v>
      </c>
      <c r="AJ195" s="152"/>
      <c r="AK195" s="164">
        <f>IF(AND($C194=12,$D194=Input!$C$6),0,IF($E195="","",IF($B195&gt;Input!$C$9,$AC195*AI195,0)+AK196/(1+$L195)*$R195))</f>
        <v>1836.6991324056469</v>
      </c>
      <c r="AL195" s="164">
        <f>IF(AND($C194=12,$D194=Input!$C$6),0,IF($E195="","",IF($B195&gt;Input!$C$9,0,$AC195)+AL196/(1+$L195)*$R195))</f>
        <v>604.06155272144269</v>
      </c>
      <c r="AM195" s="160">
        <f t="shared" si="48"/>
        <v>1.1382936520186004</v>
      </c>
      <c r="AN195" s="164">
        <f>IF($E195="","",IF($B195&gt;Input!$C$9,$AI195*$AC195,$AM195*$AC195))</f>
        <v>0</v>
      </c>
      <c r="AO195" s="164">
        <f>IF(AND($C194=12,$D194=Input!$C$6),0,IF($E195="","",$AN195+AO196/(1+$L195)*$R195))</f>
        <v>2524.2985632969639</v>
      </c>
      <c r="AP195" s="152"/>
      <c r="AQ195" s="164">
        <f t="shared" si="49"/>
        <v>712.85083147969135</v>
      </c>
      <c r="AR195" s="164">
        <f t="shared" si="58"/>
        <v>849.07685667880764</v>
      </c>
      <c r="AS195" s="164">
        <f t="shared" si="59"/>
        <v>208.133971291866</v>
      </c>
      <c r="AT195" s="164">
        <f t="shared" si="50"/>
        <v>849.07685667880764</v>
      </c>
      <c r="AU195" s="152"/>
      <c r="AV195" s="147">
        <f>'Deterministic Reserve'!BC195</f>
        <v>0.50283658940301501</v>
      </c>
      <c r="AW195" s="164">
        <f t="shared" si="51"/>
        <v>849.07685667880764</v>
      </c>
      <c r="AX195" s="164">
        <f t="shared" si="52"/>
        <v>426.94691075340421</v>
      </c>
      <c r="AY195" s="152"/>
    </row>
    <row r="196" spans="1:51" s="150" customFormat="1" x14ac:dyDescent="0.25">
      <c r="A196" s="150">
        <f t="shared" si="60"/>
        <v>192</v>
      </c>
      <c r="B196" s="150">
        <f t="shared" si="61"/>
        <v>16</v>
      </c>
      <c r="C196" s="150">
        <f t="shared" si="62"/>
        <v>12</v>
      </c>
      <c r="D196" s="150">
        <f>IF(E196="","",Input!$C$4+B196-1)</f>
        <v>60</v>
      </c>
      <c r="E196" s="150">
        <f>IF(OR(AND(C195=12,D195=Input!$C$6),E195=""),"",1)</f>
        <v>1</v>
      </c>
      <c r="F196" s="150">
        <f>IF(E196="","",Input!$C$8+B196-1)</f>
        <v>2033</v>
      </c>
      <c r="G196" s="151">
        <f>IF(E196="","",MAX(0,Input!$C$9-B196))</f>
        <v>4</v>
      </c>
      <c r="H196" s="152">
        <f>IF(E196="","",Input!$C$3)</f>
        <v>100000</v>
      </c>
      <c r="I196" s="153">
        <f>IF(E196="","",HLOOKUP($B196,Input!$C$13:$BT$14,2))</f>
        <v>2.2999999999999998</v>
      </c>
      <c r="J196" s="154"/>
      <c r="K196" s="155">
        <f>IF($E196="","",Input!$C$57)</f>
        <v>4.4999999999999998E-2</v>
      </c>
      <c r="L196" s="155">
        <f t="shared" si="53"/>
        <v>3.6748094004368514E-3</v>
      </c>
      <c r="M196" s="147">
        <f>IF($E196="","",VLOOKUP(IF($B196&lt;=Input!$C$7,$B196,26),'Mortality Tables'!$A$72:$CA$97,IF($B196&lt;=Input!$C$7+1,Input!$C$4-16,$D196-Input!$C$7-16),0)/1000)</f>
        <v>4.3499999999999997E-3</v>
      </c>
      <c r="N196" s="147">
        <f t="shared" si="42"/>
        <v>3.6322474936711924E-4</v>
      </c>
      <c r="O196" s="157">
        <f>IF($E196="","",IF($C196=12,IF($B196&lt;Input!$C$9,Input!$C$54,IF($B196=Input!$C$9,Input!$C$55,Input!$C$56)),0%))</f>
        <v>0.06</v>
      </c>
      <c r="P196" s="167">
        <f>IF($E196="","",IF($B196=1,Input!$C$59,IF($B196&lt;6,Input!$C$60,0%)))</f>
        <v>0</v>
      </c>
      <c r="Q196" s="162">
        <f>IF($E196="","",Input!$C$58)</f>
        <v>2.5</v>
      </c>
      <c r="R196" s="156">
        <f t="shared" si="54"/>
        <v>0.93963677525063294</v>
      </c>
      <c r="S196" s="154">
        <f t="shared" si="43"/>
        <v>0.36047916234125787</v>
      </c>
      <c r="T196" s="152"/>
      <c r="U196" s="150">
        <f t="shared" si="55"/>
        <v>0</v>
      </c>
      <c r="V196" s="150">
        <f t="shared" si="56"/>
        <v>0</v>
      </c>
      <c r="W196" s="168">
        <f t="shared" si="57"/>
        <v>0</v>
      </c>
      <c r="X196" s="163">
        <f t="shared" si="44"/>
        <v>36.322474936711927</v>
      </c>
      <c r="Y196" s="152"/>
      <c r="Z196" s="164">
        <f>IF(AND($C195=12,$D195=Input!$C$6),0,IF($E196="","",V196+Z197/(1+L196)*R196))</f>
        <v>4200.3556939564014</v>
      </c>
      <c r="AA196" s="164">
        <f>IF(OR($M196=1,AND($C195=12,$D195=Input!$C$6)),0,IF($E196="","",W196+(X196+AA197*$R196)/(1+$L196)))</f>
        <v>3213.890191325725</v>
      </c>
      <c r="AB196" s="160">
        <f t="shared" si="45"/>
        <v>0.825720328500681</v>
      </c>
      <c r="AC196" s="164">
        <f t="shared" si="46"/>
        <v>0</v>
      </c>
      <c r="AD196" s="164">
        <f>IF(AND($C195=12,$D195=Input!$C$6),0,IF($E196="","",$AC196+AD197/(1+$L196)*$R196))</f>
        <v>3468.3190834333836</v>
      </c>
      <c r="AE196" s="152"/>
      <c r="AF196" s="164">
        <f>IF(AND($C195=12,$D195=Input!$C$6),0,IF($E196="","",IF($B196&gt;Input!$C$9,$AC196,0)+AF197/(1+$L196)*$R196))</f>
        <v>2861.8174232260385</v>
      </c>
      <c r="AG196" s="164">
        <f>IF(AND($C195=12,$D195=Input!$C$6),0,IF($E196="","",(IF($B196&gt;Input!$C$9,$X196,0)+AG197)/(1+$L196)*$R196))</f>
        <v>1366.013689715769</v>
      </c>
      <c r="AH196" s="160">
        <f t="shared" si="47"/>
        <v>2.0950137211446997</v>
      </c>
      <c r="AI196" s="160">
        <f>IF($E196="","",MIN(Input!$C$61/AH196,1))</f>
        <v>0.64438718771845094</v>
      </c>
      <c r="AJ196" s="152"/>
      <c r="AK196" s="164">
        <f>IF(AND($C195=12,$D195=Input!$C$6),0,IF($E196="","",IF($B196&gt;Input!$C$9,$AC196*AI196,0)+AK197/(1+$L196)*$R196))</f>
        <v>1844.1184811162921</v>
      </c>
      <c r="AL196" s="164">
        <f>IF(AND($C195=12,$D195=Input!$C$6),0,IF($E196="","",IF($B196&gt;Input!$C$9,0,$AC196)+AL197/(1+$L196)*$R196))</f>
        <v>606.50166020734548</v>
      </c>
      <c r="AM196" s="160">
        <f t="shared" si="48"/>
        <v>1.1382936520186004</v>
      </c>
      <c r="AN196" s="164">
        <f>IF($E196="","",IF($B196&gt;Input!$C$9,$AI196*$AC196,$AM196*$AC196))</f>
        <v>0</v>
      </c>
      <c r="AO196" s="164">
        <f>IF(AND($C195=12,$D195=Input!$C$6),0,IF($E196="","",$AN196+AO197/(1+$L196)*$R196))</f>
        <v>2534.4954708690552</v>
      </c>
      <c r="AP196" s="152"/>
      <c r="AQ196" s="164">
        <f t="shared" si="49"/>
        <v>679.3947204566698</v>
      </c>
      <c r="AR196" s="164">
        <f t="shared" si="58"/>
        <v>849.07685667880764</v>
      </c>
      <c r="AS196" s="164">
        <f t="shared" si="59"/>
        <v>208.133971291866</v>
      </c>
      <c r="AT196" s="164">
        <f t="shared" si="50"/>
        <v>849.07685667880764</v>
      </c>
      <c r="AU196" s="152"/>
      <c r="AV196" s="147">
        <f>'Deterministic Reserve'!BC196</f>
        <v>0.49266341646632966</v>
      </c>
      <c r="AW196" s="164">
        <f t="shared" si="51"/>
        <v>849.07685667880764</v>
      </c>
      <c r="AX196" s="164">
        <f t="shared" si="52"/>
        <v>418.30910505387351</v>
      </c>
      <c r="AY196" s="152"/>
    </row>
    <row r="197" spans="1:51" s="150" customFormat="1" x14ac:dyDescent="0.25">
      <c r="A197" s="150">
        <f t="shared" si="60"/>
        <v>193</v>
      </c>
      <c r="B197" s="150">
        <f t="shared" si="61"/>
        <v>17</v>
      </c>
      <c r="C197" s="150">
        <f t="shared" si="62"/>
        <v>1</v>
      </c>
      <c r="D197" s="150">
        <f>IF(E197="","",Input!$C$4+B197-1)</f>
        <v>61</v>
      </c>
      <c r="E197" s="150">
        <f>IF(OR(AND(C196=12,D196=Input!$C$6),E196=""),"",1)</f>
        <v>1</v>
      </c>
      <c r="F197" s="150">
        <f>IF(E197="","",Input!$C$8+B197-1)</f>
        <v>2034</v>
      </c>
      <c r="G197" s="151">
        <f>IF(E197="","",MAX(0,Input!$C$9-B197))</f>
        <v>3</v>
      </c>
      <c r="H197" s="152">
        <f>IF(E197="","",Input!$C$3)</f>
        <v>100000</v>
      </c>
      <c r="I197" s="153">
        <f>IF(E197="","",HLOOKUP($B197,Input!$C$13:$BT$14,2))</f>
        <v>2.2999999999999998</v>
      </c>
      <c r="J197" s="154"/>
      <c r="K197" s="155">
        <f>IF($E197="","",Input!$C$57)</f>
        <v>4.4999999999999998E-2</v>
      </c>
      <c r="L197" s="155">
        <f t="shared" si="53"/>
        <v>3.6748094004368514E-3</v>
      </c>
      <c r="M197" s="147">
        <f>IF($E197="","",VLOOKUP(IF($B197&lt;=Input!$C$7,$B197,26),'Mortality Tables'!$A$72:$CA$97,IF($B197&lt;=Input!$C$7+1,Input!$C$4-16,$D197-Input!$C$7-16),0)/1000)</f>
        <v>5.0199999999999993E-3</v>
      </c>
      <c r="N197" s="147">
        <f t="shared" ref="N197:N260" si="63">IF($E197="","",1-(1-M197)^(1/12))</f>
        <v>4.1929894695580394E-4</v>
      </c>
      <c r="O197" s="157">
        <f>IF($E197="","",IF($C197=12,IF($B197&lt;Input!$C$9,Input!$C$54,IF($B197=Input!$C$9,Input!$C$55,Input!$C$56)),0%))</f>
        <v>0</v>
      </c>
      <c r="P197" s="167">
        <f>IF($E197="","",IF($B197=1,Input!$C$59,IF($B197&lt;6,Input!$C$60,0%)))</f>
        <v>0</v>
      </c>
      <c r="Q197" s="162">
        <f>IF($E197="","",Input!$C$58)</f>
        <v>2.5</v>
      </c>
      <c r="R197" s="156">
        <f t="shared" si="54"/>
        <v>0.9995807010530442</v>
      </c>
      <c r="S197" s="154">
        <f t="shared" ref="S197:S260" si="64">IF($E197="","",IF(AND($B197=1,$C197=1),1,S196*R197))</f>
        <v>0.36032801380808865</v>
      </c>
      <c r="T197" s="152"/>
      <c r="U197" s="150">
        <f t="shared" si="55"/>
        <v>229.99999999999997</v>
      </c>
      <c r="V197" s="150">
        <f t="shared" si="56"/>
        <v>229.99999999999997</v>
      </c>
      <c r="W197" s="168">
        <f t="shared" si="57"/>
        <v>0</v>
      </c>
      <c r="X197" s="163">
        <f t="shared" ref="X197:X260" si="65">IF($E197="","",N197*$H197)</f>
        <v>41.929894695580394</v>
      </c>
      <c r="Y197" s="152"/>
      <c r="Z197" s="164">
        <f>IF(AND($C196=12,$D196=Input!$C$6),0,IF($E197="","",V197+Z198/(1+L197)*R197))</f>
        <v>4486.617926827349</v>
      </c>
      <c r="AA197" s="164">
        <f>IF(OR($M197=1,AND($C196=12,$D196=Input!$C$6)),0,IF($E197="","",W197+(X197+AA198*$R197)/(1+$L197)))</f>
        <v>3394.2670554005867</v>
      </c>
      <c r="AB197" s="160">
        <f t="shared" ref="AB197:AB260" si="66">IF($E197="","",$AA$5/$Z$5)</f>
        <v>0.825720328500681</v>
      </c>
      <c r="AC197" s="164">
        <f t="shared" ref="AC197:AC260" si="67">IF($E197="","",V197*AB197)</f>
        <v>189.91567555515661</v>
      </c>
      <c r="AD197" s="164">
        <f>IF(AND($C196=12,$D196=Input!$C$6),0,IF($E197="","",$AC197+AD198/(1+$L197)*$R197))</f>
        <v>3704.6916283969213</v>
      </c>
      <c r="AE197" s="152"/>
      <c r="AF197" s="164">
        <f>IF(AND($C196=12,$D196=Input!$C$6),0,IF($E197="","",IF($B197&gt;Input!$C$9,$AC197,0)+AF198/(1+$L197)*$R197))</f>
        <v>3056.8557260108246</v>
      </c>
      <c r="AG197" s="164">
        <f>IF(AND($C196=12,$D196=Input!$C$6),0,IF($E197="","",(IF($B197&gt;Input!$C$9,$X197,0)+AG198)/(1+$L197)*$R197))</f>
        <v>1459.1101218853007</v>
      </c>
      <c r="AH197" s="160">
        <f t="shared" ref="AH197:AH260" si="68">IF($E197="","",$AF$5/$AG$5)</f>
        <v>2.0950137211446997</v>
      </c>
      <c r="AI197" s="160">
        <f>IF($E197="","",MIN(Input!$C$61/AH197,1))</f>
        <v>0.64438718771845094</v>
      </c>
      <c r="AJ197" s="152"/>
      <c r="AK197" s="164">
        <f>IF(AND($C196=12,$D196=Input!$C$6),0,IF($E197="","",IF($B197&gt;Input!$C$9,$AC197*AI197,0)+AK198/(1+$L197)*$R197))</f>
        <v>1969.7986645451601</v>
      </c>
      <c r="AL197" s="164">
        <f>IF(AND($C196=12,$D196=Input!$C$6),0,IF($E197="","",IF($B197&gt;Input!$C$9,0,$AC197)+AL198/(1+$L197)*$R197))</f>
        <v>647.8359023860969</v>
      </c>
      <c r="AM197" s="160">
        <f t="shared" ref="AM197:AM260" si="69">IF($E197="","",($AD$5-$AK$5)/$AL$5)</f>
        <v>1.1382936520186004</v>
      </c>
      <c r="AN197" s="164">
        <f>IF($E197="","",IF($B197&gt;Input!$C$9,$AI197*$AC197,$AM197*$AC197))</f>
        <v>216.17980790325885</v>
      </c>
      <c r="AO197" s="164">
        <f>IF(AND($C196=12,$D196=Input!$C$6),0,IF($E197="","",$AN197+AO198/(1+$L197)*$R197))</f>
        <v>2707.2261597809957</v>
      </c>
      <c r="AP197" s="152"/>
      <c r="AQ197" s="164">
        <f t="shared" ref="AQ197:AQ260" si="70">IF($E197="","",$AA197-$AO197)</f>
        <v>687.04089561959108</v>
      </c>
      <c r="AR197" s="164">
        <f t="shared" si="58"/>
        <v>684.67190000809546</v>
      </c>
      <c r="AS197" s="164">
        <f t="shared" si="59"/>
        <v>240.19138755980859</v>
      </c>
      <c r="AT197" s="164">
        <f t="shared" ref="AT197:AT260" si="71">IF($E197="","",MAX($AR197,$AS197))</f>
        <v>684.67190000809546</v>
      </c>
      <c r="AU197" s="152"/>
      <c r="AV197" s="147">
        <f>'Deterministic Reserve'!BC197</f>
        <v>0.49253196862652865</v>
      </c>
      <c r="AW197" s="164">
        <f t="shared" ref="AW197:AW260" si="72">IF($E197="","",$AT197)</f>
        <v>684.67190000809546</v>
      </c>
      <c r="AX197" s="164">
        <f t="shared" ref="AX197:AX260" si="73">IF($E197="","",AV197*AW197)</f>
        <v>337.22279877425302</v>
      </c>
      <c r="AY197" s="152"/>
    </row>
    <row r="198" spans="1:51" s="150" customFormat="1" x14ac:dyDescent="0.25">
      <c r="A198" s="150">
        <f t="shared" si="60"/>
        <v>194</v>
      </c>
      <c r="B198" s="150">
        <f t="shared" si="61"/>
        <v>17</v>
      </c>
      <c r="C198" s="150">
        <f t="shared" si="62"/>
        <v>2</v>
      </c>
      <c r="D198" s="150">
        <f>IF(E198="","",Input!$C$4+B198-1)</f>
        <v>61</v>
      </c>
      <c r="E198" s="150">
        <f>IF(OR(AND(C197=12,D197=Input!$C$6),E197=""),"",1)</f>
        <v>1</v>
      </c>
      <c r="F198" s="150">
        <f>IF(E198="","",Input!$C$8+B198-1)</f>
        <v>2034</v>
      </c>
      <c r="G198" s="151">
        <f>IF(E198="","",MAX(0,Input!$C$9-B198))</f>
        <v>3</v>
      </c>
      <c r="H198" s="152">
        <f>IF(E198="","",Input!$C$3)</f>
        <v>100000</v>
      </c>
      <c r="I198" s="153">
        <f>IF(E198="","",HLOOKUP($B198,Input!$C$13:$BT$14,2))</f>
        <v>2.2999999999999998</v>
      </c>
      <c r="J198" s="154"/>
      <c r="K198" s="155">
        <f>IF($E198="","",Input!$C$57)</f>
        <v>4.4999999999999998E-2</v>
      </c>
      <c r="L198" s="155">
        <f t="shared" ref="L198:L261" si="74">IF($E198="","",(1+K198)^(1/12)-1)</f>
        <v>3.6748094004368514E-3</v>
      </c>
      <c r="M198" s="147">
        <f>IF($E198="","",VLOOKUP(IF($B198&lt;=Input!$C$7,$B198,26),'Mortality Tables'!$A$72:$CA$97,IF($B198&lt;=Input!$C$7+1,Input!$C$4-16,$D198-Input!$C$7-16),0)/1000)</f>
        <v>5.0199999999999993E-3</v>
      </c>
      <c r="N198" s="147">
        <f t="shared" si="63"/>
        <v>4.1929894695580394E-4</v>
      </c>
      <c r="O198" s="157">
        <f>IF($E198="","",IF($C198=12,IF($B198&lt;Input!$C$9,Input!$C$54,IF($B198=Input!$C$9,Input!$C$55,Input!$C$56)),0%))</f>
        <v>0</v>
      </c>
      <c r="P198" s="167">
        <f>IF($E198="","",IF($B198=1,Input!$C$59,IF($B198&lt;6,Input!$C$60,0%)))</f>
        <v>0</v>
      </c>
      <c r="Q198" s="162">
        <f>IF($E198="","",Input!$C$58)</f>
        <v>2.5</v>
      </c>
      <c r="R198" s="156">
        <f t="shared" ref="R198:R261" si="75">IF($E198="","",MAX(1-N198-O198,0))</f>
        <v>0.9995807010530442</v>
      </c>
      <c r="S198" s="154">
        <f t="shared" si="64"/>
        <v>0.36017692865134027</v>
      </c>
      <c r="T198" s="152"/>
      <c r="U198" s="150">
        <f t="shared" ref="U198:U261" si="76">IF($E198="","",IF($C198=1,$I198*$H198/1000,0))</f>
        <v>0</v>
      </c>
      <c r="V198" s="150">
        <f t="shared" ref="V198:V261" si="77">IF($E198="","",U198*(1-$P198))</f>
        <v>0</v>
      </c>
      <c r="W198" s="168">
        <f t="shared" ref="W198:W261" si="78">IF($E198="","",IF(AND($B198=1,$C198=1),$Q198*$H198/1000,0))</f>
        <v>0</v>
      </c>
      <c r="X198" s="163">
        <f t="shared" si="65"/>
        <v>41.929894695580394</v>
      </c>
      <c r="Y198" s="152"/>
      <c r="Z198" s="164">
        <f>IF(AND($C197=12,$D197=Input!$C$6),0,IF($E198="","",V198+Z199/(1+L198)*R198))</f>
        <v>4274.052292024202</v>
      </c>
      <c r="AA198" s="164">
        <f>IF(OR($M198=1,AND($C197=12,$D197=Input!$C$6)),0,IF($E198="","",W198+(X198+AA199*$R198)/(1+$L198)))</f>
        <v>3366.2218984850397</v>
      </c>
      <c r="AB198" s="160">
        <f t="shared" si="66"/>
        <v>0.825720328500681</v>
      </c>
      <c r="AC198" s="164">
        <f t="shared" si="67"/>
        <v>0</v>
      </c>
      <c r="AD198" s="164">
        <f>IF(AND($C197=12,$D197=Input!$C$6),0,IF($E198="","",$AC198+AD199/(1+$L198)*$R198))</f>
        <v>3529.1718625993108</v>
      </c>
      <c r="AE198" s="152"/>
      <c r="AF198" s="164">
        <f>IF(AND($C197=12,$D197=Input!$C$6),0,IF($E198="","",IF($B198&gt;Input!$C$9,$AC198,0)+AF199/(1+$L198)*$R198))</f>
        <v>3069.3760743243238</v>
      </c>
      <c r="AG198" s="164">
        <f>IF(AND($C197=12,$D197=Input!$C$6),0,IF($E198="","",(IF($B198&gt;Input!$C$9,$X198,0)+AG199)/(1+$L198)*$R198))</f>
        <v>1465.0863826549239</v>
      </c>
      <c r="AH198" s="160">
        <f t="shared" si="68"/>
        <v>2.0950137211446997</v>
      </c>
      <c r="AI198" s="160">
        <f>IF($E198="","",MIN(Input!$C$61/AH198,1))</f>
        <v>0.64438718771845094</v>
      </c>
      <c r="AJ198" s="152"/>
      <c r="AK198" s="164">
        <f>IF(AND($C197=12,$D197=Input!$C$6),0,IF($E198="","",IF($B198&gt;Input!$C$9,$AC198*AI198,0)+AK199/(1+$L198)*$R198))</f>
        <v>1977.8666165841514</v>
      </c>
      <c r="AL198" s="164">
        <f>IF(AND($C197=12,$D197=Input!$C$6),0,IF($E198="","",IF($B198&gt;Input!$C$9,0,$AC198)+AL199/(1+$L198)*$R198))</f>
        <v>459.79578827498716</v>
      </c>
      <c r="AM198" s="160">
        <f t="shared" si="69"/>
        <v>1.1382936520186004</v>
      </c>
      <c r="AN198" s="164">
        <f>IF($E198="","",IF($B198&gt;Input!$C$9,$AI198*$AC198,$AM198*$AC198))</f>
        <v>0</v>
      </c>
      <c r="AO198" s="164">
        <f>IF(AND($C197=12,$D197=Input!$C$6),0,IF($E198="","",$AN198+AO199/(1+$L198)*$R198))</f>
        <v>2501.2492436024577</v>
      </c>
      <c r="AP198" s="152"/>
      <c r="AQ198" s="164">
        <f t="shared" si="70"/>
        <v>864.97265488258199</v>
      </c>
      <c r="AR198" s="164">
        <f t="shared" ref="AR198:AR261" si="79">IF($E198="","",IF($M198=1,0,0.5*(IF($B198=1,0,SUMIFS($AQ:$AQ,$B:$B,$B198-1,$C:$C,12))+SUMIFS($AN:$AN,$B:$B,$B198,$C:$C,1)+SUMIFS($AQ:$AQ,$B:$B,$B198,$C:$C,12))))</f>
        <v>684.67190000809546</v>
      </c>
      <c r="AS198" s="164">
        <f t="shared" ref="AS198:AS261" si="80">IF($E198="","",IF($M198=1,0,0.5*$M198*$H198/(1+$K198)))</f>
        <v>240.19138755980859</v>
      </c>
      <c r="AT198" s="164">
        <f t="shared" si="71"/>
        <v>684.67190000809546</v>
      </c>
      <c r="AU198" s="152"/>
      <c r="AV198" s="147">
        <f>'Deterministic Reserve'!BC198</f>
        <v>0.49240055585840947</v>
      </c>
      <c r="AW198" s="164">
        <f t="shared" si="72"/>
        <v>684.67190000809546</v>
      </c>
      <c r="AX198" s="164">
        <f t="shared" si="73"/>
        <v>337.13282414461958</v>
      </c>
      <c r="AY198" s="152"/>
    </row>
    <row r="199" spans="1:51" s="150" customFormat="1" x14ac:dyDescent="0.25">
      <c r="A199" s="150">
        <f t="shared" ref="A199:A262" si="81">IF(E199="","",A198+1)</f>
        <v>195</v>
      </c>
      <c r="B199" s="150">
        <f t="shared" ref="B199:B262" si="82">IF(E199="","",IF(C198+1&gt;12,B198+1,B198))</f>
        <v>17</v>
      </c>
      <c r="C199" s="150">
        <f t="shared" ref="C199:C262" si="83">IF(E199="","",IF(C198+1&gt;12,1,C198+1))</f>
        <v>3</v>
      </c>
      <c r="D199" s="150">
        <f>IF(E199="","",Input!$C$4+B199-1)</f>
        <v>61</v>
      </c>
      <c r="E199" s="150">
        <f>IF(OR(AND(C198=12,D198=Input!$C$6),E198=""),"",1)</f>
        <v>1</v>
      </c>
      <c r="F199" s="150">
        <f>IF(E199="","",Input!$C$8+B199-1)</f>
        <v>2034</v>
      </c>
      <c r="G199" s="151">
        <f>IF(E199="","",MAX(0,Input!$C$9-B199))</f>
        <v>3</v>
      </c>
      <c r="H199" s="152">
        <f>IF(E199="","",Input!$C$3)</f>
        <v>100000</v>
      </c>
      <c r="I199" s="153">
        <f>IF(E199="","",HLOOKUP($B199,Input!$C$13:$BT$14,2))</f>
        <v>2.2999999999999998</v>
      </c>
      <c r="J199" s="154"/>
      <c r="K199" s="155">
        <f>IF($E199="","",Input!$C$57)</f>
        <v>4.4999999999999998E-2</v>
      </c>
      <c r="L199" s="155">
        <f t="shared" si="74"/>
        <v>3.6748094004368514E-3</v>
      </c>
      <c r="M199" s="147">
        <f>IF($E199="","",VLOOKUP(IF($B199&lt;=Input!$C$7,$B199,26),'Mortality Tables'!$A$72:$CA$97,IF($B199&lt;=Input!$C$7+1,Input!$C$4-16,$D199-Input!$C$7-16),0)/1000)</f>
        <v>5.0199999999999993E-3</v>
      </c>
      <c r="N199" s="147">
        <f t="shared" si="63"/>
        <v>4.1929894695580394E-4</v>
      </c>
      <c r="O199" s="157">
        <f>IF($E199="","",IF($C199=12,IF($B199&lt;Input!$C$9,Input!$C$54,IF($B199=Input!$C$9,Input!$C$55,Input!$C$56)),0%))</f>
        <v>0</v>
      </c>
      <c r="P199" s="167">
        <f>IF($E199="","",IF($B199=1,Input!$C$59,IF($B199&lt;6,Input!$C$60,0%)))</f>
        <v>0</v>
      </c>
      <c r="Q199" s="162">
        <f>IF($E199="","",Input!$C$58)</f>
        <v>2.5</v>
      </c>
      <c r="R199" s="156">
        <f t="shared" si="75"/>
        <v>0.9995807010530442</v>
      </c>
      <c r="S199" s="154">
        <f t="shared" si="64"/>
        <v>0.36002590684443897</v>
      </c>
      <c r="T199" s="152"/>
      <c r="U199" s="150">
        <f t="shared" si="76"/>
        <v>0</v>
      </c>
      <c r="V199" s="150">
        <f t="shared" si="77"/>
        <v>0</v>
      </c>
      <c r="W199" s="168">
        <f t="shared" si="78"/>
        <v>0</v>
      </c>
      <c r="X199" s="163">
        <f t="shared" si="65"/>
        <v>41.929894695580394</v>
      </c>
      <c r="Y199" s="152"/>
      <c r="Z199" s="164">
        <f>IF(AND($C198=12,$D198=Input!$C$6),0,IF($E199="","",V199+Z200/(1+L199)*R199))</f>
        <v>4291.5580653424895</v>
      </c>
      <c r="AA199" s="164">
        <f>IF(OR($M199=1,AND($C198=12,$D198=Input!$C$6)),0,IF($E199="","",W199+(X199+AA200*$R199)/(1+$L199)))</f>
        <v>3338.0618734943978</v>
      </c>
      <c r="AB199" s="160">
        <f t="shared" si="66"/>
        <v>0.825720328500681</v>
      </c>
      <c r="AC199" s="164">
        <f t="shared" si="67"/>
        <v>0</v>
      </c>
      <c r="AD199" s="164">
        <f>IF(AND($C198=12,$D198=Input!$C$6),0,IF($E199="","",$AC199+AD200/(1+$L199)*$R199))</f>
        <v>3543.6267354943452</v>
      </c>
      <c r="AE199" s="152"/>
      <c r="AF199" s="164">
        <f>IF(AND($C198=12,$D198=Input!$C$6),0,IF($E199="","",IF($B199&gt;Input!$C$9,$AC199,0)+AF200/(1+$L199)*$R199))</f>
        <v>3081.9477038025038</v>
      </c>
      <c r="AG199" s="164">
        <f>IF(AND($C198=12,$D198=Input!$C$6),0,IF($E199="","",(IF($B199&gt;Input!$C$9,$X199,0)+AG200)/(1+$L199)*$R199))</f>
        <v>1471.0871211471335</v>
      </c>
      <c r="AH199" s="160">
        <f t="shared" si="68"/>
        <v>2.0950137211446997</v>
      </c>
      <c r="AI199" s="160">
        <f>IF($E199="","",MIN(Input!$C$61/AH199,1))</f>
        <v>0.64438718771845094</v>
      </c>
      <c r="AJ199" s="152"/>
      <c r="AK199" s="164">
        <f>IF(AND($C198=12,$D198=Input!$C$6),0,IF($E199="","",IF($B199&gt;Input!$C$9,$AC199*AI199,0)+AK200/(1+$L199)*$R199))</f>
        <v>1985.9676135486343</v>
      </c>
      <c r="AL199" s="164">
        <f>IF(AND($C198=12,$D198=Input!$C$6),0,IF($E199="","",IF($B199&gt;Input!$C$9,0,$AC199)+AL200/(1+$L199)*$R199))</f>
        <v>461.67903169184132</v>
      </c>
      <c r="AM199" s="160">
        <f t="shared" si="69"/>
        <v>1.1382936520186004</v>
      </c>
      <c r="AN199" s="164">
        <f>IF($E199="","",IF($B199&gt;Input!$C$9,$AI199*$AC199,$AM199*$AC199))</f>
        <v>0</v>
      </c>
      <c r="AO199" s="164">
        <f>IF(AND($C198=12,$D198=Input!$C$6),0,IF($E199="","",$AN199+AO200/(1+$L199)*$R199))</f>
        <v>2511.4939245935516</v>
      </c>
      <c r="AP199" s="152"/>
      <c r="AQ199" s="164">
        <f t="shared" si="70"/>
        <v>826.5679489008462</v>
      </c>
      <c r="AR199" s="164">
        <f t="shared" si="79"/>
        <v>684.67190000809546</v>
      </c>
      <c r="AS199" s="164">
        <f t="shared" si="80"/>
        <v>240.19138755980859</v>
      </c>
      <c r="AT199" s="164">
        <f t="shared" si="71"/>
        <v>684.67190000809546</v>
      </c>
      <c r="AU199" s="152"/>
      <c r="AV199" s="147">
        <f>'Deterministic Reserve'!BC199</f>
        <v>0.49226917815261462</v>
      </c>
      <c r="AW199" s="164">
        <f t="shared" si="72"/>
        <v>684.67190000809546</v>
      </c>
      <c r="AX199" s="164">
        <f t="shared" si="73"/>
        <v>337.04287352117427</v>
      </c>
      <c r="AY199" s="152"/>
    </row>
    <row r="200" spans="1:51" s="150" customFormat="1" x14ac:dyDescent="0.25">
      <c r="A200" s="150">
        <f t="shared" si="81"/>
        <v>196</v>
      </c>
      <c r="B200" s="150">
        <f t="shared" si="82"/>
        <v>17</v>
      </c>
      <c r="C200" s="150">
        <f t="shared" si="83"/>
        <v>4</v>
      </c>
      <c r="D200" s="150">
        <f>IF(E200="","",Input!$C$4+B200-1)</f>
        <v>61</v>
      </c>
      <c r="E200" s="150">
        <f>IF(OR(AND(C199=12,D199=Input!$C$6),E199=""),"",1)</f>
        <v>1</v>
      </c>
      <c r="F200" s="150">
        <f>IF(E200="","",Input!$C$8+B200-1)</f>
        <v>2034</v>
      </c>
      <c r="G200" s="151">
        <f>IF(E200="","",MAX(0,Input!$C$9-B200))</f>
        <v>3</v>
      </c>
      <c r="H200" s="152">
        <f>IF(E200="","",Input!$C$3)</f>
        <v>100000</v>
      </c>
      <c r="I200" s="153">
        <f>IF(E200="","",HLOOKUP($B200,Input!$C$13:$BT$14,2))</f>
        <v>2.2999999999999998</v>
      </c>
      <c r="J200" s="154"/>
      <c r="K200" s="155">
        <f>IF($E200="","",Input!$C$57)</f>
        <v>4.4999999999999998E-2</v>
      </c>
      <c r="L200" s="155">
        <f t="shared" si="74"/>
        <v>3.6748094004368514E-3</v>
      </c>
      <c r="M200" s="147">
        <f>IF($E200="","",VLOOKUP(IF($B200&lt;=Input!$C$7,$B200,26),'Mortality Tables'!$A$72:$CA$97,IF($B200&lt;=Input!$C$7+1,Input!$C$4-16,$D200-Input!$C$7-16),0)/1000)</f>
        <v>5.0199999999999993E-3</v>
      </c>
      <c r="N200" s="147">
        <f t="shared" si="63"/>
        <v>4.1929894695580394E-4</v>
      </c>
      <c r="O200" s="157">
        <f>IF($E200="","",IF($C200=12,IF($B200&lt;Input!$C$9,Input!$C$54,IF($B200=Input!$C$9,Input!$C$55,Input!$C$56)),0%))</f>
        <v>0</v>
      </c>
      <c r="P200" s="167">
        <f>IF($E200="","",IF($B200=1,Input!$C$59,IF($B200&lt;6,Input!$C$60,0%)))</f>
        <v>0</v>
      </c>
      <c r="Q200" s="162">
        <f>IF($E200="","",Input!$C$58)</f>
        <v>2.5</v>
      </c>
      <c r="R200" s="156">
        <f t="shared" si="75"/>
        <v>0.9995807010530442</v>
      </c>
      <c r="S200" s="154">
        <f t="shared" si="64"/>
        <v>0.35987494836082229</v>
      </c>
      <c r="T200" s="152"/>
      <c r="U200" s="150">
        <f t="shared" si="76"/>
        <v>0</v>
      </c>
      <c r="V200" s="150">
        <f t="shared" si="77"/>
        <v>0</v>
      </c>
      <c r="W200" s="168">
        <f t="shared" si="78"/>
        <v>0</v>
      </c>
      <c r="X200" s="163">
        <f t="shared" si="65"/>
        <v>41.929894695580394</v>
      </c>
      <c r="Y200" s="152"/>
      <c r="Z200" s="164">
        <f>IF(AND($C199=12,$D199=Input!$C$6),0,IF($E200="","",V200+Z201/(1+L200)*R200))</f>
        <v>4309.1355392574305</v>
      </c>
      <c r="AA200" s="164">
        <f>IF(OR($M200=1,AND($C199=12,$D199=Input!$C$6)),0,IF($E200="","",W200+(X200+AA201*$R200)/(1+$L200)))</f>
        <v>3309.7865099490446</v>
      </c>
      <c r="AB200" s="160">
        <f t="shared" si="66"/>
        <v>0.825720328500681</v>
      </c>
      <c r="AC200" s="164">
        <f t="shared" si="67"/>
        <v>0</v>
      </c>
      <c r="AD200" s="164">
        <f>IF(AND($C199=12,$D199=Input!$C$6),0,IF($E200="","",$AC200+AD201/(1+$L200)*$R200))</f>
        <v>3558.1408130296031</v>
      </c>
      <c r="AE200" s="152"/>
      <c r="AF200" s="164">
        <f>IF(AND($C199=12,$D199=Input!$C$6),0,IF($E200="","",IF($B200&gt;Input!$C$9,$AC200,0)+AF201/(1+$L200)*$R200))</f>
        <v>3094.5708244840785</v>
      </c>
      <c r="AG200" s="164">
        <f>IF(AND($C199=12,$D199=Input!$C$6),0,IF($E200="","",(IF($B200&gt;Input!$C$9,$X200,0)+AG201)/(1+$L200)*$R200))</f>
        <v>1477.1124376184152</v>
      </c>
      <c r="AH200" s="160">
        <f t="shared" si="68"/>
        <v>2.0950137211446997</v>
      </c>
      <c r="AI200" s="160">
        <f>IF($E200="","",MIN(Input!$C$61/AH200,1))</f>
        <v>0.64438718771845094</v>
      </c>
      <c r="AJ200" s="152"/>
      <c r="AK200" s="164">
        <f>IF(AND($C199=12,$D199=Input!$C$6),0,IF($E200="","",IF($B200&gt;Input!$C$9,$AC200*AI200,0)+AK201/(1+$L200)*$R200))</f>
        <v>1994.1017907848648</v>
      </c>
      <c r="AL200" s="164">
        <f>IF(AND($C199=12,$D199=Input!$C$6),0,IF($E200="","",IF($B200&gt;Input!$C$9,0,$AC200)+AL201/(1+$L200)*$R200))</f>
        <v>463.56998854552455</v>
      </c>
      <c r="AM200" s="160">
        <f t="shared" si="69"/>
        <v>1.1382936520186004</v>
      </c>
      <c r="AN200" s="164">
        <f>IF($E200="","",IF($B200&gt;Input!$C$9,$AI200*$AC200,$AM200*$AC200))</f>
        <v>0</v>
      </c>
      <c r="AO200" s="164">
        <f>IF(AND($C199=12,$D199=Input!$C$6),0,IF($E200="","",$AN200+AO201/(1+$L200)*$R200))</f>
        <v>2521.7805660125709</v>
      </c>
      <c r="AP200" s="152"/>
      <c r="AQ200" s="164">
        <f t="shared" si="70"/>
        <v>788.00594393647361</v>
      </c>
      <c r="AR200" s="164">
        <f t="shared" si="79"/>
        <v>684.67190000809546</v>
      </c>
      <c r="AS200" s="164">
        <f t="shared" si="80"/>
        <v>240.19138755980859</v>
      </c>
      <c r="AT200" s="164">
        <f t="shared" si="71"/>
        <v>684.67190000809546</v>
      </c>
      <c r="AU200" s="152"/>
      <c r="AV200" s="147">
        <f>'Deterministic Reserve'!BC200</f>
        <v>0.49213783549978907</v>
      </c>
      <c r="AW200" s="164">
        <f t="shared" si="72"/>
        <v>684.67190000809546</v>
      </c>
      <c r="AX200" s="164">
        <f t="shared" si="73"/>
        <v>336.95294689751211</v>
      </c>
      <c r="AY200" s="152"/>
    </row>
    <row r="201" spans="1:51" s="150" customFormat="1" x14ac:dyDescent="0.25">
      <c r="A201" s="150">
        <f t="shared" si="81"/>
        <v>197</v>
      </c>
      <c r="B201" s="150">
        <f t="shared" si="82"/>
        <v>17</v>
      </c>
      <c r="C201" s="150">
        <f t="shared" si="83"/>
        <v>5</v>
      </c>
      <c r="D201" s="150">
        <f>IF(E201="","",Input!$C$4+B201-1)</f>
        <v>61</v>
      </c>
      <c r="E201" s="150">
        <f>IF(OR(AND(C200=12,D200=Input!$C$6),E200=""),"",1)</f>
        <v>1</v>
      </c>
      <c r="F201" s="150">
        <f>IF(E201="","",Input!$C$8+B201-1)</f>
        <v>2034</v>
      </c>
      <c r="G201" s="151">
        <f>IF(E201="","",MAX(0,Input!$C$9-B201))</f>
        <v>3</v>
      </c>
      <c r="H201" s="152">
        <f>IF(E201="","",Input!$C$3)</f>
        <v>100000</v>
      </c>
      <c r="I201" s="153">
        <f>IF(E201="","",HLOOKUP($B201,Input!$C$13:$BT$14,2))</f>
        <v>2.2999999999999998</v>
      </c>
      <c r="J201" s="154"/>
      <c r="K201" s="155">
        <f>IF($E201="","",Input!$C$57)</f>
        <v>4.4999999999999998E-2</v>
      </c>
      <c r="L201" s="155">
        <f t="shared" si="74"/>
        <v>3.6748094004368514E-3</v>
      </c>
      <c r="M201" s="147">
        <f>IF($E201="","",VLOOKUP(IF($B201&lt;=Input!$C$7,$B201,26),'Mortality Tables'!$A$72:$CA$97,IF($B201&lt;=Input!$C$7+1,Input!$C$4-16,$D201-Input!$C$7-16),0)/1000)</f>
        <v>5.0199999999999993E-3</v>
      </c>
      <c r="N201" s="147">
        <f t="shared" si="63"/>
        <v>4.1929894695580394E-4</v>
      </c>
      <c r="O201" s="157">
        <f>IF($E201="","",IF($C201=12,IF($B201&lt;Input!$C$9,Input!$C$54,IF($B201=Input!$C$9,Input!$C$55,Input!$C$56)),0%))</f>
        <v>0</v>
      </c>
      <c r="P201" s="167">
        <f>IF($E201="","",IF($B201=1,Input!$C$59,IF($B201&lt;6,Input!$C$60,0%)))</f>
        <v>0</v>
      </c>
      <c r="Q201" s="162">
        <f>IF($E201="","",Input!$C$58)</f>
        <v>2.5</v>
      </c>
      <c r="R201" s="156">
        <f t="shared" si="75"/>
        <v>0.9995807010530442</v>
      </c>
      <c r="S201" s="154">
        <f t="shared" si="64"/>
        <v>0.3597240531739388</v>
      </c>
      <c r="T201" s="152"/>
      <c r="U201" s="150">
        <f t="shared" si="76"/>
        <v>0</v>
      </c>
      <c r="V201" s="150">
        <f t="shared" si="77"/>
        <v>0</v>
      </c>
      <c r="W201" s="168">
        <f t="shared" si="78"/>
        <v>0</v>
      </c>
      <c r="X201" s="163">
        <f t="shared" si="65"/>
        <v>41.929894695580394</v>
      </c>
      <c r="Y201" s="152"/>
      <c r="Z201" s="164">
        <f>IF(AND($C200=12,$D200=Input!$C$6),0,IF($E201="","",V201+Z202/(1+L201)*R201))</f>
        <v>4326.7850074421749</v>
      </c>
      <c r="AA201" s="164">
        <f>IF(OR($M201=1,AND($C200=12,$D200=Input!$C$6)),0,IF($E201="","",W201+(X201+AA202*$R201)/(1+$L201)))</f>
        <v>3281.3953354423602</v>
      </c>
      <c r="AB201" s="160">
        <f t="shared" si="66"/>
        <v>0.825720328500681</v>
      </c>
      <c r="AC201" s="164">
        <f t="shared" si="67"/>
        <v>0</v>
      </c>
      <c r="AD201" s="164">
        <f>IF(AND($C200=12,$D200=Input!$C$6),0,IF($E201="","",$AC201+AD202/(1+$L201)*$R201))</f>
        <v>3572.7143376969725</v>
      </c>
      <c r="AE201" s="152"/>
      <c r="AF201" s="164">
        <f>IF(AND($C200=12,$D200=Input!$C$6),0,IF($E201="","",IF($B201&gt;Input!$C$9,$AC201,0)+AF202/(1+$L201)*$R201))</f>
        <v>3107.2456472680428</v>
      </c>
      <c r="AG201" s="164">
        <f>IF(AND($C200=12,$D200=Input!$C$6),0,IF($E201="","",(IF($B201&gt;Input!$C$9,$X201,0)+AG202)/(1+$L201)*$R201))</f>
        <v>1483.1624327358882</v>
      </c>
      <c r="AH201" s="160">
        <f t="shared" si="68"/>
        <v>2.0950137211446997</v>
      </c>
      <c r="AI201" s="160">
        <f>IF($E201="","",MIN(Input!$C$61/AH201,1))</f>
        <v>0.64438718771845094</v>
      </c>
      <c r="AJ201" s="152"/>
      <c r="AK201" s="164">
        <f>IF(AND($C200=12,$D200=Input!$C$6),0,IF($E201="","",IF($B201&gt;Input!$C$9,$AC201*AI201,0)+AK202/(1+$L201)*$R201))</f>
        <v>2002.2692841934534</v>
      </c>
      <c r="AL201" s="164">
        <f>IF(AND($C200=12,$D200=Input!$C$6),0,IF($E201="","",IF($B201&gt;Input!$C$9,0,$AC201)+AL202/(1+$L201)*$R201))</f>
        <v>465.46869042892979</v>
      </c>
      <c r="AM201" s="160">
        <f t="shared" si="69"/>
        <v>1.1382936520186004</v>
      </c>
      <c r="AN201" s="164">
        <f>IF($E201="","",IF($B201&gt;Input!$C$9,$AI201*$AC201,$AM201*$AC201))</f>
        <v>0</v>
      </c>
      <c r="AO201" s="164">
        <f>IF(AND($C200=12,$D200=Input!$C$6),0,IF($E201="","",$AN201+AO202/(1+$L201)*$R201))</f>
        <v>2532.1093397221157</v>
      </c>
      <c r="AP201" s="152"/>
      <c r="AQ201" s="164">
        <f t="shared" si="70"/>
        <v>749.2859957202445</v>
      </c>
      <c r="AR201" s="164">
        <f t="shared" si="79"/>
        <v>684.67190000809546</v>
      </c>
      <c r="AS201" s="164">
        <f t="shared" si="80"/>
        <v>240.19138755980859</v>
      </c>
      <c r="AT201" s="164">
        <f t="shared" si="71"/>
        <v>684.67190000809546</v>
      </c>
      <c r="AU201" s="152"/>
      <c r="AV201" s="147">
        <f>'Deterministic Reserve'!BC201</f>
        <v>0.49200652789058036</v>
      </c>
      <c r="AW201" s="164">
        <f t="shared" si="72"/>
        <v>684.67190000809546</v>
      </c>
      <c r="AX201" s="164">
        <f t="shared" si="73"/>
        <v>336.86304426722967</v>
      </c>
      <c r="AY201" s="152"/>
    </row>
    <row r="202" spans="1:51" s="150" customFormat="1" x14ac:dyDescent="0.25">
      <c r="A202" s="150">
        <f t="shared" si="81"/>
        <v>198</v>
      </c>
      <c r="B202" s="150">
        <f t="shared" si="82"/>
        <v>17</v>
      </c>
      <c r="C202" s="150">
        <f t="shared" si="83"/>
        <v>6</v>
      </c>
      <c r="D202" s="150">
        <f>IF(E202="","",Input!$C$4+B202-1)</f>
        <v>61</v>
      </c>
      <c r="E202" s="150">
        <f>IF(OR(AND(C201=12,D201=Input!$C$6),E201=""),"",1)</f>
        <v>1</v>
      </c>
      <c r="F202" s="150">
        <f>IF(E202="","",Input!$C$8+B202-1)</f>
        <v>2034</v>
      </c>
      <c r="G202" s="151">
        <f>IF(E202="","",MAX(0,Input!$C$9-B202))</f>
        <v>3</v>
      </c>
      <c r="H202" s="152">
        <f>IF(E202="","",Input!$C$3)</f>
        <v>100000</v>
      </c>
      <c r="I202" s="153">
        <f>IF(E202="","",HLOOKUP($B202,Input!$C$13:$BT$14,2))</f>
        <v>2.2999999999999998</v>
      </c>
      <c r="J202" s="154"/>
      <c r="K202" s="155">
        <f>IF($E202="","",Input!$C$57)</f>
        <v>4.4999999999999998E-2</v>
      </c>
      <c r="L202" s="155">
        <f t="shared" si="74"/>
        <v>3.6748094004368514E-3</v>
      </c>
      <c r="M202" s="147">
        <f>IF($E202="","",VLOOKUP(IF($B202&lt;=Input!$C$7,$B202,26),'Mortality Tables'!$A$72:$CA$97,IF($B202&lt;=Input!$C$7+1,Input!$C$4-16,$D202-Input!$C$7-16),0)/1000)</f>
        <v>5.0199999999999993E-3</v>
      </c>
      <c r="N202" s="147">
        <f t="shared" si="63"/>
        <v>4.1929894695580394E-4</v>
      </c>
      <c r="O202" s="157">
        <f>IF($E202="","",IF($C202=12,IF($B202&lt;Input!$C$9,Input!$C$54,IF($B202=Input!$C$9,Input!$C$55,Input!$C$56)),0%))</f>
        <v>0</v>
      </c>
      <c r="P202" s="167">
        <f>IF($E202="","",IF($B202=1,Input!$C$59,IF($B202&lt;6,Input!$C$60,0%)))</f>
        <v>0</v>
      </c>
      <c r="Q202" s="162">
        <f>IF($E202="","",Input!$C$58)</f>
        <v>2.5</v>
      </c>
      <c r="R202" s="156">
        <f t="shared" si="75"/>
        <v>0.9995807010530442</v>
      </c>
      <c r="S202" s="154">
        <f t="shared" si="64"/>
        <v>0.35957322125724828</v>
      </c>
      <c r="T202" s="152"/>
      <c r="U202" s="150">
        <f t="shared" si="76"/>
        <v>0</v>
      </c>
      <c r="V202" s="150">
        <f t="shared" si="77"/>
        <v>0</v>
      </c>
      <c r="W202" s="168">
        <f t="shared" si="78"/>
        <v>0</v>
      </c>
      <c r="X202" s="163">
        <f t="shared" si="65"/>
        <v>41.929894695580394</v>
      </c>
      <c r="Y202" s="152"/>
      <c r="Z202" s="164">
        <f>IF(AND($C201=12,$D201=Input!$C$6),0,IF($E202="","",V202+Z203/(1+L202)*R202))</f>
        <v>4344.5067647727037</v>
      </c>
      <c r="AA202" s="164">
        <f>IF(OR($M202=1,AND($C201=12,$D201=Input!$C$6)),0,IF($E202="","",W202+(X202+AA203*$R202)/(1+$L202)))</f>
        <v>3252.8878756328309</v>
      </c>
      <c r="AB202" s="160">
        <f t="shared" si="66"/>
        <v>0.825720328500681</v>
      </c>
      <c r="AC202" s="164">
        <f t="shared" si="67"/>
        <v>0</v>
      </c>
      <c r="AD202" s="164">
        <f>IF(AND($C201=12,$D201=Input!$C$6),0,IF($E202="","",$AC202+AD203/(1+$L202)*$R202))</f>
        <v>3587.3475529815464</v>
      </c>
      <c r="AE202" s="152"/>
      <c r="AF202" s="164">
        <f>IF(AND($C201=12,$D201=Input!$C$6),0,IF($E202="","",IF($B202&gt;Input!$C$9,$AC202,0)+AF203/(1+$L202)*$R202))</f>
        <v>3119.9723839171975</v>
      </c>
      <c r="AG202" s="164">
        <f>IF(AND($C201=12,$D201=Input!$C$6),0,IF($E202="","",(IF($B202&gt;Input!$C$9,$X202,0)+AG203)/(1+$L202)*$R202))</f>
        <v>1489.237207578986</v>
      </c>
      <c r="AH202" s="160">
        <f t="shared" si="68"/>
        <v>2.0950137211446997</v>
      </c>
      <c r="AI202" s="160">
        <f>IF($E202="","",MIN(Input!$C$61/AH202,1))</f>
        <v>0.64438718771845094</v>
      </c>
      <c r="AJ202" s="152"/>
      <c r="AK202" s="164">
        <f>IF(AND($C201=12,$D201=Input!$C$6),0,IF($E202="","",IF($B202&gt;Input!$C$9,$AC202*AI202,0)+AK203/(1+$L202)*$R202))</f>
        <v>2010.4702302316357</v>
      </c>
      <c r="AL202" s="164">
        <f>IF(AND($C201=12,$D201=Input!$C$6),0,IF($E202="","",IF($B202&gt;Input!$C$9,0,$AC202)+AL203/(1+$L202)*$R202))</f>
        <v>467.375169064349</v>
      </c>
      <c r="AM202" s="160">
        <f t="shared" si="69"/>
        <v>1.1382936520186004</v>
      </c>
      <c r="AN202" s="164">
        <f>IF($E202="","",IF($B202&gt;Input!$C$9,$AI202*$AC202,$AM202*$AC202))</f>
        <v>0</v>
      </c>
      <c r="AO202" s="164">
        <f>IF(AND($C201=12,$D201=Input!$C$6),0,IF($E202="","",$AN202+AO203/(1+$L202)*$R202))</f>
        <v>2542.4804182887046</v>
      </c>
      <c r="AP202" s="152"/>
      <c r="AQ202" s="164">
        <f t="shared" si="70"/>
        <v>710.40745734412621</v>
      </c>
      <c r="AR202" s="164">
        <f t="shared" si="79"/>
        <v>684.67190000809546</v>
      </c>
      <c r="AS202" s="164">
        <f t="shared" si="80"/>
        <v>240.19138755980859</v>
      </c>
      <c r="AT202" s="164">
        <f t="shared" si="71"/>
        <v>684.67190000809546</v>
      </c>
      <c r="AU202" s="152"/>
      <c r="AV202" s="147">
        <f>'Deterministic Reserve'!BC202</f>
        <v>0.49187525531563847</v>
      </c>
      <c r="AW202" s="164">
        <f t="shared" si="72"/>
        <v>684.67190000809546</v>
      </c>
      <c r="AX202" s="164">
        <f t="shared" si="73"/>
        <v>336.77316562392525</v>
      </c>
      <c r="AY202" s="152"/>
    </row>
    <row r="203" spans="1:51" s="150" customFormat="1" x14ac:dyDescent="0.25">
      <c r="A203" s="150">
        <f t="shared" si="81"/>
        <v>199</v>
      </c>
      <c r="B203" s="150">
        <f t="shared" si="82"/>
        <v>17</v>
      </c>
      <c r="C203" s="150">
        <f t="shared" si="83"/>
        <v>7</v>
      </c>
      <c r="D203" s="150">
        <f>IF(E203="","",Input!$C$4+B203-1)</f>
        <v>61</v>
      </c>
      <c r="E203" s="150">
        <f>IF(OR(AND(C202=12,D202=Input!$C$6),E202=""),"",1)</f>
        <v>1</v>
      </c>
      <c r="F203" s="150">
        <f>IF(E203="","",Input!$C$8+B203-1)</f>
        <v>2034</v>
      </c>
      <c r="G203" s="151">
        <f>IF(E203="","",MAX(0,Input!$C$9-B203))</f>
        <v>3</v>
      </c>
      <c r="H203" s="152">
        <f>IF(E203="","",Input!$C$3)</f>
        <v>100000</v>
      </c>
      <c r="I203" s="153">
        <f>IF(E203="","",HLOOKUP($B203,Input!$C$13:$BT$14,2))</f>
        <v>2.2999999999999998</v>
      </c>
      <c r="J203" s="154"/>
      <c r="K203" s="155">
        <f>IF($E203="","",Input!$C$57)</f>
        <v>4.4999999999999998E-2</v>
      </c>
      <c r="L203" s="155">
        <f t="shared" si="74"/>
        <v>3.6748094004368514E-3</v>
      </c>
      <c r="M203" s="147">
        <f>IF($E203="","",VLOOKUP(IF($B203&lt;=Input!$C$7,$B203,26),'Mortality Tables'!$A$72:$CA$97,IF($B203&lt;=Input!$C$7+1,Input!$C$4-16,$D203-Input!$C$7-16),0)/1000)</f>
        <v>5.0199999999999993E-3</v>
      </c>
      <c r="N203" s="147">
        <f t="shared" si="63"/>
        <v>4.1929894695580394E-4</v>
      </c>
      <c r="O203" s="157">
        <f>IF($E203="","",IF($C203=12,IF($B203&lt;Input!$C$9,Input!$C$54,IF($B203=Input!$C$9,Input!$C$55,Input!$C$56)),0%))</f>
        <v>0</v>
      </c>
      <c r="P203" s="167">
        <f>IF($E203="","",IF($B203=1,Input!$C$59,IF($B203&lt;6,Input!$C$60,0%)))</f>
        <v>0</v>
      </c>
      <c r="Q203" s="162">
        <f>IF($E203="","",Input!$C$58)</f>
        <v>2.5</v>
      </c>
      <c r="R203" s="156">
        <f t="shared" si="75"/>
        <v>0.9995807010530442</v>
      </c>
      <c r="S203" s="154">
        <f t="shared" si="64"/>
        <v>0.35942245258422162</v>
      </c>
      <c r="T203" s="152"/>
      <c r="U203" s="150">
        <f t="shared" si="76"/>
        <v>0</v>
      </c>
      <c r="V203" s="150">
        <f t="shared" si="77"/>
        <v>0</v>
      </c>
      <c r="W203" s="168">
        <f t="shared" si="78"/>
        <v>0</v>
      </c>
      <c r="X203" s="163">
        <f t="shared" si="65"/>
        <v>41.929894695580394</v>
      </c>
      <c r="Y203" s="152"/>
      <c r="Z203" s="164">
        <f>IF(AND($C202=12,$D202=Input!$C$6),0,IF($E203="","",V203+Z204/(1+L203)*R203))</f>
        <v>4362.3011073327607</v>
      </c>
      <c r="AA203" s="164">
        <f>IF(OR($M203=1,AND($C202=12,$D202=Input!$C$6)),0,IF($E203="","",W203+(X203+AA204*$R203)/(1+$L203)))</f>
        <v>3224.263654236122</v>
      </c>
      <c r="AB203" s="160">
        <f t="shared" si="66"/>
        <v>0.825720328500681</v>
      </c>
      <c r="AC203" s="164">
        <f t="shared" si="67"/>
        <v>0</v>
      </c>
      <c r="AD203" s="164">
        <f>IF(AND($C202=12,$D202=Input!$C$6),0,IF($E203="","",$AC203+AD204/(1+$L203)*$R203))</f>
        <v>3602.0407033656902</v>
      </c>
      <c r="AE203" s="152"/>
      <c r="AF203" s="164">
        <f>IF(AND($C202=12,$D202=Input!$C$6),0,IF($E203="","",IF($B203&gt;Input!$C$9,$AC203,0)+AF204/(1+$L203)*$R203))</f>
        <v>3132.7512470616871</v>
      </c>
      <c r="AG203" s="164">
        <f>IF(AND($C202=12,$D202=Input!$C$6),0,IF($E203="","",(IF($B203&gt;Input!$C$9,$X203,0)+AG204)/(1+$L203)*$R203))</f>
        <v>1495.3368636411467</v>
      </c>
      <c r="AH203" s="160">
        <f t="shared" si="68"/>
        <v>2.0950137211446997</v>
      </c>
      <c r="AI203" s="160">
        <f>IF($E203="","",MIN(Input!$C$61/AH203,1))</f>
        <v>0.64438718771845094</v>
      </c>
      <c r="AJ203" s="152"/>
      <c r="AK203" s="164">
        <f>IF(AND($C202=12,$D202=Input!$C$6),0,IF($E203="","",IF($B203&gt;Input!$C$9,$AC203*AI203,0)+AK204/(1+$L203)*$R203))</f>
        <v>2018.7047659155526</v>
      </c>
      <c r="AL203" s="164">
        <f>IF(AND($C202=12,$D202=Input!$C$6),0,IF($E203="","",IF($B203&gt;Input!$C$9,0,$AC203)+AL204/(1+$L203)*$R203))</f>
        <v>469.28945630400318</v>
      </c>
      <c r="AM203" s="160">
        <f t="shared" si="69"/>
        <v>1.1382936520186004</v>
      </c>
      <c r="AN203" s="164">
        <f>IF($E203="","",IF($B203&gt;Input!$C$9,$AI203*$AC203,$AM203*$AC203))</f>
        <v>0</v>
      </c>
      <c r="AO203" s="164">
        <f>IF(AND($C202=12,$D202=Input!$C$6),0,IF($E203="","",$AN203+AO204/(1+$L203)*$R203))</f>
        <v>2552.89397498566</v>
      </c>
      <c r="AP203" s="152"/>
      <c r="AQ203" s="164">
        <f t="shared" si="70"/>
        <v>671.36967925046201</v>
      </c>
      <c r="AR203" s="164">
        <f t="shared" si="79"/>
        <v>684.67190000809546</v>
      </c>
      <c r="AS203" s="164">
        <f t="shared" si="80"/>
        <v>240.19138755980859</v>
      </c>
      <c r="AT203" s="164">
        <f t="shared" si="71"/>
        <v>684.67190000809546</v>
      </c>
      <c r="AU203" s="152"/>
      <c r="AV203" s="147">
        <f>'Deterministic Reserve'!BC203</f>
        <v>0.49174401776561588</v>
      </c>
      <c r="AW203" s="164">
        <f t="shared" si="72"/>
        <v>684.67190000809546</v>
      </c>
      <c r="AX203" s="164">
        <f t="shared" si="73"/>
        <v>336.68331096119886</v>
      </c>
      <c r="AY203" s="152"/>
    </row>
    <row r="204" spans="1:51" s="150" customFormat="1" x14ac:dyDescent="0.25">
      <c r="A204" s="150">
        <f t="shared" si="81"/>
        <v>200</v>
      </c>
      <c r="B204" s="150">
        <f t="shared" si="82"/>
        <v>17</v>
      </c>
      <c r="C204" s="150">
        <f t="shared" si="83"/>
        <v>8</v>
      </c>
      <c r="D204" s="150">
        <f>IF(E204="","",Input!$C$4+B204-1)</f>
        <v>61</v>
      </c>
      <c r="E204" s="150">
        <f>IF(OR(AND(C203=12,D203=Input!$C$6),E203=""),"",1)</f>
        <v>1</v>
      </c>
      <c r="F204" s="150">
        <f>IF(E204="","",Input!$C$8+B204-1)</f>
        <v>2034</v>
      </c>
      <c r="G204" s="151">
        <f>IF(E204="","",MAX(0,Input!$C$9-B204))</f>
        <v>3</v>
      </c>
      <c r="H204" s="152">
        <f>IF(E204="","",Input!$C$3)</f>
        <v>100000</v>
      </c>
      <c r="I204" s="153">
        <f>IF(E204="","",HLOOKUP($B204,Input!$C$13:$BT$14,2))</f>
        <v>2.2999999999999998</v>
      </c>
      <c r="J204" s="154"/>
      <c r="K204" s="155">
        <f>IF($E204="","",Input!$C$57)</f>
        <v>4.4999999999999998E-2</v>
      </c>
      <c r="L204" s="155">
        <f t="shared" si="74"/>
        <v>3.6748094004368514E-3</v>
      </c>
      <c r="M204" s="147">
        <f>IF($E204="","",VLOOKUP(IF($B204&lt;=Input!$C$7,$B204,26),'Mortality Tables'!$A$72:$CA$97,IF($B204&lt;=Input!$C$7+1,Input!$C$4-16,$D204-Input!$C$7-16),0)/1000)</f>
        <v>5.0199999999999993E-3</v>
      </c>
      <c r="N204" s="147">
        <f t="shared" si="63"/>
        <v>4.1929894695580394E-4</v>
      </c>
      <c r="O204" s="157">
        <f>IF($E204="","",IF($C204=12,IF($B204&lt;Input!$C$9,Input!$C$54,IF($B204=Input!$C$9,Input!$C$55,Input!$C$56)),0%))</f>
        <v>0</v>
      </c>
      <c r="P204" s="167">
        <f>IF($E204="","",IF($B204=1,Input!$C$59,IF($B204&lt;6,Input!$C$60,0%)))</f>
        <v>0</v>
      </c>
      <c r="Q204" s="162">
        <f>IF($E204="","",Input!$C$58)</f>
        <v>2.5</v>
      </c>
      <c r="R204" s="156">
        <f t="shared" si="75"/>
        <v>0.9995807010530442</v>
      </c>
      <c r="S204" s="154">
        <f t="shared" si="64"/>
        <v>0.35927174712834076</v>
      </c>
      <c r="T204" s="152"/>
      <c r="U204" s="150">
        <f t="shared" si="76"/>
        <v>0</v>
      </c>
      <c r="V204" s="150">
        <f t="shared" si="77"/>
        <v>0</v>
      </c>
      <c r="W204" s="168">
        <f t="shared" si="78"/>
        <v>0</v>
      </c>
      <c r="X204" s="163">
        <f t="shared" si="65"/>
        <v>41.929894695580394</v>
      </c>
      <c r="Y204" s="152"/>
      <c r="Z204" s="164">
        <f>IF(AND($C203=12,$D203=Input!$C$6),0,IF($E204="","",V204+Z205/(1+L204)*R204))</f>
        <v>4380.1683324187961</v>
      </c>
      <c r="AA204" s="164">
        <f>IF(OR($M204=1,AND($C203=12,$D203=Input!$C$6)),0,IF($E204="","",W204+(X204+AA205*$R204)/(1+$L204)))</f>
        <v>3195.5221930171215</v>
      </c>
      <c r="AB204" s="160">
        <f t="shared" si="66"/>
        <v>0.825720328500681</v>
      </c>
      <c r="AC204" s="164">
        <f t="shared" si="67"/>
        <v>0</v>
      </c>
      <c r="AD204" s="164">
        <f>IF(AND($C203=12,$D203=Input!$C$6),0,IF($E204="","",$AC204+AD205/(1+$L204)*$R204))</f>
        <v>3616.7940343331265</v>
      </c>
      <c r="AE204" s="152"/>
      <c r="AF204" s="164">
        <f>IF(AND($C203=12,$D203=Input!$C$6),0,IF($E204="","",IF($B204&gt;Input!$C$9,$AC204,0)+AF205/(1+$L204)*$R204))</f>
        <v>3145.5824502025525</v>
      </c>
      <c r="AG204" s="164">
        <f>IF(AND($C203=12,$D203=Input!$C$6),0,IF($E204="","",(IF($B204&gt;Input!$C$9,$X204,0)+AG205)/(1+$L204)*$R204))</f>
        <v>1501.4615028315068</v>
      </c>
      <c r="AH204" s="160">
        <f t="shared" si="68"/>
        <v>2.0950137211446997</v>
      </c>
      <c r="AI204" s="160">
        <f>IF($E204="","",MIN(Input!$C$61/AH204,1))</f>
        <v>0.64438718771845094</v>
      </c>
      <c r="AJ204" s="152"/>
      <c r="AK204" s="164">
        <f>IF(AND($C203=12,$D203=Input!$C$6),0,IF($E204="","",IF($B204&gt;Input!$C$9,$AC204*AI204,0)+AK205/(1+$L204)*$R204))</f>
        <v>2026.9730288225387</v>
      </c>
      <c r="AL204" s="164">
        <f>IF(AND($C203=12,$D203=Input!$C$6),0,IF($E204="","",IF($B204&gt;Input!$C$9,0,$AC204)+AL205/(1+$L204)*$R204))</f>
        <v>471.21158413057435</v>
      </c>
      <c r="AM204" s="160">
        <f t="shared" si="69"/>
        <v>1.1382936520186004</v>
      </c>
      <c r="AN204" s="164">
        <f>IF($E204="","",IF($B204&gt;Input!$C$9,$AI204*$AC204,$AM204*$AC204))</f>
        <v>0</v>
      </c>
      <c r="AO204" s="164">
        <f>IF(AND($C203=12,$D203=Input!$C$6),0,IF($E204="","",$AN204+AO205/(1+$L204)*$R204))</f>
        <v>2563.3501837960002</v>
      </c>
      <c r="AP204" s="152"/>
      <c r="AQ204" s="164">
        <f t="shared" si="70"/>
        <v>632.17200922112124</v>
      </c>
      <c r="AR204" s="164">
        <f t="shared" si="79"/>
        <v>684.67190000809546</v>
      </c>
      <c r="AS204" s="164">
        <f t="shared" si="80"/>
        <v>240.19138755980859</v>
      </c>
      <c r="AT204" s="164">
        <f t="shared" si="71"/>
        <v>684.67190000809546</v>
      </c>
      <c r="AU204" s="152"/>
      <c r="AV204" s="147">
        <f>'Deterministic Reserve'!BC204</f>
        <v>0.49161281523116757</v>
      </c>
      <c r="AW204" s="164">
        <f t="shared" si="72"/>
        <v>684.67190000809546</v>
      </c>
      <c r="AX204" s="164">
        <f t="shared" si="73"/>
        <v>336.59348027265224</v>
      </c>
      <c r="AY204" s="152"/>
    </row>
    <row r="205" spans="1:51" s="150" customFormat="1" x14ac:dyDescent="0.25">
      <c r="A205" s="150">
        <f t="shared" si="81"/>
        <v>201</v>
      </c>
      <c r="B205" s="150">
        <f t="shared" si="82"/>
        <v>17</v>
      </c>
      <c r="C205" s="150">
        <f t="shared" si="83"/>
        <v>9</v>
      </c>
      <c r="D205" s="150">
        <f>IF(E205="","",Input!$C$4+B205-1)</f>
        <v>61</v>
      </c>
      <c r="E205" s="150">
        <f>IF(OR(AND(C204=12,D204=Input!$C$6),E204=""),"",1)</f>
        <v>1</v>
      </c>
      <c r="F205" s="150">
        <f>IF(E205="","",Input!$C$8+B205-1)</f>
        <v>2034</v>
      </c>
      <c r="G205" s="151">
        <f>IF(E205="","",MAX(0,Input!$C$9-B205))</f>
        <v>3</v>
      </c>
      <c r="H205" s="152">
        <f>IF(E205="","",Input!$C$3)</f>
        <v>100000</v>
      </c>
      <c r="I205" s="153">
        <f>IF(E205="","",HLOOKUP($B205,Input!$C$13:$BT$14,2))</f>
        <v>2.2999999999999998</v>
      </c>
      <c r="J205" s="154"/>
      <c r="K205" s="155">
        <f>IF($E205="","",Input!$C$57)</f>
        <v>4.4999999999999998E-2</v>
      </c>
      <c r="L205" s="155">
        <f t="shared" si="74"/>
        <v>3.6748094004368514E-3</v>
      </c>
      <c r="M205" s="147">
        <f>IF($E205="","",VLOOKUP(IF($B205&lt;=Input!$C$7,$B205,26),'Mortality Tables'!$A$72:$CA$97,IF($B205&lt;=Input!$C$7+1,Input!$C$4-16,$D205-Input!$C$7-16),0)/1000)</f>
        <v>5.0199999999999993E-3</v>
      </c>
      <c r="N205" s="147">
        <f t="shared" si="63"/>
        <v>4.1929894695580394E-4</v>
      </c>
      <c r="O205" s="157">
        <f>IF($E205="","",IF($C205=12,IF($B205&lt;Input!$C$9,Input!$C$54,IF($B205=Input!$C$9,Input!$C$55,Input!$C$56)),0%))</f>
        <v>0</v>
      </c>
      <c r="P205" s="167">
        <f>IF($E205="","",IF($B205=1,Input!$C$59,IF($B205&lt;6,Input!$C$60,0%)))</f>
        <v>0</v>
      </c>
      <c r="Q205" s="162">
        <f>IF($E205="","",Input!$C$58)</f>
        <v>2.5</v>
      </c>
      <c r="R205" s="156">
        <f t="shared" si="75"/>
        <v>0.9995807010530442</v>
      </c>
      <c r="S205" s="154">
        <f t="shared" si="64"/>
        <v>0.35912110486309889</v>
      </c>
      <c r="T205" s="152"/>
      <c r="U205" s="150">
        <f t="shared" si="76"/>
        <v>0</v>
      </c>
      <c r="V205" s="150">
        <f t="shared" si="77"/>
        <v>0</v>
      </c>
      <c r="W205" s="168">
        <f t="shared" si="78"/>
        <v>0</v>
      </c>
      <c r="X205" s="163">
        <f t="shared" si="65"/>
        <v>41.929894695580394</v>
      </c>
      <c r="Y205" s="152"/>
      <c r="Z205" s="164">
        <f>IF(AND($C204=12,$D204=Input!$C$6),0,IF($E205="","",V205+Z206/(1+L205)*R205))</f>
        <v>4398.1087385449337</v>
      </c>
      <c r="AA205" s="164">
        <f>IF(OR($M205=1,AND($C204=12,$D204=Input!$C$6)),0,IF($E205="","",W205+(X205+AA206*$R205)/(1+$L205)))</f>
        <v>3166.6630117819491</v>
      </c>
      <c r="AB205" s="160">
        <f t="shared" si="66"/>
        <v>0.825720328500681</v>
      </c>
      <c r="AC205" s="164">
        <f t="shared" si="67"/>
        <v>0</v>
      </c>
      <c r="AD205" s="164">
        <f>IF(AND($C204=12,$D204=Input!$C$6),0,IF($E205="","",$AC205+AD206/(1+$L205)*$R205))</f>
        <v>3631.6077923730363</v>
      </c>
      <c r="AE205" s="152"/>
      <c r="AF205" s="164">
        <f>IF(AND($C204=12,$D204=Input!$C$6),0,IF($E205="","",IF($B205&gt;Input!$C$9,$AC205,0)+AF206/(1+$L205)*$R205))</f>
        <v>3158.4662077152966</v>
      </c>
      <c r="AG205" s="164">
        <f>IF(AND($C204=12,$D204=Input!$C$6),0,IF($E205="","",(IF($B205&gt;Input!$C$9,$X205,0)+AG206)/(1+$L205)*$R205))</f>
        <v>1507.6112274766056</v>
      </c>
      <c r="AH205" s="160">
        <f t="shared" si="68"/>
        <v>2.0950137211446997</v>
      </c>
      <c r="AI205" s="160">
        <f>IF($E205="","",MIN(Input!$C$61/AH205,1))</f>
        <v>0.64438718771845094</v>
      </c>
      <c r="AJ205" s="152"/>
      <c r="AK205" s="164">
        <f>IF(AND($C204=12,$D204=Input!$C$6),0,IF($E205="","",IF($B205&gt;Input!$C$9,$AC205*AI205,0)+AK206/(1+$L205)*$R205))</f>
        <v>2035.2751570934224</v>
      </c>
      <c r="AL205" s="164">
        <f>IF(AND($C204=12,$D204=Input!$C$6),0,IF($E205="","",IF($B205&gt;Input!$C$9,0,$AC205)+AL206/(1+$L205)*$R205))</f>
        <v>473.14158465774011</v>
      </c>
      <c r="AM205" s="160">
        <f t="shared" si="69"/>
        <v>1.1382936520186004</v>
      </c>
      <c r="AN205" s="164">
        <f>IF($E205="","",IF($B205&gt;Input!$C$9,$AI205*$AC205,$AM205*$AC205))</f>
        <v>0</v>
      </c>
      <c r="AO205" s="164">
        <f>IF(AND($C204=12,$D204=Input!$C$6),0,IF($E205="","",$AN205+AO206/(1+$L205)*$R205))</f>
        <v>2573.8492194153491</v>
      </c>
      <c r="AP205" s="152"/>
      <c r="AQ205" s="164">
        <f t="shared" si="70"/>
        <v>592.81379236659996</v>
      </c>
      <c r="AR205" s="164">
        <f t="shared" si="79"/>
        <v>684.67190000809546</v>
      </c>
      <c r="AS205" s="164">
        <f t="shared" si="80"/>
        <v>240.19138755980859</v>
      </c>
      <c r="AT205" s="164">
        <f t="shared" si="71"/>
        <v>684.67190000809546</v>
      </c>
      <c r="AU205" s="152"/>
      <c r="AV205" s="147">
        <f>'Deterministic Reserve'!BC205</f>
        <v>0.491481647702951</v>
      </c>
      <c r="AW205" s="164">
        <f t="shared" si="72"/>
        <v>684.67190000809546</v>
      </c>
      <c r="AX205" s="164">
        <f t="shared" si="73"/>
        <v>336.50367355188888</v>
      </c>
      <c r="AY205" s="152"/>
    </row>
    <row r="206" spans="1:51" s="150" customFormat="1" x14ac:dyDescent="0.25">
      <c r="A206" s="150">
        <f t="shared" si="81"/>
        <v>202</v>
      </c>
      <c r="B206" s="150">
        <f t="shared" si="82"/>
        <v>17</v>
      </c>
      <c r="C206" s="150">
        <f t="shared" si="83"/>
        <v>10</v>
      </c>
      <c r="D206" s="150">
        <f>IF(E206="","",Input!$C$4+B206-1)</f>
        <v>61</v>
      </c>
      <c r="E206" s="150">
        <f>IF(OR(AND(C205=12,D205=Input!$C$6),E205=""),"",1)</f>
        <v>1</v>
      </c>
      <c r="F206" s="150">
        <f>IF(E206="","",Input!$C$8+B206-1)</f>
        <v>2034</v>
      </c>
      <c r="G206" s="151">
        <f>IF(E206="","",MAX(0,Input!$C$9-B206))</f>
        <v>3</v>
      </c>
      <c r="H206" s="152">
        <f>IF(E206="","",Input!$C$3)</f>
        <v>100000</v>
      </c>
      <c r="I206" s="153">
        <f>IF(E206="","",HLOOKUP($B206,Input!$C$13:$BT$14,2))</f>
        <v>2.2999999999999998</v>
      </c>
      <c r="J206" s="154"/>
      <c r="K206" s="155">
        <f>IF($E206="","",Input!$C$57)</f>
        <v>4.4999999999999998E-2</v>
      </c>
      <c r="L206" s="155">
        <f t="shared" si="74"/>
        <v>3.6748094004368514E-3</v>
      </c>
      <c r="M206" s="147">
        <f>IF($E206="","",VLOOKUP(IF($B206&lt;=Input!$C$7,$B206,26),'Mortality Tables'!$A$72:$CA$97,IF($B206&lt;=Input!$C$7+1,Input!$C$4-16,$D206-Input!$C$7-16),0)/1000)</f>
        <v>5.0199999999999993E-3</v>
      </c>
      <c r="N206" s="147">
        <f t="shared" si="63"/>
        <v>4.1929894695580394E-4</v>
      </c>
      <c r="O206" s="157">
        <f>IF($E206="","",IF($C206=12,IF($B206&lt;Input!$C$9,Input!$C$54,IF($B206=Input!$C$9,Input!$C$55,Input!$C$56)),0%))</f>
        <v>0</v>
      </c>
      <c r="P206" s="167">
        <f>IF($E206="","",IF($B206=1,Input!$C$59,IF($B206&lt;6,Input!$C$60,0%)))</f>
        <v>0</v>
      </c>
      <c r="Q206" s="162">
        <f>IF($E206="","",Input!$C$58)</f>
        <v>2.5</v>
      </c>
      <c r="R206" s="156">
        <f t="shared" si="75"/>
        <v>0.9995807010530442</v>
      </c>
      <c r="S206" s="154">
        <f t="shared" si="64"/>
        <v>0.35897052576200017</v>
      </c>
      <c r="T206" s="152"/>
      <c r="U206" s="150">
        <f t="shared" si="76"/>
        <v>0</v>
      </c>
      <c r="V206" s="150">
        <f t="shared" si="77"/>
        <v>0</v>
      </c>
      <c r="W206" s="168">
        <f t="shared" si="78"/>
        <v>0</v>
      </c>
      <c r="X206" s="163">
        <f t="shared" si="65"/>
        <v>41.929894695580394</v>
      </c>
      <c r="Y206" s="152"/>
      <c r="Z206" s="164">
        <f>IF(AND($C205=12,$D205=Input!$C$6),0,IF($E206="","",V206+Z207/(1+L206)*R206))</f>
        <v>4416.1226254479598</v>
      </c>
      <c r="AA206" s="164">
        <f>IF(OR($M206=1,AND($C205=12,$D205=Input!$C$6)),0,IF($E206="","",W206+(X206+AA207*$R206)/(1+$L206)))</f>
        <v>3137.6856283699344</v>
      </c>
      <c r="AB206" s="160">
        <f t="shared" si="66"/>
        <v>0.825720328500681</v>
      </c>
      <c r="AC206" s="164">
        <f t="shared" si="67"/>
        <v>0</v>
      </c>
      <c r="AD206" s="164">
        <f>IF(AND($C205=12,$D205=Input!$C$6),0,IF($E206="","",$AC206+AD207/(1+$L206)*$R206))</f>
        <v>3646.4822249841777</v>
      </c>
      <c r="AE206" s="152"/>
      <c r="AF206" s="164">
        <f>IF(AND($C205=12,$D205=Input!$C$6),0,IF($E206="","",IF($B206&gt;Input!$C$9,$AC206,0)+AF207/(1+$L206)*$R206))</f>
        <v>3171.4027348534678</v>
      </c>
      <c r="AG206" s="164">
        <f>IF(AND($C205=12,$D205=Input!$C$6),0,IF($E206="","",(IF($B206&gt;Input!$C$9,$X206,0)+AG207)/(1+$L206)*$R206))</f>
        <v>1513.7861403220941</v>
      </c>
      <c r="AH206" s="160">
        <f t="shared" si="68"/>
        <v>2.0950137211446997</v>
      </c>
      <c r="AI206" s="160">
        <f>IF($E206="","",MIN(Input!$C$61/AH206,1))</f>
        <v>0.64438718771845094</v>
      </c>
      <c r="AJ206" s="152"/>
      <c r="AK206" s="164">
        <f>IF(AND($C205=12,$D205=Input!$C$6),0,IF($E206="","",IF($B206&gt;Input!$C$9,$AC206*AI206,0)+AK207/(1+$L206)*$R206))</f>
        <v>2043.6112894348319</v>
      </c>
      <c r="AL206" s="164">
        <f>IF(AND($C205=12,$D205=Input!$C$6),0,IF($E206="","",IF($B206&gt;Input!$C$9,0,$AC206)+AL207/(1+$L206)*$R206))</f>
        <v>475.0794901307101</v>
      </c>
      <c r="AM206" s="160">
        <f t="shared" si="69"/>
        <v>1.1382936520186004</v>
      </c>
      <c r="AN206" s="164">
        <f>IF($E206="","",IF($B206&gt;Input!$C$9,$AI206*$AC206,$AM206*$AC206))</f>
        <v>0</v>
      </c>
      <c r="AO206" s="164">
        <f>IF(AND($C205=12,$D205=Input!$C$6),0,IF($E206="","",$AN206+AO207/(1+$L206)*$R206))</f>
        <v>2584.3912572548525</v>
      </c>
      <c r="AP206" s="152"/>
      <c r="AQ206" s="164">
        <f t="shared" si="70"/>
        <v>553.29437111508196</v>
      </c>
      <c r="AR206" s="164">
        <f t="shared" si="79"/>
        <v>684.67190000809546</v>
      </c>
      <c r="AS206" s="164">
        <f t="shared" si="80"/>
        <v>240.19138755980859</v>
      </c>
      <c r="AT206" s="164">
        <f t="shared" si="71"/>
        <v>684.67190000809546</v>
      </c>
      <c r="AU206" s="152"/>
      <c r="AV206" s="147">
        <f>'Deterministic Reserve'!BC206</f>
        <v>0.49135051517162615</v>
      </c>
      <c r="AW206" s="164">
        <f t="shared" si="72"/>
        <v>684.67190000809546</v>
      </c>
      <c r="AX206" s="164">
        <f t="shared" si="73"/>
        <v>336.41389079251383</v>
      </c>
      <c r="AY206" s="152"/>
    </row>
    <row r="207" spans="1:51" s="150" customFormat="1" x14ac:dyDescent="0.25">
      <c r="A207" s="150">
        <f t="shared" si="81"/>
        <v>203</v>
      </c>
      <c r="B207" s="150">
        <f t="shared" si="82"/>
        <v>17</v>
      </c>
      <c r="C207" s="150">
        <f t="shared" si="83"/>
        <v>11</v>
      </c>
      <c r="D207" s="150">
        <f>IF(E207="","",Input!$C$4+B207-1)</f>
        <v>61</v>
      </c>
      <c r="E207" s="150">
        <f>IF(OR(AND(C206=12,D206=Input!$C$6),E206=""),"",1)</f>
        <v>1</v>
      </c>
      <c r="F207" s="150">
        <f>IF(E207="","",Input!$C$8+B207-1)</f>
        <v>2034</v>
      </c>
      <c r="G207" s="151">
        <f>IF(E207="","",MAX(0,Input!$C$9-B207))</f>
        <v>3</v>
      </c>
      <c r="H207" s="152">
        <f>IF(E207="","",Input!$C$3)</f>
        <v>100000</v>
      </c>
      <c r="I207" s="153">
        <f>IF(E207="","",HLOOKUP($B207,Input!$C$13:$BT$14,2))</f>
        <v>2.2999999999999998</v>
      </c>
      <c r="J207" s="154"/>
      <c r="K207" s="155">
        <f>IF($E207="","",Input!$C$57)</f>
        <v>4.4999999999999998E-2</v>
      </c>
      <c r="L207" s="155">
        <f t="shared" si="74"/>
        <v>3.6748094004368514E-3</v>
      </c>
      <c r="M207" s="147">
        <f>IF($E207="","",VLOOKUP(IF($B207&lt;=Input!$C$7,$B207,26),'Mortality Tables'!$A$72:$CA$97,IF($B207&lt;=Input!$C$7+1,Input!$C$4-16,$D207-Input!$C$7-16),0)/1000)</f>
        <v>5.0199999999999993E-3</v>
      </c>
      <c r="N207" s="147">
        <f t="shared" si="63"/>
        <v>4.1929894695580394E-4</v>
      </c>
      <c r="O207" s="157">
        <f>IF($E207="","",IF($C207=12,IF($B207&lt;Input!$C$9,Input!$C$54,IF($B207=Input!$C$9,Input!$C$55,Input!$C$56)),0%))</f>
        <v>0</v>
      </c>
      <c r="P207" s="167">
        <f>IF($E207="","",IF($B207=1,Input!$C$59,IF($B207&lt;6,Input!$C$60,0%)))</f>
        <v>0</v>
      </c>
      <c r="Q207" s="162">
        <f>IF($E207="","",Input!$C$58)</f>
        <v>2.5</v>
      </c>
      <c r="R207" s="156">
        <f t="shared" si="75"/>
        <v>0.9995807010530442</v>
      </c>
      <c r="S207" s="154">
        <f t="shared" si="64"/>
        <v>0.35882000979855999</v>
      </c>
      <c r="T207" s="152"/>
      <c r="U207" s="150">
        <f t="shared" si="76"/>
        <v>0</v>
      </c>
      <c r="V207" s="150">
        <f t="shared" si="77"/>
        <v>0</v>
      </c>
      <c r="W207" s="168">
        <f t="shared" si="78"/>
        <v>0</v>
      </c>
      <c r="X207" s="163">
        <f t="shared" si="65"/>
        <v>41.929894695580394</v>
      </c>
      <c r="Y207" s="152"/>
      <c r="Z207" s="164">
        <f>IF(AND($C206=12,$D206=Input!$C$6),0,IF($E207="","",V207+Z208/(1+L207)*R207))</f>
        <v>4434.2102940923314</v>
      </c>
      <c r="AA207" s="164">
        <f>IF(OR($M207=1,AND($C206=12,$D206=Input!$C$6)),0,IF($E207="","",W207+(X207+AA208*$R207)/(1+$L207)))</f>
        <v>3108.5895586455613</v>
      </c>
      <c r="AB207" s="160">
        <f t="shared" si="66"/>
        <v>0.825720328500681</v>
      </c>
      <c r="AC207" s="164">
        <f t="shared" si="67"/>
        <v>0</v>
      </c>
      <c r="AD207" s="164">
        <f>IF(AND($C206=12,$D206=Input!$C$6),0,IF($E207="","",$AC207+AD208/(1+$L207)*$R207))</f>
        <v>3661.4175806790195</v>
      </c>
      <c r="AE207" s="152"/>
      <c r="AF207" s="164">
        <f>IF(AND($C206=12,$D206=Input!$C$6),0,IF($E207="","",IF($B207&gt;Input!$C$9,$AC207,0)+AF208/(1+$L207)*$R207))</f>
        <v>3184.3922477522551</v>
      </c>
      <c r="AG207" s="164">
        <f>IF(AND($C206=12,$D206=Input!$C$6),0,IF($E207="","",(IF($B207&gt;Input!$C$9,$X207,0)+AG208)/(1+$L207)*$R207))</f>
        <v>1519.9863445344513</v>
      </c>
      <c r="AH207" s="160">
        <f t="shared" si="68"/>
        <v>2.0950137211446997</v>
      </c>
      <c r="AI207" s="160">
        <f>IF($E207="","",MIN(Input!$C$61/AH207,1))</f>
        <v>0.64438718771845094</v>
      </c>
      <c r="AJ207" s="152"/>
      <c r="AK207" s="164">
        <f>IF(AND($C206=12,$D206=Input!$C$6),0,IF($E207="","",IF($B207&gt;Input!$C$9,$AC207*AI207,0)+AK208/(1+$L207)*$R207))</f>
        <v>2051.981565121514</v>
      </c>
      <c r="AL207" s="164">
        <f>IF(AND($C206=12,$D206=Input!$C$6),0,IF($E207="","",IF($B207&gt;Input!$C$9,0,$AC207)+AL208/(1+$L207)*$R207))</f>
        <v>477.02533292676458</v>
      </c>
      <c r="AM207" s="160">
        <f t="shared" si="69"/>
        <v>1.1382936520186004</v>
      </c>
      <c r="AN207" s="164">
        <f>IF($E207="","",IF($B207&gt;Input!$C$9,$AI207*$AC207,$AM207*$AC207))</f>
        <v>0</v>
      </c>
      <c r="AO207" s="164">
        <f>IF(AND($C206=12,$D206=Input!$C$6),0,IF($E207="","",$AN207+AO208/(1+$L207)*$R207))</f>
        <v>2594.9764734441096</v>
      </c>
      <c r="AP207" s="152"/>
      <c r="AQ207" s="164">
        <f t="shared" si="70"/>
        <v>513.61308520145167</v>
      </c>
      <c r="AR207" s="164">
        <f t="shared" si="79"/>
        <v>684.67190000809546</v>
      </c>
      <c r="AS207" s="164">
        <f t="shared" si="80"/>
        <v>240.19138755980859</v>
      </c>
      <c r="AT207" s="164">
        <f t="shared" si="71"/>
        <v>684.67190000809546</v>
      </c>
      <c r="AU207" s="152"/>
      <c r="AV207" s="147">
        <f>'Deterministic Reserve'!BC207</f>
        <v>0.49121941762785543</v>
      </c>
      <c r="AW207" s="164">
        <f t="shared" si="72"/>
        <v>684.67190000809546</v>
      </c>
      <c r="AX207" s="164">
        <f t="shared" si="73"/>
        <v>336.3241319881339</v>
      </c>
      <c r="AY207" s="152"/>
    </row>
    <row r="208" spans="1:51" s="150" customFormat="1" x14ac:dyDescent="0.25">
      <c r="A208" s="150">
        <f t="shared" si="81"/>
        <v>204</v>
      </c>
      <c r="B208" s="150">
        <f t="shared" si="82"/>
        <v>17</v>
      </c>
      <c r="C208" s="150">
        <f t="shared" si="83"/>
        <v>12</v>
      </c>
      <c r="D208" s="150">
        <f>IF(E208="","",Input!$C$4+B208-1)</f>
        <v>61</v>
      </c>
      <c r="E208" s="150">
        <f>IF(OR(AND(C207=12,D207=Input!$C$6),E207=""),"",1)</f>
        <v>1</v>
      </c>
      <c r="F208" s="150">
        <f>IF(E208="","",Input!$C$8+B208-1)</f>
        <v>2034</v>
      </c>
      <c r="G208" s="151">
        <f>IF(E208="","",MAX(0,Input!$C$9-B208))</f>
        <v>3</v>
      </c>
      <c r="H208" s="152">
        <f>IF(E208="","",Input!$C$3)</f>
        <v>100000</v>
      </c>
      <c r="I208" s="153">
        <f>IF(E208="","",HLOOKUP($B208,Input!$C$13:$BT$14,2))</f>
        <v>2.2999999999999998</v>
      </c>
      <c r="J208" s="154"/>
      <c r="K208" s="155">
        <f>IF($E208="","",Input!$C$57)</f>
        <v>4.4999999999999998E-2</v>
      </c>
      <c r="L208" s="155">
        <f t="shared" si="74"/>
        <v>3.6748094004368514E-3</v>
      </c>
      <c r="M208" s="147">
        <f>IF($E208="","",VLOOKUP(IF($B208&lt;=Input!$C$7,$B208,26),'Mortality Tables'!$A$72:$CA$97,IF($B208&lt;=Input!$C$7+1,Input!$C$4-16,$D208-Input!$C$7-16),0)/1000)</f>
        <v>5.0199999999999993E-3</v>
      </c>
      <c r="N208" s="147">
        <f t="shared" si="63"/>
        <v>4.1929894695580394E-4</v>
      </c>
      <c r="O208" s="157">
        <f>IF($E208="","",IF($C208=12,IF($B208&lt;Input!$C$9,Input!$C$54,IF($B208=Input!$C$9,Input!$C$55,Input!$C$56)),0%))</f>
        <v>0.06</v>
      </c>
      <c r="P208" s="167">
        <f>IF($E208="","",IF($B208=1,Input!$C$59,IF($B208&lt;6,Input!$C$60,0%)))</f>
        <v>0</v>
      </c>
      <c r="Q208" s="162">
        <f>IF($E208="","",Input!$C$58)</f>
        <v>2.5</v>
      </c>
      <c r="R208" s="156">
        <f t="shared" si="75"/>
        <v>0.93958070105304414</v>
      </c>
      <c r="S208" s="154">
        <f t="shared" si="64"/>
        <v>0.33714035635839118</v>
      </c>
      <c r="T208" s="152"/>
      <c r="U208" s="150">
        <f t="shared" si="76"/>
        <v>0</v>
      </c>
      <c r="V208" s="150">
        <f t="shared" si="77"/>
        <v>0</v>
      </c>
      <c r="W208" s="168">
        <f t="shared" si="78"/>
        <v>0</v>
      </c>
      <c r="X208" s="163">
        <f t="shared" si="65"/>
        <v>41.929894695580394</v>
      </c>
      <c r="Y208" s="152"/>
      <c r="Z208" s="164">
        <f>IF(AND($C207=12,$D207=Input!$C$6),0,IF($E208="","",V208+Z209/(1+L208)*R208))</f>
        <v>4452.372046675202</v>
      </c>
      <c r="AA208" s="164">
        <f>IF(OR($M208=1,AND($C207=12,$D207=Input!$C$6)),0,IF($E208="","",W208+(X208+AA209*$R208)/(1+$L208)))</f>
        <v>3079.3743164903785</v>
      </c>
      <c r="AB208" s="160">
        <f t="shared" si="66"/>
        <v>0.825720328500681</v>
      </c>
      <c r="AC208" s="164">
        <f t="shared" si="67"/>
        <v>0</v>
      </c>
      <c r="AD208" s="164">
        <f>IF(AND($C207=12,$D207=Input!$C$6),0,IF($E208="","",$AC208+AD209/(1+$L208)*$R208))</f>
        <v>3676.4141089878958</v>
      </c>
      <c r="AE208" s="152"/>
      <c r="AF208" s="164">
        <f>IF(AND($C207=12,$D207=Input!$C$6),0,IF($E208="","",IF($B208&gt;Input!$C$9,$AC208,0)+AF209/(1+$L208)*$R208))</f>
        <v>3197.4349634321002</v>
      </c>
      <c r="AG208" s="164">
        <f>IF(AND($C207=12,$D207=Input!$C$6),0,IF($E208="","",(IF($B208&gt;Input!$C$9,$X208,0)+AG209)/(1+$L208)*$R208))</f>
        <v>1526.2119437027079</v>
      </c>
      <c r="AH208" s="160">
        <f t="shared" si="68"/>
        <v>2.0950137211446997</v>
      </c>
      <c r="AI208" s="160">
        <f>IF($E208="","",MIN(Input!$C$61/AH208,1))</f>
        <v>0.64438718771845094</v>
      </c>
      <c r="AJ208" s="152"/>
      <c r="AK208" s="164">
        <f>IF(AND($C207=12,$D207=Input!$C$6),0,IF($E208="","",IF($B208&gt;Input!$C$9,$AC208*AI208,0)+AK209/(1+$L208)*$R208))</f>
        <v>2060.3861239986604</v>
      </c>
      <c r="AL208" s="164">
        <f>IF(AND($C207=12,$D207=Input!$C$6),0,IF($E208="","",IF($B208&gt;Input!$C$9,0,$AC208)+AL209/(1+$L208)*$R208))</f>
        <v>478.9791455557957</v>
      </c>
      <c r="AM208" s="160">
        <f t="shared" si="69"/>
        <v>1.1382936520186004</v>
      </c>
      <c r="AN208" s="164">
        <f>IF($E208="","",IF($B208&gt;Input!$C$9,$AI208*$AC208,$AM208*$AC208))</f>
        <v>0</v>
      </c>
      <c r="AO208" s="164">
        <f>IF(AND($C207=12,$D207=Input!$C$6),0,IF($E208="","",$AN208+AO209/(1+$L208)*$R208))</f>
        <v>2605.6050448341161</v>
      </c>
      <c r="AP208" s="152"/>
      <c r="AQ208" s="164">
        <f t="shared" si="70"/>
        <v>473.76927165626239</v>
      </c>
      <c r="AR208" s="164">
        <f t="shared" si="79"/>
        <v>684.67190000809546</v>
      </c>
      <c r="AS208" s="164">
        <f t="shared" si="80"/>
        <v>240.19138755980859</v>
      </c>
      <c r="AT208" s="164">
        <f t="shared" si="71"/>
        <v>684.67190000809546</v>
      </c>
      <c r="AU208" s="152"/>
      <c r="AV208" s="147">
        <f>'Deterministic Reserve'!BC208</f>
        <v>0.48126396670974669</v>
      </c>
      <c r="AW208" s="164">
        <f t="shared" si="72"/>
        <v>684.67190000809546</v>
      </c>
      <c r="AX208" s="164">
        <f t="shared" si="73"/>
        <v>329.50791449259509</v>
      </c>
      <c r="AY208" s="152"/>
    </row>
    <row r="209" spans="1:51" s="150" customFormat="1" x14ac:dyDescent="0.25">
      <c r="A209" s="150">
        <f t="shared" si="81"/>
        <v>205</v>
      </c>
      <c r="B209" s="150">
        <f t="shared" si="82"/>
        <v>18</v>
      </c>
      <c r="C209" s="150">
        <f t="shared" si="83"/>
        <v>1</v>
      </c>
      <c r="D209" s="150">
        <f>IF(E209="","",Input!$C$4+B209-1)</f>
        <v>62</v>
      </c>
      <c r="E209" s="150">
        <f>IF(OR(AND(C208=12,D208=Input!$C$6),E208=""),"",1)</f>
        <v>1</v>
      </c>
      <c r="F209" s="150">
        <f>IF(E209="","",Input!$C$8+B209-1)</f>
        <v>2035</v>
      </c>
      <c r="G209" s="151">
        <f>IF(E209="","",MAX(0,Input!$C$9-B209))</f>
        <v>2</v>
      </c>
      <c r="H209" s="152">
        <f>IF(E209="","",Input!$C$3)</f>
        <v>100000</v>
      </c>
      <c r="I209" s="153">
        <f>IF(E209="","",HLOOKUP($B209,Input!$C$13:$BT$14,2))</f>
        <v>2.2999999999999998</v>
      </c>
      <c r="J209" s="154"/>
      <c r="K209" s="155">
        <f>IF($E209="","",Input!$C$57)</f>
        <v>4.4999999999999998E-2</v>
      </c>
      <c r="L209" s="155">
        <f t="shared" si="74"/>
        <v>3.6748094004368514E-3</v>
      </c>
      <c r="M209" s="147">
        <f>IF($E209="","",VLOOKUP(IF($B209&lt;=Input!$C$7,$B209,26),'Mortality Tables'!$A$72:$CA$97,IF($B209&lt;=Input!$C$7+1,Input!$C$4-16,$D209-Input!$C$7-16),0)/1000)</f>
        <v>5.6100000000000004E-3</v>
      </c>
      <c r="N209" s="147">
        <f t="shared" si="63"/>
        <v>4.6870638545792875E-4</v>
      </c>
      <c r="O209" s="157">
        <f>IF($E209="","",IF($C209=12,IF($B209&lt;Input!$C$9,Input!$C$54,IF($B209=Input!$C$9,Input!$C$55,Input!$C$56)),0%))</f>
        <v>0</v>
      </c>
      <c r="P209" s="167">
        <f>IF($E209="","",IF($B209=1,Input!$C$59,IF($B209&lt;6,Input!$C$60,0%)))</f>
        <v>0</v>
      </c>
      <c r="Q209" s="162">
        <f>IF($E209="","",Input!$C$58)</f>
        <v>2.5</v>
      </c>
      <c r="R209" s="156">
        <f t="shared" si="75"/>
        <v>0.99953129361454207</v>
      </c>
      <c r="S209" s="154">
        <f t="shared" si="64"/>
        <v>0.33698233652057041</v>
      </c>
      <c r="T209" s="152"/>
      <c r="U209" s="150">
        <f t="shared" si="76"/>
        <v>229.99999999999997</v>
      </c>
      <c r="V209" s="150">
        <f t="shared" si="77"/>
        <v>229.99999999999997</v>
      </c>
      <c r="W209" s="168">
        <f t="shared" si="78"/>
        <v>0</v>
      </c>
      <c r="X209" s="163">
        <f t="shared" si="65"/>
        <v>46.870638545792872</v>
      </c>
      <c r="Y209" s="152"/>
      <c r="Z209" s="164">
        <f>IF(AND($C208=12,$D208=Input!$C$6),0,IF($E209="","",V209+Z210/(1+L209)*R209))</f>
        <v>4756.0935003434934</v>
      </c>
      <c r="AA209" s="164">
        <f>IF(OR($M209=1,AND($C208=12,$D208=Input!$C$6)),0,IF($E209="","",W209+(X209+AA210*$R209)/(1+$L209)))</f>
        <v>3244.8096603767754</v>
      </c>
      <c r="AB209" s="160">
        <f t="shared" si="66"/>
        <v>0.825720328500681</v>
      </c>
      <c r="AC209" s="164">
        <f t="shared" si="67"/>
        <v>189.91567555515661</v>
      </c>
      <c r="AD209" s="164">
        <f>IF(AND($C208=12,$D208=Input!$C$6),0,IF($E209="","",$AC209+AD210/(1+$L209)*$R209))</f>
        <v>3927.2030874835818</v>
      </c>
      <c r="AE209" s="152"/>
      <c r="AF209" s="164">
        <f>IF(AND($C208=12,$D208=Input!$C$6),0,IF($E209="","",IF($B209&gt;Input!$C$9,$AC209,0)+AF210/(1+$L209)*$R209))</f>
        <v>3415.5500681274966</v>
      </c>
      <c r="AG209" s="164">
        <f>IF(AND($C208=12,$D208=Input!$C$6),0,IF($E209="","",(IF($B209&gt;Input!$C$9,$X209,0)+AG210)/(1+$L209)*$R209))</f>
        <v>1630.3234836386944</v>
      </c>
      <c r="AH209" s="160">
        <f t="shared" si="68"/>
        <v>2.0950137211446997</v>
      </c>
      <c r="AI209" s="160">
        <f>IF($E209="","",MIN(Input!$C$61/AH209,1))</f>
        <v>0.64438718771845094</v>
      </c>
      <c r="AJ209" s="152"/>
      <c r="AK209" s="164">
        <f>IF(AND($C208=12,$D208=Input!$C$6),0,IF($E209="","",IF($B209&gt;Input!$C$9,$AC209*AI209,0)+AK210/(1+$L209)*$R209))</f>
        <v>2200.9367029122423</v>
      </c>
      <c r="AL209" s="164">
        <f>IF(AND($C208=12,$D208=Input!$C$6),0,IF($E209="","",IF($B209&gt;Input!$C$9,0,$AC209)+AL210/(1+$L209)*$R209))</f>
        <v>511.65301935608528</v>
      </c>
      <c r="AM209" s="160">
        <f t="shared" si="69"/>
        <v>1.1382936520186004</v>
      </c>
      <c r="AN209" s="164">
        <f>IF($E209="","",IF($B209&gt;Input!$C$9,$AI209*$AC209,$AM209*$AC209))</f>
        <v>216.17980790325885</v>
      </c>
      <c r="AO209" s="164">
        <f>IF(AND($C208=12,$D208=Input!$C$6),0,IF($E209="","",$AN209+AO210/(1+$L209)*$R209))</f>
        <v>2783.3480868814245</v>
      </c>
      <c r="AP209" s="152"/>
      <c r="AQ209" s="164">
        <f t="shared" si="70"/>
        <v>461.46157349535088</v>
      </c>
      <c r="AR209" s="164">
        <f t="shared" si="79"/>
        <v>436.24753132031361</v>
      </c>
      <c r="AS209" s="164">
        <f t="shared" si="80"/>
        <v>268.42105263157896</v>
      </c>
      <c r="AT209" s="164">
        <f t="shared" si="71"/>
        <v>436.24753132031361</v>
      </c>
      <c r="AU209" s="152"/>
      <c r="AV209" s="147">
        <f>'Deterministic Reserve'!BC209</f>
        <v>0.48112113039815479</v>
      </c>
      <c r="AW209" s="164">
        <f t="shared" si="72"/>
        <v>436.24753132031361</v>
      </c>
      <c r="AX209" s="164">
        <f t="shared" si="73"/>
        <v>209.88790540223371</v>
      </c>
      <c r="AY209" s="152"/>
    </row>
    <row r="210" spans="1:51" s="150" customFormat="1" x14ac:dyDescent="0.25">
      <c r="A210" s="150">
        <f t="shared" si="81"/>
        <v>206</v>
      </c>
      <c r="B210" s="150">
        <f t="shared" si="82"/>
        <v>18</v>
      </c>
      <c r="C210" s="150">
        <f t="shared" si="83"/>
        <v>2</v>
      </c>
      <c r="D210" s="150">
        <f>IF(E210="","",Input!$C$4+B210-1)</f>
        <v>62</v>
      </c>
      <c r="E210" s="150">
        <f>IF(OR(AND(C209=12,D209=Input!$C$6),E209=""),"",1)</f>
        <v>1</v>
      </c>
      <c r="F210" s="150">
        <f>IF(E210="","",Input!$C$8+B210-1)</f>
        <v>2035</v>
      </c>
      <c r="G210" s="151">
        <f>IF(E210="","",MAX(0,Input!$C$9-B210))</f>
        <v>2</v>
      </c>
      <c r="H210" s="152">
        <f>IF(E210="","",Input!$C$3)</f>
        <v>100000</v>
      </c>
      <c r="I210" s="153">
        <f>IF(E210="","",HLOOKUP($B210,Input!$C$13:$BT$14,2))</f>
        <v>2.2999999999999998</v>
      </c>
      <c r="J210" s="154"/>
      <c r="K210" s="155">
        <f>IF($E210="","",Input!$C$57)</f>
        <v>4.4999999999999998E-2</v>
      </c>
      <c r="L210" s="155">
        <f t="shared" si="74"/>
        <v>3.6748094004368514E-3</v>
      </c>
      <c r="M210" s="147">
        <f>IF($E210="","",VLOOKUP(IF($B210&lt;=Input!$C$7,$B210,26),'Mortality Tables'!$A$72:$CA$97,IF($B210&lt;=Input!$C$7+1,Input!$C$4-16,$D210-Input!$C$7-16),0)/1000)</f>
        <v>5.6100000000000004E-3</v>
      </c>
      <c r="N210" s="147">
        <f t="shared" si="63"/>
        <v>4.6870638545792875E-4</v>
      </c>
      <c r="O210" s="157">
        <f>IF($E210="","",IF($C210=12,IF($B210&lt;Input!$C$9,Input!$C$54,IF($B210=Input!$C$9,Input!$C$55,Input!$C$56)),0%))</f>
        <v>0</v>
      </c>
      <c r="P210" s="167">
        <f>IF($E210="","",IF($B210=1,Input!$C$59,IF($B210&lt;6,Input!$C$60,0%)))</f>
        <v>0</v>
      </c>
      <c r="Q210" s="162">
        <f>IF($E210="","",Input!$C$58)</f>
        <v>2.5</v>
      </c>
      <c r="R210" s="156">
        <f t="shared" si="75"/>
        <v>0.99953129361454207</v>
      </c>
      <c r="S210" s="154">
        <f t="shared" si="64"/>
        <v>0.33682439074765669</v>
      </c>
      <c r="T210" s="152"/>
      <c r="U210" s="150">
        <f t="shared" si="76"/>
        <v>0</v>
      </c>
      <c r="V210" s="150">
        <f t="shared" si="77"/>
        <v>0</v>
      </c>
      <c r="W210" s="168">
        <f t="shared" si="78"/>
        <v>0</v>
      </c>
      <c r="X210" s="163">
        <f t="shared" si="65"/>
        <v>46.870638545792872</v>
      </c>
      <c r="Y210" s="152"/>
      <c r="Z210" s="164">
        <f>IF(AND($C209=12,$D209=Input!$C$6),0,IF($E210="","",V210+Z211/(1+L210)*R210))</f>
        <v>4544.8562344238744</v>
      </c>
      <c r="AA210" s="164">
        <f>IF(OR($M210=1,AND($C209=12,$D209=Input!$C$6)),0,IF($E210="","",W210+(X210+AA211*$R210)/(1+$L210)))</f>
        <v>3211.3682676866852</v>
      </c>
      <c r="AB210" s="160">
        <f t="shared" si="66"/>
        <v>0.825720328500681</v>
      </c>
      <c r="AC210" s="164">
        <f t="shared" si="67"/>
        <v>0</v>
      </c>
      <c r="AD210" s="164">
        <f>IF(AND($C209=12,$D209=Input!$C$6),0,IF($E210="","",$AC210+AD211/(1+$L210)*$R210))</f>
        <v>3752.7801828768484</v>
      </c>
      <c r="AE210" s="152"/>
      <c r="AF210" s="164">
        <f>IF(AND($C209=12,$D209=Input!$C$6),0,IF($E210="","",IF($B210&gt;Input!$C$9,$AC210,0)+AF211/(1+$L210)*$R210))</f>
        <v>3429.7090901763427</v>
      </c>
      <c r="AG210" s="164">
        <f>IF(AND($C209=12,$D209=Input!$C$6),0,IF($E210="","",(IF($B210&gt;Input!$C$9,$X210,0)+AG211)/(1+$L210)*$R210))</f>
        <v>1637.081922452694</v>
      </c>
      <c r="AH210" s="160">
        <f t="shared" si="68"/>
        <v>2.0950137211446997</v>
      </c>
      <c r="AI210" s="160">
        <f>IF($E210="","",MIN(Input!$C$61/AH210,1))</f>
        <v>0.64438718771845094</v>
      </c>
      <c r="AJ210" s="152"/>
      <c r="AK210" s="164">
        <f>IF(AND($C209=12,$D209=Input!$C$6),0,IF($E210="","",IF($B210&gt;Input!$C$9,$AC210*AI210,0)+AK211/(1+$L210)*$R210))</f>
        <v>2210.0605953111417</v>
      </c>
      <c r="AL210" s="164">
        <f>IF(AND($C209=12,$D209=Input!$C$6),0,IF($E210="","",IF($B210&gt;Input!$C$9,0,$AC210)+AL211/(1+$L210)*$R210))</f>
        <v>323.07109270050552</v>
      </c>
      <c r="AM210" s="160">
        <f t="shared" si="69"/>
        <v>1.1382936520186004</v>
      </c>
      <c r="AN210" s="164">
        <f>IF($E210="","",IF($B210&gt;Input!$C$9,$AI210*$AC210,$AM210*$AC210))</f>
        <v>0</v>
      </c>
      <c r="AO210" s="164">
        <f>IF(AND($C209=12,$D209=Input!$C$6),0,IF($E210="","",$AN210+AO211/(1+$L210)*$R210))</f>
        <v>2577.8103692828408</v>
      </c>
      <c r="AP210" s="152"/>
      <c r="AQ210" s="164">
        <f t="shared" si="70"/>
        <v>633.55789840384432</v>
      </c>
      <c r="AR210" s="164">
        <f t="shared" si="79"/>
        <v>436.24753132031361</v>
      </c>
      <c r="AS210" s="164">
        <f t="shared" si="80"/>
        <v>268.42105263157896</v>
      </c>
      <c r="AT210" s="164">
        <f t="shared" si="71"/>
        <v>436.24753132031361</v>
      </c>
      <c r="AU210" s="152"/>
      <c r="AV210" s="147">
        <f>'Deterministic Reserve'!BC210</f>
        <v>0.48097833647953914</v>
      </c>
      <c r="AW210" s="164">
        <f t="shared" si="72"/>
        <v>436.24753132031361</v>
      </c>
      <c r="AX210" s="164">
        <f t="shared" si="73"/>
        <v>209.8256119077501</v>
      </c>
      <c r="AY210" s="152"/>
    </row>
    <row r="211" spans="1:51" s="150" customFormat="1" x14ac:dyDescent="0.25">
      <c r="A211" s="150">
        <f t="shared" si="81"/>
        <v>207</v>
      </c>
      <c r="B211" s="150">
        <f t="shared" si="82"/>
        <v>18</v>
      </c>
      <c r="C211" s="150">
        <f t="shared" si="83"/>
        <v>3</v>
      </c>
      <c r="D211" s="150">
        <f>IF(E211="","",Input!$C$4+B211-1)</f>
        <v>62</v>
      </c>
      <c r="E211" s="150">
        <f>IF(OR(AND(C210=12,D210=Input!$C$6),E210=""),"",1)</f>
        <v>1</v>
      </c>
      <c r="F211" s="150">
        <f>IF(E211="","",Input!$C$8+B211-1)</f>
        <v>2035</v>
      </c>
      <c r="G211" s="151">
        <f>IF(E211="","",MAX(0,Input!$C$9-B211))</f>
        <v>2</v>
      </c>
      <c r="H211" s="152">
        <f>IF(E211="","",Input!$C$3)</f>
        <v>100000</v>
      </c>
      <c r="I211" s="153">
        <f>IF(E211="","",HLOOKUP($B211,Input!$C$13:$BT$14,2))</f>
        <v>2.2999999999999998</v>
      </c>
      <c r="J211" s="154"/>
      <c r="K211" s="155">
        <f>IF($E211="","",Input!$C$57)</f>
        <v>4.4999999999999998E-2</v>
      </c>
      <c r="L211" s="155">
        <f t="shared" si="74"/>
        <v>3.6748094004368514E-3</v>
      </c>
      <c r="M211" s="147">
        <f>IF($E211="","",VLOOKUP(IF($B211&lt;=Input!$C$7,$B211,26),'Mortality Tables'!$A$72:$CA$97,IF($B211&lt;=Input!$C$7+1,Input!$C$4-16,$D211-Input!$C$7-16),0)/1000)</f>
        <v>5.6100000000000004E-3</v>
      </c>
      <c r="N211" s="147">
        <f t="shared" si="63"/>
        <v>4.6870638545792875E-4</v>
      </c>
      <c r="O211" s="157">
        <f>IF($E211="","",IF($C211=12,IF($B211&lt;Input!$C$9,Input!$C$54,IF($B211=Input!$C$9,Input!$C$55,Input!$C$56)),0%))</f>
        <v>0</v>
      </c>
      <c r="P211" s="167">
        <f>IF($E211="","",IF($B211=1,Input!$C$59,IF($B211&lt;6,Input!$C$60,0%)))</f>
        <v>0</v>
      </c>
      <c r="Q211" s="162">
        <f>IF($E211="","",Input!$C$58)</f>
        <v>2.5</v>
      </c>
      <c r="R211" s="156">
        <f t="shared" si="75"/>
        <v>0.99953129361454207</v>
      </c>
      <c r="S211" s="154">
        <f t="shared" si="64"/>
        <v>0.33666651900493527</v>
      </c>
      <c r="T211" s="152"/>
      <c r="U211" s="150">
        <f t="shared" si="76"/>
        <v>0</v>
      </c>
      <c r="V211" s="150">
        <f t="shared" si="77"/>
        <v>0</v>
      </c>
      <c r="W211" s="168">
        <f t="shared" si="78"/>
        <v>0</v>
      </c>
      <c r="X211" s="163">
        <f t="shared" si="65"/>
        <v>46.870638545792872</v>
      </c>
      <c r="Y211" s="152"/>
      <c r="Z211" s="164">
        <f>IF(AND($C210=12,$D210=Input!$C$6),0,IF($E211="","",V211+Z212/(1+L211)*R211))</f>
        <v>4563.6967486451522</v>
      </c>
      <c r="AA211" s="164">
        <f>IF(OR($M211=1,AND($C210=12,$D210=Input!$C$6)),0,IF($E211="","",W211+(X211+AA212*$R211)/(1+$L211)))</f>
        <v>3177.7882450813545</v>
      </c>
      <c r="AB211" s="160">
        <f t="shared" si="66"/>
        <v>0.825720328500681</v>
      </c>
      <c r="AC211" s="164">
        <f t="shared" si="67"/>
        <v>0</v>
      </c>
      <c r="AD211" s="164">
        <f>IF(AND($C210=12,$D210=Input!$C$6),0,IF($E211="","",$AC211+AD212/(1+$L211)*$R211))</f>
        <v>3768.3371784687638</v>
      </c>
      <c r="AE211" s="152"/>
      <c r="AF211" s="164">
        <f>IF(AND($C210=12,$D210=Input!$C$6),0,IF($E211="","",IF($B211&gt;Input!$C$9,$AC211,0)+AF212/(1+$L211)*$R211))</f>
        <v>3443.9268078675836</v>
      </c>
      <c r="AG211" s="164">
        <f>IF(AND($C210=12,$D210=Input!$C$6),0,IF($E211="","",(IF($B211&gt;Input!$C$9,$X211,0)+AG212)/(1+$L211)*$R211))</f>
        <v>1643.8683780962745</v>
      </c>
      <c r="AH211" s="160">
        <f t="shared" si="68"/>
        <v>2.0950137211446997</v>
      </c>
      <c r="AI211" s="160">
        <f>IF($E211="","",MIN(Input!$C$61/AH211,1))</f>
        <v>0.64438718771845094</v>
      </c>
      <c r="AJ211" s="152"/>
      <c r="AK211" s="164">
        <f>IF(AND($C210=12,$D210=Input!$C$6),0,IF($E211="","",IF($B211&gt;Input!$C$9,$AC211*AI211,0)+AK212/(1+$L211)*$R211))</f>
        <v>2219.2223104299756</v>
      </c>
      <c r="AL211" s="164">
        <f>IF(AND($C210=12,$D210=Input!$C$6),0,IF($E211="","",IF($B211&gt;Input!$C$9,0,$AC211)+AL212/(1+$L211)*$R211))</f>
        <v>324.41037060118032</v>
      </c>
      <c r="AM211" s="160">
        <f t="shared" si="69"/>
        <v>1.1382936520186004</v>
      </c>
      <c r="AN211" s="164">
        <f>IF($E211="","",IF($B211&gt;Input!$C$9,$AI211*$AC211,$AM211*$AC211))</f>
        <v>0</v>
      </c>
      <c r="AO211" s="164">
        <f>IF(AND($C210=12,$D210=Input!$C$6),0,IF($E211="","",$AN211+AO212/(1+$L211)*$R211))</f>
        <v>2588.4965759343013</v>
      </c>
      <c r="AP211" s="152"/>
      <c r="AQ211" s="164">
        <f t="shared" si="70"/>
        <v>589.2916691470532</v>
      </c>
      <c r="AR211" s="164">
        <f t="shared" si="79"/>
        <v>436.24753132031361</v>
      </c>
      <c r="AS211" s="164">
        <f t="shared" si="80"/>
        <v>268.42105263157896</v>
      </c>
      <c r="AT211" s="164">
        <f t="shared" si="71"/>
        <v>436.24753132031361</v>
      </c>
      <c r="AU211" s="152"/>
      <c r="AV211" s="147">
        <f>'Deterministic Reserve'!BC211</f>
        <v>0.48083558494131773</v>
      </c>
      <c r="AW211" s="164">
        <f t="shared" si="72"/>
        <v>436.24753132031361</v>
      </c>
      <c r="AX211" s="164">
        <f t="shared" si="73"/>
        <v>209.76333690160882</v>
      </c>
      <c r="AY211" s="152"/>
    </row>
    <row r="212" spans="1:51" s="150" customFormat="1" x14ac:dyDescent="0.25">
      <c r="A212" s="150">
        <f t="shared" si="81"/>
        <v>208</v>
      </c>
      <c r="B212" s="150">
        <f t="shared" si="82"/>
        <v>18</v>
      </c>
      <c r="C212" s="150">
        <f t="shared" si="83"/>
        <v>4</v>
      </c>
      <c r="D212" s="150">
        <f>IF(E212="","",Input!$C$4+B212-1)</f>
        <v>62</v>
      </c>
      <c r="E212" s="150">
        <f>IF(OR(AND(C211=12,D211=Input!$C$6),E211=""),"",1)</f>
        <v>1</v>
      </c>
      <c r="F212" s="150">
        <f>IF(E212="","",Input!$C$8+B212-1)</f>
        <v>2035</v>
      </c>
      <c r="G212" s="151">
        <f>IF(E212="","",MAX(0,Input!$C$9-B212))</f>
        <v>2</v>
      </c>
      <c r="H212" s="152">
        <f>IF(E212="","",Input!$C$3)</f>
        <v>100000</v>
      </c>
      <c r="I212" s="153">
        <f>IF(E212="","",HLOOKUP($B212,Input!$C$13:$BT$14,2))</f>
        <v>2.2999999999999998</v>
      </c>
      <c r="J212" s="154"/>
      <c r="K212" s="155">
        <f>IF($E212="","",Input!$C$57)</f>
        <v>4.4999999999999998E-2</v>
      </c>
      <c r="L212" s="155">
        <f t="shared" si="74"/>
        <v>3.6748094004368514E-3</v>
      </c>
      <c r="M212" s="147">
        <f>IF($E212="","",VLOOKUP(IF($B212&lt;=Input!$C$7,$B212,26),'Mortality Tables'!$A$72:$CA$97,IF($B212&lt;=Input!$C$7+1,Input!$C$4-16,$D212-Input!$C$7-16),0)/1000)</f>
        <v>5.6100000000000004E-3</v>
      </c>
      <c r="N212" s="147">
        <f t="shared" si="63"/>
        <v>4.6870638545792875E-4</v>
      </c>
      <c r="O212" s="157">
        <f>IF($E212="","",IF($C212=12,IF($B212&lt;Input!$C$9,Input!$C$54,IF($B212=Input!$C$9,Input!$C$55,Input!$C$56)),0%))</f>
        <v>0</v>
      </c>
      <c r="P212" s="167">
        <f>IF($E212="","",IF($B212=1,Input!$C$59,IF($B212&lt;6,Input!$C$60,0%)))</f>
        <v>0</v>
      </c>
      <c r="Q212" s="162">
        <f>IF($E212="","",Input!$C$58)</f>
        <v>2.5</v>
      </c>
      <c r="R212" s="156">
        <f t="shared" si="75"/>
        <v>0.99953129361454207</v>
      </c>
      <c r="S212" s="154">
        <f t="shared" si="64"/>
        <v>0.33650872125770775</v>
      </c>
      <c r="T212" s="152"/>
      <c r="U212" s="150">
        <f t="shared" si="76"/>
        <v>0</v>
      </c>
      <c r="V212" s="150">
        <f t="shared" si="77"/>
        <v>0</v>
      </c>
      <c r="W212" s="168">
        <f t="shared" si="78"/>
        <v>0</v>
      </c>
      <c r="X212" s="163">
        <f t="shared" si="65"/>
        <v>46.870638545792872</v>
      </c>
      <c r="Y212" s="152"/>
      <c r="Z212" s="164">
        <f>IF(AND($C211=12,$D211=Input!$C$6),0,IF($E212="","",V212+Z213/(1+L212)*R212))</f>
        <v>4582.6153654416967</v>
      </c>
      <c r="AA212" s="164">
        <f>IF(OR($M212=1,AND($C211=12,$D211=Input!$C$6)),0,IF($E212="","",W212+(X212+AA213*$R212)/(1+$L212)))</f>
        <v>3144.0690178761829</v>
      </c>
      <c r="AB212" s="160">
        <f t="shared" si="66"/>
        <v>0.825720328500681</v>
      </c>
      <c r="AC212" s="164">
        <f t="shared" si="67"/>
        <v>0</v>
      </c>
      <c r="AD212" s="164">
        <f>IF(AND($C211=12,$D211=Input!$C$6),0,IF($E212="","",$AC212+AD213/(1+$L212)*$R212))</f>
        <v>3783.9586649447847</v>
      </c>
      <c r="AE212" s="152"/>
      <c r="AF212" s="164">
        <f>IF(AND($C211=12,$D211=Input!$C$6),0,IF($E212="","",IF($B212&gt;Input!$C$9,$AC212,0)+AF213/(1+$L212)*$R212))</f>
        <v>3458.2034645215858</v>
      </c>
      <c r="AG212" s="164">
        <f>IF(AND($C211=12,$D211=Input!$C$6),0,IF($E212="","",(IF($B212&gt;Input!$C$9,$X212,0)+AG213)/(1+$L212)*$R212))</f>
        <v>1650.6829667120483</v>
      </c>
      <c r="AH212" s="160">
        <f t="shared" si="68"/>
        <v>2.0950137211446997</v>
      </c>
      <c r="AI212" s="160">
        <f>IF($E212="","",MIN(Input!$C$61/AH212,1))</f>
        <v>0.64438718771845094</v>
      </c>
      <c r="AJ212" s="152"/>
      <c r="AK212" s="164">
        <f>IF(AND($C211=12,$D211=Input!$C$6),0,IF($E212="","",IF($B212&gt;Input!$C$9,$AC212*AI212,0)+AK213/(1+$L212)*$R212))</f>
        <v>2228.4220050612698</v>
      </c>
      <c r="AL212" s="164">
        <f>IF(AND($C211=12,$D211=Input!$C$6),0,IF($E212="","",IF($B212&gt;Input!$C$9,0,$AC212)+AL213/(1+$L212)*$R212))</f>
        <v>325.75520042319926</v>
      </c>
      <c r="AM212" s="160">
        <f t="shared" si="69"/>
        <v>1.1382936520186004</v>
      </c>
      <c r="AN212" s="164">
        <f>IF($E212="","",IF($B212&gt;Input!$C$9,$AI212*$AC212,$AM212*$AC212))</f>
        <v>0</v>
      </c>
      <c r="AO212" s="164">
        <f>IF(AND($C211=12,$D211=Input!$C$6),0,IF($E212="","",$AN212+AO213/(1+$L212)*$R212))</f>
        <v>2599.227081815045</v>
      </c>
      <c r="AP212" s="152"/>
      <c r="AQ212" s="164">
        <f t="shared" si="70"/>
        <v>544.84193606113786</v>
      </c>
      <c r="AR212" s="164">
        <f t="shared" si="79"/>
        <v>436.24753132031361</v>
      </c>
      <c r="AS212" s="164">
        <f t="shared" si="80"/>
        <v>268.42105263157896</v>
      </c>
      <c r="AT212" s="164">
        <f t="shared" si="71"/>
        <v>436.24753132031361</v>
      </c>
      <c r="AU212" s="152"/>
      <c r="AV212" s="147">
        <f>'Deterministic Reserve'!BC212</f>
        <v>0.48069287577091235</v>
      </c>
      <c r="AW212" s="164">
        <f t="shared" si="72"/>
        <v>436.24753132031361</v>
      </c>
      <c r="AX212" s="164">
        <f t="shared" si="73"/>
        <v>209.7010803783227</v>
      </c>
      <c r="AY212" s="152"/>
    </row>
    <row r="213" spans="1:51" s="150" customFormat="1" x14ac:dyDescent="0.25">
      <c r="A213" s="150">
        <f t="shared" si="81"/>
        <v>209</v>
      </c>
      <c r="B213" s="150">
        <f t="shared" si="82"/>
        <v>18</v>
      </c>
      <c r="C213" s="150">
        <f t="shared" si="83"/>
        <v>5</v>
      </c>
      <c r="D213" s="150">
        <f>IF(E213="","",Input!$C$4+B213-1)</f>
        <v>62</v>
      </c>
      <c r="E213" s="150">
        <f>IF(OR(AND(C212=12,D212=Input!$C$6),E212=""),"",1)</f>
        <v>1</v>
      </c>
      <c r="F213" s="150">
        <f>IF(E213="","",Input!$C$8+B213-1)</f>
        <v>2035</v>
      </c>
      <c r="G213" s="151">
        <f>IF(E213="","",MAX(0,Input!$C$9-B213))</f>
        <v>2</v>
      </c>
      <c r="H213" s="152">
        <f>IF(E213="","",Input!$C$3)</f>
        <v>100000</v>
      </c>
      <c r="I213" s="153">
        <f>IF(E213="","",HLOOKUP($B213,Input!$C$13:$BT$14,2))</f>
        <v>2.2999999999999998</v>
      </c>
      <c r="J213" s="154"/>
      <c r="K213" s="155">
        <f>IF($E213="","",Input!$C$57)</f>
        <v>4.4999999999999998E-2</v>
      </c>
      <c r="L213" s="155">
        <f t="shared" si="74"/>
        <v>3.6748094004368514E-3</v>
      </c>
      <c r="M213" s="147">
        <f>IF($E213="","",VLOOKUP(IF($B213&lt;=Input!$C$7,$B213,26),'Mortality Tables'!$A$72:$CA$97,IF($B213&lt;=Input!$C$7+1,Input!$C$4-16,$D213-Input!$C$7-16),0)/1000)</f>
        <v>5.6100000000000004E-3</v>
      </c>
      <c r="N213" s="147">
        <f t="shared" si="63"/>
        <v>4.6870638545792875E-4</v>
      </c>
      <c r="O213" s="157">
        <f>IF($E213="","",IF($C213=12,IF($B213&lt;Input!$C$9,Input!$C$54,IF($B213=Input!$C$9,Input!$C$55,Input!$C$56)),0%))</f>
        <v>0</v>
      </c>
      <c r="P213" s="167">
        <f>IF($E213="","",IF($B213=1,Input!$C$59,IF($B213&lt;6,Input!$C$60,0%)))</f>
        <v>0</v>
      </c>
      <c r="Q213" s="162">
        <f>IF($E213="","",Input!$C$58)</f>
        <v>2.5</v>
      </c>
      <c r="R213" s="156">
        <f t="shared" si="75"/>
        <v>0.99953129361454207</v>
      </c>
      <c r="S213" s="154">
        <f t="shared" si="64"/>
        <v>0.33635099747129199</v>
      </c>
      <c r="T213" s="152"/>
      <c r="U213" s="150">
        <f t="shared" si="76"/>
        <v>0</v>
      </c>
      <c r="V213" s="150">
        <f t="shared" si="77"/>
        <v>0</v>
      </c>
      <c r="W213" s="168">
        <f t="shared" si="78"/>
        <v>0</v>
      </c>
      <c r="X213" s="163">
        <f t="shared" si="65"/>
        <v>46.870638545792872</v>
      </c>
      <c r="Y213" s="152"/>
      <c r="Z213" s="164">
        <f>IF(AND($C212=12,$D212=Input!$C$6),0,IF($E213="","",V213+Z214/(1+L213)*R213))</f>
        <v>4601.612408584514</v>
      </c>
      <c r="AA213" s="164">
        <f>IF(OR($M213=1,AND($C212=12,$D212=Input!$C$6)),0,IF($E213="","",W213+(X213+AA214*$R213)/(1+$L213)))</f>
        <v>3110.2100090042391</v>
      </c>
      <c r="AB213" s="160">
        <f t="shared" si="66"/>
        <v>0.825720328500681</v>
      </c>
      <c r="AC213" s="164">
        <f t="shared" si="67"/>
        <v>0</v>
      </c>
      <c r="AD213" s="164">
        <f>IF(AND($C212=12,$D212=Input!$C$6),0,IF($E213="","",$AC213+AD214/(1+$L213)*$R213))</f>
        <v>3799.6449096492138</v>
      </c>
      <c r="AE213" s="152"/>
      <c r="AF213" s="164">
        <f>IF(AND($C212=12,$D212=Input!$C$6),0,IF($E213="","",IF($B213&gt;Input!$C$9,$AC213,0)+AF214/(1+$L213)*$R213))</f>
        <v>3472.5393044673906</v>
      </c>
      <c r="AG213" s="164">
        <f>IF(AND($C212=12,$D212=Input!$C$6),0,IF($E213="","",(IF($B213&gt;Input!$C$9,$X213,0)+AG214)/(1+$L213)*$R213))</f>
        <v>1657.525804924092</v>
      </c>
      <c r="AH213" s="160">
        <f t="shared" si="68"/>
        <v>2.0950137211446997</v>
      </c>
      <c r="AI213" s="160">
        <f>IF($E213="","",MIN(Input!$C$61/AH213,1))</f>
        <v>0.64438718771845094</v>
      </c>
      <c r="AJ213" s="152"/>
      <c r="AK213" s="164">
        <f>IF(AND($C212=12,$D212=Input!$C$6),0,IF($E213="","",IF($B213&gt;Input!$C$9,$AC213*AI213,0)+AK214/(1+$L213)*$R213))</f>
        <v>2237.6598366475291</v>
      </c>
      <c r="AL213" s="164">
        <f>IF(AND($C212=12,$D212=Input!$C$6),0,IF($E213="","",IF($B213&gt;Input!$C$9,0,$AC213)+AL214/(1+$L213)*$R213))</f>
        <v>327.10560518182342</v>
      </c>
      <c r="AM213" s="160">
        <f t="shared" si="69"/>
        <v>1.1382936520186004</v>
      </c>
      <c r="AN213" s="164">
        <f>IF($E213="","",IF($B213&gt;Input!$C$9,$AI213*$AC213,$AM213*$AC213))</f>
        <v>0</v>
      </c>
      <c r="AO213" s="164">
        <f>IF(AND($C212=12,$D212=Input!$C$6),0,IF($E213="","",$AN213+AO214/(1+$L213)*$R213))</f>
        <v>2610.0020705657016</v>
      </c>
      <c r="AP213" s="152"/>
      <c r="AQ213" s="164">
        <f t="shared" si="70"/>
        <v>500.20793843853744</v>
      </c>
      <c r="AR213" s="164">
        <f t="shared" si="79"/>
        <v>436.24753132031361</v>
      </c>
      <c r="AS213" s="164">
        <f t="shared" si="80"/>
        <v>268.42105263157896</v>
      </c>
      <c r="AT213" s="164">
        <f t="shared" si="71"/>
        <v>436.24753132031361</v>
      </c>
      <c r="AU213" s="152"/>
      <c r="AV213" s="147">
        <f>'Deterministic Reserve'!BC213</f>
        <v>0.48055020895574846</v>
      </c>
      <c r="AW213" s="164">
        <f t="shared" si="72"/>
        <v>436.24753132031361</v>
      </c>
      <c r="AX213" s="164">
        <f t="shared" si="73"/>
        <v>209.63884233240611</v>
      </c>
      <c r="AY213" s="152"/>
    </row>
    <row r="214" spans="1:51" s="150" customFormat="1" x14ac:dyDescent="0.25">
      <c r="A214" s="150">
        <f t="shared" si="81"/>
        <v>210</v>
      </c>
      <c r="B214" s="150">
        <f t="shared" si="82"/>
        <v>18</v>
      </c>
      <c r="C214" s="150">
        <f t="shared" si="83"/>
        <v>6</v>
      </c>
      <c r="D214" s="150">
        <f>IF(E214="","",Input!$C$4+B214-1)</f>
        <v>62</v>
      </c>
      <c r="E214" s="150">
        <f>IF(OR(AND(C213=12,D213=Input!$C$6),E213=""),"",1)</f>
        <v>1</v>
      </c>
      <c r="F214" s="150">
        <f>IF(E214="","",Input!$C$8+B214-1)</f>
        <v>2035</v>
      </c>
      <c r="G214" s="151">
        <f>IF(E214="","",MAX(0,Input!$C$9-B214))</f>
        <v>2</v>
      </c>
      <c r="H214" s="152">
        <f>IF(E214="","",Input!$C$3)</f>
        <v>100000</v>
      </c>
      <c r="I214" s="153">
        <f>IF(E214="","",HLOOKUP($B214,Input!$C$13:$BT$14,2))</f>
        <v>2.2999999999999998</v>
      </c>
      <c r="J214" s="154"/>
      <c r="K214" s="155">
        <f>IF($E214="","",Input!$C$57)</f>
        <v>4.4999999999999998E-2</v>
      </c>
      <c r="L214" s="155">
        <f t="shared" si="74"/>
        <v>3.6748094004368514E-3</v>
      </c>
      <c r="M214" s="147">
        <f>IF($E214="","",VLOOKUP(IF($B214&lt;=Input!$C$7,$B214,26),'Mortality Tables'!$A$72:$CA$97,IF($B214&lt;=Input!$C$7+1,Input!$C$4-16,$D214-Input!$C$7-16),0)/1000)</f>
        <v>5.6100000000000004E-3</v>
      </c>
      <c r="N214" s="147">
        <f t="shared" si="63"/>
        <v>4.6870638545792875E-4</v>
      </c>
      <c r="O214" s="157">
        <f>IF($E214="","",IF($C214=12,IF($B214&lt;Input!$C$9,Input!$C$54,IF($B214=Input!$C$9,Input!$C$55,Input!$C$56)),0%))</f>
        <v>0</v>
      </c>
      <c r="P214" s="167">
        <f>IF($E214="","",IF($B214=1,Input!$C$59,IF($B214&lt;6,Input!$C$60,0%)))</f>
        <v>0</v>
      </c>
      <c r="Q214" s="162">
        <f>IF($E214="","",Input!$C$58)</f>
        <v>2.5</v>
      </c>
      <c r="R214" s="156">
        <f t="shared" si="75"/>
        <v>0.99953129361454207</v>
      </c>
      <c r="S214" s="154">
        <f t="shared" si="64"/>
        <v>0.33619334761102204</v>
      </c>
      <c r="T214" s="152"/>
      <c r="U214" s="150">
        <f t="shared" si="76"/>
        <v>0</v>
      </c>
      <c r="V214" s="150">
        <f t="shared" si="77"/>
        <v>0</v>
      </c>
      <c r="W214" s="168">
        <f t="shared" si="78"/>
        <v>0</v>
      </c>
      <c r="X214" s="163">
        <f t="shared" si="65"/>
        <v>46.870638545792872</v>
      </c>
      <c r="Y214" s="152"/>
      <c r="Z214" s="164">
        <f>IF(AND($C213=12,$D213=Input!$C$6),0,IF($E214="","",V214+Z215/(1+L214)*R214))</f>
        <v>4620.6882031867908</v>
      </c>
      <c r="AA214" s="164">
        <f>IF(OR($M214=1,AND($C213=12,$D213=Input!$C$6)),0,IF($E214="","",W214+(X214+AA215*$R214)/(1+$L214)))</f>
        <v>3076.2106390063841</v>
      </c>
      <c r="AB214" s="160">
        <f t="shared" si="66"/>
        <v>0.825720328500681</v>
      </c>
      <c r="AC214" s="164">
        <f t="shared" si="67"/>
        <v>0</v>
      </c>
      <c r="AD214" s="164">
        <f>IF(AND($C213=12,$D213=Input!$C$6),0,IF($E214="","",$AC214+AD215/(1+$L214)*$R214))</f>
        <v>3815.3961810346173</v>
      </c>
      <c r="AE214" s="152"/>
      <c r="AF214" s="164">
        <f>IF(AND($C213=12,$D213=Input!$C$6),0,IF($E214="","",IF($B214&gt;Input!$C$9,$AC214,0)+AF215/(1+$L214)*$R214))</f>
        <v>3486.9345730468949</v>
      </c>
      <c r="AG214" s="164">
        <f>IF(AND($C213=12,$D213=Input!$C$6),0,IF($E214="","",(IF($B214&gt;Input!$C$9,$X214,0)+AG215)/(1+$L214)*$R214))</f>
        <v>1664.3970098399427</v>
      </c>
      <c r="AH214" s="160">
        <f t="shared" si="68"/>
        <v>2.0950137211446997</v>
      </c>
      <c r="AI214" s="160">
        <f>IF($E214="","",MIN(Input!$C$61/AH214,1))</f>
        <v>0.64438718771845094</v>
      </c>
      <c r="AJ214" s="152"/>
      <c r="AK214" s="164">
        <f>IF(AND($C213=12,$D213=Input!$C$6),0,IF($E214="","",IF($B214&gt;Input!$C$9,$AC214*AI214,0)+AK215/(1+$L214)*$R214))</f>
        <v>2246.9359632839273</v>
      </c>
      <c r="AL214" s="164">
        <f>IF(AND($C213=12,$D213=Input!$C$6),0,IF($E214="","",IF($B214&gt;Input!$C$9,0,$AC214)+AL215/(1+$L214)*$R214))</f>
        <v>328.46160798772274</v>
      </c>
      <c r="AM214" s="160">
        <f t="shared" si="69"/>
        <v>1.1382936520186004</v>
      </c>
      <c r="AN214" s="164">
        <f>IF($E214="","",IF($B214&gt;Input!$C$9,$AI214*$AC214,$AM214*$AC214))</f>
        <v>0</v>
      </c>
      <c r="AO214" s="164">
        <f>IF(AND($C213=12,$D213=Input!$C$6),0,IF($E214="","",$AN214+AO215/(1+$L214)*$R214))</f>
        <v>2620.8217265881749</v>
      </c>
      <c r="AP214" s="152"/>
      <c r="AQ214" s="164">
        <f t="shared" si="70"/>
        <v>455.3889124182092</v>
      </c>
      <c r="AR214" s="164">
        <f t="shared" si="79"/>
        <v>436.24753132031361</v>
      </c>
      <c r="AS214" s="164">
        <f t="shared" si="80"/>
        <v>268.42105263157896</v>
      </c>
      <c r="AT214" s="164">
        <f t="shared" si="71"/>
        <v>436.24753132031361</v>
      </c>
      <c r="AU214" s="152"/>
      <c r="AV214" s="147">
        <f>'Deterministic Reserve'!BC214</f>
        <v>0.48040758448325527</v>
      </c>
      <c r="AW214" s="164">
        <f t="shared" si="72"/>
        <v>436.24753132031361</v>
      </c>
      <c r="AX214" s="164">
        <f t="shared" si="73"/>
        <v>209.57662275837512</v>
      </c>
      <c r="AY214" s="152"/>
    </row>
    <row r="215" spans="1:51" s="150" customFormat="1" x14ac:dyDescent="0.25">
      <c r="A215" s="150">
        <f t="shared" si="81"/>
        <v>211</v>
      </c>
      <c r="B215" s="150">
        <f t="shared" si="82"/>
        <v>18</v>
      </c>
      <c r="C215" s="150">
        <f t="shared" si="83"/>
        <v>7</v>
      </c>
      <c r="D215" s="150">
        <f>IF(E215="","",Input!$C$4+B215-1)</f>
        <v>62</v>
      </c>
      <c r="E215" s="150">
        <f>IF(OR(AND(C214=12,D214=Input!$C$6),E214=""),"",1)</f>
        <v>1</v>
      </c>
      <c r="F215" s="150">
        <f>IF(E215="","",Input!$C$8+B215-1)</f>
        <v>2035</v>
      </c>
      <c r="G215" s="151">
        <f>IF(E215="","",MAX(0,Input!$C$9-B215))</f>
        <v>2</v>
      </c>
      <c r="H215" s="152">
        <f>IF(E215="","",Input!$C$3)</f>
        <v>100000</v>
      </c>
      <c r="I215" s="153">
        <f>IF(E215="","",HLOOKUP($B215,Input!$C$13:$BT$14,2))</f>
        <v>2.2999999999999998</v>
      </c>
      <c r="J215" s="154"/>
      <c r="K215" s="155">
        <f>IF($E215="","",Input!$C$57)</f>
        <v>4.4999999999999998E-2</v>
      </c>
      <c r="L215" s="155">
        <f t="shared" si="74"/>
        <v>3.6748094004368514E-3</v>
      </c>
      <c r="M215" s="147">
        <f>IF($E215="","",VLOOKUP(IF($B215&lt;=Input!$C$7,$B215,26),'Mortality Tables'!$A$72:$CA$97,IF($B215&lt;=Input!$C$7+1,Input!$C$4-16,$D215-Input!$C$7-16),0)/1000)</f>
        <v>5.6100000000000004E-3</v>
      </c>
      <c r="N215" s="147">
        <f t="shared" si="63"/>
        <v>4.6870638545792875E-4</v>
      </c>
      <c r="O215" s="157">
        <f>IF($E215="","",IF($C215=12,IF($B215&lt;Input!$C$9,Input!$C$54,IF($B215=Input!$C$9,Input!$C$55,Input!$C$56)),0%))</f>
        <v>0</v>
      </c>
      <c r="P215" s="167">
        <f>IF($E215="","",IF($B215=1,Input!$C$59,IF($B215&lt;6,Input!$C$60,0%)))</f>
        <v>0</v>
      </c>
      <c r="Q215" s="162">
        <f>IF($E215="","",Input!$C$58)</f>
        <v>2.5</v>
      </c>
      <c r="R215" s="156">
        <f t="shared" si="75"/>
        <v>0.99953129361454207</v>
      </c>
      <c r="S215" s="154">
        <f t="shared" si="64"/>
        <v>0.33603577164224829</v>
      </c>
      <c r="T215" s="152"/>
      <c r="U215" s="150">
        <f t="shared" si="76"/>
        <v>0</v>
      </c>
      <c r="V215" s="150">
        <f t="shared" si="77"/>
        <v>0</v>
      </c>
      <c r="W215" s="168">
        <f t="shared" si="78"/>
        <v>0</v>
      </c>
      <c r="X215" s="163">
        <f t="shared" si="65"/>
        <v>46.870638545792872</v>
      </c>
      <c r="Y215" s="152"/>
      <c r="Z215" s="164">
        <f>IF(AND($C214=12,$D214=Input!$C$6),0,IF($E215="","",V215+Z216/(1+L215)*R215))</f>
        <v>4639.8430757094566</v>
      </c>
      <c r="AA215" s="164">
        <f>IF(OR($M215=1,AND($C214=12,$D214=Input!$C$6)),0,IF($E215="","",W215+(X215+AA216*$R215)/(1+$L215)))</f>
        <v>3042.070326021354</v>
      </c>
      <c r="AB215" s="160">
        <f t="shared" si="66"/>
        <v>0.825720328500681</v>
      </c>
      <c r="AC215" s="164">
        <f t="shared" si="67"/>
        <v>0</v>
      </c>
      <c r="AD215" s="164">
        <f>IF(AND($C214=12,$D214=Input!$C$6),0,IF($E215="","",$AC215+AD216/(1+$L215)*$R215))</f>
        <v>3831.2127486664222</v>
      </c>
      <c r="AE215" s="152"/>
      <c r="AF215" s="164">
        <f>IF(AND($C214=12,$D214=Input!$C$6),0,IF($E215="","",IF($B215&gt;Input!$C$9,$AC215,0)+AF216/(1+$L215)*$R215))</f>
        <v>3501.3895166190505</v>
      </c>
      <c r="AG215" s="164">
        <f>IF(AND($C214=12,$D214=Input!$C$6),0,IF($E215="","",(IF($B215&gt;Input!$C$9,$X215,0)+AG216)/(1+$L215)*$R215))</f>
        <v>1671.2966990526022</v>
      </c>
      <c r="AH215" s="160">
        <f t="shared" si="68"/>
        <v>2.0950137211446997</v>
      </c>
      <c r="AI215" s="160">
        <f>IF($E215="","",MIN(Input!$C$61/AH215,1))</f>
        <v>0.64438718771845094</v>
      </c>
      <c r="AJ215" s="152"/>
      <c r="AK215" s="164">
        <f>IF(AND($C214=12,$D214=Input!$C$6),0,IF($E215="","",IF($B215&gt;Input!$C$9,$AC215*AI215,0)+AK216/(1+$L215)*$R215))</f>
        <v>2256.2505437210175</v>
      </c>
      <c r="AL215" s="164">
        <f>IF(AND($C214=12,$D214=Input!$C$6),0,IF($E215="","",IF($B215&gt;Input!$C$9,0,$AC215)+AL216/(1+$L215)*$R215))</f>
        <v>329.82323204737162</v>
      </c>
      <c r="AM215" s="160">
        <f t="shared" si="69"/>
        <v>1.1382936520186004</v>
      </c>
      <c r="AN215" s="164">
        <f>IF($E215="","",IF($B215&gt;Input!$C$9,$AI215*$AC215,$AM215*$AC215))</f>
        <v>0</v>
      </c>
      <c r="AO215" s="164">
        <f>IF(AND($C214=12,$D214=Input!$C$6),0,IF($E215="","",$AN215+AO216/(1+$L215)*$R215))</f>
        <v>2631.6862350487995</v>
      </c>
      <c r="AP215" s="152"/>
      <c r="AQ215" s="164">
        <f t="shared" si="70"/>
        <v>410.38409097255453</v>
      </c>
      <c r="AR215" s="164">
        <f t="shared" si="79"/>
        <v>436.24753132031361</v>
      </c>
      <c r="AS215" s="164">
        <f t="shared" si="80"/>
        <v>268.42105263157896</v>
      </c>
      <c r="AT215" s="164">
        <f t="shared" si="71"/>
        <v>436.24753132031361</v>
      </c>
      <c r="AU215" s="152"/>
      <c r="AV215" s="147">
        <f>'Deterministic Reserve'!BC215</f>
        <v>0.48026500234086572</v>
      </c>
      <c r="AW215" s="164">
        <f t="shared" si="72"/>
        <v>436.24753132031361</v>
      </c>
      <c r="AX215" s="164">
        <f t="shared" si="73"/>
        <v>209.51442165074732</v>
      </c>
      <c r="AY215" s="152"/>
    </row>
    <row r="216" spans="1:51" s="150" customFormat="1" x14ac:dyDescent="0.25">
      <c r="A216" s="150">
        <f t="shared" si="81"/>
        <v>212</v>
      </c>
      <c r="B216" s="150">
        <f t="shared" si="82"/>
        <v>18</v>
      </c>
      <c r="C216" s="150">
        <f t="shared" si="83"/>
        <v>8</v>
      </c>
      <c r="D216" s="150">
        <f>IF(E216="","",Input!$C$4+B216-1)</f>
        <v>62</v>
      </c>
      <c r="E216" s="150">
        <f>IF(OR(AND(C215=12,D215=Input!$C$6),E215=""),"",1)</f>
        <v>1</v>
      </c>
      <c r="F216" s="150">
        <f>IF(E216="","",Input!$C$8+B216-1)</f>
        <v>2035</v>
      </c>
      <c r="G216" s="151">
        <f>IF(E216="","",MAX(0,Input!$C$9-B216))</f>
        <v>2</v>
      </c>
      <c r="H216" s="152">
        <f>IF(E216="","",Input!$C$3)</f>
        <v>100000</v>
      </c>
      <c r="I216" s="153">
        <f>IF(E216="","",HLOOKUP($B216,Input!$C$13:$BT$14,2))</f>
        <v>2.2999999999999998</v>
      </c>
      <c r="J216" s="154"/>
      <c r="K216" s="155">
        <f>IF($E216="","",Input!$C$57)</f>
        <v>4.4999999999999998E-2</v>
      </c>
      <c r="L216" s="155">
        <f t="shared" si="74"/>
        <v>3.6748094004368514E-3</v>
      </c>
      <c r="M216" s="147">
        <f>IF($E216="","",VLOOKUP(IF($B216&lt;=Input!$C$7,$B216,26),'Mortality Tables'!$A$72:$CA$97,IF($B216&lt;=Input!$C$7+1,Input!$C$4-16,$D216-Input!$C$7-16),0)/1000)</f>
        <v>5.6100000000000004E-3</v>
      </c>
      <c r="N216" s="147">
        <f t="shared" si="63"/>
        <v>4.6870638545792875E-4</v>
      </c>
      <c r="O216" s="157">
        <f>IF($E216="","",IF($C216=12,IF($B216&lt;Input!$C$9,Input!$C$54,IF($B216=Input!$C$9,Input!$C$55,Input!$C$56)),0%))</f>
        <v>0</v>
      </c>
      <c r="P216" s="167">
        <f>IF($E216="","",IF($B216=1,Input!$C$59,IF($B216&lt;6,Input!$C$60,0%)))</f>
        <v>0</v>
      </c>
      <c r="Q216" s="162">
        <f>IF($E216="","",Input!$C$58)</f>
        <v>2.5</v>
      </c>
      <c r="R216" s="156">
        <f t="shared" si="75"/>
        <v>0.99953129361454207</v>
      </c>
      <c r="S216" s="154">
        <f t="shared" si="64"/>
        <v>0.33587826953033728</v>
      </c>
      <c r="T216" s="152"/>
      <c r="U216" s="150">
        <f t="shared" si="76"/>
        <v>0</v>
      </c>
      <c r="V216" s="150">
        <f t="shared" si="77"/>
        <v>0</v>
      </c>
      <c r="W216" s="168">
        <f t="shared" si="78"/>
        <v>0</v>
      </c>
      <c r="X216" s="163">
        <f t="shared" si="65"/>
        <v>46.870638545792872</v>
      </c>
      <c r="Y216" s="152"/>
      <c r="Z216" s="164">
        <f>IF(AND($C215=12,$D215=Input!$C$6),0,IF($E216="","",V216+Z217/(1+L216)*R216))</f>
        <v>4659.0773539667716</v>
      </c>
      <c r="AA216" s="164">
        <f>IF(OR($M216=1,AND($C215=12,$D215=Input!$C$6)),0,IF($E216="","",W216+(X216+AA217*$R216)/(1+$L216)))</f>
        <v>3007.788485775804</v>
      </c>
      <c r="AB216" s="160">
        <f t="shared" si="66"/>
        <v>0.825720328500681</v>
      </c>
      <c r="AC216" s="164">
        <f t="shared" si="67"/>
        <v>0</v>
      </c>
      <c r="AD216" s="164">
        <f>IF(AND($C215=12,$D215=Input!$C$6),0,IF($E216="","",$AC216+AD217/(1+$L216)*$R216))</f>
        <v>3847.0948832275262</v>
      </c>
      <c r="AE216" s="152"/>
      <c r="AF216" s="164">
        <f>IF(AND($C215=12,$D215=Input!$C$6),0,IF($E216="","",IF($B216&gt;Input!$C$9,$AC216,0)+AF217/(1+$L216)*$R216))</f>
        <v>3515.9043825640802</v>
      </c>
      <c r="AG216" s="164">
        <f>IF(AND($C215=12,$D215=Input!$C$6),0,IF($E216="","",(IF($B216&gt;Input!$C$9,$X216,0)+AG217)/(1+$L216)*$R216))</f>
        <v>1678.2249906425491</v>
      </c>
      <c r="AH216" s="160">
        <f t="shared" si="68"/>
        <v>2.0950137211446997</v>
      </c>
      <c r="AI216" s="160">
        <f>IF($E216="","",MIN(Input!$C$61/AH216,1))</f>
        <v>0.64438718771845094</v>
      </c>
      <c r="AJ216" s="152"/>
      <c r="AK216" s="164">
        <f>IF(AND($C215=12,$D215=Input!$C$6),0,IF($E216="","",IF($B216&gt;Input!$C$9,$AC216*AI216,0)+AK217/(1+$L216)*$R216))</f>
        <v>2265.6037373674458</v>
      </c>
      <c r="AL216" s="164">
        <f>IF(AND($C215=12,$D215=Input!$C$6),0,IF($E216="","",IF($B216&gt;Input!$C$9,0,$AC216)+AL217/(1+$L216)*$R216))</f>
        <v>331.19050066344573</v>
      </c>
      <c r="AM216" s="160">
        <f t="shared" si="69"/>
        <v>1.1382936520186004</v>
      </c>
      <c r="AN216" s="164">
        <f>IF($E216="","",IF($B216&gt;Input!$C$9,$AI216*$AC216,$AM216*$AC216))</f>
        <v>0</v>
      </c>
      <c r="AO216" s="164">
        <f>IF(AND($C215=12,$D215=Input!$C$6),0,IF($E216="","",$AN216+AO217/(1+$L216)*$R216))</f>
        <v>2642.5957818815091</v>
      </c>
      <c r="AP216" s="152"/>
      <c r="AQ216" s="164">
        <f t="shared" si="70"/>
        <v>365.19270389429494</v>
      </c>
      <c r="AR216" s="164">
        <f t="shared" si="79"/>
        <v>436.24753132031361</v>
      </c>
      <c r="AS216" s="164">
        <f t="shared" si="80"/>
        <v>268.42105263157896</v>
      </c>
      <c r="AT216" s="164">
        <f t="shared" si="71"/>
        <v>436.24753132031361</v>
      </c>
      <c r="AU216" s="152"/>
      <c r="AV216" s="147">
        <f>'Deterministic Reserve'!BC216</f>
        <v>0.48012246251601648</v>
      </c>
      <c r="AW216" s="164">
        <f t="shared" si="72"/>
        <v>436.24753132031361</v>
      </c>
      <c r="AX216" s="164">
        <f t="shared" si="73"/>
        <v>209.45223900404199</v>
      </c>
      <c r="AY216" s="152"/>
    </row>
    <row r="217" spans="1:51" s="150" customFormat="1" x14ac:dyDescent="0.25">
      <c r="A217" s="150">
        <f t="shared" si="81"/>
        <v>213</v>
      </c>
      <c r="B217" s="150">
        <f t="shared" si="82"/>
        <v>18</v>
      </c>
      <c r="C217" s="150">
        <f t="shared" si="83"/>
        <v>9</v>
      </c>
      <c r="D217" s="150">
        <f>IF(E217="","",Input!$C$4+B217-1)</f>
        <v>62</v>
      </c>
      <c r="E217" s="150">
        <f>IF(OR(AND(C216=12,D216=Input!$C$6),E216=""),"",1)</f>
        <v>1</v>
      </c>
      <c r="F217" s="150">
        <f>IF(E217="","",Input!$C$8+B217-1)</f>
        <v>2035</v>
      </c>
      <c r="G217" s="151">
        <f>IF(E217="","",MAX(0,Input!$C$9-B217))</f>
        <v>2</v>
      </c>
      <c r="H217" s="152">
        <f>IF(E217="","",Input!$C$3)</f>
        <v>100000</v>
      </c>
      <c r="I217" s="153">
        <f>IF(E217="","",HLOOKUP($B217,Input!$C$13:$BT$14,2))</f>
        <v>2.2999999999999998</v>
      </c>
      <c r="J217" s="154"/>
      <c r="K217" s="155">
        <f>IF($E217="","",Input!$C$57)</f>
        <v>4.4999999999999998E-2</v>
      </c>
      <c r="L217" s="155">
        <f t="shared" si="74"/>
        <v>3.6748094004368514E-3</v>
      </c>
      <c r="M217" s="147">
        <f>IF($E217="","",VLOOKUP(IF($B217&lt;=Input!$C$7,$B217,26),'Mortality Tables'!$A$72:$CA$97,IF($B217&lt;=Input!$C$7+1,Input!$C$4-16,$D217-Input!$C$7-16),0)/1000)</f>
        <v>5.6100000000000004E-3</v>
      </c>
      <c r="N217" s="147">
        <f t="shared" si="63"/>
        <v>4.6870638545792875E-4</v>
      </c>
      <c r="O217" s="157">
        <f>IF($E217="","",IF($C217=12,IF($B217&lt;Input!$C$9,Input!$C$54,IF($B217=Input!$C$9,Input!$C$55,Input!$C$56)),0%))</f>
        <v>0</v>
      </c>
      <c r="P217" s="167">
        <f>IF($E217="","",IF($B217=1,Input!$C$59,IF($B217&lt;6,Input!$C$60,0%)))</f>
        <v>0</v>
      </c>
      <c r="Q217" s="162">
        <f>IF($E217="","",Input!$C$58)</f>
        <v>2.5</v>
      </c>
      <c r="R217" s="156">
        <f t="shared" si="75"/>
        <v>0.99953129361454207</v>
      </c>
      <c r="S217" s="154">
        <f t="shared" si="64"/>
        <v>0.33572084124067186</v>
      </c>
      <c r="T217" s="152"/>
      <c r="U217" s="150">
        <f t="shared" si="76"/>
        <v>0</v>
      </c>
      <c r="V217" s="150">
        <f t="shared" si="77"/>
        <v>0</v>
      </c>
      <c r="W217" s="168">
        <f t="shared" si="78"/>
        <v>0</v>
      </c>
      <c r="X217" s="163">
        <f t="shared" si="65"/>
        <v>46.870638545792872</v>
      </c>
      <c r="Y217" s="152"/>
      <c r="Z217" s="164">
        <f>IF(AND($C216=12,$D216=Input!$C$6),0,IF($E217="","",V217+Z218/(1+L217)*R217))</f>
        <v>4678.3913671319369</v>
      </c>
      <c r="AA217" s="164">
        <f>IF(OR($M217=1,AND($C216=12,$D216=Input!$C$6)),0,IF($E217="","",W217+(X217+AA218*$R217)/(1+$L217)))</f>
        <v>2973.3645315743083</v>
      </c>
      <c r="AB217" s="160">
        <f t="shared" si="66"/>
        <v>0.825720328500681</v>
      </c>
      <c r="AC217" s="164">
        <f t="shared" si="67"/>
        <v>0</v>
      </c>
      <c r="AD217" s="164">
        <f>IF(AND($C216=12,$D216=Input!$C$6),0,IF($E217="","",$AC217+AD218/(1+$L217)*$R217))</f>
        <v>3863.0428565229331</v>
      </c>
      <c r="AE217" s="152"/>
      <c r="AF217" s="164">
        <f>IF(AND($C216=12,$D216=Input!$C$6),0,IF($E217="","",IF($B217&gt;Input!$C$9,$AC217,0)+AF218/(1+$L217)*$R217))</f>
        <v>3530.4794192877116</v>
      </c>
      <c r="AG217" s="164">
        <f>IF(AND($C216=12,$D216=Input!$C$6),0,IF($E217="","",(IF($B217&gt;Input!$C$9,$X217,0)+AG218)/(1+$L217)*$R217))</f>
        <v>1685.1820031797595</v>
      </c>
      <c r="AH217" s="160">
        <f t="shared" si="68"/>
        <v>2.0950137211446997</v>
      </c>
      <c r="AI217" s="160">
        <f>IF($E217="","",MIN(Input!$C$61/AH217,1))</f>
        <v>0.64438718771845094</v>
      </c>
      <c r="AJ217" s="152"/>
      <c r="AK217" s="164">
        <f>IF(AND($C216=12,$D216=Input!$C$6),0,IF($E217="","",IF($B217&gt;Input!$C$9,$AC217*AI217,0)+AK218/(1+$L217)*$R217))</f>
        <v>2274.9957042926799</v>
      </c>
      <c r="AL217" s="164">
        <f>IF(AND($C216=12,$D216=Input!$C$6),0,IF($E217="","",IF($B217&gt;Input!$C$9,0,$AC217)+AL218/(1+$L217)*$R217))</f>
        <v>332.56343723522116</v>
      </c>
      <c r="AM217" s="160">
        <f t="shared" si="69"/>
        <v>1.1382936520186004</v>
      </c>
      <c r="AN217" s="164">
        <f>IF($E217="","",IF($B217&gt;Input!$C$9,$AI217*$AC217,$AM217*$AC217))</f>
        <v>0</v>
      </c>
      <c r="AO217" s="164">
        <f>IF(AND($C216=12,$D216=Input!$C$6),0,IF($E217="","",$AN217+AO218/(1+$L217)*$R217))</f>
        <v>2653.550553791019</v>
      </c>
      <c r="AP217" s="152"/>
      <c r="AQ217" s="164">
        <f t="shared" si="70"/>
        <v>319.81397778328937</v>
      </c>
      <c r="AR217" s="164">
        <f t="shared" si="79"/>
        <v>436.24753132031361</v>
      </c>
      <c r="AS217" s="164">
        <f t="shared" si="80"/>
        <v>268.42105263157896</v>
      </c>
      <c r="AT217" s="164">
        <f t="shared" si="71"/>
        <v>436.24753132031361</v>
      </c>
      <c r="AU217" s="152"/>
      <c r="AV217" s="147">
        <f>'Deterministic Reserve'!BC217</f>
        <v>0.47997996499614798</v>
      </c>
      <c r="AW217" s="164">
        <f t="shared" si="72"/>
        <v>436.24753132031361</v>
      </c>
      <c r="AX217" s="164">
        <f t="shared" si="73"/>
        <v>209.39007481278009</v>
      </c>
      <c r="AY217" s="152"/>
    </row>
    <row r="218" spans="1:51" s="150" customFormat="1" x14ac:dyDescent="0.25">
      <c r="A218" s="150">
        <f t="shared" si="81"/>
        <v>214</v>
      </c>
      <c r="B218" s="150">
        <f t="shared" si="82"/>
        <v>18</v>
      </c>
      <c r="C218" s="150">
        <f t="shared" si="83"/>
        <v>10</v>
      </c>
      <c r="D218" s="150">
        <f>IF(E218="","",Input!$C$4+B218-1)</f>
        <v>62</v>
      </c>
      <c r="E218" s="150">
        <f>IF(OR(AND(C217=12,D217=Input!$C$6),E217=""),"",1)</f>
        <v>1</v>
      </c>
      <c r="F218" s="150">
        <f>IF(E218="","",Input!$C$8+B218-1)</f>
        <v>2035</v>
      </c>
      <c r="G218" s="151">
        <f>IF(E218="","",MAX(0,Input!$C$9-B218))</f>
        <v>2</v>
      </c>
      <c r="H218" s="152">
        <f>IF(E218="","",Input!$C$3)</f>
        <v>100000</v>
      </c>
      <c r="I218" s="153">
        <f>IF(E218="","",HLOOKUP($B218,Input!$C$13:$BT$14,2))</f>
        <v>2.2999999999999998</v>
      </c>
      <c r="J218" s="154"/>
      <c r="K218" s="155">
        <f>IF($E218="","",Input!$C$57)</f>
        <v>4.4999999999999998E-2</v>
      </c>
      <c r="L218" s="155">
        <f t="shared" si="74"/>
        <v>3.6748094004368514E-3</v>
      </c>
      <c r="M218" s="147">
        <f>IF($E218="","",VLOOKUP(IF($B218&lt;=Input!$C$7,$B218,26),'Mortality Tables'!$A$72:$CA$97,IF($B218&lt;=Input!$C$7+1,Input!$C$4-16,$D218-Input!$C$7-16),0)/1000)</f>
        <v>5.6100000000000004E-3</v>
      </c>
      <c r="N218" s="147">
        <f t="shared" si="63"/>
        <v>4.6870638545792875E-4</v>
      </c>
      <c r="O218" s="157">
        <f>IF($E218="","",IF($C218=12,IF($B218&lt;Input!$C$9,Input!$C$54,IF($B218=Input!$C$9,Input!$C$55,Input!$C$56)),0%))</f>
        <v>0</v>
      </c>
      <c r="P218" s="167">
        <f>IF($E218="","",IF($B218=1,Input!$C$59,IF($B218&lt;6,Input!$C$60,0%)))</f>
        <v>0</v>
      </c>
      <c r="Q218" s="162">
        <f>IF($E218="","",Input!$C$58)</f>
        <v>2.5</v>
      </c>
      <c r="R218" s="156">
        <f t="shared" si="75"/>
        <v>0.99953129361454207</v>
      </c>
      <c r="S218" s="154">
        <f t="shared" si="64"/>
        <v>0.33556348673865105</v>
      </c>
      <c r="T218" s="152"/>
      <c r="U218" s="150">
        <f t="shared" si="76"/>
        <v>0</v>
      </c>
      <c r="V218" s="150">
        <f t="shared" si="77"/>
        <v>0</v>
      </c>
      <c r="W218" s="168">
        <f t="shared" si="78"/>
        <v>0</v>
      </c>
      <c r="X218" s="163">
        <f t="shared" si="65"/>
        <v>46.870638545792872</v>
      </c>
      <c r="Y218" s="152"/>
      <c r="Z218" s="164">
        <f>IF(AND($C217=12,$D217=Input!$C$6),0,IF($E218="","",V218+Z219/(1+L218)*R218))</f>
        <v>4697.7854457427266</v>
      </c>
      <c r="AA218" s="164">
        <f>IF(OR($M218=1,AND($C217=12,$D217=Input!$C$6)),0,IF($E218="","",W218+(X218+AA219*$R218)/(1+$L218)))</f>
        <v>2938.7978742893197</v>
      </c>
      <c r="AB218" s="160">
        <f t="shared" si="66"/>
        <v>0.825720328500681</v>
      </c>
      <c r="AC218" s="164">
        <f t="shared" si="67"/>
        <v>0</v>
      </c>
      <c r="AD218" s="164">
        <f>IF(AND($C217=12,$D217=Input!$C$6),0,IF($E218="","",$AC218+AD219/(1+$L218)*$R218))</f>
        <v>3879.0569414844026</v>
      </c>
      <c r="AE218" s="152"/>
      <c r="AF218" s="164">
        <f>IF(AND($C217=12,$D217=Input!$C$6),0,IF($E218="","",IF($B218&gt;Input!$C$9,$AC218,0)+AF219/(1+$L218)*$R218))</f>
        <v>3545.1148762254275</v>
      </c>
      <c r="AG218" s="164">
        <f>IF(AND($C217=12,$D217=Input!$C$6),0,IF($E218="","",(IF($B218&gt;Input!$C$9,$X218,0)+AG219)/(1+$L218)*$R218))</f>
        <v>1692.1678557257369</v>
      </c>
      <c r="AH218" s="160">
        <f t="shared" si="68"/>
        <v>2.0950137211446997</v>
      </c>
      <c r="AI218" s="160">
        <f>IF($E218="","",MIN(Input!$C$61/AH218,1))</f>
        <v>0.64438718771845094</v>
      </c>
      <c r="AJ218" s="152"/>
      <c r="AK218" s="164">
        <f>IF(AND($C217=12,$D217=Input!$C$6),0,IF($E218="","",IF($B218&gt;Input!$C$9,$AC218*AI218,0)+AK219/(1+$L218)*$R218))</f>
        <v>2284.4266052297494</v>
      </c>
      <c r="AL218" s="164">
        <f>IF(AND($C217=12,$D217=Input!$C$6),0,IF($E218="","",IF($B218&gt;Input!$C$9,0,$AC218)+AL219/(1+$L218)*$R218))</f>
        <v>333.94206525897465</v>
      </c>
      <c r="AM218" s="160">
        <f t="shared" si="69"/>
        <v>1.1382936520186004</v>
      </c>
      <c r="AN218" s="164">
        <f>IF($E218="","",IF($B218&gt;Input!$C$9,$AI218*$AC218,$AM218*$AC218))</f>
        <v>0</v>
      </c>
      <c r="AO218" s="164">
        <f>IF(AND($C217=12,$D217=Input!$C$6),0,IF($E218="","",$AN218+AO219/(1+$L218)*$R218))</f>
        <v>2664.5507382560218</v>
      </c>
      <c r="AP218" s="152"/>
      <c r="AQ218" s="164">
        <f t="shared" si="70"/>
        <v>274.24713603329792</v>
      </c>
      <c r="AR218" s="164">
        <f t="shared" si="79"/>
        <v>436.24753132031361</v>
      </c>
      <c r="AS218" s="164">
        <f t="shared" si="80"/>
        <v>268.42105263157896</v>
      </c>
      <c r="AT218" s="164">
        <f t="shared" si="71"/>
        <v>436.24753132031361</v>
      </c>
      <c r="AU218" s="152"/>
      <c r="AV218" s="147">
        <f>'Deterministic Reserve'!BC218</f>
        <v>0.47983750976870432</v>
      </c>
      <c r="AW218" s="164">
        <f t="shared" si="72"/>
        <v>436.24753132031361</v>
      </c>
      <c r="AX218" s="164">
        <f t="shared" si="73"/>
        <v>209.32792907148414</v>
      </c>
      <c r="AY218" s="152"/>
    </row>
    <row r="219" spans="1:51" s="150" customFormat="1" x14ac:dyDescent="0.25">
      <c r="A219" s="150">
        <f t="shared" si="81"/>
        <v>215</v>
      </c>
      <c r="B219" s="150">
        <f t="shared" si="82"/>
        <v>18</v>
      </c>
      <c r="C219" s="150">
        <f t="shared" si="83"/>
        <v>11</v>
      </c>
      <c r="D219" s="150">
        <f>IF(E219="","",Input!$C$4+B219-1)</f>
        <v>62</v>
      </c>
      <c r="E219" s="150">
        <f>IF(OR(AND(C218=12,D218=Input!$C$6),E218=""),"",1)</f>
        <v>1</v>
      </c>
      <c r="F219" s="150">
        <f>IF(E219="","",Input!$C$8+B219-1)</f>
        <v>2035</v>
      </c>
      <c r="G219" s="151">
        <f>IF(E219="","",MAX(0,Input!$C$9-B219))</f>
        <v>2</v>
      </c>
      <c r="H219" s="152">
        <f>IF(E219="","",Input!$C$3)</f>
        <v>100000</v>
      </c>
      <c r="I219" s="153">
        <f>IF(E219="","",HLOOKUP($B219,Input!$C$13:$BT$14,2))</f>
        <v>2.2999999999999998</v>
      </c>
      <c r="J219" s="154"/>
      <c r="K219" s="155">
        <f>IF($E219="","",Input!$C$57)</f>
        <v>4.4999999999999998E-2</v>
      </c>
      <c r="L219" s="155">
        <f t="shared" si="74"/>
        <v>3.6748094004368514E-3</v>
      </c>
      <c r="M219" s="147">
        <f>IF($E219="","",VLOOKUP(IF($B219&lt;=Input!$C$7,$B219,26),'Mortality Tables'!$A$72:$CA$97,IF($B219&lt;=Input!$C$7+1,Input!$C$4-16,$D219-Input!$C$7-16),0)/1000)</f>
        <v>5.6100000000000004E-3</v>
      </c>
      <c r="N219" s="147">
        <f t="shared" si="63"/>
        <v>4.6870638545792875E-4</v>
      </c>
      <c r="O219" s="157">
        <f>IF($E219="","",IF($C219=12,IF($B219&lt;Input!$C$9,Input!$C$54,IF($B219=Input!$C$9,Input!$C$55,Input!$C$56)),0%))</f>
        <v>0</v>
      </c>
      <c r="P219" s="167">
        <f>IF($E219="","",IF($B219=1,Input!$C$59,IF($B219&lt;6,Input!$C$60,0%)))</f>
        <v>0</v>
      </c>
      <c r="Q219" s="162">
        <f>IF($E219="","",Input!$C$58)</f>
        <v>2.5</v>
      </c>
      <c r="R219" s="156">
        <f t="shared" si="75"/>
        <v>0.99953129361454207</v>
      </c>
      <c r="S219" s="154">
        <f t="shared" si="64"/>
        <v>0.33540620598969012</v>
      </c>
      <c r="T219" s="152"/>
      <c r="U219" s="150">
        <f t="shared" si="76"/>
        <v>0</v>
      </c>
      <c r="V219" s="150">
        <f t="shared" si="77"/>
        <v>0</v>
      </c>
      <c r="W219" s="168">
        <f t="shared" si="78"/>
        <v>0</v>
      </c>
      <c r="X219" s="163">
        <f t="shared" si="65"/>
        <v>46.870638545792872</v>
      </c>
      <c r="Y219" s="152"/>
      <c r="Z219" s="164">
        <f>IF(AND($C218=12,$D218=Input!$C$6),0,IF($E219="","",V219+Z220/(1+L219)*R219))</f>
        <v>4717.2599217071465</v>
      </c>
      <c r="AA219" s="164">
        <f>IF(OR($M219=1,AND($C218=12,$D218=Input!$C$6)),0,IF($E219="","",W219+(X219+AA220*$R219)/(1+$L219)))</f>
        <v>2904.087922351086</v>
      </c>
      <c r="AB219" s="160">
        <f t="shared" si="66"/>
        <v>0.825720328500681</v>
      </c>
      <c r="AC219" s="164">
        <f t="shared" si="67"/>
        <v>0</v>
      </c>
      <c r="AD219" s="164">
        <f>IF(AND($C218=12,$D218=Input!$C$6),0,IF($E219="","",$AC219+AD220/(1+$L219)*$R219))</f>
        <v>3895.1374121751219</v>
      </c>
      <c r="AE219" s="152"/>
      <c r="AF219" s="164">
        <f>IF(AND($C218=12,$D218=Input!$C$6),0,IF($E219="","",IF($B219&gt;Input!$C$9,$AC219,0)+AF220/(1+$L219)*$R219))</f>
        <v>3559.8110038467357</v>
      </c>
      <c r="AG219" s="164">
        <f>IF(AND($C218=12,$D218=Input!$C$6),0,IF($E219="","",(IF($B219&gt;Input!$C$9,$X219,0)+AG220)/(1+$L219)*$R219))</f>
        <v>1699.1826678355487</v>
      </c>
      <c r="AH219" s="160">
        <f t="shared" si="68"/>
        <v>2.0950137211446997</v>
      </c>
      <c r="AI219" s="160">
        <f>IF($E219="","",MIN(Input!$C$61/AH219,1))</f>
        <v>0.64438718771845094</v>
      </c>
      <c r="AJ219" s="152"/>
      <c r="AK219" s="164">
        <f>IF(AND($C218=12,$D218=Input!$C$6),0,IF($E219="","",IF($B219&gt;Input!$C$9,$AC219*AI219,0)+AK220/(1+$L219)*$R219))</f>
        <v>2293.8966015779952</v>
      </c>
      <c r="AL219" s="164">
        <f>IF(AND($C218=12,$D218=Input!$C$6),0,IF($E219="","",IF($B219&gt;Input!$C$9,0,$AC219)+AL220/(1+$L219)*$R219))</f>
        <v>335.32640832838581</v>
      </c>
      <c r="AM219" s="160">
        <f t="shared" si="69"/>
        <v>1.1382936520186004</v>
      </c>
      <c r="AN219" s="164">
        <f>IF($E219="","",IF($B219&gt;Input!$C$9,$AI219*$AC219,$AM219*$AC219))</f>
        <v>0</v>
      </c>
      <c r="AO219" s="164">
        <f>IF(AND($C218=12,$D218=Input!$C$6),0,IF($E219="","",$AN219+AO220/(1+$L219)*$R219))</f>
        <v>2675.5965235323943</v>
      </c>
      <c r="AP219" s="152"/>
      <c r="AQ219" s="164">
        <f t="shared" si="70"/>
        <v>228.49139881869178</v>
      </c>
      <c r="AR219" s="164">
        <f t="shared" si="79"/>
        <v>436.24753132031361</v>
      </c>
      <c r="AS219" s="164">
        <f t="shared" si="80"/>
        <v>268.42105263157896</v>
      </c>
      <c r="AT219" s="164">
        <f t="shared" si="71"/>
        <v>436.24753132031361</v>
      </c>
      <c r="AU219" s="152"/>
      <c r="AV219" s="147">
        <f>'Deterministic Reserve'!BC219</f>
        <v>0.47969509682113337</v>
      </c>
      <c r="AW219" s="164">
        <f t="shared" si="72"/>
        <v>436.24753132031361</v>
      </c>
      <c r="AX219" s="164">
        <f t="shared" si="73"/>
        <v>209.26580177467824</v>
      </c>
      <c r="AY219" s="152"/>
    </row>
    <row r="220" spans="1:51" s="150" customFormat="1" x14ac:dyDescent="0.25">
      <c r="A220" s="150">
        <f t="shared" si="81"/>
        <v>216</v>
      </c>
      <c r="B220" s="150">
        <f t="shared" si="82"/>
        <v>18</v>
      </c>
      <c r="C220" s="150">
        <f t="shared" si="83"/>
        <v>12</v>
      </c>
      <c r="D220" s="150">
        <f>IF(E220="","",Input!$C$4+B220-1)</f>
        <v>62</v>
      </c>
      <c r="E220" s="150">
        <f>IF(OR(AND(C219=12,D219=Input!$C$6),E219=""),"",1)</f>
        <v>1</v>
      </c>
      <c r="F220" s="150">
        <f>IF(E220="","",Input!$C$8+B220-1)</f>
        <v>2035</v>
      </c>
      <c r="G220" s="151">
        <f>IF(E220="","",MAX(0,Input!$C$9-B220))</f>
        <v>2</v>
      </c>
      <c r="H220" s="152">
        <f>IF(E220="","",Input!$C$3)</f>
        <v>100000</v>
      </c>
      <c r="I220" s="153">
        <f>IF(E220="","",HLOOKUP($B220,Input!$C$13:$BT$14,2))</f>
        <v>2.2999999999999998</v>
      </c>
      <c r="J220" s="154"/>
      <c r="K220" s="155">
        <f>IF($E220="","",Input!$C$57)</f>
        <v>4.4999999999999998E-2</v>
      </c>
      <c r="L220" s="155">
        <f t="shared" si="74"/>
        <v>3.6748094004368514E-3</v>
      </c>
      <c r="M220" s="147">
        <f>IF($E220="","",VLOOKUP(IF($B220&lt;=Input!$C$7,$B220,26),'Mortality Tables'!$A$72:$CA$97,IF($B220&lt;=Input!$C$7+1,Input!$C$4-16,$D220-Input!$C$7-16),0)/1000)</f>
        <v>5.6100000000000004E-3</v>
      </c>
      <c r="N220" s="147">
        <f t="shared" si="63"/>
        <v>4.6870638545792875E-4</v>
      </c>
      <c r="O220" s="157">
        <f>IF($E220="","",IF($C220=12,IF($B220&lt;Input!$C$9,Input!$C$54,IF($B220=Input!$C$9,Input!$C$55,Input!$C$56)),0%))</f>
        <v>0.06</v>
      </c>
      <c r="P220" s="167">
        <f>IF($E220="","",IF($B220=1,Input!$C$59,IF($B220&lt;6,Input!$C$60,0%)))</f>
        <v>0</v>
      </c>
      <c r="Q220" s="162">
        <f>IF($E220="","",Input!$C$58)</f>
        <v>2.5</v>
      </c>
      <c r="R220" s="156">
        <f t="shared" si="75"/>
        <v>0.93953129361454213</v>
      </c>
      <c r="S220" s="154">
        <f t="shared" si="64"/>
        <v>0.31512462659983914</v>
      </c>
      <c r="T220" s="152"/>
      <c r="U220" s="150">
        <f t="shared" si="76"/>
        <v>0</v>
      </c>
      <c r="V220" s="150">
        <f t="shared" si="77"/>
        <v>0</v>
      </c>
      <c r="W220" s="168">
        <f t="shared" si="78"/>
        <v>0</v>
      </c>
      <c r="X220" s="163">
        <f t="shared" si="65"/>
        <v>46.870638545792872</v>
      </c>
      <c r="Y220" s="152"/>
      <c r="Z220" s="164">
        <f>IF(AND($C219=12,$D219=Input!$C$6),0,IF($E220="","",V220+Z221/(1+L220)*R220))</f>
        <v>4736.815128309112</v>
      </c>
      <c r="AA220" s="164">
        <f>IF(OR($M220=1,AND($C219=12,$D219=Input!$C$6)),0,IF($E220="","",W220+(X220+AA221*$R220)/(1+$L220)))</f>
        <v>2869.2340817375275</v>
      </c>
      <c r="AB220" s="160">
        <f t="shared" si="66"/>
        <v>0.825720328500681</v>
      </c>
      <c r="AC220" s="164">
        <f t="shared" si="67"/>
        <v>0</v>
      </c>
      <c r="AD220" s="164">
        <f>IF(AND($C219=12,$D219=Input!$C$6),0,IF($E220="","",$AC220+AD221/(1+$L220)*$R220))</f>
        <v>3911.2845437943956</v>
      </c>
      <c r="AE220" s="152"/>
      <c r="AF220" s="164">
        <f>IF(AND($C219=12,$D219=Input!$C$6),0,IF($E220="","",IF($B220&gt;Input!$C$9,$AC220,0)+AF221/(1+$L220)*$R220))</f>
        <v>3574.5680536594546</v>
      </c>
      <c r="AG220" s="164">
        <f>IF(AND($C219=12,$D219=Input!$C$6),0,IF($E220="","",(IF($B220&gt;Input!$C$9,$X220,0)+AG221)/(1+$L220)*$R220))</f>
        <v>1706.2265595598737</v>
      </c>
      <c r="AH220" s="160">
        <f t="shared" si="68"/>
        <v>2.0950137211446997</v>
      </c>
      <c r="AI220" s="160">
        <f>IF($E220="","",MIN(Input!$C$61/AH220,1))</f>
        <v>0.64438718771845094</v>
      </c>
      <c r="AJ220" s="152"/>
      <c r="AK220" s="164">
        <f>IF(AND($C219=12,$D219=Input!$C$6),0,IF($E220="","",IF($B220&gt;Input!$C$9,$AC220*AI220,0)+AK221/(1+$L220)*$R220))</f>
        <v>2303.4058554058342</v>
      </c>
      <c r="AL220" s="164">
        <f>IF(AND($C219=12,$D219=Input!$C$6),0,IF($E220="","",IF($B220&gt;Input!$C$9,0,$AC220)+AL221/(1+$L220)*$R220))</f>
        <v>336.7164901349409</v>
      </c>
      <c r="AM220" s="160">
        <f t="shared" si="69"/>
        <v>1.1382936520186004</v>
      </c>
      <c r="AN220" s="164">
        <f>IF($E220="","",IF($B220&gt;Input!$C$9,$AI220*$AC220,$AM220*$AC220))</f>
        <v>0</v>
      </c>
      <c r="AO220" s="164">
        <f>IF(AND($C219=12,$D219=Input!$C$6),0,IF($E220="","",$AN220+AO221/(1+$L220)*$R220))</f>
        <v>2686.6880986564215</v>
      </c>
      <c r="AP220" s="152"/>
      <c r="AQ220" s="164">
        <f t="shared" si="70"/>
        <v>182.54598308110599</v>
      </c>
      <c r="AR220" s="164">
        <f t="shared" si="79"/>
        <v>436.24753132031361</v>
      </c>
      <c r="AS220" s="164">
        <f t="shared" si="80"/>
        <v>268.42105263157896</v>
      </c>
      <c r="AT220" s="164">
        <f t="shared" si="71"/>
        <v>436.24753132031361</v>
      </c>
      <c r="AU220" s="152"/>
      <c r="AV220" s="147">
        <f>'Deterministic Reserve'!BC220</f>
        <v>0.46995882420446405</v>
      </c>
      <c r="AW220" s="164">
        <f t="shared" si="72"/>
        <v>436.24753132031361</v>
      </c>
      <c r="AX220" s="164">
        <f t="shared" si="73"/>
        <v>205.01837688139469</v>
      </c>
      <c r="AY220" s="152"/>
    </row>
    <row r="221" spans="1:51" s="150" customFormat="1" x14ac:dyDescent="0.25">
      <c r="A221" s="150">
        <f t="shared" si="81"/>
        <v>217</v>
      </c>
      <c r="B221" s="150">
        <f t="shared" si="82"/>
        <v>19</v>
      </c>
      <c r="C221" s="150">
        <f t="shared" si="83"/>
        <v>1</v>
      </c>
      <c r="D221" s="150">
        <f>IF(E221="","",Input!$C$4+B221-1)</f>
        <v>63</v>
      </c>
      <c r="E221" s="150">
        <f>IF(OR(AND(C220=12,D220=Input!$C$6),E220=""),"",1)</f>
        <v>1</v>
      </c>
      <c r="F221" s="150">
        <f>IF(E221="","",Input!$C$8+B221-1)</f>
        <v>2036</v>
      </c>
      <c r="G221" s="151">
        <f>IF(E221="","",MAX(0,Input!$C$9-B221))</f>
        <v>1</v>
      </c>
      <c r="H221" s="152">
        <f>IF(E221="","",Input!$C$3)</f>
        <v>100000</v>
      </c>
      <c r="I221" s="153">
        <f>IF(E221="","",HLOOKUP($B221,Input!$C$13:$BT$14,2))</f>
        <v>2.2999999999999998</v>
      </c>
      <c r="J221" s="154"/>
      <c r="K221" s="155">
        <f>IF($E221="","",Input!$C$57)</f>
        <v>4.4999999999999998E-2</v>
      </c>
      <c r="L221" s="155">
        <f t="shared" si="74"/>
        <v>3.6748094004368514E-3</v>
      </c>
      <c r="M221" s="147">
        <f>IF($E221="","",VLOOKUP(IF($B221&lt;=Input!$C$7,$B221,26),'Mortality Tables'!$A$72:$CA$97,IF($B221&lt;=Input!$C$7+1,Input!$C$4-16,$D221-Input!$C$7-16),0)/1000)</f>
        <v>6.0800000000000003E-3</v>
      </c>
      <c r="N221" s="147">
        <f t="shared" si="63"/>
        <v>5.0808408669900107E-4</v>
      </c>
      <c r="O221" s="157">
        <f>IF($E221="","",IF($C221=12,IF($B221&lt;Input!$C$9,Input!$C$54,IF($B221=Input!$C$9,Input!$C$55,Input!$C$56)),0%))</f>
        <v>0</v>
      </c>
      <c r="P221" s="167">
        <f>IF($E221="","",IF($B221=1,Input!$C$59,IF($B221&lt;6,Input!$C$60,0%)))</f>
        <v>0</v>
      </c>
      <c r="Q221" s="162">
        <f>IF($E221="","",Input!$C$58)</f>
        <v>2.5</v>
      </c>
      <c r="R221" s="156">
        <f t="shared" si="75"/>
        <v>0.999491915913301</v>
      </c>
      <c r="S221" s="154">
        <f t="shared" si="64"/>
        <v>0.31496451679173681</v>
      </c>
      <c r="T221" s="152"/>
      <c r="U221" s="150">
        <f t="shared" si="76"/>
        <v>229.99999999999997</v>
      </c>
      <c r="V221" s="150">
        <f t="shared" si="77"/>
        <v>229.99999999999997</v>
      </c>
      <c r="W221" s="168">
        <f t="shared" si="78"/>
        <v>0</v>
      </c>
      <c r="X221" s="163">
        <f t="shared" si="65"/>
        <v>50.808408669900103</v>
      </c>
      <c r="Y221" s="152"/>
      <c r="Z221" s="164">
        <f>IF(AND($C220=12,$D220=Input!$C$6),0,IF($E221="","",V221+Z222/(1+L221)*R221))</f>
        <v>5060.2061404260694</v>
      </c>
      <c r="AA221" s="164">
        <f>IF(OR($M221=1,AND($C220=12,$D220=Input!$C$6)),0,IF($E221="","",W221+(X221+AA222*$R221)/(1+$L221)))</f>
        <v>3015.2346716080792</v>
      </c>
      <c r="AB221" s="160">
        <f t="shared" si="66"/>
        <v>0.825720328500681</v>
      </c>
      <c r="AC221" s="164">
        <f t="shared" si="67"/>
        <v>189.91567555515661</v>
      </c>
      <c r="AD221" s="164">
        <f>IF(AND($C220=12,$D220=Input!$C$6),0,IF($E221="","",$AC221+AD222/(1+$L221)*$R221))</f>
        <v>4178.3150765537766</v>
      </c>
      <c r="AE221" s="152"/>
      <c r="AF221" s="164">
        <f>IF(AND($C220=12,$D220=Input!$C$6),0,IF($E221="","",IF($B221&gt;Input!$C$9,$AC221,0)+AF222/(1+$L221)*$R221))</f>
        <v>3818.6103372278485</v>
      </c>
      <c r="AG221" s="164">
        <f>IF(AND($C220=12,$D220=Input!$C$6),0,IF($E221="","",(IF($B221&gt;Input!$C$9,$X221,0)+AG222)/(1+$L221)*$R221))</f>
        <v>1822.7137601473003</v>
      </c>
      <c r="AH221" s="160">
        <f t="shared" si="68"/>
        <v>2.0950137211446997</v>
      </c>
      <c r="AI221" s="160">
        <f>IF($E221="","",MIN(Input!$C$61/AH221,1))</f>
        <v>0.64438718771845094</v>
      </c>
      <c r="AJ221" s="152"/>
      <c r="AK221" s="164">
        <f>IF(AND($C220=12,$D220=Input!$C$6),0,IF($E221="","",IF($B221&gt;Input!$C$9,$AC221*AI221,0)+AK222/(1+$L221)*$R221))</f>
        <v>2460.6635761988605</v>
      </c>
      <c r="AL221" s="164">
        <f>IF(AND($C220=12,$D220=Input!$C$6),0,IF($E221="","",IF($B221&gt;Input!$C$9,0,$AC221)+AL222/(1+$L221)*$R221))</f>
        <v>359.70473932592813</v>
      </c>
      <c r="AM221" s="160">
        <f t="shared" si="69"/>
        <v>1.1382936520186004</v>
      </c>
      <c r="AN221" s="164">
        <f>IF($E221="","",IF($B221&gt;Input!$C$9,$AI221*$AC221,$AM221*$AC221))</f>
        <v>216.17980790325885</v>
      </c>
      <c r="AO221" s="164">
        <f>IF(AND($C220=12,$D220=Input!$C$6),0,IF($E221="","",$AN221+AO222/(1+$L221)*$R221))</f>
        <v>2870.1131975745702</v>
      </c>
      <c r="AP221" s="152"/>
      <c r="AQ221" s="164">
        <f t="shared" si="70"/>
        <v>145.121474033509</v>
      </c>
      <c r="AR221" s="164">
        <f t="shared" si="79"/>
        <v>102.99326487485115</v>
      </c>
      <c r="AS221" s="164">
        <f t="shared" si="80"/>
        <v>290.90909090909093</v>
      </c>
      <c r="AT221" s="164">
        <f t="shared" si="71"/>
        <v>290.90909090909093</v>
      </c>
      <c r="AU221" s="152"/>
      <c r="AV221" s="147">
        <f>'Deterministic Reserve'!BC221</f>
        <v>0.46980826462271613</v>
      </c>
      <c r="AW221" s="164">
        <f t="shared" si="72"/>
        <v>290.90909090909093</v>
      </c>
      <c r="AX221" s="164">
        <f t="shared" si="73"/>
        <v>136.67149516297198</v>
      </c>
      <c r="AY221" s="152"/>
    </row>
    <row r="222" spans="1:51" s="150" customFormat="1" x14ac:dyDescent="0.25">
      <c r="A222" s="150">
        <f t="shared" si="81"/>
        <v>218</v>
      </c>
      <c r="B222" s="150">
        <f t="shared" si="82"/>
        <v>19</v>
      </c>
      <c r="C222" s="150">
        <f t="shared" si="83"/>
        <v>2</v>
      </c>
      <c r="D222" s="150">
        <f>IF(E222="","",Input!$C$4+B222-1)</f>
        <v>63</v>
      </c>
      <c r="E222" s="150">
        <f>IF(OR(AND(C221=12,D221=Input!$C$6),E221=""),"",1)</f>
        <v>1</v>
      </c>
      <c r="F222" s="150">
        <f>IF(E222="","",Input!$C$8+B222-1)</f>
        <v>2036</v>
      </c>
      <c r="G222" s="151">
        <f>IF(E222="","",MAX(0,Input!$C$9-B222))</f>
        <v>1</v>
      </c>
      <c r="H222" s="152">
        <f>IF(E222="","",Input!$C$3)</f>
        <v>100000</v>
      </c>
      <c r="I222" s="153">
        <f>IF(E222="","",HLOOKUP($B222,Input!$C$13:$BT$14,2))</f>
        <v>2.2999999999999998</v>
      </c>
      <c r="J222" s="154"/>
      <c r="K222" s="155">
        <f>IF($E222="","",Input!$C$57)</f>
        <v>4.4999999999999998E-2</v>
      </c>
      <c r="L222" s="155">
        <f t="shared" si="74"/>
        <v>3.6748094004368514E-3</v>
      </c>
      <c r="M222" s="147">
        <f>IF($E222="","",VLOOKUP(IF($B222&lt;=Input!$C$7,$B222,26),'Mortality Tables'!$A$72:$CA$97,IF($B222&lt;=Input!$C$7+1,Input!$C$4-16,$D222-Input!$C$7-16),0)/1000)</f>
        <v>6.0800000000000003E-3</v>
      </c>
      <c r="N222" s="147">
        <f t="shared" si="63"/>
        <v>5.0808408669900107E-4</v>
      </c>
      <c r="O222" s="157">
        <f>IF($E222="","",IF($C222=12,IF($B222&lt;Input!$C$9,Input!$C$54,IF($B222=Input!$C$9,Input!$C$55,Input!$C$56)),0%))</f>
        <v>0</v>
      </c>
      <c r="P222" s="167">
        <f>IF($E222="","",IF($B222=1,Input!$C$59,IF($B222&lt;6,Input!$C$60,0%)))</f>
        <v>0</v>
      </c>
      <c r="Q222" s="162">
        <f>IF($E222="","",Input!$C$58)</f>
        <v>2.5</v>
      </c>
      <c r="R222" s="156">
        <f t="shared" si="75"/>
        <v>0.999491915913301</v>
      </c>
      <c r="S222" s="154">
        <f t="shared" si="64"/>
        <v>0.31480448833288011</v>
      </c>
      <c r="T222" s="152"/>
      <c r="U222" s="150">
        <f t="shared" si="76"/>
        <v>0</v>
      </c>
      <c r="V222" s="150">
        <f t="shared" si="77"/>
        <v>0</v>
      </c>
      <c r="W222" s="168">
        <f t="shared" si="78"/>
        <v>0</v>
      </c>
      <c r="X222" s="163">
        <f t="shared" si="65"/>
        <v>50.808408669900103</v>
      </c>
      <c r="Y222" s="152"/>
      <c r="Z222" s="164">
        <f>IF(AND($C221=12,$D221=Input!$C$6),0,IF($E222="","",V222+Z223/(1+L222)*R222))</f>
        <v>4850.4206489024582</v>
      </c>
      <c r="AA222" s="164">
        <f>IF(OR($M222=1,AND($C221=12,$D221=Input!$C$6)),0,IF($E222="","",W222+(X222+AA223*$R222)/(1+$L222)))</f>
        <v>2977.0192517615442</v>
      </c>
      <c r="AB222" s="160">
        <f t="shared" si="66"/>
        <v>0.825720328500681</v>
      </c>
      <c r="AC222" s="164">
        <f t="shared" si="67"/>
        <v>0</v>
      </c>
      <c r="AD222" s="164">
        <f>IF(AND($C221=12,$D221=Input!$C$6),0,IF($E222="","",$AC222+AD223/(1+$L222)*$R222))</f>
        <v>4005.0909315782237</v>
      </c>
      <c r="AE222" s="152"/>
      <c r="AF222" s="164">
        <f>IF(AND($C221=12,$D221=Input!$C$6),0,IF($E222="","",IF($B222&gt;Input!$C$9,$AC222,0)+AF223/(1+$L222)*$R222))</f>
        <v>3834.5912972088054</v>
      </c>
      <c r="AG222" s="164">
        <f>IF(AND($C221=12,$D221=Input!$C$6),0,IF($E222="","",(IF($B222&gt;Input!$C$9,$X222,0)+AG223)/(1+$L222)*$R222))</f>
        <v>1830.3418533763149</v>
      </c>
      <c r="AH222" s="160">
        <f t="shared" si="68"/>
        <v>2.0950137211446997</v>
      </c>
      <c r="AI222" s="160">
        <f>IF($E222="","",MIN(Input!$C$61/AH222,1))</f>
        <v>0.64438718771845094</v>
      </c>
      <c r="AJ222" s="152"/>
      <c r="AK222" s="164">
        <f>IF(AND($C221=12,$D221=Input!$C$6),0,IF($E222="","",IF($B222&gt;Input!$C$9,$AC222*AI222,0)+AK223/(1+$L222)*$R222))</f>
        <v>2470.9615020580304</v>
      </c>
      <c r="AL222" s="164">
        <f>IF(AND($C221=12,$D221=Input!$C$6),0,IF($E222="","",IF($B222&gt;Input!$C$9,0,$AC222)+AL223/(1+$L222)*$R222))</f>
        <v>170.49963436941886</v>
      </c>
      <c r="AM222" s="160">
        <f t="shared" si="69"/>
        <v>1.1382936520186004</v>
      </c>
      <c r="AN222" s="164">
        <f>IF($E222="","",IF($B222&gt;Input!$C$9,$AI222*$AC222,$AM222*$AC222))</f>
        <v>0</v>
      </c>
      <c r="AO222" s="164">
        <f>IF(AND($C221=12,$D221=Input!$C$6),0,IF($E222="","",$AN222+AO223/(1+$L222)*$R222))</f>
        <v>2665.0401535322321</v>
      </c>
      <c r="AP222" s="152"/>
      <c r="AQ222" s="164">
        <f t="shared" si="70"/>
        <v>311.97909822931206</v>
      </c>
      <c r="AR222" s="164">
        <f t="shared" si="79"/>
        <v>102.99326487485115</v>
      </c>
      <c r="AS222" s="164">
        <f t="shared" si="80"/>
        <v>290.90909090909093</v>
      </c>
      <c r="AT222" s="164">
        <f t="shared" si="71"/>
        <v>290.90909090909093</v>
      </c>
      <c r="AU222" s="152"/>
      <c r="AV222" s="147">
        <f>'Deterministic Reserve'!BC222</f>
        <v>0.4696577532753804</v>
      </c>
      <c r="AW222" s="164">
        <f t="shared" si="72"/>
        <v>290.90909090909093</v>
      </c>
      <c r="AX222" s="164">
        <f t="shared" si="73"/>
        <v>136.62771004374704</v>
      </c>
      <c r="AY222" s="152"/>
    </row>
    <row r="223" spans="1:51" s="150" customFormat="1" x14ac:dyDescent="0.25">
      <c r="A223" s="150">
        <f t="shared" si="81"/>
        <v>219</v>
      </c>
      <c r="B223" s="150">
        <f t="shared" si="82"/>
        <v>19</v>
      </c>
      <c r="C223" s="150">
        <f t="shared" si="83"/>
        <v>3</v>
      </c>
      <c r="D223" s="150">
        <f>IF(E223="","",Input!$C$4+B223-1)</f>
        <v>63</v>
      </c>
      <c r="E223" s="150">
        <f>IF(OR(AND(C222=12,D222=Input!$C$6),E222=""),"",1)</f>
        <v>1</v>
      </c>
      <c r="F223" s="150">
        <f>IF(E223="","",Input!$C$8+B223-1)</f>
        <v>2036</v>
      </c>
      <c r="G223" s="151">
        <f>IF(E223="","",MAX(0,Input!$C$9-B223))</f>
        <v>1</v>
      </c>
      <c r="H223" s="152">
        <f>IF(E223="","",Input!$C$3)</f>
        <v>100000</v>
      </c>
      <c r="I223" s="153">
        <f>IF(E223="","",HLOOKUP($B223,Input!$C$13:$BT$14,2))</f>
        <v>2.2999999999999998</v>
      </c>
      <c r="J223" s="154"/>
      <c r="K223" s="155">
        <f>IF($E223="","",Input!$C$57)</f>
        <v>4.4999999999999998E-2</v>
      </c>
      <c r="L223" s="155">
        <f t="shared" si="74"/>
        <v>3.6748094004368514E-3</v>
      </c>
      <c r="M223" s="147">
        <f>IF($E223="","",VLOOKUP(IF($B223&lt;=Input!$C$7,$B223,26),'Mortality Tables'!$A$72:$CA$97,IF($B223&lt;=Input!$C$7+1,Input!$C$4-16,$D223-Input!$C$7-16),0)/1000)</f>
        <v>6.0800000000000003E-3</v>
      </c>
      <c r="N223" s="147">
        <f t="shared" si="63"/>
        <v>5.0808408669900107E-4</v>
      </c>
      <c r="O223" s="157">
        <f>IF($E223="","",IF($C223=12,IF($B223&lt;Input!$C$9,Input!$C$54,IF($B223=Input!$C$9,Input!$C$55,Input!$C$56)),0%))</f>
        <v>0</v>
      </c>
      <c r="P223" s="167">
        <f>IF($E223="","",IF($B223=1,Input!$C$59,IF($B223&lt;6,Input!$C$60,0%)))</f>
        <v>0</v>
      </c>
      <c r="Q223" s="162">
        <f>IF($E223="","",Input!$C$58)</f>
        <v>2.5</v>
      </c>
      <c r="R223" s="156">
        <f t="shared" si="75"/>
        <v>0.999491915913301</v>
      </c>
      <c r="S223" s="154">
        <f t="shared" si="64"/>
        <v>0.31464454118193674</v>
      </c>
      <c r="T223" s="152"/>
      <c r="U223" s="150">
        <f t="shared" si="76"/>
        <v>0</v>
      </c>
      <c r="V223" s="150">
        <f t="shared" si="77"/>
        <v>0</v>
      </c>
      <c r="W223" s="168">
        <f t="shared" si="78"/>
        <v>0</v>
      </c>
      <c r="X223" s="163">
        <f t="shared" si="65"/>
        <v>50.808408669900103</v>
      </c>
      <c r="Y223" s="152"/>
      <c r="Z223" s="164">
        <f>IF(AND($C222=12,$D222=Input!$C$6),0,IF($E223="","",V223+Z224/(1+L223)*R223))</f>
        <v>4870.7197554976574</v>
      </c>
      <c r="AA223" s="164">
        <f>IF(OR($M223=1,AND($C222=12,$D222=Input!$C$6)),0,IF($E223="","",W223+(X223+AA224*$R223)/(1+$L223)))</f>
        <v>2938.6438996251736</v>
      </c>
      <c r="AB223" s="160">
        <f t="shared" si="66"/>
        <v>0.825720328500681</v>
      </c>
      <c r="AC223" s="164">
        <f t="shared" si="67"/>
        <v>0</v>
      </c>
      <c r="AD223" s="164">
        <f>IF(AND($C222=12,$D222=Input!$C$6),0,IF($E223="","",$AC223+AD224/(1+$L223)*$R223))</f>
        <v>4021.8523165442816</v>
      </c>
      <c r="AE223" s="152"/>
      <c r="AF223" s="164">
        <f>IF(AND($C222=12,$D222=Input!$C$6),0,IF($E223="","",IF($B223&gt;Input!$C$9,$AC223,0)+AF224/(1+$L223)*$R223))</f>
        <v>3850.6391378241706</v>
      </c>
      <c r="AG223" s="164">
        <f>IF(AND($C222=12,$D222=Input!$C$6),0,IF($E223="","",(IF($B223&gt;Input!$C$9,$X223,0)+AG224)/(1+$L223)*$R223))</f>
        <v>1838.0018703267513</v>
      </c>
      <c r="AH223" s="160">
        <f t="shared" si="68"/>
        <v>2.0950137211446997</v>
      </c>
      <c r="AI223" s="160">
        <f>IF($E223="","",MIN(Input!$C$61/AH223,1))</f>
        <v>0.64438718771845094</v>
      </c>
      <c r="AJ223" s="152"/>
      <c r="AK223" s="164">
        <f>IF(AND($C222=12,$D222=Input!$C$6),0,IF($E223="","",IF($B223&gt;Input!$C$9,$AC223*AI223,0)+AK224/(1+$L223)*$R223))</f>
        <v>2481.3025249411194</v>
      </c>
      <c r="AL223" s="164">
        <f>IF(AND($C222=12,$D222=Input!$C$6),0,IF($E223="","",IF($B223&gt;Input!$C$9,0,$AC223)+AL224/(1+$L223)*$R223))</f>
        <v>171.21317872011147</v>
      </c>
      <c r="AM223" s="160">
        <f t="shared" si="69"/>
        <v>1.1382936520186004</v>
      </c>
      <c r="AN223" s="164">
        <f>IF($E223="","",IF($B223&gt;Input!$C$9,$AI223*$AC223,$AM223*$AC223))</f>
        <v>0</v>
      </c>
      <c r="AO223" s="164">
        <f>IF(AND($C222=12,$D222=Input!$C$6),0,IF($E223="","",$AN223+AO224/(1+$L223)*$R223))</f>
        <v>2676.1933994201481</v>
      </c>
      <c r="AP223" s="152"/>
      <c r="AQ223" s="164">
        <f t="shared" si="70"/>
        <v>262.45050020502549</v>
      </c>
      <c r="AR223" s="164">
        <f t="shared" si="79"/>
        <v>102.99326487485115</v>
      </c>
      <c r="AS223" s="164">
        <f t="shared" si="80"/>
        <v>290.90909090909093</v>
      </c>
      <c r="AT223" s="164">
        <f t="shared" si="71"/>
        <v>290.90909090909093</v>
      </c>
      <c r="AU223" s="152"/>
      <c r="AV223" s="147">
        <f>'Deterministic Reserve'!BC223</f>
        <v>0.46950729014700415</v>
      </c>
      <c r="AW223" s="164">
        <f t="shared" si="72"/>
        <v>290.90909090909093</v>
      </c>
      <c r="AX223" s="164">
        <f t="shared" si="73"/>
        <v>136.58393895185577</v>
      </c>
      <c r="AY223" s="152"/>
    </row>
    <row r="224" spans="1:51" s="150" customFormat="1" x14ac:dyDescent="0.25">
      <c r="A224" s="150">
        <f t="shared" si="81"/>
        <v>220</v>
      </c>
      <c r="B224" s="150">
        <f t="shared" si="82"/>
        <v>19</v>
      </c>
      <c r="C224" s="150">
        <f t="shared" si="83"/>
        <v>4</v>
      </c>
      <c r="D224" s="150">
        <f>IF(E224="","",Input!$C$4+B224-1)</f>
        <v>63</v>
      </c>
      <c r="E224" s="150">
        <f>IF(OR(AND(C223=12,D223=Input!$C$6),E223=""),"",1)</f>
        <v>1</v>
      </c>
      <c r="F224" s="150">
        <f>IF(E224="","",Input!$C$8+B224-1)</f>
        <v>2036</v>
      </c>
      <c r="G224" s="151">
        <f>IF(E224="","",MAX(0,Input!$C$9-B224))</f>
        <v>1</v>
      </c>
      <c r="H224" s="152">
        <f>IF(E224="","",Input!$C$3)</f>
        <v>100000</v>
      </c>
      <c r="I224" s="153">
        <f>IF(E224="","",HLOOKUP($B224,Input!$C$13:$BT$14,2))</f>
        <v>2.2999999999999998</v>
      </c>
      <c r="J224" s="154"/>
      <c r="K224" s="155">
        <f>IF($E224="","",Input!$C$57)</f>
        <v>4.4999999999999998E-2</v>
      </c>
      <c r="L224" s="155">
        <f t="shared" si="74"/>
        <v>3.6748094004368514E-3</v>
      </c>
      <c r="M224" s="147">
        <f>IF($E224="","",VLOOKUP(IF($B224&lt;=Input!$C$7,$B224,26),'Mortality Tables'!$A$72:$CA$97,IF($B224&lt;=Input!$C$7+1,Input!$C$4-16,$D224-Input!$C$7-16),0)/1000)</f>
        <v>6.0800000000000003E-3</v>
      </c>
      <c r="N224" s="147">
        <f t="shared" si="63"/>
        <v>5.0808408669900107E-4</v>
      </c>
      <c r="O224" s="157">
        <f>IF($E224="","",IF($C224=12,IF($B224&lt;Input!$C$9,Input!$C$54,IF($B224=Input!$C$9,Input!$C$55,Input!$C$56)),0%))</f>
        <v>0</v>
      </c>
      <c r="P224" s="167">
        <f>IF($E224="","",IF($B224=1,Input!$C$59,IF($B224&lt;6,Input!$C$60,0%)))</f>
        <v>0</v>
      </c>
      <c r="Q224" s="162">
        <f>IF($E224="","",Input!$C$58)</f>
        <v>2.5</v>
      </c>
      <c r="R224" s="156">
        <f t="shared" si="75"/>
        <v>0.999491915913301</v>
      </c>
      <c r="S224" s="154">
        <f t="shared" si="64"/>
        <v>0.3144846752975955</v>
      </c>
      <c r="T224" s="152"/>
      <c r="U224" s="150">
        <f t="shared" si="76"/>
        <v>0</v>
      </c>
      <c r="V224" s="150">
        <f t="shared" si="77"/>
        <v>0</v>
      </c>
      <c r="W224" s="168">
        <f t="shared" si="78"/>
        <v>0</v>
      </c>
      <c r="X224" s="163">
        <f t="shared" si="65"/>
        <v>50.808408669900103</v>
      </c>
      <c r="Y224" s="152"/>
      <c r="Z224" s="164">
        <f>IF(AND($C223=12,$D223=Input!$C$6),0,IF($E224="","",V224+Z225/(1+L224)*R224))</f>
        <v>4891.1038142564703</v>
      </c>
      <c r="AA224" s="164">
        <f>IF(OR($M224=1,AND($C223=12,$D223=Input!$C$6)),0,IF($E224="","",W224+(X224+AA225*$R224)/(1+$L224)))</f>
        <v>2900.1079458791633</v>
      </c>
      <c r="AB224" s="160">
        <f t="shared" si="66"/>
        <v>0.825720328500681</v>
      </c>
      <c r="AC224" s="164">
        <f t="shared" si="67"/>
        <v>0</v>
      </c>
      <c r="AD224" s="164">
        <f>IF(AND($C223=12,$D223=Input!$C$6),0,IF($E224="","",$AC224+AD225/(1+$L224)*$R224))</f>
        <v>4038.6838482387857</v>
      </c>
      <c r="AE224" s="152"/>
      <c r="AF224" s="164">
        <f>IF(AND($C223=12,$D223=Input!$C$6),0,IF($E224="","",IF($B224&gt;Input!$C$9,$AC224,0)+AF225/(1+$L224)*$R224))</f>
        <v>3866.7541389707258</v>
      </c>
      <c r="AG224" s="164">
        <f>IF(AND($C223=12,$D223=Input!$C$6),0,IF($E224="","",(IF($B224&gt;Input!$C$9,$X224,0)+AG225)/(1+$L224)*$R224))</f>
        <v>1845.6939446000165</v>
      </c>
      <c r="AH224" s="160">
        <f t="shared" si="68"/>
        <v>2.0950137211446997</v>
      </c>
      <c r="AI224" s="160">
        <f>IF($E224="","",MIN(Input!$C$61/AH224,1))</f>
        <v>0.64438718771845094</v>
      </c>
      <c r="AJ224" s="152"/>
      <c r="AK224" s="164">
        <f>IF(AND($C223=12,$D223=Input!$C$6),0,IF($E224="","",IF($B224&gt;Input!$C$9,$AC224*AI224,0)+AK225/(1+$L224)*$R224))</f>
        <v>2491.6868252100276</v>
      </c>
      <c r="AL224" s="164">
        <f>IF(AND($C223=12,$D223=Input!$C$6),0,IF($E224="","",IF($B224&gt;Input!$C$9,0,$AC224)+AL225/(1+$L224)*$R224))</f>
        <v>171.92970926806072</v>
      </c>
      <c r="AM224" s="160">
        <f t="shared" si="69"/>
        <v>1.1382936520186004</v>
      </c>
      <c r="AN224" s="164">
        <f>IF($E224="","",IF($B224&gt;Input!$C$9,$AI224*$AC224,$AM224*$AC224))</f>
        <v>0</v>
      </c>
      <c r="AO224" s="164">
        <f>IF(AND($C223=12,$D223=Input!$C$6),0,IF($E224="","",$AN224+AO225/(1+$L224)*$R224))</f>
        <v>2687.3933218632646</v>
      </c>
      <c r="AP224" s="152"/>
      <c r="AQ224" s="164">
        <f t="shared" si="70"/>
        <v>212.71462401589861</v>
      </c>
      <c r="AR224" s="164">
        <f t="shared" si="79"/>
        <v>102.99326487485115</v>
      </c>
      <c r="AS224" s="164">
        <f t="shared" si="80"/>
        <v>290.90909090909093</v>
      </c>
      <c r="AT224" s="164">
        <f t="shared" si="71"/>
        <v>290.90909090909093</v>
      </c>
      <c r="AU224" s="152"/>
      <c r="AV224" s="147">
        <f>'Deterministic Reserve'!BC224</f>
        <v>0.46935687522213959</v>
      </c>
      <c r="AW224" s="164">
        <f t="shared" si="72"/>
        <v>290.90909090909093</v>
      </c>
      <c r="AX224" s="164">
        <f t="shared" si="73"/>
        <v>136.54018188280426</v>
      </c>
      <c r="AY224" s="152"/>
    </row>
    <row r="225" spans="1:51" s="150" customFormat="1" x14ac:dyDescent="0.25">
      <c r="A225" s="150">
        <f t="shared" si="81"/>
        <v>221</v>
      </c>
      <c r="B225" s="150">
        <f t="shared" si="82"/>
        <v>19</v>
      </c>
      <c r="C225" s="150">
        <f t="shared" si="83"/>
        <v>5</v>
      </c>
      <c r="D225" s="150">
        <f>IF(E225="","",Input!$C$4+B225-1)</f>
        <v>63</v>
      </c>
      <c r="E225" s="150">
        <f>IF(OR(AND(C224=12,D224=Input!$C$6),E224=""),"",1)</f>
        <v>1</v>
      </c>
      <c r="F225" s="150">
        <f>IF(E225="","",Input!$C$8+B225-1)</f>
        <v>2036</v>
      </c>
      <c r="G225" s="151">
        <f>IF(E225="","",MAX(0,Input!$C$9-B225))</f>
        <v>1</v>
      </c>
      <c r="H225" s="152">
        <f>IF(E225="","",Input!$C$3)</f>
        <v>100000</v>
      </c>
      <c r="I225" s="153">
        <f>IF(E225="","",HLOOKUP($B225,Input!$C$13:$BT$14,2))</f>
        <v>2.2999999999999998</v>
      </c>
      <c r="J225" s="154"/>
      <c r="K225" s="155">
        <f>IF($E225="","",Input!$C$57)</f>
        <v>4.4999999999999998E-2</v>
      </c>
      <c r="L225" s="155">
        <f t="shared" si="74"/>
        <v>3.6748094004368514E-3</v>
      </c>
      <c r="M225" s="147">
        <f>IF($E225="","",VLOOKUP(IF($B225&lt;=Input!$C$7,$B225,26),'Mortality Tables'!$A$72:$CA$97,IF($B225&lt;=Input!$C$7+1,Input!$C$4-16,$D225-Input!$C$7-16),0)/1000)</f>
        <v>6.0800000000000003E-3</v>
      </c>
      <c r="N225" s="147">
        <f t="shared" si="63"/>
        <v>5.0808408669900107E-4</v>
      </c>
      <c r="O225" s="157">
        <f>IF($E225="","",IF($C225=12,IF($B225&lt;Input!$C$9,Input!$C$54,IF($B225=Input!$C$9,Input!$C$55,Input!$C$56)),0%))</f>
        <v>0</v>
      </c>
      <c r="P225" s="167">
        <f>IF($E225="","",IF($B225=1,Input!$C$59,IF($B225&lt;6,Input!$C$60,0%)))</f>
        <v>0</v>
      </c>
      <c r="Q225" s="162">
        <f>IF($E225="","",Input!$C$58)</f>
        <v>2.5</v>
      </c>
      <c r="R225" s="156">
        <f t="shared" si="75"/>
        <v>0.999491915913301</v>
      </c>
      <c r="S225" s="154">
        <f t="shared" si="64"/>
        <v>0.31432489063856606</v>
      </c>
      <c r="T225" s="152"/>
      <c r="U225" s="150">
        <f t="shared" si="76"/>
        <v>0</v>
      </c>
      <c r="V225" s="150">
        <f t="shared" si="77"/>
        <v>0</v>
      </c>
      <c r="W225" s="168">
        <f t="shared" si="78"/>
        <v>0</v>
      </c>
      <c r="X225" s="163">
        <f t="shared" si="65"/>
        <v>50.808408669900103</v>
      </c>
      <c r="Y225" s="152"/>
      <c r="Z225" s="164">
        <f>IF(AND($C224=12,$D224=Input!$C$6),0,IF($E225="","",V225+Z226/(1+L225)*R225))</f>
        <v>4911.5731807053862</v>
      </c>
      <c r="AA225" s="164">
        <f>IF(OR($M225=1,AND($C224=12,$D224=Input!$C$6)),0,IF($E225="","",W225+(X225+AA226*$R225)/(1+$L225)))</f>
        <v>2861.410718402592</v>
      </c>
      <c r="AB225" s="160">
        <f t="shared" si="66"/>
        <v>0.825720328500681</v>
      </c>
      <c r="AC225" s="164">
        <f t="shared" si="67"/>
        <v>0</v>
      </c>
      <c r="AD225" s="164">
        <f>IF(AND($C224=12,$D224=Input!$C$6),0,IF($E225="","",$AC225+AD226/(1+$L225)*$R225))</f>
        <v>4055.5858202271852</v>
      </c>
      <c r="AE225" s="152"/>
      <c r="AF225" s="164">
        <f>IF(AND($C224=12,$D224=Input!$C$6),0,IF($E225="","",IF($B225&gt;Input!$C$9,$AC225,0)+AF226/(1+$L225)*$R225))</f>
        <v>3882.9365817166249</v>
      </c>
      <c r="AG225" s="164">
        <f>IF(AND($C224=12,$D224=Input!$C$6),0,IF($E225="","",(IF($B225&gt;Input!$C$9,$X225,0)+AG226)/(1+$L225)*$R225))</f>
        <v>1853.4182103566422</v>
      </c>
      <c r="AH225" s="160">
        <f t="shared" si="68"/>
        <v>2.0950137211446997</v>
      </c>
      <c r="AI225" s="160">
        <f>IF($E225="","",MIN(Input!$C$61/AH225,1))</f>
        <v>0.64438718771845094</v>
      </c>
      <c r="AJ225" s="152"/>
      <c r="AK225" s="164">
        <f>IF(AND($C224=12,$D224=Input!$C$6),0,IF($E225="","",IF($B225&gt;Input!$C$9,$AC225*AI225,0)+AK226/(1+$L225)*$R225))</f>
        <v>2502.1145839814726</v>
      </c>
      <c r="AL225" s="164">
        <f>IF(AND($C224=12,$D224=Input!$C$6),0,IF($E225="","",IF($B225&gt;Input!$C$9,0,$AC225)+AL226/(1+$L225)*$R225))</f>
        <v>172.64923851056128</v>
      </c>
      <c r="AM225" s="160">
        <f t="shared" si="69"/>
        <v>1.1382936520186004</v>
      </c>
      <c r="AN225" s="164">
        <f>IF($E225="","",IF($B225&gt;Input!$C$9,$AI225*$AC225,$AM225*$AC225))</f>
        <v>0</v>
      </c>
      <c r="AO225" s="164">
        <f>IF(AND($C224=12,$D224=Input!$C$6),0,IF($E225="","",$AN225+AO226/(1+$L225)*$R225))</f>
        <v>2698.6401162038896</v>
      </c>
      <c r="AP225" s="152"/>
      <c r="AQ225" s="164">
        <f t="shared" si="70"/>
        <v>162.77060219870236</v>
      </c>
      <c r="AR225" s="164">
        <f t="shared" si="79"/>
        <v>102.99326487485115</v>
      </c>
      <c r="AS225" s="164">
        <f t="shared" si="80"/>
        <v>290.90909090909093</v>
      </c>
      <c r="AT225" s="164">
        <f t="shared" si="71"/>
        <v>290.90909090909093</v>
      </c>
      <c r="AU225" s="152"/>
      <c r="AV225" s="147">
        <f>'Deterministic Reserve'!BC225</f>
        <v>0.4692065084853439</v>
      </c>
      <c r="AW225" s="164">
        <f t="shared" si="72"/>
        <v>290.90909090909093</v>
      </c>
      <c r="AX225" s="164">
        <f t="shared" si="73"/>
        <v>136.49643883210007</v>
      </c>
      <c r="AY225" s="152"/>
    </row>
    <row r="226" spans="1:51" s="150" customFormat="1" x14ac:dyDescent="0.25">
      <c r="A226" s="150">
        <f t="shared" si="81"/>
        <v>222</v>
      </c>
      <c r="B226" s="150">
        <f t="shared" si="82"/>
        <v>19</v>
      </c>
      <c r="C226" s="150">
        <f t="shared" si="83"/>
        <v>6</v>
      </c>
      <c r="D226" s="150">
        <f>IF(E226="","",Input!$C$4+B226-1)</f>
        <v>63</v>
      </c>
      <c r="E226" s="150">
        <f>IF(OR(AND(C225=12,D225=Input!$C$6),E225=""),"",1)</f>
        <v>1</v>
      </c>
      <c r="F226" s="150">
        <f>IF(E226="","",Input!$C$8+B226-1)</f>
        <v>2036</v>
      </c>
      <c r="G226" s="151">
        <f>IF(E226="","",MAX(0,Input!$C$9-B226))</f>
        <v>1</v>
      </c>
      <c r="H226" s="152">
        <f>IF(E226="","",Input!$C$3)</f>
        <v>100000</v>
      </c>
      <c r="I226" s="153">
        <f>IF(E226="","",HLOOKUP($B226,Input!$C$13:$BT$14,2))</f>
        <v>2.2999999999999998</v>
      </c>
      <c r="J226" s="154"/>
      <c r="K226" s="155">
        <f>IF($E226="","",Input!$C$57)</f>
        <v>4.4999999999999998E-2</v>
      </c>
      <c r="L226" s="155">
        <f t="shared" si="74"/>
        <v>3.6748094004368514E-3</v>
      </c>
      <c r="M226" s="147">
        <f>IF($E226="","",VLOOKUP(IF($B226&lt;=Input!$C$7,$B226,26),'Mortality Tables'!$A$72:$CA$97,IF($B226&lt;=Input!$C$7+1,Input!$C$4-16,$D226-Input!$C$7-16),0)/1000)</f>
        <v>6.0800000000000003E-3</v>
      </c>
      <c r="N226" s="147">
        <f t="shared" si="63"/>
        <v>5.0808408669900107E-4</v>
      </c>
      <c r="O226" s="157">
        <f>IF($E226="","",IF($C226=12,IF($B226&lt;Input!$C$9,Input!$C$54,IF($B226=Input!$C$9,Input!$C$55,Input!$C$56)),0%))</f>
        <v>0</v>
      </c>
      <c r="P226" s="167">
        <f>IF($E226="","",IF($B226=1,Input!$C$59,IF($B226&lt;6,Input!$C$60,0%)))</f>
        <v>0</v>
      </c>
      <c r="Q226" s="162">
        <f>IF($E226="","",Input!$C$58)</f>
        <v>2.5</v>
      </c>
      <c r="R226" s="156">
        <f t="shared" si="75"/>
        <v>0.999491915913301</v>
      </c>
      <c r="S226" s="154">
        <f t="shared" si="64"/>
        <v>0.31416518716357922</v>
      </c>
      <c r="T226" s="152"/>
      <c r="U226" s="150">
        <f t="shared" si="76"/>
        <v>0</v>
      </c>
      <c r="V226" s="150">
        <f t="shared" si="77"/>
        <v>0</v>
      </c>
      <c r="W226" s="168">
        <f t="shared" si="78"/>
        <v>0</v>
      </c>
      <c r="X226" s="163">
        <f t="shared" si="65"/>
        <v>50.808408669900103</v>
      </c>
      <c r="Y226" s="152"/>
      <c r="Z226" s="164">
        <f>IF(AND($C225=12,$D225=Input!$C$6),0,IF($E226="","",V226+Z227/(1+L226)*R226))</f>
        <v>4932.1282118587806</v>
      </c>
      <c r="AA226" s="164">
        <f>IF(OR($M226=1,AND($C225=12,$D225=Input!$C$6)),0,IF($E226="","",W226+(X226+AA227*$R226)/(1+$L226)))</f>
        <v>2822.5515422616995</v>
      </c>
      <c r="AB226" s="160">
        <f t="shared" si="66"/>
        <v>0.825720328500681</v>
      </c>
      <c r="AC226" s="164">
        <f t="shared" si="67"/>
        <v>0</v>
      </c>
      <c r="AD226" s="164">
        <f>IF(AND($C225=12,$D225=Input!$C$6),0,IF($E226="","",$AC226+AD227/(1+$L226)*$R226))</f>
        <v>4072.5585273035081</v>
      </c>
      <c r="AE226" s="152"/>
      <c r="AF226" s="164">
        <f>IF(AND($C225=12,$D225=Input!$C$6),0,IF($E226="","",IF($B226&gt;Input!$C$9,$AC226,0)+AF227/(1+$L226)*$R226))</f>
        <v>3899.1867483062993</v>
      </c>
      <c r="AG226" s="164">
        <f>IF(AND($C225=12,$D225=Input!$C$6),0,IF($E226="","",(IF($B226&gt;Input!$C$9,$X226,0)+AG227)/(1+$L226)*$R226))</f>
        <v>1861.1748023186249</v>
      </c>
      <c r="AH226" s="160">
        <f t="shared" si="68"/>
        <v>2.0950137211446997</v>
      </c>
      <c r="AI226" s="160">
        <f>IF($E226="","",MIN(Input!$C$61/AH226,1))</f>
        <v>0.64438718771845094</v>
      </c>
      <c r="AJ226" s="152"/>
      <c r="AK226" s="164">
        <f>IF(AND($C225=12,$D225=Input!$C$6),0,IF($E226="","",IF($B226&gt;Input!$C$9,$AC226*AI226,0)+AK227/(1+$L226)*$R226))</f>
        <v>2512.5859831301491</v>
      </c>
      <c r="AL226" s="164">
        <f>IF(AND($C225=12,$D225=Input!$C$6),0,IF($E226="","",IF($B226&gt;Input!$C$9,0,$AC226)+AL227/(1+$L226)*$R226))</f>
        <v>173.37177899720933</v>
      </c>
      <c r="AM226" s="160">
        <f t="shared" si="69"/>
        <v>1.1382936520186004</v>
      </c>
      <c r="AN226" s="164">
        <f>IF($E226="","",IF($B226&gt;Input!$C$9,$AI226*$AC226,$AM226*$AC226))</f>
        <v>0</v>
      </c>
      <c r="AO226" s="164">
        <f>IF(AND($C225=12,$D225=Input!$C$6),0,IF($E226="","",$AN226+AO227/(1+$L226)*$R226))</f>
        <v>2709.933978601844</v>
      </c>
      <c r="AP226" s="152"/>
      <c r="AQ226" s="164">
        <f t="shared" si="70"/>
        <v>112.61756365985548</v>
      </c>
      <c r="AR226" s="164">
        <f t="shared" si="79"/>
        <v>102.99326487485115</v>
      </c>
      <c r="AS226" s="164">
        <f t="shared" si="80"/>
        <v>290.90909090909093</v>
      </c>
      <c r="AT226" s="164">
        <f t="shared" si="71"/>
        <v>290.90909090909093</v>
      </c>
      <c r="AU226" s="152"/>
      <c r="AV226" s="147">
        <f>'Deterministic Reserve'!BC226</f>
        <v>0.46905618992117915</v>
      </c>
      <c r="AW226" s="164">
        <f t="shared" si="72"/>
        <v>290.90909090909093</v>
      </c>
      <c r="AX226" s="164">
        <f t="shared" si="73"/>
        <v>136.45270979525213</v>
      </c>
      <c r="AY226" s="152"/>
    </row>
    <row r="227" spans="1:51" s="150" customFormat="1" x14ac:dyDescent="0.25">
      <c r="A227" s="150">
        <f t="shared" si="81"/>
        <v>223</v>
      </c>
      <c r="B227" s="150">
        <f t="shared" si="82"/>
        <v>19</v>
      </c>
      <c r="C227" s="150">
        <f t="shared" si="83"/>
        <v>7</v>
      </c>
      <c r="D227" s="150">
        <f>IF(E227="","",Input!$C$4+B227-1)</f>
        <v>63</v>
      </c>
      <c r="E227" s="150">
        <f>IF(OR(AND(C226=12,D226=Input!$C$6),E226=""),"",1)</f>
        <v>1</v>
      </c>
      <c r="F227" s="150">
        <f>IF(E227="","",Input!$C$8+B227-1)</f>
        <v>2036</v>
      </c>
      <c r="G227" s="151">
        <f>IF(E227="","",MAX(0,Input!$C$9-B227))</f>
        <v>1</v>
      </c>
      <c r="H227" s="152">
        <f>IF(E227="","",Input!$C$3)</f>
        <v>100000</v>
      </c>
      <c r="I227" s="153">
        <f>IF(E227="","",HLOOKUP($B227,Input!$C$13:$BT$14,2))</f>
        <v>2.2999999999999998</v>
      </c>
      <c r="J227" s="154"/>
      <c r="K227" s="155">
        <f>IF($E227="","",Input!$C$57)</f>
        <v>4.4999999999999998E-2</v>
      </c>
      <c r="L227" s="155">
        <f t="shared" si="74"/>
        <v>3.6748094004368514E-3</v>
      </c>
      <c r="M227" s="147">
        <f>IF($E227="","",VLOOKUP(IF($B227&lt;=Input!$C$7,$B227,26),'Mortality Tables'!$A$72:$CA$97,IF($B227&lt;=Input!$C$7+1,Input!$C$4-16,$D227-Input!$C$7-16),0)/1000)</f>
        <v>6.0800000000000003E-3</v>
      </c>
      <c r="N227" s="147">
        <f t="shared" si="63"/>
        <v>5.0808408669900107E-4</v>
      </c>
      <c r="O227" s="157">
        <f>IF($E227="","",IF($C227=12,IF($B227&lt;Input!$C$9,Input!$C$54,IF($B227=Input!$C$9,Input!$C$55,Input!$C$56)),0%))</f>
        <v>0</v>
      </c>
      <c r="P227" s="167">
        <f>IF($E227="","",IF($B227=1,Input!$C$59,IF($B227&lt;6,Input!$C$60,0%)))</f>
        <v>0</v>
      </c>
      <c r="Q227" s="162">
        <f>IF($E227="","",Input!$C$58)</f>
        <v>2.5</v>
      </c>
      <c r="R227" s="156">
        <f t="shared" si="75"/>
        <v>0.999491915913301</v>
      </c>
      <c r="S227" s="154">
        <f t="shared" si="64"/>
        <v>0.31400556483138659</v>
      </c>
      <c r="T227" s="152"/>
      <c r="U227" s="150">
        <f t="shared" si="76"/>
        <v>0</v>
      </c>
      <c r="V227" s="150">
        <f t="shared" si="77"/>
        <v>0</v>
      </c>
      <c r="W227" s="168">
        <f t="shared" si="78"/>
        <v>0</v>
      </c>
      <c r="X227" s="163">
        <f t="shared" si="65"/>
        <v>50.808408669900103</v>
      </c>
      <c r="Y227" s="152"/>
      <c r="Z227" s="164">
        <f>IF(AND($C226=12,$D226=Input!$C$6),0,IF($E227="","",V227+Z228/(1+L227)*R227))</f>
        <v>4952.7692662251402</v>
      </c>
      <c r="AA227" s="164">
        <f>IF(OR($M227=1,AND($C226=12,$D226=Input!$C$6)),0,IF($E227="","",W227+(X227+AA228*$R227)/(1+$L227)))</f>
        <v>2783.5297396981146</v>
      </c>
      <c r="AB227" s="160">
        <f t="shared" si="66"/>
        <v>0.825720328500681</v>
      </c>
      <c r="AC227" s="164">
        <f t="shared" si="67"/>
        <v>0</v>
      </c>
      <c r="AD227" s="164">
        <f>IF(AND($C226=12,$D226=Input!$C$6),0,IF($E227="","",$AC227+AD228/(1+$L227)*$R227))</f>
        <v>4089.6022654954986</v>
      </c>
      <c r="AE227" s="152"/>
      <c r="AF227" s="164">
        <f>IF(AND($C226=12,$D226=Input!$C$6),0,IF($E227="","",IF($B227&gt;Input!$C$9,$AC227,0)+AF228/(1+$L227)*$R227))</f>
        <v>3915.504922165378</v>
      </c>
      <c r="AG227" s="164">
        <f>IF(AND($C226=12,$D226=Input!$C$6),0,IF($E227="","",(IF($B227&gt;Input!$C$9,$X227,0)+AG228)/(1+$L227)*$R227))</f>
        <v>1868.9638557717749</v>
      </c>
      <c r="AH227" s="160">
        <f t="shared" si="68"/>
        <v>2.0950137211446997</v>
      </c>
      <c r="AI227" s="160">
        <f>IF($E227="","",MIN(Input!$C$61/AH227,1))</f>
        <v>0.64438718771845094</v>
      </c>
      <c r="AJ227" s="152"/>
      <c r="AK227" s="164">
        <f>IF(AND($C226=12,$D226=Input!$C$6),0,IF($E227="","",IF($B227&gt;Input!$C$9,$AC227*AI227,0)+AK228/(1+$L227)*$R227))</f>
        <v>2523.1012052919014</v>
      </c>
      <c r="AL227" s="164">
        <f>IF(AND($C226=12,$D226=Input!$C$6),0,IF($E227="","",IF($B227&gt;Input!$C$9,0,$AC227)+AL228/(1+$L227)*$R227))</f>
        <v>174.09734333012133</v>
      </c>
      <c r="AM227" s="160">
        <f t="shared" si="69"/>
        <v>1.1382936520186004</v>
      </c>
      <c r="AN227" s="164">
        <f>IF($E227="","",IF($B227&gt;Input!$C$9,$AI227*$AC227,$AM227*$AC227))</f>
        <v>0</v>
      </c>
      <c r="AO227" s="164">
        <f>IF(AND($C226=12,$D226=Input!$C$6),0,IF($E227="","",$AN227+AO228/(1+$L227)*$R227))</f>
        <v>2721.2751060378814</v>
      </c>
      <c r="AP227" s="152"/>
      <c r="AQ227" s="164">
        <f t="shared" si="70"/>
        <v>62.254633660233139</v>
      </c>
      <c r="AR227" s="164">
        <f t="shared" si="79"/>
        <v>102.99326487485115</v>
      </c>
      <c r="AS227" s="164">
        <f t="shared" si="80"/>
        <v>290.90909090909093</v>
      </c>
      <c r="AT227" s="164">
        <f t="shared" si="71"/>
        <v>290.90909090909093</v>
      </c>
      <c r="AU227" s="152"/>
      <c r="AV227" s="147">
        <f>'Deterministic Reserve'!BC227</f>
        <v>0.4689059195142124</v>
      </c>
      <c r="AW227" s="164">
        <f t="shared" si="72"/>
        <v>290.90909090909093</v>
      </c>
      <c r="AX227" s="164">
        <f t="shared" si="73"/>
        <v>136.40899476777088</v>
      </c>
      <c r="AY227" s="152"/>
    </row>
    <row r="228" spans="1:51" s="150" customFormat="1" x14ac:dyDescent="0.25">
      <c r="A228" s="150">
        <f t="shared" si="81"/>
        <v>224</v>
      </c>
      <c r="B228" s="150">
        <f t="shared" si="82"/>
        <v>19</v>
      </c>
      <c r="C228" s="150">
        <f t="shared" si="83"/>
        <v>8</v>
      </c>
      <c r="D228" s="150">
        <f>IF(E228="","",Input!$C$4+B228-1)</f>
        <v>63</v>
      </c>
      <c r="E228" s="150">
        <f>IF(OR(AND(C227=12,D227=Input!$C$6),E227=""),"",1)</f>
        <v>1</v>
      </c>
      <c r="F228" s="150">
        <f>IF(E228="","",Input!$C$8+B228-1)</f>
        <v>2036</v>
      </c>
      <c r="G228" s="151">
        <f>IF(E228="","",MAX(0,Input!$C$9-B228))</f>
        <v>1</v>
      </c>
      <c r="H228" s="152">
        <f>IF(E228="","",Input!$C$3)</f>
        <v>100000</v>
      </c>
      <c r="I228" s="153">
        <f>IF(E228="","",HLOOKUP($B228,Input!$C$13:$BT$14,2))</f>
        <v>2.2999999999999998</v>
      </c>
      <c r="J228" s="154"/>
      <c r="K228" s="155">
        <f>IF($E228="","",Input!$C$57)</f>
        <v>4.4999999999999998E-2</v>
      </c>
      <c r="L228" s="155">
        <f t="shared" si="74"/>
        <v>3.6748094004368514E-3</v>
      </c>
      <c r="M228" s="147">
        <f>IF($E228="","",VLOOKUP(IF($B228&lt;=Input!$C$7,$B228,26),'Mortality Tables'!$A$72:$CA$97,IF($B228&lt;=Input!$C$7+1,Input!$C$4-16,$D228-Input!$C$7-16),0)/1000)</f>
        <v>6.0800000000000003E-3</v>
      </c>
      <c r="N228" s="147">
        <f t="shared" si="63"/>
        <v>5.0808408669900107E-4</v>
      </c>
      <c r="O228" s="157">
        <f>IF($E228="","",IF($C228=12,IF($B228&lt;Input!$C$9,Input!$C$54,IF($B228=Input!$C$9,Input!$C$55,Input!$C$56)),0%))</f>
        <v>0</v>
      </c>
      <c r="P228" s="167">
        <f>IF($E228="","",IF($B228=1,Input!$C$59,IF($B228&lt;6,Input!$C$60,0%)))</f>
        <v>0</v>
      </c>
      <c r="Q228" s="162">
        <f>IF($E228="","",Input!$C$58)</f>
        <v>2.5</v>
      </c>
      <c r="R228" s="156">
        <f t="shared" si="75"/>
        <v>0.999491915913301</v>
      </c>
      <c r="S228" s="154">
        <f t="shared" si="64"/>
        <v>0.3138460236007608</v>
      </c>
      <c r="T228" s="152"/>
      <c r="U228" s="150">
        <f t="shared" si="76"/>
        <v>0</v>
      </c>
      <c r="V228" s="150">
        <f t="shared" si="77"/>
        <v>0</v>
      </c>
      <c r="W228" s="168">
        <f t="shared" si="78"/>
        <v>0</v>
      </c>
      <c r="X228" s="163">
        <f t="shared" si="65"/>
        <v>50.808408669900103</v>
      </c>
      <c r="Y228" s="152"/>
      <c r="Z228" s="164">
        <f>IF(AND($C227=12,$D227=Input!$C$6),0,IF($E228="","",V228+Z229/(1+L228)*R228))</f>
        <v>4973.4967038133163</v>
      </c>
      <c r="AA228" s="164">
        <f>IF(OR($M228=1,AND($C227=12,$D227=Input!$C$6)),0,IF($E228="","",W228+(X228+AA229*$R228)/(1+$L228)))</f>
        <v>2744.3446301170329</v>
      </c>
      <c r="AB228" s="160">
        <f t="shared" si="66"/>
        <v>0.825720328500681</v>
      </c>
      <c r="AC228" s="164">
        <f t="shared" si="67"/>
        <v>0</v>
      </c>
      <c r="AD228" s="164">
        <f>IF(AND($C227=12,$D227=Input!$C$6),0,IF($E228="","",$AC228+AD229/(1+$L228)*$R228))</f>
        <v>4106.7173320697848</v>
      </c>
      <c r="AE228" s="152"/>
      <c r="AF228" s="164">
        <f>IF(AND($C227=12,$D227=Input!$C$6),0,IF($E228="","",IF($B228&gt;Input!$C$9,$AC228,0)+AF229/(1+$L228)*$R228))</f>
        <v>3931.8913879056317</v>
      </c>
      <c r="AG228" s="164">
        <f>IF(AND($C227=12,$D227=Input!$C$6),0,IF($E228="","",(IF($B228&gt;Input!$C$9,$X228,0)+AG229)/(1+$L228)*$R228))</f>
        <v>1876.7855065680765</v>
      </c>
      <c r="AH228" s="160">
        <f t="shared" si="68"/>
        <v>2.0950137211446997</v>
      </c>
      <c r="AI228" s="160">
        <f>IF($E228="","",MIN(Input!$C$61/AH228,1))</f>
        <v>0.64438718771845094</v>
      </c>
      <c r="AJ228" s="152"/>
      <c r="AK228" s="164">
        <f>IF(AND($C227=12,$D227=Input!$C$6),0,IF($E228="","",IF($B228&gt;Input!$C$9,$AC228*AI228,0)+AK229/(1+$L228)*$R228))</f>
        <v>2533.6604338669085</v>
      </c>
      <c r="AL228" s="164">
        <f>IF(AND($C227=12,$D227=Input!$C$6),0,IF($E228="","",IF($B228&gt;Input!$C$9,0,$AC228)+AL229/(1+$L228)*$R228))</f>
        <v>174.8259441641539</v>
      </c>
      <c r="AM228" s="160">
        <f t="shared" si="69"/>
        <v>1.1382936520186004</v>
      </c>
      <c r="AN228" s="164">
        <f>IF($E228="","",IF($B228&gt;Input!$C$9,$AI228*$AC228,$AM228*$AC228))</f>
        <v>0</v>
      </c>
      <c r="AO228" s="164">
        <f>IF(AND($C227=12,$D227=Input!$C$6),0,IF($E228="","",$AN228+AO229/(1+$L228)*$R228))</f>
        <v>2732.6636963171231</v>
      </c>
      <c r="AP228" s="152"/>
      <c r="AQ228" s="164">
        <f t="shared" si="70"/>
        <v>11.680933799909781</v>
      </c>
      <c r="AR228" s="164">
        <f t="shared" si="79"/>
        <v>102.99326487485115</v>
      </c>
      <c r="AS228" s="164">
        <f t="shared" si="80"/>
        <v>290.90909090909093</v>
      </c>
      <c r="AT228" s="164">
        <f t="shared" si="71"/>
        <v>290.90909090909093</v>
      </c>
      <c r="AU228" s="152"/>
      <c r="AV228" s="147">
        <f>'Deterministic Reserve'!BC228</f>
        <v>0.46875569724901567</v>
      </c>
      <c r="AW228" s="164">
        <f t="shared" si="72"/>
        <v>290.90909090909093</v>
      </c>
      <c r="AX228" s="164">
        <f t="shared" si="73"/>
        <v>136.3652937451682</v>
      </c>
      <c r="AY228" s="152"/>
    </row>
    <row r="229" spans="1:51" s="150" customFormat="1" x14ac:dyDescent="0.25">
      <c r="A229" s="150">
        <f t="shared" si="81"/>
        <v>225</v>
      </c>
      <c r="B229" s="150">
        <f t="shared" si="82"/>
        <v>19</v>
      </c>
      <c r="C229" s="150">
        <f t="shared" si="83"/>
        <v>9</v>
      </c>
      <c r="D229" s="150">
        <f>IF(E229="","",Input!$C$4+B229-1)</f>
        <v>63</v>
      </c>
      <c r="E229" s="150">
        <f>IF(OR(AND(C228=12,D228=Input!$C$6),E228=""),"",1)</f>
        <v>1</v>
      </c>
      <c r="F229" s="150">
        <f>IF(E229="","",Input!$C$8+B229-1)</f>
        <v>2036</v>
      </c>
      <c r="G229" s="151">
        <f>IF(E229="","",MAX(0,Input!$C$9-B229))</f>
        <v>1</v>
      </c>
      <c r="H229" s="152">
        <f>IF(E229="","",Input!$C$3)</f>
        <v>100000</v>
      </c>
      <c r="I229" s="153">
        <f>IF(E229="","",HLOOKUP($B229,Input!$C$13:$BT$14,2))</f>
        <v>2.2999999999999998</v>
      </c>
      <c r="J229" s="154"/>
      <c r="K229" s="155">
        <f>IF($E229="","",Input!$C$57)</f>
        <v>4.4999999999999998E-2</v>
      </c>
      <c r="L229" s="155">
        <f t="shared" si="74"/>
        <v>3.6748094004368514E-3</v>
      </c>
      <c r="M229" s="147">
        <f>IF($E229="","",VLOOKUP(IF($B229&lt;=Input!$C$7,$B229,26),'Mortality Tables'!$A$72:$CA$97,IF($B229&lt;=Input!$C$7+1,Input!$C$4-16,$D229-Input!$C$7-16),0)/1000)</f>
        <v>6.0800000000000003E-3</v>
      </c>
      <c r="N229" s="147">
        <f t="shared" si="63"/>
        <v>5.0808408669900107E-4</v>
      </c>
      <c r="O229" s="157">
        <f>IF($E229="","",IF($C229=12,IF($B229&lt;Input!$C$9,Input!$C$54,IF($B229=Input!$C$9,Input!$C$55,Input!$C$56)),0%))</f>
        <v>0</v>
      </c>
      <c r="P229" s="167">
        <f>IF($E229="","",IF($B229=1,Input!$C$59,IF($B229&lt;6,Input!$C$60,0%)))</f>
        <v>0</v>
      </c>
      <c r="Q229" s="162">
        <f>IF($E229="","",Input!$C$58)</f>
        <v>2.5</v>
      </c>
      <c r="R229" s="156">
        <f t="shared" si="75"/>
        <v>0.999491915913301</v>
      </c>
      <c r="S229" s="154">
        <f t="shared" si="64"/>
        <v>0.3136865634304955</v>
      </c>
      <c r="T229" s="152"/>
      <c r="U229" s="150">
        <f t="shared" si="76"/>
        <v>0</v>
      </c>
      <c r="V229" s="150">
        <f t="shared" si="77"/>
        <v>0</v>
      </c>
      <c r="W229" s="168">
        <f t="shared" si="78"/>
        <v>0</v>
      </c>
      <c r="X229" s="163">
        <f t="shared" si="65"/>
        <v>50.808408669900103</v>
      </c>
      <c r="Y229" s="152"/>
      <c r="Z229" s="164">
        <f>IF(AND($C228=12,$D228=Input!$C$6),0,IF($E229="","",V229+Z230/(1+L229)*R229))</f>
        <v>4994.3108861388064</v>
      </c>
      <c r="AA229" s="164">
        <f>IF(OR($M229=1,AND($C228=12,$D228=Input!$C$6)),0,IF($E229="","",W229+(X229+AA230*$R229)/(1+$L229)))</f>
        <v>2704.9955300753486</v>
      </c>
      <c r="AB229" s="160">
        <f t="shared" si="66"/>
        <v>0.825720328500681</v>
      </c>
      <c r="AC229" s="164">
        <f t="shared" si="67"/>
        <v>0</v>
      </c>
      <c r="AD229" s="164">
        <f>IF(AND($C228=12,$D228=Input!$C$6),0,IF($E229="","",$AC229+AD230/(1+$L229)*$R229))</f>
        <v>4123.904025537061</v>
      </c>
      <c r="AE229" s="152"/>
      <c r="AF229" s="164">
        <f>IF(AND($C228=12,$D228=Input!$C$6),0,IF($E229="","",IF($B229&gt;Input!$C$9,$AC229,0)+AF230/(1+$L229)*$R229))</f>
        <v>3948.3464313299373</v>
      </c>
      <c r="AG229" s="164">
        <f>IF(AND($C228=12,$D228=Input!$C$6),0,IF($E229="","",(IF($B229&gt;Input!$C$9,$X229,0)+AG230)/(1+$L229)*$R229))</f>
        <v>1884.6398911280567</v>
      </c>
      <c r="AH229" s="160">
        <f t="shared" si="68"/>
        <v>2.0950137211446997</v>
      </c>
      <c r="AI229" s="160">
        <f>IF($E229="","",MIN(Input!$C$61/AH229,1))</f>
        <v>0.64438718771845094</v>
      </c>
      <c r="AJ229" s="152"/>
      <c r="AK229" s="164">
        <f>IF(AND($C228=12,$D228=Input!$C$6),0,IF($E229="","",IF($B229&gt;Input!$C$9,$AC229*AI229,0)+AK230/(1+$L229)*$R229))</f>
        <v>2544.2638530228819</v>
      </c>
      <c r="AL229" s="164">
        <f>IF(AND($C228=12,$D228=Input!$C$6),0,IF($E229="","",IF($B229&gt;Input!$C$9,0,$AC229)+AL230/(1+$L229)*$R229))</f>
        <v>175.55759420712437</v>
      </c>
      <c r="AM229" s="160">
        <f t="shared" si="69"/>
        <v>1.1382936520186004</v>
      </c>
      <c r="AN229" s="164">
        <f>IF($E229="","",IF($B229&gt;Input!$C$9,$AI229*$AC229,$AM229*$AC229))</f>
        <v>0</v>
      </c>
      <c r="AO229" s="164">
        <f>IF(AND($C228=12,$D228=Input!$C$6),0,IF($E229="","",$AN229+AO230/(1+$L229)*$R229))</f>
        <v>2744.0999480725091</v>
      </c>
      <c r="AP229" s="152"/>
      <c r="AQ229" s="164">
        <f t="shared" si="70"/>
        <v>-39.104417997160454</v>
      </c>
      <c r="AR229" s="164">
        <f t="shared" si="79"/>
        <v>102.99326487485115</v>
      </c>
      <c r="AS229" s="164">
        <f t="shared" si="80"/>
        <v>290.90909090909093</v>
      </c>
      <c r="AT229" s="164">
        <f t="shared" si="71"/>
        <v>290.90909090909093</v>
      </c>
      <c r="AU229" s="152"/>
      <c r="AV229" s="147">
        <f>'Deterministic Reserve'!BC229</f>
        <v>0.46860552311016584</v>
      </c>
      <c r="AW229" s="164">
        <f t="shared" si="72"/>
        <v>290.90909090909093</v>
      </c>
      <c r="AX229" s="164">
        <f t="shared" si="73"/>
        <v>136.32160672295734</v>
      </c>
      <c r="AY229" s="152"/>
    </row>
    <row r="230" spans="1:51" s="150" customFormat="1" x14ac:dyDescent="0.25">
      <c r="A230" s="150">
        <f t="shared" si="81"/>
        <v>226</v>
      </c>
      <c r="B230" s="150">
        <f t="shared" si="82"/>
        <v>19</v>
      </c>
      <c r="C230" s="150">
        <f t="shared" si="83"/>
        <v>10</v>
      </c>
      <c r="D230" s="150">
        <f>IF(E230="","",Input!$C$4+B230-1)</f>
        <v>63</v>
      </c>
      <c r="E230" s="150">
        <f>IF(OR(AND(C229=12,D229=Input!$C$6),E229=""),"",1)</f>
        <v>1</v>
      </c>
      <c r="F230" s="150">
        <f>IF(E230="","",Input!$C$8+B230-1)</f>
        <v>2036</v>
      </c>
      <c r="G230" s="151">
        <f>IF(E230="","",MAX(0,Input!$C$9-B230))</f>
        <v>1</v>
      </c>
      <c r="H230" s="152">
        <f>IF(E230="","",Input!$C$3)</f>
        <v>100000</v>
      </c>
      <c r="I230" s="153">
        <f>IF(E230="","",HLOOKUP($B230,Input!$C$13:$BT$14,2))</f>
        <v>2.2999999999999998</v>
      </c>
      <c r="J230" s="154"/>
      <c r="K230" s="155">
        <f>IF($E230="","",Input!$C$57)</f>
        <v>4.4999999999999998E-2</v>
      </c>
      <c r="L230" s="155">
        <f t="shared" si="74"/>
        <v>3.6748094004368514E-3</v>
      </c>
      <c r="M230" s="147">
        <f>IF($E230="","",VLOOKUP(IF($B230&lt;=Input!$C$7,$B230,26),'Mortality Tables'!$A$72:$CA$97,IF($B230&lt;=Input!$C$7+1,Input!$C$4-16,$D230-Input!$C$7-16),0)/1000)</f>
        <v>6.0800000000000003E-3</v>
      </c>
      <c r="N230" s="147">
        <f t="shared" si="63"/>
        <v>5.0808408669900107E-4</v>
      </c>
      <c r="O230" s="157">
        <f>IF($E230="","",IF($C230=12,IF($B230&lt;Input!$C$9,Input!$C$54,IF($B230=Input!$C$9,Input!$C$55,Input!$C$56)),0%))</f>
        <v>0</v>
      </c>
      <c r="P230" s="167">
        <f>IF($E230="","",IF($B230=1,Input!$C$59,IF($B230&lt;6,Input!$C$60,0%)))</f>
        <v>0</v>
      </c>
      <c r="Q230" s="162">
        <f>IF($E230="","",Input!$C$58)</f>
        <v>2.5</v>
      </c>
      <c r="R230" s="156">
        <f t="shared" si="75"/>
        <v>0.999491915913301</v>
      </c>
      <c r="S230" s="154">
        <f t="shared" si="64"/>
        <v>0.31352718427940518</v>
      </c>
      <c r="T230" s="152"/>
      <c r="U230" s="150">
        <f t="shared" si="76"/>
        <v>0</v>
      </c>
      <c r="V230" s="150">
        <f t="shared" si="77"/>
        <v>0</v>
      </c>
      <c r="W230" s="168">
        <f t="shared" si="78"/>
        <v>0</v>
      </c>
      <c r="X230" s="163">
        <f t="shared" si="65"/>
        <v>50.808408669900103</v>
      </c>
      <c r="Y230" s="152"/>
      <c r="Z230" s="164">
        <f>IF(AND($C229=12,$D229=Input!$C$6),0,IF($E230="","",V230+Z231/(1+L230)*R230))</f>
        <v>5015.2121762300549</v>
      </c>
      <c r="AA230" s="164">
        <f>IF(OR($M230=1,AND($C229=12,$D229=Input!$C$6)),0,IF($E230="","",W230+(X230+AA231*$R230)/(1+$L230)))</f>
        <v>2665.4817532697321</v>
      </c>
      <c r="AB230" s="160">
        <f t="shared" si="66"/>
        <v>0.825720328500681</v>
      </c>
      <c r="AC230" s="164">
        <f t="shared" si="67"/>
        <v>0</v>
      </c>
      <c r="AD230" s="164">
        <f>IF(AND($C229=12,$D229=Input!$C$6),0,IF($E230="","",$AC230+AD231/(1+$L230)*$R230))</f>
        <v>4141.1626456572949</v>
      </c>
      <c r="AE230" s="152"/>
      <c r="AF230" s="164">
        <f>IF(AND($C229=12,$D229=Input!$C$6),0,IF($E230="","",IF($B230&gt;Input!$C$9,$AC230,0)+AF231/(1+$L230)*$R230))</f>
        <v>3964.8703394372628</v>
      </c>
      <c r="AG230" s="164">
        <f>IF(AND($C229=12,$D229=Input!$C$6),0,IF($E230="","",(IF($B230&gt;Input!$C$9,$X230,0)+AG231)/(1+$L230)*$R230))</f>
        <v>1892.527146443166</v>
      </c>
      <c r="AH230" s="160">
        <f t="shared" si="68"/>
        <v>2.0950137211446997</v>
      </c>
      <c r="AI230" s="160">
        <f>IF($E230="","",MIN(Input!$C$61/AH230,1))</f>
        <v>0.64438718771845094</v>
      </c>
      <c r="AJ230" s="152"/>
      <c r="AK230" s="164">
        <f>IF(AND($C229=12,$D229=Input!$C$6),0,IF($E230="","",IF($B230&gt;Input!$C$9,$AC230*AI230,0)+AK231/(1+$L230)*$R230))</f>
        <v>2554.9116476982795</v>
      </c>
      <c r="AL230" s="164">
        <f>IF(AND($C229=12,$D229=Input!$C$6),0,IF($E230="","",IF($B230&gt;Input!$C$9,0,$AC230)+AL231/(1+$L230)*$R230))</f>
        <v>176.29230622003266</v>
      </c>
      <c r="AM230" s="160">
        <f t="shared" si="69"/>
        <v>1.1382936520186004</v>
      </c>
      <c r="AN230" s="164">
        <f>IF($E230="","",IF($B230&gt;Input!$C$9,$AI230*$AC230,$AM230*$AC230))</f>
        <v>0</v>
      </c>
      <c r="AO230" s="164">
        <f>IF(AND($C229=12,$D229=Input!$C$6),0,IF($E230="","",$AN230+AO231/(1+$L230)*$R230))</f>
        <v>2755.5840607682621</v>
      </c>
      <c r="AP230" s="152"/>
      <c r="AQ230" s="164">
        <f t="shared" si="70"/>
        <v>-90.102307498530081</v>
      </c>
      <c r="AR230" s="164">
        <f t="shared" si="79"/>
        <v>102.99326487485115</v>
      </c>
      <c r="AS230" s="164">
        <f t="shared" si="80"/>
        <v>290.90909090909093</v>
      </c>
      <c r="AT230" s="164">
        <f t="shared" si="71"/>
        <v>290.90909090909093</v>
      </c>
      <c r="AU230" s="152"/>
      <c r="AV230" s="147">
        <f>'Deterministic Reserve'!BC230</f>
        <v>0.46845539708224482</v>
      </c>
      <c r="AW230" s="164">
        <f t="shared" si="72"/>
        <v>290.90909090909093</v>
      </c>
      <c r="AX230" s="164">
        <f t="shared" si="73"/>
        <v>136.27793369665304</v>
      </c>
      <c r="AY230" s="152"/>
    </row>
    <row r="231" spans="1:51" s="150" customFormat="1" x14ac:dyDescent="0.25">
      <c r="A231" s="150">
        <f t="shared" si="81"/>
        <v>227</v>
      </c>
      <c r="B231" s="150">
        <f t="shared" si="82"/>
        <v>19</v>
      </c>
      <c r="C231" s="150">
        <f t="shared" si="83"/>
        <v>11</v>
      </c>
      <c r="D231" s="150">
        <f>IF(E231="","",Input!$C$4+B231-1)</f>
        <v>63</v>
      </c>
      <c r="E231" s="150">
        <f>IF(OR(AND(C230=12,D230=Input!$C$6),E230=""),"",1)</f>
        <v>1</v>
      </c>
      <c r="F231" s="150">
        <f>IF(E231="","",Input!$C$8+B231-1)</f>
        <v>2036</v>
      </c>
      <c r="G231" s="151">
        <f>IF(E231="","",MAX(0,Input!$C$9-B231))</f>
        <v>1</v>
      </c>
      <c r="H231" s="152">
        <f>IF(E231="","",Input!$C$3)</f>
        <v>100000</v>
      </c>
      <c r="I231" s="153">
        <f>IF(E231="","",HLOOKUP($B231,Input!$C$13:$BT$14,2))</f>
        <v>2.2999999999999998</v>
      </c>
      <c r="J231" s="154"/>
      <c r="K231" s="155">
        <f>IF($E231="","",Input!$C$57)</f>
        <v>4.4999999999999998E-2</v>
      </c>
      <c r="L231" s="155">
        <f t="shared" si="74"/>
        <v>3.6748094004368514E-3</v>
      </c>
      <c r="M231" s="147">
        <f>IF($E231="","",VLOOKUP(IF($B231&lt;=Input!$C$7,$B231,26),'Mortality Tables'!$A$72:$CA$97,IF($B231&lt;=Input!$C$7+1,Input!$C$4-16,$D231-Input!$C$7-16),0)/1000)</f>
        <v>6.0800000000000003E-3</v>
      </c>
      <c r="N231" s="147">
        <f t="shared" si="63"/>
        <v>5.0808408669900107E-4</v>
      </c>
      <c r="O231" s="157">
        <f>IF($E231="","",IF($C231=12,IF($B231&lt;Input!$C$9,Input!$C$54,IF($B231=Input!$C$9,Input!$C$55,Input!$C$56)),0%))</f>
        <v>0</v>
      </c>
      <c r="P231" s="167">
        <f>IF($E231="","",IF($B231=1,Input!$C$59,IF($B231&lt;6,Input!$C$60,0%)))</f>
        <v>0</v>
      </c>
      <c r="Q231" s="162">
        <f>IF($E231="","",Input!$C$58)</f>
        <v>2.5</v>
      </c>
      <c r="R231" s="156">
        <f t="shared" si="75"/>
        <v>0.999491915913301</v>
      </c>
      <c r="S231" s="154">
        <f t="shared" si="64"/>
        <v>0.31336788610632527</v>
      </c>
      <c r="T231" s="152"/>
      <c r="U231" s="150">
        <f t="shared" si="76"/>
        <v>0</v>
      </c>
      <c r="V231" s="150">
        <f t="shared" si="77"/>
        <v>0</v>
      </c>
      <c r="W231" s="168">
        <f t="shared" si="78"/>
        <v>0</v>
      </c>
      <c r="X231" s="163">
        <f t="shared" si="65"/>
        <v>50.808408669900103</v>
      </c>
      <c r="Y231" s="152"/>
      <c r="Z231" s="164">
        <f>IF(AND($C230=12,$D230=Input!$C$6),0,IF($E231="","",V231+Z232/(1+L231)*R231))</f>
        <v>5036.2009386347891</v>
      </c>
      <c r="AA231" s="164">
        <f>IF(OR($M231=1,AND($C230=12,$D230=Input!$C$6)),0,IF($E231="","",W231+(X231+AA232*$R231)/(1+$L231)))</f>
        <v>2625.8026105246608</v>
      </c>
      <c r="AB231" s="160">
        <f t="shared" si="66"/>
        <v>0.825720328500681</v>
      </c>
      <c r="AC231" s="164">
        <f t="shared" si="67"/>
        <v>0</v>
      </c>
      <c r="AD231" s="164">
        <f>IF(AND($C230=12,$D230=Input!$C$6),0,IF($E231="","",$AC231+AD232/(1+$L231)*$R231))</f>
        <v>4158.4934934449557</v>
      </c>
      <c r="AE231" s="152"/>
      <c r="AF231" s="164">
        <f>IF(AND($C230=12,$D230=Input!$C$6),0,IF($E231="","",IF($B231&gt;Input!$C$9,$AC231,0)+AF232/(1+$L231)*$R231))</f>
        <v>3981.4634004276718</v>
      </c>
      <c r="AG231" s="164">
        <f>IF(AND($C230=12,$D230=Input!$C$6),0,IF($E231="","",(IF($B231&gt;Input!$C$9,$X231,0)+AG232)/(1+$L231)*$R231))</f>
        <v>1900.4474100781663</v>
      </c>
      <c r="AH231" s="160">
        <f t="shared" si="68"/>
        <v>2.0950137211446997</v>
      </c>
      <c r="AI231" s="160">
        <f>IF($E231="","",MIN(Input!$C$61/AH231,1))</f>
        <v>0.64438718771845094</v>
      </c>
      <c r="AJ231" s="152"/>
      <c r="AK231" s="164">
        <f>IF(AND($C230=12,$D230=Input!$C$6),0,IF($E231="","",IF($B231&gt;Input!$C$9,$AC231*AI231,0)+AK232/(1+$L231)*$R231))</f>
        <v>2565.6040036055301</v>
      </c>
      <c r="AL231" s="164">
        <f>IF(AND($C230=12,$D230=Input!$C$6),0,IF($E231="","",IF($B231&gt;Input!$C$9,0,$AC231)+AL232/(1+$L231)*$R231))</f>
        <v>177.03009301728366</v>
      </c>
      <c r="AM231" s="160">
        <f t="shared" si="69"/>
        <v>1.1382936520186004</v>
      </c>
      <c r="AN231" s="164">
        <f>IF($E231="","",IF($B231&gt;Input!$C$9,$AI231*$AC231,$AM231*$AC231))</f>
        <v>0</v>
      </c>
      <c r="AO231" s="164">
        <f>IF(AND($C230=12,$D230=Input!$C$6),0,IF($E231="","",$AN231+AO232/(1+$L231)*$R231))</f>
        <v>2767.1162347033664</v>
      </c>
      <c r="AP231" s="152"/>
      <c r="AQ231" s="164">
        <f t="shared" si="70"/>
        <v>-141.3136241787056</v>
      </c>
      <c r="AR231" s="164">
        <f t="shared" si="79"/>
        <v>102.99326487485115</v>
      </c>
      <c r="AS231" s="164">
        <f t="shared" si="80"/>
        <v>290.90909090909093</v>
      </c>
      <c r="AT231" s="164">
        <f t="shared" si="71"/>
        <v>290.90909090909093</v>
      </c>
      <c r="AU231" s="152"/>
      <c r="AV231" s="147">
        <f>'Deterministic Reserve'!BC231</f>
        <v>0.46830531914983942</v>
      </c>
      <c r="AW231" s="164">
        <f t="shared" si="72"/>
        <v>290.90909090909093</v>
      </c>
      <c r="AX231" s="164">
        <f t="shared" si="73"/>
        <v>136.23427466177148</v>
      </c>
      <c r="AY231" s="152"/>
    </row>
    <row r="232" spans="1:51" s="150" customFormat="1" x14ac:dyDescent="0.25">
      <c r="A232" s="150">
        <f t="shared" si="81"/>
        <v>228</v>
      </c>
      <c r="B232" s="150">
        <f t="shared" si="82"/>
        <v>19</v>
      </c>
      <c r="C232" s="150">
        <f t="shared" si="83"/>
        <v>12</v>
      </c>
      <c r="D232" s="150">
        <f>IF(E232="","",Input!$C$4+B232-1)</f>
        <v>63</v>
      </c>
      <c r="E232" s="150">
        <f>IF(OR(AND(C231=12,D231=Input!$C$6),E231=""),"",1)</f>
        <v>1</v>
      </c>
      <c r="F232" s="150">
        <f>IF(E232="","",Input!$C$8+B232-1)</f>
        <v>2036</v>
      </c>
      <c r="G232" s="151">
        <f>IF(E232="","",MAX(0,Input!$C$9-B232))</f>
        <v>1</v>
      </c>
      <c r="H232" s="152">
        <f>IF(E232="","",Input!$C$3)</f>
        <v>100000</v>
      </c>
      <c r="I232" s="153">
        <f>IF(E232="","",HLOOKUP($B232,Input!$C$13:$BT$14,2))</f>
        <v>2.2999999999999998</v>
      </c>
      <c r="J232" s="154"/>
      <c r="K232" s="155">
        <f>IF($E232="","",Input!$C$57)</f>
        <v>4.4999999999999998E-2</v>
      </c>
      <c r="L232" s="155">
        <f t="shared" si="74"/>
        <v>3.6748094004368514E-3</v>
      </c>
      <c r="M232" s="147">
        <f>IF($E232="","",VLOOKUP(IF($B232&lt;=Input!$C$7,$B232,26),'Mortality Tables'!$A$72:$CA$97,IF($B232&lt;=Input!$C$7+1,Input!$C$4-16,$D232-Input!$C$7-16),0)/1000)</f>
        <v>6.0800000000000003E-3</v>
      </c>
      <c r="N232" s="147">
        <f t="shared" si="63"/>
        <v>5.0808408669900107E-4</v>
      </c>
      <c r="O232" s="157">
        <f>IF($E232="","",IF($C232=12,IF($B232&lt;Input!$C$9,Input!$C$54,IF($B232=Input!$C$9,Input!$C$55,Input!$C$56)),0%))</f>
        <v>0.06</v>
      </c>
      <c r="P232" s="167">
        <f>IF($E232="","",IF($B232=1,Input!$C$59,IF($B232&lt;6,Input!$C$60,0%)))</f>
        <v>0</v>
      </c>
      <c r="Q232" s="162">
        <f>IF($E232="","",Input!$C$58)</f>
        <v>2.5</v>
      </c>
      <c r="R232" s="156">
        <f t="shared" si="75"/>
        <v>0.93949191591330106</v>
      </c>
      <c r="S232" s="154">
        <f t="shared" si="64"/>
        <v>0.29440659570373262</v>
      </c>
      <c r="T232" s="152"/>
      <c r="U232" s="150">
        <f t="shared" si="76"/>
        <v>0</v>
      </c>
      <c r="V232" s="150">
        <f t="shared" si="77"/>
        <v>0</v>
      </c>
      <c r="W232" s="168">
        <f t="shared" si="78"/>
        <v>0</v>
      </c>
      <c r="X232" s="163">
        <f t="shared" si="65"/>
        <v>50.808408669900103</v>
      </c>
      <c r="Y232" s="152"/>
      <c r="Z232" s="164">
        <f>IF(AND($C231=12,$D231=Input!$C$6),0,IF($E232="","",V232+Z233/(1+L232)*R232))</f>
        <v>5057.2775394263763</v>
      </c>
      <c r="AA232" s="164">
        <f>IF(OR($M232=1,AND($C231=12,$D231=Input!$C$6)),0,IF($E232="","",W232+(X232+AA233*$R232)/(1+$L232)))</f>
        <v>2585.9574097803993</v>
      </c>
      <c r="AB232" s="160">
        <f t="shared" si="66"/>
        <v>0.825720328500681</v>
      </c>
      <c r="AC232" s="164">
        <f t="shared" si="67"/>
        <v>0</v>
      </c>
      <c r="AD232" s="164">
        <f>IF(AND($C231=12,$D231=Input!$C$6),0,IF($E232="","",$AC232+AD233/(1+$L232)*$R232))</f>
        <v>4175.8968711742618</v>
      </c>
      <c r="AE232" s="152"/>
      <c r="AF232" s="164">
        <f>IF(AND($C231=12,$D231=Input!$C$6),0,IF($E232="","",IF($B232&gt;Input!$C$9,$AC232,0)+AF233/(1+$L232)*$R232))</f>
        <v>3998.1259037073514</v>
      </c>
      <c r="AG232" s="164">
        <f>IF(AND($C231=12,$D231=Input!$C$6),0,IF($E232="","",(IF($B232&gt;Input!$C$9,$X232,0)+AG233)/(1+$L232)*$R232))</f>
        <v>1908.400820173531</v>
      </c>
      <c r="AH232" s="160">
        <f t="shared" si="68"/>
        <v>2.0950137211446997</v>
      </c>
      <c r="AI232" s="160">
        <f>IF($E232="","",MIN(Input!$C$61/AH232,1))</f>
        <v>0.64438718771845094</v>
      </c>
      <c r="AJ232" s="152"/>
      <c r="AK232" s="164">
        <f>IF(AND($C231=12,$D231=Input!$C$6),0,IF($E232="","",IF($B232&gt;Input!$C$9,$AC232*AI232,0)+AK233/(1+$L232)*$R232))</f>
        <v>2576.3411072342724</v>
      </c>
      <c r="AL232" s="164">
        <f>IF(AND($C231=12,$D231=Input!$C$6),0,IF($E232="","",IF($B232&gt;Input!$C$9,0,$AC232)+AL233/(1+$L232)*$R232))</f>
        <v>177.7709674669108</v>
      </c>
      <c r="AM232" s="160">
        <f t="shared" si="69"/>
        <v>1.1382936520186004</v>
      </c>
      <c r="AN232" s="164">
        <f>IF($E232="","",IF($B232&gt;Input!$C$9,$AI232*$AC232,$AM232*$AC232))</f>
        <v>0</v>
      </c>
      <c r="AO232" s="164">
        <f>IF(AND($C231=12,$D231=Input!$C$6),0,IF($E232="","",$AN232+AO233/(1+$L232)*$R232))</f>
        <v>2778.6966710150618</v>
      </c>
      <c r="AP232" s="152"/>
      <c r="AQ232" s="164">
        <f t="shared" si="70"/>
        <v>-192.73926123466254</v>
      </c>
      <c r="AR232" s="164">
        <f t="shared" si="79"/>
        <v>102.99326487485115</v>
      </c>
      <c r="AS232" s="164">
        <f t="shared" si="80"/>
        <v>290.90909090909093</v>
      </c>
      <c r="AT232" s="164">
        <f t="shared" si="71"/>
        <v>290.90909090909093</v>
      </c>
      <c r="AU232" s="152"/>
      <c r="AV232" s="147">
        <f>'Deterministic Reserve'!BC232</f>
        <v>0.45878918291454462</v>
      </c>
      <c r="AW232" s="164">
        <f t="shared" si="72"/>
        <v>290.90909090909093</v>
      </c>
      <c r="AX232" s="164">
        <f t="shared" si="73"/>
        <v>133.4659441205948</v>
      </c>
      <c r="AY232" s="152"/>
    </row>
    <row r="233" spans="1:51" s="150" customFormat="1" x14ac:dyDescent="0.25">
      <c r="A233" s="150">
        <f t="shared" si="81"/>
        <v>229</v>
      </c>
      <c r="B233" s="150">
        <f t="shared" si="82"/>
        <v>20</v>
      </c>
      <c r="C233" s="150">
        <f t="shared" si="83"/>
        <v>1</v>
      </c>
      <c r="D233" s="150">
        <f>IF(E233="","",Input!$C$4+B233-1)</f>
        <v>64</v>
      </c>
      <c r="E233" s="150">
        <f>IF(OR(AND(C232=12,D232=Input!$C$6),E232=""),"",1)</f>
        <v>1</v>
      </c>
      <c r="F233" s="150">
        <f>IF(E233="","",Input!$C$8+B233-1)</f>
        <v>2037</v>
      </c>
      <c r="G233" s="151">
        <f>IF(E233="","",MAX(0,Input!$C$9-B233))</f>
        <v>0</v>
      </c>
      <c r="H233" s="152">
        <f>IF(E233="","",Input!$C$3)</f>
        <v>100000</v>
      </c>
      <c r="I233" s="153">
        <f>IF(E233="","",HLOOKUP($B233,Input!$C$13:$BT$14,2))</f>
        <v>2.2999999999999998</v>
      </c>
      <c r="J233" s="154"/>
      <c r="K233" s="155">
        <f>IF($E233="","",Input!$C$57)</f>
        <v>4.4999999999999998E-2</v>
      </c>
      <c r="L233" s="155">
        <f t="shared" si="74"/>
        <v>3.6748094004368514E-3</v>
      </c>
      <c r="M233" s="147">
        <f>IF($E233="","",VLOOKUP(IF($B233&lt;=Input!$C$7,$B233,26),'Mortality Tables'!$A$72:$CA$97,IF($B233&lt;=Input!$C$7+1,Input!$C$4-16,$D233-Input!$C$7-16),0)/1000)</f>
        <v>6.62E-3</v>
      </c>
      <c r="N233" s="147">
        <f t="shared" si="63"/>
        <v>5.5334762907877089E-4</v>
      </c>
      <c r="O233" s="157">
        <f>IF($E233="","",IF($C233=12,IF($B233&lt;Input!$C$9,Input!$C$54,IF($B233=Input!$C$9,Input!$C$55,Input!$C$56)),0%))</f>
        <v>0</v>
      </c>
      <c r="P233" s="167">
        <f>IF($E233="","",IF($B233=1,Input!$C$59,IF($B233&lt;6,Input!$C$60,0%)))</f>
        <v>0</v>
      </c>
      <c r="Q233" s="162">
        <f>IF($E233="","",Input!$C$58)</f>
        <v>2.5</v>
      </c>
      <c r="R233" s="156">
        <f t="shared" si="75"/>
        <v>0.99944665237092123</v>
      </c>
      <c r="S233" s="154">
        <f t="shared" si="64"/>
        <v>0.29424368651201482</v>
      </c>
      <c r="T233" s="152"/>
      <c r="U233" s="150">
        <f t="shared" si="76"/>
        <v>229.99999999999997</v>
      </c>
      <c r="V233" s="150">
        <f t="shared" si="77"/>
        <v>229.99999999999997</v>
      </c>
      <c r="W233" s="168">
        <f t="shared" si="78"/>
        <v>0</v>
      </c>
      <c r="X233" s="163">
        <f t="shared" si="65"/>
        <v>55.334762907877092</v>
      </c>
      <c r="Y233" s="152"/>
      <c r="Z233" s="164">
        <f>IF(AND($C232=12,$D232=Input!$C$6),0,IF($E233="","",V233+Z234/(1+L233)*R233))</f>
        <v>5402.7735465233027</v>
      </c>
      <c r="AA233" s="164">
        <f>IF(OR($M233=1,AND($C232=12,$D232=Input!$C$6)),0,IF($E233="","",W233+(X233+AA234*$R233)/(1+$L233)))</f>
        <v>2708.5404979087834</v>
      </c>
      <c r="AB233" s="160">
        <f t="shared" si="66"/>
        <v>0.825720328500681</v>
      </c>
      <c r="AC233" s="164">
        <f t="shared" si="67"/>
        <v>189.91567555515661</v>
      </c>
      <c r="AD233" s="164">
        <f>IF(AND($C232=12,$D232=Input!$C$6),0,IF($E233="","",$AC233+AD234/(1+$L233)*$R233))</f>
        <v>4461.17994765001</v>
      </c>
      <c r="AE233" s="152"/>
      <c r="AF233" s="164">
        <f>IF(AND($C232=12,$D232=Input!$C$6),0,IF($E233="","",IF($B233&gt;Input!$C$9,$AC233,0)+AF234/(1+$L233)*$R233))</f>
        <v>4271.2642720948534</v>
      </c>
      <c r="AG233" s="164">
        <f>IF(AND($C232=12,$D232=Input!$C$6),0,IF($E233="","",(IF($B233&gt;Input!$C$9,$X233,0)+AG234)/(1+$L233)*$R233))</f>
        <v>2038.7762757759226</v>
      </c>
      <c r="AH233" s="160">
        <f t="shared" si="68"/>
        <v>2.0950137211446997</v>
      </c>
      <c r="AI233" s="160">
        <f>IF($E233="","",MIN(Input!$C$61/AH233,1))</f>
        <v>0.64438718771845094</v>
      </c>
      <c r="AJ233" s="152"/>
      <c r="AK233" s="164">
        <f>IF(AND($C232=12,$D232=Input!$C$6),0,IF($E233="","",IF($B233&gt;Input!$C$9,$AC233*AI233,0)+AK234/(1+$L233)*$R233))</f>
        <v>2752.3479722975012</v>
      </c>
      <c r="AL233" s="164">
        <f>IF(AND($C232=12,$D232=Input!$C$6),0,IF($E233="","",IF($B233&gt;Input!$C$9,0,$AC233)+AL234/(1+$L233)*$R233))</f>
        <v>189.91567555515661</v>
      </c>
      <c r="AM233" s="160">
        <f t="shared" si="69"/>
        <v>1.1382936520186004</v>
      </c>
      <c r="AN233" s="164">
        <f>IF($E233="","",IF($B233&gt;Input!$C$9,$AI233*$AC233,$AM233*$AC233))</f>
        <v>216.17980790325885</v>
      </c>
      <c r="AO233" s="164">
        <f>IF(AND($C232=12,$D232=Input!$C$6),0,IF($E233="","",$AN233+AO234/(1+$L233)*$R233))</f>
        <v>2968.5277802007599</v>
      </c>
      <c r="AP233" s="152"/>
      <c r="AQ233" s="164">
        <f t="shared" si="70"/>
        <v>-259.9872822919765</v>
      </c>
      <c r="AR233" s="164">
        <f t="shared" si="79"/>
        <v>-322.25787885028075</v>
      </c>
      <c r="AS233" s="164">
        <f t="shared" si="80"/>
        <v>316.74641148325361</v>
      </c>
      <c r="AT233" s="164">
        <f t="shared" si="71"/>
        <v>316.74641148325361</v>
      </c>
      <c r="AU233" s="152"/>
      <c r="AV233" s="147">
        <f>'Deterministic Reserve'!BC233</f>
        <v>0.45862982046262446</v>
      </c>
      <c r="AW233" s="164">
        <f t="shared" si="72"/>
        <v>316.74641148325361</v>
      </c>
      <c r="AX233" s="164">
        <f t="shared" si="73"/>
        <v>145.26934983074517</v>
      </c>
      <c r="AY233" s="152"/>
    </row>
    <row r="234" spans="1:51" s="150" customFormat="1" x14ac:dyDescent="0.25">
      <c r="A234" s="150">
        <f t="shared" si="81"/>
        <v>230</v>
      </c>
      <c r="B234" s="150">
        <f t="shared" si="82"/>
        <v>20</v>
      </c>
      <c r="C234" s="150">
        <f t="shared" si="83"/>
        <v>2</v>
      </c>
      <c r="D234" s="150">
        <f>IF(E234="","",Input!$C$4+B234-1)</f>
        <v>64</v>
      </c>
      <c r="E234" s="150">
        <f>IF(OR(AND(C233=12,D233=Input!$C$6),E233=""),"",1)</f>
        <v>1</v>
      </c>
      <c r="F234" s="150">
        <f>IF(E234="","",Input!$C$8+B234-1)</f>
        <v>2037</v>
      </c>
      <c r="G234" s="151">
        <f>IF(E234="","",MAX(0,Input!$C$9-B234))</f>
        <v>0</v>
      </c>
      <c r="H234" s="152">
        <f>IF(E234="","",Input!$C$3)</f>
        <v>100000</v>
      </c>
      <c r="I234" s="153">
        <f>IF(E234="","",HLOOKUP($B234,Input!$C$13:$BT$14,2))</f>
        <v>2.2999999999999998</v>
      </c>
      <c r="J234" s="154"/>
      <c r="K234" s="155">
        <f>IF($E234="","",Input!$C$57)</f>
        <v>4.4999999999999998E-2</v>
      </c>
      <c r="L234" s="155">
        <f t="shared" si="74"/>
        <v>3.6748094004368514E-3</v>
      </c>
      <c r="M234" s="147">
        <f>IF($E234="","",VLOOKUP(IF($B234&lt;=Input!$C$7,$B234,26),'Mortality Tables'!$A$72:$CA$97,IF($B234&lt;=Input!$C$7+1,Input!$C$4-16,$D234-Input!$C$7-16),0)/1000)</f>
        <v>6.62E-3</v>
      </c>
      <c r="N234" s="147">
        <f t="shared" si="63"/>
        <v>5.5334762907877089E-4</v>
      </c>
      <c r="O234" s="157">
        <f>IF($E234="","",IF($C234=12,IF($B234&lt;Input!$C$9,Input!$C$54,IF($B234=Input!$C$9,Input!$C$55,Input!$C$56)),0%))</f>
        <v>0</v>
      </c>
      <c r="P234" s="167">
        <f>IF($E234="","",IF($B234=1,Input!$C$59,IF($B234&lt;6,Input!$C$60,0%)))</f>
        <v>0</v>
      </c>
      <c r="Q234" s="162">
        <f>IF($E234="","",Input!$C$58)</f>
        <v>2.5</v>
      </c>
      <c r="R234" s="156">
        <f t="shared" si="75"/>
        <v>0.99944665237092123</v>
      </c>
      <c r="S234" s="154">
        <f t="shared" si="64"/>
        <v>0.29408086746571199</v>
      </c>
      <c r="T234" s="152"/>
      <c r="U234" s="150">
        <f t="shared" si="76"/>
        <v>0</v>
      </c>
      <c r="V234" s="150">
        <f t="shared" si="77"/>
        <v>0</v>
      </c>
      <c r="W234" s="168">
        <f t="shared" si="78"/>
        <v>0</v>
      </c>
      <c r="X234" s="163">
        <f t="shared" si="65"/>
        <v>55.334762907877092</v>
      </c>
      <c r="Y234" s="152"/>
      <c r="Z234" s="164">
        <f>IF(AND($C233=12,$D233=Input!$C$6),0,IF($E234="","",V234+Z235/(1+L234)*R234))</f>
        <v>5194.6569544880404</v>
      </c>
      <c r="AA234" s="164">
        <f>IF(OR($M234=1,AND($C233=12,$D233=Input!$C$6)),0,IF($E234="","",W234+(X234+AA235*$R234)/(1+$L234)))</f>
        <v>2664.633573754486</v>
      </c>
      <c r="AB234" s="160">
        <f t="shared" si="66"/>
        <v>0.825720328500681</v>
      </c>
      <c r="AC234" s="164">
        <f t="shared" si="67"/>
        <v>0</v>
      </c>
      <c r="AD234" s="164">
        <f>IF(AND($C233=12,$D233=Input!$C$6),0,IF($E234="","",$AC234+AD235/(1+$L234)*$R234))</f>
        <v>4289.3338469082119</v>
      </c>
      <c r="AE234" s="152"/>
      <c r="AF234" s="164">
        <f>IF(AND($C233=12,$D233=Input!$C$6),0,IF($E234="","",IF($B234&gt;Input!$C$9,$AC234,0)+AF235/(1+$L234)*$R234))</f>
        <v>4289.3338469082119</v>
      </c>
      <c r="AG234" s="164">
        <f>IF(AND($C233=12,$D233=Input!$C$6),0,IF($E234="","",(IF($B234&gt;Input!$C$9,$X234,0)+AG235)/(1+$L234)*$R234))</f>
        <v>2047.4013146627731</v>
      </c>
      <c r="AH234" s="160">
        <f t="shared" si="68"/>
        <v>2.0950137211446997</v>
      </c>
      <c r="AI234" s="160">
        <f>IF($E234="","",MIN(Input!$C$61/AH234,1))</f>
        <v>0.64438718771845094</v>
      </c>
      <c r="AJ234" s="152"/>
      <c r="AK234" s="164">
        <f>IF(AND($C233=12,$D233=Input!$C$6),0,IF($E234="","",IF($B234&gt;Input!$C$9,$AC234*AI234,0)+AK235/(1+$L234)*$R234))</f>
        <v>2763.9917747947493</v>
      </c>
      <c r="AL234" s="164">
        <f>IF(AND($C233=12,$D233=Input!$C$6),0,IF($E234="","",IF($B234&gt;Input!$C$9,0,$AC234)+AL235/(1+$L234)*$R234))</f>
        <v>0</v>
      </c>
      <c r="AM234" s="160">
        <f t="shared" si="69"/>
        <v>1.1382936520186004</v>
      </c>
      <c r="AN234" s="164">
        <f>IF($E234="","",IF($B234&gt;Input!$C$9,$AI234*$AC234,$AM234*$AC234))</f>
        <v>0</v>
      </c>
      <c r="AO234" s="164">
        <f>IF(AND($C233=12,$D233=Input!$C$6),0,IF($E234="","",$AN234+AO235/(1+$L234)*$R234))</f>
        <v>2763.9917747947493</v>
      </c>
      <c r="AP234" s="152"/>
      <c r="AQ234" s="164">
        <f t="shared" si="70"/>
        <v>-99.358201040263339</v>
      </c>
      <c r="AR234" s="164">
        <f t="shared" si="79"/>
        <v>-322.25787885028075</v>
      </c>
      <c r="AS234" s="164">
        <f t="shared" si="80"/>
        <v>316.74641148325361</v>
      </c>
      <c r="AT234" s="164">
        <f t="shared" si="71"/>
        <v>316.74641148325361</v>
      </c>
      <c r="AU234" s="152"/>
      <c r="AV234" s="147">
        <f>'Deterministic Reserve'!BC234</f>
        <v>0.45847051336595679</v>
      </c>
      <c r="AW234" s="164">
        <f t="shared" si="72"/>
        <v>316.74641148325361</v>
      </c>
      <c r="AX234" s="164">
        <f t="shared" si="73"/>
        <v>145.21888987955188</v>
      </c>
      <c r="AY234" s="152"/>
    </row>
    <row r="235" spans="1:51" s="150" customFormat="1" x14ac:dyDescent="0.25">
      <c r="A235" s="150">
        <f t="shared" si="81"/>
        <v>231</v>
      </c>
      <c r="B235" s="150">
        <f t="shared" si="82"/>
        <v>20</v>
      </c>
      <c r="C235" s="150">
        <f t="shared" si="83"/>
        <v>3</v>
      </c>
      <c r="D235" s="150">
        <f>IF(E235="","",Input!$C$4+B235-1)</f>
        <v>64</v>
      </c>
      <c r="E235" s="150">
        <f>IF(OR(AND(C234=12,D234=Input!$C$6),E234=""),"",1)</f>
        <v>1</v>
      </c>
      <c r="F235" s="150">
        <f>IF(E235="","",Input!$C$8+B235-1)</f>
        <v>2037</v>
      </c>
      <c r="G235" s="151">
        <f>IF(E235="","",MAX(0,Input!$C$9-B235))</f>
        <v>0</v>
      </c>
      <c r="H235" s="152">
        <f>IF(E235="","",Input!$C$3)</f>
        <v>100000</v>
      </c>
      <c r="I235" s="153">
        <f>IF(E235="","",HLOOKUP($B235,Input!$C$13:$BT$14,2))</f>
        <v>2.2999999999999998</v>
      </c>
      <c r="J235" s="154"/>
      <c r="K235" s="155">
        <f>IF($E235="","",Input!$C$57)</f>
        <v>4.4999999999999998E-2</v>
      </c>
      <c r="L235" s="155">
        <f t="shared" si="74"/>
        <v>3.6748094004368514E-3</v>
      </c>
      <c r="M235" s="147">
        <f>IF($E235="","",VLOOKUP(IF($B235&lt;=Input!$C$7,$B235,26),'Mortality Tables'!$A$72:$CA$97,IF($B235&lt;=Input!$C$7+1,Input!$C$4-16,$D235-Input!$C$7-16),0)/1000)</f>
        <v>6.62E-3</v>
      </c>
      <c r="N235" s="147">
        <f t="shared" si="63"/>
        <v>5.5334762907877089E-4</v>
      </c>
      <c r="O235" s="157">
        <f>IF($E235="","",IF($C235=12,IF($B235&lt;Input!$C$9,Input!$C$54,IF($B235=Input!$C$9,Input!$C$55,Input!$C$56)),0%))</f>
        <v>0</v>
      </c>
      <c r="P235" s="167">
        <f>IF($E235="","",IF($B235=1,Input!$C$59,IF($B235&lt;6,Input!$C$60,0%)))</f>
        <v>0</v>
      </c>
      <c r="Q235" s="162">
        <f>IF($E235="","",Input!$C$58)</f>
        <v>2.5</v>
      </c>
      <c r="R235" s="156">
        <f t="shared" si="75"/>
        <v>0.99944665237092123</v>
      </c>
      <c r="S235" s="154">
        <f t="shared" si="64"/>
        <v>0.29391813851494242</v>
      </c>
      <c r="T235" s="152"/>
      <c r="U235" s="150">
        <f t="shared" si="76"/>
        <v>0</v>
      </c>
      <c r="V235" s="150">
        <f t="shared" si="77"/>
        <v>0</v>
      </c>
      <c r="W235" s="168">
        <f t="shared" si="78"/>
        <v>0</v>
      </c>
      <c r="X235" s="163">
        <f t="shared" si="65"/>
        <v>55.334762907877092</v>
      </c>
      <c r="Y235" s="152"/>
      <c r="Z235" s="164">
        <f>IF(AND($C234=12,$D234=Input!$C$6),0,IF($E235="","",V235+Z236/(1+L235)*R235))</f>
        <v>5216.6329401656531</v>
      </c>
      <c r="AA235" s="164">
        <f>IF(OR($M235=1,AND($C234=12,$D234=Input!$C$6)),0,IF($E235="","",W235+(X235+AA236*$R235)/(1+$L235)))</f>
        <v>2620.540901446881</v>
      </c>
      <c r="AB235" s="160">
        <f t="shared" si="66"/>
        <v>0.825720328500681</v>
      </c>
      <c r="AC235" s="164">
        <f t="shared" si="67"/>
        <v>0</v>
      </c>
      <c r="AD235" s="164">
        <f>IF(AND($C234=12,$D234=Input!$C$6),0,IF($E235="","",$AC235+AD236/(1+$L235)*$R235))</f>
        <v>4307.479865021056</v>
      </c>
      <c r="AE235" s="152"/>
      <c r="AF235" s="164">
        <f>IF(AND($C234=12,$D234=Input!$C$6),0,IF($E235="","",IF($B235&gt;Input!$C$9,$AC235,0)+AF236/(1+$L235)*$R235))</f>
        <v>4307.479865021056</v>
      </c>
      <c r="AG235" s="164">
        <f>IF(AND($C234=12,$D234=Input!$C$6),0,IF($E235="","",(IF($B235&gt;Input!$C$9,$X235,0)+AG236)/(1+$L235)*$R235))</f>
        <v>2056.062841759087</v>
      </c>
      <c r="AH235" s="160">
        <f t="shared" si="68"/>
        <v>2.0950137211446997</v>
      </c>
      <c r="AI235" s="160">
        <f>IF($E235="","",MIN(Input!$C$61/AH235,1))</f>
        <v>0.64438718771845094</v>
      </c>
      <c r="AJ235" s="152"/>
      <c r="AK235" s="164">
        <f>IF(AND($C234=12,$D234=Input!$C$6),0,IF($E235="","",IF($B235&gt;Input!$C$9,$AC235*AI235,0)+AK236/(1+$L235)*$R235))</f>
        <v>2775.6848363747727</v>
      </c>
      <c r="AL235" s="164">
        <f>IF(AND($C234=12,$D234=Input!$C$6),0,IF($E235="","",IF($B235&gt;Input!$C$9,0,$AC235)+AL236/(1+$L235)*$R235))</f>
        <v>0</v>
      </c>
      <c r="AM235" s="160">
        <f t="shared" si="69"/>
        <v>1.1382936520186004</v>
      </c>
      <c r="AN235" s="164">
        <f>IF($E235="","",IF($B235&gt;Input!$C$9,$AI235*$AC235,$AM235*$AC235))</f>
        <v>0</v>
      </c>
      <c r="AO235" s="164">
        <f>IF(AND($C234=12,$D234=Input!$C$6),0,IF($E235="","",$AN235+AO236/(1+$L235)*$R235))</f>
        <v>2775.6848363747727</v>
      </c>
      <c r="AP235" s="152"/>
      <c r="AQ235" s="164">
        <f t="shared" si="70"/>
        <v>-155.14393492789168</v>
      </c>
      <c r="AR235" s="164">
        <f t="shared" si="79"/>
        <v>-322.25787885028075</v>
      </c>
      <c r="AS235" s="164">
        <f t="shared" si="80"/>
        <v>316.74641148325361</v>
      </c>
      <c r="AT235" s="164">
        <f t="shared" si="71"/>
        <v>316.74641148325361</v>
      </c>
      <c r="AU235" s="152"/>
      <c r="AV235" s="147">
        <f>'Deterministic Reserve'!BC235</f>
        <v>0.45831126160531377</v>
      </c>
      <c r="AW235" s="164">
        <f t="shared" si="72"/>
        <v>316.74641148325361</v>
      </c>
      <c r="AX235" s="164">
        <f t="shared" si="73"/>
        <v>145.16844745584581</v>
      </c>
      <c r="AY235" s="152"/>
    </row>
    <row r="236" spans="1:51" s="150" customFormat="1" x14ac:dyDescent="0.25">
      <c r="A236" s="150">
        <f t="shared" si="81"/>
        <v>232</v>
      </c>
      <c r="B236" s="150">
        <f t="shared" si="82"/>
        <v>20</v>
      </c>
      <c r="C236" s="150">
        <f t="shared" si="83"/>
        <v>4</v>
      </c>
      <c r="D236" s="150">
        <f>IF(E236="","",Input!$C$4+B236-1)</f>
        <v>64</v>
      </c>
      <c r="E236" s="150">
        <f>IF(OR(AND(C235=12,D235=Input!$C$6),E235=""),"",1)</f>
        <v>1</v>
      </c>
      <c r="F236" s="150">
        <f>IF(E236="","",Input!$C$8+B236-1)</f>
        <v>2037</v>
      </c>
      <c r="G236" s="151">
        <f>IF(E236="","",MAX(0,Input!$C$9-B236))</f>
        <v>0</v>
      </c>
      <c r="H236" s="152">
        <f>IF(E236="","",Input!$C$3)</f>
        <v>100000</v>
      </c>
      <c r="I236" s="153">
        <f>IF(E236="","",HLOOKUP($B236,Input!$C$13:$BT$14,2))</f>
        <v>2.2999999999999998</v>
      </c>
      <c r="J236" s="154"/>
      <c r="K236" s="155">
        <f>IF($E236="","",Input!$C$57)</f>
        <v>4.4999999999999998E-2</v>
      </c>
      <c r="L236" s="155">
        <f t="shared" si="74"/>
        <v>3.6748094004368514E-3</v>
      </c>
      <c r="M236" s="147">
        <f>IF($E236="","",VLOOKUP(IF($B236&lt;=Input!$C$7,$B236,26),'Mortality Tables'!$A$72:$CA$97,IF($B236&lt;=Input!$C$7+1,Input!$C$4-16,$D236-Input!$C$7-16),0)/1000)</f>
        <v>6.62E-3</v>
      </c>
      <c r="N236" s="147">
        <f t="shared" si="63"/>
        <v>5.5334762907877089E-4</v>
      </c>
      <c r="O236" s="157">
        <f>IF($E236="","",IF($C236=12,IF($B236&lt;Input!$C$9,Input!$C$54,IF($B236=Input!$C$9,Input!$C$55,Input!$C$56)),0%))</f>
        <v>0</v>
      </c>
      <c r="P236" s="167">
        <f>IF($E236="","",IF($B236=1,Input!$C$59,IF($B236&lt;6,Input!$C$60,0%)))</f>
        <v>0</v>
      </c>
      <c r="Q236" s="162">
        <f>IF($E236="","",Input!$C$58)</f>
        <v>2.5</v>
      </c>
      <c r="R236" s="156">
        <f t="shared" si="75"/>
        <v>0.99944665237092123</v>
      </c>
      <c r="S236" s="154">
        <f t="shared" si="64"/>
        <v>0.29375549960985192</v>
      </c>
      <c r="T236" s="152"/>
      <c r="U236" s="150">
        <f t="shared" si="76"/>
        <v>0</v>
      </c>
      <c r="V236" s="150">
        <f t="shared" si="77"/>
        <v>0</v>
      </c>
      <c r="W236" s="168">
        <f t="shared" si="78"/>
        <v>0</v>
      </c>
      <c r="X236" s="163">
        <f t="shared" si="65"/>
        <v>55.334762907877092</v>
      </c>
      <c r="Y236" s="152"/>
      <c r="Z236" s="164">
        <f>IF(AND($C235=12,$D235=Input!$C$6),0,IF($E236="","",V236+Z237/(1+L236)*R236))</f>
        <v>5238.7018952059652</v>
      </c>
      <c r="AA236" s="164">
        <f>IF(OR($M236=1,AND($C235=12,$D235=Input!$C$6)),0,IF($E236="","",W236+(X236+AA237*$R236)/(1+$L236)))</f>
        <v>2576.2616951787836</v>
      </c>
      <c r="AB236" s="160">
        <f t="shared" si="66"/>
        <v>0.825720328500681</v>
      </c>
      <c r="AC236" s="164">
        <f t="shared" si="67"/>
        <v>0</v>
      </c>
      <c r="AD236" s="164">
        <f>IF(AND($C235=12,$D235=Input!$C$6),0,IF($E236="","",$AC236+AD237/(1+$L236)*$R236))</f>
        <v>4325.7026498266086</v>
      </c>
      <c r="AE236" s="152"/>
      <c r="AF236" s="164">
        <f>IF(AND($C235=12,$D235=Input!$C$6),0,IF($E236="","",IF($B236&gt;Input!$C$9,$AC236,0)+AF237/(1+$L236)*$R236))</f>
        <v>4325.7026498266086</v>
      </c>
      <c r="AG236" s="164">
        <f>IF(AND($C235=12,$D235=Input!$C$6),0,IF($E236="","",(IF($B236&gt;Input!$C$9,$X236,0)+AG237)/(1+$L236)*$R236))</f>
        <v>2064.7610114281606</v>
      </c>
      <c r="AH236" s="160">
        <f t="shared" si="68"/>
        <v>2.0950137211446997</v>
      </c>
      <c r="AI236" s="160">
        <f>IF($E236="","",MIN(Input!$C$61/AH236,1))</f>
        <v>0.64438718771845094</v>
      </c>
      <c r="AJ236" s="152"/>
      <c r="AK236" s="164">
        <f>IF(AND($C235=12,$D235=Input!$C$6),0,IF($E236="","",IF($B236&gt;Input!$C$9,$AC236*AI236,0)+AK237/(1+$L236)*$R236))</f>
        <v>2787.4273654280214</v>
      </c>
      <c r="AL236" s="164">
        <f>IF(AND($C235=12,$D235=Input!$C$6),0,IF($E236="","",IF($B236&gt;Input!$C$9,0,$AC236)+AL237/(1+$L236)*$R236))</f>
        <v>0</v>
      </c>
      <c r="AM236" s="160">
        <f t="shared" si="69"/>
        <v>1.1382936520186004</v>
      </c>
      <c r="AN236" s="164">
        <f>IF($E236="","",IF($B236&gt;Input!$C$9,$AI236*$AC236,$AM236*$AC236))</f>
        <v>0</v>
      </c>
      <c r="AO236" s="164">
        <f>IF(AND($C235=12,$D235=Input!$C$6),0,IF($E236="","",$AN236+AO237/(1+$L236)*$R236))</f>
        <v>2787.4273654280214</v>
      </c>
      <c r="AP236" s="152"/>
      <c r="AQ236" s="164">
        <f t="shared" si="70"/>
        <v>-211.16567024923779</v>
      </c>
      <c r="AR236" s="164">
        <f t="shared" si="79"/>
        <v>-322.25787885028075</v>
      </c>
      <c r="AS236" s="164">
        <f t="shared" si="80"/>
        <v>316.74641148325361</v>
      </c>
      <c r="AT236" s="164">
        <f t="shared" si="71"/>
        <v>316.74641148325361</v>
      </c>
      <c r="AU236" s="152"/>
      <c r="AV236" s="147">
        <f>'Deterministic Reserve'!BC236</f>
        <v>0.45815206516147422</v>
      </c>
      <c r="AW236" s="164">
        <f t="shared" si="72"/>
        <v>316.74641148325361</v>
      </c>
      <c r="AX236" s="164">
        <f t="shared" si="73"/>
        <v>145.11802255353874</v>
      </c>
      <c r="AY236" s="152"/>
    </row>
    <row r="237" spans="1:51" s="150" customFormat="1" x14ac:dyDescent="0.25">
      <c r="A237" s="150">
        <f t="shared" si="81"/>
        <v>233</v>
      </c>
      <c r="B237" s="150">
        <f t="shared" si="82"/>
        <v>20</v>
      </c>
      <c r="C237" s="150">
        <f t="shared" si="83"/>
        <v>5</v>
      </c>
      <c r="D237" s="150">
        <f>IF(E237="","",Input!$C$4+B237-1)</f>
        <v>64</v>
      </c>
      <c r="E237" s="150">
        <f>IF(OR(AND(C236=12,D236=Input!$C$6),E236=""),"",1)</f>
        <v>1</v>
      </c>
      <c r="F237" s="150">
        <f>IF(E237="","",Input!$C$8+B237-1)</f>
        <v>2037</v>
      </c>
      <c r="G237" s="151">
        <f>IF(E237="","",MAX(0,Input!$C$9-B237))</f>
        <v>0</v>
      </c>
      <c r="H237" s="152">
        <f>IF(E237="","",Input!$C$3)</f>
        <v>100000</v>
      </c>
      <c r="I237" s="153">
        <f>IF(E237="","",HLOOKUP($B237,Input!$C$13:$BT$14,2))</f>
        <v>2.2999999999999998</v>
      </c>
      <c r="J237" s="154"/>
      <c r="K237" s="155">
        <f>IF($E237="","",Input!$C$57)</f>
        <v>4.4999999999999998E-2</v>
      </c>
      <c r="L237" s="155">
        <f t="shared" si="74"/>
        <v>3.6748094004368514E-3</v>
      </c>
      <c r="M237" s="147">
        <f>IF($E237="","",VLOOKUP(IF($B237&lt;=Input!$C$7,$B237,26),'Mortality Tables'!$A$72:$CA$97,IF($B237&lt;=Input!$C$7+1,Input!$C$4-16,$D237-Input!$C$7-16),0)/1000)</f>
        <v>6.62E-3</v>
      </c>
      <c r="N237" s="147">
        <f t="shared" si="63"/>
        <v>5.5334762907877089E-4</v>
      </c>
      <c r="O237" s="157">
        <f>IF($E237="","",IF($C237=12,IF($B237&lt;Input!$C$9,Input!$C$54,IF($B237=Input!$C$9,Input!$C$55,Input!$C$56)),0%))</f>
        <v>0</v>
      </c>
      <c r="P237" s="167">
        <f>IF($E237="","",IF($B237=1,Input!$C$59,IF($B237&lt;6,Input!$C$60,0%)))</f>
        <v>0</v>
      </c>
      <c r="Q237" s="162">
        <f>IF($E237="","",Input!$C$58)</f>
        <v>2.5</v>
      </c>
      <c r="R237" s="156">
        <f t="shared" si="75"/>
        <v>0.99944665237092123</v>
      </c>
      <c r="S237" s="154">
        <f t="shared" si="64"/>
        <v>0.29359295070061397</v>
      </c>
      <c r="T237" s="152"/>
      <c r="U237" s="150">
        <f t="shared" si="76"/>
        <v>0</v>
      </c>
      <c r="V237" s="150">
        <f t="shared" si="77"/>
        <v>0</v>
      </c>
      <c r="W237" s="168">
        <f t="shared" si="78"/>
        <v>0</v>
      </c>
      <c r="X237" s="163">
        <f t="shared" si="65"/>
        <v>55.334762907877092</v>
      </c>
      <c r="Y237" s="152"/>
      <c r="Z237" s="164">
        <f>IF(AND($C236=12,$D236=Input!$C$6),0,IF($E237="","",V237+Z238/(1+L237)*R237))</f>
        <v>5260.8642129156769</v>
      </c>
      <c r="AA237" s="164">
        <f>IF(OR($M237=1,AND($C236=12,$D236=Input!$C$6)),0,IF($E237="","",W237+(X237+AA238*$R237)/(1+$L237)))</f>
        <v>2531.7951658186539</v>
      </c>
      <c r="AB237" s="160">
        <f t="shared" si="66"/>
        <v>0.825720328500681</v>
      </c>
      <c r="AC237" s="164">
        <f t="shared" si="67"/>
        <v>0</v>
      </c>
      <c r="AD237" s="164">
        <f>IF(AND($C236=12,$D236=Input!$C$6),0,IF($E237="","",$AC237+AD238/(1+$L237)*$R237))</f>
        <v>4344.0025260862085</v>
      </c>
      <c r="AE237" s="152"/>
      <c r="AF237" s="164">
        <f>IF(AND($C236=12,$D236=Input!$C$6),0,IF($E237="","",IF($B237&gt;Input!$C$9,$AC237,0)+AF238/(1+$L237)*$R237))</f>
        <v>4344.0025260862085</v>
      </c>
      <c r="AG237" s="164">
        <f>IF(AND($C236=12,$D236=Input!$C$6),0,IF($E237="","",(IF($B237&gt;Input!$C$9,$X237,0)+AG238)/(1+$L237)*$R237))</f>
        <v>2073.4959786863224</v>
      </c>
      <c r="AH237" s="160">
        <f t="shared" si="68"/>
        <v>2.0950137211446997</v>
      </c>
      <c r="AI237" s="160">
        <f>IF($E237="","",MIN(Input!$C$61/AH237,1))</f>
        <v>0.64438718771845094</v>
      </c>
      <c r="AJ237" s="152"/>
      <c r="AK237" s="164">
        <f>IF(AND($C236=12,$D236=Input!$C$6),0,IF($E237="","",IF($B237&gt;Input!$C$9,$AC237*AI237,0)+AK238/(1+$L237)*$R237))</f>
        <v>2799.2195712265402</v>
      </c>
      <c r="AL237" s="164">
        <f>IF(AND($C236=12,$D236=Input!$C$6),0,IF($E237="","",IF($B237&gt;Input!$C$9,0,$AC237)+AL238/(1+$L237)*$R237))</f>
        <v>0</v>
      </c>
      <c r="AM237" s="160">
        <f t="shared" si="69"/>
        <v>1.1382936520186004</v>
      </c>
      <c r="AN237" s="164">
        <f>IF($E237="","",IF($B237&gt;Input!$C$9,$AI237*$AC237,$AM237*$AC237))</f>
        <v>0</v>
      </c>
      <c r="AO237" s="164">
        <f>IF(AND($C236=12,$D236=Input!$C$6),0,IF($E237="","",$AN237+AO238/(1+$L237)*$R237))</f>
        <v>2799.2195712265402</v>
      </c>
      <c r="AP237" s="152"/>
      <c r="AQ237" s="164">
        <f t="shared" si="70"/>
        <v>-267.4244054078863</v>
      </c>
      <c r="AR237" s="164">
        <f t="shared" si="79"/>
        <v>-322.25787885028075</v>
      </c>
      <c r="AS237" s="164">
        <f t="shared" si="80"/>
        <v>316.74641148325361</v>
      </c>
      <c r="AT237" s="164">
        <f t="shared" si="71"/>
        <v>316.74641148325361</v>
      </c>
      <c r="AU237" s="152"/>
      <c r="AV237" s="147">
        <f>'Deterministic Reserve'!BC237</f>
        <v>0.45799292401522357</v>
      </c>
      <c r="AW237" s="164">
        <f t="shared" si="72"/>
        <v>316.74641148325361</v>
      </c>
      <c r="AX237" s="164">
        <f t="shared" si="73"/>
        <v>145.0676151665445</v>
      </c>
      <c r="AY237" s="152"/>
    </row>
    <row r="238" spans="1:51" s="150" customFormat="1" x14ac:dyDescent="0.25">
      <c r="A238" s="150">
        <f t="shared" si="81"/>
        <v>234</v>
      </c>
      <c r="B238" s="150">
        <f t="shared" si="82"/>
        <v>20</v>
      </c>
      <c r="C238" s="150">
        <f t="shared" si="83"/>
        <v>6</v>
      </c>
      <c r="D238" s="150">
        <f>IF(E238="","",Input!$C$4+B238-1)</f>
        <v>64</v>
      </c>
      <c r="E238" s="150">
        <f>IF(OR(AND(C237=12,D237=Input!$C$6),E237=""),"",1)</f>
        <v>1</v>
      </c>
      <c r="F238" s="150">
        <f>IF(E238="","",Input!$C$8+B238-1)</f>
        <v>2037</v>
      </c>
      <c r="G238" s="151">
        <f>IF(E238="","",MAX(0,Input!$C$9-B238))</f>
        <v>0</v>
      </c>
      <c r="H238" s="152">
        <f>IF(E238="","",Input!$C$3)</f>
        <v>100000</v>
      </c>
      <c r="I238" s="153">
        <f>IF(E238="","",HLOOKUP($B238,Input!$C$13:$BT$14,2))</f>
        <v>2.2999999999999998</v>
      </c>
      <c r="J238" s="154"/>
      <c r="K238" s="155">
        <f>IF($E238="","",Input!$C$57)</f>
        <v>4.4999999999999998E-2</v>
      </c>
      <c r="L238" s="155">
        <f t="shared" si="74"/>
        <v>3.6748094004368514E-3</v>
      </c>
      <c r="M238" s="147">
        <f>IF($E238="","",VLOOKUP(IF($B238&lt;=Input!$C$7,$B238,26),'Mortality Tables'!$A$72:$CA$97,IF($B238&lt;=Input!$C$7+1,Input!$C$4-16,$D238-Input!$C$7-16),0)/1000)</f>
        <v>6.62E-3</v>
      </c>
      <c r="N238" s="147">
        <f t="shared" si="63"/>
        <v>5.5334762907877089E-4</v>
      </c>
      <c r="O238" s="157">
        <f>IF($E238="","",IF($C238=12,IF($B238&lt;Input!$C$9,Input!$C$54,IF($B238=Input!$C$9,Input!$C$55,Input!$C$56)),0%))</f>
        <v>0</v>
      </c>
      <c r="P238" s="167">
        <f>IF($E238="","",IF($B238=1,Input!$C$59,IF($B238&lt;6,Input!$C$60,0%)))</f>
        <v>0</v>
      </c>
      <c r="Q238" s="162">
        <f>IF($E238="","",Input!$C$58)</f>
        <v>2.5</v>
      </c>
      <c r="R238" s="156">
        <f t="shared" si="75"/>
        <v>0.99944665237092123</v>
      </c>
      <c r="S238" s="154">
        <f t="shared" si="64"/>
        <v>0.29343049173742958</v>
      </c>
      <c r="T238" s="152"/>
      <c r="U238" s="150">
        <f t="shared" si="76"/>
        <v>0</v>
      </c>
      <c r="V238" s="150">
        <f t="shared" si="77"/>
        <v>0</v>
      </c>
      <c r="W238" s="168">
        <f t="shared" si="78"/>
        <v>0</v>
      </c>
      <c r="X238" s="163">
        <f t="shared" si="65"/>
        <v>55.334762907877092</v>
      </c>
      <c r="Y238" s="152"/>
      <c r="Z238" s="164">
        <f>IF(AND($C237=12,$D237=Input!$C$6),0,IF($E238="","",V238+Z239/(1+L238)*R238))</f>
        <v>5283.1202882653706</v>
      </c>
      <c r="AA238" s="164">
        <f>IF(OR($M238=1,AND($C237=12,$D237=Input!$C$6)),0,IF($E238="","",W238+(X238+AA239*$R238)/(1+$L238)))</f>
        <v>2487.1405208965316</v>
      </c>
      <c r="AB238" s="160">
        <f t="shared" si="66"/>
        <v>0.825720328500681</v>
      </c>
      <c r="AC238" s="164">
        <f t="shared" si="67"/>
        <v>0</v>
      </c>
      <c r="AD238" s="164">
        <f>IF(AND($C237=12,$D237=Input!$C$6),0,IF($E238="","",$AC238+AD239/(1+$L238)*$R238))</f>
        <v>4362.3798199350931</v>
      </c>
      <c r="AE238" s="152"/>
      <c r="AF238" s="164">
        <f>IF(AND($C237=12,$D237=Input!$C$6),0,IF($E238="","",IF($B238&gt;Input!$C$9,$AC238,0)+AF239/(1+$L238)*$R238))</f>
        <v>4362.3798199350931</v>
      </c>
      <c r="AG238" s="164">
        <f>IF(AND($C237=12,$D237=Input!$C$6),0,IF($E238="","",(IF($B238&gt;Input!$C$9,$X238,0)+AG239)/(1+$L238)*$R238))</f>
        <v>2082.2678992056995</v>
      </c>
      <c r="AH238" s="160">
        <f t="shared" si="68"/>
        <v>2.0950137211446997</v>
      </c>
      <c r="AI238" s="160">
        <f>IF($E238="","",MIN(Input!$C$61/AH238,1))</f>
        <v>0.64438718771845094</v>
      </c>
      <c r="AJ238" s="152"/>
      <c r="AK238" s="164">
        <f>IF(AND($C237=12,$D237=Input!$C$6),0,IF($E238="","",IF($B238&gt;Input!$C$9,$AC238*AI238,0)+AK239/(1+$L238)*$R238))</f>
        <v>2811.0616639276991</v>
      </c>
      <c r="AL238" s="164">
        <f>IF(AND($C237=12,$D237=Input!$C$6),0,IF($E238="","",IF($B238&gt;Input!$C$9,0,$AC238)+AL239/(1+$L238)*$R238))</f>
        <v>0</v>
      </c>
      <c r="AM238" s="160">
        <f t="shared" si="69"/>
        <v>1.1382936520186004</v>
      </c>
      <c r="AN238" s="164">
        <f>IF($E238="","",IF($B238&gt;Input!$C$9,$AI238*$AC238,$AM238*$AC238))</f>
        <v>0</v>
      </c>
      <c r="AO238" s="164">
        <f>IF(AND($C237=12,$D237=Input!$C$6),0,IF($E238="","",$AN238+AO239/(1+$L238)*$R238))</f>
        <v>2811.0616639276991</v>
      </c>
      <c r="AP238" s="152"/>
      <c r="AQ238" s="164">
        <f t="shared" si="70"/>
        <v>-323.9211430311675</v>
      </c>
      <c r="AR238" s="164">
        <f t="shared" si="79"/>
        <v>-322.25787885028075</v>
      </c>
      <c r="AS238" s="164">
        <f t="shared" si="80"/>
        <v>316.74641148325361</v>
      </c>
      <c r="AT238" s="164">
        <f t="shared" si="71"/>
        <v>316.74641148325361</v>
      </c>
      <c r="AU238" s="152"/>
      <c r="AV238" s="147">
        <f>'Deterministic Reserve'!BC238</f>
        <v>0.45783383814735396</v>
      </c>
      <c r="AW238" s="164">
        <f t="shared" si="72"/>
        <v>316.74641148325361</v>
      </c>
      <c r="AX238" s="164">
        <f t="shared" si="73"/>
        <v>145.01722528877912</v>
      </c>
      <c r="AY238" s="152"/>
    </row>
    <row r="239" spans="1:51" s="150" customFormat="1" x14ac:dyDescent="0.25">
      <c r="A239" s="150">
        <f t="shared" si="81"/>
        <v>235</v>
      </c>
      <c r="B239" s="150">
        <f t="shared" si="82"/>
        <v>20</v>
      </c>
      <c r="C239" s="150">
        <f t="shared" si="83"/>
        <v>7</v>
      </c>
      <c r="D239" s="150">
        <f>IF(E239="","",Input!$C$4+B239-1)</f>
        <v>64</v>
      </c>
      <c r="E239" s="150">
        <f>IF(OR(AND(C238=12,D238=Input!$C$6),E238=""),"",1)</f>
        <v>1</v>
      </c>
      <c r="F239" s="150">
        <f>IF(E239="","",Input!$C$8+B239-1)</f>
        <v>2037</v>
      </c>
      <c r="G239" s="151">
        <f>IF(E239="","",MAX(0,Input!$C$9-B239))</f>
        <v>0</v>
      </c>
      <c r="H239" s="152">
        <f>IF(E239="","",Input!$C$3)</f>
        <v>100000</v>
      </c>
      <c r="I239" s="153">
        <f>IF(E239="","",HLOOKUP($B239,Input!$C$13:$BT$14,2))</f>
        <v>2.2999999999999998</v>
      </c>
      <c r="J239" s="154"/>
      <c r="K239" s="155">
        <f>IF($E239="","",Input!$C$57)</f>
        <v>4.4999999999999998E-2</v>
      </c>
      <c r="L239" s="155">
        <f t="shared" si="74"/>
        <v>3.6748094004368514E-3</v>
      </c>
      <c r="M239" s="147">
        <f>IF($E239="","",VLOOKUP(IF($B239&lt;=Input!$C$7,$B239,26),'Mortality Tables'!$A$72:$CA$97,IF($B239&lt;=Input!$C$7+1,Input!$C$4-16,$D239-Input!$C$7-16),0)/1000)</f>
        <v>6.62E-3</v>
      </c>
      <c r="N239" s="147">
        <f t="shared" si="63"/>
        <v>5.5334762907877089E-4</v>
      </c>
      <c r="O239" s="157">
        <f>IF($E239="","",IF($C239=12,IF($B239&lt;Input!$C$9,Input!$C$54,IF($B239=Input!$C$9,Input!$C$55,Input!$C$56)),0%))</f>
        <v>0</v>
      </c>
      <c r="P239" s="167">
        <f>IF($E239="","",IF($B239=1,Input!$C$59,IF($B239&lt;6,Input!$C$60,0%)))</f>
        <v>0</v>
      </c>
      <c r="Q239" s="162">
        <f>IF($E239="","",Input!$C$58)</f>
        <v>2.5</v>
      </c>
      <c r="R239" s="156">
        <f t="shared" si="75"/>
        <v>0.99944665237092123</v>
      </c>
      <c r="S239" s="154">
        <f t="shared" si="64"/>
        <v>0.29326812267052726</v>
      </c>
      <c r="T239" s="152"/>
      <c r="U239" s="150">
        <f t="shared" si="76"/>
        <v>0</v>
      </c>
      <c r="V239" s="150">
        <f t="shared" si="77"/>
        <v>0</v>
      </c>
      <c r="W239" s="168">
        <f t="shared" si="78"/>
        <v>0</v>
      </c>
      <c r="X239" s="163">
        <f t="shared" si="65"/>
        <v>55.334762907877092</v>
      </c>
      <c r="Y239" s="152"/>
      <c r="Z239" s="164">
        <f>IF(AND($C238=12,$D238=Input!$C$6),0,IF($E239="","",V239+Z240/(1+L239)*R239))</f>
        <v>5305.4705178965523</v>
      </c>
      <c r="AA239" s="164">
        <f>IF(OR($M239=1,AND($C238=12,$D238=Input!$C$6)),0,IF($E239="","",W239+(X239+AA240*$R239)/(1+$L239)))</f>
        <v>2442.2969645899143</v>
      </c>
      <c r="AB239" s="160">
        <f t="shared" si="66"/>
        <v>0.825720328500681</v>
      </c>
      <c r="AC239" s="164">
        <f t="shared" si="67"/>
        <v>0</v>
      </c>
      <c r="AD239" s="164">
        <f>IF(AND($C238=12,$D238=Input!$C$6),0,IF($E239="","",$AC239+AD240/(1+$L239)*$R239))</f>
        <v>4380.8348588882182</v>
      </c>
      <c r="AE239" s="152"/>
      <c r="AF239" s="164">
        <f>IF(AND($C238=12,$D238=Input!$C$6),0,IF($E239="","",IF($B239&gt;Input!$C$9,$AC239,0)+AF240/(1+$L239)*$R239))</f>
        <v>4380.8348588882182</v>
      </c>
      <c r="AG239" s="164">
        <f>IF(AND($C238=12,$D238=Input!$C$6),0,IF($E239="","",(IF($B239&gt;Input!$C$9,$X239,0)+AG240)/(1+$L239)*$R239))</f>
        <v>2091.0769293169874</v>
      </c>
      <c r="AH239" s="160">
        <f t="shared" si="68"/>
        <v>2.0950137211446997</v>
      </c>
      <c r="AI239" s="160">
        <f>IF($E239="","",MIN(Input!$C$61/AH239,1))</f>
        <v>0.64438718771845094</v>
      </c>
      <c r="AJ239" s="152"/>
      <c r="AK239" s="164">
        <f>IF(AND($C238=12,$D238=Input!$C$6),0,IF($E239="","",IF($B239&gt;Input!$C$9,$AC239*AI239,0)+AK240/(1+$L239)*$R239))</f>
        <v>2822.9538545779378</v>
      </c>
      <c r="AL239" s="164">
        <f>IF(AND($C238=12,$D238=Input!$C$6),0,IF($E239="","",IF($B239&gt;Input!$C$9,0,$AC239)+AL240/(1+$L239)*$R239))</f>
        <v>0</v>
      </c>
      <c r="AM239" s="160">
        <f t="shared" si="69"/>
        <v>1.1382936520186004</v>
      </c>
      <c r="AN239" s="164">
        <f>IF($E239="","",IF($B239&gt;Input!$C$9,$AI239*$AC239,$AM239*$AC239))</f>
        <v>0</v>
      </c>
      <c r="AO239" s="164">
        <f>IF(AND($C238=12,$D238=Input!$C$6),0,IF($E239="","",$AN239+AO240/(1+$L239)*$R239))</f>
        <v>2822.9538545779378</v>
      </c>
      <c r="AP239" s="152"/>
      <c r="AQ239" s="164">
        <f t="shared" si="70"/>
        <v>-380.65688998802352</v>
      </c>
      <c r="AR239" s="164">
        <f t="shared" si="79"/>
        <v>-322.25787885028075</v>
      </c>
      <c r="AS239" s="164">
        <f t="shared" si="80"/>
        <v>316.74641148325361</v>
      </c>
      <c r="AT239" s="164">
        <f t="shared" si="71"/>
        <v>316.74641148325361</v>
      </c>
      <c r="AU239" s="152"/>
      <c r="AV239" s="147">
        <f>'Deterministic Reserve'!BC239</f>
        <v>0.45767480753866419</v>
      </c>
      <c r="AW239" s="164">
        <f t="shared" si="72"/>
        <v>316.74641148325361</v>
      </c>
      <c r="AX239" s="164">
        <f t="shared" si="73"/>
        <v>144.96685291416063</v>
      </c>
      <c r="AY239" s="152"/>
    </row>
    <row r="240" spans="1:51" s="150" customFormat="1" x14ac:dyDescent="0.25">
      <c r="A240" s="150">
        <f t="shared" si="81"/>
        <v>236</v>
      </c>
      <c r="B240" s="150">
        <f t="shared" si="82"/>
        <v>20</v>
      </c>
      <c r="C240" s="150">
        <f t="shared" si="83"/>
        <v>8</v>
      </c>
      <c r="D240" s="150">
        <f>IF(E240="","",Input!$C$4+B240-1)</f>
        <v>64</v>
      </c>
      <c r="E240" s="150">
        <f>IF(OR(AND(C239=12,D239=Input!$C$6),E239=""),"",1)</f>
        <v>1</v>
      </c>
      <c r="F240" s="150">
        <f>IF(E240="","",Input!$C$8+B240-1)</f>
        <v>2037</v>
      </c>
      <c r="G240" s="151">
        <f>IF(E240="","",MAX(0,Input!$C$9-B240))</f>
        <v>0</v>
      </c>
      <c r="H240" s="152">
        <f>IF(E240="","",Input!$C$3)</f>
        <v>100000</v>
      </c>
      <c r="I240" s="153">
        <f>IF(E240="","",HLOOKUP($B240,Input!$C$13:$BT$14,2))</f>
        <v>2.2999999999999998</v>
      </c>
      <c r="J240" s="154"/>
      <c r="K240" s="155">
        <f>IF($E240="","",Input!$C$57)</f>
        <v>4.4999999999999998E-2</v>
      </c>
      <c r="L240" s="155">
        <f t="shared" si="74"/>
        <v>3.6748094004368514E-3</v>
      </c>
      <c r="M240" s="147">
        <f>IF($E240="","",VLOOKUP(IF($B240&lt;=Input!$C$7,$B240,26),'Mortality Tables'!$A$72:$CA$97,IF($B240&lt;=Input!$C$7+1,Input!$C$4-16,$D240-Input!$C$7-16),0)/1000)</f>
        <v>6.62E-3</v>
      </c>
      <c r="N240" s="147">
        <f t="shared" si="63"/>
        <v>5.5334762907877089E-4</v>
      </c>
      <c r="O240" s="157">
        <f>IF($E240="","",IF($C240=12,IF($B240&lt;Input!$C$9,Input!$C$54,IF($B240=Input!$C$9,Input!$C$55,Input!$C$56)),0%))</f>
        <v>0</v>
      </c>
      <c r="P240" s="167">
        <f>IF($E240="","",IF($B240=1,Input!$C$59,IF($B240&lt;6,Input!$C$60,0%)))</f>
        <v>0</v>
      </c>
      <c r="Q240" s="162">
        <f>IF($E240="","",Input!$C$58)</f>
        <v>2.5</v>
      </c>
      <c r="R240" s="156">
        <f t="shared" si="75"/>
        <v>0.99944665237092123</v>
      </c>
      <c r="S240" s="154">
        <f t="shared" si="64"/>
        <v>0.29310584345016316</v>
      </c>
      <c r="T240" s="152"/>
      <c r="U240" s="150">
        <f t="shared" si="76"/>
        <v>0</v>
      </c>
      <c r="V240" s="150">
        <f t="shared" si="77"/>
        <v>0</v>
      </c>
      <c r="W240" s="168">
        <f t="shared" si="78"/>
        <v>0</v>
      </c>
      <c r="X240" s="163">
        <f t="shared" si="65"/>
        <v>55.334762907877092</v>
      </c>
      <c r="Y240" s="152"/>
      <c r="Z240" s="164">
        <f>IF(AND($C239=12,$D239=Input!$C$6),0,IF($E240="","",V240+Z241/(1+L240)*R240))</f>
        <v>5327.9153001287177</v>
      </c>
      <c r="AA240" s="164">
        <f>IF(OR($M240=1,AND($C239=12,$D239=Input!$C$6)),0,IF($E240="","",W240+(X240+AA241*$R240)/(1+$L240)))</f>
        <v>2397.2636977095749</v>
      </c>
      <c r="AB240" s="160">
        <f t="shared" si="66"/>
        <v>0.825720328500681</v>
      </c>
      <c r="AC240" s="164">
        <f t="shared" si="67"/>
        <v>0</v>
      </c>
      <c r="AD240" s="164">
        <f>IF(AND($C239=12,$D239=Input!$C$6),0,IF($E240="","",$AC240+AD241/(1+$L240)*$R240))</f>
        <v>4399.367971846088</v>
      </c>
      <c r="AE240" s="152"/>
      <c r="AF240" s="164">
        <f>IF(AND($C239=12,$D239=Input!$C$6),0,IF($E240="","",IF($B240&gt;Input!$C$9,$AC240,0)+AF241/(1+$L240)*$R240))</f>
        <v>4399.367971846088</v>
      </c>
      <c r="AG240" s="164">
        <f>IF(AND($C239=12,$D239=Input!$C$6),0,IF($E240="","",(IF($B240&gt;Input!$C$9,$X240,0)+AG241)/(1+$L240)*$R240))</f>
        <v>2099.9232260122394</v>
      </c>
      <c r="AH240" s="160">
        <f t="shared" si="68"/>
        <v>2.0950137211446997</v>
      </c>
      <c r="AI240" s="160">
        <f>IF($E240="","",MIN(Input!$C$61/AH240,1))</f>
        <v>0.64438718771845094</v>
      </c>
      <c r="AJ240" s="152"/>
      <c r="AK240" s="164">
        <f>IF(AND($C239=12,$D239=Input!$C$6),0,IF($E240="","",IF($B240&gt;Input!$C$9,$AC240*AI240,0)+AK241/(1+$L240)*$R240))</f>
        <v>2834.8963551165284</v>
      </c>
      <c r="AL240" s="164">
        <f>IF(AND($C239=12,$D239=Input!$C$6),0,IF($E240="","",IF($B240&gt;Input!$C$9,0,$AC240)+AL241/(1+$L240)*$R240))</f>
        <v>0</v>
      </c>
      <c r="AM240" s="160">
        <f t="shared" si="69"/>
        <v>1.1382936520186004</v>
      </c>
      <c r="AN240" s="164">
        <f>IF($E240="","",IF($B240&gt;Input!$C$9,$AI240*$AC240,$AM240*$AC240))</f>
        <v>0</v>
      </c>
      <c r="AO240" s="164">
        <f>IF(AND($C239=12,$D239=Input!$C$6),0,IF($E240="","",$AN240+AO241/(1+$L240)*$R240))</f>
        <v>2834.8963551165284</v>
      </c>
      <c r="AP240" s="152"/>
      <c r="AQ240" s="164">
        <f t="shared" si="70"/>
        <v>-437.63265740695351</v>
      </c>
      <c r="AR240" s="164">
        <f t="shared" si="79"/>
        <v>-322.25787885028075</v>
      </c>
      <c r="AS240" s="164">
        <f t="shared" si="80"/>
        <v>316.74641148325361</v>
      </c>
      <c r="AT240" s="164">
        <f t="shared" si="71"/>
        <v>316.74641148325361</v>
      </c>
      <c r="AU240" s="152"/>
      <c r="AV240" s="147">
        <f>'Deterministic Reserve'!BC240</f>
        <v>0.45751583216995972</v>
      </c>
      <c r="AW240" s="164">
        <f t="shared" si="72"/>
        <v>316.74641148325361</v>
      </c>
      <c r="AX240" s="164">
        <f t="shared" si="73"/>
        <v>144.91649803660925</v>
      </c>
      <c r="AY240" s="152"/>
    </row>
    <row r="241" spans="1:51" s="150" customFormat="1" x14ac:dyDescent="0.25">
      <c r="A241" s="150">
        <f t="shared" si="81"/>
        <v>237</v>
      </c>
      <c r="B241" s="150">
        <f t="shared" si="82"/>
        <v>20</v>
      </c>
      <c r="C241" s="150">
        <f t="shared" si="83"/>
        <v>9</v>
      </c>
      <c r="D241" s="150">
        <f>IF(E241="","",Input!$C$4+B241-1)</f>
        <v>64</v>
      </c>
      <c r="E241" s="150">
        <f>IF(OR(AND(C240=12,D240=Input!$C$6),E240=""),"",1)</f>
        <v>1</v>
      </c>
      <c r="F241" s="150">
        <f>IF(E241="","",Input!$C$8+B241-1)</f>
        <v>2037</v>
      </c>
      <c r="G241" s="151">
        <f>IF(E241="","",MAX(0,Input!$C$9-B241))</f>
        <v>0</v>
      </c>
      <c r="H241" s="152">
        <f>IF(E241="","",Input!$C$3)</f>
        <v>100000</v>
      </c>
      <c r="I241" s="153">
        <f>IF(E241="","",HLOOKUP($B241,Input!$C$13:$BT$14,2))</f>
        <v>2.2999999999999998</v>
      </c>
      <c r="J241" s="154"/>
      <c r="K241" s="155">
        <f>IF($E241="","",Input!$C$57)</f>
        <v>4.4999999999999998E-2</v>
      </c>
      <c r="L241" s="155">
        <f t="shared" si="74"/>
        <v>3.6748094004368514E-3</v>
      </c>
      <c r="M241" s="147">
        <f>IF($E241="","",VLOOKUP(IF($B241&lt;=Input!$C$7,$B241,26),'Mortality Tables'!$A$72:$CA$97,IF($B241&lt;=Input!$C$7+1,Input!$C$4-16,$D241-Input!$C$7-16),0)/1000)</f>
        <v>6.62E-3</v>
      </c>
      <c r="N241" s="147">
        <f t="shared" si="63"/>
        <v>5.5334762907877089E-4</v>
      </c>
      <c r="O241" s="157">
        <f>IF($E241="","",IF($C241=12,IF($B241&lt;Input!$C$9,Input!$C$54,IF($B241=Input!$C$9,Input!$C$55,Input!$C$56)),0%))</f>
        <v>0</v>
      </c>
      <c r="P241" s="167">
        <f>IF($E241="","",IF($B241=1,Input!$C$59,IF($B241&lt;6,Input!$C$60,0%)))</f>
        <v>0</v>
      </c>
      <c r="Q241" s="162">
        <f>IF($E241="","",Input!$C$58)</f>
        <v>2.5</v>
      </c>
      <c r="R241" s="156">
        <f t="shared" si="75"/>
        <v>0.99944665237092123</v>
      </c>
      <c r="S241" s="154">
        <f t="shared" si="64"/>
        <v>0.29294365402662087</v>
      </c>
      <c r="T241" s="152"/>
      <c r="U241" s="150">
        <f t="shared" si="76"/>
        <v>0</v>
      </c>
      <c r="V241" s="150">
        <f t="shared" si="77"/>
        <v>0</v>
      </c>
      <c r="W241" s="168">
        <f t="shared" si="78"/>
        <v>0</v>
      </c>
      <c r="X241" s="163">
        <f t="shared" si="65"/>
        <v>55.334762907877092</v>
      </c>
      <c r="Y241" s="152"/>
      <c r="Z241" s="164">
        <f>IF(AND($C240=12,$D240=Input!$C$6),0,IF($E241="","",V241+Z242/(1+L241)*R241))</f>
        <v>5350.4550349664532</v>
      </c>
      <c r="AA241" s="164">
        <f>IF(OR($M241=1,AND($C240=12,$D240=Input!$C$6)),0,IF($E241="","",W241+(X241+AA242*$R241)/(1+$L241)))</f>
        <v>2352.0399176853166</v>
      </c>
      <c r="AB241" s="160">
        <f t="shared" si="66"/>
        <v>0.825720328500681</v>
      </c>
      <c r="AC241" s="164">
        <f t="shared" si="67"/>
        <v>0</v>
      </c>
      <c r="AD241" s="164">
        <f>IF(AND($C240=12,$D240=Input!$C$6),0,IF($E241="","",$AC241+AD242/(1+$L241)*$R241))</f>
        <v>4417.9794891006213</v>
      </c>
      <c r="AE241" s="152"/>
      <c r="AF241" s="164">
        <f>IF(AND($C240=12,$D240=Input!$C$6),0,IF($E241="","",IF($B241&gt;Input!$C$9,$AC241,0)+AF242/(1+$L241)*$R241))</f>
        <v>4417.9794891006213</v>
      </c>
      <c r="AG241" s="164">
        <f>IF(AND($C240=12,$D240=Input!$C$6),0,IF($E241="","",(IF($B241&gt;Input!$C$9,$X241,0)+AG242)/(1+$L241)*$R241))</f>
        <v>2108.8069469476632</v>
      </c>
      <c r="AH241" s="160">
        <f t="shared" si="68"/>
        <v>2.0950137211446997</v>
      </c>
      <c r="AI241" s="160">
        <f>IF($E241="","",MIN(Input!$C$61/AH241,1))</f>
        <v>0.64438718771845094</v>
      </c>
      <c r="AJ241" s="152"/>
      <c r="AK241" s="164">
        <f>IF(AND($C240=12,$D240=Input!$C$6),0,IF($E241="","",IF($B241&gt;Input!$C$9,$AC241*AI241,0)+AK242/(1+$L241)*$R241))</f>
        <v>2846.8893783793505</v>
      </c>
      <c r="AL241" s="164">
        <f>IF(AND($C240=12,$D240=Input!$C$6),0,IF($E241="","",IF($B241&gt;Input!$C$9,0,$AC241)+AL242/(1+$L241)*$R241))</f>
        <v>0</v>
      </c>
      <c r="AM241" s="160">
        <f t="shared" si="69"/>
        <v>1.1382936520186004</v>
      </c>
      <c r="AN241" s="164">
        <f>IF($E241="","",IF($B241&gt;Input!$C$9,$AI241*$AC241,$AM241*$AC241))</f>
        <v>0</v>
      </c>
      <c r="AO241" s="164">
        <f>IF(AND($C240=12,$D240=Input!$C$6),0,IF($E241="","",$AN241+AO242/(1+$L241)*$R241))</f>
        <v>2846.8893783793505</v>
      </c>
      <c r="AP241" s="152"/>
      <c r="AQ241" s="164">
        <f t="shared" si="70"/>
        <v>-494.84946069403395</v>
      </c>
      <c r="AR241" s="164">
        <f t="shared" si="79"/>
        <v>-322.25787885028075</v>
      </c>
      <c r="AS241" s="164">
        <f t="shared" si="80"/>
        <v>316.74641148325361</v>
      </c>
      <c r="AT241" s="164">
        <f t="shared" si="71"/>
        <v>316.74641148325361</v>
      </c>
      <c r="AU241" s="152"/>
      <c r="AV241" s="147">
        <f>'Deterministic Reserve'!BC241</f>
        <v>0.45735691202205275</v>
      </c>
      <c r="AW241" s="164">
        <f t="shared" si="72"/>
        <v>316.74641148325361</v>
      </c>
      <c r="AX241" s="164">
        <f t="shared" si="73"/>
        <v>144.86616065004733</v>
      </c>
      <c r="AY241" s="152"/>
    </row>
    <row r="242" spans="1:51" s="150" customFormat="1" x14ac:dyDescent="0.25">
      <c r="A242" s="150">
        <f t="shared" si="81"/>
        <v>238</v>
      </c>
      <c r="B242" s="150">
        <f t="shared" si="82"/>
        <v>20</v>
      </c>
      <c r="C242" s="150">
        <f t="shared" si="83"/>
        <v>10</v>
      </c>
      <c r="D242" s="150">
        <f>IF(E242="","",Input!$C$4+B242-1)</f>
        <v>64</v>
      </c>
      <c r="E242" s="150">
        <f>IF(OR(AND(C241=12,D241=Input!$C$6),E241=""),"",1)</f>
        <v>1</v>
      </c>
      <c r="F242" s="150">
        <f>IF(E242="","",Input!$C$8+B242-1)</f>
        <v>2037</v>
      </c>
      <c r="G242" s="151">
        <f>IF(E242="","",MAX(0,Input!$C$9-B242))</f>
        <v>0</v>
      </c>
      <c r="H242" s="152">
        <f>IF(E242="","",Input!$C$3)</f>
        <v>100000</v>
      </c>
      <c r="I242" s="153">
        <f>IF(E242="","",HLOOKUP($B242,Input!$C$13:$BT$14,2))</f>
        <v>2.2999999999999998</v>
      </c>
      <c r="J242" s="154"/>
      <c r="K242" s="155">
        <f>IF($E242="","",Input!$C$57)</f>
        <v>4.4999999999999998E-2</v>
      </c>
      <c r="L242" s="155">
        <f t="shared" si="74"/>
        <v>3.6748094004368514E-3</v>
      </c>
      <c r="M242" s="147">
        <f>IF($E242="","",VLOOKUP(IF($B242&lt;=Input!$C$7,$B242,26),'Mortality Tables'!$A$72:$CA$97,IF($B242&lt;=Input!$C$7+1,Input!$C$4-16,$D242-Input!$C$7-16),0)/1000)</f>
        <v>6.62E-3</v>
      </c>
      <c r="N242" s="147">
        <f t="shared" si="63"/>
        <v>5.5334762907877089E-4</v>
      </c>
      <c r="O242" s="157">
        <f>IF($E242="","",IF($C242=12,IF($B242&lt;Input!$C$9,Input!$C$54,IF($B242=Input!$C$9,Input!$C$55,Input!$C$56)),0%))</f>
        <v>0</v>
      </c>
      <c r="P242" s="167">
        <f>IF($E242="","",IF($B242=1,Input!$C$59,IF($B242&lt;6,Input!$C$60,0%)))</f>
        <v>0</v>
      </c>
      <c r="Q242" s="162">
        <f>IF($E242="","",Input!$C$58)</f>
        <v>2.5</v>
      </c>
      <c r="R242" s="156">
        <f t="shared" si="75"/>
        <v>0.99944665237092123</v>
      </c>
      <c r="S242" s="154">
        <f t="shared" si="64"/>
        <v>0.29278155435021158</v>
      </c>
      <c r="T242" s="152"/>
      <c r="U242" s="150">
        <f t="shared" si="76"/>
        <v>0</v>
      </c>
      <c r="V242" s="150">
        <f t="shared" si="77"/>
        <v>0</v>
      </c>
      <c r="W242" s="168">
        <f t="shared" si="78"/>
        <v>0</v>
      </c>
      <c r="X242" s="163">
        <f t="shared" si="65"/>
        <v>55.334762907877092</v>
      </c>
      <c r="Y242" s="152"/>
      <c r="Z242" s="164">
        <f>IF(AND($C241=12,$D241=Input!$C$6),0,IF($E242="","",V242+Z243/(1+L242)*R242))</f>
        <v>5373.0901241065631</v>
      </c>
      <c r="AA242" s="164">
        <f>IF(OR($M242=1,AND($C241=12,$D241=Input!$C$6)),0,IF($E242="","",W242+(X242+AA243*$R242)/(1+$L242)))</f>
        <v>2306.624818551672</v>
      </c>
      <c r="AB242" s="160">
        <f t="shared" si="66"/>
        <v>0.825720328500681</v>
      </c>
      <c r="AC242" s="164">
        <f t="shared" si="67"/>
        <v>0</v>
      </c>
      <c r="AD242" s="164">
        <f>IF(AND($C241=12,$D241=Input!$C$6),0,IF($E242="","",$AC242+AD243/(1+$L242)*$R242))</f>
        <v>4436.6697423410351</v>
      </c>
      <c r="AE242" s="152"/>
      <c r="AF242" s="164">
        <f>IF(AND($C241=12,$D241=Input!$C$6),0,IF($E242="","",IF($B242&gt;Input!$C$9,$AC242,0)+AF243/(1+$L242)*$R242))</f>
        <v>4436.6697423410351</v>
      </c>
      <c r="AG242" s="164">
        <f>IF(AND($C241=12,$D241=Input!$C$6),0,IF($E242="","",(IF($B242&gt;Input!$C$9,$X242,0)+AG243)/(1+$L242)*$R242))</f>
        <v>2117.7282504464306</v>
      </c>
      <c r="AH242" s="160">
        <f t="shared" si="68"/>
        <v>2.0950137211446997</v>
      </c>
      <c r="AI242" s="160">
        <f>IF($E242="","",MIN(Input!$C$61/AH242,1))</f>
        <v>0.64438718771845094</v>
      </c>
      <c r="AJ242" s="152"/>
      <c r="AK242" s="164">
        <f>IF(AND($C241=12,$D241=Input!$C$6),0,IF($E242="","",IF($B242&gt;Input!$C$9,$AC242*AI242,0)+AK243/(1+$L242)*$R242))</f>
        <v>2858.9331381026868</v>
      </c>
      <c r="AL242" s="164">
        <f>IF(AND($C241=12,$D241=Input!$C$6),0,IF($E242="","",IF($B242&gt;Input!$C$9,0,$AC242)+AL243/(1+$L242)*$R242))</f>
        <v>0</v>
      </c>
      <c r="AM242" s="160">
        <f t="shared" si="69"/>
        <v>1.1382936520186004</v>
      </c>
      <c r="AN242" s="164">
        <f>IF($E242="","",IF($B242&gt;Input!$C$9,$AI242*$AC242,$AM242*$AC242))</f>
        <v>0</v>
      </c>
      <c r="AO242" s="164">
        <f>IF(AND($C241=12,$D241=Input!$C$6),0,IF($E242="","",$AN242+AO243/(1+$L242)*$R242))</f>
        <v>2858.9331381026868</v>
      </c>
      <c r="AP242" s="152"/>
      <c r="AQ242" s="164">
        <f t="shared" si="70"/>
        <v>-552.30831955101485</v>
      </c>
      <c r="AR242" s="164">
        <f t="shared" si="79"/>
        <v>-322.25787885028075</v>
      </c>
      <c r="AS242" s="164">
        <f t="shared" si="80"/>
        <v>316.74641148325361</v>
      </c>
      <c r="AT242" s="164">
        <f t="shared" si="71"/>
        <v>316.74641148325361</v>
      </c>
      <c r="AU242" s="152"/>
      <c r="AV242" s="147">
        <f>'Deterministic Reserve'!BC242</f>
        <v>0.45719804707576206</v>
      </c>
      <c r="AW242" s="164">
        <f t="shared" si="72"/>
        <v>316.74641148325361</v>
      </c>
      <c r="AX242" s="164">
        <f t="shared" si="73"/>
        <v>144.8158407483993</v>
      </c>
      <c r="AY242" s="152"/>
    </row>
    <row r="243" spans="1:51" s="150" customFormat="1" x14ac:dyDescent="0.25">
      <c r="A243" s="150">
        <f t="shared" si="81"/>
        <v>239</v>
      </c>
      <c r="B243" s="150">
        <f t="shared" si="82"/>
        <v>20</v>
      </c>
      <c r="C243" s="150">
        <f t="shared" si="83"/>
        <v>11</v>
      </c>
      <c r="D243" s="150">
        <f>IF(E243="","",Input!$C$4+B243-1)</f>
        <v>64</v>
      </c>
      <c r="E243" s="150">
        <f>IF(OR(AND(C242=12,D242=Input!$C$6),E242=""),"",1)</f>
        <v>1</v>
      </c>
      <c r="F243" s="150">
        <f>IF(E243="","",Input!$C$8+B243-1)</f>
        <v>2037</v>
      </c>
      <c r="G243" s="151">
        <f>IF(E243="","",MAX(0,Input!$C$9-B243))</f>
        <v>0</v>
      </c>
      <c r="H243" s="152">
        <f>IF(E243="","",Input!$C$3)</f>
        <v>100000</v>
      </c>
      <c r="I243" s="153">
        <f>IF(E243="","",HLOOKUP($B243,Input!$C$13:$BT$14,2))</f>
        <v>2.2999999999999998</v>
      </c>
      <c r="J243" s="154"/>
      <c r="K243" s="155">
        <f>IF($E243="","",Input!$C$57)</f>
        <v>4.4999999999999998E-2</v>
      </c>
      <c r="L243" s="155">
        <f t="shared" si="74"/>
        <v>3.6748094004368514E-3</v>
      </c>
      <c r="M243" s="147">
        <f>IF($E243="","",VLOOKUP(IF($B243&lt;=Input!$C$7,$B243,26),'Mortality Tables'!$A$72:$CA$97,IF($B243&lt;=Input!$C$7+1,Input!$C$4-16,$D243-Input!$C$7-16),0)/1000)</f>
        <v>6.62E-3</v>
      </c>
      <c r="N243" s="147">
        <f t="shared" si="63"/>
        <v>5.5334762907877089E-4</v>
      </c>
      <c r="O243" s="157">
        <f>IF($E243="","",IF($C243=12,IF($B243&lt;Input!$C$9,Input!$C$54,IF($B243=Input!$C$9,Input!$C$55,Input!$C$56)),0%))</f>
        <v>0</v>
      </c>
      <c r="P243" s="167">
        <f>IF($E243="","",IF($B243=1,Input!$C$59,IF($B243&lt;6,Input!$C$60,0%)))</f>
        <v>0</v>
      </c>
      <c r="Q243" s="162">
        <f>IF($E243="","",Input!$C$58)</f>
        <v>2.5</v>
      </c>
      <c r="R243" s="156">
        <f t="shared" si="75"/>
        <v>0.99944665237092123</v>
      </c>
      <c r="S243" s="154">
        <f t="shared" si="64"/>
        <v>0.29261954437127391</v>
      </c>
      <c r="T243" s="152"/>
      <c r="U243" s="150">
        <f t="shared" si="76"/>
        <v>0</v>
      </c>
      <c r="V243" s="150">
        <f t="shared" si="77"/>
        <v>0</v>
      </c>
      <c r="W243" s="168">
        <f t="shared" si="78"/>
        <v>0</v>
      </c>
      <c r="X243" s="163">
        <f t="shared" si="65"/>
        <v>55.334762907877092</v>
      </c>
      <c r="Y243" s="152"/>
      <c r="Z243" s="164">
        <f>IF(AND($C242=12,$D242=Input!$C$6),0,IF($E243="","",V243+Z244/(1+L243)*R243))</f>
        <v>5395.8209709452303</v>
      </c>
      <c r="AA243" s="164">
        <f>IF(OR($M243=1,AND($C242=12,$D242=Input!$C$6)),0,IF($E243="","",W243+(X243+AA244*$R243)/(1+$L243)))</f>
        <v>2261.0175909335376</v>
      </c>
      <c r="AB243" s="160">
        <f t="shared" si="66"/>
        <v>0.825720328500681</v>
      </c>
      <c r="AC243" s="164">
        <f t="shared" si="67"/>
        <v>0</v>
      </c>
      <c r="AD243" s="164">
        <f>IF(AND($C242=12,$D242=Input!$C$6),0,IF($E243="","",$AC243+AD244/(1+$L243)*$R243))</f>
        <v>4455.4390646597576</v>
      </c>
      <c r="AE243" s="152"/>
      <c r="AF243" s="164">
        <f>IF(AND($C242=12,$D242=Input!$C$6),0,IF($E243="","",IF($B243&gt;Input!$C$9,$AC243,0)+AF244/(1+$L243)*$R243))</f>
        <v>4455.4390646597576</v>
      </c>
      <c r="AG243" s="164">
        <f>IF(AND($C242=12,$D242=Input!$C$6),0,IF($E243="","",(IF($B243&gt;Input!$C$9,$X243,0)+AG244)/(1+$L243)*$R243))</f>
        <v>2126.6872955014996</v>
      </c>
      <c r="AH243" s="160">
        <f t="shared" si="68"/>
        <v>2.0950137211446997</v>
      </c>
      <c r="AI243" s="160">
        <f>IF($E243="","",MIN(Input!$C$61/AH243,1))</f>
        <v>0.64438718771845094</v>
      </c>
      <c r="AJ243" s="152"/>
      <c r="AK243" s="164">
        <f>IF(AND($C242=12,$D242=Input!$C$6),0,IF($E243="","",IF($B243&gt;Input!$C$9,$AC243*AI243,0)+AK244/(1+$L243)*$R243))</f>
        <v>2871.0278489270299</v>
      </c>
      <c r="AL243" s="164">
        <f>IF(AND($C242=12,$D242=Input!$C$6),0,IF($E243="","",IF($B243&gt;Input!$C$9,0,$AC243)+AL244/(1+$L243)*$R243))</f>
        <v>0</v>
      </c>
      <c r="AM243" s="160">
        <f t="shared" si="69"/>
        <v>1.1382936520186004</v>
      </c>
      <c r="AN243" s="164">
        <f>IF($E243="","",IF($B243&gt;Input!$C$9,$AI243*$AC243,$AM243*$AC243))</f>
        <v>0</v>
      </c>
      <c r="AO243" s="164">
        <f>IF(AND($C242=12,$D242=Input!$C$6),0,IF($E243="","",$AN243+AO244/(1+$L243)*$R243))</f>
        <v>2871.0278489270299</v>
      </c>
      <c r="AP243" s="152"/>
      <c r="AQ243" s="164">
        <f t="shared" si="70"/>
        <v>-610.01025799349236</v>
      </c>
      <c r="AR243" s="164">
        <f t="shared" si="79"/>
        <v>-322.25787885028075</v>
      </c>
      <c r="AS243" s="164">
        <f t="shared" si="80"/>
        <v>316.74641148325361</v>
      </c>
      <c r="AT243" s="164">
        <f t="shared" si="71"/>
        <v>316.74641148325361</v>
      </c>
      <c r="AU243" s="152"/>
      <c r="AV243" s="147">
        <f>'Deterministic Reserve'!BC243</f>
        <v>0.45703923731191309</v>
      </c>
      <c r="AW243" s="164">
        <f t="shared" si="72"/>
        <v>316.74641148325361</v>
      </c>
      <c r="AX243" s="164">
        <f t="shared" si="73"/>
        <v>144.76553832559162</v>
      </c>
      <c r="AY243" s="152"/>
    </row>
    <row r="244" spans="1:51" s="150" customFormat="1" x14ac:dyDescent="0.25">
      <c r="A244" s="150">
        <f t="shared" si="81"/>
        <v>240</v>
      </c>
      <c r="B244" s="150">
        <f t="shared" si="82"/>
        <v>20</v>
      </c>
      <c r="C244" s="150">
        <f t="shared" si="83"/>
        <v>12</v>
      </c>
      <c r="D244" s="150">
        <f>IF(E244="","",Input!$C$4+B244-1)</f>
        <v>64</v>
      </c>
      <c r="E244" s="150">
        <f>IF(OR(AND(C243=12,D243=Input!$C$6),E243=""),"",1)</f>
        <v>1</v>
      </c>
      <c r="F244" s="150">
        <f>IF(E244="","",Input!$C$8+B244-1)</f>
        <v>2037</v>
      </c>
      <c r="G244" s="151">
        <f>IF(E244="","",MAX(0,Input!$C$9-B244))</f>
        <v>0</v>
      </c>
      <c r="H244" s="152">
        <f>IF(E244="","",Input!$C$3)</f>
        <v>100000</v>
      </c>
      <c r="I244" s="153">
        <f>IF(E244="","",HLOOKUP($B244,Input!$C$13:$BT$14,2))</f>
        <v>2.2999999999999998</v>
      </c>
      <c r="J244" s="154"/>
      <c r="K244" s="155">
        <f>IF($E244="","",Input!$C$57)</f>
        <v>4.4999999999999998E-2</v>
      </c>
      <c r="L244" s="155">
        <f t="shared" si="74"/>
        <v>3.6748094004368514E-3</v>
      </c>
      <c r="M244" s="147">
        <f>IF($E244="","",VLOOKUP(IF($B244&lt;=Input!$C$7,$B244,26),'Mortality Tables'!$A$72:$CA$97,IF($B244&lt;=Input!$C$7+1,Input!$C$4-16,$D244-Input!$C$7-16),0)/1000)</f>
        <v>6.62E-3</v>
      </c>
      <c r="N244" s="147">
        <f t="shared" si="63"/>
        <v>5.5334762907877089E-4</v>
      </c>
      <c r="O244" s="157">
        <f>IF($E244="","",IF($C244=12,IF($B244&lt;Input!$C$9,Input!$C$54,IF($B244=Input!$C$9,Input!$C$55,Input!$C$56)),0%))</f>
        <v>0.8</v>
      </c>
      <c r="P244" s="167">
        <f>IF($E244="","",IF($B244=1,Input!$C$59,IF($B244&lt;6,Input!$C$60,0%)))</f>
        <v>0</v>
      </c>
      <c r="Q244" s="162">
        <f>IF($E244="","",Input!$C$58)</f>
        <v>2.5</v>
      </c>
      <c r="R244" s="156">
        <f t="shared" si="75"/>
        <v>0.19944665237092118</v>
      </c>
      <c r="S244" s="154">
        <f t="shared" si="64"/>
        <v>5.8361988543154816E-2</v>
      </c>
      <c r="T244" s="152"/>
      <c r="U244" s="150">
        <f t="shared" si="76"/>
        <v>0</v>
      </c>
      <c r="V244" s="150">
        <f t="shared" si="77"/>
        <v>0</v>
      </c>
      <c r="W244" s="168">
        <f t="shared" si="78"/>
        <v>0</v>
      </c>
      <c r="X244" s="163">
        <f t="shared" si="65"/>
        <v>55.334762907877092</v>
      </c>
      <c r="Y244" s="152"/>
      <c r="Z244" s="164">
        <f>IF(AND($C243=12,$D243=Input!$C$6),0,IF($E244="","",V244+Z245/(1+L244)*R244))</f>
        <v>5418.6479805852041</v>
      </c>
      <c r="AA244" s="164">
        <f>IF(OR($M244=1,AND($C243=12,$D243=Input!$C$6)),0,IF($E244="","",W244+(X244+AA245*$R244)/(1+$L244)))</f>
        <v>2215.2174220317511</v>
      </c>
      <c r="AB244" s="160">
        <f t="shared" si="66"/>
        <v>0.825720328500681</v>
      </c>
      <c r="AC244" s="164">
        <f t="shared" si="67"/>
        <v>0</v>
      </c>
      <c r="AD244" s="164">
        <f>IF(AND($C243=12,$D243=Input!$C$6),0,IF($E244="","",$AC244+AD245/(1+$L244)*$R244))</f>
        <v>4474.2877905583637</v>
      </c>
      <c r="AE244" s="152"/>
      <c r="AF244" s="164">
        <f>IF(AND($C243=12,$D243=Input!$C$6),0,IF($E244="","",IF($B244&gt;Input!$C$9,$AC244,0)+AF245/(1+$L244)*$R244))</f>
        <v>4474.2877905583637</v>
      </c>
      <c r="AG244" s="164">
        <f>IF(AND($C243=12,$D243=Input!$C$6),0,IF($E244="","",(IF($B244&gt;Input!$C$9,$X244,0)+AG245)/(1+$L244)*$R244))</f>
        <v>2135.6842417784474</v>
      </c>
      <c r="AH244" s="160">
        <f t="shared" si="68"/>
        <v>2.0950137211446997</v>
      </c>
      <c r="AI244" s="160">
        <f>IF($E244="","",MIN(Input!$C$61/AH244,1))</f>
        <v>0.64438718771845094</v>
      </c>
      <c r="AJ244" s="152"/>
      <c r="AK244" s="164">
        <f>IF(AND($C243=12,$D243=Input!$C$6),0,IF($E244="","",IF($B244&gt;Input!$C$9,$AC244*AI244,0)+AK245/(1+$L244)*$R244))</f>
        <v>2883.1737264009089</v>
      </c>
      <c r="AL244" s="164">
        <f>IF(AND($C243=12,$D243=Input!$C$6),0,IF($E244="","",IF($B244&gt;Input!$C$9,0,$AC244)+AL245/(1+$L244)*$R244))</f>
        <v>0</v>
      </c>
      <c r="AM244" s="160">
        <f t="shared" si="69"/>
        <v>1.1382936520186004</v>
      </c>
      <c r="AN244" s="164">
        <f>IF($E244="","",IF($B244&gt;Input!$C$9,$AI244*$AC244,$AM244*$AC244))</f>
        <v>0</v>
      </c>
      <c r="AO244" s="164">
        <f>IF(AND($C243=12,$D243=Input!$C$6),0,IF($E244="","",$AN244+AO245/(1+$L244)*$R244))</f>
        <v>2883.1737264009089</v>
      </c>
      <c r="AP244" s="152"/>
      <c r="AQ244" s="164">
        <f t="shared" si="70"/>
        <v>-667.95630436915781</v>
      </c>
      <c r="AR244" s="164">
        <f t="shared" si="79"/>
        <v>-322.25787885028075</v>
      </c>
      <c r="AS244" s="164">
        <f t="shared" si="80"/>
        <v>316.74641148325361</v>
      </c>
      <c r="AT244" s="164">
        <f t="shared" si="71"/>
        <v>316.74641148325361</v>
      </c>
      <c r="AU244" s="152"/>
      <c r="AV244" s="147">
        <f>'Deterministic Reserve'!BC244</f>
        <v>9.1249092861807532E-2</v>
      </c>
      <c r="AW244" s="164">
        <f t="shared" si="72"/>
        <v>316.74641148325361</v>
      </c>
      <c r="AX244" s="164">
        <f t="shared" si="73"/>
        <v>28.902822715079708</v>
      </c>
      <c r="AY244" s="152"/>
    </row>
    <row r="245" spans="1:51" s="150" customFormat="1" x14ac:dyDescent="0.25">
      <c r="A245" s="150">
        <f t="shared" si="81"/>
        <v>241</v>
      </c>
      <c r="B245" s="150">
        <f t="shared" si="82"/>
        <v>21</v>
      </c>
      <c r="C245" s="150">
        <f t="shared" si="83"/>
        <v>1</v>
      </c>
      <c r="D245" s="150">
        <f>IF(E245="","",Input!$C$4+B245-1)</f>
        <v>65</v>
      </c>
      <c r="E245" s="150">
        <f>IF(OR(AND(C244=12,D244=Input!$C$6),E244=""),"",1)</f>
        <v>1</v>
      </c>
      <c r="F245" s="150">
        <f>IF(E245="","",Input!$C$8+B245-1)</f>
        <v>2038</v>
      </c>
      <c r="G245" s="151">
        <f>IF(E245="","",MAX(0,Input!$C$9-B245))</f>
        <v>0</v>
      </c>
      <c r="H245" s="152">
        <f>IF(E245="","",Input!$C$3)</f>
        <v>100000</v>
      </c>
      <c r="I245" s="153">
        <f>IF(E245="","",HLOOKUP($B245,Input!$C$13:$BT$14,2))</f>
        <v>17.786999999999999</v>
      </c>
      <c r="J245" s="154"/>
      <c r="K245" s="155">
        <f>IF($E245="","",Input!$C$57)</f>
        <v>4.4999999999999998E-2</v>
      </c>
      <c r="L245" s="155">
        <f t="shared" si="74"/>
        <v>3.6748094004368514E-3</v>
      </c>
      <c r="M245" s="147">
        <f>IF($E245="","",VLOOKUP(IF($B245&lt;=Input!$C$7,$B245,26),'Mortality Tables'!$A$72:$CA$97,IF($B245&lt;=Input!$C$7+1,Input!$C$4-16,$D245-Input!$C$7-16),0)/1000)</f>
        <v>7.26E-3</v>
      </c>
      <c r="N245" s="147">
        <f t="shared" si="63"/>
        <v>6.0702252481648067E-4</v>
      </c>
      <c r="O245" s="157">
        <f>IF($E245="","",IF($C245=12,IF($B245&lt;Input!$C$9,Input!$C$54,IF($B245=Input!$C$9,Input!$C$55,Input!$C$56)),0%))</f>
        <v>0</v>
      </c>
      <c r="P245" s="167">
        <f>IF($E245="","",IF($B245=1,Input!$C$59,IF($B245&lt;6,Input!$C$60,0%)))</f>
        <v>0</v>
      </c>
      <c r="Q245" s="162">
        <f>IF($E245="","",Input!$C$58)</f>
        <v>2.5</v>
      </c>
      <c r="R245" s="156">
        <f t="shared" si="75"/>
        <v>0.99939297747518352</v>
      </c>
      <c r="S245" s="154">
        <f t="shared" si="64"/>
        <v>5.8326561501516043E-2</v>
      </c>
      <c r="T245" s="152"/>
      <c r="U245" s="150">
        <f t="shared" si="76"/>
        <v>1778.7</v>
      </c>
      <c r="V245" s="150">
        <f t="shared" si="77"/>
        <v>1778.7</v>
      </c>
      <c r="W245" s="168">
        <f t="shared" si="78"/>
        <v>0</v>
      </c>
      <c r="X245" s="163">
        <f t="shared" si="65"/>
        <v>60.702252481648067</v>
      </c>
      <c r="Y245" s="152"/>
      <c r="Z245" s="164">
        <f>IF(AND($C244=12,$D244=Input!$C$6),0,IF($E245="","",V245+Z246/(1+L245)*R245))</f>
        <v>27268.246493340721</v>
      </c>
      <c r="AA245" s="164">
        <f>IF(OR($M245=1,AND($C244=12,$D244=Input!$C$6)),0,IF($E245="","",W245+(X245+AA246*$R245)/(1+$L245)))</f>
        <v>10870.19077611984</v>
      </c>
      <c r="AB245" s="160">
        <f t="shared" si="66"/>
        <v>0.825720328500681</v>
      </c>
      <c r="AC245" s="164">
        <f t="shared" si="67"/>
        <v>1468.7087483041614</v>
      </c>
      <c r="AD245" s="164">
        <f>IF(AND($C244=12,$D244=Input!$C$6),0,IF($E245="","",$AC245+AD246/(1+$L245)*$R245))</f>
        <v>22515.945452118824</v>
      </c>
      <c r="AE245" s="152"/>
      <c r="AF245" s="164">
        <f>IF(AND($C244=12,$D244=Input!$C$6),0,IF($E245="","",IF($B245&gt;Input!$C$9,$AC245,0)+AF246/(1+$L245)*$R245))</f>
        <v>22515.945452118824</v>
      </c>
      <c r="AG245" s="164">
        <f>IF(AND($C244=12,$D244=Input!$C$6),0,IF($E245="","",(IF($B245&gt;Input!$C$9,$X245,0)+AG246)/(1+$L245)*$R245))</f>
        <v>10747.397606453991</v>
      </c>
      <c r="AH245" s="160">
        <f t="shared" si="68"/>
        <v>2.0950137211446997</v>
      </c>
      <c r="AI245" s="160">
        <f>IF($E245="","",MIN(Input!$C$61/AH245,1))</f>
        <v>0.64438718771845094</v>
      </c>
      <c r="AJ245" s="152"/>
      <c r="AK245" s="164">
        <f>IF(AND($C244=12,$D244=Input!$C$6),0,IF($E245="","",IF($B245&gt;Input!$C$9,$AC245*AI245,0)+AK246/(1+$L245)*$R245))</f>
        <v>14508.986768712914</v>
      </c>
      <c r="AL245" s="164">
        <f>IF(AND($C244=12,$D244=Input!$C$6),0,IF($E245="","",IF($B245&gt;Input!$C$9,0,$AC245)+AL246/(1+$L245)*$R245))</f>
        <v>0</v>
      </c>
      <c r="AM245" s="160">
        <f t="shared" si="69"/>
        <v>1.1382936520186004</v>
      </c>
      <c r="AN245" s="164">
        <f>IF($E245="","",IF($B245&gt;Input!$C$9,$AI245*$AC245,$AM245*$AC245))</f>
        <v>946.41709989720482</v>
      </c>
      <c r="AO245" s="164">
        <f>IF(AND($C244=12,$D244=Input!$C$6),0,IF($E245="","",$AN245+AO246/(1+$L245)*$R245))</f>
        <v>14508.986768712914</v>
      </c>
      <c r="AP245" s="152"/>
      <c r="AQ245" s="164">
        <f t="shared" si="70"/>
        <v>-3638.7959925930736</v>
      </c>
      <c r="AR245" s="164">
        <f t="shared" si="79"/>
        <v>-1613.0943683448454</v>
      </c>
      <c r="AS245" s="164">
        <f t="shared" si="80"/>
        <v>347.36842105263162</v>
      </c>
      <c r="AT245" s="164">
        <f t="shared" si="71"/>
        <v>347.36842105263162</v>
      </c>
      <c r="AU245" s="152"/>
      <c r="AV245" s="147">
        <f>'Deterministic Reserve'!BC245</f>
        <v>9.1111670414903118E-2</v>
      </c>
      <c r="AW245" s="164">
        <f t="shared" si="72"/>
        <v>347.36842105263162</v>
      </c>
      <c r="AX245" s="164">
        <f t="shared" si="73"/>
        <v>31.649317091492666</v>
      </c>
      <c r="AY245" s="152"/>
    </row>
    <row r="246" spans="1:51" s="150" customFormat="1" x14ac:dyDescent="0.25">
      <c r="A246" s="150">
        <f t="shared" si="81"/>
        <v>242</v>
      </c>
      <c r="B246" s="150">
        <f t="shared" si="82"/>
        <v>21</v>
      </c>
      <c r="C246" s="150">
        <f t="shared" si="83"/>
        <v>2</v>
      </c>
      <c r="D246" s="150">
        <f>IF(E246="","",Input!$C$4+B246-1)</f>
        <v>65</v>
      </c>
      <c r="E246" s="150">
        <f>IF(OR(AND(C245=12,D245=Input!$C$6),E245=""),"",1)</f>
        <v>1</v>
      </c>
      <c r="F246" s="150">
        <f>IF(E246="","",Input!$C$8+B246-1)</f>
        <v>2038</v>
      </c>
      <c r="G246" s="151">
        <f>IF(E246="","",MAX(0,Input!$C$9-B246))</f>
        <v>0</v>
      </c>
      <c r="H246" s="152">
        <f>IF(E246="","",Input!$C$3)</f>
        <v>100000</v>
      </c>
      <c r="I246" s="153">
        <f>IF(E246="","",HLOOKUP($B246,Input!$C$13:$BT$14,2))</f>
        <v>17.786999999999999</v>
      </c>
      <c r="J246" s="154"/>
      <c r="K246" s="155">
        <f>IF($E246="","",Input!$C$57)</f>
        <v>4.4999999999999998E-2</v>
      </c>
      <c r="L246" s="155">
        <f t="shared" si="74"/>
        <v>3.6748094004368514E-3</v>
      </c>
      <c r="M246" s="147">
        <f>IF($E246="","",VLOOKUP(IF($B246&lt;=Input!$C$7,$B246,26),'Mortality Tables'!$A$72:$CA$97,IF($B246&lt;=Input!$C$7+1,Input!$C$4-16,$D246-Input!$C$7-16),0)/1000)</f>
        <v>7.26E-3</v>
      </c>
      <c r="N246" s="147">
        <f t="shared" si="63"/>
        <v>6.0702252481648067E-4</v>
      </c>
      <c r="O246" s="157">
        <f>IF($E246="","",IF($C246=12,IF($B246&lt;Input!$C$9,Input!$C$54,IF($B246=Input!$C$9,Input!$C$55,Input!$C$56)),0%))</f>
        <v>0</v>
      </c>
      <c r="P246" s="167">
        <f>IF($E246="","",IF($B246=1,Input!$C$59,IF($B246&lt;6,Input!$C$60,0%)))</f>
        <v>0</v>
      </c>
      <c r="Q246" s="162">
        <f>IF($E246="","",Input!$C$58)</f>
        <v>2.5</v>
      </c>
      <c r="R246" s="156">
        <f t="shared" si="75"/>
        <v>0.99939297747518352</v>
      </c>
      <c r="S246" s="154">
        <f t="shared" si="64"/>
        <v>5.8291155964889527E-2</v>
      </c>
      <c r="T246" s="152"/>
      <c r="U246" s="150">
        <f t="shared" si="76"/>
        <v>0</v>
      </c>
      <c r="V246" s="150">
        <f t="shared" si="77"/>
        <v>0</v>
      </c>
      <c r="W246" s="168">
        <f t="shared" si="78"/>
        <v>0</v>
      </c>
      <c r="X246" s="163">
        <f t="shared" si="65"/>
        <v>60.702252481648067</v>
      </c>
      <c r="Y246" s="152"/>
      <c r="Z246" s="164">
        <f>IF(AND($C245=12,$D245=Input!$C$6),0,IF($E246="","",V246+Z247/(1+L246)*R246))</f>
        <v>25598.75473914123</v>
      </c>
      <c r="AA246" s="164">
        <f>IF(OR($M246=1,AND($C245=12,$D245=Input!$C$6)),0,IF($E246="","",W246+(X246+AA247*$R246)/(1+$L246)))</f>
        <v>10856.024254139036</v>
      </c>
      <c r="AB246" s="160">
        <f t="shared" si="66"/>
        <v>0.825720328500681</v>
      </c>
      <c r="AC246" s="164">
        <f t="shared" si="67"/>
        <v>0</v>
      </c>
      <c r="AD246" s="164">
        <f>IF(AND($C245=12,$D245=Input!$C$6),0,IF($E246="","",$AC246+AD247/(1+$L246)*$R246))</f>
        <v>21137.412172412045</v>
      </c>
      <c r="AE246" s="152"/>
      <c r="AF246" s="164">
        <f>IF(AND($C245=12,$D245=Input!$C$6),0,IF($E246="","",IF($B246&gt;Input!$C$9,$AC246,0)+AF247/(1+$L246)*$R246))</f>
        <v>21137.412172412045</v>
      </c>
      <c r="AG246" s="164">
        <f>IF(AND($C245=12,$D245=Input!$C$6),0,IF($E246="","",(IF($B246&gt;Input!$C$9,$X246,0)+AG247)/(1+$L246)*$R246))</f>
        <v>10732.741855420618</v>
      </c>
      <c r="AH246" s="160">
        <f t="shared" si="68"/>
        <v>2.0950137211446997</v>
      </c>
      <c r="AI246" s="160">
        <f>IF($E246="","",MIN(Input!$C$61/AH246,1))</f>
        <v>0.64438718771845094</v>
      </c>
      <c r="AJ246" s="152"/>
      <c r="AK246" s="164">
        <f>IF(AND($C245=12,$D245=Input!$C$6),0,IF($E246="","",IF($B246&gt;Input!$C$9,$AC246*AI246,0)+AK247/(1+$L246)*$R246))</f>
        <v>13620.677585426371</v>
      </c>
      <c r="AL246" s="164">
        <f>IF(AND($C245=12,$D245=Input!$C$6),0,IF($E246="","",IF($B246&gt;Input!$C$9,0,$AC246)+AL247/(1+$L246)*$R246))</f>
        <v>0</v>
      </c>
      <c r="AM246" s="160">
        <f t="shared" si="69"/>
        <v>1.1382936520186004</v>
      </c>
      <c r="AN246" s="164">
        <f>IF($E246="","",IF($B246&gt;Input!$C$9,$AI246*$AC246,$AM246*$AC246))</f>
        <v>0</v>
      </c>
      <c r="AO246" s="164">
        <f>IF(AND($C245=12,$D245=Input!$C$6),0,IF($E246="","",$AN246+AO247/(1+$L246)*$R246))</f>
        <v>13620.677585426371</v>
      </c>
      <c r="AP246" s="152"/>
      <c r="AQ246" s="164">
        <f t="shared" si="70"/>
        <v>-2764.6533312873344</v>
      </c>
      <c r="AR246" s="164">
        <f t="shared" si="79"/>
        <v>-1613.0943683448454</v>
      </c>
      <c r="AS246" s="164">
        <f t="shared" si="80"/>
        <v>347.36842105263162</v>
      </c>
      <c r="AT246" s="164">
        <f t="shared" si="71"/>
        <v>347.36842105263162</v>
      </c>
      <c r="AU246" s="152"/>
      <c r="AV246" s="147">
        <f>'Deterministic Reserve'!BC246</f>
        <v>9.0974454928181209E-2</v>
      </c>
      <c r="AW246" s="164">
        <f t="shared" si="72"/>
        <v>347.36842105263162</v>
      </c>
      <c r="AX246" s="164">
        <f t="shared" si="73"/>
        <v>31.601652764526108</v>
      </c>
      <c r="AY246" s="152"/>
    </row>
    <row r="247" spans="1:51" s="150" customFormat="1" x14ac:dyDescent="0.25">
      <c r="A247" s="150">
        <f t="shared" si="81"/>
        <v>243</v>
      </c>
      <c r="B247" s="150">
        <f t="shared" si="82"/>
        <v>21</v>
      </c>
      <c r="C247" s="150">
        <f t="shared" si="83"/>
        <v>3</v>
      </c>
      <c r="D247" s="150">
        <f>IF(E247="","",Input!$C$4+B247-1)</f>
        <v>65</v>
      </c>
      <c r="E247" s="150">
        <f>IF(OR(AND(C246=12,D246=Input!$C$6),E246=""),"",1)</f>
        <v>1</v>
      </c>
      <c r="F247" s="150">
        <f>IF(E247="","",Input!$C$8+B247-1)</f>
        <v>2038</v>
      </c>
      <c r="G247" s="151">
        <f>IF(E247="","",MAX(0,Input!$C$9-B247))</f>
        <v>0</v>
      </c>
      <c r="H247" s="152">
        <f>IF(E247="","",Input!$C$3)</f>
        <v>100000</v>
      </c>
      <c r="I247" s="153">
        <f>IF(E247="","",HLOOKUP($B247,Input!$C$13:$BT$14,2))</f>
        <v>17.786999999999999</v>
      </c>
      <c r="J247" s="154"/>
      <c r="K247" s="155">
        <f>IF($E247="","",Input!$C$57)</f>
        <v>4.4999999999999998E-2</v>
      </c>
      <c r="L247" s="155">
        <f t="shared" si="74"/>
        <v>3.6748094004368514E-3</v>
      </c>
      <c r="M247" s="147">
        <f>IF($E247="","",VLOOKUP(IF($B247&lt;=Input!$C$7,$B247,26),'Mortality Tables'!$A$72:$CA$97,IF($B247&lt;=Input!$C$7+1,Input!$C$4-16,$D247-Input!$C$7-16),0)/1000)</f>
        <v>7.26E-3</v>
      </c>
      <c r="N247" s="147">
        <f t="shared" si="63"/>
        <v>6.0702252481648067E-4</v>
      </c>
      <c r="O247" s="157">
        <f>IF($E247="","",IF($C247=12,IF($B247&lt;Input!$C$9,Input!$C$54,IF($B247=Input!$C$9,Input!$C$55,Input!$C$56)),0%))</f>
        <v>0</v>
      </c>
      <c r="P247" s="167">
        <f>IF($E247="","",IF($B247=1,Input!$C$59,IF($B247&lt;6,Input!$C$60,0%)))</f>
        <v>0</v>
      </c>
      <c r="Q247" s="162">
        <f>IF($E247="","",Input!$C$58)</f>
        <v>2.5</v>
      </c>
      <c r="R247" s="156">
        <f t="shared" si="75"/>
        <v>0.99939297747518352</v>
      </c>
      <c r="S247" s="154">
        <f t="shared" si="64"/>
        <v>5.8255771920221251E-2</v>
      </c>
      <c r="T247" s="152"/>
      <c r="U247" s="150">
        <f t="shared" si="76"/>
        <v>0</v>
      </c>
      <c r="V247" s="150">
        <f t="shared" si="77"/>
        <v>0</v>
      </c>
      <c r="W247" s="168">
        <f t="shared" si="78"/>
        <v>0</v>
      </c>
      <c r="X247" s="163">
        <f t="shared" si="65"/>
        <v>60.702252481648067</v>
      </c>
      <c r="Y247" s="152"/>
      <c r="Z247" s="164">
        <f>IF(AND($C246=12,$D246=Input!$C$6),0,IF($E247="","",V247+Z248/(1+L247)*R247))</f>
        <v>25708.430880318145</v>
      </c>
      <c r="AA247" s="164">
        <f>IF(OR($M247=1,AND($C246=12,$D246=Input!$C$6)),0,IF($E247="","",W247+(X247+AA248*$R247)/(1+$L247)))</f>
        <v>10841.797036648602</v>
      </c>
      <c r="AB247" s="160">
        <f t="shared" si="66"/>
        <v>0.825720328500681</v>
      </c>
      <c r="AC247" s="164">
        <f t="shared" si="67"/>
        <v>0</v>
      </c>
      <c r="AD247" s="164">
        <f>IF(AND($C246=12,$D246=Input!$C$6),0,IF($E247="","",$AC247+AD248/(1+$L247)*$R247))</f>
        <v>21227.973991733335</v>
      </c>
      <c r="AE247" s="152"/>
      <c r="AF247" s="164">
        <f>IF(AND($C246=12,$D246=Input!$C$6),0,IF($E247="","",IF($B247&gt;Input!$C$9,$AC247,0)+AF248/(1+$L247)*$R247))</f>
        <v>21227.973991733335</v>
      </c>
      <c r="AG247" s="164">
        <f>IF(AND($C246=12,$D246=Input!$C$6),0,IF($E247="","",(IF($B247&gt;Input!$C$9,$X247,0)+AG248)/(1+$L247)*$R247))</f>
        <v>10718.023312808678</v>
      </c>
      <c r="AH247" s="160">
        <f t="shared" si="68"/>
        <v>2.0950137211446997</v>
      </c>
      <c r="AI247" s="160">
        <f>IF($E247="","",MIN(Input!$C$61/AH247,1))</f>
        <v>0.64438718771845094</v>
      </c>
      <c r="AJ247" s="152"/>
      <c r="AK247" s="164">
        <f>IF(AND($C246=12,$D246=Input!$C$6),0,IF($E247="","",IF($B247&gt;Input!$C$9,$AC247*AI247,0)+AK248/(1+$L247)*$R247))</f>
        <v>13679.034461493482</v>
      </c>
      <c r="AL247" s="164">
        <f>IF(AND($C246=12,$D246=Input!$C$6),0,IF($E247="","",IF($B247&gt;Input!$C$9,0,$AC247)+AL248/(1+$L247)*$R247))</f>
        <v>0</v>
      </c>
      <c r="AM247" s="160">
        <f t="shared" si="69"/>
        <v>1.1382936520186004</v>
      </c>
      <c r="AN247" s="164">
        <f>IF($E247="","",IF($B247&gt;Input!$C$9,$AI247*$AC247,$AM247*$AC247))</f>
        <v>0</v>
      </c>
      <c r="AO247" s="164">
        <f>IF(AND($C246=12,$D246=Input!$C$6),0,IF($E247="","",$AN247+AO248/(1+$L247)*$R247))</f>
        <v>13679.034461493482</v>
      </c>
      <c r="AP247" s="152"/>
      <c r="AQ247" s="164">
        <f t="shared" si="70"/>
        <v>-2837.2374248448796</v>
      </c>
      <c r="AR247" s="164">
        <f t="shared" si="79"/>
        <v>-1613.0943683448454</v>
      </c>
      <c r="AS247" s="164">
        <f t="shared" si="80"/>
        <v>347.36842105263162</v>
      </c>
      <c r="AT247" s="164">
        <f t="shared" si="71"/>
        <v>347.36842105263162</v>
      </c>
      <c r="AU247" s="152"/>
      <c r="AV247" s="147">
        <f>'Deterministic Reserve'!BC247</f>
        <v>9.0837446089956808E-2</v>
      </c>
      <c r="AW247" s="164">
        <f t="shared" si="72"/>
        <v>347.36842105263162</v>
      </c>
      <c r="AX247" s="164">
        <f t="shared" si="73"/>
        <v>31.554060220721841</v>
      </c>
      <c r="AY247" s="152"/>
    </row>
    <row r="248" spans="1:51" s="150" customFormat="1" x14ac:dyDescent="0.25">
      <c r="A248" s="150">
        <f t="shared" si="81"/>
        <v>244</v>
      </c>
      <c r="B248" s="150">
        <f t="shared" si="82"/>
        <v>21</v>
      </c>
      <c r="C248" s="150">
        <f t="shared" si="83"/>
        <v>4</v>
      </c>
      <c r="D248" s="150">
        <f>IF(E248="","",Input!$C$4+B248-1)</f>
        <v>65</v>
      </c>
      <c r="E248" s="150">
        <f>IF(OR(AND(C247=12,D247=Input!$C$6),E247=""),"",1)</f>
        <v>1</v>
      </c>
      <c r="F248" s="150">
        <f>IF(E248="","",Input!$C$8+B248-1)</f>
        <v>2038</v>
      </c>
      <c r="G248" s="151">
        <f>IF(E248="","",MAX(0,Input!$C$9-B248))</f>
        <v>0</v>
      </c>
      <c r="H248" s="152">
        <f>IF(E248="","",Input!$C$3)</f>
        <v>100000</v>
      </c>
      <c r="I248" s="153">
        <f>IF(E248="","",HLOOKUP($B248,Input!$C$13:$BT$14,2))</f>
        <v>17.786999999999999</v>
      </c>
      <c r="J248" s="154"/>
      <c r="K248" s="155">
        <f>IF($E248="","",Input!$C$57)</f>
        <v>4.4999999999999998E-2</v>
      </c>
      <c r="L248" s="155">
        <f t="shared" si="74"/>
        <v>3.6748094004368514E-3</v>
      </c>
      <c r="M248" s="147">
        <f>IF($E248="","",VLOOKUP(IF($B248&lt;=Input!$C$7,$B248,26),'Mortality Tables'!$A$72:$CA$97,IF($B248&lt;=Input!$C$7+1,Input!$C$4-16,$D248-Input!$C$7-16),0)/1000)</f>
        <v>7.26E-3</v>
      </c>
      <c r="N248" s="147">
        <f t="shared" si="63"/>
        <v>6.0702252481648067E-4</v>
      </c>
      <c r="O248" s="157">
        <f>IF($E248="","",IF($C248=12,IF($B248&lt;Input!$C$9,Input!$C$54,IF($B248=Input!$C$9,Input!$C$55,Input!$C$56)),0%))</f>
        <v>0</v>
      </c>
      <c r="P248" s="167">
        <f>IF($E248="","",IF($B248=1,Input!$C$59,IF($B248&lt;6,Input!$C$60,0%)))</f>
        <v>0</v>
      </c>
      <c r="Q248" s="162">
        <f>IF($E248="","",Input!$C$58)</f>
        <v>2.5</v>
      </c>
      <c r="R248" s="156">
        <f t="shared" si="75"/>
        <v>0.99939297747518352</v>
      </c>
      <c r="S248" s="154">
        <f t="shared" si="64"/>
        <v>5.8220409354465104E-2</v>
      </c>
      <c r="T248" s="152"/>
      <c r="U248" s="150">
        <f t="shared" si="76"/>
        <v>0</v>
      </c>
      <c r="V248" s="150">
        <f t="shared" si="77"/>
        <v>0</v>
      </c>
      <c r="W248" s="168">
        <f t="shared" si="78"/>
        <v>0</v>
      </c>
      <c r="X248" s="163">
        <f t="shared" si="65"/>
        <v>60.702252481648067</v>
      </c>
      <c r="Y248" s="152"/>
      <c r="Z248" s="164">
        <f>IF(AND($C247=12,$D247=Input!$C$6),0,IF($E248="","",V248+Z249/(1+L248)*R248))</f>
        <v>25818.5769215377</v>
      </c>
      <c r="AA248" s="164">
        <f>IF(OR($M248=1,AND($C247=12,$D247=Input!$C$6)),0,IF($E248="","",W248+(X248+AA249*$R248)/(1+$L248)))</f>
        <v>10827.508863602716</v>
      </c>
      <c r="AB248" s="160">
        <f t="shared" si="66"/>
        <v>0.825720328500681</v>
      </c>
      <c r="AC248" s="164">
        <f t="shared" si="67"/>
        <v>0</v>
      </c>
      <c r="AD248" s="164">
        <f>IF(AND($C247=12,$D247=Input!$C$6),0,IF($E248="","",$AC248+AD249/(1+$L248)*$R248))</f>
        <v>21318.923817072195</v>
      </c>
      <c r="AE248" s="152"/>
      <c r="AF248" s="164">
        <f>IF(AND($C247=12,$D247=Input!$C$6),0,IF($E248="","",IF($B248&gt;Input!$C$9,$AC248,0)+AF249/(1+$L248)*$R248))</f>
        <v>21318.923817072195</v>
      </c>
      <c r="AG248" s="164">
        <f>IF(AND($C247=12,$D247=Input!$C$6),0,IF($E248="","",(IF($B248&gt;Input!$C$9,$X248,0)+AG249)/(1+$L248)*$R248))</f>
        <v>10703.241709591883</v>
      </c>
      <c r="AH248" s="160">
        <f t="shared" si="68"/>
        <v>2.0950137211446997</v>
      </c>
      <c r="AI248" s="160">
        <f>IF($E248="","",MIN(Input!$C$61/AH248,1))</f>
        <v>0.64438718771845094</v>
      </c>
      <c r="AJ248" s="152"/>
      <c r="AK248" s="164">
        <f>IF(AND($C247=12,$D247=Input!$C$6),0,IF($E248="","",IF($B248&gt;Input!$C$9,$AC248*AI248,0)+AK249/(1+$L248)*$R248))</f>
        <v>13737.641363667075</v>
      </c>
      <c r="AL248" s="164">
        <f>IF(AND($C247=12,$D247=Input!$C$6),0,IF($E248="","",IF($B248&gt;Input!$C$9,0,$AC248)+AL249/(1+$L248)*$R248))</f>
        <v>0</v>
      </c>
      <c r="AM248" s="160">
        <f t="shared" si="69"/>
        <v>1.1382936520186004</v>
      </c>
      <c r="AN248" s="164">
        <f>IF($E248="","",IF($B248&gt;Input!$C$9,$AI248*$AC248,$AM248*$AC248))</f>
        <v>0</v>
      </c>
      <c r="AO248" s="164">
        <f>IF(AND($C247=12,$D247=Input!$C$6),0,IF($E248="","",$AN248+AO249/(1+$L248)*$R248))</f>
        <v>13737.641363667075</v>
      </c>
      <c r="AP248" s="152"/>
      <c r="AQ248" s="164">
        <f t="shared" si="70"/>
        <v>-2910.1325000643592</v>
      </c>
      <c r="AR248" s="164">
        <f t="shared" si="79"/>
        <v>-1613.0943683448454</v>
      </c>
      <c r="AS248" s="164">
        <f t="shared" si="80"/>
        <v>347.36842105263162</v>
      </c>
      <c r="AT248" s="164">
        <f t="shared" si="71"/>
        <v>347.36842105263162</v>
      </c>
      <c r="AU248" s="152"/>
      <c r="AV248" s="147">
        <f>'Deterministic Reserve'!BC248</f>
        <v>9.0700643589014307E-2</v>
      </c>
      <c r="AW248" s="164">
        <f t="shared" si="72"/>
        <v>347.36842105263162</v>
      </c>
      <c r="AX248" s="164">
        <f t="shared" si="73"/>
        <v>31.506539351973395</v>
      </c>
      <c r="AY248" s="152"/>
    </row>
    <row r="249" spans="1:51" s="150" customFormat="1" x14ac:dyDescent="0.25">
      <c r="A249" s="150">
        <f t="shared" si="81"/>
        <v>245</v>
      </c>
      <c r="B249" s="150">
        <f t="shared" si="82"/>
        <v>21</v>
      </c>
      <c r="C249" s="150">
        <f t="shared" si="83"/>
        <v>5</v>
      </c>
      <c r="D249" s="150">
        <f>IF(E249="","",Input!$C$4+B249-1)</f>
        <v>65</v>
      </c>
      <c r="E249" s="150">
        <f>IF(OR(AND(C248=12,D248=Input!$C$6),E248=""),"",1)</f>
        <v>1</v>
      </c>
      <c r="F249" s="150">
        <f>IF(E249="","",Input!$C$8+B249-1)</f>
        <v>2038</v>
      </c>
      <c r="G249" s="151">
        <f>IF(E249="","",MAX(0,Input!$C$9-B249))</f>
        <v>0</v>
      </c>
      <c r="H249" s="152">
        <f>IF(E249="","",Input!$C$3)</f>
        <v>100000</v>
      </c>
      <c r="I249" s="153">
        <f>IF(E249="","",HLOOKUP($B249,Input!$C$13:$BT$14,2))</f>
        <v>17.786999999999999</v>
      </c>
      <c r="J249" s="154"/>
      <c r="K249" s="155">
        <f>IF($E249="","",Input!$C$57)</f>
        <v>4.4999999999999998E-2</v>
      </c>
      <c r="L249" s="155">
        <f t="shared" si="74"/>
        <v>3.6748094004368514E-3</v>
      </c>
      <c r="M249" s="147">
        <f>IF($E249="","",VLOOKUP(IF($B249&lt;=Input!$C$7,$B249,26),'Mortality Tables'!$A$72:$CA$97,IF($B249&lt;=Input!$C$7+1,Input!$C$4-16,$D249-Input!$C$7-16),0)/1000)</f>
        <v>7.26E-3</v>
      </c>
      <c r="N249" s="147">
        <f t="shared" si="63"/>
        <v>6.0702252481648067E-4</v>
      </c>
      <c r="O249" s="157">
        <f>IF($E249="","",IF($C249=12,IF($B249&lt;Input!$C$9,Input!$C$54,IF($B249=Input!$C$9,Input!$C$55,Input!$C$56)),0%))</f>
        <v>0</v>
      </c>
      <c r="P249" s="167">
        <f>IF($E249="","",IF($B249=1,Input!$C$59,IF($B249&lt;6,Input!$C$60,0%)))</f>
        <v>0</v>
      </c>
      <c r="Q249" s="162">
        <f>IF($E249="","",Input!$C$58)</f>
        <v>2.5</v>
      </c>
      <c r="R249" s="156">
        <f t="shared" si="75"/>
        <v>0.99939297747518352</v>
      </c>
      <c r="S249" s="154">
        <f t="shared" si="64"/>
        <v>5.818506825458291E-2</v>
      </c>
      <c r="T249" s="152"/>
      <c r="U249" s="150">
        <f t="shared" si="76"/>
        <v>0</v>
      </c>
      <c r="V249" s="150">
        <f t="shared" si="77"/>
        <v>0</v>
      </c>
      <c r="W249" s="168">
        <f t="shared" si="78"/>
        <v>0</v>
      </c>
      <c r="X249" s="163">
        <f t="shared" si="65"/>
        <v>60.702252481648067</v>
      </c>
      <c r="Y249" s="152"/>
      <c r="Z249" s="164">
        <f>IF(AND($C248=12,$D248=Input!$C$6),0,IF($E249="","",V249+Z250/(1+L249)*R249))</f>
        <v>25929.194876054989</v>
      </c>
      <c r="AA249" s="164">
        <f>IF(OR($M249=1,AND($C248=12,$D248=Input!$C$6)),0,IF($E249="","",W249+(X249+AA250*$R249)/(1+$L249)))</f>
        <v>10813.159473841402</v>
      </c>
      <c r="AB249" s="160">
        <f t="shared" si="66"/>
        <v>0.825720328500681</v>
      </c>
      <c r="AC249" s="164">
        <f t="shared" si="67"/>
        <v>0</v>
      </c>
      <c r="AD249" s="164">
        <f>IF(AND($C248=12,$D248=Input!$C$6),0,IF($E249="","",$AC249+AD250/(1+$L249)*$R249))</f>
        <v>21410.263310814284</v>
      </c>
      <c r="AE249" s="152"/>
      <c r="AF249" s="164">
        <f>IF(AND($C248=12,$D248=Input!$C$6),0,IF($E249="","",IF($B249&gt;Input!$C$9,$AC249,0)+AF250/(1+$L249)*$R249))</f>
        <v>21410.263310814284</v>
      </c>
      <c r="AG249" s="164">
        <f>IF(AND($C248=12,$D248=Input!$C$6),0,IF($E249="","",(IF($B249&gt;Input!$C$9,$X249,0)+AG250)/(1+$L249)*$R249))</f>
        <v>10688.396775591315</v>
      </c>
      <c r="AH249" s="160">
        <f t="shared" si="68"/>
        <v>2.0950137211446997</v>
      </c>
      <c r="AI249" s="160">
        <f>IF($E249="","",MIN(Input!$C$61/AH249,1))</f>
        <v>0.64438718771845094</v>
      </c>
      <c r="AJ249" s="152"/>
      <c r="AK249" s="164">
        <f>IF(AND($C248=12,$D248=Input!$C$6),0,IF($E249="","",IF($B249&gt;Input!$C$9,$AC249*AI249,0)+AK250/(1+$L249)*$R249))</f>
        <v>13796.499363167168</v>
      </c>
      <c r="AL249" s="164">
        <f>IF(AND($C248=12,$D248=Input!$C$6),0,IF($E249="","",IF($B249&gt;Input!$C$9,0,$AC249)+AL250/(1+$L249)*$R249))</f>
        <v>0</v>
      </c>
      <c r="AM249" s="160">
        <f t="shared" si="69"/>
        <v>1.1382936520186004</v>
      </c>
      <c r="AN249" s="164">
        <f>IF($E249="","",IF($B249&gt;Input!$C$9,$AI249*$AC249,$AM249*$AC249))</f>
        <v>0</v>
      </c>
      <c r="AO249" s="164">
        <f>IF(AND($C248=12,$D248=Input!$C$6),0,IF($E249="","",$AN249+AO250/(1+$L249)*$R249))</f>
        <v>13796.499363167168</v>
      </c>
      <c r="AP249" s="152"/>
      <c r="AQ249" s="164">
        <f t="shared" si="70"/>
        <v>-2983.3398893257654</v>
      </c>
      <c r="AR249" s="164">
        <f t="shared" si="79"/>
        <v>-1613.0943683448454</v>
      </c>
      <c r="AS249" s="164">
        <f t="shared" si="80"/>
        <v>347.36842105263162</v>
      </c>
      <c r="AT249" s="164">
        <f t="shared" si="71"/>
        <v>347.36842105263162</v>
      </c>
      <c r="AU249" s="152"/>
      <c r="AV249" s="147">
        <f>'Deterministic Reserve'!BC249</f>
        <v>9.0564047114606777E-2</v>
      </c>
      <c r="AW249" s="164">
        <f t="shared" si="72"/>
        <v>347.36842105263162</v>
      </c>
      <c r="AX249" s="164">
        <f t="shared" si="73"/>
        <v>31.459090050337096</v>
      </c>
      <c r="AY249" s="152"/>
    </row>
    <row r="250" spans="1:51" s="150" customFormat="1" x14ac:dyDescent="0.25">
      <c r="A250" s="150">
        <f t="shared" si="81"/>
        <v>246</v>
      </c>
      <c r="B250" s="150">
        <f t="shared" si="82"/>
        <v>21</v>
      </c>
      <c r="C250" s="150">
        <f t="shared" si="83"/>
        <v>6</v>
      </c>
      <c r="D250" s="150">
        <f>IF(E250="","",Input!$C$4+B250-1)</f>
        <v>65</v>
      </c>
      <c r="E250" s="150">
        <f>IF(OR(AND(C249=12,D249=Input!$C$6),E249=""),"",1)</f>
        <v>1</v>
      </c>
      <c r="F250" s="150">
        <f>IF(E250="","",Input!$C$8+B250-1)</f>
        <v>2038</v>
      </c>
      <c r="G250" s="151">
        <f>IF(E250="","",MAX(0,Input!$C$9-B250))</f>
        <v>0</v>
      </c>
      <c r="H250" s="152">
        <f>IF(E250="","",Input!$C$3)</f>
        <v>100000</v>
      </c>
      <c r="I250" s="153">
        <f>IF(E250="","",HLOOKUP($B250,Input!$C$13:$BT$14,2))</f>
        <v>17.786999999999999</v>
      </c>
      <c r="J250" s="154"/>
      <c r="K250" s="155">
        <f>IF($E250="","",Input!$C$57)</f>
        <v>4.4999999999999998E-2</v>
      </c>
      <c r="L250" s="155">
        <f t="shared" si="74"/>
        <v>3.6748094004368514E-3</v>
      </c>
      <c r="M250" s="147">
        <f>IF($E250="","",VLOOKUP(IF($B250&lt;=Input!$C$7,$B250,26),'Mortality Tables'!$A$72:$CA$97,IF($B250&lt;=Input!$C$7+1,Input!$C$4-16,$D250-Input!$C$7-16),0)/1000)</f>
        <v>7.26E-3</v>
      </c>
      <c r="N250" s="147">
        <f t="shared" si="63"/>
        <v>6.0702252481648067E-4</v>
      </c>
      <c r="O250" s="157">
        <f>IF($E250="","",IF($C250=12,IF($B250&lt;Input!$C$9,Input!$C$54,IF($B250=Input!$C$9,Input!$C$55,Input!$C$56)),0%))</f>
        <v>0</v>
      </c>
      <c r="P250" s="167">
        <f>IF($E250="","",IF($B250=1,Input!$C$59,IF($B250&lt;6,Input!$C$60,0%)))</f>
        <v>0</v>
      </c>
      <c r="Q250" s="162">
        <f>IF($E250="","",Input!$C$58)</f>
        <v>2.5</v>
      </c>
      <c r="R250" s="156">
        <f t="shared" si="75"/>
        <v>0.99939297747518352</v>
      </c>
      <c r="S250" s="154">
        <f t="shared" si="64"/>
        <v>5.8149748607544391E-2</v>
      </c>
      <c r="T250" s="152"/>
      <c r="U250" s="150">
        <f t="shared" si="76"/>
        <v>0</v>
      </c>
      <c r="V250" s="150">
        <f t="shared" si="77"/>
        <v>0</v>
      </c>
      <c r="W250" s="168">
        <f t="shared" si="78"/>
        <v>0</v>
      </c>
      <c r="X250" s="163">
        <f t="shared" si="65"/>
        <v>60.702252481648067</v>
      </c>
      <c r="Y250" s="152"/>
      <c r="Z250" s="164">
        <f>IF(AND($C249=12,$D249=Input!$C$6),0,IF($E250="","",V250+Z251/(1+L250)*R250))</f>
        <v>26040.286765750767</v>
      </c>
      <c r="AA250" s="164">
        <f>IF(OR($M250=1,AND($C249=12,$D249=Input!$C$6)),0,IF($E250="","",W250+(X250+AA251*$R250)/(1+$L250)))</f>
        <v>10798.748605085768</v>
      </c>
      <c r="AB250" s="160">
        <f t="shared" si="66"/>
        <v>0.825720328500681</v>
      </c>
      <c r="AC250" s="164">
        <f t="shared" si="67"/>
        <v>0</v>
      </c>
      <c r="AD250" s="164">
        <f>IF(AND($C249=12,$D249=Input!$C$6),0,IF($E250="","",$AC250+AD251/(1+$L250)*$R250))</f>
        <v>21501.994142467644</v>
      </c>
      <c r="AE250" s="152"/>
      <c r="AF250" s="164">
        <f>IF(AND($C249=12,$D249=Input!$C$6),0,IF($E250="","",IF($B250&gt;Input!$C$9,$AC250,0)+AF251/(1+$L250)*$R250))</f>
        <v>21501.994142467644</v>
      </c>
      <c r="AG250" s="164">
        <f>IF(AND($C249=12,$D249=Input!$C$6),0,IF($E250="","",(IF($B250&gt;Input!$C$9,$X250,0)+AG251)/(1+$L250)*$R250))</f>
        <v>10673.488239470495</v>
      </c>
      <c r="AH250" s="160">
        <f t="shared" si="68"/>
        <v>2.0950137211446997</v>
      </c>
      <c r="AI250" s="160">
        <f>IF($E250="","",MIN(Input!$C$61/AH250,1))</f>
        <v>0.64438718771845094</v>
      </c>
      <c r="AJ250" s="152"/>
      <c r="AK250" s="164">
        <f>IF(AND($C249=12,$D249=Input!$C$6),0,IF($E250="","",IF($B250&gt;Input!$C$9,$AC250*AI250,0)+AK251/(1+$L250)*$R250))</f>
        <v>13855.609535803349</v>
      </c>
      <c r="AL250" s="164">
        <f>IF(AND($C249=12,$D249=Input!$C$6),0,IF($E250="","",IF($B250&gt;Input!$C$9,0,$AC250)+AL251/(1+$L250)*$R250))</f>
        <v>0</v>
      </c>
      <c r="AM250" s="160">
        <f t="shared" si="69"/>
        <v>1.1382936520186004</v>
      </c>
      <c r="AN250" s="164">
        <f>IF($E250="","",IF($B250&gt;Input!$C$9,$AI250*$AC250,$AM250*$AC250))</f>
        <v>0</v>
      </c>
      <c r="AO250" s="164">
        <f>IF(AND($C249=12,$D249=Input!$C$6),0,IF($E250="","",$AN250+AO251/(1+$L250)*$R250))</f>
        <v>13855.609535803349</v>
      </c>
      <c r="AP250" s="152"/>
      <c r="AQ250" s="164">
        <f t="shared" si="70"/>
        <v>-3056.8609307175811</v>
      </c>
      <c r="AR250" s="164">
        <f t="shared" si="79"/>
        <v>-1613.0943683448454</v>
      </c>
      <c r="AS250" s="164">
        <f t="shared" si="80"/>
        <v>347.36842105263162</v>
      </c>
      <c r="AT250" s="164">
        <f t="shared" si="71"/>
        <v>347.36842105263162</v>
      </c>
      <c r="AU250" s="152"/>
      <c r="AV250" s="147">
        <f>'Deterministic Reserve'!BC250</f>
        <v>9.0427656356455305E-2</v>
      </c>
      <c r="AW250" s="164">
        <f t="shared" si="72"/>
        <v>347.36842105263162</v>
      </c>
      <c r="AX250" s="164">
        <f t="shared" si="73"/>
        <v>31.411712208031847</v>
      </c>
      <c r="AY250" s="152"/>
    </row>
    <row r="251" spans="1:51" s="150" customFormat="1" x14ac:dyDescent="0.25">
      <c r="A251" s="150">
        <f t="shared" si="81"/>
        <v>247</v>
      </c>
      <c r="B251" s="150">
        <f t="shared" si="82"/>
        <v>21</v>
      </c>
      <c r="C251" s="150">
        <f t="shared" si="83"/>
        <v>7</v>
      </c>
      <c r="D251" s="150">
        <f>IF(E251="","",Input!$C$4+B251-1)</f>
        <v>65</v>
      </c>
      <c r="E251" s="150">
        <f>IF(OR(AND(C250=12,D250=Input!$C$6),E250=""),"",1)</f>
        <v>1</v>
      </c>
      <c r="F251" s="150">
        <f>IF(E251="","",Input!$C$8+B251-1)</f>
        <v>2038</v>
      </c>
      <c r="G251" s="151">
        <f>IF(E251="","",MAX(0,Input!$C$9-B251))</f>
        <v>0</v>
      </c>
      <c r="H251" s="152">
        <f>IF(E251="","",Input!$C$3)</f>
        <v>100000</v>
      </c>
      <c r="I251" s="153">
        <f>IF(E251="","",HLOOKUP($B251,Input!$C$13:$BT$14,2))</f>
        <v>17.786999999999999</v>
      </c>
      <c r="J251" s="154"/>
      <c r="K251" s="155">
        <f>IF($E251="","",Input!$C$57)</f>
        <v>4.4999999999999998E-2</v>
      </c>
      <c r="L251" s="155">
        <f t="shared" si="74"/>
        <v>3.6748094004368514E-3</v>
      </c>
      <c r="M251" s="147">
        <f>IF($E251="","",VLOOKUP(IF($B251&lt;=Input!$C$7,$B251,26),'Mortality Tables'!$A$72:$CA$97,IF($B251&lt;=Input!$C$7+1,Input!$C$4-16,$D251-Input!$C$7-16),0)/1000)</f>
        <v>7.26E-3</v>
      </c>
      <c r="N251" s="147">
        <f t="shared" si="63"/>
        <v>6.0702252481648067E-4</v>
      </c>
      <c r="O251" s="157">
        <f>IF($E251="","",IF($C251=12,IF($B251&lt;Input!$C$9,Input!$C$54,IF($B251=Input!$C$9,Input!$C$55,Input!$C$56)),0%))</f>
        <v>0</v>
      </c>
      <c r="P251" s="167">
        <f>IF($E251="","",IF($B251=1,Input!$C$59,IF($B251&lt;6,Input!$C$60,0%)))</f>
        <v>0</v>
      </c>
      <c r="Q251" s="162">
        <f>IF($E251="","",Input!$C$58)</f>
        <v>2.5</v>
      </c>
      <c r="R251" s="156">
        <f t="shared" si="75"/>
        <v>0.99939297747518352</v>
      </c>
      <c r="S251" s="154">
        <f t="shared" si="64"/>
        <v>5.8114450400327193E-2</v>
      </c>
      <c r="T251" s="152"/>
      <c r="U251" s="150">
        <f t="shared" si="76"/>
        <v>0</v>
      </c>
      <c r="V251" s="150">
        <f t="shared" si="77"/>
        <v>0</v>
      </c>
      <c r="W251" s="168">
        <f t="shared" si="78"/>
        <v>0</v>
      </c>
      <c r="X251" s="163">
        <f t="shared" si="65"/>
        <v>60.702252481648067</v>
      </c>
      <c r="Y251" s="152"/>
      <c r="Z251" s="164">
        <f>IF(AND($C250=12,$D250=Input!$C$6),0,IF($E251="","",V251+Z252/(1+L251)*R251))</f>
        <v>26151.854621168393</v>
      </c>
      <c r="AA251" s="164">
        <f>IF(OR($M251=1,AND($C250=12,$D250=Input!$C$6)),0,IF($E251="","",W251+(X251+AA252*$R251)/(1+$L251)))</f>
        <v>10784.275993933199</v>
      </c>
      <c r="AB251" s="160">
        <f t="shared" si="66"/>
        <v>0.825720328500681</v>
      </c>
      <c r="AC251" s="164">
        <f t="shared" si="67"/>
        <v>0</v>
      </c>
      <c r="AD251" s="164">
        <f>IF(AND($C250=12,$D250=Input!$C$6),0,IF($E251="","",$AC251+AD252/(1+$L251)*$R251))</f>
        <v>21594.117988693204</v>
      </c>
      <c r="AE251" s="152"/>
      <c r="AF251" s="164">
        <f>IF(AND($C250=12,$D250=Input!$C$6),0,IF($E251="","",IF($B251&gt;Input!$C$9,$AC251,0)+AF252/(1+$L251)*$R251))</f>
        <v>21594.117988693204</v>
      </c>
      <c r="AG251" s="164">
        <f>IF(AND($C250=12,$D250=Input!$C$6),0,IF($E251="","",(IF($B251&gt;Input!$C$9,$X251,0)+AG252)/(1+$L251)*$R251))</f>
        <v>10658.515828730422</v>
      </c>
      <c r="AH251" s="160">
        <f t="shared" si="68"/>
        <v>2.0950137211446997</v>
      </c>
      <c r="AI251" s="160">
        <f>IF($E251="","",MIN(Input!$C$61/AH251,1))</f>
        <v>0.64438718771845094</v>
      </c>
      <c r="AJ251" s="152"/>
      <c r="AK251" s="164">
        <f>IF(AND($C250=12,$D250=Input!$C$6),0,IF($E251="","",IF($B251&gt;Input!$C$9,$AC251*AI251,0)+AK252/(1+$L251)*$R251))</f>
        <v>13914.972961994445</v>
      </c>
      <c r="AL251" s="164">
        <f>IF(AND($C250=12,$D250=Input!$C$6),0,IF($E251="","",IF($B251&gt;Input!$C$9,0,$AC251)+AL252/(1+$L251)*$R251))</f>
        <v>0</v>
      </c>
      <c r="AM251" s="160">
        <f t="shared" si="69"/>
        <v>1.1382936520186004</v>
      </c>
      <c r="AN251" s="164">
        <f>IF($E251="","",IF($B251&gt;Input!$C$9,$AI251*$AC251,$AM251*$AC251))</f>
        <v>0</v>
      </c>
      <c r="AO251" s="164">
        <f>IF(AND($C250=12,$D250=Input!$C$6),0,IF($E251="","",$AN251+AO252/(1+$L251)*$R251))</f>
        <v>13914.972961994445</v>
      </c>
      <c r="AP251" s="152"/>
      <c r="AQ251" s="164">
        <f t="shared" si="70"/>
        <v>-3130.6969680612456</v>
      </c>
      <c r="AR251" s="164">
        <f t="shared" si="79"/>
        <v>-1613.0943683448454</v>
      </c>
      <c r="AS251" s="164">
        <f t="shared" si="80"/>
        <v>347.36842105263162</v>
      </c>
      <c r="AT251" s="164">
        <f t="shared" si="71"/>
        <v>347.36842105263162</v>
      </c>
      <c r="AU251" s="152"/>
      <c r="AV251" s="147">
        <f>'Deterministic Reserve'!BC251</f>
        <v>9.0291471004748242E-2</v>
      </c>
      <c r="AW251" s="164">
        <f t="shared" si="72"/>
        <v>347.36842105263162</v>
      </c>
      <c r="AX251" s="164">
        <f t="shared" si="73"/>
        <v>31.364405717438867</v>
      </c>
      <c r="AY251" s="152"/>
    </row>
    <row r="252" spans="1:51" s="150" customFormat="1" x14ac:dyDescent="0.25">
      <c r="A252" s="150">
        <f t="shared" si="81"/>
        <v>248</v>
      </c>
      <c r="B252" s="150">
        <f t="shared" si="82"/>
        <v>21</v>
      </c>
      <c r="C252" s="150">
        <f t="shared" si="83"/>
        <v>8</v>
      </c>
      <c r="D252" s="150">
        <f>IF(E252="","",Input!$C$4+B252-1)</f>
        <v>65</v>
      </c>
      <c r="E252" s="150">
        <f>IF(OR(AND(C251=12,D251=Input!$C$6),E251=""),"",1)</f>
        <v>1</v>
      </c>
      <c r="F252" s="150">
        <f>IF(E252="","",Input!$C$8+B252-1)</f>
        <v>2038</v>
      </c>
      <c r="G252" s="151">
        <f>IF(E252="","",MAX(0,Input!$C$9-B252))</f>
        <v>0</v>
      </c>
      <c r="H252" s="152">
        <f>IF(E252="","",Input!$C$3)</f>
        <v>100000</v>
      </c>
      <c r="I252" s="153">
        <f>IF(E252="","",HLOOKUP($B252,Input!$C$13:$BT$14,2))</f>
        <v>17.786999999999999</v>
      </c>
      <c r="J252" s="154"/>
      <c r="K252" s="155">
        <f>IF($E252="","",Input!$C$57)</f>
        <v>4.4999999999999998E-2</v>
      </c>
      <c r="L252" s="155">
        <f t="shared" si="74"/>
        <v>3.6748094004368514E-3</v>
      </c>
      <c r="M252" s="147">
        <f>IF($E252="","",VLOOKUP(IF($B252&lt;=Input!$C$7,$B252,26),'Mortality Tables'!$A$72:$CA$97,IF($B252&lt;=Input!$C$7+1,Input!$C$4-16,$D252-Input!$C$7-16),0)/1000)</f>
        <v>7.26E-3</v>
      </c>
      <c r="N252" s="147">
        <f t="shared" si="63"/>
        <v>6.0702252481648067E-4</v>
      </c>
      <c r="O252" s="157">
        <f>IF($E252="","",IF($C252=12,IF($B252&lt;Input!$C$9,Input!$C$54,IF($B252=Input!$C$9,Input!$C$55,Input!$C$56)),0%))</f>
        <v>0</v>
      </c>
      <c r="P252" s="167">
        <f>IF($E252="","",IF($B252=1,Input!$C$59,IF($B252&lt;6,Input!$C$60,0%)))</f>
        <v>0</v>
      </c>
      <c r="Q252" s="162">
        <f>IF($E252="","",Input!$C$58)</f>
        <v>2.5</v>
      </c>
      <c r="R252" s="156">
        <f t="shared" si="75"/>
        <v>0.99939297747518352</v>
      </c>
      <c r="S252" s="154">
        <f t="shared" si="64"/>
        <v>5.8079173619916866E-2</v>
      </c>
      <c r="T252" s="152"/>
      <c r="U252" s="150">
        <f t="shared" si="76"/>
        <v>0</v>
      </c>
      <c r="V252" s="150">
        <f t="shared" si="77"/>
        <v>0</v>
      </c>
      <c r="W252" s="168">
        <f t="shared" si="78"/>
        <v>0</v>
      </c>
      <c r="X252" s="163">
        <f t="shared" si="65"/>
        <v>60.702252481648067</v>
      </c>
      <c r="Y252" s="152"/>
      <c r="Z252" s="164">
        <f>IF(AND($C251=12,$D251=Input!$C$6),0,IF($E252="","",V252+Z253/(1+L252)*R252))</f>
        <v>26263.900481550962</v>
      </c>
      <c r="AA252" s="164">
        <f>IF(OR($M252=1,AND($C251=12,$D251=Input!$C$6)),0,IF($E252="","",W252+(X252+AA253*$R252)/(1+$L252)))</f>
        <v>10769.741375852553</v>
      </c>
      <c r="AB252" s="160">
        <f t="shared" si="66"/>
        <v>0.825720328500681</v>
      </c>
      <c r="AC252" s="164">
        <f t="shared" si="67"/>
        <v>0</v>
      </c>
      <c r="AD252" s="164">
        <f>IF(AND($C251=12,$D251=Input!$C$6),0,IF($E252="","",$AC252+AD253/(1+$L252)*$R252))</f>
        <v>21686.636533335437</v>
      </c>
      <c r="AE252" s="152"/>
      <c r="AF252" s="164">
        <f>IF(AND($C251=12,$D251=Input!$C$6),0,IF($E252="","",IF($B252&gt;Input!$C$9,$AC252,0)+AF253/(1+$L252)*$R252))</f>
        <v>21686.636533335437</v>
      </c>
      <c r="AG252" s="164">
        <f>IF(AND($C251=12,$D251=Input!$C$6),0,IF($E252="","",(IF($B252&gt;Input!$C$9,$X252,0)+AG253)/(1+$L252)*$R252))</f>
        <v>10643.479269704589</v>
      </c>
      <c r="AH252" s="160">
        <f t="shared" si="68"/>
        <v>2.0950137211446997</v>
      </c>
      <c r="AI252" s="160">
        <f>IF($E252="","",MIN(Input!$C$61/AH252,1))</f>
        <v>0.64438718771845094</v>
      </c>
      <c r="AJ252" s="152"/>
      <c r="AK252" s="164">
        <f>IF(AND($C251=12,$D251=Input!$C$6),0,IF($E252="","",IF($B252&gt;Input!$C$9,$AC252*AI252,0)+AK253/(1+$L252)*$R252))</f>
        <v>13974.590726788259</v>
      </c>
      <c r="AL252" s="164">
        <f>IF(AND($C251=12,$D251=Input!$C$6),0,IF($E252="","",IF($B252&gt;Input!$C$9,0,$AC252)+AL253/(1+$L252)*$R252))</f>
        <v>0</v>
      </c>
      <c r="AM252" s="160">
        <f t="shared" si="69"/>
        <v>1.1382936520186004</v>
      </c>
      <c r="AN252" s="164">
        <f>IF($E252="","",IF($B252&gt;Input!$C$9,$AI252*$AC252,$AM252*$AC252))</f>
        <v>0</v>
      </c>
      <c r="AO252" s="164">
        <f>IF(AND($C251=12,$D251=Input!$C$6),0,IF($E252="","",$AN252+AO253/(1+$L252)*$R252))</f>
        <v>13974.590726788259</v>
      </c>
      <c r="AP252" s="152"/>
      <c r="AQ252" s="164">
        <f t="shared" si="70"/>
        <v>-3204.8493509357068</v>
      </c>
      <c r="AR252" s="164">
        <f t="shared" si="79"/>
        <v>-1613.0943683448454</v>
      </c>
      <c r="AS252" s="164">
        <f t="shared" si="80"/>
        <v>347.36842105263162</v>
      </c>
      <c r="AT252" s="164">
        <f t="shared" si="71"/>
        <v>347.36842105263162</v>
      </c>
      <c r="AU252" s="152"/>
      <c r="AV252" s="147">
        <f>'Deterministic Reserve'!BC252</f>
        <v>9.0155490750140524E-2</v>
      </c>
      <c r="AW252" s="164">
        <f t="shared" si="72"/>
        <v>347.36842105263162</v>
      </c>
      <c r="AX252" s="164">
        <f t="shared" si="73"/>
        <v>31.317170471101448</v>
      </c>
      <c r="AY252" s="152"/>
    </row>
    <row r="253" spans="1:51" s="150" customFormat="1" x14ac:dyDescent="0.25">
      <c r="A253" s="150">
        <f t="shared" si="81"/>
        <v>249</v>
      </c>
      <c r="B253" s="150">
        <f t="shared" si="82"/>
        <v>21</v>
      </c>
      <c r="C253" s="150">
        <f t="shared" si="83"/>
        <v>9</v>
      </c>
      <c r="D253" s="150">
        <f>IF(E253="","",Input!$C$4+B253-1)</f>
        <v>65</v>
      </c>
      <c r="E253" s="150">
        <f>IF(OR(AND(C252=12,D252=Input!$C$6),E252=""),"",1)</f>
        <v>1</v>
      </c>
      <c r="F253" s="150">
        <f>IF(E253="","",Input!$C$8+B253-1)</f>
        <v>2038</v>
      </c>
      <c r="G253" s="151">
        <f>IF(E253="","",MAX(0,Input!$C$9-B253))</f>
        <v>0</v>
      </c>
      <c r="H253" s="152">
        <f>IF(E253="","",Input!$C$3)</f>
        <v>100000</v>
      </c>
      <c r="I253" s="153">
        <f>IF(E253="","",HLOOKUP($B253,Input!$C$13:$BT$14,2))</f>
        <v>17.786999999999999</v>
      </c>
      <c r="J253" s="154"/>
      <c r="K253" s="155">
        <f>IF($E253="","",Input!$C$57)</f>
        <v>4.4999999999999998E-2</v>
      </c>
      <c r="L253" s="155">
        <f t="shared" si="74"/>
        <v>3.6748094004368514E-3</v>
      </c>
      <c r="M253" s="147">
        <f>IF($E253="","",VLOOKUP(IF($B253&lt;=Input!$C$7,$B253,26),'Mortality Tables'!$A$72:$CA$97,IF($B253&lt;=Input!$C$7+1,Input!$C$4-16,$D253-Input!$C$7-16),0)/1000)</f>
        <v>7.26E-3</v>
      </c>
      <c r="N253" s="147">
        <f t="shared" si="63"/>
        <v>6.0702252481648067E-4</v>
      </c>
      <c r="O253" s="157">
        <f>IF($E253="","",IF($C253=12,IF($B253&lt;Input!$C$9,Input!$C$54,IF($B253=Input!$C$9,Input!$C$55,Input!$C$56)),0%))</f>
        <v>0</v>
      </c>
      <c r="P253" s="167">
        <f>IF($E253="","",IF($B253=1,Input!$C$59,IF($B253&lt;6,Input!$C$60,0%)))</f>
        <v>0</v>
      </c>
      <c r="Q253" s="162">
        <f>IF($E253="","",Input!$C$58)</f>
        <v>2.5</v>
      </c>
      <c r="R253" s="156">
        <f t="shared" si="75"/>
        <v>0.99939297747518352</v>
      </c>
      <c r="S253" s="154">
        <f t="shared" si="64"/>
        <v>5.8043918253306848E-2</v>
      </c>
      <c r="T253" s="152"/>
      <c r="U253" s="150">
        <f t="shared" si="76"/>
        <v>0</v>
      </c>
      <c r="V253" s="150">
        <f t="shared" si="77"/>
        <v>0</v>
      </c>
      <c r="W253" s="168">
        <f t="shared" si="78"/>
        <v>0</v>
      </c>
      <c r="X253" s="163">
        <f t="shared" si="65"/>
        <v>60.702252481648067</v>
      </c>
      <c r="Y253" s="152"/>
      <c r="Z253" s="164">
        <f>IF(AND($C252=12,$D252=Input!$C$6),0,IF($E253="","",V253+Z254/(1+L253)*R253))</f>
        <v>26376.426394878556</v>
      </c>
      <c r="AA253" s="164">
        <f>IF(OR($M253=1,AND($C252=12,$D252=Input!$C$6)),0,IF($E253="","",W253+(X253+AA254*$R253)/(1+$L253)))</f>
        <v>10755.144485179322</v>
      </c>
      <c r="AB253" s="160">
        <f t="shared" si="66"/>
        <v>0.825720328500681</v>
      </c>
      <c r="AC253" s="164">
        <f t="shared" si="67"/>
        <v>0</v>
      </c>
      <c r="AD253" s="164">
        <f>IF(AND($C252=12,$D252=Input!$C$6),0,IF($E253="","",$AC253+AD254/(1+$L253)*$R253))</f>
        <v>21779.551467453137</v>
      </c>
      <c r="AE253" s="152"/>
      <c r="AF253" s="164">
        <f>IF(AND($C252=12,$D252=Input!$C$6),0,IF($E253="","",IF($B253&gt;Input!$C$9,$AC253,0)+AF254/(1+$L253)*$R253))</f>
        <v>21779.551467453137</v>
      </c>
      <c r="AG253" s="164">
        <f>IF(AND($C252=12,$D252=Input!$C$6),0,IF($E253="","",(IF($B253&gt;Input!$C$9,$X253,0)+AG254)/(1+$L253)*$R253))</f>
        <v>10628.378287553986</v>
      </c>
      <c r="AH253" s="160">
        <f t="shared" si="68"/>
        <v>2.0950137211446997</v>
      </c>
      <c r="AI253" s="160">
        <f>IF($E253="","",MIN(Input!$C$61/AH253,1))</f>
        <v>0.64438718771845094</v>
      </c>
      <c r="AJ253" s="152"/>
      <c r="AK253" s="164">
        <f>IF(AND($C252=12,$D252=Input!$C$6),0,IF($E253="","",IF($B253&gt;Input!$C$9,$AC253*AI253,0)+AK254/(1+$L253)*$R253))</f>
        <v>14034.463919881411</v>
      </c>
      <c r="AL253" s="164">
        <f>IF(AND($C252=12,$D252=Input!$C$6),0,IF($E253="","",IF($B253&gt;Input!$C$9,0,$AC253)+AL254/(1+$L253)*$R253))</f>
        <v>0</v>
      </c>
      <c r="AM253" s="160">
        <f t="shared" si="69"/>
        <v>1.1382936520186004</v>
      </c>
      <c r="AN253" s="164">
        <f>IF($E253="","",IF($B253&gt;Input!$C$9,$AI253*$AC253,$AM253*$AC253))</f>
        <v>0</v>
      </c>
      <c r="AO253" s="164">
        <f>IF(AND($C252=12,$D252=Input!$C$6),0,IF($E253="","",$AN253+AO254/(1+$L253)*$R253))</f>
        <v>14034.463919881411</v>
      </c>
      <c r="AP253" s="152"/>
      <c r="AQ253" s="164">
        <f t="shared" si="70"/>
        <v>-3279.319434702089</v>
      </c>
      <c r="AR253" s="164">
        <f t="shared" si="79"/>
        <v>-1613.0943683448454</v>
      </c>
      <c r="AS253" s="164">
        <f t="shared" si="80"/>
        <v>347.36842105263162</v>
      </c>
      <c r="AT253" s="164">
        <f t="shared" si="71"/>
        <v>347.36842105263162</v>
      </c>
      <c r="AU253" s="152"/>
      <c r="AV253" s="147">
        <f>'Deterministic Reserve'!BC253</f>
        <v>9.0019715283752966E-2</v>
      </c>
      <c r="AW253" s="164">
        <f t="shared" si="72"/>
        <v>347.36842105263162</v>
      </c>
      <c r="AX253" s="164">
        <f t="shared" si="73"/>
        <v>31.270006361724718</v>
      </c>
      <c r="AY253" s="152"/>
    </row>
    <row r="254" spans="1:51" s="150" customFormat="1" x14ac:dyDescent="0.25">
      <c r="A254" s="150">
        <f t="shared" si="81"/>
        <v>250</v>
      </c>
      <c r="B254" s="150">
        <f t="shared" si="82"/>
        <v>21</v>
      </c>
      <c r="C254" s="150">
        <f t="shared" si="83"/>
        <v>10</v>
      </c>
      <c r="D254" s="150">
        <f>IF(E254="","",Input!$C$4+B254-1)</f>
        <v>65</v>
      </c>
      <c r="E254" s="150">
        <f>IF(OR(AND(C253=12,D253=Input!$C$6),E253=""),"",1)</f>
        <v>1</v>
      </c>
      <c r="F254" s="150">
        <f>IF(E254="","",Input!$C$8+B254-1)</f>
        <v>2038</v>
      </c>
      <c r="G254" s="151">
        <f>IF(E254="","",MAX(0,Input!$C$9-B254))</f>
        <v>0</v>
      </c>
      <c r="H254" s="152">
        <f>IF(E254="","",Input!$C$3)</f>
        <v>100000</v>
      </c>
      <c r="I254" s="153">
        <f>IF(E254="","",HLOOKUP($B254,Input!$C$13:$BT$14,2))</f>
        <v>17.786999999999999</v>
      </c>
      <c r="J254" s="154"/>
      <c r="K254" s="155">
        <f>IF($E254="","",Input!$C$57)</f>
        <v>4.4999999999999998E-2</v>
      </c>
      <c r="L254" s="155">
        <f t="shared" si="74"/>
        <v>3.6748094004368514E-3</v>
      </c>
      <c r="M254" s="147">
        <f>IF($E254="","",VLOOKUP(IF($B254&lt;=Input!$C$7,$B254,26),'Mortality Tables'!$A$72:$CA$97,IF($B254&lt;=Input!$C$7+1,Input!$C$4-16,$D254-Input!$C$7-16),0)/1000)</f>
        <v>7.26E-3</v>
      </c>
      <c r="N254" s="147">
        <f t="shared" si="63"/>
        <v>6.0702252481648067E-4</v>
      </c>
      <c r="O254" s="157">
        <f>IF($E254="","",IF($C254=12,IF($B254&lt;Input!$C$9,Input!$C$54,IF($B254=Input!$C$9,Input!$C$55,Input!$C$56)),0%))</f>
        <v>0</v>
      </c>
      <c r="P254" s="167">
        <f>IF($E254="","",IF($B254=1,Input!$C$59,IF($B254&lt;6,Input!$C$60,0%)))</f>
        <v>0</v>
      </c>
      <c r="Q254" s="162">
        <f>IF($E254="","",Input!$C$58)</f>
        <v>2.5</v>
      </c>
      <c r="R254" s="156">
        <f t="shared" si="75"/>
        <v>0.99939297747518352</v>
      </c>
      <c r="S254" s="154">
        <f t="shared" si="64"/>
        <v>5.8008684287498481E-2</v>
      </c>
      <c r="T254" s="152"/>
      <c r="U254" s="150">
        <f t="shared" si="76"/>
        <v>0</v>
      </c>
      <c r="V254" s="150">
        <f t="shared" si="77"/>
        <v>0</v>
      </c>
      <c r="W254" s="168">
        <f t="shared" si="78"/>
        <v>0</v>
      </c>
      <c r="X254" s="163">
        <f t="shared" si="65"/>
        <v>60.702252481648067</v>
      </c>
      <c r="Y254" s="152"/>
      <c r="Z254" s="164">
        <f>IF(AND($C253=12,$D253=Input!$C$6),0,IF($E254="","",V254+Z255/(1+L254)*R254))</f>
        <v>26489.434417905704</v>
      </c>
      <c r="AA254" s="164">
        <f>IF(OR($M254=1,AND($C253=12,$D253=Input!$C$6)),0,IF($E254="","",W254+(X254+AA255*$R254)/(1+$L254)))</f>
        <v>10740.485055110776</v>
      </c>
      <c r="AB254" s="160">
        <f t="shared" si="66"/>
        <v>0.825720328500681</v>
      </c>
      <c r="AC254" s="164">
        <f t="shared" si="67"/>
        <v>0</v>
      </c>
      <c r="AD254" s="164">
        <f>IF(AND($C253=12,$D253=Input!$C$6),0,IF($E254="","",$AC254+AD255/(1+$L254)*$R254))</f>
        <v>21872.864489350326</v>
      </c>
      <c r="AE254" s="152"/>
      <c r="AF254" s="164">
        <f>IF(AND($C253=12,$D253=Input!$C$6),0,IF($E254="","",IF($B254&gt;Input!$C$9,$AC254,0)+AF255/(1+$L254)*$R254))</f>
        <v>21872.864489350326</v>
      </c>
      <c r="AG254" s="164">
        <f>IF(AND($C253=12,$D253=Input!$C$6),0,IF($E254="","",(IF($B254&gt;Input!$C$9,$X254,0)+AG255)/(1+$L254)*$R254))</f>
        <v>10613.21260626207</v>
      </c>
      <c r="AH254" s="160">
        <f t="shared" si="68"/>
        <v>2.0950137211446997</v>
      </c>
      <c r="AI254" s="160">
        <f>IF($E254="","",MIN(Input!$C$61/AH254,1))</f>
        <v>0.64438718771845094</v>
      </c>
      <c r="AJ254" s="152"/>
      <c r="AK254" s="164">
        <f>IF(AND($C253=12,$D253=Input!$C$6),0,IF($E254="","",IF($B254&gt;Input!$C$9,$AC254*AI254,0)+AK255/(1+$L254)*$R254))</f>
        <v>14094.593635639252</v>
      </c>
      <c r="AL254" s="164">
        <f>IF(AND($C253=12,$D253=Input!$C$6),0,IF($E254="","",IF($B254&gt;Input!$C$9,0,$AC254)+AL255/(1+$L254)*$R254))</f>
        <v>0</v>
      </c>
      <c r="AM254" s="160">
        <f t="shared" si="69"/>
        <v>1.1382936520186004</v>
      </c>
      <c r="AN254" s="164">
        <f>IF($E254="","",IF($B254&gt;Input!$C$9,$AI254*$AC254,$AM254*$AC254))</f>
        <v>0</v>
      </c>
      <c r="AO254" s="164">
        <f>IF(AND($C253=12,$D253=Input!$C$6),0,IF($E254="","",$AN254+AO255/(1+$L254)*$R254))</f>
        <v>14094.593635639252</v>
      </c>
      <c r="AP254" s="152"/>
      <c r="AQ254" s="164">
        <f t="shared" si="70"/>
        <v>-3354.1085805284765</v>
      </c>
      <c r="AR254" s="164">
        <f t="shared" si="79"/>
        <v>-1613.0943683448454</v>
      </c>
      <c r="AS254" s="164">
        <f t="shared" si="80"/>
        <v>347.36842105263162</v>
      </c>
      <c r="AT254" s="164">
        <f t="shared" si="71"/>
        <v>347.36842105263162</v>
      </c>
      <c r="AU254" s="152"/>
      <c r="AV254" s="147">
        <f>'Deterministic Reserve'!BC254</f>
        <v>8.9884144297171578E-2</v>
      </c>
      <c r="AW254" s="164">
        <f t="shared" si="72"/>
        <v>347.36842105263162</v>
      </c>
      <c r="AX254" s="164">
        <f t="shared" si="73"/>
        <v>31.222913282175394</v>
      </c>
      <c r="AY254" s="152"/>
    </row>
    <row r="255" spans="1:51" s="150" customFormat="1" x14ac:dyDescent="0.25">
      <c r="A255" s="150">
        <f t="shared" si="81"/>
        <v>251</v>
      </c>
      <c r="B255" s="150">
        <f t="shared" si="82"/>
        <v>21</v>
      </c>
      <c r="C255" s="150">
        <f t="shared" si="83"/>
        <v>11</v>
      </c>
      <c r="D255" s="150">
        <f>IF(E255="","",Input!$C$4+B255-1)</f>
        <v>65</v>
      </c>
      <c r="E255" s="150">
        <f>IF(OR(AND(C254=12,D254=Input!$C$6),E254=""),"",1)</f>
        <v>1</v>
      </c>
      <c r="F255" s="150">
        <f>IF(E255="","",Input!$C$8+B255-1)</f>
        <v>2038</v>
      </c>
      <c r="G255" s="151">
        <f>IF(E255="","",MAX(0,Input!$C$9-B255))</f>
        <v>0</v>
      </c>
      <c r="H255" s="152">
        <f>IF(E255="","",Input!$C$3)</f>
        <v>100000</v>
      </c>
      <c r="I255" s="153">
        <f>IF(E255="","",HLOOKUP($B255,Input!$C$13:$BT$14,2))</f>
        <v>17.786999999999999</v>
      </c>
      <c r="J255" s="154"/>
      <c r="K255" s="155">
        <f>IF($E255="","",Input!$C$57)</f>
        <v>4.4999999999999998E-2</v>
      </c>
      <c r="L255" s="155">
        <f t="shared" si="74"/>
        <v>3.6748094004368514E-3</v>
      </c>
      <c r="M255" s="147">
        <f>IF($E255="","",VLOOKUP(IF($B255&lt;=Input!$C$7,$B255,26),'Mortality Tables'!$A$72:$CA$97,IF($B255&lt;=Input!$C$7+1,Input!$C$4-16,$D255-Input!$C$7-16),0)/1000)</f>
        <v>7.26E-3</v>
      </c>
      <c r="N255" s="147">
        <f t="shared" si="63"/>
        <v>6.0702252481648067E-4</v>
      </c>
      <c r="O255" s="157">
        <f>IF($E255="","",IF($C255=12,IF($B255&lt;Input!$C$9,Input!$C$54,IF($B255=Input!$C$9,Input!$C$55,Input!$C$56)),0%))</f>
        <v>0</v>
      </c>
      <c r="P255" s="167">
        <f>IF($E255="","",IF($B255=1,Input!$C$59,IF($B255&lt;6,Input!$C$60,0%)))</f>
        <v>0</v>
      </c>
      <c r="Q255" s="162">
        <f>IF($E255="","",Input!$C$58)</f>
        <v>2.5</v>
      </c>
      <c r="R255" s="156">
        <f t="shared" si="75"/>
        <v>0.99939297747518352</v>
      </c>
      <c r="S255" s="154">
        <f t="shared" si="64"/>
        <v>5.7973471709501005E-2</v>
      </c>
      <c r="T255" s="152"/>
      <c r="U255" s="150">
        <f t="shared" si="76"/>
        <v>0</v>
      </c>
      <c r="V255" s="150">
        <f t="shared" si="77"/>
        <v>0</v>
      </c>
      <c r="W255" s="168">
        <f t="shared" si="78"/>
        <v>0</v>
      </c>
      <c r="X255" s="163">
        <f t="shared" si="65"/>
        <v>60.702252481648067</v>
      </c>
      <c r="Y255" s="152"/>
      <c r="Z255" s="164">
        <f>IF(AND($C254=12,$D254=Input!$C$6),0,IF($E255="","",V255+Z256/(1+L255)*R255))</f>
        <v>26602.926616198951</v>
      </c>
      <c r="AA255" s="164">
        <f>IF(OR($M255=1,AND($C254=12,$D254=Input!$C$6)),0,IF($E255="","",W255+(X255+AA256*$R255)/(1+$L255)))</f>
        <v>10725.762817701085</v>
      </c>
      <c r="AB255" s="160">
        <f t="shared" si="66"/>
        <v>0.825720328500681</v>
      </c>
      <c r="AC255" s="164">
        <f t="shared" si="67"/>
        <v>0</v>
      </c>
      <c r="AD255" s="164">
        <f>IF(AND($C254=12,$D254=Input!$C$6),0,IF($E255="","",$AC255+AD256/(1+$L255)*$R255))</f>
        <v>21966.57730460729</v>
      </c>
      <c r="AE255" s="152"/>
      <c r="AF255" s="164">
        <f>IF(AND($C254=12,$D254=Input!$C$6),0,IF($E255="","",IF($B255&gt;Input!$C$9,$AC255,0)+AF256/(1+$L255)*$R255))</f>
        <v>21966.57730460729</v>
      </c>
      <c r="AG255" s="164">
        <f>IF(AND($C254=12,$D254=Input!$C$6),0,IF($E255="","",(IF($B255&gt;Input!$C$9,$X255,0)+AG256)/(1+$L255)*$R255))</f>
        <v>10597.981948629729</v>
      </c>
      <c r="AH255" s="160">
        <f t="shared" si="68"/>
        <v>2.0950137211446997</v>
      </c>
      <c r="AI255" s="160">
        <f>IF($E255="","",MIN(Input!$C$61/AH255,1))</f>
        <v>0.64438718771845094</v>
      </c>
      <c r="AJ255" s="152"/>
      <c r="AK255" s="164">
        <f>IF(AND($C254=12,$D254=Input!$C$6),0,IF($E255="","",IF($B255&gt;Input!$C$9,$AC255*AI255,0)+AK256/(1+$L255)*$R255))</f>
        <v>14154.980973115866</v>
      </c>
      <c r="AL255" s="164">
        <f>IF(AND($C254=12,$D254=Input!$C$6),0,IF($E255="","",IF($B255&gt;Input!$C$9,0,$AC255)+AL256/(1+$L255)*$R255))</f>
        <v>0</v>
      </c>
      <c r="AM255" s="160">
        <f t="shared" si="69"/>
        <v>1.1382936520186004</v>
      </c>
      <c r="AN255" s="164">
        <f>IF($E255="","",IF($B255&gt;Input!$C$9,$AI255*$AC255,$AM255*$AC255))</f>
        <v>0</v>
      </c>
      <c r="AO255" s="164">
        <f>IF(AND($C254=12,$D254=Input!$C$6),0,IF($E255="","",$AN255+AO256/(1+$L255)*$R255))</f>
        <v>14154.980973115866</v>
      </c>
      <c r="AP255" s="152"/>
      <c r="AQ255" s="164">
        <f t="shared" si="70"/>
        <v>-3429.218155414781</v>
      </c>
      <c r="AR255" s="164">
        <f t="shared" si="79"/>
        <v>-1613.0943683448454</v>
      </c>
      <c r="AS255" s="164">
        <f t="shared" si="80"/>
        <v>347.36842105263162</v>
      </c>
      <c r="AT255" s="164">
        <f t="shared" si="71"/>
        <v>347.36842105263162</v>
      </c>
      <c r="AU255" s="152"/>
      <c r="AV255" s="147">
        <f>'Deterministic Reserve'!BC255</f>
        <v>8.9748777482446807E-2</v>
      </c>
      <c r="AW255" s="164">
        <f t="shared" si="72"/>
        <v>347.36842105263162</v>
      </c>
      <c r="AX255" s="164">
        <f t="shared" si="73"/>
        <v>31.175891125481527</v>
      </c>
      <c r="AY255" s="152"/>
    </row>
    <row r="256" spans="1:51" s="150" customFormat="1" x14ac:dyDescent="0.25">
      <c r="A256" s="150">
        <f t="shared" si="81"/>
        <v>252</v>
      </c>
      <c r="B256" s="150">
        <f t="shared" si="82"/>
        <v>21</v>
      </c>
      <c r="C256" s="150">
        <f t="shared" si="83"/>
        <v>12</v>
      </c>
      <c r="D256" s="150">
        <f>IF(E256="","",Input!$C$4+B256-1)</f>
        <v>65</v>
      </c>
      <c r="E256" s="150">
        <f>IF(OR(AND(C255=12,D255=Input!$C$6),E255=""),"",1)</f>
        <v>1</v>
      </c>
      <c r="F256" s="150">
        <f>IF(E256="","",Input!$C$8+B256-1)</f>
        <v>2038</v>
      </c>
      <c r="G256" s="151">
        <f>IF(E256="","",MAX(0,Input!$C$9-B256))</f>
        <v>0</v>
      </c>
      <c r="H256" s="152">
        <f>IF(E256="","",Input!$C$3)</f>
        <v>100000</v>
      </c>
      <c r="I256" s="153">
        <f>IF(E256="","",HLOOKUP($B256,Input!$C$13:$BT$14,2))</f>
        <v>17.786999999999999</v>
      </c>
      <c r="J256" s="154"/>
      <c r="K256" s="155">
        <f>IF($E256="","",Input!$C$57)</f>
        <v>4.4999999999999998E-2</v>
      </c>
      <c r="L256" s="155">
        <f t="shared" si="74"/>
        <v>3.6748094004368514E-3</v>
      </c>
      <c r="M256" s="147">
        <f>IF($E256="","",VLOOKUP(IF($B256&lt;=Input!$C$7,$B256,26),'Mortality Tables'!$A$72:$CA$97,IF($B256&lt;=Input!$C$7+1,Input!$C$4-16,$D256-Input!$C$7-16),0)/1000)</f>
        <v>7.26E-3</v>
      </c>
      <c r="N256" s="147">
        <f t="shared" si="63"/>
        <v>6.0702252481648067E-4</v>
      </c>
      <c r="O256" s="157">
        <f>IF($E256="","",IF($C256=12,IF($B256&lt;Input!$C$9,Input!$C$54,IF($B256=Input!$C$9,Input!$C$55,Input!$C$56)),0%))</f>
        <v>0.1</v>
      </c>
      <c r="P256" s="167">
        <f>IF($E256="","",IF($B256=1,Input!$C$59,IF($B256&lt;6,Input!$C$60,0%)))</f>
        <v>0</v>
      </c>
      <c r="Q256" s="162">
        <f>IF($E256="","",Input!$C$58)</f>
        <v>2.5</v>
      </c>
      <c r="R256" s="156">
        <f t="shared" si="75"/>
        <v>0.89939297747518354</v>
      </c>
      <c r="S256" s="154">
        <f t="shared" si="64"/>
        <v>5.2140933335381424E-2</v>
      </c>
      <c r="T256" s="152"/>
      <c r="U256" s="150">
        <f t="shared" si="76"/>
        <v>0</v>
      </c>
      <c r="V256" s="150">
        <f t="shared" si="77"/>
        <v>0</v>
      </c>
      <c r="W256" s="168">
        <f t="shared" si="78"/>
        <v>0</v>
      </c>
      <c r="X256" s="163">
        <f t="shared" si="65"/>
        <v>60.702252481648067</v>
      </c>
      <c r="Y256" s="152"/>
      <c r="Z256" s="164">
        <f>IF(AND($C255=12,$D255=Input!$C$6),0,IF($E256="","",V256+Z257/(1+L256)*R256))</f>
        <v>26716.905064174629</v>
      </c>
      <c r="AA256" s="164">
        <f>IF(OR($M256=1,AND($C255=12,$D255=Input!$C$6)),0,IF($E256="","",W256+(X256+AA257*$R256)/(1+$L256)))</f>
        <v>10710.977503856426</v>
      </c>
      <c r="AB256" s="160">
        <f t="shared" si="66"/>
        <v>0.825720328500681</v>
      </c>
      <c r="AC256" s="164">
        <f t="shared" si="67"/>
        <v>0</v>
      </c>
      <c r="AD256" s="164">
        <f>IF(AND($C255=12,$D255=Input!$C$6),0,IF($E256="","",$AC256+AD257/(1+$L256)*$R256))</f>
        <v>22060.691626111766</v>
      </c>
      <c r="AE256" s="152"/>
      <c r="AF256" s="164">
        <f>IF(AND($C255=12,$D255=Input!$C$6),0,IF($E256="","",IF($B256&gt;Input!$C$9,$AC256,0)+AF257/(1+$L256)*$R256))</f>
        <v>22060.691626111766</v>
      </c>
      <c r="AG256" s="164">
        <f>IF(AND($C255=12,$D255=Input!$C$6),0,IF($E256="","",(IF($B256&gt;Input!$C$9,$X256,0)+AG257)/(1+$L256)*$R256))</f>
        <v>10582.686036270206</v>
      </c>
      <c r="AH256" s="160">
        <f t="shared" si="68"/>
        <v>2.0950137211446997</v>
      </c>
      <c r="AI256" s="160">
        <f>IF($E256="","",MIN(Input!$C$61/AH256,1))</f>
        <v>0.64438718771845094</v>
      </c>
      <c r="AJ256" s="152"/>
      <c r="AK256" s="164">
        <f>IF(AND($C255=12,$D255=Input!$C$6),0,IF($E256="","",IF($B256&gt;Input!$C$9,$AC256*AI256,0)+AK257/(1+$L256)*$R256))</f>
        <v>14215.627036074164</v>
      </c>
      <c r="AL256" s="164">
        <f>IF(AND($C255=12,$D255=Input!$C$6),0,IF($E256="","",IF($B256&gt;Input!$C$9,0,$AC256)+AL257/(1+$L256)*$R256))</f>
        <v>0</v>
      </c>
      <c r="AM256" s="160">
        <f t="shared" si="69"/>
        <v>1.1382936520186004</v>
      </c>
      <c r="AN256" s="164">
        <f>IF($E256="","",IF($B256&gt;Input!$C$9,$AI256*$AC256,$AM256*$AC256))</f>
        <v>0</v>
      </c>
      <c r="AO256" s="164">
        <f>IF(AND($C255=12,$D255=Input!$C$6),0,IF($E256="","",$AN256+AO257/(1+$L256)*$R256))</f>
        <v>14215.627036074164</v>
      </c>
      <c r="AP256" s="152"/>
      <c r="AQ256" s="164">
        <f t="shared" si="70"/>
        <v>-3504.6495322177379</v>
      </c>
      <c r="AR256" s="164">
        <f t="shared" si="79"/>
        <v>-1613.0943683448454</v>
      </c>
      <c r="AS256" s="164">
        <f t="shared" si="80"/>
        <v>347.36842105263162</v>
      </c>
      <c r="AT256" s="164">
        <f t="shared" si="71"/>
        <v>347.36842105263162</v>
      </c>
      <c r="AU256" s="152"/>
      <c r="AV256" s="147">
        <f>'Deterministic Reserve'!BC256</f>
        <v>8.0638736783848239E-2</v>
      </c>
      <c r="AW256" s="164">
        <f t="shared" si="72"/>
        <v>347.36842105263162</v>
      </c>
      <c r="AX256" s="164">
        <f t="shared" si="73"/>
        <v>28.011350672284127</v>
      </c>
      <c r="AY256" s="152"/>
    </row>
    <row r="257" spans="1:51" s="150" customFormat="1" x14ac:dyDescent="0.25">
      <c r="A257" s="150">
        <f t="shared" si="81"/>
        <v>253</v>
      </c>
      <c r="B257" s="150">
        <f t="shared" si="82"/>
        <v>22</v>
      </c>
      <c r="C257" s="150">
        <f t="shared" si="83"/>
        <v>1</v>
      </c>
      <c r="D257" s="150">
        <f>IF(E257="","",Input!$C$4+B257-1)</f>
        <v>66</v>
      </c>
      <c r="E257" s="150">
        <f>IF(OR(AND(C256=12,D256=Input!$C$6),E256=""),"",1)</f>
        <v>1</v>
      </c>
      <c r="F257" s="150">
        <f>IF(E257="","",Input!$C$8+B257-1)</f>
        <v>2039</v>
      </c>
      <c r="G257" s="151">
        <f>IF(E257="","",MAX(0,Input!$C$9-B257))</f>
        <v>0</v>
      </c>
      <c r="H257" s="152">
        <f>IF(E257="","",Input!$C$3)</f>
        <v>100000</v>
      </c>
      <c r="I257" s="153">
        <f>IF(E257="","",HLOOKUP($B257,Input!$C$13:$BT$14,2))</f>
        <v>20.237000000000002</v>
      </c>
      <c r="J257" s="154"/>
      <c r="K257" s="155">
        <f>IF($E257="","",Input!$C$57)</f>
        <v>4.4999999999999998E-2</v>
      </c>
      <c r="L257" s="155">
        <f t="shared" si="74"/>
        <v>3.6748094004368514E-3</v>
      </c>
      <c r="M257" s="147">
        <f>IF($E257="","",VLOOKUP(IF($B257&lt;=Input!$C$7,$B257,26),'Mortality Tables'!$A$72:$CA$97,IF($B257&lt;=Input!$C$7+1,Input!$C$4-16,$D257-Input!$C$7-16),0)/1000)</f>
        <v>8.26E-3</v>
      </c>
      <c r="N257" s="147">
        <f t="shared" si="63"/>
        <v>6.9095308397182365E-4</v>
      </c>
      <c r="O257" s="157">
        <f>IF($E257="","",IF($C257=12,IF($B257&lt;Input!$C$9,Input!$C$54,IF($B257=Input!$C$9,Input!$C$55,Input!$C$56)),0%))</f>
        <v>0</v>
      </c>
      <c r="P257" s="167">
        <f>IF($E257="","",IF($B257=1,Input!$C$59,IF($B257&lt;6,Input!$C$60,0%)))</f>
        <v>0</v>
      </c>
      <c r="Q257" s="162">
        <f>IF($E257="","",Input!$C$58)</f>
        <v>2.5</v>
      </c>
      <c r="R257" s="156">
        <f t="shared" si="75"/>
        <v>0.99930904691602818</v>
      </c>
      <c r="S257" s="154">
        <f t="shared" si="64"/>
        <v>5.2104906396692172E-2</v>
      </c>
      <c r="T257" s="152"/>
      <c r="U257" s="150">
        <f t="shared" si="76"/>
        <v>2023.7000000000003</v>
      </c>
      <c r="V257" s="150">
        <f t="shared" si="77"/>
        <v>2023.7000000000003</v>
      </c>
      <c r="W257" s="168">
        <f t="shared" si="78"/>
        <v>0</v>
      </c>
      <c r="X257" s="163">
        <f t="shared" si="65"/>
        <v>69.095308397182365</v>
      </c>
      <c r="Y257" s="152"/>
      <c r="Z257" s="164">
        <f>IF(AND($C256=12,$D256=Input!$C$6),0,IF($E257="","",V257+Z258/(1+L257)*R257))</f>
        <v>29814.6475118491</v>
      </c>
      <c r="AA257" s="164">
        <f>IF(OR($M257=1,AND($C256=12,$D256=Input!$C$6)),0,IF($E257="","",W257+(X257+AA258*$R257)/(1+$L257)))</f>
        <v>11885.389723858245</v>
      </c>
      <c r="AB257" s="160">
        <f t="shared" si="66"/>
        <v>0.825720328500681</v>
      </c>
      <c r="AC257" s="164">
        <f t="shared" si="67"/>
        <v>1671.0102287868283</v>
      </c>
      <c r="AD257" s="164">
        <f>IF(AND($C256=12,$D256=Input!$C$6),0,IF($E257="","",$AC257+AD258/(1+$L257)*$R257))</f>
        <v>24618.560537616031</v>
      </c>
      <c r="AE257" s="152"/>
      <c r="AF257" s="164">
        <f>IF(AND($C256=12,$D256=Input!$C$6),0,IF($E257="","",IF($B257&gt;Input!$C$9,$AC257,0)+AF258/(1+$L257)*$R257))</f>
        <v>24618.560537616031</v>
      </c>
      <c r="AG257" s="164">
        <f>IF(AND($C256=12,$D256=Input!$C$6),0,IF($E257="","",(IF($B257&gt;Input!$C$9,$X257,0)+AG258)/(1+$L257)*$R257))</f>
        <v>11749.013474024832</v>
      </c>
      <c r="AH257" s="160">
        <f t="shared" si="68"/>
        <v>2.0950137211446997</v>
      </c>
      <c r="AI257" s="160">
        <f>IF($E257="","",MIN(Input!$C$61/AH257,1))</f>
        <v>0.64438718771845094</v>
      </c>
      <c r="AJ257" s="152"/>
      <c r="AK257" s="164">
        <f>IF(AND($C256=12,$D256=Input!$C$6),0,IF($E257="","",IF($B257&gt;Input!$C$9,$AC257*AI257,0)+AK258/(1+$L257)*$R257))</f>
        <v>15863.884990510856</v>
      </c>
      <c r="AL257" s="164">
        <f>IF(AND($C256=12,$D256=Input!$C$6),0,IF($E257="","",IF($B257&gt;Input!$C$9,0,$AC257)+AL258/(1+$L257)*$R257))</f>
        <v>0</v>
      </c>
      <c r="AM257" s="160">
        <f t="shared" si="69"/>
        <v>1.1382936520186004</v>
      </c>
      <c r="AN257" s="164">
        <f>IF($E257="","",IF($B257&gt;Input!$C$9,$AI257*$AC257,$AM257*$AC257))</f>
        <v>1076.7775819767096</v>
      </c>
      <c r="AO257" s="164">
        <f>IF(AND($C256=12,$D256=Input!$C$6),0,IF($E257="","",$AN257+AO258/(1+$L257)*$R257))</f>
        <v>15863.884990510856</v>
      </c>
      <c r="AP257" s="152"/>
      <c r="AQ257" s="164">
        <f t="shared" si="70"/>
        <v>-3978.4952666526115</v>
      </c>
      <c r="AR257" s="164">
        <f t="shared" si="79"/>
        <v>-3124.7650557545917</v>
      </c>
      <c r="AS257" s="164">
        <f t="shared" si="80"/>
        <v>395.21531100478472</v>
      </c>
      <c r="AT257" s="164">
        <f t="shared" si="71"/>
        <v>395.21531100478472</v>
      </c>
      <c r="AU257" s="152"/>
      <c r="AV257" s="147">
        <f>'Deterministic Reserve'!BC257</f>
        <v>8.0500786543704406E-2</v>
      </c>
      <c r="AW257" s="164">
        <f t="shared" si="72"/>
        <v>395.21531100478472</v>
      </c>
      <c r="AX257" s="164">
        <f t="shared" si="73"/>
        <v>31.815143389999925</v>
      </c>
      <c r="AY257" s="152"/>
    </row>
    <row r="258" spans="1:51" s="150" customFormat="1" x14ac:dyDescent="0.25">
      <c r="A258" s="150">
        <f t="shared" si="81"/>
        <v>254</v>
      </c>
      <c r="B258" s="150">
        <f t="shared" si="82"/>
        <v>22</v>
      </c>
      <c r="C258" s="150">
        <f t="shared" si="83"/>
        <v>2</v>
      </c>
      <c r="D258" s="150">
        <f>IF(E258="","",Input!$C$4+B258-1)</f>
        <v>66</v>
      </c>
      <c r="E258" s="150">
        <f>IF(OR(AND(C257=12,D257=Input!$C$6),E257=""),"",1)</f>
        <v>1</v>
      </c>
      <c r="F258" s="150">
        <f>IF(E258="","",Input!$C$8+B258-1)</f>
        <v>2039</v>
      </c>
      <c r="G258" s="151">
        <f>IF(E258="","",MAX(0,Input!$C$9-B258))</f>
        <v>0</v>
      </c>
      <c r="H258" s="152">
        <f>IF(E258="","",Input!$C$3)</f>
        <v>100000</v>
      </c>
      <c r="I258" s="153">
        <f>IF(E258="","",HLOOKUP($B258,Input!$C$13:$BT$14,2))</f>
        <v>20.237000000000002</v>
      </c>
      <c r="J258" s="154"/>
      <c r="K258" s="155">
        <f>IF($E258="","",Input!$C$57)</f>
        <v>4.4999999999999998E-2</v>
      </c>
      <c r="L258" s="155">
        <f t="shared" si="74"/>
        <v>3.6748094004368514E-3</v>
      </c>
      <c r="M258" s="147">
        <f>IF($E258="","",VLOOKUP(IF($B258&lt;=Input!$C$7,$B258,26),'Mortality Tables'!$A$72:$CA$97,IF($B258&lt;=Input!$C$7+1,Input!$C$4-16,$D258-Input!$C$7-16),0)/1000)</f>
        <v>8.26E-3</v>
      </c>
      <c r="N258" s="147">
        <f t="shared" si="63"/>
        <v>6.9095308397182365E-4</v>
      </c>
      <c r="O258" s="157">
        <f>IF($E258="","",IF($C258=12,IF($B258&lt;Input!$C$9,Input!$C$54,IF($B258=Input!$C$9,Input!$C$55,Input!$C$56)),0%))</f>
        <v>0</v>
      </c>
      <c r="P258" s="167">
        <f>IF($E258="","",IF($B258=1,Input!$C$59,IF($B258&lt;6,Input!$C$60,0%)))</f>
        <v>0</v>
      </c>
      <c r="Q258" s="162">
        <f>IF($E258="","",Input!$C$58)</f>
        <v>2.5</v>
      </c>
      <c r="R258" s="156">
        <f t="shared" si="75"/>
        <v>0.99930904691602818</v>
      </c>
      <c r="S258" s="154">
        <f t="shared" si="64"/>
        <v>5.2068904350927314E-2</v>
      </c>
      <c r="T258" s="152"/>
      <c r="U258" s="150">
        <f t="shared" si="76"/>
        <v>0</v>
      </c>
      <c r="V258" s="150">
        <f t="shared" si="77"/>
        <v>0</v>
      </c>
      <c r="W258" s="168">
        <f t="shared" si="78"/>
        <v>0</v>
      </c>
      <c r="X258" s="163">
        <f t="shared" si="65"/>
        <v>69.095308397182365</v>
      </c>
      <c r="Y258" s="152"/>
      <c r="Z258" s="164">
        <f>IF(AND($C257=12,$D257=Input!$C$6),0,IF($E258="","",V258+Z259/(1+L258)*R258))</f>
        <v>27912.360078289716</v>
      </c>
      <c r="AA258" s="164">
        <f>IF(OR($M258=1,AND($C257=12,$D257=Input!$C$6)),0,IF($E258="","",W258+(X258+AA259*$R258)/(1+$L258)))</f>
        <v>11868.17130691177</v>
      </c>
      <c r="AB258" s="160">
        <f t="shared" si="66"/>
        <v>0.825720328500681</v>
      </c>
      <c r="AC258" s="164">
        <f t="shared" si="67"/>
        <v>0</v>
      </c>
      <c r="AD258" s="164">
        <f>IF(AND($C257=12,$D257=Input!$C$6),0,IF($E258="","",$AC258+AD259/(1+$L258)*$R258))</f>
        <v>23047.80313307466</v>
      </c>
      <c r="AE258" s="152"/>
      <c r="AF258" s="164">
        <f>IF(AND($C257=12,$D257=Input!$C$6),0,IF($E258="","",IF($B258&gt;Input!$C$9,$AC258,0)+AF259/(1+$L258)*$R258))</f>
        <v>23047.80313307466</v>
      </c>
      <c r="AG258" s="164">
        <f>IF(AND($C257=12,$D257=Input!$C$6),0,IF($E258="","",(IF($B258&gt;Input!$C$9,$X258,0)+AG259)/(1+$L258)*$R258))</f>
        <v>11731.247033721065</v>
      </c>
      <c r="AH258" s="160">
        <f t="shared" si="68"/>
        <v>2.0950137211446997</v>
      </c>
      <c r="AI258" s="160">
        <f>IF($E258="","",MIN(Input!$C$61/AH258,1))</f>
        <v>0.64438718771845094</v>
      </c>
      <c r="AJ258" s="152"/>
      <c r="AK258" s="164">
        <f>IF(AND($C257=12,$D257=Input!$C$6),0,IF($E258="","",IF($B258&gt;Input!$C$9,$AC258*AI258,0)+AK259/(1+$L258)*$R258))</f>
        <v>14851.709044010508</v>
      </c>
      <c r="AL258" s="164">
        <f>IF(AND($C257=12,$D257=Input!$C$6),0,IF($E258="","",IF($B258&gt;Input!$C$9,0,$AC258)+AL259/(1+$L258)*$R258))</f>
        <v>0</v>
      </c>
      <c r="AM258" s="160">
        <f t="shared" si="69"/>
        <v>1.1382936520186004</v>
      </c>
      <c r="AN258" s="164">
        <f>IF($E258="","",IF($B258&gt;Input!$C$9,$AI258*$AC258,$AM258*$AC258))</f>
        <v>0</v>
      </c>
      <c r="AO258" s="164">
        <f>IF(AND($C257=12,$D257=Input!$C$6),0,IF($E258="","",$AN258+AO259/(1+$L258)*$R258))</f>
        <v>14851.709044010508</v>
      </c>
      <c r="AP258" s="152"/>
      <c r="AQ258" s="164">
        <f t="shared" si="70"/>
        <v>-2983.5377370987371</v>
      </c>
      <c r="AR258" s="164">
        <f t="shared" si="79"/>
        <v>-3124.7650557545917</v>
      </c>
      <c r="AS258" s="164">
        <f t="shared" si="80"/>
        <v>395.21531100478472</v>
      </c>
      <c r="AT258" s="164">
        <f t="shared" si="71"/>
        <v>395.21531100478472</v>
      </c>
      <c r="AU258" s="152"/>
      <c r="AV258" s="147">
        <f>'Deterministic Reserve'!BC258</f>
        <v>8.036307229769335E-2</v>
      </c>
      <c r="AW258" s="164">
        <f t="shared" si="72"/>
        <v>395.21531100478472</v>
      </c>
      <c r="AX258" s="164">
        <f t="shared" si="73"/>
        <v>31.760716611432876</v>
      </c>
      <c r="AY258" s="152"/>
    </row>
    <row r="259" spans="1:51" s="150" customFormat="1" x14ac:dyDescent="0.25">
      <c r="A259" s="150">
        <f t="shared" si="81"/>
        <v>255</v>
      </c>
      <c r="B259" s="150">
        <f t="shared" si="82"/>
        <v>22</v>
      </c>
      <c r="C259" s="150">
        <f t="shared" si="83"/>
        <v>3</v>
      </c>
      <c r="D259" s="150">
        <f>IF(E259="","",Input!$C$4+B259-1)</f>
        <v>66</v>
      </c>
      <c r="E259" s="150">
        <f>IF(OR(AND(C258=12,D258=Input!$C$6),E258=""),"",1)</f>
        <v>1</v>
      </c>
      <c r="F259" s="150">
        <f>IF(E259="","",Input!$C$8+B259-1)</f>
        <v>2039</v>
      </c>
      <c r="G259" s="151">
        <f>IF(E259="","",MAX(0,Input!$C$9-B259))</f>
        <v>0</v>
      </c>
      <c r="H259" s="152">
        <f>IF(E259="","",Input!$C$3)</f>
        <v>100000</v>
      </c>
      <c r="I259" s="153">
        <f>IF(E259="","",HLOOKUP($B259,Input!$C$13:$BT$14,2))</f>
        <v>20.237000000000002</v>
      </c>
      <c r="J259" s="154"/>
      <c r="K259" s="155">
        <f>IF($E259="","",Input!$C$57)</f>
        <v>4.4999999999999998E-2</v>
      </c>
      <c r="L259" s="155">
        <f t="shared" si="74"/>
        <v>3.6748094004368514E-3</v>
      </c>
      <c r="M259" s="147">
        <f>IF($E259="","",VLOOKUP(IF($B259&lt;=Input!$C$7,$B259,26),'Mortality Tables'!$A$72:$CA$97,IF($B259&lt;=Input!$C$7+1,Input!$C$4-16,$D259-Input!$C$7-16),0)/1000)</f>
        <v>8.26E-3</v>
      </c>
      <c r="N259" s="147">
        <f t="shared" si="63"/>
        <v>6.9095308397182365E-4</v>
      </c>
      <c r="O259" s="157">
        <f>IF($E259="","",IF($C259=12,IF($B259&lt;Input!$C$9,Input!$C$54,IF($B259=Input!$C$9,Input!$C$55,Input!$C$56)),0%))</f>
        <v>0</v>
      </c>
      <c r="P259" s="167">
        <f>IF($E259="","",IF($B259=1,Input!$C$59,IF($B259&lt;6,Input!$C$60,0%)))</f>
        <v>0</v>
      </c>
      <c r="Q259" s="162">
        <f>IF($E259="","",Input!$C$58)</f>
        <v>2.5</v>
      </c>
      <c r="R259" s="156">
        <f t="shared" si="75"/>
        <v>0.99930904691602818</v>
      </c>
      <c r="S259" s="154">
        <f t="shared" si="64"/>
        <v>5.2032927180887006E-2</v>
      </c>
      <c r="T259" s="152"/>
      <c r="U259" s="150">
        <f t="shared" si="76"/>
        <v>0</v>
      </c>
      <c r="V259" s="150">
        <f t="shared" si="77"/>
        <v>0</v>
      </c>
      <c r="W259" s="168">
        <f t="shared" si="78"/>
        <v>0</v>
      </c>
      <c r="X259" s="163">
        <f t="shared" si="65"/>
        <v>69.095308397182365</v>
      </c>
      <c r="Y259" s="152"/>
      <c r="Z259" s="164">
        <f>IF(AND($C258=12,$D258=Input!$C$6),0,IF($E259="","",V259+Z260/(1+L259)*R259))</f>
        <v>28034.303069656773</v>
      </c>
      <c r="AA259" s="164">
        <f>IF(OR($M259=1,AND($C258=12,$D258=Input!$C$6)),0,IF($E259="","",W259+(X259+AA260*$R259)/(1+$L259)))</f>
        <v>11850.877666470644</v>
      </c>
      <c r="AB259" s="160">
        <f t="shared" si="66"/>
        <v>0.825720328500681</v>
      </c>
      <c r="AC259" s="164">
        <f t="shared" si="67"/>
        <v>0</v>
      </c>
      <c r="AD259" s="164">
        <f>IF(AND($C258=12,$D258=Input!$C$6),0,IF($E259="","",$AC259+AD260/(1+$L259)*$R259))</f>
        <v>23148.493939964621</v>
      </c>
      <c r="AE259" s="152"/>
      <c r="AF259" s="164">
        <f>IF(AND($C258=12,$D258=Input!$C$6),0,IF($E259="","",IF($B259&gt;Input!$C$9,$AC259,0)+AF260/(1+$L259)*$R259))</f>
        <v>23148.493939964621</v>
      </c>
      <c r="AG259" s="164">
        <f>IF(AND($C258=12,$D258=Input!$C$6),0,IF($E259="","",(IF($B259&gt;Input!$C$9,$X259,0)+AG260)/(1+$L259)*$R259))</f>
        <v>11713.402975728559</v>
      </c>
      <c r="AH259" s="160">
        <f t="shared" si="68"/>
        <v>2.0950137211446997</v>
      </c>
      <c r="AI259" s="160">
        <f>IF($E259="","",MIN(Input!$C$61/AH259,1))</f>
        <v>0.64438718771845094</v>
      </c>
      <c r="AJ259" s="152"/>
      <c r="AK259" s="164">
        <f>IF(AND($C258=12,$D258=Input!$C$6),0,IF($E259="","",IF($B259&gt;Input!$C$9,$AC259*AI259,0)+AK260/(1+$L259)*$R259))</f>
        <v>14916.592909891431</v>
      </c>
      <c r="AL259" s="164">
        <f>IF(AND($C258=12,$D258=Input!$C$6),0,IF($E259="","",IF($B259&gt;Input!$C$9,0,$AC259)+AL260/(1+$L259)*$R259))</f>
        <v>0</v>
      </c>
      <c r="AM259" s="160">
        <f t="shared" si="69"/>
        <v>1.1382936520186004</v>
      </c>
      <c r="AN259" s="164">
        <f>IF($E259="","",IF($B259&gt;Input!$C$9,$AI259*$AC259,$AM259*$AC259))</f>
        <v>0</v>
      </c>
      <c r="AO259" s="164">
        <f>IF(AND($C258=12,$D258=Input!$C$6),0,IF($E259="","",$AN259+AO260/(1+$L259)*$R259))</f>
        <v>14916.592909891431</v>
      </c>
      <c r="AP259" s="152"/>
      <c r="AQ259" s="164">
        <f t="shared" si="70"/>
        <v>-3065.7152434207874</v>
      </c>
      <c r="AR259" s="164">
        <f t="shared" si="79"/>
        <v>-3124.7650557545917</v>
      </c>
      <c r="AS259" s="164">
        <f t="shared" si="80"/>
        <v>395.21531100478472</v>
      </c>
      <c r="AT259" s="164">
        <f t="shared" si="71"/>
        <v>395.21531100478472</v>
      </c>
      <c r="AU259" s="152"/>
      <c r="AV259" s="147">
        <f>'Deterministic Reserve'!BC259</f>
        <v>8.0225593642095361E-2</v>
      </c>
      <c r="AW259" s="164">
        <f t="shared" si="72"/>
        <v>395.21531100478472</v>
      </c>
      <c r="AX259" s="164">
        <f t="shared" si="73"/>
        <v>31.706382941804197</v>
      </c>
      <c r="AY259" s="152"/>
    </row>
    <row r="260" spans="1:51" s="150" customFormat="1" x14ac:dyDescent="0.25">
      <c r="A260" s="150">
        <f t="shared" si="81"/>
        <v>256</v>
      </c>
      <c r="B260" s="150">
        <f t="shared" si="82"/>
        <v>22</v>
      </c>
      <c r="C260" s="150">
        <f t="shared" si="83"/>
        <v>4</v>
      </c>
      <c r="D260" s="150">
        <f>IF(E260="","",Input!$C$4+B260-1)</f>
        <v>66</v>
      </c>
      <c r="E260" s="150">
        <f>IF(OR(AND(C259=12,D259=Input!$C$6),E259=""),"",1)</f>
        <v>1</v>
      </c>
      <c r="F260" s="150">
        <f>IF(E260="","",Input!$C$8+B260-1)</f>
        <v>2039</v>
      </c>
      <c r="G260" s="151">
        <f>IF(E260="","",MAX(0,Input!$C$9-B260))</f>
        <v>0</v>
      </c>
      <c r="H260" s="152">
        <f>IF(E260="","",Input!$C$3)</f>
        <v>100000</v>
      </c>
      <c r="I260" s="153">
        <f>IF(E260="","",HLOOKUP($B260,Input!$C$13:$BT$14,2))</f>
        <v>20.237000000000002</v>
      </c>
      <c r="J260" s="154"/>
      <c r="K260" s="155">
        <f>IF($E260="","",Input!$C$57)</f>
        <v>4.4999999999999998E-2</v>
      </c>
      <c r="L260" s="155">
        <f t="shared" si="74"/>
        <v>3.6748094004368514E-3</v>
      </c>
      <c r="M260" s="147">
        <f>IF($E260="","",VLOOKUP(IF($B260&lt;=Input!$C$7,$B260,26),'Mortality Tables'!$A$72:$CA$97,IF($B260&lt;=Input!$C$7+1,Input!$C$4-16,$D260-Input!$C$7-16),0)/1000)</f>
        <v>8.26E-3</v>
      </c>
      <c r="N260" s="147">
        <f t="shared" si="63"/>
        <v>6.9095308397182365E-4</v>
      </c>
      <c r="O260" s="157">
        <f>IF($E260="","",IF($C260=12,IF($B260&lt;Input!$C$9,Input!$C$54,IF($B260=Input!$C$9,Input!$C$55,Input!$C$56)),0%))</f>
        <v>0</v>
      </c>
      <c r="P260" s="167">
        <f>IF($E260="","",IF($B260=1,Input!$C$59,IF($B260&lt;6,Input!$C$60,0%)))</f>
        <v>0</v>
      </c>
      <c r="Q260" s="162">
        <f>IF($E260="","",Input!$C$58)</f>
        <v>2.5</v>
      </c>
      <c r="R260" s="156">
        <f t="shared" si="75"/>
        <v>0.99930904691602818</v>
      </c>
      <c r="S260" s="154">
        <f t="shared" si="64"/>
        <v>5.1996974869383289E-2</v>
      </c>
      <c r="T260" s="152"/>
      <c r="U260" s="150">
        <f t="shared" si="76"/>
        <v>0</v>
      </c>
      <c r="V260" s="150">
        <f t="shared" si="77"/>
        <v>0</v>
      </c>
      <c r="W260" s="168">
        <f t="shared" si="78"/>
        <v>0</v>
      </c>
      <c r="X260" s="163">
        <f t="shared" si="65"/>
        <v>69.095308397182365</v>
      </c>
      <c r="Y260" s="152"/>
      <c r="Z260" s="164">
        <f>IF(AND($C259=12,$D259=Input!$C$6),0,IF($E260="","",V260+Z261/(1+L260)*R260))</f>
        <v>28156.77880326067</v>
      </c>
      <c r="AA260" s="164">
        <f>IF(OR($M260=1,AND($C259=12,$D259=Input!$C$6)),0,IF($E260="","",W260+(X260+AA261*$R260)/(1+$L260)))</f>
        <v>11833.508473899883</v>
      </c>
      <c r="AB260" s="160">
        <f t="shared" si="66"/>
        <v>0.825720328500681</v>
      </c>
      <c r="AC260" s="164">
        <f t="shared" si="67"/>
        <v>0</v>
      </c>
      <c r="AD260" s="164">
        <f>IF(AND($C259=12,$D259=Input!$C$6),0,IF($E260="","",$AC260+AD261/(1+$L260)*$R260))</f>
        <v>23249.624642949391</v>
      </c>
      <c r="AE260" s="152"/>
      <c r="AF260" s="164">
        <f>IF(AND($C259=12,$D259=Input!$C$6),0,IF($E260="","",IF($B260&gt;Input!$C$9,$AC260,0)+AF261/(1+$L260)*$R260))</f>
        <v>23249.624642949391</v>
      </c>
      <c r="AG260" s="164">
        <f>IF(AND($C259=12,$D259=Input!$C$6),0,IF($E260="","",(IF($B260&gt;Input!$C$9,$X260,0)+AG261)/(1+$L260)*$R260))</f>
        <v>11695.480960952618</v>
      </c>
      <c r="AH260" s="160">
        <f t="shared" si="68"/>
        <v>2.0950137211446997</v>
      </c>
      <c r="AI260" s="160">
        <f>IF($E260="","",MIN(Input!$C$61/AH260,1))</f>
        <v>0.64438718771845094</v>
      </c>
      <c r="AJ260" s="152"/>
      <c r="AK260" s="164">
        <f>IF(AND($C259=12,$D259=Input!$C$6),0,IF($E260="","",IF($B260&gt;Input!$C$9,$AC260*AI260,0)+AK261/(1+$L260)*$R260))</f>
        <v>14981.760239179777</v>
      </c>
      <c r="AL260" s="164">
        <f>IF(AND($C259=12,$D259=Input!$C$6),0,IF($E260="","",IF($B260&gt;Input!$C$9,0,$AC260)+AL261/(1+$L260)*$R260))</f>
        <v>0</v>
      </c>
      <c r="AM260" s="160">
        <f t="shared" si="69"/>
        <v>1.1382936520186004</v>
      </c>
      <c r="AN260" s="164">
        <f>IF($E260="","",IF($B260&gt;Input!$C$9,$AI260*$AC260,$AM260*$AC260))</f>
        <v>0</v>
      </c>
      <c r="AO260" s="164">
        <f>IF(AND($C259=12,$D259=Input!$C$6),0,IF($E260="","",$AN260+AO261/(1+$L260)*$R260))</f>
        <v>14981.760239179777</v>
      </c>
      <c r="AP260" s="152"/>
      <c r="AQ260" s="164">
        <f t="shared" si="70"/>
        <v>-3148.2517652798942</v>
      </c>
      <c r="AR260" s="164">
        <f t="shared" si="79"/>
        <v>-3124.7650557545917</v>
      </c>
      <c r="AS260" s="164">
        <f t="shared" si="80"/>
        <v>395.21531100478472</v>
      </c>
      <c r="AT260" s="164">
        <f t="shared" si="71"/>
        <v>395.21531100478472</v>
      </c>
      <c r="AU260" s="152"/>
      <c r="AV260" s="147">
        <f>'Deterministic Reserve'!BC260</f>
        <v>8.0088350173881384E-2</v>
      </c>
      <c r="AW260" s="164">
        <f t="shared" si="72"/>
        <v>395.21531100478472</v>
      </c>
      <c r="AX260" s="164">
        <f t="shared" si="73"/>
        <v>31.652142221830637</v>
      </c>
      <c r="AY260" s="152"/>
    </row>
    <row r="261" spans="1:51" s="150" customFormat="1" x14ac:dyDescent="0.25">
      <c r="A261" s="150">
        <f t="shared" si="81"/>
        <v>257</v>
      </c>
      <c r="B261" s="150">
        <f t="shared" si="82"/>
        <v>22</v>
      </c>
      <c r="C261" s="150">
        <f t="shared" si="83"/>
        <v>5</v>
      </c>
      <c r="D261" s="150">
        <f>IF(E261="","",Input!$C$4+B261-1)</f>
        <v>66</v>
      </c>
      <c r="E261" s="150">
        <f>IF(OR(AND(C260=12,D260=Input!$C$6),E260=""),"",1)</f>
        <v>1</v>
      </c>
      <c r="F261" s="150">
        <f>IF(E261="","",Input!$C$8+B261-1)</f>
        <v>2039</v>
      </c>
      <c r="G261" s="151">
        <f>IF(E261="","",MAX(0,Input!$C$9-B261))</f>
        <v>0</v>
      </c>
      <c r="H261" s="152">
        <f>IF(E261="","",Input!$C$3)</f>
        <v>100000</v>
      </c>
      <c r="I261" s="153">
        <f>IF(E261="","",HLOOKUP($B261,Input!$C$13:$BT$14,2))</f>
        <v>20.237000000000002</v>
      </c>
      <c r="J261" s="154"/>
      <c r="K261" s="155">
        <f>IF($E261="","",Input!$C$57)</f>
        <v>4.4999999999999998E-2</v>
      </c>
      <c r="L261" s="155">
        <f t="shared" si="74"/>
        <v>3.6748094004368514E-3</v>
      </c>
      <c r="M261" s="147">
        <f>IF($E261="","",VLOOKUP(IF($B261&lt;=Input!$C$7,$B261,26),'Mortality Tables'!$A$72:$CA$97,IF($B261&lt;=Input!$C$7+1,Input!$C$4-16,$D261-Input!$C$7-16),0)/1000)</f>
        <v>8.26E-3</v>
      </c>
      <c r="N261" s="147">
        <f t="shared" ref="N261:N324" si="84">IF($E261="","",1-(1-M261)^(1/12))</f>
        <v>6.9095308397182365E-4</v>
      </c>
      <c r="O261" s="157">
        <f>IF($E261="","",IF($C261=12,IF($B261&lt;Input!$C$9,Input!$C$54,IF($B261=Input!$C$9,Input!$C$55,Input!$C$56)),0%))</f>
        <v>0</v>
      </c>
      <c r="P261" s="167">
        <f>IF($E261="","",IF($B261=1,Input!$C$59,IF($B261&lt;6,Input!$C$60,0%)))</f>
        <v>0</v>
      </c>
      <c r="Q261" s="162">
        <f>IF($E261="","",Input!$C$58)</f>
        <v>2.5</v>
      </c>
      <c r="R261" s="156">
        <f t="shared" si="75"/>
        <v>0.99930904691602818</v>
      </c>
      <c r="S261" s="154">
        <f t="shared" ref="S261:S324" si="85">IF($E261="","",IF(AND($B261=1,$C261=1),1,S260*R261))</f>
        <v>5.1961047399240082E-2</v>
      </c>
      <c r="T261" s="152"/>
      <c r="U261" s="150">
        <f t="shared" si="76"/>
        <v>0</v>
      </c>
      <c r="V261" s="150">
        <f t="shared" si="77"/>
        <v>0</v>
      </c>
      <c r="W261" s="168">
        <f t="shared" si="78"/>
        <v>0</v>
      </c>
      <c r="X261" s="163">
        <f t="shared" ref="X261:X324" si="86">IF($E261="","",N261*$H261)</f>
        <v>69.095308397182365</v>
      </c>
      <c r="Y261" s="152"/>
      <c r="Z261" s="164">
        <f>IF(AND($C260=12,$D260=Input!$C$6),0,IF($E261="","",V261+Z262/(1+L261)*R261))</f>
        <v>28279.789606535622</v>
      </c>
      <c r="AA261" s="164">
        <f>IF(OR($M261=1,AND($C260=12,$D260=Input!$C$6)),0,IF($E261="","",W261+(X261+AA262*$R261)/(1+$L261)))</f>
        <v>11816.063399128772</v>
      </c>
      <c r="AB261" s="160">
        <f t="shared" ref="AB261:AB324" si="87">IF($E261="","",$AA$5/$Z$5)</f>
        <v>0.825720328500681</v>
      </c>
      <c r="AC261" s="164">
        <f t="shared" ref="AC261:AC324" si="88">IF($E261="","",V261*AB261)</f>
        <v>0</v>
      </c>
      <c r="AD261" s="164">
        <f>IF(AND($C260=12,$D260=Input!$C$6),0,IF($E261="","",$AC261+AD262/(1+$L261)*$R261))</f>
        <v>23351.197163838719</v>
      </c>
      <c r="AE261" s="152"/>
      <c r="AF261" s="164">
        <f>IF(AND($C260=12,$D260=Input!$C$6),0,IF($E261="","",IF($B261&gt;Input!$C$9,$AC261,0)+AF262/(1+$L261)*$R261))</f>
        <v>23351.197163838719</v>
      </c>
      <c r="AG261" s="164">
        <f>IF(AND($C260=12,$D260=Input!$C$6),0,IF($E261="","",(IF($B261&gt;Input!$C$9,$X261,0)+AG262)/(1+$L261)*$R261))</f>
        <v>11677.480648817122</v>
      </c>
      <c r="AH261" s="160">
        <f t="shared" ref="AH261:AH324" si="89">IF($E261="","",$AF$5/$AG$5)</f>
        <v>2.0950137211446997</v>
      </c>
      <c r="AI261" s="160">
        <f>IF($E261="","",MIN(Input!$C$61/AH261,1))</f>
        <v>0.64438718771845094</v>
      </c>
      <c r="AJ261" s="152"/>
      <c r="AK261" s="164">
        <f>IF(AND($C260=12,$D260=Input!$C$6),0,IF($E261="","",IF($B261&gt;Input!$C$9,$AC261*AI261,0)+AK262/(1+$L261)*$R261))</f>
        <v>15047.212270265125</v>
      </c>
      <c r="AL261" s="164">
        <f>IF(AND($C260=12,$D260=Input!$C$6),0,IF($E261="","",IF($B261&gt;Input!$C$9,0,$AC261)+AL262/(1+$L261)*$R261))</f>
        <v>0</v>
      </c>
      <c r="AM261" s="160">
        <f t="shared" ref="AM261:AM324" si="90">IF($E261="","",($AD$5-$AK$5)/$AL$5)</f>
        <v>1.1382936520186004</v>
      </c>
      <c r="AN261" s="164">
        <f>IF($E261="","",IF($B261&gt;Input!$C$9,$AI261*$AC261,$AM261*$AC261))</f>
        <v>0</v>
      </c>
      <c r="AO261" s="164">
        <f>IF(AND($C260=12,$D260=Input!$C$6),0,IF($E261="","",$AN261+AO262/(1+$L261)*$R261))</f>
        <v>15047.212270265125</v>
      </c>
      <c r="AP261" s="152"/>
      <c r="AQ261" s="164">
        <f t="shared" ref="AQ261:AQ324" si="91">IF($E261="","",$AA261-$AO261)</f>
        <v>-3231.1488711363527</v>
      </c>
      <c r="AR261" s="164">
        <f t="shared" si="79"/>
        <v>-3124.7650557545917</v>
      </c>
      <c r="AS261" s="164">
        <f t="shared" si="80"/>
        <v>395.21531100478472</v>
      </c>
      <c r="AT261" s="164">
        <f t="shared" ref="AT261:AT324" si="92">IF($E261="","",MAX($AR261,$AS261))</f>
        <v>395.21531100478472</v>
      </c>
      <c r="AU261" s="152"/>
      <c r="AV261" s="147">
        <f>'Deterministic Reserve'!BC261</f>
        <v>7.9951341490711841E-2</v>
      </c>
      <c r="AW261" s="164">
        <f t="shared" ref="AW261:AW324" si="93">IF($E261="","",$AT261)</f>
        <v>395.21531100478472</v>
      </c>
      <c r="AX261" s="164">
        <f t="shared" ref="AX261:AX324" si="94">IF($E261="","",AV261*AW261)</f>
        <v>31.597994292501429</v>
      </c>
      <c r="AY261" s="152"/>
    </row>
    <row r="262" spans="1:51" s="150" customFormat="1" x14ac:dyDescent="0.25">
      <c r="A262" s="150">
        <f t="shared" si="81"/>
        <v>258</v>
      </c>
      <c r="B262" s="150">
        <f t="shared" si="82"/>
        <v>22</v>
      </c>
      <c r="C262" s="150">
        <f t="shared" si="83"/>
        <v>6</v>
      </c>
      <c r="D262" s="150">
        <f>IF(E262="","",Input!$C$4+B262-1)</f>
        <v>66</v>
      </c>
      <c r="E262" s="150">
        <f>IF(OR(AND(C261=12,D261=Input!$C$6),E261=""),"",1)</f>
        <v>1</v>
      </c>
      <c r="F262" s="150">
        <f>IF(E262="","",Input!$C$8+B262-1)</f>
        <v>2039</v>
      </c>
      <c r="G262" s="151">
        <f>IF(E262="","",MAX(0,Input!$C$9-B262))</f>
        <v>0</v>
      </c>
      <c r="H262" s="152">
        <f>IF(E262="","",Input!$C$3)</f>
        <v>100000</v>
      </c>
      <c r="I262" s="153">
        <f>IF(E262="","",HLOOKUP($B262,Input!$C$13:$BT$14,2))</f>
        <v>20.237000000000002</v>
      </c>
      <c r="J262" s="154"/>
      <c r="K262" s="155">
        <f>IF($E262="","",Input!$C$57)</f>
        <v>4.4999999999999998E-2</v>
      </c>
      <c r="L262" s="155">
        <f t="shared" ref="L262:L325" si="95">IF($E262="","",(1+K262)^(1/12)-1)</f>
        <v>3.6748094004368514E-3</v>
      </c>
      <c r="M262" s="147">
        <f>IF($E262="","",VLOOKUP(IF($B262&lt;=Input!$C$7,$B262,26),'Mortality Tables'!$A$72:$CA$97,IF($B262&lt;=Input!$C$7+1,Input!$C$4-16,$D262-Input!$C$7-16),0)/1000)</f>
        <v>8.26E-3</v>
      </c>
      <c r="N262" s="147">
        <f t="shared" si="84"/>
        <v>6.9095308397182365E-4</v>
      </c>
      <c r="O262" s="157">
        <f>IF($E262="","",IF($C262=12,IF($B262&lt;Input!$C$9,Input!$C$54,IF($B262=Input!$C$9,Input!$C$55,Input!$C$56)),0%))</f>
        <v>0</v>
      </c>
      <c r="P262" s="167">
        <f>IF($E262="","",IF($B262=1,Input!$C$59,IF($B262&lt;6,Input!$C$60,0%)))</f>
        <v>0</v>
      </c>
      <c r="Q262" s="162">
        <f>IF($E262="","",Input!$C$58)</f>
        <v>2.5</v>
      </c>
      <c r="R262" s="156">
        <f t="shared" ref="R262:R325" si="96">IF($E262="","",MAX(1-N262-O262,0))</f>
        <v>0.99930904691602818</v>
      </c>
      <c r="S262" s="154">
        <f t="shared" si="85"/>
        <v>5.192514475329317E-2</v>
      </c>
      <c r="T262" s="152"/>
      <c r="U262" s="150">
        <f t="shared" ref="U262:U325" si="97">IF($E262="","",IF($C262=1,$I262*$H262/1000,0))</f>
        <v>0</v>
      </c>
      <c r="V262" s="150">
        <f t="shared" ref="V262:V325" si="98">IF($E262="","",U262*(1-$P262))</f>
        <v>0</v>
      </c>
      <c r="W262" s="168">
        <f t="shared" ref="W262:W325" si="99">IF($E262="","",IF(AND($B262=1,$C262=1),$Q262*$H262/1000,0))</f>
        <v>0</v>
      </c>
      <c r="X262" s="163">
        <f t="shared" si="86"/>
        <v>69.095308397182365</v>
      </c>
      <c r="Y262" s="152"/>
      <c r="Z262" s="164">
        <f>IF(AND($C261=12,$D261=Input!$C$6),0,IF($E262="","",V262+Z263/(1+L262)*R262))</f>
        <v>28403.337817083902</v>
      </c>
      <c r="AA262" s="164">
        <f>IF(OR($M262=1,AND($C261=12,$D261=Input!$C$6)),0,IF($E262="","",W262+(X262+AA263*$R262)/(1+$L262)))</f>
        <v>11798.542110644588</v>
      </c>
      <c r="AB262" s="160">
        <f t="shared" si="87"/>
        <v>0.825720328500681</v>
      </c>
      <c r="AC262" s="164">
        <f t="shared" si="88"/>
        <v>0</v>
      </c>
      <c r="AD262" s="164">
        <f>IF(AND($C261=12,$D261=Input!$C$6),0,IF($E262="","",$AC262+AD263/(1+$L262)*$R262))</f>
        <v>23453.213432838314</v>
      </c>
      <c r="AE262" s="152"/>
      <c r="AF262" s="164">
        <f>IF(AND($C261=12,$D261=Input!$C$6),0,IF($E262="","",IF($B262&gt;Input!$C$9,$AC262,0)+AF263/(1+$L262)*$R262))</f>
        <v>23453.213432838314</v>
      </c>
      <c r="AG262" s="164">
        <f>IF(AND($C261=12,$D261=Input!$C$6),0,IF($E262="","",(IF($B262&gt;Input!$C$9,$X262,0)+AG263)/(1+$L262)*$R262))</f>
        <v>11659.401697258045</v>
      </c>
      <c r="AH262" s="160">
        <f t="shared" si="89"/>
        <v>2.0950137211446997</v>
      </c>
      <c r="AI262" s="160">
        <f>IF($E262="","",MIN(Input!$C$61/AH262,1))</f>
        <v>0.64438718771845094</v>
      </c>
      <c r="AJ262" s="152"/>
      <c r="AK262" s="164">
        <f>IF(AND($C261=12,$D261=Input!$C$6),0,IF($E262="","",IF($B262&gt;Input!$C$9,$AC262*AI262,0)+AK263/(1+$L262)*$R262))</f>
        <v>15112.950246947305</v>
      </c>
      <c r="AL262" s="164">
        <f>IF(AND($C261=12,$D261=Input!$C$6),0,IF($E262="","",IF($B262&gt;Input!$C$9,0,$AC262)+AL263/(1+$L262)*$R262))</f>
        <v>0</v>
      </c>
      <c r="AM262" s="160">
        <f t="shared" si="90"/>
        <v>1.1382936520186004</v>
      </c>
      <c r="AN262" s="164">
        <f>IF($E262="","",IF($B262&gt;Input!$C$9,$AI262*$AC262,$AM262*$AC262))</f>
        <v>0</v>
      </c>
      <c r="AO262" s="164">
        <f>IF(AND($C261=12,$D261=Input!$C$6),0,IF($E262="","",$AN262+AO263/(1+$L262)*$R262))</f>
        <v>15112.950246947305</v>
      </c>
      <c r="AP262" s="152"/>
      <c r="AQ262" s="164">
        <f t="shared" si="91"/>
        <v>-3314.4081363027162</v>
      </c>
      <c r="AR262" s="164">
        <f t="shared" ref="AR262:AR325" si="100">IF($E262="","",IF($M262=1,0,0.5*(IF($B262=1,0,SUMIFS($AQ:$AQ,$B:$B,$B262-1,$C:$C,12))+SUMIFS($AN:$AN,$B:$B,$B262,$C:$C,1)+SUMIFS($AQ:$AQ,$B:$B,$B262,$C:$C,12))))</f>
        <v>-3124.7650557545917</v>
      </c>
      <c r="AS262" s="164">
        <f t="shared" ref="AS262:AS325" si="101">IF($E262="","",IF($M262=1,0,0.5*$M262*$H262/(1+$K262)))</f>
        <v>395.21531100478472</v>
      </c>
      <c r="AT262" s="164">
        <f t="shared" si="92"/>
        <v>395.21531100478472</v>
      </c>
      <c r="AU262" s="152"/>
      <c r="AV262" s="147">
        <f>'Deterministic Reserve'!BC262</f>
        <v>7.9814567190935423E-2</v>
      </c>
      <c r="AW262" s="164">
        <f t="shared" si="93"/>
        <v>395.21531100478472</v>
      </c>
      <c r="AX262" s="164">
        <f t="shared" si="94"/>
        <v>31.543938995077831</v>
      </c>
      <c r="AY262" s="152"/>
    </row>
    <row r="263" spans="1:51" s="150" customFormat="1" x14ac:dyDescent="0.25">
      <c r="A263" s="150">
        <f t="shared" ref="A263:A326" si="102">IF(E263="","",A262+1)</f>
        <v>259</v>
      </c>
      <c r="B263" s="150">
        <f t="shared" ref="B263:B326" si="103">IF(E263="","",IF(C262+1&gt;12,B262+1,B262))</f>
        <v>22</v>
      </c>
      <c r="C263" s="150">
        <f t="shared" ref="C263:C326" si="104">IF(E263="","",IF(C262+1&gt;12,1,C262+1))</f>
        <v>7</v>
      </c>
      <c r="D263" s="150">
        <f>IF(E263="","",Input!$C$4+B263-1)</f>
        <v>66</v>
      </c>
      <c r="E263" s="150">
        <f>IF(OR(AND(C262=12,D262=Input!$C$6),E262=""),"",1)</f>
        <v>1</v>
      </c>
      <c r="F263" s="150">
        <f>IF(E263="","",Input!$C$8+B263-1)</f>
        <v>2039</v>
      </c>
      <c r="G263" s="151">
        <f>IF(E263="","",MAX(0,Input!$C$9-B263))</f>
        <v>0</v>
      </c>
      <c r="H263" s="152">
        <f>IF(E263="","",Input!$C$3)</f>
        <v>100000</v>
      </c>
      <c r="I263" s="153">
        <f>IF(E263="","",HLOOKUP($B263,Input!$C$13:$BT$14,2))</f>
        <v>20.237000000000002</v>
      </c>
      <c r="J263" s="154"/>
      <c r="K263" s="155">
        <f>IF($E263="","",Input!$C$57)</f>
        <v>4.4999999999999998E-2</v>
      </c>
      <c r="L263" s="155">
        <f t="shared" si="95"/>
        <v>3.6748094004368514E-3</v>
      </c>
      <c r="M263" s="147">
        <f>IF($E263="","",VLOOKUP(IF($B263&lt;=Input!$C$7,$B263,26),'Mortality Tables'!$A$72:$CA$97,IF($B263&lt;=Input!$C$7+1,Input!$C$4-16,$D263-Input!$C$7-16),0)/1000)</f>
        <v>8.26E-3</v>
      </c>
      <c r="N263" s="147">
        <f t="shared" si="84"/>
        <v>6.9095308397182365E-4</v>
      </c>
      <c r="O263" s="157">
        <f>IF($E263="","",IF($C263=12,IF($B263&lt;Input!$C$9,Input!$C$54,IF($B263=Input!$C$9,Input!$C$55,Input!$C$56)),0%))</f>
        <v>0</v>
      </c>
      <c r="P263" s="167">
        <f>IF($E263="","",IF($B263=1,Input!$C$59,IF($B263&lt;6,Input!$C$60,0%)))</f>
        <v>0</v>
      </c>
      <c r="Q263" s="162">
        <f>IF($E263="","",Input!$C$58)</f>
        <v>2.5</v>
      </c>
      <c r="R263" s="156">
        <f t="shared" si="96"/>
        <v>0.99930904691602818</v>
      </c>
      <c r="S263" s="154">
        <f t="shared" si="85"/>
        <v>5.1889266914390199E-2</v>
      </c>
      <c r="T263" s="152"/>
      <c r="U263" s="150">
        <f t="shared" si="97"/>
        <v>0</v>
      </c>
      <c r="V263" s="150">
        <f t="shared" si="98"/>
        <v>0</v>
      </c>
      <c r="W263" s="168">
        <f t="shared" si="99"/>
        <v>0</v>
      </c>
      <c r="X263" s="163">
        <f t="shared" si="86"/>
        <v>69.095308397182365</v>
      </c>
      <c r="Y263" s="152"/>
      <c r="Z263" s="164">
        <f>IF(AND($C262=12,$D262=Input!$C$6),0,IF($E263="","",V263+Z264/(1+L263)*R263))</f>
        <v>28527.425782720253</v>
      </c>
      <c r="AA263" s="164">
        <f>IF(OR($M263=1,AND($C262=12,$D262=Input!$C$6)),0,IF($E263="","",W263+(X263+AA264*$R263)/(1+$L263)))</f>
        <v>11780.944275486299</v>
      </c>
      <c r="AB263" s="160">
        <f t="shared" si="87"/>
        <v>0.825720328500681</v>
      </c>
      <c r="AC263" s="164">
        <f t="shared" si="88"/>
        <v>0</v>
      </c>
      <c r="AD263" s="164">
        <f>IF(AND($C262=12,$D262=Input!$C$6),0,IF($E263="","",$AC263+AD264/(1+$L263)*$R263))</f>
        <v>23555.675388586544</v>
      </c>
      <c r="AE263" s="152"/>
      <c r="AF263" s="164">
        <f>IF(AND($C262=12,$D262=Input!$C$6),0,IF($E263="","",IF($B263&gt;Input!$C$9,$AC263,0)+AF264/(1+$L263)*$R263))</f>
        <v>23555.675388586544</v>
      </c>
      <c r="AG263" s="164">
        <f>IF(AND($C262=12,$D262=Input!$C$6),0,IF($E263="","",(IF($B263&gt;Input!$C$9,$X263,0)+AG264)/(1+$L263)*$R263))</f>
        <v>11641.243762716958</v>
      </c>
      <c r="AH263" s="160">
        <f t="shared" si="89"/>
        <v>2.0950137211446997</v>
      </c>
      <c r="AI263" s="160">
        <f>IF($E263="","",MIN(Input!$C$61/AH263,1))</f>
        <v>0.64438718771845094</v>
      </c>
      <c r="AJ263" s="152"/>
      <c r="AK263" s="164">
        <f>IF(AND($C262=12,$D262=Input!$C$6),0,IF($E263="","",IF($B263&gt;Input!$C$9,$AC263*AI263,0)+AK264/(1+$L263)*$R263))</f>
        <v>15178.975418460039</v>
      </c>
      <c r="AL263" s="164">
        <f>IF(AND($C262=12,$D262=Input!$C$6),0,IF($E263="","",IF($B263&gt;Input!$C$9,0,$AC263)+AL264/(1+$L263)*$R263))</f>
        <v>0</v>
      </c>
      <c r="AM263" s="160">
        <f t="shared" si="90"/>
        <v>1.1382936520186004</v>
      </c>
      <c r="AN263" s="164">
        <f>IF($E263="","",IF($B263&gt;Input!$C$9,$AI263*$AC263,$AM263*$AC263))</f>
        <v>0</v>
      </c>
      <c r="AO263" s="164">
        <f>IF(AND($C262=12,$D262=Input!$C$6),0,IF($E263="","",$AN263+AO264/(1+$L263)*$R263))</f>
        <v>15178.975418460039</v>
      </c>
      <c r="AP263" s="152"/>
      <c r="AQ263" s="164">
        <f t="shared" si="91"/>
        <v>-3398.0311429737394</v>
      </c>
      <c r="AR263" s="164">
        <f t="shared" si="100"/>
        <v>-3124.7650557545917</v>
      </c>
      <c r="AS263" s="164">
        <f t="shared" si="101"/>
        <v>395.21531100478472</v>
      </c>
      <c r="AT263" s="164">
        <f t="shared" si="92"/>
        <v>395.21531100478472</v>
      </c>
      <c r="AU263" s="152"/>
      <c r="AV263" s="147">
        <f>'Deterministic Reserve'!BC263</f>
        <v>7.9678026873587951E-2</v>
      </c>
      <c r="AW263" s="164">
        <f t="shared" si="93"/>
        <v>395.21531100478472</v>
      </c>
      <c r="AX263" s="164">
        <f t="shared" si="94"/>
        <v>31.489976171092657</v>
      </c>
      <c r="AY263" s="152"/>
    </row>
    <row r="264" spans="1:51" s="150" customFormat="1" x14ac:dyDescent="0.25">
      <c r="A264" s="150">
        <f t="shared" si="102"/>
        <v>260</v>
      </c>
      <c r="B264" s="150">
        <f t="shared" si="103"/>
        <v>22</v>
      </c>
      <c r="C264" s="150">
        <f t="shared" si="104"/>
        <v>8</v>
      </c>
      <c r="D264" s="150">
        <f>IF(E264="","",Input!$C$4+B264-1)</f>
        <v>66</v>
      </c>
      <c r="E264" s="150">
        <f>IF(OR(AND(C263=12,D263=Input!$C$6),E263=""),"",1)</f>
        <v>1</v>
      </c>
      <c r="F264" s="150">
        <f>IF(E264="","",Input!$C$8+B264-1)</f>
        <v>2039</v>
      </c>
      <c r="G264" s="151">
        <f>IF(E264="","",MAX(0,Input!$C$9-B264))</f>
        <v>0</v>
      </c>
      <c r="H264" s="152">
        <f>IF(E264="","",Input!$C$3)</f>
        <v>100000</v>
      </c>
      <c r="I264" s="153">
        <f>IF(E264="","",HLOOKUP($B264,Input!$C$13:$BT$14,2))</f>
        <v>20.237000000000002</v>
      </c>
      <c r="J264" s="154"/>
      <c r="K264" s="155">
        <f>IF($E264="","",Input!$C$57)</f>
        <v>4.4999999999999998E-2</v>
      </c>
      <c r="L264" s="155">
        <f t="shared" si="95"/>
        <v>3.6748094004368514E-3</v>
      </c>
      <c r="M264" s="147">
        <f>IF($E264="","",VLOOKUP(IF($B264&lt;=Input!$C$7,$B264,26),'Mortality Tables'!$A$72:$CA$97,IF($B264&lt;=Input!$C$7+1,Input!$C$4-16,$D264-Input!$C$7-16),0)/1000)</f>
        <v>8.26E-3</v>
      </c>
      <c r="N264" s="147">
        <f t="shared" si="84"/>
        <v>6.9095308397182365E-4</v>
      </c>
      <c r="O264" s="157">
        <f>IF($E264="","",IF($C264=12,IF($B264&lt;Input!$C$9,Input!$C$54,IF($B264=Input!$C$9,Input!$C$55,Input!$C$56)),0%))</f>
        <v>0</v>
      </c>
      <c r="P264" s="167">
        <f>IF($E264="","",IF($B264=1,Input!$C$59,IF($B264&lt;6,Input!$C$60,0%)))</f>
        <v>0</v>
      </c>
      <c r="Q264" s="162">
        <f>IF($E264="","",Input!$C$58)</f>
        <v>2.5</v>
      </c>
      <c r="R264" s="156">
        <f t="shared" si="96"/>
        <v>0.99930904691602818</v>
      </c>
      <c r="S264" s="154">
        <f t="shared" si="85"/>
        <v>5.1853413865390663E-2</v>
      </c>
      <c r="T264" s="152"/>
      <c r="U264" s="150">
        <f t="shared" si="97"/>
        <v>0</v>
      </c>
      <c r="V264" s="150">
        <f t="shared" si="98"/>
        <v>0</v>
      </c>
      <c r="W264" s="168">
        <f t="shared" si="99"/>
        <v>0</v>
      </c>
      <c r="X264" s="163">
        <f t="shared" si="86"/>
        <v>69.095308397182365</v>
      </c>
      <c r="Y264" s="152"/>
      <c r="Z264" s="164">
        <f>IF(AND($C263=12,$D263=Input!$C$6),0,IF($E264="","",V264+Z265/(1+L264)*R264))</f>
        <v>28652.055861516506</v>
      </c>
      <c r="AA264" s="164">
        <f>IF(OR($M264=1,AND($C263=12,$D263=Input!$C$6)),0,IF($E264="","",W264+(X264+AA265*$R264)/(1+$L264)))</f>
        <v>11763.269559238244</v>
      </c>
      <c r="AB264" s="160">
        <f t="shared" si="87"/>
        <v>0.825720328500681</v>
      </c>
      <c r="AC264" s="164">
        <f t="shared" si="88"/>
        <v>0</v>
      </c>
      <c r="AD264" s="164">
        <f>IF(AND($C263=12,$D263=Input!$C$6),0,IF($E264="","",$AC264+AD265/(1+$L264)*$R264))</f>
        <v>23658.584978191251</v>
      </c>
      <c r="AE264" s="152"/>
      <c r="AF264" s="164">
        <f>IF(AND($C263=12,$D263=Input!$C$6),0,IF($E264="","",IF($B264&gt;Input!$C$9,$AC264,0)+AF265/(1+$L264)*$R264))</f>
        <v>23658.584978191251</v>
      </c>
      <c r="AG264" s="164">
        <f>IF(AND($C263=12,$D263=Input!$C$6),0,IF($E264="","",(IF($B264&gt;Input!$C$9,$X264,0)+AG265)/(1+$L264)*$R264))</f>
        <v>11623.006500134505</v>
      </c>
      <c r="AH264" s="160">
        <f t="shared" si="89"/>
        <v>2.0950137211446997</v>
      </c>
      <c r="AI264" s="160">
        <f>IF($E264="","",MIN(Input!$C$61/AH264,1))</f>
        <v>0.64438718771845094</v>
      </c>
      <c r="AJ264" s="152"/>
      <c r="AK264" s="164">
        <f>IF(AND($C263=12,$D263=Input!$C$6),0,IF($E264="","",IF($B264&gt;Input!$C$9,$AC264*AI264,0)+AK265/(1+$L264)*$R264))</f>
        <v>15245.289039494675</v>
      </c>
      <c r="AL264" s="164">
        <f>IF(AND($C263=12,$D263=Input!$C$6),0,IF($E264="","",IF($B264&gt;Input!$C$9,0,$AC264)+AL265/(1+$L264)*$R264))</f>
        <v>0</v>
      </c>
      <c r="AM264" s="160">
        <f t="shared" si="90"/>
        <v>1.1382936520186004</v>
      </c>
      <c r="AN264" s="164">
        <f>IF($E264="","",IF($B264&gt;Input!$C$9,$AI264*$AC264,$AM264*$AC264))</f>
        <v>0</v>
      </c>
      <c r="AO264" s="164">
        <f>IF(AND($C263=12,$D263=Input!$C$6),0,IF($E264="","",$AN264+AO265/(1+$L264)*$R264))</f>
        <v>15245.289039494675</v>
      </c>
      <c r="AP264" s="152"/>
      <c r="AQ264" s="164">
        <f t="shared" si="91"/>
        <v>-3482.0194802564311</v>
      </c>
      <c r="AR264" s="164">
        <f t="shared" si="100"/>
        <v>-3124.7650557545917</v>
      </c>
      <c r="AS264" s="164">
        <f t="shared" si="101"/>
        <v>395.21531100478472</v>
      </c>
      <c r="AT264" s="164">
        <f t="shared" si="92"/>
        <v>395.21531100478472</v>
      </c>
      <c r="AU264" s="152"/>
      <c r="AV264" s="147">
        <f>'Deterministic Reserve'!BC264</f>
        <v>7.954172013839117E-2</v>
      </c>
      <c r="AW264" s="164">
        <f t="shared" si="93"/>
        <v>395.21531100478472</v>
      </c>
      <c r="AX264" s="164">
        <f t="shared" si="94"/>
        <v>31.436105662349814</v>
      </c>
      <c r="AY264" s="152"/>
    </row>
    <row r="265" spans="1:51" s="150" customFormat="1" x14ac:dyDescent="0.25">
      <c r="A265" s="150">
        <f t="shared" si="102"/>
        <v>261</v>
      </c>
      <c r="B265" s="150">
        <f t="shared" si="103"/>
        <v>22</v>
      </c>
      <c r="C265" s="150">
        <f t="shared" si="104"/>
        <v>9</v>
      </c>
      <c r="D265" s="150">
        <f>IF(E265="","",Input!$C$4+B265-1)</f>
        <v>66</v>
      </c>
      <c r="E265" s="150">
        <f>IF(OR(AND(C264=12,D264=Input!$C$6),E264=""),"",1)</f>
        <v>1</v>
      </c>
      <c r="F265" s="150">
        <f>IF(E265="","",Input!$C$8+B265-1)</f>
        <v>2039</v>
      </c>
      <c r="G265" s="151">
        <f>IF(E265="","",MAX(0,Input!$C$9-B265))</f>
        <v>0</v>
      </c>
      <c r="H265" s="152">
        <f>IF(E265="","",Input!$C$3)</f>
        <v>100000</v>
      </c>
      <c r="I265" s="153">
        <f>IF(E265="","",HLOOKUP($B265,Input!$C$13:$BT$14,2))</f>
        <v>20.237000000000002</v>
      </c>
      <c r="J265" s="154"/>
      <c r="K265" s="155">
        <f>IF($E265="","",Input!$C$57)</f>
        <v>4.4999999999999998E-2</v>
      </c>
      <c r="L265" s="155">
        <f t="shared" si="95"/>
        <v>3.6748094004368514E-3</v>
      </c>
      <c r="M265" s="147">
        <f>IF($E265="","",VLOOKUP(IF($B265&lt;=Input!$C$7,$B265,26),'Mortality Tables'!$A$72:$CA$97,IF($B265&lt;=Input!$C$7+1,Input!$C$4-16,$D265-Input!$C$7-16),0)/1000)</f>
        <v>8.26E-3</v>
      </c>
      <c r="N265" s="147">
        <f t="shared" si="84"/>
        <v>6.9095308397182365E-4</v>
      </c>
      <c r="O265" s="157">
        <f>IF($E265="","",IF($C265=12,IF($B265&lt;Input!$C$9,Input!$C$54,IF($B265=Input!$C$9,Input!$C$55,Input!$C$56)),0%))</f>
        <v>0</v>
      </c>
      <c r="P265" s="167">
        <f>IF($E265="","",IF($B265=1,Input!$C$59,IF($B265&lt;6,Input!$C$60,0%)))</f>
        <v>0</v>
      </c>
      <c r="Q265" s="162">
        <f>IF($E265="","",Input!$C$58)</f>
        <v>2.5</v>
      </c>
      <c r="R265" s="156">
        <f t="shared" si="96"/>
        <v>0.99930904691602818</v>
      </c>
      <c r="S265" s="154">
        <f t="shared" si="85"/>
        <v>5.1817585589165903E-2</v>
      </c>
      <c r="T265" s="152"/>
      <c r="U265" s="150">
        <f t="shared" si="97"/>
        <v>0</v>
      </c>
      <c r="V265" s="150">
        <f t="shared" si="98"/>
        <v>0</v>
      </c>
      <c r="W265" s="168">
        <f t="shared" si="99"/>
        <v>0</v>
      </c>
      <c r="X265" s="163">
        <f t="shared" si="86"/>
        <v>69.095308397182365</v>
      </c>
      <c r="Y265" s="152"/>
      <c r="Z265" s="164">
        <f>IF(AND($C264=12,$D264=Input!$C$6),0,IF($E265="","",V265+Z266/(1+L265)*R265))</f>
        <v>28777.230421846391</v>
      </c>
      <c r="AA265" s="164">
        <f>IF(OR($M265=1,AND($C264=12,$D264=Input!$C$6)),0,IF($E265="","",W265+(X265+AA266*$R265)/(1+$L265)))</f>
        <v>11745.517626023771</v>
      </c>
      <c r="AB265" s="160">
        <f t="shared" si="87"/>
        <v>0.825720328500681</v>
      </c>
      <c r="AC265" s="164">
        <f t="shared" si="88"/>
        <v>0</v>
      </c>
      <c r="AD265" s="164">
        <f>IF(AND($C264=12,$D264=Input!$C$6),0,IF($E265="","",$AC265+AD266/(1+$L265)*$R265))</f>
        <v>23761.944157266771</v>
      </c>
      <c r="AE265" s="152"/>
      <c r="AF265" s="164">
        <f>IF(AND($C264=12,$D264=Input!$C$6),0,IF($E265="","",IF($B265&gt;Input!$C$9,$AC265,0)+AF266/(1+$L265)*$R265))</f>
        <v>23761.944157266771</v>
      </c>
      <c r="AG265" s="164">
        <f>IF(AND($C264=12,$D264=Input!$C$6),0,IF($E265="","",(IF($B265&gt;Input!$C$9,$X265,0)+AG266)/(1+$L265)*$R265))</f>
        <v>11604.689562943831</v>
      </c>
      <c r="AH265" s="160">
        <f t="shared" si="89"/>
        <v>2.0950137211446997</v>
      </c>
      <c r="AI265" s="160">
        <f>IF($E265="","",MIN(Input!$C$61/AH265,1))</f>
        <v>0.64438718771845094</v>
      </c>
      <c r="AJ265" s="152"/>
      <c r="AK265" s="164">
        <f>IF(AND($C264=12,$D264=Input!$C$6),0,IF($E265="","",IF($B265&gt;Input!$C$9,$AC265*AI265,0)+AK266/(1+$L265)*$R265))</f>
        <v>15311.892370224037</v>
      </c>
      <c r="AL265" s="164">
        <f>IF(AND($C264=12,$D264=Input!$C$6),0,IF($E265="","",IF($B265&gt;Input!$C$9,0,$AC265)+AL266/(1+$L265)*$R265))</f>
        <v>0</v>
      </c>
      <c r="AM265" s="160">
        <f t="shared" si="90"/>
        <v>1.1382936520186004</v>
      </c>
      <c r="AN265" s="164">
        <f>IF($E265="","",IF($B265&gt;Input!$C$9,$AI265*$AC265,$AM265*$AC265))</f>
        <v>0</v>
      </c>
      <c r="AO265" s="164">
        <f>IF(AND($C264=12,$D264=Input!$C$6),0,IF($E265="","",$AN265+AO266/(1+$L265)*$R265))</f>
        <v>15311.892370224037</v>
      </c>
      <c r="AP265" s="152"/>
      <c r="AQ265" s="164">
        <f t="shared" si="91"/>
        <v>-3566.3747442002659</v>
      </c>
      <c r="AR265" s="164">
        <f t="shared" si="100"/>
        <v>-3124.7650557545917</v>
      </c>
      <c r="AS265" s="164">
        <f t="shared" si="101"/>
        <v>395.21531100478472</v>
      </c>
      <c r="AT265" s="164">
        <f t="shared" si="92"/>
        <v>395.21531100478472</v>
      </c>
      <c r="AU265" s="152"/>
      <c r="AV265" s="147">
        <f>'Deterministic Reserve'!BC265</f>
        <v>7.9405646585751596E-2</v>
      </c>
      <c r="AW265" s="164">
        <f t="shared" si="93"/>
        <v>395.21531100478472</v>
      </c>
      <c r="AX265" s="164">
        <f t="shared" si="94"/>
        <v>31.382327310923838</v>
      </c>
      <c r="AY265" s="152"/>
    </row>
    <row r="266" spans="1:51" s="150" customFormat="1" x14ac:dyDescent="0.25">
      <c r="A266" s="150">
        <f t="shared" si="102"/>
        <v>262</v>
      </c>
      <c r="B266" s="150">
        <f t="shared" si="103"/>
        <v>22</v>
      </c>
      <c r="C266" s="150">
        <f t="shared" si="104"/>
        <v>10</v>
      </c>
      <c r="D266" s="150">
        <f>IF(E266="","",Input!$C$4+B266-1)</f>
        <v>66</v>
      </c>
      <c r="E266" s="150">
        <f>IF(OR(AND(C265=12,D265=Input!$C$6),E265=""),"",1)</f>
        <v>1</v>
      </c>
      <c r="F266" s="150">
        <f>IF(E266="","",Input!$C$8+B266-1)</f>
        <v>2039</v>
      </c>
      <c r="G266" s="151">
        <f>IF(E266="","",MAX(0,Input!$C$9-B266))</f>
        <v>0</v>
      </c>
      <c r="H266" s="152">
        <f>IF(E266="","",Input!$C$3)</f>
        <v>100000</v>
      </c>
      <c r="I266" s="153">
        <f>IF(E266="","",HLOOKUP($B266,Input!$C$13:$BT$14,2))</f>
        <v>20.237000000000002</v>
      </c>
      <c r="J266" s="154"/>
      <c r="K266" s="155">
        <f>IF($E266="","",Input!$C$57)</f>
        <v>4.4999999999999998E-2</v>
      </c>
      <c r="L266" s="155">
        <f t="shared" si="95"/>
        <v>3.6748094004368514E-3</v>
      </c>
      <c r="M266" s="147">
        <f>IF($E266="","",VLOOKUP(IF($B266&lt;=Input!$C$7,$B266,26),'Mortality Tables'!$A$72:$CA$97,IF($B266&lt;=Input!$C$7+1,Input!$C$4-16,$D266-Input!$C$7-16),0)/1000)</f>
        <v>8.26E-3</v>
      </c>
      <c r="N266" s="147">
        <f t="shared" si="84"/>
        <v>6.9095308397182365E-4</v>
      </c>
      <c r="O266" s="157">
        <f>IF($E266="","",IF($C266=12,IF($B266&lt;Input!$C$9,Input!$C$54,IF($B266=Input!$C$9,Input!$C$55,Input!$C$56)),0%))</f>
        <v>0</v>
      </c>
      <c r="P266" s="167">
        <f>IF($E266="","",IF($B266=1,Input!$C$59,IF($B266&lt;6,Input!$C$60,0%)))</f>
        <v>0</v>
      </c>
      <c r="Q266" s="162">
        <f>IF($E266="","",Input!$C$58)</f>
        <v>2.5</v>
      </c>
      <c r="R266" s="156">
        <f t="shared" si="96"/>
        <v>0.99930904691602818</v>
      </c>
      <c r="S266" s="154">
        <f t="shared" si="85"/>
        <v>5.1781782068599097E-2</v>
      </c>
      <c r="T266" s="152"/>
      <c r="U266" s="150">
        <f t="shared" si="97"/>
        <v>0</v>
      </c>
      <c r="V266" s="150">
        <f t="shared" si="98"/>
        <v>0</v>
      </c>
      <c r="W266" s="168">
        <f t="shared" si="99"/>
        <v>0</v>
      </c>
      <c r="X266" s="163">
        <f t="shared" si="86"/>
        <v>69.095308397182365</v>
      </c>
      <c r="Y266" s="152"/>
      <c r="Z266" s="164">
        <f>IF(AND($C265=12,$D265=Input!$C$6),0,IF($E266="","",V266+Z267/(1+L266)*R266))</f>
        <v>28902.951842430546</v>
      </c>
      <c r="AA266" s="164">
        <f>IF(OR($M266=1,AND($C265=12,$D265=Input!$C$6)),0,IF($E266="","",W266+(X266+AA267*$R266)/(1+$L266)))</f>
        <v>11727.688138498854</v>
      </c>
      <c r="AB266" s="160">
        <f t="shared" si="87"/>
        <v>0.825720328500681</v>
      </c>
      <c r="AC266" s="164">
        <f t="shared" si="88"/>
        <v>0</v>
      </c>
      <c r="AD266" s="164">
        <f>IF(AND($C265=12,$D265=Input!$C$6),0,IF($E266="","",$AC266+AD267/(1+$L266)*$R266))</f>
        <v>23865.754889971093</v>
      </c>
      <c r="AE266" s="152"/>
      <c r="AF266" s="164">
        <f>IF(AND($C265=12,$D265=Input!$C$6),0,IF($E266="","",IF($B266&gt;Input!$C$9,$AC266,0)+AF267/(1+$L266)*$R266))</f>
        <v>23865.754889971093</v>
      </c>
      <c r="AG266" s="164">
        <f>IF(AND($C265=12,$D265=Input!$C$6),0,IF($E266="","",(IF($B266&gt;Input!$C$9,$X266,0)+AG267)/(1+$L266)*$R266))</f>
        <v>11586.292603064019</v>
      </c>
      <c r="AH266" s="160">
        <f t="shared" si="89"/>
        <v>2.0950137211446997</v>
      </c>
      <c r="AI266" s="160">
        <f>IF($E266="","",MIN(Input!$C$61/AH266,1))</f>
        <v>0.64438718771845094</v>
      </c>
      <c r="AJ266" s="152"/>
      <c r="AK266" s="164">
        <f>IF(AND($C265=12,$D265=Input!$C$6),0,IF($E266="","",IF($B266&gt;Input!$C$9,$AC266*AI266,0)+AK267/(1+$L266)*$R266))</f>
        <v>15378.786676326365</v>
      </c>
      <c r="AL266" s="164">
        <f>IF(AND($C265=12,$D265=Input!$C$6),0,IF($E266="","",IF($B266&gt;Input!$C$9,0,$AC266)+AL267/(1+$L266)*$R266))</f>
        <v>0</v>
      </c>
      <c r="AM266" s="160">
        <f t="shared" si="90"/>
        <v>1.1382936520186004</v>
      </c>
      <c r="AN266" s="164">
        <f>IF($E266="","",IF($B266&gt;Input!$C$9,$AI266*$AC266,$AM266*$AC266))</f>
        <v>0</v>
      </c>
      <c r="AO266" s="164">
        <f>IF(AND($C265=12,$D265=Input!$C$6),0,IF($E266="","",$AN266+AO267/(1+$L266)*$R266))</f>
        <v>15378.786676326365</v>
      </c>
      <c r="AP266" s="152"/>
      <c r="AQ266" s="164">
        <f t="shared" si="91"/>
        <v>-3651.0985378275109</v>
      </c>
      <c r="AR266" s="164">
        <f t="shared" si="100"/>
        <v>-3124.7650557545917</v>
      </c>
      <c r="AS266" s="164">
        <f t="shared" si="101"/>
        <v>395.21531100478472</v>
      </c>
      <c r="AT266" s="164">
        <f t="shared" si="92"/>
        <v>395.21531100478472</v>
      </c>
      <c r="AU266" s="152"/>
      <c r="AV266" s="147">
        <f>'Deterministic Reserve'!BC266</f>
        <v>7.9269805816759353E-2</v>
      </c>
      <c r="AW266" s="164">
        <f t="shared" si="93"/>
        <v>395.21531100478472</v>
      </c>
      <c r="AX266" s="164">
        <f t="shared" si="94"/>
        <v>31.32864095915944</v>
      </c>
      <c r="AY266" s="152"/>
    </row>
    <row r="267" spans="1:51" s="150" customFormat="1" x14ac:dyDescent="0.25">
      <c r="A267" s="150">
        <f t="shared" si="102"/>
        <v>263</v>
      </c>
      <c r="B267" s="150">
        <f t="shared" si="103"/>
        <v>22</v>
      </c>
      <c r="C267" s="150">
        <f t="shared" si="104"/>
        <v>11</v>
      </c>
      <c r="D267" s="150">
        <f>IF(E267="","",Input!$C$4+B267-1)</f>
        <v>66</v>
      </c>
      <c r="E267" s="150">
        <f>IF(OR(AND(C266=12,D266=Input!$C$6),E266=""),"",1)</f>
        <v>1</v>
      </c>
      <c r="F267" s="150">
        <f>IF(E267="","",Input!$C$8+B267-1)</f>
        <v>2039</v>
      </c>
      <c r="G267" s="151">
        <f>IF(E267="","",MAX(0,Input!$C$9-B267))</f>
        <v>0</v>
      </c>
      <c r="H267" s="152">
        <f>IF(E267="","",Input!$C$3)</f>
        <v>100000</v>
      </c>
      <c r="I267" s="153">
        <f>IF(E267="","",HLOOKUP($B267,Input!$C$13:$BT$14,2))</f>
        <v>20.237000000000002</v>
      </c>
      <c r="J267" s="154"/>
      <c r="K267" s="155">
        <f>IF($E267="","",Input!$C$57)</f>
        <v>4.4999999999999998E-2</v>
      </c>
      <c r="L267" s="155">
        <f t="shared" si="95"/>
        <v>3.6748094004368514E-3</v>
      </c>
      <c r="M267" s="147">
        <f>IF($E267="","",VLOOKUP(IF($B267&lt;=Input!$C$7,$B267,26),'Mortality Tables'!$A$72:$CA$97,IF($B267&lt;=Input!$C$7+1,Input!$C$4-16,$D267-Input!$C$7-16),0)/1000)</f>
        <v>8.26E-3</v>
      </c>
      <c r="N267" s="147">
        <f t="shared" si="84"/>
        <v>6.9095308397182365E-4</v>
      </c>
      <c r="O267" s="157">
        <f>IF($E267="","",IF($C267=12,IF($B267&lt;Input!$C$9,Input!$C$54,IF($B267=Input!$C$9,Input!$C$55,Input!$C$56)),0%))</f>
        <v>0</v>
      </c>
      <c r="P267" s="167">
        <f>IF($E267="","",IF($B267=1,Input!$C$59,IF($B267&lt;6,Input!$C$60,0%)))</f>
        <v>0</v>
      </c>
      <c r="Q267" s="162">
        <f>IF($E267="","",Input!$C$58)</f>
        <v>2.5</v>
      </c>
      <c r="R267" s="156">
        <f t="shared" si="96"/>
        <v>0.99930904691602818</v>
      </c>
      <c r="S267" s="154">
        <f t="shared" si="85"/>
        <v>5.174600328658524E-2</v>
      </c>
      <c r="T267" s="152"/>
      <c r="U267" s="150">
        <f t="shared" si="97"/>
        <v>0</v>
      </c>
      <c r="V267" s="150">
        <f t="shared" si="98"/>
        <v>0</v>
      </c>
      <c r="W267" s="168">
        <f t="shared" si="99"/>
        <v>0</v>
      </c>
      <c r="X267" s="163">
        <f t="shared" si="86"/>
        <v>69.095308397182365</v>
      </c>
      <c r="Y267" s="152"/>
      <c r="Z267" s="164">
        <f>IF(AND($C266=12,$D266=Input!$C$6),0,IF($E267="","",V267+Z268/(1+L267)*R267))</f>
        <v>29029.222512381719</v>
      </c>
      <c r="AA267" s="164">
        <f>IF(OR($M267=1,AND($C266=12,$D266=Input!$C$6)),0,IF($E267="","",W267+(X267+AA268*$R267)/(1+$L267)))</f>
        <v>11709.780757845687</v>
      </c>
      <c r="AB267" s="160">
        <f t="shared" si="87"/>
        <v>0.825720328500681</v>
      </c>
      <c r="AC267" s="164">
        <f t="shared" si="88"/>
        <v>0</v>
      </c>
      <c r="AD267" s="164">
        <f>IF(AND($C266=12,$D266=Input!$C$6),0,IF($E267="","",$AC267+AD268/(1+$L267)*$R267))</f>
        <v>23970.019149043175</v>
      </c>
      <c r="AE267" s="152"/>
      <c r="AF267" s="164">
        <f>IF(AND($C266=12,$D266=Input!$C$6),0,IF($E267="","",IF($B267&gt;Input!$C$9,$AC267,0)+AF268/(1+$L267)*$R267))</f>
        <v>23970.019149043175</v>
      </c>
      <c r="AG267" s="164">
        <f>IF(AND($C266=12,$D266=Input!$C$6),0,IF($E267="","",(IF($B267&gt;Input!$C$9,$X267,0)+AG268)/(1+$L267)*$R267))</f>
        <v>11567.815270893454</v>
      </c>
      <c r="AH267" s="160">
        <f t="shared" si="89"/>
        <v>2.0950137211446997</v>
      </c>
      <c r="AI267" s="160">
        <f>IF($E267="","",MIN(Input!$C$61/AH267,1))</f>
        <v>0.64438718771845094</v>
      </c>
      <c r="AJ267" s="152"/>
      <c r="AK267" s="164">
        <f>IF(AND($C266=12,$D266=Input!$C$6),0,IF($E267="","",IF($B267&gt;Input!$C$9,$AC267*AI267,0)+AK268/(1+$L267)*$R267))</f>
        <v>15445.973229009373</v>
      </c>
      <c r="AL267" s="164">
        <f>IF(AND($C266=12,$D266=Input!$C$6),0,IF($E267="","",IF($B267&gt;Input!$C$9,0,$AC267)+AL268/(1+$L267)*$R267))</f>
        <v>0</v>
      </c>
      <c r="AM267" s="160">
        <f t="shared" si="90"/>
        <v>1.1382936520186004</v>
      </c>
      <c r="AN267" s="164">
        <f>IF($E267="","",IF($B267&gt;Input!$C$9,$AI267*$AC267,$AM267*$AC267))</f>
        <v>0</v>
      </c>
      <c r="AO267" s="164">
        <f>IF(AND($C266=12,$D266=Input!$C$6),0,IF($E267="","",$AN267+AO268/(1+$L267)*$R267))</f>
        <v>15445.973229009373</v>
      </c>
      <c r="AP267" s="152"/>
      <c r="AQ267" s="164">
        <f t="shared" si="91"/>
        <v>-3736.1924711636857</v>
      </c>
      <c r="AR267" s="164">
        <f t="shared" si="100"/>
        <v>-3124.7650557545917</v>
      </c>
      <c r="AS267" s="164">
        <f t="shared" si="101"/>
        <v>395.21531100478472</v>
      </c>
      <c r="AT267" s="164">
        <f t="shared" si="92"/>
        <v>395.21531100478472</v>
      </c>
      <c r="AU267" s="152"/>
      <c r="AV267" s="147">
        <f>'Deterministic Reserve'!BC267</f>
        <v>7.9134197433186962E-2</v>
      </c>
      <c r="AW267" s="164">
        <f t="shared" si="93"/>
        <v>395.21531100478472</v>
      </c>
      <c r="AX267" s="164">
        <f t="shared" si="94"/>
        <v>31.275046449671024</v>
      </c>
      <c r="AY267" s="152"/>
    </row>
    <row r="268" spans="1:51" s="150" customFormat="1" x14ac:dyDescent="0.25">
      <c r="A268" s="150">
        <f t="shared" si="102"/>
        <v>264</v>
      </c>
      <c r="B268" s="150">
        <f t="shared" si="103"/>
        <v>22</v>
      </c>
      <c r="C268" s="150">
        <f t="shared" si="104"/>
        <v>12</v>
      </c>
      <c r="D268" s="150">
        <f>IF(E268="","",Input!$C$4+B268-1)</f>
        <v>66</v>
      </c>
      <c r="E268" s="150">
        <f>IF(OR(AND(C267=12,D267=Input!$C$6),E267=""),"",1)</f>
        <v>1</v>
      </c>
      <c r="F268" s="150">
        <f>IF(E268="","",Input!$C$8+B268-1)</f>
        <v>2039</v>
      </c>
      <c r="G268" s="151">
        <f>IF(E268="","",MAX(0,Input!$C$9-B268))</f>
        <v>0</v>
      </c>
      <c r="H268" s="152">
        <f>IF(E268="","",Input!$C$3)</f>
        <v>100000</v>
      </c>
      <c r="I268" s="153">
        <f>IF(E268="","",HLOOKUP($B268,Input!$C$13:$BT$14,2))</f>
        <v>20.237000000000002</v>
      </c>
      <c r="J268" s="154"/>
      <c r="K268" s="155">
        <f>IF($E268="","",Input!$C$57)</f>
        <v>4.4999999999999998E-2</v>
      </c>
      <c r="L268" s="155">
        <f t="shared" si="95"/>
        <v>3.6748094004368514E-3</v>
      </c>
      <c r="M268" s="147">
        <f>IF($E268="","",VLOOKUP(IF($B268&lt;=Input!$C$7,$B268,26),'Mortality Tables'!$A$72:$CA$97,IF($B268&lt;=Input!$C$7+1,Input!$C$4-16,$D268-Input!$C$7-16),0)/1000)</f>
        <v>8.26E-3</v>
      </c>
      <c r="N268" s="147">
        <f t="shared" si="84"/>
        <v>6.9095308397182365E-4</v>
      </c>
      <c r="O268" s="157">
        <f>IF($E268="","",IF($C268=12,IF($B268&lt;Input!$C$9,Input!$C$54,IF($B268=Input!$C$9,Input!$C$55,Input!$C$56)),0%))</f>
        <v>0.1</v>
      </c>
      <c r="P268" s="167">
        <f>IF($E268="","",IF($B268=1,Input!$C$59,IF($B268&lt;6,Input!$C$60,0%)))</f>
        <v>0</v>
      </c>
      <c r="Q268" s="162">
        <f>IF($E268="","",Input!$C$58)</f>
        <v>2.5</v>
      </c>
      <c r="R268" s="156">
        <f t="shared" si="96"/>
        <v>0.8993090469160282</v>
      </c>
      <c r="S268" s="154">
        <f t="shared" si="85"/>
        <v>4.6535648897372633E-2</v>
      </c>
      <c r="T268" s="152"/>
      <c r="U268" s="150">
        <f t="shared" si="97"/>
        <v>0</v>
      </c>
      <c r="V268" s="150">
        <f t="shared" si="98"/>
        <v>0</v>
      </c>
      <c r="W268" s="168">
        <f t="shared" si="99"/>
        <v>0</v>
      </c>
      <c r="X268" s="163">
        <f t="shared" si="86"/>
        <v>69.095308397182365</v>
      </c>
      <c r="Y268" s="152"/>
      <c r="Z268" s="164">
        <f>IF(AND($C267=12,$D267=Input!$C$6),0,IF($E268="","",V268+Z269/(1+L268)*R268))</f>
        <v>29156.044831250165</v>
      </c>
      <c r="AA268" s="164">
        <f>IF(OR($M268=1,AND($C267=12,$D267=Input!$C$6)),0,IF($E268="","",W268+(X268+AA269*$R268)/(1+$L268)))</f>
        <v>11691.795143766243</v>
      </c>
      <c r="AB268" s="160">
        <f t="shared" si="87"/>
        <v>0.825720328500681</v>
      </c>
      <c r="AC268" s="164">
        <f t="shared" si="88"/>
        <v>0</v>
      </c>
      <c r="AD268" s="164">
        <f>IF(AND($C267=12,$D267=Input!$C$6),0,IF($E268="","",$AC268+AD269/(1+$L268)*$R268))</f>
        <v>24074.738915840448</v>
      </c>
      <c r="AE268" s="152"/>
      <c r="AF268" s="164">
        <f>IF(AND($C267=12,$D267=Input!$C$6),0,IF($E268="","",IF($B268&gt;Input!$C$9,$AC268,0)+AF269/(1+$L268)*$R268))</f>
        <v>24074.738915840448</v>
      </c>
      <c r="AG268" s="164">
        <f>IF(AND($C267=12,$D267=Input!$C$6),0,IF($E268="","",(IF($B268&gt;Input!$C$9,$X268,0)+AG269)/(1+$L268)*$R268))</f>
        <v>11549.257215303192</v>
      </c>
      <c r="AH268" s="160">
        <f t="shared" si="89"/>
        <v>2.0950137211446997</v>
      </c>
      <c r="AI268" s="160">
        <f>IF($E268="","",MIN(Input!$C$61/AH268,1))</f>
        <v>0.64438718771845094</v>
      </c>
      <c r="AJ268" s="152"/>
      <c r="AK268" s="164">
        <f>IF(AND($C267=12,$D267=Input!$C$6),0,IF($E268="","",IF($B268&gt;Input!$C$9,$AC268*AI268,0)+AK269/(1+$L268)*$R268))</f>
        <v>15513.453305034398</v>
      </c>
      <c r="AL268" s="164">
        <f>IF(AND($C267=12,$D267=Input!$C$6),0,IF($E268="","",IF($B268&gt;Input!$C$9,0,$AC268)+AL269/(1+$L268)*$R268))</f>
        <v>0</v>
      </c>
      <c r="AM268" s="160">
        <f t="shared" si="90"/>
        <v>1.1382936520186004</v>
      </c>
      <c r="AN268" s="164">
        <f>IF($E268="","",IF($B268&gt;Input!$C$9,$AI268*$AC268,$AM268*$AC268))</f>
        <v>0</v>
      </c>
      <c r="AO268" s="164">
        <f>IF(AND($C267=12,$D267=Input!$C$6),0,IF($E268="","",$AN268+AO269/(1+$L268)*$R268))</f>
        <v>15513.453305034398</v>
      </c>
      <c r="AP268" s="152"/>
      <c r="AQ268" s="164">
        <f t="shared" si="91"/>
        <v>-3821.6581612681548</v>
      </c>
      <c r="AR268" s="164">
        <f t="shared" si="100"/>
        <v>-3124.7650557545917</v>
      </c>
      <c r="AS268" s="164">
        <f t="shared" si="101"/>
        <v>395.21531100478472</v>
      </c>
      <c r="AT268" s="164">
        <f t="shared" si="92"/>
        <v>395.21531100478472</v>
      </c>
      <c r="AU268" s="152"/>
      <c r="AV268" s="147">
        <f>'Deterministic Reserve'!BC268</f>
        <v>7.1085401294169515E-2</v>
      </c>
      <c r="AW268" s="164">
        <f t="shared" si="93"/>
        <v>395.21531100478472</v>
      </c>
      <c r="AX268" s="164">
        <f t="shared" si="94"/>
        <v>28.094038980375132</v>
      </c>
      <c r="AY268" s="152"/>
    </row>
    <row r="269" spans="1:51" s="150" customFormat="1" x14ac:dyDescent="0.25">
      <c r="A269" s="150">
        <f t="shared" si="102"/>
        <v>265</v>
      </c>
      <c r="B269" s="150">
        <f t="shared" si="103"/>
        <v>23</v>
      </c>
      <c r="C269" s="150">
        <f t="shared" si="104"/>
        <v>1</v>
      </c>
      <c r="D269" s="150">
        <f>IF(E269="","",Input!$C$4+B269-1)</f>
        <v>67</v>
      </c>
      <c r="E269" s="150">
        <f>IF(OR(AND(C268=12,D268=Input!$C$6),E268=""),"",1)</f>
        <v>1</v>
      </c>
      <c r="F269" s="150">
        <f>IF(E269="","",Input!$C$8+B269-1)</f>
        <v>2040</v>
      </c>
      <c r="G269" s="151">
        <f>IF(E269="","",MAX(0,Input!$C$9-B269))</f>
        <v>0</v>
      </c>
      <c r="H269" s="152">
        <f>IF(E269="","",Input!$C$3)</f>
        <v>100000</v>
      </c>
      <c r="I269" s="153">
        <f>IF(E269="","",HLOOKUP($B269,Input!$C$13:$BT$14,2))</f>
        <v>22.956499999999998</v>
      </c>
      <c r="J269" s="154"/>
      <c r="K269" s="155">
        <f>IF($E269="","",Input!$C$57)</f>
        <v>4.4999999999999998E-2</v>
      </c>
      <c r="L269" s="155">
        <f t="shared" si="95"/>
        <v>3.6748094004368514E-3</v>
      </c>
      <c r="M269" s="147">
        <f>IF($E269="","",VLOOKUP(IF($B269&lt;=Input!$C$7,$B269,26),'Mortality Tables'!$A$72:$CA$97,IF($B269&lt;=Input!$C$7+1,Input!$C$4-16,$D269-Input!$C$7-16),0)/1000)</f>
        <v>9.3699999999999999E-3</v>
      </c>
      <c r="N269" s="147">
        <f t="shared" si="84"/>
        <v>7.8420689980196467E-4</v>
      </c>
      <c r="O269" s="157">
        <f>IF($E269="","",IF($C269=12,IF($B269&lt;Input!$C$9,Input!$C$54,IF($B269=Input!$C$9,Input!$C$55,Input!$C$56)),0%))</f>
        <v>0</v>
      </c>
      <c r="P269" s="167">
        <f>IF($E269="","",IF($B269=1,Input!$C$59,IF($B269&lt;6,Input!$C$60,0%)))</f>
        <v>0</v>
      </c>
      <c r="Q269" s="162">
        <f>IF($E269="","",Input!$C$58)</f>
        <v>2.5</v>
      </c>
      <c r="R269" s="156">
        <f t="shared" si="96"/>
        <v>0.99921579310019804</v>
      </c>
      <c r="S269" s="154">
        <f t="shared" si="85"/>
        <v>4.6499155320420552E-2</v>
      </c>
      <c r="T269" s="152"/>
      <c r="U269" s="150">
        <f t="shared" si="97"/>
        <v>2295.65</v>
      </c>
      <c r="V269" s="150">
        <f t="shared" si="98"/>
        <v>2295.65</v>
      </c>
      <c r="W269" s="168">
        <f t="shared" si="99"/>
        <v>0</v>
      </c>
      <c r="X269" s="163">
        <f t="shared" si="86"/>
        <v>78.420689980196471</v>
      </c>
      <c r="Y269" s="152"/>
      <c r="Z269" s="164">
        <f>IF(AND($C268=12,$D268=Input!$C$6),0,IF($E269="","",V269+Z270/(1+L269)*R269))</f>
        <v>32539.634555247627</v>
      </c>
      <c r="AA269" s="164">
        <f>IF(OR($M269=1,AND($C268=12,$D268=Input!$C$6)),0,IF($E269="","",W269+(X269+AA270*$R269)/(1+$L269)))</f>
        <v>12971.808739249369</v>
      </c>
      <c r="AB269" s="160">
        <f t="shared" si="87"/>
        <v>0.825720328500681</v>
      </c>
      <c r="AC269" s="164">
        <f t="shared" si="88"/>
        <v>1895.5648721225884</v>
      </c>
      <c r="AD269" s="164">
        <f>IF(AND($C268=12,$D268=Input!$C$6),0,IF($E269="","",$AC269+AD270/(1+$L269)*$R269))</f>
        <v>26868.637734251162</v>
      </c>
      <c r="AE269" s="152"/>
      <c r="AF269" s="164">
        <f>IF(AND($C268=12,$D268=Input!$C$6),0,IF($E269="","",IF($B269&gt;Input!$C$9,$AC269,0)+AF270/(1+$L269)*$R269))</f>
        <v>26868.637734251162</v>
      </c>
      <c r="AG269" s="164">
        <f>IF(AND($C268=12,$D268=Input!$C$6),0,IF($E269="","",(IF($B269&gt;Input!$C$9,$X269,0)+AG270)/(1+$L269)*$R269))</f>
        <v>12820.465376038377</v>
      </c>
      <c r="AH269" s="160">
        <f t="shared" si="89"/>
        <v>2.0950137211446997</v>
      </c>
      <c r="AI269" s="160">
        <f>IF($E269="","",MIN(Input!$C$61/AH269,1))</f>
        <v>0.64438718771845094</v>
      </c>
      <c r="AJ269" s="152"/>
      <c r="AK269" s="164">
        <f>IF(AND($C268=12,$D268=Input!$C$6),0,IF($E269="","",IF($B269&gt;Input!$C$9,$AC269*AI269,0)+AK270/(1+$L269)*$R269))</f>
        <v>17313.805907399983</v>
      </c>
      <c r="AL269" s="164">
        <f>IF(AND($C268=12,$D268=Input!$C$6),0,IF($E269="","",IF($B269&gt;Input!$C$9,0,$AC269)+AL270/(1+$L269)*$R269))</f>
        <v>0</v>
      </c>
      <c r="AM269" s="160">
        <f t="shared" si="90"/>
        <v>1.1382936520186004</v>
      </c>
      <c r="AN269" s="164">
        <f>IF($E269="","",IF($B269&gt;Input!$C$9,$AI269*$AC269,$AM269*$AC269))</f>
        <v>1221.4777170849597</v>
      </c>
      <c r="AO269" s="164">
        <f>IF(AND($C268=12,$D268=Input!$C$6),0,IF($E269="","",$AN269+AO270/(1+$L269)*$R269))</f>
        <v>17313.805907399983</v>
      </c>
      <c r="AP269" s="152"/>
      <c r="AQ269" s="164">
        <f t="shared" si="91"/>
        <v>-4341.997168150614</v>
      </c>
      <c r="AR269" s="164">
        <f t="shared" si="100"/>
        <v>-3380.0851349146797</v>
      </c>
      <c r="AS269" s="164">
        <f t="shared" si="101"/>
        <v>448.32535885167465</v>
      </c>
      <c r="AT269" s="164">
        <f t="shared" si="92"/>
        <v>448.32535885167465</v>
      </c>
      <c r="AU269" s="152"/>
      <c r="AV269" s="147">
        <f>'Deterministic Reserve'!BC269</f>
        <v>7.0947988545874599E-2</v>
      </c>
      <c r="AW269" s="164">
        <f t="shared" si="93"/>
        <v>448.32535885167465</v>
      </c>
      <c r="AX269" s="164">
        <f t="shared" si="94"/>
        <v>31.807782424633732</v>
      </c>
      <c r="AY269" s="152"/>
    </row>
    <row r="270" spans="1:51" s="150" customFormat="1" x14ac:dyDescent="0.25">
      <c r="A270" s="150">
        <f t="shared" si="102"/>
        <v>266</v>
      </c>
      <c r="B270" s="150">
        <f t="shared" si="103"/>
        <v>23</v>
      </c>
      <c r="C270" s="150">
        <f t="shared" si="104"/>
        <v>2</v>
      </c>
      <c r="D270" s="150">
        <f>IF(E270="","",Input!$C$4+B270-1)</f>
        <v>67</v>
      </c>
      <c r="E270" s="150">
        <f>IF(OR(AND(C269=12,D269=Input!$C$6),E269=""),"",1)</f>
        <v>1</v>
      </c>
      <c r="F270" s="150">
        <f>IF(E270="","",Input!$C$8+B270-1)</f>
        <v>2040</v>
      </c>
      <c r="G270" s="151">
        <f>IF(E270="","",MAX(0,Input!$C$9-B270))</f>
        <v>0</v>
      </c>
      <c r="H270" s="152">
        <f>IF(E270="","",Input!$C$3)</f>
        <v>100000</v>
      </c>
      <c r="I270" s="153">
        <f>IF(E270="","",HLOOKUP($B270,Input!$C$13:$BT$14,2))</f>
        <v>22.956499999999998</v>
      </c>
      <c r="J270" s="154"/>
      <c r="K270" s="155">
        <f>IF($E270="","",Input!$C$57)</f>
        <v>4.4999999999999998E-2</v>
      </c>
      <c r="L270" s="155">
        <f t="shared" si="95"/>
        <v>3.6748094004368514E-3</v>
      </c>
      <c r="M270" s="147">
        <f>IF($E270="","",VLOOKUP(IF($B270&lt;=Input!$C$7,$B270,26),'Mortality Tables'!$A$72:$CA$97,IF($B270&lt;=Input!$C$7+1,Input!$C$4-16,$D270-Input!$C$7-16),0)/1000)</f>
        <v>9.3699999999999999E-3</v>
      </c>
      <c r="N270" s="147">
        <f t="shared" si="84"/>
        <v>7.8420689980196467E-4</v>
      </c>
      <c r="O270" s="157">
        <f>IF($E270="","",IF($C270=12,IF($B270&lt;Input!$C$9,Input!$C$54,IF($B270=Input!$C$9,Input!$C$55,Input!$C$56)),0%))</f>
        <v>0</v>
      </c>
      <c r="P270" s="167">
        <f>IF($E270="","",IF($B270=1,Input!$C$59,IF($B270&lt;6,Input!$C$60,0%)))</f>
        <v>0</v>
      </c>
      <c r="Q270" s="162">
        <f>IF($E270="","",Input!$C$58)</f>
        <v>2.5</v>
      </c>
      <c r="R270" s="156">
        <f t="shared" si="96"/>
        <v>0.99921579310019804</v>
      </c>
      <c r="S270" s="154">
        <f t="shared" si="85"/>
        <v>4.6462690361983312E-2</v>
      </c>
      <c r="T270" s="152"/>
      <c r="U270" s="150">
        <f t="shared" si="97"/>
        <v>0</v>
      </c>
      <c r="V270" s="150">
        <f t="shared" si="98"/>
        <v>0</v>
      </c>
      <c r="W270" s="168">
        <f t="shared" si="99"/>
        <v>0</v>
      </c>
      <c r="X270" s="163">
        <f t="shared" si="86"/>
        <v>78.420689980196471</v>
      </c>
      <c r="Y270" s="152"/>
      <c r="Z270" s="164">
        <f>IF(AND($C269=12,$D269=Input!$C$6),0,IF($E270="","",V270+Z271/(1+L270)*R270))</f>
        <v>30378.94881526758</v>
      </c>
      <c r="AA270" s="164">
        <f>IF(OR($M270=1,AND($C269=12,$D269=Input!$C$6)),0,IF($E270="","",W270+(X270+AA271*$R270)/(1+$L270)))</f>
        <v>12951.21340487775</v>
      </c>
      <c r="AB270" s="160">
        <f t="shared" si="87"/>
        <v>0.825720328500681</v>
      </c>
      <c r="AC270" s="164">
        <f t="shared" si="88"/>
        <v>0</v>
      </c>
      <c r="AD270" s="164">
        <f>IF(AND($C269=12,$D269=Input!$C$6),0,IF($E270="","",$AC270+AD271/(1+$L270)*$R270))</f>
        <v>25084.515595248104</v>
      </c>
      <c r="AE270" s="152"/>
      <c r="AF270" s="164">
        <f>IF(AND($C269=12,$D269=Input!$C$6),0,IF($E270="","",IF($B270&gt;Input!$C$9,$AC270,0)+AF271/(1+$L270)*$R270))</f>
        <v>25084.515595248104</v>
      </c>
      <c r="AG270" s="164">
        <f>IF(AND($C269=12,$D269=Input!$C$6),0,IF($E270="","",(IF($B270&gt;Input!$C$9,$X270,0)+AG271)/(1+$L270)*$R270))</f>
        <v>12799.256215822974</v>
      </c>
      <c r="AH270" s="160">
        <f t="shared" si="89"/>
        <v>2.0950137211446997</v>
      </c>
      <c r="AI270" s="160">
        <f>IF($E270="","",MIN(Input!$C$61/AH270,1))</f>
        <v>0.64438718771845094</v>
      </c>
      <c r="AJ270" s="152"/>
      <c r="AK270" s="164">
        <f>IF(AND($C269=12,$D269=Input!$C$6),0,IF($E270="","",IF($B270&gt;Input!$C$9,$AC270*AI270,0)+AK271/(1+$L270)*$R270))</f>
        <v>16164.140459701572</v>
      </c>
      <c r="AL270" s="164">
        <f>IF(AND($C269=12,$D269=Input!$C$6),0,IF($E270="","",IF($B270&gt;Input!$C$9,0,$AC270)+AL271/(1+$L270)*$R270))</f>
        <v>0</v>
      </c>
      <c r="AM270" s="160">
        <f t="shared" si="90"/>
        <v>1.1382936520186004</v>
      </c>
      <c r="AN270" s="164">
        <f>IF($E270="","",IF($B270&gt;Input!$C$9,$AI270*$AC270,$AM270*$AC270))</f>
        <v>0</v>
      </c>
      <c r="AO270" s="164">
        <f>IF(AND($C269=12,$D269=Input!$C$6),0,IF($E270="","",$AN270+AO271/(1+$L270)*$R270))</f>
        <v>16164.140459701572</v>
      </c>
      <c r="AP270" s="152"/>
      <c r="AQ270" s="164">
        <f t="shared" si="91"/>
        <v>-3212.9270548238219</v>
      </c>
      <c r="AR270" s="164">
        <f t="shared" si="100"/>
        <v>-3380.0851349146797</v>
      </c>
      <c r="AS270" s="164">
        <f t="shared" si="101"/>
        <v>448.32535885167465</v>
      </c>
      <c r="AT270" s="164">
        <f t="shared" si="92"/>
        <v>448.32535885167465</v>
      </c>
      <c r="AU270" s="152"/>
      <c r="AV270" s="147">
        <f>'Deterministic Reserve'!BC270</f>
        <v>7.0810841425444901E-2</v>
      </c>
      <c r="AW270" s="164">
        <f t="shared" si="93"/>
        <v>448.32535885167465</v>
      </c>
      <c r="AX270" s="164">
        <f t="shared" si="94"/>
        <v>31.746295892651613</v>
      </c>
      <c r="AY270" s="152"/>
    </row>
    <row r="271" spans="1:51" s="150" customFormat="1" x14ac:dyDescent="0.25">
      <c r="A271" s="150">
        <f t="shared" si="102"/>
        <v>267</v>
      </c>
      <c r="B271" s="150">
        <f t="shared" si="103"/>
        <v>23</v>
      </c>
      <c r="C271" s="150">
        <f t="shared" si="104"/>
        <v>3</v>
      </c>
      <c r="D271" s="150">
        <f>IF(E271="","",Input!$C$4+B271-1)</f>
        <v>67</v>
      </c>
      <c r="E271" s="150">
        <f>IF(OR(AND(C270=12,D270=Input!$C$6),E270=""),"",1)</f>
        <v>1</v>
      </c>
      <c r="F271" s="150">
        <f>IF(E271="","",Input!$C$8+B271-1)</f>
        <v>2040</v>
      </c>
      <c r="G271" s="151">
        <f>IF(E271="","",MAX(0,Input!$C$9-B271))</f>
        <v>0</v>
      </c>
      <c r="H271" s="152">
        <f>IF(E271="","",Input!$C$3)</f>
        <v>100000</v>
      </c>
      <c r="I271" s="153">
        <f>IF(E271="","",HLOOKUP($B271,Input!$C$13:$BT$14,2))</f>
        <v>22.956499999999998</v>
      </c>
      <c r="J271" s="154"/>
      <c r="K271" s="155">
        <f>IF($E271="","",Input!$C$57)</f>
        <v>4.4999999999999998E-2</v>
      </c>
      <c r="L271" s="155">
        <f t="shared" si="95"/>
        <v>3.6748094004368514E-3</v>
      </c>
      <c r="M271" s="147">
        <f>IF($E271="","",VLOOKUP(IF($B271&lt;=Input!$C$7,$B271,26),'Mortality Tables'!$A$72:$CA$97,IF($B271&lt;=Input!$C$7+1,Input!$C$4-16,$D271-Input!$C$7-16),0)/1000)</f>
        <v>9.3699999999999999E-3</v>
      </c>
      <c r="N271" s="147">
        <f t="shared" si="84"/>
        <v>7.8420689980196467E-4</v>
      </c>
      <c r="O271" s="157">
        <f>IF($E271="","",IF($C271=12,IF($B271&lt;Input!$C$9,Input!$C$54,IF($B271=Input!$C$9,Input!$C$55,Input!$C$56)),0%))</f>
        <v>0</v>
      </c>
      <c r="P271" s="167">
        <f>IF($E271="","",IF($B271=1,Input!$C$59,IF($B271&lt;6,Input!$C$60,0%)))</f>
        <v>0</v>
      </c>
      <c r="Q271" s="162">
        <f>IF($E271="","",Input!$C$58)</f>
        <v>2.5</v>
      </c>
      <c r="R271" s="156">
        <f t="shared" si="96"/>
        <v>0.99921579310019804</v>
      </c>
      <c r="S271" s="154">
        <f t="shared" si="85"/>
        <v>4.6426253999618083E-2</v>
      </c>
      <c r="T271" s="152"/>
      <c r="U271" s="150">
        <f t="shared" si="97"/>
        <v>0</v>
      </c>
      <c r="V271" s="150">
        <f t="shared" si="98"/>
        <v>0</v>
      </c>
      <c r="W271" s="168">
        <f t="shared" si="99"/>
        <v>0</v>
      </c>
      <c r="X271" s="163">
        <f t="shared" si="86"/>
        <v>78.420689980196471</v>
      </c>
      <c r="Y271" s="152"/>
      <c r="Z271" s="164">
        <f>IF(AND($C270=12,$D270=Input!$C$6),0,IF($E271="","",V271+Z272/(1+L271)*R271))</f>
        <v>30514.51535543516</v>
      </c>
      <c r="AA271" s="164">
        <f>IF(OR($M271=1,AND($C270=12,$D270=Input!$C$6)),0,IF($E271="","",W271+(X271+AA272*$R271)/(1+$L271)))</f>
        <v>12930.52616350035</v>
      </c>
      <c r="AB271" s="160">
        <f t="shared" si="87"/>
        <v>0.825720328500681</v>
      </c>
      <c r="AC271" s="164">
        <f t="shared" si="88"/>
        <v>0</v>
      </c>
      <c r="AD271" s="164">
        <f>IF(AND($C270=12,$D270=Input!$C$6),0,IF($E271="","",$AC271+AD272/(1+$L271)*$R271))</f>
        <v>25196.45564332898</v>
      </c>
      <c r="AE271" s="152"/>
      <c r="AF271" s="164">
        <f>IF(AND($C270=12,$D270=Input!$C$6),0,IF($E271="","",IF($B271&gt;Input!$C$9,$AC271,0)+AF272/(1+$L271)*$R271))</f>
        <v>25196.45564332898</v>
      </c>
      <c r="AG271" s="164">
        <f>IF(AND($C270=12,$D270=Input!$C$6),0,IF($E271="","",(IF($B271&gt;Input!$C$9,$X271,0)+AG272)/(1+$L271)*$R271))</f>
        <v>12777.952409394242</v>
      </c>
      <c r="AH271" s="160">
        <f t="shared" si="89"/>
        <v>2.0950137211446997</v>
      </c>
      <c r="AI271" s="160">
        <f>IF($E271="","",MIN(Input!$C$61/AH271,1))</f>
        <v>0.64438718771845094</v>
      </c>
      <c r="AJ271" s="152"/>
      <c r="AK271" s="164">
        <f>IF(AND($C270=12,$D270=Input!$C$6),0,IF($E271="","",IF($B271&gt;Input!$C$9,$AC271*AI271,0)+AK272/(1+$L271)*$R271))</f>
        <v>16236.273192477474</v>
      </c>
      <c r="AL271" s="164">
        <f>IF(AND($C270=12,$D270=Input!$C$6),0,IF($E271="","",IF($B271&gt;Input!$C$9,0,$AC271)+AL272/(1+$L271)*$R271))</f>
        <v>0</v>
      </c>
      <c r="AM271" s="160">
        <f t="shared" si="90"/>
        <v>1.1382936520186004</v>
      </c>
      <c r="AN271" s="164">
        <f>IF($E271="","",IF($B271&gt;Input!$C$9,$AI271*$AC271,$AM271*$AC271))</f>
        <v>0</v>
      </c>
      <c r="AO271" s="164">
        <f>IF(AND($C270=12,$D270=Input!$C$6),0,IF($E271="","",$AN271+AO272/(1+$L271)*$R271))</f>
        <v>16236.273192477474</v>
      </c>
      <c r="AP271" s="152"/>
      <c r="AQ271" s="164">
        <f t="shared" si="91"/>
        <v>-3305.7470289771245</v>
      </c>
      <c r="AR271" s="164">
        <f t="shared" si="100"/>
        <v>-3380.0851349146797</v>
      </c>
      <c r="AS271" s="164">
        <f t="shared" si="101"/>
        <v>448.32535885167465</v>
      </c>
      <c r="AT271" s="164">
        <f t="shared" si="92"/>
        <v>448.32535885167465</v>
      </c>
      <c r="AU271" s="152"/>
      <c r="AV271" s="147">
        <f>'Deterministic Reserve'!BC271</f>
        <v>7.0673959419404311E-2</v>
      </c>
      <c r="AW271" s="164">
        <f t="shared" si="93"/>
        <v>448.32535885167465</v>
      </c>
      <c r="AX271" s="164">
        <f t="shared" si="94"/>
        <v>31.68492821817313</v>
      </c>
      <c r="AY271" s="152"/>
    </row>
    <row r="272" spans="1:51" s="150" customFormat="1" x14ac:dyDescent="0.25">
      <c r="A272" s="150">
        <f t="shared" si="102"/>
        <v>268</v>
      </c>
      <c r="B272" s="150">
        <f t="shared" si="103"/>
        <v>23</v>
      </c>
      <c r="C272" s="150">
        <f t="shared" si="104"/>
        <v>4</v>
      </c>
      <c r="D272" s="150">
        <f>IF(E272="","",Input!$C$4+B272-1)</f>
        <v>67</v>
      </c>
      <c r="E272" s="150">
        <f>IF(OR(AND(C271=12,D271=Input!$C$6),E271=""),"",1)</f>
        <v>1</v>
      </c>
      <c r="F272" s="150">
        <f>IF(E272="","",Input!$C$8+B272-1)</f>
        <v>2040</v>
      </c>
      <c r="G272" s="151">
        <f>IF(E272="","",MAX(0,Input!$C$9-B272))</f>
        <v>0</v>
      </c>
      <c r="H272" s="152">
        <f>IF(E272="","",Input!$C$3)</f>
        <v>100000</v>
      </c>
      <c r="I272" s="153">
        <f>IF(E272="","",HLOOKUP($B272,Input!$C$13:$BT$14,2))</f>
        <v>22.956499999999998</v>
      </c>
      <c r="J272" s="154"/>
      <c r="K272" s="155">
        <f>IF($E272="","",Input!$C$57)</f>
        <v>4.4999999999999998E-2</v>
      </c>
      <c r="L272" s="155">
        <f t="shared" si="95"/>
        <v>3.6748094004368514E-3</v>
      </c>
      <c r="M272" s="147">
        <f>IF($E272="","",VLOOKUP(IF($B272&lt;=Input!$C$7,$B272,26),'Mortality Tables'!$A$72:$CA$97,IF($B272&lt;=Input!$C$7+1,Input!$C$4-16,$D272-Input!$C$7-16),0)/1000)</f>
        <v>9.3699999999999999E-3</v>
      </c>
      <c r="N272" s="147">
        <f t="shared" si="84"/>
        <v>7.8420689980196467E-4</v>
      </c>
      <c r="O272" s="157">
        <f>IF($E272="","",IF($C272=12,IF($B272&lt;Input!$C$9,Input!$C$54,IF($B272=Input!$C$9,Input!$C$55,Input!$C$56)),0%))</f>
        <v>0</v>
      </c>
      <c r="P272" s="167">
        <f>IF($E272="","",IF($B272=1,Input!$C$59,IF($B272&lt;6,Input!$C$60,0%)))</f>
        <v>0</v>
      </c>
      <c r="Q272" s="162">
        <f>IF($E272="","",Input!$C$58)</f>
        <v>2.5</v>
      </c>
      <c r="R272" s="156">
        <f t="shared" si="96"/>
        <v>0.99921579310019804</v>
      </c>
      <c r="S272" s="154">
        <f t="shared" si="85"/>
        <v>4.6389846210899623E-2</v>
      </c>
      <c r="T272" s="152"/>
      <c r="U272" s="150">
        <f t="shared" si="97"/>
        <v>0</v>
      </c>
      <c r="V272" s="150">
        <f t="shared" si="98"/>
        <v>0</v>
      </c>
      <c r="W272" s="168">
        <f t="shared" si="99"/>
        <v>0</v>
      </c>
      <c r="X272" s="163">
        <f t="shared" si="86"/>
        <v>78.420689980196471</v>
      </c>
      <c r="Y272" s="152"/>
      <c r="Z272" s="164">
        <f>IF(AND($C271=12,$D271=Input!$C$6),0,IF($E272="","",V272+Z273/(1+L272)*R272))</f>
        <v>30650.686863435065</v>
      </c>
      <c r="AA272" s="164">
        <f>IF(OR($M272=1,AND($C271=12,$D271=Input!$C$6)),0,IF($E272="","",W272+(X272+AA273*$R272)/(1+$L272)))</f>
        <v>12909.746604980701</v>
      </c>
      <c r="AB272" s="160">
        <f t="shared" si="87"/>
        <v>0.825720328500681</v>
      </c>
      <c r="AC272" s="164">
        <f t="shared" si="88"/>
        <v>0</v>
      </c>
      <c r="AD272" s="164">
        <f>IF(AND($C271=12,$D271=Input!$C$6),0,IF($E272="","",$AC272+AD273/(1+$L272)*$R272))</f>
        <v>25308.895225647091</v>
      </c>
      <c r="AE272" s="152"/>
      <c r="AF272" s="164">
        <f>IF(AND($C271=12,$D271=Input!$C$6),0,IF($E272="","",IF($B272&gt;Input!$C$9,$AC272,0)+AF273/(1+$L272)*$R272))</f>
        <v>25308.895225647091</v>
      </c>
      <c r="AG272" s="164">
        <f>IF(AND($C271=12,$D271=Input!$C$6),0,IF($E272="","",(IF($B272&gt;Input!$C$9,$X272,0)+AG273)/(1+$L272)*$R272))</f>
        <v>12756.553534391956</v>
      </c>
      <c r="AH272" s="160">
        <f t="shared" si="89"/>
        <v>2.0950137211446997</v>
      </c>
      <c r="AI272" s="160">
        <f>IF($E272="","",MIN(Input!$C$61/AH272,1))</f>
        <v>0.64438718771845094</v>
      </c>
      <c r="AJ272" s="152"/>
      <c r="AK272" s="164">
        <f>IF(AND($C271=12,$D271=Input!$C$6),0,IF($E272="","",IF($B272&gt;Input!$C$9,$AC272*AI272,0)+AK273/(1+$L272)*$R272))</f>
        <v>16308.727818715681</v>
      </c>
      <c r="AL272" s="164">
        <f>IF(AND($C271=12,$D271=Input!$C$6),0,IF($E272="","",IF($B272&gt;Input!$C$9,0,$AC272)+AL273/(1+$L272)*$R272))</f>
        <v>0</v>
      </c>
      <c r="AM272" s="160">
        <f t="shared" si="90"/>
        <v>1.1382936520186004</v>
      </c>
      <c r="AN272" s="164">
        <f>IF($E272="","",IF($B272&gt;Input!$C$9,$AI272*$AC272,$AM272*$AC272))</f>
        <v>0</v>
      </c>
      <c r="AO272" s="164">
        <f>IF(AND($C271=12,$D271=Input!$C$6),0,IF($E272="","",$AN272+AO273/(1+$L272)*$R272))</f>
        <v>16308.727818715681</v>
      </c>
      <c r="AP272" s="152"/>
      <c r="AQ272" s="164">
        <f t="shared" si="91"/>
        <v>-3398.98121373498</v>
      </c>
      <c r="AR272" s="164">
        <f t="shared" si="100"/>
        <v>-3380.0851349146797</v>
      </c>
      <c r="AS272" s="164">
        <f t="shared" si="101"/>
        <v>448.32535885167465</v>
      </c>
      <c r="AT272" s="164">
        <f t="shared" si="92"/>
        <v>448.32535885167465</v>
      </c>
      <c r="AU272" s="152"/>
      <c r="AV272" s="147">
        <f>'Deterministic Reserve'!BC272</f>
        <v>7.0537342015269316E-2</v>
      </c>
      <c r="AW272" s="164">
        <f t="shared" si="93"/>
        <v>448.32535885167465</v>
      </c>
      <c r="AX272" s="164">
        <f t="shared" si="94"/>
        <v>31.623679171438923</v>
      </c>
      <c r="AY272" s="152"/>
    </row>
    <row r="273" spans="1:51" s="150" customFormat="1" x14ac:dyDescent="0.25">
      <c r="A273" s="150">
        <f t="shared" si="102"/>
        <v>269</v>
      </c>
      <c r="B273" s="150">
        <f t="shared" si="103"/>
        <v>23</v>
      </c>
      <c r="C273" s="150">
        <f t="shared" si="104"/>
        <v>5</v>
      </c>
      <c r="D273" s="150">
        <f>IF(E273="","",Input!$C$4+B273-1)</f>
        <v>67</v>
      </c>
      <c r="E273" s="150">
        <f>IF(OR(AND(C272=12,D272=Input!$C$6),E272=""),"",1)</f>
        <v>1</v>
      </c>
      <c r="F273" s="150">
        <f>IF(E273="","",Input!$C$8+B273-1)</f>
        <v>2040</v>
      </c>
      <c r="G273" s="151">
        <f>IF(E273="","",MAX(0,Input!$C$9-B273))</f>
        <v>0</v>
      </c>
      <c r="H273" s="152">
        <f>IF(E273="","",Input!$C$3)</f>
        <v>100000</v>
      </c>
      <c r="I273" s="153">
        <f>IF(E273="","",HLOOKUP($B273,Input!$C$13:$BT$14,2))</f>
        <v>22.956499999999998</v>
      </c>
      <c r="J273" s="154"/>
      <c r="K273" s="155">
        <f>IF($E273="","",Input!$C$57)</f>
        <v>4.4999999999999998E-2</v>
      </c>
      <c r="L273" s="155">
        <f t="shared" si="95"/>
        <v>3.6748094004368514E-3</v>
      </c>
      <c r="M273" s="147">
        <f>IF($E273="","",VLOOKUP(IF($B273&lt;=Input!$C$7,$B273,26),'Mortality Tables'!$A$72:$CA$97,IF($B273&lt;=Input!$C$7+1,Input!$C$4-16,$D273-Input!$C$7-16),0)/1000)</f>
        <v>9.3699999999999999E-3</v>
      </c>
      <c r="N273" s="147">
        <f t="shared" si="84"/>
        <v>7.8420689980196467E-4</v>
      </c>
      <c r="O273" s="157">
        <f>IF($E273="","",IF($C273=12,IF($B273&lt;Input!$C$9,Input!$C$54,IF($B273=Input!$C$9,Input!$C$55,Input!$C$56)),0%))</f>
        <v>0</v>
      </c>
      <c r="P273" s="167">
        <f>IF($E273="","",IF($B273=1,Input!$C$59,IF($B273&lt;6,Input!$C$60,0%)))</f>
        <v>0</v>
      </c>
      <c r="Q273" s="162">
        <f>IF($E273="","",Input!$C$58)</f>
        <v>2.5</v>
      </c>
      <c r="R273" s="156">
        <f t="shared" si="96"/>
        <v>0.99921579310019804</v>
      </c>
      <c r="S273" s="154">
        <f t="shared" si="85"/>
        <v>4.6353466973420285E-2</v>
      </c>
      <c r="T273" s="152"/>
      <c r="U273" s="150">
        <f t="shared" si="97"/>
        <v>0</v>
      </c>
      <c r="V273" s="150">
        <f t="shared" si="98"/>
        <v>0</v>
      </c>
      <c r="W273" s="168">
        <f t="shared" si="99"/>
        <v>0</v>
      </c>
      <c r="X273" s="163">
        <f t="shared" si="86"/>
        <v>78.420689980196471</v>
      </c>
      <c r="Y273" s="152"/>
      <c r="Z273" s="164">
        <f>IF(AND($C272=12,$D272=Input!$C$6),0,IF($E273="","",V273+Z274/(1+L273)*R273))</f>
        <v>30787.466038945822</v>
      </c>
      <c r="AA273" s="164">
        <f>IF(OR($M273=1,AND($C272=12,$D272=Input!$C$6)),0,IF($E273="","",W273+(X273+AA274*$R273)/(1+$L273)))</f>
        <v>12888.874317352092</v>
      </c>
      <c r="AB273" s="160">
        <f t="shared" si="87"/>
        <v>0.825720328500681</v>
      </c>
      <c r="AC273" s="164">
        <f t="shared" si="88"/>
        <v>0</v>
      </c>
      <c r="AD273" s="164">
        <f>IF(AND($C272=12,$D272=Input!$C$6),0,IF($E273="","",$AC273+AD274/(1+$L273)*$R273))</f>
        <v>25421.836571381886</v>
      </c>
      <c r="AE273" s="152"/>
      <c r="AF273" s="164">
        <f>IF(AND($C272=12,$D272=Input!$C$6),0,IF($E273="","",IF($B273&gt;Input!$C$9,$AC273,0)+AF274/(1+$L273)*$R273))</f>
        <v>25421.836571381886</v>
      </c>
      <c r="AG273" s="164">
        <f>IF(AND($C272=12,$D272=Input!$C$6),0,IF($E273="","",(IF($B273&gt;Input!$C$9,$X273,0)+AG274)/(1+$L273)*$R273))</f>
        <v>12735.059166571102</v>
      </c>
      <c r="AH273" s="160">
        <f t="shared" si="89"/>
        <v>2.0950137211446997</v>
      </c>
      <c r="AI273" s="160">
        <f>IF($E273="","",MIN(Input!$C$61/AH273,1))</f>
        <v>0.64438718771845094</v>
      </c>
      <c r="AJ273" s="152"/>
      <c r="AK273" s="164">
        <f>IF(AND($C272=12,$D272=Input!$C$6),0,IF($E273="","",IF($B273&gt;Input!$C$9,$AC273*AI273,0)+AK274/(1+$L273)*$R273))</f>
        <v>16381.505774870862</v>
      </c>
      <c r="AL273" s="164">
        <f>IF(AND($C272=12,$D272=Input!$C$6),0,IF($E273="","",IF($B273&gt;Input!$C$9,0,$AC273)+AL274/(1+$L273)*$R273))</f>
        <v>0</v>
      </c>
      <c r="AM273" s="160">
        <f t="shared" si="90"/>
        <v>1.1382936520186004</v>
      </c>
      <c r="AN273" s="164">
        <f>IF($E273="","",IF($B273&gt;Input!$C$9,$AI273*$AC273,$AM273*$AC273))</f>
        <v>0</v>
      </c>
      <c r="AO273" s="164">
        <f>IF(AND($C272=12,$D272=Input!$C$6),0,IF($E273="","",$AN273+AO274/(1+$L273)*$R273))</f>
        <v>16381.505774870862</v>
      </c>
      <c r="AP273" s="152"/>
      <c r="AQ273" s="164">
        <f t="shared" si="91"/>
        <v>-3492.6314575187698</v>
      </c>
      <c r="AR273" s="164">
        <f t="shared" si="100"/>
        <v>-3380.0851349146797</v>
      </c>
      <c r="AS273" s="164">
        <f t="shared" si="101"/>
        <v>448.32535885167465</v>
      </c>
      <c r="AT273" s="164">
        <f t="shared" si="92"/>
        <v>448.32535885167465</v>
      </c>
      <c r="AU273" s="152"/>
      <c r="AV273" s="147">
        <f>'Deterministic Reserve'!BC273</f>
        <v>7.0400988701547054E-2</v>
      </c>
      <c r="AW273" s="164">
        <f t="shared" si="93"/>
        <v>448.32535885167465</v>
      </c>
      <c r="AX273" s="164">
        <f t="shared" si="94"/>
        <v>31.562548523133774</v>
      </c>
      <c r="AY273" s="152"/>
    </row>
    <row r="274" spans="1:51" s="150" customFormat="1" x14ac:dyDescent="0.25">
      <c r="A274" s="150">
        <f t="shared" si="102"/>
        <v>270</v>
      </c>
      <c r="B274" s="150">
        <f t="shared" si="103"/>
        <v>23</v>
      </c>
      <c r="C274" s="150">
        <f t="shared" si="104"/>
        <v>6</v>
      </c>
      <c r="D274" s="150">
        <f>IF(E274="","",Input!$C$4+B274-1)</f>
        <v>67</v>
      </c>
      <c r="E274" s="150">
        <f>IF(OR(AND(C273=12,D273=Input!$C$6),E273=""),"",1)</f>
        <v>1</v>
      </c>
      <c r="F274" s="150">
        <f>IF(E274="","",Input!$C$8+B274-1)</f>
        <v>2040</v>
      </c>
      <c r="G274" s="151">
        <f>IF(E274="","",MAX(0,Input!$C$9-B274))</f>
        <v>0</v>
      </c>
      <c r="H274" s="152">
        <f>IF(E274="","",Input!$C$3)</f>
        <v>100000</v>
      </c>
      <c r="I274" s="153">
        <f>IF(E274="","",HLOOKUP($B274,Input!$C$13:$BT$14,2))</f>
        <v>22.956499999999998</v>
      </c>
      <c r="J274" s="154"/>
      <c r="K274" s="155">
        <f>IF($E274="","",Input!$C$57)</f>
        <v>4.4999999999999998E-2</v>
      </c>
      <c r="L274" s="155">
        <f t="shared" si="95"/>
        <v>3.6748094004368514E-3</v>
      </c>
      <c r="M274" s="147">
        <f>IF($E274="","",VLOOKUP(IF($B274&lt;=Input!$C$7,$B274,26),'Mortality Tables'!$A$72:$CA$97,IF($B274&lt;=Input!$C$7+1,Input!$C$4-16,$D274-Input!$C$7-16),0)/1000)</f>
        <v>9.3699999999999999E-3</v>
      </c>
      <c r="N274" s="147">
        <f t="shared" si="84"/>
        <v>7.8420689980196467E-4</v>
      </c>
      <c r="O274" s="157">
        <f>IF($E274="","",IF($C274=12,IF($B274&lt;Input!$C$9,Input!$C$54,IF($B274=Input!$C$9,Input!$C$55,Input!$C$56)),0%))</f>
        <v>0</v>
      </c>
      <c r="P274" s="167">
        <f>IF($E274="","",IF($B274=1,Input!$C$59,IF($B274&lt;6,Input!$C$60,0%)))</f>
        <v>0</v>
      </c>
      <c r="Q274" s="162">
        <f>IF($E274="","",Input!$C$58)</f>
        <v>2.5</v>
      </c>
      <c r="R274" s="156">
        <f t="shared" si="96"/>
        <v>0.99921579310019804</v>
      </c>
      <c r="S274" s="154">
        <f t="shared" si="85"/>
        <v>4.6317116264789987E-2</v>
      </c>
      <c r="T274" s="152"/>
      <c r="U274" s="150">
        <f t="shared" si="97"/>
        <v>0</v>
      </c>
      <c r="V274" s="150">
        <f t="shared" si="98"/>
        <v>0</v>
      </c>
      <c r="W274" s="168">
        <f t="shared" si="99"/>
        <v>0</v>
      </c>
      <c r="X274" s="163">
        <f t="shared" si="86"/>
        <v>78.420689980196471</v>
      </c>
      <c r="Y274" s="152"/>
      <c r="Z274" s="164">
        <f>IF(AND($C273=12,$D273=Input!$C$6),0,IF($E274="","",V274+Z275/(1+L274)*R274))</f>
        <v>30924.855593693326</v>
      </c>
      <c r="AA274" s="164">
        <f>IF(OR($M274=1,AND($C273=12,$D273=Input!$C$6)),0,IF($E274="","",W274+(X274+AA275*$R274)/(1+$L274)))</f>
        <v>12867.908886809411</v>
      </c>
      <c r="AB274" s="160">
        <f t="shared" si="87"/>
        <v>0.825720328500681</v>
      </c>
      <c r="AC274" s="164">
        <f t="shared" si="88"/>
        <v>0</v>
      </c>
      <c r="AD274" s="164">
        <f>IF(AND($C273=12,$D273=Input!$C$6),0,IF($E274="","",$AC274+AD275/(1+$L274)*$R274))</f>
        <v>25535.281919660556</v>
      </c>
      <c r="AE274" s="152"/>
      <c r="AF274" s="164">
        <f>IF(AND($C273=12,$D273=Input!$C$6),0,IF($E274="","",IF($B274&gt;Input!$C$9,$AC274,0)+AF275/(1+$L274)*$R274))</f>
        <v>25535.281919660556</v>
      </c>
      <c r="AG274" s="164">
        <f>IF(AND($C273=12,$D273=Input!$C$6),0,IF($E274="","",(IF($B274&gt;Input!$C$9,$X274,0)+AG275)/(1+$L274)*$R274))</f>
        <v>12713.468879793461</v>
      </c>
      <c r="AH274" s="160">
        <f t="shared" si="89"/>
        <v>2.0950137211446997</v>
      </c>
      <c r="AI274" s="160">
        <f>IF($E274="","",MIN(Input!$C$61/AH274,1))</f>
        <v>0.64438718771845094</v>
      </c>
      <c r="AJ274" s="152"/>
      <c r="AK274" s="164">
        <f>IF(AND($C273=12,$D273=Input!$C$6),0,IF($E274="","",IF($B274&gt;Input!$C$9,$AC274*AI274,0)+AK275/(1+$L274)*$R274))</f>
        <v>16454.608503807893</v>
      </c>
      <c r="AL274" s="164">
        <f>IF(AND($C273=12,$D273=Input!$C$6),0,IF($E274="","",IF($B274&gt;Input!$C$9,0,$AC274)+AL275/(1+$L274)*$R274))</f>
        <v>0</v>
      </c>
      <c r="AM274" s="160">
        <f t="shared" si="90"/>
        <v>1.1382936520186004</v>
      </c>
      <c r="AN274" s="164">
        <f>IF($E274="","",IF($B274&gt;Input!$C$9,$AI274*$AC274,$AM274*$AC274))</f>
        <v>0</v>
      </c>
      <c r="AO274" s="164">
        <f>IF(AND($C273=12,$D273=Input!$C$6),0,IF($E274="","",$AN274+AO275/(1+$L274)*$R274))</f>
        <v>16454.608503807893</v>
      </c>
      <c r="AP274" s="152"/>
      <c r="AQ274" s="164">
        <f t="shared" si="91"/>
        <v>-3586.6996169984814</v>
      </c>
      <c r="AR274" s="164">
        <f t="shared" si="100"/>
        <v>-3380.0851349146797</v>
      </c>
      <c r="AS274" s="164">
        <f t="shared" si="101"/>
        <v>448.32535885167465</v>
      </c>
      <c r="AT274" s="164">
        <f t="shared" si="92"/>
        <v>448.32535885167465</v>
      </c>
      <c r="AU274" s="152"/>
      <c r="AV274" s="147">
        <f>'Deterministic Reserve'!BC274</f>
        <v>7.0264898967733413E-2</v>
      </c>
      <c r="AW274" s="164">
        <f t="shared" si="93"/>
        <v>448.32535885167465</v>
      </c>
      <c r="AX274" s="164">
        <f t="shared" si="94"/>
        <v>31.501536044385745</v>
      </c>
      <c r="AY274" s="152"/>
    </row>
    <row r="275" spans="1:51" s="150" customFormat="1" x14ac:dyDescent="0.25">
      <c r="A275" s="150">
        <f t="shared" si="102"/>
        <v>271</v>
      </c>
      <c r="B275" s="150">
        <f t="shared" si="103"/>
        <v>23</v>
      </c>
      <c r="C275" s="150">
        <f t="shared" si="104"/>
        <v>7</v>
      </c>
      <c r="D275" s="150">
        <f>IF(E275="","",Input!$C$4+B275-1)</f>
        <v>67</v>
      </c>
      <c r="E275" s="150">
        <f>IF(OR(AND(C274=12,D274=Input!$C$6),E274=""),"",1)</f>
        <v>1</v>
      </c>
      <c r="F275" s="150">
        <f>IF(E275="","",Input!$C$8+B275-1)</f>
        <v>2040</v>
      </c>
      <c r="G275" s="151">
        <f>IF(E275="","",MAX(0,Input!$C$9-B275))</f>
        <v>0</v>
      </c>
      <c r="H275" s="152">
        <f>IF(E275="","",Input!$C$3)</f>
        <v>100000</v>
      </c>
      <c r="I275" s="153">
        <f>IF(E275="","",HLOOKUP($B275,Input!$C$13:$BT$14,2))</f>
        <v>22.956499999999998</v>
      </c>
      <c r="J275" s="154"/>
      <c r="K275" s="155">
        <f>IF($E275="","",Input!$C$57)</f>
        <v>4.4999999999999998E-2</v>
      </c>
      <c r="L275" s="155">
        <f t="shared" si="95"/>
        <v>3.6748094004368514E-3</v>
      </c>
      <c r="M275" s="147">
        <f>IF($E275="","",VLOOKUP(IF($B275&lt;=Input!$C$7,$B275,26),'Mortality Tables'!$A$72:$CA$97,IF($B275&lt;=Input!$C$7+1,Input!$C$4-16,$D275-Input!$C$7-16),0)/1000)</f>
        <v>9.3699999999999999E-3</v>
      </c>
      <c r="N275" s="147">
        <f t="shared" si="84"/>
        <v>7.8420689980196467E-4</v>
      </c>
      <c r="O275" s="157">
        <f>IF($E275="","",IF($C275=12,IF($B275&lt;Input!$C$9,Input!$C$54,IF($B275=Input!$C$9,Input!$C$55,Input!$C$56)),0%))</f>
        <v>0</v>
      </c>
      <c r="P275" s="167">
        <f>IF($E275="","",IF($B275=1,Input!$C$59,IF($B275&lt;6,Input!$C$60,0%)))</f>
        <v>0</v>
      </c>
      <c r="Q275" s="162">
        <f>IF($E275="","",Input!$C$58)</f>
        <v>2.5</v>
      </c>
      <c r="R275" s="156">
        <f t="shared" si="96"/>
        <v>0.99921579310019804</v>
      </c>
      <c r="S275" s="154">
        <f t="shared" si="85"/>
        <v>4.6280794062636209E-2</v>
      </c>
      <c r="T275" s="152"/>
      <c r="U275" s="150">
        <f t="shared" si="97"/>
        <v>0</v>
      </c>
      <c r="V275" s="150">
        <f t="shared" si="98"/>
        <v>0</v>
      </c>
      <c r="W275" s="168">
        <f t="shared" si="99"/>
        <v>0</v>
      </c>
      <c r="X275" s="163">
        <f t="shared" si="86"/>
        <v>78.420689980196471</v>
      </c>
      <c r="Y275" s="152"/>
      <c r="Z275" s="164">
        <f>IF(AND($C274=12,$D274=Input!$C$6),0,IF($E275="","",V275+Z276/(1+L275)*R275))</f>
        <v>31062.858251504585</v>
      </c>
      <c r="AA275" s="164">
        <f>IF(OR($M275=1,AND($C274=12,$D274=Input!$C$6)),0,IF($E275="","",W275+(X275+AA276*$R275)/(1+$L275)))</f>
        <v>12846.849897700926</v>
      </c>
      <c r="AB275" s="160">
        <f t="shared" si="87"/>
        <v>0.825720328500681</v>
      </c>
      <c r="AC275" s="164">
        <f t="shared" si="88"/>
        <v>0</v>
      </c>
      <c r="AD275" s="164">
        <f>IF(AND($C274=12,$D274=Input!$C$6),0,IF($E275="","",$AC275+AD276/(1+$L275)*$R275))</f>
        <v>25649.233519602432</v>
      </c>
      <c r="AE275" s="152"/>
      <c r="AF275" s="164">
        <f>IF(AND($C274=12,$D274=Input!$C$6),0,IF($E275="","",IF($B275&gt;Input!$C$9,$AC275,0)+AF276/(1+$L275)*$R275))</f>
        <v>25649.233519602432</v>
      </c>
      <c r="AG275" s="164">
        <f>IF(AND($C274=12,$D274=Input!$C$6),0,IF($E275="","",(IF($B275&gt;Input!$C$9,$X275,0)+AG276)/(1+$L275)*$R275))</f>
        <v>12691.782246019175</v>
      </c>
      <c r="AH275" s="160">
        <f t="shared" si="89"/>
        <v>2.0950137211446997</v>
      </c>
      <c r="AI275" s="160">
        <f>IF($E275="","",MIN(Input!$C$61/AH275,1))</f>
        <v>0.64438718771845094</v>
      </c>
      <c r="AJ275" s="152"/>
      <c r="AK275" s="164">
        <f>IF(AND($C274=12,$D274=Input!$C$6),0,IF($E275="","",IF($B275&gt;Input!$C$9,$AC275*AI275,0)+AK276/(1+$L275)*$R275))</f>
        <v>16528.037454830457</v>
      </c>
      <c r="AL275" s="164">
        <f>IF(AND($C274=12,$D274=Input!$C$6),0,IF($E275="","",IF($B275&gt;Input!$C$9,0,$AC275)+AL276/(1+$L275)*$R275))</f>
        <v>0</v>
      </c>
      <c r="AM275" s="160">
        <f t="shared" si="90"/>
        <v>1.1382936520186004</v>
      </c>
      <c r="AN275" s="164">
        <f>IF($E275="","",IF($B275&gt;Input!$C$9,$AI275*$AC275,$AM275*$AC275))</f>
        <v>0</v>
      </c>
      <c r="AO275" s="164">
        <f>IF(AND($C274=12,$D274=Input!$C$6),0,IF($E275="","",$AN275+AO276/(1+$L275)*$R275))</f>
        <v>16528.037454830457</v>
      </c>
      <c r="AP275" s="152"/>
      <c r="AQ275" s="164">
        <f t="shared" si="91"/>
        <v>-3681.1875571295313</v>
      </c>
      <c r="AR275" s="164">
        <f t="shared" si="100"/>
        <v>-3380.0851349146797</v>
      </c>
      <c r="AS275" s="164">
        <f t="shared" si="101"/>
        <v>448.32535885167465</v>
      </c>
      <c r="AT275" s="164">
        <f t="shared" si="92"/>
        <v>448.32535885167465</v>
      </c>
      <c r="AU275" s="152"/>
      <c r="AV275" s="147">
        <f>'Deterministic Reserve'!BC275</f>
        <v>7.0129072304311132E-2</v>
      </c>
      <c r="AW275" s="164">
        <f t="shared" si="93"/>
        <v>448.32535885167465</v>
      </c>
      <c r="AX275" s="164">
        <f t="shared" si="94"/>
        <v>31.440641506765328</v>
      </c>
      <c r="AY275" s="152"/>
    </row>
    <row r="276" spans="1:51" s="150" customFormat="1" x14ac:dyDescent="0.25">
      <c r="A276" s="150">
        <f t="shared" si="102"/>
        <v>272</v>
      </c>
      <c r="B276" s="150">
        <f t="shared" si="103"/>
        <v>23</v>
      </c>
      <c r="C276" s="150">
        <f t="shared" si="104"/>
        <v>8</v>
      </c>
      <c r="D276" s="150">
        <f>IF(E276="","",Input!$C$4+B276-1)</f>
        <v>67</v>
      </c>
      <c r="E276" s="150">
        <f>IF(OR(AND(C275=12,D275=Input!$C$6),E275=""),"",1)</f>
        <v>1</v>
      </c>
      <c r="F276" s="150">
        <f>IF(E276="","",Input!$C$8+B276-1)</f>
        <v>2040</v>
      </c>
      <c r="G276" s="151">
        <f>IF(E276="","",MAX(0,Input!$C$9-B276))</f>
        <v>0</v>
      </c>
      <c r="H276" s="152">
        <f>IF(E276="","",Input!$C$3)</f>
        <v>100000</v>
      </c>
      <c r="I276" s="153">
        <f>IF(E276="","",HLOOKUP($B276,Input!$C$13:$BT$14,2))</f>
        <v>22.956499999999998</v>
      </c>
      <c r="J276" s="154"/>
      <c r="K276" s="155">
        <f>IF($E276="","",Input!$C$57)</f>
        <v>4.4999999999999998E-2</v>
      </c>
      <c r="L276" s="155">
        <f t="shared" si="95"/>
        <v>3.6748094004368514E-3</v>
      </c>
      <c r="M276" s="147">
        <f>IF($E276="","",VLOOKUP(IF($B276&lt;=Input!$C$7,$B276,26),'Mortality Tables'!$A$72:$CA$97,IF($B276&lt;=Input!$C$7+1,Input!$C$4-16,$D276-Input!$C$7-16),0)/1000)</f>
        <v>9.3699999999999999E-3</v>
      </c>
      <c r="N276" s="147">
        <f t="shared" si="84"/>
        <v>7.8420689980196467E-4</v>
      </c>
      <c r="O276" s="157">
        <f>IF($E276="","",IF($C276=12,IF($B276&lt;Input!$C$9,Input!$C$54,IF($B276=Input!$C$9,Input!$C$55,Input!$C$56)),0%))</f>
        <v>0</v>
      </c>
      <c r="P276" s="167">
        <f>IF($E276="","",IF($B276=1,Input!$C$59,IF($B276&lt;6,Input!$C$60,0%)))</f>
        <v>0</v>
      </c>
      <c r="Q276" s="162">
        <f>IF($E276="","",Input!$C$58)</f>
        <v>2.5</v>
      </c>
      <c r="R276" s="156">
        <f t="shared" si="96"/>
        <v>0.99921579310019804</v>
      </c>
      <c r="S276" s="154">
        <f t="shared" si="85"/>
        <v>4.6244500344603978E-2</v>
      </c>
      <c r="T276" s="152"/>
      <c r="U276" s="150">
        <f t="shared" si="97"/>
        <v>0</v>
      </c>
      <c r="V276" s="150">
        <f t="shared" si="98"/>
        <v>0</v>
      </c>
      <c r="W276" s="168">
        <f t="shared" si="99"/>
        <v>0</v>
      </c>
      <c r="X276" s="163">
        <f t="shared" si="86"/>
        <v>78.420689980196471</v>
      </c>
      <c r="Y276" s="152"/>
      <c r="Z276" s="164">
        <f>IF(AND($C275=12,$D275=Input!$C$6),0,IF($E276="","",V276+Z277/(1+L276)*R276))</f>
        <v>31201.476748361729</v>
      </c>
      <c r="AA276" s="164">
        <f>IF(OR($M276=1,AND($C275=12,$D275=Input!$C$6)),0,IF($E276="","",W276+(X276+AA277*$R276)/(1+$L276)))</f>
        <v>12825.696932520053</v>
      </c>
      <c r="AB276" s="160">
        <f t="shared" si="87"/>
        <v>0.825720328500681</v>
      </c>
      <c r="AC276" s="164">
        <f t="shared" si="88"/>
        <v>0</v>
      </c>
      <c r="AD276" s="164">
        <f>IF(AND($C275=12,$D275=Input!$C$6),0,IF($E276="","",$AC276+AD277/(1+$L276)*$R276))</f>
        <v>25763.693630363581</v>
      </c>
      <c r="AE276" s="152"/>
      <c r="AF276" s="164">
        <f>IF(AND($C275=12,$D275=Input!$C$6),0,IF($E276="","",IF($B276&gt;Input!$C$9,$AC276,0)+AF277/(1+$L276)*$R276))</f>
        <v>25763.693630363581</v>
      </c>
      <c r="AG276" s="164">
        <f>IF(AND($C275=12,$D275=Input!$C$6),0,IF($E276="","",(IF($B276&gt;Input!$C$9,$X276,0)+AG277)/(1+$L276)*$R276))</f>
        <v>12669.99883529824</v>
      </c>
      <c r="AH276" s="160">
        <f t="shared" si="89"/>
        <v>2.0950137211446997</v>
      </c>
      <c r="AI276" s="160">
        <f>IF($E276="","",MIN(Input!$C$61/AH276,1))</f>
        <v>0.64438718771845094</v>
      </c>
      <c r="AJ276" s="152"/>
      <c r="AK276" s="164">
        <f>IF(AND($C275=12,$D275=Input!$C$6),0,IF($E276="","",IF($B276&gt;Input!$C$9,$AC276*AI276,0)+AK277/(1+$L276)*$R276))</f>
        <v>16601.794083709778</v>
      </c>
      <c r="AL276" s="164">
        <f>IF(AND($C275=12,$D275=Input!$C$6),0,IF($E276="","",IF($B276&gt;Input!$C$9,0,$AC276)+AL277/(1+$L276)*$R276))</f>
        <v>0</v>
      </c>
      <c r="AM276" s="160">
        <f t="shared" si="90"/>
        <v>1.1382936520186004</v>
      </c>
      <c r="AN276" s="164">
        <f>IF($E276="","",IF($B276&gt;Input!$C$9,$AI276*$AC276,$AM276*$AC276))</f>
        <v>0</v>
      </c>
      <c r="AO276" s="164">
        <f>IF(AND($C275=12,$D275=Input!$C$6),0,IF($E276="","",$AN276+AO277/(1+$L276)*$R276))</f>
        <v>16601.794083709778</v>
      </c>
      <c r="AP276" s="152"/>
      <c r="AQ276" s="164">
        <f t="shared" si="91"/>
        <v>-3776.0971511897242</v>
      </c>
      <c r="AR276" s="164">
        <f t="shared" si="100"/>
        <v>-3380.0851349146797</v>
      </c>
      <c r="AS276" s="164">
        <f t="shared" si="101"/>
        <v>448.32535885167465</v>
      </c>
      <c r="AT276" s="164">
        <f t="shared" si="92"/>
        <v>448.32535885167465</v>
      </c>
      <c r="AU276" s="152"/>
      <c r="AV276" s="147">
        <f>'Deterministic Reserve'!BC276</f>
        <v>6.9993508202747856E-2</v>
      </c>
      <c r="AW276" s="164">
        <f t="shared" si="93"/>
        <v>448.32535885167465</v>
      </c>
      <c r="AX276" s="164">
        <f t="shared" si="94"/>
        <v>31.379864682284566</v>
      </c>
      <c r="AY276" s="152"/>
    </row>
    <row r="277" spans="1:51" s="150" customFormat="1" x14ac:dyDescent="0.25">
      <c r="A277" s="150">
        <f t="shared" si="102"/>
        <v>273</v>
      </c>
      <c r="B277" s="150">
        <f t="shared" si="103"/>
        <v>23</v>
      </c>
      <c r="C277" s="150">
        <f t="shared" si="104"/>
        <v>9</v>
      </c>
      <c r="D277" s="150">
        <f>IF(E277="","",Input!$C$4+B277-1)</f>
        <v>67</v>
      </c>
      <c r="E277" s="150">
        <f>IF(OR(AND(C276=12,D276=Input!$C$6),E276=""),"",1)</f>
        <v>1</v>
      </c>
      <c r="F277" s="150">
        <f>IF(E277="","",Input!$C$8+B277-1)</f>
        <v>2040</v>
      </c>
      <c r="G277" s="151">
        <f>IF(E277="","",MAX(0,Input!$C$9-B277))</f>
        <v>0</v>
      </c>
      <c r="H277" s="152">
        <f>IF(E277="","",Input!$C$3)</f>
        <v>100000</v>
      </c>
      <c r="I277" s="153">
        <f>IF(E277="","",HLOOKUP($B277,Input!$C$13:$BT$14,2))</f>
        <v>22.956499999999998</v>
      </c>
      <c r="J277" s="154"/>
      <c r="K277" s="155">
        <f>IF($E277="","",Input!$C$57)</f>
        <v>4.4999999999999998E-2</v>
      </c>
      <c r="L277" s="155">
        <f t="shared" si="95"/>
        <v>3.6748094004368514E-3</v>
      </c>
      <c r="M277" s="147">
        <f>IF($E277="","",VLOOKUP(IF($B277&lt;=Input!$C$7,$B277,26),'Mortality Tables'!$A$72:$CA$97,IF($B277&lt;=Input!$C$7+1,Input!$C$4-16,$D277-Input!$C$7-16),0)/1000)</f>
        <v>9.3699999999999999E-3</v>
      </c>
      <c r="N277" s="147">
        <f t="shared" si="84"/>
        <v>7.8420689980196467E-4</v>
      </c>
      <c r="O277" s="157">
        <f>IF($E277="","",IF($C277=12,IF($B277&lt;Input!$C$9,Input!$C$54,IF($B277=Input!$C$9,Input!$C$55,Input!$C$56)),0%))</f>
        <v>0</v>
      </c>
      <c r="P277" s="167">
        <f>IF($E277="","",IF($B277=1,Input!$C$59,IF($B277&lt;6,Input!$C$60,0%)))</f>
        <v>0</v>
      </c>
      <c r="Q277" s="162">
        <f>IF($E277="","",Input!$C$58)</f>
        <v>2.5</v>
      </c>
      <c r="R277" s="156">
        <f t="shared" si="96"/>
        <v>0.99921579310019804</v>
      </c>
      <c r="S277" s="154">
        <f t="shared" si="85"/>
        <v>4.6208235088355844E-2</v>
      </c>
      <c r="T277" s="152"/>
      <c r="U277" s="150">
        <f t="shared" si="97"/>
        <v>0</v>
      </c>
      <c r="V277" s="150">
        <f t="shared" si="98"/>
        <v>0</v>
      </c>
      <c r="W277" s="168">
        <f t="shared" si="99"/>
        <v>0</v>
      </c>
      <c r="X277" s="163">
        <f t="shared" si="86"/>
        <v>78.420689980196471</v>
      </c>
      <c r="Y277" s="152"/>
      <c r="Z277" s="164">
        <f>IF(AND($C276=12,$D276=Input!$C$6),0,IF($E277="","",V277+Z278/(1+L277)*R277))</f>
        <v>31340.713832456251</v>
      </c>
      <c r="AA277" s="164">
        <f>IF(OR($M277=1,AND($C276=12,$D276=Input!$C$6)),0,IF($E277="","",W277+(X277+AA278*$R277)/(1+$L277)))</f>
        <v>12804.449571897085</v>
      </c>
      <c r="AB277" s="160">
        <f t="shared" si="87"/>
        <v>0.825720328500681</v>
      </c>
      <c r="AC277" s="164">
        <f t="shared" si="88"/>
        <v>0</v>
      </c>
      <c r="AD277" s="164">
        <f>IF(AND($C276=12,$D276=Input!$C$6),0,IF($E277="","",$AC277+AD278/(1+$L277)*$R277))</f>
        <v>25878.664521181588</v>
      </c>
      <c r="AE277" s="152"/>
      <c r="AF277" s="164">
        <f>IF(AND($C276=12,$D276=Input!$C$6),0,IF($E277="","",IF($B277&gt;Input!$C$9,$AC277,0)+AF278/(1+$L277)*$R277))</f>
        <v>25878.664521181588</v>
      </c>
      <c r="AG277" s="164">
        <f>IF(AND($C276=12,$D276=Input!$C$6),0,IF($E277="","",(IF($B277&gt;Input!$C$9,$X277,0)+AG278)/(1+$L277)*$R277))</f>
        <v>12648.118215762004</v>
      </c>
      <c r="AH277" s="160">
        <f t="shared" si="89"/>
        <v>2.0950137211446997</v>
      </c>
      <c r="AI277" s="160">
        <f>IF($E277="","",MIN(Input!$C$61/AH277,1))</f>
        <v>0.64438718771845094</v>
      </c>
      <c r="AJ277" s="152"/>
      <c r="AK277" s="164">
        <f>IF(AND($C276=12,$D276=Input!$C$6),0,IF($E277="","",IF($B277&gt;Input!$C$9,$AC277*AI277,0)+AK278/(1+$L277)*$R277))</f>
        <v>16675.879852713479</v>
      </c>
      <c r="AL277" s="164">
        <f>IF(AND($C276=12,$D276=Input!$C$6),0,IF($E277="","",IF($B277&gt;Input!$C$9,0,$AC277)+AL278/(1+$L277)*$R277))</f>
        <v>0</v>
      </c>
      <c r="AM277" s="160">
        <f t="shared" si="90"/>
        <v>1.1382936520186004</v>
      </c>
      <c r="AN277" s="164">
        <f>IF($E277="","",IF($B277&gt;Input!$C$9,$AI277*$AC277,$AM277*$AC277))</f>
        <v>0</v>
      </c>
      <c r="AO277" s="164">
        <f>IF(AND($C276=12,$D276=Input!$C$6),0,IF($E277="","",$AN277+AO278/(1+$L277)*$R277))</f>
        <v>16675.879852713479</v>
      </c>
      <c r="AP277" s="152"/>
      <c r="AQ277" s="164">
        <f t="shared" si="91"/>
        <v>-3871.4302808163939</v>
      </c>
      <c r="AR277" s="164">
        <f t="shared" si="100"/>
        <v>-3380.0851349146797</v>
      </c>
      <c r="AS277" s="164">
        <f t="shared" si="101"/>
        <v>448.32535885167465</v>
      </c>
      <c r="AT277" s="164">
        <f t="shared" si="92"/>
        <v>448.32535885167465</v>
      </c>
      <c r="AU277" s="152"/>
      <c r="AV277" s="147">
        <f>'Deterministic Reserve'!BC277</f>
        <v>6.985820615549429E-2</v>
      </c>
      <c r="AW277" s="164">
        <f t="shared" si="93"/>
        <v>448.32535885167465</v>
      </c>
      <c r="AX277" s="164">
        <f t="shared" si="94"/>
        <v>31.319205343396245</v>
      </c>
      <c r="AY277" s="152"/>
    </row>
    <row r="278" spans="1:51" s="150" customFormat="1" x14ac:dyDescent="0.25">
      <c r="A278" s="150">
        <f t="shared" si="102"/>
        <v>274</v>
      </c>
      <c r="B278" s="150">
        <f t="shared" si="103"/>
        <v>23</v>
      </c>
      <c r="C278" s="150">
        <f t="shared" si="104"/>
        <v>10</v>
      </c>
      <c r="D278" s="150">
        <f>IF(E278="","",Input!$C$4+B278-1)</f>
        <v>67</v>
      </c>
      <c r="E278" s="150">
        <f>IF(OR(AND(C277=12,D277=Input!$C$6),E277=""),"",1)</f>
        <v>1</v>
      </c>
      <c r="F278" s="150">
        <f>IF(E278="","",Input!$C$8+B278-1)</f>
        <v>2040</v>
      </c>
      <c r="G278" s="151">
        <f>IF(E278="","",MAX(0,Input!$C$9-B278))</f>
        <v>0</v>
      </c>
      <c r="H278" s="152">
        <f>IF(E278="","",Input!$C$3)</f>
        <v>100000</v>
      </c>
      <c r="I278" s="153">
        <f>IF(E278="","",HLOOKUP($B278,Input!$C$13:$BT$14,2))</f>
        <v>22.956499999999998</v>
      </c>
      <c r="J278" s="154"/>
      <c r="K278" s="155">
        <f>IF($E278="","",Input!$C$57)</f>
        <v>4.4999999999999998E-2</v>
      </c>
      <c r="L278" s="155">
        <f t="shared" si="95"/>
        <v>3.6748094004368514E-3</v>
      </c>
      <c r="M278" s="147">
        <f>IF($E278="","",VLOOKUP(IF($B278&lt;=Input!$C$7,$B278,26),'Mortality Tables'!$A$72:$CA$97,IF($B278&lt;=Input!$C$7+1,Input!$C$4-16,$D278-Input!$C$7-16),0)/1000)</f>
        <v>9.3699999999999999E-3</v>
      </c>
      <c r="N278" s="147">
        <f t="shared" si="84"/>
        <v>7.8420689980196467E-4</v>
      </c>
      <c r="O278" s="157">
        <f>IF($E278="","",IF($C278=12,IF($B278&lt;Input!$C$9,Input!$C$54,IF($B278=Input!$C$9,Input!$C$55,Input!$C$56)),0%))</f>
        <v>0</v>
      </c>
      <c r="P278" s="167">
        <f>IF($E278="","",IF($B278=1,Input!$C$59,IF($B278&lt;6,Input!$C$60,0%)))</f>
        <v>0</v>
      </c>
      <c r="Q278" s="162">
        <f>IF($E278="","",Input!$C$58)</f>
        <v>2.5</v>
      </c>
      <c r="R278" s="156">
        <f t="shared" si="96"/>
        <v>0.99921579310019804</v>
      </c>
      <c r="S278" s="154">
        <f t="shared" si="85"/>
        <v>4.6171998271571882E-2</v>
      </c>
      <c r="T278" s="152"/>
      <c r="U278" s="150">
        <f t="shared" si="97"/>
        <v>0</v>
      </c>
      <c r="V278" s="150">
        <f t="shared" si="98"/>
        <v>0</v>
      </c>
      <c r="W278" s="168">
        <f t="shared" si="99"/>
        <v>0</v>
      </c>
      <c r="X278" s="163">
        <f t="shared" si="86"/>
        <v>78.420689980196471</v>
      </c>
      <c r="Y278" s="152"/>
      <c r="Z278" s="164">
        <f>IF(AND($C277=12,$D277=Input!$C$6),0,IF($E278="","",V278+Z279/(1+L278)*R278))</f>
        <v>31480.572264243499</v>
      </c>
      <c r="AA278" s="164">
        <f>IF(OR($M278=1,AND($C277=12,$D277=Input!$C$6)),0,IF($E278="","",W278+(X278+AA279*$R278)/(1+$L278)))</f>
        <v>12783.107394590865</v>
      </c>
      <c r="AB278" s="160">
        <f t="shared" si="87"/>
        <v>0.825720328500681</v>
      </c>
      <c r="AC278" s="164">
        <f t="shared" si="88"/>
        <v>0</v>
      </c>
      <c r="AD278" s="164">
        <f>IF(AND($C277=12,$D277=Input!$C$6),0,IF($E278="","",$AC278+AD279/(1+$L278)*$R278))</f>
        <v>25994.14847142054</v>
      </c>
      <c r="AE278" s="152"/>
      <c r="AF278" s="164">
        <f>IF(AND($C277=12,$D277=Input!$C$6),0,IF($E278="","",IF($B278&gt;Input!$C$9,$AC278,0)+AF279/(1+$L278)*$R278))</f>
        <v>25994.14847142054</v>
      </c>
      <c r="AG278" s="164">
        <f>IF(AND($C277=12,$D277=Input!$C$6),0,IF($E278="","",(IF($B278&gt;Input!$C$9,$X278,0)+AG279)/(1+$L278)*$R278))</f>
        <v>12626.139953614585</v>
      </c>
      <c r="AH278" s="160">
        <f t="shared" si="89"/>
        <v>2.0950137211446997</v>
      </c>
      <c r="AI278" s="160">
        <f>IF($E278="","",MIN(Input!$C$61/AH278,1))</f>
        <v>0.64438718771845094</v>
      </c>
      <c r="AJ278" s="152"/>
      <c r="AK278" s="164">
        <f>IF(AND($C277=12,$D277=Input!$C$6),0,IF($E278="","",IF($B278&gt;Input!$C$9,$AC278*AI278,0)+AK279/(1+$L278)*$R278))</f>
        <v>16750.296230634576</v>
      </c>
      <c r="AL278" s="164">
        <f>IF(AND($C277=12,$D277=Input!$C$6),0,IF($E278="","",IF($B278&gt;Input!$C$9,0,$AC278)+AL279/(1+$L278)*$R278))</f>
        <v>0</v>
      </c>
      <c r="AM278" s="160">
        <f t="shared" si="90"/>
        <v>1.1382936520186004</v>
      </c>
      <c r="AN278" s="164">
        <f>IF($E278="","",IF($B278&gt;Input!$C$9,$AI278*$AC278,$AM278*$AC278))</f>
        <v>0</v>
      </c>
      <c r="AO278" s="164">
        <f>IF(AND($C277=12,$D277=Input!$C$6),0,IF($E278="","",$AN278+AO279/(1+$L278)*$R278))</f>
        <v>16750.296230634576</v>
      </c>
      <c r="AP278" s="152"/>
      <c r="AQ278" s="164">
        <f t="shared" si="91"/>
        <v>-3967.1888360437115</v>
      </c>
      <c r="AR278" s="164">
        <f t="shared" si="100"/>
        <v>-3380.0851349146797</v>
      </c>
      <c r="AS278" s="164">
        <f t="shared" si="101"/>
        <v>448.32535885167465</v>
      </c>
      <c r="AT278" s="164">
        <f t="shared" si="92"/>
        <v>448.32535885167465</v>
      </c>
      <c r="AU278" s="152"/>
      <c r="AV278" s="147">
        <f>'Deterministic Reserve'!BC278</f>
        <v>6.972316565598223E-2</v>
      </c>
      <c r="AW278" s="164">
        <f t="shared" si="93"/>
        <v>448.32535885167465</v>
      </c>
      <c r="AX278" s="164">
        <f t="shared" si="94"/>
        <v>31.258663262992989</v>
      </c>
      <c r="AY278" s="152"/>
    </row>
    <row r="279" spans="1:51" s="150" customFormat="1" x14ac:dyDescent="0.25">
      <c r="A279" s="150">
        <f t="shared" si="102"/>
        <v>275</v>
      </c>
      <c r="B279" s="150">
        <f t="shared" si="103"/>
        <v>23</v>
      </c>
      <c r="C279" s="150">
        <f t="shared" si="104"/>
        <v>11</v>
      </c>
      <c r="D279" s="150">
        <f>IF(E279="","",Input!$C$4+B279-1)</f>
        <v>67</v>
      </c>
      <c r="E279" s="150">
        <f>IF(OR(AND(C278=12,D278=Input!$C$6),E278=""),"",1)</f>
        <v>1</v>
      </c>
      <c r="F279" s="150">
        <f>IF(E279="","",Input!$C$8+B279-1)</f>
        <v>2040</v>
      </c>
      <c r="G279" s="151">
        <f>IF(E279="","",MAX(0,Input!$C$9-B279))</f>
        <v>0</v>
      </c>
      <c r="H279" s="152">
        <f>IF(E279="","",Input!$C$3)</f>
        <v>100000</v>
      </c>
      <c r="I279" s="153">
        <f>IF(E279="","",HLOOKUP($B279,Input!$C$13:$BT$14,2))</f>
        <v>22.956499999999998</v>
      </c>
      <c r="J279" s="154"/>
      <c r="K279" s="155">
        <f>IF($E279="","",Input!$C$57)</f>
        <v>4.4999999999999998E-2</v>
      </c>
      <c r="L279" s="155">
        <f t="shared" si="95"/>
        <v>3.6748094004368514E-3</v>
      </c>
      <c r="M279" s="147">
        <f>IF($E279="","",VLOOKUP(IF($B279&lt;=Input!$C$7,$B279,26),'Mortality Tables'!$A$72:$CA$97,IF($B279&lt;=Input!$C$7+1,Input!$C$4-16,$D279-Input!$C$7-16),0)/1000)</f>
        <v>9.3699999999999999E-3</v>
      </c>
      <c r="N279" s="147">
        <f t="shared" si="84"/>
        <v>7.8420689980196467E-4</v>
      </c>
      <c r="O279" s="157">
        <f>IF($E279="","",IF($C279=12,IF($B279&lt;Input!$C$9,Input!$C$54,IF($B279=Input!$C$9,Input!$C$55,Input!$C$56)),0%))</f>
        <v>0</v>
      </c>
      <c r="P279" s="167">
        <f>IF($E279="","",IF($B279=1,Input!$C$59,IF($B279&lt;6,Input!$C$60,0%)))</f>
        <v>0</v>
      </c>
      <c r="Q279" s="162">
        <f>IF($E279="","",Input!$C$58)</f>
        <v>2.5</v>
      </c>
      <c r="R279" s="156">
        <f t="shared" si="96"/>
        <v>0.99921579310019804</v>
      </c>
      <c r="S279" s="154">
        <f t="shared" si="85"/>
        <v>4.6135789871949669E-2</v>
      </c>
      <c r="T279" s="152"/>
      <c r="U279" s="150">
        <f t="shared" si="97"/>
        <v>0</v>
      </c>
      <c r="V279" s="150">
        <f t="shared" si="98"/>
        <v>0</v>
      </c>
      <c r="W279" s="168">
        <f t="shared" si="99"/>
        <v>0</v>
      </c>
      <c r="X279" s="163">
        <f t="shared" si="86"/>
        <v>78.420689980196471</v>
      </c>
      <c r="Y279" s="152"/>
      <c r="Z279" s="164">
        <f>IF(AND($C278=12,$D278=Input!$C$6),0,IF($E279="","",V279+Z280/(1+L279)*R279))</f>
        <v>31621.054816497384</v>
      </c>
      <c r="AA279" s="164">
        <f>IF(OR($M279=1,AND($C278=12,$D278=Input!$C$6)),0,IF($E279="","",W279+(X279+AA280*$R279)/(1+$L279)))</f>
        <v>12761.66997748044</v>
      </c>
      <c r="AB279" s="160">
        <f t="shared" si="87"/>
        <v>0.825720328500681</v>
      </c>
      <c r="AC279" s="164">
        <f t="shared" si="88"/>
        <v>0</v>
      </c>
      <c r="AD279" s="164">
        <f>IF(AND($C278=12,$D278=Input!$C$6),0,IF($E279="","",$AC279+AD280/(1+$L279)*$R279))</f>
        <v>26110.147770616233</v>
      </c>
      <c r="AE279" s="152"/>
      <c r="AF279" s="164">
        <f>IF(AND($C278=12,$D278=Input!$C$6),0,IF($E279="","",IF($B279&gt;Input!$C$9,$AC279,0)+AF280/(1+$L279)*$R279))</f>
        <v>26110.147770616233</v>
      </c>
      <c r="AG279" s="164">
        <f>IF(AND($C278=12,$D278=Input!$C$6),0,IF($E279="","",(IF($B279&gt;Input!$C$9,$X279,0)+AG280)/(1+$L279)*$R279))</f>
        <v>12604.063613124288</v>
      </c>
      <c r="AH279" s="160">
        <f t="shared" si="89"/>
        <v>2.0950137211446997</v>
      </c>
      <c r="AI279" s="160">
        <f>IF($E279="","",MIN(Input!$C$61/AH279,1))</f>
        <v>0.64438718771845094</v>
      </c>
      <c r="AJ279" s="152"/>
      <c r="AK279" s="164">
        <f>IF(AND($C278=12,$D278=Input!$C$6),0,IF($E279="","",IF($B279&gt;Input!$C$9,$AC279*AI279,0)+AK280/(1+$L279)*$R279))</f>
        <v>16825.0446928206</v>
      </c>
      <c r="AL279" s="164">
        <f>IF(AND($C278=12,$D278=Input!$C$6),0,IF($E279="","",IF($B279&gt;Input!$C$9,0,$AC279)+AL280/(1+$L279)*$R279))</f>
        <v>0</v>
      </c>
      <c r="AM279" s="160">
        <f t="shared" si="90"/>
        <v>1.1382936520186004</v>
      </c>
      <c r="AN279" s="164">
        <f>IF($E279="","",IF($B279&gt;Input!$C$9,$AI279*$AC279,$AM279*$AC279))</f>
        <v>0</v>
      </c>
      <c r="AO279" s="164">
        <f>IF(AND($C278=12,$D278=Input!$C$6),0,IF($E279="","",$AN279+AO280/(1+$L279)*$R279))</f>
        <v>16825.0446928206</v>
      </c>
      <c r="AP279" s="152"/>
      <c r="AQ279" s="164">
        <f t="shared" si="91"/>
        <v>-4063.37471534016</v>
      </c>
      <c r="AR279" s="164">
        <f t="shared" si="100"/>
        <v>-3380.0851349146797</v>
      </c>
      <c r="AS279" s="164">
        <f t="shared" si="101"/>
        <v>448.32535885167465</v>
      </c>
      <c r="AT279" s="164">
        <f t="shared" si="92"/>
        <v>448.32535885167465</v>
      </c>
      <c r="AU279" s="152"/>
      <c r="AV279" s="147">
        <f>'Deterministic Reserve'!BC279</f>
        <v>6.9588386198622731E-2</v>
      </c>
      <c r="AW279" s="164">
        <f t="shared" si="93"/>
        <v>448.32535885167465</v>
      </c>
      <c r="AX279" s="164">
        <f t="shared" si="94"/>
        <v>31.198238214406459</v>
      </c>
      <c r="AY279" s="152"/>
    </row>
    <row r="280" spans="1:51" s="150" customFormat="1" x14ac:dyDescent="0.25">
      <c r="A280" s="150">
        <f t="shared" si="102"/>
        <v>276</v>
      </c>
      <c r="B280" s="150">
        <f t="shared" si="103"/>
        <v>23</v>
      </c>
      <c r="C280" s="150">
        <f t="shared" si="104"/>
        <v>12</v>
      </c>
      <c r="D280" s="150">
        <f>IF(E280="","",Input!$C$4+B280-1)</f>
        <v>67</v>
      </c>
      <c r="E280" s="150">
        <f>IF(OR(AND(C279=12,D279=Input!$C$6),E279=""),"",1)</f>
        <v>1</v>
      </c>
      <c r="F280" s="150">
        <f>IF(E280="","",Input!$C$8+B280-1)</f>
        <v>2040</v>
      </c>
      <c r="G280" s="151">
        <f>IF(E280="","",MAX(0,Input!$C$9-B280))</f>
        <v>0</v>
      </c>
      <c r="H280" s="152">
        <f>IF(E280="","",Input!$C$3)</f>
        <v>100000</v>
      </c>
      <c r="I280" s="153">
        <f>IF(E280="","",HLOOKUP($B280,Input!$C$13:$BT$14,2))</f>
        <v>22.956499999999998</v>
      </c>
      <c r="J280" s="154"/>
      <c r="K280" s="155">
        <f>IF($E280="","",Input!$C$57)</f>
        <v>4.4999999999999998E-2</v>
      </c>
      <c r="L280" s="155">
        <f t="shared" si="95"/>
        <v>3.6748094004368514E-3</v>
      </c>
      <c r="M280" s="147">
        <f>IF($E280="","",VLOOKUP(IF($B280&lt;=Input!$C$7,$B280,26),'Mortality Tables'!$A$72:$CA$97,IF($B280&lt;=Input!$C$7+1,Input!$C$4-16,$D280-Input!$C$7-16),0)/1000)</f>
        <v>9.3699999999999999E-3</v>
      </c>
      <c r="N280" s="147">
        <f t="shared" si="84"/>
        <v>7.8420689980196467E-4</v>
      </c>
      <c r="O280" s="157">
        <f>IF($E280="","",IF($C280=12,IF($B280&lt;Input!$C$9,Input!$C$54,IF($B280=Input!$C$9,Input!$C$55,Input!$C$56)),0%))</f>
        <v>0.1</v>
      </c>
      <c r="P280" s="167">
        <f>IF($E280="","",IF($B280=1,Input!$C$59,IF($B280&lt;6,Input!$C$60,0%)))</f>
        <v>0</v>
      </c>
      <c r="Q280" s="162">
        <f>IF($E280="","",Input!$C$58)</f>
        <v>2.5</v>
      </c>
      <c r="R280" s="156">
        <f t="shared" si="96"/>
        <v>0.89921579310019806</v>
      </c>
      <c r="S280" s="154">
        <f t="shared" si="85"/>
        <v>4.1486030880009309E-2</v>
      </c>
      <c r="T280" s="152"/>
      <c r="U280" s="150">
        <f t="shared" si="97"/>
        <v>0</v>
      </c>
      <c r="V280" s="150">
        <f t="shared" si="98"/>
        <v>0</v>
      </c>
      <c r="W280" s="168">
        <f t="shared" si="99"/>
        <v>0</v>
      </c>
      <c r="X280" s="163">
        <f t="shared" si="86"/>
        <v>78.420689980196471</v>
      </c>
      <c r="Y280" s="152"/>
      <c r="Z280" s="164">
        <f>IF(AND($C279=12,$D279=Input!$C$6),0,IF($E280="","",V280+Z281/(1+L280)*R280))</f>
        <v>31762.164274365379</v>
      </c>
      <c r="AA280" s="164">
        <f>IF(OR($M280=1,AND($C279=12,$D279=Input!$C$6)),0,IF($E280="","",W280+(X280+AA281*$R280)/(1+$L280)))</f>
        <v>12740.13689555668</v>
      </c>
      <c r="AB280" s="160">
        <f t="shared" si="87"/>
        <v>0.825720328500681</v>
      </c>
      <c r="AC280" s="164">
        <f t="shared" si="88"/>
        <v>0</v>
      </c>
      <c r="AD280" s="164">
        <f>IF(AND($C279=12,$D279=Input!$C$6),0,IF($E280="","",$AC280+AD281/(1+$L280)*$R280))</f>
        <v>26226.664718521544</v>
      </c>
      <c r="AE280" s="152"/>
      <c r="AF280" s="164">
        <f>IF(AND($C279=12,$D279=Input!$C$6),0,IF($E280="","",IF($B280&gt;Input!$C$9,$AC280,0)+AF281/(1+$L280)*$R280))</f>
        <v>26226.664718521544</v>
      </c>
      <c r="AG280" s="164">
        <f>IF(AND($C279=12,$D279=Input!$C$6),0,IF($E280="","",(IF($B280&gt;Input!$C$9,$X280,0)+AG281)/(1+$L280)*$R280))</f>
        <v>12581.888756614953</v>
      </c>
      <c r="AH280" s="160">
        <f t="shared" si="89"/>
        <v>2.0950137211446997</v>
      </c>
      <c r="AI280" s="160">
        <f>IF($E280="","",MIN(Input!$C$61/AH280,1))</f>
        <v>0.64438718771845094</v>
      </c>
      <c r="AJ280" s="152"/>
      <c r="AK280" s="164">
        <f>IF(AND($C279=12,$D279=Input!$C$6),0,IF($E280="","",IF($B280&gt;Input!$C$9,$AC280*AI280,0)+AK281/(1+$L280)*$R280))</f>
        <v>16900.126721202843</v>
      </c>
      <c r="AL280" s="164">
        <f>IF(AND($C279=12,$D279=Input!$C$6),0,IF($E280="","",IF($B280&gt;Input!$C$9,0,$AC280)+AL281/(1+$L280)*$R280))</f>
        <v>0</v>
      </c>
      <c r="AM280" s="160">
        <f t="shared" si="90"/>
        <v>1.1382936520186004</v>
      </c>
      <c r="AN280" s="164">
        <f>IF($E280="","",IF($B280&gt;Input!$C$9,$AI280*$AC280,$AM280*$AC280))</f>
        <v>0</v>
      </c>
      <c r="AO280" s="164">
        <f>IF(AND($C279=12,$D279=Input!$C$6),0,IF($E280="","",$AN280+AO281/(1+$L280)*$R280))</f>
        <v>16900.126721202843</v>
      </c>
      <c r="AP280" s="152"/>
      <c r="AQ280" s="164">
        <f t="shared" si="91"/>
        <v>-4159.9898256461638</v>
      </c>
      <c r="AR280" s="164">
        <f t="shared" si="100"/>
        <v>-3380.0851349146797</v>
      </c>
      <c r="AS280" s="164">
        <f t="shared" si="101"/>
        <v>448.32535885167465</v>
      </c>
      <c r="AT280" s="164">
        <f t="shared" si="92"/>
        <v>448.32535885167465</v>
      </c>
      <c r="AU280" s="152"/>
      <c r="AV280" s="147">
        <f>'Deterministic Reserve'!BC280</f>
        <v>6.2495028658941888E-2</v>
      </c>
      <c r="AW280" s="164">
        <f t="shared" si="93"/>
        <v>448.32535885167465</v>
      </c>
      <c r="AX280" s="164">
        <f t="shared" si="94"/>
        <v>28.018106149965814</v>
      </c>
      <c r="AY280" s="152"/>
    </row>
    <row r="281" spans="1:51" s="150" customFormat="1" x14ac:dyDescent="0.25">
      <c r="A281" s="150">
        <f t="shared" si="102"/>
        <v>277</v>
      </c>
      <c r="B281" s="150">
        <f t="shared" si="103"/>
        <v>24</v>
      </c>
      <c r="C281" s="150">
        <f t="shared" si="104"/>
        <v>1</v>
      </c>
      <c r="D281" s="150">
        <f>IF(E281="","",Input!$C$4+B281-1)</f>
        <v>68</v>
      </c>
      <c r="E281" s="150">
        <f>IF(OR(AND(C280=12,D280=Input!$C$6),E280=""),"",1)</f>
        <v>1</v>
      </c>
      <c r="F281" s="150">
        <f>IF(E281="","",Input!$C$8+B281-1)</f>
        <v>2041</v>
      </c>
      <c r="G281" s="151">
        <f>IF(E281="","",MAX(0,Input!$C$9-B281))</f>
        <v>0</v>
      </c>
      <c r="H281" s="152">
        <f>IF(E281="","",Input!$C$3)</f>
        <v>100000</v>
      </c>
      <c r="I281" s="153">
        <f>IF(E281="","",HLOOKUP($B281,Input!$C$13:$BT$14,2))</f>
        <v>25.798500000000001</v>
      </c>
      <c r="J281" s="154"/>
      <c r="K281" s="155">
        <f>IF($E281="","",Input!$C$57)</f>
        <v>4.4999999999999998E-2</v>
      </c>
      <c r="L281" s="155">
        <f t="shared" si="95"/>
        <v>3.6748094004368514E-3</v>
      </c>
      <c r="M281" s="147">
        <f>IF($E281="","",VLOOKUP(IF($B281&lt;=Input!$C$7,$B281,26),'Mortality Tables'!$A$72:$CA$97,IF($B281&lt;=Input!$C$7+1,Input!$C$4-16,$D281-Input!$C$7-16),0)/1000)</f>
        <v>1.0529999999999999E-2</v>
      </c>
      <c r="N281" s="147">
        <f t="shared" si="84"/>
        <v>8.817637461479011E-4</v>
      </c>
      <c r="O281" s="157">
        <f>IF($E281="","",IF($C281=12,IF($B281&lt;Input!$C$9,Input!$C$54,IF($B281=Input!$C$9,Input!$C$55,Input!$C$56)),0%))</f>
        <v>0</v>
      </c>
      <c r="P281" s="167">
        <f>IF($E281="","",IF($B281=1,Input!$C$59,IF($B281&lt;6,Input!$C$60,0%)))</f>
        <v>0</v>
      </c>
      <c r="Q281" s="162">
        <f>IF($E281="","",Input!$C$58)</f>
        <v>2.5</v>
      </c>
      <c r="R281" s="156">
        <f t="shared" si="96"/>
        <v>0.9991182362538521</v>
      </c>
      <c r="S281" s="154">
        <f t="shared" si="85"/>
        <v>4.1449450002007747E-2</v>
      </c>
      <c r="T281" s="152"/>
      <c r="U281" s="150">
        <f t="shared" si="97"/>
        <v>2579.85</v>
      </c>
      <c r="V281" s="150">
        <f t="shared" si="98"/>
        <v>2579.85</v>
      </c>
      <c r="W281" s="168">
        <f t="shared" si="99"/>
        <v>0</v>
      </c>
      <c r="X281" s="163">
        <f t="shared" si="86"/>
        <v>88.176374614790106</v>
      </c>
      <c r="Y281" s="152"/>
      <c r="Z281" s="164">
        <f>IF(AND($C280=12,$D280=Input!$C$6),0,IF($E281="","",V281+Z282/(1+L281)*R281))</f>
        <v>35451.873086338055</v>
      </c>
      <c r="AA281" s="164">
        <f>IF(OR($M281=1,AND($C280=12,$D280=Input!$C$6)),0,IF($E281="","",W281+(X281+AA282*$R281)/(1+$L281)))</f>
        <v>14132.907671236862</v>
      </c>
      <c r="AB281" s="160">
        <f t="shared" si="87"/>
        <v>0.825720328500681</v>
      </c>
      <c r="AC281" s="164">
        <f t="shared" si="88"/>
        <v>2130.2345894824816</v>
      </c>
      <c r="AD281" s="164">
        <f>IF(AND($C280=12,$D280=Input!$C$6),0,IF($E281="","",$AC281+AD282/(1+$L281)*$R281))</f>
        <v>29273.332290815473</v>
      </c>
      <c r="AE281" s="152"/>
      <c r="AF281" s="164">
        <f>IF(AND($C280=12,$D280=Input!$C$6),0,IF($E281="","",IF($B281&gt;Input!$C$9,$AC281,0)+AF282/(1+$L281)*$R281))</f>
        <v>29273.332290815473</v>
      </c>
      <c r="AG281" s="164">
        <f>IF(AND($C280=12,$D280=Input!$C$6),0,IF($E281="","",(IF($B281&gt;Input!$C$9,$X281,0)+AG282)/(1+$L281)*$R281))</f>
        <v>13965.065752974084</v>
      </c>
      <c r="AH281" s="160">
        <f t="shared" si="89"/>
        <v>2.0950137211446997</v>
      </c>
      <c r="AI281" s="160">
        <f>IF($E281="","",MIN(Input!$C$61/AH281,1))</f>
        <v>0.64438718771845094</v>
      </c>
      <c r="AJ281" s="152"/>
      <c r="AK281" s="164">
        <f>IF(AND($C280=12,$D280=Input!$C$6),0,IF($E281="","",IF($B281&gt;Input!$C$9,$AC281*AI281,0)+AK282/(1+$L281)*$R281))</f>
        <v>18863.360270026333</v>
      </c>
      <c r="AL281" s="164">
        <f>IF(AND($C280=12,$D280=Input!$C$6),0,IF($E281="","",IF($B281&gt;Input!$C$9,0,$AC281)+AL282/(1+$L281)*$R281))</f>
        <v>0</v>
      </c>
      <c r="AM281" s="160">
        <f t="shared" si="90"/>
        <v>1.1382936520186004</v>
      </c>
      <c r="AN281" s="164">
        <f>IF($E281="","",IF($B281&gt;Input!$C$9,$AI281*$AC281,$AM281*$AC281))</f>
        <v>1372.6958762971851</v>
      </c>
      <c r="AO281" s="164">
        <f>IF(AND($C280=12,$D280=Input!$C$6),0,IF($E281="","",$AN281+AO282/(1+$L281)*$R281))</f>
        <v>18863.360270026333</v>
      </c>
      <c r="AP281" s="152"/>
      <c r="AQ281" s="164">
        <f t="shared" si="91"/>
        <v>-4730.4525987894704</v>
      </c>
      <c r="AR281" s="164">
        <f t="shared" si="100"/>
        <v>-3655.3153308999285</v>
      </c>
      <c r="AS281" s="164">
        <f t="shared" si="101"/>
        <v>503.8277511961723</v>
      </c>
      <c r="AT281" s="164">
        <f t="shared" si="92"/>
        <v>503.8277511961723</v>
      </c>
      <c r="AU281" s="152"/>
      <c r="AV281" s="147">
        <f>'Deterministic Reserve'!BC281</f>
        <v>6.2359533073593681E-2</v>
      </c>
      <c r="AW281" s="164">
        <f t="shared" si="93"/>
        <v>503.8277511961723</v>
      </c>
      <c r="AX281" s="164">
        <f t="shared" si="94"/>
        <v>31.418463314112035</v>
      </c>
      <c r="AY281" s="152"/>
    </row>
    <row r="282" spans="1:51" s="150" customFormat="1" x14ac:dyDescent="0.25">
      <c r="A282" s="150">
        <f t="shared" si="102"/>
        <v>278</v>
      </c>
      <c r="B282" s="150">
        <f t="shared" si="103"/>
        <v>24</v>
      </c>
      <c r="C282" s="150">
        <f t="shared" si="104"/>
        <v>2</v>
      </c>
      <c r="D282" s="150">
        <f>IF(E282="","",Input!$C$4+B282-1)</f>
        <v>68</v>
      </c>
      <c r="E282" s="150">
        <f>IF(OR(AND(C281=12,D281=Input!$C$6),E281=""),"",1)</f>
        <v>1</v>
      </c>
      <c r="F282" s="150">
        <f>IF(E282="","",Input!$C$8+B282-1)</f>
        <v>2041</v>
      </c>
      <c r="G282" s="151">
        <f>IF(E282="","",MAX(0,Input!$C$9-B282))</f>
        <v>0</v>
      </c>
      <c r="H282" s="152">
        <f>IF(E282="","",Input!$C$3)</f>
        <v>100000</v>
      </c>
      <c r="I282" s="153">
        <f>IF(E282="","",HLOOKUP($B282,Input!$C$13:$BT$14,2))</f>
        <v>25.798500000000001</v>
      </c>
      <c r="J282" s="154"/>
      <c r="K282" s="155">
        <f>IF($E282="","",Input!$C$57)</f>
        <v>4.4999999999999998E-2</v>
      </c>
      <c r="L282" s="155">
        <f t="shared" si="95"/>
        <v>3.6748094004368514E-3</v>
      </c>
      <c r="M282" s="147">
        <f>IF($E282="","",VLOOKUP(IF($B282&lt;=Input!$C$7,$B282,26),'Mortality Tables'!$A$72:$CA$97,IF($B282&lt;=Input!$C$7+1,Input!$C$4-16,$D282-Input!$C$7-16),0)/1000)</f>
        <v>1.0529999999999999E-2</v>
      </c>
      <c r="N282" s="147">
        <f t="shared" si="84"/>
        <v>8.817637461479011E-4</v>
      </c>
      <c r="O282" s="157">
        <f>IF($E282="","",IF($C282=12,IF($B282&lt;Input!$C$9,Input!$C$54,IF($B282=Input!$C$9,Input!$C$55,Input!$C$56)),0%))</f>
        <v>0</v>
      </c>
      <c r="P282" s="167">
        <f>IF($E282="","",IF($B282=1,Input!$C$59,IF($B282&lt;6,Input!$C$60,0%)))</f>
        <v>0</v>
      </c>
      <c r="Q282" s="162">
        <f>IF($E282="","",Input!$C$58)</f>
        <v>2.5</v>
      </c>
      <c r="R282" s="156">
        <f t="shared" si="96"/>
        <v>0.9991182362538521</v>
      </c>
      <c r="S282" s="154">
        <f t="shared" si="85"/>
        <v>4.1412901379698205E-2</v>
      </c>
      <c r="T282" s="152"/>
      <c r="U282" s="150">
        <f t="shared" si="97"/>
        <v>0</v>
      </c>
      <c r="V282" s="150">
        <f t="shared" si="98"/>
        <v>0</v>
      </c>
      <c r="W282" s="168">
        <f t="shared" si="99"/>
        <v>0</v>
      </c>
      <c r="X282" s="163">
        <f t="shared" si="86"/>
        <v>88.176374614790106</v>
      </c>
      <c r="Y282" s="152"/>
      <c r="Z282" s="164">
        <f>IF(AND($C281=12,$D281=Input!$C$6),0,IF($E282="","",V282+Z283/(1+L282)*R282))</f>
        <v>33021.939054472845</v>
      </c>
      <c r="AA282" s="164">
        <f>IF(OR($M282=1,AND($C281=12,$D281=Input!$C$6)),0,IF($E282="","",W282+(X282+AA283*$R282)/(1+$L282)))</f>
        <v>14109.107938458461</v>
      </c>
      <c r="AB282" s="160">
        <f t="shared" si="87"/>
        <v>0.825720328500681</v>
      </c>
      <c r="AC282" s="164">
        <f t="shared" si="88"/>
        <v>0</v>
      </c>
      <c r="AD282" s="164">
        <f>IF(AND($C281=12,$D281=Input!$C$6),0,IF($E282="","",$AC282+AD283/(1+$L282)*$R282))</f>
        <v>27266.886363788748</v>
      </c>
      <c r="AE282" s="152"/>
      <c r="AF282" s="164">
        <f>IF(AND($C281=12,$D281=Input!$C$6),0,IF($E282="","",IF($B282&gt;Input!$C$9,$AC282,0)+AF283/(1+$L282)*$R282))</f>
        <v>27266.886363788748</v>
      </c>
      <c r="AG282" s="164">
        <f>IF(AND($C281=12,$D281=Input!$C$6),0,IF($E282="","",(IF($B282&gt;Input!$C$9,$X282,0)+AG283)/(1+$L282)*$R282))</f>
        <v>13940.578380612802</v>
      </c>
      <c r="AH282" s="160">
        <f t="shared" si="89"/>
        <v>2.0950137211446997</v>
      </c>
      <c r="AI282" s="160">
        <f>IF($E282="","",MIN(Input!$C$61/AH282,1))</f>
        <v>0.64438718771845094</v>
      </c>
      <c r="AJ282" s="152"/>
      <c r="AK282" s="164">
        <f>IF(AND($C281=12,$D281=Input!$C$6),0,IF($E282="","",IF($B282&gt;Input!$C$9,$AC282*AI282,0)+AK283/(1+$L282)*$R282))</f>
        <v>17570.432221800442</v>
      </c>
      <c r="AL282" s="164">
        <f>IF(AND($C281=12,$D281=Input!$C$6),0,IF($E282="","",IF($B282&gt;Input!$C$9,0,$AC282)+AL283/(1+$L282)*$R282))</f>
        <v>0</v>
      </c>
      <c r="AM282" s="160">
        <f t="shared" si="90"/>
        <v>1.1382936520186004</v>
      </c>
      <c r="AN282" s="164">
        <f>IF($E282="","",IF($B282&gt;Input!$C$9,$AI282*$AC282,$AM282*$AC282))</f>
        <v>0</v>
      </c>
      <c r="AO282" s="164">
        <f>IF(AND($C281=12,$D281=Input!$C$6),0,IF($E282="","",$AN282+AO283/(1+$L282)*$R282))</f>
        <v>17570.432221800442</v>
      </c>
      <c r="AP282" s="152"/>
      <c r="AQ282" s="164">
        <f t="shared" si="91"/>
        <v>-3461.3242833419808</v>
      </c>
      <c r="AR282" s="164">
        <f t="shared" si="100"/>
        <v>-3655.3153308999285</v>
      </c>
      <c r="AS282" s="164">
        <f t="shared" si="101"/>
        <v>503.8277511961723</v>
      </c>
      <c r="AT282" s="164">
        <f t="shared" si="92"/>
        <v>503.8277511961723</v>
      </c>
      <c r="AU282" s="152"/>
      <c r="AV282" s="147">
        <f>'Deterministic Reserve'!BC282</f>
        <v>6.2224331256470609E-2</v>
      </c>
      <c r="AW282" s="164">
        <f t="shared" si="93"/>
        <v>503.8277511961723</v>
      </c>
      <c r="AX282" s="164">
        <f t="shared" si="94"/>
        <v>31.35034488663328</v>
      </c>
      <c r="AY282" s="152"/>
    </row>
    <row r="283" spans="1:51" s="150" customFormat="1" x14ac:dyDescent="0.25">
      <c r="A283" s="150">
        <f t="shared" si="102"/>
        <v>279</v>
      </c>
      <c r="B283" s="150">
        <f t="shared" si="103"/>
        <v>24</v>
      </c>
      <c r="C283" s="150">
        <f t="shared" si="104"/>
        <v>3</v>
      </c>
      <c r="D283" s="150">
        <f>IF(E283="","",Input!$C$4+B283-1)</f>
        <v>68</v>
      </c>
      <c r="E283" s="150">
        <f>IF(OR(AND(C282=12,D282=Input!$C$6),E282=""),"",1)</f>
        <v>1</v>
      </c>
      <c r="F283" s="150">
        <f>IF(E283="","",Input!$C$8+B283-1)</f>
        <v>2041</v>
      </c>
      <c r="G283" s="151">
        <f>IF(E283="","",MAX(0,Input!$C$9-B283))</f>
        <v>0</v>
      </c>
      <c r="H283" s="152">
        <f>IF(E283="","",Input!$C$3)</f>
        <v>100000</v>
      </c>
      <c r="I283" s="153">
        <f>IF(E283="","",HLOOKUP($B283,Input!$C$13:$BT$14,2))</f>
        <v>25.798500000000001</v>
      </c>
      <c r="J283" s="154"/>
      <c r="K283" s="155">
        <f>IF($E283="","",Input!$C$57)</f>
        <v>4.4999999999999998E-2</v>
      </c>
      <c r="L283" s="155">
        <f t="shared" si="95"/>
        <v>3.6748094004368514E-3</v>
      </c>
      <c r="M283" s="147">
        <f>IF($E283="","",VLOOKUP(IF($B283&lt;=Input!$C$7,$B283,26),'Mortality Tables'!$A$72:$CA$97,IF($B283&lt;=Input!$C$7+1,Input!$C$4-16,$D283-Input!$C$7-16),0)/1000)</f>
        <v>1.0529999999999999E-2</v>
      </c>
      <c r="N283" s="147">
        <f t="shared" si="84"/>
        <v>8.817637461479011E-4</v>
      </c>
      <c r="O283" s="157">
        <f>IF($E283="","",IF($C283=12,IF($B283&lt;Input!$C$9,Input!$C$54,IF($B283=Input!$C$9,Input!$C$55,Input!$C$56)),0%))</f>
        <v>0</v>
      </c>
      <c r="P283" s="167">
        <f>IF($E283="","",IF($B283=1,Input!$C$59,IF($B283&lt;6,Input!$C$60,0%)))</f>
        <v>0</v>
      </c>
      <c r="Q283" s="162">
        <f>IF($E283="","",Input!$C$58)</f>
        <v>2.5</v>
      </c>
      <c r="R283" s="156">
        <f t="shared" si="96"/>
        <v>0.9991182362538521</v>
      </c>
      <c r="S283" s="154">
        <f t="shared" si="85"/>
        <v>4.1376384984638789E-2</v>
      </c>
      <c r="T283" s="152"/>
      <c r="U283" s="150">
        <f t="shared" si="97"/>
        <v>0</v>
      </c>
      <c r="V283" s="150">
        <f t="shared" si="98"/>
        <v>0</v>
      </c>
      <c r="W283" s="168">
        <f t="shared" si="99"/>
        <v>0</v>
      </c>
      <c r="X283" s="163">
        <f t="shared" si="86"/>
        <v>88.176374614790106</v>
      </c>
      <c r="Y283" s="152"/>
      <c r="Z283" s="164">
        <f>IF(AND($C282=12,$D282=Input!$C$6),0,IF($E283="","",V283+Z284/(1+L283)*R283))</f>
        <v>33172.5387285494</v>
      </c>
      <c r="AA283" s="164">
        <f>IF(OR($M283=1,AND($C282=12,$D282=Input!$C$6)),0,IF($E283="","",W283+(X283+AA284*$R283)/(1+$L283)))</f>
        <v>14085.199664749327</v>
      </c>
      <c r="AB283" s="160">
        <f t="shared" si="87"/>
        <v>0.825720328500681</v>
      </c>
      <c r="AC283" s="164">
        <f t="shared" si="88"/>
        <v>0</v>
      </c>
      <c r="AD283" s="164">
        <f>IF(AND($C282=12,$D282=Input!$C$6),0,IF($E283="","",$AC283+AD284/(1+$L283)*$R283))</f>
        <v>27391.239576139331</v>
      </c>
      <c r="AE283" s="152"/>
      <c r="AF283" s="164">
        <f>IF(AND($C282=12,$D282=Input!$C$6),0,IF($E283="","",IF($B283&gt;Input!$C$9,$AC283,0)+AF284/(1+$L283)*$R283))</f>
        <v>27391.239576139331</v>
      </c>
      <c r="AG283" s="164">
        <f>IF(AND($C282=12,$D282=Input!$C$6),0,IF($E283="","",(IF($B283&gt;Input!$C$9,$X283,0)+AG284)/(1+$L283)*$R283))</f>
        <v>13915.979331275479</v>
      </c>
      <c r="AH283" s="160">
        <f t="shared" si="89"/>
        <v>2.0950137211446997</v>
      </c>
      <c r="AI283" s="160">
        <f>IF($E283="","",MIN(Input!$C$61/AH283,1))</f>
        <v>0.64438718771845094</v>
      </c>
      <c r="AJ283" s="152"/>
      <c r="AK283" s="164">
        <f>IF(AND($C282=12,$D282=Input!$C$6),0,IF($E283="","",IF($B283&gt;Input!$C$9,$AC283*AI283,0)+AK284/(1+$L283)*$R283))</f>
        <v>17650.563838590788</v>
      </c>
      <c r="AL283" s="164">
        <f>IF(AND($C282=12,$D282=Input!$C$6),0,IF($E283="","",IF($B283&gt;Input!$C$9,0,$AC283)+AL284/(1+$L283)*$R283))</f>
        <v>0</v>
      </c>
      <c r="AM283" s="160">
        <f t="shared" si="90"/>
        <v>1.1382936520186004</v>
      </c>
      <c r="AN283" s="164">
        <f>IF($E283="","",IF($B283&gt;Input!$C$9,$AI283*$AC283,$AM283*$AC283))</f>
        <v>0</v>
      </c>
      <c r="AO283" s="164">
        <f>IF(AND($C282=12,$D282=Input!$C$6),0,IF($E283="","",$AN283+AO284/(1+$L283)*$R283))</f>
        <v>17650.563838590788</v>
      </c>
      <c r="AP283" s="152"/>
      <c r="AQ283" s="164">
        <f t="shared" si="91"/>
        <v>-3565.3641738414608</v>
      </c>
      <c r="AR283" s="164">
        <f t="shared" si="100"/>
        <v>-3655.3153308999285</v>
      </c>
      <c r="AS283" s="164">
        <f t="shared" si="101"/>
        <v>503.8277511961723</v>
      </c>
      <c r="AT283" s="164">
        <f t="shared" si="92"/>
        <v>503.8277511961723</v>
      </c>
      <c r="AU283" s="152"/>
      <c r="AV283" s="147">
        <f>'Deterministic Reserve'!BC283</f>
        <v>6.2089422570653245E-2</v>
      </c>
      <c r="AW283" s="164">
        <f t="shared" si="93"/>
        <v>503.8277511961723</v>
      </c>
      <c r="AX283" s="164">
        <f t="shared" si="94"/>
        <v>31.282374146841089</v>
      </c>
      <c r="AY283" s="152"/>
    </row>
    <row r="284" spans="1:51" s="150" customFormat="1" x14ac:dyDescent="0.25">
      <c r="A284" s="150">
        <f t="shared" si="102"/>
        <v>280</v>
      </c>
      <c r="B284" s="150">
        <f t="shared" si="103"/>
        <v>24</v>
      </c>
      <c r="C284" s="150">
        <f t="shared" si="104"/>
        <v>4</v>
      </c>
      <c r="D284" s="150">
        <f>IF(E284="","",Input!$C$4+B284-1)</f>
        <v>68</v>
      </c>
      <c r="E284" s="150">
        <f>IF(OR(AND(C283=12,D283=Input!$C$6),E283=""),"",1)</f>
        <v>1</v>
      </c>
      <c r="F284" s="150">
        <f>IF(E284="","",Input!$C$8+B284-1)</f>
        <v>2041</v>
      </c>
      <c r="G284" s="151">
        <f>IF(E284="","",MAX(0,Input!$C$9-B284))</f>
        <v>0</v>
      </c>
      <c r="H284" s="152">
        <f>IF(E284="","",Input!$C$3)</f>
        <v>100000</v>
      </c>
      <c r="I284" s="153">
        <f>IF(E284="","",HLOOKUP($B284,Input!$C$13:$BT$14,2))</f>
        <v>25.798500000000001</v>
      </c>
      <c r="J284" s="154"/>
      <c r="K284" s="155">
        <f>IF($E284="","",Input!$C$57)</f>
        <v>4.4999999999999998E-2</v>
      </c>
      <c r="L284" s="155">
        <f t="shared" si="95"/>
        <v>3.6748094004368514E-3</v>
      </c>
      <c r="M284" s="147">
        <f>IF($E284="","",VLOOKUP(IF($B284&lt;=Input!$C$7,$B284,26),'Mortality Tables'!$A$72:$CA$97,IF($B284&lt;=Input!$C$7+1,Input!$C$4-16,$D284-Input!$C$7-16),0)/1000)</f>
        <v>1.0529999999999999E-2</v>
      </c>
      <c r="N284" s="147">
        <f t="shared" si="84"/>
        <v>8.817637461479011E-4</v>
      </c>
      <c r="O284" s="157">
        <f>IF($E284="","",IF($C284=12,IF($B284&lt;Input!$C$9,Input!$C$54,IF($B284=Input!$C$9,Input!$C$55,Input!$C$56)),0%))</f>
        <v>0</v>
      </c>
      <c r="P284" s="167">
        <f>IF($E284="","",IF($B284=1,Input!$C$59,IF($B284&lt;6,Input!$C$60,0%)))</f>
        <v>0</v>
      </c>
      <c r="Q284" s="162">
        <f>IF($E284="","",Input!$C$58)</f>
        <v>2.5</v>
      </c>
      <c r="R284" s="156">
        <f t="shared" si="96"/>
        <v>0.9991182362538521</v>
      </c>
      <c r="S284" s="154">
        <f t="shared" si="85"/>
        <v>4.1339900788412674E-2</v>
      </c>
      <c r="T284" s="152"/>
      <c r="U284" s="150">
        <f t="shared" si="97"/>
        <v>0</v>
      </c>
      <c r="V284" s="150">
        <f t="shared" si="98"/>
        <v>0</v>
      </c>
      <c r="W284" s="168">
        <f t="shared" si="99"/>
        <v>0</v>
      </c>
      <c r="X284" s="163">
        <f t="shared" si="86"/>
        <v>88.176374614790106</v>
      </c>
      <c r="Y284" s="152"/>
      <c r="Z284" s="164">
        <f>IF(AND($C283=12,$D283=Input!$C$6),0,IF($E284="","",V284+Z285/(1+L284)*R284))</f>
        <v>33323.825226673274</v>
      </c>
      <c r="AA284" s="164">
        <f>IF(OR($M284=1,AND($C283=12,$D283=Input!$C$6)),0,IF($E284="","",W284+(X284+AA285*$R284)/(1+$L284)))</f>
        <v>14061.182355098288</v>
      </c>
      <c r="AB284" s="160">
        <f t="shared" si="87"/>
        <v>0.825720328500681</v>
      </c>
      <c r="AC284" s="164">
        <f t="shared" si="88"/>
        <v>0</v>
      </c>
      <c r="AD284" s="164">
        <f>IF(AND($C283=12,$D283=Input!$C$6),0,IF($E284="","",$AC284+AD285/(1+$L284)*$R284))</f>
        <v>27516.159913067895</v>
      </c>
      <c r="AE284" s="152"/>
      <c r="AF284" s="164">
        <f>IF(AND($C283=12,$D283=Input!$C$6),0,IF($E284="","",IF($B284&gt;Input!$C$9,$AC284,0)+AF285/(1+$L284)*$R284))</f>
        <v>27516.159913067895</v>
      </c>
      <c r="AG284" s="164">
        <f>IF(AND($C283=12,$D283=Input!$C$6),0,IF($E284="","",(IF($B284&gt;Input!$C$9,$X284,0)+AG285)/(1+$L284)*$R284))</f>
        <v>13891.268095648711</v>
      </c>
      <c r="AH284" s="160">
        <f t="shared" si="89"/>
        <v>2.0950137211446997</v>
      </c>
      <c r="AI284" s="160">
        <f>IF($E284="","",MIN(Input!$C$61/AH284,1))</f>
        <v>0.64438718771845094</v>
      </c>
      <c r="AJ284" s="152"/>
      <c r="AK284" s="164">
        <f>IF(AND($C283=12,$D283=Input!$C$6),0,IF($E284="","",IF($B284&gt;Input!$C$9,$AC284*AI284,0)+AK285/(1+$L284)*$R284))</f>
        <v>17731.060903193029</v>
      </c>
      <c r="AL284" s="164">
        <f>IF(AND($C283=12,$D283=Input!$C$6),0,IF($E284="","",IF($B284&gt;Input!$C$9,0,$AC284)+AL285/(1+$L284)*$R284))</f>
        <v>0</v>
      </c>
      <c r="AM284" s="160">
        <f t="shared" si="90"/>
        <v>1.1382936520186004</v>
      </c>
      <c r="AN284" s="164">
        <f>IF($E284="","",IF($B284&gt;Input!$C$9,$AI284*$AC284,$AM284*$AC284))</f>
        <v>0</v>
      </c>
      <c r="AO284" s="164">
        <f>IF(AND($C283=12,$D283=Input!$C$6),0,IF($E284="","",$AN284+AO285/(1+$L284)*$R284))</f>
        <v>17731.060903193029</v>
      </c>
      <c r="AP284" s="152"/>
      <c r="AQ284" s="164">
        <f t="shared" si="91"/>
        <v>-3669.8785480947408</v>
      </c>
      <c r="AR284" s="164">
        <f t="shared" si="100"/>
        <v>-3655.3153308999285</v>
      </c>
      <c r="AS284" s="164">
        <f t="shared" si="101"/>
        <v>503.8277511961723</v>
      </c>
      <c r="AT284" s="164">
        <f t="shared" si="92"/>
        <v>503.8277511961723</v>
      </c>
      <c r="AU284" s="152"/>
      <c r="AV284" s="147">
        <f>'Deterministic Reserve'!BC284</f>
        <v>6.1954806380603071E-2</v>
      </c>
      <c r="AW284" s="164">
        <f t="shared" si="93"/>
        <v>503.8277511961723</v>
      </c>
      <c r="AX284" s="164">
        <f t="shared" si="94"/>
        <v>31.214550774533514</v>
      </c>
      <c r="AY284" s="152"/>
    </row>
    <row r="285" spans="1:51" s="150" customFormat="1" x14ac:dyDescent="0.25">
      <c r="A285" s="150">
        <f t="shared" si="102"/>
        <v>281</v>
      </c>
      <c r="B285" s="150">
        <f t="shared" si="103"/>
        <v>24</v>
      </c>
      <c r="C285" s="150">
        <f t="shared" si="104"/>
        <v>5</v>
      </c>
      <c r="D285" s="150">
        <f>IF(E285="","",Input!$C$4+B285-1)</f>
        <v>68</v>
      </c>
      <c r="E285" s="150">
        <f>IF(OR(AND(C284=12,D284=Input!$C$6),E284=""),"",1)</f>
        <v>1</v>
      </c>
      <c r="F285" s="150">
        <f>IF(E285="","",Input!$C$8+B285-1)</f>
        <v>2041</v>
      </c>
      <c r="G285" s="151">
        <f>IF(E285="","",MAX(0,Input!$C$9-B285))</f>
        <v>0</v>
      </c>
      <c r="H285" s="152">
        <f>IF(E285="","",Input!$C$3)</f>
        <v>100000</v>
      </c>
      <c r="I285" s="153">
        <f>IF(E285="","",HLOOKUP($B285,Input!$C$13:$BT$14,2))</f>
        <v>25.798500000000001</v>
      </c>
      <c r="J285" s="154"/>
      <c r="K285" s="155">
        <f>IF($E285="","",Input!$C$57)</f>
        <v>4.4999999999999998E-2</v>
      </c>
      <c r="L285" s="155">
        <f t="shared" si="95"/>
        <v>3.6748094004368514E-3</v>
      </c>
      <c r="M285" s="147">
        <f>IF($E285="","",VLOOKUP(IF($B285&lt;=Input!$C$7,$B285,26),'Mortality Tables'!$A$72:$CA$97,IF($B285&lt;=Input!$C$7+1,Input!$C$4-16,$D285-Input!$C$7-16),0)/1000)</f>
        <v>1.0529999999999999E-2</v>
      </c>
      <c r="N285" s="147">
        <f t="shared" si="84"/>
        <v>8.817637461479011E-4</v>
      </c>
      <c r="O285" s="157">
        <f>IF($E285="","",IF($C285=12,IF($B285&lt;Input!$C$9,Input!$C$54,IF($B285=Input!$C$9,Input!$C$55,Input!$C$56)),0%))</f>
        <v>0</v>
      </c>
      <c r="P285" s="167">
        <f>IF($E285="","",IF($B285=1,Input!$C$59,IF($B285&lt;6,Input!$C$60,0%)))</f>
        <v>0</v>
      </c>
      <c r="Q285" s="162">
        <f>IF($E285="","",Input!$C$58)</f>
        <v>2.5</v>
      </c>
      <c r="R285" s="156">
        <f t="shared" si="96"/>
        <v>0.9991182362538521</v>
      </c>
      <c r="S285" s="154">
        <f t="shared" si="85"/>
        <v>4.1303448762628099E-2</v>
      </c>
      <c r="T285" s="152"/>
      <c r="U285" s="150">
        <f t="shared" si="97"/>
        <v>0</v>
      </c>
      <c r="V285" s="150">
        <f t="shared" si="98"/>
        <v>0</v>
      </c>
      <c r="W285" s="168">
        <f t="shared" si="99"/>
        <v>0</v>
      </c>
      <c r="X285" s="163">
        <f t="shared" si="86"/>
        <v>88.176374614790106</v>
      </c>
      <c r="Y285" s="152"/>
      <c r="Z285" s="164">
        <f>IF(AND($C284=12,$D284=Input!$C$6),0,IF($E285="","",V285+Z286/(1+L285)*R285))</f>
        <v>33475.801681170466</v>
      </c>
      <c r="AA285" s="164">
        <f>IF(OR($M285=1,AND($C284=12,$D284=Input!$C$6)),0,IF($E285="","",W285+(X285+AA286*$R285)/(1+$L285)))</f>
        <v>14037.055512236626</v>
      </c>
      <c r="AB285" s="160">
        <f t="shared" si="87"/>
        <v>0.825720328500681</v>
      </c>
      <c r="AC285" s="164">
        <f t="shared" si="88"/>
        <v>0</v>
      </c>
      <c r="AD285" s="164">
        <f>IF(AND($C284=12,$D284=Input!$C$6),0,IF($E285="","",$AC285+AD286/(1+$L285)*$R285))</f>
        <v>27641.649960999683</v>
      </c>
      <c r="AE285" s="152"/>
      <c r="AF285" s="164">
        <f>IF(AND($C284=12,$D284=Input!$C$6),0,IF($E285="","",IF($B285&gt;Input!$C$9,$AC285,0)+AF286/(1+$L285)*$R285))</f>
        <v>27641.649960999683</v>
      </c>
      <c r="AG285" s="164">
        <f>IF(AND($C284=12,$D284=Input!$C$6),0,IF($E285="","",(IF($B285&gt;Input!$C$9,$X285,0)+AG286)/(1+$L285)*$R285))</f>
        <v>13866.444162096323</v>
      </c>
      <c r="AH285" s="160">
        <f t="shared" si="89"/>
        <v>2.0950137211446997</v>
      </c>
      <c r="AI285" s="160">
        <f>IF($E285="","",MIN(Input!$C$61/AH285,1))</f>
        <v>0.64438718771845094</v>
      </c>
      <c r="AJ285" s="152"/>
      <c r="AK285" s="164">
        <f>IF(AND($C284=12,$D284=Input!$C$6),0,IF($E285="","",IF($B285&gt;Input!$C$9,$AC285*AI285,0)+AK286/(1+$L285)*$R285))</f>
        <v>17811.925082266447</v>
      </c>
      <c r="AL285" s="164">
        <f>IF(AND($C284=12,$D284=Input!$C$6),0,IF($E285="","",IF($B285&gt;Input!$C$9,0,$AC285)+AL286/(1+$L285)*$R285))</f>
        <v>0</v>
      </c>
      <c r="AM285" s="160">
        <f t="shared" si="90"/>
        <v>1.1382936520186004</v>
      </c>
      <c r="AN285" s="164">
        <f>IF($E285="","",IF($B285&gt;Input!$C$9,$AI285*$AC285,$AM285*$AC285))</f>
        <v>0</v>
      </c>
      <c r="AO285" s="164">
        <f>IF(AND($C284=12,$D284=Input!$C$6),0,IF($E285="","",$AN285+AO286/(1+$L285)*$R285))</f>
        <v>17811.925082266447</v>
      </c>
      <c r="AP285" s="152"/>
      <c r="AQ285" s="164">
        <f t="shared" si="91"/>
        <v>-3774.8695700298213</v>
      </c>
      <c r="AR285" s="164">
        <f t="shared" si="100"/>
        <v>-3655.3153308999285</v>
      </c>
      <c r="AS285" s="164">
        <f t="shared" si="101"/>
        <v>503.8277511961723</v>
      </c>
      <c r="AT285" s="164">
        <f t="shared" si="92"/>
        <v>503.8277511961723</v>
      </c>
      <c r="AU285" s="152"/>
      <c r="AV285" s="147">
        <f>'Deterministic Reserve'!BC285</f>
        <v>6.1820482052159488E-2</v>
      </c>
      <c r="AW285" s="164">
        <f t="shared" si="93"/>
        <v>503.8277511961723</v>
      </c>
      <c r="AX285" s="164">
        <f t="shared" si="94"/>
        <v>31.146874450202844</v>
      </c>
      <c r="AY285" s="152"/>
    </row>
    <row r="286" spans="1:51" s="150" customFormat="1" x14ac:dyDescent="0.25">
      <c r="A286" s="150">
        <f t="shared" si="102"/>
        <v>282</v>
      </c>
      <c r="B286" s="150">
        <f t="shared" si="103"/>
        <v>24</v>
      </c>
      <c r="C286" s="150">
        <f t="shared" si="104"/>
        <v>6</v>
      </c>
      <c r="D286" s="150">
        <f>IF(E286="","",Input!$C$4+B286-1)</f>
        <v>68</v>
      </c>
      <c r="E286" s="150">
        <f>IF(OR(AND(C285=12,D285=Input!$C$6),E285=""),"",1)</f>
        <v>1</v>
      </c>
      <c r="F286" s="150">
        <f>IF(E286="","",Input!$C$8+B286-1)</f>
        <v>2041</v>
      </c>
      <c r="G286" s="151">
        <f>IF(E286="","",MAX(0,Input!$C$9-B286))</f>
        <v>0</v>
      </c>
      <c r="H286" s="152">
        <f>IF(E286="","",Input!$C$3)</f>
        <v>100000</v>
      </c>
      <c r="I286" s="153">
        <f>IF(E286="","",HLOOKUP($B286,Input!$C$13:$BT$14,2))</f>
        <v>25.798500000000001</v>
      </c>
      <c r="J286" s="154"/>
      <c r="K286" s="155">
        <f>IF($E286="","",Input!$C$57)</f>
        <v>4.4999999999999998E-2</v>
      </c>
      <c r="L286" s="155">
        <f t="shared" si="95"/>
        <v>3.6748094004368514E-3</v>
      </c>
      <c r="M286" s="147">
        <f>IF($E286="","",VLOOKUP(IF($B286&lt;=Input!$C$7,$B286,26),'Mortality Tables'!$A$72:$CA$97,IF($B286&lt;=Input!$C$7+1,Input!$C$4-16,$D286-Input!$C$7-16),0)/1000)</f>
        <v>1.0529999999999999E-2</v>
      </c>
      <c r="N286" s="147">
        <f t="shared" si="84"/>
        <v>8.817637461479011E-4</v>
      </c>
      <c r="O286" s="157">
        <f>IF($E286="","",IF($C286=12,IF($B286&lt;Input!$C$9,Input!$C$54,IF($B286=Input!$C$9,Input!$C$55,Input!$C$56)),0%))</f>
        <v>0</v>
      </c>
      <c r="P286" s="167">
        <f>IF($E286="","",IF($B286=1,Input!$C$59,IF($B286&lt;6,Input!$C$60,0%)))</f>
        <v>0</v>
      </c>
      <c r="Q286" s="162">
        <f>IF($E286="","",Input!$C$58)</f>
        <v>2.5</v>
      </c>
      <c r="R286" s="156">
        <f t="shared" si="96"/>
        <v>0.9991182362538521</v>
      </c>
      <c r="S286" s="154">
        <f t="shared" si="85"/>
        <v>4.1267028878918338E-2</v>
      </c>
      <c r="T286" s="152"/>
      <c r="U286" s="150">
        <f t="shared" si="97"/>
        <v>0</v>
      </c>
      <c r="V286" s="150">
        <f t="shared" si="98"/>
        <v>0</v>
      </c>
      <c r="W286" s="168">
        <f t="shared" si="99"/>
        <v>0</v>
      </c>
      <c r="X286" s="163">
        <f t="shared" si="86"/>
        <v>88.176374614790106</v>
      </c>
      <c r="Y286" s="152"/>
      <c r="Z286" s="164">
        <f>IF(AND($C285=12,$D285=Input!$C$6),0,IF($E286="","",V286+Z287/(1+L286)*R286))</f>
        <v>33628.471238652215</v>
      </c>
      <c r="AA286" s="164">
        <f>IF(OR($M286=1,AND($C285=12,$D285=Input!$C$6)),0,IF($E286="","",W286+(X286+AA287*$R286)/(1+$L286)))</f>
        <v>14012.818636627781</v>
      </c>
      <c r="AB286" s="160">
        <f t="shared" si="87"/>
        <v>0.825720328500681</v>
      </c>
      <c r="AC286" s="164">
        <f t="shared" si="88"/>
        <v>0</v>
      </c>
      <c r="AD286" s="164">
        <f>IF(AND($C285=12,$D285=Input!$C$6),0,IF($E286="","",$AC286+AD287/(1+$L286)*$R286))</f>
        <v>27767.712318155565</v>
      </c>
      <c r="AE286" s="152"/>
      <c r="AF286" s="164">
        <f>IF(AND($C285=12,$D285=Input!$C$6),0,IF($E286="","",IF($B286&gt;Input!$C$9,$AC286,0)+AF287/(1+$L286)*$R286))</f>
        <v>27767.712318155565</v>
      </c>
      <c r="AG286" s="164">
        <f>IF(AND($C285=12,$D285=Input!$C$6),0,IF($E286="","",(IF($B286&gt;Input!$C$9,$X286,0)+AG287)/(1+$L286)*$R286))</f>
        <v>13841.507016648771</v>
      </c>
      <c r="AH286" s="160">
        <f t="shared" si="89"/>
        <v>2.0950137211446997</v>
      </c>
      <c r="AI286" s="160">
        <f>IF($E286="","",MIN(Input!$C$61/AH286,1))</f>
        <v>0.64438718771845094</v>
      </c>
      <c r="AJ286" s="152"/>
      <c r="AK286" s="164">
        <f>IF(AND($C285=12,$D285=Input!$C$6),0,IF($E286="","",IF($B286&gt;Input!$C$9,$AC286*AI286,0)+AK287/(1+$L286)*$R286))</f>
        <v>17893.158050071284</v>
      </c>
      <c r="AL286" s="164">
        <f>IF(AND($C285=12,$D285=Input!$C$6),0,IF($E286="","",IF($B286&gt;Input!$C$9,0,$AC286)+AL287/(1+$L286)*$R286))</f>
        <v>0</v>
      </c>
      <c r="AM286" s="160">
        <f t="shared" si="90"/>
        <v>1.1382936520186004</v>
      </c>
      <c r="AN286" s="164">
        <f>IF($E286="","",IF($B286&gt;Input!$C$9,$AI286*$AC286,$AM286*$AC286))</f>
        <v>0</v>
      </c>
      <c r="AO286" s="164">
        <f>IF(AND($C285=12,$D285=Input!$C$6),0,IF($E286="","",$AN286+AO287/(1+$L286)*$R286))</f>
        <v>17893.158050071284</v>
      </c>
      <c r="AP286" s="152"/>
      <c r="AQ286" s="164">
        <f t="shared" si="91"/>
        <v>-3880.3394134435039</v>
      </c>
      <c r="AR286" s="164">
        <f t="shared" si="100"/>
        <v>-3655.3153308999285</v>
      </c>
      <c r="AS286" s="164">
        <f t="shared" si="101"/>
        <v>503.8277511961723</v>
      </c>
      <c r="AT286" s="164">
        <f t="shared" si="92"/>
        <v>503.8277511961723</v>
      </c>
      <c r="AU286" s="152"/>
      <c r="AV286" s="147">
        <f>'Deterministic Reserve'!BC286</f>
        <v>6.1686448952536811E-2</v>
      </c>
      <c r="AW286" s="164">
        <f t="shared" si="93"/>
        <v>503.8277511961723</v>
      </c>
      <c r="AX286" s="164">
        <f t="shared" si="94"/>
        <v>31.079344855034101</v>
      </c>
      <c r="AY286" s="152"/>
    </row>
    <row r="287" spans="1:51" s="150" customFormat="1" x14ac:dyDescent="0.25">
      <c r="A287" s="150">
        <f t="shared" si="102"/>
        <v>283</v>
      </c>
      <c r="B287" s="150">
        <f t="shared" si="103"/>
        <v>24</v>
      </c>
      <c r="C287" s="150">
        <f t="shared" si="104"/>
        <v>7</v>
      </c>
      <c r="D287" s="150">
        <f>IF(E287="","",Input!$C$4+B287-1)</f>
        <v>68</v>
      </c>
      <c r="E287" s="150">
        <f>IF(OR(AND(C286=12,D286=Input!$C$6),E286=""),"",1)</f>
        <v>1</v>
      </c>
      <c r="F287" s="150">
        <f>IF(E287="","",Input!$C$8+B287-1)</f>
        <v>2041</v>
      </c>
      <c r="G287" s="151">
        <f>IF(E287="","",MAX(0,Input!$C$9-B287))</f>
        <v>0</v>
      </c>
      <c r="H287" s="152">
        <f>IF(E287="","",Input!$C$3)</f>
        <v>100000</v>
      </c>
      <c r="I287" s="153">
        <f>IF(E287="","",HLOOKUP($B287,Input!$C$13:$BT$14,2))</f>
        <v>25.798500000000001</v>
      </c>
      <c r="J287" s="154"/>
      <c r="K287" s="155">
        <f>IF($E287="","",Input!$C$57)</f>
        <v>4.4999999999999998E-2</v>
      </c>
      <c r="L287" s="155">
        <f t="shared" si="95"/>
        <v>3.6748094004368514E-3</v>
      </c>
      <c r="M287" s="147">
        <f>IF($E287="","",VLOOKUP(IF($B287&lt;=Input!$C$7,$B287,26),'Mortality Tables'!$A$72:$CA$97,IF($B287&lt;=Input!$C$7+1,Input!$C$4-16,$D287-Input!$C$7-16),0)/1000)</f>
        <v>1.0529999999999999E-2</v>
      </c>
      <c r="N287" s="147">
        <f t="shared" si="84"/>
        <v>8.817637461479011E-4</v>
      </c>
      <c r="O287" s="157">
        <f>IF($E287="","",IF($C287=12,IF($B287&lt;Input!$C$9,Input!$C$54,IF($B287=Input!$C$9,Input!$C$55,Input!$C$56)),0%))</f>
        <v>0</v>
      </c>
      <c r="P287" s="167">
        <f>IF($E287="","",IF($B287=1,Input!$C$59,IF($B287&lt;6,Input!$C$60,0%)))</f>
        <v>0</v>
      </c>
      <c r="Q287" s="162">
        <f>IF($E287="","",Input!$C$58)</f>
        <v>2.5</v>
      </c>
      <c r="R287" s="156">
        <f t="shared" si="96"/>
        <v>0.9991182362538521</v>
      </c>
      <c r="S287" s="154">
        <f t="shared" si="85"/>
        <v>4.1230641108941667E-2</v>
      </c>
      <c r="T287" s="152"/>
      <c r="U287" s="150">
        <f t="shared" si="97"/>
        <v>0</v>
      </c>
      <c r="V287" s="150">
        <f t="shared" si="98"/>
        <v>0</v>
      </c>
      <c r="W287" s="168">
        <f t="shared" si="99"/>
        <v>0</v>
      </c>
      <c r="X287" s="163">
        <f t="shared" si="86"/>
        <v>88.176374614790106</v>
      </c>
      <c r="Y287" s="152"/>
      <c r="Z287" s="164">
        <f>IF(AND($C286=12,$D286=Input!$C$6),0,IF($E287="","",V287+Z288/(1+L287)*R287))</f>
        <v>33781.837060080194</v>
      </c>
      <c r="AA287" s="164">
        <f>IF(OR($M287=1,AND($C286=12,$D286=Input!$C$6)),0,IF($E287="","",W287+(X287+AA288*$R287)/(1+$L287)))</f>
        <v>13988.47122645701</v>
      </c>
      <c r="AB287" s="160">
        <f t="shared" si="87"/>
        <v>0.825720328500681</v>
      </c>
      <c r="AC287" s="164">
        <f t="shared" si="88"/>
        <v>0</v>
      </c>
      <c r="AD287" s="164">
        <f>IF(AND($C286=12,$D286=Input!$C$6),0,IF($E287="","",$AC287+AD288/(1+$L287)*$R287))</f>
        <v>27894.34959460585</v>
      </c>
      <c r="AE287" s="152"/>
      <c r="AF287" s="164">
        <f>IF(AND($C286=12,$D286=Input!$C$6),0,IF($E287="","",IF($B287&gt;Input!$C$9,$AC287,0)+AF288/(1+$L287)*$R287))</f>
        <v>27894.34959460585</v>
      </c>
      <c r="AG287" s="164">
        <f>IF(AND($C286=12,$D286=Input!$C$6),0,IF($E287="","",(IF($B287&gt;Input!$C$9,$X287,0)+AG288)/(1+$L287)*$R287))</f>
        <v>13816.456142992509</v>
      </c>
      <c r="AH287" s="160">
        <f t="shared" si="89"/>
        <v>2.0950137211446997</v>
      </c>
      <c r="AI287" s="160">
        <f>IF($E287="","",MIN(Input!$C$61/AH287,1))</f>
        <v>0.64438718771845094</v>
      </c>
      <c r="AJ287" s="152"/>
      <c r="AK287" s="164">
        <f>IF(AND($C286=12,$D286=Input!$C$6),0,IF($E287="","",IF($B287&gt;Input!$C$9,$AC287*AI287,0)+AK288/(1+$L287)*$R287))</f>
        <v>17974.761488503405</v>
      </c>
      <c r="AL287" s="164">
        <f>IF(AND($C286=12,$D286=Input!$C$6),0,IF($E287="","",IF($B287&gt;Input!$C$9,0,$AC287)+AL288/(1+$L287)*$R287))</f>
        <v>0</v>
      </c>
      <c r="AM287" s="160">
        <f t="shared" si="90"/>
        <v>1.1382936520186004</v>
      </c>
      <c r="AN287" s="164">
        <f>IF($E287="","",IF($B287&gt;Input!$C$9,$AI287*$AC287,$AM287*$AC287))</f>
        <v>0</v>
      </c>
      <c r="AO287" s="164">
        <f>IF(AND($C286=12,$D286=Input!$C$6),0,IF($E287="","",$AN287+AO288/(1+$L287)*$R287))</f>
        <v>17974.761488503405</v>
      </c>
      <c r="AP287" s="152"/>
      <c r="AQ287" s="164">
        <f t="shared" si="91"/>
        <v>-3986.2902620463956</v>
      </c>
      <c r="AR287" s="164">
        <f t="shared" si="100"/>
        <v>-3655.3153308999285</v>
      </c>
      <c r="AS287" s="164">
        <f t="shared" si="101"/>
        <v>503.8277511961723</v>
      </c>
      <c r="AT287" s="164">
        <f t="shared" si="92"/>
        <v>503.8277511961723</v>
      </c>
      <c r="AU287" s="152"/>
      <c r="AV287" s="147">
        <f>'Deterministic Reserve'!BC287</f>
        <v>6.1552706450321307E-2</v>
      </c>
      <c r="AW287" s="164">
        <f t="shared" si="93"/>
        <v>503.8277511961723</v>
      </c>
      <c r="AX287" s="164">
        <f t="shared" si="94"/>
        <v>31.011961670903514</v>
      </c>
      <c r="AY287" s="152"/>
    </row>
    <row r="288" spans="1:51" s="150" customFormat="1" x14ac:dyDescent="0.25">
      <c r="A288" s="150">
        <f t="shared" si="102"/>
        <v>284</v>
      </c>
      <c r="B288" s="150">
        <f t="shared" si="103"/>
        <v>24</v>
      </c>
      <c r="C288" s="150">
        <f t="shared" si="104"/>
        <v>8</v>
      </c>
      <c r="D288" s="150">
        <f>IF(E288="","",Input!$C$4+B288-1)</f>
        <v>68</v>
      </c>
      <c r="E288" s="150">
        <f>IF(OR(AND(C287=12,D287=Input!$C$6),E287=""),"",1)</f>
        <v>1</v>
      </c>
      <c r="F288" s="150">
        <f>IF(E288="","",Input!$C$8+B288-1)</f>
        <v>2041</v>
      </c>
      <c r="G288" s="151">
        <f>IF(E288="","",MAX(0,Input!$C$9-B288))</f>
        <v>0</v>
      </c>
      <c r="H288" s="152">
        <f>IF(E288="","",Input!$C$3)</f>
        <v>100000</v>
      </c>
      <c r="I288" s="153">
        <f>IF(E288="","",HLOOKUP($B288,Input!$C$13:$BT$14,2))</f>
        <v>25.798500000000001</v>
      </c>
      <c r="J288" s="154"/>
      <c r="K288" s="155">
        <f>IF($E288="","",Input!$C$57)</f>
        <v>4.4999999999999998E-2</v>
      </c>
      <c r="L288" s="155">
        <f t="shared" si="95"/>
        <v>3.6748094004368514E-3</v>
      </c>
      <c r="M288" s="147">
        <f>IF($E288="","",VLOOKUP(IF($B288&lt;=Input!$C$7,$B288,26),'Mortality Tables'!$A$72:$CA$97,IF($B288&lt;=Input!$C$7+1,Input!$C$4-16,$D288-Input!$C$7-16),0)/1000)</f>
        <v>1.0529999999999999E-2</v>
      </c>
      <c r="N288" s="147">
        <f t="shared" si="84"/>
        <v>8.817637461479011E-4</v>
      </c>
      <c r="O288" s="157">
        <f>IF($E288="","",IF($C288=12,IF($B288&lt;Input!$C$9,Input!$C$54,IF($B288=Input!$C$9,Input!$C$55,Input!$C$56)),0%))</f>
        <v>0</v>
      </c>
      <c r="P288" s="167">
        <f>IF($E288="","",IF($B288=1,Input!$C$59,IF($B288&lt;6,Input!$C$60,0%)))</f>
        <v>0</v>
      </c>
      <c r="Q288" s="162">
        <f>IF($E288="","",Input!$C$58)</f>
        <v>2.5</v>
      </c>
      <c r="R288" s="156">
        <f t="shared" si="96"/>
        <v>0.9991182362538521</v>
      </c>
      <c r="S288" s="154">
        <f t="shared" si="85"/>
        <v>4.1194285424381367E-2</v>
      </c>
      <c r="T288" s="152"/>
      <c r="U288" s="150">
        <f t="shared" si="97"/>
        <v>0</v>
      </c>
      <c r="V288" s="150">
        <f t="shared" si="98"/>
        <v>0</v>
      </c>
      <c r="W288" s="168">
        <f t="shared" si="99"/>
        <v>0</v>
      </c>
      <c r="X288" s="163">
        <f t="shared" si="86"/>
        <v>88.176374614790106</v>
      </c>
      <c r="Y288" s="152"/>
      <c r="Z288" s="164">
        <f>IF(AND($C287=12,$D287=Input!$C$6),0,IF($E288="","",V288+Z289/(1+L288)*R288))</f>
        <v>33935.902320831927</v>
      </c>
      <c r="AA288" s="164">
        <f>IF(OR($M288=1,AND($C287=12,$D287=Input!$C$6)),0,IF($E288="","",W288+(X288+AA289*$R288)/(1+$L288)))</f>
        <v>13964.012777620997</v>
      </c>
      <c r="AB288" s="160">
        <f t="shared" si="87"/>
        <v>0.825720328500681</v>
      </c>
      <c r="AC288" s="164">
        <f t="shared" si="88"/>
        <v>0</v>
      </c>
      <c r="AD288" s="164">
        <f>IF(AND($C287=12,$D287=Input!$C$6),0,IF($E288="","",$AC288+AD289/(1+$L288)*$R288))</f>
        <v>28021.564412324315</v>
      </c>
      <c r="AE288" s="152"/>
      <c r="AF288" s="164">
        <f>IF(AND($C287=12,$D287=Input!$C$6),0,IF($E288="","",IF($B288&gt;Input!$C$9,$AC288,0)+AF289/(1+$L288)*$R288))</f>
        <v>28021.564412324315</v>
      </c>
      <c r="AG288" s="164">
        <f>IF(AND($C287=12,$D287=Input!$C$6),0,IF($E288="","",(IF($B288&gt;Input!$C$9,$X288,0)+AG289)/(1+$L288)*$R288))</f>
        <v>13791.291022459294</v>
      </c>
      <c r="AH288" s="160">
        <f t="shared" si="89"/>
        <v>2.0950137211446997</v>
      </c>
      <c r="AI288" s="160">
        <f>IF($E288="","",MIN(Input!$C$61/AH288,1))</f>
        <v>0.64438718771845094</v>
      </c>
      <c r="AJ288" s="152"/>
      <c r="AK288" s="164">
        <f>IF(AND($C287=12,$D287=Input!$C$6),0,IF($E288="","",IF($B288&gt;Input!$C$9,$AC288*AI288,0)+AK289/(1+$L288)*$R288))</f>
        <v>18056.73708712912</v>
      </c>
      <c r="AL288" s="164">
        <f>IF(AND($C287=12,$D287=Input!$C$6),0,IF($E288="","",IF($B288&gt;Input!$C$9,0,$AC288)+AL289/(1+$L288)*$R288))</f>
        <v>0</v>
      </c>
      <c r="AM288" s="160">
        <f t="shared" si="90"/>
        <v>1.1382936520186004</v>
      </c>
      <c r="AN288" s="164">
        <f>IF($E288="","",IF($B288&gt;Input!$C$9,$AI288*$AC288,$AM288*$AC288))</f>
        <v>0</v>
      </c>
      <c r="AO288" s="164">
        <f>IF(AND($C287=12,$D287=Input!$C$6),0,IF($E288="","",$AN288+AO289/(1+$L288)*$R288))</f>
        <v>18056.73708712912</v>
      </c>
      <c r="AP288" s="152"/>
      <c r="AQ288" s="164">
        <f t="shared" si="91"/>
        <v>-4092.724309508123</v>
      </c>
      <c r="AR288" s="164">
        <f t="shared" si="100"/>
        <v>-3655.3153308999285</v>
      </c>
      <c r="AS288" s="164">
        <f t="shared" si="101"/>
        <v>503.8277511961723</v>
      </c>
      <c r="AT288" s="164">
        <f t="shared" si="92"/>
        <v>503.8277511961723</v>
      </c>
      <c r="AU288" s="152"/>
      <c r="AV288" s="147">
        <f>'Deterministic Reserve'!BC288</f>
        <v>6.1419253915468208E-2</v>
      </c>
      <c r="AW288" s="164">
        <f t="shared" si="93"/>
        <v>503.8277511961723</v>
      </c>
      <c r="AX288" s="164">
        <f t="shared" si="94"/>
        <v>30.944724580377049</v>
      </c>
      <c r="AY288" s="152"/>
    </row>
    <row r="289" spans="1:51" s="150" customFormat="1" x14ac:dyDescent="0.25">
      <c r="A289" s="150">
        <f t="shared" si="102"/>
        <v>285</v>
      </c>
      <c r="B289" s="150">
        <f t="shared" si="103"/>
        <v>24</v>
      </c>
      <c r="C289" s="150">
        <f t="shared" si="104"/>
        <v>9</v>
      </c>
      <c r="D289" s="150">
        <f>IF(E289="","",Input!$C$4+B289-1)</f>
        <v>68</v>
      </c>
      <c r="E289" s="150">
        <f>IF(OR(AND(C288=12,D288=Input!$C$6),E288=""),"",1)</f>
        <v>1</v>
      </c>
      <c r="F289" s="150">
        <f>IF(E289="","",Input!$C$8+B289-1)</f>
        <v>2041</v>
      </c>
      <c r="G289" s="151">
        <f>IF(E289="","",MAX(0,Input!$C$9-B289))</f>
        <v>0</v>
      </c>
      <c r="H289" s="152">
        <f>IF(E289="","",Input!$C$3)</f>
        <v>100000</v>
      </c>
      <c r="I289" s="153">
        <f>IF(E289="","",HLOOKUP($B289,Input!$C$13:$BT$14,2))</f>
        <v>25.798500000000001</v>
      </c>
      <c r="J289" s="154"/>
      <c r="K289" s="155">
        <f>IF($E289="","",Input!$C$57)</f>
        <v>4.4999999999999998E-2</v>
      </c>
      <c r="L289" s="155">
        <f t="shared" si="95"/>
        <v>3.6748094004368514E-3</v>
      </c>
      <c r="M289" s="147">
        <f>IF($E289="","",VLOOKUP(IF($B289&lt;=Input!$C$7,$B289,26),'Mortality Tables'!$A$72:$CA$97,IF($B289&lt;=Input!$C$7+1,Input!$C$4-16,$D289-Input!$C$7-16),0)/1000)</f>
        <v>1.0529999999999999E-2</v>
      </c>
      <c r="N289" s="147">
        <f t="shared" si="84"/>
        <v>8.817637461479011E-4</v>
      </c>
      <c r="O289" s="157">
        <f>IF($E289="","",IF($C289=12,IF($B289&lt;Input!$C$9,Input!$C$54,IF($B289=Input!$C$9,Input!$C$55,Input!$C$56)),0%))</f>
        <v>0</v>
      </c>
      <c r="P289" s="167">
        <f>IF($E289="","",IF($B289=1,Input!$C$59,IF($B289&lt;6,Input!$C$60,0%)))</f>
        <v>0</v>
      </c>
      <c r="Q289" s="162">
        <f>IF($E289="","",Input!$C$58)</f>
        <v>2.5</v>
      </c>
      <c r="R289" s="156">
        <f t="shared" si="96"/>
        <v>0.9991182362538521</v>
      </c>
      <c r="S289" s="154">
        <f t="shared" si="85"/>
        <v>4.1157961796945676E-2</v>
      </c>
      <c r="T289" s="152"/>
      <c r="U289" s="150">
        <f t="shared" si="97"/>
        <v>0</v>
      </c>
      <c r="V289" s="150">
        <f t="shared" si="98"/>
        <v>0</v>
      </c>
      <c r="W289" s="168">
        <f t="shared" si="99"/>
        <v>0</v>
      </c>
      <c r="X289" s="163">
        <f t="shared" si="86"/>
        <v>88.176374614790106</v>
      </c>
      <c r="Y289" s="152"/>
      <c r="Z289" s="164">
        <f>IF(AND($C288=12,$D288=Input!$C$6),0,IF($E289="","",V289+Z290/(1+L289)*R289))</f>
        <v>34090.670210766562</v>
      </c>
      <c r="AA289" s="164">
        <f>IF(OR($M289=1,AND($C288=12,$D288=Input!$C$6)),0,IF($E289="","",W289+(X289+AA290*$R289)/(1+$L289)))</f>
        <v>13939.442783717415</v>
      </c>
      <c r="AB289" s="160">
        <f t="shared" si="87"/>
        <v>0.825720328500681</v>
      </c>
      <c r="AC289" s="164">
        <f t="shared" si="88"/>
        <v>0</v>
      </c>
      <c r="AD289" s="164">
        <f>IF(AND($C288=12,$D288=Input!$C$6),0,IF($E289="","",$AC289+AD290/(1+$L289)*$R289))</f>
        <v>28149.359405242503</v>
      </c>
      <c r="AE289" s="152"/>
      <c r="AF289" s="164">
        <f>IF(AND($C288=12,$D288=Input!$C$6),0,IF($E289="","",IF($B289&gt;Input!$C$9,$AC289,0)+AF290/(1+$L289)*$R289))</f>
        <v>28149.359405242503</v>
      </c>
      <c r="AG289" s="164">
        <f>IF(AND($C288=12,$D288=Input!$C$6),0,IF($E289="","",(IF($B289&gt;Input!$C$9,$X289,0)+AG290)/(1+$L289)*$R289))</f>
        <v>13766.011134015444</v>
      </c>
      <c r="AH289" s="160">
        <f t="shared" si="89"/>
        <v>2.0950137211446997</v>
      </c>
      <c r="AI289" s="160">
        <f>IF($E289="","",MIN(Input!$C$61/AH289,1))</f>
        <v>0.64438718771845094</v>
      </c>
      <c r="AJ289" s="152"/>
      <c r="AK289" s="164">
        <f>IF(AND($C288=12,$D288=Input!$C$6),0,IF($E289="","",IF($B289&gt;Input!$C$9,$AC289*AI289,0)+AK290/(1+$L289)*$R289))</f>
        <v>18139.086543220168</v>
      </c>
      <c r="AL289" s="164">
        <f>IF(AND($C288=12,$D288=Input!$C$6),0,IF($E289="","",IF($B289&gt;Input!$C$9,0,$AC289)+AL290/(1+$L289)*$R289))</f>
        <v>0</v>
      </c>
      <c r="AM289" s="160">
        <f t="shared" si="90"/>
        <v>1.1382936520186004</v>
      </c>
      <c r="AN289" s="164">
        <f>IF($E289="","",IF($B289&gt;Input!$C$9,$AI289*$AC289,$AM289*$AC289))</f>
        <v>0</v>
      </c>
      <c r="AO289" s="164">
        <f>IF(AND($C288=12,$D288=Input!$C$6),0,IF($E289="","",$AN289+AO290/(1+$L289)*$R289))</f>
        <v>18139.086543220168</v>
      </c>
      <c r="AP289" s="152"/>
      <c r="AQ289" s="164">
        <f t="shared" si="91"/>
        <v>-4199.6437595027528</v>
      </c>
      <c r="AR289" s="164">
        <f t="shared" si="100"/>
        <v>-3655.3153308999285</v>
      </c>
      <c r="AS289" s="164">
        <f t="shared" si="101"/>
        <v>503.8277511961723</v>
      </c>
      <c r="AT289" s="164">
        <f t="shared" si="92"/>
        <v>503.8277511961723</v>
      </c>
      <c r="AU289" s="152"/>
      <c r="AV289" s="147">
        <f>'Deterministic Reserve'!BC289</f>
        <v>6.1286090719298747E-2</v>
      </c>
      <c r="AW289" s="164">
        <f t="shared" si="93"/>
        <v>503.8277511961723</v>
      </c>
      <c r="AX289" s="164">
        <f t="shared" si="94"/>
        <v>30.877633266708894</v>
      </c>
      <c r="AY289" s="152"/>
    </row>
    <row r="290" spans="1:51" s="150" customFormat="1" x14ac:dyDescent="0.25">
      <c r="A290" s="150">
        <f t="shared" si="102"/>
        <v>286</v>
      </c>
      <c r="B290" s="150">
        <f t="shared" si="103"/>
        <v>24</v>
      </c>
      <c r="C290" s="150">
        <f t="shared" si="104"/>
        <v>10</v>
      </c>
      <c r="D290" s="150">
        <f>IF(E290="","",Input!$C$4+B290-1)</f>
        <v>68</v>
      </c>
      <c r="E290" s="150">
        <f>IF(OR(AND(C289=12,D289=Input!$C$6),E289=""),"",1)</f>
        <v>1</v>
      </c>
      <c r="F290" s="150">
        <f>IF(E290="","",Input!$C$8+B290-1)</f>
        <v>2041</v>
      </c>
      <c r="G290" s="151">
        <f>IF(E290="","",MAX(0,Input!$C$9-B290))</f>
        <v>0</v>
      </c>
      <c r="H290" s="152">
        <f>IF(E290="","",Input!$C$3)</f>
        <v>100000</v>
      </c>
      <c r="I290" s="153">
        <f>IF(E290="","",HLOOKUP($B290,Input!$C$13:$BT$14,2))</f>
        <v>25.798500000000001</v>
      </c>
      <c r="J290" s="154"/>
      <c r="K290" s="155">
        <f>IF($E290="","",Input!$C$57)</f>
        <v>4.4999999999999998E-2</v>
      </c>
      <c r="L290" s="155">
        <f t="shared" si="95"/>
        <v>3.6748094004368514E-3</v>
      </c>
      <c r="M290" s="147">
        <f>IF($E290="","",VLOOKUP(IF($B290&lt;=Input!$C$7,$B290,26),'Mortality Tables'!$A$72:$CA$97,IF($B290&lt;=Input!$C$7+1,Input!$C$4-16,$D290-Input!$C$7-16),0)/1000)</f>
        <v>1.0529999999999999E-2</v>
      </c>
      <c r="N290" s="147">
        <f t="shared" si="84"/>
        <v>8.817637461479011E-4</v>
      </c>
      <c r="O290" s="157">
        <f>IF($E290="","",IF($C290=12,IF($B290&lt;Input!$C$9,Input!$C$54,IF($B290=Input!$C$9,Input!$C$55,Input!$C$56)),0%))</f>
        <v>0</v>
      </c>
      <c r="P290" s="167">
        <f>IF($E290="","",IF($B290=1,Input!$C$59,IF($B290&lt;6,Input!$C$60,0%)))</f>
        <v>0</v>
      </c>
      <c r="Q290" s="162">
        <f>IF($E290="","",Input!$C$58)</f>
        <v>2.5</v>
      </c>
      <c r="R290" s="156">
        <f t="shared" si="96"/>
        <v>0.9991182362538521</v>
      </c>
      <c r="S290" s="154">
        <f t="shared" si="85"/>
        <v>4.1121670198367787E-2</v>
      </c>
      <c r="T290" s="152"/>
      <c r="U290" s="150">
        <f t="shared" si="97"/>
        <v>0</v>
      </c>
      <c r="V290" s="150">
        <f t="shared" si="98"/>
        <v>0</v>
      </c>
      <c r="W290" s="168">
        <f t="shared" si="99"/>
        <v>0</v>
      </c>
      <c r="X290" s="163">
        <f t="shared" si="86"/>
        <v>88.176374614790106</v>
      </c>
      <c r="Y290" s="152"/>
      <c r="Z290" s="164">
        <f>IF(AND($C289=12,$D289=Input!$C$6),0,IF($E290="","",V290+Z291/(1+L290)*R290))</f>
        <v>34246.1439342909</v>
      </c>
      <c r="AA290" s="164">
        <f>IF(OR($M290=1,AND($C289=12,$D289=Input!$C$6)),0,IF($E290="","",W290+(X290+AA291*$R290)/(1+$L290)))</f>
        <v>13914.760736034441</v>
      </c>
      <c r="AB290" s="160">
        <f t="shared" si="87"/>
        <v>0.825720328500681</v>
      </c>
      <c r="AC290" s="164">
        <f t="shared" si="88"/>
        <v>0</v>
      </c>
      <c r="AD290" s="164">
        <f>IF(AND($C289=12,$D289=Input!$C$6),0,IF($E290="","",$AC290+AD291/(1+$L290)*$R290))</f>
        <v>28277.737219304243</v>
      </c>
      <c r="AE290" s="152"/>
      <c r="AF290" s="164">
        <f>IF(AND($C289=12,$D289=Input!$C$6),0,IF($E290="","",IF($B290&gt;Input!$C$9,$AC290,0)+AF291/(1+$L290)*$R290))</f>
        <v>28277.737219304243</v>
      </c>
      <c r="AG290" s="164">
        <f>IF(AND($C289=12,$D289=Input!$C$6),0,IF($E290="","",(IF($B290&gt;Input!$C$9,$X290,0)+AG291)/(1+$L290)*$R290))</f>
        <v>13740.615954251054</v>
      </c>
      <c r="AH290" s="160">
        <f t="shared" si="89"/>
        <v>2.0950137211446997</v>
      </c>
      <c r="AI290" s="160">
        <f>IF($E290="","",MIN(Input!$C$61/AH290,1))</f>
        <v>0.64438718771845094</v>
      </c>
      <c r="AJ290" s="152"/>
      <c r="AK290" s="164">
        <f>IF(AND($C289=12,$D289=Input!$C$6),0,IF($E290="","",IF($B290&gt;Input!$C$9,$AC290*AI290,0)+AK291/(1+$L290)*$R290))</f>
        <v>18221.811561788854</v>
      </c>
      <c r="AL290" s="164">
        <f>IF(AND($C289=12,$D289=Input!$C$6),0,IF($E290="","",IF($B290&gt;Input!$C$9,0,$AC290)+AL291/(1+$L290)*$R290))</f>
        <v>0</v>
      </c>
      <c r="AM290" s="160">
        <f t="shared" si="90"/>
        <v>1.1382936520186004</v>
      </c>
      <c r="AN290" s="164">
        <f>IF($E290="","",IF($B290&gt;Input!$C$9,$AI290*$AC290,$AM290*$AC290))</f>
        <v>0</v>
      </c>
      <c r="AO290" s="164">
        <f>IF(AND($C289=12,$D289=Input!$C$6),0,IF($E290="","",$AN290+AO291/(1+$L290)*$R290))</f>
        <v>18221.811561788854</v>
      </c>
      <c r="AP290" s="152"/>
      <c r="AQ290" s="164">
        <f t="shared" si="91"/>
        <v>-4307.0508257544134</v>
      </c>
      <c r="AR290" s="164">
        <f t="shared" si="100"/>
        <v>-3655.3153308999285</v>
      </c>
      <c r="AS290" s="164">
        <f t="shared" si="101"/>
        <v>503.8277511961723</v>
      </c>
      <c r="AT290" s="164">
        <f t="shared" si="92"/>
        <v>503.8277511961723</v>
      </c>
      <c r="AU290" s="152"/>
      <c r="AV290" s="147">
        <f>'Deterministic Reserve'!BC290</f>
        <v>6.1153216234497203E-2</v>
      </c>
      <c r="AW290" s="164">
        <f t="shared" si="93"/>
        <v>503.8277511961723</v>
      </c>
      <c r="AX290" s="164">
        <f t="shared" si="94"/>
        <v>30.810687413839982</v>
      </c>
      <c r="AY290" s="152"/>
    </row>
    <row r="291" spans="1:51" s="150" customFormat="1" x14ac:dyDescent="0.25">
      <c r="A291" s="150">
        <f t="shared" si="102"/>
        <v>287</v>
      </c>
      <c r="B291" s="150">
        <f t="shared" si="103"/>
        <v>24</v>
      </c>
      <c r="C291" s="150">
        <f t="shared" si="104"/>
        <v>11</v>
      </c>
      <c r="D291" s="150">
        <f>IF(E291="","",Input!$C$4+B291-1)</f>
        <v>68</v>
      </c>
      <c r="E291" s="150">
        <f>IF(OR(AND(C290=12,D290=Input!$C$6),E290=""),"",1)</f>
        <v>1</v>
      </c>
      <c r="F291" s="150">
        <f>IF(E291="","",Input!$C$8+B291-1)</f>
        <v>2041</v>
      </c>
      <c r="G291" s="151">
        <f>IF(E291="","",MAX(0,Input!$C$9-B291))</f>
        <v>0</v>
      </c>
      <c r="H291" s="152">
        <f>IF(E291="","",Input!$C$3)</f>
        <v>100000</v>
      </c>
      <c r="I291" s="153">
        <f>IF(E291="","",HLOOKUP($B291,Input!$C$13:$BT$14,2))</f>
        <v>25.798500000000001</v>
      </c>
      <c r="J291" s="154"/>
      <c r="K291" s="155">
        <f>IF($E291="","",Input!$C$57)</f>
        <v>4.4999999999999998E-2</v>
      </c>
      <c r="L291" s="155">
        <f t="shared" si="95"/>
        <v>3.6748094004368514E-3</v>
      </c>
      <c r="M291" s="147">
        <f>IF($E291="","",VLOOKUP(IF($B291&lt;=Input!$C$7,$B291,26),'Mortality Tables'!$A$72:$CA$97,IF($B291&lt;=Input!$C$7+1,Input!$C$4-16,$D291-Input!$C$7-16),0)/1000)</f>
        <v>1.0529999999999999E-2</v>
      </c>
      <c r="N291" s="147">
        <f t="shared" si="84"/>
        <v>8.817637461479011E-4</v>
      </c>
      <c r="O291" s="157">
        <f>IF($E291="","",IF($C291=12,IF($B291&lt;Input!$C$9,Input!$C$54,IF($B291=Input!$C$9,Input!$C$55,Input!$C$56)),0%))</f>
        <v>0</v>
      </c>
      <c r="P291" s="167">
        <f>IF($E291="","",IF($B291=1,Input!$C$59,IF($B291&lt;6,Input!$C$60,0%)))</f>
        <v>0</v>
      </c>
      <c r="Q291" s="162">
        <f>IF($E291="","",Input!$C$58)</f>
        <v>2.5</v>
      </c>
      <c r="R291" s="156">
        <f t="shared" si="96"/>
        <v>0.9991182362538521</v>
      </c>
      <c r="S291" s="154">
        <f t="shared" si="85"/>
        <v>4.1085410600405818E-2</v>
      </c>
      <c r="T291" s="152"/>
      <c r="U291" s="150">
        <f t="shared" si="97"/>
        <v>0</v>
      </c>
      <c r="V291" s="150">
        <f t="shared" si="98"/>
        <v>0</v>
      </c>
      <c r="W291" s="168">
        <f t="shared" si="99"/>
        <v>0</v>
      </c>
      <c r="X291" s="163">
        <f t="shared" si="86"/>
        <v>88.176374614790106</v>
      </c>
      <c r="Y291" s="152"/>
      <c r="Z291" s="164">
        <f>IF(AND($C290=12,$D290=Input!$C$6),0,IF($E291="","",V291+Z292/(1+L291)*R291))</f>
        <v>34402.326710425732</v>
      </c>
      <c r="AA291" s="164">
        <f>IF(OR($M291=1,AND($C290=12,$D290=Input!$C$6)),0,IF($E291="","",W291+(X291+AA292*$R291)/(1+$L291)))</f>
        <v>13889.96612354022</v>
      </c>
      <c r="AB291" s="160">
        <f t="shared" si="87"/>
        <v>0.825720328500681</v>
      </c>
      <c r="AC291" s="164">
        <f t="shared" si="88"/>
        <v>0</v>
      </c>
      <c r="AD291" s="164">
        <f>IF(AND($C290=12,$D290=Input!$C$6),0,IF($E291="","",$AC291+AD292/(1+$L291)*$R291))</f>
        <v>28406.700512520449</v>
      </c>
      <c r="AE291" s="152"/>
      <c r="AF291" s="164">
        <f>IF(AND($C290=12,$D290=Input!$C$6),0,IF($E291="","",IF($B291&gt;Input!$C$9,$AC291,0)+AF292/(1+$L291)*$R291))</f>
        <v>28406.700512520449</v>
      </c>
      <c r="AG291" s="164">
        <f>IF(AND($C290=12,$D290=Input!$C$6),0,IF($E291="","",(IF($B291&gt;Input!$C$9,$X291,0)+AG292)/(1+$L291)*$R291))</f>
        <v>13715.104957369163</v>
      </c>
      <c r="AH291" s="160">
        <f t="shared" si="89"/>
        <v>2.0950137211446997</v>
      </c>
      <c r="AI291" s="160">
        <f>IF($E291="","",MIN(Input!$C$61/AH291,1))</f>
        <v>0.64438718771845094</v>
      </c>
      <c r="AJ291" s="152"/>
      <c r="AK291" s="164">
        <f>IF(AND($C290=12,$D290=Input!$C$6),0,IF($E291="","",IF($B291&gt;Input!$C$9,$AC291*AI291,0)+AK292/(1+$L291)*$R291))</f>
        <v>18304.913855623352</v>
      </c>
      <c r="AL291" s="164">
        <f>IF(AND($C290=12,$D290=Input!$C$6),0,IF($E291="","",IF($B291&gt;Input!$C$9,0,$AC291)+AL292/(1+$L291)*$R291))</f>
        <v>0</v>
      </c>
      <c r="AM291" s="160">
        <f t="shared" si="90"/>
        <v>1.1382936520186004</v>
      </c>
      <c r="AN291" s="164">
        <f>IF($E291="","",IF($B291&gt;Input!$C$9,$AI291*$AC291,$AM291*$AC291))</f>
        <v>0</v>
      </c>
      <c r="AO291" s="164">
        <f>IF(AND($C290=12,$D290=Input!$C$6),0,IF($E291="","",$AN291+AO292/(1+$L291)*$R291))</f>
        <v>18304.913855623352</v>
      </c>
      <c r="AP291" s="152"/>
      <c r="AQ291" s="164">
        <f t="shared" si="91"/>
        <v>-4414.947732083132</v>
      </c>
      <c r="AR291" s="164">
        <f t="shared" si="100"/>
        <v>-3655.3153308999285</v>
      </c>
      <c r="AS291" s="164">
        <f t="shared" si="101"/>
        <v>503.8277511961723</v>
      </c>
      <c r="AT291" s="164">
        <f t="shared" si="92"/>
        <v>503.8277511961723</v>
      </c>
      <c r="AU291" s="152"/>
      <c r="AV291" s="147">
        <f>'Deterministic Reserve'!BC291</f>
        <v>6.1020629835107927E-2</v>
      </c>
      <c r="AW291" s="164">
        <f t="shared" si="93"/>
        <v>503.8277511961723</v>
      </c>
      <c r="AX291" s="164">
        <f t="shared" si="94"/>
        <v>30.743886706396484</v>
      </c>
      <c r="AY291" s="152"/>
    </row>
    <row r="292" spans="1:51" s="150" customFormat="1" x14ac:dyDescent="0.25">
      <c r="A292" s="150">
        <f t="shared" si="102"/>
        <v>288</v>
      </c>
      <c r="B292" s="150">
        <f t="shared" si="103"/>
        <v>24</v>
      </c>
      <c r="C292" s="150">
        <f t="shared" si="104"/>
        <v>12</v>
      </c>
      <c r="D292" s="150">
        <f>IF(E292="","",Input!$C$4+B292-1)</f>
        <v>68</v>
      </c>
      <c r="E292" s="150">
        <f>IF(OR(AND(C291=12,D291=Input!$C$6),E291=""),"",1)</f>
        <v>1</v>
      </c>
      <c r="F292" s="150">
        <f>IF(E292="","",Input!$C$8+B292-1)</f>
        <v>2041</v>
      </c>
      <c r="G292" s="151">
        <f>IF(E292="","",MAX(0,Input!$C$9-B292))</f>
        <v>0</v>
      </c>
      <c r="H292" s="152">
        <f>IF(E292="","",Input!$C$3)</f>
        <v>100000</v>
      </c>
      <c r="I292" s="153">
        <f>IF(E292="","",HLOOKUP($B292,Input!$C$13:$BT$14,2))</f>
        <v>25.798500000000001</v>
      </c>
      <c r="J292" s="154"/>
      <c r="K292" s="155">
        <f>IF($E292="","",Input!$C$57)</f>
        <v>4.4999999999999998E-2</v>
      </c>
      <c r="L292" s="155">
        <f t="shared" si="95"/>
        <v>3.6748094004368514E-3</v>
      </c>
      <c r="M292" s="147">
        <f>IF($E292="","",VLOOKUP(IF($B292&lt;=Input!$C$7,$B292,26),'Mortality Tables'!$A$72:$CA$97,IF($B292&lt;=Input!$C$7+1,Input!$C$4-16,$D292-Input!$C$7-16),0)/1000)</f>
        <v>1.0529999999999999E-2</v>
      </c>
      <c r="N292" s="147">
        <f t="shared" si="84"/>
        <v>8.817637461479011E-4</v>
      </c>
      <c r="O292" s="157">
        <f>IF($E292="","",IF($C292=12,IF($B292&lt;Input!$C$9,Input!$C$54,IF($B292=Input!$C$9,Input!$C$55,Input!$C$56)),0%))</f>
        <v>0.1</v>
      </c>
      <c r="P292" s="167">
        <f>IF($E292="","",IF($B292=1,Input!$C$59,IF($B292&lt;6,Input!$C$60,0%)))</f>
        <v>0</v>
      </c>
      <c r="Q292" s="162">
        <f>IF($E292="","",Input!$C$58)</f>
        <v>2.5</v>
      </c>
      <c r="R292" s="156">
        <f t="shared" si="96"/>
        <v>0.89911823625385212</v>
      </c>
      <c r="S292" s="154">
        <f t="shared" si="85"/>
        <v>3.6940641914802196E-2</v>
      </c>
      <c r="T292" s="152"/>
      <c r="U292" s="150">
        <f t="shared" si="97"/>
        <v>0</v>
      </c>
      <c r="V292" s="150">
        <f t="shared" si="98"/>
        <v>0</v>
      </c>
      <c r="W292" s="168">
        <f t="shared" si="99"/>
        <v>0</v>
      </c>
      <c r="X292" s="163">
        <f t="shared" si="86"/>
        <v>88.176374614790106</v>
      </c>
      <c r="Y292" s="152"/>
      <c r="Z292" s="164">
        <f>IF(AND($C291=12,$D291=Input!$C$6),0,IF($E292="","",V292+Z293/(1+L292)*R292))</f>
        <v>34559.221772872515</v>
      </c>
      <c r="AA292" s="164">
        <f>IF(OR($M292=1,AND($C291=12,$D291=Input!$C$6)),0,IF($E292="","",W292+(X292+AA293*$R292)/(1+$L292)))</f>
        <v>13865.058432872293</v>
      </c>
      <c r="AB292" s="160">
        <f t="shared" si="87"/>
        <v>0.825720328500681</v>
      </c>
      <c r="AC292" s="164">
        <f t="shared" si="88"/>
        <v>0</v>
      </c>
      <c r="AD292" s="164">
        <f>IF(AND($C291=12,$D291=Input!$C$6),0,IF($E292="","",$AC292+AD293/(1+$L292)*$R292))</f>
        <v>28536.251955024134</v>
      </c>
      <c r="AE292" s="152"/>
      <c r="AF292" s="164">
        <f>IF(AND($C291=12,$D291=Input!$C$6),0,IF($E292="","",IF($B292&gt;Input!$C$9,$AC292,0)+AF293/(1+$L292)*$R292))</f>
        <v>28536.251955024134</v>
      </c>
      <c r="AG292" s="164">
        <f>IF(AND($C291=12,$D291=Input!$C$6),0,IF($E292="","",(IF($B292&gt;Input!$C$9,$X292,0)+AG293)/(1+$L292)*$R292))</f>
        <v>13689.477615174857</v>
      </c>
      <c r="AH292" s="160">
        <f t="shared" si="89"/>
        <v>2.0950137211446997</v>
      </c>
      <c r="AI292" s="160">
        <f>IF($E292="","",MIN(Input!$C$61/AH292,1))</f>
        <v>0.64438718771845094</v>
      </c>
      <c r="AJ292" s="152"/>
      <c r="AK292" s="164">
        <f>IF(AND($C291=12,$D291=Input!$C$6),0,IF($E292="","",IF($B292&gt;Input!$C$9,$AC292*AI292,0)+AK293/(1+$L292)*$R292))</f>
        <v>18388.395145323171</v>
      </c>
      <c r="AL292" s="164">
        <f>IF(AND($C291=12,$D291=Input!$C$6),0,IF($E292="","",IF($B292&gt;Input!$C$9,0,$AC292)+AL293/(1+$L292)*$R292))</f>
        <v>0</v>
      </c>
      <c r="AM292" s="160">
        <f t="shared" si="90"/>
        <v>1.1382936520186004</v>
      </c>
      <c r="AN292" s="164">
        <f>IF($E292="","",IF($B292&gt;Input!$C$9,$AI292*$AC292,$AM292*$AC292))</f>
        <v>0</v>
      </c>
      <c r="AO292" s="164">
        <f>IF(AND($C291=12,$D291=Input!$C$6),0,IF($E292="","",$AN292+AO293/(1+$L292)*$R292))</f>
        <v>18388.395145323171</v>
      </c>
      <c r="AP292" s="152"/>
      <c r="AQ292" s="164">
        <f t="shared" si="91"/>
        <v>-4523.3367124508786</v>
      </c>
      <c r="AR292" s="164">
        <f t="shared" si="100"/>
        <v>-3655.3153308999285</v>
      </c>
      <c r="AS292" s="164">
        <f t="shared" si="101"/>
        <v>503.8277511961723</v>
      </c>
      <c r="AT292" s="164">
        <f t="shared" si="92"/>
        <v>503.8277511961723</v>
      </c>
      <c r="AU292" s="152"/>
      <c r="AV292" s="147">
        <f>'Deterministic Reserve'!BC292</f>
        <v>5.4786267913021623E-2</v>
      </c>
      <c r="AW292" s="164">
        <f t="shared" si="93"/>
        <v>503.8277511961723</v>
      </c>
      <c r="AX292" s="164">
        <f t="shared" si="94"/>
        <v>27.602842159048695</v>
      </c>
      <c r="AY292" s="152"/>
    </row>
    <row r="293" spans="1:51" s="150" customFormat="1" x14ac:dyDescent="0.25">
      <c r="A293" s="150">
        <f t="shared" si="102"/>
        <v>289</v>
      </c>
      <c r="B293" s="150">
        <f t="shared" si="103"/>
        <v>25</v>
      </c>
      <c r="C293" s="150">
        <f t="shared" si="104"/>
        <v>1</v>
      </c>
      <c r="D293" s="150">
        <f>IF(E293="","",Input!$C$4+B293-1)</f>
        <v>69</v>
      </c>
      <c r="E293" s="150">
        <f>IF(OR(AND(C292=12,D292=Input!$C$6),E292=""),"",1)</f>
        <v>1</v>
      </c>
      <c r="F293" s="150">
        <f>IF(E293="","",Input!$C$8+B293-1)</f>
        <v>2042</v>
      </c>
      <c r="G293" s="151">
        <f>IF(E293="","",MAX(0,Input!$C$9-B293))</f>
        <v>0</v>
      </c>
      <c r="H293" s="152">
        <f>IF(E293="","",Input!$C$3)</f>
        <v>100000</v>
      </c>
      <c r="I293" s="153">
        <f>IF(E293="","",HLOOKUP($B293,Input!$C$13:$BT$14,2))</f>
        <v>28.836500000000001</v>
      </c>
      <c r="J293" s="154"/>
      <c r="K293" s="155">
        <f>IF($E293="","",Input!$C$57)</f>
        <v>4.4999999999999998E-2</v>
      </c>
      <c r="L293" s="155">
        <f t="shared" si="95"/>
        <v>3.6748094004368514E-3</v>
      </c>
      <c r="M293" s="147">
        <f>IF($E293="","",VLOOKUP(IF($B293&lt;=Input!$C$7,$B293,26),'Mortality Tables'!$A$72:$CA$97,IF($B293&lt;=Input!$C$7+1,Input!$C$4-16,$D293-Input!$C$7-16),0)/1000)</f>
        <v>1.1769999999999999E-2</v>
      </c>
      <c r="N293" s="147">
        <f t="shared" si="84"/>
        <v>9.8616465339718129E-4</v>
      </c>
      <c r="O293" s="157">
        <f>IF($E293="","",IF($C293=12,IF($B293&lt;Input!$C$9,Input!$C$54,IF($B293=Input!$C$9,Input!$C$55,Input!$C$56)),0%))</f>
        <v>0</v>
      </c>
      <c r="P293" s="167">
        <f>IF($E293="","",IF($B293=1,Input!$C$59,IF($B293&lt;6,Input!$C$60,0%)))</f>
        <v>0</v>
      </c>
      <c r="Q293" s="162">
        <f>IF($E293="","",Input!$C$58)</f>
        <v>2.5</v>
      </c>
      <c r="R293" s="156">
        <f t="shared" si="96"/>
        <v>0.99901383534660282</v>
      </c>
      <c r="S293" s="154">
        <f t="shared" si="85"/>
        <v>3.6904212359472013E-2</v>
      </c>
      <c r="T293" s="152"/>
      <c r="U293" s="150">
        <f t="shared" si="97"/>
        <v>2883.65</v>
      </c>
      <c r="V293" s="150">
        <f t="shared" si="98"/>
        <v>2883.65</v>
      </c>
      <c r="W293" s="168">
        <f t="shared" si="99"/>
        <v>0</v>
      </c>
      <c r="X293" s="163">
        <f t="shared" si="86"/>
        <v>98.616465339718133</v>
      </c>
      <c r="Y293" s="152"/>
      <c r="Z293" s="164">
        <f>IF(AND($C292=12,$D292=Input!$C$6),0,IF($E293="","",V293+Z294/(1+L293)*R293))</f>
        <v>38578.041160008383</v>
      </c>
      <c r="AA293" s="164">
        <f>IF(OR($M293=1,AND($C292=12,$D292=Input!$C$6)),0,IF($E293="","",W293+(X293+AA294*$R293)/(1+$L293)))</f>
        <v>15379.327153831806</v>
      </c>
      <c r="AB293" s="160">
        <f t="shared" si="87"/>
        <v>0.825720328500681</v>
      </c>
      <c r="AC293" s="164">
        <f t="shared" si="88"/>
        <v>2381.0884252809888</v>
      </c>
      <c r="AD293" s="164">
        <f>IF(AND($C292=12,$D292=Input!$C$6),0,IF($E293="","",$AC293+AD294/(1+$L293)*$R293))</f>
        <v>31854.672819554864</v>
      </c>
      <c r="AE293" s="152"/>
      <c r="AF293" s="164">
        <f>IF(AND($C292=12,$D292=Input!$C$6),0,IF($E293="","",IF($B293&gt;Input!$C$9,$AC293,0)+AF294/(1+$L293)*$R293))</f>
        <v>31854.672819554864</v>
      </c>
      <c r="AG293" s="164">
        <f>IF(AND($C292=12,$D292=Input!$C$6),0,IF($E293="","",(IF($B293&gt;Input!$C$9,$X293,0)+AG294)/(1+$L293)*$R293))</f>
        <v>15193.221868900489</v>
      </c>
      <c r="AH293" s="160">
        <f t="shared" si="89"/>
        <v>2.0950137211446997</v>
      </c>
      <c r="AI293" s="160">
        <f>IF($E293="","",MIN(Input!$C$61/AH293,1))</f>
        <v>0.64438718771845094</v>
      </c>
      <c r="AJ293" s="152"/>
      <c r="AK293" s="164">
        <f>IF(AND($C292=12,$D292=Input!$C$6),0,IF($E293="","",IF($B293&gt;Input!$C$9,$AC293*AI293,0)+AK294/(1+$L293)*$R293))</f>
        <v>20526.743033884359</v>
      </c>
      <c r="AL293" s="164">
        <f>IF(AND($C292=12,$D292=Input!$C$6),0,IF($E293="","",IF($B293&gt;Input!$C$9,0,$AC293)+AL294/(1+$L293)*$R293))</f>
        <v>0</v>
      </c>
      <c r="AM293" s="160">
        <f t="shared" si="90"/>
        <v>1.1382936520186004</v>
      </c>
      <c r="AN293" s="164">
        <f>IF($E293="","",IF($B293&gt;Input!$C$9,$AI293*$AC293,$AM293*$AC293))</f>
        <v>1534.3428740757713</v>
      </c>
      <c r="AO293" s="164">
        <f>IF(AND($C292=12,$D292=Input!$C$6),0,IF($E293="","",$AN293+AO294/(1+$L293)*$R293))</f>
        <v>20526.743033884359</v>
      </c>
      <c r="AP293" s="152"/>
      <c r="AQ293" s="164">
        <f t="shared" si="91"/>
        <v>-5147.4158800525529</v>
      </c>
      <c r="AR293" s="164">
        <f t="shared" si="100"/>
        <v>-3951.7108656442524</v>
      </c>
      <c r="AS293" s="164">
        <f t="shared" si="101"/>
        <v>563.1578947368422</v>
      </c>
      <c r="AT293" s="164">
        <f t="shared" si="92"/>
        <v>563.1578947368422</v>
      </c>
      <c r="AU293" s="152"/>
      <c r="AV293" s="147">
        <f>'Deterministic Reserve'!BC293</f>
        <v>5.4653919320608195E-2</v>
      </c>
      <c r="AW293" s="164">
        <f t="shared" si="93"/>
        <v>563.1578947368422</v>
      </c>
      <c r="AX293" s="164">
        <f t="shared" si="94"/>
        <v>30.778786143710935</v>
      </c>
      <c r="AY293" s="152"/>
    </row>
    <row r="294" spans="1:51" s="150" customFormat="1" x14ac:dyDescent="0.25">
      <c r="A294" s="150">
        <f t="shared" si="102"/>
        <v>290</v>
      </c>
      <c r="B294" s="150">
        <f t="shared" si="103"/>
        <v>25</v>
      </c>
      <c r="C294" s="150">
        <f t="shared" si="104"/>
        <v>2</v>
      </c>
      <c r="D294" s="150">
        <f>IF(E294="","",Input!$C$4+B294-1)</f>
        <v>69</v>
      </c>
      <c r="E294" s="150">
        <f>IF(OR(AND(C293=12,D293=Input!$C$6),E293=""),"",1)</f>
        <v>1</v>
      </c>
      <c r="F294" s="150">
        <f>IF(E294="","",Input!$C$8+B294-1)</f>
        <v>2042</v>
      </c>
      <c r="G294" s="151">
        <f>IF(E294="","",MAX(0,Input!$C$9-B294))</f>
        <v>0</v>
      </c>
      <c r="H294" s="152">
        <f>IF(E294="","",Input!$C$3)</f>
        <v>100000</v>
      </c>
      <c r="I294" s="153">
        <f>IF(E294="","",HLOOKUP($B294,Input!$C$13:$BT$14,2))</f>
        <v>28.836500000000001</v>
      </c>
      <c r="J294" s="154"/>
      <c r="K294" s="155">
        <f>IF($E294="","",Input!$C$57)</f>
        <v>4.4999999999999998E-2</v>
      </c>
      <c r="L294" s="155">
        <f t="shared" si="95"/>
        <v>3.6748094004368514E-3</v>
      </c>
      <c r="M294" s="147">
        <f>IF($E294="","",VLOOKUP(IF($B294&lt;=Input!$C$7,$B294,26),'Mortality Tables'!$A$72:$CA$97,IF($B294&lt;=Input!$C$7+1,Input!$C$4-16,$D294-Input!$C$7-16),0)/1000)</f>
        <v>1.1769999999999999E-2</v>
      </c>
      <c r="N294" s="147">
        <f t="shared" si="84"/>
        <v>9.8616465339718129E-4</v>
      </c>
      <c r="O294" s="157">
        <f>IF($E294="","",IF($C294=12,IF($B294&lt;Input!$C$9,Input!$C$54,IF($B294=Input!$C$9,Input!$C$55,Input!$C$56)),0%))</f>
        <v>0</v>
      </c>
      <c r="P294" s="167">
        <f>IF($E294="","",IF($B294=1,Input!$C$59,IF($B294&lt;6,Input!$C$60,0%)))</f>
        <v>0</v>
      </c>
      <c r="Q294" s="162">
        <f>IF($E294="","",Input!$C$58)</f>
        <v>2.5</v>
      </c>
      <c r="R294" s="156">
        <f t="shared" si="96"/>
        <v>0.99901383534660282</v>
      </c>
      <c r="S294" s="154">
        <f t="shared" si="85"/>
        <v>3.6867818729681638E-2</v>
      </c>
      <c r="T294" s="152"/>
      <c r="U294" s="150">
        <f t="shared" si="97"/>
        <v>0</v>
      </c>
      <c r="V294" s="150">
        <f t="shared" si="98"/>
        <v>0</v>
      </c>
      <c r="W294" s="168">
        <f t="shared" si="99"/>
        <v>0</v>
      </c>
      <c r="X294" s="163">
        <f t="shared" si="86"/>
        <v>98.616465339718133</v>
      </c>
      <c r="Y294" s="152"/>
      <c r="Z294" s="164">
        <f>IF(AND($C293=12,$D293=Input!$C$6),0,IF($E294="","",V294+Z295/(1+L294)*R294))</f>
        <v>35860.926021866901</v>
      </c>
      <c r="AA294" s="164">
        <f>IF(OR($M294=1,AND($C293=12,$D293=Input!$C$6)),0,IF($E294="","",W294+(X294+AA295*$R294)/(1+$L294)))</f>
        <v>15352.366745920201</v>
      </c>
      <c r="AB294" s="160">
        <f t="shared" si="87"/>
        <v>0.825720328500681</v>
      </c>
      <c r="AC294" s="164">
        <f t="shared" si="88"/>
        <v>0</v>
      </c>
      <c r="AD294" s="164">
        <f>IF(AND($C293=12,$D293=Input!$C$6),0,IF($E294="","",$AC294+AD295/(1+$L294)*$R294))</f>
        <v>29611.095615114511</v>
      </c>
      <c r="AE294" s="152"/>
      <c r="AF294" s="164">
        <f>IF(AND($C293=12,$D293=Input!$C$6),0,IF($E294="","",IF($B294&gt;Input!$C$9,$AC294,0)+AF295/(1+$L294)*$R294))</f>
        <v>29611.095615114511</v>
      </c>
      <c r="AG294" s="164">
        <f>IF(AND($C293=12,$D293=Input!$C$6),0,IF($E294="","",(IF($B294&gt;Input!$C$9,$X294,0)+AG295)/(1+$L294)*$R294))</f>
        <v>15165.490520883015</v>
      </c>
      <c r="AH294" s="160">
        <f t="shared" si="89"/>
        <v>2.0950137211446997</v>
      </c>
      <c r="AI294" s="160">
        <f>IF($E294="","",MIN(Input!$C$61/AH294,1))</f>
        <v>0.64438718771845094</v>
      </c>
      <c r="AJ294" s="152"/>
      <c r="AK294" s="164">
        <f>IF(AND($C293=12,$D293=Input!$C$6),0,IF($E294="","",IF($B294&gt;Input!$C$9,$AC294*AI294,0)+AK295/(1+$L294)*$R294))</f>
        <v>19081.010628685817</v>
      </c>
      <c r="AL294" s="164">
        <f>IF(AND($C293=12,$D293=Input!$C$6),0,IF($E294="","",IF($B294&gt;Input!$C$9,0,$AC294)+AL295/(1+$L294)*$R294))</f>
        <v>0</v>
      </c>
      <c r="AM294" s="160">
        <f t="shared" si="90"/>
        <v>1.1382936520186004</v>
      </c>
      <c r="AN294" s="164">
        <f>IF($E294="","",IF($B294&gt;Input!$C$9,$AI294*$AC294,$AM294*$AC294))</f>
        <v>0</v>
      </c>
      <c r="AO294" s="164">
        <f>IF(AND($C293=12,$D293=Input!$C$6),0,IF($E294="","",$AN294+AO295/(1+$L294)*$R294))</f>
        <v>19081.010628685817</v>
      </c>
      <c r="AP294" s="152"/>
      <c r="AQ294" s="164">
        <f t="shared" si="91"/>
        <v>-3728.6438827656166</v>
      </c>
      <c r="AR294" s="164">
        <f t="shared" si="100"/>
        <v>-3951.7108656442524</v>
      </c>
      <c r="AS294" s="164">
        <f t="shared" si="101"/>
        <v>563.1578947368422</v>
      </c>
      <c r="AT294" s="164">
        <f t="shared" si="92"/>
        <v>563.1578947368422</v>
      </c>
      <c r="AU294" s="152"/>
      <c r="AV294" s="147">
        <f>'Deterministic Reserve'!BC294</f>
        <v>5.4521890446083597E-2</v>
      </c>
      <c r="AW294" s="164">
        <f t="shared" si="93"/>
        <v>563.1578947368422</v>
      </c>
      <c r="AX294" s="164">
        <f t="shared" si="94"/>
        <v>30.704433040689189</v>
      </c>
      <c r="AY294" s="152"/>
    </row>
    <row r="295" spans="1:51" s="150" customFormat="1" x14ac:dyDescent="0.25">
      <c r="A295" s="150">
        <f t="shared" si="102"/>
        <v>291</v>
      </c>
      <c r="B295" s="150">
        <f t="shared" si="103"/>
        <v>25</v>
      </c>
      <c r="C295" s="150">
        <f t="shared" si="104"/>
        <v>3</v>
      </c>
      <c r="D295" s="150">
        <f>IF(E295="","",Input!$C$4+B295-1)</f>
        <v>69</v>
      </c>
      <c r="E295" s="150">
        <f>IF(OR(AND(C294=12,D294=Input!$C$6),E294=""),"",1)</f>
        <v>1</v>
      </c>
      <c r="F295" s="150">
        <f>IF(E295="","",Input!$C$8+B295-1)</f>
        <v>2042</v>
      </c>
      <c r="G295" s="151">
        <f>IF(E295="","",MAX(0,Input!$C$9-B295))</f>
        <v>0</v>
      </c>
      <c r="H295" s="152">
        <f>IF(E295="","",Input!$C$3)</f>
        <v>100000</v>
      </c>
      <c r="I295" s="153">
        <f>IF(E295="","",HLOOKUP($B295,Input!$C$13:$BT$14,2))</f>
        <v>28.836500000000001</v>
      </c>
      <c r="J295" s="154"/>
      <c r="K295" s="155">
        <f>IF($E295="","",Input!$C$57)</f>
        <v>4.4999999999999998E-2</v>
      </c>
      <c r="L295" s="155">
        <f t="shared" si="95"/>
        <v>3.6748094004368514E-3</v>
      </c>
      <c r="M295" s="147">
        <f>IF($E295="","",VLOOKUP(IF($B295&lt;=Input!$C$7,$B295,26),'Mortality Tables'!$A$72:$CA$97,IF($B295&lt;=Input!$C$7+1,Input!$C$4-16,$D295-Input!$C$7-16),0)/1000)</f>
        <v>1.1769999999999999E-2</v>
      </c>
      <c r="N295" s="147">
        <f t="shared" si="84"/>
        <v>9.8616465339718129E-4</v>
      </c>
      <c r="O295" s="157">
        <f>IF($E295="","",IF($C295=12,IF($B295&lt;Input!$C$9,Input!$C$54,IF($B295=Input!$C$9,Input!$C$55,Input!$C$56)),0%))</f>
        <v>0</v>
      </c>
      <c r="P295" s="167">
        <f>IF($E295="","",IF($B295=1,Input!$C$59,IF($B295&lt;6,Input!$C$60,0%)))</f>
        <v>0</v>
      </c>
      <c r="Q295" s="162">
        <f>IF($E295="","",Input!$C$58)</f>
        <v>2.5</v>
      </c>
      <c r="R295" s="156">
        <f t="shared" si="96"/>
        <v>0.99901383534660282</v>
      </c>
      <c r="S295" s="154">
        <f t="shared" si="85"/>
        <v>3.6831460990002569E-2</v>
      </c>
      <c r="T295" s="152"/>
      <c r="U295" s="150">
        <f t="shared" si="97"/>
        <v>0</v>
      </c>
      <c r="V295" s="150">
        <f t="shared" si="98"/>
        <v>0</v>
      </c>
      <c r="W295" s="168">
        <f t="shared" si="99"/>
        <v>0</v>
      </c>
      <c r="X295" s="163">
        <f t="shared" si="86"/>
        <v>98.616465339718133</v>
      </c>
      <c r="Y295" s="152"/>
      <c r="Z295" s="164">
        <f>IF(AND($C294=12,$D294=Input!$C$6),0,IF($E295="","",V295+Z296/(1+L295)*R295))</f>
        <v>36028.237864626703</v>
      </c>
      <c r="AA295" s="164">
        <f>IF(OR($M295=1,AND($C294=12,$D294=Input!$C$6)),0,IF($E295="","",W295+(X295+AA296*$R295)/(1+$L295)))</f>
        <v>15325.280552201322</v>
      </c>
      <c r="AB295" s="160">
        <f t="shared" si="87"/>
        <v>0.825720328500681</v>
      </c>
      <c r="AC295" s="164">
        <f t="shared" si="88"/>
        <v>0</v>
      </c>
      <c r="AD295" s="164">
        <f>IF(AND($C294=12,$D294=Input!$C$6),0,IF($E295="","",$AC295+AD296/(1+$L295)*$R295))</f>
        <v>29749.248404880193</v>
      </c>
      <c r="AE295" s="152"/>
      <c r="AF295" s="164">
        <f>IF(AND($C294=12,$D294=Input!$C$6),0,IF($E295="","",IF($B295&gt;Input!$C$9,$AC295,0)+AF296/(1+$L295)*$R295))</f>
        <v>29749.248404880193</v>
      </c>
      <c r="AG295" s="164">
        <f>IF(AND($C294=12,$D294=Input!$C$6),0,IF($E295="","",(IF($B295&gt;Input!$C$9,$X295,0)+AG296)/(1+$L295)*$R295))</f>
        <v>15137.629790179322</v>
      </c>
      <c r="AH295" s="160">
        <f t="shared" si="89"/>
        <v>2.0950137211446997</v>
      </c>
      <c r="AI295" s="160">
        <f>IF($E295="","",MIN(Input!$C$61/AH295,1))</f>
        <v>0.64438718771845094</v>
      </c>
      <c r="AJ295" s="152"/>
      <c r="AK295" s="164">
        <f>IF(AND($C294=12,$D294=Input!$C$6),0,IF($E295="","",IF($B295&gt;Input!$C$9,$AC295*AI295,0)+AK296/(1+$L295)*$R295))</f>
        <v>19170.034516358384</v>
      </c>
      <c r="AL295" s="164">
        <f>IF(AND($C294=12,$D294=Input!$C$6),0,IF($E295="","",IF($B295&gt;Input!$C$9,0,$AC295)+AL296/(1+$L295)*$R295))</f>
        <v>0</v>
      </c>
      <c r="AM295" s="160">
        <f t="shared" si="90"/>
        <v>1.1382936520186004</v>
      </c>
      <c r="AN295" s="164">
        <f>IF($E295="","",IF($B295&gt;Input!$C$9,$AI295*$AC295,$AM295*$AC295))</f>
        <v>0</v>
      </c>
      <c r="AO295" s="164">
        <f>IF(AND($C294=12,$D294=Input!$C$6),0,IF($E295="","",$AN295+AO296/(1+$L295)*$R295))</f>
        <v>19170.034516358384</v>
      </c>
      <c r="AP295" s="152"/>
      <c r="AQ295" s="164">
        <f t="shared" si="91"/>
        <v>-3844.753964157062</v>
      </c>
      <c r="AR295" s="164">
        <f t="shared" si="100"/>
        <v>-3951.7108656442524</v>
      </c>
      <c r="AS295" s="164">
        <f t="shared" si="101"/>
        <v>563.1578947368422</v>
      </c>
      <c r="AT295" s="164">
        <f t="shared" si="92"/>
        <v>563.1578947368422</v>
      </c>
      <c r="AU295" s="152"/>
      <c r="AV295" s="147">
        <f>'Deterministic Reserve'!BC295</f>
        <v>5.4390180517097118E-2</v>
      </c>
      <c r="AW295" s="164">
        <f t="shared" si="93"/>
        <v>563.1578947368422</v>
      </c>
      <c r="AX295" s="164">
        <f t="shared" si="94"/>
        <v>30.630259554365225</v>
      </c>
      <c r="AY295" s="152"/>
    </row>
    <row r="296" spans="1:51" s="150" customFormat="1" x14ac:dyDescent="0.25">
      <c r="A296" s="150">
        <f t="shared" si="102"/>
        <v>292</v>
      </c>
      <c r="B296" s="150">
        <f t="shared" si="103"/>
        <v>25</v>
      </c>
      <c r="C296" s="150">
        <f t="shared" si="104"/>
        <v>4</v>
      </c>
      <c r="D296" s="150">
        <f>IF(E296="","",Input!$C$4+B296-1)</f>
        <v>69</v>
      </c>
      <c r="E296" s="150">
        <f>IF(OR(AND(C295=12,D295=Input!$C$6),E295=""),"",1)</f>
        <v>1</v>
      </c>
      <c r="F296" s="150">
        <f>IF(E296="","",Input!$C$8+B296-1)</f>
        <v>2042</v>
      </c>
      <c r="G296" s="151">
        <f>IF(E296="","",MAX(0,Input!$C$9-B296))</f>
        <v>0</v>
      </c>
      <c r="H296" s="152">
        <f>IF(E296="","",Input!$C$3)</f>
        <v>100000</v>
      </c>
      <c r="I296" s="153">
        <f>IF(E296="","",HLOOKUP($B296,Input!$C$13:$BT$14,2))</f>
        <v>28.836500000000001</v>
      </c>
      <c r="J296" s="154"/>
      <c r="K296" s="155">
        <f>IF($E296="","",Input!$C$57)</f>
        <v>4.4999999999999998E-2</v>
      </c>
      <c r="L296" s="155">
        <f t="shared" si="95"/>
        <v>3.6748094004368514E-3</v>
      </c>
      <c r="M296" s="147">
        <f>IF($E296="","",VLOOKUP(IF($B296&lt;=Input!$C$7,$B296,26),'Mortality Tables'!$A$72:$CA$97,IF($B296&lt;=Input!$C$7+1,Input!$C$4-16,$D296-Input!$C$7-16),0)/1000)</f>
        <v>1.1769999999999999E-2</v>
      </c>
      <c r="N296" s="147">
        <f t="shared" si="84"/>
        <v>9.8616465339718129E-4</v>
      </c>
      <c r="O296" s="157">
        <f>IF($E296="","",IF($C296=12,IF($B296&lt;Input!$C$9,Input!$C$54,IF($B296=Input!$C$9,Input!$C$55,Input!$C$56)),0%))</f>
        <v>0</v>
      </c>
      <c r="P296" s="167">
        <f>IF($E296="","",IF($B296=1,Input!$C$59,IF($B296&lt;6,Input!$C$60,0%)))</f>
        <v>0</v>
      </c>
      <c r="Q296" s="162">
        <f>IF($E296="","",Input!$C$58)</f>
        <v>2.5</v>
      </c>
      <c r="R296" s="156">
        <f t="shared" si="96"/>
        <v>0.99901383534660282</v>
      </c>
      <c r="S296" s="154">
        <f t="shared" si="85"/>
        <v>3.6795139105041251E-2</v>
      </c>
      <c r="T296" s="152"/>
      <c r="U296" s="150">
        <f t="shared" si="97"/>
        <v>0</v>
      </c>
      <c r="V296" s="150">
        <f t="shared" si="98"/>
        <v>0</v>
      </c>
      <c r="W296" s="168">
        <f t="shared" si="99"/>
        <v>0</v>
      </c>
      <c r="X296" s="163">
        <f t="shared" si="86"/>
        <v>98.616465339718133</v>
      </c>
      <c r="Y296" s="152"/>
      <c r="Z296" s="164">
        <f>IF(AND($C295=12,$D295=Input!$C$6),0,IF($E296="","",V296+Z297/(1+L296)*R296))</f>
        <v>36196.330313350518</v>
      </c>
      <c r="AA296" s="164">
        <f>IF(OR($M296=1,AND($C295=12,$D295=Input!$C$6)),0,IF($E296="","",W296+(X296+AA297*$R296)/(1+$L296)))</f>
        <v>15298.067985812042</v>
      </c>
      <c r="AB296" s="160">
        <f t="shared" si="87"/>
        <v>0.825720328500681</v>
      </c>
      <c r="AC296" s="164">
        <f t="shared" si="88"/>
        <v>0</v>
      </c>
      <c r="AD296" s="164">
        <f>IF(AND($C295=12,$D295=Input!$C$6),0,IF($E296="","",$AC296+AD297/(1+$L296)*$R296))</f>
        <v>29888.045756858912</v>
      </c>
      <c r="AE296" s="152"/>
      <c r="AF296" s="164">
        <f>IF(AND($C295=12,$D295=Input!$C$6),0,IF($E296="","",IF($B296&gt;Input!$C$9,$AC296,0)+AF297/(1+$L296)*$R296))</f>
        <v>29888.045756858912</v>
      </c>
      <c r="AG296" s="164">
        <f>IF(AND($C295=12,$D295=Input!$C$6),0,IF($E296="","",(IF($B296&gt;Input!$C$9,$X296,0)+AG297)/(1+$L296)*$R296))</f>
        <v>15109.639073144775</v>
      </c>
      <c r="AH296" s="160">
        <f t="shared" si="89"/>
        <v>2.0950137211446997</v>
      </c>
      <c r="AI296" s="160">
        <f>IF($E296="","",MIN(Input!$C$61/AH296,1))</f>
        <v>0.64438718771845094</v>
      </c>
      <c r="AJ296" s="152"/>
      <c r="AK296" s="164">
        <f>IF(AND($C295=12,$D295=Input!$C$6),0,IF($E296="","",IF($B296&gt;Input!$C$9,$AC296*AI296,0)+AK297/(1+$L296)*$R296))</f>
        <v>19259.473751662717</v>
      </c>
      <c r="AL296" s="164">
        <f>IF(AND($C295=12,$D295=Input!$C$6),0,IF($E296="","",IF($B296&gt;Input!$C$9,0,$AC296)+AL297/(1+$L296)*$R296))</f>
        <v>0</v>
      </c>
      <c r="AM296" s="160">
        <f t="shared" si="90"/>
        <v>1.1382936520186004</v>
      </c>
      <c r="AN296" s="164">
        <f>IF($E296="","",IF($B296&gt;Input!$C$9,$AI296*$AC296,$AM296*$AC296))</f>
        <v>0</v>
      </c>
      <c r="AO296" s="164">
        <f>IF(AND($C295=12,$D295=Input!$C$6),0,IF($E296="","",$AN296+AO297/(1+$L296)*$R296))</f>
        <v>19259.473751662717</v>
      </c>
      <c r="AP296" s="152"/>
      <c r="AQ296" s="164">
        <f t="shared" si="91"/>
        <v>-3961.4057658506754</v>
      </c>
      <c r="AR296" s="164">
        <f t="shared" si="100"/>
        <v>-3951.7108656442524</v>
      </c>
      <c r="AS296" s="164">
        <f t="shared" si="101"/>
        <v>563.1578947368422</v>
      </c>
      <c r="AT296" s="164">
        <f t="shared" si="92"/>
        <v>563.1578947368422</v>
      </c>
      <c r="AU296" s="152"/>
      <c r="AV296" s="147">
        <f>'Deterministic Reserve'!BC296</f>
        <v>5.4258788763163847E-2</v>
      </c>
      <c r="AW296" s="164">
        <f t="shared" si="93"/>
        <v>563.1578947368422</v>
      </c>
      <c r="AX296" s="164">
        <f t="shared" si="94"/>
        <v>30.556265250834382</v>
      </c>
      <c r="AY296" s="152"/>
    </row>
    <row r="297" spans="1:51" s="150" customFormat="1" x14ac:dyDescent="0.25">
      <c r="A297" s="150">
        <f t="shared" si="102"/>
        <v>293</v>
      </c>
      <c r="B297" s="150">
        <f t="shared" si="103"/>
        <v>25</v>
      </c>
      <c r="C297" s="150">
        <f t="shared" si="104"/>
        <v>5</v>
      </c>
      <c r="D297" s="150">
        <f>IF(E297="","",Input!$C$4+B297-1)</f>
        <v>69</v>
      </c>
      <c r="E297" s="150">
        <f>IF(OR(AND(C296=12,D296=Input!$C$6),E296=""),"",1)</f>
        <v>1</v>
      </c>
      <c r="F297" s="150">
        <f>IF(E297="","",Input!$C$8+B297-1)</f>
        <v>2042</v>
      </c>
      <c r="G297" s="151">
        <f>IF(E297="","",MAX(0,Input!$C$9-B297))</f>
        <v>0</v>
      </c>
      <c r="H297" s="152">
        <f>IF(E297="","",Input!$C$3)</f>
        <v>100000</v>
      </c>
      <c r="I297" s="153">
        <f>IF(E297="","",HLOOKUP($B297,Input!$C$13:$BT$14,2))</f>
        <v>28.836500000000001</v>
      </c>
      <c r="J297" s="154"/>
      <c r="K297" s="155">
        <f>IF($E297="","",Input!$C$57)</f>
        <v>4.4999999999999998E-2</v>
      </c>
      <c r="L297" s="155">
        <f t="shared" si="95"/>
        <v>3.6748094004368514E-3</v>
      </c>
      <c r="M297" s="147">
        <f>IF($E297="","",VLOOKUP(IF($B297&lt;=Input!$C$7,$B297,26),'Mortality Tables'!$A$72:$CA$97,IF($B297&lt;=Input!$C$7+1,Input!$C$4-16,$D297-Input!$C$7-16),0)/1000)</f>
        <v>1.1769999999999999E-2</v>
      </c>
      <c r="N297" s="147">
        <f t="shared" si="84"/>
        <v>9.8616465339718129E-4</v>
      </c>
      <c r="O297" s="157">
        <f>IF($E297="","",IF($C297=12,IF($B297&lt;Input!$C$9,Input!$C$54,IF($B297=Input!$C$9,Input!$C$55,Input!$C$56)),0%))</f>
        <v>0</v>
      </c>
      <c r="P297" s="167">
        <f>IF($E297="","",IF($B297=1,Input!$C$59,IF($B297&lt;6,Input!$C$60,0%)))</f>
        <v>0</v>
      </c>
      <c r="Q297" s="162">
        <f>IF($E297="","",Input!$C$58)</f>
        <v>2.5</v>
      </c>
      <c r="R297" s="156">
        <f t="shared" si="96"/>
        <v>0.99901383534660282</v>
      </c>
      <c r="S297" s="154">
        <f t="shared" si="85"/>
        <v>3.6758853039439029E-2</v>
      </c>
      <c r="T297" s="152"/>
      <c r="U297" s="150">
        <f t="shared" si="97"/>
        <v>0</v>
      </c>
      <c r="V297" s="150">
        <f t="shared" si="98"/>
        <v>0</v>
      </c>
      <c r="W297" s="168">
        <f t="shared" si="99"/>
        <v>0</v>
      </c>
      <c r="X297" s="163">
        <f t="shared" si="86"/>
        <v>98.616465339718133</v>
      </c>
      <c r="Y297" s="152"/>
      <c r="Z297" s="164">
        <f>IF(AND($C296=12,$D296=Input!$C$6),0,IF($E297="","",V297+Z298/(1+L297)*R297))</f>
        <v>36365.207010014077</v>
      </c>
      <c r="AA297" s="164">
        <f>IF(OR($M297=1,AND($C296=12,$D296=Input!$C$6)),0,IF($E297="","",W297+(X297+AA298*$R297)/(1+$L297)))</f>
        <v>15270.728457151177</v>
      </c>
      <c r="AB297" s="160">
        <f t="shared" si="87"/>
        <v>0.825720328500681</v>
      </c>
      <c r="AC297" s="164">
        <f t="shared" si="88"/>
        <v>0</v>
      </c>
      <c r="AD297" s="164">
        <f>IF(AND($C296=12,$D296=Input!$C$6),0,IF($E297="","",$AC297+AD298/(1+$L297)*$R297))</f>
        <v>30027.490678304061</v>
      </c>
      <c r="AE297" s="152"/>
      <c r="AF297" s="164">
        <f>IF(AND($C296=12,$D296=Input!$C$6),0,IF($E297="","",IF($B297&gt;Input!$C$9,$AC297,0)+AF298/(1+$L297)*$R297))</f>
        <v>30027.490678304061</v>
      </c>
      <c r="AG297" s="164">
        <f>IF(AND($C296=12,$D296=Input!$C$6),0,IF($E297="","",(IF($B297&gt;Input!$C$9,$X297,0)+AG298)/(1+$L297)*$R297))</f>
        <v>15081.517763318385</v>
      </c>
      <c r="AH297" s="160">
        <f t="shared" si="89"/>
        <v>2.0950137211446997</v>
      </c>
      <c r="AI297" s="160">
        <f>IF($E297="","",MIN(Input!$C$61/AH297,1))</f>
        <v>0.64438718771845094</v>
      </c>
      <c r="AJ297" s="152"/>
      <c r="AK297" s="164">
        <f>IF(AND($C296=12,$D296=Input!$C$6),0,IF($E297="","",IF($B297&gt;Input!$C$9,$AC297*AI297,0)+AK298/(1+$L297)*$R297))</f>
        <v>19349.330272434378</v>
      </c>
      <c r="AL297" s="164">
        <f>IF(AND($C296=12,$D296=Input!$C$6),0,IF($E297="","",IF($B297&gt;Input!$C$9,0,$AC297)+AL298/(1+$L297)*$R297))</f>
        <v>0</v>
      </c>
      <c r="AM297" s="160">
        <f t="shared" si="90"/>
        <v>1.1382936520186004</v>
      </c>
      <c r="AN297" s="164">
        <f>IF($E297="","",IF($B297&gt;Input!$C$9,$AI297*$AC297,$AM297*$AC297))</f>
        <v>0</v>
      </c>
      <c r="AO297" s="164">
        <f>IF(AND($C296=12,$D296=Input!$C$6),0,IF($E297="","",$AN297+AO298/(1+$L297)*$R297))</f>
        <v>19349.330272434378</v>
      </c>
      <c r="AP297" s="152"/>
      <c r="AQ297" s="164">
        <f t="shared" si="91"/>
        <v>-4078.6018152832003</v>
      </c>
      <c r="AR297" s="164">
        <f t="shared" si="100"/>
        <v>-3951.7108656442524</v>
      </c>
      <c r="AS297" s="164">
        <f t="shared" si="101"/>
        <v>563.1578947368422</v>
      </c>
      <c r="AT297" s="164">
        <f t="shared" si="92"/>
        <v>563.1578947368422</v>
      </c>
      <c r="AU297" s="152"/>
      <c r="AV297" s="147">
        <f>'Deterministic Reserve'!BC297</f>
        <v>5.4127714415660146E-2</v>
      </c>
      <c r="AW297" s="164">
        <f t="shared" si="93"/>
        <v>563.1578947368422</v>
      </c>
      <c r="AX297" s="164">
        <f t="shared" si="94"/>
        <v>30.482449697240192</v>
      </c>
      <c r="AY297" s="152"/>
    </row>
    <row r="298" spans="1:51" s="150" customFormat="1" x14ac:dyDescent="0.25">
      <c r="A298" s="150">
        <f t="shared" si="102"/>
        <v>294</v>
      </c>
      <c r="B298" s="150">
        <f t="shared" si="103"/>
        <v>25</v>
      </c>
      <c r="C298" s="150">
        <f t="shared" si="104"/>
        <v>6</v>
      </c>
      <c r="D298" s="150">
        <f>IF(E298="","",Input!$C$4+B298-1)</f>
        <v>69</v>
      </c>
      <c r="E298" s="150">
        <f>IF(OR(AND(C297=12,D297=Input!$C$6),E297=""),"",1)</f>
        <v>1</v>
      </c>
      <c r="F298" s="150">
        <f>IF(E298="","",Input!$C$8+B298-1)</f>
        <v>2042</v>
      </c>
      <c r="G298" s="151">
        <f>IF(E298="","",MAX(0,Input!$C$9-B298))</f>
        <v>0</v>
      </c>
      <c r="H298" s="152">
        <f>IF(E298="","",Input!$C$3)</f>
        <v>100000</v>
      </c>
      <c r="I298" s="153">
        <f>IF(E298="","",HLOOKUP($B298,Input!$C$13:$BT$14,2))</f>
        <v>28.836500000000001</v>
      </c>
      <c r="J298" s="154"/>
      <c r="K298" s="155">
        <f>IF($E298="","",Input!$C$57)</f>
        <v>4.4999999999999998E-2</v>
      </c>
      <c r="L298" s="155">
        <f t="shared" si="95"/>
        <v>3.6748094004368514E-3</v>
      </c>
      <c r="M298" s="147">
        <f>IF($E298="","",VLOOKUP(IF($B298&lt;=Input!$C$7,$B298,26),'Mortality Tables'!$A$72:$CA$97,IF($B298&lt;=Input!$C$7+1,Input!$C$4-16,$D298-Input!$C$7-16),0)/1000)</f>
        <v>1.1769999999999999E-2</v>
      </c>
      <c r="N298" s="147">
        <f t="shared" si="84"/>
        <v>9.8616465339718129E-4</v>
      </c>
      <c r="O298" s="157">
        <f>IF($E298="","",IF($C298=12,IF($B298&lt;Input!$C$9,Input!$C$54,IF($B298=Input!$C$9,Input!$C$55,Input!$C$56)),0%))</f>
        <v>0</v>
      </c>
      <c r="P298" s="167">
        <f>IF($E298="","",IF($B298=1,Input!$C$59,IF($B298&lt;6,Input!$C$60,0%)))</f>
        <v>0</v>
      </c>
      <c r="Q298" s="162">
        <f>IF($E298="","",Input!$C$58)</f>
        <v>2.5</v>
      </c>
      <c r="R298" s="156">
        <f t="shared" si="96"/>
        <v>0.99901383534660282</v>
      </c>
      <c r="S298" s="154">
        <f t="shared" si="85"/>
        <v>3.6722602757872112E-2</v>
      </c>
      <c r="T298" s="152"/>
      <c r="U298" s="150">
        <f t="shared" si="97"/>
        <v>0</v>
      </c>
      <c r="V298" s="150">
        <f t="shared" si="98"/>
        <v>0</v>
      </c>
      <c r="W298" s="168">
        <f t="shared" si="99"/>
        <v>0</v>
      </c>
      <c r="X298" s="163">
        <f t="shared" si="86"/>
        <v>98.616465339718133</v>
      </c>
      <c r="Y298" s="152"/>
      <c r="Z298" s="164">
        <f>IF(AND($C297=12,$D297=Input!$C$6),0,IF($E298="","",V298+Z299/(1+L298)*R298))</f>
        <v>36534.871613585034</v>
      </c>
      <c r="AA298" s="164">
        <f>IF(OR($M298=1,AND($C297=12,$D297=Input!$C$6)),0,IF($E298="","",W298+(X298+AA299*$R298)/(1+$L298)))</f>
        <v>15243.261373866719</v>
      </c>
      <c r="AB298" s="160">
        <f t="shared" si="87"/>
        <v>0.825720328500681</v>
      </c>
      <c r="AC298" s="164">
        <f t="shared" si="88"/>
        <v>0</v>
      </c>
      <c r="AD298" s="164">
        <f>IF(AND($C297=12,$D297=Input!$C$6),0,IF($E298="","",$AC298+AD299/(1+$L298)*$R298))</f>
        <v>30167.586190499605</v>
      </c>
      <c r="AE298" s="152"/>
      <c r="AF298" s="164">
        <f>IF(AND($C297=12,$D297=Input!$C$6),0,IF($E298="","",IF($B298&gt;Input!$C$9,$AC298,0)+AF299/(1+$L298)*$R298))</f>
        <v>30167.586190499605</v>
      </c>
      <c r="AG298" s="164">
        <f>IF(AND($C297=12,$D297=Input!$C$6),0,IF($E298="","",(IF($B298&gt;Input!$C$9,$X298,0)+AG299)/(1+$L298)*$R298))</f>
        <v>15053.265251409679</v>
      </c>
      <c r="AH298" s="160">
        <f t="shared" si="89"/>
        <v>2.0950137211446997</v>
      </c>
      <c r="AI298" s="160">
        <f>IF($E298="","",MIN(Input!$C$61/AH298,1))</f>
        <v>0.64438718771845094</v>
      </c>
      <c r="AJ298" s="152"/>
      <c r="AK298" s="164">
        <f>IF(AND($C297=12,$D297=Input!$C$6),0,IF($E298="","",IF($B298&gt;Input!$C$9,$AC298*AI298,0)+AK299/(1+$L298)*$R298))</f>
        <v>19439.606025550042</v>
      </c>
      <c r="AL298" s="164">
        <f>IF(AND($C297=12,$D297=Input!$C$6),0,IF($E298="","",IF($B298&gt;Input!$C$9,0,$AC298)+AL299/(1+$L298)*$R298))</f>
        <v>0</v>
      </c>
      <c r="AM298" s="160">
        <f t="shared" si="90"/>
        <v>1.1382936520186004</v>
      </c>
      <c r="AN298" s="164">
        <f>IF($E298="","",IF($B298&gt;Input!$C$9,$AI298*$AC298,$AM298*$AC298))</f>
        <v>0</v>
      </c>
      <c r="AO298" s="164">
        <f>IF(AND($C297=12,$D297=Input!$C$6),0,IF($E298="","",$AN298+AO299/(1+$L298)*$R298))</f>
        <v>19439.606025550042</v>
      </c>
      <c r="AP298" s="152"/>
      <c r="AQ298" s="164">
        <f t="shared" si="91"/>
        <v>-4196.3446516833228</v>
      </c>
      <c r="AR298" s="164">
        <f t="shared" si="100"/>
        <v>-3951.7108656442524</v>
      </c>
      <c r="AS298" s="164">
        <f t="shared" si="101"/>
        <v>563.1578947368422</v>
      </c>
      <c r="AT298" s="164">
        <f t="shared" si="92"/>
        <v>563.1578947368422</v>
      </c>
      <c r="AU298" s="152"/>
      <c r="AV298" s="147">
        <f>'Deterministic Reserve'!BC298</f>
        <v>5.3996956707819163E-2</v>
      </c>
      <c r="AW298" s="164">
        <f t="shared" si="93"/>
        <v>563.1578947368422</v>
      </c>
      <c r="AX298" s="164">
        <f t="shared" si="94"/>
        <v>30.408812461771848</v>
      </c>
      <c r="AY298" s="152"/>
    </row>
    <row r="299" spans="1:51" s="150" customFormat="1" x14ac:dyDescent="0.25">
      <c r="A299" s="150">
        <f t="shared" si="102"/>
        <v>295</v>
      </c>
      <c r="B299" s="150">
        <f t="shared" si="103"/>
        <v>25</v>
      </c>
      <c r="C299" s="150">
        <f t="shared" si="104"/>
        <v>7</v>
      </c>
      <c r="D299" s="150">
        <f>IF(E299="","",Input!$C$4+B299-1)</f>
        <v>69</v>
      </c>
      <c r="E299" s="150">
        <f>IF(OR(AND(C298=12,D298=Input!$C$6),E298=""),"",1)</f>
        <v>1</v>
      </c>
      <c r="F299" s="150">
        <f>IF(E299="","",Input!$C$8+B299-1)</f>
        <v>2042</v>
      </c>
      <c r="G299" s="151">
        <f>IF(E299="","",MAX(0,Input!$C$9-B299))</f>
        <v>0</v>
      </c>
      <c r="H299" s="152">
        <f>IF(E299="","",Input!$C$3)</f>
        <v>100000</v>
      </c>
      <c r="I299" s="153">
        <f>IF(E299="","",HLOOKUP($B299,Input!$C$13:$BT$14,2))</f>
        <v>28.836500000000001</v>
      </c>
      <c r="J299" s="154"/>
      <c r="K299" s="155">
        <f>IF($E299="","",Input!$C$57)</f>
        <v>4.4999999999999998E-2</v>
      </c>
      <c r="L299" s="155">
        <f t="shared" si="95"/>
        <v>3.6748094004368514E-3</v>
      </c>
      <c r="M299" s="147">
        <f>IF($E299="","",VLOOKUP(IF($B299&lt;=Input!$C$7,$B299,26),'Mortality Tables'!$A$72:$CA$97,IF($B299&lt;=Input!$C$7+1,Input!$C$4-16,$D299-Input!$C$7-16),0)/1000)</f>
        <v>1.1769999999999999E-2</v>
      </c>
      <c r="N299" s="147">
        <f t="shared" si="84"/>
        <v>9.8616465339718129E-4</v>
      </c>
      <c r="O299" s="157">
        <f>IF($E299="","",IF($C299=12,IF($B299&lt;Input!$C$9,Input!$C$54,IF($B299=Input!$C$9,Input!$C$55,Input!$C$56)),0%))</f>
        <v>0</v>
      </c>
      <c r="P299" s="167">
        <f>IF($E299="","",IF($B299=1,Input!$C$59,IF($B299&lt;6,Input!$C$60,0%)))</f>
        <v>0</v>
      </c>
      <c r="Q299" s="162">
        <f>IF($E299="","",Input!$C$58)</f>
        <v>2.5</v>
      </c>
      <c r="R299" s="156">
        <f t="shared" si="96"/>
        <v>0.99901383534660282</v>
      </c>
      <c r="S299" s="154">
        <f t="shared" si="85"/>
        <v>3.6686388225051554E-2</v>
      </c>
      <c r="T299" s="152"/>
      <c r="U299" s="150">
        <f t="shared" si="97"/>
        <v>0</v>
      </c>
      <c r="V299" s="150">
        <f t="shared" si="98"/>
        <v>0</v>
      </c>
      <c r="W299" s="168">
        <f t="shared" si="99"/>
        <v>0</v>
      </c>
      <c r="X299" s="163">
        <f t="shared" si="86"/>
        <v>98.616465339718133</v>
      </c>
      <c r="Y299" s="152"/>
      <c r="Z299" s="164">
        <f>IF(AND($C298=12,$D298=Input!$C$6),0,IF($E299="","",V299+Z300/(1+L299)*R299))</f>
        <v>36705.327800102212</v>
      </c>
      <c r="AA299" s="164">
        <f>IF(OR($M299=1,AND($C298=12,$D298=Input!$C$6)),0,IF($E299="","",W299+(X299+AA300*$R299)/(1+$L299)))</f>
        <v>15215.666140842995</v>
      </c>
      <c r="AB299" s="160">
        <f t="shared" si="87"/>
        <v>0.825720328500681</v>
      </c>
      <c r="AC299" s="164">
        <f t="shared" si="88"/>
        <v>0</v>
      </c>
      <c r="AD299" s="164">
        <f>IF(AND($C298=12,$D298=Input!$C$6),0,IF($E299="","",$AC299+AD300/(1+$L299)*$R299))</f>
        <v>30308.335328825538</v>
      </c>
      <c r="AE299" s="152"/>
      <c r="AF299" s="164">
        <f>IF(AND($C298=12,$D298=Input!$C$6),0,IF($E299="","",IF($B299&gt;Input!$C$9,$AC299,0)+AF300/(1+$L299)*$R299))</f>
        <v>30308.335328825538</v>
      </c>
      <c r="AG299" s="164">
        <f>IF(AND($C298=12,$D298=Input!$C$6),0,IF($E299="","",(IF($B299&gt;Input!$C$9,$X299,0)+AG300)/(1+$L299)*$R299))</f>
        <v>15024.88092528549</v>
      </c>
      <c r="AH299" s="160">
        <f t="shared" si="89"/>
        <v>2.0950137211446997</v>
      </c>
      <c r="AI299" s="160">
        <f>IF($E299="","",MIN(Input!$C$61/AH299,1))</f>
        <v>0.64438718771845094</v>
      </c>
      <c r="AJ299" s="152"/>
      <c r="AK299" s="164">
        <f>IF(AND($C298=12,$D298=Input!$C$6),0,IF($E299="","",IF($B299&gt;Input!$C$9,$AC299*AI299,0)+AK300/(1+$L299)*$R299))</f>
        <v>19530.302966969684</v>
      </c>
      <c r="AL299" s="164">
        <f>IF(AND($C298=12,$D298=Input!$C$6),0,IF($E299="","",IF($B299&gt;Input!$C$9,0,$AC299)+AL300/(1+$L299)*$R299))</f>
        <v>0</v>
      </c>
      <c r="AM299" s="160">
        <f t="shared" si="90"/>
        <v>1.1382936520186004</v>
      </c>
      <c r="AN299" s="164">
        <f>IF($E299="","",IF($B299&gt;Input!$C$9,$AI299*$AC299,$AM299*$AC299))</f>
        <v>0</v>
      </c>
      <c r="AO299" s="164">
        <f>IF(AND($C298=12,$D298=Input!$C$6),0,IF($E299="","",$AN299+AO300/(1+$L299)*$R299))</f>
        <v>19530.302966969684</v>
      </c>
      <c r="AP299" s="152"/>
      <c r="AQ299" s="164">
        <f t="shared" si="91"/>
        <v>-4314.6368261266889</v>
      </c>
      <c r="AR299" s="164">
        <f t="shared" si="100"/>
        <v>-3951.7108656442524</v>
      </c>
      <c r="AS299" s="164">
        <f t="shared" si="101"/>
        <v>563.1578947368422</v>
      </c>
      <c r="AT299" s="164">
        <f t="shared" si="92"/>
        <v>563.1578947368422</v>
      </c>
      <c r="AU299" s="152"/>
      <c r="AV299" s="147">
        <f>'Deterministic Reserve'!BC299</f>
        <v>5.3866514874726351E-2</v>
      </c>
      <c r="AW299" s="164">
        <f t="shared" si="93"/>
        <v>563.1578947368422</v>
      </c>
      <c r="AX299" s="164">
        <f t="shared" si="94"/>
        <v>30.335353113661686</v>
      </c>
      <c r="AY299" s="152"/>
    </row>
    <row r="300" spans="1:51" s="150" customFormat="1" x14ac:dyDescent="0.25">
      <c r="A300" s="150">
        <f t="shared" si="102"/>
        <v>296</v>
      </c>
      <c r="B300" s="150">
        <f t="shared" si="103"/>
        <v>25</v>
      </c>
      <c r="C300" s="150">
        <f t="shared" si="104"/>
        <v>8</v>
      </c>
      <c r="D300" s="150">
        <f>IF(E300="","",Input!$C$4+B300-1)</f>
        <v>69</v>
      </c>
      <c r="E300" s="150">
        <f>IF(OR(AND(C299=12,D299=Input!$C$6),E299=""),"",1)</f>
        <v>1</v>
      </c>
      <c r="F300" s="150">
        <f>IF(E300="","",Input!$C$8+B300-1)</f>
        <v>2042</v>
      </c>
      <c r="G300" s="151">
        <f>IF(E300="","",MAX(0,Input!$C$9-B300))</f>
        <v>0</v>
      </c>
      <c r="H300" s="152">
        <f>IF(E300="","",Input!$C$3)</f>
        <v>100000</v>
      </c>
      <c r="I300" s="153">
        <f>IF(E300="","",HLOOKUP($B300,Input!$C$13:$BT$14,2))</f>
        <v>28.836500000000001</v>
      </c>
      <c r="J300" s="154"/>
      <c r="K300" s="155">
        <f>IF($E300="","",Input!$C$57)</f>
        <v>4.4999999999999998E-2</v>
      </c>
      <c r="L300" s="155">
        <f t="shared" si="95"/>
        <v>3.6748094004368514E-3</v>
      </c>
      <c r="M300" s="147">
        <f>IF($E300="","",VLOOKUP(IF($B300&lt;=Input!$C$7,$B300,26),'Mortality Tables'!$A$72:$CA$97,IF($B300&lt;=Input!$C$7+1,Input!$C$4-16,$D300-Input!$C$7-16),0)/1000)</f>
        <v>1.1769999999999999E-2</v>
      </c>
      <c r="N300" s="147">
        <f t="shared" si="84"/>
        <v>9.8616465339718129E-4</v>
      </c>
      <c r="O300" s="157">
        <f>IF($E300="","",IF($C300=12,IF($B300&lt;Input!$C$9,Input!$C$54,IF($B300=Input!$C$9,Input!$C$55,Input!$C$56)),0%))</f>
        <v>0</v>
      </c>
      <c r="P300" s="167">
        <f>IF($E300="","",IF($B300=1,Input!$C$59,IF($B300&lt;6,Input!$C$60,0%)))</f>
        <v>0</v>
      </c>
      <c r="Q300" s="162">
        <f>IF($E300="","",Input!$C$58)</f>
        <v>2.5</v>
      </c>
      <c r="R300" s="156">
        <f t="shared" si="96"/>
        <v>0.99901383534660282</v>
      </c>
      <c r="S300" s="154">
        <f t="shared" si="85"/>
        <v>3.6650209405723201E-2</v>
      </c>
      <c r="T300" s="152"/>
      <c r="U300" s="150">
        <f t="shared" si="97"/>
        <v>0</v>
      </c>
      <c r="V300" s="150">
        <f t="shared" si="98"/>
        <v>0</v>
      </c>
      <c r="W300" s="168">
        <f t="shared" si="99"/>
        <v>0</v>
      </c>
      <c r="X300" s="163">
        <f t="shared" si="86"/>
        <v>98.616465339718133</v>
      </c>
      <c r="Y300" s="152"/>
      <c r="Z300" s="164">
        <f>IF(AND($C299=12,$D299=Input!$C$6),0,IF($E300="","",V300+Z301/(1+L300)*R300))</f>
        <v>36876.579262755273</v>
      </c>
      <c r="AA300" s="164">
        <f>IF(OR($M300=1,AND($C299=12,$D299=Input!$C$6)),0,IF($E300="","",W300+(X300+AA301*$R300)/(1+$L300)))</f>
        <v>15187.942160187775</v>
      </c>
      <c r="AB300" s="160">
        <f t="shared" si="87"/>
        <v>0.825720328500681</v>
      </c>
      <c r="AC300" s="164">
        <f t="shared" si="88"/>
        <v>0</v>
      </c>
      <c r="AD300" s="164">
        <f>IF(AND($C299=12,$D299=Input!$C$6),0,IF($E300="","",$AC300+AD301/(1+$L300)*$R300))</f>
        <v>30449.741142823645</v>
      </c>
      <c r="AE300" s="152"/>
      <c r="AF300" s="164">
        <f>IF(AND($C299=12,$D299=Input!$C$6),0,IF($E300="","",IF($B300&gt;Input!$C$9,$AC300,0)+AF301/(1+$L300)*$R300))</f>
        <v>30449.741142823645</v>
      </c>
      <c r="AG300" s="164">
        <f>IF(AND($C299=12,$D299=Input!$C$6),0,IF($E300="","",(IF($B300&gt;Input!$C$9,$X300,0)+AG301)/(1+$L300)*$R300))</f>
        <v>14996.3641699567</v>
      </c>
      <c r="AH300" s="160">
        <f t="shared" si="89"/>
        <v>2.0950137211446997</v>
      </c>
      <c r="AI300" s="160">
        <f>IF($E300="","",MIN(Input!$C$61/AH300,1))</f>
        <v>0.64438718771845094</v>
      </c>
      <c r="AJ300" s="152"/>
      <c r="AK300" s="164">
        <f>IF(AND($C299=12,$D299=Input!$C$6),0,IF($E300="","",IF($B300&gt;Input!$C$9,$AC300*AI300,0)+AK301/(1+$L300)*$R300))</f>
        <v>19621.423061778962</v>
      </c>
      <c r="AL300" s="164">
        <f>IF(AND($C299=12,$D299=Input!$C$6),0,IF($E300="","",IF($B300&gt;Input!$C$9,0,$AC300)+AL301/(1+$L300)*$R300))</f>
        <v>0</v>
      </c>
      <c r="AM300" s="160">
        <f t="shared" si="90"/>
        <v>1.1382936520186004</v>
      </c>
      <c r="AN300" s="164">
        <f>IF($E300="","",IF($B300&gt;Input!$C$9,$AI300*$AC300,$AM300*$AC300))</f>
        <v>0</v>
      </c>
      <c r="AO300" s="164">
        <f>IF(AND($C299=12,$D299=Input!$C$6),0,IF($E300="","",$AN300+AO301/(1+$L300)*$R300))</f>
        <v>19621.423061778962</v>
      </c>
      <c r="AP300" s="152"/>
      <c r="AQ300" s="164">
        <f t="shared" si="91"/>
        <v>-4433.4809015911869</v>
      </c>
      <c r="AR300" s="164">
        <f t="shared" si="100"/>
        <v>-3951.7108656442524</v>
      </c>
      <c r="AS300" s="164">
        <f t="shared" si="101"/>
        <v>563.1578947368422</v>
      </c>
      <c r="AT300" s="164">
        <f t="shared" si="92"/>
        <v>563.1578947368422</v>
      </c>
      <c r="AU300" s="152"/>
      <c r="AV300" s="147">
        <f>'Deterministic Reserve'!BC300</f>
        <v>5.3736388153314975E-2</v>
      </c>
      <c r="AW300" s="164">
        <f t="shared" si="93"/>
        <v>563.1578947368422</v>
      </c>
      <c r="AX300" s="164">
        <f t="shared" si="94"/>
        <v>30.262071223182648</v>
      </c>
      <c r="AY300" s="152"/>
    </row>
    <row r="301" spans="1:51" s="150" customFormat="1" x14ac:dyDescent="0.25">
      <c r="A301" s="150">
        <f t="shared" si="102"/>
        <v>297</v>
      </c>
      <c r="B301" s="150">
        <f t="shared" si="103"/>
        <v>25</v>
      </c>
      <c r="C301" s="150">
        <f t="shared" si="104"/>
        <v>9</v>
      </c>
      <c r="D301" s="150">
        <f>IF(E301="","",Input!$C$4+B301-1)</f>
        <v>69</v>
      </c>
      <c r="E301" s="150">
        <f>IF(OR(AND(C300=12,D300=Input!$C$6),E300=""),"",1)</f>
        <v>1</v>
      </c>
      <c r="F301" s="150">
        <f>IF(E301="","",Input!$C$8+B301-1)</f>
        <v>2042</v>
      </c>
      <c r="G301" s="151">
        <f>IF(E301="","",MAX(0,Input!$C$9-B301))</f>
        <v>0</v>
      </c>
      <c r="H301" s="152">
        <f>IF(E301="","",Input!$C$3)</f>
        <v>100000</v>
      </c>
      <c r="I301" s="153">
        <f>IF(E301="","",HLOOKUP($B301,Input!$C$13:$BT$14,2))</f>
        <v>28.836500000000001</v>
      </c>
      <c r="J301" s="154"/>
      <c r="K301" s="155">
        <f>IF($E301="","",Input!$C$57)</f>
        <v>4.4999999999999998E-2</v>
      </c>
      <c r="L301" s="155">
        <f t="shared" si="95"/>
        <v>3.6748094004368514E-3</v>
      </c>
      <c r="M301" s="147">
        <f>IF($E301="","",VLOOKUP(IF($B301&lt;=Input!$C$7,$B301,26),'Mortality Tables'!$A$72:$CA$97,IF($B301&lt;=Input!$C$7+1,Input!$C$4-16,$D301-Input!$C$7-16),0)/1000)</f>
        <v>1.1769999999999999E-2</v>
      </c>
      <c r="N301" s="147">
        <f t="shared" si="84"/>
        <v>9.8616465339718129E-4</v>
      </c>
      <c r="O301" s="157">
        <f>IF($E301="","",IF($C301=12,IF($B301&lt;Input!$C$9,Input!$C$54,IF($B301=Input!$C$9,Input!$C$55,Input!$C$56)),0%))</f>
        <v>0</v>
      </c>
      <c r="P301" s="167">
        <f>IF($E301="","",IF($B301=1,Input!$C$59,IF($B301&lt;6,Input!$C$60,0%)))</f>
        <v>0</v>
      </c>
      <c r="Q301" s="162">
        <f>IF($E301="","",Input!$C$58)</f>
        <v>2.5</v>
      </c>
      <c r="R301" s="156">
        <f t="shared" si="96"/>
        <v>0.99901383534660282</v>
      </c>
      <c r="S301" s="154">
        <f t="shared" si="85"/>
        <v>3.661406626466767E-2</v>
      </c>
      <c r="T301" s="152"/>
      <c r="U301" s="150">
        <f t="shared" si="97"/>
        <v>0</v>
      </c>
      <c r="V301" s="150">
        <f t="shared" si="98"/>
        <v>0</v>
      </c>
      <c r="W301" s="168">
        <f t="shared" si="99"/>
        <v>0</v>
      </c>
      <c r="X301" s="163">
        <f t="shared" si="86"/>
        <v>98.616465339718133</v>
      </c>
      <c r="Y301" s="152"/>
      <c r="Z301" s="164">
        <f>IF(AND($C300=12,$D300=Input!$C$6),0,IF($E301="","",V301+Z302/(1+L301)*R301))</f>
        <v>37048.629711964735</v>
      </c>
      <c r="AA301" s="164">
        <f>IF(OR($M301=1,AND($C300=12,$D300=Input!$C$6)),0,IF($E301="","",W301+(X301+AA302*$R301)/(1+$L301)))</f>
        <v>15160.088831219316</v>
      </c>
      <c r="AB301" s="160">
        <f t="shared" si="87"/>
        <v>0.825720328500681</v>
      </c>
      <c r="AC301" s="164">
        <f t="shared" si="88"/>
        <v>0</v>
      </c>
      <c r="AD301" s="164">
        <f>IF(AND($C300=12,$D300=Input!$C$6),0,IF($E301="","",$AC301+AD302/(1+$L301)*$R301))</f>
        <v>30591.806696263575</v>
      </c>
      <c r="AE301" s="152"/>
      <c r="AF301" s="164">
        <f>IF(AND($C300=12,$D300=Input!$C$6),0,IF($E301="","",IF($B301&gt;Input!$C$9,$AC301,0)+AF302/(1+$L301)*$R301))</f>
        <v>30591.806696263575</v>
      </c>
      <c r="AG301" s="164">
        <f>IF(AND($C300=12,$D300=Input!$C$6),0,IF($E301="","",(IF($B301&gt;Input!$C$9,$X301,0)+AG302)/(1+$L301)*$R301))</f>
        <v>14967.714367564913</v>
      </c>
      <c r="AH301" s="160">
        <f t="shared" si="89"/>
        <v>2.0950137211446997</v>
      </c>
      <c r="AI301" s="160">
        <f>IF($E301="","",MIN(Input!$C$61/AH301,1))</f>
        <v>0.64438718771845094</v>
      </c>
      <c r="AJ301" s="152"/>
      <c r="AK301" s="164">
        <f>IF(AND($C300=12,$D300=Input!$C$6),0,IF($E301="","",IF($B301&gt;Input!$C$9,$AC301*AI301,0)+AK302/(1+$L301)*$R301))</f>
        <v>19712.968284231782</v>
      </c>
      <c r="AL301" s="164">
        <f>IF(AND($C300=12,$D300=Input!$C$6),0,IF($E301="","",IF($B301&gt;Input!$C$9,0,$AC301)+AL302/(1+$L301)*$R301))</f>
        <v>0</v>
      </c>
      <c r="AM301" s="160">
        <f t="shared" si="90"/>
        <v>1.1382936520186004</v>
      </c>
      <c r="AN301" s="164">
        <f>IF($E301="","",IF($B301&gt;Input!$C$9,$AI301*$AC301,$AM301*$AC301))</f>
        <v>0</v>
      </c>
      <c r="AO301" s="164">
        <f>IF(AND($C300=12,$D300=Input!$C$6),0,IF($E301="","",$AN301+AO302/(1+$L301)*$R301))</f>
        <v>19712.968284231782</v>
      </c>
      <c r="AP301" s="152"/>
      <c r="AQ301" s="164">
        <f t="shared" si="91"/>
        <v>-4552.8794530124651</v>
      </c>
      <c r="AR301" s="164">
        <f t="shared" si="100"/>
        <v>-3951.7108656442524</v>
      </c>
      <c r="AS301" s="164">
        <f t="shared" si="101"/>
        <v>563.1578947368422</v>
      </c>
      <c r="AT301" s="164">
        <f t="shared" si="92"/>
        <v>563.1578947368422</v>
      </c>
      <c r="AU301" s="152"/>
      <c r="AV301" s="147">
        <f>'Deterministic Reserve'!BC301</f>
        <v>5.3606575782361658E-2</v>
      </c>
      <c r="AW301" s="164">
        <f t="shared" si="93"/>
        <v>563.1578947368422</v>
      </c>
      <c r="AX301" s="164">
        <f t="shared" si="94"/>
        <v>30.188966361645782</v>
      </c>
      <c r="AY301" s="152"/>
    </row>
    <row r="302" spans="1:51" s="150" customFormat="1" x14ac:dyDescent="0.25">
      <c r="A302" s="150">
        <f t="shared" si="102"/>
        <v>298</v>
      </c>
      <c r="B302" s="150">
        <f t="shared" si="103"/>
        <v>25</v>
      </c>
      <c r="C302" s="150">
        <f t="shared" si="104"/>
        <v>10</v>
      </c>
      <c r="D302" s="150">
        <f>IF(E302="","",Input!$C$4+B302-1)</f>
        <v>69</v>
      </c>
      <c r="E302" s="150">
        <f>IF(OR(AND(C301=12,D301=Input!$C$6),E301=""),"",1)</f>
        <v>1</v>
      </c>
      <c r="F302" s="150">
        <f>IF(E302="","",Input!$C$8+B302-1)</f>
        <v>2042</v>
      </c>
      <c r="G302" s="151">
        <f>IF(E302="","",MAX(0,Input!$C$9-B302))</f>
        <v>0</v>
      </c>
      <c r="H302" s="152">
        <f>IF(E302="","",Input!$C$3)</f>
        <v>100000</v>
      </c>
      <c r="I302" s="153">
        <f>IF(E302="","",HLOOKUP($B302,Input!$C$13:$BT$14,2))</f>
        <v>28.836500000000001</v>
      </c>
      <c r="J302" s="154"/>
      <c r="K302" s="155">
        <f>IF($E302="","",Input!$C$57)</f>
        <v>4.4999999999999998E-2</v>
      </c>
      <c r="L302" s="155">
        <f t="shared" si="95"/>
        <v>3.6748094004368514E-3</v>
      </c>
      <c r="M302" s="147">
        <f>IF($E302="","",VLOOKUP(IF($B302&lt;=Input!$C$7,$B302,26),'Mortality Tables'!$A$72:$CA$97,IF($B302&lt;=Input!$C$7+1,Input!$C$4-16,$D302-Input!$C$7-16),0)/1000)</f>
        <v>1.1769999999999999E-2</v>
      </c>
      <c r="N302" s="147">
        <f t="shared" si="84"/>
        <v>9.8616465339718129E-4</v>
      </c>
      <c r="O302" s="157">
        <f>IF($E302="","",IF($C302=12,IF($B302&lt;Input!$C$9,Input!$C$54,IF($B302=Input!$C$9,Input!$C$55,Input!$C$56)),0%))</f>
        <v>0</v>
      </c>
      <c r="P302" s="167">
        <f>IF($E302="","",IF($B302=1,Input!$C$59,IF($B302&lt;6,Input!$C$60,0%)))</f>
        <v>0</v>
      </c>
      <c r="Q302" s="162">
        <f>IF($E302="","",Input!$C$58)</f>
        <v>2.5</v>
      </c>
      <c r="R302" s="156">
        <f t="shared" si="96"/>
        <v>0.99901383534660282</v>
      </c>
      <c r="S302" s="154">
        <f t="shared" si="85"/>
        <v>3.6577958766700315E-2</v>
      </c>
      <c r="T302" s="152"/>
      <c r="U302" s="150">
        <f t="shared" si="97"/>
        <v>0</v>
      </c>
      <c r="V302" s="150">
        <f t="shared" si="98"/>
        <v>0</v>
      </c>
      <c r="W302" s="168">
        <f t="shared" si="99"/>
        <v>0</v>
      </c>
      <c r="X302" s="163">
        <f t="shared" si="86"/>
        <v>98.616465339718133</v>
      </c>
      <c r="Y302" s="152"/>
      <c r="Z302" s="164">
        <f>IF(AND($C301=12,$D301=Input!$C$6),0,IF($E302="","",V302+Z303/(1+L302)*R302))</f>
        <v>37221.482875462381</v>
      </c>
      <c r="AA302" s="164">
        <f>IF(OR($M302=1,AND($C301=12,$D301=Input!$C$6)),0,IF($E302="","",W302+(X302+AA303*$R302)/(1+$L302)))</f>
        <v>15132.105550453354</v>
      </c>
      <c r="AB302" s="160">
        <f t="shared" si="87"/>
        <v>0.825720328500681</v>
      </c>
      <c r="AC302" s="164">
        <f t="shared" si="88"/>
        <v>0</v>
      </c>
      <c r="AD302" s="164">
        <f>IF(AND($C301=12,$D301=Input!$C$6),0,IF($E302="","",$AC302+AD303/(1+$L302)*$R302))</f>
        <v>30734.535067209232</v>
      </c>
      <c r="AE302" s="152"/>
      <c r="AF302" s="164">
        <f>IF(AND($C301=12,$D301=Input!$C$6),0,IF($E302="","",IF($B302&gt;Input!$C$9,$AC302,0)+AF303/(1+$L302)*$R302))</f>
        <v>30734.535067209232</v>
      </c>
      <c r="AG302" s="164">
        <f>IF(AND($C301=12,$D301=Input!$C$6),0,IF($E302="","",(IF($B302&gt;Input!$C$9,$X302,0)+AG303)/(1+$L302)*$R302))</f>
        <v>14938.930897369066</v>
      </c>
      <c r="AH302" s="160">
        <f t="shared" si="89"/>
        <v>2.0950137211446997</v>
      </c>
      <c r="AI302" s="160">
        <f>IF($E302="","",MIN(Input!$C$61/AH302,1))</f>
        <v>0.64438718771845094</v>
      </c>
      <c r="AJ302" s="152"/>
      <c r="AK302" s="164">
        <f>IF(AND($C301=12,$D301=Input!$C$6),0,IF($E302="","",IF($B302&gt;Input!$C$9,$AC302*AI302,0)+AK303/(1+$L302)*$R302))</f>
        <v>19804.940617793087</v>
      </c>
      <c r="AL302" s="164">
        <f>IF(AND($C301=12,$D301=Input!$C$6),0,IF($E302="","",IF($B302&gt;Input!$C$9,0,$AC302)+AL303/(1+$L302)*$R302))</f>
        <v>0</v>
      </c>
      <c r="AM302" s="160">
        <f t="shared" si="90"/>
        <v>1.1382936520186004</v>
      </c>
      <c r="AN302" s="164">
        <f>IF($E302="","",IF($B302&gt;Input!$C$9,$AI302*$AC302,$AM302*$AC302))</f>
        <v>0</v>
      </c>
      <c r="AO302" s="164">
        <f>IF(AND($C301=12,$D301=Input!$C$6),0,IF($E302="","",$AN302+AO303/(1+$L302)*$R302))</f>
        <v>19804.940617793087</v>
      </c>
      <c r="AP302" s="152"/>
      <c r="AQ302" s="164">
        <f t="shared" si="91"/>
        <v>-4672.8350673397326</v>
      </c>
      <c r="AR302" s="164">
        <f t="shared" si="100"/>
        <v>-3951.7108656442524</v>
      </c>
      <c r="AS302" s="164">
        <f t="shared" si="101"/>
        <v>563.1578947368422</v>
      </c>
      <c r="AT302" s="164">
        <f t="shared" si="92"/>
        <v>563.1578947368422</v>
      </c>
      <c r="AU302" s="152"/>
      <c r="AV302" s="147">
        <f>'Deterministic Reserve'!BC302</f>
        <v>5.347707700248195E-2</v>
      </c>
      <c r="AW302" s="164">
        <f t="shared" si="93"/>
        <v>563.1578947368422</v>
      </c>
      <c r="AX302" s="164">
        <f t="shared" si="94"/>
        <v>30.116038101397734</v>
      </c>
      <c r="AY302" s="152"/>
    </row>
    <row r="303" spans="1:51" s="150" customFormat="1" x14ac:dyDescent="0.25">
      <c r="A303" s="150">
        <f t="shared" si="102"/>
        <v>299</v>
      </c>
      <c r="B303" s="150">
        <f t="shared" si="103"/>
        <v>25</v>
      </c>
      <c r="C303" s="150">
        <f t="shared" si="104"/>
        <v>11</v>
      </c>
      <c r="D303" s="150">
        <f>IF(E303="","",Input!$C$4+B303-1)</f>
        <v>69</v>
      </c>
      <c r="E303" s="150">
        <f>IF(OR(AND(C302=12,D302=Input!$C$6),E302=""),"",1)</f>
        <v>1</v>
      </c>
      <c r="F303" s="150">
        <f>IF(E303="","",Input!$C$8+B303-1)</f>
        <v>2042</v>
      </c>
      <c r="G303" s="151">
        <f>IF(E303="","",MAX(0,Input!$C$9-B303))</f>
        <v>0</v>
      </c>
      <c r="H303" s="152">
        <f>IF(E303="","",Input!$C$3)</f>
        <v>100000</v>
      </c>
      <c r="I303" s="153">
        <f>IF(E303="","",HLOOKUP($B303,Input!$C$13:$BT$14,2))</f>
        <v>28.836500000000001</v>
      </c>
      <c r="J303" s="154"/>
      <c r="K303" s="155">
        <f>IF($E303="","",Input!$C$57)</f>
        <v>4.4999999999999998E-2</v>
      </c>
      <c r="L303" s="155">
        <f t="shared" si="95"/>
        <v>3.6748094004368514E-3</v>
      </c>
      <c r="M303" s="147">
        <f>IF($E303="","",VLOOKUP(IF($B303&lt;=Input!$C$7,$B303,26),'Mortality Tables'!$A$72:$CA$97,IF($B303&lt;=Input!$C$7+1,Input!$C$4-16,$D303-Input!$C$7-16),0)/1000)</f>
        <v>1.1769999999999999E-2</v>
      </c>
      <c r="N303" s="147">
        <f t="shared" si="84"/>
        <v>9.8616465339718129E-4</v>
      </c>
      <c r="O303" s="157">
        <f>IF($E303="","",IF($C303=12,IF($B303&lt;Input!$C$9,Input!$C$54,IF($B303=Input!$C$9,Input!$C$55,Input!$C$56)),0%))</f>
        <v>0</v>
      </c>
      <c r="P303" s="167">
        <f>IF($E303="","",IF($B303=1,Input!$C$59,IF($B303&lt;6,Input!$C$60,0%)))</f>
        <v>0</v>
      </c>
      <c r="Q303" s="162">
        <f>IF($E303="","",Input!$C$58)</f>
        <v>2.5</v>
      </c>
      <c r="R303" s="156">
        <f t="shared" si="96"/>
        <v>0.99901383534660282</v>
      </c>
      <c r="S303" s="154">
        <f t="shared" si="85"/>
        <v>3.6541886876671176E-2</v>
      </c>
      <c r="T303" s="152"/>
      <c r="U303" s="150">
        <f t="shared" si="97"/>
        <v>0</v>
      </c>
      <c r="V303" s="150">
        <f t="shared" si="98"/>
        <v>0</v>
      </c>
      <c r="W303" s="168">
        <f t="shared" si="99"/>
        <v>0</v>
      </c>
      <c r="X303" s="163">
        <f t="shared" si="86"/>
        <v>98.616465339718133</v>
      </c>
      <c r="Y303" s="152"/>
      <c r="Z303" s="164">
        <f>IF(AND($C302=12,$D302=Input!$C$6),0,IF($E303="","",V303+Z304/(1+L303)*R303))</f>
        <v>37395.142498371977</v>
      </c>
      <c r="AA303" s="164">
        <f>IF(OR($M303=1,AND($C302=12,$D302=Input!$C$6)),0,IF($E303="","",W303+(X303+AA304*$R303)/(1+$L303)))</f>
        <v>15103.991711590019</v>
      </c>
      <c r="AB303" s="160">
        <f t="shared" si="87"/>
        <v>0.825720328500681</v>
      </c>
      <c r="AC303" s="164">
        <f t="shared" si="88"/>
        <v>0</v>
      </c>
      <c r="AD303" s="164">
        <f>IF(AND($C302=12,$D302=Input!$C$6),0,IF($E303="","",$AC303+AD304/(1+$L303)*$R303))</f>
        <v>30877.929348085447</v>
      </c>
      <c r="AE303" s="152"/>
      <c r="AF303" s="164">
        <f>IF(AND($C302=12,$D302=Input!$C$6),0,IF($E303="","",IF($B303&gt;Input!$C$9,$AC303,0)+AF304/(1+$L303)*$R303))</f>
        <v>30877.929348085447</v>
      </c>
      <c r="AG303" s="164">
        <f>IF(AND($C302=12,$D302=Input!$C$6),0,IF($E303="","",(IF($B303&gt;Input!$C$9,$X303,0)+AG304)/(1+$L303)*$R303))</f>
        <v>14910.013135731986</v>
      </c>
      <c r="AH303" s="160">
        <f t="shared" si="89"/>
        <v>2.0950137211446997</v>
      </c>
      <c r="AI303" s="160">
        <f>IF($E303="","",MIN(Input!$C$61/AH303,1))</f>
        <v>0.64438718771845094</v>
      </c>
      <c r="AJ303" s="152"/>
      <c r="AK303" s="164">
        <f>IF(AND($C302=12,$D302=Input!$C$6),0,IF($E303="","",IF($B303&gt;Input!$C$9,$AC303*AI303,0)+AK304/(1+$L303)*$R303))</f>
        <v>19897.34205518182</v>
      </c>
      <c r="AL303" s="164">
        <f>IF(AND($C302=12,$D302=Input!$C$6),0,IF($E303="","",IF($B303&gt;Input!$C$9,0,$AC303)+AL304/(1+$L303)*$R303))</f>
        <v>0</v>
      </c>
      <c r="AM303" s="160">
        <f t="shared" si="90"/>
        <v>1.1382936520186004</v>
      </c>
      <c r="AN303" s="164">
        <f>IF($E303="","",IF($B303&gt;Input!$C$9,$AI303*$AC303,$AM303*$AC303))</f>
        <v>0</v>
      </c>
      <c r="AO303" s="164">
        <f>IF(AND($C302=12,$D302=Input!$C$6),0,IF($E303="","",$AN303+AO304/(1+$L303)*$R303))</f>
        <v>19897.34205518182</v>
      </c>
      <c r="AP303" s="152"/>
      <c r="AQ303" s="164">
        <f t="shared" si="91"/>
        <v>-4793.350343591801</v>
      </c>
      <c r="AR303" s="164">
        <f t="shared" si="100"/>
        <v>-3951.7108656442524</v>
      </c>
      <c r="AS303" s="164">
        <f t="shared" si="101"/>
        <v>563.1578947368422</v>
      </c>
      <c r="AT303" s="164">
        <f t="shared" si="92"/>
        <v>563.1578947368422</v>
      </c>
      <c r="AU303" s="152"/>
      <c r="AV303" s="147">
        <f>'Deterministic Reserve'!BC303</f>
        <v>5.3347891056125842E-2</v>
      </c>
      <c r="AW303" s="164">
        <f t="shared" si="93"/>
        <v>563.1578947368422</v>
      </c>
      <c r="AX303" s="164">
        <f t="shared" si="94"/>
        <v>30.043286015818243</v>
      </c>
      <c r="AY303" s="152"/>
    </row>
    <row r="304" spans="1:51" s="150" customFormat="1" x14ac:dyDescent="0.25">
      <c r="A304" s="150">
        <f t="shared" si="102"/>
        <v>300</v>
      </c>
      <c r="B304" s="150">
        <f t="shared" si="103"/>
        <v>25</v>
      </c>
      <c r="C304" s="150">
        <f t="shared" si="104"/>
        <v>12</v>
      </c>
      <c r="D304" s="150">
        <f>IF(E304="","",Input!$C$4+B304-1)</f>
        <v>69</v>
      </c>
      <c r="E304" s="150">
        <f>IF(OR(AND(C303=12,D303=Input!$C$6),E303=""),"",1)</f>
        <v>1</v>
      </c>
      <c r="F304" s="150">
        <f>IF(E304="","",Input!$C$8+B304-1)</f>
        <v>2042</v>
      </c>
      <c r="G304" s="151">
        <f>IF(E304="","",MAX(0,Input!$C$9-B304))</f>
        <v>0</v>
      </c>
      <c r="H304" s="152">
        <f>IF(E304="","",Input!$C$3)</f>
        <v>100000</v>
      </c>
      <c r="I304" s="153">
        <f>IF(E304="","",HLOOKUP($B304,Input!$C$13:$BT$14,2))</f>
        <v>28.836500000000001</v>
      </c>
      <c r="J304" s="154"/>
      <c r="K304" s="155">
        <f>IF($E304="","",Input!$C$57)</f>
        <v>4.4999999999999998E-2</v>
      </c>
      <c r="L304" s="155">
        <f t="shared" si="95"/>
        <v>3.6748094004368514E-3</v>
      </c>
      <c r="M304" s="147">
        <f>IF($E304="","",VLOOKUP(IF($B304&lt;=Input!$C$7,$B304,26),'Mortality Tables'!$A$72:$CA$97,IF($B304&lt;=Input!$C$7+1,Input!$C$4-16,$D304-Input!$C$7-16),0)/1000)</f>
        <v>1.1769999999999999E-2</v>
      </c>
      <c r="N304" s="147">
        <f t="shared" si="84"/>
        <v>9.8616465339718129E-4</v>
      </c>
      <c r="O304" s="157">
        <f>IF($E304="","",IF($C304=12,IF($B304&lt;Input!$C$9,Input!$C$54,IF($B304=Input!$C$9,Input!$C$55,Input!$C$56)),0%))</f>
        <v>0.1</v>
      </c>
      <c r="P304" s="167">
        <f>IF($E304="","",IF($B304=1,Input!$C$59,IF($B304&lt;6,Input!$C$60,0%)))</f>
        <v>0</v>
      </c>
      <c r="Q304" s="162">
        <f>IF($E304="","",Input!$C$58)</f>
        <v>2.5</v>
      </c>
      <c r="R304" s="156">
        <f t="shared" si="96"/>
        <v>0.89901383534660284</v>
      </c>
      <c r="S304" s="154">
        <f t="shared" si="85"/>
        <v>3.2851661871797846E-2</v>
      </c>
      <c r="T304" s="152"/>
      <c r="U304" s="150">
        <f t="shared" si="97"/>
        <v>0</v>
      </c>
      <c r="V304" s="150">
        <f t="shared" si="98"/>
        <v>0</v>
      </c>
      <c r="W304" s="168">
        <f t="shared" si="99"/>
        <v>0</v>
      </c>
      <c r="X304" s="163">
        <f t="shared" si="86"/>
        <v>98.616465339718133</v>
      </c>
      <c r="Y304" s="152"/>
      <c r="Z304" s="164">
        <f>IF(AND($C303=12,$D303=Input!$C$6),0,IF($E304="","",V304+Z305/(1+L304)*R304))</f>
        <v>37569.612343290457</v>
      </c>
      <c r="AA304" s="164">
        <f>IF(OR($M304=1,AND($C303=12,$D303=Input!$C$6)),0,IF($E304="","",W304+(X304+AA305*$R304)/(1+$L304)))</f>
        <v>15075.746705500707</v>
      </c>
      <c r="AB304" s="160">
        <f t="shared" si="87"/>
        <v>0.825720328500681</v>
      </c>
      <c r="AC304" s="164">
        <f t="shared" si="88"/>
        <v>0</v>
      </c>
      <c r="AD304" s="164">
        <f>IF(AND($C303=12,$D303=Input!$C$6),0,IF($E304="","",$AC304+AD305/(1+$L304)*$R304))</f>
        <v>31021.992645744995</v>
      </c>
      <c r="AE304" s="152"/>
      <c r="AF304" s="164">
        <f>IF(AND($C303=12,$D303=Input!$C$6),0,IF($E304="","",IF($B304&gt;Input!$C$9,$AC304,0)+AF305/(1+$L304)*$R304))</f>
        <v>31021.992645744995</v>
      </c>
      <c r="AG304" s="164">
        <f>IF(AND($C303=12,$D303=Input!$C$6),0,IF($E304="","",(IF($B304&gt;Input!$C$9,$X304,0)+AG305)/(1+$L304)*$R304))</f>
        <v>14880.960456106868</v>
      </c>
      <c r="AH304" s="160">
        <f t="shared" si="89"/>
        <v>2.0950137211446997</v>
      </c>
      <c r="AI304" s="160">
        <f>IF($E304="","",MIN(Input!$C$61/AH304,1))</f>
        <v>0.64438718771845094</v>
      </c>
      <c r="AJ304" s="152"/>
      <c r="AK304" s="164">
        <f>IF(AND($C303=12,$D303=Input!$C$6),0,IF($E304="","",IF($B304&gt;Input!$C$9,$AC304*AI304,0)+AK305/(1+$L304)*$R304))</f>
        <v>19990.174598414105</v>
      </c>
      <c r="AL304" s="164">
        <f>IF(AND($C303=12,$D303=Input!$C$6),0,IF($E304="","",IF($B304&gt;Input!$C$9,0,$AC304)+AL305/(1+$L304)*$R304))</f>
        <v>0</v>
      </c>
      <c r="AM304" s="160">
        <f t="shared" si="90"/>
        <v>1.1382936520186004</v>
      </c>
      <c r="AN304" s="164">
        <f>IF($E304="","",IF($B304&gt;Input!$C$9,$AI304*$AC304,$AM304*$AC304))</f>
        <v>0</v>
      </c>
      <c r="AO304" s="164">
        <f>IF(AND($C303=12,$D303=Input!$C$6),0,IF($E304="","",$AN304+AO305/(1+$L304)*$R304))</f>
        <v>19990.174598414105</v>
      </c>
      <c r="AP304" s="152"/>
      <c r="AQ304" s="164">
        <f t="shared" si="91"/>
        <v>-4914.427892913398</v>
      </c>
      <c r="AR304" s="164">
        <f t="shared" si="100"/>
        <v>-3951.7108656442524</v>
      </c>
      <c r="AS304" s="164">
        <f t="shared" si="101"/>
        <v>563.1578947368422</v>
      </c>
      <c r="AT304" s="164">
        <f t="shared" si="92"/>
        <v>563.1578947368422</v>
      </c>
      <c r="AU304" s="152"/>
      <c r="AV304" s="147">
        <f>'Deterministic Reserve'!BC304</f>
        <v>4.7884228081960793E-2</v>
      </c>
      <c r="AW304" s="164">
        <f t="shared" si="93"/>
        <v>563.1578947368422</v>
      </c>
      <c r="AX304" s="164">
        <f t="shared" si="94"/>
        <v>26.966381077735818</v>
      </c>
      <c r="AY304" s="152"/>
    </row>
    <row r="305" spans="1:51" s="150" customFormat="1" x14ac:dyDescent="0.25">
      <c r="A305" s="150">
        <f t="shared" si="102"/>
        <v>301</v>
      </c>
      <c r="B305" s="150">
        <f t="shared" si="103"/>
        <v>26</v>
      </c>
      <c r="C305" s="150">
        <f t="shared" si="104"/>
        <v>1</v>
      </c>
      <c r="D305" s="150">
        <f>IF(E305="","",Input!$C$4+B305-1)</f>
        <v>70</v>
      </c>
      <c r="E305" s="150">
        <f>IF(OR(AND(C304=12,D304=Input!$C$6),E304=""),"",1)</f>
        <v>1</v>
      </c>
      <c r="F305" s="150">
        <f>IF(E305="","",Input!$C$8+B305-1)</f>
        <v>2043</v>
      </c>
      <c r="G305" s="151">
        <f>IF(E305="","",MAX(0,Input!$C$9-B305))</f>
        <v>0</v>
      </c>
      <c r="H305" s="152">
        <f>IF(E305="","",Input!$C$3)</f>
        <v>100000</v>
      </c>
      <c r="I305" s="153">
        <f>IF(E305="","",HLOOKUP($B305,Input!$C$13:$BT$14,2))</f>
        <v>32.364500000000007</v>
      </c>
      <c r="J305" s="154"/>
      <c r="K305" s="155">
        <f>IF($E305="","",Input!$C$57)</f>
        <v>4.4999999999999998E-2</v>
      </c>
      <c r="L305" s="155">
        <f t="shared" si="95"/>
        <v>3.6748094004368514E-3</v>
      </c>
      <c r="M305" s="147">
        <f>IF($E305="","",VLOOKUP(IF($B305&lt;=Input!$C$7,$B305,26),'Mortality Tables'!$A$72:$CA$97,IF($B305&lt;=Input!$C$7+1,Input!$C$4-16,$D305-Input!$C$7-16),0)/1000)</f>
        <v>1.3210000000000001E-2</v>
      </c>
      <c r="N305" s="147">
        <f t="shared" si="84"/>
        <v>1.1075552194691474E-3</v>
      </c>
      <c r="O305" s="157">
        <f>IF($E305="","",IF($C305=12,IF($B305&lt;Input!$C$9,Input!$C$54,IF($B305=Input!$C$9,Input!$C$55,Input!$C$56)),0%))</f>
        <v>0</v>
      </c>
      <c r="P305" s="167">
        <f>IF($E305="","",IF($B305=1,Input!$C$59,IF($B305&lt;6,Input!$C$60,0%)))</f>
        <v>0</v>
      </c>
      <c r="Q305" s="162">
        <f>IF($E305="","",Input!$C$58)</f>
        <v>2.5</v>
      </c>
      <c r="R305" s="156">
        <f t="shared" si="96"/>
        <v>0.99889244478053085</v>
      </c>
      <c r="S305" s="154">
        <f t="shared" si="85"/>
        <v>3.2815276842223504E-2</v>
      </c>
      <c r="T305" s="152"/>
      <c r="U305" s="150">
        <f t="shared" si="97"/>
        <v>3236.4500000000003</v>
      </c>
      <c r="V305" s="150">
        <f t="shared" si="98"/>
        <v>3236.4500000000003</v>
      </c>
      <c r="W305" s="168">
        <f t="shared" si="99"/>
        <v>0</v>
      </c>
      <c r="X305" s="163">
        <f t="shared" si="86"/>
        <v>110.75552194691474</v>
      </c>
      <c r="Y305" s="152"/>
      <c r="Z305" s="164">
        <f>IF(AND($C304=12,$D304=Input!$C$6),0,IF($E305="","",V305+Z306/(1+L305)*R305))</f>
        <v>41943.373978624761</v>
      </c>
      <c r="AA305" s="164">
        <f>IF(OR($M305=1,AND($C304=12,$D304=Input!$C$6)),0,IF($E305="","",W305+(X305+AA306*$R305)/(1+$L305)))</f>
        <v>16721.133919009575</v>
      </c>
      <c r="AB305" s="160">
        <f t="shared" si="87"/>
        <v>0.825720328500681</v>
      </c>
      <c r="AC305" s="164">
        <f t="shared" si="88"/>
        <v>2672.4025571760294</v>
      </c>
      <c r="AD305" s="164">
        <f>IF(AND($C304=12,$D304=Input!$C$6),0,IF($E305="","",$AC305+AD306/(1+$L305)*$R305))</f>
        <v>34633.496540056905</v>
      </c>
      <c r="AE305" s="152"/>
      <c r="AF305" s="164">
        <f>IF(AND($C304=12,$D304=Input!$C$6),0,IF($E305="","",IF($B305&gt;Input!$C$9,$AC305,0)+AF306/(1+$L305)*$R305))</f>
        <v>34633.496540056905</v>
      </c>
      <c r="AG305" s="164">
        <f>IF(AND($C304=12,$D304=Input!$C$6),0,IF($E305="","",(IF($B305&gt;Input!$C$9,$X305,0)+AG306)/(1+$L305)*$R305))</f>
        <v>16514.748715764821</v>
      </c>
      <c r="AH305" s="160">
        <f t="shared" si="89"/>
        <v>2.0950137211446997</v>
      </c>
      <c r="AI305" s="160">
        <f>IF($E305="","",MIN(Input!$C$61/AH305,1))</f>
        <v>0.64438718771845094</v>
      </c>
      <c r="AJ305" s="152"/>
      <c r="AK305" s="164">
        <f>IF(AND($C304=12,$D304=Input!$C$6),0,IF($E305="","",IF($B305&gt;Input!$C$9,$AC305*AI305,0)+AK306/(1+$L305)*$R305))</f>
        <v>22317.381436303993</v>
      </c>
      <c r="AL305" s="164">
        <f>IF(AND($C304=12,$D304=Input!$C$6),0,IF($E305="","",IF($B305&gt;Input!$C$9,0,$AC305)+AL306/(1+$L305)*$R305))</f>
        <v>0</v>
      </c>
      <c r="AM305" s="160">
        <f t="shared" si="90"/>
        <v>1.1382936520186004</v>
      </c>
      <c r="AN305" s="164">
        <f>IF($E305="","",IF($B305&gt;Input!$C$9,$AI305*$AC305,$AM305*$AC305))</f>
        <v>1722.0619682702584</v>
      </c>
      <c r="AO305" s="164">
        <f>IF(AND($C304=12,$D304=Input!$C$6),0,IF($E305="","",$AN305+AO306/(1+$L305)*$R305))</f>
        <v>22317.381436303993</v>
      </c>
      <c r="AP305" s="152"/>
      <c r="AQ305" s="164">
        <f t="shared" si="91"/>
        <v>-5596.2475172944178</v>
      </c>
      <c r="AR305" s="164">
        <f t="shared" si="100"/>
        <v>-4262.4097721332791</v>
      </c>
      <c r="AS305" s="164">
        <f t="shared" si="101"/>
        <v>632.0574162679427</v>
      </c>
      <c r="AT305" s="164">
        <f t="shared" si="92"/>
        <v>632.0574162679427</v>
      </c>
      <c r="AU305" s="152"/>
      <c r="AV305" s="147">
        <f>'Deterministic Reserve'!BC305</f>
        <v>4.7754722438050561E-2</v>
      </c>
      <c r="AW305" s="164">
        <f t="shared" si="93"/>
        <v>632.0574162679427</v>
      </c>
      <c r="AX305" s="164">
        <f t="shared" si="94"/>
        <v>30.183726478786987</v>
      </c>
      <c r="AY305" s="152"/>
    </row>
    <row r="306" spans="1:51" s="150" customFormat="1" x14ac:dyDescent="0.25">
      <c r="A306" s="150">
        <f t="shared" si="102"/>
        <v>302</v>
      </c>
      <c r="B306" s="150">
        <f t="shared" si="103"/>
        <v>26</v>
      </c>
      <c r="C306" s="150">
        <f t="shared" si="104"/>
        <v>2</v>
      </c>
      <c r="D306" s="150">
        <f>IF(E306="","",Input!$C$4+B306-1)</f>
        <v>70</v>
      </c>
      <c r="E306" s="150">
        <f>IF(OR(AND(C305=12,D305=Input!$C$6),E305=""),"",1)</f>
        <v>1</v>
      </c>
      <c r="F306" s="150">
        <f>IF(E306="","",Input!$C$8+B306-1)</f>
        <v>2043</v>
      </c>
      <c r="G306" s="151">
        <f>IF(E306="","",MAX(0,Input!$C$9-B306))</f>
        <v>0</v>
      </c>
      <c r="H306" s="152">
        <f>IF(E306="","",Input!$C$3)</f>
        <v>100000</v>
      </c>
      <c r="I306" s="153">
        <f>IF(E306="","",HLOOKUP($B306,Input!$C$13:$BT$14,2))</f>
        <v>32.364500000000007</v>
      </c>
      <c r="J306" s="154"/>
      <c r="K306" s="155">
        <f>IF($E306="","",Input!$C$57)</f>
        <v>4.4999999999999998E-2</v>
      </c>
      <c r="L306" s="155">
        <f t="shared" si="95"/>
        <v>3.6748094004368514E-3</v>
      </c>
      <c r="M306" s="147">
        <f>IF($E306="","",VLOOKUP(IF($B306&lt;=Input!$C$7,$B306,26),'Mortality Tables'!$A$72:$CA$97,IF($B306&lt;=Input!$C$7+1,Input!$C$4-16,$D306-Input!$C$7-16),0)/1000)</f>
        <v>1.3210000000000001E-2</v>
      </c>
      <c r="N306" s="147">
        <f t="shared" si="84"/>
        <v>1.1075552194691474E-3</v>
      </c>
      <c r="O306" s="157">
        <f>IF($E306="","",IF($C306=12,IF($B306&lt;Input!$C$9,Input!$C$54,IF($B306=Input!$C$9,Input!$C$55,Input!$C$56)),0%))</f>
        <v>0</v>
      </c>
      <c r="P306" s="167">
        <f>IF($E306="","",IF($B306=1,Input!$C$59,IF($B306&lt;6,Input!$C$60,0%)))</f>
        <v>0</v>
      </c>
      <c r="Q306" s="162">
        <f>IF($E306="","",Input!$C$58)</f>
        <v>2.5</v>
      </c>
      <c r="R306" s="156">
        <f t="shared" si="96"/>
        <v>0.99889244478053085</v>
      </c>
      <c r="S306" s="154">
        <f t="shared" si="85"/>
        <v>3.2778932111078574E-2</v>
      </c>
      <c r="T306" s="152"/>
      <c r="U306" s="150">
        <f t="shared" si="97"/>
        <v>0</v>
      </c>
      <c r="V306" s="150">
        <f t="shared" si="98"/>
        <v>0</v>
      </c>
      <c r="W306" s="168">
        <f t="shared" si="99"/>
        <v>0</v>
      </c>
      <c r="X306" s="163">
        <f t="shared" si="86"/>
        <v>110.75552194691474</v>
      </c>
      <c r="Y306" s="152"/>
      <c r="Z306" s="164">
        <f>IF(AND($C305=12,$D305=Input!$C$6),0,IF($E306="","",V306+Z307/(1+L306)*R306))</f>
        <v>38892.239849966085</v>
      </c>
      <c r="AA306" s="164">
        <f>IF(OR($M306=1,AND($C305=12,$D305=Input!$C$6)),0,IF($E306="","",W306+(X306+AA307*$R306)/(1+$L306)))</f>
        <v>16690.310818035279</v>
      </c>
      <c r="AB306" s="160">
        <f t="shared" si="87"/>
        <v>0.825720328500681</v>
      </c>
      <c r="AC306" s="164">
        <f t="shared" si="88"/>
        <v>0</v>
      </c>
      <c r="AD306" s="164">
        <f>IF(AND($C305=12,$D305=Input!$C$6),0,IF($E306="","",$AC306+AD307/(1+$L306)*$R306))</f>
        <v>32114.11306504122</v>
      </c>
      <c r="AE306" s="152"/>
      <c r="AF306" s="164">
        <f>IF(AND($C305=12,$D305=Input!$C$6),0,IF($E306="","",IF($B306&gt;Input!$C$9,$AC306,0)+AF307/(1+$L306)*$R306))</f>
        <v>32114.11306504122</v>
      </c>
      <c r="AG306" s="164">
        <f>IF(AND($C305=12,$D305=Input!$C$6),0,IF($E306="","",(IF($B306&gt;Input!$C$9,$X306,0)+AG307)/(1+$L306)*$R306))</f>
        <v>16483.060314985556</v>
      </c>
      <c r="AH306" s="160">
        <f t="shared" si="89"/>
        <v>2.0950137211446997</v>
      </c>
      <c r="AI306" s="160">
        <f>IF($E306="","",MIN(Input!$C$61/AH306,1))</f>
        <v>0.64438718771845094</v>
      </c>
      <c r="AJ306" s="152"/>
      <c r="AK306" s="164">
        <f>IF(AND($C305=12,$D305=Input!$C$6),0,IF($E306="","",IF($B306&gt;Input!$C$9,$AC306*AI306,0)+AK307/(1+$L306)*$R306))</f>
        <v>20693.923004054297</v>
      </c>
      <c r="AL306" s="164">
        <f>IF(AND($C305=12,$D305=Input!$C$6),0,IF($E306="","",IF($B306&gt;Input!$C$9,0,$AC306)+AL307/(1+$L306)*$R306))</f>
        <v>0</v>
      </c>
      <c r="AM306" s="160">
        <f t="shared" si="90"/>
        <v>1.1382936520186004</v>
      </c>
      <c r="AN306" s="164">
        <f>IF($E306="","",IF($B306&gt;Input!$C$9,$AI306*$AC306,$AM306*$AC306))</f>
        <v>0</v>
      </c>
      <c r="AO306" s="164">
        <f>IF(AND($C305=12,$D305=Input!$C$6),0,IF($E306="","",$AN306+AO307/(1+$L306)*$R306))</f>
        <v>20693.923004054297</v>
      </c>
      <c r="AP306" s="152"/>
      <c r="AQ306" s="164">
        <f t="shared" si="91"/>
        <v>-4003.6121860190178</v>
      </c>
      <c r="AR306" s="164">
        <f t="shared" si="100"/>
        <v>-4262.4097721332791</v>
      </c>
      <c r="AS306" s="164">
        <f t="shared" si="101"/>
        <v>632.0574162679427</v>
      </c>
      <c r="AT306" s="164">
        <f t="shared" si="92"/>
        <v>632.0574162679427</v>
      </c>
      <c r="AU306" s="152"/>
      <c r="AV306" s="147">
        <f>'Deterministic Reserve'!BC306</f>
        <v>4.7625567049589278E-2</v>
      </c>
      <c r="AW306" s="164">
        <f t="shared" si="93"/>
        <v>632.0574162679427</v>
      </c>
      <c r="AX306" s="164">
        <f t="shared" si="94"/>
        <v>30.102092857659066</v>
      </c>
      <c r="AY306" s="152"/>
    </row>
    <row r="307" spans="1:51" s="150" customFormat="1" x14ac:dyDescent="0.25">
      <c r="A307" s="150">
        <f t="shared" si="102"/>
        <v>303</v>
      </c>
      <c r="B307" s="150">
        <f t="shared" si="103"/>
        <v>26</v>
      </c>
      <c r="C307" s="150">
        <f t="shared" si="104"/>
        <v>3</v>
      </c>
      <c r="D307" s="150">
        <f>IF(E307="","",Input!$C$4+B307-1)</f>
        <v>70</v>
      </c>
      <c r="E307" s="150">
        <f>IF(OR(AND(C306=12,D306=Input!$C$6),E306=""),"",1)</f>
        <v>1</v>
      </c>
      <c r="F307" s="150">
        <f>IF(E307="","",Input!$C$8+B307-1)</f>
        <v>2043</v>
      </c>
      <c r="G307" s="151">
        <f>IF(E307="","",MAX(0,Input!$C$9-B307))</f>
        <v>0</v>
      </c>
      <c r="H307" s="152">
        <f>IF(E307="","",Input!$C$3)</f>
        <v>100000</v>
      </c>
      <c r="I307" s="153">
        <f>IF(E307="","",HLOOKUP($B307,Input!$C$13:$BT$14,2))</f>
        <v>32.364500000000007</v>
      </c>
      <c r="J307" s="154"/>
      <c r="K307" s="155">
        <f>IF($E307="","",Input!$C$57)</f>
        <v>4.4999999999999998E-2</v>
      </c>
      <c r="L307" s="155">
        <f t="shared" si="95"/>
        <v>3.6748094004368514E-3</v>
      </c>
      <c r="M307" s="147">
        <f>IF($E307="","",VLOOKUP(IF($B307&lt;=Input!$C$7,$B307,26),'Mortality Tables'!$A$72:$CA$97,IF($B307&lt;=Input!$C$7+1,Input!$C$4-16,$D307-Input!$C$7-16),0)/1000)</f>
        <v>1.3210000000000001E-2</v>
      </c>
      <c r="N307" s="147">
        <f t="shared" si="84"/>
        <v>1.1075552194691474E-3</v>
      </c>
      <c r="O307" s="157">
        <f>IF($E307="","",IF($C307=12,IF($B307&lt;Input!$C$9,Input!$C$54,IF($B307=Input!$C$9,Input!$C$55,Input!$C$56)),0%))</f>
        <v>0</v>
      </c>
      <c r="P307" s="167">
        <f>IF($E307="","",IF($B307=1,Input!$C$59,IF($B307&lt;6,Input!$C$60,0%)))</f>
        <v>0</v>
      </c>
      <c r="Q307" s="162">
        <f>IF($E307="","",Input!$C$58)</f>
        <v>2.5</v>
      </c>
      <c r="R307" s="156">
        <f t="shared" si="96"/>
        <v>0.99889244478053085</v>
      </c>
      <c r="S307" s="154">
        <f t="shared" si="85"/>
        <v>3.2742627633730322E-2</v>
      </c>
      <c r="T307" s="152"/>
      <c r="U307" s="150">
        <f t="shared" si="97"/>
        <v>0</v>
      </c>
      <c r="V307" s="150">
        <f t="shared" si="98"/>
        <v>0</v>
      </c>
      <c r="W307" s="168">
        <f t="shared" si="99"/>
        <v>0</v>
      </c>
      <c r="X307" s="163">
        <f t="shared" si="86"/>
        <v>110.75552194691474</v>
      </c>
      <c r="Y307" s="152"/>
      <c r="Z307" s="164">
        <f>IF(AND($C306=12,$D306=Input!$C$6),0,IF($E307="","",V307+Z308/(1+L307)*R307))</f>
        <v>39078.44295203103</v>
      </c>
      <c r="AA307" s="164">
        <f>IF(OR($M307=1,AND($C306=12,$D306=Input!$C$6)),0,IF($E307="","",W307+(X307+AA308*$R307)/(1+$L307)))</f>
        <v>16659.340146310653</v>
      </c>
      <c r="AB307" s="160">
        <f t="shared" si="87"/>
        <v>0.825720328500681</v>
      </c>
      <c r="AC307" s="164">
        <f t="shared" si="88"/>
        <v>0</v>
      </c>
      <c r="AD307" s="164">
        <f>IF(AND($C306=12,$D306=Input!$C$6),0,IF($E307="","",$AC307+AD308/(1+$L307)*$R307))</f>
        <v>32267.864751646135</v>
      </c>
      <c r="AE307" s="152"/>
      <c r="AF307" s="164">
        <f>IF(AND($C306=12,$D306=Input!$C$6),0,IF($E307="","",IF($B307&gt;Input!$C$9,$AC307,0)+AF308/(1+$L307)*$R307))</f>
        <v>32267.864751646135</v>
      </c>
      <c r="AG307" s="164">
        <f>IF(AND($C306=12,$D306=Input!$C$6),0,IF($E307="","",(IF($B307&gt;Input!$C$9,$X307,0)+AG308)/(1+$L307)*$R307))</f>
        <v>16451.220200688444</v>
      </c>
      <c r="AH307" s="160">
        <f t="shared" si="89"/>
        <v>2.0950137211446997</v>
      </c>
      <c r="AI307" s="160">
        <f>IF($E307="","",MIN(Input!$C$61/AH307,1))</f>
        <v>0.64438718771845094</v>
      </c>
      <c r="AJ307" s="152"/>
      <c r="AK307" s="164">
        <f>IF(AND($C306=12,$D306=Input!$C$6),0,IF($E307="","",IF($B307&gt;Input!$C$9,$AC307*AI307,0)+AK308/(1+$L307)*$R307))</f>
        <v>20792.998620992606</v>
      </c>
      <c r="AL307" s="164">
        <f>IF(AND($C306=12,$D306=Input!$C$6),0,IF($E307="","",IF($B307&gt;Input!$C$9,0,$AC307)+AL308/(1+$L307)*$R307))</f>
        <v>0</v>
      </c>
      <c r="AM307" s="160">
        <f t="shared" si="90"/>
        <v>1.1382936520186004</v>
      </c>
      <c r="AN307" s="164">
        <f>IF($E307="","",IF($B307&gt;Input!$C$9,$AI307*$AC307,$AM307*$AC307))</f>
        <v>0</v>
      </c>
      <c r="AO307" s="164">
        <f>IF(AND($C306=12,$D306=Input!$C$6),0,IF($E307="","",$AN307+AO308/(1+$L307)*$R307))</f>
        <v>20792.998620992606</v>
      </c>
      <c r="AP307" s="152"/>
      <c r="AQ307" s="164">
        <f t="shared" si="91"/>
        <v>-4133.6584746819535</v>
      </c>
      <c r="AR307" s="164">
        <f t="shared" si="100"/>
        <v>-4262.4097721332791</v>
      </c>
      <c r="AS307" s="164">
        <f t="shared" si="101"/>
        <v>632.0574162679427</v>
      </c>
      <c r="AT307" s="164">
        <f t="shared" si="92"/>
        <v>632.0574162679427</v>
      </c>
      <c r="AU307" s="152"/>
      <c r="AV307" s="147">
        <f>'Deterministic Reserve'!BC307</f>
        <v>4.749676096929098E-2</v>
      </c>
      <c r="AW307" s="164">
        <f t="shared" si="93"/>
        <v>632.0574162679427</v>
      </c>
      <c r="AX307" s="164">
        <f t="shared" si="94"/>
        <v>30.020680019346123</v>
      </c>
      <c r="AY307" s="152"/>
    </row>
    <row r="308" spans="1:51" s="150" customFormat="1" x14ac:dyDescent="0.25">
      <c r="A308" s="150">
        <f t="shared" si="102"/>
        <v>304</v>
      </c>
      <c r="B308" s="150">
        <f t="shared" si="103"/>
        <v>26</v>
      </c>
      <c r="C308" s="150">
        <f t="shared" si="104"/>
        <v>4</v>
      </c>
      <c r="D308" s="150">
        <f>IF(E308="","",Input!$C$4+B308-1)</f>
        <v>70</v>
      </c>
      <c r="E308" s="150">
        <f>IF(OR(AND(C307=12,D307=Input!$C$6),E307=""),"",1)</f>
        <v>1</v>
      </c>
      <c r="F308" s="150">
        <f>IF(E308="","",Input!$C$8+B308-1)</f>
        <v>2043</v>
      </c>
      <c r="G308" s="151">
        <f>IF(E308="","",MAX(0,Input!$C$9-B308))</f>
        <v>0</v>
      </c>
      <c r="H308" s="152">
        <f>IF(E308="","",Input!$C$3)</f>
        <v>100000</v>
      </c>
      <c r="I308" s="153">
        <f>IF(E308="","",HLOOKUP($B308,Input!$C$13:$BT$14,2))</f>
        <v>32.364500000000007</v>
      </c>
      <c r="J308" s="154"/>
      <c r="K308" s="155">
        <f>IF($E308="","",Input!$C$57)</f>
        <v>4.4999999999999998E-2</v>
      </c>
      <c r="L308" s="155">
        <f t="shared" si="95"/>
        <v>3.6748094004368514E-3</v>
      </c>
      <c r="M308" s="147">
        <f>IF($E308="","",VLOOKUP(IF($B308&lt;=Input!$C$7,$B308,26),'Mortality Tables'!$A$72:$CA$97,IF($B308&lt;=Input!$C$7+1,Input!$C$4-16,$D308-Input!$C$7-16),0)/1000)</f>
        <v>1.3210000000000001E-2</v>
      </c>
      <c r="N308" s="147">
        <f t="shared" si="84"/>
        <v>1.1075552194691474E-3</v>
      </c>
      <c r="O308" s="157">
        <f>IF($E308="","",IF($C308=12,IF($B308&lt;Input!$C$9,Input!$C$54,IF($B308=Input!$C$9,Input!$C$55,Input!$C$56)),0%))</f>
        <v>0</v>
      </c>
      <c r="P308" s="167">
        <f>IF($E308="","",IF($B308=1,Input!$C$59,IF($B308&lt;6,Input!$C$60,0%)))</f>
        <v>0</v>
      </c>
      <c r="Q308" s="162">
        <f>IF($E308="","",Input!$C$58)</f>
        <v>2.5</v>
      </c>
      <c r="R308" s="156">
        <f t="shared" si="96"/>
        <v>0.99889244478053085</v>
      </c>
      <c r="S308" s="154">
        <f t="shared" si="85"/>
        <v>3.2706363365595452E-2</v>
      </c>
      <c r="T308" s="152"/>
      <c r="U308" s="150">
        <f t="shared" si="97"/>
        <v>0</v>
      </c>
      <c r="V308" s="150">
        <f t="shared" si="98"/>
        <v>0</v>
      </c>
      <c r="W308" s="168">
        <f t="shared" si="99"/>
        <v>0</v>
      </c>
      <c r="X308" s="163">
        <f t="shared" si="86"/>
        <v>110.75552194691474</v>
      </c>
      <c r="Y308" s="152"/>
      <c r="Z308" s="164">
        <f>IF(AND($C307=12,$D307=Input!$C$6),0,IF($E308="","",V308+Z309/(1+L308)*R308))</f>
        <v>39265.537532585062</v>
      </c>
      <c r="AA308" s="164">
        <f>IF(OR($M308=1,AND($C307=12,$D307=Input!$C$6)),0,IF($E308="","",W308+(X308+AA309*$R308)/(1+$L308)))</f>
        <v>16628.221197316048</v>
      </c>
      <c r="AB308" s="160">
        <f t="shared" si="87"/>
        <v>0.825720328500681</v>
      </c>
      <c r="AC308" s="164">
        <f t="shared" si="88"/>
        <v>0</v>
      </c>
      <c r="AD308" s="164">
        <f>IF(AND($C307=12,$D307=Input!$C$6),0,IF($E308="","",$AC308+AD309/(1+$L308)*$R308))</f>
        <v>32422.352550161911</v>
      </c>
      <c r="AE308" s="152"/>
      <c r="AF308" s="164">
        <f>IF(AND($C307=12,$D307=Input!$C$6),0,IF($E308="","",IF($B308&gt;Input!$C$9,$AC308,0)+AF309/(1+$L308)*$R308))</f>
        <v>32422.352550161911</v>
      </c>
      <c r="AG308" s="164">
        <f>IF(AND($C307=12,$D307=Input!$C$6),0,IF($E308="","",(IF($B308&gt;Input!$C$9,$X308,0)+AG309)/(1+$L308)*$R308))</f>
        <v>16419.227646519648</v>
      </c>
      <c r="AH308" s="160">
        <f t="shared" si="89"/>
        <v>2.0950137211446997</v>
      </c>
      <c r="AI308" s="160">
        <f>IF($E308="","",MIN(Input!$C$61/AH308,1))</f>
        <v>0.64438718771845094</v>
      </c>
      <c r="AJ308" s="152"/>
      <c r="AK308" s="164">
        <f>IF(AND($C307=12,$D307=Input!$C$6),0,IF($E308="","",IF($B308&gt;Input!$C$9,$AC308*AI308,0)+AK309/(1+$L308)*$R308))</f>
        <v>20892.548579015001</v>
      </c>
      <c r="AL308" s="164">
        <f>IF(AND($C307=12,$D307=Input!$C$6),0,IF($E308="","",IF($B308&gt;Input!$C$9,0,$AC308)+AL309/(1+$L308)*$R308))</f>
        <v>0</v>
      </c>
      <c r="AM308" s="160">
        <f t="shared" si="90"/>
        <v>1.1382936520186004</v>
      </c>
      <c r="AN308" s="164">
        <f>IF($E308="","",IF($B308&gt;Input!$C$9,$AI308*$AC308,$AM308*$AC308))</f>
        <v>0</v>
      </c>
      <c r="AO308" s="164">
        <f>IF(AND($C307=12,$D307=Input!$C$6),0,IF($E308="","",$AN308+AO309/(1+$L308)*$R308))</f>
        <v>20892.548579015001</v>
      </c>
      <c r="AP308" s="152"/>
      <c r="AQ308" s="164">
        <f t="shared" si="91"/>
        <v>-4264.3273816989531</v>
      </c>
      <c r="AR308" s="164">
        <f t="shared" si="100"/>
        <v>-4262.4097721332791</v>
      </c>
      <c r="AS308" s="164">
        <f t="shared" si="101"/>
        <v>632.0574162679427</v>
      </c>
      <c r="AT308" s="164">
        <f t="shared" si="92"/>
        <v>632.0574162679427</v>
      </c>
      <c r="AU308" s="152"/>
      <c r="AV308" s="147">
        <f>'Deterministic Reserve'!BC308</f>
        <v>4.7368303252431687E-2</v>
      </c>
      <c r="AW308" s="164">
        <f t="shared" si="93"/>
        <v>632.0574162679427</v>
      </c>
      <c r="AX308" s="164">
        <f t="shared" si="94"/>
        <v>29.939487366728358</v>
      </c>
      <c r="AY308" s="152"/>
    </row>
    <row r="309" spans="1:51" s="150" customFormat="1" x14ac:dyDescent="0.25">
      <c r="A309" s="150">
        <f t="shared" si="102"/>
        <v>305</v>
      </c>
      <c r="B309" s="150">
        <f t="shared" si="103"/>
        <v>26</v>
      </c>
      <c r="C309" s="150">
        <f t="shared" si="104"/>
        <v>5</v>
      </c>
      <c r="D309" s="150">
        <f>IF(E309="","",Input!$C$4+B309-1)</f>
        <v>70</v>
      </c>
      <c r="E309" s="150">
        <f>IF(OR(AND(C308=12,D308=Input!$C$6),E308=""),"",1)</f>
        <v>1</v>
      </c>
      <c r="F309" s="150">
        <f>IF(E309="","",Input!$C$8+B309-1)</f>
        <v>2043</v>
      </c>
      <c r="G309" s="151">
        <f>IF(E309="","",MAX(0,Input!$C$9-B309))</f>
        <v>0</v>
      </c>
      <c r="H309" s="152">
        <f>IF(E309="","",Input!$C$3)</f>
        <v>100000</v>
      </c>
      <c r="I309" s="153">
        <f>IF(E309="","",HLOOKUP($B309,Input!$C$13:$BT$14,2))</f>
        <v>32.364500000000007</v>
      </c>
      <c r="J309" s="154"/>
      <c r="K309" s="155">
        <f>IF($E309="","",Input!$C$57)</f>
        <v>4.4999999999999998E-2</v>
      </c>
      <c r="L309" s="155">
        <f t="shared" si="95"/>
        <v>3.6748094004368514E-3</v>
      </c>
      <c r="M309" s="147">
        <f>IF($E309="","",VLOOKUP(IF($B309&lt;=Input!$C$7,$B309,26),'Mortality Tables'!$A$72:$CA$97,IF($B309&lt;=Input!$C$7+1,Input!$C$4-16,$D309-Input!$C$7-16),0)/1000)</f>
        <v>1.3210000000000001E-2</v>
      </c>
      <c r="N309" s="147">
        <f t="shared" si="84"/>
        <v>1.1075552194691474E-3</v>
      </c>
      <c r="O309" s="157">
        <f>IF($E309="","",IF($C309=12,IF($B309&lt;Input!$C$9,Input!$C$54,IF($B309=Input!$C$9,Input!$C$55,Input!$C$56)),0%))</f>
        <v>0</v>
      </c>
      <c r="P309" s="167">
        <f>IF($E309="","",IF($B309=1,Input!$C$59,IF($B309&lt;6,Input!$C$60,0%)))</f>
        <v>0</v>
      </c>
      <c r="Q309" s="162">
        <f>IF($E309="","",Input!$C$58)</f>
        <v>2.5</v>
      </c>
      <c r="R309" s="156">
        <f t="shared" si="96"/>
        <v>0.99889244478053085</v>
      </c>
      <c r="S309" s="154">
        <f t="shared" si="85"/>
        <v>3.2670139262140033E-2</v>
      </c>
      <c r="T309" s="152"/>
      <c r="U309" s="150">
        <f t="shared" si="97"/>
        <v>0</v>
      </c>
      <c r="V309" s="150">
        <f t="shared" si="98"/>
        <v>0</v>
      </c>
      <c r="W309" s="168">
        <f t="shared" si="99"/>
        <v>0</v>
      </c>
      <c r="X309" s="163">
        <f t="shared" si="86"/>
        <v>110.75552194691474</v>
      </c>
      <c r="Y309" s="152"/>
      <c r="Z309" s="164">
        <f>IF(AND($C308=12,$D308=Input!$C$6),0,IF($E309="","",V309+Z310/(1+L309)*R309))</f>
        <v>39453.52785973053</v>
      </c>
      <c r="AA309" s="164">
        <f>IF(OR($M309=1,AND($C308=12,$D308=Input!$C$6)),0,IF($E309="","",W309+(X309+AA310*$R309)/(1+$L309)))</f>
        <v>16596.953261149243</v>
      </c>
      <c r="AB309" s="160">
        <f t="shared" si="87"/>
        <v>0.825720328500681</v>
      </c>
      <c r="AC309" s="164">
        <f t="shared" si="88"/>
        <v>0</v>
      </c>
      <c r="AD309" s="164">
        <f>IF(AND($C308=12,$D308=Input!$C$6),0,IF($E309="","",$AC309+AD310/(1+$L309)*$R309))</f>
        <v>32577.579984847416</v>
      </c>
      <c r="AE309" s="152"/>
      <c r="AF309" s="164">
        <f>IF(AND($C308=12,$D308=Input!$C$6),0,IF($E309="","",IF($B309&gt;Input!$C$9,$AC309,0)+AF310/(1+$L309)*$R309))</f>
        <v>32577.579984847416</v>
      </c>
      <c r="AG309" s="164">
        <f>IF(AND($C308=12,$D308=Input!$C$6),0,IF($E309="","",(IF($B309&gt;Input!$C$9,$X309,0)+AG310)/(1+$L309)*$R309))</f>
        <v>16387.081922647791</v>
      </c>
      <c r="AH309" s="160">
        <f t="shared" si="89"/>
        <v>2.0950137211446997</v>
      </c>
      <c r="AI309" s="160">
        <f>IF($E309="","",MIN(Input!$C$61/AH309,1))</f>
        <v>0.64438718771845094</v>
      </c>
      <c r="AJ309" s="152"/>
      <c r="AK309" s="164">
        <f>IF(AND($C308=12,$D308=Input!$C$6),0,IF($E309="","",IF($B309&gt;Input!$C$9,$AC309*AI309,0)+AK310/(1+$L309)*$R309))</f>
        <v>20992.575149108743</v>
      </c>
      <c r="AL309" s="164">
        <f>IF(AND($C308=12,$D308=Input!$C$6),0,IF($E309="","",IF($B309&gt;Input!$C$9,0,$AC309)+AL310/(1+$L309)*$R309))</f>
        <v>0</v>
      </c>
      <c r="AM309" s="160">
        <f t="shared" si="90"/>
        <v>1.1382936520186004</v>
      </c>
      <c r="AN309" s="164">
        <f>IF($E309="","",IF($B309&gt;Input!$C$9,$AI309*$AC309,$AM309*$AC309))</f>
        <v>0</v>
      </c>
      <c r="AO309" s="164">
        <f>IF(AND($C308=12,$D308=Input!$C$6),0,IF($E309="","",$AN309+AO310/(1+$L309)*$R309))</f>
        <v>20992.575149108743</v>
      </c>
      <c r="AP309" s="152"/>
      <c r="AQ309" s="164">
        <f t="shared" si="91"/>
        <v>-4395.6218879594999</v>
      </c>
      <c r="AR309" s="164">
        <f t="shared" si="100"/>
        <v>-4262.4097721332791</v>
      </c>
      <c r="AS309" s="164">
        <f t="shared" si="101"/>
        <v>632.0574162679427</v>
      </c>
      <c r="AT309" s="164">
        <f t="shared" si="92"/>
        <v>632.0574162679427</v>
      </c>
      <c r="AU309" s="152"/>
      <c r="AV309" s="147">
        <f>'Deterministic Reserve'!BC309</f>
        <v>4.7240192956842474E-2</v>
      </c>
      <c r="AW309" s="164">
        <f t="shared" si="93"/>
        <v>632.0574162679427</v>
      </c>
      <c r="AX309" s="164">
        <f t="shared" si="94"/>
        <v>29.858514304300918</v>
      </c>
      <c r="AY309" s="152"/>
    </row>
    <row r="310" spans="1:51" s="150" customFormat="1" x14ac:dyDescent="0.25">
      <c r="A310" s="150">
        <f t="shared" si="102"/>
        <v>306</v>
      </c>
      <c r="B310" s="150">
        <f t="shared" si="103"/>
        <v>26</v>
      </c>
      <c r="C310" s="150">
        <f t="shared" si="104"/>
        <v>6</v>
      </c>
      <c r="D310" s="150">
        <f>IF(E310="","",Input!$C$4+B310-1)</f>
        <v>70</v>
      </c>
      <c r="E310" s="150">
        <f>IF(OR(AND(C309=12,D309=Input!$C$6),E309=""),"",1)</f>
        <v>1</v>
      </c>
      <c r="F310" s="150">
        <f>IF(E310="","",Input!$C$8+B310-1)</f>
        <v>2043</v>
      </c>
      <c r="G310" s="151">
        <f>IF(E310="","",MAX(0,Input!$C$9-B310))</f>
        <v>0</v>
      </c>
      <c r="H310" s="152">
        <f>IF(E310="","",Input!$C$3)</f>
        <v>100000</v>
      </c>
      <c r="I310" s="153">
        <f>IF(E310="","",HLOOKUP($B310,Input!$C$13:$BT$14,2))</f>
        <v>32.364500000000007</v>
      </c>
      <c r="J310" s="154"/>
      <c r="K310" s="155">
        <f>IF($E310="","",Input!$C$57)</f>
        <v>4.4999999999999998E-2</v>
      </c>
      <c r="L310" s="155">
        <f t="shared" si="95"/>
        <v>3.6748094004368514E-3</v>
      </c>
      <c r="M310" s="147">
        <f>IF($E310="","",VLOOKUP(IF($B310&lt;=Input!$C$7,$B310,26),'Mortality Tables'!$A$72:$CA$97,IF($B310&lt;=Input!$C$7+1,Input!$C$4-16,$D310-Input!$C$7-16),0)/1000)</f>
        <v>1.3210000000000001E-2</v>
      </c>
      <c r="N310" s="147">
        <f t="shared" si="84"/>
        <v>1.1075552194691474E-3</v>
      </c>
      <c r="O310" s="157">
        <f>IF($E310="","",IF($C310=12,IF($B310&lt;Input!$C$9,Input!$C$54,IF($B310=Input!$C$9,Input!$C$55,Input!$C$56)),0%))</f>
        <v>0</v>
      </c>
      <c r="P310" s="167">
        <f>IF($E310="","",IF($B310=1,Input!$C$59,IF($B310&lt;6,Input!$C$60,0%)))</f>
        <v>0</v>
      </c>
      <c r="Q310" s="162">
        <f>IF($E310="","",Input!$C$58)</f>
        <v>2.5</v>
      </c>
      <c r="R310" s="156">
        <f t="shared" si="96"/>
        <v>0.99889244478053085</v>
      </c>
      <c r="S310" s="154">
        <f t="shared" si="85"/>
        <v>3.2633955278879467E-2</v>
      </c>
      <c r="T310" s="152"/>
      <c r="U310" s="150">
        <f t="shared" si="97"/>
        <v>0</v>
      </c>
      <c r="V310" s="150">
        <f t="shared" si="98"/>
        <v>0</v>
      </c>
      <c r="W310" s="168">
        <f t="shared" si="99"/>
        <v>0</v>
      </c>
      <c r="X310" s="163">
        <f t="shared" si="86"/>
        <v>110.75552194691474</v>
      </c>
      <c r="Y310" s="152"/>
      <c r="Z310" s="164">
        <f>IF(AND($C309=12,$D309=Input!$C$6),0,IF($E310="","",V310+Z311/(1+L310)*R310))</f>
        <v>39642.418222004024</v>
      </c>
      <c r="AA310" s="164">
        <f>IF(OR($M310=1,AND($C309=12,$D309=Input!$C$6)),0,IF($E310="","",W310+(X310+AA311*$R310)/(1+$L310)))</f>
        <v>16565.535624509237</v>
      </c>
      <c r="AB310" s="160">
        <f t="shared" si="87"/>
        <v>0.825720328500681</v>
      </c>
      <c r="AC310" s="164">
        <f t="shared" si="88"/>
        <v>0</v>
      </c>
      <c r="AD310" s="164">
        <f>IF(AND($C309=12,$D309=Input!$C$6),0,IF($E310="","",$AC310+AD311/(1+$L310)*$R310))</f>
        <v>32733.550596834499</v>
      </c>
      <c r="AE310" s="152"/>
      <c r="AF310" s="164">
        <f>IF(AND($C309=12,$D309=Input!$C$6),0,IF($E310="","",IF($B310&gt;Input!$C$9,$AC310,0)+AF311/(1+$L310)*$R310))</f>
        <v>32733.550596834499</v>
      </c>
      <c r="AG310" s="164">
        <f>IF(AND($C309=12,$D309=Input!$C$6),0,IF($E310="","",(IF($B310&gt;Input!$C$9,$X310,0)+AG311)/(1+$L310)*$R310))</f>
        <v>16354.782295747302</v>
      </c>
      <c r="AH310" s="160">
        <f t="shared" si="89"/>
        <v>2.0950137211446997</v>
      </c>
      <c r="AI310" s="160">
        <f>IF($E310="","",MIN(Input!$C$61/AH310,1))</f>
        <v>0.64438718771845094</v>
      </c>
      <c r="AJ310" s="152"/>
      <c r="AK310" s="164">
        <f>IF(AND($C309=12,$D309=Input!$C$6),0,IF($E310="","",IF($B310&gt;Input!$C$9,$AC310*AI310,0)+AK311/(1+$L310)*$R310))</f>
        <v>21093.080613133825</v>
      </c>
      <c r="AL310" s="164">
        <f>IF(AND($C309=12,$D309=Input!$C$6),0,IF($E310="","",IF($B310&gt;Input!$C$9,0,$AC310)+AL311/(1+$L310)*$R310))</f>
        <v>0</v>
      </c>
      <c r="AM310" s="160">
        <f t="shared" si="90"/>
        <v>1.1382936520186004</v>
      </c>
      <c r="AN310" s="164">
        <f>IF($E310="","",IF($B310&gt;Input!$C$9,$AI310*$AC310,$AM310*$AC310))</f>
        <v>0</v>
      </c>
      <c r="AO310" s="164">
        <f>IF(AND($C309=12,$D309=Input!$C$6),0,IF($E310="","",$AN310+AO311/(1+$L310)*$R310))</f>
        <v>21093.080613133825</v>
      </c>
      <c r="AP310" s="152"/>
      <c r="AQ310" s="164">
        <f t="shared" si="91"/>
        <v>-4527.5449886245879</v>
      </c>
      <c r="AR310" s="164">
        <f t="shared" si="100"/>
        <v>-4262.4097721332791</v>
      </c>
      <c r="AS310" s="164">
        <f t="shared" si="101"/>
        <v>632.0574162679427</v>
      </c>
      <c r="AT310" s="164">
        <f t="shared" si="92"/>
        <v>632.0574162679427</v>
      </c>
      <c r="AU310" s="152"/>
      <c r="AV310" s="147">
        <f>'Deterministic Reserve'!BC310</f>
        <v>4.7112429142902569E-2</v>
      </c>
      <c r="AW310" s="164">
        <f t="shared" si="93"/>
        <v>632.0574162679427</v>
      </c>
      <c r="AX310" s="164">
        <f t="shared" si="94"/>
        <v>29.777760238169524</v>
      </c>
      <c r="AY310" s="152"/>
    </row>
    <row r="311" spans="1:51" s="150" customFormat="1" x14ac:dyDescent="0.25">
      <c r="A311" s="150">
        <f t="shared" si="102"/>
        <v>307</v>
      </c>
      <c r="B311" s="150">
        <f t="shared" si="103"/>
        <v>26</v>
      </c>
      <c r="C311" s="150">
        <f t="shared" si="104"/>
        <v>7</v>
      </c>
      <c r="D311" s="150">
        <f>IF(E311="","",Input!$C$4+B311-1)</f>
        <v>70</v>
      </c>
      <c r="E311" s="150">
        <f>IF(OR(AND(C310=12,D310=Input!$C$6),E310=""),"",1)</f>
        <v>1</v>
      </c>
      <c r="F311" s="150">
        <f>IF(E311="","",Input!$C$8+B311-1)</f>
        <v>2043</v>
      </c>
      <c r="G311" s="151">
        <f>IF(E311="","",MAX(0,Input!$C$9-B311))</f>
        <v>0</v>
      </c>
      <c r="H311" s="152">
        <f>IF(E311="","",Input!$C$3)</f>
        <v>100000</v>
      </c>
      <c r="I311" s="153">
        <f>IF(E311="","",HLOOKUP($B311,Input!$C$13:$BT$14,2))</f>
        <v>32.364500000000007</v>
      </c>
      <c r="J311" s="154"/>
      <c r="K311" s="155">
        <f>IF($E311="","",Input!$C$57)</f>
        <v>4.4999999999999998E-2</v>
      </c>
      <c r="L311" s="155">
        <f t="shared" si="95"/>
        <v>3.6748094004368514E-3</v>
      </c>
      <c r="M311" s="147">
        <f>IF($E311="","",VLOOKUP(IF($B311&lt;=Input!$C$7,$B311,26),'Mortality Tables'!$A$72:$CA$97,IF($B311&lt;=Input!$C$7+1,Input!$C$4-16,$D311-Input!$C$7-16),0)/1000)</f>
        <v>1.3210000000000001E-2</v>
      </c>
      <c r="N311" s="147">
        <f t="shared" si="84"/>
        <v>1.1075552194691474E-3</v>
      </c>
      <c r="O311" s="157">
        <f>IF($E311="","",IF($C311=12,IF($B311&lt;Input!$C$9,Input!$C$54,IF($B311=Input!$C$9,Input!$C$55,Input!$C$56)),0%))</f>
        <v>0</v>
      </c>
      <c r="P311" s="167">
        <f>IF($E311="","",IF($B311=1,Input!$C$59,IF($B311&lt;6,Input!$C$60,0%)))</f>
        <v>0</v>
      </c>
      <c r="Q311" s="162">
        <f>IF($E311="","",Input!$C$58)</f>
        <v>2.5</v>
      </c>
      <c r="R311" s="156">
        <f t="shared" si="96"/>
        <v>0.99889244478053085</v>
      </c>
      <c r="S311" s="154">
        <f t="shared" si="85"/>
        <v>3.2597811371378418E-2</v>
      </c>
      <c r="T311" s="152"/>
      <c r="U311" s="150">
        <f t="shared" si="97"/>
        <v>0</v>
      </c>
      <c r="V311" s="150">
        <f t="shared" si="98"/>
        <v>0</v>
      </c>
      <c r="W311" s="168">
        <f t="shared" si="99"/>
        <v>0</v>
      </c>
      <c r="X311" s="163">
        <f t="shared" si="86"/>
        <v>110.75552194691474</v>
      </c>
      <c r="Y311" s="152"/>
      <c r="Z311" s="164">
        <f>IF(AND($C310=12,$D310=Input!$C$6),0,IF($E311="","",V311+Z312/(1+L311)*R311))</f>
        <v>39832.212928474233</v>
      </c>
      <c r="AA311" s="164">
        <f>IF(OR($M311=1,AND($C310=12,$D310=Input!$C$6)),0,IF($E311="","",W311+(X311+AA312*$R311)/(1+$L311)))</f>
        <v>16533.967570679979</v>
      </c>
      <c r="AB311" s="160">
        <f t="shared" si="87"/>
        <v>0.825720328500681</v>
      </c>
      <c r="AC311" s="164">
        <f t="shared" si="88"/>
        <v>0</v>
      </c>
      <c r="AD311" s="164">
        <f>IF(AND($C310=12,$D310=Input!$C$6),0,IF($E311="","",$AC311+AD312/(1+$L311)*$R311))</f>
        <v>32890.267944208768</v>
      </c>
      <c r="AE311" s="152"/>
      <c r="AF311" s="164">
        <f>IF(AND($C310=12,$D310=Input!$C$6),0,IF($E311="","",IF($B311&gt;Input!$C$9,$AC311,0)+AF312/(1+$L311)*$R311))</f>
        <v>32890.267944208768</v>
      </c>
      <c r="AG311" s="164">
        <f>IF(AND($C310=12,$D310=Input!$C$6),0,IF($E311="","",(IF($B311&gt;Input!$C$9,$X311,0)+AG312)/(1+$L311)*$R311))</f>
        <v>16322.328028981701</v>
      </c>
      <c r="AH311" s="160">
        <f t="shared" si="89"/>
        <v>2.0950137211446997</v>
      </c>
      <c r="AI311" s="160">
        <f>IF($E311="","",MIN(Input!$C$61/AH311,1))</f>
        <v>0.64438718771845094</v>
      </c>
      <c r="AJ311" s="152"/>
      <c r="AK311" s="164">
        <f>IF(AND($C310=12,$D310=Input!$C$6),0,IF($E311="","",IF($B311&gt;Input!$C$9,$AC311*AI311,0)+AK312/(1+$L311)*$R311))</f>
        <v>21194.067263875029</v>
      </c>
      <c r="AL311" s="164">
        <f>IF(AND($C310=12,$D310=Input!$C$6),0,IF($E311="","",IF($B311&gt;Input!$C$9,0,$AC311)+AL312/(1+$L311)*$R311))</f>
        <v>0</v>
      </c>
      <c r="AM311" s="160">
        <f t="shared" si="90"/>
        <v>1.1382936520186004</v>
      </c>
      <c r="AN311" s="164">
        <f>IF($E311="","",IF($B311&gt;Input!$C$9,$AI311*$AC311,$AM311*$AC311))</f>
        <v>0</v>
      </c>
      <c r="AO311" s="164">
        <f>IF(AND($C310=12,$D310=Input!$C$6),0,IF($E311="","",$AN311+AO312/(1+$L311)*$R311))</f>
        <v>21194.067263875029</v>
      </c>
      <c r="AP311" s="152"/>
      <c r="AQ311" s="164">
        <f t="shared" si="91"/>
        <v>-4660.0996931950503</v>
      </c>
      <c r="AR311" s="164">
        <f t="shared" si="100"/>
        <v>-4262.4097721332791</v>
      </c>
      <c r="AS311" s="164">
        <f t="shared" si="101"/>
        <v>632.0574162679427</v>
      </c>
      <c r="AT311" s="164">
        <f t="shared" si="92"/>
        <v>632.0574162679427</v>
      </c>
      <c r="AU311" s="152"/>
      <c r="AV311" s="147">
        <f>'Deterministic Reserve'!BC311</f>
        <v>4.6985010873532462E-2</v>
      </c>
      <c r="AW311" s="164">
        <f t="shared" si="93"/>
        <v>632.0574162679427</v>
      </c>
      <c r="AX311" s="164">
        <f t="shared" si="94"/>
        <v>29.697224576046121</v>
      </c>
      <c r="AY311" s="152"/>
    </row>
    <row r="312" spans="1:51" s="150" customFormat="1" x14ac:dyDescent="0.25">
      <c r="A312" s="150">
        <f t="shared" si="102"/>
        <v>308</v>
      </c>
      <c r="B312" s="150">
        <f t="shared" si="103"/>
        <v>26</v>
      </c>
      <c r="C312" s="150">
        <f t="shared" si="104"/>
        <v>8</v>
      </c>
      <c r="D312" s="150">
        <f>IF(E312="","",Input!$C$4+B312-1)</f>
        <v>70</v>
      </c>
      <c r="E312" s="150">
        <f>IF(OR(AND(C311=12,D311=Input!$C$6),E311=""),"",1)</f>
        <v>1</v>
      </c>
      <c r="F312" s="150">
        <f>IF(E312="","",Input!$C$8+B312-1)</f>
        <v>2043</v>
      </c>
      <c r="G312" s="151">
        <f>IF(E312="","",MAX(0,Input!$C$9-B312))</f>
        <v>0</v>
      </c>
      <c r="H312" s="152">
        <f>IF(E312="","",Input!$C$3)</f>
        <v>100000</v>
      </c>
      <c r="I312" s="153">
        <f>IF(E312="","",HLOOKUP($B312,Input!$C$13:$BT$14,2))</f>
        <v>32.364500000000007</v>
      </c>
      <c r="J312" s="154"/>
      <c r="K312" s="155">
        <f>IF($E312="","",Input!$C$57)</f>
        <v>4.4999999999999998E-2</v>
      </c>
      <c r="L312" s="155">
        <f t="shared" si="95"/>
        <v>3.6748094004368514E-3</v>
      </c>
      <c r="M312" s="147">
        <f>IF($E312="","",VLOOKUP(IF($B312&lt;=Input!$C$7,$B312,26),'Mortality Tables'!$A$72:$CA$97,IF($B312&lt;=Input!$C$7+1,Input!$C$4-16,$D312-Input!$C$7-16),0)/1000)</f>
        <v>1.3210000000000001E-2</v>
      </c>
      <c r="N312" s="147">
        <f t="shared" si="84"/>
        <v>1.1075552194691474E-3</v>
      </c>
      <c r="O312" s="157">
        <f>IF($E312="","",IF($C312=12,IF($B312&lt;Input!$C$9,Input!$C$54,IF($B312=Input!$C$9,Input!$C$55,Input!$C$56)),0%))</f>
        <v>0</v>
      </c>
      <c r="P312" s="167">
        <f>IF($E312="","",IF($B312=1,Input!$C$59,IF($B312&lt;6,Input!$C$60,0%)))</f>
        <v>0</v>
      </c>
      <c r="Q312" s="162">
        <f>IF($E312="","",Input!$C$58)</f>
        <v>2.5</v>
      </c>
      <c r="R312" s="156">
        <f t="shared" si="96"/>
        <v>0.99889244478053085</v>
      </c>
      <c r="S312" s="154">
        <f t="shared" si="85"/>
        <v>3.256170749525078E-2</v>
      </c>
      <c r="T312" s="152"/>
      <c r="U312" s="150">
        <f t="shared" si="97"/>
        <v>0</v>
      </c>
      <c r="V312" s="150">
        <f t="shared" si="98"/>
        <v>0</v>
      </c>
      <c r="W312" s="168">
        <f t="shared" si="99"/>
        <v>0</v>
      </c>
      <c r="X312" s="163">
        <f t="shared" si="86"/>
        <v>110.75552194691474</v>
      </c>
      <c r="Y312" s="152"/>
      <c r="Z312" s="164">
        <f>IF(AND($C311=12,$D311=Input!$C$6),0,IF($E312="","",V312+Z313/(1+L312)*R312))</f>
        <v>40022.91630884022</v>
      </c>
      <c r="AA312" s="164">
        <f>IF(OR($M312=1,AND($C311=12,$D311=Input!$C$6)),0,IF($E312="","",W312+(X312+AA313*$R312)/(1+$L312)))</f>
        <v>16502.248379514025</v>
      </c>
      <c r="AB312" s="160">
        <f t="shared" si="87"/>
        <v>0.825720328500681</v>
      </c>
      <c r="AC312" s="164">
        <f t="shared" si="88"/>
        <v>0</v>
      </c>
      <c r="AD312" s="164">
        <f>IF(AND($C311=12,$D311=Input!$C$6),0,IF($E312="","",$AC312+AD313/(1+$L312)*$R312))</f>
        <v>33047.735602090761</v>
      </c>
      <c r="AE312" s="152"/>
      <c r="AF312" s="164">
        <f>IF(AND($C311=12,$D311=Input!$C$6),0,IF($E312="","",IF($B312&gt;Input!$C$9,$AC312,0)+AF313/(1+$L312)*$R312))</f>
        <v>33047.735602090761</v>
      </c>
      <c r="AG312" s="164">
        <f>IF(AND($C311=12,$D311=Input!$C$6),0,IF($E312="","",(IF($B312&gt;Input!$C$9,$X312,0)+AG313)/(1+$L312)*$R312))</f>
        <v>16289.718381986771</v>
      </c>
      <c r="AH312" s="160">
        <f t="shared" si="89"/>
        <v>2.0950137211446997</v>
      </c>
      <c r="AI312" s="160">
        <f>IF($E312="","",MIN(Input!$C$61/AH312,1))</f>
        <v>0.64438718771845094</v>
      </c>
      <c r="AJ312" s="152"/>
      <c r="AK312" s="164">
        <f>IF(AND($C311=12,$D311=Input!$C$6),0,IF($E312="","",IF($B312&gt;Input!$C$9,$AC312*AI312,0)+AK313/(1+$L312)*$R312))</f>
        <v>21295.537405094219</v>
      </c>
      <c r="AL312" s="164">
        <f>IF(AND($C311=12,$D311=Input!$C$6),0,IF($E312="","",IF($B312&gt;Input!$C$9,0,$AC312)+AL313/(1+$L312)*$R312))</f>
        <v>0</v>
      </c>
      <c r="AM312" s="160">
        <f t="shared" si="90"/>
        <v>1.1382936520186004</v>
      </c>
      <c r="AN312" s="164">
        <f>IF($E312="","",IF($B312&gt;Input!$C$9,$AI312*$AC312,$AM312*$AC312))</f>
        <v>0</v>
      </c>
      <c r="AO312" s="164">
        <f>IF(AND($C311=12,$D311=Input!$C$6),0,IF($E312="","",$AN312+AO313/(1+$L312)*$R312))</f>
        <v>21295.537405094219</v>
      </c>
      <c r="AP312" s="152"/>
      <c r="AQ312" s="164">
        <f t="shared" si="91"/>
        <v>-4793.289025580194</v>
      </c>
      <c r="AR312" s="164">
        <f t="shared" si="100"/>
        <v>-4262.4097721332791</v>
      </c>
      <c r="AS312" s="164">
        <f t="shared" si="101"/>
        <v>632.0574162679427</v>
      </c>
      <c r="AT312" s="164">
        <f t="shared" si="92"/>
        <v>632.0574162679427</v>
      </c>
      <c r="AU312" s="152"/>
      <c r="AV312" s="147">
        <f>'Deterministic Reserve'!BC312</f>
        <v>4.6857937214187032E-2</v>
      </c>
      <c r="AW312" s="164">
        <f t="shared" si="93"/>
        <v>632.0574162679427</v>
      </c>
      <c r="AX312" s="164">
        <f t="shared" si="94"/>
        <v>29.616906727244537</v>
      </c>
      <c r="AY312" s="152"/>
    </row>
    <row r="313" spans="1:51" s="150" customFormat="1" x14ac:dyDescent="0.25">
      <c r="A313" s="150">
        <f t="shared" si="102"/>
        <v>309</v>
      </c>
      <c r="B313" s="150">
        <f t="shared" si="103"/>
        <v>26</v>
      </c>
      <c r="C313" s="150">
        <f t="shared" si="104"/>
        <v>9</v>
      </c>
      <c r="D313" s="150">
        <f>IF(E313="","",Input!$C$4+B313-1)</f>
        <v>70</v>
      </c>
      <c r="E313" s="150">
        <f>IF(OR(AND(C312=12,D312=Input!$C$6),E312=""),"",1)</f>
        <v>1</v>
      </c>
      <c r="F313" s="150">
        <f>IF(E313="","",Input!$C$8+B313-1)</f>
        <v>2043</v>
      </c>
      <c r="G313" s="151">
        <f>IF(E313="","",MAX(0,Input!$C$9-B313))</f>
        <v>0</v>
      </c>
      <c r="H313" s="152">
        <f>IF(E313="","",Input!$C$3)</f>
        <v>100000</v>
      </c>
      <c r="I313" s="153">
        <f>IF(E313="","",HLOOKUP($B313,Input!$C$13:$BT$14,2))</f>
        <v>32.364500000000007</v>
      </c>
      <c r="J313" s="154"/>
      <c r="K313" s="155">
        <f>IF($E313="","",Input!$C$57)</f>
        <v>4.4999999999999998E-2</v>
      </c>
      <c r="L313" s="155">
        <f t="shared" si="95"/>
        <v>3.6748094004368514E-3</v>
      </c>
      <c r="M313" s="147">
        <f>IF($E313="","",VLOOKUP(IF($B313&lt;=Input!$C$7,$B313,26),'Mortality Tables'!$A$72:$CA$97,IF($B313&lt;=Input!$C$7+1,Input!$C$4-16,$D313-Input!$C$7-16),0)/1000)</f>
        <v>1.3210000000000001E-2</v>
      </c>
      <c r="N313" s="147">
        <f t="shared" si="84"/>
        <v>1.1075552194691474E-3</v>
      </c>
      <c r="O313" s="157">
        <f>IF($E313="","",IF($C313=12,IF($B313&lt;Input!$C$9,Input!$C$54,IF($B313=Input!$C$9,Input!$C$55,Input!$C$56)),0%))</f>
        <v>0</v>
      </c>
      <c r="P313" s="167">
        <f>IF($E313="","",IF($B313=1,Input!$C$59,IF($B313&lt;6,Input!$C$60,0%)))</f>
        <v>0</v>
      </c>
      <c r="Q313" s="162">
        <f>IF($E313="","",Input!$C$58)</f>
        <v>2.5</v>
      </c>
      <c r="R313" s="156">
        <f t="shared" si="96"/>
        <v>0.99889244478053085</v>
      </c>
      <c r="S313" s="154">
        <f t="shared" si="85"/>
        <v>3.2525643606159588E-2</v>
      </c>
      <c r="T313" s="152"/>
      <c r="U313" s="150">
        <f t="shared" si="97"/>
        <v>0</v>
      </c>
      <c r="V313" s="150">
        <f t="shared" si="98"/>
        <v>0</v>
      </c>
      <c r="W313" s="168">
        <f t="shared" si="99"/>
        <v>0</v>
      </c>
      <c r="X313" s="163">
        <f t="shared" si="86"/>
        <v>110.75552194691474</v>
      </c>
      <c r="Y313" s="152"/>
      <c r="Z313" s="164">
        <f>IF(AND($C312=12,$D312=Input!$C$6),0,IF($E313="","",V313+Z314/(1+L313)*R313))</f>
        <v>40214.532713530229</v>
      </c>
      <c r="AA313" s="164">
        <f>IF(OR($M313=1,AND($C312=12,$D312=Input!$C$6)),0,IF($E313="","",W313+(X313+AA314*$R313)/(1+$L313)))</f>
        <v>16470.377327416099</v>
      </c>
      <c r="AB313" s="160">
        <f t="shared" si="87"/>
        <v>0.825720328500681</v>
      </c>
      <c r="AC313" s="164">
        <f t="shared" si="88"/>
        <v>0</v>
      </c>
      <c r="AD313" s="164">
        <f>IF(AND($C312=12,$D312=Input!$C$6),0,IF($E313="","",$AC313+AD314/(1+$L313)*$R313))</f>
        <v>33205.957162717517</v>
      </c>
      <c r="AE313" s="152"/>
      <c r="AF313" s="164">
        <f>IF(AND($C312=12,$D312=Input!$C$6),0,IF($E313="","",IF($B313&gt;Input!$C$9,$AC313,0)+AF314/(1+$L313)*$R313))</f>
        <v>33205.957162717517</v>
      </c>
      <c r="AG313" s="164">
        <f>IF(AND($C312=12,$D312=Input!$C$6),0,IF($E313="","",(IF($B313&gt;Input!$C$9,$X313,0)+AG314)/(1+$L313)*$R313))</f>
        <v>16256.952610853683</v>
      </c>
      <c r="AH313" s="160">
        <f t="shared" si="89"/>
        <v>2.0950137211446997</v>
      </c>
      <c r="AI313" s="160">
        <f>IF($E313="","",MIN(Input!$C$61/AH313,1))</f>
        <v>0.64438718771845094</v>
      </c>
      <c r="AJ313" s="152"/>
      <c r="AK313" s="164">
        <f>IF(AND($C312=12,$D312=Input!$C$6),0,IF($E313="","",IF($B313&gt;Input!$C$9,$AC313*AI313,0)+AK314/(1+$L313)*$R313))</f>
        <v>21397.493351582918</v>
      </c>
      <c r="AL313" s="164">
        <f>IF(AND($C312=12,$D312=Input!$C$6),0,IF($E313="","",IF($B313&gt;Input!$C$9,0,$AC313)+AL314/(1+$L313)*$R313))</f>
        <v>0</v>
      </c>
      <c r="AM313" s="160">
        <f t="shared" si="90"/>
        <v>1.1382936520186004</v>
      </c>
      <c r="AN313" s="164">
        <f>IF($E313="","",IF($B313&gt;Input!$C$9,$AI313*$AC313,$AM313*$AC313))</f>
        <v>0</v>
      </c>
      <c r="AO313" s="164">
        <f>IF(AND($C312=12,$D312=Input!$C$6),0,IF($E313="","",$AN313+AO314/(1+$L313)*$R313))</f>
        <v>21397.493351582918</v>
      </c>
      <c r="AP313" s="152"/>
      <c r="AQ313" s="164">
        <f t="shared" si="91"/>
        <v>-4927.1160241668185</v>
      </c>
      <c r="AR313" s="164">
        <f t="shared" si="100"/>
        <v>-4262.4097721332791</v>
      </c>
      <c r="AS313" s="164">
        <f t="shared" si="101"/>
        <v>632.0574162679427</v>
      </c>
      <c r="AT313" s="164">
        <f t="shared" si="92"/>
        <v>632.0574162679427</v>
      </c>
      <c r="AU313" s="152"/>
      <c r="AV313" s="147">
        <f>'Deterministic Reserve'!BC313</f>
        <v>4.6731207232848675E-2</v>
      </c>
      <c r="AW313" s="164">
        <f t="shared" si="93"/>
        <v>632.0574162679427</v>
      </c>
      <c r="AX313" s="164">
        <f t="shared" si="94"/>
        <v>29.536806102676131</v>
      </c>
      <c r="AY313" s="152"/>
    </row>
    <row r="314" spans="1:51" s="150" customFormat="1" x14ac:dyDescent="0.25">
      <c r="A314" s="150">
        <f t="shared" si="102"/>
        <v>310</v>
      </c>
      <c r="B314" s="150">
        <f t="shared" si="103"/>
        <v>26</v>
      </c>
      <c r="C314" s="150">
        <f t="shared" si="104"/>
        <v>10</v>
      </c>
      <c r="D314" s="150">
        <f>IF(E314="","",Input!$C$4+B314-1)</f>
        <v>70</v>
      </c>
      <c r="E314" s="150">
        <f>IF(OR(AND(C313=12,D313=Input!$C$6),E313=""),"",1)</f>
        <v>1</v>
      </c>
      <c r="F314" s="150">
        <f>IF(E314="","",Input!$C$8+B314-1)</f>
        <v>2043</v>
      </c>
      <c r="G314" s="151">
        <f>IF(E314="","",MAX(0,Input!$C$9-B314))</f>
        <v>0</v>
      </c>
      <c r="H314" s="152">
        <f>IF(E314="","",Input!$C$3)</f>
        <v>100000</v>
      </c>
      <c r="I314" s="153">
        <f>IF(E314="","",HLOOKUP($B314,Input!$C$13:$BT$14,2))</f>
        <v>32.364500000000007</v>
      </c>
      <c r="J314" s="154"/>
      <c r="K314" s="155">
        <f>IF($E314="","",Input!$C$57)</f>
        <v>4.4999999999999998E-2</v>
      </c>
      <c r="L314" s="155">
        <f t="shared" si="95"/>
        <v>3.6748094004368514E-3</v>
      </c>
      <c r="M314" s="147">
        <f>IF($E314="","",VLOOKUP(IF($B314&lt;=Input!$C$7,$B314,26),'Mortality Tables'!$A$72:$CA$97,IF($B314&lt;=Input!$C$7+1,Input!$C$4-16,$D314-Input!$C$7-16),0)/1000)</f>
        <v>1.3210000000000001E-2</v>
      </c>
      <c r="N314" s="147">
        <f t="shared" si="84"/>
        <v>1.1075552194691474E-3</v>
      </c>
      <c r="O314" s="157">
        <f>IF($E314="","",IF($C314=12,IF($B314&lt;Input!$C$9,Input!$C$54,IF($B314=Input!$C$9,Input!$C$55,Input!$C$56)),0%))</f>
        <v>0</v>
      </c>
      <c r="P314" s="167">
        <f>IF($E314="","",IF($B314=1,Input!$C$59,IF($B314&lt;6,Input!$C$60,0%)))</f>
        <v>0</v>
      </c>
      <c r="Q314" s="162">
        <f>IF($E314="","",Input!$C$58)</f>
        <v>2.5</v>
      </c>
      <c r="R314" s="156">
        <f t="shared" si="96"/>
        <v>0.99889244478053085</v>
      </c>
      <c r="S314" s="154">
        <f t="shared" si="85"/>
        <v>3.248961965981699E-2</v>
      </c>
      <c r="T314" s="152"/>
      <c r="U314" s="150">
        <f t="shared" si="97"/>
        <v>0</v>
      </c>
      <c r="V314" s="150">
        <f t="shared" si="98"/>
        <v>0</v>
      </c>
      <c r="W314" s="168">
        <f t="shared" si="99"/>
        <v>0</v>
      </c>
      <c r="X314" s="163">
        <f t="shared" si="86"/>
        <v>110.75552194691474</v>
      </c>
      <c r="Y314" s="152"/>
      <c r="Z314" s="164">
        <f>IF(AND($C313=12,$D313=Input!$C$6),0,IF($E314="","",V314+Z315/(1+L314)*R314))</f>
        <v>40407.066513800877</v>
      </c>
      <c r="AA314" s="164">
        <f>IF(OR($M314=1,AND($C313=12,$D313=Input!$C$6)),0,IF($E314="","",W314+(X314+AA315*$R314)/(1+$L314)))</f>
        <v>16438.353687326595</v>
      </c>
      <c r="AB314" s="160">
        <f t="shared" si="87"/>
        <v>0.825720328500681</v>
      </c>
      <c r="AC314" s="164">
        <f t="shared" si="88"/>
        <v>0</v>
      </c>
      <c r="AD314" s="164">
        <f>IF(AND($C313=12,$D313=Input!$C$6),0,IF($E314="","",$AC314+AD315/(1+$L314)*$R314))</f>
        <v>33364.936235524488</v>
      </c>
      <c r="AE314" s="152"/>
      <c r="AF314" s="164">
        <f>IF(AND($C313=12,$D313=Input!$C$6),0,IF($E314="","",IF($B314&gt;Input!$C$9,$AC314,0)+AF315/(1+$L314)*$R314))</f>
        <v>33364.936235524488</v>
      </c>
      <c r="AG314" s="164">
        <f>IF(AND($C313=12,$D313=Input!$C$6),0,IF($E314="","",(IF($B314&gt;Input!$C$9,$X314,0)+AG315)/(1+$L314)*$R314))</f>
        <v>16224.029968112014</v>
      </c>
      <c r="AH314" s="160">
        <f t="shared" si="89"/>
        <v>2.0950137211446997</v>
      </c>
      <c r="AI314" s="160">
        <f>IF($E314="","",MIN(Input!$C$61/AH314,1))</f>
        <v>0.64438718771845094</v>
      </c>
      <c r="AJ314" s="152"/>
      <c r="AK314" s="164">
        <f>IF(AND($C313=12,$D313=Input!$C$6),0,IF($E314="","",IF($B314&gt;Input!$C$9,$AC314*AI314,0)+AK315/(1+$L314)*$R314))</f>
        <v>21499.93742921509</v>
      </c>
      <c r="AL314" s="164">
        <f>IF(AND($C313=12,$D313=Input!$C$6),0,IF($E314="","",IF($B314&gt;Input!$C$9,0,$AC314)+AL315/(1+$L314)*$R314))</f>
        <v>0</v>
      </c>
      <c r="AM314" s="160">
        <f t="shared" si="90"/>
        <v>1.1382936520186004</v>
      </c>
      <c r="AN314" s="164">
        <f>IF($E314="","",IF($B314&gt;Input!$C$9,$AI314*$AC314,$AM314*$AC314))</f>
        <v>0</v>
      </c>
      <c r="AO314" s="164">
        <f>IF(AND($C313=12,$D313=Input!$C$6),0,IF($E314="","",$AN314+AO315/(1+$L314)*$R314))</f>
        <v>21499.93742921509</v>
      </c>
      <c r="AP314" s="152"/>
      <c r="AQ314" s="164">
        <f t="shared" si="91"/>
        <v>-5061.5837418884948</v>
      </c>
      <c r="AR314" s="164">
        <f t="shared" si="100"/>
        <v>-4262.4097721332791</v>
      </c>
      <c r="AS314" s="164">
        <f t="shared" si="101"/>
        <v>632.0574162679427</v>
      </c>
      <c r="AT314" s="164">
        <f t="shared" si="92"/>
        <v>632.0574162679427</v>
      </c>
      <c r="AU314" s="152"/>
      <c r="AV314" s="147">
        <f>'Deterministic Reserve'!BC314</f>
        <v>4.6604820000020489E-2</v>
      </c>
      <c r="AW314" s="164">
        <f t="shared" si="93"/>
        <v>632.0574162679427</v>
      </c>
      <c r="AX314" s="164">
        <f t="shared" si="94"/>
        <v>29.45692211484549</v>
      </c>
      <c r="AY314" s="152"/>
    </row>
    <row r="315" spans="1:51" s="150" customFormat="1" x14ac:dyDescent="0.25">
      <c r="A315" s="150">
        <f t="shared" si="102"/>
        <v>311</v>
      </c>
      <c r="B315" s="150">
        <f t="shared" si="103"/>
        <v>26</v>
      </c>
      <c r="C315" s="150">
        <f t="shared" si="104"/>
        <v>11</v>
      </c>
      <c r="D315" s="150">
        <f>IF(E315="","",Input!$C$4+B315-1)</f>
        <v>70</v>
      </c>
      <c r="E315" s="150">
        <f>IF(OR(AND(C314=12,D314=Input!$C$6),E314=""),"",1)</f>
        <v>1</v>
      </c>
      <c r="F315" s="150">
        <f>IF(E315="","",Input!$C$8+B315-1)</f>
        <v>2043</v>
      </c>
      <c r="G315" s="151">
        <f>IF(E315="","",MAX(0,Input!$C$9-B315))</f>
        <v>0</v>
      </c>
      <c r="H315" s="152">
        <f>IF(E315="","",Input!$C$3)</f>
        <v>100000</v>
      </c>
      <c r="I315" s="153">
        <f>IF(E315="","",HLOOKUP($B315,Input!$C$13:$BT$14,2))</f>
        <v>32.364500000000007</v>
      </c>
      <c r="J315" s="154"/>
      <c r="K315" s="155">
        <f>IF($E315="","",Input!$C$57)</f>
        <v>4.4999999999999998E-2</v>
      </c>
      <c r="L315" s="155">
        <f t="shared" si="95"/>
        <v>3.6748094004368514E-3</v>
      </c>
      <c r="M315" s="147">
        <f>IF($E315="","",VLOOKUP(IF($B315&lt;=Input!$C$7,$B315,26),'Mortality Tables'!$A$72:$CA$97,IF($B315&lt;=Input!$C$7+1,Input!$C$4-16,$D315-Input!$C$7-16),0)/1000)</f>
        <v>1.3210000000000001E-2</v>
      </c>
      <c r="N315" s="147">
        <f t="shared" si="84"/>
        <v>1.1075552194691474E-3</v>
      </c>
      <c r="O315" s="157">
        <f>IF($E315="","",IF($C315=12,IF($B315&lt;Input!$C$9,Input!$C$54,IF($B315=Input!$C$9,Input!$C$55,Input!$C$56)),0%))</f>
        <v>0</v>
      </c>
      <c r="P315" s="167">
        <f>IF($E315="","",IF($B315=1,Input!$C$59,IF($B315&lt;6,Input!$C$60,0%)))</f>
        <v>0</v>
      </c>
      <c r="Q315" s="162">
        <f>IF($E315="","",Input!$C$58)</f>
        <v>2.5</v>
      </c>
      <c r="R315" s="156">
        <f t="shared" si="96"/>
        <v>0.99889244478053085</v>
      </c>
      <c r="S315" s="154">
        <f t="shared" si="85"/>
        <v>3.2453635611984194E-2</v>
      </c>
      <c r="T315" s="152"/>
      <c r="U315" s="150">
        <f t="shared" si="97"/>
        <v>0</v>
      </c>
      <c r="V315" s="150">
        <f t="shared" si="98"/>
        <v>0</v>
      </c>
      <c r="W315" s="168">
        <f t="shared" si="99"/>
        <v>0</v>
      </c>
      <c r="X315" s="163">
        <f t="shared" si="86"/>
        <v>110.75552194691474</v>
      </c>
      <c r="Y315" s="152"/>
      <c r="Z315" s="164">
        <f>IF(AND($C314=12,$D314=Input!$C$6),0,IF($E315="","",V315+Z316/(1+L315)*R315))</f>
        <v>40600.522101836934</v>
      </c>
      <c r="AA315" s="164">
        <f>IF(OR($M315=1,AND($C314=12,$D314=Input!$C$6)),0,IF($E315="","",W315+(X315+AA316*$R315)/(1+$L315)))</f>
        <v>16406.176728704984</v>
      </c>
      <c r="AB315" s="160">
        <f t="shared" si="87"/>
        <v>0.825720328500681</v>
      </c>
      <c r="AC315" s="164">
        <f t="shared" si="88"/>
        <v>0</v>
      </c>
      <c r="AD315" s="164">
        <f>IF(AND($C314=12,$D314=Input!$C$6),0,IF($E315="","",$AC315+AD316/(1+$L315)*$R315))</f>
        <v>33524.676447227917</v>
      </c>
      <c r="AE315" s="152"/>
      <c r="AF315" s="164">
        <f>IF(AND($C314=12,$D314=Input!$C$6),0,IF($E315="","",IF($B315&gt;Input!$C$9,$AC315,0)+AF316/(1+$L315)*$R315))</f>
        <v>33524.676447227917</v>
      </c>
      <c r="AG315" s="164">
        <f>IF(AND($C314=12,$D314=Input!$C$6),0,IF($E315="","",(IF($B315&gt;Input!$C$9,$X315,0)+AG316)/(1+$L315)*$R315))</f>
        <v>16190.949702712707</v>
      </c>
      <c r="AH315" s="160">
        <f t="shared" si="89"/>
        <v>2.0950137211446997</v>
      </c>
      <c r="AI315" s="160">
        <f>IF($E315="","",MIN(Input!$C$61/AH315,1))</f>
        <v>0.64438718771845094</v>
      </c>
      <c r="AJ315" s="152"/>
      <c r="AK315" s="164">
        <f>IF(AND($C314=12,$D314=Input!$C$6),0,IF($E315="","",IF($B315&gt;Input!$C$9,$AC315*AI315,0)+AK316/(1+$L315)*$R315))</f>
        <v>21602.871975000209</v>
      </c>
      <c r="AL315" s="164">
        <f>IF(AND($C314=12,$D314=Input!$C$6),0,IF($E315="","",IF($B315&gt;Input!$C$9,0,$AC315)+AL316/(1+$L315)*$R315))</f>
        <v>0</v>
      </c>
      <c r="AM315" s="160">
        <f t="shared" si="90"/>
        <v>1.1382936520186004</v>
      </c>
      <c r="AN315" s="164">
        <f>IF($E315="","",IF($B315&gt;Input!$C$9,$AI315*$AC315,$AM315*$AC315))</f>
        <v>0</v>
      </c>
      <c r="AO315" s="164">
        <f>IF(AND($C314=12,$D314=Input!$C$6),0,IF($E315="","",$AN315+AO316/(1+$L315)*$R315))</f>
        <v>21602.871975000209</v>
      </c>
      <c r="AP315" s="152"/>
      <c r="AQ315" s="164">
        <f t="shared" si="91"/>
        <v>-5196.6952462952249</v>
      </c>
      <c r="AR315" s="164">
        <f t="shared" si="100"/>
        <v>-4262.4097721332791</v>
      </c>
      <c r="AS315" s="164">
        <f t="shared" si="101"/>
        <v>632.0574162679427</v>
      </c>
      <c r="AT315" s="164">
        <f t="shared" si="92"/>
        <v>632.0574162679427</v>
      </c>
      <c r="AU315" s="152"/>
      <c r="AV315" s="147">
        <f>'Deterministic Reserve'!BC315</f>
        <v>4.6478774588719456E-2</v>
      </c>
      <c r="AW315" s="164">
        <f t="shared" si="93"/>
        <v>632.0574162679427</v>
      </c>
      <c r="AX315" s="164">
        <f t="shared" si="94"/>
        <v>29.37725417784613</v>
      </c>
      <c r="AY315" s="152"/>
    </row>
    <row r="316" spans="1:51" s="150" customFormat="1" x14ac:dyDescent="0.25">
      <c r="A316" s="150">
        <f t="shared" si="102"/>
        <v>312</v>
      </c>
      <c r="B316" s="150">
        <f t="shared" si="103"/>
        <v>26</v>
      </c>
      <c r="C316" s="150">
        <f t="shared" si="104"/>
        <v>12</v>
      </c>
      <c r="D316" s="150">
        <f>IF(E316="","",Input!$C$4+B316-1)</f>
        <v>70</v>
      </c>
      <c r="E316" s="150">
        <f>IF(OR(AND(C315=12,D315=Input!$C$6),E315=""),"",1)</f>
        <v>1</v>
      </c>
      <c r="F316" s="150">
        <f>IF(E316="","",Input!$C$8+B316-1)</f>
        <v>2043</v>
      </c>
      <c r="G316" s="151">
        <f>IF(E316="","",MAX(0,Input!$C$9-B316))</f>
        <v>0</v>
      </c>
      <c r="H316" s="152">
        <f>IF(E316="","",Input!$C$3)</f>
        <v>100000</v>
      </c>
      <c r="I316" s="153">
        <f>IF(E316="","",HLOOKUP($B316,Input!$C$13:$BT$14,2))</f>
        <v>32.364500000000007</v>
      </c>
      <c r="J316" s="154"/>
      <c r="K316" s="155">
        <f>IF($E316="","",Input!$C$57)</f>
        <v>4.4999999999999998E-2</v>
      </c>
      <c r="L316" s="155">
        <f t="shared" si="95"/>
        <v>3.6748094004368514E-3</v>
      </c>
      <c r="M316" s="147">
        <f>IF($E316="","",VLOOKUP(IF($B316&lt;=Input!$C$7,$B316,26),'Mortality Tables'!$A$72:$CA$97,IF($B316&lt;=Input!$C$7+1,Input!$C$4-16,$D316-Input!$C$7-16),0)/1000)</f>
        <v>1.3210000000000001E-2</v>
      </c>
      <c r="N316" s="147">
        <f t="shared" si="84"/>
        <v>1.1075552194691474E-3</v>
      </c>
      <c r="O316" s="157">
        <f>IF($E316="","",IF($C316=12,IF($B316&lt;Input!$C$9,Input!$C$54,IF($B316=Input!$C$9,Input!$C$55,Input!$C$56)),0%))</f>
        <v>0.1</v>
      </c>
      <c r="P316" s="167">
        <f>IF($E316="","",IF($B316=1,Input!$C$59,IF($B316&lt;6,Input!$C$60,0%)))</f>
        <v>0</v>
      </c>
      <c r="Q316" s="162">
        <f>IF($E316="","",Input!$C$58)</f>
        <v>2.5</v>
      </c>
      <c r="R316" s="156">
        <f t="shared" si="96"/>
        <v>0.89889244478053087</v>
      </c>
      <c r="S316" s="154">
        <f t="shared" si="85"/>
        <v>2.9172327857272973E-2</v>
      </c>
      <c r="T316" s="152"/>
      <c r="U316" s="150">
        <f t="shared" si="97"/>
        <v>0</v>
      </c>
      <c r="V316" s="150">
        <f t="shared" si="98"/>
        <v>0</v>
      </c>
      <c r="W316" s="168">
        <f t="shared" si="99"/>
        <v>0</v>
      </c>
      <c r="X316" s="163">
        <f t="shared" si="86"/>
        <v>110.75552194691474</v>
      </c>
      <c r="Y316" s="152"/>
      <c r="Z316" s="164">
        <f>IF(AND($C315=12,$D315=Input!$C$6),0,IF($E316="","",V316+Z317/(1+L316)*R316))</f>
        <v>40794.903890851463</v>
      </c>
      <c r="AA316" s="164">
        <f>IF(OR($M316=1,AND($C315=12,$D315=Input!$C$6)),0,IF($E316="","",W316+(X316+AA317*$R316)/(1+$L316)))</f>
        <v>16373.845717513159</v>
      </c>
      <c r="AB316" s="160">
        <f t="shared" si="87"/>
        <v>0.825720328500681</v>
      </c>
      <c r="AC316" s="164">
        <f t="shared" si="88"/>
        <v>0</v>
      </c>
      <c r="AD316" s="164">
        <f>IF(AND($C315=12,$D315=Input!$C$6),0,IF($E316="","",$AC316+AD317/(1+$L316)*$R316))</f>
        <v>33685.181441907545</v>
      </c>
      <c r="AE316" s="152"/>
      <c r="AF316" s="164">
        <f>IF(AND($C315=12,$D315=Input!$C$6),0,IF($E316="","",IF($B316&gt;Input!$C$9,$AC316,0)+AF317/(1+$L316)*$R316))</f>
        <v>33685.181441907545</v>
      </c>
      <c r="AG316" s="164">
        <f>IF(AND($C315=12,$D315=Input!$C$6),0,IF($E316="","",(IF($B316&gt;Input!$C$9,$X316,0)+AG317)/(1+$L316)*$R316))</f>
        <v>16157.711060010928</v>
      </c>
      <c r="AH316" s="160">
        <f t="shared" si="89"/>
        <v>2.0950137211446997</v>
      </c>
      <c r="AI316" s="160">
        <f>IF($E316="","",MIN(Input!$C$61/AH316,1))</f>
        <v>0.64438718771845094</v>
      </c>
      <c r="AJ316" s="152"/>
      <c r="AK316" s="164">
        <f>IF(AND($C315=12,$D315=Input!$C$6),0,IF($E316="","",IF($B316&gt;Input!$C$9,$AC316*AI316,0)+AK317/(1+$L316)*$R316))</f>
        <v>21706.299337136577</v>
      </c>
      <c r="AL316" s="164">
        <f>IF(AND($C315=12,$D315=Input!$C$6),0,IF($E316="","",IF($B316&gt;Input!$C$9,0,$AC316)+AL317/(1+$L316)*$R316))</f>
        <v>0</v>
      </c>
      <c r="AM316" s="160">
        <f t="shared" si="90"/>
        <v>1.1382936520186004</v>
      </c>
      <c r="AN316" s="164">
        <f>IF($E316="","",IF($B316&gt;Input!$C$9,$AI316*$AC316,$AM316*$AC316))</f>
        <v>0</v>
      </c>
      <c r="AO316" s="164">
        <f>IF(AND($C315=12,$D315=Input!$C$6),0,IF($E316="","",$AN316+AO317/(1+$L316)*$R316))</f>
        <v>21706.299337136577</v>
      </c>
      <c r="AP316" s="152"/>
      <c r="AQ316" s="164">
        <f t="shared" si="91"/>
        <v>-5332.4536196234185</v>
      </c>
      <c r="AR316" s="164">
        <f t="shared" si="100"/>
        <v>-4262.4097721332791</v>
      </c>
      <c r="AS316" s="164">
        <f t="shared" si="101"/>
        <v>632.0574162679427</v>
      </c>
      <c r="AT316" s="164">
        <f t="shared" si="92"/>
        <v>632.0574162679427</v>
      </c>
      <c r="AU316" s="152"/>
      <c r="AV316" s="147">
        <f>'Deterministic Reserve'!BC316</f>
        <v>4.1705192615597686E-2</v>
      </c>
      <c r="AW316" s="164">
        <f t="shared" si="93"/>
        <v>632.0574162679427</v>
      </c>
      <c r="AX316" s="164">
        <f t="shared" si="94"/>
        <v>26.360076289571555</v>
      </c>
      <c r="AY316" s="152"/>
    </row>
    <row r="317" spans="1:51" s="150" customFormat="1" x14ac:dyDescent="0.25">
      <c r="A317" s="150">
        <f t="shared" si="102"/>
        <v>313</v>
      </c>
      <c r="B317" s="150">
        <f t="shared" si="103"/>
        <v>27</v>
      </c>
      <c r="C317" s="150">
        <f t="shared" si="104"/>
        <v>1</v>
      </c>
      <c r="D317" s="150">
        <f>IF(E317="","",Input!$C$4+B317-1)</f>
        <v>71</v>
      </c>
      <c r="E317" s="150">
        <f>IF(OR(AND(C316=12,D316=Input!$C$6),E316=""),"",1)</f>
        <v>1</v>
      </c>
      <c r="F317" s="150">
        <f>IF(E317="","",Input!$C$8+B317-1)</f>
        <v>2044</v>
      </c>
      <c r="G317" s="151">
        <f>IF(E317="","",MAX(0,Input!$C$9-B317))</f>
        <v>0</v>
      </c>
      <c r="H317" s="152">
        <f>IF(E317="","",Input!$C$3)</f>
        <v>100000</v>
      </c>
      <c r="I317" s="153">
        <f>IF(E317="","",HLOOKUP($B317,Input!$C$13:$BT$14,2))</f>
        <v>36.260000000000005</v>
      </c>
      <c r="J317" s="154"/>
      <c r="K317" s="155">
        <f>IF($E317="","",Input!$C$57)</f>
        <v>4.4999999999999998E-2</v>
      </c>
      <c r="L317" s="155">
        <f t="shared" si="95"/>
        <v>3.6748094004368514E-3</v>
      </c>
      <c r="M317" s="147">
        <f>IF($E317="","",VLOOKUP(IF($B317&lt;=Input!$C$7,$B317,26),'Mortality Tables'!$A$72:$CA$97,IF($B317&lt;=Input!$C$7+1,Input!$C$4-16,$D317-Input!$C$7-16),0)/1000)</f>
        <v>1.4800000000000001E-2</v>
      </c>
      <c r="N317" s="147">
        <f t="shared" si="84"/>
        <v>1.2417794143795291E-3</v>
      </c>
      <c r="O317" s="157">
        <f>IF($E317="","",IF($C317=12,IF($B317&lt;Input!$C$9,Input!$C$54,IF($B317=Input!$C$9,Input!$C$55,Input!$C$56)),0%))</f>
        <v>0</v>
      </c>
      <c r="P317" s="167">
        <f>IF($E317="","",IF($B317=1,Input!$C$59,IF($B317&lt;6,Input!$C$60,0%)))</f>
        <v>0</v>
      </c>
      <c r="Q317" s="162">
        <f>IF($E317="","",Input!$C$58)</f>
        <v>2.5</v>
      </c>
      <c r="R317" s="156">
        <f t="shared" si="96"/>
        <v>0.99875822058562047</v>
      </c>
      <c r="S317" s="154">
        <f t="shared" si="85"/>
        <v>2.9136102261070281E-2</v>
      </c>
      <c r="T317" s="152"/>
      <c r="U317" s="150">
        <f t="shared" si="97"/>
        <v>3626.0000000000005</v>
      </c>
      <c r="V317" s="150">
        <f t="shared" si="98"/>
        <v>3626.0000000000005</v>
      </c>
      <c r="W317" s="168">
        <f t="shared" si="99"/>
        <v>0</v>
      </c>
      <c r="X317" s="163">
        <f t="shared" si="86"/>
        <v>124.17794143795291</v>
      </c>
      <c r="Y317" s="152"/>
      <c r="Z317" s="164">
        <f>IF(AND($C316=12,$D316=Input!$C$6),0,IF($E317="","",V317+Z318/(1+L317)*R317))</f>
        <v>45550.296506448401</v>
      </c>
      <c r="AA317" s="164">
        <f>IF(OR($M317=1,AND($C316=12,$D316=Input!$C$6)),0,IF($E317="","",W317+(X317+AA318*$R317)/(1+$L317)))</f>
        <v>18159.303765998022</v>
      </c>
      <c r="AB317" s="160">
        <f t="shared" si="87"/>
        <v>0.825720328500681</v>
      </c>
      <c r="AC317" s="164">
        <f t="shared" si="88"/>
        <v>2994.0619111434698</v>
      </c>
      <c r="AD317" s="164">
        <f>IF(AND($C316=12,$D316=Input!$C$6),0,IF($E317="","",$AC317+AD318/(1+$L317)*$R317))</f>
        <v>37611.805794607964</v>
      </c>
      <c r="AE317" s="152"/>
      <c r="AF317" s="164">
        <f>IF(AND($C316=12,$D316=Input!$C$6),0,IF($E317="","",IF($B317&gt;Input!$C$9,$AC317,0)+AF318/(1+$L317)*$R317))</f>
        <v>37611.805794607964</v>
      </c>
      <c r="AG317" s="164">
        <f>IF(AND($C316=12,$D316=Input!$C$6),0,IF($E317="","",(IF($B317&gt;Input!$C$9,$X317,0)+AG318)/(1+$L317)*$R317))</f>
        <v>17930.432456291441</v>
      </c>
      <c r="AH317" s="160">
        <f t="shared" si="89"/>
        <v>2.0950137211446997</v>
      </c>
      <c r="AI317" s="160">
        <f>IF($E317="","",MIN(Input!$C$61/AH317,1))</f>
        <v>0.64438718771845094</v>
      </c>
      <c r="AJ317" s="152"/>
      <c r="AK317" s="164">
        <f>IF(AND($C316=12,$D316=Input!$C$6),0,IF($E317="","",IF($B317&gt;Input!$C$9,$AC317*AI317,0)+AK318/(1+$L317)*$R317))</f>
        <v>24236.565760999983</v>
      </c>
      <c r="AL317" s="164">
        <f>IF(AND($C316=12,$D316=Input!$C$6),0,IF($E317="","",IF($B317&gt;Input!$C$9,0,$AC317)+AL318/(1+$L317)*$R317))</f>
        <v>0</v>
      </c>
      <c r="AM317" s="160">
        <f t="shared" si="90"/>
        <v>1.1382936520186004</v>
      </c>
      <c r="AN317" s="164">
        <f>IF($E317="","",IF($B317&gt;Input!$C$9,$AI317*$AC317,$AM317*$AC317))</f>
        <v>1929.3351347766711</v>
      </c>
      <c r="AO317" s="164">
        <f>IF(AND($C316=12,$D316=Input!$C$6),0,IF($E317="","",$AN317+AO318/(1+$L317)*$R317))</f>
        <v>24236.565760999983</v>
      </c>
      <c r="AP317" s="152"/>
      <c r="AQ317" s="164">
        <f t="shared" si="91"/>
        <v>-6077.2619950019616</v>
      </c>
      <c r="AR317" s="164">
        <f t="shared" si="100"/>
        <v>-4591.5429207690877</v>
      </c>
      <c r="AS317" s="164">
        <f t="shared" si="101"/>
        <v>708.13397129186603</v>
      </c>
      <c r="AT317" s="164">
        <f t="shared" si="92"/>
        <v>708.13397129186603</v>
      </c>
      <c r="AU317" s="152"/>
      <c r="AV317" s="147">
        <f>'Deterministic Reserve'!BC317</f>
        <v>4.1579142383857431E-2</v>
      </c>
      <c r="AW317" s="164">
        <f t="shared" si="93"/>
        <v>708.13397129186603</v>
      </c>
      <c r="AX317" s="164">
        <f t="shared" si="94"/>
        <v>29.443603219190909</v>
      </c>
      <c r="AY317" s="152"/>
    </row>
    <row r="318" spans="1:51" s="150" customFormat="1" x14ac:dyDescent="0.25">
      <c r="A318" s="150">
        <f t="shared" si="102"/>
        <v>314</v>
      </c>
      <c r="B318" s="150">
        <f t="shared" si="103"/>
        <v>27</v>
      </c>
      <c r="C318" s="150">
        <f t="shared" si="104"/>
        <v>2</v>
      </c>
      <c r="D318" s="150">
        <f>IF(E318="","",Input!$C$4+B318-1)</f>
        <v>71</v>
      </c>
      <c r="E318" s="150">
        <f>IF(OR(AND(C317=12,D317=Input!$C$6),E317=""),"",1)</f>
        <v>1</v>
      </c>
      <c r="F318" s="150">
        <f>IF(E318="","",Input!$C$8+B318-1)</f>
        <v>2044</v>
      </c>
      <c r="G318" s="151">
        <f>IF(E318="","",MAX(0,Input!$C$9-B318))</f>
        <v>0</v>
      </c>
      <c r="H318" s="152">
        <f>IF(E318="","",Input!$C$3)</f>
        <v>100000</v>
      </c>
      <c r="I318" s="153">
        <f>IF(E318="","",HLOOKUP($B318,Input!$C$13:$BT$14,2))</f>
        <v>36.260000000000005</v>
      </c>
      <c r="J318" s="154"/>
      <c r="K318" s="155">
        <f>IF($E318="","",Input!$C$57)</f>
        <v>4.4999999999999998E-2</v>
      </c>
      <c r="L318" s="155">
        <f t="shared" si="95"/>
        <v>3.6748094004368514E-3</v>
      </c>
      <c r="M318" s="147">
        <f>IF($E318="","",VLOOKUP(IF($B318&lt;=Input!$C$7,$B318,26),'Mortality Tables'!$A$72:$CA$97,IF($B318&lt;=Input!$C$7+1,Input!$C$4-16,$D318-Input!$C$7-16),0)/1000)</f>
        <v>1.4800000000000001E-2</v>
      </c>
      <c r="N318" s="147">
        <f t="shared" si="84"/>
        <v>1.2417794143795291E-3</v>
      </c>
      <c r="O318" s="157">
        <f>IF($E318="","",IF($C318=12,IF($B318&lt;Input!$C$9,Input!$C$54,IF($B318=Input!$C$9,Input!$C$55,Input!$C$56)),0%))</f>
        <v>0</v>
      </c>
      <c r="P318" s="167">
        <f>IF($E318="","",IF($B318=1,Input!$C$59,IF($B318&lt;6,Input!$C$60,0%)))</f>
        <v>0</v>
      </c>
      <c r="Q318" s="162">
        <f>IF($E318="","",Input!$C$58)</f>
        <v>2.5</v>
      </c>
      <c r="R318" s="156">
        <f t="shared" si="96"/>
        <v>0.99875822058562047</v>
      </c>
      <c r="S318" s="154">
        <f t="shared" si="85"/>
        <v>2.9099921649067228E-2</v>
      </c>
      <c r="T318" s="152"/>
      <c r="U318" s="150">
        <f t="shared" si="97"/>
        <v>0</v>
      </c>
      <c r="V318" s="150">
        <f t="shared" si="98"/>
        <v>0</v>
      </c>
      <c r="W318" s="168">
        <f t="shared" si="99"/>
        <v>0</v>
      </c>
      <c r="X318" s="163">
        <f t="shared" si="86"/>
        <v>124.17794143795291</v>
      </c>
      <c r="Y318" s="152"/>
      <c r="Z318" s="164">
        <f>IF(AND($C317=12,$D317=Input!$C$6),0,IF($E318="","",V318+Z319/(1+L318)*R318))</f>
        <v>42130.677313158347</v>
      </c>
      <c r="AA318" s="164">
        <f>IF(OR($M318=1,AND($C317=12,$D317=Input!$C$6)),0,IF($E318="","",W318+(X318+AA319*$R318)/(1+$L318)))</f>
        <v>18124.36426719046</v>
      </c>
      <c r="AB318" s="160">
        <f t="shared" si="87"/>
        <v>0.825720328500681</v>
      </c>
      <c r="AC318" s="164">
        <f t="shared" si="88"/>
        <v>0</v>
      </c>
      <c r="AD318" s="164">
        <f>IF(AND($C317=12,$D317=Input!$C$6),0,IF($E318="","",$AC318+AD319/(1+$L318)*$R318))</f>
        <v>34788.156710977266</v>
      </c>
      <c r="AE318" s="152"/>
      <c r="AF318" s="164">
        <f>IF(AND($C317=12,$D317=Input!$C$6),0,IF($E318="","",IF($B318&gt;Input!$C$9,$AC318,0)+AF319/(1+$L318)*$R318))</f>
        <v>34788.156710977266</v>
      </c>
      <c r="AG318" s="164">
        <f>IF(AND($C317=12,$D317=Input!$C$6),0,IF($E318="","",(IF($B318&gt;Input!$C$9,$X318,0)+AG319)/(1+$L318)*$R318))</f>
        <v>17894.520685626761</v>
      </c>
      <c r="AH318" s="160">
        <f t="shared" si="89"/>
        <v>2.0950137211446997</v>
      </c>
      <c r="AI318" s="160">
        <f>IF($E318="","",MIN(Input!$C$61/AH318,1))</f>
        <v>0.64438718771845094</v>
      </c>
      <c r="AJ318" s="152"/>
      <c r="AK318" s="164">
        <f>IF(AND($C317=12,$D317=Input!$C$6),0,IF($E318="","",IF($B318&gt;Input!$C$9,$AC318*AI318,0)+AK319/(1+$L318)*$R318))</f>
        <v>22417.042468895419</v>
      </c>
      <c r="AL318" s="164">
        <f>IF(AND($C317=12,$D317=Input!$C$6),0,IF($E318="","",IF($B318&gt;Input!$C$9,0,$AC318)+AL319/(1+$L318)*$R318))</f>
        <v>0</v>
      </c>
      <c r="AM318" s="160">
        <f t="shared" si="90"/>
        <v>1.1382936520186004</v>
      </c>
      <c r="AN318" s="164">
        <f>IF($E318="","",IF($B318&gt;Input!$C$9,$AI318*$AC318,$AM318*$AC318))</f>
        <v>0</v>
      </c>
      <c r="AO318" s="164">
        <f>IF(AND($C317=12,$D317=Input!$C$6),0,IF($E318="","",$AN318+AO319/(1+$L318)*$R318))</f>
        <v>22417.042468895419</v>
      </c>
      <c r="AP318" s="152"/>
      <c r="AQ318" s="164">
        <f t="shared" si="91"/>
        <v>-4292.6782017049591</v>
      </c>
      <c r="AR318" s="164">
        <f t="shared" si="100"/>
        <v>-4591.5429207690877</v>
      </c>
      <c r="AS318" s="164">
        <f t="shared" si="101"/>
        <v>708.13397129186603</v>
      </c>
      <c r="AT318" s="164">
        <f t="shared" si="92"/>
        <v>708.13397129186603</v>
      </c>
      <c r="AU318" s="152"/>
      <c r="AV318" s="147">
        <f>'Deterministic Reserve'!BC318</f>
        <v>4.1453473127720575E-2</v>
      </c>
      <c r="AW318" s="164">
        <f t="shared" si="93"/>
        <v>708.13397129186603</v>
      </c>
      <c r="AX318" s="164">
        <f t="shared" si="94"/>
        <v>29.354612549773421</v>
      </c>
      <c r="AY318" s="152"/>
    </row>
    <row r="319" spans="1:51" s="150" customFormat="1" x14ac:dyDescent="0.25">
      <c r="A319" s="150">
        <f t="shared" si="102"/>
        <v>315</v>
      </c>
      <c r="B319" s="150">
        <f t="shared" si="103"/>
        <v>27</v>
      </c>
      <c r="C319" s="150">
        <f t="shared" si="104"/>
        <v>3</v>
      </c>
      <c r="D319" s="150">
        <f>IF(E319="","",Input!$C$4+B319-1)</f>
        <v>71</v>
      </c>
      <c r="E319" s="150">
        <f>IF(OR(AND(C318=12,D318=Input!$C$6),E318=""),"",1)</f>
        <v>1</v>
      </c>
      <c r="F319" s="150">
        <f>IF(E319="","",Input!$C$8+B319-1)</f>
        <v>2044</v>
      </c>
      <c r="G319" s="151">
        <f>IF(E319="","",MAX(0,Input!$C$9-B319))</f>
        <v>0</v>
      </c>
      <c r="H319" s="152">
        <f>IF(E319="","",Input!$C$3)</f>
        <v>100000</v>
      </c>
      <c r="I319" s="153">
        <f>IF(E319="","",HLOOKUP($B319,Input!$C$13:$BT$14,2))</f>
        <v>36.260000000000005</v>
      </c>
      <c r="J319" s="154"/>
      <c r="K319" s="155">
        <f>IF($E319="","",Input!$C$57)</f>
        <v>4.4999999999999998E-2</v>
      </c>
      <c r="L319" s="155">
        <f t="shared" si="95"/>
        <v>3.6748094004368514E-3</v>
      </c>
      <c r="M319" s="147">
        <f>IF($E319="","",VLOOKUP(IF($B319&lt;=Input!$C$7,$B319,26),'Mortality Tables'!$A$72:$CA$97,IF($B319&lt;=Input!$C$7+1,Input!$C$4-16,$D319-Input!$C$7-16),0)/1000)</f>
        <v>1.4800000000000001E-2</v>
      </c>
      <c r="N319" s="147">
        <f t="shared" si="84"/>
        <v>1.2417794143795291E-3</v>
      </c>
      <c r="O319" s="157">
        <f>IF($E319="","",IF($C319=12,IF($B319&lt;Input!$C$9,Input!$C$54,IF($B319=Input!$C$9,Input!$C$55,Input!$C$56)),0%))</f>
        <v>0</v>
      </c>
      <c r="P319" s="167">
        <f>IF($E319="","",IF($B319=1,Input!$C$59,IF($B319&lt;6,Input!$C$60,0%)))</f>
        <v>0</v>
      </c>
      <c r="Q319" s="162">
        <f>IF($E319="","",Input!$C$58)</f>
        <v>2.5</v>
      </c>
      <c r="R319" s="156">
        <f t="shared" si="96"/>
        <v>0.99875822058562047</v>
      </c>
      <c r="S319" s="154">
        <f t="shared" si="85"/>
        <v>2.906378596540336E-2</v>
      </c>
      <c r="T319" s="152"/>
      <c r="U319" s="150">
        <f t="shared" si="97"/>
        <v>0</v>
      </c>
      <c r="V319" s="150">
        <f t="shared" si="98"/>
        <v>0</v>
      </c>
      <c r="W319" s="168">
        <f t="shared" si="99"/>
        <v>0</v>
      </c>
      <c r="X319" s="163">
        <f t="shared" si="86"/>
        <v>124.17794143795291</v>
      </c>
      <c r="Y319" s="152"/>
      <c r="Z319" s="164">
        <f>IF(AND($C318=12,$D318=Input!$C$6),0,IF($E319="","",V319+Z320/(1+L319)*R319))</f>
        <v>42338.074071021379</v>
      </c>
      <c r="AA319" s="164">
        <f>IF(OR($M319=1,AND($C318=12,$D318=Input!$C$6)),0,IF($E319="","",W319+(X319+AA320*$R319)/(1+$L319)))</f>
        <v>18089.252771651867</v>
      </c>
      <c r="AB319" s="160">
        <f t="shared" si="87"/>
        <v>0.825720328500681</v>
      </c>
      <c r="AC319" s="164">
        <f t="shared" si="88"/>
        <v>0</v>
      </c>
      <c r="AD319" s="164">
        <f>IF(AND($C318=12,$D318=Input!$C$6),0,IF($E319="","",$AC319+AD320/(1+$L319)*$R319))</f>
        <v>34959.408430009906</v>
      </c>
      <c r="AE319" s="152"/>
      <c r="AF319" s="164">
        <f>IF(AND($C318=12,$D318=Input!$C$6),0,IF($E319="","",IF($B319&gt;Input!$C$9,$AC319,0)+AF320/(1+$L319)*$R319))</f>
        <v>34959.408430009906</v>
      </c>
      <c r="AG319" s="164">
        <f>IF(AND($C318=12,$D318=Input!$C$6),0,IF($E319="","",(IF($B319&gt;Input!$C$9,$X319,0)+AG320)/(1+$L319)*$R319))</f>
        <v>17858.432132026704</v>
      </c>
      <c r="AH319" s="160">
        <f t="shared" si="89"/>
        <v>2.0950137211446997</v>
      </c>
      <c r="AI319" s="160">
        <f>IF($E319="","",MIN(Input!$C$61/AH319,1))</f>
        <v>0.64438718771845094</v>
      </c>
      <c r="AJ319" s="152"/>
      <c r="AK319" s="164">
        <f>IF(AND($C318=12,$D318=Input!$C$6),0,IF($E319="","",IF($B319&gt;Input!$C$9,$AC319*AI319,0)+AK320/(1+$L319)*$R319))</f>
        <v>22527.394882514815</v>
      </c>
      <c r="AL319" s="164">
        <f>IF(AND($C318=12,$D318=Input!$C$6),0,IF($E319="","",IF($B319&gt;Input!$C$9,0,$AC319)+AL320/(1+$L319)*$R319))</f>
        <v>0</v>
      </c>
      <c r="AM319" s="160">
        <f t="shared" si="90"/>
        <v>1.1382936520186004</v>
      </c>
      <c r="AN319" s="164">
        <f>IF($E319="","",IF($B319&gt;Input!$C$9,$AI319*$AC319,$AM319*$AC319))</f>
        <v>0</v>
      </c>
      <c r="AO319" s="164">
        <f>IF(AND($C318=12,$D318=Input!$C$6),0,IF($E319="","",$AN319+AO320/(1+$L319)*$R319))</f>
        <v>22527.394882514815</v>
      </c>
      <c r="AP319" s="152"/>
      <c r="AQ319" s="164">
        <f t="shared" si="91"/>
        <v>-4438.1421108629474</v>
      </c>
      <c r="AR319" s="164">
        <f t="shared" si="100"/>
        <v>-4591.5429207690877</v>
      </c>
      <c r="AS319" s="164">
        <f t="shared" si="101"/>
        <v>708.13397129186603</v>
      </c>
      <c r="AT319" s="164">
        <f t="shared" si="92"/>
        <v>708.13397129186603</v>
      </c>
      <c r="AU319" s="152"/>
      <c r="AV319" s="147">
        <f>'Deterministic Reserve'!BC319</f>
        <v>4.1328183695722283E-2</v>
      </c>
      <c r="AW319" s="164">
        <f t="shared" si="93"/>
        <v>708.13397129186603</v>
      </c>
      <c r="AX319" s="164">
        <f t="shared" si="94"/>
        <v>29.265890846731569</v>
      </c>
      <c r="AY319" s="152"/>
    </row>
    <row r="320" spans="1:51" s="150" customFormat="1" x14ac:dyDescent="0.25">
      <c r="A320" s="150">
        <f t="shared" si="102"/>
        <v>316</v>
      </c>
      <c r="B320" s="150">
        <f t="shared" si="103"/>
        <v>27</v>
      </c>
      <c r="C320" s="150">
        <f t="shared" si="104"/>
        <v>4</v>
      </c>
      <c r="D320" s="150">
        <f>IF(E320="","",Input!$C$4+B320-1)</f>
        <v>71</v>
      </c>
      <c r="E320" s="150">
        <f>IF(OR(AND(C319=12,D319=Input!$C$6),E319=""),"",1)</f>
        <v>1</v>
      </c>
      <c r="F320" s="150">
        <f>IF(E320="","",Input!$C$8+B320-1)</f>
        <v>2044</v>
      </c>
      <c r="G320" s="151">
        <f>IF(E320="","",MAX(0,Input!$C$9-B320))</f>
        <v>0</v>
      </c>
      <c r="H320" s="152">
        <f>IF(E320="","",Input!$C$3)</f>
        <v>100000</v>
      </c>
      <c r="I320" s="153">
        <f>IF(E320="","",HLOOKUP($B320,Input!$C$13:$BT$14,2))</f>
        <v>36.260000000000005</v>
      </c>
      <c r="J320" s="154"/>
      <c r="K320" s="155">
        <f>IF($E320="","",Input!$C$57)</f>
        <v>4.4999999999999998E-2</v>
      </c>
      <c r="L320" s="155">
        <f t="shared" si="95"/>
        <v>3.6748094004368514E-3</v>
      </c>
      <c r="M320" s="147">
        <f>IF($E320="","",VLOOKUP(IF($B320&lt;=Input!$C$7,$B320,26),'Mortality Tables'!$A$72:$CA$97,IF($B320&lt;=Input!$C$7+1,Input!$C$4-16,$D320-Input!$C$7-16),0)/1000)</f>
        <v>1.4800000000000001E-2</v>
      </c>
      <c r="N320" s="147">
        <f t="shared" si="84"/>
        <v>1.2417794143795291E-3</v>
      </c>
      <c r="O320" s="157">
        <f>IF($E320="","",IF($C320=12,IF($B320&lt;Input!$C$9,Input!$C$54,IF($B320=Input!$C$9,Input!$C$55,Input!$C$56)),0%))</f>
        <v>0</v>
      </c>
      <c r="P320" s="167">
        <f>IF($E320="","",IF($B320=1,Input!$C$59,IF($B320&lt;6,Input!$C$60,0%)))</f>
        <v>0</v>
      </c>
      <c r="Q320" s="162">
        <f>IF($E320="","",Input!$C$58)</f>
        <v>2.5</v>
      </c>
      <c r="R320" s="156">
        <f t="shared" si="96"/>
        <v>0.99875822058562047</v>
      </c>
      <c r="S320" s="154">
        <f t="shared" si="85"/>
        <v>2.9027695154287589E-2</v>
      </c>
      <c r="T320" s="152"/>
      <c r="U320" s="150">
        <f t="shared" si="97"/>
        <v>0</v>
      </c>
      <c r="V320" s="150">
        <f t="shared" si="98"/>
        <v>0</v>
      </c>
      <c r="W320" s="168">
        <f t="shared" si="99"/>
        <v>0</v>
      </c>
      <c r="X320" s="163">
        <f t="shared" si="86"/>
        <v>124.17794143795291</v>
      </c>
      <c r="Y320" s="152"/>
      <c r="Z320" s="164">
        <f>IF(AND($C319=12,$D319=Input!$C$6),0,IF($E320="","",V320+Z321/(1+L320)*R320))</f>
        <v>42546.491781262004</v>
      </c>
      <c r="AA320" s="164">
        <f>IF(OR($M320=1,AND($C319=12,$D319=Input!$C$6)),0,IF($E320="","",W320+(X320+AA321*$R320)/(1+$L320)))</f>
        <v>18053.968432693633</v>
      </c>
      <c r="AB320" s="160">
        <f t="shared" si="87"/>
        <v>0.825720328500681</v>
      </c>
      <c r="AC320" s="164">
        <f t="shared" si="88"/>
        <v>0</v>
      </c>
      <c r="AD320" s="164">
        <f>IF(AND($C319=12,$D319=Input!$C$6),0,IF($E320="","",$AC320+AD321/(1+$L320)*$R320))</f>
        <v>35131.50317017515</v>
      </c>
      <c r="AE320" s="152"/>
      <c r="AF320" s="164">
        <f>IF(AND($C319=12,$D319=Input!$C$6),0,IF($E320="","",IF($B320&gt;Input!$C$9,$AC320,0)+AF321/(1+$L320)*$R320))</f>
        <v>35131.50317017515</v>
      </c>
      <c r="AG320" s="164">
        <f>IF(AND($C319=12,$D319=Input!$C$6),0,IF($E320="","",(IF($B320&gt;Input!$C$9,$X320,0)+AG321)/(1+$L320)*$R320))</f>
        <v>17822.165925241607</v>
      </c>
      <c r="AH320" s="160">
        <f t="shared" si="89"/>
        <v>2.0950137211446997</v>
      </c>
      <c r="AI320" s="160">
        <f>IF($E320="","",MIN(Input!$C$61/AH320,1))</f>
        <v>0.64438718771845094</v>
      </c>
      <c r="AJ320" s="152"/>
      <c r="AK320" s="164">
        <f>IF(AND($C319=12,$D319=Input!$C$6),0,IF($E320="","",IF($B320&gt;Input!$C$9,$AC320*AI320,0)+AK321/(1+$L320)*$R320))</f>
        <v>22638.290528151036</v>
      </c>
      <c r="AL320" s="164">
        <f>IF(AND($C319=12,$D319=Input!$C$6),0,IF($E320="","",IF($B320&gt;Input!$C$9,0,$AC320)+AL321/(1+$L320)*$R320))</f>
        <v>0</v>
      </c>
      <c r="AM320" s="160">
        <f t="shared" si="90"/>
        <v>1.1382936520186004</v>
      </c>
      <c r="AN320" s="164">
        <f>IF($E320="","",IF($B320&gt;Input!$C$9,$AI320*$AC320,$AM320*$AC320))</f>
        <v>0</v>
      </c>
      <c r="AO320" s="164">
        <f>IF(AND($C319=12,$D319=Input!$C$6),0,IF($E320="","",$AN320+AO321/(1+$L320)*$R320))</f>
        <v>22638.290528151036</v>
      </c>
      <c r="AP320" s="152"/>
      <c r="AQ320" s="164">
        <f t="shared" si="91"/>
        <v>-4584.3220954574026</v>
      </c>
      <c r="AR320" s="164">
        <f t="shared" si="100"/>
        <v>-4591.5429207690877</v>
      </c>
      <c r="AS320" s="164">
        <f t="shared" si="101"/>
        <v>708.13397129186603</v>
      </c>
      <c r="AT320" s="164">
        <f t="shared" si="92"/>
        <v>708.13397129186603</v>
      </c>
      <c r="AU320" s="152"/>
      <c r="AV320" s="147">
        <f>'Deterministic Reserve'!BC320</f>
        <v>4.1203272939877904E-2</v>
      </c>
      <c r="AW320" s="164">
        <f t="shared" si="93"/>
        <v>708.13397129186603</v>
      </c>
      <c r="AX320" s="164">
        <f t="shared" si="94"/>
        <v>29.177437297138422</v>
      </c>
      <c r="AY320" s="152"/>
    </row>
    <row r="321" spans="1:51" s="150" customFormat="1" x14ac:dyDescent="0.25">
      <c r="A321" s="150">
        <f t="shared" si="102"/>
        <v>317</v>
      </c>
      <c r="B321" s="150">
        <f t="shared" si="103"/>
        <v>27</v>
      </c>
      <c r="C321" s="150">
        <f t="shared" si="104"/>
        <v>5</v>
      </c>
      <c r="D321" s="150">
        <f>IF(E321="","",Input!$C$4+B321-1)</f>
        <v>71</v>
      </c>
      <c r="E321" s="150">
        <f>IF(OR(AND(C320=12,D320=Input!$C$6),E320=""),"",1)</f>
        <v>1</v>
      </c>
      <c r="F321" s="150">
        <f>IF(E321="","",Input!$C$8+B321-1)</f>
        <v>2044</v>
      </c>
      <c r="G321" s="151">
        <f>IF(E321="","",MAX(0,Input!$C$9-B321))</f>
        <v>0</v>
      </c>
      <c r="H321" s="152">
        <f>IF(E321="","",Input!$C$3)</f>
        <v>100000</v>
      </c>
      <c r="I321" s="153">
        <f>IF(E321="","",HLOOKUP($B321,Input!$C$13:$BT$14,2))</f>
        <v>36.260000000000005</v>
      </c>
      <c r="J321" s="154"/>
      <c r="K321" s="155">
        <f>IF($E321="","",Input!$C$57)</f>
        <v>4.4999999999999998E-2</v>
      </c>
      <c r="L321" s="155">
        <f t="shared" si="95"/>
        <v>3.6748094004368514E-3</v>
      </c>
      <c r="M321" s="147">
        <f>IF($E321="","",VLOOKUP(IF($B321&lt;=Input!$C$7,$B321,26),'Mortality Tables'!$A$72:$CA$97,IF($B321&lt;=Input!$C$7+1,Input!$C$4-16,$D321-Input!$C$7-16),0)/1000)</f>
        <v>1.4800000000000001E-2</v>
      </c>
      <c r="N321" s="147">
        <f t="shared" si="84"/>
        <v>1.2417794143795291E-3</v>
      </c>
      <c r="O321" s="157">
        <f>IF($E321="","",IF($C321=12,IF($B321&lt;Input!$C$9,Input!$C$54,IF($B321=Input!$C$9,Input!$C$55,Input!$C$56)),0%))</f>
        <v>0</v>
      </c>
      <c r="P321" s="167">
        <f>IF($E321="","",IF($B321=1,Input!$C$59,IF($B321&lt;6,Input!$C$60,0%)))</f>
        <v>0</v>
      </c>
      <c r="Q321" s="162">
        <f>IF($E321="","",Input!$C$58)</f>
        <v>2.5</v>
      </c>
      <c r="R321" s="156">
        <f t="shared" si="96"/>
        <v>0.99875822058562047</v>
      </c>
      <c r="S321" s="154">
        <f t="shared" si="85"/>
        <v>2.899164915999811E-2</v>
      </c>
      <c r="T321" s="152"/>
      <c r="U321" s="150">
        <f t="shared" si="97"/>
        <v>0</v>
      </c>
      <c r="V321" s="150">
        <f t="shared" si="98"/>
        <v>0</v>
      </c>
      <c r="W321" s="168">
        <f t="shared" si="99"/>
        <v>0</v>
      </c>
      <c r="X321" s="163">
        <f t="shared" si="86"/>
        <v>124.17794143795291</v>
      </c>
      <c r="Y321" s="152"/>
      <c r="Z321" s="164">
        <f>IF(AND($C320=12,$D320=Input!$C$6),0,IF($E321="","",V321+Z322/(1+L321)*R321))</f>
        <v>42755.935469724238</v>
      </c>
      <c r="AA321" s="164">
        <f>IF(OR($M321=1,AND($C320=12,$D320=Input!$C$6)),0,IF($E321="","",W321+(X321+AA322*$R321)/(1+$L321)))</f>
        <v>18018.510399459166</v>
      </c>
      <c r="AB321" s="160">
        <f t="shared" si="87"/>
        <v>0.825720328500681</v>
      </c>
      <c r="AC321" s="164">
        <f t="shared" si="88"/>
        <v>0</v>
      </c>
      <c r="AD321" s="164">
        <f>IF(AND($C320=12,$D320=Input!$C$6),0,IF($E321="","",$AC321+AD322/(1+$L321)*$R321))</f>
        <v>35304.445081414575</v>
      </c>
      <c r="AE321" s="152"/>
      <c r="AF321" s="164">
        <f>IF(AND($C320=12,$D320=Input!$C$6),0,IF($E321="","",IF($B321&gt;Input!$C$9,$AC321,0)+AF322/(1+$L321)*$R321))</f>
        <v>35304.445081414575</v>
      </c>
      <c r="AG321" s="164">
        <f>IF(AND($C320=12,$D320=Input!$C$6),0,IF($E321="","",(IF($B321&gt;Input!$C$9,$X321,0)+AG322)/(1+$L321)*$R321))</f>
        <v>17785.721190737826</v>
      </c>
      <c r="AH321" s="160">
        <f t="shared" si="89"/>
        <v>2.0950137211446997</v>
      </c>
      <c r="AI321" s="160">
        <f>IF($E321="","",MIN(Input!$C$61/AH321,1))</f>
        <v>0.64438718771845094</v>
      </c>
      <c r="AJ321" s="152"/>
      <c r="AK321" s="164">
        <f>IF(AND($C320=12,$D320=Input!$C$6),0,IF($E321="","",IF($B321&gt;Input!$C$9,$AC321*AI321,0)+AK322/(1+$L321)*$R321))</f>
        <v>22749.732079973266</v>
      </c>
      <c r="AL321" s="164">
        <f>IF(AND($C320=12,$D320=Input!$C$6),0,IF($E321="","",IF($B321&gt;Input!$C$9,0,$AC321)+AL322/(1+$L321)*$R321))</f>
        <v>0</v>
      </c>
      <c r="AM321" s="160">
        <f t="shared" si="90"/>
        <v>1.1382936520186004</v>
      </c>
      <c r="AN321" s="164">
        <f>IF($E321="","",IF($B321&gt;Input!$C$9,$AI321*$AC321,$AM321*$AC321))</f>
        <v>0</v>
      </c>
      <c r="AO321" s="164">
        <f>IF(AND($C320=12,$D320=Input!$C$6),0,IF($E321="","",$AN321+AO322/(1+$L321)*$R321))</f>
        <v>22749.732079973266</v>
      </c>
      <c r="AP321" s="152"/>
      <c r="AQ321" s="164">
        <f t="shared" si="91"/>
        <v>-4731.2216805140997</v>
      </c>
      <c r="AR321" s="164">
        <f t="shared" si="100"/>
        <v>-4591.5429207690877</v>
      </c>
      <c r="AS321" s="164">
        <f t="shared" si="101"/>
        <v>708.13397129186603</v>
      </c>
      <c r="AT321" s="164">
        <f t="shared" si="92"/>
        <v>708.13397129186603</v>
      </c>
      <c r="AU321" s="152"/>
      <c r="AV321" s="147">
        <f>'Deterministic Reserve'!BC321</f>
        <v>4.1078739715672476E-2</v>
      </c>
      <c r="AW321" s="164">
        <f t="shared" si="93"/>
        <v>708.13397129186603</v>
      </c>
      <c r="AX321" s="164">
        <f t="shared" si="94"/>
        <v>29.089251090524051</v>
      </c>
      <c r="AY321" s="152"/>
    </row>
    <row r="322" spans="1:51" s="150" customFormat="1" x14ac:dyDescent="0.25">
      <c r="A322" s="150">
        <f t="shared" si="102"/>
        <v>318</v>
      </c>
      <c r="B322" s="150">
        <f t="shared" si="103"/>
        <v>27</v>
      </c>
      <c r="C322" s="150">
        <f t="shared" si="104"/>
        <v>6</v>
      </c>
      <c r="D322" s="150">
        <f>IF(E322="","",Input!$C$4+B322-1)</f>
        <v>71</v>
      </c>
      <c r="E322" s="150">
        <f>IF(OR(AND(C321=12,D321=Input!$C$6),E321=""),"",1)</f>
        <v>1</v>
      </c>
      <c r="F322" s="150">
        <f>IF(E322="","",Input!$C$8+B322-1)</f>
        <v>2044</v>
      </c>
      <c r="G322" s="151">
        <f>IF(E322="","",MAX(0,Input!$C$9-B322))</f>
        <v>0</v>
      </c>
      <c r="H322" s="152">
        <f>IF(E322="","",Input!$C$3)</f>
        <v>100000</v>
      </c>
      <c r="I322" s="153">
        <f>IF(E322="","",HLOOKUP($B322,Input!$C$13:$BT$14,2))</f>
        <v>36.260000000000005</v>
      </c>
      <c r="J322" s="154"/>
      <c r="K322" s="155">
        <f>IF($E322="","",Input!$C$57)</f>
        <v>4.4999999999999998E-2</v>
      </c>
      <c r="L322" s="155">
        <f t="shared" si="95"/>
        <v>3.6748094004368514E-3</v>
      </c>
      <c r="M322" s="147">
        <f>IF($E322="","",VLOOKUP(IF($B322&lt;=Input!$C$7,$B322,26),'Mortality Tables'!$A$72:$CA$97,IF($B322&lt;=Input!$C$7+1,Input!$C$4-16,$D322-Input!$C$7-16),0)/1000)</f>
        <v>1.4800000000000001E-2</v>
      </c>
      <c r="N322" s="147">
        <f t="shared" si="84"/>
        <v>1.2417794143795291E-3</v>
      </c>
      <c r="O322" s="157">
        <f>IF($E322="","",IF($C322=12,IF($B322&lt;Input!$C$9,Input!$C$54,IF($B322=Input!$C$9,Input!$C$55,Input!$C$56)),0%))</f>
        <v>0</v>
      </c>
      <c r="P322" s="167">
        <f>IF($E322="","",IF($B322=1,Input!$C$59,IF($B322&lt;6,Input!$C$60,0%)))</f>
        <v>0</v>
      </c>
      <c r="Q322" s="162">
        <f>IF($E322="","",Input!$C$58)</f>
        <v>2.5</v>
      </c>
      <c r="R322" s="156">
        <f t="shared" si="96"/>
        <v>0.99875822058562047</v>
      </c>
      <c r="S322" s="154">
        <f t="shared" si="85"/>
        <v>2.8955647926882312E-2</v>
      </c>
      <c r="T322" s="152"/>
      <c r="U322" s="150">
        <f t="shared" si="97"/>
        <v>0</v>
      </c>
      <c r="V322" s="150">
        <f t="shared" si="98"/>
        <v>0</v>
      </c>
      <c r="W322" s="168">
        <f t="shared" si="99"/>
        <v>0</v>
      </c>
      <c r="X322" s="163">
        <f t="shared" si="86"/>
        <v>124.17794143795291</v>
      </c>
      <c r="Y322" s="152"/>
      <c r="Z322" s="164">
        <f>IF(AND($C321=12,$D321=Input!$C$6),0,IF($E322="","",V322+Z323/(1+L322)*R322))</f>
        <v>42966.410186992849</v>
      </c>
      <c r="AA322" s="164">
        <f>IF(OR($M322=1,AND($C321=12,$D321=Input!$C$6)),0,IF($E322="","",W322+(X322+AA323*$R322)/(1+$L322)))</f>
        <v>17982.87781690335</v>
      </c>
      <c r="AB322" s="160">
        <f t="shared" si="87"/>
        <v>0.825720328500681</v>
      </c>
      <c r="AC322" s="164">
        <f t="shared" si="88"/>
        <v>0</v>
      </c>
      <c r="AD322" s="164">
        <f>IF(AND($C321=12,$D321=Input!$C$6),0,IF($E322="","",$AC322+AD323/(1+$L322)*$R322))</f>
        <v>35478.2383340987</v>
      </c>
      <c r="AE322" s="152"/>
      <c r="AF322" s="164">
        <f>IF(AND($C321=12,$D321=Input!$C$6),0,IF($E322="","",IF($B322&gt;Input!$C$9,$AC322,0)+AF323/(1+$L322)*$R322))</f>
        <v>35478.2383340987</v>
      </c>
      <c r="AG322" s="164">
        <f>IF(AND($C321=12,$D321=Input!$C$6),0,IF($E322="","",(IF($B322&gt;Input!$C$9,$X322,0)+AG323)/(1+$L322)*$R322))</f>
        <v>17749.097049676657</v>
      </c>
      <c r="AH322" s="160">
        <f t="shared" si="89"/>
        <v>2.0950137211446997</v>
      </c>
      <c r="AI322" s="160">
        <f>IF($E322="","",MIN(Input!$C$61/AH322,1))</f>
        <v>0.64438718771845094</v>
      </c>
      <c r="AJ322" s="152"/>
      <c r="AK322" s="164">
        <f>IF(AND($C321=12,$D321=Input!$C$6),0,IF($E322="","",IF($B322&gt;Input!$C$9,$AC322*AI322,0)+AK323/(1+$L322)*$R322))</f>
        <v>22861.722225314828</v>
      </c>
      <c r="AL322" s="164">
        <f>IF(AND($C321=12,$D321=Input!$C$6),0,IF($E322="","",IF($B322&gt;Input!$C$9,0,$AC322)+AL323/(1+$L322)*$R322))</f>
        <v>0</v>
      </c>
      <c r="AM322" s="160">
        <f t="shared" si="90"/>
        <v>1.1382936520186004</v>
      </c>
      <c r="AN322" s="164">
        <f>IF($E322="","",IF($B322&gt;Input!$C$9,$AI322*$AC322,$AM322*$AC322))</f>
        <v>0</v>
      </c>
      <c r="AO322" s="164">
        <f>IF(AND($C321=12,$D321=Input!$C$6),0,IF($E322="","",$AN322+AO323/(1+$L322)*$R322))</f>
        <v>22861.722225314828</v>
      </c>
      <c r="AP322" s="152"/>
      <c r="AQ322" s="164">
        <f t="shared" si="91"/>
        <v>-4878.8444084114781</v>
      </c>
      <c r="AR322" s="164">
        <f t="shared" si="100"/>
        <v>-4591.5429207690877</v>
      </c>
      <c r="AS322" s="164">
        <f t="shared" si="101"/>
        <v>708.13397129186603</v>
      </c>
      <c r="AT322" s="164">
        <f t="shared" si="92"/>
        <v>708.13397129186603</v>
      </c>
      <c r="AU322" s="152"/>
      <c r="AV322" s="147">
        <f>'Deterministic Reserve'!BC322</f>
        <v>4.0954582882050235E-2</v>
      </c>
      <c r="AW322" s="164">
        <f t="shared" si="93"/>
        <v>708.13397129186603</v>
      </c>
      <c r="AX322" s="164">
        <f t="shared" si="94"/>
        <v>29.001331418868109</v>
      </c>
      <c r="AY322" s="152"/>
    </row>
    <row r="323" spans="1:51" s="150" customFormat="1" x14ac:dyDescent="0.25">
      <c r="A323" s="150">
        <f t="shared" si="102"/>
        <v>319</v>
      </c>
      <c r="B323" s="150">
        <f t="shared" si="103"/>
        <v>27</v>
      </c>
      <c r="C323" s="150">
        <f t="shared" si="104"/>
        <v>7</v>
      </c>
      <c r="D323" s="150">
        <f>IF(E323="","",Input!$C$4+B323-1)</f>
        <v>71</v>
      </c>
      <c r="E323" s="150">
        <f>IF(OR(AND(C322=12,D322=Input!$C$6),E322=""),"",1)</f>
        <v>1</v>
      </c>
      <c r="F323" s="150">
        <f>IF(E323="","",Input!$C$8+B323-1)</f>
        <v>2044</v>
      </c>
      <c r="G323" s="151">
        <f>IF(E323="","",MAX(0,Input!$C$9-B323))</f>
        <v>0</v>
      </c>
      <c r="H323" s="152">
        <f>IF(E323="","",Input!$C$3)</f>
        <v>100000</v>
      </c>
      <c r="I323" s="153">
        <f>IF(E323="","",HLOOKUP($B323,Input!$C$13:$BT$14,2))</f>
        <v>36.260000000000005</v>
      </c>
      <c r="J323" s="154"/>
      <c r="K323" s="155">
        <f>IF($E323="","",Input!$C$57)</f>
        <v>4.4999999999999998E-2</v>
      </c>
      <c r="L323" s="155">
        <f t="shared" si="95"/>
        <v>3.6748094004368514E-3</v>
      </c>
      <c r="M323" s="147">
        <f>IF($E323="","",VLOOKUP(IF($B323&lt;=Input!$C$7,$B323,26),'Mortality Tables'!$A$72:$CA$97,IF($B323&lt;=Input!$C$7+1,Input!$C$4-16,$D323-Input!$C$7-16),0)/1000)</f>
        <v>1.4800000000000001E-2</v>
      </c>
      <c r="N323" s="147">
        <f t="shared" si="84"/>
        <v>1.2417794143795291E-3</v>
      </c>
      <c r="O323" s="157">
        <f>IF($E323="","",IF($C323=12,IF($B323&lt;Input!$C$9,Input!$C$54,IF($B323=Input!$C$9,Input!$C$55,Input!$C$56)),0%))</f>
        <v>0</v>
      </c>
      <c r="P323" s="167">
        <f>IF($E323="","",IF($B323=1,Input!$C$59,IF($B323&lt;6,Input!$C$60,0%)))</f>
        <v>0</v>
      </c>
      <c r="Q323" s="162">
        <f>IF($E323="","",Input!$C$58)</f>
        <v>2.5</v>
      </c>
      <c r="R323" s="156">
        <f t="shared" si="96"/>
        <v>0.99875822058562047</v>
      </c>
      <c r="S323" s="154">
        <f t="shared" si="85"/>
        <v>2.8919691399356687E-2</v>
      </c>
      <c r="T323" s="152"/>
      <c r="U323" s="150">
        <f t="shared" si="97"/>
        <v>0</v>
      </c>
      <c r="V323" s="150">
        <f t="shared" si="98"/>
        <v>0</v>
      </c>
      <c r="W323" s="168">
        <f t="shared" si="99"/>
        <v>0</v>
      </c>
      <c r="X323" s="163">
        <f t="shared" si="86"/>
        <v>124.17794143795291</v>
      </c>
      <c r="Y323" s="152"/>
      <c r="Z323" s="164">
        <f>IF(AND($C322=12,$D322=Input!$C$6),0,IF($E323="","",V323+Z324/(1+L323)*R323))</f>
        <v>43177.921008515113</v>
      </c>
      <c r="AA323" s="164">
        <f>IF(OR($M323=1,AND($C322=12,$D322=Input!$C$6)),0,IF($E323="","",W323+(X323+AA324*$R323)/(1+$L323)))</f>
        <v>17947.069825771938</v>
      </c>
      <c r="AB323" s="160">
        <f t="shared" si="87"/>
        <v>0.825720328500681</v>
      </c>
      <c r="AC323" s="164">
        <f t="shared" si="88"/>
        <v>0</v>
      </c>
      <c r="AD323" s="164">
        <f>IF(AND($C322=12,$D322=Input!$C$6),0,IF($E323="","",$AC323+AD324/(1+$L323)*$R323))</f>
        <v>35652.887119127518</v>
      </c>
      <c r="AE323" s="152"/>
      <c r="AF323" s="164">
        <f>IF(AND($C322=12,$D322=Input!$C$6),0,IF($E323="","",IF($B323&gt;Input!$C$9,$AC323,0)+AF324/(1+$L323)*$R323))</f>
        <v>35652.887119127518</v>
      </c>
      <c r="AG323" s="164">
        <f>IF(AND($C322=12,$D322=Input!$C$6),0,IF($E323="","",(IF($B323&gt;Input!$C$9,$X323,0)+AG324)/(1+$L323)*$R323))</f>
        <v>17712.292618893131</v>
      </c>
      <c r="AH323" s="160">
        <f t="shared" si="89"/>
        <v>2.0950137211446997</v>
      </c>
      <c r="AI323" s="160">
        <f>IF($E323="","",MIN(Input!$C$61/AH323,1))</f>
        <v>0.64438718771845094</v>
      </c>
      <c r="AJ323" s="152"/>
      <c r="AK323" s="164">
        <f>IF(AND($C322=12,$D322=Input!$C$6),0,IF($E323="","",IF($B323&gt;Input!$C$9,$AC323*AI323,0)+AK324/(1+$L323)*$R323))</f>
        <v>22974.263664737991</v>
      </c>
      <c r="AL323" s="164">
        <f>IF(AND($C322=12,$D322=Input!$C$6),0,IF($E323="","",IF($B323&gt;Input!$C$9,0,$AC323)+AL324/(1+$L323)*$R323))</f>
        <v>0</v>
      </c>
      <c r="AM323" s="160">
        <f t="shared" si="90"/>
        <v>1.1382936520186004</v>
      </c>
      <c r="AN323" s="164">
        <f>IF($E323="","",IF($B323&gt;Input!$C$9,$AI323*$AC323,$AM323*$AC323))</f>
        <v>0</v>
      </c>
      <c r="AO323" s="164">
        <f>IF(AND($C322=12,$D322=Input!$C$6),0,IF($E323="","",$AN323+AO324/(1+$L323)*$R323))</f>
        <v>22974.263664737991</v>
      </c>
      <c r="AP323" s="152"/>
      <c r="AQ323" s="164">
        <f t="shared" si="91"/>
        <v>-5027.1938389660536</v>
      </c>
      <c r="AR323" s="164">
        <f t="shared" si="100"/>
        <v>-4591.5429207690877</v>
      </c>
      <c r="AS323" s="164">
        <f t="shared" si="101"/>
        <v>708.13397129186603</v>
      </c>
      <c r="AT323" s="164">
        <f t="shared" si="92"/>
        <v>708.13397129186603</v>
      </c>
      <c r="AU323" s="152"/>
      <c r="AV323" s="147">
        <f>'Deterministic Reserve'!BC323</f>
        <v>4.0830801301404152E-2</v>
      </c>
      <c r="AW323" s="164">
        <f t="shared" si="93"/>
        <v>708.13397129186603</v>
      </c>
      <c r="AX323" s="164">
        <f t="shared" si="94"/>
        <v>28.913677476592415</v>
      </c>
      <c r="AY323" s="152"/>
    </row>
    <row r="324" spans="1:51" s="150" customFormat="1" x14ac:dyDescent="0.25">
      <c r="A324" s="150">
        <f t="shared" si="102"/>
        <v>320</v>
      </c>
      <c r="B324" s="150">
        <f t="shared" si="103"/>
        <v>27</v>
      </c>
      <c r="C324" s="150">
        <f t="shared" si="104"/>
        <v>8</v>
      </c>
      <c r="D324" s="150">
        <f>IF(E324="","",Input!$C$4+B324-1)</f>
        <v>71</v>
      </c>
      <c r="E324" s="150">
        <f>IF(OR(AND(C323=12,D323=Input!$C$6),E323=""),"",1)</f>
        <v>1</v>
      </c>
      <c r="F324" s="150">
        <f>IF(E324="","",Input!$C$8+B324-1)</f>
        <v>2044</v>
      </c>
      <c r="G324" s="151">
        <f>IF(E324="","",MAX(0,Input!$C$9-B324))</f>
        <v>0</v>
      </c>
      <c r="H324" s="152">
        <f>IF(E324="","",Input!$C$3)</f>
        <v>100000</v>
      </c>
      <c r="I324" s="153">
        <f>IF(E324="","",HLOOKUP($B324,Input!$C$13:$BT$14,2))</f>
        <v>36.260000000000005</v>
      </c>
      <c r="J324" s="154"/>
      <c r="K324" s="155">
        <f>IF($E324="","",Input!$C$57)</f>
        <v>4.4999999999999998E-2</v>
      </c>
      <c r="L324" s="155">
        <f t="shared" si="95"/>
        <v>3.6748094004368514E-3</v>
      </c>
      <c r="M324" s="147">
        <f>IF($E324="","",VLOOKUP(IF($B324&lt;=Input!$C$7,$B324,26),'Mortality Tables'!$A$72:$CA$97,IF($B324&lt;=Input!$C$7+1,Input!$C$4-16,$D324-Input!$C$7-16),0)/1000)</f>
        <v>1.4800000000000001E-2</v>
      </c>
      <c r="N324" s="147">
        <f t="shared" si="84"/>
        <v>1.2417794143795291E-3</v>
      </c>
      <c r="O324" s="157">
        <f>IF($E324="","",IF($C324=12,IF($B324&lt;Input!$C$9,Input!$C$54,IF($B324=Input!$C$9,Input!$C$55,Input!$C$56)),0%))</f>
        <v>0</v>
      </c>
      <c r="P324" s="167">
        <f>IF($E324="","",IF($B324=1,Input!$C$59,IF($B324&lt;6,Input!$C$60,0%)))</f>
        <v>0</v>
      </c>
      <c r="Q324" s="162">
        <f>IF($E324="","",Input!$C$58)</f>
        <v>2.5</v>
      </c>
      <c r="R324" s="156">
        <f t="shared" si="96"/>
        <v>0.99875822058562047</v>
      </c>
      <c r="S324" s="154">
        <f t="shared" si="85"/>
        <v>2.8883779521906759E-2</v>
      </c>
      <c r="T324" s="152"/>
      <c r="U324" s="150">
        <f t="shared" si="97"/>
        <v>0</v>
      </c>
      <c r="V324" s="150">
        <f t="shared" si="98"/>
        <v>0</v>
      </c>
      <c r="W324" s="168">
        <f t="shared" si="99"/>
        <v>0</v>
      </c>
      <c r="X324" s="163">
        <f t="shared" si="86"/>
        <v>124.17794143795291</v>
      </c>
      <c r="Y324" s="152"/>
      <c r="Z324" s="164">
        <f>IF(AND($C323=12,$D323=Input!$C$6),0,IF($E324="","",V324+Z325/(1+L324)*R324))</f>
        <v>43390.473034723233</v>
      </c>
      <c r="AA324" s="164">
        <f>IF(OR($M324=1,AND($C323=12,$D323=Input!$C$6)),0,IF($E324="","",W324+(X324+AA325*$R324)/(1+$L324)))</f>
        <v>17911.085562580829</v>
      </c>
      <c r="AB324" s="160">
        <f t="shared" si="87"/>
        <v>0.825720328500681</v>
      </c>
      <c r="AC324" s="164">
        <f t="shared" si="88"/>
        <v>0</v>
      </c>
      <c r="AD324" s="164">
        <f>IF(AND($C323=12,$D323=Input!$C$6),0,IF($E324="","",$AC324+AD325/(1+$L324)*$R324))</f>
        <v>35828.395648031576</v>
      </c>
      <c r="AE324" s="152"/>
      <c r="AF324" s="164">
        <f>IF(AND($C323=12,$D323=Input!$C$6),0,IF($E324="","",IF($B324&gt;Input!$C$9,$AC324,0)+AF325/(1+$L324)*$R324))</f>
        <v>35828.395648031576</v>
      </c>
      <c r="AG324" s="164">
        <f>IF(AND($C323=12,$D323=Input!$C$6),0,IF($E324="","",(IF($B324&gt;Input!$C$9,$X324,0)+AG325)/(1+$L324)*$R324))</f>
        <v>17675.307010874716</v>
      </c>
      <c r="AH324" s="160">
        <f t="shared" si="89"/>
        <v>2.0950137211446997</v>
      </c>
      <c r="AI324" s="160">
        <f>IF($E324="","",MIN(Input!$C$61/AH324,1))</f>
        <v>0.64438718771845094</v>
      </c>
      <c r="AJ324" s="152"/>
      <c r="AK324" s="164">
        <f>IF(AND($C323=12,$D323=Input!$C$6),0,IF($E324="","",IF($B324&gt;Input!$C$9,$AC324*AI324,0)+AK325/(1+$L324)*$R324))</f>
        <v>23087.359112099079</v>
      </c>
      <c r="AL324" s="164">
        <f>IF(AND($C323=12,$D323=Input!$C$6),0,IF($E324="","",IF($B324&gt;Input!$C$9,0,$AC324)+AL325/(1+$L324)*$R324))</f>
        <v>0</v>
      </c>
      <c r="AM324" s="160">
        <f t="shared" si="90"/>
        <v>1.1382936520186004</v>
      </c>
      <c r="AN324" s="164">
        <f>IF($E324="","",IF($B324&gt;Input!$C$9,$AI324*$AC324,$AM324*$AC324))</f>
        <v>0</v>
      </c>
      <c r="AO324" s="164">
        <f>IF(AND($C323=12,$D323=Input!$C$6),0,IF($E324="","",$AN324+AO325/(1+$L324)*$R324))</f>
        <v>23087.359112099079</v>
      </c>
      <c r="AP324" s="152"/>
      <c r="AQ324" s="164">
        <f t="shared" si="91"/>
        <v>-5176.2735495182496</v>
      </c>
      <c r="AR324" s="164">
        <f t="shared" si="100"/>
        <v>-4591.5429207690877</v>
      </c>
      <c r="AS324" s="164">
        <f t="shared" si="101"/>
        <v>708.13397129186603</v>
      </c>
      <c r="AT324" s="164">
        <f t="shared" si="92"/>
        <v>708.13397129186603</v>
      </c>
      <c r="AU324" s="152"/>
      <c r="AV324" s="147">
        <f>'Deterministic Reserve'!BC324</f>
        <v>4.0707393839565516E-2</v>
      </c>
      <c r="AW324" s="164">
        <f t="shared" si="93"/>
        <v>708.13397129186603</v>
      </c>
      <c r="AX324" s="164">
        <f t="shared" si="94"/>
        <v>28.82628846055357</v>
      </c>
      <c r="AY324" s="152"/>
    </row>
    <row r="325" spans="1:51" s="150" customFormat="1" x14ac:dyDescent="0.25">
      <c r="A325" s="150">
        <f t="shared" si="102"/>
        <v>321</v>
      </c>
      <c r="B325" s="150">
        <f t="shared" si="103"/>
        <v>27</v>
      </c>
      <c r="C325" s="150">
        <f t="shared" si="104"/>
        <v>9</v>
      </c>
      <c r="D325" s="150">
        <f>IF(E325="","",Input!$C$4+B325-1)</f>
        <v>71</v>
      </c>
      <c r="E325" s="150">
        <f>IF(OR(AND(C324=12,D324=Input!$C$6),E324=""),"",1)</f>
        <v>1</v>
      </c>
      <c r="F325" s="150">
        <f>IF(E325="","",Input!$C$8+B325-1)</f>
        <v>2044</v>
      </c>
      <c r="G325" s="151">
        <f>IF(E325="","",MAX(0,Input!$C$9-B325))</f>
        <v>0</v>
      </c>
      <c r="H325" s="152">
        <f>IF(E325="","",Input!$C$3)</f>
        <v>100000</v>
      </c>
      <c r="I325" s="153">
        <f>IF(E325="","",HLOOKUP($B325,Input!$C$13:$BT$14,2))</f>
        <v>36.260000000000005</v>
      </c>
      <c r="J325" s="154"/>
      <c r="K325" s="155">
        <f>IF($E325="","",Input!$C$57)</f>
        <v>4.4999999999999998E-2</v>
      </c>
      <c r="L325" s="155">
        <f t="shared" si="95"/>
        <v>3.6748094004368514E-3</v>
      </c>
      <c r="M325" s="147">
        <f>IF($E325="","",VLOOKUP(IF($B325&lt;=Input!$C$7,$B325,26),'Mortality Tables'!$A$72:$CA$97,IF($B325&lt;=Input!$C$7+1,Input!$C$4-16,$D325-Input!$C$7-16),0)/1000)</f>
        <v>1.4800000000000001E-2</v>
      </c>
      <c r="N325" s="147">
        <f t="shared" ref="N325:N388" si="105">IF($E325="","",1-(1-M325)^(1/12))</f>
        <v>1.2417794143795291E-3</v>
      </c>
      <c r="O325" s="157">
        <f>IF($E325="","",IF($C325=12,IF($B325&lt;Input!$C$9,Input!$C$54,IF($B325=Input!$C$9,Input!$C$55,Input!$C$56)),0%))</f>
        <v>0</v>
      </c>
      <c r="P325" s="167">
        <f>IF($E325="","",IF($B325=1,Input!$C$59,IF($B325&lt;6,Input!$C$60,0%)))</f>
        <v>0</v>
      </c>
      <c r="Q325" s="162">
        <f>IF($E325="","",Input!$C$58)</f>
        <v>2.5</v>
      </c>
      <c r="R325" s="156">
        <f t="shared" si="96"/>
        <v>0.99875822058562047</v>
      </c>
      <c r="S325" s="154">
        <f t="shared" ref="S325:S388" si="106">IF($E325="","",IF(AND($B325=1,$C325=1),1,S324*R325))</f>
        <v>2.8847912239086979E-2</v>
      </c>
      <c r="T325" s="152"/>
      <c r="U325" s="150">
        <f t="shared" si="97"/>
        <v>0</v>
      </c>
      <c r="V325" s="150">
        <f t="shared" si="98"/>
        <v>0</v>
      </c>
      <c r="W325" s="168">
        <f t="shared" si="99"/>
        <v>0</v>
      </c>
      <c r="X325" s="163">
        <f t="shared" ref="X325:X388" si="107">IF($E325="","",N325*$H325)</f>
        <v>124.17794143795291</v>
      </c>
      <c r="Y325" s="152"/>
      <c r="Z325" s="164">
        <f>IF(AND($C324=12,$D324=Input!$C$6),0,IF($E325="","",V325+Z326/(1+L325)*R325))</f>
        <v>43604.071391157311</v>
      </c>
      <c r="AA325" s="164">
        <f>IF(OR($M325=1,AND($C324=12,$D324=Input!$C$6)),0,IF($E325="","",W325+(X325+AA326*$R325)/(1+$L325)))</f>
        <v>17874.924159595259</v>
      </c>
      <c r="AB325" s="160">
        <f t="shared" ref="AB325:AB388" si="108">IF($E325="","",$AA$5/$Z$5)</f>
        <v>0.825720328500681</v>
      </c>
      <c r="AC325" s="164">
        <f t="shared" ref="AC325:AC388" si="109">IF($E325="","",V325*AB325)</f>
        <v>0</v>
      </c>
      <c r="AD325" s="164">
        <f>IF(AND($C324=12,$D324=Input!$C$6),0,IF($E325="","",$AC325+AD326/(1+$L325)*$R325))</f>
        <v>36004.768153073528</v>
      </c>
      <c r="AE325" s="152"/>
      <c r="AF325" s="164">
        <f>IF(AND($C324=12,$D324=Input!$C$6),0,IF($E325="","",IF($B325&gt;Input!$C$9,$AC325,0)+AF326/(1+$L325)*$R325))</f>
        <v>36004.768153073528</v>
      </c>
      <c r="AG325" s="164">
        <f>IF(AND($C324=12,$D324=Input!$C$6),0,IF($E325="","",(IF($B325&gt;Input!$C$9,$X325,0)+AG326)/(1+$L325)*$R325))</f>
        <v>17638.139333739924</v>
      </c>
      <c r="AH325" s="160">
        <f t="shared" ref="AH325:AH388" si="110">IF($E325="","",$AF$5/$AG$5)</f>
        <v>2.0950137211446997</v>
      </c>
      <c r="AI325" s="160">
        <f>IF($E325="","",MIN(Input!$C$61/AH325,1))</f>
        <v>0.64438718771845094</v>
      </c>
      <c r="AJ325" s="152"/>
      <c r="AK325" s="164">
        <f>IF(AND($C324=12,$D324=Input!$C$6),0,IF($E325="","",IF($B325&gt;Input!$C$9,$AC325*AI325,0)+AK326/(1+$L325)*$R325))</f>
        <v>23201.01129461392</v>
      </c>
      <c r="AL325" s="164">
        <f>IF(AND($C324=12,$D324=Input!$C$6),0,IF($E325="","",IF($B325&gt;Input!$C$9,0,$AC325)+AL326/(1+$L325)*$R325))</f>
        <v>0</v>
      </c>
      <c r="AM325" s="160">
        <f t="shared" ref="AM325:AM388" si="111">IF($E325="","",($AD$5-$AK$5)/$AL$5)</f>
        <v>1.1382936520186004</v>
      </c>
      <c r="AN325" s="164">
        <f>IF($E325="","",IF($B325&gt;Input!$C$9,$AI325*$AC325,$AM325*$AC325))</f>
        <v>0</v>
      </c>
      <c r="AO325" s="164">
        <f>IF(AND($C324=12,$D324=Input!$C$6),0,IF($E325="","",$AN325+AO326/(1+$L325)*$R325))</f>
        <v>23201.01129461392</v>
      </c>
      <c r="AP325" s="152"/>
      <c r="AQ325" s="164">
        <f t="shared" ref="AQ325:AQ388" si="112">IF($E325="","",$AA325-$AO325)</f>
        <v>-5326.0871350186608</v>
      </c>
      <c r="AR325" s="164">
        <f t="shared" si="100"/>
        <v>-4591.5429207690877</v>
      </c>
      <c r="AS325" s="164">
        <f t="shared" si="101"/>
        <v>708.13397129186603</v>
      </c>
      <c r="AT325" s="164">
        <f t="shared" ref="AT325:AT388" si="113">IF($E325="","",MAX($AR325,$AS325))</f>
        <v>708.13397129186603</v>
      </c>
      <c r="AU325" s="152"/>
      <c r="AV325" s="147">
        <f>'Deterministic Reserve'!BC325</f>
        <v>4.0584359365793535E-2</v>
      </c>
      <c r="AW325" s="164">
        <f t="shared" ref="AW325:AW388" si="114">IF($E325="","",$AT325)</f>
        <v>708.13397129186603</v>
      </c>
      <c r="AX325" s="164">
        <f t="shared" ref="AX325:AX388" si="115">IF($E325="","",AV325*AW325)</f>
        <v>28.739163570035615</v>
      </c>
      <c r="AY325" s="152"/>
    </row>
    <row r="326" spans="1:51" s="150" customFormat="1" x14ac:dyDescent="0.25">
      <c r="A326" s="150">
        <f t="shared" si="102"/>
        <v>322</v>
      </c>
      <c r="B326" s="150">
        <f t="shared" si="103"/>
        <v>27</v>
      </c>
      <c r="C326" s="150">
        <f t="shared" si="104"/>
        <v>10</v>
      </c>
      <c r="D326" s="150">
        <f>IF(E326="","",Input!$C$4+B326-1)</f>
        <v>71</v>
      </c>
      <c r="E326" s="150">
        <f>IF(OR(AND(C325=12,D325=Input!$C$6),E325=""),"",1)</f>
        <v>1</v>
      </c>
      <c r="F326" s="150">
        <f>IF(E326="","",Input!$C$8+B326-1)</f>
        <v>2044</v>
      </c>
      <c r="G326" s="151">
        <f>IF(E326="","",MAX(0,Input!$C$9-B326))</f>
        <v>0</v>
      </c>
      <c r="H326" s="152">
        <f>IF(E326="","",Input!$C$3)</f>
        <v>100000</v>
      </c>
      <c r="I326" s="153">
        <f>IF(E326="","",HLOOKUP($B326,Input!$C$13:$BT$14,2))</f>
        <v>36.260000000000005</v>
      </c>
      <c r="J326" s="154"/>
      <c r="K326" s="155">
        <f>IF($E326="","",Input!$C$57)</f>
        <v>4.4999999999999998E-2</v>
      </c>
      <c r="L326" s="155">
        <f t="shared" ref="L326:L389" si="116">IF($E326="","",(1+K326)^(1/12)-1)</f>
        <v>3.6748094004368514E-3</v>
      </c>
      <c r="M326" s="147">
        <f>IF($E326="","",VLOOKUP(IF($B326&lt;=Input!$C$7,$B326,26),'Mortality Tables'!$A$72:$CA$97,IF($B326&lt;=Input!$C$7+1,Input!$C$4-16,$D326-Input!$C$7-16),0)/1000)</f>
        <v>1.4800000000000001E-2</v>
      </c>
      <c r="N326" s="147">
        <f t="shared" si="105"/>
        <v>1.2417794143795291E-3</v>
      </c>
      <c r="O326" s="157">
        <f>IF($E326="","",IF($C326=12,IF($B326&lt;Input!$C$9,Input!$C$54,IF($B326=Input!$C$9,Input!$C$55,Input!$C$56)),0%))</f>
        <v>0</v>
      </c>
      <c r="P326" s="167">
        <f>IF($E326="","",IF($B326=1,Input!$C$59,IF($B326&lt;6,Input!$C$60,0%)))</f>
        <v>0</v>
      </c>
      <c r="Q326" s="162">
        <f>IF($E326="","",Input!$C$58)</f>
        <v>2.5</v>
      </c>
      <c r="R326" s="156">
        <f t="shared" ref="R326:R389" si="117">IF($E326="","",MAX(1-N326-O326,0))</f>
        <v>0.99875822058562047</v>
      </c>
      <c r="S326" s="154">
        <f t="shared" si="106"/>
        <v>2.8812089495520655E-2</v>
      </c>
      <c r="T326" s="152"/>
      <c r="U326" s="150">
        <f t="shared" ref="U326:U389" si="118">IF($E326="","",IF($C326=1,$I326*$H326/1000,0))</f>
        <v>0</v>
      </c>
      <c r="V326" s="150">
        <f t="shared" ref="V326:V389" si="119">IF($E326="","",U326*(1-$P326))</f>
        <v>0</v>
      </c>
      <c r="W326" s="168">
        <f t="shared" ref="W326:W389" si="120">IF($E326="","",IF(AND($B326=1,$C326=1),$Q326*$H326/1000,0))</f>
        <v>0</v>
      </c>
      <c r="X326" s="163">
        <f t="shared" si="107"/>
        <v>124.17794143795291</v>
      </c>
      <c r="Y326" s="152"/>
      <c r="Z326" s="164">
        <f>IF(AND($C325=12,$D325=Input!$C$6),0,IF($E326="","",V326+Z327/(1+L326)*R326))</f>
        <v>43818.721228588955</v>
      </c>
      <c r="AA326" s="164">
        <f>IF(OR($M326=1,AND($C325=12,$D325=Input!$C$6)),0,IF($E326="","",W326+(X326+AA327*$R326)/(1+$L326)))</f>
        <v>17838.58474480885</v>
      </c>
      <c r="AB326" s="160">
        <f t="shared" si="108"/>
        <v>0.825720328500681</v>
      </c>
      <c r="AC326" s="164">
        <f t="shared" si="109"/>
        <v>0</v>
      </c>
      <c r="AD326" s="164">
        <f>IF(AND($C325=12,$D325=Input!$C$6),0,IF($E326="","",$AC326+AD327/(1+$L326)*$R326))</f>
        <v>36182.008887350203</v>
      </c>
      <c r="AE326" s="152"/>
      <c r="AF326" s="164">
        <f>IF(AND($C325=12,$D325=Input!$C$6),0,IF($E326="","",IF($B326&gt;Input!$C$9,$AC326,0)+AF327/(1+$L326)*$R326))</f>
        <v>36182.008887350203</v>
      </c>
      <c r="AG326" s="164">
        <f>IF(AND($C325=12,$D325=Input!$C$6),0,IF($E326="","",(IF($B326&gt;Input!$C$9,$X326,0)+AG327)/(1+$L326)*$R326))</f>
        <v>17600.788691216811</v>
      </c>
      <c r="AH326" s="160">
        <f t="shared" si="110"/>
        <v>2.0950137211446997</v>
      </c>
      <c r="AI326" s="160">
        <f>IF($E326="","",MIN(Input!$C$61/AH326,1))</f>
        <v>0.64438718771845094</v>
      </c>
      <c r="AJ326" s="152"/>
      <c r="AK326" s="164">
        <f>IF(AND($C325=12,$D325=Input!$C$6),0,IF($E326="","",IF($B326&gt;Input!$C$9,$AC326*AI326,0)+AK327/(1+$L326)*$R326))</f>
        <v>23315.222952923617</v>
      </c>
      <c r="AL326" s="164">
        <f>IF(AND($C325=12,$D325=Input!$C$6),0,IF($E326="","",IF($B326&gt;Input!$C$9,0,$AC326)+AL327/(1+$L326)*$R326))</f>
        <v>0</v>
      </c>
      <c r="AM326" s="160">
        <f t="shared" si="111"/>
        <v>1.1382936520186004</v>
      </c>
      <c r="AN326" s="164">
        <f>IF($E326="","",IF($B326&gt;Input!$C$9,$AI326*$AC326,$AM326*$AC326))</f>
        <v>0</v>
      </c>
      <c r="AO326" s="164">
        <f>IF(AND($C325=12,$D325=Input!$C$6),0,IF($E326="","",$AN326+AO327/(1+$L326)*$R326))</f>
        <v>23315.222952923617</v>
      </c>
      <c r="AP326" s="152"/>
      <c r="AQ326" s="164">
        <f t="shared" si="112"/>
        <v>-5476.6382081147676</v>
      </c>
      <c r="AR326" s="164">
        <f t="shared" ref="AR326:AR389" si="121">IF($E326="","",IF($M326=1,0,0.5*(IF($B326=1,0,SUMIFS($AQ:$AQ,$B:$B,$B326-1,$C:$C,12))+SUMIFS($AN:$AN,$B:$B,$B326,$C:$C,1)+SUMIFS($AQ:$AQ,$B:$B,$B326,$C:$C,12))))</f>
        <v>-4591.5429207690877</v>
      </c>
      <c r="AS326" s="164">
        <f t="shared" ref="AS326:AS389" si="122">IF($E326="","",IF($M326=1,0,0.5*$M326*$H326/(1+$K326)))</f>
        <v>708.13397129186603</v>
      </c>
      <c r="AT326" s="164">
        <f t="shared" si="113"/>
        <v>708.13397129186603</v>
      </c>
      <c r="AU326" s="152"/>
      <c r="AV326" s="147">
        <f>'Deterministic Reserve'!BC326</f>
        <v>4.0461696752764988E-2</v>
      </c>
      <c r="AW326" s="164">
        <f t="shared" si="114"/>
        <v>708.13397129186603</v>
      </c>
      <c r="AX326" s="164">
        <f t="shared" si="115"/>
        <v>28.652302006742669</v>
      </c>
      <c r="AY326" s="152"/>
    </row>
    <row r="327" spans="1:51" s="150" customFormat="1" x14ac:dyDescent="0.25">
      <c r="A327" s="150">
        <f t="shared" ref="A327:A390" si="123">IF(E327="","",A326+1)</f>
        <v>323</v>
      </c>
      <c r="B327" s="150">
        <f t="shared" ref="B327:B390" si="124">IF(E327="","",IF(C326+1&gt;12,B326+1,B326))</f>
        <v>27</v>
      </c>
      <c r="C327" s="150">
        <f t="shared" ref="C327:C390" si="125">IF(E327="","",IF(C326+1&gt;12,1,C326+1))</f>
        <v>11</v>
      </c>
      <c r="D327" s="150">
        <f>IF(E327="","",Input!$C$4+B327-1)</f>
        <v>71</v>
      </c>
      <c r="E327" s="150">
        <f>IF(OR(AND(C326=12,D326=Input!$C$6),E326=""),"",1)</f>
        <v>1</v>
      </c>
      <c r="F327" s="150">
        <f>IF(E327="","",Input!$C$8+B327-1)</f>
        <v>2044</v>
      </c>
      <c r="G327" s="151">
        <f>IF(E327="","",MAX(0,Input!$C$9-B327))</f>
        <v>0</v>
      </c>
      <c r="H327" s="152">
        <f>IF(E327="","",Input!$C$3)</f>
        <v>100000</v>
      </c>
      <c r="I327" s="153">
        <f>IF(E327="","",HLOOKUP($B327,Input!$C$13:$BT$14,2))</f>
        <v>36.260000000000005</v>
      </c>
      <c r="J327" s="154"/>
      <c r="K327" s="155">
        <f>IF($E327="","",Input!$C$57)</f>
        <v>4.4999999999999998E-2</v>
      </c>
      <c r="L327" s="155">
        <f t="shared" si="116"/>
        <v>3.6748094004368514E-3</v>
      </c>
      <c r="M327" s="147">
        <f>IF($E327="","",VLOOKUP(IF($B327&lt;=Input!$C$7,$B327,26),'Mortality Tables'!$A$72:$CA$97,IF($B327&lt;=Input!$C$7+1,Input!$C$4-16,$D327-Input!$C$7-16),0)/1000)</f>
        <v>1.4800000000000001E-2</v>
      </c>
      <c r="N327" s="147">
        <f t="shared" si="105"/>
        <v>1.2417794143795291E-3</v>
      </c>
      <c r="O327" s="157">
        <f>IF($E327="","",IF($C327=12,IF($B327&lt;Input!$C$9,Input!$C$54,IF($B327=Input!$C$9,Input!$C$55,Input!$C$56)),0%))</f>
        <v>0</v>
      </c>
      <c r="P327" s="167">
        <f>IF($E327="","",IF($B327=1,Input!$C$59,IF($B327&lt;6,Input!$C$60,0%)))</f>
        <v>0</v>
      </c>
      <c r="Q327" s="162">
        <f>IF($E327="","",Input!$C$58)</f>
        <v>2.5</v>
      </c>
      <c r="R327" s="156">
        <f t="shared" si="117"/>
        <v>0.99875822058562047</v>
      </c>
      <c r="S327" s="154">
        <f t="shared" si="106"/>
        <v>2.8776311235899858E-2</v>
      </c>
      <c r="T327" s="152"/>
      <c r="U327" s="150">
        <f t="shared" si="118"/>
        <v>0</v>
      </c>
      <c r="V327" s="150">
        <f t="shared" si="119"/>
        <v>0</v>
      </c>
      <c r="W327" s="168">
        <f t="shared" si="120"/>
        <v>0</v>
      </c>
      <c r="X327" s="163">
        <f t="shared" si="107"/>
        <v>124.17794143795291</v>
      </c>
      <c r="Y327" s="152"/>
      <c r="Z327" s="164">
        <f>IF(AND($C326=12,$D326=Input!$C$6),0,IF($E327="","",V327+Z328/(1+L327)*R327))</f>
        <v>44034.427723145476</v>
      </c>
      <c r="AA327" s="164">
        <f>IF(OR($M327=1,AND($C326=12,$D326=Input!$C$6)),0,IF($E327="","",W327+(X327+AA328*$R327)/(1+$L327)))</f>
        <v>17802.066441922605</v>
      </c>
      <c r="AB327" s="160">
        <f t="shared" si="108"/>
        <v>0.825720328500681</v>
      </c>
      <c r="AC327" s="164">
        <f t="shared" si="109"/>
        <v>0</v>
      </c>
      <c r="AD327" s="164">
        <f>IF(AND($C326=12,$D326=Input!$C$6),0,IF($E327="","",$AC327+AD328/(1+$L327)*$R327))</f>
        <v>36360.122124895148</v>
      </c>
      <c r="AE327" s="152"/>
      <c r="AF327" s="164">
        <f>IF(AND($C326=12,$D326=Input!$C$6),0,IF($E327="","",IF($B327&gt;Input!$C$9,$AC327,0)+AF328/(1+$L327)*$R327))</f>
        <v>36360.122124895148</v>
      </c>
      <c r="AG327" s="164">
        <f>IF(AND($C326=12,$D326=Input!$C$6),0,IF($E327="","",(IF($B327&gt;Input!$C$9,$X327,0)+AG328)/(1+$L327)*$R327))</f>
        <v>17563.254182621335</v>
      </c>
      <c r="AH327" s="160">
        <f t="shared" si="110"/>
        <v>2.0950137211446997</v>
      </c>
      <c r="AI327" s="160">
        <f>IF($E327="","",MIN(Input!$C$61/AH327,1))</f>
        <v>0.64438718771845094</v>
      </c>
      <c r="AJ327" s="152"/>
      <c r="AK327" s="164">
        <f>IF(AND($C326=12,$D326=Input!$C$6),0,IF($E327="","",IF($B327&gt;Input!$C$9,$AC327*AI327,0)+AK328/(1+$L327)*$R327))</f>
        <v>23429.996841160631</v>
      </c>
      <c r="AL327" s="164">
        <f>IF(AND($C326=12,$D326=Input!$C$6),0,IF($E327="","",IF($B327&gt;Input!$C$9,0,$AC327)+AL328/(1+$L327)*$R327))</f>
        <v>0</v>
      </c>
      <c r="AM327" s="160">
        <f t="shared" si="111"/>
        <v>1.1382936520186004</v>
      </c>
      <c r="AN327" s="164">
        <f>IF($E327="","",IF($B327&gt;Input!$C$9,$AI327*$AC327,$AM327*$AC327))</f>
        <v>0</v>
      </c>
      <c r="AO327" s="164">
        <f>IF(AND($C326=12,$D326=Input!$C$6),0,IF($E327="","",$AN327+AO328/(1+$L327)*$R327))</f>
        <v>23429.996841160631</v>
      </c>
      <c r="AP327" s="152"/>
      <c r="AQ327" s="164">
        <f t="shared" si="112"/>
        <v>-5627.9303992380264</v>
      </c>
      <c r="AR327" s="164">
        <f t="shared" si="121"/>
        <v>-4591.5429207690877</v>
      </c>
      <c r="AS327" s="164">
        <f t="shared" si="122"/>
        <v>708.13397129186603</v>
      </c>
      <c r="AT327" s="164">
        <f t="shared" si="113"/>
        <v>708.13397129186603</v>
      </c>
      <c r="AU327" s="152"/>
      <c r="AV327" s="147">
        <f>'Deterministic Reserve'!BC327</f>
        <v>4.0339404876563879E-2</v>
      </c>
      <c r="AW327" s="164">
        <f t="shared" si="114"/>
        <v>708.13397129186603</v>
      </c>
      <c r="AX327" s="164">
        <f t="shared" si="115"/>
        <v>28.565702974791648</v>
      </c>
      <c r="AY327" s="152"/>
    </row>
    <row r="328" spans="1:51" s="150" customFormat="1" x14ac:dyDescent="0.25">
      <c r="A328" s="150">
        <f t="shared" si="123"/>
        <v>324</v>
      </c>
      <c r="B328" s="150">
        <f t="shared" si="124"/>
        <v>27</v>
      </c>
      <c r="C328" s="150">
        <f t="shared" si="125"/>
        <v>12</v>
      </c>
      <c r="D328" s="150">
        <f>IF(E328="","",Input!$C$4+B328-1)</f>
        <v>71</v>
      </c>
      <c r="E328" s="150">
        <f>IF(OR(AND(C327=12,D327=Input!$C$6),E327=""),"",1)</f>
        <v>1</v>
      </c>
      <c r="F328" s="150">
        <f>IF(E328="","",Input!$C$8+B328-1)</f>
        <v>2044</v>
      </c>
      <c r="G328" s="151">
        <f>IF(E328="","",MAX(0,Input!$C$9-B328))</f>
        <v>0</v>
      </c>
      <c r="H328" s="152">
        <f>IF(E328="","",Input!$C$3)</f>
        <v>100000</v>
      </c>
      <c r="I328" s="153">
        <f>IF(E328="","",HLOOKUP($B328,Input!$C$13:$BT$14,2))</f>
        <v>36.260000000000005</v>
      </c>
      <c r="J328" s="154"/>
      <c r="K328" s="155">
        <f>IF($E328="","",Input!$C$57)</f>
        <v>4.4999999999999998E-2</v>
      </c>
      <c r="L328" s="155">
        <f t="shared" si="116"/>
        <v>3.6748094004368514E-3</v>
      </c>
      <c r="M328" s="147">
        <f>IF($E328="","",VLOOKUP(IF($B328&lt;=Input!$C$7,$B328,26),'Mortality Tables'!$A$72:$CA$97,IF($B328&lt;=Input!$C$7+1,Input!$C$4-16,$D328-Input!$C$7-16),0)/1000)</f>
        <v>1.4800000000000001E-2</v>
      </c>
      <c r="N328" s="147">
        <f t="shared" si="105"/>
        <v>1.2417794143795291E-3</v>
      </c>
      <c r="O328" s="157">
        <f>IF($E328="","",IF($C328=12,IF($B328&lt;Input!$C$9,Input!$C$54,IF($B328=Input!$C$9,Input!$C$55,Input!$C$56)),0%))</f>
        <v>0.1</v>
      </c>
      <c r="P328" s="167">
        <f>IF($E328="","",IF($B328=1,Input!$C$59,IF($B328&lt;6,Input!$C$60,0%)))</f>
        <v>0</v>
      </c>
      <c r="Q328" s="162">
        <f>IF($E328="","",Input!$C$58)</f>
        <v>2.5</v>
      </c>
      <c r="R328" s="156">
        <f t="shared" si="117"/>
        <v>0.89875822058562049</v>
      </c>
      <c r="S328" s="154">
        <f t="shared" si="106"/>
        <v>2.5862946281395353E-2</v>
      </c>
      <c r="T328" s="152"/>
      <c r="U328" s="150">
        <f t="shared" si="118"/>
        <v>0</v>
      </c>
      <c r="V328" s="150">
        <f t="shared" si="119"/>
        <v>0</v>
      </c>
      <c r="W328" s="168">
        <f t="shared" si="120"/>
        <v>0</v>
      </c>
      <c r="X328" s="163">
        <f t="shared" si="107"/>
        <v>124.17794143795291</v>
      </c>
      <c r="Y328" s="152"/>
      <c r="Z328" s="164">
        <f>IF(AND($C327=12,$D327=Input!$C$6),0,IF($E328="","",V328+Z329/(1+L328)*R328))</f>
        <v>44251.196076434739</v>
      </c>
      <c r="AA328" s="164">
        <f>IF(OR($M328=1,AND($C327=12,$D327=Input!$C$6)),0,IF($E328="","",W328+(X328+AA329*$R328)/(1+$L328)))</f>
        <v>17765.368370323769</v>
      </c>
      <c r="AB328" s="160">
        <f t="shared" si="108"/>
        <v>0.825720328500681</v>
      </c>
      <c r="AC328" s="164">
        <f t="shared" si="109"/>
        <v>0</v>
      </c>
      <c r="AD328" s="164">
        <f>IF(AND($C327=12,$D327=Input!$C$6),0,IF($E328="","",$AC328+AD329/(1+$L328)*$R328))</f>
        <v>36539.112160781711</v>
      </c>
      <c r="AE328" s="152"/>
      <c r="AF328" s="164">
        <f>IF(AND($C327=12,$D327=Input!$C$6),0,IF($E328="","",IF($B328&gt;Input!$C$9,$AC328,0)+AF329/(1+$L328)*$R328))</f>
        <v>36539.112160781711</v>
      </c>
      <c r="AG328" s="164">
        <f>IF(AND($C327=12,$D327=Input!$C$6),0,IF($E328="","",(IF($B328&gt;Input!$C$9,$X328,0)+AG329)/(1+$L328)*$R328))</f>
        <v>17525.534902835669</v>
      </c>
      <c r="AH328" s="160">
        <f t="shared" si="110"/>
        <v>2.0950137211446997</v>
      </c>
      <c r="AI328" s="160">
        <f>IF($E328="","",MIN(Input!$C$61/AH328,1))</f>
        <v>0.64438718771845094</v>
      </c>
      <c r="AJ328" s="152"/>
      <c r="AK328" s="164">
        <f>IF(AND($C327=12,$D327=Input!$C$6),0,IF($E328="","",IF($B328&gt;Input!$C$9,$AC328*AI328,0)+AK329/(1+$L328)*$R328))</f>
        <v>23545.335727015197</v>
      </c>
      <c r="AL328" s="164">
        <f>IF(AND($C327=12,$D327=Input!$C$6),0,IF($E328="","",IF($B328&gt;Input!$C$9,0,$AC328)+AL329/(1+$L328)*$R328))</f>
        <v>0</v>
      </c>
      <c r="AM328" s="160">
        <f t="shared" si="111"/>
        <v>1.1382936520186004</v>
      </c>
      <c r="AN328" s="164">
        <f>IF($E328="","",IF($B328&gt;Input!$C$9,$AI328*$AC328,$AM328*$AC328))</f>
        <v>0</v>
      </c>
      <c r="AO328" s="164">
        <f>IF(AND($C327=12,$D327=Input!$C$6),0,IF($E328="","",$AN328+AO329/(1+$L328)*$R328))</f>
        <v>23545.335727015197</v>
      </c>
      <c r="AP328" s="152"/>
      <c r="AQ328" s="164">
        <f t="shared" si="112"/>
        <v>-5779.967356691428</v>
      </c>
      <c r="AR328" s="164">
        <f t="shared" si="121"/>
        <v>-4591.5429207690877</v>
      </c>
      <c r="AS328" s="164">
        <f t="shared" si="122"/>
        <v>708.13397129186603</v>
      </c>
      <c r="AT328" s="164">
        <f t="shared" si="113"/>
        <v>708.13397129186603</v>
      </c>
      <c r="AU328" s="152"/>
      <c r="AV328" s="147">
        <f>'Deterministic Reserve'!BC328</f>
        <v>3.618354212901477E-2</v>
      </c>
      <c r="AW328" s="164">
        <f t="shared" si="114"/>
        <v>708.13397129186603</v>
      </c>
      <c r="AX328" s="164">
        <f t="shared" si="115"/>
        <v>25.622795383225771</v>
      </c>
      <c r="AY328" s="152"/>
    </row>
    <row r="329" spans="1:51" s="150" customFormat="1" x14ac:dyDescent="0.25">
      <c r="A329" s="150">
        <f t="shared" si="123"/>
        <v>325</v>
      </c>
      <c r="B329" s="150">
        <f t="shared" si="124"/>
        <v>28</v>
      </c>
      <c r="C329" s="150">
        <f t="shared" si="125"/>
        <v>1</v>
      </c>
      <c r="D329" s="150">
        <f>IF(E329="","",Input!$C$4+B329-1)</f>
        <v>72</v>
      </c>
      <c r="E329" s="150">
        <f>IF(OR(AND(C328=12,D328=Input!$C$6),E328=""),"",1)</f>
        <v>1</v>
      </c>
      <c r="F329" s="150">
        <f>IF(E329="","",Input!$C$8+B329-1)</f>
        <v>2045</v>
      </c>
      <c r="G329" s="151">
        <f>IF(E329="","",MAX(0,Input!$C$9-B329))</f>
        <v>0</v>
      </c>
      <c r="H329" s="152">
        <f>IF(E329="","",Input!$C$3)</f>
        <v>100000</v>
      </c>
      <c r="I329" s="153">
        <f>IF(E329="","",HLOOKUP($B329,Input!$C$13:$BT$14,2))</f>
        <v>40.914999999999999</v>
      </c>
      <c r="J329" s="154"/>
      <c r="K329" s="155">
        <f>IF($E329="","",Input!$C$57)</f>
        <v>4.4999999999999998E-2</v>
      </c>
      <c r="L329" s="155">
        <f t="shared" si="116"/>
        <v>3.6748094004368514E-3</v>
      </c>
      <c r="M329" s="147">
        <f>IF($E329="","",VLOOKUP(IF($B329&lt;=Input!$C$7,$B329,26),'Mortality Tables'!$A$72:$CA$97,IF($B329&lt;=Input!$C$7+1,Input!$C$4-16,$D329-Input!$C$7-16),0)/1000)</f>
        <v>1.67E-2</v>
      </c>
      <c r="N329" s="147">
        <f t="shared" si="105"/>
        <v>1.402433769017275E-3</v>
      </c>
      <c r="O329" s="157">
        <f>IF($E329="","",IF($C329=12,IF($B329&lt;Input!$C$9,Input!$C$54,IF($B329=Input!$C$9,Input!$C$55,Input!$C$56)),0%))</f>
        <v>0</v>
      </c>
      <c r="P329" s="167">
        <f>IF($E329="","",IF($B329=1,Input!$C$59,IF($B329&lt;6,Input!$C$60,0%)))</f>
        <v>0</v>
      </c>
      <c r="Q329" s="162">
        <f>IF($E329="","",Input!$C$58)</f>
        <v>2.5</v>
      </c>
      <c r="R329" s="156">
        <f t="shared" si="117"/>
        <v>0.99859756623098272</v>
      </c>
      <c r="S329" s="154">
        <f t="shared" si="106"/>
        <v>2.5826675212164044E-2</v>
      </c>
      <c r="T329" s="152"/>
      <c r="U329" s="150">
        <f t="shared" si="118"/>
        <v>4091.5</v>
      </c>
      <c r="V329" s="150">
        <f t="shared" si="119"/>
        <v>4091.5</v>
      </c>
      <c r="W329" s="168">
        <f t="shared" si="120"/>
        <v>0</v>
      </c>
      <c r="X329" s="163">
        <f t="shared" si="107"/>
        <v>140.24337690172752</v>
      </c>
      <c r="Y329" s="152"/>
      <c r="Z329" s="164">
        <f>IF(AND($C328=12,$D328=Input!$C$6),0,IF($E329="","",V329+Z330/(1+L329)*R329))</f>
        <v>49416.861810529503</v>
      </c>
      <c r="AA329" s="164">
        <f>IF(OR($M329=1,AND($C328=12,$D328=Input!$C$6)),0,IF($E329="","",W329+(X329+AA330*$R329)/(1+$L329)))</f>
        <v>19701.043468662767</v>
      </c>
      <c r="AB329" s="160">
        <f t="shared" si="108"/>
        <v>0.825720328500681</v>
      </c>
      <c r="AC329" s="164">
        <f t="shared" si="109"/>
        <v>3378.4347240605362</v>
      </c>
      <c r="AD329" s="164">
        <f>IF(AND($C328=12,$D328=Input!$C$6),0,IF($E329="","",$AC329+AD330/(1+$L329)*$R329))</f>
        <v>40804.507367663144</v>
      </c>
      <c r="AE329" s="152"/>
      <c r="AF329" s="164">
        <f>IF(AND($C328=12,$D328=Input!$C$6),0,IF($E329="","",IF($B329&gt;Input!$C$9,$AC329,0)+AF330/(1+$L329)*$R329))</f>
        <v>40804.507367663144</v>
      </c>
      <c r="AG329" s="164">
        <f>IF(AND($C328=12,$D328=Input!$C$6),0,IF($E329="","",(IF($B329&gt;Input!$C$9,$X329,0)+AG330)/(1+$L329)*$R329))</f>
        <v>19447.201212994583</v>
      </c>
      <c r="AH329" s="160">
        <f t="shared" si="110"/>
        <v>2.0950137211446997</v>
      </c>
      <c r="AI329" s="160">
        <f>IF($E329="","",MIN(Input!$C$61/AH329,1))</f>
        <v>0.64438718771845094</v>
      </c>
      <c r="AJ329" s="152"/>
      <c r="AK329" s="164">
        <f>IF(AND($C328=12,$D328=Input!$C$6),0,IF($E329="","",IF($B329&gt;Input!$C$9,$AC329*AI329,0)+AK330/(1+$L329)*$R329))</f>
        <v>26293.901748885288</v>
      </c>
      <c r="AL329" s="164">
        <f>IF(AND($C328=12,$D328=Input!$C$6),0,IF($E329="","",IF($B329&gt;Input!$C$9,0,$AC329)+AL330/(1+$L329)*$R329))</f>
        <v>0</v>
      </c>
      <c r="AM329" s="160">
        <f t="shared" si="111"/>
        <v>1.1382936520186004</v>
      </c>
      <c r="AN329" s="164">
        <f>IF($E329="","",IF($B329&gt;Input!$C$9,$AI329*$AC329,$AM329*$AC329))</f>
        <v>2177.0200507277295</v>
      </c>
      <c r="AO329" s="164">
        <f>IF(AND($C328=12,$D328=Input!$C$6),0,IF($E329="","",$AN329+AO330/(1+$L329)*$R329))</f>
        <v>26293.901748885288</v>
      </c>
      <c r="AP329" s="152"/>
      <c r="AQ329" s="164">
        <f t="shared" si="112"/>
        <v>-6592.858280222521</v>
      </c>
      <c r="AR329" s="164">
        <f t="shared" si="121"/>
        <v>-4928.4259314934425</v>
      </c>
      <c r="AS329" s="164">
        <f t="shared" si="122"/>
        <v>799.04306220095702</v>
      </c>
      <c r="AT329" s="164">
        <f t="shared" si="113"/>
        <v>799.04306220095702</v>
      </c>
      <c r="AU329" s="152"/>
      <c r="AV329" s="147">
        <f>'Deterministic Reserve'!BC329</f>
        <v>3.6060425149519917E-2</v>
      </c>
      <c r="AW329" s="164">
        <f t="shared" si="114"/>
        <v>799.04306220095702</v>
      </c>
      <c r="AX329" s="164">
        <f t="shared" si="115"/>
        <v>28.813832535740797</v>
      </c>
      <c r="AY329" s="152"/>
    </row>
    <row r="330" spans="1:51" s="150" customFormat="1" x14ac:dyDescent="0.25">
      <c r="A330" s="150">
        <f t="shared" si="123"/>
        <v>326</v>
      </c>
      <c r="B330" s="150">
        <f t="shared" si="124"/>
        <v>28</v>
      </c>
      <c r="C330" s="150">
        <f t="shared" si="125"/>
        <v>2</v>
      </c>
      <c r="D330" s="150">
        <f>IF(E330="","",Input!$C$4+B330-1)</f>
        <v>72</v>
      </c>
      <c r="E330" s="150">
        <f>IF(OR(AND(C329=12,D329=Input!$C$6),E329=""),"",1)</f>
        <v>1</v>
      </c>
      <c r="F330" s="150">
        <f>IF(E330="","",Input!$C$8+B330-1)</f>
        <v>2045</v>
      </c>
      <c r="G330" s="151">
        <f>IF(E330="","",MAX(0,Input!$C$9-B330))</f>
        <v>0</v>
      </c>
      <c r="H330" s="152">
        <f>IF(E330="","",Input!$C$3)</f>
        <v>100000</v>
      </c>
      <c r="I330" s="153">
        <f>IF(E330="","",HLOOKUP($B330,Input!$C$13:$BT$14,2))</f>
        <v>40.914999999999999</v>
      </c>
      <c r="J330" s="154"/>
      <c r="K330" s="155">
        <f>IF($E330="","",Input!$C$57)</f>
        <v>4.4999999999999998E-2</v>
      </c>
      <c r="L330" s="155">
        <f t="shared" si="116"/>
        <v>3.6748094004368514E-3</v>
      </c>
      <c r="M330" s="147">
        <f>IF($E330="","",VLOOKUP(IF($B330&lt;=Input!$C$7,$B330,26),'Mortality Tables'!$A$72:$CA$97,IF($B330&lt;=Input!$C$7+1,Input!$C$4-16,$D330-Input!$C$7-16),0)/1000)</f>
        <v>1.67E-2</v>
      </c>
      <c r="N330" s="147">
        <f t="shared" si="105"/>
        <v>1.402433769017275E-3</v>
      </c>
      <c r="O330" s="157">
        <f>IF($E330="","",IF($C330=12,IF($B330&lt;Input!$C$9,Input!$C$54,IF($B330=Input!$C$9,Input!$C$55,Input!$C$56)),0%))</f>
        <v>0</v>
      </c>
      <c r="P330" s="167">
        <f>IF($E330="","",IF($B330=1,Input!$C$59,IF($B330&lt;6,Input!$C$60,0%)))</f>
        <v>0</v>
      </c>
      <c r="Q330" s="162">
        <f>IF($E330="","",Input!$C$58)</f>
        <v>2.5</v>
      </c>
      <c r="R330" s="156">
        <f t="shared" si="117"/>
        <v>0.99859756623098272</v>
      </c>
      <c r="S330" s="154">
        <f t="shared" si="106"/>
        <v>2.5790455010705062E-2</v>
      </c>
      <c r="T330" s="152"/>
      <c r="U330" s="150">
        <f t="shared" si="118"/>
        <v>0</v>
      </c>
      <c r="V330" s="150">
        <f t="shared" si="119"/>
        <v>0</v>
      </c>
      <c r="W330" s="168">
        <f t="shared" si="120"/>
        <v>0</v>
      </c>
      <c r="X330" s="163">
        <f t="shared" si="107"/>
        <v>140.24337690172752</v>
      </c>
      <c r="Y330" s="152"/>
      <c r="Z330" s="164">
        <f>IF(AND($C329=12,$D329=Input!$C$6),0,IF($E330="","",V330+Z331/(1+L330)*R330))</f>
        <v>45555.812886556174</v>
      </c>
      <c r="AA330" s="164">
        <f>IF(OR($M330=1,AND($C329=12,$D329=Input!$C$6)),0,IF($E330="","",W330+(X330+AA331*$R330)/(1+$L330)))</f>
        <v>19660.770600112599</v>
      </c>
      <c r="AB330" s="160">
        <f t="shared" si="108"/>
        <v>0.825720328500681</v>
      </c>
      <c r="AC330" s="164">
        <f t="shared" si="109"/>
        <v>0</v>
      </c>
      <c r="AD330" s="164">
        <f>IF(AND($C329=12,$D329=Input!$C$6),0,IF($E330="","",$AC330+AD331/(1+$L330)*$R330))</f>
        <v>37616.360781802694</v>
      </c>
      <c r="AE330" s="152"/>
      <c r="AF330" s="164">
        <f>IF(AND($C329=12,$D329=Input!$C$6),0,IF($E330="","",IF($B330&gt;Input!$C$9,$AC330,0)+AF331/(1+$L330)*$R330))</f>
        <v>37616.360781802694</v>
      </c>
      <c r="AG330" s="164">
        <f>IF(AND($C329=12,$D329=Input!$C$6),0,IF($E330="","",(IF($B330&gt;Input!$C$9,$X330,0)+AG331)/(1+$L330)*$R330))</f>
        <v>19405.834673832756</v>
      </c>
      <c r="AH330" s="160">
        <f t="shared" si="110"/>
        <v>2.0950137211446997</v>
      </c>
      <c r="AI330" s="160">
        <f>IF($E330="","",MIN(Input!$C$61/AH330,1))</f>
        <v>0.64438718771845094</v>
      </c>
      <c r="AJ330" s="152"/>
      <c r="AK330" s="164">
        <f>IF(AND($C329=12,$D329=Input!$C$6),0,IF($E330="","",IF($B330&gt;Input!$C$9,$AC330*AI330,0)+AK331/(1+$L330)*$R330))</f>
        <v>24239.500936388489</v>
      </c>
      <c r="AL330" s="164">
        <f>IF(AND($C329=12,$D329=Input!$C$6),0,IF($E330="","",IF($B330&gt;Input!$C$9,0,$AC330)+AL331/(1+$L330)*$R330))</f>
        <v>0</v>
      </c>
      <c r="AM330" s="160">
        <f t="shared" si="111"/>
        <v>1.1382936520186004</v>
      </c>
      <c r="AN330" s="164">
        <f>IF($E330="","",IF($B330&gt;Input!$C$9,$AI330*$AC330,$AM330*$AC330))</f>
        <v>0</v>
      </c>
      <c r="AO330" s="164">
        <f>IF(AND($C329=12,$D329=Input!$C$6),0,IF($E330="","",$AN330+AO331/(1+$L330)*$R330))</f>
        <v>24239.500936388489</v>
      </c>
      <c r="AP330" s="152"/>
      <c r="AQ330" s="164">
        <f t="shared" si="112"/>
        <v>-4578.7303362758903</v>
      </c>
      <c r="AR330" s="164">
        <f t="shared" si="121"/>
        <v>-4928.4259314934425</v>
      </c>
      <c r="AS330" s="164">
        <f t="shared" si="122"/>
        <v>799.04306220095702</v>
      </c>
      <c r="AT330" s="164">
        <f t="shared" si="113"/>
        <v>799.04306220095702</v>
      </c>
      <c r="AU330" s="152"/>
      <c r="AV330" s="147">
        <f>'Deterministic Reserve'!BC330</f>
        <v>3.5937727083977321E-2</v>
      </c>
      <c r="AW330" s="164">
        <f t="shared" si="114"/>
        <v>799.04306220095702</v>
      </c>
      <c r="AX330" s="164">
        <f t="shared" si="115"/>
        <v>28.715791497723508</v>
      </c>
      <c r="AY330" s="152"/>
    </row>
    <row r="331" spans="1:51" s="150" customFormat="1" x14ac:dyDescent="0.25">
      <c r="A331" s="150">
        <f t="shared" si="123"/>
        <v>327</v>
      </c>
      <c r="B331" s="150">
        <f t="shared" si="124"/>
        <v>28</v>
      </c>
      <c r="C331" s="150">
        <f t="shared" si="125"/>
        <v>3</v>
      </c>
      <c r="D331" s="150">
        <f>IF(E331="","",Input!$C$4+B331-1)</f>
        <v>72</v>
      </c>
      <c r="E331" s="150">
        <f>IF(OR(AND(C330=12,D330=Input!$C$6),E330=""),"",1)</f>
        <v>1</v>
      </c>
      <c r="F331" s="150">
        <f>IF(E331="","",Input!$C$8+B331-1)</f>
        <v>2045</v>
      </c>
      <c r="G331" s="151">
        <f>IF(E331="","",MAX(0,Input!$C$9-B331))</f>
        <v>0</v>
      </c>
      <c r="H331" s="152">
        <f>IF(E331="","",Input!$C$3)</f>
        <v>100000</v>
      </c>
      <c r="I331" s="153">
        <f>IF(E331="","",HLOOKUP($B331,Input!$C$13:$BT$14,2))</f>
        <v>40.914999999999999</v>
      </c>
      <c r="J331" s="154"/>
      <c r="K331" s="155">
        <f>IF($E331="","",Input!$C$57)</f>
        <v>4.4999999999999998E-2</v>
      </c>
      <c r="L331" s="155">
        <f t="shared" si="116"/>
        <v>3.6748094004368514E-3</v>
      </c>
      <c r="M331" s="147">
        <f>IF($E331="","",VLOOKUP(IF($B331&lt;=Input!$C$7,$B331,26),'Mortality Tables'!$A$72:$CA$97,IF($B331&lt;=Input!$C$7+1,Input!$C$4-16,$D331-Input!$C$7-16),0)/1000)</f>
        <v>1.67E-2</v>
      </c>
      <c r="N331" s="147">
        <f t="shared" si="105"/>
        <v>1.402433769017275E-3</v>
      </c>
      <c r="O331" s="157">
        <f>IF($E331="","",IF($C331=12,IF($B331&lt;Input!$C$9,Input!$C$54,IF($B331=Input!$C$9,Input!$C$55,Input!$C$56)),0%))</f>
        <v>0</v>
      </c>
      <c r="P331" s="167">
        <f>IF($E331="","",IF($B331=1,Input!$C$59,IF($B331&lt;6,Input!$C$60,0%)))</f>
        <v>0</v>
      </c>
      <c r="Q331" s="162">
        <f>IF($E331="","",Input!$C$58)</f>
        <v>2.5</v>
      </c>
      <c r="R331" s="156">
        <f t="shared" si="117"/>
        <v>0.99859756623098272</v>
      </c>
      <c r="S331" s="154">
        <f t="shared" si="106"/>
        <v>2.5754285605679727E-2</v>
      </c>
      <c r="T331" s="152"/>
      <c r="U331" s="150">
        <f t="shared" si="118"/>
        <v>0</v>
      </c>
      <c r="V331" s="150">
        <f t="shared" si="119"/>
        <v>0</v>
      </c>
      <c r="W331" s="168">
        <f t="shared" si="120"/>
        <v>0</v>
      </c>
      <c r="X331" s="163">
        <f t="shared" si="107"/>
        <v>140.24337690172752</v>
      </c>
      <c r="Y331" s="152"/>
      <c r="Z331" s="164">
        <f>IF(AND($C330=12,$D330=Input!$C$6),0,IF($E331="","",V331+Z332/(1+L331)*R331))</f>
        <v>45787.435661965283</v>
      </c>
      <c r="AA331" s="164">
        <f>IF(OR($M331=1,AND($C330=12,$D330=Input!$C$6)),0,IF($E331="","",W331+(X331+AA332*$R331)/(1+$L331)))</f>
        <v>19620.292969250087</v>
      </c>
      <c r="AB331" s="160">
        <f t="shared" si="108"/>
        <v>0.825720328500681</v>
      </c>
      <c r="AC331" s="164">
        <f t="shared" si="109"/>
        <v>0</v>
      </c>
      <c r="AD331" s="164">
        <f>IF(AND($C330=12,$D330=Input!$C$6),0,IF($E331="","",$AC331+AD332/(1+$L331)*$R331))</f>
        <v>37807.616416001736</v>
      </c>
      <c r="AE331" s="152"/>
      <c r="AF331" s="164">
        <f>IF(AND($C330=12,$D330=Input!$C$6),0,IF($E331="","",IF($B331&gt;Input!$C$9,$AC331,0)+AF332/(1+$L331)*$R331))</f>
        <v>37807.616416001736</v>
      </c>
      <c r="AG331" s="164">
        <f>IF(AND($C330=12,$D330=Input!$C$6),0,IF($E331="","",(IF($B331&gt;Input!$C$9,$X331,0)+AG332)/(1+$L331)*$R331))</f>
        <v>19364.257811728527</v>
      </c>
      <c r="AH331" s="160">
        <f t="shared" si="110"/>
        <v>2.0950137211446997</v>
      </c>
      <c r="AI331" s="160">
        <f>IF($E331="","",MIN(Input!$C$61/AH331,1))</f>
        <v>0.64438718771845094</v>
      </c>
      <c r="AJ331" s="152"/>
      <c r="AK331" s="164">
        <f>IF(AND($C330=12,$D330=Input!$C$6),0,IF($E331="","",IF($B331&gt;Input!$C$9,$AC331*AI331,0)+AK332/(1+$L331)*$R331))</f>
        <v>24362.743616645319</v>
      </c>
      <c r="AL331" s="164">
        <f>IF(AND($C330=12,$D330=Input!$C$6),0,IF($E331="","",IF($B331&gt;Input!$C$9,0,$AC331)+AL332/(1+$L331)*$R331))</f>
        <v>0</v>
      </c>
      <c r="AM331" s="160">
        <f t="shared" si="111"/>
        <v>1.1382936520186004</v>
      </c>
      <c r="AN331" s="164">
        <f>IF($E331="","",IF($B331&gt;Input!$C$9,$AI331*$AC331,$AM331*$AC331))</f>
        <v>0</v>
      </c>
      <c r="AO331" s="164">
        <f>IF(AND($C330=12,$D330=Input!$C$6),0,IF($E331="","",$AN331+AO332/(1+$L331)*$R331))</f>
        <v>24362.743616645319</v>
      </c>
      <c r="AP331" s="152"/>
      <c r="AQ331" s="164">
        <f t="shared" si="112"/>
        <v>-4742.4506473952315</v>
      </c>
      <c r="AR331" s="164">
        <f t="shared" si="121"/>
        <v>-4928.4259314934425</v>
      </c>
      <c r="AS331" s="164">
        <f t="shared" si="122"/>
        <v>799.04306220095702</v>
      </c>
      <c r="AT331" s="164">
        <f t="shared" si="113"/>
        <v>799.04306220095702</v>
      </c>
      <c r="AU331" s="152"/>
      <c r="AV331" s="147">
        <f>'Deterministic Reserve'!BC331</f>
        <v>3.5815446507003579E-2</v>
      </c>
      <c r="AW331" s="164">
        <f t="shared" si="114"/>
        <v>799.04306220095702</v>
      </c>
      <c r="AX331" s="164">
        <f t="shared" si="115"/>
        <v>28.618084051050708</v>
      </c>
      <c r="AY331" s="152"/>
    </row>
    <row r="332" spans="1:51" s="150" customFormat="1" x14ac:dyDescent="0.25">
      <c r="A332" s="150">
        <f t="shared" si="123"/>
        <v>328</v>
      </c>
      <c r="B332" s="150">
        <f t="shared" si="124"/>
        <v>28</v>
      </c>
      <c r="C332" s="150">
        <f t="shared" si="125"/>
        <v>4</v>
      </c>
      <c r="D332" s="150">
        <f>IF(E332="","",Input!$C$4+B332-1)</f>
        <v>72</v>
      </c>
      <c r="E332" s="150">
        <f>IF(OR(AND(C331=12,D331=Input!$C$6),E331=""),"",1)</f>
        <v>1</v>
      </c>
      <c r="F332" s="150">
        <f>IF(E332="","",Input!$C$8+B332-1)</f>
        <v>2045</v>
      </c>
      <c r="G332" s="151">
        <f>IF(E332="","",MAX(0,Input!$C$9-B332))</f>
        <v>0</v>
      </c>
      <c r="H332" s="152">
        <f>IF(E332="","",Input!$C$3)</f>
        <v>100000</v>
      </c>
      <c r="I332" s="153">
        <f>IF(E332="","",HLOOKUP($B332,Input!$C$13:$BT$14,2))</f>
        <v>40.914999999999999</v>
      </c>
      <c r="J332" s="154"/>
      <c r="K332" s="155">
        <f>IF($E332="","",Input!$C$57)</f>
        <v>4.4999999999999998E-2</v>
      </c>
      <c r="L332" s="155">
        <f t="shared" si="116"/>
        <v>3.6748094004368514E-3</v>
      </c>
      <c r="M332" s="147">
        <f>IF($E332="","",VLOOKUP(IF($B332&lt;=Input!$C$7,$B332,26),'Mortality Tables'!$A$72:$CA$97,IF($B332&lt;=Input!$C$7+1,Input!$C$4-16,$D332-Input!$C$7-16),0)/1000)</f>
        <v>1.67E-2</v>
      </c>
      <c r="N332" s="147">
        <f t="shared" si="105"/>
        <v>1.402433769017275E-3</v>
      </c>
      <c r="O332" s="157">
        <f>IF($E332="","",IF($C332=12,IF($B332&lt;Input!$C$9,Input!$C$54,IF($B332=Input!$C$9,Input!$C$55,Input!$C$56)),0%))</f>
        <v>0</v>
      </c>
      <c r="P332" s="167">
        <f>IF($E332="","",IF($B332=1,Input!$C$59,IF($B332&lt;6,Input!$C$60,0%)))</f>
        <v>0</v>
      </c>
      <c r="Q332" s="162">
        <f>IF($E332="","",Input!$C$58)</f>
        <v>2.5</v>
      </c>
      <c r="R332" s="156">
        <f t="shared" si="117"/>
        <v>0.99859756623098272</v>
      </c>
      <c r="S332" s="154">
        <f t="shared" si="106"/>
        <v>2.5718166925849405E-2</v>
      </c>
      <c r="T332" s="152"/>
      <c r="U332" s="150">
        <f t="shared" si="118"/>
        <v>0</v>
      </c>
      <c r="V332" s="150">
        <f t="shared" si="119"/>
        <v>0</v>
      </c>
      <c r="W332" s="168">
        <f t="shared" si="120"/>
        <v>0</v>
      </c>
      <c r="X332" s="163">
        <f t="shared" si="107"/>
        <v>140.24337690172752</v>
      </c>
      <c r="Y332" s="152"/>
      <c r="Z332" s="164">
        <f>IF(AND($C331=12,$D331=Input!$C$6),0,IF($E332="","",V332+Z333/(1+L332)*R332))</f>
        <v>46020.236094114305</v>
      </c>
      <c r="AA332" s="164">
        <f>IF(OR($M332=1,AND($C331=12,$D331=Input!$C$6)),0,IF($E332="","",W332+(X332+AA333*$R332)/(1+$L332)))</f>
        <v>19579.609534987125</v>
      </c>
      <c r="AB332" s="160">
        <f t="shared" si="108"/>
        <v>0.825720328500681</v>
      </c>
      <c r="AC332" s="164">
        <f t="shared" si="109"/>
        <v>0</v>
      </c>
      <c r="AD332" s="164">
        <f>IF(AND($C331=12,$D331=Input!$C$6),0,IF($E332="","",$AC332+AD333/(1+$L332)*$R332))</f>
        <v>37999.844465310925</v>
      </c>
      <c r="AE332" s="152"/>
      <c r="AF332" s="164">
        <f>IF(AND($C331=12,$D331=Input!$C$6),0,IF($E332="","",IF($B332&gt;Input!$C$9,$AC332,0)+AF333/(1+$L332)*$R332))</f>
        <v>37999.844465310925</v>
      </c>
      <c r="AG332" s="164">
        <f>IF(AND($C331=12,$D331=Input!$C$6),0,IF($E332="","",(IF($B332&gt;Input!$C$9,$X332,0)+AG333)/(1+$L332)*$R332))</f>
        <v>19322.469557321467</v>
      </c>
      <c r="AH332" s="160">
        <f t="shared" si="110"/>
        <v>2.0950137211446997</v>
      </c>
      <c r="AI332" s="160">
        <f>IF($E332="","",MIN(Input!$C$61/AH332,1))</f>
        <v>0.64438718771845094</v>
      </c>
      <c r="AJ332" s="152"/>
      <c r="AK332" s="164">
        <f>IF(AND($C331=12,$D331=Input!$C$6),0,IF($E332="","",IF($B332&gt;Input!$C$9,$AC332*AI332,0)+AK333/(1+$L332)*$R332))</f>
        <v>24486.61290874027</v>
      </c>
      <c r="AL332" s="164">
        <f>IF(AND($C331=12,$D331=Input!$C$6),0,IF($E332="","",IF($B332&gt;Input!$C$9,0,$AC332)+AL333/(1+$L332)*$R332))</f>
        <v>0</v>
      </c>
      <c r="AM332" s="160">
        <f t="shared" si="111"/>
        <v>1.1382936520186004</v>
      </c>
      <c r="AN332" s="164">
        <f>IF($E332="","",IF($B332&gt;Input!$C$9,$AI332*$AC332,$AM332*$AC332))</f>
        <v>0</v>
      </c>
      <c r="AO332" s="164">
        <f>IF(AND($C331=12,$D331=Input!$C$6),0,IF($E332="","",$AN332+AO333/(1+$L332)*$R332))</f>
        <v>24486.61290874027</v>
      </c>
      <c r="AP332" s="152"/>
      <c r="AQ332" s="164">
        <f t="shared" si="112"/>
        <v>-4907.0033737531448</v>
      </c>
      <c r="AR332" s="164">
        <f t="shared" si="121"/>
        <v>-4928.4259314934425</v>
      </c>
      <c r="AS332" s="164">
        <f t="shared" si="122"/>
        <v>799.04306220095702</v>
      </c>
      <c r="AT332" s="164">
        <f t="shared" si="113"/>
        <v>799.04306220095702</v>
      </c>
      <c r="AU332" s="152"/>
      <c r="AV332" s="147">
        <f>'Deterministic Reserve'!BC332</f>
        <v>3.5693581998065251E-2</v>
      </c>
      <c r="AW332" s="164">
        <f t="shared" si="114"/>
        <v>799.04306220095702</v>
      </c>
      <c r="AX332" s="164">
        <f t="shared" si="115"/>
        <v>28.520709060655012</v>
      </c>
      <c r="AY332" s="152"/>
    </row>
    <row r="333" spans="1:51" s="150" customFormat="1" x14ac:dyDescent="0.25">
      <c r="A333" s="150">
        <f t="shared" si="123"/>
        <v>329</v>
      </c>
      <c r="B333" s="150">
        <f t="shared" si="124"/>
        <v>28</v>
      </c>
      <c r="C333" s="150">
        <f t="shared" si="125"/>
        <v>5</v>
      </c>
      <c r="D333" s="150">
        <f>IF(E333="","",Input!$C$4+B333-1)</f>
        <v>72</v>
      </c>
      <c r="E333" s="150">
        <f>IF(OR(AND(C332=12,D332=Input!$C$6),E332=""),"",1)</f>
        <v>1</v>
      </c>
      <c r="F333" s="150">
        <f>IF(E333="","",Input!$C$8+B333-1)</f>
        <v>2045</v>
      </c>
      <c r="G333" s="151">
        <f>IF(E333="","",MAX(0,Input!$C$9-B333))</f>
        <v>0</v>
      </c>
      <c r="H333" s="152">
        <f>IF(E333="","",Input!$C$3)</f>
        <v>100000</v>
      </c>
      <c r="I333" s="153">
        <f>IF(E333="","",HLOOKUP($B333,Input!$C$13:$BT$14,2))</f>
        <v>40.914999999999999</v>
      </c>
      <c r="J333" s="154"/>
      <c r="K333" s="155">
        <f>IF($E333="","",Input!$C$57)</f>
        <v>4.4999999999999998E-2</v>
      </c>
      <c r="L333" s="155">
        <f t="shared" si="116"/>
        <v>3.6748094004368514E-3</v>
      </c>
      <c r="M333" s="147">
        <f>IF($E333="","",VLOOKUP(IF($B333&lt;=Input!$C$7,$B333,26),'Mortality Tables'!$A$72:$CA$97,IF($B333&lt;=Input!$C$7+1,Input!$C$4-16,$D333-Input!$C$7-16),0)/1000)</f>
        <v>1.67E-2</v>
      </c>
      <c r="N333" s="147">
        <f t="shared" si="105"/>
        <v>1.402433769017275E-3</v>
      </c>
      <c r="O333" s="157">
        <f>IF($E333="","",IF($C333=12,IF($B333&lt;Input!$C$9,Input!$C$54,IF($B333=Input!$C$9,Input!$C$55,Input!$C$56)),0%))</f>
        <v>0</v>
      </c>
      <c r="P333" s="167">
        <f>IF($E333="","",IF($B333=1,Input!$C$59,IF($B333&lt;6,Input!$C$60,0%)))</f>
        <v>0</v>
      </c>
      <c r="Q333" s="162">
        <f>IF($E333="","",Input!$C$58)</f>
        <v>2.5</v>
      </c>
      <c r="R333" s="156">
        <f t="shared" si="117"/>
        <v>0.99859756623098272</v>
      </c>
      <c r="S333" s="154">
        <f t="shared" si="106"/>
        <v>2.5682098900075369E-2</v>
      </c>
      <c r="T333" s="152"/>
      <c r="U333" s="150">
        <f t="shared" si="118"/>
        <v>0</v>
      </c>
      <c r="V333" s="150">
        <f t="shared" si="119"/>
        <v>0</v>
      </c>
      <c r="W333" s="168">
        <f t="shared" si="120"/>
        <v>0</v>
      </c>
      <c r="X333" s="163">
        <f t="shared" si="107"/>
        <v>140.24337690172752</v>
      </c>
      <c r="Y333" s="152"/>
      <c r="Z333" s="164">
        <f>IF(AND($C332=12,$D332=Input!$C$6),0,IF($E333="","",V333+Z334/(1+L333)*R333))</f>
        <v>46254.220170650158</v>
      </c>
      <c r="AA333" s="164">
        <f>IF(OR($M333=1,AND($C332=12,$D332=Input!$C$6)),0,IF($E333="","",W333+(X333+AA334*$R333)/(1+$L333)))</f>
        <v>19538.719250942322</v>
      </c>
      <c r="AB333" s="160">
        <f t="shared" si="108"/>
        <v>0.825720328500681</v>
      </c>
      <c r="AC333" s="164">
        <f t="shared" si="109"/>
        <v>0</v>
      </c>
      <c r="AD333" s="164">
        <f>IF(AND($C332=12,$D332=Input!$C$6),0,IF($E333="","",$AC333+AD334/(1+$L333)*$R333))</f>
        <v>38193.04987385204</v>
      </c>
      <c r="AE333" s="152"/>
      <c r="AF333" s="164">
        <f>IF(AND($C332=12,$D332=Input!$C$6),0,IF($E333="","",IF($B333&gt;Input!$C$9,$AC333,0)+AF334/(1+$L333)*$R333))</f>
        <v>38193.04987385204</v>
      </c>
      <c r="AG333" s="164">
        <f>IF(AND($C332=12,$D332=Input!$C$6),0,IF($E333="","",(IF($B333&gt;Input!$C$9,$X333,0)+AG334)/(1+$L333)*$R333))</f>
        <v>19280.468835814117</v>
      </c>
      <c r="AH333" s="160">
        <f t="shared" si="110"/>
        <v>2.0950137211446997</v>
      </c>
      <c r="AI333" s="160">
        <f>IF($E333="","",MIN(Input!$C$61/AH333,1))</f>
        <v>0.64438718771845094</v>
      </c>
      <c r="AJ333" s="152"/>
      <c r="AK333" s="164">
        <f>IF(AND($C332=12,$D332=Input!$C$6),0,IF($E333="","",IF($B333&gt;Input!$C$9,$AC333*AI333,0)+AK334/(1+$L333)*$R333))</f>
        <v>24611.111998602075</v>
      </c>
      <c r="AL333" s="164">
        <f>IF(AND($C332=12,$D332=Input!$C$6),0,IF($E333="","",IF($B333&gt;Input!$C$9,0,$AC333)+AL334/(1+$L333)*$R333))</f>
        <v>0</v>
      </c>
      <c r="AM333" s="160">
        <f t="shared" si="111"/>
        <v>1.1382936520186004</v>
      </c>
      <c r="AN333" s="164">
        <f>IF($E333="","",IF($B333&gt;Input!$C$9,$AI333*$AC333,$AM333*$AC333))</f>
        <v>0</v>
      </c>
      <c r="AO333" s="164">
        <f>IF(AND($C332=12,$D332=Input!$C$6),0,IF($E333="","",$AN333+AO334/(1+$L333)*$R333))</f>
        <v>24611.111998602075</v>
      </c>
      <c r="AP333" s="152"/>
      <c r="AQ333" s="164">
        <f t="shared" si="112"/>
        <v>-5072.3927476597528</v>
      </c>
      <c r="AR333" s="164">
        <f t="shared" si="121"/>
        <v>-4928.4259314934425</v>
      </c>
      <c r="AS333" s="164">
        <f t="shared" si="122"/>
        <v>799.04306220095702</v>
      </c>
      <c r="AT333" s="164">
        <f t="shared" si="113"/>
        <v>799.04306220095702</v>
      </c>
      <c r="AU333" s="152"/>
      <c r="AV333" s="147">
        <f>'Deterministic Reserve'!BC333</f>
        <v>3.5572132141462355E-2</v>
      </c>
      <c r="AW333" s="164">
        <f t="shared" si="114"/>
        <v>799.04306220095702</v>
      </c>
      <c r="AX333" s="164">
        <f t="shared" si="115"/>
        <v>28.423665395331167</v>
      </c>
      <c r="AY333" s="152"/>
    </row>
    <row r="334" spans="1:51" s="150" customFormat="1" x14ac:dyDescent="0.25">
      <c r="A334" s="150">
        <f t="shared" si="123"/>
        <v>330</v>
      </c>
      <c r="B334" s="150">
        <f t="shared" si="124"/>
        <v>28</v>
      </c>
      <c r="C334" s="150">
        <f t="shared" si="125"/>
        <v>6</v>
      </c>
      <c r="D334" s="150">
        <f>IF(E334="","",Input!$C$4+B334-1)</f>
        <v>72</v>
      </c>
      <c r="E334" s="150">
        <f>IF(OR(AND(C333=12,D333=Input!$C$6),E333=""),"",1)</f>
        <v>1</v>
      </c>
      <c r="F334" s="150">
        <f>IF(E334="","",Input!$C$8+B334-1)</f>
        <v>2045</v>
      </c>
      <c r="G334" s="151">
        <f>IF(E334="","",MAX(0,Input!$C$9-B334))</f>
        <v>0</v>
      </c>
      <c r="H334" s="152">
        <f>IF(E334="","",Input!$C$3)</f>
        <v>100000</v>
      </c>
      <c r="I334" s="153">
        <f>IF(E334="","",HLOOKUP($B334,Input!$C$13:$BT$14,2))</f>
        <v>40.914999999999999</v>
      </c>
      <c r="J334" s="154"/>
      <c r="K334" s="155">
        <f>IF($E334="","",Input!$C$57)</f>
        <v>4.4999999999999998E-2</v>
      </c>
      <c r="L334" s="155">
        <f t="shared" si="116"/>
        <v>3.6748094004368514E-3</v>
      </c>
      <c r="M334" s="147">
        <f>IF($E334="","",VLOOKUP(IF($B334&lt;=Input!$C$7,$B334,26),'Mortality Tables'!$A$72:$CA$97,IF($B334&lt;=Input!$C$7+1,Input!$C$4-16,$D334-Input!$C$7-16),0)/1000)</f>
        <v>1.67E-2</v>
      </c>
      <c r="N334" s="147">
        <f t="shared" si="105"/>
        <v>1.402433769017275E-3</v>
      </c>
      <c r="O334" s="157">
        <f>IF($E334="","",IF($C334=12,IF($B334&lt;Input!$C$9,Input!$C$54,IF($B334=Input!$C$9,Input!$C$55,Input!$C$56)),0%))</f>
        <v>0</v>
      </c>
      <c r="P334" s="167">
        <f>IF($E334="","",IF($B334=1,Input!$C$59,IF($B334&lt;6,Input!$C$60,0%)))</f>
        <v>0</v>
      </c>
      <c r="Q334" s="162">
        <f>IF($E334="","",Input!$C$58)</f>
        <v>2.5</v>
      </c>
      <c r="R334" s="156">
        <f t="shared" si="117"/>
        <v>0.99859756623098272</v>
      </c>
      <c r="S334" s="154">
        <f t="shared" si="106"/>
        <v>2.5646081457318663E-2</v>
      </c>
      <c r="T334" s="152"/>
      <c r="U334" s="150">
        <f t="shared" si="118"/>
        <v>0</v>
      </c>
      <c r="V334" s="150">
        <f t="shared" si="119"/>
        <v>0</v>
      </c>
      <c r="W334" s="168">
        <f t="shared" si="120"/>
        <v>0</v>
      </c>
      <c r="X334" s="163">
        <f t="shared" si="107"/>
        <v>140.24337690172752</v>
      </c>
      <c r="Y334" s="152"/>
      <c r="Z334" s="164">
        <f>IF(AND($C333=12,$D333=Input!$C$6),0,IF($E334="","",V334+Z335/(1+L334)*R334))</f>
        <v>46489.393909663195</v>
      </c>
      <c r="AA334" s="164">
        <f>IF(OR($M334=1,AND($C333=12,$D333=Input!$C$6)),0,IF($E334="","",W334+(X334+AA335*$R334)/(1+$L334)))</f>
        <v>19497.621065414096</v>
      </c>
      <c r="AB334" s="160">
        <f t="shared" si="108"/>
        <v>0.825720328500681</v>
      </c>
      <c r="AC334" s="164">
        <f t="shared" si="109"/>
        <v>0</v>
      </c>
      <c r="AD334" s="164">
        <f>IF(AND($C333=12,$D333=Input!$C$6),0,IF($E334="","",$AC334+AD335/(1+$L334)*$R334))</f>
        <v>38387.237610884622</v>
      </c>
      <c r="AE334" s="152"/>
      <c r="AF334" s="164">
        <f>IF(AND($C333=12,$D333=Input!$C$6),0,IF($E334="","",IF($B334&gt;Input!$C$9,$AC334,0)+AF335/(1+$L334)*$R334))</f>
        <v>38387.237610884622</v>
      </c>
      <c r="AG334" s="164">
        <f>IF(AND($C333=12,$D333=Input!$C$6),0,IF($E334="","",(IF($B334&gt;Input!$C$9,$X334,0)+AG335)/(1+$L334)*$R334))</f>
        <v>19238.254566944353</v>
      </c>
      <c r="AH334" s="160">
        <f t="shared" si="110"/>
        <v>2.0950137211446997</v>
      </c>
      <c r="AI334" s="160">
        <f>IF($E334="","",MIN(Input!$C$61/AH334,1))</f>
        <v>0.64438718771845094</v>
      </c>
      <c r="AJ334" s="152"/>
      <c r="AK334" s="164">
        <f>IF(AND($C333=12,$D333=Input!$C$6),0,IF($E334="","",IF($B334&gt;Input!$C$9,$AC334*AI334,0)+AK335/(1+$L334)*$R334))</f>
        <v>24736.244088357907</v>
      </c>
      <c r="AL334" s="164">
        <f>IF(AND($C333=12,$D333=Input!$C$6),0,IF($E334="","",IF($B334&gt;Input!$C$9,0,$AC334)+AL335/(1+$L334)*$R334))</f>
        <v>0</v>
      </c>
      <c r="AM334" s="160">
        <f t="shared" si="111"/>
        <v>1.1382936520186004</v>
      </c>
      <c r="AN334" s="164">
        <f>IF($E334="","",IF($B334&gt;Input!$C$9,$AI334*$AC334,$AM334*$AC334))</f>
        <v>0</v>
      </c>
      <c r="AO334" s="164">
        <f>IF(AND($C333=12,$D333=Input!$C$6),0,IF($E334="","",$AN334+AO335/(1+$L334)*$R334))</f>
        <v>24736.244088357907</v>
      </c>
      <c r="AP334" s="152"/>
      <c r="AQ334" s="164">
        <f t="shared" si="112"/>
        <v>-5238.6230229438115</v>
      </c>
      <c r="AR334" s="164">
        <f t="shared" si="121"/>
        <v>-4928.4259314934425</v>
      </c>
      <c r="AS334" s="164">
        <f t="shared" si="122"/>
        <v>799.04306220095702</v>
      </c>
      <c r="AT334" s="164">
        <f t="shared" si="113"/>
        <v>799.04306220095702</v>
      </c>
      <c r="AU334" s="152"/>
      <c r="AV334" s="147">
        <f>'Deterministic Reserve'!BC334</f>
        <v>3.5451095526311933E-2</v>
      </c>
      <c r="AW334" s="164">
        <f t="shared" si="114"/>
        <v>799.04306220095702</v>
      </c>
      <c r="AX334" s="164">
        <f t="shared" si="115"/>
        <v>28.326951927722934</v>
      </c>
      <c r="AY334" s="152"/>
    </row>
    <row r="335" spans="1:51" s="150" customFormat="1" x14ac:dyDescent="0.25">
      <c r="A335" s="150">
        <f t="shared" si="123"/>
        <v>331</v>
      </c>
      <c r="B335" s="150">
        <f t="shared" si="124"/>
        <v>28</v>
      </c>
      <c r="C335" s="150">
        <f t="shared" si="125"/>
        <v>7</v>
      </c>
      <c r="D335" s="150">
        <f>IF(E335="","",Input!$C$4+B335-1)</f>
        <v>72</v>
      </c>
      <c r="E335" s="150">
        <f>IF(OR(AND(C334=12,D334=Input!$C$6),E334=""),"",1)</f>
        <v>1</v>
      </c>
      <c r="F335" s="150">
        <f>IF(E335="","",Input!$C$8+B335-1)</f>
        <v>2045</v>
      </c>
      <c r="G335" s="151">
        <f>IF(E335="","",MAX(0,Input!$C$9-B335))</f>
        <v>0</v>
      </c>
      <c r="H335" s="152">
        <f>IF(E335="","",Input!$C$3)</f>
        <v>100000</v>
      </c>
      <c r="I335" s="153">
        <f>IF(E335="","",HLOOKUP($B335,Input!$C$13:$BT$14,2))</f>
        <v>40.914999999999999</v>
      </c>
      <c r="J335" s="154"/>
      <c r="K335" s="155">
        <f>IF($E335="","",Input!$C$57)</f>
        <v>4.4999999999999998E-2</v>
      </c>
      <c r="L335" s="155">
        <f t="shared" si="116"/>
        <v>3.6748094004368514E-3</v>
      </c>
      <c r="M335" s="147">
        <f>IF($E335="","",VLOOKUP(IF($B335&lt;=Input!$C$7,$B335,26),'Mortality Tables'!$A$72:$CA$97,IF($B335&lt;=Input!$C$7+1,Input!$C$4-16,$D335-Input!$C$7-16),0)/1000)</f>
        <v>1.67E-2</v>
      </c>
      <c r="N335" s="147">
        <f t="shared" si="105"/>
        <v>1.402433769017275E-3</v>
      </c>
      <c r="O335" s="157">
        <f>IF($E335="","",IF($C335=12,IF($B335&lt;Input!$C$9,Input!$C$54,IF($B335=Input!$C$9,Input!$C$55,Input!$C$56)),0%))</f>
        <v>0</v>
      </c>
      <c r="P335" s="167">
        <f>IF($E335="","",IF($B335=1,Input!$C$59,IF($B335&lt;6,Input!$C$60,0%)))</f>
        <v>0</v>
      </c>
      <c r="Q335" s="162">
        <f>IF($E335="","",Input!$C$58)</f>
        <v>2.5</v>
      </c>
      <c r="R335" s="156">
        <f t="shared" si="117"/>
        <v>0.99859756623098272</v>
      </c>
      <c r="S335" s="154">
        <f t="shared" si="106"/>
        <v>2.561011452663995E-2</v>
      </c>
      <c r="T335" s="152"/>
      <c r="U335" s="150">
        <f t="shared" si="118"/>
        <v>0</v>
      </c>
      <c r="V335" s="150">
        <f t="shared" si="119"/>
        <v>0</v>
      </c>
      <c r="W335" s="168">
        <f t="shared" si="120"/>
        <v>0</v>
      </c>
      <c r="X335" s="163">
        <f t="shared" si="107"/>
        <v>140.24337690172752</v>
      </c>
      <c r="Y335" s="152"/>
      <c r="Z335" s="164">
        <f>IF(AND($C334=12,$D334=Input!$C$6),0,IF($E335="","",V335+Z336/(1+L335)*R335))</f>
        <v>46725.763359841992</v>
      </c>
      <c r="AA335" s="164">
        <f>IF(OR($M335=1,AND($C334=12,$D334=Input!$C$6)),0,IF($E335="","",W335+(X335+AA336*$R335)/(1+$L335)))</f>
        <v>19456.313921353616</v>
      </c>
      <c r="AB335" s="160">
        <f t="shared" si="108"/>
        <v>0.825720328500681</v>
      </c>
      <c r="AC335" s="164">
        <f t="shared" si="109"/>
        <v>0</v>
      </c>
      <c r="AD335" s="164">
        <f>IF(AND($C334=12,$D334=Input!$C$6),0,IF($E335="","",$AC335+AD336/(1+$L335)*$R335))</f>
        <v>38582.412670933787</v>
      </c>
      <c r="AE335" s="152"/>
      <c r="AF335" s="164">
        <f>IF(AND($C334=12,$D334=Input!$C$6),0,IF($E335="","",IF($B335&gt;Input!$C$9,$AC335,0)+AF336/(1+$L335)*$R335))</f>
        <v>38582.412670933787</v>
      </c>
      <c r="AG335" s="164">
        <f>IF(AND($C334=12,$D334=Input!$C$6),0,IF($E335="","",(IF($B335&gt;Input!$C$9,$X335,0)+AG336)/(1+$L335)*$R335))</f>
        <v>19195.825664957585</v>
      </c>
      <c r="AH335" s="160">
        <f t="shared" si="110"/>
        <v>2.0950137211446997</v>
      </c>
      <c r="AI335" s="160">
        <f>IF($E335="","",MIN(Input!$C$61/AH335,1))</f>
        <v>0.64438718771845094</v>
      </c>
      <c r="AJ335" s="152"/>
      <c r="AK335" s="164">
        <f>IF(AND($C334=12,$D334=Input!$C$6),0,IF($E335="","",IF($B335&gt;Input!$C$9,$AC335*AI335,0)+AK336/(1+$L335)*$R335))</f>
        <v>24862.012396415765</v>
      </c>
      <c r="AL335" s="164">
        <f>IF(AND($C334=12,$D334=Input!$C$6),0,IF($E335="","",IF($B335&gt;Input!$C$9,0,$AC335)+AL336/(1+$L335)*$R335))</f>
        <v>0</v>
      </c>
      <c r="AM335" s="160">
        <f t="shared" si="111"/>
        <v>1.1382936520186004</v>
      </c>
      <c r="AN335" s="164">
        <f>IF($E335="","",IF($B335&gt;Input!$C$9,$AI335*$AC335,$AM335*$AC335))</f>
        <v>0</v>
      </c>
      <c r="AO335" s="164">
        <f>IF(AND($C334=12,$D334=Input!$C$6),0,IF($E335="","",$AN335+AO336/(1+$L335)*$R335))</f>
        <v>24862.012396415765</v>
      </c>
      <c r="AP335" s="152"/>
      <c r="AQ335" s="164">
        <f t="shared" si="112"/>
        <v>-5405.6984750621486</v>
      </c>
      <c r="AR335" s="164">
        <f t="shared" si="121"/>
        <v>-4928.4259314934425</v>
      </c>
      <c r="AS335" s="164">
        <f t="shared" si="122"/>
        <v>799.04306220095702</v>
      </c>
      <c r="AT335" s="164">
        <f t="shared" si="113"/>
        <v>799.04306220095702</v>
      </c>
      <c r="AU335" s="152"/>
      <c r="AV335" s="147">
        <f>'Deterministic Reserve'!BC335</f>
        <v>3.5330470746531652E-2</v>
      </c>
      <c r="AW335" s="164">
        <f t="shared" si="114"/>
        <v>799.04306220095702</v>
      </c>
      <c r="AX335" s="164">
        <f t="shared" si="115"/>
        <v>28.230567534309984</v>
      </c>
      <c r="AY335" s="152"/>
    </row>
    <row r="336" spans="1:51" s="150" customFormat="1" x14ac:dyDescent="0.25">
      <c r="A336" s="150">
        <f t="shared" si="123"/>
        <v>332</v>
      </c>
      <c r="B336" s="150">
        <f t="shared" si="124"/>
        <v>28</v>
      </c>
      <c r="C336" s="150">
        <f t="shared" si="125"/>
        <v>8</v>
      </c>
      <c r="D336" s="150">
        <f>IF(E336="","",Input!$C$4+B336-1)</f>
        <v>72</v>
      </c>
      <c r="E336" s="150">
        <f>IF(OR(AND(C335=12,D335=Input!$C$6),E335=""),"",1)</f>
        <v>1</v>
      </c>
      <c r="F336" s="150">
        <f>IF(E336="","",Input!$C$8+B336-1)</f>
        <v>2045</v>
      </c>
      <c r="G336" s="151">
        <f>IF(E336="","",MAX(0,Input!$C$9-B336))</f>
        <v>0</v>
      </c>
      <c r="H336" s="152">
        <f>IF(E336="","",Input!$C$3)</f>
        <v>100000</v>
      </c>
      <c r="I336" s="153">
        <f>IF(E336="","",HLOOKUP($B336,Input!$C$13:$BT$14,2))</f>
        <v>40.914999999999999</v>
      </c>
      <c r="J336" s="154"/>
      <c r="K336" s="155">
        <f>IF($E336="","",Input!$C$57)</f>
        <v>4.4999999999999998E-2</v>
      </c>
      <c r="L336" s="155">
        <f t="shared" si="116"/>
        <v>3.6748094004368514E-3</v>
      </c>
      <c r="M336" s="147">
        <f>IF($E336="","",VLOOKUP(IF($B336&lt;=Input!$C$7,$B336,26),'Mortality Tables'!$A$72:$CA$97,IF($B336&lt;=Input!$C$7+1,Input!$C$4-16,$D336-Input!$C$7-16),0)/1000)</f>
        <v>1.67E-2</v>
      </c>
      <c r="N336" s="147">
        <f t="shared" si="105"/>
        <v>1.402433769017275E-3</v>
      </c>
      <c r="O336" s="157">
        <f>IF($E336="","",IF($C336=12,IF($B336&lt;Input!$C$9,Input!$C$54,IF($B336=Input!$C$9,Input!$C$55,Input!$C$56)),0%))</f>
        <v>0</v>
      </c>
      <c r="P336" s="167">
        <f>IF($E336="","",IF($B336=1,Input!$C$59,IF($B336&lt;6,Input!$C$60,0%)))</f>
        <v>0</v>
      </c>
      <c r="Q336" s="162">
        <f>IF($E336="","",Input!$C$58)</f>
        <v>2.5</v>
      </c>
      <c r="R336" s="156">
        <f t="shared" si="117"/>
        <v>0.99859756623098272</v>
      </c>
      <c r="S336" s="154">
        <f t="shared" si="106"/>
        <v>2.5574198037199389E-2</v>
      </c>
      <c r="T336" s="152"/>
      <c r="U336" s="150">
        <f t="shared" si="118"/>
        <v>0</v>
      </c>
      <c r="V336" s="150">
        <f t="shared" si="119"/>
        <v>0</v>
      </c>
      <c r="W336" s="168">
        <f t="shared" si="120"/>
        <v>0</v>
      </c>
      <c r="X336" s="163">
        <f t="shared" si="107"/>
        <v>140.24337690172752</v>
      </c>
      <c r="Y336" s="152"/>
      <c r="Z336" s="164">
        <f>IF(AND($C335=12,$D335=Input!$C$6),0,IF($E336="","",V336+Z337/(1+L336)*R336))</f>
        <v>46963.334600628914</v>
      </c>
      <c r="AA336" s="164">
        <f>IF(OR($M336=1,AND($C335=12,$D335=Input!$C$6)),0,IF($E336="","",W336+(X336+AA337*$R336)/(1+$L336)))</f>
        <v>19414.796756337626</v>
      </c>
      <c r="AB336" s="160">
        <f t="shared" si="108"/>
        <v>0.825720328500681</v>
      </c>
      <c r="AC336" s="164">
        <f t="shared" si="109"/>
        <v>0</v>
      </c>
      <c r="AD336" s="164">
        <f>IF(AND($C335=12,$D335=Input!$C$6),0,IF($E336="","",$AC336+AD337/(1+$L336)*$R336))</f>
        <v>38778.580073918674</v>
      </c>
      <c r="AE336" s="152"/>
      <c r="AF336" s="164">
        <f>IF(AND($C335=12,$D335=Input!$C$6),0,IF($E336="","",IF($B336&gt;Input!$C$9,$AC336,0)+AF337/(1+$L336)*$R336))</f>
        <v>38778.580073918674</v>
      </c>
      <c r="AG336" s="164">
        <f>IF(AND($C335=12,$D335=Input!$C$6),0,IF($E336="","",(IF($B336&gt;Input!$C$9,$X336,0)+AG337)/(1+$L336)*$R336))</f>
        <v>19153.181038578841</v>
      </c>
      <c r="AH336" s="160">
        <f t="shared" si="110"/>
        <v>2.0950137211446997</v>
      </c>
      <c r="AI336" s="160">
        <f>IF($E336="","",MIN(Input!$C$61/AH336,1))</f>
        <v>0.64438718771845094</v>
      </c>
      <c r="AJ336" s="152"/>
      <c r="AK336" s="164">
        <f>IF(AND($C335=12,$D335=Input!$C$6),0,IF($E336="","",IF($B336&gt;Input!$C$9,$AC336*AI336,0)+AK337/(1+$L336)*$R336))</f>
        <v>24988.420157547229</v>
      </c>
      <c r="AL336" s="164">
        <f>IF(AND($C335=12,$D335=Input!$C$6),0,IF($E336="","",IF($B336&gt;Input!$C$9,0,$AC336)+AL337/(1+$L336)*$R336))</f>
        <v>0</v>
      </c>
      <c r="AM336" s="160">
        <f t="shared" si="111"/>
        <v>1.1382936520186004</v>
      </c>
      <c r="AN336" s="164">
        <f>IF($E336="","",IF($B336&gt;Input!$C$9,$AI336*$AC336,$AM336*$AC336))</f>
        <v>0</v>
      </c>
      <c r="AO336" s="164">
        <f>IF(AND($C335=12,$D335=Input!$C$6),0,IF($E336="","",$AN336+AO337/(1+$L336)*$R336))</f>
        <v>24988.420157547229</v>
      </c>
      <c r="AP336" s="152"/>
      <c r="AQ336" s="164">
        <f t="shared" si="112"/>
        <v>-5573.6234012096029</v>
      </c>
      <c r="AR336" s="164">
        <f t="shared" si="121"/>
        <v>-4928.4259314934425</v>
      </c>
      <c r="AS336" s="164">
        <f t="shared" si="122"/>
        <v>799.04306220095702</v>
      </c>
      <c r="AT336" s="164">
        <f t="shared" si="113"/>
        <v>799.04306220095702</v>
      </c>
      <c r="AU336" s="152"/>
      <c r="AV336" s="147">
        <f>'Deterministic Reserve'!BC336</f>
        <v>3.521025640082346E-2</v>
      </c>
      <c r="AW336" s="164">
        <f t="shared" si="114"/>
        <v>799.04306220095702</v>
      </c>
      <c r="AX336" s="164">
        <f t="shared" si="115"/>
        <v>28.134511095394824</v>
      </c>
      <c r="AY336" s="152"/>
    </row>
    <row r="337" spans="1:51" s="150" customFormat="1" x14ac:dyDescent="0.25">
      <c r="A337" s="150">
        <f t="shared" si="123"/>
        <v>333</v>
      </c>
      <c r="B337" s="150">
        <f t="shared" si="124"/>
        <v>28</v>
      </c>
      <c r="C337" s="150">
        <f t="shared" si="125"/>
        <v>9</v>
      </c>
      <c r="D337" s="150">
        <f>IF(E337="","",Input!$C$4+B337-1)</f>
        <v>72</v>
      </c>
      <c r="E337" s="150">
        <f>IF(OR(AND(C336=12,D336=Input!$C$6),E336=""),"",1)</f>
        <v>1</v>
      </c>
      <c r="F337" s="150">
        <f>IF(E337="","",Input!$C$8+B337-1)</f>
        <v>2045</v>
      </c>
      <c r="G337" s="151">
        <f>IF(E337="","",MAX(0,Input!$C$9-B337))</f>
        <v>0</v>
      </c>
      <c r="H337" s="152">
        <f>IF(E337="","",Input!$C$3)</f>
        <v>100000</v>
      </c>
      <c r="I337" s="153">
        <f>IF(E337="","",HLOOKUP($B337,Input!$C$13:$BT$14,2))</f>
        <v>40.914999999999999</v>
      </c>
      <c r="J337" s="154"/>
      <c r="K337" s="155">
        <f>IF($E337="","",Input!$C$57)</f>
        <v>4.4999999999999998E-2</v>
      </c>
      <c r="L337" s="155">
        <f t="shared" si="116"/>
        <v>3.6748094004368514E-3</v>
      </c>
      <c r="M337" s="147">
        <f>IF($E337="","",VLOOKUP(IF($B337&lt;=Input!$C$7,$B337,26),'Mortality Tables'!$A$72:$CA$97,IF($B337&lt;=Input!$C$7+1,Input!$C$4-16,$D337-Input!$C$7-16),0)/1000)</f>
        <v>1.67E-2</v>
      </c>
      <c r="N337" s="147">
        <f t="shared" si="105"/>
        <v>1.402433769017275E-3</v>
      </c>
      <c r="O337" s="157">
        <f>IF($E337="","",IF($C337=12,IF($B337&lt;Input!$C$9,Input!$C$54,IF($B337=Input!$C$9,Input!$C$55,Input!$C$56)),0%))</f>
        <v>0</v>
      </c>
      <c r="P337" s="167">
        <f>IF($E337="","",IF($B337=1,Input!$C$59,IF($B337&lt;6,Input!$C$60,0%)))</f>
        <v>0</v>
      </c>
      <c r="Q337" s="162">
        <f>IF($E337="","",Input!$C$58)</f>
        <v>2.5</v>
      </c>
      <c r="R337" s="156">
        <f t="shared" si="117"/>
        <v>0.99859756623098272</v>
      </c>
      <c r="S337" s="154">
        <f t="shared" si="106"/>
        <v>2.5538331918256486E-2</v>
      </c>
      <c r="T337" s="152"/>
      <c r="U337" s="150">
        <f t="shared" si="118"/>
        <v>0</v>
      </c>
      <c r="V337" s="150">
        <f t="shared" si="119"/>
        <v>0</v>
      </c>
      <c r="W337" s="168">
        <f t="shared" si="120"/>
        <v>0</v>
      </c>
      <c r="X337" s="163">
        <f t="shared" si="107"/>
        <v>140.24337690172752</v>
      </c>
      <c r="Y337" s="152"/>
      <c r="Z337" s="164">
        <f>IF(AND($C336=12,$D336=Input!$C$6),0,IF($E337="","",V337+Z338/(1+L337)*R337))</f>
        <v>47202.113742376467</v>
      </c>
      <c r="AA337" s="164">
        <f>IF(OR($M337=1,AND($C336=12,$D336=Input!$C$6)),0,IF($E337="","",W337+(X337+AA338*$R337)/(1+$L337)))</f>
        <v>19373.068502541108</v>
      </c>
      <c r="AB337" s="160">
        <f t="shared" si="108"/>
        <v>0.825720328500681</v>
      </c>
      <c r="AC337" s="164">
        <f t="shared" si="109"/>
        <v>0</v>
      </c>
      <c r="AD337" s="164">
        <f>IF(AND($C336=12,$D336=Input!$C$6),0,IF($E337="","",$AC337+AD338/(1+$L337)*$R337))</f>
        <v>38975.74486528158</v>
      </c>
      <c r="AE337" s="152"/>
      <c r="AF337" s="164">
        <f>IF(AND($C336=12,$D336=Input!$C$6),0,IF($E337="","",IF($B337&gt;Input!$C$9,$AC337,0)+AF338/(1+$L337)*$R337))</f>
        <v>38975.74486528158</v>
      </c>
      <c r="AG337" s="164">
        <f>IF(AND($C336=12,$D336=Input!$C$6),0,IF($E337="","",(IF($B337&gt;Input!$C$9,$X337,0)+AG338)/(1+$L337)*$R337))</f>
        <v>19110.319590984713</v>
      </c>
      <c r="AH337" s="160">
        <f t="shared" si="110"/>
        <v>2.0950137211446997</v>
      </c>
      <c r="AI337" s="160">
        <f>IF($E337="","",MIN(Input!$C$61/AH337,1))</f>
        <v>0.64438718771845094</v>
      </c>
      <c r="AJ337" s="152"/>
      <c r="AK337" s="164">
        <f>IF(AND($C336=12,$D336=Input!$C$6),0,IF($E337="","",IF($B337&gt;Input!$C$9,$AC337*AI337,0)+AK338/(1+$L337)*$R337))</f>
        <v>25115.470622970664</v>
      </c>
      <c r="AL337" s="164">
        <f>IF(AND($C336=12,$D336=Input!$C$6),0,IF($E337="","",IF($B337&gt;Input!$C$9,0,$AC337)+AL338/(1+$L337)*$R337))</f>
        <v>0</v>
      </c>
      <c r="AM337" s="160">
        <f t="shared" si="111"/>
        <v>1.1382936520186004</v>
      </c>
      <c r="AN337" s="164">
        <f>IF($E337="","",IF($B337&gt;Input!$C$9,$AI337*$AC337,$AM337*$AC337))</f>
        <v>0</v>
      </c>
      <c r="AO337" s="164">
        <f>IF(AND($C336=12,$D336=Input!$C$6),0,IF($E337="","",$AN337+AO338/(1+$L337)*$R337))</f>
        <v>25115.470622970664</v>
      </c>
      <c r="AP337" s="152"/>
      <c r="AQ337" s="164">
        <f t="shared" si="112"/>
        <v>-5742.4021204295568</v>
      </c>
      <c r="AR337" s="164">
        <f t="shared" si="121"/>
        <v>-4928.4259314934425</v>
      </c>
      <c r="AS337" s="164">
        <f t="shared" si="122"/>
        <v>799.04306220095702</v>
      </c>
      <c r="AT337" s="164">
        <f t="shared" si="113"/>
        <v>799.04306220095702</v>
      </c>
      <c r="AU337" s="152"/>
      <c r="AV337" s="147">
        <f>'Deterministic Reserve'!BC337</f>
        <v>3.5090451092657335E-2</v>
      </c>
      <c r="AW337" s="164">
        <f t="shared" si="114"/>
        <v>799.04306220095702</v>
      </c>
      <c r="AX337" s="164">
        <f t="shared" si="115"/>
        <v>28.038781495089836</v>
      </c>
      <c r="AY337" s="152"/>
    </row>
    <row r="338" spans="1:51" s="150" customFormat="1" x14ac:dyDescent="0.25">
      <c r="A338" s="150">
        <f t="shared" si="123"/>
        <v>334</v>
      </c>
      <c r="B338" s="150">
        <f t="shared" si="124"/>
        <v>28</v>
      </c>
      <c r="C338" s="150">
        <f t="shared" si="125"/>
        <v>10</v>
      </c>
      <c r="D338" s="150">
        <f>IF(E338="","",Input!$C$4+B338-1)</f>
        <v>72</v>
      </c>
      <c r="E338" s="150">
        <f>IF(OR(AND(C337=12,D337=Input!$C$6),E337=""),"",1)</f>
        <v>1</v>
      </c>
      <c r="F338" s="150">
        <f>IF(E338="","",Input!$C$8+B338-1)</f>
        <v>2045</v>
      </c>
      <c r="G338" s="151">
        <f>IF(E338="","",MAX(0,Input!$C$9-B338))</f>
        <v>0</v>
      </c>
      <c r="H338" s="152">
        <f>IF(E338="","",Input!$C$3)</f>
        <v>100000</v>
      </c>
      <c r="I338" s="153">
        <f>IF(E338="","",HLOOKUP($B338,Input!$C$13:$BT$14,2))</f>
        <v>40.914999999999999</v>
      </c>
      <c r="J338" s="154"/>
      <c r="K338" s="155">
        <f>IF($E338="","",Input!$C$57)</f>
        <v>4.4999999999999998E-2</v>
      </c>
      <c r="L338" s="155">
        <f t="shared" si="116"/>
        <v>3.6748094004368514E-3</v>
      </c>
      <c r="M338" s="147">
        <f>IF($E338="","",VLOOKUP(IF($B338&lt;=Input!$C$7,$B338,26),'Mortality Tables'!$A$72:$CA$97,IF($B338&lt;=Input!$C$7+1,Input!$C$4-16,$D338-Input!$C$7-16),0)/1000)</f>
        <v>1.67E-2</v>
      </c>
      <c r="N338" s="147">
        <f t="shared" si="105"/>
        <v>1.402433769017275E-3</v>
      </c>
      <c r="O338" s="157">
        <f>IF($E338="","",IF($C338=12,IF($B338&lt;Input!$C$9,Input!$C$54,IF($B338=Input!$C$9,Input!$C$55,Input!$C$56)),0%))</f>
        <v>0</v>
      </c>
      <c r="P338" s="167">
        <f>IF($E338="","",IF($B338=1,Input!$C$59,IF($B338&lt;6,Input!$C$60,0%)))</f>
        <v>0</v>
      </c>
      <c r="Q338" s="162">
        <f>IF($E338="","",Input!$C$58)</f>
        <v>2.5</v>
      </c>
      <c r="R338" s="156">
        <f t="shared" si="117"/>
        <v>0.99859756623098272</v>
      </c>
      <c r="S338" s="154">
        <f t="shared" si="106"/>
        <v>2.5502516099169949E-2</v>
      </c>
      <c r="T338" s="152"/>
      <c r="U338" s="150">
        <f t="shared" si="118"/>
        <v>0</v>
      </c>
      <c r="V338" s="150">
        <f t="shared" si="119"/>
        <v>0</v>
      </c>
      <c r="W338" s="168">
        <f t="shared" si="120"/>
        <v>0</v>
      </c>
      <c r="X338" s="163">
        <f t="shared" si="107"/>
        <v>140.24337690172752</v>
      </c>
      <c r="Y338" s="152"/>
      <c r="Z338" s="164">
        <f>IF(AND($C337=12,$D337=Input!$C$6),0,IF($E338="","",V338+Z339/(1+L338)*R338))</f>
        <v>47442.106926504501</v>
      </c>
      <c r="AA338" s="164">
        <f>IF(OR($M338=1,AND($C337=12,$D337=Input!$C$6)),0,IF($E338="","",W338+(X338+AA339*$R338)/(1+$L338)))</f>
        <v>19331.128086709825</v>
      </c>
      <c r="AB338" s="160">
        <f t="shared" si="108"/>
        <v>0.825720328500681</v>
      </c>
      <c r="AC338" s="164">
        <f t="shared" si="109"/>
        <v>0</v>
      </c>
      <c r="AD338" s="164">
        <f>IF(AND($C337=12,$D337=Input!$C$6),0,IF($E338="","",$AC338+AD339/(1+$L338)*$R338))</f>
        <v>39173.912116117703</v>
      </c>
      <c r="AE338" s="152"/>
      <c r="AF338" s="164">
        <f>IF(AND($C337=12,$D337=Input!$C$6),0,IF($E338="","",IF($B338&gt;Input!$C$9,$AC338,0)+AF339/(1+$L338)*$R338))</f>
        <v>39173.912116117703</v>
      </c>
      <c r="AG338" s="164">
        <f>IF(AND($C337=12,$D337=Input!$C$6),0,IF($E338="","",(IF($B338&gt;Input!$C$9,$X338,0)+AG339)/(1+$L338)*$R338))</f>
        <v>19067.240219775118</v>
      </c>
      <c r="AH338" s="160">
        <f t="shared" si="110"/>
        <v>2.0950137211446997</v>
      </c>
      <c r="AI338" s="160">
        <f>IF($E338="","",MIN(Input!$C$61/AH338,1))</f>
        <v>0.64438718771845094</v>
      </c>
      <c r="AJ338" s="152"/>
      <c r="AK338" s="164">
        <f>IF(AND($C337=12,$D337=Input!$C$6),0,IF($E338="","",IF($B338&gt;Input!$C$9,$AC338*AI338,0)+AK339/(1+$L338)*$R338))</f>
        <v>25243.167060434851</v>
      </c>
      <c r="AL338" s="164">
        <f>IF(AND($C337=12,$D337=Input!$C$6),0,IF($E338="","",IF($B338&gt;Input!$C$9,0,$AC338)+AL339/(1+$L338)*$R338))</f>
        <v>0</v>
      </c>
      <c r="AM338" s="160">
        <f t="shared" si="111"/>
        <v>1.1382936520186004</v>
      </c>
      <c r="AN338" s="164">
        <f>IF($E338="","",IF($B338&gt;Input!$C$9,$AI338*$AC338,$AM338*$AC338))</f>
        <v>0</v>
      </c>
      <c r="AO338" s="164">
        <f>IF(AND($C337=12,$D337=Input!$C$6),0,IF($E338="","",$AN338+AO339/(1+$L338)*$R338))</f>
        <v>25243.167060434851</v>
      </c>
      <c r="AP338" s="152"/>
      <c r="AQ338" s="164">
        <f t="shared" si="112"/>
        <v>-5912.0389737250262</v>
      </c>
      <c r="AR338" s="164">
        <f t="shared" si="121"/>
        <v>-4928.4259314934425</v>
      </c>
      <c r="AS338" s="164">
        <f t="shared" si="122"/>
        <v>799.04306220095702</v>
      </c>
      <c r="AT338" s="164">
        <f t="shared" si="113"/>
        <v>799.04306220095702</v>
      </c>
      <c r="AU338" s="152"/>
      <c r="AV338" s="147">
        <f>'Deterministic Reserve'!BC338</f>
        <v>3.4971053430255028E-2</v>
      </c>
      <c r="AW338" s="164">
        <f t="shared" si="114"/>
        <v>799.04306220095702</v>
      </c>
      <c r="AX338" s="164">
        <f t="shared" si="115"/>
        <v>27.943377621304261</v>
      </c>
      <c r="AY338" s="152"/>
    </row>
    <row r="339" spans="1:51" s="150" customFormat="1" x14ac:dyDescent="0.25">
      <c r="A339" s="150">
        <f t="shared" si="123"/>
        <v>335</v>
      </c>
      <c r="B339" s="150">
        <f t="shared" si="124"/>
        <v>28</v>
      </c>
      <c r="C339" s="150">
        <f t="shared" si="125"/>
        <v>11</v>
      </c>
      <c r="D339" s="150">
        <f>IF(E339="","",Input!$C$4+B339-1)</f>
        <v>72</v>
      </c>
      <c r="E339" s="150">
        <f>IF(OR(AND(C338=12,D338=Input!$C$6),E338=""),"",1)</f>
        <v>1</v>
      </c>
      <c r="F339" s="150">
        <f>IF(E339="","",Input!$C$8+B339-1)</f>
        <v>2045</v>
      </c>
      <c r="G339" s="151">
        <f>IF(E339="","",MAX(0,Input!$C$9-B339))</f>
        <v>0</v>
      </c>
      <c r="H339" s="152">
        <f>IF(E339="","",Input!$C$3)</f>
        <v>100000</v>
      </c>
      <c r="I339" s="153">
        <f>IF(E339="","",HLOOKUP($B339,Input!$C$13:$BT$14,2))</f>
        <v>40.914999999999999</v>
      </c>
      <c r="J339" s="154"/>
      <c r="K339" s="155">
        <f>IF($E339="","",Input!$C$57)</f>
        <v>4.4999999999999998E-2</v>
      </c>
      <c r="L339" s="155">
        <f t="shared" si="116"/>
        <v>3.6748094004368514E-3</v>
      </c>
      <c r="M339" s="147">
        <f>IF($E339="","",VLOOKUP(IF($B339&lt;=Input!$C$7,$B339,26),'Mortality Tables'!$A$72:$CA$97,IF($B339&lt;=Input!$C$7+1,Input!$C$4-16,$D339-Input!$C$7-16),0)/1000)</f>
        <v>1.67E-2</v>
      </c>
      <c r="N339" s="147">
        <f t="shared" si="105"/>
        <v>1.402433769017275E-3</v>
      </c>
      <c r="O339" s="157">
        <f>IF($E339="","",IF($C339=12,IF($B339&lt;Input!$C$9,Input!$C$54,IF($B339=Input!$C$9,Input!$C$55,Input!$C$56)),0%))</f>
        <v>0</v>
      </c>
      <c r="P339" s="167">
        <f>IF($E339="","",IF($B339=1,Input!$C$59,IF($B339&lt;6,Input!$C$60,0%)))</f>
        <v>0</v>
      </c>
      <c r="Q339" s="162">
        <f>IF($E339="","",Input!$C$58)</f>
        <v>2.5</v>
      </c>
      <c r="R339" s="156">
        <f t="shared" si="117"/>
        <v>0.99859756623098272</v>
      </c>
      <c r="S339" s="154">
        <f t="shared" si="106"/>
        <v>2.5466750509397566E-2</v>
      </c>
      <c r="T339" s="152"/>
      <c r="U339" s="150">
        <f t="shared" si="118"/>
        <v>0</v>
      </c>
      <c r="V339" s="150">
        <f t="shared" si="119"/>
        <v>0</v>
      </c>
      <c r="W339" s="168">
        <f t="shared" si="120"/>
        <v>0</v>
      </c>
      <c r="X339" s="163">
        <f t="shared" si="107"/>
        <v>140.24337690172752</v>
      </c>
      <c r="Y339" s="152"/>
      <c r="Z339" s="164">
        <f>IF(AND($C338=12,$D338=Input!$C$6),0,IF($E339="","",V339+Z340/(1+L339)*R339))</f>
        <v>47683.320325658118</v>
      </c>
      <c r="AA339" s="164">
        <f>IF(OR($M339=1,AND($C338=12,$D338=Input!$C$6)),0,IF($E339="","",W339+(X339+AA340*$R339)/(1+$L339)))</f>
        <v>19288.974430132719</v>
      </c>
      <c r="AB339" s="160">
        <f t="shared" si="108"/>
        <v>0.825720328500681</v>
      </c>
      <c r="AC339" s="164">
        <f t="shared" si="109"/>
        <v>0</v>
      </c>
      <c r="AD339" s="164">
        <f>IF(AND($C338=12,$D338=Input!$C$6),0,IF($E339="","",$AC339+AD340/(1+$L339)*$R339))</f>
        <v>39373.086923305593</v>
      </c>
      <c r="AE339" s="152"/>
      <c r="AF339" s="164">
        <f>IF(AND($C338=12,$D338=Input!$C$6),0,IF($E339="","",IF($B339&gt;Input!$C$9,$AC339,0)+AF340/(1+$L339)*$R339))</f>
        <v>39373.086923305593</v>
      </c>
      <c r="AG339" s="164">
        <f>IF(AND($C338=12,$D338=Input!$C$6),0,IF($E339="","",(IF($B339&gt;Input!$C$9,$X339,0)+AG340)/(1+$L339)*$R339))</f>
        <v>19023.94181694496</v>
      </c>
      <c r="AH339" s="160">
        <f t="shared" si="110"/>
        <v>2.0950137211446997</v>
      </c>
      <c r="AI339" s="160">
        <f>IF($E339="","",MIN(Input!$C$61/AH339,1))</f>
        <v>0.64438718771845094</v>
      </c>
      <c r="AJ339" s="152"/>
      <c r="AK339" s="164">
        <f>IF(AND($C338=12,$D338=Input!$C$6),0,IF($E339="","",IF($B339&gt;Input!$C$9,$AC339*AI339,0)+AK340/(1+$L339)*$R339))</f>
        <v>25371.512754303021</v>
      </c>
      <c r="AL339" s="164">
        <f>IF(AND($C338=12,$D338=Input!$C$6),0,IF($E339="","",IF($B339&gt;Input!$C$9,0,$AC339)+AL340/(1+$L339)*$R339))</f>
        <v>0</v>
      </c>
      <c r="AM339" s="160">
        <f t="shared" si="111"/>
        <v>1.1382936520186004</v>
      </c>
      <c r="AN339" s="164">
        <f>IF($E339="","",IF($B339&gt;Input!$C$9,$AI339*$AC339,$AM339*$AC339))</f>
        <v>0</v>
      </c>
      <c r="AO339" s="164">
        <f>IF(AND($C338=12,$D338=Input!$C$6),0,IF($E339="","",$AN339+AO340/(1+$L339)*$R339))</f>
        <v>25371.512754303021</v>
      </c>
      <c r="AP339" s="152"/>
      <c r="AQ339" s="164">
        <f t="shared" si="112"/>
        <v>-6082.5383241703021</v>
      </c>
      <c r="AR339" s="164">
        <f t="shared" si="121"/>
        <v>-4928.4259314934425</v>
      </c>
      <c r="AS339" s="164">
        <f t="shared" si="122"/>
        <v>799.04306220095702</v>
      </c>
      <c r="AT339" s="164">
        <f t="shared" si="113"/>
        <v>799.04306220095702</v>
      </c>
      <c r="AU339" s="152"/>
      <c r="AV339" s="147">
        <f>'Deterministic Reserve'!BC339</f>
        <v>3.485206202657392E-2</v>
      </c>
      <c r="AW339" s="164">
        <f t="shared" si="114"/>
        <v>799.04306220095702</v>
      </c>
      <c r="AX339" s="164">
        <f t="shared" si="115"/>
        <v>27.848298365731317</v>
      </c>
      <c r="AY339" s="152"/>
    </row>
    <row r="340" spans="1:51" s="150" customFormat="1" x14ac:dyDescent="0.25">
      <c r="A340" s="150">
        <f t="shared" si="123"/>
        <v>336</v>
      </c>
      <c r="B340" s="150">
        <f t="shared" si="124"/>
        <v>28</v>
      </c>
      <c r="C340" s="150">
        <f t="shared" si="125"/>
        <v>12</v>
      </c>
      <c r="D340" s="150">
        <f>IF(E340="","",Input!$C$4+B340-1)</f>
        <v>72</v>
      </c>
      <c r="E340" s="150">
        <f>IF(OR(AND(C339=12,D339=Input!$C$6),E339=""),"",1)</f>
        <v>1</v>
      </c>
      <c r="F340" s="150">
        <f>IF(E340="","",Input!$C$8+B340-1)</f>
        <v>2045</v>
      </c>
      <c r="G340" s="151">
        <f>IF(E340="","",MAX(0,Input!$C$9-B340))</f>
        <v>0</v>
      </c>
      <c r="H340" s="152">
        <f>IF(E340="","",Input!$C$3)</f>
        <v>100000</v>
      </c>
      <c r="I340" s="153">
        <f>IF(E340="","",HLOOKUP($B340,Input!$C$13:$BT$14,2))</f>
        <v>40.914999999999999</v>
      </c>
      <c r="J340" s="154"/>
      <c r="K340" s="155">
        <f>IF($E340="","",Input!$C$57)</f>
        <v>4.4999999999999998E-2</v>
      </c>
      <c r="L340" s="155">
        <f t="shared" si="116"/>
        <v>3.6748094004368514E-3</v>
      </c>
      <c r="M340" s="147">
        <f>IF($E340="","",VLOOKUP(IF($B340&lt;=Input!$C$7,$B340,26),'Mortality Tables'!$A$72:$CA$97,IF($B340&lt;=Input!$C$7+1,Input!$C$4-16,$D340-Input!$C$7-16),0)/1000)</f>
        <v>1.67E-2</v>
      </c>
      <c r="N340" s="147">
        <f t="shared" si="105"/>
        <v>1.402433769017275E-3</v>
      </c>
      <c r="O340" s="157">
        <f>IF($E340="","",IF($C340=12,IF($B340&lt;Input!$C$9,Input!$C$54,IF($B340=Input!$C$9,Input!$C$55,Input!$C$56)),0%))</f>
        <v>0.1</v>
      </c>
      <c r="P340" s="167">
        <f>IF($E340="","",IF($B340=1,Input!$C$59,IF($B340&lt;6,Input!$C$60,0%)))</f>
        <v>0</v>
      </c>
      <c r="Q340" s="162">
        <f>IF($E340="","",Input!$C$58)</f>
        <v>2.5</v>
      </c>
      <c r="R340" s="156">
        <f t="shared" si="117"/>
        <v>0.89859756623098275</v>
      </c>
      <c r="S340" s="154">
        <f t="shared" si="106"/>
        <v>2.2884360027556293E-2</v>
      </c>
      <c r="T340" s="152"/>
      <c r="U340" s="150">
        <f t="shared" si="118"/>
        <v>0</v>
      </c>
      <c r="V340" s="150">
        <f t="shared" si="119"/>
        <v>0</v>
      </c>
      <c r="W340" s="168">
        <f t="shared" si="120"/>
        <v>0</v>
      </c>
      <c r="X340" s="163">
        <f t="shared" si="107"/>
        <v>140.24337690172752</v>
      </c>
      <c r="Y340" s="152"/>
      <c r="Z340" s="164">
        <f>IF(AND($C339=12,$D339=Input!$C$6),0,IF($E340="","",V340+Z341/(1+L340)*R340))</f>
        <v>47925.760143866471</v>
      </c>
      <c r="AA340" s="164">
        <f>IF(OR($M340=1,AND($C339=12,$D339=Input!$C$6)),0,IF($E340="","",W340+(X340+AA341*$R340)/(1+$L340)))</f>
        <v>19246.606448614151</v>
      </c>
      <c r="AB340" s="160">
        <f t="shared" si="108"/>
        <v>0.825720328500681</v>
      </c>
      <c r="AC340" s="164">
        <f t="shared" si="109"/>
        <v>0</v>
      </c>
      <c r="AD340" s="164">
        <f>IF(AND($C339=12,$D339=Input!$C$6),0,IF($E340="","",$AC340+AD341/(1+$L340)*$R340))</f>
        <v>39573.274409638238</v>
      </c>
      <c r="AE340" s="152"/>
      <c r="AF340" s="164">
        <f>IF(AND($C339=12,$D339=Input!$C$6),0,IF($E340="","",IF($B340&gt;Input!$C$9,$AC340,0)+AF341/(1+$L340)*$R340))</f>
        <v>39573.274409638238</v>
      </c>
      <c r="AG340" s="164">
        <f>IF(AND($C339=12,$D339=Input!$C$6),0,IF($E340="","",(IF($B340&gt;Input!$C$9,$X340,0)+AG341)/(1+$L340)*$R340))</f>
        <v>18980.42326885564</v>
      </c>
      <c r="AH340" s="160">
        <f t="shared" si="110"/>
        <v>2.0950137211446997</v>
      </c>
      <c r="AI340" s="160">
        <f>IF($E340="","",MIN(Input!$C$61/AH340,1))</f>
        <v>0.64438718771845094</v>
      </c>
      <c r="AJ340" s="152"/>
      <c r="AK340" s="164">
        <f>IF(AND($C339=12,$D339=Input!$C$6),0,IF($E340="","",IF($B340&gt;Input!$C$9,$AC340*AI340,0)+AK341/(1+$L340)*$R340))</f>
        <v>25500.511005637338</v>
      </c>
      <c r="AL340" s="164">
        <f>IF(AND($C339=12,$D339=Input!$C$6),0,IF($E340="","",IF($B340&gt;Input!$C$9,0,$AC340)+AL341/(1+$L340)*$R340))</f>
        <v>0</v>
      </c>
      <c r="AM340" s="160">
        <f t="shared" si="111"/>
        <v>1.1382936520186004</v>
      </c>
      <c r="AN340" s="164">
        <f>IF($E340="","",IF($B340&gt;Input!$C$9,$AI340*$AC340,$AM340*$AC340))</f>
        <v>0</v>
      </c>
      <c r="AO340" s="164">
        <f>IF(AND($C339=12,$D339=Input!$C$6),0,IF($E340="","",$AN340+AO341/(1+$L340)*$R340))</f>
        <v>25500.511005637338</v>
      </c>
      <c r="AP340" s="152"/>
      <c r="AQ340" s="164">
        <f t="shared" si="112"/>
        <v>-6253.9045570231865</v>
      </c>
      <c r="AR340" s="164">
        <f t="shared" si="121"/>
        <v>-4928.4259314934425</v>
      </c>
      <c r="AS340" s="164">
        <f t="shared" si="122"/>
        <v>799.04306220095702</v>
      </c>
      <c r="AT340" s="164">
        <f t="shared" si="113"/>
        <v>799.04306220095702</v>
      </c>
      <c r="AU340" s="152"/>
      <c r="AV340" s="147">
        <f>'Deterministic Reserve'!BC340</f>
        <v>3.1248269296633501E-2</v>
      </c>
      <c r="AW340" s="164">
        <f t="shared" si="114"/>
        <v>799.04306220095702</v>
      </c>
      <c r="AX340" s="164">
        <f t="shared" si="115"/>
        <v>24.968712787262177</v>
      </c>
      <c r="AY340" s="152"/>
    </row>
    <row r="341" spans="1:51" s="150" customFormat="1" x14ac:dyDescent="0.25">
      <c r="A341" s="150">
        <f t="shared" si="123"/>
        <v>337</v>
      </c>
      <c r="B341" s="150">
        <f t="shared" si="124"/>
        <v>29</v>
      </c>
      <c r="C341" s="150">
        <f t="shared" si="125"/>
        <v>1</v>
      </c>
      <c r="D341" s="150">
        <f>IF(E341="","",Input!$C$4+B341-1)</f>
        <v>73</v>
      </c>
      <c r="E341" s="150">
        <f>IF(OR(AND(C340=12,D340=Input!$C$6),E340=""),"",1)</f>
        <v>1</v>
      </c>
      <c r="F341" s="150">
        <f>IF(E341="","",Input!$C$8+B341-1)</f>
        <v>2046</v>
      </c>
      <c r="G341" s="151">
        <f>IF(E341="","",MAX(0,Input!$C$9-B341))</f>
        <v>0</v>
      </c>
      <c r="H341" s="152">
        <f>IF(E341="","",Input!$C$3)</f>
        <v>100000</v>
      </c>
      <c r="I341" s="153">
        <f>IF(E341="","",HLOOKUP($B341,Input!$C$13:$BT$14,2))</f>
        <v>46.329500000000003</v>
      </c>
      <c r="J341" s="154"/>
      <c r="K341" s="155">
        <f>IF($E341="","",Input!$C$57)</f>
        <v>4.4999999999999998E-2</v>
      </c>
      <c r="L341" s="155">
        <f t="shared" si="116"/>
        <v>3.6748094004368514E-3</v>
      </c>
      <c r="M341" s="147">
        <f>IF($E341="","",VLOOKUP(IF($B341&lt;=Input!$C$7,$B341,26),'Mortality Tables'!$A$72:$CA$97,IF($B341&lt;=Input!$C$7+1,Input!$C$4-16,$D341-Input!$C$7-16),0)/1000)</f>
        <v>1.891E-2</v>
      </c>
      <c r="N341" s="147">
        <f t="shared" si="105"/>
        <v>1.5896585277250797E-3</v>
      </c>
      <c r="O341" s="157">
        <f>IF($E341="","",IF($C341=12,IF($B341&lt;Input!$C$9,Input!$C$54,IF($B341=Input!$C$9,Input!$C$55,Input!$C$56)),0%))</f>
        <v>0</v>
      </c>
      <c r="P341" s="167">
        <f>IF($E341="","",IF($B341=1,Input!$C$59,IF($B341&lt;6,Input!$C$60,0%)))</f>
        <v>0</v>
      </c>
      <c r="Q341" s="162">
        <f>IF($E341="","",Input!$C$58)</f>
        <v>2.5</v>
      </c>
      <c r="R341" s="156">
        <f t="shared" si="117"/>
        <v>0.99841034147227492</v>
      </c>
      <c r="S341" s="154">
        <f t="shared" si="106"/>
        <v>2.2847981709486959E-2</v>
      </c>
      <c r="T341" s="152"/>
      <c r="U341" s="150">
        <f t="shared" si="118"/>
        <v>4632.95</v>
      </c>
      <c r="V341" s="150">
        <f t="shared" si="119"/>
        <v>4632.95</v>
      </c>
      <c r="W341" s="168">
        <f t="shared" si="120"/>
        <v>0</v>
      </c>
      <c r="X341" s="163">
        <f t="shared" si="107"/>
        <v>158.96585277250796</v>
      </c>
      <c r="Y341" s="152"/>
      <c r="Z341" s="164">
        <f>IF(AND($C340=12,$D340=Input!$C$6),0,IF($E341="","",V341+Z342/(1+L341)*R341))</f>
        <v>53529.944866778933</v>
      </c>
      <c r="AA341" s="164">
        <f>IF(OR($M341=1,AND($C340=12,$D340=Input!$C$6)),0,IF($E341="","",W341+(X341+AA342*$R341)/(1+$L341)))</f>
        <v>21341.133564885335</v>
      </c>
      <c r="AB341" s="160">
        <f t="shared" si="108"/>
        <v>0.825720328500681</v>
      </c>
      <c r="AC341" s="164">
        <f t="shared" si="109"/>
        <v>3825.5209959272297</v>
      </c>
      <c r="AD341" s="164">
        <f>IF(AND($C340=12,$D340=Input!$C$6),0,IF($E341="","",$AC341+AD342/(1+$L341)*$R341))</f>
        <v>44200.763660020013</v>
      </c>
      <c r="AE341" s="152"/>
      <c r="AF341" s="164">
        <f>IF(AND($C340=12,$D340=Input!$C$6),0,IF($E341="","",IF($B341&gt;Input!$C$9,$AC341,0)+AF342/(1+$L341)*$R341))</f>
        <v>44200.763660020013</v>
      </c>
      <c r="AG341" s="164">
        <f>IF(AND($C340=12,$D340=Input!$C$6),0,IF($E341="","",(IF($B341&gt;Input!$C$9,$X341,0)+AG342)/(1+$L341)*$R341))</f>
        <v>21059.650126717544</v>
      </c>
      <c r="AH341" s="160">
        <f t="shared" si="110"/>
        <v>2.0950137211446997</v>
      </c>
      <c r="AI341" s="160">
        <f>IF($E341="","",MIN(Input!$C$61/AH341,1))</f>
        <v>0.64438718771845094</v>
      </c>
      <c r="AJ341" s="152"/>
      <c r="AK341" s="164">
        <f>IF(AND($C340=12,$D340=Input!$C$6),0,IF($E341="","",IF($B341&gt;Input!$C$9,$AC341*AI341,0)+AK342/(1+$L341)*$R341))</f>
        <v>28482.405789888209</v>
      </c>
      <c r="AL341" s="164">
        <f>IF(AND($C340=12,$D340=Input!$C$6),0,IF($E341="","",IF($B341&gt;Input!$C$9,0,$AC341)+AL342/(1+$L341)*$R341))</f>
        <v>0</v>
      </c>
      <c r="AM341" s="160">
        <f t="shared" si="111"/>
        <v>1.1382936520186004</v>
      </c>
      <c r="AN341" s="164">
        <f>IF($E341="","",IF($B341&gt;Input!$C$9,$AI341*$AC341,$AM341*$AC341))</f>
        <v>2465.1167161234353</v>
      </c>
      <c r="AO341" s="164">
        <f>IF(AND($C340=12,$D340=Input!$C$6),0,IF($E341="","",$AN341+AO342/(1+$L341)*$R341))</f>
        <v>28482.405789888209</v>
      </c>
      <c r="AP341" s="152"/>
      <c r="AQ341" s="164">
        <f t="shared" si="112"/>
        <v>-7141.2722250028746</v>
      </c>
      <c r="AR341" s="164">
        <f t="shared" si="121"/>
        <v>-5270.8764309318531</v>
      </c>
      <c r="AS341" s="164">
        <f t="shared" si="122"/>
        <v>904.78468899521533</v>
      </c>
      <c r="AT341" s="164">
        <f t="shared" si="113"/>
        <v>904.78468899521533</v>
      </c>
      <c r="AU341" s="152"/>
      <c r="AV341" s="147">
        <f>'Deterministic Reserve'!BC341</f>
        <v>3.1128049276182668E-2</v>
      </c>
      <c r="AW341" s="164">
        <f t="shared" si="114"/>
        <v>904.78468899521533</v>
      </c>
      <c r="AX341" s="164">
        <f t="shared" si="115"/>
        <v>28.164182383378673</v>
      </c>
      <c r="AY341" s="152"/>
    </row>
    <row r="342" spans="1:51" s="150" customFormat="1" x14ac:dyDescent="0.25">
      <c r="A342" s="150">
        <f t="shared" si="123"/>
        <v>338</v>
      </c>
      <c r="B342" s="150">
        <f t="shared" si="124"/>
        <v>29</v>
      </c>
      <c r="C342" s="150">
        <f t="shared" si="125"/>
        <v>2</v>
      </c>
      <c r="D342" s="150">
        <f>IF(E342="","",Input!$C$4+B342-1)</f>
        <v>73</v>
      </c>
      <c r="E342" s="150">
        <f>IF(OR(AND(C341=12,D341=Input!$C$6),E341=""),"",1)</f>
        <v>1</v>
      </c>
      <c r="F342" s="150">
        <f>IF(E342="","",Input!$C$8+B342-1)</f>
        <v>2046</v>
      </c>
      <c r="G342" s="151">
        <f>IF(E342="","",MAX(0,Input!$C$9-B342))</f>
        <v>0</v>
      </c>
      <c r="H342" s="152">
        <f>IF(E342="","",Input!$C$3)</f>
        <v>100000</v>
      </c>
      <c r="I342" s="153">
        <f>IF(E342="","",HLOOKUP($B342,Input!$C$13:$BT$14,2))</f>
        <v>46.329500000000003</v>
      </c>
      <c r="J342" s="154"/>
      <c r="K342" s="155">
        <f>IF($E342="","",Input!$C$57)</f>
        <v>4.4999999999999998E-2</v>
      </c>
      <c r="L342" s="155">
        <f t="shared" si="116"/>
        <v>3.6748094004368514E-3</v>
      </c>
      <c r="M342" s="147">
        <f>IF($E342="","",VLOOKUP(IF($B342&lt;=Input!$C$7,$B342,26),'Mortality Tables'!$A$72:$CA$97,IF($B342&lt;=Input!$C$7+1,Input!$C$4-16,$D342-Input!$C$7-16),0)/1000)</f>
        <v>1.891E-2</v>
      </c>
      <c r="N342" s="147">
        <f t="shared" si="105"/>
        <v>1.5896585277250797E-3</v>
      </c>
      <c r="O342" s="157">
        <f>IF($E342="","",IF($C342=12,IF($B342&lt;Input!$C$9,Input!$C$54,IF($B342=Input!$C$9,Input!$C$55,Input!$C$56)),0%))</f>
        <v>0</v>
      </c>
      <c r="P342" s="167">
        <f>IF($E342="","",IF($B342=1,Input!$C$59,IF($B342&lt;6,Input!$C$60,0%)))</f>
        <v>0</v>
      </c>
      <c r="Q342" s="162">
        <f>IF($E342="","",Input!$C$58)</f>
        <v>2.5</v>
      </c>
      <c r="R342" s="156">
        <f t="shared" si="117"/>
        <v>0.99841034147227492</v>
      </c>
      <c r="S342" s="154">
        <f t="shared" si="106"/>
        <v>2.2811661220521168E-2</v>
      </c>
      <c r="T342" s="152"/>
      <c r="U342" s="150">
        <f t="shared" si="118"/>
        <v>0</v>
      </c>
      <c r="V342" s="150">
        <f t="shared" si="119"/>
        <v>0</v>
      </c>
      <c r="W342" s="168">
        <f t="shared" si="120"/>
        <v>0</v>
      </c>
      <c r="X342" s="163">
        <f t="shared" si="107"/>
        <v>158.96585277250796</v>
      </c>
      <c r="Y342" s="152"/>
      <c r="Z342" s="164">
        <f>IF(AND($C341=12,$D341=Input!$C$6),0,IF($E342="","",V342+Z343/(1+L342)*R342))</f>
        <v>49154.821384160627</v>
      </c>
      <c r="AA342" s="164">
        <f>IF(OR($M342=1,AND($C341=12,$D341=Input!$C$6)),0,IF($E342="","",W342+(X342+AA343*$R342)/(1+$L342)))</f>
        <v>21294.443203584782</v>
      </c>
      <c r="AB342" s="160">
        <f t="shared" si="108"/>
        <v>0.825720328500681</v>
      </c>
      <c r="AC342" s="164">
        <f t="shared" si="109"/>
        <v>0</v>
      </c>
      <c r="AD342" s="164">
        <f>IF(AND($C341=12,$D341=Input!$C$6),0,IF($E342="","",$AC342+AD343/(1+$L342)*$R342))</f>
        <v>40588.13526072137</v>
      </c>
      <c r="AE342" s="152"/>
      <c r="AF342" s="164">
        <f>IF(AND($C341=12,$D341=Input!$C$6),0,IF($E342="","",IF($B342&gt;Input!$C$9,$AC342,0)+AF343/(1+$L342)*$R342))</f>
        <v>40588.13526072137</v>
      </c>
      <c r="AG342" s="164">
        <f>IF(AND($C341=12,$D341=Input!$C$6),0,IF($E342="","",(IF($B342&gt;Input!$C$9,$X342,0)+AG343)/(1+$L342)*$R342))</f>
        <v>21011.728649253619</v>
      </c>
      <c r="AH342" s="160">
        <f t="shared" si="110"/>
        <v>2.0950137211446997</v>
      </c>
      <c r="AI342" s="160">
        <f>IF($E342="","",MIN(Input!$C$61/AH342,1))</f>
        <v>0.64438718771845094</v>
      </c>
      <c r="AJ342" s="152"/>
      <c r="AK342" s="164">
        <f>IF(AND($C341=12,$D341=Input!$C$6),0,IF($E342="","",IF($B342&gt;Input!$C$9,$AC342*AI342,0)+AK343/(1+$L342)*$R342))</f>
        <v>26154.474335392348</v>
      </c>
      <c r="AL342" s="164">
        <f>IF(AND($C341=12,$D341=Input!$C$6),0,IF($E342="","",IF($B342&gt;Input!$C$9,0,$AC342)+AL343/(1+$L342)*$R342))</f>
        <v>0</v>
      </c>
      <c r="AM342" s="160">
        <f t="shared" si="111"/>
        <v>1.1382936520186004</v>
      </c>
      <c r="AN342" s="164">
        <f>IF($E342="","",IF($B342&gt;Input!$C$9,$AI342*$AC342,$AM342*$AC342))</f>
        <v>0</v>
      </c>
      <c r="AO342" s="164">
        <f>IF(AND($C341=12,$D341=Input!$C$6),0,IF($E342="","",$AN342+AO343/(1+$L342)*$R342))</f>
        <v>26154.474335392348</v>
      </c>
      <c r="AP342" s="152"/>
      <c r="AQ342" s="164">
        <f t="shared" si="112"/>
        <v>-4860.0311318075655</v>
      </c>
      <c r="AR342" s="164">
        <f t="shared" si="121"/>
        <v>-5270.8764309318531</v>
      </c>
      <c r="AS342" s="164">
        <f t="shared" si="122"/>
        <v>904.78468899521533</v>
      </c>
      <c r="AT342" s="164">
        <f t="shared" si="113"/>
        <v>904.78468899521533</v>
      </c>
      <c r="AU342" s="152"/>
      <c r="AV342" s="147">
        <f>'Deterministic Reserve'!BC342</f>
        <v>3.1008291772653331E-2</v>
      </c>
      <c r="AW342" s="164">
        <f t="shared" si="114"/>
        <v>904.78468899521533</v>
      </c>
      <c r="AX342" s="164">
        <f t="shared" si="115"/>
        <v>28.05582762779304</v>
      </c>
      <c r="AY342" s="152"/>
    </row>
    <row r="343" spans="1:51" s="150" customFormat="1" x14ac:dyDescent="0.25">
      <c r="A343" s="150">
        <f t="shared" si="123"/>
        <v>339</v>
      </c>
      <c r="B343" s="150">
        <f t="shared" si="124"/>
        <v>29</v>
      </c>
      <c r="C343" s="150">
        <f t="shared" si="125"/>
        <v>3</v>
      </c>
      <c r="D343" s="150">
        <f>IF(E343="","",Input!$C$4+B343-1)</f>
        <v>73</v>
      </c>
      <c r="E343" s="150">
        <f>IF(OR(AND(C342=12,D342=Input!$C$6),E342=""),"",1)</f>
        <v>1</v>
      </c>
      <c r="F343" s="150">
        <f>IF(E343="","",Input!$C$8+B343-1)</f>
        <v>2046</v>
      </c>
      <c r="G343" s="151">
        <f>IF(E343="","",MAX(0,Input!$C$9-B343))</f>
        <v>0</v>
      </c>
      <c r="H343" s="152">
        <f>IF(E343="","",Input!$C$3)</f>
        <v>100000</v>
      </c>
      <c r="I343" s="153">
        <f>IF(E343="","",HLOOKUP($B343,Input!$C$13:$BT$14,2))</f>
        <v>46.329500000000003</v>
      </c>
      <c r="J343" s="154"/>
      <c r="K343" s="155">
        <f>IF($E343="","",Input!$C$57)</f>
        <v>4.4999999999999998E-2</v>
      </c>
      <c r="L343" s="155">
        <f t="shared" si="116"/>
        <v>3.6748094004368514E-3</v>
      </c>
      <c r="M343" s="147">
        <f>IF($E343="","",VLOOKUP(IF($B343&lt;=Input!$C$7,$B343,26),'Mortality Tables'!$A$72:$CA$97,IF($B343&lt;=Input!$C$7+1,Input!$C$4-16,$D343-Input!$C$7-16),0)/1000)</f>
        <v>1.891E-2</v>
      </c>
      <c r="N343" s="147">
        <f t="shared" si="105"/>
        <v>1.5896585277250797E-3</v>
      </c>
      <c r="O343" s="157">
        <f>IF($E343="","",IF($C343=12,IF($B343&lt;Input!$C$9,Input!$C$54,IF($B343=Input!$C$9,Input!$C$55,Input!$C$56)),0%))</f>
        <v>0</v>
      </c>
      <c r="P343" s="167">
        <f>IF($E343="","",IF($B343=1,Input!$C$59,IF($B343&lt;6,Input!$C$60,0%)))</f>
        <v>0</v>
      </c>
      <c r="Q343" s="162">
        <f>IF($E343="","",Input!$C$58)</f>
        <v>2.5</v>
      </c>
      <c r="R343" s="156">
        <f t="shared" si="117"/>
        <v>0.99841034147227492</v>
      </c>
      <c r="S343" s="154">
        <f t="shared" si="106"/>
        <v>2.277539846873039E-2</v>
      </c>
      <c r="T343" s="152"/>
      <c r="U343" s="150">
        <f t="shared" si="118"/>
        <v>0</v>
      </c>
      <c r="V343" s="150">
        <f t="shared" si="119"/>
        <v>0</v>
      </c>
      <c r="W343" s="168">
        <f t="shared" si="120"/>
        <v>0</v>
      </c>
      <c r="X343" s="163">
        <f t="shared" si="107"/>
        <v>158.96585277250796</v>
      </c>
      <c r="Y343" s="152"/>
      <c r="Z343" s="164">
        <f>IF(AND($C342=12,$D342=Input!$C$6),0,IF($E343="","",V343+Z344/(1+L343)*R343))</f>
        <v>49414.007382083939</v>
      </c>
      <c r="AA343" s="164">
        <f>IF(OR($M343=1,AND($C342=12,$D342=Input!$C$6)),0,IF($E343="","",W343+(X343+AA344*$R343)/(1+$L343)))</f>
        <v>21247.506651014555</v>
      </c>
      <c r="AB343" s="160">
        <f t="shared" si="108"/>
        <v>0.825720328500681</v>
      </c>
      <c r="AC343" s="164">
        <f t="shared" si="109"/>
        <v>0</v>
      </c>
      <c r="AD343" s="164">
        <f>IF(AND($C342=12,$D342=Input!$C$6),0,IF($E343="","",$AC343+AD344/(1+$L343)*$R343))</f>
        <v>40802.150408069385</v>
      </c>
      <c r="AE343" s="152"/>
      <c r="AF343" s="164">
        <f>IF(AND($C342=12,$D342=Input!$C$6),0,IF($E343="","",IF($B343&gt;Input!$C$9,$AC343,0)+AF344/(1+$L343)*$R343))</f>
        <v>40802.150408069385</v>
      </c>
      <c r="AG343" s="164">
        <f>IF(AND($C342=12,$D342=Input!$C$6),0,IF($E343="","",(IF($B343&gt;Input!$C$9,$X343,0)+AG344)/(1+$L343)*$R343))</f>
        <v>20963.554489029208</v>
      </c>
      <c r="AH343" s="160">
        <f t="shared" si="110"/>
        <v>2.0950137211446997</v>
      </c>
      <c r="AI343" s="160">
        <f>IF($E343="","",MIN(Input!$C$61/AH343,1))</f>
        <v>0.64438718771845094</v>
      </c>
      <c r="AJ343" s="152"/>
      <c r="AK343" s="164">
        <f>IF(AND($C342=12,$D342=Input!$C$6),0,IF($E343="","",IF($B343&gt;Input!$C$9,$AC343*AI343,0)+AK344/(1+$L343)*$R343))</f>
        <v>26292.382954321081</v>
      </c>
      <c r="AL343" s="164">
        <f>IF(AND($C342=12,$D342=Input!$C$6),0,IF($E343="","",IF($B343&gt;Input!$C$9,0,$AC343)+AL344/(1+$L343)*$R343))</f>
        <v>0</v>
      </c>
      <c r="AM343" s="160">
        <f t="shared" si="111"/>
        <v>1.1382936520186004</v>
      </c>
      <c r="AN343" s="164">
        <f>IF($E343="","",IF($B343&gt;Input!$C$9,$AI343*$AC343,$AM343*$AC343))</f>
        <v>0</v>
      </c>
      <c r="AO343" s="164">
        <f>IF(AND($C342=12,$D342=Input!$C$6),0,IF($E343="","",$AN343+AO344/(1+$L343)*$R343))</f>
        <v>26292.382954321081</v>
      </c>
      <c r="AP343" s="152"/>
      <c r="AQ343" s="164">
        <f t="shared" si="112"/>
        <v>-5044.8763033065261</v>
      </c>
      <c r="AR343" s="164">
        <f t="shared" si="121"/>
        <v>-5270.8764309318531</v>
      </c>
      <c r="AS343" s="164">
        <f t="shared" si="122"/>
        <v>904.78468899521533</v>
      </c>
      <c r="AT343" s="164">
        <f t="shared" si="113"/>
        <v>904.78468899521533</v>
      </c>
      <c r="AU343" s="152"/>
      <c r="AV343" s="147">
        <f>'Deterministic Reserve'!BC343</f>
        <v>3.0888995006625543E-2</v>
      </c>
      <c r="AW343" s="164">
        <f t="shared" si="114"/>
        <v>904.78468899521533</v>
      </c>
      <c r="AX343" s="164">
        <f t="shared" si="115"/>
        <v>27.947889740444452</v>
      </c>
      <c r="AY343" s="152"/>
    </row>
    <row r="344" spans="1:51" s="150" customFormat="1" x14ac:dyDescent="0.25">
      <c r="A344" s="150">
        <f t="shared" si="123"/>
        <v>340</v>
      </c>
      <c r="B344" s="150">
        <f t="shared" si="124"/>
        <v>29</v>
      </c>
      <c r="C344" s="150">
        <f t="shared" si="125"/>
        <v>4</v>
      </c>
      <c r="D344" s="150">
        <f>IF(E344="","",Input!$C$4+B344-1)</f>
        <v>73</v>
      </c>
      <c r="E344" s="150">
        <f>IF(OR(AND(C343=12,D343=Input!$C$6),E343=""),"",1)</f>
        <v>1</v>
      </c>
      <c r="F344" s="150">
        <f>IF(E344="","",Input!$C$8+B344-1)</f>
        <v>2046</v>
      </c>
      <c r="G344" s="151">
        <f>IF(E344="","",MAX(0,Input!$C$9-B344))</f>
        <v>0</v>
      </c>
      <c r="H344" s="152">
        <f>IF(E344="","",Input!$C$3)</f>
        <v>100000</v>
      </c>
      <c r="I344" s="153">
        <f>IF(E344="","",HLOOKUP($B344,Input!$C$13:$BT$14,2))</f>
        <v>46.329500000000003</v>
      </c>
      <c r="J344" s="154"/>
      <c r="K344" s="155">
        <f>IF($E344="","",Input!$C$57)</f>
        <v>4.4999999999999998E-2</v>
      </c>
      <c r="L344" s="155">
        <f t="shared" si="116"/>
        <v>3.6748094004368514E-3</v>
      </c>
      <c r="M344" s="147">
        <f>IF($E344="","",VLOOKUP(IF($B344&lt;=Input!$C$7,$B344,26),'Mortality Tables'!$A$72:$CA$97,IF($B344&lt;=Input!$C$7+1,Input!$C$4-16,$D344-Input!$C$7-16),0)/1000)</f>
        <v>1.891E-2</v>
      </c>
      <c r="N344" s="147">
        <f t="shared" si="105"/>
        <v>1.5896585277250797E-3</v>
      </c>
      <c r="O344" s="157">
        <f>IF($E344="","",IF($C344=12,IF($B344&lt;Input!$C$9,Input!$C$54,IF($B344=Input!$C$9,Input!$C$55,Input!$C$56)),0%))</f>
        <v>0</v>
      </c>
      <c r="P344" s="167">
        <f>IF($E344="","",IF($B344=1,Input!$C$59,IF($B344&lt;6,Input!$C$60,0%)))</f>
        <v>0</v>
      </c>
      <c r="Q344" s="162">
        <f>IF($E344="","",Input!$C$58)</f>
        <v>2.5</v>
      </c>
      <c r="R344" s="156">
        <f t="shared" si="117"/>
        <v>0.99841034147227492</v>
      </c>
      <c r="S344" s="154">
        <f t="shared" si="106"/>
        <v>2.2739193362332235E-2</v>
      </c>
      <c r="T344" s="152"/>
      <c r="U344" s="150">
        <f t="shared" si="118"/>
        <v>0</v>
      </c>
      <c r="V344" s="150">
        <f t="shared" si="119"/>
        <v>0</v>
      </c>
      <c r="W344" s="168">
        <f t="shared" si="120"/>
        <v>0</v>
      </c>
      <c r="X344" s="163">
        <f t="shared" si="107"/>
        <v>158.96585277250796</v>
      </c>
      <c r="Y344" s="152"/>
      <c r="Z344" s="164">
        <f>IF(AND($C343=12,$D343=Input!$C$6),0,IF($E344="","",V344+Z345/(1+L344)*R344))</f>
        <v>49674.56002888579</v>
      </c>
      <c r="AA344" s="164">
        <f>IF(OR($M344=1,AND($C343=12,$D343=Input!$C$6)),0,IF($E344="","",W344+(X344+AA345*$R344)/(1+$L344)))</f>
        <v>21200.322609045033</v>
      </c>
      <c r="AB344" s="160">
        <f t="shared" si="108"/>
        <v>0.825720328500681</v>
      </c>
      <c r="AC344" s="164">
        <f t="shared" si="109"/>
        <v>0</v>
      </c>
      <c r="AD344" s="164">
        <f>IF(AND($C343=12,$D343=Input!$C$6),0,IF($E344="","",$AC344+AD345/(1+$L344)*$R344))</f>
        <v>41017.294025178329</v>
      </c>
      <c r="AE344" s="152"/>
      <c r="AF344" s="164">
        <f>IF(AND($C343=12,$D343=Input!$C$6),0,IF($E344="","",IF($B344&gt;Input!$C$9,$AC344,0)+AF345/(1+$L344)*$R344))</f>
        <v>41017.294025178329</v>
      </c>
      <c r="AG344" s="164">
        <f>IF(AND($C343=12,$D343=Input!$C$6),0,IF($E344="","",(IF($B344&gt;Input!$C$9,$X344,0)+AG345)/(1+$L344)*$R344))</f>
        <v>20915.126313686029</v>
      </c>
      <c r="AH344" s="160">
        <f t="shared" si="110"/>
        <v>2.0950137211446997</v>
      </c>
      <c r="AI344" s="160">
        <f>IF($E344="","",MIN(Input!$C$61/AH344,1))</f>
        <v>0.64438718771845094</v>
      </c>
      <c r="AJ344" s="152"/>
      <c r="AK344" s="164">
        <f>IF(AND($C343=12,$D343=Input!$C$6),0,IF($E344="","",IF($B344&gt;Input!$C$9,$AC344*AI344,0)+AK345/(1+$L344)*$R344))</f>
        <v>26431.018744705489</v>
      </c>
      <c r="AL344" s="164">
        <f>IF(AND($C343=12,$D343=Input!$C$6),0,IF($E344="","",IF($B344&gt;Input!$C$9,0,$AC344)+AL345/(1+$L344)*$R344))</f>
        <v>0</v>
      </c>
      <c r="AM344" s="160">
        <f t="shared" si="111"/>
        <v>1.1382936520186004</v>
      </c>
      <c r="AN344" s="164">
        <f>IF($E344="","",IF($B344&gt;Input!$C$9,$AI344*$AC344,$AM344*$AC344))</f>
        <v>0</v>
      </c>
      <c r="AO344" s="164">
        <f>IF(AND($C343=12,$D343=Input!$C$6),0,IF($E344="","",$AN344+AO345/(1+$L344)*$R344))</f>
        <v>26431.018744705489</v>
      </c>
      <c r="AP344" s="152"/>
      <c r="AQ344" s="164">
        <f t="shared" si="112"/>
        <v>-5230.6961356604552</v>
      </c>
      <c r="AR344" s="164">
        <f t="shared" si="121"/>
        <v>-5270.8764309318531</v>
      </c>
      <c r="AS344" s="164">
        <f t="shared" si="122"/>
        <v>904.78468899521533</v>
      </c>
      <c r="AT344" s="164">
        <f t="shared" si="113"/>
        <v>904.78468899521533</v>
      </c>
      <c r="AU344" s="152"/>
      <c r="AV344" s="147">
        <f>'Deterministic Reserve'!BC344</f>
        <v>3.0770157205525235E-2</v>
      </c>
      <c r="AW344" s="164">
        <f t="shared" si="114"/>
        <v>904.78468899521533</v>
      </c>
      <c r="AX344" s="164">
        <f t="shared" si="115"/>
        <v>27.840367117535035</v>
      </c>
      <c r="AY344" s="152"/>
    </row>
    <row r="345" spans="1:51" s="150" customFormat="1" x14ac:dyDescent="0.25">
      <c r="A345" s="150">
        <f t="shared" si="123"/>
        <v>341</v>
      </c>
      <c r="B345" s="150">
        <f t="shared" si="124"/>
        <v>29</v>
      </c>
      <c r="C345" s="150">
        <f t="shared" si="125"/>
        <v>5</v>
      </c>
      <c r="D345" s="150">
        <f>IF(E345="","",Input!$C$4+B345-1)</f>
        <v>73</v>
      </c>
      <c r="E345" s="150">
        <f>IF(OR(AND(C344=12,D344=Input!$C$6),E344=""),"",1)</f>
        <v>1</v>
      </c>
      <c r="F345" s="150">
        <f>IF(E345="","",Input!$C$8+B345-1)</f>
        <v>2046</v>
      </c>
      <c r="G345" s="151">
        <f>IF(E345="","",MAX(0,Input!$C$9-B345))</f>
        <v>0</v>
      </c>
      <c r="H345" s="152">
        <f>IF(E345="","",Input!$C$3)</f>
        <v>100000</v>
      </c>
      <c r="I345" s="153">
        <f>IF(E345="","",HLOOKUP($B345,Input!$C$13:$BT$14,2))</f>
        <v>46.329500000000003</v>
      </c>
      <c r="J345" s="154"/>
      <c r="K345" s="155">
        <f>IF($E345="","",Input!$C$57)</f>
        <v>4.4999999999999998E-2</v>
      </c>
      <c r="L345" s="155">
        <f t="shared" si="116"/>
        <v>3.6748094004368514E-3</v>
      </c>
      <c r="M345" s="147">
        <f>IF($E345="","",VLOOKUP(IF($B345&lt;=Input!$C$7,$B345,26),'Mortality Tables'!$A$72:$CA$97,IF($B345&lt;=Input!$C$7+1,Input!$C$4-16,$D345-Input!$C$7-16),0)/1000)</f>
        <v>1.891E-2</v>
      </c>
      <c r="N345" s="147">
        <f t="shared" si="105"/>
        <v>1.5896585277250797E-3</v>
      </c>
      <c r="O345" s="157">
        <f>IF($E345="","",IF($C345=12,IF($B345&lt;Input!$C$9,Input!$C$54,IF($B345=Input!$C$9,Input!$C$55,Input!$C$56)),0%))</f>
        <v>0</v>
      </c>
      <c r="P345" s="167">
        <f>IF($E345="","",IF($B345=1,Input!$C$59,IF($B345&lt;6,Input!$C$60,0%)))</f>
        <v>0</v>
      </c>
      <c r="Q345" s="162">
        <f>IF($E345="","",Input!$C$58)</f>
        <v>2.5</v>
      </c>
      <c r="R345" s="156">
        <f t="shared" si="117"/>
        <v>0.99841034147227492</v>
      </c>
      <c r="S345" s="154">
        <f t="shared" si="106"/>
        <v>2.2703045809690212E-2</v>
      </c>
      <c r="T345" s="152"/>
      <c r="U345" s="150">
        <f t="shared" si="118"/>
        <v>0</v>
      </c>
      <c r="V345" s="150">
        <f t="shared" si="119"/>
        <v>0</v>
      </c>
      <c r="W345" s="168">
        <f t="shared" si="120"/>
        <v>0</v>
      </c>
      <c r="X345" s="163">
        <f t="shared" si="107"/>
        <v>158.96585277250796</v>
      </c>
      <c r="Y345" s="152"/>
      <c r="Z345" s="164">
        <f>IF(AND($C344=12,$D344=Input!$C$6),0,IF($E345="","",V345+Z346/(1+L345)*R345))</f>
        <v>49936.486530700662</v>
      </c>
      <c r="AA345" s="164">
        <f>IF(OR($M345=1,AND($C344=12,$D344=Input!$C$6)),0,IF($E345="","",W345+(X345+AA346*$R345)/(1+$L345)))</f>
        <v>21152.889772701743</v>
      </c>
      <c r="AB345" s="160">
        <f t="shared" si="108"/>
        <v>0.825720328500681</v>
      </c>
      <c r="AC345" s="164">
        <f t="shared" si="109"/>
        <v>0</v>
      </c>
      <c r="AD345" s="164">
        <f>IF(AND($C344=12,$D344=Input!$C$6),0,IF($E345="","",$AC345+AD346/(1+$L345)*$R345))</f>
        <v>41233.572062299936</v>
      </c>
      <c r="AE345" s="152"/>
      <c r="AF345" s="164">
        <f>IF(AND($C344=12,$D344=Input!$C$6),0,IF($E345="","",IF($B345&gt;Input!$C$9,$AC345,0)+AF346/(1+$L345)*$R345))</f>
        <v>41233.572062299936</v>
      </c>
      <c r="AG345" s="164">
        <f>IF(AND($C344=12,$D344=Input!$C$6),0,IF($E345="","",(IF($B345&gt;Input!$C$9,$X345,0)+AG346)/(1+$L345)*$R345))</f>
        <v>20866.442783840477</v>
      </c>
      <c r="AH345" s="160">
        <f t="shared" si="110"/>
        <v>2.0950137211446997</v>
      </c>
      <c r="AI345" s="160">
        <f>IF($E345="","",MIN(Input!$C$61/AH345,1))</f>
        <v>0.64438718771845094</v>
      </c>
      <c r="AJ345" s="152"/>
      <c r="AK345" s="164">
        <f>IF(AND($C344=12,$D344=Input!$C$6),0,IF($E345="","",IF($B345&gt;Input!$C$9,$AC345*AI345,0)+AK346/(1+$L345)*$R345))</f>
        <v>26570.385540811549</v>
      </c>
      <c r="AL345" s="164">
        <f>IF(AND($C344=12,$D344=Input!$C$6),0,IF($E345="","",IF($B345&gt;Input!$C$9,0,$AC345)+AL346/(1+$L345)*$R345))</f>
        <v>0</v>
      </c>
      <c r="AM345" s="160">
        <f t="shared" si="111"/>
        <v>1.1382936520186004</v>
      </c>
      <c r="AN345" s="164">
        <f>IF($E345="","",IF($B345&gt;Input!$C$9,$AI345*$AC345,$AM345*$AC345))</f>
        <v>0</v>
      </c>
      <c r="AO345" s="164">
        <f>IF(AND($C344=12,$D344=Input!$C$6),0,IF($E345="","",$AN345+AO346/(1+$L345)*$R345))</f>
        <v>26570.385540811549</v>
      </c>
      <c r="AP345" s="152"/>
      <c r="AQ345" s="164">
        <f t="shared" si="112"/>
        <v>-5417.4957681098058</v>
      </c>
      <c r="AR345" s="164">
        <f t="shared" si="121"/>
        <v>-5270.8764309318531</v>
      </c>
      <c r="AS345" s="164">
        <f t="shared" si="122"/>
        <v>904.78468899521533</v>
      </c>
      <c r="AT345" s="164">
        <f t="shared" si="113"/>
        <v>904.78468899521533</v>
      </c>
      <c r="AU345" s="152"/>
      <c r="AV345" s="147">
        <f>'Deterministic Reserve'!BC345</f>
        <v>3.0651776603597879E-2</v>
      </c>
      <c r="AW345" s="164">
        <f t="shared" si="114"/>
        <v>904.78468899521533</v>
      </c>
      <c r="AX345" s="164">
        <f t="shared" si="115"/>
        <v>27.733258161437124</v>
      </c>
      <c r="AY345" s="152"/>
    </row>
    <row r="346" spans="1:51" s="150" customFormat="1" x14ac:dyDescent="0.25">
      <c r="A346" s="150">
        <f t="shared" si="123"/>
        <v>342</v>
      </c>
      <c r="B346" s="150">
        <f t="shared" si="124"/>
        <v>29</v>
      </c>
      <c r="C346" s="150">
        <f t="shared" si="125"/>
        <v>6</v>
      </c>
      <c r="D346" s="150">
        <f>IF(E346="","",Input!$C$4+B346-1)</f>
        <v>73</v>
      </c>
      <c r="E346" s="150">
        <f>IF(OR(AND(C345=12,D345=Input!$C$6),E345=""),"",1)</f>
        <v>1</v>
      </c>
      <c r="F346" s="150">
        <f>IF(E346="","",Input!$C$8+B346-1)</f>
        <v>2046</v>
      </c>
      <c r="G346" s="151">
        <f>IF(E346="","",MAX(0,Input!$C$9-B346))</f>
        <v>0</v>
      </c>
      <c r="H346" s="152">
        <f>IF(E346="","",Input!$C$3)</f>
        <v>100000</v>
      </c>
      <c r="I346" s="153">
        <f>IF(E346="","",HLOOKUP($B346,Input!$C$13:$BT$14,2))</f>
        <v>46.329500000000003</v>
      </c>
      <c r="J346" s="154"/>
      <c r="K346" s="155">
        <f>IF($E346="","",Input!$C$57)</f>
        <v>4.4999999999999998E-2</v>
      </c>
      <c r="L346" s="155">
        <f t="shared" si="116"/>
        <v>3.6748094004368514E-3</v>
      </c>
      <c r="M346" s="147">
        <f>IF($E346="","",VLOOKUP(IF($B346&lt;=Input!$C$7,$B346,26),'Mortality Tables'!$A$72:$CA$97,IF($B346&lt;=Input!$C$7+1,Input!$C$4-16,$D346-Input!$C$7-16),0)/1000)</f>
        <v>1.891E-2</v>
      </c>
      <c r="N346" s="147">
        <f t="shared" si="105"/>
        <v>1.5896585277250797E-3</v>
      </c>
      <c r="O346" s="157">
        <f>IF($E346="","",IF($C346=12,IF($B346&lt;Input!$C$9,Input!$C$54,IF($B346=Input!$C$9,Input!$C$55,Input!$C$56)),0%))</f>
        <v>0</v>
      </c>
      <c r="P346" s="167">
        <f>IF($E346="","",IF($B346=1,Input!$C$59,IF($B346&lt;6,Input!$C$60,0%)))</f>
        <v>0</v>
      </c>
      <c r="Q346" s="162">
        <f>IF($E346="","",Input!$C$58)</f>
        <v>2.5</v>
      </c>
      <c r="R346" s="156">
        <f t="shared" si="117"/>
        <v>0.99841034147227492</v>
      </c>
      <c r="S346" s="154">
        <f t="shared" si="106"/>
        <v>2.2666955719313504E-2</v>
      </c>
      <c r="T346" s="152"/>
      <c r="U346" s="150">
        <f t="shared" si="118"/>
        <v>0</v>
      </c>
      <c r="V346" s="150">
        <f t="shared" si="119"/>
        <v>0</v>
      </c>
      <c r="W346" s="168">
        <f t="shared" si="120"/>
        <v>0</v>
      </c>
      <c r="X346" s="163">
        <f t="shared" si="107"/>
        <v>158.96585277250796</v>
      </c>
      <c r="Y346" s="152"/>
      <c r="Z346" s="164">
        <f>IF(AND($C345=12,$D345=Input!$C$6),0,IF($E346="","",V346+Z347/(1+L346)*R346))</f>
        <v>50199.794131659903</v>
      </c>
      <c r="AA346" s="164">
        <f>IF(OR($M346=1,AND($C345=12,$D345=Input!$C$6)),0,IF($E346="","",W346+(X346+AA347*$R346)/(1+$L346)))</f>
        <v>21105.206830129282</v>
      </c>
      <c r="AB346" s="160">
        <f t="shared" si="108"/>
        <v>0.825720328500681</v>
      </c>
      <c r="AC346" s="164">
        <f t="shared" si="109"/>
        <v>0</v>
      </c>
      <c r="AD346" s="164">
        <f>IF(AND($C345=12,$D345=Input!$C$6),0,IF($E346="","",$AC346+AD347/(1+$L346)*$R346))</f>
        <v>41450.990501060733</v>
      </c>
      <c r="AE346" s="152"/>
      <c r="AF346" s="164">
        <f>IF(AND($C345=12,$D345=Input!$C$6),0,IF($E346="","",IF($B346&gt;Input!$C$9,$AC346,0)+AF347/(1+$L346)*$R346))</f>
        <v>41450.990501060733</v>
      </c>
      <c r="AG346" s="164">
        <f>IF(AND($C345=12,$D345=Input!$C$6),0,IF($E346="","",(IF($B346&gt;Input!$C$9,$X346,0)+AG347)/(1+$L346)*$R346))</f>
        <v>20817.502553046572</v>
      </c>
      <c r="AH346" s="160">
        <f t="shared" si="110"/>
        <v>2.0950137211446997</v>
      </c>
      <c r="AI346" s="160">
        <f>IF($E346="","",MIN(Input!$C$61/AH346,1))</f>
        <v>0.64438718771845094</v>
      </c>
      <c r="AJ346" s="152"/>
      <c r="AK346" s="164">
        <f>IF(AND($C345=12,$D345=Input!$C$6),0,IF($E346="","",IF($B346&gt;Input!$C$9,$AC346*AI346,0)+AK347/(1+$L346)*$R346))</f>
        <v>26710.487197122751</v>
      </c>
      <c r="AL346" s="164">
        <f>IF(AND($C345=12,$D345=Input!$C$6),0,IF($E346="","",IF($B346&gt;Input!$C$9,0,$AC346)+AL347/(1+$L346)*$R346))</f>
        <v>0</v>
      </c>
      <c r="AM346" s="160">
        <f t="shared" si="111"/>
        <v>1.1382936520186004</v>
      </c>
      <c r="AN346" s="164">
        <f>IF($E346="","",IF($B346&gt;Input!$C$9,$AI346*$AC346,$AM346*$AC346))</f>
        <v>0</v>
      </c>
      <c r="AO346" s="164">
        <f>IF(AND($C345=12,$D345=Input!$C$6),0,IF($E346="","",$AN346+AO347/(1+$L346)*$R346))</f>
        <v>26710.487197122751</v>
      </c>
      <c r="AP346" s="152"/>
      <c r="AQ346" s="164">
        <f t="shared" si="112"/>
        <v>-5605.2803669934692</v>
      </c>
      <c r="AR346" s="164">
        <f t="shared" si="121"/>
        <v>-5270.8764309318531</v>
      </c>
      <c r="AS346" s="164">
        <f t="shared" si="122"/>
        <v>904.78468899521533</v>
      </c>
      <c r="AT346" s="164">
        <f t="shared" si="113"/>
        <v>904.78468899521533</v>
      </c>
      <c r="AU346" s="152"/>
      <c r="AV346" s="147">
        <f>'Deterministic Reserve'!BC346</f>
        <v>3.0533851441882254E-2</v>
      </c>
      <c r="AW346" s="164">
        <f t="shared" si="114"/>
        <v>904.78468899521533</v>
      </c>
      <c r="AX346" s="164">
        <f t="shared" si="115"/>
        <v>27.626561280669542</v>
      </c>
      <c r="AY346" s="152"/>
    </row>
    <row r="347" spans="1:51" s="150" customFormat="1" x14ac:dyDescent="0.25">
      <c r="A347" s="150">
        <f t="shared" si="123"/>
        <v>343</v>
      </c>
      <c r="B347" s="150">
        <f t="shared" si="124"/>
        <v>29</v>
      </c>
      <c r="C347" s="150">
        <f t="shared" si="125"/>
        <v>7</v>
      </c>
      <c r="D347" s="150">
        <f>IF(E347="","",Input!$C$4+B347-1)</f>
        <v>73</v>
      </c>
      <c r="E347" s="150">
        <f>IF(OR(AND(C346=12,D346=Input!$C$6),E346=""),"",1)</f>
        <v>1</v>
      </c>
      <c r="F347" s="150">
        <f>IF(E347="","",Input!$C$8+B347-1)</f>
        <v>2046</v>
      </c>
      <c r="G347" s="151">
        <f>IF(E347="","",MAX(0,Input!$C$9-B347))</f>
        <v>0</v>
      </c>
      <c r="H347" s="152">
        <f>IF(E347="","",Input!$C$3)</f>
        <v>100000</v>
      </c>
      <c r="I347" s="153">
        <f>IF(E347="","",HLOOKUP($B347,Input!$C$13:$BT$14,2))</f>
        <v>46.329500000000003</v>
      </c>
      <c r="J347" s="154"/>
      <c r="K347" s="155">
        <f>IF($E347="","",Input!$C$57)</f>
        <v>4.4999999999999998E-2</v>
      </c>
      <c r="L347" s="155">
        <f t="shared" si="116"/>
        <v>3.6748094004368514E-3</v>
      </c>
      <c r="M347" s="147">
        <f>IF($E347="","",VLOOKUP(IF($B347&lt;=Input!$C$7,$B347,26),'Mortality Tables'!$A$72:$CA$97,IF($B347&lt;=Input!$C$7+1,Input!$C$4-16,$D347-Input!$C$7-16),0)/1000)</f>
        <v>1.891E-2</v>
      </c>
      <c r="N347" s="147">
        <f t="shared" si="105"/>
        <v>1.5896585277250797E-3</v>
      </c>
      <c r="O347" s="157">
        <f>IF($E347="","",IF($C347=12,IF($B347&lt;Input!$C$9,Input!$C$54,IF($B347=Input!$C$9,Input!$C$55,Input!$C$56)),0%))</f>
        <v>0</v>
      </c>
      <c r="P347" s="167">
        <f>IF($E347="","",IF($B347=1,Input!$C$59,IF($B347&lt;6,Input!$C$60,0%)))</f>
        <v>0</v>
      </c>
      <c r="Q347" s="162">
        <f>IF($E347="","",Input!$C$58)</f>
        <v>2.5</v>
      </c>
      <c r="R347" s="156">
        <f t="shared" si="117"/>
        <v>0.99841034147227492</v>
      </c>
      <c r="S347" s="154">
        <f t="shared" si="106"/>
        <v>2.263092299985673E-2</v>
      </c>
      <c r="T347" s="152"/>
      <c r="U347" s="150">
        <f t="shared" si="118"/>
        <v>0</v>
      </c>
      <c r="V347" s="150">
        <f t="shared" si="119"/>
        <v>0</v>
      </c>
      <c r="W347" s="168">
        <f t="shared" si="120"/>
        <v>0</v>
      </c>
      <c r="X347" s="163">
        <f t="shared" si="107"/>
        <v>158.96585277250796</v>
      </c>
      <c r="Y347" s="152"/>
      <c r="Z347" s="164">
        <f>IF(AND($C346=12,$D346=Input!$C$6),0,IF($E347="","",V347+Z348/(1+L347)*R347))</f>
        <v>50464.490114092085</v>
      </c>
      <c r="AA347" s="164">
        <f>IF(OR($M347=1,AND($C346=12,$D346=Input!$C$6)),0,IF($E347="","",W347+(X347+AA348*$R347)/(1+$L347)))</f>
        <v>21057.272462555029</v>
      </c>
      <c r="AB347" s="160">
        <f t="shared" si="108"/>
        <v>0.825720328500681</v>
      </c>
      <c r="AC347" s="164">
        <f t="shared" si="109"/>
        <v>0</v>
      </c>
      <c r="AD347" s="164">
        <f>IF(AND($C346=12,$D346=Input!$C$6),0,IF($E347="","",$AC347+AD348/(1+$L347)*$R347))</f>
        <v>41669.555354627446</v>
      </c>
      <c r="AE347" s="152"/>
      <c r="AF347" s="164">
        <f>IF(AND($C346=12,$D346=Input!$C$6),0,IF($E347="","",IF($B347&gt;Input!$C$9,$AC347,0)+AF348/(1+$L347)*$R347))</f>
        <v>41669.555354627446</v>
      </c>
      <c r="AG347" s="164">
        <f>IF(AND($C346=12,$D346=Input!$C$6),0,IF($E347="","",(IF($B347&gt;Input!$C$9,$X347,0)+AG348)/(1+$L347)*$R347))</f>
        <v>20768.304267758725</v>
      </c>
      <c r="AH347" s="160">
        <f t="shared" si="110"/>
        <v>2.0950137211446997</v>
      </c>
      <c r="AI347" s="160">
        <f>IF($E347="","",MIN(Input!$C$61/AH347,1))</f>
        <v>0.64438718771845094</v>
      </c>
      <c r="AJ347" s="152"/>
      <c r="AK347" s="164">
        <f>IF(AND($C346=12,$D346=Input!$C$6),0,IF($E347="","",IF($B347&gt;Input!$C$9,$AC347*AI347,0)+AK348/(1+$L347)*$R347))</f>
        <v>26851.3275884467</v>
      </c>
      <c r="AL347" s="164">
        <f>IF(AND($C346=12,$D346=Input!$C$6),0,IF($E347="","",IF($B347&gt;Input!$C$9,0,$AC347)+AL348/(1+$L347)*$R347))</f>
        <v>0</v>
      </c>
      <c r="AM347" s="160">
        <f t="shared" si="111"/>
        <v>1.1382936520186004</v>
      </c>
      <c r="AN347" s="164">
        <f>IF($E347="","",IF($B347&gt;Input!$C$9,$AI347*$AC347,$AM347*$AC347))</f>
        <v>0</v>
      </c>
      <c r="AO347" s="164">
        <f>IF(AND($C346=12,$D346=Input!$C$6),0,IF($E347="","",$AN347+AO348/(1+$L347)*$R347))</f>
        <v>26851.3275884467</v>
      </c>
      <c r="AP347" s="152"/>
      <c r="AQ347" s="164">
        <f t="shared" si="112"/>
        <v>-5794.0551258916712</v>
      </c>
      <c r="AR347" s="164">
        <f t="shared" si="121"/>
        <v>-5270.8764309318531</v>
      </c>
      <c r="AS347" s="164">
        <f t="shared" si="122"/>
        <v>904.78468899521533</v>
      </c>
      <c r="AT347" s="164">
        <f t="shared" si="113"/>
        <v>904.78468899521533</v>
      </c>
      <c r="AU347" s="152"/>
      <c r="AV347" s="147">
        <f>'Deterministic Reserve'!BC347</f>
        <v>3.0416379968184307E-2</v>
      </c>
      <c r="AW347" s="164">
        <f t="shared" si="114"/>
        <v>904.78468899521533</v>
      </c>
      <c r="AX347" s="164">
        <f t="shared" si="115"/>
        <v>27.520274889873935</v>
      </c>
      <c r="AY347" s="152"/>
    </row>
    <row r="348" spans="1:51" s="150" customFormat="1" x14ac:dyDescent="0.25">
      <c r="A348" s="150">
        <f t="shared" si="123"/>
        <v>344</v>
      </c>
      <c r="B348" s="150">
        <f t="shared" si="124"/>
        <v>29</v>
      </c>
      <c r="C348" s="150">
        <f t="shared" si="125"/>
        <v>8</v>
      </c>
      <c r="D348" s="150">
        <f>IF(E348="","",Input!$C$4+B348-1)</f>
        <v>73</v>
      </c>
      <c r="E348" s="150">
        <f>IF(OR(AND(C347=12,D347=Input!$C$6),E347=""),"",1)</f>
        <v>1</v>
      </c>
      <c r="F348" s="150">
        <f>IF(E348="","",Input!$C$8+B348-1)</f>
        <v>2046</v>
      </c>
      <c r="G348" s="151">
        <f>IF(E348="","",MAX(0,Input!$C$9-B348))</f>
        <v>0</v>
      </c>
      <c r="H348" s="152">
        <f>IF(E348="","",Input!$C$3)</f>
        <v>100000</v>
      </c>
      <c r="I348" s="153">
        <f>IF(E348="","",HLOOKUP($B348,Input!$C$13:$BT$14,2))</f>
        <v>46.329500000000003</v>
      </c>
      <c r="J348" s="154"/>
      <c r="K348" s="155">
        <f>IF($E348="","",Input!$C$57)</f>
        <v>4.4999999999999998E-2</v>
      </c>
      <c r="L348" s="155">
        <f t="shared" si="116"/>
        <v>3.6748094004368514E-3</v>
      </c>
      <c r="M348" s="147">
        <f>IF($E348="","",VLOOKUP(IF($B348&lt;=Input!$C$7,$B348,26),'Mortality Tables'!$A$72:$CA$97,IF($B348&lt;=Input!$C$7+1,Input!$C$4-16,$D348-Input!$C$7-16),0)/1000)</f>
        <v>1.891E-2</v>
      </c>
      <c r="N348" s="147">
        <f t="shared" si="105"/>
        <v>1.5896585277250797E-3</v>
      </c>
      <c r="O348" s="157">
        <f>IF($E348="","",IF($C348=12,IF($B348&lt;Input!$C$9,Input!$C$54,IF($B348=Input!$C$9,Input!$C$55,Input!$C$56)),0%))</f>
        <v>0</v>
      </c>
      <c r="P348" s="167">
        <f>IF($E348="","",IF($B348=1,Input!$C$59,IF($B348&lt;6,Input!$C$60,0%)))</f>
        <v>0</v>
      </c>
      <c r="Q348" s="162">
        <f>IF($E348="","",Input!$C$58)</f>
        <v>2.5</v>
      </c>
      <c r="R348" s="156">
        <f t="shared" si="117"/>
        <v>0.99841034147227492</v>
      </c>
      <c r="S348" s="154">
        <f t="shared" si="106"/>
        <v>2.2594947560119719E-2</v>
      </c>
      <c r="T348" s="152"/>
      <c r="U348" s="150">
        <f t="shared" si="118"/>
        <v>0</v>
      </c>
      <c r="V348" s="150">
        <f t="shared" si="119"/>
        <v>0</v>
      </c>
      <c r="W348" s="168">
        <f t="shared" si="120"/>
        <v>0</v>
      </c>
      <c r="X348" s="163">
        <f t="shared" si="107"/>
        <v>158.96585277250796</v>
      </c>
      <c r="Y348" s="152"/>
      <c r="Z348" s="164">
        <f>IF(AND($C347=12,$D347=Input!$C$6),0,IF($E348="","",V348+Z349/(1+L348)*R348))</f>
        <v>50730.581798724401</v>
      </c>
      <c r="AA348" s="164">
        <f>IF(OR($M348=1,AND($C347=12,$D347=Input!$C$6)),0,IF($E348="","",W348+(X348+AA349*$R348)/(1+$L348)))</f>
        <v>21009.085344252675</v>
      </c>
      <c r="AB348" s="160">
        <f t="shared" si="108"/>
        <v>0.825720328500681</v>
      </c>
      <c r="AC348" s="164">
        <f t="shared" si="109"/>
        <v>0</v>
      </c>
      <c r="AD348" s="164">
        <f>IF(AND($C347=12,$D347=Input!$C$6),0,IF($E348="","",$AC348+AD349/(1+$L348)*$R348))</f>
        <v>41889.272667873338</v>
      </c>
      <c r="AE348" s="152"/>
      <c r="AF348" s="164">
        <f>IF(AND($C347=12,$D347=Input!$C$6),0,IF($E348="","",IF($B348&gt;Input!$C$9,$AC348,0)+AF349/(1+$L348)*$R348))</f>
        <v>41889.272667873338</v>
      </c>
      <c r="AG348" s="164">
        <f>IF(AND($C347=12,$D347=Input!$C$6),0,IF($E348="","",(IF($B348&gt;Input!$C$9,$X348,0)+AG349)/(1+$L348)*$R348))</f>
        <v>20718.846567294317</v>
      </c>
      <c r="AH348" s="160">
        <f t="shared" si="110"/>
        <v>2.0950137211446997</v>
      </c>
      <c r="AI348" s="160">
        <f>IF($E348="","",MIN(Input!$C$61/AH348,1))</f>
        <v>0.64438718771845094</v>
      </c>
      <c r="AJ348" s="152"/>
      <c r="AK348" s="164">
        <f>IF(AND($C347=12,$D347=Input!$C$6),0,IF($E348="","",IF($B348&gt;Input!$C$9,$AC348*AI348,0)+AK349/(1+$L348)*$R348))</f>
        <v>26992.910610022278</v>
      </c>
      <c r="AL348" s="164">
        <f>IF(AND($C347=12,$D347=Input!$C$6),0,IF($E348="","",IF($B348&gt;Input!$C$9,0,$AC348)+AL349/(1+$L348)*$R348))</f>
        <v>0</v>
      </c>
      <c r="AM348" s="160">
        <f t="shared" si="111"/>
        <v>1.1382936520186004</v>
      </c>
      <c r="AN348" s="164">
        <f>IF($E348="","",IF($B348&gt;Input!$C$9,$AI348*$AC348,$AM348*$AC348))</f>
        <v>0</v>
      </c>
      <c r="AO348" s="164">
        <f>IF(AND($C347=12,$D347=Input!$C$6),0,IF($E348="","",$AN348+AO349/(1+$L348)*$R348))</f>
        <v>26992.910610022278</v>
      </c>
      <c r="AP348" s="152"/>
      <c r="AQ348" s="164">
        <f t="shared" si="112"/>
        <v>-5983.825265769603</v>
      </c>
      <c r="AR348" s="164">
        <f t="shared" si="121"/>
        <v>-5270.8764309318531</v>
      </c>
      <c r="AS348" s="164">
        <f t="shared" si="122"/>
        <v>904.78468899521533</v>
      </c>
      <c r="AT348" s="164">
        <f t="shared" si="113"/>
        <v>904.78468899521533</v>
      </c>
      <c r="AU348" s="152"/>
      <c r="AV348" s="147">
        <f>'Deterministic Reserve'!BC348</f>
        <v>3.0299360437051125E-2</v>
      </c>
      <c r="AW348" s="164">
        <f t="shared" si="114"/>
        <v>904.78468899521533</v>
      </c>
      <c r="AX348" s="164">
        <f t="shared" si="115"/>
        <v>27.414397409791235</v>
      </c>
      <c r="AY348" s="152"/>
    </row>
    <row r="349" spans="1:51" s="150" customFormat="1" x14ac:dyDescent="0.25">
      <c r="A349" s="150">
        <f t="shared" si="123"/>
        <v>345</v>
      </c>
      <c r="B349" s="150">
        <f t="shared" si="124"/>
        <v>29</v>
      </c>
      <c r="C349" s="150">
        <f t="shared" si="125"/>
        <v>9</v>
      </c>
      <c r="D349" s="150">
        <f>IF(E349="","",Input!$C$4+B349-1)</f>
        <v>73</v>
      </c>
      <c r="E349" s="150">
        <f>IF(OR(AND(C348=12,D348=Input!$C$6),E348=""),"",1)</f>
        <v>1</v>
      </c>
      <c r="F349" s="150">
        <f>IF(E349="","",Input!$C$8+B349-1)</f>
        <v>2046</v>
      </c>
      <c r="G349" s="151">
        <f>IF(E349="","",MAX(0,Input!$C$9-B349))</f>
        <v>0</v>
      </c>
      <c r="H349" s="152">
        <f>IF(E349="","",Input!$C$3)</f>
        <v>100000</v>
      </c>
      <c r="I349" s="153">
        <f>IF(E349="","",HLOOKUP($B349,Input!$C$13:$BT$14,2))</f>
        <v>46.329500000000003</v>
      </c>
      <c r="J349" s="154"/>
      <c r="K349" s="155">
        <f>IF($E349="","",Input!$C$57)</f>
        <v>4.4999999999999998E-2</v>
      </c>
      <c r="L349" s="155">
        <f t="shared" si="116"/>
        <v>3.6748094004368514E-3</v>
      </c>
      <c r="M349" s="147">
        <f>IF($E349="","",VLOOKUP(IF($B349&lt;=Input!$C$7,$B349,26),'Mortality Tables'!$A$72:$CA$97,IF($B349&lt;=Input!$C$7+1,Input!$C$4-16,$D349-Input!$C$7-16),0)/1000)</f>
        <v>1.891E-2</v>
      </c>
      <c r="N349" s="147">
        <f t="shared" si="105"/>
        <v>1.5896585277250797E-3</v>
      </c>
      <c r="O349" s="157">
        <f>IF($E349="","",IF($C349=12,IF($B349&lt;Input!$C$9,Input!$C$54,IF($B349=Input!$C$9,Input!$C$55,Input!$C$56)),0%))</f>
        <v>0</v>
      </c>
      <c r="P349" s="167">
        <f>IF($E349="","",IF($B349=1,Input!$C$59,IF($B349&lt;6,Input!$C$60,0%)))</f>
        <v>0</v>
      </c>
      <c r="Q349" s="162">
        <f>IF($E349="","",Input!$C$58)</f>
        <v>2.5</v>
      </c>
      <c r="R349" s="156">
        <f t="shared" si="117"/>
        <v>0.99841034147227492</v>
      </c>
      <c r="S349" s="154">
        <f t="shared" si="106"/>
        <v>2.2559029309047272E-2</v>
      </c>
      <c r="T349" s="152"/>
      <c r="U349" s="150">
        <f t="shared" si="118"/>
        <v>0</v>
      </c>
      <c r="V349" s="150">
        <f t="shared" si="119"/>
        <v>0</v>
      </c>
      <c r="W349" s="168">
        <f t="shared" si="120"/>
        <v>0</v>
      </c>
      <c r="X349" s="163">
        <f t="shared" si="107"/>
        <v>158.96585277250796</v>
      </c>
      <c r="Y349" s="152"/>
      <c r="Z349" s="164">
        <f>IF(AND($C348=12,$D348=Input!$C$6),0,IF($E349="","",V349+Z350/(1+L349)*R349))</f>
        <v>50998.076544885138</v>
      </c>
      <c r="AA349" s="164">
        <f>IF(OR($M349=1,AND($C348=12,$D348=Input!$C$6)),0,IF($E349="","",W349+(X349+AA350*$R349)/(1+$L349)))</f>
        <v>20960.644142505553</v>
      </c>
      <c r="AB349" s="160">
        <f t="shared" si="108"/>
        <v>0.825720328500681</v>
      </c>
      <c r="AC349" s="164">
        <f t="shared" si="109"/>
        <v>0</v>
      </c>
      <c r="AD349" s="164">
        <f>IF(AND($C348=12,$D348=Input!$C$6),0,IF($E349="","",$AC349+AD350/(1+$L349)*$R349))</f>
        <v>42110.148517545393</v>
      </c>
      <c r="AE349" s="152"/>
      <c r="AF349" s="164">
        <f>IF(AND($C348=12,$D348=Input!$C$6),0,IF($E349="","",IF($B349&gt;Input!$C$9,$AC349,0)+AF350/(1+$L349)*$R349))</f>
        <v>42110.148517545393</v>
      </c>
      <c r="AG349" s="164">
        <f>IF(AND($C348=12,$D348=Input!$C$6),0,IF($E349="","",(IF($B349&gt;Input!$C$9,$X349,0)+AG350)/(1+$L349)*$R349))</f>
        <v>20669.128083796037</v>
      </c>
      <c r="AH349" s="160">
        <f t="shared" si="110"/>
        <v>2.0950137211446997</v>
      </c>
      <c r="AI349" s="160">
        <f>IF($E349="","",MIN(Input!$C$61/AH349,1))</f>
        <v>0.64438718771845094</v>
      </c>
      <c r="AJ349" s="152"/>
      <c r="AK349" s="164">
        <f>IF(AND($C348=12,$D348=Input!$C$6),0,IF($E349="","",IF($B349&gt;Input!$C$9,$AC349*AI349,0)+AK350/(1+$L349)*$R349))</f>
        <v>27135.240177627376</v>
      </c>
      <c r="AL349" s="164">
        <f>IF(AND($C348=12,$D348=Input!$C$6),0,IF($E349="","",IF($B349&gt;Input!$C$9,0,$AC349)+AL350/(1+$L349)*$R349))</f>
        <v>0</v>
      </c>
      <c r="AM349" s="160">
        <f t="shared" si="111"/>
        <v>1.1382936520186004</v>
      </c>
      <c r="AN349" s="164">
        <f>IF($E349="","",IF($B349&gt;Input!$C$9,$AI349*$AC349,$AM349*$AC349))</f>
        <v>0</v>
      </c>
      <c r="AO349" s="164">
        <f>IF(AND($C348=12,$D348=Input!$C$6),0,IF($E349="","",$AN349+AO350/(1+$L349)*$R349))</f>
        <v>27135.240177627376</v>
      </c>
      <c r="AP349" s="152"/>
      <c r="AQ349" s="164">
        <f t="shared" si="112"/>
        <v>-6174.5960351218237</v>
      </c>
      <c r="AR349" s="164">
        <f t="shared" si="121"/>
        <v>-5270.8764309318531</v>
      </c>
      <c r="AS349" s="164">
        <f t="shared" si="122"/>
        <v>904.78468899521533</v>
      </c>
      <c r="AT349" s="164">
        <f t="shared" si="113"/>
        <v>904.78468899521533</v>
      </c>
      <c r="AU349" s="152"/>
      <c r="AV349" s="147">
        <f>'Deterministic Reserve'!BC349</f>
        <v>3.0182791109744991E-2</v>
      </c>
      <c r="AW349" s="164">
        <f t="shared" si="114"/>
        <v>904.78468899521533</v>
      </c>
      <c r="AX349" s="164">
        <f t="shared" si="115"/>
        <v>27.308927267238172</v>
      </c>
      <c r="AY349" s="152"/>
    </row>
    <row r="350" spans="1:51" s="150" customFormat="1" x14ac:dyDescent="0.25">
      <c r="A350" s="150">
        <f t="shared" si="123"/>
        <v>346</v>
      </c>
      <c r="B350" s="150">
        <f t="shared" si="124"/>
        <v>29</v>
      </c>
      <c r="C350" s="150">
        <f t="shared" si="125"/>
        <v>10</v>
      </c>
      <c r="D350" s="150">
        <f>IF(E350="","",Input!$C$4+B350-1)</f>
        <v>73</v>
      </c>
      <c r="E350" s="150">
        <f>IF(OR(AND(C349=12,D349=Input!$C$6),E349=""),"",1)</f>
        <v>1</v>
      </c>
      <c r="F350" s="150">
        <f>IF(E350="","",Input!$C$8+B350-1)</f>
        <v>2046</v>
      </c>
      <c r="G350" s="151">
        <f>IF(E350="","",MAX(0,Input!$C$9-B350))</f>
        <v>0</v>
      </c>
      <c r="H350" s="152">
        <f>IF(E350="","",Input!$C$3)</f>
        <v>100000</v>
      </c>
      <c r="I350" s="153">
        <f>IF(E350="","",HLOOKUP($B350,Input!$C$13:$BT$14,2))</f>
        <v>46.329500000000003</v>
      </c>
      <c r="J350" s="154"/>
      <c r="K350" s="155">
        <f>IF($E350="","",Input!$C$57)</f>
        <v>4.4999999999999998E-2</v>
      </c>
      <c r="L350" s="155">
        <f t="shared" si="116"/>
        <v>3.6748094004368514E-3</v>
      </c>
      <c r="M350" s="147">
        <f>IF($E350="","",VLOOKUP(IF($B350&lt;=Input!$C$7,$B350,26),'Mortality Tables'!$A$72:$CA$97,IF($B350&lt;=Input!$C$7+1,Input!$C$4-16,$D350-Input!$C$7-16),0)/1000)</f>
        <v>1.891E-2</v>
      </c>
      <c r="N350" s="147">
        <f t="shared" si="105"/>
        <v>1.5896585277250797E-3</v>
      </c>
      <c r="O350" s="157">
        <f>IF($E350="","",IF($C350=12,IF($B350&lt;Input!$C$9,Input!$C$54,IF($B350=Input!$C$9,Input!$C$55,Input!$C$56)),0%))</f>
        <v>0</v>
      </c>
      <c r="P350" s="167">
        <f>IF($E350="","",IF($B350=1,Input!$C$59,IF($B350&lt;6,Input!$C$60,0%)))</f>
        <v>0</v>
      </c>
      <c r="Q350" s="162">
        <f>IF($E350="","",Input!$C$58)</f>
        <v>2.5</v>
      </c>
      <c r="R350" s="156">
        <f t="shared" si="117"/>
        <v>0.99841034147227492</v>
      </c>
      <c r="S350" s="154">
        <f t="shared" si="106"/>
        <v>2.2523168155728943E-2</v>
      </c>
      <c r="T350" s="152"/>
      <c r="U350" s="150">
        <f t="shared" si="118"/>
        <v>0</v>
      </c>
      <c r="V350" s="150">
        <f t="shared" si="119"/>
        <v>0</v>
      </c>
      <c r="W350" s="168">
        <f t="shared" si="120"/>
        <v>0</v>
      </c>
      <c r="X350" s="163">
        <f t="shared" si="107"/>
        <v>158.96585277250796</v>
      </c>
      <c r="Y350" s="152"/>
      <c r="Z350" s="164">
        <f>IF(AND($C349=12,$D349=Input!$C$6),0,IF($E350="","",V350+Z351/(1+L350)*R350))</f>
        <v>51266.981750707215</v>
      </c>
      <c r="AA350" s="164">
        <f>IF(OR($M350=1,AND($C349=12,$D349=Input!$C$6)),0,IF($E350="","",W350+(X350+AA351*$R350)/(1+$L350)))</f>
        <v>20911.947517569781</v>
      </c>
      <c r="AB350" s="160">
        <f t="shared" si="108"/>
        <v>0.825720328500681</v>
      </c>
      <c r="AC350" s="164">
        <f t="shared" si="109"/>
        <v>0</v>
      </c>
      <c r="AD350" s="164">
        <f>IF(AND($C349=12,$D349=Input!$C$6),0,IF($E350="","",$AC350+AD351/(1+$L350)*$R350))</f>
        <v>42332.18901243234</v>
      </c>
      <c r="AE350" s="152"/>
      <c r="AF350" s="164">
        <f>IF(AND($C349=12,$D349=Input!$C$6),0,IF($E350="","",IF($B350&gt;Input!$C$9,$AC350,0)+AF351/(1+$L350)*$R350))</f>
        <v>42332.18901243234</v>
      </c>
      <c r="AG350" s="164">
        <f>IF(AND($C349=12,$D349=Input!$C$6),0,IF($E350="","",(IF($B350&gt;Input!$C$9,$X350,0)+AG351)/(1+$L350)*$R350))</f>
        <v>20619.147442194077</v>
      </c>
      <c r="AH350" s="160">
        <f t="shared" si="110"/>
        <v>2.0950137211446997</v>
      </c>
      <c r="AI350" s="160">
        <f>IF($E350="","",MIN(Input!$C$61/AH350,1))</f>
        <v>0.64438718771845094</v>
      </c>
      <c r="AJ350" s="152"/>
      <c r="AK350" s="164">
        <f>IF(AND($C349=12,$D349=Input!$C$6),0,IF($E350="","",IF($B350&gt;Input!$C$9,$AC350*AI350,0)+AK351/(1+$L350)*$R350))</f>
        <v>27278.320227687193</v>
      </c>
      <c r="AL350" s="164">
        <f>IF(AND($C349=12,$D349=Input!$C$6),0,IF($E350="","",IF($B350&gt;Input!$C$9,0,$AC350)+AL351/(1+$L350)*$R350))</f>
        <v>0</v>
      </c>
      <c r="AM350" s="160">
        <f t="shared" si="111"/>
        <v>1.1382936520186004</v>
      </c>
      <c r="AN350" s="164">
        <f>IF($E350="","",IF($B350&gt;Input!$C$9,$AI350*$AC350,$AM350*$AC350))</f>
        <v>0</v>
      </c>
      <c r="AO350" s="164">
        <f>IF(AND($C349=12,$D349=Input!$C$6),0,IF($E350="","",$AN350+AO351/(1+$L350)*$R350))</f>
        <v>27278.320227687193</v>
      </c>
      <c r="AP350" s="152"/>
      <c r="AQ350" s="164">
        <f t="shared" si="112"/>
        <v>-6366.3727101174118</v>
      </c>
      <c r="AR350" s="164">
        <f t="shared" si="121"/>
        <v>-5270.8764309318531</v>
      </c>
      <c r="AS350" s="164">
        <f t="shared" si="122"/>
        <v>904.78468899521533</v>
      </c>
      <c r="AT350" s="164">
        <f t="shared" si="113"/>
        <v>904.78468899521533</v>
      </c>
      <c r="AU350" s="152"/>
      <c r="AV350" s="147">
        <f>'Deterministic Reserve'!BC350</f>
        <v>3.0066670254217557E-2</v>
      </c>
      <c r="AW350" s="164">
        <f t="shared" si="114"/>
        <v>904.78468899521533</v>
      </c>
      <c r="AX350" s="164">
        <f t="shared" si="115"/>
        <v>27.203862895083923</v>
      </c>
      <c r="AY350" s="152"/>
    </row>
    <row r="351" spans="1:51" s="150" customFormat="1" x14ac:dyDescent="0.25">
      <c r="A351" s="150">
        <f t="shared" si="123"/>
        <v>347</v>
      </c>
      <c r="B351" s="150">
        <f t="shared" si="124"/>
        <v>29</v>
      </c>
      <c r="C351" s="150">
        <f t="shared" si="125"/>
        <v>11</v>
      </c>
      <c r="D351" s="150">
        <f>IF(E351="","",Input!$C$4+B351-1)</f>
        <v>73</v>
      </c>
      <c r="E351" s="150">
        <f>IF(OR(AND(C350=12,D350=Input!$C$6),E350=""),"",1)</f>
        <v>1</v>
      </c>
      <c r="F351" s="150">
        <f>IF(E351="","",Input!$C$8+B351-1)</f>
        <v>2046</v>
      </c>
      <c r="G351" s="151">
        <f>IF(E351="","",MAX(0,Input!$C$9-B351))</f>
        <v>0</v>
      </c>
      <c r="H351" s="152">
        <f>IF(E351="","",Input!$C$3)</f>
        <v>100000</v>
      </c>
      <c r="I351" s="153">
        <f>IF(E351="","",HLOOKUP($B351,Input!$C$13:$BT$14,2))</f>
        <v>46.329500000000003</v>
      </c>
      <c r="J351" s="154"/>
      <c r="K351" s="155">
        <f>IF($E351="","",Input!$C$57)</f>
        <v>4.4999999999999998E-2</v>
      </c>
      <c r="L351" s="155">
        <f t="shared" si="116"/>
        <v>3.6748094004368514E-3</v>
      </c>
      <c r="M351" s="147">
        <f>IF($E351="","",VLOOKUP(IF($B351&lt;=Input!$C$7,$B351,26),'Mortality Tables'!$A$72:$CA$97,IF($B351&lt;=Input!$C$7+1,Input!$C$4-16,$D351-Input!$C$7-16),0)/1000)</f>
        <v>1.891E-2</v>
      </c>
      <c r="N351" s="147">
        <f t="shared" si="105"/>
        <v>1.5896585277250797E-3</v>
      </c>
      <c r="O351" s="157">
        <f>IF($E351="","",IF($C351=12,IF($B351&lt;Input!$C$9,Input!$C$54,IF($B351=Input!$C$9,Input!$C$55,Input!$C$56)),0%))</f>
        <v>0</v>
      </c>
      <c r="P351" s="167">
        <f>IF($E351="","",IF($B351=1,Input!$C$59,IF($B351&lt;6,Input!$C$60,0%)))</f>
        <v>0</v>
      </c>
      <c r="Q351" s="162">
        <f>IF($E351="","",Input!$C$58)</f>
        <v>2.5</v>
      </c>
      <c r="R351" s="156">
        <f t="shared" si="117"/>
        <v>0.99841034147227492</v>
      </c>
      <c r="S351" s="154">
        <f t="shared" si="106"/>
        <v>2.2487364009398804E-2</v>
      </c>
      <c r="T351" s="152"/>
      <c r="U351" s="150">
        <f t="shared" si="118"/>
        <v>0</v>
      </c>
      <c r="V351" s="150">
        <f t="shared" si="119"/>
        <v>0</v>
      </c>
      <c r="W351" s="168">
        <f t="shared" si="120"/>
        <v>0</v>
      </c>
      <c r="X351" s="163">
        <f t="shared" si="107"/>
        <v>158.96585277250796</v>
      </c>
      <c r="Y351" s="152"/>
      <c r="Z351" s="164">
        <f>IF(AND($C350=12,$D350=Input!$C$6),0,IF($E351="","",V351+Z352/(1+L351)*R351))</f>
        <v>51537.304853332811</v>
      </c>
      <c r="AA351" s="164">
        <f>IF(OR($M351=1,AND($C350=12,$D350=Input!$C$6)),0,IF($E351="","",W351+(X351+AA352*$R351)/(1+$L351)))</f>
        <v>20862.99412263721</v>
      </c>
      <c r="AB351" s="160">
        <f t="shared" si="108"/>
        <v>0.825720328500681</v>
      </c>
      <c r="AC351" s="164">
        <f t="shared" si="109"/>
        <v>0</v>
      </c>
      <c r="AD351" s="164">
        <f>IF(AND($C350=12,$D350=Input!$C$6),0,IF($E351="","",$AC351+AD352/(1+$L351)*$R351))</f>
        <v>42555.400293533668</v>
      </c>
      <c r="AE351" s="152"/>
      <c r="AF351" s="164">
        <f>IF(AND($C350=12,$D350=Input!$C$6),0,IF($E351="","",IF($B351&gt;Input!$C$9,$AC351,0)+AF352/(1+$L351)*$R351))</f>
        <v>42555.400293533668</v>
      </c>
      <c r="AG351" s="164">
        <f>IF(AND($C350=12,$D350=Input!$C$6),0,IF($E351="","",(IF($B351&gt;Input!$C$9,$X351,0)+AG352)/(1+$L351)*$R351))</f>
        <v>20568.903260168092</v>
      </c>
      <c r="AH351" s="160">
        <f t="shared" si="110"/>
        <v>2.0950137211446997</v>
      </c>
      <c r="AI351" s="160">
        <f>IF($E351="","",MIN(Input!$C$61/AH351,1))</f>
        <v>0.64438718771845094</v>
      </c>
      <c r="AJ351" s="152"/>
      <c r="AK351" s="164">
        <f>IF(AND($C350=12,$D350=Input!$C$6),0,IF($E351="","",IF($B351&gt;Input!$C$9,$AC351*AI351,0)+AK352/(1+$L351)*$R351))</f>
        <v>27422.154717383106</v>
      </c>
      <c r="AL351" s="164">
        <f>IF(AND($C350=12,$D350=Input!$C$6),0,IF($E351="","",IF($B351&gt;Input!$C$9,0,$AC351)+AL352/(1+$L351)*$R351))</f>
        <v>0</v>
      </c>
      <c r="AM351" s="160">
        <f t="shared" si="111"/>
        <v>1.1382936520186004</v>
      </c>
      <c r="AN351" s="164">
        <f>IF($E351="","",IF($B351&gt;Input!$C$9,$AI351*$AC351,$AM351*$AC351))</f>
        <v>0</v>
      </c>
      <c r="AO351" s="164">
        <f>IF(AND($C350=12,$D350=Input!$C$6),0,IF($E351="","",$AN351+AO352/(1+$L351)*$R351))</f>
        <v>27422.154717383106</v>
      </c>
      <c r="AP351" s="152"/>
      <c r="AQ351" s="164">
        <f t="shared" si="112"/>
        <v>-6559.1605947458957</v>
      </c>
      <c r="AR351" s="164">
        <f t="shared" si="121"/>
        <v>-5270.8764309318531</v>
      </c>
      <c r="AS351" s="164">
        <f t="shared" si="122"/>
        <v>904.78468899521533</v>
      </c>
      <c r="AT351" s="164">
        <f t="shared" si="113"/>
        <v>904.78468899521533</v>
      </c>
      <c r="AU351" s="152"/>
      <c r="AV351" s="147">
        <f>'Deterministic Reserve'!BC351</f>
        <v>2.9950996145084098E-2</v>
      </c>
      <c r="AW351" s="164">
        <f t="shared" si="114"/>
        <v>904.78468899521533</v>
      </c>
      <c r="AX351" s="164">
        <f t="shared" si="115"/>
        <v>27.099202732226811</v>
      </c>
      <c r="AY351" s="152"/>
    </row>
    <row r="352" spans="1:51" s="150" customFormat="1" x14ac:dyDescent="0.25">
      <c r="A352" s="150">
        <f t="shared" si="123"/>
        <v>348</v>
      </c>
      <c r="B352" s="150">
        <f t="shared" si="124"/>
        <v>29</v>
      </c>
      <c r="C352" s="150">
        <f t="shared" si="125"/>
        <v>12</v>
      </c>
      <c r="D352" s="150">
        <f>IF(E352="","",Input!$C$4+B352-1)</f>
        <v>73</v>
      </c>
      <c r="E352" s="150">
        <f>IF(OR(AND(C351=12,D351=Input!$C$6),E351=""),"",1)</f>
        <v>1</v>
      </c>
      <c r="F352" s="150">
        <f>IF(E352="","",Input!$C$8+B352-1)</f>
        <v>2046</v>
      </c>
      <c r="G352" s="151">
        <f>IF(E352="","",MAX(0,Input!$C$9-B352))</f>
        <v>0</v>
      </c>
      <c r="H352" s="152">
        <f>IF(E352="","",Input!$C$3)</f>
        <v>100000</v>
      </c>
      <c r="I352" s="153">
        <f>IF(E352="","",HLOOKUP($B352,Input!$C$13:$BT$14,2))</f>
        <v>46.329500000000003</v>
      </c>
      <c r="J352" s="154"/>
      <c r="K352" s="155">
        <f>IF($E352="","",Input!$C$57)</f>
        <v>4.4999999999999998E-2</v>
      </c>
      <c r="L352" s="155">
        <f t="shared" si="116"/>
        <v>3.6748094004368514E-3</v>
      </c>
      <c r="M352" s="147">
        <f>IF($E352="","",VLOOKUP(IF($B352&lt;=Input!$C$7,$B352,26),'Mortality Tables'!$A$72:$CA$97,IF($B352&lt;=Input!$C$7+1,Input!$C$4-16,$D352-Input!$C$7-16),0)/1000)</f>
        <v>1.891E-2</v>
      </c>
      <c r="N352" s="147">
        <f t="shared" si="105"/>
        <v>1.5896585277250797E-3</v>
      </c>
      <c r="O352" s="157">
        <f>IF($E352="","",IF($C352=12,IF($B352&lt;Input!$C$9,Input!$C$54,IF($B352=Input!$C$9,Input!$C$55,Input!$C$56)),0%))</f>
        <v>0.1</v>
      </c>
      <c r="P352" s="167">
        <f>IF($E352="","",IF($B352=1,Input!$C$59,IF($B352&lt;6,Input!$C$60,0%)))</f>
        <v>0</v>
      </c>
      <c r="Q352" s="162">
        <f>IF($E352="","",Input!$C$58)</f>
        <v>2.5</v>
      </c>
      <c r="R352" s="156">
        <f t="shared" si="117"/>
        <v>0.89841034147227494</v>
      </c>
      <c r="S352" s="154">
        <f t="shared" si="106"/>
        <v>2.0202880378495325E-2</v>
      </c>
      <c r="T352" s="152"/>
      <c r="U352" s="150">
        <f t="shared" si="118"/>
        <v>0</v>
      </c>
      <c r="V352" s="150">
        <f t="shared" si="119"/>
        <v>0</v>
      </c>
      <c r="W352" s="168">
        <f t="shared" si="120"/>
        <v>0</v>
      </c>
      <c r="X352" s="163">
        <f t="shared" si="107"/>
        <v>158.96585277250796</v>
      </c>
      <c r="Y352" s="152"/>
      <c r="Z352" s="164">
        <f>IF(AND($C351=12,$D351=Input!$C$6),0,IF($E352="","",V352+Z353/(1+L352)*R352))</f>
        <v>51809.053329119015</v>
      </c>
      <c r="AA352" s="164">
        <f>IF(OR($M352=1,AND($C351=12,$D351=Input!$C$6)),0,IF($E352="","",W352+(X352+AA353*$R352)/(1+$L352)))</f>
        <v>20813.782603798172</v>
      </c>
      <c r="AB352" s="160">
        <f t="shared" si="108"/>
        <v>0.825720328500681</v>
      </c>
      <c r="AC352" s="164">
        <f t="shared" si="109"/>
        <v>0</v>
      </c>
      <c r="AD352" s="164">
        <f>IF(AND($C351=12,$D351=Input!$C$6),0,IF($E352="","",$AC352+AD353/(1+$L352)*$R352))</f>
        <v>42779.788534229418</v>
      </c>
      <c r="AE352" s="152"/>
      <c r="AF352" s="164">
        <f>IF(AND($C351=12,$D351=Input!$C$6),0,IF($E352="","",IF($B352&gt;Input!$C$9,$AC352,0)+AF353/(1+$L352)*$R352))</f>
        <v>42779.788534229418</v>
      </c>
      <c r="AG352" s="164">
        <f>IF(AND($C351=12,$D351=Input!$C$6),0,IF($E352="","",(IF($B352&gt;Input!$C$9,$X352,0)+AG353)/(1+$L352)*$R352))</f>
        <v>20518.394148108968</v>
      </c>
      <c r="AH352" s="160">
        <f t="shared" si="110"/>
        <v>2.0950137211446997</v>
      </c>
      <c r="AI352" s="160">
        <f>IF($E352="","",MIN(Input!$C$61/AH352,1))</f>
        <v>0.64438718771845094</v>
      </c>
      <c r="AJ352" s="152"/>
      <c r="AK352" s="164">
        <f>IF(AND($C351=12,$D351=Input!$C$6),0,IF($E352="","",IF($B352&gt;Input!$C$9,$AC352*AI352,0)+AK353/(1+$L352)*$R352))</f>
        <v>27566.747624762127</v>
      </c>
      <c r="AL352" s="164">
        <f>IF(AND($C351=12,$D351=Input!$C$6),0,IF($E352="","",IF($B352&gt;Input!$C$9,0,$AC352)+AL353/(1+$L352)*$R352))</f>
        <v>0</v>
      </c>
      <c r="AM352" s="160">
        <f t="shared" si="111"/>
        <v>1.1382936520186004</v>
      </c>
      <c r="AN352" s="164">
        <f>IF($E352="","",IF($B352&gt;Input!$C$9,$AI352*$AC352,$AM352*$AC352))</f>
        <v>0</v>
      </c>
      <c r="AO352" s="164">
        <f>IF(AND($C351=12,$D351=Input!$C$6),0,IF($E352="","",$AN352+AO353/(1+$L352)*$R352))</f>
        <v>27566.747624762127</v>
      </c>
      <c r="AP352" s="152"/>
      <c r="AQ352" s="164">
        <f t="shared" si="112"/>
        <v>-6752.9650209639549</v>
      </c>
      <c r="AR352" s="164">
        <f t="shared" si="121"/>
        <v>-5270.8764309318531</v>
      </c>
      <c r="AS352" s="164">
        <f t="shared" si="122"/>
        <v>904.78468899521533</v>
      </c>
      <c r="AT352" s="164">
        <f t="shared" si="113"/>
        <v>904.78468899521533</v>
      </c>
      <c r="AU352" s="152"/>
      <c r="AV352" s="147">
        <f>'Deterministic Reserve'!BC352</f>
        <v>2.6840667449089476E-2</v>
      </c>
      <c r="AW352" s="164">
        <f t="shared" si="114"/>
        <v>904.78468899521533</v>
      </c>
      <c r="AX352" s="164">
        <f t="shared" si="115"/>
        <v>24.285024950348422</v>
      </c>
      <c r="AY352" s="152"/>
    </row>
    <row r="353" spans="1:51" s="150" customFormat="1" x14ac:dyDescent="0.25">
      <c r="A353" s="150">
        <f t="shared" si="123"/>
        <v>349</v>
      </c>
      <c r="B353" s="150">
        <f t="shared" si="124"/>
        <v>30</v>
      </c>
      <c r="C353" s="150">
        <f t="shared" si="125"/>
        <v>1</v>
      </c>
      <c r="D353" s="150">
        <f>IF(E353="","",Input!$C$4+B353-1)</f>
        <v>74</v>
      </c>
      <c r="E353" s="150">
        <f>IF(OR(AND(C352=12,D352=Input!$C$6),E352=""),"",1)</f>
        <v>1</v>
      </c>
      <c r="F353" s="150">
        <f>IF(E353="","",Input!$C$8+B353-1)</f>
        <v>2047</v>
      </c>
      <c r="G353" s="151">
        <f>IF(E353="","",MAX(0,Input!$C$9-B353))</f>
        <v>0</v>
      </c>
      <c r="H353" s="152">
        <f>IF(E353="","",Input!$C$3)</f>
        <v>100000</v>
      </c>
      <c r="I353" s="153">
        <f>IF(E353="","",HLOOKUP($B353,Input!$C$13:$BT$14,2))</f>
        <v>52.503500000000003</v>
      </c>
      <c r="J353" s="154"/>
      <c r="K353" s="155">
        <f>IF($E353="","",Input!$C$57)</f>
        <v>4.4999999999999998E-2</v>
      </c>
      <c r="L353" s="155">
        <f t="shared" si="116"/>
        <v>3.6748094004368514E-3</v>
      </c>
      <c r="M353" s="147">
        <f>IF($E353="","",VLOOKUP(IF($B353&lt;=Input!$C$7,$B353,26),'Mortality Tables'!$A$72:$CA$97,IF($B353&lt;=Input!$C$7+1,Input!$C$4-16,$D353-Input!$C$7-16),0)/1000)</f>
        <v>2.1430000000000001E-2</v>
      </c>
      <c r="N353" s="147">
        <f t="shared" si="105"/>
        <v>1.8036179091788229E-3</v>
      </c>
      <c r="O353" s="157">
        <f>IF($E353="","",IF($C353=12,IF($B353&lt;Input!$C$9,Input!$C$54,IF($B353=Input!$C$9,Input!$C$55,Input!$C$56)),0%))</f>
        <v>0</v>
      </c>
      <c r="P353" s="167">
        <f>IF($E353="","",IF($B353=1,Input!$C$59,IF($B353&lt;6,Input!$C$60,0%)))</f>
        <v>0</v>
      </c>
      <c r="Q353" s="162">
        <f>IF($E353="","",Input!$C$58)</f>
        <v>2.5</v>
      </c>
      <c r="R353" s="156">
        <f t="shared" si="117"/>
        <v>0.99819638209082118</v>
      </c>
      <c r="S353" s="154">
        <f t="shared" si="106"/>
        <v>2.0166442101627675E-2</v>
      </c>
      <c r="T353" s="152"/>
      <c r="U353" s="150">
        <f t="shared" si="118"/>
        <v>5250.35</v>
      </c>
      <c r="V353" s="150">
        <f t="shared" si="119"/>
        <v>5250.35</v>
      </c>
      <c r="W353" s="168">
        <f t="shared" si="120"/>
        <v>0</v>
      </c>
      <c r="X353" s="163">
        <f t="shared" si="107"/>
        <v>180.3617909178823</v>
      </c>
      <c r="Y353" s="152"/>
      <c r="Z353" s="164">
        <f>IF(AND($C352=12,$D352=Input!$C$6),0,IF($E353="","",V353+Z354/(1+L353)*R353))</f>
        <v>57879.389099758388</v>
      </c>
      <c r="AA353" s="164">
        <f>IF(OR($M353=1,AND($C352=12,$D352=Input!$C$6)),0,IF($E353="","",W353+(X353+AA354*$R353)/(1+$L353)))</f>
        <v>23075.539625938869</v>
      </c>
      <c r="AB353" s="160">
        <f t="shared" si="108"/>
        <v>0.825720328500681</v>
      </c>
      <c r="AC353" s="164">
        <f t="shared" si="109"/>
        <v>4335.3207267435509</v>
      </c>
      <c r="AD353" s="164">
        <f>IF(AND($C352=12,$D352=Input!$C$6),0,IF($E353="","",$AC353+AD354/(1+$L353)*$R353))</f>
        <v>47792.188180871191</v>
      </c>
      <c r="AE353" s="152"/>
      <c r="AF353" s="164">
        <f>IF(AND($C352=12,$D352=Input!$C$6),0,IF($E353="","",IF($B353&gt;Input!$C$9,$AC353,0)+AF354/(1+$L353)*$R353))</f>
        <v>47792.188180871191</v>
      </c>
      <c r="AG353" s="164">
        <f>IF(AND($C352=12,$D352=Input!$C$6),0,IF($E353="","",(IF($B353&gt;Input!$C$9,$X353,0)+AG354)/(1+$L353)*$R353))</f>
        <v>22763.516653448547</v>
      </c>
      <c r="AH353" s="160">
        <f t="shared" si="110"/>
        <v>2.0950137211446997</v>
      </c>
      <c r="AI353" s="160">
        <f>IF($E353="","",MIN(Input!$C$61/AH353,1))</f>
        <v>0.64438718771845094</v>
      </c>
      <c r="AJ353" s="152"/>
      <c r="AK353" s="164">
        <f>IF(AND($C352=12,$D352=Input!$C$6),0,IF($E353="","",IF($B353&gt;Input!$C$9,$AC353*AI353,0)+AK354/(1+$L353)*$R353))</f>
        <v>30796.673736782574</v>
      </c>
      <c r="AL353" s="164">
        <f>IF(AND($C352=12,$D352=Input!$C$6),0,IF($E353="","",IF($B353&gt;Input!$C$9,0,$AC353)+AL354/(1+$L353)*$R353))</f>
        <v>0</v>
      </c>
      <c r="AM353" s="160">
        <f t="shared" si="111"/>
        <v>1.1382936520186004</v>
      </c>
      <c r="AN353" s="164">
        <f>IF($E353="","",IF($B353&gt;Input!$C$9,$AI353*$AC353,$AM353*$AC353))</f>
        <v>2793.6251309637878</v>
      </c>
      <c r="AO353" s="164">
        <f>IF(AND($C352=12,$D352=Input!$C$6),0,IF($E353="","",$AN353+AO354/(1+$L353)*$R353))</f>
        <v>30796.673736782574</v>
      </c>
      <c r="AP353" s="152"/>
      <c r="AQ353" s="164">
        <f t="shared" si="112"/>
        <v>-7721.1341108437045</v>
      </c>
      <c r="AR353" s="164">
        <f t="shared" si="121"/>
        <v>-5617.8220852427949</v>
      </c>
      <c r="AS353" s="164">
        <f t="shared" si="122"/>
        <v>1025.3588516746413</v>
      </c>
      <c r="AT353" s="164">
        <f t="shared" si="113"/>
        <v>1025.3588516746413</v>
      </c>
      <c r="AU353" s="152"/>
      <c r="AV353" s="147">
        <f>'Deterministic Reserve'!BC353</f>
        <v>2.6723801926113885E-2</v>
      </c>
      <c r="AW353" s="164">
        <f t="shared" si="114"/>
        <v>1025.3588516746413</v>
      </c>
      <c r="AX353" s="164">
        <f t="shared" si="115"/>
        <v>27.4014868553407</v>
      </c>
      <c r="AY353" s="152"/>
    </row>
    <row r="354" spans="1:51" s="150" customFormat="1" x14ac:dyDescent="0.25">
      <c r="A354" s="150">
        <f t="shared" si="123"/>
        <v>350</v>
      </c>
      <c r="B354" s="150">
        <f t="shared" si="124"/>
        <v>30</v>
      </c>
      <c r="C354" s="150">
        <f t="shared" si="125"/>
        <v>2</v>
      </c>
      <c r="D354" s="150">
        <f>IF(E354="","",Input!$C$4+B354-1)</f>
        <v>74</v>
      </c>
      <c r="E354" s="150">
        <f>IF(OR(AND(C353=12,D353=Input!$C$6),E353=""),"",1)</f>
        <v>1</v>
      </c>
      <c r="F354" s="150">
        <f>IF(E354="","",Input!$C$8+B354-1)</f>
        <v>2047</v>
      </c>
      <c r="G354" s="151">
        <f>IF(E354="","",MAX(0,Input!$C$9-B354))</f>
        <v>0</v>
      </c>
      <c r="H354" s="152">
        <f>IF(E354="","",Input!$C$3)</f>
        <v>100000</v>
      </c>
      <c r="I354" s="153">
        <f>IF(E354="","",HLOOKUP($B354,Input!$C$13:$BT$14,2))</f>
        <v>52.503500000000003</v>
      </c>
      <c r="J354" s="154"/>
      <c r="K354" s="155">
        <f>IF($E354="","",Input!$C$57)</f>
        <v>4.4999999999999998E-2</v>
      </c>
      <c r="L354" s="155">
        <f t="shared" si="116"/>
        <v>3.6748094004368514E-3</v>
      </c>
      <c r="M354" s="147">
        <f>IF($E354="","",VLOOKUP(IF($B354&lt;=Input!$C$7,$B354,26),'Mortality Tables'!$A$72:$CA$97,IF($B354&lt;=Input!$C$7+1,Input!$C$4-16,$D354-Input!$C$7-16),0)/1000)</f>
        <v>2.1430000000000001E-2</v>
      </c>
      <c r="N354" s="147">
        <f t="shared" si="105"/>
        <v>1.8036179091788229E-3</v>
      </c>
      <c r="O354" s="157">
        <f>IF($E354="","",IF($C354=12,IF($B354&lt;Input!$C$9,Input!$C$54,IF($B354=Input!$C$9,Input!$C$55,Input!$C$56)),0%))</f>
        <v>0</v>
      </c>
      <c r="P354" s="167">
        <f>IF($E354="","",IF($B354=1,Input!$C$59,IF($B354&lt;6,Input!$C$60,0%)))</f>
        <v>0</v>
      </c>
      <c r="Q354" s="162">
        <f>IF($E354="","",Input!$C$58)</f>
        <v>2.5</v>
      </c>
      <c r="R354" s="156">
        <f t="shared" si="117"/>
        <v>0.99819638209082118</v>
      </c>
      <c r="S354" s="154">
        <f t="shared" si="106"/>
        <v>2.0130069545488762E-2</v>
      </c>
      <c r="T354" s="152"/>
      <c r="U354" s="150">
        <f t="shared" si="118"/>
        <v>0</v>
      </c>
      <c r="V354" s="150">
        <f t="shared" si="119"/>
        <v>0</v>
      </c>
      <c r="W354" s="168">
        <f t="shared" si="120"/>
        <v>0</v>
      </c>
      <c r="X354" s="163">
        <f t="shared" si="107"/>
        <v>180.3617909178823</v>
      </c>
      <c r="Y354" s="152"/>
      <c r="Z354" s="164">
        <f>IF(AND($C353=12,$D353=Input!$C$6),0,IF($E354="","",V354+Z355/(1+L354)*R354))</f>
        <v>52917.884431454564</v>
      </c>
      <c r="AA354" s="164">
        <f>IF(OR($M354=1,AND($C353=12,$D353=Input!$C$6)),0,IF($E354="","",W354+(X354+AA355*$R354)/(1+$L354)))</f>
        <v>23021.498031103565</v>
      </c>
      <c r="AB354" s="160">
        <f t="shared" si="108"/>
        <v>0.825720328500681</v>
      </c>
      <c r="AC354" s="164">
        <f t="shared" si="109"/>
        <v>0</v>
      </c>
      <c r="AD354" s="164">
        <f>IF(AND($C353=12,$D353=Input!$C$6),0,IF($E354="","",$AC354+AD355/(1+$L354)*$R354))</f>
        <v>43695.372916301698</v>
      </c>
      <c r="AE354" s="152"/>
      <c r="AF354" s="164">
        <f>IF(AND($C353=12,$D353=Input!$C$6),0,IF($E354="","",IF($B354&gt;Input!$C$9,$AC354,0)+AF355/(1+$L354)*$R354))</f>
        <v>43695.372916301698</v>
      </c>
      <c r="AG354" s="164">
        <f>IF(AND($C353=12,$D353=Input!$C$6),0,IF($E354="","",(IF($B354&gt;Input!$C$9,$X354,0)+AG355)/(1+$L354)*$R354))</f>
        <v>22708.088466313046</v>
      </c>
      <c r="AH354" s="160">
        <f t="shared" si="110"/>
        <v>2.0950137211446997</v>
      </c>
      <c r="AI354" s="160">
        <f>IF($E354="","",MIN(Input!$C$61/AH354,1))</f>
        <v>0.64438718771845094</v>
      </c>
      <c r="AJ354" s="152"/>
      <c r="AK354" s="164">
        <f>IF(AND($C353=12,$D353=Input!$C$6),0,IF($E354="","",IF($B354&gt;Input!$C$9,$AC354*AI354,0)+AK355/(1+$L354)*$R354))</f>
        <v>28156.738469844615</v>
      </c>
      <c r="AL354" s="164">
        <f>IF(AND($C353=12,$D353=Input!$C$6),0,IF($E354="","",IF($B354&gt;Input!$C$9,0,$AC354)+AL355/(1+$L354)*$R354))</f>
        <v>0</v>
      </c>
      <c r="AM354" s="160">
        <f t="shared" si="111"/>
        <v>1.1382936520186004</v>
      </c>
      <c r="AN354" s="164">
        <f>IF($E354="","",IF($B354&gt;Input!$C$9,$AI354*$AC354,$AM354*$AC354))</f>
        <v>0</v>
      </c>
      <c r="AO354" s="164">
        <f>IF(AND($C353=12,$D353=Input!$C$6),0,IF($E354="","",$AN354+AO355/(1+$L354)*$R354))</f>
        <v>28156.738469844615</v>
      </c>
      <c r="AP354" s="152"/>
      <c r="AQ354" s="164">
        <f t="shared" si="112"/>
        <v>-5135.2404387410497</v>
      </c>
      <c r="AR354" s="164">
        <f t="shared" si="121"/>
        <v>-5617.8220852427949</v>
      </c>
      <c r="AS354" s="164">
        <f t="shared" si="122"/>
        <v>1025.3588516746413</v>
      </c>
      <c r="AT354" s="164">
        <f t="shared" si="113"/>
        <v>1025.3588516746413</v>
      </c>
      <c r="AU354" s="152"/>
      <c r="AV354" s="147">
        <f>'Deterministic Reserve'!BC354</f>
        <v>2.6607445241097941E-2</v>
      </c>
      <c r="AW354" s="164">
        <f t="shared" si="114"/>
        <v>1025.3588516746413</v>
      </c>
      <c r="AX354" s="164">
        <f t="shared" si="115"/>
        <v>27.282179498408084</v>
      </c>
      <c r="AY354" s="152"/>
    </row>
    <row r="355" spans="1:51" s="150" customFormat="1" x14ac:dyDescent="0.25">
      <c r="A355" s="150">
        <f t="shared" si="123"/>
        <v>351</v>
      </c>
      <c r="B355" s="150">
        <f t="shared" si="124"/>
        <v>30</v>
      </c>
      <c r="C355" s="150">
        <f t="shared" si="125"/>
        <v>3</v>
      </c>
      <c r="D355" s="150">
        <f>IF(E355="","",Input!$C$4+B355-1)</f>
        <v>74</v>
      </c>
      <c r="E355" s="150">
        <f>IF(OR(AND(C354=12,D354=Input!$C$6),E354=""),"",1)</f>
        <v>1</v>
      </c>
      <c r="F355" s="150">
        <f>IF(E355="","",Input!$C$8+B355-1)</f>
        <v>2047</v>
      </c>
      <c r="G355" s="151">
        <f>IF(E355="","",MAX(0,Input!$C$9-B355))</f>
        <v>0</v>
      </c>
      <c r="H355" s="152">
        <f>IF(E355="","",Input!$C$3)</f>
        <v>100000</v>
      </c>
      <c r="I355" s="153">
        <f>IF(E355="","",HLOOKUP($B355,Input!$C$13:$BT$14,2))</f>
        <v>52.503500000000003</v>
      </c>
      <c r="J355" s="154"/>
      <c r="K355" s="155">
        <f>IF($E355="","",Input!$C$57)</f>
        <v>4.4999999999999998E-2</v>
      </c>
      <c r="L355" s="155">
        <f t="shared" si="116"/>
        <v>3.6748094004368514E-3</v>
      </c>
      <c r="M355" s="147">
        <f>IF($E355="","",VLOOKUP(IF($B355&lt;=Input!$C$7,$B355,26),'Mortality Tables'!$A$72:$CA$97,IF($B355&lt;=Input!$C$7+1,Input!$C$4-16,$D355-Input!$C$7-16),0)/1000)</f>
        <v>2.1430000000000001E-2</v>
      </c>
      <c r="N355" s="147">
        <f t="shared" si="105"/>
        <v>1.8036179091788229E-3</v>
      </c>
      <c r="O355" s="157">
        <f>IF($E355="","",IF($C355=12,IF($B355&lt;Input!$C$9,Input!$C$54,IF($B355=Input!$C$9,Input!$C$55,Input!$C$56)),0%))</f>
        <v>0</v>
      </c>
      <c r="P355" s="167">
        <f>IF($E355="","",IF($B355=1,Input!$C$59,IF($B355&lt;6,Input!$C$60,0%)))</f>
        <v>0</v>
      </c>
      <c r="Q355" s="162">
        <f>IF($E355="","",Input!$C$58)</f>
        <v>2.5</v>
      </c>
      <c r="R355" s="156">
        <f t="shared" si="117"/>
        <v>0.99819638209082118</v>
      </c>
      <c r="S355" s="154">
        <f t="shared" si="106"/>
        <v>2.0093762591543503E-2</v>
      </c>
      <c r="T355" s="152"/>
      <c r="U355" s="150">
        <f t="shared" si="118"/>
        <v>0</v>
      </c>
      <c r="V355" s="150">
        <f t="shared" si="119"/>
        <v>0</v>
      </c>
      <c r="W355" s="168">
        <f t="shared" si="120"/>
        <v>0</v>
      </c>
      <c r="X355" s="163">
        <f t="shared" si="107"/>
        <v>180.3617909178823</v>
      </c>
      <c r="Y355" s="152"/>
      <c r="Z355" s="164">
        <f>IF(AND($C354=12,$D354=Input!$C$6),0,IF($E355="","",V355+Z356/(1+L355)*R355))</f>
        <v>53208.315040538844</v>
      </c>
      <c r="AA355" s="164">
        <f>IF(OR($M355=1,AND($C354=12,$D354=Input!$C$6)),0,IF($E355="","",W355+(X355+AA356*$R355)/(1+$L355)))</f>
        <v>22967.159838369975</v>
      </c>
      <c r="AB355" s="160">
        <f t="shared" si="108"/>
        <v>0.825720328500681</v>
      </c>
      <c r="AC355" s="164">
        <f t="shared" si="109"/>
        <v>0</v>
      </c>
      <c r="AD355" s="164">
        <f>IF(AND($C354=12,$D354=Input!$C$6),0,IF($E355="","",$AC355+AD356/(1+$L355)*$R355))</f>
        <v>43935.187374241425</v>
      </c>
      <c r="AE355" s="152"/>
      <c r="AF355" s="164">
        <f>IF(AND($C354=12,$D354=Input!$C$6),0,IF($E355="","",IF($B355&gt;Input!$C$9,$AC355,0)+AF356/(1+$L355)*$R355))</f>
        <v>43935.187374241425</v>
      </c>
      <c r="AG355" s="164">
        <f>IF(AND($C354=12,$D354=Input!$C$6),0,IF($E355="","",(IF($B355&gt;Input!$C$9,$X355,0)+AG356)/(1+$L355)*$R355))</f>
        <v>22652.35607120848</v>
      </c>
      <c r="AH355" s="160">
        <f t="shared" si="110"/>
        <v>2.0950137211446997</v>
      </c>
      <c r="AI355" s="160">
        <f>IF($E355="","",MIN(Input!$C$61/AH355,1))</f>
        <v>0.64438718771845094</v>
      </c>
      <c r="AJ355" s="152"/>
      <c r="AK355" s="164">
        <f>IF(AND($C354=12,$D354=Input!$C$6),0,IF($E355="","",IF($B355&gt;Input!$C$9,$AC355*AI355,0)+AK356/(1+$L355)*$R355))</f>
        <v>28311.271833970623</v>
      </c>
      <c r="AL355" s="164">
        <f>IF(AND($C354=12,$D354=Input!$C$6),0,IF($E355="","",IF($B355&gt;Input!$C$9,0,$AC355)+AL356/(1+$L355)*$R355))</f>
        <v>0</v>
      </c>
      <c r="AM355" s="160">
        <f t="shared" si="111"/>
        <v>1.1382936520186004</v>
      </c>
      <c r="AN355" s="164">
        <f>IF($E355="","",IF($B355&gt;Input!$C$9,$AI355*$AC355,$AM355*$AC355))</f>
        <v>0</v>
      </c>
      <c r="AO355" s="164">
        <f>IF(AND($C354=12,$D354=Input!$C$6),0,IF($E355="","",$AN355+AO356/(1+$L355)*$R355))</f>
        <v>28311.271833970623</v>
      </c>
      <c r="AP355" s="152"/>
      <c r="AQ355" s="164">
        <f t="shared" si="112"/>
        <v>-5344.1119956006478</v>
      </c>
      <c r="AR355" s="164">
        <f t="shared" si="121"/>
        <v>-5617.8220852427949</v>
      </c>
      <c r="AS355" s="164">
        <f t="shared" si="122"/>
        <v>1025.3588516746413</v>
      </c>
      <c r="AT355" s="164">
        <f t="shared" si="113"/>
        <v>1025.3588516746413</v>
      </c>
      <c r="AU355" s="152"/>
      <c r="AV355" s="147">
        <f>'Deterministic Reserve'!BC355</f>
        <v>2.6491595178537341E-2</v>
      </c>
      <c r="AW355" s="164">
        <f t="shared" si="114"/>
        <v>1025.3588516746413</v>
      </c>
      <c r="AX355" s="164">
        <f t="shared" si="115"/>
        <v>27.163391611294511</v>
      </c>
      <c r="AY355" s="152"/>
    </row>
    <row r="356" spans="1:51" s="150" customFormat="1" x14ac:dyDescent="0.25">
      <c r="A356" s="150">
        <f t="shared" si="123"/>
        <v>352</v>
      </c>
      <c r="B356" s="150">
        <f t="shared" si="124"/>
        <v>30</v>
      </c>
      <c r="C356" s="150">
        <f t="shared" si="125"/>
        <v>4</v>
      </c>
      <c r="D356" s="150">
        <f>IF(E356="","",Input!$C$4+B356-1)</f>
        <v>74</v>
      </c>
      <c r="E356" s="150">
        <f>IF(OR(AND(C355=12,D355=Input!$C$6),E355=""),"",1)</f>
        <v>1</v>
      </c>
      <c r="F356" s="150">
        <f>IF(E356="","",Input!$C$8+B356-1)</f>
        <v>2047</v>
      </c>
      <c r="G356" s="151">
        <f>IF(E356="","",MAX(0,Input!$C$9-B356))</f>
        <v>0</v>
      </c>
      <c r="H356" s="152">
        <f>IF(E356="","",Input!$C$3)</f>
        <v>100000</v>
      </c>
      <c r="I356" s="153">
        <f>IF(E356="","",HLOOKUP($B356,Input!$C$13:$BT$14,2))</f>
        <v>52.503500000000003</v>
      </c>
      <c r="J356" s="154"/>
      <c r="K356" s="155">
        <f>IF($E356="","",Input!$C$57)</f>
        <v>4.4999999999999998E-2</v>
      </c>
      <c r="L356" s="155">
        <f t="shared" si="116"/>
        <v>3.6748094004368514E-3</v>
      </c>
      <c r="M356" s="147">
        <f>IF($E356="","",VLOOKUP(IF($B356&lt;=Input!$C$7,$B356,26),'Mortality Tables'!$A$72:$CA$97,IF($B356&lt;=Input!$C$7+1,Input!$C$4-16,$D356-Input!$C$7-16),0)/1000)</f>
        <v>2.1430000000000001E-2</v>
      </c>
      <c r="N356" s="147">
        <f t="shared" si="105"/>
        <v>1.8036179091788229E-3</v>
      </c>
      <c r="O356" s="157">
        <f>IF($E356="","",IF($C356=12,IF($B356&lt;Input!$C$9,Input!$C$54,IF($B356=Input!$C$9,Input!$C$55,Input!$C$56)),0%))</f>
        <v>0</v>
      </c>
      <c r="P356" s="167">
        <f>IF($E356="","",IF($B356=1,Input!$C$59,IF($B356&lt;6,Input!$C$60,0%)))</f>
        <v>0</v>
      </c>
      <c r="Q356" s="162">
        <f>IF($E356="","",Input!$C$58)</f>
        <v>2.5</v>
      </c>
      <c r="R356" s="156">
        <f t="shared" si="117"/>
        <v>0.99819638209082118</v>
      </c>
      <c r="S356" s="154">
        <f t="shared" si="106"/>
        <v>2.0057521121470606E-2</v>
      </c>
      <c r="T356" s="152"/>
      <c r="U356" s="150">
        <f t="shared" si="118"/>
        <v>0</v>
      </c>
      <c r="V356" s="150">
        <f t="shared" si="119"/>
        <v>0</v>
      </c>
      <c r="W356" s="168">
        <f t="shared" si="120"/>
        <v>0</v>
      </c>
      <c r="X356" s="163">
        <f t="shared" si="107"/>
        <v>180.3617909178823</v>
      </c>
      <c r="Y356" s="152"/>
      <c r="Z356" s="164">
        <f>IF(AND($C355=12,$D355=Input!$C$6),0,IF($E356="","",V356+Z357/(1+L356)*R356))</f>
        <v>53500.339627530586</v>
      </c>
      <c r="AA356" s="164">
        <f>IF(OR($M356=1,AND($C355=12,$D355=Input!$C$6)),0,IF($E356="","",W356+(X356+AA357*$R356)/(1+$L356)))</f>
        <v>22912.523419912104</v>
      </c>
      <c r="AB356" s="160">
        <f t="shared" si="108"/>
        <v>0.825720328500681</v>
      </c>
      <c r="AC356" s="164">
        <f t="shared" si="109"/>
        <v>0</v>
      </c>
      <c r="AD356" s="164">
        <f>IF(AND($C355=12,$D355=Input!$C$6),0,IF($E356="","",$AC356+AD357/(1+$L356)*$R356))</f>
        <v>44176.318012142518</v>
      </c>
      <c r="AE356" s="152"/>
      <c r="AF356" s="164">
        <f>IF(AND($C355=12,$D355=Input!$C$6),0,IF($E356="","",IF($B356&gt;Input!$C$9,$AC356,0)+AF357/(1+$L356)*$R356))</f>
        <v>44176.318012142518</v>
      </c>
      <c r="AG356" s="164">
        <f>IF(AND($C355=12,$D355=Input!$C$6),0,IF($E356="","",(IF($B356&gt;Input!$C$9,$X356,0)+AG357)/(1+$L356)*$R356))</f>
        <v>22596.317798542295</v>
      </c>
      <c r="AH356" s="160">
        <f t="shared" si="110"/>
        <v>2.0950137211446997</v>
      </c>
      <c r="AI356" s="160">
        <f>IF($E356="","",MIN(Input!$C$61/AH356,1))</f>
        <v>0.64438718771845094</v>
      </c>
      <c r="AJ356" s="152"/>
      <c r="AK356" s="164">
        <f>IF(AND($C355=12,$D355=Input!$C$6),0,IF($E356="","",IF($B356&gt;Input!$C$9,$AC356*AI356,0)+AK357/(1+$L356)*$R356))</f>
        <v>28466.653327600467</v>
      </c>
      <c r="AL356" s="164">
        <f>IF(AND($C355=12,$D355=Input!$C$6),0,IF($E356="","",IF($B356&gt;Input!$C$9,0,$AC356)+AL357/(1+$L356)*$R356))</f>
        <v>0</v>
      </c>
      <c r="AM356" s="160">
        <f t="shared" si="111"/>
        <v>1.1382936520186004</v>
      </c>
      <c r="AN356" s="164">
        <f>IF($E356="","",IF($B356&gt;Input!$C$9,$AI356*$AC356,$AM356*$AC356))</f>
        <v>0</v>
      </c>
      <c r="AO356" s="164">
        <f>IF(AND($C355=12,$D355=Input!$C$6),0,IF($E356="","",$AN356+AO357/(1+$L356)*$R356))</f>
        <v>28466.653327600467</v>
      </c>
      <c r="AP356" s="152"/>
      <c r="AQ356" s="164">
        <f t="shared" si="112"/>
        <v>-5554.1299076883624</v>
      </c>
      <c r="AR356" s="164">
        <f t="shared" si="121"/>
        <v>-5617.8220852427949</v>
      </c>
      <c r="AS356" s="164">
        <f t="shared" si="122"/>
        <v>1025.3588516746413</v>
      </c>
      <c r="AT356" s="164">
        <f t="shared" si="113"/>
        <v>1025.3588516746413</v>
      </c>
      <c r="AU356" s="152"/>
      <c r="AV356" s="147">
        <f>'Deterministic Reserve'!BC356</f>
        <v>2.6376249532574187E-2</v>
      </c>
      <c r="AW356" s="164">
        <f t="shared" si="114"/>
        <v>1025.3588516746413</v>
      </c>
      <c r="AX356" s="164">
        <f t="shared" si="115"/>
        <v>27.045120932204064</v>
      </c>
      <c r="AY356" s="152"/>
    </row>
    <row r="357" spans="1:51" s="150" customFormat="1" x14ac:dyDescent="0.25">
      <c r="A357" s="150">
        <f t="shared" si="123"/>
        <v>353</v>
      </c>
      <c r="B357" s="150">
        <f t="shared" si="124"/>
        <v>30</v>
      </c>
      <c r="C357" s="150">
        <f t="shared" si="125"/>
        <v>5</v>
      </c>
      <c r="D357" s="150">
        <f>IF(E357="","",Input!$C$4+B357-1)</f>
        <v>74</v>
      </c>
      <c r="E357" s="150">
        <f>IF(OR(AND(C356=12,D356=Input!$C$6),E356=""),"",1)</f>
        <v>1</v>
      </c>
      <c r="F357" s="150">
        <f>IF(E357="","",Input!$C$8+B357-1)</f>
        <v>2047</v>
      </c>
      <c r="G357" s="151">
        <f>IF(E357="","",MAX(0,Input!$C$9-B357))</f>
        <v>0</v>
      </c>
      <c r="H357" s="152">
        <f>IF(E357="","",Input!$C$3)</f>
        <v>100000</v>
      </c>
      <c r="I357" s="153">
        <f>IF(E357="","",HLOOKUP($B357,Input!$C$13:$BT$14,2))</f>
        <v>52.503500000000003</v>
      </c>
      <c r="J357" s="154"/>
      <c r="K357" s="155">
        <f>IF($E357="","",Input!$C$57)</f>
        <v>4.4999999999999998E-2</v>
      </c>
      <c r="L357" s="155">
        <f t="shared" si="116"/>
        <v>3.6748094004368514E-3</v>
      </c>
      <c r="M357" s="147">
        <f>IF($E357="","",VLOOKUP(IF($B357&lt;=Input!$C$7,$B357,26),'Mortality Tables'!$A$72:$CA$97,IF($B357&lt;=Input!$C$7+1,Input!$C$4-16,$D357-Input!$C$7-16),0)/1000)</f>
        <v>2.1430000000000001E-2</v>
      </c>
      <c r="N357" s="147">
        <f t="shared" si="105"/>
        <v>1.8036179091788229E-3</v>
      </c>
      <c r="O357" s="157">
        <f>IF($E357="","",IF($C357=12,IF($B357&lt;Input!$C$9,Input!$C$54,IF($B357=Input!$C$9,Input!$C$55,Input!$C$56)),0%))</f>
        <v>0</v>
      </c>
      <c r="P357" s="167">
        <f>IF($E357="","",IF($B357=1,Input!$C$59,IF($B357&lt;6,Input!$C$60,0%)))</f>
        <v>0</v>
      </c>
      <c r="Q357" s="162">
        <f>IF($E357="","",Input!$C$58)</f>
        <v>2.5</v>
      </c>
      <c r="R357" s="156">
        <f t="shared" si="117"/>
        <v>0.99819638209082118</v>
      </c>
      <c r="S357" s="154">
        <f t="shared" si="106"/>
        <v>2.0021345017162188E-2</v>
      </c>
      <c r="T357" s="152"/>
      <c r="U357" s="150">
        <f t="shared" si="118"/>
        <v>0</v>
      </c>
      <c r="V357" s="150">
        <f t="shared" si="119"/>
        <v>0</v>
      </c>
      <c r="W357" s="168">
        <f t="shared" si="120"/>
        <v>0</v>
      </c>
      <c r="X357" s="163">
        <f t="shared" si="107"/>
        <v>180.3617909178823</v>
      </c>
      <c r="Y357" s="152"/>
      <c r="Z357" s="164">
        <f>IF(AND($C356=12,$D356=Input!$C$6),0,IF($E357="","",V357+Z358/(1+L357)*R357))</f>
        <v>53793.966940700418</v>
      </c>
      <c r="AA357" s="164">
        <f>IF(OR($M357=1,AND($C356=12,$D356=Input!$C$6)),0,IF($E357="","",W357+(X357+AA358*$R357)/(1+$L357)))</f>
        <v>22857.587138969902</v>
      </c>
      <c r="AB357" s="160">
        <f t="shared" si="108"/>
        <v>0.825720328500681</v>
      </c>
      <c r="AC357" s="164">
        <f t="shared" si="109"/>
        <v>0</v>
      </c>
      <c r="AD357" s="164">
        <f>IF(AND($C356=12,$D356=Input!$C$6),0,IF($E357="","",$AC357+AD358/(1+$L357)*$R357))</f>
        <v>44418.772053629888</v>
      </c>
      <c r="AE357" s="152"/>
      <c r="AF357" s="164">
        <f>IF(AND($C356=12,$D356=Input!$C$6),0,IF($E357="","",IF($B357&gt;Input!$C$9,$AC357,0)+AF358/(1+$L357)*$R357))</f>
        <v>44418.772053629888</v>
      </c>
      <c r="AG357" s="164">
        <f>IF(AND($C356=12,$D356=Input!$C$6),0,IF($E357="","",(IF($B357&gt;Input!$C$9,$X357,0)+AG358)/(1+$L357)*$R357))</f>
        <v>22539.971969558672</v>
      </c>
      <c r="AH357" s="160">
        <f t="shared" si="110"/>
        <v>2.0950137211446997</v>
      </c>
      <c r="AI357" s="160">
        <f>IF($E357="","",MIN(Input!$C$61/AH357,1))</f>
        <v>0.64438718771845094</v>
      </c>
      <c r="AJ357" s="152"/>
      <c r="AK357" s="164">
        <f>IF(AND($C356=12,$D356=Input!$C$6),0,IF($E357="","",IF($B357&gt;Input!$C$9,$AC357*AI357,0)+AK358/(1+$L357)*$R357))</f>
        <v>28622.887605545482</v>
      </c>
      <c r="AL357" s="164">
        <f>IF(AND($C356=12,$D356=Input!$C$6),0,IF($E357="","",IF($B357&gt;Input!$C$9,0,$AC357)+AL358/(1+$L357)*$R357))</f>
        <v>0</v>
      </c>
      <c r="AM357" s="160">
        <f t="shared" si="111"/>
        <v>1.1382936520186004</v>
      </c>
      <c r="AN357" s="164">
        <f>IF($E357="","",IF($B357&gt;Input!$C$9,$AI357*$AC357,$AM357*$AC357))</f>
        <v>0</v>
      </c>
      <c r="AO357" s="164">
        <f>IF(AND($C356=12,$D356=Input!$C$6),0,IF($E357="","",$AN357+AO358/(1+$L357)*$R357))</f>
        <v>28622.887605545482</v>
      </c>
      <c r="AP357" s="152"/>
      <c r="AQ357" s="164">
        <f t="shared" si="112"/>
        <v>-5765.3004665755798</v>
      </c>
      <c r="AR357" s="164">
        <f t="shared" si="121"/>
        <v>-5617.8220852427949</v>
      </c>
      <c r="AS357" s="164">
        <f t="shared" si="122"/>
        <v>1025.3588516746413</v>
      </c>
      <c r="AT357" s="164">
        <f t="shared" si="113"/>
        <v>1025.3588516746413</v>
      </c>
      <c r="AU357" s="152"/>
      <c r="AV357" s="147">
        <f>'Deterministic Reserve'!BC357</f>
        <v>2.6261406106954994E-2</v>
      </c>
      <c r="AW357" s="164">
        <f t="shared" si="114"/>
        <v>1025.3588516746413</v>
      </c>
      <c r="AX357" s="164">
        <f t="shared" si="115"/>
        <v>26.927365209188785</v>
      </c>
      <c r="AY357" s="152"/>
    </row>
    <row r="358" spans="1:51" s="150" customFormat="1" x14ac:dyDescent="0.25">
      <c r="A358" s="150">
        <f t="shared" si="123"/>
        <v>354</v>
      </c>
      <c r="B358" s="150">
        <f t="shared" si="124"/>
        <v>30</v>
      </c>
      <c r="C358" s="150">
        <f t="shared" si="125"/>
        <v>6</v>
      </c>
      <c r="D358" s="150">
        <f>IF(E358="","",Input!$C$4+B358-1)</f>
        <v>74</v>
      </c>
      <c r="E358" s="150">
        <f>IF(OR(AND(C357=12,D357=Input!$C$6),E357=""),"",1)</f>
        <v>1</v>
      </c>
      <c r="F358" s="150">
        <f>IF(E358="","",Input!$C$8+B358-1)</f>
        <v>2047</v>
      </c>
      <c r="G358" s="151">
        <f>IF(E358="","",MAX(0,Input!$C$9-B358))</f>
        <v>0</v>
      </c>
      <c r="H358" s="152">
        <f>IF(E358="","",Input!$C$3)</f>
        <v>100000</v>
      </c>
      <c r="I358" s="153">
        <f>IF(E358="","",HLOOKUP($B358,Input!$C$13:$BT$14,2))</f>
        <v>52.503500000000003</v>
      </c>
      <c r="J358" s="154"/>
      <c r="K358" s="155">
        <f>IF($E358="","",Input!$C$57)</f>
        <v>4.4999999999999998E-2</v>
      </c>
      <c r="L358" s="155">
        <f t="shared" si="116"/>
        <v>3.6748094004368514E-3</v>
      </c>
      <c r="M358" s="147">
        <f>IF($E358="","",VLOOKUP(IF($B358&lt;=Input!$C$7,$B358,26),'Mortality Tables'!$A$72:$CA$97,IF($B358&lt;=Input!$C$7+1,Input!$C$4-16,$D358-Input!$C$7-16),0)/1000)</f>
        <v>2.1430000000000001E-2</v>
      </c>
      <c r="N358" s="147">
        <f t="shared" si="105"/>
        <v>1.8036179091788229E-3</v>
      </c>
      <c r="O358" s="157">
        <f>IF($E358="","",IF($C358=12,IF($B358&lt;Input!$C$9,Input!$C$54,IF($B358=Input!$C$9,Input!$C$55,Input!$C$56)),0%))</f>
        <v>0</v>
      </c>
      <c r="P358" s="167">
        <f>IF($E358="","",IF($B358=1,Input!$C$59,IF($B358&lt;6,Input!$C$60,0%)))</f>
        <v>0</v>
      </c>
      <c r="Q358" s="162">
        <f>IF($E358="","",Input!$C$58)</f>
        <v>2.5</v>
      </c>
      <c r="R358" s="156">
        <f t="shared" si="117"/>
        <v>0.99819638209082118</v>
      </c>
      <c r="S358" s="154">
        <f t="shared" si="106"/>
        <v>1.9985234160723387E-2</v>
      </c>
      <c r="T358" s="152"/>
      <c r="U358" s="150">
        <f t="shared" si="118"/>
        <v>0</v>
      </c>
      <c r="V358" s="150">
        <f t="shared" si="119"/>
        <v>0</v>
      </c>
      <c r="W358" s="168">
        <f t="shared" si="120"/>
        <v>0</v>
      </c>
      <c r="X358" s="163">
        <f t="shared" si="107"/>
        <v>180.3617909178823</v>
      </c>
      <c r="Y358" s="152"/>
      <c r="Z358" s="164">
        <f>IF(AND($C357=12,$D357=Input!$C$6),0,IF($E358="","",V358+Z359/(1+L358)*R358))</f>
        <v>54089.205776332346</v>
      </c>
      <c r="AA358" s="164">
        <f>IF(OR($M358=1,AND($C357=12,$D357=Input!$C$6)),0,IF($E358="","",W358+(X358+AA359*$R358)/(1+$L358)))</f>
        <v>22802.349349800261</v>
      </c>
      <c r="AB358" s="160">
        <f t="shared" si="108"/>
        <v>0.825720328500681</v>
      </c>
      <c r="AC358" s="164">
        <f t="shared" si="109"/>
        <v>0</v>
      </c>
      <c r="AD358" s="164">
        <f>IF(AND($C357=12,$D357=Input!$C$6),0,IF($E358="","",$AC358+AD359/(1+$L358)*$R358))</f>
        <v>44662.55676197404</v>
      </c>
      <c r="AE358" s="152"/>
      <c r="AF358" s="164">
        <f>IF(AND($C357=12,$D357=Input!$C$6),0,IF($E358="","",IF($B358&gt;Input!$C$9,$AC358,0)+AF359/(1+$L358)*$R358))</f>
        <v>44662.55676197404</v>
      </c>
      <c r="AG358" s="164">
        <f>IF(AND($C357=12,$D357=Input!$C$6),0,IF($E358="","",(IF($B358&gt;Input!$C$9,$X358,0)+AG359)/(1+$L358)*$R358))</f>
        <v>22483.316896288226</v>
      </c>
      <c r="AH358" s="160">
        <f t="shared" si="110"/>
        <v>2.0950137211446997</v>
      </c>
      <c r="AI358" s="160">
        <f>IF($E358="","",MIN(Input!$C$61/AH358,1))</f>
        <v>0.64438718771845094</v>
      </c>
      <c r="AJ358" s="152"/>
      <c r="AK358" s="164">
        <f>IF(AND($C357=12,$D357=Input!$C$6),0,IF($E358="","",IF($B358&gt;Input!$C$9,$AC358*AI358,0)+AK359/(1+$L358)*$R358))</f>
        <v>28779.979348164135</v>
      </c>
      <c r="AL358" s="164">
        <f>IF(AND($C357=12,$D357=Input!$C$6),0,IF($E358="","",IF($B358&gt;Input!$C$9,0,$AC358)+AL359/(1+$L358)*$R358))</f>
        <v>0</v>
      </c>
      <c r="AM358" s="160">
        <f t="shared" si="111"/>
        <v>1.1382936520186004</v>
      </c>
      <c r="AN358" s="164">
        <f>IF($E358="","",IF($B358&gt;Input!$C$9,$AI358*$AC358,$AM358*$AC358))</f>
        <v>0</v>
      </c>
      <c r="AO358" s="164">
        <f>IF(AND($C357=12,$D357=Input!$C$6),0,IF($E358="","",$AN358+AO359/(1+$L358)*$R358))</f>
        <v>28779.979348164135</v>
      </c>
      <c r="AP358" s="152"/>
      <c r="AQ358" s="164">
        <f t="shared" si="112"/>
        <v>-5977.6299983638746</v>
      </c>
      <c r="AR358" s="164">
        <f t="shared" si="121"/>
        <v>-5617.8220852427949</v>
      </c>
      <c r="AS358" s="164">
        <f t="shared" si="122"/>
        <v>1025.3588516746413</v>
      </c>
      <c r="AT358" s="164">
        <f t="shared" si="113"/>
        <v>1025.3588516746413</v>
      </c>
      <c r="AU358" s="152"/>
      <c r="AV358" s="147">
        <f>'Deterministic Reserve'!BC358</f>
        <v>2.6147062714988869E-2</v>
      </c>
      <c r="AW358" s="164">
        <f t="shared" si="114"/>
        <v>1025.3588516746413</v>
      </c>
      <c r="AX358" s="164">
        <f t="shared" si="115"/>
        <v>26.810122200105816</v>
      </c>
      <c r="AY358" s="152"/>
    </row>
    <row r="359" spans="1:51" s="150" customFormat="1" x14ac:dyDescent="0.25">
      <c r="A359" s="150">
        <f t="shared" si="123"/>
        <v>355</v>
      </c>
      <c r="B359" s="150">
        <f t="shared" si="124"/>
        <v>30</v>
      </c>
      <c r="C359" s="150">
        <f t="shared" si="125"/>
        <v>7</v>
      </c>
      <c r="D359" s="150">
        <f>IF(E359="","",Input!$C$4+B359-1)</f>
        <v>74</v>
      </c>
      <c r="E359" s="150">
        <f>IF(OR(AND(C358=12,D358=Input!$C$6),E358=""),"",1)</f>
        <v>1</v>
      </c>
      <c r="F359" s="150">
        <f>IF(E359="","",Input!$C$8+B359-1)</f>
        <v>2047</v>
      </c>
      <c r="G359" s="151">
        <f>IF(E359="","",MAX(0,Input!$C$9-B359))</f>
        <v>0</v>
      </c>
      <c r="H359" s="152">
        <f>IF(E359="","",Input!$C$3)</f>
        <v>100000</v>
      </c>
      <c r="I359" s="153">
        <f>IF(E359="","",HLOOKUP($B359,Input!$C$13:$BT$14,2))</f>
        <v>52.503500000000003</v>
      </c>
      <c r="J359" s="154"/>
      <c r="K359" s="155">
        <f>IF($E359="","",Input!$C$57)</f>
        <v>4.4999999999999998E-2</v>
      </c>
      <c r="L359" s="155">
        <f t="shared" si="116"/>
        <v>3.6748094004368514E-3</v>
      </c>
      <c r="M359" s="147">
        <f>IF($E359="","",VLOOKUP(IF($B359&lt;=Input!$C$7,$B359,26),'Mortality Tables'!$A$72:$CA$97,IF($B359&lt;=Input!$C$7+1,Input!$C$4-16,$D359-Input!$C$7-16),0)/1000)</f>
        <v>2.1430000000000001E-2</v>
      </c>
      <c r="N359" s="147">
        <f t="shared" si="105"/>
        <v>1.8036179091788229E-3</v>
      </c>
      <c r="O359" s="157">
        <f>IF($E359="","",IF($C359=12,IF($B359&lt;Input!$C$9,Input!$C$54,IF($B359=Input!$C$9,Input!$C$55,Input!$C$56)),0%))</f>
        <v>0</v>
      </c>
      <c r="P359" s="167">
        <f>IF($E359="","",IF($B359=1,Input!$C$59,IF($B359&lt;6,Input!$C$60,0%)))</f>
        <v>0</v>
      </c>
      <c r="Q359" s="162">
        <f>IF($E359="","",Input!$C$58)</f>
        <v>2.5</v>
      </c>
      <c r="R359" s="156">
        <f t="shared" si="117"/>
        <v>0.99819638209082118</v>
      </c>
      <c r="S359" s="154">
        <f t="shared" si="106"/>
        <v>1.9949188434471975E-2</v>
      </c>
      <c r="T359" s="152"/>
      <c r="U359" s="150">
        <f t="shared" si="118"/>
        <v>0</v>
      </c>
      <c r="V359" s="150">
        <f t="shared" si="119"/>
        <v>0</v>
      </c>
      <c r="W359" s="168">
        <f t="shared" si="120"/>
        <v>0</v>
      </c>
      <c r="X359" s="163">
        <f t="shared" si="107"/>
        <v>180.3617909178823</v>
      </c>
      <c r="Y359" s="152"/>
      <c r="Z359" s="164">
        <f>IF(AND($C358=12,$D358=Input!$C$6),0,IF($E359="","",V359+Z360/(1+L359)*R359))</f>
        <v>54386.06497898724</v>
      </c>
      <c r="AA359" s="164">
        <f>IF(OR($M359=1,AND($C358=12,$D358=Input!$C$6)),0,IF($E359="","",W359+(X359+AA360*$R359)/(1+$L359)))</f>
        <v>22746.80839762769</v>
      </c>
      <c r="AB359" s="160">
        <f t="shared" si="108"/>
        <v>0.825720328500681</v>
      </c>
      <c r="AC359" s="164">
        <f t="shared" si="109"/>
        <v>0</v>
      </c>
      <c r="AD359" s="164">
        <f>IF(AND($C358=12,$D358=Input!$C$6),0,IF($E359="","",$AC359+AD360/(1+$L359)*$R359))</f>
        <v>44907.67944030869</v>
      </c>
      <c r="AE359" s="152"/>
      <c r="AF359" s="164">
        <f>IF(AND($C358=12,$D358=Input!$C$6),0,IF($E359="","",IF($B359&gt;Input!$C$9,$AC359,0)+AF360/(1+$L359)*$R359))</f>
        <v>44907.67944030869</v>
      </c>
      <c r="AG359" s="164">
        <f>IF(AND($C358=12,$D358=Input!$C$6),0,IF($E359="","",(IF($B359&gt;Input!$C$9,$X359,0)+AG360)/(1+$L359)*$R359))</f>
        <v>22426.350881497452</v>
      </c>
      <c r="AH359" s="160">
        <f t="shared" si="110"/>
        <v>2.0950137211446997</v>
      </c>
      <c r="AI359" s="160">
        <f>IF($E359="","",MIN(Input!$C$61/AH359,1))</f>
        <v>0.64438718771845094</v>
      </c>
      <c r="AJ359" s="152"/>
      <c r="AK359" s="164">
        <f>IF(AND($C358=12,$D358=Input!$C$6),0,IF($E359="","",IF($B359&gt;Input!$C$9,$AC359*AI359,0)+AK360/(1+$L359)*$R359))</f>
        <v>28937.933261502214</v>
      </c>
      <c r="AL359" s="164">
        <f>IF(AND($C358=12,$D358=Input!$C$6),0,IF($E359="","",IF($B359&gt;Input!$C$9,0,$AC359)+AL360/(1+$L359)*$R359))</f>
        <v>0</v>
      </c>
      <c r="AM359" s="160">
        <f t="shared" si="111"/>
        <v>1.1382936520186004</v>
      </c>
      <c r="AN359" s="164">
        <f>IF($E359="","",IF($B359&gt;Input!$C$9,$AI359*$AC359,$AM359*$AC359))</f>
        <v>0</v>
      </c>
      <c r="AO359" s="164">
        <f>IF(AND($C358=12,$D358=Input!$C$6),0,IF($E359="","",$AN359+AO360/(1+$L359)*$R359))</f>
        <v>28937.933261502214</v>
      </c>
      <c r="AP359" s="152"/>
      <c r="AQ359" s="164">
        <f t="shared" si="112"/>
        <v>-6191.1248638745237</v>
      </c>
      <c r="AR359" s="164">
        <f t="shared" si="121"/>
        <v>-5617.8220852427949</v>
      </c>
      <c r="AS359" s="164">
        <f t="shared" si="122"/>
        <v>1025.3588516746413</v>
      </c>
      <c r="AT359" s="164">
        <f t="shared" si="113"/>
        <v>1025.3588516746413</v>
      </c>
      <c r="AU359" s="152"/>
      <c r="AV359" s="147">
        <f>'Deterministic Reserve'!BC359</f>
        <v>2.6033217179505869E-2</v>
      </c>
      <c r="AW359" s="164">
        <f t="shared" si="114"/>
        <v>1025.3588516746413</v>
      </c>
      <c r="AX359" s="164">
        <f t="shared" si="115"/>
        <v>26.693389672574682</v>
      </c>
      <c r="AY359" s="152"/>
    </row>
    <row r="360" spans="1:51" s="150" customFormat="1" x14ac:dyDescent="0.25">
      <c r="A360" s="150">
        <f t="shared" si="123"/>
        <v>356</v>
      </c>
      <c r="B360" s="150">
        <f t="shared" si="124"/>
        <v>30</v>
      </c>
      <c r="C360" s="150">
        <f t="shared" si="125"/>
        <v>8</v>
      </c>
      <c r="D360" s="150">
        <f>IF(E360="","",Input!$C$4+B360-1)</f>
        <v>74</v>
      </c>
      <c r="E360" s="150">
        <f>IF(OR(AND(C359=12,D359=Input!$C$6),E359=""),"",1)</f>
        <v>1</v>
      </c>
      <c r="F360" s="150">
        <f>IF(E360="","",Input!$C$8+B360-1)</f>
        <v>2047</v>
      </c>
      <c r="G360" s="151">
        <f>IF(E360="","",MAX(0,Input!$C$9-B360))</f>
        <v>0</v>
      </c>
      <c r="H360" s="152">
        <f>IF(E360="","",Input!$C$3)</f>
        <v>100000</v>
      </c>
      <c r="I360" s="153">
        <f>IF(E360="","",HLOOKUP($B360,Input!$C$13:$BT$14,2))</f>
        <v>52.503500000000003</v>
      </c>
      <c r="J360" s="154"/>
      <c r="K360" s="155">
        <f>IF($E360="","",Input!$C$57)</f>
        <v>4.4999999999999998E-2</v>
      </c>
      <c r="L360" s="155">
        <f t="shared" si="116"/>
        <v>3.6748094004368514E-3</v>
      </c>
      <c r="M360" s="147">
        <f>IF($E360="","",VLOOKUP(IF($B360&lt;=Input!$C$7,$B360,26),'Mortality Tables'!$A$72:$CA$97,IF($B360&lt;=Input!$C$7+1,Input!$C$4-16,$D360-Input!$C$7-16),0)/1000)</f>
        <v>2.1430000000000001E-2</v>
      </c>
      <c r="N360" s="147">
        <f t="shared" si="105"/>
        <v>1.8036179091788229E-3</v>
      </c>
      <c r="O360" s="157">
        <f>IF($E360="","",IF($C360=12,IF($B360&lt;Input!$C$9,Input!$C$54,IF($B360=Input!$C$9,Input!$C$55,Input!$C$56)),0%))</f>
        <v>0</v>
      </c>
      <c r="P360" s="167">
        <f>IF($E360="","",IF($B360=1,Input!$C$59,IF($B360&lt;6,Input!$C$60,0%)))</f>
        <v>0</v>
      </c>
      <c r="Q360" s="162">
        <f>IF($E360="","",Input!$C$58)</f>
        <v>2.5</v>
      </c>
      <c r="R360" s="156">
        <f t="shared" si="117"/>
        <v>0.99819638209082118</v>
      </c>
      <c r="S360" s="154">
        <f t="shared" si="106"/>
        <v>1.9913207720937978E-2</v>
      </c>
      <c r="T360" s="152"/>
      <c r="U360" s="150">
        <f t="shared" si="118"/>
        <v>0</v>
      </c>
      <c r="V360" s="150">
        <f t="shared" si="119"/>
        <v>0</v>
      </c>
      <c r="W360" s="168">
        <f t="shared" si="120"/>
        <v>0</v>
      </c>
      <c r="X360" s="163">
        <f t="shared" si="107"/>
        <v>180.3617909178823</v>
      </c>
      <c r="Y360" s="152"/>
      <c r="Z360" s="164">
        <f>IF(AND($C359=12,$D359=Input!$C$6),0,IF($E360="","",V360+Z361/(1+L360)*R360))</f>
        <v>54684.553441767814</v>
      </c>
      <c r="AA360" s="164">
        <f>IF(OR($M360=1,AND($C359=12,$D359=Input!$C$6)),0,IF($E360="","",W360+(X360+AA361*$R360)/(1+$L360)))</f>
        <v>22690.962618594753</v>
      </c>
      <c r="AB360" s="160">
        <f t="shared" si="108"/>
        <v>0.825720328500681</v>
      </c>
      <c r="AC360" s="164">
        <f t="shared" si="109"/>
        <v>0</v>
      </c>
      <c r="AD360" s="164">
        <f>IF(AND($C359=12,$D359=Input!$C$6),0,IF($E360="","",$AC360+AD361/(1+$L360)*$R360))</f>
        <v>45154.147431849531</v>
      </c>
      <c r="AE360" s="152"/>
      <c r="AF360" s="164">
        <f>IF(AND($C359=12,$D359=Input!$C$6),0,IF($E360="","",IF($B360&gt;Input!$C$9,$AC360,0)+AF361/(1+$L360)*$R360))</f>
        <v>45154.147431849531</v>
      </c>
      <c r="AG360" s="164">
        <f>IF(AND($C359=12,$D359=Input!$C$6),0,IF($E360="","",(IF($B360&gt;Input!$C$9,$X360,0)+AG361)/(1+$L360)*$R360))</f>
        <v>22369.07221863787</v>
      </c>
      <c r="AH360" s="160">
        <f t="shared" si="110"/>
        <v>2.0950137211446997</v>
      </c>
      <c r="AI360" s="160">
        <f>IF($E360="","",MIN(Input!$C$61/AH360,1))</f>
        <v>0.64438718771845094</v>
      </c>
      <c r="AJ360" s="152"/>
      <c r="AK360" s="164">
        <f>IF(AND($C359=12,$D359=Input!$C$6),0,IF($E360="","",IF($B360&gt;Input!$C$9,$AC360*AI360,0)+AK361/(1+$L360)*$R360))</f>
        <v>29096.754077433827</v>
      </c>
      <c r="AL360" s="164">
        <f>IF(AND($C359=12,$D359=Input!$C$6),0,IF($E360="","",IF($B360&gt;Input!$C$9,0,$AC360)+AL361/(1+$L360)*$R360))</f>
        <v>0</v>
      </c>
      <c r="AM360" s="160">
        <f t="shared" si="111"/>
        <v>1.1382936520186004</v>
      </c>
      <c r="AN360" s="164">
        <f>IF($E360="","",IF($B360&gt;Input!$C$9,$AI360*$AC360,$AM360*$AC360))</f>
        <v>0</v>
      </c>
      <c r="AO360" s="164">
        <f>IF(AND($C359=12,$D359=Input!$C$6),0,IF($E360="","",$AN360+AO361/(1+$L360)*$R360))</f>
        <v>29096.754077433827</v>
      </c>
      <c r="AP360" s="152"/>
      <c r="AQ360" s="164">
        <f t="shared" si="112"/>
        <v>-6405.791458839074</v>
      </c>
      <c r="AR360" s="164">
        <f t="shared" si="121"/>
        <v>-5617.8220852427949</v>
      </c>
      <c r="AS360" s="164">
        <f t="shared" si="122"/>
        <v>1025.3588516746413</v>
      </c>
      <c r="AT360" s="164">
        <f t="shared" si="113"/>
        <v>1025.3588516746413</v>
      </c>
      <c r="AU360" s="152"/>
      <c r="AV360" s="147">
        <f>'Deterministic Reserve'!BC360</f>
        <v>2.5919867332815552E-2</v>
      </c>
      <c r="AW360" s="164">
        <f t="shared" si="114"/>
        <v>1025.3588516746413</v>
      </c>
      <c r="AX360" s="164">
        <f t="shared" si="115"/>
        <v>26.577165403934803</v>
      </c>
      <c r="AY360" s="152"/>
    </row>
    <row r="361" spans="1:51" s="150" customFormat="1" x14ac:dyDescent="0.25">
      <c r="A361" s="150">
        <f t="shared" si="123"/>
        <v>357</v>
      </c>
      <c r="B361" s="150">
        <f t="shared" si="124"/>
        <v>30</v>
      </c>
      <c r="C361" s="150">
        <f t="shared" si="125"/>
        <v>9</v>
      </c>
      <c r="D361" s="150">
        <f>IF(E361="","",Input!$C$4+B361-1)</f>
        <v>74</v>
      </c>
      <c r="E361" s="150">
        <f>IF(OR(AND(C360=12,D360=Input!$C$6),E360=""),"",1)</f>
        <v>1</v>
      </c>
      <c r="F361" s="150">
        <f>IF(E361="","",Input!$C$8+B361-1)</f>
        <v>2047</v>
      </c>
      <c r="G361" s="151">
        <f>IF(E361="","",MAX(0,Input!$C$9-B361))</f>
        <v>0</v>
      </c>
      <c r="H361" s="152">
        <f>IF(E361="","",Input!$C$3)</f>
        <v>100000</v>
      </c>
      <c r="I361" s="153">
        <f>IF(E361="","",HLOOKUP($B361,Input!$C$13:$BT$14,2))</f>
        <v>52.503500000000003</v>
      </c>
      <c r="J361" s="154"/>
      <c r="K361" s="155">
        <f>IF($E361="","",Input!$C$57)</f>
        <v>4.4999999999999998E-2</v>
      </c>
      <c r="L361" s="155">
        <f t="shared" si="116"/>
        <v>3.6748094004368514E-3</v>
      </c>
      <c r="M361" s="147">
        <f>IF($E361="","",VLOOKUP(IF($B361&lt;=Input!$C$7,$B361,26),'Mortality Tables'!$A$72:$CA$97,IF($B361&lt;=Input!$C$7+1,Input!$C$4-16,$D361-Input!$C$7-16),0)/1000)</f>
        <v>2.1430000000000001E-2</v>
      </c>
      <c r="N361" s="147">
        <f t="shared" si="105"/>
        <v>1.8036179091788229E-3</v>
      </c>
      <c r="O361" s="157">
        <f>IF($E361="","",IF($C361=12,IF($B361&lt;Input!$C$9,Input!$C$54,IF($B361=Input!$C$9,Input!$C$55,Input!$C$56)),0%))</f>
        <v>0</v>
      </c>
      <c r="P361" s="167">
        <f>IF($E361="","",IF($B361=1,Input!$C$59,IF($B361&lt;6,Input!$C$60,0%)))</f>
        <v>0</v>
      </c>
      <c r="Q361" s="162">
        <f>IF($E361="","",Input!$C$58)</f>
        <v>2.5</v>
      </c>
      <c r="R361" s="156">
        <f t="shared" si="117"/>
        <v>0.99819638209082118</v>
      </c>
      <c r="S361" s="154">
        <f t="shared" si="106"/>
        <v>1.9877291902863296E-2</v>
      </c>
      <c r="T361" s="152"/>
      <c r="U361" s="150">
        <f t="shared" si="118"/>
        <v>0</v>
      </c>
      <c r="V361" s="150">
        <f t="shared" si="119"/>
        <v>0</v>
      </c>
      <c r="W361" s="168">
        <f t="shared" si="120"/>
        <v>0</v>
      </c>
      <c r="X361" s="163">
        <f t="shared" si="107"/>
        <v>180.3617909178823</v>
      </c>
      <c r="Y361" s="152"/>
      <c r="Z361" s="164">
        <f>IF(AND($C360=12,$D360=Input!$C$6),0,IF($E361="","",V361+Z362/(1+L361)*R361))</f>
        <v>54984.680106585023</v>
      </c>
      <c r="AA361" s="164">
        <f>IF(OR($M361=1,AND($C360=12,$D360=Input!$C$6)),0,IF($E361="","",W361+(X361+AA362*$R361)/(1+$L361)))</f>
        <v>22634.810339712214</v>
      </c>
      <c r="AB361" s="160">
        <f t="shared" si="108"/>
        <v>0.825720328500681</v>
      </c>
      <c r="AC361" s="164">
        <f t="shared" si="109"/>
        <v>0</v>
      </c>
      <c r="AD361" s="164">
        <f>IF(AND($C360=12,$D360=Input!$C$6),0,IF($E361="","",$AC361+AD362/(1+$L361)*$R361))</f>
        <v>45401.968120114208</v>
      </c>
      <c r="AE361" s="152"/>
      <c r="AF361" s="164">
        <f>IF(AND($C360=12,$D360=Input!$C$6),0,IF($E361="","",IF($B361&gt;Input!$C$9,$AC361,0)+AF362/(1+$L361)*$R361))</f>
        <v>45401.968120114208</v>
      </c>
      <c r="AG361" s="164">
        <f>IF(AND($C360=12,$D360=Input!$C$6),0,IF($E361="","",(IF($B361&gt;Input!$C$9,$X361,0)+AG362)/(1+$L361)*$R361))</f>
        <v>22311.479191794911</v>
      </c>
      <c r="AH361" s="160">
        <f t="shared" si="110"/>
        <v>2.0950137211446997</v>
      </c>
      <c r="AI361" s="160">
        <f>IF($E361="","",MIN(Input!$C$61/AH361,1))</f>
        <v>0.64438718771845094</v>
      </c>
      <c r="AJ361" s="152"/>
      <c r="AK361" s="164">
        <f>IF(AND($C360=12,$D360=Input!$C$6),0,IF($E361="","",IF($B361&gt;Input!$C$9,$AC361*AI361,0)+AK362/(1+$L361)*$R361))</f>
        <v>29256.446553803151</v>
      </c>
      <c r="AL361" s="164">
        <f>IF(AND($C360=12,$D360=Input!$C$6),0,IF($E361="","",IF($B361&gt;Input!$C$9,0,$AC361)+AL362/(1+$L361)*$R361))</f>
        <v>0</v>
      </c>
      <c r="AM361" s="160">
        <f t="shared" si="111"/>
        <v>1.1382936520186004</v>
      </c>
      <c r="AN361" s="164">
        <f>IF($E361="","",IF($B361&gt;Input!$C$9,$AI361*$AC361,$AM361*$AC361))</f>
        <v>0</v>
      </c>
      <c r="AO361" s="164">
        <f>IF(AND($C360=12,$D360=Input!$C$6),0,IF($E361="","",$AN361+AO362/(1+$L361)*$R361))</f>
        <v>29256.446553803151</v>
      </c>
      <c r="AP361" s="152"/>
      <c r="AQ361" s="164">
        <f t="shared" si="112"/>
        <v>-6621.6362140909368</v>
      </c>
      <c r="AR361" s="164">
        <f t="shared" si="121"/>
        <v>-5617.8220852427949</v>
      </c>
      <c r="AS361" s="164">
        <f t="shared" si="122"/>
        <v>1025.3588516746413</v>
      </c>
      <c r="AT361" s="164">
        <f t="shared" si="113"/>
        <v>1025.3588516746413</v>
      </c>
      <c r="AU361" s="152"/>
      <c r="AV361" s="147">
        <f>'Deterministic Reserve'!BC361</f>
        <v>2.5807011016665701E-2</v>
      </c>
      <c r="AW361" s="164">
        <f t="shared" si="114"/>
        <v>1025.3588516746413</v>
      </c>
      <c r="AX361" s="164">
        <f t="shared" si="115"/>
        <v>26.461447181203162</v>
      </c>
      <c r="AY361" s="152"/>
    </row>
    <row r="362" spans="1:51" s="150" customFormat="1" x14ac:dyDescent="0.25">
      <c r="A362" s="150">
        <f t="shared" si="123"/>
        <v>358</v>
      </c>
      <c r="B362" s="150">
        <f t="shared" si="124"/>
        <v>30</v>
      </c>
      <c r="C362" s="150">
        <f t="shared" si="125"/>
        <v>10</v>
      </c>
      <c r="D362" s="150">
        <f>IF(E362="","",Input!$C$4+B362-1)</f>
        <v>74</v>
      </c>
      <c r="E362" s="150">
        <f>IF(OR(AND(C361=12,D361=Input!$C$6),E361=""),"",1)</f>
        <v>1</v>
      </c>
      <c r="F362" s="150">
        <f>IF(E362="","",Input!$C$8+B362-1)</f>
        <v>2047</v>
      </c>
      <c r="G362" s="151">
        <f>IF(E362="","",MAX(0,Input!$C$9-B362))</f>
        <v>0</v>
      </c>
      <c r="H362" s="152">
        <f>IF(E362="","",Input!$C$3)</f>
        <v>100000</v>
      </c>
      <c r="I362" s="153">
        <f>IF(E362="","",HLOOKUP($B362,Input!$C$13:$BT$14,2))</f>
        <v>52.503500000000003</v>
      </c>
      <c r="J362" s="154"/>
      <c r="K362" s="155">
        <f>IF($E362="","",Input!$C$57)</f>
        <v>4.4999999999999998E-2</v>
      </c>
      <c r="L362" s="155">
        <f t="shared" si="116"/>
        <v>3.6748094004368514E-3</v>
      </c>
      <c r="M362" s="147">
        <f>IF($E362="","",VLOOKUP(IF($B362&lt;=Input!$C$7,$B362,26),'Mortality Tables'!$A$72:$CA$97,IF($B362&lt;=Input!$C$7+1,Input!$C$4-16,$D362-Input!$C$7-16),0)/1000)</f>
        <v>2.1430000000000001E-2</v>
      </c>
      <c r="N362" s="147">
        <f t="shared" si="105"/>
        <v>1.8036179091788229E-3</v>
      </c>
      <c r="O362" s="157">
        <f>IF($E362="","",IF($C362=12,IF($B362&lt;Input!$C$9,Input!$C$54,IF($B362=Input!$C$9,Input!$C$55,Input!$C$56)),0%))</f>
        <v>0</v>
      </c>
      <c r="P362" s="167">
        <f>IF($E362="","",IF($B362=1,Input!$C$59,IF($B362&lt;6,Input!$C$60,0%)))</f>
        <v>0</v>
      </c>
      <c r="Q362" s="162">
        <f>IF($E362="","",Input!$C$58)</f>
        <v>2.5</v>
      </c>
      <c r="R362" s="156">
        <f t="shared" si="117"/>
        <v>0.99819638209082118</v>
      </c>
      <c r="S362" s="154">
        <f t="shared" si="106"/>
        <v>1.9841440863201318E-2</v>
      </c>
      <c r="T362" s="152"/>
      <c r="U362" s="150">
        <f t="shared" si="118"/>
        <v>0</v>
      </c>
      <c r="V362" s="150">
        <f t="shared" si="119"/>
        <v>0</v>
      </c>
      <c r="W362" s="168">
        <f t="shared" si="120"/>
        <v>0</v>
      </c>
      <c r="X362" s="163">
        <f t="shared" si="107"/>
        <v>180.3617909178823</v>
      </c>
      <c r="Y362" s="152"/>
      <c r="Z362" s="164">
        <f>IF(AND($C361=12,$D361=Input!$C$6),0,IF($E362="","",V362+Z363/(1+L362)*R362))</f>
        <v>55286.453964425942</v>
      </c>
      <c r="AA362" s="164">
        <f>IF(OR($M362=1,AND($C361=12,$D361=Input!$C$6)),0,IF($E362="","",W362+(X362+AA363*$R362)/(1+$L362)))</f>
        <v>22578.349878808938</v>
      </c>
      <c r="AB362" s="160">
        <f t="shared" si="108"/>
        <v>0.825720328500681</v>
      </c>
      <c r="AC362" s="164">
        <f t="shared" si="109"/>
        <v>0</v>
      </c>
      <c r="AD362" s="164">
        <f>IF(AND($C361=12,$D361=Input!$C$6),0,IF($E362="","",$AC362+AD363/(1+$L362)*$R362))</f>
        <v>45651.148929143535</v>
      </c>
      <c r="AE362" s="152"/>
      <c r="AF362" s="164">
        <f>IF(AND($C361=12,$D361=Input!$C$6),0,IF($E362="","",IF($B362&gt;Input!$C$9,$AC362,0)+AF363/(1+$L362)*$R362))</f>
        <v>45651.148929143535</v>
      </c>
      <c r="AG362" s="164">
        <f>IF(AND($C361=12,$D361=Input!$C$6),0,IF($E362="","",(IF($B362&gt;Input!$C$9,$X362,0)+AG363)/(1+$L362)*$R362))</f>
        <v>22253.5700756365</v>
      </c>
      <c r="AH362" s="160">
        <f t="shared" si="110"/>
        <v>2.0950137211446997</v>
      </c>
      <c r="AI362" s="160">
        <f>IF($E362="","",MIN(Input!$C$61/AH362,1))</f>
        <v>0.64438718771845094</v>
      </c>
      <c r="AJ362" s="152"/>
      <c r="AK362" s="164">
        <f>IF(AND($C361=12,$D361=Input!$C$6),0,IF($E362="","",IF($B362&gt;Input!$C$9,$AC362*AI362,0)+AK363/(1+$L362)*$R362))</f>
        <v>29417.015474566964</v>
      </c>
      <c r="AL362" s="164">
        <f>IF(AND($C361=12,$D361=Input!$C$6),0,IF($E362="","",IF($B362&gt;Input!$C$9,0,$AC362)+AL363/(1+$L362)*$R362))</f>
        <v>0</v>
      </c>
      <c r="AM362" s="160">
        <f t="shared" si="111"/>
        <v>1.1382936520186004</v>
      </c>
      <c r="AN362" s="164">
        <f>IF($E362="","",IF($B362&gt;Input!$C$9,$AI362*$AC362,$AM362*$AC362))</f>
        <v>0</v>
      </c>
      <c r="AO362" s="164">
        <f>IF(AND($C361=12,$D361=Input!$C$6),0,IF($E362="","",$AN362+AO363/(1+$L362)*$R362))</f>
        <v>29417.015474566964</v>
      </c>
      <c r="AP362" s="152"/>
      <c r="AQ362" s="164">
        <f t="shared" si="112"/>
        <v>-6838.665595758026</v>
      </c>
      <c r="AR362" s="164">
        <f t="shared" si="121"/>
        <v>-5617.8220852427949</v>
      </c>
      <c r="AS362" s="164">
        <f t="shared" si="122"/>
        <v>1025.3588516746413</v>
      </c>
      <c r="AT362" s="164">
        <f t="shared" si="113"/>
        <v>1025.3588516746413</v>
      </c>
      <c r="AU362" s="152"/>
      <c r="AV362" s="147">
        <f>'Deterministic Reserve'!BC362</f>
        <v>2.5694646082201237E-2</v>
      </c>
      <c r="AW362" s="164">
        <f t="shared" si="114"/>
        <v>1025.3588516746413</v>
      </c>
      <c r="AX362" s="164">
        <f t="shared" si="115"/>
        <v>26.34623280103218</v>
      </c>
      <c r="AY362" s="152"/>
    </row>
    <row r="363" spans="1:51" s="150" customFormat="1" x14ac:dyDescent="0.25">
      <c r="A363" s="150">
        <f t="shared" si="123"/>
        <v>359</v>
      </c>
      <c r="B363" s="150">
        <f t="shared" si="124"/>
        <v>30</v>
      </c>
      <c r="C363" s="150">
        <f t="shared" si="125"/>
        <v>11</v>
      </c>
      <c r="D363" s="150">
        <f>IF(E363="","",Input!$C$4+B363-1)</f>
        <v>74</v>
      </c>
      <c r="E363" s="150">
        <f>IF(OR(AND(C362=12,D362=Input!$C$6),E362=""),"",1)</f>
        <v>1</v>
      </c>
      <c r="F363" s="150">
        <f>IF(E363="","",Input!$C$8+B363-1)</f>
        <v>2047</v>
      </c>
      <c r="G363" s="151">
        <f>IF(E363="","",MAX(0,Input!$C$9-B363))</f>
        <v>0</v>
      </c>
      <c r="H363" s="152">
        <f>IF(E363="","",Input!$C$3)</f>
        <v>100000</v>
      </c>
      <c r="I363" s="153">
        <f>IF(E363="","",HLOOKUP($B363,Input!$C$13:$BT$14,2))</f>
        <v>52.503500000000003</v>
      </c>
      <c r="J363" s="154"/>
      <c r="K363" s="155">
        <f>IF($E363="","",Input!$C$57)</f>
        <v>4.4999999999999998E-2</v>
      </c>
      <c r="L363" s="155">
        <f t="shared" si="116"/>
        <v>3.6748094004368514E-3</v>
      </c>
      <c r="M363" s="147">
        <f>IF($E363="","",VLOOKUP(IF($B363&lt;=Input!$C$7,$B363,26),'Mortality Tables'!$A$72:$CA$97,IF($B363&lt;=Input!$C$7+1,Input!$C$4-16,$D363-Input!$C$7-16),0)/1000)</f>
        <v>2.1430000000000001E-2</v>
      </c>
      <c r="N363" s="147">
        <f t="shared" si="105"/>
        <v>1.8036179091788229E-3</v>
      </c>
      <c r="O363" s="157">
        <f>IF($E363="","",IF($C363=12,IF($B363&lt;Input!$C$9,Input!$C$54,IF($B363=Input!$C$9,Input!$C$55,Input!$C$56)),0%))</f>
        <v>0</v>
      </c>
      <c r="P363" s="167">
        <f>IF($E363="","",IF($B363=1,Input!$C$59,IF($B363&lt;6,Input!$C$60,0%)))</f>
        <v>0</v>
      </c>
      <c r="Q363" s="162">
        <f>IF($E363="","",Input!$C$58)</f>
        <v>2.5</v>
      </c>
      <c r="R363" s="156">
        <f t="shared" si="117"/>
        <v>0.99819638209082118</v>
      </c>
      <c r="S363" s="154">
        <f t="shared" si="106"/>
        <v>1.9805654485116536E-2</v>
      </c>
      <c r="T363" s="152"/>
      <c r="U363" s="150">
        <f t="shared" si="118"/>
        <v>0</v>
      </c>
      <c r="V363" s="150">
        <f t="shared" si="119"/>
        <v>0</v>
      </c>
      <c r="W363" s="168">
        <f t="shared" si="120"/>
        <v>0</v>
      </c>
      <c r="X363" s="163">
        <f t="shared" si="107"/>
        <v>180.3617909178823</v>
      </c>
      <c r="Y363" s="152"/>
      <c r="Z363" s="164">
        <f>IF(AND($C362=12,$D362=Input!$C$6),0,IF($E363="","",V363+Z364/(1+L363)*R363))</f>
        <v>55589.88405562313</v>
      </c>
      <c r="AA363" s="164">
        <f>IF(OR($M363=1,AND($C362=12,$D362=Input!$C$6)),0,IF($E363="","",W363+(X363+AA364*$R363)/(1+$L363)))</f>
        <v>22521.579544481479</v>
      </c>
      <c r="AB363" s="160">
        <f t="shared" si="108"/>
        <v>0.825720328500681</v>
      </c>
      <c r="AC363" s="164">
        <f t="shared" si="109"/>
        <v>0</v>
      </c>
      <c r="AD363" s="164">
        <f>IF(AND($C362=12,$D362=Input!$C$6),0,IF($E363="","",$AC363+AD364/(1+$L363)*$R363))</f>
        <v>45901.697323723871</v>
      </c>
      <c r="AE363" s="152"/>
      <c r="AF363" s="164">
        <f>IF(AND($C362=12,$D362=Input!$C$6),0,IF($E363="","",IF($B363&gt;Input!$C$9,$AC363,0)+AF364/(1+$L363)*$R363))</f>
        <v>45901.697323723871</v>
      </c>
      <c r="AG363" s="164">
        <f>IF(AND($C362=12,$D362=Input!$C$6),0,IF($E363="","",(IF($B363&gt;Input!$C$9,$X363,0)+AG364)/(1+$L363)*$R363))</f>
        <v>22195.343135361385</v>
      </c>
      <c r="AH363" s="160">
        <f t="shared" si="110"/>
        <v>2.0950137211446997</v>
      </c>
      <c r="AI363" s="160">
        <f>IF($E363="","",MIN(Input!$C$61/AH363,1))</f>
        <v>0.64438718771845094</v>
      </c>
      <c r="AJ363" s="152"/>
      <c r="AK363" s="164">
        <f>IF(AND($C362=12,$D362=Input!$C$6),0,IF($E363="","",IF($B363&gt;Input!$C$9,$AC363*AI363,0)+AK364/(1+$L363)*$R363))</f>
        <v>29578.465649937956</v>
      </c>
      <c r="AL363" s="164">
        <f>IF(AND($C362=12,$D362=Input!$C$6),0,IF($E363="","",IF($B363&gt;Input!$C$9,0,$AC363)+AL364/(1+$L363)*$R363))</f>
        <v>0</v>
      </c>
      <c r="AM363" s="160">
        <f t="shared" si="111"/>
        <v>1.1382936520186004</v>
      </c>
      <c r="AN363" s="164">
        <f>IF($E363="","",IF($B363&gt;Input!$C$9,$AI363*$AC363,$AM363*$AC363))</f>
        <v>0</v>
      </c>
      <c r="AO363" s="164">
        <f>IF(AND($C362=12,$D362=Input!$C$6),0,IF($E363="","",$AN363+AO364/(1+$L363)*$R363))</f>
        <v>29578.465649937956</v>
      </c>
      <c r="AP363" s="152"/>
      <c r="AQ363" s="164">
        <f t="shared" si="112"/>
        <v>-7056.8861054564768</v>
      </c>
      <c r="AR363" s="164">
        <f t="shared" si="121"/>
        <v>-5617.8220852427949</v>
      </c>
      <c r="AS363" s="164">
        <f t="shared" si="122"/>
        <v>1025.3588516746413</v>
      </c>
      <c r="AT363" s="164">
        <f t="shared" si="113"/>
        <v>1025.3588516746413</v>
      </c>
      <c r="AU363" s="152"/>
      <c r="AV363" s="147">
        <f>'Deterministic Reserve'!BC363</f>
        <v>2.5582770389923286E-2</v>
      </c>
      <c r="AW363" s="164">
        <f t="shared" si="114"/>
        <v>1025.3588516746413</v>
      </c>
      <c r="AX363" s="164">
        <f t="shared" si="115"/>
        <v>26.231520069667756</v>
      </c>
      <c r="AY363" s="152"/>
    </row>
    <row r="364" spans="1:51" s="150" customFormat="1" x14ac:dyDescent="0.25">
      <c r="A364" s="150">
        <f t="shared" si="123"/>
        <v>360</v>
      </c>
      <c r="B364" s="150">
        <f t="shared" si="124"/>
        <v>30</v>
      </c>
      <c r="C364" s="150">
        <f t="shared" si="125"/>
        <v>12</v>
      </c>
      <c r="D364" s="150">
        <f>IF(E364="","",Input!$C$4+B364-1)</f>
        <v>74</v>
      </c>
      <c r="E364" s="150">
        <f>IF(OR(AND(C363=12,D363=Input!$C$6),E363=""),"",1)</f>
        <v>1</v>
      </c>
      <c r="F364" s="150">
        <f>IF(E364="","",Input!$C$8+B364-1)</f>
        <v>2047</v>
      </c>
      <c r="G364" s="151">
        <f>IF(E364="","",MAX(0,Input!$C$9-B364))</f>
        <v>0</v>
      </c>
      <c r="H364" s="152">
        <f>IF(E364="","",Input!$C$3)</f>
        <v>100000</v>
      </c>
      <c r="I364" s="153">
        <f>IF(E364="","",HLOOKUP($B364,Input!$C$13:$BT$14,2))</f>
        <v>52.503500000000003</v>
      </c>
      <c r="J364" s="154"/>
      <c r="K364" s="155">
        <f>IF($E364="","",Input!$C$57)</f>
        <v>4.4999999999999998E-2</v>
      </c>
      <c r="L364" s="155">
        <f t="shared" si="116"/>
        <v>3.6748094004368514E-3</v>
      </c>
      <c r="M364" s="147">
        <f>IF($E364="","",VLOOKUP(IF($B364&lt;=Input!$C$7,$B364,26),'Mortality Tables'!$A$72:$CA$97,IF($B364&lt;=Input!$C$7+1,Input!$C$4-16,$D364-Input!$C$7-16),0)/1000)</f>
        <v>2.1430000000000001E-2</v>
      </c>
      <c r="N364" s="147">
        <f t="shared" si="105"/>
        <v>1.8036179091788229E-3</v>
      </c>
      <c r="O364" s="157">
        <f>IF($E364="","",IF($C364=12,IF($B364&lt;Input!$C$9,Input!$C$54,IF($B364=Input!$C$9,Input!$C$55,Input!$C$56)),0%))</f>
        <v>0.1</v>
      </c>
      <c r="P364" s="167">
        <f>IF($E364="","",IF($B364=1,Input!$C$59,IF($B364&lt;6,Input!$C$60,0%)))</f>
        <v>0</v>
      </c>
      <c r="Q364" s="162">
        <f>IF($E364="","",Input!$C$58)</f>
        <v>2.5</v>
      </c>
      <c r="R364" s="156">
        <f t="shared" si="117"/>
        <v>0.8981963820908212</v>
      </c>
      <c r="S364" s="154">
        <f t="shared" si="106"/>
        <v>1.778936720347252E-2</v>
      </c>
      <c r="T364" s="152"/>
      <c r="U364" s="150">
        <f t="shared" si="118"/>
        <v>0</v>
      </c>
      <c r="V364" s="150">
        <f t="shared" si="119"/>
        <v>0</v>
      </c>
      <c r="W364" s="168">
        <f t="shared" si="120"/>
        <v>0</v>
      </c>
      <c r="X364" s="163">
        <f t="shared" si="107"/>
        <v>180.3617909178823</v>
      </c>
      <c r="Y364" s="152"/>
      <c r="Z364" s="164">
        <f>IF(AND($C363=12,$D363=Input!$C$6),0,IF($E364="","",V364+Z365/(1+L364)*R364))</f>
        <v>55894.979470125429</v>
      </c>
      <c r="AA364" s="164">
        <f>IF(OR($M364=1,AND($C363=12,$D363=Input!$C$6)),0,IF($E364="","",W364+(X364+AA365*$R364)/(1+$L364)))</f>
        <v>22464.497636043416</v>
      </c>
      <c r="AB364" s="160">
        <f t="shared" si="108"/>
        <v>0.825720328500681</v>
      </c>
      <c r="AC364" s="164">
        <f t="shared" si="109"/>
        <v>0</v>
      </c>
      <c r="AD364" s="164">
        <f>IF(AND($C363=12,$D363=Input!$C$6),0,IF($E364="","",$AC364+AD365/(1+$L364)*$R364))</f>
        <v>46153.620809610758</v>
      </c>
      <c r="AE364" s="152"/>
      <c r="AF364" s="164">
        <f>IF(AND($C363=12,$D363=Input!$C$6),0,IF($E364="","",IF($B364&gt;Input!$C$9,$AC364,0)+AF365/(1+$L364)*$R364))</f>
        <v>46153.620809610758</v>
      </c>
      <c r="AG364" s="164">
        <f>IF(AND($C363=12,$D363=Input!$C$6),0,IF($E364="","",(IF($B364&gt;Input!$C$9,$X364,0)+AG365)/(1+$L364)*$R364))</f>
        <v>22136.796626647152</v>
      </c>
      <c r="AH364" s="160">
        <f t="shared" si="110"/>
        <v>2.0950137211446997</v>
      </c>
      <c r="AI364" s="160">
        <f>IF($E364="","",MIN(Input!$C$61/AH364,1))</f>
        <v>0.64438718771845094</v>
      </c>
      <c r="AJ364" s="152"/>
      <c r="AK364" s="164">
        <f>IF(AND($C363=12,$D363=Input!$C$6),0,IF($E364="","",IF($B364&gt;Input!$C$9,$AC364*AI364,0)+AK365/(1+$L364)*$R364))</f>
        <v>29740.801916528839</v>
      </c>
      <c r="AL364" s="164">
        <f>IF(AND($C363=12,$D363=Input!$C$6),0,IF($E364="","",IF($B364&gt;Input!$C$9,0,$AC364)+AL365/(1+$L364)*$R364))</f>
        <v>0</v>
      </c>
      <c r="AM364" s="160">
        <f t="shared" si="111"/>
        <v>1.1382936520186004</v>
      </c>
      <c r="AN364" s="164">
        <f>IF($E364="","",IF($B364&gt;Input!$C$9,$AI364*$AC364,$AM364*$AC364))</f>
        <v>0</v>
      </c>
      <c r="AO364" s="164">
        <f>IF(AND($C363=12,$D363=Input!$C$6),0,IF($E364="","",$AN364+AO365/(1+$L364)*$R364))</f>
        <v>29740.801916528839</v>
      </c>
      <c r="AP364" s="152"/>
      <c r="AQ364" s="164">
        <f t="shared" si="112"/>
        <v>-7276.3042804854231</v>
      </c>
      <c r="AR364" s="164">
        <f t="shared" si="121"/>
        <v>-5617.8220852427949</v>
      </c>
      <c r="AS364" s="164">
        <f t="shared" si="122"/>
        <v>1025.3588516746413</v>
      </c>
      <c r="AT364" s="164">
        <f t="shared" si="113"/>
        <v>1025.3588516746413</v>
      </c>
      <c r="AU364" s="152"/>
      <c r="AV364" s="147">
        <f>'Deterministic Reserve'!BC364</f>
        <v>2.2913104770656129E-2</v>
      </c>
      <c r="AW364" s="164">
        <f t="shared" si="114"/>
        <v>1025.3588516746413</v>
      </c>
      <c r="AX364" s="164">
        <f t="shared" si="115"/>
        <v>23.494154795940712</v>
      </c>
      <c r="AY364" s="152"/>
    </row>
    <row r="365" spans="1:51" s="150" customFormat="1" x14ac:dyDescent="0.25">
      <c r="A365" s="150">
        <f t="shared" si="123"/>
        <v>361</v>
      </c>
      <c r="B365" s="150">
        <f t="shared" si="124"/>
        <v>31</v>
      </c>
      <c r="C365" s="150">
        <f t="shared" si="125"/>
        <v>1</v>
      </c>
      <c r="D365" s="150">
        <f>IF(E365="","",Input!$C$4+B365-1)</f>
        <v>75</v>
      </c>
      <c r="E365" s="150">
        <f>IF(OR(AND(C364=12,D364=Input!$C$6),E364=""),"",1)</f>
        <v>1</v>
      </c>
      <c r="F365" s="150">
        <f>IF(E365="","",Input!$C$8+B365-1)</f>
        <v>2048</v>
      </c>
      <c r="G365" s="151">
        <f>IF(E365="","",MAX(0,Input!$C$9-B365))</f>
        <v>0</v>
      </c>
      <c r="H365" s="152">
        <f>IF(E365="","",Input!$C$3)</f>
        <v>100000</v>
      </c>
      <c r="I365" s="153">
        <f>IF(E365="","",HLOOKUP($B365,Input!$C$13:$BT$14,2))</f>
        <v>59.387999999999998</v>
      </c>
      <c r="J365" s="154"/>
      <c r="K365" s="155">
        <f>IF($E365="","",Input!$C$57)</f>
        <v>4.4999999999999998E-2</v>
      </c>
      <c r="L365" s="155">
        <f t="shared" si="116"/>
        <v>3.6748094004368514E-3</v>
      </c>
      <c r="M365" s="147">
        <f>IF($E365="","",VLOOKUP(IF($B365&lt;=Input!$C$7,$B365,26),'Mortality Tables'!$A$72:$CA$97,IF($B365&lt;=Input!$C$7+1,Input!$C$4-16,$D365-Input!$C$7-16),0)/1000)</f>
        <v>2.4239999999999998E-2</v>
      </c>
      <c r="N365" s="147">
        <f t="shared" si="105"/>
        <v>2.0427960169123738E-3</v>
      </c>
      <c r="O365" s="157">
        <f>IF($E365="","",IF($C365=12,IF($B365&lt;Input!$C$9,Input!$C$54,IF($B365=Input!$C$9,Input!$C$55,Input!$C$56)),0%))</f>
        <v>0</v>
      </c>
      <c r="P365" s="167">
        <f>IF($E365="","",IF($B365=1,Input!$C$59,IF($B365&lt;6,Input!$C$60,0%)))</f>
        <v>0</v>
      </c>
      <c r="Q365" s="162">
        <f>IF($E365="","",Input!$C$58)</f>
        <v>2.5</v>
      </c>
      <c r="R365" s="156">
        <f t="shared" si="117"/>
        <v>0.99795720398308763</v>
      </c>
      <c r="S365" s="154">
        <f t="shared" si="106"/>
        <v>1.7753027155005874E-2</v>
      </c>
      <c r="T365" s="152"/>
      <c r="U365" s="150">
        <f t="shared" si="118"/>
        <v>5938.8</v>
      </c>
      <c r="V365" s="150">
        <f t="shared" si="119"/>
        <v>5938.8</v>
      </c>
      <c r="W365" s="168">
        <f t="shared" si="120"/>
        <v>0</v>
      </c>
      <c r="X365" s="163">
        <f t="shared" si="107"/>
        <v>204.27960169123739</v>
      </c>
      <c r="Y365" s="152"/>
      <c r="Z365" s="164">
        <f>IF(AND($C364=12,$D364=Input!$C$6),0,IF($E365="","",V365+Z366/(1+L365)*R365))</f>
        <v>62458.927674067243</v>
      </c>
      <c r="AA365" s="164">
        <f>IF(OR($M365=1,AND($C364=12,$D364=Input!$C$6)),0,IF($E365="","",W365+(X365+AA366*$R365)/(1+$L365)))</f>
        <v>24901.779875965862</v>
      </c>
      <c r="AB365" s="160">
        <f t="shared" si="108"/>
        <v>0.825720328500681</v>
      </c>
      <c r="AC365" s="164">
        <f t="shared" si="109"/>
        <v>4903.7878868998441</v>
      </c>
      <c r="AD365" s="164">
        <f>IF(AND($C364=12,$D364=Input!$C$6),0,IF($E365="","",$AC365+AD366/(1+$L365)*$R365))</f>
        <v>51573.606276831051</v>
      </c>
      <c r="AE365" s="152"/>
      <c r="AF365" s="164">
        <f>IF(AND($C364=12,$D364=Input!$C$6),0,IF($E365="","",IF($B365&gt;Input!$C$9,$AC365,0)+AF366/(1+$L365)*$R365))</f>
        <v>51573.606276831051</v>
      </c>
      <c r="AG365" s="164">
        <f>IF(AND($C364=12,$D364=Input!$C$6),0,IF($E365="","",(IF($B365&gt;Input!$C$9,$X365,0)+AG366)/(1+$L365)*$R365))</f>
        <v>24556.038375009</v>
      </c>
      <c r="AH365" s="160">
        <f t="shared" si="110"/>
        <v>2.0950137211446997</v>
      </c>
      <c r="AI365" s="160">
        <f>IF($E365="","",MIN(Input!$C$61/AH365,1))</f>
        <v>0.64438718771845094</v>
      </c>
      <c r="AJ365" s="152"/>
      <c r="AK365" s="164">
        <f>IF(AND($C364=12,$D364=Input!$C$6),0,IF($E365="","",IF($B365&gt;Input!$C$9,$AC365*AI365,0)+AK366/(1+$L365)*$R365))</f>
        <v>33233.371109225794</v>
      </c>
      <c r="AL365" s="164">
        <f>IF(AND($C364=12,$D364=Input!$C$6),0,IF($E365="","",IF($B365&gt;Input!$C$9,0,$AC365)+AL366/(1+$L365)*$R365))</f>
        <v>0</v>
      </c>
      <c r="AM365" s="160">
        <f t="shared" si="111"/>
        <v>1.1382936520186004</v>
      </c>
      <c r="AN365" s="164">
        <f>IF($E365="","",IF($B365&gt;Input!$C$9,$AI365*$AC365,$AM365*$AC365))</f>
        <v>3159.9380856071957</v>
      </c>
      <c r="AO365" s="164">
        <f>IF(AND($C364=12,$D364=Input!$C$6),0,IF($E365="","",$AN365+AO366/(1+$L365)*$R365))</f>
        <v>33233.371109225794</v>
      </c>
      <c r="AP365" s="152"/>
      <c r="AQ365" s="164">
        <f t="shared" si="112"/>
        <v>-8331.5912332599328</v>
      </c>
      <c r="AR365" s="164">
        <f t="shared" si="121"/>
        <v>-5970.3739867726636</v>
      </c>
      <c r="AS365" s="164">
        <f t="shared" si="122"/>
        <v>1159.8086124401912</v>
      </c>
      <c r="AT365" s="164">
        <f t="shared" si="113"/>
        <v>1159.8086124401912</v>
      </c>
      <c r="AU365" s="152"/>
      <c r="AV365" s="147">
        <f>'Deterministic Reserve'!BC365</f>
        <v>2.280035730079235E-2</v>
      </c>
      <c r="AW365" s="164">
        <f t="shared" si="114"/>
        <v>1159.8086124401912</v>
      </c>
      <c r="AX365" s="164">
        <f t="shared" si="115"/>
        <v>26.444050764172559</v>
      </c>
      <c r="AY365" s="152"/>
    </row>
    <row r="366" spans="1:51" s="150" customFormat="1" x14ac:dyDescent="0.25">
      <c r="A366" s="150">
        <f t="shared" si="123"/>
        <v>362</v>
      </c>
      <c r="B366" s="150">
        <f t="shared" si="124"/>
        <v>31</v>
      </c>
      <c r="C366" s="150">
        <f t="shared" si="125"/>
        <v>2</v>
      </c>
      <c r="D366" s="150">
        <f>IF(E366="","",Input!$C$4+B366-1)</f>
        <v>75</v>
      </c>
      <c r="E366" s="150">
        <f>IF(OR(AND(C365=12,D365=Input!$C$6),E365=""),"",1)</f>
        <v>1</v>
      </c>
      <c r="F366" s="150">
        <f>IF(E366="","",Input!$C$8+B366-1)</f>
        <v>2048</v>
      </c>
      <c r="G366" s="151">
        <f>IF(E366="","",MAX(0,Input!$C$9-B366))</f>
        <v>0</v>
      </c>
      <c r="H366" s="152">
        <f>IF(E366="","",Input!$C$3)</f>
        <v>100000</v>
      </c>
      <c r="I366" s="153">
        <f>IF(E366="","",HLOOKUP($B366,Input!$C$13:$BT$14,2))</f>
        <v>59.387999999999998</v>
      </c>
      <c r="J366" s="154"/>
      <c r="K366" s="155">
        <f>IF($E366="","",Input!$C$57)</f>
        <v>4.4999999999999998E-2</v>
      </c>
      <c r="L366" s="155">
        <f t="shared" si="116"/>
        <v>3.6748094004368514E-3</v>
      </c>
      <c r="M366" s="147">
        <f>IF($E366="","",VLOOKUP(IF($B366&lt;=Input!$C$7,$B366,26),'Mortality Tables'!$A$72:$CA$97,IF($B366&lt;=Input!$C$7+1,Input!$C$4-16,$D366-Input!$C$7-16),0)/1000)</f>
        <v>2.4239999999999998E-2</v>
      </c>
      <c r="N366" s="147">
        <f t="shared" si="105"/>
        <v>2.0427960169123738E-3</v>
      </c>
      <c r="O366" s="157">
        <f>IF($E366="","",IF($C366=12,IF($B366&lt;Input!$C$9,Input!$C$54,IF($B366=Input!$C$9,Input!$C$55,Input!$C$56)),0%))</f>
        <v>0</v>
      </c>
      <c r="P366" s="167">
        <f>IF($E366="","",IF($B366=1,Input!$C$59,IF($B366&lt;6,Input!$C$60,0%)))</f>
        <v>0</v>
      </c>
      <c r="Q366" s="162">
        <f>IF($E366="","",Input!$C$58)</f>
        <v>2.5</v>
      </c>
      <c r="R366" s="156">
        <f t="shared" si="117"/>
        <v>0.99795720398308763</v>
      </c>
      <c r="S366" s="154">
        <f t="shared" si="106"/>
        <v>1.771676134184549E-2</v>
      </c>
      <c r="T366" s="152"/>
      <c r="U366" s="150">
        <f t="shared" si="118"/>
        <v>0</v>
      </c>
      <c r="V366" s="150">
        <f t="shared" si="119"/>
        <v>0</v>
      </c>
      <c r="W366" s="168">
        <f t="shared" si="120"/>
        <v>0</v>
      </c>
      <c r="X366" s="163">
        <f t="shared" si="107"/>
        <v>204.27960169123739</v>
      </c>
      <c r="Y366" s="152"/>
      <c r="Z366" s="164">
        <f>IF(AND($C365=12,$D365=Input!$C$6),0,IF($E366="","",V366+Z367/(1+L366)*R366))</f>
        <v>56843.94896308516</v>
      </c>
      <c r="AA366" s="164">
        <f>IF(OR($M366=1,AND($C365=12,$D365=Input!$C$6)),0,IF($E366="","",W366+(X366+AA367*$R366)/(1+$L366)))</f>
        <v>24839.752115733547</v>
      </c>
      <c r="AB366" s="160">
        <f t="shared" si="108"/>
        <v>0.825720328500681</v>
      </c>
      <c r="AC366" s="164">
        <f t="shared" si="109"/>
        <v>0</v>
      </c>
      <c r="AD366" s="164">
        <f>IF(AND($C365=12,$D365=Input!$C$6),0,IF($E366="","",$AC366+AD367/(1+$L366)*$R366))</f>
        <v>46937.204211074597</v>
      </c>
      <c r="AE366" s="152"/>
      <c r="AF366" s="164">
        <f>IF(AND($C365=12,$D365=Input!$C$6),0,IF($E366="","",IF($B366&gt;Input!$C$9,$AC366,0)+AF367/(1+$L366)*$R366))</f>
        <v>46937.204211074597</v>
      </c>
      <c r="AG366" s="164">
        <f>IF(AND($C365=12,$D365=Input!$C$6),0,IF($E366="","",(IF($B366&gt;Input!$C$9,$X366,0)+AG367)/(1+$L366)*$R366))</f>
        <v>24492.44791056855</v>
      </c>
      <c r="AH366" s="160">
        <f t="shared" si="110"/>
        <v>2.0950137211446997</v>
      </c>
      <c r="AI366" s="160">
        <f>IF($E366="","",MIN(Input!$C$61/AH366,1))</f>
        <v>0.64438718771845094</v>
      </c>
      <c r="AJ366" s="152"/>
      <c r="AK366" s="164">
        <f>IF(AND($C365=12,$D365=Input!$C$6),0,IF($E366="","",IF($B366&gt;Input!$C$9,$AC366*AI366,0)+AK367/(1+$L366)*$R366))</f>
        <v>30245.73302094097</v>
      </c>
      <c r="AL366" s="164">
        <f>IF(AND($C365=12,$D365=Input!$C$6),0,IF($E366="","",IF($B366&gt;Input!$C$9,0,$AC366)+AL367/(1+$L366)*$R366))</f>
        <v>0</v>
      </c>
      <c r="AM366" s="160">
        <f t="shared" si="111"/>
        <v>1.1382936520186004</v>
      </c>
      <c r="AN366" s="164">
        <f>IF($E366="","",IF($B366&gt;Input!$C$9,$AI366*$AC366,$AM366*$AC366))</f>
        <v>0</v>
      </c>
      <c r="AO366" s="164">
        <f>IF(AND($C365=12,$D365=Input!$C$6),0,IF($E366="","",$AN366+AO367/(1+$L366)*$R366))</f>
        <v>30245.73302094097</v>
      </c>
      <c r="AP366" s="152"/>
      <c r="AQ366" s="164">
        <f t="shared" si="112"/>
        <v>-5405.9809052074233</v>
      </c>
      <c r="AR366" s="164">
        <f t="shared" si="121"/>
        <v>-5970.3739867726636</v>
      </c>
      <c r="AS366" s="164">
        <f t="shared" si="122"/>
        <v>1159.8086124401912</v>
      </c>
      <c r="AT366" s="164">
        <f t="shared" si="113"/>
        <v>1159.8086124401912</v>
      </c>
      <c r="AU366" s="152"/>
      <c r="AV366" s="147">
        <f>'Deterministic Reserve'!BC366</f>
        <v>2.268816462226252E-2</v>
      </c>
      <c r="AW366" s="164">
        <f t="shared" si="114"/>
        <v>1159.8086124401912</v>
      </c>
      <c r="AX366" s="164">
        <f t="shared" si="115"/>
        <v>26.313928729360928</v>
      </c>
      <c r="AY366" s="152"/>
    </row>
    <row r="367" spans="1:51" s="150" customFormat="1" x14ac:dyDescent="0.25">
      <c r="A367" s="150">
        <f t="shared" si="123"/>
        <v>363</v>
      </c>
      <c r="B367" s="150">
        <f t="shared" si="124"/>
        <v>31</v>
      </c>
      <c r="C367" s="150">
        <f t="shared" si="125"/>
        <v>3</v>
      </c>
      <c r="D367" s="150">
        <f>IF(E367="","",Input!$C$4+B367-1)</f>
        <v>75</v>
      </c>
      <c r="E367" s="150">
        <f>IF(OR(AND(C366=12,D366=Input!$C$6),E366=""),"",1)</f>
        <v>1</v>
      </c>
      <c r="F367" s="150">
        <f>IF(E367="","",Input!$C$8+B367-1)</f>
        <v>2048</v>
      </c>
      <c r="G367" s="151">
        <f>IF(E367="","",MAX(0,Input!$C$9-B367))</f>
        <v>0</v>
      </c>
      <c r="H367" s="152">
        <f>IF(E367="","",Input!$C$3)</f>
        <v>100000</v>
      </c>
      <c r="I367" s="153">
        <f>IF(E367="","",HLOOKUP($B367,Input!$C$13:$BT$14,2))</f>
        <v>59.387999999999998</v>
      </c>
      <c r="J367" s="154"/>
      <c r="K367" s="155">
        <f>IF($E367="","",Input!$C$57)</f>
        <v>4.4999999999999998E-2</v>
      </c>
      <c r="L367" s="155">
        <f t="shared" si="116"/>
        <v>3.6748094004368514E-3</v>
      </c>
      <c r="M367" s="147">
        <f>IF($E367="","",VLOOKUP(IF($B367&lt;=Input!$C$7,$B367,26),'Mortality Tables'!$A$72:$CA$97,IF($B367&lt;=Input!$C$7+1,Input!$C$4-16,$D367-Input!$C$7-16),0)/1000)</f>
        <v>2.4239999999999998E-2</v>
      </c>
      <c r="N367" s="147">
        <f t="shared" si="105"/>
        <v>2.0427960169123738E-3</v>
      </c>
      <c r="O367" s="157">
        <f>IF($E367="","",IF($C367=12,IF($B367&lt;Input!$C$9,Input!$C$54,IF($B367=Input!$C$9,Input!$C$55,Input!$C$56)),0%))</f>
        <v>0</v>
      </c>
      <c r="P367" s="167">
        <f>IF($E367="","",IF($B367=1,Input!$C$59,IF($B367&lt;6,Input!$C$60,0%)))</f>
        <v>0</v>
      </c>
      <c r="Q367" s="162">
        <f>IF($E367="","",Input!$C$58)</f>
        <v>2.5</v>
      </c>
      <c r="R367" s="156">
        <f t="shared" si="117"/>
        <v>0.99795720398308763</v>
      </c>
      <c r="S367" s="154">
        <f t="shared" si="106"/>
        <v>1.768056961234378E-2</v>
      </c>
      <c r="T367" s="152"/>
      <c r="U367" s="150">
        <f t="shared" si="118"/>
        <v>0</v>
      </c>
      <c r="V367" s="150">
        <f t="shared" si="119"/>
        <v>0</v>
      </c>
      <c r="W367" s="168">
        <f t="shared" si="120"/>
        <v>0</v>
      </c>
      <c r="X367" s="163">
        <f t="shared" si="107"/>
        <v>204.27960169123739</v>
      </c>
      <c r="Y367" s="152"/>
      <c r="Z367" s="164">
        <f>IF(AND($C366=12,$D366=Input!$C$6),0,IF($E367="","",V367+Z368/(1+L367)*R367))</f>
        <v>57169.625524402283</v>
      </c>
      <c r="AA367" s="164">
        <f>IF(OR($M367=1,AND($C366=12,$D366=Input!$C$6)),0,IF($E367="","",W367+(X367+AA368*$R367)/(1+$L367)))</f>
        <v>24777.368979282175</v>
      </c>
      <c r="AB367" s="160">
        <f t="shared" si="108"/>
        <v>0.825720328500681</v>
      </c>
      <c r="AC367" s="164">
        <f t="shared" si="109"/>
        <v>0</v>
      </c>
      <c r="AD367" s="164">
        <f>IF(AND($C366=12,$D366=Input!$C$6),0,IF($E367="","",$AC367+AD368/(1+$L367)*$R367))</f>
        <v>47206.121968270338</v>
      </c>
      <c r="AE367" s="152"/>
      <c r="AF367" s="164">
        <f>IF(AND($C366=12,$D366=Input!$C$6),0,IF($E367="","",IF($B367&gt;Input!$C$9,$AC367,0)+AF368/(1+$L367)*$R367))</f>
        <v>47206.121968270338</v>
      </c>
      <c r="AG367" s="164">
        <f>IF(AND($C366=12,$D366=Input!$C$6),0,IF($E367="","",(IF($B367&gt;Input!$C$9,$X367,0)+AG368)/(1+$L367)*$R367))</f>
        <v>24428.493116693404</v>
      </c>
      <c r="AH367" s="160">
        <f t="shared" si="110"/>
        <v>2.0950137211446997</v>
      </c>
      <c r="AI367" s="160">
        <f>IF($E367="","",MIN(Input!$C$61/AH367,1))</f>
        <v>0.64438718771845094</v>
      </c>
      <c r="AJ367" s="152"/>
      <c r="AK367" s="164">
        <f>IF(AND($C366=12,$D366=Input!$C$6),0,IF($E367="","",IF($B367&gt;Input!$C$9,$AC367*AI367,0)+AK368/(1+$L367)*$R367))</f>
        <v>30419.020178227889</v>
      </c>
      <c r="AL367" s="164">
        <f>IF(AND($C366=12,$D366=Input!$C$6),0,IF($E367="","",IF($B367&gt;Input!$C$9,0,$AC367)+AL368/(1+$L367)*$R367))</f>
        <v>0</v>
      </c>
      <c r="AM367" s="160">
        <f t="shared" si="111"/>
        <v>1.1382936520186004</v>
      </c>
      <c r="AN367" s="164">
        <f>IF($E367="","",IF($B367&gt;Input!$C$9,$AI367*$AC367,$AM367*$AC367))</f>
        <v>0</v>
      </c>
      <c r="AO367" s="164">
        <f>IF(AND($C366=12,$D366=Input!$C$6),0,IF($E367="","",$AN367+AO368/(1+$L367)*$R367))</f>
        <v>30419.020178227889</v>
      </c>
      <c r="AP367" s="152"/>
      <c r="AQ367" s="164">
        <f t="shared" si="112"/>
        <v>-5641.651198945714</v>
      </c>
      <c r="AR367" s="164">
        <f t="shared" si="121"/>
        <v>-5970.3739867726636</v>
      </c>
      <c r="AS367" s="164">
        <f t="shared" si="122"/>
        <v>1159.8086124401912</v>
      </c>
      <c r="AT367" s="164">
        <f t="shared" si="113"/>
        <v>1159.8086124401912</v>
      </c>
      <c r="AU367" s="152"/>
      <c r="AV367" s="147">
        <f>'Deterministic Reserve'!BC367</f>
        <v>2.2576524005130223E-2</v>
      </c>
      <c r="AW367" s="164">
        <f t="shared" si="114"/>
        <v>1159.8086124401912</v>
      </c>
      <c r="AX367" s="164">
        <f t="shared" si="115"/>
        <v>26.18444698011275</v>
      </c>
      <c r="AY367" s="152"/>
    </row>
    <row r="368" spans="1:51" s="150" customFormat="1" x14ac:dyDescent="0.25">
      <c r="A368" s="150">
        <f t="shared" si="123"/>
        <v>364</v>
      </c>
      <c r="B368" s="150">
        <f t="shared" si="124"/>
        <v>31</v>
      </c>
      <c r="C368" s="150">
        <f t="shared" si="125"/>
        <v>4</v>
      </c>
      <c r="D368" s="150">
        <f>IF(E368="","",Input!$C$4+B368-1)</f>
        <v>75</v>
      </c>
      <c r="E368" s="150">
        <f>IF(OR(AND(C367=12,D367=Input!$C$6),E367=""),"",1)</f>
        <v>1</v>
      </c>
      <c r="F368" s="150">
        <f>IF(E368="","",Input!$C$8+B368-1)</f>
        <v>2048</v>
      </c>
      <c r="G368" s="151">
        <f>IF(E368="","",MAX(0,Input!$C$9-B368))</f>
        <v>0</v>
      </c>
      <c r="H368" s="152">
        <f>IF(E368="","",Input!$C$3)</f>
        <v>100000</v>
      </c>
      <c r="I368" s="153">
        <f>IF(E368="","",HLOOKUP($B368,Input!$C$13:$BT$14,2))</f>
        <v>59.387999999999998</v>
      </c>
      <c r="J368" s="154"/>
      <c r="K368" s="155">
        <f>IF($E368="","",Input!$C$57)</f>
        <v>4.4999999999999998E-2</v>
      </c>
      <c r="L368" s="155">
        <f t="shared" si="116"/>
        <v>3.6748094004368514E-3</v>
      </c>
      <c r="M368" s="147">
        <f>IF($E368="","",VLOOKUP(IF($B368&lt;=Input!$C$7,$B368,26),'Mortality Tables'!$A$72:$CA$97,IF($B368&lt;=Input!$C$7+1,Input!$C$4-16,$D368-Input!$C$7-16),0)/1000)</f>
        <v>2.4239999999999998E-2</v>
      </c>
      <c r="N368" s="147">
        <f t="shared" si="105"/>
        <v>2.0427960169123738E-3</v>
      </c>
      <c r="O368" s="157">
        <f>IF($E368="","",IF($C368=12,IF($B368&lt;Input!$C$9,Input!$C$54,IF($B368=Input!$C$9,Input!$C$55,Input!$C$56)),0%))</f>
        <v>0</v>
      </c>
      <c r="P368" s="167">
        <f>IF($E368="","",IF($B368=1,Input!$C$59,IF($B368&lt;6,Input!$C$60,0%)))</f>
        <v>0</v>
      </c>
      <c r="Q368" s="162">
        <f>IF($E368="","",Input!$C$58)</f>
        <v>2.5</v>
      </c>
      <c r="R368" s="156">
        <f t="shared" si="117"/>
        <v>0.99795720398308763</v>
      </c>
      <c r="S368" s="154">
        <f t="shared" si="106"/>
        <v>1.7644451815162943E-2</v>
      </c>
      <c r="T368" s="152"/>
      <c r="U368" s="150">
        <f t="shared" si="118"/>
        <v>0</v>
      </c>
      <c r="V368" s="150">
        <f t="shared" si="119"/>
        <v>0</v>
      </c>
      <c r="W368" s="168">
        <f t="shared" si="120"/>
        <v>0</v>
      </c>
      <c r="X368" s="163">
        <f t="shared" si="107"/>
        <v>204.27960169123739</v>
      </c>
      <c r="Y368" s="152"/>
      <c r="Z368" s="164">
        <f>IF(AND($C367=12,$D367=Input!$C$6),0,IF($E368="","",V368+Z369/(1+L368)*R368))</f>
        <v>57497.167987447312</v>
      </c>
      <c r="AA368" s="164">
        <f>IF(OR($M368=1,AND($C367=12,$D367=Input!$C$6)),0,IF($E368="","",W368+(X368+AA369*$R368)/(1+$L368)))</f>
        <v>24714.6284305515</v>
      </c>
      <c r="AB368" s="160">
        <f t="shared" si="108"/>
        <v>0.825720328500681</v>
      </c>
      <c r="AC368" s="164">
        <f t="shared" si="109"/>
        <v>0</v>
      </c>
      <c r="AD368" s="164">
        <f>IF(AND($C367=12,$D367=Input!$C$6),0,IF($E368="","",$AC368+AD369/(1+$L368)*$R368))</f>
        <v>47476.580438453799</v>
      </c>
      <c r="AE368" s="152"/>
      <c r="AF368" s="164">
        <f>IF(AND($C367=12,$D367=Input!$C$6),0,IF($E368="","",IF($B368&gt;Input!$C$9,$AC368,0)+AF369/(1+$L368)*$R368))</f>
        <v>47476.580438453799</v>
      </c>
      <c r="AG368" s="164">
        <f>IF(AND($C367=12,$D367=Input!$C$6),0,IF($E368="","",(IF($B368&gt;Input!$C$9,$X368,0)+AG369)/(1+$L368)*$R368))</f>
        <v>24364.171906027572</v>
      </c>
      <c r="AH368" s="160">
        <f t="shared" si="110"/>
        <v>2.0950137211446997</v>
      </c>
      <c r="AI368" s="160">
        <f>IF($E368="","",MIN(Input!$C$61/AH368,1))</f>
        <v>0.64438718771845094</v>
      </c>
      <c r="AJ368" s="152"/>
      <c r="AK368" s="164">
        <f>IF(AND($C367=12,$D367=Input!$C$6),0,IF($E368="","",IF($B368&gt;Input!$C$9,$AC368*AI368,0)+AK369/(1+$L368)*$R368))</f>
        <v>30593.300151224044</v>
      </c>
      <c r="AL368" s="164">
        <f>IF(AND($C367=12,$D367=Input!$C$6),0,IF($E368="","",IF($B368&gt;Input!$C$9,0,$AC368)+AL369/(1+$L368)*$R368))</f>
        <v>0</v>
      </c>
      <c r="AM368" s="160">
        <f t="shared" si="111"/>
        <v>1.1382936520186004</v>
      </c>
      <c r="AN368" s="164">
        <f>IF($E368="","",IF($B368&gt;Input!$C$9,$AI368*$AC368,$AM368*$AC368))</f>
        <v>0</v>
      </c>
      <c r="AO368" s="164">
        <f>IF(AND($C367=12,$D367=Input!$C$6),0,IF($E368="","",$AN368+AO369/(1+$L368)*$R368))</f>
        <v>30593.300151224044</v>
      </c>
      <c r="AP368" s="152"/>
      <c r="AQ368" s="164">
        <f t="shared" si="112"/>
        <v>-5878.6717206725443</v>
      </c>
      <c r="AR368" s="164">
        <f t="shared" si="121"/>
        <v>-5970.3739867726636</v>
      </c>
      <c r="AS368" s="164">
        <f t="shared" si="122"/>
        <v>1159.8086124401912</v>
      </c>
      <c r="AT368" s="164">
        <f t="shared" si="113"/>
        <v>1159.8086124401912</v>
      </c>
      <c r="AU368" s="152"/>
      <c r="AV368" s="147">
        <f>'Deterministic Reserve'!BC368</f>
        <v>2.2465432732892112E-2</v>
      </c>
      <c r="AW368" s="164">
        <f t="shared" si="114"/>
        <v>1159.8086124401912</v>
      </c>
      <c r="AX368" s="164">
        <f t="shared" si="115"/>
        <v>26.055602365804052</v>
      </c>
      <c r="AY368" s="152"/>
    </row>
    <row r="369" spans="1:51" s="150" customFormat="1" x14ac:dyDescent="0.25">
      <c r="A369" s="150">
        <f t="shared" si="123"/>
        <v>365</v>
      </c>
      <c r="B369" s="150">
        <f t="shared" si="124"/>
        <v>31</v>
      </c>
      <c r="C369" s="150">
        <f t="shared" si="125"/>
        <v>5</v>
      </c>
      <c r="D369" s="150">
        <f>IF(E369="","",Input!$C$4+B369-1)</f>
        <v>75</v>
      </c>
      <c r="E369" s="150">
        <f>IF(OR(AND(C368=12,D368=Input!$C$6),E368=""),"",1)</f>
        <v>1</v>
      </c>
      <c r="F369" s="150">
        <f>IF(E369="","",Input!$C$8+B369-1)</f>
        <v>2048</v>
      </c>
      <c r="G369" s="151">
        <f>IF(E369="","",MAX(0,Input!$C$9-B369))</f>
        <v>0</v>
      </c>
      <c r="H369" s="152">
        <f>IF(E369="","",Input!$C$3)</f>
        <v>100000</v>
      </c>
      <c r="I369" s="153">
        <f>IF(E369="","",HLOOKUP($B369,Input!$C$13:$BT$14,2))</f>
        <v>59.387999999999998</v>
      </c>
      <c r="J369" s="154"/>
      <c r="K369" s="155">
        <f>IF($E369="","",Input!$C$57)</f>
        <v>4.4999999999999998E-2</v>
      </c>
      <c r="L369" s="155">
        <f t="shared" si="116"/>
        <v>3.6748094004368514E-3</v>
      </c>
      <c r="M369" s="147">
        <f>IF($E369="","",VLOOKUP(IF($B369&lt;=Input!$C$7,$B369,26),'Mortality Tables'!$A$72:$CA$97,IF($B369&lt;=Input!$C$7+1,Input!$C$4-16,$D369-Input!$C$7-16),0)/1000)</f>
        <v>2.4239999999999998E-2</v>
      </c>
      <c r="N369" s="147">
        <f t="shared" si="105"/>
        <v>2.0427960169123738E-3</v>
      </c>
      <c r="O369" s="157">
        <f>IF($E369="","",IF($C369=12,IF($B369&lt;Input!$C$9,Input!$C$54,IF($B369=Input!$C$9,Input!$C$55,Input!$C$56)),0%))</f>
        <v>0</v>
      </c>
      <c r="P369" s="167">
        <f>IF($E369="","",IF($B369=1,Input!$C$59,IF($B369&lt;6,Input!$C$60,0%)))</f>
        <v>0</v>
      </c>
      <c r="Q369" s="162">
        <f>IF($E369="","",Input!$C$58)</f>
        <v>2.5</v>
      </c>
      <c r="R369" s="156">
        <f t="shared" si="117"/>
        <v>0.99795720398308763</v>
      </c>
      <c r="S369" s="154">
        <f t="shared" si="106"/>
        <v>1.7608407799274327E-2</v>
      </c>
      <c r="T369" s="152"/>
      <c r="U369" s="150">
        <f t="shared" si="118"/>
        <v>0</v>
      </c>
      <c r="V369" s="150">
        <f t="shared" si="119"/>
        <v>0</v>
      </c>
      <c r="W369" s="168">
        <f t="shared" si="120"/>
        <v>0</v>
      </c>
      <c r="X369" s="163">
        <f t="shared" si="107"/>
        <v>204.27960169123739</v>
      </c>
      <c r="Y369" s="152"/>
      <c r="Z369" s="164">
        <f>IF(AND($C368=12,$D368=Input!$C$6),0,IF($E369="","",V369+Z370/(1+L369)*R369))</f>
        <v>57826.587042548235</v>
      </c>
      <c r="AA369" s="164">
        <f>IF(OR($M369=1,AND($C368=12,$D368=Input!$C$6)),0,IF($E369="","",W369+(X369+AA370*$R369)/(1+$L369)))</f>
        <v>24651.528421816045</v>
      </c>
      <c r="AB369" s="160">
        <f t="shared" si="108"/>
        <v>0.825720328500681</v>
      </c>
      <c r="AC369" s="164">
        <f t="shared" si="109"/>
        <v>0</v>
      </c>
      <c r="AD369" s="164">
        <f>IF(AND($C368=12,$D368=Input!$C$6),0,IF($E369="","",$AC369+AD370/(1+$L369)*$R369))</f>
        <v>47748.588448846116</v>
      </c>
      <c r="AE369" s="152"/>
      <c r="AF369" s="164">
        <f>IF(AND($C368=12,$D368=Input!$C$6),0,IF($E369="","",IF($B369&gt;Input!$C$9,$AC369,0)+AF370/(1+$L369)*$R369))</f>
        <v>47748.588448846116</v>
      </c>
      <c r="AG369" s="164">
        <f>IF(AND($C368=12,$D368=Input!$C$6),0,IF($E369="","",(IF($B369&gt;Input!$C$9,$X369,0)+AG370)/(1+$L369)*$R369))</f>
        <v>24299.482179255952</v>
      </c>
      <c r="AH369" s="160">
        <f t="shared" si="110"/>
        <v>2.0950137211446997</v>
      </c>
      <c r="AI369" s="160">
        <f>IF($E369="","",MIN(Input!$C$61/AH369,1))</f>
        <v>0.64438718771845094</v>
      </c>
      <c r="AJ369" s="152"/>
      <c r="AK369" s="164">
        <f>IF(AND($C368=12,$D368=Input!$C$6),0,IF($E369="","",IF($B369&gt;Input!$C$9,$AC369*AI369,0)+AK370/(1+$L369)*$R369))</f>
        <v>30768.578628077641</v>
      </c>
      <c r="AL369" s="164">
        <f>IF(AND($C368=12,$D368=Input!$C$6),0,IF($E369="","",IF($B369&gt;Input!$C$9,0,$AC369)+AL370/(1+$L369)*$R369))</f>
        <v>0</v>
      </c>
      <c r="AM369" s="160">
        <f t="shared" si="111"/>
        <v>1.1382936520186004</v>
      </c>
      <c r="AN369" s="164">
        <f>IF($E369="","",IF($B369&gt;Input!$C$9,$AI369*$AC369,$AM369*$AC369))</f>
        <v>0</v>
      </c>
      <c r="AO369" s="164">
        <f>IF(AND($C368=12,$D368=Input!$C$6),0,IF($E369="","",$AN369+AO370/(1+$L369)*$R369))</f>
        <v>30768.578628077641</v>
      </c>
      <c r="AP369" s="152"/>
      <c r="AQ369" s="164">
        <f t="shared" si="112"/>
        <v>-6117.050206261596</v>
      </c>
      <c r="AR369" s="164">
        <f t="shared" si="121"/>
        <v>-5970.3739867726636</v>
      </c>
      <c r="AS369" s="164">
        <f t="shared" si="122"/>
        <v>1159.8086124401912</v>
      </c>
      <c r="AT369" s="164">
        <f t="shared" si="113"/>
        <v>1159.8086124401912</v>
      </c>
      <c r="AU369" s="152"/>
      <c r="AV369" s="147">
        <f>'Deterministic Reserve'!BC369</f>
        <v>2.2354888102411815E-2</v>
      </c>
      <c r="AW369" s="164">
        <f t="shared" si="114"/>
        <v>1159.8086124401912</v>
      </c>
      <c r="AX369" s="164">
        <f t="shared" si="115"/>
        <v>25.927391751313984</v>
      </c>
      <c r="AY369" s="152"/>
    </row>
    <row r="370" spans="1:51" s="150" customFormat="1" x14ac:dyDescent="0.25">
      <c r="A370" s="150">
        <f t="shared" si="123"/>
        <v>366</v>
      </c>
      <c r="B370" s="150">
        <f t="shared" si="124"/>
        <v>31</v>
      </c>
      <c r="C370" s="150">
        <f t="shared" si="125"/>
        <v>6</v>
      </c>
      <c r="D370" s="150">
        <f>IF(E370="","",Input!$C$4+B370-1)</f>
        <v>75</v>
      </c>
      <c r="E370" s="150">
        <f>IF(OR(AND(C369=12,D369=Input!$C$6),E369=""),"",1)</f>
        <v>1</v>
      </c>
      <c r="F370" s="150">
        <f>IF(E370="","",Input!$C$8+B370-1)</f>
        <v>2048</v>
      </c>
      <c r="G370" s="151">
        <f>IF(E370="","",MAX(0,Input!$C$9-B370))</f>
        <v>0</v>
      </c>
      <c r="H370" s="152">
        <f>IF(E370="","",Input!$C$3)</f>
        <v>100000</v>
      </c>
      <c r="I370" s="153">
        <f>IF(E370="","",HLOOKUP($B370,Input!$C$13:$BT$14,2))</f>
        <v>59.387999999999998</v>
      </c>
      <c r="J370" s="154"/>
      <c r="K370" s="155">
        <f>IF($E370="","",Input!$C$57)</f>
        <v>4.4999999999999998E-2</v>
      </c>
      <c r="L370" s="155">
        <f t="shared" si="116"/>
        <v>3.6748094004368514E-3</v>
      </c>
      <c r="M370" s="147">
        <f>IF($E370="","",VLOOKUP(IF($B370&lt;=Input!$C$7,$B370,26),'Mortality Tables'!$A$72:$CA$97,IF($B370&lt;=Input!$C$7+1,Input!$C$4-16,$D370-Input!$C$7-16),0)/1000)</f>
        <v>2.4239999999999998E-2</v>
      </c>
      <c r="N370" s="147">
        <f t="shared" si="105"/>
        <v>2.0427960169123738E-3</v>
      </c>
      <c r="O370" s="157">
        <f>IF($E370="","",IF($C370=12,IF($B370&lt;Input!$C$9,Input!$C$54,IF($B370=Input!$C$9,Input!$C$55,Input!$C$56)),0%))</f>
        <v>0</v>
      </c>
      <c r="P370" s="167">
        <f>IF($E370="","",IF($B370=1,Input!$C$59,IF($B370&lt;6,Input!$C$60,0%)))</f>
        <v>0</v>
      </c>
      <c r="Q370" s="162">
        <f>IF($E370="","",Input!$C$58)</f>
        <v>2.5</v>
      </c>
      <c r="R370" s="156">
        <f t="shared" si="117"/>
        <v>0.99795720398308763</v>
      </c>
      <c r="S370" s="154">
        <f t="shared" si="106"/>
        <v>1.7572437413957802E-2</v>
      </c>
      <c r="T370" s="152"/>
      <c r="U370" s="150">
        <f t="shared" si="118"/>
        <v>0</v>
      </c>
      <c r="V370" s="150">
        <f t="shared" si="119"/>
        <v>0</v>
      </c>
      <c r="W370" s="168">
        <f t="shared" si="120"/>
        <v>0</v>
      </c>
      <c r="X370" s="163">
        <f t="shared" si="107"/>
        <v>204.27960169123739</v>
      </c>
      <c r="Y370" s="152"/>
      <c r="Z370" s="164">
        <f>IF(AND($C369=12,$D369=Input!$C$6),0,IF($E370="","",V370+Z371/(1+L370)*R370))</f>
        <v>58157.89344128123</v>
      </c>
      <c r="AA370" s="164">
        <f>IF(OR($M370=1,AND($C369=12,$D369=Input!$C$6)),0,IF($E370="","",W370+(X370+AA371*$R370)/(1+$L370)))</f>
        <v>24588.066893618296</v>
      </c>
      <c r="AB370" s="160">
        <f t="shared" si="108"/>
        <v>0.825720328500681</v>
      </c>
      <c r="AC370" s="164">
        <f t="shared" si="109"/>
        <v>0</v>
      </c>
      <c r="AD370" s="164">
        <f>IF(AND($C369=12,$D369=Input!$C$6),0,IF($E370="","",$AC370+AD371/(1+$L370)*$R370))</f>
        <v>48022.154877242305</v>
      </c>
      <c r="AE370" s="152"/>
      <c r="AF370" s="164">
        <f>IF(AND($C369=12,$D369=Input!$C$6),0,IF($E370="","",IF($B370&gt;Input!$C$9,$AC370,0)+AF371/(1+$L370)*$R370))</f>
        <v>48022.154877242305</v>
      </c>
      <c r="AG370" s="164">
        <f>IF(AND($C369=12,$D369=Input!$C$6),0,IF($E370="","",(IF($B370&gt;Input!$C$9,$X370,0)+AG371)/(1+$L370)*$R370))</f>
        <v>24234.421825035824</v>
      </c>
      <c r="AH370" s="160">
        <f t="shared" si="110"/>
        <v>2.0950137211446997</v>
      </c>
      <c r="AI370" s="160">
        <f>IF($E370="","",MIN(Input!$C$61/AH370,1))</f>
        <v>0.64438718771845094</v>
      </c>
      <c r="AJ370" s="152"/>
      <c r="AK370" s="164">
        <f>IF(AND($C369=12,$D369=Input!$C$6),0,IF($E370="","",IF($B370&gt;Input!$C$9,$AC370*AI370,0)+AK371/(1+$L370)*$R370))</f>
        <v>30944.861329526044</v>
      </c>
      <c r="AL370" s="164">
        <f>IF(AND($C369=12,$D369=Input!$C$6),0,IF($E370="","",IF($B370&gt;Input!$C$9,0,$AC370)+AL371/(1+$L370)*$R370))</f>
        <v>0</v>
      </c>
      <c r="AM370" s="160">
        <f t="shared" si="111"/>
        <v>1.1382936520186004</v>
      </c>
      <c r="AN370" s="164">
        <f>IF($E370="","",IF($B370&gt;Input!$C$9,$AI370*$AC370,$AM370*$AC370))</f>
        <v>0</v>
      </c>
      <c r="AO370" s="164">
        <f>IF(AND($C369=12,$D369=Input!$C$6),0,IF($E370="","",$AN370+AO371/(1+$L370)*$R370))</f>
        <v>30944.861329526044</v>
      </c>
      <c r="AP370" s="152"/>
      <c r="AQ370" s="164">
        <f t="shared" si="112"/>
        <v>-6356.7944359077483</v>
      </c>
      <c r="AR370" s="164">
        <f t="shared" si="121"/>
        <v>-5970.3739867726636</v>
      </c>
      <c r="AS370" s="164">
        <f t="shared" si="122"/>
        <v>1159.8086124401912</v>
      </c>
      <c r="AT370" s="164">
        <f t="shared" si="113"/>
        <v>1159.8086124401912</v>
      </c>
      <c r="AU370" s="152"/>
      <c r="AV370" s="147">
        <f>'Deterministic Reserve'!BC370</f>
        <v>2.2244887423854158E-2</v>
      </c>
      <c r="AW370" s="164">
        <f t="shared" si="114"/>
        <v>1159.8086124401912</v>
      </c>
      <c r="AX370" s="164">
        <f t="shared" si="115"/>
        <v>25.79981201694855</v>
      </c>
      <c r="AY370" s="152"/>
    </row>
    <row r="371" spans="1:51" s="150" customFormat="1" x14ac:dyDescent="0.25">
      <c r="A371" s="150">
        <f t="shared" si="123"/>
        <v>367</v>
      </c>
      <c r="B371" s="150">
        <f t="shared" si="124"/>
        <v>31</v>
      </c>
      <c r="C371" s="150">
        <f t="shared" si="125"/>
        <v>7</v>
      </c>
      <c r="D371" s="150">
        <f>IF(E371="","",Input!$C$4+B371-1)</f>
        <v>75</v>
      </c>
      <c r="E371" s="150">
        <f>IF(OR(AND(C370=12,D370=Input!$C$6),E370=""),"",1)</f>
        <v>1</v>
      </c>
      <c r="F371" s="150">
        <f>IF(E371="","",Input!$C$8+B371-1)</f>
        <v>2048</v>
      </c>
      <c r="G371" s="151">
        <f>IF(E371="","",MAX(0,Input!$C$9-B371))</f>
        <v>0</v>
      </c>
      <c r="H371" s="152">
        <f>IF(E371="","",Input!$C$3)</f>
        <v>100000</v>
      </c>
      <c r="I371" s="153">
        <f>IF(E371="","",HLOOKUP($B371,Input!$C$13:$BT$14,2))</f>
        <v>59.387999999999998</v>
      </c>
      <c r="J371" s="154"/>
      <c r="K371" s="155">
        <f>IF($E371="","",Input!$C$57)</f>
        <v>4.4999999999999998E-2</v>
      </c>
      <c r="L371" s="155">
        <f t="shared" si="116"/>
        <v>3.6748094004368514E-3</v>
      </c>
      <c r="M371" s="147">
        <f>IF($E371="","",VLOOKUP(IF($B371&lt;=Input!$C$7,$B371,26),'Mortality Tables'!$A$72:$CA$97,IF($B371&lt;=Input!$C$7+1,Input!$C$4-16,$D371-Input!$C$7-16),0)/1000)</f>
        <v>2.4239999999999998E-2</v>
      </c>
      <c r="N371" s="147">
        <f t="shared" si="105"/>
        <v>2.0427960169123738E-3</v>
      </c>
      <c r="O371" s="157">
        <f>IF($E371="","",IF($C371=12,IF($B371&lt;Input!$C$9,Input!$C$54,IF($B371=Input!$C$9,Input!$C$55,Input!$C$56)),0%))</f>
        <v>0</v>
      </c>
      <c r="P371" s="167">
        <f>IF($E371="","",IF($B371=1,Input!$C$59,IF($B371&lt;6,Input!$C$60,0%)))</f>
        <v>0</v>
      </c>
      <c r="Q371" s="162">
        <f>IF($E371="","",Input!$C$58)</f>
        <v>2.5</v>
      </c>
      <c r="R371" s="156">
        <f t="shared" si="117"/>
        <v>0.99795720398308763</v>
      </c>
      <c r="S371" s="154">
        <f t="shared" si="106"/>
        <v>1.7536540508801126E-2</v>
      </c>
      <c r="T371" s="152"/>
      <c r="U371" s="150">
        <f t="shared" si="118"/>
        <v>0</v>
      </c>
      <c r="V371" s="150">
        <f t="shared" si="119"/>
        <v>0</v>
      </c>
      <c r="W371" s="168">
        <f t="shared" si="120"/>
        <v>0</v>
      </c>
      <c r="X371" s="163">
        <f t="shared" si="107"/>
        <v>204.27960169123739</v>
      </c>
      <c r="Y371" s="152"/>
      <c r="Z371" s="164">
        <f>IF(AND($C370=12,$D370=Input!$C$6),0,IF($E371="","",V371+Z372/(1+L371)*R371))</f>
        <v>58491.097996821598</v>
      </c>
      <c r="AA371" s="164">
        <f>IF(OR($M371=1,AND($C370=12,$D370=Input!$C$6)),0,IF($E371="","",W371+(X371+AA372*$R371)/(1+$L371)))</f>
        <v>24524.241774701455</v>
      </c>
      <c r="AB371" s="160">
        <f t="shared" si="108"/>
        <v>0.825720328500681</v>
      </c>
      <c r="AC371" s="164">
        <f t="shared" si="109"/>
        <v>0</v>
      </c>
      <c r="AD371" s="164">
        <f>IF(AND($C370=12,$D370=Input!$C$6),0,IF($E371="","",$AC371+AD372/(1+$L371)*$R371))</f>
        <v>48297.288652301017</v>
      </c>
      <c r="AE371" s="152"/>
      <c r="AF371" s="164">
        <f>IF(AND($C370=12,$D370=Input!$C$6),0,IF($E371="","",IF($B371&gt;Input!$C$9,$AC371,0)+AF372/(1+$L371)*$R371))</f>
        <v>48297.288652301017</v>
      </c>
      <c r="AG371" s="164">
        <f>IF(AND($C370=12,$D370=Input!$C$6),0,IF($E371="","",(IF($B371&gt;Input!$C$9,$X371,0)+AG372)/(1+$L371)*$R371))</f>
        <v>24168.988719927922</v>
      </c>
      <c r="AH371" s="160">
        <f t="shared" si="110"/>
        <v>2.0950137211446997</v>
      </c>
      <c r="AI371" s="160">
        <f>IF($E371="","",MIN(Input!$C$61/AH371,1))</f>
        <v>0.64438718771845094</v>
      </c>
      <c r="AJ371" s="152"/>
      <c r="AK371" s="164">
        <f>IF(AND($C370=12,$D370=Input!$C$6),0,IF($E371="","",IF($B371&gt;Input!$C$9,$AC371*AI371,0)+AK372/(1+$L371)*$R371))</f>
        <v>31122.154009082486</v>
      </c>
      <c r="AL371" s="164">
        <f>IF(AND($C370=12,$D370=Input!$C$6),0,IF($E371="","",IF($B371&gt;Input!$C$9,0,$AC371)+AL372/(1+$L371)*$R371))</f>
        <v>0</v>
      </c>
      <c r="AM371" s="160">
        <f t="shared" si="111"/>
        <v>1.1382936520186004</v>
      </c>
      <c r="AN371" s="164">
        <f>IF($E371="","",IF($B371&gt;Input!$C$9,$AI371*$AC371,$AM371*$AC371))</f>
        <v>0</v>
      </c>
      <c r="AO371" s="164">
        <f>IF(AND($C370=12,$D370=Input!$C$6),0,IF($E371="","",$AN371+AO372/(1+$L371)*$R371))</f>
        <v>31122.154009082486</v>
      </c>
      <c r="AP371" s="152"/>
      <c r="AQ371" s="164">
        <f t="shared" si="112"/>
        <v>-6597.9122343810304</v>
      </c>
      <c r="AR371" s="164">
        <f t="shared" si="121"/>
        <v>-5970.3739867726636</v>
      </c>
      <c r="AS371" s="164">
        <f t="shared" si="122"/>
        <v>1159.8086124401912</v>
      </c>
      <c r="AT371" s="164">
        <f t="shared" si="113"/>
        <v>1159.8086124401912</v>
      </c>
      <c r="AU371" s="152"/>
      <c r="AV371" s="147">
        <f>'Deterministic Reserve'!BC371</f>
        <v>2.213542802061972E-2</v>
      </c>
      <c r="AW371" s="164">
        <f t="shared" si="114"/>
        <v>1159.8086124401912</v>
      </c>
      <c r="AX371" s="164">
        <f t="shared" si="115"/>
        <v>25.672860058364684</v>
      </c>
      <c r="AY371" s="152"/>
    </row>
    <row r="372" spans="1:51" s="150" customFormat="1" x14ac:dyDescent="0.25">
      <c r="A372" s="150">
        <f t="shared" si="123"/>
        <v>368</v>
      </c>
      <c r="B372" s="150">
        <f t="shared" si="124"/>
        <v>31</v>
      </c>
      <c r="C372" s="150">
        <f t="shared" si="125"/>
        <v>8</v>
      </c>
      <c r="D372" s="150">
        <f>IF(E372="","",Input!$C$4+B372-1)</f>
        <v>75</v>
      </c>
      <c r="E372" s="150">
        <f>IF(OR(AND(C371=12,D371=Input!$C$6),E371=""),"",1)</f>
        <v>1</v>
      </c>
      <c r="F372" s="150">
        <f>IF(E372="","",Input!$C$8+B372-1)</f>
        <v>2048</v>
      </c>
      <c r="G372" s="151">
        <f>IF(E372="","",MAX(0,Input!$C$9-B372))</f>
        <v>0</v>
      </c>
      <c r="H372" s="152">
        <f>IF(E372="","",Input!$C$3)</f>
        <v>100000</v>
      </c>
      <c r="I372" s="153">
        <f>IF(E372="","",HLOOKUP($B372,Input!$C$13:$BT$14,2))</f>
        <v>59.387999999999998</v>
      </c>
      <c r="J372" s="154"/>
      <c r="K372" s="155">
        <f>IF($E372="","",Input!$C$57)</f>
        <v>4.4999999999999998E-2</v>
      </c>
      <c r="L372" s="155">
        <f t="shared" si="116"/>
        <v>3.6748094004368514E-3</v>
      </c>
      <c r="M372" s="147">
        <f>IF($E372="","",VLOOKUP(IF($B372&lt;=Input!$C$7,$B372,26),'Mortality Tables'!$A$72:$CA$97,IF($B372&lt;=Input!$C$7+1,Input!$C$4-16,$D372-Input!$C$7-16),0)/1000)</f>
        <v>2.4239999999999998E-2</v>
      </c>
      <c r="N372" s="147">
        <f t="shared" si="105"/>
        <v>2.0427960169123738E-3</v>
      </c>
      <c r="O372" s="157">
        <f>IF($E372="","",IF($C372=12,IF($B372&lt;Input!$C$9,Input!$C$54,IF($B372=Input!$C$9,Input!$C$55,Input!$C$56)),0%))</f>
        <v>0</v>
      </c>
      <c r="P372" s="167">
        <f>IF($E372="","",IF($B372=1,Input!$C$59,IF($B372&lt;6,Input!$C$60,0%)))</f>
        <v>0</v>
      </c>
      <c r="Q372" s="162">
        <f>IF($E372="","",Input!$C$58)</f>
        <v>2.5</v>
      </c>
      <c r="R372" s="156">
        <f t="shared" si="117"/>
        <v>0.99795720398308763</v>
      </c>
      <c r="S372" s="154">
        <f t="shared" si="106"/>
        <v>1.7500716933699326E-2</v>
      </c>
      <c r="T372" s="152"/>
      <c r="U372" s="150">
        <f t="shared" si="118"/>
        <v>0</v>
      </c>
      <c r="V372" s="150">
        <f t="shared" si="119"/>
        <v>0</v>
      </c>
      <c r="W372" s="168">
        <f t="shared" si="120"/>
        <v>0</v>
      </c>
      <c r="X372" s="163">
        <f t="shared" si="107"/>
        <v>204.27960169123739</v>
      </c>
      <c r="Y372" s="152"/>
      <c r="Z372" s="164">
        <f>IF(AND($C371=12,$D371=Input!$C$6),0,IF($E372="","",V372+Z373/(1+L372)*R372))</f>
        <v>58826.211584296638</v>
      </c>
      <c r="AA372" s="164">
        <f>IF(OR($M372=1,AND($C371=12,$D371=Input!$C$6)),0,IF($E372="","",W372+(X372+AA373*$R372)/(1+$L372)))</f>
        <v>24460.050981941862</v>
      </c>
      <c r="AB372" s="160">
        <f t="shared" si="108"/>
        <v>0.825720328500681</v>
      </c>
      <c r="AC372" s="164">
        <f t="shared" si="109"/>
        <v>0</v>
      </c>
      <c r="AD372" s="164">
        <f>IF(AND($C371=12,$D371=Input!$C$6),0,IF($E372="","",$AC372+AD373/(1+$L372)*$R372))</f>
        <v>48573.998753835949</v>
      </c>
      <c r="AE372" s="152"/>
      <c r="AF372" s="164">
        <f>IF(AND($C371=12,$D371=Input!$C$6),0,IF($E372="","",IF($B372&gt;Input!$C$9,$AC372,0)+AF373/(1+$L372)*$R372))</f>
        <v>48573.998753835949</v>
      </c>
      <c r="AG372" s="164">
        <f>IF(AND($C371=12,$D371=Input!$C$6),0,IF($E372="","",(IF($B372&gt;Input!$C$9,$X372,0)+AG373)/(1+$L372)*$R372))</f>
        <v>24103.180728327148</v>
      </c>
      <c r="AH372" s="160">
        <f t="shared" si="110"/>
        <v>2.0950137211446997</v>
      </c>
      <c r="AI372" s="160">
        <f>IF($E372="","",MIN(Input!$C$61/AH372,1))</f>
        <v>0.64438718771845094</v>
      </c>
      <c r="AJ372" s="152"/>
      <c r="AK372" s="164">
        <f>IF(AND($C371=12,$D371=Input!$C$6),0,IF($E372="","",IF($B372&gt;Input!$C$9,$AC372*AI372,0)+AK373/(1+$L372)*$R372))</f>
        <v>31300.462453223867</v>
      </c>
      <c r="AL372" s="164">
        <f>IF(AND($C371=12,$D371=Input!$C$6),0,IF($E372="","",IF($B372&gt;Input!$C$9,0,$AC372)+AL373/(1+$L372)*$R372))</f>
        <v>0</v>
      </c>
      <c r="AM372" s="160">
        <f t="shared" si="111"/>
        <v>1.1382936520186004</v>
      </c>
      <c r="AN372" s="164">
        <f>IF($E372="","",IF($B372&gt;Input!$C$9,$AI372*$AC372,$AM372*$AC372))</f>
        <v>0</v>
      </c>
      <c r="AO372" s="164">
        <f>IF(AND($C371=12,$D371=Input!$C$6),0,IF($E372="","",$AN372+AO373/(1+$L372)*$R372))</f>
        <v>31300.462453223867</v>
      </c>
      <c r="AP372" s="152"/>
      <c r="AQ372" s="164">
        <f t="shared" si="112"/>
        <v>-6840.4114712820046</v>
      </c>
      <c r="AR372" s="164">
        <f t="shared" si="121"/>
        <v>-5970.3739867726636</v>
      </c>
      <c r="AS372" s="164">
        <f t="shared" si="122"/>
        <v>1159.8086124401912</v>
      </c>
      <c r="AT372" s="164">
        <f t="shared" si="113"/>
        <v>1159.8086124401912</v>
      </c>
      <c r="AU372" s="152"/>
      <c r="AV372" s="147">
        <f>'Deterministic Reserve'!BC372</f>
        <v>2.2026507229279697E-2</v>
      </c>
      <c r="AW372" s="164">
        <f t="shared" si="114"/>
        <v>1159.8086124401912</v>
      </c>
      <c r="AX372" s="164">
        <f t="shared" si="115"/>
        <v>25.546532786494723</v>
      </c>
      <c r="AY372" s="152"/>
    </row>
    <row r="373" spans="1:51" s="150" customFormat="1" x14ac:dyDescent="0.25">
      <c r="A373" s="150">
        <f t="shared" si="123"/>
        <v>369</v>
      </c>
      <c r="B373" s="150">
        <f t="shared" si="124"/>
        <v>31</v>
      </c>
      <c r="C373" s="150">
        <f t="shared" si="125"/>
        <v>9</v>
      </c>
      <c r="D373" s="150">
        <f>IF(E373="","",Input!$C$4+B373-1)</f>
        <v>75</v>
      </c>
      <c r="E373" s="150">
        <f>IF(OR(AND(C372=12,D372=Input!$C$6),E372=""),"",1)</f>
        <v>1</v>
      </c>
      <c r="F373" s="150">
        <f>IF(E373="","",Input!$C$8+B373-1)</f>
        <v>2048</v>
      </c>
      <c r="G373" s="151">
        <f>IF(E373="","",MAX(0,Input!$C$9-B373))</f>
        <v>0</v>
      </c>
      <c r="H373" s="152">
        <f>IF(E373="","",Input!$C$3)</f>
        <v>100000</v>
      </c>
      <c r="I373" s="153">
        <f>IF(E373="","",HLOOKUP($B373,Input!$C$13:$BT$14,2))</f>
        <v>59.387999999999998</v>
      </c>
      <c r="J373" s="154"/>
      <c r="K373" s="155">
        <f>IF($E373="","",Input!$C$57)</f>
        <v>4.4999999999999998E-2</v>
      </c>
      <c r="L373" s="155">
        <f t="shared" si="116"/>
        <v>3.6748094004368514E-3</v>
      </c>
      <c r="M373" s="147">
        <f>IF($E373="","",VLOOKUP(IF($B373&lt;=Input!$C$7,$B373,26),'Mortality Tables'!$A$72:$CA$97,IF($B373&lt;=Input!$C$7+1,Input!$C$4-16,$D373-Input!$C$7-16),0)/1000)</f>
        <v>2.4239999999999998E-2</v>
      </c>
      <c r="N373" s="147">
        <f t="shared" si="105"/>
        <v>2.0427960169123738E-3</v>
      </c>
      <c r="O373" s="157">
        <f>IF($E373="","",IF($C373=12,IF($B373&lt;Input!$C$9,Input!$C$54,IF($B373=Input!$C$9,Input!$C$55,Input!$C$56)),0%))</f>
        <v>0</v>
      </c>
      <c r="P373" s="167">
        <f>IF($E373="","",IF($B373=1,Input!$C$59,IF($B373&lt;6,Input!$C$60,0%)))</f>
        <v>0</v>
      </c>
      <c r="Q373" s="162">
        <f>IF($E373="","",Input!$C$58)</f>
        <v>2.5</v>
      </c>
      <c r="R373" s="156">
        <f t="shared" si="117"/>
        <v>0.99795720398308763</v>
      </c>
      <c r="S373" s="154">
        <f t="shared" si="106"/>
        <v>1.7464966538854054E-2</v>
      </c>
      <c r="T373" s="152"/>
      <c r="U373" s="150">
        <f t="shared" si="118"/>
        <v>0</v>
      </c>
      <c r="V373" s="150">
        <f t="shared" si="119"/>
        <v>0</v>
      </c>
      <c r="W373" s="168">
        <f t="shared" si="120"/>
        <v>0</v>
      </c>
      <c r="X373" s="163">
        <f t="shared" si="107"/>
        <v>204.27960169123739</v>
      </c>
      <c r="Y373" s="152"/>
      <c r="Z373" s="164">
        <f>IF(AND($C372=12,$D372=Input!$C$6),0,IF($E373="","",V373+Z374/(1+L373)*R373))</f>
        <v>59163.245141140629</v>
      </c>
      <c r="AA373" s="164">
        <f>IF(OR($M373=1,AND($C372=12,$D372=Input!$C$6)),0,IF($E373="","",W373+(X373+AA374*$R373)/(1+$L373)))</f>
        <v>24395.492420280996</v>
      </c>
      <c r="AB373" s="160">
        <f t="shared" si="108"/>
        <v>0.825720328500681</v>
      </c>
      <c r="AC373" s="164">
        <f t="shared" si="109"/>
        <v>0</v>
      </c>
      <c r="AD373" s="164">
        <f>IF(AND($C372=12,$D372=Input!$C$6),0,IF($E373="","",$AC373+AD374/(1+$L373)*$R373))</f>
        <v>48852.294213108929</v>
      </c>
      <c r="AE373" s="152"/>
      <c r="AF373" s="164">
        <f>IF(AND($C372=12,$D372=Input!$C$6),0,IF($E373="","",IF($B373&gt;Input!$C$9,$AC373,0)+AF374/(1+$L373)*$R373))</f>
        <v>48852.294213108929</v>
      </c>
      <c r="AG373" s="164">
        <f>IF(AND($C372=12,$D372=Input!$C$6),0,IF($E373="","",(IF($B373&gt;Input!$C$9,$X373,0)+AG374)/(1+$L373)*$R373))</f>
        <v>24036.995702392855</v>
      </c>
      <c r="AH373" s="160">
        <f t="shared" si="110"/>
        <v>2.0950137211446997</v>
      </c>
      <c r="AI373" s="160">
        <f>IF($E373="","",MIN(Input!$C$61/AH373,1))</f>
        <v>0.64438718771845094</v>
      </c>
      <c r="AJ373" s="152"/>
      <c r="AK373" s="164">
        <f>IF(AND($C372=12,$D372=Input!$C$6),0,IF($E373="","",IF($B373&gt;Input!$C$9,$AC373*AI373,0)+AK374/(1+$L373)*$R373))</f>
        <v>31479.792481579592</v>
      </c>
      <c r="AL373" s="164">
        <f>IF(AND($C372=12,$D372=Input!$C$6),0,IF($E373="","",IF($B373&gt;Input!$C$9,0,$AC373)+AL374/(1+$L373)*$R373))</f>
        <v>0</v>
      </c>
      <c r="AM373" s="160">
        <f t="shared" si="111"/>
        <v>1.1382936520186004</v>
      </c>
      <c r="AN373" s="164">
        <f>IF($E373="","",IF($B373&gt;Input!$C$9,$AI373*$AC373,$AM373*$AC373))</f>
        <v>0</v>
      </c>
      <c r="AO373" s="164">
        <f>IF(AND($C372=12,$D372=Input!$C$6),0,IF($E373="","",$AN373+AO374/(1+$L373)*$R373))</f>
        <v>31479.792481579592</v>
      </c>
      <c r="AP373" s="152"/>
      <c r="AQ373" s="164">
        <f t="shared" si="112"/>
        <v>-7084.3000612985961</v>
      </c>
      <c r="AR373" s="164">
        <f t="shared" si="121"/>
        <v>-5970.3739867726636</v>
      </c>
      <c r="AS373" s="164">
        <f t="shared" si="122"/>
        <v>1159.8086124401912</v>
      </c>
      <c r="AT373" s="164">
        <f t="shared" si="113"/>
        <v>1159.8086124401912</v>
      </c>
      <c r="AU373" s="152"/>
      <c r="AV373" s="147">
        <f>'Deterministic Reserve'!BC373</f>
        <v>2.1918122399511103E-2</v>
      </c>
      <c r="AW373" s="164">
        <f t="shared" si="114"/>
        <v>1159.8086124401912</v>
      </c>
      <c r="AX373" s="164">
        <f t="shared" si="115"/>
        <v>25.420827127471245</v>
      </c>
      <c r="AY373" s="152"/>
    </row>
    <row r="374" spans="1:51" s="150" customFormat="1" x14ac:dyDescent="0.25">
      <c r="A374" s="150">
        <f t="shared" si="123"/>
        <v>370</v>
      </c>
      <c r="B374" s="150">
        <f t="shared" si="124"/>
        <v>31</v>
      </c>
      <c r="C374" s="150">
        <f t="shared" si="125"/>
        <v>10</v>
      </c>
      <c r="D374" s="150">
        <f>IF(E374="","",Input!$C$4+B374-1)</f>
        <v>75</v>
      </c>
      <c r="E374" s="150">
        <f>IF(OR(AND(C373=12,D373=Input!$C$6),E373=""),"",1)</f>
        <v>1</v>
      </c>
      <c r="F374" s="150">
        <f>IF(E374="","",Input!$C$8+B374-1)</f>
        <v>2048</v>
      </c>
      <c r="G374" s="151">
        <f>IF(E374="","",MAX(0,Input!$C$9-B374))</f>
        <v>0</v>
      </c>
      <c r="H374" s="152">
        <f>IF(E374="","",Input!$C$3)</f>
        <v>100000</v>
      </c>
      <c r="I374" s="153">
        <f>IF(E374="","",HLOOKUP($B374,Input!$C$13:$BT$14,2))</f>
        <v>59.387999999999998</v>
      </c>
      <c r="J374" s="154"/>
      <c r="K374" s="155">
        <f>IF($E374="","",Input!$C$57)</f>
        <v>4.4999999999999998E-2</v>
      </c>
      <c r="L374" s="155">
        <f t="shared" si="116"/>
        <v>3.6748094004368514E-3</v>
      </c>
      <c r="M374" s="147">
        <f>IF($E374="","",VLOOKUP(IF($B374&lt;=Input!$C$7,$B374,26),'Mortality Tables'!$A$72:$CA$97,IF($B374&lt;=Input!$C$7+1,Input!$C$4-16,$D374-Input!$C$7-16),0)/1000)</f>
        <v>2.4239999999999998E-2</v>
      </c>
      <c r="N374" s="147">
        <f t="shared" si="105"/>
        <v>2.0427960169123738E-3</v>
      </c>
      <c r="O374" s="157">
        <f>IF($E374="","",IF($C374=12,IF($B374&lt;Input!$C$9,Input!$C$54,IF($B374=Input!$C$9,Input!$C$55,Input!$C$56)),0%))</f>
        <v>0</v>
      </c>
      <c r="P374" s="167">
        <f>IF($E374="","",IF($B374=1,Input!$C$59,IF($B374&lt;6,Input!$C$60,0%)))</f>
        <v>0</v>
      </c>
      <c r="Q374" s="162">
        <f>IF($E374="","",Input!$C$58)</f>
        <v>2.5</v>
      </c>
      <c r="R374" s="156">
        <f t="shared" si="117"/>
        <v>0.99795720398308763</v>
      </c>
      <c r="S374" s="154">
        <f t="shared" si="106"/>
        <v>1.7429289174772974E-2</v>
      </c>
      <c r="T374" s="152"/>
      <c r="U374" s="150">
        <f t="shared" si="118"/>
        <v>0</v>
      </c>
      <c r="V374" s="150">
        <f t="shared" si="119"/>
        <v>0</v>
      </c>
      <c r="W374" s="168">
        <f t="shared" si="120"/>
        <v>0</v>
      </c>
      <c r="X374" s="163">
        <f t="shared" si="107"/>
        <v>204.27960169123739</v>
      </c>
      <c r="Y374" s="152"/>
      <c r="Z374" s="164">
        <f>IF(AND($C373=12,$D373=Input!$C$6),0,IF($E374="","",V374+Z375/(1+L374)*R374))</f>
        <v>59502.209667451803</v>
      </c>
      <c r="AA374" s="164">
        <f>IF(OR($M374=1,AND($C373=12,$D373=Input!$C$6)),0,IF($E374="","",W374+(X374+AA375*$R374)/(1+$L374)))</f>
        <v>24330.563982657099</v>
      </c>
      <c r="AB374" s="160">
        <f t="shared" si="108"/>
        <v>0.825720328500681</v>
      </c>
      <c r="AC374" s="164">
        <f t="shared" si="109"/>
        <v>0</v>
      </c>
      <c r="AD374" s="164">
        <f>IF(AND($C373=12,$D373=Input!$C$6),0,IF($E374="","",$AC374+AD375/(1+$L374)*$R374))</f>
        <v>49132.184113124669</v>
      </c>
      <c r="AE374" s="152"/>
      <c r="AF374" s="164">
        <f>IF(AND($C373=12,$D373=Input!$C$6),0,IF($E374="","",IF($B374&gt;Input!$C$9,$AC374,0)+AF375/(1+$L374)*$R374))</f>
        <v>49132.184113124669</v>
      </c>
      <c r="AG374" s="164">
        <f>IF(AND($C373=12,$D373=Input!$C$6),0,IF($E374="","",(IF($B374&gt;Input!$C$9,$X374,0)+AG375)/(1+$L374)*$R374))</f>
        <v>23970.431481978758</v>
      </c>
      <c r="AH374" s="160">
        <f t="shared" si="110"/>
        <v>2.0950137211446997</v>
      </c>
      <c r="AI374" s="160">
        <f>IF($E374="","",MIN(Input!$C$61/AH374,1))</f>
        <v>0.64438718771845094</v>
      </c>
      <c r="AJ374" s="152"/>
      <c r="AK374" s="164">
        <f>IF(AND($C373=12,$D373=Input!$C$6),0,IF($E374="","",IF($B374&gt;Input!$C$9,$AC374*AI374,0)+AK375/(1+$L374)*$R374))</f>
        <v>31660.149947121532</v>
      </c>
      <c r="AL374" s="164">
        <f>IF(AND($C373=12,$D373=Input!$C$6),0,IF($E374="","",IF($B374&gt;Input!$C$9,0,$AC374)+AL375/(1+$L374)*$R374))</f>
        <v>0</v>
      </c>
      <c r="AM374" s="160">
        <f t="shared" si="111"/>
        <v>1.1382936520186004</v>
      </c>
      <c r="AN374" s="164">
        <f>IF($E374="","",IF($B374&gt;Input!$C$9,$AI374*$AC374,$AM374*$AC374))</f>
        <v>0</v>
      </c>
      <c r="AO374" s="164">
        <f>IF(AND($C373=12,$D373=Input!$C$6),0,IF($E374="","",$AN374+AO375/(1+$L374)*$R374))</f>
        <v>31660.149947121532</v>
      </c>
      <c r="AP374" s="152"/>
      <c r="AQ374" s="164">
        <f t="shared" si="112"/>
        <v>-7329.5859644644333</v>
      </c>
      <c r="AR374" s="164">
        <f t="shared" si="121"/>
        <v>-5970.3739867726636</v>
      </c>
      <c r="AS374" s="164">
        <f t="shared" si="122"/>
        <v>1159.8086124401912</v>
      </c>
      <c r="AT374" s="164">
        <f t="shared" si="113"/>
        <v>1159.8086124401912</v>
      </c>
      <c r="AU374" s="152"/>
      <c r="AV374" s="147">
        <f>'Deterministic Reserve'!BC374</f>
        <v>2.1810270894032268E-2</v>
      </c>
      <c r="AW374" s="164">
        <f t="shared" si="114"/>
        <v>1159.8086124401912</v>
      </c>
      <c r="AX374" s="164">
        <f t="shared" si="115"/>
        <v>25.295740022552252</v>
      </c>
      <c r="AY374" s="152"/>
    </row>
    <row r="375" spans="1:51" s="150" customFormat="1" x14ac:dyDescent="0.25">
      <c r="A375" s="150">
        <f t="shared" si="123"/>
        <v>371</v>
      </c>
      <c r="B375" s="150">
        <f t="shared" si="124"/>
        <v>31</v>
      </c>
      <c r="C375" s="150">
        <f t="shared" si="125"/>
        <v>11</v>
      </c>
      <c r="D375" s="150">
        <f>IF(E375="","",Input!$C$4+B375-1)</f>
        <v>75</v>
      </c>
      <c r="E375" s="150">
        <f>IF(OR(AND(C374=12,D374=Input!$C$6),E374=""),"",1)</f>
        <v>1</v>
      </c>
      <c r="F375" s="150">
        <f>IF(E375="","",Input!$C$8+B375-1)</f>
        <v>2048</v>
      </c>
      <c r="G375" s="151">
        <f>IF(E375="","",MAX(0,Input!$C$9-B375))</f>
        <v>0</v>
      </c>
      <c r="H375" s="152">
        <f>IF(E375="","",Input!$C$3)</f>
        <v>100000</v>
      </c>
      <c r="I375" s="153">
        <f>IF(E375="","",HLOOKUP($B375,Input!$C$13:$BT$14,2))</f>
        <v>59.387999999999998</v>
      </c>
      <c r="J375" s="154"/>
      <c r="K375" s="155">
        <f>IF($E375="","",Input!$C$57)</f>
        <v>4.4999999999999998E-2</v>
      </c>
      <c r="L375" s="155">
        <f t="shared" si="116"/>
        <v>3.6748094004368514E-3</v>
      </c>
      <c r="M375" s="147">
        <f>IF($E375="","",VLOOKUP(IF($B375&lt;=Input!$C$7,$B375,26),'Mortality Tables'!$A$72:$CA$97,IF($B375&lt;=Input!$C$7+1,Input!$C$4-16,$D375-Input!$C$7-16),0)/1000)</f>
        <v>2.4239999999999998E-2</v>
      </c>
      <c r="N375" s="147">
        <f t="shared" si="105"/>
        <v>2.0427960169123738E-3</v>
      </c>
      <c r="O375" s="157">
        <f>IF($E375="","",IF($C375=12,IF($B375&lt;Input!$C$9,Input!$C$54,IF($B375=Input!$C$9,Input!$C$55,Input!$C$56)),0%))</f>
        <v>0</v>
      </c>
      <c r="P375" s="167">
        <f>IF($E375="","",IF($B375=1,Input!$C$59,IF($B375&lt;6,Input!$C$60,0%)))</f>
        <v>0</v>
      </c>
      <c r="Q375" s="162">
        <f>IF($E375="","",Input!$C$58)</f>
        <v>2.5</v>
      </c>
      <c r="R375" s="156">
        <f t="shared" si="117"/>
        <v>0.99795720398308763</v>
      </c>
      <c r="S375" s="154">
        <f t="shared" si="106"/>
        <v>1.7393684692269134E-2</v>
      </c>
      <c r="T375" s="152"/>
      <c r="U375" s="150">
        <f t="shared" si="118"/>
        <v>0</v>
      </c>
      <c r="V375" s="150">
        <f t="shared" si="119"/>
        <v>0</v>
      </c>
      <c r="W375" s="168">
        <f t="shared" si="120"/>
        <v>0</v>
      </c>
      <c r="X375" s="163">
        <f t="shared" si="107"/>
        <v>204.27960169123739</v>
      </c>
      <c r="Y375" s="152"/>
      <c r="Z375" s="164">
        <f>IF(AND($C374=12,$D374=Input!$C$6),0,IF($E375="","",V375+Z376/(1+L375)*R375))</f>
        <v>59843.116226351332</v>
      </c>
      <c r="AA375" s="164">
        <f>IF(OR($M375=1,AND($C374=12,$D374=Input!$C$6)),0,IF($E375="","",W375+(X375+AA376*$R375)/(1+$L375)))</f>
        <v>24265.263549936401</v>
      </c>
      <c r="AB375" s="160">
        <f t="shared" si="108"/>
        <v>0.825720328500681</v>
      </c>
      <c r="AC375" s="164">
        <f t="shared" si="109"/>
        <v>0</v>
      </c>
      <c r="AD375" s="164">
        <f>IF(AND($C374=12,$D374=Input!$C$6),0,IF($E375="","",$AC375+AD376/(1+$L375)*$R375))</f>
        <v>49413.677588927225</v>
      </c>
      <c r="AE375" s="152"/>
      <c r="AF375" s="164">
        <f>IF(AND($C374=12,$D374=Input!$C$6),0,IF($E375="","",IF($B375&gt;Input!$C$9,$AC375,0)+AF376/(1+$L375)*$R375))</f>
        <v>49413.677588927225</v>
      </c>
      <c r="AG375" s="164">
        <f>IF(AND($C374=12,$D374=Input!$C$6),0,IF($E375="","",(IF($B375&gt;Input!$C$9,$X375,0)+AG376)/(1+$L375)*$R375))</f>
        <v>23903.485894562426</v>
      </c>
      <c r="AH375" s="160">
        <f t="shared" si="110"/>
        <v>2.0950137211446997</v>
      </c>
      <c r="AI375" s="160">
        <f>IF($E375="","",MIN(Input!$C$61/AH375,1))</f>
        <v>0.64438718771845094</v>
      </c>
      <c r="AJ375" s="152"/>
      <c r="AK375" s="164">
        <f>IF(AND($C374=12,$D374=Input!$C$6),0,IF($E375="","",IF($B375&gt;Input!$C$9,$AC375*AI375,0)+AK376/(1+$L375)*$R375))</f>
        <v>31841.540736355033</v>
      </c>
      <c r="AL375" s="164">
        <f>IF(AND($C374=12,$D374=Input!$C$6),0,IF($E375="","",IF($B375&gt;Input!$C$9,0,$AC375)+AL376/(1+$L375)*$R375))</f>
        <v>0</v>
      </c>
      <c r="AM375" s="160">
        <f t="shared" si="111"/>
        <v>1.1382936520186004</v>
      </c>
      <c r="AN375" s="164">
        <f>IF($E375="","",IF($B375&gt;Input!$C$9,$AI375*$AC375,$AM375*$AC375))</f>
        <v>0</v>
      </c>
      <c r="AO375" s="164">
        <f>IF(AND($C374=12,$D374=Input!$C$6),0,IF($E375="","",$AN375+AO376/(1+$L375)*$R375))</f>
        <v>31841.540736355033</v>
      </c>
      <c r="AP375" s="152"/>
      <c r="AQ375" s="164">
        <f t="shared" si="112"/>
        <v>-7576.2771864186325</v>
      </c>
      <c r="AR375" s="164">
        <f t="shared" si="121"/>
        <v>-5970.3739867726636</v>
      </c>
      <c r="AS375" s="164">
        <f t="shared" si="122"/>
        <v>1159.8086124401912</v>
      </c>
      <c r="AT375" s="164">
        <f t="shared" si="113"/>
        <v>1159.8086124401912</v>
      </c>
      <c r="AU375" s="152"/>
      <c r="AV375" s="147">
        <f>'Deterministic Reserve'!BC375</f>
        <v>2.1702950088538682E-2</v>
      </c>
      <c r="AW375" s="164">
        <f t="shared" si="114"/>
        <v>1159.8086124401912</v>
      </c>
      <c r="AX375" s="164">
        <f t="shared" si="115"/>
        <v>25.171268428046773</v>
      </c>
      <c r="AY375" s="152"/>
    </row>
    <row r="376" spans="1:51" s="150" customFormat="1" x14ac:dyDescent="0.25">
      <c r="A376" s="150">
        <f t="shared" si="123"/>
        <v>372</v>
      </c>
      <c r="B376" s="150">
        <f t="shared" si="124"/>
        <v>31</v>
      </c>
      <c r="C376" s="150">
        <f t="shared" si="125"/>
        <v>12</v>
      </c>
      <c r="D376" s="150">
        <f>IF(E376="","",Input!$C$4+B376-1)</f>
        <v>75</v>
      </c>
      <c r="E376" s="150">
        <f>IF(OR(AND(C375=12,D375=Input!$C$6),E375=""),"",1)</f>
        <v>1</v>
      </c>
      <c r="F376" s="150">
        <f>IF(E376="","",Input!$C$8+B376-1)</f>
        <v>2048</v>
      </c>
      <c r="G376" s="151">
        <f>IF(E376="","",MAX(0,Input!$C$9-B376))</f>
        <v>0</v>
      </c>
      <c r="H376" s="152">
        <f>IF(E376="","",Input!$C$3)</f>
        <v>100000</v>
      </c>
      <c r="I376" s="153">
        <f>IF(E376="","",HLOOKUP($B376,Input!$C$13:$BT$14,2))</f>
        <v>59.387999999999998</v>
      </c>
      <c r="J376" s="154"/>
      <c r="K376" s="155">
        <f>IF($E376="","",Input!$C$57)</f>
        <v>4.4999999999999998E-2</v>
      </c>
      <c r="L376" s="155">
        <f t="shared" si="116"/>
        <v>3.6748094004368514E-3</v>
      </c>
      <c r="M376" s="147">
        <f>IF($E376="","",VLOOKUP(IF($B376&lt;=Input!$C$7,$B376,26),'Mortality Tables'!$A$72:$CA$97,IF($B376&lt;=Input!$C$7+1,Input!$C$4-16,$D376-Input!$C$7-16),0)/1000)</f>
        <v>2.4239999999999998E-2</v>
      </c>
      <c r="N376" s="147">
        <f t="shared" si="105"/>
        <v>2.0427960169123738E-3</v>
      </c>
      <c r="O376" s="157">
        <f>IF($E376="","",IF($C376=12,IF($B376&lt;Input!$C$9,Input!$C$54,IF($B376=Input!$C$9,Input!$C$55,Input!$C$56)),0%))</f>
        <v>0.1</v>
      </c>
      <c r="P376" s="167">
        <f>IF($E376="","",IF($B376=1,Input!$C$59,IF($B376&lt;6,Input!$C$60,0%)))</f>
        <v>0</v>
      </c>
      <c r="Q376" s="162">
        <f>IF($E376="","",Input!$C$58)</f>
        <v>2.5</v>
      </c>
      <c r="R376" s="156">
        <f t="shared" si="117"/>
        <v>0.89795720398308765</v>
      </c>
      <c r="S376" s="154">
        <f t="shared" si="106"/>
        <v>1.5618784473233423E-2</v>
      </c>
      <c r="T376" s="152"/>
      <c r="U376" s="150">
        <f t="shared" si="118"/>
        <v>0</v>
      </c>
      <c r="V376" s="150">
        <f t="shared" si="119"/>
        <v>0</v>
      </c>
      <c r="W376" s="168">
        <f t="shared" si="120"/>
        <v>0</v>
      </c>
      <c r="X376" s="163">
        <f t="shared" si="107"/>
        <v>204.27960169123739</v>
      </c>
      <c r="Y376" s="152"/>
      <c r="Z376" s="164">
        <f>IF(AND($C375=12,$D375=Input!$C$6),0,IF($E376="","",V376+Z377/(1+L376)*R376))</f>
        <v>60185.975944344456</v>
      </c>
      <c r="AA376" s="164">
        <f>IF(OR($M376=1,AND($C375=12,$D375=Input!$C$6)),0,IF($E376="","",W376+(X376+AA377*$R376)/(1+$L376)))</f>
        <v>24199.58899084396</v>
      </c>
      <c r="AB376" s="160">
        <f t="shared" si="108"/>
        <v>0.825720328500681</v>
      </c>
      <c r="AC376" s="164">
        <f t="shared" si="109"/>
        <v>0</v>
      </c>
      <c r="AD376" s="164">
        <f>IF(AND($C375=12,$D375=Input!$C$6),0,IF($E376="","",$AC376+AD377/(1+$L376)*$R376))</f>
        <v>49696.783827898158</v>
      </c>
      <c r="AE376" s="152"/>
      <c r="AF376" s="164">
        <f>IF(AND($C375=12,$D375=Input!$C$6),0,IF($E376="","",IF($B376&gt;Input!$C$9,$AC376,0)+AF377/(1+$L376)*$R376))</f>
        <v>49696.783827898158</v>
      </c>
      <c r="AG376" s="164">
        <f>IF(AND($C375=12,$D375=Input!$C$6),0,IF($E376="","",(IF($B376&gt;Input!$C$9,$X376,0)+AG377)/(1+$L376)*$R376))</f>
        <v>23836.156755174379</v>
      </c>
      <c r="AH376" s="160">
        <f t="shared" si="110"/>
        <v>2.0950137211446997</v>
      </c>
      <c r="AI376" s="160">
        <f>IF($E376="","",MIN(Input!$C$61/AH376,1))</f>
        <v>0.64438718771845094</v>
      </c>
      <c r="AJ376" s="152"/>
      <c r="AK376" s="164">
        <f>IF(AND($C375=12,$D375=Input!$C$6),0,IF($E376="","",IF($B376&gt;Input!$C$9,$AC376*AI376,0)+AK377/(1+$L376)*$R376))</f>
        <v>32023.970769511059</v>
      </c>
      <c r="AL376" s="164">
        <f>IF(AND($C375=12,$D375=Input!$C$6),0,IF($E376="","",IF($B376&gt;Input!$C$9,0,$AC376)+AL377/(1+$L376)*$R376))</f>
        <v>0</v>
      </c>
      <c r="AM376" s="160">
        <f t="shared" si="111"/>
        <v>1.1382936520186004</v>
      </c>
      <c r="AN376" s="164">
        <f>IF($E376="","",IF($B376&gt;Input!$C$9,$AI376*$AC376,$AM376*$AC376))</f>
        <v>0</v>
      </c>
      <c r="AO376" s="164">
        <f>IF(AND($C375=12,$D375=Input!$C$6),0,IF($E376="","",$AN376+AO377/(1+$L376)*$R376))</f>
        <v>32023.970769511059</v>
      </c>
      <c r="AP376" s="152"/>
      <c r="AQ376" s="164">
        <f t="shared" si="112"/>
        <v>-7824.3817786670988</v>
      </c>
      <c r="AR376" s="164">
        <f t="shared" si="121"/>
        <v>-5970.3739867726636</v>
      </c>
      <c r="AS376" s="164">
        <f t="shared" si="122"/>
        <v>1159.8086124401912</v>
      </c>
      <c r="AT376" s="164">
        <f t="shared" si="113"/>
        <v>1159.8086124401912</v>
      </c>
      <c r="AU376" s="152"/>
      <c r="AV376" s="147">
        <f>'Deterministic Reserve'!BC376</f>
        <v>1.9425862362785255E-2</v>
      </c>
      <c r="AW376" s="164">
        <f t="shared" si="114"/>
        <v>1159.8086124401912</v>
      </c>
      <c r="AX376" s="164">
        <f t="shared" si="115"/>
        <v>22.530282472436099</v>
      </c>
      <c r="AY376" s="152"/>
    </row>
    <row r="377" spans="1:51" s="150" customFormat="1" x14ac:dyDescent="0.25">
      <c r="A377" s="150">
        <f t="shared" si="123"/>
        <v>373</v>
      </c>
      <c r="B377" s="150">
        <f t="shared" si="124"/>
        <v>32</v>
      </c>
      <c r="C377" s="150">
        <f t="shared" si="125"/>
        <v>1</v>
      </c>
      <c r="D377" s="150">
        <f>IF(E377="","",Input!$C$4+B377-1)</f>
        <v>76</v>
      </c>
      <c r="E377" s="150">
        <f>IF(OR(AND(C376=12,D376=Input!$C$6),E376=""),"",1)</f>
        <v>1</v>
      </c>
      <c r="F377" s="150">
        <f>IF(E377="","",Input!$C$8+B377-1)</f>
        <v>2049</v>
      </c>
      <c r="G377" s="151">
        <f>IF(E377="","",MAX(0,Input!$C$9-B377))</f>
        <v>0</v>
      </c>
      <c r="H377" s="152">
        <f>IF(E377="","",Input!$C$3)</f>
        <v>100000</v>
      </c>
      <c r="I377" s="153">
        <f>IF(E377="","",HLOOKUP($B377,Input!$C$13:$BT$14,2))</f>
        <v>66.934000000000012</v>
      </c>
      <c r="J377" s="154"/>
      <c r="K377" s="155">
        <f>IF($E377="","",Input!$C$57)</f>
        <v>4.4999999999999998E-2</v>
      </c>
      <c r="L377" s="155">
        <f t="shared" si="116"/>
        <v>3.6748094004368514E-3</v>
      </c>
      <c r="M377" s="147">
        <f>IF($E377="","",VLOOKUP(IF($B377&lt;=Input!$C$7,$B377,26),'Mortality Tables'!$A$72:$CA$97,IF($B377&lt;=Input!$C$7+1,Input!$C$4-16,$D377-Input!$C$7-16),0)/1000)</f>
        <v>2.7320000000000001E-2</v>
      </c>
      <c r="N377" s="147">
        <f t="shared" si="105"/>
        <v>2.305682042471946E-3</v>
      </c>
      <c r="O377" s="157">
        <f>IF($E377="","",IF($C377=12,IF($B377&lt;Input!$C$9,Input!$C$54,IF($B377=Input!$C$9,Input!$C$55,Input!$C$56)),0%))</f>
        <v>0</v>
      </c>
      <c r="P377" s="167">
        <f>IF($E377="","",IF($B377=1,Input!$C$59,IF($B377&lt;6,Input!$C$60,0%)))</f>
        <v>0</v>
      </c>
      <c r="Q377" s="162">
        <f>IF($E377="","",Input!$C$58)</f>
        <v>2.5</v>
      </c>
      <c r="R377" s="156">
        <f t="shared" si="117"/>
        <v>0.99769431795752805</v>
      </c>
      <c r="S377" s="154">
        <f t="shared" si="106"/>
        <v>1.558277252234825E-2</v>
      </c>
      <c r="T377" s="152"/>
      <c r="U377" s="150">
        <f t="shared" si="118"/>
        <v>6693.4000000000005</v>
      </c>
      <c r="V377" s="150">
        <f t="shared" si="119"/>
        <v>6693.4000000000005</v>
      </c>
      <c r="W377" s="168">
        <f t="shared" si="120"/>
        <v>0</v>
      </c>
      <c r="X377" s="163">
        <f t="shared" si="107"/>
        <v>230.56820424719459</v>
      </c>
      <c r="Y377" s="152"/>
      <c r="Z377" s="164">
        <f>IF(AND($C376=12,$D376=Input!$C$6),0,IF($E377="","",V377+Z378/(1+L377)*R377))</f>
        <v>67271.744874443844</v>
      </c>
      <c r="AA377" s="164">
        <f>IF(OR($M377=1,AND($C376=12,$D376=Input!$C$6)),0,IF($E377="","",W377+(X377+AA378*$R377)/(1+$L377)))</f>
        <v>26821.142655164436</v>
      </c>
      <c r="AB377" s="160">
        <f t="shared" si="108"/>
        <v>0.825720328500681</v>
      </c>
      <c r="AC377" s="164">
        <f t="shared" si="109"/>
        <v>5526.8764467864585</v>
      </c>
      <c r="AD377" s="164">
        <f>IF(AND($C376=12,$D376=Input!$C$6),0,IF($E377="","",$AC377+AD378/(1+$L377)*$R377))</f>
        <v>55547.647276539734</v>
      </c>
      <c r="AE377" s="152"/>
      <c r="AF377" s="164">
        <f>IF(AND($C376=12,$D376=Input!$C$6),0,IF($E377="","",IF($B377&gt;Input!$C$9,$AC377,0)+AF378/(1+$L377)*$R377))</f>
        <v>55547.647276539734</v>
      </c>
      <c r="AG377" s="164">
        <f>IF(AND($C376=12,$D376=Input!$C$6),0,IF($E377="","",(IF($B377&gt;Input!$C$9,$X377,0)+AG378)/(1+$L377)*$R377))</f>
        <v>26438.137188295521</v>
      </c>
      <c r="AH377" s="160">
        <f t="shared" si="110"/>
        <v>2.0950137211446997</v>
      </c>
      <c r="AI377" s="160">
        <f>IF($E377="","",MIN(Input!$C$61/AH377,1))</f>
        <v>0.64438718771845094</v>
      </c>
      <c r="AJ377" s="152"/>
      <c r="AK377" s="164">
        <f>IF(AND($C376=12,$D376=Input!$C$6),0,IF($E377="","",IF($B377&gt;Input!$C$9,$AC377*AI377,0)+AK378/(1+$L377)*$R377))</f>
        <v>35794.19221290588</v>
      </c>
      <c r="AL377" s="164">
        <f>IF(AND($C376=12,$D376=Input!$C$6),0,IF($E377="","",IF($B377&gt;Input!$C$9,0,$AC377)+AL378/(1+$L377)*$R377))</f>
        <v>0</v>
      </c>
      <c r="AM377" s="160">
        <f t="shared" si="111"/>
        <v>1.1382936520186004</v>
      </c>
      <c r="AN377" s="164">
        <f>IF($E377="","",IF($B377&gt;Input!$C$9,$AI377*$AC377,$AM377*$AC377))</f>
        <v>3561.4483704120707</v>
      </c>
      <c r="AO377" s="164">
        <f>IF(AND($C376=12,$D376=Input!$C$6),0,IF($E377="","",$AN377+AO378/(1+$L377)*$R377))</f>
        <v>35794.19221290588</v>
      </c>
      <c r="AP377" s="152"/>
      <c r="AQ377" s="164">
        <f t="shared" si="112"/>
        <v>-8973.049557741444</v>
      </c>
      <c r="AR377" s="164">
        <f t="shared" si="121"/>
        <v>-6330.9701620092665</v>
      </c>
      <c r="AS377" s="164">
        <f t="shared" si="122"/>
        <v>1307.1770334928231</v>
      </c>
      <c r="AT377" s="164">
        <f t="shared" si="113"/>
        <v>1307.1770334928231</v>
      </c>
      <c r="AU377" s="152"/>
      <c r="AV377" s="147">
        <f>'Deterministic Reserve'!BC377</f>
        <v>1.9318194561832255E-2</v>
      </c>
      <c r="AW377" s="164">
        <f t="shared" si="114"/>
        <v>1307.1770334928231</v>
      </c>
      <c r="AX377" s="164">
        <f t="shared" si="115"/>
        <v>25.252300259773072</v>
      </c>
      <c r="AY377" s="152"/>
    </row>
    <row r="378" spans="1:51" s="150" customFormat="1" x14ac:dyDescent="0.25">
      <c r="A378" s="150">
        <f t="shared" si="123"/>
        <v>374</v>
      </c>
      <c r="B378" s="150">
        <f t="shared" si="124"/>
        <v>32</v>
      </c>
      <c r="C378" s="150">
        <f t="shared" si="125"/>
        <v>2</v>
      </c>
      <c r="D378" s="150">
        <f>IF(E378="","",Input!$C$4+B378-1)</f>
        <v>76</v>
      </c>
      <c r="E378" s="150">
        <f>IF(OR(AND(C377=12,D377=Input!$C$6),E377=""),"",1)</f>
        <v>1</v>
      </c>
      <c r="F378" s="150">
        <f>IF(E378="","",Input!$C$8+B378-1)</f>
        <v>2049</v>
      </c>
      <c r="G378" s="151">
        <f>IF(E378="","",MAX(0,Input!$C$9-B378))</f>
        <v>0</v>
      </c>
      <c r="H378" s="152">
        <f>IF(E378="","",Input!$C$3)</f>
        <v>100000</v>
      </c>
      <c r="I378" s="153">
        <f>IF(E378="","",HLOOKUP($B378,Input!$C$13:$BT$14,2))</f>
        <v>66.934000000000012</v>
      </c>
      <c r="J378" s="154"/>
      <c r="K378" s="155">
        <f>IF($E378="","",Input!$C$57)</f>
        <v>4.4999999999999998E-2</v>
      </c>
      <c r="L378" s="155">
        <f t="shared" si="116"/>
        <v>3.6748094004368514E-3</v>
      </c>
      <c r="M378" s="147">
        <f>IF($E378="","",VLOOKUP(IF($B378&lt;=Input!$C$7,$B378,26),'Mortality Tables'!$A$72:$CA$97,IF($B378&lt;=Input!$C$7+1,Input!$C$4-16,$D378-Input!$C$7-16),0)/1000)</f>
        <v>2.7320000000000001E-2</v>
      </c>
      <c r="N378" s="147">
        <f t="shared" si="105"/>
        <v>2.305682042471946E-3</v>
      </c>
      <c r="O378" s="157">
        <f>IF($E378="","",IF($C378=12,IF($B378&lt;Input!$C$9,Input!$C$54,IF($B378=Input!$C$9,Input!$C$55,Input!$C$56)),0%))</f>
        <v>0</v>
      </c>
      <c r="P378" s="167">
        <f>IF($E378="","",IF($B378=1,Input!$C$59,IF($B378&lt;6,Input!$C$60,0%)))</f>
        <v>0</v>
      </c>
      <c r="Q378" s="162">
        <f>IF($E378="","",Input!$C$58)</f>
        <v>2.5</v>
      </c>
      <c r="R378" s="156">
        <f t="shared" si="117"/>
        <v>0.99769431795752805</v>
      </c>
      <c r="S378" s="154">
        <f t="shared" si="106"/>
        <v>1.5546843603571546E-2</v>
      </c>
      <c r="T378" s="152"/>
      <c r="U378" s="150">
        <f t="shared" si="118"/>
        <v>0</v>
      </c>
      <c r="V378" s="150">
        <f t="shared" si="119"/>
        <v>0</v>
      </c>
      <c r="W378" s="168">
        <f t="shared" si="120"/>
        <v>0</v>
      </c>
      <c r="X378" s="163">
        <f t="shared" si="107"/>
        <v>230.56820424719459</v>
      </c>
      <c r="Y378" s="152"/>
      <c r="Z378" s="164">
        <f>IF(AND($C377=12,$D377=Input!$C$6),0,IF($E378="","",V378+Z379/(1+L378)*R378))</f>
        <v>60941.470399593542</v>
      </c>
      <c r="AA378" s="164">
        <f>IF(OR($M378=1,AND($C377=12,$D377=Input!$C$6)),0,IF($E378="","",W378+(X378+AA379*$R378)/(1+$L378)))</f>
        <v>26750.815913951166</v>
      </c>
      <c r="AB378" s="160">
        <f t="shared" si="108"/>
        <v>0.825720328500681</v>
      </c>
      <c r="AC378" s="164">
        <f t="shared" si="109"/>
        <v>0</v>
      </c>
      <c r="AD378" s="164">
        <f>IF(AND($C377=12,$D377=Input!$C$6),0,IF($E378="","",$AC378+AD379/(1+$L378)*$R378))</f>
        <v>50320.61095766686</v>
      </c>
      <c r="AE378" s="152"/>
      <c r="AF378" s="164">
        <f>IF(AND($C377=12,$D377=Input!$C$6),0,IF($E378="","",IF($B378&gt;Input!$C$9,$AC378,0)+AF379/(1+$L378)*$R378))</f>
        <v>50320.61095766686</v>
      </c>
      <c r="AG378" s="164">
        <f>IF(AND($C377=12,$D377=Input!$C$6),0,IF($E378="","",(IF($B378&gt;Input!$C$9,$X378,0)+AG379)/(1+$L378)*$R378))</f>
        <v>26366.047438195223</v>
      </c>
      <c r="AH378" s="160">
        <f t="shared" si="110"/>
        <v>2.0950137211446997</v>
      </c>
      <c r="AI378" s="160">
        <f>IF($E378="","",MIN(Input!$C$61/AH378,1))</f>
        <v>0.64438718771845094</v>
      </c>
      <c r="AJ378" s="152"/>
      <c r="AK378" s="164">
        <f>IF(AND($C377=12,$D377=Input!$C$6),0,IF($E378="","",IF($B378&gt;Input!$C$9,$AC378*AI378,0)+AK379/(1+$L378)*$R378))</f>
        <v>32425.956979285183</v>
      </c>
      <c r="AL378" s="164">
        <f>IF(AND($C377=12,$D377=Input!$C$6),0,IF($E378="","",IF($B378&gt;Input!$C$9,0,$AC378)+AL379/(1+$L378)*$R378))</f>
        <v>0</v>
      </c>
      <c r="AM378" s="160">
        <f t="shared" si="111"/>
        <v>1.1382936520186004</v>
      </c>
      <c r="AN378" s="164">
        <f>IF($E378="","",IF($B378&gt;Input!$C$9,$AI378*$AC378,$AM378*$AC378))</f>
        <v>0</v>
      </c>
      <c r="AO378" s="164">
        <f>IF(AND($C377=12,$D377=Input!$C$6),0,IF($E378="","",$AN378+AO379/(1+$L378)*$R378))</f>
        <v>32425.956979285183</v>
      </c>
      <c r="AP378" s="152"/>
      <c r="AQ378" s="164">
        <f t="shared" si="112"/>
        <v>-5675.1410653340172</v>
      </c>
      <c r="AR378" s="164">
        <f t="shared" si="121"/>
        <v>-6330.9701620092665</v>
      </c>
      <c r="AS378" s="164">
        <f t="shared" si="122"/>
        <v>1307.1770334928231</v>
      </c>
      <c r="AT378" s="164">
        <f t="shared" si="113"/>
        <v>1307.1770334928231</v>
      </c>
      <c r="AU378" s="152"/>
      <c r="AV378" s="147">
        <f>'Deterministic Reserve'!BC378</f>
        <v>1.9211123509437725E-2</v>
      </c>
      <c r="AW378" s="164">
        <f t="shared" si="114"/>
        <v>1307.1770334928231</v>
      </c>
      <c r="AX378" s="164">
        <f t="shared" si="115"/>
        <v>25.112339439131038</v>
      </c>
      <c r="AY378" s="152"/>
    </row>
    <row r="379" spans="1:51" s="150" customFormat="1" x14ac:dyDescent="0.25">
      <c r="A379" s="150">
        <f t="shared" si="123"/>
        <v>375</v>
      </c>
      <c r="B379" s="150">
        <f t="shared" si="124"/>
        <v>32</v>
      </c>
      <c r="C379" s="150">
        <f t="shared" si="125"/>
        <v>3</v>
      </c>
      <c r="D379" s="150">
        <f>IF(E379="","",Input!$C$4+B379-1)</f>
        <v>76</v>
      </c>
      <c r="E379" s="150">
        <f>IF(OR(AND(C378=12,D378=Input!$C$6),E378=""),"",1)</f>
        <v>1</v>
      </c>
      <c r="F379" s="150">
        <f>IF(E379="","",Input!$C$8+B379-1)</f>
        <v>2049</v>
      </c>
      <c r="G379" s="151">
        <f>IF(E379="","",MAX(0,Input!$C$9-B379))</f>
        <v>0</v>
      </c>
      <c r="H379" s="152">
        <f>IF(E379="","",Input!$C$3)</f>
        <v>100000</v>
      </c>
      <c r="I379" s="153">
        <f>IF(E379="","",HLOOKUP($B379,Input!$C$13:$BT$14,2))</f>
        <v>66.934000000000012</v>
      </c>
      <c r="J379" s="154"/>
      <c r="K379" s="155">
        <f>IF($E379="","",Input!$C$57)</f>
        <v>4.4999999999999998E-2</v>
      </c>
      <c r="L379" s="155">
        <f t="shared" si="116"/>
        <v>3.6748094004368514E-3</v>
      </c>
      <c r="M379" s="147">
        <f>IF($E379="","",VLOOKUP(IF($B379&lt;=Input!$C$7,$B379,26),'Mortality Tables'!$A$72:$CA$97,IF($B379&lt;=Input!$C$7+1,Input!$C$4-16,$D379-Input!$C$7-16),0)/1000)</f>
        <v>2.7320000000000001E-2</v>
      </c>
      <c r="N379" s="147">
        <f t="shared" si="105"/>
        <v>2.305682042471946E-3</v>
      </c>
      <c r="O379" s="157">
        <f>IF($E379="","",IF($C379=12,IF($B379&lt;Input!$C$9,Input!$C$54,IF($B379=Input!$C$9,Input!$C$55,Input!$C$56)),0%))</f>
        <v>0</v>
      </c>
      <c r="P379" s="167">
        <f>IF($E379="","",IF($B379=1,Input!$C$59,IF($B379&lt;6,Input!$C$60,0%)))</f>
        <v>0</v>
      </c>
      <c r="Q379" s="162">
        <f>IF($E379="","",Input!$C$58)</f>
        <v>2.5</v>
      </c>
      <c r="R379" s="156">
        <f t="shared" si="117"/>
        <v>0.99769431795752805</v>
      </c>
      <c r="S379" s="154">
        <f t="shared" si="106"/>
        <v>1.5510997525457671E-2</v>
      </c>
      <c r="T379" s="152"/>
      <c r="U379" s="150">
        <f t="shared" si="118"/>
        <v>0</v>
      </c>
      <c r="V379" s="150">
        <f t="shared" si="119"/>
        <v>0</v>
      </c>
      <c r="W379" s="168">
        <f t="shared" si="120"/>
        <v>0</v>
      </c>
      <c r="X379" s="163">
        <f t="shared" si="107"/>
        <v>230.56820424719459</v>
      </c>
      <c r="Y379" s="152"/>
      <c r="Z379" s="164">
        <f>IF(AND($C378=12,$D378=Input!$C$6),0,IF($E379="","",V379+Z380/(1+L379)*R379))</f>
        <v>61306.772612589171</v>
      </c>
      <c r="AA379" s="164">
        <f>IF(OR($M379=1,AND($C378=12,$D378=Input!$C$6)),0,IF($E379="","",W379+(X379+AA380*$R379)/(1+$L379)))</f>
        <v>26680.067612279483</v>
      </c>
      <c r="AB379" s="160">
        <f t="shared" si="108"/>
        <v>0.825720328500681</v>
      </c>
      <c r="AC379" s="164">
        <f t="shared" si="109"/>
        <v>0</v>
      </c>
      <c r="AD379" s="164">
        <f>IF(AND($C378=12,$D378=Input!$C$6),0,IF($E379="","",$AC379+AD380/(1+$L379)*$R379))</f>
        <v>50622.248420983633</v>
      </c>
      <c r="AE379" s="152"/>
      <c r="AF379" s="164">
        <f>IF(AND($C378=12,$D378=Input!$C$6),0,IF($E379="","",IF($B379&gt;Input!$C$9,$AC379,0)+AF380/(1+$L379)*$R379))</f>
        <v>50622.248420983633</v>
      </c>
      <c r="AG379" s="164">
        <f>IF(AND($C378=12,$D378=Input!$C$6),0,IF($E379="","",(IF($B379&gt;Input!$C$9,$X379,0)+AG380)/(1+$L379)*$R379))</f>
        <v>26293.52555961044</v>
      </c>
      <c r="AH379" s="160">
        <f t="shared" si="110"/>
        <v>2.0950137211446997</v>
      </c>
      <c r="AI379" s="160">
        <f>IF($E379="","",MIN(Input!$C$61/AH379,1))</f>
        <v>0.64438718771845094</v>
      </c>
      <c r="AJ379" s="152"/>
      <c r="AK379" s="164">
        <f>IF(AND($C378=12,$D378=Input!$C$6),0,IF($E379="","",IF($B379&gt;Input!$C$9,$AC379*AI379,0)+AK380/(1+$L379)*$R379))</f>
        <v>32620.32829598241</v>
      </c>
      <c r="AL379" s="164">
        <f>IF(AND($C378=12,$D378=Input!$C$6),0,IF($E379="","",IF($B379&gt;Input!$C$9,0,$AC379)+AL380/(1+$L379)*$R379))</f>
        <v>0</v>
      </c>
      <c r="AM379" s="160">
        <f t="shared" si="111"/>
        <v>1.1382936520186004</v>
      </c>
      <c r="AN379" s="164">
        <f>IF($E379="","",IF($B379&gt;Input!$C$9,$AI379*$AC379,$AM379*$AC379))</f>
        <v>0</v>
      </c>
      <c r="AO379" s="164">
        <f>IF(AND($C378=12,$D378=Input!$C$6),0,IF($E379="","",$AN379+AO380/(1+$L379)*$R379))</f>
        <v>32620.32829598241</v>
      </c>
      <c r="AP379" s="152"/>
      <c r="AQ379" s="164">
        <f t="shared" si="112"/>
        <v>-5940.2606837029271</v>
      </c>
      <c r="AR379" s="164">
        <f t="shared" si="121"/>
        <v>-6330.9701620092665</v>
      </c>
      <c r="AS379" s="164">
        <f t="shared" si="122"/>
        <v>1307.1770334928231</v>
      </c>
      <c r="AT379" s="164">
        <f t="shared" si="113"/>
        <v>1307.1770334928231</v>
      </c>
      <c r="AU379" s="152"/>
      <c r="AV379" s="147">
        <f>'Deterministic Reserve'!BC379</f>
        <v>1.9104645898124044E-2</v>
      </c>
      <c r="AW379" s="164">
        <f t="shared" si="114"/>
        <v>1307.1770334928231</v>
      </c>
      <c r="AX379" s="164">
        <f t="shared" si="115"/>
        <v>24.973154351040616</v>
      </c>
      <c r="AY379" s="152"/>
    </row>
    <row r="380" spans="1:51" s="150" customFormat="1" x14ac:dyDescent="0.25">
      <c r="A380" s="150">
        <f t="shared" si="123"/>
        <v>376</v>
      </c>
      <c r="B380" s="150">
        <f t="shared" si="124"/>
        <v>32</v>
      </c>
      <c r="C380" s="150">
        <f t="shared" si="125"/>
        <v>4</v>
      </c>
      <c r="D380" s="150">
        <f>IF(E380="","",Input!$C$4+B380-1)</f>
        <v>76</v>
      </c>
      <c r="E380" s="150">
        <f>IF(OR(AND(C379=12,D379=Input!$C$6),E379=""),"",1)</f>
        <v>1</v>
      </c>
      <c r="F380" s="150">
        <f>IF(E380="","",Input!$C$8+B380-1)</f>
        <v>2049</v>
      </c>
      <c r="G380" s="151">
        <f>IF(E380="","",MAX(0,Input!$C$9-B380))</f>
        <v>0</v>
      </c>
      <c r="H380" s="152">
        <f>IF(E380="","",Input!$C$3)</f>
        <v>100000</v>
      </c>
      <c r="I380" s="153">
        <f>IF(E380="","",HLOOKUP($B380,Input!$C$13:$BT$14,2))</f>
        <v>66.934000000000012</v>
      </c>
      <c r="J380" s="154"/>
      <c r="K380" s="155">
        <f>IF($E380="","",Input!$C$57)</f>
        <v>4.4999999999999998E-2</v>
      </c>
      <c r="L380" s="155">
        <f t="shared" si="116"/>
        <v>3.6748094004368514E-3</v>
      </c>
      <c r="M380" s="147">
        <f>IF($E380="","",VLOOKUP(IF($B380&lt;=Input!$C$7,$B380,26),'Mortality Tables'!$A$72:$CA$97,IF($B380&lt;=Input!$C$7+1,Input!$C$4-16,$D380-Input!$C$7-16),0)/1000)</f>
        <v>2.7320000000000001E-2</v>
      </c>
      <c r="N380" s="147">
        <f t="shared" si="105"/>
        <v>2.305682042471946E-3</v>
      </c>
      <c r="O380" s="157">
        <f>IF($E380="","",IF($C380=12,IF($B380&lt;Input!$C$9,Input!$C$54,IF($B380=Input!$C$9,Input!$C$55,Input!$C$56)),0%))</f>
        <v>0</v>
      </c>
      <c r="P380" s="167">
        <f>IF($E380="","",IF($B380=1,Input!$C$59,IF($B380&lt;6,Input!$C$60,0%)))</f>
        <v>0</v>
      </c>
      <c r="Q380" s="162">
        <f>IF($E380="","",Input!$C$58)</f>
        <v>2.5</v>
      </c>
      <c r="R380" s="156">
        <f t="shared" si="117"/>
        <v>0.99769431795752805</v>
      </c>
      <c r="S380" s="154">
        <f t="shared" si="106"/>
        <v>1.5475234097002397E-2</v>
      </c>
      <c r="T380" s="152"/>
      <c r="U380" s="150">
        <f t="shared" si="118"/>
        <v>0</v>
      </c>
      <c r="V380" s="150">
        <f t="shared" si="119"/>
        <v>0</v>
      </c>
      <c r="W380" s="168">
        <f t="shared" si="120"/>
        <v>0</v>
      </c>
      <c r="X380" s="163">
        <f t="shared" si="107"/>
        <v>230.56820424719459</v>
      </c>
      <c r="Y380" s="152"/>
      <c r="Z380" s="164">
        <f>IF(AND($C379=12,$D379=Input!$C$6),0,IF($E380="","",V380+Z381/(1+L380)*R380))</f>
        <v>61674.264561177733</v>
      </c>
      <c r="AA380" s="164">
        <f>IF(OR($M380=1,AND($C379=12,$D379=Input!$C$6)),0,IF($E380="","",W380+(X380+AA381*$R380)/(1+$L380)))</f>
        <v>26608.895223184296</v>
      </c>
      <c r="AB380" s="160">
        <f t="shared" si="108"/>
        <v>0.825720328500681</v>
      </c>
      <c r="AC380" s="164">
        <f t="shared" si="109"/>
        <v>0</v>
      </c>
      <c r="AD380" s="164">
        <f>IF(AND($C379=12,$D379=Input!$C$6),0,IF($E380="","",$AC380+AD381/(1+$L380)*$R380))</f>
        <v>50925.693993493529</v>
      </c>
      <c r="AE380" s="152"/>
      <c r="AF380" s="164">
        <f>IF(AND($C379=12,$D379=Input!$C$6),0,IF($E380="","",IF($B380&gt;Input!$C$9,$AC380,0)+AF381/(1+$L380)*$R380))</f>
        <v>50925.693993493529</v>
      </c>
      <c r="AG380" s="164">
        <f>IF(AND($C379=12,$D379=Input!$C$6),0,IF($E380="","",(IF($B380&gt;Input!$C$9,$X380,0)+AG381)/(1+$L380)*$R380))</f>
        <v>26220.56896222803</v>
      </c>
      <c r="AH380" s="160">
        <f t="shared" si="110"/>
        <v>2.0950137211446997</v>
      </c>
      <c r="AI380" s="160">
        <f>IF($E380="","",MIN(Input!$C$61/AH380,1))</f>
        <v>0.64438718771845094</v>
      </c>
      <c r="AJ380" s="152"/>
      <c r="AK380" s="164">
        <f>IF(AND($C379=12,$D379=Input!$C$6),0,IF($E380="","",IF($B380&gt;Input!$C$9,$AC380*AI380,0)+AK381/(1+$L380)*$R380))</f>
        <v>32815.864735077681</v>
      </c>
      <c r="AL380" s="164">
        <f>IF(AND($C379=12,$D379=Input!$C$6),0,IF($E380="","",IF($B380&gt;Input!$C$9,0,$AC380)+AL381/(1+$L380)*$R380))</f>
        <v>0</v>
      </c>
      <c r="AM380" s="160">
        <f t="shared" si="111"/>
        <v>1.1382936520186004</v>
      </c>
      <c r="AN380" s="164">
        <f>IF($E380="","",IF($B380&gt;Input!$C$9,$AI380*$AC380,$AM380*$AC380))</f>
        <v>0</v>
      </c>
      <c r="AO380" s="164">
        <f>IF(AND($C379=12,$D379=Input!$C$6),0,IF($E380="","",$AN380+AO381/(1+$L380)*$R380))</f>
        <v>32815.864735077681</v>
      </c>
      <c r="AP380" s="152"/>
      <c r="AQ380" s="164">
        <f t="shared" si="112"/>
        <v>-6206.9695118933851</v>
      </c>
      <c r="AR380" s="164">
        <f t="shared" si="121"/>
        <v>-6330.9701620092665</v>
      </c>
      <c r="AS380" s="164">
        <f t="shared" si="122"/>
        <v>1307.1770334928231</v>
      </c>
      <c r="AT380" s="164">
        <f t="shared" si="113"/>
        <v>1307.1770334928231</v>
      </c>
      <c r="AU380" s="152"/>
      <c r="AV380" s="147">
        <f>'Deterministic Reserve'!BC380</f>
        <v>1.8998758438745284E-2</v>
      </c>
      <c r="AW380" s="164">
        <f t="shared" si="114"/>
        <v>1307.1770334928231</v>
      </c>
      <c r="AX380" s="164">
        <f t="shared" si="115"/>
        <v>24.834740696005799</v>
      </c>
      <c r="AY380" s="152"/>
    </row>
    <row r="381" spans="1:51" s="150" customFormat="1" x14ac:dyDescent="0.25">
      <c r="A381" s="150">
        <f t="shared" si="123"/>
        <v>377</v>
      </c>
      <c r="B381" s="150">
        <f t="shared" si="124"/>
        <v>32</v>
      </c>
      <c r="C381" s="150">
        <f t="shared" si="125"/>
        <v>5</v>
      </c>
      <c r="D381" s="150">
        <f>IF(E381="","",Input!$C$4+B381-1)</f>
        <v>76</v>
      </c>
      <c r="E381" s="150">
        <f>IF(OR(AND(C380=12,D380=Input!$C$6),E380=""),"",1)</f>
        <v>1</v>
      </c>
      <c r="F381" s="150">
        <f>IF(E381="","",Input!$C$8+B381-1)</f>
        <v>2049</v>
      </c>
      <c r="G381" s="151">
        <f>IF(E381="","",MAX(0,Input!$C$9-B381))</f>
        <v>0</v>
      </c>
      <c r="H381" s="152">
        <f>IF(E381="","",Input!$C$3)</f>
        <v>100000</v>
      </c>
      <c r="I381" s="153">
        <f>IF(E381="","",HLOOKUP($B381,Input!$C$13:$BT$14,2))</f>
        <v>66.934000000000012</v>
      </c>
      <c r="J381" s="154"/>
      <c r="K381" s="155">
        <f>IF($E381="","",Input!$C$57)</f>
        <v>4.4999999999999998E-2</v>
      </c>
      <c r="L381" s="155">
        <f t="shared" si="116"/>
        <v>3.6748094004368514E-3</v>
      </c>
      <c r="M381" s="147">
        <f>IF($E381="","",VLOOKUP(IF($B381&lt;=Input!$C$7,$B381,26),'Mortality Tables'!$A$72:$CA$97,IF($B381&lt;=Input!$C$7+1,Input!$C$4-16,$D381-Input!$C$7-16),0)/1000)</f>
        <v>2.7320000000000001E-2</v>
      </c>
      <c r="N381" s="147">
        <f t="shared" si="105"/>
        <v>2.305682042471946E-3</v>
      </c>
      <c r="O381" s="157">
        <f>IF($E381="","",IF($C381=12,IF($B381&lt;Input!$C$9,Input!$C$54,IF($B381=Input!$C$9,Input!$C$55,Input!$C$56)),0%))</f>
        <v>0</v>
      </c>
      <c r="P381" s="167">
        <f>IF($E381="","",IF($B381=1,Input!$C$59,IF($B381&lt;6,Input!$C$60,0%)))</f>
        <v>0</v>
      </c>
      <c r="Q381" s="162">
        <f>IF($E381="","",Input!$C$58)</f>
        <v>2.5</v>
      </c>
      <c r="R381" s="156">
        <f t="shared" si="117"/>
        <v>0.99769431795752805</v>
      </c>
      <c r="S381" s="154">
        <f t="shared" si="106"/>
        <v>1.5439553127641888E-2</v>
      </c>
      <c r="T381" s="152"/>
      <c r="U381" s="150">
        <f t="shared" si="118"/>
        <v>0</v>
      </c>
      <c r="V381" s="150">
        <f t="shared" si="119"/>
        <v>0</v>
      </c>
      <c r="W381" s="168">
        <f t="shared" si="120"/>
        <v>0</v>
      </c>
      <c r="X381" s="163">
        <f t="shared" si="107"/>
        <v>230.56820424719459</v>
      </c>
      <c r="Y381" s="152"/>
      <c r="Z381" s="164">
        <f>IF(AND($C380=12,$D380=Input!$C$6),0,IF($E381="","",V381+Z382/(1+L381)*R381))</f>
        <v>62043.959371318488</v>
      </c>
      <c r="AA381" s="164">
        <f>IF(OR($M381=1,AND($C380=12,$D380=Input!$C$6)),0,IF($E381="","",W381+(X381+AA382*$R381)/(1+$L381)))</f>
        <v>26537.296204553095</v>
      </c>
      <c r="AB381" s="160">
        <f t="shared" si="108"/>
        <v>0.825720328500681</v>
      </c>
      <c r="AC381" s="164">
        <f t="shared" si="109"/>
        <v>0</v>
      </c>
      <c r="AD381" s="164">
        <f>IF(AND($C380=12,$D380=Input!$C$6),0,IF($E381="","",$AC381+AD382/(1+$L381)*$R381))</f>
        <v>51230.958513567944</v>
      </c>
      <c r="AE381" s="152"/>
      <c r="AF381" s="164">
        <f>IF(AND($C380=12,$D380=Input!$C$6),0,IF($E381="","",IF($B381&gt;Input!$C$9,$AC381,0)+AF382/(1+$L381)*$R381))</f>
        <v>51230.958513567944</v>
      </c>
      <c r="AG381" s="164">
        <f>IF(AND($C380=12,$D380=Input!$C$6),0,IF($E381="","",(IF($B381&gt;Input!$C$9,$X381,0)+AG382)/(1+$L381)*$R381))</f>
        <v>26147.175040207705</v>
      </c>
      <c r="AH381" s="160">
        <f t="shared" si="110"/>
        <v>2.0950137211446997</v>
      </c>
      <c r="AI381" s="160">
        <f>IF($E381="","",MIN(Input!$C$61/AH381,1))</f>
        <v>0.64438718771845094</v>
      </c>
      <c r="AJ381" s="152"/>
      <c r="AK381" s="164">
        <f>IF(AND($C380=12,$D380=Input!$C$6),0,IF($E381="","",IF($B381&gt;Input!$C$9,$AC381*AI381,0)+AK382/(1+$L381)*$R381))</f>
        <v>33012.573280678655</v>
      </c>
      <c r="AL381" s="164">
        <f>IF(AND($C380=12,$D380=Input!$C$6),0,IF($E381="","",IF($B381&gt;Input!$C$9,0,$AC381)+AL382/(1+$L381)*$R381))</f>
        <v>0</v>
      </c>
      <c r="AM381" s="160">
        <f t="shared" si="111"/>
        <v>1.1382936520186004</v>
      </c>
      <c r="AN381" s="164">
        <f>IF($E381="","",IF($B381&gt;Input!$C$9,$AI381*$AC381,$AM381*$AC381))</f>
        <v>0</v>
      </c>
      <c r="AO381" s="164">
        <f>IF(AND($C380=12,$D380=Input!$C$6),0,IF($E381="","",$AN381+AO382/(1+$L381)*$R381))</f>
        <v>33012.573280678655</v>
      </c>
      <c r="AP381" s="152"/>
      <c r="AQ381" s="164">
        <f t="shared" si="112"/>
        <v>-6475.2770761255597</v>
      </c>
      <c r="AR381" s="164">
        <f t="shared" si="121"/>
        <v>-6330.9701620092665</v>
      </c>
      <c r="AS381" s="164">
        <f t="shared" si="122"/>
        <v>1307.1770334928231</v>
      </c>
      <c r="AT381" s="164">
        <f t="shared" si="113"/>
        <v>1307.1770334928231</v>
      </c>
      <c r="AU381" s="152"/>
      <c r="AV381" s="147">
        <f>'Deterministic Reserve'!BC381</f>
        <v>1.8893457860385595E-2</v>
      </c>
      <c r="AW381" s="164">
        <f t="shared" si="114"/>
        <v>1307.1770334928231</v>
      </c>
      <c r="AX381" s="164">
        <f t="shared" si="115"/>
        <v>24.697094198360503</v>
      </c>
      <c r="AY381" s="152"/>
    </row>
    <row r="382" spans="1:51" s="150" customFormat="1" x14ac:dyDescent="0.25">
      <c r="A382" s="150">
        <f t="shared" si="123"/>
        <v>378</v>
      </c>
      <c r="B382" s="150">
        <f t="shared" si="124"/>
        <v>32</v>
      </c>
      <c r="C382" s="150">
        <f t="shared" si="125"/>
        <v>6</v>
      </c>
      <c r="D382" s="150">
        <f>IF(E382="","",Input!$C$4+B382-1)</f>
        <v>76</v>
      </c>
      <c r="E382" s="150">
        <f>IF(OR(AND(C381=12,D381=Input!$C$6),E381=""),"",1)</f>
        <v>1</v>
      </c>
      <c r="F382" s="150">
        <f>IF(E382="","",Input!$C$8+B382-1)</f>
        <v>2049</v>
      </c>
      <c r="G382" s="151">
        <f>IF(E382="","",MAX(0,Input!$C$9-B382))</f>
        <v>0</v>
      </c>
      <c r="H382" s="152">
        <f>IF(E382="","",Input!$C$3)</f>
        <v>100000</v>
      </c>
      <c r="I382" s="153">
        <f>IF(E382="","",HLOOKUP($B382,Input!$C$13:$BT$14,2))</f>
        <v>66.934000000000012</v>
      </c>
      <c r="J382" s="154"/>
      <c r="K382" s="155">
        <f>IF($E382="","",Input!$C$57)</f>
        <v>4.4999999999999998E-2</v>
      </c>
      <c r="L382" s="155">
        <f t="shared" si="116"/>
        <v>3.6748094004368514E-3</v>
      </c>
      <c r="M382" s="147">
        <f>IF($E382="","",VLOOKUP(IF($B382&lt;=Input!$C$7,$B382,26),'Mortality Tables'!$A$72:$CA$97,IF($B382&lt;=Input!$C$7+1,Input!$C$4-16,$D382-Input!$C$7-16),0)/1000)</f>
        <v>2.7320000000000001E-2</v>
      </c>
      <c r="N382" s="147">
        <f t="shared" si="105"/>
        <v>2.305682042471946E-3</v>
      </c>
      <c r="O382" s="157">
        <f>IF($E382="","",IF($C382=12,IF($B382&lt;Input!$C$9,Input!$C$54,IF($B382=Input!$C$9,Input!$C$55,Input!$C$56)),0%))</f>
        <v>0</v>
      </c>
      <c r="P382" s="167">
        <f>IF($E382="","",IF($B382=1,Input!$C$59,IF($B382&lt;6,Input!$C$60,0%)))</f>
        <v>0</v>
      </c>
      <c r="Q382" s="162">
        <f>IF($E382="","",Input!$C$58)</f>
        <v>2.5</v>
      </c>
      <c r="R382" s="156">
        <f t="shared" si="117"/>
        <v>0.99769431795752805</v>
      </c>
      <c r="S382" s="154">
        <f t="shared" si="106"/>
        <v>1.5403954427251693E-2</v>
      </c>
      <c r="T382" s="152"/>
      <c r="U382" s="150">
        <f t="shared" si="118"/>
        <v>0</v>
      </c>
      <c r="V382" s="150">
        <f t="shared" si="119"/>
        <v>0</v>
      </c>
      <c r="W382" s="168">
        <f t="shared" si="120"/>
        <v>0</v>
      </c>
      <c r="X382" s="163">
        <f t="shared" si="107"/>
        <v>230.56820424719459</v>
      </c>
      <c r="Y382" s="152"/>
      <c r="Z382" s="164">
        <f>IF(AND($C381=12,$D381=Input!$C$6),0,IF($E382="","",V382+Z383/(1+L382)*R382))</f>
        <v>62415.870247651801</v>
      </c>
      <c r="AA382" s="164">
        <f>IF(OR($M382=1,AND($C381=12,$D381=Input!$C$6)),0,IF($E382="","",W382+(X382+AA383*$R382)/(1+$L382)))</f>
        <v>26465.26799903515</v>
      </c>
      <c r="AB382" s="160">
        <f t="shared" si="108"/>
        <v>0.825720328500681</v>
      </c>
      <c r="AC382" s="164">
        <f t="shared" si="109"/>
        <v>0</v>
      </c>
      <c r="AD382" s="164">
        <f>IF(AND($C381=12,$D381=Input!$C$6),0,IF($E382="","",$AC382+AD383/(1+$L382)*$R382))</f>
        <v>51538.052884546865</v>
      </c>
      <c r="AE382" s="152"/>
      <c r="AF382" s="164">
        <f>IF(AND($C381=12,$D381=Input!$C$6),0,IF($E382="","",IF($B382&gt;Input!$C$9,$AC382,0)+AF383/(1+$L382)*$R382))</f>
        <v>51538.052884546865</v>
      </c>
      <c r="AG382" s="164">
        <f>IF(AND($C381=12,$D381=Input!$C$6),0,IF($E382="","",(IF($B382&gt;Input!$C$9,$X382,0)+AG383)/(1+$L382)*$R382))</f>
        <v>26073.34117208896</v>
      </c>
      <c r="AH382" s="160">
        <f t="shared" si="110"/>
        <v>2.0950137211446997</v>
      </c>
      <c r="AI382" s="160">
        <f>IF($E382="","",MIN(Input!$C$61/AH382,1))</f>
        <v>0.64438718771845094</v>
      </c>
      <c r="AJ382" s="152"/>
      <c r="AK382" s="164">
        <f>IF(AND($C381=12,$D381=Input!$C$6),0,IF($E382="","",IF($B382&gt;Input!$C$9,$AC382*AI382,0)+AK383/(1+$L382)*$R382))</f>
        <v>33210.460958757925</v>
      </c>
      <c r="AL382" s="164">
        <f>IF(AND($C381=12,$D381=Input!$C$6),0,IF($E382="","",IF($B382&gt;Input!$C$9,0,$AC382)+AL383/(1+$L382)*$R382))</f>
        <v>0</v>
      </c>
      <c r="AM382" s="160">
        <f t="shared" si="111"/>
        <v>1.1382936520186004</v>
      </c>
      <c r="AN382" s="164">
        <f>IF($E382="","",IF($B382&gt;Input!$C$9,$AI382*$AC382,$AM382*$AC382))</f>
        <v>0</v>
      </c>
      <c r="AO382" s="164">
        <f>IF(AND($C381=12,$D381=Input!$C$6),0,IF($E382="","",$AN382+AO383/(1+$L382)*$R382))</f>
        <v>33210.460958757925</v>
      </c>
      <c r="AP382" s="152"/>
      <c r="AQ382" s="164">
        <f t="shared" si="112"/>
        <v>-6745.1929597227754</v>
      </c>
      <c r="AR382" s="164">
        <f t="shared" si="121"/>
        <v>-6330.9701620092665</v>
      </c>
      <c r="AS382" s="164">
        <f t="shared" si="122"/>
        <v>1307.1770334928231</v>
      </c>
      <c r="AT382" s="164">
        <f t="shared" si="113"/>
        <v>1307.1770334928231</v>
      </c>
      <c r="AU382" s="152"/>
      <c r="AV382" s="147">
        <f>'Deterministic Reserve'!BC382</f>
        <v>1.8788740910258173E-2</v>
      </c>
      <c r="AW382" s="164">
        <f t="shared" si="114"/>
        <v>1307.1770334928231</v>
      </c>
      <c r="AX382" s="164">
        <f t="shared" si="115"/>
        <v>24.560210606136522</v>
      </c>
      <c r="AY382" s="152"/>
    </row>
    <row r="383" spans="1:51" s="150" customFormat="1" x14ac:dyDescent="0.25">
      <c r="A383" s="150">
        <f t="shared" si="123"/>
        <v>379</v>
      </c>
      <c r="B383" s="150">
        <f t="shared" si="124"/>
        <v>32</v>
      </c>
      <c r="C383" s="150">
        <f t="shared" si="125"/>
        <v>7</v>
      </c>
      <c r="D383" s="150">
        <f>IF(E383="","",Input!$C$4+B383-1)</f>
        <v>76</v>
      </c>
      <c r="E383" s="150">
        <f>IF(OR(AND(C382=12,D382=Input!$C$6),E382=""),"",1)</f>
        <v>1</v>
      </c>
      <c r="F383" s="150">
        <f>IF(E383="","",Input!$C$8+B383-1)</f>
        <v>2049</v>
      </c>
      <c r="G383" s="151">
        <f>IF(E383="","",MAX(0,Input!$C$9-B383))</f>
        <v>0</v>
      </c>
      <c r="H383" s="152">
        <f>IF(E383="","",Input!$C$3)</f>
        <v>100000</v>
      </c>
      <c r="I383" s="153">
        <f>IF(E383="","",HLOOKUP($B383,Input!$C$13:$BT$14,2))</f>
        <v>66.934000000000012</v>
      </c>
      <c r="J383" s="154"/>
      <c r="K383" s="155">
        <f>IF($E383="","",Input!$C$57)</f>
        <v>4.4999999999999998E-2</v>
      </c>
      <c r="L383" s="155">
        <f t="shared" si="116"/>
        <v>3.6748094004368514E-3</v>
      </c>
      <c r="M383" s="147">
        <f>IF($E383="","",VLOOKUP(IF($B383&lt;=Input!$C$7,$B383,26),'Mortality Tables'!$A$72:$CA$97,IF($B383&lt;=Input!$C$7+1,Input!$C$4-16,$D383-Input!$C$7-16),0)/1000)</f>
        <v>2.7320000000000001E-2</v>
      </c>
      <c r="N383" s="147">
        <f t="shared" si="105"/>
        <v>2.305682042471946E-3</v>
      </c>
      <c r="O383" s="157">
        <f>IF($E383="","",IF($C383=12,IF($B383&lt;Input!$C$9,Input!$C$54,IF($B383=Input!$C$9,Input!$C$55,Input!$C$56)),0%))</f>
        <v>0</v>
      </c>
      <c r="P383" s="167">
        <f>IF($E383="","",IF($B383=1,Input!$C$59,IF($B383&lt;6,Input!$C$60,0%)))</f>
        <v>0</v>
      </c>
      <c r="Q383" s="162">
        <f>IF($E383="","",Input!$C$58)</f>
        <v>2.5</v>
      </c>
      <c r="R383" s="156">
        <f t="shared" si="117"/>
        <v>0.99769431795752805</v>
      </c>
      <c r="S383" s="154">
        <f t="shared" si="106"/>
        <v>1.5368437806145724E-2</v>
      </c>
      <c r="T383" s="152"/>
      <c r="U383" s="150">
        <f t="shared" si="118"/>
        <v>0</v>
      </c>
      <c r="V383" s="150">
        <f t="shared" si="119"/>
        <v>0</v>
      </c>
      <c r="W383" s="168">
        <f t="shared" si="120"/>
        <v>0</v>
      </c>
      <c r="X383" s="163">
        <f t="shared" si="107"/>
        <v>230.56820424719459</v>
      </c>
      <c r="Y383" s="152"/>
      <c r="Z383" s="164">
        <f>IF(AND($C382=12,$D382=Input!$C$6),0,IF($E383="","",V383+Z384/(1+L383)*R383))</f>
        <v>62790.010473970782</v>
      </c>
      <c r="AA383" s="164">
        <f>IF(OR($M383=1,AND($C382=12,$D382=Input!$C$6)),0,IF($E383="","",W383+(X383+AA384*$R383)/(1+$L383)))</f>
        <v>26392.808033950176</v>
      </c>
      <c r="AB383" s="160">
        <f t="shared" si="108"/>
        <v>0.825720328500681</v>
      </c>
      <c r="AC383" s="164">
        <f t="shared" si="109"/>
        <v>0</v>
      </c>
      <c r="AD383" s="164">
        <f>IF(AND($C382=12,$D382=Input!$C$6),0,IF($E383="","",$AC383+AD384/(1+$L383)*$R383))</f>
        <v>51846.988075128291</v>
      </c>
      <c r="AE383" s="152"/>
      <c r="AF383" s="164">
        <f>IF(AND($C382=12,$D382=Input!$C$6),0,IF($E383="","",IF($B383&gt;Input!$C$9,$AC383,0)+AF384/(1+$L383)*$R383))</f>
        <v>51846.988075128291</v>
      </c>
      <c r="AG383" s="164">
        <f>IF(AND($C382=12,$D382=Input!$C$6),0,IF($E383="","",(IF($B383&gt;Input!$C$9,$X383,0)+AG384)/(1+$L383)*$R383))</f>
        <v>25999.064720697428</v>
      </c>
      <c r="AH383" s="160">
        <f t="shared" si="110"/>
        <v>2.0950137211446997</v>
      </c>
      <c r="AI383" s="160">
        <f>IF($E383="","",MIN(Input!$C$61/AH383,1))</f>
        <v>0.64438718771845094</v>
      </c>
      <c r="AJ383" s="152"/>
      <c r="AK383" s="164">
        <f>IF(AND($C382=12,$D382=Input!$C$6),0,IF($E383="","",IF($B383&gt;Input!$C$9,$AC383*AI383,0)+AK384/(1+$L383)*$R383))</f>
        <v>33409.534837403953</v>
      </c>
      <c r="AL383" s="164">
        <f>IF(AND($C382=12,$D382=Input!$C$6),0,IF($E383="","",IF($B383&gt;Input!$C$9,0,$AC383)+AL384/(1+$L383)*$R383))</f>
        <v>0</v>
      </c>
      <c r="AM383" s="160">
        <f t="shared" si="111"/>
        <v>1.1382936520186004</v>
      </c>
      <c r="AN383" s="164">
        <f>IF($E383="","",IF($B383&gt;Input!$C$9,$AI383*$AC383,$AM383*$AC383))</f>
        <v>0</v>
      </c>
      <c r="AO383" s="164">
        <f>IF(AND($C382=12,$D382=Input!$C$6),0,IF($E383="","",$AN383+AO384/(1+$L383)*$R383))</f>
        <v>33409.534837403953</v>
      </c>
      <c r="AP383" s="152"/>
      <c r="AQ383" s="164">
        <f t="shared" si="112"/>
        <v>-7016.7268034537774</v>
      </c>
      <c r="AR383" s="164">
        <f t="shared" si="121"/>
        <v>-6330.9701620092665</v>
      </c>
      <c r="AS383" s="164">
        <f t="shared" si="122"/>
        <v>1307.1770334928231</v>
      </c>
      <c r="AT383" s="164">
        <f t="shared" si="113"/>
        <v>1307.1770334928231</v>
      </c>
      <c r="AU383" s="152"/>
      <c r="AV383" s="147">
        <f>'Deterministic Reserve'!BC383</f>
        <v>1.8684604353604778E-2</v>
      </c>
      <c r="AW383" s="164">
        <f t="shared" si="114"/>
        <v>1307.1770334928231</v>
      </c>
      <c r="AX383" s="164">
        <f t="shared" si="115"/>
        <v>24.424085690932181</v>
      </c>
      <c r="AY383" s="152"/>
    </row>
    <row r="384" spans="1:51" s="150" customFormat="1" x14ac:dyDescent="0.25">
      <c r="A384" s="150">
        <f t="shared" si="123"/>
        <v>380</v>
      </c>
      <c r="B384" s="150">
        <f t="shared" si="124"/>
        <v>32</v>
      </c>
      <c r="C384" s="150">
        <f t="shared" si="125"/>
        <v>8</v>
      </c>
      <c r="D384" s="150">
        <f>IF(E384="","",Input!$C$4+B384-1)</f>
        <v>76</v>
      </c>
      <c r="E384" s="150">
        <f>IF(OR(AND(C383=12,D383=Input!$C$6),E383=""),"",1)</f>
        <v>1</v>
      </c>
      <c r="F384" s="150">
        <f>IF(E384="","",Input!$C$8+B384-1)</f>
        <v>2049</v>
      </c>
      <c r="G384" s="151">
        <f>IF(E384="","",MAX(0,Input!$C$9-B384))</f>
        <v>0</v>
      </c>
      <c r="H384" s="152">
        <f>IF(E384="","",Input!$C$3)</f>
        <v>100000</v>
      </c>
      <c r="I384" s="153">
        <f>IF(E384="","",HLOOKUP($B384,Input!$C$13:$BT$14,2))</f>
        <v>66.934000000000012</v>
      </c>
      <c r="J384" s="154"/>
      <c r="K384" s="155">
        <f>IF($E384="","",Input!$C$57)</f>
        <v>4.4999999999999998E-2</v>
      </c>
      <c r="L384" s="155">
        <f t="shared" si="116"/>
        <v>3.6748094004368514E-3</v>
      </c>
      <c r="M384" s="147">
        <f>IF($E384="","",VLOOKUP(IF($B384&lt;=Input!$C$7,$B384,26),'Mortality Tables'!$A$72:$CA$97,IF($B384&lt;=Input!$C$7+1,Input!$C$4-16,$D384-Input!$C$7-16),0)/1000)</f>
        <v>2.7320000000000001E-2</v>
      </c>
      <c r="N384" s="147">
        <f t="shared" si="105"/>
        <v>2.305682042471946E-3</v>
      </c>
      <c r="O384" s="157">
        <f>IF($E384="","",IF($C384=12,IF($B384&lt;Input!$C$9,Input!$C$54,IF($B384=Input!$C$9,Input!$C$55,Input!$C$56)),0%))</f>
        <v>0</v>
      </c>
      <c r="P384" s="167">
        <f>IF($E384="","",IF($B384=1,Input!$C$59,IF($B384&lt;6,Input!$C$60,0%)))</f>
        <v>0</v>
      </c>
      <c r="Q384" s="162">
        <f>IF($E384="","",Input!$C$58)</f>
        <v>2.5</v>
      </c>
      <c r="R384" s="156">
        <f t="shared" si="117"/>
        <v>0.99769431795752805</v>
      </c>
      <c r="S384" s="154">
        <f t="shared" si="106"/>
        <v>1.5333003075075246E-2</v>
      </c>
      <c r="T384" s="152"/>
      <c r="U384" s="150">
        <f t="shared" si="118"/>
        <v>0</v>
      </c>
      <c r="V384" s="150">
        <f t="shared" si="119"/>
        <v>0</v>
      </c>
      <c r="W384" s="168">
        <f t="shared" si="120"/>
        <v>0</v>
      </c>
      <c r="X384" s="163">
        <f t="shared" si="107"/>
        <v>230.56820424719459</v>
      </c>
      <c r="Y384" s="152"/>
      <c r="Z384" s="164">
        <f>IF(AND($C383=12,$D383=Input!$C$6),0,IF($E384="","",V384+Z385/(1+L384)*R384))</f>
        <v>63166.39341369574</v>
      </c>
      <c r="AA384" s="164">
        <f>IF(OR($M384=1,AND($C383=12,$D383=Input!$C$6)),0,IF($E384="","",W384+(X384+AA385*$R384)/(1+$L384)))</f>
        <v>26319.913721196441</v>
      </c>
      <c r="AB384" s="160">
        <f t="shared" si="108"/>
        <v>0.825720328500681</v>
      </c>
      <c r="AC384" s="164">
        <f t="shared" si="109"/>
        <v>0</v>
      </c>
      <c r="AD384" s="164">
        <f>IF(AND($C383=12,$D383=Input!$C$6),0,IF($E384="","",$AC384+AD385/(1+$L384)*$R384))</f>
        <v>52157.77511976003</v>
      </c>
      <c r="AE384" s="152"/>
      <c r="AF384" s="164">
        <f>IF(AND($C383=12,$D383=Input!$C$6),0,IF($E384="","",IF($B384&gt;Input!$C$9,$AC384,0)+AF385/(1+$L384)*$R384))</f>
        <v>52157.77511976003</v>
      </c>
      <c r="AG384" s="164">
        <f>IF(AND($C383=12,$D383=Input!$C$6),0,IF($E384="","",(IF($B384&gt;Input!$C$9,$X384,0)+AG385)/(1+$L384)*$R384))</f>
        <v>25924.343033050704</v>
      </c>
      <c r="AH384" s="160">
        <f t="shared" si="110"/>
        <v>2.0950137211446997</v>
      </c>
      <c r="AI384" s="160">
        <f>IF($E384="","",MIN(Input!$C$61/AH384,1))</f>
        <v>0.64438718771845094</v>
      </c>
      <c r="AJ384" s="152"/>
      <c r="AK384" s="164">
        <f>IF(AND($C383=12,$D383=Input!$C$6),0,IF($E384="","",IF($B384&gt;Input!$C$9,$AC384*AI384,0)+AK385/(1+$L384)*$R384))</f>
        <v>33609.802027073529</v>
      </c>
      <c r="AL384" s="164">
        <f>IF(AND($C383=12,$D383=Input!$C$6),0,IF($E384="","",IF($B384&gt;Input!$C$9,0,$AC384)+AL385/(1+$L384)*$R384))</f>
        <v>0</v>
      </c>
      <c r="AM384" s="160">
        <f t="shared" si="111"/>
        <v>1.1382936520186004</v>
      </c>
      <c r="AN384" s="164">
        <f>IF($E384="","",IF($B384&gt;Input!$C$9,$AI384*$AC384,$AM384*$AC384))</f>
        <v>0</v>
      </c>
      <c r="AO384" s="164">
        <f>IF(AND($C383=12,$D383=Input!$C$6),0,IF($E384="","",$AN384+AO385/(1+$L384)*$R384))</f>
        <v>33609.802027073529</v>
      </c>
      <c r="AP384" s="152"/>
      <c r="AQ384" s="164">
        <f t="shared" si="112"/>
        <v>-7289.888305877088</v>
      </c>
      <c r="AR384" s="164">
        <f t="shared" si="121"/>
        <v>-6330.9701620092665</v>
      </c>
      <c r="AS384" s="164">
        <f t="shared" si="122"/>
        <v>1307.1770334928231</v>
      </c>
      <c r="AT384" s="164">
        <f t="shared" si="113"/>
        <v>1307.1770334928231</v>
      </c>
      <c r="AU384" s="152"/>
      <c r="AV384" s="147">
        <f>'Deterministic Reserve'!BC384</f>
        <v>1.8581044973595813E-2</v>
      </c>
      <c r="AW384" s="164">
        <f t="shared" si="114"/>
        <v>1307.1770334928231</v>
      </c>
      <c r="AX384" s="164">
        <f t="shared" si="115"/>
        <v>24.288715247781706</v>
      </c>
      <c r="AY384" s="152"/>
    </row>
    <row r="385" spans="1:51" s="150" customFormat="1" x14ac:dyDescent="0.25">
      <c r="A385" s="150">
        <f t="shared" si="123"/>
        <v>381</v>
      </c>
      <c r="B385" s="150">
        <f t="shared" si="124"/>
        <v>32</v>
      </c>
      <c r="C385" s="150">
        <f t="shared" si="125"/>
        <v>9</v>
      </c>
      <c r="D385" s="150">
        <f>IF(E385="","",Input!$C$4+B385-1)</f>
        <v>76</v>
      </c>
      <c r="E385" s="150">
        <f>IF(OR(AND(C384=12,D384=Input!$C$6),E384=""),"",1)</f>
        <v>1</v>
      </c>
      <c r="F385" s="150">
        <f>IF(E385="","",Input!$C$8+B385-1)</f>
        <v>2049</v>
      </c>
      <c r="G385" s="151">
        <f>IF(E385="","",MAX(0,Input!$C$9-B385))</f>
        <v>0</v>
      </c>
      <c r="H385" s="152">
        <f>IF(E385="","",Input!$C$3)</f>
        <v>100000</v>
      </c>
      <c r="I385" s="153">
        <f>IF(E385="","",HLOOKUP($B385,Input!$C$13:$BT$14,2))</f>
        <v>66.934000000000012</v>
      </c>
      <c r="J385" s="154"/>
      <c r="K385" s="155">
        <f>IF($E385="","",Input!$C$57)</f>
        <v>4.4999999999999998E-2</v>
      </c>
      <c r="L385" s="155">
        <f t="shared" si="116"/>
        <v>3.6748094004368514E-3</v>
      </c>
      <c r="M385" s="147">
        <f>IF($E385="","",VLOOKUP(IF($B385&lt;=Input!$C$7,$B385,26),'Mortality Tables'!$A$72:$CA$97,IF($B385&lt;=Input!$C$7+1,Input!$C$4-16,$D385-Input!$C$7-16),0)/1000)</f>
        <v>2.7320000000000001E-2</v>
      </c>
      <c r="N385" s="147">
        <f t="shared" si="105"/>
        <v>2.305682042471946E-3</v>
      </c>
      <c r="O385" s="157">
        <f>IF($E385="","",IF($C385=12,IF($B385&lt;Input!$C$9,Input!$C$54,IF($B385=Input!$C$9,Input!$C$55,Input!$C$56)),0%))</f>
        <v>0</v>
      </c>
      <c r="P385" s="167">
        <f>IF($E385="","",IF($B385=1,Input!$C$59,IF($B385&lt;6,Input!$C$60,0%)))</f>
        <v>0</v>
      </c>
      <c r="Q385" s="162">
        <f>IF($E385="","",Input!$C$58)</f>
        <v>2.5</v>
      </c>
      <c r="R385" s="156">
        <f t="shared" si="117"/>
        <v>0.99769431795752805</v>
      </c>
      <c r="S385" s="154">
        <f t="shared" si="106"/>
        <v>1.5297650045227878E-2</v>
      </c>
      <c r="T385" s="152"/>
      <c r="U385" s="150">
        <f t="shared" si="118"/>
        <v>0</v>
      </c>
      <c r="V385" s="150">
        <f t="shared" si="119"/>
        <v>0</v>
      </c>
      <c r="W385" s="168">
        <f t="shared" si="120"/>
        <v>0</v>
      </c>
      <c r="X385" s="163">
        <f t="shared" si="107"/>
        <v>230.56820424719459</v>
      </c>
      <c r="Y385" s="152"/>
      <c r="Z385" s="164">
        <f>IF(AND($C384=12,$D384=Input!$C$6),0,IF($E385="","",V385+Z386/(1+L385)*R385))</f>
        <v>63545.032510351492</v>
      </c>
      <c r="AA385" s="164">
        <f>IF(OR($M385=1,AND($C384=12,$D384=Input!$C$6)),0,IF($E385="","",W385+(X385+AA386*$R385)/(1+$L385)))</f>
        <v>26246.582457158314</v>
      </c>
      <c r="AB385" s="160">
        <f t="shared" si="108"/>
        <v>0.825720328500681</v>
      </c>
      <c r="AC385" s="164">
        <f t="shared" si="109"/>
        <v>0</v>
      </c>
      <c r="AD385" s="164">
        <f>IF(AND($C384=12,$D384=Input!$C$6),0,IF($E385="","",$AC385+AD386/(1+$L385)*$R385))</f>
        <v>52470.425119033818</v>
      </c>
      <c r="AE385" s="152"/>
      <c r="AF385" s="164">
        <f>IF(AND($C384=12,$D384=Input!$C$6),0,IF($E385="","",IF($B385&gt;Input!$C$9,$AC385,0)+AF386/(1+$L385)*$R385))</f>
        <v>52470.425119033818</v>
      </c>
      <c r="AG385" s="164">
        <f>IF(AND($C384=12,$D384=Input!$C$6),0,IF($E385="","",(IF($B385&gt;Input!$C$9,$X385,0)+AG386)/(1+$L385)*$R385))</f>
        <v>25849.173440263567</v>
      </c>
      <c r="AH385" s="160">
        <f t="shared" si="110"/>
        <v>2.0950137211446997</v>
      </c>
      <c r="AI385" s="160">
        <f>IF($E385="","",MIN(Input!$C$61/AH385,1))</f>
        <v>0.64438718771845094</v>
      </c>
      <c r="AJ385" s="152"/>
      <c r="AK385" s="164">
        <f>IF(AND($C384=12,$D384=Input!$C$6),0,IF($E385="","",IF($B385&gt;Input!$C$9,$AC385*AI385,0)+AK386/(1+$L385)*$R385))</f>
        <v>33811.269680845748</v>
      </c>
      <c r="AL385" s="164">
        <f>IF(AND($C384=12,$D384=Input!$C$6),0,IF($E385="","",IF($B385&gt;Input!$C$9,0,$AC385)+AL386/(1+$L385)*$R385))</f>
        <v>0</v>
      </c>
      <c r="AM385" s="160">
        <f t="shared" si="111"/>
        <v>1.1382936520186004</v>
      </c>
      <c r="AN385" s="164">
        <f>IF($E385="","",IF($B385&gt;Input!$C$9,$AI385*$AC385,$AM385*$AC385))</f>
        <v>0</v>
      </c>
      <c r="AO385" s="164">
        <f>IF(AND($C384=12,$D384=Input!$C$6),0,IF($E385="","",$AN385+AO386/(1+$L385)*$R385))</f>
        <v>33811.269680845748</v>
      </c>
      <c r="AP385" s="152"/>
      <c r="AQ385" s="164">
        <f t="shared" si="112"/>
        <v>-7564.6872236874333</v>
      </c>
      <c r="AR385" s="164">
        <f t="shared" si="121"/>
        <v>-6330.9701620092665</v>
      </c>
      <c r="AS385" s="164">
        <f t="shared" si="122"/>
        <v>1307.1770334928231</v>
      </c>
      <c r="AT385" s="164">
        <f t="shared" si="113"/>
        <v>1307.1770334928231</v>
      </c>
      <c r="AU385" s="152"/>
      <c r="AV385" s="147">
        <f>'Deterministic Reserve'!BC385</f>
        <v>1.8478059571230949E-2</v>
      </c>
      <c r="AW385" s="164">
        <f t="shared" si="114"/>
        <v>1307.1770334928231</v>
      </c>
      <c r="AX385" s="164">
        <f t="shared" si="115"/>
        <v>24.154095095025337</v>
      </c>
      <c r="AY385" s="152"/>
    </row>
    <row r="386" spans="1:51" s="150" customFormat="1" x14ac:dyDescent="0.25">
      <c r="A386" s="150">
        <f t="shared" si="123"/>
        <v>382</v>
      </c>
      <c r="B386" s="150">
        <f t="shared" si="124"/>
        <v>32</v>
      </c>
      <c r="C386" s="150">
        <f t="shared" si="125"/>
        <v>10</v>
      </c>
      <c r="D386" s="150">
        <f>IF(E386="","",Input!$C$4+B386-1)</f>
        <v>76</v>
      </c>
      <c r="E386" s="150">
        <f>IF(OR(AND(C385=12,D385=Input!$C$6),E385=""),"",1)</f>
        <v>1</v>
      </c>
      <c r="F386" s="150">
        <f>IF(E386="","",Input!$C$8+B386-1)</f>
        <v>2049</v>
      </c>
      <c r="G386" s="151">
        <f>IF(E386="","",MAX(0,Input!$C$9-B386))</f>
        <v>0</v>
      </c>
      <c r="H386" s="152">
        <f>IF(E386="","",Input!$C$3)</f>
        <v>100000</v>
      </c>
      <c r="I386" s="153">
        <f>IF(E386="","",HLOOKUP($B386,Input!$C$13:$BT$14,2))</f>
        <v>66.934000000000012</v>
      </c>
      <c r="J386" s="154"/>
      <c r="K386" s="155">
        <f>IF($E386="","",Input!$C$57)</f>
        <v>4.4999999999999998E-2</v>
      </c>
      <c r="L386" s="155">
        <f t="shared" si="116"/>
        <v>3.6748094004368514E-3</v>
      </c>
      <c r="M386" s="147">
        <f>IF($E386="","",VLOOKUP(IF($B386&lt;=Input!$C$7,$B386,26),'Mortality Tables'!$A$72:$CA$97,IF($B386&lt;=Input!$C$7+1,Input!$C$4-16,$D386-Input!$C$7-16),0)/1000)</f>
        <v>2.7320000000000001E-2</v>
      </c>
      <c r="N386" s="147">
        <f t="shared" si="105"/>
        <v>2.305682042471946E-3</v>
      </c>
      <c r="O386" s="157">
        <f>IF($E386="","",IF($C386=12,IF($B386&lt;Input!$C$9,Input!$C$54,IF($B386=Input!$C$9,Input!$C$55,Input!$C$56)),0%))</f>
        <v>0</v>
      </c>
      <c r="P386" s="167">
        <f>IF($E386="","",IF($B386=1,Input!$C$59,IF($B386&lt;6,Input!$C$60,0%)))</f>
        <v>0</v>
      </c>
      <c r="Q386" s="162">
        <f>IF($E386="","",Input!$C$58)</f>
        <v>2.5</v>
      </c>
      <c r="R386" s="156">
        <f t="shared" si="117"/>
        <v>0.99769431795752805</v>
      </c>
      <c r="S386" s="154">
        <f t="shared" si="106"/>
        <v>1.5262378528226575E-2</v>
      </c>
      <c r="T386" s="152"/>
      <c r="U386" s="150">
        <f t="shared" si="118"/>
        <v>0</v>
      </c>
      <c r="V386" s="150">
        <f t="shared" si="119"/>
        <v>0</v>
      </c>
      <c r="W386" s="168">
        <f t="shared" si="120"/>
        <v>0</v>
      </c>
      <c r="X386" s="163">
        <f t="shared" si="107"/>
        <v>230.56820424719459</v>
      </c>
      <c r="Y386" s="152"/>
      <c r="Z386" s="164">
        <f>IF(AND($C385=12,$D385=Input!$C$6),0,IF($E386="","",V386+Z387/(1+L386)*R386))</f>
        <v>63925.941288047565</v>
      </c>
      <c r="AA386" s="164">
        <f>IF(OR($M386=1,AND($C385=12,$D385=Input!$C$6)),0,IF($E386="","",W386+(X386+AA387*$R386)/(1+$L386)))</f>
        <v>26172.811622613284</v>
      </c>
      <c r="AB386" s="160">
        <f t="shared" si="108"/>
        <v>0.825720328500681</v>
      </c>
      <c r="AC386" s="164">
        <f t="shared" si="109"/>
        <v>0</v>
      </c>
      <c r="AD386" s="164">
        <f>IF(AND($C385=12,$D385=Input!$C$6),0,IF($E386="","",$AC386+AD387/(1+$L386)*$R386))</f>
        <v>52784.949240081813</v>
      </c>
      <c r="AE386" s="152"/>
      <c r="AF386" s="164">
        <f>IF(AND($C385=12,$D385=Input!$C$6),0,IF($E386="","",IF($B386&gt;Input!$C$9,$AC386,0)+AF387/(1+$L386)*$R386))</f>
        <v>52784.949240081813</v>
      </c>
      <c r="AG386" s="164">
        <f>IF(AND($C385=12,$D385=Input!$C$6),0,IF($E386="","",(IF($B386&gt;Input!$C$9,$X386,0)+AG387)/(1+$L386)*$R386))</f>
        <v>25773.553257452673</v>
      </c>
      <c r="AH386" s="160">
        <f t="shared" si="110"/>
        <v>2.0950137211446997</v>
      </c>
      <c r="AI386" s="160">
        <f>IF($E386="","",MIN(Input!$C$61/AH386,1))</f>
        <v>0.64438718771845094</v>
      </c>
      <c r="AJ386" s="152"/>
      <c r="AK386" s="164">
        <f>IF(AND($C385=12,$D385=Input!$C$6),0,IF($E386="","",IF($B386&gt;Input!$C$9,$AC386*AI386,0)+AK387/(1+$L386)*$R386))</f>
        <v>34013.944994677484</v>
      </c>
      <c r="AL386" s="164">
        <f>IF(AND($C385=12,$D385=Input!$C$6),0,IF($E386="","",IF($B386&gt;Input!$C$9,0,$AC386)+AL387/(1+$L386)*$R386))</f>
        <v>0</v>
      </c>
      <c r="AM386" s="160">
        <f t="shared" si="111"/>
        <v>1.1382936520186004</v>
      </c>
      <c r="AN386" s="164">
        <f>IF($E386="","",IF($B386&gt;Input!$C$9,$AI386*$AC386,$AM386*$AC386))</f>
        <v>0</v>
      </c>
      <c r="AO386" s="164">
        <f>IF(AND($C385=12,$D385=Input!$C$6),0,IF($E386="","",$AN386+AO387/(1+$L386)*$R386))</f>
        <v>34013.944994677484</v>
      </c>
      <c r="AP386" s="152"/>
      <c r="AQ386" s="164">
        <f t="shared" si="112"/>
        <v>-7841.1333720641996</v>
      </c>
      <c r="AR386" s="164">
        <f t="shared" si="121"/>
        <v>-6330.9701620092665</v>
      </c>
      <c r="AS386" s="164">
        <f t="shared" si="122"/>
        <v>1307.1770334928231</v>
      </c>
      <c r="AT386" s="164">
        <f t="shared" si="113"/>
        <v>1307.1770334928231</v>
      </c>
      <c r="AU386" s="152"/>
      <c r="AV386" s="147">
        <f>'Deterministic Reserve'!BC386</f>
        <v>1.8375644965240311E-2</v>
      </c>
      <c r="AW386" s="164">
        <f t="shared" si="114"/>
        <v>1307.1770334928231</v>
      </c>
      <c r="AX386" s="164">
        <f t="shared" si="115"/>
        <v>24.02022107418016</v>
      </c>
      <c r="AY386" s="152"/>
    </row>
    <row r="387" spans="1:51" s="150" customFormat="1" x14ac:dyDescent="0.25">
      <c r="A387" s="150">
        <f t="shared" si="123"/>
        <v>383</v>
      </c>
      <c r="B387" s="150">
        <f t="shared" si="124"/>
        <v>32</v>
      </c>
      <c r="C387" s="150">
        <f t="shared" si="125"/>
        <v>11</v>
      </c>
      <c r="D387" s="150">
        <f>IF(E387="","",Input!$C$4+B387-1)</f>
        <v>76</v>
      </c>
      <c r="E387" s="150">
        <f>IF(OR(AND(C386=12,D386=Input!$C$6),E386=""),"",1)</f>
        <v>1</v>
      </c>
      <c r="F387" s="150">
        <f>IF(E387="","",Input!$C$8+B387-1)</f>
        <v>2049</v>
      </c>
      <c r="G387" s="151">
        <f>IF(E387="","",MAX(0,Input!$C$9-B387))</f>
        <v>0</v>
      </c>
      <c r="H387" s="152">
        <f>IF(E387="","",Input!$C$3)</f>
        <v>100000</v>
      </c>
      <c r="I387" s="153">
        <f>IF(E387="","",HLOOKUP($B387,Input!$C$13:$BT$14,2))</f>
        <v>66.934000000000012</v>
      </c>
      <c r="J387" s="154"/>
      <c r="K387" s="155">
        <f>IF($E387="","",Input!$C$57)</f>
        <v>4.4999999999999998E-2</v>
      </c>
      <c r="L387" s="155">
        <f t="shared" si="116"/>
        <v>3.6748094004368514E-3</v>
      </c>
      <c r="M387" s="147">
        <f>IF($E387="","",VLOOKUP(IF($B387&lt;=Input!$C$7,$B387,26),'Mortality Tables'!$A$72:$CA$97,IF($B387&lt;=Input!$C$7+1,Input!$C$4-16,$D387-Input!$C$7-16),0)/1000)</f>
        <v>2.7320000000000001E-2</v>
      </c>
      <c r="N387" s="147">
        <f t="shared" si="105"/>
        <v>2.305682042471946E-3</v>
      </c>
      <c r="O387" s="157">
        <f>IF($E387="","",IF($C387=12,IF($B387&lt;Input!$C$9,Input!$C$54,IF($B387=Input!$C$9,Input!$C$55,Input!$C$56)),0%))</f>
        <v>0</v>
      </c>
      <c r="P387" s="167">
        <f>IF($E387="","",IF($B387=1,Input!$C$59,IF($B387&lt;6,Input!$C$60,0%)))</f>
        <v>0</v>
      </c>
      <c r="Q387" s="162">
        <f>IF($E387="","",Input!$C$58)</f>
        <v>2.5</v>
      </c>
      <c r="R387" s="156">
        <f t="shared" si="117"/>
        <v>0.99769431795752805</v>
      </c>
      <c r="S387" s="154">
        <f t="shared" si="106"/>
        <v>1.5227188336128634E-2</v>
      </c>
      <c r="T387" s="152"/>
      <c r="U387" s="150">
        <f t="shared" si="118"/>
        <v>0</v>
      </c>
      <c r="V387" s="150">
        <f t="shared" si="119"/>
        <v>0</v>
      </c>
      <c r="W387" s="168">
        <f t="shared" si="120"/>
        <v>0</v>
      </c>
      <c r="X387" s="163">
        <f t="shared" si="107"/>
        <v>230.56820424719459</v>
      </c>
      <c r="Y387" s="152"/>
      <c r="Z387" s="164">
        <f>IF(AND($C386=12,$D386=Input!$C$6),0,IF($E387="","",V387+Z388/(1+L387)*R387))</f>
        <v>64309.133351961209</v>
      </c>
      <c r="AA387" s="164">
        <f>IF(OR($M387=1,AND($C386=12,$D386=Input!$C$6)),0,IF($E387="","",W387+(X387+AA388*$R387)/(1+$L387)))</f>
        <v>26098.598582638402</v>
      </c>
      <c r="AB387" s="160">
        <f t="shared" si="108"/>
        <v>0.825720328500681</v>
      </c>
      <c r="AC387" s="164">
        <f t="shared" si="109"/>
        <v>0</v>
      </c>
      <c r="AD387" s="164">
        <f>IF(AND($C386=12,$D386=Input!$C$6),0,IF($E387="","",$AC387+AD388/(1+$L387)*$R387))</f>
        <v>53101.358716975439</v>
      </c>
      <c r="AE387" s="152"/>
      <c r="AF387" s="164">
        <f>IF(AND($C386=12,$D386=Input!$C$6),0,IF($E387="","",IF($B387&gt;Input!$C$9,$AC387,0)+AF388/(1+$L387)*$R387))</f>
        <v>53101.358716975439</v>
      </c>
      <c r="AG387" s="164">
        <f>IF(AND($C386=12,$D386=Input!$C$6),0,IF($E387="","",(IF($B387&gt;Input!$C$9,$X387,0)+AG388)/(1+$L387)*$R387))</f>
        <v>25697.479783640651</v>
      </c>
      <c r="AH387" s="160">
        <f t="shared" si="110"/>
        <v>2.0950137211446997</v>
      </c>
      <c r="AI387" s="160">
        <f>IF($E387="","",MIN(Input!$C$61/AH387,1))</f>
        <v>0.64438718771845094</v>
      </c>
      <c r="AJ387" s="152"/>
      <c r="AK387" s="164">
        <f>IF(AND($C386=12,$D386=Input!$C$6),0,IF($E387="","",IF($B387&gt;Input!$C$9,$AC387*AI387,0)+AK388/(1+$L387)*$R387))</f>
        <v>34217.835207660435</v>
      </c>
      <c r="AL387" s="164">
        <f>IF(AND($C386=12,$D386=Input!$C$6),0,IF($E387="","",IF($B387&gt;Input!$C$9,0,$AC387)+AL388/(1+$L387)*$R387))</f>
        <v>0</v>
      </c>
      <c r="AM387" s="160">
        <f t="shared" si="111"/>
        <v>1.1382936520186004</v>
      </c>
      <c r="AN387" s="164">
        <f>IF($E387="","",IF($B387&gt;Input!$C$9,$AI387*$AC387,$AM387*$AC387))</f>
        <v>0</v>
      </c>
      <c r="AO387" s="164">
        <f>IF(AND($C386=12,$D386=Input!$C$6),0,IF($E387="","",$AN387+AO388/(1+$L387)*$R387))</f>
        <v>34217.835207660435</v>
      </c>
      <c r="AP387" s="152"/>
      <c r="AQ387" s="164">
        <f t="shared" si="112"/>
        <v>-8119.236625022033</v>
      </c>
      <c r="AR387" s="164">
        <f t="shared" si="121"/>
        <v>-6330.9701620092665</v>
      </c>
      <c r="AS387" s="164">
        <f t="shared" si="122"/>
        <v>1307.1770334928231</v>
      </c>
      <c r="AT387" s="164">
        <f t="shared" si="113"/>
        <v>1307.1770334928231</v>
      </c>
      <c r="AU387" s="152"/>
      <c r="AV387" s="147">
        <f>'Deterministic Reserve'!BC387</f>
        <v>1.8273797991986206E-2</v>
      </c>
      <c r="AW387" s="164">
        <f t="shared" si="114"/>
        <v>1307.1770334928231</v>
      </c>
      <c r="AX387" s="164">
        <f t="shared" si="115"/>
        <v>23.887089049811635</v>
      </c>
      <c r="AY387" s="152"/>
    </row>
    <row r="388" spans="1:51" s="150" customFormat="1" x14ac:dyDescent="0.25">
      <c r="A388" s="150">
        <f t="shared" si="123"/>
        <v>384</v>
      </c>
      <c r="B388" s="150">
        <f t="shared" si="124"/>
        <v>32</v>
      </c>
      <c r="C388" s="150">
        <f t="shared" si="125"/>
        <v>12</v>
      </c>
      <c r="D388" s="150">
        <f>IF(E388="","",Input!$C$4+B388-1)</f>
        <v>76</v>
      </c>
      <c r="E388" s="150">
        <f>IF(OR(AND(C387=12,D387=Input!$C$6),E387=""),"",1)</f>
        <v>1</v>
      </c>
      <c r="F388" s="150">
        <f>IF(E388="","",Input!$C$8+B388-1)</f>
        <v>2049</v>
      </c>
      <c r="G388" s="151">
        <f>IF(E388="","",MAX(0,Input!$C$9-B388))</f>
        <v>0</v>
      </c>
      <c r="H388" s="152">
        <f>IF(E388="","",Input!$C$3)</f>
        <v>100000</v>
      </c>
      <c r="I388" s="153">
        <f>IF(E388="","",HLOOKUP($B388,Input!$C$13:$BT$14,2))</f>
        <v>66.934000000000012</v>
      </c>
      <c r="J388" s="154"/>
      <c r="K388" s="155">
        <f>IF($E388="","",Input!$C$57)</f>
        <v>4.4999999999999998E-2</v>
      </c>
      <c r="L388" s="155">
        <f t="shared" si="116"/>
        <v>3.6748094004368514E-3</v>
      </c>
      <c r="M388" s="147">
        <f>IF($E388="","",VLOOKUP(IF($B388&lt;=Input!$C$7,$B388,26),'Mortality Tables'!$A$72:$CA$97,IF($B388&lt;=Input!$C$7+1,Input!$C$4-16,$D388-Input!$C$7-16),0)/1000)</f>
        <v>2.7320000000000001E-2</v>
      </c>
      <c r="N388" s="147">
        <f t="shared" si="105"/>
        <v>2.305682042471946E-3</v>
      </c>
      <c r="O388" s="157">
        <f>IF($E388="","",IF($C388=12,IF($B388&lt;Input!$C$9,Input!$C$54,IF($B388=Input!$C$9,Input!$C$55,Input!$C$56)),0%))</f>
        <v>0.1</v>
      </c>
      <c r="P388" s="167">
        <f>IF($E388="","",IF($B388=1,Input!$C$59,IF($B388&lt;6,Input!$C$60,0%)))</f>
        <v>0</v>
      </c>
      <c r="Q388" s="162">
        <f>IF($E388="","",Input!$C$58)</f>
        <v>2.5</v>
      </c>
      <c r="R388" s="156">
        <f t="shared" si="117"/>
        <v>0.89769431795752808</v>
      </c>
      <c r="S388" s="154">
        <f t="shared" si="106"/>
        <v>1.3669360447811821E-2</v>
      </c>
      <c r="T388" s="152"/>
      <c r="U388" s="150">
        <f t="shared" si="118"/>
        <v>0</v>
      </c>
      <c r="V388" s="150">
        <f t="shared" si="119"/>
        <v>0</v>
      </c>
      <c r="W388" s="168">
        <f t="shared" si="120"/>
        <v>0</v>
      </c>
      <c r="X388" s="163">
        <f t="shared" si="107"/>
        <v>230.56820424719459</v>
      </c>
      <c r="Y388" s="152"/>
      <c r="Z388" s="164">
        <f>IF(AND($C387=12,$D387=Input!$C$6),0,IF($E388="","",V388+Z389/(1+L388)*R388))</f>
        <v>64694.622388823358</v>
      </c>
      <c r="AA388" s="164">
        <f>IF(OR($M388=1,AND($C387=12,$D387=Input!$C$6)),0,IF($E388="","",W388+(X388+AA389*$R388)/(1+$L388)))</f>
        <v>26023.940686516169</v>
      </c>
      <c r="AB388" s="160">
        <f t="shared" si="108"/>
        <v>0.825720328500681</v>
      </c>
      <c r="AC388" s="164">
        <f t="shared" si="109"/>
        <v>0</v>
      </c>
      <c r="AD388" s="164">
        <f>IF(AND($C387=12,$D387=Input!$C$6),0,IF($E388="","",$AC388+AD389/(1+$L388)*$R388))</f>
        <v>53419.664851126661</v>
      </c>
      <c r="AE388" s="152"/>
      <c r="AF388" s="164">
        <f>IF(AND($C387=12,$D387=Input!$C$6),0,IF($E388="","",IF($B388&gt;Input!$C$9,$AC388,0)+AF389/(1+$L388)*$R388))</f>
        <v>53419.664851126661</v>
      </c>
      <c r="AG388" s="164">
        <f>IF(AND($C387=12,$D387=Input!$C$6),0,IF($E388="","",(IF($B388&gt;Input!$C$9,$X388,0)+AG389)/(1+$L388)*$R388))</f>
        <v>25620.950301659614</v>
      </c>
      <c r="AH388" s="160">
        <f t="shared" si="110"/>
        <v>2.0950137211446997</v>
      </c>
      <c r="AI388" s="160">
        <f>IF($E388="","",MIN(Input!$C$61/AH388,1))</f>
        <v>0.64438718771845094</v>
      </c>
      <c r="AJ388" s="152"/>
      <c r="AK388" s="164">
        <f>IF(AND($C387=12,$D387=Input!$C$6),0,IF($E388="","",IF($B388&gt;Input!$C$9,$AC388*AI388,0)+AK389/(1+$L388)*$R388))</f>
        <v>34422.947602279673</v>
      </c>
      <c r="AL388" s="164">
        <f>IF(AND($C387=12,$D387=Input!$C$6),0,IF($E388="","",IF($B388&gt;Input!$C$9,0,$AC388)+AL389/(1+$L388)*$R388))</f>
        <v>0</v>
      </c>
      <c r="AM388" s="160">
        <f t="shared" si="111"/>
        <v>1.1382936520186004</v>
      </c>
      <c r="AN388" s="164">
        <f>IF($E388="","",IF($B388&gt;Input!$C$9,$AI388*$AC388,$AM388*$AC388))</f>
        <v>0</v>
      </c>
      <c r="AO388" s="164">
        <f>IF(AND($C387=12,$D387=Input!$C$6),0,IF($E388="","",$AN388+AO389/(1+$L388)*$R388))</f>
        <v>34422.947602279673</v>
      </c>
      <c r="AP388" s="152"/>
      <c r="AQ388" s="164">
        <f t="shared" si="112"/>
        <v>-8399.0069157635044</v>
      </c>
      <c r="AR388" s="164">
        <f t="shared" si="121"/>
        <v>-6330.9701620092665</v>
      </c>
      <c r="AS388" s="164">
        <f t="shared" si="122"/>
        <v>1307.1770334928231</v>
      </c>
      <c r="AT388" s="164">
        <f t="shared" si="113"/>
        <v>1307.1770334928231</v>
      </c>
      <c r="AU388" s="152"/>
      <c r="AV388" s="147">
        <f>'Deterministic Reserve'!BC388</f>
        <v>1.6345135706166775E-2</v>
      </c>
      <c r="AW388" s="164">
        <f t="shared" si="114"/>
        <v>1307.1770334928231</v>
      </c>
      <c r="AX388" s="164">
        <f t="shared" si="115"/>
        <v>21.365986004424705</v>
      </c>
      <c r="AY388" s="152"/>
    </row>
    <row r="389" spans="1:51" s="150" customFormat="1" x14ac:dyDescent="0.25">
      <c r="A389" s="150">
        <f t="shared" si="123"/>
        <v>385</v>
      </c>
      <c r="B389" s="150">
        <f t="shared" si="124"/>
        <v>33</v>
      </c>
      <c r="C389" s="150">
        <f t="shared" si="125"/>
        <v>1</v>
      </c>
      <c r="D389" s="150">
        <f>IF(E389="","",Input!$C$4+B389-1)</f>
        <v>77</v>
      </c>
      <c r="E389" s="150">
        <f>IF(OR(AND(C388=12,D388=Input!$C$6),E388=""),"",1)</f>
        <v>1</v>
      </c>
      <c r="F389" s="150">
        <f>IF(E389="","",Input!$C$8+B389-1)</f>
        <v>2050</v>
      </c>
      <c r="G389" s="151">
        <f>IF(E389="","",MAX(0,Input!$C$9-B389))</f>
        <v>0</v>
      </c>
      <c r="H389" s="152">
        <f>IF(E389="","",Input!$C$3)</f>
        <v>100000</v>
      </c>
      <c r="I389" s="153">
        <f>IF(E389="","",HLOOKUP($B389,Input!$C$13:$BT$14,2))</f>
        <v>75.239500000000007</v>
      </c>
      <c r="J389" s="154"/>
      <c r="K389" s="155">
        <f>IF($E389="","",Input!$C$57)</f>
        <v>4.4999999999999998E-2</v>
      </c>
      <c r="L389" s="155">
        <f t="shared" si="116"/>
        <v>3.6748094004368514E-3</v>
      </c>
      <c r="M389" s="147">
        <f>IF($E389="","",VLOOKUP(IF($B389&lt;=Input!$C$7,$B389,26),'Mortality Tables'!$A$72:$CA$97,IF($B389&lt;=Input!$C$7+1,Input!$C$4-16,$D389-Input!$C$7-16),0)/1000)</f>
        <v>3.0710000000000001E-2</v>
      </c>
      <c r="N389" s="147">
        <f t="shared" ref="N389:N452" si="126">IF($E389="","",1-(1-M389)^(1/12))</f>
        <v>2.5959109690260052E-3</v>
      </c>
      <c r="O389" s="157">
        <f>IF($E389="","",IF($C389=12,IF($B389&lt;Input!$C$9,Input!$C$54,IF($B389=Input!$C$9,Input!$C$55,Input!$C$56)),0%))</f>
        <v>0</v>
      </c>
      <c r="P389" s="167">
        <f>IF($E389="","",IF($B389=1,Input!$C$59,IF($B389&lt;6,Input!$C$60,0%)))</f>
        <v>0</v>
      </c>
      <c r="Q389" s="162">
        <f>IF($E389="","",Input!$C$58)</f>
        <v>2.5</v>
      </c>
      <c r="R389" s="156">
        <f t="shared" si="117"/>
        <v>0.99740408903097399</v>
      </c>
      <c r="S389" s="154">
        <f t="shared" ref="S389:S452" si="127">IF($E389="","",IF(AND($B389=1,$C389=1),1,S388*R389))</f>
        <v>1.3633876005085775E-2</v>
      </c>
      <c r="T389" s="152"/>
      <c r="U389" s="150">
        <f t="shared" si="118"/>
        <v>7523.9500000000007</v>
      </c>
      <c r="V389" s="150">
        <f t="shared" si="119"/>
        <v>7523.9500000000007</v>
      </c>
      <c r="W389" s="168">
        <f t="shared" si="120"/>
        <v>0</v>
      </c>
      <c r="X389" s="163">
        <f t="shared" ref="X389:X452" si="128">IF($E389="","",N389*$H389)</f>
        <v>259.5910969026005</v>
      </c>
      <c r="Y389" s="152"/>
      <c r="Z389" s="164">
        <f>IF(AND($C388=12,$D388=Input!$C$6),0,IF($E389="","",V389+Z390/(1+L389)*R389))</f>
        <v>72332.375839330663</v>
      </c>
      <c r="AA389" s="164">
        <f>IF(OR($M389=1,AND($C388=12,$D388=Input!$C$6)),0,IF($E389="","",W389+(X389+AA390*$R389)/(1+$L389)))</f>
        <v>28839.444548389201</v>
      </c>
      <c r="AB389" s="160">
        <f t="shared" ref="AB389:AB452" si="129">IF($E389="","",$AA$5/$Z$5)</f>
        <v>0.825720328500681</v>
      </c>
      <c r="AC389" s="164">
        <f t="shared" ref="AC389:AC452" si="130">IF($E389="","",V389*AB389)</f>
        <v>6212.6784656226992</v>
      </c>
      <c r="AD389" s="164">
        <f>IF(AND($C388=12,$D388=Input!$C$6),0,IF($E389="","",$AC389+AD390/(1+$L389)*$R389))</f>
        <v>59726.313139286751</v>
      </c>
      <c r="AE389" s="152"/>
      <c r="AF389" s="164">
        <f>IF(AND($C388=12,$D388=Input!$C$6),0,IF($E389="","",IF($B389&gt;Input!$C$9,$AC389,0)+AF390/(1+$L389)*$R389))</f>
        <v>59726.313139286751</v>
      </c>
      <c r="AG389" s="164">
        <f>IF(AND($C388=12,$D388=Input!$C$6),0,IF($E389="","",(IF($B389&gt;Input!$C$9,$X389,0)+AG390)/(1+$L389)*$R389))</f>
        <v>28415.154394492609</v>
      </c>
      <c r="AH389" s="160">
        <f t="shared" ref="AH389:AH452" si="131">IF($E389="","",$AF$5/$AG$5)</f>
        <v>2.0950137211446997</v>
      </c>
      <c r="AI389" s="160">
        <f>IF($E389="","",MIN(Input!$C$61/AH389,1))</f>
        <v>0.64438718771845094</v>
      </c>
      <c r="AJ389" s="152"/>
      <c r="AK389" s="164">
        <f>IF(AND($C388=12,$D388=Input!$C$6),0,IF($E389="","",IF($B389&gt;Input!$C$9,$AC389*AI389,0)+AK390/(1+$L389)*$R389))</f>
        <v>38486.870956616534</v>
      </c>
      <c r="AL389" s="164">
        <f>IF(AND($C388=12,$D388=Input!$C$6),0,IF($E389="","",IF($B389&gt;Input!$C$9,0,$AC389)+AL390/(1+$L389)*$R389))</f>
        <v>0</v>
      </c>
      <c r="AM389" s="160">
        <f t="shared" ref="AM389:AM452" si="132">IF($E389="","",($AD$5-$AK$5)/$AL$5)</f>
        <v>1.1382936520186004</v>
      </c>
      <c r="AN389" s="164">
        <f>IF($E389="","",IF($B389&gt;Input!$C$9,$AI389*$AC389,$AM389*$AC389))</f>
        <v>4003.3704046615921</v>
      </c>
      <c r="AO389" s="164">
        <f>IF(AND($C388=12,$D388=Input!$C$6),0,IF($E389="","",$AN389+AO390/(1+$L389)*$R389))</f>
        <v>38486.870956616534</v>
      </c>
      <c r="AP389" s="152"/>
      <c r="AQ389" s="164">
        <f t="shared" ref="AQ389:AQ452" si="133">IF($E389="","",$AA389-$AO389)</f>
        <v>-9647.426408227333</v>
      </c>
      <c r="AR389" s="164">
        <f t="shared" si="121"/>
        <v>-6698.587669442788</v>
      </c>
      <c r="AS389" s="164">
        <f t="shared" si="122"/>
        <v>1469.377990430622</v>
      </c>
      <c r="AT389" s="164">
        <f t="shared" ref="AT389:AT452" si="134">IF($E389="","",MAX($AR389,$AS389))</f>
        <v>1469.377990430622</v>
      </c>
      <c r="AU389" s="152"/>
      <c r="AV389" s="147">
        <f>'Deterministic Reserve'!BC389</f>
        <v>1.6243353162490062E-2</v>
      </c>
      <c r="AW389" s="164">
        <f t="shared" ref="AW389:AW452" si="135">IF($E389="","",$AT389)</f>
        <v>1469.377990430622</v>
      </c>
      <c r="AX389" s="164">
        <f t="shared" ref="AX389:AX452" si="136">IF($E389="","",AV389*AW389)</f>
        <v>23.867625627754535</v>
      </c>
      <c r="AY389" s="152"/>
    </row>
    <row r="390" spans="1:51" s="150" customFormat="1" x14ac:dyDescent="0.25">
      <c r="A390" s="150">
        <f t="shared" si="123"/>
        <v>386</v>
      </c>
      <c r="B390" s="150">
        <f t="shared" si="124"/>
        <v>33</v>
      </c>
      <c r="C390" s="150">
        <f t="shared" si="125"/>
        <v>2</v>
      </c>
      <c r="D390" s="150">
        <f>IF(E390="","",Input!$C$4+B390-1)</f>
        <v>77</v>
      </c>
      <c r="E390" s="150">
        <f>IF(OR(AND(C389=12,D389=Input!$C$6),E389=""),"",1)</f>
        <v>1</v>
      </c>
      <c r="F390" s="150">
        <f>IF(E390="","",Input!$C$8+B390-1)</f>
        <v>2050</v>
      </c>
      <c r="G390" s="151">
        <f>IF(E390="","",MAX(0,Input!$C$9-B390))</f>
        <v>0</v>
      </c>
      <c r="H390" s="152">
        <f>IF(E390="","",Input!$C$3)</f>
        <v>100000</v>
      </c>
      <c r="I390" s="153">
        <f>IF(E390="","",HLOOKUP($B390,Input!$C$13:$BT$14,2))</f>
        <v>75.239500000000007</v>
      </c>
      <c r="J390" s="154"/>
      <c r="K390" s="155">
        <f>IF($E390="","",Input!$C$57)</f>
        <v>4.4999999999999998E-2</v>
      </c>
      <c r="L390" s="155">
        <f t="shared" ref="L390:L453" si="137">IF($E390="","",(1+K390)^(1/12)-1)</f>
        <v>3.6748094004368514E-3</v>
      </c>
      <c r="M390" s="147">
        <f>IF($E390="","",VLOOKUP(IF($B390&lt;=Input!$C$7,$B390,26),'Mortality Tables'!$A$72:$CA$97,IF($B390&lt;=Input!$C$7+1,Input!$C$4-16,$D390-Input!$C$7-16),0)/1000)</f>
        <v>3.0710000000000001E-2</v>
      </c>
      <c r="N390" s="147">
        <f t="shared" si="126"/>
        <v>2.5959109690260052E-3</v>
      </c>
      <c r="O390" s="157">
        <f>IF($E390="","",IF($C390=12,IF($B390&lt;Input!$C$9,Input!$C$54,IF($B390=Input!$C$9,Input!$C$55,Input!$C$56)),0%))</f>
        <v>0</v>
      </c>
      <c r="P390" s="167">
        <f>IF($E390="","",IF($B390=1,Input!$C$59,IF($B390&lt;6,Input!$C$60,0%)))</f>
        <v>0</v>
      </c>
      <c r="Q390" s="162">
        <f>IF($E390="","",Input!$C$58)</f>
        <v>2.5</v>
      </c>
      <c r="R390" s="156">
        <f t="shared" ref="R390:R453" si="138">IF($E390="","",MAX(1-N390-O390,0))</f>
        <v>0.99740408903097399</v>
      </c>
      <c r="S390" s="154">
        <f t="shared" si="127"/>
        <v>1.3598483676813832E-2</v>
      </c>
      <c r="T390" s="152"/>
      <c r="U390" s="150">
        <f t="shared" ref="U390:U453" si="139">IF($E390="","",IF($C390=1,$I390*$H390/1000,0))</f>
        <v>0</v>
      </c>
      <c r="V390" s="150">
        <f t="shared" ref="V390:V453" si="140">IF($E390="","",U390*(1-$P390))</f>
        <v>0</v>
      </c>
      <c r="W390" s="168">
        <f t="shared" ref="W390:W453" si="141">IF($E390="","",IF(AND($B390=1,$C390=1),$Q390*$H390/1000,0))</f>
        <v>0</v>
      </c>
      <c r="X390" s="163">
        <f t="shared" si="128"/>
        <v>259.5910969026005</v>
      </c>
      <c r="Y390" s="152"/>
      <c r="Z390" s="164">
        <f>IF(AND($C389=12,$D389=Input!$C$6),0,IF($E390="","",V390+Z391/(1+L390)*R390))</f>
        <v>65215.879067658963</v>
      </c>
      <c r="AA390" s="164">
        <f>IF(OR($M390=1,AND($C389=12,$D389=Input!$C$6)),0,IF($E390="","",W390+(X390+AA391*$R390)/(1+$L390)))</f>
        <v>28760.492591609549</v>
      </c>
      <c r="AB390" s="160">
        <f t="shared" si="129"/>
        <v>0.825720328500681</v>
      </c>
      <c r="AC390" s="164">
        <f t="shared" si="130"/>
        <v>0</v>
      </c>
      <c r="AD390" s="164">
        <f>IF(AND($C389=12,$D389=Input!$C$6),0,IF($E390="","",$AC390+AD391/(1+$L390)*$R390))</f>
        <v>53850.077087207959</v>
      </c>
      <c r="AE390" s="152"/>
      <c r="AF390" s="164">
        <f>IF(AND($C389=12,$D389=Input!$C$6),0,IF($E390="","",IF($B390&gt;Input!$C$9,$AC390,0)+AF391/(1+$L390)*$R390))</f>
        <v>53850.077087207959</v>
      </c>
      <c r="AG390" s="164">
        <f>IF(AND($C389=12,$D389=Input!$C$6),0,IF($E390="","",(IF($B390&gt;Input!$C$9,$X390,0)+AG391)/(1+$L390)*$R390))</f>
        <v>28334.210537382347</v>
      </c>
      <c r="AH390" s="160">
        <f t="shared" si="131"/>
        <v>2.0950137211446997</v>
      </c>
      <c r="AI390" s="160">
        <f>IF($E390="","",MIN(Input!$C$61/AH390,1))</f>
        <v>0.64438718771845094</v>
      </c>
      <c r="AJ390" s="152"/>
      <c r="AK390" s="164">
        <f>IF(AND($C389=12,$D389=Input!$C$6),0,IF($E390="","",IF($B390&gt;Input!$C$9,$AC390*AI390,0)+AK391/(1+$L390)*$R390))</f>
        <v>34700.299732647705</v>
      </c>
      <c r="AL390" s="164">
        <f>IF(AND($C389=12,$D389=Input!$C$6),0,IF($E390="","",IF($B390&gt;Input!$C$9,0,$AC390)+AL391/(1+$L390)*$R390))</f>
        <v>0</v>
      </c>
      <c r="AM390" s="160">
        <f t="shared" si="132"/>
        <v>1.1382936520186004</v>
      </c>
      <c r="AN390" s="164">
        <f>IF($E390="","",IF($B390&gt;Input!$C$9,$AI390*$AC390,$AM390*$AC390))</f>
        <v>0</v>
      </c>
      <c r="AO390" s="164">
        <f>IF(AND($C389=12,$D389=Input!$C$6),0,IF($E390="","",$AN390+AO391/(1+$L390)*$R390))</f>
        <v>34700.299732647705</v>
      </c>
      <c r="AP390" s="152"/>
      <c r="AQ390" s="164">
        <f t="shared" si="133"/>
        <v>-5939.8071410381563</v>
      </c>
      <c r="AR390" s="164">
        <f t="shared" ref="AR390:AR453" si="142">IF($E390="","",IF($M390=1,0,0.5*(IF($B390=1,0,SUMIFS($AQ:$AQ,$B:$B,$B390-1,$C:$C,12))+SUMIFS($AN:$AN,$B:$B,$B390,$C:$C,1)+SUMIFS($AQ:$AQ,$B:$B,$B390,$C:$C,12))))</f>
        <v>-6698.587669442788</v>
      </c>
      <c r="AS390" s="164">
        <f t="shared" ref="AS390:AS453" si="143">IF($E390="","",IF($M390=1,0,0.5*$M390*$H390/(1+$K390)))</f>
        <v>1469.377990430622</v>
      </c>
      <c r="AT390" s="164">
        <f t="shared" si="134"/>
        <v>1469.377990430622</v>
      </c>
      <c r="AU390" s="152"/>
      <c r="AV390" s="147">
        <f>'Deterministic Reserve'!BC390</f>
        <v>1.6142204427328832E-2</v>
      </c>
      <c r="AW390" s="164">
        <f t="shared" si="135"/>
        <v>1469.377990430622</v>
      </c>
      <c r="AX390" s="164">
        <f t="shared" si="136"/>
        <v>23.718999902548731</v>
      </c>
      <c r="AY390" s="152"/>
    </row>
    <row r="391" spans="1:51" s="150" customFormat="1" x14ac:dyDescent="0.25">
      <c r="A391" s="150">
        <f t="shared" ref="A391:A454" si="144">IF(E391="","",A390+1)</f>
        <v>387</v>
      </c>
      <c r="B391" s="150">
        <f t="shared" ref="B391:B454" si="145">IF(E391="","",IF(C390+1&gt;12,B390+1,B390))</f>
        <v>33</v>
      </c>
      <c r="C391" s="150">
        <f t="shared" ref="C391:C454" si="146">IF(E391="","",IF(C390+1&gt;12,1,C390+1))</f>
        <v>3</v>
      </c>
      <c r="D391" s="150">
        <f>IF(E391="","",Input!$C$4+B391-1)</f>
        <v>77</v>
      </c>
      <c r="E391" s="150">
        <f>IF(OR(AND(C390=12,D390=Input!$C$6),E390=""),"",1)</f>
        <v>1</v>
      </c>
      <c r="F391" s="150">
        <f>IF(E391="","",Input!$C$8+B391-1)</f>
        <v>2050</v>
      </c>
      <c r="G391" s="151">
        <f>IF(E391="","",MAX(0,Input!$C$9-B391))</f>
        <v>0</v>
      </c>
      <c r="H391" s="152">
        <f>IF(E391="","",Input!$C$3)</f>
        <v>100000</v>
      </c>
      <c r="I391" s="153">
        <f>IF(E391="","",HLOOKUP($B391,Input!$C$13:$BT$14,2))</f>
        <v>75.239500000000007</v>
      </c>
      <c r="J391" s="154"/>
      <c r="K391" s="155">
        <f>IF($E391="","",Input!$C$57)</f>
        <v>4.4999999999999998E-2</v>
      </c>
      <c r="L391" s="155">
        <f t="shared" si="137"/>
        <v>3.6748094004368514E-3</v>
      </c>
      <c r="M391" s="147">
        <f>IF($E391="","",VLOOKUP(IF($B391&lt;=Input!$C$7,$B391,26),'Mortality Tables'!$A$72:$CA$97,IF($B391&lt;=Input!$C$7+1,Input!$C$4-16,$D391-Input!$C$7-16),0)/1000)</f>
        <v>3.0710000000000001E-2</v>
      </c>
      <c r="N391" s="147">
        <f t="shared" si="126"/>
        <v>2.5959109690260052E-3</v>
      </c>
      <c r="O391" s="157">
        <f>IF($E391="","",IF($C391=12,IF($B391&lt;Input!$C$9,Input!$C$54,IF($B391=Input!$C$9,Input!$C$55,Input!$C$56)),0%))</f>
        <v>0</v>
      </c>
      <c r="P391" s="167">
        <f>IF($E391="","",IF($B391=1,Input!$C$59,IF($B391&lt;6,Input!$C$60,0%)))</f>
        <v>0</v>
      </c>
      <c r="Q391" s="162">
        <f>IF($E391="","",Input!$C$58)</f>
        <v>2.5</v>
      </c>
      <c r="R391" s="156">
        <f t="shared" si="138"/>
        <v>0.99740408903097399</v>
      </c>
      <c r="S391" s="154">
        <f t="shared" si="127"/>
        <v>1.3563183223875071E-2</v>
      </c>
      <c r="T391" s="152"/>
      <c r="U391" s="150">
        <f t="shared" si="139"/>
        <v>0</v>
      </c>
      <c r="V391" s="150">
        <f t="shared" si="140"/>
        <v>0</v>
      </c>
      <c r="W391" s="168">
        <f t="shared" si="141"/>
        <v>0</v>
      </c>
      <c r="X391" s="163">
        <f t="shared" si="128"/>
        <v>259.5910969026005</v>
      </c>
      <c r="Y391" s="152"/>
      <c r="Z391" s="164">
        <f>IF(AND($C390=12,$D390=Input!$C$6),0,IF($E391="","",V391+Z392/(1+L391)*R391))</f>
        <v>65625.893971126337</v>
      </c>
      <c r="AA391" s="164">
        <f>IF(OR($M391=1,AND($C390=12,$D390=Input!$C$6)),0,IF($E391="","",W391+(X391+AA392*$R391)/(1+$L391)))</f>
        <v>28681.044260643113</v>
      </c>
      <c r="AB391" s="160">
        <f t="shared" si="129"/>
        <v>0.825720328500681</v>
      </c>
      <c r="AC391" s="164">
        <f t="shared" si="130"/>
        <v>0</v>
      </c>
      <c r="AD391" s="164">
        <f>IF(AND($C390=12,$D390=Input!$C$6),0,IF($E391="","",$AC391+AD392/(1+$L391)*$R391))</f>
        <v>54188.634727989207</v>
      </c>
      <c r="AE391" s="152"/>
      <c r="AF391" s="164">
        <f>IF(AND($C390=12,$D390=Input!$C$6),0,IF($E391="","",IF($B391&gt;Input!$C$9,$AC391,0)+AF392/(1+$L391)*$R391))</f>
        <v>54188.634727989207</v>
      </c>
      <c r="AG391" s="164">
        <f>IF(AND($C390=12,$D390=Input!$C$6),0,IF($E391="","",(IF($B391&gt;Input!$C$9,$X391,0)+AG392)/(1+$L391)*$R391))</f>
        <v>28252.757782926321</v>
      </c>
      <c r="AH391" s="160">
        <f t="shared" si="131"/>
        <v>2.0950137211446997</v>
      </c>
      <c r="AI391" s="160">
        <f>IF($E391="","",MIN(Input!$C$61/AH391,1))</f>
        <v>0.64438718771845094</v>
      </c>
      <c r="AJ391" s="152"/>
      <c r="AK391" s="164">
        <f>IF(AND($C390=12,$D390=Input!$C$6),0,IF($E391="","",IF($B391&gt;Input!$C$9,$AC391*AI391,0)+AK392/(1+$L391)*$R391))</f>
        <v>34918.461938671324</v>
      </c>
      <c r="AL391" s="164">
        <f>IF(AND($C390=12,$D390=Input!$C$6),0,IF($E391="","",IF($B391&gt;Input!$C$9,0,$AC391)+AL392/(1+$L391)*$R391))</f>
        <v>0</v>
      </c>
      <c r="AM391" s="160">
        <f t="shared" si="132"/>
        <v>1.1382936520186004</v>
      </c>
      <c r="AN391" s="164">
        <f>IF($E391="","",IF($B391&gt;Input!$C$9,$AI391*$AC391,$AM391*$AC391))</f>
        <v>0</v>
      </c>
      <c r="AO391" s="164">
        <f>IF(AND($C390=12,$D390=Input!$C$6),0,IF($E391="","",$AN391+AO392/(1+$L391)*$R391))</f>
        <v>34918.461938671324</v>
      </c>
      <c r="AP391" s="152"/>
      <c r="AQ391" s="164">
        <f t="shared" si="133"/>
        <v>-6237.4176780282105</v>
      </c>
      <c r="AR391" s="164">
        <f t="shared" si="142"/>
        <v>-6698.587669442788</v>
      </c>
      <c r="AS391" s="164">
        <f t="shared" si="143"/>
        <v>1469.377990430622</v>
      </c>
      <c r="AT391" s="164">
        <f t="shared" si="134"/>
        <v>1469.377990430622</v>
      </c>
      <c r="AU391" s="152"/>
      <c r="AV391" s="147">
        <f>'Deterministic Reserve'!BC391</f>
        <v>1.6041685553903808E-2</v>
      </c>
      <c r="AW391" s="164">
        <f t="shared" si="135"/>
        <v>1469.377990430622</v>
      </c>
      <c r="AX391" s="164">
        <f t="shared" si="136"/>
        <v>23.571299682315118</v>
      </c>
      <c r="AY391" s="152"/>
    </row>
    <row r="392" spans="1:51" s="150" customFormat="1" x14ac:dyDescent="0.25">
      <c r="A392" s="150">
        <f t="shared" si="144"/>
        <v>388</v>
      </c>
      <c r="B392" s="150">
        <f t="shared" si="145"/>
        <v>33</v>
      </c>
      <c r="C392" s="150">
        <f t="shared" si="146"/>
        <v>4</v>
      </c>
      <c r="D392" s="150">
        <f>IF(E392="","",Input!$C$4+B392-1)</f>
        <v>77</v>
      </c>
      <c r="E392" s="150">
        <f>IF(OR(AND(C391=12,D391=Input!$C$6),E391=""),"",1)</f>
        <v>1</v>
      </c>
      <c r="F392" s="150">
        <f>IF(E392="","",Input!$C$8+B392-1)</f>
        <v>2050</v>
      </c>
      <c r="G392" s="151">
        <f>IF(E392="","",MAX(0,Input!$C$9-B392))</f>
        <v>0</v>
      </c>
      <c r="H392" s="152">
        <f>IF(E392="","",Input!$C$3)</f>
        <v>100000</v>
      </c>
      <c r="I392" s="153">
        <f>IF(E392="","",HLOOKUP($B392,Input!$C$13:$BT$14,2))</f>
        <v>75.239500000000007</v>
      </c>
      <c r="J392" s="154"/>
      <c r="K392" s="155">
        <f>IF($E392="","",Input!$C$57)</f>
        <v>4.4999999999999998E-2</v>
      </c>
      <c r="L392" s="155">
        <f t="shared" si="137"/>
        <v>3.6748094004368514E-3</v>
      </c>
      <c r="M392" s="147">
        <f>IF($E392="","",VLOOKUP(IF($B392&lt;=Input!$C$7,$B392,26),'Mortality Tables'!$A$72:$CA$97,IF($B392&lt;=Input!$C$7+1,Input!$C$4-16,$D392-Input!$C$7-16),0)/1000)</f>
        <v>3.0710000000000001E-2</v>
      </c>
      <c r="N392" s="147">
        <f t="shared" si="126"/>
        <v>2.5959109690260052E-3</v>
      </c>
      <c r="O392" s="157">
        <f>IF($E392="","",IF($C392=12,IF($B392&lt;Input!$C$9,Input!$C$54,IF($B392=Input!$C$9,Input!$C$55,Input!$C$56)),0%))</f>
        <v>0</v>
      </c>
      <c r="P392" s="167">
        <f>IF($E392="","",IF($B392=1,Input!$C$59,IF($B392&lt;6,Input!$C$60,0%)))</f>
        <v>0</v>
      </c>
      <c r="Q392" s="162">
        <f>IF($E392="","",Input!$C$58)</f>
        <v>2.5</v>
      </c>
      <c r="R392" s="156">
        <f t="shared" si="138"/>
        <v>0.99740408903097399</v>
      </c>
      <c r="S392" s="154">
        <f t="shared" si="127"/>
        <v>1.3527974407769304E-2</v>
      </c>
      <c r="T392" s="152"/>
      <c r="U392" s="150">
        <f t="shared" si="139"/>
        <v>0</v>
      </c>
      <c r="V392" s="150">
        <f t="shared" si="140"/>
        <v>0</v>
      </c>
      <c r="W392" s="168">
        <f t="shared" si="141"/>
        <v>0</v>
      </c>
      <c r="X392" s="163">
        <f t="shared" si="128"/>
        <v>259.5910969026005</v>
      </c>
      <c r="Y392" s="152"/>
      <c r="Z392" s="164">
        <f>IF(AND($C391=12,$D391=Input!$C$6),0,IF($E392="","",V392+Z393/(1+L392)*R392))</f>
        <v>66038.486655089335</v>
      </c>
      <c r="AA392" s="164">
        <f>IF(OR($M392=1,AND($C391=12,$D391=Input!$C$6)),0,IF($E392="","",W392+(X392+AA393*$R392)/(1+$L392)))</f>
        <v>28601.096434765048</v>
      </c>
      <c r="AB392" s="160">
        <f t="shared" si="129"/>
        <v>0.825720328500681</v>
      </c>
      <c r="AC392" s="164">
        <f t="shared" si="130"/>
        <v>0</v>
      </c>
      <c r="AD392" s="164">
        <f>IF(AND($C391=12,$D391=Input!$C$6),0,IF($E392="","",$AC392+AD393/(1+$L392)*$R392))</f>
        <v>54529.3208945281</v>
      </c>
      <c r="AE392" s="152"/>
      <c r="AF392" s="164">
        <f>IF(AND($C391=12,$D391=Input!$C$6),0,IF($E392="","",IF($B392&gt;Input!$C$9,$AC392,0)+AF393/(1+$L392)*$R392))</f>
        <v>54529.3208945281</v>
      </c>
      <c r="AG392" s="164">
        <f>IF(AND($C391=12,$D391=Input!$C$6),0,IF($E392="","",(IF($B392&gt;Input!$C$9,$X392,0)+AG393)/(1+$L392)*$R392))</f>
        <v>28170.792931666067</v>
      </c>
      <c r="AH392" s="160">
        <f t="shared" si="131"/>
        <v>2.0950137211446997</v>
      </c>
      <c r="AI392" s="160">
        <f>IF($E392="","",MIN(Input!$C$61/AH392,1))</f>
        <v>0.64438718771845094</v>
      </c>
      <c r="AJ392" s="152"/>
      <c r="AK392" s="164">
        <f>IF(AND($C391=12,$D391=Input!$C$6),0,IF($E392="","",IF($B392&gt;Input!$C$9,$AC392*AI392,0)+AK393/(1+$L392)*$R392))</f>
        <v>35137.995739421909</v>
      </c>
      <c r="AL392" s="164">
        <f>IF(AND($C391=12,$D391=Input!$C$6),0,IF($E392="","",IF($B392&gt;Input!$C$9,0,$AC392)+AL393/(1+$L392)*$R392))</f>
        <v>0</v>
      </c>
      <c r="AM392" s="160">
        <f t="shared" si="132"/>
        <v>1.1382936520186004</v>
      </c>
      <c r="AN392" s="164">
        <f>IF($E392="","",IF($B392&gt;Input!$C$9,$AI392*$AC392,$AM392*$AC392))</f>
        <v>0</v>
      </c>
      <c r="AO392" s="164">
        <f>IF(AND($C391=12,$D391=Input!$C$6),0,IF($E392="","",$AN392+AO393/(1+$L392)*$R392))</f>
        <v>35137.995739421909</v>
      </c>
      <c r="AP392" s="152"/>
      <c r="AQ392" s="164">
        <f t="shared" si="133"/>
        <v>-6536.8993046568612</v>
      </c>
      <c r="AR392" s="164">
        <f t="shared" si="142"/>
        <v>-6698.587669442788</v>
      </c>
      <c r="AS392" s="164">
        <f t="shared" si="143"/>
        <v>1469.377990430622</v>
      </c>
      <c r="AT392" s="164">
        <f t="shared" si="134"/>
        <v>1469.377990430622</v>
      </c>
      <c r="AU392" s="152"/>
      <c r="AV392" s="147">
        <f>'Deterministic Reserve'!BC392</f>
        <v>1.5941792620012638E-2</v>
      </c>
      <c r="AW392" s="164">
        <f t="shared" si="135"/>
        <v>1469.377990430622</v>
      </c>
      <c r="AX392" s="164">
        <f t="shared" si="136"/>
        <v>23.42451920385589</v>
      </c>
      <c r="AY392" s="152"/>
    </row>
    <row r="393" spans="1:51" s="150" customFormat="1" x14ac:dyDescent="0.25">
      <c r="A393" s="150">
        <f t="shared" si="144"/>
        <v>389</v>
      </c>
      <c r="B393" s="150">
        <f t="shared" si="145"/>
        <v>33</v>
      </c>
      <c r="C393" s="150">
        <f t="shared" si="146"/>
        <v>5</v>
      </c>
      <c r="D393" s="150">
        <f>IF(E393="","",Input!$C$4+B393-1)</f>
        <v>77</v>
      </c>
      <c r="E393" s="150">
        <f>IF(OR(AND(C392=12,D392=Input!$C$6),E392=""),"",1)</f>
        <v>1</v>
      </c>
      <c r="F393" s="150">
        <f>IF(E393="","",Input!$C$8+B393-1)</f>
        <v>2050</v>
      </c>
      <c r="G393" s="151">
        <f>IF(E393="","",MAX(0,Input!$C$9-B393))</f>
        <v>0</v>
      </c>
      <c r="H393" s="152">
        <f>IF(E393="","",Input!$C$3)</f>
        <v>100000</v>
      </c>
      <c r="I393" s="153">
        <f>IF(E393="","",HLOOKUP($B393,Input!$C$13:$BT$14,2))</f>
        <v>75.239500000000007</v>
      </c>
      <c r="J393" s="154"/>
      <c r="K393" s="155">
        <f>IF($E393="","",Input!$C$57)</f>
        <v>4.4999999999999998E-2</v>
      </c>
      <c r="L393" s="155">
        <f t="shared" si="137"/>
        <v>3.6748094004368514E-3</v>
      </c>
      <c r="M393" s="147">
        <f>IF($E393="","",VLOOKUP(IF($B393&lt;=Input!$C$7,$B393,26),'Mortality Tables'!$A$72:$CA$97,IF($B393&lt;=Input!$C$7+1,Input!$C$4-16,$D393-Input!$C$7-16),0)/1000)</f>
        <v>3.0710000000000001E-2</v>
      </c>
      <c r="N393" s="147">
        <f t="shared" si="126"/>
        <v>2.5959109690260052E-3</v>
      </c>
      <c r="O393" s="157">
        <f>IF($E393="","",IF($C393=12,IF($B393&lt;Input!$C$9,Input!$C$54,IF($B393=Input!$C$9,Input!$C$55,Input!$C$56)),0%))</f>
        <v>0</v>
      </c>
      <c r="P393" s="167">
        <f>IF($E393="","",IF($B393=1,Input!$C$59,IF($B393&lt;6,Input!$C$60,0%)))</f>
        <v>0</v>
      </c>
      <c r="Q393" s="162">
        <f>IF($E393="","",Input!$C$58)</f>
        <v>2.5</v>
      </c>
      <c r="R393" s="156">
        <f t="shared" si="138"/>
        <v>0.99740408903097399</v>
      </c>
      <c r="S393" s="154">
        <f t="shared" si="127"/>
        <v>1.3492856990615473E-2</v>
      </c>
      <c r="T393" s="152"/>
      <c r="U393" s="150">
        <f t="shared" si="139"/>
        <v>0</v>
      </c>
      <c r="V393" s="150">
        <f t="shared" si="140"/>
        <v>0</v>
      </c>
      <c r="W393" s="168">
        <f t="shared" si="141"/>
        <v>0</v>
      </c>
      <c r="X393" s="163">
        <f t="shared" si="128"/>
        <v>259.5910969026005</v>
      </c>
      <c r="Y393" s="152"/>
      <c r="Z393" s="164">
        <f>IF(AND($C392=12,$D392=Input!$C$6),0,IF($E393="","",V393+Z394/(1+L393)*R393))</f>
        <v>66453.673326159536</v>
      </c>
      <c r="AA393" s="164">
        <f>IF(OR($M393=1,AND($C392=12,$D392=Input!$C$6)),0,IF($E393="","",W393+(X393+AA394*$R393)/(1+$L393)))</f>
        <v>28520.645973630377</v>
      </c>
      <c r="AB393" s="160">
        <f t="shared" si="129"/>
        <v>0.825720328500681</v>
      </c>
      <c r="AC393" s="164">
        <f t="shared" si="130"/>
        <v>0</v>
      </c>
      <c r="AD393" s="164">
        <f>IF(AND($C392=12,$D392=Input!$C$6),0,IF($E393="","",$AC393+AD394/(1+$L393)*$R393))</f>
        <v>54872.14896895329</v>
      </c>
      <c r="AE393" s="152"/>
      <c r="AF393" s="164">
        <f>IF(AND($C392=12,$D392=Input!$C$6),0,IF($E393="","",IF($B393&gt;Input!$C$9,$AC393,0)+AF394/(1+$L393)*$R393))</f>
        <v>54872.14896895329</v>
      </c>
      <c r="AG393" s="164">
        <f>IF(AND($C392=12,$D392=Input!$C$6),0,IF($E393="","",(IF($B393&gt;Input!$C$9,$X393,0)+AG394)/(1+$L393)*$R393))</f>
        <v>28088.312764027996</v>
      </c>
      <c r="AH393" s="160">
        <f t="shared" si="131"/>
        <v>2.0950137211446997</v>
      </c>
      <c r="AI393" s="160">
        <f>IF($E393="","",MIN(Input!$C$61/AH393,1))</f>
        <v>0.64438718771845094</v>
      </c>
      <c r="AJ393" s="152"/>
      <c r="AK393" s="164">
        <f>IF(AND($C392=12,$D392=Input!$C$6),0,IF($E393="","",IF($B393&gt;Input!$C$9,$AC393*AI393,0)+AK394/(1+$L393)*$R393))</f>
        <v>35358.909758171685</v>
      </c>
      <c r="AL393" s="164">
        <f>IF(AND($C392=12,$D392=Input!$C$6),0,IF($E393="","",IF($B393&gt;Input!$C$9,0,$AC393)+AL394/(1+$L393)*$R393))</f>
        <v>0</v>
      </c>
      <c r="AM393" s="160">
        <f t="shared" si="132"/>
        <v>1.1382936520186004</v>
      </c>
      <c r="AN393" s="164">
        <f>IF($E393="","",IF($B393&gt;Input!$C$9,$AI393*$AC393,$AM393*$AC393))</f>
        <v>0</v>
      </c>
      <c r="AO393" s="164">
        <f>IF(AND($C392=12,$D392=Input!$C$6),0,IF($E393="","",$AN393+AO394/(1+$L393)*$R393))</f>
        <v>35358.909758171685</v>
      </c>
      <c r="AP393" s="152"/>
      <c r="AQ393" s="164">
        <f t="shared" si="133"/>
        <v>-6838.2637845413083</v>
      </c>
      <c r="AR393" s="164">
        <f t="shared" si="142"/>
        <v>-6698.587669442788</v>
      </c>
      <c r="AS393" s="164">
        <f t="shared" si="143"/>
        <v>1469.377990430622</v>
      </c>
      <c r="AT393" s="164">
        <f t="shared" si="134"/>
        <v>1469.377990430622</v>
      </c>
      <c r="AU393" s="152"/>
      <c r="AV393" s="147">
        <f>'Deterministic Reserve'!BC393</f>
        <v>1.5842521727876861E-2</v>
      </c>
      <c r="AW393" s="164">
        <f t="shared" si="135"/>
        <v>1469.377990430622</v>
      </c>
      <c r="AX393" s="164">
        <f t="shared" si="136"/>
        <v>23.278652739861169</v>
      </c>
      <c r="AY393" s="152"/>
    </row>
    <row r="394" spans="1:51" s="150" customFormat="1" x14ac:dyDescent="0.25">
      <c r="A394" s="150">
        <f t="shared" si="144"/>
        <v>390</v>
      </c>
      <c r="B394" s="150">
        <f t="shared" si="145"/>
        <v>33</v>
      </c>
      <c r="C394" s="150">
        <f t="shared" si="146"/>
        <v>6</v>
      </c>
      <c r="D394" s="150">
        <f>IF(E394="","",Input!$C$4+B394-1)</f>
        <v>77</v>
      </c>
      <c r="E394" s="150">
        <f>IF(OR(AND(C393=12,D393=Input!$C$6),E393=""),"",1)</f>
        <v>1</v>
      </c>
      <c r="F394" s="150">
        <f>IF(E394="","",Input!$C$8+B394-1)</f>
        <v>2050</v>
      </c>
      <c r="G394" s="151">
        <f>IF(E394="","",MAX(0,Input!$C$9-B394))</f>
        <v>0</v>
      </c>
      <c r="H394" s="152">
        <f>IF(E394="","",Input!$C$3)</f>
        <v>100000</v>
      </c>
      <c r="I394" s="153">
        <f>IF(E394="","",HLOOKUP($B394,Input!$C$13:$BT$14,2))</f>
        <v>75.239500000000007</v>
      </c>
      <c r="J394" s="154"/>
      <c r="K394" s="155">
        <f>IF($E394="","",Input!$C$57)</f>
        <v>4.4999999999999998E-2</v>
      </c>
      <c r="L394" s="155">
        <f t="shared" si="137"/>
        <v>3.6748094004368514E-3</v>
      </c>
      <c r="M394" s="147">
        <f>IF($E394="","",VLOOKUP(IF($B394&lt;=Input!$C$7,$B394,26),'Mortality Tables'!$A$72:$CA$97,IF($B394&lt;=Input!$C$7+1,Input!$C$4-16,$D394-Input!$C$7-16),0)/1000)</f>
        <v>3.0710000000000001E-2</v>
      </c>
      <c r="N394" s="147">
        <f t="shared" si="126"/>
        <v>2.5959109690260052E-3</v>
      </c>
      <c r="O394" s="157">
        <f>IF($E394="","",IF($C394=12,IF($B394&lt;Input!$C$9,Input!$C$54,IF($B394=Input!$C$9,Input!$C$55,Input!$C$56)),0%))</f>
        <v>0</v>
      </c>
      <c r="P394" s="167">
        <f>IF($E394="","",IF($B394=1,Input!$C$59,IF($B394&lt;6,Input!$C$60,0%)))</f>
        <v>0</v>
      </c>
      <c r="Q394" s="162">
        <f>IF($E394="","",Input!$C$58)</f>
        <v>2.5</v>
      </c>
      <c r="R394" s="156">
        <f t="shared" si="138"/>
        <v>0.99740408903097399</v>
      </c>
      <c r="S394" s="154">
        <f t="shared" si="127"/>
        <v>1.3457830735150035E-2</v>
      </c>
      <c r="T394" s="152"/>
      <c r="U394" s="150">
        <f t="shared" si="139"/>
        <v>0</v>
      </c>
      <c r="V394" s="150">
        <f t="shared" si="140"/>
        <v>0</v>
      </c>
      <c r="W394" s="168">
        <f t="shared" si="141"/>
        <v>0</v>
      </c>
      <c r="X394" s="163">
        <f t="shared" si="128"/>
        <v>259.5910969026005</v>
      </c>
      <c r="Y394" s="152"/>
      <c r="Z394" s="164">
        <f>IF(AND($C393=12,$D393=Input!$C$6),0,IF($E394="","",V394+Z395/(1+L394)*R394))</f>
        <v>66871.470292840138</v>
      </c>
      <c r="AA394" s="164">
        <f>IF(OR($M394=1,AND($C393=12,$D393=Input!$C$6)),0,IF($E394="","",W394+(X394+AA395*$R394)/(1+$L394)))</f>
        <v>28439.689717150653</v>
      </c>
      <c r="AB394" s="160">
        <f t="shared" si="129"/>
        <v>0.825720328500681</v>
      </c>
      <c r="AC394" s="164">
        <f t="shared" si="130"/>
        <v>0</v>
      </c>
      <c r="AD394" s="164">
        <f>IF(AND($C393=12,$D393=Input!$C$6),0,IF($E394="","",$AC394+AD395/(1+$L394)*$R394))</f>
        <v>55217.132417527399</v>
      </c>
      <c r="AE394" s="152"/>
      <c r="AF394" s="164">
        <f>IF(AND($C393=12,$D393=Input!$C$6),0,IF($E394="","",IF($B394&gt;Input!$C$9,$AC394,0)+AF395/(1+$L394)*$R394))</f>
        <v>55217.132417527399</v>
      </c>
      <c r="AG394" s="164">
        <f>IF(AND($C393=12,$D393=Input!$C$6),0,IF($E394="","",(IF($B394&gt;Input!$C$9,$X394,0)+AG395)/(1+$L394)*$R394))</f>
        <v>28005.314040196932</v>
      </c>
      <c r="AH394" s="160">
        <f t="shared" si="131"/>
        <v>2.0950137211446997</v>
      </c>
      <c r="AI394" s="160">
        <f>IF($E394="","",MIN(Input!$C$61/AH394,1))</f>
        <v>0.64438718771845094</v>
      </c>
      <c r="AJ394" s="152"/>
      <c r="AK394" s="164">
        <f>IF(AND($C393=12,$D393=Input!$C$6),0,IF($E394="","",IF($B394&gt;Input!$C$9,$AC394*AI394,0)+AK395/(1+$L394)*$R394))</f>
        <v>35581.212672407768</v>
      </c>
      <c r="AL394" s="164">
        <f>IF(AND($C393=12,$D393=Input!$C$6),0,IF($E394="","",IF($B394&gt;Input!$C$9,0,$AC394)+AL395/(1+$L394)*$R394))</f>
        <v>0</v>
      </c>
      <c r="AM394" s="160">
        <f t="shared" si="132"/>
        <v>1.1382936520186004</v>
      </c>
      <c r="AN394" s="164">
        <f>IF($E394="","",IF($B394&gt;Input!$C$9,$AI394*$AC394,$AM394*$AC394))</f>
        <v>0</v>
      </c>
      <c r="AO394" s="164">
        <f>IF(AND($C393=12,$D393=Input!$C$6),0,IF($E394="","",$AN394+AO395/(1+$L394)*$R394))</f>
        <v>35581.212672407768</v>
      </c>
      <c r="AP394" s="152"/>
      <c r="AQ394" s="164">
        <f t="shared" si="133"/>
        <v>-7141.5229552571145</v>
      </c>
      <c r="AR394" s="164">
        <f t="shared" si="142"/>
        <v>-6698.587669442788</v>
      </c>
      <c r="AS394" s="164">
        <f t="shared" si="143"/>
        <v>1469.377990430622</v>
      </c>
      <c r="AT394" s="164">
        <f t="shared" si="134"/>
        <v>1469.377990430622</v>
      </c>
      <c r="AU394" s="152"/>
      <c r="AV394" s="147">
        <f>'Deterministic Reserve'!BC394</f>
        <v>1.5743869003989806E-2</v>
      </c>
      <c r="AW394" s="164">
        <f t="shared" si="135"/>
        <v>1469.377990430622</v>
      </c>
      <c r="AX394" s="164">
        <f t="shared" si="136"/>
        <v>23.133694598685501</v>
      </c>
      <c r="AY394" s="152"/>
    </row>
    <row r="395" spans="1:51" s="150" customFormat="1" x14ac:dyDescent="0.25">
      <c r="A395" s="150">
        <f t="shared" si="144"/>
        <v>391</v>
      </c>
      <c r="B395" s="150">
        <f t="shared" si="145"/>
        <v>33</v>
      </c>
      <c r="C395" s="150">
        <f t="shared" si="146"/>
        <v>7</v>
      </c>
      <c r="D395" s="150">
        <f>IF(E395="","",Input!$C$4+B395-1)</f>
        <v>77</v>
      </c>
      <c r="E395" s="150">
        <f>IF(OR(AND(C394=12,D394=Input!$C$6),E394=""),"",1)</f>
        <v>1</v>
      </c>
      <c r="F395" s="150">
        <f>IF(E395="","",Input!$C$8+B395-1)</f>
        <v>2050</v>
      </c>
      <c r="G395" s="151">
        <f>IF(E395="","",MAX(0,Input!$C$9-B395))</f>
        <v>0</v>
      </c>
      <c r="H395" s="152">
        <f>IF(E395="","",Input!$C$3)</f>
        <v>100000</v>
      </c>
      <c r="I395" s="153">
        <f>IF(E395="","",HLOOKUP($B395,Input!$C$13:$BT$14,2))</f>
        <v>75.239500000000007</v>
      </c>
      <c r="J395" s="154"/>
      <c r="K395" s="155">
        <f>IF($E395="","",Input!$C$57)</f>
        <v>4.4999999999999998E-2</v>
      </c>
      <c r="L395" s="155">
        <f t="shared" si="137"/>
        <v>3.6748094004368514E-3</v>
      </c>
      <c r="M395" s="147">
        <f>IF($E395="","",VLOOKUP(IF($B395&lt;=Input!$C$7,$B395,26),'Mortality Tables'!$A$72:$CA$97,IF($B395&lt;=Input!$C$7+1,Input!$C$4-16,$D395-Input!$C$7-16),0)/1000)</f>
        <v>3.0710000000000001E-2</v>
      </c>
      <c r="N395" s="147">
        <f t="shared" si="126"/>
        <v>2.5959109690260052E-3</v>
      </c>
      <c r="O395" s="157">
        <f>IF($E395="","",IF($C395=12,IF($B395&lt;Input!$C$9,Input!$C$54,IF($B395=Input!$C$9,Input!$C$55,Input!$C$56)),0%))</f>
        <v>0</v>
      </c>
      <c r="P395" s="167">
        <f>IF($E395="","",IF($B395=1,Input!$C$59,IF($B395&lt;6,Input!$C$60,0%)))</f>
        <v>0</v>
      </c>
      <c r="Q395" s="162">
        <f>IF($E395="","",Input!$C$58)</f>
        <v>2.5</v>
      </c>
      <c r="R395" s="156">
        <f t="shared" si="138"/>
        <v>0.99740408903097399</v>
      </c>
      <c r="S395" s="154">
        <f t="shared" si="127"/>
        <v>1.3422895404725363E-2</v>
      </c>
      <c r="T395" s="152"/>
      <c r="U395" s="150">
        <f t="shared" si="139"/>
        <v>0</v>
      </c>
      <c r="V395" s="150">
        <f t="shared" si="140"/>
        <v>0</v>
      </c>
      <c r="W395" s="168">
        <f t="shared" si="141"/>
        <v>0</v>
      </c>
      <c r="X395" s="163">
        <f t="shared" si="128"/>
        <v>259.5910969026005</v>
      </c>
      <c r="Y395" s="152"/>
      <c r="Z395" s="164">
        <f>IF(AND($C394=12,$D394=Input!$C$6),0,IF($E395="","",V395+Z396/(1+L395)*R395))</f>
        <v>67291.893966166608</v>
      </c>
      <c r="AA395" s="164">
        <f>IF(OR($M395=1,AND($C394=12,$D394=Input!$C$6)),0,IF($E395="","",W395+(X395+AA396*$R395)/(1+$L395)))</f>
        <v>28358.224485369821</v>
      </c>
      <c r="AB395" s="160">
        <f t="shared" si="129"/>
        <v>0.825720328500681</v>
      </c>
      <c r="AC395" s="164">
        <f t="shared" si="130"/>
        <v>0</v>
      </c>
      <c r="AD395" s="164">
        <f>IF(AND($C394=12,$D394=Input!$C$6),0,IF($E395="","",$AC395+AD396/(1+$L395)*$R395))</f>
        <v>55564.284791175996</v>
      </c>
      <c r="AE395" s="152"/>
      <c r="AF395" s="164">
        <f>IF(AND($C394=12,$D394=Input!$C$6),0,IF($E395="","",IF($B395&gt;Input!$C$9,$AC395,0)+AF396/(1+$L395)*$R395))</f>
        <v>55564.284791175996</v>
      </c>
      <c r="AG395" s="164">
        <f>IF(AND($C394=12,$D394=Input!$C$6),0,IF($E395="","",(IF($B395&gt;Input!$C$9,$X395,0)+AG396)/(1+$L395)*$R395))</f>
        <v>27921.793499988846</v>
      </c>
      <c r="AH395" s="160">
        <f t="shared" si="131"/>
        <v>2.0950137211446997</v>
      </c>
      <c r="AI395" s="160">
        <f>IF($E395="","",MIN(Input!$C$61/AH395,1))</f>
        <v>0.64438718771845094</v>
      </c>
      <c r="AJ395" s="152"/>
      <c r="AK395" s="164">
        <f>IF(AND($C394=12,$D394=Input!$C$6),0,IF($E395="","",IF($B395&gt;Input!$C$9,$AC395*AI395,0)+AK396/(1+$L395)*$R395))</f>
        <v>35804.913214172971</v>
      </c>
      <c r="AL395" s="164">
        <f>IF(AND($C394=12,$D394=Input!$C$6),0,IF($E395="","",IF($B395&gt;Input!$C$9,0,$AC395)+AL396/(1+$L395)*$R395))</f>
        <v>0</v>
      </c>
      <c r="AM395" s="160">
        <f t="shared" si="132"/>
        <v>1.1382936520186004</v>
      </c>
      <c r="AN395" s="164">
        <f>IF($E395="","",IF($B395&gt;Input!$C$9,$AI395*$AC395,$AM395*$AC395))</f>
        <v>0</v>
      </c>
      <c r="AO395" s="164">
        <f>IF(AND($C394=12,$D394=Input!$C$6),0,IF($E395="","",$AN395+AO396/(1+$L395)*$R395))</f>
        <v>35804.913214172971</v>
      </c>
      <c r="AP395" s="152"/>
      <c r="AQ395" s="164">
        <f t="shared" si="133"/>
        <v>-7446.6887288031503</v>
      </c>
      <c r="AR395" s="164">
        <f t="shared" si="142"/>
        <v>-6698.587669442788</v>
      </c>
      <c r="AS395" s="164">
        <f t="shared" si="143"/>
        <v>1469.377990430622</v>
      </c>
      <c r="AT395" s="164">
        <f t="shared" si="134"/>
        <v>1469.377990430622</v>
      </c>
      <c r="AU395" s="152"/>
      <c r="AV395" s="147">
        <f>'Deterministic Reserve'!BC395</f>
        <v>1.5645830598965463E-2</v>
      </c>
      <c r="AW395" s="164">
        <f t="shared" si="135"/>
        <v>1469.377990430622</v>
      </c>
      <c r="AX395" s="164">
        <f t="shared" si="136"/>
        <v>22.989639124125809</v>
      </c>
      <c r="AY395" s="152"/>
    </row>
    <row r="396" spans="1:51" s="150" customFormat="1" x14ac:dyDescent="0.25">
      <c r="A396" s="150">
        <f t="shared" si="144"/>
        <v>392</v>
      </c>
      <c r="B396" s="150">
        <f t="shared" si="145"/>
        <v>33</v>
      </c>
      <c r="C396" s="150">
        <f t="shared" si="146"/>
        <v>8</v>
      </c>
      <c r="D396" s="150">
        <f>IF(E396="","",Input!$C$4+B396-1)</f>
        <v>77</v>
      </c>
      <c r="E396" s="150">
        <f>IF(OR(AND(C395=12,D395=Input!$C$6),E395=""),"",1)</f>
        <v>1</v>
      </c>
      <c r="F396" s="150">
        <f>IF(E396="","",Input!$C$8+B396-1)</f>
        <v>2050</v>
      </c>
      <c r="G396" s="151">
        <f>IF(E396="","",MAX(0,Input!$C$9-B396))</f>
        <v>0</v>
      </c>
      <c r="H396" s="152">
        <f>IF(E396="","",Input!$C$3)</f>
        <v>100000</v>
      </c>
      <c r="I396" s="153">
        <f>IF(E396="","",HLOOKUP($B396,Input!$C$13:$BT$14,2))</f>
        <v>75.239500000000007</v>
      </c>
      <c r="J396" s="154"/>
      <c r="K396" s="155">
        <f>IF($E396="","",Input!$C$57)</f>
        <v>4.4999999999999998E-2</v>
      </c>
      <c r="L396" s="155">
        <f t="shared" si="137"/>
        <v>3.6748094004368514E-3</v>
      </c>
      <c r="M396" s="147">
        <f>IF($E396="","",VLOOKUP(IF($B396&lt;=Input!$C$7,$B396,26),'Mortality Tables'!$A$72:$CA$97,IF($B396&lt;=Input!$C$7+1,Input!$C$4-16,$D396-Input!$C$7-16),0)/1000)</f>
        <v>3.0710000000000001E-2</v>
      </c>
      <c r="N396" s="147">
        <f t="shared" si="126"/>
        <v>2.5959109690260052E-3</v>
      </c>
      <c r="O396" s="157">
        <f>IF($E396="","",IF($C396=12,IF($B396&lt;Input!$C$9,Input!$C$54,IF($B396=Input!$C$9,Input!$C$55,Input!$C$56)),0%))</f>
        <v>0</v>
      </c>
      <c r="P396" s="167">
        <f>IF($E396="","",IF($B396=1,Input!$C$59,IF($B396&lt;6,Input!$C$60,0%)))</f>
        <v>0</v>
      </c>
      <c r="Q396" s="162">
        <f>IF($E396="","",Input!$C$58)</f>
        <v>2.5</v>
      </c>
      <c r="R396" s="156">
        <f t="shared" si="138"/>
        <v>0.99740408903097399</v>
      </c>
      <c r="S396" s="154">
        <f t="shared" si="127"/>
        <v>1.3388050763308148E-2</v>
      </c>
      <c r="T396" s="152"/>
      <c r="U396" s="150">
        <f t="shared" si="139"/>
        <v>0</v>
      </c>
      <c r="V396" s="150">
        <f t="shared" si="140"/>
        <v>0</v>
      </c>
      <c r="W396" s="168">
        <f t="shared" si="141"/>
        <v>0</v>
      </c>
      <c r="X396" s="163">
        <f t="shared" si="128"/>
        <v>259.5910969026005</v>
      </c>
      <c r="Y396" s="152"/>
      <c r="Z396" s="164">
        <f>IF(AND($C395=12,$D395=Input!$C$6),0,IF($E396="","",V396+Z397/(1+L396)*R396))</f>
        <v>67714.960860351217</v>
      </c>
      <c r="AA396" s="164">
        <f>IF(OR($M396=1,AND($C395=12,$D395=Input!$C$6)),0,IF($E396="","",W396+(X396+AA397*$R396)/(1+$L396)))</f>
        <v>28276.247078339307</v>
      </c>
      <c r="AB396" s="160">
        <f t="shared" si="129"/>
        <v>0.825720328500681</v>
      </c>
      <c r="AC396" s="164">
        <f t="shared" si="130"/>
        <v>0</v>
      </c>
      <c r="AD396" s="164">
        <f>IF(AND($C395=12,$D395=Input!$C$6),0,IF($E396="","",$AC396+AD397/(1+$L396)*$R396))</f>
        <v>55913.619726019882</v>
      </c>
      <c r="AE396" s="152"/>
      <c r="AF396" s="164">
        <f>IF(AND($C395=12,$D395=Input!$C$6),0,IF($E396="","",IF($B396&gt;Input!$C$9,$AC396,0)+AF397/(1+$L396)*$R396))</f>
        <v>55913.619726019882</v>
      </c>
      <c r="AG396" s="164">
        <f>IF(AND($C395=12,$D395=Input!$C$6),0,IF($E396="","",(IF($B396&gt;Input!$C$9,$X396,0)+AG397)/(1+$L396)*$R396))</f>
        <v>27837.747862722794</v>
      </c>
      <c r="AH396" s="160">
        <f t="shared" si="131"/>
        <v>2.0950137211446997</v>
      </c>
      <c r="AI396" s="160">
        <f>IF($E396="","",MIN(Input!$C$61/AH396,1))</f>
        <v>0.64438718771845094</v>
      </c>
      <c r="AJ396" s="152"/>
      <c r="AK396" s="164">
        <f>IF(AND($C395=12,$D395=Input!$C$6),0,IF($E396="","",IF($B396&gt;Input!$C$9,$AC396*AI396,0)+AK397/(1+$L396)*$R396))</f>
        <v>36030.020170408832</v>
      </c>
      <c r="AL396" s="164">
        <f>IF(AND($C395=12,$D395=Input!$C$6),0,IF($E396="","",IF($B396&gt;Input!$C$9,0,$AC396)+AL397/(1+$L396)*$R396))</f>
        <v>0</v>
      </c>
      <c r="AM396" s="160">
        <f t="shared" si="132"/>
        <v>1.1382936520186004</v>
      </c>
      <c r="AN396" s="164">
        <f>IF($E396="","",IF($B396&gt;Input!$C$9,$AI396*$AC396,$AM396*$AC396))</f>
        <v>0</v>
      </c>
      <c r="AO396" s="164">
        <f>IF(AND($C395=12,$D395=Input!$C$6),0,IF($E396="","",$AN396+AO397/(1+$L396)*$R396))</f>
        <v>36030.020170408832</v>
      </c>
      <c r="AP396" s="152"/>
      <c r="AQ396" s="164">
        <f t="shared" si="133"/>
        <v>-7753.7730920695249</v>
      </c>
      <c r="AR396" s="164">
        <f t="shared" si="142"/>
        <v>-6698.587669442788</v>
      </c>
      <c r="AS396" s="164">
        <f t="shared" si="143"/>
        <v>1469.377990430622</v>
      </c>
      <c r="AT396" s="164">
        <f t="shared" si="134"/>
        <v>1469.377990430622</v>
      </c>
      <c r="AU396" s="152"/>
      <c r="AV396" s="147">
        <f>'Deterministic Reserve'!BC396</f>
        <v>1.5548402687388269E-2</v>
      </c>
      <c r="AW396" s="164">
        <f t="shared" si="135"/>
        <v>1469.377990430622</v>
      </c>
      <c r="AX396" s="164">
        <f t="shared" si="136"/>
        <v>22.846480695200658</v>
      </c>
      <c r="AY396" s="152"/>
    </row>
    <row r="397" spans="1:51" s="150" customFormat="1" x14ac:dyDescent="0.25">
      <c r="A397" s="150">
        <f t="shared" si="144"/>
        <v>393</v>
      </c>
      <c r="B397" s="150">
        <f t="shared" si="145"/>
        <v>33</v>
      </c>
      <c r="C397" s="150">
        <f t="shared" si="146"/>
        <v>9</v>
      </c>
      <c r="D397" s="150">
        <f>IF(E397="","",Input!$C$4+B397-1)</f>
        <v>77</v>
      </c>
      <c r="E397" s="150">
        <f>IF(OR(AND(C396=12,D396=Input!$C$6),E396=""),"",1)</f>
        <v>1</v>
      </c>
      <c r="F397" s="150">
        <f>IF(E397="","",Input!$C$8+B397-1)</f>
        <v>2050</v>
      </c>
      <c r="G397" s="151">
        <f>IF(E397="","",MAX(0,Input!$C$9-B397))</f>
        <v>0</v>
      </c>
      <c r="H397" s="152">
        <f>IF(E397="","",Input!$C$3)</f>
        <v>100000</v>
      </c>
      <c r="I397" s="153">
        <f>IF(E397="","",HLOOKUP($B397,Input!$C$13:$BT$14,2))</f>
        <v>75.239500000000007</v>
      </c>
      <c r="J397" s="154"/>
      <c r="K397" s="155">
        <f>IF($E397="","",Input!$C$57)</f>
        <v>4.4999999999999998E-2</v>
      </c>
      <c r="L397" s="155">
        <f t="shared" si="137"/>
        <v>3.6748094004368514E-3</v>
      </c>
      <c r="M397" s="147">
        <f>IF($E397="","",VLOOKUP(IF($B397&lt;=Input!$C$7,$B397,26),'Mortality Tables'!$A$72:$CA$97,IF($B397&lt;=Input!$C$7+1,Input!$C$4-16,$D397-Input!$C$7-16),0)/1000)</f>
        <v>3.0710000000000001E-2</v>
      </c>
      <c r="N397" s="147">
        <f t="shared" si="126"/>
        <v>2.5959109690260052E-3</v>
      </c>
      <c r="O397" s="157">
        <f>IF($E397="","",IF($C397=12,IF($B397&lt;Input!$C$9,Input!$C$54,IF($B397=Input!$C$9,Input!$C$55,Input!$C$56)),0%))</f>
        <v>0</v>
      </c>
      <c r="P397" s="167">
        <f>IF($E397="","",IF($B397=1,Input!$C$59,IF($B397&lt;6,Input!$C$60,0%)))</f>
        <v>0</v>
      </c>
      <c r="Q397" s="162">
        <f>IF($E397="","",Input!$C$58)</f>
        <v>2.5</v>
      </c>
      <c r="R397" s="156">
        <f t="shared" si="138"/>
        <v>0.99740408903097399</v>
      </c>
      <c r="S397" s="154">
        <f t="shared" si="127"/>
        <v>1.33532965754778E-2</v>
      </c>
      <c r="T397" s="152"/>
      <c r="U397" s="150">
        <f t="shared" si="139"/>
        <v>0</v>
      </c>
      <c r="V397" s="150">
        <f t="shared" si="140"/>
        <v>0</v>
      </c>
      <c r="W397" s="168">
        <f t="shared" si="141"/>
        <v>0</v>
      </c>
      <c r="X397" s="163">
        <f t="shared" si="128"/>
        <v>259.5910969026005</v>
      </c>
      <c r="Y397" s="152"/>
      <c r="Z397" s="164">
        <f>IF(AND($C396=12,$D396=Input!$C$6),0,IF($E397="","",V397+Z398/(1+L397)*R397))</f>
        <v>68140.687593431809</v>
      </c>
      <c r="AA397" s="164">
        <f>IF(OR($M397=1,AND($C396=12,$D396=Input!$C$6)),0,IF($E397="","",W397+(X397+AA398*$R397)/(1+$L397)))</f>
        <v>28193.754275992334</v>
      </c>
      <c r="AB397" s="160">
        <f t="shared" si="129"/>
        <v>0.825720328500681</v>
      </c>
      <c r="AC397" s="164">
        <f t="shared" si="130"/>
        <v>0</v>
      </c>
      <c r="AD397" s="164">
        <f>IF(AND($C396=12,$D396=Input!$C$6),0,IF($E397="","",$AC397+AD398/(1+$L397)*$R397))</f>
        <v>56265.150943910718</v>
      </c>
      <c r="AE397" s="152"/>
      <c r="AF397" s="164">
        <f>IF(AND($C396=12,$D396=Input!$C$6),0,IF($E397="","",IF($B397&gt;Input!$C$9,$AC397,0)+AF398/(1+$L397)*$R397))</f>
        <v>56265.150943910718</v>
      </c>
      <c r="AG397" s="164">
        <f>IF(AND($C396=12,$D396=Input!$C$6),0,IF($E397="","",(IF($B397&gt;Input!$C$9,$X397,0)+AG398)/(1+$L397)*$R397))</f>
        <v>27753.173827092061</v>
      </c>
      <c r="AH397" s="160">
        <f t="shared" si="131"/>
        <v>2.0950137211446997</v>
      </c>
      <c r="AI397" s="160">
        <f>IF($E397="","",MIN(Input!$C$61/AH397,1))</f>
        <v>0.64438718771845094</v>
      </c>
      <c r="AJ397" s="152"/>
      <c r="AK397" s="164">
        <f>IF(AND($C396=12,$D396=Input!$C$6),0,IF($E397="","",IF($B397&gt;Input!$C$9,$AC397*AI397,0)+AK398/(1+$L397)*$R397))</f>
        <v>36256.542383300744</v>
      </c>
      <c r="AL397" s="164">
        <f>IF(AND($C396=12,$D396=Input!$C$6),0,IF($E397="","",IF($B397&gt;Input!$C$9,0,$AC397)+AL398/(1+$L397)*$R397))</f>
        <v>0</v>
      </c>
      <c r="AM397" s="160">
        <f t="shared" si="132"/>
        <v>1.1382936520186004</v>
      </c>
      <c r="AN397" s="164">
        <f>IF($E397="","",IF($B397&gt;Input!$C$9,$AI397*$AC397,$AM397*$AC397))</f>
        <v>0</v>
      </c>
      <c r="AO397" s="164">
        <f>IF(AND($C396=12,$D396=Input!$C$6),0,IF($E397="","",$AN397+AO398/(1+$L397)*$R397))</f>
        <v>36256.542383300744</v>
      </c>
      <c r="AP397" s="152"/>
      <c r="AQ397" s="164">
        <f t="shared" si="133"/>
        <v>-8062.78810730841</v>
      </c>
      <c r="AR397" s="164">
        <f t="shared" si="142"/>
        <v>-6698.587669442788</v>
      </c>
      <c r="AS397" s="164">
        <f t="shared" si="143"/>
        <v>1469.377990430622</v>
      </c>
      <c r="AT397" s="164">
        <f t="shared" si="134"/>
        <v>1469.377990430622</v>
      </c>
      <c r="AU397" s="152"/>
      <c r="AV397" s="147">
        <f>'Deterministic Reserve'!BC397</f>
        <v>1.5451581467663851E-2</v>
      </c>
      <c r="AW397" s="164">
        <f t="shared" si="135"/>
        <v>1469.377990430622</v>
      </c>
      <c r="AX397" s="164">
        <f t="shared" si="136"/>
        <v>22.704213725930952</v>
      </c>
      <c r="AY397" s="152"/>
    </row>
    <row r="398" spans="1:51" s="150" customFormat="1" x14ac:dyDescent="0.25">
      <c r="A398" s="150">
        <f t="shared" si="144"/>
        <v>394</v>
      </c>
      <c r="B398" s="150">
        <f t="shared" si="145"/>
        <v>33</v>
      </c>
      <c r="C398" s="150">
        <f t="shared" si="146"/>
        <v>10</v>
      </c>
      <c r="D398" s="150">
        <f>IF(E398="","",Input!$C$4+B398-1)</f>
        <v>77</v>
      </c>
      <c r="E398" s="150">
        <f>IF(OR(AND(C397=12,D397=Input!$C$6),E397=""),"",1)</f>
        <v>1</v>
      </c>
      <c r="F398" s="150">
        <f>IF(E398="","",Input!$C$8+B398-1)</f>
        <v>2050</v>
      </c>
      <c r="G398" s="151">
        <f>IF(E398="","",MAX(0,Input!$C$9-B398))</f>
        <v>0</v>
      </c>
      <c r="H398" s="152">
        <f>IF(E398="","",Input!$C$3)</f>
        <v>100000</v>
      </c>
      <c r="I398" s="153">
        <f>IF(E398="","",HLOOKUP($B398,Input!$C$13:$BT$14,2))</f>
        <v>75.239500000000007</v>
      </c>
      <c r="J398" s="154"/>
      <c r="K398" s="155">
        <f>IF($E398="","",Input!$C$57)</f>
        <v>4.4999999999999998E-2</v>
      </c>
      <c r="L398" s="155">
        <f t="shared" si="137"/>
        <v>3.6748094004368514E-3</v>
      </c>
      <c r="M398" s="147">
        <f>IF($E398="","",VLOOKUP(IF($B398&lt;=Input!$C$7,$B398,26),'Mortality Tables'!$A$72:$CA$97,IF($B398&lt;=Input!$C$7+1,Input!$C$4-16,$D398-Input!$C$7-16),0)/1000)</f>
        <v>3.0710000000000001E-2</v>
      </c>
      <c r="N398" s="147">
        <f t="shared" si="126"/>
        <v>2.5959109690260052E-3</v>
      </c>
      <c r="O398" s="157">
        <f>IF($E398="","",IF($C398=12,IF($B398&lt;Input!$C$9,Input!$C$54,IF($B398=Input!$C$9,Input!$C$55,Input!$C$56)),0%))</f>
        <v>0</v>
      </c>
      <c r="P398" s="167">
        <f>IF($E398="","",IF($B398=1,Input!$C$59,IF($B398&lt;6,Input!$C$60,0%)))</f>
        <v>0</v>
      </c>
      <c r="Q398" s="162">
        <f>IF($E398="","",Input!$C$58)</f>
        <v>2.5</v>
      </c>
      <c r="R398" s="156">
        <f t="shared" si="138"/>
        <v>0.99740408903097399</v>
      </c>
      <c r="S398" s="154">
        <f t="shared" si="127"/>
        <v>1.3318632606424859E-2</v>
      </c>
      <c r="T398" s="152"/>
      <c r="U398" s="150">
        <f t="shared" si="139"/>
        <v>0</v>
      </c>
      <c r="V398" s="150">
        <f t="shared" si="140"/>
        <v>0</v>
      </c>
      <c r="W398" s="168">
        <f t="shared" si="141"/>
        <v>0</v>
      </c>
      <c r="X398" s="163">
        <f t="shared" si="128"/>
        <v>259.5910969026005</v>
      </c>
      <c r="Y398" s="152"/>
      <c r="Z398" s="164">
        <f>IF(AND($C397=12,$D397=Input!$C$6),0,IF($E398="","",V398+Z399/(1+L398)*R398))</f>
        <v>68569.090887924482</v>
      </c>
      <c r="AA398" s="164">
        <f>IF(OR($M398=1,AND($C397=12,$D397=Input!$C$6)),0,IF($E398="","",W398+(X398+AA399*$R398)/(1+$L398)))</f>
        <v>28110.742838017435</v>
      </c>
      <c r="AB398" s="160">
        <f t="shared" si="129"/>
        <v>0.825720328500681</v>
      </c>
      <c r="AC398" s="164">
        <f t="shared" si="130"/>
        <v>0</v>
      </c>
      <c r="AD398" s="164">
        <f>IF(AND($C397=12,$D397=Input!$C$6),0,IF($E398="","",$AC398+AD399/(1+$L398)*$R398))</f>
        <v>56618.892252969985</v>
      </c>
      <c r="AE398" s="152"/>
      <c r="AF398" s="164">
        <f>IF(AND($C397=12,$D397=Input!$C$6),0,IF($E398="","",IF($B398&gt;Input!$C$9,$AC398,0)+AF399/(1+$L398)*$R398))</f>
        <v>56618.892252969985</v>
      </c>
      <c r="AG398" s="164">
        <f>IF(AND($C397=12,$D397=Input!$C$6),0,IF($E398="","",(IF($B398&gt;Input!$C$9,$X398,0)+AG399)/(1+$L398)*$R398))</f>
        <v>27668.068071034482</v>
      </c>
      <c r="AH398" s="160">
        <f t="shared" si="131"/>
        <v>2.0950137211446997</v>
      </c>
      <c r="AI398" s="160">
        <f>IF($E398="","",MIN(Input!$C$61/AH398,1))</f>
        <v>0.64438718771845094</v>
      </c>
      <c r="AJ398" s="152"/>
      <c r="AK398" s="164">
        <f>IF(AND($C397=12,$D397=Input!$C$6),0,IF($E398="","",IF($B398&gt;Input!$C$9,$AC398*AI398,0)+AK399/(1+$L398)*$R398))</f>
        <v>36484.488750625293</v>
      </c>
      <c r="AL398" s="164">
        <f>IF(AND($C397=12,$D397=Input!$C$6),0,IF($E398="","",IF($B398&gt;Input!$C$9,0,$AC398)+AL399/(1+$L398)*$R398))</f>
        <v>0</v>
      </c>
      <c r="AM398" s="160">
        <f t="shared" si="132"/>
        <v>1.1382936520186004</v>
      </c>
      <c r="AN398" s="164">
        <f>IF($E398="","",IF($B398&gt;Input!$C$9,$AI398*$AC398,$AM398*$AC398))</f>
        <v>0</v>
      </c>
      <c r="AO398" s="164">
        <f>IF(AND($C397=12,$D397=Input!$C$6),0,IF($E398="","",$AN398+AO399/(1+$L398)*$R398))</f>
        <v>36484.488750625293</v>
      </c>
      <c r="AP398" s="152"/>
      <c r="AQ398" s="164">
        <f t="shared" si="133"/>
        <v>-8373.7459126078575</v>
      </c>
      <c r="AR398" s="164">
        <f t="shared" si="142"/>
        <v>-6698.587669442788</v>
      </c>
      <c r="AS398" s="164">
        <f t="shared" si="143"/>
        <v>1469.377990430622</v>
      </c>
      <c r="AT398" s="164">
        <f t="shared" si="134"/>
        <v>1469.377990430622</v>
      </c>
      <c r="AU398" s="152"/>
      <c r="AV398" s="147">
        <f>'Deterministic Reserve'!BC398</f>
        <v>1.5355363161870684E-2</v>
      </c>
      <c r="AW398" s="164">
        <f t="shared" si="135"/>
        <v>1469.377990430622</v>
      </c>
      <c r="AX398" s="164">
        <f t="shared" si="136"/>
        <v>22.562832665121949</v>
      </c>
      <c r="AY398" s="152"/>
    </row>
    <row r="399" spans="1:51" s="150" customFormat="1" x14ac:dyDescent="0.25">
      <c r="A399" s="150">
        <f t="shared" si="144"/>
        <v>395</v>
      </c>
      <c r="B399" s="150">
        <f t="shared" si="145"/>
        <v>33</v>
      </c>
      <c r="C399" s="150">
        <f t="shared" si="146"/>
        <v>11</v>
      </c>
      <c r="D399" s="150">
        <f>IF(E399="","",Input!$C$4+B399-1)</f>
        <v>77</v>
      </c>
      <c r="E399" s="150">
        <f>IF(OR(AND(C398=12,D398=Input!$C$6),E398=""),"",1)</f>
        <v>1</v>
      </c>
      <c r="F399" s="150">
        <f>IF(E399="","",Input!$C$8+B399-1)</f>
        <v>2050</v>
      </c>
      <c r="G399" s="151">
        <f>IF(E399="","",MAX(0,Input!$C$9-B399))</f>
        <v>0</v>
      </c>
      <c r="H399" s="152">
        <f>IF(E399="","",Input!$C$3)</f>
        <v>100000</v>
      </c>
      <c r="I399" s="153">
        <f>IF(E399="","",HLOOKUP($B399,Input!$C$13:$BT$14,2))</f>
        <v>75.239500000000007</v>
      </c>
      <c r="J399" s="154"/>
      <c r="K399" s="155">
        <f>IF($E399="","",Input!$C$57)</f>
        <v>4.4999999999999998E-2</v>
      </c>
      <c r="L399" s="155">
        <f t="shared" si="137"/>
        <v>3.6748094004368514E-3</v>
      </c>
      <c r="M399" s="147">
        <f>IF($E399="","",VLOOKUP(IF($B399&lt;=Input!$C$7,$B399,26),'Mortality Tables'!$A$72:$CA$97,IF($B399&lt;=Input!$C$7+1,Input!$C$4-16,$D399-Input!$C$7-16),0)/1000)</f>
        <v>3.0710000000000001E-2</v>
      </c>
      <c r="N399" s="147">
        <f t="shared" si="126"/>
        <v>2.5959109690260052E-3</v>
      </c>
      <c r="O399" s="157">
        <f>IF($E399="","",IF($C399=12,IF($B399&lt;Input!$C$9,Input!$C$54,IF($B399=Input!$C$9,Input!$C$55,Input!$C$56)),0%))</f>
        <v>0</v>
      </c>
      <c r="P399" s="167">
        <f>IF($E399="","",IF($B399=1,Input!$C$59,IF($B399&lt;6,Input!$C$60,0%)))</f>
        <v>0</v>
      </c>
      <c r="Q399" s="162">
        <f>IF($E399="","",Input!$C$58)</f>
        <v>2.5</v>
      </c>
      <c r="R399" s="156">
        <f t="shared" si="138"/>
        <v>0.99740408903097399</v>
      </c>
      <c r="S399" s="154">
        <f t="shared" si="127"/>
        <v>1.3284058621949413E-2</v>
      </c>
      <c r="T399" s="152"/>
      <c r="U399" s="150">
        <f t="shared" si="139"/>
        <v>0</v>
      </c>
      <c r="V399" s="150">
        <f t="shared" si="140"/>
        <v>0</v>
      </c>
      <c r="W399" s="168">
        <f t="shared" si="141"/>
        <v>0</v>
      </c>
      <c r="X399" s="163">
        <f t="shared" si="128"/>
        <v>259.5910969026005</v>
      </c>
      <c r="Y399" s="152"/>
      <c r="Z399" s="164">
        <f>IF(AND($C398=12,$D398=Input!$C$6),0,IF($E399="","",V399+Z400/(1+L399)*R399))</f>
        <v>69000.187571480492</v>
      </c>
      <c r="AA399" s="164">
        <f>IF(OR($M399=1,AND($C398=12,$D398=Input!$C$6)),0,IF($E399="","",W399+(X399+AA400*$R399)/(1+$L399)))</f>
        <v>28027.20950373117</v>
      </c>
      <c r="AB399" s="160">
        <f t="shared" si="129"/>
        <v>0.825720328500681</v>
      </c>
      <c r="AC399" s="164">
        <f t="shared" si="130"/>
        <v>0</v>
      </c>
      <c r="AD399" s="164">
        <f>IF(AND($C398=12,$D398=Input!$C$6),0,IF($E399="","",$AC399+AD400/(1+$L399)*$R399))</f>
        <v>56974.857548131411</v>
      </c>
      <c r="AE399" s="152"/>
      <c r="AF399" s="164">
        <f>IF(AND($C398=12,$D398=Input!$C$6),0,IF($E399="","",IF($B399&gt;Input!$C$9,$AC399,0)+AF400/(1+$L399)*$R399))</f>
        <v>56974.857548131411</v>
      </c>
      <c r="AG399" s="164">
        <f>IF(AND($C398=12,$D398=Input!$C$6),0,IF($E399="","",(IF($B399&gt;Input!$C$9,$X399,0)+AG400)/(1+$L399)*$R399))</f>
        <v>27582.427251601952</v>
      </c>
      <c r="AH399" s="160">
        <f t="shared" si="131"/>
        <v>2.0950137211446997</v>
      </c>
      <c r="AI399" s="160">
        <f>IF($E399="","",MIN(Input!$C$61/AH399,1))</f>
        <v>0.64438718771845094</v>
      </c>
      <c r="AJ399" s="152"/>
      <c r="AK399" s="164">
        <f>IF(AND($C398=12,$D398=Input!$C$6),0,IF($E399="","",IF($B399&gt;Input!$C$9,$AC399*AI399,0)+AK400/(1+$L399)*$R399))</f>
        <v>36713.86822609973</v>
      </c>
      <c r="AL399" s="164">
        <f>IF(AND($C398=12,$D398=Input!$C$6),0,IF($E399="","",IF($B399&gt;Input!$C$9,0,$AC399)+AL400/(1+$L399)*$R399))</f>
        <v>0</v>
      </c>
      <c r="AM399" s="160">
        <f t="shared" si="132"/>
        <v>1.1382936520186004</v>
      </c>
      <c r="AN399" s="164">
        <f>IF($E399="","",IF($B399&gt;Input!$C$9,$AI399*$AC399,$AM399*$AC399))</f>
        <v>0</v>
      </c>
      <c r="AO399" s="164">
        <f>IF(AND($C398=12,$D398=Input!$C$6),0,IF($E399="","",$AN399+AO400/(1+$L399)*$R399))</f>
        <v>36713.86822609973</v>
      </c>
      <c r="AP399" s="152"/>
      <c r="AQ399" s="164">
        <f t="shared" si="133"/>
        <v>-8686.6587223685601</v>
      </c>
      <c r="AR399" s="164">
        <f t="shared" si="142"/>
        <v>-6698.587669442788</v>
      </c>
      <c r="AS399" s="164">
        <f t="shared" si="143"/>
        <v>1469.377990430622</v>
      </c>
      <c r="AT399" s="164">
        <f t="shared" si="134"/>
        <v>1469.377990430622</v>
      </c>
      <c r="AU399" s="152"/>
      <c r="AV399" s="147">
        <f>'Deterministic Reserve'!BC399</f>
        <v>1.525974401561268E-2</v>
      </c>
      <c r="AW399" s="164">
        <f t="shared" si="135"/>
        <v>1469.377990430622</v>
      </c>
      <c r="AX399" s="164">
        <f t="shared" si="136"/>
        <v>22.422331996146671</v>
      </c>
      <c r="AY399" s="152"/>
    </row>
    <row r="400" spans="1:51" s="150" customFormat="1" x14ac:dyDescent="0.25">
      <c r="A400" s="150">
        <f t="shared" si="144"/>
        <v>396</v>
      </c>
      <c r="B400" s="150">
        <f t="shared" si="145"/>
        <v>33</v>
      </c>
      <c r="C400" s="150">
        <f t="shared" si="146"/>
        <v>12</v>
      </c>
      <c r="D400" s="150">
        <f>IF(E400="","",Input!$C$4+B400-1)</f>
        <v>77</v>
      </c>
      <c r="E400" s="150">
        <f>IF(OR(AND(C399=12,D399=Input!$C$6),E399=""),"",1)</f>
        <v>1</v>
      </c>
      <c r="F400" s="150">
        <f>IF(E400="","",Input!$C$8+B400-1)</f>
        <v>2050</v>
      </c>
      <c r="G400" s="151">
        <f>IF(E400="","",MAX(0,Input!$C$9-B400))</f>
        <v>0</v>
      </c>
      <c r="H400" s="152">
        <f>IF(E400="","",Input!$C$3)</f>
        <v>100000</v>
      </c>
      <c r="I400" s="153">
        <f>IF(E400="","",HLOOKUP($B400,Input!$C$13:$BT$14,2))</f>
        <v>75.239500000000007</v>
      </c>
      <c r="J400" s="154"/>
      <c r="K400" s="155">
        <f>IF($E400="","",Input!$C$57)</f>
        <v>4.4999999999999998E-2</v>
      </c>
      <c r="L400" s="155">
        <f t="shared" si="137"/>
        <v>3.6748094004368514E-3</v>
      </c>
      <c r="M400" s="147">
        <f>IF($E400="","",VLOOKUP(IF($B400&lt;=Input!$C$7,$B400,26),'Mortality Tables'!$A$72:$CA$97,IF($B400&lt;=Input!$C$7+1,Input!$C$4-16,$D400-Input!$C$7-16),0)/1000)</f>
        <v>3.0710000000000001E-2</v>
      </c>
      <c r="N400" s="147">
        <f t="shared" si="126"/>
        <v>2.5959109690260052E-3</v>
      </c>
      <c r="O400" s="157">
        <f>IF($E400="","",IF($C400=12,IF($B400&lt;Input!$C$9,Input!$C$54,IF($B400=Input!$C$9,Input!$C$55,Input!$C$56)),0%))</f>
        <v>0.1</v>
      </c>
      <c r="P400" s="167">
        <f>IF($E400="","",IF($B400=1,Input!$C$59,IF($B400&lt;6,Input!$C$60,0%)))</f>
        <v>0</v>
      </c>
      <c r="Q400" s="162">
        <f>IF($E400="","",Input!$C$58)</f>
        <v>2.5</v>
      </c>
      <c r="R400" s="156">
        <f t="shared" si="138"/>
        <v>0.89740408903097402</v>
      </c>
      <c r="S400" s="154">
        <f t="shared" si="127"/>
        <v>1.1921168526264569E-2</v>
      </c>
      <c r="T400" s="152"/>
      <c r="U400" s="150">
        <f t="shared" si="139"/>
        <v>0</v>
      </c>
      <c r="V400" s="150">
        <f t="shared" si="140"/>
        <v>0</v>
      </c>
      <c r="W400" s="168">
        <f t="shared" si="141"/>
        <v>0</v>
      </c>
      <c r="X400" s="163">
        <f t="shared" si="128"/>
        <v>259.5910969026005</v>
      </c>
      <c r="Y400" s="152"/>
      <c r="Z400" s="164">
        <f>IF(AND($C399=12,$D399=Input!$C$6),0,IF($E400="","",V400+Z401/(1+L400)*R400))</f>
        <v>69433.994577547215</v>
      </c>
      <c r="AA400" s="164">
        <f>IF(OR($M400=1,AND($C399=12,$D399=Input!$C$6)),0,IF($E400="","",W400+(X400+AA401*$R400)/(1+$L400)))</f>
        <v>27943.15099195005</v>
      </c>
      <c r="AB400" s="160">
        <f t="shared" si="129"/>
        <v>0.825720328500681</v>
      </c>
      <c r="AC400" s="164">
        <f t="shared" si="130"/>
        <v>0</v>
      </c>
      <c r="AD400" s="164">
        <f>IF(AND($C399=12,$D399=Input!$C$6),0,IF($E400="","",$AC400+AD401/(1+$L400)*$R400))</f>
        <v>57333.060811686722</v>
      </c>
      <c r="AE400" s="152"/>
      <c r="AF400" s="164">
        <f>IF(AND($C399=12,$D399=Input!$C$6),0,IF($E400="","",IF($B400&gt;Input!$C$9,$AC400,0)+AF401/(1+$L400)*$R400))</f>
        <v>57333.060811686722</v>
      </c>
      <c r="AG400" s="164">
        <f>IF(AND($C399=12,$D399=Input!$C$6),0,IF($E400="","",(IF($B400&gt;Input!$C$9,$X400,0)+AG401)/(1+$L400)*$R400))</f>
        <v>27496.248004829107</v>
      </c>
      <c r="AH400" s="160">
        <f t="shared" si="131"/>
        <v>2.0950137211446997</v>
      </c>
      <c r="AI400" s="160">
        <f>IF($E400="","",MIN(Input!$C$61/AH400,1))</f>
        <v>0.64438718771845094</v>
      </c>
      <c r="AJ400" s="152"/>
      <c r="AK400" s="164">
        <f>IF(AND($C399=12,$D399=Input!$C$6),0,IF($E400="","",IF($B400&gt;Input!$C$9,$AC400*AI400,0)+AK401/(1+$L400)*$R400))</f>
        <v>36944.689819733714</v>
      </c>
      <c r="AL400" s="164">
        <f>IF(AND($C399=12,$D399=Input!$C$6),0,IF($E400="","",IF($B400&gt;Input!$C$9,0,$AC400)+AL401/(1+$L400)*$R400))</f>
        <v>0</v>
      </c>
      <c r="AM400" s="160">
        <f t="shared" si="132"/>
        <v>1.1382936520186004</v>
      </c>
      <c r="AN400" s="164">
        <f>IF($E400="","",IF($B400&gt;Input!$C$9,$AI400*$AC400,$AM400*$AC400))</f>
        <v>0</v>
      </c>
      <c r="AO400" s="164">
        <f>IF(AND($C399=12,$D399=Input!$C$6),0,IF($E400="","",$AN400+AO401/(1+$L400)*$R400))</f>
        <v>36944.689819733714</v>
      </c>
      <c r="AP400" s="152"/>
      <c r="AQ400" s="164">
        <f t="shared" si="133"/>
        <v>-9001.5388277836646</v>
      </c>
      <c r="AR400" s="164">
        <f t="shared" si="142"/>
        <v>-6698.587669442788</v>
      </c>
      <c r="AS400" s="164">
        <f t="shared" si="143"/>
        <v>1469.377990430622</v>
      </c>
      <c r="AT400" s="164">
        <f t="shared" si="134"/>
        <v>1469.377990430622</v>
      </c>
      <c r="AU400" s="152"/>
      <c r="AV400" s="147">
        <f>'Deterministic Reserve'!BC400</f>
        <v>1.3638745896311427E-2</v>
      </c>
      <c r="AW400" s="164">
        <f t="shared" si="135"/>
        <v>1469.377990430622</v>
      </c>
      <c r="AX400" s="164">
        <f t="shared" si="136"/>
        <v>20.040473037115976</v>
      </c>
      <c r="AY400" s="152"/>
    </row>
    <row r="401" spans="1:51" s="150" customFormat="1" x14ac:dyDescent="0.25">
      <c r="A401" s="150">
        <f t="shared" si="144"/>
        <v>397</v>
      </c>
      <c r="B401" s="150">
        <f t="shared" si="145"/>
        <v>34</v>
      </c>
      <c r="C401" s="150">
        <f t="shared" si="146"/>
        <v>1</v>
      </c>
      <c r="D401" s="150">
        <f>IF(E401="","",Input!$C$4+B401-1)</f>
        <v>78</v>
      </c>
      <c r="E401" s="150">
        <f>IF(OR(AND(C400=12,D400=Input!$C$6),E400=""),"",1)</f>
        <v>1</v>
      </c>
      <c r="F401" s="150">
        <f>IF(E401="","",Input!$C$8+B401-1)</f>
        <v>2051</v>
      </c>
      <c r="G401" s="151">
        <f>IF(E401="","",MAX(0,Input!$C$9-B401))</f>
        <v>0</v>
      </c>
      <c r="H401" s="152">
        <f>IF(E401="","",Input!$C$3)</f>
        <v>100000</v>
      </c>
      <c r="I401" s="153">
        <f>IF(E401="","",HLOOKUP($B401,Input!$C$13:$BT$14,2))</f>
        <v>84.427000000000007</v>
      </c>
      <c r="J401" s="154"/>
      <c r="K401" s="155">
        <f>IF($E401="","",Input!$C$57)</f>
        <v>4.4999999999999998E-2</v>
      </c>
      <c r="L401" s="155">
        <f t="shared" si="137"/>
        <v>3.6748094004368514E-3</v>
      </c>
      <c r="M401" s="147">
        <f>IF($E401="","",VLOOKUP(IF($B401&lt;=Input!$C$7,$B401,26),'Mortality Tables'!$A$72:$CA$97,IF($B401&lt;=Input!$C$7+1,Input!$C$4-16,$D401-Input!$C$7-16),0)/1000)</f>
        <v>3.4459999999999998E-2</v>
      </c>
      <c r="N401" s="147">
        <f t="shared" si="126"/>
        <v>2.9180465898710484E-3</v>
      </c>
      <c r="O401" s="157">
        <f>IF($E401="","",IF($C401=12,IF($B401&lt;Input!$C$9,Input!$C$54,IF($B401=Input!$C$9,Input!$C$55,Input!$C$56)),0%))</f>
        <v>0</v>
      </c>
      <c r="P401" s="167">
        <f>IF($E401="","",IF($B401=1,Input!$C$59,IF($B401&lt;6,Input!$C$60,0%)))</f>
        <v>0</v>
      </c>
      <c r="Q401" s="162">
        <f>IF($E401="","",Input!$C$58)</f>
        <v>2.5</v>
      </c>
      <c r="R401" s="156">
        <f t="shared" si="138"/>
        <v>0.99708195341012895</v>
      </c>
      <c r="S401" s="154">
        <f t="shared" si="127"/>
        <v>1.1886382001099226E-2</v>
      </c>
      <c r="T401" s="152"/>
      <c r="U401" s="150">
        <f t="shared" si="139"/>
        <v>8442.7000000000007</v>
      </c>
      <c r="V401" s="150">
        <f t="shared" si="140"/>
        <v>8442.7000000000007</v>
      </c>
      <c r="W401" s="168">
        <f t="shared" si="141"/>
        <v>0</v>
      </c>
      <c r="X401" s="163">
        <f t="shared" si="128"/>
        <v>291.80465898710486</v>
      </c>
      <c r="Y401" s="152"/>
      <c r="Z401" s="164">
        <f>IF(AND($C400=12,$D400=Input!$C$6),0,IF($E401="","",V401+Z402/(1+L401)*R401))</f>
        <v>77656.37813037126</v>
      </c>
      <c r="AA401" s="164">
        <f>IF(OR($M401=1,AND($C400=12,$D400=Input!$C$6)),0,IF($E401="","",W401+(X401+AA402*$R401)/(1+$L401)))</f>
        <v>30962.914019028332</v>
      </c>
      <c r="AB401" s="160">
        <f t="shared" si="129"/>
        <v>0.825720328500681</v>
      </c>
      <c r="AC401" s="164">
        <f t="shared" si="130"/>
        <v>6971.3090174326999</v>
      </c>
      <c r="AD401" s="164">
        <f>IF(AND($C400=12,$D400=Input!$C$6),0,IF($E401="","",$AC401+AD402/(1+$L401)*$R401))</f>
        <v>64122.450059983181</v>
      </c>
      <c r="AE401" s="152"/>
      <c r="AF401" s="164">
        <f>IF(AND($C400=12,$D400=Input!$C$6),0,IF($E401="","",IF($B401&gt;Input!$C$9,$AC401,0)+AF402/(1+$L401)*$R401))</f>
        <v>64122.450059983181</v>
      </c>
      <c r="AG401" s="164">
        <f>IF(AND($C400=12,$D400=Input!$C$6),0,IF($E401="","",(IF($B401&gt;Input!$C$9,$X401,0)+AG402)/(1+$L401)*$R401))</f>
        <v>30492.766523034064</v>
      </c>
      <c r="AH401" s="160">
        <f t="shared" si="131"/>
        <v>2.0950137211446997</v>
      </c>
      <c r="AI401" s="160">
        <f>IF($E401="","",MIN(Input!$C$61/AH401,1))</f>
        <v>0.64438718771845094</v>
      </c>
      <c r="AJ401" s="152"/>
      <c r="AK401" s="164">
        <f>IF(AND($C400=12,$D400=Input!$C$6),0,IF($E401="","",IF($B401&gt;Input!$C$9,$AC401*AI401,0)+AK402/(1+$L401)*$R401))</f>
        <v>41319.685263769352</v>
      </c>
      <c r="AL401" s="164">
        <f>IF(AND($C400=12,$D400=Input!$C$6),0,IF($E401="","",IF($B401&gt;Input!$C$9,0,$AC401)+AL402/(1+$L401)*$R401))</f>
        <v>0</v>
      </c>
      <c r="AM401" s="160">
        <f t="shared" si="132"/>
        <v>1.1382936520186004</v>
      </c>
      <c r="AN401" s="164">
        <f>IF($E401="","",IF($B401&gt;Input!$C$9,$AI401*$AC401,$AM401*$AC401))</f>
        <v>4492.2222124597347</v>
      </c>
      <c r="AO401" s="164">
        <f>IF(AND($C400=12,$D400=Input!$C$6),0,IF($E401="","",$AN401+AO402/(1+$L401)*$R401))</f>
        <v>41319.685263769352</v>
      </c>
      <c r="AP401" s="152"/>
      <c r="AQ401" s="164">
        <f t="shared" si="133"/>
        <v>-10356.771244741019</v>
      </c>
      <c r="AR401" s="164">
        <f t="shared" si="142"/>
        <v>-7071.3082432816282</v>
      </c>
      <c r="AS401" s="164">
        <f t="shared" si="143"/>
        <v>1648.803827751196</v>
      </c>
      <c r="AT401" s="164">
        <f t="shared" si="134"/>
        <v>1648.803827751196</v>
      </c>
      <c r="AU401" s="152"/>
      <c r="AV401" s="147">
        <f>'Deterministic Reserve'!BC401</f>
        <v>1.3543452766647186E-2</v>
      </c>
      <c r="AW401" s="164">
        <f t="shared" si="135"/>
        <v>1648.803827751196</v>
      </c>
      <c r="AX401" s="164">
        <f t="shared" si="136"/>
        <v>22.330496762615404</v>
      </c>
      <c r="AY401" s="152"/>
    </row>
    <row r="402" spans="1:51" s="150" customFormat="1" x14ac:dyDescent="0.25">
      <c r="A402" s="150">
        <f t="shared" si="144"/>
        <v>398</v>
      </c>
      <c r="B402" s="150">
        <f t="shared" si="145"/>
        <v>34</v>
      </c>
      <c r="C402" s="150">
        <f t="shared" si="146"/>
        <v>2</v>
      </c>
      <c r="D402" s="150">
        <f>IF(E402="","",Input!$C$4+B402-1)</f>
        <v>78</v>
      </c>
      <c r="E402" s="150">
        <f>IF(OR(AND(C401=12,D401=Input!$C$6),E401=""),"",1)</f>
        <v>1</v>
      </c>
      <c r="F402" s="150">
        <f>IF(E402="","",Input!$C$8+B402-1)</f>
        <v>2051</v>
      </c>
      <c r="G402" s="151">
        <f>IF(E402="","",MAX(0,Input!$C$9-B402))</f>
        <v>0</v>
      </c>
      <c r="H402" s="152">
        <f>IF(E402="","",Input!$C$3)</f>
        <v>100000</v>
      </c>
      <c r="I402" s="153">
        <f>IF(E402="","",HLOOKUP($B402,Input!$C$13:$BT$14,2))</f>
        <v>84.427000000000007</v>
      </c>
      <c r="J402" s="154"/>
      <c r="K402" s="155">
        <f>IF($E402="","",Input!$C$57)</f>
        <v>4.4999999999999998E-2</v>
      </c>
      <c r="L402" s="155">
        <f t="shared" si="137"/>
        <v>3.6748094004368514E-3</v>
      </c>
      <c r="M402" s="147">
        <f>IF($E402="","",VLOOKUP(IF($B402&lt;=Input!$C$7,$B402,26),'Mortality Tables'!$A$72:$CA$97,IF($B402&lt;=Input!$C$7+1,Input!$C$4-16,$D402-Input!$C$7-16),0)/1000)</f>
        <v>3.4459999999999998E-2</v>
      </c>
      <c r="N402" s="147">
        <f t="shared" si="126"/>
        <v>2.9180465898710484E-3</v>
      </c>
      <c r="O402" s="157">
        <f>IF($E402="","",IF($C402=12,IF($B402&lt;Input!$C$9,Input!$C$54,IF($B402=Input!$C$9,Input!$C$55,Input!$C$56)),0%))</f>
        <v>0</v>
      </c>
      <c r="P402" s="167">
        <f>IF($E402="","",IF($B402=1,Input!$C$59,IF($B402&lt;6,Input!$C$60,0%)))</f>
        <v>0</v>
      </c>
      <c r="Q402" s="162">
        <f>IF($E402="","",Input!$C$58)</f>
        <v>2.5</v>
      </c>
      <c r="R402" s="156">
        <f t="shared" si="138"/>
        <v>0.99708195341012895</v>
      </c>
      <c r="S402" s="154">
        <f t="shared" si="127"/>
        <v>1.1851696984635014E-2</v>
      </c>
      <c r="T402" s="152"/>
      <c r="U402" s="150">
        <f t="shared" si="139"/>
        <v>0</v>
      </c>
      <c r="V402" s="150">
        <f t="shared" si="140"/>
        <v>0</v>
      </c>
      <c r="W402" s="168">
        <f t="shared" si="141"/>
        <v>0</v>
      </c>
      <c r="X402" s="163">
        <f t="shared" si="128"/>
        <v>291.80465898710486</v>
      </c>
      <c r="Y402" s="152"/>
      <c r="Z402" s="164">
        <f>IF(AND($C401=12,$D401=Input!$C$6),0,IF($E402="","",V402+Z403/(1+L402)*R402))</f>
        <v>69671.329390543426</v>
      </c>
      <c r="AA402" s="164">
        <f>IF(OR($M402=1,AND($C401=12,$D401=Input!$C$6)),0,IF($E402="","",W402+(X402+AA403*$R402)/(1+$L402)))</f>
        <v>30874.986817538505</v>
      </c>
      <c r="AB402" s="160">
        <f t="shared" si="129"/>
        <v>0.825720328500681</v>
      </c>
      <c r="AC402" s="164">
        <f t="shared" si="130"/>
        <v>0</v>
      </c>
      <c r="AD402" s="164">
        <f>IF(AND($C401=12,$D401=Input!$C$6),0,IF($E402="","",$AC402+AD403/(1+$L402)*$R402))</f>
        <v>57529.032991438587</v>
      </c>
      <c r="AE402" s="152"/>
      <c r="AF402" s="164">
        <f>IF(AND($C401=12,$D401=Input!$C$6),0,IF($E402="","",IF($B402&gt;Input!$C$9,$AC402,0)+AF403/(1+$L402)*$R402))</f>
        <v>57529.032991438587</v>
      </c>
      <c r="AG402" s="164">
        <f>IF(AND($C401=12,$D401=Input!$C$6),0,IF($E402="","",(IF($B402&gt;Input!$C$9,$X402,0)+AG403)/(1+$L402)*$R402))</f>
        <v>30402.584627095559</v>
      </c>
      <c r="AH402" s="160">
        <f t="shared" si="131"/>
        <v>2.0950137211446997</v>
      </c>
      <c r="AI402" s="160">
        <f>IF($E402="","",MIN(Input!$C$61/AH402,1))</f>
        <v>0.64438718771845094</v>
      </c>
      <c r="AJ402" s="152"/>
      <c r="AK402" s="164">
        <f>IF(AND($C401=12,$D401=Input!$C$6),0,IF($E402="","",IF($B402&gt;Input!$C$9,$AC402*AI402,0)+AK403/(1+$L402)*$R402))</f>
        <v>37070.971781515073</v>
      </c>
      <c r="AL402" s="164">
        <f>IF(AND($C401=12,$D401=Input!$C$6),0,IF($E402="","",IF($B402&gt;Input!$C$9,0,$AC402)+AL403/(1+$L402)*$R402))</f>
        <v>0</v>
      </c>
      <c r="AM402" s="160">
        <f t="shared" si="132"/>
        <v>1.1382936520186004</v>
      </c>
      <c r="AN402" s="164">
        <f>IF($E402="","",IF($B402&gt;Input!$C$9,$AI402*$AC402,$AM402*$AC402))</f>
        <v>0</v>
      </c>
      <c r="AO402" s="164">
        <f>IF(AND($C401=12,$D401=Input!$C$6),0,IF($E402="","",$AN402+AO403/(1+$L402)*$R402))</f>
        <v>37070.971781515073</v>
      </c>
      <c r="AP402" s="152"/>
      <c r="AQ402" s="164">
        <f t="shared" si="133"/>
        <v>-6195.9849639765671</v>
      </c>
      <c r="AR402" s="164">
        <f t="shared" si="142"/>
        <v>-7071.3082432816282</v>
      </c>
      <c r="AS402" s="164">
        <f t="shared" si="143"/>
        <v>1648.803827751196</v>
      </c>
      <c r="AT402" s="164">
        <f t="shared" si="134"/>
        <v>1648.803827751196</v>
      </c>
      <c r="AU402" s="152"/>
      <c r="AV402" s="147">
        <f>'Deterministic Reserve'!BC402</f>
        <v>1.3448825444574805E-2</v>
      </c>
      <c r="AW402" s="164">
        <f t="shared" si="135"/>
        <v>1648.803827751196</v>
      </c>
      <c r="AX402" s="164">
        <f t="shared" si="136"/>
        <v>22.174474871772617</v>
      </c>
      <c r="AY402" s="152"/>
    </row>
    <row r="403" spans="1:51" s="150" customFormat="1" x14ac:dyDescent="0.25">
      <c r="A403" s="150">
        <f t="shared" si="144"/>
        <v>399</v>
      </c>
      <c r="B403" s="150">
        <f t="shared" si="145"/>
        <v>34</v>
      </c>
      <c r="C403" s="150">
        <f t="shared" si="146"/>
        <v>3</v>
      </c>
      <c r="D403" s="150">
        <f>IF(E403="","",Input!$C$4+B403-1)</f>
        <v>78</v>
      </c>
      <c r="E403" s="150">
        <f>IF(OR(AND(C402=12,D402=Input!$C$6),E402=""),"",1)</f>
        <v>1</v>
      </c>
      <c r="F403" s="150">
        <f>IF(E403="","",Input!$C$8+B403-1)</f>
        <v>2051</v>
      </c>
      <c r="G403" s="151">
        <f>IF(E403="","",MAX(0,Input!$C$9-B403))</f>
        <v>0</v>
      </c>
      <c r="H403" s="152">
        <f>IF(E403="","",Input!$C$3)</f>
        <v>100000</v>
      </c>
      <c r="I403" s="153">
        <f>IF(E403="","",HLOOKUP($B403,Input!$C$13:$BT$14,2))</f>
        <v>84.427000000000007</v>
      </c>
      <c r="J403" s="154"/>
      <c r="K403" s="155">
        <f>IF($E403="","",Input!$C$57)</f>
        <v>4.4999999999999998E-2</v>
      </c>
      <c r="L403" s="155">
        <f t="shared" si="137"/>
        <v>3.6748094004368514E-3</v>
      </c>
      <c r="M403" s="147">
        <f>IF($E403="","",VLOOKUP(IF($B403&lt;=Input!$C$7,$B403,26),'Mortality Tables'!$A$72:$CA$97,IF($B403&lt;=Input!$C$7+1,Input!$C$4-16,$D403-Input!$C$7-16),0)/1000)</f>
        <v>3.4459999999999998E-2</v>
      </c>
      <c r="N403" s="147">
        <f t="shared" si="126"/>
        <v>2.9180465898710484E-3</v>
      </c>
      <c r="O403" s="157">
        <f>IF($E403="","",IF($C403=12,IF($B403&lt;Input!$C$9,Input!$C$54,IF($B403=Input!$C$9,Input!$C$55,Input!$C$56)),0%))</f>
        <v>0</v>
      </c>
      <c r="P403" s="167">
        <f>IF($E403="","",IF($B403=1,Input!$C$59,IF($B403&lt;6,Input!$C$60,0%)))</f>
        <v>0</v>
      </c>
      <c r="Q403" s="162">
        <f>IF($E403="","",Input!$C$58)</f>
        <v>2.5</v>
      </c>
      <c r="R403" s="156">
        <f t="shared" si="138"/>
        <v>0.99708195341012895</v>
      </c>
      <c r="S403" s="154">
        <f t="shared" si="127"/>
        <v>1.1817113180664815E-2</v>
      </c>
      <c r="T403" s="152"/>
      <c r="U403" s="150">
        <f t="shared" si="139"/>
        <v>0</v>
      </c>
      <c r="V403" s="150">
        <f t="shared" si="140"/>
        <v>0</v>
      </c>
      <c r="W403" s="168">
        <f t="shared" si="141"/>
        <v>0</v>
      </c>
      <c r="X403" s="163">
        <f t="shared" si="128"/>
        <v>291.80465898710486</v>
      </c>
      <c r="Y403" s="152"/>
      <c r="Z403" s="164">
        <f>IF(AND($C402=12,$D402=Input!$C$6),0,IF($E403="","",V403+Z404/(1+L403)*R403))</f>
        <v>70132.006709748923</v>
      </c>
      <c r="AA403" s="164">
        <f>IF(OR($M403=1,AND($C402=12,$D402=Input!$C$6)),0,IF($E403="","",W403+(X403+AA404*$R403)/(1+$L403)))</f>
        <v>30786.478228154661</v>
      </c>
      <c r="AB403" s="160">
        <f t="shared" si="129"/>
        <v>0.825720328500681</v>
      </c>
      <c r="AC403" s="164">
        <f t="shared" si="130"/>
        <v>0</v>
      </c>
      <c r="AD403" s="164">
        <f>IF(AND($C402=12,$D402=Input!$C$6),0,IF($E403="","",$AC403+AD404/(1+$L403)*$R403))</f>
        <v>57909.42361878576</v>
      </c>
      <c r="AE403" s="152"/>
      <c r="AF403" s="164">
        <f>IF(AND($C402=12,$D402=Input!$C$6),0,IF($E403="","",IF($B403&gt;Input!$C$9,$AC403,0)+AF404/(1+$L403)*$R403))</f>
        <v>57909.42361878576</v>
      </c>
      <c r="AG403" s="164">
        <f>IF(AND($C402=12,$D402=Input!$C$6),0,IF($E403="","",(IF($B403&gt;Input!$C$9,$X403,0)+AG404)/(1+$L403)*$R403))</f>
        <v>30311.806434883893</v>
      </c>
      <c r="AH403" s="160">
        <f t="shared" si="131"/>
        <v>2.0950137211446997</v>
      </c>
      <c r="AI403" s="160">
        <f>IF($E403="","",MIN(Input!$C$61/AH403,1))</f>
        <v>0.64438718771845094</v>
      </c>
      <c r="AJ403" s="152"/>
      <c r="AK403" s="164">
        <f>IF(AND($C402=12,$D402=Input!$C$6),0,IF($E403="","",IF($B403&gt;Input!$C$9,$AC403*AI403,0)+AK404/(1+$L403)*$R403))</f>
        <v>37316.090628105776</v>
      </c>
      <c r="AL403" s="164">
        <f>IF(AND($C402=12,$D402=Input!$C$6),0,IF($E403="","",IF($B403&gt;Input!$C$9,0,$AC403)+AL404/(1+$L403)*$R403))</f>
        <v>0</v>
      </c>
      <c r="AM403" s="160">
        <f t="shared" si="132"/>
        <v>1.1382936520186004</v>
      </c>
      <c r="AN403" s="164">
        <f>IF($E403="","",IF($B403&gt;Input!$C$9,$AI403*$AC403,$AM403*$AC403))</f>
        <v>0</v>
      </c>
      <c r="AO403" s="164">
        <f>IF(AND($C402=12,$D402=Input!$C$6),0,IF($E403="","",$AN403+AO404/(1+$L403)*$R403))</f>
        <v>37316.090628105776</v>
      </c>
      <c r="AP403" s="152"/>
      <c r="AQ403" s="164">
        <f t="shared" si="133"/>
        <v>-6529.6123999511146</v>
      </c>
      <c r="AR403" s="164">
        <f t="shared" si="142"/>
        <v>-7071.3082432816282</v>
      </c>
      <c r="AS403" s="164">
        <f t="shared" si="143"/>
        <v>1648.803827751196</v>
      </c>
      <c r="AT403" s="164">
        <f t="shared" si="134"/>
        <v>1648.803827751196</v>
      </c>
      <c r="AU403" s="152"/>
      <c r="AV403" s="147">
        <f>'Deterministic Reserve'!BC403</f>
        <v>1.3354859278135102E-2</v>
      </c>
      <c r="AW403" s="164">
        <f t="shared" si="135"/>
        <v>1648.803827751196</v>
      </c>
      <c r="AX403" s="164">
        <f t="shared" si="136"/>
        <v>22.019543096867729</v>
      </c>
      <c r="AY403" s="152"/>
    </row>
    <row r="404" spans="1:51" s="150" customFormat="1" x14ac:dyDescent="0.25">
      <c r="A404" s="150">
        <f t="shared" si="144"/>
        <v>400</v>
      </c>
      <c r="B404" s="150">
        <f t="shared" si="145"/>
        <v>34</v>
      </c>
      <c r="C404" s="150">
        <f t="shared" si="146"/>
        <v>4</v>
      </c>
      <c r="D404" s="150">
        <f>IF(E404="","",Input!$C$4+B404-1)</f>
        <v>78</v>
      </c>
      <c r="E404" s="150">
        <f>IF(OR(AND(C403=12,D403=Input!$C$6),E403=""),"",1)</f>
        <v>1</v>
      </c>
      <c r="F404" s="150">
        <f>IF(E404="","",Input!$C$8+B404-1)</f>
        <v>2051</v>
      </c>
      <c r="G404" s="151">
        <f>IF(E404="","",MAX(0,Input!$C$9-B404))</f>
        <v>0</v>
      </c>
      <c r="H404" s="152">
        <f>IF(E404="","",Input!$C$3)</f>
        <v>100000</v>
      </c>
      <c r="I404" s="153">
        <f>IF(E404="","",HLOOKUP($B404,Input!$C$13:$BT$14,2))</f>
        <v>84.427000000000007</v>
      </c>
      <c r="J404" s="154"/>
      <c r="K404" s="155">
        <f>IF($E404="","",Input!$C$57)</f>
        <v>4.4999999999999998E-2</v>
      </c>
      <c r="L404" s="155">
        <f t="shared" si="137"/>
        <v>3.6748094004368514E-3</v>
      </c>
      <c r="M404" s="147">
        <f>IF($E404="","",VLOOKUP(IF($B404&lt;=Input!$C$7,$B404,26),'Mortality Tables'!$A$72:$CA$97,IF($B404&lt;=Input!$C$7+1,Input!$C$4-16,$D404-Input!$C$7-16),0)/1000)</f>
        <v>3.4459999999999998E-2</v>
      </c>
      <c r="N404" s="147">
        <f t="shared" si="126"/>
        <v>2.9180465898710484E-3</v>
      </c>
      <c r="O404" s="157">
        <f>IF($E404="","",IF($C404=12,IF($B404&lt;Input!$C$9,Input!$C$54,IF($B404=Input!$C$9,Input!$C$55,Input!$C$56)),0%))</f>
        <v>0</v>
      </c>
      <c r="P404" s="167">
        <f>IF($E404="","",IF($B404=1,Input!$C$59,IF($B404&lt;6,Input!$C$60,0%)))</f>
        <v>0</v>
      </c>
      <c r="Q404" s="162">
        <f>IF($E404="","",Input!$C$58)</f>
        <v>2.5</v>
      </c>
      <c r="R404" s="156">
        <f t="shared" si="138"/>
        <v>0.99708195341012895</v>
      </c>
      <c r="S404" s="154">
        <f t="shared" si="127"/>
        <v>1.1782630293845856E-2</v>
      </c>
      <c r="T404" s="152"/>
      <c r="U404" s="150">
        <f t="shared" si="139"/>
        <v>0</v>
      </c>
      <c r="V404" s="150">
        <f t="shared" si="140"/>
        <v>0</v>
      </c>
      <c r="W404" s="168">
        <f t="shared" si="141"/>
        <v>0</v>
      </c>
      <c r="X404" s="163">
        <f t="shared" si="128"/>
        <v>291.80465898710486</v>
      </c>
      <c r="Y404" s="152"/>
      <c r="Z404" s="164">
        <f>IF(AND($C403=12,$D403=Input!$C$6),0,IF($E404="","",V404+Z405/(1+L404)*R404))</f>
        <v>70595.730096745669</v>
      </c>
      <c r="AA404" s="164">
        <f>IF(OR($M404=1,AND($C403=12,$D403=Input!$C$6)),0,IF($E404="","",W404+(X404+AA405*$R404)/(1+$L404)))</f>
        <v>30697.384406652516</v>
      </c>
      <c r="AB404" s="160">
        <f t="shared" si="129"/>
        <v>0.825720328500681</v>
      </c>
      <c r="AC404" s="164">
        <f t="shared" si="130"/>
        <v>0</v>
      </c>
      <c r="AD404" s="164">
        <f>IF(AND($C403=12,$D403=Input!$C$6),0,IF($E404="","",$AC404+AD405/(1+$L404)*$R404))</f>
        <v>58292.329446230171</v>
      </c>
      <c r="AE404" s="152"/>
      <c r="AF404" s="164">
        <f>IF(AND($C403=12,$D403=Input!$C$6),0,IF($E404="","",IF($B404&gt;Input!$C$9,$AC404,0)+AF405/(1+$L404)*$R404))</f>
        <v>58292.329446230171</v>
      </c>
      <c r="AG404" s="164">
        <f>IF(AND($C403=12,$D403=Input!$C$6),0,IF($E404="","",(IF($B404&gt;Input!$C$9,$X404,0)+AG405)/(1+$L404)*$R404))</f>
        <v>30220.428003598332</v>
      </c>
      <c r="AH404" s="160">
        <f t="shared" si="131"/>
        <v>2.0950137211446997</v>
      </c>
      <c r="AI404" s="160">
        <f>IF($E404="","",MIN(Input!$C$61/AH404,1))</f>
        <v>0.64438718771845094</v>
      </c>
      <c r="AJ404" s="152"/>
      <c r="AK404" s="164">
        <f>IF(AND($C403=12,$D403=Input!$C$6),0,IF($E404="","",IF($B404&gt;Input!$C$9,$AC404*AI404,0)+AK405/(1+$L404)*$R404))</f>
        <v>37562.830237413684</v>
      </c>
      <c r="AL404" s="164">
        <f>IF(AND($C403=12,$D403=Input!$C$6),0,IF($E404="","",IF($B404&gt;Input!$C$9,0,$AC404)+AL405/(1+$L404)*$R404))</f>
        <v>0</v>
      </c>
      <c r="AM404" s="160">
        <f t="shared" si="132"/>
        <v>1.1382936520186004</v>
      </c>
      <c r="AN404" s="164">
        <f>IF($E404="","",IF($B404&gt;Input!$C$9,$AI404*$AC404,$AM404*$AC404))</f>
        <v>0</v>
      </c>
      <c r="AO404" s="164">
        <f>IF(AND($C403=12,$D403=Input!$C$6),0,IF($E404="","",$AN404+AO405/(1+$L404)*$R404))</f>
        <v>37562.830237413684</v>
      </c>
      <c r="AP404" s="152"/>
      <c r="AQ404" s="164">
        <f t="shared" si="133"/>
        <v>-6865.4458307611676</v>
      </c>
      <c r="AR404" s="164">
        <f t="shared" si="142"/>
        <v>-7071.3082432816282</v>
      </c>
      <c r="AS404" s="164">
        <f t="shared" si="143"/>
        <v>1648.803827751196</v>
      </c>
      <c r="AT404" s="164">
        <f t="shared" si="134"/>
        <v>1648.803827751196</v>
      </c>
      <c r="AU404" s="152"/>
      <c r="AV404" s="147">
        <f>'Deterministic Reserve'!BC404</f>
        <v>1.3261549647871868E-2</v>
      </c>
      <c r="AW404" s="164">
        <f t="shared" si="135"/>
        <v>1648.803827751196</v>
      </c>
      <c r="AX404" s="164">
        <f t="shared" si="136"/>
        <v>21.86569382132366</v>
      </c>
      <c r="AY404" s="152"/>
    </row>
    <row r="405" spans="1:51" s="150" customFormat="1" x14ac:dyDescent="0.25">
      <c r="A405" s="150">
        <f t="shared" si="144"/>
        <v>401</v>
      </c>
      <c r="B405" s="150">
        <f t="shared" si="145"/>
        <v>34</v>
      </c>
      <c r="C405" s="150">
        <f t="shared" si="146"/>
        <v>5</v>
      </c>
      <c r="D405" s="150">
        <f>IF(E405="","",Input!$C$4+B405-1)</f>
        <v>78</v>
      </c>
      <c r="E405" s="150">
        <f>IF(OR(AND(C404=12,D404=Input!$C$6),E404=""),"",1)</f>
        <v>1</v>
      </c>
      <c r="F405" s="150">
        <f>IF(E405="","",Input!$C$8+B405-1)</f>
        <v>2051</v>
      </c>
      <c r="G405" s="151">
        <f>IF(E405="","",MAX(0,Input!$C$9-B405))</f>
        <v>0</v>
      </c>
      <c r="H405" s="152">
        <f>IF(E405="","",Input!$C$3)</f>
        <v>100000</v>
      </c>
      <c r="I405" s="153">
        <f>IF(E405="","",HLOOKUP($B405,Input!$C$13:$BT$14,2))</f>
        <v>84.427000000000007</v>
      </c>
      <c r="J405" s="154"/>
      <c r="K405" s="155">
        <f>IF($E405="","",Input!$C$57)</f>
        <v>4.4999999999999998E-2</v>
      </c>
      <c r="L405" s="155">
        <f t="shared" si="137"/>
        <v>3.6748094004368514E-3</v>
      </c>
      <c r="M405" s="147">
        <f>IF($E405="","",VLOOKUP(IF($B405&lt;=Input!$C$7,$B405,26),'Mortality Tables'!$A$72:$CA$97,IF($B405&lt;=Input!$C$7+1,Input!$C$4-16,$D405-Input!$C$7-16),0)/1000)</f>
        <v>3.4459999999999998E-2</v>
      </c>
      <c r="N405" s="147">
        <f t="shared" si="126"/>
        <v>2.9180465898710484E-3</v>
      </c>
      <c r="O405" s="157">
        <f>IF($E405="","",IF($C405=12,IF($B405&lt;Input!$C$9,Input!$C$54,IF($B405=Input!$C$9,Input!$C$55,Input!$C$56)),0%))</f>
        <v>0</v>
      </c>
      <c r="P405" s="167">
        <f>IF($E405="","",IF($B405=1,Input!$C$59,IF($B405&lt;6,Input!$C$60,0%)))</f>
        <v>0</v>
      </c>
      <c r="Q405" s="162">
        <f>IF($E405="","",Input!$C$58)</f>
        <v>2.5</v>
      </c>
      <c r="R405" s="156">
        <f t="shared" si="138"/>
        <v>0.99708195341012895</v>
      </c>
      <c r="S405" s="154">
        <f t="shared" si="127"/>
        <v>1.1748248029697188E-2</v>
      </c>
      <c r="T405" s="152"/>
      <c r="U405" s="150">
        <f t="shared" si="139"/>
        <v>0</v>
      </c>
      <c r="V405" s="150">
        <f t="shared" si="140"/>
        <v>0</v>
      </c>
      <c r="W405" s="168">
        <f t="shared" si="141"/>
        <v>0</v>
      </c>
      <c r="X405" s="163">
        <f t="shared" si="128"/>
        <v>291.80465898710486</v>
      </c>
      <c r="Y405" s="152"/>
      <c r="Z405" s="164">
        <f>IF(AND($C404=12,$D404=Input!$C$6),0,IF($E405="","",V405+Z406/(1+L405)*R405))</f>
        <v>71062.519692592497</v>
      </c>
      <c r="AA405" s="164">
        <f>IF(OR($M405=1,AND($C404=12,$D404=Input!$C$6)),0,IF($E405="","",W405+(X405+AA406*$R405)/(1+$L405)))</f>
        <v>30607.701483389199</v>
      </c>
      <c r="AB405" s="160">
        <f t="shared" si="129"/>
        <v>0.825720328500681</v>
      </c>
      <c r="AC405" s="164">
        <f t="shared" si="130"/>
        <v>0</v>
      </c>
      <c r="AD405" s="164">
        <f>IF(AND($C404=12,$D404=Input!$C$6),0,IF($E405="","",$AC405+AD406/(1+$L405)*$R405))</f>
        <v>58677.767104653525</v>
      </c>
      <c r="AE405" s="152"/>
      <c r="AF405" s="164">
        <f>IF(AND($C404=12,$D404=Input!$C$6),0,IF($E405="","",IF($B405&gt;Input!$C$9,$AC405,0)+AF406/(1+$L405)*$R405))</f>
        <v>58677.767104653525</v>
      </c>
      <c r="AG405" s="164">
        <f>IF(AND($C404=12,$D404=Input!$C$6),0,IF($E405="","",(IF($B405&gt;Input!$C$9,$X405,0)+AG406)/(1+$L405)*$R405))</f>
        <v>30128.445364367752</v>
      </c>
      <c r="AH405" s="160">
        <f t="shared" si="131"/>
        <v>2.0950137211446997</v>
      </c>
      <c r="AI405" s="160">
        <f>IF($E405="","",MIN(Input!$C$61/AH405,1))</f>
        <v>0.64438718771845094</v>
      </c>
      <c r="AJ405" s="152"/>
      <c r="AK405" s="164">
        <f>IF(AND($C404=12,$D404=Input!$C$6),0,IF($E405="","",IF($B405&gt;Input!$C$9,$AC405*AI405,0)+AK406/(1+$L405)*$R405))</f>
        <v>37811.201326165887</v>
      </c>
      <c r="AL405" s="164">
        <f>IF(AND($C404=12,$D404=Input!$C$6),0,IF($E405="","",IF($B405&gt;Input!$C$9,0,$AC405)+AL406/(1+$L405)*$R405))</f>
        <v>0</v>
      </c>
      <c r="AM405" s="160">
        <f t="shared" si="132"/>
        <v>1.1382936520186004</v>
      </c>
      <c r="AN405" s="164">
        <f>IF($E405="","",IF($B405&gt;Input!$C$9,$AI405*$AC405,$AM405*$AC405))</f>
        <v>0</v>
      </c>
      <c r="AO405" s="164">
        <f>IF(AND($C404=12,$D404=Input!$C$6),0,IF($E405="","",$AN405+AO406/(1+$L405)*$R405))</f>
        <v>37811.201326165887</v>
      </c>
      <c r="AP405" s="152"/>
      <c r="AQ405" s="164">
        <f t="shared" si="133"/>
        <v>-7203.4998427766877</v>
      </c>
      <c r="AR405" s="164">
        <f t="shared" si="142"/>
        <v>-7071.3082432816282</v>
      </c>
      <c r="AS405" s="164">
        <f t="shared" si="143"/>
        <v>1648.803827751196</v>
      </c>
      <c r="AT405" s="164">
        <f t="shared" si="134"/>
        <v>1648.803827751196</v>
      </c>
      <c r="AU405" s="152"/>
      <c r="AV405" s="147">
        <f>'Deterministic Reserve'!BC405</f>
        <v>1.3168891966604765E-2</v>
      </c>
      <c r="AW405" s="164">
        <f t="shared" si="135"/>
        <v>1648.803827751196</v>
      </c>
      <c r="AX405" s="164">
        <f t="shared" si="136"/>
        <v>21.712919481779913</v>
      </c>
      <c r="AY405" s="152"/>
    </row>
    <row r="406" spans="1:51" s="150" customFormat="1" x14ac:dyDescent="0.25">
      <c r="A406" s="150">
        <f t="shared" si="144"/>
        <v>402</v>
      </c>
      <c r="B406" s="150">
        <f t="shared" si="145"/>
        <v>34</v>
      </c>
      <c r="C406" s="150">
        <f t="shared" si="146"/>
        <v>6</v>
      </c>
      <c r="D406" s="150">
        <f>IF(E406="","",Input!$C$4+B406-1)</f>
        <v>78</v>
      </c>
      <c r="E406" s="150">
        <f>IF(OR(AND(C405=12,D405=Input!$C$6),E405=""),"",1)</f>
        <v>1</v>
      </c>
      <c r="F406" s="150">
        <f>IF(E406="","",Input!$C$8+B406-1)</f>
        <v>2051</v>
      </c>
      <c r="G406" s="151">
        <f>IF(E406="","",MAX(0,Input!$C$9-B406))</f>
        <v>0</v>
      </c>
      <c r="H406" s="152">
        <f>IF(E406="","",Input!$C$3)</f>
        <v>100000</v>
      </c>
      <c r="I406" s="153">
        <f>IF(E406="","",HLOOKUP($B406,Input!$C$13:$BT$14,2))</f>
        <v>84.427000000000007</v>
      </c>
      <c r="J406" s="154"/>
      <c r="K406" s="155">
        <f>IF($E406="","",Input!$C$57)</f>
        <v>4.4999999999999998E-2</v>
      </c>
      <c r="L406" s="155">
        <f t="shared" si="137"/>
        <v>3.6748094004368514E-3</v>
      </c>
      <c r="M406" s="147">
        <f>IF($E406="","",VLOOKUP(IF($B406&lt;=Input!$C$7,$B406,26),'Mortality Tables'!$A$72:$CA$97,IF($B406&lt;=Input!$C$7+1,Input!$C$4-16,$D406-Input!$C$7-16),0)/1000)</f>
        <v>3.4459999999999998E-2</v>
      </c>
      <c r="N406" s="147">
        <f t="shared" si="126"/>
        <v>2.9180465898710484E-3</v>
      </c>
      <c r="O406" s="157">
        <f>IF($E406="","",IF($C406=12,IF($B406&lt;Input!$C$9,Input!$C$54,IF($B406=Input!$C$9,Input!$C$55,Input!$C$56)),0%))</f>
        <v>0</v>
      </c>
      <c r="P406" s="167">
        <f>IF($E406="","",IF($B406=1,Input!$C$59,IF($B406&lt;6,Input!$C$60,0%)))</f>
        <v>0</v>
      </c>
      <c r="Q406" s="162">
        <f>IF($E406="","",Input!$C$58)</f>
        <v>2.5</v>
      </c>
      <c r="R406" s="156">
        <f t="shared" si="138"/>
        <v>0.99708195341012895</v>
      </c>
      <c r="S406" s="154">
        <f t="shared" si="127"/>
        <v>1.1713966094597171E-2</v>
      </c>
      <c r="T406" s="152"/>
      <c r="U406" s="150">
        <f t="shared" si="139"/>
        <v>0</v>
      </c>
      <c r="V406" s="150">
        <f t="shared" si="140"/>
        <v>0</v>
      </c>
      <c r="W406" s="168">
        <f t="shared" si="141"/>
        <v>0</v>
      </c>
      <c r="X406" s="163">
        <f t="shared" si="128"/>
        <v>291.80465898710486</v>
      </c>
      <c r="Y406" s="152"/>
      <c r="Z406" s="164">
        <f>IF(AND($C405=12,$D405=Input!$C$6),0,IF($E406="","",V406+Z407/(1+L406)*R406))</f>
        <v>71532.395771523967</v>
      </c>
      <c r="AA406" s="164">
        <f>IF(OR($M406=1,AND($C405=12,$D405=Input!$C$6)),0,IF($E406="","",W406+(X406+AA407*$R406)/(1+$L406)))</f>
        <v>30517.42556313517</v>
      </c>
      <c r="AB406" s="160">
        <f t="shared" si="129"/>
        <v>0.825720328500681</v>
      </c>
      <c r="AC406" s="164">
        <f t="shared" si="130"/>
        <v>0</v>
      </c>
      <c r="AD406" s="164">
        <f>IF(AND($C405=12,$D405=Input!$C$6),0,IF($E406="","",$AC406+AD407/(1+$L406)*$R406))</f>
        <v>59065.753334903427</v>
      </c>
      <c r="AE406" s="152"/>
      <c r="AF406" s="164">
        <f>IF(AND($C405=12,$D405=Input!$C$6),0,IF($E406="","",IF($B406&gt;Input!$C$9,$AC406,0)+AF407/(1+$L406)*$R406))</f>
        <v>59065.753334903427</v>
      </c>
      <c r="AG406" s="164">
        <f>IF(AND($C405=12,$D405=Input!$C$6),0,IF($E406="","",(IF($B406&gt;Input!$C$9,$X406,0)+AG407)/(1+$L406)*$R406))</f>
        <v>30035.854522078254</v>
      </c>
      <c r="AH406" s="160">
        <f t="shared" si="131"/>
        <v>2.0950137211446997</v>
      </c>
      <c r="AI406" s="160">
        <f>IF($E406="","",MIN(Input!$C$61/AH406,1))</f>
        <v>0.64438718771845094</v>
      </c>
      <c r="AJ406" s="152"/>
      <c r="AK406" s="164">
        <f>IF(AND($C405=12,$D405=Input!$C$6),0,IF($E406="","",IF($B406&gt;Input!$C$9,$AC406*AI406,0)+AK407/(1+$L406)*$R406))</f>
        <v>38061.214681950107</v>
      </c>
      <c r="AL406" s="164">
        <f>IF(AND($C405=12,$D405=Input!$C$6),0,IF($E406="","",IF($B406&gt;Input!$C$9,0,$AC406)+AL407/(1+$L406)*$R406))</f>
        <v>0</v>
      </c>
      <c r="AM406" s="160">
        <f t="shared" si="132"/>
        <v>1.1382936520186004</v>
      </c>
      <c r="AN406" s="164">
        <f>IF($E406="","",IF($B406&gt;Input!$C$9,$AI406*$AC406,$AM406*$AC406))</f>
        <v>0</v>
      </c>
      <c r="AO406" s="164">
        <f>IF(AND($C405=12,$D405=Input!$C$6),0,IF($E406="","",$AN406+AO407/(1+$L406)*$R406))</f>
        <v>38061.214681950107</v>
      </c>
      <c r="AP406" s="152"/>
      <c r="AQ406" s="164">
        <f t="shared" si="133"/>
        <v>-7543.789118814937</v>
      </c>
      <c r="AR406" s="164">
        <f t="shared" si="142"/>
        <v>-7071.3082432816282</v>
      </c>
      <c r="AS406" s="164">
        <f t="shared" si="143"/>
        <v>1648.803827751196</v>
      </c>
      <c r="AT406" s="164">
        <f t="shared" si="134"/>
        <v>1648.803827751196</v>
      </c>
      <c r="AU406" s="152"/>
      <c r="AV406" s="147">
        <f>'Deterministic Reserve'!BC406</f>
        <v>1.3076881679203822E-2</v>
      </c>
      <c r="AW406" s="164">
        <f t="shared" si="135"/>
        <v>1648.803827751196</v>
      </c>
      <c r="AX406" s="164">
        <f t="shared" si="136"/>
        <v>21.561212567720748</v>
      </c>
      <c r="AY406" s="152"/>
    </row>
    <row r="407" spans="1:51" s="150" customFormat="1" x14ac:dyDescent="0.25">
      <c r="A407" s="150">
        <f t="shared" si="144"/>
        <v>403</v>
      </c>
      <c r="B407" s="150">
        <f t="shared" si="145"/>
        <v>34</v>
      </c>
      <c r="C407" s="150">
        <f t="shared" si="146"/>
        <v>7</v>
      </c>
      <c r="D407" s="150">
        <f>IF(E407="","",Input!$C$4+B407-1)</f>
        <v>78</v>
      </c>
      <c r="E407" s="150">
        <f>IF(OR(AND(C406=12,D406=Input!$C$6),E406=""),"",1)</f>
        <v>1</v>
      </c>
      <c r="F407" s="150">
        <f>IF(E407="","",Input!$C$8+B407-1)</f>
        <v>2051</v>
      </c>
      <c r="G407" s="151">
        <f>IF(E407="","",MAX(0,Input!$C$9-B407))</f>
        <v>0</v>
      </c>
      <c r="H407" s="152">
        <f>IF(E407="","",Input!$C$3)</f>
        <v>100000</v>
      </c>
      <c r="I407" s="153">
        <f>IF(E407="","",HLOOKUP($B407,Input!$C$13:$BT$14,2))</f>
        <v>84.427000000000007</v>
      </c>
      <c r="J407" s="154"/>
      <c r="K407" s="155">
        <f>IF($E407="","",Input!$C$57)</f>
        <v>4.4999999999999998E-2</v>
      </c>
      <c r="L407" s="155">
        <f t="shared" si="137"/>
        <v>3.6748094004368514E-3</v>
      </c>
      <c r="M407" s="147">
        <f>IF($E407="","",VLOOKUP(IF($B407&lt;=Input!$C$7,$B407,26),'Mortality Tables'!$A$72:$CA$97,IF($B407&lt;=Input!$C$7+1,Input!$C$4-16,$D407-Input!$C$7-16),0)/1000)</f>
        <v>3.4459999999999998E-2</v>
      </c>
      <c r="N407" s="147">
        <f t="shared" si="126"/>
        <v>2.9180465898710484E-3</v>
      </c>
      <c r="O407" s="157">
        <f>IF($E407="","",IF($C407=12,IF($B407&lt;Input!$C$9,Input!$C$54,IF($B407=Input!$C$9,Input!$C$55,Input!$C$56)),0%))</f>
        <v>0</v>
      </c>
      <c r="P407" s="167">
        <f>IF($E407="","",IF($B407=1,Input!$C$59,IF($B407&lt;6,Input!$C$60,0%)))</f>
        <v>0</v>
      </c>
      <c r="Q407" s="162">
        <f>IF($E407="","",Input!$C$58)</f>
        <v>2.5</v>
      </c>
      <c r="R407" s="156">
        <f t="shared" si="138"/>
        <v>0.99708195341012895</v>
      </c>
      <c r="S407" s="154">
        <f t="shared" si="127"/>
        <v>1.1679784195780966E-2</v>
      </c>
      <c r="T407" s="152"/>
      <c r="U407" s="150">
        <f t="shared" si="139"/>
        <v>0</v>
      </c>
      <c r="V407" s="150">
        <f t="shared" si="140"/>
        <v>0</v>
      </c>
      <c r="W407" s="168">
        <f t="shared" si="141"/>
        <v>0</v>
      </c>
      <c r="X407" s="163">
        <f t="shared" si="128"/>
        <v>291.80465898710486</v>
      </c>
      <c r="Y407" s="152"/>
      <c r="Z407" s="164">
        <f>IF(AND($C406=12,$D406=Input!$C$6),0,IF($E407="","",V407+Z408/(1+L407)*R407))</f>
        <v>72005.378741830893</v>
      </c>
      <c r="AA407" s="164">
        <f>IF(OR($M407=1,AND($C406=12,$D406=Input!$C$6)),0,IF($E407="","",W407+(X407+AA408*$R407)/(1+$L407)))</f>
        <v>30426.552724905046</v>
      </c>
      <c r="AB407" s="160">
        <f t="shared" si="129"/>
        <v>0.825720328500681</v>
      </c>
      <c r="AC407" s="164">
        <f t="shared" si="130"/>
        <v>0</v>
      </c>
      <c r="AD407" s="164">
        <f>IF(AND($C406=12,$D406=Input!$C$6),0,IF($E407="","",$AC407+AD408/(1+$L407)*$R407))</f>
        <v>59456.304988520504</v>
      </c>
      <c r="AE407" s="152"/>
      <c r="AF407" s="164">
        <f>IF(AND($C406=12,$D406=Input!$C$6),0,IF($E407="","",IF($B407&gt;Input!$C$9,$AC407,0)+AF408/(1+$L407)*$R407))</f>
        <v>59456.304988520504</v>
      </c>
      <c r="AG407" s="164">
        <f>IF(AND($C406=12,$D406=Input!$C$6),0,IF($E407="","",(IF($B407&gt;Input!$C$9,$X407,0)+AG408)/(1+$L407)*$R407))</f>
        <v>29942.651455199644</v>
      </c>
      <c r="AH407" s="160">
        <f t="shared" si="131"/>
        <v>2.0950137211446997</v>
      </c>
      <c r="AI407" s="160">
        <f>IF($E407="","",MIN(Input!$C$61/AH407,1))</f>
        <v>0.64438718771845094</v>
      </c>
      <c r="AJ407" s="152"/>
      <c r="AK407" s="164">
        <f>IF(AND($C406=12,$D406=Input!$C$6),0,IF($E407="","",IF($B407&gt;Input!$C$9,$AC407*AI407,0)+AK408/(1+$L407)*$R407))</f>
        <v>38312.881163683203</v>
      </c>
      <c r="AL407" s="164">
        <f>IF(AND($C406=12,$D406=Input!$C$6),0,IF($E407="","",IF($B407&gt;Input!$C$9,0,$AC407)+AL408/(1+$L407)*$R407))</f>
        <v>0</v>
      </c>
      <c r="AM407" s="160">
        <f t="shared" si="132"/>
        <v>1.1382936520186004</v>
      </c>
      <c r="AN407" s="164">
        <f>IF($E407="","",IF($B407&gt;Input!$C$9,$AI407*$AC407,$AM407*$AC407))</f>
        <v>0</v>
      </c>
      <c r="AO407" s="164">
        <f>IF(AND($C406=12,$D406=Input!$C$6),0,IF($E407="","",$AN407+AO408/(1+$L407)*$R407))</f>
        <v>38312.881163683203</v>
      </c>
      <c r="AP407" s="152"/>
      <c r="AQ407" s="164">
        <f t="shared" si="133"/>
        <v>-7886.3284387781569</v>
      </c>
      <c r="AR407" s="164">
        <f t="shared" si="142"/>
        <v>-7071.3082432816282</v>
      </c>
      <c r="AS407" s="164">
        <f t="shared" si="143"/>
        <v>1648.803827751196</v>
      </c>
      <c r="AT407" s="164">
        <f t="shared" si="134"/>
        <v>1648.803827751196</v>
      </c>
      <c r="AU407" s="152"/>
      <c r="AV407" s="147">
        <f>'Deterministic Reserve'!BC407</f>
        <v>1.2985514262365496E-2</v>
      </c>
      <c r="AW407" s="164">
        <f t="shared" si="135"/>
        <v>1648.803827751196</v>
      </c>
      <c r="AX407" s="164">
        <f t="shared" si="136"/>
        <v>21.410565621105977</v>
      </c>
      <c r="AY407" s="152"/>
    </row>
    <row r="408" spans="1:51" s="150" customFormat="1" x14ac:dyDescent="0.25">
      <c r="A408" s="150">
        <f t="shared" si="144"/>
        <v>404</v>
      </c>
      <c r="B408" s="150">
        <f t="shared" si="145"/>
        <v>34</v>
      </c>
      <c r="C408" s="150">
        <f t="shared" si="146"/>
        <v>8</v>
      </c>
      <c r="D408" s="150">
        <f>IF(E408="","",Input!$C$4+B408-1)</f>
        <v>78</v>
      </c>
      <c r="E408" s="150">
        <f>IF(OR(AND(C407=12,D407=Input!$C$6),E407=""),"",1)</f>
        <v>1</v>
      </c>
      <c r="F408" s="150">
        <f>IF(E408="","",Input!$C$8+B408-1)</f>
        <v>2051</v>
      </c>
      <c r="G408" s="151">
        <f>IF(E408="","",MAX(0,Input!$C$9-B408))</f>
        <v>0</v>
      </c>
      <c r="H408" s="152">
        <f>IF(E408="","",Input!$C$3)</f>
        <v>100000</v>
      </c>
      <c r="I408" s="153">
        <f>IF(E408="","",HLOOKUP($B408,Input!$C$13:$BT$14,2))</f>
        <v>84.427000000000007</v>
      </c>
      <c r="J408" s="154"/>
      <c r="K408" s="155">
        <f>IF($E408="","",Input!$C$57)</f>
        <v>4.4999999999999998E-2</v>
      </c>
      <c r="L408" s="155">
        <f t="shared" si="137"/>
        <v>3.6748094004368514E-3</v>
      </c>
      <c r="M408" s="147">
        <f>IF($E408="","",VLOOKUP(IF($B408&lt;=Input!$C$7,$B408,26),'Mortality Tables'!$A$72:$CA$97,IF($B408&lt;=Input!$C$7+1,Input!$C$4-16,$D408-Input!$C$7-16),0)/1000)</f>
        <v>3.4459999999999998E-2</v>
      </c>
      <c r="N408" s="147">
        <f t="shared" si="126"/>
        <v>2.9180465898710484E-3</v>
      </c>
      <c r="O408" s="157">
        <f>IF($E408="","",IF($C408=12,IF($B408&lt;Input!$C$9,Input!$C$54,IF($B408=Input!$C$9,Input!$C$55,Input!$C$56)),0%))</f>
        <v>0</v>
      </c>
      <c r="P408" s="167">
        <f>IF($E408="","",IF($B408=1,Input!$C$59,IF($B408&lt;6,Input!$C$60,0%)))</f>
        <v>0</v>
      </c>
      <c r="Q408" s="162">
        <f>IF($E408="","",Input!$C$58)</f>
        <v>2.5</v>
      </c>
      <c r="R408" s="156">
        <f t="shared" si="138"/>
        <v>0.99708195341012895</v>
      </c>
      <c r="S408" s="154">
        <f t="shared" si="127"/>
        <v>1.1645702041338038E-2</v>
      </c>
      <c r="T408" s="152"/>
      <c r="U408" s="150">
        <f t="shared" si="139"/>
        <v>0</v>
      </c>
      <c r="V408" s="150">
        <f t="shared" si="140"/>
        <v>0</v>
      </c>
      <c r="W408" s="168">
        <f t="shared" si="141"/>
        <v>0</v>
      </c>
      <c r="X408" s="163">
        <f t="shared" si="128"/>
        <v>291.80465898710486</v>
      </c>
      <c r="Y408" s="152"/>
      <c r="Z408" s="164">
        <f>IF(AND($C407=12,$D407=Input!$C$6),0,IF($E408="","",V408+Z409/(1+L408)*R408))</f>
        <v>72481.489146746826</v>
      </c>
      <c r="AA408" s="164">
        <f>IF(OR($M408=1,AND($C407=12,$D407=Input!$C$6)),0,IF($E408="","",W408+(X408+AA409*$R408)/(1+$L408)))</f>
        <v>30335.079021787304</v>
      </c>
      <c r="AB408" s="160">
        <f t="shared" si="129"/>
        <v>0.825720328500681</v>
      </c>
      <c r="AC408" s="164">
        <f t="shared" si="130"/>
        <v>0</v>
      </c>
      <c r="AD408" s="164">
        <f>IF(AND($C407=12,$D407=Input!$C$6),0,IF($E408="","",$AC408+AD409/(1+$L408)*$R408))</f>
        <v>59849.439028470282</v>
      </c>
      <c r="AE408" s="152"/>
      <c r="AF408" s="164">
        <f>IF(AND($C407=12,$D407=Input!$C$6),0,IF($E408="","",IF($B408&gt;Input!$C$9,$AC408,0)+AF409/(1+$L408)*$R408))</f>
        <v>59849.439028470282</v>
      </c>
      <c r="AG408" s="164">
        <f>IF(AND($C407=12,$D407=Input!$C$6),0,IF($E408="","",(IF($B408&gt;Input!$C$9,$X408,0)+AG409)/(1+$L408)*$R408))</f>
        <v>29848.83211561077</v>
      </c>
      <c r="AH408" s="160">
        <f t="shared" si="131"/>
        <v>2.0950137211446997</v>
      </c>
      <c r="AI408" s="160">
        <f>IF($E408="","",MIN(Input!$C$61/AH408,1))</f>
        <v>0.64438718771845094</v>
      </c>
      <c r="AJ408" s="152"/>
      <c r="AK408" s="164">
        <f>IF(AND($C407=12,$D407=Input!$C$6),0,IF($E408="","",IF($B408&gt;Input!$C$9,$AC408*AI408,0)+AK409/(1+$L408)*$R408))</f>
        <v>38566.211702082837</v>
      </c>
      <c r="AL408" s="164">
        <f>IF(AND($C407=12,$D407=Input!$C$6),0,IF($E408="","",IF($B408&gt;Input!$C$9,0,$AC408)+AL409/(1+$L408)*$R408))</f>
        <v>0</v>
      </c>
      <c r="AM408" s="160">
        <f t="shared" si="132"/>
        <v>1.1382936520186004</v>
      </c>
      <c r="AN408" s="164">
        <f>IF($E408="","",IF($B408&gt;Input!$C$9,$AI408*$AC408,$AM408*$AC408))</f>
        <v>0</v>
      </c>
      <c r="AO408" s="164">
        <f>IF(AND($C407=12,$D407=Input!$C$6),0,IF($E408="","",$AN408+AO409/(1+$L408)*$R408))</f>
        <v>38566.211702082837</v>
      </c>
      <c r="AP408" s="152"/>
      <c r="AQ408" s="164">
        <f t="shared" si="133"/>
        <v>-8231.1326802955336</v>
      </c>
      <c r="AR408" s="164">
        <f t="shared" si="142"/>
        <v>-7071.3082432816282</v>
      </c>
      <c r="AS408" s="164">
        <f t="shared" si="143"/>
        <v>1648.803827751196</v>
      </c>
      <c r="AT408" s="164">
        <f t="shared" si="134"/>
        <v>1648.803827751196</v>
      </c>
      <c r="AU408" s="152"/>
      <c r="AV408" s="147">
        <f>'Deterministic Reserve'!BC408</f>
        <v>1.2894785224390302E-2</v>
      </c>
      <c r="AW408" s="164">
        <f t="shared" si="135"/>
        <v>1648.803827751196</v>
      </c>
      <c r="AX408" s="164">
        <f t="shared" si="136"/>
        <v>21.260971236004295</v>
      </c>
      <c r="AY408" s="152"/>
    </row>
    <row r="409" spans="1:51" s="150" customFormat="1" x14ac:dyDescent="0.25">
      <c r="A409" s="150">
        <f t="shared" si="144"/>
        <v>405</v>
      </c>
      <c r="B409" s="150">
        <f t="shared" si="145"/>
        <v>34</v>
      </c>
      <c r="C409" s="150">
        <f t="shared" si="146"/>
        <v>9</v>
      </c>
      <c r="D409" s="150">
        <f>IF(E409="","",Input!$C$4+B409-1)</f>
        <v>78</v>
      </c>
      <c r="E409" s="150">
        <f>IF(OR(AND(C408=12,D408=Input!$C$6),E408=""),"",1)</f>
        <v>1</v>
      </c>
      <c r="F409" s="150">
        <f>IF(E409="","",Input!$C$8+B409-1)</f>
        <v>2051</v>
      </c>
      <c r="G409" s="151">
        <f>IF(E409="","",MAX(0,Input!$C$9-B409))</f>
        <v>0</v>
      </c>
      <c r="H409" s="152">
        <f>IF(E409="","",Input!$C$3)</f>
        <v>100000</v>
      </c>
      <c r="I409" s="153">
        <f>IF(E409="","",HLOOKUP($B409,Input!$C$13:$BT$14,2))</f>
        <v>84.427000000000007</v>
      </c>
      <c r="J409" s="154"/>
      <c r="K409" s="155">
        <f>IF($E409="","",Input!$C$57)</f>
        <v>4.4999999999999998E-2</v>
      </c>
      <c r="L409" s="155">
        <f t="shared" si="137"/>
        <v>3.6748094004368514E-3</v>
      </c>
      <c r="M409" s="147">
        <f>IF($E409="","",VLOOKUP(IF($B409&lt;=Input!$C$7,$B409,26),'Mortality Tables'!$A$72:$CA$97,IF($B409&lt;=Input!$C$7+1,Input!$C$4-16,$D409-Input!$C$7-16),0)/1000)</f>
        <v>3.4459999999999998E-2</v>
      </c>
      <c r="N409" s="147">
        <f t="shared" si="126"/>
        <v>2.9180465898710484E-3</v>
      </c>
      <c r="O409" s="157">
        <f>IF($E409="","",IF($C409=12,IF($B409&lt;Input!$C$9,Input!$C$54,IF($B409=Input!$C$9,Input!$C$55,Input!$C$56)),0%))</f>
        <v>0</v>
      </c>
      <c r="P409" s="167">
        <f>IF($E409="","",IF($B409=1,Input!$C$59,IF($B409&lt;6,Input!$C$60,0%)))</f>
        <v>0</v>
      </c>
      <c r="Q409" s="162">
        <f>IF($E409="","",Input!$C$58)</f>
        <v>2.5</v>
      </c>
      <c r="R409" s="156">
        <f t="shared" si="138"/>
        <v>0.99708195341012895</v>
      </c>
      <c r="S409" s="154">
        <f t="shared" si="127"/>
        <v>1.1611719340209657E-2</v>
      </c>
      <c r="T409" s="152"/>
      <c r="U409" s="150">
        <f t="shared" si="139"/>
        <v>0</v>
      </c>
      <c r="V409" s="150">
        <f t="shared" si="140"/>
        <v>0</v>
      </c>
      <c r="W409" s="168">
        <f t="shared" si="141"/>
        <v>0</v>
      </c>
      <c r="X409" s="163">
        <f t="shared" si="128"/>
        <v>291.80465898710486</v>
      </c>
      <c r="Y409" s="152"/>
      <c r="Z409" s="164">
        <f>IF(AND($C408=12,$D408=Input!$C$6),0,IF($E409="","",V409+Z410/(1+L409)*R409))</f>
        <v>72960.747665340241</v>
      </c>
      <c r="AA409" s="164">
        <f>IF(OR($M409=1,AND($C408=12,$D408=Input!$C$6)),0,IF($E409="","",W409+(X409+AA410*$R409)/(1+$L409)))</f>
        <v>30243.000480772844</v>
      </c>
      <c r="AB409" s="160">
        <f t="shared" si="129"/>
        <v>0.825720328500681</v>
      </c>
      <c r="AC409" s="164">
        <f t="shared" si="130"/>
        <v>0</v>
      </c>
      <c r="AD409" s="164">
        <f>IF(AND($C408=12,$D408=Input!$C$6),0,IF($E409="","",$AC409+AD410/(1+$L409)*$R409))</f>
        <v>60245.172529879987</v>
      </c>
      <c r="AE409" s="152"/>
      <c r="AF409" s="164">
        <f>IF(AND($C408=12,$D408=Input!$C$6),0,IF($E409="","",IF($B409&gt;Input!$C$9,$AC409,0)+AF410/(1+$L409)*$R409))</f>
        <v>60245.172529879987</v>
      </c>
      <c r="AG409" s="164">
        <f>IF(AND($C408=12,$D408=Input!$C$6),0,IF($E409="","",(IF($B409&gt;Input!$C$9,$X409,0)+AG410)/(1+$L409)*$R409))</f>
        <v>29754.392428423685</v>
      </c>
      <c r="AH409" s="160">
        <f t="shared" si="131"/>
        <v>2.0950137211446997</v>
      </c>
      <c r="AI409" s="160">
        <f>IF($E409="","",MIN(Input!$C$61/AH409,1))</f>
        <v>0.64438718771845094</v>
      </c>
      <c r="AJ409" s="152"/>
      <c r="AK409" s="164">
        <f>IF(AND($C408=12,$D408=Input!$C$6),0,IF($E409="","",IF($B409&gt;Input!$C$9,$AC409*AI409,0)+AK410/(1+$L409)*$R409))</f>
        <v>38821.217300142212</v>
      </c>
      <c r="AL409" s="164">
        <f>IF(AND($C408=12,$D408=Input!$C$6),0,IF($E409="","",IF($B409&gt;Input!$C$9,0,$AC409)+AL410/(1+$L409)*$R409))</f>
        <v>0</v>
      </c>
      <c r="AM409" s="160">
        <f t="shared" si="132"/>
        <v>1.1382936520186004</v>
      </c>
      <c r="AN409" s="164">
        <f>IF($E409="","",IF($B409&gt;Input!$C$9,$AI409*$AC409,$AM409*$AC409))</f>
        <v>0</v>
      </c>
      <c r="AO409" s="164">
        <f>IF(AND($C408=12,$D408=Input!$C$6),0,IF($E409="","",$AN409+AO410/(1+$L409)*$R409))</f>
        <v>38821.217300142212</v>
      </c>
      <c r="AP409" s="152"/>
      <c r="AQ409" s="164">
        <f t="shared" si="133"/>
        <v>-8578.2168193693687</v>
      </c>
      <c r="AR409" s="164">
        <f t="shared" si="142"/>
        <v>-7071.3082432816282</v>
      </c>
      <c r="AS409" s="164">
        <f t="shared" si="143"/>
        <v>1648.803827751196</v>
      </c>
      <c r="AT409" s="164">
        <f t="shared" si="134"/>
        <v>1648.803827751196</v>
      </c>
      <c r="AU409" s="152"/>
      <c r="AV409" s="147">
        <f>'Deterministic Reserve'!BC409</f>
        <v>1.2804690104962007E-2</v>
      </c>
      <c r="AW409" s="164">
        <f t="shared" si="135"/>
        <v>1648.803827751196</v>
      </c>
      <c r="AX409" s="164">
        <f t="shared" si="136"/>
        <v>21.112422058229221</v>
      </c>
      <c r="AY409" s="152"/>
    </row>
    <row r="410" spans="1:51" s="150" customFormat="1" x14ac:dyDescent="0.25">
      <c r="A410" s="150">
        <f t="shared" si="144"/>
        <v>406</v>
      </c>
      <c r="B410" s="150">
        <f t="shared" si="145"/>
        <v>34</v>
      </c>
      <c r="C410" s="150">
        <f t="shared" si="146"/>
        <v>10</v>
      </c>
      <c r="D410" s="150">
        <f>IF(E410="","",Input!$C$4+B410-1)</f>
        <v>78</v>
      </c>
      <c r="E410" s="150">
        <f>IF(OR(AND(C409=12,D409=Input!$C$6),E409=""),"",1)</f>
        <v>1</v>
      </c>
      <c r="F410" s="150">
        <f>IF(E410="","",Input!$C$8+B410-1)</f>
        <v>2051</v>
      </c>
      <c r="G410" s="151">
        <f>IF(E410="","",MAX(0,Input!$C$9-B410))</f>
        <v>0</v>
      </c>
      <c r="H410" s="152">
        <f>IF(E410="","",Input!$C$3)</f>
        <v>100000</v>
      </c>
      <c r="I410" s="153">
        <f>IF(E410="","",HLOOKUP($B410,Input!$C$13:$BT$14,2))</f>
        <v>84.427000000000007</v>
      </c>
      <c r="J410" s="154"/>
      <c r="K410" s="155">
        <f>IF($E410="","",Input!$C$57)</f>
        <v>4.4999999999999998E-2</v>
      </c>
      <c r="L410" s="155">
        <f t="shared" si="137"/>
        <v>3.6748094004368514E-3</v>
      </c>
      <c r="M410" s="147">
        <f>IF($E410="","",VLOOKUP(IF($B410&lt;=Input!$C$7,$B410,26),'Mortality Tables'!$A$72:$CA$97,IF($B410&lt;=Input!$C$7+1,Input!$C$4-16,$D410-Input!$C$7-16),0)/1000)</f>
        <v>3.4459999999999998E-2</v>
      </c>
      <c r="N410" s="147">
        <f t="shared" si="126"/>
        <v>2.9180465898710484E-3</v>
      </c>
      <c r="O410" s="157">
        <f>IF($E410="","",IF($C410=12,IF($B410&lt;Input!$C$9,Input!$C$54,IF($B410=Input!$C$9,Input!$C$55,Input!$C$56)),0%))</f>
        <v>0</v>
      </c>
      <c r="P410" s="167">
        <f>IF($E410="","",IF($B410=1,Input!$C$59,IF($B410&lt;6,Input!$C$60,0%)))</f>
        <v>0</v>
      </c>
      <c r="Q410" s="162">
        <f>IF($E410="","",Input!$C$58)</f>
        <v>2.5</v>
      </c>
      <c r="R410" s="156">
        <f t="shared" si="138"/>
        <v>0.99708195341012895</v>
      </c>
      <c r="S410" s="154">
        <f t="shared" si="127"/>
        <v>1.1577835802186418E-2</v>
      </c>
      <c r="T410" s="152"/>
      <c r="U410" s="150">
        <f t="shared" si="139"/>
        <v>0</v>
      </c>
      <c r="V410" s="150">
        <f t="shared" si="140"/>
        <v>0</v>
      </c>
      <c r="W410" s="168">
        <f t="shared" si="141"/>
        <v>0</v>
      </c>
      <c r="X410" s="163">
        <f t="shared" si="128"/>
        <v>291.80465898710486</v>
      </c>
      <c r="Y410" s="152"/>
      <c r="Z410" s="164">
        <f>IF(AND($C409=12,$D409=Input!$C$6),0,IF($E410="","",V410+Z411/(1+L410)*R410))</f>
        <v>73443.175113412726</v>
      </c>
      <c r="AA410" s="164">
        <f>IF(OR($M410=1,AND($C409=12,$D409=Input!$C$6)),0,IF($E410="","",W410+(X410+AA411*$R410)/(1+$L410)))</f>
        <v>30150.313102582433</v>
      </c>
      <c r="AB410" s="160">
        <f t="shared" si="129"/>
        <v>0.825720328500681</v>
      </c>
      <c r="AC410" s="164">
        <f t="shared" si="130"/>
        <v>0</v>
      </c>
      <c r="AD410" s="164">
        <f>IF(AND($C409=12,$D409=Input!$C$6),0,IF($E410="","",$AC410+AD411/(1+$L410)*$R410))</f>
        <v>60643.522680780152</v>
      </c>
      <c r="AE410" s="152"/>
      <c r="AF410" s="164">
        <f>IF(AND($C409=12,$D409=Input!$C$6),0,IF($E410="","",IF($B410&gt;Input!$C$9,$AC410,0)+AF411/(1+$L410)*$R410))</f>
        <v>60643.522680780152</v>
      </c>
      <c r="AG410" s="164">
        <f>IF(AND($C409=12,$D409=Input!$C$6),0,IF($E410="","",(IF($B410&gt;Input!$C$9,$X410,0)+AG411)/(1+$L410)*$R410))</f>
        <v>29659.328291806676</v>
      </c>
      <c r="AH410" s="160">
        <f t="shared" si="131"/>
        <v>2.0950137211446997</v>
      </c>
      <c r="AI410" s="160">
        <f>IF($E410="","",MIN(Input!$C$61/AH410,1))</f>
        <v>0.64438718771845094</v>
      </c>
      <c r="AJ410" s="152"/>
      <c r="AK410" s="164">
        <f>IF(AND($C409=12,$D409=Input!$C$6),0,IF($E410="","",IF($B410&gt;Input!$C$9,$AC410*AI410,0)+AK411/(1+$L410)*$R410))</f>
        <v>39077.90903360799</v>
      </c>
      <c r="AL410" s="164">
        <f>IF(AND($C409=12,$D409=Input!$C$6),0,IF($E410="","",IF($B410&gt;Input!$C$9,0,$AC410)+AL411/(1+$L410)*$R410))</f>
        <v>0</v>
      </c>
      <c r="AM410" s="160">
        <f t="shared" si="132"/>
        <v>1.1382936520186004</v>
      </c>
      <c r="AN410" s="164">
        <f>IF($E410="","",IF($B410&gt;Input!$C$9,$AI410*$AC410,$AM410*$AC410))</f>
        <v>0</v>
      </c>
      <c r="AO410" s="164">
        <f>IF(AND($C409=12,$D409=Input!$C$6),0,IF($E410="","",$AN410+AO411/(1+$L410)*$R410))</f>
        <v>39077.90903360799</v>
      </c>
      <c r="AP410" s="152"/>
      <c r="AQ410" s="164">
        <f t="shared" si="133"/>
        <v>-8927.5959310255566</v>
      </c>
      <c r="AR410" s="164">
        <f t="shared" si="142"/>
        <v>-7071.3082432816282</v>
      </c>
      <c r="AS410" s="164">
        <f t="shared" si="143"/>
        <v>1648.803827751196</v>
      </c>
      <c r="AT410" s="164">
        <f t="shared" si="134"/>
        <v>1648.803827751196</v>
      </c>
      <c r="AU410" s="152"/>
      <c r="AV410" s="147">
        <f>'Deterministic Reserve'!BC410</f>
        <v>1.2715224474928342E-2</v>
      </c>
      <c r="AW410" s="164">
        <f t="shared" si="135"/>
        <v>1648.803827751196</v>
      </c>
      <c r="AX410" s="164">
        <f t="shared" si="136"/>
        <v>20.96491078497754</v>
      </c>
      <c r="AY410" s="152"/>
    </row>
    <row r="411" spans="1:51" s="150" customFormat="1" x14ac:dyDescent="0.25">
      <c r="A411" s="150">
        <f t="shared" si="144"/>
        <v>407</v>
      </c>
      <c r="B411" s="150">
        <f t="shared" si="145"/>
        <v>34</v>
      </c>
      <c r="C411" s="150">
        <f t="shared" si="146"/>
        <v>11</v>
      </c>
      <c r="D411" s="150">
        <f>IF(E411="","",Input!$C$4+B411-1)</f>
        <v>78</v>
      </c>
      <c r="E411" s="150">
        <f>IF(OR(AND(C410=12,D410=Input!$C$6),E410=""),"",1)</f>
        <v>1</v>
      </c>
      <c r="F411" s="150">
        <f>IF(E411="","",Input!$C$8+B411-1)</f>
        <v>2051</v>
      </c>
      <c r="G411" s="151">
        <f>IF(E411="","",MAX(0,Input!$C$9-B411))</f>
        <v>0</v>
      </c>
      <c r="H411" s="152">
        <f>IF(E411="","",Input!$C$3)</f>
        <v>100000</v>
      </c>
      <c r="I411" s="153">
        <f>IF(E411="","",HLOOKUP($B411,Input!$C$13:$BT$14,2))</f>
        <v>84.427000000000007</v>
      </c>
      <c r="J411" s="154"/>
      <c r="K411" s="155">
        <f>IF($E411="","",Input!$C$57)</f>
        <v>4.4999999999999998E-2</v>
      </c>
      <c r="L411" s="155">
        <f t="shared" si="137"/>
        <v>3.6748094004368514E-3</v>
      </c>
      <c r="M411" s="147">
        <f>IF($E411="","",VLOOKUP(IF($B411&lt;=Input!$C$7,$B411,26),'Mortality Tables'!$A$72:$CA$97,IF($B411&lt;=Input!$C$7+1,Input!$C$4-16,$D411-Input!$C$7-16),0)/1000)</f>
        <v>3.4459999999999998E-2</v>
      </c>
      <c r="N411" s="147">
        <f t="shared" si="126"/>
        <v>2.9180465898710484E-3</v>
      </c>
      <c r="O411" s="157">
        <f>IF($E411="","",IF($C411=12,IF($B411&lt;Input!$C$9,Input!$C$54,IF($B411=Input!$C$9,Input!$C$55,Input!$C$56)),0%))</f>
        <v>0</v>
      </c>
      <c r="P411" s="167">
        <f>IF($E411="","",IF($B411=1,Input!$C$59,IF($B411&lt;6,Input!$C$60,0%)))</f>
        <v>0</v>
      </c>
      <c r="Q411" s="162">
        <f>IF($E411="","",Input!$C$58)</f>
        <v>2.5</v>
      </c>
      <c r="R411" s="156">
        <f t="shared" si="138"/>
        <v>0.99708195341012895</v>
      </c>
      <c r="S411" s="154">
        <f t="shared" si="127"/>
        <v>1.1544051137905761E-2</v>
      </c>
      <c r="T411" s="152"/>
      <c r="U411" s="150">
        <f t="shared" si="139"/>
        <v>0</v>
      </c>
      <c r="V411" s="150">
        <f t="shared" si="140"/>
        <v>0</v>
      </c>
      <c r="W411" s="168">
        <f t="shared" si="141"/>
        <v>0</v>
      </c>
      <c r="X411" s="163">
        <f t="shared" si="128"/>
        <v>291.80465898710486</v>
      </c>
      <c r="Y411" s="152"/>
      <c r="Z411" s="164">
        <f>IF(AND($C410=12,$D410=Input!$C$6),0,IF($E411="","",V411+Z412/(1+L411)*R411))</f>
        <v>73928.792444403094</v>
      </c>
      <c r="AA411" s="164">
        <f>IF(OR($M411=1,AND($C410=12,$D410=Input!$C$6)),0,IF($E411="","",W411+(X411+AA412*$R411)/(1+$L411)))</f>
        <v>30057.012861493004</v>
      </c>
      <c r="AB411" s="160">
        <f t="shared" si="129"/>
        <v>0.825720328500681</v>
      </c>
      <c r="AC411" s="164">
        <f t="shared" si="130"/>
        <v>0</v>
      </c>
      <c r="AD411" s="164">
        <f>IF(AND($C410=12,$D410=Input!$C$6),0,IF($E411="","",$AC411+AD412/(1+$L411)*$R411))</f>
        <v>61044.506782851146</v>
      </c>
      <c r="AE411" s="152"/>
      <c r="AF411" s="164">
        <f>IF(AND($C410=12,$D410=Input!$C$6),0,IF($E411="","",IF($B411&gt;Input!$C$9,$AC411,0)+AF412/(1+$L411)*$R411))</f>
        <v>61044.506782851146</v>
      </c>
      <c r="AG411" s="164">
        <f>IF(AND($C410=12,$D410=Input!$C$6),0,IF($E411="","",(IF($B411&gt;Input!$C$9,$X411,0)+AG412)/(1+$L411)*$R411))</f>
        <v>29563.6355768061</v>
      </c>
      <c r="AH411" s="160">
        <f t="shared" si="131"/>
        <v>2.0950137211446997</v>
      </c>
      <c r="AI411" s="160">
        <f>IF($E411="","",MIN(Input!$C$61/AH411,1))</f>
        <v>0.64438718771845094</v>
      </c>
      <c r="AJ411" s="152"/>
      <c r="AK411" s="164">
        <f>IF(AND($C410=12,$D410=Input!$C$6),0,IF($E411="","",IF($B411&gt;Input!$C$9,$AC411*AI411,0)+AK412/(1+$L411)*$R411))</f>
        <v>39336.298051461323</v>
      </c>
      <c r="AL411" s="164">
        <f>IF(AND($C410=12,$D410=Input!$C$6),0,IF($E411="","",IF($B411&gt;Input!$C$9,0,$AC411)+AL412/(1+$L411)*$R411))</f>
        <v>0</v>
      </c>
      <c r="AM411" s="160">
        <f t="shared" si="132"/>
        <v>1.1382936520186004</v>
      </c>
      <c r="AN411" s="164">
        <f>IF($E411="","",IF($B411&gt;Input!$C$9,$AI411*$AC411,$AM411*$AC411))</f>
        <v>0</v>
      </c>
      <c r="AO411" s="164">
        <f>IF(AND($C410=12,$D410=Input!$C$6),0,IF($E411="","",$AN411+AO412/(1+$L411)*$R411))</f>
        <v>39336.298051461323</v>
      </c>
      <c r="AP411" s="152"/>
      <c r="AQ411" s="164">
        <f t="shared" si="133"/>
        <v>-9279.2851899683192</v>
      </c>
      <c r="AR411" s="164">
        <f t="shared" si="142"/>
        <v>-7071.3082432816282</v>
      </c>
      <c r="AS411" s="164">
        <f t="shared" si="143"/>
        <v>1648.803827751196</v>
      </c>
      <c r="AT411" s="164">
        <f t="shared" si="134"/>
        <v>1648.803827751196</v>
      </c>
      <c r="AU411" s="152"/>
      <c r="AV411" s="147">
        <f>'Deterministic Reserve'!BC411</f>
        <v>1.2626383936083273E-2</v>
      </c>
      <c r="AW411" s="164">
        <f t="shared" si="135"/>
        <v>1648.803827751196</v>
      </c>
      <c r="AX411" s="164">
        <f t="shared" si="136"/>
        <v>20.818430164470314</v>
      </c>
      <c r="AY411" s="152"/>
    </row>
    <row r="412" spans="1:51" s="150" customFormat="1" x14ac:dyDescent="0.25">
      <c r="A412" s="150">
        <f t="shared" si="144"/>
        <v>408</v>
      </c>
      <c r="B412" s="150">
        <f t="shared" si="145"/>
        <v>34</v>
      </c>
      <c r="C412" s="150">
        <f t="shared" si="146"/>
        <v>12</v>
      </c>
      <c r="D412" s="150">
        <f>IF(E412="","",Input!$C$4+B412-1)</f>
        <v>78</v>
      </c>
      <c r="E412" s="150">
        <f>IF(OR(AND(C411=12,D411=Input!$C$6),E411=""),"",1)</f>
        <v>1</v>
      </c>
      <c r="F412" s="150">
        <f>IF(E412="","",Input!$C$8+B412-1)</f>
        <v>2051</v>
      </c>
      <c r="G412" s="151">
        <f>IF(E412="","",MAX(0,Input!$C$9-B412))</f>
        <v>0</v>
      </c>
      <c r="H412" s="152">
        <f>IF(E412="","",Input!$C$3)</f>
        <v>100000</v>
      </c>
      <c r="I412" s="153">
        <f>IF(E412="","",HLOOKUP($B412,Input!$C$13:$BT$14,2))</f>
        <v>84.427000000000007</v>
      </c>
      <c r="J412" s="154"/>
      <c r="K412" s="155">
        <f>IF($E412="","",Input!$C$57)</f>
        <v>4.4999999999999998E-2</v>
      </c>
      <c r="L412" s="155">
        <f t="shared" si="137"/>
        <v>3.6748094004368514E-3</v>
      </c>
      <c r="M412" s="147">
        <f>IF($E412="","",VLOOKUP(IF($B412&lt;=Input!$C$7,$B412,26),'Mortality Tables'!$A$72:$CA$97,IF($B412&lt;=Input!$C$7+1,Input!$C$4-16,$D412-Input!$C$7-16),0)/1000)</f>
        <v>3.4459999999999998E-2</v>
      </c>
      <c r="N412" s="147">
        <f t="shared" si="126"/>
        <v>2.9180465898710484E-3</v>
      </c>
      <c r="O412" s="157">
        <f>IF($E412="","",IF($C412=12,IF($B412&lt;Input!$C$9,Input!$C$54,IF($B412=Input!$C$9,Input!$C$55,Input!$C$56)),0%))</f>
        <v>0.1</v>
      </c>
      <c r="P412" s="167">
        <f>IF($E412="","",IF($B412=1,Input!$C$59,IF($B412&lt;6,Input!$C$60,0%)))</f>
        <v>0</v>
      </c>
      <c r="Q412" s="162">
        <f>IF($E412="","",Input!$C$58)</f>
        <v>2.5</v>
      </c>
      <c r="R412" s="156">
        <f t="shared" si="138"/>
        <v>0.89708195341012897</v>
      </c>
      <c r="S412" s="154">
        <f t="shared" si="127"/>
        <v>1.0355959945058923E-2</v>
      </c>
      <c r="T412" s="152"/>
      <c r="U412" s="150">
        <f t="shared" si="139"/>
        <v>0</v>
      </c>
      <c r="V412" s="150">
        <f t="shared" si="140"/>
        <v>0</v>
      </c>
      <c r="W412" s="168">
        <f t="shared" si="141"/>
        <v>0</v>
      </c>
      <c r="X412" s="163">
        <f t="shared" si="128"/>
        <v>291.80465898710486</v>
      </c>
      <c r="Y412" s="152"/>
      <c r="Z412" s="164">
        <f>IF(AND($C411=12,$D411=Input!$C$6),0,IF($E412="","",V412+Z413/(1+L412)*R412))</f>
        <v>74417.620750297458</v>
      </c>
      <c r="AA412" s="164">
        <f>IF(OR($M412=1,AND($C411=12,$D411=Input!$C$6)),0,IF($E412="","",W412+(X412+AA413*$R412)/(1+$L412)))</f>
        <v>29963.095705162796</v>
      </c>
      <c r="AB412" s="160">
        <f t="shared" si="129"/>
        <v>0.825720328500681</v>
      </c>
      <c r="AC412" s="164">
        <f t="shared" si="130"/>
        <v>0</v>
      </c>
      <c r="AD412" s="164">
        <f>IF(AND($C411=12,$D411=Input!$C$6),0,IF($E412="","",$AC412+AD413/(1+$L412)*$R412))</f>
        <v>61448.142252174664</v>
      </c>
      <c r="AE412" s="152"/>
      <c r="AF412" s="164">
        <f>IF(AND($C411=12,$D411=Input!$C$6),0,IF($E412="","",IF($B412&gt;Input!$C$9,$AC412,0)+AF413/(1+$L412)*$R412))</f>
        <v>61448.142252174664</v>
      </c>
      <c r="AG412" s="164">
        <f>IF(AND($C411=12,$D411=Input!$C$6),0,IF($E412="","",(IF($B412&gt;Input!$C$9,$X412,0)+AG413)/(1+$L412)*$R412))</f>
        <v>29467.310127167049</v>
      </c>
      <c r="AH412" s="160">
        <f t="shared" si="131"/>
        <v>2.0950137211446997</v>
      </c>
      <c r="AI412" s="160">
        <f>IF($E412="","",MIN(Input!$C$61/AH412,1))</f>
        <v>0.64438718771845094</v>
      </c>
      <c r="AJ412" s="152"/>
      <c r="AK412" s="164">
        <f>IF(AND($C411=12,$D411=Input!$C$6),0,IF($E412="","",IF($B412&gt;Input!$C$9,$AC412*AI412,0)+AK413/(1+$L412)*$R412))</f>
        <v>39596.395576402123</v>
      </c>
      <c r="AL412" s="164">
        <f>IF(AND($C411=12,$D411=Input!$C$6),0,IF($E412="","",IF($B412&gt;Input!$C$9,0,$AC412)+AL413/(1+$L412)*$R412))</f>
        <v>0</v>
      </c>
      <c r="AM412" s="160">
        <f t="shared" si="132"/>
        <v>1.1382936520186004</v>
      </c>
      <c r="AN412" s="164">
        <f>IF($E412="","",IF($B412&gt;Input!$C$9,$AI412*$AC412,$AM412*$AC412))</f>
        <v>0</v>
      </c>
      <c r="AO412" s="164">
        <f>IF(AND($C411=12,$D411=Input!$C$6),0,IF($E412="","",$AN412+AO413/(1+$L412)*$R412))</f>
        <v>39596.395576402123</v>
      </c>
      <c r="AP412" s="152"/>
      <c r="AQ412" s="164">
        <f t="shared" si="133"/>
        <v>-9633.2998712393273</v>
      </c>
      <c r="AR412" s="164">
        <f t="shared" si="142"/>
        <v>-7071.3082432816282</v>
      </c>
      <c r="AS412" s="164">
        <f t="shared" si="143"/>
        <v>1648.803827751196</v>
      </c>
      <c r="AT412" s="164">
        <f t="shared" si="134"/>
        <v>1648.803827751196</v>
      </c>
      <c r="AU412" s="152"/>
      <c r="AV412" s="147">
        <f>'Deterministic Reserve'!BC412</f>
        <v>1.1275525727342452E-2</v>
      </c>
      <c r="AW412" s="164">
        <f t="shared" si="135"/>
        <v>1648.803827751196</v>
      </c>
      <c r="AX412" s="164">
        <f t="shared" si="136"/>
        <v>18.591129979149322</v>
      </c>
      <c r="AY412" s="152"/>
    </row>
    <row r="413" spans="1:51" s="150" customFormat="1" x14ac:dyDescent="0.25">
      <c r="A413" s="150">
        <f t="shared" si="144"/>
        <v>409</v>
      </c>
      <c r="B413" s="150">
        <f t="shared" si="145"/>
        <v>35</v>
      </c>
      <c r="C413" s="150">
        <f t="shared" si="146"/>
        <v>1</v>
      </c>
      <c r="D413" s="150">
        <f>IF(E413="","",Input!$C$4+B413-1)</f>
        <v>79</v>
      </c>
      <c r="E413" s="150">
        <f>IF(OR(AND(C412=12,D412=Input!$C$6),E412=""),"",1)</f>
        <v>1</v>
      </c>
      <c r="F413" s="150">
        <f>IF(E413="","",Input!$C$8+B413-1)</f>
        <v>2052</v>
      </c>
      <c r="G413" s="151">
        <f>IF(E413="","",MAX(0,Input!$C$9-B413))</f>
        <v>0</v>
      </c>
      <c r="H413" s="152">
        <f>IF(E413="","",Input!$C$3)</f>
        <v>100000</v>
      </c>
      <c r="I413" s="153">
        <f>IF(E413="","",HLOOKUP($B413,Input!$C$13:$BT$14,2))</f>
        <v>94.913000000000011</v>
      </c>
      <c r="J413" s="154"/>
      <c r="K413" s="155">
        <f>IF($E413="","",Input!$C$57)</f>
        <v>4.4999999999999998E-2</v>
      </c>
      <c r="L413" s="155">
        <f t="shared" si="137"/>
        <v>3.6748094004368514E-3</v>
      </c>
      <c r="M413" s="147">
        <f>IF($E413="","",VLOOKUP(IF($B413&lt;=Input!$C$7,$B413,26),'Mortality Tables'!$A$72:$CA$97,IF($B413&lt;=Input!$C$7+1,Input!$C$4-16,$D413-Input!$C$7-16),0)/1000)</f>
        <v>3.8740000000000004E-2</v>
      </c>
      <c r="N413" s="147">
        <f t="shared" si="126"/>
        <v>3.2871151597556603E-3</v>
      </c>
      <c r="O413" s="157">
        <f>IF($E413="","",IF($C413=12,IF($B413&lt;Input!$C$9,Input!$C$54,IF($B413=Input!$C$9,Input!$C$55,Input!$C$56)),0%))</f>
        <v>0</v>
      </c>
      <c r="P413" s="167">
        <f>IF($E413="","",IF($B413=1,Input!$C$59,IF($B413&lt;6,Input!$C$60,0%)))</f>
        <v>0</v>
      </c>
      <c r="Q413" s="162">
        <f>IF($E413="","",Input!$C$58)</f>
        <v>2.5</v>
      </c>
      <c r="R413" s="156">
        <f t="shared" si="138"/>
        <v>0.99671288484024434</v>
      </c>
      <c r="S413" s="154">
        <f t="shared" si="127"/>
        <v>1.0321918712129698E-2</v>
      </c>
      <c r="T413" s="152"/>
      <c r="U413" s="150">
        <f t="shared" si="139"/>
        <v>9491.3000000000011</v>
      </c>
      <c r="V413" s="150">
        <f t="shared" si="140"/>
        <v>9491.3000000000011</v>
      </c>
      <c r="W413" s="168">
        <f t="shared" si="141"/>
        <v>0</v>
      </c>
      <c r="X413" s="163">
        <f t="shared" si="128"/>
        <v>328.71151597556604</v>
      </c>
      <c r="Y413" s="152"/>
      <c r="Z413" s="164">
        <f>IF(AND($C412=12,$D412=Input!$C$6),0,IF($E413="","",V413+Z414/(1+L413)*R413))</f>
        <v>83260.053374902112</v>
      </c>
      <c r="AA413" s="164">
        <f>IF(OR($M413=1,AND($C412=12,$D412=Input!$C$6)),0,IF($E413="","",W413+(X413+AA414*$R413)/(1+$L413)))</f>
        <v>33198.081400176954</v>
      </c>
      <c r="AB413" s="160">
        <f t="shared" si="129"/>
        <v>0.825720328500681</v>
      </c>
      <c r="AC413" s="164">
        <f t="shared" si="130"/>
        <v>7837.1593538985144</v>
      </c>
      <c r="AD413" s="164">
        <f>IF(AND($C412=12,$D412=Input!$C$6),0,IF($E413="","",$AC413+AD414/(1+$L413)*$R413))</f>
        <v>68749.518623708354</v>
      </c>
      <c r="AE413" s="152"/>
      <c r="AF413" s="164">
        <f>IF(AND($C412=12,$D412=Input!$C$6),0,IF($E413="","",IF($B413&gt;Input!$C$9,$AC413,0)+AF414/(1+$L413)*$R413))</f>
        <v>68749.518623708354</v>
      </c>
      <c r="AG413" s="164">
        <f>IF(AND($C412=12,$D412=Input!$C$6),0,IF($E413="","",(IF($B413&gt;Input!$C$9,$X413,0)+AG414)/(1+$L413)*$R413))</f>
        <v>32676.863100965642</v>
      </c>
      <c r="AH413" s="160">
        <f t="shared" si="131"/>
        <v>2.0950137211446997</v>
      </c>
      <c r="AI413" s="160">
        <f>IF($E413="","",MIN(Input!$C$61/AH413,1))</f>
        <v>0.64438718771845094</v>
      </c>
      <c r="AJ413" s="152"/>
      <c r="AK413" s="164">
        <f>IF(AND($C412=12,$D412=Input!$C$6),0,IF($E413="","",IF($B413&gt;Input!$C$9,$AC413*AI413,0)+AK414/(1+$L413)*$R413))</f>
        <v>44301.308962928662</v>
      </c>
      <c r="AL413" s="164">
        <f>IF(AND($C412=12,$D412=Input!$C$6),0,IF($E413="","",IF($B413&gt;Input!$C$9,0,$AC413)+AL414/(1+$L413)*$R413))</f>
        <v>0</v>
      </c>
      <c r="AM413" s="160">
        <f t="shared" si="132"/>
        <v>1.1382936520186004</v>
      </c>
      <c r="AN413" s="164">
        <f>IF($E413="","",IF($B413&gt;Input!$C$9,$AI413*$AC413,$AM413*$AC413))</f>
        <v>5050.1650757600155</v>
      </c>
      <c r="AO413" s="164">
        <f>IF(AND($C412=12,$D412=Input!$C$6),0,IF($E413="","",$AN413+AO414/(1+$L413)*$R413))</f>
        <v>44301.308962928662</v>
      </c>
      <c r="AP413" s="152"/>
      <c r="AQ413" s="164">
        <f t="shared" si="133"/>
        <v>-11103.227562751708</v>
      </c>
      <c r="AR413" s="164">
        <f t="shared" si="142"/>
        <v>-7437.5027200821987</v>
      </c>
      <c r="AS413" s="164">
        <f t="shared" si="143"/>
        <v>1853.5885167464119</v>
      </c>
      <c r="AT413" s="164">
        <f t="shared" si="134"/>
        <v>1853.5885167464119</v>
      </c>
      <c r="AU413" s="152"/>
      <c r="AV413" s="147">
        <f>'Deterministic Reserve'!BC413</f>
        <v>1.1186909616348412E-2</v>
      </c>
      <c r="AW413" s="164">
        <f t="shared" si="135"/>
        <v>1853.5885167464119</v>
      </c>
      <c r="AX413" s="164">
        <f t="shared" si="136"/>
        <v>20.735927202743422</v>
      </c>
      <c r="AY413" s="152"/>
    </row>
    <row r="414" spans="1:51" s="150" customFormat="1" x14ac:dyDescent="0.25">
      <c r="A414" s="150">
        <f t="shared" si="144"/>
        <v>410</v>
      </c>
      <c r="B414" s="150">
        <f t="shared" si="145"/>
        <v>35</v>
      </c>
      <c r="C414" s="150">
        <f t="shared" si="146"/>
        <v>2</v>
      </c>
      <c r="D414" s="150">
        <f>IF(E414="","",Input!$C$4+B414-1)</f>
        <v>79</v>
      </c>
      <c r="E414" s="150">
        <f>IF(OR(AND(C413=12,D413=Input!$C$6),E413=""),"",1)</f>
        <v>1</v>
      </c>
      <c r="F414" s="150">
        <f>IF(E414="","",Input!$C$8+B414-1)</f>
        <v>2052</v>
      </c>
      <c r="G414" s="151">
        <f>IF(E414="","",MAX(0,Input!$C$9-B414))</f>
        <v>0</v>
      </c>
      <c r="H414" s="152">
        <f>IF(E414="","",Input!$C$3)</f>
        <v>100000</v>
      </c>
      <c r="I414" s="153">
        <f>IF(E414="","",HLOOKUP($B414,Input!$C$13:$BT$14,2))</f>
        <v>94.913000000000011</v>
      </c>
      <c r="J414" s="154"/>
      <c r="K414" s="155">
        <f>IF($E414="","",Input!$C$57)</f>
        <v>4.4999999999999998E-2</v>
      </c>
      <c r="L414" s="155">
        <f t="shared" si="137"/>
        <v>3.6748094004368514E-3</v>
      </c>
      <c r="M414" s="147">
        <f>IF($E414="","",VLOOKUP(IF($B414&lt;=Input!$C$7,$B414,26),'Mortality Tables'!$A$72:$CA$97,IF($B414&lt;=Input!$C$7+1,Input!$C$4-16,$D414-Input!$C$7-16),0)/1000)</f>
        <v>3.8740000000000004E-2</v>
      </c>
      <c r="N414" s="147">
        <f t="shared" si="126"/>
        <v>3.2871151597556603E-3</v>
      </c>
      <c r="O414" s="157">
        <f>IF($E414="","",IF($C414=12,IF($B414&lt;Input!$C$9,Input!$C$54,IF($B414=Input!$C$9,Input!$C$55,Input!$C$56)),0%))</f>
        <v>0</v>
      </c>
      <c r="P414" s="167">
        <f>IF($E414="","",IF($B414=1,Input!$C$59,IF($B414&lt;6,Input!$C$60,0%)))</f>
        <v>0</v>
      </c>
      <c r="Q414" s="162">
        <f>IF($E414="","",Input!$C$58)</f>
        <v>2.5</v>
      </c>
      <c r="R414" s="156">
        <f t="shared" si="138"/>
        <v>0.99671288484024434</v>
      </c>
      <c r="S414" s="154">
        <f t="shared" si="127"/>
        <v>1.0287989376653291E-2</v>
      </c>
      <c r="T414" s="152"/>
      <c r="U414" s="150">
        <f t="shared" si="139"/>
        <v>0</v>
      </c>
      <c r="V414" s="150">
        <f t="shared" si="140"/>
        <v>0</v>
      </c>
      <c r="W414" s="168">
        <f t="shared" si="141"/>
        <v>0</v>
      </c>
      <c r="X414" s="163">
        <f t="shared" si="128"/>
        <v>328.71151597556604</v>
      </c>
      <c r="Y414" s="152"/>
      <c r="Z414" s="164">
        <f>IF(AND($C413=12,$D413=Input!$C$6),0,IF($E414="","",V414+Z415/(1+L414)*R414))</f>
        <v>74284.01961025114</v>
      </c>
      <c r="AA414" s="164">
        <f>IF(OR($M414=1,AND($C413=12,$D413=Input!$C$6)),0,IF($E414="","",W414+(X414+AA415*$R414)/(1+$L414)))</f>
        <v>33100.170578305675</v>
      </c>
      <c r="AB414" s="160">
        <f t="shared" si="129"/>
        <v>0.825720328500681</v>
      </c>
      <c r="AC414" s="164">
        <f t="shared" si="130"/>
        <v>0</v>
      </c>
      <c r="AD414" s="164">
        <f>IF(AND($C413=12,$D413=Input!$C$6),0,IF($E414="","",$AC414+AD415/(1+$L414)*$R414))</f>
        <v>61337.825074927561</v>
      </c>
      <c r="AE414" s="152"/>
      <c r="AF414" s="164">
        <f>IF(AND($C413=12,$D413=Input!$C$6),0,IF($E414="","",IF($B414&gt;Input!$C$9,$AC414,0)+AF415/(1+$L414)*$R414))</f>
        <v>61337.825074927561</v>
      </c>
      <c r="AG414" s="164">
        <f>IF(AND($C413=12,$D413=Input!$C$6),0,IF($E414="","",(IF($B414&gt;Input!$C$9,$X414,0)+AG415)/(1+$L414)*$R414))</f>
        <v>32576.395705471303</v>
      </c>
      <c r="AH414" s="160">
        <f t="shared" si="131"/>
        <v>2.0950137211446997</v>
      </c>
      <c r="AI414" s="160">
        <f>IF($E414="","",MIN(Input!$C$61/AH414,1))</f>
        <v>0.64438718771845094</v>
      </c>
      <c r="AJ414" s="152"/>
      <c r="AK414" s="164">
        <f>IF(AND($C413=12,$D413=Input!$C$6),0,IF($E414="","",IF($B414&gt;Input!$C$9,$AC414*AI414,0)+AK415/(1+$L414)*$R414))</f>
        <v>39525.308600798824</v>
      </c>
      <c r="AL414" s="164">
        <f>IF(AND($C413=12,$D413=Input!$C$6),0,IF($E414="","",IF($B414&gt;Input!$C$9,0,$AC414)+AL415/(1+$L414)*$R414))</f>
        <v>0</v>
      </c>
      <c r="AM414" s="160">
        <f t="shared" si="132"/>
        <v>1.1382936520186004</v>
      </c>
      <c r="AN414" s="164">
        <f>IF($E414="","",IF($B414&gt;Input!$C$9,$AI414*$AC414,$AM414*$AC414))</f>
        <v>0</v>
      </c>
      <c r="AO414" s="164">
        <f>IF(AND($C413=12,$D413=Input!$C$6),0,IF($E414="","",$AN414+AO415/(1+$L414)*$R414))</f>
        <v>39525.308600798824</v>
      </c>
      <c r="AP414" s="152"/>
      <c r="AQ414" s="164">
        <f t="shared" si="133"/>
        <v>-6425.138022493149</v>
      </c>
      <c r="AR414" s="164">
        <f t="shared" si="142"/>
        <v>-7437.5027200821987</v>
      </c>
      <c r="AS414" s="164">
        <f t="shared" si="143"/>
        <v>1853.5885167464119</v>
      </c>
      <c r="AT414" s="164">
        <f t="shared" si="134"/>
        <v>1853.5885167464119</v>
      </c>
      <c r="AU414" s="152"/>
      <c r="AV414" s="147">
        <f>'Deterministic Reserve'!BC414</f>
        <v>1.1098989953158013E-2</v>
      </c>
      <c r="AW414" s="164">
        <f t="shared" si="135"/>
        <v>1853.5885167464119</v>
      </c>
      <c r="AX414" s="164">
        <f t="shared" si="136"/>
        <v>20.572960324657487</v>
      </c>
      <c r="AY414" s="152"/>
    </row>
    <row r="415" spans="1:51" s="150" customFormat="1" x14ac:dyDescent="0.25">
      <c r="A415" s="150">
        <f t="shared" si="144"/>
        <v>411</v>
      </c>
      <c r="B415" s="150">
        <f t="shared" si="145"/>
        <v>35</v>
      </c>
      <c r="C415" s="150">
        <f t="shared" si="146"/>
        <v>3</v>
      </c>
      <c r="D415" s="150">
        <f>IF(E415="","",Input!$C$4+B415-1)</f>
        <v>79</v>
      </c>
      <c r="E415" s="150">
        <f>IF(OR(AND(C414=12,D414=Input!$C$6),E414=""),"",1)</f>
        <v>1</v>
      </c>
      <c r="F415" s="150">
        <f>IF(E415="","",Input!$C$8+B415-1)</f>
        <v>2052</v>
      </c>
      <c r="G415" s="151">
        <f>IF(E415="","",MAX(0,Input!$C$9-B415))</f>
        <v>0</v>
      </c>
      <c r="H415" s="152">
        <f>IF(E415="","",Input!$C$3)</f>
        <v>100000</v>
      </c>
      <c r="I415" s="153">
        <f>IF(E415="","",HLOOKUP($B415,Input!$C$13:$BT$14,2))</f>
        <v>94.913000000000011</v>
      </c>
      <c r="J415" s="154"/>
      <c r="K415" s="155">
        <f>IF($E415="","",Input!$C$57)</f>
        <v>4.4999999999999998E-2</v>
      </c>
      <c r="L415" s="155">
        <f t="shared" si="137"/>
        <v>3.6748094004368514E-3</v>
      </c>
      <c r="M415" s="147">
        <f>IF($E415="","",VLOOKUP(IF($B415&lt;=Input!$C$7,$B415,26),'Mortality Tables'!$A$72:$CA$97,IF($B415&lt;=Input!$C$7+1,Input!$C$4-16,$D415-Input!$C$7-16),0)/1000)</f>
        <v>3.8740000000000004E-2</v>
      </c>
      <c r="N415" s="147">
        <f t="shared" si="126"/>
        <v>3.2871151597556603E-3</v>
      </c>
      <c r="O415" s="157">
        <f>IF($E415="","",IF($C415=12,IF($B415&lt;Input!$C$9,Input!$C$54,IF($B415=Input!$C$9,Input!$C$55,Input!$C$56)),0%))</f>
        <v>0</v>
      </c>
      <c r="P415" s="167">
        <f>IF($E415="","",IF($B415=1,Input!$C$59,IF($B415&lt;6,Input!$C$60,0%)))</f>
        <v>0</v>
      </c>
      <c r="Q415" s="162">
        <f>IF($E415="","",Input!$C$58)</f>
        <v>2.5</v>
      </c>
      <c r="R415" s="156">
        <f t="shared" si="138"/>
        <v>0.99671288484024434</v>
      </c>
      <c r="S415" s="154">
        <f t="shared" si="127"/>
        <v>1.0254171570809888E-2</v>
      </c>
      <c r="T415" s="152"/>
      <c r="U415" s="150">
        <f t="shared" si="139"/>
        <v>0</v>
      </c>
      <c r="V415" s="150">
        <f t="shared" si="140"/>
        <v>0</v>
      </c>
      <c r="W415" s="168">
        <f t="shared" si="141"/>
        <v>0</v>
      </c>
      <c r="X415" s="163">
        <f t="shared" si="128"/>
        <v>328.71151597556604</v>
      </c>
      <c r="Y415" s="152"/>
      <c r="Z415" s="164">
        <f>IF(AND($C414=12,$D414=Input!$C$6),0,IF($E415="","",V415+Z416/(1+L415)*R415))</f>
        <v>74802.884920833851</v>
      </c>
      <c r="AA415" s="164">
        <f>IF(OR($M415=1,AND($C414=12,$D414=Input!$C$6)),0,IF($E415="","",W415+(X415+AA416*$R415)/(1+$L415)))</f>
        <v>33001.57586063465</v>
      </c>
      <c r="AB415" s="160">
        <f t="shared" si="129"/>
        <v>0.825720328500681</v>
      </c>
      <c r="AC415" s="164">
        <f t="shared" si="130"/>
        <v>0</v>
      </c>
      <c r="AD415" s="164">
        <f>IF(AND($C414=12,$D414=Input!$C$6),0,IF($E415="","",$AC415+AD416/(1+$L415)*$R415))</f>
        <v>61766.262709629533</v>
      </c>
      <c r="AE415" s="152"/>
      <c r="AF415" s="164">
        <f>IF(AND($C414=12,$D414=Input!$C$6),0,IF($E415="","",IF($B415&gt;Input!$C$9,$AC415,0)+AF416/(1+$L415)*$R415))</f>
        <v>61766.262709629533</v>
      </c>
      <c r="AG415" s="164">
        <f>IF(AND($C414=12,$D414=Input!$C$6),0,IF($E415="","",(IF($B415&gt;Input!$C$9,$X415,0)+AG416)/(1+$L415)*$R415))</f>
        <v>32475.226556805283</v>
      </c>
      <c r="AH415" s="160">
        <f t="shared" si="131"/>
        <v>2.0950137211446997</v>
      </c>
      <c r="AI415" s="160">
        <f>IF($E415="","",MIN(Input!$C$61/AH415,1))</f>
        <v>0.64438718771845094</v>
      </c>
      <c r="AJ415" s="152"/>
      <c r="AK415" s="164">
        <f>IF(AND($C414=12,$D414=Input!$C$6),0,IF($E415="","",IF($B415&gt;Input!$C$9,$AC415*AI415,0)+AK416/(1+$L415)*$R415))</f>
        <v>39801.388323337167</v>
      </c>
      <c r="AL415" s="164">
        <f>IF(AND($C414=12,$D414=Input!$C$6),0,IF($E415="","",IF($B415&gt;Input!$C$9,0,$AC415)+AL416/(1+$L415)*$R415))</f>
        <v>0</v>
      </c>
      <c r="AM415" s="160">
        <f t="shared" si="132"/>
        <v>1.1382936520186004</v>
      </c>
      <c r="AN415" s="164">
        <f>IF($E415="","",IF($B415&gt;Input!$C$9,$AI415*$AC415,$AM415*$AC415))</f>
        <v>0</v>
      </c>
      <c r="AO415" s="164">
        <f>IF(AND($C414=12,$D414=Input!$C$6),0,IF($E415="","",$AN415+AO416/(1+$L415)*$R415))</f>
        <v>39801.388323337167</v>
      </c>
      <c r="AP415" s="152"/>
      <c r="AQ415" s="164">
        <f t="shared" si="133"/>
        <v>-6799.8124627025172</v>
      </c>
      <c r="AR415" s="164">
        <f t="shared" si="142"/>
        <v>-7437.5027200821987</v>
      </c>
      <c r="AS415" s="164">
        <f t="shared" si="143"/>
        <v>1853.5885167464119</v>
      </c>
      <c r="AT415" s="164">
        <f t="shared" si="134"/>
        <v>1853.5885167464119</v>
      </c>
      <c r="AU415" s="152"/>
      <c r="AV415" s="147">
        <f>'Deterministic Reserve'!BC415</f>
        <v>1.1011761264279609E-2</v>
      </c>
      <c r="AW415" s="164">
        <f t="shared" si="135"/>
        <v>1853.5885167464119</v>
      </c>
      <c r="AX415" s="164">
        <f t="shared" si="136"/>
        <v>20.411274228621632</v>
      </c>
      <c r="AY415" s="152"/>
    </row>
    <row r="416" spans="1:51" s="150" customFormat="1" x14ac:dyDescent="0.25">
      <c r="A416" s="150">
        <f t="shared" si="144"/>
        <v>412</v>
      </c>
      <c r="B416" s="150">
        <f t="shared" si="145"/>
        <v>35</v>
      </c>
      <c r="C416" s="150">
        <f t="shared" si="146"/>
        <v>4</v>
      </c>
      <c r="D416" s="150">
        <f>IF(E416="","",Input!$C$4+B416-1)</f>
        <v>79</v>
      </c>
      <c r="E416" s="150">
        <f>IF(OR(AND(C415=12,D415=Input!$C$6),E415=""),"",1)</f>
        <v>1</v>
      </c>
      <c r="F416" s="150">
        <f>IF(E416="","",Input!$C$8+B416-1)</f>
        <v>2052</v>
      </c>
      <c r="G416" s="151">
        <f>IF(E416="","",MAX(0,Input!$C$9-B416))</f>
        <v>0</v>
      </c>
      <c r="H416" s="152">
        <f>IF(E416="","",Input!$C$3)</f>
        <v>100000</v>
      </c>
      <c r="I416" s="153">
        <f>IF(E416="","",HLOOKUP($B416,Input!$C$13:$BT$14,2))</f>
        <v>94.913000000000011</v>
      </c>
      <c r="J416" s="154"/>
      <c r="K416" s="155">
        <f>IF($E416="","",Input!$C$57)</f>
        <v>4.4999999999999998E-2</v>
      </c>
      <c r="L416" s="155">
        <f t="shared" si="137"/>
        <v>3.6748094004368514E-3</v>
      </c>
      <c r="M416" s="147">
        <f>IF($E416="","",VLOOKUP(IF($B416&lt;=Input!$C$7,$B416,26),'Mortality Tables'!$A$72:$CA$97,IF($B416&lt;=Input!$C$7+1,Input!$C$4-16,$D416-Input!$C$7-16),0)/1000)</f>
        <v>3.8740000000000004E-2</v>
      </c>
      <c r="N416" s="147">
        <f t="shared" si="126"/>
        <v>3.2871151597556603E-3</v>
      </c>
      <c r="O416" s="157">
        <f>IF($E416="","",IF($C416=12,IF($B416&lt;Input!$C$9,Input!$C$54,IF($B416=Input!$C$9,Input!$C$55,Input!$C$56)),0%))</f>
        <v>0</v>
      </c>
      <c r="P416" s="167">
        <f>IF($E416="","",IF($B416=1,Input!$C$59,IF($B416&lt;6,Input!$C$60,0%)))</f>
        <v>0</v>
      </c>
      <c r="Q416" s="162">
        <f>IF($E416="","",Input!$C$58)</f>
        <v>2.5</v>
      </c>
      <c r="R416" s="156">
        <f t="shared" si="138"/>
        <v>0.99671288484024434</v>
      </c>
      <c r="S416" s="154">
        <f t="shared" si="127"/>
        <v>1.0220464927988743E-2</v>
      </c>
      <c r="T416" s="152"/>
      <c r="U416" s="150">
        <f t="shared" si="139"/>
        <v>0</v>
      </c>
      <c r="V416" s="150">
        <f t="shared" si="140"/>
        <v>0</v>
      </c>
      <c r="W416" s="168">
        <f t="shared" si="141"/>
        <v>0</v>
      </c>
      <c r="X416" s="163">
        <f t="shared" si="128"/>
        <v>328.71151597556604</v>
      </c>
      <c r="Y416" s="152"/>
      <c r="Z416" s="164">
        <f>IF(AND($C415=12,$D415=Input!$C$6),0,IF($E416="","",V416+Z417/(1+L416)*R416))</f>
        <v>75325.374445775698</v>
      </c>
      <c r="AA416" s="164">
        <f>IF(OR($M416=1,AND($C415=12,$D415=Input!$C$6)),0,IF($E416="","",W416+(X416+AA417*$R416)/(1+$L416)))</f>
        <v>32902.29247023059</v>
      </c>
      <c r="AB416" s="160">
        <f t="shared" si="129"/>
        <v>0.825720328500681</v>
      </c>
      <c r="AC416" s="164">
        <f t="shared" si="130"/>
        <v>0</v>
      </c>
      <c r="AD416" s="164">
        <f>IF(AND($C415=12,$D415=Input!$C$6),0,IF($E416="","",$AC416+AD417/(1+$L416)*$R416))</f>
        <v>62197.692931802689</v>
      </c>
      <c r="AE416" s="152"/>
      <c r="AF416" s="164">
        <f>IF(AND($C415=12,$D415=Input!$C$6),0,IF($E416="","",IF($B416&gt;Input!$C$9,$AC416,0)+AF417/(1+$L416)*$R416))</f>
        <v>62197.692931802689</v>
      </c>
      <c r="AG416" s="164">
        <f>IF(AND($C415=12,$D415=Input!$C$6),0,IF($E416="","",(IF($B416&gt;Input!$C$9,$X416,0)+AG417)/(1+$L416)*$R416))</f>
        <v>32373.350753302599</v>
      </c>
      <c r="AH416" s="160">
        <f t="shared" si="131"/>
        <v>2.0950137211446997</v>
      </c>
      <c r="AI416" s="160">
        <f>IF($E416="","",MIN(Input!$C$61/AH416,1))</f>
        <v>0.64438718771845094</v>
      </c>
      <c r="AJ416" s="152"/>
      <c r="AK416" s="164">
        <f>IF(AND($C415=12,$D415=Input!$C$6),0,IF($E416="","",IF($B416&gt;Input!$C$9,$AC416*AI416,0)+AK417/(1+$L416)*$R416))</f>
        <v>40079.396430900073</v>
      </c>
      <c r="AL416" s="164">
        <f>IF(AND($C415=12,$D415=Input!$C$6),0,IF($E416="","",IF($B416&gt;Input!$C$9,0,$AC416)+AL417/(1+$L416)*$R416))</f>
        <v>0</v>
      </c>
      <c r="AM416" s="160">
        <f t="shared" si="132"/>
        <v>1.1382936520186004</v>
      </c>
      <c r="AN416" s="164">
        <f>IF($E416="","",IF($B416&gt;Input!$C$9,$AI416*$AC416,$AM416*$AC416))</f>
        <v>0</v>
      </c>
      <c r="AO416" s="164">
        <f>IF(AND($C415=12,$D415=Input!$C$6),0,IF($E416="","",$AN416+AO417/(1+$L416)*$R416))</f>
        <v>40079.396430900073</v>
      </c>
      <c r="AP416" s="152"/>
      <c r="AQ416" s="164">
        <f t="shared" si="133"/>
        <v>-7177.1039606694831</v>
      </c>
      <c r="AR416" s="164">
        <f t="shared" si="142"/>
        <v>-7437.5027200821987</v>
      </c>
      <c r="AS416" s="164">
        <f t="shared" si="143"/>
        <v>1853.5885167464119</v>
      </c>
      <c r="AT416" s="164">
        <f t="shared" si="134"/>
        <v>1853.5885167464119</v>
      </c>
      <c r="AU416" s="152"/>
      <c r="AV416" s="147">
        <f>'Deterministic Reserve'!BC416</f>
        <v>1.0925218119238578E-2</v>
      </c>
      <c r="AW416" s="164">
        <f t="shared" si="135"/>
        <v>1853.5885167464119</v>
      </c>
      <c r="AX416" s="164">
        <f t="shared" si="136"/>
        <v>20.250858848770459</v>
      </c>
      <c r="AY416" s="152"/>
    </row>
    <row r="417" spans="1:51" s="150" customFormat="1" x14ac:dyDescent="0.25">
      <c r="A417" s="150">
        <f t="shared" si="144"/>
        <v>413</v>
      </c>
      <c r="B417" s="150">
        <f t="shared" si="145"/>
        <v>35</v>
      </c>
      <c r="C417" s="150">
        <f t="shared" si="146"/>
        <v>5</v>
      </c>
      <c r="D417" s="150">
        <f>IF(E417="","",Input!$C$4+B417-1)</f>
        <v>79</v>
      </c>
      <c r="E417" s="150">
        <f>IF(OR(AND(C416=12,D416=Input!$C$6),E416=""),"",1)</f>
        <v>1</v>
      </c>
      <c r="F417" s="150">
        <f>IF(E417="","",Input!$C$8+B417-1)</f>
        <v>2052</v>
      </c>
      <c r="G417" s="151">
        <f>IF(E417="","",MAX(0,Input!$C$9-B417))</f>
        <v>0</v>
      </c>
      <c r="H417" s="152">
        <f>IF(E417="","",Input!$C$3)</f>
        <v>100000</v>
      </c>
      <c r="I417" s="153">
        <f>IF(E417="","",HLOOKUP($B417,Input!$C$13:$BT$14,2))</f>
        <v>94.913000000000011</v>
      </c>
      <c r="J417" s="154"/>
      <c r="K417" s="155">
        <f>IF($E417="","",Input!$C$57)</f>
        <v>4.4999999999999998E-2</v>
      </c>
      <c r="L417" s="155">
        <f t="shared" si="137"/>
        <v>3.6748094004368514E-3</v>
      </c>
      <c r="M417" s="147">
        <f>IF($E417="","",VLOOKUP(IF($B417&lt;=Input!$C$7,$B417,26),'Mortality Tables'!$A$72:$CA$97,IF($B417&lt;=Input!$C$7+1,Input!$C$4-16,$D417-Input!$C$7-16),0)/1000)</f>
        <v>3.8740000000000004E-2</v>
      </c>
      <c r="N417" s="147">
        <f t="shared" si="126"/>
        <v>3.2871151597556603E-3</v>
      </c>
      <c r="O417" s="157">
        <f>IF($E417="","",IF($C417=12,IF($B417&lt;Input!$C$9,Input!$C$54,IF($B417=Input!$C$9,Input!$C$55,Input!$C$56)),0%))</f>
        <v>0</v>
      </c>
      <c r="P417" s="167">
        <f>IF($E417="","",IF($B417=1,Input!$C$59,IF($B417&lt;6,Input!$C$60,0%)))</f>
        <v>0</v>
      </c>
      <c r="Q417" s="162">
        <f>IF($E417="","",Input!$C$58)</f>
        <v>2.5</v>
      </c>
      <c r="R417" s="156">
        <f t="shared" si="138"/>
        <v>0.99671288484024434</v>
      </c>
      <c r="S417" s="154">
        <f t="shared" si="127"/>
        <v>1.0186869082784201E-2</v>
      </c>
      <c r="T417" s="152"/>
      <c r="U417" s="150">
        <f t="shared" si="139"/>
        <v>0</v>
      </c>
      <c r="V417" s="150">
        <f t="shared" si="140"/>
        <v>0</v>
      </c>
      <c r="W417" s="168">
        <f t="shared" si="141"/>
        <v>0</v>
      </c>
      <c r="X417" s="163">
        <f t="shared" si="128"/>
        <v>328.71151597556604</v>
      </c>
      <c r="Y417" s="152"/>
      <c r="Z417" s="164">
        <f>IF(AND($C416=12,$D416=Input!$C$6),0,IF($E417="","",V417+Z418/(1+L417)*R417))</f>
        <v>75851.513499796056</v>
      </c>
      <c r="AA417" s="164">
        <f>IF(OR($M417=1,AND($C416=12,$D416=Input!$C$6)),0,IF($E417="","",W417+(X417+AA418*$R417)/(1+$L417)))</f>
        <v>32802.315596793866</v>
      </c>
      <c r="AB417" s="160">
        <f t="shared" si="129"/>
        <v>0.825720328500681</v>
      </c>
      <c r="AC417" s="164">
        <f t="shared" si="130"/>
        <v>0</v>
      </c>
      <c r="AD417" s="164">
        <f>IF(AND($C416=12,$D416=Input!$C$6),0,IF($E417="","",$AC417+AD418/(1+$L417)*$R417))</f>
        <v>62632.136644325416</v>
      </c>
      <c r="AE417" s="152"/>
      <c r="AF417" s="164">
        <f>IF(AND($C416=12,$D416=Input!$C$6),0,IF($E417="","",IF($B417&gt;Input!$C$9,$AC417,0)+AF418/(1+$L417)*$R417))</f>
        <v>62632.136644325416</v>
      </c>
      <c r="AG417" s="164">
        <f>IF(AND($C416=12,$D416=Input!$C$6),0,IF($E417="","",(IF($B417&gt;Input!$C$9,$X417,0)+AG418)/(1+$L417)*$R417))</f>
        <v>32270.763359060715</v>
      </c>
      <c r="AH417" s="160">
        <f t="shared" si="131"/>
        <v>2.0950137211446997</v>
      </c>
      <c r="AI417" s="160">
        <f>IF($E417="","",MIN(Input!$C$61/AH417,1))</f>
        <v>0.64438718771845094</v>
      </c>
      <c r="AJ417" s="152"/>
      <c r="AK417" s="164">
        <f>IF(AND($C416=12,$D416=Input!$C$6),0,IF($E417="","",IF($B417&gt;Input!$C$9,$AC417*AI417,0)+AK418/(1+$L417)*$R417))</f>
        <v>40359.346393034553</v>
      </c>
      <c r="AL417" s="164">
        <f>IF(AND($C416=12,$D416=Input!$C$6),0,IF($E417="","",IF($B417&gt;Input!$C$9,0,$AC417)+AL418/(1+$L417)*$R417))</f>
        <v>0</v>
      </c>
      <c r="AM417" s="160">
        <f t="shared" si="132"/>
        <v>1.1382936520186004</v>
      </c>
      <c r="AN417" s="164">
        <f>IF($E417="","",IF($B417&gt;Input!$C$9,$AI417*$AC417,$AM417*$AC417))</f>
        <v>0</v>
      </c>
      <c r="AO417" s="164">
        <f>IF(AND($C416=12,$D416=Input!$C$6),0,IF($E417="","",$AN417+AO418/(1+$L417)*$R417))</f>
        <v>40359.346393034553</v>
      </c>
      <c r="AP417" s="152"/>
      <c r="AQ417" s="164">
        <f t="shared" si="133"/>
        <v>-7557.0307962406878</v>
      </c>
      <c r="AR417" s="164">
        <f t="shared" si="142"/>
        <v>-7437.5027200821987</v>
      </c>
      <c r="AS417" s="164">
        <f t="shared" si="143"/>
        <v>1853.5885167464119</v>
      </c>
      <c r="AT417" s="164">
        <f t="shared" si="134"/>
        <v>1853.5885167464119</v>
      </c>
      <c r="AU417" s="152"/>
      <c r="AV417" s="147">
        <f>'Deterministic Reserve'!BC417</f>
        <v>1.0839355130239241E-2</v>
      </c>
      <c r="AW417" s="164">
        <f t="shared" si="135"/>
        <v>1853.5885167464119</v>
      </c>
      <c r="AX417" s="164">
        <f t="shared" si="136"/>
        <v>20.091704198347767</v>
      </c>
      <c r="AY417" s="152"/>
    </row>
    <row r="418" spans="1:51" s="150" customFormat="1" x14ac:dyDescent="0.25">
      <c r="A418" s="150">
        <f t="shared" si="144"/>
        <v>414</v>
      </c>
      <c r="B418" s="150">
        <f t="shared" si="145"/>
        <v>35</v>
      </c>
      <c r="C418" s="150">
        <f t="shared" si="146"/>
        <v>6</v>
      </c>
      <c r="D418" s="150">
        <f>IF(E418="","",Input!$C$4+B418-1)</f>
        <v>79</v>
      </c>
      <c r="E418" s="150">
        <f>IF(OR(AND(C417=12,D417=Input!$C$6),E417=""),"",1)</f>
        <v>1</v>
      </c>
      <c r="F418" s="150">
        <f>IF(E418="","",Input!$C$8+B418-1)</f>
        <v>2052</v>
      </c>
      <c r="G418" s="151">
        <f>IF(E418="","",MAX(0,Input!$C$9-B418))</f>
        <v>0</v>
      </c>
      <c r="H418" s="152">
        <f>IF(E418="","",Input!$C$3)</f>
        <v>100000</v>
      </c>
      <c r="I418" s="153">
        <f>IF(E418="","",HLOOKUP($B418,Input!$C$13:$BT$14,2))</f>
        <v>94.913000000000011</v>
      </c>
      <c r="J418" s="154"/>
      <c r="K418" s="155">
        <f>IF($E418="","",Input!$C$57)</f>
        <v>4.4999999999999998E-2</v>
      </c>
      <c r="L418" s="155">
        <f t="shared" si="137"/>
        <v>3.6748094004368514E-3</v>
      </c>
      <c r="M418" s="147">
        <f>IF($E418="","",VLOOKUP(IF($B418&lt;=Input!$C$7,$B418,26),'Mortality Tables'!$A$72:$CA$97,IF($B418&lt;=Input!$C$7+1,Input!$C$4-16,$D418-Input!$C$7-16),0)/1000)</f>
        <v>3.8740000000000004E-2</v>
      </c>
      <c r="N418" s="147">
        <f t="shared" si="126"/>
        <v>3.2871151597556603E-3</v>
      </c>
      <c r="O418" s="157">
        <f>IF($E418="","",IF($C418=12,IF($B418&lt;Input!$C$9,Input!$C$54,IF($B418=Input!$C$9,Input!$C$55,Input!$C$56)),0%))</f>
        <v>0</v>
      </c>
      <c r="P418" s="167">
        <f>IF($E418="","",IF($B418=1,Input!$C$59,IF($B418&lt;6,Input!$C$60,0%)))</f>
        <v>0</v>
      </c>
      <c r="Q418" s="162">
        <f>IF($E418="","",Input!$C$58)</f>
        <v>2.5</v>
      </c>
      <c r="R418" s="156">
        <f t="shared" si="138"/>
        <v>0.99671288484024434</v>
      </c>
      <c r="S418" s="154">
        <f t="shared" si="127"/>
        <v>1.0153383670991735E-2</v>
      </c>
      <c r="T418" s="152"/>
      <c r="U418" s="150">
        <f t="shared" si="139"/>
        <v>0</v>
      </c>
      <c r="V418" s="150">
        <f t="shared" si="140"/>
        <v>0</v>
      </c>
      <c r="W418" s="168">
        <f t="shared" si="141"/>
        <v>0</v>
      </c>
      <c r="X418" s="163">
        <f t="shared" si="128"/>
        <v>328.71151597556604</v>
      </c>
      <c r="Y418" s="152"/>
      <c r="Z418" s="164">
        <f>IF(AND($C417=12,$D417=Input!$C$6),0,IF($E418="","",V418+Z419/(1+L418)*R418))</f>
        <v>76381.327574434647</v>
      </c>
      <c r="AA418" s="164">
        <f>IF(OR($M418=1,AND($C417=12,$D417=Input!$C$6)),0,IF($E418="","",W418+(X418+AA419*$R418)/(1+$L418)))</f>
        <v>32701.640396425464</v>
      </c>
      <c r="AB418" s="160">
        <f t="shared" si="129"/>
        <v>0.825720328500681</v>
      </c>
      <c r="AC418" s="164">
        <f t="shared" si="130"/>
        <v>0</v>
      </c>
      <c r="AD418" s="164">
        <f>IF(AND($C417=12,$D417=Input!$C$6),0,IF($E418="","",$AC418+AD419/(1+$L418)*$R418))</f>
        <v>63069.614896080289</v>
      </c>
      <c r="AE418" s="152"/>
      <c r="AF418" s="164">
        <f>IF(AND($C417=12,$D417=Input!$C$6),0,IF($E418="","",IF($B418&gt;Input!$C$9,$AC418,0)+AF419/(1+$L418)*$R418))</f>
        <v>63069.614896080289</v>
      </c>
      <c r="AG418" s="164">
        <f>IF(AND($C417=12,$D417=Input!$C$6),0,IF($E418="","",(IF($B418&gt;Input!$C$9,$X418,0)+AG419)/(1+$L418)*$R418))</f>
        <v>32167.459403700374</v>
      </c>
      <c r="AH418" s="160">
        <f t="shared" si="131"/>
        <v>2.0950137211446997</v>
      </c>
      <c r="AI418" s="160">
        <f>IF($E418="","",MIN(Input!$C$61/AH418,1))</f>
        <v>0.64438718771845094</v>
      </c>
      <c r="AJ418" s="152"/>
      <c r="AK418" s="164">
        <f>IF(AND($C417=12,$D417=Input!$C$6),0,IF($E418="","",IF($B418&gt;Input!$C$9,$AC418*AI418,0)+AK419/(1+$L418)*$R418))</f>
        <v>40641.251773370859</v>
      </c>
      <c r="AL418" s="164">
        <f>IF(AND($C417=12,$D417=Input!$C$6),0,IF($E418="","",IF($B418&gt;Input!$C$9,0,$AC418)+AL419/(1+$L418)*$R418))</f>
        <v>0</v>
      </c>
      <c r="AM418" s="160">
        <f t="shared" si="132"/>
        <v>1.1382936520186004</v>
      </c>
      <c r="AN418" s="164">
        <f>IF($E418="","",IF($B418&gt;Input!$C$9,$AI418*$AC418,$AM418*$AC418))</f>
        <v>0</v>
      </c>
      <c r="AO418" s="164">
        <f>IF(AND($C417=12,$D417=Input!$C$6),0,IF($E418="","",$AN418+AO419/(1+$L418)*$R418))</f>
        <v>40641.251773370859</v>
      </c>
      <c r="AP418" s="152"/>
      <c r="AQ418" s="164">
        <f t="shared" si="133"/>
        <v>-7939.611376945395</v>
      </c>
      <c r="AR418" s="164">
        <f t="shared" si="142"/>
        <v>-7437.5027200821987</v>
      </c>
      <c r="AS418" s="164">
        <f t="shared" si="143"/>
        <v>1853.5885167464119</v>
      </c>
      <c r="AT418" s="164">
        <f t="shared" si="134"/>
        <v>1853.5885167464119</v>
      </c>
      <c r="AU418" s="152"/>
      <c r="AV418" s="147">
        <f>'Deterministic Reserve'!BC418</f>
        <v>1.0754166951829444E-2</v>
      </c>
      <c r="AW418" s="164">
        <f t="shared" si="135"/>
        <v>1853.5885167464119</v>
      </c>
      <c r="AX418" s="164">
        <f t="shared" si="136"/>
        <v>19.933800369084821</v>
      </c>
      <c r="AY418" s="152"/>
    </row>
    <row r="419" spans="1:51" s="150" customFormat="1" x14ac:dyDescent="0.25">
      <c r="A419" s="150">
        <f t="shared" si="144"/>
        <v>415</v>
      </c>
      <c r="B419" s="150">
        <f t="shared" si="145"/>
        <v>35</v>
      </c>
      <c r="C419" s="150">
        <f t="shared" si="146"/>
        <v>7</v>
      </c>
      <c r="D419" s="150">
        <f>IF(E419="","",Input!$C$4+B419-1)</f>
        <v>79</v>
      </c>
      <c r="E419" s="150">
        <f>IF(OR(AND(C418=12,D418=Input!$C$6),E418=""),"",1)</f>
        <v>1</v>
      </c>
      <c r="F419" s="150">
        <f>IF(E419="","",Input!$C$8+B419-1)</f>
        <v>2052</v>
      </c>
      <c r="G419" s="151">
        <f>IF(E419="","",MAX(0,Input!$C$9-B419))</f>
        <v>0</v>
      </c>
      <c r="H419" s="152">
        <f>IF(E419="","",Input!$C$3)</f>
        <v>100000</v>
      </c>
      <c r="I419" s="153">
        <f>IF(E419="","",HLOOKUP($B419,Input!$C$13:$BT$14,2))</f>
        <v>94.913000000000011</v>
      </c>
      <c r="J419" s="154"/>
      <c r="K419" s="155">
        <f>IF($E419="","",Input!$C$57)</f>
        <v>4.4999999999999998E-2</v>
      </c>
      <c r="L419" s="155">
        <f t="shared" si="137"/>
        <v>3.6748094004368514E-3</v>
      </c>
      <c r="M419" s="147">
        <f>IF($E419="","",VLOOKUP(IF($B419&lt;=Input!$C$7,$B419,26),'Mortality Tables'!$A$72:$CA$97,IF($B419&lt;=Input!$C$7+1,Input!$C$4-16,$D419-Input!$C$7-16),0)/1000)</f>
        <v>3.8740000000000004E-2</v>
      </c>
      <c r="N419" s="147">
        <f t="shared" si="126"/>
        <v>3.2871151597556603E-3</v>
      </c>
      <c r="O419" s="157">
        <f>IF($E419="","",IF($C419=12,IF($B419&lt;Input!$C$9,Input!$C$54,IF($B419=Input!$C$9,Input!$C$55,Input!$C$56)),0%))</f>
        <v>0</v>
      </c>
      <c r="P419" s="167">
        <f>IF($E419="","",IF($B419=1,Input!$C$59,IF($B419&lt;6,Input!$C$60,0%)))</f>
        <v>0</v>
      </c>
      <c r="Q419" s="162">
        <f>IF($E419="","",Input!$C$58)</f>
        <v>2.5</v>
      </c>
      <c r="R419" s="156">
        <f t="shared" si="138"/>
        <v>0.99671288484024434</v>
      </c>
      <c r="S419" s="154">
        <f t="shared" si="127"/>
        <v>1.0120008329604002E-2</v>
      </c>
      <c r="T419" s="152"/>
      <c r="U419" s="150">
        <f t="shared" si="139"/>
        <v>0</v>
      </c>
      <c r="V419" s="150">
        <f t="shared" si="140"/>
        <v>0</v>
      </c>
      <c r="W419" s="168">
        <f t="shared" si="141"/>
        <v>0</v>
      </c>
      <c r="X419" s="163">
        <f t="shared" si="128"/>
        <v>328.71151597556604</v>
      </c>
      <c r="Y419" s="152"/>
      <c r="Z419" s="164">
        <f>IF(AND($C418=12,$D418=Input!$C$6),0,IF($E419="","",V419+Z420/(1+L419)*R419))</f>
        <v>76914.842339286712</v>
      </c>
      <c r="AA419" s="164">
        <f>IF(OR($M419=1,AND($C418=12,$D418=Input!$C$6)),0,IF($E419="","",W419+(X419+AA420*$R419)/(1+$L419)))</f>
        <v>32600.261991392304</v>
      </c>
      <c r="AB419" s="160">
        <f t="shared" si="129"/>
        <v>0.825720328500681</v>
      </c>
      <c r="AC419" s="164">
        <f t="shared" si="130"/>
        <v>0</v>
      </c>
      <c r="AD419" s="164">
        <f>IF(AND($C418=12,$D418=Input!$C$6),0,IF($E419="","",$AC419+AD420/(1+$L419)*$R419))</f>
        <v>63510.148882973903</v>
      </c>
      <c r="AE419" s="152"/>
      <c r="AF419" s="164">
        <f>IF(AND($C418=12,$D418=Input!$C$6),0,IF($E419="","",IF($B419&gt;Input!$C$9,$AC419,0)+AF420/(1+$L419)*$R419))</f>
        <v>63510.148882973903</v>
      </c>
      <c r="AG419" s="164">
        <f>IF(AND($C418=12,$D418=Input!$C$6),0,IF($E419="","",(IF($B419&gt;Input!$C$9,$X419,0)+AG420)/(1+$L419)*$R419))</f>
        <v>32063.433882124802</v>
      </c>
      <c r="AH419" s="160">
        <f t="shared" si="131"/>
        <v>2.0950137211446997</v>
      </c>
      <c r="AI419" s="160">
        <f>IF($E419="","",MIN(Input!$C$61/AH419,1))</f>
        <v>0.64438718771845094</v>
      </c>
      <c r="AJ419" s="152"/>
      <c r="AK419" s="164">
        <f>IF(AND($C418=12,$D418=Input!$C$6),0,IF($E419="","",IF($B419&gt;Input!$C$9,$AC419*AI419,0)+AK420/(1+$L419)*$R419))</f>
        <v>40925.126230279631</v>
      </c>
      <c r="AL419" s="164">
        <f>IF(AND($C418=12,$D418=Input!$C$6),0,IF($E419="","",IF($B419&gt;Input!$C$9,0,$AC419)+AL420/(1+$L419)*$R419))</f>
        <v>0</v>
      </c>
      <c r="AM419" s="160">
        <f t="shared" si="132"/>
        <v>1.1382936520186004</v>
      </c>
      <c r="AN419" s="164">
        <f>IF($E419="","",IF($B419&gt;Input!$C$9,$AI419*$AC419,$AM419*$AC419))</f>
        <v>0</v>
      </c>
      <c r="AO419" s="164">
        <f>IF(AND($C418=12,$D418=Input!$C$6),0,IF($E419="","",$AN419+AO420/(1+$L419)*$R419))</f>
        <v>40925.126230279631</v>
      </c>
      <c r="AP419" s="152"/>
      <c r="AQ419" s="164">
        <f t="shared" si="133"/>
        <v>-8324.8642388873268</v>
      </c>
      <c r="AR419" s="164">
        <f t="shared" si="142"/>
        <v>-7437.5027200821987</v>
      </c>
      <c r="AS419" s="164">
        <f t="shared" si="143"/>
        <v>1853.5885167464119</v>
      </c>
      <c r="AT419" s="164">
        <f t="shared" si="134"/>
        <v>1853.5885167464119</v>
      </c>
      <c r="AU419" s="152"/>
      <c r="AV419" s="147">
        <f>'Deterministic Reserve'!BC419</f>
        <v>1.0669648280567774E-2</v>
      </c>
      <c r="AW419" s="164">
        <f t="shared" si="135"/>
        <v>1853.5885167464119</v>
      </c>
      <c r="AX419" s="164">
        <f t="shared" si="136"/>
        <v>19.777137530583524</v>
      </c>
      <c r="AY419" s="152"/>
    </row>
    <row r="420" spans="1:51" s="150" customFormat="1" x14ac:dyDescent="0.25">
      <c r="A420" s="150">
        <f t="shared" si="144"/>
        <v>416</v>
      </c>
      <c r="B420" s="150">
        <f t="shared" si="145"/>
        <v>35</v>
      </c>
      <c r="C420" s="150">
        <f t="shared" si="146"/>
        <v>8</v>
      </c>
      <c r="D420" s="150">
        <f>IF(E420="","",Input!$C$4+B420-1)</f>
        <v>79</v>
      </c>
      <c r="E420" s="150">
        <f>IF(OR(AND(C419=12,D419=Input!$C$6),E419=""),"",1)</f>
        <v>1</v>
      </c>
      <c r="F420" s="150">
        <f>IF(E420="","",Input!$C$8+B420-1)</f>
        <v>2052</v>
      </c>
      <c r="G420" s="151">
        <f>IF(E420="","",MAX(0,Input!$C$9-B420))</f>
        <v>0</v>
      </c>
      <c r="H420" s="152">
        <f>IF(E420="","",Input!$C$3)</f>
        <v>100000</v>
      </c>
      <c r="I420" s="153">
        <f>IF(E420="","",HLOOKUP($B420,Input!$C$13:$BT$14,2))</f>
        <v>94.913000000000011</v>
      </c>
      <c r="J420" s="154"/>
      <c r="K420" s="155">
        <f>IF($E420="","",Input!$C$57)</f>
        <v>4.4999999999999998E-2</v>
      </c>
      <c r="L420" s="155">
        <f t="shared" si="137"/>
        <v>3.6748094004368514E-3</v>
      </c>
      <c r="M420" s="147">
        <f>IF($E420="","",VLOOKUP(IF($B420&lt;=Input!$C$7,$B420,26),'Mortality Tables'!$A$72:$CA$97,IF($B420&lt;=Input!$C$7+1,Input!$C$4-16,$D420-Input!$C$7-16),0)/1000)</f>
        <v>3.8740000000000004E-2</v>
      </c>
      <c r="N420" s="147">
        <f t="shared" si="126"/>
        <v>3.2871151597556603E-3</v>
      </c>
      <c r="O420" s="157">
        <f>IF($E420="","",IF($C420=12,IF($B420&lt;Input!$C$9,Input!$C$54,IF($B420=Input!$C$9,Input!$C$55,Input!$C$56)),0%))</f>
        <v>0</v>
      </c>
      <c r="P420" s="167">
        <f>IF($E420="","",IF($B420=1,Input!$C$59,IF($B420&lt;6,Input!$C$60,0%)))</f>
        <v>0</v>
      </c>
      <c r="Q420" s="162">
        <f>IF($E420="","",Input!$C$58)</f>
        <v>2.5</v>
      </c>
      <c r="R420" s="156">
        <f t="shared" si="138"/>
        <v>0.99671288484024434</v>
      </c>
      <c r="S420" s="154">
        <f t="shared" si="127"/>
        <v>1.0086742696806907E-2</v>
      </c>
      <c r="T420" s="152"/>
      <c r="U420" s="150">
        <f t="shared" si="139"/>
        <v>0</v>
      </c>
      <c r="V420" s="150">
        <f t="shared" si="140"/>
        <v>0</v>
      </c>
      <c r="W420" s="168">
        <f t="shared" si="141"/>
        <v>0</v>
      </c>
      <c r="X420" s="163">
        <f t="shared" si="128"/>
        <v>328.71151597556604</v>
      </c>
      <c r="Y420" s="152"/>
      <c r="Z420" s="164">
        <f>IF(AND($C419=12,$D419=Input!$C$6),0,IF($E420="","",V420+Z421/(1+L420)*R420))</f>
        <v>77452.083643246617</v>
      </c>
      <c r="AA420" s="164">
        <f>IF(OR($M420=1,AND($C419=12,$D419=Input!$C$6)),0,IF($E420="","",W420+(X420+AA421*$R420)/(1+$L420)))</f>
        <v>32498.175469890888</v>
      </c>
      <c r="AB420" s="160">
        <f t="shared" si="129"/>
        <v>0.825720328500681</v>
      </c>
      <c r="AC420" s="164">
        <f t="shared" si="130"/>
        <v>0</v>
      </c>
      <c r="AD420" s="164">
        <f>IF(AND($C419=12,$D419=Input!$C$6),0,IF($E420="","",$AC420+AD421/(1+$L420)*$R420))</f>
        <v>63953.759948963809</v>
      </c>
      <c r="AE420" s="152"/>
      <c r="AF420" s="164">
        <f>IF(AND($C419=12,$D419=Input!$C$6),0,IF($E420="","",IF($B420&gt;Input!$C$9,$AC420,0)+AF421/(1+$L420)*$R420))</f>
        <v>63953.759948963809</v>
      </c>
      <c r="AG420" s="164">
        <f>IF(AND($C419=12,$D419=Input!$C$6),0,IF($E420="","",(IF($B420&gt;Input!$C$9,$X420,0)+AG421)/(1+$L420)*$R420))</f>
        <v>31958.681754277193</v>
      </c>
      <c r="AH420" s="160">
        <f t="shared" si="131"/>
        <v>2.0950137211446997</v>
      </c>
      <c r="AI420" s="160">
        <f>IF($E420="","",MIN(Input!$C$61/AH420,1))</f>
        <v>0.64438718771845094</v>
      </c>
      <c r="AJ420" s="152"/>
      <c r="AK420" s="164">
        <f>IF(AND($C419=12,$D419=Input!$C$6),0,IF($E420="","",IF($B420&gt;Input!$C$9,$AC420*AI420,0)+AK421/(1+$L420)*$R420))</f>
        <v>41210.983517533656</v>
      </c>
      <c r="AL420" s="164">
        <f>IF(AND($C419=12,$D419=Input!$C$6),0,IF($E420="","",IF($B420&gt;Input!$C$9,0,$AC420)+AL421/(1+$L420)*$R420))</f>
        <v>0</v>
      </c>
      <c r="AM420" s="160">
        <f t="shared" si="132"/>
        <v>1.1382936520186004</v>
      </c>
      <c r="AN420" s="164">
        <f>IF($E420="","",IF($B420&gt;Input!$C$9,$AI420*$AC420,$AM420*$AC420))</f>
        <v>0</v>
      </c>
      <c r="AO420" s="164">
        <f>IF(AND($C419=12,$D419=Input!$C$6),0,IF($E420="","",$AN420+AO421/(1+$L420)*$R420))</f>
        <v>41210.983517533656</v>
      </c>
      <c r="AP420" s="152"/>
      <c r="AQ420" s="164">
        <f t="shared" si="133"/>
        <v>-8712.8080476427676</v>
      </c>
      <c r="AR420" s="164">
        <f t="shared" si="142"/>
        <v>-7437.5027200821987</v>
      </c>
      <c r="AS420" s="164">
        <f t="shared" si="143"/>
        <v>1853.5885167464119</v>
      </c>
      <c r="AT420" s="164">
        <f t="shared" si="134"/>
        <v>1853.5885167464119</v>
      </c>
      <c r="AU420" s="152"/>
      <c r="AV420" s="147">
        <f>'Deterministic Reserve'!BC420</f>
        <v>1.0585793854693389E-2</v>
      </c>
      <c r="AW420" s="164">
        <f t="shared" si="135"/>
        <v>1853.5885167464119</v>
      </c>
      <c r="AX420" s="164">
        <f t="shared" si="136"/>
        <v>19.621705929704401</v>
      </c>
      <c r="AY420" s="152"/>
    </row>
    <row r="421" spans="1:51" s="150" customFormat="1" x14ac:dyDescent="0.25">
      <c r="A421" s="150">
        <f t="shared" si="144"/>
        <v>417</v>
      </c>
      <c r="B421" s="150">
        <f t="shared" si="145"/>
        <v>35</v>
      </c>
      <c r="C421" s="150">
        <f t="shared" si="146"/>
        <v>9</v>
      </c>
      <c r="D421" s="150">
        <f>IF(E421="","",Input!$C$4+B421-1)</f>
        <v>79</v>
      </c>
      <c r="E421" s="150">
        <f>IF(OR(AND(C420=12,D420=Input!$C$6),E420=""),"",1)</f>
        <v>1</v>
      </c>
      <c r="F421" s="150">
        <f>IF(E421="","",Input!$C$8+B421-1)</f>
        <v>2052</v>
      </c>
      <c r="G421" s="151">
        <f>IF(E421="","",MAX(0,Input!$C$9-B421))</f>
        <v>0</v>
      </c>
      <c r="H421" s="152">
        <f>IF(E421="","",Input!$C$3)</f>
        <v>100000</v>
      </c>
      <c r="I421" s="153">
        <f>IF(E421="","",HLOOKUP($B421,Input!$C$13:$BT$14,2))</f>
        <v>94.913000000000011</v>
      </c>
      <c r="J421" s="154"/>
      <c r="K421" s="155">
        <f>IF($E421="","",Input!$C$57)</f>
        <v>4.4999999999999998E-2</v>
      </c>
      <c r="L421" s="155">
        <f t="shared" si="137"/>
        <v>3.6748094004368514E-3</v>
      </c>
      <c r="M421" s="147">
        <f>IF($E421="","",VLOOKUP(IF($B421&lt;=Input!$C$7,$B421,26),'Mortality Tables'!$A$72:$CA$97,IF($B421&lt;=Input!$C$7+1,Input!$C$4-16,$D421-Input!$C$7-16),0)/1000)</f>
        <v>3.8740000000000004E-2</v>
      </c>
      <c r="N421" s="147">
        <f t="shared" si="126"/>
        <v>3.2871151597556603E-3</v>
      </c>
      <c r="O421" s="157">
        <f>IF($E421="","",IF($C421=12,IF($B421&lt;Input!$C$9,Input!$C$54,IF($B421=Input!$C$9,Input!$C$55,Input!$C$56)),0%))</f>
        <v>0</v>
      </c>
      <c r="P421" s="167">
        <f>IF($E421="","",IF($B421=1,Input!$C$59,IF($B421&lt;6,Input!$C$60,0%)))</f>
        <v>0</v>
      </c>
      <c r="Q421" s="162">
        <f>IF($E421="","",Input!$C$58)</f>
        <v>2.5</v>
      </c>
      <c r="R421" s="156">
        <f t="shared" si="138"/>
        <v>0.99671288484024434</v>
      </c>
      <c r="S421" s="154">
        <f t="shared" si="127"/>
        <v>1.0053586411975677E-2</v>
      </c>
      <c r="T421" s="152"/>
      <c r="U421" s="150">
        <f t="shared" si="139"/>
        <v>0</v>
      </c>
      <c r="V421" s="150">
        <f t="shared" si="140"/>
        <v>0</v>
      </c>
      <c r="W421" s="168">
        <f t="shared" si="141"/>
        <v>0</v>
      </c>
      <c r="X421" s="163">
        <f t="shared" si="128"/>
        <v>328.71151597556604</v>
      </c>
      <c r="Y421" s="152"/>
      <c r="Z421" s="164">
        <f>IF(AND($C420=12,$D420=Input!$C$6),0,IF($E421="","",V421+Z422/(1+L421)*R421))</f>
        <v>77993.077515760306</v>
      </c>
      <c r="AA421" s="164">
        <f>IF(OR($M421=1,AND($C420=12,$D420=Input!$C$6)),0,IF($E421="","",W421+(X421+AA422*$R421)/(1+$L421)))</f>
        <v>32395.37588580935</v>
      </c>
      <c r="AB421" s="160">
        <f t="shared" si="129"/>
        <v>0.825720328500681</v>
      </c>
      <c r="AC421" s="164">
        <f t="shared" si="130"/>
        <v>0</v>
      </c>
      <c r="AD421" s="164">
        <f>IF(AND($C420=12,$D420=Input!$C$6),0,IF($E421="","",$AC421+AD422/(1+$L421)*$R421))</f>
        <v>64400.469587092659</v>
      </c>
      <c r="AE421" s="152"/>
      <c r="AF421" s="164">
        <f>IF(AND($C420=12,$D420=Input!$C$6),0,IF($E421="","",IF($B421&gt;Input!$C$9,$AC421,0)+AF422/(1+$L421)*$R421))</f>
        <v>64400.469587092659</v>
      </c>
      <c r="AG421" s="164">
        <f>IF(AND($C420=12,$D420=Input!$C$6),0,IF($E421="","",(IF($B421&gt;Input!$C$9,$X421,0)+AG422)/(1+$L421)*$R421))</f>
        <v>31853.197944896528</v>
      </c>
      <c r="AH421" s="160">
        <f t="shared" si="131"/>
        <v>2.0950137211446997</v>
      </c>
      <c r="AI421" s="160">
        <f>IF($E421="","",MIN(Input!$C$61/AH421,1))</f>
        <v>0.64438718771845094</v>
      </c>
      <c r="AJ421" s="152"/>
      <c r="AK421" s="164">
        <f>IF(AND($C420=12,$D420=Input!$C$6),0,IF($E421="","",IF($B421&gt;Input!$C$9,$AC421*AI421,0)+AK422/(1+$L421)*$R421))</f>
        <v>41498.837484974232</v>
      </c>
      <c r="AL421" s="164">
        <f>IF(AND($C420=12,$D420=Input!$C$6),0,IF($E421="","",IF($B421&gt;Input!$C$9,0,$AC421)+AL422/(1+$L421)*$R421))</f>
        <v>0</v>
      </c>
      <c r="AM421" s="160">
        <f t="shared" si="132"/>
        <v>1.1382936520186004</v>
      </c>
      <c r="AN421" s="164">
        <f>IF($E421="","",IF($B421&gt;Input!$C$9,$AI421*$AC421,$AM421*$AC421))</f>
        <v>0</v>
      </c>
      <c r="AO421" s="164">
        <f>IF(AND($C420=12,$D420=Input!$C$6),0,IF($E421="","",$AN421+AO422/(1+$L421)*$R421))</f>
        <v>41498.837484974232</v>
      </c>
      <c r="AP421" s="152"/>
      <c r="AQ421" s="164">
        <f t="shared" si="133"/>
        <v>-9103.4615991648825</v>
      </c>
      <c r="AR421" s="164">
        <f t="shared" si="142"/>
        <v>-7437.5027200821987</v>
      </c>
      <c r="AS421" s="164">
        <f t="shared" si="143"/>
        <v>1853.5885167464119</v>
      </c>
      <c r="AT421" s="164">
        <f t="shared" si="134"/>
        <v>1853.5885167464119</v>
      </c>
      <c r="AU421" s="152"/>
      <c r="AV421" s="147">
        <f>'Deterministic Reserve'!BC421</f>
        <v>1.0502598453798442E-2</v>
      </c>
      <c r="AW421" s="164">
        <f t="shared" si="135"/>
        <v>1853.5885167464119</v>
      </c>
      <c r="AX421" s="164">
        <f t="shared" si="136"/>
        <v>19.467495889959412</v>
      </c>
      <c r="AY421" s="152"/>
    </row>
    <row r="422" spans="1:51" s="150" customFormat="1" x14ac:dyDescent="0.25">
      <c r="A422" s="150">
        <f t="shared" si="144"/>
        <v>418</v>
      </c>
      <c r="B422" s="150">
        <f t="shared" si="145"/>
        <v>35</v>
      </c>
      <c r="C422" s="150">
        <f t="shared" si="146"/>
        <v>10</v>
      </c>
      <c r="D422" s="150">
        <f>IF(E422="","",Input!$C$4+B422-1)</f>
        <v>79</v>
      </c>
      <c r="E422" s="150">
        <f>IF(OR(AND(C421=12,D421=Input!$C$6),E421=""),"",1)</f>
        <v>1</v>
      </c>
      <c r="F422" s="150">
        <f>IF(E422="","",Input!$C$8+B422-1)</f>
        <v>2052</v>
      </c>
      <c r="G422" s="151">
        <f>IF(E422="","",MAX(0,Input!$C$9-B422))</f>
        <v>0</v>
      </c>
      <c r="H422" s="152">
        <f>IF(E422="","",Input!$C$3)</f>
        <v>100000</v>
      </c>
      <c r="I422" s="153">
        <f>IF(E422="","",HLOOKUP($B422,Input!$C$13:$BT$14,2))</f>
        <v>94.913000000000011</v>
      </c>
      <c r="J422" s="154"/>
      <c r="K422" s="155">
        <f>IF($E422="","",Input!$C$57)</f>
        <v>4.4999999999999998E-2</v>
      </c>
      <c r="L422" s="155">
        <f t="shared" si="137"/>
        <v>3.6748094004368514E-3</v>
      </c>
      <c r="M422" s="147">
        <f>IF($E422="","",VLOOKUP(IF($B422&lt;=Input!$C$7,$B422,26),'Mortality Tables'!$A$72:$CA$97,IF($B422&lt;=Input!$C$7+1,Input!$C$4-16,$D422-Input!$C$7-16),0)/1000)</f>
        <v>3.8740000000000004E-2</v>
      </c>
      <c r="N422" s="147">
        <f t="shared" si="126"/>
        <v>3.2871151597556603E-3</v>
      </c>
      <c r="O422" s="157">
        <f>IF($E422="","",IF($C422=12,IF($B422&lt;Input!$C$9,Input!$C$54,IF($B422=Input!$C$9,Input!$C$55,Input!$C$56)),0%))</f>
        <v>0</v>
      </c>
      <c r="P422" s="167">
        <f>IF($E422="","",IF($B422=1,Input!$C$59,IF($B422&lt;6,Input!$C$60,0%)))</f>
        <v>0</v>
      </c>
      <c r="Q422" s="162">
        <f>IF($E422="","",Input!$C$58)</f>
        <v>2.5</v>
      </c>
      <c r="R422" s="156">
        <f t="shared" si="138"/>
        <v>0.99671288484024434</v>
      </c>
      <c r="S422" s="154">
        <f t="shared" si="127"/>
        <v>1.0020539115670959E-2</v>
      </c>
      <c r="T422" s="152"/>
      <c r="U422" s="150">
        <f t="shared" si="139"/>
        <v>0</v>
      </c>
      <c r="V422" s="150">
        <f t="shared" si="140"/>
        <v>0</v>
      </c>
      <c r="W422" s="168">
        <f t="shared" si="141"/>
        <v>0</v>
      </c>
      <c r="X422" s="163">
        <f t="shared" si="128"/>
        <v>328.71151597556604</v>
      </c>
      <c r="Y422" s="152"/>
      <c r="Z422" s="164">
        <f>IF(AND($C421=12,$D421=Input!$C$6),0,IF($E422="","",V422+Z423/(1+L422)*R422))</f>
        <v>78537.850168086356</v>
      </c>
      <c r="AA422" s="164">
        <f>IF(OR($M422=1,AND($C421=12,$D421=Input!$C$6)),0,IF($E422="","",W422+(X422+AA423*$R422)/(1+$L422)))</f>
        <v>32291.858258487799</v>
      </c>
      <c r="AB422" s="160">
        <f t="shared" si="129"/>
        <v>0.825720328500681</v>
      </c>
      <c r="AC422" s="164">
        <f t="shared" si="130"/>
        <v>0</v>
      </c>
      <c r="AD422" s="164">
        <f>IF(AND($C421=12,$D421=Input!$C$6),0,IF($E422="","",$AC422+AD423/(1+$L422)*$R422))</f>
        <v>64850.29944052951</v>
      </c>
      <c r="AE422" s="152"/>
      <c r="AF422" s="164">
        <f>IF(AND($C421=12,$D421=Input!$C$6),0,IF($E422="","",IF($B422&gt;Input!$C$9,$AC422,0)+AF423/(1+$L422)*$R422))</f>
        <v>64850.29944052951</v>
      </c>
      <c r="AG422" s="164">
        <f>IF(AND($C421=12,$D421=Input!$C$6),0,IF($E422="","",(IF($B422&gt;Input!$C$9,$X422,0)+AG423)/(1+$L422)*$R422))</f>
        <v>31746.977343271679</v>
      </c>
      <c r="AH422" s="160">
        <f t="shared" si="131"/>
        <v>2.0950137211446997</v>
      </c>
      <c r="AI422" s="160">
        <f>IF($E422="","",MIN(Input!$C$61/AH422,1))</f>
        <v>0.64438718771845094</v>
      </c>
      <c r="AJ422" s="152"/>
      <c r="AK422" s="164">
        <f>IF(AND($C421=12,$D421=Input!$C$6),0,IF($E422="","",IF($B422&gt;Input!$C$9,$AC422*AI422,0)+AK423/(1+$L422)*$R422))</f>
        <v>41788.702079182207</v>
      </c>
      <c r="AL422" s="164">
        <f>IF(AND($C421=12,$D421=Input!$C$6),0,IF($E422="","",IF($B422&gt;Input!$C$9,0,$AC422)+AL423/(1+$L422)*$R422))</f>
        <v>0</v>
      </c>
      <c r="AM422" s="160">
        <f t="shared" si="132"/>
        <v>1.1382936520186004</v>
      </c>
      <c r="AN422" s="164">
        <f>IF($E422="","",IF($B422&gt;Input!$C$9,$AI422*$AC422,$AM422*$AC422))</f>
        <v>0</v>
      </c>
      <c r="AO422" s="164">
        <f>IF(AND($C421=12,$D421=Input!$C$6),0,IF($E422="","",$AN422+AO423/(1+$L422)*$R422))</f>
        <v>41788.702079182207</v>
      </c>
      <c r="AP422" s="152"/>
      <c r="AQ422" s="164">
        <f t="shared" si="133"/>
        <v>-9496.8438206944084</v>
      </c>
      <c r="AR422" s="164">
        <f t="shared" si="142"/>
        <v>-7437.5027200821987</v>
      </c>
      <c r="AS422" s="164">
        <f t="shared" si="143"/>
        <v>1853.5885167464119</v>
      </c>
      <c r="AT422" s="164">
        <f t="shared" si="134"/>
        <v>1853.5885167464119</v>
      </c>
      <c r="AU422" s="152"/>
      <c r="AV422" s="147">
        <f>'Deterministic Reserve'!BC422</f>
        <v>1.0420056898503087E-2</v>
      </c>
      <c r="AW422" s="164">
        <f t="shared" si="135"/>
        <v>1853.5885167464119</v>
      </c>
      <c r="AX422" s="164">
        <f t="shared" si="136"/>
        <v>19.314497810909554</v>
      </c>
      <c r="AY422" s="152"/>
    </row>
    <row r="423" spans="1:51" s="150" customFormat="1" x14ac:dyDescent="0.25">
      <c r="A423" s="150">
        <f t="shared" si="144"/>
        <v>419</v>
      </c>
      <c r="B423" s="150">
        <f t="shared" si="145"/>
        <v>35</v>
      </c>
      <c r="C423" s="150">
        <f t="shared" si="146"/>
        <v>11</v>
      </c>
      <c r="D423" s="150">
        <f>IF(E423="","",Input!$C$4+B423-1)</f>
        <v>79</v>
      </c>
      <c r="E423" s="150">
        <f>IF(OR(AND(C422=12,D422=Input!$C$6),E422=""),"",1)</f>
        <v>1</v>
      </c>
      <c r="F423" s="150">
        <f>IF(E423="","",Input!$C$8+B423-1)</f>
        <v>2052</v>
      </c>
      <c r="G423" s="151">
        <f>IF(E423="","",MAX(0,Input!$C$9-B423))</f>
        <v>0</v>
      </c>
      <c r="H423" s="152">
        <f>IF(E423="","",Input!$C$3)</f>
        <v>100000</v>
      </c>
      <c r="I423" s="153">
        <f>IF(E423="","",HLOOKUP($B423,Input!$C$13:$BT$14,2))</f>
        <v>94.913000000000011</v>
      </c>
      <c r="J423" s="154"/>
      <c r="K423" s="155">
        <f>IF($E423="","",Input!$C$57)</f>
        <v>4.4999999999999998E-2</v>
      </c>
      <c r="L423" s="155">
        <f t="shared" si="137"/>
        <v>3.6748094004368514E-3</v>
      </c>
      <c r="M423" s="147">
        <f>IF($E423="","",VLOOKUP(IF($B423&lt;=Input!$C$7,$B423,26),'Mortality Tables'!$A$72:$CA$97,IF($B423&lt;=Input!$C$7+1,Input!$C$4-16,$D423-Input!$C$7-16),0)/1000)</f>
        <v>3.8740000000000004E-2</v>
      </c>
      <c r="N423" s="147">
        <f t="shared" si="126"/>
        <v>3.2871151597556603E-3</v>
      </c>
      <c r="O423" s="157">
        <f>IF($E423="","",IF($C423=12,IF($B423&lt;Input!$C$9,Input!$C$54,IF($B423=Input!$C$9,Input!$C$55,Input!$C$56)),0%))</f>
        <v>0</v>
      </c>
      <c r="P423" s="167">
        <f>IF($E423="","",IF($B423=1,Input!$C$59,IF($B423&lt;6,Input!$C$60,0%)))</f>
        <v>0</v>
      </c>
      <c r="Q423" s="162">
        <f>IF($E423="","",Input!$C$58)</f>
        <v>2.5</v>
      </c>
      <c r="R423" s="156">
        <f t="shared" si="138"/>
        <v>0.99671288484024434</v>
      </c>
      <c r="S423" s="154">
        <f t="shared" si="127"/>
        <v>9.9876004496349119E-3</v>
      </c>
      <c r="T423" s="152"/>
      <c r="U423" s="150">
        <f t="shared" si="139"/>
        <v>0</v>
      </c>
      <c r="V423" s="150">
        <f t="shared" si="140"/>
        <v>0</v>
      </c>
      <c r="W423" s="168">
        <f t="shared" si="141"/>
        <v>0</v>
      </c>
      <c r="X423" s="163">
        <f t="shared" si="128"/>
        <v>328.71151597556604</v>
      </c>
      <c r="Y423" s="152"/>
      <c r="Z423" s="164">
        <f>IF(AND($C422=12,$D422=Input!$C$6),0,IF($E423="","",V423+Z424/(1+L423)*R423))</f>
        <v>79086.427994566009</v>
      </c>
      <c r="AA423" s="164">
        <f>IF(OR($M423=1,AND($C422=12,$D422=Input!$C$6)),0,IF($E423="","",W423+(X423+AA424*$R423)/(1+$L423)))</f>
        <v>32187.617572477004</v>
      </c>
      <c r="AB423" s="160">
        <f t="shared" si="129"/>
        <v>0.825720328500681</v>
      </c>
      <c r="AC423" s="164">
        <f t="shared" si="130"/>
        <v>0</v>
      </c>
      <c r="AD423" s="164">
        <f>IF(AND($C422=12,$D422=Input!$C$6),0,IF($E423="","",$AC423+AD424/(1+$L423)*$R423))</f>
        <v>65303.271303618472</v>
      </c>
      <c r="AE423" s="152"/>
      <c r="AF423" s="164">
        <f>IF(AND($C422=12,$D422=Input!$C$6),0,IF($E423="","",IF($B423&gt;Input!$C$9,$AC423,0)+AF424/(1+$L423)*$R423))</f>
        <v>65303.271303618472</v>
      </c>
      <c r="AG423" s="164">
        <f>IF(AND($C422=12,$D422=Input!$C$6),0,IF($E423="","",(IF($B423&gt;Input!$C$9,$X423,0)+AG424)/(1+$L423)*$R423))</f>
        <v>31640.014802993788</v>
      </c>
      <c r="AH423" s="160">
        <f t="shared" si="131"/>
        <v>2.0950137211446997</v>
      </c>
      <c r="AI423" s="160">
        <f>IF($E423="","",MIN(Input!$C$61/AH423,1))</f>
        <v>0.64438718771845094</v>
      </c>
      <c r="AJ423" s="152"/>
      <c r="AK423" s="164">
        <f>IF(AND($C422=12,$D422=Input!$C$6),0,IF($E423="","",IF($B423&gt;Input!$C$9,$AC423*AI423,0)+AK424/(1+$L423)*$R423))</f>
        <v>42080.591344153698</v>
      </c>
      <c r="AL423" s="164">
        <f>IF(AND($C422=12,$D422=Input!$C$6),0,IF($E423="","",IF($B423&gt;Input!$C$9,0,$AC423)+AL424/(1+$L423)*$R423))</f>
        <v>0</v>
      </c>
      <c r="AM423" s="160">
        <f t="shared" si="132"/>
        <v>1.1382936520186004</v>
      </c>
      <c r="AN423" s="164">
        <f>IF($E423="","",IF($B423&gt;Input!$C$9,$AI423*$AC423,$AM423*$AC423))</f>
        <v>0</v>
      </c>
      <c r="AO423" s="164">
        <f>IF(AND($C422=12,$D422=Input!$C$6),0,IF($E423="","",$AN423+AO424/(1+$L423)*$R423))</f>
        <v>42080.591344153698</v>
      </c>
      <c r="AP423" s="152"/>
      <c r="AQ423" s="164">
        <f t="shared" si="133"/>
        <v>-9892.973771676694</v>
      </c>
      <c r="AR423" s="164">
        <f t="shared" si="142"/>
        <v>-7437.5027200821987</v>
      </c>
      <c r="AS423" s="164">
        <f t="shared" si="143"/>
        <v>1853.5885167464119</v>
      </c>
      <c r="AT423" s="164">
        <f t="shared" si="134"/>
        <v>1853.5885167464119</v>
      </c>
      <c r="AU423" s="152"/>
      <c r="AV423" s="147">
        <f>'Deterministic Reserve'!BC423</f>
        <v>1.0338164050133027E-2</v>
      </c>
      <c r="AW423" s="164">
        <f t="shared" si="135"/>
        <v>1853.5885167464119</v>
      </c>
      <c r="AX423" s="164">
        <f t="shared" si="136"/>
        <v>19.162702167567154</v>
      </c>
      <c r="AY423" s="152"/>
    </row>
    <row r="424" spans="1:51" s="150" customFormat="1" x14ac:dyDescent="0.25">
      <c r="A424" s="150">
        <f t="shared" si="144"/>
        <v>420</v>
      </c>
      <c r="B424" s="150">
        <f t="shared" si="145"/>
        <v>35</v>
      </c>
      <c r="C424" s="150">
        <f t="shared" si="146"/>
        <v>12</v>
      </c>
      <c r="D424" s="150">
        <f>IF(E424="","",Input!$C$4+B424-1)</f>
        <v>79</v>
      </c>
      <c r="E424" s="150">
        <f>IF(OR(AND(C423=12,D423=Input!$C$6),E423=""),"",1)</f>
        <v>1</v>
      </c>
      <c r="F424" s="150">
        <f>IF(E424="","",Input!$C$8+B424-1)</f>
        <v>2052</v>
      </c>
      <c r="G424" s="151">
        <f>IF(E424="","",MAX(0,Input!$C$9-B424))</f>
        <v>0</v>
      </c>
      <c r="H424" s="152">
        <f>IF(E424="","",Input!$C$3)</f>
        <v>100000</v>
      </c>
      <c r="I424" s="153">
        <f>IF(E424="","",HLOOKUP($B424,Input!$C$13:$BT$14,2))</f>
        <v>94.913000000000011</v>
      </c>
      <c r="J424" s="154"/>
      <c r="K424" s="155">
        <f>IF($E424="","",Input!$C$57)</f>
        <v>4.4999999999999998E-2</v>
      </c>
      <c r="L424" s="155">
        <f t="shared" si="137"/>
        <v>3.6748094004368514E-3</v>
      </c>
      <c r="M424" s="147">
        <f>IF($E424="","",VLOOKUP(IF($B424&lt;=Input!$C$7,$B424,26),'Mortality Tables'!$A$72:$CA$97,IF($B424&lt;=Input!$C$7+1,Input!$C$4-16,$D424-Input!$C$7-16),0)/1000)</f>
        <v>3.8740000000000004E-2</v>
      </c>
      <c r="N424" s="147">
        <f t="shared" si="126"/>
        <v>3.2871151597556603E-3</v>
      </c>
      <c r="O424" s="157">
        <f>IF($E424="","",IF($C424=12,IF($B424&lt;Input!$C$9,Input!$C$54,IF($B424=Input!$C$9,Input!$C$55,Input!$C$56)),0%))</f>
        <v>0.1</v>
      </c>
      <c r="P424" s="167">
        <f>IF($E424="","",IF($B424=1,Input!$C$59,IF($B424&lt;6,Input!$C$60,0%)))</f>
        <v>0</v>
      </c>
      <c r="Q424" s="162">
        <f>IF($E424="","",Input!$C$58)</f>
        <v>2.5</v>
      </c>
      <c r="R424" s="156">
        <f t="shared" si="138"/>
        <v>0.89671288484024436</v>
      </c>
      <c r="S424" s="154">
        <f t="shared" si="127"/>
        <v>8.9560100118238443E-3</v>
      </c>
      <c r="T424" s="152"/>
      <c r="U424" s="150">
        <f t="shared" si="139"/>
        <v>0</v>
      </c>
      <c r="V424" s="150">
        <f t="shared" si="140"/>
        <v>0</v>
      </c>
      <c r="W424" s="168">
        <f t="shared" si="141"/>
        <v>0</v>
      </c>
      <c r="X424" s="163">
        <f t="shared" si="128"/>
        <v>328.71151597556604</v>
      </c>
      <c r="Y424" s="152"/>
      <c r="Z424" s="164">
        <f>IF(AND($C423=12,$D423=Input!$C$6),0,IF($E424="","",V424+Z425/(1+L424)*R424))</f>
        <v>79638.83757390191</v>
      </c>
      <c r="AA424" s="164">
        <f>IF(OR($M424=1,AND($C423=12,$D423=Input!$C$6)),0,IF($E424="","",W424+(X424+AA425*$R424)/(1+$L424)))</f>
        <v>32082.648777295406</v>
      </c>
      <c r="AB424" s="160">
        <f t="shared" si="129"/>
        <v>0.825720328500681</v>
      </c>
      <c r="AC424" s="164">
        <f t="shared" si="130"/>
        <v>0</v>
      </c>
      <c r="AD424" s="164">
        <f>IF(AND($C423=12,$D423=Input!$C$6),0,IF($E424="","",$AC424+AD425/(1+$L424)*$R424))</f>
        <v>65759.40712293463</v>
      </c>
      <c r="AE424" s="152"/>
      <c r="AF424" s="164">
        <f>IF(AND($C423=12,$D423=Input!$C$6),0,IF($E424="","",IF($B424&gt;Input!$C$9,$AC424,0)+AF425/(1+$L424)*$R424))</f>
        <v>65759.40712293463</v>
      </c>
      <c r="AG424" s="164">
        <f>IF(AND($C423=12,$D423=Input!$C$6),0,IF($E424="","",(IF($B424&gt;Input!$C$9,$X424,0)+AG425)/(1+$L424)*$R424))</f>
        <v>31532.305141706918</v>
      </c>
      <c r="AH424" s="160">
        <f t="shared" si="131"/>
        <v>2.0950137211446997</v>
      </c>
      <c r="AI424" s="160">
        <f>IF($E424="","",MIN(Input!$C$61/AH424,1))</f>
        <v>0.64438718771845094</v>
      </c>
      <c r="AJ424" s="152"/>
      <c r="AK424" s="164">
        <f>IF(AND($C423=12,$D423=Input!$C$6),0,IF($E424="","",IF($B424&gt;Input!$C$9,$AC424*AI424,0)+AK425/(1+$L424)*$R424))</f>
        <v>42374.519421980491</v>
      </c>
      <c r="AL424" s="164">
        <f>IF(AND($C423=12,$D423=Input!$C$6),0,IF($E424="","",IF($B424&gt;Input!$C$9,0,$AC424)+AL425/(1+$L424)*$R424))</f>
        <v>0</v>
      </c>
      <c r="AM424" s="160">
        <f t="shared" si="132"/>
        <v>1.1382936520186004</v>
      </c>
      <c r="AN424" s="164">
        <f>IF($E424="","",IF($B424&gt;Input!$C$9,$AI424*$AC424,$AM424*$AC424))</f>
        <v>0</v>
      </c>
      <c r="AO424" s="164">
        <f>IF(AND($C423=12,$D423=Input!$C$6),0,IF($E424="","",$AN424+AO425/(1+$L424)*$R424))</f>
        <v>42374.519421980491</v>
      </c>
      <c r="AP424" s="152"/>
      <c r="AQ424" s="164">
        <f t="shared" si="133"/>
        <v>-10291.870644685085</v>
      </c>
      <c r="AR424" s="164">
        <f t="shared" si="142"/>
        <v>-7437.5027200821987</v>
      </c>
      <c r="AS424" s="164">
        <f t="shared" si="143"/>
        <v>1853.5885167464119</v>
      </c>
      <c r="AT424" s="164">
        <f t="shared" si="134"/>
        <v>1853.5885167464119</v>
      </c>
      <c r="AU424" s="152"/>
      <c r="AV424" s="147">
        <f>'Deterministic Reserve'!BC424</f>
        <v>9.2230984053863051E-3</v>
      </c>
      <c r="AW424" s="164">
        <f t="shared" si="135"/>
        <v>1853.5885167464119</v>
      </c>
      <c r="AX424" s="164">
        <f t="shared" si="136"/>
        <v>17.095829293046197</v>
      </c>
      <c r="AY424" s="152"/>
    </row>
    <row r="425" spans="1:51" s="150" customFormat="1" x14ac:dyDescent="0.25">
      <c r="A425" s="150">
        <f t="shared" si="144"/>
        <v>421</v>
      </c>
      <c r="B425" s="150">
        <f t="shared" si="145"/>
        <v>36</v>
      </c>
      <c r="C425" s="150">
        <f t="shared" si="146"/>
        <v>1</v>
      </c>
      <c r="D425" s="150">
        <f>IF(E425="","",Input!$C$4+B425-1)</f>
        <v>80</v>
      </c>
      <c r="E425" s="150">
        <f>IF(OR(AND(C424=12,D424=Input!$C$6),E424=""),"",1)</f>
        <v>1</v>
      </c>
      <c r="F425" s="150">
        <f>IF(E425="","",Input!$C$8+B425-1)</f>
        <v>2053</v>
      </c>
      <c r="G425" s="151">
        <f>IF(E425="","",MAX(0,Input!$C$9-B425))</f>
        <v>0</v>
      </c>
      <c r="H425" s="152">
        <f>IF(E425="","",Input!$C$3)</f>
        <v>100000</v>
      </c>
      <c r="I425" s="153">
        <f>IF(E425="","",HLOOKUP($B425,Input!$C$13:$BT$14,2))</f>
        <v>107.01600000000001</v>
      </c>
      <c r="J425" s="154"/>
      <c r="K425" s="155">
        <f>IF($E425="","",Input!$C$57)</f>
        <v>4.4999999999999998E-2</v>
      </c>
      <c r="L425" s="155">
        <f t="shared" si="137"/>
        <v>3.6748094004368514E-3</v>
      </c>
      <c r="M425" s="147">
        <f>IF($E425="","",VLOOKUP(IF($B425&lt;=Input!$C$7,$B425,26),'Mortality Tables'!$A$72:$CA$97,IF($B425&lt;=Input!$C$7+1,Input!$C$4-16,$D425-Input!$C$7-16),0)/1000)</f>
        <v>4.3679999999999997E-2</v>
      </c>
      <c r="N425" s="147">
        <f t="shared" si="126"/>
        <v>3.7149735068606748E-3</v>
      </c>
      <c r="O425" s="157">
        <f>IF($E425="","",IF($C425=12,IF($B425&lt;Input!$C$9,Input!$C$54,IF($B425=Input!$C$9,Input!$C$55,Input!$C$56)),0%))</f>
        <v>0</v>
      </c>
      <c r="P425" s="167">
        <f>IF($E425="","",IF($B425=1,Input!$C$59,IF($B425&lt;6,Input!$C$60,0%)))</f>
        <v>0</v>
      </c>
      <c r="Q425" s="162">
        <f>IF($E425="","",Input!$C$58)</f>
        <v>2.5</v>
      </c>
      <c r="R425" s="156">
        <f t="shared" si="138"/>
        <v>0.99628502649313933</v>
      </c>
      <c r="S425" s="154">
        <f t="shared" si="127"/>
        <v>8.9227386719027395E-3</v>
      </c>
      <c r="T425" s="152"/>
      <c r="U425" s="150">
        <f t="shared" si="139"/>
        <v>10701.6</v>
      </c>
      <c r="V425" s="150">
        <f t="shared" si="140"/>
        <v>10701.6</v>
      </c>
      <c r="W425" s="168">
        <f t="shared" si="141"/>
        <v>0</v>
      </c>
      <c r="X425" s="163">
        <f t="shared" si="128"/>
        <v>371.49735068606748</v>
      </c>
      <c r="Y425" s="152"/>
      <c r="Z425" s="164">
        <f>IF(AND($C424=12,$D424=Input!$C$6),0,IF($E425="","",V425+Z426/(1+L425)*R425))</f>
        <v>89138.336778888493</v>
      </c>
      <c r="AA425" s="164">
        <f>IF(OR($M425=1,AND($C424=12,$D424=Input!$C$6)),0,IF($E425="","",W425+(X425+AA426*$R425)/(1+$L425)))</f>
        <v>35542.965222715349</v>
      </c>
      <c r="AB425" s="160">
        <f t="shared" si="129"/>
        <v>0.825720328500681</v>
      </c>
      <c r="AC425" s="164">
        <f t="shared" si="130"/>
        <v>8836.5286674828876</v>
      </c>
      <c r="AD425" s="164">
        <f>IF(AND($C424=12,$D424=Input!$C$6),0,IF($E425="","",$AC425+AD426/(1+$L425)*$R425))</f>
        <v>73603.336727068105</v>
      </c>
      <c r="AE425" s="152"/>
      <c r="AF425" s="164">
        <f>IF(AND($C424=12,$D424=Input!$C$6),0,IF($E425="","",IF($B425&gt;Input!$C$9,$AC425,0)+AF426/(1+$L425)*$R425))</f>
        <v>73603.336727068105</v>
      </c>
      <c r="AG425" s="164">
        <f>IF(AND($C424=12,$D424=Input!$C$6),0,IF($E425="","",(IF($B425&gt;Input!$C$9,$X425,0)+AG426)/(1+$L425)*$R425))</f>
        <v>34964.837721579388</v>
      </c>
      <c r="AH425" s="160">
        <f t="shared" si="131"/>
        <v>2.0950137211446997</v>
      </c>
      <c r="AI425" s="160">
        <f>IF($E425="","",MIN(Input!$C$61/AH425,1))</f>
        <v>0.64438718771845094</v>
      </c>
      <c r="AJ425" s="152"/>
      <c r="AK425" s="164">
        <f>IF(AND($C424=12,$D424=Input!$C$6),0,IF($E425="","",IF($B425&gt;Input!$C$9,$AC425*AI425,0)+AK426/(1+$L425)*$R425))</f>
        <v>47429.04716024956</v>
      </c>
      <c r="AL425" s="164">
        <f>IF(AND($C424=12,$D424=Input!$C$6),0,IF($E425="","",IF($B425&gt;Input!$C$9,0,$AC425)+AL426/(1+$L425)*$R425))</f>
        <v>0</v>
      </c>
      <c r="AM425" s="160">
        <f t="shared" si="132"/>
        <v>1.1382936520186004</v>
      </c>
      <c r="AN425" s="164">
        <f>IF($E425="","",IF($B425&gt;Input!$C$9,$AI425*$AC425,$AM425*$AC425))</f>
        <v>5694.1458572327683</v>
      </c>
      <c r="AO425" s="164">
        <f>IF(AND($C424=12,$D424=Input!$C$6),0,IF($E425="","",$AN425+AO426/(1+$L425)*$R425))</f>
        <v>47429.04716024956</v>
      </c>
      <c r="AP425" s="152"/>
      <c r="AQ425" s="164">
        <f t="shared" si="133"/>
        <v>-11886.081937534211</v>
      </c>
      <c r="AR425" s="164">
        <f t="shared" si="142"/>
        <v>-7785.6440027085046</v>
      </c>
      <c r="AS425" s="164">
        <f t="shared" si="143"/>
        <v>2089.9521531100481</v>
      </c>
      <c r="AT425" s="164">
        <f t="shared" si="134"/>
        <v>2089.9521531100481</v>
      </c>
      <c r="AU425" s="152"/>
      <c r="AV425" s="147">
        <f>'Deterministic Reserve'!BC425</f>
        <v>9.1412477097328627E-3</v>
      </c>
      <c r="AW425" s="164">
        <f t="shared" si="135"/>
        <v>2089.9521531100481</v>
      </c>
      <c r="AX425" s="164">
        <f t="shared" si="136"/>
        <v>19.104770333068494</v>
      </c>
      <c r="AY425" s="152"/>
    </row>
    <row r="426" spans="1:51" s="150" customFormat="1" x14ac:dyDescent="0.25">
      <c r="A426" s="150">
        <f t="shared" si="144"/>
        <v>422</v>
      </c>
      <c r="B426" s="150">
        <f t="shared" si="145"/>
        <v>36</v>
      </c>
      <c r="C426" s="150">
        <f t="shared" si="146"/>
        <v>2</v>
      </c>
      <c r="D426" s="150">
        <f>IF(E426="","",Input!$C$4+B426-1)</f>
        <v>80</v>
      </c>
      <c r="E426" s="150">
        <f>IF(OR(AND(C425=12,D425=Input!$C$6),E425=""),"",1)</f>
        <v>1</v>
      </c>
      <c r="F426" s="150">
        <f>IF(E426="","",Input!$C$8+B426-1)</f>
        <v>2053</v>
      </c>
      <c r="G426" s="151">
        <f>IF(E426="","",MAX(0,Input!$C$9-B426))</f>
        <v>0</v>
      </c>
      <c r="H426" s="152">
        <f>IF(E426="","",Input!$C$3)</f>
        <v>100000</v>
      </c>
      <c r="I426" s="153">
        <f>IF(E426="","",HLOOKUP($B426,Input!$C$13:$BT$14,2))</f>
        <v>107.01600000000001</v>
      </c>
      <c r="J426" s="154"/>
      <c r="K426" s="155">
        <f>IF($E426="","",Input!$C$57)</f>
        <v>4.4999999999999998E-2</v>
      </c>
      <c r="L426" s="155">
        <f t="shared" si="137"/>
        <v>3.6748094004368514E-3</v>
      </c>
      <c r="M426" s="147">
        <f>IF($E426="","",VLOOKUP(IF($B426&lt;=Input!$C$7,$B426,26),'Mortality Tables'!$A$72:$CA$97,IF($B426&lt;=Input!$C$7+1,Input!$C$4-16,$D426-Input!$C$7-16),0)/1000)</f>
        <v>4.3679999999999997E-2</v>
      </c>
      <c r="N426" s="147">
        <f t="shared" si="126"/>
        <v>3.7149735068606748E-3</v>
      </c>
      <c r="O426" s="157">
        <f>IF($E426="","",IF($C426=12,IF($B426&lt;Input!$C$9,Input!$C$54,IF($B426=Input!$C$9,Input!$C$55,Input!$C$56)),0%))</f>
        <v>0</v>
      </c>
      <c r="P426" s="167">
        <f>IF($E426="","",IF($B426=1,Input!$C$59,IF($B426&lt;6,Input!$C$60,0%)))</f>
        <v>0</v>
      </c>
      <c r="Q426" s="162">
        <f>IF($E426="","",Input!$C$58)</f>
        <v>2.5</v>
      </c>
      <c r="R426" s="156">
        <f t="shared" si="138"/>
        <v>0.99628502649313933</v>
      </c>
      <c r="S426" s="154">
        <f t="shared" si="127"/>
        <v>8.8895909341279791E-3</v>
      </c>
      <c r="T426" s="152"/>
      <c r="U426" s="150">
        <f t="shared" si="139"/>
        <v>0</v>
      </c>
      <c r="V426" s="150">
        <f t="shared" si="140"/>
        <v>0</v>
      </c>
      <c r="W426" s="168">
        <f t="shared" si="141"/>
        <v>0</v>
      </c>
      <c r="X426" s="163">
        <f t="shared" si="128"/>
        <v>371.49735068606748</v>
      </c>
      <c r="Y426" s="152"/>
      <c r="Z426" s="164">
        <f>IF(AND($C425=12,$D425=Input!$C$6),0,IF($E426="","",V426+Z427/(1+L426)*R426))</f>
        <v>79018.528576756915</v>
      </c>
      <c r="AA426" s="164">
        <f>IF(OR($M426=1,AND($C425=12,$D425=Input!$C$6)),0,IF($E426="","",W426+(X426+AA427*$R426)/(1+$L426)))</f>
        <v>35433.716813962594</v>
      </c>
      <c r="AB426" s="160">
        <f t="shared" si="129"/>
        <v>0.825720328500681</v>
      </c>
      <c r="AC426" s="164">
        <f t="shared" si="130"/>
        <v>0</v>
      </c>
      <c r="AD426" s="164">
        <f>IF(AND($C425=12,$D425=Input!$C$6),0,IF($E426="","",$AC426+AD427/(1+$L426)*$R426))</f>
        <v>65247.205374040132</v>
      </c>
      <c r="AE426" s="152"/>
      <c r="AF426" s="164">
        <f>IF(AND($C425=12,$D425=Input!$C$6),0,IF($E426="","",IF($B426&gt;Input!$C$9,$AC426,0)+AF427/(1+$L426)*$R426))</f>
        <v>65247.205374040132</v>
      </c>
      <c r="AG426" s="164">
        <f>IF(AND($C425=12,$D425=Input!$C$6),0,IF($E426="","",(IF($B426&gt;Input!$C$9,$X426,0)+AG427)/(1+$L426)*$R426))</f>
        <v>34852.686394652053</v>
      </c>
      <c r="AH426" s="160">
        <f t="shared" si="131"/>
        <v>2.0950137211446997</v>
      </c>
      <c r="AI426" s="160">
        <f>IF($E426="","",MIN(Input!$C$61/AH426,1))</f>
        <v>0.64438718771845094</v>
      </c>
      <c r="AJ426" s="152"/>
      <c r="AK426" s="164">
        <f>IF(AND($C425=12,$D425=Input!$C$6),0,IF($E426="","",IF($B426&gt;Input!$C$9,$AC426*AI426,0)+AK427/(1+$L426)*$R426))</f>
        <v>42044.463177465892</v>
      </c>
      <c r="AL426" s="164">
        <f>IF(AND($C425=12,$D425=Input!$C$6),0,IF($E426="","",IF($B426&gt;Input!$C$9,0,$AC426)+AL427/(1+$L426)*$R426))</f>
        <v>0</v>
      </c>
      <c r="AM426" s="160">
        <f t="shared" si="132"/>
        <v>1.1382936520186004</v>
      </c>
      <c r="AN426" s="164">
        <f>IF($E426="","",IF($B426&gt;Input!$C$9,$AI426*$AC426,$AM426*$AC426))</f>
        <v>0</v>
      </c>
      <c r="AO426" s="164">
        <f>IF(AND($C425=12,$D425=Input!$C$6),0,IF($E426="","",$AN426+AO427/(1+$L426)*$R426))</f>
        <v>42044.463177465892</v>
      </c>
      <c r="AP426" s="152"/>
      <c r="AQ426" s="164">
        <f t="shared" si="133"/>
        <v>-6610.7463635032982</v>
      </c>
      <c r="AR426" s="164">
        <f t="shared" si="142"/>
        <v>-7785.6440027085046</v>
      </c>
      <c r="AS426" s="164">
        <f t="shared" si="143"/>
        <v>2089.9521531100481</v>
      </c>
      <c r="AT426" s="164">
        <f t="shared" si="134"/>
        <v>2089.9521531100481</v>
      </c>
      <c r="AU426" s="152"/>
      <c r="AV426" s="147">
        <f>'Deterministic Reserve'!BC426</f>
        <v>9.0601234008189386E-3</v>
      </c>
      <c r="AW426" s="164">
        <f t="shared" si="135"/>
        <v>2089.9521531100481</v>
      </c>
      <c r="AX426" s="164">
        <f t="shared" si="136"/>
        <v>18.935224408984272</v>
      </c>
      <c r="AY426" s="152"/>
    </row>
    <row r="427" spans="1:51" s="150" customFormat="1" x14ac:dyDescent="0.25">
      <c r="A427" s="150">
        <f t="shared" si="144"/>
        <v>423</v>
      </c>
      <c r="B427" s="150">
        <f t="shared" si="145"/>
        <v>36</v>
      </c>
      <c r="C427" s="150">
        <f t="shared" si="146"/>
        <v>3</v>
      </c>
      <c r="D427" s="150">
        <f>IF(E427="","",Input!$C$4+B427-1)</f>
        <v>80</v>
      </c>
      <c r="E427" s="150">
        <f>IF(OR(AND(C426=12,D426=Input!$C$6),E426=""),"",1)</f>
        <v>1</v>
      </c>
      <c r="F427" s="150">
        <f>IF(E427="","",Input!$C$8+B427-1)</f>
        <v>2053</v>
      </c>
      <c r="G427" s="151">
        <f>IF(E427="","",MAX(0,Input!$C$9-B427))</f>
        <v>0</v>
      </c>
      <c r="H427" s="152">
        <f>IF(E427="","",Input!$C$3)</f>
        <v>100000</v>
      </c>
      <c r="I427" s="153">
        <f>IF(E427="","",HLOOKUP($B427,Input!$C$13:$BT$14,2))</f>
        <v>107.01600000000001</v>
      </c>
      <c r="J427" s="154"/>
      <c r="K427" s="155">
        <f>IF($E427="","",Input!$C$57)</f>
        <v>4.4999999999999998E-2</v>
      </c>
      <c r="L427" s="155">
        <f t="shared" si="137"/>
        <v>3.6748094004368514E-3</v>
      </c>
      <c r="M427" s="147">
        <f>IF($E427="","",VLOOKUP(IF($B427&lt;=Input!$C$7,$B427,26),'Mortality Tables'!$A$72:$CA$97,IF($B427&lt;=Input!$C$7+1,Input!$C$4-16,$D427-Input!$C$7-16),0)/1000)</f>
        <v>4.3679999999999997E-2</v>
      </c>
      <c r="N427" s="147">
        <f t="shared" si="126"/>
        <v>3.7149735068606748E-3</v>
      </c>
      <c r="O427" s="157">
        <f>IF($E427="","",IF($C427=12,IF($B427&lt;Input!$C$9,Input!$C$54,IF($B427=Input!$C$9,Input!$C$55,Input!$C$56)),0%))</f>
        <v>0</v>
      </c>
      <c r="P427" s="167">
        <f>IF($E427="","",IF($B427=1,Input!$C$59,IF($B427&lt;6,Input!$C$60,0%)))</f>
        <v>0</v>
      </c>
      <c r="Q427" s="162">
        <f>IF($E427="","",Input!$C$58)</f>
        <v>2.5</v>
      </c>
      <c r="R427" s="156">
        <f t="shared" si="138"/>
        <v>0.99628502649313933</v>
      </c>
      <c r="S427" s="154">
        <f t="shared" si="127"/>
        <v>8.8565663393208646E-3</v>
      </c>
      <c r="T427" s="152"/>
      <c r="U427" s="150">
        <f t="shared" si="139"/>
        <v>0</v>
      </c>
      <c r="V427" s="150">
        <f t="shared" si="140"/>
        <v>0</v>
      </c>
      <c r="W427" s="168">
        <f t="shared" si="141"/>
        <v>0</v>
      </c>
      <c r="X427" s="163">
        <f t="shared" si="128"/>
        <v>371.49735068606748</v>
      </c>
      <c r="Y427" s="152"/>
      <c r="Z427" s="164">
        <f>IF(AND($C426=12,$D426=Input!$C$6),0,IF($E427="","",V427+Z428/(1+L427)*R427))</f>
        <v>79604.635721106664</v>
      </c>
      <c r="AA427" s="164">
        <f>IF(OR($M427=1,AND($C426=12,$D426=Input!$C$6)),0,IF($E427="","",W427+(X427+AA428*$R427)/(1+$L427)))</f>
        <v>35323.658072822829</v>
      </c>
      <c r="AB427" s="160">
        <f t="shared" si="129"/>
        <v>0.825720328500681</v>
      </c>
      <c r="AC427" s="164">
        <f t="shared" si="130"/>
        <v>0</v>
      </c>
      <c r="AD427" s="164">
        <f>IF(AND($C426=12,$D426=Input!$C$6),0,IF($E427="","",$AC427+AD428/(1+$L427)*$R427))</f>
        <v>65731.165957809208</v>
      </c>
      <c r="AE427" s="152"/>
      <c r="AF427" s="164">
        <f>IF(AND($C426=12,$D426=Input!$C$6),0,IF($E427="","",IF($B427&gt;Input!$C$9,$AC427,0)+AF428/(1+$L427)*$R427))</f>
        <v>65731.165957809208</v>
      </c>
      <c r="AG427" s="164">
        <f>IF(AND($C426=12,$D426=Input!$C$6),0,IF($E427="","",(IF($B427&gt;Input!$C$9,$X427,0)+AG428)/(1+$L427)*$R427))</f>
        <v>34739.703203412071</v>
      </c>
      <c r="AH427" s="160">
        <f t="shared" si="131"/>
        <v>2.0950137211446997</v>
      </c>
      <c r="AI427" s="160">
        <f>IF($E427="","",MIN(Input!$C$61/AH427,1))</f>
        <v>0.64438718771845094</v>
      </c>
      <c r="AJ427" s="152"/>
      <c r="AK427" s="164">
        <f>IF(AND($C426=12,$D426=Input!$C$6),0,IF($E427="","",IF($B427&gt;Input!$C$9,$AC427*AI427,0)+AK428/(1+$L427)*$R427))</f>
        <v>42356.321177007427</v>
      </c>
      <c r="AL427" s="164">
        <f>IF(AND($C426=12,$D426=Input!$C$6),0,IF($E427="","",IF($B427&gt;Input!$C$9,0,$AC427)+AL428/(1+$L427)*$R427))</f>
        <v>0</v>
      </c>
      <c r="AM427" s="160">
        <f t="shared" si="132"/>
        <v>1.1382936520186004</v>
      </c>
      <c r="AN427" s="164">
        <f>IF($E427="","",IF($B427&gt;Input!$C$9,$AI427*$AC427,$AM427*$AC427))</f>
        <v>0</v>
      </c>
      <c r="AO427" s="164">
        <f>IF(AND($C426=12,$D426=Input!$C$6),0,IF($E427="","",$AN427+AO428/(1+$L427)*$R427))</f>
        <v>42356.321177007427</v>
      </c>
      <c r="AP427" s="152"/>
      <c r="AQ427" s="164">
        <f t="shared" si="133"/>
        <v>-7032.6631041845976</v>
      </c>
      <c r="AR427" s="164">
        <f t="shared" si="142"/>
        <v>-7785.6440027085046</v>
      </c>
      <c r="AS427" s="164">
        <f t="shared" si="143"/>
        <v>2089.9521531100481</v>
      </c>
      <c r="AT427" s="164">
        <f t="shared" si="134"/>
        <v>2089.9521531100481</v>
      </c>
      <c r="AU427" s="152"/>
      <c r="AV427" s="147">
        <f>'Deterministic Reserve'!BC427</f>
        <v>8.9797190323010895E-3</v>
      </c>
      <c r="AW427" s="164">
        <f t="shared" si="135"/>
        <v>2089.9521531100481</v>
      </c>
      <c r="AX427" s="164">
        <f t="shared" si="136"/>
        <v>18.767183125880941</v>
      </c>
      <c r="AY427" s="152"/>
    </row>
    <row r="428" spans="1:51" s="150" customFormat="1" x14ac:dyDescent="0.25">
      <c r="A428" s="150">
        <f t="shared" si="144"/>
        <v>424</v>
      </c>
      <c r="B428" s="150">
        <f t="shared" si="145"/>
        <v>36</v>
      </c>
      <c r="C428" s="150">
        <f t="shared" si="146"/>
        <v>4</v>
      </c>
      <c r="D428" s="150">
        <f>IF(E428="","",Input!$C$4+B428-1)</f>
        <v>80</v>
      </c>
      <c r="E428" s="150">
        <f>IF(OR(AND(C427=12,D427=Input!$C$6),E427=""),"",1)</f>
        <v>1</v>
      </c>
      <c r="F428" s="150">
        <f>IF(E428="","",Input!$C$8+B428-1)</f>
        <v>2053</v>
      </c>
      <c r="G428" s="151">
        <f>IF(E428="","",MAX(0,Input!$C$9-B428))</f>
        <v>0</v>
      </c>
      <c r="H428" s="152">
        <f>IF(E428="","",Input!$C$3)</f>
        <v>100000</v>
      </c>
      <c r="I428" s="153">
        <f>IF(E428="","",HLOOKUP($B428,Input!$C$13:$BT$14,2))</f>
        <v>107.01600000000001</v>
      </c>
      <c r="J428" s="154"/>
      <c r="K428" s="155">
        <f>IF($E428="","",Input!$C$57)</f>
        <v>4.4999999999999998E-2</v>
      </c>
      <c r="L428" s="155">
        <f t="shared" si="137"/>
        <v>3.6748094004368514E-3</v>
      </c>
      <c r="M428" s="147">
        <f>IF($E428="","",VLOOKUP(IF($B428&lt;=Input!$C$7,$B428,26),'Mortality Tables'!$A$72:$CA$97,IF($B428&lt;=Input!$C$7+1,Input!$C$4-16,$D428-Input!$C$7-16),0)/1000)</f>
        <v>4.3679999999999997E-2</v>
      </c>
      <c r="N428" s="147">
        <f t="shared" si="126"/>
        <v>3.7149735068606748E-3</v>
      </c>
      <c r="O428" s="157">
        <f>IF($E428="","",IF($C428=12,IF($B428&lt;Input!$C$9,Input!$C$54,IF($B428=Input!$C$9,Input!$C$55,Input!$C$56)),0%))</f>
        <v>0</v>
      </c>
      <c r="P428" s="167">
        <f>IF($E428="","",IF($B428=1,Input!$C$59,IF($B428&lt;6,Input!$C$60,0%)))</f>
        <v>0</v>
      </c>
      <c r="Q428" s="162">
        <f>IF($E428="","",Input!$C$58)</f>
        <v>2.5</v>
      </c>
      <c r="R428" s="156">
        <f t="shared" si="138"/>
        <v>0.99628502649313933</v>
      </c>
      <c r="S428" s="154">
        <f t="shared" si="127"/>
        <v>8.8236644300085341E-3</v>
      </c>
      <c r="T428" s="152"/>
      <c r="U428" s="150">
        <f t="shared" si="139"/>
        <v>0</v>
      </c>
      <c r="V428" s="150">
        <f t="shared" si="140"/>
        <v>0</v>
      </c>
      <c r="W428" s="168">
        <f t="shared" si="141"/>
        <v>0</v>
      </c>
      <c r="X428" s="163">
        <f t="shared" si="128"/>
        <v>371.49735068606748</v>
      </c>
      <c r="Y428" s="152"/>
      <c r="Z428" s="164">
        <f>IF(AND($C427=12,$D427=Input!$C$6),0,IF($E428="","",V428+Z429/(1+L428)*R428))</f>
        <v>80195.090220321741</v>
      </c>
      <c r="AA428" s="164">
        <f>IF(OR($M428=1,AND($C427=12,$D427=Input!$C$6)),0,IF($E428="","",W428+(X428+AA429*$R428)/(1+$L428)))</f>
        <v>35212.782988786763</v>
      </c>
      <c r="AB428" s="160">
        <f t="shared" si="129"/>
        <v>0.825720328500681</v>
      </c>
      <c r="AC428" s="164">
        <f t="shared" si="130"/>
        <v>0</v>
      </c>
      <c r="AD428" s="164">
        <f>IF(AND($C427=12,$D427=Input!$C$6),0,IF($E428="","",$AC428+AD429/(1+$L428)*$R428))</f>
        <v>66218.716240865775</v>
      </c>
      <c r="AE428" s="152"/>
      <c r="AF428" s="164">
        <f>IF(AND($C427=12,$D427=Input!$C$6),0,IF($E428="","",IF($B428&gt;Input!$C$9,$AC428,0)+AF429/(1+$L428)*$R428))</f>
        <v>66218.716240865775</v>
      </c>
      <c r="AG428" s="164">
        <f>IF(AND($C427=12,$D427=Input!$C$6),0,IF($E428="","",(IF($B428&gt;Input!$C$9,$X428,0)+AG429)/(1+$L428)*$R428))</f>
        <v>34625.881977640573</v>
      </c>
      <c r="AH428" s="160">
        <f t="shared" si="131"/>
        <v>2.0950137211446997</v>
      </c>
      <c r="AI428" s="160">
        <f>IF($E428="","",MIN(Input!$C$61/AH428,1))</f>
        <v>0.64438718771845094</v>
      </c>
      <c r="AJ428" s="152"/>
      <c r="AK428" s="164">
        <f>IF(AND($C427=12,$D427=Input!$C$6),0,IF($E428="","",IF($B428&gt;Input!$C$9,$AC428*AI428,0)+AK429/(1+$L428)*$R428))</f>
        <v>42670.49233277759</v>
      </c>
      <c r="AL428" s="164">
        <f>IF(AND($C427=12,$D427=Input!$C$6),0,IF($E428="","",IF($B428&gt;Input!$C$9,0,$AC428)+AL429/(1+$L428)*$R428))</f>
        <v>0</v>
      </c>
      <c r="AM428" s="160">
        <f t="shared" si="132"/>
        <v>1.1382936520186004</v>
      </c>
      <c r="AN428" s="164">
        <f>IF($E428="","",IF($B428&gt;Input!$C$9,$AI428*$AC428,$AM428*$AC428))</f>
        <v>0</v>
      </c>
      <c r="AO428" s="164">
        <f>IF(AND($C427=12,$D427=Input!$C$6),0,IF($E428="","",$AN428+AO429/(1+$L428)*$R428))</f>
        <v>42670.49233277759</v>
      </c>
      <c r="AP428" s="152"/>
      <c r="AQ428" s="164">
        <f t="shared" si="133"/>
        <v>-7457.7093439908276</v>
      </c>
      <c r="AR428" s="164">
        <f t="shared" si="142"/>
        <v>-7785.6440027085046</v>
      </c>
      <c r="AS428" s="164">
        <f t="shared" si="143"/>
        <v>2089.9521531100481</v>
      </c>
      <c r="AT428" s="164">
        <f t="shared" si="134"/>
        <v>2089.9521531100481</v>
      </c>
      <c r="AU428" s="152"/>
      <c r="AV428" s="147">
        <f>'Deterministic Reserve'!BC428</f>
        <v>8.9000282150441621E-3</v>
      </c>
      <c r="AW428" s="164">
        <f t="shared" si="135"/>
        <v>2089.9521531100481</v>
      </c>
      <c r="AX428" s="164">
        <f t="shared" si="136"/>
        <v>18.600633130771726</v>
      </c>
      <c r="AY428" s="152"/>
    </row>
    <row r="429" spans="1:51" s="150" customFormat="1" x14ac:dyDescent="0.25">
      <c r="A429" s="150">
        <f t="shared" si="144"/>
        <v>425</v>
      </c>
      <c r="B429" s="150">
        <f t="shared" si="145"/>
        <v>36</v>
      </c>
      <c r="C429" s="150">
        <f t="shared" si="146"/>
        <v>5</v>
      </c>
      <c r="D429" s="150">
        <f>IF(E429="","",Input!$C$4+B429-1)</f>
        <v>80</v>
      </c>
      <c r="E429" s="150">
        <f>IF(OR(AND(C428=12,D428=Input!$C$6),E428=""),"",1)</f>
        <v>1</v>
      </c>
      <c r="F429" s="150">
        <f>IF(E429="","",Input!$C$8+B429-1)</f>
        <v>2053</v>
      </c>
      <c r="G429" s="151">
        <f>IF(E429="","",MAX(0,Input!$C$9-B429))</f>
        <v>0</v>
      </c>
      <c r="H429" s="152">
        <f>IF(E429="","",Input!$C$3)</f>
        <v>100000</v>
      </c>
      <c r="I429" s="153">
        <f>IF(E429="","",HLOOKUP($B429,Input!$C$13:$BT$14,2))</f>
        <v>107.01600000000001</v>
      </c>
      <c r="J429" s="154"/>
      <c r="K429" s="155">
        <f>IF($E429="","",Input!$C$57)</f>
        <v>4.4999999999999998E-2</v>
      </c>
      <c r="L429" s="155">
        <f t="shared" si="137"/>
        <v>3.6748094004368514E-3</v>
      </c>
      <c r="M429" s="147">
        <f>IF($E429="","",VLOOKUP(IF($B429&lt;=Input!$C$7,$B429,26),'Mortality Tables'!$A$72:$CA$97,IF($B429&lt;=Input!$C$7+1,Input!$C$4-16,$D429-Input!$C$7-16),0)/1000)</f>
        <v>4.3679999999999997E-2</v>
      </c>
      <c r="N429" s="147">
        <f t="shared" si="126"/>
        <v>3.7149735068606748E-3</v>
      </c>
      <c r="O429" s="157">
        <f>IF($E429="","",IF($C429=12,IF($B429&lt;Input!$C$9,Input!$C$54,IF($B429=Input!$C$9,Input!$C$55,Input!$C$56)),0%))</f>
        <v>0</v>
      </c>
      <c r="P429" s="167">
        <f>IF($E429="","",IF($B429=1,Input!$C$59,IF($B429&lt;6,Input!$C$60,0%)))</f>
        <v>0</v>
      </c>
      <c r="Q429" s="162">
        <f>IF($E429="","",Input!$C$58)</f>
        <v>2.5</v>
      </c>
      <c r="R429" s="156">
        <f t="shared" si="138"/>
        <v>0.99628502649313933</v>
      </c>
      <c r="S429" s="154">
        <f t="shared" si="127"/>
        <v>8.7908847504176227E-3</v>
      </c>
      <c r="T429" s="152"/>
      <c r="U429" s="150">
        <f t="shared" si="139"/>
        <v>0</v>
      </c>
      <c r="V429" s="150">
        <f t="shared" si="140"/>
        <v>0</v>
      </c>
      <c r="W429" s="168">
        <f t="shared" si="141"/>
        <v>0</v>
      </c>
      <c r="X429" s="163">
        <f t="shared" si="128"/>
        <v>371.49735068606748</v>
      </c>
      <c r="Y429" s="152"/>
      <c r="Z429" s="164">
        <f>IF(AND($C428=12,$D428=Input!$C$6),0,IF($E429="","",V429+Z430/(1+L429)*R429))</f>
        <v>80789.924320203092</v>
      </c>
      <c r="AA429" s="164">
        <f>IF(OR($M429=1,AND($C428=12,$D428=Input!$C$6)),0,IF($E429="","",W429+(X429+AA430*$R429)/(1+$L429)))</f>
        <v>35101.085506763106</v>
      </c>
      <c r="AB429" s="160">
        <f t="shared" si="129"/>
        <v>0.825720328500681</v>
      </c>
      <c r="AC429" s="164">
        <f t="shared" si="130"/>
        <v>0</v>
      </c>
      <c r="AD429" s="164">
        <f>IF(AND($C428=12,$D428=Input!$C$6),0,IF($E429="","",$AC429+AD430/(1+$L429)*$R429))</f>
        <v>66709.882849223213</v>
      </c>
      <c r="AE429" s="152"/>
      <c r="AF429" s="164">
        <f>IF(AND($C428=12,$D428=Input!$C$6),0,IF($E429="","",IF($B429&gt;Input!$C$9,$AC429,0)+AF430/(1+$L429)*$R429))</f>
        <v>66709.882849223213</v>
      </c>
      <c r="AG429" s="164">
        <f>IF(AND($C428=12,$D428=Input!$C$6),0,IF($E429="","",(IF($B429&gt;Input!$C$9,$X429,0)+AG430)/(1+$L429)*$R429))</f>
        <v>34511.216501352079</v>
      </c>
      <c r="AH429" s="160">
        <f t="shared" si="131"/>
        <v>2.0950137211446997</v>
      </c>
      <c r="AI429" s="160">
        <f>IF($E429="","",MIN(Input!$C$61/AH429,1))</f>
        <v>0.64438718771845094</v>
      </c>
      <c r="AJ429" s="152"/>
      <c r="AK429" s="164">
        <f>IF(AND($C428=12,$D428=Input!$C$6),0,IF($E429="","",IF($B429&gt;Input!$C$9,$AC429*AI429,0)+AK430/(1+$L429)*$R429))</f>
        <v>42986.993802238256</v>
      </c>
      <c r="AL429" s="164">
        <f>IF(AND($C428=12,$D428=Input!$C$6),0,IF($E429="","",IF($B429&gt;Input!$C$9,0,$AC429)+AL430/(1+$L429)*$R429))</f>
        <v>0</v>
      </c>
      <c r="AM429" s="160">
        <f t="shared" si="132"/>
        <v>1.1382936520186004</v>
      </c>
      <c r="AN429" s="164">
        <f>IF($E429="","",IF($B429&gt;Input!$C$9,$AI429*$AC429,$AM429*$AC429))</f>
        <v>0</v>
      </c>
      <c r="AO429" s="164">
        <f>IF(AND($C428=12,$D428=Input!$C$6),0,IF($E429="","",$AN429+AO430/(1+$L429)*$R429))</f>
        <v>42986.993802238256</v>
      </c>
      <c r="AP429" s="152"/>
      <c r="AQ429" s="164">
        <f t="shared" si="133"/>
        <v>-7885.9082954751502</v>
      </c>
      <c r="AR429" s="164">
        <f t="shared" si="142"/>
        <v>-7785.6440027085046</v>
      </c>
      <c r="AS429" s="164">
        <f t="shared" si="143"/>
        <v>2089.9521531100481</v>
      </c>
      <c r="AT429" s="164">
        <f t="shared" si="134"/>
        <v>2089.9521531100481</v>
      </c>
      <c r="AU429" s="152"/>
      <c r="AV429" s="147">
        <f>'Deterministic Reserve'!BC429</f>
        <v>8.8210446166135954E-3</v>
      </c>
      <c r="AW429" s="164">
        <f t="shared" si="135"/>
        <v>2089.9521531100481</v>
      </c>
      <c r="AX429" s="164">
        <f t="shared" si="136"/>
        <v>18.435561189171384</v>
      </c>
      <c r="AY429" s="152"/>
    </row>
    <row r="430" spans="1:51" s="150" customFormat="1" x14ac:dyDescent="0.25">
      <c r="A430" s="150">
        <f t="shared" si="144"/>
        <v>426</v>
      </c>
      <c r="B430" s="150">
        <f t="shared" si="145"/>
        <v>36</v>
      </c>
      <c r="C430" s="150">
        <f t="shared" si="146"/>
        <v>6</v>
      </c>
      <c r="D430" s="150">
        <f>IF(E430="","",Input!$C$4+B430-1)</f>
        <v>80</v>
      </c>
      <c r="E430" s="150">
        <f>IF(OR(AND(C429=12,D429=Input!$C$6),E429=""),"",1)</f>
        <v>1</v>
      </c>
      <c r="F430" s="150">
        <f>IF(E430="","",Input!$C$8+B430-1)</f>
        <v>2053</v>
      </c>
      <c r="G430" s="151">
        <f>IF(E430="","",MAX(0,Input!$C$9-B430))</f>
        <v>0</v>
      </c>
      <c r="H430" s="152">
        <f>IF(E430="","",Input!$C$3)</f>
        <v>100000</v>
      </c>
      <c r="I430" s="153">
        <f>IF(E430="","",HLOOKUP($B430,Input!$C$13:$BT$14,2))</f>
        <v>107.01600000000001</v>
      </c>
      <c r="J430" s="154"/>
      <c r="K430" s="155">
        <f>IF($E430="","",Input!$C$57)</f>
        <v>4.4999999999999998E-2</v>
      </c>
      <c r="L430" s="155">
        <f t="shared" si="137"/>
        <v>3.6748094004368514E-3</v>
      </c>
      <c r="M430" s="147">
        <f>IF($E430="","",VLOOKUP(IF($B430&lt;=Input!$C$7,$B430,26),'Mortality Tables'!$A$72:$CA$97,IF($B430&lt;=Input!$C$7+1,Input!$C$4-16,$D430-Input!$C$7-16),0)/1000)</f>
        <v>4.3679999999999997E-2</v>
      </c>
      <c r="N430" s="147">
        <f t="shared" si="126"/>
        <v>3.7149735068606748E-3</v>
      </c>
      <c r="O430" s="157">
        <f>IF($E430="","",IF($C430=12,IF($B430&lt;Input!$C$9,Input!$C$54,IF($B430=Input!$C$9,Input!$C$55,Input!$C$56)),0%))</f>
        <v>0</v>
      </c>
      <c r="P430" s="167">
        <f>IF($E430="","",IF($B430=1,Input!$C$59,IF($B430&lt;6,Input!$C$60,0%)))</f>
        <v>0</v>
      </c>
      <c r="Q430" s="162">
        <f>IF($E430="","",Input!$C$58)</f>
        <v>2.5</v>
      </c>
      <c r="R430" s="156">
        <f t="shared" si="138"/>
        <v>0.99628502649313933</v>
      </c>
      <c r="S430" s="154">
        <f t="shared" si="127"/>
        <v>8.7582268464679557E-3</v>
      </c>
      <c r="T430" s="152"/>
      <c r="U430" s="150">
        <f t="shared" si="139"/>
        <v>0</v>
      </c>
      <c r="V430" s="150">
        <f t="shared" si="140"/>
        <v>0</v>
      </c>
      <c r="W430" s="168">
        <f t="shared" si="141"/>
        <v>0</v>
      </c>
      <c r="X430" s="163">
        <f t="shared" si="128"/>
        <v>371.49735068606748</v>
      </c>
      <c r="Y430" s="152"/>
      <c r="Z430" s="164">
        <f>IF(AND($C429=12,$D429=Input!$C$6),0,IF($E430="","",V430+Z431/(1+L430)*R430))</f>
        <v>81389.170505729708</v>
      </c>
      <c r="AA430" s="164">
        <f>IF(OR($M430=1,AND($C429=12,$D429=Input!$C$6)),0,IF($E430="","",W430+(X430+AA431*$R430)/(1+$L430)))</f>
        <v>34988.559526747915</v>
      </c>
      <c r="AB430" s="160">
        <f t="shared" si="129"/>
        <v>0.825720328500681</v>
      </c>
      <c r="AC430" s="164">
        <f t="shared" si="130"/>
        <v>0</v>
      </c>
      <c r="AD430" s="164">
        <f>IF(AND($C429=12,$D429=Input!$C$6),0,IF($E430="","",$AC430+AD431/(1+$L430)*$R430))</f>
        <v>67204.692606389042</v>
      </c>
      <c r="AE430" s="152"/>
      <c r="AF430" s="164">
        <f>IF(AND($C429=12,$D429=Input!$C$6),0,IF($E430="","",IF($B430&gt;Input!$C$9,$AC430,0)+AF431/(1+$L430)*$R430))</f>
        <v>67204.692606389042</v>
      </c>
      <c r="AG430" s="164">
        <f>IF(AND($C429=12,$D429=Input!$C$6),0,IF($E430="","",(IF($B430&gt;Input!$C$9,$X430,0)+AG431)/(1+$L430)*$R430))</f>
        <v>34395.700512455041</v>
      </c>
      <c r="AH430" s="160">
        <f t="shared" si="131"/>
        <v>2.0950137211446997</v>
      </c>
      <c r="AI430" s="160">
        <f>IF($E430="","",MIN(Input!$C$61/AH430,1))</f>
        <v>0.64438718771845094</v>
      </c>
      <c r="AJ430" s="152"/>
      <c r="AK430" s="164">
        <f>IF(AND($C429=12,$D429=Input!$C$6),0,IF($E430="","",IF($B430&gt;Input!$C$9,$AC430*AI430,0)+AK431/(1+$L430)*$R430))</f>
        <v>43305.842870113986</v>
      </c>
      <c r="AL430" s="164">
        <f>IF(AND($C429=12,$D429=Input!$C$6),0,IF($E430="","",IF($B430&gt;Input!$C$9,0,$AC430)+AL431/(1+$L430)*$R430))</f>
        <v>0</v>
      </c>
      <c r="AM430" s="160">
        <f t="shared" si="132"/>
        <v>1.1382936520186004</v>
      </c>
      <c r="AN430" s="164">
        <f>IF($E430="","",IF($B430&gt;Input!$C$9,$AI430*$AC430,$AM430*$AC430))</f>
        <v>0</v>
      </c>
      <c r="AO430" s="164">
        <f>IF(AND($C429=12,$D429=Input!$C$6),0,IF($E430="","",$AN430+AO431/(1+$L430)*$R430))</f>
        <v>43305.842870113986</v>
      </c>
      <c r="AP430" s="152"/>
      <c r="AQ430" s="164">
        <f t="shared" si="133"/>
        <v>-8317.2833433660708</v>
      </c>
      <c r="AR430" s="164">
        <f t="shared" si="142"/>
        <v>-7785.6440027085046</v>
      </c>
      <c r="AS430" s="164">
        <f t="shared" si="143"/>
        <v>2089.9521531100481</v>
      </c>
      <c r="AT430" s="164">
        <f t="shared" si="134"/>
        <v>2089.9521531100481</v>
      </c>
      <c r="AU430" s="152"/>
      <c r="AV430" s="147">
        <f>'Deterministic Reserve'!BC430</f>
        <v>8.7427619607722325E-3</v>
      </c>
      <c r="AW430" s="164">
        <f t="shared" si="135"/>
        <v>2089.9521531100481</v>
      </c>
      <c r="AX430" s="164">
        <f t="shared" si="136"/>
        <v>18.271954184044553</v>
      </c>
      <c r="AY430" s="152"/>
    </row>
    <row r="431" spans="1:51" s="150" customFormat="1" x14ac:dyDescent="0.25">
      <c r="A431" s="150">
        <f t="shared" si="144"/>
        <v>427</v>
      </c>
      <c r="B431" s="150">
        <f t="shared" si="145"/>
        <v>36</v>
      </c>
      <c r="C431" s="150">
        <f t="shared" si="146"/>
        <v>7</v>
      </c>
      <c r="D431" s="150">
        <f>IF(E431="","",Input!$C$4+B431-1)</f>
        <v>80</v>
      </c>
      <c r="E431" s="150">
        <f>IF(OR(AND(C430=12,D430=Input!$C$6),E430=""),"",1)</f>
        <v>1</v>
      </c>
      <c r="F431" s="150">
        <f>IF(E431="","",Input!$C$8+B431-1)</f>
        <v>2053</v>
      </c>
      <c r="G431" s="151">
        <f>IF(E431="","",MAX(0,Input!$C$9-B431))</f>
        <v>0</v>
      </c>
      <c r="H431" s="152">
        <f>IF(E431="","",Input!$C$3)</f>
        <v>100000</v>
      </c>
      <c r="I431" s="153">
        <f>IF(E431="","",HLOOKUP($B431,Input!$C$13:$BT$14,2))</f>
        <v>107.01600000000001</v>
      </c>
      <c r="J431" s="154"/>
      <c r="K431" s="155">
        <f>IF($E431="","",Input!$C$57)</f>
        <v>4.4999999999999998E-2</v>
      </c>
      <c r="L431" s="155">
        <f t="shared" si="137"/>
        <v>3.6748094004368514E-3</v>
      </c>
      <c r="M431" s="147">
        <f>IF($E431="","",VLOOKUP(IF($B431&lt;=Input!$C$7,$B431,26),'Mortality Tables'!$A$72:$CA$97,IF($B431&lt;=Input!$C$7+1,Input!$C$4-16,$D431-Input!$C$7-16),0)/1000)</f>
        <v>4.3679999999999997E-2</v>
      </c>
      <c r="N431" s="147">
        <f t="shared" si="126"/>
        <v>3.7149735068606748E-3</v>
      </c>
      <c r="O431" s="157">
        <f>IF($E431="","",IF($C431=12,IF($B431&lt;Input!$C$9,Input!$C$54,IF($B431=Input!$C$9,Input!$C$55,Input!$C$56)),0%))</f>
        <v>0</v>
      </c>
      <c r="P431" s="167">
        <f>IF($E431="","",IF($B431=1,Input!$C$59,IF($B431&lt;6,Input!$C$60,0%)))</f>
        <v>0</v>
      </c>
      <c r="Q431" s="162">
        <f>IF($E431="","",Input!$C$58)</f>
        <v>2.5</v>
      </c>
      <c r="R431" s="156">
        <f t="shared" si="138"/>
        <v>0.99628502649313933</v>
      </c>
      <c r="S431" s="154">
        <f t="shared" si="127"/>
        <v>8.7256902657662505E-3</v>
      </c>
      <c r="T431" s="152"/>
      <c r="U431" s="150">
        <f t="shared" si="139"/>
        <v>0</v>
      </c>
      <c r="V431" s="150">
        <f t="shared" si="140"/>
        <v>0</v>
      </c>
      <c r="W431" s="168">
        <f t="shared" si="141"/>
        <v>0</v>
      </c>
      <c r="X431" s="163">
        <f t="shared" si="128"/>
        <v>371.49735068606748</v>
      </c>
      <c r="Y431" s="152"/>
      <c r="Z431" s="164">
        <f>IF(AND($C430=12,$D430=Input!$C$6),0,IF($E431="","",V431+Z432/(1+L431)*R431))</f>
        <v>81992.861502832631</v>
      </c>
      <c r="AA431" s="164">
        <f>IF(OR($M431=1,AND($C430=12,$D430=Input!$C$6)),0,IF($E431="","",W431+(X431+AA432*$R431)/(1+$L431)))</f>
        <v>34875.198903491444</v>
      </c>
      <c r="AB431" s="160">
        <f t="shared" si="129"/>
        <v>0.825720328500681</v>
      </c>
      <c r="AC431" s="164">
        <f t="shared" si="130"/>
        <v>0</v>
      </c>
      <c r="AD431" s="164">
        <f>IF(AND($C430=12,$D430=Input!$C$6),0,IF($E431="","",$AC431+AD432/(1+$L431)*$R431))</f>
        <v>67703.172534829791</v>
      </c>
      <c r="AE431" s="152"/>
      <c r="AF431" s="164">
        <f>IF(AND($C430=12,$D430=Input!$C$6),0,IF($E431="","",IF($B431&gt;Input!$C$9,$AC431,0)+AF432/(1+$L431)*$R431))</f>
        <v>67703.172534829791</v>
      </c>
      <c r="AG431" s="164">
        <f>IF(AND($C430=12,$D430=Input!$C$6),0,IF($E431="","",(IF($B431&gt;Input!$C$9,$X431,0)+AG432)/(1+$L431)*$R431))</f>
        <v>34279.327702409872</v>
      </c>
      <c r="AH431" s="160">
        <f t="shared" si="131"/>
        <v>2.0950137211446997</v>
      </c>
      <c r="AI431" s="160">
        <f>IF($E431="","",MIN(Input!$C$61/AH431,1))</f>
        <v>0.64438718771845094</v>
      </c>
      <c r="AJ431" s="152"/>
      <c r="AK431" s="164">
        <f>IF(AND($C430=12,$D430=Input!$C$6),0,IF($E431="","",IF($B431&gt;Input!$C$9,$AC431*AI431,0)+AK432/(1+$L431)*$R431))</f>
        <v>43627.056949336009</v>
      </c>
      <c r="AL431" s="164">
        <f>IF(AND($C430=12,$D430=Input!$C$6),0,IF($E431="","",IF($B431&gt;Input!$C$9,0,$AC431)+AL432/(1+$L431)*$R431))</f>
        <v>0</v>
      </c>
      <c r="AM431" s="160">
        <f t="shared" si="132"/>
        <v>1.1382936520186004</v>
      </c>
      <c r="AN431" s="164">
        <f>IF($E431="","",IF($B431&gt;Input!$C$9,$AI431*$AC431,$AM431*$AC431))</f>
        <v>0</v>
      </c>
      <c r="AO431" s="164">
        <f>IF(AND($C430=12,$D430=Input!$C$6),0,IF($E431="","",$AN431+AO432/(1+$L431)*$R431))</f>
        <v>43627.056949336009</v>
      </c>
      <c r="AP431" s="152"/>
      <c r="AQ431" s="164">
        <f t="shared" si="133"/>
        <v>-8751.8580458445649</v>
      </c>
      <c r="AR431" s="164">
        <f t="shared" si="142"/>
        <v>-7785.6440027085046</v>
      </c>
      <c r="AS431" s="164">
        <f t="shared" si="143"/>
        <v>2089.9521531100481</v>
      </c>
      <c r="AT431" s="164">
        <f t="shared" si="134"/>
        <v>2089.9521531100481</v>
      </c>
      <c r="AU431" s="152"/>
      <c r="AV431" s="147">
        <f>'Deterministic Reserve'!BC431</f>
        <v>8.6651740269815935E-3</v>
      </c>
      <c r="AW431" s="164">
        <f t="shared" si="135"/>
        <v>2089.9521531100481</v>
      </c>
      <c r="AX431" s="164">
        <f t="shared" si="136"/>
        <v>18.109799114763447</v>
      </c>
      <c r="AY431" s="152"/>
    </row>
    <row r="432" spans="1:51" s="150" customFormat="1" x14ac:dyDescent="0.25">
      <c r="A432" s="150">
        <f t="shared" si="144"/>
        <v>428</v>
      </c>
      <c r="B432" s="150">
        <f t="shared" si="145"/>
        <v>36</v>
      </c>
      <c r="C432" s="150">
        <f t="shared" si="146"/>
        <v>8</v>
      </c>
      <c r="D432" s="150">
        <f>IF(E432="","",Input!$C$4+B432-1)</f>
        <v>80</v>
      </c>
      <c r="E432" s="150">
        <f>IF(OR(AND(C431=12,D431=Input!$C$6),E431=""),"",1)</f>
        <v>1</v>
      </c>
      <c r="F432" s="150">
        <f>IF(E432="","",Input!$C$8+B432-1)</f>
        <v>2053</v>
      </c>
      <c r="G432" s="151">
        <f>IF(E432="","",MAX(0,Input!$C$9-B432))</f>
        <v>0</v>
      </c>
      <c r="H432" s="152">
        <f>IF(E432="","",Input!$C$3)</f>
        <v>100000</v>
      </c>
      <c r="I432" s="153">
        <f>IF(E432="","",HLOOKUP($B432,Input!$C$13:$BT$14,2))</f>
        <v>107.01600000000001</v>
      </c>
      <c r="J432" s="154"/>
      <c r="K432" s="155">
        <f>IF($E432="","",Input!$C$57)</f>
        <v>4.4999999999999998E-2</v>
      </c>
      <c r="L432" s="155">
        <f t="shared" si="137"/>
        <v>3.6748094004368514E-3</v>
      </c>
      <c r="M432" s="147">
        <f>IF($E432="","",VLOOKUP(IF($B432&lt;=Input!$C$7,$B432,26),'Mortality Tables'!$A$72:$CA$97,IF($B432&lt;=Input!$C$7+1,Input!$C$4-16,$D432-Input!$C$7-16),0)/1000)</f>
        <v>4.3679999999999997E-2</v>
      </c>
      <c r="N432" s="147">
        <f t="shared" si="126"/>
        <v>3.7149735068606748E-3</v>
      </c>
      <c r="O432" s="157">
        <f>IF($E432="","",IF($C432=12,IF($B432&lt;Input!$C$9,Input!$C$54,IF($B432=Input!$C$9,Input!$C$55,Input!$C$56)),0%))</f>
        <v>0</v>
      </c>
      <c r="P432" s="167">
        <f>IF($E432="","",IF($B432=1,Input!$C$59,IF($B432&lt;6,Input!$C$60,0%)))</f>
        <v>0</v>
      </c>
      <c r="Q432" s="162">
        <f>IF($E432="","",Input!$C$58)</f>
        <v>2.5</v>
      </c>
      <c r="R432" s="156">
        <f t="shared" si="138"/>
        <v>0.99628502649313933</v>
      </c>
      <c r="S432" s="154">
        <f t="shared" si="127"/>
        <v>8.693274557599856E-3</v>
      </c>
      <c r="T432" s="152"/>
      <c r="U432" s="150">
        <f t="shared" si="139"/>
        <v>0</v>
      </c>
      <c r="V432" s="150">
        <f t="shared" si="140"/>
        <v>0</v>
      </c>
      <c r="W432" s="168">
        <f t="shared" si="141"/>
        <v>0</v>
      </c>
      <c r="X432" s="163">
        <f t="shared" si="128"/>
        <v>371.49735068606748</v>
      </c>
      <c r="Y432" s="152"/>
      <c r="Z432" s="164">
        <f>IF(AND($C431=12,$D431=Input!$C$6),0,IF($E432="","",V432+Z433/(1+L432)*R432))</f>
        <v>82601.030280182225</v>
      </c>
      <c r="AA432" s="164">
        <f>IF(OR($M432=1,AND($C431=12,$D431=Input!$C$6)),0,IF($E432="","",W432+(X432+AA433*$R432)/(1+$L432)))</f>
        <v>34760.997446162575</v>
      </c>
      <c r="AB432" s="160">
        <f t="shared" si="129"/>
        <v>0.825720328500681</v>
      </c>
      <c r="AC432" s="164">
        <f t="shared" si="130"/>
        <v>0</v>
      </c>
      <c r="AD432" s="164">
        <f>IF(AND($C431=12,$D431=Input!$C$6),0,IF($E432="","",$AC432+AD433/(1+$L432)*$R432))</f>
        <v>68205.349857446752</v>
      </c>
      <c r="AE432" s="152"/>
      <c r="AF432" s="164">
        <f>IF(AND($C431=12,$D431=Input!$C$6),0,IF($E432="","",IF($B432&gt;Input!$C$9,$AC432,0)+AF433/(1+$L432)*$R432))</f>
        <v>68205.349857446752</v>
      </c>
      <c r="AG432" s="164">
        <f>IF(AND($C431=12,$D431=Input!$C$6),0,IF($E432="","",(IF($B432&gt;Input!$C$9,$X432,0)+AG433)/(1+$L432)*$R432))</f>
        <v>34162.091715884395</v>
      </c>
      <c r="AH432" s="160">
        <f t="shared" si="131"/>
        <v>2.0950137211446997</v>
      </c>
      <c r="AI432" s="160">
        <f>IF($E432="","",MIN(Input!$C$61/AH432,1))</f>
        <v>0.64438718771845094</v>
      </c>
      <c r="AJ432" s="152"/>
      <c r="AK432" s="164">
        <f>IF(AND($C431=12,$D431=Input!$C$6),0,IF($E432="","",IF($B432&gt;Input!$C$9,$AC432*AI432,0)+AK433/(1+$L432)*$R432))</f>
        <v>43950.653581993145</v>
      </c>
      <c r="AL432" s="164">
        <f>IF(AND($C431=12,$D431=Input!$C$6),0,IF($E432="","",IF($B432&gt;Input!$C$9,0,$AC432)+AL433/(1+$L432)*$R432))</f>
        <v>0</v>
      </c>
      <c r="AM432" s="160">
        <f t="shared" si="132"/>
        <v>1.1382936520186004</v>
      </c>
      <c r="AN432" s="164">
        <f>IF($E432="","",IF($B432&gt;Input!$C$9,$AI432*$AC432,$AM432*$AC432))</f>
        <v>0</v>
      </c>
      <c r="AO432" s="164">
        <f>IF(AND($C431=12,$D431=Input!$C$6),0,IF($E432="","",$AN432+AO433/(1+$L432)*$R432))</f>
        <v>43950.653581993145</v>
      </c>
      <c r="AP432" s="152"/>
      <c r="AQ432" s="164">
        <f t="shared" si="133"/>
        <v>-9189.6561358305698</v>
      </c>
      <c r="AR432" s="164">
        <f t="shared" si="142"/>
        <v>-7785.6440027085046</v>
      </c>
      <c r="AS432" s="164">
        <f t="shared" si="143"/>
        <v>2089.9521531100481</v>
      </c>
      <c r="AT432" s="164">
        <f t="shared" si="134"/>
        <v>2089.9521531100481</v>
      </c>
      <c r="AU432" s="152"/>
      <c r="AV432" s="147">
        <f>'Deterministic Reserve'!BC432</f>
        <v>8.5882746499075738E-3</v>
      </c>
      <c r="AW432" s="164">
        <f t="shared" si="135"/>
        <v>2089.9521531100481</v>
      </c>
      <c r="AX432" s="164">
        <f t="shared" si="136"/>
        <v>17.94908309607478</v>
      </c>
      <c r="AY432" s="152"/>
    </row>
    <row r="433" spans="1:51" s="150" customFormat="1" x14ac:dyDescent="0.25">
      <c r="A433" s="150">
        <f t="shared" si="144"/>
        <v>429</v>
      </c>
      <c r="B433" s="150">
        <f t="shared" si="145"/>
        <v>36</v>
      </c>
      <c r="C433" s="150">
        <f t="shared" si="146"/>
        <v>9</v>
      </c>
      <c r="D433" s="150">
        <f>IF(E433="","",Input!$C$4+B433-1)</f>
        <v>80</v>
      </c>
      <c r="E433" s="150">
        <f>IF(OR(AND(C432=12,D432=Input!$C$6),E432=""),"",1)</f>
        <v>1</v>
      </c>
      <c r="F433" s="150">
        <f>IF(E433="","",Input!$C$8+B433-1)</f>
        <v>2053</v>
      </c>
      <c r="G433" s="151">
        <f>IF(E433="","",MAX(0,Input!$C$9-B433))</f>
        <v>0</v>
      </c>
      <c r="H433" s="152">
        <f>IF(E433="","",Input!$C$3)</f>
        <v>100000</v>
      </c>
      <c r="I433" s="153">
        <f>IF(E433="","",HLOOKUP($B433,Input!$C$13:$BT$14,2))</f>
        <v>107.01600000000001</v>
      </c>
      <c r="J433" s="154"/>
      <c r="K433" s="155">
        <f>IF($E433="","",Input!$C$57)</f>
        <v>4.4999999999999998E-2</v>
      </c>
      <c r="L433" s="155">
        <f t="shared" si="137"/>
        <v>3.6748094004368514E-3</v>
      </c>
      <c r="M433" s="147">
        <f>IF($E433="","",VLOOKUP(IF($B433&lt;=Input!$C$7,$B433,26),'Mortality Tables'!$A$72:$CA$97,IF($B433&lt;=Input!$C$7+1,Input!$C$4-16,$D433-Input!$C$7-16),0)/1000)</f>
        <v>4.3679999999999997E-2</v>
      </c>
      <c r="N433" s="147">
        <f t="shared" si="126"/>
        <v>3.7149735068606748E-3</v>
      </c>
      <c r="O433" s="157">
        <f>IF($E433="","",IF($C433=12,IF($B433&lt;Input!$C$9,Input!$C$54,IF($B433=Input!$C$9,Input!$C$55,Input!$C$56)),0%))</f>
        <v>0</v>
      </c>
      <c r="P433" s="167">
        <f>IF($E433="","",IF($B433=1,Input!$C$59,IF($B433&lt;6,Input!$C$60,0%)))</f>
        <v>0</v>
      </c>
      <c r="Q433" s="162">
        <f>IF($E433="","",Input!$C$58)</f>
        <v>2.5</v>
      </c>
      <c r="R433" s="156">
        <f t="shared" si="138"/>
        <v>0.99628502649313933</v>
      </c>
      <c r="S433" s="154">
        <f t="shared" si="127"/>
        <v>8.6609792729305073E-3</v>
      </c>
      <c r="T433" s="152"/>
      <c r="U433" s="150">
        <f t="shared" si="139"/>
        <v>0</v>
      </c>
      <c r="V433" s="150">
        <f t="shared" si="140"/>
        <v>0</v>
      </c>
      <c r="W433" s="168">
        <f t="shared" si="141"/>
        <v>0</v>
      </c>
      <c r="X433" s="163">
        <f t="shared" si="128"/>
        <v>371.49735068606748</v>
      </c>
      <c r="Y433" s="152"/>
      <c r="Z433" s="164">
        <f>IF(AND($C432=12,$D432=Input!$C$6),0,IF($E433="","",V433+Z434/(1+L433)*R433))</f>
        <v>83213.710050988622</v>
      </c>
      <c r="AA433" s="164">
        <f>IF(OR($M433=1,AND($C432=12,$D432=Input!$C$6)),0,IF($E433="","",W433+(X433+AA434*$R433)/(1+$L433)))</f>
        <v>34645.948918010683</v>
      </c>
      <c r="AB433" s="160">
        <f t="shared" si="129"/>
        <v>0.825720328500681</v>
      </c>
      <c r="AC433" s="164">
        <f t="shared" si="130"/>
        <v>0</v>
      </c>
      <c r="AD433" s="164">
        <f>IF(AND($C432=12,$D432=Input!$C$6),0,IF($E433="","",$AC433+AD434/(1+$L433)*$R433))</f>
        <v>68711.251999062733</v>
      </c>
      <c r="AE433" s="152"/>
      <c r="AF433" s="164">
        <f>IF(AND($C432=12,$D432=Input!$C$6),0,IF($E433="","",IF($B433&gt;Input!$C$9,$AC433,0)+AF434/(1+$L433)*$R433))</f>
        <v>68711.251999062733</v>
      </c>
      <c r="AG433" s="164">
        <f>IF(AND($C432=12,$D432=Input!$C$6),0,IF($E433="","",(IF($B433&gt;Input!$C$9,$X433,0)+AG434)/(1+$L433)*$R433))</f>
        <v>34043.986150406803</v>
      </c>
      <c r="AH433" s="160">
        <f t="shared" si="131"/>
        <v>2.0950137211446997</v>
      </c>
      <c r="AI433" s="160">
        <f>IF($E433="","",MIN(Input!$C$61/AH433,1))</f>
        <v>0.64438718771845094</v>
      </c>
      <c r="AJ433" s="152"/>
      <c r="AK433" s="164">
        <f>IF(AND($C432=12,$D432=Input!$C$6),0,IF($E433="","",IF($B433&gt;Input!$C$9,$AC433*AI433,0)+AK434/(1+$L433)*$R433))</f>
        <v>44276.650440289806</v>
      </c>
      <c r="AL433" s="164">
        <f>IF(AND($C432=12,$D432=Input!$C$6),0,IF($E433="","",IF($B433&gt;Input!$C$9,0,$AC433)+AL434/(1+$L433)*$R433))</f>
        <v>0</v>
      </c>
      <c r="AM433" s="160">
        <f t="shared" si="132"/>
        <v>1.1382936520186004</v>
      </c>
      <c r="AN433" s="164">
        <f>IF($E433="","",IF($B433&gt;Input!$C$9,$AI433*$AC433,$AM433*$AC433))</f>
        <v>0</v>
      </c>
      <c r="AO433" s="164">
        <f>IF(AND($C432=12,$D432=Input!$C$6),0,IF($E433="","",$AN433+AO434/(1+$L433)*$R433))</f>
        <v>44276.650440289806</v>
      </c>
      <c r="AP433" s="152"/>
      <c r="AQ433" s="164">
        <f t="shared" si="133"/>
        <v>-9630.7015222791233</v>
      </c>
      <c r="AR433" s="164">
        <f t="shared" si="142"/>
        <v>-7785.6440027085046</v>
      </c>
      <c r="AS433" s="164">
        <f t="shared" si="143"/>
        <v>2089.9521531100481</v>
      </c>
      <c r="AT433" s="164">
        <f t="shared" si="134"/>
        <v>2089.9521531100481</v>
      </c>
      <c r="AU433" s="152"/>
      <c r="AV433" s="147">
        <f>'Deterministic Reserve'!BC433</f>
        <v>8.5120577189305349E-3</v>
      </c>
      <c r="AW433" s="164">
        <f t="shared" si="135"/>
        <v>2089.9521531100481</v>
      </c>
      <c r="AX433" s="164">
        <f t="shared" si="136"/>
        <v>17.789793357075876</v>
      </c>
      <c r="AY433" s="152"/>
    </row>
    <row r="434" spans="1:51" s="150" customFormat="1" x14ac:dyDescent="0.25">
      <c r="A434" s="150">
        <f t="shared" si="144"/>
        <v>430</v>
      </c>
      <c r="B434" s="150">
        <f t="shared" si="145"/>
        <v>36</v>
      </c>
      <c r="C434" s="150">
        <f t="shared" si="146"/>
        <v>10</v>
      </c>
      <c r="D434" s="150">
        <f>IF(E434="","",Input!$C$4+B434-1)</f>
        <v>80</v>
      </c>
      <c r="E434" s="150">
        <f>IF(OR(AND(C433=12,D433=Input!$C$6),E433=""),"",1)</f>
        <v>1</v>
      </c>
      <c r="F434" s="150">
        <f>IF(E434="","",Input!$C$8+B434-1)</f>
        <v>2053</v>
      </c>
      <c r="G434" s="151">
        <f>IF(E434="","",MAX(0,Input!$C$9-B434))</f>
        <v>0</v>
      </c>
      <c r="H434" s="152">
        <f>IF(E434="","",Input!$C$3)</f>
        <v>100000</v>
      </c>
      <c r="I434" s="153">
        <f>IF(E434="","",HLOOKUP($B434,Input!$C$13:$BT$14,2))</f>
        <v>107.01600000000001</v>
      </c>
      <c r="J434" s="154"/>
      <c r="K434" s="155">
        <f>IF($E434="","",Input!$C$57)</f>
        <v>4.4999999999999998E-2</v>
      </c>
      <c r="L434" s="155">
        <f t="shared" si="137"/>
        <v>3.6748094004368514E-3</v>
      </c>
      <c r="M434" s="147">
        <f>IF($E434="","",VLOOKUP(IF($B434&lt;=Input!$C$7,$B434,26),'Mortality Tables'!$A$72:$CA$97,IF($B434&lt;=Input!$C$7+1,Input!$C$4-16,$D434-Input!$C$7-16),0)/1000)</f>
        <v>4.3679999999999997E-2</v>
      </c>
      <c r="N434" s="147">
        <f t="shared" si="126"/>
        <v>3.7149735068606748E-3</v>
      </c>
      <c r="O434" s="157">
        <f>IF($E434="","",IF($C434=12,IF($B434&lt;Input!$C$9,Input!$C$54,IF($B434=Input!$C$9,Input!$C$55,Input!$C$56)),0%))</f>
        <v>0</v>
      </c>
      <c r="P434" s="167">
        <f>IF($E434="","",IF($B434=1,Input!$C$59,IF($B434&lt;6,Input!$C$60,0%)))</f>
        <v>0</v>
      </c>
      <c r="Q434" s="162">
        <f>IF($E434="","",Input!$C$58)</f>
        <v>2.5</v>
      </c>
      <c r="R434" s="156">
        <f t="shared" si="138"/>
        <v>0.99628502649313933</v>
      </c>
      <c r="S434" s="154">
        <f t="shared" si="127"/>
        <v>8.6288039643881015E-3</v>
      </c>
      <c r="T434" s="152"/>
      <c r="U434" s="150">
        <f t="shared" si="139"/>
        <v>0</v>
      </c>
      <c r="V434" s="150">
        <f t="shared" si="140"/>
        <v>0</v>
      </c>
      <c r="W434" s="168">
        <f t="shared" si="141"/>
        <v>0</v>
      </c>
      <c r="X434" s="163">
        <f t="shared" si="128"/>
        <v>371.49735068606748</v>
      </c>
      <c r="Y434" s="152"/>
      <c r="Z434" s="164">
        <f>IF(AND($C433=12,$D433=Input!$C$6),0,IF($E434="","",V434+Z435/(1+L434)*R434))</f>
        <v>83830.934274815547</v>
      </c>
      <c r="AA434" s="164">
        <f>IF(OR($M434=1,AND($C433=12,$D433=Input!$C$6)),0,IF($E434="","",W434+(X434+AA435*$R434)/(1+$L434)))</f>
        <v>34530.047036025062</v>
      </c>
      <c r="AB434" s="160">
        <f t="shared" si="129"/>
        <v>0.825720328500681</v>
      </c>
      <c r="AC434" s="164">
        <f t="shared" si="130"/>
        <v>0</v>
      </c>
      <c r="AD434" s="164">
        <f>IF(AND($C433=12,$D433=Input!$C$6),0,IF($E434="","",$AC434+AD435/(1+$L434)*$R434))</f>
        <v>69220.906587919671</v>
      </c>
      <c r="AE434" s="152"/>
      <c r="AF434" s="164">
        <f>IF(AND($C433=12,$D433=Input!$C$6),0,IF($E434="","",IF($B434&gt;Input!$C$9,$AC434,0)+AF435/(1+$L434)*$R434))</f>
        <v>69220.906587919671</v>
      </c>
      <c r="AG434" s="164">
        <f>IF(AND($C433=12,$D433=Input!$C$6),0,IF($E434="","",(IF($B434&gt;Input!$C$9,$X434,0)+AG435)/(1+$L434)*$R434))</f>
        <v>33925.004556015985</v>
      </c>
      <c r="AH434" s="160">
        <f t="shared" si="131"/>
        <v>2.0950137211446997</v>
      </c>
      <c r="AI434" s="160">
        <f>IF($E434="","",MIN(Input!$C$61/AH434,1))</f>
        <v>0.64438718771845094</v>
      </c>
      <c r="AJ434" s="152"/>
      <c r="AK434" s="164">
        <f>IF(AND($C433=12,$D433=Input!$C$6),0,IF($E434="","",IF($B434&gt;Input!$C$9,$AC434*AI434,0)+AK435/(1+$L434)*$R434))</f>
        <v>44605.065327511133</v>
      </c>
      <c r="AL434" s="164">
        <f>IF(AND($C433=12,$D433=Input!$C$6),0,IF($E434="","",IF($B434&gt;Input!$C$9,0,$AC434)+AL435/(1+$L434)*$R434))</f>
        <v>0</v>
      </c>
      <c r="AM434" s="160">
        <f t="shared" si="132"/>
        <v>1.1382936520186004</v>
      </c>
      <c r="AN434" s="164">
        <f>IF($E434="","",IF($B434&gt;Input!$C$9,$AI434*$AC434,$AM434*$AC434))</f>
        <v>0</v>
      </c>
      <c r="AO434" s="164">
        <f>IF(AND($C433=12,$D433=Input!$C$6),0,IF($E434="","",$AN434+AO435/(1+$L434)*$R434))</f>
        <v>44605.065327511133</v>
      </c>
      <c r="AP434" s="152"/>
      <c r="AQ434" s="164">
        <f t="shared" si="133"/>
        <v>-10075.018291486071</v>
      </c>
      <c r="AR434" s="164">
        <f t="shared" si="142"/>
        <v>-7785.6440027085046</v>
      </c>
      <c r="AS434" s="164">
        <f t="shared" si="143"/>
        <v>2089.9521531100481</v>
      </c>
      <c r="AT434" s="164">
        <f t="shared" si="134"/>
        <v>2089.9521531100481</v>
      </c>
      <c r="AU434" s="152"/>
      <c r="AV434" s="147">
        <f>'Deterministic Reserve'!BC434</f>
        <v>8.4365171776597369E-3</v>
      </c>
      <c r="AW434" s="164">
        <f t="shared" si="135"/>
        <v>2089.9521531100481</v>
      </c>
      <c r="AX434" s="164">
        <f t="shared" si="136"/>
        <v>17.631917240199872</v>
      </c>
      <c r="AY434" s="152"/>
    </row>
    <row r="435" spans="1:51" s="150" customFormat="1" x14ac:dyDescent="0.25">
      <c r="A435" s="150">
        <f t="shared" si="144"/>
        <v>431</v>
      </c>
      <c r="B435" s="150">
        <f t="shared" si="145"/>
        <v>36</v>
      </c>
      <c r="C435" s="150">
        <f t="shared" si="146"/>
        <v>11</v>
      </c>
      <c r="D435" s="150">
        <f>IF(E435="","",Input!$C$4+B435-1)</f>
        <v>80</v>
      </c>
      <c r="E435" s="150">
        <f>IF(OR(AND(C434=12,D434=Input!$C$6),E434=""),"",1)</f>
        <v>1</v>
      </c>
      <c r="F435" s="150">
        <f>IF(E435="","",Input!$C$8+B435-1)</f>
        <v>2053</v>
      </c>
      <c r="G435" s="151">
        <f>IF(E435="","",MAX(0,Input!$C$9-B435))</f>
        <v>0</v>
      </c>
      <c r="H435" s="152">
        <f>IF(E435="","",Input!$C$3)</f>
        <v>100000</v>
      </c>
      <c r="I435" s="153">
        <f>IF(E435="","",HLOOKUP($B435,Input!$C$13:$BT$14,2))</f>
        <v>107.01600000000001</v>
      </c>
      <c r="J435" s="154"/>
      <c r="K435" s="155">
        <f>IF($E435="","",Input!$C$57)</f>
        <v>4.4999999999999998E-2</v>
      </c>
      <c r="L435" s="155">
        <f t="shared" si="137"/>
        <v>3.6748094004368514E-3</v>
      </c>
      <c r="M435" s="147">
        <f>IF($E435="","",VLOOKUP(IF($B435&lt;=Input!$C$7,$B435,26),'Mortality Tables'!$A$72:$CA$97,IF($B435&lt;=Input!$C$7+1,Input!$C$4-16,$D435-Input!$C$7-16),0)/1000)</f>
        <v>4.3679999999999997E-2</v>
      </c>
      <c r="N435" s="147">
        <f t="shared" si="126"/>
        <v>3.7149735068606748E-3</v>
      </c>
      <c r="O435" s="157">
        <f>IF($E435="","",IF($C435=12,IF($B435&lt;Input!$C$9,Input!$C$54,IF($B435=Input!$C$9,Input!$C$55,Input!$C$56)),0%))</f>
        <v>0</v>
      </c>
      <c r="P435" s="167">
        <f>IF($E435="","",IF($B435=1,Input!$C$59,IF($B435&lt;6,Input!$C$60,0%)))</f>
        <v>0</v>
      </c>
      <c r="Q435" s="162">
        <f>IF($E435="","",Input!$C$58)</f>
        <v>2.5</v>
      </c>
      <c r="R435" s="156">
        <f t="shared" si="138"/>
        <v>0.99628502649313933</v>
      </c>
      <c r="S435" s="154">
        <f t="shared" si="127"/>
        <v>8.5967481862645051E-3</v>
      </c>
      <c r="T435" s="152"/>
      <c r="U435" s="150">
        <f t="shared" si="139"/>
        <v>0</v>
      </c>
      <c r="V435" s="150">
        <f t="shared" si="140"/>
        <v>0</v>
      </c>
      <c r="W435" s="168">
        <f t="shared" si="141"/>
        <v>0</v>
      </c>
      <c r="X435" s="163">
        <f t="shared" si="128"/>
        <v>371.49735068606748</v>
      </c>
      <c r="Y435" s="152"/>
      <c r="Z435" s="164">
        <f>IF(AND($C434=12,$D434=Input!$C$6),0,IF($E435="","",V435+Z436/(1+L435)*R435))</f>
        <v>84452.736659407616</v>
      </c>
      <c r="AA435" s="164">
        <f>IF(OR($M435=1,AND($C434=12,$D434=Input!$C$6)),0,IF($E435="","",W435+(X435+AA436*$R435)/(1+$L435)))</f>
        <v>34413.285470591785</v>
      </c>
      <c r="AB435" s="160">
        <f t="shared" si="129"/>
        <v>0.825720328500681</v>
      </c>
      <c r="AC435" s="164">
        <f t="shared" si="130"/>
        <v>0</v>
      </c>
      <c r="AD435" s="164">
        <f>IF(AND($C434=12,$D434=Input!$C$6),0,IF($E435="","",$AC435+AD436/(1+$L435)*$R435))</f>
        <v>69734.341457187547</v>
      </c>
      <c r="AE435" s="152"/>
      <c r="AF435" s="164">
        <f>IF(AND($C434=12,$D434=Input!$C$6),0,IF($E435="","",IF($B435&gt;Input!$C$9,$AC435,0)+AF436/(1+$L435)*$R435))</f>
        <v>69734.341457187547</v>
      </c>
      <c r="AG435" s="164">
        <f>IF(AND($C434=12,$D434=Input!$C$6),0,IF($E435="","",(IF($B435&gt;Input!$C$9,$X435,0)+AG436)/(1+$L435)*$R435))</f>
        <v>33805.140434909285</v>
      </c>
      <c r="AH435" s="160">
        <f t="shared" si="131"/>
        <v>2.0950137211446997</v>
      </c>
      <c r="AI435" s="160">
        <f>IF($E435="","",MIN(Input!$C$61/AH435,1))</f>
        <v>0.64438718771845094</v>
      </c>
      <c r="AJ435" s="152"/>
      <c r="AK435" s="164">
        <f>IF(AND($C434=12,$D434=Input!$C$6),0,IF($E435="","",IF($B435&gt;Input!$C$9,$AC435*AI435,0)+AK436/(1+$L435)*$R435))</f>
        <v>44935.916178995249</v>
      </c>
      <c r="AL435" s="164">
        <f>IF(AND($C434=12,$D434=Input!$C$6),0,IF($E435="","",IF($B435&gt;Input!$C$9,0,$AC435)+AL436/(1+$L435)*$R435))</f>
        <v>0</v>
      </c>
      <c r="AM435" s="160">
        <f t="shared" si="132"/>
        <v>1.1382936520186004</v>
      </c>
      <c r="AN435" s="164">
        <f>IF($E435="","",IF($B435&gt;Input!$C$9,$AI435*$AC435,$AM435*$AC435))</f>
        <v>0</v>
      </c>
      <c r="AO435" s="164">
        <f>IF(AND($C434=12,$D434=Input!$C$6),0,IF($E435="","",$AN435+AO436/(1+$L435)*$R435))</f>
        <v>44935.916178995249</v>
      </c>
      <c r="AP435" s="152"/>
      <c r="AQ435" s="164">
        <f t="shared" si="133"/>
        <v>-10522.630708403463</v>
      </c>
      <c r="AR435" s="164">
        <f t="shared" si="142"/>
        <v>-7785.6440027085046</v>
      </c>
      <c r="AS435" s="164">
        <f t="shared" si="143"/>
        <v>2089.9521531100481</v>
      </c>
      <c r="AT435" s="164">
        <f t="shared" si="134"/>
        <v>2089.9521531100481</v>
      </c>
      <c r="AU435" s="152"/>
      <c r="AV435" s="147">
        <f>'Deterministic Reserve'!BC435</f>
        <v>8.3616470234520804E-3</v>
      </c>
      <c r="AW435" s="164">
        <f t="shared" si="135"/>
        <v>2089.9521531100481</v>
      </c>
      <c r="AX435" s="164">
        <f t="shared" si="136"/>
        <v>17.475442200209901</v>
      </c>
      <c r="AY435" s="152"/>
    </row>
    <row r="436" spans="1:51" s="150" customFormat="1" x14ac:dyDescent="0.25">
      <c r="A436" s="150">
        <f t="shared" si="144"/>
        <v>432</v>
      </c>
      <c r="B436" s="150">
        <f t="shared" si="145"/>
        <v>36</v>
      </c>
      <c r="C436" s="150">
        <f t="shared" si="146"/>
        <v>12</v>
      </c>
      <c r="D436" s="150">
        <f>IF(E436="","",Input!$C$4+B436-1)</f>
        <v>80</v>
      </c>
      <c r="E436" s="150">
        <f>IF(OR(AND(C435=12,D435=Input!$C$6),E435=""),"",1)</f>
        <v>1</v>
      </c>
      <c r="F436" s="150">
        <f>IF(E436="","",Input!$C$8+B436-1)</f>
        <v>2053</v>
      </c>
      <c r="G436" s="151">
        <f>IF(E436="","",MAX(0,Input!$C$9-B436))</f>
        <v>0</v>
      </c>
      <c r="H436" s="152">
        <f>IF(E436="","",Input!$C$3)</f>
        <v>100000</v>
      </c>
      <c r="I436" s="153">
        <f>IF(E436="","",HLOOKUP($B436,Input!$C$13:$BT$14,2))</f>
        <v>107.01600000000001</v>
      </c>
      <c r="J436" s="154"/>
      <c r="K436" s="155">
        <f>IF($E436="","",Input!$C$57)</f>
        <v>4.4999999999999998E-2</v>
      </c>
      <c r="L436" s="155">
        <f t="shared" si="137"/>
        <v>3.6748094004368514E-3</v>
      </c>
      <c r="M436" s="147">
        <f>IF($E436="","",VLOOKUP(IF($B436&lt;=Input!$C$7,$B436,26),'Mortality Tables'!$A$72:$CA$97,IF($B436&lt;=Input!$C$7+1,Input!$C$4-16,$D436-Input!$C$7-16),0)/1000)</f>
        <v>4.3679999999999997E-2</v>
      </c>
      <c r="N436" s="147">
        <f t="shared" si="126"/>
        <v>3.7149735068606748E-3</v>
      </c>
      <c r="O436" s="157">
        <f>IF($E436="","",IF($C436=12,IF($B436&lt;Input!$C$9,Input!$C$54,IF($B436=Input!$C$9,Input!$C$55,Input!$C$56)),0%))</f>
        <v>0.1</v>
      </c>
      <c r="P436" s="167">
        <f>IF($E436="","",IF($B436=1,Input!$C$59,IF($B436&lt;6,Input!$C$60,0%)))</f>
        <v>0</v>
      </c>
      <c r="Q436" s="162">
        <f>IF($E436="","",Input!$C$58)</f>
        <v>2.5</v>
      </c>
      <c r="R436" s="156">
        <f t="shared" si="138"/>
        <v>0.89628502649313935</v>
      </c>
      <c r="S436" s="154">
        <f t="shared" si="127"/>
        <v>7.7051366758809298E-3</v>
      </c>
      <c r="T436" s="152"/>
      <c r="U436" s="150">
        <f t="shared" si="139"/>
        <v>0</v>
      </c>
      <c r="V436" s="150">
        <f t="shared" si="140"/>
        <v>0</v>
      </c>
      <c r="W436" s="168">
        <f t="shared" si="141"/>
        <v>0</v>
      </c>
      <c r="X436" s="163">
        <f t="shared" si="128"/>
        <v>371.49735068606748</v>
      </c>
      <c r="Y436" s="152"/>
      <c r="Z436" s="164">
        <f>IF(AND($C435=12,$D435=Input!$C$6),0,IF($E436="","",V436+Z437/(1+L436)*R436))</f>
        <v>85079.151162531227</v>
      </c>
      <c r="AA436" s="164">
        <f>IF(OR($M436=1,AND($C435=12,$D435=Input!$C$6)),0,IF($E436="","",W436+(X436+AA437*$R436)/(1+$L436)))</f>
        <v>34295.657845148053</v>
      </c>
      <c r="AB436" s="160">
        <f t="shared" si="129"/>
        <v>0.825720328500681</v>
      </c>
      <c r="AC436" s="164">
        <f t="shared" si="130"/>
        <v>0</v>
      </c>
      <c r="AD436" s="164">
        <f>IF(AND($C435=12,$D435=Input!$C$6),0,IF($E436="","",$AC436+AD437/(1+$L436)*$R436))</f>
        <v>70251.584646484363</v>
      </c>
      <c r="AE436" s="152"/>
      <c r="AF436" s="164">
        <f>IF(AND($C435=12,$D435=Input!$C$6),0,IF($E436="","",IF($B436&gt;Input!$C$9,$AC436,0)+AF437/(1+$L436)*$R436))</f>
        <v>70251.584646484363</v>
      </c>
      <c r="AG436" s="164">
        <f>IF(AND($C435=12,$D435=Input!$C$6),0,IF($E436="","",(IF($B436&gt;Input!$C$9,$X436,0)+AG437)/(1+$L436)*$R436))</f>
        <v>33684.38724108765</v>
      </c>
      <c r="AH436" s="160">
        <f t="shared" si="131"/>
        <v>2.0950137211446997</v>
      </c>
      <c r="AI436" s="160">
        <f>IF($E436="","",MIN(Input!$C$61/AH436,1))</f>
        <v>0.64438718771845094</v>
      </c>
      <c r="AJ436" s="152"/>
      <c r="AK436" s="164">
        <f>IF(AND($C435=12,$D435=Input!$C$6),0,IF($E436="","",IF($B436&gt;Input!$C$9,$AC436*AI436,0)+AK437/(1+$L436)*$R436))</f>
        <v>45269.221063112745</v>
      </c>
      <c r="AL436" s="164">
        <f>IF(AND($C435=12,$D435=Input!$C$6),0,IF($E436="","",IF($B436&gt;Input!$C$9,0,$AC436)+AL437/(1+$L436)*$R436))</f>
        <v>0</v>
      </c>
      <c r="AM436" s="160">
        <f t="shared" si="132"/>
        <v>1.1382936520186004</v>
      </c>
      <c r="AN436" s="164">
        <f>IF($E436="","",IF($B436&gt;Input!$C$9,$AI436*$AC436,$AM436*$AC436))</f>
        <v>0</v>
      </c>
      <c r="AO436" s="164">
        <f>IF(AND($C435=12,$D435=Input!$C$6),0,IF($E436="","",$AN436+AO437/(1+$L436)*$R436))</f>
        <v>45269.221063112745</v>
      </c>
      <c r="AP436" s="152"/>
      <c r="AQ436" s="164">
        <f t="shared" si="133"/>
        <v>-10973.563217964693</v>
      </c>
      <c r="AR436" s="164">
        <f t="shared" si="142"/>
        <v>-7785.6440027085046</v>
      </c>
      <c r="AS436" s="164">
        <f t="shared" si="143"/>
        <v>2089.9521531100481</v>
      </c>
      <c r="AT436" s="164">
        <f t="shared" si="134"/>
        <v>2089.9521531100481</v>
      </c>
      <c r="AU436" s="152"/>
      <c r="AV436" s="147">
        <f>'Deterministic Reserve'!BC436</f>
        <v>7.4512766045899161E-3</v>
      </c>
      <c r="AW436" s="164">
        <f t="shared" si="135"/>
        <v>2089.9521531100481</v>
      </c>
      <c r="AX436" s="164">
        <f t="shared" si="136"/>
        <v>15.572811583181224</v>
      </c>
      <c r="AY436" s="152"/>
    </row>
    <row r="437" spans="1:51" s="150" customFormat="1" x14ac:dyDescent="0.25">
      <c r="A437" s="150">
        <f t="shared" si="144"/>
        <v>433</v>
      </c>
      <c r="B437" s="150">
        <f t="shared" si="145"/>
        <v>37</v>
      </c>
      <c r="C437" s="150">
        <f t="shared" si="146"/>
        <v>1</v>
      </c>
      <c r="D437" s="150">
        <f>IF(E437="","",Input!$C$4+B437-1)</f>
        <v>81</v>
      </c>
      <c r="E437" s="150">
        <f>IF(OR(AND(C436=12,D436=Input!$C$6),E436=""),"",1)</f>
        <v>1</v>
      </c>
      <c r="F437" s="150">
        <f>IF(E437="","",Input!$C$8+B437-1)</f>
        <v>2054</v>
      </c>
      <c r="G437" s="151">
        <f>IF(E437="","",MAX(0,Input!$C$9-B437))</f>
        <v>0</v>
      </c>
      <c r="H437" s="152">
        <f>IF(E437="","",Input!$C$3)</f>
        <v>100000</v>
      </c>
      <c r="I437" s="153">
        <f>IF(E437="","",HLOOKUP($B437,Input!$C$13:$BT$14,2))</f>
        <v>121.17700000000001</v>
      </c>
      <c r="J437" s="154"/>
      <c r="K437" s="155">
        <f>IF($E437="","",Input!$C$57)</f>
        <v>4.4999999999999998E-2</v>
      </c>
      <c r="L437" s="155">
        <f t="shared" si="137"/>
        <v>3.6748094004368514E-3</v>
      </c>
      <c r="M437" s="147">
        <f>IF($E437="","",VLOOKUP(IF($B437&lt;=Input!$C$7,$B437,26),'Mortality Tables'!$A$72:$CA$97,IF($B437&lt;=Input!$C$7+1,Input!$C$4-16,$D437-Input!$C$7-16),0)/1000)</f>
        <v>4.9460000000000004E-2</v>
      </c>
      <c r="N437" s="147">
        <f t="shared" si="126"/>
        <v>4.2181646815462326E-3</v>
      </c>
      <c r="O437" s="157">
        <f>IF($E437="","",IF($C437=12,IF($B437&lt;Input!$C$9,Input!$C$54,IF($B437=Input!$C$9,Input!$C$55,Input!$C$56)),0%))</f>
        <v>0</v>
      </c>
      <c r="P437" s="167">
        <f>IF($E437="","",IF($B437=1,Input!$C$59,IF($B437&lt;6,Input!$C$60,0%)))</f>
        <v>0</v>
      </c>
      <c r="Q437" s="162">
        <f>IF($E437="","",Input!$C$58)</f>
        <v>2.5</v>
      </c>
      <c r="R437" s="156">
        <f t="shared" si="138"/>
        <v>0.99578183531845377</v>
      </c>
      <c r="S437" s="154">
        <f t="shared" si="127"/>
        <v>7.6726351404882423E-3</v>
      </c>
      <c r="T437" s="152"/>
      <c r="U437" s="150">
        <f t="shared" si="139"/>
        <v>12117.7</v>
      </c>
      <c r="V437" s="150">
        <f t="shared" si="140"/>
        <v>12117.7</v>
      </c>
      <c r="W437" s="168">
        <f t="shared" si="141"/>
        <v>0</v>
      </c>
      <c r="X437" s="163">
        <f t="shared" si="128"/>
        <v>421.81646815462324</v>
      </c>
      <c r="Y437" s="152"/>
      <c r="Z437" s="164">
        <f>IF(AND($C436=12,$D436=Input!$C$6),0,IF($E437="","",V437+Z438/(1+L437)*R437))</f>
        <v>95273.041837052398</v>
      </c>
      <c r="AA437" s="164">
        <f>IF(OR($M437=1,AND($C436=12,$D436=Input!$C$6)),0,IF($E437="","",W437+(X437+AA438*$R437)/(1+$L437)))</f>
        <v>37990.359644333672</v>
      </c>
      <c r="AB437" s="160">
        <f t="shared" si="129"/>
        <v>0.825720328500681</v>
      </c>
      <c r="AC437" s="164">
        <f t="shared" si="130"/>
        <v>10005.831224672702</v>
      </c>
      <c r="AD437" s="164">
        <f>IF(AND($C436=12,$D436=Input!$C$6),0,IF($E437="","",$AC437+AD438/(1+$L437)*$R437))</f>
        <v>78668.887402950015</v>
      </c>
      <c r="AE437" s="152"/>
      <c r="AF437" s="164">
        <f>IF(AND($C436=12,$D436=Input!$C$6),0,IF($E437="","",IF($B437&gt;Input!$C$9,$AC437,0)+AF438/(1+$L437)*$R437))</f>
        <v>78668.887402950015</v>
      </c>
      <c r="AG437" s="164">
        <f>IF(AND($C436=12,$D436=Input!$C$6),0,IF($E437="","",(IF($B437&gt;Input!$C$9,$X437,0)+AG438)/(1+$L437)*$R437))</f>
        <v>37348.83707936584</v>
      </c>
      <c r="AH437" s="160">
        <f t="shared" si="131"/>
        <v>2.0950137211446997</v>
      </c>
      <c r="AI437" s="160">
        <f>IF($E437="","",MIN(Input!$C$61/AH437,1))</f>
        <v>0.64438718771845094</v>
      </c>
      <c r="AJ437" s="152"/>
      <c r="AK437" s="164">
        <f>IF(AND($C436=12,$D436=Input!$C$6),0,IF($E437="","",IF($B437&gt;Input!$C$9,$AC437*AI437,0)+AK438/(1+$L437)*$R437))</f>
        <v>50693.223114526409</v>
      </c>
      <c r="AL437" s="164">
        <f>IF(AND($C436=12,$D436=Input!$C$6),0,IF($E437="","",IF($B437&gt;Input!$C$9,0,$AC437)+AL438/(1+$L437)*$R437))</f>
        <v>0</v>
      </c>
      <c r="AM437" s="160">
        <f t="shared" si="132"/>
        <v>1.1382936520186004</v>
      </c>
      <c r="AN437" s="164">
        <f>IF($E437="","",IF($B437&gt;Input!$C$9,$AI437*$AC437,$AM437*$AC437))</f>
        <v>6447.6294436523058</v>
      </c>
      <c r="AO437" s="164">
        <f>IF(AND($C436=12,$D436=Input!$C$6),0,IF($E437="","",$AN437+AO438/(1+$L437)*$R437))</f>
        <v>50693.223114526409</v>
      </c>
      <c r="AP437" s="152"/>
      <c r="AQ437" s="164">
        <f t="shared" si="133"/>
        <v>-12702.863470192737</v>
      </c>
      <c r="AR437" s="164">
        <f t="shared" si="142"/>
        <v>-8098.7355533587997</v>
      </c>
      <c r="AS437" s="164">
        <f t="shared" si="143"/>
        <v>2366.507177033493</v>
      </c>
      <c r="AT437" s="164">
        <f t="shared" si="134"/>
        <v>2366.507177033493</v>
      </c>
      <c r="AU437" s="152"/>
      <c r="AV437" s="147">
        <f>'Deterministic Reserve'!BC437</f>
        <v>7.3762227192754951E-3</v>
      </c>
      <c r="AW437" s="164">
        <f t="shared" si="135"/>
        <v>2366.507177033493</v>
      </c>
      <c r="AX437" s="164">
        <f t="shared" si="136"/>
        <v>17.455884004562968</v>
      </c>
      <c r="AY437" s="152"/>
    </row>
    <row r="438" spans="1:51" s="150" customFormat="1" x14ac:dyDescent="0.25">
      <c r="A438" s="150">
        <f t="shared" si="144"/>
        <v>434</v>
      </c>
      <c r="B438" s="150">
        <f t="shared" si="145"/>
        <v>37</v>
      </c>
      <c r="C438" s="150">
        <f t="shared" si="146"/>
        <v>2</v>
      </c>
      <c r="D438" s="150">
        <f>IF(E438="","",Input!$C$4+B438-1)</f>
        <v>81</v>
      </c>
      <c r="E438" s="150">
        <f>IF(OR(AND(C437=12,D437=Input!$C$6),E437=""),"",1)</f>
        <v>1</v>
      </c>
      <c r="F438" s="150">
        <f>IF(E438="","",Input!$C$8+B438-1)</f>
        <v>2054</v>
      </c>
      <c r="G438" s="151">
        <f>IF(E438="","",MAX(0,Input!$C$9-B438))</f>
        <v>0</v>
      </c>
      <c r="H438" s="152">
        <f>IF(E438="","",Input!$C$3)</f>
        <v>100000</v>
      </c>
      <c r="I438" s="153">
        <f>IF(E438="","",HLOOKUP($B438,Input!$C$13:$BT$14,2))</f>
        <v>121.17700000000001</v>
      </c>
      <c r="J438" s="154"/>
      <c r="K438" s="155">
        <f>IF($E438="","",Input!$C$57)</f>
        <v>4.4999999999999998E-2</v>
      </c>
      <c r="L438" s="155">
        <f t="shared" si="137"/>
        <v>3.6748094004368514E-3</v>
      </c>
      <c r="M438" s="147">
        <f>IF($E438="","",VLOOKUP(IF($B438&lt;=Input!$C$7,$B438,26),'Mortality Tables'!$A$72:$CA$97,IF($B438&lt;=Input!$C$7+1,Input!$C$4-16,$D438-Input!$C$7-16),0)/1000)</f>
        <v>4.9460000000000004E-2</v>
      </c>
      <c r="N438" s="147">
        <f t="shared" si="126"/>
        <v>4.2181646815462326E-3</v>
      </c>
      <c r="O438" s="157">
        <f>IF($E438="","",IF($C438=12,IF($B438&lt;Input!$C$9,Input!$C$54,IF($B438=Input!$C$9,Input!$C$55,Input!$C$56)),0%))</f>
        <v>0</v>
      </c>
      <c r="P438" s="167">
        <f>IF($E438="","",IF($B438=1,Input!$C$59,IF($B438&lt;6,Input!$C$60,0%)))</f>
        <v>0</v>
      </c>
      <c r="Q438" s="162">
        <f>IF($E438="","",Input!$C$58)</f>
        <v>2.5</v>
      </c>
      <c r="R438" s="156">
        <f t="shared" si="138"/>
        <v>0.99578183531845377</v>
      </c>
      <c r="S438" s="154">
        <f t="shared" si="127"/>
        <v>7.6402707019242446E-3</v>
      </c>
      <c r="T438" s="152"/>
      <c r="U438" s="150">
        <f t="shared" si="139"/>
        <v>0</v>
      </c>
      <c r="V438" s="150">
        <f t="shared" si="140"/>
        <v>0</v>
      </c>
      <c r="W438" s="168">
        <f t="shared" si="141"/>
        <v>0</v>
      </c>
      <c r="X438" s="163">
        <f t="shared" si="128"/>
        <v>421.81646815462324</v>
      </c>
      <c r="Y438" s="152"/>
      <c r="Z438" s="164">
        <f>IF(AND($C437=12,$D437=Input!$C$6),0,IF($E438="","",V438+Z439/(1+L438)*R438))</f>
        <v>83814.465085357486</v>
      </c>
      <c r="AA438" s="164">
        <f>IF(OR($M438=1,AND($C437=12,$D437=Input!$C$6)),0,IF($E438="","",W438+(X438+AA439*$R438)/(1+$L438)))</f>
        <v>37867.883475567571</v>
      </c>
      <c r="AB438" s="160">
        <f t="shared" si="129"/>
        <v>0.825720328500681</v>
      </c>
      <c r="AC438" s="164">
        <f t="shared" si="130"/>
        <v>0</v>
      </c>
      <c r="AD438" s="164">
        <f>IF(AND($C437=12,$D437=Input!$C$6),0,IF($E438="","",$AC438+AD439/(1+$L438)*$R438))</f>
        <v>69207.307643390217</v>
      </c>
      <c r="AE438" s="152"/>
      <c r="AF438" s="164">
        <f>IF(AND($C437=12,$D437=Input!$C$6),0,IF($E438="","",IF($B438&gt;Input!$C$9,$AC438,0)+AF439/(1+$L438)*$R438))</f>
        <v>69207.307643390217</v>
      </c>
      <c r="AG438" s="164">
        <f>IF(AND($C437=12,$D437=Input!$C$6),0,IF($E438="","",(IF($B438&gt;Input!$C$9,$X438,0)+AG439)/(1+$L438)*$R438))</f>
        <v>37223.062768844437</v>
      </c>
      <c r="AH438" s="160">
        <f t="shared" si="131"/>
        <v>2.0950137211446997</v>
      </c>
      <c r="AI438" s="160">
        <f>IF($E438="","",MIN(Input!$C$61/AH438,1))</f>
        <v>0.64438718771845094</v>
      </c>
      <c r="AJ438" s="152"/>
      <c r="AK438" s="164">
        <f>IF(AND($C437=12,$D437=Input!$C$6),0,IF($E438="","",IF($B438&gt;Input!$C$9,$AC438*AI438,0)+AK439/(1+$L438)*$R438))</f>
        <v>44596.302341889852</v>
      </c>
      <c r="AL438" s="164">
        <f>IF(AND($C437=12,$D437=Input!$C$6),0,IF($E438="","",IF($B438&gt;Input!$C$9,0,$AC438)+AL439/(1+$L438)*$R438))</f>
        <v>0</v>
      </c>
      <c r="AM438" s="160">
        <f t="shared" si="132"/>
        <v>1.1382936520186004</v>
      </c>
      <c r="AN438" s="164">
        <f>IF($E438="","",IF($B438&gt;Input!$C$9,$AI438*$AC438,$AM438*$AC438))</f>
        <v>0</v>
      </c>
      <c r="AO438" s="164">
        <f>IF(AND($C437=12,$D437=Input!$C$6),0,IF($E438="","",$AN438+AO439/(1+$L438)*$R438))</f>
        <v>44596.302341889852</v>
      </c>
      <c r="AP438" s="152"/>
      <c r="AQ438" s="164">
        <f t="shared" si="133"/>
        <v>-6728.4188663222812</v>
      </c>
      <c r="AR438" s="164">
        <f t="shared" si="142"/>
        <v>-8098.7355533587997</v>
      </c>
      <c r="AS438" s="164">
        <f t="shared" si="143"/>
        <v>2366.507177033493</v>
      </c>
      <c r="AT438" s="164">
        <f t="shared" si="134"/>
        <v>2366.507177033493</v>
      </c>
      <c r="AU438" s="152"/>
      <c r="AV438" s="147">
        <f>'Deterministic Reserve'!BC438</f>
        <v>7.3019248233035334E-3</v>
      </c>
      <c r="AW438" s="164">
        <f t="shared" si="135"/>
        <v>2366.507177033493</v>
      </c>
      <c r="AX438" s="164">
        <f t="shared" si="136"/>
        <v>17.280057500506832</v>
      </c>
      <c r="AY438" s="152"/>
    </row>
    <row r="439" spans="1:51" s="150" customFormat="1" x14ac:dyDescent="0.25">
      <c r="A439" s="150">
        <f t="shared" si="144"/>
        <v>435</v>
      </c>
      <c r="B439" s="150">
        <f t="shared" si="145"/>
        <v>37</v>
      </c>
      <c r="C439" s="150">
        <f t="shared" si="146"/>
        <v>3</v>
      </c>
      <c r="D439" s="150">
        <f>IF(E439="","",Input!$C$4+B439-1)</f>
        <v>81</v>
      </c>
      <c r="E439" s="150">
        <f>IF(OR(AND(C438=12,D438=Input!$C$6),E438=""),"",1)</f>
        <v>1</v>
      </c>
      <c r="F439" s="150">
        <f>IF(E439="","",Input!$C$8+B439-1)</f>
        <v>2054</v>
      </c>
      <c r="G439" s="151">
        <f>IF(E439="","",MAX(0,Input!$C$9-B439))</f>
        <v>0</v>
      </c>
      <c r="H439" s="152">
        <f>IF(E439="","",Input!$C$3)</f>
        <v>100000</v>
      </c>
      <c r="I439" s="153">
        <f>IF(E439="","",HLOOKUP($B439,Input!$C$13:$BT$14,2))</f>
        <v>121.17700000000001</v>
      </c>
      <c r="J439" s="154"/>
      <c r="K439" s="155">
        <f>IF($E439="","",Input!$C$57)</f>
        <v>4.4999999999999998E-2</v>
      </c>
      <c r="L439" s="155">
        <f t="shared" si="137"/>
        <v>3.6748094004368514E-3</v>
      </c>
      <c r="M439" s="147">
        <f>IF($E439="","",VLOOKUP(IF($B439&lt;=Input!$C$7,$B439,26),'Mortality Tables'!$A$72:$CA$97,IF($B439&lt;=Input!$C$7+1,Input!$C$4-16,$D439-Input!$C$7-16),0)/1000)</f>
        <v>4.9460000000000004E-2</v>
      </c>
      <c r="N439" s="147">
        <f t="shared" si="126"/>
        <v>4.2181646815462326E-3</v>
      </c>
      <c r="O439" s="157">
        <f>IF($E439="","",IF($C439=12,IF($B439&lt;Input!$C$9,Input!$C$54,IF($B439=Input!$C$9,Input!$C$55,Input!$C$56)),0%))</f>
        <v>0</v>
      </c>
      <c r="P439" s="167">
        <f>IF($E439="","",IF($B439=1,Input!$C$59,IF($B439&lt;6,Input!$C$60,0%)))</f>
        <v>0</v>
      </c>
      <c r="Q439" s="162">
        <f>IF($E439="","",Input!$C$58)</f>
        <v>2.5</v>
      </c>
      <c r="R439" s="156">
        <f t="shared" si="138"/>
        <v>0.99578183531845377</v>
      </c>
      <c r="S439" s="154">
        <f t="shared" si="127"/>
        <v>7.6080427818919355E-3</v>
      </c>
      <c r="T439" s="152"/>
      <c r="U439" s="150">
        <f t="shared" si="139"/>
        <v>0</v>
      </c>
      <c r="V439" s="150">
        <f t="shared" si="140"/>
        <v>0</v>
      </c>
      <c r="W439" s="168">
        <f t="shared" si="141"/>
        <v>0</v>
      </c>
      <c r="X439" s="163">
        <f t="shared" si="128"/>
        <v>421.81646815462324</v>
      </c>
      <c r="Y439" s="152"/>
      <c r="Z439" s="164">
        <f>IF(AND($C438=12,$D438=Input!$C$6),0,IF($E439="","",V439+Z440/(1+L439)*R439))</f>
        <v>84478.812814097124</v>
      </c>
      <c r="AA439" s="164">
        <f>IF(OR($M439=1,AND($C438=12,$D438=Input!$C$6)),0,IF($E439="","",W439+(X439+AA440*$R439)/(1+$L439)))</f>
        <v>37744.436510597472</v>
      </c>
      <c r="AB439" s="160">
        <f t="shared" si="129"/>
        <v>0.825720328500681</v>
      </c>
      <c r="AC439" s="164">
        <f t="shared" si="130"/>
        <v>0</v>
      </c>
      <c r="AD439" s="164">
        <f>IF(AND($C438=12,$D438=Input!$C$6),0,IF($E439="","",$AC439+AD440/(1+$L439)*$R439))</f>
        <v>69755.8730682038</v>
      </c>
      <c r="AE439" s="152"/>
      <c r="AF439" s="164">
        <f>IF(AND($C438=12,$D438=Input!$C$6),0,IF($E439="","",IF($B439&gt;Input!$C$9,$AC439,0)+AF440/(1+$L439)*$R439))</f>
        <v>69755.8730682038</v>
      </c>
      <c r="AG439" s="164">
        <f>IF(AND($C438=12,$D438=Input!$C$6),0,IF($E439="","",(IF($B439&gt;Input!$C$9,$X439,0)+AG440)/(1+$L439)*$R439))</f>
        <v>37096.291519698607</v>
      </c>
      <c r="AH439" s="160">
        <f t="shared" si="131"/>
        <v>2.0950137211446997</v>
      </c>
      <c r="AI439" s="160">
        <f>IF($E439="","",MIN(Input!$C$61/AH439,1))</f>
        <v>0.64438718771845094</v>
      </c>
      <c r="AJ439" s="152"/>
      <c r="AK439" s="164">
        <f>IF(AND($C438=12,$D438=Input!$C$6),0,IF($E439="","",IF($B439&gt;Input!$C$9,$AC439*AI439,0)+AK440/(1+$L439)*$R439))</f>
        <v>44949.790873265047</v>
      </c>
      <c r="AL439" s="164">
        <f>IF(AND($C438=12,$D438=Input!$C$6),0,IF($E439="","",IF($B439&gt;Input!$C$9,0,$AC439)+AL440/(1+$L439)*$R439))</f>
        <v>0</v>
      </c>
      <c r="AM439" s="160">
        <f t="shared" si="132"/>
        <v>1.1382936520186004</v>
      </c>
      <c r="AN439" s="164">
        <f>IF($E439="","",IF($B439&gt;Input!$C$9,$AI439*$AC439,$AM439*$AC439))</f>
        <v>0</v>
      </c>
      <c r="AO439" s="164">
        <f>IF(AND($C438=12,$D438=Input!$C$6),0,IF($E439="","",$AN439+AO440/(1+$L439)*$R439))</f>
        <v>44949.790873265047</v>
      </c>
      <c r="AP439" s="152"/>
      <c r="AQ439" s="164">
        <f t="shared" si="133"/>
        <v>-7205.3543626675746</v>
      </c>
      <c r="AR439" s="164">
        <f t="shared" si="142"/>
        <v>-8098.7355533587997</v>
      </c>
      <c r="AS439" s="164">
        <f t="shared" si="143"/>
        <v>2366.507177033493</v>
      </c>
      <c r="AT439" s="164">
        <f t="shared" si="134"/>
        <v>2366.507177033493</v>
      </c>
      <c r="AU439" s="152"/>
      <c r="AV439" s="147">
        <f>'Deterministic Reserve'!BC439</f>
        <v>7.2283753018798939E-3</v>
      </c>
      <c r="AW439" s="164">
        <f t="shared" si="135"/>
        <v>2366.507177033493</v>
      </c>
      <c r="AX439" s="164">
        <f t="shared" si="136"/>
        <v>17.10600203019041</v>
      </c>
      <c r="AY439" s="152"/>
    </row>
    <row r="440" spans="1:51" s="150" customFormat="1" x14ac:dyDescent="0.25">
      <c r="A440" s="150">
        <f t="shared" si="144"/>
        <v>436</v>
      </c>
      <c r="B440" s="150">
        <f t="shared" si="145"/>
        <v>37</v>
      </c>
      <c r="C440" s="150">
        <f t="shared" si="146"/>
        <v>4</v>
      </c>
      <c r="D440" s="150">
        <f>IF(E440="","",Input!$C$4+B440-1)</f>
        <v>81</v>
      </c>
      <c r="E440" s="150">
        <f>IF(OR(AND(C439=12,D439=Input!$C$6),E439=""),"",1)</f>
        <v>1</v>
      </c>
      <c r="F440" s="150">
        <f>IF(E440="","",Input!$C$8+B440-1)</f>
        <v>2054</v>
      </c>
      <c r="G440" s="151">
        <f>IF(E440="","",MAX(0,Input!$C$9-B440))</f>
        <v>0</v>
      </c>
      <c r="H440" s="152">
        <f>IF(E440="","",Input!$C$3)</f>
        <v>100000</v>
      </c>
      <c r="I440" s="153">
        <f>IF(E440="","",HLOOKUP($B440,Input!$C$13:$BT$14,2))</f>
        <v>121.17700000000001</v>
      </c>
      <c r="J440" s="154"/>
      <c r="K440" s="155">
        <f>IF($E440="","",Input!$C$57)</f>
        <v>4.4999999999999998E-2</v>
      </c>
      <c r="L440" s="155">
        <f t="shared" si="137"/>
        <v>3.6748094004368514E-3</v>
      </c>
      <c r="M440" s="147">
        <f>IF($E440="","",VLOOKUP(IF($B440&lt;=Input!$C$7,$B440,26),'Mortality Tables'!$A$72:$CA$97,IF($B440&lt;=Input!$C$7+1,Input!$C$4-16,$D440-Input!$C$7-16),0)/1000)</f>
        <v>4.9460000000000004E-2</v>
      </c>
      <c r="N440" s="147">
        <f t="shared" si="126"/>
        <v>4.2181646815462326E-3</v>
      </c>
      <c r="O440" s="157">
        <f>IF($E440="","",IF($C440=12,IF($B440&lt;Input!$C$9,Input!$C$54,IF($B440=Input!$C$9,Input!$C$55,Input!$C$56)),0%))</f>
        <v>0</v>
      </c>
      <c r="P440" s="167">
        <f>IF($E440="","",IF($B440=1,Input!$C$59,IF($B440&lt;6,Input!$C$60,0%)))</f>
        <v>0</v>
      </c>
      <c r="Q440" s="162">
        <f>IF($E440="","",Input!$C$58)</f>
        <v>2.5</v>
      </c>
      <c r="R440" s="156">
        <f t="shared" si="138"/>
        <v>0.99578183531845377</v>
      </c>
      <c r="S440" s="154">
        <f t="shared" si="127"/>
        <v>7.5759508045336659E-3</v>
      </c>
      <c r="T440" s="152"/>
      <c r="U440" s="150">
        <f t="shared" si="139"/>
        <v>0</v>
      </c>
      <c r="V440" s="150">
        <f t="shared" si="140"/>
        <v>0</v>
      </c>
      <c r="W440" s="168">
        <f t="shared" si="141"/>
        <v>0</v>
      </c>
      <c r="X440" s="163">
        <f t="shared" si="128"/>
        <v>421.81646815462324</v>
      </c>
      <c r="Y440" s="152"/>
      <c r="Z440" s="164">
        <f>IF(AND($C439=12,$D439=Input!$C$6),0,IF($E440="","",V440+Z441/(1+L440)*R440))</f>
        <v>85148.426434639958</v>
      </c>
      <c r="AA440" s="164">
        <f>IF(OR($M440=1,AND($C439=12,$D439=Input!$C$6)),0,IF($E440="","",W440+(X440+AA441*$R440)/(1+$L440)))</f>
        <v>37620.011054495633</v>
      </c>
      <c r="AB440" s="160">
        <f t="shared" si="129"/>
        <v>0.825720328500681</v>
      </c>
      <c r="AC440" s="164">
        <f t="shared" si="130"/>
        <v>0</v>
      </c>
      <c r="AD440" s="164">
        <f>IF(AND($C439=12,$D439=Input!$C$6),0,IF($E440="","",$AC440+AD441/(1+$L440)*$R440))</f>
        <v>70308.78664692695</v>
      </c>
      <c r="AE440" s="152"/>
      <c r="AF440" s="164">
        <f>IF(AND($C439=12,$D439=Input!$C$6),0,IF($E440="","",IF($B440&gt;Input!$C$9,$AC440,0)+AF441/(1+$L440)*$R440))</f>
        <v>70308.78664692695</v>
      </c>
      <c r="AG440" s="164">
        <f>IF(AND($C439=12,$D439=Input!$C$6),0,IF($E440="","",(IF($B440&gt;Input!$C$9,$X440,0)+AG441)/(1+$L440)*$R440))</f>
        <v>36968.51542978509</v>
      </c>
      <c r="AH440" s="160">
        <f t="shared" si="131"/>
        <v>2.0950137211446997</v>
      </c>
      <c r="AI440" s="160">
        <f>IF($E440="","",MIN(Input!$C$61/AH440,1))</f>
        <v>0.64438718771845094</v>
      </c>
      <c r="AJ440" s="152"/>
      <c r="AK440" s="164">
        <f>IF(AND($C439=12,$D439=Input!$C$6),0,IF($E440="","",IF($B440&gt;Input!$C$9,$AC440*AI440,0)+AK441/(1+$L440)*$R440))</f>
        <v>45306.081299309801</v>
      </c>
      <c r="AL440" s="164">
        <f>IF(AND($C439=12,$D439=Input!$C$6),0,IF($E440="","",IF($B440&gt;Input!$C$9,0,$AC440)+AL441/(1+$L440)*$R440))</f>
        <v>0</v>
      </c>
      <c r="AM440" s="160">
        <f t="shared" si="132"/>
        <v>1.1382936520186004</v>
      </c>
      <c r="AN440" s="164">
        <f>IF($E440="","",IF($B440&gt;Input!$C$9,$AI440*$AC440,$AM440*$AC440))</f>
        <v>0</v>
      </c>
      <c r="AO440" s="164">
        <f>IF(AND($C439=12,$D439=Input!$C$6),0,IF($E440="","",$AN440+AO441/(1+$L440)*$R440))</f>
        <v>45306.081299309801</v>
      </c>
      <c r="AP440" s="152"/>
      <c r="AQ440" s="164">
        <f t="shared" si="133"/>
        <v>-7686.0702448141674</v>
      </c>
      <c r="AR440" s="164">
        <f t="shared" si="142"/>
        <v>-8098.7355533587997</v>
      </c>
      <c r="AS440" s="164">
        <f t="shared" si="143"/>
        <v>2366.507177033493</v>
      </c>
      <c r="AT440" s="164">
        <f t="shared" si="134"/>
        <v>2366.507177033493</v>
      </c>
      <c r="AU440" s="152"/>
      <c r="AV440" s="147">
        <f>'Deterministic Reserve'!BC440</f>
        <v>7.1555666169113739E-3</v>
      </c>
      <c r="AW440" s="164">
        <f t="shared" si="135"/>
        <v>2366.507177033493</v>
      </c>
      <c r="AX440" s="164">
        <f t="shared" si="136"/>
        <v>16.933699754662037</v>
      </c>
      <c r="AY440" s="152"/>
    </row>
    <row r="441" spans="1:51" s="150" customFormat="1" x14ac:dyDescent="0.25">
      <c r="A441" s="150">
        <f t="shared" si="144"/>
        <v>437</v>
      </c>
      <c r="B441" s="150">
        <f t="shared" si="145"/>
        <v>37</v>
      </c>
      <c r="C441" s="150">
        <f t="shared" si="146"/>
        <v>5</v>
      </c>
      <c r="D441" s="150">
        <f>IF(E441="","",Input!$C$4+B441-1)</f>
        <v>81</v>
      </c>
      <c r="E441" s="150">
        <f>IF(OR(AND(C440=12,D440=Input!$C$6),E440=""),"",1)</f>
        <v>1</v>
      </c>
      <c r="F441" s="150">
        <f>IF(E441="","",Input!$C$8+B441-1)</f>
        <v>2054</v>
      </c>
      <c r="G441" s="151">
        <f>IF(E441="","",MAX(0,Input!$C$9-B441))</f>
        <v>0</v>
      </c>
      <c r="H441" s="152">
        <f>IF(E441="","",Input!$C$3)</f>
        <v>100000</v>
      </c>
      <c r="I441" s="153">
        <f>IF(E441="","",HLOOKUP($B441,Input!$C$13:$BT$14,2))</f>
        <v>121.17700000000001</v>
      </c>
      <c r="J441" s="154"/>
      <c r="K441" s="155">
        <f>IF($E441="","",Input!$C$57)</f>
        <v>4.4999999999999998E-2</v>
      </c>
      <c r="L441" s="155">
        <f t="shared" si="137"/>
        <v>3.6748094004368514E-3</v>
      </c>
      <c r="M441" s="147">
        <f>IF($E441="","",VLOOKUP(IF($B441&lt;=Input!$C$7,$B441,26),'Mortality Tables'!$A$72:$CA$97,IF($B441&lt;=Input!$C$7+1,Input!$C$4-16,$D441-Input!$C$7-16),0)/1000)</f>
        <v>4.9460000000000004E-2</v>
      </c>
      <c r="N441" s="147">
        <f t="shared" si="126"/>
        <v>4.2181646815462326E-3</v>
      </c>
      <c r="O441" s="157">
        <f>IF($E441="","",IF($C441=12,IF($B441&lt;Input!$C$9,Input!$C$54,IF($B441=Input!$C$9,Input!$C$55,Input!$C$56)),0%))</f>
        <v>0</v>
      </c>
      <c r="P441" s="167">
        <f>IF($E441="","",IF($B441=1,Input!$C$59,IF($B441&lt;6,Input!$C$60,0%)))</f>
        <v>0</v>
      </c>
      <c r="Q441" s="162">
        <f>IF($E441="","",Input!$C$58)</f>
        <v>2.5</v>
      </c>
      <c r="R441" s="156">
        <f t="shared" si="138"/>
        <v>0.99578183531845377</v>
      </c>
      <c r="S441" s="154">
        <f t="shared" si="127"/>
        <v>7.5439941964208501E-3</v>
      </c>
      <c r="T441" s="152"/>
      <c r="U441" s="150">
        <f t="shared" si="139"/>
        <v>0</v>
      </c>
      <c r="V441" s="150">
        <f t="shared" si="140"/>
        <v>0</v>
      </c>
      <c r="W441" s="168">
        <f t="shared" si="141"/>
        <v>0</v>
      </c>
      <c r="X441" s="163">
        <f t="shared" si="128"/>
        <v>421.81646815462324</v>
      </c>
      <c r="Y441" s="152"/>
      <c r="Z441" s="164">
        <f>IF(AND($C440=12,$D440=Input!$C$6),0,IF($E441="","",V441+Z442/(1+L441)*R441))</f>
        <v>85823.347686598048</v>
      </c>
      <c r="AA441" s="164">
        <f>IF(OR($M441=1,AND($C440=12,$D440=Input!$C$6)),0,IF($E441="","",W441+(X441+AA442*$R441)/(1+$L441)))</f>
        <v>37494.599351341159</v>
      </c>
      <c r="AB441" s="160">
        <f t="shared" si="129"/>
        <v>0.825720328500681</v>
      </c>
      <c r="AC441" s="164">
        <f t="shared" si="130"/>
        <v>0</v>
      </c>
      <c r="AD441" s="164">
        <f>IF(AND($C440=12,$D440=Input!$C$6),0,IF($E441="","",$AC441+AD442/(1+$L441)*$R441))</f>
        <v>70866.082844805875</v>
      </c>
      <c r="AE441" s="152"/>
      <c r="AF441" s="164">
        <f>IF(AND($C440=12,$D440=Input!$C$6),0,IF($E441="","",IF($B441&gt;Input!$C$9,$AC441,0)+AF442/(1+$L441)*$R441))</f>
        <v>70866.082844805875</v>
      </c>
      <c r="AG441" s="164">
        <f>IF(AND($C440=12,$D440=Input!$C$6),0,IF($E441="","",(IF($B441&gt;Input!$C$9,$X441,0)+AG442)/(1+$L441)*$R441))</f>
        <v>36839.726534325011</v>
      </c>
      <c r="AH441" s="160">
        <f t="shared" si="131"/>
        <v>2.0950137211446997</v>
      </c>
      <c r="AI441" s="160">
        <f>IF($E441="","",MIN(Input!$C$61/AH441,1))</f>
        <v>0.64438718771845094</v>
      </c>
      <c r="AJ441" s="152"/>
      <c r="AK441" s="164">
        <f>IF(AND($C440=12,$D440=Input!$C$6),0,IF($E441="","",IF($B441&gt;Input!$C$9,$AC441*AI441,0)+AK442/(1+$L441)*$R441))</f>
        <v>45665.195828987191</v>
      </c>
      <c r="AL441" s="164">
        <f>IF(AND($C440=12,$D440=Input!$C$6),0,IF($E441="","",IF($B441&gt;Input!$C$9,0,$AC441)+AL442/(1+$L441)*$R441))</f>
        <v>0</v>
      </c>
      <c r="AM441" s="160">
        <f t="shared" si="132"/>
        <v>1.1382936520186004</v>
      </c>
      <c r="AN441" s="164">
        <f>IF($E441="","",IF($B441&gt;Input!$C$9,$AI441*$AC441,$AM441*$AC441))</f>
        <v>0</v>
      </c>
      <c r="AO441" s="164">
        <f>IF(AND($C440=12,$D440=Input!$C$6),0,IF($E441="","",$AN441+AO442/(1+$L441)*$R441))</f>
        <v>45665.195828987191</v>
      </c>
      <c r="AP441" s="152"/>
      <c r="AQ441" s="164">
        <f t="shared" si="133"/>
        <v>-8170.5964776460314</v>
      </c>
      <c r="AR441" s="164">
        <f t="shared" si="142"/>
        <v>-8098.7355533587997</v>
      </c>
      <c r="AS441" s="164">
        <f t="shared" si="143"/>
        <v>2366.507177033493</v>
      </c>
      <c r="AT441" s="164">
        <f t="shared" si="134"/>
        <v>2366.507177033493</v>
      </c>
      <c r="AU441" s="152"/>
      <c r="AV441" s="147">
        <f>'Deterministic Reserve'!BC441</f>
        <v>7.0834913062331273E-3</v>
      </c>
      <c r="AW441" s="164">
        <f t="shared" si="135"/>
        <v>2366.507177033493</v>
      </c>
      <c r="AX441" s="164">
        <f t="shared" si="136"/>
        <v>16.763133014655047</v>
      </c>
      <c r="AY441" s="152"/>
    </row>
    <row r="442" spans="1:51" s="150" customFormat="1" x14ac:dyDescent="0.25">
      <c r="A442" s="150">
        <f t="shared" si="144"/>
        <v>438</v>
      </c>
      <c r="B442" s="150">
        <f t="shared" si="145"/>
        <v>37</v>
      </c>
      <c r="C442" s="150">
        <f t="shared" si="146"/>
        <v>6</v>
      </c>
      <c r="D442" s="150">
        <f>IF(E442="","",Input!$C$4+B442-1)</f>
        <v>81</v>
      </c>
      <c r="E442" s="150">
        <f>IF(OR(AND(C441=12,D441=Input!$C$6),E441=""),"",1)</f>
        <v>1</v>
      </c>
      <c r="F442" s="150">
        <f>IF(E442="","",Input!$C$8+B442-1)</f>
        <v>2054</v>
      </c>
      <c r="G442" s="151">
        <f>IF(E442="","",MAX(0,Input!$C$9-B442))</f>
        <v>0</v>
      </c>
      <c r="H442" s="152">
        <f>IF(E442="","",Input!$C$3)</f>
        <v>100000</v>
      </c>
      <c r="I442" s="153">
        <f>IF(E442="","",HLOOKUP($B442,Input!$C$13:$BT$14,2))</f>
        <v>121.17700000000001</v>
      </c>
      <c r="J442" s="154"/>
      <c r="K442" s="155">
        <f>IF($E442="","",Input!$C$57)</f>
        <v>4.4999999999999998E-2</v>
      </c>
      <c r="L442" s="155">
        <f t="shared" si="137"/>
        <v>3.6748094004368514E-3</v>
      </c>
      <c r="M442" s="147">
        <f>IF($E442="","",VLOOKUP(IF($B442&lt;=Input!$C$7,$B442,26),'Mortality Tables'!$A$72:$CA$97,IF($B442&lt;=Input!$C$7+1,Input!$C$4-16,$D442-Input!$C$7-16),0)/1000)</f>
        <v>4.9460000000000004E-2</v>
      </c>
      <c r="N442" s="147">
        <f t="shared" si="126"/>
        <v>4.2181646815462326E-3</v>
      </c>
      <c r="O442" s="157">
        <f>IF($E442="","",IF($C442=12,IF($B442&lt;Input!$C$9,Input!$C$54,IF($B442=Input!$C$9,Input!$C$55,Input!$C$56)),0%))</f>
        <v>0</v>
      </c>
      <c r="P442" s="167">
        <f>IF($E442="","",IF($B442=1,Input!$C$59,IF($B442&lt;6,Input!$C$60,0%)))</f>
        <v>0</v>
      </c>
      <c r="Q442" s="162">
        <f>IF($E442="","",Input!$C$58)</f>
        <v>2.5</v>
      </c>
      <c r="R442" s="156">
        <f t="shared" si="138"/>
        <v>0.99578183531845377</v>
      </c>
      <c r="S442" s="154">
        <f t="shared" si="127"/>
        <v>7.5121723865437182E-3</v>
      </c>
      <c r="T442" s="152"/>
      <c r="U442" s="150">
        <f t="shared" si="139"/>
        <v>0</v>
      </c>
      <c r="V442" s="150">
        <f t="shared" si="140"/>
        <v>0</v>
      </c>
      <c r="W442" s="168">
        <f t="shared" si="141"/>
        <v>0</v>
      </c>
      <c r="X442" s="163">
        <f t="shared" si="128"/>
        <v>421.81646815462324</v>
      </c>
      <c r="Y442" s="152"/>
      <c r="Z442" s="164">
        <f>IF(AND($C441=12,$D441=Input!$C$6),0,IF($E442="","",V442+Z443/(1+L442)*R442))</f>
        <v>86503.618640428715</v>
      </c>
      <c r="AA442" s="164">
        <f>IF(OR($M442=1,AND($C441=12,$D441=Input!$C$6)),0,IF($E442="","",W442+(X442+AA443*$R442)/(1+$L442)))</f>
        <v>37368.193583736553</v>
      </c>
      <c r="AB442" s="160">
        <f t="shared" si="129"/>
        <v>0.825720328500681</v>
      </c>
      <c r="AC442" s="164">
        <f t="shared" si="130"/>
        <v>0</v>
      </c>
      <c r="AD442" s="164">
        <f>IF(AND($C441=12,$D441=Input!$C$6),0,IF($E442="","",$AC442+AD443/(1+$L442)*$R442))</f>
        <v>71427.796400272404</v>
      </c>
      <c r="AE442" s="152"/>
      <c r="AF442" s="164">
        <f>IF(AND($C441=12,$D441=Input!$C$6),0,IF($E442="","",IF($B442&gt;Input!$C$9,$AC442,0)+AF443/(1+$L442)*$R442))</f>
        <v>71427.796400272404</v>
      </c>
      <c r="AG442" s="164">
        <f>IF(AND($C441=12,$D441=Input!$C$6),0,IF($E442="","",(IF($B442&gt;Input!$C$9,$X442,0)+AG443)/(1+$L442)*$R442))</f>
        <v>36709.916805407382</v>
      </c>
      <c r="AH442" s="160">
        <f t="shared" si="131"/>
        <v>2.0950137211446997</v>
      </c>
      <c r="AI442" s="160">
        <f>IF($E442="","",MIN(Input!$C$61/AH442,1))</f>
        <v>0.64438718771845094</v>
      </c>
      <c r="AJ442" s="152"/>
      <c r="AK442" s="164">
        <f>IF(AND($C441=12,$D441=Input!$C$6),0,IF($E442="","",IF($B442&gt;Input!$C$9,$AC442*AI442,0)+AK443/(1+$L442)*$R442))</f>
        <v>46027.156847297607</v>
      </c>
      <c r="AL442" s="164">
        <f>IF(AND($C441=12,$D441=Input!$C$6),0,IF($E442="","",IF($B442&gt;Input!$C$9,0,$AC442)+AL443/(1+$L442)*$R442))</f>
        <v>0</v>
      </c>
      <c r="AM442" s="160">
        <f t="shared" si="132"/>
        <v>1.1382936520186004</v>
      </c>
      <c r="AN442" s="164">
        <f>IF($E442="","",IF($B442&gt;Input!$C$9,$AI442*$AC442,$AM442*$AC442))</f>
        <v>0</v>
      </c>
      <c r="AO442" s="164">
        <f>IF(AND($C441=12,$D441=Input!$C$6),0,IF($E442="","",$AN442+AO443/(1+$L442)*$R442))</f>
        <v>46027.156847297607</v>
      </c>
      <c r="AP442" s="152"/>
      <c r="AQ442" s="164">
        <f t="shared" si="133"/>
        <v>-8658.9632635610542</v>
      </c>
      <c r="AR442" s="164">
        <f t="shared" si="142"/>
        <v>-8098.7355533587997</v>
      </c>
      <c r="AS442" s="164">
        <f t="shared" si="143"/>
        <v>2366.507177033493</v>
      </c>
      <c r="AT442" s="164">
        <f t="shared" si="134"/>
        <v>2366.507177033493</v>
      </c>
      <c r="AU442" s="152"/>
      <c r="AV442" s="147">
        <f>'Deterministic Reserve'!BC442</f>
        <v>7.0121419828438666E-3</v>
      </c>
      <c r="AW442" s="164">
        <f t="shared" si="135"/>
        <v>2366.507177033493</v>
      </c>
      <c r="AX442" s="164">
        <f t="shared" si="136"/>
        <v>16.594284328777878</v>
      </c>
      <c r="AY442" s="152"/>
    </row>
    <row r="443" spans="1:51" s="150" customFormat="1" x14ac:dyDescent="0.25">
      <c r="A443" s="150">
        <f t="shared" si="144"/>
        <v>439</v>
      </c>
      <c r="B443" s="150">
        <f t="shared" si="145"/>
        <v>37</v>
      </c>
      <c r="C443" s="150">
        <f t="shared" si="146"/>
        <v>7</v>
      </c>
      <c r="D443" s="150">
        <f>IF(E443="","",Input!$C$4+B443-1)</f>
        <v>81</v>
      </c>
      <c r="E443" s="150">
        <f>IF(OR(AND(C442=12,D442=Input!$C$6),E442=""),"",1)</f>
        <v>1</v>
      </c>
      <c r="F443" s="150">
        <f>IF(E443="","",Input!$C$8+B443-1)</f>
        <v>2054</v>
      </c>
      <c r="G443" s="151">
        <f>IF(E443="","",MAX(0,Input!$C$9-B443))</f>
        <v>0</v>
      </c>
      <c r="H443" s="152">
        <f>IF(E443="","",Input!$C$3)</f>
        <v>100000</v>
      </c>
      <c r="I443" s="153">
        <f>IF(E443="","",HLOOKUP($B443,Input!$C$13:$BT$14,2))</f>
        <v>121.17700000000001</v>
      </c>
      <c r="J443" s="154"/>
      <c r="K443" s="155">
        <f>IF($E443="","",Input!$C$57)</f>
        <v>4.4999999999999998E-2</v>
      </c>
      <c r="L443" s="155">
        <f t="shared" si="137"/>
        <v>3.6748094004368514E-3</v>
      </c>
      <c r="M443" s="147">
        <f>IF($E443="","",VLOOKUP(IF($B443&lt;=Input!$C$7,$B443,26),'Mortality Tables'!$A$72:$CA$97,IF($B443&lt;=Input!$C$7+1,Input!$C$4-16,$D443-Input!$C$7-16),0)/1000)</f>
        <v>4.9460000000000004E-2</v>
      </c>
      <c r="N443" s="147">
        <f t="shared" si="126"/>
        <v>4.2181646815462326E-3</v>
      </c>
      <c r="O443" s="157">
        <f>IF($E443="","",IF($C443=12,IF($B443&lt;Input!$C$9,Input!$C$54,IF($B443=Input!$C$9,Input!$C$55,Input!$C$56)),0%))</f>
        <v>0</v>
      </c>
      <c r="P443" s="167">
        <f>IF($E443="","",IF($B443=1,Input!$C$59,IF($B443&lt;6,Input!$C$60,0%)))</f>
        <v>0</v>
      </c>
      <c r="Q443" s="162">
        <f>IF($E443="","",Input!$C$58)</f>
        <v>2.5</v>
      </c>
      <c r="R443" s="156">
        <f t="shared" si="138"/>
        <v>0.99578183531845377</v>
      </c>
      <c r="S443" s="154">
        <f t="shared" si="127"/>
        <v>7.4804848063011126E-3</v>
      </c>
      <c r="T443" s="152"/>
      <c r="U443" s="150">
        <f t="shared" si="139"/>
        <v>0</v>
      </c>
      <c r="V443" s="150">
        <f t="shared" si="140"/>
        <v>0</v>
      </c>
      <c r="W443" s="168">
        <f t="shared" si="141"/>
        <v>0</v>
      </c>
      <c r="X443" s="163">
        <f t="shared" si="128"/>
        <v>421.81646815462324</v>
      </c>
      <c r="Y443" s="152"/>
      <c r="Z443" s="164">
        <f>IF(AND($C442=12,$D442=Input!$C$6),0,IF($E443="","",V443+Z444/(1+L443)*R443))</f>
        <v>87189.281700056934</v>
      </c>
      <c r="AA443" s="164">
        <f>IF(OR($M443=1,AND($C442=12,$D442=Input!$C$6)),0,IF($E443="","",W443+(X443+AA444*$R443)/(1+$L443)))</f>
        <v>37240.785872320434</v>
      </c>
      <c r="AB443" s="160">
        <f t="shared" si="129"/>
        <v>0.825720328500681</v>
      </c>
      <c r="AC443" s="164">
        <f t="shared" si="130"/>
        <v>0</v>
      </c>
      <c r="AD443" s="164">
        <f>IF(AND($C442=12,$D442=Input!$C$6),0,IF($E443="","",$AC443+AD444/(1+$L443)*$R443))</f>
        <v>71993.962327109388</v>
      </c>
      <c r="AE443" s="152"/>
      <c r="AF443" s="164">
        <f>IF(AND($C442=12,$D442=Input!$C$6),0,IF($E443="","",IF($B443&gt;Input!$C$9,$AC443,0)+AF444/(1+$L443)*$R443))</f>
        <v>71993.962327109388</v>
      </c>
      <c r="AG443" s="164">
        <f>IF(AND($C442=12,$D442=Input!$C$6),0,IF($E443="","",(IF($B443&gt;Input!$C$9,$X443,0)+AG444)/(1+$L443)*$R443))</f>
        <v>36579.078151488713</v>
      </c>
      <c r="AH443" s="160">
        <f t="shared" si="131"/>
        <v>2.0950137211446997</v>
      </c>
      <c r="AI443" s="160">
        <f>IF($E443="","",MIN(Input!$C$61/AH443,1))</f>
        <v>0.64438718771845094</v>
      </c>
      <c r="AJ443" s="152"/>
      <c r="AK443" s="164">
        <f>IF(AND($C442=12,$D442=Input!$C$6),0,IF($E443="","",IF($B443&gt;Input!$C$9,$AC443*AI443,0)+AK444/(1+$L443)*$R443))</f>
        <v>46391.986916674112</v>
      </c>
      <c r="AL443" s="164">
        <f>IF(AND($C442=12,$D442=Input!$C$6),0,IF($E443="","",IF($B443&gt;Input!$C$9,0,$AC443)+AL444/(1+$L443)*$R443))</f>
        <v>0</v>
      </c>
      <c r="AM443" s="160">
        <f t="shared" si="132"/>
        <v>1.1382936520186004</v>
      </c>
      <c r="AN443" s="164">
        <f>IF($E443="","",IF($B443&gt;Input!$C$9,$AI443*$AC443,$AM443*$AC443))</f>
        <v>0</v>
      </c>
      <c r="AO443" s="164">
        <f>IF(AND($C442=12,$D442=Input!$C$6),0,IF($E443="","",$AN443+AO444/(1+$L443)*$R443))</f>
        <v>46391.986916674112</v>
      </c>
      <c r="AP443" s="152"/>
      <c r="AQ443" s="164">
        <f t="shared" si="133"/>
        <v>-9151.2010443536783</v>
      </c>
      <c r="AR443" s="164">
        <f t="shared" si="142"/>
        <v>-8098.7355533587997</v>
      </c>
      <c r="AS443" s="164">
        <f t="shared" si="143"/>
        <v>2366.507177033493</v>
      </c>
      <c r="AT443" s="164">
        <f t="shared" si="134"/>
        <v>2366.507177033493</v>
      </c>
      <c r="AU443" s="152"/>
      <c r="AV443" s="147">
        <f>'Deterministic Reserve'!BC443</f>
        <v>6.9415113341487677E-3</v>
      </c>
      <c r="AW443" s="164">
        <f t="shared" si="135"/>
        <v>2366.507177033493</v>
      </c>
      <c r="AX443" s="164">
        <f t="shared" si="136"/>
        <v>16.427136391722396</v>
      </c>
      <c r="AY443" s="152"/>
    </row>
    <row r="444" spans="1:51" s="150" customFormat="1" x14ac:dyDescent="0.25">
      <c r="A444" s="150">
        <f t="shared" si="144"/>
        <v>440</v>
      </c>
      <c r="B444" s="150">
        <f t="shared" si="145"/>
        <v>37</v>
      </c>
      <c r="C444" s="150">
        <f t="shared" si="146"/>
        <v>8</v>
      </c>
      <c r="D444" s="150">
        <f>IF(E444="","",Input!$C$4+B444-1)</f>
        <v>81</v>
      </c>
      <c r="E444" s="150">
        <f>IF(OR(AND(C443=12,D443=Input!$C$6),E443=""),"",1)</f>
        <v>1</v>
      </c>
      <c r="F444" s="150">
        <f>IF(E444="","",Input!$C$8+B444-1)</f>
        <v>2054</v>
      </c>
      <c r="G444" s="151">
        <f>IF(E444="","",MAX(0,Input!$C$9-B444))</f>
        <v>0</v>
      </c>
      <c r="H444" s="152">
        <f>IF(E444="","",Input!$C$3)</f>
        <v>100000</v>
      </c>
      <c r="I444" s="153">
        <f>IF(E444="","",HLOOKUP($B444,Input!$C$13:$BT$14,2))</f>
        <v>121.17700000000001</v>
      </c>
      <c r="J444" s="154"/>
      <c r="K444" s="155">
        <f>IF($E444="","",Input!$C$57)</f>
        <v>4.4999999999999998E-2</v>
      </c>
      <c r="L444" s="155">
        <f t="shared" si="137"/>
        <v>3.6748094004368514E-3</v>
      </c>
      <c r="M444" s="147">
        <f>IF($E444="","",VLOOKUP(IF($B444&lt;=Input!$C$7,$B444,26),'Mortality Tables'!$A$72:$CA$97,IF($B444&lt;=Input!$C$7+1,Input!$C$4-16,$D444-Input!$C$7-16),0)/1000)</f>
        <v>4.9460000000000004E-2</v>
      </c>
      <c r="N444" s="147">
        <f t="shared" si="126"/>
        <v>4.2181646815462326E-3</v>
      </c>
      <c r="O444" s="157">
        <f>IF($E444="","",IF($C444=12,IF($B444&lt;Input!$C$9,Input!$C$54,IF($B444=Input!$C$9,Input!$C$55,Input!$C$56)),0%))</f>
        <v>0</v>
      </c>
      <c r="P444" s="167">
        <f>IF($E444="","",IF($B444=1,Input!$C$59,IF($B444&lt;6,Input!$C$60,0%)))</f>
        <v>0</v>
      </c>
      <c r="Q444" s="162">
        <f>IF($E444="","",Input!$C$58)</f>
        <v>2.5</v>
      </c>
      <c r="R444" s="156">
        <f t="shared" si="138"/>
        <v>0.99578183531845377</v>
      </c>
      <c r="S444" s="154">
        <f t="shared" si="127"/>
        <v>7.4489308894903298E-3</v>
      </c>
      <c r="T444" s="152"/>
      <c r="U444" s="150">
        <f t="shared" si="139"/>
        <v>0</v>
      </c>
      <c r="V444" s="150">
        <f t="shared" si="140"/>
        <v>0</v>
      </c>
      <c r="W444" s="168">
        <f t="shared" si="141"/>
        <v>0</v>
      </c>
      <c r="X444" s="163">
        <f t="shared" si="128"/>
        <v>421.81646815462324</v>
      </c>
      <c r="Y444" s="152"/>
      <c r="Z444" s="164">
        <f>IF(AND($C443=12,$D443=Input!$C$6),0,IF($E444="","",V444+Z445/(1+L444)*R444))</f>
        <v>87880.379605518508</v>
      </c>
      <c r="AA444" s="164">
        <f>IF(OR($M444=1,AND($C443=12,$D443=Input!$C$6)),0,IF($E444="","",W444+(X444+AA445*$R444)/(1+$L444)))</f>
        <v>37112.368275276371</v>
      </c>
      <c r="AB444" s="160">
        <f t="shared" si="129"/>
        <v>0.825720328500681</v>
      </c>
      <c r="AC444" s="164">
        <f t="shared" si="130"/>
        <v>0</v>
      </c>
      <c r="AD444" s="164">
        <f>IF(AND($C443=12,$D443=Input!$C$6),0,IF($E444="","",$AC444+AD445/(1+$L444)*$R444))</f>
        <v>72564.615916633265</v>
      </c>
      <c r="AE444" s="152"/>
      <c r="AF444" s="164">
        <f>IF(AND($C443=12,$D443=Input!$C$6),0,IF($E444="","",IF($B444&gt;Input!$C$9,$AC444,0)+AF445/(1+$L444)*$R444))</f>
        <v>72564.615916633265</v>
      </c>
      <c r="AG444" s="164">
        <f>IF(AND($C443=12,$D443=Input!$C$6),0,IF($E444="","",(IF($B444&gt;Input!$C$9,$X444,0)+AG445)/(1+$L444)*$R444))</f>
        <v>36447.202416888642</v>
      </c>
      <c r="AH444" s="160">
        <f t="shared" si="131"/>
        <v>2.0950137211446997</v>
      </c>
      <c r="AI444" s="160">
        <f>IF($E444="","",MIN(Input!$C$61/AH444,1))</f>
        <v>0.64438718771845094</v>
      </c>
      <c r="AJ444" s="152"/>
      <c r="AK444" s="164">
        <f>IF(AND($C443=12,$D443=Input!$C$6),0,IF($E444="","",IF($B444&gt;Input!$C$9,$AC444*AI444,0)+AK445/(1+$L444)*$R444))</f>
        <v>46759.708778388835</v>
      </c>
      <c r="AL444" s="164">
        <f>IF(AND($C443=12,$D443=Input!$C$6),0,IF($E444="","",IF($B444&gt;Input!$C$9,0,$AC444)+AL445/(1+$L444)*$R444))</f>
        <v>0</v>
      </c>
      <c r="AM444" s="160">
        <f t="shared" si="132"/>
        <v>1.1382936520186004</v>
      </c>
      <c r="AN444" s="164">
        <f>IF($E444="","",IF($B444&gt;Input!$C$9,$AI444*$AC444,$AM444*$AC444))</f>
        <v>0</v>
      </c>
      <c r="AO444" s="164">
        <f>IF(AND($C443=12,$D443=Input!$C$6),0,IF($E444="","",$AN444+AO445/(1+$L444)*$R444))</f>
        <v>46759.708778388835</v>
      </c>
      <c r="AP444" s="152"/>
      <c r="AQ444" s="164">
        <f t="shared" si="133"/>
        <v>-9647.3405031124639</v>
      </c>
      <c r="AR444" s="164">
        <f t="shared" si="142"/>
        <v>-8098.7355533587997</v>
      </c>
      <c r="AS444" s="164">
        <f t="shared" si="143"/>
        <v>2366.507177033493</v>
      </c>
      <c r="AT444" s="164">
        <f t="shared" si="134"/>
        <v>2366.507177033493</v>
      </c>
      <c r="AU444" s="152"/>
      <c r="AV444" s="147">
        <f>'Deterministic Reserve'!BC444</f>
        <v>6.8715921212100031E-3</v>
      </c>
      <c r="AW444" s="164">
        <f t="shared" si="135"/>
        <v>2366.507177033493</v>
      </c>
      <c r="AX444" s="164">
        <f t="shared" si="136"/>
        <v>16.261672072490278</v>
      </c>
      <c r="AY444" s="152"/>
    </row>
    <row r="445" spans="1:51" s="150" customFormat="1" x14ac:dyDescent="0.25">
      <c r="A445" s="150">
        <f t="shared" si="144"/>
        <v>441</v>
      </c>
      <c r="B445" s="150">
        <f t="shared" si="145"/>
        <v>37</v>
      </c>
      <c r="C445" s="150">
        <f t="shared" si="146"/>
        <v>9</v>
      </c>
      <c r="D445" s="150">
        <f>IF(E445="","",Input!$C$4+B445-1)</f>
        <v>81</v>
      </c>
      <c r="E445" s="150">
        <f>IF(OR(AND(C444=12,D444=Input!$C$6),E444=""),"",1)</f>
        <v>1</v>
      </c>
      <c r="F445" s="150">
        <f>IF(E445="","",Input!$C$8+B445-1)</f>
        <v>2054</v>
      </c>
      <c r="G445" s="151">
        <f>IF(E445="","",MAX(0,Input!$C$9-B445))</f>
        <v>0</v>
      </c>
      <c r="H445" s="152">
        <f>IF(E445="","",Input!$C$3)</f>
        <v>100000</v>
      </c>
      <c r="I445" s="153">
        <f>IF(E445="","",HLOOKUP($B445,Input!$C$13:$BT$14,2))</f>
        <v>121.17700000000001</v>
      </c>
      <c r="J445" s="154"/>
      <c r="K445" s="155">
        <f>IF($E445="","",Input!$C$57)</f>
        <v>4.4999999999999998E-2</v>
      </c>
      <c r="L445" s="155">
        <f t="shared" si="137"/>
        <v>3.6748094004368514E-3</v>
      </c>
      <c r="M445" s="147">
        <f>IF($E445="","",VLOOKUP(IF($B445&lt;=Input!$C$7,$B445,26),'Mortality Tables'!$A$72:$CA$97,IF($B445&lt;=Input!$C$7+1,Input!$C$4-16,$D445-Input!$C$7-16),0)/1000)</f>
        <v>4.9460000000000004E-2</v>
      </c>
      <c r="N445" s="147">
        <f t="shared" si="126"/>
        <v>4.2181646815462326E-3</v>
      </c>
      <c r="O445" s="157">
        <f>IF($E445="","",IF($C445=12,IF($B445&lt;Input!$C$9,Input!$C$54,IF($B445=Input!$C$9,Input!$C$55,Input!$C$56)),0%))</f>
        <v>0</v>
      </c>
      <c r="P445" s="167">
        <f>IF($E445="","",IF($B445=1,Input!$C$59,IF($B445&lt;6,Input!$C$60,0%)))</f>
        <v>0</v>
      </c>
      <c r="Q445" s="162">
        <f>IF($E445="","",Input!$C$58)</f>
        <v>2.5</v>
      </c>
      <c r="R445" s="156">
        <f t="shared" si="138"/>
        <v>0.99578183531845377</v>
      </c>
      <c r="S445" s="154">
        <f t="shared" si="127"/>
        <v>7.417510072297003E-3</v>
      </c>
      <c r="T445" s="152"/>
      <c r="U445" s="150">
        <f t="shared" si="139"/>
        <v>0</v>
      </c>
      <c r="V445" s="150">
        <f t="shared" si="140"/>
        <v>0</v>
      </c>
      <c r="W445" s="168">
        <f t="shared" si="141"/>
        <v>0</v>
      </c>
      <c r="X445" s="163">
        <f t="shared" si="128"/>
        <v>421.81646815462324</v>
      </c>
      <c r="Y445" s="152"/>
      <c r="Z445" s="164">
        <f>IF(AND($C444=12,$D444=Input!$C$6),0,IF($E445="","",V445+Z446/(1+L445)*R445))</f>
        <v>88576.955435624259</v>
      </c>
      <c r="AA445" s="164">
        <f>IF(OR($M445=1,AND($C444=12,$D444=Input!$C$6)),0,IF($E445="","",W445+(X445+AA446*$R445)/(1+$L445)))</f>
        <v>36982.932787837861</v>
      </c>
      <c r="AB445" s="160">
        <f t="shared" si="129"/>
        <v>0.825720328500681</v>
      </c>
      <c r="AC445" s="164">
        <f t="shared" si="130"/>
        <v>0</v>
      </c>
      <c r="AD445" s="164">
        <f>IF(AND($C444=12,$D444=Input!$C$6),0,IF($E445="","",$AC445+AD446/(1+$L445)*$R445))</f>
        <v>73139.792739893819</v>
      </c>
      <c r="AE445" s="152"/>
      <c r="AF445" s="164">
        <f>IF(AND($C444=12,$D444=Input!$C$6),0,IF($E445="","",IF($B445&gt;Input!$C$9,$AC445,0)+AF446/(1+$L445)*$R445))</f>
        <v>73139.792739893819</v>
      </c>
      <c r="AG445" s="164">
        <f>IF(AND($C444=12,$D444=Input!$C$6),0,IF($E445="","",(IF($B445&gt;Input!$C$9,$X445,0)+AG446)/(1+$L445)*$R445))</f>
        <v>36314.281381281544</v>
      </c>
      <c r="AH445" s="160">
        <f t="shared" si="131"/>
        <v>2.0950137211446997</v>
      </c>
      <c r="AI445" s="160">
        <f>IF($E445="","",MIN(Input!$C$61/AH445,1))</f>
        <v>0.64438718771845094</v>
      </c>
      <c r="AJ445" s="152"/>
      <c r="AK445" s="164">
        <f>IF(AND($C444=12,$D444=Input!$C$6),0,IF($E445="","",IF($B445&gt;Input!$C$9,$AC445*AI445,0)+AK446/(1+$L445)*$R445))</f>
        <v>47130.345353970537</v>
      </c>
      <c r="AL445" s="164">
        <f>IF(AND($C444=12,$D444=Input!$C$6),0,IF($E445="","",IF($B445&gt;Input!$C$9,0,$AC445)+AL446/(1+$L445)*$R445))</f>
        <v>0</v>
      </c>
      <c r="AM445" s="160">
        <f t="shared" si="132"/>
        <v>1.1382936520186004</v>
      </c>
      <c r="AN445" s="164">
        <f>IF($E445="","",IF($B445&gt;Input!$C$9,$AI445*$AC445,$AM445*$AC445))</f>
        <v>0</v>
      </c>
      <c r="AO445" s="164">
        <f>IF(AND($C444=12,$D444=Input!$C$6),0,IF($E445="","",$AN445+AO446/(1+$L445)*$R445))</f>
        <v>47130.345353970537</v>
      </c>
      <c r="AP445" s="152"/>
      <c r="AQ445" s="164">
        <f t="shared" si="133"/>
        <v>-10147.412566132676</v>
      </c>
      <c r="AR445" s="164">
        <f t="shared" si="142"/>
        <v>-8098.7355533587997</v>
      </c>
      <c r="AS445" s="164">
        <f t="shared" si="143"/>
        <v>2366.507177033493</v>
      </c>
      <c r="AT445" s="164">
        <f t="shared" si="134"/>
        <v>2366.507177033493</v>
      </c>
      <c r="AU445" s="152"/>
      <c r="AV445" s="147">
        <f>'Deterministic Reserve'!BC445</f>
        <v>6.8023771780048236E-3</v>
      </c>
      <c r="AW445" s="164">
        <f t="shared" si="135"/>
        <v>2366.507177033493</v>
      </c>
      <c r="AX445" s="164">
        <f t="shared" si="136"/>
        <v>16.097874412637253</v>
      </c>
      <c r="AY445" s="152"/>
    </row>
    <row r="446" spans="1:51" s="150" customFormat="1" x14ac:dyDescent="0.25">
      <c r="A446" s="150">
        <f t="shared" si="144"/>
        <v>442</v>
      </c>
      <c r="B446" s="150">
        <f t="shared" si="145"/>
        <v>37</v>
      </c>
      <c r="C446" s="150">
        <f t="shared" si="146"/>
        <v>10</v>
      </c>
      <c r="D446" s="150">
        <f>IF(E446="","",Input!$C$4+B446-1)</f>
        <v>81</v>
      </c>
      <c r="E446" s="150">
        <f>IF(OR(AND(C445=12,D445=Input!$C$6),E445=""),"",1)</f>
        <v>1</v>
      </c>
      <c r="F446" s="150">
        <f>IF(E446="","",Input!$C$8+B446-1)</f>
        <v>2054</v>
      </c>
      <c r="G446" s="151">
        <f>IF(E446="","",MAX(0,Input!$C$9-B446))</f>
        <v>0</v>
      </c>
      <c r="H446" s="152">
        <f>IF(E446="","",Input!$C$3)</f>
        <v>100000</v>
      </c>
      <c r="I446" s="153">
        <f>IF(E446="","",HLOOKUP($B446,Input!$C$13:$BT$14,2))</f>
        <v>121.17700000000001</v>
      </c>
      <c r="J446" s="154"/>
      <c r="K446" s="155">
        <f>IF($E446="","",Input!$C$57)</f>
        <v>4.4999999999999998E-2</v>
      </c>
      <c r="L446" s="155">
        <f t="shared" si="137"/>
        <v>3.6748094004368514E-3</v>
      </c>
      <c r="M446" s="147">
        <f>IF($E446="","",VLOOKUP(IF($B446&lt;=Input!$C$7,$B446,26),'Mortality Tables'!$A$72:$CA$97,IF($B446&lt;=Input!$C$7+1,Input!$C$4-16,$D446-Input!$C$7-16),0)/1000)</f>
        <v>4.9460000000000004E-2</v>
      </c>
      <c r="N446" s="147">
        <f t="shared" si="126"/>
        <v>4.2181646815462326E-3</v>
      </c>
      <c r="O446" s="157">
        <f>IF($E446="","",IF($C446=12,IF($B446&lt;Input!$C$9,Input!$C$54,IF($B446=Input!$C$9,Input!$C$55,Input!$C$56)),0%))</f>
        <v>0</v>
      </c>
      <c r="P446" s="167">
        <f>IF($E446="","",IF($B446=1,Input!$C$59,IF($B446&lt;6,Input!$C$60,0%)))</f>
        <v>0</v>
      </c>
      <c r="Q446" s="162">
        <f>IF($E446="","",Input!$C$58)</f>
        <v>2.5</v>
      </c>
      <c r="R446" s="156">
        <f t="shared" si="138"/>
        <v>0.99578183531845377</v>
      </c>
      <c r="S446" s="154">
        <f t="shared" si="127"/>
        <v>7.3862217932850263E-3</v>
      </c>
      <c r="T446" s="152"/>
      <c r="U446" s="150">
        <f t="shared" si="139"/>
        <v>0</v>
      </c>
      <c r="V446" s="150">
        <f t="shared" si="140"/>
        <v>0</v>
      </c>
      <c r="W446" s="168">
        <f t="shared" si="141"/>
        <v>0</v>
      </c>
      <c r="X446" s="163">
        <f t="shared" si="128"/>
        <v>421.81646815462324</v>
      </c>
      <c r="Y446" s="152"/>
      <c r="Z446" s="164">
        <f>IF(AND($C445=12,$D445=Input!$C$6),0,IF($E446="","",V446+Z447/(1+L446)*R446))</f>
        <v>89279.052610645289</v>
      </c>
      <c r="AA446" s="164">
        <f>IF(OR($M446=1,AND($C445=12,$D445=Input!$C$6)),0,IF($E446="","",W446+(X446+AA447*$R446)/(1+$L446)))</f>
        <v>36852.471341789336</v>
      </c>
      <c r="AB446" s="160">
        <f t="shared" si="129"/>
        <v>0.825720328500681</v>
      </c>
      <c r="AC446" s="164">
        <f t="shared" si="130"/>
        <v>0</v>
      </c>
      <c r="AD446" s="164">
        <f>IF(AND($C445=12,$D445=Input!$C$6),0,IF($E446="","",$AC446+AD447/(1+$L446)*$R446))</f>
        <v>73719.528649891596</v>
      </c>
      <c r="AE446" s="152"/>
      <c r="AF446" s="164">
        <f>IF(AND($C445=12,$D445=Input!$C$6),0,IF($E446="","",IF($B446&gt;Input!$C$9,$AC446,0)+AF447/(1+$L446)*$R446))</f>
        <v>73719.528649891596</v>
      </c>
      <c r="AG446" s="164">
        <f>IF(AND($C445=12,$D445=Input!$C$6),0,IF($E446="","",(IF($B446&gt;Input!$C$9,$X446,0)+AG447)/(1+$L446)*$R446))</f>
        <v>36180.306759184117</v>
      </c>
      <c r="AH446" s="160">
        <f t="shared" si="131"/>
        <v>2.0950137211446997</v>
      </c>
      <c r="AI446" s="160">
        <f>IF($E446="","",MIN(Input!$C$61/AH446,1))</f>
        <v>0.64438718771845094</v>
      </c>
      <c r="AJ446" s="152"/>
      <c r="AK446" s="164">
        <f>IF(AND($C445=12,$D445=Input!$C$6),0,IF($E446="","",IF($B446&gt;Input!$C$9,$AC446*AI446,0)+AK447/(1+$L446)*$R446))</f>
        <v>47503.919746633394</v>
      </c>
      <c r="AL446" s="164">
        <f>IF(AND($C445=12,$D445=Input!$C$6),0,IF($E446="","",IF($B446&gt;Input!$C$9,0,$AC446)+AL447/(1+$L446)*$R446))</f>
        <v>0</v>
      </c>
      <c r="AM446" s="160">
        <f t="shared" si="132"/>
        <v>1.1382936520186004</v>
      </c>
      <c r="AN446" s="164">
        <f>IF($E446="","",IF($B446&gt;Input!$C$9,$AI446*$AC446,$AM446*$AC446))</f>
        <v>0</v>
      </c>
      <c r="AO446" s="164">
        <f>IF(AND($C445=12,$D445=Input!$C$6),0,IF($E446="","",$AN446+AO447/(1+$L446)*$R446))</f>
        <v>47503.919746633394</v>
      </c>
      <c r="AP446" s="152"/>
      <c r="AQ446" s="164">
        <f t="shared" si="133"/>
        <v>-10651.448404844057</v>
      </c>
      <c r="AR446" s="164">
        <f t="shared" si="142"/>
        <v>-8098.7355533587997</v>
      </c>
      <c r="AS446" s="164">
        <f t="shared" si="143"/>
        <v>2366.507177033493</v>
      </c>
      <c r="AT446" s="164">
        <f t="shared" si="134"/>
        <v>2366.507177033493</v>
      </c>
      <c r="AU446" s="152"/>
      <c r="AV446" s="147">
        <f>'Deterministic Reserve'!BC446</f>
        <v>6.7338594106911096E-3</v>
      </c>
      <c r="AW446" s="164">
        <f t="shared" si="135"/>
        <v>2366.507177033493</v>
      </c>
      <c r="AX446" s="164">
        <f t="shared" si="136"/>
        <v>15.93572662453504</v>
      </c>
      <c r="AY446" s="152"/>
    </row>
    <row r="447" spans="1:51" s="150" customFormat="1" x14ac:dyDescent="0.25">
      <c r="A447" s="150">
        <f t="shared" si="144"/>
        <v>443</v>
      </c>
      <c r="B447" s="150">
        <f t="shared" si="145"/>
        <v>37</v>
      </c>
      <c r="C447" s="150">
        <f t="shared" si="146"/>
        <v>11</v>
      </c>
      <c r="D447" s="150">
        <f>IF(E447="","",Input!$C$4+B447-1)</f>
        <v>81</v>
      </c>
      <c r="E447" s="150">
        <f>IF(OR(AND(C446=12,D446=Input!$C$6),E446=""),"",1)</f>
        <v>1</v>
      </c>
      <c r="F447" s="150">
        <f>IF(E447="","",Input!$C$8+B447-1)</f>
        <v>2054</v>
      </c>
      <c r="G447" s="151">
        <f>IF(E447="","",MAX(0,Input!$C$9-B447))</f>
        <v>0</v>
      </c>
      <c r="H447" s="152">
        <f>IF(E447="","",Input!$C$3)</f>
        <v>100000</v>
      </c>
      <c r="I447" s="153">
        <f>IF(E447="","",HLOOKUP($B447,Input!$C$13:$BT$14,2))</f>
        <v>121.17700000000001</v>
      </c>
      <c r="J447" s="154"/>
      <c r="K447" s="155">
        <f>IF($E447="","",Input!$C$57)</f>
        <v>4.4999999999999998E-2</v>
      </c>
      <c r="L447" s="155">
        <f t="shared" si="137"/>
        <v>3.6748094004368514E-3</v>
      </c>
      <c r="M447" s="147">
        <f>IF($E447="","",VLOOKUP(IF($B447&lt;=Input!$C$7,$B447,26),'Mortality Tables'!$A$72:$CA$97,IF($B447&lt;=Input!$C$7+1,Input!$C$4-16,$D447-Input!$C$7-16),0)/1000)</f>
        <v>4.9460000000000004E-2</v>
      </c>
      <c r="N447" s="147">
        <f t="shared" si="126"/>
        <v>4.2181646815462326E-3</v>
      </c>
      <c r="O447" s="157">
        <f>IF($E447="","",IF($C447=12,IF($B447&lt;Input!$C$9,Input!$C$54,IF($B447=Input!$C$9,Input!$C$55,Input!$C$56)),0%))</f>
        <v>0</v>
      </c>
      <c r="P447" s="167">
        <f>IF($E447="","",IF($B447=1,Input!$C$59,IF($B447&lt;6,Input!$C$60,0%)))</f>
        <v>0</v>
      </c>
      <c r="Q447" s="162">
        <f>IF($E447="","",Input!$C$58)</f>
        <v>2.5</v>
      </c>
      <c r="R447" s="156">
        <f t="shared" si="138"/>
        <v>0.99578183531845377</v>
      </c>
      <c r="S447" s="154">
        <f t="shared" si="127"/>
        <v>7.3550654933865244E-3</v>
      </c>
      <c r="T447" s="152"/>
      <c r="U447" s="150">
        <f t="shared" si="139"/>
        <v>0</v>
      </c>
      <c r="V447" s="150">
        <f t="shared" si="140"/>
        <v>0</v>
      </c>
      <c r="W447" s="168">
        <f t="shared" si="141"/>
        <v>0</v>
      </c>
      <c r="X447" s="163">
        <f t="shared" si="128"/>
        <v>421.81646815462324</v>
      </c>
      <c r="Y447" s="152"/>
      <c r="Z447" s="164">
        <f>IF(AND($C446=12,$D446=Input!$C$6),0,IF($E447="","",V447+Z448/(1+L447)*R447))</f>
        <v>89986.714895019526</v>
      </c>
      <c r="AA447" s="164">
        <f>IF(OR($M447=1,AND($C446=12,$D446=Input!$C$6)),0,IF($E447="","",W447+(X447+AA448*$R447)/(1+$L447)))</f>
        <v>36720.975804963258</v>
      </c>
      <c r="AB447" s="160">
        <f t="shared" si="129"/>
        <v>0.825720328500681</v>
      </c>
      <c r="AC447" s="164">
        <f t="shared" si="130"/>
        <v>0</v>
      </c>
      <c r="AD447" s="164">
        <f>IF(AND($C446=12,$D446=Input!$C$6),0,IF($E447="","",$AC447+AD448/(1+$L447)*$R447))</f>
        <v>74303.85978381263</v>
      </c>
      <c r="AE447" s="152"/>
      <c r="AF447" s="164">
        <f>IF(AND($C446=12,$D446=Input!$C$6),0,IF($E447="","",IF($B447&gt;Input!$C$9,$AC447,0)+AF448/(1+$L447)*$R447))</f>
        <v>74303.85978381263</v>
      </c>
      <c r="AG447" s="164">
        <f>IF(AND($C446=12,$D446=Input!$C$6),0,IF($E447="","",(IF($B447&gt;Input!$C$9,$X447,0)+AG448)/(1+$L447)*$R447))</f>
        <v>36045.270199438957</v>
      </c>
      <c r="AH447" s="160">
        <f t="shared" si="131"/>
        <v>2.0950137211446997</v>
      </c>
      <c r="AI447" s="160">
        <f>IF($E447="","",MIN(Input!$C$61/AH447,1))</f>
        <v>0.64438718771845094</v>
      </c>
      <c r="AJ447" s="152"/>
      <c r="AK447" s="164">
        <f>IF(AND($C446=12,$D446=Input!$C$6),0,IF($E447="","",IF($B447&gt;Input!$C$9,$AC447*AI447,0)+AK448/(1+$L447)*$R447))</f>
        <v>47880.455242717107</v>
      </c>
      <c r="AL447" s="164">
        <f>IF(AND($C446=12,$D446=Input!$C$6),0,IF($E447="","",IF($B447&gt;Input!$C$9,0,$AC447)+AL448/(1+$L447)*$R447))</f>
        <v>0</v>
      </c>
      <c r="AM447" s="160">
        <f t="shared" si="132"/>
        <v>1.1382936520186004</v>
      </c>
      <c r="AN447" s="164">
        <f>IF($E447="","",IF($B447&gt;Input!$C$9,$AI447*$AC447,$AM447*$AC447))</f>
        <v>0</v>
      </c>
      <c r="AO447" s="164">
        <f>IF(AND($C446=12,$D446=Input!$C$6),0,IF($E447="","",$AN447+AO448/(1+$L447)*$R447))</f>
        <v>47880.455242717107</v>
      </c>
      <c r="AP447" s="152"/>
      <c r="AQ447" s="164">
        <f t="shared" si="133"/>
        <v>-11159.479437753849</v>
      </c>
      <c r="AR447" s="164">
        <f t="shared" si="142"/>
        <v>-8098.7355533587997</v>
      </c>
      <c r="AS447" s="164">
        <f t="shared" si="143"/>
        <v>2366.507177033493</v>
      </c>
      <c r="AT447" s="164">
        <f t="shared" si="134"/>
        <v>2366.507177033493</v>
      </c>
      <c r="AU447" s="152"/>
      <c r="AV447" s="147">
        <f>'Deterministic Reserve'!BC447</f>
        <v>6.6660317968803267E-3</v>
      </c>
      <c r="AW447" s="164">
        <f t="shared" si="135"/>
        <v>2366.507177033493</v>
      </c>
      <c r="AX447" s="164">
        <f t="shared" si="136"/>
        <v>15.775212089650765</v>
      </c>
      <c r="AY447" s="152"/>
    </row>
    <row r="448" spans="1:51" s="150" customFormat="1" x14ac:dyDescent="0.25">
      <c r="A448" s="150">
        <f t="shared" si="144"/>
        <v>444</v>
      </c>
      <c r="B448" s="150">
        <f t="shared" si="145"/>
        <v>37</v>
      </c>
      <c r="C448" s="150">
        <f t="shared" si="146"/>
        <v>12</v>
      </c>
      <c r="D448" s="150">
        <f>IF(E448="","",Input!$C$4+B448-1)</f>
        <v>81</v>
      </c>
      <c r="E448" s="150">
        <f>IF(OR(AND(C447=12,D447=Input!$C$6),E447=""),"",1)</f>
        <v>1</v>
      </c>
      <c r="F448" s="150">
        <f>IF(E448="","",Input!$C$8+B448-1)</f>
        <v>2054</v>
      </c>
      <c r="G448" s="151">
        <f>IF(E448="","",MAX(0,Input!$C$9-B448))</f>
        <v>0</v>
      </c>
      <c r="H448" s="152">
        <f>IF(E448="","",Input!$C$3)</f>
        <v>100000</v>
      </c>
      <c r="I448" s="153">
        <f>IF(E448="","",HLOOKUP($B448,Input!$C$13:$BT$14,2))</f>
        <v>121.17700000000001</v>
      </c>
      <c r="J448" s="154"/>
      <c r="K448" s="155">
        <f>IF($E448="","",Input!$C$57)</f>
        <v>4.4999999999999998E-2</v>
      </c>
      <c r="L448" s="155">
        <f t="shared" si="137"/>
        <v>3.6748094004368514E-3</v>
      </c>
      <c r="M448" s="147">
        <f>IF($E448="","",VLOOKUP(IF($B448&lt;=Input!$C$7,$B448,26),'Mortality Tables'!$A$72:$CA$97,IF($B448&lt;=Input!$C$7+1,Input!$C$4-16,$D448-Input!$C$7-16),0)/1000)</f>
        <v>4.9460000000000004E-2</v>
      </c>
      <c r="N448" s="147">
        <f t="shared" si="126"/>
        <v>4.2181646815462326E-3</v>
      </c>
      <c r="O448" s="157">
        <f>IF($E448="","",IF($C448=12,IF($B448&lt;Input!$C$9,Input!$C$54,IF($B448=Input!$C$9,Input!$C$55,Input!$C$56)),0%))</f>
        <v>0.1</v>
      </c>
      <c r="P448" s="167">
        <f>IF($E448="","",IF($B448=1,Input!$C$59,IF($B448&lt;6,Input!$C$60,0%)))</f>
        <v>0</v>
      </c>
      <c r="Q448" s="162">
        <f>IF($E448="","",Input!$C$58)</f>
        <v>2.5</v>
      </c>
      <c r="R448" s="156">
        <f t="shared" si="138"/>
        <v>0.89578183531845379</v>
      </c>
      <c r="S448" s="154">
        <f t="shared" si="127"/>
        <v>6.58853406655321E-3</v>
      </c>
      <c r="T448" s="152"/>
      <c r="U448" s="150">
        <f t="shared" si="139"/>
        <v>0</v>
      </c>
      <c r="V448" s="150">
        <f t="shared" si="140"/>
        <v>0</v>
      </c>
      <c r="W448" s="168">
        <f t="shared" si="141"/>
        <v>0</v>
      </c>
      <c r="X448" s="163">
        <f t="shared" si="128"/>
        <v>421.81646815462324</v>
      </c>
      <c r="Y448" s="152"/>
      <c r="Z448" s="164">
        <f>IF(AND($C447=12,$D447=Input!$C$6),0,IF($E448="","",V448+Z449/(1+L448)*R448))</f>
        <v>90699.98640007971</v>
      </c>
      <c r="AA448" s="164">
        <f>IF(OR($M448=1,AND($C447=12,$D447=Input!$C$6)),0,IF($E448="","",W448+(X448+AA449*$R448)/(1+$L448)))</f>
        <v>36588.437980733201</v>
      </c>
      <c r="AB448" s="160">
        <f t="shared" si="129"/>
        <v>0.825720328500681</v>
      </c>
      <c r="AC448" s="164">
        <f t="shared" si="130"/>
        <v>0</v>
      </c>
      <c r="AD448" s="164">
        <f>IF(AND($C447=12,$D447=Input!$C$6),0,IF($E448="","",$AC448+AD449/(1+$L448)*$R448))</f>
        <v>74892.822565281109</v>
      </c>
      <c r="AE448" s="152"/>
      <c r="AF448" s="164">
        <f>IF(AND($C447=12,$D447=Input!$C$6),0,IF($E448="","",IF($B448&gt;Input!$C$9,$AC448,0)+AF449/(1+$L448)*$R448))</f>
        <v>74892.822565281109</v>
      </c>
      <c r="AG448" s="164">
        <f>IF(AND($C447=12,$D447=Input!$C$6),0,IF($E448="","",(IF($B448&gt;Input!$C$9,$X448,0)+AG449)/(1+$L448)*$R448))</f>
        <v>35909.163284693954</v>
      </c>
      <c r="AH448" s="160">
        <f t="shared" si="131"/>
        <v>2.0950137211446997</v>
      </c>
      <c r="AI448" s="160">
        <f>IF($E448="","",MIN(Input!$C$61/AH448,1))</f>
        <v>0.64438718771845094</v>
      </c>
      <c r="AJ448" s="152"/>
      <c r="AK448" s="164">
        <f>IF(AND($C447=12,$D447=Input!$C$6),0,IF($E448="","",IF($B448&gt;Input!$C$9,$AC448*AI448,0)+AK449/(1+$L448)*$R448))</f>
        <v>48259.975313138413</v>
      </c>
      <c r="AL448" s="164">
        <f>IF(AND($C447=12,$D447=Input!$C$6),0,IF($E448="","",IF($B448&gt;Input!$C$9,0,$AC448)+AL449/(1+$L448)*$R448))</f>
        <v>0</v>
      </c>
      <c r="AM448" s="160">
        <f t="shared" si="132"/>
        <v>1.1382936520186004</v>
      </c>
      <c r="AN448" s="164">
        <f>IF($E448="","",IF($B448&gt;Input!$C$9,$AI448*$AC448,$AM448*$AC448))</f>
        <v>0</v>
      </c>
      <c r="AO448" s="164">
        <f>IF(AND($C447=12,$D447=Input!$C$6),0,IF($E448="","",$AN448+AO449/(1+$L448)*$R448))</f>
        <v>48259.975313138413</v>
      </c>
      <c r="AP448" s="152"/>
      <c r="AQ448" s="164">
        <f t="shared" si="133"/>
        <v>-11671.537332405213</v>
      </c>
      <c r="AR448" s="164">
        <f t="shared" si="142"/>
        <v>-8098.7355533587997</v>
      </c>
      <c r="AS448" s="164">
        <f t="shared" si="143"/>
        <v>2366.507177033493</v>
      </c>
      <c r="AT448" s="164">
        <f t="shared" si="134"/>
        <v>2366.507177033493</v>
      </c>
      <c r="AU448" s="152"/>
      <c r="AV448" s="147">
        <f>'Deterministic Reserve'!BC448</f>
        <v>5.9322842052297649E-3</v>
      </c>
      <c r="AW448" s="164">
        <f t="shared" si="135"/>
        <v>2366.507177033493</v>
      </c>
      <c r="AX448" s="164">
        <f t="shared" si="136"/>
        <v>14.038793147878669</v>
      </c>
      <c r="AY448" s="152"/>
    </row>
    <row r="449" spans="1:51" s="150" customFormat="1" x14ac:dyDescent="0.25">
      <c r="A449" s="150">
        <f t="shared" si="144"/>
        <v>445</v>
      </c>
      <c r="B449" s="150">
        <f t="shared" si="145"/>
        <v>38</v>
      </c>
      <c r="C449" s="150">
        <f t="shared" si="146"/>
        <v>1</v>
      </c>
      <c r="D449" s="150">
        <f>IF(E449="","",Input!$C$4+B449-1)</f>
        <v>82</v>
      </c>
      <c r="E449" s="150">
        <f>IF(OR(AND(C448=12,D448=Input!$C$6),E448=""),"",1)</f>
        <v>1</v>
      </c>
      <c r="F449" s="150">
        <f>IF(E449="","",Input!$C$8+B449-1)</f>
        <v>2055</v>
      </c>
      <c r="G449" s="151">
        <f>IF(E449="","",MAX(0,Input!$C$9-B449))</f>
        <v>0</v>
      </c>
      <c r="H449" s="152">
        <f>IF(E449="","",Input!$C$3)</f>
        <v>100000</v>
      </c>
      <c r="I449" s="153">
        <f>IF(E449="","",HLOOKUP($B449,Input!$C$13:$BT$14,2))</f>
        <v>137.02850000000001</v>
      </c>
      <c r="J449" s="154"/>
      <c r="K449" s="155">
        <f>IF($E449="","",Input!$C$57)</f>
        <v>4.4999999999999998E-2</v>
      </c>
      <c r="L449" s="155">
        <f t="shared" si="137"/>
        <v>3.6748094004368514E-3</v>
      </c>
      <c r="M449" s="147">
        <f>IF($E449="","",VLOOKUP(IF($B449&lt;=Input!$C$7,$B449,26),'Mortality Tables'!$A$72:$CA$97,IF($B449&lt;=Input!$C$7+1,Input!$C$4-16,$D449-Input!$C$7-16),0)/1000)</f>
        <v>5.5930000000000001E-2</v>
      </c>
      <c r="N449" s="147">
        <f t="shared" si="126"/>
        <v>4.784763294795602E-3</v>
      </c>
      <c r="O449" s="157">
        <f>IF($E449="","",IF($C449=12,IF($B449&lt;Input!$C$9,Input!$C$54,IF($B449=Input!$C$9,Input!$C$55,Input!$C$56)),0%))</f>
        <v>0</v>
      </c>
      <c r="P449" s="167">
        <f>IF($E449="","",IF($B449=1,Input!$C$59,IF($B449&lt;6,Input!$C$60,0%)))</f>
        <v>0</v>
      </c>
      <c r="Q449" s="162">
        <f>IF($E449="","",Input!$C$58)</f>
        <v>2.5</v>
      </c>
      <c r="R449" s="156">
        <f t="shared" si="138"/>
        <v>0.9952152367052044</v>
      </c>
      <c r="S449" s="154">
        <f t="shared" si="127"/>
        <v>6.557009490585056E-3</v>
      </c>
      <c r="T449" s="152"/>
      <c r="U449" s="150">
        <f t="shared" si="139"/>
        <v>13702.85</v>
      </c>
      <c r="V449" s="150">
        <f t="shared" si="140"/>
        <v>13702.85</v>
      </c>
      <c r="W449" s="168">
        <f t="shared" si="141"/>
        <v>0</v>
      </c>
      <c r="X449" s="163">
        <f t="shared" si="128"/>
        <v>478.47632947956021</v>
      </c>
      <c r="Y449" s="152"/>
      <c r="Z449" s="164">
        <f>IF(AND($C448=12,$D448=Input!$C$6),0,IF($E449="","",V449+Z450/(1+L449)*R449))</f>
        <v>101624.4000196315</v>
      </c>
      <c r="AA449" s="164">
        <f>IF(OR($M449=1,AND($C448=12,$D448=Input!$C$6)),0,IF($E449="","",W449+(X449+AA450*$R449)/(1+$L449)))</f>
        <v>40524.462114720496</v>
      </c>
      <c r="AB449" s="160">
        <f t="shared" si="129"/>
        <v>0.825720328500681</v>
      </c>
      <c r="AC449" s="164">
        <f t="shared" si="130"/>
        <v>11314.721803395558</v>
      </c>
      <c r="AD449" s="164">
        <f>IF(AND($C448=12,$D448=Input!$C$6),0,IF($E449="","",$AC449+AD450/(1+$L449)*$R449))</f>
        <v>83913.332967894719</v>
      </c>
      <c r="AE449" s="152"/>
      <c r="AF449" s="164">
        <f>IF(AND($C448=12,$D448=Input!$C$6),0,IF($E449="","",IF($B449&gt;Input!$C$9,$AC449,0)+AF450/(1+$L449)*$R449))</f>
        <v>83913.332967894719</v>
      </c>
      <c r="AG449" s="164">
        <f>IF(AND($C448=12,$D448=Input!$C$6),0,IF($E449="","",(IF($B449&gt;Input!$C$9,$X449,0)+AG450)/(1+$L449)*$R449))</f>
        <v>39812.447271611447</v>
      </c>
      <c r="AH449" s="160">
        <f t="shared" si="131"/>
        <v>2.0950137211446997</v>
      </c>
      <c r="AI449" s="160">
        <f>IF($E449="","",MIN(Input!$C$61/AH449,1))</f>
        <v>0.64438718771845094</v>
      </c>
      <c r="AJ449" s="152"/>
      <c r="AK449" s="164">
        <f>IF(AND($C448=12,$D448=Input!$C$6),0,IF($E449="","",IF($B449&gt;Input!$C$9,$AC449*AI449,0)+AK450/(1+$L449)*$R449))</f>
        <v>54072.676643263629</v>
      </c>
      <c r="AL449" s="164">
        <f>IF(AND($C448=12,$D448=Input!$C$6),0,IF($E449="","",IF($B449&gt;Input!$C$9,0,$AC449)+AL450/(1+$L449)*$R449))</f>
        <v>0</v>
      </c>
      <c r="AM449" s="160">
        <f t="shared" si="132"/>
        <v>1.1382936520186004</v>
      </c>
      <c r="AN449" s="164">
        <f>IF($E449="","",IF($B449&gt;Input!$C$9,$AI449*$AC449,$AM449*$AC449))</f>
        <v>7291.0617627067031</v>
      </c>
      <c r="AO449" s="164">
        <f>IF(AND($C448=12,$D448=Input!$C$6),0,IF($E449="","",$AN449+AO450/(1+$L449)*$R449))</f>
        <v>54072.676643263629</v>
      </c>
      <c r="AP449" s="152"/>
      <c r="AQ449" s="164">
        <f t="shared" si="133"/>
        <v>-13548.214528543132</v>
      </c>
      <c r="AR449" s="164">
        <f t="shared" si="142"/>
        <v>-8383.6718872774254</v>
      </c>
      <c r="AS449" s="164">
        <f t="shared" si="143"/>
        <v>2676.0765550239234</v>
      </c>
      <c r="AT449" s="164">
        <f t="shared" si="134"/>
        <v>2676.0765550239234</v>
      </c>
      <c r="AU449" s="152"/>
      <c r="AV449" s="147">
        <f>'Deterministic Reserve'!BC449</f>
        <v>5.8645036772874458E-3</v>
      </c>
      <c r="AW449" s="164">
        <f t="shared" si="135"/>
        <v>2676.0765550239234</v>
      </c>
      <c r="AX449" s="164">
        <f t="shared" si="136"/>
        <v>15.69386079764052</v>
      </c>
      <c r="AY449" s="152"/>
    </row>
    <row r="450" spans="1:51" s="150" customFormat="1" x14ac:dyDescent="0.25">
      <c r="A450" s="150">
        <f t="shared" si="144"/>
        <v>446</v>
      </c>
      <c r="B450" s="150">
        <f t="shared" si="145"/>
        <v>38</v>
      </c>
      <c r="C450" s="150">
        <f t="shared" si="146"/>
        <v>2</v>
      </c>
      <c r="D450" s="150">
        <f>IF(E450="","",Input!$C$4+B450-1)</f>
        <v>82</v>
      </c>
      <c r="E450" s="150">
        <f>IF(OR(AND(C449=12,D449=Input!$C$6),E449=""),"",1)</f>
        <v>1</v>
      </c>
      <c r="F450" s="150">
        <f>IF(E450="","",Input!$C$8+B450-1)</f>
        <v>2055</v>
      </c>
      <c r="G450" s="151">
        <f>IF(E450="","",MAX(0,Input!$C$9-B450))</f>
        <v>0</v>
      </c>
      <c r="H450" s="152">
        <f>IF(E450="","",Input!$C$3)</f>
        <v>100000</v>
      </c>
      <c r="I450" s="153">
        <f>IF(E450="","",HLOOKUP($B450,Input!$C$13:$BT$14,2))</f>
        <v>137.02850000000001</v>
      </c>
      <c r="J450" s="154"/>
      <c r="K450" s="155">
        <f>IF($E450="","",Input!$C$57)</f>
        <v>4.4999999999999998E-2</v>
      </c>
      <c r="L450" s="155">
        <f t="shared" si="137"/>
        <v>3.6748094004368514E-3</v>
      </c>
      <c r="M450" s="147">
        <f>IF($E450="","",VLOOKUP(IF($B450&lt;=Input!$C$7,$B450,26),'Mortality Tables'!$A$72:$CA$97,IF($B450&lt;=Input!$C$7+1,Input!$C$4-16,$D450-Input!$C$7-16),0)/1000)</f>
        <v>5.5930000000000001E-2</v>
      </c>
      <c r="N450" s="147">
        <f t="shared" si="126"/>
        <v>4.784763294795602E-3</v>
      </c>
      <c r="O450" s="157">
        <f>IF($E450="","",IF($C450=12,IF($B450&lt;Input!$C$9,Input!$C$54,IF($B450=Input!$C$9,Input!$C$55,Input!$C$56)),0%))</f>
        <v>0</v>
      </c>
      <c r="P450" s="167">
        <f>IF($E450="","",IF($B450=1,Input!$C$59,IF($B450&lt;6,Input!$C$60,0%)))</f>
        <v>0</v>
      </c>
      <c r="Q450" s="162">
        <f>IF($E450="","",Input!$C$58)</f>
        <v>2.5</v>
      </c>
      <c r="R450" s="156">
        <f t="shared" si="138"/>
        <v>0.9952152367052044</v>
      </c>
      <c r="S450" s="154">
        <f t="shared" si="127"/>
        <v>6.525635752250878E-3</v>
      </c>
      <c r="T450" s="152"/>
      <c r="U450" s="150">
        <f t="shared" si="139"/>
        <v>0</v>
      </c>
      <c r="V450" s="150">
        <f t="shared" si="140"/>
        <v>0</v>
      </c>
      <c r="W450" s="168">
        <f t="shared" si="141"/>
        <v>0</v>
      </c>
      <c r="X450" s="163">
        <f t="shared" si="128"/>
        <v>478.47632947956021</v>
      </c>
      <c r="Y450" s="152"/>
      <c r="Z450" s="164">
        <f>IF(AND($C449=12,$D449=Input!$C$6),0,IF($E450="","",V450+Z451/(1+L450)*R450))</f>
        <v>88668.904678640698</v>
      </c>
      <c r="AA450" s="164">
        <f>IF(OR($M450=1,AND($C449=12,$D449=Input!$C$6)),0,IF($E450="","",W450+(X450+AA451*$R450)/(1+$L450)))</f>
        <v>40388.153212604004</v>
      </c>
      <c r="AB450" s="160">
        <f t="shared" si="129"/>
        <v>0.825720328500681</v>
      </c>
      <c r="AC450" s="164">
        <f t="shared" si="130"/>
        <v>0</v>
      </c>
      <c r="AD450" s="164">
        <f>IF(AND($C449=12,$D449=Input!$C$6),0,IF($E450="","",$AC450+AD451/(1+$L450)*$R450))</f>
        <v>73215.717099042755</v>
      </c>
      <c r="AE450" s="152"/>
      <c r="AF450" s="164">
        <f>IF(AND($C449=12,$D449=Input!$C$6),0,IF($E450="","",IF($B450&gt;Input!$C$9,$AC450,0)+AF451/(1+$L450)*$R450))</f>
        <v>73215.717099042755</v>
      </c>
      <c r="AG450" s="164">
        <f>IF(AND($C449=12,$D449=Input!$C$6),0,IF($E450="","",(IF($B450&gt;Input!$C$9,$X450,0)+AG451)/(1+$L450)*$R450))</f>
        <v>39672.386472207887</v>
      </c>
      <c r="AH450" s="160">
        <f t="shared" si="131"/>
        <v>2.0950137211446997</v>
      </c>
      <c r="AI450" s="160">
        <f>IF($E450="","",MIN(Input!$C$61/AH450,1))</f>
        <v>0.64438718771845094</v>
      </c>
      <c r="AJ450" s="152"/>
      <c r="AK450" s="164">
        <f>IF(AND($C449=12,$D449=Input!$C$6),0,IF($E450="","",IF($B450&gt;Input!$C$9,$AC450*AI450,0)+AK451/(1+$L450)*$R450))</f>
        <v>47179.270038241841</v>
      </c>
      <c r="AL450" s="164">
        <f>IF(AND($C449=12,$D449=Input!$C$6),0,IF($E450="","",IF($B450&gt;Input!$C$9,0,$AC450)+AL451/(1+$L450)*$R450))</f>
        <v>0</v>
      </c>
      <c r="AM450" s="160">
        <f t="shared" si="132"/>
        <v>1.1382936520186004</v>
      </c>
      <c r="AN450" s="164">
        <f>IF($E450="","",IF($B450&gt;Input!$C$9,$AI450*$AC450,$AM450*$AC450))</f>
        <v>0</v>
      </c>
      <c r="AO450" s="164">
        <f>IF(AND($C449=12,$D449=Input!$C$6),0,IF($E450="","",$AN450+AO451/(1+$L450)*$R450))</f>
        <v>47179.270038241841</v>
      </c>
      <c r="AP450" s="152"/>
      <c r="AQ450" s="164">
        <f t="shared" si="133"/>
        <v>-6791.1168256378369</v>
      </c>
      <c r="AR450" s="164">
        <f t="shared" si="142"/>
        <v>-8383.6718872774254</v>
      </c>
      <c r="AS450" s="164">
        <f t="shared" si="143"/>
        <v>2676.0765550239234</v>
      </c>
      <c r="AT450" s="164">
        <f t="shared" si="134"/>
        <v>2676.0765550239234</v>
      </c>
      <c r="AU450" s="152"/>
      <c r="AV450" s="147">
        <f>'Deterministic Reserve'!BC450</f>
        <v>5.797497589646569E-3</v>
      </c>
      <c r="AW450" s="164">
        <f t="shared" si="135"/>
        <v>2676.0765550239234</v>
      </c>
      <c r="AX450" s="164">
        <f t="shared" si="136"/>
        <v>15.51454737746089</v>
      </c>
      <c r="AY450" s="152"/>
    </row>
    <row r="451" spans="1:51" s="150" customFormat="1" x14ac:dyDescent="0.25">
      <c r="A451" s="150">
        <f t="shared" si="144"/>
        <v>447</v>
      </c>
      <c r="B451" s="150">
        <f t="shared" si="145"/>
        <v>38</v>
      </c>
      <c r="C451" s="150">
        <f t="shared" si="146"/>
        <v>3</v>
      </c>
      <c r="D451" s="150">
        <f>IF(E451="","",Input!$C$4+B451-1)</f>
        <v>82</v>
      </c>
      <c r="E451" s="150">
        <f>IF(OR(AND(C450=12,D450=Input!$C$6),E450=""),"",1)</f>
        <v>1</v>
      </c>
      <c r="F451" s="150">
        <f>IF(E451="","",Input!$C$8+B451-1)</f>
        <v>2055</v>
      </c>
      <c r="G451" s="151">
        <f>IF(E451="","",MAX(0,Input!$C$9-B451))</f>
        <v>0</v>
      </c>
      <c r="H451" s="152">
        <f>IF(E451="","",Input!$C$3)</f>
        <v>100000</v>
      </c>
      <c r="I451" s="153">
        <f>IF(E451="","",HLOOKUP($B451,Input!$C$13:$BT$14,2))</f>
        <v>137.02850000000001</v>
      </c>
      <c r="J451" s="154"/>
      <c r="K451" s="155">
        <f>IF($E451="","",Input!$C$57)</f>
        <v>4.4999999999999998E-2</v>
      </c>
      <c r="L451" s="155">
        <f t="shared" si="137"/>
        <v>3.6748094004368514E-3</v>
      </c>
      <c r="M451" s="147">
        <f>IF($E451="","",VLOOKUP(IF($B451&lt;=Input!$C$7,$B451,26),'Mortality Tables'!$A$72:$CA$97,IF($B451&lt;=Input!$C$7+1,Input!$C$4-16,$D451-Input!$C$7-16),0)/1000)</f>
        <v>5.5930000000000001E-2</v>
      </c>
      <c r="N451" s="147">
        <f t="shared" si="126"/>
        <v>4.784763294795602E-3</v>
      </c>
      <c r="O451" s="157">
        <f>IF($E451="","",IF($C451=12,IF($B451&lt;Input!$C$9,Input!$C$54,IF($B451=Input!$C$9,Input!$C$55,Input!$C$56)),0%))</f>
        <v>0</v>
      </c>
      <c r="P451" s="167">
        <f>IF($E451="","",IF($B451=1,Input!$C$59,IF($B451&lt;6,Input!$C$60,0%)))</f>
        <v>0</v>
      </c>
      <c r="Q451" s="162">
        <f>IF($E451="","",Input!$C$58)</f>
        <v>2.5</v>
      </c>
      <c r="R451" s="156">
        <f t="shared" si="138"/>
        <v>0.9952152367052044</v>
      </c>
      <c r="S451" s="154">
        <f t="shared" si="127"/>
        <v>6.4944121298283024E-3</v>
      </c>
      <c r="T451" s="152"/>
      <c r="U451" s="150">
        <f t="shared" si="139"/>
        <v>0</v>
      </c>
      <c r="V451" s="150">
        <f t="shared" si="140"/>
        <v>0</v>
      </c>
      <c r="W451" s="168">
        <f t="shared" si="141"/>
        <v>0</v>
      </c>
      <c r="X451" s="163">
        <f t="shared" si="128"/>
        <v>478.47632947956021</v>
      </c>
      <c r="Y451" s="152"/>
      <c r="Z451" s="164">
        <f>IF(AND($C450=12,$D450=Input!$C$6),0,IF($E451="","",V451+Z452/(1+L451)*R451))</f>
        <v>89422.612034869395</v>
      </c>
      <c r="AA451" s="164">
        <f>IF(OR($M451=1,AND($C450=12,$D450=Input!$C$6)),0,IF($E451="","",W451+(X451+AA452*$R451)/(1+$L451)))</f>
        <v>40250.685651512118</v>
      </c>
      <c r="AB451" s="160">
        <f t="shared" si="129"/>
        <v>0.825720328500681</v>
      </c>
      <c r="AC451" s="164">
        <f t="shared" si="130"/>
        <v>0</v>
      </c>
      <c r="AD451" s="164">
        <f>IF(AND($C450=12,$D450=Input!$C$6),0,IF($E451="","",$AC451+AD452/(1+$L451)*$R451))</f>
        <v>73838.068584821303</v>
      </c>
      <c r="AE451" s="152"/>
      <c r="AF451" s="164">
        <f>IF(AND($C450=12,$D450=Input!$C$6),0,IF($E451="","",IF($B451&gt;Input!$C$9,$AC451,0)+AF452/(1+$L451)*$R451))</f>
        <v>73838.068584821303</v>
      </c>
      <c r="AG451" s="164">
        <f>IF(AND($C450=12,$D450=Input!$C$6),0,IF($E451="","",(IF($B451&gt;Input!$C$9,$X451,0)+AG452)/(1+$L451)*$R451))</f>
        <v>39531.135121785206</v>
      </c>
      <c r="AH451" s="160">
        <f t="shared" si="131"/>
        <v>2.0950137211446997</v>
      </c>
      <c r="AI451" s="160">
        <f>IF($E451="","",MIN(Input!$C$61/AH451,1))</f>
        <v>0.64438718771845094</v>
      </c>
      <c r="AJ451" s="152"/>
      <c r="AK451" s="164">
        <f>IF(AND($C450=12,$D450=Input!$C$6),0,IF($E451="","",IF($B451&gt;Input!$C$9,$AC451*AI451,0)+AK452/(1+$L451)*$R451))</f>
        <v>47580.305361935069</v>
      </c>
      <c r="AL451" s="164">
        <f>IF(AND($C450=12,$D450=Input!$C$6),0,IF($E451="","",IF($B451&gt;Input!$C$9,0,$AC451)+AL452/(1+$L451)*$R451))</f>
        <v>0</v>
      </c>
      <c r="AM451" s="160">
        <f t="shared" si="132"/>
        <v>1.1382936520186004</v>
      </c>
      <c r="AN451" s="164">
        <f>IF($E451="","",IF($B451&gt;Input!$C$9,$AI451*$AC451,$AM451*$AC451))</f>
        <v>0</v>
      </c>
      <c r="AO451" s="164">
        <f>IF(AND($C450=12,$D450=Input!$C$6),0,IF($E451="","",$AN451+AO452/(1+$L451)*$R451))</f>
        <v>47580.305361935069</v>
      </c>
      <c r="AP451" s="152"/>
      <c r="AQ451" s="164">
        <f t="shared" si="133"/>
        <v>-7329.6197104229504</v>
      </c>
      <c r="AR451" s="164">
        <f t="shared" si="142"/>
        <v>-8383.6718872774254</v>
      </c>
      <c r="AS451" s="164">
        <f t="shared" si="143"/>
        <v>2676.0765550239234</v>
      </c>
      <c r="AT451" s="164">
        <f t="shared" si="134"/>
        <v>2676.0765550239234</v>
      </c>
      <c r="AU451" s="152"/>
      <c r="AV451" s="147">
        <f>'Deterministic Reserve'!BC451</f>
        <v>5.7312570937808876E-3</v>
      </c>
      <c r="AW451" s="164">
        <f t="shared" si="135"/>
        <v>2676.0765550239234</v>
      </c>
      <c r="AX451" s="164">
        <f t="shared" si="136"/>
        <v>15.337282739481582</v>
      </c>
      <c r="AY451" s="152"/>
    </row>
    <row r="452" spans="1:51" s="150" customFormat="1" x14ac:dyDescent="0.25">
      <c r="A452" s="150">
        <f t="shared" si="144"/>
        <v>448</v>
      </c>
      <c r="B452" s="150">
        <f t="shared" si="145"/>
        <v>38</v>
      </c>
      <c r="C452" s="150">
        <f t="shared" si="146"/>
        <v>4</v>
      </c>
      <c r="D452" s="150">
        <f>IF(E452="","",Input!$C$4+B452-1)</f>
        <v>82</v>
      </c>
      <c r="E452" s="150">
        <f>IF(OR(AND(C451=12,D451=Input!$C$6),E451=""),"",1)</f>
        <v>1</v>
      </c>
      <c r="F452" s="150">
        <f>IF(E452="","",Input!$C$8+B452-1)</f>
        <v>2055</v>
      </c>
      <c r="G452" s="151">
        <f>IF(E452="","",MAX(0,Input!$C$9-B452))</f>
        <v>0</v>
      </c>
      <c r="H452" s="152">
        <f>IF(E452="","",Input!$C$3)</f>
        <v>100000</v>
      </c>
      <c r="I452" s="153">
        <f>IF(E452="","",HLOOKUP($B452,Input!$C$13:$BT$14,2))</f>
        <v>137.02850000000001</v>
      </c>
      <c r="J452" s="154"/>
      <c r="K452" s="155">
        <f>IF($E452="","",Input!$C$57)</f>
        <v>4.4999999999999998E-2</v>
      </c>
      <c r="L452" s="155">
        <f t="shared" si="137"/>
        <v>3.6748094004368514E-3</v>
      </c>
      <c r="M452" s="147">
        <f>IF($E452="","",VLOOKUP(IF($B452&lt;=Input!$C$7,$B452,26),'Mortality Tables'!$A$72:$CA$97,IF($B452&lt;=Input!$C$7+1,Input!$C$4-16,$D452-Input!$C$7-16),0)/1000)</f>
        <v>5.5930000000000001E-2</v>
      </c>
      <c r="N452" s="147">
        <f t="shared" si="126"/>
        <v>4.784763294795602E-3</v>
      </c>
      <c r="O452" s="157">
        <f>IF($E452="","",IF($C452=12,IF($B452&lt;Input!$C$9,Input!$C$54,IF($B452=Input!$C$9,Input!$C$55,Input!$C$56)),0%))</f>
        <v>0</v>
      </c>
      <c r="P452" s="167">
        <f>IF($E452="","",IF($B452=1,Input!$C$59,IF($B452&lt;6,Input!$C$60,0%)))</f>
        <v>0</v>
      </c>
      <c r="Q452" s="162">
        <f>IF($E452="","",Input!$C$58)</f>
        <v>2.5</v>
      </c>
      <c r="R452" s="156">
        <f t="shared" si="138"/>
        <v>0.9952152367052044</v>
      </c>
      <c r="S452" s="154">
        <f t="shared" si="127"/>
        <v>6.4633379050482243E-3</v>
      </c>
      <c r="T452" s="152"/>
      <c r="U452" s="150">
        <f t="shared" si="139"/>
        <v>0</v>
      </c>
      <c r="V452" s="150">
        <f t="shared" si="140"/>
        <v>0</v>
      </c>
      <c r="W452" s="168">
        <f t="shared" si="141"/>
        <v>0</v>
      </c>
      <c r="X452" s="163">
        <f t="shared" si="128"/>
        <v>478.47632947956021</v>
      </c>
      <c r="Y452" s="152"/>
      <c r="Z452" s="164">
        <f>IF(AND($C451=12,$D451=Input!$C$6),0,IF($E452="","",V452+Z453/(1+L452)*R452))</f>
        <v>90182.72608779624</v>
      </c>
      <c r="AA452" s="164">
        <f>IF(OR($M452=1,AND($C451=12,$D451=Input!$C$6)),0,IF($E452="","",W452+(X452+AA453*$R452)/(1+$L452)))</f>
        <v>40112.049582560416</v>
      </c>
      <c r="AB452" s="160">
        <f t="shared" si="129"/>
        <v>0.825720328500681</v>
      </c>
      <c r="AC452" s="164">
        <f t="shared" si="130"/>
        <v>0</v>
      </c>
      <c r="AD452" s="164">
        <f>IF(AND($C451=12,$D451=Input!$C$6),0,IF($E452="","",$AC452+AD453/(1+$L452)*$R452))</f>
        <v>74465.710210302044</v>
      </c>
      <c r="AE452" s="152"/>
      <c r="AF452" s="164">
        <f>IF(AND($C451=12,$D451=Input!$C$6),0,IF($E452="","",IF($B452&gt;Input!$C$9,$AC452,0)+AF453/(1+$L452)*$R452))</f>
        <v>74465.710210302044</v>
      </c>
      <c r="AG452" s="164">
        <f>IF(AND($C451=12,$D451=Input!$C$6),0,IF($E452="","",(IF($B452&gt;Input!$C$9,$X452,0)+AG453)/(1+$L452)*$R452))</f>
        <v>39388.683100368828</v>
      </c>
      <c r="AH452" s="160">
        <f t="shared" si="131"/>
        <v>2.0950137211446997</v>
      </c>
      <c r="AI452" s="160">
        <f>IF($E452="","",MIN(Input!$C$61/AH452,1))</f>
        <v>0.64438718771845094</v>
      </c>
      <c r="AJ452" s="152"/>
      <c r="AK452" s="164">
        <f>IF(AND($C451=12,$D451=Input!$C$6),0,IF($E452="","",IF($B452&gt;Input!$C$9,$AC452*AI452,0)+AK453/(1+$L452)*$R452))</f>
        <v>47984.749583873643</v>
      </c>
      <c r="AL452" s="164">
        <f>IF(AND($C451=12,$D451=Input!$C$6),0,IF($E452="","",IF($B452&gt;Input!$C$9,0,$AC452)+AL453/(1+$L452)*$R452))</f>
        <v>0</v>
      </c>
      <c r="AM452" s="160">
        <f t="shared" si="132"/>
        <v>1.1382936520186004</v>
      </c>
      <c r="AN452" s="164">
        <f>IF($E452="","",IF($B452&gt;Input!$C$9,$AI452*$AC452,$AM452*$AC452))</f>
        <v>0</v>
      </c>
      <c r="AO452" s="164">
        <f>IF(AND($C451=12,$D451=Input!$C$6),0,IF($E452="","",$AN452+AO453/(1+$L452)*$R452))</f>
        <v>47984.749583873643</v>
      </c>
      <c r="AP452" s="152"/>
      <c r="AQ452" s="164">
        <f t="shared" si="133"/>
        <v>-7872.7000013132274</v>
      </c>
      <c r="AR452" s="164">
        <f t="shared" si="142"/>
        <v>-8383.6718872774254</v>
      </c>
      <c r="AS452" s="164">
        <f t="shared" si="143"/>
        <v>2676.0765550239234</v>
      </c>
      <c r="AT452" s="164">
        <f t="shared" si="134"/>
        <v>2676.0765550239234</v>
      </c>
      <c r="AU452" s="152"/>
      <c r="AV452" s="147">
        <f>'Deterministic Reserve'!BC452</f>
        <v>5.6657734422648045E-3</v>
      </c>
      <c r="AW452" s="164">
        <f t="shared" si="135"/>
        <v>2676.0765550239234</v>
      </c>
      <c r="AX452" s="164">
        <f t="shared" si="136"/>
        <v>15.162043474922035</v>
      </c>
      <c r="AY452" s="152"/>
    </row>
    <row r="453" spans="1:51" s="150" customFormat="1" x14ac:dyDescent="0.25">
      <c r="A453" s="150">
        <f t="shared" si="144"/>
        <v>449</v>
      </c>
      <c r="B453" s="150">
        <f t="shared" si="145"/>
        <v>38</v>
      </c>
      <c r="C453" s="150">
        <f t="shared" si="146"/>
        <v>5</v>
      </c>
      <c r="D453" s="150">
        <f>IF(E453="","",Input!$C$4+B453-1)</f>
        <v>82</v>
      </c>
      <c r="E453" s="150">
        <f>IF(OR(AND(C452=12,D452=Input!$C$6),E452=""),"",1)</f>
        <v>1</v>
      </c>
      <c r="F453" s="150">
        <f>IF(E453="","",Input!$C$8+B453-1)</f>
        <v>2055</v>
      </c>
      <c r="G453" s="151">
        <f>IF(E453="","",MAX(0,Input!$C$9-B453))</f>
        <v>0</v>
      </c>
      <c r="H453" s="152">
        <f>IF(E453="","",Input!$C$3)</f>
        <v>100000</v>
      </c>
      <c r="I453" s="153">
        <f>IF(E453="","",HLOOKUP($B453,Input!$C$13:$BT$14,2))</f>
        <v>137.02850000000001</v>
      </c>
      <c r="J453" s="154"/>
      <c r="K453" s="155">
        <f>IF($E453="","",Input!$C$57)</f>
        <v>4.4999999999999998E-2</v>
      </c>
      <c r="L453" s="155">
        <f t="shared" si="137"/>
        <v>3.6748094004368514E-3</v>
      </c>
      <c r="M453" s="147">
        <f>IF($E453="","",VLOOKUP(IF($B453&lt;=Input!$C$7,$B453,26),'Mortality Tables'!$A$72:$CA$97,IF($B453&lt;=Input!$C$7+1,Input!$C$4-16,$D453-Input!$C$7-16),0)/1000)</f>
        <v>5.5930000000000001E-2</v>
      </c>
      <c r="N453" s="147">
        <f t="shared" ref="N453:N516" si="147">IF($E453="","",1-(1-M453)^(1/12))</f>
        <v>4.784763294795602E-3</v>
      </c>
      <c r="O453" s="157">
        <f>IF($E453="","",IF($C453=12,IF($B453&lt;Input!$C$9,Input!$C$54,IF($B453=Input!$C$9,Input!$C$55,Input!$C$56)),0%))</f>
        <v>0</v>
      </c>
      <c r="P453" s="167">
        <f>IF($E453="","",IF($B453=1,Input!$C$59,IF($B453&lt;6,Input!$C$60,0%)))</f>
        <v>0</v>
      </c>
      <c r="Q453" s="162">
        <f>IF($E453="","",Input!$C$58)</f>
        <v>2.5</v>
      </c>
      <c r="R453" s="156">
        <f t="shared" si="138"/>
        <v>0.9952152367052044</v>
      </c>
      <c r="S453" s="154">
        <f t="shared" ref="S453:S516" si="148">IF($E453="","",IF(AND($B453=1,$C453=1),1,S452*R453))</f>
        <v>6.4324123630782881E-3</v>
      </c>
      <c r="T453" s="152"/>
      <c r="U453" s="150">
        <f t="shared" si="139"/>
        <v>0</v>
      </c>
      <c r="V453" s="150">
        <f t="shared" si="140"/>
        <v>0</v>
      </c>
      <c r="W453" s="168">
        <f t="shared" si="141"/>
        <v>0</v>
      </c>
      <c r="X453" s="163">
        <f t="shared" ref="X453:X516" si="149">IF($E453="","",N453*$H453)</f>
        <v>478.47632947956021</v>
      </c>
      <c r="Y453" s="152"/>
      <c r="Z453" s="164">
        <f>IF(AND($C452=12,$D452=Input!$C$6),0,IF($E453="","",V453+Z454/(1+L453)*R453))</f>
        <v>90949.301295908663</v>
      </c>
      <c r="AA453" s="164">
        <f>IF(OR($M453=1,AND($C452=12,$D452=Input!$C$6)),0,IF($E453="","",W453+(X453+AA454*$R453)/(1+$L453)))</f>
        <v>39972.235073146563</v>
      </c>
      <c r="AB453" s="160">
        <f t="shared" ref="AB453:AB516" si="150">IF($E453="","",$AA$5/$Z$5)</f>
        <v>0.825720328500681</v>
      </c>
      <c r="AC453" s="164">
        <f t="shared" ref="AC453:AC516" si="151">IF($E453="","",V453*AB453)</f>
        <v>0</v>
      </c>
      <c r="AD453" s="164">
        <f>IF(AND($C452=12,$D452=Input!$C$6),0,IF($E453="","",$AC453+AD454/(1+$L453)*$R453))</f>
        <v>75098.686942965112</v>
      </c>
      <c r="AE453" s="152"/>
      <c r="AF453" s="164">
        <f>IF(AND($C452=12,$D452=Input!$C$6),0,IF($E453="","",IF($B453&gt;Input!$C$9,$AC453,0)+AF454/(1+$L453)*$R453))</f>
        <v>75098.686942965112</v>
      </c>
      <c r="AG453" s="164">
        <f>IF(AND($C452=12,$D452=Input!$C$6),0,IF($E453="","",(IF($B453&gt;Input!$C$9,$X453,0)+AG454)/(1+$L453)*$R453))</f>
        <v>39245.02020196191</v>
      </c>
      <c r="AH453" s="160">
        <f t="shared" ref="AH453:AH516" si="152">IF($E453="","",$AF$5/$AG$5)</f>
        <v>2.0950137211446997</v>
      </c>
      <c r="AI453" s="160">
        <f>IF($E453="","",MIN(Input!$C$61/AH453,1))</f>
        <v>0.64438718771845094</v>
      </c>
      <c r="AJ453" s="152"/>
      <c r="AK453" s="164">
        <f>IF(AND($C452=12,$D452=Input!$C$6),0,IF($E453="","",IF($B453&gt;Input!$C$9,$AC453*AI453,0)+AK454/(1+$L453)*$R453))</f>
        <v>48392.631680525614</v>
      </c>
      <c r="AL453" s="164">
        <f>IF(AND($C452=12,$D452=Input!$C$6),0,IF($E453="","",IF($B453&gt;Input!$C$9,0,$AC453)+AL454/(1+$L453)*$R453))</f>
        <v>0</v>
      </c>
      <c r="AM453" s="160">
        <f t="shared" ref="AM453:AM516" si="153">IF($E453="","",($AD$5-$AK$5)/$AL$5)</f>
        <v>1.1382936520186004</v>
      </c>
      <c r="AN453" s="164">
        <f>IF($E453="","",IF($B453&gt;Input!$C$9,$AI453*$AC453,$AM453*$AC453))</f>
        <v>0</v>
      </c>
      <c r="AO453" s="164">
        <f>IF(AND($C452=12,$D452=Input!$C$6),0,IF($E453="","",$AN453+AO454/(1+$L453)*$R453))</f>
        <v>48392.631680525614</v>
      </c>
      <c r="AP453" s="152"/>
      <c r="AQ453" s="164">
        <f t="shared" ref="AQ453:AQ516" si="154">IF($E453="","",$AA453-$AO453)</f>
        <v>-8420.3966073790507</v>
      </c>
      <c r="AR453" s="164">
        <f t="shared" si="142"/>
        <v>-8383.6718872774254</v>
      </c>
      <c r="AS453" s="164">
        <f t="shared" si="143"/>
        <v>2676.0765550239234</v>
      </c>
      <c r="AT453" s="164">
        <f t="shared" ref="AT453:AT516" si="155">IF($E453="","",MAX($AR453,$AS453))</f>
        <v>2676.0765550239234</v>
      </c>
      <c r="AU453" s="152"/>
      <c r="AV453" s="147">
        <f>'Deterministic Reserve'!BC453</f>
        <v>5.6010379876182239E-3</v>
      </c>
      <c r="AW453" s="164">
        <f t="shared" ref="AW453:AW516" si="156">IF($E453="","",$AT453)</f>
        <v>2676.0765550239234</v>
      </c>
      <c r="AX453" s="164">
        <f t="shared" ref="AX453:AX516" si="157">IF($E453="","",AV453*AW453)</f>
        <v>14.988806442463506</v>
      </c>
      <c r="AY453" s="152"/>
    </row>
    <row r="454" spans="1:51" s="150" customFormat="1" x14ac:dyDescent="0.25">
      <c r="A454" s="150">
        <f t="shared" si="144"/>
        <v>450</v>
      </c>
      <c r="B454" s="150">
        <f t="shared" si="145"/>
        <v>38</v>
      </c>
      <c r="C454" s="150">
        <f t="shared" si="146"/>
        <v>6</v>
      </c>
      <c r="D454" s="150">
        <f>IF(E454="","",Input!$C$4+B454-1)</f>
        <v>82</v>
      </c>
      <c r="E454" s="150">
        <f>IF(OR(AND(C453=12,D453=Input!$C$6),E453=""),"",1)</f>
        <v>1</v>
      </c>
      <c r="F454" s="150">
        <f>IF(E454="","",Input!$C$8+B454-1)</f>
        <v>2055</v>
      </c>
      <c r="G454" s="151">
        <f>IF(E454="","",MAX(0,Input!$C$9-B454))</f>
        <v>0</v>
      </c>
      <c r="H454" s="152">
        <f>IF(E454="","",Input!$C$3)</f>
        <v>100000</v>
      </c>
      <c r="I454" s="153">
        <f>IF(E454="","",HLOOKUP($B454,Input!$C$13:$BT$14,2))</f>
        <v>137.02850000000001</v>
      </c>
      <c r="J454" s="154"/>
      <c r="K454" s="155">
        <f>IF($E454="","",Input!$C$57)</f>
        <v>4.4999999999999998E-2</v>
      </c>
      <c r="L454" s="155">
        <f t="shared" ref="L454:L517" si="158">IF($E454="","",(1+K454)^(1/12)-1)</f>
        <v>3.6748094004368514E-3</v>
      </c>
      <c r="M454" s="147">
        <f>IF($E454="","",VLOOKUP(IF($B454&lt;=Input!$C$7,$B454,26),'Mortality Tables'!$A$72:$CA$97,IF($B454&lt;=Input!$C$7+1,Input!$C$4-16,$D454-Input!$C$7-16),0)/1000)</f>
        <v>5.5930000000000001E-2</v>
      </c>
      <c r="N454" s="147">
        <f t="shared" si="147"/>
        <v>4.784763294795602E-3</v>
      </c>
      <c r="O454" s="157">
        <f>IF($E454="","",IF($C454=12,IF($B454&lt;Input!$C$9,Input!$C$54,IF($B454=Input!$C$9,Input!$C$55,Input!$C$56)),0%))</f>
        <v>0</v>
      </c>
      <c r="P454" s="167">
        <f>IF($E454="","",IF($B454=1,Input!$C$59,IF($B454&lt;6,Input!$C$60,0%)))</f>
        <v>0</v>
      </c>
      <c r="Q454" s="162">
        <f>IF($E454="","",Input!$C$58)</f>
        <v>2.5</v>
      </c>
      <c r="R454" s="156">
        <f t="shared" ref="R454:R517" si="159">IF($E454="","",MAX(1-N454-O454,0))</f>
        <v>0.9952152367052044</v>
      </c>
      <c r="S454" s="154">
        <f t="shared" si="148"/>
        <v>6.4016347925064413E-3</v>
      </c>
      <c r="T454" s="152"/>
      <c r="U454" s="150">
        <f t="shared" ref="U454:U517" si="160">IF($E454="","",IF($C454=1,$I454*$H454/1000,0))</f>
        <v>0</v>
      </c>
      <c r="V454" s="150">
        <f t="shared" ref="V454:V517" si="161">IF($E454="","",U454*(1-$P454))</f>
        <v>0</v>
      </c>
      <c r="W454" s="168">
        <f t="shared" ref="W454:W517" si="162">IF($E454="","",IF(AND($B454=1,$C454=1),$Q454*$H454/1000,0))</f>
        <v>0</v>
      </c>
      <c r="X454" s="163">
        <f t="shared" si="149"/>
        <v>478.47632947956021</v>
      </c>
      <c r="Y454" s="152"/>
      <c r="Z454" s="164">
        <f>IF(AND($C453=12,$D453=Input!$C$6),0,IF($E454="","",V454+Z455/(1+L454)*R454))</f>
        <v>91722.39258060453</v>
      </c>
      <c r="AA454" s="164">
        <f>IF(OR($M454=1,AND($C453=12,$D453=Input!$C$6)),0,IF($E454="","",W454+(X454+AA455*$R454)/(1+$L454)))</f>
        <v>39831.232106238684</v>
      </c>
      <c r="AB454" s="160">
        <f t="shared" si="150"/>
        <v>0.825720328500681</v>
      </c>
      <c r="AC454" s="164">
        <f t="shared" si="151"/>
        <v>0</v>
      </c>
      <c r="AD454" s="164">
        <f>IF(AND($C453=12,$D453=Input!$C$6),0,IF($E454="","",$AC454+AD455/(1+$L454)*$R454))</f>
        <v>75737.044132525203</v>
      </c>
      <c r="AE454" s="152"/>
      <c r="AF454" s="164">
        <f>IF(AND($C453=12,$D453=Input!$C$6),0,IF($E454="","",IF($B454&gt;Input!$C$9,$AC454,0)+AF455/(1+$L454)*$R454))</f>
        <v>75737.044132525203</v>
      </c>
      <c r="AG454" s="164">
        <f>IF(AND($C453=12,$D453=Input!$C$6),0,IF($E454="","",(IF($B454&gt;Input!$C$9,$X454,0)+AG455)/(1+$L454)*$R454))</f>
        <v>39100.136133814158</v>
      </c>
      <c r="AH454" s="160">
        <f t="shared" si="152"/>
        <v>2.0950137211446997</v>
      </c>
      <c r="AI454" s="160">
        <f>IF($E454="","",MIN(Input!$C$61/AH454,1))</f>
        <v>0.64438718771845094</v>
      </c>
      <c r="AJ454" s="152"/>
      <c r="AK454" s="164">
        <f>IF(AND($C453=12,$D453=Input!$C$6),0,IF($E454="","",IF($B454&gt;Input!$C$9,$AC454*AI454,0)+AK455/(1+$L454)*$R454))</f>
        <v>48803.9808746661</v>
      </c>
      <c r="AL454" s="164">
        <f>IF(AND($C453=12,$D453=Input!$C$6),0,IF($E454="","",IF($B454&gt;Input!$C$9,0,$AC454)+AL455/(1+$L454)*$R454))</f>
        <v>0</v>
      </c>
      <c r="AM454" s="160">
        <f t="shared" si="153"/>
        <v>1.1382936520186004</v>
      </c>
      <c r="AN454" s="164">
        <f>IF($E454="","",IF($B454&gt;Input!$C$9,$AI454*$AC454,$AM454*$AC454))</f>
        <v>0</v>
      </c>
      <c r="AO454" s="164">
        <f>IF(AND($C453=12,$D453=Input!$C$6),0,IF($E454="","",$AN454+AO455/(1+$L454)*$R454))</f>
        <v>48803.9808746661</v>
      </c>
      <c r="AP454" s="152"/>
      <c r="AQ454" s="164">
        <f t="shared" si="154"/>
        <v>-8972.7487684274165</v>
      </c>
      <c r="AR454" s="164">
        <f t="shared" ref="AR454:AR517" si="163">IF($E454="","",IF($M454=1,0,0.5*(IF($B454=1,0,SUMIFS($AQ:$AQ,$B:$B,$B454-1,$C:$C,12))+SUMIFS($AN:$AN,$B:$B,$B454,$C:$C,1)+SUMIFS($AQ:$AQ,$B:$B,$B454,$C:$C,12))))</f>
        <v>-8383.6718872774254</v>
      </c>
      <c r="AS454" s="164">
        <f t="shared" ref="AS454:AS517" si="164">IF($E454="","",IF($M454=1,0,0.5*$M454*$H454/(1+$K454)))</f>
        <v>2676.0765550239234</v>
      </c>
      <c r="AT454" s="164">
        <f t="shared" si="155"/>
        <v>2676.0765550239234</v>
      </c>
      <c r="AU454" s="152"/>
      <c r="AV454" s="147">
        <f>'Deterministic Reserve'!BC454</f>
        <v>5.5370421811646049E-3</v>
      </c>
      <c r="AW454" s="164">
        <f t="shared" si="156"/>
        <v>2676.0765550239234</v>
      </c>
      <c r="AX454" s="164">
        <f t="shared" si="157"/>
        <v>14.817548765193127</v>
      </c>
      <c r="AY454" s="152"/>
    </row>
    <row r="455" spans="1:51" s="150" customFormat="1" x14ac:dyDescent="0.25">
      <c r="A455" s="150">
        <f t="shared" ref="A455:A518" si="165">IF(E455="","",A454+1)</f>
        <v>451</v>
      </c>
      <c r="B455" s="150">
        <f t="shared" ref="B455:B518" si="166">IF(E455="","",IF(C454+1&gt;12,B454+1,B454))</f>
        <v>38</v>
      </c>
      <c r="C455" s="150">
        <f t="shared" ref="C455:C518" si="167">IF(E455="","",IF(C454+1&gt;12,1,C454+1))</f>
        <v>7</v>
      </c>
      <c r="D455" s="150">
        <f>IF(E455="","",Input!$C$4+B455-1)</f>
        <v>82</v>
      </c>
      <c r="E455" s="150">
        <f>IF(OR(AND(C454=12,D454=Input!$C$6),E454=""),"",1)</f>
        <v>1</v>
      </c>
      <c r="F455" s="150">
        <f>IF(E455="","",Input!$C$8+B455-1)</f>
        <v>2055</v>
      </c>
      <c r="G455" s="151">
        <f>IF(E455="","",MAX(0,Input!$C$9-B455))</f>
        <v>0</v>
      </c>
      <c r="H455" s="152">
        <f>IF(E455="","",Input!$C$3)</f>
        <v>100000</v>
      </c>
      <c r="I455" s="153">
        <f>IF(E455="","",HLOOKUP($B455,Input!$C$13:$BT$14,2))</f>
        <v>137.02850000000001</v>
      </c>
      <c r="J455" s="154"/>
      <c r="K455" s="155">
        <f>IF($E455="","",Input!$C$57)</f>
        <v>4.4999999999999998E-2</v>
      </c>
      <c r="L455" s="155">
        <f t="shared" si="158"/>
        <v>3.6748094004368514E-3</v>
      </c>
      <c r="M455" s="147">
        <f>IF($E455="","",VLOOKUP(IF($B455&lt;=Input!$C$7,$B455,26),'Mortality Tables'!$A$72:$CA$97,IF($B455&lt;=Input!$C$7+1,Input!$C$4-16,$D455-Input!$C$7-16),0)/1000)</f>
        <v>5.5930000000000001E-2</v>
      </c>
      <c r="N455" s="147">
        <f t="shared" si="147"/>
        <v>4.784763294795602E-3</v>
      </c>
      <c r="O455" s="157">
        <f>IF($E455="","",IF($C455=12,IF($B455&lt;Input!$C$9,Input!$C$54,IF($B455=Input!$C$9,Input!$C$55,Input!$C$56)),0%))</f>
        <v>0</v>
      </c>
      <c r="P455" s="167">
        <f>IF($E455="","",IF($B455=1,Input!$C$59,IF($B455&lt;6,Input!$C$60,0%)))</f>
        <v>0</v>
      </c>
      <c r="Q455" s="162">
        <f>IF($E455="","",Input!$C$58)</f>
        <v>2.5</v>
      </c>
      <c r="R455" s="156">
        <f t="shared" si="159"/>
        <v>0.9952152367052044</v>
      </c>
      <c r="S455" s="154">
        <f t="shared" si="148"/>
        <v>6.37100448532457E-3</v>
      </c>
      <c r="T455" s="152"/>
      <c r="U455" s="150">
        <f t="shared" si="160"/>
        <v>0</v>
      </c>
      <c r="V455" s="150">
        <f t="shared" si="161"/>
        <v>0</v>
      </c>
      <c r="W455" s="168">
        <f t="shared" si="162"/>
        <v>0</v>
      </c>
      <c r="X455" s="163">
        <f t="shared" si="149"/>
        <v>478.47632947956021</v>
      </c>
      <c r="Y455" s="152"/>
      <c r="Z455" s="164">
        <f>IF(AND($C454=12,$D454=Input!$C$6),0,IF($E455="","",V455+Z456/(1+L455)*R455))</f>
        <v>92502.055330127027</v>
      </c>
      <c r="AA455" s="164">
        <f>IF(OR($M455=1,AND($C454=12,$D454=Input!$C$6)),0,IF($E455="","",W455+(X455+AA456*$R455)/(1+$L455)))</f>
        <v>39689.030579657672</v>
      </c>
      <c r="AB455" s="160">
        <f t="shared" si="150"/>
        <v>0.825720328500681</v>
      </c>
      <c r="AC455" s="164">
        <f t="shared" si="151"/>
        <v>0</v>
      </c>
      <c r="AD455" s="164">
        <f>IF(AND($C454=12,$D454=Input!$C$6),0,IF($E455="","",$AC455+AD456/(1+$L455)*$R455))</f>
        <v>76380.827514180666</v>
      </c>
      <c r="AE455" s="152"/>
      <c r="AF455" s="164">
        <f>IF(AND($C454=12,$D454=Input!$C$6),0,IF($E455="","",IF($B455&gt;Input!$C$9,$AC455,0)+AF456/(1+$L455)*$R455))</f>
        <v>76380.827514180666</v>
      </c>
      <c r="AG455" s="164">
        <f>IF(AND($C454=12,$D454=Input!$C$6),0,IF($E455="","",(IF($B455&gt;Input!$C$9,$X455,0)+AG456)/(1+$L455)*$R455))</f>
        <v>38954.02051568438</v>
      </c>
      <c r="AH455" s="160">
        <f t="shared" si="152"/>
        <v>2.0950137211446997</v>
      </c>
      <c r="AI455" s="160">
        <f>IF($E455="","",MIN(Input!$C$61/AH455,1))</f>
        <v>0.64438718771845094</v>
      </c>
      <c r="AJ455" s="152"/>
      <c r="AK455" s="164">
        <f>IF(AND($C454=12,$D454=Input!$C$6),0,IF($E455="","",IF($B455&gt;Input!$C$9,$AC455*AI455,0)+AK456/(1+$L455)*$R455))</f>
        <v>49218.826637470942</v>
      </c>
      <c r="AL455" s="164">
        <f>IF(AND($C454=12,$D454=Input!$C$6),0,IF($E455="","",IF($B455&gt;Input!$C$9,0,$AC455)+AL456/(1+$L455)*$R455))</f>
        <v>0</v>
      </c>
      <c r="AM455" s="160">
        <f t="shared" si="153"/>
        <v>1.1382936520186004</v>
      </c>
      <c r="AN455" s="164">
        <f>IF($E455="","",IF($B455&gt;Input!$C$9,$AI455*$AC455,$AM455*$AC455))</f>
        <v>0</v>
      </c>
      <c r="AO455" s="164">
        <f>IF(AND($C454=12,$D454=Input!$C$6),0,IF($E455="","",$AN455+AO456/(1+$L455)*$R455))</f>
        <v>49218.826637470942</v>
      </c>
      <c r="AP455" s="152"/>
      <c r="AQ455" s="164">
        <f t="shared" si="154"/>
        <v>-9529.7960578132697</v>
      </c>
      <c r="AR455" s="164">
        <f t="shared" si="163"/>
        <v>-8383.6718872774254</v>
      </c>
      <c r="AS455" s="164">
        <f t="shared" si="164"/>
        <v>2676.0765550239234</v>
      </c>
      <c r="AT455" s="164">
        <f t="shared" si="155"/>
        <v>2676.0765550239234</v>
      </c>
      <c r="AU455" s="152"/>
      <c r="AV455" s="147">
        <f>'Deterministic Reserve'!BC455</f>
        <v>5.4737775719020604E-3</v>
      </c>
      <c r="AW455" s="164">
        <f t="shared" si="156"/>
        <v>2676.0765550239234</v>
      </c>
      <c r="AX455" s="164">
        <f t="shared" si="157"/>
        <v>14.648247827582882</v>
      </c>
      <c r="AY455" s="152"/>
    </row>
    <row r="456" spans="1:51" s="150" customFormat="1" x14ac:dyDescent="0.25">
      <c r="A456" s="150">
        <f t="shared" si="165"/>
        <v>452</v>
      </c>
      <c r="B456" s="150">
        <f t="shared" si="166"/>
        <v>38</v>
      </c>
      <c r="C456" s="150">
        <f t="shared" si="167"/>
        <v>8</v>
      </c>
      <c r="D456" s="150">
        <f>IF(E456="","",Input!$C$4+B456-1)</f>
        <v>82</v>
      </c>
      <c r="E456" s="150">
        <f>IF(OR(AND(C455=12,D455=Input!$C$6),E455=""),"",1)</f>
        <v>1</v>
      </c>
      <c r="F456" s="150">
        <f>IF(E456="","",Input!$C$8+B456-1)</f>
        <v>2055</v>
      </c>
      <c r="G456" s="151">
        <f>IF(E456="","",MAX(0,Input!$C$9-B456))</f>
        <v>0</v>
      </c>
      <c r="H456" s="152">
        <f>IF(E456="","",Input!$C$3)</f>
        <v>100000</v>
      </c>
      <c r="I456" s="153">
        <f>IF(E456="","",HLOOKUP($B456,Input!$C$13:$BT$14,2))</f>
        <v>137.02850000000001</v>
      </c>
      <c r="J456" s="154"/>
      <c r="K456" s="155">
        <f>IF($E456="","",Input!$C$57)</f>
        <v>4.4999999999999998E-2</v>
      </c>
      <c r="L456" s="155">
        <f t="shared" si="158"/>
        <v>3.6748094004368514E-3</v>
      </c>
      <c r="M456" s="147">
        <f>IF($E456="","",VLOOKUP(IF($B456&lt;=Input!$C$7,$B456,26),'Mortality Tables'!$A$72:$CA$97,IF($B456&lt;=Input!$C$7+1,Input!$C$4-16,$D456-Input!$C$7-16),0)/1000)</f>
        <v>5.5930000000000001E-2</v>
      </c>
      <c r="N456" s="147">
        <f t="shared" si="147"/>
        <v>4.784763294795602E-3</v>
      </c>
      <c r="O456" s="157">
        <f>IF($E456="","",IF($C456=12,IF($B456&lt;Input!$C$9,Input!$C$54,IF($B456=Input!$C$9,Input!$C$55,Input!$C$56)),0%))</f>
        <v>0</v>
      </c>
      <c r="P456" s="167">
        <f>IF($E456="","",IF($B456=1,Input!$C$59,IF($B456&lt;6,Input!$C$60,0%)))</f>
        <v>0</v>
      </c>
      <c r="Q456" s="162">
        <f>IF($E456="","",Input!$C$58)</f>
        <v>2.5</v>
      </c>
      <c r="R456" s="156">
        <f t="shared" si="159"/>
        <v>0.9952152367052044</v>
      </c>
      <c r="S456" s="154">
        <f t="shared" si="148"/>
        <v>6.3405207369122106E-3</v>
      </c>
      <c r="T456" s="152"/>
      <c r="U456" s="150">
        <f t="shared" si="160"/>
        <v>0</v>
      </c>
      <c r="V456" s="150">
        <f t="shared" si="161"/>
        <v>0</v>
      </c>
      <c r="W456" s="168">
        <f t="shared" si="162"/>
        <v>0</v>
      </c>
      <c r="X456" s="163">
        <f t="shared" si="149"/>
        <v>478.47632947956021</v>
      </c>
      <c r="Y456" s="152"/>
      <c r="Z456" s="164">
        <f>IF(AND($C455=12,$D455=Input!$C$6),0,IF($E456="","",V456+Z457/(1+L456)*R456))</f>
        <v>93288.345403532949</v>
      </c>
      <c r="AA456" s="164">
        <f>IF(OR($M456=1,AND($C455=12,$D455=Input!$C$6)),0,IF($E456="","",W456+(X456+AA457*$R456)/(1+$L456)))</f>
        <v>39545.620305353434</v>
      </c>
      <c r="AB456" s="160">
        <f t="shared" si="150"/>
        <v>0.825720328500681</v>
      </c>
      <c r="AC456" s="164">
        <f t="shared" si="151"/>
        <v>0</v>
      </c>
      <c r="AD456" s="164">
        <f>IF(AND($C455=12,$D455=Input!$C$6),0,IF($E456="","",$AC456+AD457/(1+$L456)*$R456))</f>
        <v>77030.083211890218</v>
      </c>
      <c r="AE456" s="152"/>
      <c r="AF456" s="164">
        <f>IF(AND($C455=12,$D455=Input!$C$6),0,IF($E456="","",IF($B456&gt;Input!$C$9,$AC456,0)+AF457/(1+$L456)*$R456))</f>
        <v>77030.083211890218</v>
      </c>
      <c r="AG456" s="164">
        <f>IF(AND($C455=12,$D455=Input!$C$6),0,IF($E456="","",(IF($B456&gt;Input!$C$9,$X456,0)+AG457)/(1+$L456)*$R456))</f>
        <v>38806.662879096795</v>
      </c>
      <c r="AH456" s="160">
        <f t="shared" si="152"/>
        <v>2.0950137211446997</v>
      </c>
      <c r="AI456" s="160">
        <f>IF($E456="","",MIN(Input!$C$61/AH456,1))</f>
        <v>0.64438718771845094</v>
      </c>
      <c r="AJ456" s="152"/>
      <c r="AK456" s="164">
        <f>IF(AND($C455=12,$D455=Input!$C$6),0,IF($E456="","",IF($B456&gt;Input!$C$9,$AC456*AI456,0)+AK457/(1+$L456)*$R456))</f>
        <v>49637.198690628182</v>
      </c>
      <c r="AL456" s="164">
        <f>IF(AND($C455=12,$D455=Input!$C$6),0,IF($E456="","",IF($B456&gt;Input!$C$9,0,$AC456)+AL457/(1+$L456)*$R456))</f>
        <v>0</v>
      </c>
      <c r="AM456" s="160">
        <f t="shared" si="153"/>
        <v>1.1382936520186004</v>
      </c>
      <c r="AN456" s="164">
        <f>IF($E456="","",IF($B456&gt;Input!$C$9,$AI456*$AC456,$AM456*$AC456))</f>
        <v>0</v>
      </c>
      <c r="AO456" s="164">
        <f>IF(AND($C455=12,$D455=Input!$C$6),0,IF($E456="","",$AN456+AO457/(1+$L456)*$R456))</f>
        <v>49637.198690628182</v>
      </c>
      <c r="AP456" s="152"/>
      <c r="AQ456" s="164">
        <f t="shared" si="154"/>
        <v>-10091.578385274748</v>
      </c>
      <c r="AR456" s="164">
        <f t="shared" si="163"/>
        <v>-8383.6718872774254</v>
      </c>
      <c r="AS456" s="164">
        <f t="shared" si="164"/>
        <v>2676.0765550239234</v>
      </c>
      <c r="AT456" s="164">
        <f t="shared" si="155"/>
        <v>2676.0765550239234</v>
      </c>
      <c r="AU456" s="152"/>
      <c r="AV456" s="147">
        <f>'Deterministic Reserve'!BC456</f>
        <v>5.4112358053873561E-3</v>
      </c>
      <c r="AW456" s="164">
        <f t="shared" si="156"/>
        <v>2676.0765550239234</v>
      </c>
      <c r="AX456" s="164">
        <f t="shared" si="157"/>
        <v>14.480881272503101</v>
      </c>
      <c r="AY456" s="152"/>
    </row>
    <row r="457" spans="1:51" s="150" customFormat="1" x14ac:dyDescent="0.25">
      <c r="A457" s="150">
        <f t="shared" si="165"/>
        <v>453</v>
      </c>
      <c r="B457" s="150">
        <f t="shared" si="166"/>
        <v>38</v>
      </c>
      <c r="C457" s="150">
        <f t="shared" si="167"/>
        <v>9</v>
      </c>
      <c r="D457" s="150">
        <f>IF(E457="","",Input!$C$4+B457-1)</f>
        <v>82</v>
      </c>
      <c r="E457" s="150">
        <f>IF(OR(AND(C456=12,D456=Input!$C$6),E456=""),"",1)</f>
        <v>1</v>
      </c>
      <c r="F457" s="150">
        <f>IF(E457="","",Input!$C$8+B457-1)</f>
        <v>2055</v>
      </c>
      <c r="G457" s="151">
        <f>IF(E457="","",MAX(0,Input!$C$9-B457))</f>
        <v>0</v>
      </c>
      <c r="H457" s="152">
        <f>IF(E457="","",Input!$C$3)</f>
        <v>100000</v>
      </c>
      <c r="I457" s="153">
        <f>IF(E457="","",HLOOKUP($B457,Input!$C$13:$BT$14,2))</f>
        <v>137.02850000000001</v>
      </c>
      <c r="J457" s="154"/>
      <c r="K457" s="155">
        <f>IF($E457="","",Input!$C$57)</f>
        <v>4.4999999999999998E-2</v>
      </c>
      <c r="L457" s="155">
        <f t="shared" si="158"/>
        <v>3.6748094004368514E-3</v>
      </c>
      <c r="M457" s="147">
        <f>IF($E457="","",VLOOKUP(IF($B457&lt;=Input!$C$7,$B457,26),'Mortality Tables'!$A$72:$CA$97,IF($B457&lt;=Input!$C$7+1,Input!$C$4-16,$D457-Input!$C$7-16),0)/1000)</f>
        <v>5.5930000000000001E-2</v>
      </c>
      <c r="N457" s="147">
        <f t="shared" si="147"/>
        <v>4.784763294795602E-3</v>
      </c>
      <c r="O457" s="157">
        <f>IF($E457="","",IF($C457=12,IF($B457&lt;Input!$C$9,Input!$C$54,IF($B457=Input!$C$9,Input!$C$55,Input!$C$56)),0%))</f>
        <v>0</v>
      </c>
      <c r="P457" s="167">
        <f>IF($E457="","",IF($B457=1,Input!$C$59,IF($B457&lt;6,Input!$C$60,0%)))</f>
        <v>0</v>
      </c>
      <c r="Q457" s="162">
        <f>IF($E457="","",Input!$C$58)</f>
        <v>2.5</v>
      </c>
      <c r="R457" s="156">
        <f t="shared" si="159"/>
        <v>0.9952152367052044</v>
      </c>
      <c r="S457" s="154">
        <f t="shared" si="148"/>
        <v>6.3101828460203424E-3</v>
      </c>
      <c r="T457" s="152"/>
      <c r="U457" s="150">
        <f t="shared" si="160"/>
        <v>0</v>
      </c>
      <c r="V457" s="150">
        <f t="shared" si="161"/>
        <v>0</v>
      </c>
      <c r="W457" s="168">
        <f t="shared" si="162"/>
        <v>0</v>
      </c>
      <c r="X457" s="163">
        <f t="shared" si="149"/>
        <v>478.47632947956021</v>
      </c>
      <c r="Y457" s="152"/>
      <c r="Z457" s="164">
        <f>IF(AND($C456=12,$D456=Input!$C$6),0,IF($E457="","",V457+Z458/(1+L457)*R457))</f>
        <v>94081.319134694699</v>
      </c>
      <c r="AA457" s="164">
        <f>IF(OR($M457=1,AND($C456=12,$D456=Input!$C$6)),0,IF($E457="","",W457+(X457+AA458*$R457)/(1+$L457)))</f>
        <v>39400.991008674973</v>
      </c>
      <c r="AB457" s="160">
        <f t="shared" si="150"/>
        <v>0.825720328500681</v>
      </c>
      <c r="AC457" s="164">
        <f t="shared" si="151"/>
        <v>0</v>
      </c>
      <c r="AD457" s="164">
        <f>IF(AND($C456=12,$D456=Input!$C$6),0,IF($E457="","",$AC457+AD458/(1+$L457)*$R457))</f>
        <v>77684.857741677508</v>
      </c>
      <c r="AE457" s="152"/>
      <c r="AF457" s="164">
        <f>IF(AND($C456=12,$D456=Input!$C$6),0,IF($E457="","",IF($B457&gt;Input!$C$9,$AC457,0)+AF458/(1+$L457)*$R457))</f>
        <v>77684.857741677508</v>
      </c>
      <c r="AG457" s="164">
        <f>IF(AND($C456=12,$D456=Input!$C$6),0,IF($E457="","",(IF($B457&gt;Input!$C$9,$X457,0)+AG458)/(1+$L457)*$R457))</f>
        <v>38658.052666591029</v>
      </c>
      <c r="AH457" s="160">
        <f t="shared" si="152"/>
        <v>2.0950137211446997</v>
      </c>
      <c r="AI457" s="160">
        <f>IF($E457="","",MIN(Input!$C$61/AH457,1))</f>
        <v>0.64438718771845094</v>
      </c>
      <c r="AJ457" s="152"/>
      <c r="AK457" s="164">
        <f>IF(AND($C456=12,$D456=Input!$C$6),0,IF($E457="","",IF($B457&gt;Input!$C$9,$AC457*AI457,0)+AK458/(1+$L457)*$R457))</f>
        <v>50059.127008467483</v>
      </c>
      <c r="AL457" s="164">
        <f>IF(AND($C456=12,$D456=Input!$C$6),0,IF($E457="","",IF($B457&gt;Input!$C$9,0,$AC457)+AL458/(1+$L457)*$R457))</f>
        <v>0</v>
      </c>
      <c r="AM457" s="160">
        <f t="shared" si="153"/>
        <v>1.1382936520186004</v>
      </c>
      <c r="AN457" s="164">
        <f>IF($E457="","",IF($B457&gt;Input!$C$9,$AI457*$AC457,$AM457*$AC457))</f>
        <v>0</v>
      </c>
      <c r="AO457" s="164">
        <f>IF(AND($C456=12,$D456=Input!$C$6),0,IF($E457="","",$AN457+AO458/(1+$L457)*$R457))</f>
        <v>50059.127008467483</v>
      </c>
      <c r="AP457" s="152"/>
      <c r="AQ457" s="164">
        <f t="shared" si="154"/>
        <v>-10658.13599979251</v>
      </c>
      <c r="AR457" s="164">
        <f t="shared" si="163"/>
        <v>-8383.6718872774254</v>
      </c>
      <c r="AS457" s="164">
        <f t="shared" si="164"/>
        <v>2676.0765550239234</v>
      </c>
      <c r="AT457" s="164">
        <f t="shared" si="155"/>
        <v>2676.0765550239234</v>
      </c>
      <c r="AU457" s="152"/>
      <c r="AV457" s="147">
        <f>'Deterministic Reserve'!BC457</f>
        <v>5.3494086226326606E-3</v>
      </c>
      <c r="AW457" s="164">
        <f t="shared" si="156"/>
        <v>2676.0765550239234</v>
      </c>
      <c r="AX457" s="164">
        <f t="shared" si="157"/>
        <v>14.315426998270082</v>
      </c>
      <c r="AY457" s="152"/>
    </row>
    <row r="458" spans="1:51" s="150" customFormat="1" x14ac:dyDescent="0.25">
      <c r="A458" s="150">
        <f t="shared" si="165"/>
        <v>454</v>
      </c>
      <c r="B458" s="150">
        <f t="shared" si="166"/>
        <v>38</v>
      </c>
      <c r="C458" s="150">
        <f t="shared" si="167"/>
        <v>10</v>
      </c>
      <c r="D458" s="150">
        <f>IF(E458="","",Input!$C$4+B458-1)</f>
        <v>82</v>
      </c>
      <c r="E458" s="150">
        <f>IF(OR(AND(C457=12,D457=Input!$C$6),E457=""),"",1)</f>
        <v>1</v>
      </c>
      <c r="F458" s="150">
        <f>IF(E458="","",Input!$C$8+B458-1)</f>
        <v>2055</v>
      </c>
      <c r="G458" s="151">
        <f>IF(E458="","",MAX(0,Input!$C$9-B458))</f>
        <v>0</v>
      </c>
      <c r="H458" s="152">
        <f>IF(E458="","",Input!$C$3)</f>
        <v>100000</v>
      </c>
      <c r="I458" s="153">
        <f>IF(E458="","",HLOOKUP($B458,Input!$C$13:$BT$14,2))</f>
        <v>137.02850000000001</v>
      </c>
      <c r="J458" s="154"/>
      <c r="K458" s="155">
        <f>IF($E458="","",Input!$C$57)</f>
        <v>4.4999999999999998E-2</v>
      </c>
      <c r="L458" s="155">
        <f t="shared" si="158"/>
        <v>3.6748094004368514E-3</v>
      </c>
      <c r="M458" s="147">
        <f>IF($E458="","",VLOOKUP(IF($B458&lt;=Input!$C$7,$B458,26),'Mortality Tables'!$A$72:$CA$97,IF($B458&lt;=Input!$C$7+1,Input!$C$4-16,$D458-Input!$C$7-16),0)/1000)</f>
        <v>5.5930000000000001E-2</v>
      </c>
      <c r="N458" s="147">
        <f t="shared" si="147"/>
        <v>4.784763294795602E-3</v>
      </c>
      <c r="O458" s="157">
        <f>IF($E458="","",IF($C458=12,IF($B458&lt;Input!$C$9,Input!$C$54,IF($B458=Input!$C$9,Input!$C$55,Input!$C$56)),0%))</f>
        <v>0</v>
      </c>
      <c r="P458" s="167">
        <f>IF($E458="","",IF($B458=1,Input!$C$59,IF($B458&lt;6,Input!$C$60,0%)))</f>
        <v>0</v>
      </c>
      <c r="Q458" s="162">
        <f>IF($E458="","",Input!$C$58)</f>
        <v>2.5</v>
      </c>
      <c r="R458" s="156">
        <f t="shared" si="159"/>
        <v>0.9952152367052044</v>
      </c>
      <c r="S458" s="154">
        <f t="shared" si="148"/>
        <v>6.2799901147552557E-3</v>
      </c>
      <c r="T458" s="152"/>
      <c r="U458" s="150">
        <f t="shared" si="160"/>
        <v>0</v>
      </c>
      <c r="V458" s="150">
        <f t="shared" si="161"/>
        <v>0</v>
      </c>
      <c r="W458" s="168">
        <f t="shared" si="162"/>
        <v>0</v>
      </c>
      <c r="X458" s="163">
        <f t="shared" si="149"/>
        <v>478.47632947956021</v>
      </c>
      <c r="Y458" s="152"/>
      <c r="Z458" s="164">
        <f>IF(AND($C457=12,$D457=Input!$C$6),0,IF($E458="","",V458+Z459/(1+L458)*R458))</f>
        <v>94881.033336336346</v>
      </c>
      <c r="AA458" s="164">
        <f>IF(OR($M458=1,AND($C457=12,$D457=Input!$C$6)),0,IF($E458="","",W458+(X458+AA459*$R458)/(1+$L458)))</f>
        <v>39255.132327634223</v>
      </c>
      <c r="AB458" s="160">
        <f t="shared" si="150"/>
        <v>0.825720328500681</v>
      </c>
      <c r="AC458" s="164">
        <f t="shared" si="151"/>
        <v>0</v>
      </c>
      <c r="AD458" s="164">
        <f>IF(AND($C457=12,$D457=Input!$C$6),0,IF($E458="","",$AC458+AD459/(1+$L458)*$R458))</f>
        <v>78345.198014963724</v>
      </c>
      <c r="AE458" s="152"/>
      <c r="AF458" s="164">
        <f>IF(AND($C457=12,$D457=Input!$C$6),0,IF($E458="","",IF($B458&gt;Input!$C$9,$AC458,0)+AF459/(1+$L458)*$R458))</f>
        <v>78345.198014963724</v>
      </c>
      <c r="AG458" s="164">
        <f>IF(AND($C457=12,$D457=Input!$C$6),0,IF($E458="","",(IF($B458&gt;Input!$C$9,$X458,0)+AG459)/(1+$L458)*$R458))</f>
        <v>38508.179230965696</v>
      </c>
      <c r="AH458" s="160">
        <f t="shared" si="152"/>
        <v>2.0950137211446997</v>
      </c>
      <c r="AI458" s="160">
        <f>IF($E458="","",MIN(Input!$C$61/AH458,1))</f>
        <v>0.64438718771845094</v>
      </c>
      <c r="AJ458" s="152"/>
      <c r="AK458" s="164">
        <f>IF(AND($C457=12,$D457=Input!$C$6),0,IF($E458="","",IF($B458&gt;Input!$C$9,$AC458*AI458,0)+AK459/(1+$L458)*$R458))</f>
        <v>50484.641820107616</v>
      </c>
      <c r="AL458" s="164">
        <f>IF(AND($C457=12,$D457=Input!$C$6),0,IF($E458="","",IF($B458&gt;Input!$C$9,0,$AC458)+AL459/(1+$L458)*$R458))</f>
        <v>0</v>
      </c>
      <c r="AM458" s="160">
        <f t="shared" si="153"/>
        <v>1.1382936520186004</v>
      </c>
      <c r="AN458" s="164">
        <f>IF($E458="","",IF($B458&gt;Input!$C$9,$AI458*$AC458,$AM458*$AC458))</f>
        <v>0</v>
      </c>
      <c r="AO458" s="164">
        <f>IF(AND($C457=12,$D457=Input!$C$6),0,IF($E458="","",$AN458+AO459/(1+$L458)*$R458))</f>
        <v>50484.641820107616</v>
      </c>
      <c r="AP458" s="152"/>
      <c r="AQ458" s="164">
        <f t="shared" si="154"/>
        <v>-11229.509492473393</v>
      </c>
      <c r="AR458" s="164">
        <f t="shared" si="163"/>
        <v>-8383.6718872774254</v>
      </c>
      <c r="AS458" s="164">
        <f t="shared" si="164"/>
        <v>2676.0765550239234</v>
      </c>
      <c r="AT458" s="164">
        <f t="shared" si="155"/>
        <v>2676.0765550239234</v>
      </c>
      <c r="AU458" s="152"/>
      <c r="AV458" s="147">
        <f>'Deterministic Reserve'!BC458</f>
        <v>5.2882878590148983E-3</v>
      </c>
      <c r="AW458" s="164">
        <f t="shared" si="156"/>
        <v>2676.0765550239234</v>
      </c>
      <c r="AX458" s="164">
        <f t="shared" si="157"/>
        <v>14.151863155727428</v>
      </c>
      <c r="AY458" s="152"/>
    </row>
    <row r="459" spans="1:51" s="150" customFormat="1" x14ac:dyDescent="0.25">
      <c r="A459" s="150">
        <f t="shared" si="165"/>
        <v>455</v>
      </c>
      <c r="B459" s="150">
        <f t="shared" si="166"/>
        <v>38</v>
      </c>
      <c r="C459" s="150">
        <f t="shared" si="167"/>
        <v>11</v>
      </c>
      <c r="D459" s="150">
        <f>IF(E459="","",Input!$C$4+B459-1)</f>
        <v>82</v>
      </c>
      <c r="E459" s="150">
        <f>IF(OR(AND(C458=12,D458=Input!$C$6),E458=""),"",1)</f>
        <v>1</v>
      </c>
      <c r="F459" s="150">
        <f>IF(E459="","",Input!$C$8+B459-1)</f>
        <v>2055</v>
      </c>
      <c r="G459" s="151">
        <f>IF(E459="","",MAX(0,Input!$C$9-B459))</f>
        <v>0</v>
      </c>
      <c r="H459" s="152">
        <f>IF(E459="","",Input!$C$3)</f>
        <v>100000</v>
      </c>
      <c r="I459" s="153">
        <f>IF(E459="","",HLOOKUP($B459,Input!$C$13:$BT$14,2))</f>
        <v>137.02850000000001</v>
      </c>
      <c r="J459" s="154"/>
      <c r="K459" s="155">
        <f>IF($E459="","",Input!$C$57)</f>
        <v>4.4999999999999998E-2</v>
      </c>
      <c r="L459" s="155">
        <f t="shared" si="158"/>
        <v>3.6748094004368514E-3</v>
      </c>
      <c r="M459" s="147">
        <f>IF($E459="","",VLOOKUP(IF($B459&lt;=Input!$C$7,$B459,26),'Mortality Tables'!$A$72:$CA$97,IF($B459&lt;=Input!$C$7+1,Input!$C$4-16,$D459-Input!$C$7-16),0)/1000)</f>
        <v>5.5930000000000001E-2</v>
      </c>
      <c r="N459" s="147">
        <f t="shared" si="147"/>
        <v>4.784763294795602E-3</v>
      </c>
      <c r="O459" s="157">
        <f>IF($E459="","",IF($C459=12,IF($B459&lt;Input!$C$9,Input!$C$54,IF($B459=Input!$C$9,Input!$C$55,Input!$C$56)),0%))</f>
        <v>0</v>
      </c>
      <c r="P459" s="167">
        <f>IF($E459="","",IF($B459=1,Input!$C$59,IF($B459&lt;6,Input!$C$60,0%)))</f>
        <v>0</v>
      </c>
      <c r="Q459" s="162">
        <f>IF($E459="","",Input!$C$58)</f>
        <v>2.5</v>
      </c>
      <c r="R459" s="156">
        <f t="shared" si="159"/>
        <v>0.9952152367052044</v>
      </c>
      <c r="S459" s="154">
        <f t="shared" si="148"/>
        <v>6.2499418485624956E-3</v>
      </c>
      <c r="T459" s="152"/>
      <c r="U459" s="150">
        <f t="shared" si="160"/>
        <v>0</v>
      </c>
      <c r="V459" s="150">
        <f t="shared" si="161"/>
        <v>0</v>
      </c>
      <c r="W459" s="168">
        <f t="shared" si="162"/>
        <v>0</v>
      </c>
      <c r="X459" s="163">
        <f t="shared" si="149"/>
        <v>478.47632947956021</v>
      </c>
      <c r="Y459" s="152"/>
      <c r="Z459" s="164">
        <f>IF(AND($C458=12,$D458=Input!$C$6),0,IF($E459="","",V459+Z460/(1+L459)*R459))</f>
        <v>95687.545304104045</v>
      </c>
      <c r="AA459" s="164">
        <f>IF(OR($M459=1,AND($C458=12,$D458=Input!$C$6)),0,IF($E459="","",W459+(X459+AA460*$R459)/(1+$L459)))</f>
        <v>39108.033812163711</v>
      </c>
      <c r="AB459" s="160">
        <f t="shared" si="150"/>
        <v>0.825720328500681</v>
      </c>
      <c r="AC459" s="164">
        <f t="shared" si="151"/>
        <v>0</v>
      </c>
      <c r="AD459" s="164">
        <f>IF(AND($C458=12,$D458=Input!$C$6),0,IF($E459="","",$AC459+AD460/(1+$L459)*$R459))</f>
        <v>79011.151341928606</v>
      </c>
      <c r="AE459" s="152"/>
      <c r="AF459" s="164">
        <f>IF(AND($C458=12,$D458=Input!$C$6),0,IF($E459="","",IF($B459&gt;Input!$C$9,$AC459,0)+AF460/(1+$L459)*$R459))</f>
        <v>79011.151341928606</v>
      </c>
      <c r="AG459" s="164">
        <f>IF(AND($C458=12,$D458=Input!$C$6),0,IF($E459="","",(IF($B459&gt;Input!$C$9,$X459,0)+AG460)/(1+$L459)*$R459))</f>
        <v>38357.031834515612</v>
      </c>
      <c r="AH459" s="160">
        <f t="shared" si="152"/>
        <v>2.0950137211446997</v>
      </c>
      <c r="AI459" s="160">
        <f>IF($E459="","",MIN(Input!$C$61/AH459,1))</f>
        <v>0.64438718771845094</v>
      </c>
      <c r="AJ459" s="152"/>
      <c r="AK459" s="164">
        <f>IF(AND($C458=12,$D458=Input!$C$6),0,IF($E459="","",IF($B459&gt;Input!$C$9,$AC459*AI459,0)+AK460/(1+$L459)*$R459))</f>
        <v>50913.773611622259</v>
      </c>
      <c r="AL459" s="164">
        <f>IF(AND($C458=12,$D458=Input!$C$6),0,IF($E459="","",IF($B459&gt;Input!$C$9,0,$AC459)+AL460/(1+$L459)*$R459))</f>
        <v>0</v>
      </c>
      <c r="AM459" s="160">
        <f t="shared" si="153"/>
        <v>1.1382936520186004</v>
      </c>
      <c r="AN459" s="164">
        <f>IF($E459="","",IF($B459&gt;Input!$C$9,$AI459*$AC459,$AM459*$AC459))</f>
        <v>0</v>
      </c>
      <c r="AO459" s="164">
        <f>IF(AND($C458=12,$D458=Input!$C$6),0,IF($E459="","",$AN459+AO460/(1+$L459)*$R459))</f>
        <v>50913.773611622259</v>
      </c>
      <c r="AP459" s="152"/>
      <c r="AQ459" s="164">
        <f t="shared" si="154"/>
        <v>-11805.739799458548</v>
      </c>
      <c r="AR459" s="164">
        <f t="shared" si="163"/>
        <v>-8383.6718872774254</v>
      </c>
      <c r="AS459" s="164">
        <f t="shared" si="164"/>
        <v>2676.0765550239234</v>
      </c>
      <c r="AT459" s="164">
        <f t="shared" si="155"/>
        <v>2676.0765550239234</v>
      </c>
      <c r="AU459" s="152"/>
      <c r="AV459" s="147">
        <f>'Deterministic Reserve'!BC459</f>
        <v>5.2278654431975663E-3</v>
      </c>
      <c r="AW459" s="164">
        <f t="shared" si="156"/>
        <v>2676.0765550239234</v>
      </c>
      <c r="AX459" s="164">
        <f t="shared" si="157"/>
        <v>13.99016814536076</v>
      </c>
      <c r="AY459" s="152"/>
    </row>
    <row r="460" spans="1:51" s="150" customFormat="1" x14ac:dyDescent="0.25">
      <c r="A460" s="150">
        <f t="shared" si="165"/>
        <v>456</v>
      </c>
      <c r="B460" s="150">
        <f t="shared" si="166"/>
        <v>38</v>
      </c>
      <c r="C460" s="150">
        <f t="shared" si="167"/>
        <v>12</v>
      </c>
      <c r="D460" s="150">
        <f>IF(E460="","",Input!$C$4+B460-1)</f>
        <v>82</v>
      </c>
      <c r="E460" s="150">
        <f>IF(OR(AND(C459=12,D459=Input!$C$6),E459=""),"",1)</f>
        <v>1</v>
      </c>
      <c r="F460" s="150">
        <f>IF(E460="","",Input!$C$8+B460-1)</f>
        <v>2055</v>
      </c>
      <c r="G460" s="151">
        <f>IF(E460="","",MAX(0,Input!$C$9-B460))</f>
        <v>0</v>
      </c>
      <c r="H460" s="152">
        <f>IF(E460="","",Input!$C$3)</f>
        <v>100000</v>
      </c>
      <c r="I460" s="153">
        <f>IF(E460="","",HLOOKUP($B460,Input!$C$13:$BT$14,2))</f>
        <v>137.02850000000001</v>
      </c>
      <c r="J460" s="154"/>
      <c r="K460" s="155">
        <f>IF($E460="","",Input!$C$57)</f>
        <v>4.4999999999999998E-2</v>
      </c>
      <c r="L460" s="155">
        <f t="shared" si="158"/>
        <v>3.6748094004368514E-3</v>
      </c>
      <c r="M460" s="147">
        <f>IF($E460="","",VLOOKUP(IF($B460&lt;=Input!$C$7,$B460,26),'Mortality Tables'!$A$72:$CA$97,IF($B460&lt;=Input!$C$7+1,Input!$C$4-16,$D460-Input!$C$7-16),0)/1000)</f>
        <v>5.5930000000000001E-2</v>
      </c>
      <c r="N460" s="147">
        <f t="shared" si="147"/>
        <v>4.784763294795602E-3</v>
      </c>
      <c r="O460" s="157">
        <f>IF($E460="","",IF($C460=12,IF($B460&lt;Input!$C$9,Input!$C$54,IF($B460=Input!$C$9,Input!$C$55,Input!$C$56)),0%))</f>
        <v>0.1</v>
      </c>
      <c r="P460" s="167">
        <f>IF($E460="","",IF($B460=1,Input!$C$59,IF($B460&lt;6,Input!$C$60,0%)))</f>
        <v>0</v>
      </c>
      <c r="Q460" s="162">
        <f>IF($E460="","",Input!$C$58)</f>
        <v>2.5</v>
      </c>
      <c r="R460" s="156">
        <f t="shared" si="159"/>
        <v>0.89521523670520442</v>
      </c>
      <c r="S460" s="154">
        <f t="shared" si="148"/>
        <v>5.5950431713546371E-3</v>
      </c>
      <c r="T460" s="152"/>
      <c r="U460" s="150">
        <f t="shared" si="160"/>
        <v>0</v>
      </c>
      <c r="V460" s="150">
        <f t="shared" si="161"/>
        <v>0</v>
      </c>
      <c r="W460" s="168">
        <f t="shared" si="162"/>
        <v>0</v>
      </c>
      <c r="X460" s="163">
        <f t="shared" si="149"/>
        <v>478.47632947956021</v>
      </c>
      <c r="Y460" s="152"/>
      <c r="Z460" s="164">
        <f>IF(AND($C459=12,$D459=Input!$C$6),0,IF($E460="","",V460+Z461/(1+L460)*R460))</f>
        <v>96500.912820670899</v>
      </c>
      <c r="AA460" s="164">
        <f>IF(OR($M460=1,AND($C459=12,$D459=Input!$C$6)),0,IF($E460="","",W460+(X460+AA461*$R460)/(1+$L460)))</f>
        <v>38959.684923367822</v>
      </c>
      <c r="AB460" s="160">
        <f t="shared" si="150"/>
        <v>0.825720328500681</v>
      </c>
      <c r="AC460" s="164">
        <f t="shared" si="151"/>
        <v>0</v>
      </c>
      <c r="AD460" s="164">
        <f>IF(AND($C459=12,$D459=Input!$C$6),0,IF($E460="","",$AC460+AD461/(1+$L460)*$R460))</f>
        <v>79682.765434899979</v>
      </c>
      <c r="AE460" s="152"/>
      <c r="AF460" s="164">
        <f>IF(AND($C459=12,$D459=Input!$C$6),0,IF($E460="","",IF($B460&gt;Input!$C$9,$AC460,0)+AF461/(1+$L460)*$R460))</f>
        <v>79682.765434899979</v>
      </c>
      <c r="AG460" s="164">
        <f>IF(AND($C459=12,$D459=Input!$C$6),0,IF($E460="","",(IF($B460&gt;Input!$C$9,$X460,0)+AG461)/(1+$L460)*$R460))</f>
        <v>38204.599648262469</v>
      </c>
      <c r="AH460" s="160">
        <f t="shared" si="152"/>
        <v>2.0950137211446997</v>
      </c>
      <c r="AI460" s="160">
        <f>IF($E460="","",MIN(Input!$C$61/AH460,1))</f>
        <v>0.64438718771845094</v>
      </c>
      <c r="AJ460" s="152"/>
      <c r="AK460" s="164">
        <f>IF(AND($C459=12,$D459=Input!$C$6),0,IF($E460="","",IF($B460&gt;Input!$C$9,$AC460*AI460,0)+AK461/(1+$L460)*$R460))</f>
        <v>51346.553128224165</v>
      </c>
      <c r="AL460" s="164">
        <f>IF(AND($C459=12,$D459=Input!$C$6),0,IF($E460="","",IF($B460&gt;Input!$C$9,0,$AC460)+AL461/(1+$L460)*$R460))</f>
        <v>0</v>
      </c>
      <c r="AM460" s="160">
        <f t="shared" si="153"/>
        <v>1.1382936520186004</v>
      </c>
      <c r="AN460" s="164">
        <f>IF($E460="","",IF($B460&gt;Input!$C$9,$AI460*$AC460,$AM460*$AC460))</f>
        <v>0</v>
      </c>
      <c r="AO460" s="164">
        <f>IF(AND($C459=12,$D459=Input!$C$6),0,IF($E460="","",$AN460+AO461/(1+$L460)*$R460))</f>
        <v>51346.553128224165</v>
      </c>
      <c r="AP460" s="152"/>
      <c r="AQ460" s="164">
        <f t="shared" si="154"/>
        <v>-12386.868204856342</v>
      </c>
      <c r="AR460" s="164">
        <f t="shared" si="163"/>
        <v>-8383.6718872774254</v>
      </c>
      <c r="AS460" s="164">
        <f t="shared" si="164"/>
        <v>2676.0765550239234</v>
      </c>
      <c r="AT460" s="164">
        <f t="shared" si="155"/>
        <v>2676.0765550239234</v>
      </c>
      <c r="AU460" s="152"/>
      <c r="AV460" s="147">
        <f>'Deterministic Reserve'!BC460</f>
        <v>4.6453468517451127E-3</v>
      </c>
      <c r="AW460" s="164">
        <f t="shared" si="156"/>
        <v>2676.0765550239234</v>
      </c>
      <c r="AX460" s="164">
        <f t="shared" si="157"/>
        <v>12.431303799909289</v>
      </c>
      <c r="AY460" s="152"/>
    </row>
    <row r="461" spans="1:51" s="150" customFormat="1" x14ac:dyDescent="0.25">
      <c r="A461" s="150">
        <f t="shared" si="165"/>
        <v>457</v>
      </c>
      <c r="B461" s="150">
        <f t="shared" si="166"/>
        <v>39</v>
      </c>
      <c r="C461" s="150">
        <f t="shared" si="167"/>
        <v>1</v>
      </c>
      <c r="D461" s="150">
        <f>IF(E461="","",Input!$C$4+B461-1)</f>
        <v>83</v>
      </c>
      <c r="E461" s="150">
        <f>IF(OR(AND(C460=12,D460=Input!$C$6),E460=""),"",1)</f>
        <v>1</v>
      </c>
      <c r="F461" s="150">
        <f>IF(E461="","",Input!$C$8+B461-1)</f>
        <v>2056</v>
      </c>
      <c r="G461" s="151">
        <f>IF(E461="","",MAX(0,Input!$C$9-B461))</f>
        <v>0</v>
      </c>
      <c r="H461" s="152">
        <f>IF(E461="","",Input!$C$3)</f>
        <v>100000</v>
      </c>
      <c r="I461" s="153">
        <f>IF(E461="","",HLOOKUP($B461,Input!$C$13:$BT$14,2))</f>
        <v>155.477</v>
      </c>
      <c r="J461" s="154"/>
      <c r="K461" s="155">
        <f>IF($E461="","",Input!$C$57)</f>
        <v>4.4999999999999998E-2</v>
      </c>
      <c r="L461" s="155">
        <f t="shared" si="158"/>
        <v>3.6748094004368514E-3</v>
      </c>
      <c r="M461" s="147">
        <f>IF($E461="","",VLOOKUP(IF($B461&lt;=Input!$C$7,$B461,26),'Mortality Tables'!$A$72:$CA$97,IF($B461&lt;=Input!$C$7+1,Input!$C$4-16,$D461-Input!$C$7-16),0)/1000)</f>
        <v>6.3460000000000003E-2</v>
      </c>
      <c r="N461" s="147">
        <f t="shared" si="147"/>
        <v>5.4486889013543038E-3</v>
      </c>
      <c r="O461" s="157">
        <f>IF($E461="","",IF($C461=12,IF($B461&lt;Input!$C$9,Input!$C$54,IF($B461=Input!$C$9,Input!$C$55,Input!$C$56)),0%))</f>
        <v>0</v>
      </c>
      <c r="P461" s="167">
        <f>IF($E461="","",IF($B461=1,Input!$C$59,IF($B461&lt;6,Input!$C$60,0%)))</f>
        <v>0</v>
      </c>
      <c r="Q461" s="162">
        <f>IF($E461="","",Input!$C$58)</f>
        <v>2.5</v>
      </c>
      <c r="R461" s="156">
        <f t="shared" si="159"/>
        <v>0.9945513110986457</v>
      </c>
      <c r="S461" s="154">
        <f t="shared" si="148"/>
        <v>5.5645575217242787E-3</v>
      </c>
      <c r="T461" s="152"/>
      <c r="U461" s="150">
        <f t="shared" si="160"/>
        <v>15547.7</v>
      </c>
      <c r="V461" s="150">
        <f t="shared" si="161"/>
        <v>15547.7</v>
      </c>
      <c r="W461" s="168">
        <f t="shared" si="162"/>
        <v>0</v>
      </c>
      <c r="X461" s="163">
        <f t="shared" si="149"/>
        <v>544.86889013543043</v>
      </c>
      <c r="Y461" s="152"/>
      <c r="Z461" s="164">
        <f>IF(AND($C460=12,$D460=Input!$C$6),0,IF($E461="","",V461+Z462/(1+L461)*R461))</f>
        <v>108192.45619492253</v>
      </c>
      <c r="AA461" s="164">
        <f>IF(OR($M461=1,AND($C460=12,$D460=Input!$C$6)),0,IF($E461="","",W461+(X461+AA462*$R461)/(1+$L461)))</f>
        <v>43145.353683252564</v>
      </c>
      <c r="AB461" s="160">
        <f t="shared" si="150"/>
        <v>0.825720328500681</v>
      </c>
      <c r="AC461" s="164">
        <f t="shared" si="151"/>
        <v>12838.051951430039</v>
      </c>
      <c r="AD461" s="164">
        <f>IF(AND($C460=12,$D460=Input!$C$6),0,IF($E461="","",$AC461+AD462/(1+$L461)*$R461))</f>
        <v>89336.710470567006</v>
      </c>
      <c r="AE461" s="152"/>
      <c r="AF461" s="164">
        <f>IF(AND($C460=12,$D460=Input!$C$6),0,IF($E461="","",IF($B461&gt;Input!$C$9,$AC461,0)+AF462/(1+$L461)*$R461))</f>
        <v>89336.710470567006</v>
      </c>
      <c r="AG461" s="164">
        <f>IF(AND($C460=12,$D460=Input!$C$6),0,IF($E461="","",(IF($B461&gt;Input!$C$9,$X461,0)+AG462)/(1+$L461)*$R461))</f>
        <v>42354.791803128071</v>
      </c>
      <c r="AH461" s="160">
        <f t="shared" si="152"/>
        <v>2.0950137211446997</v>
      </c>
      <c r="AI461" s="160">
        <f>IF($E461="","",MIN(Input!$C$61/AH461,1))</f>
        <v>0.64438718771845094</v>
      </c>
      <c r="AJ461" s="152"/>
      <c r="AK461" s="164">
        <f>IF(AND($C460=12,$D460=Input!$C$6),0,IF($E461="","",IF($B461&gt;Input!$C$9,$AC461*AI461,0)+AK462/(1+$L461)*$R461))</f>
        <v>57567.431620146133</v>
      </c>
      <c r="AL461" s="164">
        <f>IF(AND($C460=12,$D460=Input!$C$6),0,IF($E461="","",IF($B461&gt;Input!$C$9,0,$AC461)+AL462/(1+$L461)*$R461))</f>
        <v>0</v>
      </c>
      <c r="AM461" s="160">
        <f t="shared" si="153"/>
        <v>1.1382936520186004</v>
      </c>
      <c r="AN461" s="164">
        <f>IF($E461="","",IF($B461&gt;Input!$C$9,$AI461*$AC461,$AM461*$AC461))</f>
        <v>8272.6761927653733</v>
      </c>
      <c r="AO461" s="164">
        <f>IF(AND($C460=12,$D460=Input!$C$6),0,IF($E461="","",$AN461+AO462/(1+$L461)*$R461))</f>
        <v>57567.431620146133</v>
      </c>
      <c r="AP461" s="152"/>
      <c r="AQ461" s="164">
        <f t="shared" si="154"/>
        <v>-14422.077936893569</v>
      </c>
      <c r="AR461" s="164">
        <f t="shared" si="163"/>
        <v>-8611.9682079079939</v>
      </c>
      <c r="AS461" s="164">
        <f t="shared" si="164"/>
        <v>3036.3636363636365</v>
      </c>
      <c r="AT461" s="164">
        <f t="shared" si="155"/>
        <v>3036.3636363636365</v>
      </c>
      <c r="AU461" s="152"/>
      <c r="AV461" s="147">
        <f>'Deterministic Reserve'!BC461</f>
        <v>4.5849631319925341E-3</v>
      </c>
      <c r="AW461" s="164">
        <f t="shared" si="156"/>
        <v>3036.3636363636365</v>
      </c>
      <c r="AX461" s="164">
        <f t="shared" si="157"/>
        <v>13.921615328050059</v>
      </c>
      <c r="AY461" s="152"/>
    </row>
    <row r="462" spans="1:51" s="150" customFormat="1" x14ac:dyDescent="0.25">
      <c r="A462" s="150">
        <f t="shared" si="165"/>
        <v>458</v>
      </c>
      <c r="B462" s="150">
        <f t="shared" si="166"/>
        <v>39</v>
      </c>
      <c r="C462" s="150">
        <f t="shared" si="167"/>
        <v>2</v>
      </c>
      <c r="D462" s="150">
        <f>IF(E462="","",Input!$C$4+B462-1)</f>
        <v>83</v>
      </c>
      <c r="E462" s="150">
        <f>IF(OR(AND(C461=12,D461=Input!$C$6),E461=""),"",1)</f>
        <v>1</v>
      </c>
      <c r="F462" s="150">
        <f>IF(E462="","",Input!$C$8+B462-1)</f>
        <v>2056</v>
      </c>
      <c r="G462" s="151">
        <f>IF(E462="","",MAX(0,Input!$C$9-B462))</f>
        <v>0</v>
      </c>
      <c r="H462" s="152">
        <f>IF(E462="","",Input!$C$3)</f>
        <v>100000</v>
      </c>
      <c r="I462" s="153">
        <f>IF(E462="","",HLOOKUP($B462,Input!$C$13:$BT$14,2))</f>
        <v>155.477</v>
      </c>
      <c r="J462" s="154"/>
      <c r="K462" s="155">
        <f>IF($E462="","",Input!$C$57)</f>
        <v>4.4999999999999998E-2</v>
      </c>
      <c r="L462" s="155">
        <f t="shared" si="158"/>
        <v>3.6748094004368514E-3</v>
      </c>
      <c r="M462" s="147">
        <f>IF($E462="","",VLOOKUP(IF($B462&lt;=Input!$C$7,$B462,26),'Mortality Tables'!$A$72:$CA$97,IF($B462&lt;=Input!$C$7+1,Input!$C$4-16,$D462-Input!$C$7-16),0)/1000)</f>
        <v>6.3460000000000003E-2</v>
      </c>
      <c r="N462" s="147">
        <f t="shared" si="147"/>
        <v>5.4486889013543038E-3</v>
      </c>
      <c r="O462" s="157">
        <f>IF($E462="","",IF($C462=12,IF($B462&lt;Input!$C$9,Input!$C$54,IF($B462=Input!$C$9,Input!$C$55,Input!$C$56)),0%))</f>
        <v>0</v>
      </c>
      <c r="P462" s="167">
        <f>IF($E462="","",IF($B462=1,Input!$C$59,IF($B462&lt;6,Input!$C$60,0%)))</f>
        <v>0</v>
      </c>
      <c r="Q462" s="162">
        <f>IF($E462="","",Input!$C$58)</f>
        <v>2.5</v>
      </c>
      <c r="R462" s="156">
        <f t="shared" si="159"/>
        <v>0.9945513110986457</v>
      </c>
      <c r="S462" s="154">
        <f t="shared" si="148"/>
        <v>5.5342379789147123E-3</v>
      </c>
      <c r="T462" s="152"/>
      <c r="U462" s="150">
        <f t="shared" si="160"/>
        <v>0</v>
      </c>
      <c r="V462" s="150">
        <f t="shared" si="161"/>
        <v>0</v>
      </c>
      <c r="W462" s="168">
        <f t="shared" si="162"/>
        <v>0</v>
      </c>
      <c r="X462" s="163">
        <f t="shared" si="149"/>
        <v>544.86889013543043</v>
      </c>
      <c r="Y462" s="152"/>
      <c r="Z462" s="164">
        <f>IF(AND($C461=12,$D461=Input!$C$6),0,IF($E462="","",V462+Z463/(1+L462)*R462))</f>
        <v>93494.631175108851</v>
      </c>
      <c r="AA462" s="164">
        <f>IF(OR($M462=1,AND($C461=12,$D461=Input!$C$6)),0,IF($E462="","",W462+(X462+AA463*$R462)/(1+$L462)))</f>
        <v>42993.292821848605</v>
      </c>
      <c r="AB462" s="160">
        <f t="shared" si="150"/>
        <v>0.825720328500681</v>
      </c>
      <c r="AC462" s="164">
        <f t="shared" si="151"/>
        <v>0</v>
      </c>
      <c r="AD462" s="164">
        <f>IF(AND($C461=12,$D461=Input!$C$6),0,IF($E462="","",$AC462+AD463/(1+$L462)*$R462))</f>
        <v>77200.41756696091</v>
      </c>
      <c r="AE462" s="152"/>
      <c r="AF462" s="164">
        <f>IF(AND($C461=12,$D461=Input!$C$6),0,IF($E462="","",IF($B462&gt;Input!$C$9,$AC462,0)+AF463/(1+$L462)*$R462))</f>
        <v>77200.41756696091</v>
      </c>
      <c r="AG462" s="164">
        <f>IF(AND($C461=12,$D461=Input!$C$6),0,IF($E462="","",(IF($B462&gt;Input!$C$9,$X462,0)+AG463)/(1+$L462)*$R462))</f>
        <v>42198.46382262322</v>
      </c>
      <c r="AH462" s="160">
        <f t="shared" si="152"/>
        <v>2.0950137211446997</v>
      </c>
      <c r="AI462" s="160">
        <f>IF($E462="","",MIN(Input!$C$61/AH462,1))</f>
        <v>0.64438718771845094</v>
      </c>
      <c r="AJ462" s="152"/>
      <c r="AK462" s="164">
        <f>IF(AND($C461=12,$D461=Input!$C$6),0,IF($E462="","",IF($B462&gt;Input!$C$9,$AC462*AI462,0)+AK463/(1+$L462)*$R462))</f>
        <v>49746.959966664013</v>
      </c>
      <c r="AL462" s="164">
        <f>IF(AND($C461=12,$D461=Input!$C$6),0,IF($E462="","",IF($B462&gt;Input!$C$9,0,$AC462)+AL463/(1+$L462)*$R462))</f>
        <v>0</v>
      </c>
      <c r="AM462" s="160">
        <f t="shared" si="153"/>
        <v>1.1382936520186004</v>
      </c>
      <c r="AN462" s="164">
        <f>IF($E462="","",IF($B462&gt;Input!$C$9,$AI462*$AC462,$AM462*$AC462))</f>
        <v>0</v>
      </c>
      <c r="AO462" s="164">
        <f>IF(AND($C461=12,$D461=Input!$C$6),0,IF($E462="","",$AN462+AO463/(1+$L462)*$R462))</f>
        <v>49746.959966664013</v>
      </c>
      <c r="AP462" s="152"/>
      <c r="AQ462" s="164">
        <f t="shared" si="154"/>
        <v>-6753.6671448154084</v>
      </c>
      <c r="AR462" s="164">
        <f t="shared" si="163"/>
        <v>-8611.9682079079939</v>
      </c>
      <c r="AS462" s="164">
        <f t="shared" si="164"/>
        <v>3036.3636363636365</v>
      </c>
      <c r="AT462" s="164">
        <f t="shared" si="155"/>
        <v>3036.3636363636365</v>
      </c>
      <c r="AU462" s="152"/>
      <c r="AV462" s="147">
        <f>'Deterministic Reserve'!BC462</f>
        <v>4.5253643253427931E-3</v>
      </c>
      <c r="AW462" s="164">
        <f t="shared" si="156"/>
        <v>3036.3636363636365</v>
      </c>
      <c r="AX462" s="164">
        <f t="shared" si="157"/>
        <v>13.740651678768117</v>
      </c>
      <c r="AY462" s="152"/>
    </row>
    <row r="463" spans="1:51" s="150" customFormat="1" x14ac:dyDescent="0.25">
      <c r="A463" s="150">
        <f t="shared" si="165"/>
        <v>459</v>
      </c>
      <c r="B463" s="150">
        <f t="shared" si="166"/>
        <v>39</v>
      </c>
      <c r="C463" s="150">
        <f t="shared" si="167"/>
        <v>3</v>
      </c>
      <c r="D463" s="150">
        <f>IF(E463="","",Input!$C$4+B463-1)</f>
        <v>83</v>
      </c>
      <c r="E463" s="150">
        <f>IF(OR(AND(C462=12,D462=Input!$C$6),E462=""),"",1)</f>
        <v>1</v>
      </c>
      <c r="F463" s="150">
        <f>IF(E463="","",Input!$C$8+B463-1)</f>
        <v>2056</v>
      </c>
      <c r="G463" s="151">
        <f>IF(E463="","",MAX(0,Input!$C$9-B463))</f>
        <v>0</v>
      </c>
      <c r="H463" s="152">
        <f>IF(E463="","",Input!$C$3)</f>
        <v>100000</v>
      </c>
      <c r="I463" s="153">
        <f>IF(E463="","",HLOOKUP($B463,Input!$C$13:$BT$14,2))</f>
        <v>155.477</v>
      </c>
      <c r="J463" s="154"/>
      <c r="K463" s="155">
        <f>IF($E463="","",Input!$C$57)</f>
        <v>4.4999999999999998E-2</v>
      </c>
      <c r="L463" s="155">
        <f t="shared" si="158"/>
        <v>3.6748094004368514E-3</v>
      </c>
      <c r="M463" s="147">
        <f>IF($E463="","",VLOOKUP(IF($B463&lt;=Input!$C$7,$B463,26),'Mortality Tables'!$A$72:$CA$97,IF($B463&lt;=Input!$C$7+1,Input!$C$4-16,$D463-Input!$C$7-16),0)/1000)</f>
        <v>6.3460000000000003E-2</v>
      </c>
      <c r="N463" s="147">
        <f t="shared" si="147"/>
        <v>5.4486889013543038E-3</v>
      </c>
      <c r="O463" s="157">
        <f>IF($E463="","",IF($C463=12,IF($B463&lt;Input!$C$9,Input!$C$54,IF($B463=Input!$C$9,Input!$C$55,Input!$C$56)),0%))</f>
        <v>0</v>
      </c>
      <c r="P463" s="167">
        <f>IF($E463="","",IF($B463=1,Input!$C$59,IF($B463&lt;6,Input!$C$60,0%)))</f>
        <v>0</v>
      </c>
      <c r="Q463" s="162">
        <f>IF($E463="","",Input!$C$58)</f>
        <v>2.5</v>
      </c>
      <c r="R463" s="156">
        <f t="shared" si="159"/>
        <v>0.9945513110986457</v>
      </c>
      <c r="S463" s="154">
        <f t="shared" si="148"/>
        <v>5.5040836378615465E-3</v>
      </c>
      <c r="T463" s="152"/>
      <c r="U463" s="150">
        <f t="shared" si="160"/>
        <v>0</v>
      </c>
      <c r="V463" s="150">
        <f t="shared" si="161"/>
        <v>0</v>
      </c>
      <c r="W463" s="168">
        <f t="shared" si="162"/>
        <v>0</v>
      </c>
      <c r="X463" s="163">
        <f t="shared" si="149"/>
        <v>544.86889013543043</v>
      </c>
      <c r="Y463" s="152"/>
      <c r="Z463" s="164">
        <f>IF(AND($C462=12,$D462=Input!$C$6),0,IF($E463="","",V463+Z464/(1+L463)*R463))</f>
        <v>94352.302467915681</v>
      </c>
      <c r="AA463" s="164">
        <f>IF(OR($M463=1,AND($C462=12,$D462=Input!$C$6)),0,IF($E463="","",W463+(X463+AA464*$R463)/(1+$L463)))</f>
        <v>42839.837032907664</v>
      </c>
      <c r="AB463" s="160">
        <f t="shared" si="150"/>
        <v>0.825720328500681</v>
      </c>
      <c r="AC463" s="164">
        <f t="shared" si="151"/>
        <v>0</v>
      </c>
      <c r="AD463" s="164">
        <f>IF(AND($C462=12,$D462=Input!$C$6),0,IF($E463="","",$AC463+AD464/(1+$L463)*$R463))</f>
        <v>77908.614188602965</v>
      </c>
      <c r="AE463" s="152"/>
      <c r="AF463" s="164">
        <f>IF(AND($C462=12,$D462=Input!$C$6),0,IF($E463="","",IF($B463&gt;Input!$C$9,$AC463,0)+AF464/(1+$L463)*$R463))</f>
        <v>77908.614188602965</v>
      </c>
      <c r="AG463" s="164">
        <f>IF(AND($C462=12,$D462=Input!$C$6),0,IF($E463="","",(IF($B463&gt;Input!$C$9,$X463,0)+AG464)/(1+$L463)*$R463))</f>
        <v>42040.701770242202</v>
      </c>
      <c r="AH463" s="160">
        <f t="shared" si="152"/>
        <v>2.0950137211446997</v>
      </c>
      <c r="AI463" s="160">
        <f>IF($E463="","",MIN(Input!$C$61/AH463,1))</f>
        <v>0.64438718771845094</v>
      </c>
      <c r="AJ463" s="152"/>
      <c r="AK463" s="164">
        <f>IF(AND($C462=12,$D462=Input!$C$6),0,IF($E463="","",IF($B463&gt;Input!$C$9,$AC463*AI463,0)+AK464/(1+$L463)*$R463))</f>
        <v>50203.312796035643</v>
      </c>
      <c r="AL463" s="164">
        <f>IF(AND($C462=12,$D462=Input!$C$6),0,IF($E463="","",IF($B463&gt;Input!$C$9,0,$AC463)+AL464/(1+$L463)*$R463))</f>
        <v>0</v>
      </c>
      <c r="AM463" s="160">
        <f t="shared" si="153"/>
        <v>1.1382936520186004</v>
      </c>
      <c r="AN463" s="164">
        <f>IF($E463="","",IF($B463&gt;Input!$C$9,$AI463*$AC463,$AM463*$AC463))</f>
        <v>0</v>
      </c>
      <c r="AO463" s="164">
        <f>IF(AND($C462=12,$D462=Input!$C$6),0,IF($E463="","",$AN463+AO464/(1+$L463)*$R463))</f>
        <v>50203.312796035643</v>
      </c>
      <c r="AP463" s="152"/>
      <c r="AQ463" s="164">
        <f t="shared" si="154"/>
        <v>-7363.475763127979</v>
      </c>
      <c r="AR463" s="164">
        <f t="shared" si="163"/>
        <v>-8611.9682079079939</v>
      </c>
      <c r="AS463" s="164">
        <f t="shared" si="164"/>
        <v>3036.3636363636365</v>
      </c>
      <c r="AT463" s="164">
        <f t="shared" si="155"/>
        <v>3036.3636363636365</v>
      </c>
      <c r="AU463" s="152"/>
      <c r="AV463" s="147">
        <f>'Deterministic Reserve'!BC463</f>
        <v>4.4665402289037594E-3</v>
      </c>
      <c r="AW463" s="164">
        <f t="shared" si="156"/>
        <v>3036.3636363636365</v>
      </c>
      <c r="AX463" s="164">
        <f t="shared" si="157"/>
        <v>13.562040331398688</v>
      </c>
      <c r="AY463" s="152"/>
    </row>
    <row r="464" spans="1:51" s="150" customFormat="1" x14ac:dyDescent="0.25">
      <c r="A464" s="150">
        <f t="shared" si="165"/>
        <v>460</v>
      </c>
      <c r="B464" s="150">
        <f t="shared" si="166"/>
        <v>39</v>
      </c>
      <c r="C464" s="150">
        <f t="shared" si="167"/>
        <v>4</v>
      </c>
      <c r="D464" s="150">
        <f>IF(E464="","",Input!$C$4+B464-1)</f>
        <v>83</v>
      </c>
      <c r="E464" s="150">
        <f>IF(OR(AND(C463=12,D463=Input!$C$6),E463=""),"",1)</f>
        <v>1</v>
      </c>
      <c r="F464" s="150">
        <f>IF(E464="","",Input!$C$8+B464-1)</f>
        <v>2056</v>
      </c>
      <c r="G464" s="151">
        <f>IF(E464="","",MAX(0,Input!$C$9-B464))</f>
        <v>0</v>
      </c>
      <c r="H464" s="152">
        <f>IF(E464="","",Input!$C$3)</f>
        <v>100000</v>
      </c>
      <c r="I464" s="153">
        <f>IF(E464="","",HLOOKUP($B464,Input!$C$13:$BT$14,2))</f>
        <v>155.477</v>
      </c>
      <c r="J464" s="154"/>
      <c r="K464" s="155">
        <f>IF($E464="","",Input!$C$57)</f>
        <v>4.4999999999999998E-2</v>
      </c>
      <c r="L464" s="155">
        <f t="shared" si="158"/>
        <v>3.6748094004368514E-3</v>
      </c>
      <c r="M464" s="147">
        <f>IF($E464="","",VLOOKUP(IF($B464&lt;=Input!$C$7,$B464,26),'Mortality Tables'!$A$72:$CA$97,IF($B464&lt;=Input!$C$7+1,Input!$C$4-16,$D464-Input!$C$7-16),0)/1000)</f>
        <v>6.3460000000000003E-2</v>
      </c>
      <c r="N464" s="147">
        <f t="shared" si="147"/>
        <v>5.4486889013543038E-3</v>
      </c>
      <c r="O464" s="157">
        <f>IF($E464="","",IF($C464=12,IF($B464&lt;Input!$C$9,Input!$C$54,IF($B464=Input!$C$9,Input!$C$55,Input!$C$56)),0%))</f>
        <v>0</v>
      </c>
      <c r="P464" s="167">
        <f>IF($E464="","",IF($B464=1,Input!$C$59,IF($B464&lt;6,Input!$C$60,0%)))</f>
        <v>0</v>
      </c>
      <c r="Q464" s="162">
        <f>IF($E464="","",Input!$C$58)</f>
        <v>2.5</v>
      </c>
      <c r="R464" s="156">
        <f t="shared" si="159"/>
        <v>0.9945513110986457</v>
      </c>
      <c r="S464" s="154">
        <f t="shared" si="148"/>
        <v>5.4740935984318043E-3</v>
      </c>
      <c r="T464" s="152"/>
      <c r="U464" s="150">
        <f t="shared" si="160"/>
        <v>0</v>
      </c>
      <c r="V464" s="150">
        <f t="shared" si="161"/>
        <v>0</v>
      </c>
      <c r="W464" s="168">
        <f t="shared" si="162"/>
        <v>0</v>
      </c>
      <c r="X464" s="163">
        <f t="shared" si="149"/>
        <v>544.86889013543043</v>
      </c>
      <c r="Y464" s="152"/>
      <c r="Z464" s="164">
        <f>IF(AND($C463=12,$D463=Input!$C$6),0,IF($E464="","",V464+Z465/(1+L464)*R464))</f>
        <v>95217.841592674551</v>
      </c>
      <c r="AA464" s="164">
        <f>IF(OR($M464=1,AND($C463=12,$D463=Input!$C$6)),0,IF($E464="","",W464+(X464+AA465*$R464)/(1+$L464)))</f>
        <v>42684.973520087449</v>
      </c>
      <c r="AB464" s="160">
        <f t="shared" si="150"/>
        <v>0.825720328500681</v>
      </c>
      <c r="AC464" s="164">
        <f t="shared" si="151"/>
        <v>0</v>
      </c>
      <c r="AD464" s="164">
        <f>IF(AND($C463=12,$D463=Input!$C$6),0,IF($E464="","",$AC464+AD465/(1+$L464)*$R464))</f>
        <v>78623.307439029057</v>
      </c>
      <c r="AE464" s="152"/>
      <c r="AF464" s="164">
        <f>IF(AND($C463=12,$D463=Input!$C$6),0,IF($E464="","",IF($B464&gt;Input!$C$9,$AC464,0)+AF465/(1+$L464)*$R464))</f>
        <v>78623.307439029057</v>
      </c>
      <c r="AG464" s="164">
        <f>IF(AND($C463=12,$D463=Input!$C$6),0,IF($E464="","",(IF($B464&gt;Input!$C$9,$X464,0)+AG465)/(1+$L464)*$R464))</f>
        <v>41881.492490552817</v>
      </c>
      <c r="AH464" s="160">
        <f t="shared" si="152"/>
        <v>2.0950137211446997</v>
      </c>
      <c r="AI464" s="160">
        <f>IF($E464="","",MIN(Input!$C$61/AH464,1))</f>
        <v>0.64438718771845094</v>
      </c>
      <c r="AJ464" s="152"/>
      <c r="AK464" s="164">
        <f>IF(AND($C463=12,$D463=Input!$C$6),0,IF($E464="","",IF($B464&gt;Input!$C$9,$AC464*AI464,0)+AK465/(1+$L464)*$R464))</f>
        <v>50663.851969759075</v>
      </c>
      <c r="AL464" s="164">
        <f>IF(AND($C463=12,$D463=Input!$C$6),0,IF($E464="","",IF($B464&gt;Input!$C$9,0,$AC464)+AL465/(1+$L464)*$R464))</f>
        <v>0</v>
      </c>
      <c r="AM464" s="160">
        <f t="shared" si="153"/>
        <v>1.1382936520186004</v>
      </c>
      <c r="AN464" s="164">
        <f>IF($E464="","",IF($B464&gt;Input!$C$9,$AI464*$AC464,$AM464*$AC464))</f>
        <v>0</v>
      </c>
      <c r="AO464" s="164">
        <f>IF(AND($C463=12,$D463=Input!$C$6),0,IF($E464="","",$AN464+AO465/(1+$L464)*$R464))</f>
        <v>50663.851969759075</v>
      </c>
      <c r="AP464" s="152"/>
      <c r="AQ464" s="164">
        <f t="shared" si="154"/>
        <v>-7978.8784496716253</v>
      </c>
      <c r="AR464" s="164">
        <f t="shared" si="163"/>
        <v>-8611.9682079079939</v>
      </c>
      <c r="AS464" s="164">
        <f t="shared" si="164"/>
        <v>3036.3636363636365</v>
      </c>
      <c r="AT464" s="164">
        <f t="shared" si="155"/>
        <v>3036.3636363636365</v>
      </c>
      <c r="AU464" s="152"/>
      <c r="AV464" s="147">
        <f>'Deterministic Reserve'!BC464</f>
        <v>4.4084807724081862E-3</v>
      </c>
      <c r="AW464" s="164">
        <f t="shared" si="156"/>
        <v>3036.3636363636365</v>
      </c>
      <c r="AX464" s="164">
        <f t="shared" si="157"/>
        <v>13.385750708948493</v>
      </c>
      <c r="AY464" s="152"/>
    </row>
    <row r="465" spans="1:51" s="150" customFormat="1" x14ac:dyDescent="0.25">
      <c r="A465" s="150">
        <f t="shared" si="165"/>
        <v>461</v>
      </c>
      <c r="B465" s="150">
        <f t="shared" si="166"/>
        <v>39</v>
      </c>
      <c r="C465" s="150">
        <f t="shared" si="167"/>
        <v>5</v>
      </c>
      <c r="D465" s="150">
        <f>IF(E465="","",Input!$C$4+B465-1)</f>
        <v>83</v>
      </c>
      <c r="E465" s="150">
        <f>IF(OR(AND(C464=12,D464=Input!$C$6),E464=""),"",1)</f>
        <v>1</v>
      </c>
      <c r="F465" s="150">
        <f>IF(E465="","",Input!$C$8+B465-1)</f>
        <v>2056</v>
      </c>
      <c r="G465" s="151">
        <f>IF(E465="","",MAX(0,Input!$C$9-B465))</f>
        <v>0</v>
      </c>
      <c r="H465" s="152">
        <f>IF(E465="","",Input!$C$3)</f>
        <v>100000</v>
      </c>
      <c r="I465" s="153">
        <f>IF(E465="","",HLOOKUP($B465,Input!$C$13:$BT$14,2))</f>
        <v>155.477</v>
      </c>
      <c r="J465" s="154"/>
      <c r="K465" s="155">
        <f>IF($E465="","",Input!$C$57)</f>
        <v>4.4999999999999998E-2</v>
      </c>
      <c r="L465" s="155">
        <f t="shared" si="158"/>
        <v>3.6748094004368514E-3</v>
      </c>
      <c r="M465" s="147">
        <f>IF($E465="","",VLOOKUP(IF($B465&lt;=Input!$C$7,$B465,26),'Mortality Tables'!$A$72:$CA$97,IF($B465&lt;=Input!$C$7+1,Input!$C$4-16,$D465-Input!$C$7-16),0)/1000)</f>
        <v>6.3460000000000003E-2</v>
      </c>
      <c r="N465" s="147">
        <f t="shared" si="147"/>
        <v>5.4486889013543038E-3</v>
      </c>
      <c r="O465" s="157">
        <f>IF($E465="","",IF($C465=12,IF($B465&lt;Input!$C$9,Input!$C$54,IF($B465=Input!$C$9,Input!$C$55,Input!$C$56)),0%))</f>
        <v>0</v>
      </c>
      <c r="P465" s="167">
        <f>IF($E465="","",IF($B465=1,Input!$C$59,IF($B465&lt;6,Input!$C$60,0%)))</f>
        <v>0</v>
      </c>
      <c r="Q465" s="162">
        <f>IF($E465="","",Input!$C$58)</f>
        <v>2.5</v>
      </c>
      <c r="R465" s="156">
        <f t="shared" si="159"/>
        <v>0.9945513110986457</v>
      </c>
      <c r="S465" s="154">
        <f t="shared" si="148"/>
        <v>5.4442669653970545E-3</v>
      </c>
      <c r="T465" s="152"/>
      <c r="U465" s="150">
        <f t="shared" si="160"/>
        <v>0</v>
      </c>
      <c r="V465" s="150">
        <f t="shared" si="161"/>
        <v>0</v>
      </c>
      <c r="W465" s="168">
        <f t="shared" si="162"/>
        <v>0</v>
      </c>
      <c r="X465" s="163">
        <f t="shared" si="149"/>
        <v>544.86889013543043</v>
      </c>
      <c r="Y465" s="152"/>
      <c r="Z465" s="164">
        <f>IF(AND($C464=12,$D464=Input!$C$6),0,IF($E465="","",V465+Z466/(1+L465)*R465))</f>
        <v>96091.320724798308</v>
      </c>
      <c r="AA465" s="164">
        <f>IF(OR($M465=1,AND($C464=12,$D464=Input!$C$6)),0,IF($E465="","",W465+(X465+AA466*$R465)/(1+$L465)))</f>
        <v>42528.689369658641</v>
      </c>
      <c r="AB465" s="160">
        <f t="shared" si="150"/>
        <v>0.825720328500681</v>
      </c>
      <c r="AC465" s="164">
        <f t="shared" si="151"/>
        <v>0</v>
      </c>
      <c r="AD465" s="164">
        <f>IF(AND($C464=12,$D464=Input!$C$6),0,IF($E465="","",$AC465+AD466/(1+$L465)*$R465))</f>
        <v>79344.556914944769</v>
      </c>
      <c r="AE465" s="152"/>
      <c r="AF465" s="164">
        <f>IF(AND($C464=12,$D464=Input!$C$6),0,IF($E465="","",IF($B465&gt;Input!$C$9,$AC465,0)+AF466/(1+$L465)*$R465))</f>
        <v>79344.556914944769</v>
      </c>
      <c r="AG465" s="164">
        <f>IF(AND($C464=12,$D464=Input!$C$6),0,IF($E465="","",(IF($B465&gt;Input!$C$9,$X465,0)+AG466)/(1+$L465)*$R465))</f>
        <v>41720.822707441774</v>
      </c>
      <c r="AH465" s="160">
        <f t="shared" si="152"/>
        <v>2.0950137211446997</v>
      </c>
      <c r="AI465" s="160">
        <f>IF($E465="","",MIN(Input!$C$61/AH465,1))</f>
        <v>0.64438718771845094</v>
      </c>
      <c r="AJ465" s="152"/>
      <c r="AK465" s="164">
        <f>IF(AND($C464=12,$D464=Input!$C$6),0,IF($E465="","",IF($B465&gt;Input!$C$9,$AC465*AI465,0)+AK466/(1+$L465)*$R465))</f>
        <v>51128.615891187808</v>
      </c>
      <c r="AL465" s="164">
        <f>IF(AND($C464=12,$D464=Input!$C$6),0,IF($E465="","",IF($B465&gt;Input!$C$9,0,$AC465)+AL466/(1+$L465)*$R465))</f>
        <v>0</v>
      </c>
      <c r="AM465" s="160">
        <f t="shared" si="153"/>
        <v>1.1382936520186004</v>
      </c>
      <c r="AN465" s="164">
        <f>IF($E465="","",IF($B465&gt;Input!$C$9,$AI465*$AC465,$AM465*$AC465))</f>
        <v>0</v>
      </c>
      <c r="AO465" s="164">
        <f>IF(AND($C464=12,$D464=Input!$C$6),0,IF($E465="","",$AN465+AO466/(1+$L465)*$R465))</f>
        <v>51128.615891187808</v>
      </c>
      <c r="AP465" s="152"/>
      <c r="AQ465" s="164">
        <f t="shared" si="154"/>
        <v>-8599.9265215291671</v>
      </c>
      <c r="AR465" s="164">
        <f t="shared" si="163"/>
        <v>-8611.9682079079939</v>
      </c>
      <c r="AS465" s="164">
        <f t="shared" si="164"/>
        <v>3036.3636363636365</v>
      </c>
      <c r="AT465" s="164">
        <f t="shared" si="155"/>
        <v>3036.3636363636365</v>
      </c>
      <c r="AU465" s="152"/>
      <c r="AV465" s="147">
        <f>'Deterministic Reserve'!BC465</f>
        <v>4.3511760164897505E-3</v>
      </c>
      <c r="AW465" s="164">
        <f t="shared" si="156"/>
        <v>3036.3636363636365</v>
      </c>
      <c r="AX465" s="164">
        <f t="shared" si="157"/>
        <v>13.211752631887061</v>
      </c>
      <c r="AY465" s="152"/>
    </row>
    <row r="466" spans="1:51" s="150" customFormat="1" x14ac:dyDescent="0.25">
      <c r="A466" s="150">
        <f t="shared" si="165"/>
        <v>462</v>
      </c>
      <c r="B466" s="150">
        <f t="shared" si="166"/>
        <v>39</v>
      </c>
      <c r="C466" s="150">
        <f t="shared" si="167"/>
        <v>6</v>
      </c>
      <c r="D466" s="150">
        <f>IF(E466="","",Input!$C$4+B466-1)</f>
        <v>83</v>
      </c>
      <c r="E466" s="150">
        <f>IF(OR(AND(C465=12,D465=Input!$C$6),E465=""),"",1)</f>
        <v>1</v>
      </c>
      <c r="F466" s="150">
        <f>IF(E466="","",Input!$C$8+B466-1)</f>
        <v>2056</v>
      </c>
      <c r="G466" s="151">
        <f>IF(E466="","",MAX(0,Input!$C$9-B466))</f>
        <v>0</v>
      </c>
      <c r="H466" s="152">
        <f>IF(E466="","",Input!$C$3)</f>
        <v>100000</v>
      </c>
      <c r="I466" s="153">
        <f>IF(E466="","",HLOOKUP($B466,Input!$C$13:$BT$14,2))</f>
        <v>155.477</v>
      </c>
      <c r="J466" s="154"/>
      <c r="K466" s="155">
        <f>IF($E466="","",Input!$C$57)</f>
        <v>4.4999999999999998E-2</v>
      </c>
      <c r="L466" s="155">
        <f t="shared" si="158"/>
        <v>3.6748094004368514E-3</v>
      </c>
      <c r="M466" s="147">
        <f>IF($E466="","",VLOOKUP(IF($B466&lt;=Input!$C$7,$B466,26),'Mortality Tables'!$A$72:$CA$97,IF($B466&lt;=Input!$C$7+1,Input!$C$4-16,$D466-Input!$C$7-16),0)/1000)</f>
        <v>6.3460000000000003E-2</v>
      </c>
      <c r="N466" s="147">
        <f t="shared" si="147"/>
        <v>5.4486889013543038E-3</v>
      </c>
      <c r="O466" s="157">
        <f>IF($E466="","",IF($C466=12,IF($B466&lt;Input!$C$9,Input!$C$54,IF($B466=Input!$C$9,Input!$C$55,Input!$C$56)),0%))</f>
        <v>0</v>
      </c>
      <c r="P466" s="167">
        <f>IF($E466="","",IF($B466=1,Input!$C$59,IF($B466&lt;6,Input!$C$60,0%)))</f>
        <v>0</v>
      </c>
      <c r="Q466" s="162">
        <f>IF($E466="","",Input!$C$58)</f>
        <v>2.5</v>
      </c>
      <c r="R466" s="156">
        <f t="shared" si="159"/>
        <v>0.9945513110986457</v>
      </c>
      <c r="S466" s="154">
        <f t="shared" si="148"/>
        <v>5.4146028484066853E-3</v>
      </c>
      <c r="T466" s="152"/>
      <c r="U466" s="150">
        <f t="shared" si="160"/>
        <v>0</v>
      </c>
      <c r="V466" s="150">
        <f t="shared" si="161"/>
        <v>0</v>
      </c>
      <c r="W466" s="168">
        <f t="shared" si="162"/>
        <v>0</v>
      </c>
      <c r="X466" s="163">
        <f t="shared" si="149"/>
        <v>544.86889013543043</v>
      </c>
      <c r="Y466" s="152"/>
      <c r="Z466" s="164">
        <f>IF(AND($C465=12,$D465=Input!$C$6),0,IF($E466="","",V466+Z467/(1+L466)*R466))</f>
        <v>96972.812701799587</v>
      </c>
      <c r="AA466" s="164">
        <f>IF(OR($M466=1,AND($C465=12,$D465=Input!$C$6)),0,IF($E466="","",W466+(X466+AA467*$R466)/(1+$L466)))</f>
        <v>42370.971549428061</v>
      </c>
      <c r="AB466" s="160">
        <f t="shared" si="150"/>
        <v>0.825720328500681</v>
      </c>
      <c r="AC466" s="164">
        <f t="shared" si="151"/>
        <v>0</v>
      </c>
      <c r="AD466" s="164">
        <f>IF(AND($C465=12,$D465=Input!$C$6),0,IF($E466="","",$AC466+AD467/(1+$L466)*$R466))</f>
        <v>80072.422759764988</v>
      </c>
      <c r="AE466" s="152"/>
      <c r="AF466" s="164">
        <f>IF(AND($C465=12,$D465=Input!$C$6),0,IF($E466="","",IF($B466&gt;Input!$C$9,$AC466,0)+AF467/(1+$L466)*$R466))</f>
        <v>80072.422759764988</v>
      </c>
      <c r="AG466" s="164">
        <f>IF(AND($C465=12,$D465=Input!$C$6),0,IF($E466="","",(IF($B466&gt;Input!$C$9,$X466,0)+AG467)/(1+$L466)*$R466))</f>
        <v>41558.679023007593</v>
      </c>
      <c r="AH466" s="160">
        <f t="shared" si="152"/>
        <v>2.0950137211446997</v>
      </c>
      <c r="AI466" s="160">
        <f>IF($E466="","",MIN(Input!$C$61/AH466,1))</f>
        <v>0.64438718771845094</v>
      </c>
      <c r="AJ466" s="152"/>
      <c r="AK466" s="164">
        <f>IF(AND($C465=12,$D465=Input!$C$6),0,IF($E466="","",IF($B466&gt;Input!$C$9,$AC466*AI466,0)+AK467/(1+$L466)*$R466))</f>
        <v>51597.64331596782</v>
      </c>
      <c r="AL466" s="164">
        <f>IF(AND($C465=12,$D465=Input!$C$6),0,IF($E466="","",IF($B466&gt;Input!$C$9,0,$AC466)+AL467/(1+$L466)*$R466))</f>
        <v>0</v>
      </c>
      <c r="AM466" s="160">
        <f t="shared" si="153"/>
        <v>1.1382936520186004</v>
      </c>
      <c r="AN466" s="164">
        <f>IF($E466="","",IF($B466&gt;Input!$C$9,$AI466*$AC466,$AM466*$AC466))</f>
        <v>0</v>
      </c>
      <c r="AO466" s="164">
        <f>IF(AND($C465=12,$D465=Input!$C$6),0,IF($E466="","",$AN466+AO467/(1+$L466)*$R466))</f>
        <v>51597.64331596782</v>
      </c>
      <c r="AP466" s="152"/>
      <c r="AQ466" s="164">
        <f t="shared" si="154"/>
        <v>-9226.6717665397591</v>
      </c>
      <c r="AR466" s="164">
        <f t="shared" si="163"/>
        <v>-8611.9682079079939</v>
      </c>
      <c r="AS466" s="164">
        <f t="shared" si="164"/>
        <v>3036.3636363636365</v>
      </c>
      <c r="AT466" s="164">
        <f t="shared" si="155"/>
        <v>3036.3636363636365</v>
      </c>
      <c r="AU466" s="152"/>
      <c r="AV466" s="147">
        <f>'Deterministic Reserve'!BC466</f>
        <v>4.2946161509815044E-3</v>
      </c>
      <c r="AW466" s="164">
        <f t="shared" si="156"/>
        <v>3036.3636363636365</v>
      </c>
      <c r="AX466" s="164">
        <f t="shared" si="157"/>
        <v>13.040016312980205</v>
      </c>
      <c r="AY466" s="152"/>
    </row>
    <row r="467" spans="1:51" s="150" customFormat="1" x14ac:dyDescent="0.25">
      <c r="A467" s="150">
        <f t="shared" si="165"/>
        <v>463</v>
      </c>
      <c r="B467" s="150">
        <f t="shared" si="166"/>
        <v>39</v>
      </c>
      <c r="C467" s="150">
        <f t="shared" si="167"/>
        <v>7</v>
      </c>
      <c r="D467" s="150">
        <f>IF(E467="","",Input!$C$4+B467-1)</f>
        <v>83</v>
      </c>
      <c r="E467" s="150">
        <f>IF(OR(AND(C466=12,D466=Input!$C$6),E466=""),"",1)</f>
        <v>1</v>
      </c>
      <c r="F467" s="150">
        <f>IF(E467="","",Input!$C$8+B467-1)</f>
        <v>2056</v>
      </c>
      <c r="G467" s="151">
        <f>IF(E467="","",MAX(0,Input!$C$9-B467))</f>
        <v>0</v>
      </c>
      <c r="H467" s="152">
        <f>IF(E467="","",Input!$C$3)</f>
        <v>100000</v>
      </c>
      <c r="I467" s="153">
        <f>IF(E467="","",HLOOKUP($B467,Input!$C$13:$BT$14,2))</f>
        <v>155.477</v>
      </c>
      <c r="J467" s="154"/>
      <c r="K467" s="155">
        <f>IF($E467="","",Input!$C$57)</f>
        <v>4.4999999999999998E-2</v>
      </c>
      <c r="L467" s="155">
        <f t="shared" si="158"/>
        <v>3.6748094004368514E-3</v>
      </c>
      <c r="M467" s="147">
        <f>IF($E467="","",VLOOKUP(IF($B467&lt;=Input!$C$7,$B467,26),'Mortality Tables'!$A$72:$CA$97,IF($B467&lt;=Input!$C$7+1,Input!$C$4-16,$D467-Input!$C$7-16),0)/1000)</f>
        <v>6.3460000000000003E-2</v>
      </c>
      <c r="N467" s="147">
        <f t="shared" si="147"/>
        <v>5.4486889013543038E-3</v>
      </c>
      <c r="O467" s="157">
        <f>IF($E467="","",IF($C467=12,IF($B467&lt;Input!$C$9,Input!$C$54,IF($B467=Input!$C$9,Input!$C$55,Input!$C$56)),0%))</f>
        <v>0</v>
      </c>
      <c r="P467" s="167">
        <f>IF($E467="","",IF($B467=1,Input!$C$59,IF($B467&lt;6,Input!$C$60,0%)))</f>
        <v>0</v>
      </c>
      <c r="Q467" s="162">
        <f>IF($E467="","",Input!$C$58)</f>
        <v>2.5</v>
      </c>
      <c r="R467" s="156">
        <f t="shared" si="159"/>
        <v>0.9945513110986457</v>
      </c>
      <c r="S467" s="154">
        <f t="shared" si="148"/>
        <v>5.3851003619613301E-3</v>
      </c>
      <c r="T467" s="152"/>
      <c r="U467" s="150">
        <f t="shared" si="160"/>
        <v>0</v>
      </c>
      <c r="V467" s="150">
        <f t="shared" si="161"/>
        <v>0</v>
      </c>
      <c r="W467" s="168">
        <f t="shared" si="162"/>
        <v>0</v>
      </c>
      <c r="X467" s="163">
        <f t="shared" si="149"/>
        <v>544.86889013543043</v>
      </c>
      <c r="Y467" s="152"/>
      <c r="Z467" s="164">
        <f>IF(AND($C466=12,$D466=Input!$C$6),0,IF($E467="","",V467+Z468/(1+L467)*R467))</f>
        <v>97862.391029364662</v>
      </c>
      <c r="AA467" s="164">
        <f>IF(OR($M467=1,AND($C466=12,$D466=Input!$C$6)),0,IF($E467="","",W467+(X467+AA468*$R467)/(1+$L467)))</f>
        <v>42211.806907651939</v>
      </c>
      <c r="AB467" s="160">
        <f t="shared" si="150"/>
        <v>0.825720328500681</v>
      </c>
      <c r="AC467" s="164">
        <f t="shared" si="151"/>
        <v>0</v>
      </c>
      <c r="AD467" s="164">
        <f>IF(AND($C466=12,$D466=Input!$C$6),0,IF($E467="","",$AC467+AD468/(1+$L467)*$R467))</f>
        <v>80806.965668629113</v>
      </c>
      <c r="AE467" s="152"/>
      <c r="AF467" s="164">
        <f>IF(AND($C466=12,$D466=Input!$C$6),0,IF($E467="","",IF($B467&gt;Input!$C$9,$AC467,0)+AF468/(1+$L467)*$R467))</f>
        <v>80806.965668629113</v>
      </c>
      <c r="AG467" s="164">
        <f>IF(AND($C466=12,$D466=Input!$C$6),0,IF($E467="","",(IF($B467&gt;Input!$C$9,$X467,0)+AG468)/(1+$L467)*$R467))</f>
        <v>41395.047916443371</v>
      </c>
      <c r="AH467" s="160">
        <f t="shared" si="152"/>
        <v>2.0950137211446997</v>
      </c>
      <c r="AI467" s="160">
        <f>IF($E467="","",MIN(Input!$C$61/AH467,1))</f>
        <v>0.64438718771845094</v>
      </c>
      <c r="AJ467" s="152"/>
      <c r="AK467" s="164">
        <f>IF(AND($C466=12,$D466=Input!$C$6),0,IF($E467="","",IF($B467&gt;Input!$C$9,$AC467*AI467,0)+AK468/(1+$L467)*$R467))</f>
        <v>52070.9733552693</v>
      </c>
      <c r="AL467" s="164">
        <f>IF(AND($C466=12,$D466=Input!$C$6),0,IF($E467="","",IF($B467&gt;Input!$C$9,0,$AC467)+AL468/(1+$L467)*$R467))</f>
        <v>0</v>
      </c>
      <c r="AM467" s="160">
        <f t="shared" si="153"/>
        <v>1.1382936520186004</v>
      </c>
      <c r="AN467" s="164">
        <f>IF($E467="","",IF($B467&gt;Input!$C$9,$AI467*$AC467,$AM467*$AC467))</f>
        <v>0</v>
      </c>
      <c r="AO467" s="164">
        <f>IF(AND($C466=12,$D466=Input!$C$6),0,IF($E467="","",$AN467+AO468/(1+$L467)*$R467))</f>
        <v>52070.9733552693</v>
      </c>
      <c r="AP467" s="152"/>
      <c r="AQ467" s="164">
        <f t="shared" si="154"/>
        <v>-9859.166447617361</v>
      </c>
      <c r="AR467" s="164">
        <f t="shared" si="163"/>
        <v>-8611.9682079079939</v>
      </c>
      <c r="AS467" s="164">
        <f t="shared" si="164"/>
        <v>3036.3636363636365</v>
      </c>
      <c r="AT467" s="164">
        <f t="shared" si="155"/>
        <v>3036.3636363636365</v>
      </c>
      <c r="AU467" s="152"/>
      <c r="AV467" s="147">
        <f>'Deterministic Reserve'!BC467</f>
        <v>4.2387914932364443E-3</v>
      </c>
      <c r="AW467" s="164">
        <f t="shared" si="156"/>
        <v>3036.3636363636365</v>
      </c>
      <c r="AX467" s="164">
        <f t="shared" si="157"/>
        <v>12.870512352190659</v>
      </c>
      <c r="AY467" s="152"/>
    </row>
    <row r="468" spans="1:51" s="150" customFormat="1" x14ac:dyDescent="0.25">
      <c r="A468" s="150">
        <f t="shared" si="165"/>
        <v>464</v>
      </c>
      <c r="B468" s="150">
        <f t="shared" si="166"/>
        <v>39</v>
      </c>
      <c r="C468" s="150">
        <f t="shared" si="167"/>
        <v>8</v>
      </c>
      <c r="D468" s="150">
        <f>IF(E468="","",Input!$C$4+B468-1)</f>
        <v>83</v>
      </c>
      <c r="E468" s="150">
        <f>IF(OR(AND(C467=12,D467=Input!$C$6),E467=""),"",1)</f>
        <v>1</v>
      </c>
      <c r="F468" s="150">
        <f>IF(E468="","",Input!$C$8+B468-1)</f>
        <v>2056</v>
      </c>
      <c r="G468" s="151">
        <f>IF(E468="","",MAX(0,Input!$C$9-B468))</f>
        <v>0</v>
      </c>
      <c r="H468" s="152">
        <f>IF(E468="","",Input!$C$3)</f>
        <v>100000</v>
      </c>
      <c r="I468" s="153">
        <f>IF(E468="","",HLOOKUP($B468,Input!$C$13:$BT$14,2))</f>
        <v>155.477</v>
      </c>
      <c r="J468" s="154"/>
      <c r="K468" s="155">
        <f>IF($E468="","",Input!$C$57)</f>
        <v>4.4999999999999998E-2</v>
      </c>
      <c r="L468" s="155">
        <f t="shared" si="158"/>
        <v>3.6748094004368514E-3</v>
      </c>
      <c r="M468" s="147">
        <f>IF($E468="","",VLOOKUP(IF($B468&lt;=Input!$C$7,$B468,26),'Mortality Tables'!$A$72:$CA$97,IF($B468&lt;=Input!$C$7+1,Input!$C$4-16,$D468-Input!$C$7-16),0)/1000)</f>
        <v>6.3460000000000003E-2</v>
      </c>
      <c r="N468" s="147">
        <f t="shared" si="147"/>
        <v>5.4486889013543038E-3</v>
      </c>
      <c r="O468" s="157">
        <f>IF($E468="","",IF($C468=12,IF($B468&lt;Input!$C$9,Input!$C$54,IF($B468=Input!$C$9,Input!$C$55,Input!$C$56)),0%))</f>
        <v>0</v>
      </c>
      <c r="P468" s="167">
        <f>IF($E468="","",IF($B468=1,Input!$C$59,IF($B468&lt;6,Input!$C$60,0%)))</f>
        <v>0</v>
      </c>
      <c r="Q468" s="162">
        <f>IF($E468="","",Input!$C$58)</f>
        <v>2.5</v>
      </c>
      <c r="R468" s="156">
        <f t="shared" si="159"/>
        <v>0.9945513110986457</v>
      </c>
      <c r="S468" s="154">
        <f t="shared" si="148"/>
        <v>5.3557586253864323E-3</v>
      </c>
      <c r="T468" s="152"/>
      <c r="U468" s="150">
        <f t="shared" si="160"/>
        <v>0</v>
      </c>
      <c r="V468" s="150">
        <f t="shared" si="161"/>
        <v>0</v>
      </c>
      <c r="W468" s="168">
        <f t="shared" si="162"/>
        <v>0</v>
      </c>
      <c r="X468" s="163">
        <f t="shared" si="149"/>
        <v>544.86889013543043</v>
      </c>
      <c r="Y468" s="152"/>
      <c r="Z468" s="164">
        <f>IF(AND($C467=12,$D467=Input!$C$6),0,IF($E468="","",V468+Z469/(1+L468)*R468))</f>
        <v>98760.129887482835</v>
      </c>
      <c r="AA468" s="164">
        <f>IF(OR($M468=1,AND($C467=12,$D467=Input!$C$6)),0,IF($E468="","",W468+(X468+AA469*$R468)/(1+$L468)))</f>
        <v>42051.182171939246</v>
      </c>
      <c r="AB468" s="160">
        <f t="shared" si="150"/>
        <v>0.825720328500681</v>
      </c>
      <c r="AC468" s="164">
        <f t="shared" si="151"/>
        <v>0</v>
      </c>
      <c r="AD468" s="164">
        <f>IF(AND($C467=12,$D467=Input!$C$6),0,IF($E468="","",$AC468+AD469/(1+$L468)*$R468))</f>
        <v>81548.246893462274</v>
      </c>
      <c r="AE468" s="152"/>
      <c r="AF468" s="164">
        <f>IF(AND($C467=12,$D467=Input!$C$6),0,IF($E468="","",IF($B468&gt;Input!$C$9,$AC468,0)+AF469/(1+$L468)*$R468))</f>
        <v>81548.246893462274</v>
      </c>
      <c r="AG468" s="164">
        <f>IF(AND($C467=12,$D467=Input!$C$6),0,IF($E468="","",(IF($B468&gt;Input!$C$9,$X468,0)+AG469)/(1+$L468)*$R468))</f>
        <v>41229.915742909361</v>
      </c>
      <c r="AH468" s="160">
        <f t="shared" si="152"/>
        <v>2.0950137211446997</v>
      </c>
      <c r="AI468" s="160">
        <f>IF($E468="","",MIN(Input!$C$61/AH468,1))</f>
        <v>0.64438718771845094</v>
      </c>
      <c r="AJ468" s="152"/>
      <c r="AK468" s="164">
        <f>IF(AND($C467=12,$D467=Input!$C$6),0,IF($E468="","",IF($B468&gt;Input!$C$9,$AC468*AI468,0)+AK469/(1+$L468)*$R468))</f>
        <v>52548.645479048027</v>
      </c>
      <c r="AL468" s="164">
        <f>IF(AND($C467=12,$D467=Input!$C$6),0,IF($E468="","",IF($B468&gt;Input!$C$9,0,$AC468)+AL469/(1+$L468)*$R468))</f>
        <v>0</v>
      </c>
      <c r="AM468" s="160">
        <f t="shared" si="153"/>
        <v>1.1382936520186004</v>
      </c>
      <c r="AN468" s="164">
        <f>IF($E468="","",IF($B468&gt;Input!$C$9,$AI468*$AC468,$AM468*$AC468))</f>
        <v>0</v>
      </c>
      <c r="AO468" s="164">
        <f>IF(AND($C467=12,$D467=Input!$C$6),0,IF($E468="","",$AN468+AO469/(1+$L468)*$R468))</f>
        <v>52548.645479048027</v>
      </c>
      <c r="AP468" s="152"/>
      <c r="AQ468" s="164">
        <f t="shared" si="154"/>
        <v>-10497.463307108781</v>
      </c>
      <c r="AR468" s="164">
        <f t="shared" si="163"/>
        <v>-8611.9682079079939</v>
      </c>
      <c r="AS468" s="164">
        <f t="shared" si="164"/>
        <v>3036.3636363636365</v>
      </c>
      <c r="AT468" s="164">
        <f t="shared" si="155"/>
        <v>3036.3636363636365</v>
      </c>
      <c r="AU468" s="152"/>
      <c r="AV468" s="147">
        <f>'Deterministic Reserve'!BC468</f>
        <v>4.1836924864699105E-3</v>
      </c>
      <c r="AW468" s="164">
        <f t="shared" si="156"/>
        <v>3036.3636363636365</v>
      </c>
      <c r="AX468" s="164">
        <f t="shared" si="157"/>
        <v>12.703211731645002</v>
      </c>
      <c r="AY468" s="152"/>
    </row>
    <row r="469" spans="1:51" s="150" customFormat="1" x14ac:dyDescent="0.25">
      <c r="A469" s="150">
        <f t="shared" si="165"/>
        <v>465</v>
      </c>
      <c r="B469" s="150">
        <f t="shared" si="166"/>
        <v>39</v>
      </c>
      <c r="C469" s="150">
        <f t="shared" si="167"/>
        <v>9</v>
      </c>
      <c r="D469" s="150">
        <f>IF(E469="","",Input!$C$4+B469-1)</f>
        <v>83</v>
      </c>
      <c r="E469" s="150">
        <f>IF(OR(AND(C468=12,D468=Input!$C$6),E468=""),"",1)</f>
        <v>1</v>
      </c>
      <c r="F469" s="150">
        <f>IF(E469="","",Input!$C$8+B469-1)</f>
        <v>2056</v>
      </c>
      <c r="G469" s="151">
        <f>IF(E469="","",MAX(0,Input!$C$9-B469))</f>
        <v>0</v>
      </c>
      <c r="H469" s="152">
        <f>IF(E469="","",Input!$C$3)</f>
        <v>100000</v>
      </c>
      <c r="I469" s="153">
        <f>IF(E469="","",HLOOKUP($B469,Input!$C$13:$BT$14,2))</f>
        <v>155.477</v>
      </c>
      <c r="J469" s="154"/>
      <c r="K469" s="155">
        <f>IF($E469="","",Input!$C$57)</f>
        <v>4.4999999999999998E-2</v>
      </c>
      <c r="L469" s="155">
        <f t="shared" si="158"/>
        <v>3.6748094004368514E-3</v>
      </c>
      <c r="M469" s="147">
        <f>IF($E469="","",VLOOKUP(IF($B469&lt;=Input!$C$7,$B469,26),'Mortality Tables'!$A$72:$CA$97,IF($B469&lt;=Input!$C$7+1,Input!$C$4-16,$D469-Input!$C$7-16),0)/1000)</f>
        <v>6.3460000000000003E-2</v>
      </c>
      <c r="N469" s="147">
        <f t="shared" si="147"/>
        <v>5.4486889013543038E-3</v>
      </c>
      <c r="O469" s="157">
        <f>IF($E469="","",IF($C469=12,IF($B469&lt;Input!$C$9,Input!$C$54,IF($B469=Input!$C$9,Input!$C$55,Input!$C$56)),0%))</f>
        <v>0</v>
      </c>
      <c r="P469" s="167">
        <f>IF($E469="","",IF($B469=1,Input!$C$59,IF($B469&lt;6,Input!$C$60,0%)))</f>
        <v>0</v>
      </c>
      <c r="Q469" s="162">
        <f>IF($E469="","",Input!$C$58)</f>
        <v>2.5</v>
      </c>
      <c r="R469" s="156">
        <f t="shared" si="159"/>
        <v>0.9945513110986457</v>
      </c>
      <c r="S469" s="154">
        <f t="shared" si="148"/>
        <v>5.3265767628059568E-3</v>
      </c>
      <c r="T469" s="152"/>
      <c r="U469" s="150">
        <f t="shared" si="160"/>
        <v>0</v>
      </c>
      <c r="V469" s="150">
        <f t="shared" si="161"/>
        <v>0</v>
      </c>
      <c r="W469" s="168">
        <f t="shared" si="162"/>
        <v>0</v>
      </c>
      <c r="X469" s="163">
        <f t="shared" si="149"/>
        <v>544.86889013543043</v>
      </c>
      <c r="Y469" s="152"/>
      <c r="Z469" s="164">
        <f>IF(AND($C468=12,$D468=Input!$C$6),0,IF($E469="","",V469+Z470/(1+L469)*R469))</f>
        <v>99666.104136632217</v>
      </c>
      <c r="AA469" s="164">
        <f>IF(OR($M469=1,AND($C468=12,$D468=Input!$C$6)),0,IF($E469="","",W469+(X469+AA470*$R469)/(1+$L469)))</f>
        <v>41889.083948144893</v>
      </c>
      <c r="AB469" s="160">
        <f t="shared" si="150"/>
        <v>0.825720328500681</v>
      </c>
      <c r="AC469" s="164">
        <f t="shared" si="151"/>
        <v>0</v>
      </c>
      <c r="AD469" s="164">
        <f>IF(AND($C468=12,$D468=Input!$C$6),0,IF($E469="","",$AC469+AD470/(1+$L469)*$R469))</f>
        <v>82296.328248083053</v>
      </c>
      <c r="AE469" s="152"/>
      <c r="AF469" s="164">
        <f>IF(AND($C468=12,$D468=Input!$C$6),0,IF($E469="","",IF($B469&gt;Input!$C$9,$AC469,0)+AF470/(1+$L469)*$R469))</f>
        <v>82296.328248083053</v>
      </c>
      <c r="AG469" s="164">
        <f>IF(AND($C468=12,$D468=Input!$C$6),0,IF($E469="","",(IF($B469&gt;Input!$C$9,$X469,0)+AG470)/(1+$L469)*$R469))</f>
        <v>41063.268732395096</v>
      </c>
      <c r="AH469" s="160">
        <f t="shared" si="152"/>
        <v>2.0950137211446997</v>
      </c>
      <c r="AI469" s="160">
        <f>IF($E469="","",MIN(Input!$C$61/AH469,1))</f>
        <v>0.64438718771845094</v>
      </c>
      <c r="AJ469" s="152"/>
      <c r="AK469" s="164">
        <f>IF(AND($C468=12,$D468=Input!$C$6),0,IF($E469="","",IF($B469&gt;Input!$C$9,$AC469*AI469,0)+AK470/(1+$L469)*$R469))</f>
        <v>53030.699519336718</v>
      </c>
      <c r="AL469" s="164">
        <f>IF(AND($C468=12,$D468=Input!$C$6),0,IF($E469="","",IF($B469&gt;Input!$C$9,0,$AC469)+AL470/(1+$L469)*$R469))</f>
        <v>0</v>
      </c>
      <c r="AM469" s="160">
        <f t="shared" si="153"/>
        <v>1.1382936520186004</v>
      </c>
      <c r="AN469" s="164">
        <f>IF($E469="","",IF($B469&gt;Input!$C$9,$AI469*$AC469,$AM469*$AC469))</f>
        <v>0</v>
      </c>
      <c r="AO469" s="164">
        <f>IF(AND($C468=12,$D468=Input!$C$6),0,IF($E469="","",$AN469+AO470/(1+$L469)*$R469))</f>
        <v>53030.699519336718</v>
      </c>
      <c r="AP469" s="152"/>
      <c r="AQ469" s="164">
        <f t="shared" si="154"/>
        <v>-11141.615571191825</v>
      </c>
      <c r="AR469" s="164">
        <f t="shared" si="163"/>
        <v>-8611.9682079079939</v>
      </c>
      <c r="AS469" s="164">
        <f t="shared" si="164"/>
        <v>3036.3636363636365</v>
      </c>
      <c r="AT469" s="164">
        <f t="shared" si="155"/>
        <v>3036.3636363636365</v>
      </c>
      <c r="AU469" s="152"/>
      <c r="AV469" s="147">
        <f>'Deterministic Reserve'!BC469</f>
        <v>4.1293096981235332E-3</v>
      </c>
      <c r="AW469" s="164">
        <f t="shared" si="156"/>
        <v>3036.3636363636365</v>
      </c>
      <c r="AX469" s="164">
        <f t="shared" si="157"/>
        <v>12.538085810666001</v>
      </c>
      <c r="AY469" s="152"/>
    </row>
    <row r="470" spans="1:51" s="150" customFormat="1" x14ac:dyDescent="0.25">
      <c r="A470" s="150">
        <f t="shared" si="165"/>
        <v>466</v>
      </c>
      <c r="B470" s="150">
        <f t="shared" si="166"/>
        <v>39</v>
      </c>
      <c r="C470" s="150">
        <f t="shared" si="167"/>
        <v>10</v>
      </c>
      <c r="D470" s="150">
        <f>IF(E470="","",Input!$C$4+B470-1)</f>
        <v>83</v>
      </c>
      <c r="E470" s="150">
        <f>IF(OR(AND(C469=12,D469=Input!$C$6),E469=""),"",1)</f>
        <v>1</v>
      </c>
      <c r="F470" s="150">
        <f>IF(E470="","",Input!$C$8+B470-1)</f>
        <v>2056</v>
      </c>
      <c r="G470" s="151">
        <f>IF(E470="","",MAX(0,Input!$C$9-B470))</f>
        <v>0</v>
      </c>
      <c r="H470" s="152">
        <f>IF(E470="","",Input!$C$3)</f>
        <v>100000</v>
      </c>
      <c r="I470" s="153">
        <f>IF(E470="","",HLOOKUP($B470,Input!$C$13:$BT$14,2))</f>
        <v>155.477</v>
      </c>
      <c r="J470" s="154"/>
      <c r="K470" s="155">
        <f>IF($E470="","",Input!$C$57)</f>
        <v>4.4999999999999998E-2</v>
      </c>
      <c r="L470" s="155">
        <f t="shared" si="158"/>
        <v>3.6748094004368514E-3</v>
      </c>
      <c r="M470" s="147">
        <f>IF($E470="","",VLOOKUP(IF($B470&lt;=Input!$C$7,$B470,26),'Mortality Tables'!$A$72:$CA$97,IF($B470&lt;=Input!$C$7+1,Input!$C$4-16,$D470-Input!$C$7-16),0)/1000)</f>
        <v>6.3460000000000003E-2</v>
      </c>
      <c r="N470" s="147">
        <f t="shared" si="147"/>
        <v>5.4486889013543038E-3</v>
      </c>
      <c r="O470" s="157">
        <f>IF($E470="","",IF($C470=12,IF($B470&lt;Input!$C$9,Input!$C$54,IF($B470=Input!$C$9,Input!$C$55,Input!$C$56)),0%))</f>
        <v>0</v>
      </c>
      <c r="P470" s="167">
        <f>IF($E470="","",IF($B470=1,Input!$C$59,IF($B470&lt;6,Input!$C$60,0%)))</f>
        <v>0</v>
      </c>
      <c r="Q470" s="162">
        <f>IF($E470="","",Input!$C$58)</f>
        <v>2.5</v>
      </c>
      <c r="R470" s="156">
        <f t="shared" si="159"/>
        <v>0.9945513110986457</v>
      </c>
      <c r="S470" s="154">
        <f t="shared" si="148"/>
        <v>5.2975539031162441E-3</v>
      </c>
      <c r="T470" s="152"/>
      <c r="U470" s="150">
        <f t="shared" si="160"/>
        <v>0</v>
      </c>
      <c r="V470" s="150">
        <f t="shared" si="161"/>
        <v>0</v>
      </c>
      <c r="W470" s="168">
        <f t="shared" si="162"/>
        <v>0</v>
      </c>
      <c r="X470" s="163">
        <f t="shared" si="149"/>
        <v>544.86889013543043</v>
      </c>
      <c r="Y470" s="152"/>
      <c r="Z470" s="164">
        <f>IF(AND($C469=12,$D469=Input!$C$6),0,IF($E470="","",V470+Z471/(1+L470)*R470))</f>
        <v>100580.38932402212</v>
      </c>
      <c r="AA470" s="164">
        <f>IF(OR($M470=1,AND($C469=12,$D469=Input!$C$6)),0,IF($E470="","",W470+(X470+AA471*$R470)/(1+$L470)))</f>
        <v>41725.498719252857</v>
      </c>
      <c r="AB470" s="160">
        <f t="shared" si="150"/>
        <v>0.825720328500681</v>
      </c>
      <c r="AC470" s="164">
        <f t="shared" si="151"/>
        <v>0</v>
      </c>
      <c r="AD470" s="164">
        <f>IF(AND($C469=12,$D469=Input!$C$6),0,IF($E470="","",$AC470+AD471/(1+$L470)*$R470))</f>
        <v>83051.272113357962</v>
      </c>
      <c r="AE470" s="152"/>
      <c r="AF470" s="164">
        <f>IF(AND($C469=12,$D469=Input!$C$6),0,IF($E470="","",IF($B470&gt;Input!$C$9,$AC470,0)+AF471/(1+$L470)*$R470))</f>
        <v>83051.272113357962</v>
      </c>
      <c r="AG470" s="164">
        <f>IF(AND($C469=12,$D469=Input!$C$6),0,IF($E470="","",(IF($B470&gt;Input!$C$9,$X470,0)+AG471)/(1+$L470)*$R470))</f>
        <v>40895.092988571188</v>
      </c>
      <c r="AH470" s="160">
        <f t="shared" si="152"/>
        <v>2.0950137211446997</v>
      </c>
      <c r="AI470" s="160">
        <f>IF($E470="","",MIN(Input!$C$61/AH470,1))</f>
        <v>0.64438718771845094</v>
      </c>
      <c r="AJ470" s="152"/>
      <c r="AK470" s="164">
        <f>IF(AND($C469=12,$D469=Input!$C$6),0,IF($E470="","",IF($B470&gt;Input!$C$9,$AC470*AI470,0)+AK471/(1+$L470)*$R470))</f>
        <v>53517.175673566511</v>
      </c>
      <c r="AL470" s="164">
        <f>IF(AND($C469=12,$D469=Input!$C$6),0,IF($E470="","",IF($B470&gt;Input!$C$9,0,$AC470)+AL471/(1+$L470)*$R470))</f>
        <v>0</v>
      </c>
      <c r="AM470" s="160">
        <f t="shared" si="153"/>
        <v>1.1382936520186004</v>
      </c>
      <c r="AN470" s="164">
        <f>IF($E470="","",IF($B470&gt;Input!$C$9,$AI470*$AC470,$AM470*$AC470))</f>
        <v>0</v>
      </c>
      <c r="AO470" s="164">
        <f>IF(AND($C469=12,$D469=Input!$C$6),0,IF($E470="","",$AN470+AO471/(1+$L470)*$R470))</f>
        <v>53517.175673566511</v>
      </c>
      <c r="AP470" s="152"/>
      <c r="AQ470" s="164">
        <f t="shared" si="154"/>
        <v>-11791.676954313654</v>
      </c>
      <c r="AR470" s="164">
        <f t="shared" si="163"/>
        <v>-8611.9682079079939</v>
      </c>
      <c r="AS470" s="164">
        <f t="shared" si="164"/>
        <v>3036.3636363636365</v>
      </c>
      <c r="AT470" s="164">
        <f t="shared" si="155"/>
        <v>3036.3636363636365</v>
      </c>
      <c r="AU470" s="152"/>
      <c r="AV470" s="147">
        <f>'Deterministic Reserve'!BC470</f>
        <v>4.0756338182504461E-3</v>
      </c>
      <c r="AW470" s="164">
        <f t="shared" si="156"/>
        <v>3036.3636363636365</v>
      </c>
      <c r="AX470" s="164">
        <f t="shared" si="157"/>
        <v>12.375106320869536</v>
      </c>
      <c r="AY470" s="152"/>
    </row>
    <row r="471" spans="1:51" s="150" customFormat="1" x14ac:dyDescent="0.25">
      <c r="A471" s="150">
        <f t="shared" si="165"/>
        <v>467</v>
      </c>
      <c r="B471" s="150">
        <f t="shared" si="166"/>
        <v>39</v>
      </c>
      <c r="C471" s="150">
        <f t="shared" si="167"/>
        <v>11</v>
      </c>
      <c r="D471" s="150">
        <f>IF(E471="","",Input!$C$4+B471-1)</f>
        <v>83</v>
      </c>
      <c r="E471" s="150">
        <f>IF(OR(AND(C470=12,D470=Input!$C$6),E470=""),"",1)</f>
        <v>1</v>
      </c>
      <c r="F471" s="150">
        <f>IF(E471="","",Input!$C$8+B471-1)</f>
        <v>2056</v>
      </c>
      <c r="G471" s="151">
        <f>IF(E471="","",MAX(0,Input!$C$9-B471))</f>
        <v>0</v>
      </c>
      <c r="H471" s="152">
        <f>IF(E471="","",Input!$C$3)</f>
        <v>100000</v>
      </c>
      <c r="I471" s="153">
        <f>IF(E471="","",HLOOKUP($B471,Input!$C$13:$BT$14,2))</f>
        <v>155.477</v>
      </c>
      <c r="J471" s="154"/>
      <c r="K471" s="155">
        <f>IF($E471="","",Input!$C$57)</f>
        <v>4.4999999999999998E-2</v>
      </c>
      <c r="L471" s="155">
        <f t="shared" si="158"/>
        <v>3.6748094004368514E-3</v>
      </c>
      <c r="M471" s="147">
        <f>IF($E471="","",VLOOKUP(IF($B471&lt;=Input!$C$7,$B471,26),'Mortality Tables'!$A$72:$CA$97,IF($B471&lt;=Input!$C$7+1,Input!$C$4-16,$D471-Input!$C$7-16),0)/1000)</f>
        <v>6.3460000000000003E-2</v>
      </c>
      <c r="N471" s="147">
        <f t="shared" si="147"/>
        <v>5.4486889013543038E-3</v>
      </c>
      <c r="O471" s="157">
        <f>IF($E471="","",IF($C471=12,IF($B471&lt;Input!$C$9,Input!$C$54,IF($B471=Input!$C$9,Input!$C$55,Input!$C$56)),0%))</f>
        <v>0</v>
      </c>
      <c r="P471" s="167">
        <f>IF($E471="","",IF($B471=1,Input!$C$59,IF($B471&lt;6,Input!$C$60,0%)))</f>
        <v>0</v>
      </c>
      <c r="Q471" s="162">
        <f>IF($E471="","",Input!$C$58)</f>
        <v>2.5</v>
      </c>
      <c r="R471" s="156">
        <f t="shared" si="159"/>
        <v>0.9945513110986457</v>
      </c>
      <c r="S471" s="154">
        <f t="shared" si="148"/>
        <v>5.2686891799600087E-3</v>
      </c>
      <c r="T471" s="152"/>
      <c r="U471" s="150">
        <f t="shared" si="160"/>
        <v>0</v>
      </c>
      <c r="V471" s="150">
        <f t="shared" si="161"/>
        <v>0</v>
      </c>
      <c r="W471" s="168">
        <f t="shared" si="162"/>
        <v>0</v>
      </c>
      <c r="X471" s="163">
        <f t="shared" si="149"/>
        <v>544.86889013543043</v>
      </c>
      <c r="Y471" s="152"/>
      <c r="Z471" s="164">
        <f>IF(AND($C470=12,$D470=Input!$C$6),0,IF($E471="","",V471+Z472/(1+L471)*R471))</f>
        <v>101503.06168989283</v>
      </c>
      <c r="AA471" s="164">
        <f>IF(OR($M471=1,AND($C470=12,$D470=Input!$C$6)),0,IF($E471="","",W471+(X471+AA472*$R471)/(1+$L471)))</f>
        <v>41560.412844249018</v>
      </c>
      <c r="AB471" s="160">
        <f t="shared" si="150"/>
        <v>0.825720328500681</v>
      </c>
      <c r="AC471" s="164">
        <f t="shared" si="151"/>
        <v>0</v>
      </c>
      <c r="AD471" s="164">
        <f>IF(AND($C470=12,$D470=Input!$C$6),0,IF($E471="","",$AC471+AD472/(1+$L471)*$R471))</f>
        <v>83813.141442403226</v>
      </c>
      <c r="AE471" s="152"/>
      <c r="AF471" s="164">
        <f>IF(AND($C470=12,$D470=Input!$C$6),0,IF($E471="","",IF($B471&gt;Input!$C$9,$AC471,0)+AF472/(1+$L471)*$R471))</f>
        <v>83813.141442403226</v>
      </c>
      <c r="AG471" s="164">
        <f>IF(AND($C470=12,$D470=Input!$C$6),0,IF($E471="","",(IF($B471&gt;Input!$C$9,$X471,0)+AG472)/(1+$L471)*$R471))</f>
        <v>40725.374487630521</v>
      </c>
      <c r="AH471" s="160">
        <f t="shared" si="152"/>
        <v>2.0950137211446997</v>
      </c>
      <c r="AI471" s="160">
        <f>IF($E471="","",MIN(Input!$C$61/AH471,1))</f>
        <v>0.64438718771845094</v>
      </c>
      <c r="AJ471" s="152"/>
      <c r="AK471" s="164">
        <f>IF(AND($C470=12,$D470=Input!$C$6),0,IF($E471="","",IF($B471&gt;Input!$C$9,$AC471*AI471,0)+AK472/(1+$L471)*$R471))</f>
        <v>54008.114507918937</v>
      </c>
      <c r="AL471" s="164">
        <f>IF(AND($C470=12,$D470=Input!$C$6),0,IF($E471="","",IF($B471&gt;Input!$C$9,0,$AC471)+AL472/(1+$L471)*$R471))</f>
        <v>0</v>
      </c>
      <c r="AM471" s="160">
        <f t="shared" si="153"/>
        <v>1.1382936520186004</v>
      </c>
      <c r="AN471" s="164">
        <f>IF($E471="","",IF($B471&gt;Input!$C$9,$AI471*$AC471,$AM471*$AC471))</f>
        <v>0</v>
      </c>
      <c r="AO471" s="164">
        <f>IF(AND($C470=12,$D470=Input!$C$6),0,IF($E471="","",$AN471+AO472/(1+$L471)*$R471))</f>
        <v>54008.114507918937</v>
      </c>
      <c r="AP471" s="152"/>
      <c r="AQ471" s="164">
        <f t="shared" si="154"/>
        <v>-12447.701663669919</v>
      </c>
      <c r="AR471" s="164">
        <f t="shared" si="163"/>
        <v>-8611.9682079079939</v>
      </c>
      <c r="AS471" s="164">
        <f t="shared" si="164"/>
        <v>3036.3636363636365</v>
      </c>
      <c r="AT471" s="164">
        <f t="shared" si="155"/>
        <v>3036.3636363636365</v>
      </c>
      <c r="AU471" s="152"/>
      <c r="AV471" s="147">
        <f>'Deterministic Reserve'!BC471</f>
        <v>4.0226556579214898E-3</v>
      </c>
      <c r="AW471" s="164">
        <f t="shared" si="156"/>
        <v>3036.3636363636365</v>
      </c>
      <c r="AX471" s="164">
        <f t="shared" si="157"/>
        <v>12.214245361325251</v>
      </c>
      <c r="AY471" s="152"/>
    </row>
    <row r="472" spans="1:51" s="150" customFormat="1" x14ac:dyDescent="0.25">
      <c r="A472" s="150">
        <f t="shared" si="165"/>
        <v>468</v>
      </c>
      <c r="B472" s="150">
        <f t="shared" si="166"/>
        <v>39</v>
      </c>
      <c r="C472" s="150">
        <f t="shared" si="167"/>
        <v>12</v>
      </c>
      <c r="D472" s="150">
        <f>IF(E472="","",Input!$C$4+B472-1)</f>
        <v>83</v>
      </c>
      <c r="E472" s="150">
        <f>IF(OR(AND(C471=12,D471=Input!$C$6),E471=""),"",1)</f>
        <v>1</v>
      </c>
      <c r="F472" s="150">
        <f>IF(E472="","",Input!$C$8+B472-1)</f>
        <v>2056</v>
      </c>
      <c r="G472" s="151">
        <f>IF(E472="","",MAX(0,Input!$C$9-B472))</f>
        <v>0</v>
      </c>
      <c r="H472" s="152">
        <f>IF(E472="","",Input!$C$3)</f>
        <v>100000</v>
      </c>
      <c r="I472" s="153">
        <f>IF(E472="","",HLOOKUP($B472,Input!$C$13:$BT$14,2))</f>
        <v>155.477</v>
      </c>
      <c r="J472" s="154"/>
      <c r="K472" s="155">
        <f>IF($E472="","",Input!$C$57)</f>
        <v>4.4999999999999998E-2</v>
      </c>
      <c r="L472" s="155">
        <f t="shared" si="158"/>
        <v>3.6748094004368514E-3</v>
      </c>
      <c r="M472" s="147">
        <f>IF($E472="","",VLOOKUP(IF($B472&lt;=Input!$C$7,$B472,26),'Mortality Tables'!$A$72:$CA$97,IF($B472&lt;=Input!$C$7+1,Input!$C$4-16,$D472-Input!$C$7-16),0)/1000)</f>
        <v>6.3460000000000003E-2</v>
      </c>
      <c r="N472" s="147">
        <f t="shared" si="147"/>
        <v>5.4486889013543038E-3</v>
      </c>
      <c r="O472" s="157">
        <f>IF($E472="","",IF($C472=12,IF($B472&lt;Input!$C$9,Input!$C$54,IF($B472=Input!$C$9,Input!$C$55,Input!$C$56)),0%))</f>
        <v>0.1</v>
      </c>
      <c r="P472" s="167">
        <f>IF($E472="","",IF($B472=1,Input!$C$59,IF($B472&lt;6,Input!$C$60,0%)))</f>
        <v>0</v>
      </c>
      <c r="Q472" s="162">
        <f>IF($E472="","",Input!$C$58)</f>
        <v>2.5</v>
      </c>
      <c r="R472" s="156">
        <f t="shared" si="159"/>
        <v>0.89455131109864572</v>
      </c>
      <c r="S472" s="154">
        <f t="shared" si="148"/>
        <v>4.7131128137044747E-3</v>
      </c>
      <c r="T472" s="152"/>
      <c r="U472" s="150">
        <f t="shared" si="160"/>
        <v>0</v>
      </c>
      <c r="V472" s="150">
        <f t="shared" si="161"/>
        <v>0</v>
      </c>
      <c r="W472" s="168">
        <f t="shared" si="162"/>
        <v>0</v>
      </c>
      <c r="X472" s="163">
        <f t="shared" si="149"/>
        <v>544.86889013543043</v>
      </c>
      <c r="Y472" s="152"/>
      <c r="Z472" s="164">
        <f>IF(AND($C471=12,$D471=Input!$C$6),0,IF($E472="","",V472+Z473/(1+L472)*R472))</f>
        <v>102434.19817387307</v>
      </c>
      <c r="AA472" s="164">
        <f>IF(OR($M472=1,AND($C471=12,$D471=Input!$C$6)),0,IF($E472="","",W472+(X472+AA473*$R472)/(1+$L472)))</f>
        <v>41393.812556983641</v>
      </c>
      <c r="AB472" s="160">
        <f t="shared" si="150"/>
        <v>0.825720328500681</v>
      </c>
      <c r="AC472" s="164">
        <f t="shared" si="151"/>
        <v>0</v>
      </c>
      <c r="AD472" s="164">
        <f>IF(AND($C471=12,$D471=Input!$C$6),0,IF($E472="","",$AC472+AD473/(1+$L472)*$R472))</f>
        <v>84581.999765834364</v>
      </c>
      <c r="AE472" s="152"/>
      <c r="AF472" s="164">
        <f>IF(AND($C471=12,$D471=Input!$C$6),0,IF($E472="","",IF($B472&gt;Input!$C$9,$AC472,0)+AF473/(1+$L472)*$R472))</f>
        <v>84581.999765834364</v>
      </c>
      <c r="AG472" s="164">
        <f>IF(AND($C471=12,$D471=Input!$C$6),0,IF($E472="","",(IF($B472&gt;Input!$C$9,$X472,0)+AG473)/(1+$L472)*$R472))</f>
        <v>40554.099077118844</v>
      </c>
      <c r="AH472" s="160">
        <f t="shared" si="152"/>
        <v>2.0950137211446997</v>
      </c>
      <c r="AI472" s="160">
        <f>IF($E472="","",MIN(Input!$C$61/AH472,1))</f>
        <v>0.64438718771845094</v>
      </c>
      <c r="AJ472" s="152"/>
      <c r="AK472" s="164">
        <f>IF(AND($C471=12,$D471=Input!$C$6),0,IF($E472="","",IF($B472&gt;Input!$C$9,$AC472*AI472,0)+AK473/(1+$L472)*$R472))</f>
        <v>54503.556960708658</v>
      </c>
      <c r="AL472" s="164">
        <f>IF(AND($C471=12,$D471=Input!$C$6),0,IF($E472="","",IF($B472&gt;Input!$C$9,0,$AC472)+AL473/(1+$L472)*$R472))</f>
        <v>0</v>
      </c>
      <c r="AM472" s="160">
        <f t="shared" si="153"/>
        <v>1.1382936520186004</v>
      </c>
      <c r="AN472" s="164">
        <f>IF($E472="","",IF($B472&gt;Input!$C$9,$AI472*$AC472,$AM472*$AC472))</f>
        <v>0</v>
      </c>
      <c r="AO472" s="164">
        <f>IF(AND($C471=12,$D471=Input!$C$6),0,IF($E472="","",$AN472+AO473/(1+$L472)*$R472))</f>
        <v>54503.556960708658</v>
      </c>
      <c r="AP472" s="152"/>
      <c r="AQ472" s="164">
        <f t="shared" si="154"/>
        <v>-13109.744403725017</v>
      </c>
      <c r="AR472" s="164">
        <f t="shared" si="163"/>
        <v>-8611.9682079079939</v>
      </c>
      <c r="AS472" s="164">
        <f t="shared" si="164"/>
        <v>3036.3636363636365</v>
      </c>
      <c r="AT472" s="164">
        <f t="shared" si="155"/>
        <v>3036.3636363636365</v>
      </c>
      <c r="AU472" s="152"/>
      <c r="AV472" s="147">
        <f>'Deterministic Reserve'!BC472</f>
        <v>3.5681005818599832E-3</v>
      </c>
      <c r="AW472" s="164">
        <f t="shared" si="156"/>
        <v>3036.3636363636365</v>
      </c>
      <c r="AX472" s="164">
        <f t="shared" si="157"/>
        <v>10.834050857647586</v>
      </c>
      <c r="AY472" s="152"/>
    </row>
    <row r="473" spans="1:51" s="150" customFormat="1" x14ac:dyDescent="0.25">
      <c r="A473" s="150">
        <f t="shared" si="165"/>
        <v>469</v>
      </c>
      <c r="B473" s="150">
        <f t="shared" si="166"/>
        <v>40</v>
      </c>
      <c r="C473" s="150">
        <f t="shared" si="167"/>
        <v>1</v>
      </c>
      <c r="D473" s="150">
        <f>IF(E473="","",Input!$C$4+B473-1)</f>
        <v>84</v>
      </c>
      <c r="E473" s="150">
        <f>IF(OR(AND(C472=12,D472=Input!$C$6),E472=""),"",1)</f>
        <v>1</v>
      </c>
      <c r="F473" s="150">
        <f>IF(E473="","",Input!$C$8+B473-1)</f>
        <v>2057</v>
      </c>
      <c r="G473" s="151">
        <f>IF(E473="","",MAX(0,Input!$C$9-B473))</f>
        <v>0</v>
      </c>
      <c r="H473" s="152">
        <f>IF(E473="","",Input!$C$3)</f>
        <v>100000</v>
      </c>
      <c r="I473" s="153">
        <f>IF(E473="","",HLOOKUP($B473,Input!$C$13:$BT$14,2))</f>
        <v>176.8655</v>
      </c>
      <c r="J473" s="154"/>
      <c r="K473" s="155">
        <f>IF($E473="","",Input!$C$57)</f>
        <v>4.4999999999999998E-2</v>
      </c>
      <c r="L473" s="155">
        <f t="shared" si="158"/>
        <v>3.6748094004368514E-3</v>
      </c>
      <c r="M473" s="147">
        <f>IF($E473="","",VLOOKUP(IF($B473&lt;=Input!$C$7,$B473,26),'Mortality Tables'!$A$72:$CA$97,IF($B473&lt;=Input!$C$7+1,Input!$C$4-16,$D473-Input!$C$7-16),0)/1000)</f>
        <v>7.2190000000000004E-2</v>
      </c>
      <c r="N473" s="147">
        <f t="shared" si="147"/>
        <v>6.224572293199726E-3</v>
      </c>
      <c r="O473" s="157">
        <f>IF($E473="","",IF($C473=12,IF($B473&lt;Input!$C$9,Input!$C$54,IF($B473=Input!$C$9,Input!$C$55,Input!$C$56)),0%))</f>
        <v>0</v>
      </c>
      <c r="P473" s="167">
        <f>IF($E473="","",IF($B473=1,Input!$C$59,IF($B473&lt;6,Input!$C$60,0%)))</f>
        <v>0</v>
      </c>
      <c r="Q473" s="162">
        <f>IF($E473="","",Input!$C$58)</f>
        <v>2.5</v>
      </c>
      <c r="R473" s="156">
        <f t="shared" si="159"/>
        <v>0.99377542770680027</v>
      </c>
      <c r="S473" s="154">
        <f t="shared" si="148"/>
        <v>4.6837757022695648E-3</v>
      </c>
      <c r="T473" s="152"/>
      <c r="U473" s="150">
        <f t="shared" si="160"/>
        <v>17686.55</v>
      </c>
      <c r="V473" s="150">
        <f t="shared" si="161"/>
        <v>17686.55</v>
      </c>
      <c r="W473" s="168">
        <f t="shared" si="162"/>
        <v>0</v>
      </c>
      <c r="X473" s="163">
        <f t="shared" si="149"/>
        <v>622.45722931997261</v>
      </c>
      <c r="Y473" s="152"/>
      <c r="Z473" s="164">
        <f>IF(AND($C472=12,$D472=Input!$C$6),0,IF($E473="","",V473+Z474/(1+L473)*R473))</f>
        <v>114929.82353575835</v>
      </c>
      <c r="AA473" s="164">
        <f>IF(OR($M473=1,AND($C472=12,$D472=Input!$C$6)),0,IF($E473="","",W473+(X473+AA474*$R473)/(1+$L473)))</f>
        <v>45834.216025011425</v>
      </c>
      <c r="AB473" s="160">
        <f t="shared" si="150"/>
        <v>0.825720328500681</v>
      </c>
      <c r="AC473" s="164">
        <f t="shared" si="151"/>
        <v>14604.14387604372</v>
      </c>
      <c r="AD473" s="164">
        <f>IF(AND($C472=12,$D472=Input!$C$6),0,IF($E473="","",$AC473+AD474/(1+$L473)*$R473))</f>
        <v>94899.891644471718</v>
      </c>
      <c r="AE473" s="152"/>
      <c r="AF473" s="164">
        <f>IF(AND($C472=12,$D472=Input!$C$6),0,IF($E473="","",IF($B473&gt;Input!$C$9,$AC473,0)+AF474/(1+$L473)*$R473))</f>
        <v>94899.891644471718</v>
      </c>
      <c r="AG473" s="164">
        <f>IF(AND($C472=12,$D472=Input!$C$6),0,IF($E473="","",(IF($B473&gt;Input!$C$9,$X473,0)+AG474)/(1+$L473)*$R473))</f>
        <v>44956.297064944352</v>
      </c>
      <c r="AH473" s="160">
        <f t="shared" si="152"/>
        <v>2.0950137211446997</v>
      </c>
      <c r="AI473" s="160">
        <f>IF($E473="","",MIN(Input!$C$61/AH473,1))</f>
        <v>0.64438718771845094</v>
      </c>
      <c r="AJ473" s="152"/>
      <c r="AK473" s="164">
        <f>IF(AND($C472=12,$D472=Input!$C$6),0,IF($E473="","",IF($B473&gt;Input!$C$9,$AC473*AI473,0)+AK474/(1+$L473)*$R473))</f>
        <v>61152.274291566828</v>
      </c>
      <c r="AL473" s="164">
        <f>IF(AND($C472=12,$D472=Input!$C$6),0,IF($E473="","",IF($B473&gt;Input!$C$9,0,$AC473)+AL474/(1+$L473)*$R473))</f>
        <v>0</v>
      </c>
      <c r="AM473" s="160">
        <f t="shared" si="153"/>
        <v>1.1382936520186004</v>
      </c>
      <c r="AN473" s="164">
        <f>IF($E473="","",IF($B473&gt;Input!$C$9,$AI473*$AC473,$AM473*$AC473))</f>
        <v>9410.7232013194498</v>
      </c>
      <c r="AO473" s="164">
        <f>IF(AND($C472=12,$D472=Input!$C$6),0,IF($E473="","",$AN473+AO474/(1+$L473)*$R473))</f>
        <v>61152.274291566828</v>
      </c>
      <c r="AP473" s="152"/>
      <c r="AQ473" s="164">
        <f t="shared" si="154"/>
        <v>-15318.058266555403</v>
      </c>
      <c r="AR473" s="164">
        <f t="shared" si="163"/>
        <v>-8765.2106016493708</v>
      </c>
      <c r="AS473" s="164">
        <f t="shared" si="164"/>
        <v>3454.0669856459331</v>
      </c>
      <c r="AT473" s="164">
        <f t="shared" si="155"/>
        <v>3454.0669856459331</v>
      </c>
      <c r="AU473" s="152"/>
      <c r="AV473" s="147">
        <f>'Deterministic Reserve'!BC473</f>
        <v>3.515128617202325E-3</v>
      </c>
      <c r="AW473" s="164">
        <f t="shared" si="156"/>
        <v>3454.0669856459331</v>
      </c>
      <c r="AX473" s="164">
        <f t="shared" si="157"/>
        <v>12.141489706977792</v>
      </c>
      <c r="AY473" s="152"/>
    </row>
    <row r="474" spans="1:51" s="150" customFormat="1" x14ac:dyDescent="0.25">
      <c r="A474" s="150">
        <f t="shared" si="165"/>
        <v>470</v>
      </c>
      <c r="B474" s="150">
        <f t="shared" si="166"/>
        <v>40</v>
      </c>
      <c r="C474" s="150">
        <f t="shared" si="167"/>
        <v>2</v>
      </c>
      <c r="D474" s="150">
        <f>IF(E474="","",Input!$C$4+B474-1)</f>
        <v>84</v>
      </c>
      <c r="E474" s="150">
        <f>IF(OR(AND(C473=12,D473=Input!$C$6),E473=""),"",1)</f>
        <v>1</v>
      </c>
      <c r="F474" s="150">
        <f>IF(E474="","",Input!$C$8+B474-1)</f>
        <v>2057</v>
      </c>
      <c r="G474" s="151">
        <f>IF(E474="","",MAX(0,Input!$C$9-B474))</f>
        <v>0</v>
      </c>
      <c r="H474" s="152">
        <f>IF(E474="","",Input!$C$3)</f>
        <v>100000</v>
      </c>
      <c r="I474" s="153">
        <f>IF(E474="","",HLOOKUP($B474,Input!$C$13:$BT$14,2))</f>
        <v>176.8655</v>
      </c>
      <c r="J474" s="154"/>
      <c r="K474" s="155">
        <f>IF($E474="","",Input!$C$57)</f>
        <v>4.4999999999999998E-2</v>
      </c>
      <c r="L474" s="155">
        <f t="shared" si="158"/>
        <v>3.6748094004368514E-3</v>
      </c>
      <c r="M474" s="147">
        <f>IF($E474="","",VLOOKUP(IF($B474&lt;=Input!$C$7,$B474,26),'Mortality Tables'!$A$72:$CA$97,IF($B474&lt;=Input!$C$7+1,Input!$C$4-16,$D474-Input!$C$7-16),0)/1000)</f>
        <v>7.2190000000000004E-2</v>
      </c>
      <c r="N474" s="147">
        <f t="shared" si="147"/>
        <v>6.224572293199726E-3</v>
      </c>
      <c r="O474" s="157">
        <f>IF($E474="","",IF($C474=12,IF($B474&lt;Input!$C$9,Input!$C$54,IF($B474=Input!$C$9,Input!$C$55,Input!$C$56)),0%))</f>
        <v>0</v>
      </c>
      <c r="P474" s="167">
        <f>IF($E474="","",IF($B474=1,Input!$C$59,IF($B474&lt;6,Input!$C$60,0%)))</f>
        <v>0</v>
      </c>
      <c r="Q474" s="162">
        <f>IF($E474="","",Input!$C$58)</f>
        <v>2.5</v>
      </c>
      <c r="R474" s="156">
        <f t="shared" si="159"/>
        <v>0.99377542770680027</v>
      </c>
      <c r="S474" s="154">
        <f t="shared" si="148"/>
        <v>4.6546212018056558E-3</v>
      </c>
      <c r="T474" s="152"/>
      <c r="U474" s="150">
        <f t="shared" si="160"/>
        <v>0</v>
      </c>
      <c r="V474" s="150">
        <f t="shared" si="161"/>
        <v>0</v>
      </c>
      <c r="W474" s="168">
        <f t="shared" si="162"/>
        <v>0</v>
      </c>
      <c r="X474" s="163">
        <f t="shared" si="149"/>
        <v>622.45722931997261</v>
      </c>
      <c r="Y474" s="152"/>
      <c r="Z474" s="164">
        <f>IF(AND($C473=12,$D473=Input!$C$6),0,IF($E474="","",V474+Z475/(1+L474)*R474))</f>
        <v>98211.951423166523</v>
      </c>
      <c r="AA474" s="164">
        <f>IF(OR($M474=1,AND($C473=12,$D473=Input!$C$6)),0,IF($E474="","",W474+(X474+AA475*$R474)/(1+$L474)))</f>
        <v>45664.432364079956</v>
      </c>
      <c r="AB474" s="160">
        <f t="shared" si="150"/>
        <v>0.825720328500681</v>
      </c>
      <c r="AC474" s="164">
        <f t="shared" si="151"/>
        <v>0</v>
      </c>
      <c r="AD474" s="164">
        <f>IF(AND($C473=12,$D473=Input!$C$6),0,IF($E474="","",$AC474+AD475/(1+$L474)*$R474))</f>
        <v>81095.604791830032</v>
      </c>
      <c r="AE474" s="152"/>
      <c r="AF474" s="164">
        <f>IF(AND($C473=12,$D473=Input!$C$6),0,IF($E474="","",IF($B474&gt;Input!$C$9,$AC474,0)+AF475/(1+$L474)*$R474))</f>
        <v>81095.604791830032</v>
      </c>
      <c r="AG474" s="164">
        <f>IF(AND($C473=12,$D473=Input!$C$6),0,IF($E474="","",(IF($B474&gt;Input!$C$9,$X474,0)+AG475)/(1+$L474)*$R474))</f>
        <v>44781.666911813365</v>
      </c>
      <c r="AH474" s="160">
        <f t="shared" si="152"/>
        <v>2.0950137211446997</v>
      </c>
      <c r="AI474" s="160">
        <f>IF($E474="","",MIN(Input!$C$61/AH474,1))</f>
        <v>0.64438718771845094</v>
      </c>
      <c r="AJ474" s="152"/>
      <c r="AK474" s="164">
        <f>IF(AND($C473=12,$D473=Input!$C$6),0,IF($E474="","",IF($B474&gt;Input!$C$9,$AC474*AI474,0)+AK475/(1+$L474)*$R474))</f>
        <v>52256.968708134256</v>
      </c>
      <c r="AL474" s="164">
        <f>IF(AND($C473=12,$D473=Input!$C$6),0,IF($E474="","",IF($B474&gt;Input!$C$9,0,$AC474)+AL475/(1+$L474)*$R474))</f>
        <v>0</v>
      </c>
      <c r="AM474" s="160">
        <f t="shared" si="153"/>
        <v>1.1382936520186004</v>
      </c>
      <c r="AN474" s="164">
        <f>IF($E474="","",IF($B474&gt;Input!$C$9,$AI474*$AC474,$AM474*$AC474))</f>
        <v>0</v>
      </c>
      <c r="AO474" s="164">
        <f>IF(AND($C473=12,$D473=Input!$C$6),0,IF($E474="","",$AN474+AO475/(1+$L474)*$R474))</f>
        <v>52256.968708134256</v>
      </c>
      <c r="AP474" s="152"/>
      <c r="AQ474" s="164">
        <f t="shared" si="154"/>
        <v>-6592.5363440543006</v>
      </c>
      <c r="AR474" s="164">
        <f t="shared" si="163"/>
        <v>-8765.2106016493708</v>
      </c>
      <c r="AS474" s="164">
        <f t="shared" si="164"/>
        <v>3454.0669856459331</v>
      </c>
      <c r="AT474" s="164">
        <f t="shared" si="155"/>
        <v>3454.0669856459331</v>
      </c>
      <c r="AU474" s="152"/>
      <c r="AV474" s="147">
        <f>'Deterministic Reserve'!BC474</f>
        <v>3.462943073491979E-3</v>
      </c>
      <c r="AW474" s="164">
        <f t="shared" si="156"/>
        <v>3454.0669856459331</v>
      </c>
      <c r="AX474" s="164">
        <f t="shared" si="157"/>
        <v>11.961237343319903</v>
      </c>
      <c r="AY474" s="152"/>
    </row>
    <row r="475" spans="1:51" s="150" customFormat="1" x14ac:dyDescent="0.25">
      <c r="A475" s="150">
        <f t="shared" si="165"/>
        <v>471</v>
      </c>
      <c r="B475" s="150">
        <f t="shared" si="166"/>
        <v>40</v>
      </c>
      <c r="C475" s="150">
        <f t="shared" si="167"/>
        <v>3</v>
      </c>
      <c r="D475" s="150">
        <f>IF(E475="","",Input!$C$4+B475-1)</f>
        <v>84</v>
      </c>
      <c r="E475" s="150">
        <f>IF(OR(AND(C474=12,D474=Input!$C$6),E474=""),"",1)</f>
        <v>1</v>
      </c>
      <c r="F475" s="150">
        <f>IF(E475="","",Input!$C$8+B475-1)</f>
        <v>2057</v>
      </c>
      <c r="G475" s="151">
        <f>IF(E475="","",MAX(0,Input!$C$9-B475))</f>
        <v>0</v>
      </c>
      <c r="H475" s="152">
        <f>IF(E475="","",Input!$C$3)</f>
        <v>100000</v>
      </c>
      <c r="I475" s="153">
        <f>IF(E475="","",HLOOKUP($B475,Input!$C$13:$BT$14,2))</f>
        <v>176.8655</v>
      </c>
      <c r="J475" s="154"/>
      <c r="K475" s="155">
        <f>IF($E475="","",Input!$C$57)</f>
        <v>4.4999999999999998E-2</v>
      </c>
      <c r="L475" s="155">
        <f t="shared" si="158"/>
        <v>3.6748094004368514E-3</v>
      </c>
      <c r="M475" s="147">
        <f>IF($E475="","",VLOOKUP(IF($B475&lt;=Input!$C$7,$B475,26),'Mortality Tables'!$A$72:$CA$97,IF($B475&lt;=Input!$C$7+1,Input!$C$4-16,$D475-Input!$C$7-16),0)/1000)</f>
        <v>7.2190000000000004E-2</v>
      </c>
      <c r="N475" s="147">
        <f t="shared" si="147"/>
        <v>6.224572293199726E-3</v>
      </c>
      <c r="O475" s="157">
        <f>IF($E475="","",IF($C475=12,IF($B475&lt;Input!$C$9,Input!$C$54,IF($B475=Input!$C$9,Input!$C$55,Input!$C$56)),0%))</f>
        <v>0</v>
      </c>
      <c r="P475" s="167">
        <f>IF($E475="","",IF($B475=1,Input!$C$59,IF($B475&lt;6,Input!$C$60,0%)))</f>
        <v>0</v>
      </c>
      <c r="Q475" s="162">
        <f>IF($E475="","",Input!$C$58)</f>
        <v>2.5</v>
      </c>
      <c r="R475" s="156">
        <f t="shared" si="159"/>
        <v>0.99377542770680027</v>
      </c>
      <c r="S475" s="154">
        <f t="shared" si="148"/>
        <v>4.6256481756375561E-3</v>
      </c>
      <c r="T475" s="152"/>
      <c r="U475" s="150">
        <f t="shared" si="160"/>
        <v>0</v>
      </c>
      <c r="V475" s="150">
        <f t="shared" si="161"/>
        <v>0</v>
      </c>
      <c r="W475" s="168">
        <f t="shared" si="162"/>
        <v>0</v>
      </c>
      <c r="X475" s="163">
        <f t="shared" si="149"/>
        <v>622.45722931997261</v>
      </c>
      <c r="Y475" s="152"/>
      <c r="Z475" s="164">
        <f>IF(AND($C474=12,$D474=Input!$C$6),0,IF($E475="","",V475+Z476/(1+L475)*R475))</f>
        <v>99190.278685954981</v>
      </c>
      <c r="AA475" s="164">
        <f>IF(OR($M475=1,AND($C474=12,$D474=Input!$C$6)),0,IF($E475="","",W475+(X475+AA476*$R475)/(1+$L475)))</f>
        <v>45492.957422384206</v>
      </c>
      <c r="AB475" s="160">
        <f t="shared" si="150"/>
        <v>0.825720328500681</v>
      </c>
      <c r="AC475" s="164">
        <f t="shared" si="151"/>
        <v>0</v>
      </c>
      <c r="AD475" s="164">
        <f>IF(AND($C474=12,$D474=Input!$C$6),0,IF($E475="","",$AC475+AD476/(1+$L475)*$R475))</f>
        <v>81903.429500640894</v>
      </c>
      <c r="AE475" s="152"/>
      <c r="AF475" s="164">
        <f>IF(AND($C474=12,$D474=Input!$C$6),0,IF($E475="","",IF($B475&gt;Input!$C$9,$AC475,0)+AF476/(1+$L475)*$R475))</f>
        <v>81903.429500640894</v>
      </c>
      <c r="AG475" s="164">
        <f>IF(AND($C474=12,$D474=Input!$C$6),0,IF($E475="","",(IF($B475&gt;Input!$C$9,$X475,0)+AG476)/(1+$L475)*$R475))</f>
        <v>44605.297200133369</v>
      </c>
      <c r="AH475" s="160">
        <f t="shared" si="152"/>
        <v>2.0950137211446997</v>
      </c>
      <c r="AI475" s="160">
        <f>IF($E475="","",MIN(Input!$C$61/AH475,1))</f>
        <v>0.64438718771845094</v>
      </c>
      <c r="AJ475" s="152"/>
      <c r="AK475" s="164">
        <f>IF(AND($C474=12,$D474=Input!$C$6),0,IF($E475="","",IF($B475&gt;Input!$C$9,$AC475*AI475,0)+AK476/(1+$L475)*$R475))</f>
        <v>52777.520600414355</v>
      </c>
      <c r="AL475" s="164">
        <f>IF(AND($C474=12,$D474=Input!$C$6),0,IF($E475="","",IF($B475&gt;Input!$C$9,0,$AC475)+AL476/(1+$L475)*$R475))</f>
        <v>0</v>
      </c>
      <c r="AM475" s="160">
        <f t="shared" si="153"/>
        <v>1.1382936520186004</v>
      </c>
      <c r="AN475" s="164">
        <f>IF($E475="","",IF($B475&gt;Input!$C$9,$AI475*$AC475,$AM475*$AC475))</f>
        <v>0</v>
      </c>
      <c r="AO475" s="164">
        <f>IF(AND($C474=12,$D474=Input!$C$6),0,IF($E475="","",$AN475+AO476/(1+$L475)*$R475))</f>
        <v>52777.520600414355</v>
      </c>
      <c r="AP475" s="152"/>
      <c r="AQ475" s="164">
        <f t="shared" si="154"/>
        <v>-7284.5631780301483</v>
      </c>
      <c r="AR475" s="164">
        <f t="shared" si="163"/>
        <v>-8765.2106016493708</v>
      </c>
      <c r="AS475" s="164">
        <f t="shared" si="164"/>
        <v>3454.0669856459331</v>
      </c>
      <c r="AT475" s="164">
        <f t="shared" si="155"/>
        <v>3454.0669856459331</v>
      </c>
      <c r="AU475" s="152"/>
      <c r="AV475" s="147">
        <f>'Deterministic Reserve'!BC475</f>
        <v>3.4115322755360325E-3</v>
      </c>
      <c r="AW475" s="164">
        <f t="shared" si="156"/>
        <v>3454.0669856459331</v>
      </c>
      <c r="AX475" s="164">
        <f t="shared" si="157"/>
        <v>11.783661003394554</v>
      </c>
      <c r="AY475" s="152"/>
    </row>
    <row r="476" spans="1:51" s="150" customFormat="1" x14ac:dyDescent="0.25">
      <c r="A476" s="150">
        <f t="shared" si="165"/>
        <v>472</v>
      </c>
      <c r="B476" s="150">
        <f t="shared" si="166"/>
        <v>40</v>
      </c>
      <c r="C476" s="150">
        <f t="shared" si="167"/>
        <v>4</v>
      </c>
      <c r="D476" s="150">
        <f>IF(E476="","",Input!$C$4+B476-1)</f>
        <v>84</v>
      </c>
      <c r="E476" s="150">
        <f>IF(OR(AND(C475=12,D475=Input!$C$6),E475=""),"",1)</f>
        <v>1</v>
      </c>
      <c r="F476" s="150">
        <f>IF(E476="","",Input!$C$8+B476-1)</f>
        <v>2057</v>
      </c>
      <c r="G476" s="151">
        <f>IF(E476="","",MAX(0,Input!$C$9-B476))</f>
        <v>0</v>
      </c>
      <c r="H476" s="152">
        <f>IF(E476="","",Input!$C$3)</f>
        <v>100000</v>
      </c>
      <c r="I476" s="153">
        <f>IF(E476="","",HLOOKUP($B476,Input!$C$13:$BT$14,2))</f>
        <v>176.8655</v>
      </c>
      <c r="J476" s="154"/>
      <c r="K476" s="155">
        <f>IF($E476="","",Input!$C$57)</f>
        <v>4.4999999999999998E-2</v>
      </c>
      <c r="L476" s="155">
        <f t="shared" si="158"/>
        <v>3.6748094004368514E-3</v>
      </c>
      <c r="M476" s="147">
        <f>IF($E476="","",VLOOKUP(IF($B476&lt;=Input!$C$7,$B476,26),'Mortality Tables'!$A$72:$CA$97,IF($B476&lt;=Input!$C$7+1,Input!$C$4-16,$D476-Input!$C$7-16),0)/1000)</f>
        <v>7.2190000000000004E-2</v>
      </c>
      <c r="N476" s="147">
        <f t="shared" si="147"/>
        <v>6.224572293199726E-3</v>
      </c>
      <c r="O476" s="157">
        <f>IF($E476="","",IF($C476=12,IF($B476&lt;Input!$C$9,Input!$C$54,IF($B476=Input!$C$9,Input!$C$55,Input!$C$56)),0%))</f>
        <v>0</v>
      </c>
      <c r="P476" s="167">
        <f>IF($E476="","",IF($B476=1,Input!$C$59,IF($B476&lt;6,Input!$C$60,0%)))</f>
        <v>0</v>
      </c>
      <c r="Q476" s="162">
        <f>IF($E476="","",Input!$C$58)</f>
        <v>2.5</v>
      </c>
      <c r="R476" s="156">
        <f t="shared" si="159"/>
        <v>0.99377542770680027</v>
      </c>
      <c r="S476" s="154">
        <f t="shared" si="148"/>
        <v>4.596855494165393E-3</v>
      </c>
      <c r="T476" s="152"/>
      <c r="U476" s="150">
        <f t="shared" si="160"/>
        <v>0</v>
      </c>
      <c r="V476" s="150">
        <f t="shared" si="161"/>
        <v>0</v>
      </c>
      <c r="W476" s="168">
        <f t="shared" si="162"/>
        <v>0</v>
      </c>
      <c r="X476" s="163">
        <f t="shared" si="149"/>
        <v>622.45722931997261</v>
      </c>
      <c r="Y476" s="152"/>
      <c r="Z476" s="164">
        <f>IF(AND($C475=12,$D475=Input!$C$6),0,IF($E476="","",V476+Z477/(1+L476)*R476))</f>
        <v>100178.35144528684</v>
      </c>
      <c r="AA476" s="164">
        <f>IF(OR($M476=1,AND($C475=12,$D475=Input!$C$6)),0,IF($E476="","",W476+(X476+AA477*$R476)/(1+$L476)))</f>
        <v>45319.774352421831</v>
      </c>
      <c r="AB476" s="160">
        <f t="shared" si="150"/>
        <v>0.825720328500681</v>
      </c>
      <c r="AC476" s="164">
        <f t="shared" si="151"/>
        <v>0</v>
      </c>
      <c r="AD476" s="164">
        <f>IF(AND($C475=12,$D475=Input!$C$6),0,IF($E476="","",$AC476+AD477/(1+$L476)*$R476))</f>
        <v>82719.301264058973</v>
      </c>
      <c r="AE476" s="152"/>
      <c r="AF476" s="164">
        <f>IF(AND($C475=12,$D475=Input!$C$6),0,IF($E476="","",IF($B476&gt;Input!$C$9,$AC476,0)+AF477/(1+$L476)*$R476))</f>
        <v>82719.301264058973</v>
      </c>
      <c r="AG476" s="164">
        <f>IF(AND($C475=12,$D475=Input!$C$6),0,IF($E476="","",(IF($B476&gt;Input!$C$9,$X476,0)+AG477)/(1+$L476)*$R476))</f>
        <v>44427.170601488331</v>
      </c>
      <c r="AH476" s="160">
        <f t="shared" si="152"/>
        <v>2.0950137211446997</v>
      </c>
      <c r="AI476" s="160">
        <f>IF($E476="","",MIN(Input!$C$61/AH476,1))</f>
        <v>0.64438718771845094</v>
      </c>
      <c r="AJ476" s="152"/>
      <c r="AK476" s="164">
        <f>IF(AND($C475=12,$D475=Input!$C$6),0,IF($E476="","",IF($B476&gt;Input!$C$9,$AC476*AI476,0)+AK477/(1+$L476)*$R476))</f>
        <v>53303.257911582223</v>
      </c>
      <c r="AL476" s="164">
        <f>IF(AND($C475=12,$D475=Input!$C$6),0,IF($E476="","",IF($B476&gt;Input!$C$9,0,$AC476)+AL477/(1+$L476)*$R476))</f>
        <v>0</v>
      </c>
      <c r="AM476" s="160">
        <f t="shared" si="153"/>
        <v>1.1382936520186004</v>
      </c>
      <c r="AN476" s="164">
        <f>IF($E476="","",IF($B476&gt;Input!$C$9,$AI476*$AC476,$AM476*$AC476))</f>
        <v>0</v>
      </c>
      <c r="AO476" s="164">
        <f>IF(AND($C475=12,$D475=Input!$C$6),0,IF($E476="","",$AN476+AO477/(1+$L476)*$R476))</f>
        <v>53303.257911582223</v>
      </c>
      <c r="AP476" s="152"/>
      <c r="AQ476" s="164">
        <f t="shared" si="154"/>
        <v>-7983.4835591603915</v>
      </c>
      <c r="AR476" s="164">
        <f t="shared" si="163"/>
        <v>-8765.2106016493708</v>
      </c>
      <c r="AS476" s="164">
        <f t="shared" si="164"/>
        <v>3454.0669856459331</v>
      </c>
      <c r="AT476" s="164">
        <f t="shared" si="155"/>
        <v>3454.0669856459331</v>
      </c>
      <c r="AU476" s="152"/>
      <c r="AV476" s="147">
        <f>'Deterministic Reserve'!BC476</f>
        <v>3.3608847214713004E-3</v>
      </c>
      <c r="AW476" s="164">
        <f t="shared" si="156"/>
        <v>3454.0669856459331</v>
      </c>
      <c r="AX476" s="164">
        <f t="shared" si="157"/>
        <v>11.608720958995846</v>
      </c>
      <c r="AY476" s="152"/>
    </row>
    <row r="477" spans="1:51" s="150" customFormat="1" x14ac:dyDescent="0.25">
      <c r="A477" s="150">
        <f t="shared" si="165"/>
        <v>473</v>
      </c>
      <c r="B477" s="150">
        <f t="shared" si="166"/>
        <v>40</v>
      </c>
      <c r="C477" s="150">
        <f t="shared" si="167"/>
        <v>5</v>
      </c>
      <c r="D477" s="150">
        <f>IF(E477="","",Input!$C$4+B477-1)</f>
        <v>84</v>
      </c>
      <c r="E477" s="150">
        <f>IF(OR(AND(C476=12,D476=Input!$C$6),E476=""),"",1)</f>
        <v>1</v>
      </c>
      <c r="F477" s="150">
        <f>IF(E477="","",Input!$C$8+B477-1)</f>
        <v>2057</v>
      </c>
      <c r="G477" s="151">
        <f>IF(E477="","",MAX(0,Input!$C$9-B477))</f>
        <v>0</v>
      </c>
      <c r="H477" s="152">
        <f>IF(E477="","",Input!$C$3)</f>
        <v>100000</v>
      </c>
      <c r="I477" s="153">
        <f>IF(E477="","",HLOOKUP($B477,Input!$C$13:$BT$14,2))</f>
        <v>176.8655</v>
      </c>
      <c r="J477" s="154"/>
      <c r="K477" s="155">
        <f>IF($E477="","",Input!$C$57)</f>
        <v>4.4999999999999998E-2</v>
      </c>
      <c r="L477" s="155">
        <f t="shared" si="158"/>
        <v>3.6748094004368514E-3</v>
      </c>
      <c r="M477" s="147">
        <f>IF($E477="","",VLOOKUP(IF($B477&lt;=Input!$C$7,$B477,26),'Mortality Tables'!$A$72:$CA$97,IF($B477&lt;=Input!$C$7+1,Input!$C$4-16,$D477-Input!$C$7-16),0)/1000)</f>
        <v>7.2190000000000004E-2</v>
      </c>
      <c r="N477" s="147">
        <f t="shared" si="147"/>
        <v>6.224572293199726E-3</v>
      </c>
      <c r="O477" s="157">
        <f>IF($E477="","",IF($C477=12,IF($B477&lt;Input!$C$9,Input!$C$54,IF($B477=Input!$C$9,Input!$C$55,Input!$C$56)),0%))</f>
        <v>0</v>
      </c>
      <c r="P477" s="167">
        <f>IF($E477="","",IF($B477=1,Input!$C$59,IF($B477&lt;6,Input!$C$60,0%)))</f>
        <v>0</v>
      </c>
      <c r="Q477" s="162">
        <f>IF($E477="","",Input!$C$58)</f>
        <v>2.5</v>
      </c>
      <c r="R477" s="156">
        <f t="shared" si="159"/>
        <v>0.99377542770680027</v>
      </c>
      <c r="S477" s="154">
        <f t="shared" si="148"/>
        <v>4.5682420348205684E-3</v>
      </c>
      <c r="T477" s="152"/>
      <c r="U477" s="150">
        <f t="shared" si="160"/>
        <v>0</v>
      </c>
      <c r="V477" s="150">
        <f t="shared" si="161"/>
        <v>0</v>
      </c>
      <c r="W477" s="168">
        <f t="shared" si="162"/>
        <v>0</v>
      </c>
      <c r="X477" s="163">
        <f t="shared" si="149"/>
        <v>622.45722931997261</v>
      </c>
      <c r="Y477" s="152"/>
      <c r="Z477" s="164">
        <f>IF(AND($C476=12,$D476=Input!$C$6),0,IF($E477="","",V477+Z478/(1+L477)*R477))</f>
        <v>101176.26677982534</v>
      </c>
      <c r="AA477" s="164">
        <f>IF(OR($M477=1,AND($C476=12,$D476=Input!$C$6)),0,IF($E477="","",W477+(X477+AA478*$R477)/(1+$L477)))</f>
        <v>45144.866138866011</v>
      </c>
      <c r="AB477" s="160">
        <f t="shared" si="150"/>
        <v>0.825720328500681</v>
      </c>
      <c r="AC477" s="164">
        <f t="shared" si="151"/>
        <v>0</v>
      </c>
      <c r="AD477" s="164">
        <f>IF(AND($C476=12,$D476=Input!$C$6),0,IF($E477="","",$AC477+AD478/(1+$L477)*$R477))</f>
        <v>83543.30024190995</v>
      </c>
      <c r="AE477" s="152"/>
      <c r="AF477" s="164">
        <f>IF(AND($C476=12,$D476=Input!$C$6),0,IF($E477="","",IF($B477&gt;Input!$C$9,$AC477,0)+AF478/(1+$L477)*$R477))</f>
        <v>83543.30024190995</v>
      </c>
      <c r="AG477" s="164">
        <f>IF(AND($C476=12,$D476=Input!$C$6),0,IF($E477="","",(IF($B477&gt;Input!$C$9,$X477,0)+AG478)/(1+$L477)*$R477))</f>
        <v>44247.269614847159</v>
      </c>
      <c r="AH477" s="160">
        <f t="shared" si="152"/>
        <v>2.0950137211446997</v>
      </c>
      <c r="AI477" s="160">
        <f>IF($E477="","",MIN(Input!$C$61/AH477,1))</f>
        <v>0.64438718771845094</v>
      </c>
      <c r="AJ477" s="152"/>
      <c r="AK477" s="164">
        <f>IF(AND($C476=12,$D476=Input!$C$6),0,IF($E477="","",IF($B477&gt;Input!$C$9,$AC477*AI477,0)+AK478/(1+$L477)*$R477))</f>
        <v>53834.232295602502</v>
      </c>
      <c r="AL477" s="164">
        <f>IF(AND($C476=12,$D476=Input!$C$6),0,IF($E477="","",IF($B477&gt;Input!$C$9,0,$AC477)+AL478/(1+$L477)*$R477))</f>
        <v>0</v>
      </c>
      <c r="AM477" s="160">
        <f t="shared" si="153"/>
        <v>1.1382936520186004</v>
      </c>
      <c r="AN477" s="164">
        <f>IF($E477="","",IF($B477&gt;Input!$C$9,$AI477*$AC477,$AM477*$AC477))</f>
        <v>0</v>
      </c>
      <c r="AO477" s="164">
        <f>IF(AND($C476=12,$D476=Input!$C$6),0,IF($E477="","",$AN477+AO478/(1+$L477)*$R477))</f>
        <v>53834.232295602502</v>
      </c>
      <c r="AP477" s="152"/>
      <c r="AQ477" s="164">
        <f t="shared" si="154"/>
        <v>-8689.3661567364907</v>
      </c>
      <c r="AR477" s="164">
        <f t="shared" si="163"/>
        <v>-8765.2106016493708</v>
      </c>
      <c r="AS477" s="164">
        <f t="shared" si="164"/>
        <v>3454.0669856459331</v>
      </c>
      <c r="AT477" s="164">
        <f t="shared" si="155"/>
        <v>3454.0669856459331</v>
      </c>
      <c r="AU477" s="152"/>
      <c r="AV477" s="147">
        <f>'Deterministic Reserve'!BC477</f>
        <v>3.3109890801910772E-3</v>
      </c>
      <c r="AW477" s="164">
        <f t="shared" si="156"/>
        <v>3454.0669856459331</v>
      </c>
      <c r="AX477" s="164">
        <f t="shared" si="157"/>
        <v>11.436378071722194</v>
      </c>
      <c r="AY477" s="152"/>
    </row>
    <row r="478" spans="1:51" s="150" customFormat="1" x14ac:dyDescent="0.25">
      <c r="A478" s="150">
        <f t="shared" si="165"/>
        <v>474</v>
      </c>
      <c r="B478" s="150">
        <f t="shared" si="166"/>
        <v>40</v>
      </c>
      <c r="C478" s="150">
        <f t="shared" si="167"/>
        <v>6</v>
      </c>
      <c r="D478" s="150">
        <f>IF(E478="","",Input!$C$4+B478-1)</f>
        <v>84</v>
      </c>
      <c r="E478" s="150">
        <f>IF(OR(AND(C477=12,D477=Input!$C$6),E477=""),"",1)</f>
        <v>1</v>
      </c>
      <c r="F478" s="150">
        <f>IF(E478="","",Input!$C$8+B478-1)</f>
        <v>2057</v>
      </c>
      <c r="G478" s="151">
        <f>IF(E478="","",MAX(0,Input!$C$9-B478))</f>
        <v>0</v>
      </c>
      <c r="H478" s="152">
        <f>IF(E478="","",Input!$C$3)</f>
        <v>100000</v>
      </c>
      <c r="I478" s="153">
        <f>IF(E478="","",HLOOKUP($B478,Input!$C$13:$BT$14,2))</f>
        <v>176.8655</v>
      </c>
      <c r="J478" s="154"/>
      <c r="K478" s="155">
        <f>IF($E478="","",Input!$C$57)</f>
        <v>4.4999999999999998E-2</v>
      </c>
      <c r="L478" s="155">
        <f t="shared" si="158"/>
        <v>3.6748094004368514E-3</v>
      </c>
      <c r="M478" s="147">
        <f>IF($E478="","",VLOOKUP(IF($B478&lt;=Input!$C$7,$B478,26),'Mortality Tables'!$A$72:$CA$97,IF($B478&lt;=Input!$C$7+1,Input!$C$4-16,$D478-Input!$C$7-16),0)/1000)</f>
        <v>7.2190000000000004E-2</v>
      </c>
      <c r="N478" s="147">
        <f t="shared" si="147"/>
        <v>6.224572293199726E-3</v>
      </c>
      <c r="O478" s="157">
        <f>IF($E478="","",IF($C478=12,IF($B478&lt;Input!$C$9,Input!$C$54,IF($B478=Input!$C$9,Input!$C$55,Input!$C$56)),0%))</f>
        <v>0</v>
      </c>
      <c r="P478" s="167">
        <f>IF($E478="","",IF($B478=1,Input!$C$59,IF($B478&lt;6,Input!$C$60,0%)))</f>
        <v>0</v>
      </c>
      <c r="Q478" s="162">
        <f>IF($E478="","",Input!$C$58)</f>
        <v>2.5</v>
      </c>
      <c r="R478" s="156">
        <f t="shared" si="159"/>
        <v>0.99377542770680027</v>
      </c>
      <c r="S478" s="154">
        <f t="shared" si="148"/>
        <v>4.539806682021994E-3</v>
      </c>
      <c r="T478" s="152"/>
      <c r="U478" s="150">
        <f t="shared" si="160"/>
        <v>0</v>
      </c>
      <c r="V478" s="150">
        <f t="shared" si="161"/>
        <v>0</v>
      </c>
      <c r="W478" s="168">
        <f t="shared" si="162"/>
        <v>0</v>
      </c>
      <c r="X478" s="163">
        <f t="shared" si="149"/>
        <v>622.45722931997261</v>
      </c>
      <c r="Y478" s="152"/>
      <c r="Z478" s="164">
        <f>IF(AND($C477=12,$D477=Input!$C$6),0,IF($E478="","",V478+Z479/(1+L478)*R478))</f>
        <v>102184.12273527183</v>
      </c>
      <c r="AA478" s="164">
        <f>IF(OR($M478=1,AND($C477=12,$D477=Input!$C$6)),0,IF($E478="","",W478+(X478+AA479*$R478)/(1+$L478)))</f>
        <v>44968.215596893657</v>
      </c>
      <c r="AB478" s="160">
        <f t="shared" si="150"/>
        <v>0.825720328500681</v>
      </c>
      <c r="AC478" s="164">
        <f t="shared" si="151"/>
        <v>0</v>
      </c>
      <c r="AD478" s="164">
        <f>IF(AND($C477=12,$D477=Input!$C$6),0,IF($E478="","",$AC478+AD479/(1+$L478)*$R478))</f>
        <v>84375.507392522602</v>
      </c>
      <c r="AE478" s="152"/>
      <c r="AF478" s="164">
        <f>IF(AND($C477=12,$D477=Input!$C$6),0,IF($E478="","",IF($B478&gt;Input!$C$9,$AC478,0)+AF479/(1+$L478)*$R478))</f>
        <v>84375.507392522602</v>
      </c>
      <c r="AG478" s="164">
        <f>IF(AND($C477=12,$D477=Input!$C$6),0,IF($E478="","",(IF($B478&gt;Input!$C$9,$X478,0)+AG479)/(1+$L478)*$R478))</f>
        <v>44065.57656484421</v>
      </c>
      <c r="AH478" s="160">
        <f t="shared" si="152"/>
        <v>2.0950137211446997</v>
      </c>
      <c r="AI478" s="160">
        <f>IF($E478="","",MIN(Input!$C$61/AH478,1))</f>
        <v>0.64438718771845094</v>
      </c>
      <c r="AJ478" s="152"/>
      <c r="AK478" s="164">
        <f>IF(AND($C477=12,$D477=Input!$C$6),0,IF($E478="","",IF($B478&gt;Input!$C$9,$AC478*AI478,0)+AK479/(1+$L478)*$R478))</f>
        <v>54370.495920984969</v>
      </c>
      <c r="AL478" s="164">
        <f>IF(AND($C477=12,$D477=Input!$C$6),0,IF($E478="","",IF($B478&gt;Input!$C$9,0,$AC478)+AL479/(1+$L478)*$R478))</f>
        <v>0</v>
      </c>
      <c r="AM478" s="160">
        <f t="shared" si="153"/>
        <v>1.1382936520186004</v>
      </c>
      <c r="AN478" s="164">
        <f>IF($E478="","",IF($B478&gt;Input!$C$9,$AI478*$AC478,$AM478*$AC478))</f>
        <v>0</v>
      </c>
      <c r="AO478" s="164">
        <f>IF(AND($C477=12,$D477=Input!$C$6),0,IF($E478="","",$AN478+AO479/(1+$L478)*$R478))</f>
        <v>54370.495920984969</v>
      </c>
      <c r="AP478" s="152"/>
      <c r="AQ478" s="164">
        <f t="shared" si="154"/>
        <v>-9402.2803240913127</v>
      </c>
      <c r="AR478" s="164">
        <f t="shared" si="163"/>
        <v>-8765.2106016493708</v>
      </c>
      <c r="AS478" s="164">
        <f t="shared" si="164"/>
        <v>3454.0669856459331</v>
      </c>
      <c r="AT478" s="164">
        <f t="shared" si="155"/>
        <v>3454.0669856459331</v>
      </c>
      <c r="AU478" s="152"/>
      <c r="AV478" s="147">
        <f>'Deterministic Reserve'!BC478</f>
        <v>3.2618341888100873E-3</v>
      </c>
      <c r="AW478" s="164">
        <f t="shared" si="156"/>
        <v>3454.0669856459331</v>
      </c>
      <c r="AX478" s="164">
        <f t="shared" si="157"/>
        <v>11.266593784220106</v>
      </c>
      <c r="AY478" s="152"/>
    </row>
    <row r="479" spans="1:51" s="150" customFormat="1" x14ac:dyDescent="0.25">
      <c r="A479" s="150">
        <f t="shared" si="165"/>
        <v>475</v>
      </c>
      <c r="B479" s="150">
        <f t="shared" si="166"/>
        <v>40</v>
      </c>
      <c r="C479" s="150">
        <f t="shared" si="167"/>
        <v>7</v>
      </c>
      <c r="D479" s="150">
        <f>IF(E479="","",Input!$C$4+B479-1)</f>
        <v>84</v>
      </c>
      <c r="E479" s="150">
        <f>IF(OR(AND(C478=12,D478=Input!$C$6),E478=""),"",1)</f>
        <v>1</v>
      </c>
      <c r="F479" s="150">
        <f>IF(E479="","",Input!$C$8+B479-1)</f>
        <v>2057</v>
      </c>
      <c r="G479" s="151">
        <f>IF(E479="","",MAX(0,Input!$C$9-B479))</f>
        <v>0</v>
      </c>
      <c r="H479" s="152">
        <f>IF(E479="","",Input!$C$3)</f>
        <v>100000</v>
      </c>
      <c r="I479" s="153">
        <f>IF(E479="","",HLOOKUP($B479,Input!$C$13:$BT$14,2))</f>
        <v>176.8655</v>
      </c>
      <c r="J479" s="154"/>
      <c r="K479" s="155">
        <f>IF($E479="","",Input!$C$57)</f>
        <v>4.4999999999999998E-2</v>
      </c>
      <c r="L479" s="155">
        <f t="shared" si="158"/>
        <v>3.6748094004368514E-3</v>
      </c>
      <c r="M479" s="147">
        <f>IF($E479="","",VLOOKUP(IF($B479&lt;=Input!$C$7,$B479,26),'Mortality Tables'!$A$72:$CA$97,IF($B479&lt;=Input!$C$7+1,Input!$C$4-16,$D479-Input!$C$7-16),0)/1000)</f>
        <v>7.2190000000000004E-2</v>
      </c>
      <c r="N479" s="147">
        <f t="shared" si="147"/>
        <v>6.224572293199726E-3</v>
      </c>
      <c r="O479" s="157">
        <f>IF($E479="","",IF($C479=12,IF($B479&lt;Input!$C$9,Input!$C$54,IF($B479=Input!$C$9,Input!$C$55,Input!$C$56)),0%))</f>
        <v>0</v>
      </c>
      <c r="P479" s="167">
        <f>IF($E479="","",IF($B479=1,Input!$C$59,IF($B479&lt;6,Input!$C$60,0%)))</f>
        <v>0</v>
      </c>
      <c r="Q479" s="162">
        <f>IF($E479="","",Input!$C$58)</f>
        <v>2.5</v>
      </c>
      <c r="R479" s="156">
        <f t="shared" si="159"/>
        <v>0.99377542770680027</v>
      </c>
      <c r="S479" s="154">
        <f t="shared" si="148"/>
        <v>4.5115483271325968E-3</v>
      </c>
      <c r="T479" s="152"/>
      <c r="U479" s="150">
        <f t="shared" si="160"/>
        <v>0</v>
      </c>
      <c r="V479" s="150">
        <f t="shared" si="161"/>
        <v>0</v>
      </c>
      <c r="W479" s="168">
        <f t="shared" si="162"/>
        <v>0</v>
      </c>
      <c r="X479" s="163">
        <f t="shared" si="149"/>
        <v>622.45722931997261</v>
      </c>
      <c r="Y479" s="152"/>
      <c r="Z479" s="164">
        <f>IF(AND($C478=12,$D478=Input!$C$6),0,IF($E479="","",V479+Z480/(1+L479)*R479))</f>
        <v>103202.0183339989</v>
      </c>
      <c r="AA479" s="164">
        <f>IF(OR($M479=1,AND($C478=12,$D478=Input!$C$6)),0,IF($E479="","",W479+(X479+AA480*$R479)/(1+$L479)))</f>
        <v>44789.805370497023</v>
      </c>
      <c r="AB479" s="160">
        <f t="shared" si="150"/>
        <v>0.825720328500681</v>
      </c>
      <c r="AC479" s="164">
        <f t="shared" si="151"/>
        <v>0</v>
      </c>
      <c r="AD479" s="164">
        <f>IF(AND($C478=12,$D478=Input!$C$6),0,IF($E479="","",$AC479+AD480/(1+$L479)*$R479))</f>
        <v>85216.004480682925</v>
      </c>
      <c r="AE479" s="152"/>
      <c r="AF479" s="164">
        <f>IF(AND($C478=12,$D478=Input!$C$6),0,IF($E479="","",IF($B479&gt;Input!$C$9,$AC479,0)+AF480/(1+$L479)*$R479))</f>
        <v>85216.004480682925</v>
      </c>
      <c r="AG479" s="164">
        <f>IF(AND($C478=12,$D478=Input!$C$6),0,IF($E479="","",(IF($B479&gt;Input!$C$9,$X479,0)+AG480)/(1+$L479)*$R479))</f>
        <v>43882.073600042699</v>
      </c>
      <c r="AH479" s="160">
        <f t="shared" si="152"/>
        <v>2.0950137211446997</v>
      </c>
      <c r="AI479" s="160">
        <f>IF($E479="","",MIN(Input!$C$61/AH479,1))</f>
        <v>0.64438718771845094</v>
      </c>
      <c r="AJ479" s="152"/>
      <c r="AK479" s="164">
        <f>IF(AND($C478=12,$D478=Input!$C$6),0,IF($E479="","",IF($B479&gt;Input!$C$9,$AC479*AI479,0)+AK480/(1+$L479)*$R479))</f>
        <v>54912.101475910145</v>
      </c>
      <c r="AL479" s="164">
        <f>IF(AND($C478=12,$D478=Input!$C$6),0,IF($E479="","",IF($B479&gt;Input!$C$9,0,$AC479)+AL480/(1+$L479)*$R479))</f>
        <v>0</v>
      </c>
      <c r="AM479" s="160">
        <f t="shared" si="153"/>
        <v>1.1382936520186004</v>
      </c>
      <c r="AN479" s="164">
        <f>IF($E479="","",IF($B479&gt;Input!$C$9,$AI479*$AC479,$AM479*$AC479))</f>
        <v>0</v>
      </c>
      <c r="AO479" s="164">
        <f>IF(AND($C478=12,$D478=Input!$C$6),0,IF($E479="","",$AN479+AO480/(1+$L479)*$R479))</f>
        <v>54912.101475910145</v>
      </c>
      <c r="AP479" s="152"/>
      <c r="AQ479" s="164">
        <f t="shared" si="154"/>
        <v>-10122.296105413123</v>
      </c>
      <c r="AR479" s="164">
        <f t="shared" si="163"/>
        <v>-8765.2106016493708</v>
      </c>
      <c r="AS479" s="164">
        <f t="shared" si="164"/>
        <v>3454.0669856459331</v>
      </c>
      <c r="AT479" s="164">
        <f t="shared" si="155"/>
        <v>3454.0669856459331</v>
      </c>
      <c r="AU479" s="152"/>
      <c r="AV479" s="147">
        <f>'Deterministic Reserve'!BC479</f>
        <v>3.2134090501670732E-3</v>
      </c>
      <c r="AW479" s="164">
        <f t="shared" si="156"/>
        <v>3454.0669856459331</v>
      </c>
      <c r="AX479" s="164">
        <f t="shared" si="157"/>
        <v>11.099330111557943</v>
      </c>
      <c r="AY479" s="152"/>
    </row>
    <row r="480" spans="1:51" s="150" customFormat="1" x14ac:dyDescent="0.25">
      <c r="A480" s="150">
        <f t="shared" si="165"/>
        <v>476</v>
      </c>
      <c r="B480" s="150">
        <f t="shared" si="166"/>
        <v>40</v>
      </c>
      <c r="C480" s="150">
        <f t="shared" si="167"/>
        <v>8</v>
      </c>
      <c r="D480" s="150">
        <f>IF(E480="","",Input!$C$4+B480-1)</f>
        <v>84</v>
      </c>
      <c r="E480" s="150">
        <f>IF(OR(AND(C479=12,D479=Input!$C$6),E479=""),"",1)</f>
        <v>1</v>
      </c>
      <c r="F480" s="150">
        <f>IF(E480="","",Input!$C$8+B480-1)</f>
        <v>2057</v>
      </c>
      <c r="G480" s="151">
        <f>IF(E480="","",MAX(0,Input!$C$9-B480))</f>
        <v>0</v>
      </c>
      <c r="H480" s="152">
        <f>IF(E480="","",Input!$C$3)</f>
        <v>100000</v>
      </c>
      <c r="I480" s="153">
        <f>IF(E480="","",HLOOKUP($B480,Input!$C$13:$BT$14,2))</f>
        <v>176.8655</v>
      </c>
      <c r="J480" s="154"/>
      <c r="K480" s="155">
        <f>IF($E480="","",Input!$C$57)</f>
        <v>4.4999999999999998E-2</v>
      </c>
      <c r="L480" s="155">
        <f t="shared" si="158"/>
        <v>3.6748094004368514E-3</v>
      </c>
      <c r="M480" s="147">
        <f>IF($E480="","",VLOOKUP(IF($B480&lt;=Input!$C$7,$B480,26),'Mortality Tables'!$A$72:$CA$97,IF($B480&lt;=Input!$C$7+1,Input!$C$4-16,$D480-Input!$C$7-16),0)/1000)</f>
        <v>7.2190000000000004E-2</v>
      </c>
      <c r="N480" s="147">
        <f t="shared" si="147"/>
        <v>6.224572293199726E-3</v>
      </c>
      <c r="O480" s="157">
        <f>IF($E480="","",IF($C480=12,IF($B480&lt;Input!$C$9,Input!$C$54,IF($B480=Input!$C$9,Input!$C$55,Input!$C$56)),0%))</f>
        <v>0</v>
      </c>
      <c r="P480" s="167">
        <f>IF($E480="","",IF($B480=1,Input!$C$59,IF($B480&lt;6,Input!$C$60,0%)))</f>
        <v>0</v>
      </c>
      <c r="Q480" s="162">
        <f>IF($E480="","",Input!$C$58)</f>
        <v>2.5</v>
      </c>
      <c r="R480" s="156">
        <f t="shared" si="159"/>
        <v>0.99377542770680027</v>
      </c>
      <c r="S480" s="154">
        <f t="shared" si="148"/>
        <v>4.4834658684160958E-3</v>
      </c>
      <c r="T480" s="152"/>
      <c r="U480" s="150">
        <f t="shared" si="160"/>
        <v>0</v>
      </c>
      <c r="V480" s="150">
        <f t="shared" si="161"/>
        <v>0</v>
      </c>
      <c r="W480" s="168">
        <f t="shared" si="162"/>
        <v>0</v>
      </c>
      <c r="X480" s="163">
        <f t="shared" si="149"/>
        <v>622.45722931997261</v>
      </c>
      <c r="Y480" s="152"/>
      <c r="Z480" s="164">
        <f>IF(AND($C479=12,$D479=Input!$C$6),0,IF($E480="","",V480+Z481/(1+L480)*R480))</f>
        <v>104230.05358477928</v>
      </c>
      <c r="AA480" s="164">
        <f>IF(OR($M480=1,AND($C479=12,$D479=Input!$C$6)),0,IF($E480="","",W480+(X480+AA481*$R480)/(1+$L480)))</f>
        <v>44609.61793077844</v>
      </c>
      <c r="AB480" s="160">
        <f t="shared" si="150"/>
        <v>0.825720328500681</v>
      </c>
      <c r="AC480" s="164">
        <f t="shared" si="151"/>
        <v>0</v>
      </c>
      <c r="AD480" s="164">
        <f>IF(AND($C479=12,$D479=Input!$C$6),0,IF($E480="","",$AC480+AD481/(1+$L480)*$R480))</f>
        <v>86064.874085667572</v>
      </c>
      <c r="AE480" s="152"/>
      <c r="AF480" s="164">
        <f>IF(AND($C479=12,$D479=Input!$C$6),0,IF($E480="","",IF($B480&gt;Input!$C$9,$AC480,0)+AF481/(1+$L480)*$R480))</f>
        <v>86064.874085667572</v>
      </c>
      <c r="AG480" s="164">
        <f>IF(AND($C479=12,$D479=Input!$C$6),0,IF($E480="","",(IF($B480&gt;Input!$C$9,$X480,0)+AG481)/(1+$L480)*$R480))</f>
        <v>43696.742691180756</v>
      </c>
      <c r="AH480" s="160">
        <f t="shared" si="152"/>
        <v>2.0950137211446997</v>
      </c>
      <c r="AI480" s="160">
        <f>IF($E480="","",MIN(Input!$C$61/AH480,1))</f>
        <v>0.64438718771845094</v>
      </c>
      <c r="AJ480" s="152"/>
      <c r="AK480" s="164">
        <f>IF(AND($C479=12,$D479=Input!$C$6),0,IF($E480="","",IF($B480&gt;Input!$C$9,$AC480*AI480,0)+AK481/(1+$L480)*$R480))</f>
        <v>55459.102173405881</v>
      </c>
      <c r="AL480" s="164">
        <f>IF(AND($C479=12,$D479=Input!$C$6),0,IF($E480="","",IF($B480&gt;Input!$C$9,0,$AC480)+AL481/(1+$L480)*$R480))</f>
        <v>0</v>
      </c>
      <c r="AM480" s="160">
        <f t="shared" si="153"/>
        <v>1.1382936520186004</v>
      </c>
      <c r="AN480" s="164">
        <f>IF($E480="","",IF($B480&gt;Input!$C$9,$AI480*$AC480,$AM480*$AC480))</f>
        <v>0</v>
      </c>
      <c r="AO480" s="164">
        <f>IF(AND($C479=12,$D479=Input!$C$6),0,IF($E480="","",$AN480+AO481/(1+$L480)*$R480))</f>
        <v>55459.102173405881</v>
      </c>
      <c r="AP480" s="152"/>
      <c r="AQ480" s="164">
        <f t="shared" si="154"/>
        <v>-10849.484242627441</v>
      </c>
      <c r="AR480" s="164">
        <f t="shared" si="163"/>
        <v>-8765.2106016493708</v>
      </c>
      <c r="AS480" s="164">
        <f t="shared" si="164"/>
        <v>3454.0669856459331</v>
      </c>
      <c r="AT480" s="164">
        <f t="shared" si="155"/>
        <v>3454.0669856459331</v>
      </c>
      <c r="AU480" s="152"/>
      <c r="AV480" s="147">
        <f>'Deterministic Reserve'!BC480</f>
        <v>3.1657028303644585E-3</v>
      </c>
      <c r="AW480" s="164">
        <f t="shared" si="156"/>
        <v>3454.0669856459331</v>
      </c>
      <c r="AX480" s="164">
        <f t="shared" si="157"/>
        <v>10.934549632727764</v>
      </c>
      <c r="AY480" s="152"/>
    </row>
    <row r="481" spans="1:51" s="150" customFormat="1" x14ac:dyDescent="0.25">
      <c r="A481" s="150">
        <f t="shared" si="165"/>
        <v>477</v>
      </c>
      <c r="B481" s="150">
        <f t="shared" si="166"/>
        <v>40</v>
      </c>
      <c r="C481" s="150">
        <f t="shared" si="167"/>
        <v>9</v>
      </c>
      <c r="D481" s="150">
        <f>IF(E481="","",Input!$C$4+B481-1)</f>
        <v>84</v>
      </c>
      <c r="E481" s="150">
        <f>IF(OR(AND(C480=12,D480=Input!$C$6),E480=""),"",1)</f>
        <v>1</v>
      </c>
      <c r="F481" s="150">
        <f>IF(E481="","",Input!$C$8+B481-1)</f>
        <v>2057</v>
      </c>
      <c r="G481" s="151">
        <f>IF(E481="","",MAX(0,Input!$C$9-B481))</f>
        <v>0</v>
      </c>
      <c r="H481" s="152">
        <f>IF(E481="","",Input!$C$3)</f>
        <v>100000</v>
      </c>
      <c r="I481" s="153">
        <f>IF(E481="","",HLOOKUP($B481,Input!$C$13:$BT$14,2))</f>
        <v>176.8655</v>
      </c>
      <c r="J481" s="154"/>
      <c r="K481" s="155">
        <f>IF($E481="","",Input!$C$57)</f>
        <v>4.4999999999999998E-2</v>
      </c>
      <c r="L481" s="155">
        <f t="shared" si="158"/>
        <v>3.6748094004368514E-3</v>
      </c>
      <c r="M481" s="147">
        <f>IF($E481="","",VLOOKUP(IF($B481&lt;=Input!$C$7,$B481,26),'Mortality Tables'!$A$72:$CA$97,IF($B481&lt;=Input!$C$7+1,Input!$C$4-16,$D481-Input!$C$7-16),0)/1000)</f>
        <v>7.2190000000000004E-2</v>
      </c>
      <c r="N481" s="147">
        <f t="shared" si="147"/>
        <v>6.224572293199726E-3</v>
      </c>
      <c r="O481" s="157">
        <f>IF($E481="","",IF($C481=12,IF($B481&lt;Input!$C$9,Input!$C$54,IF($B481=Input!$C$9,Input!$C$55,Input!$C$56)),0%))</f>
        <v>0</v>
      </c>
      <c r="P481" s="167">
        <f>IF($E481="","",IF($B481=1,Input!$C$59,IF($B481&lt;6,Input!$C$60,0%)))</f>
        <v>0</v>
      </c>
      <c r="Q481" s="162">
        <f>IF($E481="","",Input!$C$58)</f>
        <v>2.5</v>
      </c>
      <c r="R481" s="156">
        <f t="shared" si="159"/>
        <v>0.99377542770680027</v>
      </c>
      <c r="S481" s="154">
        <f t="shared" si="148"/>
        <v>4.4555582109940461E-3</v>
      </c>
      <c r="T481" s="152"/>
      <c r="U481" s="150">
        <f t="shared" si="160"/>
        <v>0</v>
      </c>
      <c r="V481" s="150">
        <f t="shared" si="161"/>
        <v>0</v>
      </c>
      <c r="W481" s="168">
        <f t="shared" si="162"/>
        <v>0</v>
      </c>
      <c r="X481" s="163">
        <f t="shared" si="149"/>
        <v>622.45722931997261</v>
      </c>
      <c r="Y481" s="152"/>
      <c r="Z481" s="164">
        <f>IF(AND($C480=12,$D480=Input!$C$6),0,IF($E481="","",V481+Z482/(1+L481)*R481))</f>
        <v>105268.3294926118</v>
      </c>
      <c r="AA481" s="164">
        <f>IF(OR($M481=1,AND($C480=12,$D480=Input!$C$6)),0,IF($E481="","",W481+(X481+AA482*$R481)/(1+$L481)))</f>
        <v>44427.635574228101</v>
      </c>
      <c r="AB481" s="160">
        <f t="shared" si="150"/>
        <v>0.825720328500681</v>
      </c>
      <c r="AC481" s="164">
        <f t="shared" si="151"/>
        <v>0</v>
      </c>
      <c r="AD481" s="164">
        <f>IF(AND($C480=12,$D480=Input!$C$6),0,IF($E481="","",$AC481+AD482/(1+$L481)*$R481))</f>
        <v>86922.199609357369</v>
      </c>
      <c r="AE481" s="152"/>
      <c r="AF481" s="164">
        <f>IF(AND($C480=12,$D480=Input!$C$6),0,IF($E481="","",IF($B481&gt;Input!$C$9,$AC481,0)+AF482/(1+$L481)*$R481))</f>
        <v>86922.199609357369</v>
      </c>
      <c r="AG481" s="164">
        <f>IF(AND($C480=12,$D480=Input!$C$6),0,IF($E481="","",(IF($B481&gt;Input!$C$9,$X481,0)+AG482)/(1+$L481)*$R481))</f>
        <v>43509.565629400051</v>
      </c>
      <c r="AH481" s="160">
        <f t="shared" si="152"/>
        <v>2.0950137211446997</v>
      </c>
      <c r="AI481" s="160">
        <f>IF($E481="","",MIN(Input!$C$61/AH481,1))</f>
        <v>0.64438718771845094</v>
      </c>
      <c r="AJ481" s="152"/>
      <c r="AK481" s="164">
        <f>IF(AND($C480=12,$D480=Input!$C$6),0,IF($E481="","",IF($B481&gt;Input!$C$9,$AC481*AI481,0)+AK482/(1+$L481)*$R481))</f>
        <v>56011.551756575602</v>
      </c>
      <c r="AL481" s="164">
        <f>IF(AND($C480=12,$D480=Input!$C$6),0,IF($E481="","",IF($B481&gt;Input!$C$9,0,$AC481)+AL482/(1+$L481)*$R481))</f>
        <v>0</v>
      </c>
      <c r="AM481" s="160">
        <f t="shared" si="153"/>
        <v>1.1382936520186004</v>
      </c>
      <c r="AN481" s="164">
        <f>IF($E481="","",IF($B481&gt;Input!$C$9,$AI481*$AC481,$AM481*$AC481))</f>
        <v>0</v>
      </c>
      <c r="AO481" s="164">
        <f>IF(AND($C480=12,$D480=Input!$C$6),0,IF($E481="","",$AN481+AO482/(1+$L481)*$R481))</f>
        <v>56011.551756575602</v>
      </c>
      <c r="AP481" s="152"/>
      <c r="AQ481" s="164">
        <f t="shared" si="154"/>
        <v>-11583.916182347501</v>
      </c>
      <c r="AR481" s="164">
        <f t="shared" si="163"/>
        <v>-8765.2106016493708</v>
      </c>
      <c r="AS481" s="164">
        <f t="shared" si="164"/>
        <v>3454.0669856459331</v>
      </c>
      <c r="AT481" s="164">
        <f t="shared" si="155"/>
        <v>3454.0669856459331</v>
      </c>
      <c r="AU481" s="152"/>
      <c r="AV481" s="147">
        <f>'Deterministic Reserve'!BC481</f>
        <v>3.118704856344539E-3</v>
      </c>
      <c r="AW481" s="164">
        <f t="shared" si="156"/>
        <v>3454.0669856459331</v>
      </c>
      <c r="AX481" s="164">
        <f t="shared" si="157"/>
        <v>10.772215482273314</v>
      </c>
      <c r="AY481" s="152"/>
    </row>
    <row r="482" spans="1:51" s="150" customFormat="1" x14ac:dyDescent="0.25">
      <c r="A482" s="150">
        <f t="shared" si="165"/>
        <v>478</v>
      </c>
      <c r="B482" s="150">
        <f t="shared" si="166"/>
        <v>40</v>
      </c>
      <c r="C482" s="150">
        <f t="shared" si="167"/>
        <v>10</v>
      </c>
      <c r="D482" s="150">
        <f>IF(E482="","",Input!$C$4+B482-1)</f>
        <v>84</v>
      </c>
      <c r="E482" s="150">
        <f>IF(OR(AND(C481=12,D481=Input!$C$6),E481=""),"",1)</f>
        <v>1</v>
      </c>
      <c r="F482" s="150">
        <f>IF(E482="","",Input!$C$8+B482-1)</f>
        <v>2057</v>
      </c>
      <c r="G482" s="151">
        <f>IF(E482="","",MAX(0,Input!$C$9-B482))</f>
        <v>0</v>
      </c>
      <c r="H482" s="152">
        <f>IF(E482="","",Input!$C$3)</f>
        <v>100000</v>
      </c>
      <c r="I482" s="153">
        <f>IF(E482="","",HLOOKUP($B482,Input!$C$13:$BT$14,2))</f>
        <v>176.8655</v>
      </c>
      <c r="J482" s="154"/>
      <c r="K482" s="155">
        <f>IF($E482="","",Input!$C$57)</f>
        <v>4.4999999999999998E-2</v>
      </c>
      <c r="L482" s="155">
        <f t="shared" si="158"/>
        <v>3.6748094004368514E-3</v>
      </c>
      <c r="M482" s="147">
        <f>IF($E482="","",VLOOKUP(IF($B482&lt;=Input!$C$7,$B482,26),'Mortality Tables'!$A$72:$CA$97,IF($B482&lt;=Input!$C$7+1,Input!$C$4-16,$D482-Input!$C$7-16),0)/1000)</f>
        <v>7.2190000000000004E-2</v>
      </c>
      <c r="N482" s="147">
        <f t="shared" si="147"/>
        <v>6.224572293199726E-3</v>
      </c>
      <c r="O482" s="157">
        <f>IF($E482="","",IF($C482=12,IF($B482&lt;Input!$C$9,Input!$C$54,IF($B482=Input!$C$9,Input!$C$55,Input!$C$56)),0%))</f>
        <v>0</v>
      </c>
      <c r="P482" s="167">
        <f>IF($E482="","",IF($B482=1,Input!$C$59,IF($B482&lt;6,Input!$C$60,0%)))</f>
        <v>0</v>
      </c>
      <c r="Q482" s="162">
        <f>IF($E482="","",Input!$C$58)</f>
        <v>2.5</v>
      </c>
      <c r="R482" s="156">
        <f t="shared" si="159"/>
        <v>0.99377542770680027</v>
      </c>
      <c r="S482" s="154">
        <f t="shared" si="148"/>
        <v>4.4278242668031537E-3</v>
      </c>
      <c r="T482" s="152"/>
      <c r="U482" s="150">
        <f t="shared" si="160"/>
        <v>0</v>
      </c>
      <c r="V482" s="150">
        <f t="shared" si="161"/>
        <v>0</v>
      </c>
      <c r="W482" s="168">
        <f t="shared" si="162"/>
        <v>0</v>
      </c>
      <c r="X482" s="163">
        <f t="shared" si="149"/>
        <v>622.45722931997261</v>
      </c>
      <c r="Y482" s="152"/>
      <c r="Z482" s="164">
        <f>IF(AND($C481=12,$D481=Input!$C$6),0,IF($E482="","",V482+Z483/(1+L482)*R482))</f>
        <v>106316.94806864519</v>
      </c>
      <c r="AA482" s="164">
        <f>IF(OR($M482=1,AND($C481=12,$D481=Input!$C$6)),0,IF($E482="","",W482+(X482+AA483*$R482)/(1+$L482)))</f>
        <v>44243.840420984699</v>
      </c>
      <c r="AB482" s="160">
        <f t="shared" si="150"/>
        <v>0.825720328500681</v>
      </c>
      <c r="AC482" s="164">
        <f t="shared" si="151"/>
        <v>0</v>
      </c>
      <c r="AD482" s="164">
        <f>IF(AND($C481=12,$D481=Input!$C$6),0,IF($E482="","",$AC482+AD483/(1+$L482)*$R482))</f>
        <v>87788.065284431563</v>
      </c>
      <c r="AE482" s="152"/>
      <c r="AF482" s="164">
        <f>IF(AND($C481=12,$D481=Input!$C$6),0,IF($E482="","",IF($B482&gt;Input!$C$9,$AC482,0)+AF483/(1+$L482)*$R482))</f>
        <v>87788.065284431563</v>
      </c>
      <c r="AG482" s="164">
        <f>IF(AND($C481=12,$D481=Input!$C$6),0,IF($E482="","",(IF($B482&gt;Input!$C$9,$X482,0)+AG483)/(1+$L482)*$R482))</f>
        <v>43320.524024456776</v>
      </c>
      <c r="AH482" s="160">
        <f t="shared" si="152"/>
        <v>2.0950137211446997</v>
      </c>
      <c r="AI482" s="160">
        <f>IF($E482="","",MIN(Input!$C$61/AH482,1))</f>
        <v>0.64438718771845094</v>
      </c>
      <c r="AJ482" s="152"/>
      <c r="AK482" s="164">
        <f>IF(AND($C481=12,$D481=Input!$C$6),0,IF($E482="","",IF($B482&gt;Input!$C$9,$AC482*AI482,0)+AK483/(1+$L482)*$R482))</f>
        <v>56569.504503878605</v>
      </c>
      <c r="AL482" s="164">
        <f>IF(AND($C481=12,$D481=Input!$C$6),0,IF($E482="","",IF($B482&gt;Input!$C$9,0,$AC482)+AL483/(1+$L482)*$R482))</f>
        <v>0</v>
      </c>
      <c r="AM482" s="160">
        <f t="shared" si="153"/>
        <v>1.1382936520186004</v>
      </c>
      <c r="AN482" s="164">
        <f>IF($E482="","",IF($B482&gt;Input!$C$9,$AI482*$AC482,$AM482*$AC482))</f>
        <v>0</v>
      </c>
      <c r="AO482" s="164">
        <f>IF(AND($C481=12,$D481=Input!$C$6),0,IF($E482="","",$AN482+AO483/(1+$L482)*$R482))</f>
        <v>56569.504503878605</v>
      </c>
      <c r="AP482" s="152"/>
      <c r="AQ482" s="164">
        <f t="shared" si="154"/>
        <v>-12325.664082893905</v>
      </c>
      <c r="AR482" s="164">
        <f t="shared" si="163"/>
        <v>-8765.2106016493708</v>
      </c>
      <c r="AS482" s="164">
        <f t="shared" si="164"/>
        <v>3454.0669856459331</v>
      </c>
      <c r="AT482" s="164">
        <f t="shared" si="155"/>
        <v>3454.0669856459331</v>
      </c>
      <c r="AU482" s="152"/>
      <c r="AV482" s="147">
        <f>'Deterministic Reserve'!BC482</f>
        <v>3.0724046135016557E-3</v>
      </c>
      <c r="AW482" s="164">
        <f t="shared" si="156"/>
        <v>3454.0669856459331</v>
      </c>
      <c r="AX482" s="164">
        <f t="shared" si="157"/>
        <v>10.612291342042322</v>
      </c>
      <c r="AY482" s="152"/>
    </row>
    <row r="483" spans="1:51" s="150" customFormat="1" x14ac:dyDescent="0.25">
      <c r="A483" s="150">
        <f t="shared" si="165"/>
        <v>479</v>
      </c>
      <c r="B483" s="150">
        <f t="shared" si="166"/>
        <v>40</v>
      </c>
      <c r="C483" s="150">
        <f t="shared" si="167"/>
        <v>11</v>
      </c>
      <c r="D483" s="150">
        <f>IF(E483="","",Input!$C$4+B483-1)</f>
        <v>84</v>
      </c>
      <c r="E483" s="150">
        <f>IF(OR(AND(C482=12,D482=Input!$C$6),E482=""),"",1)</f>
        <v>1</v>
      </c>
      <c r="F483" s="150">
        <f>IF(E483="","",Input!$C$8+B483-1)</f>
        <v>2057</v>
      </c>
      <c r="G483" s="151">
        <f>IF(E483="","",MAX(0,Input!$C$9-B483))</f>
        <v>0</v>
      </c>
      <c r="H483" s="152">
        <f>IF(E483="","",Input!$C$3)</f>
        <v>100000</v>
      </c>
      <c r="I483" s="153">
        <f>IF(E483="","",HLOOKUP($B483,Input!$C$13:$BT$14,2))</f>
        <v>176.8655</v>
      </c>
      <c r="J483" s="154"/>
      <c r="K483" s="155">
        <f>IF($E483="","",Input!$C$57)</f>
        <v>4.4999999999999998E-2</v>
      </c>
      <c r="L483" s="155">
        <f t="shared" si="158"/>
        <v>3.6748094004368514E-3</v>
      </c>
      <c r="M483" s="147">
        <f>IF($E483="","",VLOOKUP(IF($B483&lt;=Input!$C$7,$B483,26),'Mortality Tables'!$A$72:$CA$97,IF($B483&lt;=Input!$C$7+1,Input!$C$4-16,$D483-Input!$C$7-16),0)/1000)</f>
        <v>7.2190000000000004E-2</v>
      </c>
      <c r="N483" s="147">
        <f t="shared" si="147"/>
        <v>6.224572293199726E-3</v>
      </c>
      <c r="O483" s="157">
        <f>IF($E483="","",IF($C483=12,IF($B483&lt;Input!$C$9,Input!$C$54,IF($B483=Input!$C$9,Input!$C$55,Input!$C$56)),0%))</f>
        <v>0</v>
      </c>
      <c r="P483" s="167">
        <f>IF($E483="","",IF($B483=1,Input!$C$59,IF($B483&lt;6,Input!$C$60,0%)))</f>
        <v>0</v>
      </c>
      <c r="Q483" s="162">
        <f>IF($E483="","",Input!$C$58)</f>
        <v>2.5</v>
      </c>
      <c r="R483" s="156">
        <f t="shared" si="159"/>
        <v>0.99377542770680027</v>
      </c>
      <c r="S483" s="154">
        <f t="shared" si="148"/>
        <v>4.4002629545528537E-3</v>
      </c>
      <c r="T483" s="152"/>
      <c r="U483" s="150">
        <f t="shared" si="160"/>
        <v>0</v>
      </c>
      <c r="V483" s="150">
        <f t="shared" si="161"/>
        <v>0</v>
      </c>
      <c r="W483" s="168">
        <f t="shared" si="162"/>
        <v>0</v>
      </c>
      <c r="X483" s="163">
        <f t="shared" si="149"/>
        <v>622.45722931997261</v>
      </c>
      <c r="Y483" s="152"/>
      <c r="Z483" s="164">
        <f>IF(AND($C482=12,$D482=Input!$C$6),0,IF($E483="","",V483+Z484/(1+L483)*R483))</f>
        <v>107376.01234020069</v>
      </c>
      <c r="AA483" s="164">
        <f>IF(OR($M483=1,AND($C482=12,$D482=Input!$C$6)),0,IF($E483="","",W483+(X483+AA484*$R483)/(1+$L483)))</f>
        <v>44058.214413078691</v>
      </c>
      <c r="AB483" s="160">
        <f t="shared" si="150"/>
        <v>0.825720328500681</v>
      </c>
      <c r="AC483" s="164">
        <f t="shared" si="151"/>
        <v>0</v>
      </c>
      <c r="AD483" s="164">
        <f>IF(AND($C482=12,$D482=Input!$C$6),0,IF($E483="","",$AC483+AD484/(1+$L483)*$R483))</f>
        <v>88662.556182643704</v>
      </c>
      <c r="AE483" s="152"/>
      <c r="AF483" s="164">
        <f>IF(AND($C482=12,$D482=Input!$C$6),0,IF($E483="","",IF($B483&gt;Input!$C$9,$AC483,0)+AF484/(1+$L483)*$R483))</f>
        <v>88662.556182643704</v>
      </c>
      <c r="AG483" s="164">
        <f>IF(AND($C482=12,$D482=Input!$C$6),0,IF($E483="","",(IF($B483&gt;Input!$C$9,$X483,0)+AG484)/(1+$L483)*$R483))</f>
        <v>43129.599302914787</v>
      </c>
      <c r="AH483" s="160">
        <f t="shared" si="152"/>
        <v>2.0950137211446997</v>
      </c>
      <c r="AI483" s="160">
        <f>IF($E483="","",MIN(Input!$C$61/AH483,1))</f>
        <v>0.64438718771845094</v>
      </c>
      <c r="AJ483" s="152"/>
      <c r="AK483" s="164">
        <f>IF(AND($C482=12,$D482=Input!$C$6),0,IF($E483="","",IF($B483&gt;Input!$C$9,$AC483*AI483,0)+AK484/(1+$L483)*$R483))</f>
        <v>57133.01523446291</v>
      </c>
      <c r="AL483" s="164">
        <f>IF(AND($C482=12,$D482=Input!$C$6),0,IF($E483="","",IF($B483&gt;Input!$C$9,0,$AC483)+AL484/(1+$L483)*$R483))</f>
        <v>0</v>
      </c>
      <c r="AM483" s="160">
        <f t="shared" si="153"/>
        <v>1.1382936520186004</v>
      </c>
      <c r="AN483" s="164">
        <f>IF($E483="","",IF($B483&gt;Input!$C$9,$AI483*$AC483,$AM483*$AC483))</f>
        <v>0</v>
      </c>
      <c r="AO483" s="164">
        <f>IF(AND($C482=12,$D482=Input!$C$6),0,IF($E483="","",$AN483+AO484/(1+$L483)*$R483))</f>
        <v>57133.01523446291</v>
      </c>
      <c r="AP483" s="152"/>
      <c r="AQ483" s="164">
        <f t="shared" si="154"/>
        <v>-13074.800821384219</v>
      </c>
      <c r="AR483" s="164">
        <f t="shared" si="163"/>
        <v>-8765.2106016493708</v>
      </c>
      <c r="AS483" s="164">
        <f t="shared" si="164"/>
        <v>3454.0669856459331</v>
      </c>
      <c r="AT483" s="164">
        <f t="shared" si="155"/>
        <v>3454.0669856459331</v>
      </c>
      <c r="AU483" s="152"/>
      <c r="AV483" s="147">
        <f>'Deterministic Reserve'!BC483</f>
        <v>3.0267917433298187E-3</v>
      </c>
      <c r="AW483" s="164">
        <f t="shared" si="156"/>
        <v>3454.0669856459331</v>
      </c>
      <c r="AX483" s="164">
        <f t="shared" si="157"/>
        <v>10.454741433061226</v>
      </c>
      <c r="AY483" s="152"/>
    </row>
    <row r="484" spans="1:51" s="150" customFormat="1" x14ac:dyDescent="0.25">
      <c r="A484" s="150">
        <f t="shared" si="165"/>
        <v>480</v>
      </c>
      <c r="B484" s="150">
        <f t="shared" si="166"/>
        <v>40</v>
      </c>
      <c r="C484" s="150">
        <f t="shared" si="167"/>
        <v>12</v>
      </c>
      <c r="D484" s="150">
        <f>IF(E484="","",Input!$C$4+B484-1)</f>
        <v>84</v>
      </c>
      <c r="E484" s="150">
        <f>IF(OR(AND(C483=12,D483=Input!$C$6),E483=""),"",1)</f>
        <v>1</v>
      </c>
      <c r="F484" s="150">
        <f>IF(E484="","",Input!$C$8+B484-1)</f>
        <v>2057</v>
      </c>
      <c r="G484" s="151">
        <f>IF(E484="","",MAX(0,Input!$C$9-B484))</f>
        <v>0</v>
      </c>
      <c r="H484" s="152">
        <f>IF(E484="","",Input!$C$3)</f>
        <v>100000</v>
      </c>
      <c r="I484" s="153">
        <f>IF(E484="","",HLOOKUP($B484,Input!$C$13:$BT$14,2))</f>
        <v>176.8655</v>
      </c>
      <c r="J484" s="154"/>
      <c r="K484" s="155">
        <f>IF($E484="","",Input!$C$57)</f>
        <v>4.4999999999999998E-2</v>
      </c>
      <c r="L484" s="155">
        <f t="shared" si="158"/>
        <v>3.6748094004368514E-3</v>
      </c>
      <c r="M484" s="147">
        <f>IF($E484="","",VLOOKUP(IF($B484&lt;=Input!$C$7,$B484,26),'Mortality Tables'!$A$72:$CA$97,IF($B484&lt;=Input!$C$7+1,Input!$C$4-16,$D484-Input!$C$7-16),0)/1000)</f>
        <v>7.2190000000000004E-2</v>
      </c>
      <c r="N484" s="147">
        <f t="shared" si="147"/>
        <v>6.224572293199726E-3</v>
      </c>
      <c r="O484" s="157">
        <f>IF($E484="","",IF($C484=12,IF($B484&lt;Input!$C$9,Input!$C$54,IF($B484=Input!$C$9,Input!$C$55,Input!$C$56)),0%))</f>
        <v>0.1</v>
      </c>
      <c r="P484" s="167">
        <f>IF($E484="","",IF($B484=1,Input!$C$59,IF($B484&lt;6,Input!$C$60,0%)))</f>
        <v>0</v>
      </c>
      <c r="Q484" s="162">
        <f>IF($E484="","",Input!$C$58)</f>
        <v>2.5</v>
      </c>
      <c r="R484" s="156">
        <f t="shared" si="159"/>
        <v>0.8937754277068003</v>
      </c>
      <c r="S484" s="154">
        <f t="shared" si="148"/>
        <v>3.9328469042278656E-3</v>
      </c>
      <c r="T484" s="152"/>
      <c r="U484" s="150">
        <f t="shared" si="160"/>
        <v>0</v>
      </c>
      <c r="V484" s="150">
        <f t="shared" si="161"/>
        <v>0</v>
      </c>
      <c r="W484" s="168">
        <f t="shared" si="162"/>
        <v>0</v>
      </c>
      <c r="X484" s="163">
        <f t="shared" si="149"/>
        <v>622.45722931997261</v>
      </c>
      <c r="Y484" s="152"/>
      <c r="Z484" s="164">
        <f>IF(AND($C483=12,$D483=Input!$C$6),0,IF($E484="","",V484+Z485/(1+L484)*R484))</f>
        <v>108445.62636089459</v>
      </c>
      <c r="AA484" s="164">
        <f>IF(OR($M484=1,AND($C483=12,$D483=Input!$C$6)),0,IF($E484="","",W484+(X484+AA485*$R484)/(1+$L484)))</f>
        <v>43870.739312658123</v>
      </c>
      <c r="AB484" s="160">
        <f t="shared" si="150"/>
        <v>0.825720328500681</v>
      </c>
      <c r="AC484" s="164">
        <f t="shared" si="151"/>
        <v>0</v>
      </c>
      <c r="AD484" s="164">
        <f>IF(AND($C483=12,$D483=Input!$C$6),0,IF($E484="","",$AC484+AD485/(1+$L484)*$R484))</f>
        <v>89545.758223180004</v>
      </c>
      <c r="AE484" s="152"/>
      <c r="AF484" s="164">
        <f>IF(AND($C483=12,$D483=Input!$C$6),0,IF($E484="","",IF($B484&gt;Input!$C$9,$AC484,0)+AF485/(1+$L484)*$R484))</f>
        <v>89545.758223180004</v>
      </c>
      <c r="AG484" s="164">
        <f>IF(AND($C483=12,$D483=Input!$C$6),0,IF($E484="","",(IF($B484&gt;Input!$C$9,$X484,0)+AG485)/(1+$L484)*$R484))</f>
        <v>42936.772706320742</v>
      </c>
      <c r="AH484" s="160">
        <f t="shared" si="152"/>
        <v>2.0950137211446997</v>
      </c>
      <c r="AI484" s="160">
        <f>IF($E484="","",MIN(Input!$C$61/AH484,1))</f>
        <v>0.64438718771845094</v>
      </c>
      <c r="AJ484" s="152"/>
      <c r="AK484" s="164">
        <f>IF(AND($C483=12,$D483=Input!$C$6),0,IF($E484="","",IF($B484&gt;Input!$C$9,$AC484*AI484,0)+AK485/(1+$L484)*$R484))</f>
        <v>57702.139313551299</v>
      </c>
      <c r="AL484" s="164">
        <f>IF(AND($C483=12,$D483=Input!$C$6),0,IF($E484="","",IF($B484&gt;Input!$C$9,0,$AC484)+AL485/(1+$L484)*$R484))</f>
        <v>0</v>
      </c>
      <c r="AM484" s="160">
        <f t="shared" si="153"/>
        <v>1.1382936520186004</v>
      </c>
      <c r="AN484" s="164">
        <f>IF($E484="","",IF($B484&gt;Input!$C$9,$AI484*$AC484,$AM484*$AC484))</f>
        <v>0</v>
      </c>
      <c r="AO484" s="164">
        <f>IF(AND($C483=12,$D483=Input!$C$6),0,IF($E484="","",$AN484+AO485/(1+$L484)*$R484))</f>
        <v>57702.139313551299</v>
      </c>
      <c r="AP484" s="152"/>
      <c r="AQ484" s="164">
        <f t="shared" si="154"/>
        <v>-13831.400000893176</v>
      </c>
      <c r="AR484" s="164">
        <f t="shared" si="163"/>
        <v>-8765.2106016493708</v>
      </c>
      <c r="AS484" s="164">
        <f t="shared" si="164"/>
        <v>3454.0669856459331</v>
      </c>
      <c r="AT484" s="164">
        <f t="shared" si="155"/>
        <v>3454.0669856459331</v>
      </c>
      <c r="AU484" s="152"/>
      <c r="AV484" s="147">
        <f>'Deterministic Reserve'!BC484</f>
        <v>2.6791768667722713E-3</v>
      </c>
      <c r="AW484" s="164">
        <f t="shared" si="156"/>
        <v>3454.0669856459331</v>
      </c>
      <c r="AX484" s="164">
        <f t="shared" si="157"/>
        <v>9.2540563642244145</v>
      </c>
      <c r="AY484" s="152"/>
    </row>
    <row r="485" spans="1:51" s="150" customFormat="1" x14ac:dyDescent="0.25">
      <c r="A485" s="150">
        <f t="shared" si="165"/>
        <v>481</v>
      </c>
      <c r="B485" s="150">
        <f t="shared" si="166"/>
        <v>41</v>
      </c>
      <c r="C485" s="150">
        <f t="shared" si="167"/>
        <v>1</v>
      </c>
      <c r="D485" s="150">
        <f>IF(E485="","",Input!$C$4+B485-1)</f>
        <v>85</v>
      </c>
      <c r="E485" s="150">
        <f>IF(OR(AND(C484=12,D484=Input!$C$6),E484=""),"",1)</f>
        <v>1</v>
      </c>
      <c r="F485" s="150">
        <f>IF(E485="","",Input!$C$8+B485-1)</f>
        <v>2058</v>
      </c>
      <c r="G485" s="151">
        <f>IF(E485="","",MAX(0,Input!$C$9-B485))</f>
        <v>0</v>
      </c>
      <c r="H485" s="152">
        <f>IF(E485="","",Input!$C$3)</f>
        <v>100000</v>
      </c>
      <c r="I485" s="153">
        <f>IF(E485="","",HLOOKUP($B485,Input!$C$13:$BT$14,2))</f>
        <v>201.73300000000003</v>
      </c>
      <c r="J485" s="154"/>
      <c r="K485" s="155">
        <f>IF($E485="","",Input!$C$57)</f>
        <v>4.4999999999999998E-2</v>
      </c>
      <c r="L485" s="155">
        <f t="shared" si="158"/>
        <v>3.6748094004368514E-3</v>
      </c>
      <c r="M485" s="147">
        <f>IF($E485="","",VLOOKUP(IF($B485&lt;=Input!$C$7,$B485,26),'Mortality Tables'!$A$72:$CA$97,IF($B485&lt;=Input!$C$7+1,Input!$C$4-16,$D485-Input!$C$7-16),0)/1000)</f>
        <v>8.2339999999999997E-2</v>
      </c>
      <c r="N485" s="147">
        <f t="shared" si="147"/>
        <v>7.1351172611335834E-3</v>
      </c>
      <c r="O485" s="157">
        <f>IF($E485="","",IF($C485=12,IF($B485&lt;Input!$C$9,Input!$C$54,IF($B485=Input!$C$9,Input!$C$55,Input!$C$56)),0%))</f>
        <v>0</v>
      </c>
      <c r="P485" s="167">
        <f>IF($E485="","",IF($B485=1,Input!$C$59,IF($B485&lt;6,Input!$C$60,0%)))</f>
        <v>0</v>
      </c>
      <c r="Q485" s="162">
        <f>IF($E485="","",Input!$C$58)</f>
        <v>2.5</v>
      </c>
      <c r="R485" s="156">
        <f t="shared" si="159"/>
        <v>0.99286488273886642</v>
      </c>
      <c r="S485" s="154">
        <f t="shared" si="148"/>
        <v>3.9047855803961136E-3</v>
      </c>
      <c r="T485" s="152"/>
      <c r="U485" s="150">
        <f t="shared" si="160"/>
        <v>20173.300000000003</v>
      </c>
      <c r="V485" s="150">
        <f t="shared" si="161"/>
        <v>20173.300000000003</v>
      </c>
      <c r="W485" s="168">
        <f t="shared" si="162"/>
        <v>0</v>
      </c>
      <c r="X485" s="163">
        <f t="shared" si="149"/>
        <v>713.51172611335835</v>
      </c>
      <c r="Y485" s="152"/>
      <c r="Z485" s="164">
        <f>IF(AND($C484=12,$D484=Input!$C$6),0,IF($E485="","",V485+Z486/(1+L485)*R485))</f>
        <v>121780.19219810974</v>
      </c>
      <c r="AA485" s="164">
        <f>IF(OR($M485=1,AND($C484=12,$D484=Input!$C$6)),0,IF($E485="","",W485+(X485+AA486*$R485)/(1+$L485)))</f>
        <v>48568.686655378428</v>
      </c>
      <c r="AB485" s="160">
        <f t="shared" si="150"/>
        <v>0.825720328500681</v>
      </c>
      <c r="AC485" s="164">
        <f t="shared" si="151"/>
        <v>16657.50390294279</v>
      </c>
      <c r="AD485" s="164">
        <f>IF(AND($C484=12,$D484=Input!$C$6),0,IF($E485="","",$AC485+AD486/(1+$L485)*$R485))</f>
        <v>100556.38030669926</v>
      </c>
      <c r="AE485" s="152"/>
      <c r="AF485" s="164">
        <f>IF(AND($C484=12,$D484=Input!$C$6),0,IF($E485="","",IF($B485&gt;Input!$C$9,$AC485,0)+AF486/(1+$L485)*$R485))</f>
        <v>100556.38030669926</v>
      </c>
      <c r="AG485" s="164">
        <f>IF(AND($C484=12,$D484=Input!$C$6),0,IF($E485="","",(IF($B485&gt;Input!$C$9,$X485,0)+AG486)/(1+$L485)*$R485))</f>
        <v>47593.857323940894</v>
      </c>
      <c r="AH485" s="160">
        <f t="shared" si="152"/>
        <v>2.0950137211446997</v>
      </c>
      <c r="AI485" s="160">
        <f>IF($E485="","",MIN(Input!$C$61/AH485,1))</f>
        <v>0.64438718771845094</v>
      </c>
      <c r="AJ485" s="152"/>
      <c r="AK485" s="164">
        <f>IF(AND($C484=12,$D484=Input!$C$6),0,IF($E485="","",IF($B485&gt;Input!$C$9,$AC485*AI485,0)+AK486/(1+$L485)*$R485))</f>
        <v>64797.243112980934</v>
      </c>
      <c r="AL485" s="164">
        <f>IF(AND($C484=12,$D484=Input!$C$6),0,IF($E485="","",IF($B485&gt;Input!$C$9,0,$AC485)+AL486/(1+$L485)*$R485))</f>
        <v>0</v>
      </c>
      <c r="AM485" s="160">
        <f t="shared" si="153"/>
        <v>1.1382936520186004</v>
      </c>
      <c r="AN485" s="164">
        <f>IF($E485="","",IF($B485&gt;Input!$C$9,$AI485*$AC485,$AM485*$AC485))</f>
        <v>10733.882094426424</v>
      </c>
      <c r="AO485" s="164">
        <f>IF(AND($C484=12,$D484=Input!$C$6),0,IF($E485="","",$AN485+AO486/(1+$L485)*$R485))</f>
        <v>64797.243112980934</v>
      </c>
      <c r="AP485" s="152"/>
      <c r="AQ485" s="164">
        <f t="shared" si="154"/>
        <v>-16228.556457602506</v>
      </c>
      <c r="AR485" s="164">
        <f t="shared" si="163"/>
        <v>-8818.5040923506494</v>
      </c>
      <c r="AS485" s="164">
        <f t="shared" si="164"/>
        <v>3939.7129186602874</v>
      </c>
      <c r="AT485" s="164">
        <f t="shared" si="155"/>
        <v>3939.7129186602874</v>
      </c>
      <c r="AU485" s="152"/>
      <c r="AV485" s="147">
        <f>'Deterministic Reserve'!BC485</f>
        <v>2.6335442978060383E-3</v>
      </c>
      <c r="AW485" s="164">
        <f t="shared" si="156"/>
        <v>3939.7129186602874</v>
      </c>
      <c r="AX485" s="164">
        <f t="shared" si="157"/>
        <v>10.375408491930584</v>
      </c>
      <c r="AY485" s="152"/>
    </row>
    <row r="486" spans="1:51" s="150" customFormat="1" x14ac:dyDescent="0.25">
      <c r="A486" s="150">
        <f t="shared" si="165"/>
        <v>482</v>
      </c>
      <c r="B486" s="150">
        <f t="shared" si="166"/>
        <v>41</v>
      </c>
      <c r="C486" s="150">
        <f t="shared" si="167"/>
        <v>2</v>
      </c>
      <c r="D486" s="150">
        <f>IF(E486="","",Input!$C$4+B486-1)</f>
        <v>85</v>
      </c>
      <c r="E486" s="150">
        <f>IF(OR(AND(C485=12,D485=Input!$C$6),E485=""),"",1)</f>
        <v>1</v>
      </c>
      <c r="F486" s="150">
        <f>IF(E486="","",Input!$C$8+B486-1)</f>
        <v>2058</v>
      </c>
      <c r="G486" s="151">
        <f>IF(E486="","",MAX(0,Input!$C$9-B486))</f>
        <v>0</v>
      </c>
      <c r="H486" s="152">
        <f>IF(E486="","",Input!$C$3)</f>
        <v>100000</v>
      </c>
      <c r="I486" s="153">
        <f>IF(E486="","",HLOOKUP($B486,Input!$C$13:$BT$14,2))</f>
        <v>201.73300000000003</v>
      </c>
      <c r="J486" s="154"/>
      <c r="K486" s="155">
        <f>IF($E486="","",Input!$C$57)</f>
        <v>4.4999999999999998E-2</v>
      </c>
      <c r="L486" s="155">
        <f t="shared" si="158"/>
        <v>3.6748094004368514E-3</v>
      </c>
      <c r="M486" s="147">
        <f>IF($E486="","",VLOOKUP(IF($B486&lt;=Input!$C$7,$B486,26),'Mortality Tables'!$A$72:$CA$97,IF($B486&lt;=Input!$C$7+1,Input!$C$4-16,$D486-Input!$C$7-16),0)/1000)</f>
        <v>8.2339999999999997E-2</v>
      </c>
      <c r="N486" s="147">
        <f t="shared" si="147"/>
        <v>7.1351172611335834E-3</v>
      </c>
      <c r="O486" s="157">
        <f>IF($E486="","",IF($C486=12,IF($B486&lt;Input!$C$9,Input!$C$54,IF($B486=Input!$C$9,Input!$C$55,Input!$C$56)),0%))</f>
        <v>0</v>
      </c>
      <c r="P486" s="167">
        <f>IF($E486="","",IF($B486=1,Input!$C$59,IF($B486&lt;6,Input!$C$60,0%)))</f>
        <v>0</v>
      </c>
      <c r="Q486" s="162">
        <f>IF($E486="","",Input!$C$58)</f>
        <v>2.5</v>
      </c>
      <c r="R486" s="156">
        <f t="shared" si="159"/>
        <v>0.99286488273886642</v>
      </c>
      <c r="S486" s="154">
        <f t="shared" si="148"/>
        <v>3.8769244774004038E-3</v>
      </c>
      <c r="T486" s="152"/>
      <c r="U486" s="150">
        <f t="shared" si="160"/>
        <v>0</v>
      </c>
      <c r="V486" s="150">
        <f t="shared" si="161"/>
        <v>0</v>
      </c>
      <c r="W486" s="168">
        <f t="shared" si="162"/>
        <v>0</v>
      </c>
      <c r="X486" s="163">
        <f t="shared" si="149"/>
        <v>713.51172611335835</v>
      </c>
      <c r="Y486" s="152"/>
      <c r="Z486" s="164">
        <f>IF(AND($C485=12,$D485=Input!$C$6),0,IF($E486="","",V486+Z487/(1+L486)*R486))</f>
        <v>102713.1485196565</v>
      </c>
      <c r="AA486" s="164">
        <f>IF(OR($M486=1,AND($C485=12,$D485=Input!$C$6)),0,IF($E486="","",W486+(X486+AA487*$R486)/(1+$L486)))</f>
        <v>48378.844322754107</v>
      </c>
      <c r="AB486" s="160">
        <f t="shared" si="150"/>
        <v>0.825720328500681</v>
      </c>
      <c r="AC486" s="164">
        <f t="shared" si="151"/>
        <v>0</v>
      </c>
      <c r="AD486" s="164">
        <f>IF(AND($C485=12,$D485=Input!$C$6),0,IF($E486="","",$AC486+AD487/(1+$L486)*$R486))</f>
        <v>84812.334736990015</v>
      </c>
      <c r="AE486" s="152"/>
      <c r="AF486" s="164">
        <f>IF(AND($C485=12,$D485=Input!$C$6),0,IF($E486="","",IF($B486&gt;Input!$C$9,$AC486,0)+AF487/(1+$L486)*$R486))</f>
        <v>84812.334736990015</v>
      </c>
      <c r="AG486" s="164">
        <f>IF(AND($C485=12,$D485=Input!$C$6),0,IF($E486="","",(IF($B486&gt;Input!$C$9,$X486,0)+AG487)/(1+$L486)*$R486))</f>
        <v>47398.52900440932</v>
      </c>
      <c r="AH486" s="160">
        <f t="shared" si="152"/>
        <v>2.0950137211446997</v>
      </c>
      <c r="AI486" s="160">
        <f>IF($E486="","",MIN(Input!$C$61/AH486,1))</f>
        <v>0.64438718771845094</v>
      </c>
      <c r="AJ486" s="152"/>
      <c r="AK486" s="164">
        <f>IF(AND($C485=12,$D485=Input!$C$6),0,IF($E486="","",IF($B486&gt;Input!$C$9,$AC486*AI486,0)+AK487/(1+$L486)*$R486))</f>
        <v>54651.981865004862</v>
      </c>
      <c r="AL486" s="164">
        <f>IF(AND($C485=12,$D485=Input!$C$6),0,IF($E486="","",IF($B486&gt;Input!$C$9,0,$AC486)+AL487/(1+$L486)*$R486))</f>
        <v>0</v>
      </c>
      <c r="AM486" s="160">
        <f t="shared" si="153"/>
        <v>1.1382936520186004</v>
      </c>
      <c r="AN486" s="164">
        <f>IF($E486="","",IF($B486&gt;Input!$C$9,$AI486*$AC486,$AM486*$AC486))</f>
        <v>0</v>
      </c>
      <c r="AO486" s="164">
        <f>IF(AND($C485=12,$D485=Input!$C$6),0,IF($E486="","",$AN486+AO487/(1+$L486)*$R486))</f>
        <v>54651.981865004862</v>
      </c>
      <c r="AP486" s="152"/>
      <c r="AQ486" s="164">
        <f t="shared" si="154"/>
        <v>-6273.1375422507554</v>
      </c>
      <c r="AR486" s="164">
        <f t="shared" si="163"/>
        <v>-8818.5040923506494</v>
      </c>
      <c r="AS486" s="164">
        <f t="shared" si="164"/>
        <v>3939.7129186602874</v>
      </c>
      <c r="AT486" s="164">
        <f t="shared" si="155"/>
        <v>3939.7129186602874</v>
      </c>
      <c r="AU486" s="152"/>
      <c r="AV486" s="147">
        <f>'Deterministic Reserve'!BC486</f>
        <v>2.5886889568669221E-3</v>
      </c>
      <c r="AW486" s="164">
        <f t="shared" si="156"/>
        <v>3939.7129186602874</v>
      </c>
      <c r="AX486" s="164">
        <f t="shared" si="157"/>
        <v>10.198691325761837</v>
      </c>
      <c r="AY486" s="152"/>
    </row>
    <row r="487" spans="1:51" s="150" customFormat="1" x14ac:dyDescent="0.25">
      <c r="A487" s="150">
        <f t="shared" si="165"/>
        <v>483</v>
      </c>
      <c r="B487" s="150">
        <f t="shared" si="166"/>
        <v>41</v>
      </c>
      <c r="C487" s="150">
        <f t="shared" si="167"/>
        <v>3</v>
      </c>
      <c r="D487" s="150">
        <f>IF(E487="","",Input!$C$4+B487-1)</f>
        <v>85</v>
      </c>
      <c r="E487" s="150">
        <f>IF(OR(AND(C486=12,D486=Input!$C$6),E486=""),"",1)</f>
        <v>1</v>
      </c>
      <c r="F487" s="150">
        <f>IF(E487="","",Input!$C$8+B487-1)</f>
        <v>2058</v>
      </c>
      <c r="G487" s="151">
        <f>IF(E487="","",MAX(0,Input!$C$9-B487))</f>
        <v>0</v>
      </c>
      <c r="H487" s="152">
        <f>IF(E487="","",Input!$C$3)</f>
        <v>100000</v>
      </c>
      <c r="I487" s="153">
        <f>IF(E487="","",HLOOKUP($B487,Input!$C$13:$BT$14,2))</f>
        <v>201.73300000000003</v>
      </c>
      <c r="J487" s="154"/>
      <c r="K487" s="155">
        <f>IF($E487="","",Input!$C$57)</f>
        <v>4.4999999999999998E-2</v>
      </c>
      <c r="L487" s="155">
        <f t="shared" si="158"/>
        <v>3.6748094004368514E-3</v>
      </c>
      <c r="M487" s="147">
        <f>IF($E487="","",VLOOKUP(IF($B487&lt;=Input!$C$7,$B487,26),'Mortality Tables'!$A$72:$CA$97,IF($B487&lt;=Input!$C$7+1,Input!$C$4-16,$D487-Input!$C$7-16),0)/1000)</f>
        <v>8.2339999999999997E-2</v>
      </c>
      <c r="N487" s="147">
        <f t="shared" si="147"/>
        <v>7.1351172611335834E-3</v>
      </c>
      <c r="O487" s="157">
        <f>IF($E487="","",IF($C487=12,IF($B487&lt;Input!$C$9,Input!$C$54,IF($B487=Input!$C$9,Input!$C$55,Input!$C$56)),0%))</f>
        <v>0</v>
      </c>
      <c r="P487" s="167">
        <f>IF($E487="","",IF($B487=1,Input!$C$59,IF($B487&lt;6,Input!$C$60,0%)))</f>
        <v>0</v>
      </c>
      <c r="Q487" s="162">
        <f>IF($E487="","",Input!$C$58)</f>
        <v>2.5</v>
      </c>
      <c r="R487" s="156">
        <f t="shared" si="159"/>
        <v>0.99286488273886642</v>
      </c>
      <c r="S487" s="154">
        <f t="shared" si="148"/>
        <v>3.8492621666415929E-3</v>
      </c>
      <c r="T487" s="152"/>
      <c r="U487" s="150">
        <f t="shared" si="160"/>
        <v>0</v>
      </c>
      <c r="V487" s="150">
        <f t="shared" si="161"/>
        <v>0</v>
      </c>
      <c r="W487" s="168">
        <f t="shared" si="162"/>
        <v>0</v>
      </c>
      <c r="X487" s="163">
        <f t="shared" si="149"/>
        <v>713.51172611335835</v>
      </c>
      <c r="Y487" s="152"/>
      <c r="Z487" s="164">
        <f>IF(AND($C486=12,$D486=Input!$C$6),0,IF($E487="","",V487+Z488/(1+L487)*R487))</f>
        <v>103831.4493297462</v>
      </c>
      <c r="AA487" s="164">
        <f>IF(OR($M487=1,AND($C486=12,$D486=Input!$C$6)),0,IF($E487="","",W487+(X487+AA488*$R487)/(1+$L487)))</f>
        <v>48186.935060652664</v>
      </c>
      <c r="AB487" s="160">
        <f t="shared" si="150"/>
        <v>0.825720328500681</v>
      </c>
      <c r="AC487" s="164">
        <f t="shared" si="151"/>
        <v>0</v>
      </c>
      <c r="AD487" s="164">
        <f>IF(AND($C486=12,$D486=Input!$C$6),0,IF($E487="","",$AC487+AD488/(1+$L487)*$R487))</f>
        <v>85735.73844925985</v>
      </c>
      <c r="AE487" s="152"/>
      <c r="AF487" s="164">
        <f>IF(AND($C486=12,$D486=Input!$C$6),0,IF($E487="","",IF($B487&gt;Input!$C$9,$AC487,0)+AF488/(1+$L487)*$R487))</f>
        <v>85735.73844925985</v>
      </c>
      <c r="AG487" s="164">
        <f>IF(AND($C486=12,$D486=Input!$C$6),0,IF($E487="","",(IF($B487&gt;Input!$C$9,$X487,0)+AG488)/(1+$L487)*$R487))</f>
        <v>47201.074026108996</v>
      </c>
      <c r="AH487" s="160">
        <f t="shared" si="152"/>
        <v>2.0950137211446997</v>
      </c>
      <c r="AI487" s="160">
        <f>IF($E487="","",MIN(Input!$C$61/AH487,1))</f>
        <v>0.64438718771845094</v>
      </c>
      <c r="AJ487" s="152"/>
      <c r="AK487" s="164">
        <f>IF(AND($C486=12,$D486=Input!$C$6),0,IF($E487="","",IF($B487&gt;Input!$C$9,$AC487*AI487,0)+AK488/(1+$L487)*$R487))</f>
        <v>55247.0113862832</v>
      </c>
      <c r="AL487" s="164">
        <f>IF(AND($C486=12,$D486=Input!$C$6),0,IF($E487="","",IF($B487&gt;Input!$C$9,0,$AC487)+AL488/(1+$L487)*$R487))</f>
        <v>0</v>
      </c>
      <c r="AM487" s="160">
        <f t="shared" si="153"/>
        <v>1.1382936520186004</v>
      </c>
      <c r="AN487" s="164">
        <f>IF($E487="","",IF($B487&gt;Input!$C$9,$AI487*$AC487,$AM487*$AC487))</f>
        <v>0</v>
      </c>
      <c r="AO487" s="164">
        <f>IF(AND($C486=12,$D486=Input!$C$6),0,IF($E487="","",$AN487+AO488/(1+$L487)*$R487))</f>
        <v>55247.0113862832</v>
      </c>
      <c r="AP487" s="152"/>
      <c r="AQ487" s="164">
        <f t="shared" si="154"/>
        <v>-7060.0763256305363</v>
      </c>
      <c r="AR487" s="164">
        <f t="shared" si="163"/>
        <v>-8818.5040923506494</v>
      </c>
      <c r="AS487" s="164">
        <f t="shared" si="164"/>
        <v>3939.7129186602874</v>
      </c>
      <c r="AT487" s="164">
        <f t="shared" si="155"/>
        <v>3939.7129186602874</v>
      </c>
      <c r="AU487" s="152"/>
      <c r="AV487" s="147">
        <f>'Deterministic Reserve'!BC487</f>
        <v>2.5445976059667963E-3</v>
      </c>
      <c r="AW487" s="164">
        <f t="shared" si="156"/>
        <v>3939.7129186602874</v>
      </c>
      <c r="AX487" s="164">
        <f t="shared" si="157"/>
        <v>10.024984061019428</v>
      </c>
      <c r="AY487" s="152"/>
    </row>
    <row r="488" spans="1:51" s="150" customFormat="1" x14ac:dyDescent="0.25">
      <c r="A488" s="150">
        <f t="shared" si="165"/>
        <v>484</v>
      </c>
      <c r="B488" s="150">
        <f t="shared" si="166"/>
        <v>41</v>
      </c>
      <c r="C488" s="150">
        <f t="shared" si="167"/>
        <v>4</v>
      </c>
      <c r="D488" s="150">
        <f>IF(E488="","",Input!$C$4+B488-1)</f>
        <v>85</v>
      </c>
      <c r="E488" s="150">
        <f>IF(OR(AND(C487=12,D487=Input!$C$6),E487=""),"",1)</f>
        <v>1</v>
      </c>
      <c r="F488" s="150">
        <f>IF(E488="","",Input!$C$8+B488-1)</f>
        <v>2058</v>
      </c>
      <c r="G488" s="151">
        <f>IF(E488="","",MAX(0,Input!$C$9-B488))</f>
        <v>0</v>
      </c>
      <c r="H488" s="152">
        <f>IF(E488="","",Input!$C$3)</f>
        <v>100000</v>
      </c>
      <c r="I488" s="153">
        <f>IF(E488="","",HLOOKUP($B488,Input!$C$13:$BT$14,2))</f>
        <v>201.73300000000003</v>
      </c>
      <c r="J488" s="154"/>
      <c r="K488" s="155">
        <f>IF($E488="","",Input!$C$57)</f>
        <v>4.4999999999999998E-2</v>
      </c>
      <c r="L488" s="155">
        <f t="shared" si="158"/>
        <v>3.6748094004368514E-3</v>
      </c>
      <c r="M488" s="147">
        <f>IF($E488="","",VLOOKUP(IF($B488&lt;=Input!$C$7,$B488,26),'Mortality Tables'!$A$72:$CA$97,IF($B488&lt;=Input!$C$7+1,Input!$C$4-16,$D488-Input!$C$7-16),0)/1000)</f>
        <v>8.2339999999999997E-2</v>
      </c>
      <c r="N488" s="147">
        <f t="shared" si="147"/>
        <v>7.1351172611335834E-3</v>
      </c>
      <c r="O488" s="157">
        <f>IF($E488="","",IF($C488=12,IF($B488&lt;Input!$C$9,Input!$C$54,IF($B488=Input!$C$9,Input!$C$55,Input!$C$56)),0%))</f>
        <v>0</v>
      </c>
      <c r="P488" s="167">
        <f>IF($E488="","",IF($B488=1,Input!$C$59,IF($B488&lt;6,Input!$C$60,0%)))</f>
        <v>0</v>
      </c>
      <c r="Q488" s="162">
        <f>IF($E488="","",Input!$C$58)</f>
        <v>2.5</v>
      </c>
      <c r="R488" s="156">
        <f t="shared" si="159"/>
        <v>0.99286488273886642</v>
      </c>
      <c r="S488" s="154">
        <f t="shared" si="148"/>
        <v>3.8217972297137602E-3</v>
      </c>
      <c r="T488" s="152"/>
      <c r="U488" s="150">
        <f t="shared" si="160"/>
        <v>0</v>
      </c>
      <c r="V488" s="150">
        <f t="shared" si="161"/>
        <v>0</v>
      </c>
      <c r="W488" s="168">
        <f t="shared" si="162"/>
        <v>0</v>
      </c>
      <c r="X488" s="163">
        <f t="shared" si="149"/>
        <v>713.51172611335835</v>
      </c>
      <c r="Y488" s="152"/>
      <c r="Z488" s="164">
        <f>IF(AND($C487=12,$D487=Input!$C$6),0,IF($E488="","",V488+Z489/(1+L488)*R488))</f>
        <v>104961.92576408529</v>
      </c>
      <c r="AA488" s="164">
        <f>IF(OR($M488=1,AND($C487=12,$D487=Input!$C$6)),0,IF($E488="","",W488+(X488+AA489*$R488)/(1+$L488)))</f>
        <v>47992.936365149901</v>
      </c>
      <c r="AB488" s="160">
        <f t="shared" si="150"/>
        <v>0.825720328500681</v>
      </c>
      <c r="AC488" s="164">
        <f t="shared" si="151"/>
        <v>0</v>
      </c>
      <c r="AD488" s="164">
        <f>IF(AND($C487=12,$D487=Input!$C$6),0,IF($E488="","",$AC488+AD489/(1+$L488)*$R488))</f>
        <v>86669.195821984584</v>
      </c>
      <c r="AE488" s="152"/>
      <c r="AF488" s="164">
        <f>IF(AND($C487=12,$D487=Input!$C$6),0,IF($E488="","",IF($B488&gt;Input!$C$9,$AC488,0)+AF489/(1+$L488)*$R488))</f>
        <v>86669.195821984584</v>
      </c>
      <c r="AG488" s="164">
        <f>IF(AND($C487=12,$D487=Input!$C$6),0,IF($E488="","",(IF($B488&gt;Input!$C$9,$X488,0)+AG489)/(1+$L488)*$R488))</f>
        <v>47001.46923480642</v>
      </c>
      <c r="AH488" s="160">
        <f t="shared" si="152"/>
        <v>2.0950137211446997</v>
      </c>
      <c r="AI488" s="160">
        <f>IF($E488="","",MIN(Input!$C$61/AH488,1))</f>
        <v>0.64438718771845094</v>
      </c>
      <c r="AJ488" s="152"/>
      <c r="AK488" s="164">
        <f>IF(AND($C487=12,$D487=Input!$C$6),0,IF($E488="","",IF($B488&gt;Input!$C$9,$AC488*AI488,0)+AK489/(1+$L488)*$R488))</f>
        <v>55848.519357548357</v>
      </c>
      <c r="AL488" s="164">
        <f>IF(AND($C487=12,$D487=Input!$C$6),0,IF($E488="","",IF($B488&gt;Input!$C$9,0,$AC488)+AL489/(1+$L488)*$R488))</f>
        <v>0</v>
      </c>
      <c r="AM488" s="160">
        <f t="shared" si="153"/>
        <v>1.1382936520186004</v>
      </c>
      <c r="AN488" s="164">
        <f>IF($E488="","",IF($B488&gt;Input!$C$9,$AI488*$AC488,$AM488*$AC488))</f>
        <v>0</v>
      </c>
      <c r="AO488" s="164">
        <f>IF(AND($C487=12,$D487=Input!$C$6),0,IF($E488="","",$AN488+AO489/(1+$L488)*$R488))</f>
        <v>55848.519357548357</v>
      </c>
      <c r="AP488" s="152"/>
      <c r="AQ488" s="164">
        <f t="shared" si="154"/>
        <v>-7855.5829923984566</v>
      </c>
      <c r="AR488" s="164">
        <f t="shared" si="163"/>
        <v>-8818.5040923506494</v>
      </c>
      <c r="AS488" s="164">
        <f t="shared" si="164"/>
        <v>3939.7129186602874</v>
      </c>
      <c r="AT488" s="164">
        <f t="shared" si="155"/>
        <v>3939.7129186602874</v>
      </c>
      <c r="AU488" s="152"/>
      <c r="AV488" s="147">
        <f>'Deterministic Reserve'!BC488</f>
        <v>2.501257232591043E-3</v>
      </c>
      <c r="AW488" s="164">
        <f t="shared" si="156"/>
        <v>3939.7129186602874</v>
      </c>
      <c r="AX488" s="164">
        <f t="shared" si="157"/>
        <v>9.8542354321314107</v>
      </c>
      <c r="AY488" s="152"/>
    </row>
    <row r="489" spans="1:51" s="150" customFormat="1" x14ac:dyDescent="0.25">
      <c r="A489" s="150">
        <f t="shared" si="165"/>
        <v>485</v>
      </c>
      <c r="B489" s="150">
        <f t="shared" si="166"/>
        <v>41</v>
      </c>
      <c r="C489" s="150">
        <f t="shared" si="167"/>
        <v>5</v>
      </c>
      <c r="D489" s="150">
        <f>IF(E489="","",Input!$C$4+B489-1)</f>
        <v>85</v>
      </c>
      <c r="E489" s="150">
        <f>IF(OR(AND(C488=12,D488=Input!$C$6),E488=""),"",1)</f>
        <v>1</v>
      </c>
      <c r="F489" s="150">
        <f>IF(E489="","",Input!$C$8+B489-1)</f>
        <v>2058</v>
      </c>
      <c r="G489" s="151">
        <f>IF(E489="","",MAX(0,Input!$C$9-B489))</f>
        <v>0</v>
      </c>
      <c r="H489" s="152">
        <f>IF(E489="","",Input!$C$3)</f>
        <v>100000</v>
      </c>
      <c r="I489" s="153">
        <f>IF(E489="","",HLOOKUP($B489,Input!$C$13:$BT$14,2))</f>
        <v>201.73300000000003</v>
      </c>
      <c r="J489" s="154"/>
      <c r="K489" s="155">
        <f>IF($E489="","",Input!$C$57)</f>
        <v>4.4999999999999998E-2</v>
      </c>
      <c r="L489" s="155">
        <f t="shared" si="158"/>
        <v>3.6748094004368514E-3</v>
      </c>
      <c r="M489" s="147">
        <f>IF($E489="","",VLOOKUP(IF($B489&lt;=Input!$C$7,$B489,26),'Mortality Tables'!$A$72:$CA$97,IF($B489&lt;=Input!$C$7+1,Input!$C$4-16,$D489-Input!$C$7-16),0)/1000)</f>
        <v>8.2339999999999997E-2</v>
      </c>
      <c r="N489" s="147">
        <f t="shared" si="147"/>
        <v>7.1351172611335834E-3</v>
      </c>
      <c r="O489" s="157">
        <f>IF($E489="","",IF($C489=12,IF($B489&lt;Input!$C$9,Input!$C$54,IF($B489=Input!$C$9,Input!$C$55,Input!$C$56)),0%))</f>
        <v>0</v>
      </c>
      <c r="P489" s="167">
        <f>IF($E489="","",IF($B489=1,Input!$C$59,IF($B489&lt;6,Input!$C$60,0%)))</f>
        <v>0</v>
      </c>
      <c r="Q489" s="162">
        <f>IF($E489="","",Input!$C$58)</f>
        <v>2.5</v>
      </c>
      <c r="R489" s="156">
        <f t="shared" si="159"/>
        <v>0.99286488273886642</v>
      </c>
      <c r="S489" s="154">
        <f t="shared" si="148"/>
        <v>3.794528258331477E-3</v>
      </c>
      <c r="T489" s="152"/>
      <c r="U489" s="150">
        <f t="shared" si="160"/>
        <v>0</v>
      </c>
      <c r="V489" s="150">
        <f t="shared" si="161"/>
        <v>0</v>
      </c>
      <c r="W489" s="168">
        <f t="shared" si="162"/>
        <v>0</v>
      </c>
      <c r="X489" s="163">
        <f t="shared" si="149"/>
        <v>713.51172611335835</v>
      </c>
      <c r="Y489" s="152"/>
      <c r="Z489" s="164">
        <f>IF(AND($C488=12,$D488=Input!$C$6),0,IF($E489="","",V489+Z490/(1+L489)*R489))</f>
        <v>106104.71038613479</v>
      </c>
      <c r="AA489" s="164">
        <f>IF(OR($M489=1,AND($C488=12,$D488=Input!$C$6)),0,IF($E489="","",W489+(X489+AA490*$R489)/(1+$L489)))</f>
        <v>47796.825487307644</v>
      </c>
      <c r="AB489" s="160">
        <f t="shared" si="150"/>
        <v>0.825720328500681</v>
      </c>
      <c r="AC489" s="164">
        <f t="shared" si="151"/>
        <v>0</v>
      </c>
      <c r="AD489" s="164">
        <f>IF(AND($C488=12,$D488=Input!$C$6),0,IF($E489="","",$AC489+AD490/(1+$L489)*$R489))</f>
        <v>87612.816315508826</v>
      </c>
      <c r="AE489" s="152"/>
      <c r="AF489" s="164">
        <f>IF(AND($C488=12,$D488=Input!$C$6),0,IF($E489="","",IF($B489&gt;Input!$C$9,$AC489,0)+AF490/(1+$L489)*$R489))</f>
        <v>87612.816315508826</v>
      </c>
      <c r="AG489" s="164">
        <f>IF(AND($C488=12,$D488=Input!$C$6),0,IF($E489="","",(IF($B489&gt;Input!$C$9,$X489,0)+AG490)/(1+$L489)*$R489))</f>
        <v>46799.69122417381</v>
      </c>
      <c r="AH489" s="160">
        <f t="shared" si="152"/>
        <v>2.0950137211446997</v>
      </c>
      <c r="AI489" s="160">
        <f>IF($E489="","",MIN(Input!$C$61/AH489,1))</f>
        <v>0.64438718771845094</v>
      </c>
      <c r="AJ489" s="152"/>
      <c r="AK489" s="164">
        <f>IF(AND($C488=12,$D488=Input!$C$6),0,IF($E489="","",IF($B489&gt;Input!$C$9,$AC489*AI489,0)+AK490/(1+$L489)*$R489))</f>
        <v>56456.576313643942</v>
      </c>
      <c r="AL489" s="164">
        <f>IF(AND($C488=12,$D488=Input!$C$6),0,IF($E489="","",IF($B489&gt;Input!$C$9,0,$AC489)+AL490/(1+$L489)*$R489))</f>
        <v>0</v>
      </c>
      <c r="AM489" s="160">
        <f t="shared" si="153"/>
        <v>1.1382936520186004</v>
      </c>
      <c r="AN489" s="164">
        <f>IF($E489="","",IF($B489&gt;Input!$C$9,$AI489*$AC489,$AM489*$AC489))</f>
        <v>0</v>
      </c>
      <c r="AO489" s="164">
        <f>IF(AND($C488=12,$D488=Input!$C$6),0,IF($E489="","",$AN489+AO490/(1+$L489)*$R489))</f>
        <v>56456.576313643942</v>
      </c>
      <c r="AP489" s="152"/>
      <c r="AQ489" s="164">
        <f t="shared" si="154"/>
        <v>-8659.7508263362979</v>
      </c>
      <c r="AR489" s="164">
        <f t="shared" si="163"/>
        <v>-8818.5040923506494</v>
      </c>
      <c r="AS489" s="164">
        <f t="shared" si="164"/>
        <v>3939.7129186602874</v>
      </c>
      <c r="AT489" s="164">
        <f t="shared" si="155"/>
        <v>3939.7129186602874</v>
      </c>
      <c r="AU489" s="152"/>
      <c r="AV489" s="147">
        <f>'Deterministic Reserve'!BC489</f>
        <v>2.4586550458582171E-3</v>
      </c>
      <c r="AW489" s="164">
        <f t="shared" si="156"/>
        <v>3939.7129186602874</v>
      </c>
      <c r="AX489" s="164">
        <f t="shared" si="157"/>
        <v>9.6863950466969193</v>
      </c>
      <c r="AY489" s="152"/>
    </row>
    <row r="490" spans="1:51" s="150" customFormat="1" x14ac:dyDescent="0.25">
      <c r="A490" s="150">
        <f t="shared" si="165"/>
        <v>486</v>
      </c>
      <c r="B490" s="150">
        <f t="shared" si="166"/>
        <v>41</v>
      </c>
      <c r="C490" s="150">
        <f t="shared" si="167"/>
        <v>6</v>
      </c>
      <c r="D490" s="150">
        <f>IF(E490="","",Input!$C$4+B490-1)</f>
        <v>85</v>
      </c>
      <c r="E490" s="150">
        <f>IF(OR(AND(C489=12,D489=Input!$C$6),E489=""),"",1)</f>
        <v>1</v>
      </c>
      <c r="F490" s="150">
        <f>IF(E490="","",Input!$C$8+B490-1)</f>
        <v>2058</v>
      </c>
      <c r="G490" s="151">
        <f>IF(E490="","",MAX(0,Input!$C$9-B490))</f>
        <v>0</v>
      </c>
      <c r="H490" s="152">
        <f>IF(E490="","",Input!$C$3)</f>
        <v>100000</v>
      </c>
      <c r="I490" s="153">
        <f>IF(E490="","",HLOOKUP($B490,Input!$C$13:$BT$14,2))</f>
        <v>201.73300000000003</v>
      </c>
      <c r="J490" s="154"/>
      <c r="K490" s="155">
        <f>IF($E490="","",Input!$C$57)</f>
        <v>4.4999999999999998E-2</v>
      </c>
      <c r="L490" s="155">
        <f t="shared" si="158"/>
        <v>3.6748094004368514E-3</v>
      </c>
      <c r="M490" s="147">
        <f>IF($E490="","",VLOOKUP(IF($B490&lt;=Input!$C$7,$B490,26),'Mortality Tables'!$A$72:$CA$97,IF($B490&lt;=Input!$C$7+1,Input!$C$4-16,$D490-Input!$C$7-16),0)/1000)</f>
        <v>8.2339999999999997E-2</v>
      </c>
      <c r="N490" s="147">
        <f t="shared" si="147"/>
        <v>7.1351172611335834E-3</v>
      </c>
      <c r="O490" s="157">
        <f>IF($E490="","",IF($C490=12,IF($B490&lt;Input!$C$9,Input!$C$54,IF($B490=Input!$C$9,Input!$C$55,Input!$C$56)),0%))</f>
        <v>0</v>
      </c>
      <c r="P490" s="167">
        <f>IF($E490="","",IF($B490=1,Input!$C$59,IF($B490&lt;6,Input!$C$60,0%)))</f>
        <v>0</v>
      </c>
      <c r="Q490" s="162">
        <f>IF($E490="","",Input!$C$58)</f>
        <v>2.5</v>
      </c>
      <c r="R490" s="156">
        <f t="shared" si="159"/>
        <v>0.99286488273886642</v>
      </c>
      <c r="S490" s="154">
        <f t="shared" si="148"/>
        <v>3.767453854257597E-3</v>
      </c>
      <c r="T490" s="152"/>
      <c r="U490" s="150">
        <f t="shared" si="160"/>
        <v>0</v>
      </c>
      <c r="V490" s="150">
        <f t="shared" si="161"/>
        <v>0</v>
      </c>
      <c r="W490" s="168">
        <f t="shared" si="162"/>
        <v>0</v>
      </c>
      <c r="X490" s="163">
        <f t="shared" si="149"/>
        <v>713.51172611335835</v>
      </c>
      <c r="Y490" s="152"/>
      <c r="Z490" s="164">
        <f>IF(AND($C489=12,$D489=Input!$C$6),0,IF($E490="","",V490+Z491/(1+L490)*R490))</f>
        <v>107259.93720265514</v>
      </c>
      <c r="AA490" s="164">
        <f>IF(OR($M490=1,AND($C489=12,$D489=Input!$C$6)),0,IF($E490="","",W490+(X490+AA491*$R490)/(1+$L490)))</f>
        <v>47598.579430506121</v>
      </c>
      <c r="AB490" s="160">
        <f t="shared" si="150"/>
        <v>0.825720328500681</v>
      </c>
      <c r="AC490" s="164">
        <f t="shared" si="151"/>
        <v>0</v>
      </c>
      <c r="AD490" s="164">
        <f>IF(AND($C489=12,$D489=Input!$C$6),0,IF($E490="","",$AC490+AD491/(1+$L490)*$R490))</f>
        <v>88566.710581938809</v>
      </c>
      <c r="AE490" s="152"/>
      <c r="AF490" s="164">
        <f>IF(AND($C489=12,$D489=Input!$C$6),0,IF($E490="","",IF($B490&gt;Input!$C$9,$AC490,0)+AF491/(1+$L490)*$R490))</f>
        <v>88566.710581938809</v>
      </c>
      <c r="AG490" s="164">
        <f>IF(AND($C489=12,$D489=Input!$C$6),0,IF($E490="","",(IF($B490&gt;Input!$C$9,$X490,0)+AG491)/(1+$L490)*$R490))</f>
        <v>46595.716333044395</v>
      </c>
      <c r="AH490" s="160">
        <f t="shared" si="152"/>
        <v>2.0950137211446997</v>
      </c>
      <c r="AI490" s="160">
        <f>IF($E490="","",MIN(Input!$C$61/AH490,1))</f>
        <v>0.64438718771845094</v>
      </c>
      <c r="AJ490" s="152"/>
      <c r="AK490" s="164">
        <f>IF(AND($C489=12,$D489=Input!$C$6),0,IF($E490="","",IF($B490&gt;Input!$C$9,$AC490*AI490,0)+AK491/(1+$L490)*$R490))</f>
        <v>57071.25355736952</v>
      </c>
      <c r="AL490" s="164">
        <f>IF(AND($C489=12,$D489=Input!$C$6),0,IF($E490="","",IF($B490&gt;Input!$C$9,0,$AC490)+AL491/(1+$L490)*$R490))</f>
        <v>0</v>
      </c>
      <c r="AM490" s="160">
        <f t="shared" si="153"/>
        <v>1.1382936520186004</v>
      </c>
      <c r="AN490" s="164">
        <f>IF($E490="","",IF($B490&gt;Input!$C$9,$AI490*$AC490,$AM490*$AC490))</f>
        <v>0</v>
      </c>
      <c r="AO490" s="164">
        <f>IF(AND($C489=12,$D489=Input!$C$6),0,IF($E490="","",$AN490+AO491/(1+$L490)*$R490))</f>
        <v>57071.25355736952</v>
      </c>
      <c r="AP490" s="152"/>
      <c r="AQ490" s="164">
        <f t="shared" si="154"/>
        <v>-9472.6741268633996</v>
      </c>
      <c r="AR490" s="164">
        <f t="shared" si="163"/>
        <v>-8818.5040923506494</v>
      </c>
      <c r="AS490" s="164">
        <f t="shared" si="164"/>
        <v>3939.7129186602874</v>
      </c>
      <c r="AT490" s="164">
        <f t="shared" si="155"/>
        <v>3939.7129186602874</v>
      </c>
      <c r="AU490" s="152"/>
      <c r="AV490" s="147">
        <f>'Deterministic Reserve'!BC490</f>
        <v>2.4167784727451222E-3</v>
      </c>
      <c r="AW490" s="164">
        <f t="shared" si="156"/>
        <v>3939.7129186602874</v>
      </c>
      <c r="AX490" s="164">
        <f t="shared" si="157"/>
        <v>9.521413370614038</v>
      </c>
      <c r="AY490" s="152"/>
    </row>
    <row r="491" spans="1:51" s="150" customFormat="1" x14ac:dyDescent="0.25">
      <c r="A491" s="150">
        <f t="shared" si="165"/>
        <v>487</v>
      </c>
      <c r="B491" s="150">
        <f t="shared" si="166"/>
        <v>41</v>
      </c>
      <c r="C491" s="150">
        <f t="shared" si="167"/>
        <v>7</v>
      </c>
      <c r="D491" s="150">
        <f>IF(E491="","",Input!$C$4+B491-1)</f>
        <v>85</v>
      </c>
      <c r="E491" s="150">
        <f>IF(OR(AND(C490=12,D490=Input!$C$6),E490=""),"",1)</f>
        <v>1</v>
      </c>
      <c r="F491" s="150">
        <f>IF(E491="","",Input!$C$8+B491-1)</f>
        <v>2058</v>
      </c>
      <c r="G491" s="151">
        <f>IF(E491="","",MAX(0,Input!$C$9-B491))</f>
        <v>0</v>
      </c>
      <c r="H491" s="152">
        <f>IF(E491="","",Input!$C$3)</f>
        <v>100000</v>
      </c>
      <c r="I491" s="153">
        <f>IF(E491="","",HLOOKUP($B491,Input!$C$13:$BT$14,2))</f>
        <v>201.73300000000003</v>
      </c>
      <c r="J491" s="154"/>
      <c r="K491" s="155">
        <f>IF($E491="","",Input!$C$57)</f>
        <v>4.4999999999999998E-2</v>
      </c>
      <c r="L491" s="155">
        <f t="shared" si="158"/>
        <v>3.6748094004368514E-3</v>
      </c>
      <c r="M491" s="147">
        <f>IF($E491="","",VLOOKUP(IF($B491&lt;=Input!$C$7,$B491,26),'Mortality Tables'!$A$72:$CA$97,IF($B491&lt;=Input!$C$7+1,Input!$C$4-16,$D491-Input!$C$7-16),0)/1000)</f>
        <v>8.2339999999999997E-2</v>
      </c>
      <c r="N491" s="147">
        <f t="shared" si="147"/>
        <v>7.1351172611335834E-3</v>
      </c>
      <c r="O491" s="157">
        <f>IF($E491="","",IF($C491=12,IF($B491&lt;Input!$C$9,Input!$C$54,IF($B491=Input!$C$9,Input!$C$55,Input!$C$56)),0%))</f>
        <v>0</v>
      </c>
      <c r="P491" s="167">
        <f>IF($E491="","",IF($B491=1,Input!$C$59,IF($B491&lt;6,Input!$C$60,0%)))</f>
        <v>0</v>
      </c>
      <c r="Q491" s="162">
        <f>IF($E491="","",Input!$C$58)</f>
        <v>2.5</v>
      </c>
      <c r="R491" s="156">
        <f t="shared" si="159"/>
        <v>0.99286488273886642</v>
      </c>
      <c r="S491" s="154">
        <f t="shared" si="148"/>
        <v>3.7405726292315594E-3</v>
      </c>
      <c r="T491" s="152"/>
      <c r="U491" s="150">
        <f t="shared" si="160"/>
        <v>0</v>
      </c>
      <c r="V491" s="150">
        <f t="shared" si="161"/>
        <v>0</v>
      </c>
      <c r="W491" s="168">
        <f t="shared" si="162"/>
        <v>0</v>
      </c>
      <c r="X491" s="163">
        <f t="shared" si="149"/>
        <v>713.51172611335835</v>
      </c>
      <c r="Y491" s="152"/>
      <c r="Z491" s="164">
        <f>IF(AND($C490=12,$D490=Input!$C$6),0,IF($E491="","",V491+Z492/(1+L491)*R491))</f>
        <v>108427.7416794203</v>
      </c>
      <c r="AA491" s="164">
        <f>IF(OR($M491=1,AND($C490=12,$D490=Input!$C$6)),0,IF($E491="","",W491+(X491+AA492*$R491)/(1+$L491)))</f>
        <v>47398.174947747328</v>
      </c>
      <c r="AB491" s="160">
        <f t="shared" si="150"/>
        <v>0.825720328500681</v>
      </c>
      <c r="AC491" s="164">
        <f t="shared" si="151"/>
        <v>0</v>
      </c>
      <c r="AD491" s="164">
        <f>IF(AND($C490=12,$D490=Input!$C$6),0,IF($E491="","",$AC491+AD492/(1+$L491)*$R491))</f>
        <v>89530.990478117907</v>
      </c>
      <c r="AE491" s="152"/>
      <c r="AF491" s="164">
        <f>IF(AND($C490=12,$D490=Input!$C$6),0,IF($E491="","",IF($B491&gt;Input!$C$9,$AC491,0)+AF492/(1+$L491)*$R491))</f>
        <v>89530.990478117907</v>
      </c>
      <c r="AG491" s="164">
        <f>IF(AND($C490=12,$D490=Input!$C$6),0,IF($E491="","",(IF($B491&gt;Input!$C$9,$X491,0)+AG492)/(1+$L491)*$R491))</f>
        <v>46389.520642637806</v>
      </c>
      <c r="AH491" s="160">
        <f t="shared" si="152"/>
        <v>2.0950137211446997</v>
      </c>
      <c r="AI491" s="160">
        <f>IF($E491="","",MIN(Input!$C$61/AH491,1))</f>
        <v>0.64438718771845094</v>
      </c>
      <c r="AJ491" s="152"/>
      <c r="AK491" s="164">
        <f>IF(AND($C490=12,$D490=Input!$C$6),0,IF($E491="","",IF($B491&gt;Input!$C$9,$AC491*AI491,0)+AK492/(1+$L491)*$R491))</f>
        <v>57692.623167841797</v>
      </c>
      <c r="AL491" s="164">
        <f>IF(AND($C490=12,$D490=Input!$C$6),0,IF($E491="","",IF($B491&gt;Input!$C$9,0,$AC491)+AL492/(1+$L491)*$R491))</f>
        <v>0</v>
      </c>
      <c r="AM491" s="160">
        <f t="shared" si="153"/>
        <v>1.1382936520186004</v>
      </c>
      <c r="AN491" s="164">
        <f>IF($E491="","",IF($B491&gt;Input!$C$9,$AI491*$AC491,$AM491*$AC491))</f>
        <v>0</v>
      </c>
      <c r="AO491" s="164">
        <f>IF(AND($C490=12,$D490=Input!$C$6),0,IF($E491="","",$AN491+AO492/(1+$L491)*$R491))</f>
        <v>57692.623167841797</v>
      </c>
      <c r="AP491" s="152"/>
      <c r="AQ491" s="164">
        <f t="shared" si="154"/>
        <v>-10294.448220094469</v>
      </c>
      <c r="AR491" s="164">
        <f t="shared" si="163"/>
        <v>-8818.5040923506494</v>
      </c>
      <c r="AS491" s="164">
        <f t="shared" si="164"/>
        <v>3939.7129186602874</v>
      </c>
      <c r="AT491" s="164">
        <f t="shared" si="155"/>
        <v>3939.7129186602874</v>
      </c>
      <c r="AU491" s="152"/>
      <c r="AV491" s="147">
        <f>'Deterministic Reserve'!BC491</f>
        <v>2.3756151543761813E-3</v>
      </c>
      <c r="AW491" s="164">
        <f t="shared" si="156"/>
        <v>3939.7129186602874</v>
      </c>
      <c r="AX491" s="164">
        <f t="shared" si="157"/>
        <v>9.3592417134609942</v>
      </c>
      <c r="AY491" s="152"/>
    </row>
    <row r="492" spans="1:51" s="150" customFormat="1" x14ac:dyDescent="0.25">
      <c r="A492" s="150">
        <f t="shared" si="165"/>
        <v>488</v>
      </c>
      <c r="B492" s="150">
        <f t="shared" si="166"/>
        <v>41</v>
      </c>
      <c r="C492" s="150">
        <f t="shared" si="167"/>
        <v>8</v>
      </c>
      <c r="D492" s="150">
        <f>IF(E492="","",Input!$C$4+B492-1)</f>
        <v>85</v>
      </c>
      <c r="E492" s="150">
        <f>IF(OR(AND(C491=12,D491=Input!$C$6),E491=""),"",1)</f>
        <v>1</v>
      </c>
      <c r="F492" s="150">
        <f>IF(E492="","",Input!$C$8+B492-1)</f>
        <v>2058</v>
      </c>
      <c r="G492" s="151">
        <f>IF(E492="","",MAX(0,Input!$C$9-B492))</f>
        <v>0</v>
      </c>
      <c r="H492" s="152">
        <f>IF(E492="","",Input!$C$3)</f>
        <v>100000</v>
      </c>
      <c r="I492" s="153">
        <f>IF(E492="","",HLOOKUP($B492,Input!$C$13:$BT$14,2))</f>
        <v>201.73300000000003</v>
      </c>
      <c r="J492" s="154"/>
      <c r="K492" s="155">
        <f>IF($E492="","",Input!$C$57)</f>
        <v>4.4999999999999998E-2</v>
      </c>
      <c r="L492" s="155">
        <f t="shared" si="158"/>
        <v>3.6748094004368514E-3</v>
      </c>
      <c r="M492" s="147">
        <f>IF($E492="","",VLOOKUP(IF($B492&lt;=Input!$C$7,$B492,26),'Mortality Tables'!$A$72:$CA$97,IF($B492&lt;=Input!$C$7+1,Input!$C$4-16,$D492-Input!$C$7-16),0)/1000)</f>
        <v>8.2339999999999997E-2</v>
      </c>
      <c r="N492" s="147">
        <f t="shared" si="147"/>
        <v>7.1351172611335834E-3</v>
      </c>
      <c r="O492" s="157">
        <f>IF($E492="","",IF($C492=12,IF($B492&lt;Input!$C$9,Input!$C$54,IF($B492=Input!$C$9,Input!$C$55,Input!$C$56)),0%))</f>
        <v>0</v>
      </c>
      <c r="P492" s="167">
        <f>IF($E492="","",IF($B492=1,Input!$C$59,IF($B492&lt;6,Input!$C$60,0%)))</f>
        <v>0</v>
      </c>
      <c r="Q492" s="162">
        <f>IF($E492="","",Input!$C$58)</f>
        <v>2.5</v>
      </c>
      <c r="R492" s="156">
        <f t="shared" si="159"/>
        <v>0.99286488273886642</v>
      </c>
      <c r="S492" s="154">
        <f t="shared" si="148"/>
        <v>3.7138832048982055E-3</v>
      </c>
      <c r="T492" s="152"/>
      <c r="U492" s="150">
        <f t="shared" si="160"/>
        <v>0</v>
      </c>
      <c r="V492" s="150">
        <f t="shared" si="161"/>
        <v>0</v>
      </c>
      <c r="W492" s="168">
        <f t="shared" si="162"/>
        <v>0</v>
      </c>
      <c r="X492" s="163">
        <f t="shared" si="149"/>
        <v>713.51172611335835</v>
      </c>
      <c r="Y492" s="152"/>
      <c r="Z492" s="164">
        <f>IF(AND($C491=12,$D491=Input!$C$6),0,IF($E492="","",V492+Z493/(1+L492)*R492))</f>
        <v>109608.26075710281</v>
      </c>
      <c r="AA492" s="164">
        <f>IF(OR($M492=1,AND($C491=12,$D491=Input!$C$6)),0,IF($E492="","",W492+(X492+AA493*$R492)/(1+$L492)))</f>
        <v>47195.588538928976</v>
      </c>
      <c r="AB492" s="160">
        <f t="shared" si="150"/>
        <v>0.825720328500681</v>
      </c>
      <c r="AC492" s="164">
        <f t="shared" si="151"/>
        <v>0</v>
      </c>
      <c r="AD492" s="164">
        <f>IF(AND($C491=12,$D491=Input!$C$6),0,IF($E492="","",$AC492+AD493/(1+$L492)*$R492))</f>
        <v>90505.769078743222</v>
      </c>
      <c r="AE492" s="152"/>
      <c r="AF492" s="164">
        <f>IF(AND($C491=12,$D491=Input!$C$6),0,IF($E492="","",IF($B492&gt;Input!$C$9,$AC492,0)+AF493/(1+$L492)*$R492))</f>
        <v>90505.769078743222</v>
      </c>
      <c r="AG492" s="164">
        <f>IF(AND($C491=12,$D491=Input!$C$6),0,IF($E492="","",(IF($B492&gt;Input!$C$9,$X492,0)+AG493)/(1+$L492)*$R492))</f>
        <v>46181.079973755324</v>
      </c>
      <c r="AH492" s="160">
        <f t="shared" si="152"/>
        <v>2.0950137211446997</v>
      </c>
      <c r="AI492" s="160">
        <f>IF($E492="","",MIN(Input!$C$61/AH492,1))</f>
        <v>0.64438718771845094</v>
      </c>
      <c r="AJ492" s="152"/>
      <c r="AK492" s="164">
        <f>IF(AND($C491=12,$D491=Input!$C$6),0,IF($E492="","",IF($B492&gt;Input!$C$9,$AC492*AI492,0)+AK493/(1+$L492)*$R492))</f>
        <v>58320.758008946876</v>
      </c>
      <c r="AL492" s="164">
        <f>IF(AND($C491=12,$D491=Input!$C$6),0,IF($E492="","",IF($B492&gt;Input!$C$9,0,$AC492)+AL493/(1+$L492)*$R492))</f>
        <v>0</v>
      </c>
      <c r="AM492" s="160">
        <f t="shared" si="153"/>
        <v>1.1382936520186004</v>
      </c>
      <c r="AN492" s="164">
        <f>IF($E492="","",IF($B492&gt;Input!$C$9,$AI492*$AC492,$AM492*$AC492))</f>
        <v>0</v>
      </c>
      <c r="AO492" s="164">
        <f>IF(AND($C491=12,$D491=Input!$C$6),0,IF($E492="","",$AN492+AO493/(1+$L492)*$R492))</f>
        <v>58320.758008946876</v>
      </c>
      <c r="AP492" s="152"/>
      <c r="AQ492" s="164">
        <f t="shared" si="154"/>
        <v>-11125.1694700179</v>
      </c>
      <c r="AR492" s="164">
        <f t="shared" si="163"/>
        <v>-8818.5040923506494</v>
      </c>
      <c r="AS492" s="164">
        <f t="shared" si="164"/>
        <v>3939.7129186602874</v>
      </c>
      <c r="AT492" s="164">
        <f t="shared" si="155"/>
        <v>3939.7129186602874</v>
      </c>
      <c r="AU492" s="152"/>
      <c r="AV492" s="147">
        <f>'Deterministic Reserve'!BC492</f>
        <v>2.335152942376008E-3</v>
      </c>
      <c r="AW492" s="164">
        <f t="shared" si="156"/>
        <v>3939.7129186602874</v>
      </c>
      <c r="AX492" s="164">
        <f t="shared" si="157"/>
        <v>9.1998322141263404</v>
      </c>
      <c r="AY492" s="152"/>
    </row>
    <row r="493" spans="1:51" s="150" customFormat="1" x14ac:dyDescent="0.25">
      <c r="A493" s="150">
        <f t="shared" si="165"/>
        <v>489</v>
      </c>
      <c r="B493" s="150">
        <f t="shared" si="166"/>
        <v>41</v>
      </c>
      <c r="C493" s="150">
        <f t="shared" si="167"/>
        <v>9</v>
      </c>
      <c r="D493" s="150">
        <f>IF(E493="","",Input!$C$4+B493-1)</f>
        <v>85</v>
      </c>
      <c r="E493" s="150">
        <f>IF(OR(AND(C492=12,D492=Input!$C$6),E492=""),"",1)</f>
        <v>1</v>
      </c>
      <c r="F493" s="150">
        <f>IF(E493="","",Input!$C$8+B493-1)</f>
        <v>2058</v>
      </c>
      <c r="G493" s="151">
        <f>IF(E493="","",MAX(0,Input!$C$9-B493))</f>
        <v>0</v>
      </c>
      <c r="H493" s="152">
        <f>IF(E493="","",Input!$C$3)</f>
        <v>100000</v>
      </c>
      <c r="I493" s="153">
        <f>IF(E493="","",HLOOKUP($B493,Input!$C$13:$BT$14,2))</f>
        <v>201.73300000000003</v>
      </c>
      <c r="J493" s="154"/>
      <c r="K493" s="155">
        <f>IF($E493="","",Input!$C$57)</f>
        <v>4.4999999999999998E-2</v>
      </c>
      <c r="L493" s="155">
        <f t="shared" si="158"/>
        <v>3.6748094004368514E-3</v>
      </c>
      <c r="M493" s="147">
        <f>IF($E493="","",VLOOKUP(IF($B493&lt;=Input!$C$7,$B493,26),'Mortality Tables'!$A$72:$CA$97,IF($B493&lt;=Input!$C$7+1,Input!$C$4-16,$D493-Input!$C$7-16),0)/1000)</f>
        <v>8.2339999999999997E-2</v>
      </c>
      <c r="N493" s="147">
        <f t="shared" si="147"/>
        <v>7.1351172611335834E-3</v>
      </c>
      <c r="O493" s="157">
        <f>IF($E493="","",IF($C493=12,IF($B493&lt;Input!$C$9,Input!$C$54,IF($B493=Input!$C$9,Input!$C$55,Input!$C$56)),0%))</f>
        <v>0</v>
      </c>
      <c r="P493" s="167">
        <f>IF($E493="","",IF($B493=1,Input!$C$59,IF($B493&lt;6,Input!$C$60,0%)))</f>
        <v>0</v>
      </c>
      <c r="Q493" s="162">
        <f>IF($E493="","",Input!$C$58)</f>
        <v>2.5</v>
      </c>
      <c r="R493" s="156">
        <f t="shared" si="159"/>
        <v>0.99286488273886642</v>
      </c>
      <c r="S493" s="154">
        <f t="shared" si="148"/>
        <v>3.687384212737102E-3</v>
      </c>
      <c r="T493" s="152"/>
      <c r="U493" s="150">
        <f t="shared" si="160"/>
        <v>0</v>
      </c>
      <c r="V493" s="150">
        <f t="shared" si="161"/>
        <v>0</v>
      </c>
      <c r="W493" s="168">
        <f t="shared" si="162"/>
        <v>0</v>
      </c>
      <c r="X493" s="163">
        <f t="shared" si="149"/>
        <v>713.51172611335835</v>
      </c>
      <c r="Y493" s="152"/>
      <c r="Z493" s="164">
        <f>IF(AND($C492=12,$D492=Input!$C$6),0,IF($E493="","",V493+Z494/(1+L493)*R493))</f>
        <v>110801.63286733202</v>
      </c>
      <c r="AA493" s="164">
        <f>IF(OR($M493=1,AND($C492=12,$D492=Input!$C$6)),0,IF($E493="","",W493+(X493+AA494*$R493)/(1+$L493)))</f>
        <v>46990.796448088797</v>
      </c>
      <c r="AB493" s="160">
        <f t="shared" si="150"/>
        <v>0.825720328500681</v>
      </c>
      <c r="AC493" s="164">
        <f t="shared" si="151"/>
        <v>0</v>
      </c>
      <c r="AD493" s="164">
        <f>IF(AND($C492=12,$D492=Input!$C$6),0,IF($E493="","",$AC493+AD494/(1+$L493)*$R493))</f>
        <v>91491.160689625249</v>
      </c>
      <c r="AE493" s="152"/>
      <c r="AF493" s="164">
        <f>IF(AND($C492=12,$D492=Input!$C$6),0,IF($E493="","",IF($B493&gt;Input!$C$9,$AC493,0)+AF494/(1+$L493)*$R493))</f>
        <v>91491.160689625249</v>
      </c>
      <c r="AG493" s="164">
        <f>IF(AND($C492=12,$D492=Input!$C$6),0,IF($E493="","",(IF($B493&gt;Input!$C$9,$X493,0)+AG494)/(1+$L493)*$R493))</f>
        <v>45970.369883944491</v>
      </c>
      <c r="AH493" s="160">
        <f t="shared" si="152"/>
        <v>2.0950137211446997</v>
      </c>
      <c r="AI493" s="160">
        <f>IF($E493="","",MIN(Input!$C$61/AH493,1))</f>
        <v>0.64438718771845094</v>
      </c>
      <c r="AJ493" s="152"/>
      <c r="AK493" s="164">
        <f>IF(AND($C492=12,$D492=Input!$C$6),0,IF($E493="","",IF($B493&gt;Input!$C$9,$AC493*AI493,0)+AK494/(1+$L493)*$R493))</f>
        <v>58955.731737884496</v>
      </c>
      <c r="AL493" s="164">
        <f>IF(AND($C492=12,$D492=Input!$C$6),0,IF($E493="","",IF($B493&gt;Input!$C$9,0,$AC493)+AL494/(1+$L493)*$R493))</f>
        <v>0</v>
      </c>
      <c r="AM493" s="160">
        <f t="shared" si="153"/>
        <v>1.1382936520186004</v>
      </c>
      <c r="AN493" s="164">
        <f>IF($E493="","",IF($B493&gt;Input!$C$9,$AI493*$AC493,$AM493*$AC493))</f>
        <v>0</v>
      </c>
      <c r="AO493" s="164">
        <f>IF(AND($C492=12,$D492=Input!$C$6),0,IF($E493="","",$AN493+AO494/(1+$L493)*$R493))</f>
        <v>58955.731737884496</v>
      </c>
      <c r="AP493" s="152"/>
      <c r="AQ493" s="164">
        <f t="shared" si="154"/>
        <v>-11964.9352897957</v>
      </c>
      <c r="AR493" s="164">
        <f t="shared" si="163"/>
        <v>-8818.5040923506494</v>
      </c>
      <c r="AS493" s="164">
        <f t="shared" si="164"/>
        <v>3939.7129186602874</v>
      </c>
      <c r="AT493" s="164">
        <f t="shared" si="155"/>
        <v>3939.7129186602874</v>
      </c>
      <c r="AU493" s="152"/>
      <c r="AV493" s="147">
        <f>'Deterministic Reserve'!BC493</f>
        <v>2.2953798952841035E-3</v>
      </c>
      <c r="AW493" s="164">
        <f t="shared" si="156"/>
        <v>3939.7129186602874</v>
      </c>
      <c r="AX493" s="164">
        <f t="shared" si="157"/>
        <v>9.0431378266838802</v>
      </c>
      <c r="AY493" s="152"/>
    </row>
    <row r="494" spans="1:51" s="150" customFormat="1" x14ac:dyDescent="0.25">
      <c r="A494" s="150">
        <f t="shared" si="165"/>
        <v>490</v>
      </c>
      <c r="B494" s="150">
        <f t="shared" si="166"/>
        <v>41</v>
      </c>
      <c r="C494" s="150">
        <f t="shared" si="167"/>
        <v>10</v>
      </c>
      <c r="D494" s="150">
        <f>IF(E494="","",Input!$C$4+B494-1)</f>
        <v>85</v>
      </c>
      <c r="E494" s="150">
        <f>IF(OR(AND(C493=12,D493=Input!$C$6),E493=""),"",1)</f>
        <v>1</v>
      </c>
      <c r="F494" s="150">
        <f>IF(E494="","",Input!$C$8+B494-1)</f>
        <v>2058</v>
      </c>
      <c r="G494" s="151">
        <f>IF(E494="","",MAX(0,Input!$C$9-B494))</f>
        <v>0</v>
      </c>
      <c r="H494" s="152">
        <f>IF(E494="","",Input!$C$3)</f>
        <v>100000</v>
      </c>
      <c r="I494" s="153">
        <f>IF(E494="","",HLOOKUP($B494,Input!$C$13:$BT$14,2))</f>
        <v>201.73300000000003</v>
      </c>
      <c r="J494" s="154"/>
      <c r="K494" s="155">
        <f>IF($E494="","",Input!$C$57)</f>
        <v>4.4999999999999998E-2</v>
      </c>
      <c r="L494" s="155">
        <f t="shared" si="158"/>
        <v>3.6748094004368514E-3</v>
      </c>
      <c r="M494" s="147">
        <f>IF($E494="","",VLOOKUP(IF($B494&lt;=Input!$C$7,$B494,26),'Mortality Tables'!$A$72:$CA$97,IF($B494&lt;=Input!$C$7+1,Input!$C$4-16,$D494-Input!$C$7-16),0)/1000)</f>
        <v>8.2339999999999997E-2</v>
      </c>
      <c r="N494" s="147">
        <f t="shared" si="147"/>
        <v>7.1351172611335834E-3</v>
      </c>
      <c r="O494" s="157">
        <f>IF($E494="","",IF($C494=12,IF($B494&lt;Input!$C$9,Input!$C$54,IF($B494=Input!$C$9,Input!$C$55,Input!$C$56)),0%))</f>
        <v>0</v>
      </c>
      <c r="P494" s="167">
        <f>IF($E494="","",IF($B494=1,Input!$C$59,IF($B494&lt;6,Input!$C$60,0%)))</f>
        <v>0</v>
      </c>
      <c r="Q494" s="162">
        <f>IF($E494="","",Input!$C$58)</f>
        <v>2.5</v>
      </c>
      <c r="R494" s="156">
        <f t="shared" si="159"/>
        <v>0.99286488273886642</v>
      </c>
      <c r="S494" s="154">
        <f t="shared" si="148"/>
        <v>3.6610742939923698E-3</v>
      </c>
      <c r="T494" s="152"/>
      <c r="U494" s="150">
        <f t="shared" si="160"/>
        <v>0</v>
      </c>
      <c r="V494" s="150">
        <f t="shared" si="161"/>
        <v>0</v>
      </c>
      <c r="W494" s="168">
        <f t="shared" si="162"/>
        <v>0</v>
      </c>
      <c r="X494" s="163">
        <f t="shared" si="149"/>
        <v>713.51172611335835</v>
      </c>
      <c r="Y494" s="152"/>
      <c r="Z494" s="164">
        <f>IF(AND($C493=12,$D493=Input!$C$6),0,IF($E494="","",V494+Z495/(1+L494)*R494))</f>
        <v>112007.99794892705</v>
      </c>
      <c r="AA494" s="164">
        <f>IF(OR($M494=1,AND($C493=12,$D493=Input!$C$6)),0,IF($E494="","",W494+(X494+AA495*$R494)/(1+$L494)))</f>
        <v>46783.774660618852</v>
      </c>
      <c r="AB494" s="160">
        <f t="shared" si="150"/>
        <v>0.825720328500681</v>
      </c>
      <c r="AC494" s="164">
        <f t="shared" si="151"/>
        <v>0</v>
      </c>
      <c r="AD494" s="164">
        <f>IF(AND($C493=12,$D493=Input!$C$6),0,IF($E494="","",$AC494+AD495/(1+$L494)*$R494))</f>
        <v>92487.28086109164</v>
      </c>
      <c r="AE494" s="152"/>
      <c r="AF494" s="164">
        <f>IF(AND($C493=12,$D493=Input!$C$6),0,IF($E494="","",IF($B494&gt;Input!$C$9,$AC494,0)+AF495/(1+$L494)*$R494))</f>
        <v>92487.28086109164</v>
      </c>
      <c r="AG494" s="164">
        <f>IF(AND($C493=12,$D493=Input!$C$6),0,IF($E494="","",(IF($B494&gt;Input!$C$9,$X494,0)+AG495)/(1+$L494)*$R494))</f>
        <v>45757.365664632947</v>
      </c>
      <c r="AH494" s="160">
        <f t="shared" si="152"/>
        <v>2.0950137211446997</v>
      </c>
      <c r="AI494" s="160">
        <f>IF($E494="","",MIN(Input!$C$61/AH494,1))</f>
        <v>0.64438718771845094</v>
      </c>
      <c r="AJ494" s="152"/>
      <c r="AK494" s="164">
        <f>IF(AND($C493=12,$D493=Input!$C$6),0,IF($E494="","",IF($B494&gt;Input!$C$9,$AC494*AI494,0)+AK495/(1+$L494)*$R494))</f>
        <v>59597.618813805348</v>
      </c>
      <c r="AL494" s="164">
        <f>IF(AND($C493=12,$D493=Input!$C$6),0,IF($E494="","",IF($B494&gt;Input!$C$9,0,$AC494)+AL495/(1+$L494)*$R494))</f>
        <v>0</v>
      </c>
      <c r="AM494" s="160">
        <f t="shared" si="153"/>
        <v>1.1382936520186004</v>
      </c>
      <c r="AN494" s="164">
        <f>IF($E494="","",IF($B494&gt;Input!$C$9,$AI494*$AC494,$AM494*$AC494))</f>
        <v>0</v>
      </c>
      <c r="AO494" s="164">
        <f>IF(AND($C493=12,$D493=Input!$C$6),0,IF($E494="","",$AN494+AO495/(1+$L494)*$R494))</f>
        <v>59597.618813805348</v>
      </c>
      <c r="AP494" s="152"/>
      <c r="AQ494" s="164">
        <f t="shared" si="154"/>
        <v>-12813.844153186496</v>
      </c>
      <c r="AR494" s="164">
        <f t="shared" si="163"/>
        <v>-8818.5040923506494</v>
      </c>
      <c r="AS494" s="164">
        <f t="shared" si="164"/>
        <v>3939.7129186602874</v>
      </c>
      <c r="AT494" s="164">
        <f t="shared" si="155"/>
        <v>3939.7129186602874</v>
      </c>
      <c r="AU494" s="152"/>
      <c r="AV494" s="147">
        <f>'Deterministic Reserve'!BC494</f>
        <v>2.2562842750306162E-3</v>
      </c>
      <c r="AW494" s="164">
        <f t="shared" si="156"/>
        <v>3939.7129186602874</v>
      </c>
      <c r="AX494" s="164">
        <f t="shared" si="157"/>
        <v>8.8891123065081796</v>
      </c>
      <c r="AY494" s="152"/>
    </row>
    <row r="495" spans="1:51" s="150" customFormat="1" x14ac:dyDescent="0.25">
      <c r="A495" s="150">
        <f t="shared" si="165"/>
        <v>491</v>
      </c>
      <c r="B495" s="150">
        <f t="shared" si="166"/>
        <v>41</v>
      </c>
      <c r="C495" s="150">
        <f t="shared" si="167"/>
        <v>11</v>
      </c>
      <c r="D495" s="150">
        <f>IF(E495="","",Input!$C$4+B495-1)</f>
        <v>85</v>
      </c>
      <c r="E495" s="150">
        <f>IF(OR(AND(C494=12,D494=Input!$C$6),E494=""),"",1)</f>
        <v>1</v>
      </c>
      <c r="F495" s="150">
        <f>IF(E495="","",Input!$C$8+B495-1)</f>
        <v>2058</v>
      </c>
      <c r="G495" s="151">
        <f>IF(E495="","",MAX(0,Input!$C$9-B495))</f>
        <v>0</v>
      </c>
      <c r="H495" s="152">
        <f>IF(E495="","",Input!$C$3)</f>
        <v>100000</v>
      </c>
      <c r="I495" s="153">
        <f>IF(E495="","",HLOOKUP($B495,Input!$C$13:$BT$14,2))</f>
        <v>201.73300000000003</v>
      </c>
      <c r="J495" s="154"/>
      <c r="K495" s="155">
        <f>IF($E495="","",Input!$C$57)</f>
        <v>4.4999999999999998E-2</v>
      </c>
      <c r="L495" s="155">
        <f t="shared" si="158"/>
        <v>3.6748094004368514E-3</v>
      </c>
      <c r="M495" s="147">
        <f>IF($E495="","",VLOOKUP(IF($B495&lt;=Input!$C$7,$B495,26),'Mortality Tables'!$A$72:$CA$97,IF($B495&lt;=Input!$C$7+1,Input!$C$4-16,$D495-Input!$C$7-16),0)/1000)</f>
        <v>8.2339999999999997E-2</v>
      </c>
      <c r="N495" s="147">
        <f t="shared" si="147"/>
        <v>7.1351172611335834E-3</v>
      </c>
      <c r="O495" s="157">
        <f>IF($E495="","",IF($C495=12,IF($B495&lt;Input!$C$9,Input!$C$54,IF($B495=Input!$C$9,Input!$C$55,Input!$C$56)),0%))</f>
        <v>0</v>
      </c>
      <c r="P495" s="167">
        <f>IF($E495="","",IF($B495=1,Input!$C$59,IF($B495&lt;6,Input!$C$60,0%)))</f>
        <v>0</v>
      </c>
      <c r="Q495" s="162">
        <f>IF($E495="","",Input!$C$58)</f>
        <v>2.5</v>
      </c>
      <c r="R495" s="156">
        <f t="shared" si="159"/>
        <v>0.99286488273886642</v>
      </c>
      <c r="S495" s="154">
        <f t="shared" si="148"/>
        <v>3.6349520996030124E-3</v>
      </c>
      <c r="T495" s="152"/>
      <c r="U495" s="150">
        <f t="shared" si="160"/>
        <v>0</v>
      </c>
      <c r="V495" s="150">
        <f t="shared" si="161"/>
        <v>0</v>
      </c>
      <c r="W495" s="168">
        <f t="shared" si="162"/>
        <v>0</v>
      </c>
      <c r="X495" s="163">
        <f t="shared" si="149"/>
        <v>713.51172611335835</v>
      </c>
      <c r="Y495" s="152"/>
      <c r="Z495" s="164">
        <f>IF(AND($C494=12,$D494=Input!$C$6),0,IF($E495="","",V495+Z496/(1+L495)*R495))</f>
        <v>113227.49746430641</v>
      </c>
      <c r="AA495" s="164">
        <f>IF(OR($M495=1,AND($C494=12,$D494=Input!$C$6)),0,IF($E495="","",W495+(X495+AA496*$R495)/(1+$L495)))</f>
        <v>46574.498900449507</v>
      </c>
      <c r="AB495" s="160">
        <f t="shared" si="150"/>
        <v>0.825720328500681</v>
      </c>
      <c r="AC495" s="164">
        <f t="shared" si="151"/>
        <v>0</v>
      </c>
      <c r="AD495" s="164">
        <f>IF(AND($C494=12,$D494=Input!$C$6),0,IF($E495="","",$AC495+AD496/(1+$L495)*$R495))</f>
        <v>93494.246401537093</v>
      </c>
      <c r="AE495" s="152"/>
      <c r="AF495" s="164">
        <f>IF(AND($C494=12,$D494=Input!$C$6),0,IF($E495="","",IF($B495&gt;Input!$C$9,$AC495,0)+AF496/(1+$L495)*$R495))</f>
        <v>93494.246401537093</v>
      </c>
      <c r="AG495" s="164">
        <f>IF(AND($C494=12,$D494=Input!$C$6),0,IF($E495="","",(IF($B495&gt;Input!$C$9,$X495,0)+AG496)/(1+$L495)*$R495))</f>
        <v>45542.042338231011</v>
      </c>
      <c r="AH495" s="160">
        <f t="shared" si="152"/>
        <v>2.0950137211446997</v>
      </c>
      <c r="AI495" s="160">
        <f>IF($E495="","",MIN(Input!$C$61/AH495,1))</f>
        <v>0.64438718771845094</v>
      </c>
      <c r="AJ495" s="152"/>
      <c r="AK495" s="164">
        <f>IF(AND($C494=12,$D494=Input!$C$6),0,IF($E495="","",IF($B495&gt;Input!$C$9,$AC495*AI495,0)+AK496/(1+$L495)*$R495))</f>
        <v>60246.494506542389</v>
      </c>
      <c r="AL495" s="164">
        <f>IF(AND($C494=12,$D494=Input!$C$6),0,IF($E495="","",IF($B495&gt;Input!$C$9,0,$AC495)+AL496/(1+$L495)*$R495))</f>
        <v>0</v>
      </c>
      <c r="AM495" s="160">
        <f t="shared" si="153"/>
        <v>1.1382936520186004</v>
      </c>
      <c r="AN495" s="164">
        <f>IF($E495="","",IF($B495&gt;Input!$C$9,$AI495*$AC495,$AM495*$AC495))</f>
        <v>0</v>
      </c>
      <c r="AO495" s="164">
        <f>IF(AND($C494=12,$D494=Input!$C$6),0,IF($E495="","",$AN495+AO496/(1+$L495)*$R495))</f>
        <v>60246.494506542389</v>
      </c>
      <c r="AP495" s="152"/>
      <c r="AQ495" s="164">
        <f t="shared" si="154"/>
        <v>-13671.995606092882</v>
      </c>
      <c r="AR495" s="164">
        <f t="shared" si="163"/>
        <v>-8818.5040923506494</v>
      </c>
      <c r="AS495" s="164">
        <f t="shared" si="164"/>
        <v>3939.7129186602874</v>
      </c>
      <c r="AT495" s="164">
        <f t="shared" si="155"/>
        <v>3939.7129186602874</v>
      </c>
      <c r="AU495" s="152"/>
      <c r="AV495" s="147">
        <f>'Deterministic Reserve'!BC495</f>
        <v>2.217854543472131E-3</v>
      </c>
      <c r="AW495" s="164">
        <f t="shared" si="156"/>
        <v>3939.7129186602874</v>
      </c>
      <c r="AX495" s="164">
        <f t="shared" si="157"/>
        <v>8.7377101966265691</v>
      </c>
      <c r="AY495" s="152"/>
    </row>
    <row r="496" spans="1:51" s="150" customFormat="1" x14ac:dyDescent="0.25">
      <c r="A496" s="150">
        <f t="shared" si="165"/>
        <v>492</v>
      </c>
      <c r="B496" s="150">
        <f t="shared" si="166"/>
        <v>41</v>
      </c>
      <c r="C496" s="150">
        <f t="shared" si="167"/>
        <v>12</v>
      </c>
      <c r="D496" s="150">
        <f>IF(E496="","",Input!$C$4+B496-1)</f>
        <v>85</v>
      </c>
      <c r="E496" s="150">
        <f>IF(OR(AND(C495=12,D495=Input!$C$6),E495=""),"",1)</f>
        <v>1</v>
      </c>
      <c r="F496" s="150">
        <f>IF(E496="","",Input!$C$8+B496-1)</f>
        <v>2058</v>
      </c>
      <c r="G496" s="151">
        <f>IF(E496="","",MAX(0,Input!$C$9-B496))</f>
        <v>0</v>
      </c>
      <c r="H496" s="152">
        <f>IF(E496="","",Input!$C$3)</f>
        <v>100000</v>
      </c>
      <c r="I496" s="153">
        <f>IF(E496="","",HLOOKUP($B496,Input!$C$13:$BT$14,2))</f>
        <v>201.73300000000003</v>
      </c>
      <c r="J496" s="154"/>
      <c r="K496" s="155">
        <f>IF($E496="","",Input!$C$57)</f>
        <v>4.4999999999999998E-2</v>
      </c>
      <c r="L496" s="155">
        <f t="shared" si="158"/>
        <v>3.6748094004368514E-3</v>
      </c>
      <c r="M496" s="147">
        <f>IF($E496="","",VLOOKUP(IF($B496&lt;=Input!$C$7,$B496,26),'Mortality Tables'!$A$72:$CA$97,IF($B496&lt;=Input!$C$7+1,Input!$C$4-16,$D496-Input!$C$7-16),0)/1000)</f>
        <v>8.2339999999999997E-2</v>
      </c>
      <c r="N496" s="147">
        <f t="shared" si="147"/>
        <v>7.1351172611335834E-3</v>
      </c>
      <c r="O496" s="157">
        <f>IF($E496="","",IF($C496=12,IF($B496&lt;Input!$C$9,Input!$C$54,IF($B496=Input!$C$9,Input!$C$55,Input!$C$56)),0%))</f>
        <v>0.1</v>
      </c>
      <c r="P496" s="167">
        <f>IF($E496="","",IF($B496=1,Input!$C$59,IF($B496&lt;6,Input!$C$60,0%)))</f>
        <v>0</v>
      </c>
      <c r="Q496" s="162">
        <f>IF($E496="","",Input!$C$58)</f>
        <v>2.5</v>
      </c>
      <c r="R496" s="156">
        <f t="shared" si="159"/>
        <v>0.89286488273886644</v>
      </c>
      <c r="S496" s="154">
        <f t="shared" si="148"/>
        <v>3.2455210801734398E-3</v>
      </c>
      <c r="T496" s="152"/>
      <c r="U496" s="150">
        <f t="shared" si="160"/>
        <v>0</v>
      </c>
      <c r="V496" s="150">
        <f t="shared" si="161"/>
        <v>0</v>
      </c>
      <c r="W496" s="168">
        <f t="shared" si="162"/>
        <v>0</v>
      </c>
      <c r="X496" s="163">
        <f t="shared" si="149"/>
        <v>713.51172611335835</v>
      </c>
      <c r="Y496" s="152"/>
      <c r="Z496" s="164">
        <f>IF(AND($C495=12,$D495=Input!$C$6),0,IF($E496="","",V496+Z497/(1+L496)*R496))</f>
        <v>114460.27441607641</v>
      </c>
      <c r="AA496" s="164">
        <f>IF(OR($M496=1,AND($C495=12,$D495=Input!$C$6)),0,IF($E496="","",W496+(X496+AA497*$R496)/(1+$L496)))</f>
        <v>46362.944627202698</v>
      </c>
      <c r="AB496" s="160">
        <f t="shared" si="150"/>
        <v>0.825720328500681</v>
      </c>
      <c r="AC496" s="164">
        <f t="shared" si="151"/>
        <v>0</v>
      </c>
      <c r="AD496" s="164">
        <f>IF(AND($C495=12,$D495=Input!$C$6),0,IF($E496="","",$AC496+AD497/(1+$L496)*$R496))</f>
        <v>94512.175391120691</v>
      </c>
      <c r="AE496" s="152"/>
      <c r="AF496" s="164">
        <f>IF(AND($C495=12,$D495=Input!$C$6),0,IF($E496="","",IF($B496&gt;Input!$C$9,$AC496,0)+AF497/(1+$L496)*$R496))</f>
        <v>94512.175391120691</v>
      </c>
      <c r="AG496" s="164">
        <f>IF(AND($C495=12,$D495=Input!$C$6),0,IF($E496="","",(IF($B496&gt;Input!$C$9,$X496,0)+AG497)/(1+$L496)*$R496))</f>
        <v>45324.374655202715</v>
      </c>
      <c r="AH496" s="160">
        <f t="shared" si="152"/>
        <v>2.0950137211446997</v>
      </c>
      <c r="AI496" s="160">
        <f>IF($E496="","",MIN(Input!$C$61/AH496,1))</f>
        <v>0.64438718771845094</v>
      </c>
      <c r="AJ496" s="152"/>
      <c r="AK496" s="164">
        <f>IF(AND($C495=12,$D495=Input!$C$6),0,IF($E496="","",IF($B496&gt;Input!$C$9,$AC496*AI496,0)+AK497/(1+$L496)*$R496))</f>
        <v>60902.434905437243</v>
      </c>
      <c r="AL496" s="164">
        <f>IF(AND($C495=12,$D495=Input!$C$6),0,IF($E496="","",IF($B496&gt;Input!$C$9,0,$AC496)+AL497/(1+$L496)*$R496))</f>
        <v>0</v>
      </c>
      <c r="AM496" s="160">
        <f t="shared" si="153"/>
        <v>1.1382936520186004</v>
      </c>
      <c r="AN496" s="164">
        <f>IF($E496="","",IF($B496&gt;Input!$C$9,$AI496*$AC496,$AM496*$AC496))</f>
        <v>0</v>
      </c>
      <c r="AO496" s="164">
        <f>IF(AND($C495=12,$D495=Input!$C$6),0,IF($E496="","",$AN496+AO497/(1+$L496)*$R496))</f>
        <v>60902.434905437243</v>
      </c>
      <c r="AP496" s="152"/>
      <c r="AQ496" s="164">
        <f t="shared" si="154"/>
        <v>-14539.490278234545</v>
      </c>
      <c r="AR496" s="164">
        <f t="shared" si="163"/>
        <v>-8818.5040923506494</v>
      </c>
      <c r="AS496" s="164">
        <f t="shared" si="164"/>
        <v>3939.7129186602874</v>
      </c>
      <c r="AT496" s="164">
        <f t="shared" si="155"/>
        <v>3939.7129186602874</v>
      </c>
      <c r="AU496" s="152"/>
      <c r="AV496" s="147">
        <f>'Deterministic Reserve'!BC496</f>
        <v>1.9582939046392466E-3</v>
      </c>
      <c r="AW496" s="164">
        <f t="shared" si="156"/>
        <v>3939.7129186602874</v>
      </c>
      <c r="AX496" s="164">
        <f t="shared" si="157"/>
        <v>7.715115794640937</v>
      </c>
      <c r="AY496" s="152"/>
    </row>
    <row r="497" spans="1:51" s="150" customFormat="1" x14ac:dyDescent="0.25">
      <c r="A497" s="150">
        <f t="shared" si="165"/>
        <v>493</v>
      </c>
      <c r="B497" s="150">
        <f t="shared" si="166"/>
        <v>42</v>
      </c>
      <c r="C497" s="150">
        <f t="shared" si="167"/>
        <v>1</v>
      </c>
      <c r="D497" s="150">
        <f>IF(E497="","",Input!$C$4+B497-1)</f>
        <v>86</v>
      </c>
      <c r="E497" s="150">
        <f>IF(OR(AND(C496=12,D496=Input!$C$6),E496=""),"",1)</f>
        <v>1</v>
      </c>
      <c r="F497" s="150">
        <f>IF(E497="","",Input!$C$8+B497-1)</f>
        <v>2059</v>
      </c>
      <c r="G497" s="151">
        <f>IF(E497="","",MAX(0,Input!$C$9-B497))</f>
        <v>0</v>
      </c>
      <c r="H497" s="152">
        <f>IF(E497="","",Input!$C$3)</f>
        <v>100000</v>
      </c>
      <c r="I497" s="153">
        <f>IF(E497="","",HLOOKUP($B497,Input!$C$13:$BT$14,2))</f>
        <v>230.52050000000003</v>
      </c>
      <c r="J497" s="154"/>
      <c r="K497" s="155">
        <f>IF($E497="","",Input!$C$57)</f>
        <v>4.4999999999999998E-2</v>
      </c>
      <c r="L497" s="155">
        <f t="shared" si="158"/>
        <v>3.6748094004368514E-3</v>
      </c>
      <c r="M497" s="147">
        <f>IF($E497="","",VLOOKUP(IF($B497&lt;=Input!$C$7,$B497,26),'Mortality Tables'!$A$72:$CA$97,IF($B497&lt;=Input!$C$7+1,Input!$C$4-16,$D497-Input!$C$7-16),0)/1000)</f>
        <v>9.4090000000000007E-2</v>
      </c>
      <c r="N497" s="147">
        <f t="shared" si="147"/>
        <v>8.2007981091212212E-3</v>
      </c>
      <c r="O497" s="157">
        <f>IF($E497="","",IF($C497=12,IF($B497&lt;Input!$C$9,Input!$C$54,IF($B497=Input!$C$9,Input!$C$55,Input!$C$56)),0%))</f>
        <v>0</v>
      </c>
      <c r="P497" s="167">
        <f>IF($E497="","",IF($B497=1,Input!$C$59,IF($B497&lt;6,Input!$C$60,0%)))</f>
        <v>0</v>
      </c>
      <c r="Q497" s="162">
        <f>IF($E497="","",Input!$C$58)</f>
        <v>2.5</v>
      </c>
      <c r="R497" s="156">
        <f t="shared" si="159"/>
        <v>0.99179920189087878</v>
      </c>
      <c r="S497" s="154">
        <f t="shared" si="148"/>
        <v>3.2189052170360404E-3</v>
      </c>
      <c r="T497" s="152"/>
      <c r="U497" s="150">
        <f t="shared" si="160"/>
        <v>23052.050000000003</v>
      </c>
      <c r="V497" s="150">
        <f t="shared" si="161"/>
        <v>23052.050000000003</v>
      </c>
      <c r="W497" s="168">
        <f t="shared" si="162"/>
        <v>0</v>
      </c>
      <c r="X497" s="163">
        <f t="shared" si="149"/>
        <v>820.07981091212207</v>
      </c>
      <c r="Y497" s="152"/>
      <c r="Z497" s="164">
        <f>IF(AND($C496=12,$D496=Input!$C$6),0,IF($E497="","",V497+Z498/(1+L497)*R497))</f>
        <v>128665.48604317331</v>
      </c>
      <c r="AA497" s="164">
        <f>IF(OR($M497=1,AND($C496=12,$D496=Input!$C$6)),0,IF($E497="","",W497+(X497+AA498*$R497)/(1+$L497)))</f>
        <v>51317.739975711534</v>
      </c>
      <c r="AB497" s="160">
        <f t="shared" si="150"/>
        <v>0.825720328500681</v>
      </c>
      <c r="AC497" s="164">
        <f t="shared" si="151"/>
        <v>19034.546298614125</v>
      </c>
      <c r="AD497" s="164">
        <f>IF(AND($C496=12,$D496=Input!$C$6),0,IF($E497="","",$AC497+AD498/(1+$L497)*$R497))</f>
        <v>106241.70740226883</v>
      </c>
      <c r="AE497" s="152"/>
      <c r="AF497" s="164">
        <f>IF(AND($C496=12,$D496=Input!$C$6),0,IF($E497="","",IF($B497&gt;Input!$C$9,$AC497,0)+AF498/(1+$L497)*$R497))</f>
        <v>106241.70740226883</v>
      </c>
      <c r="AG497" s="164">
        <f>IF(AND($C496=12,$D496=Input!$C$6),0,IF($E497="","",(IF($B497&gt;Input!$C$9,$X497,0)+AG498)/(1+$L497)*$R497))</f>
        <v>50235.891674892817</v>
      </c>
      <c r="AH497" s="160">
        <f t="shared" si="152"/>
        <v>2.0950137211446997</v>
      </c>
      <c r="AI497" s="160">
        <f>IF($E497="","",MIN(Input!$C$61/AH497,1))</f>
        <v>0.64438718771845094</v>
      </c>
      <c r="AJ497" s="152"/>
      <c r="AK497" s="164">
        <f>IF(AND($C496=12,$D496=Input!$C$6),0,IF($E497="","",IF($B497&gt;Input!$C$9,$AC497*AI497,0)+AK498/(1+$L497)*$R497))</f>
        <v>68460.795051354537</v>
      </c>
      <c r="AL497" s="164">
        <f>IF(AND($C496=12,$D496=Input!$C$6),0,IF($E497="","",IF($B497&gt;Input!$C$9,0,$AC497)+AL498/(1+$L497)*$R497))</f>
        <v>0</v>
      </c>
      <c r="AM497" s="160">
        <f t="shared" si="153"/>
        <v>1.1382936520186004</v>
      </c>
      <c r="AN497" s="164">
        <f>IF($E497="","",IF($B497&gt;Input!$C$9,$AI497*$AC497,$AM497*$AC497))</f>
        <v>12265.617758860606</v>
      </c>
      <c r="AO497" s="164">
        <f>IF(AND($C496=12,$D496=Input!$C$6),0,IF($E497="","",$AN497+AO498/(1+$L497)*$R497))</f>
        <v>68460.795051354537</v>
      </c>
      <c r="AP497" s="152"/>
      <c r="AQ497" s="164">
        <f t="shared" si="154"/>
        <v>-17143.055075643002</v>
      </c>
      <c r="AR497" s="164">
        <f t="shared" si="163"/>
        <v>-8746.8218155873801</v>
      </c>
      <c r="AS497" s="164">
        <f t="shared" si="164"/>
        <v>4501.9138755980866</v>
      </c>
      <c r="AT497" s="164">
        <f t="shared" si="155"/>
        <v>4501.9138755980866</v>
      </c>
      <c r="AU497" s="152"/>
      <c r="AV497" s="147">
        <f>'Deterministic Reserve'!BC497</f>
        <v>1.9198665527382533E-3</v>
      </c>
      <c r="AW497" s="164">
        <f t="shared" si="156"/>
        <v>4501.9138755980866</v>
      </c>
      <c r="AX497" s="164">
        <f t="shared" si="157"/>
        <v>8.6430738730690084</v>
      </c>
      <c r="AY497" s="152"/>
    </row>
    <row r="498" spans="1:51" s="150" customFormat="1" x14ac:dyDescent="0.25">
      <c r="A498" s="150">
        <f t="shared" si="165"/>
        <v>494</v>
      </c>
      <c r="B498" s="150">
        <f t="shared" si="166"/>
        <v>42</v>
      </c>
      <c r="C498" s="150">
        <f t="shared" si="167"/>
        <v>2</v>
      </c>
      <c r="D498" s="150">
        <f>IF(E498="","",Input!$C$4+B498-1)</f>
        <v>86</v>
      </c>
      <c r="E498" s="150">
        <f>IF(OR(AND(C497=12,D497=Input!$C$6),E497=""),"",1)</f>
        <v>1</v>
      </c>
      <c r="F498" s="150">
        <f>IF(E498="","",Input!$C$8+B498-1)</f>
        <v>2059</v>
      </c>
      <c r="G498" s="151">
        <f>IF(E498="","",MAX(0,Input!$C$9-B498))</f>
        <v>0</v>
      </c>
      <c r="H498" s="152">
        <f>IF(E498="","",Input!$C$3)</f>
        <v>100000</v>
      </c>
      <c r="I498" s="153">
        <f>IF(E498="","",HLOOKUP($B498,Input!$C$13:$BT$14,2))</f>
        <v>230.52050000000003</v>
      </c>
      <c r="J498" s="154"/>
      <c r="K498" s="155">
        <f>IF($E498="","",Input!$C$57)</f>
        <v>4.4999999999999998E-2</v>
      </c>
      <c r="L498" s="155">
        <f t="shared" si="158"/>
        <v>3.6748094004368514E-3</v>
      </c>
      <c r="M498" s="147">
        <f>IF($E498="","",VLOOKUP(IF($B498&lt;=Input!$C$7,$B498,26),'Mortality Tables'!$A$72:$CA$97,IF($B498&lt;=Input!$C$7+1,Input!$C$4-16,$D498-Input!$C$7-16),0)/1000)</f>
        <v>9.4090000000000007E-2</v>
      </c>
      <c r="N498" s="147">
        <f t="shared" si="147"/>
        <v>8.2007981091212212E-3</v>
      </c>
      <c r="O498" s="157">
        <f>IF($E498="","",IF($C498=12,IF($B498&lt;Input!$C$9,Input!$C$54,IF($B498=Input!$C$9,Input!$C$55,Input!$C$56)),0%))</f>
        <v>0</v>
      </c>
      <c r="P498" s="167">
        <f>IF($E498="","",IF($B498=1,Input!$C$59,IF($B498&lt;6,Input!$C$60,0%)))</f>
        <v>0</v>
      </c>
      <c r="Q498" s="162">
        <f>IF($E498="","",Input!$C$58)</f>
        <v>2.5</v>
      </c>
      <c r="R498" s="156">
        <f t="shared" si="159"/>
        <v>0.99179920189087878</v>
      </c>
      <c r="S498" s="154">
        <f t="shared" si="148"/>
        <v>3.1925076252187308E-3</v>
      </c>
      <c r="T498" s="152"/>
      <c r="U498" s="150">
        <f t="shared" si="160"/>
        <v>0</v>
      </c>
      <c r="V498" s="150">
        <f t="shared" si="161"/>
        <v>0</v>
      </c>
      <c r="W498" s="168">
        <f t="shared" si="162"/>
        <v>0</v>
      </c>
      <c r="X498" s="163">
        <f t="shared" si="149"/>
        <v>820.07981091212207</v>
      </c>
      <c r="Y498" s="152"/>
      <c r="Z498" s="164">
        <f>IF(AND($C497=12,$D497=Input!$C$6),0,IF($E498="","",V498+Z499/(1+L498)*R498))</f>
        <v>106878.03044070191</v>
      </c>
      <c r="AA498" s="164">
        <f>IF(OR($M498=1,AND($C497=12,$D497=Input!$C$6)),0,IF($E498="","",W498+(X498+AA499*$R498)/(1+$L498)))</f>
        <v>51105.347716994838</v>
      </c>
      <c r="AB498" s="160">
        <f t="shared" si="150"/>
        <v>0.825720328500681</v>
      </c>
      <c r="AC498" s="164">
        <f t="shared" si="151"/>
        <v>0</v>
      </c>
      <c r="AD498" s="164">
        <f>IF(AND($C497=12,$D497=Input!$C$6),0,IF($E498="","",$AC498+AD499/(1+$L498)*$R498))</f>
        <v>88251.362405002146</v>
      </c>
      <c r="AE498" s="152"/>
      <c r="AF498" s="164">
        <f>IF(AND($C497=12,$D497=Input!$C$6),0,IF($E498="","",IF($B498&gt;Input!$C$9,$AC498,0)+AF499/(1+$L498)*$R498))</f>
        <v>88251.362405002146</v>
      </c>
      <c r="AG498" s="164">
        <f>IF(AND($C497=12,$D497=Input!$C$6),0,IF($E498="","",(IF($B498&gt;Input!$C$9,$X498,0)+AG499)/(1+$L498)*$R498))</f>
        <v>50017.326496465081</v>
      </c>
      <c r="AH498" s="160">
        <f t="shared" si="152"/>
        <v>2.0950137211446997</v>
      </c>
      <c r="AI498" s="160">
        <f>IF($E498="","",MIN(Input!$C$61/AH498,1))</f>
        <v>0.64438718771845094</v>
      </c>
      <c r="AJ498" s="152"/>
      <c r="AK498" s="164">
        <f>IF(AND($C497=12,$D497=Input!$C$6),0,IF($E498="","",IF($B498&gt;Input!$C$9,$AC498*AI498,0)+AK499/(1+$L498)*$R498))</f>
        <v>56868.047232481156</v>
      </c>
      <c r="AL498" s="164">
        <f>IF(AND($C497=12,$D497=Input!$C$6),0,IF($E498="","",IF($B498&gt;Input!$C$9,0,$AC498)+AL499/(1+$L498)*$R498))</f>
        <v>0</v>
      </c>
      <c r="AM498" s="160">
        <f t="shared" si="153"/>
        <v>1.1382936520186004</v>
      </c>
      <c r="AN498" s="164">
        <f>IF($E498="","",IF($B498&gt;Input!$C$9,$AI498*$AC498,$AM498*$AC498))</f>
        <v>0</v>
      </c>
      <c r="AO498" s="164">
        <f>IF(AND($C497=12,$D497=Input!$C$6),0,IF($E498="","",$AN498+AO499/(1+$L498)*$R498))</f>
        <v>56868.047232481156</v>
      </c>
      <c r="AP498" s="152"/>
      <c r="AQ498" s="164">
        <f t="shared" si="154"/>
        <v>-5762.699515486318</v>
      </c>
      <c r="AR498" s="164">
        <f t="shared" si="163"/>
        <v>-8746.8218155873801</v>
      </c>
      <c r="AS498" s="164">
        <f t="shared" si="164"/>
        <v>4501.9138755980866</v>
      </c>
      <c r="AT498" s="164">
        <f t="shared" si="155"/>
        <v>4501.9138755980866</v>
      </c>
      <c r="AU498" s="152"/>
      <c r="AV498" s="147">
        <f>'Deterministic Reserve'!BC498</f>
        <v>1.8821932558698701E-3</v>
      </c>
      <c r="AW498" s="164">
        <f t="shared" si="156"/>
        <v>4501.9138755980866</v>
      </c>
      <c r="AX498" s="164">
        <f t="shared" si="157"/>
        <v>8.4734719351577077</v>
      </c>
      <c r="AY498" s="152"/>
    </row>
    <row r="499" spans="1:51" s="150" customFormat="1" x14ac:dyDescent="0.25">
      <c r="A499" s="150">
        <f t="shared" si="165"/>
        <v>495</v>
      </c>
      <c r="B499" s="150">
        <f t="shared" si="166"/>
        <v>42</v>
      </c>
      <c r="C499" s="150">
        <f t="shared" si="167"/>
        <v>3</v>
      </c>
      <c r="D499" s="150">
        <f>IF(E499="","",Input!$C$4+B499-1)</f>
        <v>86</v>
      </c>
      <c r="E499" s="150">
        <f>IF(OR(AND(C498=12,D498=Input!$C$6),E498=""),"",1)</f>
        <v>1</v>
      </c>
      <c r="F499" s="150">
        <f>IF(E499="","",Input!$C$8+B499-1)</f>
        <v>2059</v>
      </c>
      <c r="G499" s="151">
        <f>IF(E499="","",MAX(0,Input!$C$9-B499))</f>
        <v>0</v>
      </c>
      <c r="H499" s="152">
        <f>IF(E499="","",Input!$C$3)</f>
        <v>100000</v>
      </c>
      <c r="I499" s="153">
        <f>IF(E499="","",HLOOKUP($B499,Input!$C$13:$BT$14,2))</f>
        <v>230.52050000000003</v>
      </c>
      <c r="J499" s="154"/>
      <c r="K499" s="155">
        <f>IF($E499="","",Input!$C$57)</f>
        <v>4.4999999999999998E-2</v>
      </c>
      <c r="L499" s="155">
        <f t="shared" si="158"/>
        <v>3.6748094004368514E-3</v>
      </c>
      <c r="M499" s="147">
        <f>IF($E499="","",VLOOKUP(IF($B499&lt;=Input!$C$7,$B499,26),'Mortality Tables'!$A$72:$CA$97,IF($B499&lt;=Input!$C$7+1,Input!$C$4-16,$D499-Input!$C$7-16),0)/1000)</f>
        <v>9.4090000000000007E-2</v>
      </c>
      <c r="N499" s="147">
        <f t="shared" si="147"/>
        <v>8.2007981091212212E-3</v>
      </c>
      <c r="O499" s="157">
        <f>IF($E499="","",IF($C499=12,IF($B499&lt;Input!$C$9,Input!$C$54,IF($B499=Input!$C$9,Input!$C$55,Input!$C$56)),0%))</f>
        <v>0</v>
      </c>
      <c r="P499" s="167">
        <f>IF($E499="","",IF($B499=1,Input!$C$59,IF($B499&lt;6,Input!$C$60,0%)))</f>
        <v>0</v>
      </c>
      <c r="Q499" s="162">
        <f>IF($E499="","",Input!$C$58)</f>
        <v>2.5</v>
      </c>
      <c r="R499" s="156">
        <f t="shared" si="159"/>
        <v>0.99179920189087878</v>
      </c>
      <c r="S499" s="154">
        <f t="shared" si="148"/>
        <v>3.1663265147224818E-3</v>
      </c>
      <c r="T499" s="152"/>
      <c r="U499" s="150">
        <f t="shared" si="160"/>
        <v>0</v>
      </c>
      <c r="V499" s="150">
        <f t="shared" si="161"/>
        <v>0</v>
      </c>
      <c r="W499" s="168">
        <f t="shared" si="162"/>
        <v>0</v>
      </c>
      <c r="X499" s="163">
        <f t="shared" si="149"/>
        <v>820.07981091212207</v>
      </c>
      <c r="Y499" s="152"/>
      <c r="Z499" s="164">
        <f>IF(AND($C498=12,$D498=Input!$C$6),0,IF($E499="","",V499+Z500/(1+L499)*R499))</f>
        <v>108157.76684146584</v>
      </c>
      <c r="AA499" s="164">
        <f>IF(OR($M499=1,AND($C498=12,$D498=Input!$C$6)),0,IF($E499="","",W499+(X499+AA500*$R499)/(1+$L499)))</f>
        <v>50890.412315374037</v>
      </c>
      <c r="AB499" s="160">
        <f t="shared" si="150"/>
        <v>0.825720328500681</v>
      </c>
      <c r="AC499" s="164">
        <f t="shared" si="151"/>
        <v>0</v>
      </c>
      <c r="AD499" s="164">
        <f>IF(AND($C498=12,$D498=Input!$C$6),0,IF($E499="","",$AC499+AD500/(1+$L499)*$R499))</f>
        <v>89308.066766235221</v>
      </c>
      <c r="AE499" s="152"/>
      <c r="AF499" s="164">
        <f>IF(AND($C498=12,$D498=Input!$C$6),0,IF($E499="","",IF($B499&gt;Input!$C$9,$AC499,0)+AF500/(1+$L499)*$R499))</f>
        <v>89308.066766235221</v>
      </c>
      <c r="AG499" s="164">
        <f>IF(AND($C498=12,$D498=Input!$C$6),0,IF($E499="","",(IF($B499&gt;Input!$C$9,$X499,0)+AG500)/(1+$L499)*$R499))</f>
        <v>49796.144261813351</v>
      </c>
      <c r="AH499" s="160">
        <f t="shared" si="152"/>
        <v>2.0950137211446997</v>
      </c>
      <c r="AI499" s="160">
        <f>IF($E499="","",MIN(Input!$C$61/AH499,1))</f>
        <v>0.64438718771845094</v>
      </c>
      <c r="AJ499" s="152"/>
      <c r="AK499" s="164">
        <f>IF(AND($C498=12,$D498=Input!$C$6),0,IF($E499="","",IF($B499&gt;Input!$C$9,$AC499*AI499,0)+AK500/(1+$L499)*$R499))</f>
        <v>57548.97398406596</v>
      </c>
      <c r="AL499" s="164">
        <f>IF(AND($C498=12,$D498=Input!$C$6),0,IF($E499="","",IF($B499&gt;Input!$C$9,0,$AC499)+AL500/(1+$L499)*$R499))</f>
        <v>0</v>
      </c>
      <c r="AM499" s="160">
        <f t="shared" si="153"/>
        <v>1.1382936520186004</v>
      </c>
      <c r="AN499" s="164">
        <f>IF($E499="","",IF($B499&gt;Input!$C$9,$AI499*$AC499,$AM499*$AC499))</f>
        <v>0</v>
      </c>
      <c r="AO499" s="164">
        <f>IF(AND($C498=12,$D498=Input!$C$6),0,IF($E499="","",$AN499+AO500/(1+$L499)*$R499))</f>
        <v>57548.97398406596</v>
      </c>
      <c r="AP499" s="152"/>
      <c r="AQ499" s="164">
        <f t="shared" si="154"/>
        <v>-6658.5616686919238</v>
      </c>
      <c r="AR499" s="164">
        <f t="shared" si="163"/>
        <v>-8746.8218155873801</v>
      </c>
      <c r="AS499" s="164">
        <f t="shared" si="164"/>
        <v>4501.9138755980866</v>
      </c>
      <c r="AT499" s="164">
        <f t="shared" si="155"/>
        <v>4501.9138755980866</v>
      </c>
      <c r="AU499" s="152"/>
      <c r="AV499" s="147">
        <f>'Deterministic Reserve'!BC499</f>
        <v>1.8452592173082212E-3</v>
      </c>
      <c r="AW499" s="164">
        <f t="shared" si="156"/>
        <v>4501.9138755980866</v>
      </c>
      <c r="AX499" s="164">
        <f t="shared" si="157"/>
        <v>8.3071980744751457</v>
      </c>
      <c r="AY499" s="152"/>
    </row>
    <row r="500" spans="1:51" s="150" customFormat="1" x14ac:dyDescent="0.25">
      <c r="A500" s="150">
        <f t="shared" si="165"/>
        <v>496</v>
      </c>
      <c r="B500" s="150">
        <f t="shared" si="166"/>
        <v>42</v>
      </c>
      <c r="C500" s="150">
        <f t="shared" si="167"/>
        <v>4</v>
      </c>
      <c r="D500" s="150">
        <f>IF(E500="","",Input!$C$4+B500-1)</f>
        <v>86</v>
      </c>
      <c r="E500" s="150">
        <f>IF(OR(AND(C499=12,D499=Input!$C$6),E499=""),"",1)</f>
        <v>1</v>
      </c>
      <c r="F500" s="150">
        <f>IF(E500="","",Input!$C$8+B500-1)</f>
        <v>2059</v>
      </c>
      <c r="G500" s="151">
        <f>IF(E500="","",MAX(0,Input!$C$9-B500))</f>
        <v>0</v>
      </c>
      <c r="H500" s="152">
        <f>IF(E500="","",Input!$C$3)</f>
        <v>100000</v>
      </c>
      <c r="I500" s="153">
        <f>IF(E500="","",HLOOKUP($B500,Input!$C$13:$BT$14,2))</f>
        <v>230.52050000000003</v>
      </c>
      <c r="J500" s="154"/>
      <c r="K500" s="155">
        <f>IF($E500="","",Input!$C$57)</f>
        <v>4.4999999999999998E-2</v>
      </c>
      <c r="L500" s="155">
        <f t="shared" si="158"/>
        <v>3.6748094004368514E-3</v>
      </c>
      <c r="M500" s="147">
        <f>IF($E500="","",VLOOKUP(IF($B500&lt;=Input!$C$7,$B500,26),'Mortality Tables'!$A$72:$CA$97,IF($B500&lt;=Input!$C$7+1,Input!$C$4-16,$D500-Input!$C$7-16),0)/1000)</f>
        <v>9.4090000000000007E-2</v>
      </c>
      <c r="N500" s="147">
        <f t="shared" si="147"/>
        <v>8.2007981091212212E-3</v>
      </c>
      <c r="O500" s="157">
        <f>IF($E500="","",IF($C500=12,IF($B500&lt;Input!$C$9,Input!$C$54,IF($B500=Input!$C$9,Input!$C$55,Input!$C$56)),0%))</f>
        <v>0</v>
      </c>
      <c r="P500" s="167">
        <f>IF($E500="","",IF($B500=1,Input!$C$59,IF($B500&lt;6,Input!$C$60,0%)))</f>
        <v>0</v>
      </c>
      <c r="Q500" s="162">
        <f>IF($E500="","",Input!$C$58)</f>
        <v>2.5</v>
      </c>
      <c r="R500" s="156">
        <f t="shared" si="159"/>
        <v>0.99179920189087878</v>
      </c>
      <c r="S500" s="154">
        <f t="shared" si="148"/>
        <v>3.1403601102276851E-3</v>
      </c>
      <c r="T500" s="152"/>
      <c r="U500" s="150">
        <f t="shared" si="160"/>
        <v>0</v>
      </c>
      <c r="V500" s="150">
        <f t="shared" si="161"/>
        <v>0</v>
      </c>
      <c r="W500" s="168">
        <f t="shared" si="162"/>
        <v>0</v>
      </c>
      <c r="X500" s="163">
        <f t="shared" si="149"/>
        <v>820.07981091212207</v>
      </c>
      <c r="Y500" s="152"/>
      <c r="Z500" s="164">
        <f>IF(AND($C499=12,$D499=Input!$C$6),0,IF($E500="","",V500+Z501/(1+L500)*R500))</f>
        <v>109452.82655281744</v>
      </c>
      <c r="AA500" s="164">
        <f>IF(OR($M500=1,AND($C499=12,$D499=Input!$C$6)),0,IF($E500="","",W500+(X500+AA501*$R500)/(1+$L500)))</f>
        <v>50672.903319758916</v>
      </c>
      <c r="AB500" s="160">
        <f t="shared" si="150"/>
        <v>0.825720328500681</v>
      </c>
      <c r="AC500" s="164">
        <f t="shared" si="151"/>
        <v>0</v>
      </c>
      <c r="AD500" s="164">
        <f>IF(AND($C499=12,$D499=Input!$C$6),0,IF($E500="","",$AC500+AD501/(1+$L500)*$R500))</f>
        <v>90377.423896520457</v>
      </c>
      <c r="AE500" s="152"/>
      <c r="AF500" s="164">
        <f>IF(AND($C499=12,$D499=Input!$C$6),0,IF($E500="","",IF($B500&gt;Input!$C$9,$AC500,0)+AF501/(1+$L500)*$R500))</f>
        <v>90377.423896520457</v>
      </c>
      <c r="AG500" s="164">
        <f>IF(AND($C499=12,$D499=Input!$C$6),0,IF($E500="","",(IF($B500&gt;Input!$C$9,$X500,0)+AG501)/(1+$L500)*$R500))</f>
        <v>49572.313634823935</v>
      </c>
      <c r="AH500" s="160">
        <f t="shared" si="152"/>
        <v>2.0950137211446997</v>
      </c>
      <c r="AI500" s="160">
        <f>IF($E500="","",MIN(Input!$C$61/AH500,1))</f>
        <v>0.64438718771845094</v>
      </c>
      <c r="AJ500" s="152"/>
      <c r="AK500" s="164">
        <f>IF(AND($C499=12,$D499=Input!$C$6),0,IF($E500="","",IF($B500&gt;Input!$C$9,$AC500*AI500,0)+AK501/(1+$L500)*$R500))</f>
        <v>58238.054017917137</v>
      </c>
      <c r="AL500" s="164">
        <f>IF(AND($C499=12,$D499=Input!$C$6),0,IF($E500="","",IF($B500&gt;Input!$C$9,0,$AC500)+AL501/(1+$L500)*$R500))</f>
        <v>0</v>
      </c>
      <c r="AM500" s="160">
        <f t="shared" si="153"/>
        <v>1.1382936520186004</v>
      </c>
      <c r="AN500" s="164">
        <f>IF($E500="","",IF($B500&gt;Input!$C$9,$AI500*$AC500,$AM500*$AC500))</f>
        <v>0</v>
      </c>
      <c r="AO500" s="164">
        <f>IF(AND($C499=12,$D499=Input!$C$6),0,IF($E500="","",$AN500+AO501/(1+$L500)*$R500))</f>
        <v>58238.054017917137</v>
      </c>
      <c r="AP500" s="152"/>
      <c r="AQ500" s="164">
        <f t="shared" si="154"/>
        <v>-7565.1506981582206</v>
      </c>
      <c r="AR500" s="164">
        <f t="shared" si="163"/>
        <v>-8746.8218155873801</v>
      </c>
      <c r="AS500" s="164">
        <f t="shared" si="164"/>
        <v>4501.9138755980866</v>
      </c>
      <c r="AT500" s="164">
        <f t="shared" si="155"/>
        <v>4501.9138755980866</v>
      </c>
      <c r="AU500" s="152"/>
      <c r="AV500" s="147">
        <f>'Deterministic Reserve'!BC500</f>
        <v>1.8090499306816987E-3</v>
      </c>
      <c r="AW500" s="164">
        <f t="shared" si="156"/>
        <v>4501.9138755980866</v>
      </c>
      <c r="AX500" s="164">
        <f t="shared" si="157"/>
        <v>8.144186984585696</v>
      </c>
      <c r="AY500" s="152"/>
    </row>
    <row r="501" spans="1:51" s="150" customFormat="1" x14ac:dyDescent="0.25">
      <c r="A501" s="150">
        <f t="shared" si="165"/>
        <v>497</v>
      </c>
      <c r="B501" s="150">
        <f t="shared" si="166"/>
        <v>42</v>
      </c>
      <c r="C501" s="150">
        <f t="shared" si="167"/>
        <v>5</v>
      </c>
      <c r="D501" s="150">
        <f>IF(E501="","",Input!$C$4+B501-1)</f>
        <v>86</v>
      </c>
      <c r="E501" s="150">
        <f>IF(OR(AND(C500=12,D500=Input!$C$6),E500=""),"",1)</f>
        <v>1</v>
      </c>
      <c r="F501" s="150">
        <f>IF(E501="","",Input!$C$8+B501-1)</f>
        <v>2059</v>
      </c>
      <c r="G501" s="151">
        <f>IF(E501="","",MAX(0,Input!$C$9-B501))</f>
        <v>0</v>
      </c>
      <c r="H501" s="152">
        <f>IF(E501="","",Input!$C$3)</f>
        <v>100000</v>
      </c>
      <c r="I501" s="153">
        <f>IF(E501="","",HLOOKUP($B501,Input!$C$13:$BT$14,2))</f>
        <v>230.52050000000003</v>
      </c>
      <c r="J501" s="154"/>
      <c r="K501" s="155">
        <f>IF($E501="","",Input!$C$57)</f>
        <v>4.4999999999999998E-2</v>
      </c>
      <c r="L501" s="155">
        <f t="shared" si="158"/>
        <v>3.6748094004368514E-3</v>
      </c>
      <c r="M501" s="147">
        <f>IF($E501="","",VLOOKUP(IF($B501&lt;=Input!$C$7,$B501,26),'Mortality Tables'!$A$72:$CA$97,IF($B501&lt;=Input!$C$7+1,Input!$C$4-16,$D501-Input!$C$7-16),0)/1000)</f>
        <v>9.4090000000000007E-2</v>
      </c>
      <c r="N501" s="147">
        <f t="shared" si="147"/>
        <v>8.2007981091212212E-3</v>
      </c>
      <c r="O501" s="157">
        <f>IF($E501="","",IF($C501=12,IF($B501&lt;Input!$C$9,Input!$C$54,IF($B501=Input!$C$9,Input!$C$55,Input!$C$56)),0%))</f>
        <v>0</v>
      </c>
      <c r="P501" s="167">
        <f>IF($E501="","",IF($B501=1,Input!$C$59,IF($B501&lt;6,Input!$C$60,0%)))</f>
        <v>0</v>
      </c>
      <c r="Q501" s="162">
        <f>IF($E501="","",Input!$C$58)</f>
        <v>2.5</v>
      </c>
      <c r="R501" s="156">
        <f t="shared" si="159"/>
        <v>0.99179920189087878</v>
      </c>
      <c r="S501" s="154">
        <f t="shared" si="148"/>
        <v>3.1146066509737703E-3</v>
      </c>
      <c r="T501" s="152"/>
      <c r="U501" s="150">
        <f t="shared" si="160"/>
        <v>0</v>
      </c>
      <c r="V501" s="150">
        <f t="shared" si="161"/>
        <v>0</v>
      </c>
      <c r="W501" s="168">
        <f t="shared" si="162"/>
        <v>0</v>
      </c>
      <c r="X501" s="163">
        <f t="shared" si="149"/>
        <v>820.07981091212207</v>
      </c>
      <c r="Y501" s="152"/>
      <c r="Z501" s="164">
        <f>IF(AND($C500=12,$D500=Input!$C$6),0,IF($E501="","",V501+Z502/(1+L501)*R501))</f>
        <v>110763.3930530474</v>
      </c>
      <c r="AA501" s="164">
        <f>IF(OR($M501=1,AND($C500=12,$D500=Input!$C$6)),0,IF($E501="","",W501+(X501+AA502*$R501)/(1+$L501)))</f>
        <v>50452.789914443936</v>
      </c>
      <c r="AB501" s="160">
        <f t="shared" si="150"/>
        <v>0.825720328500681</v>
      </c>
      <c r="AC501" s="164">
        <f t="shared" si="151"/>
        <v>0</v>
      </c>
      <c r="AD501" s="164">
        <f>IF(AND($C500=12,$D500=Input!$C$6),0,IF($E501="","",$AC501+AD502/(1+$L501)*$R501))</f>
        <v>91459.585297612328</v>
      </c>
      <c r="AE501" s="152"/>
      <c r="AF501" s="164">
        <f>IF(AND($C500=12,$D500=Input!$C$6),0,IF($E501="","",IF($B501&gt;Input!$C$9,$AC501,0)+AF502/(1+$L501)*$R501))</f>
        <v>91459.585297612328</v>
      </c>
      <c r="AG501" s="164">
        <f>IF(AND($C500=12,$D500=Input!$C$6),0,IF($E501="","",(IF($B501&gt;Input!$C$9,$X501,0)+AG502)/(1+$L501)*$R501))</f>
        <v>49345.802904170712</v>
      </c>
      <c r="AH501" s="160">
        <f t="shared" si="152"/>
        <v>2.0950137211446997</v>
      </c>
      <c r="AI501" s="160">
        <f>IF($E501="","",MIN(Input!$C$61/AH501,1))</f>
        <v>0.64438718771845094</v>
      </c>
      <c r="AJ501" s="152"/>
      <c r="AK501" s="164">
        <f>IF(AND($C500=12,$D500=Input!$C$6),0,IF($E501="","",IF($B501&gt;Input!$C$9,$AC501*AI501,0)+AK502/(1+$L501)*$R501))</f>
        <v>58935.384959824187</v>
      </c>
      <c r="AL501" s="164">
        <f>IF(AND($C500=12,$D500=Input!$C$6),0,IF($E501="","",IF($B501&gt;Input!$C$9,0,$AC501)+AL502/(1+$L501)*$R501))</f>
        <v>0</v>
      </c>
      <c r="AM501" s="160">
        <f t="shared" si="153"/>
        <v>1.1382936520186004</v>
      </c>
      <c r="AN501" s="164">
        <f>IF($E501="","",IF($B501&gt;Input!$C$9,$AI501*$AC501,$AM501*$AC501))</f>
        <v>0</v>
      </c>
      <c r="AO501" s="164">
        <f>IF(AND($C500=12,$D500=Input!$C$6),0,IF($E501="","",$AN501+AO502/(1+$L501)*$R501))</f>
        <v>58935.384959824187</v>
      </c>
      <c r="AP501" s="152"/>
      <c r="AQ501" s="164">
        <f t="shared" si="154"/>
        <v>-8482.5950453802507</v>
      </c>
      <c r="AR501" s="164">
        <f t="shared" si="163"/>
        <v>-8746.8218155873801</v>
      </c>
      <c r="AS501" s="164">
        <f t="shared" si="164"/>
        <v>4501.9138755980866</v>
      </c>
      <c r="AT501" s="164">
        <f t="shared" si="155"/>
        <v>4501.9138755980866</v>
      </c>
      <c r="AU501" s="152"/>
      <c r="AV501" s="147">
        <f>'Deterministic Reserve'!BC501</f>
        <v>1.7735511742753771E-3</v>
      </c>
      <c r="AW501" s="164">
        <f t="shared" si="156"/>
        <v>4501.9138755980866</v>
      </c>
      <c r="AX501" s="164">
        <f t="shared" si="157"/>
        <v>7.9843746405536002</v>
      </c>
      <c r="AY501" s="152"/>
    </row>
    <row r="502" spans="1:51" s="150" customFormat="1" x14ac:dyDescent="0.25">
      <c r="A502" s="150">
        <f t="shared" si="165"/>
        <v>498</v>
      </c>
      <c r="B502" s="150">
        <f t="shared" si="166"/>
        <v>42</v>
      </c>
      <c r="C502" s="150">
        <f t="shared" si="167"/>
        <v>6</v>
      </c>
      <c r="D502" s="150">
        <f>IF(E502="","",Input!$C$4+B502-1)</f>
        <v>86</v>
      </c>
      <c r="E502" s="150">
        <f>IF(OR(AND(C501=12,D501=Input!$C$6),E501=""),"",1)</f>
        <v>1</v>
      </c>
      <c r="F502" s="150">
        <f>IF(E502="","",Input!$C$8+B502-1)</f>
        <v>2059</v>
      </c>
      <c r="G502" s="151">
        <f>IF(E502="","",MAX(0,Input!$C$9-B502))</f>
        <v>0</v>
      </c>
      <c r="H502" s="152">
        <f>IF(E502="","",Input!$C$3)</f>
        <v>100000</v>
      </c>
      <c r="I502" s="153">
        <f>IF(E502="","",HLOOKUP($B502,Input!$C$13:$BT$14,2))</f>
        <v>230.52050000000003</v>
      </c>
      <c r="J502" s="154"/>
      <c r="K502" s="155">
        <f>IF($E502="","",Input!$C$57)</f>
        <v>4.4999999999999998E-2</v>
      </c>
      <c r="L502" s="155">
        <f t="shared" si="158"/>
        <v>3.6748094004368514E-3</v>
      </c>
      <c r="M502" s="147">
        <f>IF($E502="","",VLOOKUP(IF($B502&lt;=Input!$C$7,$B502,26),'Mortality Tables'!$A$72:$CA$97,IF($B502&lt;=Input!$C$7+1,Input!$C$4-16,$D502-Input!$C$7-16),0)/1000)</f>
        <v>9.4090000000000007E-2</v>
      </c>
      <c r="N502" s="147">
        <f t="shared" si="147"/>
        <v>8.2007981091212212E-3</v>
      </c>
      <c r="O502" s="157">
        <f>IF($E502="","",IF($C502=12,IF($B502&lt;Input!$C$9,Input!$C$54,IF($B502=Input!$C$9,Input!$C$55,Input!$C$56)),0%))</f>
        <v>0</v>
      </c>
      <c r="P502" s="167">
        <f>IF($E502="","",IF($B502=1,Input!$C$59,IF($B502&lt;6,Input!$C$60,0%)))</f>
        <v>0</v>
      </c>
      <c r="Q502" s="162">
        <f>IF($E502="","",Input!$C$58)</f>
        <v>2.5</v>
      </c>
      <c r="R502" s="156">
        <f t="shared" si="159"/>
        <v>0.99179920189087878</v>
      </c>
      <c r="S502" s="154">
        <f t="shared" si="148"/>
        <v>3.0890643906398081E-3</v>
      </c>
      <c r="T502" s="152"/>
      <c r="U502" s="150">
        <f t="shared" si="160"/>
        <v>0</v>
      </c>
      <c r="V502" s="150">
        <f t="shared" si="161"/>
        <v>0</v>
      </c>
      <c r="W502" s="168">
        <f t="shared" si="162"/>
        <v>0</v>
      </c>
      <c r="X502" s="163">
        <f t="shared" si="149"/>
        <v>820.07981091212207</v>
      </c>
      <c r="Y502" s="152"/>
      <c r="Z502" s="164">
        <f>IF(AND($C501=12,$D501=Input!$C$6),0,IF($E502="","",V502+Z503/(1+L502)*R502))</f>
        <v>112089.65201737921</v>
      </c>
      <c r="AA502" s="164">
        <f>IF(OR($M502=1,AND($C501=12,$D501=Input!$C$6)),0,IF($E502="","",W502+(X502+AA503*$R502)/(1+$L502)))</f>
        <v>50230.040914742378</v>
      </c>
      <c r="AB502" s="160">
        <f t="shared" si="150"/>
        <v>0.825720328500681</v>
      </c>
      <c r="AC502" s="164">
        <f t="shared" si="151"/>
        <v>0</v>
      </c>
      <c r="AD502" s="164">
        <f>IF(AND($C501=12,$D501=Input!$C$6),0,IF($E502="","",$AC502+AD503/(1+$L502)*$R502))</f>
        <v>92554.704285317363</v>
      </c>
      <c r="AE502" s="152"/>
      <c r="AF502" s="164">
        <f>IF(AND($C501=12,$D501=Input!$C$6),0,IF($E502="","",IF($B502&gt;Input!$C$9,$AC502,0)+AF503/(1+$L502)*$R502))</f>
        <v>92554.704285317363</v>
      </c>
      <c r="AG502" s="164">
        <f>IF(AND($C501=12,$D501=Input!$C$6),0,IF($E502="","",(IF($B502&gt;Input!$C$9,$X502,0)+AG503)/(1+$L502)*$R502))</f>
        <v>49116.579978822418</v>
      </c>
      <c r="AH502" s="160">
        <f t="shared" si="152"/>
        <v>2.0950137211446997</v>
      </c>
      <c r="AI502" s="160">
        <f>IF($E502="","",MIN(Input!$C$61/AH502,1))</f>
        <v>0.64438718771845094</v>
      </c>
      <c r="AJ502" s="152"/>
      <c r="AK502" s="164">
        <f>IF(AND($C501=12,$D501=Input!$C$6),0,IF($E502="","",IF($B502&gt;Input!$C$9,$AC502*AI502,0)+AK503/(1+$L502)*$R502))</f>
        <v>59641.065604528507</v>
      </c>
      <c r="AL502" s="164">
        <f>IF(AND($C501=12,$D501=Input!$C$6),0,IF($E502="","",IF($B502&gt;Input!$C$9,0,$AC502)+AL503/(1+$L502)*$R502))</f>
        <v>0</v>
      </c>
      <c r="AM502" s="160">
        <f t="shared" si="153"/>
        <v>1.1382936520186004</v>
      </c>
      <c r="AN502" s="164">
        <f>IF($E502="","",IF($B502&gt;Input!$C$9,$AI502*$AC502,$AM502*$AC502))</f>
        <v>0</v>
      </c>
      <c r="AO502" s="164">
        <f>IF(AND($C501=12,$D501=Input!$C$6),0,IF($E502="","",$AN502+AO503/(1+$L502)*$R502))</f>
        <v>59641.065604528507</v>
      </c>
      <c r="AP502" s="152"/>
      <c r="AQ502" s="164">
        <f t="shared" si="154"/>
        <v>-9411.0246897861289</v>
      </c>
      <c r="AR502" s="164">
        <f t="shared" si="163"/>
        <v>-8746.8218155873801</v>
      </c>
      <c r="AS502" s="164">
        <f t="shared" si="164"/>
        <v>4501.9138755980866</v>
      </c>
      <c r="AT502" s="164">
        <f t="shared" si="155"/>
        <v>4501.9138755980866</v>
      </c>
      <c r="AU502" s="152"/>
      <c r="AV502" s="147">
        <f>'Deterministic Reserve'!BC502</f>
        <v>1.7387490054452317E-3</v>
      </c>
      <c r="AW502" s="164">
        <f t="shared" si="156"/>
        <v>4501.9138755980866</v>
      </c>
      <c r="AX502" s="164">
        <f t="shared" si="157"/>
        <v>7.8276982737962619</v>
      </c>
      <c r="AY502" s="152"/>
    </row>
    <row r="503" spans="1:51" s="150" customFormat="1" x14ac:dyDescent="0.25">
      <c r="A503" s="150">
        <f t="shared" si="165"/>
        <v>499</v>
      </c>
      <c r="B503" s="150">
        <f t="shared" si="166"/>
        <v>42</v>
      </c>
      <c r="C503" s="150">
        <f t="shared" si="167"/>
        <v>7</v>
      </c>
      <c r="D503" s="150">
        <f>IF(E503="","",Input!$C$4+B503-1)</f>
        <v>86</v>
      </c>
      <c r="E503" s="150">
        <f>IF(OR(AND(C502=12,D502=Input!$C$6),E502=""),"",1)</f>
        <v>1</v>
      </c>
      <c r="F503" s="150">
        <f>IF(E503="","",Input!$C$8+B503-1)</f>
        <v>2059</v>
      </c>
      <c r="G503" s="151">
        <f>IF(E503="","",MAX(0,Input!$C$9-B503))</f>
        <v>0</v>
      </c>
      <c r="H503" s="152">
        <f>IF(E503="","",Input!$C$3)</f>
        <v>100000</v>
      </c>
      <c r="I503" s="153">
        <f>IF(E503="","",HLOOKUP($B503,Input!$C$13:$BT$14,2))</f>
        <v>230.52050000000003</v>
      </c>
      <c r="J503" s="154"/>
      <c r="K503" s="155">
        <f>IF($E503="","",Input!$C$57)</f>
        <v>4.4999999999999998E-2</v>
      </c>
      <c r="L503" s="155">
        <f t="shared" si="158"/>
        <v>3.6748094004368514E-3</v>
      </c>
      <c r="M503" s="147">
        <f>IF($E503="","",VLOOKUP(IF($B503&lt;=Input!$C$7,$B503,26),'Mortality Tables'!$A$72:$CA$97,IF($B503&lt;=Input!$C$7+1,Input!$C$4-16,$D503-Input!$C$7-16),0)/1000)</f>
        <v>9.4090000000000007E-2</v>
      </c>
      <c r="N503" s="147">
        <f t="shared" si="147"/>
        <v>8.2007981091212212E-3</v>
      </c>
      <c r="O503" s="157">
        <f>IF($E503="","",IF($C503=12,IF($B503&lt;Input!$C$9,Input!$C$54,IF($B503=Input!$C$9,Input!$C$55,Input!$C$56)),0%))</f>
        <v>0</v>
      </c>
      <c r="P503" s="167">
        <f>IF($E503="","",IF($B503=1,Input!$C$59,IF($B503&lt;6,Input!$C$60,0%)))</f>
        <v>0</v>
      </c>
      <c r="Q503" s="162">
        <f>IF($E503="","",Input!$C$58)</f>
        <v>2.5</v>
      </c>
      <c r="R503" s="156">
        <f t="shared" si="159"/>
        <v>0.99179920189087878</v>
      </c>
      <c r="S503" s="154">
        <f t="shared" si="148"/>
        <v>3.0637315972260955E-3</v>
      </c>
      <c r="T503" s="152"/>
      <c r="U503" s="150">
        <f t="shared" si="160"/>
        <v>0</v>
      </c>
      <c r="V503" s="150">
        <f t="shared" si="161"/>
        <v>0</v>
      </c>
      <c r="W503" s="168">
        <f t="shared" si="162"/>
        <v>0</v>
      </c>
      <c r="X503" s="163">
        <f t="shared" si="149"/>
        <v>820.07981091212207</v>
      </c>
      <c r="Y503" s="152"/>
      <c r="Z503" s="164">
        <f>IF(AND($C502=12,$D502=Input!$C$6),0,IF($E503="","",V503+Z504/(1+L503)*R503))</f>
        <v>113431.79134427474</v>
      </c>
      <c r="AA503" s="164">
        <f>IF(OR($M503=1,AND($C502=12,$D502=Input!$C$6)),0,IF($E503="","",W503+(X503+AA504*$R503)/(1+$L503)))</f>
        <v>50004.624762568266</v>
      </c>
      <c r="AB503" s="160">
        <f t="shared" si="150"/>
        <v>0.825720328500681</v>
      </c>
      <c r="AC503" s="164">
        <f t="shared" si="151"/>
        <v>0</v>
      </c>
      <c r="AD503" s="164">
        <f>IF(AND($C502=12,$D502=Input!$C$6),0,IF($E503="","",$AC503+AD504/(1+$L503)*$R503))</f>
        <v>93662.936011215221</v>
      </c>
      <c r="AE503" s="152"/>
      <c r="AF503" s="164">
        <f>IF(AND($C502=12,$D502=Input!$C$6),0,IF($E503="","",IF($B503&gt;Input!$C$9,$AC503,0)+AF504/(1+$L503)*$R503))</f>
        <v>93662.936011215221</v>
      </c>
      <c r="AG503" s="164">
        <f>IF(AND($C502=12,$D502=Input!$C$6),0,IF($E503="","",(IF($B503&gt;Input!$C$9,$X503,0)+AG504)/(1+$L503)*$R503))</f>
        <v>48884.612383496133</v>
      </c>
      <c r="AH503" s="160">
        <f t="shared" si="152"/>
        <v>2.0950137211446997</v>
      </c>
      <c r="AI503" s="160">
        <f>IF($E503="","",MIN(Input!$C$61/AH503,1))</f>
        <v>0.64438718771845094</v>
      </c>
      <c r="AJ503" s="152"/>
      <c r="AK503" s="164">
        <f>IF(AND($C502=12,$D502=Input!$C$6),0,IF($E503="","",IF($B503&gt;Input!$C$9,$AC503*AI503,0)+AK504/(1+$L503)*$R503))</f>
        <v>60355.19592972019</v>
      </c>
      <c r="AL503" s="164">
        <f>IF(AND($C502=12,$D502=Input!$C$6),0,IF($E503="","",IF($B503&gt;Input!$C$9,0,$AC503)+AL504/(1+$L503)*$R503))</f>
        <v>0</v>
      </c>
      <c r="AM503" s="160">
        <f t="shared" si="153"/>
        <v>1.1382936520186004</v>
      </c>
      <c r="AN503" s="164">
        <f>IF($E503="","",IF($B503&gt;Input!$C$9,$AI503*$AC503,$AM503*$AC503))</f>
        <v>0</v>
      </c>
      <c r="AO503" s="164">
        <f>IF(AND($C502=12,$D502=Input!$C$6),0,IF($E503="","",$AN503+AO504/(1+$L503)*$R503))</f>
        <v>60355.19592972019</v>
      </c>
      <c r="AP503" s="152"/>
      <c r="AQ503" s="164">
        <f t="shared" si="154"/>
        <v>-10350.571167151924</v>
      </c>
      <c r="AR503" s="164">
        <f t="shared" si="163"/>
        <v>-8746.8218155873801</v>
      </c>
      <c r="AS503" s="164">
        <f t="shared" si="164"/>
        <v>4501.9138755980866</v>
      </c>
      <c r="AT503" s="164">
        <f t="shared" si="155"/>
        <v>4501.9138755980866</v>
      </c>
      <c r="AU503" s="152"/>
      <c r="AV503" s="147">
        <f>'Deterministic Reserve'!BC503</f>
        <v>1.7046297551419659E-3</v>
      </c>
      <c r="AW503" s="164">
        <f t="shared" si="156"/>
        <v>4501.9138755980866</v>
      </c>
      <c r="AX503" s="164">
        <f t="shared" si="157"/>
        <v>7.6740963474309849</v>
      </c>
      <c r="AY503" s="152"/>
    </row>
    <row r="504" spans="1:51" s="150" customFormat="1" x14ac:dyDescent="0.25">
      <c r="A504" s="150">
        <f t="shared" si="165"/>
        <v>500</v>
      </c>
      <c r="B504" s="150">
        <f t="shared" si="166"/>
        <v>42</v>
      </c>
      <c r="C504" s="150">
        <f t="shared" si="167"/>
        <v>8</v>
      </c>
      <c r="D504" s="150">
        <f>IF(E504="","",Input!$C$4+B504-1)</f>
        <v>86</v>
      </c>
      <c r="E504" s="150">
        <f>IF(OR(AND(C503=12,D503=Input!$C$6),E503=""),"",1)</f>
        <v>1</v>
      </c>
      <c r="F504" s="150">
        <f>IF(E504="","",Input!$C$8+B504-1)</f>
        <v>2059</v>
      </c>
      <c r="G504" s="151">
        <f>IF(E504="","",MAX(0,Input!$C$9-B504))</f>
        <v>0</v>
      </c>
      <c r="H504" s="152">
        <f>IF(E504="","",Input!$C$3)</f>
        <v>100000</v>
      </c>
      <c r="I504" s="153">
        <f>IF(E504="","",HLOOKUP($B504,Input!$C$13:$BT$14,2))</f>
        <v>230.52050000000003</v>
      </c>
      <c r="J504" s="154"/>
      <c r="K504" s="155">
        <f>IF($E504="","",Input!$C$57)</f>
        <v>4.4999999999999998E-2</v>
      </c>
      <c r="L504" s="155">
        <f t="shared" si="158"/>
        <v>3.6748094004368514E-3</v>
      </c>
      <c r="M504" s="147">
        <f>IF($E504="","",VLOOKUP(IF($B504&lt;=Input!$C$7,$B504,26),'Mortality Tables'!$A$72:$CA$97,IF($B504&lt;=Input!$C$7+1,Input!$C$4-16,$D504-Input!$C$7-16),0)/1000)</f>
        <v>9.4090000000000007E-2</v>
      </c>
      <c r="N504" s="147">
        <f t="shared" si="147"/>
        <v>8.2007981091212212E-3</v>
      </c>
      <c r="O504" s="157">
        <f>IF($E504="","",IF($C504=12,IF($B504&lt;Input!$C$9,Input!$C$54,IF($B504=Input!$C$9,Input!$C$55,Input!$C$56)),0%))</f>
        <v>0</v>
      </c>
      <c r="P504" s="167">
        <f>IF($E504="","",IF($B504=1,Input!$C$59,IF($B504&lt;6,Input!$C$60,0%)))</f>
        <v>0</v>
      </c>
      <c r="Q504" s="162">
        <f>IF($E504="","",Input!$C$58)</f>
        <v>2.5</v>
      </c>
      <c r="R504" s="156">
        <f t="shared" si="159"/>
        <v>0.99179920189087878</v>
      </c>
      <c r="S504" s="154">
        <f t="shared" si="148"/>
        <v>3.0386065529367087E-3</v>
      </c>
      <c r="T504" s="152"/>
      <c r="U504" s="150">
        <f t="shared" si="160"/>
        <v>0</v>
      </c>
      <c r="V504" s="150">
        <f t="shared" si="161"/>
        <v>0</v>
      </c>
      <c r="W504" s="168">
        <f t="shared" si="162"/>
        <v>0</v>
      </c>
      <c r="X504" s="163">
        <f t="shared" si="149"/>
        <v>820.07981091212207</v>
      </c>
      <c r="Y504" s="152"/>
      <c r="Z504" s="164">
        <f>IF(AND($C503=12,$D503=Input!$C$6),0,IF($E504="","",V504+Z505/(1+L504)*R504))</f>
        <v>114790.0011820549</v>
      </c>
      <c r="AA504" s="164">
        <f>IF(OR($M504=1,AND($C503=12,$D503=Input!$C$6)),0,IF($E504="","",W504+(X504+AA505*$R504)/(1+$L504)))</f>
        <v>49776.50952196533</v>
      </c>
      <c r="AB504" s="160">
        <f t="shared" si="150"/>
        <v>0.825720328500681</v>
      </c>
      <c r="AC504" s="164">
        <f t="shared" si="151"/>
        <v>0</v>
      </c>
      <c r="AD504" s="164">
        <f>IF(AND($C503=12,$D503=Input!$C$6),0,IF($E504="","",$AC504+AD505/(1+$L504)*$R504))</f>
        <v>94784.437484639901</v>
      </c>
      <c r="AE504" s="152"/>
      <c r="AF504" s="164">
        <f>IF(AND($C503=12,$D503=Input!$C$6),0,IF($E504="","",IF($B504&gt;Input!$C$9,$AC504,0)+AF505/(1+$L504)*$R504))</f>
        <v>94784.437484639901</v>
      </c>
      <c r="AG504" s="164">
        <f>IF(AND($C503=12,$D503=Input!$C$6),0,IF($E504="","",(IF($B504&gt;Input!$C$9,$X504,0)+AG505)/(1+$L504)*$R504))</f>
        <v>48649.867254056313</v>
      </c>
      <c r="AH504" s="160">
        <f t="shared" si="152"/>
        <v>2.0950137211446997</v>
      </c>
      <c r="AI504" s="160">
        <f>IF($E504="","",MIN(Input!$C$61/AH504,1))</f>
        <v>0.64438718771845094</v>
      </c>
      <c r="AJ504" s="152"/>
      <c r="AK504" s="164">
        <f>IF(AND($C503=12,$D503=Input!$C$6),0,IF($E504="","",IF($B504&gt;Input!$C$9,$AC504*AI504,0)+AK505/(1+$L504)*$R504))</f>
        <v>61077.877110202426</v>
      </c>
      <c r="AL504" s="164">
        <f>IF(AND($C503=12,$D503=Input!$C$6),0,IF($E504="","",IF($B504&gt;Input!$C$9,0,$AC504)+AL505/(1+$L504)*$R504))</f>
        <v>0</v>
      </c>
      <c r="AM504" s="160">
        <f t="shared" si="153"/>
        <v>1.1382936520186004</v>
      </c>
      <c r="AN504" s="164">
        <f>IF($E504="","",IF($B504&gt;Input!$C$9,$AI504*$AC504,$AM504*$AC504))</f>
        <v>0</v>
      </c>
      <c r="AO504" s="164">
        <f>IF(AND($C503=12,$D503=Input!$C$6),0,IF($E504="","",$AN504+AO505/(1+$L504)*$R504))</f>
        <v>61077.877110202426</v>
      </c>
      <c r="AP504" s="152"/>
      <c r="AQ504" s="164">
        <f t="shared" si="154"/>
        <v>-11301.367588237095</v>
      </c>
      <c r="AR504" s="164">
        <f t="shared" si="163"/>
        <v>-8746.8218155873801</v>
      </c>
      <c r="AS504" s="164">
        <f t="shared" si="164"/>
        <v>4501.9138755980866</v>
      </c>
      <c r="AT504" s="164">
        <f t="shared" si="155"/>
        <v>4501.9138755980866</v>
      </c>
      <c r="AU504" s="152"/>
      <c r="AV504" s="147">
        <f>'Deterministic Reserve'!BC504</f>
        <v>1.671180022542297E-3</v>
      </c>
      <c r="AW504" s="164">
        <f t="shared" si="156"/>
        <v>4501.9138755980866</v>
      </c>
      <c r="AX504" s="164">
        <f t="shared" si="157"/>
        <v>7.52350853210549</v>
      </c>
      <c r="AY504" s="152"/>
    </row>
    <row r="505" spans="1:51" s="150" customFormat="1" x14ac:dyDescent="0.25">
      <c r="A505" s="150">
        <f t="shared" si="165"/>
        <v>501</v>
      </c>
      <c r="B505" s="150">
        <f t="shared" si="166"/>
        <v>42</v>
      </c>
      <c r="C505" s="150">
        <f t="shared" si="167"/>
        <v>9</v>
      </c>
      <c r="D505" s="150">
        <f>IF(E505="","",Input!$C$4+B505-1)</f>
        <v>86</v>
      </c>
      <c r="E505" s="150">
        <f>IF(OR(AND(C504=12,D504=Input!$C$6),E504=""),"",1)</f>
        <v>1</v>
      </c>
      <c r="F505" s="150">
        <f>IF(E505="","",Input!$C$8+B505-1)</f>
        <v>2059</v>
      </c>
      <c r="G505" s="151">
        <f>IF(E505="","",MAX(0,Input!$C$9-B505))</f>
        <v>0</v>
      </c>
      <c r="H505" s="152">
        <f>IF(E505="","",Input!$C$3)</f>
        <v>100000</v>
      </c>
      <c r="I505" s="153">
        <f>IF(E505="","",HLOOKUP($B505,Input!$C$13:$BT$14,2))</f>
        <v>230.52050000000003</v>
      </c>
      <c r="J505" s="154"/>
      <c r="K505" s="155">
        <f>IF($E505="","",Input!$C$57)</f>
        <v>4.4999999999999998E-2</v>
      </c>
      <c r="L505" s="155">
        <f t="shared" si="158"/>
        <v>3.6748094004368514E-3</v>
      </c>
      <c r="M505" s="147">
        <f>IF($E505="","",VLOOKUP(IF($B505&lt;=Input!$C$7,$B505,26),'Mortality Tables'!$A$72:$CA$97,IF($B505&lt;=Input!$C$7+1,Input!$C$4-16,$D505-Input!$C$7-16),0)/1000)</f>
        <v>9.4090000000000007E-2</v>
      </c>
      <c r="N505" s="147">
        <f t="shared" si="147"/>
        <v>8.2007981091212212E-3</v>
      </c>
      <c r="O505" s="157">
        <f>IF($E505="","",IF($C505=12,IF($B505&lt;Input!$C$9,Input!$C$54,IF($B505=Input!$C$9,Input!$C$55,Input!$C$56)),0%))</f>
        <v>0</v>
      </c>
      <c r="P505" s="167">
        <f>IF($E505="","",IF($B505=1,Input!$C$59,IF($B505&lt;6,Input!$C$60,0%)))</f>
        <v>0</v>
      </c>
      <c r="Q505" s="162">
        <f>IF($E505="","",Input!$C$58)</f>
        <v>2.5</v>
      </c>
      <c r="R505" s="156">
        <f t="shared" si="159"/>
        <v>0.99179920189087878</v>
      </c>
      <c r="S505" s="154">
        <f t="shared" si="148"/>
        <v>3.0136875540630222E-3</v>
      </c>
      <c r="T505" s="152"/>
      <c r="U505" s="150">
        <f t="shared" si="160"/>
        <v>0</v>
      </c>
      <c r="V505" s="150">
        <f t="shared" si="161"/>
        <v>0</v>
      </c>
      <c r="W505" s="168">
        <f t="shared" si="162"/>
        <v>0</v>
      </c>
      <c r="X505" s="163">
        <f t="shared" si="149"/>
        <v>820.07981091212207</v>
      </c>
      <c r="Y505" s="152"/>
      <c r="Z505" s="164">
        <f>IF(AND($C504=12,$D504=Input!$C$6),0,IF($E505="","",V505+Z506/(1+L505)*R505))</f>
        <v>116164.47395583897</v>
      </c>
      <c r="AA505" s="164">
        <f>IF(OR($M505=1,AND($C504=12,$D504=Input!$C$6)),0,IF($E505="","",W505+(X505+AA506*$R505)/(1+$L505)))</f>
        <v>49545.662874582493</v>
      </c>
      <c r="AB505" s="160">
        <f t="shared" si="150"/>
        <v>0.825720328500681</v>
      </c>
      <c r="AC505" s="164">
        <f t="shared" si="151"/>
        <v>0</v>
      </c>
      <c r="AD505" s="164">
        <f>IF(AND($C504=12,$D504=Input!$C$6),0,IF($E505="","",$AC505+AD506/(1+$L505)*$R505))</f>
        <v>95919.36759492413</v>
      </c>
      <c r="AE505" s="152"/>
      <c r="AF505" s="164">
        <f>IF(AND($C504=12,$D504=Input!$C$6),0,IF($E505="","",IF($B505&gt;Input!$C$9,$AC505,0)+AF506/(1+$L505)*$R505))</f>
        <v>95919.36759492413</v>
      </c>
      <c r="AG505" s="164">
        <f>IF(AND($C504=12,$D504=Input!$C$6),0,IF($E505="","",(IF($B505&gt;Input!$C$9,$X505,0)+AG506)/(1+$L505)*$R505))</f>
        <v>48412.31133285875</v>
      </c>
      <c r="AH505" s="160">
        <f t="shared" si="152"/>
        <v>2.0950137211446997</v>
      </c>
      <c r="AI505" s="160">
        <f>IF($E505="","",MIN(Input!$C$61/AH505,1))</f>
        <v>0.64438718771845094</v>
      </c>
      <c r="AJ505" s="152"/>
      <c r="AK505" s="164">
        <f>IF(AND($C504=12,$D504=Input!$C$6),0,IF($E505="","",IF($B505&gt;Input!$C$9,$AC505*AI505,0)+AK506/(1+$L505)*$R505))</f>
        <v>61809.211532225476</v>
      </c>
      <c r="AL505" s="164">
        <f>IF(AND($C504=12,$D504=Input!$C$6),0,IF($E505="","",IF($B505&gt;Input!$C$9,0,$AC505)+AL506/(1+$L505)*$R505))</f>
        <v>0</v>
      </c>
      <c r="AM505" s="160">
        <f t="shared" si="153"/>
        <v>1.1382936520186004</v>
      </c>
      <c r="AN505" s="164">
        <f>IF($E505="","",IF($B505&gt;Input!$C$9,$AI505*$AC505,$AM505*$AC505))</f>
        <v>0</v>
      </c>
      <c r="AO505" s="164">
        <f>IF(AND($C504=12,$D504=Input!$C$6),0,IF($E505="","",$AN505+AO506/(1+$L505)*$R505))</f>
        <v>61809.211532225476</v>
      </c>
      <c r="AP505" s="152"/>
      <c r="AQ505" s="164">
        <f t="shared" si="154"/>
        <v>-12263.548657642983</v>
      </c>
      <c r="AR505" s="164">
        <f t="shared" si="163"/>
        <v>-8746.8218155873801</v>
      </c>
      <c r="AS505" s="164">
        <f t="shared" si="164"/>
        <v>4501.9138755980866</v>
      </c>
      <c r="AT505" s="164">
        <f t="shared" si="155"/>
        <v>4501.9138755980866</v>
      </c>
      <c r="AU505" s="152"/>
      <c r="AV505" s="147">
        <f>'Deterministic Reserve'!BC505</f>
        <v>1.6383866697855906E-3</v>
      </c>
      <c r="AW505" s="164">
        <f t="shared" si="156"/>
        <v>4501.9138755980866</v>
      </c>
      <c r="AX505" s="164">
        <f t="shared" si="157"/>
        <v>7.3758756823026905</v>
      </c>
      <c r="AY505" s="152"/>
    </row>
    <row r="506" spans="1:51" s="150" customFormat="1" x14ac:dyDescent="0.25">
      <c r="A506" s="150">
        <f t="shared" si="165"/>
        <v>502</v>
      </c>
      <c r="B506" s="150">
        <f t="shared" si="166"/>
        <v>42</v>
      </c>
      <c r="C506" s="150">
        <f t="shared" si="167"/>
        <v>10</v>
      </c>
      <c r="D506" s="150">
        <f>IF(E506="","",Input!$C$4+B506-1)</f>
        <v>86</v>
      </c>
      <c r="E506" s="150">
        <f>IF(OR(AND(C505=12,D505=Input!$C$6),E505=""),"",1)</f>
        <v>1</v>
      </c>
      <c r="F506" s="150">
        <f>IF(E506="","",Input!$C$8+B506-1)</f>
        <v>2059</v>
      </c>
      <c r="G506" s="151">
        <f>IF(E506="","",MAX(0,Input!$C$9-B506))</f>
        <v>0</v>
      </c>
      <c r="H506" s="152">
        <f>IF(E506="","",Input!$C$3)</f>
        <v>100000</v>
      </c>
      <c r="I506" s="153">
        <f>IF(E506="","",HLOOKUP($B506,Input!$C$13:$BT$14,2))</f>
        <v>230.52050000000003</v>
      </c>
      <c r="J506" s="154"/>
      <c r="K506" s="155">
        <f>IF($E506="","",Input!$C$57)</f>
        <v>4.4999999999999998E-2</v>
      </c>
      <c r="L506" s="155">
        <f t="shared" si="158"/>
        <v>3.6748094004368514E-3</v>
      </c>
      <c r="M506" s="147">
        <f>IF($E506="","",VLOOKUP(IF($B506&lt;=Input!$C$7,$B506,26),'Mortality Tables'!$A$72:$CA$97,IF($B506&lt;=Input!$C$7+1,Input!$C$4-16,$D506-Input!$C$7-16),0)/1000)</f>
        <v>9.4090000000000007E-2</v>
      </c>
      <c r="N506" s="147">
        <f t="shared" si="147"/>
        <v>8.2007981091212212E-3</v>
      </c>
      <c r="O506" s="157">
        <f>IF($E506="","",IF($C506=12,IF($B506&lt;Input!$C$9,Input!$C$54,IF($B506=Input!$C$9,Input!$C$55,Input!$C$56)),0%))</f>
        <v>0</v>
      </c>
      <c r="P506" s="167">
        <f>IF($E506="","",IF($B506=1,Input!$C$59,IF($B506&lt;6,Input!$C$60,0%)))</f>
        <v>0</v>
      </c>
      <c r="Q506" s="162">
        <f>IF($E506="","",Input!$C$58)</f>
        <v>2.5</v>
      </c>
      <c r="R506" s="156">
        <f t="shared" si="159"/>
        <v>0.99179920189087878</v>
      </c>
      <c r="S506" s="154">
        <f t="shared" si="148"/>
        <v>2.9889729108681798E-3</v>
      </c>
      <c r="T506" s="152"/>
      <c r="U506" s="150">
        <f t="shared" si="160"/>
        <v>0</v>
      </c>
      <c r="V506" s="150">
        <f t="shared" si="161"/>
        <v>0</v>
      </c>
      <c r="W506" s="168">
        <f t="shared" si="162"/>
        <v>0</v>
      </c>
      <c r="X506" s="163">
        <f t="shared" si="149"/>
        <v>820.07981091212207</v>
      </c>
      <c r="Y506" s="152"/>
      <c r="Z506" s="164">
        <f>IF(AND($C505=12,$D505=Input!$C$6),0,IF($E506="","",V506+Z507/(1+L506)*R506))</f>
        <v>117555.4043948066</v>
      </c>
      <c r="AA506" s="164">
        <f>IF(OR($M506=1,AND($C505=12,$D505=Input!$C$6)),0,IF($E506="","",W506+(X506+AA507*$R506)/(1+$L506)))</f>
        <v>49312.052115095117</v>
      </c>
      <c r="AB506" s="160">
        <f t="shared" si="150"/>
        <v>0.825720328500681</v>
      </c>
      <c r="AC506" s="164">
        <f t="shared" si="151"/>
        <v>0</v>
      </c>
      <c r="AD506" s="164">
        <f>IF(AND($C505=12,$D505=Input!$C$6),0,IF($E506="","",$AC506+AD507/(1+$L506)*$R506))</f>
        <v>97067.887133910073</v>
      </c>
      <c r="AE506" s="152"/>
      <c r="AF506" s="164">
        <f>IF(AND($C505=12,$D505=Input!$C$6),0,IF($E506="","",IF($B506&gt;Input!$C$9,$AC506,0)+AF507/(1+$L506)*$R506))</f>
        <v>97067.887133910073</v>
      </c>
      <c r="AG506" s="164">
        <f>IF(AND($C505=12,$D505=Input!$C$6),0,IF($E506="","",(IF($B506&gt;Input!$C$9,$X506,0)+AG507)/(1+$L506)*$R506))</f>
        <v>48171.910964038791</v>
      </c>
      <c r="AH506" s="160">
        <f t="shared" si="152"/>
        <v>2.0950137211446997</v>
      </c>
      <c r="AI506" s="160">
        <f>IF($E506="","",MIN(Input!$C$61/AH506,1))</f>
        <v>0.64438718771845094</v>
      </c>
      <c r="AJ506" s="152"/>
      <c r="AK506" s="164">
        <f>IF(AND($C505=12,$D505=Input!$C$6),0,IF($E506="","",IF($B506&gt;Input!$C$9,$AC506*AI506,0)+AK507/(1+$L506)*$R506))</f>
        <v>62549.302807992324</v>
      </c>
      <c r="AL506" s="164">
        <f>IF(AND($C505=12,$D505=Input!$C$6),0,IF($E506="","",IF($B506&gt;Input!$C$9,0,$AC506)+AL507/(1+$L506)*$R506))</f>
        <v>0</v>
      </c>
      <c r="AM506" s="160">
        <f t="shared" si="153"/>
        <v>1.1382936520186004</v>
      </c>
      <c r="AN506" s="164">
        <f>IF($E506="","",IF($B506&gt;Input!$C$9,$AI506*$AC506,$AM506*$AC506))</f>
        <v>0</v>
      </c>
      <c r="AO506" s="164">
        <f>IF(AND($C505=12,$D505=Input!$C$6),0,IF($E506="","",$AN506+AO507/(1+$L506)*$R506))</f>
        <v>62549.302807992324</v>
      </c>
      <c r="AP506" s="152"/>
      <c r="AQ506" s="164">
        <f t="shared" si="154"/>
        <v>-13237.250692897207</v>
      </c>
      <c r="AR506" s="164">
        <f t="shared" si="163"/>
        <v>-8746.8218155873801</v>
      </c>
      <c r="AS506" s="164">
        <f t="shared" si="164"/>
        <v>4501.9138755980866</v>
      </c>
      <c r="AT506" s="164">
        <f t="shared" si="155"/>
        <v>4501.9138755980866</v>
      </c>
      <c r="AU506" s="152"/>
      <c r="AV506" s="147">
        <f>'Deterministic Reserve'!BC506</f>
        <v>1.6062368168137785E-3</v>
      </c>
      <c r="AW506" s="164">
        <f t="shared" si="156"/>
        <v>4501.9138755980866</v>
      </c>
      <c r="AX506" s="164">
        <f t="shared" si="157"/>
        <v>7.2311398131104516</v>
      </c>
      <c r="AY506" s="152"/>
    </row>
    <row r="507" spans="1:51" s="150" customFormat="1" x14ac:dyDescent="0.25">
      <c r="A507" s="150">
        <f t="shared" si="165"/>
        <v>503</v>
      </c>
      <c r="B507" s="150">
        <f t="shared" si="166"/>
        <v>42</v>
      </c>
      <c r="C507" s="150">
        <f t="shared" si="167"/>
        <v>11</v>
      </c>
      <c r="D507" s="150">
        <f>IF(E507="","",Input!$C$4+B507-1)</f>
        <v>86</v>
      </c>
      <c r="E507" s="150">
        <f>IF(OR(AND(C506=12,D506=Input!$C$6),E506=""),"",1)</f>
        <v>1</v>
      </c>
      <c r="F507" s="150">
        <f>IF(E507="","",Input!$C$8+B507-1)</f>
        <v>2059</v>
      </c>
      <c r="G507" s="151">
        <f>IF(E507="","",MAX(0,Input!$C$9-B507))</f>
        <v>0</v>
      </c>
      <c r="H507" s="152">
        <f>IF(E507="","",Input!$C$3)</f>
        <v>100000</v>
      </c>
      <c r="I507" s="153">
        <f>IF(E507="","",HLOOKUP($B507,Input!$C$13:$BT$14,2))</f>
        <v>230.52050000000003</v>
      </c>
      <c r="J507" s="154"/>
      <c r="K507" s="155">
        <f>IF($E507="","",Input!$C$57)</f>
        <v>4.4999999999999998E-2</v>
      </c>
      <c r="L507" s="155">
        <f t="shared" si="158"/>
        <v>3.6748094004368514E-3</v>
      </c>
      <c r="M507" s="147">
        <f>IF($E507="","",VLOOKUP(IF($B507&lt;=Input!$C$7,$B507,26),'Mortality Tables'!$A$72:$CA$97,IF($B507&lt;=Input!$C$7+1,Input!$C$4-16,$D507-Input!$C$7-16),0)/1000)</f>
        <v>9.4090000000000007E-2</v>
      </c>
      <c r="N507" s="147">
        <f t="shared" si="147"/>
        <v>8.2007981091212212E-3</v>
      </c>
      <c r="O507" s="157">
        <f>IF($E507="","",IF($C507=12,IF($B507&lt;Input!$C$9,Input!$C$54,IF($B507=Input!$C$9,Input!$C$55,Input!$C$56)),0%))</f>
        <v>0</v>
      </c>
      <c r="P507" s="167">
        <f>IF($E507="","",IF($B507=1,Input!$C$59,IF($B507&lt;6,Input!$C$60,0%)))</f>
        <v>0</v>
      </c>
      <c r="Q507" s="162">
        <f>IF($E507="","",Input!$C$58)</f>
        <v>2.5</v>
      </c>
      <c r="R507" s="156">
        <f t="shared" si="159"/>
        <v>0.99179920189087878</v>
      </c>
      <c r="S507" s="154">
        <f t="shared" si="148"/>
        <v>2.9644609474725175E-3</v>
      </c>
      <c r="T507" s="152"/>
      <c r="U507" s="150">
        <f t="shared" si="160"/>
        <v>0</v>
      </c>
      <c r="V507" s="150">
        <f t="shared" si="161"/>
        <v>0</v>
      </c>
      <c r="W507" s="168">
        <f t="shared" si="162"/>
        <v>0</v>
      </c>
      <c r="X507" s="163">
        <f t="shared" si="149"/>
        <v>820.07981091212207</v>
      </c>
      <c r="Y507" s="152"/>
      <c r="Z507" s="164">
        <f>IF(AND($C506=12,$D506=Input!$C$6),0,IF($E507="","",V507+Z508/(1+L507)*R507))</f>
        <v>118962.98955978609</v>
      </c>
      <c r="AA507" s="164">
        <f>IF(OR($M507=1,AND($C506=12,$D506=Input!$C$6)),0,IF($E507="","",W507+(X507+AA508*$R507)/(1+$L507)))</f>
        <v>49075.644146571482</v>
      </c>
      <c r="AB507" s="160">
        <f t="shared" si="150"/>
        <v>0.825720328500681</v>
      </c>
      <c r="AC507" s="164">
        <f t="shared" si="151"/>
        <v>0</v>
      </c>
      <c r="AD507" s="164">
        <f>IF(AND($C506=12,$D506=Input!$C$6),0,IF($E507="","",$AC507+AD508/(1+$L507)*$R507))</f>
        <v>98230.158818729629</v>
      </c>
      <c r="AE507" s="152"/>
      <c r="AF507" s="164">
        <f>IF(AND($C506=12,$D506=Input!$C$6),0,IF($E507="","",IF($B507&gt;Input!$C$9,$AC507,0)+AF508/(1+$L507)*$R507))</f>
        <v>98230.158818729629</v>
      </c>
      <c r="AG507" s="164">
        <f>IF(AND($C506=12,$D506=Input!$C$6),0,IF($E507="","",(IF($B507&gt;Input!$C$9,$X507,0)+AG508)/(1+$L507)*$R507))</f>
        <v>47928.632088743114</v>
      </c>
      <c r="AH507" s="160">
        <f t="shared" si="152"/>
        <v>2.0950137211446997</v>
      </c>
      <c r="AI507" s="160">
        <f>IF($E507="","",MIN(Input!$C$61/AH507,1))</f>
        <v>0.64438718771845094</v>
      </c>
      <c r="AJ507" s="152"/>
      <c r="AK507" s="164">
        <f>IF(AND($C506=12,$D506=Input!$C$6),0,IF($E507="","",IF($B507&gt;Input!$C$9,$AC507*AI507,0)+AK508/(1+$L507)*$R507))</f>
        <v>63298.255790337986</v>
      </c>
      <c r="AL507" s="164">
        <f>IF(AND($C506=12,$D506=Input!$C$6),0,IF($E507="","",IF($B507&gt;Input!$C$9,0,$AC507)+AL508/(1+$L507)*$R507))</f>
        <v>0</v>
      </c>
      <c r="AM507" s="160">
        <f t="shared" si="153"/>
        <v>1.1382936520186004</v>
      </c>
      <c r="AN507" s="164">
        <f>IF($E507="","",IF($B507&gt;Input!$C$9,$AI507*$AC507,$AM507*$AC507))</f>
        <v>0</v>
      </c>
      <c r="AO507" s="164">
        <f>IF(AND($C506=12,$D506=Input!$C$6),0,IF($E507="","",$AN507+AO508/(1+$L507)*$R507))</f>
        <v>63298.255790337986</v>
      </c>
      <c r="AP507" s="152"/>
      <c r="AQ507" s="164">
        <f t="shared" si="154"/>
        <v>-14222.611643766504</v>
      </c>
      <c r="AR507" s="164">
        <f t="shared" si="163"/>
        <v>-8746.8218155873801</v>
      </c>
      <c r="AS507" s="164">
        <f t="shared" si="164"/>
        <v>4501.9138755980866</v>
      </c>
      <c r="AT507" s="164">
        <f t="shared" si="155"/>
        <v>4501.9138755980866</v>
      </c>
      <c r="AU507" s="152"/>
      <c r="AV507" s="147">
        <f>'Deterministic Reserve'!BC507</f>
        <v>1.574717836312532E-3</v>
      </c>
      <c r="AW507" s="164">
        <f t="shared" si="156"/>
        <v>4501.9138755980866</v>
      </c>
      <c r="AX507" s="164">
        <f t="shared" si="157"/>
        <v>7.0892440774471845</v>
      </c>
      <c r="AY507" s="152"/>
    </row>
    <row r="508" spans="1:51" s="150" customFormat="1" x14ac:dyDescent="0.25">
      <c r="A508" s="150">
        <f t="shared" si="165"/>
        <v>504</v>
      </c>
      <c r="B508" s="150">
        <f t="shared" si="166"/>
        <v>42</v>
      </c>
      <c r="C508" s="150">
        <f t="shared" si="167"/>
        <v>12</v>
      </c>
      <c r="D508" s="150">
        <f>IF(E508="","",Input!$C$4+B508-1)</f>
        <v>86</v>
      </c>
      <c r="E508" s="150">
        <f>IF(OR(AND(C507=12,D507=Input!$C$6),E507=""),"",1)</f>
        <v>1</v>
      </c>
      <c r="F508" s="150">
        <f>IF(E508="","",Input!$C$8+B508-1)</f>
        <v>2059</v>
      </c>
      <c r="G508" s="151">
        <f>IF(E508="","",MAX(0,Input!$C$9-B508))</f>
        <v>0</v>
      </c>
      <c r="H508" s="152">
        <f>IF(E508="","",Input!$C$3)</f>
        <v>100000</v>
      </c>
      <c r="I508" s="153">
        <f>IF(E508="","",HLOOKUP($B508,Input!$C$13:$BT$14,2))</f>
        <v>230.52050000000003</v>
      </c>
      <c r="J508" s="154"/>
      <c r="K508" s="155">
        <f>IF($E508="","",Input!$C$57)</f>
        <v>4.4999999999999998E-2</v>
      </c>
      <c r="L508" s="155">
        <f t="shared" si="158"/>
        <v>3.6748094004368514E-3</v>
      </c>
      <c r="M508" s="147">
        <f>IF($E508="","",VLOOKUP(IF($B508&lt;=Input!$C$7,$B508,26),'Mortality Tables'!$A$72:$CA$97,IF($B508&lt;=Input!$C$7+1,Input!$C$4-16,$D508-Input!$C$7-16),0)/1000)</f>
        <v>9.4090000000000007E-2</v>
      </c>
      <c r="N508" s="147">
        <f t="shared" si="147"/>
        <v>8.2007981091212212E-3</v>
      </c>
      <c r="O508" s="157">
        <f>IF($E508="","",IF($C508=12,IF($B508&lt;Input!$C$9,Input!$C$54,IF($B508=Input!$C$9,Input!$C$55,Input!$C$56)),0%))</f>
        <v>0.1</v>
      </c>
      <c r="P508" s="167">
        <f>IF($E508="","",IF($B508=1,Input!$C$59,IF($B508&lt;6,Input!$C$60,0%)))</f>
        <v>0</v>
      </c>
      <c r="Q508" s="162">
        <f>IF($E508="","",Input!$C$58)</f>
        <v>2.5</v>
      </c>
      <c r="R508" s="156">
        <f t="shared" si="159"/>
        <v>0.8917992018908788</v>
      </c>
      <c r="S508" s="154">
        <f t="shared" si="148"/>
        <v>2.6437039069926696E-3</v>
      </c>
      <c r="T508" s="152"/>
      <c r="U508" s="150">
        <f t="shared" si="160"/>
        <v>0</v>
      </c>
      <c r="V508" s="150">
        <f t="shared" si="161"/>
        <v>0</v>
      </c>
      <c r="W508" s="168">
        <f t="shared" si="162"/>
        <v>0</v>
      </c>
      <c r="X508" s="163">
        <f t="shared" si="149"/>
        <v>820.07981091212207</v>
      </c>
      <c r="Y508" s="152"/>
      <c r="Z508" s="164">
        <f>IF(AND($C507=12,$D507=Input!$C$6),0,IF($E508="","",V508+Z509/(1+L508)*R508))</f>
        <v>120387.42887117315</v>
      </c>
      <c r="AA508" s="164">
        <f>IF(OR($M508=1,AND($C507=12,$D507=Input!$C$6)),0,IF($E508="","",W508+(X508+AA509*$R508)/(1+$L508)))</f>
        <v>48836.405475783751</v>
      </c>
      <c r="AB508" s="160">
        <f t="shared" si="150"/>
        <v>0.825720328500681</v>
      </c>
      <c r="AC508" s="164">
        <f t="shared" si="151"/>
        <v>0</v>
      </c>
      <c r="AD508" s="164">
        <f>IF(AND($C507=12,$D507=Input!$C$6),0,IF($E508="","",$AC508+AD509/(1+$L508)*$R508))</f>
        <v>99406.347314857427</v>
      </c>
      <c r="AE508" s="152"/>
      <c r="AF508" s="164">
        <f>IF(AND($C507=12,$D507=Input!$C$6),0,IF($E508="","",IF($B508&gt;Input!$C$9,$AC508,0)+AF509/(1+$L508)*$R508))</f>
        <v>99406.347314857427</v>
      </c>
      <c r="AG508" s="164">
        <f>IF(AND($C507=12,$D507=Input!$C$6),0,IF($E508="","",(IF($B508&gt;Input!$C$9,$X508,0)+AG509)/(1+$L508)*$R508))</f>
        <v>47682.440240304408</v>
      </c>
      <c r="AH508" s="160">
        <f t="shared" si="152"/>
        <v>2.0950137211446997</v>
      </c>
      <c r="AI508" s="160">
        <f>IF($E508="","",MIN(Input!$C$61/AH508,1))</f>
        <v>0.64438718771845094</v>
      </c>
      <c r="AJ508" s="152"/>
      <c r="AK508" s="164">
        <f>IF(AND($C507=12,$D507=Input!$C$6),0,IF($E508="","",IF($B508&gt;Input!$C$9,$AC508*AI508,0)+AK509/(1+$L508)*$R508))</f>
        <v>64056.176587584574</v>
      </c>
      <c r="AL508" s="164">
        <f>IF(AND($C507=12,$D507=Input!$C$6),0,IF($E508="","",IF($B508&gt;Input!$C$9,0,$AC508)+AL509/(1+$L508)*$R508))</f>
        <v>0</v>
      </c>
      <c r="AM508" s="160">
        <f t="shared" si="153"/>
        <v>1.1382936520186004</v>
      </c>
      <c r="AN508" s="164">
        <f>IF($E508="","",IF($B508&gt;Input!$C$9,$AI508*$AC508,$AM508*$AC508))</f>
        <v>0</v>
      </c>
      <c r="AO508" s="164">
        <f>IF(AND($C507=12,$D507=Input!$C$6),0,IF($E508="","",$AN508+AO509/(1+$L508)*$R508))</f>
        <v>64056.176587584574</v>
      </c>
      <c r="AP508" s="152"/>
      <c r="AQ508" s="164">
        <f t="shared" si="154"/>
        <v>-15219.771111800823</v>
      </c>
      <c r="AR508" s="164">
        <f t="shared" si="163"/>
        <v>-8746.8218155873801</v>
      </c>
      <c r="AS508" s="164">
        <f t="shared" si="164"/>
        <v>4501.9138755980866</v>
      </c>
      <c r="AT508" s="164">
        <f t="shared" si="155"/>
        <v>4501.9138755980866</v>
      </c>
      <c r="AU508" s="152"/>
      <c r="AV508" s="147">
        <f>'Deterministic Reserve'!BC508</f>
        <v>1.3863455651204498E-3</v>
      </c>
      <c r="AW508" s="164">
        <f t="shared" si="156"/>
        <v>4501.9138755980866</v>
      </c>
      <c r="AX508" s="164">
        <f t="shared" si="157"/>
        <v>6.241208335989624</v>
      </c>
      <c r="AY508" s="152"/>
    </row>
    <row r="509" spans="1:51" s="150" customFormat="1" x14ac:dyDescent="0.25">
      <c r="A509" s="150">
        <f t="shared" si="165"/>
        <v>505</v>
      </c>
      <c r="B509" s="150">
        <f t="shared" si="166"/>
        <v>43</v>
      </c>
      <c r="C509" s="150">
        <f t="shared" si="167"/>
        <v>1</v>
      </c>
      <c r="D509" s="150">
        <f>IF(E509="","",Input!$C$4+B509-1)</f>
        <v>87</v>
      </c>
      <c r="E509" s="150">
        <f>IF(OR(AND(C508=12,D508=Input!$C$6),E508=""),"",1)</f>
        <v>1</v>
      </c>
      <c r="F509" s="150">
        <f>IF(E509="","",Input!$C$8+B509-1)</f>
        <v>2060</v>
      </c>
      <c r="G509" s="151">
        <f>IF(E509="","",MAX(0,Input!$C$9-B509))</f>
        <v>0</v>
      </c>
      <c r="H509" s="152">
        <f>IF(E509="","",Input!$C$3)</f>
        <v>100000</v>
      </c>
      <c r="I509" s="153">
        <f>IF(E509="","",HLOOKUP($B509,Input!$C$13:$BT$14,2))</f>
        <v>263.64449999999999</v>
      </c>
      <c r="J509" s="154"/>
      <c r="K509" s="155">
        <f>IF($E509="","",Input!$C$57)</f>
        <v>4.4999999999999998E-2</v>
      </c>
      <c r="L509" s="155">
        <f t="shared" si="158"/>
        <v>3.6748094004368514E-3</v>
      </c>
      <c r="M509" s="147">
        <f>IF($E509="","",VLOOKUP(IF($B509&lt;=Input!$C$7,$B509,26),'Mortality Tables'!$A$72:$CA$97,IF($B509&lt;=Input!$C$7+1,Input!$C$4-16,$D509-Input!$C$7-16),0)/1000)</f>
        <v>0.10761</v>
      </c>
      <c r="N509" s="147">
        <f t="shared" si="147"/>
        <v>9.4428025948147809E-3</v>
      </c>
      <c r="O509" s="157">
        <f>IF($E509="","",IF($C509=12,IF($B509&lt;Input!$C$9,Input!$C$54,IF($B509=Input!$C$9,Input!$C$55,Input!$C$56)),0%))</f>
        <v>0</v>
      </c>
      <c r="P509" s="167">
        <f>IF($E509="","",IF($B509=1,Input!$C$59,IF($B509&lt;6,Input!$C$60,0%)))</f>
        <v>0</v>
      </c>
      <c r="Q509" s="162">
        <f>IF($E509="","",Input!$C$58)</f>
        <v>2.5</v>
      </c>
      <c r="R509" s="156">
        <f t="shared" si="159"/>
        <v>0.99055719740518522</v>
      </c>
      <c r="S509" s="154">
        <f t="shared" si="148"/>
        <v>2.6187399328797974E-3</v>
      </c>
      <c r="T509" s="152"/>
      <c r="U509" s="150">
        <f t="shared" si="160"/>
        <v>26364.45</v>
      </c>
      <c r="V509" s="150">
        <f t="shared" si="161"/>
        <v>26364.45</v>
      </c>
      <c r="W509" s="168">
        <f t="shared" si="162"/>
        <v>0</v>
      </c>
      <c r="X509" s="163">
        <f t="shared" si="149"/>
        <v>944.28025948147808</v>
      </c>
      <c r="Y509" s="152"/>
      <c r="Z509" s="164">
        <f>IF(AND($C508=12,$D508=Input!$C$6),0,IF($E509="","",V509+Z510/(1+L509)*R509))</f>
        <v>135489.95050711895</v>
      </c>
      <c r="AA509" s="164">
        <f>IF(OR($M509=1,AND($C508=12,$D508=Input!$C$6)),0,IF($E509="","",W509+(X509+AA510*$R509)/(1+$L509)))</f>
        <v>54043.320564324582</v>
      </c>
      <c r="AB509" s="160">
        <f t="shared" si="150"/>
        <v>0.825720328500681</v>
      </c>
      <c r="AC509" s="164">
        <f t="shared" si="151"/>
        <v>21769.66231473978</v>
      </c>
      <c r="AD509" s="164">
        <f>IF(AND($C508=12,$D508=Input!$C$6),0,IF($E509="","",$AC509+AD510/(1+$L509)*$R509))</f>
        <v>111876.80644127924</v>
      </c>
      <c r="AE509" s="152"/>
      <c r="AF509" s="164">
        <f>IF(AND($C508=12,$D508=Input!$C$6),0,IF($E509="","",IF($B509&gt;Input!$C$9,$AC509,0)+AF510/(1+$L509)*$R509))</f>
        <v>111876.80644127924</v>
      </c>
      <c r="AG509" s="164">
        <f>IF(AND($C508=12,$D508=Input!$C$6),0,IF($E509="","",(IF($B509&gt;Input!$C$9,$X509,0)+AG510)/(1+$L509)*$R509))</f>
        <v>52844.090350333601</v>
      </c>
      <c r="AH509" s="160">
        <f t="shared" si="152"/>
        <v>2.0950137211446997</v>
      </c>
      <c r="AI509" s="160">
        <f>IF($E509="","",MIN(Input!$C$61/AH509,1))</f>
        <v>0.64438718771845094</v>
      </c>
      <c r="AJ509" s="152"/>
      <c r="AK509" s="164">
        <f>IF(AND($C508=12,$D508=Input!$C$6),0,IF($E509="","",IF($B509&gt;Input!$C$9,$AC509*AI509,0)+AK510/(1+$L509)*$R509))</f>
        <v>72091.980673617421</v>
      </c>
      <c r="AL509" s="164">
        <f>IF(AND($C508=12,$D508=Input!$C$6),0,IF($E509="","",IF($B509&gt;Input!$C$9,0,$AC509)+AL510/(1+$L509)*$R509))</f>
        <v>0</v>
      </c>
      <c r="AM509" s="160">
        <f t="shared" si="153"/>
        <v>1.1382936520186004</v>
      </c>
      <c r="AN509" s="164">
        <f>IF($E509="","",IF($B509&gt;Input!$C$9,$AI509*$AC509,$AM509*$AC509))</f>
        <v>14028.09147657551</v>
      </c>
      <c r="AO509" s="164">
        <f>IF(AND($C508=12,$D508=Input!$C$6),0,IF($E509="","",$AN509+AO510/(1+$L509)*$R509))</f>
        <v>72091.980673617421</v>
      </c>
      <c r="AP509" s="152"/>
      <c r="AQ509" s="164">
        <f t="shared" si="154"/>
        <v>-18048.660109292839</v>
      </c>
      <c r="AR509" s="164">
        <f t="shared" si="163"/>
        <v>-8523.5158254404996</v>
      </c>
      <c r="AS509" s="164">
        <f t="shared" si="164"/>
        <v>5148.8038277511969</v>
      </c>
      <c r="AT509" s="164">
        <f t="shared" si="155"/>
        <v>5148.8038277511969</v>
      </c>
      <c r="AU509" s="152"/>
      <c r="AV509" s="147">
        <f>'Deterministic Reserve'!BC509</f>
        <v>1.3549073270065328E-3</v>
      </c>
      <c r="AW509" s="164">
        <f t="shared" si="156"/>
        <v>5148.8038277511969</v>
      </c>
      <c r="AX509" s="164">
        <f t="shared" si="157"/>
        <v>6.9761520315393781</v>
      </c>
      <c r="AY509" s="152"/>
    </row>
    <row r="510" spans="1:51" s="150" customFormat="1" x14ac:dyDescent="0.25">
      <c r="A510" s="150">
        <f t="shared" si="165"/>
        <v>506</v>
      </c>
      <c r="B510" s="150">
        <f t="shared" si="166"/>
        <v>43</v>
      </c>
      <c r="C510" s="150">
        <f t="shared" si="167"/>
        <v>2</v>
      </c>
      <c r="D510" s="150">
        <f>IF(E510="","",Input!$C$4+B510-1)</f>
        <v>87</v>
      </c>
      <c r="E510" s="150">
        <f>IF(OR(AND(C509=12,D509=Input!$C$6),E509=""),"",1)</f>
        <v>1</v>
      </c>
      <c r="F510" s="150">
        <f>IF(E510="","",Input!$C$8+B510-1)</f>
        <v>2060</v>
      </c>
      <c r="G510" s="151">
        <f>IF(E510="","",MAX(0,Input!$C$9-B510))</f>
        <v>0</v>
      </c>
      <c r="H510" s="152">
        <f>IF(E510="","",Input!$C$3)</f>
        <v>100000</v>
      </c>
      <c r="I510" s="153">
        <f>IF(E510="","",HLOOKUP($B510,Input!$C$13:$BT$14,2))</f>
        <v>263.64449999999999</v>
      </c>
      <c r="J510" s="154"/>
      <c r="K510" s="155">
        <f>IF($E510="","",Input!$C$57)</f>
        <v>4.4999999999999998E-2</v>
      </c>
      <c r="L510" s="155">
        <f t="shared" si="158"/>
        <v>3.6748094004368514E-3</v>
      </c>
      <c r="M510" s="147">
        <f>IF($E510="","",VLOOKUP(IF($B510&lt;=Input!$C$7,$B510,26),'Mortality Tables'!$A$72:$CA$97,IF($B510&lt;=Input!$C$7+1,Input!$C$4-16,$D510-Input!$C$7-16),0)/1000)</f>
        <v>0.10761</v>
      </c>
      <c r="N510" s="147">
        <f t="shared" si="147"/>
        <v>9.4428025948147809E-3</v>
      </c>
      <c r="O510" s="157">
        <f>IF($E510="","",IF($C510=12,IF($B510&lt;Input!$C$9,Input!$C$54,IF($B510=Input!$C$9,Input!$C$55,Input!$C$56)),0%))</f>
        <v>0</v>
      </c>
      <c r="P510" s="167">
        <f>IF($E510="","",IF($B510=1,Input!$C$59,IF($B510&lt;6,Input!$C$60,0%)))</f>
        <v>0</v>
      </c>
      <c r="Q510" s="162">
        <f>IF($E510="","",Input!$C$58)</f>
        <v>2.5</v>
      </c>
      <c r="R510" s="156">
        <f t="shared" si="159"/>
        <v>0.99055719740518522</v>
      </c>
      <c r="S510" s="154">
        <f t="shared" si="148"/>
        <v>2.5940116886464552E-3</v>
      </c>
      <c r="T510" s="152"/>
      <c r="U510" s="150">
        <f t="shared" si="160"/>
        <v>0</v>
      </c>
      <c r="V510" s="150">
        <f t="shared" si="161"/>
        <v>0</v>
      </c>
      <c r="W510" s="168">
        <f t="shared" si="162"/>
        <v>0</v>
      </c>
      <c r="X510" s="163">
        <f t="shared" si="149"/>
        <v>944.28025948147808</v>
      </c>
      <c r="Y510" s="152"/>
      <c r="Z510" s="164">
        <f>IF(AND($C509=12,$D509=Input!$C$6),0,IF($E510="","",V510+Z511/(1+L510)*R510))</f>
        <v>110570.61238777544</v>
      </c>
      <c r="AA510" s="164">
        <f>IF(OR($M510=1,AND($C509=12,$D509=Input!$C$6)),0,IF($E510="","",W510+(X510+AA511*$R510)/(1+$L510)))</f>
        <v>53805.715961581591</v>
      </c>
      <c r="AB510" s="160">
        <f t="shared" si="150"/>
        <v>0.825720328500681</v>
      </c>
      <c r="AC510" s="164">
        <f t="shared" si="151"/>
        <v>0</v>
      </c>
      <c r="AD510" s="164">
        <f>IF(AND($C509=12,$D509=Input!$C$6),0,IF($E510="","",$AC510+AD511/(1+$L510)*$R510))</f>
        <v>91300.40238335538</v>
      </c>
      <c r="AE510" s="152"/>
      <c r="AF510" s="164">
        <f>IF(AND($C509=12,$D509=Input!$C$6),0,IF($E510="","",IF($B510&gt;Input!$C$9,$AC510,0)+AF511/(1+$L510)*$R510))</f>
        <v>91300.40238335538</v>
      </c>
      <c r="AG510" s="164">
        <f>IF(AND($C509=12,$D509=Input!$C$6),0,IF($E510="","",(IF($B510&gt;Input!$C$9,$X510,0)+AG511)/(1+$L510)*$R510))</f>
        <v>52599.606402739548</v>
      </c>
      <c r="AH510" s="160">
        <f t="shared" si="152"/>
        <v>2.0950137211446997</v>
      </c>
      <c r="AI510" s="160">
        <f>IF($E510="","",MIN(Input!$C$61/AH510,1))</f>
        <v>0.64438718771845094</v>
      </c>
      <c r="AJ510" s="152"/>
      <c r="AK510" s="164">
        <f>IF(AND($C509=12,$D509=Input!$C$6),0,IF($E510="","",IF($B510&gt;Input!$C$9,$AC510*AI510,0)+AK511/(1+$L510)*$R510))</f>
        <v>58832.809529373328</v>
      </c>
      <c r="AL510" s="164">
        <f>IF(AND($C509=12,$D509=Input!$C$6),0,IF($E510="","",IF($B510&gt;Input!$C$9,0,$AC510)+AL511/(1+$L510)*$R510))</f>
        <v>0</v>
      </c>
      <c r="AM510" s="160">
        <f t="shared" si="153"/>
        <v>1.1382936520186004</v>
      </c>
      <c r="AN510" s="164">
        <f>IF($E510="","",IF($B510&gt;Input!$C$9,$AI510*$AC510,$AM510*$AC510))</f>
        <v>0</v>
      </c>
      <c r="AO510" s="164">
        <f>IF(AND($C509=12,$D509=Input!$C$6),0,IF($E510="","",$AN510+AO511/(1+$L510)*$R510))</f>
        <v>58832.809529373328</v>
      </c>
      <c r="AP510" s="152"/>
      <c r="AQ510" s="164">
        <f t="shared" si="154"/>
        <v>-5027.0935677917369</v>
      </c>
      <c r="AR510" s="164">
        <f t="shared" si="163"/>
        <v>-8523.5158254404996</v>
      </c>
      <c r="AS510" s="164">
        <f t="shared" si="164"/>
        <v>5148.8038277511969</v>
      </c>
      <c r="AT510" s="164">
        <f t="shared" si="155"/>
        <v>5148.8038277511969</v>
      </c>
      <c r="AU510" s="152"/>
      <c r="AV510" s="147">
        <f>'Deterministic Reserve'!BC510</f>
        <v>1.3241820156264504E-3</v>
      </c>
      <c r="AW510" s="164">
        <f t="shared" si="156"/>
        <v>5148.8038277511969</v>
      </c>
      <c r="AX510" s="164">
        <f t="shared" si="157"/>
        <v>6.8179534306967629</v>
      </c>
      <c r="AY510" s="152"/>
    </row>
    <row r="511" spans="1:51" s="150" customFormat="1" x14ac:dyDescent="0.25">
      <c r="A511" s="150">
        <f t="shared" si="165"/>
        <v>507</v>
      </c>
      <c r="B511" s="150">
        <f t="shared" si="166"/>
        <v>43</v>
      </c>
      <c r="C511" s="150">
        <f t="shared" si="167"/>
        <v>3</v>
      </c>
      <c r="D511" s="150">
        <f>IF(E511="","",Input!$C$4+B511-1)</f>
        <v>87</v>
      </c>
      <c r="E511" s="150">
        <f>IF(OR(AND(C510=12,D510=Input!$C$6),E510=""),"",1)</f>
        <v>1</v>
      </c>
      <c r="F511" s="150">
        <f>IF(E511="","",Input!$C$8+B511-1)</f>
        <v>2060</v>
      </c>
      <c r="G511" s="151">
        <f>IF(E511="","",MAX(0,Input!$C$9-B511))</f>
        <v>0</v>
      </c>
      <c r="H511" s="152">
        <f>IF(E511="","",Input!$C$3)</f>
        <v>100000</v>
      </c>
      <c r="I511" s="153">
        <f>IF(E511="","",HLOOKUP($B511,Input!$C$13:$BT$14,2))</f>
        <v>263.64449999999999</v>
      </c>
      <c r="J511" s="154"/>
      <c r="K511" s="155">
        <f>IF($E511="","",Input!$C$57)</f>
        <v>4.4999999999999998E-2</v>
      </c>
      <c r="L511" s="155">
        <f t="shared" si="158"/>
        <v>3.6748094004368514E-3</v>
      </c>
      <c r="M511" s="147">
        <f>IF($E511="","",VLOOKUP(IF($B511&lt;=Input!$C$7,$B511,26),'Mortality Tables'!$A$72:$CA$97,IF($B511&lt;=Input!$C$7+1,Input!$C$4-16,$D511-Input!$C$7-16),0)/1000)</f>
        <v>0.10761</v>
      </c>
      <c r="N511" s="147">
        <f t="shared" si="147"/>
        <v>9.4428025948147809E-3</v>
      </c>
      <c r="O511" s="157">
        <f>IF($E511="","",IF($C511=12,IF($B511&lt;Input!$C$9,Input!$C$54,IF($B511=Input!$C$9,Input!$C$55,Input!$C$56)),0%))</f>
        <v>0</v>
      </c>
      <c r="P511" s="167">
        <f>IF($E511="","",IF($B511=1,Input!$C$59,IF($B511&lt;6,Input!$C$60,0%)))</f>
        <v>0</v>
      </c>
      <c r="Q511" s="162">
        <f>IF($E511="","",Input!$C$58)</f>
        <v>2.5</v>
      </c>
      <c r="R511" s="156">
        <f t="shared" si="159"/>
        <v>0.99055719740518522</v>
      </c>
      <c r="S511" s="154">
        <f t="shared" si="148"/>
        <v>2.5695169483419245E-3</v>
      </c>
      <c r="T511" s="152"/>
      <c r="U511" s="150">
        <f t="shared" si="160"/>
        <v>0</v>
      </c>
      <c r="V511" s="150">
        <f t="shared" si="161"/>
        <v>0</v>
      </c>
      <c r="W511" s="168">
        <f t="shared" si="162"/>
        <v>0</v>
      </c>
      <c r="X511" s="163">
        <f t="shared" si="149"/>
        <v>944.28025948147808</v>
      </c>
      <c r="Y511" s="152"/>
      <c r="Z511" s="164">
        <f>IF(AND($C510=12,$D510=Input!$C$6),0,IF($E511="","",V511+Z512/(1+L511)*R511))</f>
        <v>112034.86139346604</v>
      </c>
      <c r="AA511" s="164">
        <f>IF(OR($M511=1,AND($C510=12,$D510=Input!$C$6)),0,IF($E511="","",W511+(X511+AA512*$R511)/(1+$L511)))</f>
        <v>53564.964841913345</v>
      </c>
      <c r="AB511" s="160">
        <f t="shared" si="150"/>
        <v>0.825720328500681</v>
      </c>
      <c r="AC511" s="164">
        <f t="shared" si="151"/>
        <v>0</v>
      </c>
      <c r="AD511" s="164">
        <f>IF(AND($C510=12,$D510=Input!$C$6),0,IF($E511="","",$AC511+AD512/(1+$L511)*$R511))</f>
        <v>92509.462553341014</v>
      </c>
      <c r="AE511" s="152"/>
      <c r="AF511" s="164">
        <f>IF(AND($C510=12,$D510=Input!$C$6),0,IF($E511="","",IF($B511&gt;Input!$C$9,$AC511,0)+AF512/(1+$L511)*$R511))</f>
        <v>92509.462553341014</v>
      </c>
      <c r="AG511" s="164">
        <f>IF(AND($C510=12,$D510=Input!$C$6),0,IF($E511="","",(IF($B511&gt;Input!$C$9,$X511,0)+AG512)/(1+$L511)*$R511))</f>
        <v>52351.884837396618</v>
      </c>
      <c r="AH511" s="160">
        <f t="shared" si="152"/>
        <v>2.0950137211446997</v>
      </c>
      <c r="AI511" s="160">
        <f>IF($E511="","",MIN(Input!$C$61/AH511,1))</f>
        <v>0.64438718771845094</v>
      </c>
      <c r="AJ511" s="152"/>
      <c r="AK511" s="164">
        <f>IF(AND($C510=12,$D510=Input!$C$6),0,IF($E511="","",IF($B511&gt;Input!$C$9,$AC511*AI511,0)+AK512/(1+$L511)*$R511))</f>
        <v>59611.912412092759</v>
      </c>
      <c r="AL511" s="164">
        <f>IF(AND($C510=12,$D510=Input!$C$6),0,IF($E511="","",IF($B511&gt;Input!$C$9,0,$AC511)+AL512/(1+$L511)*$R511))</f>
        <v>0</v>
      </c>
      <c r="AM511" s="160">
        <f t="shared" si="153"/>
        <v>1.1382936520186004</v>
      </c>
      <c r="AN511" s="164">
        <f>IF($E511="","",IF($B511&gt;Input!$C$9,$AI511*$AC511,$AM511*$AC511))</f>
        <v>0</v>
      </c>
      <c r="AO511" s="164">
        <f>IF(AND($C510=12,$D510=Input!$C$6),0,IF($E511="","",$AN511+AO512/(1+$L511)*$R511))</f>
        <v>59611.912412092759</v>
      </c>
      <c r="AP511" s="152"/>
      <c r="AQ511" s="164">
        <f t="shared" si="154"/>
        <v>-6046.9475701794145</v>
      </c>
      <c r="AR511" s="164">
        <f t="shared" si="163"/>
        <v>-8523.5158254404996</v>
      </c>
      <c r="AS511" s="164">
        <f t="shared" si="164"/>
        <v>5148.8038277511969</v>
      </c>
      <c r="AT511" s="164">
        <f t="shared" si="155"/>
        <v>5148.8038277511969</v>
      </c>
      <c r="AU511" s="152"/>
      <c r="AV511" s="147">
        <f>'Deterministic Reserve'!BC511</f>
        <v>1.2941534638996565E-3</v>
      </c>
      <c r="AW511" s="164">
        <f t="shared" si="156"/>
        <v>5148.8038277511969</v>
      </c>
      <c r="AX511" s="164">
        <f t="shared" si="157"/>
        <v>6.6633423086240215</v>
      </c>
      <c r="AY511" s="152"/>
    </row>
    <row r="512" spans="1:51" s="150" customFormat="1" x14ac:dyDescent="0.25">
      <c r="A512" s="150">
        <f t="shared" si="165"/>
        <v>508</v>
      </c>
      <c r="B512" s="150">
        <f t="shared" si="166"/>
        <v>43</v>
      </c>
      <c r="C512" s="150">
        <f t="shared" si="167"/>
        <v>4</v>
      </c>
      <c r="D512" s="150">
        <f>IF(E512="","",Input!$C$4+B512-1)</f>
        <v>87</v>
      </c>
      <c r="E512" s="150">
        <f>IF(OR(AND(C511=12,D511=Input!$C$6),E511=""),"",1)</f>
        <v>1</v>
      </c>
      <c r="F512" s="150">
        <f>IF(E512="","",Input!$C$8+B512-1)</f>
        <v>2060</v>
      </c>
      <c r="G512" s="151">
        <f>IF(E512="","",MAX(0,Input!$C$9-B512))</f>
        <v>0</v>
      </c>
      <c r="H512" s="152">
        <f>IF(E512="","",Input!$C$3)</f>
        <v>100000</v>
      </c>
      <c r="I512" s="153">
        <f>IF(E512="","",HLOOKUP($B512,Input!$C$13:$BT$14,2))</f>
        <v>263.64449999999999</v>
      </c>
      <c r="J512" s="154"/>
      <c r="K512" s="155">
        <f>IF($E512="","",Input!$C$57)</f>
        <v>4.4999999999999998E-2</v>
      </c>
      <c r="L512" s="155">
        <f t="shared" si="158"/>
        <v>3.6748094004368514E-3</v>
      </c>
      <c r="M512" s="147">
        <f>IF($E512="","",VLOOKUP(IF($B512&lt;=Input!$C$7,$B512,26),'Mortality Tables'!$A$72:$CA$97,IF($B512&lt;=Input!$C$7+1,Input!$C$4-16,$D512-Input!$C$7-16),0)/1000)</f>
        <v>0.10761</v>
      </c>
      <c r="N512" s="147">
        <f t="shared" si="147"/>
        <v>9.4428025948147809E-3</v>
      </c>
      <c r="O512" s="157">
        <f>IF($E512="","",IF($C512=12,IF($B512&lt;Input!$C$9,Input!$C$54,IF($B512=Input!$C$9,Input!$C$55,Input!$C$56)),0%))</f>
        <v>0</v>
      </c>
      <c r="P512" s="167">
        <f>IF($E512="","",IF($B512=1,Input!$C$59,IF($B512&lt;6,Input!$C$60,0%)))</f>
        <v>0</v>
      </c>
      <c r="Q512" s="162">
        <f>IF($E512="","",Input!$C$58)</f>
        <v>2.5</v>
      </c>
      <c r="R512" s="156">
        <f t="shared" si="159"/>
        <v>0.99055719740518522</v>
      </c>
      <c r="S512" s="154">
        <f t="shared" si="148"/>
        <v>2.545253507034701E-3</v>
      </c>
      <c r="T512" s="152"/>
      <c r="U512" s="150">
        <f t="shared" si="160"/>
        <v>0</v>
      </c>
      <c r="V512" s="150">
        <f t="shared" si="161"/>
        <v>0</v>
      </c>
      <c r="W512" s="168">
        <f t="shared" si="162"/>
        <v>0</v>
      </c>
      <c r="X512" s="163">
        <f t="shared" si="149"/>
        <v>944.28025948147808</v>
      </c>
      <c r="Y512" s="152"/>
      <c r="Z512" s="164">
        <f>IF(AND($C511=12,$D511=Input!$C$6),0,IF($E512="","",V512+Z513/(1+L512)*R512))</f>
        <v>113518.50095062745</v>
      </c>
      <c r="AA512" s="164">
        <f>IF(OR($M512=1,AND($C511=12,$D511=Input!$C$6)),0,IF($E512="","",W512+(X512+AA513*$R512)/(1+$L512)))</f>
        <v>53321.025537066598</v>
      </c>
      <c r="AB512" s="160">
        <f t="shared" si="150"/>
        <v>0.825720328500681</v>
      </c>
      <c r="AC512" s="164">
        <f t="shared" si="151"/>
        <v>0</v>
      </c>
      <c r="AD512" s="164">
        <f>IF(AND($C511=12,$D511=Input!$C$6),0,IF($E512="","",$AC512+AD513/(1+$L512)*$R512))</f>
        <v>93734.533895856948</v>
      </c>
      <c r="AE512" s="152"/>
      <c r="AF512" s="164">
        <f>IF(AND($C511=12,$D511=Input!$C$6),0,IF($E512="","",IF($B512&gt;Input!$C$9,$AC512,0)+AF513/(1+$L512)*$R512))</f>
        <v>93734.533895856948</v>
      </c>
      <c r="AG512" s="164">
        <f>IF(AND($C511=12,$D511=Input!$C$6),0,IF($E512="","",(IF($B512&gt;Input!$C$9,$X512,0)+AG513)/(1+$L512)*$R512))</f>
        <v>52100.882779634332</v>
      </c>
      <c r="AH512" s="160">
        <f t="shared" si="152"/>
        <v>2.0950137211446997</v>
      </c>
      <c r="AI512" s="160">
        <f>IF($E512="","",MIN(Input!$C$61/AH512,1))</f>
        <v>0.64438718771845094</v>
      </c>
      <c r="AJ512" s="152"/>
      <c r="AK512" s="164">
        <f>IF(AND($C511=12,$D511=Input!$C$6),0,IF($E512="","",IF($B512&gt;Input!$C$9,$AC512*AI512,0)+AK513/(1+$L512)*$R512))</f>
        <v>60401.332689251067</v>
      </c>
      <c r="AL512" s="164">
        <f>IF(AND($C511=12,$D511=Input!$C$6),0,IF($E512="","",IF($B512&gt;Input!$C$9,0,$AC512)+AL513/(1+$L512)*$R512))</f>
        <v>0</v>
      </c>
      <c r="AM512" s="160">
        <f t="shared" si="153"/>
        <v>1.1382936520186004</v>
      </c>
      <c r="AN512" s="164">
        <f>IF($E512="","",IF($B512&gt;Input!$C$9,$AI512*$AC512,$AM512*$AC512))</f>
        <v>0</v>
      </c>
      <c r="AO512" s="164">
        <f>IF(AND($C511=12,$D511=Input!$C$6),0,IF($E512="","",$AN512+AO513/(1+$L512)*$R512))</f>
        <v>60401.332689251067</v>
      </c>
      <c r="AP512" s="152"/>
      <c r="AQ512" s="164">
        <f t="shared" si="154"/>
        <v>-7080.3071521844686</v>
      </c>
      <c r="AR512" s="164">
        <f t="shared" si="163"/>
        <v>-8523.5158254404996</v>
      </c>
      <c r="AS512" s="164">
        <f t="shared" si="164"/>
        <v>5148.8038277511969</v>
      </c>
      <c r="AT512" s="164">
        <f t="shared" si="155"/>
        <v>5148.8038277511969</v>
      </c>
      <c r="AU512" s="152"/>
      <c r="AV512" s="147">
        <f>'Deterministic Reserve'!BC512</f>
        <v>1.2648058713674202E-3</v>
      </c>
      <c r="AW512" s="164">
        <f t="shared" si="156"/>
        <v>5148.8038277511969</v>
      </c>
      <c r="AX512" s="164">
        <f t="shared" si="157"/>
        <v>6.5122373118587609</v>
      </c>
      <c r="AY512" s="152"/>
    </row>
    <row r="513" spans="1:51" s="150" customFormat="1" x14ac:dyDescent="0.25">
      <c r="A513" s="150">
        <f t="shared" si="165"/>
        <v>509</v>
      </c>
      <c r="B513" s="150">
        <f t="shared" si="166"/>
        <v>43</v>
      </c>
      <c r="C513" s="150">
        <f t="shared" si="167"/>
        <v>5</v>
      </c>
      <c r="D513" s="150">
        <f>IF(E513="","",Input!$C$4+B513-1)</f>
        <v>87</v>
      </c>
      <c r="E513" s="150">
        <f>IF(OR(AND(C512=12,D512=Input!$C$6),E512=""),"",1)</f>
        <v>1</v>
      </c>
      <c r="F513" s="150">
        <f>IF(E513="","",Input!$C$8+B513-1)</f>
        <v>2060</v>
      </c>
      <c r="G513" s="151">
        <f>IF(E513="","",MAX(0,Input!$C$9-B513))</f>
        <v>0</v>
      </c>
      <c r="H513" s="152">
        <f>IF(E513="","",Input!$C$3)</f>
        <v>100000</v>
      </c>
      <c r="I513" s="153">
        <f>IF(E513="","",HLOOKUP($B513,Input!$C$13:$BT$14,2))</f>
        <v>263.64449999999999</v>
      </c>
      <c r="J513" s="154"/>
      <c r="K513" s="155">
        <f>IF($E513="","",Input!$C$57)</f>
        <v>4.4999999999999998E-2</v>
      </c>
      <c r="L513" s="155">
        <f t="shared" si="158"/>
        <v>3.6748094004368514E-3</v>
      </c>
      <c r="M513" s="147">
        <f>IF($E513="","",VLOOKUP(IF($B513&lt;=Input!$C$7,$B513,26),'Mortality Tables'!$A$72:$CA$97,IF($B513&lt;=Input!$C$7+1,Input!$C$4-16,$D513-Input!$C$7-16),0)/1000)</f>
        <v>0.10761</v>
      </c>
      <c r="N513" s="147">
        <f t="shared" si="147"/>
        <v>9.4428025948147809E-3</v>
      </c>
      <c r="O513" s="157">
        <f>IF($E513="","",IF($C513=12,IF($B513&lt;Input!$C$9,Input!$C$54,IF($B513=Input!$C$9,Input!$C$55,Input!$C$56)),0%))</f>
        <v>0</v>
      </c>
      <c r="P513" s="167">
        <f>IF($E513="","",IF($B513=1,Input!$C$59,IF($B513&lt;6,Input!$C$60,0%)))</f>
        <v>0</v>
      </c>
      <c r="Q513" s="162">
        <f>IF($E513="","",Input!$C$58)</f>
        <v>2.5</v>
      </c>
      <c r="R513" s="156">
        <f t="shared" si="159"/>
        <v>0.99055719740518522</v>
      </c>
      <c r="S513" s="154">
        <f t="shared" si="148"/>
        <v>2.5212191806140124E-3</v>
      </c>
      <c r="T513" s="152"/>
      <c r="U513" s="150">
        <f t="shared" si="160"/>
        <v>0</v>
      </c>
      <c r="V513" s="150">
        <f t="shared" si="161"/>
        <v>0</v>
      </c>
      <c r="W513" s="168">
        <f t="shared" si="162"/>
        <v>0</v>
      </c>
      <c r="X513" s="163">
        <f t="shared" si="149"/>
        <v>944.28025948147808</v>
      </c>
      <c r="Y513" s="152"/>
      <c r="Z513" s="164">
        <f>IF(AND($C512=12,$D512=Input!$C$6),0,IF($E513="","",V513+Z514/(1+L513)*R513))</f>
        <v>115021.7878417365</v>
      </c>
      <c r="AA513" s="164">
        <f>IF(OR($M513=1,AND($C512=12,$D512=Input!$C$6)),0,IF($E513="","",W513+(X513+AA514*$R513)/(1+$L513)))</f>
        <v>53073.855826989588</v>
      </c>
      <c r="AB513" s="160">
        <f t="shared" si="150"/>
        <v>0.825720328500681</v>
      </c>
      <c r="AC513" s="164">
        <f t="shared" si="151"/>
        <v>0</v>
      </c>
      <c r="AD513" s="164">
        <f>IF(AND($C512=12,$D512=Input!$C$6),0,IF($E513="","",$AC513+AD514/(1+$L513)*$R513))</f>
        <v>94975.828441414269</v>
      </c>
      <c r="AE513" s="152"/>
      <c r="AF513" s="164">
        <f>IF(AND($C512=12,$D512=Input!$C$6),0,IF($E513="","",IF($B513&gt;Input!$C$9,$AC513,0)+AF514/(1+$L513)*$R513))</f>
        <v>94975.828441414269</v>
      </c>
      <c r="AG513" s="164">
        <f>IF(AND($C512=12,$D512=Input!$C$6),0,IF($E513="","",(IF($B513&gt;Input!$C$9,$X513,0)+AG514)/(1+$L513)*$R513))</f>
        <v>51846.556787007539</v>
      </c>
      <c r="AH513" s="160">
        <f t="shared" si="152"/>
        <v>2.0950137211446997</v>
      </c>
      <c r="AI513" s="160">
        <f>IF($E513="","",MIN(Input!$C$61/AH513,1))</f>
        <v>0.64438718771845094</v>
      </c>
      <c r="AJ513" s="152"/>
      <c r="AK513" s="164">
        <f>IF(AND($C512=12,$D512=Input!$C$6),0,IF($E513="","",IF($B513&gt;Input!$C$9,$AC513*AI513,0)+AK514/(1+$L513)*$R513))</f>
        <v>61201.206990593011</v>
      </c>
      <c r="AL513" s="164">
        <f>IF(AND($C512=12,$D512=Input!$C$6),0,IF($E513="","",IF($B513&gt;Input!$C$9,0,$AC513)+AL514/(1+$L513)*$R513))</f>
        <v>0</v>
      </c>
      <c r="AM513" s="160">
        <f t="shared" si="153"/>
        <v>1.1382936520186004</v>
      </c>
      <c r="AN513" s="164">
        <f>IF($E513="","",IF($B513&gt;Input!$C$9,$AI513*$AC513,$AM513*$AC513))</f>
        <v>0</v>
      </c>
      <c r="AO513" s="164">
        <f>IF(AND($C512=12,$D512=Input!$C$6),0,IF($E513="","",$AN513+AO514/(1+$L513)*$R513))</f>
        <v>61201.206990593011</v>
      </c>
      <c r="AP513" s="152"/>
      <c r="AQ513" s="164">
        <f t="shared" si="154"/>
        <v>-8127.3511636034236</v>
      </c>
      <c r="AR513" s="164">
        <f t="shared" si="163"/>
        <v>-8523.5158254404996</v>
      </c>
      <c r="AS513" s="164">
        <f t="shared" si="164"/>
        <v>5148.8038277511969</v>
      </c>
      <c r="AT513" s="164">
        <f t="shared" si="155"/>
        <v>5148.8038277511969</v>
      </c>
      <c r="AU513" s="152"/>
      <c r="AV513" s="147">
        <f>'Deterministic Reserve'!BC513</f>
        <v>1.2361237958789222E-3</v>
      </c>
      <c r="AW513" s="164">
        <f t="shared" si="156"/>
        <v>5148.8038277511969</v>
      </c>
      <c r="AX513" s="164">
        <f t="shared" si="157"/>
        <v>6.3645589317957336</v>
      </c>
      <c r="AY513" s="152"/>
    </row>
    <row r="514" spans="1:51" s="150" customFormat="1" x14ac:dyDescent="0.25">
      <c r="A514" s="150">
        <f t="shared" si="165"/>
        <v>510</v>
      </c>
      <c r="B514" s="150">
        <f t="shared" si="166"/>
        <v>43</v>
      </c>
      <c r="C514" s="150">
        <f t="shared" si="167"/>
        <v>6</v>
      </c>
      <c r="D514" s="150">
        <f>IF(E514="","",Input!$C$4+B514-1)</f>
        <v>87</v>
      </c>
      <c r="E514" s="150">
        <f>IF(OR(AND(C513=12,D513=Input!$C$6),E513=""),"",1)</f>
        <v>1</v>
      </c>
      <c r="F514" s="150">
        <f>IF(E514="","",Input!$C$8+B514-1)</f>
        <v>2060</v>
      </c>
      <c r="G514" s="151">
        <f>IF(E514="","",MAX(0,Input!$C$9-B514))</f>
        <v>0</v>
      </c>
      <c r="H514" s="152">
        <f>IF(E514="","",Input!$C$3)</f>
        <v>100000</v>
      </c>
      <c r="I514" s="153">
        <f>IF(E514="","",HLOOKUP($B514,Input!$C$13:$BT$14,2))</f>
        <v>263.64449999999999</v>
      </c>
      <c r="J514" s="154"/>
      <c r="K514" s="155">
        <f>IF($E514="","",Input!$C$57)</f>
        <v>4.4999999999999998E-2</v>
      </c>
      <c r="L514" s="155">
        <f t="shared" si="158"/>
        <v>3.6748094004368514E-3</v>
      </c>
      <c r="M514" s="147">
        <f>IF($E514="","",VLOOKUP(IF($B514&lt;=Input!$C$7,$B514,26),'Mortality Tables'!$A$72:$CA$97,IF($B514&lt;=Input!$C$7+1,Input!$C$4-16,$D514-Input!$C$7-16),0)/1000)</f>
        <v>0.10761</v>
      </c>
      <c r="N514" s="147">
        <f t="shared" si="147"/>
        <v>9.4428025948147809E-3</v>
      </c>
      <c r="O514" s="157">
        <f>IF($E514="","",IF($C514=12,IF($B514&lt;Input!$C$9,Input!$C$54,IF($B514=Input!$C$9,Input!$C$55,Input!$C$56)),0%))</f>
        <v>0</v>
      </c>
      <c r="P514" s="167">
        <f>IF($E514="","",IF($B514=1,Input!$C$59,IF($B514&lt;6,Input!$C$60,0%)))</f>
        <v>0</v>
      </c>
      <c r="Q514" s="162">
        <f>IF($E514="","",Input!$C$58)</f>
        <v>2.5</v>
      </c>
      <c r="R514" s="156">
        <f t="shared" si="159"/>
        <v>0.99055719740518522</v>
      </c>
      <c r="S514" s="154">
        <f t="shared" si="148"/>
        <v>2.4974118055932134E-3</v>
      </c>
      <c r="T514" s="152"/>
      <c r="U514" s="150">
        <f t="shared" si="160"/>
        <v>0</v>
      </c>
      <c r="V514" s="150">
        <f t="shared" si="161"/>
        <v>0</v>
      </c>
      <c r="W514" s="168">
        <f t="shared" si="162"/>
        <v>0</v>
      </c>
      <c r="X514" s="163">
        <f t="shared" si="149"/>
        <v>944.28025948147808</v>
      </c>
      <c r="Y514" s="152"/>
      <c r="Z514" s="164">
        <f>IF(AND($C513=12,$D513=Input!$C$6),0,IF($E514="","",V514+Z515/(1+L514)*R514))</f>
        <v>116544.98224975297</v>
      </c>
      <c r="AA514" s="164">
        <f>IF(OR($M514=1,AND($C513=12,$D513=Input!$C$6)),0,IF($E514="","",W514+(X514+AA515*$R514)/(1+$L514)))</f>
        <v>52823.412932524778</v>
      </c>
      <c r="AB514" s="160">
        <f t="shared" si="150"/>
        <v>0.825720328500681</v>
      </c>
      <c r="AC514" s="164">
        <f t="shared" si="151"/>
        <v>0</v>
      </c>
      <c r="AD514" s="164">
        <f>IF(AND($C513=12,$D513=Input!$C$6),0,IF($E514="","",$AC514+AD515/(1+$L514)*$R514))</f>
        <v>96233.561028372031</v>
      </c>
      <c r="AE514" s="152"/>
      <c r="AF514" s="164">
        <f>IF(AND($C513=12,$D513=Input!$C$6),0,IF($E514="","",IF($B514&gt;Input!$C$9,$AC514,0)+AF515/(1+$L514)*$R514))</f>
        <v>96233.561028372031</v>
      </c>
      <c r="AG514" s="164">
        <f>IF(AND($C513=12,$D513=Input!$C$6),0,IF($E514="","",(IF($B514&gt;Input!$C$9,$X514,0)+AG515)/(1+$L514)*$R514))</f>
        <v>51588.862841777584</v>
      </c>
      <c r="AH514" s="160">
        <f t="shared" si="152"/>
        <v>2.0950137211446997</v>
      </c>
      <c r="AI514" s="160">
        <f>IF($E514="","",MIN(Input!$C$61/AH514,1))</f>
        <v>0.64438718771845094</v>
      </c>
      <c r="AJ514" s="152"/>
      <c r="AK514" s="164">
        <f>IF(AND($C513=12,$D513=Input!$C$6),0,IF($E514="","",IF($B514&gt;Input!$C$9,$AC514*AI514,0)+AK515/(1+$L514)*$R514))</f>
        <v>62011.673755204582</v>
      </c>
      <c r="AL514" s="164">
        <f>IF(AND($C513=12,$D513=Input!$C$6),0,IF($E514="","",IF($B514&gt;Input!$C$9,0,$AC514)+AL515/(1+$L514)*$R514))</f>
        <v>0</v>
      </c>
      <c r="AM514" s="160">
        <f t="shared" si="153"/>
        <v>1.1382936520186004</v>
      </c>
      <c r="AN514" s="164">
        <f>IF($E514="","",IF($B514&gt;Input!$C$9,$AI514*$AC514,$AM514*$AC514))</f>
        <v>0</v>
      </c>
      <c r="AO514" s="164">
        <f>IF(AND($C513=12,$D513=Input!$C$6),0,IF($E514="","",$AN514+AO515/(1+$L514)*$R514))</f>
        <v>62011.673755204582</v>
      </c>
      <c r="AP514" s="152"/>
      <c r="AQ514" s="164">
        <f t="shared" si="154"/>
        <v>-9188.2608226798038</v>
      </c>
      <c r="AR514" s="164">
        <f t="shared" si="163"/>
        <v>-8523.5158254404996</v>
      </c>
      <c r="AS514" s="164">
        <f t="shared" si="164"/>
        <v>5148.8038277511969</v>
      </c>
      <c r="AT514" s="164">
        <f t="shared" si="155"/>
        <v>5148.8038277511969</v>
      </c>
      <c r="AU514" s="152"/>
      <c r="AV514" s="147">
        <f>'Deterministic Reserve'!BC514</f>
        <v>1.2080921454658855E-3</v>
      </c>
      <c r="AW514" s="164">
        <f t="shared" si="156"/>
        <v>5148.8038277511969</v>
      </c>
      <c r="AX514" s="164">
        <f t="shared" si="157"/>
        <v>6.2202294628509067</v>
      </c>
      <c r="AY514" s="152"/>
    </row>
    <row r="515" spans="1:51" s="150" customFormat="1" x14ac:dyDescent="0.25">
      <c r="A515" s="150">
        <f t="shared" si="165"/>
        <v>511</v>
      </c>
      <c r="B515" s="150">
        <f t="shared" si="166"/>
        <v>43</v>
      </c>
      <c r="C515" s="150">
        <f t="shared" si="167"/>
        <v>7</v>
      </c>
      <c r="D515" s="150">
        <f>IF(E515="","",Input!$C$4+B515-1)</f>
        <v>87</v>
      </c>
      <c r="E515" s="150">
        <f>IF(OR(AND(C514=12,D514=Input!$C$6),E514=""),"",1)</f>
        <v>1</v>
      </c>
      <c r="F515" s="150">
        <f>IF(E515="","",Input!$C$8+B515-1)</f>
        <v>2060</v>
      </c>
      <c r="G515" s="151">
        <f>IF(E515="","",MAX(0,Input!$C$9-B515))</f>
        <v>0</v>
      </c>
      <c r="H515" s="152">
        <f>IF(E515="","",Input!$C$3)</f>
        <v>100000</v>
      </c>
      <c r="I515" s="153">
        <f>IF(E515="","",HLOOKUP($B515,Input!$C$13:$BT$14,2))</f>
        <v>263.64449999999999</v>
      </c>
      <c r="J515" s="154"/>
      <c r="K515" s="155">
        <f>IF($E515="","",Input!$C$57)</f>
        <v>4.4999999999999998E-2</v>
      </c>
      <c r="L515" s="155">
        <f t="shared" si="158"/>
        <v>3.6748094004368514E-3</v>
      </c>
      <c r="M515" s="147">
        <f>IF($E515="","",VLOOKUP(IF($B515&lt;=Input!$C$7,$B515,26),'Mortality Tables'!$A$72:$CA$97,IF($B515&lt;=Input!$C$7+1,Input!$C$4-16,$D515-Input!$C$7-16),0)/1000)</f>
        <v>0.10761</v>
      </c>
      <c r="N515" s="147">
        <f t="shared" si="147"/>
        <v>9.4428025948147809E-3</v>
      </c>
      <c r="O515" s="157">
        <f>IF($E515="","",IF($C515=12,IF($B515&lt;Input!$C$9,Input!$C$54,IF($B515=Input!$C$9,Input!$C$55,Input!$C$56)),0%))</f>
        <v>0</v>
      </c>
      <c r="P515" s="167">
        <f>IF($E515="","",IF($B515=1,Input!$C$59,IF($B515&lt;6,Input!$C$60,0%)))</f>
        <v>0</v>
      </c>
      <c r="Q515" s="162">
        <f>IF($E515="","",Input!$C$58)</f>
        <v>2.5</v>
      </c>
      <c r="R515" s="156">
        <f t="shared" si="159"/>
        <v>0.99055719740518522</v>
      </c>
      <c r="S515" s="154">
        <f t="shared" si="148"/>
        <v>2.4738292389150369E-3</v>
      </c>
      <c r="T515" s="152"/>
      <c r="U515" s="150">
        <f t="shared" si="160"/>
        <v>0</v>
      </c>
      <c r="V515" s="150">
        <f t="shared" si="161"/>
        <v>0</v>
      </c>
      <c r="W515" s="168">
        <f t="shared" si="162"/>
        <v>0</v>
      </c>
      <c r="X515" s="163">
        <f t="shared" si="149"/>
        <v>944.28025948147808</v>
      </c>
      <c r="Y515" s="152"/>
      <c r="Z515" s="164">
        <f>IF(AND($C514=12,$D514=Input!$C$6),0,IF($E515="","",V515+Z516/(1+L515)*R515))</f>
        <v>118088.3478031511</v>
      </c>
      <c r="AA515" s="164">
        <f>IF(OR($M515=1,AND($C514=12,$D514=Input!$C$6)),0,IF($E515="","",W515+(X515+AA516*$R515)/(1+$L515)))</f>
        <v>52569.653508004798</v>
      </c>
      <c r="AB515" s="160">
        <f t="shared" si="150"/>
        <v>0.825720328500681</v>
      </c>
      <c r="AC515" s="164">
        <f t="shared" si="151"/>
        <v>0</v>
      </c>
      <c r="AD515" s="164">
        <f>IF(AND($C514=12,$D514=Input!$C$6),0,IF($E515="","",$AC515+AD516/(1+$L515)*$R515))</f>
        <v>97507.949340120569</v>
      </c>
      <c r="AE515" s="152"/>
      <c r="AF515" s="164">
        <f>IF(AND($C514=12,$D514=Input!$C$6),0,IF($E515="","",IF($B515&gt;Input!$C$9,$AC515,0)+AF516/(1+$L515)*$R515))</f>
        <v>97507.949340120569</v>
      </c>
      <c r="AG515" s="164">
        <f>IF(AND($C514=12,$D514=Input!$C$6),0,IF($E515="","",(IF($B515&gt;Input!$C$9,$X515,0)+AG516)/(1+$L515)*$R515))</f>
        <v>51327.756343293855</v>
      </c>
      <c r="AH515" s="160">
        <f t="shared" si="152"/>
        <v>2.0950137211446997</v>
      </c>
      <c r="AI515" s="160">
        <f>IF($E515="","",MIN(Input!$C$61/AH515,1))</f>
        <v>0.64438718771845094</v>
      </c>
      <c r="AJ515" s="152"/>
      <c r="AK515" s="164">
        <f>IF(AND($C514=12,$D514=Input!$C$6),0,IF($E515="","",IF($B515&gt;Input!$C$9,$AC515*AI515,0)+AK516/(1+$L515)*$R515))</f>
        <v>62832.873255473482</v>
      </c>
      <c r="AL515" s="164">
        <f>IF(AND($C514=12,$D514=Input!$C$6),0,IF($E515="","",IF($B515&gt;Input!$C$9,0,$AC515)+AL516/(1+$L515)*$R515))</f>
        <v>0</v>
      </c>
      <c r="AM515" s="160">
        <f t="shared" si="153"/>
        <v>1.1382936520186004</v>
      </c>
      <c r="AN515" s="164">
        <f>IF($E515="","",IF($B515&gt;Input!$C$9,$AI515*$AC515,$AM515*$AC515))</f>
        <v>0</v>
      </c>
      <c r="AO515" s="164">
        <f>IF(AND($C514=12,$D514=Input!$C$6),0,IF($E515="","",$AN515+AO516/(1+$L515)*$R515))</f>
        <v>62832.873255473482</v>
      </c>
      <c r="AP515" s="152"/>
      <c r="AQ515" s="164">
        <f t="shared" si="154"/>
        <v>-10263.219747468684</v>
      </c>
      <c r="AR515" s="164">
        <f t="shared" si="163"/>
        <v>-8523.5158254404996</v>
      </c>
      <c r="AS515" s="164">
        <f t="shared" si="164"/>
        <v>5148.8038277511969</v>
      </c>
      <c r="AT515" s="164">
        <f t="shared" si="155"/>
        <v>5148.8038277511969</v>
      </c>
      <c r="AU515" s="152"/>
      <c r="AV515" s="147">
        <f>'Deterministic Reserve'!BC515</f>
        <v>1.1806961704014652E-3</v>
      </c>
      <c r="AW515" s="164">
        <f t="shared" si="156"/>
        <v>5148.8038277511969</v>
      </c>
      <c r="AX515" s="164">
        <f t="shared" si="157"/>
        <v>6.079172961574244</v>
      </c>
      <c r="AY515" s="152"/>
    </row>
    <row r="516" spans="1:51" s="150" customFormat="1" x14ac:dyDescent="0.25">
      <c r="A516" s="150">
        <f t="shared" si="165"/>
        <v>512</v>
      </c>
      <c r="B516" s="150">
        <f t="shared" si="166"/>
        <v>43</v>
      </c>
      <c r="C516" s="150">
        <f t="shared" si="167"/>
        <v>8</v>
      </c>
      <c r="D516" s="150">
        <f>IF(E516="","",Input!$C$4+B516-1)</f>
        <v>87</v>
      </c>
      <c r="E516" s="150">
        <f>IF(OR(AND(C515=12,D515=Input!$C$6),E515=""),"",1)</f>
        <v>1</v>
      </c>
      <c r="F516" s="150">
        <f>IF(E516="","",Input!$C$8+B516-1)</f>
        <v>2060</v>
      </c>
      <c r="G516" s="151">
        <f>IF(E516="","",MAX(0,Input!$C$9-B516))</f>
        <v>0</v>
      </c>
      <c r="H516" s="152">
        <f>IF(E516="","",Input!$C$3)</f>
        <v>100000</v>
      </c>
      <c r="I516" s="153">
        <f>IF(E516="","",HLOOKUP($B516,Input!$C$13:$BT$14,2))</f>
        <v>263.64449999999999</v>
      </c>
      <c r="J516" s="154"/>
      <c r="K516" s="155">
        <f>IF($E516="","",Input!$C$57)</f>
        <v>4.4999999999999998E-2</v>
      </c>
      <c r="L516" s="155">
        <f t="shared" si="158"/>
        <v>3.6748094004368514E-3</v>
      </c>
      <c r="M516" s="147">
        <f>IF($E516="","",VLOOKUP(IF($B516&lt;=Input!$C$7,$B516,26),'Mortality Tables'!$A$72:$CA$97,IF($B516&lt;=Input!$C$7+1,Input!$C$4-16,$D516-Input!$C$7-16),0)/1000)</f>
        <v>0.10761</v>
      </c>
      <c r="N516" s="147">
        <f t="shared" si="147"/>
        <v>9.4428025948147809E-3</v>
      </c>
      <c r="O516" s="157">
        <f>IF($E516="","",IF($C516=12,IF($B516&lt;Input!$C$9,Input!$C$54,IF($B516=Input!$C$9,Input!$C$55,Input!$C$56)),0%))</f>
        <v>0</v>
      </c>
      <c r="P516" s="167">
        <f>IF($E516="","",IF($B516=1,Input!$C$59,IF($B516&lt;6,Input!$C$60,0%)))</f>
        <v>0</v>
      </c>
      <c r="Q516" s="162">
        <f>IF($E516="","",Input!$C$58)</f>
        <v>2.5</v>
      </c>
      <c r="R516" s="156">
        <f t="shared" si="159"/>
        <v>0.99055719740518522</v>
      </c>
      <c r="S516" s="154">
        <f t="shared" si="148"/>
        <v>2.4504693577586814E-3</v>
      </c>
      <c r="T516" s="152"/>
      <c r="U516" s="150">
        <f t="shared" si="160"/>
        <v>0</v>
      </c>
      <c r="V516" s="150">
        <f t="shared" si="161"/>
        <v>0</v>
      </c>
      <c r="W516" s="168">
        <f t="shared" si="162"/>
        <v>0</v>
      </c>
      <c r="X516" s="163">
        <f t="shared" si="149"/>
        <v>944.28025948147808</v>
      </c>
      <c r="Y516" s="152"/>
      <c r="Z516" s="164">
        <f>IF(AND($C515=12,$D515=Input!$C$6),0,IF($E516="","",V516+Z517/(1+L516)*R516))</f>
        <v>119652.15162154731</v>
      </c>
      <c r="AA516" s="164">
        <f>IF(OR($M516=1,AND($C515=12,$D515=Input!$C$6)),0,IF($E516="","",W516+(X516+AA517*$R516)/(1+$L516)))</f>
        <v>52312.533633750354</v>
      </c>
      <c r="AB516" s="160">
        <f t="shared" si="150"/>
        <v>0.825720328500681</v>
      </c>
      <c r="AC516" s="164">
        <f t="shared" si="151"/>
        <v>0</v>
      </c>
      <c r="AD516" s="164">
        <f>IF(AND($C515=12,$D515=Input!$C$6),0,IF($E516="","",$AC516+AD517/(1+$L516)*$R516))</f>
        <v>98799.213942757298</v>
      </c>
      <c r="AE516" s="152"/>
      <c r="AF516" s="164">
        <f>IF(AND($C515=12,$D515=Input!$C$6),0,IF($E516="","",IF($B516&gt;Input!$C$9,$AC516,0)+AF517/(1+$L516)*$R516))</f>
        <v>98799.213942757298</v>
      </c>
      <c r="AG516" s="164">
        <f>IF(AND($C515=12,$D515=Input!$C$6),0,IF($E516="","",(IF($B516&gt;Input!$C$9,$X516,0)+AG517)/(1+$L516)*$R516))</f>
        <v>51063.192100274508</v>
      </c>
      <c r="AH516" s="160">
        <f t="shared" si="152"/>
        <v>2.0950137211446997</v>
      </c>
      <c r="AI516" s="160">
        <f>IF($E516="","",MIN(Input!$C$61/AH516,1))</f>
        <v>0.64438718771845094</v>
      </c>
      <c r="AJ516" s="152"/>
      <c r="AK516" s="164">
        <f>IF(AND($C515=12,$D515=Input!$C$6),0,IF($E516="","",IF($B516&gt;Input!$C$9,$AC516*AI516,0)+AK517/(1+$L516)*$R516))</f>
        <v>63664.94762136694</v>
      </c>
      <c r="AL516" s="164">
        <f>IF(AND($C515=12,$D515=Input!$C$6),0,IF($E516="","",IF($B516&gt;Input!$C$9,0,$AC516)+AL517/(1+$L516)*$R516))</f>
        <v>0</v>
      </c>
      <c r="AM516" s="160">
        <f t="shared" si="153"/>
        <v>1.1382936520186004</v>
      </c>
      <c r="AN516" s="164">
        <f>IF($E516="","",IF($B516&gt;Input!$C$9,$AI516*$AC516,$AM516*$AC516))</f>
        <v>0</v>
      </c>
      <c r="AO516" s="164">
        <f>IF(AND($C515=12,$D515=Input!$C$6),0,IF($E516="","",$AN516+AO517/(1+$L516)*$R516))</f>
        <v>63664.94762136694</v>
      </c>
      <c r="AP516" s="152"/>
      <c r="AQ516" s="164">
        <f t="shared" si="154"/>
        <v>-11352.413987616586</v>
      </c>
      <c r="AR516" s="164">
        <f t="shared" si="163"/>
        <v>-8523.5158254404996</v>
      </c>
      <c r="AS516" s="164">
        <f t="shared" si="164"/>
        <v>5148.8038277511969</v>
      </c>
      <c r="AT516" s="164">
        <f t="shared" si="155"/>
        <v>5148.8038277511969</v>
      </c>
      <c r="AU516" s="152"/>
      <c r="AV516" s="147">
        <f>'Deterministic Reserve'!BC516</f>
        <v>1.1539214554392213E-3</v>
      </c>
      <c r="AW516" s="164">
        <f t="shared" si="156"/>
        <v>5148.8038277511969</v>
      </c>
      <c r="AX516" s="164">
        <f t="shared" si="157"/>
        <v>5.941315206689695</v>
      </c>
      <c r="AY516" s="152"/>
    </row>
    <row r="517" spans="1:51" s="150" customFormat="1" x14ac:dyDescent="0.25">
      <c r="A517" s="150">
        <f t="shared" si="165"/>
        <v>513</v>
      </c>
      <c r="B517" s="150">
        <f t="shared" si="166"/>
        <v>43</v>
      </c>
      <c r="C517" s="150">
        <f t="shared" si="167"/>
        <v>9</v>
      </c>
      <c r="D517" s="150">
        <f>IF(E517="","",Input!$C$4+B517-1)</f>
        <v>87</v>
      </c>
      <c r="E517" s="150">
        <f>IF(OR(AND(C516=12,D516=Input!$C$6),E516=""),"",1)</f>
        <v>1</v>
      </c>
      <c r="F517" s="150">
        <f>IF(E517="","",Input!$C$8+B517-1)</f>
        <v>2060</v>
      </c>
      <c r="G517" s="151">
        <f>IF(E517="","",MAX(0,Input!$C$9-B517))</f>
        <v>0</v>
      </c>
      <c r="H517" s="152">
        <f>IF(E517="","",Input!$C$3)</f>
        <v>100000</v>
      </c>
      <c r="I517" s="153">
        <f>IF(E517="","",HLOOKUP($B517,Input!$C$13:$BT$14,2))</f>
        <v>263.64449999999999</v>
      </c>
      <c r="J517" s="154"/>
      <c r="K517" s="155">
        <f>IF($E517="","",Input!$C$57)</f>
        <v>4.4999999999999998E-2</v>
      </c>
      <c r="L517" s="155">
        <f t="shared" si="158"/>
        <v>3.6748094004368514E-3</v>
      </c>
      <c r="M517" s="147">
        <f>IF($E517="","",VLOOKUP(IF($B517&lt;=Input!$C$7,$B517,26),'Mortality Tables'!$A$72:$CA$97,IF($B517&lt;=Input!$C$7+1,Input!$C$4-16,$D517-Input!$C$7-16),0)/1000)</f>
        <v>0.10761</v>
      </c>
      <c r="N517" s="147">
        <f t="shared" ref="N517:N580" si="168">IF($E517="","",1-(1-M517)^(1/12))</f>
        <v>9.4428025948147809E-3</v>
      </c>
      <c r="O517" s="157">
        <f>IF($E517="","",IF($C517=12,IF($B517&lt;Input!$C$9,Input!$C$54,IF($B517=Input!$C$9,Input!$C$55,Input!$C$56)),0%))</f>
        <v>0</v>
      </c>
      <c r="P517" s="167">
        <f>IF($E517="","",IF($B517=1,Input!$C$59,IF($B517&lt;6,Input!$C$60,0%)))</f>
        <v>0</v>
      </c>
      <c r="Q517" s="162">
        <f>IF($E517="","",Input!$C$58)</f>
        <v>2.5</v>
      </c>
      <c r="R517" s="156">
        <f t="shared" si="159"/>
        <v>0.99055719740518522</v>
      </c>
      <c r="S517" s="154">
        <f t="shared" ref="S517:S580" si="169">IF($E517="","",IF(AND($B517=1,$C517=1),1,S516*R517))</f>
        <v>2.4273300593487235E-3</v>
      </c>
      <c r="T517" s="152"/>
      <c r="U517" s="150">
        <f t="shared" si="160"/>
        <v>0</v>
      </c>
      <c r="V517" s="150">
        <f t="shared" si="161"/>
        <v>0</v>
      </c>
      <c r="W517" s="168">
        <f t="shared" si="162"/>
        <v>0</v>
      </c>
      <c r="X517" s="163">
        <f t="shared" ref="X517:X580" si="170">IF($E517="","",N517*$H517)</f>
        <v>944.28025948147808</v>
      </c>
      <c r="Y517" s="152"/>
      <c r="Z517" s="164">
        <f>IF(AND($C516=12,$D516=Input!$C$6),0,IF($E517="","",V517+Z518/(1+L517)*R517))</f>
        <v>121236.66436193221</v>
      </c>
      <c r="AA517" s="164">
        <f>IF(OR($M517=1,AND($C516=12,$D516=Input!$C$6)),0,IF($E517="","",W517+(X517+AA518*$R517)/(1+$L517)))</f>
        <v>52052.008808468781</v>
      </c>
      <c r="AB517" s="160">
        <f t="shared" ref="AB517:AB580" si="171">IF($E517="","",$AA$5/$Z$5)</f>
        <v>0.825720328500681</v>
      </c>
      <c r="AC517" s="164">
        <f t="shared" ref="AC517:AC580" si="172">IF($E517="","",V517*AB517)</f>
        <v>0</v>
      </c>
      <c r="AD517" s="164">
        <f>IF(AND($C516=12,$D516=Input!$C$6),0,IF($E517="","",$AC517+AD518/(1+$L517)*$R517))</f>
        <v>100107.57832326142</v>
      </c>
      <c r="AE517" s="152"/>
      <c r="AF517" s="164">
        <f>IF(AND($C516=12,$D516=Input!$C$6),0,IF($E517="","",IF($B517&gt;Input!$C$9,$AC517,0)+AF518/(1+$L517)*$R517))</f>
        <v>100107.57832326142</v>
      </c>
      <c r="AG517" s="164">
        <f>IF(AND($C516=12,$D516=Input!$C$6),0,IF($E517="","",(IF($B517&gt;Input!$C$9,$X517,0)+AG518)/(1+$L517)*$R517))</f>
        <v>50795.124322984921</v>
      </c>
      <c r="AH517" s="160">
        <f t="shared" ref="AH517:AH580" si="173">IF($E517="","",$AF$5/$AG$5)</f>
        <v>2.0950137211446997</v>
      </c>
      <c r="AI517" s="160">
        <f>IF($E517="","",MIN(Input!$C$61/AH517,1))</f>
        <v>0.64438718771845094</v>
      </c>
      <c r="AJ517" s="152"/>
      <c r="AK517" s="164">
        <f>IF(AND($C516=12,$D516=Input!$C$6),0,IF($E517="","",IF($B517&gt;Input!$C$9,$AC517*AI517,0)+AK518/(1+$L517)*$R517))</f>
        <v>64508.040865030991</v>
      </c>
      <c r="AL517" s="164">
        <f>IF(AND($C516=12,$D516=Input!$C$6),0,IF($E517="","",IF($B517&gt;Input!$C$9,0,$AC517)+AL518/(1+$L517)*$R517))</f>
        <v>0</v>
      </c>
      <c r="AM517" s="160">
        <f t="shared" ref="AM517:AM580" si="174">IF($E517="","",($AD$5-$AK$5)/$AL$5)</f>
        <v>1.1382936520186004</v>
      </c>
      <c r="AN517" s="164">
        <f>IF($E517="","",IF($B517&gt;Input!$C$9,$AI517*$AC517,$AM517*$AC517))</f>
        <v>0</v>
      </c>
      <c r="AO517" s="164">
        <f>IF(AND($C516=12,$D516=Input!$C$6),0,IF($E517="","",$AN517+AO518/(1+$L517)*$R517))</f>
        <v>64508.040865030991</v>
      </c>
      <c r="AP517" s="152"/>
      <c r="AQ517" s="164">
        <f t="shared" ref="AQ517:AQ580" si="175">IF($E517="","",$AA517-$AO517)</f>
        <v>-12456.03205656221</v>
      </c>
      <c r="AR517" s="164">
        <f t="shared" si="163"/>
        <v>-8523.5158254404996</v>
      </c>
      <c r="AS517" s="164">
        <f t="shared" si="164"/>
        <v>5148.8038277511969</v>
      </c>
      <c r="AT517" s="164">
        <f t="shared" ref="AT517:AT580" si="176">IF($E517="","",MAX($AR517,$AS517))</f>
        <v>5148.8038277511969</v>
      </c>
      <c r="AU517" s="152"/>
      <c r="AV517" s="147">
        <f>'Deterministic Reserve'!BC517</f>
        <v>1.1277539122280856E-3</v>
      </c>
      <c r="AW517" s="164">
        <f t="shared" ref="AW517:AW580" si="177">IF($E517="","",$AT517)</f>
        <v>5148.8038277511969</v>
      </c>
      <c r="AX517" s="164">
        <f t="shared" ref="AX517:AX580" si="178">IF($E517="","",AV517*AW517)</f>
        <v>5.8065836600413547</v>
      </c>
      <c r="AY517" s="152"/>
    </row>
    <row r="518" spans="1:51" s="150" customFormat="1" x14ac:dyDescent="0.25">
      <c r="A518" s="150">
        <f t="shared" si="165"/>
        <v>514</v>
      </c>
      <c r="B518" s="150">
        <f t="shared" si="166"/>
        <v>43</v>
      </c>
      <c r="C518" s="150">
        <f t="shared" si="167"/>
        <v>10</v>
      </c>
      <c r="D518" s="150">
        <f>IF(E518="","",Input!$C$4+B518-1)</f>
        <v>87</v>
      </c>
      <c r="E518" s="150">
        <f>IF(OR(AND(C517=12,D517=Input!$C$6),E517=""),"",1)</f>
        <v>1</v>
      </c>
      <c r="F518" s="150">
        <f>IF(E518="","",Input!$C$8+B518-1)</f>
        <v>2060</v>
      </c>
      <c r="G518" s="151">
        <f>IF(E518="","",MAX(0,Input!$C$9-B518))</f>
        <v>0</v>
      </c>
      <c r="H518" s="152">
        <f>IF(E518="","",Input!$C$3)</f>
        <v>100000</v>
      </c>
      <c r="I518" s="153">
        <f>IF(E518="","",HLOOKUP($B518,Input!$C$13:$BT$14,2))</f>
        <v>263.64449999999999</v>
      </c>
      <c r="J518" s="154"/>
      <c r="K518" s="155">
        <f>IF($E518="","",Input!$C$57)</f>
        <v>4.4999999999999998E-2</v>
      </c>
      <c r="L518" s="155">
        <f t="shared" ref="L518:L581" si="179">IF($E518="","",(1+K518)^(1/12)-1)</f>
        <v>3.6748094004368514E-3</v>
      </c>
      <c r="M518" s="147">
        <f>IF($E518="","",VLOOKUP(IF($B518&lt;=Input!$C$7,$B518,26),'Mortality Tables'!$A$72:$CA$97,IF($B518&lt;=Input!$C$7+1,Input!$C$4-16,$D518-Input!$C$7-16),0)/1000)</f>
        <v>0.10761</v>
      </c>
      <c r="N518" s="147">
        <f t="shared" si="168"/>
        <v>9.4428025948147809E-3</v>
      </c>
      <c r="O518" s="157">
        <f>IF($E518="","",IF($C518=12,IF($B518&lt;Input!$C$9,Input!$C$54,IF($B518=Input!$C$9,Input!$C$55,Input!$C$56)),0%))</f>
        <v>0</v>
      </c>
      <c r="P518" s="167">
        <f>IF($E518="","",IF($B518=1,Input!$C$59,IF($B518&lt;6,Input!$C$60,0%)))</f>
        <v>0</v>
      </c>
      <c r="Q518" s="162">
        <f>IF($E518="","",Input!$C$58)</f>
        <v>2.5</v>
      </c>
      <c r="R518" s="156">
        <f t="shared" ref="R518:R581" si="180">IF($E518="","",MAX(1-N518-O518,0))</f>
        <v>0.99055719740518522</v>
      </c>
      <c r="S518" s="154">
        <f t="shared" si="169"/>
        <v>2.4044092607658336E-3</v>
      </c>
      <c r="T518" s="152"/>
      <c r="U518" s="150">
        <f t="shared" ref="U518:U581" si="181">IF($E518="","",IF($C518=1,$I518*$H518/1000,0))</f>
        <v>0</v>
      </c>
      <c r="V518" s="150">
        <f t="shared" ref="V518:V581" si="182">IF($E518="","",U518*(1-$P518))</f>
        <v>0</v>
      </c>
      <c r="W518" s="168">
        <f t="shared" ref="W518:W581" si="183">IF($E518="","",IF(AND($B518=1,$C518=1),$Q518*$H518/1000,0))</f>
        <v>0</v>
      </c>
      <c r="X518" s="163">
        <f t="shared" si="170"/>
        <v>944.28025948147808</v>
      </c>
      <c r="Y518" s="152"/>
      <c r="Z518" s="164">
        <f>IF(AND($C517=12,$D517=Input!$C$6),0,IF($E518="","",V518+Z519/(1+L518)*R518))</f>
        <v>122842.1602655149</v>
      </c>
      <c r="AA518" s="164">
        <f>IF(OR($M518=1,AND($C517=12,$D517=Input!$C$6)),0,IF($E518="","",W518+(X518+AA519*$R518)/(1+$L518)))</f>
        <v>51788.033941551927</v>
      </c>
      <c r="AB518" s="160">
        <f t="shared" si="171"/>
        <v>0.825720328500681</v>
      </c>
      <c r="AC518" s="164">
        <f t="shared" si="172"/>
        <v>0</v>
      </c>
      <c r="AD518" s="164">
        <f>IF(AND($C517=12,$D517=Input!$C$6),0,IF($E518="","",$AC518+AD519/(1+$L518)*$R518))</f>
        <v>101433.26892817422</v>
      </c>
      <c r="AE518" s="152"/>
      <c r="AF518" s="164">
        <f>IF(AND($C517=12,$D517=Input!$C$6),0,IF($E518="","",IF($B518&gt;Input!$C$9,$AC518,0)+AF519/(1+$L518)*$R518))</f>
        <v>101433.26892817422</v>
      </c>
      <c r="AG518" s="164">
        <f>IF(AND($C517=12,$D517=Input!$C$6),0,IF($E518="","",(IF($B518&gt;Input!$C$9,$X518,0)+AG519)/(1+$L518)*$R518))</f>
        <v>50523.506615312581</v>
      </c>
      <c r="AH518" s="160">
        <f t="shared" si="173"/>
        <v>2.0950137211446997</v>
      </c>
      <c r="AI518" s="160">
        <f>IF($E518="","",MIN(Input!$C$61/AH518,1))</f>
        <v>0.64438718771845094</v>
      </c>
      <c r="AJ518" s="152"/>
      <c r="AK518" s="164">
        <f>IF(AND($C517=12,$D517=Input!$C$6),0,IF($E518="","",IF($B518&gt;Input!$C$9,$AC518*AI518,0)+AK519/(1+$L518)*$R518))</f>
        <v>65362.298905715528</v>
      </c>
      <c r="AL518" s="164">
        <f>IF(AND($C517=12,$D517=Input!$C$6),0,IF($E518="","",IF($B518&gt;Input!$C$9,0,$AC518)+AL519/(1+$L518)*$R518))</f>
        <v>0</v>
      </c>
      <c r="AM518" s="160">
        <f t="shared" si="174"/>
        <v>1.1382936520186004</v>
      </c>
      <c r="AN518" s="164">
        <f>IF($E518="","",IF($B518&gt;Input!$C$9,$AI518*$AC518,$AM518*$AC518))</f>
        <v>0</v>
      </c>
      <c r="AO518" s="164">
        <f>IF(AND($C517=12,$D517=Input!$C$6),0,IF($E518="","",$AN518+AO519/(1+$L518)*$R518))</f>
        <v>65362.298905715528</v>
      </c>
      <c r="AP518" s="152"/>
      <c r="AQ518" s="164">
        <f t="shared" si="175"/>
        <v>-13574.264964163602</v>
      </c>
      <c r="AR518" s="164">
        <f t="shared" ref="AR518:AR581" si="184">IF($E518="","",IF($M518=1,0,0.5*(IF($B518=1,0,SUMIFS($AQ:$AQ,$B:$B,$B518-1,$C:$C,12))+SUMIFS($AN:$AN,$B:$B,$B518,$C:$C,1)+SUMIFS($AQ:$AQ,$B:$B,$B518,$C:$C,12))))</f>
        <v>-8523.5158254404996</v>
      </c>
      <c r="AS518" s="164">
        <f t="shared" ref="AS518:AS581" si="185">IF($E518="","",IF($M518=1,0,0.5*$M518*$H518/(1+$K518)))</f>
        <v>5148.8038277511969</v>
      </c>
      <c r="AT518" s="164">
        <f t="shared" si="176"/>
        <v>5148.8038277511969</v>
      </c>
      <c r="AU518" s="152"/>
      <c r="AV518" s="147">
        <f>'Deterministic Reserve'!BC518</f>
        <v>1.1021797718993374E-3</v>
      </c>
      <c r="AW518" s="164">
        <f t="shared" si="177"/>
        <v>5148.8038277511969</v>
      </c>
      <c r="AX518" s="164">
        <f t="shared" si="178"/>
        <v>5.6749074284252492</v>
      </c>
      <c r="AY518" s="152"/>
    </row>
    <row r="519" spans="1:51" s="150" customFormat="1" x14ac:dyDescent="0.25">
      <c r="A519" s="150">
        <f t="shared" ref="A519:A582" si="186">IF(E519="","",A518+1)</f>
        <v>515</v>
      </c>
      <c r="B519" s="150">
        <f t="shared" ref="B519:B582" si="187">IF(E519="","",IF(C518+1&gt;12,B518+1,B518))</f>
        <v>43</v>
      </c>
      <c r="C519" s="150">
        <f t="shared" ref="C519:C582" si="188">IF(E519="","",IF(C518+1&gt;12,1,C518+1))</f>
        <v>11</v>
      </c>
      <c r="D519" s="150">
        <f>IF(E519="","",Input!$C$4+B519-1)</f>
        <v>87</v>
      </c>
      <c r="E519" s="150">
        <f>IF(OR(AND(C518=12,D518=Input!$C$6),E518=""),"",1)</f>
        <v>1</v>
      </c>
      <c r="F519" s="150">
        <f>IF(E519="","",Input!$C$8+B519-1)</f>
        <v>2060</v>
      </c>
      <c r="G519" s="151">
        <f>IF(E519="","",MAX(0,Input!$C$9-B519))</f>
        <v>0</v>
      </c>
      <c r="H519" s="152">
        <f>IF(E519="","",Input!$C$3)</f>
        <v>100000</v>
      </c>
      <c r="I519" s="153">
        <f>IF(E519="","",HLOOKUP($B519,Input!$C$13:$BT$14,2))</f>
        <v>263.64449999999999</v>
      </c>
      <c r="J519" s="154"/>
      <c r="K519" s="155">
        <f>IF($E519="","",Input!$C$57)</f>
        <v>4.4999999999999998E-2</v>
      </c>
      <c r="L519" s="155">
        <f t="shared" si="179"/>
        <v>3.6748094004368514E-3</v>
      </c>
      <c r="M519" s="147">
        <f>IF($E519="","",VLOOKUP(IF($B519&lt;=Input!$C$7,$B519,26),'Mortality Tables'!$A$72:$CA$97,IF($B519&lt;=Input!$C$7+1,Input!$C$4-16,$D519-Input!$C$7-16),0)/1000)</f>
        <v>0.10761</v>
      </c>
      <c r="N519" s="147">
        <f t="shared" si="168"/>
        <v>9.4428025948147809E-3</v>
      </c>
      <c r="O519" s="157">
        <f>IF($E519="","",IF($C519=12,IF($B519&lt;Input!$C$9,Input!$C$54,IF($B519=Input!$C$9,Input!$C$55,Input!$C$56)),0%))</f>
        <v>0</v>
      </c>
      <c r="P519" s="167">
        <f>IF($E519="","",IF($B519=1,Input!$C$59,IF($B519&lt;6,Input!$C$60,0%)))</f>
        <v>0</v>
      </c>
      <c r="Q519" s="162">
        <f>IF($E519="","",Input!$C$58)</f>
        <v>2.5</v>
      </c>
      <c r="R519" s="156">
        <f t="shared" si="180"/>
        <v>0.99055719740518522</v>
      </c>
      <c r="S519" s="154">
        <f t="shared" si="169"/>
        <v>2.3817048987592772E-3</v>
      </c>
      <c r="T519" s="152"/>
      <c r="U519" s="150">
        <f t="shared" si="181"/>
        <v>0</v>
      </c>
      <c r="V519" s="150">
        <f t="shared" si="182"/>
        <v>0</v>
      </c>
      <c r="W519" s="168">
        <f t="shared" si="183"/>
        <v>0</v>
      </c>
      <c r="X519" s="163">
        <f t="shared" si="170"/>
        <v>944.28025948147808</v>
      </c>
      <c r="Y519" s="152"/>
      <c r="Z519" s="164">
        <f>IF(AND($C518=12,$D518=Input!$C$6),0,IF($E519="","",V519+Z520/(1+L519)*R519))</f>
        <v>124468.91720518752</v>
      </c>
      <c r="AA519" s="164">
        <f>IF(OR($M519=1,AND($C518=12,$D518=Input!$C$6)),0,IF($E519="","",W519+(X519+AA520*$R519)/(1+$L519)))</f>
        <v>51520.563345272058</v>
      </c>
      <c r="AB519" s="160">
        <f t="shared" si="171"/>
        <v>0.825720328500681</v>
      </c>
      <c r="AC519" s="164">
        <f t="shared" si="172"/>
        <v>0</v>
      </c>
      <c r="AD519" s="164">
        <f>IF(AND($C518=12,$D518=Input!$C$6),0,IF($E519="","",$AC519+AD520/(1+$L519)*$R519))</f>
        <v>102776.51520279146</v>
      </c>
      <c r="AE519" s="152"/>
      <c r="AF519" s="164">
        <f>IF(AND($C518=12,$D518=Input!$C$6),0,IF($E519="","",IF($B519&gt;Input!$C$9,$AC519,0)+AF520/(1+$L519)*$R519))</f>
        <v>102776.51520279146</v>
      </c>
      <c r="AG519" s="164">
        <f>IF(AND($C518=12,$D518=Input!$C$6),0,IF($E519="","",(IF($B519&gt;Input!$C$9,$X519,0)+AG520)/(1+$L519)*$R519))</f>
        <v>50248.291966737066</v>
      </c>
      <c r="AH519" s="160">
        <f t="shared" si="173"/>
        <v>2.0950137211446997</v>
      </c>
      <c r="AI519" s="160">
        <f>IF($E519="","",MIN(Input!$C$61/AH519,1))</f>
        <v>0.64438718771845094</v>
      </c>
      <c r="AJ519" s="152"/>
      <c r="AK519" s="164">
        <f>IF(AND($C518=12,$D518=Input!$C$6),0,IF($E519="","",IF($B519&gt;Input!$C$9,$AC519*AI519,0)+AK520/(1+$L519)*$R519))</f>
        <v>66227.86959502942</v>
      </c>
      <c r="AL519" s="164">
        <f>IF(AND($C518=12,$D518=Input!$C$6),0,IF($E519="","",IF($B519&gt;Input!$C$9,0,$AC519)+AL520/(1+$L519)*$R519))</f>
        <v>0</v>
      </c>
      <c r="AM519" s="160">
        <f t="shared" si="174"/>
        <v>1.1382936520186004</v>
      </c>
      <c r="AN519" s="164">
        <f>IF($E519="","",IF($B519&gt;Input!$C$9,$AI519*$AC519,$AM519*$AC519))</f>
        <v>0</v>
      </c>
      <c r="AO519" s="164">
        <f>IF(AND($C518=12,$D518=Input!$C$6),0,IF($E519="","",$AN519+AO520/(1+$L519)*$R519))</f>
        <v>66227.86959502942</v>
      </c>
      <c r="AP519" s="152"/>
      <c r="AQ519" s="164">
        <f t="shared" si="175"/>
        <v>-14707.306249757363</v>
      </c>
      <c r="AR519" s="164">
        <f t="shared" si="184"/>
        <v>-8523.5158254404996</v>
      </c>
      <c r="AS519" s="164">
        <f t="shared" si="185"/>
        <v>5148.8038277511969</v>
      </c>
      <c r="AT519" s="164">
        <f t="shared" si="176"/>
        <v>5148.8038277511969</v>
      </c>
      <c r="AU519" s="152"/>
      <c r="AV519" s="147">
        <f>'Deterministic Reserve'!BC519</f>
        <v>1.0771855778216844E-3</v>
      </c>
      <c r="AW519" s="164">
        <f t="shared" si="177"/>
        <v>5148.8038277511969</v>
      </c>
      <c r="AX519" s="164">
        <f t="shared" si="178"/>
        <v>5.5462172262866734</v>
      </c>
      <c r="AY519" s="152"/>
    </row>
    <row r="520" spans="1:51" s="150" customFormat="1" x14ac:dyDescent="0.25">
      <c r="A520" s="150">
        <f t="shared" si="186"/>
        <v>516</v>
      </c>
      <c r="B520" s="150">
        <f t="shared" si="187"/>
        <v>43</v>
      </c>
      <c r="C520" s="150">
        <f t="shared" si="188"/>
        <v>12</v>
      </c>
      <c r="D520" s="150">
        <f>IF(E520="","",Input!$C$4+B520-1)</f>
        <v>87</v>
      </c>
      <c r="E520" s="150">
        <f>IF(OR(AND(C519=12,D519=Input!$C$6),E519=""),"",1)</f>
        <v>1</v>
      </c>
      <c r="F520" s="150">
        <f>IF(E520="","",Input!$C$8+B520-1)</f>
        <v>2060</v>
      </c>
      <c r="G520" s="151">
        <f>IF(E520="","",MAX(0,Input!$C$9-B520))</f>
        <v>0</v>
      </c>
      <c r="H520" s="152">
        <f>IF(E520="","",Input!$C$3)</f>
        <v>100000</v>
      </c>
      <c r="I520" s="153">
        <f>IF(E520="","",HLOOKUP($B520,Input!$C$13:$BT$14,2))</f>
        <v>263.64449999999999</v>
      </c>
      <c r="J520" s="154"/>
      <c r="K520" s="155">
        <f>IF($E520="","",Input!$C$57)</f>
        <v>4.4999999999999998E-2</v>
      </c>
      <c r="L520" s="155">
        <f t="shared" si="179"/>
        <v>3.6748094004368514E-3</v>
      </c>
      <c r="M520" s="147">
        <f>IF($E520="","",VLOOKUP(IF($B520&lt;=Input!$C$7,$B520,26),'Mortality Tables'!$A$72:$CA$97,IF($B520&lt;=Input!$C$7+1,Input!$C$4-16,$D520-Input!$C$7-16),0)/1000)</f>
        <v>0.10761</v>
      </c>
      <c r="N520" s="147">
        <f t="shared" si="168"/>
        <v>9.4428025948147809E-3</v>
      </c>
      <c r="O520" s="157">
        <f>IF($E520="","",IF($C520=12,IF($B520&lt;Input!$C$9,Input!$C$54,IF($B520=Input!$C$9,Input!$C$55,Input!$C$56)),0%))</f>
        <v>0.1</v>
      </c>
      <c r="P520" s="167">
        <f>IF($E520="","",IF($B520=1,Input!$C$59,IF($B520&lt;6,Input!$C$60,0%)))</f>
        <v>0</v>
      </c>
      <c r="Q520" s="162">
        <f>IF($E520="","",Input!$C$58)</f>
        <v>2.5</v>
      </c>
      <c r="R520" s="156">
        <f t="shared" si="180"/>
        <v>0.89055719740518524</v>
      </c>
      <c r="S520" s="154">
        <f t="shared" si="169"/>
        <v>2.1210444396852625E-3</v>
      </c>
      <c r="T520" s="152"/>
      <c r="U520" s="150">
        <f t="shared" si="181"/>
        <v>0</v>
      </c>
      <c r="V520" s="150">
        <f t="shared" si="182"/>
        <v>0</v>
      </c>
      <c r="W520" s="168">
        <f t="shared" si="183"/>
        <v>0</v>
      </c>
      <c r="X520" s="163">
        <f t="shared" si="170"/>
        <v>944.28025948147808</v>
      </c>
      <c r="Y520" s="152"/>
      <c r="Z520" s="164">
        <f>IF(AND($C519=12,$D519=Input!$C$6),0,IF($E520="","",V520+Z521/(1+L520)*R520))</f>
        <v>126117.21673361836</v>
      </c>
      <c r="AA520" s="164">
        <f>IF(OR($M520=1,AND($C519=12,$D519=Input!$C$6)),0,IF($E520="","",W520+(X520+AA521*$R520)/(1+$L520)))</f>
        <v>51249.550726874404</v>
      </c>
      <c r="AB520" s="160">
        <f t="shared" si="171"/>
        <v>0.825720328500681</v>
      </c>
      <c r="AC520" s="164">
        <f t="shared" si="172"/>
        <v>0</v>
      </c>
      <c r="AD520" s="164">
        <f>IF(AND($C519=12,$D519=Input!$C$6),0,IF($E520="","",$AC520+AD521/(1+$L520)*$R520))</f>
        <v>104137.5496308749</v>
      </c>
      <c r="AE520" s="152"/>
      <c r="AF520" s="164">
        <f>IF(AND($C519=12,$D519=Input!$C$6),0,IF($E520="","",IF($B520&gt;Input!$C$9,$AC520,0)+AF521/(1+$L520)*$R520))</f>
        <v>104137.5496308749</v>
      </c>
      <c r="AG520" s="164">
        <f>IF(AND($C519=12,$D519=Input!$C$6),0,IF($E520="","",(IF($B520&gt;Input!$C$9,$X520,0)+AG521)/(1+$L520)*$R520))</f>
        <v>49969.432744193604</v>
      </c>
      <c r="AH520" s="160">
        <f t="shared" si="173"/>
        <v>2.0950137211446997</v>
      </c>
      <c r="AI520" s="160">
        <f>IF($E520="","",MIN(Input!$C$61/AH520,1))</f>
        <v>0.64438718771845094</v>
      </c>
      <c r="AJ520" s="152"/>
      <c r="AK520" s="164">
        <f>IF(AND($C519=12,$D519=Input!$C$6),0,IF($E520="","",IF($B520&gt;Input!$C$9,$AC520*AI520,0)+AK521/(1+$L520)*$R520))</f>
        <v>67104.902742530088</v>
      </c>
      <c r="AL520" s="164">
        <f>IF(AND($C519=12,$D519=Input!$C$6),0,IF($E520="","",IF($B520&gt;Input!$C$9,0,$AC520)+AL521/(1+$L520)*$R520))</f>
        <v>0</v>
      </c>
      <c r="AM520" s="160">
        <f t="shared" si="174"/>
        <v>1.1382936520186004</v>
      </c>
      <c r="AN520" s="164">
        <f>IF($E520="","",IF($B520&gt;Input!$C$9,$AI520*$AC520,$AM520*$AC520))</f>
        <v>0</v>
      </c>
      <c r="AO520" s="164">
        <f>IF(AND($C519=12,$D519=Input!$C$6),0,IF($E520="","",$AN520+AO521/(1+$L520)*$R520))</f>
        <v>67104.902742530088</v>
      </c>
      <c r="AP520" s="152"/>
      <c r="AQ520" s="164">
        <f t="shared" si="175"/>
        <v>-15855.352015655684</v>
      </c>
      <c r="AR520" s="164">
        <f t="shared" si="184"/>
        <v>-8523.5158254404996</v>
      </c>
      <c r="AS520" s="164">
        <f t="shared" si="185"/>
        <v>5148.8038277511969</v>
      </c>
      <c r="AT520" s="164">
        <f t="shared" si="176"/>
        <v>5148.8038277511969</v>
      </c>
      <c r="AU520" s="152"/>
      <c r="AV520" s="147">
        <f>'Deterministic Reserve'!BC520</f>
        <v>9.4503962073846719E-4</v>
      </c>
      <c r="AW520" s="164">
        <f t="shared" si="177"/>
        <v>5148.8038277511969</v>
      </c>
      <c r="AX520" s="164">
        <f t="shared" si="178"/>
        <v>4.865823616634759</v>
      </c>
      <c r="AY520" s="152"/>
    </row>
    <row r="521" spans="1:51" s="150" customFormat="1" x14ac:dyDescent="0.25">
      <c r="A521" s="150">
        <f t="shared" si="186"/>
        <v>517</v>
      </c>
      <c r="B521" s="150">
        <f t="shared" si="187"/>
        <v>44</v>
      </c>
      <c r="C521" s="150">
        <f t="shared" si="188"/>
        <v>1</v>
      </c>
      <c r="D521" s="150">
        <f>IF(E521="","",Input!$C$4+B521-1)</f>
        <v>88</v>
      </c>
      <c r="E521" s="150">
        <f>IF(OR(AND(C520=12,D520=Input!$C$6),E520=""),"",1)</f>
        <v>1</v>
      </c>
      <c r="F521" s="150">
        <f>IF(E521="","",Input!$C$8+B521-1)</f>
        <v>2061</v>
      </c>
      <c r="G521" s="151">
        <f>IF(E521="","",MAX(0,Input!$C$9-B521))</f>
        <v>0</v>
      </c>
      <c r="H521" s="152">
        <f>IF(E521="","",Input!$C$3)</f>
        <v>100000</v>
      </c>
      <c r="I521" s="153">
        <f>IF(E521="","",HLOOKUP($B521,Input!$C$13:$BT$14,2))</f>
        <v>301.10500000000002</v>
      </c>
      <c r="J521" s="154"/>
      <c r="K521" s="155">
        <f>IF($E521="","",Input!$C$57)</f>
        <v>4.4999999999999998E-2</v>
      </c>
      <c r="L521" s="155">
        <f t="shared" si="179"/>
        <v>3.6748094004368514E-3</v>
      </c>
      <c r="M521" s="147">
        <f>IF($E521="","",VLOOKUP(IF($B521&lt;=Input!$C$7,$B521,26),'Mortality Tables'!$A$72:$CA$97,IF($B521&lt;=Input!$C$7+1,Input!$C$4-16,$D521-Input!$C$7-16),0)/1000)</f>
        <v>0.12290000000000001</v>
      </c>
      <c r="N521" s="147">
        <f t="shared" si="168"/>
        <v>1.0868363558242056E-2</v>
      </c>
      <c r="O521" s="157">
        <f>IF($E521="","",IF($C521=12,IF($B521&lt;Input!$C$9,Input!$C$54,IF($B521=Input!$C$9,Input!$C$55,Input!$C$56)),0%))</f>
        <v>0</v>
      </c>
      <c r="P521" s="167">
        <f>IF($E521="","",IF($B521=1,Input!$C$59,IF($B521&lt;6,Input!$C$60,0%)))</f>
        <v>0</v>
      </c>
      <c r="Q521" s="162">
        <f>IF($E521="","",Input!$C$58)</f>
        <v>2.5</v>
      </c>
      <c r="R521" s="156">
        <f t="shared" si="180"/>
        <v>0.98913163644175794</v>
      </c>
      <c r="S521" s="154">
        <f t="shared" si="169"/>
        <v>2.0979921575915751E-3</v>
      </c>
      <c r="T521" s="152"/>
      <c r="U521" s="150">
        <f t="shared" si="181"/>
        <v>30110.5</v>
      </c>
      <c r="V521" s="150">
        <f t="shared" si="182"/>
        <v>30110.5</v>
      </c>
      <c r="W521" s="168">
        <f t="shared" si="183"/>
        <v>0</v>
      </c>
      <c r="X521" s="163">
        <f t="shared" si="170"/>
        <v>1086.8363558242056</v>
      </c>
      <c r="Y521" s="152"/>
      <c r="Z521" s="164">
        <f>IF(AND($C520=12,$D520=Input!$C$6),0,IF($E521="","",V521+Z522/(1+L521)*R521))</f>
        <v>142136.48919580446</v>
      </c>
      <c r="AA521" s="164">
        <f>IF(OR($M521=1,AND($C520=12,$D520=Input!$C$6)),0,IF($E521="","",W521+(X521+AA522*$R521)/(1+$L521)))</f>
        <v>56698.888005504101</v>
      </c>
      <c r="AB521" s="160">
        <f t="shared" si="171"/>
        <v>0.825720328500681</v>
      </c>
      <c r="AC521" s="164">
        <f t="shared" si="172"/>
        <v>24862.851951319757</v>
      </c>
      <c r="AD521" s="164">
        <f>IF(AND($C520=12,$D520=Input!$C$6),0,IF($E521="","",$AC521+AD522/(1+$L521)*$R521))</f>
        <v>117364.9885506931</v>
      </c>
      <c r="AE521" s="152"/>
      <c r="AF521" s="164">
        <f>IF(AND($C520=12,$D520=Input!$C$6),0,IF($E521="","",IF($B521&gt;Input!$C$9,$AC521,0)+AF522/(1+$L521)*$R521))</f>
        <v>117364.9885506931</v>
      </c>
      <c r="AG521" s="164">
        <f>IF(AND($C520=12,$D520=Input!$C$6),0,IF($E521="","",(IF($B521&gt;Input!$C$9,$X521,0)+AG522)/(1+$L521)*$R521))</f>
        <v>55372.21578536251</v>
      </c>
      <c r="AH521" s="160">
        <f t="shared" si="173"/>
        <v>2.0950137211446997</v>
      </c>
      <c r="AI521" s="160">
        <f>IF($E521="","",MIN(Input!$C$61/AH521,1))</f>
        <v>0.64438718771845094</v>
      </c>
      <c r="AJ521" s="152"/>
      <c r="AK521" s="164">
        <f>IF(AND($C520=12,$D520=Input!$C$6),0,IF($E521="","",IF($B521&gt;Input!$C$9,$AC521*AI521,0)+AK522/(1+$L521)*$R521))</f>
        <v>75628.494908789318</v>
      </c>
      <c r="AL521" s="164">
        <f>IF(AND($C520=12,$D520=Input!$C$6),0,IF($E521="","",IF($B521&gt;Input!$C$9,0,$AC521)+AL522/(1+$L521)*$R521))</f>
        <v>0</v>
      </c>
      <c r="AM521" s="160">
        <f t="shared" si="174"/>
        <v>1.1382936520186004</v>
      </c>
      <c r="AN521" s="164">
        <f>IF($E521="","",IF($B521&gt;Input!$C$9,$AI521*$AC521,$AM521*$AC521))</f>
        <v>16021.303247571139</v>
      </c>
      <c r="AO521" s="164">
        <f>IF(AND($C520=12,$D520=Input!$C$6),0,IF($E521="","",$AN521+AO522/(1+$L521)*$R521))</f>
        <v>75628.494908789318</v>
      </c>
      <c r="AP521" s="152"/>
      <c r="AQ521" s="164">
        <f t="shared" si="175"/>
        <v>-18929.606903285217</v>
      </c>
      <c r="AR521" s="164">
        <f t="shared" si="184"/>
        <v>-8132.171077747621</v>
      </c>
      <c r="AS521" s="164">
        <f t="shared" si="185"/>
        <v>5880.3827751196186</v>
      </c>
      <c r="AT521" s="164">
        <f t="shared" si="176"/>
        <v>5880.3827751196186</v>
      </c>
      <c r="AU521" s="152"/>
      <c r="AV521" s="147">
        <f>'Deterministic Reserve'!BC521</f>
        <v>9.2024057925314893E-4</v>
      </c>
      <c r="AW521" s="164">
        <f t="shared" si="177"/>
        <v>5880.3827751196186</v>
      </c>
      <c r="AX521" s="164">
        <f t="shared" si="178"/>
        <v>5.4113668512063171</v>
      </c>
      <c r="AY521" s="152"/>
    </row>
    <row r="522" spans="1:51" s="150" customFormat="1" x14ac:dyDescent="0.25">
      <c r="A522" s="150">
        <f t="shared" si="186"/>
        <v>518</v>
      </c>
      <c r="B522" s="150">
        <f t="shared" si="187"/>
        <v>44</v>
      </c>
      <c r="C522" s="150">
        <f t="shared" si="188"/>
        <v>2</v>
      </c>
      <c r="D522" s="150">
        <f>IF(E522="","",Input!$C$4+B522-1)</f>
        <v>88</v>
      </c>
      <c r="E522" s="150">
        <f>IF(OR(AND(C521=12,D521=Input!$C$6),E521=""),"",1)</f>
        <v>1</v>
      </c>
      <c r="F522" s="150">
        <f>IF(E522="","",Input!$C$8+B522-1)</f>
        <v>2061</v>
      </c>
      <c r="G522" s="151">
        <f>IF(E522="","",MAX(0,Input!$C$9-B522))</f>
        <v>0</v>
      </c>
      <c r="H522" s="152">
        <f>IF(E522="","",Input!$C$3)</f>
        <v>100000</v>
      </c>
      <c r="I522" s="153">
        <f>IF(E522="","",HLOOKUP($B522,Input!$C$13:$BT$14,2))</f>
        <v>301.10500000000002</v>
      </c>
      <c r="J522" s="154"/>
      <c r="K522" s="155">
        <f>IF($E522="","",Input!$C$57)</f>
        <v>4.4999999999999998E-2</v>
      </c>
      <c r="L522" s="155">
        <f t="shared" si="179"/>
        <v>3.6748094004368514E-3</v>
      </c>
      <c r="M522" s="147">
        <f>IF($E522="","",VLOOKUP(IF($B522&lt;=Input!$C$7,$B522,26),'Mortality Tables'!$A$72:$CA$97,IF($B522&lt;=Input!$C$7+1,Input!$C$4-16,$D522-Input!$C$7-16),0)/1000)</f>
        <v>0.12290000000000001</v>
      </c>
      <c r="N522" s="147">
        <f t="shared" si="168"/>
        <v>1.0868363558242056E-2</v>
      </c>
      <c r="O522" s="157">
        <f>IF($E522="","",IF($C522=12,IF($B522&lt;Input!$C$9,Input!$C$54,IF($B522=Input!$C$9,Input!$C$55,Input!$C$56)),0%))</f>
        <v>0</v>
      </c>
      <c r="P522" s="167">
        <f>IF($E522="","",IF($B522=1,Input!$C$59,IF($B522&lt;6,Input!$C$60,0%)))</f>
        <v>0</v>
      </c>
      <c r="Q522" s="162">
        <f>IF($E522="","",Input!$C$58)</f>
        <v>2.5</v>
      </c>
      <c r="R522" s="156">
        <f t="shared" si="180"/>
        <v>0.98913163644175794</v>
      </c>
      <c r="S522" s="154">
        <f t="shared" si="169"/>
        <v>2.0751904160805292E-3</v>
      </c>
      <c r="T522" s="152"/>
      <c r="U522" s="150">
        <f t="shared" si="181"/>
        <v>0</v>
      </c>
      <c r="V522" s="150">
        <f t="shared" si="182"/>
        <v>0</v>
      </c>
      <c r="W522" s="168">
        <f t="shared" si="183"/>
        <v>0</v>
      </c>
      <c r="X522" s="163">
        <f t="shared" si="170"/>
        <v>1086.8363558242056</v>
      </c>
      <c r="Y522" s="152"/>
      <c r="Z522" s="164">
        <f>IF(AND($C521=12,$D521=Input!$C$6),0,IF($E522="","",V522+Z523/(1+L522)*R522))</f>
        <v>113673.10397478625</v>
      </c>
      <c r="AA522" s="164">
        <f>IF(OR($M522=1,AND($C521=12,$D521=Input!$C$6)),0,IF($E522="","",W522+(X522+AA523*$R522)/(1+$L522)))</f>
        <v>56433.751787701163</v>
      </c>
      <c r="AB522" s="160">
        <f t="shared" si="171"/>
        <v>0.825720328500681</v>
      </c>
      <c r="AC522" s="164">
        <f t="shared" si="172"/>
        <v>0</v>
      </c>
      <c r="AD522" s="164">
        <f>IF(AND($C521=12,$D521=Input!$C$6),0,IF($E522="","",$AC522+AD523/(1+$L522)*$R522))</f>
        <v>93862.192755752534</v>
      </c>
      <c r="AE522" s="152"/>
      <c r="AF522" s="164">
        <f>IF(AND($C521=12,$D521=Input!$C$6),0,IF($E522="","",IF($B522&gt;Input!$C$9,$AC522,0)+AF523/(1+$L522)*$R522))</f>
        <v>93862.192755752534</v>
      </c>
      <c r="AG522" s="164">
        <f>IF(AND($C521=12,$D521=Input!$C$6),0,IF($E522="","",(IF($B522&gt;Input!$C$9,$X522,0)+AG523)/(1+$L522)*$R522))</f>
        <v>55099.515467253885</v>
      </c>
      <c r="AH522" s="160">
        <f t="shared" si="173"/>
        <v>2.0950137211446997</v>
      </c>
      <c r="AI522" s="160">
        <f>IF($E522="","",MIN(Input!$C$61/AH522,1))</f>
        <v>0.64438718771845094</v>
      </c>
      <c r="AJ522" s="152"/>
      <c r="AK522" s="164">
        <f>IF(AND($C521=12,$D521=Input!$C$6),0,IF($E522="","",IF($B522&gt;Input!$C$9,$AC522*AI522,0)+AK523/(1+$L522)*$R522))</f>
        <v>60483.594422966526</v>
      </c>
      <c r="AL522" s="164">
        <f>IF(AND($C521=12,$D521=Input!$C$6),0,IF($E522="","",IF($B522&gt;Input!$C$9,0,$AC522)+AL523/(1+$L522)*$R522))</f>
        <v>0</v>
      </c>
      <c r="AM522" s="160">
        <f t="shared" si="174"/>
        <v>1.1382936520186004</v>
      </c>
      <c r="AN522" s="164">
        <f>IF($E522="","",IF($B522&gt;Input!$C$9,$AI522*$AC522,$AM522*$AC522))</f>
        <v>0</v>
      </c>
      <c r="AO522" s="164">
        <f>IF(AND($C521=12,$D521=Input!$C$6),0,IF($E522="","",$AN522+AO523/(1+$L522)*$R522))</f>
        <v>60483.594422966526</v>
      </c>
      <c r="AP522" s="152"/>
      <c r="AQ522" s="164">
        <f t="shared" si="175"/>
        <v>-4049.8426352653623</v>
      </c>
      <c r="AR522" s="164">
        <f t="shared" si="184"/>
        <v>-8132.171077747621</v>
      </c>
      <c r="AS522" s="164">
        <f t="shared" si="185"/>
        <v>5880.3827751196186</v>
      </c>
      <c r="AT522" s="164">
        <f t="shared" si="176"/>
        <v>5880.3827751196186</v>
      </c>
      <c r="AU522" s="152"/>
      <c r="AV522" s="147">
        <f>'Deterministic Reserve'!BC522</f>
        <v>8.9609229615414041E-4</v>
      </c>
      <c r="AW522" s="164">
        <f t="shared" si="177"/>
        <v>5880.3827751196186</v>
      </c>
      <c r="AX522" s="164">
        <f t="shared" si="178"/>
        <v>5.2693657032221957</v>
      </c>
      <c r="AY522" s="152"/>
    </row>
    <row r="523" spans="1:51" s="150" customFormat="1" x14ac:dyDescent="0.25">
      <c r="A523" s="150">
        <f t="shared" si="186"/>
        <v>519</v>
      </c>
      <c r="B523" s="150">
        <f t="shared" si="187"/>
        <v>44</v>
      </c>
      <c r="C523" s="150">
        <f t="shared" si="188"/>
        <v>3</v>
      </c>
      <c r="D523" s="150">
        <f>IF(E523="","",Input!$C$4+B523-1)</f>
        <v>88</v>
      </c>
      <c r="E523" s="150">
        <f>IF(OR(AND(C522=12,D522=Input!$C$6),E522=""),"",1)</f>
        <v>1</v>
      </c>
      <c r="F523" s="150">
        <f>IF(E523="","",Input!$C$8+B523-1)</f>
        <v>2061</v>
      </c>
      <c r="G523" s="151">
        <f>IF(E523="","",MAX(0,Input!$C$9-B523))</f>
        <v>0</v>
      </c>
      <c r="H523" s="152">
        <f>IF(E523="","",Input!$C$3)</f>
        <v>100000</v>
      </c>
      <c r="I523" s="153">
        <f>IF(E523="","",HLOOKUP($B523,Input!$C$13:$BT$14,2))</f>
        <v>301.10500000000002</v>
      </c>
      <c r="J523" s="154"/>
      <c r="K523" s="155">
        <f>IF($E523="","",Input!$C$57)</f>
        <v>4.4999999999999998E-2</v>
      </c>
      <c r="L523" s="155">
        <f t="shared" si="179"/>
        <v>3.6748094004368514E-3</v>
      </c>
      <c r="M523" s="147">
        <f>IF($E523="","",VLOOKUP(IF($B523&lt;=Input!$C$7,$B523,26),'Mortality Tables'!$A$72:$CA$97,IF($B523&lt;=Input!$C$7+1,Input!$C$4-16,$D523-Input!$C$7-16),0)/1000)</f>
        <v>0.12290000000000001</v>
      </c>
      <c r="N523" s="147">
        <f t="shared" si="168"/>
        <v>1.0868363558242056E-2</v>
      </c>
      <c r="O523" s="157">
        <f>IF($E523="","",IF($C523=12,IF($B523&lt;Input!$C$9,Input!$C$54,IF($B523=Input!$C$9,Input!$C$55,Input!$C$56)),0%))</f>
        <v>0</v>
      </c>
      <c r="P523" s="167">
        <f>IF($E523="","",IF($B523=1,Input!$C$59,IF($B523&lt;6,Input!$C$60,0%)))</f>
        <v>0</v>
      </c>
      <c r="Q523" s="162">
        <f>IF($E523="","",Input!$C$58)</f>
        <v>2.5</v>
      </c>
      <c r="R523" s="156">
        <f t="shared" si="180"/>
        <v>0.98913163644175794</v>
      </c>
      <c r="S523" s="154">
        <f t="shared" si="169"/>
        <v>2.0526364921859865E-3</v>
      </c>
      <c r="T523" s="152"/>
      <c r="U523" s="150">
        <f t="shared" si="181"/>
        <v>0</v>
      </c>
      <c r="V523" s="150">
        <f t="shared" si="182"/>
        <v>0</v>
      </c>
      <c r="W523" s="168">
        <f t="shared" si="183"/>
        <v>0</v>
      </c>
      <c r="X523" s="163">
        <f t="shared" si="170"/>
        <v>1086.8363558242056</v>
      </c>
      <c r="Y523" s="152"/>
      <c r="Z523" s="164">
        <f>IF(AND($C522=12,$D522=Input!$C$6),0,IF($E523="","",V523+Z524/(1+L523)*R523))</f>
        <v>115344.4362332531</v>
      </c>
      <c r="AA523" s="164">
        <f>IF(OR($M523=1,AND($C522=12,$D522=Input!$C$6)),0,IF($E523="","",W523+(X523+AA524*$R523)/(1+$L523)))</f>
        <v>56164.717279993165</v>
      </c>
      <c r="AB523" s="160">
        <f t="shared" si="171"/>
        <v>0.825720328500681</v>
      </c>
      <c r="AC523" s="164">
        <f t="shared" si="172"/>
        <v>0</v>
      </c>
      <c r="AD523" s="164">
        <f>IF(AND($C522=12,$D522=Input!$C$6),0,IF($E523="","",$AC523+AD524/(1+$L523)*$R523))</f>
        <v>95242.245777247561</v>
      </c>
      <c r="AE523" s="152"/>
      <c r="AF523" s="164">
        <f>IF(AND($C522=12,$D522=Input!$C$6),0,IF($E523="","",IF($B523&gt;Input!$C$9,$AC523,0)+AF524/(1+$L523)*$R523))</f>
        <v>95242.245777247561</v>
      </c>
      <c r="AG523" s="164">
        <f>IF(AND($C522=12,$D522=Input!$C$6),0,IF($E523="","",(IF($B523&gt;Input!$C$9,$X523,0)+AG524)/(1+$L523)*$R523))</f>
        <v>54822.805644498934</v>
      </c>
      <c r="AH523" s="160">
        <f t="shared" si="173"/>
        <v>2.0950137211446997</v>
      </c>
      <c r="AI523" s="160">
        <f>IF($E523="","",MIN(Input!$C$61/AH523,1))</f>
        <v>0.64438718771845094</v>
      </c>
      <c r="AJ523" s="152"/>
      <c r="AK523" s="164">
        <f>IF(AND($C522=12,$D522=Input!$C$6),0,IF($E523="","",IF($B523&gt;Input!$C$9,$AC523*AI523,0)+AK524/(1+$L523)*$R523))</f>
        <v>61372.882908390056</v>
      </c>
      <c r="AL523" s="164">
        <f>IF(AND($C522=12,$D522=Input!$C$6),0,IF($E523="","",IF($B523&gt;Input!$C$9,0,$AC523)+AL524/(1+$L523)*$R523))</f>
        <v>0</v>
      </c>
      <c r="AM523" s="160">
        <f t="shared" si="174"/>
        <v>1.1382936520186004</v>
      </c>
      <c r="AN523" s="164">
        <f>IF($E523="","",IF($B523&gt;Input!$C$9,$AI523*$AC523,$AM523*$AC523))</f>
        <v>0</v>
      </c>
      <c r="AO523" s="164">
        <f>IF(AND($C522=12,$D522=Input!$C$6),0,IF($E523="","",$AN523+AO524/(1+$L523)*$R523))</f>
        <v>61372.882908390056</v>
      </c>
      <c r="AP523" s="152"/>
      <c r="AQ523" s="164">
        <f t="shared" si="175"/>
        <v>-5208.1656283968914</v>
      </c>
      <c r="AR523" s="164">
        <f t="shared" si="184"/>
        <v>-8132.171077747621</v>
      </c>
      <c r="AS523" s="164">
        <f t="shared" si="185"/>
        <v>5880.3827751196186</v>
      </c>
      <c r="AT523" s="164">
        <f t="shared" si="176"/>
        <v>5880.3827751196186</v>
      </c>
      <c r="AU523" s="152"/>
      <c r="AV523" s="147">
        <f>'Deterministic Reserve'!BC523</f>
        <v>8.7257769471379455E-4</v>
      </c>
      <c r="AW523" s="164">
        <f t="shared" si="177"/>
        <v>5880.3827751196186</v>
      </c>
      <c r="AX523" s="164">
        <f t="shared" si="178"/>
        <v>5.1310908459485827</v>
      </c>
      <c r="AY523" s="152"/>
    </row>
    <row r="524" spans="1:51" s="150" customFormat="1" x14ac:dyDescent="0.25">
      <c r="A524" s="150">
        <f t="shared" si="186"/>
        <v>520</v>
      </c>
      <c r="B524" s="150">
        <f t="shared" si="187"/>
        <v>44</v>
      </c>
      <c r="C524" s="150">
        <f t="shared" si="188"/>
        <v>4</v>
      </c>
      <c r="D524" s="150">
        <f>IF(E524="","",Input!$C$4+B524-1)</f>
        <v>88</v>
      </c>
      <c r="E524" s="150">
        <f>IF(OR(AND(C523=12,D523=Input!$C$6),E523=""),"",1)</f>
        <v>1</v>
      </c>
      <c r="F524" s="150">
        <f>IF(E524="","",Input!$C$8+B524-1)</f>
        <v>2061</v>
      </c>
      <c r="G524" s="151">
        <f>IF(E524="","",MAX(0,Input!$C$9-B524))</f>
        <v>0</v>
      </c>
      <c r="H524" s="152">
        <f>IF(E524="","",Input!$C$3)</f>
        <v>100000</v>
      </c>
      <c r="I524" s="153">
        <f>IF(E524="","",HLOOKUP($B524,Input!$C$13:$BT$14,2))</f>
        <v>301.10500000000002</v>
      </c>
      <c r="J524" s="154"/>
      <c r="K524" s="155">
        <f>IF($E524="","",Input!$C$57)</f>
        <v>4.4999999999999998E-2</v>
      </c>
      <c r="L524" s="155">
        <f t="shared" si="179"/>
        <v>3.6748094004368514E-3</v>
      </c>
      <c r="M524" s="147">
        <f>IF($E524="","",VLOOKUP(IF($B524&lt;=Input!$C$7,$B524,26),'Mortality Tables'!$A$72:$CA$97,IF($B524&lt;=Input!$C$7+1,Input!$C$4-16,$D524-Input!$C$7-16),0)/1000)</f>
        <v>0.12290000000000001</v>
      </c>
      <c r="N524" s="147">
        <f t="shared" si="168"/>
        <v>1.0868363558242056E-2</v>
      </c>
      <c r="O524" s="157">
        <f>IF($E524="","",IF($C524=12,IF($B524&lt;Input!$C$9,Input!$C$54,IF($B524=Input!$C$9,Input!$C$55,Input!$C$56)),0%))</f>
        <v>0</v>
      </c>
      <c r="P524" s="167">
        <f>IF($E524="","",IF($B524=1,Input!$C$59,IF($B524&lt;6,Input!$C$60,0%)))</f>
        <v>0</v>
      </c>
      <c r="Q524" s="162">
        <f>IF($E524="","",Input!$C$58)</f>
        <v>2.5</v>
      </c>
      <c r="R524" s="156">
        <f t="shared" si="180"/>
        <v>0.98913163644175794</v>
      </c>
      <c r="S524" s="154">
        <f t="shared" si="169"/>
        <v>2.0303276925359944E-3</v>
      </c>
      <c r="T524" s="152"/>
      <c r="U524" s="150">
        <f t="shared" si="181"/>
        <v>0</v>
      </c>
      <c r="V524" s="150">
        <f t="shared" si="182"/>
        <v>0</v>
      </c>
      <c r="W524" s="168">
        <f t="shared" si="183"/>
        <v>0</v>
      </c>
      <c r="X524" s="163">
        <f t="shared" si="170"/>
        <v>1086.8363558242056</v>
      </c>
      <c r="Y524" s="152"/>
      <c r="Z524" s="164">
        <f>IF(AND($C523=12,$D523=Input!$C$6),0,IF($E524="","",V524+Z525/(1+L524)*R524))</f>
        <v>117040.34204008378</v>
      </c>
      <c r="AA524" s="164">
        <f>IF(OR($M524=1,AND($C523=12,$D523=Input!$C$6)),0,IF($E524="","",W524+(X524+AA525*$R524)/(1+$L524)))</f>
        <v>55891.727165939868</v>
      </c>
      <c r="AB524" s="160">
        <f t="shared" si="171"/>
        <v>0.825720328500681</v>
      </c>
      <c r="AC524" s="164">
        <f t="shared" si="172"/>
        <v>0</v>
      </c>
      <c r="AD524" s="164">
        <f>IF(AND($C523=12,$D523=Input!$C$6),0,IF($E524="","",$AC524+AD525/(1+$L524)*$R524))</f>
        <v>96642.589677169992</v>
      </c>
      <c r="AE524" s="152"/>
      <c r="AF524" s="164">
        <f>IF(AND($C523=12,$D523=Input!$C$6),0,IF($E524="","",IF($B524&gt;Input!$C$9,$AC524,0)+AF525/(1+$L524)*$R524))</f>
        <v>96642.589677169992</v>
      </c>
      <c r="AG524" s="164">
        <f>IF(AND($C523=12,$D523=Input!$C$6),0,IF($E524="","",(IF($B524&gt;Input!$C$9,$X524,0)+AG525)/(1+$L524)*$R524))</f>
        <v>54542.027365470392</v>
      </c>
      <c r="AH524" s="160">
        <f t="shared" si="173"/>
        <v>2.0950137211446997</v>
      </c>
      <c r="AI524" s="160">
        <f>IF($E524="","",MIN(Input!$C$61/AH524,1))</f>
        <v>0.64438718771845094</v>
      </c>
      <c r="AJ524" s="152"/>
      <c r="AK524" s="164">
        <f>IF(AND($C523=12,$D523=Input!$C$6),0,IF($E524="","",IF($B524&gt;Input!$C$9,$AC524*AI524,0)+AK525/(1+$L524)*$R524))</f>
        <v>62275.246575899771</v>
      </c>
      <c r="AL524" s="164">
        <f>IF(AND($C523=12,$D523=Input!$C$6),0,IF($E524="","",IF($B524&gt;Input!$C$9,0,$AC524)+AL525/(1+$L524)*$R524))</f>
        <v>0</v>
      </c>
      <c r="AM524" s="160">
        <f t="shared" si="174"/>
        <v>1.1382936520186004</v>
      </c>
      <c r="AN524" s="164">
        <f>IF($E524="","",IF($B524&gt;Input!$C$9,$AI524*$AC524,$AM524*$AC524))</f>
        <v>0</v>
      </c>
      <c r="AO524" s="164">
        <f>IF(AND($C523=12,$D523=Input!$C$6),0,IF($E524="","",$AN524+AO525/(1+$L524)*$R524))</f>
        <v>62275.246575899771</v>
      </c>
      <c r="AP524" s="152"/>
      <c r="AQ524" s="164">
        <f t="shared" si="175"/>
        <v>-6383.519409959903</v>
      </c>
      <c r="AR524" s="164">
        <f t="shared" si="184"/>
        <v>-8132.171077747621</v>
      </c>
      <c r="AS524" s="164">
        <f t="shared" si="185"/>
        <v>5880.3827751196186</v>
      </c>
      <c r="AT524" s="164">
        <f t="shared" si="176"/>
        <v>5880.3827751196186</v>
      </c>
      <c r="AU524" s="152"/>
      <c r="AV524" s="147">
        <f>'Deterministic Reserve'!BC524</f>
        <v>8.4968014631951489E-4</v>
      </c>
      <c r="AW524" s="164">
        <f t="shared" si="177"/>
        <v>5880.3827751196186</v>
      </c>
      <c r="AX524" s="164">
        <f t="shared" si="178"/>
        <v>4.996444496778393</v>
      </c>
      <c r="AY524" s="152"/>
    </row>
    <row r="525" spans="1:51" s="150" customFormat="1" x14ac:dyDescent="0.25">
      <c r="A525" s="150">
        <f t="shared" si="186"/>
        <v>521</v>
      </c>
      <c r="B525" s="150">
        <f t="shared" si="187"/>
        <v>44</v>
      </c>
      <c r="C525" s="150">
        <f t="shared" si="188"/>
        <v>5</v>
      </c>
      <c r="D525" s="150">
        <f>IF(E525="","",Input!$C$4+B525-1)</f>
        <v>88</v>
      </c>
      <c r="E525" s="150">
        <f>IF(OR(AND(C524=12,D524=Input!$C$6),E524=""),"",1)</f>
        <v>1</v>
      </c>
      <c r="F525" s="150">
        <f>IF(E525="","",Input!$C$8+B525-1)</f>
        <v>2061</v>
      </c>
      <c r="G525" s="151">
        <f>IF(E525="","",MAX(0,Input!$C$9-B525))</f>
        <v>0</v>
      </c>
      <c r="H525" s="152">
        <f>IF(E525="","",Input!$C$3)</f>
        <v>100000</v>
      </c>
      <c r="I525" s="153">
        <f>IF(E525="","",HLOOKUP($B525,Input!$C$13:$BT$14,2))</f>
        <v>301.10500000000002</v>
      </c>
      <c r="J525" s="154"/>
      <c r="K525" s="155">
        <f>IF($E525="","",Input!$C$57)</f>
        <v>4.4999999999999998E-2</v>
      </c>
      <c r="L525" s="155">
        <f t="shared" si="179"/>
        <v>3.6748094004368514E-3</v>
      </c>
      <c r="M525" s="147">
        <f>IF($E525="","",VLOOKUP(IF($B525&lt;=Input!$C$7,$B525,26),'Mortality Tables'!$A$72:$CA$97,IF($B525&lt;=Input!$C$7+1,Input!$C$4-16,$D525-Input!$C$7-16),0)/1000)</f>
        <v>0.12290000000000001</v>
      </c>
      <c r="N525" s="147">
        <f t="shared" si="168"/>
        <v>1.0868363558242056E-2</v>
      </c>
      <c r="O525" s="157">
        <f>IF($E525="","",IF($C525=12,IF($B525&lt;Input!$C$9,Input!$C$54,IF($B525=Input!$C$9,Input!$C$55,Input!$C$56)),0%))</f>
        <v>0</v>
      </c>
      <c r="P525" s="167">
        <f>IF($E525="","",IF($B525=1,Input!$C$59,IF($B525&lt;6,Input!$C$60,0%)))</f>
        <v>0</v>
      </c>
      <c r="Q525" s="162">
        <f>IF($E525="","",Input!$C$58)</f>
        <v>2.5</v>
      </c>
      <c r="R525" s="156">
        <f t="shared" si="180"/>
        <v>0.98913163644175794</v>
      </c>
      <c r="S525" s="154">
        <f t="shared" si="169"/>
        <v>2.0082613530311468E-3</v>
      </c>
      <c r="T525" s="152"/>
      <c r="U525" s="150">
        <f t="shared" si="181"/>
        <v>0</v>
      </c>
      <c r="V525" s="150">
        <f t="shared" si="182"/>
        <v>0</v>
      </c>
      <c r="W525" s="168">
        <f t="shared" si="183"/>
        <v>0</v>
      </c>
      <c r="X525" s="163">
        <f t="shared" si="170"/>
        <v>1086.8363558242056</v>
      </c>
      <c r="Y525" s="152"/>
      <c r="Z525" s="164">
        <f>IF(AND($C524=12,$D524=Input!$C$6),0,IF($E525="","",V525+Z526/(1+L525)*R525))</f>
        <v>118761.1826994272</v>
      </c>
      <c r="AA525" s="164">
        <f>IF(OR($M525=1,AND($C524=12,$D524=Input!$C$6)),0,IF($E525="","",W525+(X525+AA526*$R525)/(1+$L525)))</f>
        <v>55614.723286379107</v>
      </c>
      <c r="AB525" s="160">
        <f t="shared" si="171"/>
        <v>0.825720328500681</v>
      </c>
      <c r="AC525" s="164">
        <f t="shared" si="172"/>
        <v>0</v>
      </c>
      <c r="AD525" s="164">
        <f>IF(AND($C524=12,$D524=Input!$C$6),0,IF($E525="","",$AC525+AD526/(1+$L525)*$R525))</f>
        <v>98063.522791700379</v>
      </c>
      <c r="AE525" s="152"/>
      <c r="AF525" s="164">
        <f>IF(AND($C524=12,$D524=Input!$C$6),0,IF($E525="","",IF($B525&gt;Input!$C$9,$AC525,0)+AF526/(1+$L525)*$R525))</f>
        <v>98063.522791700379</v>
      </c>
      <c r="AG525" s="164">
        <f>IF(AND($C524=12,$D524=Input!$C$6),0,IF($E525="","",(IF($B525&gt;Input!$C$9,$X525,0)+AG526)/(1+$L525)*$R525))</f>
        <v>54257.120811776964</v>
      </c>
      <c r="AH525" s="160">
        <f t="shared" si="173"/>
        <v>2.0950137211446997</v>
      </c>
      <c r="AI525" s="160">
        <f>IF($E525="","",MIN(Input!$C$61/AH525,1))</f>
        <v>0.64438718771845094</v>
      </c>
      <c r="AJ525" s="152"/>
      <c r="AK525" s="164">
        <f>IF(AND($C524=12,$D524=Input!$C$6),0,IF($E525="","",IF($B525&gt;Input!$C$9,$AC525*AI525,0)+AK526/(1+$L525)*$R525))</f>
        <v>63190.877669508023</v>
      </c>
      <c r="AL525" s="164">
        <f>IF(AND($C524=12,$D524=Input!$C$6),0,IF($E525="","",IF($B525&gt;Input!$C$9,0,$AC525)+AL526/(1+$L525)*$R525))</f>
        <v>0</v>
      </c>
      <c r="AM525" s="160">
        <f t="shared" si="174"/>
        <v>1.1382936520186004</v>
      </c>
      <c r="AN525" s="164">
        <f>IF($E525="","",IF($B525&gt;Input!$C$9,$AI525*$AC525,$AM525*$AC525))</f>
        <v>0</v>
      </c>
      <c r="AO525" s="164">
        <f>IF(AND($C524=12,$D524=Input!$C$6),0,IF($E525="","",$AN525+AO526/(1+$L525)*$R525))</f>
        <v>63190.877669508023</v>
      </c>
      <c r="AP525" s="152"/>
      <c r="AQ525" s="164">
        <f t="shared" si="175"/>
        <v>-7576.1543831289164</v>
      </c>
      <c r="AR525" s="164">
        <f t="shared" si="184"/>
        <v>-8132.171077747621</v>
      </c>
      <c r="AS525" s="164">
        <f t="shared" si="185"/>
        <v>5880.3827751196186</v>
      </c>
      <c r="AT525" s="164">
        <f t="shared" si="176"/>
        <v>5880.3827751196186</v>
      </c>
      <c r="AU525" s="152"/>
      <c r="AV525" s="147">
        <f>'Deterministic Reserve'!BC525</f>
        <v>8.2738345871464646E-4</v>
      </c>
      <c r="AW525" s="164">
        <f t="shared" si="177"/>
        <v>5880.3827751196186</v>
      </c>
      <c r="AX525" s="164">
        <f t="shared" si="178"/>
        <v>4.8653314390445015</v>
      </c>
      <c r="AY525" s="152"/>
    </row>
    <row r="526" spans="1:51" s="150" customFormat="1" x14ac:dyDescent="0.25">
      <c r="A526" s="150">
        <f t="shared" si="186"/>
        <v>522</v>
      </c>
      <c r="B526" s="150">
        <f t="shared" si="187"/>
        <v>44</v>
      </c>
      <c r="C526" s="150">
        <f t="shared" si="188"/>
        <v>6</v>
      </c>
      <c r="D526" s="150">
        <f>IF(E526="","",Input!$C$4+B526-1)</f>
        <v>88</v>
      </c>
      <c r="E526" s="150">
        <f>IF(OR(AND(C525=12,D525=Input!$C$6),E525=""),"",1)</f>
        <v>1</v>
      </c>
      <c r="F526" s="150">
        <f>IF(E526="","",Input!$C$8+B526-1)</f>
        <v>2061</v>
      </c>
      <c r="G526" s="151">
        <f>IF(E526="","",MAX(0,Input!$C$9-B526))</f>
        <v>0</v>
      </c>
      <c r="H526" s="152">
        <f>IF(E526="","",Input!$C$3)</f>
        <v>100000</v>
      </c>
      <c r="I526" s="153">
        <f>IF(E526="","",HLOOKUP($B526,Input!$C$13:$BT$14,2))</f>
        <v>301.10500000000002</v>
      </c>
      <c r="J526" s="154"/>
      <c r="K526" s="155">
        <f>IF($E526="","",Input!$C$57)</f>
        <v>4.4999999999999998E-2</v>
      </c>
      <c r="L526" s="155">
        <f t="shared" si="179"/>
        <v>3.6748094004368514E-3</v>
      </c>
      <c r="M526" s="147">
        <f>IF($E526="","",VLOOKUP(IF($B526&lt;=Input!$C$7,$B526,26),'Mortality Tables'!$A$72:$CA$97,IF($B526&lt;=Input!$C$7+1,Input!$C$4-16,$D526-Input!$C$7-16),0)/1000)</f>
        <v>0.12290000000000001</v>
      </c>
      <c r="N526" s="147">
        <f t="shared" si="168"/>
        <v>1.0868363558242056E-2</v>
      </c>
      <c r="O526" s="157">
        <f>IF($E526="","",IF($C526=12,IF($B526&lt;Input!$C$9,Input!$C$54,IF($B526=Input!$C$9,Input!$C$55,Input!$C$56)),0%))</f>
        <v>0</v>
      </c>
      <c r="P526" s="167">
        <f>IF($E526="","",IF($B526=1,Input!$C$59,IF($B526&lt;6,Input!$C$60,0%)))</f>
        <v>0</v>
      </c>
      <c r="Q526" s="162">
        <f>IF($E526="","",Input!$C$58)</f>
        <v>2.5</v>
      </c>
      <c r="R526" s="156">
        <f t="shared" si="180"/>
        <v>0.98913163644175794</v>
      </c>
      <c r="S526" s="154">
        <f t="shared" si="169"/>
        <v>1.9864348385264371E-3</v>
      </c>
      <c r="T526" s="152"/>
      <c r="U526" s="150">
        <f t="shared" si="181"/>
        <v>0</v>
      </c>
      <c r="V526" s="150">
        <f t="shared" si="182"/>
        <v>0</v>
      </c>
      <c r="W526" s="168">
        <f t="shared" si="183"/>
        <v>0</v>
      </c>
      <c r="X526" s="163">
        <f t="shared" si="170"/>
        <v>1086.8363558242056</v>
      </c>
      <c r="Y526" s="152"/>
      <c r="Z526" s="164">
        <f>IF(AND($C525=12,$D525=Input!$C$6),0,IF($E526="","",V526+Z527/(1+L526)*R526))</f>
        <v>120507.32482767641</v>
      </c>
      <c r="AA526" s="164">
        <f>IF(OR($M526=1,AND($C525=12,$D525=Input!$C$6)),0,IF($E526="","",W526+(X526+AA527*$R526)/(1+$L526)))</f>
        <v>55333.646627036309</v>
      </c>
      <c r="AB526" s="160">
        <f t="shared" si="171"/>
        <v>0.825720328500681</v>
      </c>
      <c r="AC526" s="164">
        <f t="shared" si="172"/>
        <v>0</v>
      </c>
      <c r="AD526" s="164">
        <f>IF(AND($C525=12,$D525=Input!$C$6),0,IF($E526="","",$AC526+AD527/(1+$L526)*$R526))</f>
        <v>99505.347843447205</v>
      </c>
      <c r="AE526" s="152"/>
      <c r="AF526" s="164">
        <f>IF(AND($C525=12,$D525=Input!$C$6),0,IF($E526="","",IF($B526&gt;Input!$C$9,$AC526,0)+AF527/(1+$L526)*$R526))</f>
        <v>99505.347843447205</v>
      </c>
      <c r="AG526" s="164">
        <f>IF(AND($C525=12,$D525=Input!$C$6),0,IF($E526="","",(IF($B526&gt;Input!$C$9,$X526,0)+AG527)/(1+$L526)*$R526))</f>
        <v>53968.025285519347</v>
      </c>
      <c r="AH526" s="160">
        <f t="shared" si="173"/>
        <v>2.0950137211446997</v>
      </c>
      <c r="AI526" s="160">
        <f>IF($E526="","",MIN(Input!$C$61/AH526,1))</f>
        <v>0.64438718771845094</v>
      </c>
      <c r="AJ526" s="152"/>
      <c r="AK526" s="164">
        <f>IF(AND($C525=12,$D525=Input!$C$6),0,IF($E526="","",IF($B526&gt;Input!$C$9,$AC526*AI526,0)+AK527/(1+$L526)*$R526))</f>
        <v>64119.971259785161</v>
      </c>
      <c r="AL526" s="164">
        <f>IF(AND($C525=12,$D525=Input!$C$6),0,IF($E526="","",IF($B526&gt;Input!$C$9,0,$AC526)+AL527/(1+$L526)*$R526))</f>
        <v>0</v>
      </c>
      <c r="AM526" s="160">
        <f t="shared" si="174"/>
        <v>1.1382936520186004</v>
      </c>
      <c r="AN526" s="164">
        <f>IF($E526="","",IF($B526&gt;Input!$C$9,$AI526*$AC526,$AM526*$AC526))</f>
        <v>0</v>
      </c>
      <c r="AO526" s="164">
        <f>IF(AND($C525=12,$D525=Input!$C$6),0,IF($E526="","",$AN526+AO527/(1+$L526)*$R526))</f>
        <v>64119.971259785161</v>
      </c>
      <c r="AP526" s="152"/>
      <c r="AQ526" s="164">
        <f t="shared" si="175"/>
        <v>-8786.3246327488523</v>
      </c>
      <c r="AR526" s="164">
        <f t="shared" si="184"/>
        <v>-8132.171077747621</v>
      </c>
      <c r="AS526" s="164">
        <f t="shared" si="185"/>
        <v>5880.3827751196186</v>
      </c>
      <c r="AT526" s="164">
        <f t="shared" si="176"/>
        <v>5880.3827751196186</v>
      </c>
      <c r="AU526" s="152"/>
      <c r="AV526" s="147">
        <f>'Deterministic Reserve'!BC526</f>
        <v>8.0567186454794126E-4</v>
      </c>
      <c r="AW526" s="164">
        <f t="shared" si="177"/>
        <v>5880.3827751196186</v>
      </c>
      <c r="AX526" s="164">
        <f t="shared" si="178"/>
        <v>4.7376589546862204</v>
      </c>
      <c r="AY526" s="152"/>
    </row>
    <row r="527" spans="1:51" s="150" customFormat="1" x14ac:dyDescent="0.25">
      <c r="A527" s="150">
        <f t="shared" si="186"/>
        <v>523</v>
      </c>
      <c r="B527" s="150">
        <f t="shared" si="187"/>
        <v>44</v>
      </c>
      <c r="C527" s="150">
        <f t="shared" si="188"/>
        <v>7</v>
      </c>
      <c r="D527" s="150">
        <f>IF(E527="","",Input!$C$4+B527-1)</f>
        <v>88</v>
      </c>
      <c r="E527" s="150">
        <f>IF(OR(AND(C526=12,D526=Input!$C$6),E526=""),"",1)</f>
        <v>1</v>
      </c>
      <c r="F527" s="150">
        <f>IF(E527="","",Input!$C$8+B527-1)</f>
        <v>2061</v>
      </c>
      <c r="G527" s="151">
        <f>IF(E527="","",MAX(0,Input!$C$9-B527))</f>
        <v>0</v>
      </c>
      <c r="H527" s="152">
        <f>IF(E527="","",Input!$C$3)</f>
        <v>100000</v>
      </c>
      <c r="I527" s="153">
        <f>IF(E527="","",HLOOKUP($B527,Input!$C$13:$BT$14,2))</f>
        <v>301.10500000000002</v>
      </c>
      <c r="J527" s="154"/>
      <c r="K527" s="155">
        <f>IF($E527="","",Input!$C$57)</f>
        <v>4.4999999999999998E-2</v>
      </c>
      <c r="L527" s="155">
        <f t="shared" si="179"/>
        <v>3.6748094004368514E-3</v>
      </c>
      <c r="M527" s="147">
        <f>IF($E527="","",VLOOKUP(IF($B527&lt;=Input!$C$7,$B527,26),'Mortality Tables'!$A$72:$CA$97,IF($B527&lt;=Input!$C$7+1,Input!$C$4-16,$D527-Input!$C$7-16),0)/1000)</f>
        <v>0.12290000000000001</v>
      </c>
      <c r="N527" s="147">
        <f t="shared" si="168"/>
        <v>1.0868363558242056E-2</v>
      </c>
      <c r="O527" s="157">
        <f>IF($E527="","",IF($C527=12,IF($B527&lt;Input!$C$9,Input!$C$54,IF($B527=Input!$C$9,Input!$C$55,Input!$C$56)),0%))</f>
        <v>0</v>
      </c>
      <c r="P527" s="167">
        <f>IF($E527="","",IF($B527=1,Input!$C$59,IF($B527&lt;6,Input!$C$60,0%)))</f>
        <v>0</v>
      </c>
      <c r="Q527" s="162">
        <f>IF($E527="","",Input!$C$58)</f>
        <v>2.5</v>
      </c>
      <c r="R527" s="156">
        <f t="shared" si="180"/>
        <v>0.98913163644175794</v>
      </c>
      <c r="S527" s="154">
        <f t="shared" si="169"/>
        <v>1.964845542516574E-3</v>
      </c>
      <c r="T527" s="152"/>
      <c r="U527" s="150">
        <f t="shared" si="181"/>
        <v>0</v>
      </c>
      <c r="V527" s="150">
        <f t="shared" si="182"/>
        <v>0</v>
      </c>
      <c r="W527" s="168">
        <f t="shared" si="183"/>
        <v>0</v>
      </c>
      <c r="X527" s="163">
        <f t="shared" si="170"/>
        <v>1086.8363558242056</v>
      </c>
      <c r="Y527" s="152"/>
      <c r="Z527" s="164">
        <f>IF(AND($C526=12,$D526=Input!$C$6),0,IF($E527="","",V527+Z528/(1+L527)*R527))</f>
        <v>122279.14043157434</v>
      </c>
      <c r="AA527" s="164">
        <f>IF(OR($M527=1,AND($C526=12,$D526=Input!$C$6)),0,IF($E527="","",W527+(X527+AA528*$R527)/(1+$L527)))</f>
        <v>55048.43730595176</v>
      </c>
      <c r="AB527" s="160">
        <f t="shared" si="171"/>
        <v>0.825720328500681</v>
      </c>
      <c r="AC527" s="164">
        <f t="shared" si="172"/>
        <v>0</v>
      </c>
      <c r="AD527" s="164">
        <f>IF(AND($C526=12,$D526=Input!$C$6),0,IF($E527="","",$AC527+AD528/(1+$L527)*$R527))</f>
        <v>100968.37200594044</v>
      </c>
      <c r="AE527" s="152"/>
      <c r="AF527" s="164">
        <f>IF(AND($C526=12,$D526=Input!$C$6),0,IF($E527="","",IF($B527&gt;Input!$C$9,$AC527,0)+AF528/(1+$L527)*$R527))</f>
        <v>100968.37200594044</v>
      </c>
      <c r="AG527" s="164">
        <f>IF(AND($C526=12,$D526=Input!$C$6),0,IF($E527="","",(IF($B527&gt;Input!$C$9,$X527,0)+AG528)/(1+$L527)*$R527))</f>
        <v>53674.679196358833</v>
      </c>
      <c r="AH527" s="160">
        <f t="shared" si="173"/>
        <v>2.0950137211446997</v>
      </c>
      <c r="AI527" s="160">
        <f>IF($E527="","",MIN(Input!$C$61/AH527,1))</f>
        <v>0.64438718771845094</v>
      </c>
      <c r="AJ527" s="152"/>
      <c r="AK527" s="164">
        <f>IF(AND($C526=12,$D526=Input!$C$6),0,IF($E527="","",IF($B527&gt;Input!$C$9,$AC527*AI527,0)+AK528/(1+$L527)*$R527))</f>
        <v>65062.725285418317</v>
      </c>
      <c r="AL527" s="164">
        <f>IF(AND($C526=12,$D526=Input!$C$6),0,IF($E527="","",IF($B527&gt;Input!$C$9,0,$AC527)+AL528/(1+$L527)*$R527))</f>
        <v>0</v>
      </c>
      <c r="AM527" s="160">
        <f t="shared" si="174"/>
        <v>1.1382936520186004</v>
      </c>
      <c r="AN527" s="164">
        <f>IF($E527="","",IF($B527&gt;Input!$C$9,$AI527*$AC527,$AM527*$AC527))</f>
        <v>0</v>
      </c>
      <c r="AO527" s="164">
        <f>IF(AND($C526=12,$D526=Input!$C$6),0,IF($E527="","",$AN527+AO528/(1+$L527)*$R527))</f>
        <v>65062.725285418317</v>
      </c>
      <c r="AP527" s="152"/>
      <c r="AQ527" s="164">
        <f t="shared" si="175"/>
        <v>-10014.287979466557</v>
      </c>
      <c r="AR527" s="164">
        <f t="shared" si="184"/>
        <v>-8132.171077747621</v>
      </c>
      <c r="AS527" s="164">
        <f t="shared" si="185"/>
        <v>5880.3827751196186</v>
      </c>
      <c r="AT527" s="164">
        <f t="shared" si="176"/>
        <v>5880.3827751196186</v>
      </c>
      <c r="AU527" s="152"/>
      <c r="AV527" s="147">
        <f>'Deterministic Reserve'!BC527</f>
        <v>7.8453001022349975E-4</v>
      </c>
      <c r="AW527" s="164">
        <f t="shared" si="177"/>
        <v>5880.3827751196186</v>
      </c>
      <c r="AX527" s="164">
        <f t="shared" si="178"/>
        <v>4.6133367586826859</v>
      </c>
      <c r="AY527" s="152"/>
    </row>
    <row r="528" spans="1:51" s="150" customFormat="1" x14ac:dyDescent="0.25">
      <c r="A528" s="150">
        <f t="shared" si="186"/>
        <v>524</v>
      </c>
      <c r="B528" s="150">
        <f t="shared" si="187"/>
        <v>44</v>
      </c>
      <c r="C528" s="150">
        <f t="shared" si="188"/>
        <v>8</v>
      </c>
      <c r="D528" s="150">
        <f>IF(E528="","",Input!$C$4+B528-1)</f>
        <v>88</v>
      </c>
      <c r="E528" s="150">
        <f>IF(OR(AND(C527=12,D527=Input!$C$6),E527=""),"",1)</f>
        <v>1</v>
      </c>
      <c r="F528" s="150">
        <f>IF(E528="","",Input!$C$8+B528-1)</f>
        <v>2061</v>
      </c>
      <c r="G528" s="151">
        <f>IF(E528="","",MAX(0,Input!$C$9-B528))</f>
        <v>0</v>
      </c>
      <c r="H528" s="152">
        <f>IF(E528="","",Input!$C$3)</f>
        <v>100000</v>
      </c>
      <c r="I528" s="153">
        <f>IF(E528="","",HLOOKUP($B528,Input!$C$13:$BT$14,2))</f>
        <v>301.10500000000002</v>
      </c>
      <c r="J528" s="154"/>
      <c r="K528" s="155">
        <f>IF($E528="","",Input!$C$57)</f>
        <v>4.4999999999999998E-2</v>
      </c>
      <c r="L528" s="155">
        <f t="shared" si="179"/>
        <v>3.6748094004368514E-3</v>
      </c>
      <c r="M528" s="147">
        <f>IF($E528="","",VLOOKUP(IF($B528&lt;=Input!$C$7,$B528,26),'Mortality Tables'!$A$72:$CA$97,IF($B528&lt;=Input!$C$7+1,Input!$C$4-16,$D528-Input!$C$7-16),0)/1000)</f>
        <v>0.12290000000000001</v>
      </c>
      <c r="N528" s="147">
        <f t="shared" si="168"/>
        <v>1.0868363558242056E-2</v>
      </c>
      <c r="O528" s="157">
        <f>IF($E528="","",IF($C528=12,IF($B528&lt;Input!$C$9,Input!$C$54,IF($B528=Input!$C$9,Input!$C$55,Input!$C$56)),0%))</f>
        <v>0</v>
      </c>
      <c r="P528" s="167">
        <f>IF($E528="","",IF($B528=1,Input!$C$59,IF($B528&lt;6,Input!$C$60,0%)))</f>
        <v>0</v>
      </c>
      <c r="Q528" s="162">
        <f>IF($E528="","",Input!$C$58)</f>
        <v>2.5</v>
      </c>
      <c r="R528" s="156">
        <f t="shared" si="180"/>
        <v>0.98913163644175794</v>
      </c>
      <c r="S528" s="154">
        <f t="shared" si="169"/>
        <v>1.9434908868247126E-3</v>
      </c>
      <c r="T528" s="152"/>
      <c r="U528" s="150">
        <f t="shared" si="181"/>
        <v>0</v>
      </c>
      <c r="V528" s="150">
        <f t="shared" si="182"/>
        <v>0</v>
      </c>
      <c r="W528" s="168">
        <f t="shared" si="183"/>
        <v>0</v>
      </c>
      <c r="X528" s="163">
        <f t="shared" si="170"/>
        <v>1086.8363558242056</v>
      </c>
      <c r="Y528" s="152"/>
      <c r="Z528" s="164">
        <f>IF(AND($C527=12,$D527=Input!$C$6),0,IF($E528="","",V528+Z529/(1+L528)*R528))</f>
        <v>124077.00698746796</v>
      </c>
      <c r="AA528" s="164">
        <f>IF(OR($M528=1,AND($C527=12,$D527=Input!$C$6)),0,IF($E528="","",W528+(X528+AA529*$R528)/(1+$L528)))</f>
        <v>54759.034560723107</v>
      </c>
      <c r="AB528" s="160">
        <f t="shared" si="171"/>
        <v>0.825720328500681</v>
      </c>
      <c r="AC528" s="164">
        <f t="shared" si="172"/>
        <v>0</v>
      </c>
      <c r="AD528" s="164">
        <f>IF(AND($C527=12,$D527=Input!$C$6),0,IF($E528="","",$AC528+AD529/(1+$L528)*$R528))</f>
        <v>102452.90696907333</v>
      </c>
      <c r="AE528" s="152"/>
      <c r="AF528" s="164">
        <f>IF(AND($C527=12,$D527=Input!$C$6),0,IF($E528="","",IF($B528&gt;Input!$C$9,$AC528,0)+AF529/(1+$L528)*$R528))</f>
        <v>102452.90696907333</v>
      </c>
      <c r="AG528" s="164">
        <f>IF(AND($C527=12,$D527=Input!$C$6),0,IF($E528="","",(IF($B528&gt;Input!$C$9,$X528,0)+AG529)/(1+$L528)*$R528))</f>
        <v>53377.020048395796</v>
      </c>
      <c r="AH528" s="160">
        <f t="shared" si="173"/>
        <v>2.0950137211446997</v>
      </c>
      <c r="AI528" s="160">
        <f>IF($E528="","",MIN(Input!$C$61/AH528,1))</f>
        <v>0.64438718771845094</v>
      </c>
      <c r="AJ528" s="152"/>
      <c r="AK528" s="164">
        <f>IF(AND($C527=12,$D527=Input!$C$6),0,IF($E528="","",IF($B528&gt;Input!$C$9,$AC528*AI528,0)+AK529/(1+$L528)*$R528))</f>
        <v>66019.340595381218</v>
      </c>
      <c r="AL528" s="164">
        <f>IF(AND($C527=12,$D527=Input!$C$6),0,IF($E528="","",IF($B528&gt;Input!$C$9,0,$AC528)+AL529/(1+$L528)*$R528))</f>
        <v>0</v>
      </c>
      <c r="AM528" s="160">
        <f t="shared" si="174"/>
        <v>1.1382936520186004</v>
      </c>
      <c r="AN528" s="164">
        <f>IF($E528="","",IF($B528&gt;Input!$C$9,$AI528*$AC528,$AM528*$AC528))</f>
        <v>0</v>
      </c>
      <c r="AO528" s="164">
        <f>IF(AND($C527=12,$D527=Input!$C$6),0,IF($E528="","",$AN528+AO529/(1+$L528)*$R528))</f>
        <v>66019.340595381218</v>
      </c>
      <c r="AP528" s="152"/>
      <c r="AQ528" s="164">
        <f t="shared" si="175"/>
        <v>-11260.306034658111</v>
      </c>
      <c r="AR528" s="164">
        <f t="shared" si="184"/>
        <v>-8132.171077747621</v>
      </c>
      <c r="AS528" s="164">
        <f t="shared" si="185"/>
        <v>5880.3827751196186</v>
      </c>
      <c r="AT528" s="164">
        <f t="shared" si="176"/>
        <v>5880.3827751196186</v>
      </c>
      <c r="AU528" s="152"/>
      <c r="AV528" s="147">
        <f>'Deterministic Reserve'!BC528</f>
        <v>7.6394294504330456E-4</v>
      </c>
      <c r="AW528" s="164">
        <f t="shared" si="177"/>
        <v>5880.3827751196186</v>
      </c>
      <c r="AX528" s="164">
        <f t="shared" si="178"/>
        <v>4.4922769352068013</v>
      </c>
      <c r="AY528" s="152"/>
    </row>
    <row r="529" spans="1:51" s="150" customFormat="1" x14ac:dyDescent="0.25">
      <c r="A529" s="150">
        <f t="shared" si="186"/>
        <v>525</v>
      </c>
      <c r="B529" s="150">
        <f t="shared" si="187"/>
        <v>44</v>
      </c>
      <c r="C529" s="150">
        <f t="shared" si="188"/>
        <v>9</v>
      </c>
      <c r="D529" s="150">
        <f>IF(E529="","",Input!$C$4+B529-1)</f>
        <v>88</v>
      </c>
      <c r="E529" s="150">
        <f>IF(OR(AND(C528=12,D528=Input!$C$6),E528=""),"",1)</f>
        <v>1</v>
      </c>
      <c r="F529" s="150">
        <f>IF(E529="","",Input!$C$8+B529-1)</f>
        <v>2061</v>
      </c>
      <c r="G529" s="151">
        <f>IF(E529="","",MAX(0,Input!$C$9-B529))</f>
        <v>0</v>
      </c>
      <c r="H529" s="152">
        <f>IF(E529="","",Input!$C$3)</f>
        <v>100000</v>
      </c>
      <c r="I529" s="153">
        <f>IF(E529="","",HLOOKUP($B529,Input!$C$13:$BT$14,2))</f>
        <v>301.10500000000002</v>
      </c>
      <c r="J529" s="154"/>
      <c r="K529" s="155">
        <f>IF($E529="","",Input!$C$57)</f>
        <v>4.4999999999999998E-2</v>
      </c>
      <c r="L529" s="155">
        <f t="shared" si="179"/>
        <v>3.6748094004368514E-3</v>
      </c>
      <c r="M529" s="147">
        <f>IF($E529="","",VLOOKUP(IF($B529&lt;=Input!$C$7,$B529,26),'Mortality Tables'!$A$72:$CA$97,IF($B529&lt;=Input!$C$7+1,Input!$C$4-16,$D529-Input!$C$7-16),0)/1000)</f>
        <v>0.12290000000000001</v>
      </c>
      <c r="N529" s="147">
        <f t="shared" si="168"/>
        <v>1.0868363558242056E-2</v>
      </c>
      <c r="O529" s="157">
        <f>IF($E529="","",IF($C529=12,IF($B529&lt;Input!$C$9,Input!$C$54,IF($B529=Input!$C$9,Input!$C$55,Input!$C$56)),0%))</f>
        <v>0</v>
      </c>
      <c r="P529" s="167">
        <f>IF($E529="","",IF($B529=1,Input!$C$59,IF($B529&lt;6,Input!$C$60,0%)))</f>
        <v>0</v>
      </c>
      <c r="Q529" s="162">
        <f>IF($E529="","",Input!$C$58)</f>
        <v>2.5</v>
      </c>
      <c r="R529" s="156">
        <f t="shared" si="180"/>
        <v>0.98913163644175794</v>
      </c>
      <c r="S529" s="154">
        <f t="shared" si="169"/>
        <v>1.9223683212945713E-3</v>
      </c>
      <c r="T529" s="152"/>
      <c r="U529" s="150">
        <f t="shared" si="181"/>
        <v>0</v>
      </c>
      <c r="V529" s="150">
        <f t="shared" si="182"/>
        <v>0</v>
      </c>
      <c r="W529" s="168">
        <f t="shared" si="183"/>
        <v>0</v>
      </c>
      <c r="X529" s="163">
        <f t="shared" si="170"/>
        <v>1086.8363558242056</v>
      </c>
      <c r="Y529" s="152"/>
      <c r="Z529" s="164">
        <f>IF(AND($C528=12,$D528=Input!$C$6),0,IF($E529="","",V529+Z530/(1+L529)*R529))</f>
        <v>125901.30752172775</v>
      </c>
      <c r="AA529" s="164">
        <f>IF(OR($M529=1,AND($C528=12,$D528=Input!$C$6)),0,IF($E529="","",W529+(X529+AA530*$R529)/(1+$L529)))</f>
        <v>54465.376735560181</v>
      </c>
      <c r="AB529" s="160">
        <f t="shared" si="171"/>
        <v>0.825720328500681</v>
      </c>
      <c r="AC529" s="164">
        <f t="shared" si="172"/>
        <v>0</v>
      </c>
      <c r="AD529" s="164">
        <f>IF(AND($C528=12,$D528=Input!$C$6),0,IF($E529="","",$AC529+AD530/(1+$L529)*$R529))</f>
        <v>103959.2690055063</v>
      </c>
      <c r="AE529" s="152"/>
      <c r="AF529" s="164">
        <f>IF(AND($C528=12,$D528=Input!$C$6),0,IF($E529="","",IF($B529&gt;Input!$C$9,$AC529,0)+AF530/(1+$L529)*$R529))</f>
        <v>103959.2690055063</v>
      </c>
      <c r="AG529" s="164">
        <f>IF(AND($C528=12,$D528=Input!$C$6),0,IF($E529="","",(IF($B529&gt;Input!$C$9,$X529,0)+AG530)/(1+$L529)*$R529))</f>
        <v>53074.984426855255</v>
      </c>
      <c r="AH529" s="160">
        <f t="shared" si="173"/>
        <v>2.0950137211446997</v>
      </c>
      <c r="AI529" s="160">
        <f>IF($E529="","",MIN(Input!$C$61/AH529,1))</f>
        <v>0.64438718771845094</v>
      </c>
      <c r="AJ529" s="152"/>
      <c r="AK529" s="164">
        <f>IF(AND($C528=12,$D528=Input!$C$6),0,IF($E529="","",IF($B529&gt;Input!$C$9,$AC529*AI529,0)+AK530/(1+$L529)*$R529))</f>
        <v>66990.020991724086</v>
      </c>
      <c r="AL529" s="164">
        <f>IF(AND($C528=12,$D528=Input!$C$6),0,IF($E529="","",IF($B529&gt;Input!$C$9,0,$AC529)+AL530/(1+$L529)*$R529))</f>
        <v>0</v>
      </c>
      <c r="AM529" s="160">
        <f t="shared" si="174"/>
        <v>1.1382936520186004</v>
      </c>
      <c r="AN529" s="164">
        <f>IF($E529="","",IF($B529&gt;Input!$C$9,$AI529*$AC529,$AM529*$AC529))</f>
        <v>0</v>
      </c>
      <c r="AO529" s="164">
        <f>IF(AND($C528=12,$D528=Input!$C$6),0,IF($E529="","",$AN529+AO530/(1+$L529)*$R529))</f>
        <v>66990.020991724086</v>
      </c>
      <c r="AP529" s="152"/>
      <c r="AQ529" s="164">
        <f t="shared" si="175"/>
        <v>-12524.644256163905</v>
      </c>
      <c r="AR529" s="164">
        <f t="shared" si="184"/>
        <v>-8132.171077747621</v>
      </c>
      <c r="AS529" s="164">
        <f t="shared" si="185"/>
        <v>5880.3827751196186</v>
      </c>
      <c r="AT529" s="164">
        <f t="shared" si="176"/>
        <v>5880.3827751196186</v>
      </c>
      <c r="AU529" s="152"/>
      <c r="AV529" s="147">
        <f>'Deterministic Reserve'!BC529</f>
        <v>7.4389611063466763E-4</v>
      </c>
      <c r="AW529" s="164">
        <f t="shared" si="177"/>
        <v>5880.3827751196186</v>
      </c>
      <c r="AX529" s="164">
        <f t="shared" si="178"/>
        <v>4.3743938754545777</v>
      </c>
      <c r="AY529" s="152"/>
    </row>
    <row r="530" spans="1:51" s="150" customFormat="1" x14ac:dyDescent="0.25">
      <c r="A530" s="150">
        <f t="shared" si="186"/>
        <v>526</v>
      </c>
      <c r="B530" s="150">
        <f t="shared" si="187"/>
        <v>44</v>
      </c>
      <c r="C530" s="150">
        <f t="shared" si="188"/>
        <v>10</v>
      </c>
      <c r="D530" s="150">
        <f>IF(E530="","",Input!$C$4+B530-1)</f>
        <v>88</v>
      </c>
      <c r="E530" s="150">
        <f>IF(OR(AND(C529=12,D529=Input!$C$6),E529=""),"",1)</f>
        <v>1</v>
      </c>
      <c r="F530" s="150">
        <f>IF(E530="","",Input!$C$8+B530-1)</f>
        <v>2061</v>
      </c>
      <c r="G530" s="151">
        <f>IF(E530="","",MAX(0,Input!$C$9-B530))</f>
        <v>0</v>
      </c>
      <c r="H530" s="152">
        <f>IF(E530="","",Input!$C$3)</f>
        <v>100000</v>
      </c>
      <c r="I530" s="153">
        <f>IF(E530="","",HLOOKUP($B530,Input!$C$13:$BT$14,2))</f>
        <v>301.10500000000002</v>
      </c>
      <c r="J530" s="154"/>
      <c r="K530" s="155">
        <f>IF($E530="","",Input!$C$57)</f>
        <v>4.4999999999999998E-2</v>
      </c>
      <c r="L530" s="155">
        <f t="shared" si="179"/>
        <v>3.6748094004368514E-3</v>
      </c>
      <c r="M530" s="147">
        <f>IF($E530="","",VLOOKUP(IF($B530&lt;=Input!$C$7,$B530,26),'Mortality Tables'!$A$72:$CA$97,IF($B530&lt;=Input!$C$7+1,Input!$C$4-16,$D530-Input!$C$7-16),0)/1000)</f>
        <v>0.12290000000000001</v>
      </c>
      <c r="N530" s="147">
        <f t="shared" si="168"/>
        <v>1.0868363558242056E-2</v>
      </c>
      <c r="O530" s="157">
        <f>IF($E530="","",IF($C530=12,IF($B530&lt;Input!$C$9,Input!$C$54,IF($B530=Input!$C$9,Input!$C$55,Input!$C$56)),0%))</f>
        <v>0</v>
      </c>
      <c r="P530" s="167">
        <f>IF($E530="","",IF($B530=1,Input!$C$59,IF($B530&lt;6,Input!$C$60,0%)))</f>
        <v>0</v>
      </c>
      <c r="Q530" s="162">
        <f>IF($E530="","",Input!$C$58)</f>
        <v>2.5</v>
      </c>
      <c r="R530" s="156">
        <f t="shared" si="180"/>
        <v>0.98913163644175794</v>
      </c>
      <c r="S530" s="154">
        <f t="shared" si="169"/>
        <v>1.9014753234858944E-3</v>
      </c>
      <c r="T530" s="152"/>
      <c r="U530" s="150">
        <f t="shared" si="181"/>
        <v>0</v>
      </c>
      <c r="V530" s="150">
        <f t="shared" si="182"/>
        <v>0</v>
      </c>
      <c r="W530" s="168">
        <f t="shared" si="183"/>
        <v>0</v>
      </c>
      <c r="X530" s="163">
        <f t="shared" si="170"/>
        <v>1086.8363558242056</v>
      </c>
      <c r="Y530" s="152"/>
      <c r="Z530" s="164">
        <f>IF(AND($C529=12,$D529=Input!$C$6),0,IF($E530="","",V530+Z531/(1+L530)*R530))</f>
        <v>127752.43069234947</v>
      </c>
      <c r="AA530" s="164">
        <f>IF(OR($M530=1,AND($C529=12,$D529=Input!$C$6)),0,IF($E530="","",W530+(X530+AA531*$R530)/(1+$L530)))</f>
        <v>54167.401268149581</v>
      </c>
      <c r="AB530" s="160">
        <f t="shared" si="171"/>
        <v>0.825720328500681</v>
      </c>
      <c r="AC530" s="164">
        <f t="shared" si="172"/>
        <v>0</v>
      </c>
      <c r="AD530" s="164">
        <f>IF(AND($C529=12,$D529=Input!$C$6),0,IF($E530="","",$AC530+AD531/(1+$L530)*$R530))</f>
        <v>105487.77903804729</v>
      </c>
      <c r="AE530" s="152"/>
      <c r="AF530" s="164">
        <f>IF(AND($C529=12,$D529=Input!$C$6),0,IF($E530="","",IF($B530&gt;Input!$C$9,$AC530,0)+AF531/(1+$L530)*$R530))</f>
        <v>105487.77903804729</v>
      </c>
      <c r="AG530" s="164">
        <f>IF(AND($C529=12,$D529=Input!$C$6),0,IF($E530="","",(IF($B530&gt;Input!$C$9,$X530,0)+AG531)/(1+$L530)*$R530))</f>
        <v>52768.507984576689</v>
      </c>
      <c r="AH530" s="160">
        <f t="shared" si="173"/>
        <v>2.0950137211446997</v>
      </c>
      <c r="AI530" s="160">
        <f>IF($E530="","",MIN(Input!$C$61/AH530,1))</f>
        <v>0.64438718771845094</v>
      </c>
      <c r="AJ530" s="152"/>
      <c r="AK530" s="164">
        <f>IF(AND($C529=12,$D529=Input!$C$6),0,IF($E530="","",IF($B530&gt;Input!$C$9,$AC530*AI530,0)+AK531/(1+$L530)*$R530))</f>
        <v>67974.973272992604</v>
      </c>
      <c r="AL530" s="164">
        <f>IF(AND($C529=12,$D529=Input!$C$6),0,IF($E530="","",IF($B530&gt;Input!$C$9,0,$AC530)+AL531/(1+$L530)*$R530))</f>
        <v>0</v>
      </c>
      <c r="AM530" s="160">
        <f t="shared" si="174"/>
        <v>1.1382936520186004</v>
      </c>
      <c r="AN530" s="164">
        <f>IF($E530="","",IF($B530&gt;Input!$C$9,$AI530*$AC530,$AM530*$AC530))</f>
        <v>0</v>
      </c>
      <c r="AO530" s="164">
        <f>IF(AND($C529=12,$D529=Input!$C$6),0,IF($E530="","",$AN530+AO531/(1+$L530)*$R530))</f>
        <v>67974.973272992604</v>
      </c>
      <c r="AP530" s="152"/>
      <c r="AQ530" s="164">
        <f t="shared" si="175"/>
        <v>-13807.572004843023</v>
      </c>
      <c r="AR530" s="164">
        <f t="shared" si="184"/>
        <v>-8132.171077747621</v>
      </c>
      <c r="AS530" s="164">
        <f t="shared" si="185"/>
        <v>5880.3827751196186</v>
      </c>
      <c r="AT530" s="164">
        <f t="shared" si="176"/>
        <v>5880.3827751196186</v>
      </c>
      <c r="AU530" s="152"/>
      <c r="AV530" s="147">
        <f>'Deterministic Reserve'!BC530</f>
        <v>7.2437533065511438E-4</v>
      </c>
      <c r="AW530" s="164">
        <f t="shared" si="177"/>
        <v>5880.3827751196186</v>
      </c>
      <c r="AX530" s="164">
        <f t="shared" si="178"/>
        <v>4.2596042171059132</v>
      </c>
      <c r="AY530" s="152"/>
    </row>
    <row r="531" spans="1:51" s="150" customFormat="1" x14ac:dyDescent="0.25">
      <c r="A531" s="150">
        <f t="shared" si="186"/>
        <v>527</v>
      </c>
      <c r="B531" s="150">
        <f t="shared" si="187"/>
        <v>44</v>
      </c>
      <c r="C531" s="150">
        <f t="shared" si="188"/>
        <v>11</v>
      </c>
      <c r="D531" s="150">
        <f>IF(E531="","",Input!$C$4+B531-1)</f>
        <v>88</v>
      </c>
      <c r="E531" s="150">
        <f>IF(OR(AND(C530=12,D530=Input!$C$6),E530=""),"",1)</f>
        <v>1</v>
      </c>
      <c r="F531" s="150">
        <f>IF(E531="","",Input!$C$8+B531-1)</f>
        <v>2061</v>
      </c>
      <c r="G531" s="151">
        <f>IF(E531="","",MAX(0,Input!$C$9-B531))</f>
        <v>0</v>
      </c>
      <c r="H531" s="152">
        <f>IF(E531="","",Input!$C$3)</f>
        <v>100000</v>
      </c>
      <c r="I531" s="153">
        <f>IF(E531="","",HLOOKUP($B531,Input!$C$13:$BT$14,2))</f>
        <v>301.10500000000002</v>
      </c>
      <c r="J531" s="154"/>
      <c r="K531" s="155">
        <f>IF($E531="","",Input!$C$57)</f>
        <v>4.4999999999999998E-2</v>
      </c>
      <c r="L531" s="155">
        <f t="shared" si="179"/>
        <v>3.6748094004368514E-3</v>
      </c>
      <c r="M531" s="147">
        <f>IF($E531="","",VLOOKUP(IF($B531&lt;=Input!$C$7,$B531,26),'Mortality Tables'!$A$72:$CA$97,IF($B531&lt;=Input!$C$7+1,Input!$C$4-16,$D531-Input!$C$7-16),0)/1000)</f>
        <v>0.12290000000000001</v>
      </c>
      <c r="N531" s="147">
        <f t="shared" si="168"/>
        <v>1.0868363558242056E-2</v>
      </c>
      <c r="O531" s="157">
        <f>IF($E531="","",IF($C531=12,IF($B531&lt;Input!$C$9,Input!$C$54,IF($B531=Input!$C$9,Input!$C$55,Input!$C$56)),0%))</f>
        <v>0</v>
      </c>
      <c r="P531" s="167">
        <f>IF($E531="","",IF($B531=1,Input!$C$59,IF($B531&lt;6,Input!$C$60,0%)))</f>
        <v>0</v>
      </c>
      <c r="Q531" s="162">
        <f>IF($E531="","",Input!$C$58)</f>
        <v>2.5</v>
      </c>
      <c r="R531" s="156">
        <f t="shared" si="180"/>
        <v>0.98913163644175794</v>
      </c>
      <c r="S531" s="154">
        <f t="shared" si="169"/>
        <v>1.8808093983732237E-3</v>
      </c>
      <c r="T531" s="152"/>
      <c r="U531" s="150">
        <f t="shared" si="181"/>
        <v>0</v>
      </c>
      <c r="V531" s="150">
        <f t="shared" si="182"/>
        <v>0</v>
      </c>
      <c r="W531" s="168">
        <f t="shared" si="183"/>
        <v>0</v>
      </c>
      <c r="X531" s="163">
        <f t="shared" si="170"/>
        <v>1086.8363558242056</v>
      </c>
      <c r="Y531" s="152"/>
      <c r="Z531" s="164">
        <f>IF(AND($C530=12,$D530=Input!$C$6),0,IF($E531="","",V531+Z532/(1+L531)*R531))</f>
        <v>129630.7708717558</v>
      </c>
      <c r="AA531" s="164">
        <f>IF(OR($M531=1,AND($C530=12,$D530=Input!$C$6)),0,IF($E531="","",W531+(X531+AA532*$R531)/(1+$L531)))</f>
        <v>53865.04467632607</v>
      </c>
      <c r="AB531" s="160">
        <f t="shared" si="171"/>
        <v>0.825720328500681</v>
      </c>
      <c r="AC531" s="164">
        <f t="shared" si="172"/>
        <v>0</v>
      </c>
      <c r="AD531" s="164">
        <f>IF(AND($C530=12,$D530=Input!$C$6),0,IF($E531="","",$AC531+AD532/(1+$L531)*$R531))</f>
        <v>107038.7627080227</v>
      </c>
      <c r="AE531" s="152"/>
      <c r="AF531" s="164">
        <f>IF(AND($C530=12,$D530=Input!$C$6),0,IF($E531="","",IF($B531&gt;Input!$C$9,$AC531,0)+AF532/(1+$L531)*$R531))</f>
        <v>107038.7627080227</v>
      </c>
      <c r="AG531" s="164">
        <f>IF(AND($C530=12,$D530=Input!$C$6),0,IF($E531="","",(IF($B531&gt;Input!$C$9,$X531,0)+AG532)/(1+$L531)*$R531))</f>
        <v>52457.525428305191</v>
      </c>
      <c r="AH531" s="160">
        <f t="shared" si="173"/>
        <v>2.0950137211446997</v>
      </c>
      <c r="AI531" s="160">
        <f>IF($E531="","",MIN(Input!$C$61/AH531,1))</f>
        <v>0.64438718771845094</v>
      </c>
      <c r="AJ531" s="152"/>
      <c r="AK531" s="164">
        <f>IF(AND($C530=12,$D530=Input!$C$6),0,IF($E531="","",IF($B531&gt;Input!$C$9,$AC531*AI531,0)+AK532/(1+$L531)*$R531))</f>
        <v>68974.407278285304</v>
      </c>
      <c r="AL531" s="164">
        <f>IF(AND($C530=12,$D530=Input!$C$6),0,IF($E531="","",IF($B531&gt;Input!$C$9,0,$AC531)+AL532/(1+$L531)*$R531))</f>
        <v>0</v>
      </c>
      <c r="AM531" s="160">
        <f t="shared" si="174"/>
        <v>1.1382936520186004</v>
      </c>
      <c r="AN531" s="164">
        <f>IF($E531="","",IF($B531&gt;Input!$C$9,$AI531*$AC531,$AM531*$AC531))</f>
        <v>0</v>
      </c>
      <c r="AO531" s="164">
        <f>IF(AND($C530=12,$D530=Input!$C$6),0,IF($E531="","",$AN531+AO532/(1+$L531)*$R531))</f>
        <v>68974.407278285304</v>
      </c>
      <c r="AP531" s="152"/>
      <c r="AQ531" s="164">
        <f t="shared" si="175"/>
        <v>-15109.362601959234</v>
      </c>
      <c r="AR531" s="164">
        <f t="shared" si="184"/>
        <v>-8132.171077747621</v>
      </c>
      <c r="AS531" s="164">
        <f t="shared" si="185"/>
        <v>5880.3827751196186</v>
      </c>
      <c r="AT531" s="164">
        <f t="shared" si="176"/>
        <v>5880.3827751196186</v>
      </c>
      <c r="AU531" s="152"/>
      <c r="AV531" s="147">
        <f>'Deterministic Reserve'!BC531</f>
        <v>7.0536680076742548E-4</v>
      </c>
      <c r="AW531" s="164">
        <f t="shared" si="177"/>
        <v>5880.3827751196186</v>
      </c>
      <c r="AX531" s="164">
        <f t="shared" si="178"/>
        <v>4.1478267853740007</v>
      </c>
      <c r="AY531" s="152"/>
    </row>
    <row r="532" spans="1:51" s="150" customFormat="1" x14ac:dyDescent="0.25">
      <c r="A532" s="150">
        <f t="shared" si="186"/>
        <v>528</v>
      </c>
      <c r="B532" s="150">
        <f t="shared" si="187"/>
        <v>44</v>
      </c>
      <c r="C532" s="150">
        <f t="shared" si="188"/>
        <v>12</v>
      </c>
      <c r="D532" s="150">
        <f>IF(E532="","",Input!$C$4+B532-1)</f>
        <v>88</v>
      </c>
      <c r="E532" s="150">
        <f>IF(OR(AND(C531=12,D531=Input!$C$6),E531=""),"",1)</f>
        <v>1</v>
      </c>
      <c r="F532" s="150">
        <f>IF(E532="","",Input!$C$8+B532-1)</f>
        <v>2061</v>
      </c>
      <c r="G532" s="151">
        <f>IF(E532="","",MAX(0,Input!$C$9-B532))</f>
        <v>0</v>
      </c>
      <c r="H532" s="152">
        <f>IF(E532="","",Input!$C$3)</f>
        <v>100000</v>
      </c>
      <c r="I532" s="153">
        <f>IF(E532="","",HLOOKUP($B532,Input!$C$13:$BT$14,2))</f>
        <v>301.10500000000002</v>
      </c>
      <c r="J532" s="154"/>
      <c r="K532" s="155">
        <f>IF($E532="","",Input!$C$57)</f>
        <v>4.4999999999999998E-2</v>
      </c>
      <c r="L532" s="155">
        <f t="shared" si="179"/>
        <v>3.6748094004368514E-3</v>
      </c>
      <c r="M532" s="147">
        <f>IF($E532="","",VLOOKUP(IF($B532&lt;=Input!$C$7,$B532,26),'Mortality Tables'!$A$72:$CA$97,IF($B532&lt;=Input!$C$7+1,Input!$C$4-16,$D532-Input!$C$7-16),0)/1000)</f>
        <v>0.12290000000000001</v>
      </c>
      <c r="N532" s="147">
        <f t="shared" si="168"/>
        <v>1.0868363558242056E-2</v>
      </c>
      <c r="O532" s="157">
        <f>IF($E532="","",IF($C532=12,IF($B532&lt;Input!$C$9,Input!$C$54,IF($B532=Input!$C$9,Input!$C$55,Input!$C$56)),0%))</f>
        <v>0.1</v>
      </c>
      <c r="P532" s="167">
        <f>IF($E532="","",IF($B532=1,Input!$C$59,IF($B532&lt;6,Input!$C$60,0%)))</f>
        <v>0</v>
      </c>
      <c r="Q532" s="162">
        <f>IF($E532="","",Input!$C$58)</f>
        <v>2.5</v>
      </c>
      <c r="R532" s="156">
        <f t="shared" si="180"/>
        <v>0.88913163644175797</v>
      </c>
      <c r="S532" s="154">
        <f t="shared" si="169"/>
        <v>1.6722871382106226E-3</v>
      </c>
      <c r="T532" s="152"/>
      <c r="U532" s="150">
        <f t="shared" si="181"/>
        <v>0</v>
      </c>
      <c r="V532" s="150">
        <f t="shared" si="182"/>
        <v>0</v>
      </c>
      <c r="W532" s="168">
        <f t="shared" si="183"/>
        <v>0</v>
      </c>
      <c r="X532" s="163">
        <f t="shared" si="170"/>
        <v>1086.8363558242056</v>
      </c>
      <c r="Y532" s="152"/>
      <c r="Z532" s="164">
        <f>IF(AND($C531=12,$D531=Input!$C$6),0,IF($E532="","",V532+Z533/(1+L532)*R532))</f>
        <v>131536.72823081538</v>
      </c>
      <c r="AA532" s="164">
        <f>IF(OR($M532=1,AND($C531=12,$D531=Input!$C$6)),0,IF($E532="","",W532+(X532+AA533*$R532)/(1+$L532)))</f>
        <v>53558.242544548033</v>
      </c>
      <c r="AB532" s="160">
        <f t="shared" si="171"/>
        <v>0.825720328500681</v>
      </c>
      <c r="AC532" s="164">
        <f t="shared" si="172"/>
        <v>0</v>
      </c>
      <c r="AD532" s="164">
        <f>IF(AND($C531=12,$D531=Input!$C$6),0,IF($E532="","",$AC532+AD533/(1+$L532)*$R532))</f>
        <v>108612.55044465367</v>
      </c>
      <c r="AE532" s="152"/>
      <c r="AF532" s="164">
        <f>IF(AND($C531=12,$D531=Input!$C$6),0,IF($E532="","",IF($B532&gt;Input!$C$9,$AC532,0)+AF533/(1+$L532)*$R532))</f>
        <v>108612.55044465367</v>
      </c>
      <c r="AG532" s="164">
        <f>IF(AND($C531=12,$D531=Input!$C$6),0,IF($E532="","",(IF($B532&gt;Input!$C$9,$X532,0)+AG533)/(1+$L532)*$R532))</f>
        <v>52141.970504781086</v>
      </c>
      <c r="AH532" s="160">
        <f t="shared" si="173"/>
        <v>2.0950137211446997</v>
      </c>
      <c r="AI532" s="160">
        <f>IF($E532="","",MIN(Input!$C$61/AH532,1))</f>
        <v>0.64438718771845094</v>
      </c>
      <c r="AJ532" s="152"/>
      <c r="AK532" s="164">
        <f>IF(AND($C531=12,$D531=Input!$C$6),0,IF($E532="","",IF($B532&gt;Input!$C$9,$AC532*AI532,0)+AK533/(1+$L532)*$R532))</f>
        <v>69988.53593195873</v>
      </c>
      <c r="AL532" s="164">
        <f>IF(AND($C531=12,$D531=Input!$C$6),0,IF($E532="","",IF($B532&gt;Input!$C$9,0,$AC532)+AL533/(1+$L532)*$R532))</f>
        <v>0</v>
      </c>
      <c r="AM532" s="160">
        <f t="shared" si="174"/>
        <v>1.1382936520186004</v>
      </c>
      <c r="AN532" s="164">
        <f>IF($E532="","",IF($B532&gt;Input!$C$9,$AI532*$AC532,$AM532*$AC532))</f>
        <v>0</v>
      </c>
      <c r="AO532" s="164">
        <f>IF(AND($C531=12,$D531=Input!$C$6),0,IF($E532="","",$AN532+AO533/(1+$L532)*$R532))</f>
        <v>69988.53593195873</v>
      </c>
      <c r="AP532" s="152"/>
      <c r="AQ532" s="164">
        <f t="shared" si="175"/>
        <v>-16430.293387410697</v>
      </c>
      <c r="AR532" s="164">
        <f t="shared" si="184"/>
        <v>-8132.171077747621</v>
      </c>
      <c r="AS532" s="164">
        <f t="shared" si="185"/>
        <v>5880.3827751196186</v>
      </c>
      <c r="AT532" s="164">
        <f t="shared" si="176"/>
        <v>5880.3827751196186</v>
      </c>
      <c r="AU532" s="152"/>
      <c r="AV532" s="147">
        <f>'Deterministic Reserve'!BC532</f>
        <v>6.1632039880100303E-4</v>
      </c>
      <c r="AW532" s="164">
        <f t="shared" si="177"/>
        <v>5880.3827751196186</v>
      </c>
      <c r="AX532" s="164">
        <f t="shared" si="178"/>
        <v>3.6241998570642724</v>
      </c>
      <c r="AY532" s="152"/>
    </row>
    <row r="533" spans="1:51" s="150" customFormat="1" x14ac:dyDescent="0.25">
      <c r="A533" s="150">
        <f t="shared" si="186"/>
        <v>529</v>
      </c>
      <c r="B533" s="150">
        <f t="shared" si="187"/>
        <v>45</v>
      </c>
      <c r="C533" s="150">
        <f t="shared" si="188"/>
        <v>1</v>
      </c>
      <c r="D533" s="150">
        <f>IF(E533="","",Input!$C$4+B533-1)</f>
        <v>89</v>
      </c>
      <c r="E533" s="150">
        <f>IF(OR(AND(C532=12,D532=Input!$C$6),E532=""),"",1)</f>
        <v>1</v>
      </c>
      <c r="F533" s="150">
        <f>IF(E533="","",Input!$C$8+B533-1)</f>
        <v>2062</v>
      </c>
      <c r="G533" s="151">
        <f>IF(E533="","",MAX(0,Input!$C$9-B533))</f>
        <v>0</v>
      </c>
      <c r="H533" s="152">
        <f>IF(E533="","",Input!$C$3)</f>
        <v>100000</v>
      </c>
      <c r="I533" s="153">
        <f>IF(E533="","",HLOOKUP($B533,Input!$C$13:$BT$14,2))</f>
        <v>341.75050000000005</v>
      </c>
      <c r="J533" s="154"/>
      <c r="K533" s="155">
        <f>IF($E533="","",Input!$C$57)</f>
        <v>4.4999999999999998E-2</v>
      </c>
      <c r="L533" s="155">
        <f t="shared" si="179"/>
        <v>3.6748094004368514E-3</v>
      </c>
      <c r="M533" s="147">
        <f>IF($E533="","",VLOOKUP(IF($B533&lt;=Input!$C$7,$B533,26),'Mortality Tables'!$A$72:$CA$97,IF($B533&lt;=Input!$C$7+1,Input!$C$4-16,$D533-Input!$C$7-16),0)/1000)</f>
        <v>0.13949</v>
      </c>
      <c r="N533" s="147">
        <f t="shared" si="168"/>
        <v>1.2441131376060954E-2</v>
      </c>
      <c r="O533" s="157">
        <f>IF($E533="","",IF($C533=12,IF($B533&lt;Input!$C$9,Input!$C$54,IF($B533=Input!$C$9,Input!$C$55,Input!$C$56)),0%))</f>
        <v>0</v>
      </c>
      <c r="P533" s="167">
        <f>IF($E533="","",IF($B533=1,Input!$C$59,IF($B533&lt;6,Input!$C$60,0%)))</f>
        <v>0</v>
      </c>
      <c r="Q533" s="162">
        <f>IF($E533="","",Input!$C$58)</f>
        <v>2.5</v>
      </c>
      <c r="R533" s="156">
        <f t="shared" si="180"/>
        <v>0.98755886862393905</v>
      </c>
      <c r="S533" s="154">
        <f t="shared" si="169"/>
        <v>1.6514819942256471E-3</v>
      </c>
      <c r="T533" s="152"/>
      <c r="U533" s="150">
        <f t="shared" si="181"/>
        <v>34175.05000000001</v>
      </c>
      <c r="V533" s="150">
        <f t="shared" si="182"/>
        <v>34175.05000000001</v>
      </c>
      <c r="W533" s="168">
        <f t="shared" si="183"/>
        <v>0</v>
      </c>
      <c r="X533" s="163">
        <f t="shared" si="170"/>
        <v>1244.1131376060955</v>
      </c>
      <c r="Y533" s="152"/>
      <c r="Z533" s="164">
        <f>IF(AND($C532=12,$D532=Input!$C$6),0,IF($E533="","",V533+Z534/(1+L533)*R533))</f>
        <v>148482.06410082965</v>
      </c>
      <c r="AA533" s="164">
        <f>IF(OR($M533=1,AND($C532=12,$D532=Input!$C$6)),0,IF($E533="","",W533+(X533+AA534*$R533)/(1+$L533)))</f>
        <v>59235.573635273984</v>
      </c>
      <c r="AB533" s="160">
        <f t="shared" si="171"/>
        <v>0.825720328500681</v>
      </c>
      <c r="AC533" s="164">
        <f t="shared" si="172"/>
        <v>28219.033512527207</v>
      </c>
      <c r="AD533" s="164">
        <f>IF(AND($C532=12,$D532=Input!$C$6),0,IF($E533="","",$AC533+AD534/(1+$L533)*$R533))</f>
        <v>122604.65874579625</v>
      </c>
      <c r="AE533" s="152"/>
      <c r="AF533" s="164">
        <f>IF(AND($C532=12,$D532=Input!$C$6),0,IF($E533="","",IF($B533&gt;Input!$C$9,$AC533,0)+AF534/(1+$L533)*$R533))</f>
        <v>122604.65874579625</v>
      </c>
      <c r="AG533" s="164">
        <f>IF(AND($C532=12,$D532=Input!$C$6),0,IF($E533="","",(IF($B533&gt;Input!$C$9,$X533,0)+AG534)/(1+$L533)*$R533))</f>
        <v>57772.369821547523</v>
      </c>
      <c r="AH533" s="160">
        <f t="shared" si="173"/>
        <v>2.0950137211446997</v>
      </c>
      <c r="AI533" s="160">
        <f>IF($E533="","",MIN(Input!$C$61/AH533,1))</f>
        <v>0.64438718771845094</v>
      </c>
      <c r="AJ533" s="152"/>
      <c r="AK533" s="164">
        <f>IF(AND($C532=12,$D532=Input!$C$6),0,IF($E533="","",IF($B533&gt;Input!$C$9,$AC533*AI533,0)+AK534/(1+$L533)*$R533))</f>
        <v>79004.871250383978</v>
      </c>
      <c r="AL533" s="164">
        <f>IF(AND($C532=12,$D532=Input!$C$6),0,IF($E533="","",IF($B533&gt;Input!$C$9,0,$AC533)+AL534/(1+$L533)*$R533))</f>
        <v>0</v>
      </c>
      <c r="AM533" s="160">
        <f t="shared" si="174"/>
        <v>1.1382936520186004</v>
      </c>
      <c r="AN533" s="164">
        <f>IF($E533="","",IF($B533&gt;Input!$C$9,$AI533*$AC533,$AM533*$AC533))</f>
        <v>18183.983645270127</v>
      </c>
      <c r="AO533" s="164">
        <f>IF(AND($C532=12,$D532=Input!$C$6),0,IF($E533="","",$AN533+AO534/(1+$L533)*$R533))</f>
        <v>79004.871250383978</v>
      </c>
      <c r="AP533" s="152"/>
      <c r="AQ533" s="164">
        <f t="shared" si="175"/>
        <v>-19769.297615109994</v>
      </c>
      <c r="AR533" s="164">
        <f t="shared" si="184"/>
        <v>-7593.0814511094832</v>
      </c>
      <c r="AS533" s="164">
        <f t="shared" si="185"/>
        <v>6674.1626794258382</v>
      </c>
      <c r="AT533" s="164">
        <f t="shared" si="176"/>
        <v>6674.1626794258382</v>
      </c>
      <c r="AU533" s="152"/>
      <c r="AV533" s="147">
        <f>'Deterministic Reserve'!BC533</f>
        <v>5.9768193559294109E-4</v>
      </c>
      <c r="AW533" s="164">
        <f t="shared" si="177"/>
        <v>6674.1626794258382</v>
      </c>
      <c r="AX533" s="164">
        <f t="shared" si="178"/>
        <v>3.9890264687014048</v>
      </c>
      <c r="AY533" s="152"/>
    </row>
    <row r="534" spans="1:51" s="150" customFormat="1" x14ac:dyDescent="0.25">
      <c r="A534" s="150">
        <f t="shared" si="186"/>
        <v>530</v>
      </c>
      <c r="B534" s="150">
        <f t="shared" si="187"/>
        <v>45</v>
      </c>
      <c r="C534" s="150">
        <f t="shared" si="188"/>
        <v>2</v>
      </c>
      <c r="D534" s="150">
        <f>IF(E534="","",Input!$C$4+B534-1)</f>
        <v>89</v>
      </c>
      <c r="E534" s="150">
        <f>IF(OR(AND(C533=12,D533=Input!$C$6),E533=""),"",1)</f>
        <v>1</v>
      </c>
      <c r="F534" s="150">
        <f>IF(E534="","",Input!$C$8+B534-1)</f>
        <v>2062</v>
      </c>
      <c r="G534" s="151">
        <f>IF(E534="","",MAX(0,Input!$C$9-B534))</f>
        <v>0</v>
      </c>
      <c r="H534" s="152">
        <f>IF(E534="","",Input!$C$3)</f>
        <v>100000</v>
      </c>
      <c r="I534" s="153">
        <f>IF(E534="","",HLOOKUP($B534,Input!$C$13:$BT$14,2))</f>
        <v>341.75050000000005</v>
      </c>
      <c r="J534" s="154"/>
      <c r="K534" s="155">
        <f>IF($E534="","",Input!$C$57)</f>
        <v>4.4999999999999998E-2</v>
      </c>
      <c r="L534" s="155">
        <f t="shared" si="179"/>
        <v>3.6748094004368514E-3</v>
      </c>
      <c r="M534" s="147">
        <f>IF($E534="","",VLOOKUP(IF($B534&lt;=Input!$C$7,$B534,26),'Mortality Tables'!$A$72:$CA$97,IF($B534&lt;=Input!$C$7+1,Input!$C$4-16,$D534-Input!$C$7-16),0)/1000)</f>
        <v>0.13949</v>
      </c>
      <c r="N534" s="147">
        <f t="shared" si="168"/>
        <v>1.2441131376060954E-2</v>
      </c>
      <c r="O534" s="157">
        <f>IF($E534="","",IF($C534=12,IF($B534&lt;Input!$C$9,Input!$C$54,IF($B534=Input!$C$9,Input!$C$55,Input!$C$56)),0%))</f>
        <v>0</v>
      </c>
      <c r="P534" s="167">
        <f>IF($E534="","",IF($B534=1,Input!$C$59,IF($B534&lt;6,Input!$C$60,0%)))</f>
        <v>0</v>
      </c>
      <c r="Q534" s="162">
        <f>IF($E534="","",Input!$C$58)</f>
        <v>2.5</v>
      </c>
      <c r="R534" s="156">
        <f t="shared" si="180"/>
        <v>0.98755886862393905</v>
      </c>
      <c r="S534" s="154">
        <f t="shared" si="169"/>
        <v>1.6309356897702867E-3</v>
      </c>
      <c r="T534" s="152"/>
      <c r="U534" s="150">
        <f t="shared" si="181"/>
        <v>0</v>
      </c>
      <c r="V534" s="150">
        <f t="shared" si="182"/>
        <v>0</v>
      </c>
      <c r="W534" s="168">
        <f t="shared" si="183"/>
        <v>0</v>
      </c>
      <c r="X534" s="163">
        <f t="shared" si="170"/>
        <v>1244.1131376060955</v>
      </c>
      <c r="Y534" s="152"/>
      <c r="Z534" s="164">
        <f>IF(AND($C533=12,$D533=Input!$C$6),0,IF($E534="","",V534+Z535/(1+L534)*R534))</f>
        <v>116172.38651367034</v>
      </c>
      <c r="AA534" s="164">
        <f>IF(OR($M534=1,AND($C533=12,$D533=Input!$C$6)),0,IF($E534="","",W534+(X534+AA535*$R534)/(1+$L534)))</f>
        <v>58942.450713456165</v>
      </c>
      <c r="AB534" s="160">
        <f t="shared" si="171"/>
        <v>0.825720328500681</v>
      </c>
      <c r="AC534" s="164">
        <f t="shared" si="172"/>
        <v>0</v>
      </c>
      <c r="AD534" s="164">
        <f>IF(AND($C533=12,$D533=Input!$C$6),0,IF($E534="","",$AC534+AD535/(1+$L534)*$R534))</f>
        <v>95925.901154775958</v>
      </c>
      <c r="AE534" s="152"/>
      <c r="AF534" s="164">
        <f>IF(AND($C533=12,$D533=Input!$C$6),0,IF($E534="","",IF($B534&gt;Input!$C$9,$AC534,0)+AF535/(1+$L534)*$R534))</f>
        <v>95925.901154775958</v>
      </c>
      <c r="AG534" s="164">
        <f>IF(AND($C533=12,$D533=Input!$C$6),0,IF($E534="","",(IF($B534&gt;Input!$C$9,$X534,0)+AG535)/(1+$L534)*$R534))</f>
        <v>57471.042091619776</v>
      </c>
      <c r="AH534" s="160">
        <f t="shared" si="173"/>
        <v>2.0950137211446997</v>
      </c>
      <c r="AI534" s="160">
        <f>IF($E534="","",MIN(Input!$C$61/AH534,1))</f>
        <v>0.64438718771845094</v>
      </c>
      <c r="AJ534" s="152"/>
      <c r="AK534" s="164">
        <f>IF(AND($C533=12,$D533=Input!$C$6),0,IF($E534="","",IF($B534&gt;Input!$C$9,$AC534*AI534,0)+AK535/(1+$L534)*$R534))</f>
        <v>61813.421674484147</v>
      </c>
      <c r="AL534" s="164">
        <f>IF(AND($C533=12,$D533=Input!$C$6),0,IF($E534="","",IF($B534&gt;Input!$C$9,0,$AC534)+AL535/(1+$L534)*$R534))</f>
        <v>0</v>
      </c>
      <c r="AM534" s="160">
        <f t="shared" si="174"/>
        <v>1.1382936520186004</v>
      </c>
      <c r="AN534" s="164">
        <f>IF($E534="","",IF($B534&gt;Input!$C$9,$AI534*$AC534,$AM534*$AC534))</f>
        <v>0</v>
      </c>
      <c r="AO534" s="164">
        <f>IF(AND($C533=12,$D533=Input!$C$6),0,IF($E534="","",$AN534+AO535/(1+$L534)*$R534))</f>
        <v>61813.421674484147</v>
      </c>
      <c r="AP534" s="152"/>
      <c r="AQ534" s="164">
        <f t="shared" si="175"/>
        <v>-2870.9709610279824</v>
      </c>
      <c r="AR534" s="164">
        <f t="shared" si="184"/>
        <v>-7593.0814511094832</v>
      </c>
      <c r="AS534" s="164">
        <f t="shared" si="185"/>
        <v>6674.1626794258382</v>
      </c>
      <c r="AT534" s="164">
        <f t="shared" si="176"/>
        <v>6674.1626794258382</v>
      </c>
      <c r="AU534" s="152"/>
      <c r="AV534" s="147">
        <f>'Deterministic Reserve'!BC534</f>
        <v>5.7960712776840056E-4</v>
      </c>
      <c r="AW534" s="164">
        <f t="shared" si="177"/>
        <v>6674.1626794258382</v>
      </c>
      <c r="AX534" s="164">
        <f t="shared" si="178"/>
        <v>3.8683922608810626</v>
      </c>
      <c r="AY534" s="152"/>
    </row>
    <row r="535" spans="1:51" s="150" customFormat="1" x14ac:dyDescent="0.25">
      <c r="A535" s="150">
        <f t="shared" si="186"/>
        <v>531</v>
      </c>
      <c r="B535" s="150">
        <f t="shared" si="187"/>
        <v>45</v>
      </c>
      <c r="C535" s="150">
        <f t="shared" si="188"/>
        <v>3</v>
      </c>
      <c r="D535" s="150">
        <f>IF(E535="","",Input!$C$4+B535-1)</f>
        <v>89</v>
      </c>
      <c r="E535" s="150">
        <f>IF(OR(AND(C534=12,D534=Input!$C$6),E534=""),"",1)</f>
        <v>1</v>
      </c>
      <c r="F535" s="150">
        <f>IF(E535="","",Input!$C$8+B535-1)</f>
        <v>2062</v>
      </c>
      <c r="G535" s="151">
        <f>IF(E535="","",MAX(0,Input!$C$9-B535))</f>
        <v>0</v>
      </c>
      <c r="H535" s="152">
        <f>IF(E535="","",Input!$C$3)</f>
        <v>100000</v>
      </c>
      <c r="I535" s="153">
        <f>IF(E535="","",HLOOKUP($B535,Input!$C$13:$BT$14,2))</f>
        <v>341.75050000000005</v>
      </c>
      <c r="J535" s="154"/>
      <c r="K535" s="155">
        <f>IF($E535="","",Input!$C$57)</f>
        <v>4.4999999999999998E-2</v>
      </c>
      <c r="L535" s="155">
        <f t="shared" si="179"/>
        <v>3.6748094004368514E-3</v>
      </c>
      <c r="M535" s="147">
        <f>IF($E535="","",VLOOKUP(IF($B535&lt;=Input!$C$7,$B535,26),'Mortality Tables'!$A$72:$CA$97,IF($B535&lt;=Input!$C$7+1,Input!$C$4-16,$D535-Input!$C$7-16),0)/1000)</f>
        <v>0.13949</v>
      </c>
      <c r="N535" s="147">
        <f t="shared" si="168"/>
        <v>1.2441131376060954E-2</v>
      </c>
      <c r="O535" s="157">
        <f>IF($E535="","",IF($C535=12,IF($B535&lt;Input!$C$9,Input!$C$54,IF($B535=Input!$C$9,Input!$C$55,Input!$C$56)),0%))</f>
        <v>0</v>
      </c>
      <c r="P535" s="167">
        <f>IF($E535="","",IF($B535=1,Input!$C$59,IF($B535&lt;6,Input!$C$60,0%)))</f>
        <v>0</v>
      </c>
      <c r="Q535" s="162">
        <f>IF($E535="","",Input!$C$58)</f>
        <v>2.5</v>
      </c>
      <c r="R535" s="156">
        <f t="shared" si="180"/>
        <v>0.98755886862393905</v>
      </c>
      <c r="S535" s="154">
        <f t="shared" si="169"/>
        <v>1.610645004587948E-3</v>
      </c>
      <c r="T535" s="152"/>
      <c r="U535" s="150">
        <f t="shared" si="181"/>
        <v>0</v>
      </c>
      <c r="V535" s="150">
        <f t="shared" si="182"/>
        <v>0</v>
      </c>
      <c r="W535" s="168">
        <f t="shared" si="183"/>
        <v>0</v>
      </c>
      <c r="X535" s="163">
        <f t="shared" si="170"/>
        <v>1244.1131376060955</v>
      </c>
      <c r="Y535" s="152"/>
      <c r="Z535" s="164">
        <f>IF(AND($C534=12,$D534=Input!$C$6),0,IF($E535="","",V535+Z536/(1+L535)*R535))</f>
        <v>118068.19987771564</v>
      </c>
      <c r="AA535" s="164">
        <f>IF(OR($M535=1,AND($C534=12,$D534=Input!$C$6)),0,IF($E535="","",W535+(X535+AA536*$R535)/(1+$L535)))</f>
        <v>58644.5443282942</v>
      </c>
      <c r="AB535" s="160">
        <f t="shared" si="171"/>
        <v>0.825720328500681</v>
      </c>
      <c r="AC535" s="164">
        <f t="shared" si="172"/>
        <v>0</v>
      </c>
      <c r="AD535" s="164">
        <f>IF(AND($C534=12,$D534=Input!$C$6),0,IF($E535="","",$AC535+AD536/(1+$L535)*$R535))</f>
        <v>97491.312788511423</v>
      </c>
      <c r="AE535" s="152"/>
      <c r="AF535" s="164">
        <f>IF(AND($C534=12,$D534=Input!$C$6),0,IF($E535="","",IF($B535&gt;Input!$C$9,$AC535,0)+AF536/(1+$L535)*$R535))</f>
        <v>97491.312788511423</v>
      </c>
      <c r="AG535" s="164">
        <f>IF(AND($C534=12,$D534=Input!$C$6),0,IF($E535="","",(IF($B535&gt;Input!$C$9,$X535,0)+AG536)/(1+$L535)*$R535))</f>
        <v>57164.797004353524</v>
      </c>
      <c r="AH535" s="160">
        <f t="shared" si="173"/>
        <v>2.0950137211446997</v>
      </c>
      <c r="AI535" s="160">
        <f>IF($E535="","",MIN(Input!$C$61/AH535,1))</f>
        <v>0.64438718771845094</v>
      </c>
      <c r="AJ535" s="152"/>
      <c r="AK535" s="164">
        <f>IF(AND($C534=12,$D534=Input!$C$6),0,IF($E535="","",IF($B535&gt;Input!$C$9,$AC535*AI535,0)+AK536/(1+$L535)*$R535))</f>
        <v>62822.15287476869</v>
      </c>
      <c r="AL535" s="164">
        <f>IF(AND($C534=12,$D534=Input!$C$6),0,IF($E535="","",IF($B535&gt;Input!$C$9,0,$AC535)+AL536/(1+$L535)*$R535))</f>
        <v>0</v>
      </c>
      <c r="AM535" s="160">
        <f t="shared" si="174"/>
        <v>1.1382936520186004</v>
      </c>
      <c r="AN535" s="164">
        <f>IF($E535="","",IF($B535&gt;Input!$C$9,$AI535*$AC535,$AM535*$AC535))</f>
        <v>0</v>
      </c>
      <c r="AO535" s="164">
        <f>IF(AND($C534=12,$D534=Input!$C$6),0,IF($E535="","",$AN535+AO536/(1+$L535)*$R535))</f>
        <v>62822.15287476869</v>
      </c>
      <c r="AP535" s="152"/>
      <c r="AQ535" s="164">
        <f t="shared" si="175"/>
        <v>-4177.6085464744901</v>
      </c>
      <c r="AR535" s="164">
        <f t="shared" si="184"/>
        <v>-7593.0814511094832</v>
      </c>
      <c r="AS535" s="164">
        <f t="shared" si="185"/>
        <v>6674.1626794258382</v>
      </c>
      <c r="AT535" s="164">
        <f t="shared" si="176"/>
        <v>6674.1626794258382</v>
      </c>
      <c r="AU535" s="152"/>
      <c r="AV535" s="147">
        <f>'Deterministic Reserve'!BC535</f>
        <v>5.6207892953407626E-4</v>
      </c>
      <c r="AW535" s="164">
        <f t="shared" si="177"/>
        <v>6674.1626794258382</v>
      </c>
      <c r="AX535" s="164">
        <f t="shared" si="178"/>
        <v>3.7514062143879574</v>
      </c>
      <c r="AY535" s="152"/>
    </row>
    <row r="536" spans="1:51" s="150" customFormat="1" x14ac:dyDescent="0.25">
      <c r="A536" s="150">
        <f t="shared" si="186"/>
        <v>532</v>
      </c>
      <c r="B536" s="150">
        <f t="shared" si="187"/>
        <v>45</v>
      </c>
      <c r="C536" s="150">
        <f t="shared" si="188"/>
        <v>4</v>
      </c>
      <c r="D536" s="150">
        <f>IF(E536="","",Input!$C$4+B536-1)</f>
        <v>89</v>
      </c>
      <c r="E536" s="150">
        <f>IF(OR(AND(C535=12,D535=Input!$C$6),E535=""),"",1)</f>
        <v>1</v>
      </c>
      <c r="F536" s="150">
        <f>IF(E536="","",Input!$C$8+B536-1)</f>
        <v>2062</v>
      </c>
      <c r="G536" s="151">
        <f>IF(E536="","",MAX(0,Input!$C$9-B536))</f>
        <v>0</v>
      </c>
      <c r="H536" s="152">
        <f>IF(E536="","",Input!$C$3)</f>
        <v>100000</v>
      </c>
      <c r="I536" s="153">
        <f>IF(E536="","",HLOOKUP($B536,Input!$C$13:$BT$14,2))</f>
        <v>341.75050000000005</v>
      </c>
      <c r="J536" s="154"/>
      <c r="K536" s="155">
        <f>IF($E536="","",Input!$C$57)</f>
        <v>4.4999999999999998E-2</v>
      </c>
      <c r="L536" s="155">
        <f t="shared" si="179"/>
        <v>3.6748094004368514E-3</v>
      </c>
      <c r="M536" s="147">
        <f>IF($E536="","",VLOOKUP(IF($B536&lt;=Input!$C$7,$B536,26),'Mortality Tables'!$A$72:$CA$97,IF($B536&lt;=Input!$C$7+1,Input!$C$4-16,$D536-Input!$C$7-16),0)/1000)</f>
        <v>0.13949</v>
      </c>
      <c r="N536" s="147">
        <f t="shared" si="168"/>
        <v>1.2441131376060954E-2</v>
      </c>
      <c r="O536" s="157">
        <f>IF($E536="","",IF($C536=12,IF($B536&lt;Input!$C$9,Input!$C$54,IF($B536=Input!$C$9,Input!$C$55,Input!$C$56)),0%))</f>
        <v>0</v>
      </c>
      <c r="P536" s="167">
        <f>IF($E536="","",IF($B536=1,Input!$C$59,IF($B536&lt;6,Input!$C$60,0%)))</f>
        <v>0</v>
      </c>
      <c r="Q536" s="162">
        <f>IF($E536="","",Input!$C$58)</f>
        <v>2.5</v>
      </c>
      <c r="R536" s="156">
        <f t="shared" si="180"/>
        <v>0.98755886862393905</v>
      </c>
      <c r="S536" s="154">
        <f t="shared" si="169"/>
        <v>1.590606758485673E-3</v>
      </c>
      <c r="T536" s="152"/>
      <c r="U536" s="150">
        <f t="shared" si="181"/>
        <v>0</v>
      </c>
      <c r="V536" s="150">
        <f t="shared" si="182"/>
        <v>0</v>
      </c>
      <c r="W536" s="168">
        <f t="shared" si="183"/>
        <v>0</v>
      </c>
      <c r="X536" s="163">
        <f t="shared" si="170"/>
        <v>1244.1131376060955</v>
      </c>
      <c r="Y536" s="152"/>
      <c r="Z536" s="164">
        <f>IF(AND($C535=12,$D535=Input!$C$6),0,IF($E536="","",V536+Z537/(1+L536)*R536))</f>
        <v>119994.95095784952</v>
      </c>
      <c r="AA536" s="164">
        <f>IF(OR($M536=1,AND($C535=12,$D535=Input!$C$6)),0,IF($E536="","",W536+(X536+AA537*$R536)/(1+$L536)))</f>
        <v>58341.776418606722</v>
      </c>
      <c r="AB536" s="160">
        <f t="shared" si="171"/>
        <v>0.825720328500681</v>
      </c>
      <c r="AC536" s="164">
        <f t="shared" si="172"/>
        <v>0</v>
      </c>
      <c r="AD536" s="164">
        <f>IF(AND($C535=12,$D535=Input!$C$6),0,IF($E536="","",$AC536+AD537/(1+$L536)*$R536))</f>
        <v>99082.270323338613</v>
      </c>
      <c r="AE536" s="152"/>
      <c r="AF536" s="164">
        <f>IF(AND($C535=12,$D535=Input!$C$6),0,IF($E536="","",IF($B536&gt;Input!$C$9,$AC536,0)+AF537/(1+$L536)*$R536))</f>
        <v>99082.270323338613</v>
      </c>
      <c r="AG536" s="164">
        <f>IF(AND($C535=12,$D535=Input!$C$6),0,IF($E536="","",(IF($B536&gt;Input!$C$9,$X536,0)+AG537)/(1+$L536)*$R536))</f>
        <v>56853.554313555695</v>
      </c>
      <c r="AH536" s="160">
        <f t="shared" si="173"/>
        <v>2.0950137211446997</v>
      </c>
      <c r="AI536" s="160">
        <f>IF($E536="","",MIN(Input!$C$61/AH536,1))</f>
        <v>0.64438718771845094</v>
      </c>
      <c r="AJ536" s="152"/>
      <c r="AK536" s="164">
        <f>IF(AND($C535=12,$D535=Input!$C$6),0,IF($E536="","",IF($B536&gt;Input!$C$9,$AC536*AI536,0)+AK537/(1+$L536)*$R536))</f>
        <v>63847.345526415462</v>
      </c>
      <c r="AL536" s="164">
        <f>IF(AND($C535=12,$D535=Input!$C$6),0,IF($E536="","",IF($B536&gt;Input!$C$9,0,$AC536)+AL537/(1+$L536)*$R536))</f>
        <v>0</v>
      </c>
      <c r="AM536" s="160">
        <f t="shared" si="174"/>
        <v>1.1382936520186004</v>
      </c>
      <c r="AN536" s="164">
        <f>IF($E536="","",IF($B536&gt;Input!$C$9,$AI536*$AC536,$AM536*$AC536))</f>
        <v>0</v>
      </c>
      <c r="AO536" s="164">
        <f>IF(AND($C535=12,$D535=Input!$C$6),0,IF($E536="","",$AN536+AO537/(1+$L536)*$R536))</f>
        <v>63847.345526415462</v>
      </c>
      <c r="AP536" s="152"/>
      <c r="AQ536" s="164">
        <f t="shared" si="175"/>
        <v>-5505.5691078087402</v>
      </c>
      <c r="AR536" s="164">
        <f t="shared" si="184"/>
        <v>-7593.0814511094832</v>
      </c>
      <c r="AS536" s="164">
        <f t="shared" si="185"/>
        <v>6674.1626794258382</v>
      </c>
      <c r="AT536" s="164">
        <f t="shared" si="176"/>
        <v>6674.1626794258382</v>
      </c>
      <c r="AU536" s="152"/>
      <c r="AV536" s="147">
        <f>'Deterministic Reserve'!BC536</f>
        <v>5.4508081058729399E-4</v>
      </c>
      <c r="AW536" s="164">
        <f t="shared" si="177"/>
        <v>6674.1626794258382</v>
      </c>
      <c r="AX536" s="164">
        <f t="shared" si="178"/>
        <v>3.6379580032929018</v>
      </c>
      <c r="AY536" s="152"/>
    </row>
    <row r="537" spans="1:51" s="150" customFormat="1" x14ac:dyDescent="0.25">
      <c r="A537" s="150">
        <f t="shared" si="186"/>
        <v>533</v>
      </c>
      <c r="B537" s="150">
        <f t="shared" si="187"/>
        <v>45</v>
      </c>
      <c r="C537" s="150">
        <f t="shared" si="188"/>
        <v>5</v>
      </c>
      <c r="D537" s="150">
        <f>IF(E537="","",Input!$C$4+B537-1)</f>
        <v>89</v>
      </c>
      <c r="E537" s="150">
        <f>IF(OR(AND(C536=12,D536=Input!$C$6),E536=""),"",1)</f>
        <v>1</v>
      </c>
      <c r="F537" s="150">
        <f>IF(E537="","",Input!$C$8+B537-1)</f>
        <v>2062</v>
      </c>
      <c r="G537" s="151">
        <f>IF(E537="","",MAX(0,Input!$C$9-B537))</f>
        <v>0</v>
      </c>
      <c r="H537" s="152">
        <f>IF(E537="","",Input!$C$3)</f>
        <v>100000</v>
      </c>
      <c r="I537" s="153">
        <f>IF(E537="","",HLOOKUP($B537,Input!$C$13:$BT$14,2))</f>
        <v>341.75050000000005</v>
      </c>
      <c r="J537" s="154"/>
      <c r="K537" s="155">
        <f>IF($E537="","",Input!$C$57)</f>
        <v>4.4999999999999998E-2</v>
      </c>
      <c r="L537" s="155">
        <f t="shared" si="179"/>
        <v>3.6748094004368514E-3</v>
      </c>
      <c r="M537" s="147">
        <f>IF($E537="","",VLOOKUP(IF($B537&lt;=Input!$C$7,$B537,26),'Mortality Tables'!$A$72:$CA$97,IF($B537&lt;=Input!$C$7+1,Input!$C$4-16,$D537-Input!$C$7-16),0)/1000)</f>
        <v>0.13949</v>
      </c>
      <c r="N537" s="147">
        <f t="shared" si="168"/>
        <v>1.2441131376060954E-2</v>
      </c>
      <c r="O537" s="157">
        <f>IF($E537="","",IF($C537=12,IF($B537&lt;Input!$C$9,Input!$C$54,IF($B537=Input!$C$9,Input!$C$55,Input!$C$56)),0%))</f>
        <v>0</v>
      </c>
      <c r="P537" s="167">
        <f>IF($E537="","",IF($B537=1,Input!$C$59,IF($B537&lt;6,Input!$C$60,0%)))</f>
        <v>0</v>
      </c>
      <c r="Q537" s="162">
        <f>IF($E537="","",Input!$C$58)</f>
        <v>2.5</v>
      </c>
      <c r="R537" s="156">
        <f t="shared" si="180"/>
        <v>0.98755886862393905</v>
      </c>
      <c r="S537" s="154">
        <f t="shared" si="169"/>
        <v>1.5708178108357024E-3</v>
      </c>
      <c r="T537" s="152"/>
      <c r="U537" s="150">
        <f t="shared" si="181"/>
        <v>0</v>
      </c>
      <c r="V537" s="150">
        <f t="shared" si="182"/>
        <v>0</v>
      </c>
      <c r="W537" s="168">
        <f t="shared" si="183"/>
        <v>0</v>
      </c>
      <c r="X537" s="163">
        <f t="shared" si="170"/>
        <v>1244.1131376060955</v>
      </c>
      <c r="Y537" s="152"/>
      <c r="Z537" s="164">
        <f>IF(AND($C536=12,$D536=Input!$C$6),0,IF($E537="","",V537+Z538/(1+L537)*R537))</f>
        <v>121953.1446256458</v>
      </c>
      <c r="AA537" s="164">
        <f>IF(OR($M537=1,AND($C536=12,$D536=Input!$C$6)),0,IF($E537="","",W537+(X537+AA538*$R537)/(1+$L537)))</f>
        <v>58034.067649334487</v>
      </c>
      <c r="AB537" s="160">
        <f t="shared" si="171"/>
        <v>0.825720328500681</v>
      </c>
      <c r="AC537" s="164">
        <f t="shared" si="172"/>
        <v>0</v>
      </c>
      <c r="AD537" s="164">
        <f>IF(AND($C536=12,$D536=Input!$C$6),0,IF($E537="","",$AC537+AD538/(1+$L537)*$R537))</f>
        <v>100699.19064197931</v>
      </c>
      <c r="AE537" s="152"/>
      <c r="AF537" s="164">
        <f>IF(AND($C536=12,$D536=Input!$C$6),0,IF($E537="","",IF($B537&gt;Input!$C$9,$AC537,0)+AF538/(1+$L537)*$R537))</f>
        <v>100699.19064197931</v>
      </c>
      <c r="AG537" s="164">
        <f>IF(AND($C536=12,$D536=Input!$C$6),0,IF($E537="","",(IF($B537&gt;Input!$C$9,$X537,0)+AG538)/(1+$L537)*$R537))</f>
        <v>56537.232463498221</v>
      </c>
      <c r="AH537" s="160">
        <f t="shared" si="173"/>
        <v>2.0950137211446997</v>
      </c>
      <c r="AI537" s="160">
        <f>IF($E537="","",MIN(Input!$C$61/AH537,1))</f>
        <v>0.64438718771845094</v>
      </c>
      <c r="AJ537" s="152"/>
      <c r="AK537" s="164">
        <f>IF(AND($C536=12,$D536=Input!$C$6),0,IF($E537="","",IF($B537&gt;Input!$C$9,$AC537*AI537,0)+AK538/(1+$L537)*$R537))</f>
        <v>64889.268263309168</v>
      </c>
      <c r="AL537" s="164">
        <f>IF(AND($C536=12,$D536=Input!$C$6),0,IF($E537="","",IF($B537&gt;Input!$C$9,0,$AC537)+AL538/(1+$L537)*$R537))</f>
        <v>0</v>
      </c>
      <c r="AM537" s="160">
        <f t="shared" si="174"/>
        <v>1.1382936520186004</v>
      </c>
      <c r="AN537" s="164">
        <f>IF($E537="","",IF($B537&gt;Input!$C$9,$AI537*$AC537,$AM537*$AC537))</f>
        <v>0</v>
      </c>
      <c r="AO537" s="164">
        <f>IF(AND($C536=12,$D536=Input!$C$6),0,IF($E537="","",$AN537+AO538/(1+$L537)*$R537))</f>
        <v>64889.268263309168</v>
      </c>
      <c r="AP537" s="152"/>
      <c r="AQ537" s="164">
        <f t="shared" si="175"/>
        <v>-6855.2006139746809</v>
      </c>
      <c r="AR537" s="164">
        <f t="shared" si="184"/>
        <v>-7593.0814511094832</v>
      </c>
      <c r="AS537" s="164">
        <f t="shared" si="185"/>
        <v>6674.1626794258382</v>
      </c>
      <c r="AT537" s="164">
        <f t="shared" si="176"/>
        <v>6674.1626794258382</v>
      </c>
      <c r="AU537" s="152"/>
      <c r="AV537" s="147">
        <f>'Deterministic Reserve'!BC537</f>
        <v>5.2859674052679266E-4</v>
      </c>
      <c r="AW537" s="164">
        <f t="shared" si="177"/>
        <v>6674.1626794258382</v>
      </c>
      <c r="AX537" s="164">
        <f t="shared" si="178"/>
        <v>3.5279406380900631</v>
      </c>
      <c r="AY537" s="152"/>
    </row>
    <row r="538" spans="1:51" s="150" customFormat="1" x14ac:dyDescent="0.25">
      <c r="A538" s="150">
        <f t="shared" si="186"/>
        <v>534</v>
      </c>
      <c r="B538" s="150">
        <f t="shared" si="187"/>
        <v>45</v>
      </c>
      <c r="C538" s="150">
        <f t="shared" si="188"/>
        <v>6</v>
      </c>
      <c r="D538" s="150">
        <f>IF(E538="","",Input!$C$4+B538-1)</f>
        <v>89</v>
      </c>
      <c r="E538" s="150">
        <f>IF(OR(AND(C537=12,D537=Input!$C$6),E537=""),"",1)</f>
        <v>1</v>
      </c>
      <c r="F538" s="150">
        <f>IF(E538="","",Input!$C$8+B538-1)</f>
        <v>2062</v>
      </c>
      <c r="G538" s="151">
        <f>IF(E538="","",MAX(0,Input!$C$9-B538))</f>
        <v>0</v>
      </c>
      <c r="H538" s="152">
        <f>IF(E538="","",Input!$C$3)</f>
        <v>100000</v>
      </c>
      <c r="I538" s="153">
        <f>IF(E538="","",HLOOKUP($B538,Input!$C$13:$BT$14,2))</f>
        <v>341.75050000000005</v>
      </c>
      <c r="J538" s="154"/>
      <c r="K538" s="155">
        <f>IF($E538="","",Input!$C$57)</f>
        <v>4.4999999999999998E-2</v>
      </c>
      <c r="L538" s="155">
        <f t="shared" si="179"/>
        <v>3.6748094004368514E-3</v>
      </c>
      <c r="M538" s="147">
        <f>IF($E538="","",VLOOKUP(IF($B538&lt;=Input!$C$7,$B538,26),'Mortality Tables'!$A$72:$CA$97,IF($B538&lt;=Input!$C$7+1,Input!$C$4-16,$D538-Input!$C$7-16),0)/1000)</f>
        <v>0.13949</v>
      </c>
      <c r="N538" s="147">
        <f t="shared" si="168"/>
        <v>1.2441131376060954E-2</v>
      </c>
      <c r="O538" s="157">
        <f>IF($E538="","",IF($C538=12,IF($B538&lt;Input!$C$9,Input!$C$54,IF($B538=Input!$C$9,Input!$C$55,Input!$C$56)),0%))</f>
        <v>0</v>
      </c>
      <c r="P538" s="167">
        <f>IF($E538="","",IF($B538=1,Input!$C$59,IF($B538&lt;6,Input!$C$60,0%)))</f>
        <v>0</v>
      </c>
      <c r="Q538" s="162">
        <f>IF($E538="","",Input!$C$58)</f>
        <v>2.5</v>
      </c>
      <c r="R538" s="156">
        <f t="shared" si="180"/>
        <v>0.98755886862393905</v>
      </c>
      <c r="S538" s="154">
        <f t="shared" si="169"/>
        <v>1.5512750600832389E-3</v>
      </c>
      <c r="T538" s="152"/>
      <c r="U538" s="150">
        <f t="shared" si="181"/>
        <v>0</v>
      </c>
      <c r="V538" s="150">
        <f t="shared" si="182"/>
        <v>0</v>
      </c>
      <c r="W538" s="168">
        <f t="shared" si="183"/>
        <v>0</v>
      </c>
      <c r="X538" s="163">
        <f t="shared" si="170"/>
        <v>1244.1131376060955</v>
      </c>
      <c r="Y538" s="152"/>
      <c r="Z538" s="164">
        <f>IF(AND($C537=12,$D537=Input!$C$6),0,IF($E538="","",V538+Z539/(1+L538)*R538))</f>
        <v>123943.29399166096</v>
      </c>
      <c r="AA538" s="164">
        <f>IF(OR($M538=1,AND($C537=12,$D537=Input!$C$6)),0,IF($E538="","",W538+(X538+AA539*$R538)/(1+$L538)))</f>
        <v>57721.337390752044</v>
      </c>
      <c r="AB538" s="160">
        <f t="shared" si="171"/>
        <v>0.825720328500681</v>
      </c>
      <c r="AC538" s="164">
        <f t="shared" si="172"/>
        <v>0</v>
      </c>
      <c r="AD538" s="164">
        <f>IF(AND($C537=12,$D537=Input!$C$6),0,IF($E538="","",$AC538+AD539/(1+$L538)*$R538))</f>
        <v>102342.49743025078</v>
      </c>
      <c r="AE538" s="152"/>
      <c r="AF538" s="164">
        <f>IF(AND($C537=12,$D537=Input!$C$6),0,IF($E538="","",IF($B538&gt;Input!$C$9,$AC538,0)+AF539/(1+$L538)*$R538))</f>
        <v>102342.49743025078</v>
      </c>
      <c r="AG538" s="164">
        <f>IF(AND($C537=12,$D537=Input!$C$6),0,IF($E538="","",(IF($B538&gt;Input!$C$9,$X538,0)+AG539)/(1+$L538)*$R538))</f>
        <v>56215.748567547787</v>
      </c>
      <c r="AH538" s="160">
        <f t="shared" si="173"/>
        <v>2.0950137211446997</v>
      </c>
      <c r="AI538" s="160">
        <f>IF($E538="","",MIN(Input!$C$61/AH538,1))</f>
        <v>0.64438718771845094</v>
      </c>
      <c r="AJ538" s="152"/>
      <c r="AK538" s="164">
        <f>IF(AND($C537=12,$D537=Input!$C$6),0,IF($E538="","",IF($B538&gt;Input!$C$9,$AC538*AI538,0)+AK539/(1+$L538)*$R538))</f>
        <v>65948.194103162052</v>
      </c>
      <c r="AL538" s="164">
        <f>IF(AND($C537=12,$D537=Input!$C$6),0,IF($E538="","",IF($B538&gt;Input!$C$9,0,$AC538)+AL539/(1+$L538)*$R538))</f>
        <v>0</v>
      </c>
      <c r="AM538" s="160">
        <f t="shared" si="174"/>
        <v>1.1382936520186004</v>
      </c>
      <c r="AN538" s="164">
        <f>IF($E538="","",IF($B538&gt;Input!$C$9,$AI538*$AC538,$AM538*$AC538))</f>
        <v>0</v>
      </c>
      <c r="AO538" s="164">
        <f>IF(AND($C537=12,$D537=Input!$C$6),0,IF($E538="","",$AN538+AO539/(1+$L538)*$R538))</f>
        <v>65948.194103162052</v>
      </c>
      <c r="AP538" s="152"/>
      <c r="AQ538" s="164">
        <f t="shared" si="175"/>
        <v>-8226.8567124100082</v>
      </c>
      <c r="AR538" s="164">
        <f t="shared" si="184"/>
        <v>-7593.0814511094832</v>
      </c>
      <c r="AS538" s="164">
        <f t="shared" si="185"/>
        <v>6674.1626794258382</v>
      </c>
      <c r="AT538" s="164">
        <f t="shared" si="176"/>
        <v>6674.1626794258382</v>
      </c>
      <c r="AU538" s="152"/>
      <c r="AV538" s="147">
        <f>'Deterministic Reserve'!BC538</f>
        <v>5.1261117373494749E-4</v>
      </c>
      <c r="AW538" s="164">
        <f t="shared" si="177"/>
        <v>6674.1626794258382</v>
      </c>
      <c r="AX538" s="164">
        <f t="shared" si="178"/>
        <v>3.4212503647984609</v>
      </c>
      <c r="AY538" s="152"/>
    </row>
    <row r="539" spans="1:51" s="150" customFormat="1" x14ac:dyDescent="0.25">
      <c r="A539" s="150">
        <f t="shared" si="186"/>
        <v>535</v>
      </c>
      <c r="B539" s="150">
        <f t="shared" si="187"/>
        <v>45</v>
      </c>
      <c r="C539" s="150">
        <f t="shared" si="188"/>
        <v>7</v>
      </c>
      <c r="D539" s="150">
        <f>IF(E539="","",Input!$C$4+B539-1)</f>
        <v>89</v>
      </c>
      <c r="E539" s="150">
        <f>IF(OR(AND(C538=12,D538=Input!$C$6),E538=""),"",1)</f>
        <v>1</v>
      </c>
      <c r="F539" s="150">
        <f>IF(E539="","",Input!$C$8+B539-1)</f>
        <v>2062</v>
      </c>
      <c r="G539" s="151">
        <f>IF(E539="","",MAX(0,Input!$C$9-B539))</f>
        <v>0</v>
      </c>
      <c r="H539" s="152">
        <f>IF(E539="","",Input!$C$3)</f>
        <v>100000</v>
      </c>
      <c r="I539" s="153">
        <f>IF(E539="","",HLOOKUP($B539,Input!$C$13:$BT$14,2))</f>
        <v>341.75050000000005</v>
      </c>
      <c r="J539" s="154"/>
      <c r="K539" s="155">
        <f>IF($E539="","",Input!$C$57)</f>
        <v>4.4999999999999998E-2</v>
      </c>
      <c r="L539" s="155">
        <f t="shared" si="179"/>
        <v>3.6748094004368514E-3</v>
      </c>
      <c r="M539" s="147">
        <f>IF($E539="","",VLOOKUP(IF($B539&lt;=Input!$C$7,$B539,26),'Mortality Tables'!$A$72:$CA$97,IF($B539&lt;=Input!$C$7+1,Input!$C$4-16,$D539-Input!$C$7-16),0)/1000)</f>
        <v>0.13949</v>
      </c>
      <c r="N539" s="147">
        <f t="shared" si="168"/>
        <v>1.2441131376060954E-2</v>
      </c>
      <c r="O539" s="157">
        <f>IF($E539="","",IF($C539=12,IF($B539&lt;Input!$C$9,Input!$C$54,IF($B539=Input!$C$9,Input!$C$55,Input!$C$56)),0%))</f>
        <v>0</v>
      </c>
      <c r="P539" s="167">
        <f>IF($E539="","",IF($B539=1,Input!$C$59,IF($B539&lt;6,Input!$C$60,0%)))</f>
        <v>0</v>
      </c>
      <c r="Q539" s="162">
        <f>IF($E539="","",Input!$C$58)</f>
        <v>2.5</v>
      </c>
      <c r="R539" s="156">
        <f t="shared" si="180"/>
        <v>0.98755886862393905</v>
      </c>
      <c r="S539" s="154">
        <f t="shared" si="169"/>
        <v>1.5319754432603365E-3</v>
      </c>
      <c r="T539" s="152"/>
      <c r="U539" s="150">
        <f t="shared" si="181"/>
        <v>0</v>
      </c>
      <c r="V539" s="150">
        <f t="shared" si="182"/>
        <v>0</v>
      </c>
      <c r="W539" s="168">
        <f t="shared" si="183"/>
        <v>0</v>
      </c>
      <c r="X539" s="163">
        <f t="shared" si="170"/>
        <v>1244.1131376060955</v>
      </c>
      <c r="Y539" s="152"/>
      <c r="Z539" s="164">
        <f>IF(AND($C538=12,$D538=Input!$C$6),0,IF($E539="","",V539+Z540/(1+L539)*R539))</f>
        <v>125965.92053988579</v>
      </c>
      <c r="AA539" s="164">
        <f>IF(OR($M539=1,AND($C538=12,$D538=Input!$C$6)),0,IF($E539="","",W539+(X539+AA540*$R539)/(1+$L539)))</f>
        <v>57403.503697340078</v>
      </c>
      <c r="AB539" s="160">
        <f t="shared" si="171"/>
        <v>0.825720328500681</v>
      </c>
      <c r="AC539" s="164">
        <f t="shared" si="172"/>
        <v>0</v>
      </c>
      <c r="AD539" s="164">
        <f>IF(AND($C538=12,$D538=Input!$C$6),0,IF($E539="","",$AC539+AD540/(1+$L539)*$R539))</f>
        <v>104012.6212880852</v>
      </c>
      <c r="AE539" s="152"/>
      <c r="AF539" s="164">
        <f>IF(AND($C538=12,$D538=Input!$C$6),0,IF($E539="","",IF($B539&gt;Input!$C$9,$AC539,0)+AF540/(1+$L539)*$R539))</f>
        <v>104012.6212880852</v>
      </c>
      <c r="AG539" s="164">
        <f>IF(AND($C538=12,$D538=Input!$C$6),0,IF($E539="","",(IF($B539&gt;Input!$C$9,$X539,0)+AG540)/(1+$L539)*$R539))</f>
        <v>55889.01838644682</v>
      </c>
      <c r="AH539" s="160">
        <f t="shared" si="173"/>
        <v>2.0950137211446997</v>
      </c>
      <c r="AI539" s="160">
        <f>IF($E539="","",MIN(Input!$C$61/AH539,1))</f>
        <v>0.64438718771845094</v>
      </c>
      <c r="AJ539" s="152"/>
      <c r="AK539" s="164">
        <f>IF(AND($C538=12,$D538=Input!$C$6),0,IF($E539="","",IF($B539&gt;Input!$C$9,$AC539*AI539,0)+AK540/(1+$L539)*$R539))</f>
        <v>67024.400519053452</v>
      </c>
      <c r="AL539" s="164">
        <f>IF(AND($C538=12,$D538=Input!$C$6),0,IF($E539="","",IF($B539&gt;Input!$C$9,0,$AC539)+AL540/(1+$L539)*$R539))</f>
        <v>0</v>
      </c>
      <c r="AM539" s="160">
        <f t="shared" si="174"/>
        <v>1.1382936520186004</v>
      </c>
      <c r="AN539" s="164">
        <f>IF($E539="","",IF($B539&gt;Input!$C$9,$AI539*$AC539,$AM539*$AC539))</f>
        <v>0</v>
      </c>
      <c r="AO539" s="164">
        <f>IF(AND($C538=12,$D538=Input!$C$6),0,IF($E539="","",$AN539+AO540/(1+$L539)*$R539))</f>
        <v>67024.400519053452</v>
      </c>
      <c r="AP539" s="152"/>
      <c r="AQ539" s="164">
        <f t="shared" si="175"/>
        <v>-9620.8968217133734</v>
      </c>
      <c r="AR539" s="164">
        <f t="shared" si="184"/>
        <v>-7593.0814511094832</v>
      </c>
      <c r="AS539" s="164">
        <f t="shared" si="185"/>
        <v>6674.1626794258382</v>
      </c>
      <c r="AT539" s="164">
        <f t="shared" si="176"/>
        <v>6674.1626794258382</v>
      </c>
      <c r="AU539" s="152"/>
      <c r="AV539" s="147">
        <f>'Deterministic Reserve'!BC539</f>
        <v>4.9710903471717805E-4</v>
      </c>
      <c r="AW539" s="164">
        <f t="shared" si="177"/>
        <v>6674.1626794258382</v>
      </c>
      <c r="AX539" s="164">
        <f t="shared" si="178"/>
        <v>3.3177865671147933</v>
      </c>
      <c r="AY539" s="152"/>
    </row>
    <row r="540" spans="1:51" s="150" customFormat="1" x14ac:dyDescent="0.25">
      <c r="A540" s="150">
        <f t="shared" si="186"/>
        <v>536</v>
      </c>
      <c r="B540" s="150">
        <f t="shared" si="187"/>
        <v>45</v>
      </c>
      <c r="C540" s="150">
        <f t="shared" si="188"/>
        <v>8</v>
      </c>
      <c r="D540" s="150">
        <f>IF(E540="","",Input!$C$4+B540-1)</f>
        <v>89</v>
      </c>
      <c r="E540" s="150">
        <f>IF(OR(AND(C539=12,D539=Input!$C$6),E539=""),"",1)</f>
        <v>1</v>
      </c>
      <c r="F540" s="150">
        <f>IF(E540="","",Input!$C$8+B540-1)</f>
        <v>2062</v>
      </c>
      <c r="G540" s="151">
        <f>IF(E540="","",MAX(0,Input!$C$9-B540))</f>
        <v>0</v>
      </c>
      <c r="H540" s="152">
        <f>IF(E540="","",Input!$C$3)</f>
        <v>100000</v>
      </c>
      <c r="I540" s="153">
        <f>IF(E540="","",HLOOKUP($B540,Input!$C$13:$BT$14,2))</f>
        <v>341.75050000000005</v>
      </c>
      <c r="J540" s="154"/>
      <c r="K540" s="155">
        <f>IF($E540="","",Input!$C$57)</f>
        <v>4.4999999999999998E-2</v>
      </c>
      <c r="L540" s="155">
        <f t="shared" si="179"/>
        <v>3.6748094004368514E-3</v>
      </c>
      <c r="M540" s="147">
        <f>IF($E540="","",VLOOKUP(IF($B540&lt;=Input!$C$7,$B540,26),'Mortality Tables'!$A$72:$CA$97,IF($B540&lt;=Input!$C$7+1,Input!$C$4-16,$D540-Input!$C$7-16),0)/1000)</f>
        <v>0.13949</v>
      </c>
      <c r="N540" s="147">
        <f t="shared" si="168"/>
        <v>1.2441131376060954E-2</v>
      </c>
      <c r="O540" s="157">
        <f>IF($E540="","",IF($C540=12,IF($B540&lt;Input!$C$9,Input!$C$54,IF($B540=Input!$C$9,Input!$C$55,Input!$C$56)),0%))</f>
        <v>0</v>
      </c>
      <c r="P540" s="167">
        <f>IF($E540="","",IF($B540=1,Input!$C$59,IF($B540&lt;6,Input!$C$60,0%)))</f>
        <v>0</v>
      </c>
      <c r="Q540" s="162">
        <f>IF($E540="","",Input!$C$58)</f>
        <v>2.5</v>
      </c>
      <c r="R540" s="156">
        <f t="shared" si="180"/>
        <v>0.98755886862393905</v>
      </c>
      <c r="S540" s="154">
        <f t="shared" si="169"/>
        <v>1.5129159355058354E-3</v>
      </c>
      <c r="T540" s="152"/>
      <c r="U540" s="150">
        <f t="shared" si="181"/>
        <v>0</v>
      </c>
      <c r="V540" s="150">
        <f t="shared" si="182"/>
        <v>0</v>
      </c>
      <c r="W540" s="168">
        <f t="shared" si="183"/>
        <v>0</v>
      </c>
      <c r="X540" s="163">
        <f t="shared" si="170"/>
        <v>1244.1131376060955</v>
      </c>
      <c r="Y540" s="152"/>
      <c r="Z540" s="164">
        <f>IF(AND($C539=12,$D539=Input!$C$6),0,IF($E540="","",V540+Z541/(1+L540)*R540))</f>
        <v>128021.55426439125</v>
      </c>
      <c r="AA540" s="164">
        <f>IF(OR($M540=1,AND($C539=12,$D539=Input!$C$6)),0,IF($E540="","",W540+(X540+AA541*$R540)/(1+$L540)))</f>
        <v>57080.483286313058</v>
      </c>
      <c r="AB540" s="160">
        <f t="shared" si="171"/>
        <v>0.825720328500681</v>
      </c>
      <c r="AC540" s="164">
        <f t="shared" si="172"/>
        <v>0</v>
      </c>
      <c r="AD540" s="164">
        <f>IF(AND($C539=12,$D539=Input!$C$6),0,IF($E540="","",$AC540+AD541/(1+$L540)*$R540))</f>
        <v>105709.99984236094</v>
      </c>
      <c r="AE540" s="152"/>
      <c r="AF540" s="164">
        <f>IF(AND($C539=12,$D539=Input!$C$6),0,IF($E540="","",IF($B540&gt;Input!$C$9,$AC540,0)+AF541/(1+$L540)*$R540))</f>
        <v>105709.99984236094</v>
      </c>
      <c r="AG540" s="164">
        <f>IF(AND($C539=12,$D539=Input!$C$6),0,IF($E540="","",(IF($B540&gt;Input!$C$9,$X540,0)+AG541)/(1+$L540)*$R540))</f>
        <v>55556.956306240085</v>
      </c>
      <c r="AH540" s="160">
        <f t="shared" si="173"/>
        <v>2.0950137211446997</v>
      </c>
      <c r="AI540" s="160">
        <f>IF($E540="","",MIN(Input!$C$61/AH540,1))</f>
        <v>0.64438718771845094</v>
      </c>
      <c r="AJ540" s="152"/>
      <c r="AK540" s="164">
        <f>IF(AND($C539=12,$D539=Input!$C$6),0,IF($E540="","",IF($B540&gt;Input!$C$9,$AC540*AI540,0)+AK541/(1+$L540)*$R540))</f>
        <v>68118.16951213681</v>
      </c>
      <c r="AL540" s="164">
        <f>IF(AND($C539=12,$D539=Input!$C$6),0,IF($E540="","",IF($B540&gt;Input!$C$9,0,$AC540)+AL541/(1+$L540)*$R540))</f>
        <v>0</v>
      </c>
      <c r="AM540" s="160">
        <f t="shared" si="174"/>
        <v>1.1382936520186004</v>
      </c>
      <c r="AN540" s="164">
        <f>IF($E540="","",IF($B540&gt;Input!$C$9,$AI540*$AC540,$AM540*$AC540))</f>
        <v>0</v>
      </c>
      <c r="AO540" s="164">
        <f>IF(AND($C539=12,$D539=Input!$C$6),0,IF($E540="","",$AN540+AO541/(1+$L540)*$R540))</f>
        <v>68118.16951213681</v>
      </c>
      <c r="AP540" s="152"/>
      <c r="AQ540" s="164">
        <f t="shared" si="175"/>
        <v>-11037.686225823752</v>
      </c>
      <c r="AR540" s="164">
        <f t="shared" si="184"/>
        <v>-7593.0814511094832</v>
      </c>
      <c r="AS540" s="164">
        <f t="shared" si="185"/>
        <v>6674.1626794258382</v>
      </c>
      <c r="AT540" s="164">
        <f t="shared" si="176"/>
        <v>6674.1626794258382</v>
      </c>
      <c r="AU540" s="152"/>
      <c r="AV540" s="147">
        <f>'Deterministic Reserve'!BC540</f>
        <v>4.8207570388471456E-4</v>
      </c>
      <c r="AW540" s="164">
        <f t="shared" si="177"/>
        <v>6674.1626794258382</v>
      </c>
      <c r="AX540" s="164">
        <f t="shared" si="178"/>
        <v>3.2174516715253034</v>
      </c>
      <c r="AY540" s="152"/>
    </row>
    <row r="541" spans="1:51" s="150" customFormat="1" x14ac:dyDescent="0.25">
      <c r="A541" s="150">
        <f t="shared" si="186"/>
        <v>537</v>
      </c>
      <c r="B541" s="150">
        <f t="shared" si="187"/>
        <v>45</v>
      </c>
      <c r="C541" s="150">
        <f t="shared" si="188"/>
        <v>9</v>
      </c>
      <c r="D541" s="150">
        <f>IF(E541="","",Input!$C$4+B541-1)</f>
        <v>89</v>
      </c>
      <c r="E541" s="150">
        <f>IF(OR(AND(C540=12,D540=Input!$C$6),E540=""),"",1)</f>
        <v>1</v>
      </c>
      <c r="F541" s="150">
        <f>IF(E541="","",Input!$C$8+B541-1)</f>
        <v>2062</v>
      </c>
      <c r="G541" s="151">
        <f>IF(E541="","",MAX(0,Input!$C$9-B541))</f>
        <v>0</v>
      </c>
      <c r="H541" s="152">
        <f>IF(E541="","",Input!$C$3)</f>
        <v>100000</v>
      </c>
      <c r="I541" s="153">
        <f>IF(E541="","",HLOOKUP($B541,Input!$C$13:$BT$14,2))</f>
        <v>341.75050000000005</v>
      </c>
      <c r="J541" s="154"/>
      <c r="K541" s="155">
        <f>IF($E541="","",Input!$C$57)</f>
        <v>4.4999999999999998E-2</v>
      </c>
      <c r="L541" s="155">
        <f t="shared" si="179"/>
        <v>3.6748094004368514E-3</v>
      </c>
      <c r="M541" s="147">
        <f>IF($E541="","",VLOOKUP(IF($B541&lt;=Input!$C$7,$B541,26),'Mortality Tables'!$A$72:$CA$97,IF($B541&lt;=Input!$C$7+1,Input!$C$4-16,$D541-Input!$C$7-16),0)/1000)</f>
        <v>0.13949</v>
      </c>
      <c r="N541" s="147">
        <f t="shared" si="168"/>
        <v>1.2441131376060954E-2</v>
      </c>
      <c r="O541" s="157">
        <f>IF($E541="","",IF($C541=12,IF($B541&lt;Input!$C$9,Input!$C$54,IF($B541=Input!$C$9,Input!$C$55,Input!$C$56)),0%))</f>
        <v>0</v>
      </c>
      <c r="P541" s="167">
        <f>IF($E541="","",IF($B541=1,Input!$C$59,IF($B541&lt;6,Input!$C$60,0%)))</f>
        <v>0</v>
      </c>
      <c r="Q541" s="162">
        <f>IF($E541="","",Input!$C$58)</f>
        <v>2.5</v>
      </c>
      <c r="R541" s="156">
        <f t="shared" si="180"/>
        <v>0.98755886862393905</v>
      </c>
      <c r="S541" s="154">
        <f t="shared" si="169"/>
        <v>1.4940935495912711E-3</v>
      </c>
      <c r="T541" s="152"/>
      <c r="U541" s="150">
        <f t="shared" si="181"/>
        <v>0</v>
      </c>
      <c r="V541" s="150">
        <f t="shared" si="182"/>
        <v>0</v>
      </c>
      <c r="W541" s="168">
        <f t="shared" si="183"/>
        <v>0</v>
      </c>
      <c r="X541" s="163">
        <f t="shared" si="170"/>
        <v>1244.1131376060955</v>
      </c>
      <c r="Y541" s="152"/>
      <c r="Z541" s="164">
        <f>IF(AND($C540=12,$D540=Input!$C$6),0,IF($E541="","",V541+Z542/(1+L541)*R541))</f>
        <v>130110.73380820412</v>
      </c>
      <c r="AA541" s="164">
        <f>IF(OR($M541=1,AND($C540=12,$D540=Input!$C$6)),0,IF($E541="","",W541+(X541+AA542*$R541)/(1+$L541)))</f>
        <v>56752.191515796374</v>
      </c>
      <c r="AB541" s="160">
        <f t="shared" si="171"/>
        <v>0.825720328500681</v>
      </c>
      <c r="AC541" s="164">
        <f t="shared" si="172"/>
        <v>0</v>
      </c>
      <c r="AD541" s="164">
        <f>IF(AND($C540=12,$D540=Input!$C$6),0,IF($E541="","",$AC541+AD542/(1+$L541)*$R541))</f>
        <v>107435.077861575</v>
      </c>
      <c r="AE541" s="152"/>
      <c r="AF541" s="164">
        <f>IF(AND($C540=12,$D540=Input!$C$6),0,IF($E541="","",IF($B541&gt;Input!$C$9,$AC541,0)+AF542/(1+$L541)*$R541))</f>
        <v>107435.077861575</v>
      </c>
      <c r="AG541" s="164">
        <f>IF(AND($C540=12,$D540=Input!$C$6),0,IF($E541="","",(IF($B541&gt;Input!$C$9,$X541,0)+AG542)/(1+$L541)*$R541))</f>
        <v>55219.475315840995</v>
      </c>
      <c r="AH541" s="160">
        <f t="shared" si="173"/>
        <v>2.0950137211446997</v>
      </c>
      <c r="AI541" s="160">
        <f>IF($E541="","",MIN(Input!$C$61/AH541,1))</f>
        <v>0.64438718771845094</v>
      </c>
      <c r="AJ541" s="152"/>
      <c r="AK541" s="164">
        <f>IF(AND($C540=12,$D540=Input!$C$6),0,IF($E541="","",IF($B541&gt;Input!$C$9,$AC541*AI541,0)+AK542/(1+$L541)*$R541))</f>
        <v>69229.787685533083</v>
      </c>
      <c r="AL541" s="164">
        <f>IF(AND($C540=12,$D540=Input!$C$6),0,IF($E541="","",IF($B541&gt;Input!$C$9,0,$AC541)+AL542/(1+$L541)*$R541))</f>
        <v>0</v>
      </c>
      <c r="AM541" s="160">
        <f t="shared" si="174"/>
        <v>1.1382936520186004</v>
      </c>
      <c r="AN541" s="164">
        <f>IF($E541="","",IF($B541&gt;Input!$C$9,$AI541*$AC541,$AM541*$AC541))</f>
        <v>0</v>
      </c>
      <c r="AO541" s="164">
        <f>IF(AND($C540=12,$D540=Input!$C$6),0,IF($E541="","",$AN541+AO542/(1+$L541)*$R541))</f>
        <v>69229.787685533083</v>
      </c>
      <c r="AP541" s="152"/>
      <c r="AQ541" s="164">
        <f t="shared" si="175"/>
        <v>-12477.596169736709</v>
      </c>
      <c r="AR541" s="164">
        <f t="shared" si="184"/>
        <v>-7593.0814511094832</v>
      </c>
      <c r="AS541" s="164">
        <f t="shared" si="185"/>
        <v>6674.1626794258382</v>
      </c>
      <c r="AT541" s="164">
        <f t="shared" si="176"/>
        <v>6674.1626794258382</v>
      </c>
      <c r="AU541" s="152"/>
      <c r="AV541" s="147">
        <f>'Deterministic Reserve'!BC541</f>
        <v>4.6749700376731517E-4</v>
      </c>
      <c r="AW541" s="164">
        <f t="shared" si="177"/>
        <v>6674.1626794258382</v>
      </c>
      <c r="AX541" s="164">
        <f t="shared" si="178"/>
        <v>3.1201510552872151</v>
      </c>
      <c r="AY541" s="152"/>
    </row>
    <row r="542" spans="1:51" s="150" customFormat="1" x14ac:dyDescent="0.25">
      <c r="A542" s="150">
        <f t="shared" si="186"/>
        <v>538</v>
      </c>
      <c r="B542" s="150">
        <f t="shared" si="187"/>
        <v>45</v>
      </c>
      <c r="C542" s="150">
        <f t="shared" si="188"/>
        <v>10</v>
      </c>
      <c r="D542" s="150">
        <f>IF(E542="","",Input!$C$4+B542-1)</f>
        <v>89</v>
      </c>
      <c r="E542" s="150">
        <f>IF(OR(AND(C541=12,D541=Input!$C$6),E541=""),"",1)</f>
        <v>1</v>
      </c>
      <c r="F542" s="150">
        <f>IF(E542="","",Input!$C$8+B542-1)</f>
        <v>2062</v>
      </c>
      <c r="G542" s="151">
        <f>IF(E542="","",MAX(0,Input!$C$9-B542))</f>
        <v>0</v>
      </c>
      <c r="H542" s="152">
        <f>IF(E542="","",Input!$C$3)</f>
        <v>100000</v>
      </c>
      <c r="I542" s="153">
        <f>IF(E542="","",HLOOKUP($B542,Input!$C$13:$BT$14,2))</f>
        <v>341.75050000000005</v>
      </c>
      <c r="J542" s="154"/>
      <c r="K542" s="155">
        <f>IF($E542="","",Input!$C$57)</f>
        <v>4.4999999999999998E-2</v>
      </c>
      <c r="L542" s="155">
        <f t="shared" si="179"/>
        <v>3.6748094004368514E-3</v>
      </c>
      <c r="M542" s="147">
        <f>IF($E542="","",VLOOKUP(IF($B542&lt;=Input!$C$7,$B542,26),'Mortality Tables'!$A$72:$CA$97,IF($B542&lt;=Input!$C$7+1,Input!$C$4-16,$D542-Input!$C$7-16),0)/1000)</f>
        <v>0.13949</v>
      </c>
      <c r="N542" s="147">
        <f t="shared" si="168"/>
        <v>1.2441131376060954E-2</v>
      </c>
      <c r="O542" s="157">
        <f>IF($E542="","",IF($C542=12,IF($B542&lt;Input!$C$9,Input!$C$54,IF($B542=Input!$C$9,Input!$C$55,Input!$C$56)),0%))</f>
        <v>0</v>
      </c>
      <c r="P542" s="167">
        <f>IF($E542="","",IF($B542=1,Input!$C$59,IF($B542&lt;6,Input!$C$60,0%)))</f>
        <v>0</v>
      </c>
      <c r="Q542" s="162">
        <f>IF($E542="","",Input!$C$58)</f>
        <v>2.5</v>
      </c>
      <c r="R542" s="156">
        <f t="shared" si="180"/>
        <v>0.98755886862393905</v>
      </c>
      <c r="S542" s="154">
        <f t="shared" si="169"/>
        <v>1.4755053354526808E-3</v>
      </c>
      <c r="T542" s="152"/>
      <c r="U542" s="150">
        <f t="shared" si="181"/>
        <v>0</v>
      </c>
      <c r="V542" s="150">
        <f t="shared" si="182"/>
        <v>0</v>
      </c>
      <c r="W542" s="168">
        <f t="shared" si="183"/>
        <v>0</v>
      </c>
      <c r="X542" s="163">
        <f t="shared" si="170"/>
        <v>1244.1131376060955</v>
      </c>
      <c r="Y542" s="152"/>
      <c r="Z542" s="164">
        <f>IF(AND($C541=12,$D541=Input!$C$6),0,IF($E542="","",V542+Z543/(1+L542)*R542))</f>
        <v>132234.00660444913</v>
      </c>
      <c r="AA542" s="164">
        <f>IF(OR($M542=1,AND($C541=12,$D541=Input!$C$6)),0,IF($E542="","",W542+(X542+AA543*$R542)/(1+$L542)))</f>
        <v>56418.542362647473</v>
      </c>
      <c r="AB542" s="160">
        <f t="shared" si="171"/>
        <v>0.825720328500681</v>
      </c>
      <c r="AC542" s="164">
        <f t="shared" si="172"/>
        <v>0</v>
      </c>
      <c r="AD542" s="164">
        <f>IF(AND($C541=12,$D541=Input!$C$6),0,IF($E542="","",$AC542+AD543/(1+$L542)*$R542))</f>
        <v>109188.30737238697</v>
      </c>
      <c r="AE542" s="152"/>
      <c r="AF542" s="164">
        <f>IF(AND($C541=12,$D541=Input!$C$6),0,IF($E542="","",IF($B542&gt;Input!$C$9,$AC542,0)+AF543/(1+$L542)*$R542))</f>
        <v>109188.30737238697</v>
      </c>
      <c r="AG542" s="164">
        <f>IF(AND($C541=12,$D541=Input!$C$6),0,IF($E542="","",(IF($B542&gt;Input!$C$9,$X542,0)+AG543)/(1+$L542)*$R542))</f>
        <v>54876.486984231909</v>
      </c>
      <c r="AH542" s="160">
        <f t="shared" si="173"/>
        <v>2.0950137211446997</v>
      </c>
      <c r="AI542" s="160">
        <f>IF($E542="","",MIN(Input!$C$61/AH542,1))</f>
        <v>0.64438718771845094</v>
      </c>
      <c r="AJ542" s="152"/>
      <c r="AK542" s="164">
        <f>IF(AND($C541=12,$D541=Input!$C$6),0,IF($E542="","",IF($B542&gt;Input!$C$9,$AC542*AI542,0)+AK543/(1+$L542)*$R542))</f>
        <v>70359.546319430199</v>
      </c>
      <c r="AL542" s="164">
        <f>IF(AND($C541=12,$D541=Input!$C$6),0,IF($E542="","",IF($B542&gt;Input!$C$9,0,$AC542)+AL543/(1+$L542)*$R542))</f>
        <v>0</v>
      </c>
      <c r="AM542" s="160">
        <f t="shared" si="174"/>
        <v>1.1382936520186004</v>
      </c>
      <c r="AN542" s="164">
        <f>IF($E542="","",IF($B542&gt;Input!$C$9,$AI542*$AC542,$AM542*$AC542))</f>
        <v>0</v>
      </c>
      <c r="AO542" s="164">
        <f>IF(AND($C541=12,$D541=Input!$C$6),0,IF($E542="","",$AN542+AO543/(1+$L542)*$R542))</f>
        <v>70359.546319430199</v>
      </c>
      <c r="AP542" s="152"/>
      <c r="AQ542" s="164">
        <f t="shared" si="175"/>
        <v>-13941.003956782726</v>
      </c>
      <c r="AR542" s="164">
        <f t="shared" si="184"/>
        <v>-7593.0814511094832</v>
      </c>
      <c r="AS542" s="164">
        <f t="shared" si="185"/>
        <v>6674.1626794258382</v>
      </c>
      <c r="AT542" s="164">
        <f t="shared" si="176"/>
        <v>6674.1626794258382</v>
      </c>
      <c r="AU542" s="152"/>
      <c r="AV542" s="147">
        <f>'Deterministic Reserve'!BC542</f>
        <v>4.5335918564293133E-4</v>
      </c>
      <c r="AW542" s="164">
        <f t="shared" si="177"/>
        <v>6674.1626794258382</v>
      </c>
      <c r="AX542" s="164">
        <f t="shared" si="178"/>
        <v>3.0257929571929427</v>
      </c>
      <c r="AY542" s="152"/>
    </row>
    <row r="543" spans="1:51" s="150" customFormat="1" x14ac:dyDescent="0.25">
      <c r="A543" s="150">
        <f t="shared" si="186"/>
        <v>539</v>
      </c>
      <c r="B543" s="150">
        <f t="shared" si="187"/>
        <v>45</v>
      </c>
      <c r="C543" s="150">
        <f t="shared" si="188"/>
        <v>11</v>
      </c>
      <c r="D543" s="150">
        <f>IF(E543="","",Input!$C$4+B543-1)</f>
        <v>89</v>
      </c>
      <c r="E543" s="150">
        <f>IF(OR(AND(C542=12,D542=Input!$C$6),E542=""),"",1)</f>
        <v>1</v>
      </c>
      <c r="F543" s="150">
        <f>IF(E543="","",Input!$C$8+B543-1)</f>
        <v>2062</v>
      </c>
      <c r="G543" s="151">
        <f>IF(E543="","",MAX(0,Input!$C$9-B543))</f>
        <v>0</v>
      </c>
      <c r="H543" s="152">
        <f>IF(E543="","",Input!$C$3)</f>
        <v>100000</v>
      </c>
      <c r="I543" s="153">
        <f>IF(E543="","",HLOOKUP($B543,Input!$C$13:$BT$14,2))</f>
        <v>341.75050000000005</v>
      </c>
      <c r="J543" s="154"/>
      <c r="K543" s="155">
        <f>IF($E543="","",Input!$C$57)</f>
        <v>4.4999999999999998E-2</v>
      </c>
      <c r="L543" s="155">
        <f t="shared" si="179"/>
        <v>3.6748094004368514E-3</v>
      </c>
      <c r="M543" s="147">
        <f>IF($E543="","",VLOOKUP(IF($B543&lt;=Input!$C$7,$B543,26),'Mortality Tables'!$A$72:$CA$97,IF($B543&lt;=Input!$C$7+1,Input!$C$4-16,$D543-Input!$C$7-16),0)/1000)</f>
        <v>0.13949</v>
      </c>
      <c r="N543" s="147">
        <f t="shared" si="168"/>
        <v>1.2441131376060954E-2</v>
      </c>
      <c r="O543" s="157">
        <f>IF($E543="","",IF($C543=12,IF($B543&lt;Input!$C$9,Input!$C$54,IF($B543=Input!$C$9,Input!$C$55,Input!$C$56)),0%))</f>
        <v>0</v>
      </c>
      <c r="P543" s="167">
        <f>IF($E543="","",IF($B543=1,Input!$C$59,IF($B543&lt;6,Input!$C$60,0%)))</f>
        <v>0</v>
      </c>
      <c r="Q543" s="162">
        <f>IF($E543="","",Input!$C$58)</f>
        <v>2.5</v>
      </c>
      <c r="R543" s="156">
        <f t="shared" si="180"/>
        <v>0.98755886862393905</v>
      </c>
      <c r="S543" s="154">
        <f t="shared" si="169"/>
        <v>1.4571483797282351E-3</v>
      </c>
      <c r="T543" s="152"/>
      <c r="U543" s="150">
        <f t="shared" si="181"/>
        <v>0</v>
      </c>
      <c r="V543" s="150">
        <f t="shared" si="182"/>
        <v>0</v>
      </c>
      <c r="W543" s="168">
        <f t="shared" si="183"/>
        <v>0</v>
      </c>
      <c r="X543" s="163">
        <f t="shared" si="170"/>
        <v>1244.1131376060955</v>
      </c>
      <c r="Y543" s="152"/>
      <c r="Z543" s="164">
        <f>IF(AND($C542=12,$D542=Input!$C$6),0,IF($E543="","",V543+Z544/(1+L543)*R543))</f>
        <v>134391.9290197941</v>
      </c>
      <c r="AA543" s="164">
        <f>IF(OR($M543=1,AND($C542=12,$D542=Input!$C$6)),0,IF($E543="","",W543+(X543+AA544*$R543)/(1+$L543)))</f>
        <v>56079.448399914952</v>
      </c>
      <c r="AB543" s="160">
        <f t="shared" si="171"/>
        <v>0.825720328500681</v>
      </c>
      <c r="AC543" s="164">
        <f t="shared" si="172"/>
        <v>0</v>
      </c>
      <c r="AD543" s="164">
        <f>IF(AND($C542=12,$D542=Input!$C$6),0,IF($E543="","",$AC543+AD544/(1+$L543)*$R543))</f>
        <v>110970.14777806461</v>
      </c>
      <c r="AE543" s="152"/>
      <c r="AF543" s="164">
        <f>IF(AND($C542=12,$D542=Input!$C$6),0,IF($E543="","",IF($B543&gt;Input!$C$9,$AC543,0)+AF544/(1+$L543)*$R543))</f>
        <v>110970.14777806461</v>
      </c>
      <c r="AG543" s="164">
        <f>IF(AND($C542=12,$D542=Input!$C$6),0,IF($E543="","",(IF($B543&gt;Input!$C$9,$X543,0)+AG544)/(1+$L543)*$R543))</f>
        <v>54527.901437292319</v>
      </c>
      <c r="AH543" s="160">
        <f t="shared" si="173"/>
        <v>2.0950137211446997</v>
      </c>
      <c r="AI543" s="160">
        <f>IF($E543="","",MIN(Input!$C$61/AH543,1))</f>
        <v>0.64438718771845094</v>
      </c>
      <c r="AJ543" s="152"/>
      <c r="AK543" s="164">
        <f>IF(AND($C542=12,$D542=Input!$C$6),0,IF($E543="","",IF($B543&gt;Input!$C$9,$AC543*AI543,0)+AK544/(1+$L543)*$R543))</f>
        <v>71507.741447407912</v>
      </c>
      <c r="AL543" s="164">
        <f>IF(AND($C542=12,$D542=Input!$C$6),0,IF($E543="","",IF($B543&gt;Input!$C$9,0,$AC543)+AL544/(1+$L543)*$R543))</f>
        <v>0</v>
      </c>
      <c r="AM543" s="160">
        <f t="shared" si="174"/>
        <v>1.1382936520186004</v>
      </c>
      <c r="AN543" s="164">
        <f>IF($E543="","",IF($B543&gt;Input!$C$9,$AI543*$AC543,$AM543*$AC543))</f>
        <v>0</v>
      </c>
      <c r="AO543" s="164">
        <f>IF(AND($C542=12,$D542=Input!$C$6),0,IF($E543="","",$AN543+AO544/(1+$L543)*$R543))</f>
        <v>71507.741447407912</v>
      </c>
      <c r="AP543" s="152"/>
      <c r="AQ543" s="164">
        <f t="shared" si="175"/>
        <v>-15428.29304749296</v>
      </c>
      <c r="AR543" s="164">
        <f t="shared" si="184"/>
        <v>-7593.0814511094832</v>
      </c>
      <c r="AS543" s="164">
        <f t="shared" si="185"/>
        <v>6674.1626794258382</v>
      </c>
      <c r="AT543" s="164">
        <f t="shared" si="176"/>
        <v>6674.1626794258382</v>
      </c>
      <c r="AU543" s="152"/>
      <c r="AV543" s="147">
        <f>'Deterministic Reserve'!BC543</f>
        <v>4.3964891657171241E-4</v>
      </c>
      <c r="AW543" s="164">
        <f t="shared" si="177"/>
        <v>6674.1626794258382</v>
      </c>
      <c r="AX543" s="164">
        <f t="shared" si="178"/>
        <v>2.9342883910329269</v>
      </c>
      <c r="AY543" s="152"/>
    </row>
    <row r="544" spans="1:51" s="150" customFormat="1" x14ac:dyDescent="0.25">
      <c r="A544" s="150">
        <f t="shared" si="186"/>
        <v>540</v>
      </c>
      <c r="B544" s="150">
        <f t="shared" si="187"/>
        <v>45</v>
      </c>
      <c r="C544" s="150">
        <f t="shared" si="188"/>
        <v>12</v>
      </c>
      <c r="D544" s="150">
        <f>IF(E544="","",Input!$C$4+B544-1)</f>
        <v>89</v>
      </c>
      <c r="E544" s="150">
        <f>IF(OR(AND(C543=12,D543=Input!$C$6),E543=""),"",1)</f>
        <v>1</v>
      </c>
      <c r="F544" s="150">
        <f>IF(E544="","",Input!$C$8+B544-1)</f>
        <v>2062</v>
      </c>
      <c r="G544" s="151">
        <f>IF(E544="","",MAX(0,Input!$C$9-B544))</f>
        <v>0</v>
      </c>
      <c r="H544" s="152">
        <f>IF(E544="","",Input!$C$3)</f>
        <v>100000</v>
      </c>
      <c r="I544" s="153">
        <f>IF(E544="","",HLOOKUP($B544,Input!$C$13:$BT$14,2))</f>
        <v>341.75050000000005</v>
      </c>
      <c r="J544" s="154"/>
      <c r="K544" s="155">
        <f>IF($E544="","",Input!$C$57)</f>
        <v>4.4999999999999998E-2</v>
      </c>
      <c r="L544" s="155">
        <f t="shared" si="179"/>
        <v>3.6748094004368514E-3</v>
      </c>
      <c r="M544" s="147">
        <f>IF($E544="","",VLOOKUP(IF($B544&lt;=Input!$C$7,$B544,26),'Mortality Tables'!$A$72:$CA$97,IF($B544&lt;=Input!$C$7+1,Input!$C$4-16,$D544-Input!$C$7-16),0)/1000)</f>
        <v>0.13949</v>
      </c>
      <c r="N544" s="147">
        <f t="shared" si="168"/>
        <v>1.2441131376060954E-2</v>
      </c>
      <c r="O544" s="157">
        <f>IF($E544="","",IF($C544=12,IF($B544&lt;Input!$C$9,Input!$C$54,IF($B544=Input!$C$9,Input!$C$55,Input!$C$56)),0%))</f>
        <v>0.1</v>
      </c>
      <c r="P544" s="167">
        <f>IF($E544="","",IF($B544=1,Input!$C$59,IF($B544&lt;6,Input!$C$60,0%)))</f>
        <v>0</v>
      </c>
      <c r="Q544" s="162">
        <f>IF($E544="","",Input!$C$58)</f>
        <v>2.5</v>
      </c>
      <c r="R544" s="156">
        <f t="shared" si="180"/>
        <v>0.88755886862393907</v>
      </c>
      <c r="S544" s="154">
        <f t="shared" si="169"/>
        <v>1.2933049673287983E-3</v>
      </c>
      <c r="T544" s="152"/>
      <c r="U544" s="150">
        <f t="shared" si="181"/>
        <v>0</v>
      </c>
      <c r="V544" s="150">
        <f t="shared" si="182"/>
        <v>0</v>
      </c>
      <c r="W544" s="168">
        <f t="shared" si="183"/>
        <v>0</v>
      </c>
      <c r="X544" s="163">
        <f t="shared" si="170"/>
        <v>1244.1131376060955</v>
      </c>
      <c r="Y544" s="152"/>
      <c r="Z544" s="164">
        <f>IF(AND($C543=12,$D543=Input!$C$6),0,IF($E544="","",V544+Z545/(1+L544)*R544))</f>
        <v>136585.06650023637</v>
      </c>
      <c r="AA544" s="164">
        <f>IF(OR($M544=1,AND($C543=12,$D543=Input!$C$6)),0,IF($E544="","",W544+(X544+AA545*$R544)/(1+$L544)))</f>
        <v>55734.820773929845</v>
      </c>
      <c r="AB544" s="160">
        <f t="shared" si="171"/>
        <v>0.825720328500681</v>
      </c>
      <c r="AC544" s="164">
        <f t="shared" si="172"/>
        <v>0</v>
      </c>
      <c r="AD544" s="164">
        <f>IF(AND($C543=12,$D543=Input!$C$6),0,IF($E544="","",$AC544+AD545/(1+$L544)*$R544))</f>
        <v>112781.06597886253</v>
      </c>
      <c r="AE544" s="152"/>
      <c r="AF544" s="164">
        <f>IF(AND($C543=12,$D543=Input!$C$6),0,IF($E544="","",IF($B544&gt;Input!$C$9,$AC544,0)+AF545/(1+$L544)*$R544))</f>
        <v>112781.06597886253</v>
      </c>
      <c r="AG544" s="164">
        <f>IF(AND($C543=12,$D543=Input!$C$6),0,IF($E544="","",(IF($B544&gt;Input!$C$9,$X544,0)+AG545)/(1+$L544)*$R544))</f>
        <v>54173.627334248878</v>
      </c>
      <c r="AH544" s="160">
        <f t="shared" si="173"/>
        <v>2.0950137211446997</v>
      </c>
      <c r="AI544" s="160">
        <f>IF($E544="","",MIN(Input!$C$61/AH544,1))</f>
        <v>0.64438718771845094</v>
      </c>
      <c r="AJ544" s="152"/>
      <c r="AK544" s="164">
        <f>IF(AND($C543=12,$D543=Input!$C$6),0,IF($E544="","",IF($B544&gt;Input!$C$9,$AC544*AI544,0)+AK545/(1+$L544)*$R544))</f>
        <v>72674.673934008242</v>
      </c>
      <c r="AL544" s="164">
        <f>IF(AND($C543=12,$D543=Input!$C$6),0,IF($E544="","",IF($B544&gt;Input!$C$9,0,$AC544)+AL545/(1+$L544)*$R544))</f>
        <v>0</v>
      </c>
      <c r="AM544" s="160">
        <f t="shared" si="174"/>
        <v>1.1382936520186004</v>
      </c>
      <c r="AN544" s="164">
        <f>IF($E544="","",IF($B544&gt;Input!$C$9,$AI544*$AC544,$AM544*$AC544))</f>
        <v>0</v>
      </c>
      <c r="AO544" s="164">
        <f>IF(AND($C543=12,$D543=Input!$C$6),0,IF($E544="","",$AN544+AO545/(1+$L544)*$R544))</f>
        <v>72674.673934008242</v>
      </c>
      <c r="AP544" s="152"/>
      <c r="AQ544" s="164">
        <f t="shared" si="175"/>
        <v>-16939.853160078397</v>
      </c>
      <c r="AR544" s="164">
        <f t="shared" si="184"/>
        <v>-7593.0814511094832</v>
      </c>
      <c r="AS544" s="164">
        <f t="shared" si="185"/>
        <v>6674.1626794258382</v>
      </c>
      <c r="AT544" s="164">
        <f t="shared" si="176"/>
        <v>6674.1626794258382</v>
      </c>
      <c r="AU544" s="152"/>
      <c r="AV544" s="147">
        <f>'Deterministic Reserve'!BC544</f>
        <v>3.8238837516495054E-4</v>
      </c>
      <c r="AW544" s="164">
        <f t="shared" si="177"/>
        <v>6674.1626794258382</v>
      </c>
      <c r="AX544" s="164">
        <f t="shared" si="178"/>
        <v>2.5521222225721991</v>
      </c>
      <c r="AY544" s="152"/>
    </row>
    <row r="545" spans="1:51" s="150" customFormat="1" x14ac:dyDescent="0.25">
      <c r="A545" s="150">
        <f t="shared" si="186"/>
        <v>541</v>
      </c>
      <c r="B545" s="150">
        <f t="shared" si="187"/>
        <v>46</v>
      </c>
      <c r="C545" s="150">
        <f t="shared" si="188"/>
        <v>1</v>
      </c>
      <c r="D545" s="150">
        <f>IF(E545="","",Input!$C$4+B545-1)</f>
        <v>90</v>
      </c>
      <c r="E545" s="150">
        <f>IF(OR(AND(C544=12,D544=Input!$C$6),E544=""),"",1)</f>
        <v>1</v>
      </c>
      <c r="F545" s="150">
        <f>IF(E545="","",Input!$C$8+B545-1)</f>
        <v>2063</v>
      </c>
      <c r="G545" s="151">
        <f>IF(E545="","",MAX(0,Input!$C$9-B545))</f>
        <v>0</v>
      </c>
      <c r="H545" s="152">
        <f>IF(E545="","",Input!$C$3)</f>
        <v>100000</v>
      </c>
      <c r="I545" s="153">
        <f>IF(E545="","",HLOOKUP($B545,Input!$C$13:$BT$14,2))</f>
        <v>385.09100000000007</v>
      </c>
      <c r="J545" s="154"/>
      <c r="K545" s="155">
        <f>IF($E545="","",Input!$C$57)</f>
        <v>4.4999999999999998E-2</v>
      </c>
      <c r="L545" s="155">
        <f t="shared" si="179"/>
        <v>3.6748094004368514E-3</v>
      </c>
      <c r="M545" s="147">
        <f>IF($E545="","",VLOOKUP(IF($B545&lt;=Input!$C$7,$B545,26),'Mortality Tables'!$A$72:$CA$97,IF($B545&lt;=Input!$C$7+1,Input!$C$4-16,$D545-Input!$C$7-16),0)/1000)</f>
        <v>0.15718000000000001</v>
      </c>
      <c r="N545" s="147">
        <f t="shared" si="168"/>
        <v>1.4149102684913983E-2</v>
      </c>
      <c r="O545" s="157">
        <f>IF($E545="","",IF($C545=12,IF($B545&lt;Input!$C$9,Input!$C$54,IF($B545=Input!$C$9,Input!$C$55,Input!$C$56)),0%))</f>
        <v>0</v>
      </c>
      <c r="P545" s="167">
        <f>IF($E545="","",IF($B545=1,Input!$C$59,IF($B545&lt;6,Input!$C$60,0%)))</f>
        <v>0</v>
      </c>
      <c r="Q545" s="162">
        <f>IF($E545="","",Input!$C$58)</f>
        <v>2.5</v>
      </c>
      <c r="R545" s="156">
        <f t="shared" si="180"/>
        <v>0.98585089731508602</v>
      </c>
      <c r="S545" s="154">
        <f t="shared" si="169"/>
        <v>1.2750058625431539E-3</v>
      </c>
      <c r="T545" s="152"/>
      <c r="U545" s="150">
        <f t="shared" si="181"/>
        <v>38509.100000000006</v>
      </c>
      <c r="V545" s="150">
        <f t="shared" si="182"/>
        <v>38509.100000000006</v>
      </c>
      <c r="W545" s="168">
        <f t="shared" si="183"/>
        <v>0</v>
      </c>
      <c r="X545" s="163">
        <f t="shared" si="170"/>
        <v>1414.9102684913983</v>
      </c>
      <c r="Y545" s="152"/>
      <c r="Z545" s="164">
        <f>IF(AND($C544=12,$D544=Input!$C$6),0,IF($E545="","",V545+Z546/(1+L545)*R545))</f>
        <v>154453.96968328286</v>
      </c>
      <c r="AA545" s="164">
        <f>IF(OR($M545=1,AND($C544=12,$D544=Input!$C$6)),0,IF($E545="","",W545+(X545+AA546*$R545)/(1+$L545)))</f>
        <v>61624.670107161175</v>
      </c>
      <c r="AB545" s="160">
        <f t="shared" si="171"/>
        <v>0.825720328500681</v>
      </c>
      <c r="AC545" s="164">
        <f t="shared" si="172"/>
        <v>31797.74670226558</v>
      </c>
      <c r="AD545" s="164">
        <f>IF(AND($C544=12,$D544=Input!$C$6),0,IF($E545="","",$AC545+AD546/(1+$L545)*$R545))</f>
        <v>127535.78258511455</v>
      </c>
      <c r="AE545" s="152"/>
      <c r="AF545" s="164">
        <f>IF(AND($C544=12,$D544=Input!$C$6),0,IF($E545="","",IF($B545&gt;Input!$C$9,$AC545,0)+AF546/(1+$L545)*$R545))</f>
        <v>127535.78258511455</v>
      </c>
      <c r="AG545" s="164">
        <f>IF(AND($C544=12,$D544=Input!$C$6),0,IF($E545="","",(IF($B545&gt;Input!$C$9,$X545,0)+AG546)/(1+$L545)*$R545))</f>
        <v>60016.843190317646</v>
      </c>
      <c r="AH545" s="160">
        <f t="shared" si="173"/>
        <v>2.0950137211446997</v>
      </c>
      <c r="AI545" s="160">
        <f>IF($E545="","",MIN(Input!$C$61/AH545,1))</f>
        <v>0.64438718771845094</v>
      </c>
      <c r="AJ545" s="152"/>
      <c r="AK545" s="164">
        <f>IF(AND($C544=12,$D544=Input!$C$6),0,IF($E545="","",IF($B545&gt;Input!$C$9,$AC545*AI545,0)+AK546/(1+$L545)*$R545))</f>
        <v>82182.424273493714</v>
      </c>
      <c r="AL545" s="164">
        <f>IF(AND($C544=12,$D544=Input!$C$6),0,IF($E545="","",IF($B545&gt;Input!$C$9,0,$AC545)+AL546/(1+$L545)*$R545))</f>
        <v>0</v>
      </c>
      <c r="AM545" s="160">
        <f t="shared" si="174"/>
        <v>1.1382936520186004</v>
      </c>
      <c r="AN545" s="164">
        <f>IF($E545="","",IF($B545&gt;Input!$C$9,$AI545*$AC545,$AM545*$AC545))</f>
        <v>20490.060573256564</v>
      </c>
      <c r="AO545" s="164">
        <f>IF(AND($C544=12,$D544=Input!$C$6),0,IF($E545="","",$AN545+AO546/(1+$L545)*$R545))</f>
        <v>82182.424273493714</v>
      </c>
      <c r="AP545" s="152"/>
      <c r="AQ545" s="164">
        <f t="shared" si="175"/>
        <v>-20557.754166332539</v>
      </c>
      <c r="AR545" s="164">
        <f t="shared" si="184"/>
        <v>-6913.531029312604</v>
      </c>
      <c r="AS545" s="164">
        <f t="shared" si="185"/>
        <v>7520.574162679427</v>
      </c>
      <c r="AT545" s="164">
        <f t="shared" si="176"/>
        <v>7520.574162679427</v>
      </c>
      <c r="AU545" s="152"/>
      <c r="AV545" s="147">
        <f>'Deterministic Reserve'!BC545</f>
        <v>3.6912872164909176E-4</v>
      </c>
      <c r="AW545" s="164">
        <f t="shared" si="177"/>
        <v>7520.574162679427</v>
      </c>
      <c r="AX545" s="164">
        <f t="shared" si="178"/>
        <v>2.7760599267370454</v>
      </c>
      <c r="AY545" s="152"/>
    </row>
    <row r="546" spans="1:51" s="150" customFormat="1" x14ac:dyDescent="0.25">
      <c r="A546" s="150">
        <f t="shared" si="186"/>
        <v>542</v>
      </c>
      <c r="B546" s="150">
        <f t="shared" si="187"/>
        <v>46</v>
      </c>
      <c r="C546" s="150">
        <f t="shared" si="188"/>
        <v>2</v>
      </c>
      <c r="D546" s="150">
        <f>IF(E546="","",Input!$C$4+B546-1)</f>
        <v>90</v>
      </c>
      <c r="E546" s="150">
        <f>IF(OR(AND(C545=12,D545=Input!$C$6),E545=""),"",1)</f>
        <v>1</v>
      </c>
      <c r="F546" s="150">
        <f>IF(E546="","",Input!$C$8+B546-1)</f>
        <v>2063</v>
      </c>
      <c r="G546" s="151">
        <f>IF(E546="","",MAX(0,Input!$C$9-B546))</f>
        <v>0</v>
      </c>
      <c r="H546" s="152">
        <f>IF(E546="","",Input!$C$3)</f>
        <v>100000</v>
      </c>
      <c r="I546" s="153">
        <f>IF(E546="","",HLOOKUP($B546,Input!$C$13:$BT$14,2))</f>
        <v>385.09100000000007</v>
      </c>
      <c r="J546" s="154"/>
      <c r="K546" s="155">
        <f>IF($E546="","",Input!$C$57)</f>
        <v>4.4999999999999998E-2</v>
      </c>
      <c r="L546" s="155">
        <f t="shared" si="179"/>
        <v>3.6748094004368514E-3</v>
      </c>
      <c r="M546" s="147">
        <f>IF($E546="","",VLOOKUP(IF($B546&lt;=Input!$C$7,$B546,26),'Mortality Tables'!$A$72:$CA$97,IF($B546&lt;=Input!$C$7+1,Input!$C$4-16,$D546-Input!$C$7-16),0)/1000)</f>
        <v>0.15718000000000001</v>
      </c>
      <c r="N546" s="147">
        <f t="shared" si="168"/>
        <v>1.4149102684913983E-2</v>
      </c>
      <c r="O546" s="157">
        <f>IF($E546="","",IF($C546=12,IF($B546&lt;Input!$C$9,Input!$C$54,IF($B546=Input!$C$9,Input!$C$55,Input!$C$56)),0%))</f>
        <v>0</v>
      </c>
      <c r="P546" s="167">
        <f>IF($E546="","",IF($B546=1,Input!$C$59,IF($B546&lt;6,Input!$C$60,0%)))</f>
        <v>0</v>
      </c>
      <c r="Q546" s="162">
        <f>IF($E546="","",Input!$C$58)</f>
        <v>2.5</v>
      </c>
      <c r="R546" s="156">
        <f t="shared" si="180"/>
        <v>0.98585089731508602</v>
      </c>
      <c r="S546" s="154">
        <f t="shared" si="169"/>
        <v>1.2569656736701636E-3</v>
      </c>
      <c r="T546" s="152"/>
      <c r="U546" s="150">
        <f t="shared" si="181"/>
        <v>0</v>
      </c>
      <c r="V546" s="150">
        <f t="shared" si="182"/>
        <v>0</v>
      </c>
      <c r="W546" s="168">
        <f t="shared" si="183"/>
        <v>0</v>
      </c>
      <c r="X546" s="163">
        <f t="shared" si="170"/>
        <v>1414.9102684913983</v>
      </c>
      <c r="Y546" s="152"/>
      <c r="Z546" s="164">
        <f>IF(AND($C545=12,$D545=Input!$C$6),0,IF($E546="","",V546+Z547/(1+L546)*R546))</f>
        <v>118041.12092128502</v>
      </c>
      <c r="AA546" s="164">
        <f>IF(OR($M546=1,AND($C545=12,$D545=Input!$C$6)),0,IF($E546="","",W546+(X546+AA547*$R546)/(1+$L546)))</f>
        <v>61303.609826063272</v>
      </c>
      <c r="AB546" s="160">
        <f t="shared" si="171"/>
        <v>0.825720328500681</v>
      </c>
      <c r="AC546" s="164">
        <f t="shared" si="172"/>
        <v>0</v>
      </c>
      <c r="AD546" s="164">
        <f>IF(AND($C545=12,$D545=Input!$C$6),0,IF($E546="","",$AC546+AD547/(1+$L546)*$R546))</f>
        <v>97468.953143712075</v>
      </c>
      <c r="AE546" s="152"/>
      <c r="AF546" s="164">
        <f>IF(AND($C545=12,$D545=Input!$C$6),0,IF($E546="","",IF($B546&gt;Input!$C$9,$AC546,0)+AF547/(1+$L546)*$R546))</f>
        <v>97468.953143712075</v>
      </c>
      <c r="AG546" s="164">
        <f>IF(AND($C545=12,$D545=Input!$C$6),0,IF($E546="","",(IF($B546&gt;Input!$C$9,$X546,0)+AG547)/(1+$L546)*$R546))</f>
        <v>59687.020879424992</v>
      </c>
      <c r="AH546" s="160">
        <f t="shared" si="173"/>
        <v>2.0950137211446997</v>
      </c>
      <c r="AI546" s="160">
        <f>IF($E546="","",MIN(Input!$C$61/AH546,1))</f>
        <v>0.64438718771845094</v>
      </c>
      <c r="AJ546" s="152"/>
      <c r="AK546" s="164">
        <f>IF(AND($C545=12,$D545=Input!$C$6),0,IF($E546="","",IF($B546&gt;Input!$C$9,$AC546*AI546,0)+AK547/(1+$L546)*$R546))</f>
        <v>62807.744606138054</v>
      </c>
      <c r="AL546" s="164">
        <f>IF(AND($C545=12,$D545=Input!$C$6),0,IF($E546="","",IF($B546&gt;Input!$C$9,0,$AC546)+AL547/(1+$L546)*$R546))</f>
        <v>0</v>
      </c>
      <c r="AM546" s="160">
        <f t="shared" si="174"/>
        <v>1.1382936520186004</v>
      </c>
      <c r="AN546" s="164">
        <f>IF($E546="","",IF($B546&gt;Input!$C$9,$AI546*$AC546,$AM546*$AC546))</f>
        <v>0</v>
      </c>
      <c r="AO546" s="164">
        <f>IF(AND($C545=12,$D545=Input!$C$6),0,IF($E546="","",$AN546+AO547/(1+$L546)*$R546))</f>
        <v>62807.744606138054</v>
      </c>
      <c r="AP546" s="152"/>
      <c r="AQ546" s="164">
        <f t="shared" si="175"/>
        <v>-1504.1347800747826</v>
      </c>
      <c r="AR546" s="164">
        <f t="shared" si="184"/>
        <v>-6913.531029312604</v>
      </c>
      <c r="AS546" s="164">
        <f t="shared" si="185"/>
        <v>7520.574162679427</v>
      </c>
      <c r="AT546" s="164">
        <f t="shared" si="176"/>
        <v>7520.574162679427</v>
      </c>
      <c r="AU546" s="152"/>
      <c r="AV546" s="147">
        <f>'Deterministic Reserve'!BC546</f>
        <v>3.5632885829103991E-4</v>
      </c>
      <c r="AW546" s="164">
        <f t="shared" si="177"/>
        <v>7520.574162679427</v>
      </c>
      <c r="AX546" s="164">
        <f t="shared" si="178"/>
        <v>2.6797976050806538</v>
      </c>
      <c r="AY546" s="152"/>
    </row>
    <row r="547" spans="1:51" s="150" customFormat="1" x14ac:dyDescent="0.25">
      <c r="A547" s="150">
        <f t="shared" si="186"/>
        <v>543</v>
      </c>
      <c r="B547" s="150">
        <f t="shared" si="187"/>
        <v>46</v>
      </c>
      <c r="C547" s="150">
        <f t="shared" si="188"/>
        <v>3</v>
      </c>
      <c r="D547" s="150">
        <f>IF(E547="","",Input!$C$4+B547-1)</f>
        <v>90</v>
      </c>
      <c r="E547" s="150">
        <f>IF(OR(AND(C546=12,D546=Input!$C$6),E546=""),"",1)</f>
        <v>1</v>
      </c>
      <c r="F547" s="150">
        <f>IF(E547="","",Input!$C$8+B547-1)</f>
        <v>2063</v>
      </c>
      <c r="G547" s="151">
        <f>IF(E547="","",MAX(0,Input!$C$9-B547))</f>
        <v>0</v>
      </c>
      <c r="H547" s="152">
        <f>IF(E547="","",Input!$C$3)</f>
        <v>100000</v>
      </c>
      <c r="I547" s="153">
        <f>IF(E547="","",HLOOKUP($B547,Input!$C$13:$BT$14,2))</f>
        <v>385.09100000000007</v>
      </c>
      <c r="J547" s="154"/>
      <c r="K547" s="155">
        <f>IF($E547="","",Input!$C$57)</f>
        <v>4.4999999999999998E-2</v>
      </c>
      <c r="L547" s="155">
        <f t="shared" si="179"/>
        <v>3.6748094004368514E-3</v>
      </c>
      <c r="M547" s="147">
        <f>IF($E547="","",VLOOKUP(IF($B547&lt;=Input!$C$7,$B547,26),'Mortality Tables'!$A$72:$CA$97,IF($B547&lt;=Input!$C$7+1,Input!$C$4-16,$D547-Input!$C$7-16),0)/1000)</f>
        <v>0.15718000000000001</v>
      </c>
      <c r="N547" s="147">
        <f t="shared" si="168"/>
        <v>1.4149102684913983E-2</v>
      </c>
      <c r="O547" s="157">
        <f>IF($E547="","",IF($C547=12,IF($B547&lt;Input!$C$9,Input!$C$54,IF($B547=Input!$C$9,Input!$C$55,Input!$C$56)),0%))</f>
        <v>0</v>
      </c>
      <c r="P547" s="167">
        <f>IF($E547="","",IF($B547=1,Input!$C$59,IF($B547&lt;6,Input!$C$60,0%)))</f>
        <v>0</v>
      </c>
      <c r="Q547" s="162">
        <f>IF($E547="","",Input!$C$58)</f>
        <v>2.5</v>
      </c>
      <c r="R547" s="156">
        <f t="shared" si="180"/>
        <v>0.98585089731508602</v>
      </c>
      <c r="S547" s="154">
        <f t="shared" si="169"/>
        <v>1.2391807372819923E-3</v>
      </c>
      <c r="T547" s="152"/>
      <c r="U547" s="150">
        <f t="shared" si="181"/>
        <v>0</v>
      </c>
      <c r="V547" s="150">
        <f t="shared" si="182"/>
        <v>0</v>
      </c>
      <c r="W547" s="168">
        <f t="shared" si="183"/>
        <v>0</v>
      </c>
      <c r="X547" s="163">
        <f t="shared" si="170"/>
        <v>1414.9102684913983</v>
      </c>
      <c r="Y547" s="152"/>
      <c r="Z547" s="164">
        <f>IF(AND($C546=12,$D546=Input!$C$6),0,IF($E547="","",V547+Z548/(1+L547)*R547))</f>
        <v>120175.27180301295</v>
      </c>
      <c r="AA547" s="164">
        <f>IF(OR($M547=1,AND($C546=12,$D546=Input!$C$6)),0,IF($E547="","",W547+(X547+AA548*$R547)/(1+$L547)))</f>
        <v>60976.744863709835</v>
      </c>
      <c r="AB547" s="160">
        <f t="shared" si="171"/>
        <v>0.825720328500681</v>
      </c>
      <c r="AC547" s="164">
        <f t="shared" si="172"/>
        <v>0</v>
      </c>
      <c r="AD547" s="164">
        <f>IF(AND($C546=12,$D546=Input!$C$6),0,IF($E547="","",$AC547+AD548/(1+$L547)*$R547))</f>
        <v>99231.164910842461</v>
      </c>
      <c r="AE547" s="152"/>
      <c r="AF547" s="164">
        <f>IF(AND($C546=12,$D546=Input!$C$6),0,IF($E547="","",IF($B547&gt;Input!$C$9,$AC547,0)+AF548/(1+$L547)*$R547))</f>
        <v>99231.164910842461</v>
      </c>
      <c r="AG547" s="164">
        <f>IF(AND($C546=12,$D546=Input!$C$6),0,IF($E547="","",(IF($B547&gt;Input!$C$9,$X547,0)+AG548)/(1+$L547)*$R547))</f>
        <v>59351.235472196822</v>
      </c>
      <c r="AH547" s="160">
        <f t="shared" si="173"/>
        <v>2.0950137211446997</v>
      </c>
      <c r="AI547" s="160">
        <f>IF($E547="","",MIN(Input!$C$61/AH547,1))</f>
        <v>0.64438718771845094</v>
      </c>
      <c r="AJ547" s="152"/>
      <c r="AK547" s="164">
        <f>IF(AND($C546=12,$D546=Input!$C$6),0,IF($E547="","",IF($B547&gt;Input!$C$9,$AC547*AI547,0)+AK548/(1+$L547)*$R547))</f>
        <v>63943.291290923575</v>
      </c>
      <c r="AL547" s="164">
        <f>IF(AND($C546=12,$D546=Input!$C$6),0,IF($E547="","",IF($B547&gt;Input!$C$9,0,$AC547)+AL548/(1+$L547)*$R547))</f>
        <v>0</v>
      </c>
      <c r="AM547" s="160">
        <f t="shared" si="174"/>
        <v>1.1382936520186004</v>
      </c>
      <c r="AN547" s="164">
        <f>IF($E547="","",IF($B547&gt;Input!$C$9,$AI547*$AC547,$AM547*$AC547))</f>
        <v>0</v>
      </c>
      <c r="AO547" s="164">
        <f>IF(AND($C546=12,$D546=Input!$C$6),0,IF($E547="","",$AN547+AO548/(1+$L547)*$R547))</f>
        <v>63943.291290923575</v>
      </c>
      <c r="AP547" s="152"/>
      <c r="AQ547" s="164">
        <f t="shared" si="175"/>
        <v>-2966.5464272137397</v>
      </c>
      <c r="AR547" s="164">
        <f t="shared" si="184"/>
        <v>-6913.531029312604</v>
      </c>
      <c r="AS547" s="164">
        <f t="shared" si="185"/>
        <v>7520.574162679427</v>
      </c>
      <c r="AT547" s="164">
        <f t="shared" si="176"/>
        <v>7520.574162679427</v>
      </c>
      <c r="AU547" s="152"/>
      <c r="AV547" s="147">
        <f>'Deterministic Reserve'!BC547</f>
        <v>3.4397284146233113E-4</v>
      </c>
      <c r="AW547" s="164">
        <f t="shared" si="177"/>
        <v>7520.574162679427</v>
      </c>
      <c r="AX547" s="164">
        <f t="shared" si="178"/>
        <v>2.586873264165034</v>
      </c>
      <c r="AY547" s="152"/>
    </row>
    <row r="548" spans="1:51" s="150" customFormat="1" x14ac:dyDescent="0.25">
      <c r="A548" s="150">
        <f t="shared" si="186"/>
        <v>544</v>
      </c>
      <c r="B548" s="150">
        <f t="shared" si="187"/>
        <v>46</v>
      </c>
      <c r="C548" s="150">
        <f t="shared" si="188"/>
        <v>4</v>
      </c>
      <c r="D548" s="150">
        <f>IF(E548="","",Input!$C$4+B548-1)</f>
        <v>90</v>
      </c>
      <c r="E548" s="150">
        <f>IF(OR(AND(C547=12,D547=Input!$C$6),E547=""),"",1)</f>
        <v>1</v>
      </c>
      <c r="F548" s="150">
        <f>IF(E548="","",Input!$C$8+B548-1)</f>
        <v>2063</v>
      </c>
      <c r="G548" s="151">
        <f>IF(E548="","",MAX(0,Input!$C$9-B548))</f>
        <v>0</v>
      </c>
      <c r="H548" s="152">
        <f>IF(E548="","",Input!$C$3)</f>
        <v>100000</v>
      </c>
      <c r="I548" s="153">
        <f>IF(E548="","",HLOOKUP($B548,Input!$C$13:$BT$14,2))</f>
        <v>385.09100000000007</v>
      </c>
      <c r="J548" s="154"/>
      <c r="K548" s="155">
        <f>IF($E548="","",Input!$C$57)</f>
        <v>4.4999999999999998E-2</v>
      </c>
      <c r="L548" s="155">
        <f t="shared" si="179"/>
        <v>3.6748094004368514E-3</v>
      </c>
      <c r="M548" s="147">
        <f>IF($E548="","",VLOOKUP(IF($B548&lt;=Input!$C$7,$B548,26),'Mortality Tables'!$A$72:$CA$97,IF($B548&lt;=Input!$C$7+1,Input!$C$4-16,$D548-Input!$C$7-16),0)/1000)</f>
        <v>0.15718000000000001</v>
      </c>
      <c r="N548" s="147">
        <f t="shared" si="168"/>
        <v>1.4149102684913983E-2</v>
      </c>
      <c r="O548" s="157">
        <f>IF($E548="","",IF($C548=12,IF($B548&lt;Input!$C$9,Input!$C$54,IF($B548=Input!$C$9,Input!$C$55,Input!$C$56)),0%))</f>
        <v>0</v>
      </c>
      <c r="P548" s="167">
        <f>IF($E548="","",IF($B548=1,Input!$C$59,IF($B548&lt;6,Input!$C$60,0%)))</f>
        <v>0</v>
      </c>
      <c r="Q548" s="162">
        <f>IF($E548="","",Input!$C$58)</f>
        <v>2.5</v>
      </c>
      <c r="R548" s="156">
        <f t="shared" si="180"/>
        <v>0.98585089731508602</v>
      </c>
      <c r="S548" s="154">
        <f t="shared" si="169"/>
        <v>1.2216474417850219E-3</v>
      </c>
      <c r="T548" s="152"/>
      <c r="U548" s="150">
        <f t="shared" si="181"/>
        <v>0</v>
      </c>
      <c r="V548" s="150">
        <f t="shared" si="182"/>
        <v>0</v>
      </c>
      <c r="W548" s="168">
        <f t="shared" si="183"/>
        <v>0</v>
      </c>
      <c r="X548" s="163">
        <f t="shared" si="170"/>
        <v>1414.9102684913983</v>
      </c>
      <c r="Y548" s="152"/>
      <c r="Z548" s="164">
        <f>IF(AND($C547=12,$D547=Input!$C$6),0,IF($E548="","",V548+Z549/(1+L548)*R548))</f>
        <v>122348.00754356322</v>
      </c>
      <c r="AA548" s="164">
        <f>IF(OR($M548=1,AND($C547=12,$D547=Input!$C$6)),0,IF($E548="","",W548+(X548+AA549*$R548)/(1+$L548)))</f>
        <v>60643.970273066123</v>
      </c>
      <c r="AB548" s="160">
        <f t="shared" si="171"/>
        <v>0.825720328500681</v>
      </c>
      <c r="AC548" s="164">
        <f t="shared" si="172"/>
        <v>0</v>
      </c>
      <c r="AD548" s="164">
        <f>IF(AND($C547=12,$D547=Input!$C$6),0,IF($E548="","",$AC548+AD549/(1+$L548)*$R548))</f>
        <v>101025.2369802748</v>
      </c>
      <c r="AE548" s="152"/>
      <c r="AF548" s="164">
        <f>IF(AND($C547=12,$D547=Input!$C$6),0,IF($E548="","",IF($B548&gt;Input!$C$9,$AC548,0)+AF549/(1+$L548)*$R548))</f>
        <v>101025.2369802748</v>
      </c>
      <c r="AG548" s="164">
        <f>IF(AND($C547=12,$D547=Input!$C$6),0,IF($E548="","",(IF($B548&gt;Input!$C$9,$X548,0)+AG549)/(1+$L548)*$R548))</f>
        <v>59009.379157497475</v>
      </c>
      <c r="AH548" s="160">
        <f t="shared" si="173"/>
        <v>2.0950137211446997</v>
      </c>
      <c r="AI548" s="160">
        <f>IF($E548="","",MIN(Input!$C$61/AH548,1))</f>
        <v>0.64438718771845094</v>
      </c>
      <c r="AJ548" s="152"/>
      <c r="AK548" s="164">
        <f>IF(AND($C547=12,$D547=Input!$C$6),0,IF($E548="","",IF($B548&gt;Input!$C$9,$AC548*AI548,0)+AK549/(1+$L548)*$R548))</f>
        <v>65099.368346309297</v>
      </c>
      <c r="AL548" s="164">
        <f>IF(AND($C547=12,$D547=Input!$C$6),0,IF($E548="","",IF($B548&gt;Input!$C$9,0,$AC548)+AL549/(1+$L548)*$R548))</f>
        <v>0</v>
      </c>
      <c r="AM548" s="160">
        <f t="shared" si="174"/>
        <v>1.1382936520186004</v>
      </c>
      <c r="AN548" s="164">
        <f>IF($E548="","",IF($B548&gt;Input!$C$9,$AI548*$AC548,$AM548*$AC548))</f>
        <v>0</v>
      </c>
      <c r="AO548" s="164">
        <f>IF(AND($C547=12,$D547=Input!$C$6),0,IF($E548="","",$AN548+AO549/(1+$L548)*$R548))</f>
        <v>65099.368346309297</v>
      </c>
      <c r="AP548" s="152"/>
      <c r="AQ548" s="164">
        <f t="shared" si="175"/>
        <v>-4455.3980732431737</v>
      </c>
      <c r="AR548" s="164">
        <f t="shared" si="184"/>
        <v>-6913.531029312604</v>
      </c>
      <c r="AS548" s="164">
        <f t="shared" si="185"/>
        <v>7520.574162679427</v>
      </c>
      <c r="AT548" s="164">
        <f t="shared" si="176"/>
        <v>7520.574162679427</v>
      </c>
      <c r="AU548" s="152"/>
      <c r="AV548" s="147">
        <f>'Deterministic Reserve'!BC548</f>
        <v>3.3204528039385337E-4</v>
      </c>
      <c r="AW548" s="164">
        <f t="shared" si="177"/>
        <v>7520.574162679427</v>
      </c>
      <c r="AX548" s="164">
        <f t="shared" si="178"/>
        <v>2.4971711565696593</v>
      </c>
      <c r="AY548" s="152"/>
    </row>
    <row r="549" spans="1:51" s="150" customFormat="1" x14ac:dyDescent="0.25">
      <c r="A549" s="150">
        <f t="shared" si="186"/>
        <v>545</v>
      </c>
      <c r="B549" s="150">
        <f t="shared" si="187"/>
        <v>46</v>
      </c>
      <c r="C549" s="150">
        <f t="shared" si="188"/>
        <v>5</v>
      </c>
      <c r="D549" s="150">
        <f>IF(E549="","",Input!$C$4+B549-1)</f>
        <v>90</v>
      </c>
      <c r="E549" s="150">
        <f>IF(OR(AND(C548=12,D548=Input!$C$6),E548=""),"",1)</f>
        <v>1</v>
      </c>
      <c r="F549" s="150">
        <f>IF(E549="","",Input!$C$8+B549-1)</f>
        <v>2063</v>
      </c>
      <c r="G549" s="151">
        <f>IF(E549="","",MAX(0,Input!$C$9-B549))</f>
        <v>0</v>
      </c>
      <c r="H549" s="152">
        <f>IF(E549="","",Input!$C$3)</f>
        <v>100000</v>
      </c>
      <c r="I549" s="153">
        <f>IF(E549="","",HLOOKUP($B549,Input!$C$13:$BT$14,2))</f>
        <v>385.09100000000007</v>
      </c>
      <c r="J549" s="154"/>
      <c r="K549" s="155">
        <f>IF($E549="","",Input!$C$57)</f>
        <v>4.4999999999999998E-2</v>
      </c>
      <c r="L549" s="155">
        <f t="shared" si="179"/>
        <v>3.6748094004368514E-3</v>
      </c>
      <c r="M549" s="147">
        <f>IF($E549="","",VLOOKUP(IF($B549&lt;=Input!$C$7,$B549,26),'Mortality Tables'!$A$72:$CA$97,IF($B549&lt;=Input!$C$7+1,Input!$C$4-16,$D549-Input!$C$7-16),0)/1000)</f>
        <v>0.15718000000000001</v>
      </c>
      <c r="N549" s="147">
        <f t="shared" si="168"/>
        <v>1.4149102684913983E-2</v>
      </c>
      <c r="O549" s="157">
        <f>IF($E549="","",IF($C549=12,IF($B549&lt;Input!$C$9,Input!$C$54,IF($B549=Input!$C$9,Input!$C$55,Input!$C$56)),0%))</f>
        <v>0</v>
      </c>
      <c r="P549" s="167">
        <f>IF($E549="","",IF($B549=1,Input!$C$59,IF($B549&lt;6,Input!$C$60,0%)))</f>
        <v>0</v>
      </c>
      <c r="Q549" s="162">
        <f>IF($E549="","",Input!$C$58)</f>
        <v>2.5</v>
      </c>
      <c r="R549" s="156">
        <f t="shared" si="180"/>
        <v>0.98585089731508602</v>
      </c>
      <c r="S549" s="154">
        <f t="shared" si="169"/>
        <v>1.2043622266864431E-3</v>
      </c>
      <c r="T549" s="152"/>
      <c r="U549" s="150">
        <f t="shared" si="181"/>
        <v>0</v>
      </c>
      <c r="V549" s="150">
        <f t="shared" si="182"/>
        <v>0</v>
      </c>
      <c r="W549" s="168">
        <f t="shared" si="183"/>
        <v>0</v>
      </c>
      <c r="X549" s="163">
        <f t="shared" si="170"/>
        <v>1414.9102684913983</v>
      </c>
      <c r="Y549" s="152"/>
      <c r="Z549" s="164">
        <f>IF(AND($C548=12,$D548=Input!$C$6),0,IF($E549="","",V549+Z550/(1+L549)*R549))</f>
        <v>124560.02574653224</v>
      </c>
      <c r="AA549" s="164">
        <f>IF(OR($M549=1,AND($C548=12,$D548=Input!$C$6)),0,IF($E549="","",W549+(X549+AA550*$R549)/(1+$L549)))</f>
        <v>60305.179209683964</v>
      </c>
      <c r="AB549" s="160">
        <f t="shared" si="171"/>
        <v>0.825720328500681</v>
      </c>
      <c r="AC549" s="164">
        <f t="shared" si="172"/>
        <v>0</v>
      </c>
      <c r="AD549" s="164">
        <f>IF(AND($C548=12,$D548=Input!$C$6),0,IF($E549="","",$AC549+AD550/(1+$L549)*$R549))</f>
        <v>102851.74537747986</v>
      </c>
      <c r="AE549" s="152"/>
      <c r="AF549" s="164">
        <f>IF(AND($C548=12,$D548=Input!$C$6),0,IF($E549="","",IF($B549&gt;Input!$C$9,$AC549,0)+AF550/(1+$L549)*$R549))</f>
        <v>102851.74537747986</v>
      </c>
      <c r="AG549" s="164">
        <f>IF(AND($C548=12,$D548=Input!$C$6),0,IF($E549="","",(IF($B549&gt;Input!$C$9,$X549,0)+AG550)/(1+$L549)*$R549))</f>
        <v>58661.342174995705</v>
      </c>
      <c r="AH549" s="160">
        <f t="shared" si="173"/>
        <v>2.0950137211446997</v>
      </c>
      <c r="AI549" s="160">
        <f>IF($E549="","",MIN(Input!$C$61/AH549,1))</f>
        <v>0.64438718771845094</v>
      </c>
      <c r="AJ549" s="152"/>
      <c r="AK549" s="164">
        <f>IF(AND($C548=12,$D548=Input!$C$6),0,IF($E549="","",IF($B549&gt;Input!$C$9,$AC549*AI549,0)+AK550/(1+$L549)*$R549))</f>
        <v>66276.346955728412</v>
      </c>
      <c r="AL549" s="164">
        <f>IF(AND($C548=12,$D548=Input!$C$6),0,IF($E549="","",IF($B549&gt;Input!$C$9,0,$AC549)+AL550/(1+$L549)*$R549))</f>
        <v>0</v>
      </c>
      <c r="AM549" s="160">
        <f t="shared" si="174"/>
        <v>1.1382936520186004</v>
      </c>
      <c r="AN549" s="164">
        <f>IF($E549="","",IF($B549&gt;Input!$C$9,$AI549*$AC549,$AM549*$AC549))</f>
        <v>0</v>
      </c>
      <c r="AO549" s="164">
        <f>IF(AND($C548=12,$D548=Input!$C$6),0,IF($E549="","",$AN549+AO550/(1+$L549)*$R549))</f>
        <v>66276.346955728412</v>
      </c>
      <c r="AP549" s="152"/>
      <c r="AQ549" s="164">
        <f t="shared" si="175"/>
        <v>-5971.167746044448</v>
      </c>
      <c r="AR549" s="164">
        <f t="shared" si="184"/>
        <v>-6913.531029312604</v>
      </c>
      <c r="AS549" s="164">
        <f t="shared" si="185"/>
        <v>7520.574162679427</v>
      </c>
      <c r="AT549" s="164">
        <f t="shared" si="176"/>
        <v>7520.574162679427</v>
      </c>
      <c r="AU549" s="152"/>
      <c r="AV549" s="147">
        <f>'Deterministic Reserve'!BC549</f>
        <v>3.2053131800496159E-4</v>
      </c>
      <c r="AW549" s="164">
        <f t="shared" si="177"/>
        <v>7520.574162679427</v>
      </c>
      <c r="AX549" s="164">
        <f t="shared" si="178"/>
        <v>2.4105795485176973</v>
      </c>
      <c r="AY549" s="152"/>
    </row>
    <row r="550" spans="1:51" s="150" customFormat="1" x14ac:dyDescent="0.25">
      <c r="A550" s="150">
        <f t="shared" si="186"/>
        <v>546</v>
      </c>
      <c r="B550" s="150">
        <f t="shared" si="187"/>
        <v>46</v>
      </c>
      <c r="C550" s="150">
        <f t="shared" si="188"/>
        <v>6</v>
      </c>
      <c r="D550" s="150">
        <f>IF(E550="","",Input!$C$4+B550-1)</f>
        <v>90</v>
      </c>
      <c r="E550" s="150">
        <f>IF(OR(AND(C549=12,D549=Input!$C$6),E549=""),"",1)</f>
        <v>1</v>
      </c>
      <c r="F550" s="150">
        <f>IF(E550="","",Input!$C$8+B550-1)</f>
        <v>2063</v>
      </c>
      <c r="G550" s="151">
        <f>IF(E550="","",MAX(0,Input!$C$9-B550))</f>
        <v>0</v>
      </c>
      <c r="H550" s="152">
        <f>IF(E550="","",Input!$C$3)</f>
        <v>100000</v>
      </c>
      <c r="I550" s="153">
        <f>IF(E550="","",HLOOKUP($B550,Input!$C$13:$BT$14,2))</f>
        <v>385.09100000000007</v>
      </c>
      <c r="J550" s="154"/>
      <c r="K550" s="155">
        <f>IF($E550="","",Input!$C$57)</f>
        <v>4.4999999999999998E-2</v>
      </c>
      <c r="L550" s="155">
        <f t="shared" si="179"/>
        <v>3.6748094004368514E-3</v>
      </c>
      <c r="M550" s="147">
        <f>IF($E550="","",VLOOKUP(IF($B550&lt;=Input!$C$7,$B550,26),'Mortality Tables'!$A$72:$CA$97,IF($B550&lt;=Input!$C$7+1,Input!$C$4-16,$D550-Input!$C$7-16),0)/1000)</f>
        <v>0.15718000000000001</v>
      </c>
      <c r="N550" s="147">
        <f t="shared" si="168"/>
        <v>1.4149102684913983E-2</v>
      </c>
      <c r="O550" s="157">
        <f>IF($E550="","",IF($C550=12,IF($B550&lt;Input!$C$9,Input!$C$54,IF($B550=Input!$C$9,Input!$C$55,Input!$C$56)),0%))</f>
        <v>0</v>
      </c>
      <c r="P550" s="167">
        <f>IF($E550="","",IF($B550=1,Input!$C$59,IF($B550&lt;6,Input!$C$60,0%)))</f>
        <v>0</v>
      </c>
      <c r="Q550" s="162">
        <f>IF($E550="","",Input!$C$58)</f>
        <v>2.5</v>
      </c>
      <c r="R550" s="156">
        <f t="shared" si="180"/>
        <v>0.98585089731508602</v>
      </c>
      <c r="S550" s="154">
        <f t="shared" si="169"/>
        <v>1.1873215818712249E-3</v>
      </c>
      <c r="T550" s="152"/>
      <c r="U550" s="150">
        <f t="shared" si="181"/>
        <v>0</v>
      </c>
      <c r="V550" s="150">
        <f t="shared" si="182"/>
        <v>0</v>
      </c>
      <c r="W550" s="168">
        <f t="shared" si="183"/>
        <v>0</v>
      </c>
      <c r="X550" s="163">
        <f t="shared" si="170"/>
        <v>1414.9102684913983</v>
      </c>
      <c r="Y550" s="152"/>
      <c r="Z550" s="164">
        <f>IF(AND($C549=12,$D549=Input!$C$6),0,IF($E550="","",V550+Z551/(1+L550)*R550))</f>
        <v>126812.03662799686</v>
      </c>
      <c r="AA550" s="164">
        <f>IF(OR($M550=1,AND($C549=12,$D549=Input!$C$6)),0,IF($E550="","",W550+(X550+AA551*$R550)/(1+$L550)))</f>
        <v>59960.26289739705</v>
      </c>
      <c r="AB550" s="160">
        <f t="shared" si="171"/>
        <v>0.825720328500681</v>
      </c>
      <c r="AC550" s="164">
        <f t="shared" si="172"/>
        <v>0</v>
      </c>
      <c r="AD550" s="164">
        <f>IF(AND($C549=12,$D549=Input!$C$6),0,IF($E550="","",$AC550+AD551/(1+$L550)*$R550))</f>
        <v>104711.27654230993</v>
      </c>
      <c r="AE550" s="152"/>
      <c r="AF550" s="164">
        <f>IF(AND($C549=12,$D549=Input!$C$6),0,IF($E550="","",IF($B550&gt;Input!$C$9,$AC550,0)+AF551/(1+$L550)*$R550))</f>
        <v>104711.27654230993</v>
      </c>
      <c r="AG550" s="164">
        <f>IF(AND($C549=12,$D549=Input!$C$6),0,IF($E550="","",(IF($B550&gt;Input!$C$9,$X550,0)+AG551)/(1+$L550)*$R550))</f>
        <v>58307.012779923782</v>
      </c>
      <c r="AH550" s="160">
        <f t="shared" si="173"/>
        <v>2.0950137211446997</v>
      </c>
      <c r="AI550" s="160">
        <f>IF($E550="","",MIN(Input!$C$61/AH550,1))</f>
        <v>0.64438718771845094</v>
      </c>
      <c r="AJ550" s="152"/>
      <c r="AK550" s="164">
        <f>IF(AND($C549=12,$D549=Input!$C$6),0,IF($E550="","",IF($B550&gt;Input!$C$9,$AC550*AI550,0)+AK551/(1+$L550)*$R550))</f>
        <v>67474.605013508073</v>
      </c>
      <c r="AL550" s="164">
        <f>IF(AND($C549=12,$D549=Input!$C$6),0,IF($E550="","",IF($B550&gt;Input!$C$9,0,$AC550)+AL551/(1+$L550)*$R550))</f>
        <v>0</v>
      </c>
      <c r="AM550" s="160">
        <f t="shared" si="174"/>
        <v>1.1382936520186004</v>
      </c>
      <c r="AN550" s="164">
        <f>IF($E550="","",IF($B550&gt;Input!$C$9,$AI550*$AC550,$AM550*$AC550))</f>
        <v>0</v>
      </c>
      <c r="AO550" s="164">
        <f>IF(AND($C549=12,$D549=Input!$C$6),0,IF($E550="","",$AN550+AO551/(1+$L550)*$R550))</f>
        <v>67474.605013508073</v>
      </c>
      <c r="AP550" s="152"/>
      <c r="AQ550" s="164">
        <f t="shared" si="175"/>
        <v>-7514.3421161110236</v>
      </c>
      <c r="AR550" s="164">
        <f t="shared" si="184"/>
        <v>-6913.531029312604</v>
      </c>
      <c r="AS550" s="164">
        <f t="shared" si="185"/>
        <v>7520.574162679427</v>
      </c>
      <c r="AT550" s="164">
        <f t="shared" si="176"/>
        <v>7520.574162679427</v>
      </c>
      <c r="AU550" s="152"/>
      <c r="AV550" s="147">
        <f>'Deterministic Reserve'!BC550</f>
        <v>3.0941661239736054E-4</v>
      </c>
      <c r="AW550" s="164">
        <f t="shared" si="177"/>
        <v>7520.574162679427</v>
      </c>
      <c r="AX550" s="164">
        <f t="shared" si="178"/>
        <v>2.3269905806993845</v>
      </c>
      <c r="AY550" s="152"/>
    </row>
    <row r="551" spans="1:51" s="150" customFormat="1" x14ac:dyDescent="0.25">
      <c r="A551" s="150">
        <f t="shared" si="186"/>
        <v>547</v>
      </c>
      <c r="B551" s="150">
        <f t="shared" si="187"/>
        <v>46</v>
      </c>
      <c r="C551" s="150">
        <f t="shared" si="188"/>
        <v>7</v>
      </c>
      <c r="D551" s="150">
        <f>IF(E551="","",Input!$C$4+B551-1)</f>
        <v>90</v>
      </c>
      <c r="E551" s="150">
        <f>IF(OR(AND(C550=12,D550=Input!$C$6),E550=""),"",1)</f>
        <v>1</v>
      </c>
      <c r="F551" s="150">
        <f>IF(E551="","",Input!$C$8+B551-1)</f>
        <v>2063</v>
      </c>
      <c r="G551" s="151">
        <f>IF(E551="","",MAX(0,Input!$C$9-B551))</f>
        <v>0</v>
      </c>
      <c r="H551" s="152">
        <f>IF(E551="","",Input!$C$3)</f>
        <v>100000</v>
      </c>
      <c r="I551" s="153">
        <f>IF(E551="","",HLOOKUP($B551,Input!$C$13:$BT$14,2))</f>
        <v>385.09100000000007</v>
      </c>
      <c r="J551" s="154"/>
      <c r="K551" s="155">
        <f>IF($E551="","",Input!$C$57)</f>
        <v>4.4999999999999998E-2</v>
      </c>
      <c r="L551" s="155">
        <f t="shared" si="179"/>
        <v>3.6748094004368514E-3</v>
      </c>
      <c r="M551" s="147">
        <f>IF($E551="","",VLOOKUP(IF($B551&lt;=Input!$C$7,$B551,26),'Mortality Tables'!$A$72:$CA$97,IF($B551&lt;=Input!$C$7+1,Input!$C$4-16,$D551-Input!$C$7-16),0)/1000)</f>
        <v>0.15718000000000001</v>
      </c>
      <c r="N551" s="147">
        <f t="shared" si="168"/>
        <v>1.4149102684913983E-2</v>
      </c>
      <c r="O551" s="157">
        <f>IF($E551="","",IF($C551=12,IF($B551&lt;Input!$C$9,Input!$C$54,IF($B551=Input!$C$9,Input!$C$55,Input!$C$56)),0%))</f>
        <v>0</v>
      </c>
      <c r="P551" s="167">
        <f>IF($E551="","",IF($B551=1,Input!$C$59,IF($B551&lt;6,Input!$C$60,0%)))</f>
        <v>0</v>
      </c>
      <c r="Q551" s="162">
        <f>IF($E551="","",Input!$C$58)</f>
        <v>2.5</v>
      </c>
      <c r="R551" s="156">
        <f t="shared" si="180"/>
        <v>0.98585089731508602</v>
      </c>
      <c r="S551" s="154">
        <f t="shared" si="169"/>
        <v>1.1705220468893145E-3</v>
      </c>
      <c r="T551" s="152"/>
      <c r="U551" s="150">
        <f t="shared" si="181"/>
        <v>0</v>
      </c>
      <c r="V551" s="150">
        <f t="shared" si="182"/>
        <v>0</v>
      </c>
      <c r="W551" s="168">
        <f t="shared" si="183"/>
        <v>0</v>
      </c>
      <c r="X551" s="163">
        <f t="shared" si="170"/>
        <v>1414.9102684913983</v>
      </c>
      <c r="Y551" s="152"/>
      <c r="Z551" s="164">
        <f>IF(AND($C550=12,$D550=Input!$C$6),0,IF($E551="","",V551+Z552/(1+L551)*R551))</f>
        <v>129104.76324454453</v>
      </c>
      <c r="AA551" s="164">
        <f>IF(OR($M551=1,AND($C550=12,$D550=Input!$C$6)),0,IF($E551="","",W551+(X551+AA552*$R551)/(1+$L551)))</f>
        <v>59609.110593396021</v>
      </c>
      <c r="AB551" s="160">
        <f t="shared" si="171"/>
        <v>0.825720328500681</v>
      </c>
      <c r="AC551" s="164">
        <f t="shared" si="172"/>
        <v>0</v>
      </c>
      <c r="AD551" s="164">
        <f>IF(AND($C550=12,$D550=Input!$C$6),0,IF($E551="","",$AC551+AD552/(1+$L551)*$R551))</f>
        <v>106604.42751728793</v>
      </c>
      <c r="AE551" s="152"/>
      <c r="AF551" s="164">
        <f>IF(AND($C550=12,$D550=Input!$C$6),0,IF($E551="","",IF($B551&gt;Input!$C$9,$AC551,0)+AF552/(1+$L551)*$R551))</f>
        <v>106604.42751728793</v>
      </c>
      <c r="AG551" s="164">
        <f>IF(AND($C550=12,$D550=Input!$C$6),0,IF($E551="","",(IF($B551&gt;Input!$C$9,$X551,0)+AG552)/(1+$L551)*$R551))</f>
        <v>57946.277207199419</v>
      </c>
      <c r="AH551" s="160">
        <f t="shared" si="173"/>
        <v>2.0950137211446997</v>
      </c>
      <c r="AI551" s="160">
        <f>IF($E551="","",MIN(Input!$C$61/AH551,1))</f>
        <v>0.64438718771845094</v>
      </c>
      <c r="AJ551" s="152"/>
      <c r="AK551" s="164">
        <f>IF(AND($C550=12,$D550=Input!$C$6),0,IF($E551="","",IF($B551&gt;Input!$C$9,$AC551*AI551,0)+AK552/(1+$L551)*$R551))</f>
        <v>68694.527246200581</v>
      </c>
      <c r="AL551" s="164">
        <f>IF(AND($C550=12,$D550=Input!$C$6),0,IF($E551="","",IF($B551&gt;Input!$C$9,0,$AC551)+AL552/(1+$L551)*$R551))</f>
        <v>0</v>
      </c>
      <c r="AM551" s="160">
        <f t="shared" si="174"/>
        <v>1.1382936520186004</v>
      </c>
      <c r="AN551" s="164">
        <f>IF($E551="","",IF($B551&gt;Input!$C$9,$AI551*$AC551,$AM551*$AC551))</f>
        <v>0</v>
      </c>
      <c r="AO551" s="164">
        <f>IF(AND($C550=12,$D550=Input!$C$6),0,IF($E551="","",$AN551+AO552/(1+$L551)*$R551))</f>
        <v>68694.527246200581</v>
      </c>
      <c r="AP551" s="152"/>
      <c r="AQ551" s="164">
        <f t="shared" si="175"/>
        <v>-9085.4166528045607</v>
      </c>
      <c r="AR551" s="164">
        <f t="shared" si="184"/>
        <v>-6913.531029312604</v>
      </c>
      <c r="AS551" s="164">
        <f t="shared" si="185"/>
        <v>7520.574162679427</v>
      </c>
      <c r="AT551" s="164">
        <f t="shared" si="176"/>
        <v>7520.574162679427</v>
      </c>
      <c r="AU551" s="152"/>
      <c r="AV551" s="147">
        <f>'Deterministic Reserve'!BC551</f>
        <v>2.9868731899070306E-4</v>
      </c>
      <c r="AW551" s="164">
        <f t="shared" si="177"/>
        <v>7520.574162679427</v>
      </c>
      <c r="AX551" s="164">
        <f t="shared" si="178"/>
        <v>2.2463001339214697</v>
      </c>
      <c r="AY551" s="152"/>
    </row>
    <row r="552" spans="1:51" s="150" customFormat="1" x14ac:dyDescent="0.25">
      <c r="A552" s="150">
        <f t="shared" si="186"/>
        <v>548</v>
      </c>
      <c r="B552" s="150">
        <f t="shared" si="187"/>
        <v>46</v>
      </c>
      <c r="C552" s="150">
        <f t="shared" si="188"/>
        <v>8</v>
      </c>
      <c r="D552" s="150">
        <f>IF(E552="","",Input!$C$4+B552-1)</f>
        <v>90</v>
      </c>
      <c r="E552" s="150">
        <f>IF(OR(AND(C551=12,D551=Input!$C$6),E551=""),"",1)</f>
        <v>1</v>
      </c>
      <c r="F552" s="150">
        <f>IF(E552="","",Input!$C$8+B552-1)</f>
        <v>2063</v>
      </c>
      <c r="G552" s="151">
        <f>IF(E552="","",MAX(0,Input!$C$9-B552))</f>
        <v>0</v>
      </c>
      <c r="H552" s="152">
        <f>IF(E552="","",Input!$C$3)</f>
        <v>100000</v>
      </c>
      <c r="I552" s="153">
        <f>IF(E552="","",HLOOKUP($B552,Input!$C$13:$BT$14,2))</f>
        <v>385.09100000000007</v>
      </c>
      <c r="J552" s="154"/>
      <c r="K552" s="155">
        <f>IF($E552="","",Input!$C$57)</f>
        <v>4.4999999999999998E-2</v>
      </c>
      <c r="L552" s="155">
        <f t="shared" si="179"/>
        <v>3.6748094004368514E-3</v>
      </c>
      <c r="M552" s="147">
        <f>IF($E552="","",VLOOKUP(IF($B552&lt;=Input!$C$7,$B552,26),'Mortality Tables'!$A$72:$CA$97,IF($B552&lt;=Input!$C$7+1,Input!$C$4-16,$D552-Input!$C$7-16),0)/1000)</f>
        <v>0.15718000000000001</v>
      </c>
      <c r="N552" s="147">
        <f t="shared" si="168"/>
        <v>1.4149102684913983E-2</v>
      </c>
      <c r="O552" s="157">
        <f>IF($E552="","",IF($C552=12,IF($B552&lt;Input!$C$9,Input!$C$54,IF($B552=Input!$C$9,Input!$C$55,Input!$C$56)),0%))</f>
        <v>0</v>
      </c>
      <c r="P552" s="167">
        <f>IF($E552="","",IF($B552=1,Input!$C$59,IF($B552&lt;6,Input!$C$60,0%)))</f>
        <v>0</v>
      </c>
      <c r="Q552" s="162">
        <f>IF($E552="","",Input!$C$58)</f>
        <v>2.5</v>
      </c>
      <c r="R552" s="156">
        <f t="shared" si="180"/>
        <v>0.98585089731508602</v>
      </c>
      <c r="S552" s="154">
        <f t="shared" si="169"/>
        <v>1.1539602102529219E-3</v>
      </c>
      <c r="T552" s="152"/>
      <c r="U552" s="150">
        <f t="shared" si="181"/>
        <v>0</v>
      </c>
      <c r="V552" s="150">
        <f t="shared" si="182"/>
        <v>0</v>
      </c>
      <c r="W552" s="168">
        <f t="shared" si="183"/>
        <v>0</v>
      </c>
      <c r="X552" s="163">
        <f t="shared" si="170"/>
        <v>1414.9102684913983</v>
      </c>
      <c r="Y552" s="152"/>
      <c r="Z552" s="164">
        <f>IF(AND($C551=12,$D551=Input!$C$6),0,IF($E552="","",V552+Z553/(1+L552)*R552))</f>
        <v>131438.94172542624</v>
      </c>
      <c r="AA552" s="164">
        <f>IF(OR($M552=1,AND($C551=12,$D551=Input!$C$6)),0,IF($E552="","",W552+(X552+AA553*$R552)/(1+$L552)))</f>
        <v>59251.609552672104</v>
      </c>
      <c r="AB552" s="160">
        <f t="shared" si="171"/>
        <v>0.825720328500681</v>
      </c>
      <c r="AC552" s="164">
        <f t="shared" si="172"/>
        <v>0</v>
      </c>
      <c r="AD552" s="164">
        <f>IF(AND($C551=12,$D551=Input!$C$6),0,IF($E552="","",$AC552+AD553/(1+$L552)*$R552))</f>
        <v>108531.8061393008</v>
      </c>
      <c r="AE552" s="152"/>
      <c r="AF552" s="164">
        <f>IF(AND($C551=12,$D551=Input!$C$6),0,IF($E552="","",IF($B552&gt;Input!$C$9,$AC552,0)+AF553/(1+$L552)*$R552))</f>
        <v>108531.8061393008</v>
      </c>
      <c r="AG552" s="164">
        <f>IF(AND($C551=12,$D551=Input!$C$6),0,IF($E552="","",(IF($B552&gt;Input!$C$9,$X552,0)+AG553)/(1+$L552)*$R552))</f>
        <v>57579.01963489905</v>
      </c>
      <c r="AH552" s="160">
        <f t="shared" si="173"/>
        <v>2.0950137211446997</v>
      </c>
      <c r="AI552" s="160">
        <f>IF($E552="","",MIN(Input!$C$61/AH552,1))</f>
        <v>0.64438718771845094</v>
      </c>
      <c r="AJ552" s="152"/>
      <c r="AK552" s="164">
        <f>IF(AND($C551=12,$D551=Input!$C$6),0,IF($E552="","",IF($B552&gt;Input!$C$9,$AC552*AI552,0)+AK553/(1+$L552)*$R552))</f>
        <v>69936.505336108123</v>
      </c>
      <c r="AL552" s="164">
        <f>IF(AND($C551=12,$D551=Input!$C$6),0,IF($E552="","",IF($B552&gt;Input!$C$9,0,$AC552)+AL553/(1+$L552)*$R552))</f>
        <v>0</v>
      </c>
      <c r="AM552" s="160">
        <f t="shared" si="174"/>
        <v>1.1382936520186004</v>
      </c>
      <c r="AN552" s="164">
        <f>IF($E552="","",IF($B552&gt;Input!$C$9,$AI552*$AC552,$AM552*$AC552))</f>
        <v>0</v>
      </c>
      <c r="AO552" s="164">
        <f>IF(AND($C551=12,$D551=Input!$C$6),0,IF($E552="","",$AN552+AO553/(1+$L552)*$R552))</f>
        <v>69936.505336108123</v>
      </c>
      <c r="AP552" s="152"/>
      <c r="AQ552" s="164">
        <f t="shared" si="175"/>
        <v>-10684.895783436019</v>
      </c>
      <c r="AR552" s="164">
        <f t="shared" si="184"/>
        <v>-6913.531029312604</v>
      </c>
      <c r="AS552" s="164">
        <f t="shared" si="185"/>
        <v>7520.574162679427</v>
      </c>
      <c r="AT552" s="164">
        <f t="shared" si="176"/>
        <v>7520.574162679427</v>
      </c>
      <c r="AU552" s="152"/>
      <c r="AV552" s="147">
        <f>'Deterministic Reserve'!BC552</f>
        <v>2.8833007327765261E-4</v>
      </c>
      <c r="AW552" s="164">
        <f t="shared" si="177"/>
        <v>7520.574162679427</v>
      </c>
      <c r="AX552" s="164">
        <f t="shared" si="178"/>
        <v>2.16840769941538</v>
      </c>
      <c r="AY552" s="152"/>
    </row>
    <row r="553" spans="1:51" s="150" customFormat="1" x14ac:dyDescent="0.25">
      <c r="A553" s="150">
        <f t="shared" si="186"/>
        <v>549</v>
      </c>
      <c r="B553" s="150">
        <f t="shared" si="187"/>
        <v>46</v>
      </c>
      <c r="C553" s="150">
        <f t="shared" si="188"/>
        <v>9</v>
      </c>
      <c r="D553" s="150">
        <f>IF(E553="","",Input!$C$4+B553-1)</f>
        <v>90</v>
      </c>
      <c r="E553" s="150">
        <f>IF(OR(AND(C552=12,D552=Input!$C$6),E552=""),"",1)</f>
        <v>1</v>
      </c>
      <c r="F553" s="150">
        <f>IF(E553="","",Input!$C$8+B553-1)</f>
        <v>2063</v>
      </c>
      <c r="G553" s="151">
        <f>IF(E553="","",MAX(0,Input!$C$9-B553))</f>
        <v>0</v>
      </c>
      <c r="H553" s="152">
        <f>IF(E553="","",Input!$C$3)</f>
        <v>100000</v>
      </c>
      <c r="I553" s="153">
        <f>IF(E553="","",HLOOKUP($B553,Input!$C$13:$BT$14,2))</f>
        <v>385.09100000000007</v>
      </c>
      <c r="J553" s="154"/>
      <c r="K553" s="155">
        <f>IF($E553="","",Input!$C$57)</f>
        <v>4.4999999999999998E-2</v>
      </c>
      <c r="L553" s="155">
        <f t="shared" si="179"/>
        <v>3.6748094004368514E-3</v>
      </c>
      <c r="M553" s="147">
        <f>IF($E553="","",VLOOKUP(IF($B553&lt;=Input!$C$7,$B553,26),'Mortality Tables'!$A$72:$CA$97,IF($B553&lt;=Input!$C$7+1,Input!$C$4-16,$D553-Input!$C$7-16),0)/1000)</f>
        <v>0.15718000000000001</v>
      </c>
      <c r="N553" s="147">
        <f t="shared" si="168"/>
        <v>1.4149102684913983E-2</v>
      </c>
      <c r="O553" s="157">
        <f>IF($E553="","",IF($C553=12,IF($B553&lt;Input!$C$9,Input!$C$54,IF($B553=Input!$C$9,Input!$C$55,Input!$C$56)),0%))</f>
        <v>0</v>
      </c>
      <c r="P553" s="167">
        <f>IF($E553="","",IF($B553=1,Input!$C$59,IF($B553&lt;6,Input!$C$60,0%)))</f>
        <v>0</v>
      </c>
      <c r="Q553" s="162">
        <f>IF($E553="","",Input!$C$58)</f>
        <v>2.5</v>
      </c>
      <c r="R553" s="156">
        <f t="shared" si="180"/>
        <v>0.98585089731508602</v>
      </c>
      <c r="S553" s="154">
        <f t="shared" si="169"/>
        <v>1.1376327087437483E-3</v>
      </c>
      <c r="T553" s="152"/>
      <c r="U553" s="150">
        <f t="shared" si="181"/>
        <v>0</v>
      </c>
      <c r="V553" s="150">
        <f t="shared" si="182"/>
        <v>0</v>
      </c>
      <c r="W553" s="168">
        <f t="shared" si="183"/>
        <v>0</v>
      </c>
      <c r="X553" s="163">
        <f t="shared" si="170"/>
        <v>1414.9102684913983</v>
      </c>
      <c r="Y553" s="152"/>
      <c r="Z553" s="164">
        <f>IF(AND($C552=12,$D552=Input!$C$6),0,IF($E553="","",V553+Z554/(1+L553)*R553))</f>
        <v>133815.32150890661</v>
      </c>
      <c r="AA553" s="164">
        <f>IF(OR($M553=1,AND($C552=12,$D552=Input!$C$6)),0,IF($E553="","",W553+(X553+AA554*$R553)/(1+$L553)))</f>
        <v>58887.64499181787</v>
      </c>
      <c r="AB553" s="160">
        <f t="shared" si="171"/>
        <v>0.825720328500681</v>
      </c>
      <c r="AC553" s="164">
        <f t="shared" si="172"/>
        <v>0</v>
      </c>
      <c r="AD553" s="164">
        <f>IF(AND($C552=12,$D552=Input!$C$6),0,IF($E553="","",$AC553+AD554/(1+$L553)*$R553))</f>
        <v>110494.03123475857</v>
      </c>
      <c r="AE553" s="152"/>
      <c r="AF553" s="164">
        <f>IF(AND($C552=12,$D552=Input!$C$6),0,IF($E553="","",IF($B553&gt;Input!$C$9,$AC553,0)+AF554/(1+$L553)*$R553))</f>
        <v>110494.03123475857</v>
      </c>
      <c r="AG553" s="164">
        <f>IF(AND($C552=12,$D552=Input!$C$6),0,IF($E553="","",(IF($B553&gt;Input!$C$9,$X553,0)+AG554)/(1+$L553)*$R553))</f>
        <v>57205.122147070695</v>
      </c>
      <c r="AH553" s="160">
        <f t="shared" si="173"/>
        <v>2.0950137211446997</v>
      </c>
      <c r="AI553" s="160">
        <f>IF($E553="","",MIN(Input!$C$61/AH553,1))</f>
        <v>0.64438718771845094</v>
      </c>
      <c r="AJ553" s="152"/>
      <c r="AK553" s="164">
        <f>IF(AND($C552=12,$D552=Input!$C$6),0,IF($E553="","",IF($B553&gt;Input!$C$9,$AC553*AI553,0)+AK554/(1+$L553)*$R553))</f>
        <v>71200.93804704072</v>
      </c>
      <c r="AL553" s="164">
        <f>IF(AND($C552=12,$D552=Input!$C$6),0,IF($E553="","",IF($B553&gt;Input!$C$9,0,$AC553)+AL554/(1+$L553)*$R553))</f>
        <v>0</v>
      </c>
      <c r="AM553" s="160">
        <f t="shared" si="174"/>
        <v>1.1382936520186004</v>
      </c>
      <c r="AN553" s="164">
        <f>IF($E553="","",IF($B553&gt;Input!$C$9,$AI553*$AC553,$AM553*$AC553))</f>
        <v>0</v>
      </c>
      <c r="AO553" s="164">
        <f>IF(AND($C552=12,$D552=Input!$C$6),0,IF($E553="","",$AN553+AO554/(1+$L553)*$R553))</f>
        <v>71200.93804704072</v>
      </c>
      <c r="AP553" s="152"/>
      <c r="AQ553" s="164">
        <f t="shared" si="175"/>
        <v>-12313.29305522285</v>
      </c>
      <c r="AR553" s="164">
        <f t="shared" si="184"/>
        <v>-6913.531029312604</v>
      </c>
      <c r="AS553" s="164">
        <f t="shared" si="185"/>
        <v>7520.574162679427</v>
      </c>
      <c r="AT553" s="164">
        <f t="shared" si="176"/>
        <v>7520.574162679427</v>
      </c>
      <c r="AU553" s="152"/>
      <c r="AV553" s="147">
        <f>'Deterministic Reserve'!BC553</f>
        <v>2.78331974176929E-4</v>
      </c>
      <c r="AW553" s="164">
        <f t="shared" si="177"/>
        <v>7520.574162679427</v>
      </c>
      <c r="AX553" s="164">
        <f t="shared" si="178"/>
        <v>2.0932162536425696</v>
      </c>
      <c r="AY553" s="152"/>
    </row>
    <row r="554" spans="1:51" s="150" customFormat="1" x14ac:dyDescent="0.25">
      <c r="A554" s="150">
        <f t="shared" si="186"/>
        <v>550</v>
      </c>
      <c r="B554" s="150">
        <f t="shared" si="187"/>
        <v>46</v>
      </c>
      <c r="C554" s="150">
        <f t="shared" si="188"/>
        <v>10</v>
      </c>
      <c r="D554" s="150">
        <f>IF(E554="","",Input!$C$4+B554-1)</f>
        <v>90</v>
      </c>
      <c r="E554" s="150">
        <f>IF(OR(AND(C553=12,D553=Input!$C$6),E553=""),"",1)</f>
        <v>1</v>
      </c>
      <c r="F554" s="150">
        <f>IF(E554="","",Input!$C$8+B554-1)</f>
        <v>2063</v>
      </c>
      <c r="G554" s="151">
        <f>IF(E554="","",MAX(0,Input!$C$9-B554))</f>
        <v>0</v>
      </c>
      <c r="H554" s="152">
        <f>IF(E554="","",Input!$C$3)</f>
        <v>100000</v>
      </c>
      <c r="I554" s="153">
        <f>IF(E554="","",HLOOKUP($B554,Input!$C$13:$BT$14,2))</f>
        <v>385.09100000000007</v>
      </c>
      <c r="J554" s="154"/>
      <c r="K554" s="155">
        <f>IF($E554="","",Input!$C$57)</f>
        <v>4.4999999999999998E-2</v>
      </c>
      <c r="L554" s="155">
        <f t="shared" si="179"/>
        <v>3.6748094004368514E-3</v>
      </c>
      <c r="M554" s="147">
        <f>IF($E554="","",VLOOKUP(IF($B554&lt;=Input!$C$7,$B554,26),'Mortality Tables'!$A$72:$CA$97,IF($B554&lt;=Input!$C$7+1,Input!$C$4-16,$D554-Input!$C$7-16),0)/1000)</f>
        <v>0.15718000000000001</v>
      </c>
      <c r="N554" s="147">
        <f t="shared" si="168"/>
        <v>1.4149102684913983E-2</v>
      </c>
      <c r="O554" s="157">
        <f>IF($E554="","",IF($C554=12,IF($B554&lt;Input!$C$9,Input!$C$54,IF($B554=Input!$C$9,Input!$C$55,Input!$C$56)),0%))</f>
        <v>0</v>
      </c>
      <c r="P554" s="167">
        <f>IF($E554="","",IF($B554=1,Input!$C$59,IF($B554&lt;6,Input!$C$60,0%)))</f>
        <v>0</v>
      </c>
      <c r="Q554" s="162">
        <f>IF($E554="","",Input!$C$58)</f>
        <v>2.5</v>
      </c>
      <c r="R554" s="156">
        <f t="shared" si="180"/>
        <v>0.98585089731508602</v>
      </c>
      <c r="S554" s="154">
        <f t="shared" si="169"/>
        <v>1.1215362267300163E-3</v>
      </c>
      <c r="T554" s="152"/>
      <c r="U554" s="150">
        <f t="shared" si="181"/>
        <v>0</v>
      </c>
      <c r="V554" s="150">
        <f t="shared" si="182"/>
        <v>0</v>
      </c>
      <c r="W554" s="168">
        <f t="shared" si="183"/>
        <v>0</v>
      </c>
      <c r="X554" s="163">
        <f t="shared" si="170"/>
        <v>1414.9102684913983</v>
      </c>
      <c r="Y554" s="152"/>
      <c r="Z554" s="164">
        <f>IF(AND($C553=12,$D553=Input!$C$6),0,IF($E554="","",V554+Z555/(1+L554)*R554))</f>
        <v>136234.66558288719</v>
      </c>
      <c r="AA554" s="164">
        <f>IF(OR($M554=1,AND($C553=12,$D553=Input!$C$6)),0,IF($E554="","",W554+(X554+AA555*$R554)/(1+$L554)))</f>
        <v>58517.100052173584</v>
      </c>
      <c r="AB554" s="160">
        <f t="shared" si="171"/>
        <v>0.825720328500681</v>
      </c>
      <c r="AC554" s="164">
        <f t="shared" si="172"/>
        <v>0</v>
      </c>
      <c r="AD554" s="164">
        <f>IF(AND($C553=12,$D553=Input!$C$6),0,IF($E554="","",$AC554+AD555/(1+$L554)*$R554))</f>
        <v>112491.73281828201</v>
      </c>
      <c r="AE554" s="152"/>
      <c r="AF554" s="164">
        <f>IF(AND($C553=12,$D553=Input!$C$6),0,IF($E554="","",IF($B554&gt;Input!$C$9,$AC554,0)+AF555/(1+$L554)*$R554))</f>
        <v>112491.73281828201</v>
      </c>
      <c r="AG554" s="164">
        <f>IF(AND($C553=12,$D553=Input!$C$6),0,IF($E554="","",(IF($B554&gt;Input!$C$9,$X554,0)+AG555)/(1+$L554)*$R554))</f>
        <v>56824.464695874514</v>
      </c>
      <c r="AH554" s="160">
        <f t="shared" si="173"/>
        <v>2.0950137211446997</v>
      </c>
      <c r="AI554" s="160">
        <f>IF($E554="","",MIN(Input!$C$61/AH554,1))</f>
        <v>0.64438718771845094</v>
      </c>
      <c r="AJ554" s="152"/>
      <c r="AK554" s="164">
        <f>IF(AND($C553=12,$D553=Input!$C$6),0,IF($E554="","",IF($B554&gt;Input!$C$9,$AC554*AI554,0)+AK555/(1+$L554)*$R554))</f>
        <v>72488.231352348084</v>
      </c>
      <c r="AL554" s="164">
        <f>IF(AND($C553=12,$D553=Input!$C$6),0,IF($E554="","",IF($B554&gt;Input!$C$9,0,$AC554)+AL555/(1+$L554)*$R554))</f>
        <v>0</v>
      </c>
      <c r="AM554" s="160">
        <f t="shared" si="174"/>
        <v>1.1382936520186004</v>
      </c>
      <c r="AN554" s="164">
        <f>IF($E554="","",IF($B554&gt;Input!$C$9,$AI554*$AC554,$AM554*$AC554))</f>
        <v>0</v>
      </c>
      <c r="AO554" s="164">
        <f>IF(AND($C553=12,$D553=Input!$C$6),0,IF($E554="","",$AN554+AO555/(1+$L554)*$R554))</f>
        <v>72488.231352348084</v>
      </c>
      <c r="AP554" s="152"/>
      <c r="AQ554" s="164">
        <f t="shared" si="175"/>
        <v>-13971.1313001745</v>
      </c>
      <c r="AR554" s="164">
        <f t="shared" si="184"/>
        <v>-6913.531029312604</v>
      </c>
      <c r="AS554" s="164">
        <f t="shared" si="185"/>
        <v>7520.574162679427</v>
      </c>
      <c r="AT554" s="164">
        <f t="shared" si="176"/>
        <v>7520.574162679427</v>
      </c>
      <c r="AU554" s="152"/>
      <c r="AV554" s="147">
        <f>'Deterministic Reserve'!BC554</f>
        <v>2.6868056796360197E-4</v>
      </c>
      <c r="AW554" s="164">
        <f t="shared" si="177"/>
        <v>7520.574162679427</v>
      </c>
      <c r="AX554" s="164">
        <f t="shared" si="178"/>
        <v>2.0206321374410989</v>
      </c>
      <c r="AY554" s="152"/>
    </row>
    <row r="555" spans="1:51" s="150" customFormat="1" x14ac:dyDescent="0.25">
      <c r="A555" s="150">
        <f t="shared" si="186"/>
        <v>551</v>
      </c>
      <c r="B555" s="150">
        <f t="shared" si="187"/>
        <v>46</v>
      </c>
      <c r="C555" s="150">
        <f t="shared" si="188"/>
        <v>11</v>
      </c>
      <c r="D555" s="150">
        <f>IF(E555="","",Input!$C$4+B555-1)</f>
        <v>90</v>
      </c>
      <c r="E555" s="150">
        <f>IF(OR(AND(C554=12,D554=Input!$C$6),E554=""),"",1)</f>
        <v>1</v>
      </c>
      <c r="F555" s="150">
        <f>IF(E555="","",Input!$C$8+B555-1)</f>
        <v>2063</v>
      </c>
      <c r="G555" s="151">
        <f>IF(E555="","",MAX(0,Input!$C$9-B555))</f>
        <v>0</v>
      </c>
      <c r="H555" s="152">
        <f>IF(E555="","",Input!$C$3)</f>
        <v>100000</v>
      </c>
      <c r="I555" s="153">
        <f>IF(E555="","",HLOOKUP($B555,Input!$C$13:$BT$14,2))</f>
        <v>385.09100000000007</v>
      </c>
      <c r="J555" s="154"/>
      <c r="K555" s="155">
        <f>IF($E555="","",Input!$C$57)</f>
        <v>4.4999999999999998E-2</v>
      </c>
      <c r="L555" s="155">
        <f t="shared" si="179"/>
        <v>3.6748094004368514E-3</v>
      </c>
      <c r="M555" s="147">
        <f>IF($E555="","",VLOOKUP(IF($B555&lt;=Input!$C$7,$B555,26),'Mortality Tables'!$A$72:$CA$97,IF($B555&lt;=Input!$C$7+1,Input!$C$4-16,$D555-Input!$C$7-16),0)/1000)</f>
        <v>0.15718000000000001</v>
      </c>
      <c r="N555" s="147">
        <f t="shared" si="168"/>
        <v>1.4149102684913983E-2</v>
      </c>
      <c r="O555" s="157">
        <f>IF($E555="","",IF($C555=12,IF($B555&lt;Input!$C$9,Input!$C$54,IF($B555=Input!$C$9,Input!$C$55,Input!$C$56)),0%))</f>
        <v>0</v>
      </c>
      <c r="P555" s="167">
        <f>IF($E555="","",IF($B555=1,Input!$C$59,IF($B555&lt;6,Input!$C$60,0%)))</f>
        <v>0</v>
      </c>
      <c r="Q555" s="162">
        <f>IF($E555="","",Input!$C$58)</f>
        <v>2.5</v>
      </c>
      <c r="R555" s="156">
        <f t="shared" si="180"/>
        <v>0.98585089731508602</v>
      </c>
      <c r="S555" s="154">
        <f t="shared" si="169"/>
        <v>1.1056674954931624E-3</v>
      </c>
      <c r="T555" s="152"/>
      <c r="U555" s="150">
        <f t="shared" si="181"/>
        <v>0</v>
      </c>
      <c r="V555" s="150">
        <f t="shared" si="182"/>
        <v>0</v>
      </c>
      <c r="W555" s="168">
        <f t="shared" si="183"/>
        <v>0</v>
      </c>
      <c r="X555" s="163">
        <f t="shared" si="170"/>
        <v>1414.9102684913983</v>
      </c>
      <c r="Y555" s="152"/>
      <c r="Z555" s="164">
        <f>IF(AND($C554=12,$D554=Input!$C$6),0,IF($E555="","",V555+Z556/(1+L555)*R555))</f>
        <v>138697.75072988021</v>
      </c>
      <c r="AA555" s="164">
        <f>IF(OR($M555=1,AND($C554=12,$D554=Input!$C$6)),0,IF($E555="","",W555+(X555+AA556*$R555)/(1+$L555)))</f>
        <v>58139.85576230719</v>
      </c>
      <c r="AB555" s="160">
        <f t="shared" si="171"/>
        <v>0.825720328500681</v>
      </c>
      <c r="AC555" s="164">
        <f t="shared" si="172"/>
        <v>0</v>
      </c>
      <c r="AD555" s="164">
        <f>IF(AND($C554=12,$D554=Input!$C$6),0,IF($E555="","",$AC555+AD556/(1+$L555)*$R555))</f>
        <v>114525.55229498225</v>
      </c>
      <c r="AE555" s="152"/>
      <c r="AF555" s="164">
        <f>IF(AND($C554=12,$D554=Input!$C$6),0,IF($E555="","",IF($B555&gt;Input!$C$9,$AC555,0)+AF556/(1+$L555)*$R555))</f>
        <v>114525.55229498225</v>
      </c>
      <c r="AG555" s="164">
        <f>IF(AND($C554=12,$D554=Input!$C$6),0,IF($E555="","",(IF($B555&gt;Input!$C$9,$X555,0)+AG556)/(1+$L555)*$R555))</f>
        <v>56436.925063038871</v>
      </c>
      <c r="AH555" s="160">
        <f t="shared" si="173"/>
        <v>2.0950137211446997</v>
      </c>
      <c r="AI555" s="160">
        <f>IF($E555="","",MIN(Input!$C$61/AH555,1))</f>
        <v>0.64438718771845094</v>
      </c>
      <c r="AJ555" s="152"/>
      <c r="AK555" s="164">
        <f>IF(AND($C554=12,$D554=Input!$C$6),0,IF($E555="","",IF($B555&gt;Input!$C$9,$AC555*AI555,0)+AK556/(1+$L555)*$R555))</f>
        <v>73798.79856526597</v>
      </c>
      <c r="AL555" s="164">
        <f>IF(AND($C554=12,$D554=Input!$C$6),0,IF($E555="","",IF($B555&gt;Input!$C$9,0,$AC555)+AL556/(1+$L555)*$R555))</f>
        <v>0</v>
      </c>
      <c r="AM555" s="160">
        <f t="shared" si="174"/>
        <v>1.1382936520186004</v>
      </c>
      <c r="AN555" s="164">
        <f>IF($E555="","",IF($B555&gt;Input!$C$9,$AI555*$AC555,$AM555*$AC555))</f>
        <v>0</v>
      </c>
      <c r="AO555" s="164">
        <f>IF(AND($C554=12,$D554=Input!$C$6),0,IF($E555="","",$AN555+AO556/(1+$L555)*$R555))</f>
        <v>73798.79856526597</v>
      </c>
      <c r="AP555" s="152"/>
      <c r="AQ555" s="164">
        <f t="shared" si="175"/>
        <v>-15658.94280295878</v>
      </c>
      <c r="AR555" s="164">
        <f t="shared" si="184"/>
        <v>-6913.531029312604</v>
      </c>
      <c r="AS555" s="164">
        <f t="shared" si="185"/>
        <v>7520.574162679427</v>
      </c>
      <c r="AT555" s="164">
        <f t="shared" si="176"/>
        <v>7520.574162679427</v>
      </c>
      <c r="AU555" s="152"/>
      <c r="AV555" s="147">
        <f>'Deterministic Reserve'!BC555</f>
        <v>2.5936383275661587E-4</v>
      </c>
      <c r="AW555" s="164">
        <f t="shared" si="177"/>
        <v>7520.574162679427</v>
      </c>
      <c r="AX555" s="164">
        <f t="shared" si="178"/>
        <v>1.9505649393629132</v>
      </c>
      <c r="AY555" s="152"/>
    </row>
    <row r="556" spans="1:51" s="150" customFormat="1" x14ac:dyDescent="0.25">
      <c r="A556" s="150">
        <f t="shared" si="186"/>
        <v>552</v>
      </c>
      <c r="B556" s="150">
        <f t="shared" si="187"/>
        <v>46</v>
      </c>
      <c r="C556" s="150">
        <f t="shared" si="188"/>
        <v>12</v>
      </c>
      <c r="D556" s="150">
        <f>IF(E556="","",Input!$C$4+B556-1)</f>
        <v>90</v>
      </c>
      <c r="E556" s="150">
        <f>IF(OR(AND(C555=12,D555=Input!$C$6),E555=""),"",1)</f>
        <v>1</v>
      </c>
      <c r="F556" s="150">
        <f>IF(E556="","",Input!$C$8+B556-1)</f>
        <v>2063</v>
      </c>
      <c r="G556" s="151">
        <f>IF(E556="","",MAX(0,Input!$C$9-B556))</f>
        <v>0</v>
      </c>
      <c r="H556" s="152">
        <f>IF(E556="","",Input!$C$3)</f>
        <v>100000</v>
      </c>
      <c r="I556" s="153">
        <f>IF(E556="","",HLOOKUP($B556,Input!$C$13:$BT$14,2))</f>
        <v>385.09100000000007</v>
      </c>
      <c r="J556" s="154"/>
      <c r="K556" s="155">
        <f>IF($E556="","",Input!$C$57)</f>
        <v>4.4999999999999998E-2</v>
      </c>
      <c r="L556" s="155">
        <f t="shared" si="179"/>
        <v>3.6748094004368514E-3</v>
      </c>
      <c r="M556" s="147">
        <f>IF($E556="","",VLOOKUP(IF($B556&lt;=Input!$C$7,$B556,26),'Mortality Tables'!$A$72:$CA$97,IF($B556&lt;=Input!$C$7+1,Input!$C$4-16,$D556-Input!$C$7-16),0)/1000)</f>
        <v>0.15718000000000001</v>
      </c>
      <c r="N556" s="147">
        <f t="shared" si="168"/>
        <v>1.4149102684913983E-2</v>
      </c>
      <c r="O556" s="157">
        <f>IF($E556="","",IF($C556=12,IF($B556&lt;Input!$C$9,Input!$C$54,IF($B556=Input!$C$9,Input!$C$55,Input!$C$56)),0%))</f>
        <v>0.1</v>
      </c>
      <c r="P556" s="167">
        <f>IF($E556="","",IF($B556=1,Input!$C$59,IF($B556&lt;6,Input!$C$60,0%)))</f>
        <v>0</v>
      </c>
      <c r="Q556" s="162">
        <f>IF($E556="","",Input!$C$58)</f>
        <v>2.5</v>
      </c>
      <c r="R556" s="156">
        <f t="shared" si="180"/>
        <v>0.88585089731508604</v>
      </c>
      <c r="S556" s="154">
        <f t="shared" si="169"/>
        <v>9.7945654301474176E-4</v>
      </c>
      <c r="T556" s="152"/>
      <c r="U556" s="150">
        <f t="shared" si="181"/>
        <v>0</v>
      </c>
      <c r="V556" s="150">
        <f t="shared" si="182"/>
        <v>0</v>
      </c>
      <c r="W556" s="168">
        <f t="shared" si="183"/>
        <v>0</v>
      </c>
      <c r="X556" s="163">
        <f t="shared" si="170"/>
        <v>1414.9102684913983</v>
      </c>
      <c r="Y556" s="152"/>
      <c r="Z556" s="164">
        <f>IF(AND($C555=12,$D555=Input!$C$6),0,IF($E556="","",V556+Z557/(1+L556)*R556))</f>
        <v>141205.36777641132</v>
      </c>
      <c r="AA556" s="164">
        <f>IF(OR($M556=1,AND($C555=12,$D555=Input!$C$6)),0,IF($E556="","",W556+(X556+AA557*$R556)/(1+$L556)))</f>
        <v>57755.790999815988</v>
      </c>
      <c r="AB556" s="160">
        <f t="shared" si="171"/>
        <v>0.825720328500681</v>
      </c>
      <c r="AC556" s="164">
        <f t="shared" si="172"/>
        <v>0</v>
      </c>
      <c r="AD556" s="164">
        <f>IF(AND($C555=12,$D555=Input!$C$6),0,IF($E556="","",$AC556+AD557/(1+$L556)*$R556))</f>
        <v>116596.14266639782</v>
      </c>
      <c r="AE556" s="152"/>
      <c r="AF556" s="164">
        <f>IF(AND($C555=12,$D555=Input!$C$6),0,IF($E556="","",IF($B556&gt;Input!$C$9,$AC556,0)+AF557/(1+$L556)*$R556))</f>
        <v>116596.14266639782</v>
      </c>
      <c r="AG556" s="164">
        <f>IF(AND($C555=12,$D555=Input!$C$6),0,IF($E556="","",(IF($B556&gt;Input!$C$9,$X556,0)+AG557)/(1+$L556)*$R556))</f>
        <v>56042.378820619502</v>
      </c>
      <c r="AH556" s="160">
        <f t="shared" si="173"/>
        <v>2.0950137211446997</v>
      </c>
      <c r="AI556" s="160">
        <f>IF($E556="","",MIN(Input!$C$61/AH556,1))</f>
        <v>0.64438718771845094</v>
      </c>
      <c r="AJ556" s="152"/>
      <c r="AK556" s="164">
        <f>IF(AND($C555=12,$D555=Input!$C$6),0,IF($E556="","",IF($B556&gt;Input!$C$9,$AC556*AI556,0)+AK557/(1+$L556)*$R556))</f>
        <v>75133.060471619363</v>
      </c>
      <c r="AL556" s="164">
        <f>IF(AND($C555=12,$D555=Input!$C$6),0,IF($E556="","",IF($B556&gt;Input!$C$9,0,$AC556)+AL557/(1+$L556)*$R556))</f>
        <v>0</v>
      </c>
      <c r="AM556" s="160">
        <f t="shared" si="174"/>
        <v>1.1382936520186004</v>
      </c>
      <c r="AN556" s="164">
        <f>IF($E556="","",IF($B556&gt;Input!$C$9,$AI556*$AC556,$AM556*$AC556))</f>
        <v>0</v>
      </c>
      <c r="AO556" s="164">
        <f>IF(AND($C555=12,$D555=Input!$C$6),0,IF($E556="","",$AN556+AO557/(1+$L556)*$R556))</f>
        <v>75133.060471619363</v>
      </c>
      <c r="AP556" s="152"/>
      <c r="AQ556" s="164">
        <f t="shared" si="175"/>
        <v>-17377.269471803374</v>
      </c>
      <c r="AR556" s="164">
        <f t="shared" si="184"/>
        <v>-6913.531029312604</v>
      </c>
      <c r="AS556" s="164">
        <f t="shared" si="185"/>
        <v>7520.574162679427</v>
      </c>
      <c r="AT556" s="164">
        <f t="shared" si="176"/>
        <v>7520.574162679427</v>
      </c>
      <c r="AU556" s="152"/>
      <c r="AV556" s="147">
        <f>'Deterministic Reserve'!BC556</f>
        <v>2.2443378026856163E-4</v>
      </c>
      <c r="AW556" s="164">
        <f t="shared" si="177"/>
        <v>7520.574162679427</v>
      </c>
      <c r="AX556" s="164">
        <f t="shared" si="178"/>
        <v>1.6878708891202163</v>
      </c>
      <c r="AY556" s="152"/>
    </row>
    <row r="557" spans="1:51" s="150" customFormat="1" x14ac:dyDescent="0.25">
      <c r="A557" s="150">
        <f t="shared" si="186"/>
        <v>553</v>
      </c>
      <c r="B557" s="150">
        <f t="shared" si="187"/>
        <v>47</v>
      </c>
      <c r="C557" s="150">
        <f t="shared" si="188"/>
        <v>1</v>
      </c>
      <c r="D557" s="150">
        <f>IF(E557="","",Input!$C$4+B557-1)</f>
        <v>91</v>
      </c>
      <c r="E557" s="150">
        <f>IF(OR(AND(C556=12,D556=Input!$C$6),E556=""),"",1)</f>
        <v>1</v>
      </c>
      <c r="F557" s="150">
        <f>IF(E557="","",Input!$C$8+B557-1)</f>
        <v>2064</v>
      </c>
      <c r="G557" s="151">
        <f>IF(E557="","",MAX(0,Input!$C$9-B557))</f>
        <v>0</v>
      </c>
      <c r="H557" s="152">
        <f>IF(E557="","",Input!$C$3)</f>
        <v>100000</v>
      </c>
      <c r="I557" s="153">
        <f>IF(E557="","",HLOOKUP($B557,Input!$C$13:$BT$14,2))</f>
        <v>429.60750000000002</v>
      </c>
      <c r="J557" s="154"/>
      <c r="K557" s="155">
        <f>IF($E557="","",Input!$C$57)</f>
        <v>4.4999999999999998E-2</v>
      </c>
      <c r="L557" s="155">
        <f t="shared" si="179"/>
        <v>3.6748094004368514E-3</v>
      </c>
      <c r="M557" s="147">
        <f>IF($E557="","",VLOOKUP(IF($B557&lt;=Input!$C$7,$B557,26),'Mortality Tables'!$A$72:$CA$97,IF($B557&lt;=Input!$C$7+1,Input!$C$4-16,$D557-Input!$C$7-16),0)/1000)</f>
        <v>0.17535000000000001</v>
      </c>
      <c r="N557" s="147">
        <f t="shared" si="168"/>
        <v>1.5937976683569222E-2</v>
      </c>
      <c r="O557" s="157">
        <f>IF($E557="","",IF($C557=12,IF($B557&lt;Input!$C$9,Input!$C$54,IF($B557=Input!$C$9,Input!$C$55,Input!$C$56)),0%))</f>
        <v>0</v>
      </c>
      <c r="P557" s="167">
        <f>IF($E557="","",IF($B557=1,Input!$C$59,IF($B557&lt;6,Input!$C$60,0%)))</f>
        <v>0</v>
      </c>
      <c r="Q557" s="162">
        <f>IF($E557="","",Input!$C$58)</f>
        <v>2.5</v>
      </c>
      <c r="R557" s="156">
        <f t="shared" si="180"/>
        <v>0.98406202331643078</v>
      </c>
      <c r="S557" s="154">
        <f t="shared" si="169"/>
        <v>9.6384598746960344E-4</v>
      </c>
      <c r="T557" s="152"/>
      <c r="U557" s="150">
        <f t="shared" si="181"/>
        <v>42960.75</v>
      </c>
      <c r="V557" s="150">
        <f t="shared" si="182"/>
        <v>42960.75</v>
      </c>
      <c r="W557" s="168">
        <f t="shared" si="183"/>
        <v>0</v>
      </c>
      <c r="X557" s="163">
        <f t="shared" si="170"/>
        <v>1593.7976683569223</v>
      </c>
      <c r="Y557" s="152"/>
      <c r="Z557" s="164">
        <f>IF(AND($C556=12,$D556=Input!$C$6),0,IF($E557="","",V557+Z558/(1+L557)*R557))</f>
        <v>159986.59708858281</v>
      </c>
      <c r="AA557" s="164">
        <f>IF(OR($M557=1,AND($C556=12,$D556=Input!$C$6)),0,IF($E557="","",W557+(X557+AA558*$R557)/(1+$L557)))</f>
        <v>63840.452638730181</v>
      </c>
      <c r="AB557" s="160">
        <f t="shared" si="171"/>
        <v>0.825720328500681</v>
      </c>
      <c r="AC557" s="164">
        <f t="shared" si="172"/>
        <v>35473.564602635633</v>
      </c>
      <c r="AD557" s="164">
        <f>IF(AND($C556=12,$D556=Input!$C$6),0,IF($E557="","",$AC557+AD558/(1+$L557)*$R557))</f>
        <v>132104.18550369068</v>
      </c>
      <c r="AE557" s="152"/>
      <c r="AF557" s="164">
        <f>IF(AND($C556=12,$D556=Input!$C$6),0,IF($E557="","",IF($B557&gt;Input!$C$9,$AC557,0)+AF558/(1+$L557)*$R557))</f>
        <v>132104.18550369068</v>
      </c>
      <c r="AG557" s="164">
        <f>IF(AND($C556=12,$D556=Input!$C$6),0,IF($E557="","",(IF($B557&gt;Input!$C$9,$X557,0)+AG558)/(1+$L557)*$R557))</f>
        <v>62081.468243529838</v>
      </c>
      <c r="AH557" s="160">
        <f t="shared" si="173"/>
        <v>2.0950137211446997</v>
      </c>
      <c r="AI557" s="160">
        <f>IF($E557="","",MIN(Input!$C$61/AH557,1))</f>
        <v>0.64438718771845094</v>
      </c>
      <c r="AJ557" s="152"/>
      <c r="AK557" s="164">
        <f>IF(AND($C556=12,$D556=Input!$C$6),0,IF($E557="","",IF($B557&gt;Input!$C$9,$AC557*AI557,0)+AK558/(1+$L557)*$R557))</f>
        <v>85126.244582559768</v>
      </c>
      <c r="AL557" s="164">
        <f>IF(AND($C556=12,$D556=Input!$C$6),0,IF($E557="","",IF($B557&gt;Input!$C$9,0,$AC557)+AL558/(1+$L557)*$R557))</f>
        <v>0</v>
      </c>
      <c r="AM557" s="160">
        <f t="shared" si="174"/>
        <v>1.1382936520186004</v>
      </c>
      <c r="AN557" s="164">
        <f>IF($E557="","",IF($B557&gt;Input!$C$9,$AI557*$AC557,$AM557*$AC557))</f>
        <v>22858.710532641166</v>
      </c>
      <c r="AO557" s="164">
        <f>IF(AND($C556=12,$D556=Input!$C$6),0,IF($E557="","",$AN557+AO558/(1+$L557)*$R557))</f>
        <v>85126.244582559768</v>
      </c>
      <c r="AP557" s="152"/>
      <c r="AQ557" s="164">
        <f t="shared" si="175"/>
        <v>-21285.791943829587</v>
      </c>
      <c r="AR557" s="164">
        <f t="shared" si="184"/>
        <v>-6132.9496199687146</v>
      </c>
      <c r="AS557" s="164">
        <f t="shared" si="185"/>
        <v>8389.952153110049</v>
      </c>
      <c r="AT557" s="164">
        <f t="shared" si="176"/>
        <v>8389.952153110049</v>
      </c>
      <c r="AU557" s="152"/>
      <c r="AV557" s="147">
        <f>'Deterministic Reserve'!BC557</f>
        <v>2.1558419800937764E-4</v>
      </c>
      <c r="AW557" s="164">
        <f t="shared" si="177"/>
        <v>8389.952153110049</v>
      </c>
      <c r="AX557" s="164">
        <f t="shared" si="178"/>
        <v>1.8087411062652812</v>
      </c>
      <c r="AY557" s="152"/>
    </row>
    <row r="558" spans="1:51" s="150" customFormat="1" x14ac:dyDescent="0.25">
      <c r="A558" s="150">
        <f t="shared" si="186"/>
        <v>554</v>
      </c>
      <c r="B558" s="150">
        <f t="shared" si="187"/>
        <v>47</v>
      </c>
      <c r="C558" s="150">
        <f t="shared" si="188"/>
        <v>2</v>
      </c>
      <c r="D558" s="150">
        <f>IF(E558="","",Input!$C$4+B558-1)</f>
        <v>91</v>
      </c>
      <c r="E558" s="150">
        <f>IF(OR(AND(C557=12,D557=Input!$C$6),E557=""),"",1)</f>
        <v>1</v>
      </c>
      <c r="F558" s="150">
        <f>IF(E558="","",Input!$C$8+B558-1)</f>
        <v>2064</v>
      </c>
      <c r="G558" s="151">
        <f>IF(E558="","",MAX(0,Input!$C$9-B558))</f>
        <v>0</v>
      </c>
      <c r="H558" s="152">
        <f>IF(E558="","",Input!$C$3)</f>
        <v>100000</v>
      </c>
      <c r="I558" s="153">
        <f>IF(E558="","",HLOOKUP($B558,Input!$C$13:$BT$14,2))</f>
        <v>429.60750000000002</v>
      </c>
      <c r="J558" s="154"/>
      <c r="K558" s="155">
        <f>IF($E558="","",Input!$C$57)</f>
        <v>4.4999999999999998E-2</v>
      </c>
      <c r="L558" s="155">
        <f t="shared" si="179"/>
        <v>3.6748094004368514E-3</v>
      </c>
      <c r="M558" s="147">
        <f>IF($E558="","",VLOOKUP(IF($B558&lt;=Input!$C$7,$B558,26),'Mortality Tables'!$A$72:$CA$97,IF($B558&lt;=Input!$C$7+1,Input!$C$4-16,$D558-Input!$C$7-16),0)/1000)</f>
        <v>0.17535000000000001</v>
      </c>
      <c r="N558" s="147">
        <f t="shared" si="168"/>
        <v>1.5937976683569222E-2</v>
      </c>
      <c r="O558" s="157">
        <f>IF($E558="","",IF($C558=12,IF($B558&lt;Input!$C$9,Input!$C$54,IF($B558=Input!$C$9,Input!$C$55,Input!$C$56)),0%))</f>
        <v>0</v>
      </c>
      <c r="P558" s="167">
        <f>IF($E558="","",IF($B558=1,Input!$C$59,IF($B558&lt;6,Input!$C$60,0%)))</f>
        <v>0</v>
      </c>
      <c r="Q558" s="162">
        <f>IF($E558="","",Input!$C$58)</f>
        <v>2.5</v>
      </c>
      <c r="R558" s="156">
        <f t="shared" si="180"/>
        <v>0.98406202331643078</v>
      </c>
      <c r="S558" s="154">
        <f t="shared" si="169"/>
        <v>9.4848423259476114E-4</v>
      </c>
      <c r="T558" s="152"/>
      <c r="U558" s="150">
        <f t="shared" si="181"/>
        <v>0</v>
      </c>
      <c r="V558" s="150">
        <f t="shared" si="182"/>
        <v>0</v>
      </c>
      <c r="W558" s="168">
        <f t="shared" si="183"/>
        <v>0</v>
      </c>
      <c r="X558" s="163">
        <f t="shared" si="170"/>
        <v>1593.7976683569223</v>
      </c>
      <c r="Y558" s="152"/>
      <c r="Z558" s="164">
        <f>IF(AND($C557=12,$D557=Input!$C$6),0,IF($E558="","",V558+Z559/(1+L558)*R558))</f>
        <v>119358.22335233985</v>
      </c>
      <c r="AA558" s="164">
        <f>IF(OR($M558=1,AND($C557=12,$D557=Input!$C$6)),0,IF($E558="","",W558+(X558+AA559*$R558)/(1+$L558)))</f>
        <v>63493.209762619816</v>
      </c>
      <c r="AB558" s="160">
        <f t="shared" si="171"/>
        <v>0.825720328500681</v>
      </c>
      <c r="AC558" s="164">
        <f t="shared" si="172"/>
        <v>0</v>
      </c>
      <c r="AD558" s="164">
        <f>IF(AND($C557=12,$D557=Input!$C$6),0,IF($E558="","",$AC558+AD559/(1+$L558)*$R558))</f>
        <v>98556.511395751717</v>
      </c>
      <c r="AE558" s="152"/>
      <c r="AF558" s="164">
        <f>IF(AND($C557=12,$D557=Input!$C$6),0,IF($E558="","",IF($B558&gt;Input!$C$9,$AC558,0)+AF559/(1+$L558)*$R558))</f>
        <v>98556.511395751717</v>
      </c>
      <c r="AG558" s="164">
        <f>IF(AND($C557=12,$D557=Input!$C$6),0,IF($E558="","",(IF($B558&gt;Input!$C$9,$X558,0)+AG559)/(1+$L558)*$R558))</f>
        <v>61724.981362086444</v>
      </c>
      <c r="AH558" s="160">
        <f t="shared" si="173"/>
        <v>2.0950137211446997</v>
      </c>
      <c r="AI558" s="160">
        <f>IF($E558="","",MIN(Input!$C$61/AH558,1))</f>
        <v>0.64438718771845094</v>
      </c>
      <c r="AJ558" s="152"/>
      <c r="AK558" s="164">
        <f>IF(AND($C557=12,$D557=Input!$C$6),0,IF($E558="","",IF($B558&gt;Input!$C$9,$AC558*AI558,0)+AK559/(1+$L558)*$R558))</f>
        <v>63508.553209649879</v>
      </c>
      <c r="AL558" s="164">
        <f>IF(AND($C557=12,$D557=Input!$C$6),0,IF($E558="","",IF($B558&gt;Input!$C$9,0,$AC558)+AL559/(1+$L558)*$R558))</f>
        <v>0</v>
      </c>
      <c r="AM558" s="160">
        <f t="shared" si="174"/>
        <v>1.1382936520186004</v>
      </c>
      <c r="AN558" s="164">
        <f>IF($E558="","",IF($B558&gt;Input!$C$9,$AI558*$AC558,$AM558*$AC558))</f>
        <v>0</v>
      </c>
      <c r="AO558" s="164">
        <f>IF(AND($C557=12,$D557=Input!$C$6),0,IF($E558="","",$AN558+AO559/(1+$L558)*$R558))</f>
        <v>63508.553209649879</v>
      </c>
      <c r="AP558" s="152"/>
      <c r="AQ558" s="164">
        <f t="shared" si="175"/>
        <v>-15.343447030063544</v>
      </c>
      <c r="AR558" s="164">
        <f t="shared" si="184"/>
        <v>-6132.9496199687146</v>
      </c>
      <c r="AS558" s="164">
        <f t="shared" si="185"/>
        <v>8389.952153110049</v>
      </c>
      <c r="AT558" s="164">
        <f t="shared" si="176"/>
        <v>8389.952153110049</v>
      </c>
      <c r="AU558" s="152"/>
      <c r="AV558" s="147">
        <f>'Deterministic Reserve'!BC558</f>
        <v>2.0708356102067991E-4</v>
      </c>
      <c r="AW558" s="164">
        <f t="shared" si="177"/>
        <v>8389.952153110049</v>
      </c>
      <c r="AX558" s="164">
        <f t="shared" si="178"/>
        <v>1.7374211686591496</v>
      </c>
      <c r="AY558" s="152"/>
    </row>
    <row r="559" spans="1:51" s="150" customFormat="1" x14ac:dyDescent="0.25">
      <c r="A559" s="150">
        <f t="shared" si="186"/>
        <v>555</v>
      </c>
      <c r="B559" s="150">
        <f t="shared" si="187"/>
        <v>47</v>
      </c>
      <c r="C559" s="150">
        <f t="shared" si="188"/>
        <v>3</v>
      </c>
      <c r="D559" s="150">
        <f>IF(E559="","",Input!$C$4+B559-1)</f>
        <v>91</v>
      </c>
      <c r="E559" s="150">
        <f>IF(OR(AND(C558=12,D558=Input!$C$6),E558=""),"",1)</f>
        <v>1</v>
      </c>
      <c r="F559" s="150">
        <f>IF(E559="","",Input!$C$8+B559-1)</f>
        <v>2064</v>
      </c>
      <c r="G559" s="151">
        <f>IF(E559="","",MAX(0,Input!$C$9-B559))</f>
        <v>0</v>
      </c>
      <c r="H559" s="152">
        <f>IF(E559="","",Input!$C$3)</f>
        <v>100000</v>
      </c>
      <c r="I559" s="153">
        <f>IF(E559="","",HLOOKUP($B559,Input!$C$13:$BT$14,2))</f>
        <v>429.60750000000002</v>
      </c>
      <c r="J559" s="154"/>
      <c r="K559" s="155">
        <f>IF($E559="","",Input!$C$57)</f>
        <v>4.4999999999999998E-2</v>
      </c>
      <c r="L559" s="155">
        <f t="shared" si="179"/>
        <v>3.6748094004368514E-3</v>
      </c>
      <c r="M559" s="147">
        <f>IF($E559="","",VLOOKUP(IF($B559&lt;=Input!$C$7,$B559,26),'Mortality Tables'!$A$72:$CA$97,IF($B559&lt;=Input!$C$7+1,Input!$C$4-16,$D559-Input!$C$7-16),0)/1000)</f>
        <v>0.17535000000000001</v>
      </c>
      <c r="N559" s="147">
        <f t="shared" si="168"/>
        <v>1.5937976683569222E-2</v>
      </c>
      <c r="O559" s="157">
        <f>IF($E559="","",IF($C559=12,IF($B559&lt;Input!$C$9,Input!$C$54,IF($B559=Input!$C$9,Input!$C$55,Input!$C$56)),0%))</f>
        <v>0</v>
      </c>
      <c r="P559" s="167">
        <f>IF($E559="","",IF($B559=1,Input!$C$59,IF($B559&lt;6,Input!$C$60,0%)))</f>
        <v>0</v>
      </c>
      <c r="Q559" s="162">
        <f>IF($E559="","",Input!$C$58)</f>
        <v>2.5</v>
      </c>
      <c r="R559" s="156">
        <f t="shared" si="180"/>
        <v>0.98406202331643078</v>
      </c>
      <c r="S559" s="154">
        <f t="shared" si="169"/>
        <v>9.3336731301093276E-4</v>
      </c>
      <c r="T559" s="152"/>
      <c r="U559" s="150">
        <f t="shared" si="181"/>
        <v>0</v>
      </c>
      <c r="V559" s="150">
        <f t="shared" si="182"/>
        <v>0</v>
      </c>
      <c r="W559" s="168">
        <f t="shared" si="183"/>
        <v>0</v>
      </c>
      <c r="X559" s="163">
        <f t="shared" si="170"/>
        <v>1593.7976683569223</v>
      </c>
      <c r="Y559" s="152"/>
      <c r="Z559" s="164">
        <f>IF(AND($C558=12,$D558=Input!$C$6),0,IF($E559="","",V559+Z560/(1+L559)*R559))</f>
        <v>121737.08489410236</v>
      </c>
      <c r="AA559" s="164">
        <f>IF(OR($M559=1,AND($C558=12,$D558=Input!$C$6)),0,IF($E559="","",W559+(X559+AA560*$R559)/(1+$L559)))</f>
        <v>63139.04618427017</v>
      </c>
      <c r="AB559" s="160">
        <f t="shared" si="171"/>
        <v>0.825720328500681</v>
      </c>
      <c r="AC559" s="164">
        <f t="shared" si="172"/>
        <v>0</v>
      </c>
      <c r="AD559" s="164">
        <f>IF(AND($C558=12,$D558=Input!$C$6),0,IF($E559="","",$AC559+AD560/(1+$L559)*$R559))</f>
        <v>100520.7857294735</v>
      </c>
      <c r="AE559" s="152"/>
      <c r="AF559" s="164">
        <f>IF(AND($C558=12,$D558=Input!$C$6),0,IF($E559="","",IF($B559&gt;Input!$C$9,$AC559,0)+AF560/(1+$L559)*$R559))</f>
        <v>100520.7857294735</v>
      </c>
      <c r="AG559" s="164">
        <f>IF(AND($C558=12,$D558=Input!$C$6),0,IF($E559="","",(IF($B559&gt;Input!$C$9,$X559,0)+AG560)/(1+$L559)*$R559))</f>
        <v>61361.389541338569</v>
      </c>
      <c r="AH559" s="160">
        <f t="shared" si="173"/>
        <v>2.0950137211446997</v>
      </c>
      <c r="AI559" s="160">
        <f>IF($E559="","",MIN(Input!$C$61/AH559,1))</f>
        <v>0.64438718771845094</v>
      </c>
      <c r="AJ559" s="152"/>
      <c r="AK559" s="164">
        <f>IF(AND($C558=12,$D558=Input!$C$6),0,IF($E559="","",IF($B559&gt;Input!$C$9,$AC559*AI559,0)+AK560/(1+$L559)*$R559))</f>
        <v>64774.30642346439</v>
      </c>
      <c r="AL559" s="164">
        <f>IF(AND($C558=12,$D558=Input!$C$6),0,IF($E559="","",IF($B559&gt;Input!$C$9,0,$AC559)+AL560/(1+$L559)*$R559))</f>
        <v>0</v>
      </c>
      <c r="AM559" s="160">
        <f t="shared" si="174"/>
        <v>1.1382936520186004</v>
      </c>
      <c r="AN559" s="164">
        <f>IF($E559="","",IF($B559&gt;Input!$C$9,$AI559*$AC559,$AM559*$AC559))</f>
        <v>0</v>
      </c>
      <c r="AO559" s="164">
        <f>IF(AND($C558=12,$D558=Input!$C$6),0,IF($E559="","",$AN559+AO560/(1+$L559)*$R559))</f>
        <v>64774.30642346439</v>
      </c>
      <c r="AP559" s="152"/>
      <c r="AQ559" s="164">
        <f t="shared" si="175"/>
        <v>-1635.26023919422</v>
      </c>
      <c r="AR559" s="164">
        <f t="shared" si="184"/>
        <v>-6132.9496199687146</v>
      </c>
      <c r="AS559" s="164">
        <f t="shared" si="185"/>
        <v>8389.952153110049</v>
      </c>
      <c r="AT559" s="164">
        <f t="shared" si="176"/>
        <v>8389.952153110049</v>
      </c>
      <c r="AU559" s="152"/>
      <c r="AV559" s="147">
        <f>'Deterministic Reserve'!BC559</f>
        <v>1.9891811014432643E-4</v>
      </c>
      <c r="AW559" s="164">
        <f t="shared" si="177"/>
        <v>8389.952153110049</v>
      </c>
      <c r="AX559" s="164">
        <f t="shared" si="178"/>
        <v>1.6689134264979735</v>
      </c>
      <c r="AY559" s="152"/>
    </row>
    <row r="560" spans="1:51" s="150" customFormat="1" x14ac:dyDescent="0.25">
      <c r="A560" s="150">
        <f t="shared" si="186"/>
        <v>556</v>
      </c>
      <c r="B560" s="150">
        <f t="shared" si="187"/>
        <v>47</v>
      </c>
      <c r="C560" s="150">
        <f t="shared" si="188"/>
        <v>4</v>
      </c>
      <c r="D560" s="150">
        <f>IF(E560="","",Input!$C$4+B560-1)</f>
        <v>91</v>
      </c>
      <c r="E560" s="150">
        <f>IF(OR(AND(C559=12,D559=Input!$C$6),E559=""),"",1)</f>
        <v>1</v>
      </c>
      <c r="F560" s="150">
        <f>IF(E560="","",Input!$C$8+B560-1)</f>
        <v>2064</v>
      </c>
      <c r="G560" s="151">
        <f>IF(E560="","",MAX(0,Input!$C$9-B560))</f>
        <v>0</v>
      </c>
      <c r="H560" s="152">
        <f>IF(E560="","",Input!$C$3)</f>
        <v>100000</v>
      </c>
      <c r="I560" s="153">
        <f>IF(E560="","",HLOOKUP($B560,Input!$C$13:$BT$14,2))</f>
        <v>429.60750000000002</v>
      </c>
      <c r="J560" s="154"/>
      <c r="K560" s="155">
        <f>IF($E560="","",Input!$C$57)</f>
        <v>4.4999999999999998E-2</v>
      </c>
      <c r="L560" s="155">
        <f t="shared" si="179"/>
        <v>3.6748094004368514E-3</v>
      </c>
      <c r="M560" s="147">
        <f>IF($E560="","",VLOOKUP(IF($B560&lt;=Input!$C$7,$B560,26),'Mortality Tables'!$A$72:$CA$97,IF($B560&lt;=Input!$C$7+1,Input!$C$4-16,$D560-Input!$C$7-16),0)/1000)</f>
        <v>0.17535000000000001</v>
      </c>
      <c r="N560" s="147">
        <f t="shared" si="168"/>
        <v>1.5937976683569222E-2</v>
      </c>
      <c r="O560" s="157">
        <f>IF($E560="","",IF($C560=12,IF($B560&lt;Input!$C$9,Input!$C$54,IF($B560=Input!$C$9,Input!$C$55,Input!$C$56)),0%))</f>
        <v>0</v>
      </c>
      <c r="P560" s="167">
        <f>IF($E560="","",IF($B560=1,Input!$C$59,IF($B560&lt;6,Input!$C$60,0%)))</f>
        <v>0</v>
      </c>
      <c r="Q560" s="162">
        <f>IF($E560="","",Input!$C$58)</f>
        <v>2.5</v>
      </c>
      <c r="R560" s="156">
        <f t="shared" si="180"/>
        <v>0.98406202331643078</v>
      </c>
      <c r="S560" s="154">
        <f t="shared" si="169"/>
        <v>9.1849132653895886E-4</v>
      </c>
      <c r="T560" s="152"/>
      <c r="U560" s="150">
        <f t="shared" si="181"/>
        <v>0</v>
      </c>
      <c r="V560" s="150">
        <f t="shared" si="182"/>
        <v>0</v>
      </c>
      <c r="W560" s="168">
        <f t="shared" si="183"/>
        <v>0</v>
      </c>
      <c r="X560" s="163">
        <f t="shared" si="170"/>
        <v>1593.7976683569223</v>
      </c>
      <c r="Y560" s="152"/>
      <c r="Z560" s="164">
        <f>IF(AND($C559=12,$D559=Input!$C$6),0,IF($E560="","",V560+Z561/(1+L560)*R560))</f>
        <v>124163.35818577147</v>
      </c>
      <c r="AA560" s="164">
        <f>IF(OR($M560=1,AND($C559=12,$D559=Input!$C$6)),0,IF($E560="","",W560+(X560+AA561*$R560)/(1+$L560)))</f>
        <v>62777.823971061815</v>
      </c>
      <c r="AB560" s="160">
        <f t="shared" si="171"/>
        <v>0.825720328500681</v>
      </c>
      <c r="AC560" s="164">
        <f t="shared" si="172"/>
        <v>0</v>
      </c>
      <c r="AD560" s="164">
        <f>IF(AND($C559=12,$D559=Input!$C$6),0,IF($E560="","",$AC560+AD561/(1+$L560)*$R560))</f>
        <v>102524.20890890293</v>
      </c>
      <c r="AE560" s="152"/>
      <c r="AF560" s="164">
        <f>IF(AND($C559=12,$D559=Input!$C$6),0,IF($E560="","",IF($B560&gt;Input!$C$9,$AC560,0)+AF561/(1+$L560)*$R560))</f>
        <v>102524.20890890293</v>
      </c>
      <c r="AG560" s="164">
        <f>IF(AND($C559=12,$D559=Input!$C$6),0,IF($E560="","",(IF($B560&gt;Input!$C$9,$X560,0)+AG561)/(1+$L560)*$R560))</f>
        <v>60990.551176741566</v>
      </c>
      <c r="AH560" s="160">
        <f t="shared" si="173"/>
        <v>2.0950137211446997</v>
      </c>
      <c r="AI560" s="160">
        <f>IF($E560="","",MIN(Input!$C$61/AH560,1))</f>
        <v>0.64438718771845094</v>
      </c>
      <c r="AJ560" s="152"/>
      <c r="AK560" s="164">
        <f>IF(AND($C559=12,$D559=Input!$C$6),0,IF($E560="","",IF($B560&gt;Input!$C$9,$AC560*AI560,0)+AK561/(1+$L560)*$R560))</f>
        <v>66065.286651866889</v>
      </c>
      <c r="AL560" s="164">
        <f>IF(AND($C559=12,$D559=Input!$C$6),0,IF($E560="","",IF($B560&gt;Input!$C$9,0,$AC560)+AL561/(1+$L560)*$R560))</f>
        <v>0</v>
      </c>
      <c r="AM560" s="160">
        <f t="shared" si="174"/>
        <v>1.1382936520186004</v>
      </c>
      <c r="AN560" s="164">
        <f>IF($E560="","",IF($B560&gt;Input!$C$9,$AI560*$AC560,$AM560*$AC560))</f>
        <v>0</v>
      </c>
      <c r="AO560" s="164">
        <f>IF(AND($C559=12,$D559=Input!$C$6),0,IF($E560="","",$AN560+AO561/(1+$L560)*$R560))</f>
        <v>66065.286651866889</v>
      </c>
      <c r="AP560" s="152"/>
      <c r="AQ560" s="164">
        <f t="shared" si="175"/>
        <v>-3287.4626808050743</v>
      </c>
      <c r="AR560" s="164">
        <f t="shared" si="184"/>
        <v>-6132.9496199687146</v>
      </c>
      <c r="AS560" s="164">
        <f t="shared" si="185"/>
        <v>8389.952153110049</v>
      </c>
      <c r="AT560" s="164">
        <f t="shared" si="176"/>
        <v>8389.952153110049</v>
      </c>
      <c r="AU560" s="152"/>
      <c r="AV560" s="147">
        <f>'Deterministic Reserve'!BC560</f>
        <v>1.910746287554857E-4</v>
      </c>
      <c r="AW560" s="164">
        <f t="shared" si="177"/>
        <v>8389.952153110049</v>
      </c>
      <c r="AX560" s="164">
        <f t="shared" si="178"/>
        <v>1.6031069929317905</v>
      </c>
      <c r="AY560" s="152"/>
    </row>
    <row r="561" spans="1:51" s="150" customFormat="1" x14ac:dyDescent="0.25">
      <c r="A561" s="150">
        <f t="shared" si="186"/>
        <v>557</v>
      </c>
      <c r="B561" s="150">
        <f t="shared" si="187"/>
        <v>47</v>
      </c>
      <c r="C561" s="150">
        <f t="shared" si="188"/>
        <v>5</v>
      </c>
      <c r="D561" s="150">
        <f>IF(E561="","",Input!$C$4+B561-1)</f>
        <v>91</v>
      </c>
      <c r="E561" s="150">
        <f>IF(OR(AND(C560=12,D560=Input!$C$6),E560=""),"",1)</f>
        <v>1</v>
      </c>
      <c r="F561" s="150">
        <f>IF(E561="","",Input!$C$8+B561-1)</f>
        <v>2064</v>
      </c>
      <c r="G561" s="151">
        <f>IF(E561="","",MAX(0,Input!$C$9-B561))</f>
        <v>0</v>
      </c>
      <c r="H561" s="152">
        <f>IF(E561="","",Input!$C$3)</f>
        <v>100000</v>
      </c>
      <c r="I561" s="153">
        <f>IF(E561="","",HLOOKUP($B561,Input!$C$13:$BT$14,2))</f>
        <v>429.60750000000002</v>
      </c>
      <c r="J561" s="154"/>
      <c r="K561" s="155">
        <f>IF($E561="","",Input!$C$57)</f>
        <v>4.4999999999999998E-2</v>
      </c>
      <c r="L561" s="155">
        <f t="shared" si="179"/>
        <v>3.6748094004368514E-3</v>
      </c>
      <c r="M561" s="147">
        <f>IF($E561="","",VLOOKUP(IF($B561&lt;=Input!$C$7,$B561,26),'Mortality Tables'!$A$72:$CA$97,IF($B561&lt;=Input!$C$7+1,Input!$C$4-16,$D561-Input!$C$7-16),0)/1000)</f>
        <v>0.17535000000000001</v>
      </c>
      <c r="N561" s="147">
        <f t="shared" si="168"/>
        <v>1.5937976683569222E-2</v>
      </c>
      <c r="O561" s="157">
        <f>IF($E561="","",IF($C561=12,IF($B561&lt;Input!$C$9,Input!$C$54,IF($B561=Input!$C$9,Input!$C$55,Input!$C$56)),0%))</f>
        <v>0</v>
      </c>
      <c r="P561" s="167">
        <f>IF($E561="","",IF($B561=1,Input!$C$59,IF($B561&lt;6,Input!$C$60,0%)))</f>
        <v>0</v>
      </c>
      <c r="Q561" s="162">
        <f>IF($E561="","",Input!$C$58)</f>
        <v>2.5</v>
      </c>
      <c r="R561" s="156">
        <f t="shared" si="180"/>
        <v>0.98406202331643078</v>
      </c>
      <c r="S561" s="154">
        <f t="shared" si="169"/>
        <v>9.0385243319252039E-4</v>
      </c>
      <c r="T561" s="152"/>
      <c r="U561" s="150">
        <f t="shared" si="181"/>
        <v>0</v>
      </c>
      <c r="V561" s="150">
        <f t="shared" si="182"/>
        <v>0</v>
      </c>
      <c r="W561" s="168">
        <f t="shared" si="183"/>
        <v>0</v>
      </c>
      <c r="X561" s="163">
        <f t="shared" si="170"/>
        <v>1593.7976683569223</v>
      </c>
      <c r="Y561" s="152"/>
      <c r="Z561" s="164">
        <f>IF(AND($C560=12,$D560=Input!$C$6),0,IF($E561="","",V561+Z562/(1+L561)*R561))</f>
        <v>126637.98816423809</v>
      </c>
      <c r="AA561" s="164">
        <f>IF(OR($M561=1,AND($C560=12,$D560=Input!$C$6)),0,IF($E561="","",W561+(X561+AA562*$R561)/(1+$L561)))</f>
        <v>62409.402441317936</v>
      </c>
      <c r="AB561" s="160">
        <f t="shared" si="171"/>
        <v>0.825720328500681</v>
      </c>
      <c r="AC561" s="164">
        <f t="shared" si="172"/>
        <v>0</v>
      </c>
      <c r="AD561" s="164">
        <f>IF(AND($C560=12,$D560=Input!$C$6),0,IF($E561="","",$AC561+AD562/(1+$L561)*$R561))</f>
        <v>104567.56118764002</v>
      </c>
      <c r="AE561" s="152"/>
      <c r="AF561" s="164">
        <f>IF(AND($C560=12,$D560=Input!$C$6),0,IF($E561="","",IF($B561&gt;Input!$C$9,$AC561,0)+AF562/(1+$L561)*$R561))</f>
        <v>104567.56118764002</v>
      </c>
      <c r="AG561" s="164">
        <f>IF(AND($C560=12,$D560=Input!$C$6),0,IF($E561="","",(IF($B561&gt;Input!$C$9,$X561,0)+AG562)/(1+$L561)*$R561))</f>
        <v>60612.321841510347</v>
      </c>
      <c r="AH561" s="160">
        <f t="shared" si="173"/>
        <v>2.0950137211446997</v>
      </c>
      <c r="AI561" s="160">
        <f>IF($E561="","",MIN(Input!$C$61/AH561,1))</f>
        <v>0.64438718771845094</v>
      </c>
      <c r="AJ561" s="152"/>
      <c r="AK561" s="164">
        <f>IF(AND($C560=12,$D560=Input!$C$6),0,IF($E561="","",IF($B561&gt;Input!$C$9,$AC561*AI561,0)+AK562/(1+$L561)*$R561))</f>
        <v>67381.996680280368</v>
      </c>
      <c r="AL561" s="164">
        <f>IF(AND($C560=12,$D560=Input!$C$6),0,IF($E561="","",IF($B561&gt;Input!$C$9,0,$AC561)+AL562/(1+$L561)*$R561))</f>
        <v>0</v>
      </c>
      <c r="AM561" s="160">
        <f t="shared" si="174"/>
        <v>1.1382936520186004</v>
      </c>
      <c r="AN561" s="164">
        <f>IF($E561="","",IF($B561&gt;Input!$C$9,$AI561*$AC561,$AM561*$AC561))</f>
        <v>0</v>
      </c>
      <c r="AO561" s="164">
        <f>IF(AND($C560=12,$D560=Input!$C$6),0,IF($E561="","",$AN561+AO562/(1+$L561)*$R561))</f>
        <v>67381.996680280368</v>
      </c>
      <c r="AP561" s="152"/>
      <c r="AQ561" s="164">
        <f t="shared" si="175"/>
        <v>-4972.5942389624324</v>
      </c>
      <c r="AR561" s="164">
        <f t="shared" si="184"/>
        <v>-6132.9496199687146</v>
      </c>
      <c r="AS561" s="164">
        <f t="shared" si="185"/>
        <v>8389.952153110049</v>
      </c>
      <c r="AT561" s="164">
        <f t="shared" si="176"/>
        <v>8389.952153110049</v>
      </c>
      <c r="AU561" s="152"/>
      <c r="AV561" s="147">
        <f>'Deterministic Reserve'!BC561</f>
        <v>1.8354042137016556E-4</v>
      </c>
      <c r="AW561" s="164">
        <f t="shared" si="177"/>
        <v>8389.952153110049</v>
      </c>
      <c r="AX561" s="164">
        <f t="shared" si="178"/>
        <v>1.5398953534573463</v>
      </c>
      <c r="AY561" s="152"/>
    </row>
    <row r="562" spans="1:51" s="150" customFormat="1" x14ac:dyDescent="0.25">
      <c r="A562" s="150">
        <f t="shared" si="186"/>
        <v>558</v>
      </c>
      <c r="B562" s="150">
        <f t="shared" si="187"/>
        <v>47</v>
      </c>
      <c r="C562" s="150">
        <f t="shared" si="188"/>
        <v>6</v>
      </c>
      <c r="D562" s="150">
        <f>IF(E562="","",Input!$C$4+B562-1)</f>
        <v>91</v>
      </c>
      <c r="E562" s="150">
        <f>IF(OR(AND(C561=12,D561=Input!$C$6),E561=""),"",1)</f>
        <v>1</v>
      </c>
      <c r="F562" s="150">
        <f>IF(E562="","",Input!$C$8+B562-1)</f>
        <v>2064</v>
      </c>
      <c r="G562" s="151">
        <f>IF(E562="","",MAX(0,Input!$C$9-B562))</f>
        <v>0</v>
      </c>
      <c r="H562" s="152">
        <f>IF(E562="","",Input!$C$3)</f>
        <v>100000</v>
      </c>
      <c r="I562" s="153">
        <f>IF(E562="","",HLOOKUP($B562,Input!$C$13:$BT$14,2))</f>
        <v>429.60750000000002</v>
      </c>
      <c r="J562" s="154"/>
      <c r="K562" s="155">
        <f>IF($E562="","",Input!$C$57)</f>
        <v>4.4999999999999998E-2</v>
      </c>
      <c r="L562" s="155">
        <f t="shared" si="179"/>
        <v>3.6748094004368514E-3</v>
      </c>
      <c r="M562" s="147">
        <f>IF($E562="","",VLOOKUP(IF($B562&lt;=Input!$C$7,$B562,26),'Mortality Tables'!$A$72:$CA$97,IF($B562&lt;=Input!$C$7+1,Input!$C$4-16,$D562-Input!$C$7-16),0)/1000)</f>
        <v>0.17535000000000001</v>
      </c>
      <c r="N562" s="147">
        <f t="shared" si="168"/>
        <v>1.5937976683569222E-2</v>
      </c>
      <c r="O562" s="157">
        <f>IF($E562="","",IF($C562=12,IF($B562&lt;Input!$C$9,Input!$C$54,IF($B562=Input!$C$9,Input!$C$55,Input!$C$56)),0%))</f>
        <v>0</v>
      </c>
      <c r="P562" s="167">
        <f>IF($E562="","",IF($B562=1,Input!$C$59,IF($B562&lt;6,Input!$C$60,0%)))</f>
        <v>0</v>
      </c>
      <c r="Q562" s="162">
        <f>IF($E562="","",Input!$C$58)</f>
        <v>2.5</v>
      </c>
      <c r="R562" s="156">
        <f t="shared" si="180"/>
        <v>0.98406202331643078</v>
      </c>
      <c r="S562" s="154">
        <f t="shared" si="169"/>
        <v>8.8944685418691067E-4</v>
      </c>
      <c r="T562" s="152"/>
      <c r="U562" s="150">
        <f t="shared" si="181"/>
        <v>0</v>
      </c>
      <c r="V562" s="150">
        <f t="shared" si="182"/>
        <v>0</v>
      </c>
      <c r="W562" s="168">
        <f t="shared" si="183"/>
        <v>0</v>
      </c>
      <c r="X562" s="163">
        <f t="shared" si="170"/>
        <v>1593.7976683569223</v>
      </c>
      <c r="Y562" s="152"/>
      <c r="Z562" s="164">
        <f>IF(AND($C561=12,$D561=Input!$C$6),0,IF($E562="","",V562+Z563/(1+L562)*R562))</f>
        <v>129161.93859939826</v>
      </c>
      <c r="AA562" s="164">
        <f>IF(OR($M562=1,AND($C561=12,$D561=Input!$C$6)),0,IF($E562="","",W562+(X562+AA563*$R562)/(1+$L562)))</f>
        <v>62033.638109514432</v>
      </c>
      <c r="AB562" s="160">
        <f t="shared" si="171"/>
        <v>0.825720328500681</v>
      </c>
      <c r="AC562" s="164">
        <f t="shared" si="172"/>
        <v>0</v>
      </c>
      <c r="AD562" s="164">
        <f>IF(AND($C561=12,$D561=Input!$C$6),0,IF($E562="","",$AC562+AD563/(1+$L562)*$R562))</f>
        <v>106651.63837007991</v>
      </c>
      <c r="AE562" s="152"/>
      <c r="AF562" s="164">
        <f>IF(AND($C561=12,$D561=Input!$C$6),0,IF($E562="","",IF($B562&gt;Input!$C$9,$AC562,0)+AF563/(1+$L562)*$R562))</f>
        <v>106651.63837007991</v>
      </c>
      <c r="AG562" s="164">
        <f>IF(AND($C561=12,$D561=Input!$C$6),0,IF($E562="","",(IF($B562&gt;Input!$C$9,$X562,0)+AG563)/(1+$L562)*$R562))</f>
        <v>60226.554230370879</v>
      </c>
      <c r="AH562" s="160">
        <f t="shared" si="173"/>
        <v>2.0950137211446997</v>
      </c>
      <c r="AI562" s="160">
        <f>IF($E562="","",MIN(Input!$C$61/AH562,1))</f>
        <v>0.64438718771845094</v>
      </c>
      <c r="AJ562" s="152"/>
      <c r="AK562" s="164">
        <f>IF(AND($C561=12,$D561=Input!$C$6),0,IF($E562="","",IF($B562&gt;Input!$C$9,$AC562*AI562,0)+AK563/(1+$L562)*$R562))</f>
        <v>68724.949314860991</v>
      </c>
      <c r="AL562" s="164">
        <f>IF(AND($C561=12,$D561=Input!$C$6),0,IF($E562="","",IF($B562&gt;Input!$C$9,0,$AC562)+AL563/(1+$L562)*$R562))</f>
        <v>0</v>
      </c>
      <c r="AM562" s="160">
        <f t="shared" si="174"/>
        <v>1.1382936520186004</v>
      </c>
      <c r="AN562" s="164">
        <f>IF($E562="","",IF($B562&gt;Input!$C$9,$AI562*$AC562,$AM562*$AC562))</f>
        <v>0</v>
      </c>
      <c r="AO562" s="164">
        <f>IF(AND($C561=12,$D561=Input!$C$6),0,IF($E562="","",$AN562+AO563/(1+$L562)*$R562))</f>
        <v>68724.949314860991</v>
      </c>
      <c r="AP562" s="152"/>
      <c r="AQ562" s="164">
        <f t="shared" si="175"/>
        <v>-6691.3112053465593</v>
      </c>
      <c r="AR562" s="164">
        <f t="shared" si="184"/>
        <v>-6132.9496199687146</v>
      </c>
      <c r="AS562" s="164">
        <f t="shared" si="185"/>
        <v>8389.952153110049</v>
      </c>
      <c r="AT562" s="164">
        <f t="shared" si="176"/>
        <v>8389.952153110049</v>
      </c>
      <c r="AU562" s="152"/>
      <c r="AV562" s="147">
        <f>'Deterministic Reserve'!BC562</f>
        <v>1.7630329309626243E-4</v>
      </c>
      <c r="AW562" s="164">
        <f t="shared" si="177"/>
        <v>8389.952153110049</v>
      </c>
      <c r="AX562" s="164">
        <f t="shared" si="178"/>
        <v>1.4791761935133789</v>
      </c>
      <c r="AY562" s="152"/>
    </row>
    <row r="563" spans="1:51" s="150" customFormat="1" x14ac:dyDescent="0.25">
      <c r="A563" s="150">
        <f t="shared" si="186"/>
        <v>559</v>
      </c>
      <c r="B563" s="150">
        <f t="shared" si="187"/>
        <v>47</v>
      </c>
      <c r="C563" s="150">
        <f t="shared" si="188"/>
        <v>7</v>
      </c>
      <c r="D563" s="150">
        <f>IF(E563="","",Input!$C$4+B563-1)</f>
        <v>91</v>
      </c>
      <c r="E563" s="150">
        <f>IF(OR(AND(C562=12,D562=Input!$C$6),E562=""),"",1)</f>
        <v>1</v>
      </c>
      <c r="F563" s="150">
        <f>IF(E563="","",Input!$C$8+B563-1)</f>
        <v>2064</v>
      </c>
      <c r="G563" s="151">
        <f>IF(E563="","",MAX(0,Input!$C$9-B563))</f>
        <v>0</v>
      </c>
      <c r="H563" s="152">
        <f>IF(E563="","",Input!$C$3)</f>
        <v>100000</v>
      </c>
      <c r="I563" s="153">
        <f>IF(E563="","",HLOOKUP($B563,Input!$C$13:$BT$14,2))</f>
        <v>429.60750000000002</v>
      </c>
      <c r="J563" s="154"/>
      <c r="K563" s="155">
        <f>IF($E563="","",Input!$C$57)</f>
        <v>4.4999999999999998E-2</v>
      </c>
      <c r="L563" s="155">
        <f t="shared" si="179"/>
        <v>3.6748094004368514E-3</v>
      </c>
      <c r="M563" s="147">
        <f>IF($E563="","",VLOOKUP(IF($B563&lt;=Input!$C$7,$B563,26),'Mortality Tables'!$A$72:$CA$97,IF($B563&lt;=Input!$C$7+1,Input!$C$4-16,$D563-Input!$C$7-16),0)/1000)</f>
        <v>0.17535000000000001</v>
      </c>
      <c r="N563" s="147">
        <f t="shared" si="168"/>
        <v>1.5937976683569222E-2</v>
      </c>
      <c r="O563" s="157">
        <f>IF($E563="","",IF($C563=12,IF($B563&lt;Input!$C$9,Input!$C$54,IF($B563=Input!$C$9,Input!$C$55,Input!$C$56)),0%))</f>
        <v>0</v>
      </c>
      <c r="P563" s="167">
        <f>IF($E563="","",IF($B563=1,Input!$C$59,IF($B563&lt;6,Input!$C$60,0%)))</f>
        <v>0</v>
      </c>
      <c r="Q563" s="162">
        <f>IF($E563="","",Input!$C$58)</f>
        <v>2.5</v>
      </c>
      <c r="R563" s="156">
        <f t="shared" si="180"/>
        <v>0.98406202331643078</v>
      </c>
      <c r="S563" s="154">
        <f t="shared" si="169"/>
        <v>8.7527087096360564E-4</v>
      </c>
      <c r="T563" s="152"/>
      <c r="U563" s="150">
        <f t="shared" si="181"/>
        <v>0</v>
      </c>
      <c r="V563" s="150">
        <f t="shared" si="182"/>
        <v>0</v>
      </c>
      <c r="W563" s="168">
        <f t="shared" si="183"/>
        <v>0</v>
      </c>
      <c r="X563" s="163">
        <f t="shared" si="170"/>
        <v>1593.7976683569223</v>
      </c>
      <c r="Y563" s="152"/>
      <c r="Z563" s="164">
        <f>IF(AND($C562=12,$D562=Input!$C$6),0,IF($E563="","",V563+Z564/(1+L563)*R563))</f>
        <v>131736.19246950312</v>
      </c>
      <c r="AA563" s="164">
        <f>IF(OR($M563=1,AND($C562=12,$D562=Input!$C$6)),0,IF($E563="","",W563+(X563+AA564*$R563)/(1+$L563)))</f>
        <v>61650.38463039801</v>
      </c>
      <c r="AB563" s="160">
        <f t="shared" si="171"/>
        <v>0.825720328500681</v>
      </c>
      <c r="AC563" s="164">
        <f t="shared" si="172"/>
        <v>0</v>
      </c>
      <c r="AD563" s="164">
        <f>IF(AND($C562=12,$D562=Input!$C$6),0,IF($E563="","",$AC563+AD564/(1+$L563)*$R563))</f>
        <v>108777.25212134703</v>
      </c>
      <c r="AE563" s="152"/>
      <c r="AF563" s="164">
        <f>IF(AND($C562=12,$D562=Input!$C$6),0,IF($E563="","",IF($B563&gt;Input!$C$9,$AC563,0)+AF564/(1+$L563)*$R563))</f>
        <v>108777.25212134703</v>
      </c>
      <c r="AG563" s="164">
        <f>IF(AND($C562=12,$D562=Input!$C$6),0,IF($E563="","",(IF($B563&gt;Input!$C$9,$X563,0)+AG564)/(1+$L563)*$R563))</f>
        <v>59833.09810219067</v>
      </c>
      <c r="AH563" s="160">
        <f t="shared" si="173"/>
        <v>2.0950137211446997</v>
      </c>
      <c r="AI563" s="160">
        <f>IF($E563="","",MIN(Input!$C$61/AH563,1))</f>
        <v>0.64438718771845094</v>
      </c>
      <c r="AJ563" s="152"/>
      <c r="AK563" s="164">
        <f>IF(AND($C562=12,$D562=Input!$C$6),0,IF($E563="","",IF($B563&gt;Input!$C$9,$AC563*AI563,0)+AK564/(1+$L563)*$R563))</f>
        <v>70094.667582215683</v>
      </c>
      <c r="AL563" s="164">
        <f>IF(AND($C562=12,$D562=Input!$C$6),0,IF($E563="","",IF($B563&gt;Input!$C$9,0,$AC563)+AL564/(1+$L563)*$R563))</f>
        <v>0</v>
      </c>
      <c r="AM563" s="160">
        <f t="shared" si="174"/>
        <v>1.1382936520186004</v>
      </c>
      <c r="AN563" s="164">
        <f>IF($E563="","",IF($B563&gt;Input!$C$9,$AI563*$AC563,$AM563*$AC563))</f>
        <v>0</v>
      </c>
      <c r="AO563" s="164">
        <f>IF(AND($C562=12,$D562=Input!$C$6),0,IF($E563="","",$AN563+AO564/(1+$L563)*$R563))</f>
        <v>70094.667582215683</v>
      </c>
      <c r="AP563" s="152"/>
      <c r="AQ563" s="164">
        <f t="shared" si="175"/>
        <v>-8444.2829518176732</v>
      </c>
      <c r="AR563" s="164">
        <f t="shared" si="184"/>
        <v>-6132.9496199687146</v>
      </c>
      <c r="AS563" s="164">
        <f t="shared" si="185"/>
        <v>8389.952153110049</v>
      </c>
      <c r="AT563" s="164">
        <f t="shared" si="176"/>
        <v>8389.952153110049</v>
      </c>
      <c r="AU563" s="152"/>
      <c r="AV563" s="147">
        <f>'Deterministic Reserve'!BC563</f>
        <v>1.6935152989486991E-4</v>
      </c>
      <c r="AW563" s="164">
        <f t="shared" si="177"/>
        <v>8389.952153110049</v>
      </c>
      <c r="AX563" s="164">
        <f t="shared" si="178"/>
        <v>1.4208512328739447</v>
      </c>
      <c r="AY563" s="152"/>
    </row>
    <row r="564" spans="1:51" s="150" customFormat="1" x14ac:dyDescent="0.25">
      <c r="A564" s="150">
        <f t="shared" si="186"/>
        <v>560</v>
      </c>
      <c r="B564" s="150">
        <f t="shared" si="187"/>
        <v>47</v>
      </c>
      <c r="C564" s="150">
        <f t="shared" si="188"/>
        <v>8</v>
      </c>
      <c r="D564" s="150">
        <f>IF(E564="","",Input!$C$4+B564-1)</f>
        <v>91</v>
      </c>
      <c r="E564" s="150">
        <f>IF(OR(AND(C563=12,D563=Input!$C$6),E563=""),"",1)</f>
        <v>1</v>
      </c>
      <c r="F564" s="150">
        <f>IF(E564="","",Input!$C$8+B564-1)</f>
        <v>2064</v>
      </c>
      <c r="G564" s="151">
        <f>IF(E564="","",MAX(0,Input!$C$9-B564))</f>
        <v>0</v>
      </c>
      <c r="H564" s="152">
        <f>IF(E564="","",Input!$C$3)</f>
        <v>100000</v>
      </c>
      <c r="I564" s="153">
        <f>IF(E564="","",HLOOKUP($B564,Input!$C$13:$BT$14,2))</f>
        <v>429.60750000000002</v>
      </c>
      <c r="J564" s="154"/>
      <c r="K564" s="155">
        <f>IF($E564="","",Input!$C$57)</f>
        <v>4.4999999999999998E-2</v>
      </c>
      <c r="L564" s="155">
        <f t="shared" si="179"/>
        <v>3.6748094004368514E-3</v>
      </c>
      <c r="M564" s="147">
        <f>IF($E564="","",VLOOKUP(IF($B564&lt;=Input!$C$7,$B564,26),'Mortality Tables'!$A$72:$CA$97,IF($B564&lt;=Input!$C$7+1,Input!$C$4-16,$D564-Input!$C$7-16),0)/1000)</f>
        <v>0.17535000000000001</v>
      </c>
      <c r="N564" s="147">
        <f t="shared" si="168"/>
        <v>1.5937976683569222E-2</v>
      </c>
      <c r="O564" s="157">
        <f>IF($E564="","",IF($C564=12,IF($B564&lt;Input!$C$9,Input!$C$54,IF($B564=Input!$C$9,Input!$C$55,Input!$C$56)),0%))</f>
        <v>0</v>
      </c>
      <c r="P564" s="167">
        <f>IF($E564="","",IF($B564=1,Input!$C$59,IF($B564&lt;6,Input!$C$60,0%)))</f>
        <v>0</v>
      </c>
      <c r="Q564" s="162">
        <f>IF($E564="","",Input!$C$58)</f>
        <v>2.5</v>
      </c>
      <c r="R564" s="156">
        <f t="shared" si="180"/>
        <v>0.98406202331643078</v>
      </c>
      <c r="S564" s="154">
        <f t="shared" si="169"/>
        <v>8.613208242303804E-4</v>
      </c>
      <c r="T564" s="152"/>
      <c r="U564" s="150">
        <f t="shared" si="181"/>
        <v>0</v>
      </c>
      <c r="V564" s="150">
        <f t="shared" si="182"/>
        <v>0</v>
      </c>
      <c r="W564" s="168">
        <f t="shared" si="183"/>
        <v>0</v>
      </c>
      <c r="X564" s="163">
        <f t="shared" si="170"/>
        <v>1593.7976683569223</v>
      </c>
      <c r="Y564" s="152"/>
      <c r="Z564" s="164">
        <f>IF(AND($C563=12,$D563=Input!$C$6),0,IF($E564="","",V564+Z565/(1+L564)*R564))</f>
        <v>134361.75234398982</v>
      </c>
      <c r="AA564" s="164">
        <f>IF(OR($M564=1,AND($C563=12,$D563=Input!$C$6)),0,IF($E564="","",W564+(X564+AA565*$R564)/(1+$L564)))</f>
        <v>61259.492741990543</v>
      </c>
      <c r="AB564" s="160">
        <f t="shared" si="171"/>
        <v>0.825720328500681</v>
      </c>
      <c r="AC564" s="164">
        <f t="shared" si="172"/>
        <v>0</v>
      </c>
      <c r="AD564" s="164">
        <f>IF(AND($C563=12,$D563=Input!$C$6),0,IF($E564="","",$AC564+AD565/(1+$L564)*$R564))</f>
        <v>110945.23028340639</v>
      </c>
      <c r="AE564" s="152"/>
      <c r="AF564" s="164">
        <f>IF(AND($C563=12,$D563=Input!$C$6),0,IF($E564="","",IF($B564&gt;Input!$C$9,$AC564,0)+AF565/(1+$L564)*$R564))</f>
        <v>110945.23028340639</v>
      </c>
      <c r="AG564" s="164">
        <f>IF(AND($C563=12,$D563=Input!$C$6),0,IF($E564="","",(IF($B564&gt;Input!$C$9,$X564,0)+AG565)/(1+$L564)*$R564))</f>
        <v>59431.800221465804</v>
      </c>
      <c r="AH564" s="160">
        <f t="shared" si="173"/>
        <v>2.0950137211446997</v>
      </c>
      <c r="AI564" s="160">
        <f>IF($E564="","",MIN(Input!$C$61/AH564,1))</f>
        <v>0.64438718771845094</v>
      </c>
      <c r="AJ564" s="152"/>
      <c r="AK564" s="164">
        <f>IF(AND($C563=12,$D563=Input!$C$6),0,IF($E564="","",IF($B564&gt;Input!$C$9,$AC564*AI564,0)+AK565/(1+$L564)*$R564))</f>
        <v>71491.684933100143</v>
      </c>
      <c r="AL564" s="164">
        <f>IF(AND($C563=12,$D563=Input!$C$6),0,IF($E564="","",IF($B564&gt;Input!$C$9,0,$AC564)+AL565/(1+$L564)*$R564))</f>
        <v>0</v>
      </c>
      <c r="AM564" s="160">
        <f t="shared" si="174"/>
        <v>1.1382936520186004</v>
      </c>
      <c r="AN564" s="164">
        <f>IF($E564="","",IF($B564&gt;Input!$C$9,$AI564*$AC564,$AM564*$AC564))</f>
        <v>0</v>
      </c>
      <c r="AO564" s="164">
        <f>IF(AND($C563=12,$D563=Input!$C$6),0,IF($E564="","",$AN564+AO565/(1+$L564)*$R564))</f>
        <v>71491.684933100143</v>
      </c>
      <c r="AP564" s="152"/>
      <c r="AQ564" s="164">
        <f t="shared" si="175"/>
        <v>-10232.1921911096</v>
      </c>
      <c r="AR564" s="164">
        <f t="shared" si="184"/>
        <v>-6132.9496199687146</v>
      </c>
      <c r="AS564" s="164">
        <f t="shared" si="185"/>
        <v>8389.952153110049</v>
      </c>
      <c r="AT564" s="164">
        <f t="shared" si="176"/>
        <v>8389.952153110049</v>
      </c>
      <c r="AU564" s="152"/>
      <c r="AV564" s="147">
        <f>'Deterministic Reserve'!BC564</f>
        <v>1.6267387961989817E-4</v>
      </c>
      <c r="AW564" s="164">
        <f t="shared" si="177"/>
        <v>8389.952153110049</v>
      </c>
      <c r="AX564" s="164">
        <f t="shared" si="178"/>
        <v>1.3648260665717296</v>
      </c>
      <c r="AY564" s="152"/>
    </row>
    <row r="565" spans="1:51" s="150" customFormat="1" x14ac:dyDescent="0.25">
      <c r="A565" s="150">
        <f t="shared" si="186"/>
        <v>561</v>
      </c>
      <c r="B565" s="150">
        <f t="shared" si="187"/>
        <v>47</v>
      </c>
      <c r="C565" s="150">
        <f t="shared" si="188"/>
        <v>9</v>
      </c>
      <c r="D565" s="150">
        <f>IF(E565="","",Input!$C$4+B565-1)</f>
        <v>91</v>
      </c>
      <c r="E565" s="150">
        <f>IF(OR(AND(C564=12,D564=Input!$C$6),E564=""),"",1)</f>
        <v>1</v>
      </c>
      <c r="F565" s="150">
        <f>IF(E565="","",Input!$C$8+B565-1)</f>
        <v>2064</v>
      </c>
      <c r="G565" s="151">
        <f>IF(E565="","",MAX(0,Input!$C$9-B565))</f>
        <v>0</v>
      </c>
      <c r="H565" s="152">
        <f>IF(E565="","",Input!$C$3)</f>
        <v>100000</v>
      </c>
      <c r="I565" s="153">
        <f>IF(E565="","",HLOOKUP($B565,Input!$C$13:$BT$14,2))</f>
        <v>429.60750000000002</v>
      </c>
      <c r="J565" s="154"/>
      <c r="K565" s="155">
        <f>IF($E565="","",Input!$C$57)</f>
        <v>4.4999999999999998E-2</v>
      </c>
      <c r="L565" s="155">
        <f t="shared" si="179"/>
        <v>3.6748094004368514E-3</v>
      </c>
      <c r="M565" s="147">
        <f>IF($E565="","",VLOOKUP(IF($B565&lt;=Input!$C$7,$B565,26),'Mortality Tables'!$A$72:$CA$97,IF($B565&lt;=Input!$C$7+1,Input!$C$4-16,$D565-Input!$C$7-16),0)/1000)</f>
        <v>0.17535000000000001</v>
      </c>
      <c r="N565" s="147">
        <f t="shared" si="168"/>
        <v>1.5937976683569222E-2</v>
      </c>
      <c r="O565" s="157">
        <f>IF($E565="","",IF($C565=12,IF($B565&lt;Input!$C$9,Input!$C$54,IF($B565=Input!$C$9,Input!$C$55,Input!$C$56)),0%))</f>
        <v>0</v>
      </c>
      <c r="P565" s="167">
        <f>IF($E565="","",IF($B565=1,Input!$C$59,IF($B565&lt;6,Input!$C$60,0%)))</f>
        <v>0</v>
      </c>
      <c r="Q565" s="162">
        <f>IF($E565="","",Input!$C$58)</f>
        <v>2.5</v>
      </c>
      <c r="R565" s="156">
        <f t="shared" si="180"/>
        <v>0.98406202331643078</v>
      </c>
      <c r="S565" s="154">
        <f t="shared" si="169"/>
        <v>8.4759311301672402E-4</v>
      </c>
      <c r="T565" s="152"/>
      <c r="U565" s="150">
        <f t="shared" si="181"/>
        <v>0</v>
      </c>
      <c r="V565" s="150">
        <f t="shared" si="182"/>
        <v>0</v>
      </c>
      <c r="W565" s="168">
        <f t="shared" si="183"/>
        <v>0</v>
      </c>
      <c r="X565" s="163">
        <f t="shared" si="170"/>
        <v>1593.7976683569223</v>
      </c>
      <c r="Y565" s="152"/>
      <c r="Z565" s="164">
        <f>IF(AND($C564=12,$D564=Input!$C$6),0,IF($E565="","",V565+Z566/(1+L565)*R565))</f>
        <v>137039.64077394246</v>
      </c>
      <c r="AA565" s="164">
        <f>IF(OR($M565=1,AND($C564=12,$D564=Input!$C$6)),0,IF($E565="","",W565+(X565+AA566*$R565)/(1+$L565)))</f>
        <v>60860.810207457471</v>
      </c>
      <c r="AB565" s="160">
        <f t="shared" si="171"/>
        <v>0.825720328500681</v>
      </c>
      <c r="AC565" s="164">
        <f t="shared" si="172"/>
        <v>0</v>
      </c>
      <c r="AD565" s="164">
        <f>IF(AND($C564=12,$D564=Input!$C$6),0,IF($E565="","",$AC565+AD566/(1+$L565)*$R565))</f>
        <v>113156.41719747506</v>
      </c>
      <c r="AE565" s="152"/>
      <c r="AF565" s="164">
        <f>IF(AND($C564=12,$D564=Input!$C$6),0,IF($E565="","",IF($B565&gt;Input!$C$9,$AC565,0)+AF566/(1+$L565)*$R565))</f>
        <v>113156.41719747506</v>
      </c>
      <c r="AG565" s="164">
        <f>IF(AND($C564=12,$D564=Input!$C$6),0,IF($E565="","",(IF($B565&gt;Input!$C$9,$X565,0)+AG566)/(1+$L565)*$R565))</f>
        <v>59022.504298641827</v>
      </c>
      <c r="AH565" s="160">
        <f t="shared" si="173"/>
        <v>2.0950137211446997</v>
      </c>
      <c r="AI565" s="160">
        <f>IF($E565="","",MIN(Input!$C$61/AH565,1))</f>
        <v>0.64438718771845094</v>
      </c>
      <c r="AJ565" s="152"/>
      <c r="AK565" s="164">
        <f>IF(AND($C564=12,$D564=Input!$C$6),0,IF($E565="","",IF($B565&gt;Input!$C$9,$AC565*AI565,0)+AK566/(1+$L565)*$R565))</f>
        <v>72916.545450176709</v>
      </c>
      <c r="AL565" s="164">
        <f>IF(AND($C564=12,$D564=Input!$C$6),0,IF($E565="","",IF($B565&gt;Input!$C$9,0,$AC565)+AL566/(1+$L565)*$R565))</f>
        <v>0</v>
      </c>
      <c r="AM565" s="160">
        <f t="shared" si="174"/>
        <v>1.1382936520186004</v>
      </c>
      <c r="AN565" s="164">
        <f>IF($E565="","",IF($B565&gt;Input!$C$9,$AI565*$AC565,$AM565*$AC565))</f>
        <v>0</v>
      </c>
      <c r="AO565" s="164">
        <f>IF(AND($C564=12,$D564=Input!$C$6),0,IF($E565="","",$AN565+AO566/(1+$L565)*$R565))</f>
        <v>72916.545450176709</v>
      </c>
      <c r="AP565" s="152"/>
      <c r="AQ565" s="164">
        <f t="shared" si="175"/>
        <v>-12055.735242719238</v>
      </c>
      <c r="AR565" s="164">
        <f t="shared" si="184"/>
        <v>-6132.9496199687146</v>
      </c>
      <c r="AS565" s="164">
        <f t="shared" si="185"/>
        <v>8389.952153110049</v>
      </c>
      <c r="AT565" s="164">
        <f t="shared" si="176"/>
        <v>8389.952153110049</v>
      </c>
      <c r="AU565" s="152"/>
      <c r="AV565" s="147">
        <f>'Deterministic Reserve'!BC565</f>
        <v>1.5625953380531431E-4</v>
      </c>
      <c r="AW565" s="164">
        <f t="shared" si="177"/>
        <v>8389.952153110049</v>
      </c>
      <c r="AX565" s="164">
        <f t="shared" si="178"/>
        <v>1.3110100120938692</v>
      </c>
      <c r="AY565" s="152"/>
    </row>
    <row r="566" spans="1:51" s="150" customFormat="1" x14ac:dyDescent="0.25">
      <c r="A566" s="150">
        <f t="shared" si="186"/>
        <v>562</v>
      </c>
      <c r="B566" s="150">
        <f t="shared" si="187"/>
        <v>47</v>
      </c>
      <c r="C566" s="150">
        <f t="shared" si="188"/>
        <v>10</v>
      </c>
      <c r="D566" s="150">
        <f>IF(E566="","",Input!$C$4+B566-1)</f>
        <v>91</v>
      </c>
      <c r="E566" s="150">
        <f>IF(OR(AND(C565=12,D565=Input!$C$6),E565=""),"",1)</f>
        <v>1</v>
      </c>
      <c r="F566" s="150">
        <f>IF(E566="","",Input!$C$8+B566-1)</f>
        <v>2064</v>
      </c>
      <c r="G566" s="151">
        <f>IF(E566="","",MAX(0,Input!$C$9-B566))</f>
        <v>0</v>
      </c>
      <c r="H566" s="152">
        <f>IF(E566="","",Input!$C$3)</f>
        <v>100000</v>
      </c>
      <c r="I566" s="153">
        <f>IF(E566="","",HLOOKUP($B566,Input!$C$13:$BT$14,2))</f>
        <v>429.60750000000002</v>
      </c>
      <c r="J566" s="154"/>
      <c r="K566" s="155">
        <f>IF($E566="","",Input!$C$57)</f>
        <v>4.4999999999999998E-2</v>
      </c>
      <c r="L566" s="155">
        <f t="shared" si="179"/>
        <v>3.6748094004368514E-3</v>
      </c>
      <c r="M566" s="147">
        <f>IF($E566="","",VLOOKUP(IF($B566&lt;=Input!$C$7,$B566,26),'Mortality Tables'!$A$72:$CA$97,IF($B566&lt;=Input!$C$7+1,Input!$C$4-16,$D566-Input!$C$7-16),0)/1000)</f>
        <v>0.17535000000000001</v>
      </c>
      <c r="N566" s="147">
        <f t="shared" si="168"/>
        <v>1.5937976683569222E-2</v>
      </c>
      <c r="O566" s="157">
        <f>IF($E566="","",IF($C566=12,IF($B566&lt;Input!$C$9,Input!$C$54,IF($B566=Input!$C$9,Input!$C$55,Input!$C$56)),0%))</f>
        <v>0</v>
      </c>
      <c r="P566" s="167">
        <f>IF($E566="","",IF($B566=1,Input!$C$59,IF($B566&lt;6,Input!$C$60,0%)))</f>
        <v>0</v>
      </c>
      <c r="Q566" s="162">
        <f>IF($E566="","",Input!$C$58)</f>
        <v>2.5</v>
      </c>
      <c r="R566" s="156">
        <f t="shared" si="180"/>
        <v>0.98406202331643078</v>
      </c>
      <c r="S566" s="154">
        <f t="shared" si="169"/>
        <v>8.3408419374430957E-4</v>
      </c>
      <c r="T566" s="152"/>
      <c r="U566" s="150">
        <f t="shared" si="181"/>
        <v>0</v>
      </c>
      <c r="V566" s="150">
        <f t="shared" si="182"/>
        <v>0</v>
      </c>
      <c r="W566" s="168">
        <f t="shared" si="183"/>
        <v>0</v>
      </c>
      <c r="X566" s="163">
        <f t="shared" si="170"/>
        <v>1593.7976683569223</v>
      </c>
      <c r="Y566" s="152"/>
      <c r="Z566" s="164">
        <f>IF(AND($C565=12,$D565=Input!$C$6),0,IF($E566="","",V566+Z567/(1+L566)*R566))</f>
        <v>139770.90069033505</v>
      </c>
      <c r="AA566" s="164">
        <f>IF(OR($M566=1,AND($C565=12,$D565=Input!$C$6)),0,IF($E566="","",W566+(X566+AA567*$R566)/(1+$L566)))</f>
        <v>60454.181755817597</v>
      </c>
      <c r="AB566" s="160">
        <f t="shared" si="171"/>
        <v>0.825720328500681</v>
      </c>
      <c r="AC566" s="164">
        <f t="shared" si="172"/>
        <v>0</v>
      </c>
      <c r="AD566" s="164">
        <f>IF(AND($C565=12,$D565=Input!$C$6),0,IF($E566="","",$AC566+AD567/(1+$L566)*$R566))</f>
        <v>115411.6740328595</v>
      </c>
      <c r="AE566" s="152"/>
      <c r="AF566" s="164">
        <f>IF(AND($C565=12,$D565=Input!$C$6),0,IF($E566="","",IF($B566&gt;Input!$C$9,$AC566,0)+AF567/(1+$L566)*$R566))</f>
        <v>115411.6740328595</v>
      </c>
      <c r="AG566" s="164">
        <f>IF(AND($C565=12,$D565=Input!$C$6),0,IF($E566="","",(IF($B566&gt;Input!$C$9,$X566,0)+AG567)/(1+$L566)*$R566))</f>
        <v>58605.050929245175</v>
      </c>
      <c r="AH566" s="160">
        <f t="shared" si="173"/>
        <v>2.0950137211446997</v>
      </c>
      <c r="AI566" s="160">
        <f>IF($E566="","",MIN(Input!$C$61/AH566,1))</f>
        <v>0.64438718771845094</v>
      </c>
      <c r="AJ566" s="152"/>
      <c r="AK566" s="164">
        <f>IF(AND($C565=12,$D565=Input!$C$6),0,IF($E566="","",IF($B566&gt;Input!$C$9,$AC566*AI566,0)+AK567/(1+$L566)*$R566))</f>
        <v>74369.804059912902</v>
      </c>
      <c r="AL566" s="164">
        <f>IF(AND($C565=12,$D565=Input!$C$6),0,IF($E566="","",IF($B566&gt;Input!$C$9,0,$AC566)+AL567/(1+$L566)*$R566))</f>
        <v>0</v>
      </c>
      <c r="AM566" s="160">
        <f t="shared" si="174"/>
        <v>1.1382936520186004</v>
      </c>
      <c r="AN566" s="164">
        <f>IF($E566="","",IF($B566&gt;Input!$C$9,$AI566*$AC566,$AM566*$AC566))</f>
        <v>0</v>
      </c>
      <c r="AO566" s="164">
        <f>IF(AND($C565=12,$D565=Input!$C$6),0,IF($E566="","",$AN566+AO567/(1+$L566)*$R566))</f>
        <v>74369.804059912902</v>
      </c>
      <c r="AP566" s="152"/>
      <c r="AQ566" s="164">
        <f t="shared" si="175"/>
        <v>-13915.622304095305</v>
      </c>
      <c r="AR566" s="164">
        <f t="shared" si="184"/>
        <v>-6132.9496199687146</v>
      </c>
      <c r="AS566" s="164">
        <f t="shared" si="185"/>
        <v>8389.952153110049</v>
      </c>
      <c r="AT566" s="164">
        <f t="shared" si="176"/>
        <v>8389.952153110049</v>
      </c>
      <c r="AU566" s="152"/>
      <c r="AV566" s="147">
        <f>'Deterministic Reserve'!BC566</f>
        <v>1.5009811017052481E-4</v>
      </c>
      <c r="AW566" s="164">
        <f t="shared" si="177"/>
        <v>8389.952153110049</v>
      </c>
      <c r="AX566" s="164">
        <f t="shared" si="178"/>
        <v>1.259315962602944</v>
      </c>
      <c r="AY566" s="152"/>
    </row>
    <row r="567" spans="1:51" s="150" customFormat="1" x14ac:dyDescent="0.25">
      <c r="A567" s="150">
        <f t="shared" si="186"/>
        <v>563</v>
      </c>
      <c r="B567" s="150">
        <f t="shared" si="187"/>
        <v>47</v>
      </c>
      <c r="C567" s="150">
        <f t="shared" si="188"/>
        <v>11</v>
      </c>
      <c r="D567" s="150">
        <f>IF(E567="","",Input!$C$4+B567-1)</f>
        <v>91</v>
      </c>
      <c r="E567" s="150">
        <f>IF(OR(AND(C566=12,D566=Input!$C$6),E566=""),"",1)</f>
        <v>1</v>
      </c>
      <c r="F567" s="150">
        <f>IF(E567="","",Input!$C$8+B567-1)</f>
        <v>2064</v>
      </c>
      <c r="G567" s="151">
        <f>IF(E567="","",MAX(0,Input!$C$9-B567))</f>
        <v>0</v>
      </c>
      <c r="H567" s="152">
        <f>IF(E567="","",Input!$C$3)</f>
        <v>100000</v>
      </c>
      <c r="I567" s="153">
        <f>IF(E567="","",HLOOKUP($B567,Input!$C$13:$BT$14,2))</f>
        <v>429.60750000000002</v>
      </c>
      <c r="J567" s="154"/>
      <c r="K567" s="155">
        <f>IF($E567="","",Input!$C$57)</f>
        <v>4.4999999999999998E-2</v>
      </c>
      <c r="L567" s="155">
        <f t="shared" si="179"/>
        <v>3.6748094004368514E-3</v>
      </c>
      <c r="M567" s="147">
        <f>IF($E567="","",VLOOKUP(IF($B567&lt;=Input!$C$7,$B567,26),'Mortality Tables'!$A$72:$CA$97,IF($B567&lt;=Input!$C$7+1,Input!$C$4-16,$D567-Input!$C$7-16),0)/1000)</f>
        <v>0.17535000000000001</v>
      </c>
      <c r="N567" s="147">
        <f t="shared" si="168"/>
        <v>1.5937976683569222E-2</v>
      </c>
      <c r="O567" s="157">
        <f>IF($E567="","",IF($C567=12,IF($B567&lt;Input!$C$9,Input!$C$54,IF($B567=Input!$C$9,Input!$C$55,Input!$C$56)),0%))</f>
        <v>0</v>
      </c>
      <c r="P567" s="167">
        <f>IF($E567="","",IF($B567=1,Input!$C$59,IF($B567&lt;6,Input!$C$60,0%)))</f>
        <v>0</v>
      </c>
      <c r="Q567" s="162">
        <f>IF($E567="","",Input!$C$58)</f>
        <v>2.5</v>
      </c>
      <c r="R567" s="156">
        <f t="shared" si="180"/>
        <v>0.98406202331643078</v>
      </c>
      <c r="S567" s="154">
        <f t="shared" si="169"/>
        <v>8.2079057931227909E-4</v>
      </c>
      <c r="T567" s="152"/>
      <c r="U567" s="150">
        <f t="shared" si="181"/>
        <v>0</v>
      </c>
      <c r="V567" s="150">
        <f t="shared" si="182"/>
        <v>0</v>
      </c>
      <c r="W567" s="168">
        <f t="shared" si="183"/>
        <v>0</v>
      </c>
      <c r="X567" s="163">
        <f t="shared" si="170"/>
        <v>1593.7976683569223</v>
      </c>
      <c r="Y567" s="152"/>
      <c r="Z567" s="164">
        <f>IF(AND($C566=12,$D566=Input!$C$6),0,IF($E567="","",V567+Z568/(1+L567)*R567))</f>
        <v>142556.59581021158</v>
      </c>
      <c r="AA567" s="164">
        <f>IF(OR($M567=1,AND($C566=12,$D566=Input!$C$6)),0,IF($E567="","",W567+(X567+AA568*$R567)/(1+$L567)))</f>
        <v>60039.449021471228</v>
      </c>
      <c r="AB567" s="160">
        <f t="shared" si="171"/>
        <v>0.825720328500681</v>
      </c>
      <c r="AC567" s="164">
        <f t="shared" si="172"/>
        <v>0</v>
      </c>
      <c r="AD567" s="164">
        <f>IF(AND($C566=12,$D566=Input!$C$6),0,IF($E567="","",$AC567+AD568/(1+$L567)*$R567))</f>
        <v>117711.87912234668</v>
      </c>
      <c r="AE567" s="152"/>
      <c r="AF567" s="164">
        <f>IF(AND($C566=12,$D566=Input!$C$6),0,IF($E567="","",IF($B567&gt;Input!$C$9,$AC567,0)+AF568/(1+$L567)*$R567))</f>
        <v>117711.87912234668</v>
      </c>
      <c r="AG567" s="164">
        <f>IF(AND($C566=12,$D566=Input!$C$6),0,IF($E567="","",(IF($B567&gt;Input!$C$9,$X567,0)+AG568)/(1+$L567)*$R567))</f>
        <v>58179.277531801483</v>
      </c>
      <c r="AH567" s="160">
        <f t="shared" si="173"/>
        <v>2.0950137211446997</v>
      </c>
      <c r="AI567" s="160">
        <f>IF($E567="","",MIN(Input!$C$61/AH567,1))</f>
        <v>0.64438718771845094</v>
      </c>
      <c r="AJ567" s="152"/>
      <c r="AK567" s="164">
        <f>IF(AND($C566=12,$D566=Input!$C$6),0,IF($E567="","",IF($B567&gt;Input!$C$9,$AC567*AI567,0)+AK568/(1+$L567)*$R567))</f>
        <v>75852.026748703225</v>
      </c>
      <c r="AL567" s="164">
        <f>IF(AND($C566=12,$D566=Input!$C$6),0,IF($E567="","",IF($B567&gt;Input!$C$9,0,$AC567)+AL568/(1+$L567)*$R567))</f>
        <v>0</v>
      </c>
      <c r="AM567" s="160">
        <f t="shared" si="174"/>
        <v>1.1382936520186004</v>
      </c>
      <c r="AN567" s="164">
        <f>IF($E567="","",IF($B567&gt;Input!$C$9,$AI567*$AC567,$AM567*$AC567))</f>
        <v>0</v>
      </c>
      <c r="AO567" s="164">
        <f>IF(AND($C566=12,$D566=Input!$C$6),0,IF($E567="","",$AN567+AO568/(1+$L567)*$R567))</f>
        <v>75852.026748703225</v>
      </c>
      <c r="AP567" s="152"/>
      <c r="AQ567" s="164">
        <f t="shared" si="175"/>
        <v>-15812.577727231997</v>
      </c>
      <c r="AR567" s="164">
        <f t="shared" si="184"/>
        <v>-6132.9496199687146</v>
      </c>
      <c r="AS567" s="164">
        <f t="shared" si="185"/>
        <v>8389.952153110049</v>
      </c>
      <c r="AT567" s="164">
        <f t="shared" si="176"/>
        <v>8389.952153110049</v>
      </c>
      <c r="AU567" s="152"/>
      <c r="AV567" s="147">
        <f>'Deterministic Reserve'!BC567</f>
        <v>1.4417963581558305E-4</v>
      </c>
      <c r="AW567" s="164">
        <f t="shared" si="177"/>
        <v>8389.952153110049</v>
      </c>
      <c r="AX567" s="164">
        <f t="shared" si="178"/>
        <v>1.2096602459455736</v>
      </c>
      <c r="AY567" s="152"/>
    </row>
    <row r="568" spans="1:51" s="150" customFormat="1" x14ac:dyDescent="0.25">
      <c r="A568" s="150">
        <f t="shared" si="186"/>
        <v>564</v>
      </c>
      <c r="B568" s="150">
        <f t="shared" si="187"/>
        <v>47</v>
      </c>
      <c r="C568" s="150">
        <f t="shared" si="188"/>
        <v>12</v>
      </c>
      <c r="D568" s="150">
        <f>IF(E568="","",Input!$C$4+B568-1)</f>
        <v>91</v>
      </c>
      <c r="E568" s="150">
        <f>IF(OR(AND(C567=12,D567=Input!$C$6),E567=""),"",1)</f>
        <v>1</v>
      </c>
      <c r="F568" s="150">
        <f>IF(E568="","",Input!$C$8+B568-1)</f>
        <v>2064</v>
      </c>
      <c r="G568" s="151">
        <f>IF(E568="","",MAX(0,Input!$C$9-B568))</f>
        <v>0</v>
      </c>
      <c r="H568" s="152">
        <f>IF(E568="","",Input!$C$3)</f>
        <v>100000</v>
      </c>
      <c r="I568" s="153">
        <f>IF(E568="","",HLOOKUP($B568,Input!$C$13:$BT$14,2))</f>
        <v>429.60750000000002</v>
      </c>
      <c r="J568" s="154"/>
      <c r="K568" s="155">
        <f>IF($E568="","",Input!$C$57)</f>
        <v>4.4999999999999998E-2</v>
      </c>
      <c r="L568" s="155">
        <f t="shared" si="179"/>
        <v>3.6748094004368514E-3</v>
      </c>
      <c r="M568" s="147">
        <f>IF($E568="","",VLOOKUP(IF($B568&lt;=Input!$C$7,$B568,26),'Mortality Tables'!$A$72:$CA$97,IF($B568&lt;=Input!$C$7+1,Input!$C$4-16,$D568-Input!$C$7-16),0)/1000)</f>
        <v>0.17535000000000001</v>
      </c>
      <c r="N568" s="147">
        <f t="shared" si="168"/>
        <v>1.5937976683569222E-2</v>
      </c>
      <c r="O568" s="157">
        <f>IF($E568="","",IF($C568=12,IF($B568&lt;Input!$C$9,Input!$C$54,IF($B568=Input!$C$9,Input!$C$55,Input!$C$56)),0%))</f>
        <v>0.1</v>
      </c>
      <c r="P568" s="167">
        <f>IF($E568="","",IF($B568=1,Input!$C$59,IF($B568&lt;6,Input!$C$60,0%)))</f>
        <v>0</v>
      </c>
      <c r="Q568" s="162">
        <f>IF($E568="","",Input!$C$58)</f>
        <v>2.5</v>
      </c>
      <c r="R568" s="156">
        <f t="shared" si="180"/>
        <v>0.8840620233164308</v>
      </c>
      <c r="S568" s="154">
        <f t="shared" si="169"/>
        <v>7.2562978026587881E-4</v>
      </c>
      <c r="T568" s="152"/>
      <c r="U568" s="150">
        <f t="shared" si="181"/>
        <v>0</v>
      </c>
      <c r="V568" s="150">
        <f t="shared" si="182"/>
        <v>0</v>
      </c>
      <c r="W568" s="168">
        <f t="shared" si="183"/>
        <v>0</v>
      </c>
      <c r="X568" s="163">
        <f t="shared" si="170"/>
        <v>1593.7976683569223</v>
      </c>
      <c r="Y568" s="152"/>
      <c r="Z568" s="164">
        <f>IF(AND($C567=12,$D567=Input!$C$6),0,IF($E568="","",V568+Z569/(1+L568)*R568))</f>
        <v>145397.81105096146</v>
      </c>
      <c r="AA568" s="164">
        <f>IF(OR($M568=1,AND($C567=12,$D567=Input!$C$6)),0,IF($E568="","",W568+(X568+AA569*$R568)/(1+$L568)))</f>
        <v>59616.450482523069</v>
      </c>
      <c r="AB568" s="160">
        <f t="shared" si="171"/>
        <v>0.825720328500681</v>
      </c>
      <c r="AC568" s="164">
        <f t="shared" si="172"/>
        <v>0</v>
      </c>
      <c r="AD568" s="164">
        <f>IF(AND($C567=12,$D567=Input!$C$6),0,IF($E568="","",$AC568+AD569/(1+$L568)*$R568))</f>
        <v>120057.92830427981</v>
      </c>
      <c r="AE568" s="152"/>
      <c r="AF568" s="164">
        <f>IF(AND($C567=12,$D567=Input!$C$6),0,IF($E568="","",IF($B568&gt;Input!$C$9,$AC568,0)+AF569/(1+$L568)*$R568))</f>
        <v>120057.92830427981</v>
      </c>
      <c r="AG568" s="164">
        <f>IF(AND($C567=12,$D567=Input!$C$6),0,IF($E568="","",(IF($B568&gt;Input!$C$9,$X568,0)+AG569)/(1+$L568)*$R568))</f>
        <v>57745.018284516555</v>
      </c>
      <c r="AH568" s="160">
        <f t="shared" si="173"/>
        <v>2.0950137211446997</v>
      </c>
      <c r="AI568" s="160">
        <f>IF($E568="","",MIN(Input!$C$61/AH568,1))</f>
        <v>0.64438718771845094</v>
      </c>
      <c r="AJ568" s="152"/>
      <c r="AK568" s="164">
        <f>IF(AND($C567=12,$D567=Input!$C$6),0,IF($E568="","",IF($B568&gt;Input!$C$9,$AC568*AI568,0)+AK569/(1+$L568)*$R568))</f>
        <v>77363.790783298289</v>
      </c>
      <c r="AL568" s="164">
        <f>IF(AND($C567=12,$D567=Input!$C$6),0,IF($E568="","",IF($B568&gt;Input!$C$9,0,$AC568)+AL569/(1+$L568)*$R568))</f>
        <v>0</v>
      </c>
      <c r="AM568" s="160">
        <f t="shared" si="174"/>
        <v>1.1382936520186004</v>
      </c>
      <c r="AN568" s="164">
        <f>IF($E568="","",IF($B568&gt;Input!$C$9,$AI568*$AC568,$AM568*$AC568))</f>
        <v>0</v>
      </c>
      <c r="AO568" s="164">
        <f>IF(AND($C567=12,$D567=Input!$C$6),0,IF($E568="","",$AN568+AO569/(1+$L568)*$R568))</f>
        <v>77363.790783298289</v>
      </c>
      <c r="AP568" s="152"/>
      <c r="AQ568" s="164">
        <f t="shared" si="175"/>
        <v>-17747.34030077522</v>
      </c>
      <c r="AR568" s="164">
        <f t="shared" si="184"/>
        <v>-6132.9496199687146</v>
      </c>
      <c r="AS568" s="164">
        <f t="shared" si="185"/>
        <v>8389.952153110049</v>
      </c>
      <c r="AT568" s="164">
        <f t="shared" si="176"/>
        <v>8389.952153110049</v>
      </c>
      <c r="AU568" s="152"/>
      <c r="AV568" s="147">
        <f>'Deterministic Reserve'!BC568</f>
        <v>1.2407656749746331E-4</v>
      </c>
      <c r="AW568" s="164">
        <f t="shared" si="177"/>
        <v>8389.952153110049</v>
      </c>
      <c r="AX568" s="164">
        <f t="shared" si="178"/>
        <v>1.0409964646258467</v>
      </c>
      <c r="AY568" s="152"/>
    </row>
    <row r="569" spans="1:51" s="150" customFormat="1" x14ac:dyDescent="0.25">
      <c r="A569" s="150">
        <f t="shared" si="186"/>
        <v>565</v>
      </c>
      <c r="B569" s="150">
        <f t="shared" si="187"/>
        <v>48</v>
      </c>
      <c r="C569" s="150">
        <f t="shared" si="188"/>
        <v>1</v>
      </c>
      <c r="D569" s="150">
        <f>IF(E569="","",Input!$C$4+B569-1)</f>
        <v>92</v>
      </c>
      <c r="E569" s="150">
        <f>IF(OR(AND(C568=12,D568=Input!$C$6),E568=""),"",1)</f>
        <v>1</v>
      </c>
      <c r="F569" s="150">
        <f>IF(E569="","",Input!$C$8+B569-1)</f>
        <v>2065</v>
      </c>
      <c r="G569" s="151">
        <f>IF(E569="","",MAX(0,Input!$C$9-B569))</f>
        <v>0</v>
      </c>
      <c r="H569" s="152">
        <f>IF(E569="","",Input!$C$3)</f>
        <v>100000</v>
      </c>
      <c r="I569" s="153">
        <f>IF(E569="","",HLOOKUP($B569,Input!$C$13:$BT$14,2))</f>
        <v>474.12400000000008</v>
      </c>
      <c r="J569" s="154"/>
      <c r="K569" s="155">
        <f>IF($E569="","",Input!$C$57)</f>
        <v>4.4999999999999998E-2</v>
      </c>
      <c r="L569" s="155">
        <f t="shared" si="179"/>
        <v>3.6748094004368514E-3</v>
      </c>
      <c r="M569" s="147">
        <f>IF($E569="","",VLOOKUP(IF($B569&lt;=Input!$C$7,$B569,26),'Mortality Tables'!$A$72:$CA$97,IF($B569&lt;=Input!$C$7+1,Input!$C$4-16,$D569-Input!$C$7-16),0)/1000)</f>
        <v>0.19352</v>
      </c>
      <c r="N569" s="147">
        <f t="shared" si="168"/>
        <v>1.7763353083420585E-2</v>
      </c>
      <c r="O569" s="157">
        <f>IF($E569="","",IF($C569=12,IF($B569&lt;Input!$C$9,Input!$C$54,IF($B569=Input!$C$9,Input!$C$55,Input!$C$56)),0%))</f>
        <v>0</v>
      </c>
      <c r="P569" s="167">
        <f>IF($E569="","",IF($B569=1,Input!$C$59,IF($B569&lt;6,Input!$C$60,0%)))</f>
        <v>0</v>
      </c>
      <c r="Q569" s="162">
        <f>IF($E569="","",Input!$C$58)</f>
        <v>2.5</v>
      </c>
      <c r="R569" s="156">
        <f t="shared" si="180"/>
        <v>0.98223664691657941</v>
      </c>
      <c r="S569" s="154">
        <f t="shared" si="169"/>
        <v>7.1274016227117112E-4</v>
      </c>
      <c r="T569" s="152"/>
      <c r="U569" s="150">
        <f t="shared" si="181"/>
        <v>47412.400000000009</v>
      </c>
      <c r="V569" s="150">
        <f t="shared" si="182"/>
        <v>47412.400000000009</v>
      </c>
      <c r="W569" s="168">
        <f t="shared" si="183"/>
        <v>0</v>
      </c>
      <c r="X569" s="163">
        <f t="shared" si="170"/>
        <v>1776.3353083420586</v>
      </c>
      <c r="Y569" s="152"/>
      <c r="Z569" s="164">
        <f>IF(AND($C568=12,$D568=Input!$C$6),0,IF($E569="","",V569+Z570/(1+L569)*R569))</f>
        <v>165070.00238102215</v>
      </c>
      <c r="AA569" s="164">
        <f>IF(OR($M569=1,AND($C568=12,$D568=Input!$C$6)),0,IF($E569="","",W569+(X569+AA570*$R569)/(1+$L569)))</f>
        <v>65879.689852907119</v>
      </c>
      <c r="AB569" s="160">
        <f t="shared" si="171"/>
        <v>0.825720328500681</v>
      </c>
      <c r="AC569" s="164">
        <f t="shared" si="172"/>
        <v>39149.382503005698</v>
      </c>
      <c r="AD569" s="164">
        <f>IF(AND($C568=12,$D568=Input!$C$6),0,IF($E569="","",$AC569+AD570/(1+$L569)*$R569))</f>
        <v>136301.65659166576</v>
      </c>
      <c r="AE569" s="152"/>
      <c r="AF569" s="164">
        <f>IF(AND($C568=12,$D568=Input!$C$6),0,IF($E569="","",IF($B569&gt;Input!$C$9,$AC569,0)+AF570/(1+$L569)*$R569))</f>
        <v>136301.65659166576</v>
      </c>
      <c r="AG569" s="164">
        <f>IF(AND($C568=12,$D568=Input!$C$6),0,IF($E569="","",(IF($B569&gt;Input!$C$9,$X569,0)+AG570)/(1+$L569)*$R569))</f>
        <v>63964.068965387582</v>
      </c>
      <c r="AH569" s="160">
        <f t="shared" si="173"/>
        <v>2.0950137211446997</v>
      </c>
      <c r="AI569" s="160">
        <f>IF($E569="","",MIN(Input!$C$61/AH569,1))</f>
        <v>0.64438718771845094</v>
      </c>
      <c r="AJ569" s="152"/>
      <c r="AK569" s="164">
        <f>IF(AND($C568=12,$D568=Input!$C$6),0,IF($E569="","",IF($B569&gt;Input!$C$9,$AC569*AI569,0)+AK570/(1+$L569)*$R569))</f>
        <v>87831.041172469559</v>
      </c>
      <c r="AL569" s="164">
        <f>IF(AND($C568=12,$D568=Input!$C$6),0,IF($E569="","",IF($B569&gt;Input!$C$9,0,$AC569)+AL570/(1+$L569)*$R569))</f>
        <v>0</v>
      </c>
      <c r="AM569" s="160">
        <f t="shared" si="174"/>
        <v>1.1382936520186004</v>
      </c>
      <c r="AN569" s="164">
        <f>IF($E569="","",IF($B569&gt;Input!$C$9,$AI569*$AC569,$AM569*$AC569))</f>
        <v>25227.360492025771</v>
      </c>
      <c r="AO569" s="164">
        <f>IF(AND($C568=12,$D568=Input!$C$6),0,IF($E569="","",$AN569+AO570/(1+$L569)*$R569))</f>
        <v>87831.041172469559</v>
      </c>
      <c r="AP569" s="152"/>
      <c r="AQ569" s="164">
        <f t="shared" si="175"/>
        <v>-21951.35131956244</v>
      </c>
      <c r="AR569" s="164">
        <f t="shared" si="184"/>
        <v>-5289.1313199145698</v>
      </c>
      <c r="AS569" s="164">
        <f t="shared" si="185"/>
        <v>9259.3301435406702</v>
      </c>
      <c r="AT569" s="164">
        <f t="shared" si="176"/>
        <v>9259.3301435406702</v>
      </c>
      <c r="AU569" s="152"/>
      <c r="AV569" s="147">
        <f>'Deterministic Reserve'!BC569</f>
        <v>1.1856761247087123E-4</v>
      </c>
      <c r="AW569" s="164">
        <f t="shared" si="177"/>
        <v>9259.3301435406702</v>
      </c>
      <c r="AX569" s="164">
        <f t="shared" si="178"/>
        <v>1.0978566681991866</v>
      </c>
      <c r="AY569" s="152"/>
    </row>
    <row r="570" spans="1:51" s="150" customFormat="1" x14ac:dyDescent="0.25">
      <c r="A570" s="150">
        <f t="shared" si="186"/>
        <v>566</v>
      </c>
      <c r="B570" s="150">
        <f t="shared" si="187"/>
        <v>48</v>
      </c>
      <c r="C570" s="150">
        <f t="shared" si="188"/>
        <v>2</v>
      </c>
      <c r="D570" s="150">
        <f>IF(E570="","",Input!$C$4+B570-1)</f>
        <v>92</v>
      </c>
      <c r="E570" s="150">
        <f>IF(OR(AND(C569=12,D569=Input!$C$6),E569=""),"",1)</f>
        <v>1</v>
      </c>
      <c r="F570" s="150">
        <f>IF(E570="","",Input!$C$8+B570-1)</f>
        <v>2065</v>
      </c>
      <c r="G570" s="151">
        <f>IF(E570="","",MAX(0,Input!$C$9-B570))</f>
        <v>0</v>
      </c>
      <c r="H570" s="152">
        <f>IF(E570="","",Input!$C$3)</f>
        <v>100000</v>
      </c>
      <c r="I570" s="153">
        <f>IF(E570="","",HLOOKUP($B570,Input!$C$13:$BT$14,2))</f>
        <v>474.12400000000008</v>
      </c>
      <c r="J570" s="154"/>
      <c r="K570" s="155">
        <f>IF($E570="","",Input!$C$57)</f>
        <v>4.4999999999999998E-2</v>
      </c>
      <c r="L570" s="155">
        <f t="shared" si="179"/>
        <v>3.6748094004368514E-3</v>
      </c>
      <c r="M570" s="147">
        <f>IF($E570="","",VLOOKUP(IF($B570&lt;=Input!$C$7,$B570,26),'Mortality Tables'!$A$72:$CA$97,IF($B570&lt;=Input!$C$7+1,Input!$C$4-16,$D570-Input!$C$7-16),0)/1000)</f>
        <v>0.19352</v>
      </c>
      <c r="N570" s="147">
        <f t="shared" si="168"/>
        <v>1.7763353083420585E-2</v>
      </c>
      <c r="O570" s="157">
        <f>IF($E570="","",IF($C570=12,IF($B570&lt;Input!$C$9,Input!$C$54,IF($B570=Input!$C$9,Input!$C$55,Input!$C$56)),0%))</f>
        <v>0</v>
      </c>
      <c r="P570" s="167">
        <f>IF($E570="","",IF($B570=1,Input!$C$59,IF($B570&lt;6,Input!$C$60,0%)))</f>
        <v>0</v>
      </c>
      <c r="Q570" s="162">
        <f>IF($E570="","",Input!$C$58)</f>
        <v>2.5</v>
      </c>
      <c r="R570" s="156">
        <f t="shared" si="180"/>
        <v>0.98223664691657941</v>
      </c>
      <c r="S570" s="154">
        <f t="shared" si="169"/>
        <v>7.0007950711201378E-4</v>
      </c>
      <c r="T570" s="152"/>
      <c r="U570" s="150">
        <f t="shared" si="181"/>
        <v>0</v>
      </c>
      <c r="V570" s="150">
        <f t="shared" si="182"/>
        <v>0</v>
      </c>
      <c r="W570" s="168">
        <f t="shared" si="183"/>
        <v>0</v>
      </c>
      <c r="X570" s="163">
        <f t="shared" si="170"/>
        <v>1776.3353083420586</v>
      </c>
      <c r="Y570" s="152"/>
      <c r="Z570" s="164">
        <f>IF(AND($C569=12,$D569=Input!$C$6),0,IF($E570="","",V570+Z571/(1+L570)*R570))</f>
        <v>120225.58109086116</v>
      </c>
      <c r="AA570" s="164">
        <f>IF(OR($M570=1,AND($C569=12,$D569=Input!$C$6)),0,IF($E570="","",W570+(X570+AA571*$R570)/(1+$L570)))</f>
        <v>65509.111322741344</v>
      </c>
      <c r="AB570" s="160">
        <f t="shared" si="171"/>
        <v>0.825720328500681</v>
      </c>
      <c r="AC570" s="164">
        <f t="shared" si="172"/>
        <v>0</v>
      </c>
      <c r="AD570" s="164">
        <f>IF(AND($C569=12,$D569=Input!$C$6),0,IF($E570="","",$AC570+AD571/(1+$L570)*$R570))</f>
        <v>99272.706312531096</v>
      </c>
      <c r="AE570" s="152"/>
      <c r="AF570" s="164">
        <f>IF(AND($C569=12,$D569=Input!$C$6),0,IF($E570="","",IF($B570&gt;Input!$C$9,$AC570,0)+AF571/(1+$L570)*$R570))</f>
        <v>99272.706312531096</v>
      </c>
      <c r="AG570" s="164">
        <f>IF(AND($C569=12,$D569=Input!$C$6),0,IF($E570="","",(IF($B570&gt;Input!$C$9,$X570,0)+AG571)/(1+$L570)*$R570))</f>
        <v>63583.804662859977</v>
      </c>
      <c r="AH570" s="160">
        <f t="shared" si="173"/>
        <v>2.0950137211446997</v>
      </c>
      <c r="AI570" s="160">
        <f>IF($E570="","",MIN(Input!$C$61/AH570,1))</f>
        <v>0.64438718771845094</v>
      </c>
      <c r="AJ570" s="152"/>
      <c r="AK570" s="164">
        <f>IF(AND($C569=12,$D569=Input!$C$6),0,IF($E570="","",IF($B570&gt;Input!$C$9,$AC570*AI570,0)+AK571/(1+$L570)*$R570))</f>
        <v>63970.060037931624</v>
      </c>
      <c r="AL570" s="164">
        <f>IF(AND($C569=12,$D569=Input!$C$6),0,IF($E570="","",IF($B570&gt;Input!$C$9,0,$AC570)+AL571/(1+$L570)*$R570))</f>
        <v>0</v>
      </c>
      <c r="AM570" s="160">
        <f t="shared" si="174"/>
        <v>1.1382936520186004</v>
      </c>
      <c r="AN570" s="164">
        <f>IF($E570="","",IF($B570&gt;Input!$C$9,$AI570*$AC570,$AM570*$AC570))</f>
        <v>0</v>
      </c>
      <c r="AO570" s="164">
        <f>IF(AND($C569=12,$D569=Input!$C$6),0,IF($E570="","",$AN570+AO571/(1+$L570)*$R570))</f>
        <v>63970.060037931624</v>
      </c>
      <c r="AP570" s="152"/>
      <c r="AQ570" s="164">
        <f t="shared" si="175"/>
        <v>1539.0512848097205</v>
      </c>
      <c r="AR570" s="164">
        <f t="shared" si="184"/>
        <v>-5289.1313199145698</v>
      </c>
      <c r="AS570" s="164">
        <f t="shared" si="185"/>
        <v>9259.3301435406702</v>
      </c>
      <c r="AT570" s="164">
        <f t="shared" si="176"/>
        <v>9259.3301435406702</v>
      </c>
      <c r="AU570" s="152"/>
      <c r="AV570" s="147">
        <f>'Deterministic Reserve'!BC570</f>
        <v>1.1330325306855473E-4</v>
      </c>
      <c r="AW570" s="164">
        <f t="shared" si="177"/>
        <v>9259.3301435406702</v>
      </c>
      <c r="AX570" s="164">
        <f t="shared" si="178"/>
        <v>1.0491122264988857</v>
      </c>
      <c r="AY570" s="152"/>
    </row>
    <row r="571" spans="1:51" s="150" customFormat="1" x14ac:dyDescent="0.25">
      <c r="A571" s="150">
        <f t="shared" si="186"/>
        <v>567</v>
      </c>
      <c r="B571" s="150">
        <f t="shared" si="187"/>
        <v>48</v>
      </c>
      <c r="C571" s="150">
        <f t="shared" si="188"/>
        <v>3</v>
      </c>
      <c r="D571" s="150">
        <f>IF(E571="","",Input!$C$4+B571-1)</f>
        <v>92</v>
      </c>
      <c r="E571" s="150">
        <f>IF(OR(AND(C570=12,D570=Input!$C$6),E570=""),"",1)</f>
        <v>1</v>
      </c>
      <c r="F571" s="150">
        <f>IF(E571="","",Input!$C$8+B571-1)</f>
        <v>2065</v>
      </c>
      <c r="G571" s="151">
        <f>IF(E571="","",MAX(0,Input!$C$9-B571))</f>
        <v>0</v>
      </c>
      <c r="H571" s="152">
        <f>IF(E571="","",Input!$C$3)</f>
        <v>100000</v>
      </c>
      <c r="I571" s="153">
        <f>IF(E571="","",HLOOKUP($B571,Input!$C$13:$BT$14,2))</f>
        <v>474.12400000000008</v>
      </c>
      <c r="J571" s="154"/>
      <c r="K571" s="155">
        <f>IF($E571="","",Input!$C$57)</f>
        <v>4.4999999999999998E-2</v>
      </c>
      <c r="L571" s="155">
        <f t="shared" si="179"/>
        <v>3.6748094004368514E-3</v>
      </c>
      <c r="M571" s="147">
        <f>IF($E571="","",VLOOKUP(IF($B571&lt;=Input!$C$7,$B571,26),'Mortality Tables'!$A$72:$CA$97,IF($B571&lt;=Input!$C$7+1,Input!$C$4-16,$D571-Input!$C$7-16),0)/1000)</f>
        <v>0.19352</v>
      </c>
      <c r="N571" s="147">
        <f t="shared" si="168"/>
        <v>1.7763353083420585E-2</v>
      </c>
      <c r="O571" s="157">
        <f>IF($E571="","",IF($C571=12,IF($B571&lt;Input!$C$9,Input!$C$54,IF($B571=Input!$C$9,Input!$C$55,Input!$C$56)),0%))</f>
        <v>0</v>
      </c>
      <c r="P571" s="167">
        <f>IF($E571="","",IF($B571=1,Input!$C$59,IF($B571&lt;6,Input!$C$60,0%)))</f>
        <v>0</v>
      </c>
      <c r="Q571" s="162">
        <f>IF($E571="","",Input!$C$58)</f>
        <v>2.5</v>
      </c>
      <c r="R571" s="156">
        <f t="shared" si="180"/>
        <v>0.98223664691657941</v>
      </c>
      <c r="S571" s="154">
        <f t="shared" si="169"/>
        <v>6.8764374764071598E-4</v>
      </c>
      <c r="T571" s="152"/>
      <c r="U571" s="150">
        <f t="shared" si="181"/>
        <v>0</v>
      </c>
      <c r="V571" s="150">
        <f t="shared" si="182"/>
        <v>0</v>
      </c>
      <c r="W571" s="168">
        <f t="shared" si="183"/>
        <v>0</v>
      </c>
      <c r="X571" s="163">
        <f t="shared" si="170"/>
        <v>1776.3353083420586</v>
      </c>
      <c r="Y571" s="152"/>
      <c r="Z571" s="164">
        <f>IF(AND($C570=12,$D570=Input!$C$6),0,IF($E571="","",V571+Z572/(1+L571)*R571))</f>
        <v>122849.60815219414</v>
      </c>
      <c r="AA571" s="164">
        <f>IF(OR($M571=1,AND($C570=12,$D570=Input!$C$6)),0,IF($E571="","",W571+(X571+AA572*$R571)/(1+$L571)))</f>
        <v>65130.44459634745</v>
      </c>
      <c r="AB571" s="160">
        <f t="shared" si="171"/>
        <v>0.825720328500681</v>
      </c>
      <c r="AC571" s="164">
        <f t="shared" si="172"/>
        <v>0</v>
      </c>
      <c r="AD571" s="164">
        <f>IF(AND($C570=12,$D570=Input!$C$6),0,IF($E571="","",$AC571+AD572/(1+$L571)*$R571))</f>
        <v>101439.41879960963</v>
      </c>
      <c r="AE571" s="152"/>
      <c r="AF571" s="164">
        <f>IF(AND($C570=12,$D570=Input!$C$6),0,IF($E571="","",IF($B571&gt;Input!$C$9,$AC571,0)+AF572/(1+$L571)*$R571))</f>
        <v>101439.41879960963</v>
      </c>
      <c r="AG571" s="164">
        <f>IF(AND($C570=12,$D570=Input!$C$6),0,IF($E571="","",(IF($B571&gt;Input!$C$9,$X571,0)+AG572)/(1+$L571)*$R571))</f>
        <v>63195.240763763672</v>
      </c>
      <c r="AH571" s="160">
        <f t="shared" si="173"/>
        <v>2.0950137211446997</v>
      </c>
      <c r="AI571" s="160">
        <f>IF($E571="","",MIN(Input!$C$61/AH571,1))</f>
        <v>0.64438718771845094</v>
      </c>
      <c r="AJ571" s="152"/>
      <c r="AK571" s="164">
        <f>IF(AND($C570=12,$D570=Input!$C$6),0,IF($E571="","",IF($B571&gt;Input!$C$9,$AC571*AI571,0)+AK572/(1+$L571)*$R571))</f>
        <v>65366.261804074609</v>
      </c>
      <c r="AL571" s="164">
        <f>IF(AND($C570=12,$D570=Input!$C$6),0,IF($E571="","",IF($B571&gt;Input!$C$9,0,$AC571)+AL572/(1+$L571)*$R571))</f>
        <v>0</v>
      </c>
      <c r="AM571" s="160">
        <f t="shared" si="174"/>
        <v>1.1382936520186004</v>
      </c>
      <c r="AN571" s="164">
        <f>IF($E571="","",IF($B571&gt;Input!$C$9,$AI571*$AC571,$AM571*$AC571))</f>
        <v>0</v>
      </c>
      <c r="AO571" s="164">
        <f>IF(AND($C570=12,$D570=Input!$C$6),0,IF($E571="","",$AN571+AO572/(1+$L571)*$R571))</f>
        <v>65366.261804074609</v>
      </c>
      <c r="AP571" s="152"/>
      <c r="AQ571" s="164">
        <f t="shared" si="175"/>
        <v>-235.81720772715926</v>
      </c>
      <c r="AR571" s="164">
        <f t="shared" si="184"/>
        <v>-5289.1313199145698</v>
      </c>
      <c r="AS571" s="164">
        <f t="shared" si="185"/>
        <v>9259.3301435406702</v>
      </c>
      <c r="AT571" s="164">
        <f t="shared" si="176"/>
        <v>9259.3301435406702</v>
      </c>
      <c r="AU571" s="152"/>
      <c r="AV571" s="147">
        <f>'Deterministic Reserve'!BC571</f>
        <v>1.0827262933265867E-4</v>
      </c>
      <c r="AW571" s="164">
        <f t="shared" si="177"/>
        <v>9259.3301435406702</v>
      </c>
      <c r="AX571" s="164">
        <f t="shared" si="178"/>
        <v>1.0025320205002921</v>
      </c>
      <c r="AY571" s="152"/>
    </row>
    <row r="572" spans="1:51" s="150" customFormat="1" x14ac:dyDescent="0.25">
      <c r="A572" s="150">
        <f t="shared" si="186"/>
        <v>568</v>
      </c>
      <c r="B572" s="150">
        <f t="shared" si="187"/>
        <v>48</v>
      </c>
      <c r="C572" s="150">
        <f t="shared" si="188"/>
        <v>4</v>
      </c>
      <c r="D572" s="150">
        <f>IF(E572="","",Input!$C$4+B572-1)</f>
        <v>92</v>
      </c>
      <c r="E572" s="150">
        <f>IF(OR(AND(C571=12,D571=Input!$C$6),E571=""),"",1)</f>
        <v>1</v>
      </c>
      <c r="F572" s="150">
        <f>IF(E572="","",Input!$C$8+B572-1)</f>
        <v>2065</v>
      </c>
      <c r="G572" s="151">
        <f>IF(E572="","",MAX(0,Input!$C$9-B572))</f>
        <v>0</v>
      </c>
      <c r="H572" s="152">
        <f>IF(E572="","",Input!$C$3)</f>
        <v>100000</v>
      </c>
      <c r="I572" s="153">
        <f>IF(E572="","",HLOOKUP($B572,Input!$C$13:$BT$14,2))</f>
        <v>474.12400000000008</v>
      </c>
      <c r="J572" s="154"/>
      <c r="K572" s="155">
        <f>IF($E572="","",Input!$C$57)</f>
        <v>4.4999999999999998E-2</v>
      </c>
      <c r="L572" s="155">
        <f t="shared" si="179"/>
        <v>3.6748094004368514E-3</v>
      </c>
      <c r="M572" s="147">
        <f>IF($E572="","",VLOOKUP(IF($B572&lt;=Input!$C$7,$B572,26),'Mortality Tables'!$A$72:$CA$97,IF($B572&lt;=Input!$C$7+1,Input!$C$4-16,$D572-Input!$C$7-16),0)/1000)</f>
        <v>0.19352</v>
      </c>
      <c r="N572" s="147">
        <f t="shared" si="168"/>
        <v>1.7763353083420585E-2</v>
      </c>
      <c r="O572" s="157">
        <f>IF($E572="","",IF($C572=12,IF($B572&lt;Input!$C$9,Input!$C$54,IF($B572=Input!$C$9,Input!$C$55,Input!$C$56)),0%))</f>
        <v>0</v>
      </c>
      <c r="P572" s="167">
        <f>IF($E572="","",IF($B572=1,Input!$C$59,IF($B572&lt;6,Input!$C$60,0%)))</f>
        <v>0</v>
      </c>
      <c r="Q572" s="162">
        <f>IF($E572="","",Input!$C$58)</f>
        <v>2.5</v>
      </c>
      <c r="R572" s="156">
        <f t="shared" si="180"/>
        <v>0.98223664691657941</v>
      </c>
      <c r="S572" s="154">
        <f t="shared" si="169"/>
        <v>6.7542888895576734E-4</v>
      </c>
      <c r="T572" s="152"/>
      <c r="U572" s="150">
        <f t="shared" si="181"/>
        <v>0</v>
      </c>
      <c r="V572" s="150">
        <f t="shared" si="182"/>
        <v>0</v>
      </c>
      <c r="W572" s="168">
        <f t="shared" si="183"/>
        <v>0</v>
      </c>
      <c r="X572" s="163">
        <f t="shared" si="170"/>
        <v>1776.3353083420586</v>
      </c>
      <c r="Y572" s="152"/>
      <c r="Z572" s="164">
        <f>IF(AND($C571=12,$D571=Input!$C$6),0,IF($E572="","",V572+Z573/(1+L572)*R572))</f>
        <v>125530.90686866184</v>
      </c>
      <c r="AA572" s="164">
        <f>IF(OR($M572=1,AND($C571=12,$D571=Input!$C$6)),0,IF($E572="","",W572+(X572+AA573*$R572)/(1+$L572)))</f>
        <v>64743.51314186267</v>
      </c>
      <c r="AB572" s="160">
        <f t="shared" si="171"/>
        <v>0.825720328500681</v>
      </c>
      <c r="AC572" s="164">
        <f t="shared" si="172"/>
        <v>0</v>
      </c>
      <c r="AD572" s="164">
        <f>IF(AND($C571=12,$D571=Input!$C$6),0,IF($E572="","",$AC572+AD573/(1+$L572)*$R572))</f>
        <v>103653.42165657978</v>
      </c>
      <c r="AE572" s="152"/>
      <c r="AF572" s="164">
        <f>IF(AND($C571=12,$D571=Input!$C$6),0,IF($E572="","",IF($B572&gt;Input!$C$9,$AC572,0)+AF573/(1+$L572)*$R572))</f>
        <v>103653.42165657978</v>
      </c>
      <c r="AG572" s="164">
        <f>IF(AND($C571=12,$D571=Input!$C$6),0,IF($E572="","",(IF($B572&gt;Input!$C$9,$X572,0)+AG573)/(1+$L572)*$R572))</f>
        <v>62798.196122241046</v>
      </c>
      <c r="AH572" s="160">
        <f t="shared" si="173"/>
        <v>2.0950137211446997</v>
      </c>
      <c r="AI572" s="160">
        <f>IF($E572="","",MIN(Input!$C$61/AH572,1))</f>
        <v>0.64438718771845094</v>
      </c>
      <c r="AJ572" s="152"/>
      <c r="AK572" s="164">
        <f>IF(AND($C571=12,$D571=Input!$C$6),0,IF($E572="","",IF($B572&gt;Input!$C$9,$AC572*AI572,0)+AK573/(1+$L572)*$R572))</f>
        <v>66792.936878678229</v>
      </c>
      <c r="AL572" s="164">
        <f>IF(AND($C571=12,$D571=Input!$C$6),0,IF($E572="","",IF($B572&gt;Input!$C$9,0,$AC572)+AL573/(1+$L572)*$R572))</f>
        <v>0</v>
      </c>
      <c r="AM572" s="160">
        <f t="shared" si="174"/>
        <v>1.1382936520186004</v>
      </c>
      <c r="AN572" s="164">
        <f>IF($E572="","",IF($B572&gt;Input!$C$9,$AI572*$AC572,$AM572*$AC572))</f>
        <v>0</v>
      </c>
      <c r="AO572" s="164">
        <f>IF(AND($C571=12,$D571=Input!$C$6),0,IF($E572="","",$AN572+AO573/(1+$L572)*$R572))</f>
        <v>66792.936878678229</v>
      </c>
      <c r="AP572" s="152"/>
      <c r="AQ572" s="164">
        <f t="shared" si="175"/>
        <v>-2049.4237368155591</v>
      </c>
      <c r="AR572" s="164">
        <f t="shared" si="184"/>
        <v>-5289.1313199145698</v>
      </c>
      <c r="AS572" s="164">
        <f t="shared" si="185"/>
        <v>9259.3301435406702</v>
      </c>
      <c r="AT572" s="164">
        <f t="shared" si="176"/>
        <v>9259.3301435406702</v>
      </c>
      <c r="AU572" s="152"/>
      <c r="AV572" s="147">
        <f>'Deterministic Reserve'!BC572</f>
        <v>1.0346536348355556E-4</v>
      </c>
      <c r="AW572" s="164">
        <f t="shared" si="177"/>
        <v>9259.3301435406702</v>
      </c>
      <c r="AX572" s="164">
        <f t="shared" si="178"/>
        <v>0.95801995891567815</v>
      </c>
      <c r="AY572" s="152"/>
    </row>
    <row r="573" spans="1:51" s="150" customFormat="1" x14ac:dyDescent="0.25">
      <c r="A573" s="150">
        <f t="shared" si="186"/>
        <v>569</v>
      </c>
      <c r="B573" s="150">
        <f t="shared" si="187"/>
        <v>48</v>
      </c>
      <c r="C573" s="150">
        <f t="shared" si="188"/>
        <v>5</v>
      </c>
      <c r="D573" s="150">
        <f>IF(E573="","",Input!$C$4+B573-1)</f>
        <v>92</v>
      </c>
      <c r="E573" s="150">
        <f>IF(OR(AND(C572=12,D572=Input!$C$6),E572=""),"",1)</f>
        <v>1</v>
      </c>
      <c r="F573" s="150">
        <f>IF(E573="","",Input!$C$8+B573-1)</f>
        <v>2065</v>
      </c>
      <c r="G573" s="151">
        <f>IF(E573="","",MAX(0,Input!$C$9-B573))</f>
        <v>0</v>
      </c>
      <c r="H573" s="152">
        <f>IF(E573="","",Input!$C$3)</f>
        <v>100000</v>
      </c>
      <c r="I573" s="153">
        <f>IF(E573="","",HLOOKUP($B573,Input!$C$13:$BT$14,2))</f>
        <v>474.12400000000008</v>
      </c>
      <c r="J573" s="154"/>
      <c r="K573" s="155">
        <f>IF($E573="","",Input!$C$57)</f>
        <v>4.4999999999999998E-2</v>
      </c>
      <c r="L573" s="155">
        <f t="shared" si="179"/>
        <v>3.6748094004368514E-3</v>
      </c>
      <c r="M573" s="147">
        <f>IF($E573="","",VLOOKUP(IF($B573&lt;=Input!$C$7,$B573,26),'Mortality Tables'!$A$72:$CA$97,IF($B573&lt;=Input!$C$7+1,Input!$C$4-16,$D573-Input!$C$7-16),0)/1000)</f>
        <v>0.19352</v>
      </c>
      <c r="N573" s="147">
        <f t="shared" si="168"/>
        <v>1.7763353083420585E-2</v>
      </c>
      <c r="O573" s="157">
        <f>IF($E573="","",IF($C573=12,IF($B573&lt;Input!$C$9,Input!$C$54,IF($B573=Input!$C$9,Input!$C$55,Input!$C$56)),0%))</f>
        <v>0</v>
      </c>
      <c r="P573" s="167">
        <f>IF($E573="","",IF($B573=1,Input!$C$59,IF($B573&lt;6,Input!$C$60,0%)))</f>
        <v>0</v>
      </c>
      <c r="Q573" s="162">
        <f>IF($E573="","",Input!$C$58)</f>
        <v>2.5</v>
      </c>
      <c r="R573" s="156">
        <f t="shared" si="180"/>
        <v>0.98223664691657941</v>
      </c>
      <c r="S573" s="154">
        <f t="shared" si="169"/>
        <v>6.6343100711850362E-4</v>
      </c>
      <c r="T573" s="152"/>
      <c r="U573" s="150">
        <f t="shared" si="181"/>
        <v>0</v>
      </c>
      <c r="V573" s="150">
        <f t="shared" si="182"/>
        <v>0</v>
      </c>
      <c r="W573" s="168">
        <f t="shared" si="183"/>
        <v>0</v>
      </c>
      <c r="X573" s="163">
        <f t="shared" si="170"/>
        <v>1776.3353083420586</v>
      </c>
      <c r="Y573" s="152"/>
      <c r="Z573" s="164">
        <f>IF(AND($C572=12,$D572=Input!$C$6),0,IF($E573="","",V573+Z574/(1+L573)*R573))</f>
        <v>128270.72724356269</v>
      </c>
      <c r="AA573" s="164">
        <f>IF(OR($M573=1,AND($C572=12,$D572=Input!$C$6)),0,IF($E573="","",W573+(X573+AA574*$R573)/(1+$L573)))</f>
        <v>64348.136574464006</v>
      </c>
      <c r="AB573" s="160">
        <f t="shared" si="171"/>
        <v>0.825720328500681</v>
      </c>
      <c r="AC573" s="164">
        <f t="shared" si="172"/>
        <v>0</v>
      </c>
      <c r="AD573" s="164">
        <f>IF(AND($C572=12,$D572=Input!$C$6),0,IF($E573="","",$AC573+AD574/(1+$L573)*$R573))</f>
        <v>105915.74703657579</v>
      </c>
      <c r="AE573" s="152"/>
      <c r="AF573" s="164">
        <f>IF(AND($C572=12,$D572=Input!$C$6),0,IF($E573="","",IF($B573&gt;Input!$C$9,$AC573,0)+AF574/(1+$L573)*$R573))</f>
        <v>105915.74703657579</v>
      </c>
      <c r="AG573" s="164">
        <f>IF(AND($C572=12,$D572=Input!$C$6),0,IF($E573="","",(IF($B573&gt;Input!$C$9,$X573,0)+AG574)/(1+$L573)*$R573))</f>
        <v>62392.485638769816</v>
      </c>
      <c r="AH573" s="160">
        <f t="shared" si="173"/>
        <v>2.0950137211446997</v>
      </c>
      <c r="AI573" s="160">
        <f>IF($E573="","",MIN(Input!$C$61/AH573,1))</f>
        <v>0.64438718771845094</v>
      </c>
      <c r="AJ573" s="152"/>
      <c r="AK573" s="164">
        <f>IF(AND($C572=12,$D572=Input!$C$6),0,IF($E573="","",IF($B573&gt;Input!$C$9,$AC573*AI573,0)+AK574/(1+$L573)*$R573))</f>
        <v>68250.750367997927</v>
      </c>
      <c r="AL573" s="164">
        <f>IF(AND($C572=12,$D572=Input!$C$6),0,IF($E573="","",IF($B573&gt;Input!$C$9,0,$AC573)+AL574/(1+$L573)*$R573))</f>
        <v>0</v>
      </c>
      <c r="AM573" s="160">
        <f t="shared" si="174"/>
        <v>1.1382936520186004</v>
      </c>
      <c r="AN573" s="164">
        <f>IF($E573="","",IF($B573&gt;Input!$C$9,$AI573*$AC573,$AM573*$AC573))</f>
        <v>0</v>
      </c>
      <c r="AO573" s="164">
        <f>IF(AND($C572=12,$D572=Input!$C$6),0,IF($E573="","",$AN573+AO574/(1+$L573)*$R573))</f>
        <v>68250.750367997927</v>
      </c>
      <c r="AP573" s="152"/>
      <c r="AQ573" s="164">
        <f t="shared" si="175"/>
        <v>-3902.6137935339211</v>
      </c>
      <c r="AR573" s="164">
        <f t="shared" si="184"/>
        <v>-5289.1313199145698</v>
      </c>
      <c r="AS573" s="164">
        <f t="shared" si="185"/>
        <v>9259.3301435406702</v>
      </c>
      <c r="AT573" s="164">
        <f t="shared" si="176"/>
        <v>9259.3301435406702</v>
      </c>
      <c r="AU573" s="152"/>
      <c r="AV573" s="147">
        <f>'Deterministic Reserve'!BC573</f>
        <v>9.8871538511305558E-5</v>
      </c>
      <c r="AW573" s="164">
        <f t="shared" si="177"/>
        <v>9259.3301435406702</v>
      </c>
      <c r="AX573" s="164">
        <f t="shared" si="178"/>
        <v>0.91548421687597381</v>
      </c>
      <c r="AY573" s="152"/>
    </row>
    <row r="574" spans="1:51" s="150" customFormat="1" x14ac:dyDescent="0.25">
      <c r="A574" s="150">
        <f t="shared" si="186"/>
        <v>570</v>
      </c>
      <c r="B574" s="150">
        <f t="shared" si="187"/>
        <v>48</v>
      </c>
      <c r="C574" s="150">
        <f t="shared" si="188"/>
        <v>6</v>
      </c>
      <c r="D574" s="150">
        <f>IF(E574="","",Input!$C$4+B574-1)</f>
        <v>92</v>
      </c>
      <c r="E574" s="150">
        <f>IF(OR(AND(C573=12,D573=Input!$C$6),E573=""),"",1)</f>
        <v>1</v>
      </c>
      <c r="F574" s="150">
        <f>IF(E574="","",Input!$C$8+B574-1)</f>
        <v>2065</v>
      </c>
      <c r="G574" s="151">
        <f>IF(E574="","",MAX(0,Input!$C$9-B574))</f>
        <v>0</v>
      </c>
      <c r="H574" s="152">
        <f>IF(E574="","",Input!$C$3)</f>
        <v>100000</v>
      </c>
      <c r="I574" s="153">
        <f>IF(E574="","",HLOOKUP($B574,Input!$C$13:$BT$14,2))</f>
        <v>474.12400000000008</v>
      </c>
      <c r="J574" s="154"/>
      <c r="K574" s="155">
        <f>IF($E574="","",Input!$C$57)</f>
        <v>4.4999999999999998E-2</v>
      </c>
      <c r="L574" s="155">
        <f t="shared" si="179"/>
        <v>3.6748094004368514E-3</v>
      </c>
      <c r="M574" s="147">
        <f>IF($E574="","",VLOOKUP(IF($B574&lt;=Input!$C$7,$B574,26),'Mortality Tables'!$A$72:$CA$97,IF($B574&lt;=Input!$C$7+1,Input!$C$4-16,$D574-Input!$C$7-16),0)/1000)</f>
        <v>0.19352</v>
      </c>
      <c r="N574" s="147">
        <f t="shared" si="168"/>
        <v>1.7763353083420585E-2</v>
      </c>
      <c r="O574" s="157">
        <f>IF($E574="","",IF($C574=12,IF($B574&lt;Input!$C$9,Input!$C$54,IF($B574=Input!$C$9,Input!$C$55,Input!$C$56)),0%))</f>
        <v>0</v>
      </c>
      <c r="P574" s="167">
        <f>IF($E574="","",IF($B574=1,Input!$C$59,IF($B574&lt;6,Input!$C$60,0%)))</f>
        <v>0</v>
      </c>
      <c r="Q574" s="162">
        <f>IF($E574="","",Input!$C$58)</f>
        <v>2.5</v>
      </c>
      <c r="R574" s="156">
        <f t="shared" si="180"/>
        <v>0.98223664691657941</v>
      </c>
      <c r="S574" s="154">
        <f t="shared" si="169"/>
        <v>6.5164624789256832E-4</v>
      </c>
      <c r="T574" s="152"/>
      <c r="U574" s="150">
        <f t="shared" si="181"/>
        <v>0</v>
      </c>
      <c r="V574" s="150">
        <f t="shared" si="182"/>
        <v>0</v>
      </c>
      <c r="W574" s="168">
        <f t="shared" si="183"/>
        <v>0</v>
      </c>
      <c r="X574" s="163">
        <f t="shared" si="170"/>
        <v>1776.3353083420586</v>
      </c>
      <c r="Y574" s="152"/>
      <c r="Z574" s="164">
        <f>IF(AND($C573=12,$D573=Input!$C$6),0,IF($E574="","",V574+Z575/(1+L574)*R574))</f>
        <v>131070.34656259591</v>
      </c>
      <c r="AA574" s="164">
        <f>IF(OR($M574=1,AND($C573=12,$D573=Input!$C$6)),0,IF($E574="","",W574+(X574+AA575*$R574)/(1+$L574)))</f>
        <v>63944.130572274036</v>
      </c>
      <c r="AB574" s="160">
        <f t="shared" si="171"/>
        <v>0.825720328500681</v>
      </c>
      <c r="AC574" s="164">
        <f t="shared" si="172"/>
        <v>0</v>
      </c>
      <c r="AD574" s="164">
        <f>IF(AND($C573=12,$D573=Input!$C$6),0,IF($E574="","",$AC574+AD575/(1+$L574)*$R574))</f>
        <v>108227.44962036474</v>
      </c>
      <c r="AE574" s="152"/>
      <c r="AF574" s="164">
        <f>IF(AND($C573=12,$D573=Input!$C$6),0,IF($E574="","",IF($B574&gt;Input!$C$9,$AC574,0)+AF575/(1+$L574)*$R574))</f>
        <v>108227.44962036474</v>
      </c>
      <c r="AG574" s="164">
        <f>IF(AND($C573=12,$D573=Input!$C$6),0,IF($E574="","",(IF($B574&gt;Input!$C$9,$X574,0)+AG575)/(1+$L574)*$R574))</f>
        <v>61977.92017387088</v>
      </c>
      <c r="AH574" s="160">
        <f t="shared" si="173"/>
        <v>2.0950137211446997</v>
      </c>
      <c r="AI574" s="160">
        <f>IF($E574="","",MIN(Input!$C$61/AH574,1))</f>
        <v>0.64438718771845094</v>
      </c>
      <c r="AJ574" s="152"/>
      <c r="AK574" s="164">
        <f>IF(AND($C573=12,$D573=Input!$C$6),0,IF($E574="","",IF($B574&gt;Input!$C$9,$AC574*AI574,0)+AK575/(1+$L574)*$R574))</f>
        <v>69740.381894807171</v>
      </c>
      <c r="AL574" s="164">
        <f>IF(AND($C573=12,$D573=Input!$C$6),0,IF($E574="","",IF($B574&gt;Input!$C$9,0,$AC574)+AL575/(1+$L574)*$R574))</f>
        <v>0</v>
      </c>
      <c r="AM574" s="160">
        <f t="shared" si="174"/>
        <v>1.1382936520186004</v>
      </c>
      <c r="AN574" s="164">
        <f>IF($E574="","",IF($B574&gt;Input!$C$9,$AI574*$AC574,$AM574*$AC574))</f>
        <v>0</v>
      </c>
      <c r="AO574" s="164">
        <f>IF(AND($C573=12,$D573=Input!$C$6),0,IF($E574="","",$AN574+AO575/(1+$L574)*$R574))</f>
        <v>69740.381894807171</v>
      </c>
      <c r="AP574" s="152"/>
      <c r="AQ574" s="164">
        <f t="shared" si="175"/>
        <v>-5796.251322533135</v>
      </c>
      <c r="AR574" s="164">
        <f t="shared" si="184"/>
        <v>-5289.1313199145698</v>
      </c>
      <c r="AS574" s="164">
        <f t="shared" si="185"/>
        <v>9259.3301435406702</v>
      </c>
      <c r="AT574" s="164">
        <f t="shared" si="176"/>
        <v>9259.3301435406702</v>
      </c>
      <c r="AU574" s="152"/>
      <c r="AV574" s="147">
        <f>'Deterministic Reserve'!BC574</f>
        <v>9.4481677717647768E-5</v>
      </c>
      <c r="AW574" s="164">
        <f t="shared" si="177"/>
        <v>9259.3301435406702</v>
      </c>
      <c r="AX574" s="164">
        <f t="shared" si="178"/>
        <v>0.87483704650331084</v>
      </c>
      <c r="AY574" s="152"/>
    </row>
    <row r="575" spans="1:51" s="150" customFormat="1" x14ac:dyDescent="0.25">
      <c r="A575" s="150">
        <f t="shared" si="186"/>
        <v>571</v>
      </c>
      <c r="B575" s="150">
        <f t="shared" si="187"/>
        <v>48</v>
      </c>
      <c r="C575" s="150">
        <f t="shared" si="188"/>
        <v>7</v>
      </c>
      <c r="D575" s="150">
        <f>IF(E575="","",Input!$C$4+B575-1)</f>
        <v>92</v>
      </c>
      <c r="E575" s="150">
        <f>IF(OR(AND(C574=12,D574=Input!$C$6),E574=""),"",1)</f>
        <v>1</v>
      </c>
      <c r="F575" s="150">
        <f>IF(E575="","",Input!$C$8+B575-1)</f>
        <v>2065</v>
      </c>
      <c r="G575" s="151">
        <f>IF(E575="","",MAX(0,Input!$C$9-B575))</f>
        <v>0</v>
      </c>
      <c r="H575" s="152">
        <f>IF(E575="","",Input!$C$3)</f>
        <v>100000</v>
      </c>
      <c r="I575" s="153">
        <f>IF(E575="","",HLOOKUP($B575,Input!$C$13:$BT$14,2))</f>
        <v>474.12400000000008</v>
      </c>
      <c r="J575" s="154"/>
      <c r="K575" s="155">
        <f>IF($E575="","",Input!$C$57)</f>
        <v>4.4999999999999998E-2</v>
      </c>
      <c r="L575" s="155">
        <f t="shared" si="179"/>
        <v>3.6748094004368514E-3</v>
      </c>
      <c r="M575" s="147">
        <f>IF($E575="","",VLOOKUP(IF($B575&lt;=Input!$C$7,$B575,26),'Mortality Tables'!$A$72:$CA$97,IF($B575&lt;=Input!$C$7+1,Input!$C$4-16,$D575-Input!$C$7-16),0)/1000)</f>
        <v>0.19352</v>
      </c>
      <c r="N575" s="147">
        <f t="shared" si="168"/>
        <v>1.7763353083420585E-2</v>
      </c>
      <c r="O575" s="157">
        <f>IF($E575="","",IF($C575=12,IF($B575&lt;Input!$C$9,Input!$C$54,IF($B575=Input!$C$9,Input!$C$55,Input!$C$56)),0%))</f>
        <v>0</v>
      </c>
      <c r="P575" s="167">
        <f>IF($E575="","",IF($B575=1,Input!$C$59,IF($B575&lt;6,Input!$C$60,0%)))</f>
        <v>0</v>
      </c>
      <c r="Q575" s="162">
        <f>IF($E575="","",Input!$C$58)</f>
        <v>2.5</v>
      </c>
      <c r="R575" s="156">
        <f t="shared" si="180"/>
        <v>0.98223664691657941</v>
      </c>
      <c r="S575" s="154">
        <f t="shared" si="169"/>
        <v>6.4007082550576646E-4</v>
      </c>
      <c r="T575" s="152"/>
      <c r="U575" s="150">
        <f t="shared" si="181"/>
        <v>0</v>
      </c>
      <c r="V575" s="150">
        <f t="shared" si="182"/>
        <v>0</v>
      </c>
      <c r="W575" s="168">
        <f t="shared" si="183"/>
        <v>0</v>
      </c>
      <c r="X575" s="163">
        <f t="shared" si="170"/>
        <v>1776.3353083420586</v>
      </c>
      <c r="Y575" s="152"/>
      <c r="Z575" s="164">
        <f>IF(AND($C574=12,$D574=Input!$C$6),0,IF($E575="","",V575+Z576/(1+L575)*R575))</f>
        <v>133931.06998932332</v>
      </c>
      <c r="AA575" s="164">
        <f>IF(OR($M575=1,AND($C574=12,$D574=Input!$C$6)),0,IF($E575="","",W575+(X575+AA576*$R575)/(1+$L575)))</f>
        <v>63531.306790431277</v>
      </c>
      <c r="AB575" s="160">
        <f t="shared" si="171"/>
        <v>0.825720328500681</v>
      </c>
      <c r="AC575" s="164">
        <f t="shared" si="172"/>
        <v>0</v>
      </c>
      <c r="AD575" s="164">
        <f>IF(AND($C574=12,$D574=Input!$C$6),0,IF($E575="","",$AC575+AD576/(1+$L575)*$R575))</f>
        <v>110589.60710803169</v>
      </c>
      <c r="AE575" s="152"/>
      <c r="AF575" s="164">
        <f>IF(AND($C574=12,$D574=Input!$C$6),0,IF($E575="","",IF($B575&gt;Input!$C$9,$AC575,0)+AF576/(1+$L575)*$R575))</f>
        <v>110589.60710803169</v>
      </c>
      <c r="AG575" s="164">
        <f>IF(AND($C574=12,$D574=Input!$C$6),0,IF($E575="","",(IF($B575&gt;Input!$C$9,$X575,0)+AG576)/(1+$L575)*$R575))</f>
        <v>61554.306459932777</v>
      </c>
      <c r="AH575" s="160">
        <f t="shared" si="173"/>
        <v>2.0950137211446997</v>
      </c>
      <c r="AI575" s="160">
        <f>IF($E575="","",MIN(Input!$C$61/AH575,1))</f>
        <v>0.64438718771845094</v>
      </c>
      <c r="AJ575" s="152"/>
      <c r="AK575" s="164">
        <f>IF(AND($C574=12,$D574=Input!$C$6),0,IF($E575="","",IF($B575&gt;Input!$C$9,$AC575*AI575,0)+AK576/(1+$L575)*$R575))</f>
        <v>71262.525915232953</v>
      </c>
      <c r="AL575" s="164">
        <f>IF(AND($C574=12,$D574=Input!$C$6),0,IF($E575="","",IF($B575&gt;Input!$C$9,0,$AC575)+AL576/(1+$L575)*$R575))</f>
        <v>0</v>
      </c>
      <c r="AM575" s="160">
        <f t="shared" si="174"/>
        <v>1.1382936520186004</v>
      </c>
      <c r="AN575" s="164">
        <f>IF($E575="","",IF($B575&gt;Input!$C$9,$AI575*$AC575,$AM575*$AC575))</f>
        <v>0</v>
      </c>
      <c r="AO575" s="164">
        <f>IF(AND($C574=12,$D574=Input!$C$6),0,IF($E575="","",$AN575+AO576/(1+$L575)*$R575))</f>
        <v>71262.525915232953</v>
      </c>
      <c r="AP575" s="152"/>
      <c r="AQ575" s="164">
        <f t="shared" si="175"/>
        <v>-7731.2191248016752</v>
      </c>
      <c r="AR575" s="164">
        <f t="shared" si="184"/>
        <v>-5289.1313199145698</v>
      </c>
      <c r="AS575" s="164">
        <f t="shared" si="185"/>
        <v>9259.3301435406702</v>
      </c>
      <c r="AT575" s="164">
        <f t="shared" si="176"/>
        <v>9259.3301435406702</v>
      </c>
      <c r="AU575" s="152"/>
      <c r="AV575" s="147">
        <f>'Deterministic Reserve'!BC575</f>
        <v>9.0286725166319892E-5</v>
      </c>
      <c r="AW575" s="164">
        <f t="shared" si="177"/>
        <v>9259.3301435406702</v>
      </c>
      <c r="AX575" s="164">
        <f t="shared" si="178"/>
        <v>0.83599459589407776</v>
      </c>
      <c r="AY575" s="152"/>
    </row>
    <row r="576" spans="1:51" s="150" customFormat="1" x14ac:dyDescent="0.25">
      <c r="A576" s="150">
        <f t="shared" si="186"/>
        <v>572</v>
      </c>
      <c r="B576" s="150">
        <f t="shared" si="187"/>
        <v>48</v>
      </c>
      <c r="C576" s="150">
        <f t="shared" si="188"/>
        <v>8</v>
      </c>
      <c r="D576" s="150">
        <f>IF(E576="","",Input!$C$4+B576-1)</f>
        <v>92</v>
      </c>
      <c r="E576" s="150">
        <f>IF(OR(AND(C575=12,D575=Input!$C$6),E575=""),"",1)</f>
        <v>1</v>
      </c>
      <c r="F576" s="150">
        <f>IF(E576="","",Input!$C$8+B576-1)</f>
        <v>2065</v>
      </c>
      <c r="G576" s="151">
        <f>IF(E576="","",MAX(0,Input!$C$9-B576))</f>
        <v>0</v>
      </c>
      <c r="H576" s="152">
        <f>IF(E576="","",Input!$C$3)</f>
        <v>100000</v>
      </c>
      <c r="I576" s="153">
        <f>IF(E576="","",HLOOKUP($B576,Input!$C$13:$BT$14,2))</f>
        <v>474.12400000000008</v>
      </c>
      <c r="J576" s="154"/>
      <c r="K576" s="155">
        <f>IF($E576="","",Input!$C$57)</f>
        <v>4.4999999999999998E-2</v>
      </c>
      <c r="L576" s="155">
        <f t="shared" si="179"/>
        <v>3.6748094004368514E-3</v>
      </c>
      <c r="M576" s="147">
        <f>IF($E576="","",VLOOKUP(IF($B576&lt;=Input!$C$7,$B576,26),'Mortality Tables'!$A$72:$CA$97,IF($B576&lt;=Input!$C$7+1,Input!$C$4-16,$D576-Input!$C$7-16),0)/1000)</f>
        <v>0.19352</v>
      </c>
      <c r="N576" s="147">
        <f t="shared" si="168"/>
        <v>1.7763353083420585E-2</v>
      </c>
      <c r="O576" s="157">
        <f>IF($E576="","",IF($C576=12,IF($B576&lt;Input!$C$9,Input!$C$54,IF($B576=Input!$C$9,Input!$C$55,Input!$C$56)),0%))</f>
        <v>0</v>
      </c>
      <c r="P576" s="167">
        <f>IF($E576="","",IF($B576=1,Input!$C$59,IF($B576&lt;6,Input!$C$60,0%)))</f>
        <v>0</v>
      </c>
      <c r="Q576" s="162">
        <f>IF($E576="","",Input!$C$58)</f>
        <v>2.5</v>
      </c>
      <c r="R576" s="156">
        <f t="shared" si="180"/>
        <v>0.98223664691657941</v>
      </c>
      <c r="S576" s="154">
        <f t="shared" si="169"/>
        <v>6.2870102143391103E-4</v>
      </c>
      <c r="T576" s="152"/>
      <c r="U576" s="150">
        <f t="shared" si="181"/>
        <v>0</v>
      </c>
      <c r="V576" s="150">
        <f t="shared" si="182"/>
        <v>0</v>
      </c>
      <c r="W576" s="168">
        <f t="shared" si="183"/>
        <v>0</v>
      </c>
      <c r="X576" s="163">
        <f t="shared" si="170"/>
        <v>1776.3353083420586</v>
      </c>
      <c r="Y576" s="152"/>
      <c r="Z576" s="164">
        <f>IF(AND($C575=12,$D575=Input!$C$6),0,IF($E576="","",V576+Z577/(1+L576)*R576))</f>
        <v>136854.23117362786</v>
      </c>
      <c r="AA576" s="164">
        <f>IF(OR($M576=1,AND($C575=12,$D575=Input!$C$6)),0,IF($E576="","",W576+(X576+AA577*$R576)/(1+$L576)))</f>
        <v>63109.472773285117</v>
      </c>
      <c r="AB576" s="160">
        <f t="shared" si="171"/>
        <v>0.825720328500681</v>
      </c>
      <c r="AC576" s="164">
        <f t="shared" si="172"/>
        <v>0</v>
      </c>
      <c r="AD576" s="164">
        <f>IF(AND($C575=12,$D575=Input!$C$6),0,IF($E576="","",$AC576+AD577/(1+$L576)*$R576))</f>
        <v>113003.32072139608</v>
      </c>
      <c r="AE576" s="152"/>
      <c r="AF576" s="164">
        <f>IF(AND($C575=12,$D575=Input!$C$6),0,IF($E576="","",IF($B576&gt;Input!$C$9,$AC576,0)+AF577/(1+$L576)*$R576))</f>
        <v>113003.32072139608</v>
      </c>
      <c r="AG576" s="164">
        <f>IF(AND($C575=12,$D575=Input!$C$6),0,IF($E576="","",(IF($B576&gt;Input!$C$9,$X576,0)+AG577)/(1+$L576)*$R576))</f>
        <v>61121.447011111639</v>
      </c>
      <c r="AH576" s="160">
        <f t="shared" si="173"/>
        <v>2.0950137211446997</v>
      </c>
      <c r="AI576" s="160">
        <f>IF($E576="","",MIN(Input!$C$61/AH576,1))</f>
        <v>0.64438718771845094</v>
      </c>
      <c r="AJ576" s="152"/>
      <c r="AK576" s="164">
        <f>IF(AND($C575=12,$D575=Input!$C$6),0,IF($E576="","",IF($B576&gt;Input!$C$9,$AC576*AI576,0)+AK577/(1+$L576)*$R576))</f>
        <v>72817.892042506573</v>
      </c>
      <c r="AL576" s="164">
        <f>IF(AND($C575=12,$D575=Input!$C$6),0,IF($E576="","",IF($B576&gt;Input!$C$9,0,$AC576)+AL577/(1+$L576)*$R576))</f>
        <v>0</v>
      </c>
      <c r="AM576" s="160">
        <f t="shared" si="174"/>
        <v>1.1382936520186004</v>
      </c>
      <c r="AN576" s="164">
        <f>IF($E576="","",IF($B576&gt;Input!$C$9,$AI576*$AC576,$AM576*$AC576))</f>
        <v>0</v>
      </c>
      <c r="AO576" s="164">
        <f>IF(AND($C575=12,$D575=Input!$C$6),0,IF($E576="","",$AN576+AO577/(1+$L576)*$R576))</f>
        <v>72817.892042506573</v>
      </c>
      <c r="AP576" s="152"/>
      <c r="AQ576" s="164">
        <f t="shared" si="175"/>
        <v>-9708.4192692214565</v>
      </c>
      <c r="AR576" s="164">
        <f t="shared" si="184"/>
        <v>-5289.1313199145698</v>
      </c>
      <c r="AS576" s="164">
        <f t="shared" si="185"/>
        <v>9259.3301435406702</v>
      </c>
      <c r="AT576" s="164">
        <f t="shared" si="176"/>
        <v>9259.3301435406702</v>
      </c>
      <c r="AU576" s="152"/>
      <c r="AV576" s="147">
        <f>'Deterministic Reserve'!BC576</f>
        <v>8.6278027001376669E-5</v>
      </c>
      <c r="AW576" s="164">
        <f t="shared" si="177"/>
        <v>9259.3301435406702</v>
      </c>
      <c r="AX576" s="164">
        <f t="shared" si="178"/>
        <v>0.79887673613906285</v>
      </c>
      <c r="AY576" s="152"/>
    </row>
    <row r="577" spans="1:51" s="150" customFormat="1" x14ac:dyDescent="0.25">
      <c r="A577" s="150">
        <f t="shared" si="186"/>
        <v>573</v>
      </c>
      <c r="B577" s="150">
        <f t="shared" si="187"/>
        <v>48</v>
      </c>
      <c r="C577" s="150">
        <f t="shared" si="188"/>
        <v>9</v>
      </c>
      <c r="D577" s="150">
        <f>IF(E577="","",Input!$C$4+B577-1)</f>
        <v>92</v>
      </c>
      <c r="E577" s="150">
        <f>IF(OR(AND(C576=12,D576=Input!$C$6),E576=""),"",1)</f>
        <v>1</v>
      </c>
      <c r="F577" s="150">
        <f>IF(E577="","",Input!$C$8+B577-1)</f>
        <v>2065</v>
      </c>
      <c r="G577" s="151">
        <f>IF(E577="","",MAX(0,Input!$C$9-B577))</f>
        <v>0</v>
      </c>
      <c r="H577" s="152">
        <f>IF(E577="","",Input!$C$3)</f>
        <v>100000</v>
      </c>
      <c r="I577" s="153">
        <f>IF(E577="","",HLOOKUP($B577,Input!$C$13:$BT$14,2))</f>
        <v>474.12400000000008</v>
      </c>
      <c r="J577" s="154"/>
      <c r="K577" s="155">
        <f>IF($E577="","",Input!$C$57)</f>
        <v>4.4999999999999998E-2</v>
      </c>
      <c r="L577" s="155">
        <f t="shared" si="179"/>
        <v>3.6748094004368514E-3</v>
      </c>
      <c r="M577" s="147">
        <f>IF($E577="","",VLOOKUP(IF($B577&lt;=Input!$C$7,$B577,26),'Mortality Tables'!$A$72:$CA$97,IF($B577&lt;=Input!$C$7+1,Input!$C$4-16,$D577-Input!$C$7-16),0)/1000)</f>
        <v>0.19352</v>
      </c>
      <c r="N577" s="147">
        <f t="shared" si="168"/>
        <v>1.7763353083420585E-2</v>
      </c>
      <c r="O577" s="157">
        <f>IF($E577="","",IF($C577=12,IF($B577&lt;Input!$C$9,Input!$C$54,IF($B577=Input!$C$9,Input!$C$55,Input!$C$56)),0%))</f>
        <v>0</v>
      </c>
      <c r="P577" s="167">
        <f>IF($E577="","",IF($B577=1,Input!$C$59,IF($B577&lt;6,Input!$C$60,0%)))</f>
        <v>0</v>
      </c>
      <c r="Q577" s="162">
        <f>IF($E577="","",Input!$C$58)</f>
        <v>2.5</v>
      </c>
      <c r="R577" s="156">
        <f t="shared" si="180"/>
        <v>0.98223664691657941</v>
      </c>
      <c r="S577" s="154">
        <f t="shared" si="169"/>
        <v>6.1753318320627326E-4</v>
      </c>
      <c r="T577" s="152"/>
      <c r="U577" s="150">
        <f t="shared" si="181"/>
        <v>0</v>
      </c>
      <c r="V577" s="150">
        <f t="shared" si="182"/>
        <v>0</v>
      </c>
      <c r="W577" s="168">
        <f t="shared" si="183"/>
        <v>0</v>
      </c>
      <c r="X577" s="163">
        <f t="shared" si="170"/>
        <v>1776.3353083420586</v>
      </c>
      <c r="Y577" s="152"/>
      <c r="Z577" s="164">
        <f>IF(AND($C576=12,$D576=Input!$C$6),0,IF($E577="","",V577+Z578/(1+L577)*R577))</f>
        <v>139841.19287345212</v>
      </c>
      <c r="AA577" s="164">
        <f>IF(OR($M577=1,AND($C576=12,$D576=Input!$C$6)),0,IF($E577="","",W577+(X577+AA578*$R577)/(1+$L577)))</f>
        <v>62678.431864674269</v>
      </c>
      <c r="AB577" s="160">
        <f t="shared" si="171"/>
        <v>0.825720328500681</v>
      </c>
      <c r="AC577" s="164">
        <f t="shared" si="172"/>
        <v>0</v>
      </c>
      <c r="AD577" s="164">
        <f>IF(AND($C576=12,$D576=Input!$C$6),0,IF($E577="","",$AC577+AD578/(1+$L577)*$R577))</f>
        <v>115469.71571739392</v>
      </c>
      <c r="AE577" s="152"/>
      <c r="AF577" s="164">
        <f>IF(AND($C576=12,$D576=Input!$C$6),0,IF($E577="","",IF($B577&gt;Input!$C$9,$AC577,0)+AF578/(1+$L577)*$R577))</f>
        <v>115469.71571739392</v>
      </c>
      <c r="AG577" s="164">
        <f>IF(AND($C576=12,$D576=Input!$C$6),0,IF($E577="","",(IF($B577&gt;Input!$C$9,$X577,0)+AG578)/(1+$L577)*$R577))</f>
        <v>60679.140031264622</v>
      </c>
      <c r="AH577" s="160">
        <f t="shared" si="173"/>
        <v>2.0950137211446997</v>
      </c>
      <c r="AI577" s="160">
        <f>IF($E577="","",MIN(Input!$C$61/AH577,1))</f>
        <v>0.64438718771845094</v>
      </c>
      <c r="AJ577" s="152"/>
      <c r="AK577" s="164">
        <f>IF(AND($C576=12,$D576=Input!$C$6),0,IF($E577="","",IF($B577&gt;Input!$C$9,$AC577*AI577,0)+AK578/(1+$L577)*$R577))</f>
        <v>74407.205377780483</v>
      </c>
      <c r="AL577" s="164">
        <f>IF(AND($C576=12,$D576=Input!$C$6),0,IF($E577="","",IF($B577&gt;Input!$C$9,0,$AC577)+AL578/(1+$L577)*$R577))</f>
        <v>0</v>
      </c>
      <c r="AM577" s="160">
        <f t="shared" si="174"/>
        <v>1.1382936520186004</v>
      </c>
      <c r="AN577" s="164">
        <f>IF($E577="","",IF($B577&gt;Input!$C$9,$AI577*$AC577,$AM577*$AC577))</f>
        <v>0</v>
      </c>
      <c r="AO577" s="164">
        <f>IF(AND($C576=12,$D576=Input!$C$6),0,IF($E577="","",$AN577+AO578/(1+$L577)*$R577))</f>
        <v>74407.205377780483</v>
      </c>
      <c r="AP577" s="152"/>
      <c r="AQ577" s="164">
        <f t="shared" si="175"/>
        <v>-11728.773513106215</v>
      </c>
      <c r="AR577" s="164">
        <f t="shared" si="184"/>
        <v>-5289.1313199145698</v>
      </c>
      <c r="AS577" s="164">
        <f t="shared" si="185"/>
        <v>9259.3301435406702</v>
      </c>
      <c r="AT577" s="164">
        <f t="shared" si="176"/>
        <v>9259.3301435406702</v>
      </c>
      <c r="AU577" s="152"/>
      <c r="AV577" s="147">
        <f>'Deterministic Reserve'!BC577</f>
        <v>8.2447313594968168E-5</v>
      </c>
      <c r="AW577" s="164">
        <f t="shared" si="177"/>
        <v>9259.3301435406702</v>
      </c>
      <c r="AX577" s="164">
        <f t="shared" si="178"/>
        <v>0.76340689602383927</v>
      </c>
      <c r="AY577" s="152"/>
    </row>
    <row r="578" spans="1:51" s="150" customFormat="1" x14ac:dyDescent="0.25">
      <c r="A578" s="150">
        <f t="shared" si="186"/>
        <v>574</v>
      </c>
      <c r="B578" s="150">
        <f t="shared" si="187"/>
        <v>48</v>
      </c>
      <c r="C578" s="150">
        <f t="shared" si="188"/>
        <v>10</v>
      </c>
      <c r="D578" s="150">
        <f>IF(E578="","",Input!$C$4+B578-1)</f>
        <v>92</v>
      </c>
      <c r="E578" s="150">
        <f>IF(OR(AND(C577=12,D577=Input!$C$6),E577=""),"",1)</f>
        <v>1</v>
      </c>
      <c r="F578" s="150">
        <f>IF(E578="","",Input!$C$8+B578-1)</f>
        <v>2065</v>
      </c>
      <c r="G578" s="151">
        <f>IF(E578="","",MAX(0,Input!$C$9-B578))</f>
        <v>0</v>
      </c>
      <c r="H578" s="152">
        <f>IF(E578="","",Input!$C$3)</f>
        <v>100000</v>
      </c>
      <c r="I578" s="153">
        <f>IF(E578="","",HLOOKUP($B578,Input!$C$13:$BT$14,2))</f>
        <v>474.12400000000008</v>
      </c>
      <c r="J578" s="154"/>
      <c r="K578" s="155">
        <f>IF($E578="","",Input!$C$57)</f>
        <v>4.4999999999999998E-2</v>
      </c>
      <c r="L578" s="155">
        <f t="shared" si="179"/>
        <v>3.6748094004368514E-3</v>
      </c>
      <c r="M578" s="147">
        <f>IF($E578="","",VLOOKUP(IF($B578&lt;=Input!$C$7,$B578,26),'Mortality Tables'!$A$72:$CA$97,IF($B578&lt;=Input!$C$7+1,Input!$C$4-16,$D578-Input!$C$7-16),0)/1000)</f>
        <v>0.19352</v>
      </c>
      <c r="N578" s="147">
        <f t="shared" si="168"/>
        <v>1.7763353083420585E-2</v>
      </c>
      <c r="O578" s="157">
        <f>IF($E578="","",IF($C578=12,IF($B578&lt;Input!$C$9,Input!$C$54,IF($B578=Input!$C$9,Input!$C$55,Input!$C$56)),0%))</f>
        <v>0</v>
      </c>
      <c r="P578" s="167">
        <f>IF($E578="","",IF($B578=1,Input!$C$59,IF($B578&lt;6,Input!$C$60,0%)))</f>
        <v>0</v>
      </c>
      <c r="Q578" s="162">
        <f>IF($E578="","",Input!$C$58)</f>
        <v>2.5</v>
      </c>
      <c r="R578" s="156">
        <f t="shared" si="180"/>
        <v>0.98223664691657941</v>
      </c>
      <c r="S578" s="154">
        <f t="shared" si="169"/>
        <v>6.0656372323225161E-4</v>
      </c>
      <c r="T578" s="152"/>
      <c r="U578" s="150">
        <f t="shared" si="181"/>
        <v>0</v>
      </c>
      <c r="V578" s="150">
        <f t="shared" si="182"/>
        <v>0</v>
      </c>
      <c r="W578" s="168">
        <f t="shared" si="183"/>
        <v>0</v>
      </c>
      <c r="X578" s="163">
        <f t="shared" si="170"/>
        <v>1776.3353083420586</v>
      </c>
      <c r="Y578" s="152"/>
      <c r="Z578" s="164">
        <f>IF(AND($C577=12,$D577=Input!$C$6),0,IF($E578="","",V578+Z579/(1+L578)*R578))</f>
        <v>142893.3475901068</v>
      </c>
      <c r="AA578" s="164">
        <f>IF(OR($M578=1,AND($C577=12,$D577=Input!$C$6)),0,IF($E578="","",W578+(X578+AA579*$R578)/(1+$L578)))</f>
        <v>62237.983116247022</v>
      </c>
      <c r="AB578" s="160">
        <f t="shared" si="171"/>
        <v>0.825720328500681</v>
      </c>
      <c r="AC578" s="164">
        <f t="shared" si="172"/>
        <v>0</v>
      </c>
      <c r="AD578" s="164">
        <f>IF(AND($C577=12,$D577=Input!$C$6),0,IF($E578="","",$AC578+AD579/(1+$L578)*$R578))</f>
        <v>117989.94191266492</v>
      </c>
      <c r="AE578" s="152"/>
      <c r="AF578" s="164">
        <f>IF(AND($C577=12,$D577=Input!$C$6),0,IF($E578="","",IF($B578&gt;Input!$C$9,$AC578,0)+AF579/(1+$L578)*$R578))</f>
        <v>117989.94191266492</v>
      </c>
      <c r="AG578" s="164">
        <f>IF(AND($C577=12,$D577=Input!$C$6),0,IF($E578="","",(IF($B578&gt;Input!$C$9,$X578,0)+AG579)/(1+$L578)*$R578))</f>
        <v>60227.179319873911</v>
      </c>
      <c r="AH578" s="160">
        <f t="shared" si="173"/>
        <v>2.0950137211446997</v>
      </c>
      <c r="AI578" s="160">
        <f>IF($E578="","",MIN(Input!$C$61/AH578,1))</f>
        <v>0.64438718771845094</v>
      </c>
      <c r="AJ578" s="152"/>
      <c r="AK578" s="164">
        <f>IF(AND($C577=12,$D577=Input!$C$6),0,IF($E578="","",IF($B578&gt;Input!$C$9,$AC578*AI578,0)+AK579/(1+$L578)*$R578))</f>
        <v>76031.20684816553</v>
      </c>
      <c r="AL578" s="164">
        <f>IF(AND($C577=12,$D577=Input!$C$6),0,IF($E578="","",IF($B578&gt;Input!$C$9,0,$AC578)+AL579/(1+$L578)*$R578))</f>
        <v>0</v>
      </c>
      <c r="AM578" s="160">
        <f t="shared" si="174"/>
        <v>1.1382936520186004</v>
      </c>
      <c r="AN578" s="164">
        <f>IF($E578="","",IF($B578&gt;Input!$C$9,$AI578*$AC578,$AM578*$AC578))</f>
        <v>0</v>
      </c>
      <c r="AO578" s="164">
        <f>IF(AND($C577=12,$D577=Input!$C$6),0,IF($E578="","",$AN578+AO579/(1+$L578)*$R578))</f>
        <v>76031.20684816553</v>
      </c>
      <c r="AP578" s="152"/>
      <c r="AQ578" s="164">
        <f t="shared" si="175"/>
        <v>-13793.223731918508</v>
      </c>
      <c r="AR578" s="164">
        <f t="shared" si="184"/>
        <v>-5289.1313199145698</v>
      </c>
      <c r="AS578" s="164">
        <f t="shared" si="185"/>
        <v>9259.3301435406702</v>
      </c>
      <c r="AT578" s="164">
        <f t="shared" si="176"/>
        <v>9259.3301435406702</v>
      </c>
      <c r="AU578" s="152"/>
      <c r="AV578" s="147">
        <f>'Deterministic Reserve'!BC578</f>
        <v>7.8786682487750451E-5</v>
      </c>
      <c r="AW578" s="164">
        <f t="shared" si="177"/>
        <v>9259.3301435406702</v>
      </c>
      <c r="AX578" s="164">
        <f t="shared" si="178"/>
        <v>0.72951190406839561</v>
      </c>
      <c r="AY578" s="152"/>
    </row>
    <row r="579" spans="1:51" s="150" customFormat="1" x14ac:dyDescent="0.25">
      <c r="A579" s="150">
        <f t="shared" si="186"/>
        <v>575</v>
      </c>
      <c r="B579" s="150">
        <f t="shared" si="187"/>
        <v>48</v>
      </c>
      <c r="C579" s="150">
        <f t="shared" si="188"/>
        <v>11</v>
      </c>
      <c r="D579" s="150">
        <f>IF(E579="","",Input!$C$4+B579-1)</f>
        <v>92</v>
      </c>
      <c r="E579" s="150">
        <f>IF(OR(AND(C578=12,D578=Input!$C$6),E578=""),"",1)</f>
        <v>1</v>
      </c>
      <c r="F579" s="150">
        <f>IF(E579="","",Input!$C$8+B579-1)</f>
        <v>2065</v>
      </c>
      <c r="G579" s="151">
        <f>IF(E579="","",MAX(0,Input!$C$9-B579))</f>
        <v>0</v>
      </c>
      <c r="H579" s="152">
        <f>IF(E579="","",Input!$C$3)</f>
        <v>100000</v>
      </c>
      <c r="I579" s="153">
        <f>IF(E579="","",HLOOKUP($B579,Input!$C$13:$BT$14,2))</f>
        <v>474.12400000000008</v>
      </c>
      <c r="J579" s="154"/>
      <c r="K579" s="155">
        <f>IF($E579="","",Input!$C$57)</f>
        <v>4.4999999999999998E-2</v>
      </c>
      <c r="L579" s="155">
        <f t="shared" si="179"/>
        <v>3.6748094004368514E-3</v>
      </c>
      <c r="M579" s="147">
        <f>IF($E579="","",VLOOKUP(IF($B579&lt;=Input!$C$7,$B579,26),'Mortality Tables'!$A$72:$CA$97,IF($B579&lt;=Input!$C$7+1,Input!$C$4-16,$D579-Input!$C$7-16),0)/1000)</f>
        <v>0.19352</v>
      </c>
      <c r="N579" s="147">
        <f t="shared" si="168"/>
        <v>1.7763353083420585E-2</v>
      </c>
      <c r="O579" s="157">
        <f>IF($E579="","",IF($C579=12,IF($B579&lt;Input!$C$9,Input!$C$54,IF($B579=Input!$C$9,Input!$C$55,Input!$C$56)),0%))</f>
        <v>0</v>
      </c>
      <c r="P579" s="167">
        <f>IF($E579="","",IF($B579=1,Input!$C$59,IF($B579&lt;6,Input!$C$60,0%)))</f>
        <v>0</v>
      </c>
      <c r="Q579" s="162">
        <f>IF($E579="","",Input!$C$58)</f>
        <v>2.5</v>
      </c>
      <c r="R579" s="156">
        <f t="shared" si="180"/>
        <v>0.98223664691657941</v>
      </c>
      <c r="S579" s="154">
        <f t="shared" si="169"/>
        <v>5.9578911764888293E-4</v>
      </c>
      <c r="T579" s="152"/>
      <c r="U579" s="150">
        <f t="shared" si="181"/>
        <v>0</v>
      </c>
      <c r="V579" s="150">
        <f t="shared" si="182"/>
        <v>0</v>
      </c>
      <c r="W579" s="168">
        <f t="shared" si="183"/>
        <v>0</v>
      </c>
      <c r="X579" s="163">
        <f t="shared" si="170"/>
        <v>1776.3353083420586</v>
      </c>
      <c r="Y579" s="152"/>
      <c r="Z579" s="164">
        <f>IF(AND($C578=12,$D578=Input!$C$6),0,IF($E579="","",V579+Z580/(1+L579)*R579))</f>
        <v>146012.11821744544</v>
      </c>
      <c r="AA579" s="164">
        <f>IF(OR($M579=1,AND($C578=12,$D578=Input!$C$6)),0,IF($E579="","",W579+(X579+AA580*$R579)/(1+$L579)))</f>
        <v>61787.921193780465</v>
      </c>
      <c r="AB579" s="160">
        <f t="shared" si="171"/>
        <v>0.825720328500681</v>
      </c>
      <c r="AC579" s="164">
        <f t="shared" si="172"/>
        <v>0</v>
      </c>
      <c r="AD579" s="164">
        <f>IF(AND($C578=12,$D578=Input!$C$6),0,IF($E579="","",$AC579+AD580/(1+$L579)*$R579))</f>
        <v>120565.17421958926</v>
      </c>
      <c r="AE579" s="152"/>
      <c r="AF579" s="164">
        <f>IF(AND($C578=12,$D578=Input!$C$6),0,IF($E579="","",IF($B579&gt;Input!$C$9,$AC579,0)+AF580/(1+$L579)*$R579))</f>
        <v>120565.17421958926</v>
      </c>
      <c r="AG579" s="164">
        <f>IF(AND($C578=12,$D578=Input!$C$6),0,IF($E579="","",(IF($B579&gt;Input!$C$9,$X579,0)+AG580)/(1+$L579)*$R579))</f>
        <v>59765.354175917455</v>
      </c>
      <c r="AH579" s="160">
        <f t="shared" si="173"/>
        <v>2.0950137211446997</v>
      </c>
      <c r="AI579" s="160">
        <f>IF($E579="","",MIN(Input!$C$61/AH579,1))</f>
        <v>0.64438718771845094</v>
      </c>
      <c r="AJ579" s="152"/>
      <c r="AK579" s="164">
        <f>IF(AND($C578=12,$D578=Input!$C$6),0,IF($E579="","",IF($B579&gt;Input!$C$9,$AC579*AI579,0)+AK580/(1+$L579)*$R579))</f>
        <v>77690.653552146206</v>
      </c>
      <c r="AL579" s="164">
        <f>IF(AND($C578=12,$D578=Input!$C$6),0,IF($E579="","",IF($B579&gt;Input!$C$9,0,$AC579)+AL580/(1+$L579)*$R579))</f>
        <v>0</v>
      </c>
      <c r="AM579" s="160">
        <f t="shared" si="174"/>
        <v>1.1382936520186004</v>
      </c>
      <c r="AN579" s="164">
        <f>IF($E579="","",IF($B579&gt;Input!$C$9,$AI579*$AC579,$AM579*$AC579))</f>
        <v>0</v>
      </c>
      <c r="AO579" s="164">
        <f>IF(AND($C578=12,$D578=Input!$C$6),0,IF($E579="","",$AN579+AO580/(1+$L579)*$R579))</f>
        <v>77690.653552146206</v>
      </c>
      <c r="AP579" s="152"/>
      <c r="AQ579" s="164">
        <f t="shared" si="175"/>
        <v>-15902.732358365742</v>
      </c>
      <c r="AR579" s="164">
        <f t="shared" si="184"/>
        <v>-5289.1313199145698</v>
      </c>
      <c r="AS579" s="164">
        <f t="shared" si="185"/>
        <v>9259.3301435406702</v>
      </c>
      <c r="AT579" s="164">
        <f t="shared" si="176"/>
        <v>9259.3301435406702</v>
      </c>
      <c r="AU579" s="152"/>
      <c r="AV579" s="147">
        <f>'Deterministic Reserve'!BC579</f>
        <v>7.528858208673572E-5</v>
      </c>
      <c r="AW579" s="164">
        <f t="shared" si="177"/>
        <v>9259.3301435406702</v>
      </c>
      <c r="AX579" s="164">
        <f t="shared" si="178"/>
        <v>0.69712183758014823</v>
      </c>
      <c r="AY579" s="152"/>
    </row>
    <row r="580" spans="1:51" s="150" customFormat="1" x14ac:dyDescent="0.25">
      <c r="A580" s="150">
        <f t="shared" si="186"/>
        <v>576</v>
      </c>
      <c r="B580" s="150">
        <f t="shared" si="187"/>
        <v>48</v>
      </c>
      <c r="C580" s="150">
        <f t="shared" si="188"/>
        <v>12</v>
      </c>
      <c r="D580" s="150">
        <f>IF(E580="","",Input!$C$4+B580-1)</f>
        <v>92</v>
      </c>
      <c r="E580" s="150">
        <f>IF(OR(AND(C579=12,D579=Input!$C$6),E579=""),"",1)</f>
        <v>1</v>
      </c>
      <c r="F580" s="150">
        <f>IF(E580="","",Input!$C$8+B580-1)</f>
        <v>2065</v>
      </c>
      <c r="G580" s="151">
        <f>IF(E580="","",MAX(0,Input!$C$9-B580))</f>
        <v>0</v>
      </c>
      <c r="H580" s="152">
        <f>IF(E580="","",Input!$C$3)</f>
        <v>100000</v>
      </c>
      <c r="I580" s="153">
        <f>IF(E580="","",HLOOKUP($B580,Input!$C$13:$BT$14,2))</f>
        <v>474.12400000000008</v>
      </c>
      <c r="J580" s="154"/>
      <c r="K580" s="155">
        <f>IF($E580="","",Input!$C$57)</f>
        <v>4.4999999999999998E-2</v>
      </c>
      <c r="L580" s="155">
        <f t="shared" si="179"/>
        <v>3.6748094004368514E-3</v>
      </c>
      <c r="M580" s="147">
        <f>IF($E580="","",VLOOKUP(IF($B580&lt;=Input!$C$7,$B580,26),'Mortality Tables'!$A$72:$CA$97,IF($B580&lt;=Input!$C$7+1,Input!$C$4-16,$D580-Input!$C$7-16),0)/1000)</f>
        <v>0.19352</v>
      </c>
      <c r="N580" s="147">
        <f t="shared" si="168"/>
        <v>1.7763353083420585E-2</v>
      </c>
      <c r="O580" s="157">
        <f>IF($E580="","",IF($C580=12,IF($B580&lt;Input!$C$9,Input!$C$54,IF($B580=Input!$C$9,Input!$C$55,Input!$C$56)),0%))</f>
        <v>0.1</v>
      </c>
      <c r="P580" s="167">
        <f>IF($E580="","",IF($B580=1,Input!$C$59,IF($B580&lt;6,Input!$C$60,0%)))</f>
        <v>0</v>
      </c>
      <c r="Q580" s="162">
        <f>IF($E580="","",Input!$C$58)</f>
        <v>2.5</v>
      </c>
      <c r="R580" s="156">
        <f t="shared" si="180"/>
        <v>0.88223664691657944</v>
      </c>
      <c r="S580" s="154">
        <f t="shared" si="169"/>
        <v>5.256269934239379E-4</v>
      </c>
      <c r="T580" s="152"/>
      <c r="U580" s="150">
        <f t="shared" si="181"/>
        <v>0</v>
      </c>
      <c r="V580" s="150">
        <f t="shared" si="182"/>
        <v>0</v>
      </c>
      <c r="W580" s="168">
        <f t="shared" si="183"/>
        <v>0</v>
      </c>
      <c r="X580" s="163">
        <f t="shared" si="170"/>
        <v>1776.3353083420586</v>
      </c>
      <c r="Y580" s="152"/>
      <c r="Z580" s="164">
        <f>IF(AND($C579=12,$D579=Input!$C$6),0,IF($E580="","",V580+Z581/(1+L580)*R580))</f>
        <v>149198.95870520792</v>
      </c>
      <c r="AA580" s="164">
        <f>IF(OR($M580=1,AND($C579=12,$D579=Input!$C$6)),0,IF($E580="","",W580+(X580+AA581*$R580)/(1+$L580)))</f>
        <v>61328.036281455075</v>
      </c>
      <c r="AB580" s="160">
        <f t="shared" si="171"/>
        <v>0.825720328500681</v>
      </c>
      <c r="AC580" s="164">
        <f t="shared" si="172"/>
        <v>0</v>
      </c>
      <c r="AD580" s="164">
        <f>IF(AND($C579=12,$D579=Input!$C$6),0,IF($E580="","",$AC580+AD581/(1+$L580)*$R580))</f>
        <v>123196.61319402375</v>
      </c>
      <c r="AE580" s="152"/>
      <c r="AF580" s="164">
        <f>IF(AND($C579=12,$D579=Input!$C$6),0,IF($E580="","",IF($B580&gt;Input!$C$9,$AC580,0)+AF581/(1+$L580)*$R580))</f>
        <v>123196.61319402375</v>
      </c>
      <c r="AG580" s="164">
        <f>IF(AND($C579=12,$D579=Input!$C$6),0,IF($E580="","",(IF($B580&gt;Input!$C$9,$X580,0)+AG581)/(1+$L580)*$R580))</f>
        <v>59293.449299641557</v>
      </c>
      <c r="AH580" s="160">
        <f t="shared" si="173"/>
        <v>2.0950137211446997</v>
      </c>
      <c r="AI580" s="160">
        <f>IF($E580="","",MIN(Input!$C$61/AH580,1))</f>
        <v>0.64438718771845094</v>
      </c>
      <c r="AJ580" s="152"/>
      <c r="AK580" s="164">
        <f>IF(AND($C579=12,$D579=Input!$C$6),0,IF($E580="","",IF($B580&gt;Input!$C$9,$AC580*AI580,0)+AK581/(1+$L580)*$R580))</f>
        <v>79386.319112534766</v>
      </c>
      <c r="AL580" s="164">
        <f>IF(AND($C579=12,$D579=Input!$C$6),0,IF($E580="","",IF($B580&gt;Input!$C$9,0,$AC580)+AL581/(1+$L580)*$R580))</f>
        <v>0</v>
      </c>
      <c r="AM580" s="160">
        <f t="shared" si="174"/>
        <v>1.1382936520186004</v>
      </c>
      <c r="AN580" s="164">
        <f>IF($E580="","",IF($B580&gt;Input!$C$9,$AI580*$AC580,$AM580*$AC580))</f>
        <v>0</v>
      </c>
      <c r="AO580" s="164">
        <f>IF(AND($C579=12,$D579=Input!$C$6),0,IF($E580="","",$AN580+AO581/(1+$L580)*$R580))</f>
        <v>79386.319112534766</v>
      </c>
      <c r="AP580" s="152"/>
      <c r="AQ580" s="164">
        <f t="shared" si="175"/>
        <v>-18058.28283107969</v>
      </c>
      <c r="AR580" s="164">
        <f t="shared" si="184"/>
        <v>-5289.1313199145698</v>
      </c>
      <c r="AS580" s="164">
        <f t="shared" si="185"/>
        <v>9259.3301435406702</v>
      </c>
      <c r="AT580" s="164">
        <f t="shared" si="176"/>
        <v>9259.3301435406702</v>
      </c>
      <c r="AU580" s="152"/>
      <c r="AV580" s="147">
        <f>'Deterministic Reserve'!BC580</f>
        <v>6.4416937878278649E-5</v>
      </c>
      <c r="AW580" s="164">
        <f t="shared" si="177"/>
        <v>9259.3301435406702</v>
      </c>
      <c r="AX580" s="164">
        <f t="shared" si="178"/>
        <v>0.59645769465093224</v>
      </c>
      <c r="AY580" s="152"/>
    </row>
    <row r="581" spans="1:51" s="150" customFormat="1" x14ac:dyDescent="0.25">
      <c r="A581" s="150">
        <f t="shared" si="186"/>
        <v>577</v>
      </c>
      <c r="B581" s="150">
        <f t="shared" si="187"/>
        <v>49</v>
      </c>
      <c r="C581" s="150">
        <f t="shared" si="188"/>
        <v>1</v>
      </c>
      <c r="D581" s="150">
        <f>IF(E581="","",Input!$C$4+B581-1)</f>
        <v>93</v>
      </c>
      <c r="E581" s="150">
        <f>IF(OR(AND(C580=12,D580=Input!$C$6),E580=""),"",1)</f>
        <v>1</v>
      </c>
      <c r="F581" s="150">
        <f>IF(E581="","",Input!$C$8+B581-1)</f>
        <v>2066</v>
      </c>
      <c r="G581" s="151">
        <f>IF(E581="","",MAX(0,Input!$C$9-B581))</f>
        <v>0</v>
      </c>
      <c r="H581" s="152">
        <f>IF(E581="","",Input!$C$3)</f>
        <v>100000</v>
      </c>
      <c r="I581" s="153">
        <f>IF(E581="","",HLOOKUP($B581,Input!$C$13:$BT$14,2))</f>
        <v>518.15050000000008</v>
      </c>
      <c r="J581" s="154"/>
      <c r="K581" s="155">
        <f>IF($E581="","",Input!$C$57)</f>
        <v>4.4999999999999998E-2</v>
      </c>
      <c r="L581" s="155">
        <f t="shared" si="179"/>
        <v>3.6748094004368514E-3</v>
      </c>
      <c r="M581" s="147">
        <f>IF($E581="","",VLOOKUP(IF($B581&lt;=Input!$C$7,$B581,26),'Mortality Tables'!$A$72:$CA$97,IF($B581&lt;=Input!$C$7+1,Input!$C$4-16,$D581-Input!$C$7-16),0)/1000)</f>
        <v>0.21149000000000001</v>
      </c>
      <c r="N581" s="147">
        <f t="shared" ref="N581:N644" si="189">IF($E581="","",1-(1-M581)^(1/12))</f>
        <v>1.9606099900176255E-2</v>
      </c>
      <c r="O581" s="157">
        <f>IF($E581="","",IF($C581=12,IF($B581&lt;Input!$C$9,Input!$C$54,IF($B581=Input!$C$9,Input!$C$55,Input!$C$56)),0%))</f>
        <v>0</v>
      </c>
      <c r="P581" s="167">
        <f>IF($E581="","",IF($B581=1,Input!$C$59,IF($B581&lt;6,Input!$C$60,0%)))</f>
        <v>0</v>
      </c>
      <c r="Q581" s="162">
        <f>IF($E581="","",Input!$C$58)</f>
        <v>2.5</v>
      </c>
      <c r="R581" s="156">
        <f t="shared" si="180"/>
        <v>0.98039390009982375</v>
      </c>
      <c r="S581" s="154">
        <f t="shared" ref="S581:S644" si="190">IF($E581="","",IF(AND($B581=1,$C581=1),1,S580*R581))</f>
        <v>5.1532149808063892E-4</v>
      </c>
      <c r="T581" s="152"/>
      <c r="U581" s="150">
        <f t="shared" si="181"/>
        <v>51815.05000000001</v>
      </c>
      <c r="V581" s="150">
        <f t="shared" si="182"/>
        <v>51815.05000000001</v>
      </c>
      <c r="W581" s="168">
        <f t="shared" si="183"/>
        <v>0</v>
      </c>
      <c r="X581" s="163">
        <f t="shared" ref="X581:X644" si="191">IF($E581="","",N581*$H581)</f>
        <v>1960.6099900176255</v>
      </c>
      <c r="Y581" s="152"/>
      <c r="Z581" s="164">
        <f>IF(AND($C580=12,$D580=Input!$C$6),0,IF($E581="","",V581+Z582/(1+L581)*R581))</f>
        <v>169735.90585310684</v>
      </c>
      <c r="AA581" s="164">
        <f>IF(OR($M581=1,AND($C580=12,$D580=Input!$C$6)),0,IF($E581="","",W581+(X581+AA582*$R581)/(1+$L581)))</f>
        <v>67756.276081107644</v>
      </c>
      <c r="AB581" s="160">
        <f t="shared" ref="AB581:AB644" si="192">IF($E581="","",$AA$5/$Z$5)</f>
        <v>0.825720328500681</v>
      </c>
      <c r="AC581" s="164">
        <f t="shared" ref="AC581:AC644" si="193">IF($E581="","",V581*AB581)</f>
        <v>42784.74010727922</v>
      </c>
      <c r="AD581" s="164">
        <f>IF(AND($C580=12,$D580=Input!$C$6),0,IF($E581="","",$AC581+AD582/(1+$L581)*$R581))</f>
        <v>140154.38793938799</v>
      </c>
      <c r="AE581" s="152"/>
      <c r="AF581" s="164">
        <f>IF(AND($C580=12,$D580=Input!$C$6),0,IF($E581="","",IF($B581&gt;Input!$C$9,$AC581,0)+AF582/(1+$L581)*$R581))</f>
        <v>140154.38793938799</v>
      </c>
      <c r="AG581" s="164">
        <f>IF(AND($C580=12,$D580=Input!$C$6),0,IF($E581="","",(IF($B581&gt;Input!$C$9,$X581,0)+AG582)/(1+$L581)*$R581))</f>
        <v>65678.742229532378</v>
      </c>
      <c r="AH581" s="160">
        <f t="shared" ref="AH581:AH644" si="194">IF($E581="","",$AF$5/$AG$5)</f>
        <v>2.0950137211446997</v>
      </c>
      <c r="AI581" s="160">
        <f>IF($E581="","",MIN(Input!$C$61/AH581,1))</f>
        <v>0.64438718771845094</v>
      </c>
      <c r="AJ581" s="152"/>
      <c r="AK581" s="164">
        <f>IF(AND($C580=12,$D580=Input!$C$6),0,IF($E581="","",IF($B581&gt;Input!$C$9,$AC581*AI581,0)+AK582/(1+$L581)*$R581))</f>
        <v>90313.691890662987</v>
      </c>
      <c r="AL581" s="164">
        <f>IF(AND($C580=12,$D580=Input!$C$6),0,IF($E581="","",IF($B581&gt;Input!$C$9,0,$AC581)+AL582/(1+$L581)*$R581))</f>
        <v>0</v>
      </c>
      <c r="AM581" s="160">
        <f t="shared" ref="AM581:AM644" si="195">IF($E581="","",($AD$5-$AK$5)/$AL$5)</f>
        <v>1.1382936520186004</v>
      </c>
      <c r="AN581" s="164">
        <f>IF($E581="","",IF($B581&gt;Input!$C$9,$AI581*$AC581,$AM581*$AC581))</f>
        <v>27569.938354994472</v>
      </c>
      <c r="AO581" s="164">
        <f>IF(AND($C580=12,$D580=Input!$C$6),0,IF($E581="","",$AN581+AO582/(1+$L581)*$R581))</f>
        <v>90313.691890662987</v>
      </c>
      <c r="AP581" s="152"/>
      <c r="AQ581" s="164">
        <f t="shared" ref="AQ581:AQ644" si="196">IF($E581="","",$AA581-$AO581)</f>
        <v>-22557.415809555343</v>
      </c>
      <c r="AR581" s="164">
        <f t="shared" si="184"/>
        <v>-4402.251889341007</v>
      </c>
      <c r="AS581" s="164">
        <f t="shared" si="185"/>
        <v>10119.138755980863</v>
      </c>
      <c r="AT581" s="164">
        <f t="shared" ref="AT581:AT644" si="197">IF($E581="","",MAX($AR581,$AS581))</f>
        <v>10119.138755980863</v>
      </c>
      <c r="AU581" s="152"/>
      <c r="AV581" s="147">
        <f>'Deterministic Reserve'!BC581</f>
        <v>6.1226060929050135E-5</v>
      </c>
      <c r="AW581" s="164">
        <f t="shared" ref="AW581:AW644" si="198">IF($E581="","",$AT581)</f>
        <v>10119.138755980863</v>
      </c>
      <c r="AX581" s="164">
        <f t="shared" ref="AX581:AX644" si="199">IF($E581="","",AV581*AW581)</f>
        <v>0.61955500602319691</v>
      </c>
      <c r="AY581" s="152"/>
    </row>
    <row r="582" spans="1:51" s="150" customFormat="1" x14ac:dyDescent="0.25">
      <c r="A582" s="150">
        <f t="shared" si="186"/>
        <v>578</v>
      </c>
      <c r="B582" s="150">
        <f t="shared" si="187"/>
        <v>49</v>
      </c>
      <c r="C582" s="150">
        <f t="shared" si="188"/>
        <v>2</v>
      </c>
      <c r="D582" s="150">
        <f>IF(E582="","",Input!$C$4+B582-1)</f>
        <v>93</v>
      </c>
      <c r="E582" s="150">
        <f>IF(OR(AND(C581=12,D581=Input!$C$6),E581=""),"",1)</f>
        <v>1</v>
      </c>
      <c r="F582" s="150">
        <f>IF(E582="","",Input!$C$8+B582-1)</f>
        <v>2066</v>
      </c>
      <c r="G582" s="151">
        <f>IF(E582="","",MAX(0,Input!$C$9-B582))</f>
        <v>0</v>
      </c>
      <c r="H582" s="152">
        <f>IF(E582="","",Input!$C$3)</f>
        <v>100000</v>
      </c>
      <c r="I582" s="153">
        <f>IF(E582="","",HLOOKUP($B582,Input!$C$13:$BT$14,2))</f>
        <v>518.15050000000008</v>
      </c>
      <c r="J582" s="154"/>
      <c r="K582" s="155">
        <f>IF($E582="","",Input!$C$57)</f>
        <v>4.4999999999999998E-2</v>
      </c>
      <c r="L582" s="155">
        <f t="shared" ref="L582:L645" si="200">IF($E582="","",(1+K582)^(1/12)-1)</f>
        <v>3.6748094004368514E-3</v>
      </c>
      <c r="M582" s="147">
        <f>IF($E582="","",VLOOKUP(IF($B582&lt;=Input!$C$7,$B582,26),'Mortality Tables'!$A$72:$CA$97,IF($B582&lt;=Input!$C$7+1,Input!$C$4-16,$D582-Input!$C$7-16),0)/1000)</f>
        <v>0.21149000000000001</v>
      </c>
      <c r="N582" s="147">
        <f t="shared" si="189"/>
        <v>1.9606099900176255E-2</v>
      </c>
      <c r="O582" s="157">
        <f>IF($E582="","",IF($C582=12,IF($B582&lt;Input!$C$9,Input!$C$54,IF($B582=Input!$C$9,Input!$C$55,Input!$C$56)),0%))</f>
        <v>0</v>
      </c>
      <c r="P582" s="167">
        <f>IF($E582="","",IF($B582=1,Input!$C$59,IF($B582&lt;6,Input!$C$60,0%)))</f>
        <v>0</v>
      </c>
      <c r="Q582" s="162">
        <f>IF($E582="","",Input!$C$58)</f>
        <v>2.5</v>
      </c>
      <c r="R582" s="156">
        <f t="shared" ref="R582:R645" si="201">IF($E582="","",MAX(1-N582-O582,0))</f>
        <v>0.98039390009982375</v>
      </c>
      <c r="S582" s="154">
        <f t="shared" si="190"/>
        <v>5.0521805330856144E-4</v>
      </c>
      <c r="T582" s="152"/>
      <c r="U582" s="150">
        <f t="shared" ref="U582:U645" si="202">IF($E582="","",IF($C582=1,$I582*$H582/1000,0))</f>
        <v>0</v>
      </c>
      <c r="V582" s="150">
        <f t="shared" ref="V582:V645" si="203">IF($E582="","",U582*(1-$P582))</f>
        <v>0</v>
      </c>
      <c r="W582" s="168">
        <f t="shared" ref="W582:W645" si="204">IF($E582="","",IF(AND($B582=1,$C582=1),$Q582*$H582/1000,0))</f>
        <v>0</v>
      </c>
      <c r="X582" s="163">
        <f t="shared" si="191"/>
        <v>1960.6099900176255</v>
      </c>
      <c r="Y582" s="152"/>
      <c r="Z582" s="164">
        <f>IF(AND($C581=12,$D581=Input!$C$6),0,IF($E582="","",V582+Z583/(1+L582)*R582))</f>
        <v>120721.06171881787</v>
      </c>
      <c r="AA582" s="164">
        <f>IF(OR($M582=1,AND($C581=12,$D581=Input!$C$6)),0,IF($E582="","",W582+(X582+AA583*$R582)/(1+$L582)))</f>
        <v>67365.430858603679</v>
      </c>
      <c r="AB582" s="160">
        <f t="shared" si="192"/>
        <v>0.825720328500681</v>
      </c>
      <c r="AC582" s="164">
        <f t="shared" si="193"/>
        <v>0</v>
      </c>
      <c r="AD582" s="164">
        <f>IF(AND($C581=12,$D581=Input!$C$6),0,IF($E582="","",$AC582+AD583/(1+$L582)*$R582))</f>
        <v>99681.834739413214</v>
      </c>
      <c r="AE582" s="152"/>
      <c r="AF582" s="164">
        <f>IF(AND($C581=12,$D581=Input!$C$6),0,IF($E582="","",IF($B582&gt;Input!$C$9,$AC582,0)+AF583/(1+$L582)*$R582))</f>
        <v>99681.834739413214</v>
      </c>
      <c r="AG582" s="164">
        <f>IF(AND($C581=12,$D581=Input!$C$6),0,IF($E582="","",(IF($B582&gt;Input!$C$9,$X582,0)+AG583)/(1+$L582)*$R582))</f>
        <v>65277.771523957876</v>
      </c>
      <c r="AH582" s="160">
        <f t="shared" si="194"/>
        <v>2.0950137211446997</v>
      </c>
      <c r="AI582" s="160">
        <f>IF($E582="","",MIN(Input!$C$61/AH582,1))</f>
        <v>0.64438718771845094</v>
      </c>
      <c r="AJ582" s="152"/>
      <c r="AK582" s="164">
        <f>IF(AND($C581=12,$D581=Input!$C$6),0,IF($E582="","",IF($B582&gt;Input!$C$9,$AC582*AI582,0)+AK583/(1+$L582)*$R582))</f>
        <v>64233.697154345857</v>
      </c>
      <c r="AL582" s="164">
        <f>IF(AND($C581=12,$D581=Input!$C$6),0,IF($E582="","",IF($B582&gt;Input!$C$9,0,$AC582)+AL583/(1+$L582)*$R582))</f>
        <v>0</v>
      </c>
      <c r="AM582" s="160">
        <f t="shared" si="195"/>
        <v>1.1382936520186004</v>
      </c>
      <c r="AN582" s="164">
        <f>IF($E582="","",IF($B582&gt;Input!$C$9,$AI582*$AC582,$AM582*$AC582))</f>
        <v>0</v>
      </c>
      <c r="AO582" s="164">
        <f>IF(AND($C581=12,$D581=Input!$C$6),0,IF($E582="","",$AN582+AO583/(1+$L582)*$R582))</f>
        <v>64233.697154345857</v>
      </c>
      <c r="AP582" s="152"/>
      <c r="AQ582" s="164">
        <f t="shared" si="196"/>
        <v>3131.733704257822</v>
      </c>
      <c r="AR582" s="164">
        <f t="shared" ref="AR582:AR645" si="205">IF($E582="","",IF($M582=1,0,0.5*(IF($B582=1,0,SUMIFS($AQ:$AQ,$B:$B,$B582-1,$C:$C,12))+SUMIFS($AN:$AN,$B:$B,$B582,$C:$C,1)+SUMIFS($AQ:$AQ,$B:$B,$B582,$C:$C,12))))</f>
        <v>-4402.251889341007</v>
      </c>
      <c r="AS582" s="164">
        <f t="shared" ref="AS582:AS645" si="206">IF($E582="","",IF($M582=1,0,0.5*$M582*$H582/(1+$K582)))</f>
        <v>10119.138755980863</v>
      </c>
      <c r="AT582" s="164">
        <f t="shared" si="197"/>
        <v>10119.138755980863</v>
      </c>
      <c r="AU582" s="152"/>
      <c r="AV582" s="147">
        <f>'Deterministic Reserve'!BC582</f>
        <v>5.8193243273548953E-5</v>
      </c>
      <c r="AW582" s="164">
        <f t="shared" si="198"/>
        <v>10119.138755980863</v>
      </c>
      <c r="AX582" s="164">
        <f t="shared" si="199"/>
        <v>0.58886550334559185</v>
      </c>
      <c r="AY582" s="152"/>
    </row>
    <row r="583" spans="1:51" s="150" customFormat="1" x14ac:dyDescent="0.25">
      <c r="A583" s="150">
        <f t="shared" ref="A583:A646" si="207">IF(E583="","",A582+1)</f>
        <v>579</v>
      </c>
      <c r="B583" s="150">
        <f t="shared" ref="B583:B646" si="208">IF(E583="","",IF(C582+1&gt;12,B582+1,B582))</f>
        <v>49</v>
      </c>
      <c r="C583" s="150">
        <f t="shared" ref="C583:C646" si="209">IF(E583="","",IF(C582+1&gt;12,1,C582+1))</f>
        <v>3</v>
      </c>
      <c r="D583" s="150">
        <f>IF(E583="","",Input!$C$4+B583-1)</f>
        <v>93</v>
      </c>
      <c r="E583" s="150">
        <f>IF(OR(AND(C582=12,D582=Input!$C$6),E582=""),"",1)</f>
        <v>1</v>
      </c>
      <c r="F583" s="150">
        <f>IF(E583="","",Input!$C$8+B583-1)</f>
        <v>2066</v>
      </c>
      <c r="G583" s="151">
        <f>IF(E583="","",MAX(0,Input!$C$9-B583))</f>
        <v>0</v>
      </c>
      <c r="H583" s="152">
        <f>IF(E583="","",Input!$C$3)</f>
        <v>100000</v>
      </c>
      <c r="I583" s="153">
        <f>IF(E583="","",HLOOKUP($B583,Input!$C$13:$BT$14,2))</f>
        <v>518.15050000000008</v>
      </c>
      <c r="J583" s="154"/>
      <c r="K583" s="155">
        <f>IF($E583="","",Input!$C$57)</f>
        <v>4.4999999999999998E-2</v>
      </c>
      <c r="L583" s="155">
        <f t="shared" si="200"/>
        <v>3.6748094004368514E-3</v>
      </c>
      <c r="M583" s="147">
        <f>IF($E583="","",VLOOKUP(IF($B583&lt;=Input!$C$7,$B583,26),'Mortality Tables'!$A$72:$CA$97,IF($B583&lt;=Input!$C$7+1,Input!$C$4-16,$D583-Input!$C$7-16),0)/1000)</f>
        <v>0.21149000000000001</v>
      </c>
      <c r="N583" s="147">
        <f t="shared" si="189"/>
        <v>1.9606099900176255E-2</v>
      </c>
      <c r="O583" s="157">
        <f>IF($E583="","",IF($C583=12,IF($B583&lt;Input!$C$9,Input!$C$54,IF($B583=Input!$C$9,Input!$C$55,Input!$C$56)),0%))</f>
        <v>0</v>
      </c>
      <c r="P583" s="167">
        <f>IF($E583="","",IF($B583=1,Input!$C$59,IF($B583&lt;6,Input!$C$60,0%)))</f>
        <v>0</v>
      </c>
      <c r="Q583" s="162">
        <f>IF($E583="","",Input!$C$58)</f>
        <v>2.5</v>
      </c>
      <c r="R583" s="156">
        <f t="shared" si="201"/>
        <v>0.98039390009982375</v>
      </c>
      <c r="S583" s="154">
        <f t="shared" si="190"/>
        <v>4.9531269768402116E-4</v>
      </c>
      <c r="T583" s="152"/>
      <c r="U583" s="150">
        <f t="shared" si="202"/>
        <v>0</v>
      </c>
      <c r="V583" s="150">
        <f t="shared" si="203"/>
        <v>0</v>
      </c>
      <c r="W583" s="168">
        <f t="shared" si="204"/>
        <v>0</v>
      </c>
      <c r="X583" s="163">
        <f t="shared" si="191"/>
        <v>1960.6099900176255</v>
      </c>
      <c r="Y583" s="152"/>
      <c r="Z583" s="164">
        <f>IF(AND($C582=12,$D582=Input!$C$6),0,IF($E583="","",V583+Z584/(1+L583)*R583))</f>
        <v>123587.76263185227</v>
      </c>
      <c r="AA583" s="164">
        <f>IF(OR($M583=1,AND($C582=12,$D582=Input!$C$6)),0,IF($E583="","",W583+(X583+AA584*$R583)/(1+$L583)))</f>
        <v>66965.30443578343</v>
      </c>
      <c r="AB583" s="160">
        <f t="shared" si="192"/>
        <v>0.825720328500681</v>
      </c>
      <c r="AC583" s="164">
        <f t="shared" si="193"/>
        <v>0</v>
      </c>
      <c r="AD583" s="164">
        <f>IF(AND($C582=12,$D582=Input!$C$6),0,IF($E583="","",$AC583+AD584/(1+$L583)*$R583))</f>
        <v>102048.92795903719</v>
      </c>
      <c r="AE583" s="152"/>
      <c r="AF583" s="164">
        <f>IF(AND($C582=12,$D582=Input!$C$6),0,IF($E583="","",IF($B583&gt;Input!$C$9,$AC583,0)+AF584/(1+$L583)*$R583))</f>
        <v>102048.92795903719</v>
      </c>
      <c r="AG583" s="164">
        <f>IF(AND($C582=12,$D582=Input!$C$6),0,IF($E583="","",(IF($B583&gt;Input!$C$9,$X583,0)+AG584)/(1+$L583)*$R583))</f>
        <v>64867.279173432573</v>
      </c>
      <c r="AH583" s="160">
        <f t="shared" si="194"/>
        <v>2.0950137211446997</v>
      </c>
      <c r="AI583" s="160">
        <f>IF($E583="","",MIN(Input!$C$61/AH583,1))</f>
        <v>0.64438718771845094</v>
      </c>
      <c r="AJ583" s="152"/>
      <c r="AK583" s="164">
        <f>IF(AND($C582=12,$D582=Input!$C$6),0,IF($E583="","",IF($B583&gt;Input!$C$9,$AC583*AI583,0)+AK584/(1+$L583)*$R583))</f>
        <v>65759.021697206757</v>
      </c>
      <c r="AL583" s="164">
        <f>IF(AND($C582=12,$D582=Input!$C$6),0,IF($E583="","",IF($B583&gt;Input!$C$9,0,$AC583)+AL584/(1+$L583)*$R583))</f>
        <v>0</v>
      </c>
      <c r="AM583" s="160">
        <f t="shared" si="195"/>
        <v>1.1382936520186004</v>
      </c>
      <c r="AN583" s="164">
        <f>IF($E583="","",IF($B583&gt;Input!$C$9,$AI583*$AC583,$AM583*$AC583))</f>
        <v>0</v>
      </c>
      <c r="AO583" s="164">
        <f>IF(AND($C582=12,$D582=Input!$C$6),0,IF($E583="","",$AN583+AO584/(1+$L583)*$R583))</f>
        <v>65759.021697206757</v>
      </c>
      <c r="AP583" s="152"/>
      <c r="AQ583" s="164">
        <f t="shared" si="196"/>
        <v>1206.2827385766723</v>
      </c>
      <c r="AR583" s="164">
        <f t="shared" si="205"/>
        <v>-4402.251889341007</v>
      </c>
      <c r="AS583" s="164">
        <f t="shared" si="206"/>
        <v>10119.138755980863</v>
      </c>
      <c r="AT583" s="164">
        <f t="shared" si="197"/>
        <v>10119.138755980863</v>
      </c>
      <c r="AU583" s="152"/>
      <c r="AV583" s="147">
        <f>'Deterministic Reserve'!BC583</f>
        <v>5.5310655484087633E-5</v>
      </c>
      <c r="AW583" s="164">
        <f t="shared" si="198"/>
        <v>10119.138755980863</v>
      </c>
      <c r="AX583" s="164">
        <f t="shared" si="199"/>
        <v>0.55969619752773658</v>
      </c>
      <c r="AY583" s="152"/>
    </row>
    <row r="584" spans="1:51" s="150" customFormat="1" x14ac:dyDescent="0.25">
      <c r="A584" s="150">
        <f t="shared" si="207"/>
        <v>580</v>
      </c>
      <c r="B584" s="150">
        <f t="shared" si="208"/>
        <v>49</v>
      </c>
      <c r="C584" s="150">
        <f t="shared" si="209"/>
        <v>4</v>
      </c>
      <c r="D584" s="150">
        <f>IF(E584="","",Input!$C$4+B584-1)</f>
        <v>93</v>
      </c>
      <c r="E584" s="150">
        <f>IF(OR(AND(C583=12,D583=Input!$C$6),E583=""),"",1)</f>
        <v>1</v>
      </c>
      <c r="F584" s="150">
        <f>IF(E584="","",Input!$C$8+B584-1)</f>
        <v>2066</v>
      </c>
      <c r="G584" s="151">
        <f>IF(E584="","",MAX(0,Input!$C$9-B584))</f>
        <v>0</v>
      </c>
      <c r="H584" s="152">
        <f>IF(E584="","",Input!$C$3)</f>
        <v>100000</v>
      </c>
      <c r="I584" s="153">
        <f>IF(E584="","",HLOOKUP($B584,Input!$C$13:$BT$14,2))</f>
        <v>518.15050000000008</v>
      </c>
      <c r="J584" s="154"/>
      <c r="K584" s="155">
        <f>IF($E584="","",Input!$C$57)</f>
        <v>4.4999999999999998E-2</v>
      </c>
      <c r="L584" s="155">
        <f t="shared" si="200"/>
        <v>3.6748094004368514E-3</v>
      </c>
      <c r="M584" s="147">
        <f>IF($E584="","",VLOOKUP(IF($B584&lt;=Input!$C$7,$B584,26),'Mortality Tables'!$A$72:$CA$97,IF($B584&lt;=Input!$C$7+1,Input!$C$4-16,$D584-Input!$C$7-16),0)/1000)</f>
        <v>0.21149000000000001</v>
      </c>
      <c r="N584" s="147">
        <f t="shared" si="189"/>
        <v>1.9606099900176255E-2</v>
      </c>
      <c r="O584" s="157">
        <f>IF($E584="","",IF($C584=12,IF($B584&lt;Input!$C$9,Input!$C$54,IF($B584=Input!$C$9,Input!$C$55,Input!$C$56)),0%))</f>
        <v>0</v>
      </c>
      <c r="P584" s="167">
        <f>IF($E584="","",IF($B584=1,Input!$C$59,IF($B584&lt;6,Input!$C$60,0%)))</f>
        <v>0</v>
      </c>
      <c r="Q584" s="162">
        <f>IF($E584="","",Input!$C$58)</f>
        <v>2.5</v>
      </c>
      <c r="R584" s="156">
        <f t="shared" si="201"/>
        <v>0.98039390009982375</v>
      </c>
      <c r="S584" s="154">
        <f t="shared" si="190"/>
        <v>4.8560154745140246E-4</v>
      </c>
      <c r="T584" s="152"/>
      <c r="U584" s="150">
        <f t="shared" si="202"/>
        <v>0</v>
      </c>
      <c r="V584" s="150">
        <f t="shared" si="203"/>
        <v>0</v>
      </c>
      <c r="W584" s="168">
        <f t="shared" si="204"/>
        <v>0</v>
      </c>
      <c r="X584" s="163">
        <f t="shared" si="191"/>
        <v>1960.6099900176255</v>
      </c>
      <c r="Y584" s="152"/>
      <c r="Z584" s="164">
        <f>IF(AND($C583=12,$D583=Input!$C$6),0,IF($E584="","",V584+Z585/(1+L584)*R584))</f>
        <v>126522.53761587135</v>
      </c>
      <c r="AA584" s="164">
        <f>IF(OR($M584=1,AND($C583=12,$D583=Input!$C$6)),0,IF($E584="","",W584+(X584+AA585*$R584)/(1+$L584)))</f>
        <v>66555.67641676034</v>
      </c>
      <c r="AB584" s="160">
        <f t="shared" si="192"/>
        <v>0.825720328500681</v>
      </c>
      <c r="AC584" s="164">
        <f t="shared" si="193"/>
        <v>0</v>
      </c>
      <c r="AD584" s="164">
        <f>IF(AND($C583=12,$D583=Input!$C$6),0,IF($E584="","",$AC584+AD585/(1+$L584)*$R584))</f>
        <v>104472.231322917</v>
      </c>
      <c r="AE584" s="152"/>
      <c r="AF584" s="164">
        <f>IF(AND($C583=12,$D583=Input!$C$6),0,IF($E584="","",IF($B584&gt;Input!$C$9,$AC584,0)+AF585/(1+$L584)*$R584))</f>
        <v>104472.231322917</v>
      </c>
      <c r="AG584" s="164">
        <f>IF(AND($C583=12,$D583=Input!$C$6),0,IF($E584="","",(IF($B584&gt;Input!$C$9,$X584,0)+AG585)/(1+$L584)*$R584))</f>
        <v>64447.039072354964</v>
      </c>
      <c r="AH584" s="160">
        <f t="shared" si="194"/>
        <v>2.0950137211446997</v>
      </c>
      <c r="AI584" s="160">
        <f>IF($E584="","",MIN(Input!$C$61/AH584,1))</f>
        <v>0.64438718771845094</v>
      </c>
      <c r="AJ584" s="152"/>
      <c r="AK584" s="164">
        <f>IF(AND($C583=12,$D583=Input!$C$6),0,IF($E584="","",IF($B584&gt;Input!$C$9,$AC584*AI584,0)+AK585/(1+$L584)*$R584))</f>
        <v>67320.567336845925</v>
      </c>
      <c r="AL584" s="164">
        <f>IF(AND($C583=12,$D583=Input!$C$6),0,IF($E584="","",IF($B584&gt;Input!$C$9,0,$AC584)+AL585/(1+$L584)*$R584))</f>
        <v>0</v>
      </c>
      <c r="AM584" s="160">
        <f t="shared" si="195"/>
        <v>1.1382936520186004</v>
      </c>
      <c r="AN584" s="164">
        <f>IF($E584="","",IF($B584&gt;Input!$C$9,$AI584*$AC584,$AM584*$AC584))</f>
        <v>0</v>
      </c>
      <c r="AO584" s="164">
        <f>IF(AND($C583=12,$D583=Input!$C$6),0,IF($E584="","",$AN584+AO585/(1+$L584)*$R584))</f>
        <v>67320.567336845925</v>
      </c>
      <c r="AP584" s="152"/>
      <c r="AQ584" s="164">
        <f t="shared" si="196"/>
        <v>-764.89092008558509</v>
      </c>
      <c r="AR584" s="164">
        <f t="shared" si="205"/>
        <v>-4402.251889341007</v>
      </c>
      <c r="AS584" s="164">
        <f t="shared" si="206"/>
        <v>10119.138755980863</v>
      </c>
      <c r="AT584" s="164">
        <f t="shared" si="197"/>
        <v>10119.138755980863</v>
      </c>
      <c r="AU584" s="152"/>
      <c r="AV584" s="147">
        <f>'Deterministic Reserve'!BC584</f>
        <v>5.2570855961726188E-5</v>
      </c>
      <c r="AW584" s="164">
        <f t="shared" si="198"/>
        <v>10119.138755980863</v>
      </c>
      <c r="AX584" s="164">
        <f t="shared" si="199"/>
        <v>0.53197178599739103</v>
      </c>
      <c r="AY584" s="152"/>
    </row>
    <row r="585" spans="1:51" s="150" customFormat="1" x14ac:dyDescent="0.25">
      <c r="A585" s="150">
        <f t="shared" si="207"/>
        <v>581</v>
      </c>
      <c r="B585" s="150">
        <f t="shared" si="208"/>
        <v>49</v>
      </c>
      <c r="C585" s="150">
        <f t="shared" si="209"/>
        <v>5</v>
      </c>
      <c r="D585" s="150">
        <f>IF(E585="","",Input!$C$4+B585-1)</f>
        <v>93</v>
      </c>
      <c r="E585" s="150">
        <f>IF(OR(AND(C584=12,D584=Input!$C$6),E584=""),"",1)</f>
        <v>1</v>
      </c>
      <c r="F585" s="150">
        <f>IF(E585="","",Input!$C$8+B585-1)</f>
        <v>2066</v>
      </c>
      <c r="G585" s="151">
        <f>IF(E585="","",MAX(0,Input!$C$9-B585))</f>
        <v>0</v>
      </c>
      <c r="H585" s="152">
        <f>IF(E585="","",Input!$C$3)</f>
        <v>100000</v>
      </c>
      <c r="I585" s="153">
        <f>IF(E585="","",HLOOKUP($B585,Input!$C$13:$BT$14,2))</f>
        <v>518.15050000000008</v>
      </c>
      <c r="J585" s="154"/>
      <c r="K585" s="155">
        <f>IF($E585="","",Input!$C$57)</f>
        <v>4.4999999999999998E-2</v>
      </c>
      <c r="L585" s="155">
        <f t="shared" si="200"/>
        <v>3.6748094004368514E-3</v>
      </c>
      <c r="M585" s="147">
        <f>IF($E585="","",VLOOKUP(IF($B585&lt;=Input!$C$7,$B585,26),'Mortality Tables'!$A$72:$CA$97,IF($B585&lt;=Input!$C$7+1,Input!$C$4-16,$D585-Input!$C$7-16),0)/1000)</f>
        <v>0.21149000000000001</v>
      </c>
      <c r="N585" s="147">
        <f t="shared" si="189"/>
        <v>1.9606099900176255E-2</v>
      </c>
      <c r="O585" s="157">
        <f>IF($E585="","",IF($C585=12,IF($B585&lt;Input!$C$9,Input!$C$54,IF($B585=Input!$C$9,Input!$C$55,Input!$C$56)),0%))</f>
        <v>0</v>
      </c>
      <c r="P585" s="167">
        <f>IF($E585="","",IF($B585=1,Input!$C$59,IF($B585&lt;6,Input!$C$60,0%)))</f>
        <v>0</v>
      </c>
      <c r="Q585" s="162">
        <f>IF($E585="","",Input!$C$58)</f>
        <v>2.5</v>
      </c>
      <c r="R585" s="156">
        <f t="shared" si="201"/>
        <v>0.98039390009982375</v>
      </c>
      <c r="S585" s="154">
        <f t="shared" si="190"/>
        <v>4.760807950003901E-4</v>
      </c>
      <c r="T585" s="152"/>
      <c r="U585" s="150">
        <f t="shared" si="202"/>
        <v>0</v>
      </c>
      <c r="V585" s="150">
        <f t="shared" si="203"/>
        <v>0</v>
      </c>
      <c r="W585" s="168">
        <f t="shared" si="204"/>
        <v>0</v>
      </c>
      <c r="X585" s="163">
        <f t="shared" si="191"/>
        <v>1960.6099900176255</v>
      </c>
      <c r="Y585" s="152"/>
      <c r="Z585" s="164">
        <f>IF(AND($C584=12,$D584=Input!$C$6),0,IF($E585="","",V585+Z586/(1+L585)*R585))</f>
        <v>129527.00319079852</v>
      </c>
      <c r="AA585" s="164">
        <f>IF(OR($M585=1,AND($C584=12,$D584=Input!$C$6)),0,IF($E585="","",W585+(X585+AA586*$R585)/(1+$L585)))</f>
        <v>66136.321172020223</v>
      </c>
      <c r="AB585" s="160">
        <f t="shared" si="192"/>
        <v>0.825720328500681</v>
      </c>
      <c r="AC585" s="164">
        <f t="shared" si="193"/>
        <v>0</v>
      </c>
      <c r="AD585" s="164">
        <f>IF(AND($C584=12,$D584=Input!$C$6),0,IF($E585="","",$AC585+AD586/(1+$L585)*$R585))</f>
        <v>106953.07962441485</v>
      </c>
      <c r="AE585" s="152"/>
      <c r="AF585" s="164">
        <f>IF(AND($C584=12,$D584=Input!$C$6),0,IF($E585="","",IF($B585&gt;Input!$C$9,$AC585,0)+AF586/(1+$L585)*$R585))</f>
        <v>106953.07962441485</v>
      </c>
      <c r="AG585" s="164">
        <f>IF(AND($C584=12,$D584=Input!$C$6),0,IF($E585="","",(IF($B585&gt;Input!$C$9,$X585,0)+AG586)/(1+$L585)*$R585))</f>
        <v>64016.819745910201</v>
      </c>
      <c r="AH585" s="160">
        <f t="shared" si="194"/>
        <v>2.0950137211446997</v>
      </c>
      <c r="AI585" s="160">
        <f>IF($E585="","",MIN(Input!$C$61/AH585,1))</f>
        <v>0.64438718771845094</v>
      </c>
      <c r="AJ585" s="152"/>
      <c r="AK585" s="164">
        <f>IF(AND($C584=12,$D584=Input!$C$6),0,IF($E585="","",IF($B585&gt;Input!$C$9,$AC585*AI585,0)+AK586/(1+$L585)*$R585))</f>
        <v>68919.194197004224</v>
      </c>
      <c r="AL585" s="164">
        <f>IF(AND($C584=12,$D584=Input!$C$6),0,IF($E585="","",IF($B585&gt;Input!$C$9,0,$AC585)+AL586/(1+$L585)*$R585))</f>
        <v>0</v>
      </c>
      <c r="AM585" s="160">
        <f t="shared" si="195"/>
        <v>1.1382936520186004</v>
      </c>
      <c r="AN585" s="164">
        <f>IF($E585="","",IF($B585&gt;Input!$C$9,$AI585*$AC585,$AM585*$AC585))</f>
        <v>0</v>
      </c>
      <c r="AO585" s="164">
        <f>IF(AND($C584=12,$D584=Input!$C$6),0,IF($E585="","",$AN585+AO586/(1+$L585)*$R585))</f>
        <v>68919.194197004224</v>
      </c>
      <c r="AP585" s="152"/>
      <c r="AQ585" s="164">
        <f t="shared" si="196"/>
        <v>-2782.8730249840009</v>
      </c>
      <c r="AR585" s="164">
        <f t="shared" si="205"/>
        <v>-4402.251889341007</v>
      </c>
      <c r="AS585" s="164">
        <f t="shared" si="206"/>
        <v>10119.138755980863</v>
      </c>
      <c r="AT585" s="164">
        <f t="shared" si="197"/>
        <v>10119.138755980863</v>
      </c>
      <c r="AU585" s="152"/>
      <c r="AV585" s="147">
        <f>'Deterministic Reserve'!BC585</f>
        <v>4.9966771725271844E-5</v>
      </c>
      <c r="AW585" s="164">
        <f t="shared" si="198"/>
        <v>10119.138755980863</v>
      </c>
      <c r="AX585" s="164">
        <f t="shared" si="199"/>
        <v>0.50562069627644712</v>
      </c>
      <c r="AY585" s="152"/>
    </row>
    <row r="586" spans="1:51" s="150" customFormat="1" x14ac:dyDescent="0.25">
      <c r="A586" s="150">
        <f t="shared" si="207"/>
        <v>582</v>
      </c>
      <c r="B586" s="150">
        <f t="shared" si="208"/>
        <v>49</v>
      </c>
      <c r="C586" s="150">
        <f t="shared" si="209"/>
        <v>6</v>
      </c>
      <c r="D586" s="150">
        <f>IF(E586="","",Input!$C$4+B586-1)</f>
        <v>93</v>
      </c>
      <c r="E586" s="150">
        <f>IF(OR(AND(C585=12,D585=Input!$C$6),E585=""),"",1)</f>
        <v>1</v>
      </c>
      <c r="F586" s="150">
        <f>IF(E586="","",Input!$C$8+B586-1)</f>
        <v>2066</v>
      </c>
      <c r="G586" s="151">
        <f>IF(E586="","",MAX(0,Input!$C$9-B586))</f>
        <v>0</v>
      </c>
      <c r="H586" s="152">
        <f>IF(E586="","",Input!$C$3)</f>
        <v>100000</v>
      </c>
      <c r="I586" s="153">
        <f>IF(E586="","",HLOOKUP($B586,Input!$C$13:$BT$14,2))</f>
        <v>518.15050000000008</v>
      </c>
      <c r="J586" s="154"/>
      <c r="K586" s="155">
        <f>IF($E586="","",Input!$C$57)</f>
        <v>4.4999999999999998E-2</v>
      </c>
      <c r="L586" s="155">
        <f t="shared" si="200"/>
        <v>3.6748094004368514E-3</v>
      </c>
      <c r="M586" s="147">
        <f>IF($E586="","",VLOOKUP(IF($B586&lt;=Input!$C$7,$B586,26),'Mortality Tables'!$A$72:$CA$97,IF($B586&lt;=Input!$C$7+1,Input!$C$4-16,$D586-Input!$C$7-16),0)/1000)</f>
        <v>0.21149000000000001</v>
      </c>
      <c r="N586" s="147">
        <f t="shared" si="189"/>
        <v>1.9606099900176255E-2</v>
      </c>
      <c r="O586" s="157">
        <f>IF($E586="","",IF($C586=12,IF($B586&lt;Input!$C$9,Input!$C$54,IF($B586=Input!$C$9,Input!$C$55,Input!$C$56)),0%))</f>
        <v>0</v>
      </c>
      <c r="P586" s="167">
        <f>IF($E586="","",IF($B586=1,Input!$C$59,IF($B586&lt;6,Input!$C$60,0%)))</f>
        <v>0</v>
      </c>
      <c r="Q586" s="162">
        <f>IF($E586="","",Input!$C$58)</f>
        <v>2.5</v>
      </c>
      <c r="R586" s="156">
        <f t="shared" si="201"/>
        <v>0.98039390009982375</v>
      </c>
      <c r="S586" s="154">
        <f t="shared" si="190"/>
        <v>4.6674670737305714E-4</v>
      </c>
      <c r="T586" s="152"/>
      <c r="U586" s="150">
        <f t="shared" si="202"/>
        <v>0</v>
      </c>
      <c r="V586" s="150">
        <f t="shared" si="203"/>
        <v>0</v>
      </c>
      <c r="W586" s="168">
        <f t="shared" si="204"/>
        <v>0</v>
      </c>
      <c r="X586" s="163">
        <f t="shared" si="191"/>
        <v>1960.6099900176255</v>
      </c>
      <c r="Y586" s="152"/>
      <c r="Z586" s="164">
        <f>IF(AND($C585=12,$D585=Input!$C$6),0,IF($E586="","",V586+Z587/(1+L586)*R586))</f>
        <v>132602.81426322376</v>
      </c>
      <c r="AA586" s="164">
        <f>IF(OR($M586=1,AND($C585=12,$D585=Input!$C$6)),0,IF($E586="","",W586+(X586+AA587*$R586)/(1+$L586)))</f>
        <v>65707.007714140942</v>
      </c>
      <c r="AB586" s="160">
        <f t="shared" si="192"/>
        <v>0.825720328500681</v>
      </c>
      <c r="AC586" s="164">
        <f t="shared" si="193"/>
        <v>0</v>
      </c>
      <c r="AD586" s="164">
        <f>IF(AND($C585=12,$D585=Input!$C$6),0,IF($E586="","",$AC586+AD587/(1+$L586)*$R586))</f>
        <v>109492.83935354385</v>
      </c>
      <c r="AE586" s="152"/>
      <c r="AF586" s="164">
        <f>IF(AND($C585=12,$D585=Input!$C$6),0,IF($E586="","",IF($B586&gt;Input!$C$9,$AC586,0)+AF587/(1+$L586)*$R586))</f>
        <v>109492.83935354385</v>
      </c>
      <c r="AG586" s="164">
        <f>IF(AND($C585=12,$D585=Input!$C$6),0,IF($E586="","",(IF($B586&gt;Input!$C$9,$X586,0)+AG587)/(1+$L586)*$R586))</f>
        <v>63576.384222570196</v>
      </c>
      <c r="AH586" s="160">
        <f t="shared" si="194"/>
        <v>2.0950137211446997</v>
      </c>
      <c r="AI586" s="160">
        <f>IF($E586="","",MIN(Input!$C$61/AH586,1))</f>
        <v>0.64438718771845094</v>
      </c>
      <c r="AJ586" s="152"/>
      <c r="AK586" s="164">
        <f>IF(AND($C585=12,$D585=Input!$C$6),0,IF($E586="","",IF($B586&gt;Input!$C$9,$AC586*AI586,0)+AK587/(1+$L586)*$R586))</f>
        <v>70555.782826338225</v>
      </c>
      <c r="AL586" s="164">
        <f>IF(AND($C585=12,$D585=Input!$C$6),0,IF($E586="","",IF($B586&gt;Input!$C$9,0,$AC586)+AL587/(1+$L586)*$R586))</f>
        <v>0</v>
      </c>
      <c r="AM586" s="160">
        <f t="shared" si="195"/>
        <v>1.1382936520186004</v>
      </c>
      <c r="AN586" s="164">
        <f>IF($E586="","",IF($B586&gt;Input!$C$9,$AI586*$AC586,$AM586*$AC586))</f>
        <v>0</v>
      </c>
      <c r="AO586" s="164">
        <f>IF(AND($C585=12,$D585=Input!$C$6),0,IF($E586="","",$AN586+AO587/(1+$L586)*$R586))</f>
        <v>70555.782826338225</v>
      </c>
      <c r="AP586" s="152"/>
      <c r="AQ586" s="164">
        <f t="shared" si="196"/>
        <v>-4848.7751121972833</v>
      </c>
      <c r="AR586" s="164">
        <f t="shared" si="205"/>
        <v>-4402.251889341007</v>
      </c>
      <c r="AS586" s="164">
        <f t="shared" si="206"/>
        <v>10119.138755980863</v>
      </c>
      <c r="AT586" s="164">
        <f t="shared" si="197"/>
        <v>10119.138755980863</v>
      </c>
      <c r="AU586" s="152"/>
      <c r="AV586" s="147">
        <f>'Deterministic Reserve'!BC586</f>
        <v>4.7491680151890873E-5</v>
      </c>
      <c r="AW586" s="164">
        <f t="shared" si="198"/>
        <v>10119.138755980863</v>
      </c>
      <c r="AX586" s="164">
        <f t="shared" si="199"/>
        <v>0.48057490121164603</v>
      </c>
      <c r="AY586" s="152"/>
    </row>
    <row r="587" spans="1:51" s="150" customFormat="1" x14ac:dyDescent="0.25">
      <c r="A587" s="150">
        <f t="shared" si="207"/>
        <v>583</v>
      </c>
      <c r="B587" s="150">
        <f t="shared" si="208"/>
        <v>49</v>
      </c>
      <c r="C587" s="150">
        <f t="shared" si="209"/>
        <v>7</v>
      </c>
      <c r="D587" s="150">
        <f>IF(E587="","",Input!$C$4+B587-1)</f>
        <v>93</v>
      </c>
      <c r="E587" s="150">
        <f>IF(OR(AND(C586=12,D586=Input!$C$6),E586=""),"",1)</f>
        <v>1</v>
      </c>
      <c r="F587" s="150">
        <f>IF(E587="","",Input!$C$8+B587-1)</f>
        <v>2066</v>
      </c>
      <c r="G587" s="151">
        <f>IF(E587="","",MAX(0,Input!$C$9-B587))</f>
        <v>0</v>
      </c>
      <c r="H587" s="152">
        <f>IF(E587="","",Input!$C$3)</f>
        <v>100000</v>
      </c>
      <c r="I587" s="153">
        <f>IF(E587="","",HLOOKUP($B587,Input!$C$13:$BT$14,2))</f>
        <v>518.15050000000008</v>
      </c>
      <c r="J587" s="154"/>
      <c r="K587" s="155">
        <f>IF($E587="","",Input!$C$57)</f>
        <v>4.4999999999999998E-2</v>
      </c>
      <c r="L587" s="155">
        <f t="shared" si="200"/>
        <v>3.6748094004368514E-3</v>
      </c>
      <c r="M587" s="147">
        <f>IF($E587="","",VLOOKUP(IF($B587&lt;=Input!$C$7,$B587,26),'Mortality Tables'!$A$72:$CA$97,IF($B587&lt;=Input!$C$7+1,Input!$C$4-16,$D587-Input!$C$7-16),0)/1000)</f>
        <v>0.21149000000000001</v>
      </c>
      <c r="N587" s="147">
        <f t="shared" si="189"/>
        <v>1.9606099900176255E-2</v>
      </c>
      <c r="O587" s="157">
        <f>IF($E587="","",IF($C587=12,IF($B587&lt;Input!$C$9,Input!$C$54,IF($B587=Input!$C$9,Input!$C$55,Input!$C$56)),0%))</f>
        <v>0</v>
      </c>
      <c r="P587" s="167">
        <f>IF($E587="","",IF($B587=1,Input!$C$59,IF($B587&lt;6,Input!$C$60,0%)))</f>
        <v>0</v>
      </c>
      <c r="Q587" s="162">
        <f>IF($E587="","",Input!$C$58)</f>
        <v>2.5</v>
      </c>
      <c r="R587" s="156">
        <f t="shared" si="201"/>
        <v>0.98039390009982375</v>
      </c>
      <c r="S587" s="154">
        <f t="shared" si="190"/>
        <v>4.5759562480022267E-4</v>
      </c>
      <c r="T587" s="152"/>
      <c r="U587" s="150">
        <f t="shared" si="202"/>
        <v>0</v>
      </c>
      <c r="V587" s="150">
        <f t="shared" si="203"/>
        <v>0</v>
      </c>
      <c r="W587" s="168">
        <f t="shared" si="204"/>
        <v>0</v>
      </c>
      <c r="X587" s="163">
        <f t="shared" si="191"/>
        <v>1960.6099900176255</v>
      </c>
      <c r="Y587" s="152"/>
      <c r="Z587" s="164">
        <f>IF(AND($C586=12,$D586=Input!$C$6),0,IF($E587="","",V587+Z588/(1+L587)*R587))</f>
        <v>135751.66503795199</v>
      </c>
      <c r="AA587" s="164">
        <f>IF(OR($M587=1,AND($C586=12,$D586=Input!$C$6)),0,IF($E587="","",W587+(X587+AA588*$R587)/(1+$L587)))</f>
        <v>65267.499570560954</v>
      </c>
      <c r="AB587" s="160">
        <f t="shared" si="192"/>
        <v>0.825720328500681</v>
      </c>
      <c r="AC587" s="164">
        <f t="shared" si="193"/>
        <v>0</v>
      </c>
      <c r="AD587" s="164">
        <f>IF(AND($C586=12,$D586=Input!$C$6),0,IF($E587="","",$AC587+AD588/(1+$L587)*$R587))</f>
        <v>112092.90944965206</v>
      </c>
      <c r="AE587" s="152"/>
      <c r="AF587" s="164">
        <f>IF(AND($C586=12,$D586=Input!$C$6),0,IF($E587="","",IF($B587&gt;Input!$C$9,$AC587,0)+AF588/(1+$L587)*$R587))</f>
        <v>112092.90944965206</v>
      </c>
      <c r="AG587" s="164">
        <f>IF(AND($C586=12,$D586=Input!$C$6),0,IF($E587="","",(IF($B587&gt;Input!$C$9,$X587,0)+AG588)/(1+$L587)*$R587))</f>
        <v>63125.489903565904</v>
      </c>
      <c r="AH587" s="160">
        <f t="shared" si="194"/>
        <v>2.0950137211446997</v>
      </c>
      <c r="AI587" s="160">
        <f>IF($E587="","",MIN(Input!$C$61/AH587,1))</f>
        <v>0.64438718771845094</v>
      </c>
      <c r="AJ587" s="152"/>
      <c r="AK587" s="164">
        <f>IF(AND($C586=12,$D586=Input!$C$6),0,IF($E587="","",IF($B587&gt;Input!$C$9,$AC587*AI587,0)+AK588/(1+$L587)*$R587))</f>
        <v>72231.234683440241</v>
      </c>
      <c r="AL587" s="164">
        <f>IF(AND($C586=12,$D586=Input!$C$6),0,IF($E587="","",IF($B587&gt;Input!$C$9,0,$AC587)+AL588/(1+$L587)*$R587))</f>
        <v>0</v>
      </c>
      <c r="AM587" s="160">
        <f t="shared" si="195"/>
        <v>1.1382936520186004</v>
      </c>
      <c r="AN587" s="164">
        <f>IF($E587="","",IF($B587&gt;Input!$C$9,$AI587*$AC587,$AM587*$AC587))</f>
        <v>0</v>
      </c>
      <c r="AO587" s="164">
        <f>IF(AND($C586=12,$D586=Input!$C$6),0,IF($E587="","",$AN587+AO588/(1+$L587)*$R587))</f>
        <v>72231.234683440241</v>
      </c>
      <c r="AP587" s="152"/>
      <c r="AQ587" s="164">
        <f t="shared" si="196"/>
        <v>-6963.735112879287</v>
      </c>
      <c r="AR587" s="164">
        <f t="shared" si="205"/>
        <v>-4402.251889341007</v>
      </c>
      <c r="AS587" s="164">
        <f t="shared" si="206"/>
        <v>10119.138755980863</v>
      </c>
      <c r="AT587" s="164">
        <f t="shared" si="197"/>
        <v>10119.138755980863</v>
      </c>
      <c r="AU587" s="152"/>
      <c r="AV587" s="147">
        <f>'Deterministic Reserve'!BC587</f>
        <v>4.5139191622194697E-5</v>
      </c>
      <c r="AW587" s="164">
        <f t="shared" si="198"/>
        <v>10119.138755980863</v>
      </c>
      <c r="AX587" s="164">
        <f t="shared" si="199"/>
        <v>0.45676974335779702</v>
      </c>
      <c r="AY587" s="152"/>
    </row>
    <row r="588" spans="1:51" s="150" customFormat="1" x14ac:dyDescent="0.25">
      <c r="A588" s="150">
        <f t="shared" si="207"/>
        <v>584</v>
      </c>
      <c r="B588" s="150">
        <f t="shared" si="208"/>
        <v>49</v>
      </c>
      <c r="C588" s="150">
        <f t="shared" si="209"/>
        <v>8</v>
      </c>
      <c r="D588" s="150">
        <f>IF(E588="","",Input!$C$4+B588-1)</f>
        <v>93</v>
      </c>
      <c r="E588" s="150">
        <f>IF(OR(AND(C587=12,D587=Input!$C$6),E587=""),"",1)</f>
        <v>1</v>
      </c>
      <c r="F588" s="150">
        <f>IF(E588="","",Input!$C$8+B588-1)</f>
        <v>2066</v>
      </c>
      <c r="G588" s="151">
        <f>IF(E588="","",MAX(0,Input!$C$9-B588))</f>
        <v>0</v>
      </c>
      <c r="H588" s="152">
        <f>IF(E588="","",Input!$C$3)</f>
        <v>100000</v>
      </c>
      <c r="I588" s="153">
        <f>IF(E588="","",HLOOKUP($B588,Input!$C$13:$BT$14,2))</f>
        <v>518.15050000000008</v>
      </c>
      <c r="J588" s="154"/>
      <c r="K588" s="155">
        <f>IF($E588="","",Input!$C$57)</f>
        <v>4.4999999999999998E-2</v>
      </c>
      <c r="L588" s="155">
        <f t="shared" si="200"/>
        <v>3.6748094004368514E-3</v>
      </c>
      <c r="M588" s="147">
        <f>IF($E588="","",VLOOKUP(IF($B588&lt;=Input!$C$7,$B588,26),'Mortality Tables'!$A$72:$CA$97,IF($B588&lt;=Input!$C$7+1,Input!$C$4-16,$D588-Input!$C$7-16),0)/1000)</f>
        <v>0.21149000000000001</v>
      </c>
      <c r="N588" s="147">
        <f t="shared" si="189"/>
        <v>1.9606099900176255E-2</v>
      </c>
      <c r="O588" s="157">
        <f>IF($E588="","",IF($C588=12,IF($B588&lt;Input!$C$9,Input!$C$54,IF($B588=Input!$C$9,Input!$C$55,Input!$C$56)),0%))</f>
        <v>0</v>
      </c>
      <c r="P588" s="167">
        <f>IF($E588="","",IF($B588=1,Input!$C$59,IF($B588&lt;6,Input!$C$60,0%)))</f>
        <v>0</v>
      </c>
      <c r="Q588" s="162">
        <f>IF($E588="","",Input!$C$58)</f>
        <v>2.5</v>
      </c>
      <c r="R588" s="156">
        <f t="shared" si="201"/>
        <v>0.98039390009982375</v>
      </c>
      <c r="S588" s="154">
        <f t="shared" si="190"/>
        <v>4.4862395926650595E-4</v>
      </c>
      <c r="T588" s="152"/>
      <c r="U588" s="150">
        <f t="shared" si="202"/>
        <v>0</v>
      </c>
      <c r="V588" s="150">
        <f t="shared" si="203"/>
        <v>0</v>
      </c>
      <c r="W588" s="168">
        <f t="shared" si="204"/>
        <v>0</v>
      </c>
      <c r="X588" s="163">
        <f t="shared" si="191"/>
        <v>1960.6099900176255</v>
      </c>
      <c r="Y588" s="152"/>
      <c r="Z588" s="164">
        <f>IF(AND($C587=12,$D587=Input!$C$6),0,IF($E588="","",V588+Z589/(1+L588)*R588))</f>
        <v>138975.28995119754</v>
      </c>
      <c r="AA588" s="164">
        <f>IF(OR($M588=1,AND($C587=12,$D587=Input!$C$6)),0,IF($E588="","",W588+(X588+AA589*$R588)/(1+$L588)))</f>
        <v>64817.554653326486</v>
      </c>
      <c r="AB588" s="160">
        <f t="shared" si="192"/>
        <v>0.825720328500681</v>
      </c>
      <c r="AC588" s="164">
        <f t="shared" si="193"/>
        <v>0</v>
      </c>
      <c r="AD588" s="164">
        <f>IF(AND($C587=12,$D587=Input!$C$6),0,IF($E588="","",$AC588+AD589/(1+$L588)*$R588))</f>
        <v>114754.72207198017</v>
      </c>
      <c r="AE588" s="152"/>
      <c r="AF588" s="164">
        <f>IF(AND($C587=12,$D587=Input!$C$6),0,IF($E588="","",IF($B588&gt;Input!$C$9,$AC588,0)+AF589/(1+$L588)*$R588))</f>
        <v>114754.72207198017</v>
      </c>
      <c r="AG588" s="164">
        <f>IF(AND($C587=12,$D587=Input!$C$6),0,IF($E588="","",(IF($B588&gt;Input!$C$9,$X588,0)+AG589)/(1+$L588)*$R588))</f>
        <v>62663.888429260223</v>
      </c>
      <c r="AH588" s="160">
        <f t="shared" si="194"/>
        <v>2.0950137211446997</v>
      </c>
      <c r="AI588" s="160">
        <f>IF($E588="","",MIN(Input!$C$61/AH588,1))</f>
        <v>0.64438718771845094</v>
      </c>
      <c r="AJ588" s="152"/>
      <c r="AK588" s="164">
        <f>IF(AND($C587=12,$D587=Input!$C$6),0,IF($E588="","",IF($B588&gt;Input!$C$9,$AC588*AI588,0)+AK589/(1+$L588)*$R588))</f>
        <v>73946.472633375728</v>
      </c>
      <c r="AL588" s="164">
        <f>IF(AND($C587=12,$D587=Input!$C$6),0,IF($E588="","",IF($B588&gt;Input!$C$9,0,$AC588)+AL589/(1+$L588)*$R588))</f>
        <v>0</v>
      </c>
      <c r="AM588" s="160">
        <f t="shared" si="195"/>
        <v>1.1382936520186004</v>
      </c>
      <c r="AN588" s="164">
        <f>IF($E588="","",IF($B588&gt;Input!$C$9,$AI588*$AC588,$AM588*$AC588))</f>
        <v>0</v>
      </c>
      <c r="AO588" s="164">
        <f>IF(AND($C587=12,$D587=Input!$C$6),0,IF($E588="","",$AN588+AO589/(1+$L588)*$R588))</f>
        <v>73946.472633375728</v>
      </c>
      <c r="AP588" s="152"/>
      <c r="AQ588" s="164">
        <f t="shared" si="196"/>
        <v>-9128.917980049242</v>
      </c>
      <c r="AR588" s="164">
        <f t="shared" si="205"/>
        <v>-4402.251889341007</v>
      </c>
      <c r="AS588" s="164">
        <f t="shared" si="206"/>
        <v>10119.138755980863</v>
      </c>
      <c r="AT588" s="164">
        <f t="shared" si="197"/>
        <v>10119.138755980863</v>
      </c>
      <c r="AU588" s="152"/>
      <c r="AV588" s="147">
        <f>'Deterministic Reserve'!BC588</f>
        <v>4.2903233024997267E-5</v>
      </c>
      <c r="AW588" s="164">
        <f t="shared" si="198"/>
        <v>10119.138755980863</v>
      </c>
      <c r="AX588" s="164">
        <f t="shared" si="199"/>
        <v>0.43414376806012789</v>
      </c>
      <c r="AY588" s="152"/>
    </row>
    <row r="589" spans="1:51" s="150" customFormat="1" x14ac:dyDescent="0.25">
      <c r="A589" s="150">
        <f t="shared" si="207"/>
        <v>585</v>
      </c>
      <c r="B589" s="150">
        <f t="shared" si="208"/>
        <v>49</v>
      </c>
      <c r="C589" s="150">
        <f t="shared" si="209"/>
        <v>9</v>
      </c>
      <c r="D589" s="150">
        <f>IF(E589="","",Input!$C$4+B589-1)</f>
        <v>93</v>
      </c>
      <c r="E589" s="150">
        <f>IF(OR(AND(C588=12,D588=Input!$C$6),E588=""),"",1)</f>
        <v>1</v>
      </c>
      <c r="F589" s="150">
        <f>IF(E589="","",Input!$C$8+B589-1)</f>
        <v>2066</v>
      </c>
      <c r="G589" s="151">
        <f>IF(E589="","",MAX(0,Input!$C$9-B589))</f>
        <v>0</v>
      </c>
      <c r="H589" s="152">
        <f>IF(E589="","",Input!$C$3)</f>
        <v>100000</v>
      </c>
      <c r="I589" s="153">
        <f>IF(E589="","",HLOOKUP($B589,Input!$C$13:$BT$14,2))</f>
        <v>518.15050000000008</v>
      </c>
      <c r="J589" s="154"/>
      <c r="K589" s="155">
        <f>IF($E589="","",Input!$C$57)</f>
        <v>4.4999999999999998E-2</v>
      </c>
      <c r="L589" s="155">
        <f t="shared" si="200"/>
        <v>3.6748094004368514E-3</v>
      </c>
      <c r="M589" s="147">
        <f>IF($E589="","",VLOOKUP(IF($B589&lt;=Input!$C$7,$B589,26),'Mortality Tables'!$A$72:$CA$97,IF($B589&lt;=Input!$C$7+1,Input!$C$4-16,$D589-Input!$C$7-16),0)/1000)</f>
        <v>0.21149000000000001</v>
      </c>
      <c r="N589" s="147">
        <f t="shared" si="189"/>
        <v>1.9606099900176255E-2</v>
      </c>
      <c r="O589" s="157">
        <f>IF($E589="","",IF($C589=12,IF($B589&lt;Input!$C$9,Input!$C$54,IF($B589=Input!$C$9,Input!$C$55,Input!$C$56)),0%))</f>
        <v>0</v>
      </c>
      <c r="P589" s="167">
        <f>IF($E589="","",IF($B589=1,Input!$C$59,IF($B589&lt;6,Input!$C$60,0%)))</f>
        <v>0</v>
      </c>
      <c r="Q589" s="162">
        <f>IF($E589="","",Input!$C$58)</f>
        <v>2.5</v>
      </c>
      <c r="R589" s="156">
        <f t="shared" si="201"/>
        <v>0.98039390009982375</v>
      </c>
      <c r="S589" s="154">
        <f t="shared" si="190"/>
        <v>4.3982819310351426E-4</v>
      </c>
      <c r="T589" s="152"/>
      <c r="U589" s="150">
        <f t="shared" si="202"/>
        <v>0</v>
      </c>
      <c r="V589" s="150">
        <f t="shared" si="203"/>
        <v>0</v>
      </c>
      <c r="W589" s="168">
        <f t="shared" si="204"/>
        <v>0</v>
      </c>
      <c r="X589" s="163">
        <f t="shared" si="191"/>
        <v>1960.6099900176255</v>
      </c>
      <c r="Y589" s="152"/>
      <c r="Z589" s="164">
        <f>IF(AND($C588=12,$D588=Input!$C$6),0,IF($E589="","",V589+Z590/(1+L589)*R589))</f>
        <v>142275.4646259388</v>
      </c>
      <c r="AA589" s="164">
        <f>IF(OR($M589=1,AND($C588=12,$D588=Input!$C$6)),0,IF($E589="","",W589+(X589+AA590*$R589)/(1+$L589)))</f>
        <v>64356.925125745773</v>
      </c>
      <c r="AB589" s="160">
        <f t="shared" si="192"/>
        <v>0.825720328500681</v>
      </c>
      <c r="AC589" s="164">
        <f t="shared" si="193"/>
        <v>0</v>
      </c>
      <c r="AD589" s="164">
        <f>IF(AND($C588=12,$D588=Input!$C$6),0,IF($E589="","",$AC589+AD590/(1+$L589)*$R589))</f>
        <v>117479.74338851713</v>
      </c>
      <c r="AE589" s="152"/>
      <c r="AF589" s="164">
        <f>IF(AND($C588=12,$D588=Input!$C$6),0,IF($E589="","",IF($B589&gt;Input!$C$9,$AC589,0)+AF590/(1+$L589)*$R589))</f>
        <v>117479.74338851713</v>
      </c>
      <c r="AG589" s="164">
        <f>IF(AND($C588=12,$D588=Input!$C$6),0,IF($E589="","",(IF($B589&gt;Input!$C$9,$X589,0)+AG590)/(1+$L589)*$R589))</f>
        <v>62191.325542347593</v>
      </c>
      <c r="AH589" s="160">
        <f t="shared" si="194"/>
        <v>2.0950137211446997</v>
      </c>
      <c r="AI589" s="160">
        <f>IF($E589="","",MIN(Input!$C$61/AH589,1))</f>
        <v>0.64438718771845094</v>
      </c>
      <c r="AJ589" s="152"/>
      <c r="AK589" s="164">
        <f>IF(AND($C588=12,$D588=Input!$C$6),0,IF($E589="","",IF($B589&gt;Input!$C$9,$AC589*AI589,0)+AK590/(1+$L589)*$R589))</f>
        <v>75702.441456011817</v>
      </c>
      <c r="AL589" s="164">
        <f>IF(AND($C588=12,$D588=Input!$C$6),0,IF($E589="","",IF($B589&gt;Input!$C$9,0,$AC589)+AL590/(1+$L589)*$R589))</f>
        <v>0</v>
      </c>
      <c r="AM589" s="160">
        <f t="shared" si="195"/>
        <v>1.1382936520186004</v>
      </c>
      <c r="AN589" s="164">
        <f>IF($E589="","",IF($B589&gt;Input!$C$9,$AI589*$AC589,$AM589*$AC589))</f>
        <v>0</v>
      </c>
      <c r="AO589" s="164">
        <f>IF(AND($C588=12,$D588=Input!$C$6),0,IF($E589="","",$AN589+AO590/(1+$L589)*$R589))</f>
        <v>75702.441456011817</v>
      </c>
      <c r="AP589" s="152"/>
      <c r="AQ589" s="164">
        <f t="shared" si="196"/>
        <v>-11345.516330266044</v>
      </c>
      <c r="AR589" s="164">
        <f t="shared" si="205"/>
        <v>-4402.251889341007</v>
      </c>
      <c r="AS589" s="164">
        <f t="shared" si="206"/>
        <v>10119.138755980863</v>
      </c>
      <c r="AT589" s="164">
        <f t="shared" si="197"/>
        <v>10119.138755980863</v>
      </c>
      <c r="AU589" s="152"/>
      <c r="AV589" s="147">
        <f>'Deterministic Reserve'!BC589</f>
        <v>4.0778032079160232E-5</v>
      </c>
      <c r="AW589" s="164">
        <f t="shared" si="198"/>
        <v>10119.138755980863</v>
      </c>
      <c r="AX589" s="164">
        <f t="shared" si="199"/>
        <v>0.41263856480486116</v>
      </c>
      <c r="AY589" s="152"/>
    </row>
    <row r="590" spans="1:51" s="150" customFormat="1" x14ac:dyDescent="0.25">
      <c r="A590" s="150">
        <f t="shared" si="207"/>
        <v>586</v>
      </c>
      <c r="B590" s="150">
        <f t="shared" si="208"/>
        <v>49</v>
      </c>
      <c r="C590" s="150">
        <f t="shared" si="209"/>
        <v>10</v>
      </c>
      <c r="D590" s="150">
        <f>IF(E590="","",Input!$C$4+B590-1)</f>
        <v>93</v>
      </c>
      <c r="E590" s="150">
        <f>IF(OR(AND(C589=12,D589=Input!$C$6),E589=""),"",1)</f>
        <v>1</v>
      </c>
      <c r="F590" s="150">
        <f>IF(E590="","",Input!$C$8+B590-1)</f>
        <v>2066</v>
      </c>
      <c r="G590" s="151">
        <f>IF(E590="","",MAX(0,Input!$C$9-B590))</f>
        <v>0</v>
      </c>
      <c r="H590" s="152">
        <f>IF(E590="","",Input!$C$3)</f>
        <v>100000</v>
      </c>
      <c r="I590" s="153">
        <f>IF(E590="","",HLOOKUP($B590,Input!$C$13:$BT$14,2))</f>
        <v>518.15050000000008</v>
      </c>
      <c r="J590" s="154"/>
      <c r="K590" s="155">
        <f>IF($E590="","",Input!$C$57)</f>
        <v>4.4999999999999998E-2</v>
      </c>
      <c r="L590" s="155">
        <f t="shared" si="200"/>
        <v>3.6748094004368514E-3</v>
      </c>
      <c r="M590" s="147">
        <f>IF($E590="","",VLOOKUP(IF($B590&lt;=Input!$C$7,$B590,26),'Mortality Tables'!$A$72:$CA$97,IF($B590&lt;=Input!$C$7+1,Input!$C$4-16,$D590-Input!$C$7-16),0)/1000)</f>
        <v>0.21149000000000001</v>
      </c>
      <c r="N590" s="147">
        <f t="shared" si="189"/>
        <v>1.9606099900176255E-2</v>
      </c>
      <c r="O590" s="157">
        <f>IF($E590="","",IF($C590=12,IF($B590&lt;Input!$C$9,Input!$C$54,IF($B590=Input!$C$9,Input!$C$55,Input!$C$56)),0%))</f>
        <v>0</v>
      </c>
      <c r="P590" s="167">
        <f>IF($E590="","",IF($B590=1,Input!$C$59,IF($B590&lt;6,Input!$C$60,0%)))</f>
        <v>0</v>
      </c>
      <c r="Q590" s="162">
        <f>IF($E590="","",Input!$C$58)</f>
        <v>2.5</v>
      </c>
      <c r="R590" s="156">
        <f t="shared" si="201"/>
        <v>0.98039390009982375</v>
      </c>
      <c r="S590" s="154">
        <f t="shared" si="190"/>
        <v>4.3120487761061274E-4</v>
      </c>
      <c r="T590" s="152"/>
      <c r="U590" s="150">
        <f t="shared" si="202"/>
        <v>0</v>
      </c>
      <c r="V590" s="150">
        <f t="shared" si="203"/>
        <v>0</v>
      </c>
      <c r="W590" s="168">
        <f t="shared" si="204"/>
        <v>0</v>
      </c>
      <c r="X590" s="163">
        <f t="shared" si="191"/>
        <v>1960.6099900176255</v>
      </c>
      <c r="Y590" s="152"/>
      <c r="Z590" s="164">
        <f>IF(AND($C589=12,$D589=Input!$C$6),0,IF($E590="","",V590+Z591/(1+L590)*R590))</f>
        <v>145654.00684995897</v>
      </c>
      <c r="AA590" s="164">
        <f>IF(OR($M590=1,AND($C589=12,$D589=Input!$C$6)),0,IF($E590="","",W590+(X590+AA591*$R590)/(1+$L590)))</f>
        <v>63885.357265876679</v>
      </c>
      <c r="AB590" s="160">
        <f t="shared" si="192"/>
        <v>0.825720328500681</v>
      </c>
      <c r="AC590" s="164">
        <f t="shared" si="193"/>
        <v>0</v>
      </c>
      <c r="AD590" s="164">
        <f>IF(AND($C589=12,$D589=Input!$C$6),0,IF($E590="","",$AC590+AD591/(1+$L590)*$R590))</f>
        <v>120269.47438358849</v>
      </c>
      <c r="AE590" s="152"/>
      <c r="AF590" s="164">
        <f>IF(AND($C589=12,$D589=Input!$C$6),0,IF($E590="","",IF($B590&gt;Input!$C$9,$AC590,0)+AF591/(1+$L590)*$R590))</f>
        <v>120269.47438358849</v>
      </c>
      <c r="AG590" s="164">
        <f>IF(AND($C589=12,$D589=Input!$C$6),0,IF($E590="","",(IF($B590&gt;Input!$C$9,$X590,0)+AG591)/(1+$L590)*$R590))</f>
        <v>61707.540947805071</v>
      </c>
      <c r="AH590" s="160">
        <f t="shared" si="194"/>
        <v>2.0950137211446997</v>
      </c>
      <c r="AI590" s="160">
        <f>IF($E590="","",MIN(Input!$C$61/AH590,1))</f>
        <v>0.64438718771845094</v>
      </c>
      <c r="AJ590" s="152"/>
      <c r="AK590" s="164">
        <f>IF(AND($C589=12,$D589=Input!$C$6),0,IF($E590="","",IF($B590&gt;Input!$C$9,$AC590*AI590,0)+AK591/(1+$L590)*$R590))</f>
        <v>77500.10836641684</v>
      </c>
      <c r="AL590" s="164">
        <f>IF(AND($C589=12,$D589=Input!$C$6),0,IF($E590="","",IF($B590&gt;Input!$C$9,0,$AC590)+AL591/(1+$L590)*$R590))</f>
        <v>0</v>
      </c>
      <c r="AM590" s="160">
        <f t="shared" si="195"/>
        <v>1.1382936520186004</v>
      </c>
      <c r="AN590" s="164">
        <f>IF($E590="","",IF($B590&gt;Input!$C$9,$AI590*$AC590,$AM590*$AC590))</f>
        <v>0</v>
      </c>
      <c r="AO590" s="164">
        <f>IF(AND($C589=12,$D589=Input!$C$6),0,IF($E590="","",$AN590+AO591/(1+$L590)*$R590))</f>
        <v>77500.10836641684</v>
      </c>
      <c r="AP590" s="152"/>
      <c r="AQ590" s="164">
        <f t="shared" si="196"/>
        <v>-13614.751100540161</v>
      </c>
      <c r="AR590" s="164">
        <f t="shared" si="205"/>
        <v>-4402.251889341007</v>
      </c>
      <c r="AS590" s="164">
        <f t="shared" si="206"/>
        <v>10119.138755980863</v>
      </c>
      <c r="AT590" s="164">
        <f t="shared" si="197"/>
        <v>10119.138755980863</v>
      </c>
      <c r="AU590" s="152"/>
      <c r="AV590" s="147">
        <f>'Deterministic Reserve'!BC590</f>
        <v>3.8758102432051553E-5</v>
      </c>
      <c r="AW590" s="164">
        <f t="shared" si="198"/>
        <v>10119.138755980863</v>
      </c>
      <c r="AX590" s="164">
        <f t="shared" si="199"/>
        <v>0.392198616428449</v>
      </c>
      <c r="AY590" s="152"/>
    </row>
    <row r="591" spans="1:51" s="150" customFormat="1" x14ac:dyDescent="0.25">
      <c r="A591" s="150">
        <f t="shared" si="207"/>
        <v>587</v>
      </c>
      <c r="B591" s="150">
        <f t="shared" si="208"/>
        <v>49</v>
      </c>
      <c r="C591" s="150">
        <f t="shared" si="209"/>
        <v>11</v>
      </c>
      <c r="D591" s="150">
        <f>IF(E591="","",Input!$C$4+B591-1)</f>
        <v>93</v>
      </c>
      <c r="E591" s="150">
        <f>IF(OR(AND(C590=12,D590=Input!$C$6),E590=""),"",1)</f>
        <v>1</v>
      </c>
      <c r="F591" s="150">
        <f>IF(E591="","",Input!$C$8+B591-1)</f>
        <v>2066</v>
      </c>
      <c r="G591" s="151">
        <f>IF(E591="","",MAX(0,Input!$C$9-B591))</f>
        <v>0</v>
      </c>
      <c r="H591" s="152">
        <f>IF(E591="","",Input!$C$3)</f>
        <v>100000</v>
      </c>
      <c r="I591" s="153">
        <f>IF(E591="","",HLOOKUP($B591,Input!$C$13:$BT$14,2))</f>
        <v>518.15050000000008</v>
      </c>
      <c r="J591" s="154"/>
      <c r="K591" s="155">
        <f>IF($E591="","",Input!$C$57)</f>
        <v>4.4999999999999998E-2</v>
      </c>
      <c r="L591" s="155">
        <f t="shared" si="200"/>
        <v>3.6748094004368514E-3</v>
      </c>
      <c r="M591" s="147">
        <f>IF($E591="","",VLOOKUP(IF($B591&lt;=Input!$C$7,$B591,26),'Mortality Tables'!$A$72:$CA$97,IF($B591&lt;=Input!$C$7+1,Input!$C$4-16,$D591-Input!$C$7-16),0)/1000)</f>
        <v>0.21149000000000001</v>
      </c>
      <c r="N591" s="147">
        <f t="shared" si="189"/>
        <v>1.9606099900176255E-2</v>
      </c>
      <c r="O591" s="157">
        <f>IF($E591="","",IF($C591=12,IF($B591&lt;Input!$C$9,Input!$C$54,IF($B591=Input!$C$9,Input!$C$55,Input!$C$56)),0%))</f>
        <v>0</v>
      </c>
      <c r="P591" s="167">
        <f>IF($E591="","",IF($B591=1,Input!$C$59,IF($B591&lt;6,Input!$C$60,0%)))</f>
        <v>0</v>
      </c>
      <c r="Q591" s="162">
        <f>IF($E591="","",Input!$C$58)</f>
        <v>2.5</v>
      </c>
      <c r="R591" s="156">
        <f t="shared" si="201"/>
        <v>0.98039390009982375</v>
      </c>
      <c r="S591" s="154">
        <f t="shared" si="190"/>
        <v>4.227506317027358E-4</v>
      </c>
      <c r="T591" s="152"/>
      <c r="U591" s="150">
        <f t="shared" si="202"/>
        <v>0</v>
      </c>
      <c r="V591" s="150">
        <f t="shared" si="203"/>
        <v>0</v>
      </c>
      <c r="W591" s="168">
        <f t="shared" si="204"/>
        <v>0</v>
      </c>
      <c r="X591" s="163">
        <f t="shared" si="191"/>
        <v>1960.6099900176255</v>
      </c>
      <c r="Y591" s="152"/>
      <c r="Z591" s="164">
        <f>IF(AND($C590=12,$D590=Input!$C$6),0,IF($E591="","",V591+Z592/(1+L591)*R591))</f>
        <v>149112.77757711211</v>
      </c>
      <c r="AA591" s="164">
        <f>IF(OR($M591=1,AND($C590=12,$D590=Input!$C$6)),0,IF($E591="","",W591+(X591+AA592*$R591)/(1+$L591)))</f>
        <v>63402.591326772723</v>
      </c>
      <c r="AB591" s="160">
        <f t="shared" si="192"/>
        <v>0.825720328500681</v>
      </c>
      <c r="AC591" s="164">
        <f t="shared" si="193"/>
        <v>0</v>
      </c>
      <c r="AD591" s="164">
        <f>IF(AND($C590=12,$D590=Input!$C$6),0,IF($E591="","",$AC591+AD592/(1+$L591)*$R591))</f>
        <v>123125.45168462192</v>
      </c>
      <c r="AE591" s="152"/>
      <c r="AF591" s="164">
        <f>IF(AND($C590=12,$D590=Input!$C$6),0,IF($E591="","",IF($B591&gt;Input!$C$9,$AC591,0)+AF592/(1+$L591)*$R591))</f>
        <v>123125.45168462192</v>
      </c>
      <c r="AG591" s="164">
        <f>IF(AND($C590=12,$D590=Input!$C$6),0,IF($E591="","",(IF($B591&gt;Input!$C$9,$X591,0)+AG592)/(1+$L591)*$R591))</f>
        <v>61212.268169517796</v>
      </c>
      <c r="AH591" s="160">
        <f t="shared" si="194"/>
        <v>2.0950137211446997</v>
      </c>
      <c r="AI591" s="160">
        <f>IF($E591="","",MIN(Input!$C$61/AH591,1))</f>
        <v>0.64438718771845094</v>
      </c>
      <c r="AJ591" s="152"/>
      <c r="AK591" s="164">
        <f>IF(AND($C590=12,$D590=Input!$C$6),0,IF($E591="","",IF($B591&gt;Input!$C$9,$AC591*AI591,0)+AK592/(1+$L591)*$R591))</f>
        <v>79340.463547617503</v>
      </c>
      <c r="AL591" s="164">
        <f>IF(AND($C590=12,$D590=Input!$C$6),0,IF($E591="","",IF($B591&gt;Input!$C$9,0,$AC591)+AL592/(1+$L591)*$R591))</f>
        <v>0</v>
      </c>
      <c r="AM591" s="160">
        <f t="shared" si="195"/>
        <v>1.1382936520186004</v>
      </c>
      <c r="AN591" s="164">
        <f>IF($E591="","",IF($B591&gt;Input!$C$9,$AI591*$AC591,$AM591*$AC591))</f>
        <v>0</v>
      </c>
      <c r="AO591" s="164">
        <f>IF(AND($C590=12,$D590=Input!$C$6),0,IF($E591="","",$AN591+AO592/(1+$L591)*$R591))</f>
        <v>79340.463547617503</v>
      </c>
      <c r="AP591" s="152"/>
      <c r="AQ591" s="164">
        <f t="shared" si="196"/>
        <v>-15937.87222084478</v>
      </c>
      <c r="AR591" s="164">
        <f t="shared" si="205"/>
        <v>-4402.251889341007</v>
      </c>
      <c r="AS591" s="164">
        <f t="shared" si="206"/>
        <v>10119.138755980863</v>
      </c>
      <c r="AT591" s="164">
        <f t="shared" si="197"/>
        <v>10119.138755980863</v>
      </c>
      <c r="AU591" s="152"/>
      <c r="AV591" s="147">
        <f>'Deterministic Reserve'!BC591</f>
        <v>3.6838229496148263E-5</v>
      </c>
      <c r="AW591" s="164">
        <f t="shared" si="198"/>
        <v>10119.138755980863</v>
      </c>
      <c r="AX591" s="164">
        <f t="shared" si="199"/>
        <v>0.37277115579619124</v>
      </c>
      <c r="AY591" s="152"/>
    </row>
    <row r="592" spans="1:51" s="150" customFormat="1" x14ac:dyDescent="0.25">
      <c r="A592" s="150">
        <f t="shared" si="207"/>
        <v>588</v>
      </c>
      <c r="B592" s="150">
        <f t="shared" si="208"/>
        <v>49</v>
      </c>
      <c r="C592" s="150">
        <f t="shared" si="209"/>
        <v>12</v>
      </c>
      <c r="D592" s="150">
        <f>IF(E592="","",Input!$C$4+B592-1)</f>
        <v>93</v>
      </c>
      <c r="E592" s="150">
        <f>IF(OR(AND(C591=12,D591=Input!$C$6),E591=""),"",1)</f>
        <v>1</v>
      </c>
      <c r="F592" s="150">
        <f>IF(E592="","",Input!$C$8+B592-1)</f>
        <v>2066</v>
      </c>
      <c r="G592" s="151">
        <f>IF(E592="","",MAX(0,Input!$C$9-B592))</f>
        <v>0</v>
      </c>
      <c r="H592" s="152">
        <f>IF(E592="","",Input!$C$3)</f>
        <v>100000</v>
      </c>
      <c r="I592" s="153">
        <f>IF(E592="","",HLOOKUP($B592,Input!$C$13:$BT$14,2))</f>
        <v>518.15050000000008</v>
      </c>
      <c r="J592" s="154"/>
      <c r="K592" s="155">
        <f>IF($E592="","",Input!$C$57)</f>
        <v>4.4999999999999998E-2</v>
      </c>
      <c r="L592" s="155">
        <f t="shared" si="200"/>
        <v>3.6748094004368514E-3</v>
      </c>
      <c r="M592" s="147">
        <f>IF($E592="","",VLOOKUP(IF($B592&lt;=Input!$C$7,$B592,26),'Mortality Tables'!$A$72:$CA$97,IF($B592&lt;=Input!$C$7+1,Input!$C$4-16,$D592-Input!$C$7-16),0)/1000)</f>
        <v>0.21149000000000001</v>
      </c>
      <c r="N592" s="147">
        <f t="shared" si="189"/>
        <v>1.9606099900176255E-2</v>
      </c>
      <c r="O592" s="157">
        <f>IF($E592="","",IF($C592=12,IF($B592&lt;Input!$C$9,Input!$C$54,IF($B592=Input!$C$9,Input!$C$55,Input!$C$56)),0%))</f>
        <v>0.1</v>
      </c>
      <c r="P592" s="167">
        <f>IF($E592="","",IF($B592=1,Input!$C$59,IF($B592&lt;6,Input!$C$60,0%)))</f>
        <v>0</v>
      </c>
      <c r="Q592" s="162">
        <f>IF($E592="","",Input!$C$58)</f>
        <v>2.5</v>
      </c>
      <c r="R592" s="156">
        <f t="shared" si="201"/>
        <v>0.88039390009982377</v>
      </c>
      <c r="S592" s="154">
        <f t="shared" si="190"/>
        <v>3.7218707741443576E-4</v>
      </c>
      <c r="T592" s="152"/>
      <c r="U592" s="150">
        <f t="shared" si="202"/>
        <v>0</v>
      </c>
      <c r="V592" s="150">
        <f t="shared" si="203"/>
        <v>0</v>
      </c>
      <c r="W592" s="168">
        <f t="shared" si="204"/>
        <v>0</v>
      </c>
      <c r="X592" s="163">
        <f t="shared" si="191"/>
        <v>1960.6099900176255</v>
      </c>
      <c r="Y592" s="152"/>
      <c r="Z592" s="164">
        <f>IF(AND($C591=12,$D591=Input!$C$6),0,IF($E592="","",V592+Z593/(1+L592)*R592))</f>
        <v>152653.68195236553</v>
      </c>
      <c r="AA592" s="164">
        <f>IF(OR($M592=1,AND($C591=12,$D591=Input!$C$6)),0,IF($E592="","",W592+(X592+AA593*$R592)/(1+$L592)))</f>
        <v>62908.361393410371</v>
      </c>
      <c r="AB592" s="160">
        <f t="shared" si="192"/>
        <v>0.825720328500681</v>
      </c>
      <c r="AC592" s="164">
        <f t="shared" si="193"/>
        <v>0</v>
      </c>
      <c r="AD592" s="164">
        <f>IF(AND($C591=12,$D591=Input!$C$6),0,IF($E592="","",$AC592+AD593/(1+$L592)*$R592))</f>
        <v>126049.24840854568</v>
      </c>
      <c r="AE592" s="152"/>
      <c r="AF592" s="164">
        <f>IF(AND($C591=12,$D591=Input!$C$6),0,IF($E592="","",IF($B592&gt;Input!$C$9,$AC592,0)+AF593/(1+$L592)*$R592))</f>
        <v>126049.24840854568</v>
      </c>
      <c r="AG592" s="164">
        <f>IF(AND($C591=12,$D591=Input!$C$6),0,IF($E592="","",(IF($B592&gt;Input!$C$9,$X592,0)+AG593)/(1+$L592)*$R592))</f>
        <v>60705.23440349978</v>
      </c>
      <c r="AH592" s="160">
        <f t="shared" si="194"/>
        <v>2.0950137211446997</v>
      </c>
      <c r="AI592" s="160">
        <f>IF($E592="","",MIN(Input!$C$61/AH592,1))</f>
        <v>0.64438718771845094</v>
      </c>
      <c r="AJ592" s="152"/>
      <c r="AK592" s="164">
        <f>IF(AND($C591=12,$D591=Input!$C$6),0,IF($E592="","",IF($B592&gt;Input!$C$9,$AC592*AI592,0)+AK593/(1+$L592)*$R592))</f>
        <v>81224.520696007166</v>
      </c>
      <c r="AL592" s="164">
        <f>IF(AND($C591=12,$D591=Input!$C$6),0,IF($E592="","",IF($B592&gt;Input!$C$9,0,$AC592)+AL593/(1+$L592)*$R592))</f>
        <v>0</v>
      </c>
      <c r="AM592" s="160">
        <f t="shared" si="195"/>
        <v>1.1382936520186004</v>
      </c>
      <c r="AN592" s="164">
        <f>IF($E592="","",IF($B592&gt;Input!$C$9,$AI592*$AC592,$AM592*$AC592))</f>
        <v>0</v>
      </c>
      <c r="AO592" s="164">
        <f>IF(AND($C591=12,$D591=Input!$C$6),0,IF($E592="","",$AN592+AO593/(1+$L592)*$R592))</f>
        <v>81224.520696007166</v>
      </c>
      <c r="AP592" s="152"/>
      <c r="AQ592" s="164">
        <f t="shared" si="196"/>
        <v>-18316.159302596796</v>
      </c>
      <c r="AR592" s="164">
        <f t="shared" si="205"/>
        <v>-4402.251889341007</v>
      </c>
      <c r="AS592" s="164">
        <f t="shared" si="206"/>
        <v>10119.138755980863</v>
      </c>
      <c r="AT592" s="164">
        <f t="shared" si="197"/>
        <v>10119.138755980863</v>
      </c>
      <c r="AU592" s="152"/>
      <c r="AV592" s="147">
        <f>'Deterministic Reserve'!BC592</f>
        <v>3.1329634037604758E-5</v>
      </c>
      <c r="AW592" s="164">
        <f t="shared" si="198"/>
        <v>10119.138755980863</v>
      </c>
      <c r="AX592" s="164">
        <f t="shared" si="199"/>
        <v>0.3170289140006235</v>
      </c>
      <c r="AY592" s="152"/>
    </row>
    <row r="593" spans="1:51" s="150" customFormat="1" x14ac:dyDescent="0.25">
      <c r="A593" s="150">
        <f t="shared" si="207"/>
        <v>589</v>
      </c>
      <c r="B593" s="150">
        <f t="shared" si="208"/>
        <v>50</v>
      </c>
      <c r="C593" s="150">
        <f t="shared" si="209"/>
        <v>1</v>
      </c>
      <c r="D593" s="150">
        <f>IF(E593="","",Input!$C$4+B593-1)</f>
        <v>94</v>
      </c>
      <c r="E593" s="150">
        <f>IF(OR(AND(C592=12,D592=Input!$C$6),E592=""),"",1)</f>
        <v>1</v>
      </c>
      <c r="F593" s="150">
        <f>IF(E593="","",Input!$C$8+B593-1)</f>
        <v>2067</v>
      </c>
      <c r="G593" s="151">
        <f>IF(E593="","",MAX(0,Input!$C$9-B593))</f>
        <v>0</v>
      </c>
      <c r="H593" s="152">
        <f>IF(E593="","",Input!$C$3)</f>
        <v>100000</v>
      </c>
      <c r="I593" s="153">
        <f>IF(E593="","",HLOOKUP($B593,Input!$C$13:$BT$14,2))</f>
        <v>559.48200000000008</v>
      </c>
      <c r="J593" s="154"/>
      <c r="K593" s="155">
        <f>IF($E593="","",Input!$C$57)</f>
        <v>4.4999999999999998E-2</v>
      </c>
      <c r="L593" s="155">
        <f t="shared" si="200"/>
        <v>3.6748094004368514E-3</v>
      </c>
      <c r="M593" s="147">
        <f>IF($E593="","",VLOOKUP(IF($B593&lt;=Input!$C$7,$B593,26),'Mortality Tables'!$A$72:$CA$97,IF($B593&lt;=Input!$C$7+1,Input!$C$4-16,$D593-Input!$C$7-16),0)/1000)</f>
        <v>0.22836000000000001</v>
      </c>
      <c r="N593" s="147">
        <f t="shared" si="189"/>
        <v>2.137142099169187E-2</v>
      </c>
      <c r="O593" s="157">
        <f>IF($E593="","",IF($C593=12,IF($B593&lt;Input!$C$9,Input!$C$54,IF($B593=Input!$C$9,Input!$C$55,Input!$C$56)),0%))</f>
        <v>0</v>
      </c>
      <c r="P593" s="167">
        <f>IF($E593="","",IF($B593=1,Input!$C$59,IF($B593&lt;6,Input!$C$60,0%)))</f>
        <v>0</v>
      </c>
      <c r="Q593" s="162">
        <f>IF($E593="","",Input!$C$58)</f>
        <v>2.5</v>
      </c>
      <c r="R593" s="156">
        <f t="shared" si="201"/>
        <v>0.97862857900830813</v>
      </c>
      <c r="S593" s="154">
        <f t="shared" si="190"/>
        <v>3.6423291069534442E-4</v>
      </c>
      <c r="T593" s="152"/>
      <c r="U593" s="150">
        <f t="shared" si="202"/>
        <v>55948.200000000004</v>
      </c>
      <c r="V593" s="150">
        <f t="shared" si="203"/>
        <v>55948.200000000004</v>
      </c>
      <c r="W593" s="168">
        <f t="shared" si="204"/>
        <v>0</v>
      </c>
      <c r="X593" s="163">
        <f t="shared" si="191"/>
        <v>2137.1420991691871</v>
      </c>
      <c r="Y593" s="152"/>
      <c r="Z593" s="164">
        <f>IF(AND($C592=12,$D592=Input!$C$6),0,IF($E593="","",V593+Z594/(1+L593)*R593))</f>
        <v>174029.6645858667</v>
      </c>
      <c r="AA593" s="164">
        <f>IF(OR($M593=1,AND($C592=12,$D592=Input!$C$6)),0,IF($E593="","",W593+(X593+AA594*$R593)/(1+$L593)))</f>
        <v>69490.403822959852</v>
      </c>
      <c r="AB593" s="160">
        <f t="shared" si="192"/>
        <v>0.825720328500681</v>
      </c>
      <c r="AC593" s="164">
        <f t="shared" si="193"/>
        <v>46197.566083021804</v>
      </c>
      <c r="AD593" s="164">
        <f>IF(AND($C592=12,$D592=Input!$C$6),0,IF($E593="","",$AC593+AD594/(1+$L593)*$R593))</f>
        <v>143699.83181070513</v>
      </c>
      <c r="AE593" s="152"/>
      <c r="AF593" s="164">
        <f>IF(AND($C592=12,$D592=Input!$C$6),0,IF($E593="","",IF($B593&gt;Input!$C$9,$AC593,0)+AF594/(1+$L593)*$R593))</f>
        <v>143699.83181070513</v>
      </c>
      <c r="AG593" s="164">
        <f>IF(AND($C592=12,$D592=Input!$C$6),0,IF($E593="","",(IF($B593&gt;Input!$C$9,$X593,0)+AG594)/(1+$L593)*$R593))</f>
        <v>67245.133669307033</v>
      </c>
      <c r="AH593" s="160">
        <f t="shared" si="194"/>
        <v>2.0950137211446997</v>
      </c>
      <c r="AI593" s="160">
        <f>IF($E593="","",MIN(Input!$C$61/AH593,1))</f>
        <v>0.64438718771845094</v>
      </c>
      <c r="AJ593" s="152"/>
      <c r="AK593" s="164">
        <f>IF(AND($C592=12,$D592=Input!$C$6),0,IF($E593="","",IF($B593&gt;Input!$C$9,$AC593*AI593,0)+AK594/(1+$L593)*$R593))</f>
        <v>92598.330496114664</v>
      </c>
      <c r="AL593" s="164">
        <f>IF(AND($C592=12,$D592=Input!$C$6),0,IF($E593="","",IF($B593&gt;Input!$C$9,0,$AC593)+AL594/(1+$L593)*$R593))</f>
        <v>0</v>
      </c>
      <c r="AM593" s="160">
        <f t="shared" si="195"/>
        <v>1.1382936520186004</v>
      </c>
      <c r="AN593" s="164">
        <f>IF($E593="","",IF($B593&gt;Input!$C$9,$AI593*$AC593,$AM593*$AC593))</f>
        <v>29769.119687675713</v>
      </c>
      <c r="AO593" s="164">
        <f>IF(AND($C592=12,$D592=Input!$C$6),0,IF($E593="","",$AN593+AO594/(1+$L593)*$R593))</f>
        <v>92598.330496114664</v>
      </c>
      <c r="AP593" s="152"/>
      <c r="AQ593" s="164">
        <f t="shared" si="196"/>
        <v>-23107.926673154812</v>
      </c>
      <c r="AR593" s="164">
        <f t="shared" si="205"/>
        <v>-3547.8297675180856</v>
      </c>
      <c r="AS593" s="164">
        <f t="shared" si="206"/>
        <v>10926.315789473685</v>
      </c>
      <c r="AT593" s="164">
        <f t="shared" si="197"/>
        <v>10926.315789473685</v>
      </c>
      <c r="AU593" s="152"/>
      <c r="AV593" s="147">
        <f>'Deterministic Reserve'!BC593</f>
        <v>2.962024301234711E-5</v>
      </c>
      <c r="AW593" s="164">
        <f t="shared" si="198"/>
        <v>10926.315789473685</v>
      </c>
      <c r="AX593" s="164">
        <f t="shared" si="199"/>
        <v>0.3236401289138558</v>
      </c>
      <c r="AY593" s="152"/>
    </row>
    <row r="594" spans="1:51" s="150" customFormat="1" x14ac:dyDescent="0.25">
      <c r="A594" s="150">
        <f t="shared" si="207"/>
        <v>590</v>
      </c>
      <c r="B594" s="150">
        <f t="shared" si="208"/>
        <v>50</v>
      </c>
      <c r="C594" s="150">
        <f t="shared" si="209"/>
        <v>2</v>
      </c>
      <c r="D594" s="150">
        <f>IF(E594="","",Input!$C$4+B594-1)</f>
        <v>94</v>
      </c>
      <c r="E594" s="150">
        <f>IF(OR(AND(C593=12,D593=Input!$C$6),E593=""),"",1)</f>
        <v>1</v>
      </c>
      <c r="F594" s="150">
        <f>IF(E594="","",Input!$C$8+B594-1)</f>
        <v>2067</v>
      </c>
      <c r="G594" s="151">
        <f>IF(E594="","",MAX(0,Input!$C$9-B594))</f>
        <v>0</v>
      </c>
      <c r="H594" s="152">
        <f>IF(E594="","",Input!$C$3)</f>
        <v>100000</v>
      </c>
      <c r="I594" s="153">
        <f>IF(E594="","",HLOOKUP($B594,Input!$C$13:$BT$14,2))</f>
        <v>559.48200000000008</v>
      </c>
      <c r="J594" s="154"/>
      <c r="K594" s="155">
        <f>IF($E594="","",Input!$C$57)</f>
        <v>4.4999999999999998E-2</v>
      </c>
      <c r="L594" s="155">
        <f t="shared" si="200"/>
        <v>3.6748094004368514E-3</v>
      </c>
      <c r="M594" s="147">
        <f>IF($E594="","",VLOOKUP(IF($B594&lt;=Input!$C$7,$B594,26),'Mortality Tables'!$A$72:$CA$97,IF($B594&lt;=Input!$C$7+1,Input!$C$4-16,$D594-Input!$C$7-16),0)/1000)</f>
        <v>0.22836000000000001</v>
      </c>
      <c r="N594" s="147">
        <f t="shared" si="189"/>
        <v>2.137142099169187E-2</v>
      </c>
      <c r="O594" s="157">
        <f>IF($E594="","",IF($C594=12,IF($B594&lt;Input!$C$9,Input!$C$54,IF($B594=Input!$C$9,Input!$C$55,Input!$C$56)),0%))</f>
        <v>0</v>
      </c>
      <c r="P594" s="167">
        <f>IF($E594="","",IF($B594=1,Input!$C$59,IF($B594&lt;6,Input!$C$60,0%)))</f>
        <v>0</v>
      </c>
      <c r="Q594" s="162">
        <f>IF($E594="","",Input!$C$58)</f>
        <v>2.5</v>
      </c>
      <c r="R594" s="156">
        <f t="shared" si="201"/>
        <v>0.97862857900830813</v>
      </c>
      <c r="S594" s="154">
        <f t="shared" si="190"/>
        <v>3.564487358218449E-4</v>
      </c>
      <c r="T594" s="152"/>
      <c r="U594" s="150">
        <f t="shared" si="202"/>
        <v>0</v>
      </c>
      <c r="V594" s="150">
        <f t="shared" si="203"/>
        <v>0</v>
      </c>
      <c r="W594" s="168">
        <f t="shared" si="204"/>
        <v>0</v>
      </c>
      <c r="X594" s="163">
        <f t="shared" si="191"/>
        <v>2137.1420991691871</v>
      </c>
      <c r="Y594" s="152"/>
      <c r="Z594" s="164">
        <f>IF(AND($C593=12,$D593=Input!$C$6),0,IF($E594="","",V594+Z595/(1+L594)*R594))</f>
        <v>121103.54633424011</v>
      </c>
      <c r="AA594" s="164">
        <f>IF(OR($M594=1,AND($C593=12,$D593=Input!$C$6)),0,IF($E594="","",W594+(X594+AA595*$R594)/(1+$L594)))</f>
        <v>69085.071868134633</v>
      </c>
      <c r="AB594" s="160">
        <f t="shared" si="192"/>
        <v>0.825720328500681</v>
      </c>
      <c r="AC594" s="164">
        <f t="shared" si="193"/>
        <v>0</v>
      </c>
      <c r="AD594" s="164">
        <f>IF(AND($C593=12,$D593=Input!$C$6),0,IF($E594="","",$AC594+AD595/(1+$L594)*$R594))</f>
        <v>99997.660061706134</v>
      </c>
      <c r="AE594" s="152"/>
      <c r="AF594" s="164">
        <f>IF(AND($C593=12,$D593=Input!$C$6),0,IF($E594="","",IF($B594&gt;Input!$C$9,$AC594,0)+AF595/(1+$L594)*$R594))</f>
        <v>99997.660061706134</v>
      </c>
      <c r="AG594" s="164">
        <f>IF(AND($C593=12,$D593=Input!$C$6),0,IF($E594="","",(IF($B594&gt;Input!$C$9,$X594,0)+AG595)/(1+$L594)*$R594))</f>
        <v>66829.00927466643</v>
      </c>
      <c r="AH594" s="160">
        <f t="shared" si="194"/>
        <v>2.0950137211446997</v>
      </c>
      <c r="AI594" s="160">
        <f>IF($E594="","",MIN(Input!$C$61/AH594,1))</f>
        <v>0.64438718771845094</v>
      </c>
      <c r="AJ594" s="152"/>
      <c r="AK594" s="164">
        <f>IF(AND($C593=12,$D593=Input!$C$6),0,IF($E594="","",IF($B594&gt;Input!$C$9,$AC594*AI594,0)+AK595/(1+$L594)*$R594))</f>
        <v>64437.210945588464</v>
      </c>
      <c r="AL594" s="164">
        <f>IF(AND($C593=12,$D593=Input!$C$6),0,IF($E594="","",IF($B594&gt;Input!$C$9,0,$AC594)+AL595/(1+$L594)*$R594))</f>
        <v>0</v>
      </c>
      <c r="AM594" s="160">
        <f t="shared" si="195"/>
        <v>1.1382936520186004</v>
      </c>
      <c r="AN594" s="164">
        <f>IF($E594="","",IF($B594&gt;Input!$C$9,$AI594*$AC594,$AM594*$AC594))</f>
        <v>0</v>
      </c>
      <c r="AO594" s="164">
        <f>IF(AND($C593=12,$D593=Input!$C$6),0,IF($E594="","",$AN594+AO595/(1+$L594)*$R594))</f>
        <v>64437.210945588464</v>
      </c>
      <c r="AP594" s="152"/>
      <c r="AQ594" s="164">
        <f t="shared" si="196"/>
        <v>4647.8609225461696</v>
      </c>
      <c r="AR594" s="164">
        <f t="shared" si="205"/>
        <v>-3547.8297675180856</v>
      </c>
      <c r="AS594" s="164">
        <f t="shared" si="206"/>
        <v>10926.315789473685</v>
      </c>
      <c r="AT594" s="164">
        <f t="shared" si="197"/>
        <v>10926.315789473685</v>
      </c>
      <c r="AU594" s="152"/>
      <c r="AV594" s="147">
        <f>'Deterministic Reserve'!BC594</f>
        <v>2.8004118881740198E-5</v>
      </c>
      <c r="AW594" s="164">
        <f t="shared" si="198"/>
        <v>10926.315789473685</v>
      </c>
      <c r="AX594" s="164">
        <f t="shared" si="199"/>
        <v>0.30598184630785608</v>
      </c>
      <c r="AY594" s="152"/>
    </row>
    <row r="595" spans="1:51" s="150" customFormat="1" x14ac:dyDescent="0.25">
      <c r="A595" s="150">
        <f t="shared" si="207"/>
        <v>591</v>
      </c>
      <c r="B595" s="150">
        <f t="shared" si="208"/>
        <v>50</v>
      </c>
      <c r="C595" s="150">
        <f t="shared" si="209"/>
        <v>3</v>
      </c>
      <c r="D595" s="150">
        <f>IF(E595="","",Input!$C$4+B595-1)</f>
        <v>94</v>
      </c>
      <c r="E595" s="150">
        <f>IF(OR(AND(C594=12,D594=Input!$C$6),E594=""),"",1)</f>
        <v>1</v>
      </c>
      <c r="F595" s="150">
        <f>IF(E595="","",Input!$C$8+B595-1)</f>
        <v>2067</v>
      </c>
      <c r="G595" s="151">
        <f>IF(E595="","",MAX(0,Input!$C$9-B595))</f>
        <v>0</v>
      </c>
      <c r="H595" s="152">
        <f>IF(E595="","",Input!$C$3)</f>
        <v>100000</v>
      </c>
      <c r="I595" s="153">
        <f>IF(E595="","",HLOOKUP($B595,Input!$C$13:$BT$14,2))</f>
        <v>559.48200000000008</v>
      </c>
      <c r="J595" s="154"/>
      <c r="K595" s="155">
        <f>IF($E595="","",Input!$C$57)</f>
        <v>4.4999999999999998E-2</v>
      </c>
      <c r="L595" s="155">
        <f t="shared" si="200"/>
        <v>3.6748094004368514E-3</v>
      </c>
      <c r="M595" s="147">
        <f>IF($E595="","",VLOOKUP(IF($B595&lt;=Input!$C$7,$B595,26),'Mortality Tables'!$A$72:$CA$97,IF($B595&lt;=Input!$C$7+1,Input!$C$4-16,$D595-Input!$C$7-16),0)/1000)</f>
        <v>0.22836000000000001</v>
      </c>
      <c r="N595" s="147">
        <f t="shared" si="189"/>
        <v>2.137142099169187E-2</v>
      </c>
      <c r="O595" s="157">
        <f>IF($E595="","",IF($C595=12,IF($B595&lt;Input!$C$9,Input!$C$54,IF($B595=Input!$C$9,Input!$C$55,Input!$C$56)),0%))</f>
        <v>0</v>
      </c>
      <c r="P595" s="167">
        <f>IF($E595="","",IF($B595=1,Input!$C$59,IF($B595&lt;6,Input!$C$60,0%)))</f>
        <v>0</v>
      </c>
      <c r="Q595" s="162">
        <f>IF($E595="","",Input!$C$58)</f>
        <v>2.5</v>
      </c>
      <c r="R595" s="156">
        <f t="shared" si="201"/>
        <v>0.97862857900830813</v>
      </c>
      <c r="S595" s="154">
        <f t="shared" si="190"/>
        <v>3.4883091982663988E-4</v>
      </c>
      <c r="T595" s="152"/>
      <c r="U595" s="150">
        <f t="shared" si="202"/>
        <v>0</v>
      </c>
      <c r="V595" s="150">
        <f t="shared" si="203"/>
        <v>0</v>
      </c>
      <c r="W595" s="168">
        <f t="shared" si="204"/>
        <v>0</v>
      </c>
      <c r="X595" s="163">
        <f t="shared" si="191"/>
        <v>2137.1420991691871</v>
      </c>
      <c r="Y595" s="152"/>
      <c r="Z595" s="164">
        <f>IF(AND($C594=12,$D594=Input!$C$6),0,IF($E595="","",V595+Z596/(1+L595)*R595))</f>
        <v>124202.97280497008</v>
      </c>
      <c r="AA595" s="164">
        <f>IF(OR($M595=1,AND($C594=12,$D594=Input!$C$6)),0,IF($E595="","",W595+(X595+AA596*$R595)/(1+$L595)))</f>
        <v>68669.366174238618</v>
      </c>
      <c r="AB595" s="160">
        <f t="shared" si="192"/>
        <v>0.825720328500681</v>
      </c>
      <c r="AC595" s="164">
        <f t="shared" si="193"/>
        <v>0</v>
      </c>
      <c r="AD595" s="164">
        <f>IF(AND($C594=12,$D594=Input!$C$6),0,IF($E595="","",$AC595+AD596/(1+$L595)*$R595))</f>
        <v>102556.91950528101</v>
      </c>
      <c r="AE595" s="152"/>
      <c r="AF595" s="164">
        <f>IF(AND($C594=12,$D594=Input!$C$6),0,IF($E595="","",IF($B595&gt;Input!$C$9,$AC595,0)+AF596/(1+$L595)*$R595))</f>
        <v>102556.91950528101</v>
      </c>
      <c r="AG595" s="164">
        <f>IF(AND($C594=12,$D594=Input!$C$6),0,IF($E595="","",(IF($B595&gt;Input!$C$9,$X595,0)+AG596)/(1+$L595)*$R595))</f>
        <v>66402.23492795667</v>
      </c>
      <c r="AH595" s="160">
        <f t="shared" si="194"/>
        <v>2.0950137211446997</v>
      </c>
      <c r="AI595" s="160">
        <f>IF($E595="","",MIN(Input!$C$61/AH595,1))</f>
        <v>0.64438718771845094</v>
      </c>
      <c r="AJ595" s="152"/>
      <c r="AK595" s="164">
        <f>IF(AND($C594=12,$D594=Input!$C$6),0,IF($E595="","",IF($B595&gt;Input!$C$9,$AC595*AI595,0)+AK596/(1+$L595)*$R595))</f>
        <v>66086.364941075561</v>
      </c>
      <c r="AL595" s="164">
        <f>IF(AND($C594=12,$D594=Input!$C$6),0,IF($E595="","",IF($B595&gt;Input!$C$9,0,$AC595)+AL596/(1+$L595)*$R595))</f>
        <v>0</v>
      </c>
      <c r="AM595" s="160">
        <f t="shared" si="195"/>
        <v>1.1382936520186004</v>
      </c>
      <c r="AN595" s="164">
        <f>IF($E595="","",IF($B595&gt;Input!$C$9,$AI595*$AC595,$AM595*$AC595))</f>
        <v>0</v>
      </c>
      <c r="AO595" s="164">
        <f>IF(AND($C594=12,$D594=Input!$C$6),0,IF($E595="","",$AN595+AO596/(1+$L595)*$R595))</f>
        <v>66086.364941075561</v>
      </c>
      <c r="AP595" s="152"/>
      <c r="AQ595" s="164">
        <f t="shared" si="196"/>
        <v>2583.0012331630569</v>
      </c>
      <c r="AR595" s="164">
        <f t="shared" si="205"/>
        <v>-3547.8297675180856</v>
      </c>
      <c r="AS595" s="164">
        <f t="shared" si="206"/>
        <v>10926.315789473685</v>
      </c>
      <c r="AT595" s="164">
        <f t="shared" si="197"/>
        <v>10926.315789473685</v>
      </c>
      <c r="AU595" s="152"/>
      <c r="AV595" s="147">
        <f>'Deterministic Reserve'!BC595</f>
        <v>2.6476172866499901E-5</v>
      </c>
      <c r="AW595" s="164">
        <f t="shared" si="198"/>
        <v>10926.315789473685</v>
      </c>
      <c r="AX595" s="164">
        <f t="shared" si="199"/>
        <v>0.28928702563607261</v>
      </c>
      <c r="AY595" s="152"/>
    </row>
    <row r="596" spans="1:51" s="150" customFormat="1" x14ac:dyDescent="0.25">
      <c r="A596" s="150">
        <f t="shared" si="207"/>
        <v>592</v>
      </c>
      <c r="B596" s="150">
        <f t="shared" si="208"/>
        <v>50</v>
      </c>
      <c r="C596" s="150">
        <f t="shared" si="209"/>
        <v>4</v>
      </c>
      <c r="D596" s="150">
        <f>IF(E596="","",Input!$C$4+B596-1)</f>
        <v>94</v>
      </c>
      <c r="E596" s="150">
        <f>IF(OR(AND(C595=12,D595=Input!$C$6),E595=""),"",1)</f>
        <v>1</v>
      </c>
      <c r="F596" s="150">
        <f>IF(E596="","",Input!$C$8+B596-1)</f>
        <v>2067</v>
      </c>
      <c r="G596" s="151">
        <f>IF(E596="","",MAX(0,Input!$C$9-B596))</f>
        <v>0</v>
      </c>
      <c r="H596" s="152">
        <f>IF(E596="","",Input!$C$3)</f>
        <v>100000</v>
      </c>
      <c r="I596" s="153">
        <f>IF(E596="","",HLOOKUP($B596,Input!$C$13:$BT$14,2))</f>
        <v>559.48200000000008</v>
      </c>
      <c r="J596" s="154"/>
      <c r="K596" s="155">
        <f>IF($E596="","",Input!$C$57)</f>
        <v>4.4999999999999998E-2</v>
      </c>
      <c r="L596" s="155">
        <f t="shared" si="200"/>
        <v>3.6748094004368514E-3</v>
      </c>
      <c r="M596" s="147">
        <f>IF($E596="","",VLOOKUP(IF($B596&lt;=Input!$C$7,$B596,26),'Mortality Tables'!$A$72:$CA$97,IF($B596&lt;=Input!$C$7+1,Input!$C$4-16,$D596-Input!$C$7-16),0)/1000)</f>
        <v>0.22836000000000001</v>
      </c>
      <c r="N596" s="147">
        <f t="shared" si="189"/>
        <v>2.137142099169187E-2</v>
      </c>
      <c r="O596" s="157">
        <f>IF($E596="","",IF($C596=12,IF($B596&lt;Input!$C$9,Input!$C$54,IF($B596=Input!$C$9,Input!$C$55,Input!$C$56)),0%))</f>
        <v>0</v>
      </c>
      <c r="P596" s="167">
        <f>IF($E596="","",IF($B596=1,Input!$C$59,IF($B596&lt;6,Input!$C$60,0%)))</f>
        <v>0</v>
      </c>
      <c r="Q596" s="162">
        <f>IF($E596="","",Input!$C$58)</f>
        <v>2.5</v>
      </c>
      <c r="R596" s="156">
        <f t="shared" si="201"/>
        <v>0.97862857900830813</v>
      </c>
      <c r="S596" s="154">
        <f t="shared" si="190"/>
        <v>3.4137590738410567E-4</v>
      </c>
      <c r="T596" s="152"/>
      <c r="U596" s="150">
        <f t="shared" si="202"/>
        <v>0</v>
      </c>
      <c r="V596" s="150">
        <f t="shared" si="203"/>
        <v>0</v>
      </c>
      <c r="W596" s="168">
        <f t="shared" si="204"/>
        <v>0</v>
      </c>
      <c r="X596" s="163">
        <f t="shared" si="191"/>
        <v>2137.1420991691871</v>
      </c>
      <c r="Y596" s="152"/>
      <c r="Z596" s="164">
        <f>IF(AND($C595=12,$D595=Input!$C$6),0,IF($E596="","",V596+Z597/(1+L596)*R596))</f>
        <v>127381.72349648669</v>
      </c>
      <c r="AA596" s="164">
        <f>IF(OR($M596=1,AND($C595=12,$D595=Input!$C$6)),0,IF($E596="","",W596+(X596+AA597*$R596)/(1+$L596)))</f>
        <v>68243.021244162534</v>
      </c>
      <c r="AB596" s="160">
        <f t="shared" si="192"/>
        <v>0.825720328500681</v>
      </c>
      <c r="AC596" s="164">
        <f t="shared" si="193"/>
        <v>0</v>
      </c>
      <c r="AD596" s="164">
        <f>IF(AND($C595=12,$D595=Input!$C$6),0,IF($E596="","",$AC596+AD597/(1+$L596)*$R596))</f>
        <v>105181.67857050187</v>
      </c>
      <c r="AE596" s="152"/>
      <c r="AF596" s="164">
        <f>IF(AND($C595=12,$D595=Input!$C$6),0,IF($E596="","",IF($B596&gt;Input!$C$9,$AC596,0)+AF597/(1+$L596)*$R596))</f>
        <v>105181.67857050187</v>
      </c>
      <c r="AG596" s="164">
        <f>IF(AND($C595=12,$D595=Input!$C$6),0,IF($E596="","",(IF($B596&gt;Input!$C$9,$X596,0)+AG597)/(1+$L596)*$R596))</f>
        <v>65964.538062895794</v>
      </c>
      <c r="AH596" s="160">
        <f t="shared" si="194"/>
        <v>2.0950137211446997</v>
      </c>
      <c r="AI596" s="160">
        <f>IF($E596="","",MIN(Input!$C$61/AH596,1))</f>
        <v>0.64438718771845094</v>
      </c>
      <c r="AJ596" s="152"/>
      <c r="AK596" s="164">
        <f>IF(AND($C595=12,$D595=Input!$C$6),0,IF($E596="","",IF($B596&gt;Input!$C$9,$AC596*AI596,0)+AK597/(1+$L596)*$R596))</f>
        <v>67777.726053551742</v>
      </c>
      <c r="AL596" s="164">
        <f>IF(AND($C595=12,$D595=Input!$C$6),0,IF($E596="","",IF($B596&gt;Input!$C$9,0,$AC596)+AL597/(1+$L596)*$R596))</f>
        <v>0</v>
      </c>
      <c r="AM596" s="160">
        <f t="shared" si="195"/>
        <v>1.1382936520186004</v>
      </c>
      <c r="AN596" s="164">
        <f>IF($E596="","",IF($B596&gt;Input!$C$9,$AI596*$AC596,$AM596*$AC596))</f>
        <v>0</v>
      </c>
      <c r="AO596" s="164">
        <f>IF(AND($C595=12,$D595=Input!$C$6),0,IF($E596="","",$AN596+AO597/(1+$L596)*$R596))</f>
        <v>67777.726053551742</v>
      </c>
      <c r="AP596" s="152"/>
      <c r="AQ596" s="164">
        <f t="shared" si="196"/>
        <v>465.29519061079191</v>
      </c>
      <c r="AR596" s="164">
        <f t="shared" si="205"/>
        <v>-3547.8297675180856</v>
      </c>
      <c r="AS596" s="164">
        <f t="shared" si="206"/>
        <v>10926.315789473685</v>
      </c>
      <c r="AT596" s="164">
        <f t="shared" si="197"/>
        <v>10926.315789473685</v>
      </c>
      <c r="AU596" s="152"/>
      <c r="AV596" s="147">
        <f>'Deterministic Reserve'!BC596</f>
        <v>2.50315938386427E-5</v>
      </c>
      <c r="AW596" s="164">
        <f t="shared" si="198"/>
        <v>10926.315789473685</v>
      </c>
      <c r="AX596" s="164">
        <f t="shared" si="199"/>
        <v>0.27350309899485392</v>
      </c>
      <c r="AY596" s="152"/>
    </row>
    <row r="597" spans="1:51" s="150" customFormat="1" x14ac:dyDescent="0.25">
      <c r="A597" s="150">
        <f t="shared" si="207"/>
        <v>593</v>
      </c>
      <c r="B597" s="150">
        <f t="shared" si="208"/>
        <v>50</v>
      </c>
      <c r="C597" s="150">
        <f t="shared" si="209"/>
        <v>5</v>
      </c>
      <c r="D597" s="150">
        <f>IF(E597="","",Input!$C$4+B597-1)</f>
        <v>94</v>
      </c>
      <c r="E597" s="150">
        <f>IF(OR(AND(C596=12,D596=Input!$C$6),E596=""),"",1)</f>
        <v>1</v>
      </c>
      <c r="F597" s="150">
        <f>IF(E597="","",Input!$C$8+B597-1)</f>
        <v>2067</v>
      </c>
      <c r="G597" s="151">
        <f>IF(E597="","",MAX(0,Input!$C$9-B597))</f>
        <v>0</v>
      </c>
      <c r="H597" s="152">
        <f>IF(E597="","",Input!$C$3)</f>
        <v>100000</v>
      </c>
      <c r="I597" s="153">
        <f>IF(E597="","",HLOOKUP($B597,Input!$C$13:$BT$14,2))</f>
        <v>559.48200000000008</v>
      </c>
      <c r="J597" s="154"/>
      <c r="K597" s="155">
        <f>IF($E597="","",Input!$C$57)</f>
        <v>4.4999999999999998E-2</v>
      </c>
      <c r="L597" s="155">
        <f t="shared" si="200"/>
        <v>3.6748094004368514E-3</v>
      </c>
      <c r="M597" s="147">
        <f>IF($E597="","",VLOOKUP(IF($B597&lt;=Input!$C$7,$B597,26),'Mortality Tables'!$A$72:$CA$97,IF($B597&lt;=Input!$C$7+1,Input!$C$4-16,$D597-Input!$C$7-16),0)/1000)</f>
        <v>0.22836000000000001</v>
      </c>
      <c r="N597" s="147">
        <f t="shared" si="189"/>
        <v>2.137142099169187E-2</v>
      </c>
      <c r="O597" s="157">
        <f>IF($E597="","",IF($C597=12,IF($B597&lt;Input!$C$9,Input!$C$54,IF($B597=Input!$C$9,Input!$C$55,Input!$C$56)),0%))</f>
        <v>0</v>
      </c>
      <c r="P597" s="167">
        <f>IF($E597="","",IF($B597=1,Input!$C$59,IF($B597&lt;6,Input!$C$60,0%)))</f>
        <v>0</v>
      </c>
      <c r="Q597" s="162">
        <f>IF($E597="","",Input!$C$58)</f>
        <v>2.5</v>
      </c>
      <c r="R597" s="156">
        <f t="shared" si="201"/>
        <v>0.97862857900830813</v>
      </c>
      <c r="S597" s="154">
        <f t="shared" si="190"/>
        <v>3.3408021915097916E-4</v>
      </c>
      <c r="T597" s="152"/>
      <c r="U597" s="150">
        <f t="shared" si="202"/>
        <v>0</v>
      </c>
      <c r="V597" s="150">
        <f t="shared" si="203"/>
        <v>0</v>
      </c>
      <c r="W597" s="168">
        <f t="shared" si="204"/>
        <v>0</v>
      </c>
      <c r="X597" s="163">
        <f t="shared" si="191"/>
        <v>2137.1420991691871</v>
      </c>
      <c r="Y597" s="152"/>
      <c r="Z597" s="164">
        <f>IF(AND($C596=12,$D596=Input!$C$6),0,IF($E597="","",V597+Z598/(1+L597)*R597))</f>
        <v>130641.82856890596</v>
      </c>
      <c r="AA597" s="164">
        <f>IF(OR($M597=1,AND($C596=12,$D596=Input!$C$6)),0,IF($E597="","",W597+(X597+AA598*$R597)/(1+$L597)))</f>
        <v>67805.764785878258</v>
      </c>
      <c r="AB597" s="160">
        <f t="shared" si="192"/>
        <v>0.825720328500681</v>
      </c>
      <c r="AC597" s="164">
        <f t="shared" si="193"/>
        <v>0</v>
      </c>
      <c r="AD597" s="164">
        <f>IF(AND($C596=12,$D596=Input!$C$6),0,IF($E597="","",$AC597+AD598/(1+$L597)*$R597))</f>
        <v>107873.61360184665</v>
      </c>
      <c r="AE597" s="152"/>
      <c r="AF597" s="164">
        <f>IF(AND($C596=12,$D596=Input!$C$6),0,IF($E597="","",IF($B597&gt;Input!$C$9,$AC597,0)+AF598/(1+$L597)*$R597))</f>
        <v>107873.61360184665</v>
      </c>
      <c r="AG597" s="164">
        <f>IF(AND($C596=12,$D596=Input!$C$6),0,IF($E597="","",(IF($B597&gt;Input!$C$9,$X597,0)+AG598)/(1+$L597)*$R597))</f>
        <v>65515.639137360326</v>
      </c>
      <c r="AH597" s="160">
        <f t="shared" si="194"/>
        <v>2.0950137211446997</v>
      </c>
      <c r="AI597" s="160">
        <f>IF($E597="","",MIN(Input!$C$61/AH597,1))</f>
        <v>0.64438718771845094</v>
      </c>
      <c r="AJ597" s="152"/>
      <c r="AK597" s="164">
        <f>IF(AND($C596=12,$D596=Input!$C$6),0,IF($E597="","",IF($B597&gt;Input!$C$9,$AC597*AI597,0)+AK598/(1+$L597)*$R597))</f>
        <v>69512.374497920769</v>
      </c>
      <c r="AL597" s="164">
        <f>IF(AND($C596=12,$D596=Input!$C$6),0,IF($E597="","",IF($B597&gt;Input!$C$9,0,$AC597)+AL598/(1+$L597)*$R597))</f>
        <v>0</v>
      </c>
      <c r="AM597" s="160">
        <f t="shared" si="195"/>
        <v>1.1382936520186004</v>
      </c>
      <c r="AN597" s="164">
        <f>IF($E597="","",IF($B597&gt;Input!$C$9,$AI597*$AC597,$AM597*$AC597))</f>
        <v>0</v>
      </c>
      <c r="AO597" s="164">
        <f>IF(AND($C596=12,$D596=Input!$C$6),0,IF($E597="","",$AN597+AO598/(1+$L597)*$R597))</f>
        <v>69512.374497920769</v>
      </c>
      <c r="AP597" s="152"/>
      <c r="AQ597" s="164">
        <f t="shared" si="196"/>
        <v>-1706.6097120425111</v>
      </c>
      <c r="AR597" s="164">
        <f t="shared" si="205"/>
        <v>-3547.8297675180856</v>
      </c>
      <c r="AS597" s="164">
        <f t="shared" si="206"/>
        <v>10926.315789473685</v>
      </c>
      <c r="AT597" s="164">
        <f t="shared" si="197"/>
        <v>10926.315789473685</v>
      </c>
      <c r="AU597" s="152"/>
      <c r="AV597" s="147">
        <f>'Deterministic Reserve'!BC597</f>
        <v>2.3665833172421339E-5</v>
      </c>
      <c r="AW597" s="164">
        <f t="shared" si="198"/>
        <v>10926.315789473685</v>
      </c>
      <c r="AX597" s="164">
        <f t="shared" si="199"/>
        <v>0.25858036666287737</v>
      </c>
      <c r="AY597" s="152"/>
    </row>
    <row r="598" spans="1:51" s="150" customFormat="1" x14ac:dyDescent="0.25">
      <c r="A598" s="150">
        <f t="shared" si="207"/>
        <v>594</v>
      </c>
      <c r="B598" s="150">
        <f t="shared" si="208"/>
        <v>50</v>
      </c>
      <c r="C598" s="150">
        <f t="shared" si="209"/>
        <v>6</v>
      </c>
      <c r="D598" s="150">
        <f>IF(E598="","",Input!$C$4+B598-1)</f>
        <v>94</v>
      </c>
      <c r="E598" s="150">
        <f>IF(OR(AND(C597=12,D597=Input!$C$6),E597=""),"",1)</f>
        <v>1</v>
      </c>
      <c r="F598" s="150">
        <f>IF(E598="","",Input!$C$8+B598-1)</f>
        <v>2067</v>
      </c>
      <c r="G598" s="151">
        <f>IF(E598="","",MAX(0,Input!$C$9-B598))</f>
        <v>0</v>
      </c>
      <c r="H598" s="152">
        <f>IF(E598="","",Input!$C$3)</f>
        <v>100000</v>
      </c>
      <c r="I598" s="153">
        <f>IF(E598="","",HLOOKUP($B598,Input!$C$13:$BT$14,2))</f>
        <v>559.48200000000008</v>
      </c>
      <c r="J598" s="154"/>
      <c r="K598" s="155">
        <f>IF($E598="","",Input!$C$57)</f>
        <v>4.4999999999999998E-2</v>
      </c>
      <c r="L598" s="155">
        <f t="shared" si="200"/>
        <v>3.6748094004368514E-3</v>
      </c>
      <c r="M598" s="147">
        <f>IF($E598="","",VLOOKUP(IF($B598&lt;=Input!$C$7,$B598,26),'Mortality Tables'!$A$72:$CA$97,IF($B598&lt;=Input!$C$7+1,Input!$C$4-16,$D598-Input!$C$7-16),0)/1000)</f>
        <v>0.22836000000000001</v>
      </c>
      <c r="N598" s="147">
        <f t="shared" si="189"/>
        <v>2.137142099169187E-2</v>
      </c>
      <c r="O598" s="157">
        <f>IF($E598="","",IF($C598=12,IF($B598&lt;Input!$C$9,Input!$C$54,IF($B598=Input!$C$9,Input!$C$55,Input!$C$56)),0%))</f>
        <v>0</v>
      </c>
      <c r="P598" s="167">
        <f>IF($E598="","",IF($B598=1,Input!$C$59,IF($B598&lt;6,Input!$C$60,0%)))</f>
        <v>0</v>
      </c>
      <c r="Q598" s="162">
        <f>IF($E598="","",Input!$C$58)</f>
        <v>2.5</v>
      </c>
      <c r="R598" s="156">
        <f t="shared" si="201"/>
        <v>0.97862857900830813</v>
      </c>
      <c r="S598" s="154">
        <f t="shared" si="190"/>
        <v>3.2694045014250688E-4</v>
      </c>
      <c r="T598" s="152"/>
      <c r="U598" s="150">
        <f t="shared" si="202"/>
        <v>0</v>
      </c>
      <c r="V598" s="150">
        <f t="shared" si="203"/>
        <v>0</v>
      </c>
      <c r="W598" s="168">
        <f t="shared" si="204"/>
        <v>0</v>
      </c>
      <c r="X598" s="163">
        <f t="shared" si="191"/>
        <v>2137.1420991691871</v>
      </c>
      <c r="Y598" s="152"/>
      <c r="Z598" s="164">
        <f>IF(AND($C597=12,$D597=Input!$C$6),0,IF($E598="","",V598+Z599/(1+L598)*R598))</f>
        <v>133985.37014062417</v>
      </c>
      <c r="AA598" s="164">
        <f>IF(OR($M598=1,AND($C597=12,$D597=Input!$C$6)),0,IF($E598="","",W598+(X598+AA599*$R598)/(1+$L598)))</f>
        <v>67357.317538535135</v>
      </c>
      <c r="AB598" s="160">
        <f t="shared" si="192"/>
        <v>0.825720328500681</v>
      </c>
      <c r="AC598" s="164">
        <f t="shared" si="193"/>
        <v>0</v>
      </c>
      <c r="AD598" s="164">
        <f>IF(AND($C597=12,$D597=Input!$C$6),0,IF($E598="","",$AC598+AD599/(1+$L598)*$R598))</f>
        <v>110634.4438468015</v>
      </c>
      <c r="AE598" s="152"/>
      <c r="AF598" s="164">
        <f>IF(AND($C597=12,$D597=Input!$C$6),0,IF($E598="","",IF($B598&gt;Input!$C$9,$AC598,0)+AF599/(1+$L598)*$R598))</f>
        <v>110634.4438468015</v>
      </c>
      <c r="AG598" s="164">
        <f>IF(AND($C597=12,$D597=Input!$C$6),0,IF($E598="","",(IF($B598&gt;Input!$C$9,$X598,0)+AG599)/(1+$L598)*$R598))</f>
        <v>65055.251454851154</v>
      </c>
      <c r="AH598" s="160">
        <f t="shared" si="194"/>
        <v>2.0950137211446997</v>
      </c>
      <c r="AI598" s="160">
        <f>IF($E598="","",MIN(Input!$C$61/AH598,1))</f>
        <v>0.64438718771845094</v>
      </c>
      <c r="AJ598" s="152"/>
      <c r="AK598" s="164">
        <f>IF(AND($C597=12,$D597=Input!$C$6),0,IF($E598="","",IF($B598&gt;Input!$C$9,$AC598*AI598,0)+AK599/(1+$L598)*$R598))</f>
        <v>71291.418135235261</v>
      </c>
      <c r="AL598" s="164">
        <f>IF(AND($C597=12,$D597=Input!$C$6),0,IF($E598="","",IF($B598&gt;Input!$C$9,0,$AC598)+AL599/(1+$L598)*$R598))</f>
        <v>0</v>
      </c>
      <c r="AM598" s="160">
        <f t="shared" si="195"/>
        <v>1.1382936520186004</v>
      </c>
      <c r="AN598" s="164">
        <f>IF($E598="","",IF($B598&gt;Input!$C$9,$AI598*$AC598,$AM598*$AC598))</f>
        <v>0</v>
      </c>
      <c r="AO598" s="164">
        <f>IF(AND($C597=12,$D597=Input!$C$6),0,IF($E598="","",$AN598+AO599/(1+$L598)*$R598))</f>
        <v>71291.418135235261</v>
      </c>
      <c r="AP598" s="152"/>
      <c r="AQ598" s="164">
        <f t="shared" si="196"/>
        <v>-3934.1005967001256</v>
      </c>
      <c r="AR598" s="164">
        <f t="shared" si="205"/>
        <v>-3547.8297675180856</v>
      </c>
      <c r="AS598" s="164">
        <f t="shared" si="206"/>
        <v>10926.315789473685</v>
      </c>
      <c r="AT598" s="164">
        <f t="shared" si="197"/>
        <v>10926.315789473685</v>
      </c>
      <c r="AU598" s="152"/>
      <c r="AV598" s="147">
        <f>'Deterministic Reserve'!BC598</f>
        <v>2.2374590421815798E-5</v>
      </c>
      <c r="AW598" s="164">
        <f t="shared" si="198"/>
        <v>10926.315789473685</v>
      </c>
      <c r="AX598" s="164">
        <f t="shared" si="199"/>
        <v>0.24447184060889263</v>
      </c>
      <c r="AY598" s="152"/>
    </row>
    <row r="599" spans="1:51" s="150" customFormat="1" x14ac:dyDescent="0.25">
      <c r="A599" s="150">
        <f t="shared" si="207"/>
        <v>595</v>
      </c>
      <c r="B599" s="150">
        <f t="shared" si="208"/>
        <v>50</v>
      </c>
      <c r="C599" s="150">
        <f t="shared" si="209"/>
        <v>7</v>
      </c>
      <c r="D599" s="150">
        <f>IF(E599="","",Input!$C$4+B599-1)</f>
        <v>94</v>
      </c>
      <c r="E599" s="150">
        <f>IF(OR(AND(C598=12,D598=Input!$C$6),E598=""),"",1)</f>
        <v>1</v>
      </c>
      <c r="F599" s="150">
        <f>IF(E599="","",Input!$C$8+B599-1)</f>
        <v>2067</v>
      </c>
      <c r="G599" s="151">
        <f>IF(E599="","",MAX(0,Input!$C$9-B599))</f>
        <v>0</v>
      </c>
      <c r="H599" s="152">
        <f>IF(E599="","",Input!$C$3)</f>
        <v>100000</v>
      </c>
      <c r="I599" s="153">
        <f>IF(E599="","",HLOOKUP($B599,Input!$C$13:$BT$14,2))</f>
        <v>559.48200000000008</v>
      </c>
      <c r="J599" s="154"/>
      <c r="K599" s="155">
        <f>IF($E599="","",Input!$C$57)</f>
        <v>4.4999999999999998E-2</v>
      </c>
      <c r="L599" s="155">
        <f t="shared" si="200"/>
        <v>3.6748094004368514E-3</v>
      </c>
      <c r="M599" s="147">
        <f>IF($E599="","",VLOOKUP(IF($B599&lt;=Input!$C$7,$B599,26),'Mortality Tables'!$A$72:$CA$97,IF($B599&lt;=Input!$C$7+1,Input!$C$4-16,$D599-Input!$C$7-16),0)/1000)</f>
        <v>0.22836000000000001</v>
      </c>
      <c r="N599" s="147">
        <f t="shared" si="189"/>
        <v>2.137142099169187E-2</v>
      </c>
      <c r="O599" s="157">
        <f>IF($E599="","",IF($C599=12,IF($B599&lt;Input!$C$9,Input!$C$54,IF($B599=Input!$C$9,Input!$C$55,Input!$C$56)),0%))</f>
        <v>0</v>
      </c>
      <c r="P599" s="167">
        <f>IF($E599="","",IF($B599=1,Input!$C$59,IF($B599&lt;6,Input!$C$60,0%)))</f>
        <v>0</v>
      </c>
      <c r="Q599" s="162">
        <f>IF($E599="","",Input!$C$58)</f>
        <v>2.5</v>
      </c>
      <c r="R599" s="156">
        <f t="shared" si="201"/>
        <v>0.97862857900830813</v>
      </c>
      <c r="S599" s="154">
        <f t="shared" si="190"/>
        <v>3.1995326814329814E-4</v>
      </c>
      <c r="T599" s="152"/>
      <c r="U599" s="150">
        <f t="shared" si="202"/>
        <v>0</v>
      </c>
      <c r="V599" s="150">
        <f t="shared" si="203"/>
        <v>0</v>
      </c>
      <c r="W599" s="168">
        <f t="shared" si="204"/>
        <v>0</v>
      </c>
      <c r="X599" s="163">
        <f t="shared" si="191"/>
        <v>2137.1420991691871</v>
      </c>
      <c r="Y599" s="152"/>
      <c r="Z599" s="164">
        <f>IF(AND($C598=12,$D598=Input!$C$6),0,IF($E599="","",V599+Z600/(1+L599)*R599))</f>
        <v>137414.48361809624</v>
      </c>
      <c r="AA599" s="164">
        <f>IF(OR($M599=1,AND($C598=12,$D598=Input!$C$6)),0,IF($E599="","",W599+(X599+AA600*$R599)/(1+$L599)))</f>
        <v>66897.393094105602</v>
      </c>
      <c r="AB599" s="160">
        <f t="shared" si="192"/>
        <v>0.825720328500681</v>
      </c>
      <c r="AC599" s="164">
        <f t="shared" si="193"/>
        <v>0</v>
      </c>
      <c r="AD599" s="164">
        <f>IF(AND($C598=12,$D598=Input!$C$6),0,IF($E599="","",$AC599+AD600/(1+$L599)*$R599))</f>
        <v>113465.93255388582</v>
      </c>
      <c r="AE599" s="152"/>
      <c r="AF599" s="164">
        <f>IF(AND($C598=12,$D598=Input!$C$6),0,IF($E599="","",IF($B599&gt;Input!$C$9,$AC599,0)+AF600/(1+$L599)*$R599))</f>
        <v>113465.93255388582</v>
      </c>
      <c r="AG599" s="164">
        <f>IF(AND($C598=12,$D598=Input!$C$6),0,IF($E599="","",(IF($B599&gt;Input!$C$9,$X599,0)+AG600)/(1+$L599)*$R599))</f>
        <v>64583.080981390267</v>
      </c>
      <c r="AH599" s="160">
        <f t="shared" si="194"/>
        <v>2.0950137211446997</v>
      </c>
      <c r="AI599" s="160">
        <f>IF($E599="","",MIN(Input!$C$61/AH599,1))</f>
        <v>0.64438718771845094</v>
      </c>
      <c r="AJ599" s="152"/>
      <c r="AK599" s="164">
        <f>IF(AND($C598=12,$D598=Input!$C$6),0,IF($E599="","",IF($B599&gt;Input!$C$9,$AC599*AI599,0)+AK600/(1+$L599)*$R599))</f>
        <v>73115.99318024989</v>
      </c>
      <c r="AL599" s="164">
        <f>IF(AND($C598=12,$D598=Input!$C$6),0,IF($E599="","",IF($B599&gt;Input!$C$9,0,$AC599)+AL600/(1+$L599)*$R599))</f>
        <v>0</v>
      </c>
      <c r="AM599" s="160">
        <f t="shared" si="195"/>
        <v>1.1382936520186004</v>
      </c>
      <c r="AN599" s="164">
        <f>IF($E599="","",IF($B599&gt;Input!$C$9,$AI599*$AC599,$AM599*$AC599))</f>
        <v>0</v>
      </c>
      <c r="AO599" s="164">
        <f>IF(AND($C598=12,$D598=Input!$C$6),0,IF($E599="","",$AN599+AO600/(1+$L599)*$R599))</f>
        <v>73115.99318024989</v>
      </c>
      <c r="AP599" s="152"/>
      <c r="AQ599" s="164">
        <f t="shared" si="196"/>
        <v>-6218.6000861442881</v>
      </c>
      <c r="AR599" s="164">
        <f t="shared" si="205"/>
        <v>-3547.8297675180856</v>
      </c>
      <c r="AS599" s="164">
        <f t="shared" si="206"/>
        <v>10926.315789473685</v>
      </c>
      <c r="AT599" s="164">
        <f t="shared" si="197"/>
        <v>10926.315789473685</v>
      </c>
      <c r="AU599" s="152"/>
      <c r="AV599" s="147">
        <f>'Deterministic Reserve'!BC599</f>
        <v>2.1153799779481444E-5</v>
      </c>
      <c r="AW599" s="164">
        <f t="shared" si="198"/>
        <v>10926.315789473685</v>
      </c>
      <c r="AX599" s="164">
        <f t="shared" si="199"/>
        <v>0.23113309653791306</v>
      </c>
      <c r="AY599" s="152"/>
    </row>
    <row r="600" spans="1:51" s="150" customFormat="1" x14ac:dyDescent="0.25">
      <c r="A600" s="150">
        <f t="shared" si="207"/>
        <v>596</v>
      </c>
      <c r="B600" s="150">
        <f t="shared" si="208"/>
        <v>50</v>
      </c>
      <c r="C600" s="150">
        <f t="shared" si="209"/>
        <v>8</v>
      </c>
      <c r="D600" s="150">
        <f>IF(E600="","",Input!$C$4+B600-1)</f>
        <v>94</v>
      </c>
      <c r="E600" s="150">
        <f>IF(OR(AND(C599=12,D599=Input!$C$6),E599=""),"",1)</f>
        <v>1</v>
      </c>
      <c r="F600" s="150">
        <f>IF(E600="","",Input!$C$8+B600-1)</f>
        <v>2067</v>
      </c>
      <c r="G600" s="151">
        <f>IF(E600="","",MAX(0,Input!$C$9-B600))</f>
        <v>0</v>
      </c>
      <c r="H600" s="152">
        <f>IF(E600="","",Input!$C$3)</f>
        <v>100000</v>
      </c>
      <c r="I600" s="153">
        <f>IF(E600="","",HLOOKUP($B600,Input!$C$13:$BT$14,2))</f>
        <v>559.48200000000008</v>
      </c>
      <c r="J600" s="154"/>
      <c r="K600" s="155">
        <f>IF($E600="","",Input!$C$57)</f>
        <v>4.4999999999999998E-2</v>
      </c>
      <c r="L600" s="155">
        <f t="shared" si="200"/>
        <v>3.6748094004368514E-3</v>
      </c>
      <c r="M600" s="147">
        <f>IF($E600="","",VLOOKUP(IF($B600&lt;=Input!$C$7,$B600,26),'Mortality Tables'!$A$72:$CA$97,IF($B600&lt;=Input!$C$7+1,Input!$C$4-16,$D600-Input!$C$7-16),0)/1000)</f>
        <v>0.22836000000000001</v>
      </c>
      <c r="N600" s="147">
        <f t="shared" si="189"/>
        <v>2.137142099169187E-2</v>
      </c>
      <c r="O600" s="157">
        <f>IF($E600="","",IF($C600=12,IF($B600&lt;Input!$C$9,Input!$C$54,IF($B600=Input!$C$9,Input!$C$55,Input!$C$56)),0%))</f>
        <v>0</v>
      </c>
      <c r="P600" s="167">
        <f>IF($E600="","",IF($B600=1,Input!$C$59,IF($B600&lt;6,Input!$C$60,0%)))</f>
        <v>0</v>
      </c>
      <c r="Q600" s="162">
        <f>IF($E600="","",Input!$C$58)</f>
        <v>2.5</v>
      </c>
      <c r="R600" s="156">
        <f t="shared" si="201"/>
        <v>0.97862857900830813</v>
      </c>
      <c r="S600" s="154">
        <f t="shared" si="190"/>
        <v>3.1311541215214004E-4</v>
      </c>
      <c r="T600" s="152"/>
      <c r="U600" s="150">
        <f t="shared" si="202"/>
        <v>0</v>
      </c>
      <c r="V600" s="150">
        <f t="shared" si="203"/>
        <v>0</v>
      </c>
      <c r="W600" s="168">
        <f t="shared" si="204"/>
        <v>0</v>
      </c>
      <c r="X600" s="163">
        <f t="shared" si="191"/>
        <v>2137.1420991691871</v>
      </c>
      <c r="Y600" s="152"/>
      <c r="Z600" s="164">
        <f>IF(AND($C599=12,$D599=Input!$C$6),0,IF($E600="","",V600+Z601/(1+L600)*R600))</f>
        <v>140931.35905964722</v>
      </c>
      <c r="AA600" s="164">
        <f>IF(OR($M600=1,AND($C599=12,$D599=Input!$C$6)),0,IF($E600="","",W600+(X600+AA601*$R600)/(1+$L600)))</f>
        <v>66425.697714466078</v>
      </c>
      <c r="AB600" s="160">
        <f t="shared" si="192"/>
        <v>0.825720328500681</v>
      </c>
      <c r="AC600" s="164">
        <f t="shared" si="193"/>
        <v>0</v>
      </c>
      <c r="AD600" s="164">
        <f>IF(AND($C599=12,$D599=Input!$C$6),0,IF($E600="","",$AC600+AD601/(1+$L600)*$R600))</f>
        <v>116369.88809877927</v>
      </c>
      <c r="AE600" s="152"/>
      <c r="AF600" s="164">
        <f>IF(AND($C599=12,$D599=Input!$C$6),0,IF($E600="","",IF($B600&gt;Input!$C$9,$AC600,0)+AF601/(1+$L600)*$R600))</f>
        <v>116369.88809877927</v>
      </c>
      <c r="AG600" s="164">
        <f>IF(AND($C599=12,$D599=Input!$C$6),0,IF($E600="","",(IF($B600&gt;Input!$C$9,$X600,0)+AG601)/(1+$L600)*$R600))</f>
        <v>64098.826157731215</v>
      </c>
      <c r="AH600" s="160">
        <f t="shared" si="194"/>
        <v>2.0950137211446997</v>
      </c>
      <c r="AI600" s="160">
        <f>IF($E600="","",MIN(Input!$C$61/AH600,1))</f>
        <v>0.64438718771845094</v>
      </c>
      <c r="AJ600" s="152"/>
      <c r="AK600" s="164">
        <f>IF(AND($C599=12,$D599=Input!$C$6),0,IF($E600="","",IF($B600&gt;Input!$C$9,$AC600*AI600,0)+AK601/(1+$L600)*$R600))</f>
        <v>74987.264927083175</v>
      </c>
      <c r="AL600" s="164">
        <f>IF(AND($C599=12,$D599=Input!$C$6),0,IF($E600="","",IF($B600&gt;Input!$C$9,0,$AC600)+AL601/(1+$L600)*$R600))</f>
        <v>0</v>
      </c>
      <c r="AM600" s="160">
        <f t="shared" si="195"/>
        <v>1.1382936520186004</v>
      </c>
      <c r="AN600" s="164">
        <f>IF($E600="","",IF($B600&gt;Input!$C$9,$AI600*$AC600,$AM600*$AC600))</f>
        <v>0</v>
      </c>
      <c r="AO600" s="164">
        <f>IF(AND($C599=12,$D599=Input!$C$6),0,IF($E600="","",$AN600+AO601/(1+$L600)*$R600))</f>
        <v>74987.264927083175</v>
      </c>
      <c r="AP600" s="152"/>
      <c r="AQ600" s="164">
        <f t="shared" si="196"/>
        <v>-8561.5672126170975</v>
      </c>
      <c r="AR600" s="164">
        <f t="shared" si="205"/>
        <v>-3547.8297675180856</v>
      </c>
      <c r="AS600" s="164">
        <f t="shared" si="206"/>
        <v>10926.315789473685</v>
      </c>
      <c r="AT600" s="164">
        <f t="shared" si="197"/>
        <v>10926.315789473685</v>
      </c>
      <c r="AU600" s="152"/>
      <c r="AV600" s="147">
        <f>'Deterministic Reserve'!BC600</f>
        <v>1.9999617274516972E-5</v>
      </c>
      <c r="AW600" s="164">
        <f t="shared" si="198"/>
        <v>10926.315789473685</v>
      </c>
      <c r="AX600" s="164">
        <f t="shared" si="199"/>
        <v>0.21852213400998546</v>
      </c>
      <c r="AY600" s="152"/>
    </row>
    <row r="601" spans="1:51" s="150" customFormat="1" x14ac:dyDescent="0.25">
      <c r="A601" s="150">
        <f t="shared" si="207"/>
        <v>597</v>
      </c>
      <c r="B601" s="150">
        <f t="shared" si="208"/>
        <v>50</v>
      </c>
      <c r="C601" s="150">
        <f t="shared" si="209"/>
        <v>9</v>
      </c>
      <c r="D601" s="150">
        <f>IF(E601="","",Input!$C$4+B601-1)</f>
        <v>94</v>
      </c>
      <c r="E601" s="150">
        <f>IF(OR(AND(C600=12,D600=Input!$C$6),E600=""),"",1)</f>
        <v>1</v>
      </c>
      <c r="F601" s="150">
        <f>IF(E601="","",Input!$C$8+B601-1)</f>
        <v>2067</v>
      </c>
      <c r="G601" s="151">
        <f>IF(E601="","",MAX(0,Input!$C$9-B601))</f>
        <v>0</v>
      </c>
      <c r="H601" s="152">
        <f>IF(E601="","",Input!$C$3)</f>
        <v>100000</v>
      </c>
      <c r="I601" s="153">
        <f>IF(E601="","",HLOOKUP($B601,Input!$C$13:$BT$14,2))</f>
        <v>559.48200000000008</v>
      </c>
      <c r="J601" s="154"/>
      <c r="K601" s="155">
        <f>IF($E601="","",Input!$C$57)</f>
        <v>4.4999999999999998E-2</v>
      </c>
      <c r="L601" s="155">
        <f t="shared" si="200"/>
        <v>3.6748094004368514E-3</v>
      </c>
      <c r="M601" s="147">
        <f>IF($E601="","",VLOOKUP(IF($B601&lt;=Input!$C$7,$B601,26),'Mortality Tables'!$A$72:$CA$97,IF($B601&lt;=Input!$C$7+1,Input!$C$4-16,$D601-Input!$C$7-16),0)/1000)</f>
        <v>0.22836000000000001</v>
      </c>
      <c r="N601" s="147">
        <f t="shared" si="189"/>
        <v>2.137142099169187E-2</v>
      </c>
      <c r="O601" s="157">
        <f>IF($E601="","",IF($C601=12,IF($B601&lt;Input!$C$9,Input!$C$54,IF($B601=Input!$C$9,Input!$C$55,Input!$C$56)),0%))</f>
        <v>0</v>
      </c>
      <c r="P601" s="167">
        <f>IF($E601="","",IF($B601=1,Input!$C$59,IF($B601&lt;6,Input!$C$60,0%)))</f>
        <v>0</v>
      </c>
      <c r="Q601" s="162">
        <f>IF($E601="","",Input!$C$58)</f>
        <v>2.5</v>
      </c>
      <c r="R601" s="156">
        <f t="shared" si="201"/>
        <v>0.97862857900830813</v>
      </c>
      <c r="S601" s="154">
        <f t="shared" si="190"/>
        <v>3.0642369086004956E-4</v>
      </c>
      <c r="T601" s="152"/>
      <c r="U601" s="150">
        <f t="shared" si="202"/>
        <v>0</v>
      </c>
      <c r="V601" s="150">
        <f t="shared" si="203"/>
        <v>0</v>
      </c>
      <c r="W601" s="168">
        <f t="shared" si="204"/>
        <v>0</v>
      </c>
      <c r="X601" s="163">
        <f t="shared" si="191"/>
        <v>2137.1420991691871</v>
      </c>
      <c r="Y601" s="152"/>
      <c r="Z601" s="164">
        <f>IF(AND($C600=12,$D600=Input!$C$6),0,IF($E601="","",V601+Z602/(1+L601)*R601))</f>
        <v>144538.24257418819</v>
      </c>
      <c r="AA601" s="164">
        <f>IF(OR($M601=1,AND($C600=12,$D600=Input!$C$6)),0,IF($E601="","",W601+(X601+AA602*$R601)/(1+$L601)))</f>
        <v>65941.930143796388</v>
      </c>
      <c r="AB601" s="160">
        <f t="shared" si="192"/>
        <v>0.825720328500681</v>
      </c>
      <c r="AC601" s="164">
        <f t="shared" si="193"/>
        <v>0</v>
      </c>
      <c r="AD601" s="164">
        <f>IF(AND($C600=12,$D600=Input!$C$6),0,IF($E601="","",$AC601+AD602/(1+$L601)*$R601))</f>
        <v>119348.16513926975</v>
      </c>
      <c r="AE601" s="152"/>
      <c r="AF601" s="164">
        <f>IF(AND($C600=12,$D600=Input!$C$6),0,IF($E601="","",IF($B601&gt;Input!$C$9,$AC601,0)+AF602/(1+$L601)*$R601))</f>
        <v>119348.16513926975</v>
      </c>
      <c r="AG601" s="164">
        <f>IF(AND($C600=12,$D600=Input!$C$6),0,IF($E601="","",(IF($B601&gt;Input!$C$9,$X601,0)+AG602)/(1+$L601)*$R601))</f>
        <v>63602.177706763483</v>
      </c>
      <c r="AH601" s="160">
        <f t="shared" si="194"/>
        <v>2.0950137211446997</v>
      </c>
      <c r="AI601" s="160">
        <f>IF($E601="","",MIN(Input!$C$61/AH601,1))</f>
        <v>0.64438718771845094</v>
      </c>
      <c r="AJ601" s="152"/>
      <c r="AK601" s="164">
        <f>IF(AND($C600=12,$D600=Input!$C$6),0,IF($E601="","",IF($B601&gt;Input!$C$9,$AC601*AI601,0)+AK602/(1+$L601)*$R601))</f>
        <v>76906.428493451269</v>
      </c>
      <c r="AL601" s="164">
        <f>IF(AND($C600=12,$D600=Input!$C$6),0,IF($E601="","",IF($B601&gt;Input!$C$9,0,$AC601)+AL602/(1+$L601)*$R601))</f>
        <v>0</v>
      </c>
      <c r="AM601" s="160">
        <f t="shared" si="195"/>
        <v>1.1382936520186004</v>
      </c>
      <c r="AN601" s="164">
        <f>IF($E601="","",IF($B601&gt;Input!$C$9,$AI601*$AC601,$AM601*$AC601))</f>
        <v>0</v>
      </c>
      <c r="AO601" s="164">
        <f>IF(AND($C600=12,$D600=Input!$C$6),0,IF($E601="","",$AN601+AO602/(1+$L601)*$R601))</f>
        <v>76906.428493451269</v>
      </c>
      <c r="AP601" s="152"/>
      <c r="AQ601" s="164">
        <f t="shared" si="196"/>
        <v>-10964.498349654881</v>
      </c>
      <c r="AR601" s="164">
        <f t="shared" si="205"/>
        <v>-3547.8297675180856</v>
      </c>
      <c r="AS601" s="164">
        <f t="shared" si="206"/>
        <v>10926.315789473685</v>
      </c>
      <c r="AT601" s="164">
        <f t="shared" si="197"/>
        <v>10926.315789473685</v>
      </c>
      <c r="AU601" s="152"/>
      <c r="AV601" s="147">
        <f>'Deterministic Reserve'!BC601</f>
        <v>1.8908408668740967E-5</v>
      </c>
      <c r="AW601" s="164">
        <f t="shared" si="198"/>
        <v>10926.315789473685</v>
      </c>
      <c r="AX601" s="164">
        <f t="shared" si="199"/>
        <v>0.20659924419108552</v>
      </c>
      <c r="AY601" s="152"/>
    </row>
    <row r="602" spans="1:51" s="150" customFormat="1" x14ac:dyDescent="0.25">
      <c r="A602" s="150">
        <f t="shared" si="207"/>
        <v>598</v>
      </c>
      <c r="B602" s="150">
        <f t="shared" si="208"/>
        <v>50</v>
      </c>
      <c r="C602" s="150">
        <f t="shared" si="209"/>
        <v>10</v>
      </c>
      <c r="D602" s="150">
        <f>IF(E602="","",Input!$C$4+B602-1)</f>
        <v>94</v>
      </c>
      <c r="E602" s="150">
        <f>IF(OR(AND(C601=12,D601=Input!$C$6),E601=""),"",1)</f>
        <v>1</v>
      </c>
      <c r="F602" s="150">
        <f>IF(E602="","",Input!$C$8+B602-1)</f>
        <v>2067</v>
      </c>
      <c r="G602" s="151">
        <f>IF(E602="","",MAX(0,Input!$C$9-B602))</f>
        <v>0</v>
      </c>
      <c r="H602" s="152">
        <f>IF(E602="","",Input!$C$3)</f>
        <v>100000</v>
      </c>
      <c r="I602" s="153">
        <f>IF(E602="","",HLOOKUP($B602,Input!$C$13:$BT$14,2))</f>
        <v>559.48200000000008</v>
      </c>
      <c r="J602" s="154"/>
      <c r="K602" s="155">
        <f>IF($E602="","",Input!$C$57)</f>
        <v>4.4999999999999998E-2</v>
      </c>
      <c r="L602" s="155">
        <f t="shared" si="200"/>
        <v>3.6748094004368514E-3</v>
      </c>
      <c r="M602" s="147">
        <f>IF($E602="","",VLOOKUP(IF($B602&lt;=Input!$C$7,$B602,26),'Mortality Tables'!$A$72:$CA$97,IF($B602&lt;=Input!$C$7+1,Input!$C$4-16,$D602-Input!$C$7-16),0)/1000)</f>
        <v>0.22836000000000001</v>
      </c>
      <c r="N602" s="147">
        <f t="shared" si="189"/>
        <v>2.137142099169187E-2</v>
      </c>
      <c r="O602" s="157">
        <f>IF($E602="","",IF($C602=12,IF($B602&lt;Input!$C$9,Input!$C$54,IF($B602=Input!$C$9,Input!$C$55,Input!$C$56)),0%))</f>
        <v>0</v>
      </c>
      <c r="P602" s="167">
        <f>IF($E602="","",IF($B602=1,Input!$C$59,IF($B602&lt;6,Input!$C$60,0%)))</f>
        <v>0</v>
      </c>
      <c r="Q602" s="162">
        <f>IF($E602="","",Input!$C$58)</f>
        <v>2.5</v>
      </c>
      <c r="R602" s="156">
        <f t="shared" si="201"/>
        <v>0.97862857900830813</v>
      </c>
      <c r="S602" s="154">
        <f t="shared" si="190"/>
        <v>2.998749811608514E-4</v>
      </c>
      <c r="T602" s="152"/>
      <c r="U602" s="150">
        <f t="shared" si="202"/>
        <v>0</v>
      </c>
      <c r="V602" s="150">
        <f t="shared" si="203"/>
        <v>0</v>
      </c>
      <c r="W602" s="168">
        <f t="shared" si="204"/>
        <v>0</v>
      </c>
      <c r="X602" s="163">
        <f t="shared" si="191"/>
        <v>2137.1420991691871</v>
      </c>
      <c r="Y602" s="152"/>
      <c r="Z602" s="164">
        <f>IF(AND($C601=12,$D601=Input!$C$6),0,IF($E602="","",V602+Z603/(1+L602)*R602))</f>
        <v>148237.43775572986</v>
      </c>
      <c r="AA602" s="164">
        <f>IF(OR($M602=1,AND($C601=12,$D601=Input!$C$6)),0,IF($E602="","",W602+(X602+AA603*$R602)/(1+$L602)))</f>
        <v>65445.781416177953</v>
      </c>
      <c r="AB602" s="160">
        <f t="shared" si="192"/>
        <v>0.825720328500681</v>
      </c>
      <c r="AC602" s="164">
        <f t="shared" si="193"/>
        <v>0</v>
      </c>
      <c r="AD602" s="164">
        <f>IF(AND($C601=12,$D601=Input!$C$6),0,IF($E602="","",$AC602+AD603/(1+$L602)*$R602))</f>
        <v>122402.66579976048</v>
      </c>
      <c r="AE602" s="152"/>
      <c r="AF602" s="164">
        <f>IF(AND($C601=12,$D601=Input!$C$6),0,IF($E602="","",IF($B602&gt;Input!$C$9,$AC602,0)+AF603/(1+$L602)*$R602))</f>
        <v>122402.66579976048</v>
      </c>
      <c r="AG602" s="164">
        <f>IF(AND($C601=12,$D601=Input!$C$6),0,IF($E602="","",(IF($B602&gt;Input!$C$9,$X602,0)+AG603)/(1+$L602)*$R602))</f>
        <v>63092.818435987647</v>
      </c>
      <c r="AH602" s="160">
        <f t="shared" si="194"/>
        <v>2.0950137211446997</v>
      </c>
      <c r="AI602" s="160">
        <f>IF($E602="","",MIN(Input!$C$61/AH602,1))</f>
        <v>0.64438718771845094</v>
      </c>
      <c r="AJ602" s="152"/>
      <c r="AK602" s="164">
        <f>IF(AND($C601=12,$D601=Input!$C$6),0,IF($E602="","",IF($B602&gt;Input!$C$9,$AC602*AI602,0)+AK603/(1+$L602)*$R602))</f>
        <v>78874.709583949036</v>
      </c>
      <c r="AL602" s="164">
        <f>IF(AND($C601=12,$D601=Input!$C$6),0,IF($E602="","",IF($B602&gt;Input!$C$9,0,$AC602)+AL603/(1+$L602)*$R602))</f>
        <v>0</v>
      </c>
      <c r="AM602" s="160">
        <f t="shared" si="195"/>
        <v>1.1382936520186004</v>
      </c>
      <c r="AN602" s="164">
        <f>IF($E602="","",IF($B602&gt;Input!$C$9,$AI602*$AC602,$AM602*$AC602))</f>
        <v>0</v>
      </c>
      <c r="AO602" s="164">
        <f>IF(AND($C601=12,$D601=Input!$C$6),0,IF($E602="","",$AN602+AO603/(1+$L602)*$R602))</f>
        <v>78874.709583949036</v>
      </c>
      <c r="AP602" s="152"/>
      <c r="AQ602" s="164">
        <f t="shared" si="196"/>
        <v>-13428.928167771082</v>
      </c>
      <c r="AR602" s="164">
        <f t="shared" si="205"/>
        <v>-3547.8297675180856</v>
      </c>
      <c r="AS602" s="164">
        <f t="shared" si="206"/>
        <v>10926.315789473685</v>
      </c>
      <c r="AT602" s="164">
        <f t="shared" si="197"/>
        <v>10926.315789473685</v>
      </c>
      <c r="AU602" s="152"/>
      <c r="AV602" s="147">
        <f>'Deterministic Reserve'!BC602</f>
        <v>1.7876738013365484E-5</v>
      </c>
      <c r="AW602" s="164">
        <f t="shared" si="198"/>
        <v>10926.315789473685</v>
      </c>
      <c r="AX602" s="164">
        <f t="shared" si="199"/>
        <v>0.19532688481971971</v>
      </c>
      <c r="AY602" s="152"/>
    </row>
    <row r="603" spans="1:51" s="150" customFormat="1" x14ac:dyDescent="0.25">
      <c r="A603" s="150">
        <f t="shared" si="207"/>
        <v>599</v>
      </c>
      <c r="B603" s="150">
        <f t="shared" si="208"/>
        <v>50</v>
      </c>
      <c r="C603" s="150">
        <f t="shared" si="209"/>
        <v>11</v>
      </c>
      <c r="D603" s="150">
        <f>IF(E603="","",Input!$C$4+B603-1)</f>
        <v>94</v>
      </c>
      <c r="E603" s="150">
        <f>IF(OR(AND(C602=12,D602=Input!$C$6),E602=""),"",1)</f>
        <v>1</v>
      </c>
      <c r="F603" s="150">
        <f>IF(E603="","",Input!$C$8+B603-1)</f>
        <v>2067</v>
      </c>
      <c r="G603" s="151">
        <f>IF(E603="","",MAX(0,Input!$C$9-B603))</f>
        <v>0</v>
      </c>
      <c r="H603" s="152">
        <f>IF(E603="","",Input!$C$3)</f>
        <v>100000</v>
      </c>
      <c r="I603" s="153">
        <f>IF(E603="","",HLOOKUP($B603,Input!$C$13:$BT$14,2))</f>
        <v>559.48200000000008</v>
      </c>
      <c r="J603" s="154"/>
      <c r="K603" s="155">
        <f>IF($E603="","",Input!$C$57)</f>
        <v>4.4999999999999998E-2</v>
      </c>
      <c r="L603" s="155">
        <f t="shared" si="200"/>
        <v>3.6748094004368514E-3</v>
      </c>
      <c r="M603" s="147">
        <f>IF($E603="","",VLOOKUP(IF($B603&lt;=Input!$C$7,$B603,26),'Mortality Tables'!$A$72:$CA$97,IF($B603&lt;=Input!$C$7+1,Input!$C$4-16,$D603-Input!$C$7-16),0)/1000)</f>
        <v>0.22836000000000001</v>
      </c>
      <c r="N603" s="147">
        <f t="shared" si="189"/>
        <v>2.137142099169187E-2</v>
      </c>
      <c r="O603" s="157">
        <f>IF($E603="","",IF($C603=12,IF($B603&lt;Input!$C$9,Input!$C$54,IF($B603=Input!$C$9,Input!$C$55,Input!$C$56)),0%))</f>
        <v>0</v>
      </c>
      <c r="P603" s="167">
        <f>IF($E603="","",IF($B603=1,Input!$C$59,IF($B603&lt;6,Input!$C$60,0%)))</f>
        <v>0</v>
      </c>
      <c r="Q603" s="162">
        <f>IF($E603="","",Input!$C$58)</f>
        <v>2.5</v>
      </c>
      <c r="R603" s="156">
        <f t="shared" si="201"/>
        <v>0.97862857900830813</v>
      </c>
      <c r="S603" s="154">
        <f t="shared" si="190"/>
        <v>2.9346622669358717E-4</v>
      </c>
      <c r="T603" s="152"/>
      <c r="U603" s="150">
        <f t="shared" si="202"/>
        <v>0</v>
      </c>
      <c r="V603" s="150">
        <f t="shared" si="203"/>
        <v>0</v>
      </c>
      <c r="W603" s="168">
        <f t="shared" si="204"/>
        <v>0</v>
      </c>
      <c r="X603" s="163">
        <f t="shared" si="191"/>
        <v>2137.1420991691871</v>
      </c>
      <c r="Y603" s="152"/>
      <c r="Z603" s="164">
        <f>IF(AND($C602=12,$D602=Input!$C$6),0,IF($E603="","",V603+Z604/(1+L603)*R603))</f>
        <v>152031.30715460968</v>
      </c>
      <c r="AA603" s="164">
        <f>IF(OR($M603=1,AND($C602=12,$D602=Input!$C$6)),0,IF($E603="","",W603+(X603+AA604*$R603)/(1+$L603)))</f>
        <v>64936.934658267688</v>
      </c>
      <c r="AB603" s="160">
        <f t="shared" si="192"/>
        <v>0.825720328500681</v>
      </c>
      <c r="AC603" s="164">
        <f t="shared" si="193"/>
        <v>0</v>
      </c>
      <c r="AD603" s="164">
        <f>IF(AND($C602=12,$D602=Input!$C$6),0,IF($E603="","",$AC603+AD604/(1+$L603)*$R603))</f>
        <v>125535.34088609219</v>
      </c>
      <c r="AE603" s="152"/>
      <c r="AF603" s="164">
        <f>IF(AND($C602=12,$D602=Input!$C$6),0,IF($E603="","",IF($B603&gt;Input!$C$9,$AC603,0)+AF604/(1+$L603)*$R603))</f>
        <v>125535.34088609219</v>
      </c>
      <c r="AG603" s="164">
        <f>IF(AND($C602=12,$D602=Input!$C$6),0,IF($E603="","",(IF($B603&gt;Input!$C$9,$X603,0)+AG604)/(1+$L603)*$R603))</f>
        <v>62570.423034935353</v>
      </c>
      <c r="AH603" s="160">
        <f t="shared" si="194"/>
        <v>2.0950137211446997</v>
      </c>
      <c r="AI603" s="160">
        <f>IF($E603="","",MIN(Input!$C$61/AH603,1))</f>
        <v>0.64438718771845094</v>
      </c>
      <c r="AJ603" s="152"/>
      <c r="AK603" s="164">
        <f>IF(AND($C602=12,$D602=Input!$C$6),0,IF($E603="","",IF($B603&gt;Input!$C$9,$AC603*AI603,0)+AK604/(1+$L603)*$R603))</f>
        <v>80893.36527286598</v>
      </c>
      <c r="AL603" s="164">
        <f>IF(AND($C602=12,$D602=Input!$C$6),0,IF($E603="","",IF($B603&gt;Input!$C$9,0,$AC603)+AL604/(1+$L603)*$R603))</f>
        <v>0</v>
      </c>
      <c r="AM603" s="160">
        <f t="shared" si="195"/>
        <v>1.1382936520186004</v>
      </c>
      <c r="AN603" s="164">
        <f>IF($E603="","",IF($B603&gt;Input!$C$9,$AI603*$AC603,$AM603*$AC603))</f>
        <v>0</v>
      </c>
      <c r="AO603" s="164">
        <f>IF(AND($C602=12,$D602=Input!$C$6),0,IF($E603="","",$AN603+AO604/(1+$L603)*$R603))</f>
        <v>80893.36527286598</v>
      </c>
      <c r="AP603" s="152"/>
      <c r="AQ603" s="164">
        <f t="shared" si="196"/>
        <v>-15956.430614598292</v>
      </c>
      <c r="AR603" s="164">
        <f t="shared" si="205"/>
        <v>-3547.8297675180856</v>
      </c>
      <c r="AS603" s="164">
        <f t="shared" si="206"/>
        <v>10926.315789473685</v>
      </c>
      <c r="AT603" s="164">
        <f t="shared" si="197"/>
        <v>10926.315789473685</v>
      </c>
      <c r="AU603" s="152"/>
      <c r="AV603" s="147">
        <f>'Deterministic Reserve'!BC603</f>
        <v>1.6901356830034385E-5</v>
      </c>
      <c r="AW603" s="164">
        <f t="shared" si="198"/>
        <v>10926.315789473685</v>
      </c>
      <c r="AX603" s="164">
        <f t="shared" si="199"/>
        <v>0.18466956199553361</v>
      </c>
      <c r="AY603" s="152"/>
    </row>
    <row r="604" spans="1:51" s="150" customFormat="1" x14ac:dyDescent="0.25">
      <c r="A604" s="150">
        <f t="shared" si="207"/>
        <v>600</v>
      </c>
      <c r="B604" s="150">
        <f t="shared" si="208"/>
        <v>50</v>
      </c>
      <c r="C604" s="150">
        <f t="shared" si="209"/>
        <v>12</v>
      </c>
      <c r="D604" s="150">
        <f>IF(E604="","",Input!$C$4+B604-1)</f>
        <v>94</v>
      </c>
      <c r="E604" s="150">
        <f>IF(OR(AND(C603=12,D603=Input!$C$6),E603=""),"",1)</f>
        <v>1</v>
      </c>
      <c r="F604" s="150">
        <f>IF(E604="","",Input!$C$8+B604-1)</f>
        <v>2067</v>
      </c>
      <c r="G604" s="151">
        <f>IF(E604="","",MAX(0,Input!$C$9-B604))</f>
        <v>0</v>
      </c>
      <c r="H604" s="152">
        <f>IF(E604="","",Input!$C$3)</f>
        <v>100000</v>
      </c>
      <c r="I604" s="153">
        <f>IF(E604="","",HLOOKUP($B604,Input!$C$13:$BT$14,2))</f>
        <v>559.48200000000008</v>
      </c>
      <c r="J604" s="154"/>
      <c r="K604" s="155">
        <f>IF($E604="","",Input!$C$57)</f>
        <v>4.4999999999999998E-2</v>
      </c>
      <c r="L604" s="155">
        <f t="shared" si="200"/>
        <v>3.6748094004368514E-3</v>
      </c>
      <c r="M604" s="147">
        <f>IF($E604="","",VLOOKUP(IF($B604&lt;=Input!$C$7,$B604,26),'Mortality Tables'!$A$72:$CA$97,IF($B604&lt;=Input!$C$7+1,Input!$C$4-16,$D604-Input!$C$7-16),0)/1000)</f>
        <v>0.22836000000000001</v>
      </c>
      <c r="N604" s="147">
        <f t="shared" si="189"/>
        <v>2.137142099169187E-2</v>
      </c>
      <c r="O604" s="157">
        <f>IF($E604="","",IF($C604=12,IF($B604&lt;Input!$C$9,Input!$C$54,IF($B604=Input!$C$9,Input!$C$55,Input!$C$56)),0%))</f>
        <v>0.1</v>
      </c>
      <c r="P604" s="167">
        <f>IF($E604="","",IF($B604=1,Input!$C$59,IF($B604&lt;6,Input!$C$60,0%)))</f>
        <v>0</v>
      </c>
      <c r="Q604" s="162">
        <f>IF($E604="","",Input!$C$58)</f>
        <v>2.5</v>
      </c>
      <c r="R604" s="156">
        <f t="shared" si="201"/>
        <v>0.87862857900830815</v>
      </c>
      <c r="S604" s="154">
        <f t="shared" si="190"/>
        <v>2.5784781374671651E-4</v>
      </c>
      <c r="T604" s="152"/>
      <c r="U604" s="150">
        <f t="shared" si="202"/>
        <v>0</v>
      </c>
      <c r="V604" s="150">
        <f t="shared" si="203"/>
        <v>0</v>
      </c>
      <c r="W604" s="168">
        <f t="shared" si="204"/>
        <v>0</v>
      </c>
      <c r="X604" s="163">
        <f t="shared" si="191"/>
        <v>2137.1420991691871</v>
      </c>
      <c r="Y604" s="152"/>
      <c r="Z604" s="164">
        <f>IF(AND($C603=12,$D603=Input!$C$6),0,IF($E604="","",V604+Z605/(1+L604)*R604))</f>
        <v>155922.27378637253</v>
      </c>
      <c r="AA604" s="164">
        <f>IF(OR($M604=1,AND($C603=12,$D603=Input!$C$6)),0,IF($E604="","",W604+(X604+AA605*$R604)/(1+$L604)))</f>
        <v>64415.064886921813</v>
      </c>
      <c r="AB604" s="160">
        <f t="shared" si="192"/>
        <v>0.825720328500681</v>
      </c>
      <c r="AC604" s="164">
        <f t="shared" si="193"/>
        <v>0</v>
      </c>
      <c r="AD604" s="164">
        <f>IF(AND($C603=12,$D603=Input!$C$6),0,IF($E604="","",$AC604+AD605/(1+$L604)*$R604))</f>
        <v>128748.19113145661</v>
      </c>
      <c r="AE604" s="152"/>
      <c r="AF604" s="164">
        <f>IF(AND($C603=12,$D603=Input!$C$6),0,IF($E604="","",IF($B604&gt;Input!$C$9,$AC604,0)+AF605/(1+$L604)*$R604))</f>
        <v>128748.19113145661</v>
      </c>
      <c r="AG604" s="164">
        <f>IF(AND($C603=12,$D603=Input!$C$6),0,IF($E604="","",(IF($B604&gt;Input!$C$9,$X604,0)+AG605)/(1+$L604)*$R604))</f>
        <v>62034.657867404545</v>
      </c>
      <c r="AH604" s="160">
        <f t="shared" si="194"/>
        <v>2.0950137211446997</v>
      </c>
      <c r="AI604" s="160">
        <f>IF($E604="","",MIN(Input!$C$61/AH604,1))</f>
        <v>0.64438718771845094</v>
      </c>
      <c r="AJ604" s="152"/>
      <c r="AK604" s="164">
        <f>IF(AND($C603=12,$D603=Input!$C$6),0,IF($E604="","",IF($B604&gt;Input!$C$9,$AC604*AI604,0)+AK605/(1+$L604)*$R604))</f>
        <v>82963.684807036901</v>
      </c>
      <c r="AL604" s="164">
        <f>IF(AND($C603=12,$D603=Input!$C$6),0,IF($E604="","",IF($B604&gt;Input!$C$9,0,$AC604)+AL605/(1+$L604)*$R604))</f>
        <v>0</v>
      </c>
      <c r="AM604" s="160">
        <f t="shared" si="195"/>
        <v>1.1382936520186004</v>
      </c>
      <c r="AN604" s="164">
        <f>IF($E604="","",IF($B604&gt;Input!$C$9,$AI604*$AC604,$AM604*$AC604))</f>
        <v>0</v>
      </c>
      <c r="AO604" s="164">
        <f>IF(AND($C603=12,$D603=Input!$C$6),0,IF($E604="","",$AN604+AO605/(1+$L604)*$R604))</f>
        <v>82963.684807036901</v>
      </c>
      <c r="AP604" s="152"/>
      <c r="AQ604" s="164">
        <f t="shared" si="196"/>
        <v>-18548.619920115088</v>
      </c>
      <c r="AR604" s="164">
        <f t="shared" si="205"/>
        <v>-3547.8297675180856</v>
      </c>
      <c r="AS604" s="164">
        <f t="shared" si="206"/>
        <v>10926.315789473685</v>
      </c>
      <c r="AT604" s="164">
        <f t="shared" si="197"/>
        <v>10926.315789473685</v>
      </c>
      <c r="AU604" s="152"/>
      <c r="AV604" s="147">
        <f>'Deterministic Reserve'!BC604</f>
        <v>1.4289058199156735E-5</v>
      </c>
      <c r="AW604" s="164">
        <f t="shared" si="198"/>
        <v>10926.315789473685</v>
      </c>
      <c r="AX604" s="164">
        <f t="shared" si="199"/>
        <v>0.15612676221815466</v>
      </c>
      <c r="AY604" s="152"/>
    </row>
    <row r="605" spans="1:51" s="150" customFormat="1" x14ac:dyDescent="0.25">
      <c r="A605" s="150">
        <f t="shared" si="207"/>
        <v>601</v>
      </c>
      <c r="B605" s="150">
        <f t="shared" si="208"/>
        <v>51</v>
      </c>
      <c r="C605" s="150">
        <f t="shared" si="209"/>
        <v>1</v>
      </c>
      <c r="D605" s="150">
        <f>IF(E605="","",Input!$C$4+B605-1)</f>
        <v>95</v>
      </c>
      <c r="E605" s="150">
        <f>IF(OR(AND(C604=12,D604=Input!$C$6),E604=""),"",1)</f>
        <v>1</v>
      </c>
      <c r="F605" s="150">
        <f>IF(E605="","",Input!$C$8+B605-1)</f>
        <v>2068</v>
      </c>
      <c r="G605" s="151">
        <f>IF(E605="","",MAX(0,Input!$C$9-B605))</f>
        <v>0</v>
      </c>
      <c r="H605" s="152">
        <f>IF(E605="","",Input!$C$3)</f>
        <v>100000</v>
      </c>
      <c r="I605" s="153">
        <f>IF(E605="","",HLOOKUP($B605,Input!$C$13:$BT$14,2))</f>
        <v>596.33000000000004</v>
      </c>
      <c r="J605" s="154"/>
      <c r="K605" s="155">
        <f>IF($E605="","",Input!$C$57)</f>
        <v>4.4999999999999998E-2</v>
      </c>
      <c r="L605" s="155">
        <f t="shared" si="200"/>
        <v>3.6748094004368514E-3</v>
      </c>
      <c r="M605" s="147">
        <f>IF($E605="","",VLOOKUP(IF($B605&lt;=Input!$C$7,$B605,26),'Mortality Tables'!$A$72:$CA$97,IF($B605&lt;=Input!$C$7+1,Input!$C$4-16,$D605-Input!$C$7-16),0)/1000)</f>
        <v>0.24340000000000001</v>
      </c>
      <c r="N605" s="147">
        <f t="shared" si="189"/>
        <v>2.2975333981154589E-2</v>
      </c>
      <c r="O605" s="157">
        <f>IF($E605="","",IF($C605=12,IF($B605&lt;Input!$C$9,Input!$C$54,IF($B605=Input!$C$9,Input!$C$55,Input!$C$56)),0%))</f>
        <v>0</v>
      </c>
      <c r="P605" s="167">
        <f>IF($E605="","",IF($B605=1,Input!$C$59,IF($B605&lt;6,Input!$C$60,0%)))</f>
        <v>0</v>
      </c>
      <c r="Q605" s="162">
        <f>IF($E605="","",Input!$C$58)</f>
        <v>2.5</v>
      </c>
      <c r="R605" s="156">
        <f t="shared" si="201"/>
        <v>0.97702466601884541</v>
      </c>
      <c r="S605" s="154">
        <f t="shared" si="190"/>
        <v>2.5192367410957516E-4</v>
      </c>
      <c r="T605" s="152"/>
      <c r="U605" s="150">
        <f t="shared" si="202"/>
        <v>59633.000000000007</v>
      </c>
      <c r="V605" s="150">
        <f t="shared" si="203"/>
        <v>59633.000000000007</v>
      </c>
      <c r="W605" s="168">
        <f t="shared" si="204"/>
        <v>0</v>
      </c>
      <c r="X605" s="163">
        <f t="shared" si="191"/>
        <v>2297.533398115459</v>
      </c>
      <c r="Y605" s="152"/>
      <c r="Z605" s="164">
        <f>IF(AND($C604=12,$D604=Input!$C$6),0,IF($E605="","",V605+Z606/(1+L605)*R605))</f>
        <v>178113.09825643676</v>
      </c>
      <c r="AA605" s="164">
        <f>IF(OR($M605=1,AND($C604=12,$D604=Input!$C$6)),0,IF($E605="","",W605+(X605+AA606*$R605)/(1+$L605)))</f>
        <v>71150.241828336555</v>
      </c>
      <c r="AB605" s="160">
        <f t="shared" si="192"/>
        <v>0.825720328500681</v>
      </c>
      <c r="AC605" s="164">
        <f t="shared" si="193"/>
        <v>49240.180349481117</v>
      </c>
      <c r="AD605" s="164">
        <f>IF(AND($C604=12,$D604=Input!$C$6),0,IF($E605="","",$AC605+AD606/(1+$L605)*$R605))</f>
        <v>147071.60600257898</v>
      </c>
      <c r="AE605" s="152"/>
      <c r="AF605" s="164">
        <f>IF(AND($C604=12,$D604=Input!$C$6),0,IF($E605="","",IF($B605&gt;Input!$C$9,$AC605,0)+AF606/(1+$L605)*$R605))</f>
        <v>147071.60600257898</v>
      </c>
      <c r="AG605" s="164">
        <f>IF(AND($C604=12,$D604=Input!$C$6),0,IF($E605="","",(IF($B605&gt;Input!$C$9,$X605,0)+AG606)/(1+$L605)*$R605))</f>
        <v>68726.274933729102</v>
      </c>
      <c r="AH605" s="160">
        <f t="shared" si="194"/>
        <v>2.0950137211446997</v>
      </c>
      <c r="AI605" s="160">
        <f>IF($E605="","",MIN(Input!$C$61/AH605,1))</f>
        <v>0.64438718771845094</v>
      </c>
      <c r="AJ605" s="152"/>
      <c r="AK605" s="164">
        <f>IF(AND($C604=12,$D604=Input!$C$6),0,IF($E605="","",IF($B605&gt;Input!$C$9,$AC605*AI605,0)+AK606/(1+$L605)*$R605))</f>
        <v>94771.058585237886</v>
      </c>
      <c r="AL605" s="164">
        <f>IF(AND($C604=12,$D604=Input!$C$6),0,IF($E605="","",IF($B605&gt;Input!$C$9,0,$AC605)+AL606/(1+$L605)*$R605))</f>
        <v>0</v>
      </c>
      <c r="AM605" s="160">
        <f t="shared" si="195"/>
        <v>1.1382936520186004</v>
      </c>
      <c r="AN605" s="164">
        <f>IF($E605="","",IF($B605&gt;Input!$C$9,$AI605*$AC605,$AM605*$AC605))</f>
        <v>31729.741338151467</v>
      </c>
      <c r="AO605" s="164">
        <f>IF(AND($C604=12,$D604=Input!$C$6),0,IF($E605="","",$AN605+AO606/(1+$L605)*$R605))</f>
        <v>94771.058585237886</v>
      </c>
      <c r="AP605" s="152"/>
      <c r="AQ605" s="164">
        <f t="shared" si="196"/>
        <v>-23620.816756901331</v>
      </c>
      <c r="AR605" s="164">
        <f t="shared" si="205"/>
        <v>-2808.2454092123207</v>
      </c>
      <c r="AS605" s="164">
        <f t="shared" si="206"/>
        <v>11645.933014354068</v>
      </c>
      <c r="AT605" s="164">
        <f t="shared" si="197"/>
        <v>11645.933014354068</v>
      </c>
      <c r="AU605" s="152"/>
      <c r="AV605" s="147">
        <f>'Deterministic Reserve'!BC605</f>
        <v>1.3443267033648162E-5</v>
      </c>
      <c r="AW605" s="164">
        <f t="shared" si="198"/>
        <v>11645.933014354068</v>
      </c>
      <c r="AX605" s="164">
        <f t="shared" si="199"/>
        <v>0.15655938736794081</v>
      </c>
      <c r="AY605" s="152"/>
    </row>
    <row r="606" spans="1:51" s="150" customFormat="1" x14ac:dyDescent="0.25">
      <c r="A606" s="150">
        <f t="shared" si="207"/>
        <v>602</v>
      </c>
      <c r="B606" s="150">
        <f t="shared" si="208"/>
        <v>51</v>
      </c>
      <c r="C606" s="150">
        <f t="shared" si="209"/>
        <v>2</v>
      </c>
      <c r="D606" s="150">
        <f>IF(E606="","",Input!$C$4+B606-1)</f>
        <v>95</v>
      </c>
      <c r="E606" s="150">
        <f>IF(OR(AND(C605=12,D605=Input!$C$6),E605=""),"",1)</f>
        <v>1</v>
      </c>
      <c r="F606" s="150">
        <f>IF(E606="","",Input!$C$8+B606-1)</f>
        <v>2068</v>
      </c>
      <c r="G606" s="151">
        <f>IF(E606="","",MAX(0,Input!$C$9-B606))</f>
        <v>0</v>
      </c>
      <c r="H606" s="152">
        <f>IF(E606="","",Input!$C$3)</f>
        <v>100000</v>
      </c>
      <c r="I606" s="153">
        <f>IF(E606="","",HLOOKUP($B606,Input!$C$13:$BT$14,2))</f>
        <v>596.33000000000004</v>
      </c>
      <c r="J606" s="154"/>
      <c r="K606" s="155">
        <f>IF($E606="","",Input!$C$57)</f>
        <v>4.4999999999999998E-2</v>
      </c>
      <c r="L606" s="155">
        <f t="shared" si="200"/>
        <v>3.6748094004368514E-3</v>
      </c>
      <c r="M606" s="147">
        <f>IF($E606="","",VLOOKUP(IF($B606&lt;=Input!$C$7,$B606,26),'Mortality Tables'!$A$72:$CA$97,IF($B606&lt;=Input!$C$7+1,Input!$C$4-16,$D606-Input!$C$7-16),0)/1000)</f>
        <v>0.24340000000000001</v>
      </c>
      <c r="N606" s="147">
        <f t="shared" si="189"/>
        <v>2.2975333981154589E-2</v>
      </c>
      <c r="O606" s="157">
        <f>IF($E606="","",IF($C606=12,IF($B606&lt;Input!$C$9,Input!$C$54,IF($B606=Input!$C$9,Input!$C$55,Input!$C$56)),0%))</f>
        <v>0</v>
      </c>
      <c r="P606" s="167">
        <f>IF($E606="","",IF($B606=1,Input!$C$59,IF($B606&lt;6,Input!$C$60,0%)))</f>
        <v>0</v>
      </c>
      <c r="Q606" s="162">
        <f>IF($E606="","",Input!$C$58)</f>
        <v>2.5</v>
      </c>
      <c r="R606" s="156">
        <f t="shared" si="201"/>
        <v>0.97702466601884541</v>
      </c>
      <c r="S606" s="154">
        <f t="shared" si="190"/>
        <v>2.4613564355914811E-4</v>
      </c>
      <c r="T606" s="152"/>
      <c r="U606" s="150">
        <f t="shared" si="202"/>
        <v>0</v>
      </c>
      <c r="V606" s="150">
        <f t="shared" si="203"/>
        <v>0</v>
      </c>
      <c r="W606" s="168">
        <f t="shared" si="204"/>
        <v>0</v>
      </c>
      <c r="X606" s="163">
        <f t="shared" si="191"/>
        <v>2297.533398115459</v>
      </c>
      <c r="Y606" s="152"/>
      <c r="Z606" s="164">
        <f>IF(AND($C605=12,$D605=Input!$C$6),0,IF($E606="","",V606+Z607/(1+L606)*R606))</f>
        <v>121711.86068395583</v>
      </c>
      <c r="AA606" s="164">
        <f>IF(OR($M606=1,AND($C605=12,$D605=Input!$C$6)),0,IF($E606="","",W606+(X606+AA607*$R606)/(1+$L606)))</f>
        <v>70739.434132568873</v>
      </c>
      <c r="AB606" s="160">
        <f t="shared" si="192"/>
        <v>0.825720328500681</v>
      </c>
      <c r="AC606" s="164">
        <f t="shared" si="193"/>
        <v>0</v>
      </c>
      <c r="AD606" s="164">
        <f>IF(AND($C605=12,$D605=Input!$C$6),0,IF($E606="","",$AC606+AD607/(1+$L606)*$R606))</f>
        <v>100499.95758638509</v>
      </c>
      <c r="AE606" s="152"/>
      <c r="AF606" s="164">
        <f>IF(AND($C605=12,$D605=Input!$C$6),0,IF($E606="","",IF($B606&gt;Input!$C$9,$AC606,0)+AF607/(1+$L606)*$R606))</f>
        <v>100499.95758638509</v>
      </c>
      <c r="AG606" s="164">
        <f>IF(AND($C605=12,$D605=Input!$C$6),0,IF($E606="","",(IF($B606&gt;Input!$C$9,$X606,0)+AG607)/(1+$L606)*$R606))</f>
        <v>68303.376992392616</v>
      </c>
      <c r="AH606" s="160">
        <f t="shared" si="194"/>
        <v>2.0950137211446997</v>
      </c>
      <c r="AI606" s="160">
        <f>IF($E606="","",MIN(Input!$C$61/AH606,1))</f>
        <v>0.64438718771845094</v>
      </c>
      <c r="AJ606" s="152"/>
      <c r="AK606" s="164">
        <f>IF(AND($C605=12,$D605=Input!$C$6),0,IF($E606="","",IF($B606&gt;Input!$C$9,$AC606*AI606,0)+AK607/(1+$L606)*$R606))</f>
        <v>64760.885034914245</v>
      </c>
      <c r="AL606" s="164">
        <f>IF(AND($C605=12,$D605=Input!$C$6),0,IF($E606="","",IF($B606&gt;Input!$C$9,0,$AC606)+AL607/(1+$L606)*$R606))</f>
        <v>0</v>
      </c>
      <c r="AM606" s="160">
        <f t="shared" si="195"/>
        <v>1.1382936520186004</v>
      </c>
      <c r="AN606" s="164">
        <f>IF($E606="","",IF($B606&gt;Input!$C$9,$AI606*$AC606,$AM606*$AC606))</f>
        <v>0</v>
      </c>
      <c r="AO606" s="164">
        <f>IF(AND($C605=12,$D605=Input!$C$6),0,IF($E606="","",$AN606+AO607/(1+$L606)*$R606))</f>
        <v>64760.885034914245</v>
      </c>
      <c r="AP606" s="152"/>
      <c r="AQ606" s="164">
        <f t="shared" si="196"/>
        <v>5978.549097654628</v>
      </c>
      <c r="AR606" s="164">
        <f t="shared" si="205"/>
        <v>-2808.2454092123207</v>
      </c>
      <c r="AS606" s="164">
        <f t="shared" si="206"/>
        <v>11645.933014354068</v>
      </c>
      <c r="AT606" s="164">
        <f t="shared" si="197"/>
        <v>11645.933014354068</v>
      </c>
      <c r="AU606" s="152"/>
      <c r="AV606" s="147">
        <f>'Deterministic Reserve'!BC606</f>
        <v>1.2647539538234696E-5</v>
      </c>
      <c r="AW606" s="164">
        <f t="shared" si="198"/>
        <v>11645.933014354068</v>
      </c>
      <c r="AX606" s="164">
        <f t="shared" si="199"/>
        <v>0.14729239825867585</v>
      </c>
      <c r="AY606" s="152"/>
    </row>
    <row r="607" spans="1:51" s="150" customFormat="1" x14ac:dyDescent="0.25">
      <c r="A607" s="150">
        <f t="shared" si="207"/>
        <v>603</v>
      </c>
      <c r="B607" s="150">
        <f t="shared" si="208"/>
        <v>51</v>
      </c>
      <c r="C607" s="150">
        <f t="shared" si="209"/>
        <v>3</v>
      </c>
      <c r="D607" s="150">
        <f>IF(E607="","",Input!$C$4+B607-1)</f>
        <v>95</v>
      </c>
      <c r="E607" s="150">
        <f>IF(OR(AND(C606=12,D606=Input!$C$6),E606=""),"",1)</f>
        <v>1</v>
      </c>
      <c r="F607" s="150">
        <f>IF(E607="","",Input!$C$8+B607-1)</f>
        <v>2068</v>
      </c>
      <c r="G607" s="151">
        <f>IF(E607="","",MAX(0,Input!$C$9-B607))</f>
        <v>0</v>
      </c>
      <c r="H607" s="152">
        <f>IF(E607="","",Input!$C$3)</f>
        <v>100000</v>
      </c>
      <c r="I607" s="153">
        <f>IF(E607="","",HLOOKUP($B607,Input!$C$13:$BT$14,2))</f>
        <v>596.33000000000004</v>
      </c>
      <c r="J607" s="154"/>
      <c r="K607" s="155">
        <f>IF($E607="","",Input!$C$57)</f>
        <v>4.4999999999999998E-2</v>
      </c>
      <c r="L607" s="155">
        <f t="shared" si="200"/>
        <v>3.6748094004368514E-3</v>
      </c>
      <c r="M607" s="147">
        <f>IF($E607="","",VLOOKUP(IF($B607&lt;=Input!$C$7,$B607,26),'Mortality Tables'!$A$72:$CA$97,IF($B607&lt;=Input!$C$7+1,Input!$C$4-16,$D607-Input!$C$7-16),0)/1000)</f>
        <v>0.24340000000000001</v>
      </c>
      <c r="N607" s="147">
        <f t="shared" si="189"/>
        <v>2.2975333981154589E-2</v>
      </c>
      <c r="O607" s="157">
        <f>IF($E607="","",IF($C607=12,IF($B607&lt;Input!$C$9,Input!$C$54,IF($B607=Input!$C$9,Input!$C$55,Input!$C$56)),0%))</f>
        <v>0</v>
      </c>
      <c r="P607" s="167">
        <f>IF($E607="","",IF($B607=1,Input!$C$59,IF($B607&lt;6,Input!$C$60,0%)))</f>
        <v>0</v>
      </c>
      <c r="Q607" s="162">
        <f>IF($E607="","",Input!$C$58)</f>
        <v>2.5</v>
      </c>
      <c r="R607" s="156">
        <f t="shared" si="201"/>
        <v>0.97702466601884541</v>
      </c>
      <c r="S607" s="154">
        <f t="shared" si="190"/>
        <v>2.4048059494371027E-4</v>
      </c>
      <c r="T607" s="152"/>
      <c r="U607" s="150">
        <f t="shared" si="202"/>
        <v>0</v>
      </c>
      <c r="V607" s="150">
        <f t="shared" si="203"/>
        <v>0</v>
      </c>
      <c r="W607" s="168">
        <f t="shared" si="204"/>
        <v>0</v>
      </c>
      <c r="X607" s="163">
        <f t="shared" si="191"/>
        <v>2297.533398115459</v>
      </c>
      <c r="Y607" s="152"/>
      <c r="Z607" s="164">
        <f>IF(AND($C606=12,$D606=Input!$C$6),0,IF($E607="","",V607+Z608/(1+L607)*R607))</f>
        <v>125031.77537115078</v>
      </c>
      <c r="AA607" s="164">
        <f>IF(OR($M607=1,AND($C606=12,$D606=Input!$C$6)),0,IF($E607="","",W607+(X607+AA608*$R607)/(1+$L607)))</f>
        <v>70317.420901899939</v>
      </c>
      <c r="AB607" s="160">
        <f t="shared" si="192"/>
        <v>0.825720328500681</v>
      </c>
      <c r="AC607" s="164">
        <f t="shared" si="193"/>
        <v>0</v>
      </c>
      <c r="AD607" s="164">
        <f>IF(AND($C606=12,$D606=Input!$C$6),0,IF($E607="","",$AC607+AD608/(1+$L607)*$R607))</f>
        <v>103241.27863248994</v>
      </c>
      <c r="AE607" s="152"/>
      <c r="AF607" s="164">
        <f>IF(AND($C606=12,$D606=Input!$C$6),0,IF($E607="","",IF($B607&gt;Input!$C$9,$AC607,0)+AF608/(1+$L607)*$R607))</f>
        <v>103241.27863248994</v>
      </c>
      <c r="AG607" s="164">
        <f>IF(AND($C606=12,$D606=Input!$C$6),0,IF($E607="","",(IF($B607&gt;Input!$C$9,$X607,0)+AG608)/(1+$L607)*$R607))</f>
        <v>67868.943732487023</v>
      </c>
      <c r="AH607" s="160">
        <f t="shared" si="194"/>
        <v>2.0950137211446997</v>
      </c>
      <c r="AI607" s="160">
        <f>IF($E607="","",MIN(Input!$C$61/AH607,1))</f>
        <v>0.64438718771845094</v>
      </c>
      <c r="AJ607" s="152"/>
      <c r="AK607" s="164">
        <f>IF(AND($C606=12,$D606=Input!$C$6),0,IF($E607="","",IF($B607&gt;Input!$C$9,$AC607*AI607,0)+AK608/(1+$L607)*$R607))</f>
        <v>66527.357194447148</v>
      </c>
      <c r="AL607" s="164">
        <f>IF(AND($C606=12,$D606=Input!$C$6),0,IF($E607="","",IF($B607&gt;Input!$C$9,0,$AC607)+AL608/(1+$L607)*$R607))</f>
        <v>0</v>
      </c>
      <c r="AM607" s="160">
        <f t="shared" si="195"/>
        <v>1.1382936520186004</v>
      </c>
      <c r="AN607" s="164">
        <f>IF($E607="","",IF($B607&gt;Input!$C$9,$AI607*$AC607,$AM607*$AC607))</f>
        <v>0</v>
      </c>
      <c r="AO607" s="164">
        <f>IF(AND($C606=12,$D606=Input!$C$6),0,IF($E607="","",$AN607+AO608/(1+$L607)*$R607))</f>
        <v>66527.357194447148</v>
      </c>
      <c r="AP607" s="152"/>
      <c r="AQ607" s="164">
        <f t="shared" si="196"/>
        <v>3790.0637074527913</v>
      </c>
      <c r="AR607" s="164">
        <f t="shared" si="205"/>
        <v>-2808.2454092123207</v>
      </c>
      <c r="AS607" s="164">
        <f t="shared" si="206"/>
        <v>11645.933014354068</v>
      </c>
      <c r="AT607" s="164">
        <f t="shared" si="197"/>
        <v>11645.933014354068</v>
      </c>
      <c r="AU607" s="152"/>
      <c r="AV607" s="147">
        <f>'Deterministic Reserve'!BC607</f>
        <v>1.1898912367866634E-5</v>
      </c>
      <c r="AW607" s="164">
        <f t="shared" si="198"/>
        <v>11645.933014354068</v>
      </c>
      <c r="AX607" s="164">
        <f t="shared" si="199"/>
        <v>0.13857393637984397</v>
      </c>
      <c r="AY607" s="152"/>
    </row>
    <row r="608" spans="1:51" s="150" customFormat="1" x14ac:dyDescent="0.25">
      <c r="A608" s="150">
        <f t="shared" si="207"/>
        <v>604</v>
      </c>
      <c r="B608" s="150">
        <f t="shared" si="208"/>
        <v>51</v>
      </c>
      <c r="C608" s="150">
        <f t="shared" si="209"/>
        <v>4</v>
      </c>
      <c r="D608" s="150">
        <f>IF(E608="","",Input!$C$4+B608-1)</f>
        <v>95</v>
      </c>
      <c r="E608" s="150">
        <f>IF(OR(AND(C607=12,D607=Input!$C$6),E607=""),"",1)</f>
        <v>1</v>
      </c>
      <c r="F608" s="150">
        <f>IF(E608="","",Input!$C$8+B608-1)</f>
        <v>2068</v>
      </c>
      <c r="G608" s="151">
        <f>IF(E608="","",MAX(0,Input!$C$9-B608))</f>
        <v>0</v>
      </c>
      <c r="H608" s="152">
        <f>IF(E608="","",Input!$C$3)</f>
        <v>100000</v>
      </c>
      <c r="I608" s="153">
        <f>IF(E608="","",HLOOKUP($B608,Input!$C$13:$BT$14,2))</f>
        <v>596.33000000000004</v>
      </c>
      <c r="J608" s="154"/>
      <c r="K608" s="155">
        <f>IF($E608="","",Input!$C$57)</f>
        <v>4.4999999999999998E-2</v>
      </c>
      <c r="L608" s="155">
        <f t="shared" si="200"/>
        <v>3.6748094004368514E-3</v>
      </c>
      <c r="M608" s="147">
        <f>IF($E608="","",VLOOKUP(IF($B608&lt;=Input!$C$7,$B608,26),'Mortality Tables'!$A$72:$CA$97,IF($B608&lt;=Input!$C$7+1,Input!$C$4-16,$D608-Input!$C$7-16),0)/1000)</f>
        <v>0.24340000000000001</v>
      </c>
      <c r="N608" s="147">
        <f t="shared" si="189"/>
        <v>2.2975333981154589E-2</v>
      </c>
      <c r="O608" s="157">
        <f>IF($E608="","",IF($C608=12,IF($B608&lt;Input!$C$9,Input!$C$54,IF($B608=Input!$C$9,Input!$C$55,Input!$C$56)),0%))</f>
        <v>0</v>
      </c>
      <c r="P608" s="167">
        <f>IF($E608="","",IF($B608=1,Input!$C$59,IF($B608&lt;6,Input!$C$60,0%)))</f>
        <v>0</v>
      </c>
      <c r="Q608" s="162">
        <f>IF($E608="","",Input!$C$58)</f>
        <v>2.5</v>
      </c>
      <c r="R608" s="156">
        <f t="shared" si="201"/>
        <v>0.97702466601884541</v>
      </c>
      <c r="S608" s="154">
        <f t="shared" si="190"/>
        <v>2.3495547295889177E-4</v>
      </c>
      <c r="T608" s="152"/>
      <c r="U608" s="150">
        <f t="shared" si="202"/>
        <v>0</v>
      </c>
      <c r="V608" s="150">
        <f t="shared" si="203"/>
        <v>0</v>
      </c>
      <c r="W608" s="168">
        <f t="shared" si="204"/>
        <v>0</v>
      </c>
      <c r="X608" s="163">
        <f t="shared" si="191"/>
        <v>2297.533398115459</v>
      </c>
      <c r="Y608" s="152"/>
      <c r="Z608" s="164">
        <f>IF(AND($C607=12,$D607=Input!$C$6),0,IF($E608="","",V608+Z609/(1+L608)*R608))</f>
        <v>128442.24683291408</v>
      </c>
      <c r="AA608" s="164">
        <f>IF(OR($M608=1,AND($C607=12,$D607=Input!$C$6)),0,IF($E608="","",W608+(X608+AA609*$R608)/(1+$L608)))</f>
        <v>69883.896484771321</v>
      </c>
      <c r="AB608" s="160">
        <f t="shared" si="192"/>
        <v>0.825720328500681</v>
      </c>
      <c r="AC608" s="164">
        <f t="shared" si="193"/>
        <v>0</v>
      </c>
      <c r="AD608" s="164">
        <f>IF(AND($C607=12,$D607=Input!$C$6),0,IF($E608="","",$AC608+AD609/(1+$L608)*$R608))</f>
        <v>106057.37424823933</v>
      </c>
      <c r="AE608" s="152"/>
      <c r="AF608" s="164">
        <f>IF(AND($C607=12,$D607=Input!$C$6),0,IF($E608="","",IF($B608&gt;Input!$C$9,$AC608,0)+AF609/(1+$L608)*$R608))</f>
        <v>106057.37424823933</v>
      </c>
      <c r="AG608" s="164">
        <f>IF(AND($C607=12,$D607=Input!$C$6),0,IF($E608="","",(IF($B608&gt;Input!$C$9,$X608,0)+AG609)/(1+$L608)*$R608))</f>
        <v>67422.660506998276</v>
      </c>
      <c r="AH608" s="160">
        <f t="shared" si="194"/>
        <v>2.0950137211446997</v>
      </c>
      <c r="AI608" s="160">
        <f>IF($E608="","",MIN(Input!$C$61/AH608,1))</f>
        <v>0.64438718771845094</v>
      </c>
      <c r="AJ608" s="152"/>
      <c r="AK608" s="164">
        <f>IF(AND($C607=12,$D607=Input!$C$6),0,IF($E608="","",IF($B608&gt;Input!$C$9,$AC608*AI608,0)+AK609/(1+$L608)*$R608))</f>
        <v>68342.01312862616</v>
      </c>
      <c r="AL608" s="164">
        <f>IF(AND($C607=12,$D607=Input!$C$6),0,IF($E608="","",IF($B608&gt;Input!$C$9,0,$AC608)+AL609/(1+$L608)*$R608))</f>
        <v>0</v>
      </c>
      <c r="AM608" s="160">
        <f t="shared" si="195"/>
        <v>1.1382936520186004</v>
      </c>
      <c r="AN608" s="164">
        <f>IF($E608="","",IF($B608&gt;Input!$C$9,$AI608*$AC608,$AM608*$AC608))</f>
        <v>0</v>
      </c>
      <c r="AO608" s="164">
        <f>IF(AND($C607=12,$D607=Input!$C$6),0,IF($E608="","",$AN608+AO609/(1+$L608)*$R608))</f>
        <v>68342.01312862616</v>
      </c>
      <c r="AP608" s="152"/>
      <c r="AQ608" s="164">
        <f t="shared" si="196"/>
        <v>1541.8833561451611</v>
      </c>
      <c r="AR608" s="164">
        <f t="shared" si="205"/>
        <v>-2808.2454092123207</v>
      </c>
      <c r="AS608" s="164">
        <f t="shared" si="206"/>
        <v>11645.933014354068</v>
      </c>
      <c r="AT608" s="164">
        <f t="shared" si="197"/>
        <v>11645.933014354068</v>
      </c>
      <c r="AU608" s="152"/>
      <c r="AV608" s="147">
        <f>'Deterministic Reserve'!BC608</f>
        <v>1.1194597582410991E-5</v>
      </c>
      <c r="AW608" s="164">
        <f t="shared" si="198"/>
        <v>11645.933014354068</v>
      </c>
      <c r="AX608" s="164">
        <f t="shared" si="199"/>
        <v>0.13037153356740838</v>
      </c>
      <c r="AY608" s="152"/>
    </row>
    <row r="609" spans="1:51" s="150" customFormat="1" x14ac:dyDescent="0.25">
      <c r="A609" s="150">
        <f t="shared" si="207"/>
        <v>605</v>
      </c>
      <c r="B609" s="150">
        <f t="shared" si="208"/>
        <v>51</v>
      </c>
      <c r="C609" s="150">
        <f t="shared" si="209"/>
        <v>5</v>
      </c>
      <c r="D609" s="150">
        <f>IF(E609="","",Input!$C$4+B609-1)</f>
        <v>95</v>
      </c>
      <c r="E609" s="150">
        <f>IF(OR(AND(C608=12,D608=Input!$C$6),E608=""),"",1)</f>
        <v>1</v>
      </c>
      <c r="F609" s="150">
        <f>IF(E609="","",Input!$C$8+B609-1)</f>
        <v>2068</v>
      </c>
      <c r="G609" s="151">
        <f>IF(E609="","",MAX(0,Input!$C$9-B609))</f>
        <v>0</v>
      </c>
      <c r="H609" s="152">
        <f>IF(E609="","",Input!$C$3)</f>
        <v>100000</v>
      </c>
      <c r="I609" s="153">
        <f>IF(E609="","",HLOOKUP($B609,Input!$C$13:$BT$14,2))</f>
        <v>596.33000000000004</v>
      </c>
      <c r="J609" s="154"/>
      <c r="K609" s="155">
        <f>IF($E609="","",Input!$C$57)</f>
        <v>4.4999999999999998E-2</v>
      </c>
      <c r="L609" s="155">
        <f t="shared" si="200"/>
        <v>3.6748094004368514E-3</v>
      </c>
      <c r="M609" s="147">
        <f>IF($E609="","",VLOOKUP(IF($B609&lt;=Input!$C$7,$B609,26),'Mortality Tables'!$A$72:$CA$97,IF($B609&lt;=Input!$C$7+1,Input!$C$4-16,$D609-Input!$C$7-16),0)/1000)</f>
        <v>0.24340000000000001</v>
      </c>
      <c r="N609" s="147">
        <f t="shared" si="189"/>
        <v>2.2975333981154589E-2</v>
      </c>
      <c r="O609" s="157">
        <f>IF($E609="","",IF($C609=12,IF($B609&lt;Input!$C$9,Input!$C$54,IF($B609=Input!$C$9,Input!$C$55,Input!$C$56)),0%))</f>
        <v>0</v>
      </c>
      <c r="P609" s="167">
        <f>IF($E609="","",IF($B609=1,Input!$C$59,IF($B609&lt;6,Input!$C$60,0%)))</f>
        <v>0</v>
      </c>
      <c r="Q609" s="162">
        <f>IF($E609="","",Input!$C$58)</f>
        <v>2.5</v>
      </c>
      <c r="R609" s="156">
        <f t="shared" si="201"/>
        <v>0.97702466601884541</v>
      </c>
      <c r="S609" s="154">
        <f t="shared" si="190"/>
        <v>2.2955729249696108E-4</v>
      </c>
      <c r="T609" s="152"/>
      <c r="U609" s="150">
        <f t="shared" si="202"/>
        <v>0</v>
      </c>
      <c r="V609" s="150">
        <f t="shared" si="203"/>
        <v>0</v>
      </c>
      <c r="W609" s="168">
        <f t="shared" si="204"/>
        <v>0</v>
      </c>
      <c r="X609" s="163">
        <f t="shared" si="191"/>
        <v>2297.533398115459</v>
      </c>
      <c r="Y609" s="152"/>
      <c r="Z609" s="164">
        <f>IF(AND($C608=12,$D608=Input!$C$6),0,IF($E609="","",V609+Z610/(1+L609)*R609))</f>
        <v>131945.74517170104</v>
      </c>
      <c r="AA609" s="164">
        <f>IF(OR($M609=1,AND($C608=12,$D608=Input!$C$6)),0,IF($E609="","",W609+(X609+AA610*$R609)/(1+$L609)))</f>
        <v>69438.546892416605</v>
      </c>
      <c r="AB609" s="160">
        <f t="shared" si="192"/>
        <v>0.825720328500681</v>
      </c>
      <c r="AC609" s="164">
        <f t="shared" si="193"/>
        <v>0</v>
      </c>
      <c r="AD609" s="164">
        <f>IF(AND($C608=12,$D608=Input!$C$6),0,IF($E609="","",$AC609+AD610/(1+$L609)*$R609))</f>
        <v>108950.28404744409</v>
      </c>
      <c r="AE609" s="152"/>
      <c r="AF609" s="164">
        <f>IF(AND($C608=12,$D608=Input!$C$6),0,IF($E609="","",IF($B609&gt;Input!$C$9,$AC609,0)+AF610/(1+$L609)*$R609))</f>
        <v>108950.28404744409</v>
      </c>
      <c r="AG609" s="164">
        <f>IF(AND($C608=12,$D608=Input!$C$6),0,IF($E609="","",(IF($B609&gt;Input!$C$9,$X609,0)+AG610)/(1+$L609)*$R609))</f>
        <v>66964.204086336744</v>
      </c>
      <c r="AH609" s="160">
        <f t="shared" si="194"/>
        <v>2.0950137211446997</v>
      </c>
      <c r="AI609" s="160">
        <f>IF($E609="","",MIN(Input!$C$61/AH609,1))</f>
        <v>0.64438718771845094</v>
      </c>
      <c r="AJ609" s="152"/>
      <c r="AK609" s="164">
        <f>IF(AND($C608=12,$D608=Input!$C$6),0,IF($E609="","",IF($B609&gt;Input!$C$9,$AC609*AI609,0)+AK610/(1+$L609)*$R609))</f>
        <v>70206.16713845887</v>
      </c>
      <c r="AL609" s="164">
        <f>IF(AND($C608=12,$D608=Input!$C$6),0,IF($E609="","",IF($B609&gt;Input!$C$9,0,$AC609)+AL610/(1+$L609)*$R609))</f>
        <v>0</v>
      </c>
      <c r="AM609" s="160">
        <f t="shared" si="195"/>
        <v>1.1382936520186004</v>
      </c>
      <c r="AN609" s="164">
        <f>IF($E609="","",IF($B609&gt;Input!$C$9,$AI609*$AC609,$AM609*$AC609))</f>
        <v>0</v>
      </c>
      <c r="AO609" s="164">
        <f>IF(AND($C608=12,$D608=Input!$C$6),0,IF($E609="","",$AN609+AO610/(1+$L609)*$R609))</f>
        <v>70206.16713845887</v>
      </c>
      <c r="AP609" s="152"/>
      <c r="AQ609" s="164">
        <f t="shared" si="196"/>
        <v>-767.62024604226463</v>
      </c>
      <c r="AR609" s="164">
        <f t="shared" si="205"/>
        <v>-2808.2454092123207</v>
      </c>
      <c r="AS609" s="164">
        <f t="shared" si="206"/>
        <v>11645.933014354068</v>
      </c>
      <c r="AT609" s="164">
        <f t="shared" si="197"/>
        <v>11645.933014354068</v>
      </c>
      <c r="AU609" s="152"/>
      <c r="AV609" s="147">
        <f>'Deterministic Reserve'!BC609</f>
        <v>1.0531972264166742E-5</v>
      </c>
      <c r="AW609" s="164">
        <f t="shared" si="198"/>
        <v>11645.933014354068</v>
      </c>
      <c r="AX609" s="164">
        <f t="shared" si="199"/>
        <v>0.12265464349752082</v>
      </c>
      <c r="AY609" s="152"/>
    </row>
    <row r="610" spans="1:51" s="150" customFormat="1" x14ac:dyDescent="0.25">
      <c r="A610" s="150">
        <f t="shared" si="207"/>
        <v>606</v>
      </c>
      <c r="B610" s="150">
        <f t="shared" si="208"/>
        <v>51</v>
      </c>
      <c r="C610" s="150">
        <f t="shared" si="209"/>
        <v>6</v>
      </c>
      <c r="D610" s="150">
        <f>IF(E610="","",Input!$C$4+B610-1)</f>
        <v>95</v>
      </c>
      <c r="E610" s="150">
        <f>IF(OR(AND(C609=12,D609=Input!$C$6),E609=""),"",1)</f>
        <v>1</v>
      </c>
      <c r="F610" s="150">
        <f>IF(E610="","",Input!$C$8+B610-1)</f>
        <v>2068</v>
      </c>
      <c r="G610" s="151">
        <f>IF(E610="","",MAX(0,Input!$C$9-B610))</f>
        <v>0</v>
      </c>
      <c r="H610" s="152">
        <f>IF(E610="","",Input!$C$3)</f>
        <v>100000</v>
      </c>
      <c r="I610" s="153">
        <f>IF(E610="","",HLOOKUP($B610,Input!$C$13:$BT$14,2))</f>
        <v>596.33000000000004</v>
      </c>
      <c r="J610" s="154"/>
      <c r="K610" s="155">
        <f>IF($E610="","",Input!$C$57)</f>
        <v>4.4999999999999998E-2</v>
      </c>
      <c r="L610" s="155">
        <f t="shared" si="200"/>
        <v>3.6748094004368514E-3</v>
      </c>
      <c r="M610" s="147">
        <f>IF($E610="","",VLOOKUP(IF($B610&lt;=Input!$C$7,$B610,26),'Mortality Tables'!$A$72:$CA$97,IF($B610&lt;=Input!$C$7+1,Input!$C$4-16,$D610-Input!$C$7-16),0)/1000)</f>
        <v>0.24340000000000001</v>
      </c>
      <c r="N610" s="147">
        <f t="shared" si="189"/>
        <v>2.2975333981154589E-2</v>
      </c>
      <c r="O610" s="157">
        <f>IF($E610="","",IF($C610=12,IF($B610&lt;Input!$C$9,Input!$C$54,IF($B610=Input!$C$9,Input!$C$55,Input!$C$56)),0%))</f>
        <v>0</v>
      </c>
      <c r="P610" s="167">
        <f>IF($E610="","",IF($B610=1,Input!$C$59,IF($B610&lt;6,Input!$C$60,0%)))</f>
        <v>0</v>
      </c>
      <c r="Q610" s="162">
        <f>IF($E610="","",Input!$C$58)</f>
        <v>2.5</v>
      </c>
      <c r="R610" s="156">
        <f t="shared" si="201"/>
        <v>0.97702466601884541</v>
      </c>
      <c r="S610" s="154">
        <f t="shared" si="190"/>
        <v>2.2428313703403381E-4</v>
      </c>
      <c r="T610" s="152"/>
      <c r="U610" s="150">
        <f t="shared" si="202"/>
        <v>0</v>
      </c>
      <c r="V610" s="150">
        <f t="shared" si="203"/>
        <v>0</v>
      </c>
      <c r="W610" s="168">
        <f t="shared" si="204"/>
        <v>0</v>
      </c>
      <c r="X610" s="163">
        <f t="shared" si="191"/>
        <v>2297.533398115459</v>
      </c>
      <c r="Y610" s="152"/>
      <c r="Z610" s="164">
        <f>IF(AND($C609=12,$D609=Input!$C$6),0,IF($E610="","",V610+Z611/(1+L610)*R610))</f>
        <v>135544.80786655107</v>
      </c>
      <c r="AA610" s="164">
        <f>IF(OR($M610=1,AND($C609=12,$D609=Input!$C$6)),0,IF($E610="","",W610+(X610+AA611*$R610)/(1+$L610)))</f>
        <v>68981.049571448704</v>
      </c>
      <c r="AB610" s="160">
        <f t="shared" si="192"/>
        <v>0.825720328500681</v>
      </c>
      <c r="AC610" s="164">
        <f t="shared" si="193"/>
        <v>0</v>
      </c>
      <c r="AD610" s="164">
        <f>IF(AND($C609=12,$D609=Input!$C$6),0,IF($E610="","",$AC610+AD611/(1+$L610)*$R610))</f>
        <v>111922.10327813022</v>
      </c>
      <c r="AE610" s="152"/>
      <c r="AF610" s="164">
        <f>IF(AND($C609=12,$D609=Input!$C$6),0,IF($E610="","",IF($B610&gt;Input!$C$9,$AC610,0)+AF611/(1+$L610)*$R610))</f>
        <v>111922.10327813022</v>
      </c>
      <c r="AG610" s="164">
        <f>IF(AND($C609=12,$D609=Input!$C$6),0,IF($E610="","",(IF($B610&gt;Input!$C$9,$X610,0)+AG611)/(1+$L610)*$R610))</f>
        <v>66493.242424231692</v>
      </c>
      <c r="AH610" s="160">
        <f t="shared" si="194"/>
        <v>2.0950137211446997</v>
      </c>
      <c r="AI610" s="160">
        <f>IF($E610="","",MIN(Input!$C$61/AH610,1))</f>
        <v>0.64438718771845094</v>
      </c>
      <c r="AJ610" s="152"/>
      <c r="AK610" s="164">
        <f>IF(AND($C609=12,$D609=Input!$C$6),0,IF($E610="","",IF($B610&gt;Input!$C$9,$AC610*AI610,0)+AK611/(1+$L610)*$R610))</f>
        <v>72121.169374928315</v>
      </c>
      <c r="AL610" s="164">
        <f>IF(AND($C609=12,$D609=Input!$C$6),0,IF($E610="","",IF($B610&gt;Input!$C$9,0,$AC610)+AL611/(1+$L610)*$R610))</f>
        <v>0</v>
      </c>
      <c r="AM610" s="160">
        <f t="shared" si="195"/>
        <v>1.1382936520186004</v>
      </c>
      <c r="AN610" s="164">
        <f>IF($E610="","",IF($B610&gt;Input!$C$9,$AI610*$AC610,$AM610*$AC610))</f>
        <v>0</v>
      </c>
      <c r="AO610" s="164">
        <f>IF(AND($C609=12,$D609=Input!$C$6),0,IF($E610="","",$AN610+AO611/(1+$L610)*$R610))</f>
        <v>72121.169374928315</v>
      </c>
      <c r="AP610" s="152"/>
      <c r="AQ610" s="164">
        <f t="shared" si="196"/>
        <v>-3140.1198034796107</v>
      </c>
      <c r="AR610" s="164">
        <f t="shared" si="205"/>
        <v>-2808.2454092123207</v>
      </c>
      <c r="AS610" s="164">
        <f t="shared" si="206"/>
        <v>11645.933014354068</v>
      </c>
      <c r="AT610" s="164">
        <f t="shared" si="197"/>
        <v>11645.933014354068</v>
      </c>
      <c r="AU610" s="152"/>
      <c r="AV610" s="147">
        <f>'Deterministic Reserve'!BC610</f>
        <v>9.9085687499351865E-6</v>
      </c>
      <c r="AW610" s="164">
        <f t="shared" si="198"/>
        <v>11645.933014354068</v>
      </c>
      <c r="AX610" s="164">
        <f t="shared" si="199"/>
        <v>0.11539452792986721</v>
      </c>
      <c r="AY610" s="152"/>
    </row>
    <row r="611" spans="1:51" s="150" customFormat="1" x14ac:dyDescent="0.25">
      <c r="A611" s="150">
        <f t="shared" si="207"/>
        <v>607</v>
      </c>
      <c r="B611" s="150">
        <f t="shared" si="208"/>
        <v>51</v>
      </c>
      <c r="C611" s="150">
        <f t="shared" si="209"/>
        <v>7</v>
      </c>
      <c r="D611" s="150">
        <f>IF(E611="","",Input!$C$4+B611-1)</f>
        <v>95</v>
      </c>
      <c r="E611" s="150">
        <f>IF(OR(AND(C610=12,D610=Input!$C$6),E610=""),"",1)</f>
        <v>1</v>
      </c>
      <c r="F611" s="150">
        <f>IF(E611="","",Input!$C$8+B611-1)</f>
        <v>2068</v>
      </c>
      <c r="G611" s="151">
        <f>IF(E611="","",MAX(0,Input!$C$9-B611))</f>
        <v>0</v>
      </c>
      <c r="H611" s="152">
        <f>IF(E611="","",Input!$C$3)</f>
        <v>100000</v>
      </c>
      <c r="I611" s="153">
        <f>IF(E611="","",HLOOKUP($B611,Input!$C$13:$BT$14,2))</f>
        <v>596.33000000000004</v>
      </c>
      <c r="J611" s="154"/>
      <c r="K611" s="155">
        <f>IF($E611="","",Input!$C$57)</f>
        <v>4.4999999999999998E-2</v>
      </c>
      <c r="L611" s="155">
        <f t="shared" si="200"/>
        <v>3.6748094004368514E-3</v>
      </c>
      <c r="M611" s="147">
        <f>IF($E611="","",VLOOKUP(IF($B611&lt;=Input!$C$7,$B611,26),'Mortality Tables'!$A$72:$CA$97,IF($B611&lt;=Input!$C$7+1,Input!$C$4-16,$D611-Input!$C$7-16),0)/1000)</f>
        <v>0.24340000000000001</v>
      </c>
      <c r="N611" s="147">
        <f t="shared" si="189"/>
        <v>2.2975333981154589E-2</v>
      </c>
      <c r="O611" s="157">
        <f>IF($E611="","",IF($C611=12,IF($B611&lt;Input!$C$9,Input!$C$54,IF($B611=Input!$C$9,Input!$C$55,Input!$C$56)),0%))</f>
        <v>0</v>
      </c>
      <c r="P611" s="167">
        <f>IF($E611="","",IF($B611=1,Input!$C$59,IF($B611&lt;6,Input!$C$60,0%)))</f>
        <v>0</v>
      </c>
      <c r="Q611" s="162">
        <f>IF($E611="","",Input!$C$58)</f>
        <v>2.5</v>
      </c>
      <c r="R611" s="156">
        <f t="shared" si="201"/>
        <v>0.97702466601884541</v>
      </c>
      <c r="S611" s="154">
        <f t="shared" si="190"/>
        <v>2.1913015705433582E-4</v>
      </c>
      <c r="T611" s="152"/>
      <c r="U611" s="150">
        <f t="shared" si="202"/>
        <v>0</v>
      </c>
      <c r="V611" s="150">
        <f t="shared" si="203"/>
        <v>0</v>
      </c>
      <c r="W611" s="168">
        <f t="shared" si="204"/>
        <v>0</v>
      </c>
      <c r="X611" s="163">
        <f t="shared" si="191"/>
        <v>2297.533398115459</v>
      </c>
      <c r="Y611" s="152"/>
      <c r="Z611" s="164">
        <f>IF(AND($C610=12,$D610=Input!$C$6),0,IF($E611="","",V611+Z612/(1+L611)*R611))</f>
        <v>139242.04161090794</v>
      </c>
      <c r="AA611" s="164">
        <f>IF(OR($M611=1,AND($C610=12,$D610=Input!$C$6)),0,IF($E611="","",W611+(X611+AA612*$R611)/(1+$L611)))</f>
        <v>68511.073170244097</v>
      </c>
      <c r="AB611" s="160">
        <f t="shared" si="192"/>
        <v>0.825720328500681</v>
      </c>
      <c r="AC611" s="164">
        <f t="shared" si="193"/>
        <v>0</v>
      </c>
      <c r="AD611" s="164">
        <f>IF(AND($C610=12,$D610=Input!$C$6),0,IF($E611="","",$AC611+AD612/(1+$L611)*$R611))</f>
        <v>114974.98434006436</v>
      </c>
      <c r="AE611" s="152"/>
      <c r="AF611" s="164">
        <f>IF(AND($C610=12,$D610=Input!$C$6),0,IF($E611="","",IF($B611&gt;Input!$C$9,$AC611,0)+AF612/(1+$L611)*$R611))</f>
        <v>114974.98434006436</v>
      </c>
      <c r="AG611" s="164">
        <f>IF(AND($C610=12,$D610=Input!$C$6),0,IF($E611="","",(IF($B611&gt;Input!$C$9,$X611,0)+AG612)/(1+$L611)*$R611))</f>
        <v>66009.434417240103</v>
      </c>
      <c r="AH611" s="160">
        <f t="shared" si="194"/>
        <v>2.0950137211446997</v>
      </c>
      <c r="AI611" s="160">
        <f>IF($E611="","",MIN(Input!$C$61/AH611,1))</f>
        <v>0.64438718771845094</v>
      </c>
      <c r="AJ611" s="152"/>
      <c r="AK611" s="164">
        <f>IF(AND($C610=12,$D610=Input!$C$6),0,IF($E611="","",IF($B611&gt;Input!$C$9,$AC611*AI611,0)+AK612/(1+$L611)*$R611))</f>
        <v>74088.406816866962</v>
      </c>
      <c r="AL611" s="164">
        <f>IF(AND($C610=12,$D610=Input!$C$6),0,IF($E611="","",IF($B611&gt;Input!$C$9,0,$AC611)+AL612/(1+$L611)*$R611))</f>
        <v>0</v>
      </c>
      <c r="AM611" s="160">
        <f t="shared" si="195"/>
        <v>1.1382936520186004</v>
      </c>
      <c r="AN611" s="164">
        <f>IF($E611="","",IF($B611&gt;Input!$C$9,$AI611*$AC611,$AM611*$AC611))</f>
        <v>0</v>
      </c>
      <c r="AO611" s="164">
        <f>IF(AND($C610=12,$D610=Input!$C$6),0,IF($E611="","",$AN611+AO612/(1+$L611)*$R611))</f>
        <v>74088.406816866962</v>
      </c>
      <c r="AP611" s="152"/>
      <c r="AQ611" s="164">
        <f t="shared" si="196"/>
        <v>-5577.3336466228648</v>
      </c>
      <c r="AR611" s="164">
        <f t="shared" si="205"/>
        <v>-2808.2454092123207</v>
      </c>
      <c r="AS611" s="164">
        <f t="shared" si="206"/>
        <v>11645.933014354068</v>
      </c>
      <c r="AT611" s="164">
        <f t="shared" si="197"/>
        <v>11645.933014354068</v>
      </c>
      <c r="AU611" s="152"/>
      <c r="AV611" s="147">
        <f>'Deterministic Reserve'!BC611</f>
        <v>9.322065441268974E-6</v>
      </c>
      <c r="AW611" s="164">
        <f t="shared" si="198"/>
        <v>11645.933014354068</v>
      </c>
      <c r="AX611" s="164">
        <f t="shared" si="199"/>
        <v>0.10856414968444347</v>
      </c>
      <c r="AY611" s="152"/>
    </row>
    <row r="612" spans="1:51" s="150" customFormat="1" x14ac:dyDescent="0.25">
      <c r="A612" s="150">
        <f t="shared" si="207"/>
        <v>608</v>
      </c>
      <c r="B612" s="150">
        <f t="shared" si="208"/>
        <v>51</v>
      </c>
      <c r="C612" s="150">
        <f t="shared" si="209"/>
        <v>8</v>
      </c>
      <c r="D612" s="150">
        <f>IF(E612="","",Input!$C$4+B612-1)</f>
        <v>95</v>
      </c>
      <c r="E612" s="150">
        <f>IF(OR(AND(C611=12,D611=Input!$C$6),E611=""),"",1)</f>
        <v>1</v>
      </c>
      <c r="F612" s="150">
        <f>IF(E612="","",Input!$C$8+B612-1)</f>
        <v>2068</v>
      </c>
      <c r="G612" s="151">
        <f>IF(E612="","",MAX(0,Input!$C$9-B612))</f>
        <v>0</v>
      </c>
      <c r="H612" s="152">
        <f>IF(E612="","",Input!$C$3)</f>
        <v>100000</v>
      </c>
      <c r="I612" s="153">
        <f>IF(E612="","",HLOOKUP($B612,Input!$C$13:$BT$14,2))</f>
        <v>596.33000000000004</v>
      </c>
      <c r="J612" s="154"/>
      <c r="K612" s="155">
        <f>IF($E612="","",Input!$C$57)</f>
        <v>4.4999999999999998E-2</v>
      </c>
      <c r="L612" s="155">
        <f t="shared" si="200"/>
        <v>3.6748094004368514E-3</v>
      </c>
      <c r="M612" s="147">
        <f>IF($E612="","",VLOOKUP(IF($B612&lt;=Input!$C$7,$B612,26),'Mortality Tables'!$A$72:$CA$97,IF($B612&lt;=Input!$C$7+1,Input!$C$4-16,$D612-Input!$C$7-16),0)/1000)</f>
        <v>0.24340000000000001</v>
      </c>
      <c r="N612" s="147">
        <f t="shared" si="189"/>
        <v>2.2975333981154589E-2</v>
      </c>
      <c r="O612" s="157">
        <f>IF($E612="","",IF($C612=12,IF($B612&lt;Input!$C$9,Input!$C$54,IF($B612=Input!$C$9,Input!$C$55,Input!$C$56)),0%))</f>
        <v>0</v>
      </c>
      <c r="P612" s="167">
        <f>IF($E612="","",IF($B612=1,Input!$C$59,IF($B612&lt;6,Input!$C$60,0%)))</f>
        <v>0</v>
      </c>
      <c r="Q612" s="162">
        <f>IF($E612="","",Input!$C$58)</f>
        <v>2.5</v>
      </c>
      <c r="R612" s="156">
        <f t="shared" si="201"/>
        <v>0.97702466601884541</v>
      </c>
      <c r="S612" s="154">
        <f t="shared" si="190"/>
        <v>2.1409556851066959E-4</v>
      </c>
      <c r="T612" s="152"/>
      <c r="U612" s="150">
        <f t="shared" si="202"/>
        <v>0</v>
      </c>
      <c r="V612" s="150">
        <f t="shared" si="203"/>
        <v>0</v>
      </c>
      <c r="W612" s="168">
        <f t="shared" si="204"/>
        <v>0</v>
      </c>
      <c r="X612" s="163">
        <f t="shared" si="191"/>
        <v>2297.533398115459</v>
      </c>
      <c r="Y612" s="152"/>
      <c r="Z612" s="164">
        <f>IF(AND($C611=12,$D611=Input!$C$6),0,IF($E612="","",V612+Z613/(1+L612)*R612))</f>
        <v>143040.12420056964</v>
      </c>
      <c r="AA612" s="164">
        <f>IF(OR($M612=1,AND($C611=12,$D611=Input!$C$6)),0,IF($E612="","",W612+(X612+AA613*$R612)/(1+$L612)))</f>
        <v>68028.277298954752</v>
      </c>
      <c r="AB612" s="160">
        <f t="shared" si="192"/>
        <v>0.825720328500681</v>
      </c>
      <c r="AC612" s="164">
        <f t="shared" si="193"/>
        <v>0</v>
      </c>
      <c r="AD612" s="164">
        <f>IF(AND($C611=12,$D611=Input!$C$6),0,IF($E612="","",$AC612+AD613/(1+$L612)*$R612))</f>
        <v>118111.13834367253</v>
      </c>
      <c r="AE612" s="152"/>
      <c r="AF612" s="164">
        <f>IF(AND($C611=12,$D611=Input!$C$6),0,IF($E612="","",IF($B612&gt;Input!$C$9,$AC612,0)+AF613/(1+$L612)*$R612))</f>
        <v>118111.13834367253</v>
      </c>
      <c r="AG612" s="164">
        <f>IF(AND($C611=12,$D611=Input!$C$6),0,IF($E612="","",(IF($B612&gt;Input!$C$9,$X612,0)+AG613)/(1+$L612)*$R612))</f>
        <v>65512.429657695655</v>
      </c>
      <c r="AH612" s="160">
        <f t="shared" si="194"/>
        <v>2.0950137211446997</v>
      </c>
      <c r="AI612" s="160">
        <f>IF($E612="","",MIN(Input!$C$61/AH612,1))</f>
        <v>0.64438718771845094</v>
      </c>
      <c r="AJ612" s="152"/>
      <c r="AK612" s="164">
        <f>IF(AND($C611=12,$D611=Input!$C$6),0,IF($E612="","",IF($B612&gt;Input!$C$9,$AC612*AI612,0)+AK613/(1+$L612)*$R612))</f>
        <v>76109.304275503993</v>
      </c>
      <c r="AL612" s="164">
        <f>IF(AND($C611=12,$D611=Input!$C$6),0,IF($E612="","",IF($B612&gt;Input!$C$9,0,$AC612)+AL613/(1+$L612)*$R612))</f>
        <v>0</v>
      </c>
      <c r="AM612" s="160">
        <f t="shared" si="195"/>
        <v>1.1382936520186004</v>
      </c>
      <c r="AN612" s="164">
        <f>IF($E612="","",IF($B612&gt;Input!$C$9,$AI612*$AC612,$AM612*$AC612))</f>
        <v>0</v>
      </c>
      <c r="AO612" s="164">
        <f>IF(AND($C611=12,$D611=Input!$C$6),0,IF($E612="","",$AN612+AO613/(1+$L612)*$R612))</f>
        <v>76109.304275503993</v>
      </c>
      <c r="AP612" s="152"/>
      <c r="AQ612" s="164">
        <f t="shared" si="196"/>
        <v>-8081.0269765492412</v>
      </c>
      <c r="AR612" s="164">
        <f t="shared" si="205"/>
        <v>-2808.2454092123207</v>
      </c>
      <c r="AS612" s="164">
        <f t="shared" si="206"/>
        <v>11645.933014354068</v>
      </c>
      <c r="AT612" s="164">
        <f t="shared" si="197"/>
        <v>11645.933014354068</v>
      </c>
      <c r="AU612" s="152"/>
      <c r="AV612" s="147">
        <f>'Deterministic Reserve'!BC612</f>
        <v>8.770278158676523E-6</v>
      </c>
      <c r="AW612" s="164">
        <f t="shared" si="198"/>
        <v>11645.933014354068</v>
      </c>
      <c r="AX612" s="164">
        <f t="shared" si="199"/>
        <v>0.10213807195319932</v>
      </c>
      <c r="AY612" s="152"/>
    </row>
    <row r="613" spans="1:51" s="150" customFormat="1" x14ac:dyDescent="0.25">
      <c r="A613" s="150">
        <f t="shared" si="207"/>
        <v>609</v>
      </c>
      <c r="B613" s="150">
        <f t="shared" si="208"/>
        <v>51</v>
      </c>
      <c r="C613" s="150">
        <f t="shared" si="209"/>
        <v>9</v>
      </c>
      <c r="D613" s="150">
        <f>IF(E613="","",Input!$C$4+B613-1)</f>
        <v>95</v>
      </c>
      <c r="E613" s="150">
        <f>IF(OR(AND(C612=12,D612=Input!$C$6),E612=""),"",1)</f>
        <v>1</v>
      </c>
      <c r="F613" s="150">
        <f>IF(E613="","",Input!$C$8+B613-1)</f>
        <v>2068</v>
      </c>
      <c r="G613" s="151">
        <f>IF(E613="","",MAX(0,Input!$C$9-B613))</f>
        <v>0</v>
      </c>
      <c r="H613" s="152">
        <f>IF(E613="","",Input!$C$3)</f>
        <v>100000</v>
      </c>
      <c r="I613" s="153">
        <f>IF(E613="","",HLOOKUP($B613,Input!$C$13:$BT$14,2))</f>
        <v>596.33000000000004</v>
      </c>
      <c r="J613" s="154"/>
      <c r="K613" s="155">
        <f>IF($E613="","",Input!$C$57)</f>
        <v>4.4999999999999998E-2</v>
      </c>
      <c r="L613" s="155">
        <f t="shared" si="200"/>
        <v>3.6748094004368514E-3</v>
      </c>
      <c r="M613" s="147">
        <f>IF($E613="","",VLOOKUP(IF($B613&lt;=Input!$C$7,$B613,26),'Mortality Tables'!$A$72:$CA$97,IF($B613&lt;=Input!$C$7+1,Input!$C$4-16,$D613-Input!$C$7-16),0)/1000)</f>
        <v>0.24340000000000001</v>
      </c>
      <c r="N613" s="147">
        <f t="shared" si="189"/>
        <v>2.2975333981154589E-2</v>
      </c>
      <c r="O613" s="157">
        <f>IF($E613="","",IF($C613=12,IF($B613&lt;Input!$C$9,Input!$C$54,IF($B613=Input!$C$9,Input!$C$55,Input!$C$56)),0%))</f>
        <v>0</v>
      </c>
      <c r="P613" s="167">
        <f>IF($E613="","",IF($B613=1,Input!$C$59,IF($B613&lt;6,Input!$C$60,0%)))</f>
        <v>0</v>
      </c>
      <c r="Q613" s="162">
        <f>IF($E613="","",Input!$C$58)</f>
        <v>2.5</v>
      </c>
      <c r="R613" s="156">
        <f t="shared" si="201"/>
        <v>0.97702466601884541</v>
      </c>
      <c r="S613" s="154">
        <f t="shared" si="190"/>
        <v>2.0917665132025179E-4</v>
      </c>
      <c r="T613" s="152"/>
      <c r="U613" s="150">
        <f t="shared" si="202"/>
        <v>0</v>
      </c>
      <c r="V613" s="150">
        <f t="shared" si="203"/>
        <v>0</v>
      </c>
      <c r="W613" s="168">
        <f t="shared" si="204"/>
        <v>0</v>
      </c>
      <c r="X613" s="163">
        <f t="shared" si="191"/>
        <v>2297.533398115459</v>
      </c>
      <c r="Y613" s="152"/>
      <c r="Z613" s="164">
        <f>IF(AND($C612=12,$D612=Input!$C$6),0,IF($E613="","",V613+Z614/(1+L613)*R613))</f>
        <v>146941.80647313604</v>
      </c>
      <c r="AA613" s="164">
        <f>IF(OR($M613=1,AND($C612=12,$D612=Input!$C$6)),0,IF($E613="","",W613+(X613+AA614*$R613)/(1+$L613)))</f>
        <v>67532.312282973973</v>
      </c>
      <c r="AB613" s="160">
        <f t="shared" si="192"/>
        <v>0.825720328500681</v>
      </c>
      <c r="AC613" s="164">
        <f t="shared" si="193"/>
        <v>0</v>
      </c>
      <c r="AD613" s="164">
        <f>IF(AND($C612=12,$D612=Input!$C$6),0,IF($E613="","",$AC613+AD614/(1+$L613)*$R613))</f>
        <v>121332.83671148133</v>
      </c>
      <c r="AE613" s="152"/>
      <c r="AF613" s="164">
        <f>IF(AND($C612=12,$D612=Input!$C$6),0,IF($E613="","",IF($B613&gt;Input!$C$9,$AC613,0)+AF614/(1+$L613)*$R613))</f>
        <v>121332.83671148133</v>
      </c>
      <c r="AG613" s="164">
        <f>IF(AND($C612=12,$D612=Input!$C$6),0,IF($E613="","",(IF($B613&gt;Input!$C$9,$X613,0)+AG614)/(1+$L613)*$R613))</f>
        <v>65001.868179918929</v>
      </c>
      <c r="AH613" s="160">
        <f t="shared" si="194"/>
        <v>2.0950137211446997</v>
      </c>
      <c r="AI613" s="160">
        <f>IF($E613="","",MIN(Input!$C$61/AH613,1))</f>
        <v>0.64438718771845094</v>
      </c>
      <c r="AJ613" s="152"/>
      <c r="AK613" s="164">
        <f>IF(AND($C612=12,$D612=Input!$C$6),0,IF($E613="","",IF($B613&gt;Input!$C$9,$AC613*AI613,0)+AK614/(1+$L613)*$R613))</f>
        <v>78185.32542641343</v>
      </c>
      <c r="AL613" s="164">
        <f>IF(AND($C612=12,$D612=Input!$C$6),0,IF($E613="","",IF($B613&gt;Input!$C$9,0,$AC613)+AL614/(1+$L613)*$R613))</f>
        <v>0</v>
      </c>
      <c r="AM613" s="160">
        <f t="shared" si="195"/>
        <v>1.1382936520186004</v>
      </c>
      <c r="AN613" s="164">
        <f>IF($E613="","",IF($B613&gt;Input!$C$9,$AI613*$AC613,$AM613*$AC613))</f>
        <v>0</v>
      </c>
      <c r="AO613" s="164">
        <f>IF(AND($C612=12,$D612=Input!$C$6),0,IF($E613="","",$AN613+AO614/(1+$L613)*$R613))</f>
        <v>78185.32542641343</v>
      </c>
      <c r="AP613" s="152"/>
      <c r="AQ613" s="164">
        <f t="shared" si="196"/>
        <v>-10653.013143439457</v>
      </c>
      <c r="AR613" s="164">
        <f t="shared" si="205"/>
        <v>-2808.2454092123207</v>
      </c>
      <c r="AS613" s="164">
        <f t="shared" si="206"/>
        <v>11645.933014354068</v>
      </c>
      <c r="AT613" s="164">
        <f t="shared" si="197"/>
        <v>11645.933014354068</v>
      </c>
      <c r="AU613" s="152"/>
      <c r="AV613" s="147">
        <f>'Deterministic Reserve'!BC613</f>
        <v>8.251152007584274E-6</v>
      </c>
      <c r="AW613" s="164">
        <f t="shared" si="198"/>
        <v>11645.933014354068</v>
      </c>
      <c r="AX613" s="164">
        <f t="shared" si="199"/>
        <v>9.6092363571579548E-2</v>
      </c>
      <c r="AY613" s="152"/>
    </row>
    <row r="614" spans="1:51" s="150" customFormat="1" x14ac:dyDescent="0.25">
      <c r="A614" s="150">
        <f t="shared" si="207"/>
        <v>610</v>
      </c>
      <c r="B614" s="150">
        <f t="shared" si="208"/>
        <v>51</v>
      </c>
      <c r="C614" s="150">
        <f t="shared" si="209"/>
        <v>10</v>
      </c>
      <c r="D614" s="150">
        <f>IF(E614="","",Input!$C$4+B614-1)</f>
        <v>95</v>
      </c>
      <c r="E614" s="150">
        <f>IF(OR(AND(C613=12,D613=Input!$C$6),E613=""),"",1)</f>
        <v>1</v>
      </c>
      <c r="F614" s="150">
        <f>IF(E614="","",Input!$C$8+B614-1)</f>
        <v>2068</v>
      </c>
      <c r="G614" s="151">
        <f>IF(E614="","",MAX(0,Input!$C$9-B614))</f>
        <v>0</v>
      </c>
      <c r="H614" s="152">
        <f>IF(E614="","",Input!$C$3)</f>
        <v>100000</v>
      </c>
      <c r="I614" s="153">
        <f>IF(E614="","",HLOOKUP($B614,Input!$C$13:$BT$14,2))</f>
        <v>596.33000000000004</v>
      </c>
      <c r="J614" s="154"/>
      <c r="K614" s="155">
        <f>IF($E614="","",Input!$C$57)</f>
        <v>4.4999999999999998E-2</v>
      </c>
      <c r="L614" s="155">
        <f t="shared" si="200"/>
        <v>3.6748094004368514E-3</v>
      </c>
      <c r="M614" s="147">
        <f>IF($E614="","",VLOOKUP(IF($B614&lt;=Input!$C$7,$B614,26),'Mortality Tables'!$A$72:$CA$97,IF($B614&lt;=Input!$C$7+1,Input!$C$4-16,$D614-Input!$C$7-16),0)/1000)</f>
        <v>0.24340000000000001</v>
      </c>
      <c r="N614" s="147">
        <f t="shared" si="189"/>
        <v>2.2975333981154589E-2</v>
      </c>
      <c r="O614" s="157">
        <f>IF($E614="","",IF($C614=12,IF($B614&lt;Input!$C$9,Input!$C$54,IF($B614=Input!$C$9,Input!$C$55,Input!$C$56)),0%))</f>
        <v>0</v>
      </c>
      <c r="P614" s="167">
        <f>IF($E614="","",IF($B614=1,Input!$C$59,IF($B614&lt;6,Input!$C$60,0%)))</f>
        <v>0</v>
      </c>
      <c r="Q614" s="162">
        <f>IF($E614="","",Input!$C$58)</f>
        <v>2.5</v>
      </c>
      <c r="R614" s="156">
        <f t="shared" si="201"/>
        <v>0.97702466601884541</v>
      </c>
      <c r="S614" s="154">
        <f t="shared" si="190"/>
        <v>2.0437074789510947E-4</v>
      </c>
      <c r="T614" s="152"/>
      <c r="U614" s="150">
        <f t="shared" si="202"/>
        <v>0</v>
      </c>
      <c r="V614" s="150">
        <f t="shared" si="203"/>
        <v>0</v>
      </c>
      <c r="W614" s="168">
        <f t="shared" si="204"/>
        <v>0</v>
      </c>
      <c r="X614" s="163">
        <f t="shared" si="191"/>
        <v>2297.533398115459</v>
      </c>
      <c r="Y614" s="152"/>
      <c r="Z614" s="164">
        <f>IF(AND($C613=12,$D613=Input!$C$6),0,IF($E614="","",V614+Z615/(1+L614)*R614))</f>
        <v>150949.91430035807</v>
      </c>
      <c r="AA614" s="164">
        <f>IF(OR($M614=1,AND($C613=12,$D613=Input!$C$6)),0,IF($E614="","",W614+(X614+AA615*$R614)/(1+$L614)))</f>
        <v>67022.818909677517</v>
      </c>
      <c r="AB614" s="160">
        <f t="shared" si="192"/>
        <v>0.825720328500681</v>
      </c>
      <c r="AC614" s="164">
        <f t="shared" si="193"/>
        <v>0</v>
      </c>
      <c r="AD614" s="164">
        <f>IF(AND($C613=12,$D613=Input!$C$6),0,IF($E614="","",$AC614+AD615/(1+$L614)*$R614))</f>
        <v>124642.41282324126</v>
      </c>
      <c r="AE614" s="152"/>
      <c r="AF614" s="164">
        <f>IF(AND($C613=12,$D613=Input!$C$6),0,IF($E614="","",IF($B614&gt;Input!$C$9,$AC614,0)+AF615/(1+$L614)*$R614))</f>
        <v>124642.41282324126</v>
      </c>
      <c r="AG614" s="164">
        <f>IF(AND($C613=12,$D613=Input!$C$6),0,IF($E614="","",(IF($B614&gt;Input!$C$9,$X614,0)+AG615)/(1+$L614)*$R614))</f>
        <v>64477.380199505074</v>
      </c>
      <c r="AH614" s="160">
        <f t="shared" si="194"/>
        <v>2.0950137211446997</v>
      </c>
      <c r="AI614" s="160">
        <f>IF($E614="","",MIN(Input!$C$61/AH614,1))</f>
        <v>0.64438718771845094</v>
      </c>
      <c r="AJ614" s="152"/>
      <c r="AK614" s="164">
        <f>IF(AND($C613=12,$D613=Input!$C$6),0,IF($E614="","",IF($B614&gt;Input!$C$9,$AC614*AI614,0)+AK615/(1+$L614)*$R614))</f>
        <v>80317.973869610578</v>
      </c>
      <c r="AL614" s="164">
        <f>IF(AND($C613=12,$D613=Input!$C$6),0,IF($E614="","",IF($B614&gt;Input!$C$9,0,$AC614)+AL615/(1+$L614)*$R614))</f>
        <v>0</v>
      </c>
      <c r="AM614" s="160">
        <f t="shared" si="195"/>
        <v>1.1382936520186004</v>
      </c>
      <c r="AN614" s="164">
        <f>IF($E614="","",IF($B614&gt;Input!$C$9,$AI614*$AC614,$AM614*$AC614))</f>
        <v>0</v>
      </c>
      <c r="AO614" s="164">
        <f>IF(AND($C613=12,$D613=Input!$C$6),0,IF($E614="","",$AN614+AO615/(1+$L614)*$R614))</f>
        <v>80317.973869610578</v>
      </c>
      <c r="AP614" s="152"/>
      <c r="AQ614" s="164">
        <f t="shared" si="196"/>
        <v>-13295.154959933061</v>
      </c>
      <c r="AR614" s="164">
        <f t="shared" si="205"/>
        <v>-2808.2454092123207</v>
      </c>
      <c r="AS614" s="164">
        <f t="shared" si="206"/>
        <v>11645.933014354068</v>
      </c>
      <c r="AT614" s="164">
        <f t="shared" si="197"/>
        <v>11645.933014354068</v>
      </c>
      <c r="AU614" s="152"/>
      <c r="AV614" s="147">
        <f>'Deterministic Reserve'!BC614</f>
        <v>7.7627537257650471E-6</v>
      </c>
      <c r="AW614" s="164">
        <f t="shared" si="198"/>
        <v>11645.933014354068</v>
      </c>
      <c r="AX614" s="164">
        <f t="shared" si="199"/>
        <v>9.0404509897187207E-2</v>
      </c>
      <c r="AY614" s="152"/>
    </row>
    <row r="615" spans="1:51" s="150" customFormat="1" x14ac:dyDescent="0.25">
      <c r="A615" s="150">
        <f t="shared" si="207"/>
        <v>611</v>
      </c>
      <c r="B615" s="150">
        <f t="shared" si="208"/>
        <v>51</v>
      </c>
      <c r="C615" s="150">
        <f t="shared" si="209"/>
        <v>11</v>
      </c>
      <c r="D615" s="150">
        <f>IF(E615="","",Input!$C$4+B615-1)</f>
        <v>95</v>
      </c>
      <c r="E615" s="150">
        <f>IF(OR(AND(C614=12,D614=Input!$C$6),E614=""),"",1)</f>
        <v>1</v>
      </c>
      <c r="F615" s="150">
        <f>IF(E615="","",Input!$C$8+B615-1)</f>
        <v>2068</v>
      </c>
      <c r="G615" s="151">
        <f>IF(E615="","",MAX(0,Input!$C$9-B615))</f>
        <v>0</v>
      </c>
      <c r="H615" s="152">
        <f>IF(E615="","",Input!$C$3)</f>
        <v>100000</v>
      </c>
      <c r="I615" s="153">
        <f>IF(E615="","",HLOOKUP($B615,Input!$C$13:$BT$14,2))</f>
        <v>596.33000000000004</v>
      </c>
      <c r="J615" s="154"/>
      <c r="K615" s="155">
        <f>IF($E615="","",Input!$C$57)</f>
        <v>4.4999999999999998E-2</v>
      </c>
      <c r="L615" s="155">
        <f t="shared" si="200"/>
        <v>3.6748094004368514E-3</v>
      </c>
      <c r="M615" s="147">
        <f>IF($E615="","",VLOOKUP(IF($B615&lt;=Input!$C$7,$B615,26),'Mortality Tables'!$A$72:$CA$97,IF($B615&lt;=Input!$C$7+1,Input!$C$4-16,$D615-Input!$C$7-16),0)/1000)</f>
        <v>0.24340000000000001</v>
      </c>
      <c r="N615" s="147">
        <f t="shared" si="189"/>
        <v>2.2975333981154589E-2</v>
      </c>
      <c r="O615" s="157">
        <f>IF($E615="","",IF($C615=12,IF($B615&lt;Input!$C$9,Input!$C$54,IF($B615=Input!$C$9,Input!$C$55,Input!$C$56)),0%))</f>
        <v>0</v>
      </c>
      <c r="P615" s="167">
        <f>IF($E615="","",IF($B615=1,Input!$C$59,IF($B615&lt;6,Input!$C$60,0%)))</f>
        <v>0</v>
      </c>
      <c r="Q615" s="162">
        <f>IF($E615="","",Input!$C$58)</f>
        <v>2.5</v>
      </c>
      <c r="R615" s="156">
        <f t="shared" si="201"/>
        <v>0.97702466601884541</v>
      </c>
      <c r="S615" s="154">
        <f t="shared" si="190"/>
        <v>1.9967526170624098E-4</v>
      </c>
      <c r="T615" s="152"/>
      <c r="U615" s="150">
        <f t="shared" si="202"/>
        <v>0</v>
      </c>
      <c r="V615" s="150">
        <f t="shared" si="203"/>
        <v>0</v>
      </c>
      <c r="W615" s="168">
        <f t="shared" si="204"/>
        <v>0</v>
      </c>
      <c r="X615" s="163">
        <f t="shared" si="191"/>
        <v>2297.533398115459</v>
      </c>
      <c r="Y615" s="152"/>
      <c r="Z615" s="164">
        <f>IF(AND($C614=12,$D614=Input!$C$6),0,IF($E615="","",V615+Z616/(1+L615)*R615))</f>
        <v>155067.35063483223</v>
      </c>
      <c r="AA615" s="164">
        <f>IF(OR($M615=1,AND($C614=12,$D614=Input!$C$6)),0,IF($E615="","",W615+(X615+AA616*$R615)/(1+$L615)))</f>
        <v>66499.428168256607</v>
      </c>
      <c r="AB615" s="160">
        <f t="shared" si="192"/>
        <v>0.825720328500681</v>
      </c>
      <c r="AC615" s="164">
        <f t="shared" si="193"/>
        <v>0</v>
      </c>
      <c r="AD615" s="164">
        <f>IF(AND($C614=12,$D614=Input!$C$6),0,IF($E615="","",$AC615+AD616/(1+$L615)*$R615))</f>
        <v>128042.26370592391</v>
      </c>
      <c r="AE615" s="152"/>
      <c r="AF615" s="164">
        <f>IF(AND($C614=12,$D614=Input!$C$6),0,IF($E615="","",IF($B615&gt;Input!$C$9,$AC615,0)+AF616/(1+$L615)*$R615))</f>
        <v>128042.26370592391</v>
      </c>
      <c r="AG615" s="164">
        <f>IF(AND($C614=12,$D614=Input!$C$6),0,IF($E615="","",(IF($B615&gt;Input!$C$9,$X615,0)+AG616)/(1+$L615)*$R615))</f>
        <v>63938.58584549994</v>
      </c>
      <c r="AH615" s="160">
        <f t="shared" si="194"/>
        <v>2.0950137211446997</v>
      </c>
      <c r="AI615" s="160">
        <f>IF($E615="","",MIN(Input!$C$61/AH615,1))</f>
        <v>0.64438718771845094</v>
      </c>
      <c r="AJ615" s="152"/>
      <c r="AK615" s="164">
        <f>IF(AND($C614=12,$D614=Input!$C$6),0,IF($E615="","",IF($B615&gt;Input!$C$9,$AC615*AI615,0)+AK616/(1+$L615)*$R615))</f>
        <v>82508.794218564537</v>
      </c>
      <c r="AL615" s="164">
        <f>IF(AND($C614=12,$D614=Input!$C$6),0,IF($E615="","",IF($B615&gt;Input!$C$9,0,$AC615)+AL616/(1+$L615)*$R615))</f>
        <v>0</v>
      </c>
      <c r="AM615" s="160">
        <f t="shared" si="195"/>
        <v>1.1382936520186004</v>
      </c>
      <c r="AN615" s="164">
        <f>IF($E615="","",IF($B615&gt;Input!$C$9,$AI615*$AC615,$AM615*$AC615))</f>
        <v>0</v>
      </c>
      <c r="AO615" s="164">
        <f>IF(AND($C614=12,$D614=Input!$C$6),0,IF($E615="","",$AN615+AO616/(1+$L615)*$R615))</f>
        <v>82508.794218564537</v>
      </c>
      <c r="AP615" s="152"/>
      <c r="AQ615" s="164">
        <f t="shared" si="196"/>
        <v>-16009.36605030793</v>
      </c>
      <c r="AR615" s="164">
        <f t="shared" si="205"/>
        <v>-2808.2454092123207</v>
      </c>
      <c r="AS615" s="164">
        <f t="shared" si="206"/>
        <v>11645.933014354068</v>
      </c>
      <c r="AT615" s="164">
        <f t="shared" si="197"/>
        <v>11645.933014354068</v>
      </c>
      <c r="AU615" s="152"/>
      <c r="AV615" s="147">
        <f>'Deterministic Reserve'!BC615</f>
        <v>7.303264483733805E-6</v>
      </c>
      <c r="AW615" s="164">
        <f t="shared" si="198"/>
        <v>11645.933014354068</v>
      </c>
      <c r="AX615" s="164">
        <f t="shared" si="199"/>
        <v>8.505332896367504E-2</v>
      </c>
      <c r="AY615" s="152"/>
    </row>
    <row r="616" spans="1:51" s="150" customFormat="1" x14ac:dyDescent="0.25">
      <c r="A616" s="150">
        <f t="shared" si="207"/>
        <v>612</v>
      </c>
      <c r="B616" s="150">
        <f t="shared" si="208"/>
        <v>51</v>
      </c>
      <c r="C616" s="150">
        <f t="shared" si="209"/>
        <v>12</v>
      </c>
      <c r="D616" s="150">
        <f>IF(E616="","",Input!$C$4+B616-1)</f>
        <v>95</v>
      </c>
      <c r="E616" s="150">
        <f>IF(OR(AND(C615=12,D615=Input!$C$6),E615=""),"",1)</f>
        <v>1</v>
      </c>
      <c r="F616" s="150">
        <f>IF(E616="","",Input!$C$8+B616-1)</f>
        <v>2068</v>
      </c>
      <c r="G616" s="151">
        <f>IF(E616="","",MAX(0,Input!$C$9-B616))</f>
        <v>0</v>
      </c>
      <c r="H616" s="152">
        <f>IF(E616="","",Input!$C$3)</f>
        <v>100000</v>
      </c>
      <c r="I616" s="153">
        <f>IF(E616="","",HLOOKUP($B616,Input!$C$13:$BT$14,2))</f>
        <v>596.33000000000004</v>
      </c>
      <c r="J616" s="154"/>
      <c r="K616" s="155">
        <f>IF($E616="","",Input!$C$57)</f>
        <v>4.4999999999999998E-2</v>
      </c>
      <c r="L616" s="155">
        <f t="shared" si="200"/>
        <v>3.6748094004368514E-3</v>
      </c>
      <c r="M616" s="147">
        <f>IF($E616="","",VLOOKUP(IF($B616&lt;=Input!$C$7,$B616,26),'Mortality Tables'!$A$72:$CA$97,IF($B616&lt;=Input!$C$7+1,Input!$C$4-16,$D616-Input!$C$7-16),0)/1000)</f>
        <v>0.24340000000000001</v>
      </c>
      <c r="N616" s="147">
        <f t="shared" si="189"/>
        <v>2.2975333981154589E-2</v>
      </c>
      <c r="O616" s="157">
        <f>IF($E616="","",IF($C616=12,IF($B616&lt;Input!$C$9,Input!$C$54,IF($B616=Input!$C$9,Input!$C$55,Input!$C$56)),0%))</f>
        <v>0.1</v>
      </c>
      <c r="P616" s="167">
        <f>IF($E616="","",IF($B616=1,Input!$C$59,IF($B616&lt;6,Input!$C$60,0%)))</f>
        <v>0</v>
      </c>
      <c r="Q616" s="162">
        <f>IF($E616="","",Input!$C$58)</f>
        <v>2.5</v>
      </c>
      <c r="R616" s="156">
        <f t="shared" si="201"/>
        <v>0.87702466601884543</v>
      </c>
      <c r="S616" s="154">
        <f t="shared" si="190"/>
        <v>1.7512012971014154E-4</v>
      </c>
      <c r="T616" s="152"/>
      <c r="U616" s="150">
        <f t="shared" si="202"/>
        <v>0</v>
      </c>
      <c r="V616" s="150">
        <f t="shared" si="203"/>
        <v>0</v>
      </c>
      <c r="W616" s="168">
        <f t="shared" si="204"/>
        <v>0</v>
      </c>
      <c r="X616" s="163">
        <f t="shared" si="191"/>
        <v>2297.533398115459</v>
      </c>
      <c r="Y616" s="152"/>
      <c r="Z616" s="164">
        <f>IF(AND($C615=12,$D615=Input!$C$6),0,IF($E616="","",V616+Z617/(1+L616)*R616))</f>
        <v>159297.09761252222</v>
      </c>
      <c r="AA616" s="164">
        <f>IF(OR($M616=1,AND($C615=12,$D615=Input!$C$6)),0,IF($E616="","",W616+(X616+AA617*$R616)/(1+$L616)))</f>
        <v>65961.760982454522</v>
      </c>
      <c r="AB616" s="160">
        <f t="shared" si="192"/>
        <v>0.825720328500681</v>
      </c>
      <c r="AC616" s="164">
        <f t="shared" si="193"/>
        <v>0</v>
      </c>
      <c r="AD616" s="164">
        <f>IF(AND($C615=12,$D615=Input!$C$6),0,IF($E616="","",$AC616+AD617/(1+$L616)*$R616))</f>
        <v>131534.85176981686</v>
      </c>
      <c r="AE616" s="152"/>
      <c r="AF616" s="164">
        <f>IF(AND($C615=12,$D615=Input!$C$6),0,IF($E616="","",IF($B616&gt;Input!$C$9,$AC616,0)+AF617/(1+$L616)*$R616))</f>
        <v>131534.85176981686</v>
      </c>
      <c r="AG616" s="164">
        <f>IF(AND($C615=12,$D615=Input!$C$6),0,IF($E616="","",(IF($B616&gt;Input!$C$9,$X616,0)+AG617)/(1+$L616)*$R616))</f>
        <v>63385.094885270999</v>
      </c>
      <c r="AH616" s="160">
        <f t="shared" si="194"/>
        <v>2.0950137211446997</v>
      </c>
      <c r="AI616" s="160">
        <f>IF($E616="","",MIN(Input!$C$61/AH616,1))</f>
        <v>0.64438718771845094</v>
      </c>
      <c r="AJ616" s="152"/>
      <c r="AK616" s="164">
        <f>IF(AND($C615=12,$D615=Input!$C$6),0,IF($E616="","",IF($B616&gt;Input!$C$9,$AC616*AI616,0)+AK617/(1+$L616)*$R616))</f>
        <v>84759.373218915542</v>
      </c>
      <c r="AL616" s="164">
        <f>IF(AND($C615=12,$D615=Input!$C$6),0,IF($E616="","",IF($B616&gt;Input!$C$9,0,$AC616)+AL617/(1+$L616)*$R616))</f>
        <v>0</v>
      </c>
      <c r="AM616" s="160">
        <f t="shared" si="195"/>
        <v>1.1382936520186004</v>
      </c>
      <c r="AN616" s="164">
        <f>IF($E616="","",IF($B616&gt;Input!$C$9,$AI616*$AC616,$AM616*$AC616))</f>
        <v>0</v>
      </c>
      <c r="AO616" s="164">
        <f>IF(AND($C615=12,$D615=Input!$C$6),0,IF($E616="","",$AN616+AO617/(1+$L616)*$R616))</f>
        <v>84759.373218915542</v>
      </c>
      <c r="AP616" s="152"/>
      <c r="AQ616" s="164">
        <f t="shared" si="196"/>
        <v>-18797.61223646102</v>
      </c>
      <c r="AR616" s="164">
        <f t="shared" si="205"/>
        <v>-2808.2454092123207</v>
      </c>
      <c r="AS616" s="164">
        <f t="shared" si="206"/>
        <v>11645.933014354068</v>
      </c>
      <c r="AT616" s="164">
        <f t="shared" si="197"/>
        <v>11645.933014354068</v>
      </c>
      <c r="AU616" s="152"/>
      <c r="AV616" s="147">
        <f>'Deterministic Reserve'!BC616</f>
        <v>6.140646662925598E-6</v>
      </c>
      <c r="AW616" s="164">
        <f t="shared" si="198"/>
        <v>11645.933014354068</v>
      </c>
      <c r="AX616" s="164">
        <f t="shared" si="199"/>
        <v>7.1513559701248355E-2</v>
      </c>
      <c r="AY616" s="152"/>
    </row>
    <row r="617" spans="1:51" s="150" customFormat="1" x14ac:dyDescent="0.25">
      <c r="A617" s="150">
        <f t="shared" si="207"/>
        <v>613</v>
      </c>
      <c r="B617" s="150">
        <f t="shared" si="208"/>
        <v>52</v>
      </c>
      <c r="C617" s="150">
        <f t="shared" si="209"/>
        <v>1</v>
      </c>
      <c r="D617" s="150">
        <f>IF(E617="","",Input!$C$4+B617-1)</f>
        <v>96</v>
      </c>
      <c r="E617" s="150">
        <f>IF(OR(AND(C616=12,D616=Input!$C$6),E616=""),"",1)</f>
        <v>1</v>
      </c>
      <c r="F617" s="150">
        <f>IF(E617="","",Input!$C$8+B617-1)</f>
        <v>2069</v>
      </c>
      <c r="G617" s="151">
        <f>IF(E617="","",MAX(0,Input!$C$9-B617))</f>
        <v>0</v>
      </c>
      <c r="H617" s="152">
        <f>IF(E617="","",Input!$C$3)</f>
        <v>100000</v>
      </c>
      <c r="I617" s="153">
        <f>IF(E617="","",HLOOKUP($B617,Input!$C$13:$BT$14,2))</f>
        <v>642.95350000000008</v>
      </c>
      <c r="J617" s="154"/>
      <c r="K617" s="155">
        <f>IF($E617="","",Input!$C$57)</f>
        <v>4.4999999999999998E-2</v>
      </c>
      <c r="L617" s="155">
        <f t="shared" si="200"/>
        <v>3.6748094004368514E-3</v>
      </c>
      <c r="M617" s="147">
        <f>IF($E617="","",VLOOKUP(IF($B617&lt;=Input!$C$7,$B617,26),'Mortality Tables'!$A$72:$CA$97,IF($B617&lt;=Input!$C$7+1,Input!$C$4-16,$D617-Input!$C$7-16),0)/1000)</f>
        <v>0.26243</v>
      </c>
      <c r="N617" s="147">
        <f t="shared" si="189"/>
        <v>2.5047171325656259E-2</v>
      </c>
      <c r="O617" s="157">
        <f>IF($E617="","",IF($C617=12,IF($B617&lt;Input!$C$9,Input!$C$54,IF($B617=Input!$C$9,Input!$C$55,Input!$C$56)),0%))</f>
        <v>0</v>
      </c>
      <c r="P617" s="167">
        <f>IF($E617="","",IF($B617=1,Input!$C$59,IF($B617&lt;6,Input!$C$60,0%)))</f>
        <v>0</v>
      </c>
      <c r="Q617" s="162">
        <f>IF($E617="","",Input!$C$58)</f>
        <v>2.5</v>
      </c>
      <c r="R617" s="156">
        <f t="shared" si="201"/>
        <v>0.97495282867434374</v>
      </c>
      <c r="S617" s="154">
        <f t="shared" si="190"/>
        <v>1.7073386581872049E-4</v>
      </c>
      <c r="T617" s="152"/>
      <c r="U617" s="150">
        <f t="shared" si="202"/>
        <v>64295.350000000006</v>
      </c>
      <c r="V617" s="150">
        <f t="shared" si="203"/>
        <v>64295.350000000006</v>
      </c>
      <c r="W617" s="168">
        <f t="shared" si="204"/>
        <v>0</v>
      </c>
      <c r="X617" s="163">
        <f t="shared" si="191"/>
        <v>2504.7171325656259</v>
      </c>
      <c r="Y617" s="152"/>
      <c r="Z617" s="164">
        <f>IF(AND($C616=12,$D616=Input!$C$6),0,IF($E617="","",V617+Z618/(1+L617)*R617))</f>
        <v>182301.01190888911</v>
      </c>
      <c r="AA617" s="164">
        <f>IF(OR($M617=1,AND($C616=12,$D616=Input!$C$6)),0,IF($E617="","",W617+(X617+AA618*$R617)/(1+$L617)))</f>
        <v>72867.533787577122</v>
      </c>
      <c r="AB617" s="160">
        <f t="shared" si="192"/>
        <v>0.825720328500681</v>
      </c>
      <c r="AC617" s="164">
        <f t="shared" si="193"/>
        <v>53089.977523066264</v>
      </c>
      <c r="AD617" s="164">
        <f>IF(AND($C616=12,$D616=Input!$C$6),0,IF($E617="","",$AC617+AD618/(1+$L617)*$R617))</f>
        <v>150529.65143941442</v>
      </c>
      <c r="AE617" s="152"/>
      <c r="AF617" s="164">
        <f>IF(AND($C616=12,$D616=Input!$C$6),0,IF($E617="","",IF($B617&gt;Input!$C$9,$AC617,0)+AF618/(1+$L617)*$R617))</f>
        <v>150529.65143941442</v>
      </c>
      <c r="AG617" s="164">
        <f>IF(AND($C616=12,$D616=Input!$C$6),0,IF($E617="","",(IF($B617&gt;Input!$C$9,$X617,0)+AG618)/(1+$L617)*$R617))</f>
        <v>70240.931587812272</v>
      </c>
      <c r="AH617" s="160">
        <f t="shared" si="194"/>
        <v>2.0950137211446997</v>
      </c>
      <c r="AI617" s="160">
        <f>IF($E617="","",MIN(Input!$C$61/AH617,1))</f>
        <v>0.64438718771845094</v>
      </c>
      <c r="AJ617" s="152"/>
      <c r="AK617" s="164">
        <f>IF(AND($C616=12,$D616=Input!$C$6),0,IF($E617="","",IF($B617&gt;Input!$C$9,$AC617*AI617,0)+AK618/(1+$L617)*$R617))</f>
        <v>96999.378759282859</v>
      </c>
      <c r="AL617" s="164">
        <f>IF(AND($C616=12,$D616=Input!$C$6),0,IF($E617="","",IF($B617&gt;Input!$C$9,0,$AC617)+AL618/(1+$L617)*$R617))</f>
        <v>0</v>
      </c>
      <c r="AM617" s="160">
        <f t="shared" si="195"/>
        <v>1.1382936520186004</v>
      </c>
      <c r="AN617" s="164">
        <f>IF($E617="","",IF($B617&gt;Input!$C$9,$AI617*$AC617,$AM617*$AC617))</f>
        <v>34210.501312124441</v>
      </c>
      <c r="AO617" s="164">
        <f>IF(AND($C616=12,$D616=Input!$C$6),0,IF($E617="","",$AN617+AO618/(1+$L617)*$R617))</f>
        <v>96999.378759282859</v>
      </c>
      <c r="AP617" s="152"/>
      <c r="AQ617" s="164">
        <f t="shared" si="196"/>
        <v>-24131.844971705737</v>
      </c>
      <c r="AR617" s="164">
        <f t="shared" si="205"/>
        <v>-1764.4999230554895</v>
      </c>
      <c r="AS617" s="164">
        <f t="shared" si="206"/>
        <v>12556.459330143542</v>
      </c>
      <c r="AT617" s="164">
        <f t="shared" si="197"/>
        <v>12556.459330143542</v>
      </c>
      <c r="AU617" s="152"/>
      <c r="AV617" s="147">
        <f>'Deterministic Reserve'!BC617</f>
        <v>5.7373548594336141E-6</v>
      </c>
      <c r="AW617" s="164">
        <f t="shared" si="198"/>
        <v>12556.459330143542</v>
      </c>
      <c r="AX617" s="164">
        <f t="shared" si="199"/>
        <v>7.2040862955079596E-2</v>
      </c>
      <c r="AY617" s="152"/>
    </row>
    <row r="618" spans="1:51" s="150" customFormat="1" x14ac:dyDescent="0.25">
      <c r="A618" s="150">
        <f t="shared" si="207"/>
        <v>614</v>
      </c>
      <c r="B618" s="150">
        <f t="shared" si="208"/>
        <v>52</v>
      </c>
      <c r="C618" s="150">
        <f t="shared" si="209"/>
        <v>2</v>
      </c>
      <c r="D618" s="150">
        <f>IF(E618="","",Input!$C$4+B618-1)</f>
        <v>96</v>
      </c>
      <c r="E618" s="150">
        <f>IF(OR(AND(C617=12,D617=Input!$C$6),E617=""),"",1)</f>
        <v>1</v>
      </c>
      <c r="F618" s="150">
        <f>IF(E618="","",Input!$C$8+B618-1)</f>
        <v>2069</v>
      </c>
      <c r="G618" s="151">
        <f>IF(E618="","",MAX(0,Input!$C$9-B618))</f>
        <v>0</v>
      </c>
      <c r="H618" s="152">
        <f>IF(E618="","",Input!$C$3)</f>
        <v>100000</v>
      </c>
      <c r="I618" s="153">
        <f>IF(E618="","",HLOOKUP($B618,Input!$C$13:$BT$14,2))</f>
        <v>642.95350000000008</v>
      </c>
      <c r="J618" s="154"/>
      <c r="K618" s="155">
        <f>IF($E618="","",Input!$C$57)</f>
        <v>4.4999999999999998E-2</v>
      </c>
      <c r="L618" s="155">
        <f t="shared" si="200"/>
        <v>3.6748094004368514E-3</v>
      </c>
      <c r="M618" s="147">
        <f>IF($E618="","",VLOOKUP(IF($B618&lt;=Input!$C$7,$B618,26),'Mortality Tables'!$A$72:$CA$97,IF($B618&lt;=Input!$C$7+1,Input!$C$4-16,$D618-Input!$C$7-16),0)/1000)</f>
        <v>0.26243</v>
      </c>
      <c r="N618" s="147">
        <f t="shared" si="189"/>
        <v>2.5047171325656259E-2</v>
      </c>
      <c r="O618" s="157">
        <f>IF($E618="","",IF($C618=12,IF($B618&lt;Input!$C$9,Input!$C$54,IF($B618=Input!$C$9,Input!$C$55,Input!$C$56)),0%))</f>
        <v>0</v>
      </c>
      <c r="P618" s="167">
        <f>IF($E618="","",IF($B618=1,Input!$C$59,IF($B618&lt;6,Input!$C$60,0%)))</f>
        <v>0</v>
      </c>
      <c r="Q618" s="162">
        <f>IF($E618="","",Input!$C$58)</f>
        <v>2.5</v>
      </c>
      <c r="R618" s="156">
        <f t="shared" si="201"/>
        <v>0.97495282867434374</v>
      </c>
      <c r="S618" s="154">
        <f t="shared" si="190"/>
        <v>1.664574654304674E-4</v>
      </c>
      <c r="T618" s="152"/>
      <c r="U618" s="150">
        <f t="shared" si="202"/>
        <v>0</v>
      </c>
      <c r="V618" s="150">
        <f t="shared" si="203"/>
        <v>0</v>
      </c>
      <c r="W618" s="168">
        <f t="shared" si="204"/>
        <v>0</v>
      </c>
      <c r="X618" s="163">
        <f t="shared" si="191"/>
        <v>2504.7171325656259</v>
      </c>
      <c r="Y618" s="152"/>
      <c r="Z618" s="164">
        <f>IF(AND($C617=12,$D617=Input!$C$6),0,IF($E618="","",V618+Z619/(1+L618)*R618))</f>
        <v>121482.09302148508</v>
      </c>
      <c r="AA618" s="164">
        <f>IF(OR($M618=1,AND($C617=12,$D617=Input!$C$6)),0,IF($E618="","",W618+(X618+AA619*$R618)/(1+$L618)))</f>
        <v>72445.136703893746</v>
      </c>
      <c r="AB618" s="160">
        <f t="shared" si="192"/>
        <v>0.825720328500681</v>
      </c>
      <c r="AC618" s="164">
        <f t="shared" si="193"/>
        <v>0</v>
      </c>
      <c r="AD618" s="164">
        <f>IF(AND($C617=12,$D617=Input!$C$6),0,IF($E618="","",$AC618+AD619/(1+$L618)*$R618))</f>
        <v>100310.23375665089</v>
      </c>
      <c r="AE618" s="152"/>
      <c r="AF618" s="164">
        <f>IF(AND($C617=12,$D617=Input!$C$6),0,IF($E618="","",IF($B618&gt;Input!$C$9,$AC618,0)+AF619/(1+$L618)*$R618))</f>
        <v>100310.23375665089</v>
      </c>
      <c r="AG618" s="164">
        <f>IF(AND($C617=12,$D617=Input!$C$6),0,IF($E618="","",(IF($B618&gt;Input!$C$9,$X618,0)+AG619)/(1+$L618)*$R618))</f>
        <v>69805.502962251776</v>
      </c>
      <c r="AH618" s="160">
        <f t="shared" si="194"/>
        <v>2.0950137211446997</v>
      </c>
      <c r="AI618" s="160">
        <f>IF($E618="","",MIN(Input!$C$61/AH618,1))</f>
        <v>0.64438718771845094</v>
      </c>
      <c r="AJ618" s="152"/>
      <c r="AK618" s="164">
        <f>IF(AND($C617=12,$D617=Input!$C$6),0,IF($E618="","",IF($B618&gt;Input!$C$9,$AC618*AI618,0)+AK619/(1+$L618)*$R618))</f>
        <v>64638.629429828638</v>
      </c>
      <c r="AL618" s="164">
        <f>IF(AND($C617=12,$D617=Input!$C$6),0,IF($E618="","",IF($B618&gt;Input!$C$9,0,$AC618)+AL619/(1+$L618)*$R618))</f>
        <v>0</v>
      </c>
      <c r="AM618" s="160">
        <f t="shared" si="195"/>
        <v>1.1382936520186004</v>
      </c>
      <c r="AN618" s="164">
        <f>IF($E618="","",IF($B618&gt;Input!$C$9,$AI618*$AC618,$AM618*$AC618))</f>
        <v>0</v>
      </c>
      <c r="AO618" s="164">
        <f>IF(AND($C617=12,$D617=Input!$C$6),0,IF($E618="","",$AN618+AO619/(1+$L618)*$R618))</f>
        <v>64638.629429828638</v>
      </c>
      <c r="AP618" s="152"/>
      <c r="AQ618" s="164">
        <f t="shared" si="196"/>
        <v>7806.5072740651085</v>
      </c>
      <c r="AR618" s="164">
        <f t="shared" si="205"/>
        <v>-1764.4999230554895</v>
      </c>
      <c r="AS618" s="164">
        <f t="shared" si="206"/>
        <v>12556.459330143542</v>
      </c>
      <c r="AT618" s="164">
        <f t="shared" si="197"/>
        <v>12556.459330143542</v>
      </c>
      <c r="AU618" s="152"/>
      <c r="AV618" s="147">
        <f>'Deterministic Reserve'!BC618</f>
        <v>5.3605495626064398E-6</v>
      </c>
      <c r="AW618" s="164">
        <f t="shared" si="198"/>
        <v>12556.459330143542</v>
      </c>
      <c r="AX618" s="164">
        <f t="shared" si="199"/>
        <v>6.7309522570086516E-2</v>
      </c>
      <c r="AY618" s="152"/>
    </row>
    <row r="619" spans="1:51" s="150" customFormat="1" x14ac:dyDescent="0.25">
      <c r="A619" s="150">
        <f t="shared" si="207"/>
        <v>615</v>
      </c>
      <c r="B619" s="150">
        <f t="shared" si="208"/>
        <v>52</v>
      </c>
      <c r="C619" s="150">
        <f t="shared" si="209"/>
        <v>3</v>
      </c>
      <c r="D619" s="150">
        <f>IF(E619="","",Input!$C$4+B619-1)</f>
        <v>96</v>
      </c>
      <c r="E619" s="150">
        <f>IF(OR(AND(C618=12,D618=Input!$C$6),E618=""),"",1)</f>
        <v>1</v>
      </c>
      <c r="F619" s="150">
        <f>IF(E619="","",Input!$C$8+B619-1)</f>
        <v>2069</v>
      </c>
      <c r="G619" s="151">
        <f>IF(E619="","",MAX(0,Input!$C$9-B619))</f>
        <v>0</v>
      </c>
      <c r="H619" s="152">
        <f>IF(E619="","",Input!$C$3)</f>
        <v>100000</v>
      </c>
      <c r="I619" s="153">
        <f>IF(E619="","",HLOOKUP($B619,Input!$C$13:$BT$14,2))</f>
        <v>642.95350000000008</v>
      </c>
      <c r="J619" s="154"/>
      <c r="K619" s="155">
        <f>IF($E619="","",Input!$C$57)</f>
        <v>4.4999999999999998E-2</v>
      </c>
      <c r="L619" s="155">
        <f t="shared" si="200"/>
        <v>3.6748094004368514E-3</v>
      </c>
      <c r="M619" s="147">
        <f>IF($E619="","",VLOOKUP(IF($B619&lt;=Input!$C$7,$B619,26),'Mortality Tables'!$A$72:$CA$97,IF($B619&lt;=Input!$C$7+1,Input!$C$4-16,$D619-Input!$C$7-16),0)/1000)</f>
        <v>0.26243</v>
      </c>
      <c r="N619" s="147">
        <f t="shared" si="189"/>
        <v>2.5047171325656259E-2</v>
      </c>
      <c r="O619" s="157">
        <f>IF($E619="","",IF($C619=12,IF($B619&lt;Input!$C$9,Input!$C$54,IF($B619=Input!$C$9,Input!$C$55,Input!$C$56)),0%))</f>
        <v>0</v>
      </c>
      <c r="P619" s="167">
        <f>IF($E619="","",IF($B619=1,Input!$C$59,IF($B619&lt;6,Input!$C$60,0%)))</f>
        <v>0</v>
      </c>
      <c r="Q619" s="162">
        <f>IF($E619="","",Input!$C$58)</f>
        <v>2.5</v>
      </c>
      <c r="R619" s="156">
        <f t="shared" si="201"/>
        <v>0.97495282867434374</v>
      </c>
      <c r="S619" s="154">
        <f t="shared" si="190"/>
        <v>1.6228817677539599E-4</v>
      </c>
      <c r="T619" s="152"/>
      <c r="U619" s="150">
        <f t="shared" si="202"/>
        <v>0</v>
      </c>
      <c r="V619" s="150">
        <f t="shared" si="203"/>
        <v>0</v>
      </c>
      <c r="W619" s="168">
        <f t="shared" si="204"/>
        <v>0</v>
      </c>
      <c r="X619" s="163">
        <f t="shared" si="191"/>
        <v>2504.7171325656259</v>
      </c>
      <c r="Y619" s="152"/>
      <c r="Z619" s="164">
        <f>IF(AND($C618=12,$D618=Input!$C$6),0,IF($E619="","",V619+Z620/(1+L619)*R619))</f>
        <v>125060.93933251416</v>
      </c>
      <c r="AA619" s="164">
        <f>IF(OR($M619=1,AND($C618=12,$D618=Input!$C$6)),0,IF($E619="","",W619+(X619+AA620*$R619)/(1+$L619)))</f>
        <v>72010.295858276993</v>
      </c>
      <c r="AB619" s="160">
        <f t="shared" si="192"/>
        <v>0.825720328500681</v>
      </c>
      <c r="AC619" s="164">
        <f t="shared" si="193"/>
        <v>0</v>
      </c>
      <c r="AD619" s="164">
        <f>IF(AND($C618=12,$D618=Input!$C$6),0,IF($E619="","",$AC619+AD620/(1+$L619)*$R619))</f>
        <v>103265.35990824728</v>
      </c>
      <c r="AE619" s="152"/>
      <c r="AF619" s="164">
        <f>IF(AND($C618=12,$D618=Input!$C$6),0,IF($E619="","",IF($B619&gt;Input!$C$9,$AC619,0)+AF620/(1+$L619)*$R619))</f>
        <v>103265.35990824728</v>
      </c>
      <c r="AG619" s="164">
        <f>IF(AND($C618=12,$D618=Input!$C$6),0,IF($E619="","",(IF($B619&gt;Input!$C$9,$X619,0)+AG620)/(1+$L619)*$R619))</f>
        <v>69357.246667266561</v>
      </c>
      <c r="AH619" s="160">
        <f t="shared" si="194"/>
        <v>2.0950137211446997</v>
      </c>
      <c r="AI619" s="160">
        <f>IF($E619="","",MIN(Input!$C$61/AH619,1))</f>
        <v>0.64438718771845094</v>
      </c>
      <c r="AJ619" s="152"/>
      <c r="AK619" s="164">
        <f>IF(AND($C618=12,$D618=Input!$C$6),0,IF($E619="","",IF($B619&gt;Input!$C$9,$AC619*AI619,0)+AK620/(1+$L619)*$R619))</f>
        <v>66542.874860009077</v>
      </c>
      <c r="AL619" s="164">
        <f>IF(AND($C618=12,$D618=Input!$C$6),0,IF($E619="","",IF($B619&gt;Input!$C$9,0,$AC619)+AL620/(1+$L619)*$R619))</f>
        <v>0</v>
      </c>
      <c r="AM619" s="160">
        <f t="shared" si="195"/>
        <v>1.1382936520186004</v>
      </c>
      <c r="AN619" s="164">
        <f>IF($E619="","",IF($B619&gt;Input!$C$9,$AI619*$AC619,$AM619*$AC619))</f>
        <v>0</v>
      </c>
      <c r="AO619" s="164">
        <f>IF(AND($C618=12,$D618=Input!$C$6),0,IF($E619="","",$AN619+AO620/(1+$L619)*$R619))</f>
        <v>66542.874860009077</v>
      </c>
      <c r="AP619" s="152"/>
      <c r="AQ619" s="164">
        <f t="shared" si="196"/>
        <v>5467.4209982679167</v>
      </c>
      <c r="AR619" s="164">
        <f t="shared" si="205"/>
        <v>-1764.4999230554895</v>
      </c>
      <c r="AS619" s="164">
        <f t="shared" si="206"/>
        <v>12556.459330143542</v>
      </c>
      <c r="AT619" s="164">
        <f t="shared" si="197"/>
        <v>12556.459330143542</v>
      </c>
      <c r="AU619" s="152"/>
      <c r="AV619" s="147">
        <f>'Deterministic Reserve'!BC619</f>
        <v>5.0084912502687396E-6</v>
      </c>
      <c r="AW619" s="164">
        <f t="shared" si="198"/>
        <v>12556.459330143542</v>
      </c>
      <c r="AX619" s="164">
        <f t="shared" si="199"/>
        <v>6.288891668937921E-2</v>
      </c>
      <c r="AY619" s="152"/>
    </row>
    <row r="620" spans="1:51" s="150" customFormat="1" x14ac:dyDescent="0.25">
      <c r="A620" s="150">
        <f t="shared" si="207"/>
        <v>616</v>
      </c>
      <c r="B620" s="150">
        <f t="shared" si="208"/>
        <v>52</v>
      </c>
      <c r="C620" s="150">
        <f t="shared" si="209"/>
        <v>4</v>
      </c>
      <c r="D620" s="150">
        <f>IF(E620="","",Input!$C$4+B620-1)</f>
        <v>96</v>
      </c>
      <c r="E620" s="150">
        <f>IF(OR(AND(C619=12,D619=Input!$C$6),E619=""),"",1)</f>
        <v>1</v>
      </c>
      <c r="F620" s="150">
        <f>IF(E620="","",Input!$C$8+B620-1)</f>
        <v>2069</v>
      </c>
      <c r="G620" s="151">
        <f>IF(E620="","",MAX(0,Input!$C$9-B620))</f>
        <v>0</v>
      </c>
      <c r="H620" s="152">
        <f>IF(E620="","",Input!$C$3)</f>
        <v>100000</v>
      </c>
      <c r="I620" s="153">
        <f>IF(E620="","",HLOOKUP($B620,Input!$C$13:$BT$14,2))</f>
        <v>642.95350000000008</v>
      </c>
      <c r="J620" s="154"/>
      <c r="K620" s="155">
        <f>IF($E620="","",Input!$C$57)</f>
        <v>4.4999999999999998E-2</v>
      </c>
      <c r="L620" s="155">
        <f t="shared" si="200"/>
        <v>3.6748094004368514E-3</v>
      </c>
      <c r="M620" s="147">
        <f>IF($E620="","",VLOOKUP(IF($B620&lt;=Input!$C$7,$B620,26),'Mortality Tables'!$A$72:$CA$97,IF($B620&lt;=Input!$C$7+1,Input!$C$4-16,$D620-Input!$C$7-16),0)/1000)</f>
        <v>0.26243</v>
      </c>
      <c r="N620" s="147">
        <f t="shared" si="189"/>
        <v>2.5047171325656259E-2</v>
      </c>
      <c r="O620" s="157">
        <f>IF($E620="","",IF($C620=12,IF($B620&lt;Input!$C$9,Input!$C$54,IF($B620=Input!$C$9,Input!$C$55,Input!$C$56)),0%))</f>
        <v>0</v>
      </c>
      <c r="P620" s="167">
        <f>IF($E620="","",IF($B620=1,Input!$C$59,IF($B620&lt;6,Input!$C$60,0%)))</f>
        <v>0</v>
      </c>
      <c r="Q620" s="162">
        <f>IF($E620="","",Input!$C$58)</f>
        <v>2.5</v>
      </c>
      <c r="R620" s="156">
        <f t="shared" si="201"/>
        <v>0.97495282867434374</v>
      </c>
      <c r="S620" s="154">
        <f t="shared" si="190"/>
        <v>1.5822331700757425E-4</v>
      </c>
      <c r="T620" s="152"/>
      <c r="U620" s="150">
        <f t="shared" si="202"/>
        <v>0</v>
      </c>
      <c r="V620" s="150">
        <f t="shared" si="203"/>
        <v>0</v>
      </c>
      <c r="W620" s="168">
        <f t="shared" si="204"/>
        <v>0</v>
      </c>
      <c r="X620" s="163">
        <f t="shared" si="191"/>
        <v>2504.7171325656259</v>
      </c>
      <c r="Y620" s="152"/>
      <c r="Z620" s="164">
        <f>IF(AND($C619=12,$D619=Input!$C$6),0,IF($E620="","",V620+Z621/(1+L620)*R620))</f>
        <v>128745.21798010745</v>
      </c>
      <c r="AA620" s="164">
        <f>IF(OR($M620=1,AND($C619=12,$D619=Input!$C$6)),0,IF($E620="","",W620+(X620+AA621*$R620)/(1+$L620)))</f>
        <v>71562.64465915451</v>
      </c>
      <c r="AB620" s="160">
        <f t="shared" si="192"/>
        <v>0.825720328500681</v>
      </c>
      <c r="AC620" s="164">
        <f t="shared" si="193"/>
        <v>0</v>
      </c>
      <c r="AD620" s="164">
        <f>IF(AND($C619=12,$D619=Input!$C$6),0,IF($E620="","",$AC620+AD621/(1+$L620)*$R620))</f>
        <v>106307.54368342606</v>
      </c>
      <c r="AE620" s="152"/>
      <c r="AF620" s="164">
        <f>IF(AND($C619=12,$D619=Input!$C$6),0,IF($E620="","",IF($B620&gt;Input!$C$9,$AC620,0)+AF621/(1+$L620)*$R620))</f>
        <v>106307.54368342606</v>
      </c>
      <c r="AG620" s="164">
        <f>IF(AND($C619=12,$D619=Input!$C$6),0,IF($E620="","",(IF($B620&gt;Input!$C$9,$X620,0)+AG621)/(1+$L620)*$R620))</f>
        <v>68895.784801420625</v>
      </c>
      <c r="AH620" s="160">
        <f t="shared" si="194"/>
        <v>2.0950137211446997</v>
      </c>
      <c r="AI620" s="160">
        <f>IF($E620="","",MIN(Input!$C$61/AH620,1))</f>
        <v>0.64438718771845094</v>
      </c>
      <c r="AJ620" s="152"/>
      <c r="AK620" s="164">
        <f>IF(AND($C619=12,$D619=Input!$C$6),0,IF($E620="","",IF($B620&gt;Input!$C$9,$AC620*AI620,0)+AK621/(1+$L620)*$R620))</f>
        <v>68503.219107419223</v>
      </c>
      <c r="AL620" s="164">
        <f>IF(AND($C619=12,$D619=Input!$C$6),0,IF($E620="","",IF($B620&gt;Input!$C$9,0,$AC620)+AL621/(1+$L620)*$R620))</f>
        <v>0</v>
      </c>
      <c r="AM620" s="160">
        <f t="shared" si="195"/>
        <v>1.1382936520186004</v>
      </c>
      <c r="AN620" s="164">
        <f>IF($E620="","",IF($B620&gt;Input!$C$9,$AI620*$AC620,$AM620*$AC620))</f>
        <v>0</v>
      </c>
      <c r="AO620" s="164">
        <f>IF(AND($C619=12,$D619=Input!$C$6),0,IF($E620="","",$AN620+AO621/(1+$L620)*$R620))</f>
        <v>68503.219107419223</v>
      </c>
      <c r="AP620" s="152"/>
      <c r="AQ620" s="164">
        <f t="shared" si="196"/>
        <v>3059.4255517352867</v>
      </c>
      <c r="AR620" s="164">
        <f t="shared" si="205"/>
        <v>-1764.4999230554895</v>
      </c>
      <c r="AS620" s="164">
        <f t="shared" si="206"/>
        <v>12556.459330143542</v>
      </c>
      <c r="AT620" s="164">
        <f t="shared" si="197"/>
        <v>12556.459330143542</v>
      </c>
      <c r="AU620" s="152"/>
      <c r="AV620" s="147">
        <f>'Deterministic Reserve'!BC620</f>
        <v>4.6795546447333927E-6</v>
      </c>
      <c r="AW620" s="164">
        <f t="shared" si="198"/>
        <v>12556.459330143542</v>
      </c>
      <c r="AX620" s="164">
        <f t="shared" si="199"/>
        <v>5.8758637579779158E-2</v>
      </c>
      <c r="AY620" s="152"/>
    </row>
    <row r="621" spans="1:51" s="150" customFormat="1" x14ac:dyDescent="0.25">
      <c r="A621" s="150">
        <f t="shared" si="207"/>
        <v>617</v>
      </c>
      <c r="B621" s="150">
        <f t="shared" si="208"/>
        <v>52</v>
      </c>
      <c r="C621" s="150">
        <f t="shared" si="209"/>
        <v>5</v>
      </c>
      <c r="D621" s="150">
        <f>IF(E621="","",Input!$C$4+B621-1)</f>
        <v>96</v>
      </c>
      <c r="E621" s="150">
        <f>IF(OR(AND(C620=12,D620=Input!$C$6),E620=""),"",1)</f>
        <v>1</v>
      </c>
      <c r="F621" s="150">
        <f>IF(E621="","",Input!$C$8+B621-1)</f>
        <v>2069</v>
      </c>
      <c r="G621" s="151">
        <f>IF(E621="","",MAX(0,Input!$C$9-B621))</f>
        <v>0</v>
      </c>
      <c r="H621" s="152">
        <f>IF(E621="","",Input!$C$3)</f>
        <v>100000</v>
      </c>
      <c r="I621" s="153">
        <f>IF(E621="","",HLOOKUP($B621,Input!$C$13:$BT$14,2))</f>
        <v>642.95350000000008</v>
      </c>
      <c r="J621" s="154"/>
      <c r="K621" s="155">
        <f>IF($E621="","",Input!$C$57)</f>
        <v>4.4999999999999998E-2</v>
      </c>
      <c r="L621" s="155">
        <f t="shared" si="200"/>
        <v>3.6748094004368514E-3</v>
      </c>
      <c r="M621" s="147">
        <f>IF($E621="","",VLOOKUP(IF($B621&lt;=Input!$C$7,$B621,26),'Mortality Tables'!$A$72:$CA$97,IF($B621&lt;=Input!$C$7+1,Input!$C$4-16,$D621-Input!$C$7-16),0)/1000)</f>
        <v>0.26243</v>
      </c>
      <c r="N621" s="147">
        <f t="shared" si="189"/>
        <v>2.5047171325656259E-2</v>
      </c>
      <c r="O621" s="157">
        <f>IF($E621="","",IF($C621=12,IF($B621&lt;Input!$C$9,Input!$C$54,IF($B621=Input!$C$9,Input!$C$55,Input!$C$56)),0%))</f>
        <v>0</v>
      </c>
      <c r="P621" s="167">
        <f>IF($E621="","",IF($B621=1,Input!$C$59,IF($B621&lt;6,Input!$C$60,0%)))</f>
        <v>0</v>
      </c>
      <c r="Q621" s="162">
        <f>IF($E621="","",Input!$C$58)</f>
        <v>2.5</v>
      </c>
      <c r="R621" s="156">
        <f t="shared" si="201"/>
        <v>0.97495282867434374</v>
      </c>
      <c r="S621" s="154">
        <f t="shared" si="190"/>
        <v>1.5426027047877192E-4</v>
      </c>
      <c r="T621" s="152"/>
      <c r="U621" s="150">
        <f t="shared" si="202"/>
        <v>0</v>
      </c>
      <c r="V621" s="150">
        <f t="shared" si="203"/>
        <v>0</v>
      </c>
      <c r="W621" s="168">
        <f t="shared" si="204"/>
        <v>0</v>
      </c>
      <c r="X621" s="163">
        <f t="shared" si="191"/>
        <v>2504.7171325656259</v>
      </c>
      <c r="Y621" s="152"/>
      <c r="Z621" s="164">
        <f>IF(AND($C620=12,$D620=Input!$C$6),0,IF($E621="","",V621+Z622/(1+L621)*R621))</f>
        <v>132538.03498688436</v>
      </c>
      <c r="AA621" s="164">
        <f>IF(OR($M621=1,AND($C620=12,$D620=Input!$C$6)),0,IF($E621="","",W621+(X621+AA622*$R621)/(1+$L621)))</f>
        <v>71101.805715214985</v>
      </c>
      <c r="AB621" s="160">
        <f t="shared" si="192"/>
        <v>0.825720328500681</v>
      </c>
      <c r="AC621" s="164">
        <f t="shared" si="193"/>
        <v>0</v>
      </c>
      <c r="AD621" s="164">
        <f>IF(AND($C620=12,$D620=Input!$C$6),0,IF($E621="","",$AC621+AD622/(1+$L621)*$R621))</f>
        <v>109439.34978820485</v>
      </c>
      <c r="AE621" s="152"/>
      <c r="AF621" s="164">
        <f>IF(AND($C620=12,$D620=Input!$C$6),0,IF($E621="","",IF($B621&gt;Input!$C$9,$AC621,0)+AF622/(1+$L621)*$R621))</f>
        <v>109439.34978820485</v>
      </c>
      <c r="AG621" s="164">
        <f>IF(AND($C620=12,$D620=Input!$C$6),0,IF($E621="","",(IF($B621&gt;Input!$C$9,$X621,0)+AG622)/(1+$L621)*$R621))</f>
        <v>68420.728330351922</v>
      </c>
      <c r="AH621" s="160">
        <f t="shared" si="194"/>
        <v>2.0950137211446997</v>
      </c>
      <c r="AI621" s="160">
        <f>IF($E621="","",MIN(Input!$C$61/AH621,1))</f>
        <v>0.64438718771845094</v>
      </c>
      <c r="AJ621" s="152"/>
      <c r="AK621" s="164">
        <f>IF(AND($C620=12,$D620=Input!$C$6),0,IF($E621="","",IF($B621&gt;Input!$C$9,$AC621*AI621,0)+AK622/(1+$L621)*$R621))</f>
        <v>70521.314835757104</v>
      </c>
      <c r="AL621" s="164">
        <f>IF(AND($C620=12,$D620=Input!$C$6),0,IF($E621="","",IF($B621&gt;Input!$C$9,0,$AC621)+AL622/(1+$L621)*$R621))</f>
        <v>0</v>
      </c>
      <c r="AM621" s="160">
        <f t="shared" si="195"/>
        <v>1.1382936520186004</v>
      </c>
      <c r="AN621" s="164">
        <f>IF($E621="","",IF($B621&gt;Input!$C$9,$AI621*$AC621,$AM621*$AC621))</f>
        <v>0</v>
      </c>
      <c r="AO621" s="164">
        <f>IF(AND($C620=12,$D620=Input!$C$6),0,IF($E621="","",$AN621+AO622/(1+$L621)*$R621))</f>
        <v>70521.314835757104</v>
      </c>
      <c r="AP621" s="152"/>
      <c r="AQ621" s="164">
        <f t="shared" si="196"/>
        <v>580.49087945788051</v>
      </c>
      <c r="AR621" s="164">
        <f t="shared" si="205"/>
        <v>-1764.4999230554895</v>
      </c>
      <c r="AS621" s="164">
        <f t="shared" si="206"/>
        <v>12556.459330143542</v>
      </c>
      <c r="AT621" s="164">
        <f t="shared" si="197"/>
        <v>12556.459330143542</v>
      </c>
      <c r="AU621" s="152"/>
      <c r="AV621" s="147">
        <f>'Deterministic Reserve'!BC621</f>
        <v>4.3722212097047954E-6</v>
      </c>
      <c r="AW621" s="164">
        <f t="shared" si="198"/>
        <v>12556.459330143542</v>
      </c>
      <c r="AX621" s="164">
        <f t="shared" si="199"/>
        <v>5.4899617802049258E-2</v>
      </c>
      <c r="AY621" s="152"/>
    </row>
    <row r="622" spans="1:51" s="150" customFormat="1" x14ac:dyDescent="0.25">
      <c r="A622" s="150">
        <f t="shared" si="207"/>
        <v>618</v>
      </c>
      <c r="B622" s="150">
        <f t="shared" si="208"/>
        <v>52</v>
      </c>
      <c r="C622" s="150">
        <f t="shared" si="209"/>
        <v>6</v>
      </c>
      <c r="D622" s="150">
        <f>IF(E622="","",Input!$C$4+B622-1)</f>
        <v>96</v>
      </c>
      <c r="E622" s="150">
        <f>IF(OR(AND(C621=12,D621=Input!$C$6),E621=""),"",1)</f>
        <v>1</v>
      </c>
      <c r="F622" s="150">
        <f>IF(E622="","",Input!$C$8+B622-1)</f>
        <v>2069</v>
      </c>
      <c r="G622" s="151">
        <f>IF(E622="","",MAX(0,Input!$C$9-B622))</f>
        <v>0</v>
      </c>
      <c r="H622" s="152">
        <f>IF(E622="","",Input!$C$3)</f>
        <v>100000</v>
      </c>
      <c r="I622" s="153">
        <f>IF(E622="","",HLOOKUP($B622,Input!$C$13:$BT$14,2))</f>
        <v>642.95350000000008</v>
      </c>
      <c r="J622" s="154"/>
      <c r="K622" s="155">
        <f>IF($E622="","",Input!$C$57)</f>
        <v>4.4999999999999998E-2</v>
      </c>
      <c r="L622" s="155">
        <f t="shared" si="200"/>
        <v>3.6748094004368514E-3</v>
      </c>
      <c r="M622" s="147">
        <f>IF($E622="","",VLOOKUP(IF($B622&lt;=Input!$C$7,$B622,26),'Mortality Tables'!$A$72:$CA$97,IF($B622&lt;=Input!$C$7+1,Input!$C$4-16,$D622-Input!$C$7-16),0)/1000)</f>
        <v>0.26243</v>
      </c>
      <c r="N622" s="147">
        <f t="shared" si="189"/>
        <v>2.5047171325656259E-2</v>
      </c>
      <c r="O622" s="157">
        <f>IF($E622="","",IF($C622=12,IF($B622&lt;Input!$C$9,Input!$C$54,IF($B622=Input!$C$9,Input!$C$55,Input!$C$56)),0%))</f>
        <v>0</v>
      </c>
      <c r="P622" s="167">
        <f>IF($E622="","",IF($B622=1,Input!$C$59,IF($B622&lt;6,Input!$C$60,0%)))</f>
        <v>0</v>
      </c>
      <c r="Q622" s="162">
        <f>IF($E622="","",Input!$C$58)</f>
        <v>2.5</v>
      </c>
      <c r="R622" s="156">
        <f t="shared" si="201"/>
        <v>0.97495282867434374</v>
      </c>
      <c r="S622" s="154">
        <f t="shared" si="190"/>
        <v>1.5039648705534805E-4</v>
      </c>
      <c r="T622" s="152"/>
      <c r="U622" s="150">
        <f t="shared" si="202"/>
        <v>0</v>
      </c>
      <c r="V622" s="150">
        <f t="shared" si="203"/>
        <v>0</v>
      </c>
      <c r="W622" s="168">
        <f t="shared" si="204"/>
        <v>0</v>
      </c>
      <c r="X622" s="163">
        <f t="shared" si="191"/>
        <v>2504.7171325656259</v>
      </c>
      <c r="Y622" s="152"/>
      <c r="Z622" s="164">
        <f>IF(AND($C621=12,$D621=Input!$C$6),0,IF($E622="","",V622+Z623/(1+L622)*R622))</f>
        <v>136442.58787847773</v>
      </c>
      <c r="AA622" s="164">
        <f>IF(OR($M622=1,AND($C621=12,$D621=Input!$C$6)),0,IF($E622="","",W622+(X622+AA623*$R622)/(1+$L622)))</f>
        <v>70627.390517249238</v>
      </c>
      <c r="AB622" s="160">
        <f t="shared" si="192"/>
        <v>0.825720328500681</v>
      </c>
      <c r="AC622" s="164">
        <f t="shared" si="193"/>
        <v>0</v>
      </c>
      <c r="AD622" s="164">
        <f>IF(AND($C621=12,$D621=Input!$C$6),0,IF($E622="","",$AC622+AD623/(1+$L622)*$R622))</f>
        <v>112663.41848449962</v>
      </c>
      <c r="AE622" s="152"/>
      <c r="AF622" s="164">
        <f>IF(AND($C621=12,$D621=Input!$C$6),0,IF($E622="","",IF($B622&gt;Input!$C$9,$AC622,0)+AF623/(1+$L622)*$R622))</f>
        <v>112663.41848449962</v>
      </c>
      <c r="AG622" s="164">
        <f>IF(AND($C621=12,$D621=Input!$C$6),0,IF($E622="","",(IF($B622&gt;Input!$C$9,$X622,0)+AG623)/(1+$L622)*$R622))</f>
        <v>67931.676758797796</v>
      </c>
      <c r="AH622" s="160">
        <f t="shared" si="194"/>
        <v>2.0950137211446997</v>
      </c>
      <c r="AI622" s="160">
        <f>IF($E622="","",MIN(Input!$C$61/AH622,1))</f>
        <v>0.64438718771845094</v>
      </c>
      <c r="AJ622" s="152"/>
      <c r="AK622" s="164">
        <f>IF(AND($C621=12,$D621=Input!$C$6),0,IF($E622="","",IF($B622&gt;Input!$C$9,$AC622*AI622,0)+AK623/(1+$L622)*$R622))</f>
        <v>72598.863395973589</v>
      </c>
      <c r="AL622" s="164">
        <f>IF(AND($C621=12,$D621=Input!$C$6),0,IF($E622="","",IF($B622&gt;Input!$C$9,0,$AC622)+AL623/(1+$L622)*$R622))</f>
        <v>0</v>
      </c>
      <c r="AM622" s="160">
        <f t="shared" si="195"/>
        <v>1.1382936520186004</v>
      </c>
      <c r="AN622" s="164">
        <f>IF($E622="","",IF($B622&gt;Input!$C$9,$AI622*$AC622,$AM622*$AC622))</f>
        <v>0</v>
      </c>
      <c r="AO622" s="164">
        <f>IF(AND($C621=12,$D621=Input!$C$6),0,IF($E622="","",$AN622+AO623/(1+$L622)*$R622))</f>
        <v>72598.863395973589</v>
      </c>
      <c r="AP622" s="152"/>
      <c r="AQ622" s="164">
        <f t="shared" si="196"/>
        <v>-1971.4728787243512</v>
      </c>
      <c r="AR622" s="164">
        <f t="shared" si="205"/>
        <v>-1764.4999230554895</v>
      </c>
      <c r="AS622" s="164">
        <f t="shared" si="206"/>
        <v>12556.459330143542</v>
      </c>
      <c r="AT622" s="164">
        <f t="shared" si="197"/>
        <v>12556.459330143542</v>
      </c>
      <c r="AU622" s="152"/>
      <c r="AV622" s="147">
        <f>'Deterministic Reserve'!BC622</f>
        <v>4.0850721399539445E-6</v>
      </c>
      <c r="AW622" s="164">
        <f t="shared" si="198"/>
        <v>12556.459330143542</v>
      </c>
      <c r="AX622" s="164">
        <f t="shared" si="199"/>
        <v>5.1294042186034151E-2</v>
      </c>
      <c r="AY622" s="152"/>
    </row>
    <row r="623" spans="1:51" s="150" customFormat="1" x14ac:dyDescent="0.25">
      <c r="A623" s="150">
        <f t="shared" si="207"/>
        <v>619</v>
      </c>
      <c r="B623" s="150">
        <f t="shared" si="208"/>
        <v>52</v>
      </c>
      <c r="C623" s="150">
        <f t="shared" si="209"/>
        <v>7</v>
      </c>
      <c r="D623" s="150">
        <f>IF(E623="","",Input!$C$4+B623-1)</f>
        <v>96</v>
      </c>
      <c r="E623" s="150">
        <f>IF(OR(AND(C622=12,D622=Input!$C$6),E622=""),"",1)</f>
        <v>1</v>
      </c>
      <c r="F623" s="150">
        <f>IF(E623="","",Input!$C$8+B623-1)</f>
        <v>2069</v>
      </c>
      <c r="G623" s="151">
        <f>IF(E623="","",MAX(0,Input!$C$9-B623))</f>
        <v>0</v>
      </c>
      <c r="H623" s="152">
        <f>IF(E623="","",Input!$C$3)</f>
        <v>100000</v>
      </c>
      <c r="I623" s="153">
        <f>IF(E623="","",HLOOKUP($B623,Input!$C$13:$BT$14,2))</f>
        <v>642.95350000000008</v>
      </c>
      <c r="J623" s="154"/>
      <c r="K623" s="155">
        <f>IF($E623="","",Input!$C$57)</f>
        <v>4.4999999999999998E-2</v>
      </c>
      <c r="L623" s="155">
        <f t="shared" si="200"/>
        <v>3.6748094004368514E-3</v>
      </c>
      <c r="M623" s="147">
        <f>IF($E623="","",VLOOKUP(IF($B623&lt;=Input!$C$7,$B623,26),'Mortality Tables'!$A$72:$CA$97,IF($B623&lt;=Input!$C$7+1,Input!$C$4-16,$D623-Input!$C$7-16),0)/1000)</f>
        <v>0.26243</v>
      </c>
      <c r="N623" s="147">
        <f t="shared" si="189"/>
        <v>2.5047171325656259E-2</v>
      </c>
      <c r="O623" s="157">
        <f>IF($E623="","",IF($C623=12,IF($B623&lt;Input!$C$9,Input!$C$54,IF($B623=Input!$C$9,Input!$C$55,Input!$C$56)),0%))</f>
        <v>0</v>
      </c>
      <c r="P623" s="167">
        <f>IF($E623="","",IF($B623=1,Input!$C$59,IF($B623&lt;6,Input!$C$60,0%)))</f>
        <v>0</v>
      </c>
      <c r="Q623" s="162">
        <f>IF($E623="","",Input!$C$58)</f>
        <v>2.5</v>
      </c>
      <c r="R623" s="156">
        <f t="shared" si="201"/>
        <v>0.97495282867434374</v>
      </c>
      <c r="S623" s="154">
        <f t="shared" si="190"/>
        <v>1.466294804772959E-4</v>
      </c>
      <c r="T623" s="152"/>
      <c r="U623" s="150">
        <f t="shared" si="202"/>
        <v>0</v>
      </c>
      <c r="V623" s="150">
        <f t="shared" si="203"/>
        <v>0</v>
      </c>
      <c r="W623" s="168">
        <f t="shared" si="204"/>
        <v>0</v>
      </c>
      <c r="X623" s="163">
        <f t="shared" si="191"/>
        <v>2504.7171325656259</v>
      </c>
      <c r="Y623" s="152"/>
      <c r="Z623" s="164">
        <f>IF(AND($C622=12,$D622=Input!$C$6),0,IF($E623="","",V623+Z624/(1+L623)*R623))</f>
        <v>140462.16837920048</v>
      </c>
      <c r="AA623" s="164">
        <f>IF(OR($M623=1,AND($C622=12,$D622=Input!$C$6)),0,IF($E623="","",W623+(X623+AA624*$R623)/(1+$L623)))</f>
        <v>70138.999110618432</v>
      </c>
      <c r="AB623" s="160">
        <f t="shared" si="192"/>
        <v>0.825720328500681</v>
      </c>
      <c r="AC623" s="164">
        <f t="shared" si="193"/>
        <v>0</v>
      </c>
      <c r="AD623" s="164">
        <f>IF(AND($C622=12,$D622=Input!$C$6),0,IF($E623="","",$AC623+AD624/(1+$L623)*$R623))</f>
        <v>115982.46781599136</v>
      </c>
      <c r="AE623" s="152"/>
      <c r="AF623" s="164">
        <f>IF(AND($C622=12,$D622=Input!$C$6),0,IF($E623="","",IF($B623&gt;Input!$C$9,$AC623,0)+AF624/(1+$L623)*$R623))</f>
        <v>115982.46781599136</v>
      </c>
      <c r="AG623" s="164">
        <f>IF(AND($C622=12,$D622=Input!$C$6),0,IF($E623="","",(IF($B623&gt;Input!$C$9,$X623,0)+AG624)/(1+$L623)*$R623))</f>
        <v>67428.217792958414</v>
      </c>
      <c r="AH623" s="160">
        <f t="shared" si="194"/>
        <v>2.0950137211446997</v>
      </c>
      <c r="AI623" s="160">
        <f>IF($E623="","",MIN(Input!$C$61/AH623,1))</f>
        <v>0.64438718771845094</v>
      </c>
      <c r="AJ623" s="152"/>
      <c r="AK623" s="164">
        <f>IF(AND($C622=12,$D622=Input!$C$6),0,IF($E623="","",IF($B623&gt;Input!$C$9,$AC623*AI623,0)+AK624/(1+$L623)*$R623))</f>
        <v>74737.61626059236</v>
      </c>
      <c r="AL623" s="164">
        <f>IF(AND($C622=12,$D622=Input!$C$6),0,IF($E623="","",IF($B623&gt;Input!$C$9,0,$AC623)+AL624/(1+$L623)*$R623))</f>
        <v>0</v>
      </c>
      <c r="AM623" s="160">
        <f t="shared" si="195"/>
        <v>1.1382936520186004</v>
      </c>
      <c r="AN623" s="164">
        <f>IF($E623="","",IF($B623&gt;Input!$C$9,$AI623*$AC623,$AM623*$AC623))</f>
        <v>0</v>
      </c>
      <c r="AO623" s="164">
        <f>IF(AND($C622=12,$D622=Input!$C$6),0,IF($E623="","",$AN623+AO624/(1+$L623)*$R623))</f>
        <v>74737.61626059236</v>
      </c>
      <c r="AP623" s="152"/>
      <c r="AQ623" s="164">
        <f t="shared" si="196"/>
        <v>-4598.6171499739285</v>
      </c>
      <c r="AR623" s="164">
        <f t="shared" si="205"/>
        <v>-1764.4999230554895</v>
      </c>
      <c r="AS623" s="164">
        <f t="shared" si="206"/>
        <v>12556.459330143542</v>
      </c>
      <c r="AT623" s="164">
        <f t="shared" si="197"/>
        <v>12556.459330143542</v>
      </c>
      <c r="AU623" s="152"/>
      <c r="AV623" s="147">
        <f>'Deterministic Reserve'!BC623</f>
        <v>3.8167818114021346E-6</v>
      </c>
      <c r="AW623" s="164">
        <f t="shared" si="198"/>
        <v>12556.459330143542</v>
      </c>
      <c r="AX623" s="164">
        <f t="shared" si="199"/>
        <v>4.79252655869025E-2</v>
      </c>
      <c r="AY623" s="152"/>
    </row>
    <row r="624" spans="1:51" s="150" customFormat="1" x14ac:dyDescent="0.25">
      <c r="A624" s="150">
        <f t="shared" si="207"/>
        <v>620</v>
      </c>
      <c r="B624" s="150">
        <f t="shared" si="208"/>
        <v>52</v>
      </c>
      <c r="C624" s="150">
        <f t="shared" si="209"/>
        <v>8</v>
      </c>
      <c r="D624" s="150">
        <f>IF(E624="","",Input!$C$4+B624-1)</f>
        <v>96</v>
      </c>
      <c r="E624" s="150">
        <f>IF(OR(AND(C623=12,D623=Input!$C$6),E623=""),"",1)</f>
        <v>1</v>
      </c>
      <c r="F624" s="150">
        <f>IF(E624="","",Input!$C$8+B624-1)</f>
        <v>2069</v>
      </c>
      <c r="G624" s="151">
        <f>IF(E624="","",MAX(0,Input!$C$9-B624))</f>
        <v>0</v>
      </c>
      <c r="H624" s="152">
        <f>IF(E624="","",Input!$C$3)</f>
        <v>100000</v>
      </c>
      <c r="I624" s="153">
        <f>IF(E624="","",HLOOKUP($B624,Input!$C$13:$BT$14,2))</f>
        <v>642.95350000000008</v>
      </c>
      <c r="J624" s="154"/>
      <c r="K624" s="155">
        <f>IF($E624="","",Input!$C$57)</f>
        <v>4.4999999999999998E-2</v>
      </c>
      <c r="L624" s="155">
        <f t="shared" si="200"/>
        <v>3.6748094004368514E-3</v>
      </c>
      <c r="M624" s="147">
        <f>IF($E624="","",VLOOKUP(IF($B624&lt;=Input!$C$7,$B624,26),'Mortality Tables'!$A$72:$CA$97,IF($B624&lt;=Input!$C$7+1,Input!$C$4-16,$D624-Input!$C$7-16),0)/1000)</f>
        <v>0.26243</v>
      </c>
      <c r="N624" s="147">
        <f t="shared" si="189"/>
        <v>2.5047171325656259E-2</v>
      </c>
      <c r="O624" s="157">
        <f>IF($E624="","",IF($C624=12,IF($B624&lt;Input!$C$9,Input!$C$54,IF($B624=Input!$C$9,Input!$C$55,Input!$C$56)),0%))</f>
        <v>0</v>
      </c>
      <c r="P624" s="167">
        <f>IF($E624="","",IF($B624=1,Input!$C$59,IF($B624&lt;6,Input!$C$60,0%)))</f>
        <v>0</v>
      </c>
      <c r="Q624" s="162">
        <f>IF($E624="","",Input!$C$58)</f>
        <v>2.5</v>
      </c>
      <c r="R624" s="156">
        <f t="shared" si="201"/>
        <v>0.97495282867434374</v>
      </c>
      <c r="S624" s="154">
        <f t="shared" si="190"/>
        <v>1.4295682675838909E-4</v>
      </c>
      <c r="T624" s="152"/>
      <c r="U624" s="150">
        <f t="shared" si="202"/>
        <v>0</v>
      </c>
      <c r="V624" s="150">
        <f t="shared" si="203"/>
        <v>0</v>
      </c>
      <c r="W624" s="168">
        <f t="shared" si="204"/>
        <v>0</v>
      </c>
      <c r="X624" s="163">
        <f t="shared" si="191"/>
        <v>2504.7171325656259</v>
      </c>
      <c r="Y624" s="152"/>
      <c r="Z624" s="164">
        <f>IF(AND($C623=12,$D623=Input!$C$6),0,IF($E624="","",V624+Z625/(1+L624)*R624))</f>
        <v>144600.16518712626</v>
      </c>
      <c r="AA624" s="164">
        <f>IF(OR($M624=1,AND($C623=12,$D623=Input!$C$6)),0,IF($E624="","",W624+(X624+AA625*$R624)/(1+$L624)))</f>
        <v>69636.219758073261</v>
      </c>
      <c r="AB624" s="160">
        <f t="shared" si="192"/>
        <v>0.825720328500681</v>
      </c>
      <c r="AC624" s="164">
        <f t="shared" si="193"/>
        <v>0</v>
      </c>
      <c r="AD624" s="164">
        <f>IF(AND($C623=12,$D623=Input!$C$6),0,IF($E624="","",$AC624+AD625/(1+$L624)*$R624))</f>
        <v>119399.2958995666</v>
      </c>
      <c r="AE624" s="152"/>
      <c r="AF624" s="164">
        <f>IF(AND($C623=12,$D623=Input!$C$6),0,IF($E624="","",IF($B624&gt;Input!$C$9,$AC624,0)+AF625/(1+$L624)*$R624))</f>
        <v>119399.2958995666</v>
      </c>
      <c r="AG624" s="164">
        <f>IF(AND($C623=12,$D623=Input!$C$6),0,IF($E624="","",(IF($B624&gt;Input!$C$9,$X624,0)+AG625)/(1+$L624)*$R624))</f>
        <v>66909.926992913388</v>
      </c>
      <c r="AH624" s="160">
        <f t="shared" si="194"/>
        <v>2.0950137211446997</v>
      </c>
      <c r="AI624" s="160">
        <f>IF($E624="","",MIN(Input!$C$61/AH624,1))</f>
        <v>0.64438718771845094</v>
      </c>
      <c r="AJ624" s="152"/>
      <c r="AK624" s="164">
        <f>IF(AND($C623=12,$D623=Input!$C$6),0,IF($E624="","",IF($B624&gt;Input!$C$9,$AC624*AI624,0)+AK625/(1+$L624)*$R624))</f>
        <v>76939.376500284838</v>
      </c>
      <c r="AL624" s="164">
        <f>IF(AND($C623=12,$D623=Input!$C$6),0,IF($E624="","",IF($B624&gt;Input!$C$9,0,$AC624)+AL625/(1+$L624)*$R624))</f>
        <v>0</v>
      </c>
      <c r="AM624" s="160">
        <f t="shared" si="195"/>
        <v>1.1382936520186004</v>
      </c>
      <c r="AN624" s="164">
        <f>IF($E624="","",IF($B624&gt;Input!$C$9,$AI624*$AC624,$AM624*$AC624))</f>
        <v>0</v>
      </c>
      <c r="AO624" s="164">
        <f>IF(AND($C623=12,$D623=Input!$C$6),0,IF($E624="","",$AN624+AO625/(1+$L624)*$R624))</f>
        <v>76939.376500284838</v>
      </c>
      <c r="AP624" s="152"/>
      <c r="AQ624" s="164">
        <f t="shared" si="196"/>
        <v>-7303.1567422115768</v>
      </c>
      <c r="AR624" s="164">
        <f t="shared" si="205"/>
        <v>-1764.4999230554895</v>
      </c>
      <c r="AS624" s="164">
        <f t="shared" si="206"/>
        <v>12556.459330143542</v>
      </c>
      <c r="AT624" s="164">
        <f t="shared" si="197"/>
        <v>12556.459330143542</v>
      </c>
      <c r="AU624" s="152"/>
      <c r="AV624" s="147">
        <f>'Deterministic Reserve'!BC624</f>
        <v>3.5661116613755561E-6</v>
      </c>
      <c r="AW624" s="164">
        <f t="shared" si="198"/>
        <v>12556.459330143542</v>
      </c>
      <c r="AX624" s="164">
        <f t="shared" si="199"/>
        <v>4.4777736042812787E-2</v>
      </c>
      <c r="AY624" s="152"/>
    </row>
    <row r="625" spans="1:51" s="150" customFormat="1" x14ac:dyDescent="0.25">
      <c r="A625" s="150">
        <f t="shared" si="207"/>
        <v>621</v>
      </c>
      <c r="B625" s="150">
        <f t="shared" si="208"/>
        <v>52</v>
      </c>
      <c r="C625" s="150">
        <f t="shared" si="209"/>
        <v>9</v>
      </c>
      <c r="D625" s="150">
        <f>IF(E625="","",Input!$C$4+B625-1)</f>
        <v>96</v>
      </c>
      <c r="E625" s="150">
        <f>IF(OR(AND(C624=12,D624=Input!$C$6),E624=""),"",1)</f>
        <v>1</v>
      </c>
      <c r="F625" s="150">
        <f>IF(E625="","",Input!$C$8+B625-1)</f>
        <v>2069</v>
      </c>
      <c r="G625" s="151">
        <f>IF(E625="","",MAX(0,Input!$C$9-B625))</f>
        <v>0</v>
      </c>
      <c r="H625" s="152">
        <f>IF(E625="","",Input!$C$3)</f>
        <v>100000</v>
      </c>
      <c r="I625" s="153">
        <f>IF(E625="","",HLOOKUP($B625,Input!$C$13:$BT$14,2))</f>
        <v>642.95350000000008</v>
      </c>
      <c r="J625" s="154"/>
      <c r="K625" s="155">
        <f>IF($E625="","",Input!$C$57)</f>
        <v>4.4999999999999998E-2</v>
      </c>
      <c r="L625" s="155">
        <f t="shared" si="200"/>
        <v>3.6748094004368514E-3</v>
      </c>
      <c r="M625" s="147">
        <f>IF($E625="","",VLOOKUP(IF($B625&lt;=Input!$C$7,$B625,26),'Mortality Tables'!$A$72:$CA$97,IF($B625&lt;=Input!$C$7+1,Input!$C$4-16,$D625-Input!$C$7-16),0)/1000)</f>
        <v>0.26243</v>
      </c>
      <c r="N625" s="147">
        <f t="shared" si="189"/>
        <v>2.5047171325656259E-2</v>
      </c>
      <c r="O625" s="157">
        <f>IF($E625="","",IF($C625=12,IF($B625&lt;Input!$C$9,Input!$C$54,IF($B625=Input!$C$9,Input!$C$55,Input!$C$56)),0%))</f>
        <v>0</v>
      </c>
      <c r="P625" s="167">
        <f>IF($E625="","",IF($B625=1,Input!$C$59,IF($B625&lt;6,Input!$C$60,0%)))</f>
        <v>0</v>
      </c>
      <c r="Q625" s="162">
        <f>IF($E625="","",Input!$C$58)</f>
        <v>2.5</v>
      </c>
      <c r="R625" s="156">
        <f t="shared" si="201"/>
        <v>0.97495282867434374</v>
      </c>
      <c r="S625" s="154">
        <f t="shared" si="190"/>
        <v>1.3937616262639954E-4</v>
      </c>
      <c r="T625" s="152"/>
      <c r="U625" s="150">
        <f t="shared" si="202"/>
        <v>0</v>
      </c>
      <c r="V625" s="150">
        <f t="shared" si="203"/>
        <v>0</v>
      </c>
      <c r="W625" s="168">
        <f t="shared" si="204"/>
        <v>0</v>
      </c>
      <c r="X625" s="163">
        <f t="shared" si="191"/>
        <v>2504.7171325656259</v>
      </c>
      <c r="Y625" s="152"/>
      <c r="Z625" s="164">
        <f>IF(AND($C624=12,$D624=Input!$C$6),0,IF($E625="","",V625+Z626/(1+L625)*R625))</f>
        <v>148860.0668309234</v>
      </c>
      <c r="AA625" s="164">
        <f>IF(OR($M625=1,AND($C624=12,$D624=Input!$C$6)),0,IF($E625="","",W625+(X625+AA626*$R625)/(1+$L625)))</f>
        <v>69118.62859263974</v>
      </c>
      <c r="AB625" s="160">
        <f t="shared" si="192"/>
        <v>0.825720328500681</v>
      </c>
      <c r="AC625" s="164">
        <f t="shared" si="193"/>
        <v>0</v>
      </c>
      <c r="AD625" s="164">
        <f>IF(AND($C624=12,$D624=Input!$C$6),0,IF($E625="","",$AC625+AD626/(1+$L625)*$R625))</f>
        <v>122916.78328426337</v>
      </c>
      <c r="AE625" s="152"/>
      <c r="AF625" s="164">
        <f>IF(AND($C624=12,$D624=Input!$C$6),0,IF($E625="","",IF($B625&gt;Input!$C$9,$AC625,0)+AF626/(1+$L625)*$R625))</f>
        <v>122916.78328426337</v>
      </c>
      <c r="AG625" s="164">
        <f>IF(AND($C624=12,$D624=Input!$C$6),0,IF($E625="","",(IF($B625&gt;Input!$C$9,$X625,0)+AG626)/(1+$L625)*$R625))</f>
        <v>66376.367414798719</v>
      </c>
      <c r="AH625" s="160">
        <f t="shared" si="194"/>
        <v>2.0950137211446997</v>
      </c>
      <c r="AI625" s="160">
        <f>IF($E625="","",MIN(Input!$C$61/AH625,1))</f>
        <v>0.64438718771845094</v>
      </c>
      <c r="AJ625" s="152"/>
      <c r="AK625" s="164">
        <f>IF(AND($C624=12,$D624=Input!$C$6),0,IF($E625="","",IF($B625&gt;Input!$C$9,$AC625*AI625,0)+AK626/(1+$L625)*$R625))</f>
        <v>79206.000303944733</v>
      </c>
      <c r="AL625" s="164">
        <f>IF(AND($C624=12,$D624=Input!$C$6),0,IF($E625="","",IF($B625&gt;Input!$C$9,0,$AC625)+AL626/(1+$L625)*$R625))</f>
        <v>0</v>
      </c>
      <c r="AM625" s="160">
        <f t="shared" si="195"/>
        <v>1.1382936520186004</v>
      </c>
      <c r="AN625" s="164">
        <f>IF($E625="","",IF($B625&gt;Input!$C$9,$AI625*$AC625,$AM625*$AC625))</f>
        <v>0</v>
      </c>
      <c r="AO625" s="164">
        <f>IF(AND($C624=12,$D624=Input!$C$6),0,IF($E625="","",$AN625+AO626/(1+$L625)*$R625))</f>
        <v>79206.000303944733</v>
      </c>
      <c r="AP625" s="152"/>
      <c r="AQ625" s="164">
        <f t="shared" si="196"/>
        <v>-10087.371711304993</v>
      </c>
      <c r="AR625" s="164">
        <f t="shared" si="205"/>
        <v>-1764.4999230554895</v>
      </c>
      <c r="AS625" s="164">
        <f t="shared" si="206"/>
        <v>12556.459330143542</v>
      </c>
      <c r="AT625" s="164">
        <f t="shared" si="197"/>
        <v>12556.459330143542</v>
      </c>
      <c r="AU625" s="152"/>
      <c r="AV625" s="147">
        <f>'Deterministic Reserve'!BC625</f>
        <v>3.3319044707789964E-6</v>
      </c>
      <c r="AW625" s="164">
        <f t="shared" si="198"/>
        <v>12556.459330143542</v>
      </c>
      <c r="AX625" s="164">
        <f t="shared" si="199"/>
        <v>4.1836922979259908E-2</v>
      </c>
      <c r="AY625" s="152"/>
    </row>
    <row r="626" spans="1:51" s="150" customFormat="1" x14ac:dyDescent="0.25">
      <c r="A626" s="150">
        <f t="shared" si="207"/>
        <v>622</v>
      </c>
      <c r="B626" s="150">
        <f t="shared" si="208"/>
        <v>52</v>
      </c>
      <c r="C626" s="150">
        <f t="shared" si="209"/>
        <v>10</v>
      </c>
      <c r="D626" s="150">
        <f>IF(E626="","",Input!$C$4+B626-1)</f>
        <v>96</v>
      </c>
      <c r="E626" s="150">
        <f>IF(OR(AND(C625=12,D625=Input!$C$6),E625=""),"",1)</f>
        <v>1</v>
      </c>
      <c r="F626" s="150">
        <f>IF(E626="","",Input!$C$8+B626-1)</f>
        <v>2069</v>
      </c>
      <c r="G626" s="151">
        <f>IF(E626="","",MAX(0,Input!$C$9-B626))</f>
        <v>0</v>
      </c>
      <c r="H626" s="152">
        <f>IF(E626="","",Input!$C$3)</f>
        <v>100000</v>
      </c>
      <c r="I626" s="153">
        <f>IF(E626="","",HLOOKUP($B626,Input!$C$13:$BT$14,2))</f>
        <v>642.95350000000008</v>
      </c>
      <c r="J626" s="154"/>
      <c r="K626" s="155">
        <f>IF($E626="","",Input!$C$57)</f>
        <v>4.4999999999999998E-2</v>
      </c>
      <c r="L626" s="155">
        <f t="shared" si="200"/>
        <v>3.6748094004368514E-3</v>
      </c>
      <c r="M626" s="147">
        <f>IF($E626="","",VLOOKUP(IF($B626&lt;=Input!$C$7,$B626,26),'Mortality Tables'!$A$72:$CA$97,IF($B626&lt;=Input!$C$7+1,Input!$C$4-16,$D626-Input!$C$7-16),0)/1000)</f>
        <v>0.26243</v>
      </c>
      <c r="N626" s="147">
        <f t="shared" si="189"/>
        <v>2.5047171325656259E-2</v>
      </c>
      <c r="O626" s="157">
        <f>IF($E626="","",IF($C626=12,IF($B626&lt;Input!$C$9,Input!$C$54,IF($B626=Input!$C$9,Input!$C$55,Input!$C$56)),0%))</f>
        <v>0</v>
      </c>
      <c r="P626" s="167">
        <f>IF($E626="","",IF($B626=1,Input!$C$59,IF($B626&lt;6,Input!$C$60,0%)))</f>
        <v>0</v>
      </c>
      <c r="Q626" s="162">
        <f>IF($E626="","",Input!$C$58)</f>
        <v>2.5</v>
      </c>
      <c r="R626" s="156">
        <f t="shared" si="201"/>
        <v>0.97495282867434374</v>
      </c>
      <c r="S626" s="154">
        <f t="shared" si="190"/>
        <v>1.3588518400238359E-4</v>
      </c>
      <c r="T626" s="152"/>
      <c r="U626" s="150">
        <f t="shared" si="202"/>
        <v>0</v>
      </c>
      <c r="V626" s="150">
        <f t="shared" si="203"/>
        <v>0</v>
      </c>
      <c r="W626" s="168">
        <f t="shared" si="204"/>
        <v>0</v>
      </c>
      <c r="X626" s="163">
        <f t="shared" si="191"/>
        <v>2504.7171325656259</v>
      </c>
      <c r="Y626" s="152"/>
      <c r="Z626" s="164">
        <f>IF(AND($C625=12,$D625=Input!$C$6),0,IF($E626="","",V626+Z627/(1+L626)*R626))</f>
        <v>153245.46461085111</v>
      </c>
      <c r="AA626" s="164">
        <f>IF(OR($M626=1,AND($C625=12,$D625=Input!$C$6)),0,IF($E626="","",W626+(X626+AA627*$R626)/(1+$L626)))</f>
        <v>68585.789260279213</v>
      </c>
      <c r="AB626" s="160">
        <f t="shared" si="192"/>
        <v>0.825720328500681</v>
      </c>
      <c r="AC626" s="164">
        <f t="shared" si="193"/>
        <v>0</v>
      </c>
      <c r="AD626" s="164">
        <f>IF(AND($C625=12,$D625=Input!$C$6),0,IF($E626="","",$AC626+AD627/(1+$L626)*$R626))</f>
        <v>126537.89537971144</v>
      </c>
      <c r="AE626" s="152"/>
      <c r="AF626" s="164">
        <f>IF(AND($C625=12,$D625=Input!$C$6),0,IF($E626="","",IF($B626&gt;Input!$C$9,$AC626,0)+AF627/(1+$L626)*$R626))</f>
        <v>126537.89537971144</v>
      </c>
      <c r="AG626" s="164">
        <f>IF(AND($C625=12,$D625=Input!$C$6),0,IF($E626="","",(IF($B626&gt;Input!$C$9,$X626,0)+AG627)/(1+$L626)*$R626))</f>
        <v>65827.089242442235</v>
      </c>
      <c r="AH626" s="160">
        <f t="shared" si="194"/>
        <v>2.0950137211446997</v>
      </c>
      <c r="AI626" s="160">
        <f>IF($E626="","",MIN(Input!$C$61/AH626,1))</f>
        <v>0.64438718771845094</v>
      </c>
      <c r="AJ626" s="152"/>
      <c r="AK626" s="164">
        <f>IF(AND($C625=12,$D625=Input!$C$6),0,IF($E626="","",IF($B626&gt;Input!$C$9,$AC626*AI626,0)+AK627/(1+$L626)*$R626))</f>
        <v>81539.398543543793</v>
      </c>
      <c r="AL626" s="164">
        <f>IF(AND($C625=12,$D625=Input!$C$6),0,IF($E626="","",IF($B626&gt;Input!$C$9,0,$AC626)+AL627/(1+$L626)*$R626))</f>
        <v>0</v>
      </c>
      <c r="AM626" s="160">
        <f t="shared" si="195"/>
        <v>1.1382936520186004</v>
      </c>
      <c r="AN626" s="164">
        <f>IF($E626="","",IF($B626&gt;Input!$C$9,$AI626*$AC626,$AM626*$AC626))</f>
        <v>0</v>
      </c>
      <c r="AO626" s="164">
        <f>IF(AND($C625=12,$D625=Input!$C$6),0,IF($E626="","",$AN626+AO627/(1+$L626)*$R626))</f>
        <v>81539.398543543793</v>
      </c>
      <c r="AP626" s="152"/>
      <c r="AQ626" s="164">
        <f t="shared" si="196"/>
        <v>-12953.609283264581</v>
      </c>
      <c r="AR626" s="164">
        <f t="shared" si="205"/>
        <v>-1764.4999230554895</v>
      </c>
      <c r="AS626" s="164">
        <f t="shared" si="206"/>
        <v>12556.459330143542</v>
      </c>
      <c r="AT626" s="164">
        <f t="shared" si="197"/>
        <v>12556.459330143542</v>
      </c>
      <c r="AU626" s="152"/>
      <c r="AV626" s="147">
        <f>'Deterministic Reserve'!BC626</f>
        <v>3.1130790217922815E-6</v>
      </c>
      <c r="AW626" s="164">
        <f t="shared" si="198"/>
        <v>12556.459330143542</v>
      </c>
      <c r="AX626" s="164">
        <f t="shared" si="199"/>
        <v>3.908925012865782E-2</v>
      </c>
      <c r="AY626" s="152"/>
    </row>
    <row r="627" spans="1:51" s="150" customFormat="1" x14ac:dyDescent="0.25">
      <c r="A627" s="150">
        <f t="shared" si="207"/>
        <v>623</v>
      </c>
      <c r="B627" s="150">
        <f t="shared" si="208"/>
        <v>52</v>
      </c>
      <c r="C627" s="150">
        <f t="shared" si="209"/>
        <v>11</v>
      </c>
      <c r="D627" s="150">
        <f>IF(E627="","",Input!$C$4+B627-1)</f>
        <v>96</v>
      </c>
      <c r="E627" s="150">
        <f>IF(OR(AND(C626=12,D626=Input!$C$6),E626=""),"",1)</f>
        <v>1</v>
      </c>
      <c r="F627" s="150">
        <f>IF(E627="","",Input!$C$8+B627-1)</f>
        <v>2069</v>
      </c>
      <c r="G627" s="151">
        <f>IF(E627="","",MAX(0,Input!$C$9-B627))</f>
        <v>0</v>
      </c>
      <c r="H627" s="152">
        <f>IF(E627="","",Input!$C$3)</f>
        <v>100000</v>
      </c>
      <c r="I627" s="153">
        <f>IF(E627="","",HLOOKUP($B627,Input!$C$13:$BT$14,2))</f>
        <v>642.95350000000008</v>
      </c>
      <c r="J627" s="154"/>
      <c r="K627" s="155">
        <f>IF($E627="","",Input!$C$57)</f>
        <v>4.4999999999999998E-2</v>
      </c>
      <c r="L627" s="155">
        <f t="shared" si="200"/>
        <v>3.6748094004368514E-3</v>
      </c>
      <c r="M627" s="147">
        <f>IF($E627="","",VLOOKUP(IF($B627&lt;=Input!$C$7,$B627,26),'Mortality Tables'!$A$72:$CA$97,IF($B627&lt;=Input!$C$7+1,Input!$C$4-16,$D627-Input!$C$7-16),0)/1000)</f>
        <v>0.26243</v>
      </c>
      <c r="N627" s="147">
        <f t="shared" si="189"/>
        <v>2.5047171325656259E-2</v>
      </c>
      <c r="O627" s="157">
        <f>IF($E627="","",IF($C627=12,IF($B627&lt;Input!$C$9,Input!$C$54,IF($B627=Input!$C$9,Input!$C$55,Input!$C$56)),0%))</f>
        <v>0</v>
      </c>
      <c r="P627" s="167">
        <f>IF($E627="","",IF($B627=1,Input!$C$59,IF($B627&lt;6,Input!$C$60,0%)))</f>
        <v>0</v>
      </c>
      <c r="Q627" s="162">
        <f>IF($E627="","",Input!$C$58)</f>
        <v>2.5</v>
      </c>
      <c r="R627" s="156">
        <f t="shared" si="201"/>
        <v>0.97495282867434374</v>
      </c>
      <c r="S627" s="154">
        <f t="shared" si="190"/>
        <v>1.3248164451805757E-4</v>
      </c>
      <c r="T627" s="152"/>
      <c r="U627" s="150">
        <f t="shared" si="202"/>
        <v>0</v>
      </c>
      <c r="V627" s="150">
        <f t="shared" si="203"/>
        <v>0</v>
      </c>
      <c r="W627" s="168">
        <f t="shared" si="204"/>
        <v>0</v>
      </c>
      <c r="X627" s="163">
        <f t="shared" si="191"/>
        <v>2504.7171325656259</v>
      </c>
      <c r="Y627" s="152"/>
      <c r="Z627" s="164">
        <f>IF(AND($C626=12,$D626=Input!$C$6),0,IF($E627="","",V627+Z628/(1+L627)*R627))</f>
        <v>157760.05562639679</v>
      </c>
      <c r="AA627" s="164">
        <f>IF(OR($M627=1,AND($C626=12,$D626=Input!$C$6)),0,IF($E627="","",W627+(X627+AA628*$R627)/(1+$L627)))</f>
        <v>68037.252552021062</v>
      </c>
      <c r="AB627" s="160">
        <f t="shared" si="192"/>
        <v>0.825720328500681</v>
      </c>
      <c r="AC627" s="164">
        <f t="shared" si="193"/>
        <v>0</v>
      </c>
      <c r="AD627" s="164">
        <f>IF(AND($C626=12,$D626=Input!$C$6),0,IF($E627="","",$AC627+AD628/(1+$L627)*$R627))</f>
        <v>130265.68495611404</v>
      </c>
      <c r="AE627" s="152"/>
      <c r="AF627" s="164">
        <f>IF(AND($C626=12,$D626=Input!$C$6),0,IF($E627="","",IF($B627&gt;Input!$C$9,$AC627,0)+AF628/(1+$L627)*$R627))</f>
        <v>130265.68495611404</v>
      </c>
      <c r="AG627" s="164">
        <f>IF(AND($C626=12,$D626=Input!$C$6),0,IF($E627="","",(IF($B627&gt;Input!$C$9,$X627,0)+AG628)/(1+$L627)*$R627))</f>
        <v>65261.629408147157</v>
      </c>
      <c r="AH627" s="160">
        <f t="shared" si="194"/>
        <v>2.0950137211446997</v>
      </c>
      <c r="AI627" s="160">
        <f>IF($E627="","",MIN(Input!$C$61/AH627,1))</f>
        <v>0.64438718771845094</v>
      </c>
      <c r="AJ627" s="152"/>
      <c r="AK627" s="164">
        <f>IF(AND($C626=12,$D626=Input!$C$6),0,IF($E627="","",IF($B627&gt;Input!$C$9,$AC627*AI627,0)+AK628/(1+$L627)*$R627))</f>
        <v>83941.538385088032</v>
      </c>
      <c r="AL627" s="164">
        <f>IF(AND($C626=12,$D626=Input!$C$6),0,IF($E627="","",IF($B627&gt;Input!$C$9,0,$AC627)+AL628/(1+$L627)*$R627))</f>
        <v>0</v>
      </c>
      <c r="AM627" s="160">
        <f t="shared" si="195"/>
        <v>1.1382936520186004</v>
      </c>
      <c r="AN627" s="164">
        <f>IF($E627="","",IF($B627&gt;Input!$C$9,$AI627*$AC627,$AM627*$AC627))</f>
        <v>0</v>
      </c>
      <c r="AO627" s="164">
        <f>IF(AND($C626=12,$D626=Input!$C$6),0,IF($E627="","",$AN627+AO628/(1+$L627)*$R627))</f>
        <v>83941.538385088032</v>
      </c>
      <c r="AP627" s="152"/>
      <c r="AQ627" s="164">
        <f t="shared" si="196"/>
        <v>-15904.28583306697</v>
      </c>
      <c r="AR627" s="164">
        <f t="shared" si="205"/>
        <v>-1764.4999230554895</v>
      </c>
      <c r="AS627" s="164">
        <f t="shared" si="206"/>
        <v>12556.459330143542</v>
      </c>
      <c r="AT627" s="164">
        <f t="shared" si="197"/>
        <v>12556.459330143542</v>
      </c>
      <c r="AU627" s="152"/>
      <c r="AV627" s="147">
        <f>'Deterministic Reserve'!BC627</f>
        <v>2.90862510642671E-6</v>
      </c>
      <c r="AW627" s="164">
        <f t="shared" si="198"/>
        <v>12556.459330143542</v>
      </c>
      <c r="AX627" s="164">
        <f t="shared" si="199"/>
        <v>3.6522032855481418E-2</v>
      </c>
      <c r="AY627" s="152"/>
    </row>
    <row r="628" spans="1:51" s="150" customFormat="1" x14ac:dyDescent="0.25">
      <c r="A628" s="150">
        <f t="shared" si="207"/>
        <v>624</v>
      </c>
      <c r="B628" s="150">
        <f t="shared" si="208"/>
        <v>52</v>
      </c>
      <c r="C628" s="150">
        <f t="shared" si="209"/>
        <v>12</v>
      </c>
      <c r="D628" s="150">
        <f>IF(E628="","",Input!$C$4+B628-1)</f>
        <v>96</v>
      </c>
      <c r="E628" s="150">
        <f>IF(OR(AND(C627=12,D627=Input!$C$6),E627=""),"",1)</f>
        <v>1</v>
      </c>
      <c r="F628" s="150">
        <f>IF(E628="","",Input!$C$8+B628-1)</f>
        <v>2069</v>
      </c>
      <c r="G628" s="151">
        <f>IF(E628="","",MAX(0,Input!$C$9-B628))</f>
        <v>0</v>
      </c>
      <c r="H628" s="152">
        <f>IF(E628="","",Input!$C$3)</f>
        <v>100000</v>
      </c>
      <c r="I628" s="153">
        <f>IF(E628="","",HLOOKUP($B628,Input!$C$13:$BT$14,2))</f>
        <v>642.95350000000008</v>
      </c>
      <c r="J628" s="154"/>
      <c r="K628" s="155">
        <f>IF($E628="","",Input!$C$57)</f>
        <v>4.4999999999999998E-2</v>
      </c>
      <c r="L628" s="155">
        <f t="shared" si="200"/>
        <v>3.6748094004368514E-3</v>
      </c>
      <c r="M628" s="147">
        <f>IF($E628="","",VLOOKUP(IF($B628&lt;=Input!$C$7,$B628,26),'Mortality Tables'!$A$72:$CA$97,IF($B628&lt;=Input!$C$7+1,Input!$C$4-16,$D628-Input!$C$7-16),0)/1000)</f>
        <v>0.26243</v>
      </c>
      <c r="N628" s="147">
        <f t="shared" si="189"/>
        <v>2.5047171325656259E-2</v>
      </c>
      <c r="O628" s="157">
        <f>IF($E628="","",IF($C628=12,IF($B628&lt;Input!$C$9,Input!$C$54,IF($B628=Input!$C$9,Input!$C$55,Input!$C$56)),0%))</f>
        <v>0.1</v>
      </c>
      <c r="P628" s="167">
        <f>IF($E628="","",IF($B628=1,Input!$C$59,IF($B628&lt;6,Input!$C$60,0%)))</f>
        <v>0</v>
      </c>
      <c r="Q628" s="162">
        <f>IF($E628="","",Input!$C$58)</f>
        <v>2.5</v>
      </c>
      <c r="R628" s="156">
        <f t="shared" si="201"/>
        <v>0.87495282867434376</v>
      </c>
      <c r="S628" s="154">
        <f t="shared" si="190"/>
        <v>1.1591518961850334E-4</v>
      </c>
      <c r="T628" s="152"/>
      <c r="U628" s="150">
        <f t="shared" si="202"/>
        <v>0</v>
      </c>
      <c r="V628" s="150">
        <f t="shared" si="203"/>
        <v>0</v>
      </c>
      <c r="W628" s="168">
        <f t="shared" si="204"/>
        <v>0</v>
      </c>
      <c r="X628" s="163">
        <f t="shared" si="191"/>
        <v>2504.7171325656259</v>
      </c>
      <c r="Y628" s="152"/>
      <c r="Z628" s="164">
        <f>IF(AND($C627=12,$D627=Input!$C$6),0,IF($E628="","",V628+Z629/(1+L628)*R628))</f>
        <v>162407.64589310728</v>
      </c>
      <c r="AA628" s="164">
        <f>IF(OR($M628=1,AND($C627=12,$D627=Input!$C$6)),0,IF($E628="","",W628+(X628+AA629*$R628)/(1+$L628)))</f>
        <v>67472.556025258091</v>
      </c>
      <c r="AB628" s="160">
        <f t="shared" si="192"/>
        <v>0.825720328500681</v>
      </c>
      <c r="AC628" s="164">
        <f t="shared" si="193"/>
        <v>0</v>
      </c>
      <c r="AD628" s="164">
        <f>IF(AND($C627=12,$D627=Input!$C$6),0,IF($E628="","",$AC628+AD629/(1+$L628)*$R628))</f>
        <v>134103.2947178788</v>
      </c>
      <c r="AE628" s="152"/>
      <c r="AF628" s="164">
        <f>IF(AND($C627=12,$D627=Input!$C$6),0,IF($E628="","",IF($B628&gt;Input!$C$9,$AC628,0)+AF629/(1+$L628)*$R628))</f>
        <v>134103.2947178788</v>
      </c>
      <c r="AG628" s="164">
        <f>IF(AND($C627=12,$D627=Input!$C$6),0,IF($E628="","",(IF($B628&gt;Input!$C$9,$X628,0)+AG629)/(1+$L628)*$R628))</f>
        <v>64679.511202303911</v>
      </c>
      <c r="AH628" s="160">
        <f t="shared" si="194"/>
        <v>2.0950137211446997</v>
      </c>
      <c r="AI628" s="160">
        <f>IF($E628="","",MIN(Input!$C$61/AH628,1))</f>
        <v>0.64438718771845094</v>
      </c>
      <c r="AJ628" s="152"/>
      <c r="AK628" s="164">
        <f>IF(AND($C627=12,$D627=Input!$C$6),0,IF($E628="","",IF($B628&gt;Input!$C$9,$AC628*AI628,0)+AK629/(1+$L628)*$R628))</f>
        <v>86414.444947032491</v>
      </c>
      <c r="AL628" s="164">
        <f>IF(AND($C627=12,$D627=Input!$C$6),0,IF($E628="","",IF($B628&gt;Input!$C$9,0,$AC628)+AL629/(1+$L628)*$R628))</f>
        <v>0</v>
      </c>
      <c r="AM628" s="160">
        <f t="shared" si="195"/>
        <v>1.1382936520186004</v>
      </c>
      <c r="AN628" s="164">
        <f>IF($E628="","",IF($B628&gt;Input!$C$9,$AI628*$AC628,$AM628*$AC628))</f>
        <v>0</v>
      </c>
      <c r="AO628" s="164">
        <f>IF(AND($C627=12,$D627=Input!$C$6),0,IF($E628="","",$AN628+AO629/(1+$L628)*$R628))</f>
        <v>86414.444947032491</v>
      </c>
      <c r="AP628" s="152"/>
      <c r="AQ628" s="164">
        <f t="shared" si="196"/>
        <v>-18941.8889217744</v>
      </c>
      <c r="AR628" s="164">
        <f t="shared" si="205"/>
        <v>-1764.4999230554895</v>
      </c>
      <c r="AS628" s="164">
        <f t="shared" si="206"/>
        <v>12556.459330143542</v>
      </c>
      <c r="AT628" s="164">
        <f t="shared" si="197"/>
        <v>12556.459330143542</v>
      </c>
      <c r="AU628" s="152"/>
      <c r="AV628" s="147">
        <f>'Deterministic Reserve'!BC628</f>
        <v>2.4267363522558003E-6</v>
      </c>
      <c r="AW628" s="164">
        <f t="shared" si="198"/>
        <v>12556.459330143542</v>
      </c>
      <c r="AX628" s="164">
        <f t="shared" si="199"/>
        <v>3.0471216312080846E-2</v>
      </c>
      <c r="AY628" s="152"/>
    </row>
    <row r="629" spans="1:51" s="150" customFormat="1" x14ac:dyDescent="0.25">
      <c r="A629" s="150">
        <f t="shared" si="207"/>
        <v>625</v>
      </c>
      <c r="B629" s="150">
        <f t="shared" si="208"/>
        <v>53</v>
      </c>
      <c r="C629" s="150">
        <f t="shared" si="209"/>
        <v>1</v>
      </c>
      <c r="D629" s="150">
        <f>IF(E629="","",Input!$C$4+B629-1)</f>
        <v>97</v>
      </c>
      <c r="E629" s="150">
        <f>IF(OR(AND(C628=12,D628=Input!$C$6),E628=""),"",1)</f>
        <v>1</v>
      </c>
      <c r="F629" s="150">
        <f>IF(E629="","",Input!$C$8+B629-1)</f>
        <v>2070</v>
      </c>
      <c r="G629" s="151">
        <f>IF(E629="","",MAX(0,Input!$C$9-B629))</f>
        <v>0</v>
      </c>
      <c r="H629" s="152">
        <f>IF(E629="","",Input!$C$3)</f>
        <v>100000</v>
      </c>
      <c r="I629" s="153">
        <f>IF(E629="","",HLOOKUP($B629,Input!$C$13:$BT$14,2))</f>
        <v>692.59050000000002</v>
      </c>
      <c r="J629" s="154"/>
      <c r="K629" s="155">
        <f>IF($E629="","",Input!$C$57)</f>
        <v>4.4999999999999998E-2</v>
      </c>
      <c r="L629" s="155">
        <f t="shared" si="200"/>
        <v>3.6748094004368514E-3</v>
      </c>
      <c r="M629" s="147">
        <f>IF($E629="","",VLOOKUP(IF($B629&lt;=Input!$C$7,$B629,26),'Mortality Tables'!$A$72:$CA$97,IF($B629&lt;=Input!$C$7+1,Input!$C$4-16,$D629-Input!$C$7-16),0)/1000)</f>
        <v>0.28269</v>
      </c>
      <c r="N629" s="147">
        <f t="shared" si="189"/>
        <v>2.7307485343336602E-2</v>
      </c>
      <c r="O629" s="157">
        <f>IF($E629="","",IF($C629=12,IF($B629&lt;Input!$C$9,Input!$C$54,IF($B629=Input!$C$9,Input!$C$55,Input!$C$56)),0%))</f>
        <v>0</v>
      </c>
      <c r="P629" s="167">
        <f>IF($E629="","",IF($B629=1,Input!$C$59,IF($B629&lt;6,Input!$C$60,0%)))</f>
        <v>0</v>
      </c>
      <c r="Q629" s="162">
        <f>IF($E629="","",Input!$C$58)</f>
        <v>2.5</v>
      </c>
      <c r="R629" s="156">
        <f t="shared" si="201"/>
        <v>0.9726925146566634</v>
      </c>
      <c r="S629" s="154">
        <f t="shared" si="190"/>
        <v>1.1274983727692599E-4</v>
      </c>
      <c r="T629" s="152"/>
      <c r="U629" s="150">
        <f t="shared" si="202"/>
        <v>69259.05</v>
      </c>
      <c r="V629" s="150">
        <f t="shared" si="203"/>
        <v>69259.05</v>
      </c>
      <c r="W629" s="168">
        <f t="shared" si="204"/>
        <v>0</v>
      </c>
      <c r="X629" s="163">
        <f t="shared" si="191"/>
        <v>2730.7485343336602</v>
      </c>
      <c r="Y629" s="152"/>
      <c r="Z629" s="164">
        <f>IF(AND($C628=12,$D628=Input!$C$6),0,IF($E629="","",V629+Z630/(1+L629)*R629))</f>
        <v>186300.85839474224</v>
      </c>
      <c r="AA629" s="164">
        <f>IF(OR($M629=1,AND($C628=12,$D628=Input!$C$6)),0,IF($E629="","",W629+(X629+AA630*$R629)/(1+$L629)))</f>
        <v>74536.347033308237</v>
      </c>
      <c r="AB629" s="160">
        <f t="shared" si="192"/>
        <v>0.825720328500681</v>
      </c>
      <c r="AC629" s="164">
        <f t="shared" si="193"/>
        <v>57188.60551764509</v>
      </c>
      <c r="AD629" s="164">
        <f>IF(AND($C628=12,$D628=Input!$C$6),0,IF($E629="","",$AC629+AD630/(1+$L629)*$R629))</f>
        <v>153832.40599366539</v>
      </c>
      <c r="AE629" s="152"/>
      <c r="AF629" s="164">
        <f>IF(AND($C628=12,$D628=Input!$C$6),0,IF($E629="","",IF($B629&gt;Input!$C$9,$AC629,0)+AF630/(1+$L629)*$R629))</f>
        <v>153832.40599366539</v>
      </c>
      <c r="AG629" s="164">
        <f>IF(AND($C628=12,$D628=Input!$C$6),0,IF($E629="","",(IF($B629&gt;Input!$C$9,$X629,0)+AG630)/(1+$L629)*$R629))</f>
        <v>71690.363962769508</v>
      </c>
      <c r="AH629" s="160">
        <f t="shared" si="194"/>
        <v>2.0950137211446997</v>
      </c>
      <c r="AI629" s="160">
        <f>IF($E629="","",MIN(Input!$C$61/AH629,1))</f>
        <v>0.64438718771845094</v>
      </c>
      <c r="AJ629" s="152"/>
      <c r="AK629" s="164">
        <f>IF(AND($C628=12,$D628=Input!$C$6),0,IF($E629="","",IF($B629&gt;Input!$C$9,$AC629*AI629,0)+AK630/(1+$L629)*$R629))</f>
        <v>99127.631478220996</v>
      </c>
      <c r="AL629" s="164">
        <f>IF(AND($C628=12,$D628=Input!$C$6),0,IF($E629="","",IF($B629&gt;Input!$C$9,0,$AC629)+AL630/(1+$L629)*$R629))</f>
        <v>0</v>
      </c>
      <c r="AM629" s="160">
        <f t="shared" si="195"/>
        <v>1.1382936520186004</v>
      </c>
      <c r="AN629" s="164">
        <f>IF($E629="","",IF($B629&gt;Input!$C$9,$AI629*$AC629,$AM629*$AC629))</f>
        <v>36851.604679055206</v>
      </c>
      <c r="AO629" s="164">
        <f>IF(AND($C628=12,$D628=Input!$C$6),0,IF($E629="","",$AN629+AO630/(1+$L629)*$R629))</f>
        <v>99127.631478220996</v>
      </c>
      <c r="AP629" s="152"/>
      <c r="AQ629" s="164">
        <f t="shared" si="196"/>
        <v>-24591.284444912759</v>
      </c>
      <c r="AR629" s="164">
        <f t="shared" si="205"/>
        <v>-540.7184354156052</v>
      </c>
      <c r="AS629" s="164">
        <f t="shared" si="206"/>
        <v>13525.837320574163</v>
      </c>
      <c r="AT629" s="164">
        <f t="shared" si="197"/>
        <v>13525.837320574163</v>
      </c>
      <c r="AU629" s="152"/>
      <c r="AV629" s="147">
        <f>'Deterministic Reserve'!BC629</f>
        <v>2.2492712554300876E-6</v>
      </c>
      <c r="AW629" s="164">
        <f t="shared" si="198"/>
        <v>13525.837320574163</v>
      </c>
      <c r="AX629" s="164">
        <f t="shared" si="199"/>
        <v>3.0423277090790977E-2</v>
      </c>
      <c r="AY629" s="152"/>
    </row>
    <row r="630" spans="1:51" s="150" customFormat="1" x14ac:dyDescent="0.25">
      <c r="A630" s="150">
        <f t="shared" si="207"/>
        <v>626</v>
      </c>
      <c r="B630" s="150">
        <f t="shared" si="208"/>
        <v>53</v>
      </c>
      <c r="C630" s="150">
        <f t="shared" si="209"/>
        <v>2</v>
      </c>
      <c r="D630" s="150">
        <f>IF(E630="","",Input!$C$4+B630-1)</f>
        <v>97</v>
      </c>
      <c r="E630" s="150">
        <f>IF(OR(AND(C629=12,D629=Input!$C$6),E629=""),"",1)</f>
        <v>1</v>
      </c>
      <c r="F630" s="150">
        <f>IF(E630="","",Input!$C$8+B630-1)</f>
        <v>2070</v>
      </c>
      <c r="G630" s="151">
        <f>IF(E630="","",MAX(0,Input!$C$9-B630))</f>
        <v>0</v>
      </c>
      <c r="H630" s="152">
        <f>IF(E630="","",Input!$C$3)</f>
        <v>100000</v>
      </c>
      <c r="I630" s="153">
        <f>IF(E630="","",HLOOKUP($B630,Input!$C$13:$BT$14,2))</f>
        <v>692.59050000000002</v>
      </c>
      <c r="J630" s="154"/>
      <c r="K630" s="155">
        <f>IF($E630="","",Input!$C$57)</f>
        <v>4.4999999999999998E-2</v>
      </c>
      <c r="L630" s="155">
        <f t="shared" si="200"/>
        <v>3.6748094004368514E-3</v>
      </c>
      <c r="M630" s="147">
        <f>IF($E630="","",VLOOKUP(IF($B630&lt;=Input!$C$7,$B630,26),'Mortality Tables'!$A$72:$CA$97,IF($B630&lt;=Input!$C$7+1,Input!$C$4-16,$D630-Input!$C$7-16),0)/1000)</f>
        <v>0.28269</v>
      </c>
      <c r="N630" s="147">
        <f t="shared" si="189"/>
        <v>2.7307485343336602E-2</v>
      </c>
      <c r="O630" s="157">
        <f>IF($E630="","",IF($C630=12,IF($B630&lt;Input!$C$9,Input!$C$54,IF($B630=Input!$C$9,Input!$C$55,Input!$C$56)),0%))</f>
        <v>0</v>
      </c>
      <c r="P630" s="167">
        <f>IF($E630="","",IF($B630=1,Input!$C$59,IF($B630&lt;6,Input!$C$60,0%)))</f>
        <v>0</v>
      </c>
      <c r="Q630" s="162">
        <f>IF($E630="","",Input!$C$58)</f>
        <v>2.5</v>
      </c>
      <c r="R630" s="156">
        <f t="shared" si="201"/>
        <v>0.9726925146566634</v>
      </c>
      <c r="S630" s="154">
        <f t="shared" si="190"/>
        <v>1.0967092274802274E-4</v>
      </c>
      <c r="T630" s="152"/>
      <c r="U630" s="150">
        <f t="shared" si="202"/>
        <v>0</v>
      </c>
      <c r="V630" s="150">
        <f t="shared" si="203"/>
        <v>0</v>
      </c>
      <c r="W630" s="168">
        <f t="shared" si="204"/>
        <v>0</v>
      </c>
      <c r="X630" s="163">
        <f t="shared" si="191"/>
        <v>2730.7485343336602</v>
      </c>
      <c r="Y630" s="152"/>
      <c r="Z630" s="164">
        <f>IF(AND($C629=12,$D629=Input!$C$6),0,IF($E630="","",V630+Z631/(1+L630)*R630))</f>
        <v>120769.83523815857</v>
      </c>
      <c r="AA630" s="164">
        <f>IF(OR($M630=1,AND($C629=12,$D629=Input!$C$6)),0,IF($E630="","",W630+(X630+AA631*$R630)/(1+$L630)))</f>
        <v>74103.073974172716</v>
      </c>
      <c r="AB630" s="160">
        <f t="shared" si="192"/>
        <v>0.825720328500681</v>
      </c>
      <c r="AC630" s="164">
        <f t="shared" si="193"/>
        <v>0</v>
      </c>
      <c r="AD630" s="164">
        <f>IF(AND($C629=12,$D629=Input!$C$6),0,IF($E630="","",$AC630+AD631/(1+$L630)*$R630))</f>
        <v>99722.108025825379</v>
      </c>
      <c r="AE630" s="152"/>
      <c r="AF630" s="164">
        <f>IF(AND($C629=12,$D629=Input!$C$6),0,IF($E630="","",IF($B630&gt;Input!$C$9,$AC630,0)+AF631/(1+$L630)*$R630))</f>
        <v>99722.108025825379</v>
      </c>
      <c r="AG630" s="164">
        <f>IF(AND($C629=12,$D629=Input!$C$6),0,IF($E630="","",(IF($B630&gt;Input!$C$9,$X630,0)+AG631)/(1+$L630)*$R630))</f>
        <v>71243.10373857971</v>
      </c>
      <c r="AH630" s="160">
        <f t="shared" si="194"/>
        <v>2.0950137211446997</v>
      </c>
      <c r="AI630" s="160">
        <f>IF($E630="","",MIN(Input!$C$61/AH630,1))</f>
        <v>0.64438718771845094</v>
      </c>
      <c r="AJ630" s="152"/>
      <c r="AK630" s="164">
        <f>IF(AND($C629=12,$D629=Input!$C$6),0,IF($E630="","",IF($B630&gt;Input!$C$9,$AC630*AI630,0)+AK631/(1+$L630)*$R630))</f>
        <v>64259.648744117163</v>
      </c>
      <c r="AL630" s="164">
        <f>IF(AND($C629=12,$D629=Input!$C$6),0,IF($E630="","",IF($B630&gt;Input!$C$9,0,$AC630)+AL631/(1+$L630)*$R630))</f>
        <v>0</v>
      </c>
      <c r="AM630" s="160">
        <f t="shared" si="195"/>
        <v>1.1382936520186004</v>
      </c>
      <c r="AN630" s="164">
        <f>IF($E630="","",IF($B630&gt;Input!$C$9,$AI630*$AC630,$AM630*$AC630))</f>
        <v>0</v>
      </c>
      <c r="AO630" s="164">
        <f>IF(AND($C629=12,$D629=Input!$C$6),0,IF($E630="","",$AN630+AO631/(1+$L630)*$R630))</f>
        <v>64259.648744117163</v>
      </c>
      <c r="AP630" s="152"/>
      <c r="AQ630" s="164">
        <f t="shared" si="196"/>
        <v>9843.4252300555527</v>
      </c>
      <c r="AR630" s="164">
        <f t="shared" si="205"/>
        <v>-540.7184354156052</v>
      </c>
      <c r="AS630" s="164">
        <f t="shared" si="206"/>
        <v>13525.837320574163</v>
      </c>
      <c r="AT630" s="164">
        <f t="shared" si="197"/>
        <v>13525.837320574163</v>
      </c>
      <c r="AU630" s="152"/>
      <c r="AV630" s="147">
        <f>'Deterministic Reserve'!BC630</f>
        <v>2.0847840251789966E-6</v>
      </c>
      <c r="AW630" s="164">
        <f t="shared" si="198"/>
        <v>13525.837320574163</v>
      </c>
      <c r="AX630" s="164">
        <f t="shared" si="199"/>
        <v>2.8198449573102895E-2</v>
      </c>
      <c r="AY630" s="152"/>
    </row>
    <row r="631" spans="1:51" s="150" customFormat="1" x14ac:dyDescent="0.25">
      <c r="A631" s="150">
        <f t="shared" si="207"/>
        <v>627</v>
      </c>
      <c r="B631" s="150">
        <f t="shared" si="208"/>
        <v>53</v>
      </c>
      <c r="C631" s="150">
        <f t="shared" si="209"/>
        <v>3</v>
      </c>
      <c r="D631" s="150">
        <f>IF(E631="","",Input!$C$4+B631-1)</f>
        <v>97</v>
      </c>
      <c r="E631" s="150">
        <f>IF(OR(AND(C630=12,D630=Input!$C$6),E630=""),"",1)</f>
        <v>1</v>
      </c>
      <c r="F631" s="150">
        <f>IF(E631="","",Input!$C$8+B631-1)</f>
        <v>2070</v>
      </c>
      <c r="G631" s="151">
        <f>IF(E631="","",MAX(0,Input!$C$9-B631))</f>
        <v>0</v>
      </c>
      <c r="H631" s="152">
        <f>IF(E631="","",Input!$C$3)</f>
        <v>100000</v>
      </c>
      <c r="I631" s="153">
        <f>IF(E631="","",HLOOKUP($B631,Input!$C$13:$BT$14,2))</f>
        <v>692.59050000000002</v>
      </c>
      <c r="J631" s="154"/>
      <c r="K631" s="155">
        <f>IF($E631="","",Input!$C$57)</f>
        <v>4.4999999999999998E-2</v>
      </c>
      <c r="L631" s="155">
        <f t="shared" si="200"/>
        <v>3.6748094004368514E-3</v>
      </c>
      <c r="M631" s="147">
        <f>IF($E631="","",VLOOKUP(IF($B631&lt;=Input!$C$7,$B631,26),'Mortality Tables'!$A$72:$CA$97,IF($B631&lt;=Input!$C$7+1,Input!$C$4-16,$D631-Input!$C$7-16),0)/1000)</f>
        <v>0.28269</v>
      </c>
      <c r="N631" s="147">
        <f t="shared" si="189"/>
        <v>2.7307485343336602E-2</v>
      </c>
      <c r="O631" s="157">
        <f>IF($E631="","",IF($C631=12,IF($B631&lt;Input!$C$9,Input!$C$54,IF($B631=Input!$C$9,Input!$C$55,Input!$C$56)),0%))</f>
        <v>0</v>
      </c>
      <c r="P631" s="167">
        <f>IF($E631="","",IF($B631=1,Input!$C$59,IF($B631&lt;6,Input!$C$60,0%)))</f>
        <v>0</v>
      </c>
      <c r="Q631" s="162">
        <f>IF($E631="","",Input!$C$58)</f>
        <v>2.5</v>
      </c>
      <c r="R631" s="156">
        <f t="shared" si="201"/>
        <v>0.9726925146566634</v>
      </c>
      <c r="S631" s="154">
        <f t="shared" si="190"/>
        <v>1.0667608563249091E-4</v>
      </c>
      <c r="T631" s="152"/>
      <c r="U631" s="150">
        <f t="shared" si="202"/>
        <v>0</v>
      </c>
      <c r="V631" s="150">
        <f t="shared" si="203"/>
        <v>0</v>
      </c>
      <c r="W631" s="168">
        <f t="shared" si="204"/>
        <v>0</v>
      </c>
      <c r="X631" s="163">
        <f t="shared" si="191"/>
        <v>2730.7485343336602</v>
      </c>
      <c r="Y631" s="152"/>
      <c r="Z631" s="164">
        <f>IF(AND($C630=12,$D630=Input!$C$6),0,IF($E631="","",V631+Z632/(1+L631)*R631))</f>
        <v>124616.60754813807</v>
      </c>
      <c r="AA631" s="164">
        <f>IF(OR($M631=1,AND($C630=12,$D630=Input!$C$6)),0,IF($E631="","",W631+(X631+AA632*$R631)/(1+$L631)))</f>
        <v>73656.0002602358</v>
      </c>
      <c r="AB631" s="160">
        <f t="shared" si="192"/>
        <v>0.825720328500681</v>
      </c>
      <c r="AC631" s="164">
        <f t="shared" si="193"/>
        <v>0</v>
      </c>
      <c r="AD631" s="164">
        <f>IF(AND($C630=12,$D630=Input!$C$6),0,IF($E631="","",$AC631+AD632/(1+$L631)*$R631))</f>
        <v>102898.46612128898</v>
      </c>
      <c r="AE631" s="152"/>
      <c r="AF631" s="164">
        <f>IF(AND($C630=12,$D630=Input!$C$6),0,IF($E631="","",IF($B631&gt;Input!$C$9,$AC631,0)+AF632/(1+$L631)*$R631))</f>
        <v>102898.46612128898</v>
      </c>
      <c r="AG631" s="164">
        <f>IF(AND($C630=12,$D630=Input!$C$6),0,IF($E631="","",(IF($B631&gt;Input!$C$9,$X631,0)+AG632)/(1+$L631)*$R631))</f>
        <v>70781.597339073225</v>
      </c>
      <c r="AH631" s="160">
        <f t="shared" si="194"/>
        <v>2.0950137211446997</v>
      </c>
      <c r="AI631" s="160">
        <f>IF($E631="","",MIN(Input!$C$61/AH631,1))</f>
        <v>0.64438718771845094</v>
      </c>
      <c r="AJ631" s="152"/>
      <c r="AK631" s="164">
        <f>IF(AND($C630=12,$D630=Input!$C$6),0,IF($E631="","",IF($B631&gt;Input!$C$9,$AC631*AI631,0)+AK632/(1+$L631)*$R631))</f>
        <v>66306.453204439691</v>
      </c>
      <c r="AL631" s="164">
        <f>IF(AND($C630=12,$D630=Input!$C$6),0,IF($E631="","",IF($B631&gt;Input!$C$9,0,$AC631)+AL632/(1+$L631)*$R631))</f>
        <v>0</v>
      </c>
      <c r="AM631" s="160">
        <f t="shared" si="195"/>
        <v>1.1382936520186004</v>
      </c>
      <c r="AN631" s="164">
        <f>IF($E631="","",IF($B631&gt;Input!$C$9,$AI631*$AC631,$AM631*$AC631))</f>
        <v>0</v>
      </c>
      <c r="AO631" s="164">
        <f>IF(AND($C630=12,$D630=Input!$C$6),0,IF($E631="","",$AN631+AO632/(1+$L631)*$R631))</f>
        <v>66306.453204439691</v>
      </c>
      <c r="AP631" s="152"/>
      <c r="AQ631" s="164">
        <f t="shared" si="196"/>
        <v>7349.5470557961089</v>
      </c>
      <c r="AR631" s="164">
        <f t="shared" si="205"/>
        <v>-540.7184354156052</v>
      </c>
      <c r="AS631" s="164">
        <f t="shared" si="206"/>
        <v>13525.837320574163</v>
      </c>
      <c r="AT631" s="164">
        <f t="shared" si="197"/>
        <v>13525.837320574163</v>
      </c>
      <c r="AU631" s="152"/>
      <c r="AV631" s="147">
        <f>'Deterministic Reserve'!BC631</f>
        <v>1.9323256015248679E-6</v>
      </c>
      <c r="AW631" s="164">
        <f t="shared" si="198"/>
        <v>13525.837320574163</v>
      </c>
      <c r="AX631" s="164">
        <f t="shared" si="199"/>
        <v>2.6136321736605978E-2</v>
      </c>
      <c r="AY631" s="152"/>
    </row>
    <row r="632" spans="1:51" s="150" customFormat="1" x14ac:dyDescent="0.25">
      <c r="A632" s="150">
        <f t="shared" si="207"/>
        <v>628</v>
      </c>
      <c r="B632" s="150">
        <f t="shared" si="208"/>
        <v>53</v>
      </c>
      <c r="C632" s="150">
        <f t="shared" si="209"/>
        <v>4</v>
      </c>
      <c r="D632" s="150">
        <f>IF(E632="","",Input!$C$4+B632-1)</f>
        <v>97</v>
      </c>
      <c r="E632" s="150">
        <f>IF(OR(AND(C631=12,D631=Input!$C$6),E631=""),"",1)</f>
        <v>1</v>
      </c>
      <c r="F632" s="150">
        <f>IF(E632="","",Input!$C$8+B632-1)</f>
        <v>2070</v>
      </c>
      <c r="G632" s="151">
        <f>IF(E632="","",MAX(0,Input!$C$9-B632))</f>
        <v>0</v>
      </c>
      <c r="H632" s="152">
        <f>IF(E632="","",Input!$C$3)</f>
        <v>100000</v>
      </c>
      <c r="I632" s="153">
        <f>IF(E632="","",HLOOKUP($B632,Input!$C$13:$BT$14,2))</f>
        <v>692.59050000000002</v>
      </c>
      <c r="J632" s="154"/>
      <c r="K632" s="155">
        <f>IF($E632="","",Input!$C$57)</f>
        <v>4.4999999999999998E-2</v>
      </c>
      <c r="L632" s="155">
        <f t="shared" si="200"/>
        <v>3.6748094004368514E-3</v>
      </c>
      <c r="M632" s="147">
        <f>IF($E632="","",VLOOKUP(IF($B632&lt;=Input!$C$7,$B632,26),'Mortality Tables'!$A$72:$CA$97,IF($B632&lt;=Input!$C$7+1,Input!$C$4-16,$D632-Input!$C$7-16),0)/1000)</f>
        <v>0.28269</v>
      </c>
      <c r="N632" s="147">
        <f t="shared" si="189"/>
        <v>2.7307485343336602E-2</v>
      </c>
      <c r="O632" s="157">
        <f>IF($E632="","",IF($C632=12,IF($B632&lt;Input!$C$9,Input!$C$54,IF($B632=Input!$C$9,Input!$C$55,Input!$C$56)),0%))</f>
        <v>0</v>
      </c>
      <c r="P632" s="167">
        <f>IF($E632="","",IF($B632=1,Input!$C$59,IF($B632&lt;6,Input!$C$60,0%)))</f>
        <v>0</v>
      </c>
      <c r="Q632" s="162">
        <f>IF($E632="","",Input!$C$58)</f>
        <v>2.5</v>
      </c>
      <c r="R632" s="156">
        <f t="shared" si="201"/>
        <v>0.9726925146566634</v>
      </c>
      <c r="S632" s="154">
        <f t="shared" si="190"/>
        <v>1.0376302998759714E-4</v>
      </c>
      <c r="T632" s="152"/>
      <c r="U632" s="150">
        <f t="shared" si="202"/>
        <v>0</v>
      </c>
      <c r="V632" s="150">
        <f t="shared" si="203"/>
        <v>0</v>
      </c>
      <c r="W632" s="168">
        <f t="shared" si="204"/>
        <v>0</v>
      </c>
      <c r="X632" s="163">
        <f t="shared" si="191"/>
        <v>2730.7485343336602</v>
      </c>
      <c r="Y632" s="152"/>
      <c r="Z632" s="164">
        <f>IF(AND($C631=12,$D631=Input!$C$6),0,IF($E632="","",V632+Z633/(1+L632)*R632))</f>
        <v>128585.90761660664</v>
      </c>
      <c r="AA632" s="164">
        <f>IF(OR($M632=1,AND($C631=12,$D631=Input!$C$6)),0,IF($E632="","",W632+(X632+AA633*$R632)/(1+$L632)))</f>
        <v>73194.686311724567</v>
      </c>
      <c r="AB632" s="160">
        <f t="shared" si="192"/>
        <v>0.825720328500681</v>
      </c>
      <c r="AC632" s="164">
        <f t="shared" si="193"/>
        <v>0</v>
      </c>
      <c r="AD632" s="164">
        <f>IF(AND($C631=12,$D631=Input!$C$6),0,IF($E632="","",$AC632+AD633/(1+$L632)*$R632))</f>
        <v>106175.99787774261</v>
      </c>
      <c r="AE632" s="152"/>
      <c r="AF632" s="164">
        <f>IF(AND($C631=12,$D631=Input!$C$6),0,IF($E632="","",IF($B632&gt;Input!$C$9,$AC632,0)+AF633/(1+$L632)*$R632))</f>
        <v>106175.99787774261</v>
      </c>
      <c r="AG632" s="164">
        <f>IF(AND($C631=12,$D631=Input!$C$6),0,IF($E632="","",(IF($B632&gt;Input!$C$9,$X632,0)+AG633)/(1+$L632)*$R632))</f>
        <v>70305.390993715206</v>
      </c>
      <c r="AH632" s="160">
        <f t="shared" si="194"/>
        <v>2.0950137211446997</v>
      </c>
      <c r="AI632" s="160">
        <f>IF($E632="","",MIN(Input!$C$61/AH632,1))</f>
        <v>0.64438718771845094</v>
      </c>
      <c r="AJ632" s="152"/>
      <c r="AK632" s="164">
        <f>IF(AND($C631=12,$D631=Input!$C$6),0,IF($E632="","",IF($B632&gt;Input!$C$9,$AC632*AI632,0)+AK633/(1+$L632)*$R632))</f>
        <v>68418.452675638764</v>
      </c>
      <c r="AL632" s="164">
        <f>IF(AND($C631=12,$D631=Input!$C$6),0,IF($E632="","",IF($B632&gt;Input!$C$9,0,$AC632)+AL633/(1+$L632)*$R632))</f>
        <v>0</v>
      </c>
      <c r="AM632" s="160">
        <f t="shared" si="195"/>
        <v>1.1382936520186004</v>
      </c>
      <c r="AN632" s="164">
        <f>IF($E632="","",IF($B632&gt;Input!$C$9,$AI632*$AC632,$AM632*$AC632))</f>
        <v>0</v>
      </c>
      <c r="AO632" s="164">
        <f>IF(AND($C631=12,$D631=Input!$C$6),0,IF($E632="","",$AN632+AO633/(1+$L632)*$R632))</f>
        <v>68418.452675638764</v>
      </c>
      <c r="AP632" s="152"/>
      <c r="AQ632" s="164">
        <f t="shared" si="196"/>
        <v>4776.2336360858026</v>
      </c>
      <c r="AR632" s="164">
        <f t="shared" si="205"/>
        <v>-540.7184354156052</v>
      </c>
      <c r="AS632" s="164">
        <f t="shared" si="206"/>
        <v>13525.837320574163</v>
      </c>
      <c r="AT632" s="164">
        <f t="shared" si="197"/>
        <v>13525.837320574163</v>
      </c>
      <c r="AU632" s="152"/>
      <c r="AV632" s="147">
        <f>'Deterministic Reserve'!BC632</f>
        <v>1.7910163284121754E-6</v>
      </c>
      <c r="AW632" s="164">
        <f t="shared" si="198"/>
        <v>13525.837320574163</v>
      </c>
      <c r="AX632" s="164">
        <f t="shared" si="199"/>
        <v>2.4224995496595111E-2</v>
      </c>
      <c r="AY632" s="152"/>
    </row>
    <row r="633" spans="1:51" s="150" customFormat="1" x14ac:dyDescent="0.25">
      <c r="A633" s="150">
        <f t="shared" si="207"/>
        <v>629</v>
      </c>
      <c r="B633" s="150">
        <f t="shared" si="208"/>
        <v>53</v>
      </c>
      <c r="C633" s="150">
        <f t="shared" si="209"/>
        <v>5</v>
      </c>
      <c r="D633" s="150">
        <f>IF(E633="","",Input!$C$4+B633-1)</f>
        <v>97</v>
      </c>
      <c r="E633" s="150">
        <f>IF(OR(AND(C632=12,D632=Input!$C$6),E632=""),"",1)</f>
        <v>1</v>
      </c>
      <c r="F633" s="150">
        <f>IF(E633="","",Input!$C$8+B633-1)</f>
        <v>2070</v>
      </c>
      <c r="G633" s="151">
        <f>IF(E633="","",MAX(0,Input!$C$9-B633))</f>
        <v>0</v>
      </c>
      <c r="H633" s="152">
        <f>IF(E633="","",Input!$C$3)</f>
        <v>100000</v>
      </c>
      <c r="I633" s="153">
        <f>IF(E633="","",HLOOKUP($B633,Input!$C$13:$BT$14,2))</f>
        <v>692.59050000000002</v>
      </c>
      <c r="J633" s="154"/>
      <c r="K633" s="155">
        <f>IF($E633="","",Input!$C$57)</f>
        <v>4.4999999999999998E-2</v>
      </c>
      <c r="L633" s="155">
        <f t="shared" si="200"/>
        <v>3.6748094004368514E-3</v>
      </c>
      <c r="M633" s="147">
        <f>IF($E633="","",VLOOKUP(IF($B633&lt;=Input!$C$7,$B633,26),'Mortality Tables'!$A$72:$CA$97,IF($B633&lt;=Input!$C$7+1,Input!$C$4-16,$D633-Input!$C$7-16),0)/1000)</f>
        <v>0.28269</v>
      </c>
      <c r="N633" s="147">
        <f t="shared" si="189"/>
        <v>2.7307485343336602E-2</v>
      </c>
      <c r="O633" s="157">
        <f>IF($E633="","",IF($C633=12,IF($B633&lt;Input!$C$9,Input!$C$54,IF($B633=Input!$C$9,Input!$C$55,Input!$C$56)),0%))</f>
        <v>0</v>
      </c>
      <c r="P633" s="167">
        <f>IF($E633="","",IF($B633=1,Input!$C$59,IF($B633&lt;6,Input!$C$60,0%)))</f>
        <v>0</v>
      </c>
      <c r="Q633" s="162">
        <f>IF($E633="","",Input!$C$58)</f>
        <v>2.5</v>
      </c>
      <c r="R633" s="156">
        <f t="shared" si="201"/>
        <v>0.9726925146566634</v>
      </c>
      <c r="S633" s="154">
        <f t="shared" si="190"/>
        <v>1.0092952256703063E-4</v>
      </c>
      <c r="T633" s="152"/>
      <c r="U633" s="150">
        <f t="shared" si="202"/>
        <v>0</v>
      </c>
      <c r="V633" s="150">
        <f t="shared" si="203"/>
        <v>0</v>
      </c>
      <c r="W633" s="168">
        <f t="shared" si="204"/>
        <v>0</v>
      </c>
      <c r="X633" s="163">
        <f t="shared" si="191"/>
        <v>2730.7485343336602</v>
      </c>
      <c r="Y633" s="152"/>
      <c r="Z633" s="164">
        <f>IF(AND($C632=12,$D632=Input!$C$6),0,IF($E633="","",V633+Z634/(1+L633)*R633))</f>
        <v>132681.6382094133</v>
      </c>
      <c r="AA633" s="164">
        <f>IF(OR($M633=1,AND($C632=12,$D632=Input!$C$6)),0,IF($E633="","",W633+(X633+AA634*$R633)/(1+$L633)))</f>
        <v>72718.678547329255</v>
      </c>
      <c r="AB633" s="160">
        <f t="shared" si="192"/>
        <v>0.825720328500681</v>
      </c>
      <c r="AC633" s="164">
        <f t="shared" si="193"/>
        <v>0</v>
      </c>
      <c r="AD633" s="164">
        <f>IF(AND($C632=12,$D632=Input!$C$6),0,IF($E633="","",$AC633+AD634/(1+$L633)*$R633))</f>
        <v>109557.92588828522</v>
      </c>
      <c r="AE633" s="152"/>
      <c r="AF633" s="164">
        <f>IF(AND($C632=12,$D632=Input!$C$6),0,IF($E633="","",IF($B633&gt;Input!$C$9,$AC633,0)+AF634/(1+$L633)*$R633))</f>
        <v>109557.92588828522</v>
      </c>
      <c r="AG633" s="164">
        <f>IF(AND($C632=12,$D632=Input!$C$6),0,IF($E633="","",(IF($B633&gt;Input!$C$9,$X633,0)+AG634)/(1+$L633)*$R633))</f>
        <v>69814.016478428442</v>
      </c>
      <c r="AH633" s="160">
        <f t="shared" si="194"/>
        <v>2.0950137211446997</v>
      </c>
      <c r="AI633" s="160">
        <f>IF($E633="","",MIN(Input!$C$61/AH633,1))</f>
        <v>0.64438718771845094</v>
      </c>
      <c r="AJ633" s="152"/>
      <c r="AK633" s="164">
        <f>IF(AND($C632=12,$D632=Input!$C$6),0,IF($E633="","",IF($B633&gt;Input!$C$9,$AC633*AI633,0)+AK634/(1+$L633)*$R633))</f>
        <v>70597.723755418556</v>
      </c>
      <c r="AL633" s="164">
        <f>IF(AND($C632=12,$D632=Input!$C$6),0,IF($E633="","",IF($B633&gt;Input!$C$9,0,$AC633)+AL634/(1+$L633)*$R633))</f>
        <v>0</v>
      </c>
      <c r="AM633" s="160">
        <f t="shared" si="195"/>
        <v>1.1382936520186004</v>
      </c>
      <c r="AN633" s="164">
        <f>IF($E633="","",IF($B633&gt;Input!$C$9,$AI633*$AC633,$AM633*$AC633))</f>
        <v>0</v>
      </c>
      <c r="AO633" s="164">
        <f>IF(AND($C632=12,$D632=Input!$C$6),0,IF($E633="","",$AN633+AO634/(1+$L633)*$R633))</f>
        <v>70597.723755418556</v>
      </c>
      <c r="AP633" s="152"/>
      <c r="AQ633" s="164">
        <f t="shared" si="196"/>
        <v>2120.954791910699</v>
      </c>
      <c r="AR633" s="164">
        <f t="shared" si="205"/>
        <v>-540.7184354156052</v>
      </c>
      <c r="AS633" s="164">
        <f t="shared" si="206"/>
        <v>13525.837320574163</v>
      </c>
      <c r="AT633" s="164">
        <f t="shared" si="197"/>
        <v>13525.837320574163</v>
      </c>
      <c r="AU633" s="152"/>
      <c r="AV633" s="147">
        <f>'Deterministic Reserve'!BC633</f>
        <v>1.6600408782596919E-6</v>
      </c>
      <c r="AW633" s="164">
        <f t="shared" si="198"/>
        <v>13525.837320574163</v>
      </c>
      <c r="AX633" s="164">
        <f t="shared" si="199"/>
        <v>2.2453442864843652E-2</v>
      </c>
      <c r="AY633" s="152"/>
    </row>
    <row r="634" spans="1:51" s="150" customFormat="1" x14ac:dyDescent="0.25">
      <c r="A634" s="150">
        <f t="shared" si="207"/>
        <v>630</v>
      </c>
      <c r="B634" s="150">
        <f t="shared" si="208"/>
        <v>53</v>
      </c>
      <c r="C634" s="150">
        <f t="shared" si="209"/>
        <v>6</v>
      </c>
      <c r="D634" s="150">
        <f>IF(E634="","",Input!$C$4+B634-1)</f>
        <v>97</v>
      </c>
      <c r="E634" s="150">
        <f>IF(OR(AND(C633=12,D633=Input!$C$6),E633=""),"",1)</f>
        <v>1</v>
      </c>
      <c r="F634" s="150">
        <f>IF(E634="","",Input!$C$8+B634-1)</f>
        <v>2070</v>
      </c>
      <c r="G634" s="151">
        <f>IF(E634="","",MAX(0,Input!$C$9-B634))</f>
        <v>0</v>
      </c>
      <c r="H634" s="152">
        <f>IF(E634="","",Input!$C$3)</f>
        <v>100000</v>
      </c>
      <c r="I634" s="153">
        <f>IF(E634="","",HLOOKUP($B634,Input!$C$13:$BT$14,2))</f>
        <v>692.59050000000002</v>
      </c>
      <c r="J634" s="154"/>
      <c r="K634" s="155">
        <f>IF($E634="","",Input!$C$57)</f>
        <v>4.4999999999999998E-2</v>
      </c>
      <c r="L634" s="155">
        <f t="shared" si="200"/>
        <v>3.6748094004368514E-3</v>
      </c>
      <c r="M634" s="147">
        <f>IF($E634="","",VLOOKUP(IF($B634&lt;=Input!$C$7,$B634,26),'Mortality Tables'!$A$72:$CA$97,IF($B634&lt;=Input!$C$7+1,Input!$C$4-16,$D634-Input!$C$7-16),0)/1000)</f>
        <v>0.28269</v>
      </c>
      <c r="N634" s="147">
        <f t="shared" si="189"/>
        <v>2.7307485343336602E-2</v>
      </c>
      <c r="O634" s="157">
        <f>IF($E634="","",IF($C634=12,IF($B634&lt;Input!$C$9,Input!$C$54,IF($B634=Input!$C$9,Input!$C$55,Input!$C$56)),0%))</f>
        <v>0</v>
      </c>
      <c r="P634" s="167">
        <f>IF($E634="","",IF($B634=1,Input!$C$59,IF($B634&lt;6,Input!$C$60,0%)))</f>
        <v>0</v>
      </c>
      <c r="Q634" s="162">
        <f>IF($E634="","",Input!$C$58)</f>
        <v>2.5</v>
      </c>
      <c r="R634" s="156">
        <f t="shared" si="201"/>
        <v>0.9726925146566634</v>
      </c>
      <c r="S634" s="154">
        <f t="shared" si="190"/>
        <v>9.8173391108821487E-5</v>
      </c>
      <c r="T634" s="152"/>
      <c r="U634" s="150">
        <f t="shared" si="202"/>
        <v>0</v>
      </c>
      <c r="V634" s="150">
        <f t="shared" si="203"/>
        <v>0</v>
      </c>
      <c r="W634" s="168">
        <f t="shared" si="204"/>
        <v>0</v>
      </c>
      <c r="X634" s="163">
        <f t="shared" si="191"/>
        <v>2730.7485343336602</v>
      </c>
      <c r="Y634" s="152"/>
      <c r="Z634" s="164">
        <f>IF(AND($C633=12,$D633=Input!$C$6),0,IF($E634="","",V634+Z635/(1+L634)*R634))</f>
        <v>136907.82640367709</v>
      </c>
      <c r="AA634" s="164">
        <f>IF(OR($M634=1,AND($C633=12,$D633=Input!$C$6)),0,IF($E634="","",W634+(X634+AA635*$R634)/(1+$L634)))</f>
        <v>72227.508938224957</v>
      </c>
      <c r="AB634" s="160">
        <f t="shared" si="192"/>
        <v>0.825720328500681</v>
      </c>
      <c r="AC634" s="164">
        <f t="shared" si="193"/>
        <v>0</v>
      </c>
      <c r="AD634" s="164">
        <f>IF(AND($C633=12,$D633=Input!$C$6),0,IF($E634="","",$AC634+AD635/(1+$L634)*$R634))</f>
        <v>113047.57539235841</v>
      </c>
      <c r="AE634" s="152"/>
      <c r="AF634" s="164">
        <f>IF(AND($C633=12,$D633=Input!$C$6),0,IF($E634="","",IF($B634&gt;Input!$C$9,$AC634,0)+AF635/(1+$L634)*$R634))</f>
        <v>113047.57539235841</v>
      </c>
      <c r="AG634" s="164">
        <f>IF(AND($C633=12,$D633=Input!$C$6),0,IF($E634="","",(IF($B634&gt;Input!$C$9,$X634,0)+AG635)/(1+$L634)*$R634))</f>
        <v>69306.990655217756</v>
      </c>
      <c r="AH634" s="160">
        <f t="shared" si="194"/>
        <v>2.0950137211446997</v>
      </c>
      <c r="AI634" s="160">
        <f>IF($E634="","",MIN(Input!$C$61/AH634,1))</f>
        <v>0.64438718771845094</v>
      </c>
      <c r="AJ634" s="152"/>
      <c r="AK634" s="164">
        <f>IF(AND($C633=12,$D633=Input!$C$6),0,IF($E634="","",IF($B634&gt;Input!$C$9,$AC634*AI634,0)+AK635/(1+$L634)*$R634))</f>
        <v>72846.409185471377</v>
      </c>
      <c r="AL634" s="164">
        <f>IF(AND($C633=12,$D633=Input!$C$6),0,IF($E634="","",IF($B634&gt;Input!$C$9,0,$AC634)+AL635/(1+$L634)*$R634))</f>
        <v>0</v>
      </c>
      <c r="AM634" s="160">
        <f t="shared" si="195"/>
        <v>1.1382936520186004</v>
      </c>
      <c r="AN634" s="164">
        <f>IF($E634="","",IF($B634&gt;Input!$C$9,$AI634*$AC634,$AM634*$AC634))</f>
        <v>0</v>
      </c>
      <c r="AO634" s="164">
        <f>IF(AND($C633=12,$D633=Input!$C$6),0,IF($E634="","",$AN634+AO635/(1+$L634)*$R634))</f>
        <v>72846.409185471377</v>
      </c>
      <c r="AP634" s="152"/>
      <c r="AQ634" s="164">
        <f t="shared" si="196"/>
        <v>-618.90024724641989</v>
      </c>
      <c r="AR634" s="164">
        <f t="shared" si="205"/>
        <v>-540.7184354156052</v>
      </c>
      <c r="AS634" s="164">
        <f t="shared" si="206"/>
        <v>13525.837320574163</v>
      </c>
      <c r="AT634" s="164">
        <f t="shared" si="197"/>
        <v>13525.837320574163</v>
      </c>
      <c r="AU634" s="152"/>
      <c r="AV634" s="147">
        <f>'Deterministic Reserve'!BC634</f>
        <v>1.538643547675696E-6</v>
      </c>
      <c r="AW634" s="164">
        <f t="shared" si="198"/>
        <v>13525.837320574163</v>
      </c>
      <c r="AX634" s="164">
        <f t="shared" si="199"/>
        <v>2.0811442320212561E-2</v>
      </c>
      <c r="AY634" s="152"/>
    </row>
    <row r="635" spans="1:51" s="150" customFormat="1" x14ac:dyDescent="0.25">
      <c r="A635" s="150">
        <f t="shared" si="207"/>
        <v>631</v>
      </c>
      <c r="B635" s="150">
        <f t="shared" si="208"/>
        <v>53</v>
      </c>
      <c r="C635" s="150">
        <f t="shared" si="209"/>
        <v>7</v>
      </c>
      <c r="D635" s="150">
        <f>IF(E635="","",Input!$C$4+B635-1)</f>
        <v>97</v>
      </c>
      <c r="E635" s="150">
        <f>IF(OR(AND(C634=12,D634=Input!$C$6),E634=""),"",1)</f>
        <v>1</v>
      </c>
      <c r="F635" s="150">
        <f>IF(E635="","",Input!$C$8+B635-1)</f>
        <v>2070</v>
      </c>
      <c r="G635" s="151">
        <f>IF(E635="","",MAX(0,Input!$C$9-B635))</f>
        <v>0</v>
      </c>
      <c r="H635" s="152">
        <f>IF(E635="","",Input!$C$3)</f>
        <v>100000</v>
      </c>
      <c r="I635" s="153">
        <f>IF(E635="","",HLOOKUP($B635,Input!$C$13:$BT$14,2))</f>
        <v>692.59050000000002</v>
      </c>
      <c r="J635" s="154"/>
      <c r="K635" s="155">
        <f>IF($E635="","",Input!$C$57)</f>
        <v>4.4999999999999998E-2</v>
      </c>
      <c r="L635" s="155">
        <f t="shared" si="200"/>
        <v>3.6748094004368514E-3</v>
      </c>
      <c r="M635" s="147">
        <f>IF($E635="","",VLOOKUP(IF($B635&lt;=Input!$C$7,$B635,26),'Mortality Tables'!$A$72:$CA$97,IF($B635&lt;=Input!$C$7+1,Input!$C$4-16,$D635-Input!$C$7-16),0)/1000)</f>
        <v>0.28269</v>
      </c>
      <c r="N635" s="147">
        <f t="shared" si="189"/>
        <v>2.7307485343336602E-2</v>
      </c>
      <c r="O635" s="157">
        <f>IF($E635="","",IF($C635=12,IF($B635&lt;Input!$C$9,Input!$C$54,IF($B635=Input!$C$9,Input!$C$55,Input!$C$56)),0%))</f>
        <v>0</v>
      </c>
      <c r="P635" s="167">
        <f>IF($E635="","",IF($B635=1,Input!$C$59,IF($B635&lt;6,Input!$C$60,0%)))</f>
        <v>0</v>
      </c>
      <c r="Q635" s="162">
        <f>IF($E635="","",Input!$C$58)</f>
        <v>2.5</v>
      </c>
      <c r="R635" s="156">
        <f t="shared" si="201"/>
        <v>0.9726925146566634</v>
      </c>
      <c r="S635" s="154">
        <f t="shared" si="190"/>
        <v>9.5492522670011695E-5</v>
      </c>
      <c r="T635" s="152"/>
      <c r="U635" s="150">
        <f t="shared" si="202"/>
        <v>0</v>
      </c>
      <c r="V635" s="150">
        <f t="shared" si="203"/>
        <v>0</v>
      </c>
      <c r="W635" s="168">
        <f t="shared" si="204"/>
        <v>0</v>
      </c>
      <c r="X635" s="163">
        <f t="shared" si="191"/>
        <v>2730.7485343336602</v>
      </c>
      <c r="Y635" s="152"/>
      <c r="Z635" s="164">
        <f>IF(AND($C634=12,$D634=Input!$C$6),0,IF($E635="","",V635+Z636/(1+L635)*R635))</f>
        <v>141268.62754736154</v>
      </c>
      <c r="AA635" s="164">
        <f>IF(OR($M635=1,AND($C634=12,$D634=Input!$C$6)),0,IF($E635="","",W635+(X635+AA636*$R635)/(1+$L635)))</f>
        <v>71720.694547887993</v>
      </c>
      <c r="AB635" s="160">
        <f t="shared" si="192"/>
        <v>0.825720328500681</v>
      </c>
      <c r="AC635" s="164">
        <f t="shared" si="193"/>
        <v>0</v>
      </c>
      <c r="AD635" s="164">
        <f>IF(AND($C634=12,$D634=Input!$C$6),0,IF($E635="","",$AC635+AD636/(1+$L635)*$R635))</f>
        <v>116648.37754524768</v>
      </c>
      <c r="AE635" s="152"/>
      <c r="AF635" s="164">
        <f>IF(AND($C634=12,$D634=Input!$C$6),0,IF($E635="","",IF($B635&gt;Input!$C$9,$AC635,0)+AF636/(1+$L635)*$R635))</f>
        <v>116648.37754524768</v>
      </c>
      <c r="AG635" s="164">
        <f>IF(AND($C634=12,$D634=Input!$C$6),0,IF($E635="","",(IF($B635&gt;Input!$C$9,$X635,0)+AG636)/(1+$L635)*$R635))</f>
        <v>68783.814997130452</v>
      </c>
      <c r="AH635" s="160">
        <f t="shared" si="194"/>
        <v>2.0950137211446997</v>
      </c>
      <c r="AI635" s="160">
        <f>IF($E635="","",MIN(Input!$C$61/AH635,1))</f>
        <v>0.64438718771845094</v>
      </c>
      <c r="AJ635" s="152"/>
      <c r="AK635" s="164">
        <f>IF(AND($C634=12,$D634=Input!$C$6),0,IF($E635="","",IF($B635&gt;Input!$C$9,$AC635*AI635,0)+AK636/(1+$L635)*$R635))</f>
        <v>75166.719958302245</v>
      </c>
      <c r="AL635" s="164">
        <f>IF(AND($C634=12,$D634=Input!$C$6),0,IF($E635="","",IF($B635&gt;Input!$C$9,0,$AC635)+AL636/(1+$L635)*$R635))</f>
        <v>0</v>
      </c>
      <c r="AM635" s="160">
        <f t="shared" si="195"/>
        <v>1.1382936520186004</v>
      </c>
      <c r="AN635" s="164">
        <f>IF($E635="","",IF($B635&gt;Input!$C$9,$AI635*$AC635,$AM635*$AC635))</f>
        <v>0</v>
      </c>
      <c r="AO635" s="164">
        <f>IF(AND($C634=12,$D634=Input!$C$6),0,IF($E635="","",$AN635+AO636/(1+$L635)*$R635))</f>
        <v>75166.719958302245</v>
      </c>
      <c r="AP635" s="152"/>
      <c r="AQ635" s="164">
        <f t="shared" si="196"/>
        <v>-3446.0254104142514</v>
      </c>
      <c r="AR635" s="164">
        <f t="shared" si="205"/>
        <v>-540.7184354156052</v>
      </c>
      <c r="AS635" s="164">
        <f t="shared" si="206"/>
        <v>13525.837320574163</v>
      </c>
      <c r="AT635" s="164">
        <f t="shared" si="197"/>
        <v>13525.837320574163</v>
      </c>
      <c r="AU635" s="152"/>
      <c r="AV635" s="147">
        <f>'Deterministic Reserve'!BC635</f>
        <v>1.4261238971933913E-6</v>
      </c>
      <c r="AW635" s="164">
        <f t="shared" si="198"/>
        <v>13525.837320574163</v>
      </c>
      <c r="AX635" s="164">
        <f t="shared" si="199"/>
        <v>1.9289519832421043E-2</v>
      </c>
      <c r="AY635" s="152"/>
    </row>
    <row r="636" spans="1:51" s="150" customFormat="1" x14ac:dyDescent="0.25">
      <c r="A636" s="150">
        <f t="shared" si="207"/>
        <v>632</v>
      </c>
      <c r="B636" s="150">
        <f t="shared" si="208"/>
        <v>53</v>
      </c>
      <c r="C636" s="150">
        <f t="shared" si="209"/>
        <v>8</v>
      </c>
      <c r="D636" s="150">
        <f>IF(E636="","",Input!$C$4+B636-1)</f>
        <v>97</v>
      </c>
      <c r="E636" s="150">
        <f>IF(OR(AND(C635=12,D635=Input!$C$6),E635=""),"",1)</f>
        <v>1</v>
      </c>
      <c r="F636" s="150">
        <f>IF(E636="","",Input!$C$8+B636-1)</f>
        <v>2070</v>
      </c>
      <c r="G636" s="151">
        <f>IF(E636="","",MAX(0,Input!$C$9-B636))</f>
        <v>0</v>
      </c>
      <c r="H636" s="152">
        <f>IF(E636="","",Input!$C$3)</f>
        <v>100000</v>
      </c>
      <c r="I636" s="153">
        <f>IF(E636="","",HLOOKUP($B636,Input!$C$13:$BT$14,2))</f>
        <v>692.59050000000002</v>
      </c>
      <c r="J636" s="154"/>
      <c r="K636" s="155">
        <f>IF($E636="","",Input!$C$57)</f>
        <v>4.4999999999999998E-2</v>
      </c>
      <c r="L636" s="155">
        <f t="shared" si="200"/>
        <v>3.6748094004368514E-3</v>
      </c>
      <c r="M636" s="147">
        <f>IF($E636="","",VLOOKUP(IF($B636&lt;=Input!$C$7,$B636,26),'Mortality Tables'!$A$72:$CA$97,IF($B636&lt;=Input!$C$7+1,Input!$C$4-16,$D636-Input!$C$7-16),0)/1000)</f>
        <v>0.28269</v>
      </c>
      <c r="N636" s="147">
        <f t="shared" si="189"/>
        <v>2.7307485343336602E-2</v>
      </c>
      <c r="O636" s="157">
        <f>IF($E636="","",IF($C636=12,IF($B636&lt;Input!$C$9,Input!$C$54,IF($B636=Input!$C$9,Input!$C$55,Input!$C$56)),0%))</f>
        <v>0</v>
      </c>
      <c r="P636" s="167">
        <f>IF($E636="","",IF($B636=1,Input!$C$59,IF($B636&lt;6,Input!$C$60,0%)))</f>
        <v>0</v>
      </c>
      <c r="Q636" s="162">
        <f>IF($E636="","",Input!$C$58)</f>
        <v>2.5</v>
      </c>
      <c r="R636" s="156">
        <f t="shared" si="201"/>
        <v>0.9726925146566634</v>
      </c>
      <c r="S636" s="154">
        <f t="shared" si="190"/>
        <v>9.2884862006802107E-5</v>
      </c>
      <c r="T636" s="152"/>
      <c r="U636" s="150">
        <f t="shared" si="202"/>
        <v>0</v>
      </c>
      <c r="V636" s="150">
        <f t="shared" si="203"/>
        <v>0</v>
      </c>
      <c r="W636" s="168">
        <f t="shared" si="204"/>
        <v>0</v>
      </c>
      <c r="X636" s="163">
        <f t="shared" si="191"/>
        <v>2730.7485343336602</v>
      </c>
      <c r="Y636" s="152"/>
      <c r="Z636" s="164">
        <f>IF(AND($C635=12,$D635=Input!$C$6),0,IF($E636="","",V636+Z637/(1+L636)*R636))</f>
        <v>145768.32934496982</v>
      </c>
      <c r="AA636" s="164">
        <f>IF(OR($M636=1,AND($C635=12,$D635=Input!$C$6)),0,IF($E636="","",W636+(X636+AA637*$R636)/(1+$L636)))</f>
        <v>71197.737057254475</v>
      </c>
      <c r="AB636" s="160">
        <f t="shared" si="192"/>
        <v>0.825720328500681</v>
      </c>
      <c r="AC636" s="164">
        <f t="shared" si="193"/>
        <v>0</v>
      </c>
      <c r="AD636" s="164">
        <f>IF(AND($C635=12,$D635=Input!$C$6),0,IF($E636="","",$AC636+AD637/(1+$L636)*$R636))</f>
        <v>120363.8727917239</v>
      </c>
      <c r="AE636" s="152"/>
      <c r="AF636" s="164">
        <f>IF(AND($C635=12,$D635=Input!$C$6),0,IF($E636="","",IF($B636&gt;Input!$C$9,$AC636,0)+AF637/(1+$L636)*$R636))</f>
        <v>120363.8727917239</v>
      </c>
      <c r="AG636" s="164">
        <f>IF(AND($C635=12,$D635=Input!$C$6),0,IF($E636="","",(IF($B636&gt;Input!$C$9,$X636,0)+AG637)/(1+$L636)*$R636))</f>
        <v>68243.975098085823</v>
      </c>
      <c r="AH636" s="160">
        <f t="shared" si="194"/>
        <v>2.0950137211446997</v>
      </c>
      <c r="AI636" s="160">
        <f>IF($E636="","",MIN(Input!$C$61/AH636,1))</f>
        <v>0.64438718771845094</v>
      </c>
      <c r="AJ636" s="152"/>
      <c r="AK636" s="164">
        <f>IF(AND($C635=12,$D635=Input!$C$6),0,IF($E636="","",IF($B636&gt;Input!$C$9,$AC636*AI636,0)+AK637/(1+$L636)*$R636))</f>
        <v>77560.937491160323</v>
      </c>
      <c r="AL636" s="164">
        <f>IF(AND($C635=12,$D635=Input!$C$6),0,IF($E636="","",IF($B636&gt;Input!$C$9,0,$AC636)+AL637/(1+$L636)*$R636))</f>
        <v>0</v>
      </c>
      <c r="AM636" s="160">
        <f t="shared" si="195"/>
        <v>1.1382936520186004</v>
      </c>
      <c r="AN636" s="164">
        <f>IF($E636="","",IF($B636&gt;Input!$C$9,$AI636*$AC636,$AM636*$AC636))</f>
        <v>0</v>
      </c>
      <c r="AO636" s="164">
        <f>IF(AND($C635=12,$D635=Input!$C$6),0,IF($E636="","",$AN636+AO637/(1+$L636)*$R636))</f>
        <v>77560.937491160323</v>
      </c>
      <c r="AP636" s="152"/>
      <c r="AQ636" s="164">
        <f t="shared" si="196"/>
        <v>-6363.2004339058476</v>
      </c>
      <c r="AR636" s="164">
        <f t="shared" si="205"/>
        <v>-540.7184354156052</v>
      </c>
      <c r="AS636" s="164">
        <f t="shared" si="206"/>
        <v>13525.837320574163</v>
      </c>
      <c r="AT636" s="164">
        <f t="shared" si="197"/>
        <v>13525.837320574163</v>
      </c>
      <c r="AU636" s="152"/>
      <c r="AV636" s="147">
        <f>'Deterministic Reserve'!BC636</f>
        <v>1.3218327098686422E-6</v>
      </c>
      <c r="AW636" s="164">
        <f t="shared" si="198"/>
        <v>13525.837320574163</v>
      </c>
      <c r="AX636" s="164">
        <f t="shared" si="199"/>
        <v>1.7878894198696961E-2</v>
      </c>
      <c r="AY636" s="152"/>
    </row>
    <row r="637" spans="1:51" s="150" customFormat="1" x14ac:dyDescent="0.25">
      <c r="A637" s="150">
        <f t="shared" si="207"/>
        <v>633</v>
      </c>
      <c r="B637" s="150">
        <f t="shared" si="208"/>
        <v>53</v>
      </c>
      <c r="C637" s="150">
        <f t="shared" si="209"/>
        <v>9</v>
      </c>
      <c r="D637" s="150">
        <f>IF(E637="","",Input!$C$4+B637-1)</f>
        <v>97</v>
      </c>
      <c r="E637" s="150">
        <f>IF(OR(AND(C636=12,D636=Input!$C$6),E636=""),"",1)</f>
        <v>1</v>
      </c>
      <c r="F637" s="150">
        <f>IF(E637="","",Input!$C$8+B637-1)</f>
        <v>2070</v>
      </c>
      <c r="G637" s="151">
        <f>IF(E637="","",MAX(0,Input!$C$9-B637))</f>
        <v>0</v>
      </c>
      <c r="H637" s="152">
        <f>IF(E637="","",Input!$C$3)</f>
        <v>100000</v>
      </c>
      <c r="I637" s="153">
        <f>IF(E637="","",HLOOKUP($B637,Input!$C$13:$BT$14,2))</f>
        <v>692.59050000000002</v>
      </c>
      <c r="J637" s="154"/>
      <c r="K637" s="155">
        <f>IF($E637="","",Input!$C$57)</f>
        <v>4.4999999999999998E-2</v>
      </c>
      <c r="L637" s="155">
        <f t="shared" si="200"/>
        <v>3.6748094004368514E-3</v>
      </c>
      <c r="M637" s="147">
        <f>IF($E637="","",VLOOKUP(IF($B637&lt;=Input!$C$7,$B637,26),'Mortality Tables'!$A$72:$CA$97,IF($B637&lt;=Input!$C$7+1,Input!$C$4-16,$D637-Input!$C$7-16),0)/1000)</f>
        <v>0.28269</v>
      </c>
      <c r="N637" s="147">
        <f t="shared" si="189"/>
        <v>2.7307485343336602E-2</v>
      </c>
      <c r="O637" s="157">
        <f>IF($E637="","",IF($C637=12,IF($B637&lt;Input!$C$9,Input!$C$54,IF($B637=Input!$C$9,Input!$C$55,Input!$C$56)),0%))</f>
        <v>0</v>
      </c>
      <c r="P637" s="167">
        <f>IF($E637="","",IF($B637=1,Input!$C$59,IF($B637&lt;6,Input!$C$60,0%)))</f>
        <v>0</v>
      </c>
      <c r="Q637" s="162">
        <f>IF($E637="","",Input!$C$58)</f>
        <v>2.5</v>
      </c>
      <c r="R637" s="156">
        <f t="shared" si="201"/>
        <v>0.9726925146566634</v>
      </c>
      <c r="S637" s="154">
        <f t="shared" si="190"/>
        <v>9.0348409998933509E-5</v>
      </c>
      <c r="T637" s="152"/>
      <c r="U637" s="150">
        <f t="shared" si="202"/>
        <v>0</v>
      </c>
      <c r="V637" s="150">
        <f t="shared" si="203"/>
        <v>0</v>
      </c>
      <c r="W637" s="168">
        <f t="shared" si="204"/>
        <v>0</v>
      </c>
      <c r="X637" s="163">
        <f t="shared" si="191"/>
        <v>2730.7485343336602</v>
      </c>
      <c r="Y637" s="152"/>
      <c r="Z637" s="164">
        <f>IF(AND($C636=12,$D636=Input!$C$6),0,IF($E637="","",V637+Z638/(1+L637)*R637))</f>
        <v>150411.35607337786</v>
      </c>
      <c r="AA637" s="164">
        <f>IF(OR($M637=1,AND($C636=12,$D636=Input!$C$6)),0,IF($E637="","",W637+(X637+AA638*$R637)/(1+$L637)))</f>
        <v>70658.122274754191</v>
      </c>
      <c r="AB637" s="160">
        <f t="shared" si="192"/>
        <v>0.825720328500681</v>
      </c>
      <c r="AC637" s="164">
        <f t="shared" si="193"/>
        <v>0</v>
      </c>
      <c r="AD637" s="164">
        <f>IF(AND($C636=12,$D636=Input!$C$6),0,IF($E637="","",$AC637+AD638/(1+$L637)*$R637))</f>
        <v>124197.71434714241</v>
      </c>
      <c r="AE637" s="152"/>
      <c r="AF637" s="164">
        <f>IF(AND($C636=12,$D636=Input!$C$6),0,IF($E637="","",IF($B637&gt;Input!$C$9,$AC637,0)+AF638/(1+$L637)*$R637))</f>
        <v>124197.71434714241</v>
      </c>
      <c r="AG637" s="164">
        <f>IF(AND($C636=12,$D636=Input!$C$6),0,IF($E637="","",(IF($B637&gt;Input!$C$9,$X637,0)+AG638)/(1+$L637)*$R637))</f>
        <v>67686.940167091598</v>
      </c>
      <c r="AH637" s="160">
        <f t="shared" si="194"/>
        <v>2.0950137211446997</v>
      </c>
      <c r="AI637" s="160">
        <f>IF($E637="","",MIN(Input!$C$61/AH637,1))</f>
        <v>0.64438718771845094</v>
      </c>
      <c r="AJ637" s="152"/>
      <c r="AK637" s="164">
        <f>IF(AND($C636=12,$D636=Input!$C$6),0,IF($E637="","",IF($B637&gt;Input!$C$9,$AC637*AI637,0)+AK638/(1+$L637)*$R637))</f>
        <v>80031.415869214587</v>
      </c>
      <c r="AL637" s="164">
        <f>IF(AND($C636=12,$D636=Input!$C$6),0,IF($E637="","",IF($B637&gt;Input!$C$9,0,$AC637)+AL638/(1+$L637)*$R637))</f>
        <v>0</v>
      </c>
      <c r="AM637" s="160">
        <f t="shared" si="195"/>
        <v>1.1382936520186004</v>
      </c>
      <c r="AN637" s="164">
        <f>IF($E637="","",IF($B637&gt;Input!$C$9,$AI637*$AC637,$AM637*$AC637))</f>
        <v>0</v>
      </c>
      <c r="AO637" s="164">
        <f>IF(AND($C636=12,$D636=Input!$C$6),0,IF($E637="","",$AN637+AO638/(1+$L637)*$R637))</f>
        <v>80031.415869214587</v>
      </c>
      <c r="AP637" s="152"/>
      <c r="AQ637" s="164">
        <f t="shared" si="196"/>
        <v>-9373.293594460396</v>
      </c>
      <c r="AR637" s="164">
        <f t="shared" si="205"/>
        <v>-540.7184354156052</v>
      </c>
      <c r="AS637" s="164">
        <f t="shared" si="206"/>
        <v>13525.837320574163</v>
      </c>
      <c r="AT637" s="164">
        <f t="shared" si="197"/>
        <v>13525.837320574163</v>
      </c>
      <c r="AU637" s="152"/>
      <c r="AV637" s="147">
        <f>'Deterministic Reserve'!BC637</f>
        <v>1.2251682454219061E-6</v>
      </c>
      <c r="AW637" s="164">
        <f t="shared" si="198"/>
        <v>13525.837320574163</v>
      </c>
      <c r="AX637" s="164">
        <f t="shared" si="199"/>
        <v>1.6571426377909981E-2</v>
      </c>
      <c r="AY637" s="152"/>
    </row>
    <row r="638" spans="1:51" s="150" customFormat="1" x14ac:dyDescent="0.25">
      <c r="A638" s="150">
        <f t="shared" si="207"/>
        <v>634</v>
      </c>
      <c r="B638" s="150">
        <f t="shared" si="208"/>
        <v>53</v>
      </c>
      <c r="C638" s="150">
        <f t="shared" si="209"/>
        <v>10</v>
      </c>
      <c r="D638" s="150">
        <f>IF(E638="","",Input!$C$4+B638-1)</f>
        <v>97</v>
      </c>
      <c r="E638" s="150">
        <f>IF(OR(AND(C637=12,D637=Input!$C$6),E637=""),"",1)</f>
        <v>1</v>
      </c>
      <c r="F638" s="150">
        <f>IF(E638="","",Input!$C$8+B638-1)</f>
        <v>2070</v>
      </c>
      <c r="G638" s="151">
        <f>IF(E638="","",MAX(0,Input!$C$9-B638))</f>
        <v>0</v>
      </c>
      <c r="H638" s="152">
        <f>IF(E638="","",Input!$C$3)</f>
        <v>100000</v>
      </c>
      <c r="I638" s="153">
        <f>IF(E638="","",HLOOKUP($B638,Input!$C$13:$BT$14,2))</f>
        <v>692.59050000000002</v>
      </c>
      <c r="J638" s="154"/>
      <c r="K638" s="155">
        <f>IF($E638="","",Input!$C$57)</f>
        <v>4.4999999999999998E-2</v>
      </c>
      <c r="L638" s="155">
        <f t="shared" si="200"/>
        <v>3.6748094004368514E-3</v>
      </c>
      <c r="M638" s="147">
        <f>IF($E638="","",VLOOKUP(IF($B638&lt;=Input!$C$7,$B638,26),'Mortality Tables'!$A$72:$CA$97,IF($B638&lt;=Input!$C$7+1,Input!$C$4-16,$D638-Input!$C$7-16),0)/1000)</f>
        <v>0.28269</v>
      </c>
      <c r="N638" s="147">
        <f t="shared" si="189"/>
        <v>2.7307485343336602E-2</v>
      </c>
      <c r="O638" s="157">
        <f>IF($E638="","",IF($C638=12,IF($B638&lt;Input!$C$9,Input!$C$54,IF($B638=Input!$C$9,Input!$C$55,Input!$C$56)),0%))</f>
        <v>0</v>
      </c>
      <c r="P638" s="167">
        <f>IF($E638="","",IF($B638=1,Input!$C$59,IF($B638&lt;6,Input!$C$60,0%)))</f>
        <v>0</v>
      </c>
      <c r="Q638" s="162">
        <f>IF($E638="","",Input!$C$58)</f>
        <v>2.5</v>
      </c>
      <c r="R638" s="156">
        <f t="shared" si="201"/>
        <v>0.9726925146566634</v>
      </c>
      <c r="S638" s="154">
        <f t="shared" si="190"/>
        <v>8.7881222117093863E-5</v>
      </c>
      <c r="T638" s="152"/>
      <c r="U638" s="150">
        <f t="shared" si="202"/>
        <v>0</v>
      </c>
      <c r="V638" s="150">
        <f t="shared" si="203"/>
        <v>0</v>
      </c>
      <c r="W638" s="168">
        <f t="shared" si="204"/>
        <v>0</v>
      </c>
      <c r="X638" s="163">
        <f t="shared" si="191"/>
        <v>2730.7485343336602</v>
      </c>
      <c r="Y638" s="152"/>
      <c r="Z638" s="164">
        <f>IF(AND($C637=12,$D637=Input!$C$6),0,IF($E638="","",V638+Z639/(1+L638)*R638))</f>
        <v>155202.27293195052</v>
      </c>
      <c r="AA638" s="164">
        <f>IF(OR($M638=1,AND($C637=12,$D637=Input!$C$6)),0,IF($E638="","",W638+(X638+AA639*$R638)/(1+$L638)))</f>
        <v>70101.319630737955</v>
      </c>
      <c r="AB638" s="160">
        <f t="shared" si="192"/>
        <v>0.825720328500681</v>
      </c>
      <c r="AC638" s="164">
        <f t="shared" si="193"/>
        <v>0</v>
      </c>
      <c r="AD638" s="164">
        <f>IF(AND($C637=12,$D637=Input!$C$6),0,IF($E638="","",$AC638+AD639/(1+$L638)*$R638))</f>
        <v>128153.67178942249</v>
      </c>
      <c r="AE638" s="152"/>
      <c r="AF638" s="164">
        <f>IF(AND($C637=12,$D637=Input!$C$6),0,IF($E638="","",IF($B638&gt;Input!$C$9,$AC638,0)+AF639/(1+$L638)*$R638))</f>
        <v>128153.67178942249</v>
      </c>
      <c r="AG638" s="164">
        <f>IF(AND($C637=12,$D637=Input!$C$6),0,IF($E638="","",(IF($B638&gt;Input!$C$9,$X638,0)+AG639)/(1+$L638)*$R638))</f>
        <v>67112.162506350214</v>
      </c>
      <c r="AH638" s="160">
        <f t="shared" si="194"/>
        <v>2.0950137211446997</v>
      </c>
      <c r="AI638" s="160">
        <f>IF($E638="","",MIN(Input!$C$61/AH638,1))</f>
        <v>0.64438718771845094</v>
      </c>
      <c r="AJ638" s="152"/>
      <c r="AK638" s="164">
        <f>IF(AND($C637=12,$D637=Input!$C$6),0,IF($E638="","",IF($B638&gt;Input!$C$9,$AC638*AI638,0)+AK639/(1+$L638)*$R638))</f>
        <v>82580.584160179322</v>
      </c>
      <c r="AL638" s="164">
        <f>IF(AND($C637=12,$D637=Input!$C$6),0,IF($E638="","",IF($B638&gt;Input!$C$9,0,$AC638)+AL639/(1+$L638)*$R638))</f>
        <v>0</v>
      </c>
      <c r="AM638" s="160">
        <f t="shared" si="195"/>
        <v>1.1382936520186004</v>
      </c>
      <c r="AN638" s="164">
        <f>IF($E638="","",IF($B638&gt;Input!$C$9,$AI638*$AC638,$AM638*$AC638))</f>
        <v>0</v>
      </c>
      <c r="AO638" s="164">
        <f>IF(AND($C637=12,$D637=Input!$C$6),0,IF($E638="","",$AN638+AO639/(1+$L638)*$R638))</f>
        <v>82580.584160179322</v>
      </c>
      <c r="AP638" s="152"/>
      <c r="AQ638" s="164">
        <f t="shared" si="196"/>
        <v>-12479.264529441367</v>
      </c>
      <c r="AR638" s="164">
        <f t="shared" si="205"/>
        <v>-540.7184354156052</v>
      </c>
      <c r="AS638" s="164">
        <f t="shared" si="206"/>
        <v>13525.837320574163</v>
      </c>
      <c r="AT638" s="164">
        <f t="shared" si="197"/>
        <v>13525.837320574163</v>
      </c>
      <c r="AU638" s="152"/>
      <c r="AV638" s="147">
        <f>'Deterministic Reserve'!BC638</f>
        <v>1.1355727683114744E-6</v>
      </c>
      <c r="AW638" s="164">
        <f t="shared" si="198"/>
        <v>13525.837320574163</v>
      </c>
      <c r="AX638" s="164">
        <f t="shared" si="199"/>
        <v>1.5359572529855058E-2</v>
      </c>
      <c r="AY638" s="152"/>
    </row>
    <row r="639" spans="1:51" s="150" customFormat="1" x14ac:dyDescent="0.25">
      <c r="A639" s="150">
        <f t="shared" si="207"/>
        <v>635</v>
      </c>
      <c r="B639" s="150">
        <f t="shared" si="208"/>
        <v>53</v>
      </c>
      <c r="C639" s="150">
        <f t="shared" si="209"/>
        <v>11</v>
      </c>
      <c r="D639" s="150">
        <f>IF(E639="","",Input!$C$4+B639-1)</f>
        <v>97</v>
      </c>
      <c r="E639" s="150">
        <f>IF(OR(AND(C638=12,D638=Input!$C$6),E638=""),"",1)</f>
        <v>1</v>
      </c>
      <c r="F639" s="150">
        <f>IF(E639="","",Input!$C$8+B639-1)</f>
        <v>2070</v>
      </c>
      <c r="G639" s="151">
        <f>IF(E639="","",MAX(0,Input!$C$9-B639))</f>
        <v>0</v>
      </c>
      <c r="H639" s="152">
        <f>IF(E639="","",Input!$C$3)</f>
        <v>100000</v>
      </c>
      <c r="I639" s="153">
        <f>IF(E639="","",HLOOKUP($B639,Input!$C$13:$BT$14,2))</f>
        <v>692.59050000000002</v>
      </c>
      <c r="J639" s="154"/>
      <c r="K639" s="155">
        <f>IF($E639="","",Input!$C$57)</f>
        <v>4.4999999999999998E-2</v>
      </c>
      <c r="L639" s="155">
        <f t="shared" si="200"/>
        <v>3.6748094004368514E-3</v>
      </c>
      <c r="M639" s="147">
        <f>IF($E639="","",VLOOKUP(IF($B639&lt;=Input!$C$7,$B639,26),'Mortality Tables'!$A$72:$CA$97,IF($B639&lt;=Input!$C$7+1,Input!$C$4-16,$D639-Input!$C$7-16),0)/1000)</f>
        <v>0.28269</v>
      </c>
      <c r="N639" s="147">
        <f t="shared" si="189"/>
        <v>2.7307485343336602E-2</v>
      </c>
      <c r="O639" s="157">
        <f>IF($E639="","",IF($C639=12,IF($B639&lt;Input!$C$9,Input!$C$54,IF($B639=Input!$C$9,Input!$C$55,Input!$C$56)),0%))</f>
        <v>0</v>
      </c>
      <c r="P639" s="167">
        <f>IF($E639="","",IF($B639=1,Input!$C$59,IF($B639&lt;6,Input!$C$60,0%)))</f>
        <v>0</v>
      </c>
      <c r="Q639" s="162">
        <f>IF($E639="","",Input!$C$58)</f>
        <v>2.5</v>
      </c>
      <c r="R639" s="156">
        <f t="shared" si="201"/>
        <v>0.9726925146566634</v>
      </c>
      <c r="S639" s="154">
        <f t="shared" si="190"/>
        <v>8.5481406932176815E-5</v>
      </c>
      <c r="T639" s="152"/>
      <c r="U639" s="150">
        <f t="shared" si="202"/>
        <v>0</v>
      </c>
      <c r="V639" s="150">
        <f t="shared" si="203"/>
        <v>0</v>
      </c>
      <c r="W639" s="168">
        <f t="shared" si="204"/>
        <v>0</v>
      </c>
      <c r="X639" s="163">
        <f t="shared" si="191"/>
        <v>2730.7485343336602</v>
      </c>
      <c r="Y639" s="152"/>
      <c r="Z639" s="164">
        <f>IF(AND($C638=12,$D638=Input!$C$6),0,IF($E639="","",V639+Z640/(1+L639)*R639))</f>
        <v>160145.79053121831</v>
      </c>
      <c r="AA639" s="164">
        <f>IF(OR($M639=1,AND($C638=12,$D638=Input!$C$6)),0,IF($E639="","",W639+(X639+AA640*$R639)/(1+$L639)))</f>
        <v>69526.781655801518</v>
      </c>
      <c r="AB639" s="160">
        <f t="shared" si="192"/>
        <v>0.825720328500681</v>
      </c>
      <c r="AC639" s="164">
        <f t="shared" si="193"/>
        <v>0</v>
      </c>
      <c r="AD639" s="164">
        <f>IF(AND($C638=12,$D638=Input!$C$6),0,IF($E639="","",$AC639+AD640/(1+$L639)*$R639))</f>
        <v>132235.63476543879</v>
      </c>
      <c r="AE639" s="152"/>
      <c r="AF639" s="164">
        <f>IF(AND($C638=12,$D638=Input!$C$6),0,IF($E639="","",IF($B639&gt;Input!$C$9,$AC639,0)+AF640/(1+$L639)*$R639))</f>
        <v>132235.63476543879</v>
      </c>
      <c r="AG639" s="164">
        <f>IF(AND($C638=12,$D638=Input!$C$6),0,IF($E639="","",(IF($B639&gt;Input!$C$9,$X639,0)+AG640)/(1+$L639)*$R639))</f>
        <v>66519.076972741619</v>
      </c>
      <c r="AH639" s="160">
        <f t="shared" si="194"/>
        <v>2.0950137211446997</v>
      </c>
      <c r="AI639" s="160">
        <f>IF($E639="","",MIN(Input!$C$61/AH639,1))</f>
        <v>0.64438718771845094</v>
      </c>
      <c r="AJ639" s="152"/>
      <c r="AK639" s="164">
        <f>IF(AND($C638=12,$D638=Input!$C$6),0,IF($E639="","",IF($B639&gt;Input!$C$9,$AC639*AI639,0)+AK640/(1+$L639)*$R639))</f>
        <v>85210.948802665313</v>
      </c>
      <c r="AL639" s="164">
        <f>IF(AND($C638=12,$D638=Input!$C$6),0,IF($E639="","",IF($B639&gt;Input!$C$9,0,$AC639)+AL640/(1+$L639)*$R639))</f>
        <v>0</v>
      </c>
      <c r="AM639" s="160">
        <f t="shared" si="195"/>
        <v>1.1382936520186004</v>
      </c>
      <c r="AN639" s="164">
        <f>IF($E639="","",IF($B639&gt;Input!$C$9,$AI639*$AC639,$AM639*$AC639))</f>
        <v>0</v>
      </c>
      <c r="AO639" s="164">
        <f>IF(AND($C638=12,$D638=Input!$C$6),0,IF($E639="","",$AN639+AO640/(1+$L639)*$R639))</f>
        <v>85210.948802665313</v>
      </c>
      <c r="AP639" s="152"/>
      <c r="AQ639" s="164">
        <f t="shared" si="196"/>
        <v>-15684.167146863794</v>
      </c>
      <c r="AR639" s="164">
        <f t="shared" si="205"/>
        <v>-540.7184354156052</v>
      </c>
      <c r="AS639" s="164">
        <f t="shared" si="206"/>
        <v>13525.837320574163</v>
      </c>
      <c r="AT639" s="164">
        <f t="shared" si="197"/>
        <v>13525.837320574163</v>
      </c>
      <c r="AU639" s="152"/>
      <c r="AV639" s="147">
        <f>'Deterministic Reserve'!BC639</f>
        <v>1.0525293297056658E-6</v>
      </c>
      <c r="AW639" s="164">
        <f t="shared" si="198"/>
        <v>13525.837320574163</v>
      </c>
      <c r="AX639" s="164">
        <f t="shared" si="199"/>
        <v>1.4236340488731802E-2</v>
      </c>
      <c r="AY639" s="152"/>
    </row>
    <row r="640" spans="1:51" s="150" customFormat="1" x14ac:dyDescent="0.25">
      <c r="A640" s="150">
        <f t="shared" si="207"/>
        <v>636</v>
      </c>
      <c r="B640" s="150">
        <f t="shared" si="208"/>
        <v>53</v>
      </c>
      <c r="C640" s="150">
        <f t="shared" si="209"/>
        <v>12</v>
      </c>
      <c r="D640" s="150">
        <f>IF(E640="","",Input!$C$4+B640-1)</f>
        <v>97</v>
      </c>
      <c r="E640" s="150">
        <f>IF(OR(AND(C639=12,D639=Input!$C$6),E639=""),"",1)</f>
        <v>1</v>
      </c>
      <c r="F640" s="150">
        <f>IF(E640="","",Input!$C$8+B640-1)</f>
        <v>2070</v>
      </c>
      <c r="G640" s="151">
        <f>IF(E640="","",MAX(0,Input!$C$9-B640))</f>
        <v>0</v>
      </c>
      <c r="H640" s="152">
        <f>IF(E640="","",Input!$C$3)</f>
        <v>100000</v>
      </c>
      <c r="I640" s="153">
        <f>IF(E640="","",HLOOKUP($B640,Input!$C$13:$BT$14,2))</f>
        <v>692.59050000000002</v>
      </c>
      <c r="J640" s="154"/>
      <c r="K640" s="155">
        <f>IF($E640="","",Input!$C$57)</f>
        <v>4.4999999999999998E-2</v>
      </c>
      <c r="L640" s="155">
        <f t="shared" si="200"/>
        <v>3.6748094004368514E-3</v>
      </c>
      <c r="M640" s="147">
        <f>IF($E640="","",VLOOKUP(IF($B640&lt;=Input!$C$7,$B640,26),'Mortality Tables'!$A$72:$CA$97,IF($B640&lt;=Input!$C$7+1,Input!$C$4-16,$D640-Input!$C$7-16),0)/1000)</f>
        <v>0.28269</v>
      </c>
      <c r="N640" s="147">
        <f t="shared" si="189"/>
        <v>2.7307485343336602E-2</v>
      </c>
      <c r="O640" s="157">
        <f>IF($E640="","",IF($C640=12,IF($B640&lt;Input!$C$9,Input!$C$54,IF($B640=Input!$C$9,Input!$C$55,Input!$C$56)),0%))</f>
        <v>0.1</v>
      </c>
      <c r="P640" s="167">
        <f>IF($E640="","",IF($B640=1,Input!$C$59,IF($B640&lt;6,Input!$C$60,0%)))</f>
        <v>0</v>
      </c>
      <c r="Q640" s="162">
        <f>IF($E640="","",Input!$C$58)</f>
        <v>2.5</v>
      </c>
      <c r="R640" s="156">
        <f t="shared" si="201"/>
        <v>0.87269251465666342</v>
      </c>
      <c r="S640" s="154">
        <f t="shared" si="190"/>
        <v>7.4598983972030923E-5</v>
      </c>
      <c r="T640" s="152"/>
      <c r="U640" s="150">
        <f t="shared" si="202"/>
        <v>0</v>
      </c>
      <c r="V640" s="150">
        <f t="shared" si="203"/>
        <v>0</v>
      </c>
      <c r="W640" s="168">
        <f t="shared" si="204"/>
        <v>0</v>
      </c>
      <c r="X640" s="163">
        <f t="shared" si="191"/>
        <v>2730.7485343336602</v>
      </c>
      <c r="Y640" s="152"/>
      <c r="Z640" s="164">
        <f>IF(AND($C639=12,$D639=Input!$C$6),0,IF($E640="","",V640+Z641/(1+L640)*R640))</f>
        <v>165246.7695245276</v>
      </c>
      <c r="AA640" s="164">
        <f>IF(OR($M640=1,AND($C639=12,$D639=Input!$C$6)),0,IF($E640="","",W640+(X640+AA641*$R640)/(1+$L640)))</f>
        <v>68933.943442492993</v>
      </c>
      <c r="AB640" s="160">
        <f t="shared" si="192"/>
        <v>0.825720328500681</v>
      </c>
      <c r="AC640" s="164">
        <f t="shared" si="193"/>
        <v>0</v>
      </c>
      <c r="AD640" s="164">
        <f>IF(AND($C639=12,$D639=Input!$C$6),0,IF($E640="","",$AC640+AD641/(1+$L640)*$R640))</f>
        <v>136447.6168154692</v>
      </c>
      <c r="AE640" s="152"/>
      <c r="AF640" s="164">
        <f>IF(AND($C639=12,$D639=Input!$C$6),0,IF($E640="","",IF($B640&gt;Input!$C$9,$AC640,0)+AF641/(1+$L640)*$R640))</f>
        <v>136447.6168154692</v>
      </c>
      <c r="AG640" s="164">
        <f>IF(AND($C639=12,$D639=Input!$C$6),0,IF($E640="","",(IF($B640&gt;Input!$C$9,$X640,0)+AG641)/(1+$L640)*$R640))</f>
        <v>65907.100422153177</v>
      </c>
      <c r="AH640" s="160">
        <f t="shared" si="194"/>
        <v>2.0950137211446997</v>
      </c>
      <c r="AI640" s="160">
        <f>IF($E640="","",MIN(Input!$C$61/AH640,1))</f>
        <v>0.64438718771845094</v>
      </c>
      <c r="AJ640" s="152"/>
      <c r="AK640" s="164">
        <f>IF(AND($C639=12,$D639=Input!$C$6),0,IF($E640="","",IF($B640&gt;Input!$C$9,$AC640*AI640,0)+AK641/(1+$L640)*$R640))</f>
        <v>87925.09607060501</v>
      </c>
      <c r="AL640" s="164">
        <f>IF(AND($C639=12,$D639=Input!$C$6),0,IF($E640="","",IF($B640&gt;Input!$C$9,0,$AC640)+AL641/(1+$L640)*$R640))</f>
        <v>0</v>
      </c>
      <c r="AM640" s="160">
        <f t="shared" si="195"/>
        <v>1.1382936520186004</v>
      </c>
      <c r="AN640" s="164">
        <f>IF($E640="","",IF($B640&gt;Input!$C$9,$AI640*$AC640,$AM640*$AC640))</f>
        <v>0</v>
      </c>
      <c r="AO640" s="164">
        <f>IF(AND($C639=12,$D639=Input!$C$6),0,IF($E640="","",$AN640+AO641/(1+$L640)*$R640))</f>
        <v>87925.09607060501</v>
      </c>
      <c r="AP640" s="152"/>
      <c r="AQ640" s="164">
        <f t="shared" si="196"/>
        <v>-18991.152628112017</v>
      </c>
      <c r="AR640" s="164">
        <f t="shared" si="205"/>
        <v>-540.7184354156052</v>
      </c>
      <c r="AS640" s="164">
        <f t="shared" si="206"/>
        <v>13525.837320574163</v>
      </c>
      <c r="AT640" s="164">
        <f t="shared" si="197"/>
        <v>13525.837320574163</v>
      </c>
      <c r="AU640" s="152"/>
      <c r="AV640" s="147">
        <f>'Deterministic Reserve'!BC640</f>
        <v>8.7030585181599904E-7</v>
      </c>
      <c r="AW640" s="164">
        <f t="shared" si="198"/>
        <v>13525.837320574163</v>
      </c>
      <c r="AX640" s="164">
        <f t="shared" si="199"/>
        <v>1.1771615370806926E-2</v>
      </c>
      <c r="AY640" s="152"/>
    </row>
    <row r="641" spans="1:51" s="150" customFormat="1" x14ac:dyDescent="0.25">
      <c r="A641" s="150">
        <f t="shared" si="207"/>
        <v>637</v>
      </c>
      <c r="B641" s="150">
        <f t="shared" si="208"/>
        <v>54</v>
      </c>
      <c r="C641" s="150">
        <f t="shared" si="209"/>
        <v>1</v>
      </c>
      <c r="D641" s="150">
        <f>IF(E641="","",Input!$C$4+B641-1)</f>
        <v>98</v>
      </c>
      <c r="E641" s="150">
        <f>IF(OR(AND(C640=12,D640=Input!$C$6),E640=""),"",1)</f>
        <v>1</v>
      </c>
      <c r="F641" s="150">
        <f>IF(E641="","",Input!$C$8+B641-1)</f>
        <v>2071</v>
      </c>
      <c r="G641" s="151">
        <f>IF(E641="","",MAX(0,Input!$C$9-B641))</f>
        <v>0</v>
      </c>
      <c r="H641" s="152">
        <f>IF(E641="","",Input!$C$3)</f>
        <v>100000</v>
      </c>
      <c r="I641" s="153">
        <f>IF(E641="","",HLOOKUP($B641,Input!$C$13:$BT$14,2))</f>
        <v>746.53949999999998</v>
      </c>
      <c r="J641" s="154"/>
      <c r="K641" s="155">
        <f>IF($E641="","",Input!$C$57)</f>
        <v>4.4999999999999998E-2</v>
      </c>
      <c r="L641" s="155">
        <f t="shared" si="200"/>
        <v>3.6748094004368514E-3</v>
      </c>
      <c r="M641" s="147">
        <f>IF($E641="","",VLOOKUP(IF($B641&lt;=Input!$C$7,$B641,26),'Mortality Tables'!$A$72:$CA$97,IF($B641&lt;=Input!$C$7+1,Input!$C$4-16,$D641-Input!$C$7-16),0)/1000)</f>
        <v>0.30470999999999998</v>
      </c>
      <c r="N641" s="147">
        <f t="shared" si="189"/>
        <v>2.9831509660839139E-2</v>
      </c>
      <c r="O641" s="157">
        <f>IF($E641="","",IF($C641=12,IF($B641&lt;Input!$C$9,Input!$C$54,IF($B641=Input!$C$9,Input!$C$55,Input!$C$56)),0%))</f>
        <v>0</v>
      </c>
      <c r="P641" s="167">
        <f>IF($E641="","",IF($B641=1,Input!$C$59,IF($B641&lt;6,Input!$C$60,0%)))</f>
        <v>0</v>
      </c>
      <c r="Q641" s="162">
        <f>IF($E641="","",Input!$C$58)</f>
        <v>2.5</v>
      </c>
      <c r="R641" s="156">
        <f t="shared" si="201"/>
        <v>0.97016849033916086</v>
      </c>
      <c r="S641" s="154">
        <f t="shared" si="190"/>
        <v>7.2373583660980501E-5</v>
      </c>
      <c r="T641" s="152"/>
      <c r="U641" s="150">
        <f t="shared" si="202"/>
        <v>74653.95</v>
      </c>
      <c r="V641" s="150">
        <f t="shared" si="203"/>
        <v>74653.95</v>
      </c>
      <c r="W641" s="168">
        <f t="shared" si="204"/>
        <v>0</v>
      </c>
      <c r="X641" s="163">
        <f t="shared" si="191"/>
        <v>2983.1509660839138</v>
      </c>
      <c r="Y641" s="152"/>
      <c r="Z641" s="164">
        <f>IF(AND($C640=12,$D640=Input!$C$6),0,IF($E641="","",V641+Z642/(1+L641)*R641))</f>
        <v>190048.63353482386</v>
      </c>
      <c r="AA641" s="164">
        <f>IF(OR($M641=1,AND($C640=12,$D640=Input!$C$6)),0,IF($E641="","",W641+(X641+AA642*$R641)/(1+$L641)))</f>
        <v>76151.121838917636</v>
      </c>
      <c r="AB641" s="160">
        <f t="shared" si="192"/>
        <v>0.825720328500681</v>
      </c>
      <c r="AC641" s="164">
        <f t="shared" si="193"/>
        <v>61643.284117873409</v>
      </c>
      <c r="AD641" s="164">
        <f>IF(AND($C640=12,$D640=Input!$C$6),0,IF($E641="","",$AC641+AD642/(1+$L641)*$R641))</f>
        <v>156927.02011348028</v>
      </c>
      <c r="AE641" s="152"/>
      <c r="AF641" s="164">
        <f>IF(AND($C640=12,$D640=Input!$C$6),0,IF($E641="","",IF($B641&gt;Input!$C$9,$AC641,0)+AF642/(1+$L641)*$R641))</f>
        <v>156927.02011348028</v>
      </c>
      <c r="AG641" s="164">
        <f>IF(AND($C640=12,$D640=Input!$C$6),0,IF($E641="","",(IF($B641&gt;Input!$C$9,$X641,0)+AG642)/(1+$L641)*$R641))</f>
        <v>73068.339166521255</v>
      </c>
      <c r="AH641" s="160">
        <f t="shared" si="194"/>
        <v>2.0950137211446997</v>
      </c>
      <c r="AI641" s="160">
        <f>IF($E641="","",MIN(Input!$C$61/AH641,1))</f>
        <v>0.64438718771845094</v>
      </c>
      <c r="AJ641" s="152"/>
      <c r="AK641" s="164">
        <f>IF(AND($C640=12,$D640=Input!$C$6),0,IF($E641="","",IF($B641&gt;Input!$C$9,$AC641*AI641,0)+AK642/(1+$L641)*$R641))</f>
        <v>101121.76116796234</v>
      </c>
      <c r="AL641" s="164">
        <f>IF(AND($C640=12,$D640=Input!$C$6),0,IF($E641="","",IF($B641&gt;Input!$C$9,0,$AC641)+AL642/(1+$L641)*$R641))</f>
        <v>0</v>
      </c>
      <c r="AM641" s="160">
        <f t="shared" si="195"/>
        <v>1.1382936520186004</v>
      </c>
      <c r="AN641" s="164">
        <f>IF($E641="","",IF($B641&gt;Input!$C$9,$AI641*$AC641,$AM641*$AC641))</f>
        <v>39722.1424944459</v>
      </c>
      <c r="AO641" s="164">
        <f>IF(AND($C640=12,$D640=Input!$C$6),0,IF($E641="","",$AN641+AO642/(1+$L641)*$R641))</f>
        <v>101121.76116796234</v>
      </c>
      <c r="AP641" s="152"/>
      <c r="AQ641" s="164">
        <f t="shared" si="196"/>
        <v>-24970.639329044701</v>
      </c>
      <c r="AR641" s="164">
        <f t="shared" si="205"/>
        <v>924.20324861318659</v>
      </c>
      <c r="AS641" s="164">
        <f t="shared" si="206"/>
        <v>14579.425837320574</v>
      </c>
      <c r="AT641" s="164">
        <f t="shared" si="197"/>
        <v>14579.425837320574</v>
      </c>
      <c r="AU641" s="152"/>
      <c r="AV641" s="147">
        <f>'Deterministic Reserve'!BC641</f>
        <v>7.9892233901690881E-7</v>
      </c>
      <c r="AW641" s="164">
        <f t="shared" si="198"/>
        <v>14579.425837320574</v>
      </c>
      <c r="AX641" s="164">
        <f t="shared" si="199"/>
        <v>1.1647828991475708E-2</v>
      </c>
      <c r="AY641" s="152"/>
    </row>
    <row r="642" spans="1:51" s="150" customFormat="1" x14ac:dyDescent="0.25">
      <c r="A642" s="150">
        <f t="shared" si="207"/>
        <v>638</v>
      </c>
      <c r="B642" s="150">
        <f t="shared" si="208"/>
        <v>54</v>
      </c>
      <c r="C642" s="150">
        <f t="shared" si="209"/>
        <v>2</v>
      </c>
      <c r="D642" s="150">
        <f>IF(E642="","",Input!$C$4+B642-1)</f>
        <v>98</v>
      </c>
      <c r="E642" s="150">
        <f>IF(OR(AND(C641=12,D641=Input!$C$6),E641=""),"",1)</f>
        <v>1</v>
      </c>
      <c r="F642" s="150">
        <f>IF(E642="","",Input!$C$8+B642-1)</f>
        <v>2071</v>
      </c>
      <c r="G642" s="151">
        <f>IF(E642="","",MAX(0,Input!$C$9-B642))</f>
        <v>0</v>
      </c>
      <c r="H642" s="152">
        <f>IF(E642="","",Input!$C$3)</f>
        <v>100000</v>
      </c>
      <c r="I642" s="153">
        <f>IF(E642="","",HLOOKUP($B642,Input!$C$13:$BT$14,2))</f>
        <v>746.53949999999998</v>
      </c>
      <c r="J642" s="154"/>
      <c r="K642" s="155">
        <f>IF($E642="","",Input!$C$57)</f>
        <v>4.4999999999999998E-2</v>
      </c>
      <c r="L642" s="155">
        <f t="shared" si="200"/>
        <v>3.6748094004368514E-3</v>
      </c>
      <c r="M642" s="147">
        <f>IF($E642="","",VLOOKUP(IF($B642&lt;=Input!$C$7,$B642,26),'Mortality Tables'!$A$72:$CA$97,IF($B642&lt;=Input!$C$7+1,Input!$C$4-16,$D642-Input!$C$7-16),0)/1000)</f>
        <v>0.30470999999999998</v>
      </c>
      <c r="N642" s="147">
        <f t="shared" si="189"/>
        <v>2.9831509660839139E-2</v>
      </c>
      <c r="O642" s="157">
        <f>IF($E642="","",IF($C642=12,IF($B642&lt;Input!$C$9,Input!$C$54,IF($B642=Input!$C$9,Input!$C$55,Input!$C$56)),0%))</f>
        <v>0</v>
      </c>
      <c r="P642" s="167">
        <f>IF($E642="","",IF($B642=1,Input!$C$59,IF($B642&lt;6,Input!$C$60,0%)))</f>
        <v>0</v>
      </c>
      <c r="Q642" s="162">
        <f>IF($E642="","",Input!$C$58)</f>
        <v>2.5</v>
      </c>
      <c r="R642" s="156">
        <f t="shared" si="201"/>
        <v>0.97016849033916086</v>
      </c>
      <c r="S642" s="154">
        <f t="shared" si="190"/>
        <v>7.0214570400808416E-5</v>
      </c>
      <c r="T642" s="152"/>
      <c r="U642" s="150">
        <f t="shared" si="202"/>
        <v>0</v>
      </c>
      <c r="V642" s="150">
        <f t="shared" si="203"/>
        <v>0</v>
      </c>
      <c r="W642" s="168">
        <f t="shared" si="204"/>
        <v>0</v>
      </c>
      <c r="X642" s="163">
        <f t="shared" si="191"/>
        <v>2983.1509660839138</v>
      </c>
      <c r="Y642" s="152"/>
      <c r="Z642" s="164">
        <f>IF(AND($C641=12,$D641=Input!$C$6),0,IF($E642="","",V642+Z643/(1+L642)*R642))</f>
        <v>119380.02332166967</v>
      </c>
      <c r="AA642" s="164">
        <f>IF(OR($M642=1,AND($C641=12,$D641=Input!$C$6)),0,IF($E642="","",W642+(X642+AA643*$R642)/(1+$L642)))</f>
        <v>75706.243258369068</v>
      </c>
      <c r="AB642" s="160">
        <f t="shared" si="192"/>
        <v>0.825720328500681</v>
      </c>
      <c r="AC642" s="164">
        <f t="shared" si="193"/>
        <v>0</v>
      </c>
      <c r="AD642" s="164">
        <f>IF(AND($C641=12,$D641=Input!$C$6),0,IF($E642="","",$AC642+AD643/(1+$L642)*$R642))</f>
        <v>98574.512073588019</v>
      </c>
      <c r="AE642" s="152"/>
      <c r="AF642" s="164">
        <f>IF(AND($C641=12,$D641=Input!$C$6),0,IF($E642="","",IF($B642&gt;Input!$C$9,$AC642,0)+AF643/(1+$L642)*$R642))</f>
        <v>98574.512073588019</v>
      </c>
      <c r="AG642" s="164">
        <f>IF(AND($C641=12,$D641=Input!$C$6),0,IF($E642="","",(IF($B642&gt;Input!$C$9,$X642,0)+AG643)/(1+$L642)*$R642))</f>
        <v>72608.720050595774</v>
      </c>
      <c r="AH642" s="160">
        <f t="shared" si="194"/>
        <v>2.0950137211446997</v>
      </c>
      <c r="AI642" s="160">
        <f>IF($E642="","",MIN(Input!$C$61/AH642,1))</f>
        <v>0.64438718771845094</v>
      </c>
      <c r="AJ642" s="152"/>
      <c r="AK642" s="164">
        <f>IF(AND($C641=12,$D641=Input!$C$6),0,IF($E642="","",IF($B642&gt;Input!$C$9,$AC642*AI642,0)+AK643/(1+$L642)*$R642))</f>
        <v>63520.152615817868</v>
      </c>
      <c r="AL642" s="164">
        <f>IF(AND($C641=12,$D641=Input!$C$6),0,IF($E642="","",IF($B642&gt;Input!$C$9,0,$AC642)+AL643/(1+$L642)*$R642))</f>
        <v>0</v>
      </c>
      <c r="AM642" s="160">
        <f t="shared" si="195"/>
        <v>1.1382936520186004</v>
      </c>
      <c r="AN642" s="164">
        <f>IF($E642="","",IF($B642&gt;Input!$C$9,$AI642*$AC642,$AM642*$AC642))</f>
        <v>0</v>
      </c>
      <c r="AO642" s="164">
        <f>IF(AND($C641=12,$D641=Input!$C$6),0,IF($E642="","",$AN642+AO643/(1+$L642)*$R642))</f>
        <v>63520.152615817868</v>
      </c>
      <c r="AP642" s="152"/>
      <c r="AQ642" s="164">
        <f t="shared" si="196"/>
        <v>12186.0906425512</v>
      </c>
      <c r="AR642" s="164">
        <f t="shared" si="205"/>
        <v>924.20324861318659</v>
      </c>
      <c r="AS642" s="164">
        <f t="shared" si="206"/>
        <v>14579.425837320574</v>
      </c>
      <c r="AT642" s="164">
        <f t="shared" si="197"/>
        <v>14579.425837320574</v>
      </c>
      <c r="AU642" s="152"/>
      <c r="AV642" s="147">
        <f>'Deterministic Reserve'!BC642</f>
        <v>7.3339378615966576E-7</v>
      </c>
      <c r="AW642" s="164">
        <f t="shared" si="198"/>
        <v>14579.425837320574</v>
      </c>
      <c r="AX642" s="164">
        <f t="shared" si="199"/>
        <v>1.069246031486659E-2</v>
      </c>
      <c r="AY642" s="152"/>
    </row>
    <row r="643" spans="1:51" s="150" customFormat="1" x14ac:dyDescent="0.25">
      <c r="A643" s="150">
        <f t="shared" si="207"/>
        <v>639</v>
      </c>
      <c r="B643" s="150">
        <f t="shared" si="208"/>
        <v>54</v>
      </c>
      <c r="C643" s="150">
        <f t="shared" si="209"/>
        <v>3</v>
      </c>
      <c r="D643" s="150">
        <f>IF(E643="","",Input!$C$4+B643-1)</f>
        <v>98</v>
      </c>
      <c r="E643" s="150">
        <f>IF(OR(AND(C642=12,D642=Input!$C$6),E642=""),"",1)</f>
        <v>1</v>
      </c>
      <c r="F643" s="150">
        <f>IF(E643="","",Input!$C$8+B643-1)</f>
        <v>2071</v>
      </c>
      <c r="G643" s="151">
        <f>IF(E643="","",MAX(0,Input!$C$9-B643))</f>
        <v>0</v>
      </c>
      <c r="H643" s="152">
        <f>IF(E643="","",Input!$C$3)</f>
        <v>100000</v>
      </c>
      <c r="I643" s="153">
        <f>IF(E643="","",HLOOKUP($B643,Input!$C$13:$BT$14,2))</f>
        <v>746.53949999999998</v>
      </c>
      <c r="J643" s="154"/>
      <c r="K643" s="155">
        <f>IF($E643="","",Input!$C$57)</f>
        <v>4.4999999999999998E-2</v>
      </c>
      <c r="L643" s="155">
        <f t="shared" si="200"/>
        <v>3.6748094004368514E-3</v>
      </c>
      <c r="M643" s="147">
        <f>IF($E643="","",VLOOKUP(IF($B643&lt;=Input!$C$7,$B643,26),'Mortality Tables'!$A$72:$CA$97,IF($B643&lt;=Input!$C$7+1,Input!$C$4-16,$D643-Input!$C$7-16),0)/1000)</f>
        <v>0.30470999999999998</v>
      </c>
      <c r="N643" s="147">
        <f t="shared" si="189"/>
        <v>2.9831509660839139E-2</v>
      </c>
      <c r="O643" s="157">
        <f>IF($E643="","",IF($C643=12,IF($B643&lt;Input!$C$9,Input!$C$54,IF($B643=Input!$C$9,Input!$C$55,Input!$C$56)),0%))</f>
        <v>0</v>
      </c>
      <c r="P643" s="167">
        <f>IF($E643="","",IF($B643=1,Input!$C$59,IF($B643&lt;6,Input!$C$60,0%)))</f>
        <v>0</v>
      </c>
      <c r="Q643" s="162">
        <f>IF($E643="","",Input!$C$58)</f>
        <v>2.5</v>
      </c>
      <c r="R643" s="156">
        <f t="shared" si="201"/>
        <v>0.97016849033916086</v>
      </c>
      <c r="S643" s="154">
        <f t="shared" si="190"/>
        <v>6.8119963765565024E-5</v>
      </c>
      <c r="T643" s="152"/>
      <c r="U643" s="150">
        <f t="shared" si="202"/>
        <v>0</v>
      </c>
      <c r="V643" s="150">
        <f t="shared" si="203"/>
        <v>0</v>
      </c>
      <c r="W643" s="168">
        <f t="shared" si="204"/>
        <v>0</v>
      </c>
      <c r="X643" s="163">
        <f t="shared" si="191"/>
        <v>2983.1509660839138</v>
      </c>
      <c r="Y643" s="152"/>
      <c r="Z643" s="164">
        <f>IF(AND($C642=12,$D642=Input!$C$6),0,IF($E643="","",V643+Z644/(1+L643)*R643))</f>
        <v>123503.003186291</v>
      </c>
      <c r="AA643" s="164">
        <f>IF(OR($M643=1,AND($C642=12,$D642=Input!$C$6)),0,IF($E643="","",W643+(X643+AA644*$R643)/(1+$L643)))</f>
        <v>75246.000085162814</v>
      </c>
      <c r="AB643" s="160">
        <f t="shared" si="192"/>
        <v>0.825720328500681</v>
      </c>
      <c r="AC643" s="164">
        <f t="shared" si="193"/>
        <v>0</v>
      </c>
      <c r="AD643" s="164">
        <f>IF(AND($C642=12,$D642=Input!$C$6),0,IF($E643="","",$AC643+AD644/(1+$L643)*$R643))</f>
        <v>101978.94036180484</v>
      </c>
      <c r="AE643" s="152"/>
      <c r="AF643" s="164">
        <f>IF(AND($C642=12,$D642=Input!$C$6),0,IF($E643="","",IF($B643&gt;Input!$C$9,$AC643,0)+AF644/(1+$L643)*$R643))</f>
        <v>101978.94036180484</v>
      </c>
      <c r="AG643" s="164">
        <f>IF(AND($C642=12,$D642=Input!$C$6),0,IF($E643="","",(IF($B643&gt;Input!$C$9,$X643,0)+AG644)/(1+$L643)*$R643))</f>
        <v>72133.227254069221</v>
      </c>
      <c r="AH643" s="160">
        <f t="shared" si="194"/>
        <v>2.0950137211446997</v>
      </c>
      <c r="AI643" s="160">
        <f>IF($E643="","",MIN(Input!$C$61/AH643,1))</f>
        <v>0.64438718771845094</v>
      </c>
      <c r="AJ643" s="152"/>
      <c r="AK643" s="164">
        <f>IF(AND($C642=12,$D642=Input!$C$6),0,IF($E643="","",IF($B643&gt;Input!$C$9,$AC643*AI643,0)+AK644/(1+$L643)*$R643))</f>
        <v>65713.922586251036</v>
      </c>
      <c r="AL643" s="164">
        <f>IF(AND($C642=12,$D642=Input!$C$6),0,IF($E643="","",IF($B643&gt;Input!$C$9,0,$AC643)+AL644/(1+$L643)*$R643))</f>
        <v>0</v>
      </c>
      <c r="AM643" s="160">
        <f t="shared" si="195"/>
        <v>1.1382936520186004</v>
      </c>
      <c r="AN643" s="164">
        <f>IF($E643="","",IF($B643&gt;Input!$C$9,$AI643*$AC643,$AM643*$AC643))</f>
        <v>0</v>
      </c>
      <c r="AO643" s="164">
        <f>IF(AND($C642=12,$D642=Input!$C$6),0,IF($E643="","",$AN643+AO644/(1+$L643)*$R643))</f>
        <v>65713.922586251036</v>
      </c>
      <c r="AP643" s="152"/>
      <c r="AQ643" s="164">
        <f t="shared" si="196"/>
        <v>9532.0774989117781</v>
      </c>
      <c r="AR643" s="164">
        <f t="shared" si="205"/>
        <v>924.20324861318659</v>
      </c>
      <c r="AS643" s="164">
        <f t="shared" si="206"/>
        <v>14579.425837320574</v>
      </c>
      <c r="AT643" s="164">
        <f t="shared" si="197"/>
        <v>14579.425837320574</v>
      </c>
      <c r="AU643" s="152"/>
      <c r="AV643" s="147">
        <f>'Deterministic Reserve'!BC643</f>
        <v>6.7323996252184639E-7</v>
      </c>
      <c r="AW643" s="164">
        <f t="shared" si="198"/>
        <v>14579.425837320574</v>
      </c>
      <c r="AX643" s="164">
        <f t="shared" si="199"/>
        <v>9.8154521043077418E-3</v>
      </c>
      <c r="AY643" s="152"/>
    </row>
    <row r="644" spans="1:51" s="150" customFormat="1" x14ac:dyDescent="0.25">
      <c r="A644" s="150">
        <f t="shared" si="207"/>
        <v>640</v>
      </c>
      <c r="B644" s="150">
        <f t="shared" si="208"/>
        <v>54</v>
      </c>
      <c r="C644" s="150">
        <f t="shared" si="209"/>
        <v>4</v>
      </c>
      <c r="D644" s="150">
        <f>IF(E644="","",Input!$C$4+B644-1)</f>
        <v>98</v>
      </c>
      <c r="E644" s="150">
        <f>IF(OR(AND(C643=12,D643=Input!$C$6),E643=""),"",1)</f>
        <v>1</v>
      </c>
      <c r="F644" s="150">
        <f>IF(E644="","",Input!$C$8+B644-1)</f>
        <v>2071</v>
      </c>
      <c r="G644" s="151">
        <f>IF(E644="","",MAX(0,Input!$C$9-B644))</f>
        <v>0</v>
      </c>
      <c r="H644" s="152">
        <f>IF(E644="","",Input!$C$3)</f>
        <v>100000</v>
      </c>
      <c r="I644" s="153">
        <f>IF(E644="","",HLOOKUP($B644,Input!$C$13:$BT$14,2))</f>
        <v>746.53949999999998</v>
      </c>
      <c r="J644" s="154"/>
      <c r="K644" s="155">
        <f>IF($E644="","",Input!$C$57)</f>
        <v>4.4999999999999998E-2</v>
      </c>
      <c r="L644" s="155">
        <f t="shared" si="200"/>
        <v>3.6748094004368514E-3</v>
      </c>
      <c r="M644" s="147">
        <f>IF($E644="","",VLOOKUP(IF($B644&lt;=Input!$C$7,$B644,26),'Mortality Tables'!$A$72:$CA$97,IF($B644&lt;=Input!$C$7+1,Input!$C$4-16,$D644-Input!$C$7-16),0)/1000)</f>
        <v>0.30470999999999998</v>
      </c>
      <c r="N644" s="147">
        <f t="shared" si="189"/>
        <v>2.9831509660839139E-2</v>
      </c>
      <c r="O644" s="157">
        <f>IF($E644="","",IF($C644=12,IF($B644&lt;Input!$C$9,Input!$C$54,IF($B644=Input!$C$9,Input!$C$55,Input!$C$56)),0%))</f>
        <v>0</v>
      </c>
      <c r="P644" s="167">
        <f>IF($E644="","",IF($B644=1,Input!$C$59,IF($B644&lt;6,Input!$C$60,0%)))</f>
        <v>0</v>
      </c>
      <c r="Q644" s="162">
        <f>IF($E644="","",Input!$C$58)</f>
        <v>2.5</v>
      </c>
      <c r="R644" s="156">
        <f t="shared" si="201"/>
        <v>0.97016849033916086</v>
      </c>
      <c r="S644" s="154">
        <f t="shared" si="190"/>
        <v>6.6087842408396559E-5</v>
      </c>
      <c r="T644" s="152"/>
      <c r="U644" s="150">
        <f t="shared" si="202"/>
        <v>0</v>
      </c>
      <c r="V644" s="150">
        <f t="shared" si="203"/>
        <v>0</v>
      </c>
      <c r="W644" s="168">
        <f t="shared" si="204"/>
        <v>0</v>
      </c>
      <c r="X644" s="163">
        <f t="shared" si="191"/>
        <v>2983.1509660839138</v>
      </c>
      <c r="Y644" s="152"/>
      <c r="Z644" s="164">
        <f>IF(AND($C643=12,$D643=Input!$C$6),0,IF($E644="","",V644+Z645/(1+L644)*R644))</f>
        <v>127768.37674871107</v>
      </c>
      <c r="AA644" s="164">
        <f>IF(OR($M644=1,AND($C643=12,$D643=Input!$C$6)),0,IF($E644="","",W644+(X644+AA645*$R644)/(1+$L644)))</f>
        <v>74769.86167854011</v>
      </c>
      <c r="AB644" s="160">
        <f t="shared" si="192"/>
        <v>0.825720328500681</v>
      </c>
      <c r="AC644" s="164">
        <f t="shared" si="193"/>
        <v>0</v>
      </c>
      <c r="AD644" s="164">
        <f>IF(AND($C643=12,$D643=Input!$C$6),0,IF($E644="","",$AC644+AD645/(1+$L644)*$R644))</f>
        <v>105500.94602094445</v>
      </c>
      <c r="AE644" s="152"/>
      <c r="AF644" s="164">
        <f>IF(AND($C643=12,$D643=Input!$C$6),0,IF($E644="","",IF($B644&gt;Input!$C$9,$AC644,0)+AF645/(1+$L644)*$R644))</f>
        <v>105500.94602094445</v>
      </c>
      <c r="AG644" s="164">
        <f>IF(AND($C643=12,$D643=Input!$C$6),0,IF($E644="","",(IF($B644&gt;Input!$C$9,$X644,0)+AG645)/(1+$L644)*$R644))</f>
        <v>71641.312554017248</v>
      </c>
      <c r="AH644" s="160">
        <f t="shared" si="194"/>
        <v>2.0950137211446997</v>
      </c>
      <c r="AI644" s="160">
        <f>IF($E644="","",MIN(Input!$C$61/AH644,1))</f>
        <v>0.64438718771845094</v>
      </c>
      <c r="AJ644" s="152"/>
      <c r="AK644" s="164">
        <f>IF(AND($C643=12,$D643=Input!$C$6),0,IF($E644="","",IF($B644&gt;Input!$C$9,$AC644*AI644,0)+AK645/(1+$L644)*$R644))</f>
        <v>67983.45790807248</v>
      </c>
      <c r="AL644" s="164">
        <f>IF(AND($C643=12,$D643=Input!$C$6),0,IF($E644="","",IF($B644&gt;Input!$C$9,0,$AC644)+AL645/(1+$L644)*$R644))</f>
        <v>0</v>
      </c>
      <c r="AM644" s="160">
        <f t="shared" si="195"/>
        <v>1.1382936520186004</v>
      </c>
      <c r="AN644" s="164">
        <f>IF($E644="","",IF($B644&gt;Input!$C$9,$AI644*$AC644,$AM644*$AC644))</f>
        <v>0</v>
      </c>
      <c r="AO644" s="164">
        <f>IF(AND($C643=12,$D643=Input!$C$6),0,IF($E644="","",$AN644+AO645/(1+$L644)*$R644))</f>
        <v>67983.45790807248</v>
      </c>
      <c r="AP644" s="152"/>
      <c r="AQ644" s="164">
        <f t="shared" si="196"/>
        <v>6786.4037704676302</v>
      </c>
      <c r="AR644" s="164">
        <f t="shared" si="205"/>
        <v>924.20324861318659</v>
      </c>
      <c r="AS644" s="164">
        <f t="shared" si="206"/>
        <v>14579.425837320574</v>
      </c>
      <c r="AT644" s="164">
        <f t="shared" si="197"/>
        <v>14579.425837320574</v>
      </c>
      <c r="AU644" s="152"/>
      <c r="AV644" s="147">
        <f>'Deterministic Reserve'!BC644</f>
        <v>6.1802002647148211E-7</v>
      </c>
      <c r="AW644" s="164">
        <f t="shared" si="198"/>
        <v>14579.425837320574</v>
      </c>
      <c r="AX644" s="164">
        <f t="shared" si="199"/>
        <v>9.0103771419198717E-3</v>
      </c>
      <c r="AY644" s="152"/>
    </row>
    <row r="645" spans="1:51" s="150" customFormat="1" x14ac:dyDescent="0.25">
      <c r="A645" s="150">
        <f t="shared" si="207"/>
        <v>641</v>
      </c>
      <c r="B645" s="150">
        <f t="shared" si="208"/>
        <v>54</v>
      </c>
      <c r="C645" s="150">
        <f t="shared" si="209"/>
        <v>5</v>
      </c>
      <c r="D645" s="150">
        <f>IF(E645="","",Input!$C$4+B645-1)</f>
        <v>98</v>
      </c>
      <c r="E645" s="150">
        <f>IF(OR(AND(C644=12,D644=Input!$C$6),E644=""),"",1)</f>
        <v>1</v>
      </c>
      <c r="F645" s="150">
        <f>IF(E645="","",Input!$C$8+B645-1)</f>
        <v>2071</v>
      </c>
      <c r="G645" s="151">
        <f>IF(E645="","",MAX(0,Input!$C$9-B645))</f>
        <v>0</v>
      </c>
      <c r="H645" s="152">
        <f>IF(E645="","",Input!$C$3)</f>
        <v>100000</v>
      </c>
      <c r="I645" s="153">
        <f>IF(E645="","",HLOOKUP($B645,Input!$C$13:$BT$14,2))</f>
        <v>746.53949999999998</v>
      </c>
      <c r="J645" s="154"/>
      <c r="K645" s="155">
        <f>IF($E645="","",Input!$C$57)</f>
        <v>4.4999999999999998E-2</v>
      </c>
      <c r="L645" s="155">
        <f t="shared" si="200"/>
        <v>3.6748094004368514E-3</v>
      </c>
      <c r="M645" s="147">
        <f>IF($E645="","",VLOOKUP(IF($B645&lt;=Input!$C$7,$B645,26),'Mortality Tables'!$A$72:$CA$97,IF($B645&lt;=Input!$C$7+1,Input!$C$4-16,$D645-Input!$C$7-16),0)/1000)</f>
        <v>0.30470999999999998</v>
      </c>
      <c r="N645" s="147">
        <f t="shared" ref="N645:N708" si="210">IF($E645="","",1-(1-M645)^(1/12))</f>
        <v>2.9831509660839139E-2</v>
      </c>
      <c r="O645" s="157">
        <f>IF($E645="","",IF($C645=12,IF($B645&lt;Input!$C$9,Input!$C$54,IF($B645=Input!$C$9,Input!$C$55,Input!$C$56)),0%))</f>
        <v>0</v>
      </c>
      <c r="P645" s="167">
        <f>IF($E645="","",IF($B645=1,Input!$C$59,IF($B645&lt;6,Input!$C$60,0%)))</f>
        <v>0</v>
      </c>
      <c r="Q645" s="162">
        <f>IF($E645="","",Input!$C$58)</f>
        <v>2.5</v>
      </c>
      <c r="R645" s="156">
        <f t="shared" si="201"/>
        <v>0.97016849033916086</v>
      </c>
      <c r="S645" s="154">
        <f t="shared" ref="S645:S708" si="211">IF($E645="","",IF(AND($B645=1,$C645=1),1,S644*R645))</f>
        <v>6.4116342299126456E-5</v>
      </c>
      <c r="T645" s="152"/>
      <c r="U645" s="150">
        <f t="shared" si="202"/>
        <v>0</v>
      </c>
      <c r="V645" s="150">
        <f t="shared" si="203"/>
        <v>0</v>
      </c>
      <c r="W645" s="168">
        <f t="shared" si="204"/>
        <v>0</v>
      </c>
      <c r="X645" s="163">
        <f t="shared" ref="X645:X708" si="212">IF($E645="","",N645*$H645)</f>
        <v>2983.1509660839138</v>
      </c>
      <c r="Y645" s="152"/>
      <c r="Z645" s="164">
        <f>IF(AND($C644=12,$D644=Input!$C$6),0,IF($E645="","",V645+Z646/(1+L645)*R645))</f>
        <v>132181.06180281649</v>
      </c>
      <c r="AA645" s="164">
        <f>IF(OR($M645=1,AND($C644=12,$D644=Input!$C$6)),0,IF($E645="","",W645+(X645+AA646*$R645)/(1+$L645)))</f>
        <v>74277.279071215671</v>
      </c>
      <c r="AB645" s="160">
        <f t="shared" ref="AB645:AB708" si="213">IF($E645="","",$AA$5/$Z$5)</f>
        <v>0.825720328500681</v>
      </c>
      <c r="AC645" s="164">
        <f t="shared" ref="AC645:AC708" si="214">IF($E645="","",V645*AB645)</f>
        <v>0</v>
      </c>
      <c r="AD645" s="164">
        <f>IF(AND($C644=12,$D644=Input!$C$6),0,IF($E645="","",$AC645+AD646/(1+$L645)*$R645))</f>
        <v>109144.58977339041</v>
      </c>
      <c r="AE645" s="152"/>
      <c r="AF645" s="164">
        <f>IF(AND($C644=12,$D644=Input!$C$6),0,IF($E645="","",IF($B645&gt;Input!$C$9,$AC645,0)+AF646/(1+$L645)*$R645))</f>
        <v>109144.58977339041</v>
      </c>
      <c r="AG645" s="164">
        <f>IF(AND($C644=12,$D644=Input!$C$6),0,IF($E645="","",(IF($B645&gt;Input!$C$9,$X645,0)+AG646)/(1+$L645)*$R645))</f>
        <v>71132.408793760784</v>
      </c>
      <c r="AH645" s="160">
        <f t="shared" ref="AH645:AH708" si="215">IF($E645="","",$AF$5/$AG$5)</f>
        <v>2.0950137211446997</v>
      </c>
      <c r="AI645" s="160">
        <f>IF($E645="","",MIN(Input!$C$61/AH645,1))</f>
        <v>0.64438718771845094</v>
      </c>
      <c r="AJ645" s="152"/>
      <c r="AK645" s="164">
        <f>IF(AND($C644=12,$D644=Input!$C$6),0,IF($E645="","",IF($B645&gt;Input!$C$9,$AC645*AI645,0)+AK646/(1+$L645)*$R645))</f>
        <v>70331.375258759042</v>
      </c>
      <c r="AL645" s="164">
        <f>IF(AND($C644=12,$D644=Input!$C$6),0,IF($E645="","",IF($B645&gt;Input!$C$9,0,$AC645)+AL646/(1+$L645)*$R645))</f>
        <v>0</v>
      </c>
      <c r="AM645" s="160">
        <f t="shared" ref="AM645:AM708" si="216">IF($E645="","",($AD$5-$AK$5)/$AL$5)</f>
        <v>1.1382936520186004</v>
      </c>
      <c r="AN645" s="164">
        <f>IF($E645="","",IF($B645&gt;Input!$C$9,$AI645*$AC645,$AM645*$AC645))</f>
        <v>0</v>
      </c>
      <c r="AO645" s="164">
        <f>IF(AND($C644=12,$D644=Input!$C$6),0,IF($E645="","",$AN645+AO646/(1+$L645)*$R645))</f>
        <v>70331.375258759042</v>
      </c>
      <c r="AP645" s="152"/>
      <c r="AQ645" s="164">
        <f t="shared" ref="AQ645:AQ708" si="217">IF($E645="","",$AA645-$AO645)</f>
        <v>3945.9038124566287</v>
      </c>
      <c r="AR645" s="164">
        <f t="shared" si="205"/>
        <v>924.20324861318659</v>
      </c>
      <c r="AS645" s="164">
        <f t="shared" si="206"/>
        <v>14579.425837320574</v>
      </c>
      <c r="AT645" s="164">
        <f t="shared" ref="AT645:AT708" si="218">IF($E645="","",MAX($AR645,$AS645))</f>
        <v>14579.425837320574</v>
      </c>
      <c r="AU645" s="152"/>
      <c r="AV645" s="147">
        <f>'Deterministic Reserve'!BC645</f>
        <v>5.6732929472738681E-7</v>
      </c>
      <c r="AW645" s="164">
        <f t="shared" ref="AW645:AW708" si="219">IF($E645="","",$AT645)</f>
        <v>14579.425837320574</v>
      </c>
      <c r="AX645" s="164">
        <f t="shared" ref="AX645:AX708" si="220">IF($E645="","",AV645*AW645)</f>
        <v>8.271335377817322E-3</v>
      </c>
      <c r="AY645" s="152"/>
    </row>
    <row r="646" spans="1:51" s="150" customFormat="1" x14ac:dyDescent="0.25">
      <c r="A646" s="150">
        <f t="shared" si="207"/>
        <v>642</v>
      </c>
      <c r="B646" s="150">
        <f t="shared" si="208"/>
        <v>54</v>
      </c>
      <c r="C646" s="150">
        <f t="shared" si="209"/>
        <v>6</v>
      </c>
      <c r="D646" s="150">
        <f>IF(E646="","",Input!$C$4+B646-1)</f>
        <v>98</v>
      </c>
      <c r="E646" s="150">
        <f>IF(OR(AND(C645=12,D645=Input!$C$6),E645=""),"",1)</f>
        <v>1</v>
      </c>
      <c r="F646" s="150">
        <f>IF(E646="","",Input!$C$8+B646-1)</f>
        <v>2071</v>
      </c>
      <c r="G646" s="151">
        <f>IF(E646="","",MAX(0,Input!$C$9-B646))</f>
        <v>0</v>
      </c>
      <c r="H646" s="152">
        <f>IF(E646="","",Input!$C$3)</f>
        <v>100000</v>
      </c>
      <c r="I646" s="153">
        <f>IF(E646="","",HLOOKUP($B646,Input!$C$13:$BT$14,2))</f>
        <v>746.53949999999998</v>
      </c>
      <c r="J646" s="154"/>
      <c r="K646" s="155">
        <f>IF($E646="","",Input!$C$57)</f>
        <v>4.4999999999999998E-2</v>
      </c>
      <c r="L646" s="155">
        <f t="shared" ref="L646:L709" si="221">IF($E646="","",(1+K646)^(1/12)-1)</f>
        <v>3.6748094004368514E-3</v>
      </c>
      <c r="M646" s="147">
        <f>IF($E646="","",VLOOKUP(IF($B646&lt;=Input!$C$7,$B646,26),'Mortality Tables'!$A$72:$CA$97,IF($B646&lt;=Input!$C$7+1,Input!$C$4-16,$D646-Input!$C$7-16),0)/1000)</f>
        <v>0.30470999999999998</v>
      </c>
      <c r="N646" s="147">
        <f t="shared" si="210"/>
        <v>2.9831509660839139E-2</v>
      </c>
      <c r="O646" s="157">
        <f>IF($E646="","",IF($C646=12,IF($B646&lt;Input!$C$9,Input!$C$54,IF($B646=Input!$C$9,Input!$C$55,Input!$C$56)),0%))</f>
        <v>0</v>
      </c>
      <c r="P646" s="167">
        <f>IF($E646="","",IF($B646=1,Input!$C$59,IF($B646&lt;6,Input!$C$60,0%)))</f>
        <v>0</v>
      </c>
      <c r="Q646" s="162">
        <f>IF($E646="","",Input!$C$58)</f>
        <v>2.5</v>
      </c>
      <c r="R646" s="156">
        <f t="shared" ref="R646:R709" si="222">IF($E646="","",MAX(1-N646-O646,0))</f>
        <v>0.97016849033916086</v>
      </c>
      <c r="S646" s="154">
        <f t="shared" si="211"/>
        <v>6.2203655014412393E-5</v>
      </c>
      <c r="T646" s="152"/>
      <c r="U646" s="150">
        <f t="shared" ref="U646:U709" si="223">IF($E646="","",IF($C646=1,$I646*$H646/1000,0))</f>
        <v>0</v>
      </c>
      <c r="V646" s="150">
        <f t="shared" ref="V646:V709" si="224">IF($E646="","",U646*(1-$P646))</f>
        <v>0</v>
      </c>
      <c r="W646" s="168">
        <f t="shared" ref="W646:W709" si="225">IF($E646="","",IF(AND($B646=1,$C646=1),$Q646*$H646/1000,0))</f>
        <v>0</v>
      </c>
      <c r="X646" s="163">
        <f t="shared" si="212"/>
        <v>2983.1509660839138</v>
      </c>
      <c r="Y646" s="152"/>
      <c r="Z646" s="164">
        <f>IF(AND($C645=12,$D645=Input!$C$6),0,IF($E646="","",V646+Z647/(1+L646)*R646))</f>
        <v>136746.14598636393</v>
      </c>
      <c r="AA646" s="164">
        <f>IF(OR($M646=1,AND($C645=12,$D645=Input!$C$6)),0,IF($E646="","",W646+(X646+AA647*$R646)/(1+$L646)))</f>
        <v>73767.684336441846</v>
      </c>
      <c r="AB646" s="160">
        <f t="shared" si="213"/>
        <v>0.825720328500681</v>
      </c>
      <c r="AC646" s="164">
        <f t="shared" si="214"/>
        <v>0</v>
      </c>
      <c r="AD646" s="164">
        <f>IF(AND($C645=12,$D645=Input!$C$6),0,IF($E646="","",$AC646+AD647/(1+$L646)*$R646))</f>
        <v>112914.07258506247</v>
      </c>
      <c r="AE646" s="152"/>
      <c r="AF646" s="164">
        <f>IF(AND($C645=12,$D645=Input!$C$6),0,IF($E646="","",IF($B646&gt;Input!$C$9,$AC646,0)+AF647/(1+$L646)*$R646))</f>
        <v>112914.07258506247</v>
      </c>
      <c r="AG646" s="164">
        <f>IF(AND($C645=12,$D645=Input!$C$6),0,IF($E646="","",(IF($B646&gt;Input!$C$9,$X646,0)+AG647)/(1+$L646)*$R646))</f>
        <v>70605.929228958572</v>
      </c>
      <c r="AH646" s="160">
        <f t="shared" si="215"/>
        <v>2.0950137211446997</v>
      </c>
      <c r="AI646" s="160">
        <f>IF($E646="","",MIN(Input!$C$61/AH646,1))</f>
        <v>0.64438718771845094</v>
      </c>
      <c r="AJ646" s="152"/>
      <c r="AK646" s="164">
        <f>IF(AND($C645=12,$D645=Input!$C$6),0,IF($E646="","",IF($B646&gt;Input!$C$9,$AC646*AI646,0)+AK647/(1+$L646)*$R646))</f>
        <v>72760.381686925452</v>
      </c>
      <c r="AL646" s="164">
        <f>IF(AND($C645=12,$D645=Input!$C$6),0,IF($E646="","",IF($B646&gt;Input!$C$9,0,$AC646)+AL647/(1+$L646)*$R646))</f>
        <v>0</v>
      </c>
      <c r="AM646" s="160">
        <f t="shared" si="216"/>
        <v>1.1382936520186004</v>
      </c>
      <c r="AN646" s="164">
        <f>IF($E646="","",IF($B646&gt;Input!$C$9,$AI646*$AC646,$AM646*$AC646))</f>
        <v>0</v>
      </c>
      <c r="AO646" s="164">
        <f>IF(AND($C645=12,$D645=Input!$C$6),0,IF($E646="","",$AN646+AO647/(1+$L646)*$R646))</f>
        <v>72760.381686925452</v>
      </c>
      <c r="AP646" s="152"/>
      <c r="AQ646" s="164">
        <f t="shared" si="217"/>
        <v>1007.302649516394</v>
      </c>
      <c r="AR646" s="164">
        <f t="shared" ref="AR646:AR709" si="226">IF($E646="","",IF($M646=1,0,0.5*(IF($B646=1,0,SUMIFS($AQ:$AQ,$B:$B,$B646-1,$C:$C,12))+SUMIFS($AN:$AN,$B:$B,$B646,$C:$C,1)+SUMIFS($AQ:$AQ,$B:$B,$B646,$C:$C,12))))</f>
        <v>924.20324861318659</v>
      </c>
      <c r="AS646" s="164">
        <f t="shared" ref="AS646:AS709" si="227">IF($E646="","",IF($M646=1,0,0.5*$M646*$H646/(1+$K646)))</f>
        <v>14579.425837320574</v>
      </c>
      <c r="AT646" s="164">
        <f t="shared" si="218"/>
        <v>14579.425837320574</v>
      </c>
      <c r="AU646" s="152"/>
      <c r="AV646" s="147">
        <f>'Deterministic Reserve'!BC646</f>
        <v>5.2079627660856416E-7</v>
      </c>
      <c r="AW646" s="164">
        <f t="shared" si="219"/>
        <v>14579.425837320574</v>
      </c>
      <c r="AX646" s="164">
        <f t="shared" si="220"/>
        <v>7.5929106911672524E-3</v>
      </c>
      <c r="AY646" s="152"/>
    </row>
    <row r="647" spans="1:51" s="150" customFormat="1" x14ac:dyDescent="0.25">
      <c r="A647" s="150">
        <f t="shared" ref="A647:A710" si="228">IF(E647="","",A646+1)</f>
        <v>643</v>
      </c>
      <c r="B647" s="150">
        <f t="shared" ref="B647:B710" si="229">IF(E647="","",IF(C646+1&gt;12,B646+1,B646))</f>
        <v>54</v>
      </c>
      <c r="C647" s="150">
        <f t="shared" ref="C647:C710" si="230">IF(E647="","",IF(C646+1&gt;12,1,C646+1))</f>
        <v>7</v>
      </c>
      <c r="D647" s="150">
        <f>IF(E647="","",Input!$C$4+B647-1)</f>
        <v>98</v>
      </c>
      <c r="E647" s="150">
        <f>IF(OR(AND(C646=12,D646=Input!$C$6),E646=""),"",1)</f>
        <v>1</v>
      </c>
      <c r="F647" s="150">
        <f>IF(E647="","",Input!$C$8+B647-1)</f>
        <v>2071</v>
      </c>
      <c r="G647" s="151">
        <f>IF(E647="","",MAX(0,Input!$C$9-B647))</f>
        <v>0</v>
      </c>
      <c r="H647" s="152">
        <f>IF(E647="","",Input!$C$3)</f>
        <v>100000</v>
      </c>
      <c r="I647" s="153">
        <f>IF(E647="","",HLOOKUP($B647,Input!$C$13:$BT$14,2))</f>
        <v>746.53949999999998</v>
      </c>
      <c r="J647" s="154"/>
      <c r="K647" s="155">
        <f>IF($E647="","",Input!$C$57)</f>
        <v>4.4999999999999998E-2</v>
      </c>
      <c r="L647" s="155">
        <f t="shared" si="221"/>
        <v>3.6748094004368514E-3</v>
      </c>
      <c r="M647" s="147">
        <f>IF($E647="","",VLOOKUP(IF($B647&lt;=Input!$C$7,$B647,26),'Mortality Tables'!$A$72:$CA$97,IF($B647&lt;=Input!$C$7+1,Input!$C$4-16,$D647-Input!$C$7-16),0)/1000)</f>
        <v>0.30470999999999998</v>
      </c>
      <c r="N647" s="147">
        <f t="shared" si="210"/>
        <v>2.9831509660839139E-2</v>
      </c>
      <c r="O647" s="157">
        <f>IF($E647="","",IF($C647=12,IF($B647&lt;Input!$C$9,Input!$C$54,IF($B647=Input!$C$9,Input!$C$55,Input!$C$56)),0%))</f>
        <v>0</v>
      </c>
      <c r="P647" s="167">
        <f>IF($E647="","",IF($B647=1,Input!$C$59,IF($B647&lt;6,Input!$C$60,0%)))</f>
        <v>0</v>
      </c>
      <c r="Q647" s="162">
        <f>IF($E647="","",Input!$C$58)</f>
        <v>2.5</v>
      </c>
      <c r="R647" s="156">
        <f t="shared" si="222"/>
        <v>0.97016849033916086</v>
      </c>
      <c r="S647" s="154">
        <f t="shared" si="211"/>
        <v>6.0348026078910447E-5</v>
      </c>
      <c r="T647" s="152"/>
      <c r="U647" s="150">
        <f t="shared" si="223"/>
        <v>0</v>
      </c>
      <c r="V647" s="150">
        <f t="shared" si="224"/>
        <v>0</v>
      </c>
      <c r="W647" s="168">
        <f t="shared" si="225"/>
        <v>0</v>
      </c>
      <c r="X647" s="163">
        <f t="shared" si="212"/>
        <v>2983.1509660839138</v>
      </c>
      <c r="Y647" s="152"/>
      <c r="Z647" s="164">
        <f>IF(AND($C646=12,$D646=Input!$C$6),0,IF($E647="","",V647+Z648/(1+L647)*R647))</f>
        <v>141468.89264680963</v>
      </c>
      <c r="AA647" s="164">
        <f>IF(OR($M647=1,AND($C646=12,$D646=Input!$C$6)),0,IF($E647="","",W647+(X647+AA648*$R647)/(1+$L647)))</f>
        <v>73240.48993321319</v>
      </c>
      <c r="AB647" s="160">
        <f t="shared" si="213"/>
        <v>0.825720328500681</v>
      </c>
      <c r="AC647" s="164">
        <f t="shared" si="214"/>
        <v>0</v>
      </c>
      <c r="AD647" s="164">
        <f>IF(AND($C646=12,$D646=Input!$C$6),0,IF($E647="","",$AC647+AD648/(1+$L647)*$R647))</f>
        <v>116813.74050895122</v>
      </c>
      <c r="AE647" s="152"/>
      <c r="AF647" s="164">
        <f>IF(AND($C646=12,$D646=Input!$C$6),0,IF($E647="","",IF($B647&gt;Input!$C$9,$AC647,0)+AF648/(1+$L647)*$R647))</f>
        <v>116813.74050895122</v>
      </c>
      <c r="AG647" s="164">
        <f>IF(AND($C646=12,$D646=Input!$C$6),0,IF($E647="","",(IF($B647&gt;Input!$C$9,$X647,0)+AG648)/(1+$L647)*$R647))</f>
        <v>70061.266851116001</v>
      </c>
      <c r="AH647" s="160">
        <f t="shared" si="215"/>
        <v>2.0950137211446997</v>
      </c>
      <c r="AI647" s="160">
        <f>IF($E647="","",MIN(Input!$C$61/AH647,1))</f>
        <v>0.64438718771845094</v>
      </c>
      <c r="AJ647" s="152"/>
      <c r="AK647" s="164">
        <f>IF(AND($C646=12,$D646=Input!$C$6),0,IF($E647="","",IF($B647&gt;Input!$C$9,$AC647*AI647,0)+AK648/(1+$L647)*$R647))</f>
        <v>75273.277733435956</v>
      </c>
      <c r="AL647" s="164">
        <f>IF(AND($C646=12,$D646=Input!$C$6),0,IF($E647="","",IF($B647&gt;Input!$C$9,0,$AC647)+AL648/(1+$L647)*$R647))</f>
        <v>0</v>
      </c>
      <c r="AM647" s="160">
        <f t="shared" si="216"/>
        <v>1.1382936520186004</v>
      </c>
      <c r="AN647" s="164">
        <f>IF($E647="","",IF($B647&gt;Input!$C$9,$AI647*$AC647,$AM647*$AC647))</f>
        <v>0</v>
      </c>
      <c r="AO647" s="164">
        <f>IF(AND($C646=12,$D646=Input!$C$6),0,IF($E647="","",$AN647+AO648/(1+$L647)*$R647))</f>
        <v>75273.277733435956</v>
      </c>
      <c r="AP647" s="152"/>
      <c r="AQ647" s="164">
        <f t="shared" si="217"/>
        <v>-2032.7878002227662</v>
      </c>
      <c r="AR647" s="164">
        <f t="shared" si="226"/>
        <v>924.20324861318659</v>
      </c>
      <c r="AS647" s="164">
        <f t="shared" si="227"/>
        <v>14579.425837320574</v>
      </c>
      <c r="AT647" s="164">
        <f t="shared" si="218"/>
        <v>14579.425837320574</v>
      </c>
      <c r="AU647" s="152"/>
      <c r="AV647" s="147">
        <f>'Deterministic Reserve'!BC647</f>
        <v>4.7807995153797756E-7</v>
      </c>
      <c r="AW647" s="164">
        <f t="shared" si="219"/>
        <v>14579.425837320574</v>
      </c>
      <c r="AX647" s="164">
        <f t="shared" si="220"/>
        <v>6.9701311977577582E-3</v>
      </c>
      <c r="AY647" s="152"/>
    </row>
    <row r="648" spans="1:51" s="150" customFormat="1" x14ac:dyDescent="0.25">
      <c r="A648" s="150">
        <f t="shared" si="228"/>
        <v>644</v>
      </c>
      <c r="B648" s="150">
        <f t="shared" si="229"/>
        <v>54</v>
      </c>
      <c r="C648" s="150">
        <f t="shared" si="230"/>
        <v>8</v>
      </c>
      <c r="D648" s="150">
        <f>IF(E648="","",Input!$C$4+B648-1)</f>
        <v>98</v>
      </c>
      <c r="E648" s="150">
        <f>IF(OR(AND(C647=12,D647=Input!$C$6),E647=""),"",1)</f>
        <v>1</v>
      </c>
      <c r="F648" s="150">
        <f>IF(E648="","",Input!$C$8+B648-1)</f>
        <v>2071</v>
      </c>
      <c r="G648" s="151">
        <f>IF(E648="","",MAX(0,Input!$C$9-B648))</f>
        <v>0</v>
      </c>
      <c r="H648" s="152">
        <f>IF(E648="","",Input!$C$3)</f>
        <v>100000</v>
      </c>
      <c r="I648" s="153">
        <f>IF(E648="","",HLOOKUP($B648,Input!$C$13:$BT$14,2))</f>
        <v>746.53949999999998</v>
      </c>
      <c r="J648" s="154"/>
      <c r="K648" s="155">
        <f>IF($E648="","",Input!$C$57)</f>
        <v>4.4999999999999998E-2</v>
      </c>
      <c r="L648" s="155">
        <f t="shared" si="221"/>
        <v>3.6748094004368514E-3</v>
      </c>
      <c r="M648" s="147">
        <f>IF($E648="","",VLOOKUP(IF($B648&lt;=Input!$C$7,$B648,26),'Mortality Tables'!$A$72:$CA$97,IF($B648&lt;=Input!$C$7+1,Input!$C$4-16,$D648-Input!$C$7-16),0)/1000)</f>
        <v>0.30470999999999998</v>
      </c>
      <c r="N648" s="147">
        <f t="shared" si="210"/>
        <v>2.9831509660839139E-2</v>
      </c>
      <c r="O648" s="157">
        <f>IF($E648="","",IF($C648=12,IF($B648&lt;Input!$C$9,Input!$C$54,IF($B648=Input!$C$9,Input!$C$55,Input!$C$56)),0%))</f>
        <v>0</v>
      </c>
      <c r="P648" s="167">
        <f>IF($E648="","",IF($B648=1,Input!$C$59,IF($B648&lt;6,Input!$C$60,0%)))</f>
        <v>0</v>
      </c>
      <c r="Q648" s="162">
        <f>IF($E648="","",Input!$C$58)</f>
        <v>2.5</v>
      </c>
      <c r="R648" s="156">
        <f t="shared" si="222"/>
        <v>0.97016849033916086</v>
      </c>
      <c r="S648" s="154">
        <f t="shared" si="211"/>
        <v>5.8547753355924857E-5</v>
      </c>
      <c r="T648" s="152"/>
      <c r="U648" s="150">
        <f t="shared" si="223"/>
        <v>0</v>
      </c>
      <c r="V648" s="150">
        <f t="shared" si="224"/>
        <v>0</v>
      </c>
      <c r="W648" s="168">
        <f t="shared" si="225"/>
        <v>0</v>
      </c>
      <c r="X648" s="163">
        <f t="shared" si="212"/>
        <v>2983.1509660839138</v>
      </c>
      <c r="Y648" s="152"/>
      <c r="Z648" s="164">
        <f>IF(AND($C647=12,$D647=Input!$C$6),0,IF($E648="","",V648+Z649/(1+L648)*R648))</f>
        <v>146354.74690972464</v>
      </c>
      <c r="AA648" s="164">
        <f>IF(OR($M648=1,AND($C647=12,$D647=Input!$C$6)),0,IF($E648="","",W648+(X648+AA649*$R648)/(1+$L648)))</f>
        <v>72695.088028856844</v>
      </c>
      <c r="AB648" s="160">
        <f t="shared" si="213"/>
        <v>0.825720328500681</v>
      </c>
      <c r="AC648" s="164">
        <f t="shared" si="214"/>
        <v>0</v>
      </c>
      <c r="AD648" s="164">
        <f>IF(AND($C647=12,$D647=Input!$C$6),0,IF($E648="","",$AC648+AD649/(1+$L648)*$R648))</f>
        <v>120848.08969593185</v>
      </c>
      <c r="AE648" s="152"/>
      <c r="AF648" s="164">
        <f>IF(AND($C647=12,$D647=Input!$C$6),0,IF($E648="","",IF($B648&gt;Input!$C$9,$AC648,0)+AF649/(1+$L648)*$R648))</f>
        <v>120848.08969593185</v>
      </c>
      <c r="AG648" s="164">
        <f>IF(AND($C647=12,$D647=Input!$C$6),0,IF($E648="","",(IF($B648&gt;Input!$C$9,$X648,0)+AG649)/(1+$L648)*$R648))</f>
        <v>69497.793687730082</v>
      </c>
      <c r="AH648" s="160">
        <f t="shared" si="215"/>
        <v>2.0950137211446997</v>
      </c>
      <c r="AI648" s="160">
        <f>IF($E648="","",MIN(Input!$C$61/AH648,1))</f>
        <v>0.64438718771845094</v>
      </c>
      <c r="AJ648" s="152"/>
      <c r="AK648" s="164">
        <f>IF(AND($C647=12,$D647=Input!$C$6),0,IF($E648="","",IF($B648&gt;Input!$C$9,$AC648*AI648,0)+AK649/(1+$L648)*$R648))</f>
        <v>77872.960660308629</v>
      </c>
      <c r="AL648" s="164">
        <f>IF(AND($C647=12,$D647=Input!$C$6),0,IF($E648="","",IF($B648&gt;Input!$C$9,0,$AC648)+AL649/(1+$L648)*$R648))</f>
        <v>0</v>
      </c>
      <c r="AM648" s="160">
        <f t="shared" si="216"/>
        <v>1.1382936520186004</v>
      </c>
      <c r="AN648" s="164">
        <f>IF($E648="","",IF($B648&gt;Input!$C$9,$AI648*$AC648,$AM648*$AC648))</f>
        <v>0</v>
      </c>
      <c r="AO648" s="164">
        <f>IF(AND($C647=12,$D647=Input!$C$6),0,IF($E648="","",$AN648+AO649/(1+$L648)*$R648))</f>
        <v>77872.960660308629</v>
      </c>
      <c r="AP648" s="152"/>
      <c r="AQ648" s="164">
        <f t="shared" si="217"/>
        <v>-5177.8726314517844</v>
      </c>
      <c r="AR648" s="164">
        <f t="shared" si="226"/>
        <v>924.20324861318659</v>
      </c>
      <c r="AS648" s="164">
        <f t="shared" si="227"/>
        <v>14579.425837320574</v>
      </c>
      <c r="AT648" s="164">
        <f t="shared" si="218"/>
        <v>14579.425837320574</v>
      </c>
      <c r="AU648" s="152"/>
      <c r="AV648" s="147">
        <f>'Deterministic Reserve'!BC648</f>
        <v>4.3886726984867318E-7</v>
      </c>
      <c r="AW648" s="164">
        <f t="shared" si="219"/>
        <v>14579.425837320574</v>
      </c>
      <c r="AX648" s="164">
        <f t="shared" si="220"/>
        <v>6.3984328131860861E-3</v>
      </c>
      <c r="AY648" s="152"/>
    </row>
    <row r="649" spans="1:51" s="150" customFormat="1" x14ac:dyDescent="0.25">
      <c r="A649" s="150">
        <f t="shared" si="228"/>
        <v>645</v>
      </c>
      <c r="B649" s="150">
        <f t="shared" si="229"/>
        <v>54</v>
      </c>
      <c r="C649" s="150">
        <f t="shared" si="230"/>
        <v>9</v>
      </c>
      <c r="D649" s="150">
        <f>IF(E649="","",Input!$C$4+B649-1)</f>
        <v>98</v>
      </c>
      <c r="E649" s="150">
        <f>IF(OR(AND(C648=12,D648=Input!$C$6),E648=""),"",1)</f>
        <v>1</v>
      </c>
      <c r="F649" s="150">
        <f>IF(E649="","",Input!$C$8+B649-1)</f>
        <v>2071</v>
      </c>
      <c r="G649" s="151">
        <f>IF(E649="","",MAX(0,Input!$C$9-B649))</f>
        <v>0</v>
      </c>
      <c r="H649" s="152">
        <f>IF(E649="","",Input!$C$3)</f>
        <v>100000</v>
      </c>
      <c r="I649" s="153">
        <f>IF(E649="","",HLOOKUP($B649,Input!$C$13:$BT$14,2))</f>
        <v>746.53949999999998</v>
      </c>
      <c r="J649" s="154"/>
      <c r="K649" s="155">
        <f>IF($E649="","",Input!$C$57)</f>
        <v>4.4999999999999998E-2</v>
      </c>
      <c r="L649" s="155">
        <f t="shared" si="221"/>
        <v>3.6748094004368514E-3</v>
      </c>
      <c r="M649" s="147">
        <f>IF($E649="","",VLOOKUP(IF($B649&lt;=Input!$C$7,$B649,26),'Mortality Tables'!$A$72:$CA$97,IF($B649&lt;=Input!$C$7+1,Input!$C$4-16,$D649-Input!$C$7-16),0)/1000)</f>
        <v>0.30470999999999998</v>
      </c>
      <c r="N649" s="147">
        <f t="shared" si="210"/>
        <v>2.9831509660839139E-2</v>
      </c>
      <c r="O649" s="157">
        <f>IF($E649="","",IF($C649=12,IF($B649&lt;Input!$C$9,Input!$C$54,IF($B649=Input!$C$9,Input!$C$55,Input!$C$56)),0%))</f>
        <v>0</v>
      </c>
      <c r="P649" s="167">
        <f>IF($E649="","",IF($B649=1,Input!$C$59,IF($B649&lt;6,Input!$C$60,0%)))</f>
        <v>0</v>
      </c>
      <c r="Q649" s="162">
        <f>IF($E649="","",Input!$C$58)</f>
        <v>2.5</v>
      </c>
      <c r="R649" s="156">
        <f t="shared" si="222"/>
        <v>0.97016849033916086</v>
      </c>
      <c r="S649" s="154">
        <f t="shared" si="211"/>
        <v>5.680118548606716E-5</v>
      </c>
      <c r="T649" s="152"/>
      <c r="U649" s="150">
        <f t="shared" si="223"/>
        <v>0</v>
      </c>
      <c r="V649" s="150">
        <f t="shared" si="224"/>
        <v>0</v>
      </c>
      <c r="W649" s="168">
        <f t="shared" si="225"/>
        <v>0</v>
      </c>
      <c r="X649" s="163">
        <f t="shared" si="212"/>
        <v>2983.1509660839138</v>
      </c>
      <c r="Y649" s="152"/>
      <c r="Z649" s="164">
        <f>IF(AND($C648=12,$D648=Input!$C$6),0,IF($E649="","",V649+Z650/(1+L649)*R649))</f>
        <v>151409.3419567924</v>
      </c>
      <c r="AA649" s="164">
        <f>IF(OR($M649=1,AND($C648=12,$D648=Input!$C$6)),0,IF($E649="","",W649+(X649+AA650*$R649)/(1+$L649)))</f>
        <v>72130.849798227326</v>
      </c>
      <c r="AB649" s="160">
        <f t="shared" si="213"/>
        <v>0.825720328500681</v>
      </c>
      <c r="AC649" s="164">
        <f t="shared" si="214"/>
        <v>0</v>
      </c>
      <c r="AD649" s="164">
        <f>IF(AND($C648=12,$D648=Input!$C$6),0,IF($E649="","",$AC649+AD650/(1+$L649)*$R649))</f>
        <v>125021.77157863455</v>
      </c>
      <c r="AE649" s="152"/>
      <c r="AF649" s="164">
        <f>IF(AND($C648=12,$D648=Input!$C$6),0,IF($E649="","",IF($B649&gt;Input!$C$9,$AC649,0)+AF650/(1+$L649)*$R649))</f>
        <v>125021.77157863455</v>
      </c>
      <c r="AG649" s="164">
        <f>IF(AND($C648=12,$D648=Input!$C$6),0,IF($E649="","",(IF($B649&gt;Input!$C$9,$X649,0)+AG650)/(1+$L649)*$R649))</f>
        <v>68914.860078264042</v>
      </c>
      <c r="AH649" s="160">
        <f t="shared" si="215"/>
        <v>2.0950137211446997</v>
      </c>
      <c r="AI649" s="160">
        <f>IF($E649="","",MIN(Input!$C$61/AH649,1))</f>
        <v>0.64438718771845094</v>
      </c>
      <c r="AJ649" s="152"/>
      <c r="AK649" s="164">
        <f>IF(AND($C648=12,$D648=Input!$C$6),0,IF($E649="","",IF($B649&gt;Input!$C$9,$AC649*AI649,0)+AK650/(1+$L649)*$R649))</f>
        <v>80562.427791134876</v>
      </c>
      <c r="AL649" s="164">
        <f>IF(AND($C648=12,$D648=Input!$C$6),0,IF($E649="","",IF($B649&gt;Input!$C$9,0,$AC649)+AL650/(1+$L649)*$R649))</f>
        <v>0</v>
      </c>
      <c r="AM649" s="160">
        <f t="shared" si="216"/>
        <v>1.1382936520186004</v>
      </c>
      <c r="AN649" s="164">
        <f>IF($E649="","",IF($B649&gt;Input!$C$9,$AI649*$AC649,$AM649*$AC649))</f>
        <v>0</v>
      </c>
      <c r="AO649" s="164">
        <f>IF(AND($C648=12,$D648=Input!$C$6),0,IF($E649="","",$AN649+AO650/(1+$L649)*$R649))</f>
        <v>80562.427791134876</v>
      </c>
      <c r="AP649" s="152"/>
      <c r="AQ649" s="164">
        <f t="shared" si="217"/>
        <v>-8431.5779929075507</v>
      </c>
      <c r="AR649" s="164">
        <f t="shared" si="226"/>
        <v>924.20324861318659</v>
      </c>
      <c r="AS649" s="164">
        <f t="shared" si="227"/>
        <v>14579.425837320574</v>
      </c>
      <c r="AT649" s="164">
        <f t="shared" si="218"/>
        <v>14579.425837320574</v>
      </c>
      <c r="AU649" s="152"/>
      <c r="AV649" s="147">
        <f>'Deterministic Reserve'!BC649</f>
        <v>4.028708585767334E-7</v>
      </c>
      <c r="AW649" s="164">
        <f t="shared" si="219"/>
        <v>14579.425837320574</v>
      </c>
      <c r="AX649" s="164">
        <f t="shared" si="220"/>
        <v>5.8736258046371498E-3</v>
      </c>
      <c r="AY649" s="152"/>
    </row>
    <row r="650" spans="1:51" s="150" customFormat="1" x14ac:dyDescent="0.25">
      <c r="A650" s="150">
        <f t="shared" si="228"/>
        <v>646</v>
      </c>
      <c r="B650" s="150">
        <f t="shared" si="229"/>
        <v>54</v>
      </c>
      <c r="C650" s="150">
        <f t="shared" si="230"/>
        <v>10</v>
      </c>
      <c r="D650" s="150">
        <f>IF(E650="","",Input!$C$4+B650-1)</f>
        <v>98</v>
      </c>
      <c r="E650" s="150">
        <f>IF(OR(AND(C649=12,D649=Input!$C$6),E649=""),"",1)</f>
        <v>1</v>
      </c>
      <c r="F650" s="150">
        <f>IF(E650="","",Input!$C$8+B650-1)</f>
        <v>2071</v>
      </c>
      <c r="G650" s="151">
        <f>IF(E650="","",MAX(0,Input!$C$9-B650))</f>
        <v>0</v>
      </c>
      <c r="H650" s="152">
        <f>IF(E650="","",Input!$C$3)</f>
        <v>100000</v>
      </c>
      <c r="I650" s="153">
        <f>IF(E650="","",HLOOKUP($B650,Input!$C$13:$BT$14,2))</f>
        <v>746.53949999999998</v>
      </c>
      <c r="J650" s="154"/>
      <c r="K650" s="155">
        <f>IF($E650="","",Input!$C$57)</f>
        <v>4.4999999999999998E-2</v>
      </c>
      <c r="L650" s="155">
        <f t="shared" si="221"/>
        <v>3.6748094004368514E-3</v>
      </c>
      <c r="M650" s="147">
        <f>IF($E650="","",VLOOKUP(IF($B650&lt;=Input!$C$7,$B650,26),'Mortality Tables'!$A$72:$CA$97,IF($B650&lt;=Input!$C$7+1,Input!$C$4-16,$D650-Input!$C$7-16),0)/1000)</f>
        <v>0.30470999999999998</v>
      </c>
      <c r="N650" s="147">
        <f t="shared" si="210"/>
        <v>2.9831509660839139E-2</v>
      </c>
      <c r="O650" s="157">
        <f>IF($E650="","",IF($C650=12,IF($B650&lt;Input!$C$9,Input!$C$54,IF($B650=Input!$C$9,Input!$C$55,Input!$C$56)),0%))</f>
        <v>0</v>
      </c>
      <c r="P650" s="167">
        <f>IF($E650="","",IF($B650=1,Input!$C$59,IF($B650&lt;6,Input!$C$60,0%)))</f>
        <v>0</v>
      </c>
      <c r="Q650" s="162">
        <f>IF($E650="","",Input!$C$58)</f>
        <v>2.5</v>
      </c>
      <c r="R650" s="156">
        <f t="shared" si="222"/>
        <v>0.97016849033916086</v>
      </c>
      <c r="S650" s="154">
        <f t="shared" si="211"/>
        <v>5.5106720372492429E-5</v>
      </c>
      <c r="T650" s="152"/>
      <c r="U650" s="150">
        <f t="shared" si="223"/>
        <v>0</v>
      </c>
      <c r="V650" s="150">
        <f t="shared" si="224"/>
        <v>0</v>
      </c>
      <c r="W650" s="168">
        <f t="shared" si="225"/>
        <v>0</v>
      </c>
      <c r="X650" s="163">
        <f t="shared" si="212"/>
        <v>2983.1509660839138</v>
      </c>
      <c r="Y650" s="152"/>
      <c r="Z650" s="164">
        <f>IF(AND($C649=12,$D649=Input!$C$6),0,IF($E650="","",V650+Z651/(1+L650)*R650))</f>
        <v>156638.50552062716</v>
      </c>
      <c r="AA650" s="164">
        <f>IF(OR($M650=1,AND($C649=12,$D649=Input!$C$6)),0,IF($E650="","",W650+(X650+AA651*$R650)/(1+$L650)))</f>
        <v>71547.124698697924</v>
      </c>
      <c r="AB650" s="160">
        <f t="shared" si="213"/>
        <v>0.825720328500681</v>
      </c>
      <c r="AC650" s="164">
        <f t="shared" si="214"/>
        <v>0</v>
      </c>
      <c r="AD650" s="164">
        <f>IF(AND($C649=12,$D649=Input!$C$6),0,IF($E650="","",$AC650+AD651/(1+$L650)*$R650))</f>
        <v>129339.59823434798</v>
      </c>
      <c r="AE650" s="152"/>
      <c r="AF650" s="164">
        <f>IF(AND($C649=12,$D649=Input!$C$6),0,IF($E650="","",IF($B650&gt;Input!$C$9,$AC650,0)+AF651/(1+$L650)*$R650))</f>
        <v>129339.59823434798</v>
      </c>
      <c r="AG650" s="164">
        <f>IF(AND($C649=12,$D649=Input!$C$6),0,IF($E650="","",(IF($B650&gt;Input!$C$9,$X650,0)+AG651)/(1+$L650)*$R650))</f>
        <v>68311.793925116363</v>
      </c>
      <c r="AH650" s="160">
        <f t="shared" si="215"/>
        <v>2.0950137211446997</v>
      </c>
      <c r="AI650" s="160">
        <f>IF($E650="","",MIN(Input!$C$61/AH650,1))</f>
        <v>0.64438718771845094</v>
      </c>
      <c r="AJ650" s="152"/>
      <c r="AK650" s="164">
        <f>IF(AND($C649=12,$D649=Input!$C$6),0,IF($E650="","",IF($B650&gt;Input!$C$9,$AC650*AI650,0)+AK651/(1+$L650)*$R650))</f>
        <v>83344.779966865826</v>
      </c>
      <c r="AL650" s="164">
        <f>IF(AND($C649=12,$D649=Input!$C$6),0,IF($E650="","",IF($B650&gt;Input!$C$9,0,$AC650)+AL651/(1+$L650)*$R650))</f>
        <v>0</v>
      </c>
      <c r="AM650" s="160">
        <f t="shared" si="216"/>
        <v>1.1382936520186004</v>
      </c>
      <c r="AN650" s="164">
        <f>IF($E650="","",IF($B650&gt;Input!$C$9,$AI650*$AC650,$AM650*$AC650))</f>
        <v>0</v>
      </c>
      <c r="AO650" s="164">
        <f>IF(AND($C649=12,$D649=Input!$C$6),0,IF($E650="","",$AN650+AO651/(1+$L650)*$R650))</f>
        <v>83344.779966865826</v>
      </c>
      <c r="AP650" s="152"/>
      <c r="AQ650" s="164">
        <f t="shared" si="217"/>
        <v>-11797.655268167902</v>
      </c>
      <c r="AR650" s="164">
        <f t="shared" si="226"/>
        <v>924.20324861318659</v>
      </c>
      <c r="AS650" s="164">
        <f t="shared" si="227"/>
        <v>14579.425837320574</v>
      </c>
      <c r="AT650" s="164">
        <f t="shared" si="218"/>
        <v>14579.425837320574</v>
      </c>
      <c r="AU650" s="152"/>
      <c r="AV650" s="147">
        <f>'Deterministic Reserve'!BC650</f>
        <v>3.6982691542779908E-7</v>
      </c>
      <c r="AW650" s="164">
        <f t="shared" si="219"/>
        <v>14579.425837320574</v>
      </c>
      <c r="AX650" s="164">
        <f t="shared" si="220"/>
        <v>5.3918640861246245E-3</v>
      </c>
      <c r="AY650" s="152"/>
    </row>
    <row r="651" spans="1:51" s="150" customFormat="1" x14ac:dyDescent="0.25">
      <c r="A651" s="150">
        <f t="shared" si="228"/>
        <v>647</v>
      </c>
      <c r="B651" s="150">
        <f t="shared" si="229"/>
        <v>54</v>
      </c>
      <c r="C651" s="150">
        <f t="shared" si="230"/>
        <v>11</v>
      </c>
      <c r="D651" s="150">
        <f>IF(E651="","",Input!$C$4+B651-1)</f>
        <v>98</v>
      </c>
      <c r="E651" s="150">
        <f>IF(OR(AND(C650=12,D650=Input!$C$6),E650=""),"",1)</f>
        <v>1</v>
      </c>
      <c r="F651" s="150">
        <f>IF(E651="","",Input!$C$8+B651-1)</f>
        <v>2071</v>
      </c>
      <c r="G651" s="151">
        <f>IF(E651="","",MAX(0,Input!$C$9-B651))</f>
        <v>0</v>
      </c>
      <c r="H651" s="152">
        <f>IF(E651="","",Input!$C$3)</f>
        <v>100000</v>
      </c>
      <c r="I651" s="153">
        <f>IF(E651="","",HLOOKUP($B651,Input!$C$13:$BT$14,2))</f>
        <v>746.53949999999998</v>
      </c>
      <c r="J651" s="154"/>
      <c r="K651" s="155">
        <f>IF($E651="","",Input!$C$57)</f>
        <v>4.4999999999999998E-2</v>
      </c>
      <c r="L651" s="155">
        <f t="shared" si="221"/>
        <v>3.6748094004368514E-3</v>
      </c>
      <c r="M651" s="147">
        <f>IF($E651="","",VLOOKUP(IF($B651&lt;=Input!$C$7,$B651,26),'Mortality Tables'!$A$72:$CA$97,IF($B651&lt;=Input!$C$7+1,Input!$C$4-16,$D651-Input!$C$7-16),0)/1000)</f>
        <v>0.30470999999999998</v>
      </c>
      <c r="N651" s="147">
        <f t="shared" si="210"/>
        <v>2.9831509660839139E-2</v>
      </c>
      <c r="O651" s="157">
        <f>IF($E651="","",IF($C651=12,IF($B651&lt;Input!$C$9,Input!$C$54,IF($B651=Input!$C$9,Input!$C$55,Input!$C$56)),0%))</f>
        <v>0</v>
      </c>
      <c r="P651" s="167">
        <f>IF($E651="","",IF($B651=1,Input!$C$59,IF($B651&lt;6,Input!$C$60,0%)))</f>
        <v>0</v>
      </c>
      <c r="Q651" s="162">
        <f>IF($E651="","",Input!$C$58)</f>
        <v>2.5</v>
      </c>
      <c r="R651" s="156">
        <f t="shared" si="222"/>
        <v>0.97016849033916086</v>
      </c>
      <c r="S651" s="154">
        <f t="shared" si="211"/>
        <v>5.346280371132326E-5</v>
      </c>
      <c r="T651" s="152"/>
      <c r="U651" s="150">
        <f t="shared" si="223"/>
        <v>0</v>
      </c>
      <c r="V651" s="150">
        <f t="shared" si="224"/>
        <v>0</v>
      </c>
      <c r="W651" s="168">
        <f t="shared" si="225"/>
        <v>0</v>
      </c>
      <c r="X651" s="163">
        <f t="shared" si="212"/>
        <v>2983.1509660839138</v>
      </c>
      <c r="Y651" s="152"/>
      <c r="Z651" s="164">
        <f>IF(AND($C650=12,$D650=Input!$C$6),0,IF($E651="","",V651+Z652/(1+L651)*R651))</f>
        <v>162048.26660390125</v>
      </c>
      <c r="AA651" s="164">
        <f>IF(OR($M651=1,AND($C650=12,$D650=Input!$C$6)),0,IF($E651="","",W651+(X651+AA652*$R651)/(1+$L651)))</f>
        <v>70943.23972011279</v>
      </c>
      <c r="AB651" s="160">
        <f t="shared" si="213"/>
        <v>0.825720328500681</v>
      </c>
      <c r="AC651" s="164">
        <f t="shared" si="214"/>
        <v>0</v>
      </c>
      <c r="AD651" s="164">
        <f>IF(AND($C650=12,$D650=Input!$C$6),0,IF($E651="","",$AC651+AD652/(1+$L651)*$R651))</f>
        <v>133806.54793313929</v>
      </c>
      <c r="AE651" s="152"/>
      <c r="AF651" s="164">
        <f>IF(AND($C650=12,$D650=Input!$C$6),0,IF($E651="","",IF($B651&gt;Input!$C$9,$AC651,0)+AF652/(1+$L651)*$R651))</f>
        <v>133806.54793313929</v>
      </c>
      <c r="AG651" s="164">
        <f>IF(AND($C650=12,$D650=Input!$C$6),0,IF($E651="","",(IF($B651&gt;Input!$C$9,$X651,0)+AG652)/(1+$L651)*$R651))</f>
        <v>67687.899918720883</v>
      </c>
      <c r="AH651" s="160">
        <f t="shared" si="215"/>
        <v>2.0950137211446997</v>
      </c>
      <c r="AI651" s="160">
        <f>IF($E651="","",MIN(Input!$C$61/AH651,1))</f>
        <v>0.64438718771845094</v>
      </c>
      <c r="AJ651" s="152"/>
      <c r="AK651" s="164">
        <f>IF(AND($C650=12,$D650=Input!$C$6),0,IF($E651="","",IF($B651&gt;Input!$C$9,$AC651*AI651,0)+AK652/(1+$L651)*$R651))</f>
        <v>86223.225120949719</v>
      </c>
      <c r="AL651" s="164">
        <f>IF(AND($C650=12,$D650=Input!$C$6),0,IF($E651="","",IF($B651&gt;Input!$C$9,0,$AC651)+AL652/(1+$L651)*$R651))</f>
        <v>0</v>
      </c>
      <c r="AM651" s="160">
        <f t="shared" si="216"/>
        <v>1.1382936520186004</v>
      </c>
      <c r="AN651" s="164">
        <f>IF($E651="","",IF($B651&gt;Input!$C$9,$AI651*$AC651,$AM651*$AC651))</f>
        <v>0</v>
      </c>
      <c r="AO651" s="164">
        <f>IF(AND($C650=12,$D650=Input!$C$6),0,IF($E651="","",$AN651+AO652/(1+$L651)*$R651))</f>
        <v>86223.225120949719</v>
      </c>
      <c r="AP651" s="152"/>
      <c r="AQ651" s="164">
        <f t="shared" si="217"/>
        <v>-15279.985400836929</v>
      </c>
      <c r="AR651" s="164">
        <f t="shared" si="226"/>
        <v>924.20324861318659</v>
      </c>
      <c r="AS651" s="164">
        <f t="shared" si="227"/>
        <v>14579.425837320574</v>
      </c>
      <c r="AT651" s="164">
        <f t="shared" si="218"/>
        <v>14579.425837320574</v>
      </c>
      <c r="AU651" s="152"/>
      <c r="AV651" s="147">
        <f>'Deterministic Reserve'!BC651</f>
        <v>3.3949327548294235E-7</v>
      </c>
      <c r="AW651" s="164">
        <f t="shared" si="219"/>
        <v>14579.425837320574</v>
      </c>
      <c r="AX651" s="164">
        <f t="shared" si="220"/>
        <v>4.9496170321726013E-3</v>
      </c>
      <c r="AY651" s="152"/>
    </row>
    <row r="652" spans="1:51" s="150" customFormat="1" x14ac:dyDescent="0.25">
      <c r="A652" s="150">
        <f t="shared" si="228"/>
        <v>648</v>
      </c>
      <c r="B652" s="150">
        <f t="shared" si="229"/>
        <v>54</v>
      </c>
      <c r="C652" s="150">
        <f t="shared" si="230"/>
        <v>12</v>
      </c>
      <c r="D652" s="150">
        <f>IF(E652="","",Input!$C$4+B652-1)</f>
        <v>98</v>
      </c>
      <c r="E652" s="150">
        <f>IF(OR(AND(C651=12,D651=Input!$C$6),E651=""),"",1)</f>
        <v>1</v>
      </c>
      <c r="F652" s="150">
        <f>IF(E652="","",Input!$C$8+B652-1)</f>
        <v>2071</v>
      </c>
      <c r="G652" s="151">
        <f>IF(E652="","",MAX(0,Input!$C$9-B652))</f>
        <v>0</v>
      </c>
      <c r="H652" s="152">
        <f>IF(E652="","",Input!$C$3)</f>
        <v>100000</v>
      </c>
      <c r="I652" s="153">
        <f>IF(E652="","",HLOOKUP($B652,Input!$C$13:$BT$14,2))</f>
        <v>746.53949999999998</v>
      </c>
      <c r="J652" s="154"/>
      <c r="K652" s="155">
        <f>IF($E652="","",Input!$C$57)</f>
        <v>4.4999999999999998E-2</v>
      </c>
      <c r="L652" s="155">
        <f t="shared" si="221"/>
        <v>3.6748094004368514E-3</v>
      </c>
      <c r="M652" s="147">
        <f>IF($E652="","",VLOOKUP(IF($B652&lt;=Input!$C$7,$B652,26),'Mortality Tables'!$A$72:$CA$97,IF($B652&lt;=Input!$C$7+1,Input!$C$4-16,$D652-Input!$C$7-16),0)/1000)</f>
        <v>0.30470999999999998</v>
      </c>
      <c r="N652" s="147">
        <f t="shared" si="210"/>
        <v>2.9831509660839139E-2</v>
      </c>
      <c r="O652" s="157">
        <f>IF($E652="","",IF($C652=12,IF($B652&lt;Input!$C$9,Input!$C$54,IF($B652=Input!$C$9,Input!$C$55,Input!$C$56)),0%))</f>
        <v>0.1</v>
      </c>
      <c r="P652" s="167">
        <f>IF($E652="","",IF($B652=1,Input!$C$59,IF($B652&lt;6,Input!$C$60,0%)))</f>
        <v>0</v>
      </c>
      <c r="Q652" s="162">
        <f>IF($E652="","",Input!$C$58)</f>
        <v>2.5</v>
      </c>
      <c r="R652" s="156">
        <f t="shared" si="222"/>
        <v>0.87016849033916088</v>
      </c>
      <c r="S652" s="154">
        <f t="shared" si="211"/>
        <v>4.6521647194781048E-5</v>
      </c>
      <c r="T652" s="152"/>
      <c r="U652" s="150">
        <f t="shared" si="223"/>
        <v>0</v>
      </c>
      <c r="V652" s="150">
        <f t="shared" si="224"/>
        <v>0</v>
      </c>
      <c r="W652" s="168">
        <f t="shared" si="225"/>
        <v>0</v>
      </c>
      <c r="X652" s="163">
        <f t="shared" si="212"/>
        <v>2983.1509660839138</v>
      </c>
      <c r="Y652" s="152"/>
      <c r="Z652" s="164">
        <f>IF(AND($C651=12,$D651=Input!$C$6),0,IF($E652="","",V652+Z653/(1+L652)*R652))</f>
        <v>167644.8624305281</v>
      </c>
      <c r="AA652" s="164">
        <f>IF(OR($M652=1,AND($C651=12,$D651=Input!$C$6)),0,IF($E652="","",W652+(X652+AA653*$R652)/(1+$L652)))</f>
        <v>70318.498608834954</v>
      </c>
      <c r="AB652" s="160">
        <f t="shared" si="213"/>
        <v>0.825720328500681</v>
      </c>
      <c r="AC652" s="164">
        <f t="shared" si="214"/>
        <v>0</v>
      </c>
      <c r="AD652" s="164">
        <f>IF(AND($C651=12,$D651=Input!$C$6),0,IF($E652="","",$AC652+AD653/(1+$L652)*$R652))</f>
        <v>138427.77087758714</v>
      </c>
      <c r="AE652" s="152"/>
      <c r="AF652" s="164">
        <f>IF(AND($C651=12,$D651=Input!$C$6),0,IF($E652="","",IF($B652&gt;Input!$C$9,$AC652,0)+AF653/(1+$L652)*$R652))</f>
        <v>138427.77087758714</v>
      </c>
      <c r="AG652" s="164">
        <f>IF(AND($C651=12,$D651=Input!$C$6),0,IF($E652="","",(IF($B652&gt;Input!$C$9,$X652,0)+AG653)/(1+$L652)*$R652))</f>
        <v>67042.458735884546</v>
      </c>
      <c r="AH652" s="160">
        <f t="shared" si="215"/>
        <v>2.0950137211446997</v>
      </c>
      <c r="AI652" s="160">
        <f>IF($E652="","",MIN(Input!$C$61/AH652,1))</f>
        <v>0.64438718771845094</v>
      </c>
      <c r="AJ652" s="152"/>
      <c r="AK652" s="164">
        <f>IF(AND($C651=12,$D651=Input!$C$6),0,IF($E652="","",IF($B652&gt;Input!$C$9,$AC652*AI652,0)+AK653/(1+$L652)*$R652))</f>
        <v>89201.081977942464</v>
      </c>
      <c r="AL652" s="164">
        <f>IF(AND($C651=12,$D651=Input!$C$6),0,IF($E652="","",IF($B652&gt;Input!$C$9,0,$AC652)+AL653/(1+$L652)*$R652))</f>
        <v>0</v>
      </c>
      <c r="AM652" s="160">
        <f t="shared" si="216"/>
        <v>1.1382936520186004</v>
      </c>
      <c r="AN652" s="164">
        <f>IF($E652="","",IF($B652&gt;Input!$C$9,$AI652*$AC652,$AM652*$AC652))</f>
        <v>0</v>
      </c>
      <c r="AO652" s="164">
        <f>IF(AND($C651=12,$D651=Input!$C$6),0,IF($E652="","",$AN652+AO653/(1+$L652)*$R652))</f>
        <v>89201.081977942464</v>
      </c>
      <c r="AP652" s="152"/>
      <c r="AQ652" s="164">
        <f t="shared" si="217"/>
        <v>-18882.583369107509</v>
      </c>
      <c r="AR652" s="164">
        <f t="shared" si="226"/>
        <v>924.20324861318659</v>
      </c>
      <c r="AS652" s="164">
        <f t="shared" si="227"/>
        <v>14579.425837320574</v>
      </c>
      <c r="AT652" s="164">
        <f t="shared" si="218"/>
        <v>14579.425837320574</v>
      </c>
      <c r="AU652" s="152"/>
      <c r="AV652" s="147">
        <f>'Deterministic Reserve'!BC652</f>
        <v>2.7769830892731061E-7</v>
      </c>
      <c r="AW652" s="164">
        <f t="shared" si="219"/>
        <v>14579.425837320574</v>
      </c>
      <c r="AX652" s="164">
        <f t="shared" si="220"/>
        <v>4.0486819001550626E-3</v>
      </c>
      <c r="AY652" s="152"/>
    </row>
    <row r="653" spans="1:51" s="150" customFormat="1" x14ac:dyDescent="0.25">
      <c r="A653" s="150">
        <f t="shared" si="228"/>
        <v>649</v>
      </c>
      <c r="B653" s="150">
        <f t="shared" si="229"/>
        <v>55</v>
      </c>
      <c r="C653" s="150">
        <f t="shared" si="230"/>
        <v>1</v>
      </c>
      <c r="D653" s="150">
        <f>IF(E653="","",Input!$C$4+B653-1)</f>
        <v>99</v>
      </c>
      <c r="E653" s="150">
        <f>IF(OR(AND(C652=12,D652=Input!$C$6),E652=""),"",1)</f>
        <v>1</v>
      </c>
      <c r="F653" s="150">
        <f>IF(E653="","",Input!$C$8+B653-1)</f>
        <v>2072</v>
      </c>
      <c r="G653" s="151">
        <f>IF(E653="","",MAX(0,Input!$C$9-B653))</f>
        <v>0</v>
      </c>
      <c r="H653" s="152">
        <f>IF(E653="","",Input!$C$3)</f>
        <v>100000</v>
      </c>
      <c r="I653" s="153">
        <f>IF(E653="","",HLOOKUP($B653,Input!$C$13:$BT$14,2))</f>
        <v>803.6</v>
      </c>
      <c r="J653" s="154"/>
      <c r="K653" s="155">
        <f>IF($E653="","",Input!$C$57)</f>
        <v>4.4999999999999998E-2</v>
      </c>
      <c r="L653" s="155">
        <f t="shared" si="221"/>
        <v>3.6748094004368514E-3</v>
      </c>
      <c r="M653" s="147">
        <f>IF($E653="","",VLOOKUP(IF($B653&lt;=Input!$C$7,$B653,26),'Mortality Tables'!$A$72:$CA$97,IF($B653&lt;=Input!$C$7+1,Input!$C$4-16,$D653-Input!$C$7-16),0)/1000)</f>
        <v>0.32800000000000001</v>
      </c>
      <c r="N653" s="147">
        <f t="shared" si="210"/>
        <v>3.2582128356577256E-2</v>
      </c>
      <c r="O653" s="157">
        <f>IF($E653="","",IF($C653=12,IF($B653&lt;Input!$C$9,Input!$C$54,IF($B653=Input!$C$9,Input!$C$55,Input!$C$56)),0%))</f>
        <v>0</v>
      </c>
      <c r="P653" s="167">
        <f>IF($E653="","",IF($B653=1,Input!$C$59,IF($B653&lt;6,Input!$C$60,0%)))</f>
        <v>0</v>
      </c>
      <c r="Q653" s="162">
        <f>IF($E653="","",Input!$C$58)</f>
        <v>2.5</v>
      </c>
      <c r="R653" s="156">
        <f t="shared" si="222"/>
        <v>0.96741787164342274</v>
      </c>
      <c r="S653" s="154">
        <f t="shared" si="211"/>
        <v>4.5005872914521292E-5</v>
      </c>
      <c r="T653" s="152"/>
      <c r="U653" s="150">
        <f t="shared" si="223"/>
        <v>80360</v>
      </c>
      <c r="V653" s="150">
        <f t="shared" si="224"/>
        <v>80360</v>
      </c>
      <c r="W653" s="168">
        <f t="shared" si="225"/>
        <v>0</v>
      </c>
      <c r="X653" s="163">
        <f t="shared" si="212"/>
        <v>3258.2128356577255</v>
      </c>
      <c r="Y653" s="152"/>
      <c r="Z653" s="164">
        <f>IF(AND($C652=12,$D652=Input!$C$6),0,IF($E653="","",V653+Z654/(1+L653)*R653))</f>
        <v>193365.91386036124</v>
      </c>
      <c r="AA653" s="164">
        <f>IF(OR($M653=1,AND($C652=12,$D652=Input!$C$6)),0,IF($E653="","",W653+(X653+AA654*$R653)/(1+$L653)))</f>
        <v>77678.927096196916</v>
      </c>
      <c r="AB653" s="160">
        <f t="shared" si="213"/>
        <v>0.825720328500681</v>
      </c>
      <c r="AC653" s="164">
        <f t="shared" si="214"/>
        <v>66354.885598314722</v>
      </c>
      <c r="AD653" s="164">
        <f>IF(AND($C652=12,$D652=Input!$C$6),0,IF($E653="","",$AC653+AD654/(1+$L653)*$R653))</f>
        <v>159666.16591361185</v>
      </c>
      <c r="AE653" s="152"/>
      <c r="AF653" s="164">
        <f>IF(AND($C652=12,$D652=Input!$C$6),0,IF($E653="","",IF($B653&gt;Input!$C$9,$AC653,0)+AF654/(1+$L653)*$R653))</f>
        <v>159666.16591361185</v>
      </c>
      <c r="AG653" s="164">
        <f>IF(AND($C652=12,$D652=Input!$C$6),0,IF($E653="","",(IF($B653&gt;Input!$C$9,$X653,0)+AG654)/(1+$L653)*$R653))</f>
        <v>74345.352353139664</v>
      </c>
      <c r="AH653" s="160">
        <f t="shared" si="215"/>
        <v>2.0950137211446997</v>
      </c>
      <c r="AI653" s="160">
        <f>IF($E653="","",MIN(Input!$C$61/AH653,1))</f>
        <v>0.64438718771845094</v>
      </c>
      <c r="AJ653" s="152"/>
      <c r="AK653" s="164">
        <f>IF(AND($C652=12,$D652=Input!$C$6),0,IF($E653="","",IF($B653&gt;Input!$C$9,$AC653*AI653,0)+AK654/(1+$L653)*$R653))</f>
        <v>102886.83162685993</v>
      </c>
      <c r="AL653" s="164">
        <f>IF(AND($C652=12,$D652=Input!$C$6),0,IF($E653="","",IF($B653&gt;Input!$C$9,0,$AC653)+AL654/(1+$L653)*$R653))</f>
        <v>0</v>
      </c>
      <c r="AM653" s="160">
        <f t="shared" si="216"/>
        <v>1.1382936520186004</v>
      </c>
      <c r="AN653" s="164">
        <f>IF($E653="","",IF($B653&gt;Input!$C$9,$AI653*$AC653,$AM653*$AC653))</f>
        <v>42758.238122077564</v>
      </c>
      <c r="AO653" s="164">
        <f>IF(AND($C652=12,$D652=Input!$C$6),0,IF($E653="","",$AN653+AO654/(1+$L653)*$R653))</f>
        <v>102886.83162685993</v>
      </c>
      <c r="AP653" s="152"/>
      <c r="AQ653" s="164">
        <f t="shared" si="217"/>
        <v>-25207.904530663014</v>
      </c>
      <c r="AR653" s="164">
        <f t="shared" si="226"/>
        <v>2674.7858263786511</v>
      </c>
      <c r="AS653" s="164">
        <f t="shared" si="227"/>
        <v>15693.77990430622</v>
      </c>
      <c r="AT653" s="164">
        <f t="shared" si="218"/>
        <v>15693.77990430622</v>
      </c>
      <c r="AU653" s="152"/>
      <c r="AV653" s="147">
        <f>'Deterministic Reserve'!BC653</f>
        <v>2.5200134477967184E-7</v>
      </c>
      <c r="AW653" s="164">
        <f t="shared" si="219"/>
        <v>15693.77990430622</v>
      </c>
      <c r="AX653" s="164">
        <f t="shared" si="220"/>
        <v>3.9548536405613569E-3</v>
      </c>
      <c r="AY653" s="152"/>
    </row>
    <row r="654" spans="1:51" s="150" customFormat="1" x14ac:dyDescent="0.25">
      <c r="A654" s="150">
        <f t="shared" si="228"/>
        <v>650</v>
      </c>
      <c r="B654" s="150">
        <f t="shared" si="229"/>
        <v>55</v>
      </c>
      <c r="C654" s="150">
        <f t="shared" si="230"/>
        <v>2</v>
      </c>
      <c r="D654" s="150">
        <f>IF(E654="","",Input!$C$4+B654-1)</f>
        <v>99</v>
      </c>
      <c r="E654" s="150">
        <f>IF(OR(AND(C653=12,D653=Input!$C$6),E653=""),"",1)</f>
        <v>1</v>
      </c>
      <c r="F654" s="150">
        <f>IF(E654="","",Input!$C$8+B654-1)</f>
        <v>2072</v>
      </c>
      <c r="G654" s="151">
        <f>IF(E654="","",MAX(0,Input!$C$9-B654))</f>
        <v>0</v>
      </c>
      <c r="H654" s="152">
        <f>IF(E654="","",Input!$C$3)</f>
        <v>100000</v>
      </c>
      <c r="I654" s="153">
        <f>IF(E654="","",HLOOKUP($B654,Input!$C$13:$BT$14,2))</f>
        <v>803.6</v>
      </c>
      <c r="J654" s="154"/>
      <c r="K654" s="155">
        <f>IF($E654="","",Input!$C$57)</f>
        <v>4.4999999999999998E-2</v>
      </c>
      <c r="L654" s="155">
        <f t="shared" si="221"/>
        <v>3.6748094004368514E-3</v>
      </c>
      <c r="M654" s="147">
        <f>IF($E654="","",VLOOKUP(IF($B654&lt;=Input!$C$7,$B654,26),'Mortality Tables'!$A$72:$CA$97,IF($B654&lt;=Input!$C$7+1,Input!$C$4-16,$D654-Input!$C$7-16),0)/1000)</f>
        <v>0.32800000000000001</v>
      </c>
      <c r="N654" s="147">
        <f t="shared" si="210"/>
        <v>3.2582128356577256E-2</v>
      </c>
      <c r="O654" s="157">
        <f>IF($E654="","",IF($C654=12,IF($B654&lt;Input!$C$9,Input!$C$54,IF($B654=Input!$C$9,Input!$C$55,Input!$C$56)),0%))</f>
        <v>0</v>
      </c>
      <c r="P654" s="167">
        <f>IF($E654="","",IF($B654=1,Input!$C$59,IF($B654&lt;6,Input!$C$60,0%)))</f>
        <v>0</v>
      </c>
      <c r="Q654" s="162">
        <f>IF($E654="","",Input!$C$58)</f>
        <v>2.5</v>
      </c>
      <c r="R654" s="156">
        <f t="shared" si="222"/>
        <v>0.96741787164342274</v>
      </c>
      <c r="S654" s="154">
        <f t="shared" si="211"/>
        <v>4.3539485786420555E-5</v>
      </c>
      <c r="T654" s="152"/>
      <c r="U654" s="150">
        <f t="shared" si="223"/>
        <v>0</v>
      </c>
      <c r="V654" s="150">
        <f t="shared" si="224"/>
        <v>0</v>
      </c>
      <c r="W654" s="168">
        <f t="shared" si="225"/>
        <v>0</v>
      </c>
      <c r="X654" s="163">
        <f t="shared" si="212"/>
        <v>3258.2128356577255</v>
      </c>
      <c r="Y654" s="152"/>
      <c r="Z654" s="164">
        <f>IF(AND($C653=12,$D653=Input!$C$6),0,IF($E654="","",V654+Z655/(1+L654)*R654))</f>
        <v>117241.15542980767</v>
      </c>
      <c r="AA654" s="164">
        <f>IF(OR($M654=1,AND($C653=12,$D653=Input!$C$6)),0,IF($E654="","",W654+(X654+AA655*$R654)/(1+$L654)))</f>
        <v>77222.234260712357</v>
      </c>
      <c r="AB654" s="160">
        <f t="shared" si="213"/>
        <v>0.825720328500681</v>
      </c>
      <c r="AC654" s="164">
        <f t="shared" si="214"/>
        <v>0</v>
      </c>
      <c r="AD654" s="164">
        <f>IF(AND($C653=12,$D653=Input!$C$6),0,IF($E654="","",$AC654+AD655/(1+$L654)*$R654))</f>
        <v>96808.405375300179</v>
      </c>
      <c r="AE654" s="152"/>
      <c r="AF654" s="164">
        <f>IF(AND($C653=12,$D653=Input!$C$6),0,IF($E654="","",IF($B654&gt;Input!$C$9,$AC654,0)+AF655/(1+$L654)*$R654))</f>
        <v>96808.405375300179</v>
      </c>
      <c r="AG654" s="164">
        <f>IF(AND($C653=12,$D653=Input!$C$6),0,IF($E654="","",(IF($B654&gt;Input!$C$9,$X654,0)+AG655)/(1+$L654)*$R654))</f>
        <v>73873.458534115314</v>
      </c>
      <c r="AH654" s="160">
        <f t="shared" si="215"/>
        <v>2.0950137211446997</v>
      </c>
      <c r="AI654" s="160">
        <f>IF($E654="","",MIN(Input!$C$61/AH654,1))</f>
        <v>0.64438718771845094</v>
      </c>
      <c r="AJ654" s="152"/>
      <c r="AK654" s="164">
        <f>IF(AND($C653=12,$D653=Input!$C$6),0,IF($E654="","",IF($B654&gt;Input!$C$9,$AC654*AI654,0)+AK655/(1+$L654)*$R654))</f>
        <v>62382.096087297447</v>
      </c>
      <c r="AL654" s="164">
        <f>IF(AND($C653=12,$D653=Input!$C$6),0,IF($E654="","",IF($B654&gt;Input!$C$9,0,$AC654)+AL655/(1+$L654)*$R654))</f>
        <v>0</v>
      </c>
      <c r="AM654" s="160">
        <f t="shared" si="216"/>
        <v>1.1382936520186004</v>
      </c>
      <c r="AN654" s="164">
        <f>IF($E654="","",IF($B654&gt;Input!$C$9,$AI654*$AC654,$AM654*$AC654))</f>
        <v>0</v>
      </c>
      <c r="AO654" s="164">
        <f>IF(AND($C653=12,$D653=Input!$C$6),0,IF($E654="","",$AN654+AO655/(1+$L654)*$R654))</f>
        <v>62382.096087297447</v>
      </c>
      <c r="AP654" s="152"/>
      <c r="AQ654" s="164">
        <f t="shared" si="217"/>
        <v>14840.138173414911</v>
      </c>
      <c r="AR654" s="164">
        <f t="shared" si="226"/>
        <v>2674.7858263786511</v>
      </c>
      <c r="AS654" s="164">
        <f t="shared" si="227"/>
        <v>15693.77990430622</v>
      </c>
      <c r="AT654" s="164">
        <f t="shared" si="218"/>
        <v>15693.77990430622</v>
      </c>
      <c r="AU654" s="152"/>
      <c r="AV654" s="147">
        <f>'Deterministic Reserve'!BC654</f>
        <v>2.286822631944288E-7</v>
      </c>
      <c r="AW654" s="164">
        <f t="shared" si="219"/>
        <v>15693.77990430622</v>
      </c>
      <c r="AX654" s="164">
        <f t="shared" si="220"/>
        <v>3.5888891065919927E-3</v>
      </c>
      <c r="AY654" s="152"/>
    </row>
    <row r="655" spans="1:51" s="150" customFormat="1" x14ac:dyDescent="0.25">
      <c r="A655" s="150">
        <f t="shared" si="228"/>
        <v>651</v>
      </c>
      <c r="B655" s="150">
        <f t="shared" si="229"/>
        <v>55</v>
      </c>
      <c r="C655" s="150">
        <f t="shared" si="230"/>
        <v>3</v>
      </c>
      <c r="D655" s="150">
        <f>IF(E655="","",Input!$C$4+B655-1)</f>
        <v>99</v>
      </c>
      <c r="E655" s="150">
        <f>IF(OR(AND(C654=12,D654=Input!$C$6),E654=""),"",1)</f>
        <v>1</v>
      </c>
      <c r="F655" s="150">
        <f>IF(E655="","",Input!$C$8+B655-1)</f>
        <v>2072</v>
      </c>
      <c r="G655" s="151">
        <f>IF(E655="","",MAX(0,Input!$C$9-B655))</f>
        <v>0</v>
      </c>
      <c r="H655" s="152">
        <f>IF(E655="","",Input!$C$3)</f>
        <v>100000</v>
      </c>
      <c r="I655" s="153">
        <f>IF(E655="","",HLOOKUP($B655,Input!$C$13:$BT$14,2))</f>
        <v>803.6</v>
      </c>
      <c r="J655" s="154"/>
      <c r="K655" s="155">
        <f>IF($E655="","",Input!$C$57)</f>
        <v>4.4999999999999998E-2</v>
      </c>
      <c r="L655" s="155">
        <f t="shared" si="221"/>
        <v>3.6748094004368514E-3</v>
      </c>
      <c r="M655" s="147">
        <f>IF($E655="","",VLOOKUP(IF($B655&lt;=Input!$C$7,$B655,26),'Mortality Tables'!$A$72:$CA$97,IF($B655&lt;=Input!$C$7+1,Input!$C$4-16,$D655-Input!$C$7-16),0)/1000)</f>
        <v>0.32800000000000001</v>
      </c>
      <c r="N655" s="147">
        <f t="shared" si="210"/>
        <v>3.2582128356577256E-2</v>
      </c>
      <c r="O655" s="157">
        <f>IF($E655="","",IF($C655=12,IF($B655&lt;Input!$C$9,Input!$C$54,IF($B655=Input!$C$9,Input!$C$55,Input!$C$56)),0%))</f>
        <v>0</v>
      </c>
      <c r="P655" s="167">
        <f>IF($E655="","",IF($B655=1,Input!$C$59,IF($B655&lt;6,Input!$C$60,0%)))</f>
        <v>0</v>
      </c>
      <c r="Q655" s="162">
        <f>IF($E655="","",Input!$C$58)</f>
        <v>2.5</v>
      </c>
      <c r="R655" s="156">
        <f t="shared" si="222"/>
        <v>0.96741787164342274</v>
      </c>
      <c r="S655" s="154">
        <f t="shared" si="211"/>
        <v>4.2120876671948031E-5</v>
      </c>
      <c r="T655" s="152"/>
      <c r="U655" s="150">
        <f t="shared" si="223"/>
        <v>0</v>
      </c>
      <c r="V655" s="150">
        <f t="shared" si="224"/>
        <v>0</v>
      </c>
      <c r="W655" s="168">
        <f t="shared" si="225"/>
        <v>0</v>
      </c>
      <c r="X655" s="163">
        <f t="shared" si="212"/>
        <v>3258.2128356577255</v>
      </c>
      <c r="Y655" s="152"/>
      <c r="Z655" s="164">
        <f>IF(AND($C654=12,$D654=Input!$C$6),0,IF($E655="","",V655+Z656/(1+L655)*R655))</f>
        <v>121635.1256050307</v>
      </c>
      <c r="AA655" s="164">
        <f>IF(OR($M655=1,AND($C654=12,$D654=Input!$C$6)),0,IF($E655="","",W655+(X655+AA656*$R655)/(1+$L655)))</f>
        <v>76748.425467175344</v>
      </c>
      <c r="AB655" s="160">
        <f t="shared" si="213"/>
        <v>0.825720328500681</v>
      </c>
      <c r="AC655" s="164">
        <f t="shared" si="214"/>
        <v>0</v>
      </c>
      <c r="AD655" s="164">
        <f>IF(AND($C654=12,$D654=Input!$C$6),0,IF($E655="","",$AC655+AD656/(1+$L655)*$R655))</f>
        <v>100436.59587180756</v>
      </c>
      <c r="AE655" s="152"/>
      <c r="AF655" s="164">
        <f>IF(AND($C654=12,$D654=Input!$C$6),0,IF($E655="","",IF($B655&gt;Input!$C$9,$AC655,0)+AF656/(1+$L655)*$R655))</f>
        <v>100436.59587180756</v>
      </c>
      <c r="AG655" s="164">
        <f>IF(AND($C654=12,$D654=Input!$C$6),0,IF($E655="","",(IF($B655&gt;Input!$C$9,$X655,0)+AG656)/(1+$L655)*$R655))</f>
        <v>73383.879053779776</v>
      </c>
      <c r="AH655" s="160">
        <f t="shared" si="215"/>
        <v>2.0950137211446997</v>
      </c>
      <c r="AI655" s="160">
        <f>IF($E655="","",MIN(Input!$C$61/AH655,1))</f>
        <v>0.64438718771845094</v>
      </c>
      <c r="AJ655" s="152"/>
      <c r="AK655" s="164">
        <f>IF(AND($C654=12,$D654=Input!$C$6),0,IF($E655="","",IF($B655&gt;Input!$C$9,$AC655*AI655,0)+AK656/(1+$L655)*$R655))</f>
        <v>64720.055557848638</v>
      </c>
      <c r="AL655" s="164">
        <f>IF(AND($C654=12,$D654=Input!$C$6),0,IF($E655="","",IF($B655&gt;Input!$C$9,0,$AC655)+AL656/(1+$L655)*$R655))</f>
        <v>0</v>
      </c>
      <c r="AM655" s="160">
        <f t="shared" si="216"/>
        <v>1.1382936520186004</v>
      </c>
      <c r="AN655" s="164">
        <f>IF($E655="","",IF($B655&gt;Input!$C$9,$AI655*$AC655,$AM655*$AC655))</f>
        <v>0</v>
      </c>
      <c r="AO655" s="164">
        <f>IF(AND($C654=12,$D654=Input!$C$6),0,IF($E655="","",$AN655+AO656/(1+$L655)*$R655))</f>
        <v>64720.055557848638</v>
      </c>
      <c r="AP655" s="152"/>
      <c r="AQ655" s="164">
        <f t="shared" si="217"/>
        <v>12028.369909326706</v>
      </c>
      <c r="AR655" s="164">
        <f t="shared" si="226"/>
        <v>2674.7858263786511</v>
      </c>
      <c r="AS655" s="164">
        <f t="shared" si="227"/>
        <v>15693.77990430622</v>
      </c>
      <c r="AT655" s="164">
        <f t="shared" si="218"/>
        <v>15693.77990430622</v>
      </c>
      <c r="AU655" s="152"/>
      <c r="AV655" s="147">
        <f>'Deterministic Reserve'!BC655</f>
        <v>2.0752102551456117E-7</v>
      </c>
      <c r="AW655" s="164">
        <f t="shared" si="219"/>
        <v>15693.77990430622</v>
      </c>
      <c r="AX655" s="164">
        <f t="shared" si="220"/>
        <v>3.2567892999414384E-3</v>
      </c>
      <c r="AY655" s="152"/>
    </row>
    <row r="656" spans="1:51" s="150" customFormat="1" x14ac:dyDescent="0.25">
      <c r="A656" s="150">
        <f t="shared" si="228"/>
        <v>652</v>
      </c>
      <c r="B656" s="150">
        <f t="shared" si="229"/>
        <v>55</v>
      </c>
      <c r="C656" s="150">
        <f t="shared" si="230"/>
        <v>4</v>
      </c>
      <c r="D656" s="150">
        <f>IF(E656="","",Input!$C$4+B656-1)</f>
        <v>99</v>
      </c>
      <c r="E656" s="150">
        <f>IF(OR(AND(C655=12,D655=Input!$C$6),E655=""),"",1)</f>
        <v>1</v>
      </c>
      <c r="F656" s="150">
        <f>IF(E656="","",Input!$C$8+B656-1)</f>
        <v>2072</v>
      </c>
      <c r="G656" s="151">
        <f>IF(E656="","",MAX(0,Input!$C$9-B656))</f>
        <v>0</v>
      </c>
      <c r="H656" s="152">
        <f>IF(E656="","",Input!$C$3)</f>
        <v>100000</v>
      </c>
      <c r="I656" s="153">
        <f>IF(E656="","",HLOOKUP($B656,Input!$C$13:$BT$14,2))</f>
        <v>803.6</v>
      </c>
      <c r="J656" s="154"/>
      <c r="K656" s="155">
        <f>IF($E656="","",Input!$C$57)</f>
        <v>4.4999999999999998E-2</v>
      </c>
      <c r="L656" s="155">
        <f t="shared" si="221"/>
        <v>3.6748094004368514E-3</v>
      </c>
      <c r="M656" s="147">
        <f>IF($E656="","",VLOOKUP(IF($B656&lt;=Input!$C$7,$B656,26),'Mortality Tables'!$A$72:$CA$97,IF($B656&lt;=Input!$C$7+1,Input!$C$4-16,$D656-Input!$C$7-16),0)/1000)</f>
        <v>0.32800000000000001</v>
      </c>
      <c r="N656" s="147">
        <f t="shared" si="210"/>
        <v>3.2582128356577256E-2</v>
      </c>
      <c r="O656" s="157">
        <f>IF($E656="","",IF($C656=12,IF($B656&lt;Input!$C$9,Input!$C$54,IF($B656=Input!$C$9,Input!$C$55,Input!$C$56)),0%))</f>
        <v>0</v>
      </c>
      <c r="P656" s="167">
        <f>IF($E656="","",IF($B656=1,Input!$C$59,IF($B656&lt;6,Input!$C$60,0%)))</f>
        <v>0</v>
      </c>
      <c r="Q656" s="162">
        <f>IF($E656="","",Input!$C$58)</f>
        <v>2.5</v>
      </c>
      <c r="R656" s="156">
        <f t="shared" si="222"/>
        <v>0.96741787164342274</v>
      </c>
      <c r="S656" s="154">
        <f t="shared" si="211"/>
        <v>4.0748488861731061E-5</v>
      </c>
      <c r="T656" s="152"/>
      <c r="U656" s="150">
        <f t="shared" si="223"/>
        <v>0</v>
      </c>
      <c r="V656" s="150">
        <f t="shared" si="224"/>
        <v>0</v>
      </c>
      <c r="W656" s="168">
        <f t="shared" si="225"/>
        <v>0</v>
      </c>
      <c r="X656" s="163">
        <f t="shared" si="212"/>
        <v>3258.2128356577255</v>
      </c>
      <c r="Y656" s="152"/>
      <c r="Z656" s="164">
        <f>IF(AND($C655=12,$D655=Input!$C$6),0,IF($E656="","",V656+Z657/(1+L656)*R656))</f>
        <v>126193.77322504667</v>
      </c>
      <c r="AA656" s="164">
        <f>IF(OR($M656=1,AND($C655=12,$D655=Input!$C$6)),0,IF($E656="","",W656+(X656+AA657*$R656)/(1+$L656)))</f>
        <v>76256.859242811857</v>
      </c>
      <c r="AB656" s="160">
        <f t="shared" si="213"/>
        <v>0.825720328500681</v>
      </c>
      <c r="AC656" s="164">
        <f t="shared" si="214"/>
        <v>0</v>
      </c>
      <c r="AD656" s="164">
        <f>IF(AND($C655=12,$D655=Input!$C$6),0,IF($E656="","",$AC656+AD657/(1+$L656)*$R656))</f>
        <v>104200.76388212599</v>
      </c>
      <c r="AE656" s="152"/>
      <c r="AF656" s="164">
        <f>IF(AND($C655=12,$D655=Input!$C$6),0,IF($E656="","",IF($B656&gt;Input!$C$9,$AC656,0)+AF657/(1+$L656)*$R656))</f>
        <v>104200.76388212599</v>
      </c>
      <c r="AG656" s="164">
        <f>IF(AND($C655=12,$D655=Input!$C$6),0,IF($E656="","",(IF($B656&gt;Input!$C$9,$X656,0)+AG657)/(1+$L656)*$R656))</f>
        <v>72875.951087990383</v>
      </c>
      <c r="AH656" s="160">
        <f t="shared" si="215"/>
        <v>2.0950137211446997</v>
      </c>
      <c r="AI656" s="160">
        <f>IF($E656="","",MIN(Input!$C$61/AH656,1))</f>
        <v>0.64438718771845094</v>
      </c>
      <c r="AJ656" s="152"/>
      <c r="AK656" s="164">
        <f>IF(AND($C655=12,$D655=Input!$C$6),0,IF($E656="","",IF($B656&gt;Input!$C$9,$AC656*AI656,0)+AK657/(1+$L656)*$R656))</f>
        <v>67145.637196117488</v>
      </c>
      <c r="AL656" s="164">
        <f>IF(AND($C655=12,$D655=Input!$C$6),0,IF($E656="","",IF($B656&gt;Input!$C$9,0,$AC656)+AL657/(1+$L656)*$R656))</f>
        <v>0</v>
      </c>
      <c r="AM656" s="160">
        <f t="shared" si="216"/>
        <v>1.1382936520186004</v>
      </c>
      <c r="AN656" s="164">
        <f>IF($E656="","",IF($B656&gt;Input!$C$9,$AI656*$AC656,$AM656*$AC656))</f>
        <v>0</v>
      </c>
      <c r="AO656" s="164">
        <f>IF(AND($C655=12,$D655=Input!$C$6),0,IF($E656="","",$AN656+AO657/(1+$L656)*$R656))</f>
        <v>67145.637196117488</v>
      </c>
      <c r="AP656" s="152"/>
      <c r="AQ656" s="164">
        <f t="shared" si="217"/>
        <v>9111.2220466943691</v>
      </c>
      <c r="AR656" s="164">
        <f t="shared" si="226"/>
        <v>2674.7858263786511</v>
      </c>
      <c r="AS656" s="164">
        <f t="shared" si="227"/>
        <v>15693.77990430622</v>
      </c>
      <c r="AT656" s="164">
        <f t="shared" si="218"/>
        <v>15693.77990430622</v>
      </c>
      <c r="AU656" s="152"/>
      <c r="AV656" s="147">
        <f>'Deterministic Reserve'!BC656</f>
        <v>1.8831795447992709E-7</v>
      </c>
      <c r="AW656" s="164">
        <f t="shared" si="219"/>
        <v>15693.77990430622</v>
      </c>
      <c r="AX656" s="164">
        <f t="shared" si="220"/>
        <v>2.9554205296371335E-3</v>
      </c>
      <c r="AY656" s="152"/>
    </row>
    <row r="657" spans="1:51" s="150" customFormat="1" x14ac:dyDescent="0.25">
      <c r="A657" s="150">
        <f t="shared" si="228"/>
        <v>653</v>
      </c>
      <c r="B657" s="150">
        <f t="shared" si="229"/>
        <v>55</v>
      </c>
      <c r="C657" s="150">
        <f t="shared" si="230"/>
        <v>5</v>
      </c>
      <c r="D657" s="150">
        <f>IF(E657="","",Input!$C$4+B657-1)</f>
        <v>99</v>
      </c>
      <c r="E657" s="150">
        <f>IF(OR(AND(C656=12,D656=Input!$C$6),E656=""),"",1)</f>
        <v>1</v>
      </c>
      <c r="F657" s="150">
        <f>IF(E657="","",Input!$C$8+B657-1)</f>
        <v>2072</v>
      </c>
      <c r="G657" s="151">
        <f>IF(E657="","",MAX(0,Input!$C$9-B657))</f>
        <v>0</v>
      </c>
      <c r="H657" s="152">
        <f>IF(E657="","",Input!$C$3)</f>
        <v>100000</v>
      </c>
      <c r="I657" s="153">
        <f>IF(E657="","",HLOOKUP($B657,Input!$C$13:$BT$14,2))</f>
        <v>803.6</v>
      </c>
      <c r="J657" s="154"/>
      <c r="K657" s="155">
        <f>IF($E657="","",Input!$C$57)</f>
        <v>4.4999999999999998E-2</v>
      </c>
      <c r="L657" s="155">
        <f t="shared" si="221"/>
        <v>3.6748094004368514E-3</v>
      </c>
      <c r="M657" s="147">
        <f>IF($E657="","",VLOOKUP(IF($B657&lt;=Input!$C$7,$B657,26),'Mortality Tables'!$A$72:$CA$97,IF($B657&lt;=Input!$C$7+1,Input!$C$4-16,$D657-Input!$C$7-16),0)/1000)</f>
        <v>0.32800000000000001</v>
      </c>
      <c r="N657" s="147">
        <f t="shared" si="210"/>
        <v>3.2582128356577256E-2</v>
      </c>
      <c r="O657" s="157">
        <f>IF($E657="","",IF($C657=12,IF($B657&lt;Input!$C$9,Input!$C$54,IF($B657=Input!$C$9,Input!$C$55,Input!$C$56)),0%))</f>
        <v>0</v>
      </c>
      <c r="P657" s="167">
        <f>IF($E657="","",IF($B657=1,Input!$C$59,IF($B657&lt;6,Input!$C$60,0%)))</f>
        <v>0</v>
      </c>
      <c r="Q657" s="162">
        <f>IF($E657="","",Input!$C$58)</f>
        <v>2.5</v>
      </c>
      <c r="R657" s="156">
        <f t="shared" si="222"/>
        <v>0.96741787164342274</v>
      </c>
      <c r="S657" s="154">
        <f t="shared" si="211"/>
        <v>3.9420816367301578E-5</v>
      </c>
      <c r="T657" s="152"/>
      <c r="U657" s="150">
        <f t="shared" si="223"/>
        <v>0</v>
      </c>
      <c r="V657" s="150">
        <f t="shared" si="224"/>
        <v>0</v>
      </c>
      <c r="W657" s="168">
        <f t="shared" si="225"/>
        <v>0</v>
      </c>
      <c r="X657" s="163">
        <f t="shared" si="212"/>
        <v>3258.2128356577255</v>
      </c>
      <c r="Y657" s="152"/>
      <c r="Z657" s="164">
        <f>IF(AND($C656=12,$D656=Input!$C$6),0,IF($E657="","",V657+Z658/(1+L657)*R657))</f>
        <v>130923.27007977264</v>
      </c>
      <c r="AA657" s="164">
        <f>IF(OR($M657=1,AND($C656=12,$D656=Input!$C$6)),0,IF($E657="","",W657+(X657+AA658*$R657)/(1+$L657)))</f>
        <v>75746.870073697602</v>
      </c>
      <c r="AB657" s="160">
        <f t="shared" si="213"/>
        <v>0.825720328500681</v>
      </c>
      <c r="AC657" s="164">
        <f t="shared" si="214"/>
        <v>0</v>
      </c>
      <c r="AD657" s="164">
        <f>IF(AND($C656=12,$D656=Input!$C$6),0,IF($E657="","",$AC657+AD658/(1+$L657)*$R657))</f>
        <v>108106.00557865326</v>
      </c>
      <c r="AE657" s="152"/>
      <c r="AF657" s="164">
        <f>IF(AND($C656=12,$D656=Input!$C$6),0,IF($E657="","",IF($B657&gt;Input!$C$9,$AC657,0)+AF658/(1+$L657)*$R657))</f>
        <v>108106.00557865326</v>
      </c>
      <c r="AG657" s="164">
        <f>IF(AND($C656=12,$D656=Input!$C$6),0,IF($E657="","",(IF($B657&gt;Input!$C$9,$X657,0)+AG658)/(1+$L657)*$R657))</f>
        <v>72348.986971246515</v>
      </c>
      <c r="AH657" s="160">
        <f t="shared" si="215"/>
        <v>2.0950137211446997</v>
      </c>
      <c r="AI657" s="160">
        <f>IF($E657="","",MIN(Input!$C$61/AH657,1))</f>
        <v>0.64438718771845094</v>
      </c>
      <c r="AJ657" s="152"/>
      <c r="AK657" s="164">
        <f>IF(AND($C656=12,$D656=Input!$C$6),0,IF($E657="","",IF($B657&gt;Input!$C$9,$AC657*AI657,0)+AK658/(1+$L657)*$R657))</f>
        <v>69662.124910303522</v>
      </c>
      <c r="AL657" s="164">
        <f>IF(AND($C656=12,$D656=Input!$C$6),0,IF($E657="","",IF($B657&gt;Input!$C$9,0,$AC657)+AL658/(1+$L657)*$R657))</f>
        <v>0</v>
      </c>
      <c r="AM657" s="160">
        <f t="shared" si="216"/>
        <v>1.1382936520186004</v>
      </c>
      <c r="AN657" s="164">
        <f>IF($E657="","",IF($B657&gt;Input!$C$9,$AI657*$AC657,$AM657*$AC657))</f>
        <v>0</v>
      </c>
      <c r="AO657" s="164">
        <f>IF(AND($C656=12,$D656=Input!$C$6),0,IF($E657="","",$AN657+AO658/(1+$L657)*$R657))</f>
        <v>69662.124910303522</v>
      </c>
      <c r="AP657" s="152"/>
      <c r="AQ657" s="164">
        <f t="shared" si="217"/>
        <v>6084.74516339408</v>
      </c>
      <c r="AR657" s="164">
        <f t="shared" si="226"/>
        <v>2674.7858263786511</v>
      </c>
      <c r="AS657" s="164">
        <f t="shared" si="227"/>
        <v>15693.77990430622</v>
      </c>
      <c r="AT657" s="164">
        <f t="shared" si="218"/>
        <v>15693.77990430622</v>
      </c>
      <c r="AU657" s="152"/>
      <c r="AV657" s="147">
        <f>'Deterministic Reserve'!BC657</f>
        <v>1.7089185007432177E-7</v>
      </c>
      <c r="AW657" s="164">
        <f t="shared" si="219"/>
        <v>15693.77990430622</v>
      </c>
      <c r="AX657" s="164">
        <f t="shared" si="220"/>
        <v>2.6819390825061026E-3</v>
      </c>
      <c r="AY657" s="152"/>
    </row>
    <row r="658" spans="1:51" s="150" customFormat="1" x14ac:dyDescent="0.25">
      <c r="A658" s="150">
        <f t="shared" si="228"/>
        <v>654</v>
      </c>
      <c r="B658" s="150">
        <f t="shared" si="229"/>
        <v>55</v>
      </c>
      <c r="C658" s="150">
        <f t="shared" si="230"/>
        <v>6</v>
      </c>
      <c r="D658" s="150">
        <f>IF(E658="","",Input!$C$4+B658-1)</f>
        <v>99</v>
      </c>
      <c r="E658" s="150">
        <f>IF(OR(AND(C657=12,D657=Input!$C$6),E657=""),"",1)</f>
        <v>1</v>
      </c>
      <c r="F658" s="150">
        <f>IF(E658="","",Input!$C$8+B658-1)</f>
        <v>2072</v>
      </c>
      <c r="G658" s="151">
        <f>IF(E658="","",MAX(0,Input!$C$9-B658))</f>
        <v>0</v>
      </c>
      <c r="H658" s="152">
        <f>IF(E658="","",Input!$C$3)</f>
        <v>100000</v>
      </c>
      <c r="I658" s="153">
        <f>IF(E658="","",HLOOKUP($B658,Input!$C$13:$BT$14,2))</f>
        <v>803.6</v>
      </c>
      <c r="J658" s="154"/>
      <c r="K658" s="155">
        <f>IF($E658="","",Input!$C$57)</f>
        <v>4.4999999999999998E-2</v>
      </c>
      <c r="L658" s="155">
        <f t="shared" si="221"/>
        <v>3.6748094004368514E-3</v>
      </c>
      <c r="M658" s="147">
        <f>IF($E658="","",VLOOKUP(IF($B658&lt;=Input!$C$7,$B658,26),'Mortality Tables'!$A$72:$CA$97,IF($B658&lt;=Input!$C$7+1,Input!$C$4-16,$D658-Input!$C$7-16),0)/1000)</f>
        <v>0.32800000000000001</v>
      </c>
      <c r="N658" s="147">
        <f t="shared" si="210"/>
        <v>3.2582128356577256E-2</v>
      </c>
      <c r="O658" s="157">
        <f>IF($E658="","",IF($C658=12,IF($B658&lt;Input!$C$9,Input!$C$54,IF($B658=Input!$C$9,Input!$C$55,Input!$C$56)),0%))</f>
        <v>0</v>
      </c>
      <c r="P658" s="167">
        <f>IF($E658="","",IF($B658=1,Input!$C$59,IF($B658&lt;6,Input!$C$60,0%)))</f>
        <v>0</v>
      </c>
      <c r="Q658" s="162">
        <f>IF($E658="","",Input!$C$58)</f>
        <v>2.5</v>
      </c>
      <c r="R658" s="156">
        <f t="shared" si="222"/>
        <v>0.96741787164342274</v>
      </c>
      <c r="S658" s="154">
        <f t="shared" si="211"/>
        <v>3.8136402268501098E-5</v>
      </c>
      <c r="T658" s="152"/>
      <c r="U658" s="150">
        <f t="shared" si="223"/>
        <v>0</v>
      </c>
      <c r="V658" s="150">
        <f t="shared" si="224"/>
        <v>0</v>
      </c>
      <c r="W658" s="168">
        <f t="shared" si="225"/>
        <v>0</v>
      </c>
      <c r="X658" s="163">
        <f t="shared" si="212"/>
        <v>3258.2128356577255</v>
      </c>
      <c r="Y658" s="152"/>
      <c r="Z658" s="164">
        <f>IF(AND($C657=12,$D657=Input!$C$6),0,IF($E658="","",V658+Z659/(1+L658)*R658))</f>
        <v>135830.01926579213</v>
      </c>
      <c r="AA658" s="164">
        <f>IF(OR($M658=1,AND($C657=12,$D657=Input!$C$6)),0,IF($E658="","",W658+(X658+AA659*$R658)/(1+$L658)))</f>
        <v>75217.767503742492</v>
      </c>
      <c r="AB658" s="160">
        <f t="shared" si="213"/>
        <v>0.825720328500681</v>
      </c>
      <c r="AC658" s="164">
        <f t="shared" si="214"/>
        <v>0</v>
      </c>
      <c r="AD658" s="164">
        <f>IF(AND($C657=12,$D657=Input!$C$6),0,IF($E658="","",$AC658+AD659/(1+$L658)*$R658))</f>
        <v>112157.60812840372</v>
      </c>
      <c r="AE658" s="152"/>
      <c r="AF658" s="164">
        <f>IF(AND($C657=12,$D657=Input!$C$6),0,IF($E658="","",IF($B658&gt;Input!$C$9,$AC658,0)+AF659/(1+$L658)*$R658))</f>
        <v>112157.60812840372</v>
      </c>
      <c r="AG658" s="164">
        <f>IF(AND($C657=12,$D657=Input!$C$6),0,IF($E658="","",(IF($B658&gt;Input!$C$9,$X658,0)+AG659)/(1+$L658)*$R658))</f>
        <v>71802.273265683791</v>
      </c>
      <c r="AH658" s="160">
        <f t="shared" si="215"/>
        <v>2.0950137211446997</v>
      </c>
      <c r="AI658" s="160">
        <f>IF($E658="","",MIN(Input!$C$61/AH658,1))</f>
        <v>0.64438718771845094</v>
      </c>
      <c r="AJ658" s="152"/>
      <c r="AK658" s="164">
        <f>IF(AND($C657=12,$D657=Input!$C$6),0,IF($E658="","",IF($B658&gt;Input!$C$9,$AC658*AI658,0)+AK659/(1+$L658)*$R658))</f>
        <v>72272.925683090129</v>
      </c>
      <c r="AL658" s="164">
        <f>IF(AND($C657=12,$D657=Input!$C$6),0,IF($E658="","",IF($B658&gt;Input!$C$9,0,$AC658)+AL659/(1+$L658)*$R658))</f>
        <v>0</v>
      </c>
      <c r="AM658" s="160">
        <f t="shared" si="216"/>
        <v>1.1382936520186004</v>
      </c>
      <c r="AN658" s="164">
        <f>IF($E658="","",IF($B658&gt;Input!$C$9,$AI658*$AC658,$AM658*$AC658))</f>
        <v>0</v>
      </c>
      <c r="AO658" s="164">
        <f>IF(AND($C657=12,$D657=Input!$C$6),0,IF($E658="","",$AN658+AO659/(1+$L658)*$R658))</f>
        <v>72272.925683090129</v>
      </c>
      <c r="AP658" s="152"/>
      <c r="AQ658" s="164">
        <f t="shared" si="217"/>
        <v>2944.8418206523638</v>
      </c>
      <c r="AR658" s="164">
        <f t="shared" si="226"/>
        <v>2674.7858263786511</v>
      </c>
      <c r="AS658" s="164">
        <f t="shared" si="227"/>
        <v>15693.77990430622</v>
      </c>
      <c r="AT658" s="164">
        <f t="shared" si="218"/>
        <v>15693.77990430622</v>
      </c>
      <c r="AU658" s="152"/>
      <c r="AV658" s="147">
        <f>'Deterministic Reserve'!BC658</f>
        <v>1.5507827972365398E-7</v>
      </c>
      <c r="AW658" s="164">
        <f t="shared" si="219"/>
        <v>15693.77990430622</v>
      </c>
      <c r="AX658" s="164">
        <f t="shared" si="220"/>
        <v>2.4337643899214599E-3</v>
      </c>
      <c r="AY658" s="152"/>
    </row>
    <row r="659" spans="1:51" s="150" customFormat="1" x14ac:dyDescent="0.25">
      <c r="A659" s="150">
        <f t="shared" si="228"/>
        <v>655</v>
      </c>
      <c r="B659" s="150">
        <f t="shared" si="229"/>
        <v>55</v>
      </c>
      <c r="C659" s="150">
        <f t="shared" si="230"/>
        <v>7</v>
      </c>
      <c r="D659" s="150">
        <f>IF(E659="","",Input!$C$4+B659-1)</f>
        <v>99</v>
      </c>
      <c r="E659" s="150">
        <f>IF(OR(AND(C658=12,D658=Input!$C$6),E658=""),"",1)</f>
        <v>1</v>
      </c>
      <c r="F659" s="150">
        <f>IF(E659="","",Input!$C$8+B659-1)</f>
        <v>2072</v>
      </c>
      <c r="G659" s="151">
        <f>IF(E659="","",MAX(0,Input!$C$9-B659))</f>
        <v>0</v>
      </c>
      <c r="H659" s="152">
        <f>IF(E659="","",Input!$C$3)</f>
        <v>100000</v>
      </c>
      <c r="I659" s="153">
        <f>IF(E659="","",HLOOKUP($B659,Input!$C$13:$BT$14,2))</f>
        <v>803.6</v>
      </c>
      <c r="J659" s="154"/>
      <c r="K659" s="155">
        <f>IF($E659="","",Input!$C$57)</f>
        <v>4.4999999999999998E-2</v>
      </c>
      <c r="L659" s="155">
        <f t="shared" si="221"/>
        <v>3.6748094004368514E-3</v>
      </c>
      <c r="M659" s="147">
        <f>IF($E659="","",VLOOKUP(IF($B659&lt;=Input!$C$7,$B659,26),'Mortality Tables'!$A$72:$CA$97,IF($B659&lt;=Input!$C$7+1,Input!$C$4-16,$D659-Input!$C$7-16),0)/1000)</f>
        <v>0.32800000000000001</v>
      </c>
      <c r="N659" s="147">
        <f t="shared" si="210"/>
        <v>3.2582128356577256E-2</v>
      </c>
      <c r="O659" s="157">
        <f>IF($E659="","",IF($C659=12,IF($B659&lt;Input!$C$9,Input!$C$54,IF($B659=Input!$C$9,Input!$C$55,Input!$C$56)),0%))</f>
        <v>0</v>
      </c>
      <c r="P659" s="167">
        <f>IF($E659="","",IF($B659=1,Input!$C$59,IF($B659&lt;6,Input!$C$60,0%)))</f>
        <v>0</v>
      </c>
      <c r="Q659" s="162">
        <f>IF($E659="","",Input!$C$58)</f>
        <v>2.5</v>
      </c>
      <c r="R659" s="156">
        <f t="shared" si="222"/>
        <v>0.96741787164342274</v>
      </c>
      <c r="S659" s="154">
        <f t="shared" si="211"/>
        <v>3.6893837114730732E-5</v>
      </c>
      <c r="T659" s="152"/>
      <c r="U659" s="150">
        <f t="shared" si="223"/>
        <v>0</v>
      </c>
      <c r="V659" s="150">
        <f t="shared" si="224"/>
        <v>0</v>
      </c>
      <c r="W659" s="168">
        <f t="shared" si="225"/>
        <v>0</v>
      </c>
      <c r="X659" s="163">
        <f t="shared" si="212"/>
        <v>3258.2128356577255</v>
      </c>
      <c r="Y659" s="152"/>
      <c r="Z659" s="164">
        <f>IF(AND($C658=12,$D658=Input!$C$6),0,IF($E659="","",V659+Z660/(1+L659)*R659))</f>
        <v>140920.66385527834</v>
      </c>
      <c r="AA659" s="164">
        <f>IF(OR($M659=1,AND($C658=12,$D658=Input!$C$6)),0,IF($E659="","",W659+(X659+AA660*$R659)/(1+$L659)))</f>
        <v>74668.835199906869</v>
      </c>
      <c r="AB659" s="160">
        <f t="shared" si="213"/>
        <v>0.825720328500681</v>
      </c>
      <c r="AC659" s="164">
        <f t="shared" si="214"/>
        <v>0</v>
      </c>
      <c r="AD659" s="164">
        <f>IF(AND($C658=12,$D658=Input!$C$6),0,IF($E659="","",$AC659+AD660/(1+$L659)*$R659))</f>
        <v>116361.05685111448</v>
      </c>
      <c r="AE659" s="152"/>
      <c r="AF659" s="164">
        <f>IF(AND($C658=12,$D658=Input!$C$6),0,IF($E659="","",IF($B659&gt;Input!$C$9,$AC659,0)+AF660/(1+$L659)*$R659))</f>
        <v>116361.05685111448</v>
      </c>
      <c r="AG659" s="164">
        <f>IF(AND($C658=12,$D658=Input!$C$6),0,IF($E659="","",(IF($B659&gt;Input!$C$9,$X659,0)+AG660)/(1+$L659)*$R659))</f>
        <v>71235.069795176139</v>
      </c>
      <c r="AH659" s="160">
        <f t="shared" si="215"/>
        <v>2.0950137211446997</v>
      </c>
      <c r="AI659" s="160">
        <f>IF($E659="","",MIN(Input!$C$61/AH659,1))</f>
        <v>0.64438718771845094</v>
      </c>
      <c r="AJ659" s="152"/>
      <c r="AK659" s="164">
        <f>IF(AND($C658=12,$D658=Input!$C$6),0,IF($E659="","",IF($B659&gt;Input!$C$9,$AC659*AI659,0)+AK660/(1+$L659)*$R659))</f>
        <v>74981.574184236437</v>
      </c>
      <c r="AL659" s="164">
        <f>IF(AND($C658=12,$D658=Input!$C$6),0,IF($E659="","",IF($B659&gt;Input!$C$9,0,$AC659)+AL660/(1+$L659)*$R659))</f>
        <v>0</v>
      </c>
      <c r="AM659" s="160">
        <f t="shared" si="216"/>
        <v>1.1382936520186004</v>
      </c>
      <c r="AN659" s="164">
        <f>IF($E659="","",IF($B659&gt;Input!$C$9,$AI659*$AC659,$AM659*$AC659))</f>
        <v>0</v>
      </c>
      <c r="AO659" s="164">
        <f>IF(AND($C658=12,$D658=Input!$C$6),0,IF($E659="","",$AN659+AO660/(1+$L659)*$R659))</f>
        <v>74981.574184236437</v>
      </c>
      <c r="AP659" s="152"/>
      <c r="AQ659" s="164">
        <f t="shared" si="217"/>
        <v>-312.73898432956776</v>
      </c>
      <c r="AR659" s="164">
        <f t="shared" si="226"/>
        <v>2674.7858263786511</v>
      </c>
      <c r="AS659" s="164">
        <f t="shared" si="227"/>
        <v>15693.77990430622</v>
      </c>
      <c r="AT659" s="164">
        <f t="shared" si="218"/>
        <v>15693.77990430622</v>
      </c>
      <c r="AU659" s="152"/>
      <c r="AV659" s="147">
        <f>'Deterministic Reserve'!BC659</f>
        <v>1.4072802671156472E-7</v>
      </c>
      <c r="AW659" s="164">
        <f t="shared" si="219"/>
        <v>15693.77990430622</v>
      </c>
      <c r="AX659" s="164">
        <f t="shared" si="220"/>
        <v>2.2085546775786236E-3</v>
      </c>
      <c r="AY659" s="152"/>
    </row>
    <row r="660" spans="1:51" s="150" customFormat="1" x14ac:dyDescent="0.25">
      <c r="A660" s="150">
        <f t="shared" si="228"/>
        <v>656</v>
      </c>
      <c r="B660" s="150">
        <f t="shared" si="229"/>
        <v>55</v>
      </c>
      <c r="C660" s="150">
        <f t="shared" si="230"/>
        <v>8</v>
      </c>
      <c r="D660" s="150">
        <f>IF(E660="","",Input!$C$4+B660-1)</f>
        <v>99</v>
      </c>
      <c r="E660" s="150">
        <f>IF(OR(AND(C659=12,D659=Input!$C$6),E659=""),"",1)</f>
        <v>1</v>
      </c>
      <c r="F660" s="150">
        <f>IF(E660="","",Input!$C$8+B660-1)</f>
        <v>2072</v>
      </c>
      <c r="G660" s="151">
        <f>IF(E660="","",MAX(0,Input!$C$9-B660))</f>
        <v>0</v>
      </c>
      <c r="H660" s="152">
        <f>IF(E660="","",Input!$C$3)</f>
        <v>100000</v>
      </c>
      <c r="I660" s="153">
        <f>IF(E660="","",HLOOKUP($B660,Input!$C$13:$BT$14,2))</f>
        <v>803.6</v>
      </c>
      <c r="J660" s="154"/>
      <c r="K660" s="155">
        <f>IF($E660="","",Input!$C$57)</f>
        <v>4.4999999999999998E-2</v>
      </c>
      <c r="L660" s="155">
        <f t="shared" si="221"/>
        <v>3.6748094004368514E-3</v>
      </c>
      <c r="M660" s="147">
        <f>IF($E660="","",VLOOKUP(IF($B660&lt;=Input!$C$7,$B660,26),'Mortality Tables'!$A$72:$CA$97,IF($B660&lt;=Input!$C$7+1,Input!$C$4-16,$D660-Input!$C$7-16),0)/1000)</f>
        <v>0.32800000000000001</v>
      </c>
      <c r="N660" s="147">
        <f t="shared" si="210"/>
        <v>3.2582128356577256E-2</v>
      </c>
      <c r="O660" s="157">
        <f>IF($E660="","",IF($C660=12,IF($B660&lt;Input!$C$9,Input!$C$54,IF($B660=Input!$C$9,Input!$C$55,Input!$C$56)),0%))</f>
        <v>0</v>
      </c>
      <c r="P660" s="167">
        <f>IF($E660="","",IF($B660=1,Input!$C$59,IF($B660&lt;6,Input!$C$60,0%)))</f>
        <v>0</v>
      </c>
      <c r="Q660" s="162">
        <f>IF($E660="","",Input!$C$58)</f>
        <v>2.5</v>
      </c>
      <c r="R660" s="156">
        <f t="shared" si="222"/>
        <v>0.96741787164342274</v>
      </c>
      <c r="S660" s="154">
        <f t="shared" si="211"/>
        <v>3.5691757378291919E-5</v>
      </c>
      <c r="T660" s="152"/>
      <c r="U660" s="150">
        <f t="shared" si="223"/>
        <v>0</v>
      </c>
      <c r="V660" s="150">
        <f t="shared" si="224"/>
        <v>0</v>
      </c>
      <c r="W660" s="168">
        <f t="shared" si="225"/>
        <v>0</v>
      </c>
      <c r="X660" s="163">
        <f t="shared" si="212"/>
        <v>3258.2128356577255</v>
      </c>
      <c r="Y660" s="152"/>
      <c r="Z660" s="164">
        <f>IF(AND($C659=12,$D659=Input!$C$6),0,IF($E660="","",V660+Z661/(1+L660)*R660))</f>
        <v>146202.09588981199</v>
      </c>
      <c r="AA660" s="164">
        <f>IF(OR($M660=1,AND($C659=12,$D659=Input!$C$6)),0,IF($E660="","",W660+(X660+AA661*$R660)/(1+$L660)))</f>
        <v>74099.329982383832</v>
      </c>
      <c r="AB660" s="160">
        <f t="shared" si="213"/>
        <v>0.825720328500681</v>
      </c>
      <c r="AC660" s="164">
        <f t="shared" si="214"/>
        <v>0</v>
      </c>
      <c r="AD660" s="164">
        <f>IF(AND($C659=12,$D659=Input!$C$6),0,IF($E660="","",$AC660+AD661/(1+$L660)*$R660))</f>
        <v>120722.04264562363</v>
      </c>
      <c r="AE660" s="152"/>
      <c r="AF660" s="164">
        <f>IF(AND($C659=12,$D659=Input!$C$6),0,IF($E660="","",IF($B660&gt;Input!$C$9,$AC660,0)+AF661/(1+$L660)*$R660))</f>
        <v>120722.04264562363</v>
      </c>
      <c r="AG660" s="164">
        <f>IF(AND($C659=12,$D659=Input!$C$6),0,IF($E660="","",(IF($B660&gt;Input!$C$9,$X660,0)+AG661)/(1+$L660)*$R660))</f>
        <v>70646.608643237807</v>
      </c>
      <c r="AH660" s="160">
        <f t="shared" si="215"/>
        <v>2.0950137211446997</v>
      </c>
      <c r="AI660" s="160">
        <f>IF($E660="","",MIN(Input!$C$61/AH660,1))</f>
        <v>0.64438718771845094</v>
      </c>
      <c r="AJ660" s="152"/>
      <c r="AK660" s="164">
        <f>IF(AND($C659=12,$D659=Input!$C$6),0,IF($E660="","",IF($B660&gt;Input!$C$9,$AC660*AI660,0)+AK661/(1+$L660)*$R660))</f>
        <v>77791.737556040302</v>
      </c>
      <c r="AL660" s="164">
        <f>IF(AND($C659=12,$D659=Input!$C$6),0,IF($E660="","",IF($B660&gt;Input!$C$9,0,$AC660)+AL661/(1+$L660)*$R660))</f>
        <v>0</v>
      </c>
      <c r="AM660" s="160">
        <f t="shared" si="216"/>
        <v>1.1382936520186004</v>
      </c>
      <c r="AN660" s="164">
        <f>IF($E660="","",IF($B660&gt;Input!$C$9,$AI660*$AC660,$AM660*$AC660))</f>
        <v>0</v>
      </c>
      <c r="AO660" s="164">
        <f>IF(AND($C659=12,$D659=Input!$C$6),0,IF($E660="","",$AN660+AO661/(1+$L660)*$R660))</f>
        <v>77791.737556040302</v>
      </c>
      <c r="AP660" s="152"/>
      <c r="AQ660" s="164">
        <f t="shared" si="217"/>
        <v>-3692.40757365647</v>
      </c>
      <c r="AR660" s="164">
        <f t="shared" si="226"/>
        <v>2674.7858263786511</v>
      </c>
      <c r="AS660" s="164">
        <f t="shared" si="227"/>
        <v>15693.77990430622</v>
      </c>
      <c r="AT660" s="164">
        <f t="shared" si="218"/>
        <v>15693.77990430622</v>
      </c>
      <c r="AU660" s="152"/>
      <c r="AV660" s="147">
        <f>'Deterministic Reserve'!BC660</f>
        <v>1.2770568217175115E-7</v>
      </c>
      <c r="AW660" s="164">
        <f t="shared" si="219"/>
        <v>15693.77990430622</v>
      </c>
      <c r="AX660" s="164">
        <f t="shared" si="220"/>
        <v>2.0041848685327453E-3</v>
      </c>
      <c r="AY660" s="152"/>
    </row>
    <row r="661" spans="1:51" s="150" customFormat="1" x14ac:dyDescent="0.25">
      <c r="A661" s="150">
        <f t="shared" si="228"/>
        <v>657</v>
      </c>
      <c r="B661" s="150">
        <f t="shared" si="229"/>
        <v>55</v>
      </c>
      <c r="C661" s="150">
        <f t="shared" si="230"/>
        <v>9</v>
      </c>
      <c r="D661" s="150">
        <f>IF(E661="","",Input!$C$4+B661-1)</f>
        <v>99</v>
      </c>
      <c r="E661" s="150">
        <f>IF(OR(AND(C660=12,D660=Input!$C$6),E660=""),"",1)</f>
        <v>1</v>
      </c>
      <c r="F661" s="150">
        <f>IF(E661="","",Input!$C$8+B661-1)</f>
        <v>2072</v>
      </c>
      <c r="G661" s="151">
        <f>IF(E661="","",MAX(0,Input!$C$9-B661))</f>
        <v>0</v>
      </c>
      <c r="H661" s="152">
        <f>IF(E661="","",Input!$C$3)</f>
        <v>100000</v>
      </c>
      <c r="I661" s="153">
        <f>IF(E661="","",HLOOKUP($B661,Input!$C$13:$BT$14,2))</f>
        <v>803.6</v>
      </c>
      <c r="J661" s="154"/>
      <c r="K661" s="155">
        <f>IF($E661="","",Input!$C$57)</f>
        <v>4.4999999999999998E-2</v>
      </c>
      <c r="L661" s="155">
        <f t="shared" si="221"/>
        <v>3.6748094004368514E-3</v>
      </c>
      <c r="M661" s="147">
        <f>IF($E661="","",VLOOKUP(IF($B661&lt;=Input!$C$7,$B661,26),'Mortality Tables'!$A$72:$CA$97,IF($B661&lt;=Input!$C$7+1,Input!$C$4-16,$D661-Input!$C$7-16),0)/1000)</f>
        <v>0.32800000000000001</v>
      </c>
      <c r="N661" s="147">
        <f t="shared" si="210"/>
        <v>3.2582128356577256E-2</v>
      </c>
      <c r="O661" s="157">
        <f>IF($E661="","",IF($C661=12,IF($B661&lt;Input!$C$9,Input!$C$54,IF($B661=Input!$C$9,Input!$C$55,Input!$C$56)),0%))</f>
        <v>0</v>
      </c>
      <c r="P661" s="167">
        <f>IF($E661="","",IF($B661=1,Input!$C$59,IF($B661&lt;6,Input!$C$60,0%)))</f>
        <v>0</v>
      </c>
      <c r="Q661" s="162">
        <f>IF($E661="","",Input!$C$58)</f>
        <v>2.5</v>
      </c>
      <c r="R661" s="156">
        <f t="shared" si="222"/>
        <v>0.96741787164342274</v>
      </c>
      <c r="S661" s="154">
        <f t="shared" si="211"/>
        <v>3.4528843958120598E-5</v>
      </c>
      <c r="T661" s="152"/>
      <c r="U661" s="150">
        <f t="shared" si="223"/>
        <v>0</v>
      </c>
      <c r="V661" s="150">
        <f t="shared" si="224"/>
        <v>0</v>
      </c>
      <c r="W661" s="168">
        <f t="shared" si="225"/>
        <v>0</v>
      </c>
      <c r="X661" s="163">
        <f t="shared" si="212"/>
        <v>3258.2128356577255</v>
      </c>
      <c r="Y661" s="152"/>
      <c r="Z661" s="164">
        <f>IF(AND($C660=12,$D660=Input!$C$6),0,IF($E661="","",V661+Z662/(1+L661)*R661))</f>
        <v>151681.46571126982</v>
      </c>
      <c r="AA661" s="164">
        <f>IF(OR($M661=1,AND($C660=12,$D660=Input!$C$6)),0,IF($E661="","",W661+(X661+AA662*$R661)/(1+$L661)))</f>
        <v>73508.480818434677</v>
      </c>
      <c r="AB661" s="160">
        <f t="shared" si="213"/>
        <v>0.825720328500681</v>
      </c>
      <c r="AC661" s="164">
        <f t="shared" si="214"/>
        <v>0</v>
      </c>
      <c r="AD661" s="164">
        <f>IF(AND($C660=12,$D660=Input!$C$6),0,IF($E661="","",$AC661+AD662/(1+$L661)*$R661))</f>
        <v>125246.46969457451</v>
      </c>
      <c r="AE661" s="152"/>
      <c r="AF661" s="164">
        <f>IF(AND($C660=12,$D660=Input!$C$6),0,IF($E661="","",IF($B661&gt;Input!$C$9,$AC661,0)+AF662/(1+$L661)*$R661))</f>
        <v>125246.46969457451</v>
      </c>
      <c r="AG661" s="164">
        <f>IF(AND($C660=12,$D660=Input!$C$6),0,IF($E661="","",(IF($B661&gt;Input!$C$9,$X661,0)+AG662)/(1+$L661)*$R661))</f>
        <v>70036.093113368654</v>
      </c>
      <c r="AH661" s="160">
        <f t="shared" si="215"/>
        <v>2.0950137211446997</v>
      </c>
      <c r="AI661" s="160">
        <f>IF($E661="","",MIN(Input!$C$61/AH661,1))</f>
        <v>0.64438718771845094</v>
      </c>
      <c r="AJ661" s="152"/>
      <c r="AK661" s="164">
        <f>IF(AND($C660=12,$D660=Input!$C$6),0,IF($E661="","",IF($B661&gt;Input!$C$9,$AC661*AI661,0)+AK662/(1+$L661)*$R661))</f>
        <v>80707.220378151032</v>
      </c>
      <c r="AL661" s="164">
        <f>IF(AND($C660=12,$D660=Input!$C$6),0,IF($E661="","",IF($B661&gt;Input!$C$9,0,$AC661)+AL662/(1+$L661)*$R661))</f>
        <v>0</v>
      </c>
      <c r="AM661" s="160">
        <f t="shared" si="216"/>
        <v>1.1382936520186004</v>
      </c>
      <c r="AN661" s="164">
        <f>IF($E661="","",IF($B661&gt;Input!$C$9,$AI661*$AC661,$AM661*$AC661))</f>
        <v>0</v>
      </c>
      <c r="AO661" s="164">
        <f>IF(AND($C660=12,$D660=Input!$C$6),0,IF($E661="","",$AN661+AO662/(1+$L661)*$R661))</f>
        <v>80707.220378151032</v>
      </c>
      <c r="AP661" s="152"/>
      <c r="AQ661" s="164">
        <f t="shared" si="217"/>
        <v>-7198.7395597163559</v>
      </c>
      <c r="AR661" s="164">
        <f t="shared" si="226"/>
        <v>2674.7858263786511</v>
      </c>
      <c r="AS661" s="164">
        <f t="shared" si="227"/>
        <v>15693.77990430622</v>
      </c>
      <c r="AT661" s="164">
        <f t="shared" si="218"/>
        <v>15693.77990430622</v>
      </c>
      <c r="AU661" s="152"/>
      <c r="AV661" s="147">
        <f>'Deterministic Reserve'!BC661</f>
        <v>1.1588836737104694E-7</v>
      </c>
      <c r="AW661" s="164">
        <f t="shared" si="219"/>
        <v>15693.77990430622</v>
      </c>
      <c r="AX661" s="164">
        <f t="shared" si="220"/>
        <v>1.8187265309905932E-3</v>
      </c>
      <c r="AY661" s="152"/>
    </row>
    <row r="662" spans="1:51" s="150" customFormat="1" x14ac:dyDescent="0.25">
      <c r="A662" s="150">
        <f t="shared" si="228"/>
        <v>658</v>
      </c>
      <c r="B662" s="150">
        <f t="shared" si="229"/>
        <v>55</v>
      </c>
      <c r="C662" s="150">
        <f t="shared" si="230"/>
        <v>10</v>
      </c>
      <c r="D662" s="150">
        <f>IF(E662="","",Input!$C$4+B662-1)</f>
        <v>99</v>
      </c>
      <c r="E662" s="150">
        <f>IF(OR(AND(C661=12,D661=Input!$C$6),E661=""),"",1)</f>
        <v>1</v>
      </c>
      <c r="F662" s="150">
        <f>IF(E662="","",Input!$C$8+B662-1)</f>
        <v>2072</v>
      </c>
      <c r="G662" s="151">
        <f>IF(E662="","",MAX(0,Input!$C$9-B662))</f>
        <v>0</v>
      </c>
      <c r="H662" s="152">
        <f>IF(E662="","",Input!$C$3)</f>
        <v>100000</v>
      </c>
      <c r="I662" s="153">
        <f>IF(E662="","",HLOOKUP($B662,Input!$C$13:$BT$14,2))</f>
        <v>803.6</v>
      </c>
      <c r="J662" s="154"/>
      <c r="K662" s="155">
        <f>IF($E662="","",Input!$C$57)</f>
        <v>4.4999999999999998E-2</v>
      </c>
      <c r="L662" s="155">
        <f t="shared" si="221"/>
        <v>3.6748094004368514E-3</v>
      </c>
      <c r="M662" s="147">
        <f>IF($E662="","",VLOOKUP(IF($B662&lt;=Input!$C$7,$B662,26),'Mortality Tables'!$A$72:$CA$97,IF($B662&lt;=Input!$C$7+1,Input!$C$4-16,$D662-Input!$C$7-16),0)/1000)</f>
        <v>0.32800000000000001</v>
      </c>
      <c r="N662" s="147">
        <f t="shared" si="210"/>
        <v>3.2582128356577256E-2</v>
      </c>
      <c r="O662" s="157">
        <f>IF($E662="","",IF($C662=12,IF($B662&lt;Input!$C$9,Input!$C$54,IF($B662=Input!$C$9,Input!$C$55,Input!$C$56)),0%))</f>
        <v>0</v>
      </c>
      <c r="P662" s="167">
        <f>IF($E662="","",IF($B662=1,Input!$C$59,IF($B662&lt;6,Input!$C$60,0%)))</f>
        <v>0</v>
      </c>
      <c r="Q662" s="162">
        <f>IF($E662="","",Input!$C$58)</f>
        <v>2.5</v>
      </c>
      <c r="R662" s="156">
        <f t="shared" si="222"/>
        <v>0.96741787164342274</v>
      </c>
      <c r="S662" s="154">
        <f t="shared" si="211"/>
        <v>3.3403820732272887E-5</v>
      </c>
      <c r="T662" s="152"/>
      <c r="U662" s="150">
        <f t="shared" si="223"/>
        <v>0</v>
      </c>
      <c r="V662" s="150">
        <f t="shared" si="224"/>
        <v>0</v>
      </c>
      <c r="W662" s="168">
        <f t="shared" si="225"/>
        <v>0</v>
      </c>
      <c r="X662" s="163">
        <f t="shared" si="212"/>
        <v>3258.2128356577255</v>
      </c>
      <c r="Y662" s="152"/>
      <c r="Z662" s="164">
        <f>IF(AND($C661=12,$D661=Input!$C$6),0,IF($E662="","",V662+Z663/(1+L662)*R662))</f>
        <v>157366.19164241658</v>
      </c>
      <c r="AA662" s="164">
        <f>IF(OR($M662=1,AND($C661=12,$D661=Input!$C$6)),0,IF($E662="","",W662+(X662+AA663*$R662)/(1+$L662)))</f>
        <v>72895.487778515264</v>
      </c>
      <c r="AB662" s="160">
        <f t="shared" si="213"/>
        <v>0.825720328500681</v>
      </c>
      <c r="AC662" s="164">
        <f t="shared" si="214"/>
        <v>0</v>
      </c>
      <c r="AD662" s="164">
        <f>IF(AND($C661=12,$D661=Input!$C$6),0,IF($E662="","",$AC662+AD663/(1+$L662)*$R662))</f>
        <v>129940.46345787735</v>
      </c>
      <c r="AE662" s="152"/>
      <c r="AF662" s="164">
        <f>IF(AND($C661=12,$D661=Input!$C$6),0,IF($E662="","",IF($B662&gt;Input!$C$9,$AC662,0)+AF663/(1+$L662)*$R662))</f>
        <v>129940.46345787735</v>
      </c>
      <c r="AG662" s="164">
        <f>IF(AND($C661=12,$D661=Input!$C$6),0,IF($E662="","",(IF($B662&gt;Input!$C$9,$X662,0)+AG663)/(1+$L662)*$R662))</f>
        <v>69402.696650435333</v>
      </c>
      <c r="AH662" s="160">
        <f t="shared" si="215"/>
        <v>2.0950137211446997</v>
      </c>
      <c r="AI662" s="160">
        <f>IF($E662="","",MIN(Input!$C$61/AH662,1))</f>
        <v>0.64438718771845094</v>
      </c>
      <c r="AJ662" s="152"/>
      <c r="AK662" s="164">
        <f>IF(AND($C661=12,$D661=Input!$C$6),0,IF($E662="","",IF($B662&gt;Input!$C$9,$AC662*AI662,0)+AK663/(1+$L662)*$R662))</f>
        <v>83731.969818453697</v>
      </c>
      <c r="AL662" s="164">
        <f>IF(AND($C661=12,$D661=Input!$C$6),0,IF($E662="","",IF($B662&gt;Input!$C$9,0,$AC662)+AL663/(1+$L662)*$R662))</f>
        <v>0</v>
      </c>
      <c r="AM662" s="160">
        <f t="shared" si="216"/>
        <v>1.1382936520186004</v>
      </c>
      <c r="AN662" s="164">
        <f>IF($E662="","",IF($B662&gt;Input!$C$9,$AI662*$AC662,$AM662*$AC662))</f>
        <v>0</v>
      </c>
      <c r="AO662" s="164">
        <f>IF(AND($C661=12,$D661=Input!$C$6),0,IF($E662="","",$AN662+AO663/(1+$L662)*$R662))</f>
        <v>83731.969818453697</v>
      </c>
      <c r="AP662" s="152"/>
      <c r="AQ662" s="164">
        <f t="shared" si="217"/>
        <v>-10836.482039938433</v>
      </c>
      <c r="AR662" s="164">
        <f t="shared" si="226"/>
        <v>2674.7858263786511</v>
      </c>
      <c r="AS662" s="164">
        <f t="shared" si="227"/>
        <v>15693.77990430622</v>
      </c>
      <c r="AT662" s="164">
        <f t="shared" si="218"/>
        <v>15693.77990430622</v>
      </c>
      <c r="AU662" s="152"/>
      <c r="AV662" s="147">
        <f>'Deterministic Reserve'!BC662</f>
        <v>1.0516457422673331E-7</v>
      </c>
      <c r="AW662" s="164">
        <f t="shared" si="219"/>
        <v>15693.77990430622</v>
      </c>
      <c r="AX662" s="164">
        <f t="shared" si="220"/>
        <v>1.650429681644427E-3</v>
      </c>
      <c r="AY662" s="152"/>
    </row>
    <row r="663" spans="1:51" s="150" customFormat="1" x14ac:dyDescent="0.25">
      <c r="A663" s="150">
        <f t="shared" si="228"/>
        <v>659</v>
      </c>
      <c r="B663" s="150">
        <f t="shared" si="229"/>
        <v>55</v>
      </c>
      <c r="C663" s="150">
        <f t="shared" si="230"/>
        <v>11</v>
      </c>
      <c r="D663" s="150">
        <f>IF(E663="","",Input!$C$4+B663-1)</f>
        <v>99</v>
      </c>
      <c r="E663" s="150">
        <f>IF(OR(AND(C662=12,D662=Input!$C$6),E662=""),"",1)</f>
        <v>1</v>
      </c>
      <c r="F663" s="150">
        <f>IF(E663="","",Input!$C$8+B663-1)</f>
        <v>2072</v>
      </c>
      <c r="G663" s="151">
        <f>IF(E663="","",MAX(0,Input!$C$9-B663))</f>
        <v>0</v>
      </c>
      <c r="H663" s="152">
        <f>IF(E663="","",Input!$C$3)</f>
        <v>100000</v>
      </c>
      <c r="I663" s="153">
        <f>IF(E663="","",HLOOKUP($B663,Input!$C$13:$BT$14,2))</f>
        <v>803.6</v>
      </c>
      <c r="J663" s="154"/>
      <c r="K663" s="155">
        <f>IF($E663="","",Input!$C$57)</f>
        <v>4.4999999999999998E-2</v>
      </c>
      <c r="L663" s="155">
        <f t="shared" si="221"/>
        <v>3.6748094004368514E-3</v>
      </c>
      <c r="M663" s="147">
        <f>IF($E663="","",VLOOKUP(IF($B663&lt;=Input!$C$7,$B663,26),'Mortality Tables'!$A$72:$CA$97,IF($B663&lt;=Input!$C$7+1,Input!$C$4-16,$D663-Input!$C$7-16),0)/1000)</f>
        <v>0.32800000000000001</v>
      </c>
      <c r="N663" s="147">
        <f t="shared" si="210"/>
        <v>3.2582128356577256E-2</v>
      </c>
      <c r="O663" s="157">
        <f>IF($E663="","",IF($C663=12,IF($B663&lt;Input!$C$9,Input!$C$54,IF($B663=Input!$C$9,Input!$C$55,Input!$C$56)),0%))</f>
        <v>0</v>
      </c>
      <c r="P663" s="167">
        <f>IF($E663="","",IF($B663=1,Input!$C$59,IF($B663&lt;6,Input!$C$60,0%)))</f>
        <v>0</v>
      </c>
      <c r="Q663" s="162">
        <f>IF($E663="","",Input!$C$58)</f>
        <v>2.5</v>
      </c>
      <c r="R663" s="156">
        <f t="shared" si="222"/>
        <v>0.96741787164342274</v>
      </c>
      <c r="S663" s="154">
        <f t="shared" si="211"/>
        <v>3.2315453157573875E-5</v>
      </c>
      <c r="T663" s="152"/>
      <c r="U663" s="150">
        <f t="shared" si="223"/>
        <v>0</v>
      </c>
      <c r="V663" s="150">
        <f t="shared" si="224"/>
        <v>0</v>
      </c>
      <c r="W663" s="168">
        <f t="shared" si="225"/>
        <v>0</v>
      </c>
      <c r="X663" s="163">
        <f t="shared" si="212"/>
        <v>3258.2128356577255</v>
      </c>
      <c r="Y663" s="152"/>
      <c r="Z663" s="164">
        <f>IF(AND($C662=12,$D662=Input!$C$6),0,IF($E663="","",V663+Z664/(1+L663)*R663))</f>
        <v>163263.97003030693</v>
      </c>
      <c r="AA663" s="164">
        <f>IF(OR($M663=1,AND($C662=12,$D662=Input!$C$6)),0,IF($E663="","",W663+(X663+AA664*$R663)/(1+$L663)))</f>
        <v>72259.520953280007</v>
      </c>
      <c r="AB663" s="160">
        <f t="shared" si="213"/>
        <v>0.825720328500681</v>
      </c>
      <c r="AC663" s="164">
        <f t="shared" si="214"/>
        <v>0</v>
      </c>
      <c r="AD663" s="164">
        <f>IF(AND($C662=12,$D662=Input!$C$6),0,IF($E663="","",$AC663+AD664/(1+$L663)*$R663))</f>
        <v>134810.37896575039</v>
      </c>
      <c r="AE663" s="152"/>
      <c r="AF663" s="164">
        <f>IF(AND($C662=12,$D662=Input!$C$6),0,IF($E663="","",IF($B663&gt;Input!$C$9,$AC663,0)+AF664/(1+$L663)*$R663))</f>
        <v>134810.37896575039</v>
      </c>
      <c r="AG663" s="164">
        <f>IF(AND($C662=12,$D662=Input!$C$6),0,IF($E663="","",(IF($B663&gt;Input!$C$9,$X663,0)+AG664)/(1+$L663)*$R663))</f>
        <v>68745.561721627819</v>
      </c>
      <c r="AH663" s="160">
        <f t="shared" si="215"/>
        <v>2.0950137211446997</v>
      </c>
      <c r="AI663" s="160">
        <f>IF($E663="","",MIN(Input!$C$61/AH663,1))</f>
        <v>0.64438718771845094</v>
      </c>
      <c r="AJ663" s="152"/>
      <c r="AK663" s="164">
        <f>IF(AND($C662=12,$D662=Input!$C$6),0,IF($E663="","",IF($B663&gt;Input!$C$9,$AC663*AI663,0)+AK664/(1+$L663)*$R663))</f>
        <v>86870.080976998477</v>
      </c>
      <c r="AL663" s="164">
        <f>IF(AND($C662=12,$D662=Input!$C$6),0,IF($E663="","",IF($B663&gt;Input!$C$9,0,$AC663)+AL664/(1+$L663)*$R663))</f>
        <v>0</v>
      </c>
      <c r="AM663" s="160">
        <f t="shared" si="216"/>
        <v>1.1382936520186004</v>
      </c>
      <c r="AN663" s="164">
        <f>IF($E663="","",IF($B663&gt;Input!$C$9,$AI663*$AC663,$AM663*$AC663))</f>
        <v>0</v>
      </c>
      <c r="AO663" s="164">
        <f>IF(AND($C662=12,$D662=Input!$C$6),0,IF($E663="","",$AN663+AO664/(1+$L663)*$R663))</f>
        <v>86870.080976998477</v>
      </c>
      <c r="AP663" s="152"/>
      <c r="AQ663" s="164">
        <f t="shared" si="217"/>
        <v>-14610.56002371847</v>
      </c>
      <c r="AR663" s="164">
        <f t="shared" si="226"/>
        <v>2674.7858263786511</v>
      </c>
      <c r="AS663" s="164">
        <f t="shared" si="227"/>
        <v>15693.77990430622</v>
      </c>
      <c r="AT663" s="164">
        <f t="shared" si="218"/>
        <v>15693.77990430622</v>
      </c>
      <c r="AU663" s="152"/>
      <c r="AV663" s="147">
        <f>'Deterministic Reserve'!BC663</f>
        <v>9.543311311721163E-8</v>
      </c>
      <c r="AW663" s="164">
        <f t="shared" si="219"/>
        <v>15693.77990430622</v>
      </c>
      <c r="AX663" s="164">
        <f t="shared" si="220"/>
        <v>1.4977062728442783E-3</v>
      </c>
      <c r="AY663" s="152"/>
    </row>
    <row r="664" spans="1:51" s="150" customFormat="1" x14ac:dyDescent="0.25">
      <c r="A664" s="150">
        <f t="shared" si="228"/>
        <v>660</v>
      </c>
      <c r="B664" s="150">
        <f t="shared" si="229"/>
        <v>55</v>
      </c>
      <c r="C664" s="150">
        <f t="shared" si="230"/>
        <v>12</v>
      </c>
      <c r="D664" s="150">
        <f>IF(E664="","",Input!$C$4+B664-1)</f>
        <v>99</v>
      </c>
      <c r="E664" s="150">
        <f>IF(OR(AND(C663=12,D663=Input!$C$6),E663=""),"",1)</f>
        <v>1</v>
      </c>
      <c r="F664" s="150">
        <f>IF(E664="","",Input!$C$8+B664-1)</f>
        <v>2072</v>
      </c>
      <c r="G664" s="151">
        <f>IF(E664="","",MAX(0,Input!$C$9-B664))</f>
        <v>0</v>
      </c>
      <c r="H664" s="152">
        <f>IF(E664="","",Input!$C$3)</f>
        <v>100000</v>
      </c>
      <c r="I664" s="153">
        <f>IF(E664="","",HLOOKUP($B664,Input!$C$13:$BT$14,2))</f>
        <v>803.6</v>
      </c>
      <c r="J664" s="154"/>
      <c r="K664" s="155">
        <f>IF($E664="","",Input!$C$57)</f>
        <v>4.4999999999999998E-2</v>
      </c>
      <c r="L664" s="155">
        <f t="shared" si="221"/>
        <v>3.6748094004368514E-3</v>
      </c>
      <c r="M664" s="147">
        <f>IF($E664="","",VLOOKUP(IF($B664&lt;=Input!$C$7,$B664,26),'Mortality Tables'!$A$72:$CA$97,IF($B664&lt;=Input!$C$7+1,Input!$C$4-16,$D664-Input!$C$7-16),0)/1000)</f>
        <v>0.32800000000000001</v>
      </c>
      <c r="N664" s="147">
        <f t="shared" si="210"/>
        <v>3.2582128356577256E-2</v>
      </c>
      <c r="O664" s="157">
        <f>IF($E664="","",IF($C664=12,IF($B664&lt;Input!$C$9,Input!$C$54,IF($B664=Input!$C$9,Input!$C$55,Input!$C$56)),0%))</f>
        <v>0.1</v>
      </c>
      <c r="P664" s="167">
        <f>IF($E664="","",IF($B664=1,Input!$C$59,IF($B664&lt;6,Input!$C$60,0%)))</f>
        <v>0</v>
      </c>
      <c r="Q664" s="162">
        <f>IF($E664="","",Input!$C$58)</f>
        <v>2.5</v>
      </c>
      <c r="R664" s="156">
        <f t="shared" si="222"/>
        <v>0.86741787164342277</v>
      </c>
      <c r="S664" s="154">
        <f t="shared" si="211"/>
        <v>2.8031001599135456E-5</v>
      </c>
      <c r="T664" s="152"/>
      <c r="U664" s="150">
        <f t="shared" si="223"/>
        <v>0</v>
      </c>
      <c r="V664" s="150">
        <f t="shared" si="224"/>
        <v>0</v>
      </c>
      <c r="W664" s="168">
        <f t="shared" si="225"/>
        <v>0</v>
      </c>
      <c r="X664" s="163">
        <f t="shared" si="212"/>
        <v>3258.2128356577255</v>
      </c>
      <c r="Y664" s="152"/>
      <c r="Z664" s="164">
        <f>IF(AND($C663=12,$D663=Input!$C$6),0,IF($E664="","",V664+Z665/(1+L664)*R664))</f>
        <v>169382.78566609422</v>
      </c>
      <c r="AA664" s="164">
        <f>IF(OR($M664=1,AND($C663=12,$D663=Input!$C$6)),0,IF($E664="","",W664+(X664+AA665*$R664)/(1+$L664)))</f>
        <v>71599.71932999733</v>
      </c>
      <c r="AB664" s="160">
        <f t="shared" si="213"/>
        <v>0.825720328500681</v>
      </c>
      <c r="AC664" s="164">
        <f t="shared" si="214"/>
        <v>0</v>
      </c>
      <c r="AD664" s="164">
        <f>IF(AND($C663=12,$D663=Input!$C$6),0,IF($E664="","",$AC664+AD665/(1+$L664)*$R664))</f>
        <v>139862.80942256778</v>
      </c>
      <c r="AE664" s="152"/>
      <c r="AF664" s="164">
        <f>IF(AND($C663=12,$D663=Input!$C$6),0,IF($E664="","",IF($B664&gt;Input!$C$9,$AC664,0)+AF665/(1+$L664)*$R664))</f>
        <v>139862.80942256778</v>
      </c>
      <c r="AG664" s="164">
        <f>IF(AND($C663=12,$D663=Input!$C$6),0,IF($E664="","",(IF($B664&gt;Input!$C$9,$X664,0)+AG665)/(1+$L664)*$R664))</f>
        <v>68063.79865547645</v>
      </c>
      <c r="AH664" s="160">
        <f t="shared" si="215"/>
        <v>2.0950137211446997</v>
      </c>
      <c r="AI664" s="160">
        <f>IF($E664="","",MIN(Input!$C$61/AH664,1))</f>
        <v>0.64438718771845094</v>
      </c>
      <c r="AJ664" s="152"/>
      <c r="AK664" s="164">
        <f>IF(AND($C663=12,$D663=Input!$C$6),0,IF($E664="","",IF($B664&gt;Input!$C$9,$AC664*AI664,0)+AK665/(1+$L664)*$R664))</f>
        <v>90125.802430210082</v>
      </c>
      <c r="AL664" s="164">
        <f>IF(AND($C663=12,$D663=Input!$C$6),0,IF($E664="","",IF($B664&gt;Input!$C$9,0,$AC664)+AL665/(1+$L664)*$R664))</f>
        <v>0</v>
      </c>
      <c r="AM664" s="160">
        <f t="shared" si="216"/>
        <v>1.1382936520186004</v>
      </c>
      <c r="AN664" s="164">
        <f>IF($E664="","",IF($B664&gt;Input!$C$9,$AI664*$AC664,$AM664*$AC664))</f>
        <v>0</v>
      </c>
      <c r="AO664" s="164">
        <f>IF(AND($C663=12,$D663=Input!$C$6),0,IF($E664="","",$AN664+AO665/(1+$L664)*$R664))</f>
        <v>90125.802430210082</v>
      </c>
      <c r="AP664" s="152"/>
      <c r="AQ664" s="164">
        <f t="shared" si="217"/>
        <v>-18526.083100212752</v>
      </c>
      <c r="AR664" s="164">
        <f t="shared" si="226"/>
        <v>2674.7858263786511</v>
      </c>
      <c r="AS664" s="164">
        <f t="shared" si="227"/>
        <v>15693.77990430622</v>
      </c>
      <c r="AT664" s="164">
        <f t="shared" si="218"/>
        <v>15693.77990430622</v>
      </c>
      <c r="AU664" s="152"/>
      <c r="AV664" s="147">
        <f>'Deterministic Reserve'!BC664</f>
        <v>7.7058846745866905E-8</v>
      </c>
      <c r="AW664" s="164">
        <f t="shared" si="219"/>
        <v>15693.77990430622</v>
      </c>
      <c r="AX664" s="164">
        <f t="shared" si="220"/>
        <v>1.2093445805092988E-3</v>
      </c>
      <c r="AY664" s="152"/>
    </row>
    <row r="665" spans="1:51" s="150" customFormat="1" x14ac:dyDescent="0.25">
      <c r="A665" s="150">
        <f t="shared" si="228"/>
        <v>661</v>
      </c>
      <c r="B665" s="150">
        <f t="shared" si="229"/>
        <v>56</v>
      </c>
      <c r="C665" s="150">
        <f t="shared" si="230"/>
        <v>1</v>
      </c>
      <c r="D665" s="150">
        <f>IF(E665="","",Input!$C$4+B665-1)</f>
        <v>100</v>
      </c>
      <c r="E665" s="150">
        <f>IF(OR(AND(C664=12,D664=Input!$C$6),E664=""),"",1)</f>
        <v>1</v>
      </c>
      <c r="F665" s="150">
        <f>IF(E665="","",Input!$C$8+B665-1)</f>
        <v>2073</v>
      </c>
      <c r="G665" s="151">
        <f>IF(E665="","",MAX(0,Input!$C$9-B665))</f>
        <v>0</v>
      </c>
      <c r="H665" s="152">
        <f>IF(E665="","",Input!$C$3)</f>
        <v>100000</v>
      </c>
      <c r="I665" s="153">
        <f>IF(E665="","",HLOOKUP($B665,Input!$C$13:$BT$14,2))</f>
        <v>862.62049999999999</v>
      </c>
      <c r="J665" s="154"/>
      <c r="K665" s="155">
        <f>IF($E665="","",Input!$C$57)</f>
        <v>4.4999999999999998E-2</v>
      </c>
      <c r="L665" s="155">
        <f t="shared" si="221"/>
        <v>3.6748094004368514E-3</v>
      </c>
      <c r="M665" s="147">
        <f>IF($E665="","",VLOOKUP(IF($B665&lt;=Input!$C$7,$B665,26),'Mortality Tables'!$A$72:$CA$97,IF($B665&lt;=Input!$C$7+1,Input!$C$4-16,$D665-Input!$C$7-16),0)/1000)</f>
        <v>0.35208999999999996</v>
      </c>
      <c r="N665" s="147">
        <f t="shared" si="210"/>
        <v>3.5520746294722017E-2</v>
      </c>
      <c r="O665" s="157">
        <f>IF($E665="","",IF($C665=12,IF($B665&lt;Input!$C$9,Input!$C$54,IF($B665=Input!$C$9,Input!$C$55,Input!$C$56)),0%))</f>
        <v>0</v>
      </c>
      <c r="P665" s="167">
        <f>IF($E665="","",IF($B665=1,Input!$C$59,IF($B665&lt;6,Input!$C$60,0%)))</f>
        <v>0</v>
      </c>
      <c r="Q665" s="162">
        <f>IF($E665="","",Input!$C$58)</f>
        <v>2.5</v>
      </c>
      <c r="R665" s="156">
        <f t="shared" si="222"/>
        <v>0.96447925370527798</v>
      </c>
      <c r="S665" s="154">
        <f t="shared" si="211"/>
        <v>2.703531950294562E-5</v>
      </c>
      <c r="T665" s="152"/>
      <c r="U665" s="150">
        <f t="shared" si="223"/>
        <v>86262.05</v>
      </c>
      <c r="V665" s="150">
        <f t="shared" si="224"/>
        <v>86262.05</v>
      </c>
      <c r="W665" s="168">
        <f t="shared" si="225"/>
        <v>0</v>
      </c>
      <c r="X665" s="163">
        <f t="shared" si="212"/>
        <v>3552.0746294722017</v>
      </c>
      <c r="Y665" s="152"/>
      <c r="Z665" s="164">
        <f>IF(AND($C664=12,$D664=Input!$C$6),0,IF($E665="","",V665+Z666/(1+L665)*R665))</f>
        <v>195990.00744247722</v>
      </c>
      <c r="AA665" s="164">
        <f>IF(OR($M665=1,AND($C664=12,$D664=Input!$C$6)),0,IF($E665="","",W665+(X665+AA666*$R665)/(1+$L665)))</f>
        <v>79090.625243889401</v>
      </c>
      <c r="AB665" s="160">
        <f t="shared" si="213"/>
        <v>0.825720328500681</v>
      </c>
      <c r="AC665" s="164">
        <f t="shared" si="214"/>
        <v>71228.328263142175</v>
      </c>
      <c r="AD665" s="164">
        <f>IF(AND($C664=12,$D664=Input!$C$6),0,IF($E665="","",$AC665+AD666/(1+$L665)*$R665))</f>
        <v>161832.93332825319</v>
      </c>
      <c r="AE665" s="152"/>
      <c r="AF665" s="164">
        <f>IF(AND($C664=12,$D664=Input!$C$6),0,IF($E665="","",IF($B665&gt;Input!$C$9,$AC665,0)+AF666/(1+$L665)*$R665))</f>
        <v>161832.93332825319</v>
      </c>
      <c r="AG665" s="164">
        <f>IF(AND($C664=12,$D664=Input!$C$6),0,IF($E665="","",(IF($B665&gt;Input!$C$9,$X665,0)+AG666)/(1+$L665)*$R665))</f>
        <v>75497.277886681753</v>
      </c>
      <c r="AH665" s="160">
        <f t="shared" si="215"/>
        <v>2.0950137211446997</v>
      </c>
      <c r="AI665" s="160">
        <f>IF($E665="","",MIN(Input!$C$61/AH665,1))</f>
        <v>0.64438718771845094</v>
      </c>
      <c r="AJ665" s="152"/>
      <c r="AK665" s="164">
        <f>IF(AND($C664=12,$D664=Input!$C$6),0,IF($E665="","",IF($B665&gt;Input!$C$9,$AC665*AI665,0)+AK666/(1+$L665)*$R665))</f>
        <v>104283.06878762064</v>
      </c>
      <c r="AL665" s="164">
        <f>IF(AND($C664=12,$D664=Input!$C$6),0,IF($E665="","",IF($B665&gt;Input!$C$9,0,$AC665)+AL666/(1+$L665)*$R665))</f>
        <v>0</v>
      </c>
      <c r="AM665" s="160">
        <f t="shared" si="216"/>
        <v>1.1382936520186004</v>
      </c>
      <c r="AN665" s="164">
        <f>IF($E665="","",IF($B665&gt;Input!$C$9,$AI665*$AC665,$AM665*$AC665))</f>
        <v>45898.62213537284</v>
      </c>
      <c r="AO665" s="164">
        <f>IF(AND($C664=12,$D664=Input!$C$6),0,IF($E665="","",$AN665+AO666/(1+$L665)*$R665))</f>
        <v>104283.06878762064</v>
      </c>
      <c r="AP665" s="152"/>
      <c r="AQ665" s="164">
        <f t="shared" si="217"/>
        <v>-25192.443543731235</v>
      </c>
      <c r="AR665" s="164">
        <f t="shared" si="226"/>
        <v>4815.6125103382983</v>
      </c>
      <c r="AS665" s="164">
        <f t="shared" si="227"/>
        <v>16846.411483253585</v>
      </c>
      <c r="AT665" s="164">
        <f t="shared" si="218"/>
        <v>16846.411483253585</v>
      </c>
      <c r="AU665" s="152"/>
      <c r="AV665" s="147">
        <f>'Deterministic Reserve'!BC665</f>
        <v>6.8971710918328343E-8</v>
      </c>
      <c r="AW665" s="164">
        <f t="shared" si="219"/>
        <v>16846.411483253585</v>
      </c>
      <c r="AX665" s="164">
        <f t="shared" si="220"/>
        <v>1.1619258228341733E-3</v>
      </c>
      <c r="AY665" s="152"/>
    </row>
    <row r="666" spans="1:51" s="150" customFormat="1" x14ac:dyDescent="0.25">
      <c r="A666" s="150">
        <f t="shared" si="228"/>
        <v>662</v>
      </c>
      <c r="B666" s="150">
        <f t="shared" si="229"/>
        <v>56</v>
      </c>
      <c r="C666" s="150">
        <f t="shared" si="230"/>
        <v>2</v>
      </c>
      <c r="D666" s="150">
        <f>IF(E666="","",Input!$C$4+B666-1)</f>
        <v>100</v>
      </c>
      <c r="E666" s="150">
        <f>IF(OR(AND(C665=12,D665=Input!$C$6),E665=""),"",1)</f>
        <v>1</v>
      </c>
      <c r="F666" s="150">
        <f>IF(E666="","",Input!$C$8+B666-1)</f>
        <v>2073</v>
      </c>
      <c r="G666" s="151">
        <f>IF(E666="","",MAX(0,Input!$C$9-B666))</f>
        <v>0</v>
      </c>
      <c r="H666" s="152">
        <f>IF(E666="","",Input!$C$3)</f>
        <v>100000</v>
      </c>
      <c r="I666" s="153">
        <f>IF(E666="","",HLOOKUP($B666,Input!$C$13:$BT$14,2))</f>
        <v>862.62049999999999</v>
      </c>
      <c r="J666" s="154"/>
      <c r="K666" s="155">
        <f>IF($E666="","",Input!$C$57)</f>
        <v>4.4999999999999998E-2</v>
      </c>
      <c r="L666" s="155">
        <f t="shared" si="221"/>
        <v>3.6748094004368514E-3</v>
      </c>
      <c r="M666" s="147">
        <f>IF($E666="","",VLOOKUP(IF($B666&lt;=Input!$C$7,$B666,26),'Mortality Tables'!$A$72:$CA$97,IF($B666&lt;=Input!$C$7+1,Input!$C$4-16,$D666-Input!$C$7-16),0)/1000)</f>
        <v>0.35208999999999996</v>
      </c>
      <c r="N666" s="147">
        <f t="shared" si="210"/>
        <v>3.5520746294722017E-2</v>
      </c>
      <c r="O666" s="157">
        <f>IF($E666="","",IF($C666=12,IF($B666&lt;Input!$C$9,Input!$C$54,IF($B666=Input!$C$9,Input!$C$55,Input!$C$56)),0%))</f>
        <v>0</v>
      </c>
      <c r="P666" s="167">
        <f>IF($E666="","",IF($B666=1,Input!$C$59,IF($B666&lt;6,Input!$C$60,0%)))</f>
        <v>0</v>
      </c>
      <c r="Q666" s="162">
        <f>IF($E666="","",Input!$C$58)</f>
        <v>2.5</v>
      </c>
      <c r="R666" s="156">
        <f t="shared" si="222"/>
        <v>0.96447925370527798</v>
      </c>
      <c r="S666" s="154">
        <f t="shared" si="211"/>
        <v>2.607500477788474E-5</v>
      </c>
      <c r="T666" s="152"/>
      <c r="U666" s="150">
        <f t="shared" si="223"/>
        <v>0</v>
      </c>
      <c r="V666" s="150">
        <f t="shared" si="224"/>
        <v>0</v>
      </c>
      <c r="W666" s="168">
        <f t="shared" si="225"/>
        <v>0</v>
      </c>
      <c r="X666" s="163">
        <f t="shared" si="212"/>
        <v>3552.0746294722017</v>
      </c>
      <c r="Y666" s="152"/>
      <c r="Z666" s="164">
        <f>IF(AND($C665=12,$D665=Input!$C$6),0,IF($E666="","",V666+Z667/(1+L666)*R666))</f>
        <v>114187.20138238561</v>
      </c>
      <c r="AA666" s="164">
        <f>IF(OR($M666=1,AND($C665=12,$D665=Input!$C$6)),0,IF($E666="","",W666+(X666+AA667*$R666)/(1+$L666)))</f>
        <v>78621.902229865358</v>
      </c>
      <c r="AB666" s="160">
        <f t="shared" si="213"/>
        <v>0.825720328500681</v>
      </c>
      <c r="AC666" s="164">
        <f t="shared" si="214"/>
        <v>0</v>
      </c>
      <c r="AD666" s="164">
        <f>IF(AND($C665=12,$D665=Input!$C$6),0,IF($E666="","",$AC666+AD667/(1+$L666)*$R666))</f>
        <v>94286.693436036847</v>
      </c>
      <c r="AE666" s="152"/>
      <c r="AF666" s="164">
        <f>IF(AND($C665=12,$D665=Input!$C$6),0,IF($E666="","",IF($B666&gt;Input!$C$9,$AC666,0)+AF667/(1+$L666)*$R666))</f>
        <v>94286.693436036847</v>
      </c>
      <c r="AG666" s="164">
        <f>IF(AND($C665=12,$D665=Input!$C$6),0,IF($E666="","",(IF($B666&gt;Input!$C$9,$X666,0)+AG667)/(1+$L666)*$R666))</f>
        <v>75013.343654083816</v>
      </c>
      <c r="AH666" s="160">
        <f t="shared" si="215"/>
        <v>2.0950137211446997</v>
      </c>
      <c r="AI666" s="160">
        <f>IF($E666="","",MIN(Input!$C$61/AH666,1))</f>
        <v>0.64438718771845094</v>
      </c>
      <c r="AJ666" s="152"/>
      <c r="AK666" s="164">
        <f>IF(AND($C665=12,$D665=Input!$C$6),0,IF($E666="","",IF($B666&gt;Input!$C$9,$AC666*AI666,0)+AK667/(1+$L666)*$R666))</f>
        <v>60757.137222519508</v>
      </c>
      <c r="AL666" s="164">
        <f>IF(AND($C665=12,$D665=Input!$C$6),0,IF($E666="","",IF($B666&gt;Input!$C$9,0,$AC666)+AL667/(1+$L666)*$R666))</f>
        <v>0</v>
      </c>
      <c r="AM666" s="160">
        <f t="shared" si="216"/>
        <v>1.1382936520186004</v>
      </c>
      <c r="AN666" s="164">
        <f>IF($E666="","",IF($B666&gt;Input!$C$9,$AI666*$AC666,$AM666*$AC666))</f>
        <v>0</v>
      </c>
      <c r="AO666" s="164">
        <f>IF(AND($C665=12,$D665=Input!$C$6),0,IF($E666="","",$AN666+AO667/(1+$L666)*$R666))</f>
        <v>60757.137222519508</v>
      </c>
      <c r="AP666" s="152"/>
      <c r="AQ666" s="164">
        <f t="shared" si="217"/>
        <v>17864.76500734585</v>
      </c>
      <c r="AR666" s="164">
        <f t="shared" si="226"/>
        <v>4815.6125103382983</v>
      </c>
      <c r="AS666" s="164">
        <f t="shared" si="227"/>
        <v>16846.411483253585</v>
      </c>
      <c r="AT666" s="164">
        <f t="shared" si="218"/>
        <v>16846.411483253585</v>
      </c>
      <c r="AU666" s="152"/>
      <c r="AV666" s="147">
        <f>'Deterministic Reserve'!BC666</f>
        <v>6.1733300041329812E-8</v>
      </c>
      <c r="AW666" s="164">
        <f t="shared" si="219"/>
        <v>16846.411483253585</v>
      </c>
      <c r="AX666" s="164">
        <f t="shared" si="220"/>
        <v>1.0399845747153975E-3</v>
      </c>
      <c r="AY666" s="152"/>
    </row>
    <row r="667" spans="1:51" s="150" customFormat="1" x14ac:dyDescent="0.25">
      <c r="A667" s="150">
        <f t="shared" si="228"/>
        <v>663</v>
      </c>
      <c r="B667" s="150">
        <f t="shared" si="229"/>
        <v>56</v>
      </c>
      <c r="C667" s="150">
        <f t="shared" si="230"/>
        <v>3</v>
      </c>
      <c r="D667" s="150">
        <f>IF(E667="","",Input!$C$4+B667-1)</f>
        <v>100</v>
      </c>
      <c r="E667" s="150">
        <f>IF(OR(AND(C666=12,D666=Input!$C$6),E666=""),"",1)</f>
        <v>1</v>
      </c>
      <c r="F667" s="150">
        <f>IF(E667="","",Input!$C$8+B667-1)</f>
        <v>2073</v>
      </c>
      <c r="G667" s="151">
        <f>IF(E667="","",MAX(0,Input!$C$9-B667))</f>
        <v>0</v>
      </c>
      <c r="H667" s="152">
        <f>IF(E667="","",Input!$C$3)</f>
        <v>100000</v>
      </c>
      <c r="I667" s="153">
        <f>IF(E667="","",HLOOKUP($B667,Input!$C$13:$BT$14,2))</f>
        <v>862.62049999999999</v>
      </c>
      <c r="J667" s="154"/>
      <c r="K667" s="155">
        <f>IF($E667="","",Input!$C$57)</f>
        <v>4.4999999999999998E-2</v>
      </c>
      <c r="L667" s="155">
        <f t="shared" si="221"/>
        <v>3.6748094004368514E-3</v>
      </c>
      <c r="M667" s="147">
        <f>IF($E667="","",VLOOKUP(IF($B667&lt;=Input!$C$7,$B667,26),'Mortality Tables'!$A$72:$CA$97,IF($B667&lt;=Input!$C$7+1,Input!$C$4-16,$D667-Input!$C$7-16),0)/1000)</f>
        <v>0.35208999999999996</v>
      </c>
      <c r="N667" s="147">
        <f t="shared" si="210"/>
        <v>3.5520746294722017E-2</v>
      </c>
      <c r="O667" s="157">
        <f>IF($E667="","",IF($C667=12,IF($B667&lt;Input!$C$9,Input!$C$54,IF($B667=Input!$C$9,Input!$C$55,Input!$C$56)),0%))</f>
        <v>0</v>
      </c>
      <c r="P667" s="167">
        <f>IF($E667="","",IF($B667=1,Input!$C$59,IF($B667&lt;6,Input!$C$60,0%)))</f>
        <v>0</v>
      </c>
      <c r="Q667" s="162">
        <f>IF($E667="","",Input!$C$58)</f>
        <v>2.5</v>
      </c>
      <c r="R667" s="156">
        <f t="shared" si="222"/>
        <v>0.96447925370527798</v>
      </c>
      <c r="S667" s="154">
        <f t="shared" si="211"/>
        <v>2.5148801148535831E-5</v>
      </c>
      <c r="T667" s="152"/>
      <c r="U667" s="150">
        <f t="shared" si="223"/>
        <v>0</v>
      </c>
      <c r="V667" s="150">
        <f t="shared" si="224"/>
        <v>0</v>
      </c>
      <c r="W667" s="168">
        <f t="shared" si="225"/>
        <v>0</v>
      </c>
      <c r="X667" s="163">
        <f t="shared" si="212"/>
        <v>3552.0746294722017</v>
      </c>
      <c r="Y667" s="152"/>
      <c r="Z667" s="164">
        <f>IF(AND($C666=12,$D666=Input!$C$6),0,IF($E667="","",V667+Z668/(1+L667)*R667))</f>
        <v>118827.66492192098</v>
      </c>
      <c r="AA667" s="164">
        <f>IF(OR($M667=1,AND($C666=12,$D666=Input!$C$6)),0,IF($E667="","",W667+(X667+AA668*$R667)/(1+$L667)))</f>
        <v>78134.130740789929</v>
      </c>
      <c r="AB667" s="160">
        <f t="shared" si="213"/>
        <v>0.825720328500681</v>
      </c>
      <c r="AC667" s="164">
        <f t="shared" si="214"/>
        <v>0</v>
      </c>
      <c r="AD667" s="164">
        <f>IF(AND($C666=12,$D666=Input!$C$6),0,IF($E667="","",$AC667+AD668/(1+$L667)*$R667))</f>
        <v>98118.418514297417</v>
      </c>
      <c r="AE667" s="152"/>
      <c r="AF667" s="164">
        <f>IF(AND($C666=12,$D666=Input!$C$6),0,IF($E667="","",IF($B667&gt;Input!$C$9,$AC667,0)+AF668/(1+$L667)*$R667))</f>
        <v>98118.418514297417</v>
      </c>
      <c r="AG667" s="164">
        <f>IF(AND($C666=12,$D666=Input!$C$6),0,IF($E667="","",(IF($B667&gt;Input!$C$9,$X667,0)+AG668)/(1+$L667)*$R667))</f>
        <v>74509.742776409068</v>
      </c>
      <c r="AH667" s="160">
        <f t="shared" si="215"/>
        <v>2.0950137211446997</v>
      </c>
      <c r="AI667" s="160">
        <f>IF($E667="","",MIN(Input!$C$61/AH667,1))</f>
        <v>0.64438718771845094</v>
      </c>
      <c r="AJ667" s="152"/>
      <c r="AK667" s="164">
        <f>IF(AND($C666=12,$D666=Input!$C$6),0,IF($E667="","",IF($B667&gt;Input!$C$9,$AC667*AI667,0)+AK668/(1+$L667)*$R667))</f>
        <v>63226.2517698101</v>
      </c>
      <c r="AL667" s="164">
        <f>IF(AND($C666=12,$D666=Input!$C$6),0,IF($E667="","",IF($B667&gt;Input!$C$9,0,$AC667)+AL668/(1+$L667)*$R667))</f>
        <v>0</v>
      </c>
      <c r="AM667" s="160">
        <f t="shared" si="216"/>
        <v>1.1382936520186004</v>
      </c>
      <c r="AN667" s="164">
        <f>IF($E667="","",IF($B667&gt;Input!$C$9,$AI667*$AC667,$AM667*$AC667))</f>
        <v>0</v>
      </c>
      <c r="AO667" s="164">
        <f>IF(AND($C666=12,$D666=Input!$C$6),0,IF($E667="","",$AN667+AO668/(1+$L667)*$R667))</f>
        <v>63226.2517698101</v>
      </c>
      <c r="AP667" s="152"/>
      <c r="AQ667" s="164">
        <f t="shared" si="217"/>
        <v>14907.878970979829</v>
      </c>
      <c r="AR667" s="164">
        <f t="shared" si="226"/>
        <v>4815.6125103382983</v>
      </c>
      <c r="AS667" s="164">
        <f t="shared" si="227"/>
        <v>16846.411483253585</v>
      </c>
      <c r="AT667" s="164">
        <f t="shared" si="218"/>
        <v>16846.411483253585</v>
      </c>
      <c r="AU667" s="152"/>
      <c r="AV667" s="147">
        <f>'Deterministic Reserve'!BC667</f>
        <v>5.5254542525493987E-8</v>
      </c>
      <c r="AW667" s="164">
        <f t="shared" si="219"/>
        <v>16846.411483253585</v>
      </c>
      <c r="AX667" s="164">
        <f t="shared" si="220"/>
        <v>9.3084075970340549E-4</v>
      </c>
      <c r="AY667" s="152"/>
    </row>
    <row r="668" spans="1:51" s="150" customFormat="1" x14ac:dyDescent="0.25">
      <c r="A668" s="150">
        <f t="shared" si="228"/>
        <v>664</v>
      </c>
      <c r="B668" s="150">
        <f t="shared" si="229"/>
        <v>56</v>
      </c>
      <c r="C668" s="150">
        <f t="shared" si="230"/>
        <v>4</v>
      </c>
      <c r="D668" s="150">
        <f>IF(E668="","",Input!$C$4+B668-1)</f>
        <v>100</v>
      </c>
      <c r="E668" s="150">
        <f>IF(OR(AND(C667=12,D667=Input!$C$6),E667=""),"",1)</f>
        <v>1</v>
      </c>
      <c r="F668" s="150">
        <f>IF(E668="","",Input!$C$8+B668-1)</f>
        <v>2073</v>
      </c>
      <c r="G668" s="151">
        <f>IF(E668="","",MAX(0,Input!$C$9-B668))</f>
        <v>0</v>
      </c>
      <c r="H668" s="152">
        <f>IF(E668="","",Input!$C$3)</f>
        <v>100000</v>
      </c>
      <c r="I668" s="153">
        <f>IF(E668="","",HLOOKUP($B668,Input!$C$13:$BT$14,2))</f>
        <v>862.62049999999999</v>
      </c>
      <c r="J668" s="154"/>
      <c r="K668" s="155">
        <f>IF($E668="","",Input!$C$57)</f>
        <v>4.4999999999999998E-2</v>
      </c>
      <c r="L668" s="155">
        <f t="shared" si="221"/>
        <v>3.6748094004368514E-3</v>
      </c>
      <c r="M668" s="147">
        <f>IF($E668="","",VLOOKUP(IF($B668&lt;=Input!$C$7,$B668,26),'Mortality Tables'!$A$72:$CA$97,IF($B668&lt;=Input!$C$7+1,Input!$C$4-16,$D668-Input!$C$7-16),0)/1000)</f>
        <v>0.35208999999999996</v>
      </c>
      <c r="N668" s="147">
        <f t="shared" si="210"/>
        <v>3.5520746294722017E-2</v>
      </c>
      <c r="O668" s="157">
        <f>IF($E668="","",IF($C668=12,IF($B668&lt;Input!$C$9,Input!$C$54,IF($B668=Input!$C$9,Input!$C$55,Input!$C$56)),0%))</f>
        <v>0</v>
      </c>
      <c r="P668" s="167">
        <f>IF($E668="","",IF($B668=1,Input!$C$59,IF($B668&lt;6,Input!$C$60,0%)))</f>
        <v>0</v>
      </c>
      <c r="Q668" s="162">
        <f>IF($E668="","",Input!$C$58)</f>
        <v>2.5</v>
      </c>
      <c r="R668" s="156">
        <f t="shared" si="222"/>
        <v>0.96447925370527798</v>
      </c>
      <c r="S668" s="154">
        <f t="shared" si="211"/>
        <v>2.4255496963322278E-5</v>
      </c>
      <c r="T668" s="152"/>
      <c r="U668" s="150">
        <f t="shared" si="223"/>
        <v>0</v>
      </c>
      <c r="V668" s="150">
        <f t="shared" si="224"/>
        <v>0</v>
      </c>
      <c r="W668" s="168">
        <f t="shared" si="225"/>
        <v>0</v>
      </c>
      <c r="X668" s="163">
        <f t="shared" si="212"/>
        <v>3552.0746294722017</v>
      </c>
      <c r="Y668" s="152"/>
      <c r="Z668" s="164">
        <f>IF(AND($C667=12,$D667=Input!$C$6),0,IF($E668="","",V668+Z669/(1+L668)*R668))</f>
        <v>123656.71266004481</v>
      </c>
      <c r="AA668" s="164">
        <f>IF(OR($M668=1,AND($C667=12,$D667=Input!$C$6)),0,IF($E668="","",W668+(X668+AA669*$R668)/(1+$L668)))</f>
        <v>77626.536664040264</v>
      </c>
      <c r="AB668" s="160">
        <f t="shared" si="213"/>
        <v>0.825720328500681</v>
      </c>
      <c r="AC668" s="164">
        <f t="shared" si="214"/>
        <v>0</v>
      </c>
      <c r="AD668" s="164">
        <f>IF(AND($C667=12,$D667=Input!$C$6),0,IF($E668="","",$AC668+AD669/(1+$L668)*$R668))</f>
        <v>102105.86139896649</v>
      </c>
      <c r="AE668" s="152"/>
      <c r="AF668" s="164">
        <f>IF(AND($C667=12,$D667=Input!$C$6),0,IF($E668="","",IF($B668&gt;Input!$C$9,$AC668,0)+AF669/(1+$L668)*$R668))</f>
        <v>102105.86139896649</v>
      </c>
      <c r="AG668" s="164">
        <f>IF(AND($C667=12,$D667=Input!$C$6),0,IF($E668="","",(IF($B668&gt;Input!$C$9,$X668,0)+AG669)/(1+$L668)*$R668))</f>
        <v>73985.676019169565</v>
      </c>
      <c r="AH668" s="160">
        <f t="shared" si="215"/>
        <v>2.0950137211446997</v>
      </c>
      <c r="AI668" s="160">
        <f>IF($E668="","",MIN(Input!$C$61/AH668,1))</f>
        <v>0.64438718771845094</v>
      </c>
      <c r="AJ668" s="152"/>
      <c r="AK668" s="164">
        <f>IF(AND($C667=12,$D667=Input!$C$6),0,IF($E668="","",IF($B668&gt;Input!$C$9,$AC668*AI668,0)+AK669/(1+$L668)*$R668))</f>
        <v>65795.708876449949</v>
      </c>
      <c r="AL668" s="164">
        <f>IF(AND($C667=12,$D667=Input!$C$6),0,IF($E668="","",IF($B668&gt;Input!$C$9,0,$AC668)+AL669/(1+$L668)*$R668))</f>
        <v>0</v>
      </c>
      <c r="AM668" s="160">
        <f t="shared" si="216"/>
        <v>1.1382936520186004</v>
      </c>
      <c r="AN668" s="164">
        <f>IF($E668="","",IF($B668&gt;Input!$C$9,$AI668*$AC668,$AM668*$AC668))</f>
        <v>0</v>
      </c>
      <c r="AO668" s="164">
        <f>IF(AND($C667=12,$D667=Input!$C$6),0,IF($E668="","",$AN668+AO669/(1+$L668)*$R668))</f>
        <v>65795.708876449949</v>
      </c>
      <c r="AP668" s="152"/>
      <c r="AQ668" s="164">
        <f t="shared" si="217"/>
        <v>11830.827787590315</v>
      </c>
      <c r="AR668" s="164">
        <f t="shared" si="226"/>
        <v>4815.6125103382983</v>
      </c>
      <c r="AS668" s="164">
        <f t="shared" si="227"/>
        <v>16846.411483253585</v>
      </c>
      <c r="AT668" s="164">
        <f t="shared" si="218"/>
        <v>16846.411483253585</v>
      </c>
      <c r="AU668" s="152"/>
      <c r="AV668" s="147">
        <f>'Deterministic Reserve'!BC668</f>
        <v>4.9455714624969474E-8</v>
      </c>
      <c r="AW668" s="164">
        <f t="shared" si="219"/>
        <v>16846.411483253585</v>
      </c>
      <c r="AX668" s="164">
        <f t="shared" si="220"/>
        <v>8.3315131877059799E-4</v>
      </c>
      <c r="AY668" s="152"/>
    </row>
    <row r="669" spans="1:51" s="150" customFormat="1" x14ac:dyDescent="0.25">
      <c r="A669" s="150">
        <f t="shared" si="228"/>
        <v>665</v>
      </c>
      <c r="B669" s="150">
        <f t="shared" si="229"/>
        <v>56</v>
      </c>
      <c r="C669" s="150">
        <f t="shared" si="230"/>
        <v>5</v>
      </c>
      <c r="D669" s="150">
        <f>IF(E669="","",Input!$C$4+B669-1)</f>
        <v>100</v>
      </c>
      <c r="E669" s="150">
        <f>IF(OR(AND(C668=12,D668=Input!$C$6),E668=""),"",1)</f>
        <v>1</v>
      </c>
      <c r="F669" s="150">
        <f>IF(E669="","",Input!$C$8+B669-1)</f>
        <v>2073</v>
      </c>
      <c r="G669" s="151">
        <f>IF(E669="","",MAX(0,Input!$C$9-B669))</f>
        <v>0</v>
      </c>
      <c r="H669" s="152">
        <f>IF(E669="","",Input!$C$3)</f>
        <v>100000</v>
      </c>
      <c r="I669" s="153">
        <f>IF(E669="","",HLOOKUP($B669,Input!$C$13:$BT$14,2))</f>
        <v>862.62049999999999</v>
      </c>
      <c r="J669" s="154"/>
      <c r="K669" s="155">
        <f>IF($E669="","",Input!$C$57)</f>
        <v>4.4999999999999998E-2</v>
      </c>
      <c r="L669" s="155">
        <f t="shared" si="221"/>
        <v>3.6748094004368514E-3</v>
      </c>
      <c r="M669" s="147">
        <f>IF($E669="","",VLOOKUP(IF($B669&lt;=Input!$C$7,$B669,26),'Mortality Tables'!$A$72:$CA$97,IF($B669&lt;=Input!$C$7+1,Input!$C$4-16,$D669-Input!$C$7-16),0)/1000)</f>
        <v>0.35208999999999996</v>
      </c>
      <c r="N669" s="147">
        <f t="shared" si="210"/>
        <v>3.5520746294722017E-2</v>
      </c>
      <c r="O669" s="157">
        <f>IF($E669="","",IF($C669=12,IF($B669&lt;Input!$C$9,Input!$C$54,IF($B669=Input!$C$9,Input!$C$55,Input!$C$56)),0%))</f>
        <v>0</v>
      </c>
      <c r="P669" s="167">
        <f>IF($E669="","",IF($B669=1,Input!$C$59,IF($B669&lt;6,Input!$C$60,0%)))</f>
        <v>0</v>
      </c>
      <c r="Q669" s="162">
        <f>IF($E669="","",Input!$C$58)</f>
        <v>2.5</v>
      </c>
      <c r="R669" s="156">
        <f t="shared" si="222"/>
        <v>0.96447925370527798</v>
      </c>
      <c r="S669" s="154">
        <f t="shared" si="211"/>
        <v>2.3393923609435705E-5</v>
      </c>
      <c r="T669" s="152"/>
      <c r="U669" s="150">
        <f t="shared" si="223"/>
        <v>0</v>
      </c>
      <c r="V669" s="150">
        <f t="shared" si="224"/>
        <v>0</v>
      </c>
      <c r="W669" s="168">
        <f t="shared" si="225"/>
        <v>0</v>
      </c>
      <c r="X669" s="163">
        <f t="shared" si="212"/>
        <v>3552.0746294722017</v>
      </c>
      <c r="Y669" s="152"/>
      <c r="Z669" s="164">
        <f>IF(AND($C668=12,$D668=Input!$C$6),0,IF($E669="","",V669+Z670/(1+L669)*R669))</f>
        <v>128682.0084862919</v>
      </c>
      <c r="AA669" s="164">
        <f>IF(OR($M669=1,AND($C668=12,$D668=Input!$C$6)),0,IF($E669="","",W669+(X669+AA670*$R669)/(1+$L669)))</f>
        <v>77098.314427763718</v>
      </c>
      <c r="AB669" s="160">
        <f t="shared" si="213"/>
        <v>0.825720328500681</v>
      </c>
      <c r="AC669" s="164">
        <f t="shared" si="214"/>
        <v>0</v>
      </c>
      <c r="AD669" s="164">
        <f>IF(AND($C668=12,$D668=Input!$C$6),0,IF($E669="","",$AC669+AD670/(1+$L669)*$R669))</f>
        <v>106255.35031942834</v>
      </c>
      <c r="AE669" s="152"/>
      <c r="AF669" s="164">
        <f>IF(AND($C668=12,$D668=Input!$C$6),0,IF($E669="","",IF($B669&gt;Input!$C$9,$AC669,0)+AF670/(1+$L669)*$R669))</f>
        <v>106255.35031942834</v>
      </c>
      <c r="AG669" s="164">
        <f>IF(AND($C668=12,$D668=Input!$C$6),0,IF($E669="","",(IF($B669&gt;Input!$C$9,$X669,0)+AG670)/(1+$L669)*$R669))</f>
        <v>73440.311667718008</v>
      </c>
      <c r="AH669" s="160">
        <f t="shared" si="215"/>
        <v>2.0950137211446997</v>
      </c>
      <c r="AI669" s="160">
        <f>IF($E669="","",MIN(Input!$C$61/AH669,1))</f>
        <v>0.64438718771845094</v>
      </c>
      <c r="AJ669" s="152"/>
      <c r="AK669" s="164">
        <f>IF(AND($C668=12,$D668=Input!$C$6),0,IF($E669="","",IF($B669&gt;Input!$C$9,$AC669*AI669,0)+AK670/(1+$L669)*$R669))</f>
        <v>68469.586372375241</v>
      </c>
      <c r="AL669" s="164">
        <f>IF(AND($C668=12,$D668=Input!$C$6),0,IF($E669="","",IF($B669&gt;Input!$C$9,0,$AC669)+AL670/(1+$L669)*$R669))</f>
        <v>0</v>
      </c>
      <c r="AM669" s="160">
        <f t="shared" si="216"/>
        <v>1.1382936520186004</v>
      </c>
      <c r="AN669" s="164">
        <f>IF($E669="","",IF($B669&gt;Input!$C$9,$AI669*$AC669,$AM669*$AC669))</f>
        <v>0</v>
      </c>
      <c r="AO669" s="164">
        <f>IF(AND($C668=12,$D668=Input!$C$6),0,IF($E669="","",$AN669+AO670/(1+$L669)*$R669))</f>
        <v>68469.586372375241</v>
      </c>
      <c r="AP669" s="152"/>
      <c r="AQ669" s="164">
        <f t="shared" si="217"/>
        <v>8628.7280553884775</v>
      </c>
      <c r="AR669" s="164">
        <f t="shared" si="226"/>
        <v>4815.6125103382983</v>
      </c>
      <c r="AS669" s="164">
        <f t="shared" si="227"/>
        <v>16846.411483253585</v>
      </c>
      <c r="AT669" s="164">
        <f t="shared" si="218"/>
        <v>16846.411483253585</v>
      </c>
      <c r="AU669" s="152"/>
      <c r="AV669" s="147">
        <f>'Deterministic Reserve'!BC669</f>
        <v>4.4265459404318052E-8</v>
      </c>
      <c r="AW669" s="164">
        <f t="shared" si="219"/>
        <v>16846.411483253585</v>
      </c>
      <c r="AX669" s="164">
        <f t="shared" si="220"/>
        <v>7.4571414362039907E-4</v>
      </c>
      <c r="AY669" s="152"/>
    </row>
    <row r="670" spans="1:51" s="150" customFormat="1" x14ac:dyDescent="0.25">
      <c r="A670" s="150">
        <f t="shared" si="228"/>
        <v>666</v>
      </c>
      <c r="B670" s="150">
        <f t="shared" si="229"/>
        <v>56</v>
      </c>
      <c r="C670" s="150">
        <f t="shared" si="230"/>
        <v>6</v>
      </c>
      <c r="D670" s="150">
        <f>IF(E670="","",Input!$C$4+B670-1)</f>
        <v>100</v>
      </c>
      <c r="E670" s="150">
        <f>IF(OR(AND(C669=12,D669=Input!$C$6),E669=""),"",1)</f>
        <v>1</v>
      </c>
      <c r="F670" s="150">
        <f>IF(E670="","",Input!$C$8+B670-1)</f>
        <v>2073</v>
      </c>
      <c r="G670" s="151">
        <f>IF(E670="","",MAX(0,Input!$C$9-B670))</f>
        <v>0</v>
      </c>
      <c r="H670" s="152">
        <f>IF(E670="","",Input!$C$3)</f>
        <v>100000</v>
      </c>
      <c r="I670" s="153">
        <f>IF(E670="","",HLOOKUP($B670,Input!$C$13:$BT$14,2))</f>
        <v>862.62049999999999</v>
      </c>
      <c r="J670" s="154"/>
      <c r="K670" s="155">
        <f>IF($E670="","",Input!$C$57)</f>
        <v>4.4999999999999998E-2</v>
      </c>
      <c r="L670" s="155">
        <f t="shared" si="221"/>
        <v>3.6748094004368514E-3</v>
      </c>
      <c r="M670" s="147">
        <f>IF($E670="","",VLOOKUP(IF($B670&lt;=Input!$C$7,$B670,26),'Mortality Tables'!$A$72:$CA$97,IF($B670&lt;=Input!$C$7+1,Input!$C$4-16,$D670-Input!$C$7-16),0)/1000)</f>
        <v>0.35208999999999996</v>
      </c>
      <c r="N670" s="147">
        <f t="shared" si="210"/>
        <v>3.5520746294722017E-2</v>
      </c>
      <c r="O670" s="157">
        <f>IF($E670="","",IF($C670=12,IF($B670&lt;Input!$C$9,Input!$C$54,IF($B670=Input!$C$9,Input!$C$55,Input!$C$56)),0%))</f>
        <v>0</v>
      </c>
      <c r="P670" s="167">
        <f>IF($E670="","",IF($B670=1,Input!$C$59,IF($B670&lt;6,Input!$C$60,0%)))</f>
        <v>0</v>
      </c>
      <c r="Q670" s="162">
        <f>IF($E670="","",Input!$C$58)</f>
        <v>2.5</v>
      </c>
      <c r="R670" s="156">
        <f t="shared" si="222"/>
        <v>0.96447925370527798</v>
      </c>
      <c r="S670" s="154">
        <f t="shared" si="211"/>
        <v>2.2562953984066831E-5</v>
      </c>
      <c r="T670" s="152"/>
      <c r="U670" s="150">
        <f t="shared" si="223"/>
        <v>0</v>
      </c>
      <c r="V670" s="150">
        <f t="shared" si="224"/>
        <v>0</v>
      </c>
      <c r="W670" s="168">
        <f t="shared" si="225"/>
        <v>0</v>
      </c>
      <c r="X670" s="163">
        <f t="shared" si="212"/>
        <v>3552.0746294722017</v>
      </c>
      <c r="Y670" s="152"/>
      <c r="Z670" s="164">
        <f>IF(AND($C669=12,$D669=Input!$C$6),0,IF($E670="","",V670+Z671/(1+L670)*R670))</f>
        <v>133911.52774366579</v>
      </c>
      <c r="AA670" s="164">
        <f>IF(OR($M670=1,AND($C669=12,$D669=Input!$C$6)),0,IF($E670="","",W670+(X670+AA671*$R670)/(1+$L670)))</f>
        <v>76548.625722403624</v>
      </c>
      <c r="AB670" s="160">
        <f t="shared" si="213"/>
        <v>0.825720328500681</v>
      </c>
      <c r="AC670" s="164">
        <f t="shared" si="214"/>
        <v>0</v>
      </c>
      <c r="AD670" s="164">
        <f>IF(AND($C669=12,$D669=Input!$C$6),0,IF($E670="","",$AC670+AD671/(1+$L670)*$R670))</f>
        <v>110573.47067852777</v>
      </c>
      <c r="AE670" s="152"/>
      <c r="AF670" s="164">
        <f>IF(AND($C669=12,$D669=Input!$C$6),0,IF($E670="","",IF($B670&gt;Input!$C$9,$AC670,0)+AF671/(1+$L670)*$R670))</f>
        <v>110573.47067852777</v>
      </c>
      <c r="AG670" s="164">
        <f>IF(AND($C669=12,$D669=Input!$C$6),0,IF($E670="","",(IF($B670&gt;Input!$C$9,$X670,0)+AG671)/(1+$L670)*$R670))</f>
        <v>72872.784207283694</v>
      </c>
      <c r="AH670" s="160">
        <f t="shared" si="215"/>
        <v>2.0950137211446997</v>
      </c>
      <c r="AI670" s="160">
        <f>IF($E670="","",MIN(Input!$C$61/AH670,1))</f>
        <v>0.64438718771845094</v>
      </c>
      <c r="AJ670" s="152"/>
      <c r="AK670" s="164">
        <f>IF(AND($C669=12,$D669=Input!$C$6),0,IF($E670="","",IF($B670&gt;Input!$C$9,$AC670*AI670,0)+AK671/(1+$L670)*$R670))</f>
        <v>71252.127806805103</v>
      </c>
      <c r="AL670" s="164">
        <f>IF(AND($C669=12,$D669=Input!$C$6),0,IF($E670="","",IF($B670&gt;Input!$C$9,0,$AC670)+AL671/(1+$L670)*$R670))</f>
        <v>0</v>
      </c>
      <c r="AM670" s="160">
        <f t="shared" si="216"/>
        <v>1.1382936520186004</v>
      </c>
      <c r="AN670" s="164">
        <f>IF($E670="","",IF($B670&gt;Input!$C$9,$AI670*$AC670,$AM670*$AC670))</f>
        <v>0</v>
      </c>
      <c r="AO670" s="164">
        <f>IF(AND($C669=12,$D669=Input!$C$6),0,IF($E670="","",$AN670+AO671/(1+$L670)*$R670))</f>
        <v>71252.127806805103</v>
      </c>
      <c r="AP670" s="152"/>
      <c r="AQ670" s="164">
        <f t="shared" si="217"/>
        <v>5296.4979155985202</v>
      </c>
      <c r="AR670" s="164">
        <f t="shared" si="226"/>
        <v>4815.6125103382983</v>
      </c>
      <c r="AS670" s="164">
        <f t="shared" si="227"/>
        <v>16846.411483253585</v>
      </c>
      <c r="AT670" s="164">
        <f t="shared" si="218"/>
        <v>16846.411483253585</v>
      </c>
      <c r="AU670" s="152"/>
      <c r="AV670" s="147">
        <f>'Deterministic Reserve'!BC670</f>
        <v>3.961990866240645E-8</v>
      </c>
      <c r="AW670" s="164">
        <f t="shared" si="219"/>
        <v>16846.411483253585</v>
      </c>
      <c r="AX670" s="164">
        <f t="shared" si="220"/>
        <v>6.6745328425582226E-4</v>
      </c>
      <c r="AY670" s="152"/>
    </row>
    <row r="671" spans="1:51" s="150" customFormat="1" x14ac:dyDescent="0.25">
      <c r="A671" s="150">
        <f t="shared" si="228"/>
        <v>667</v>
      </c>
      <c r="B671" s="150">
        <f t="shared" si="229"/>
        <v>56</v>
      </c>
      <c r="C671" s="150">
        <f t="shared" si="230"/>
        <v>7</v>
      </c>
      <c r="D671" s="150">
        <f>IF(E671="","",Input!$C$4+B671-1)</f>
        <v>100</v>
      </c>
      <c r="E671" s="150">
        <f>IF(OR(AND(C670=12,D670=Input!$C$6),E670=""),"",1)</f>
        <v>1</v>
      </c>
      <c r="F671" s="150">
        <f>IF(E671="","",Input!$C$8+B671-1)</f>
        <v>2073</v>
      </c>
      <c r="G671" s="151">
        <f>IF(E671="","",MAX(0,Input!$C$9-B671))</f>
        <v>0</v>
      </c>
      <c r="H671" s="152">
        <f>IF(E671="","",Input!$C$3)</f>
        <v>100000</v>
      </c>
      <c r="I671" s="153">
        <f>IF(E671="","",HLOOKUP($B671,Input!$C$13:$BT$14,2))</f>
        <v>862.62049999999999</v>
      </c>
      <c r="J671" s="154"/>
      <c r="K671" s="155">
        <f>IF($E671="","",Input!$C$57)</f>
        <v>4.4999999999999998E-2</v>
      </c>
      <c r="L671" s="155">
        <f t="shared" si="221"/>
        <v>3.6748094004368514E-3</v>
      </c>
      <c r="M671" s="147">
        <f>IF($E671="","",VLOOKUP(IF($B671&lt;=Input!$C$7,$B671,26),'Mortality Tables'!$A$72:$CA$97,IF($B671&lt;=Input!$C$7+1,Input!$C$4-16,$D671-Input!$C$7-16),0)/1000)</f>
        <v>0.35208999999999996</v>
      </c>
      <c r="N671" s="147">
        <f t="shared" si="210"/>
        <v>3.5520746294722017E-2</v>
      </c>
      <c r="O671" s="157">
        <f>IF($E671="","",IF($C671=12,IF($B671&lt;Input!$C$9,Input!$C$54,IF($B671=Input!$C$9,Input!$C$55,Input!$C$56)),0%))</f>
        <v>0</v>
      </c>
      <c r="P671" s="167">
        <f>IF($E671="","",IF($B671=1,Input!$C$59,IF($B671&lt;6,Input!$C$60,0%)))</f>
        <v>0</v>
      </c>
      <c r="Q671" s="162">
        <f>IF($E671="","",Input!$C$58)</f>
        <v>2.5</v>
      </c>
      <c r="R671" s="156">
        <f t="shared" si="222"/>
        <v>0.96447925370527798</v>
      </c>
      <c r="S671" s="154">
        <f t="shared" si="211"/>
        <v>2.1761501019939306E-5</v>
      </c>
      <c r="T671" s="152"/>
      <c r="U671" s="150">
        <f t="shared" si="223"/>
        <v>0</v>
      </c>
      <c r="V671" s="150">
        <f t="shared" si="224"/>
        <v>0</v>
      </c>
      <c r="W671" s="168">
        <f t="shared" si="225"/>
        <v>0</v>
      </c>
      <c r="X671" s="163">
        <f t="shared" si="212"/>
        <v>3552.0746294722017</v>
      </c>
      <c r="Y671" s="152"/>
      <c r="Z671" s="164">
        <f>IF(AND($C670=12,$D670=Input!$C$6),0,IF($E671="","",V671+Z672/(1+L671)*R671))</f>
        <v>139353.56988582321</v>
      </c>
      <c r="AA671" s="164">
        <f>IF(OR($M671=1,AND($C670=12,$D670=Input!$C$6)),0,IF($E671="","",W671+(X671+AA672*$R671)/(1+$L671)))</f>
        <v>75976.5981702688</v>
      </c>
      <c r="AB671" s="160">
        <f t="shared" si="213"/>
        <v>0.825720328500681</v>
      </c>
      <c r="AC671" s="164">
        <f t="shared" si="214"/>
        <v>0</v>
      </c>
      <c r="AD671" s="164">
        <f>IF(AND($C670=12,$D670=Input!$C$6),0,IF($E671="","",$AC671+AD672/(1+$L671)*$R671))</f>
        <v>115067.07550386454</v>
      </c>
      <c r="AE671" s="152"/>
      <c r="AF671" s="164">
        <f>IF(AND($C670=12,$D670=Input!$C$6),0,IF($E671="","",IF($B671&gt;Input!$C$9,$AC671,0)+AF672/(1+$L671)*$R671))</f>
        <v>115067.07550386454</v>
      </c>
      <c r="AG671" s="164">
        <f>IF(AND($C670=12,$D670=Input!$C$6),0,IF($E671="","",(IF($B671&gt;Input!$C$9,$X671,0)+AG672)/(1+$L671)*$R671))</f>
        <v>72282.192949366407</v>
      </c>
      <c r="AH671" s="160">
        <f t="shared" si="215"/>
        <v>2.0950137211446997</v>
      </c>
      <c r="AI671" s="160">
        <f>IF($E671="","",MIN(Input!$C$61/AH671,1))</f>
        <v>0.64438718771845094</v>
      </c>
      <c r="AJ671" s="152"/>
      <c r="AK671" s="164">
        <f>IF(AND($C670=12,$D670=Input!$C$6),0,IF($E671="","",IF($B671&gt;Input!$C$9,$AC671*AI671,0)+AK672/(1+$L671)*$R671))</f>
        <v>74147.749182921922</v>
      </c>
      <c r="AL671" s="164">
        <f>IF(AND($C670=12,$D670=Input!$C$6),0,IF($E671="","",IF($B671&gt;Input!$C$9,0,$AC671)+AL672/(1+$L671)*$R671))</f>
        <v>0</v>
      </c>
      <c r="AM671" s="160">
        <f t="shared" si="216"/>
        <v>1.1382936520186004</v>
      </c>
      <c r="AN671" s="164">
        <f>IF($E671="","",IF($B671&gt;Input!$C$9,$AI671*$AC671,$AM671*$AC671))</f>
        <v>0</v>
      </c>
      <c r="AO671" s="164">
        <f>IF(AND($C670=12,$D670=Input!$C$6),0,IF($E671="","",$AN671+AO672/(1+$L671)*$R671))</f>
        <v>74147.749182921922</v>
      </c>
      <c r="AP671" s="152"/>
      <c r="AQ671" s="164">
        <f t="shared" si="217"/>
        <v>1828.8489873468789</v>
      </c>
      <c r="AR671" s="164">
        <f t="shared" si="226"/>
        <v>4815.6125103382983</v>
      </c>
      <c r="AS671" s="164">
        <f t="shared" si="227"/>
        <v>16846.411483253585</v>
      </c>
      <c r="AT671" s="164">
        <f t="shared" si="218"/>
        <v>16846.411483253585</v>
      </c>
      <c r="AU671" s="152"/>
      <c r="AV671" s="147">
        <f>'Deterministic Reserve'!BC671</f>
        <v>3.5461897008219085E-8</v>
      </c>
      <c r="AW671" s="164">
        <f t="shared" si="219"/>
        <v>16846.411483253585</v>
      </c>
      <c r="AX671" s="164">
        <f t="shared" si="220"/>
        <v>5.9740570897721793E-4</v>
      </c>
      <c r="AY671" s="152"/>
    </row>
    <row r="672" spans="1:51" s="150" customFormat="1" x14ac:dyDescent="0.25">
      <c r="A672" s="150">
        <f t="shared" si="228"/>
        <v>668</v>
      </c>
      <c r="B672" s="150">
        <f t="shared" si="229"/>
        <v>56</v>
      </c>
      <c r="C672" s="150">
        <f t="shared" si="230"/>
        <v>8</v>
      </c>
      <c r="D672" s="150">
        <f>IF(E672="","",Input!$C$4+B672-1)</f>
        <v>100</v>
      </c>
      <c r="E672" s="150">
        <f>IF(OR(AND(C671=12,D671=Input!$C$6),E671=""),"",1)</f>
        <v>1</v>
      </c>
      <c r="F672" s="150">
        <f>IF(E672="","",Input!$C$8+B672-1)</f>
        <v>2073</v>
      </c>
      <c r="G672" s="151">
        <f>IF(E672="","",MAX(0,Input!$C$9-B672))</f>
        <v>0</v>
      </c>
      <c r="H672" s="152">
        <f>IF(E672="","",Input!$C$3)</f>
        <v>100000</v>
      </c>
      <c r="I672" s="153">
        <f>IF(E672="","",HLOOKUP($B672,Input!$C$13:$BT$14,2))</f>
        <v>862.62049999999999</v>
      </c>
      <c r="J672" s="154"/>
      <c r="K672" s="155">
        <f>IF($E672="","",Input!$C$57)</f>
        <v>4.4999999999999998E-2</v>
      </c>
      <c r="L672" s="155">
        <f t="shared" si="221"/>
        <v>3.6748094004368514E-3</v>
      </c>
      <c r="M672" s="147">
        <f>IF($E672="","",VLOOKUP(IF($B672&lt;=Input!$C$7,$B672,26),'Mortality Tables'!$A$72:$CA$97,IF($B672&lt;=Input!$C$7+1,Input!$C$4-16,$D672-Input!$C$7-16),0)/1000)</f>
        <v>0.35208999999999996</v>
      </c>
      <c r="N672" s="147">
        <f t="shared" si="210"/>
        <v>3.5520746294722017E-2</v>
      </c>
      <c r="O672" s="157">
        <f>IF($E672="","",IF($C672=12,IF($B672&lt;Input!$C$9,Input!$C$54,IF($B672=Input!$C$9,Input!$C$55,Input!$C$56)),0%))</f>
        <v>0</v>
      </c>
      <c r="P672" s="167">
        <f>IF($E672="","",IF($B672=1,Input!$C$59,IF($B672&lt;6,Input!$C$60,0%)))</f>
        <v>0</v>
      </c>
      <c r="Q672" s="162">
        <f>IF($E672="","",Input!$C$58)</f>
        <v>2.5</v>
      </c>
      <c r="R672" s="156">
        <f t="shared" si="222"/>
        <v>0.96447925370527798</v>
      </c>
      <c r="S672" s="154">
        <f t="shared" si="211"/>
        <v>2.0988516263217709E-5</v>
      </c>
      <c r="T672" s="152"/>
      <c r="U672" s="150">
        <f t="shared" si="223"/>
        <v>0</v>
      </c>
      <c r="V672" s="150">
        <f t="shared" si="224"/>
        <v>0</v>
      </c>
      <c r="W672" s="168">
        <f t="shared" si="225"/>
        <v>0</v>
      </c>
      <c r="X672" s="163">
        <f t="shared" si="212"/>
        <v>3552.0746294722017</v>
      </c>
      <c r="Y672" s="152"/>
      <c r="Z672" s="164">
        <f>IF(AND($C671=12,$D671=Input!$C$6),0,IF($E672="","",V672+Z673/(1+L672)*R672))</f>
        <v>145016.77164863487</v>
      </c>
      <c r="AA672" s="164">
        <f>IF(OR($M672=1,AND($C671=12,$D671=Input!$C$6)),0,IF($E672="","",W672+(X672+AA673*$R672)/(1+$L672)))</f>
        <v>75381.323941035691</v>
      </c>
      <c r="AB672" s="160">
        <f t="shared" si="213"/>
        <v>0.825720328500681</v>
      </c>
      <c r="AC672" s="164">
        <f t="shared" si="214"/>
        <v>0</v>
      </c>
      <c r="AD672" s="164">
        <f>IF(AND($C671=12,$D671=Input!$C$6),0,IF($E672="","",$AC672+AD673/(1+$L672)*$R672))</f>
        <v>119743.29632381901</v>
      </c>
      <c r="AE672" s="152"/>
      <c r="AF672" s="164">
        <f>IF(AND($C671=12,$D671=Input!$C$6),0,IF($E672="","",IF($B672&gt;Input!$C$9,$AC672,0)+AF673/(1+$L672)*$R672))</f>
        <v>119743.29632381901</v>
      </c>
      <c r="AG672" s="164">
        <f>IF(AND($C671=12,$D671=Input!$C$6),0,IF($E672="","",(IF($B672&gt;Input!$C$9,$X672,0)+AG673)/(1+$L672)*$R672))</f>
        <v>71667.600602308186</v>
      </c>
      <c r="AH672" s="160">
        <f t="shared" si="215"/>
        <v>2.0950137211446997</v>
      </c>
      <c r="AI672" s="160">
        <f>IF($E672="","",MIN(Input!$C$61/AH672,1))</f>
        <v>0.64438718771845094</v>
      </c>
      <c r="AJ672" s="152"/>
      <c r="AK672" s="164">
        <f>IF(AND($C671=12,$D671=Input!$C$6),0,IF($E672="","",IF($B672&gt;Input!$C$9,$AC672*AI672,0)+AK673/(1+$L672)*$R672))</f>
        <v>77161.045966242847</v>
      </c>
      <c r="AL672" s="164">
        <f>IF(AND($C671=12,$D671=Input!$C$6),0,IF($E672="","",IF($B672&gt;Input!$C$9,0,$AC672)+AL673/(1+$L672)*$R672))</f>
        <v>0</v>
      </c>
      <c r="AM672" s="160">
        <f t="shared" si="216"/>
        <v>1.1382936520186004</v>
      </c>
      <c r="AN672" s="164">
        <f>IF($E672="","",IF($B672&gt;Input!$C$9,$AI672*$AC672,$AM672*$AC672))</f>
        <v>0</v>
      </c>
      <c r="AO672" s="164">
        <f>IF(AND($C671=12,$D671=Input!$C$6),0,IF($E672="","",$AN672+AO673/(1+$L672)*$R672))</f>
        <v>77161.045966242847</v>
      </c>
      <c r="AP672" s="152"/>
      <c r="AQ672" s="164">
        <f t="shared" si="217"/>
        <v>-1779.7220252071565</v>
      </c>
      <c r="AR672" s="164">
        <f t="shared" si="226"/>
        <v>4815.6125103382983</v>
      </c>
      <c r="AS672" s="164">
        <f t="shared" si="227"/>
        <v>16846.411483253585</v>
      </c>
      <c r="AT672" s="164">
        <f t="shared" si="218"/>
        <v>16846.411483253585</v>
      </c>
      <c r="AU672" s="152"/>
      <c r="AV672" s="147">
        <f>'Deterministic Reserve'!BC672</f>
        <v>3.1740258417475019E-8</v>
      </c>
      <c r="AW672" s="164">
        <f t="shared" si="219"/>
        <v>16846.411483253585</v>
      </c>
      <c r="AX672" s="164">
        <f t="shared" si="220"/>
        <v>5.3470945388558739E-4</v>
      </c>
      <c r="AY672" s="152"/>
    </row>
    <row r="673" spans="1:51" s="150" customFormat="1" x14ac:dyDescent="0.25">
      <c r="A673" s="150">
        <f t="shared" si="228"/>
        <v>669</v>
      </c>
      <c r="B673" s="150">
        <f t="shared" si="229"/>
        <v>56</v>
      </c>
      <c r="C673" s="150">
        <f t="shared" si="230"/>
        <v>9</v>
      </c>
      <c r="D673" s="150">
        <f>IF(E673="","",Input!$C$4+B673-1)</f>
        <v>100</v>
      </c>
      <c r="E673" s="150">
        <f>IF(OR(AND(C672=12,D672=Input!$C$6),E672=""),"",1)</f>
        <v>1</v>
      </c>
      <c r="F673" s="150">
        <f>IF(E673="","",Input!$C$8+B673-1)</f>
        <v>2073</v>
      </c>
      <c r="G673" s="151">
        <f>IF(E673="","",MAX(0,Input!$C$9-B673))</f>
        <v>0</v>
      </c>
      <c r="H673" s="152">
        <f>IF(E673="","",Input!$C$3)</f>
        <v>100000</v>
      </c>
      <c r="I673" s="153">
        <f>IF(E673="","",HLOOKUP($B673,Input!$C$13:$BT$14,2))</f>
        <v>862.62049999999999</v>
      </c>
      <c r="J673" s="154"/>
      <c r="K673" s="155">
        <f>IF($E673="","",Input!$C$57)</f>
        <v>4.4999999999999998E-2</v>
      </c>
      <c r="L673" s="155">
        <f t="shared" si="221"/>
        <v>3.6748094004368514E-3</v>
      </c>
      <c r="M673" s="147">
        <f>IF($E673="","",VLOOKUP(IF($B673&lt;=Input!$C$7,$B673,26),'Mortality Tables'!$A$72:$CA$97,IF($B673&lt;=Input!$C$7+1,Input!$C$4-16,$D673-Input!$C$7-16),0)/1000)</f>
        <v>0.35208999999999996</v>
      </c>
      <c r="N673" s="147">
        <f t="shared" si="210"/>
        <v>3.5520746294722017E-2</v>
      </c>
      <c r="O673" s="157">
        <f>IF($E673="","",IF($C673=12,IF($B673&lt;Input!$C$9,Input!$C$54,IF($B673=Input!$C$9,Input!$C$55,Input!$C$56)),0%))</f>
        <v>0</v>
      </c>
      <c r="P673" s="167">
        <f>IF($E673="","",IF($B673=1,Input!$C$59,IF($B673&lt;6,Input!$C$60,0%)))</f>
        <v>0</v>
      </c>
      <c r="Q673" s="162">
        <f>IF($E673="","",Input!$C$58)</f>
        <v>2.5</v>
      </c>
      <c r="R673" s="156">
        <f t="shared" si="222"/>
        <v>0.96447925370527798</v>
      </c>
      <c r="S673" s="154">
        <f t="shared" si="211"/>
        <v>2.0242988501929305E-5</v>
      </c>
      <c r="T673" s="152"/>
      <c r="U673" s="150">
        <f t="shared" si="223"/>
        <v>0</v>
      </c>
      <c r="V673" s="150">
        <f t="shared" si="224"/>
        <v>0</v>
      </c>
      <c r="W673" s="168">
        <f t="shared" si="225"/>
        <v>0</v>
      </c>
      <c r="X673" s="163">
        <f t="shared" si="212"/>
        <v>3552.0746294722017</v>
      </c>
      <c r="Y673" s="152"/>
      <c r="Z673" s="164">
        <f>IF(AND($C672=12,$D672=Input!$C$6),0,IF($E673="","",V673+Z674/(1+L673)*R673))</f>
        <v>150910.12075702648</v>
      </c>
      <c r="AA673" s="164">
        <f>IF(OR($M673=1,AND($C672=12,$D672=Input!$C$6)),0,IF($E673="","",W673+(X673+AA674*$R673)/(1+$L673)))</f>
        <v>74761.858310985874</v>
      </c>
      <c r="AB673" s="160">
        <f t="shared" si="213"/>
        <v>0.825720328500681</v>
      </c>
      <c r="AC673" s="164">
        <f t="shared" si="214"/>
        <v>0</v>
      </c>
      <c r="AD673" s="164">
        <f>IF(AND($C672=12,$D672=Input!$C$6),0,IF($E673="","",$AC673+AD674/(1+$L673)*$R673))</f>
        <v>124609.55448556932</v>
      </c>
      <c r="AE673" s="152"/>
      <c r="AF673" s="164">
        <f>IF(AND($C672=12,$D672=Input!$C$6),0,IF($E673="","",IF($B673&gt;Input!$C$9,$AC673,0)+AF674/(1+$L673)*$R673))</f>
        <v>124609.55448556932</v>
      </c>
      <c r="AG673" s="164">
        <f>IF(AND($C672=12,$D672=Input!$C$6),0,IF($E673="","",(IF($B673&gt;Input!$C$9,$X673,0)+AG674)/(1+$L673)*$R673))</f>
        <v>71028.031783774393</v>
      </c>
      <c r="AH673" s="160">
        <f t="shared" si="215"/>
        <v>2.0950137211446997</v>
      </c>
      <c r="AI673" s="160">
        <f>IF($E673="","",MIN(Input!$C$61/AH673,1))</f>
        <v>0.64438718771845094</v>
      </c>
      <c r="AJ673" s="152"/>
      <c r="AK673" s="164">
        <f>IF(AND($C672=12,$D672=Input!$C$6),0,IF($E673="","",IF($B673&gt;Input!$C$9,$AC673*AI673,0)+AK674/(1+$L673)*$R673))</f>
        <v>80296.800377805092</v>
      </c>
      <c r="AL673" s="164">
        <f>IF(AND($C672=12,$D672=Input!$C$6),0,IF($E673="","",IF($B673&gt;Input!$C$9,0,$AC673)+AL674/(1+$L673)*$R673))</f>
        <v>0</v>
      </c>
      <c r="AM673" s="160">
        <f t="shared" si="216"/>
        <v>1.1382936520186004</v>
      </c>
      <c r="AN673" s="164">
        <f>IF($E673="","",IF($B673&gt;Input!$C$9,$AI673*$AC673,$AM673*$AC673))</f>
        <v>0</v>
      </c>
      <c r="AO673" s="164">
        <f>IF(AND($C672=12,$D672=Input!$C$6),0,IF($E673="","",$AN673+AO674/(1+$L673)*$R673))</f>
        <v>80296.800377805092</v>
      </c>
      <c r="AP673" s="152"/>
      <c r="AQ673" s="164">
        <f t="shared" si="217"/>
        <v>-5534.9420668192179</v>
      </c>
      <c r="AR673" s="164">
        <f t="shared" si="226"/>
        <v>4815.6125103382983</v>
      </c>
      <c r="AS673" s="164">
        <f t="shared" si="227"/>
        <v>16846.411483253585</v>
      </c>
      <c r="AT673" s="164">
        <f t="shared" si="218"/>
        <v>16846.411483253585</v>
      </c>
      <c r="AU673" s="152"/>
      <c r="AV673" s="147">
        <f>'Deterministic Reserve'!BC673</f>
        <v>2.8409196613892263E-8</v>
      </c>
      <c r="AW673" s="164">
        <f t="shared" si="219"/>
        <v>16846.411483253585</v>
      </c>
      <c r="AX673" s="164">
        <f t="shared" si="220"/>
        <v>4.7859301606628348E-4</v>
      </c>
      <c r="AY673" s="152"/>
    </row>
    <row r="674" spans="1:51" s="150" customFormat="1" x14ac:dyDescent="0.25">
      <c r="A674" s="150">
        <f t="shared" si="228"/>
        <v>670</v>
      </c>
      <c r="B674" s="150">
        <f t="shared" si="229"/>
        <v>56</v>
      </c>
      <c r="C674" s="150">
        <f t="shared" si="230"/>
        <v>10</v>
      </c>
      <c r="D674" s="150">
        <f>IF(E674="","",Input!$C$4+B674-1)</f>
        <v>100</v>
      </c>
      <c r="E674" s="150">
        <f>IF(OR(AND(C673=12,D673=Input!$C$6),E673=""),"",1)</f>
        <v>1</v>
      </c>
      <c r="F674" s="150">
        <f>IF(E674="","",Input!$C$8+B674-1)</f>
        <v>2073</v>
      </c>
      <c r="G674" s="151">
        <f>IF(E674="","",MAX(0,Input!$C$9-B674))</f>
        <v>0</v>
      </c>
      <c r="H674" s="152">
        <f>IF(E674="","",Input!$C$3)</f>
        <v>100000</v>
      </c>
      <c r="I674" s="153">
        <f>IF(E674="","",HLOOKUP($B674,Input!$C$13:$BT$14,2))</f>
        <v>862.62049999999999</v>
      </c>
      <c r="J674" s="154"/>
      <c r="K674" s="155">
        <f>IF($E674="","",Input!$C$57)</f>
        <v>4.4999999999999998E-2</v>
      </c>
      <c r="L674" s="155">
        <f t="shared" si="221"/>
        <v>3.6748094004368514E-3</v>
      </c>
      <c r="M674" s="147">
        <f>IF($E674="","",VLOOKUP(IF($B674&lt;=Input!$C$7,$B674,26),'Mortality Tables'!$A$72:$CA$97,IF($B674&lt;=Input!$C$7+1,Input!$C$4-16,$D674-Input!$C$7-16),0)/1000)</f>
        <v>0.35208999999999996</v>
      </c>
      <c r="N674" s="147">
        <f t="shared" si="210"/>
        <v>3.5520746294722017E-2</v>
      </c>
      <c r="O674" s="157">
        <f>IF($E674="","",IF($C674=12,IF($B674&lt;Input!$C$9,Input!$C$54,IF($B674=Input!$C$9,Input!$C$55,Input!$C$56)),0%))</f>
        <v>0</v>
      </c>
      <c r="P674" s="167">
        <f>IF($E674="","",IF($B674=1,Input!$C$59,IF($B674&lt;6,Input!$C$60,0%)))</f>
        <v>0</v>
      </c>
      <c r="Q674" s="162">
        <f>IF($E674="","",Input!$C$58)</f>
        <v>2.5</v>
      </c>
      <c r="R674" s="156">
        <f t="shared" si="222"/>
        <v>0.96447925370527798</v>
      </c>
      <c r="S674" s="154">
        <f t="shared" si="211"/>
        <v>1.9523942443105299E-5</v>
      </c>
      <c r="T674" s="152"/>
      <c r="U674" s="150">
        <f t="shared" si="223"/>
        <v>0</v>
      </c>
      <c r="V674" s="150">
        <f t="shared" si="224"/>
        <v>0</v>
      </c>
      <c r="W674" s="168">
        <f t="shared" si="225"/>
        <v>0</v>
      </c>
      <c r="X674" s="163">
        <f t="shared" si="212"/>
        <v>3552.0746294722017</v>
      </c>
      <c r="Y674" s="152"/>
      <c r="Z674" s="164">
        <f>IF(AND($C673=12,$D673=Input!$C$6),0,IF($E674="","",V674+Z675/(1+L674)*R674))</f>
        <v>157042.9701888533</v>
      </c>
      <c r="AA674" s="164">
        <f>IF(OR($M674=1,AND($C673=12,$D673=Input!$C$6)),0,IF($E674="","",W674+(X674+AA675*$R674)/(1+$L674)))</f>
        <v>74117.218163692087</v>
      </c>
      <c r="AB674" s="160">
        <f t="shared" si="213"/>
        <v>0.825720328500681</v>
      </c>
      <c r="AC674" s="164">
        <f t="shared" si="214"/>
        <v>0</v>
      </c>
      <c r="AD674" s="164">
        <f>IF(AND($C673=12,$D673=Input!$C$6),0,IF($E674="","",$AC674+AD675/(1+$L674)*$R674))</f>
        <v>129673.57293306259</v>
      </c>
      <c r="AE674" s="152"/>
      <c r="AF674" s="164">
        <f>IF(AND($C673=12,$D673=Input!$C$6),0,IF($E674="","",IF($B674&gt;Input!$C$9,$AC674,0)+AF675/(1+$L674)*$R674))</f>
        <v>129673.57293306259</v>
      </c>
      <c r="AG674" s="164">
        <f>IF(AND($C673=12,$D673=Input!$C$6),0,IF($E674="","",(IF($B674&gt;Input!$C$9,$X674,0)+AG675)/(1+$L674)*$R674))</f>
        <v>70362.47147278348</v>
      </c>
      <c r="AH674" s="160">
        <f t="shared" si="215"/>
        <v>2.0950137211446997</v>
      </c>
      <c r="AI674" s="160">
        <f>IF($E674="","",MIN(Input!$C$61/AH674,1))</f>
        <v>0.64438718771845094</v>
      </c>
      <c r="AJ674" s="152"/>
      <c r="AK674" s="164">
        <f>IF(AND($C673=12,$D673=Input!$C$6),0,IF($E674="","",IF($B674&gt;Input!$C$9,$AC674*AI674,0)+AK675/(1+$L674)*$R674))</f>
        <v>83559.988983739633</v>
      </c>
      <c r="AL674" s="164">
        <f>IF(AND($C673=12,$D673=Input!$C$6),0,IF($E674="","",IF($B674&gt;Input!$C$9,0,$AC674)+AL675/(1+$L674)*$R674))</f>
        <v>0</v>
      </c>
      <c r="AM674" s="160">
        <f t="shared" si="216"/>
        <v>1.1382936520186004</v>
      </c>
      <c r="AN674" s="164">
        <f>IF($E674="","",IF($B674&gt;Input!$C$9,$AI674*$AC674,$AM674*$AC674))</f>
        <v>0</v>
      </c>
      <c r="AO674" s="164">
        <f>IF(AND($C673=12,$D673=Input!$C$6),0,IF($E674="","",$AN674+AO675/(1+$L674)*$R674))</f>
        <v>83559.988983739633</v>
      </c>
      <c r="AP674" s="152"/>
      <c r="AQ674" s="164">
        <f t="shared" si="217"/>
        <v>-9442.7708200475463</v>
      </c>
      <c r="AR674" s="164">
        <f t="shared" si="226"/>
        <v>4815.6125103382983</v>
      </c>
      <c r="AS674" s="164">
        <f t="shared" si="227"/>
        <v>16846.411483253585</v>
      </c>
      <c r="AT674" s="164">
        <f t="shared" si="218"/>
        <v>16846.411483253585</v>
      </c>
      <c r="AU674" s="152"/>
      <c r="AV674" s="147">
        <f>'Deterministic Reserve'!BC674</f>
        <v>2.5427721527384847E-8</v>
      </c>
      <c r="AW674" s="164">
        <f t="shared" si="219"/>
        <v>16846.411483253585</v>
      </c>
      <c r="AX674" s="164">
        <f t="shared" si="220"/>
        <v>4.2836585993191045E-4</v>
      </c>
      <c r="AY674" s="152"/>
    </row>
    <row r="675" spans="1:51" s="150" customFormat="1" x14ac:dyDescent="0.25">
      <c r="A675" s="150">
        <f t="shared" si="228"/>
        <v>671</v>
      </c>
      <c r="B675" s="150">
        <f t="shared" si="229"/>
        <v>56</v>
      </c>
      <c r="C675" s="150">
        <f t="shared" si="230"/>
        <v>11</v>
      </c>
      <c r="D675" s="150">
        <f>IF(E675="","",Input!$C$4+B675-1)</f>
        <v>100</v>
      </c>
      <c r="E675" s="150">
        <f>IF(OR(AND(C674=12,D674=Input!$C$6),E674=""),"",1)</f>
        <v>1</v>
      </c>
      <c r="F675" s="150">
        <f>IF(E675="","",Input!$C$8+B675-1)</f>
        <v>2073</v>
      </c>
      <c r="G675" s="151">
        <f>IF(E675="","",MAX(0,Input!$C$9-B675))</f>
        <v>0</v>
      </c>
      <c r="H675" s="152">
        <f>IF(E675="","",Input!$C$3)</f>
        <v>100000</v>
      </c>
      <c r="I675" s="153">
        <f>IF(E675="","",HLOOKUP($B675,Input!$C$13:$BT$14,2))</f>
        <v>862.62049999999999</v>
      </c>
      <c r="J675" s="154"/>
      <c r="K675" s="155">
        <f>IF($E675="","",Input!$C$57)</f>
        <v>4.4999999999999998E-2</v>
      </c>
      <c r="L675" s="155">
        <f t="shared" si="221"/>
        <v>3.6748094004368514E-3</v>
      </c>
      <c r="M675" s="147">
        <f>IF($E675="","",VLOOKUP(IF($B675&lt;=Input!$C$7,$B675,26),'Mortality Tables'!$A$72:$CA$97,IF($B675&lt;=Input!$C$7+1,Input!$C$4-16,$D675-Input!$C$7-16),0)/1000)</f>
        <v>0.35208999999999996</v>
      </c>
      <c r="N675" s="147">
        <f t="shared" si="210"/>
        <v>3.5520746294722017E-2</v>
      </c>
      <c r="O675" s="157">
        <f>IF($E675="","",IF($C675=12,IF($B675&lt;Input!$C$9,Input!$C$54,IF($B675=Input!$C$9,Input!$C$55,Input!$C$56)),0%))</f>
        <v>0</v>
      </c>
      <c r="P675" s="167">
        <f>IF($E675="","",IF($B675=1,Input!$C$59,IF($B675&lt;6,Input!$C$60,0%)))</f>
        <v>0</v>
      </c>
      <c r="Q675" s="162">
        <f>IF($E675="","",Input!$C$58)</f>
        <v>2.5</v>
      </c>
      <c r="R675" s="156">
        <f t="shared" si="222"/>
        <v>0.96447925370527798</v>
      </c>
      <c r="S675" s="154">
        <f t="shared" si="211"/>
        <v>1.8830437436911002E-5</v>
      </c>
      <c r="T675" s="152"/>
      <c r="U675" s="150">
        <f t="shared" si="223"/>
        <v>0</v>
      </c>
      <c r="V675" s="150">
        <f t="shared" si="224"/>
        <v>0</v>
      </c>
      <c r="W675" s="168">
        <f t="shared" si="225"/>
        <v>0</v>
      </c>
      <c r="X675" s="163">
        <f t="shared" si="212"/>
        <v>3552.0746294722017</v>
      </c>
      <c r="Y675" s="152"/>
      <c r="Z675" s="164">
        <f>IF(AND($C674=12,$D674=Input!$C$6),0,IF($E675="","",V675+Z676/(1+L675)*R675))</f>
        <v>163425.05301844553</v>
      </c>
      <c r="AA675" s="164">
        <f>IF(OR($M675=1,AND($C674=12,$D674=Input!$C$6)),0,IF($E675="","",W675+(X675+AA676*$R675)/(1+$L675)))</f>
        <v>73446.380429773679</v>
      </c>
      <c r="AB675" s="160">
        <f t="shared" si="213"/>
        <v>0.825720328500681</v>
      </c>
      <c r="AC675" s="164">
        <f t="shared" si="214"/>
        <v>0</v>
      </c>
      <c r="AD675" s="164">
        <f>IF(AND($C674=12,$D674=Input!$C$6),0,IF($E675="","",$AC675+AD676/(1+$L675)*$R675))</f>
        <v>134943.38846363203</v>
      </c>
      <c r="AE675" s="152"/>
      <c r="AF675" s="164">
        <f>IF(AND($C674=12,$D674=Input!$C$6),0,IF($E675="","",IF($B675&gt;Input!$C$9,$AC675,0)+AF676/(1+$L675)*$R675))</f>
        <v>134943.38846363203</v>
      </c>
      <c r="AG675" s="164">
        <f>IF(AND($C674=12,$D674=Input!$C$6),0,IF($E675="","",(IF($B675&gt;Input!$C$9,$X675,0)+AG676)/(1+$L675)*$R675))</f>
        <v>69669.863398828558</v>
      </c>
      <c r="AH675" s="160">
        <f t="shared" si="215"/>
        <v>2.0950137211446997</v>
      </c>
      <c r="AI675" s="160">
        <f>IF($E675="","",MIN(Input!$C$61/AH675,1))</f>
        <v>0.64438718771845094</v>
      </c>
      <c r="AJ675" s="152"/>
      <c r="AK675" s="164">
        <f>IF(AND($C674=12,$D674=Input!$C$6),0,IF($E675="","",IF($B675&gt;Input!$C$9,$AC675*AI675,0)+AK676/(1+$L675)*$R675))</f>
        <v>86955.790593278289</v>
      </c>
      <c r="AL675" s="164">
        <f>IF(AND($C674=12,$D674=Input!$C$6),0,IF($E675="","",IF($B675&gt;Input!$C$9,0,$AC675)+AL676/(1+$L675)*$R675))</f>
        <v>0</v>
      </c>
      <c r="AM675" s="160">
        <f t="shared" si="216"/>
        <v>1.1382936520186004</v>
      </c>
      <c r="AN675" s="164">
        <f>IF($E675="","",IF($B675&gt;Input!$C$9,$AI675*$AC675,$AM675*$AC675))</f>
        <v>0</v>
      </c>
      <c r="AO675" s="164">
        <f>IF(AND($C674=12,$D674=Input!$C$6),0,IF($E675="","",$AN675+AO676/(1+$L675)*$R675))</f>
        <v>86955.790593278289</v>
      </c>
      <c r="AP675" s="152"/>
      <c r="AQ675" s="164">
        <f t="shared" si="217"/>
        <v>-13509.41016350461</v>
      </c>
      <c r="AR675" s="164">
        <f t="shared" si="226"/>
        <v>4815.6125103382983</v>
      </c>
      <c r="AS675" s="164">
        <f t="shared" si="227"/>
        <v>16846.411483253585</v>
      </c>
      <c r="AT675" s="164">
        <f t="shared" si="218"/>
        <v>16846.411483253585</v>
      </c>
      <c r="AU675" s="152"/>
      <c r="AV675" s="147">
        <f>'Deterministic Reserve'!BC675</f>
        <v>2.275914489458159E-8</v>
      </c>
      <c r="AW675" s="164">
        <f t="shared" si="219"/>
        <v>16846.411483253585</v>
      </c>
      <c r="AX675" s="164">
        <f t="shared" si="220"/>
        <v>3.8340991990111153E-4</v>
      </c>
      <c r="AY675" s="152"/>
    </row>
    <row r="676" spans="1:51" s="150" customFormat="1" x14ac:dyDescent="0.25">
      <c r="A676" s="150">
        <f t="shared" si="228"/>
        <v>672</v>
      </c>
      <c r="B676" s="150">
        <f t="shared" si="229"/>
        <v>56</v>
      </c>
      <c r="C676" s="150">
        <f t="shared" si="230"/>
        <v>12</v>
      </c>
      <c r="D676" s="150">
        <f>IF(E676="","",Input!$C$4+B676-1)</f>
        <v>100</v>
      </c>
      <c r="E676" s="150">
        <f>IF(OR(AND(C675=12,D675=Input!$C$6),E675=""),"",1)</f>
        <v>1</v>
      </c>
      <c r="F676" s="150">
        <f>IF(E676="","",Input!$C$8+B676-1)</f>
        <v>2073</v>
      </c>
      <c r="G676" s="151">
        <f>IF(E676="","",MAX(0,Input!$C$9-B676))</f>
        <v>0</v>
      </c>
      <c r="H676" s="152">
        <f>IF(E676="","",Input!$C$3)</f>
        <v>100000</v>
      </c>
      <c r="I676" s="153">
        <f>IF(E676="","",HLOOKUP($B676,Input!$C$13:$BT$14,2))</f>
        <v>862.62049999999999</v>
      </c>
      <c r="J676" s="154"/>
      <c r="K676" s="155">
        <f>IF($E676="","",Input!$C$57)</f>
        <v>4.4999999999999998E-2</v>
      </c>
      <c r="L676" s="155">
        <f t="shared" si="221"/>
        <v>3.6748094004368514E-3</v>
      </c>
      <c r="M676" s="147">
        <f>IF($E676="","",VLOOKUP(IF($B676&lt;=Input!$C$7,$B676,26),'Mortality Tables'!$A$72:$CA$97,IF($B676&lt;=Input!$C$7+1,Input!$C$4-16,$D676-Input!$C$7-16),0)/1000)</f>
        <v>0.35208999999999996</v>
      </c>
      <c r="N676" s="147">
        <f t="shared" si="210"/>
        <v>3.5520746294722017E-2</v>
      </c>
      <c r="O676" s="157">
        <f>IF($E676="","",IF($C676=12,IF($B676&lt;Input!$C$9,Input!$C$54,IF($B676=Input!$C$9,Input!$C$55,Input!$C$56)),0%))</f>
        <v>0.1</v>
      </c>
      <c r="P676" s="167">
        <f>IF($E676="","",IF($B676=1,Input!$C$59,IF($B676&lt;6,Input!$C$60,0%)))</f>
        <v>0</v>
      </c>
      <c r="Q676" s="162">
        <f>IF($E676="","",Input!$C$58)</f>
        <v>2.5</v>
      </c>
      <c r="R676" s="156">
        <f t="shared" si="222"/>
        <v>0.86447925370527801</v>
      </c>
      <c r="S676" s="154">
        <f t="shared" si="211"/>
        <v>1.6278522502404752E-5</v>
      </c>
      <c r="T676" s="152"/>
      <c r="U676" s="150">
        <f t="shared" si="223"/>
        <v>0</v>
      </c>
      <c r="V676" s="150">
        <f t="shared" si="224"/>
        <v>0</v>
      </c>
      <c r="W676" s="168">
        <f t="shared" si="225"/>
        <v>0</v>
      </c>
      <c r="X676" s="163">
        <f t="shared" si="212"/>
        <v>3552.0746294722017</v>
      </c>
      <c r="Y676" s="152"/>
      <c r="Z676" s="164">
        <f>IF(AND($C675=12,$D675=Input!$C$6),0,IF($E676="","",V676+Z677/(1+L676)*R676))</f>
        <v>170066.49786338166</v>
      </c>
      <c r="AA676" s="164">
        <f>IF(OR($M676=1,AND($C675=12,$D675=Input!$C$6)),0,IF($E676="","",W676+(X676+AA677*$R676)/(1+$L676)))</f>
        <v>72748.280463245072</v>
      </c>
      <c r="AB676" s="160">
        <f t="shared" si="213"/>
        <v>0.825720328500681</v>
      </c>
      <c r="AC676" s="164">
        <f t="shared" si="214"/>
        <v>0</v>
      </c>
      <c r="AD676" s="164">
        <f>IF(AND($C675=12,$D675=Input!$C$6),0,IF($E676="","",$AC676+AD677/(1+$L676)*$R676))</f>
        <v>140427.36448271183</v>
      </c>
      <c r="AE676" s="152"/>
      <c r="AF676" s="164">
        <f>IF(AND($C675=12,$D675=Input!$C$6),0,IF($E676="","",IF($B676&gt;Input!$C$9,$AC676,0)+AF677/(1+$L676)*$R676))</f>
        <v>140427.36448271183</v>
      </c>
      <c r="AG676" s="164">
        <f>IF(AND($C675=12,$D675=Input!$C$6),0,IF($E676="","",(IF($B676&gt;Input!$C$9,$X676,0)+AG677)/(1+$L676)*$R676))</f>
        <v>68949.108365534368</v>
      </c>
      <c r="AH676" s="160">
        <f t="shared" si="215"/>
        <v>2.0950137211446997</v>
      </c>
      <c r="AI676" s="160">
        <f>IF($E676="","",MIN(Input!$C$61/AH676,1))</f>
        <v>0.64438718771845094</v>
      </c>
      <c r="AJ676" s="152"/>
      <c r="AK676" s="164">
        <f>IF(AND($C675=12,$D675=Input!$C$6),0,IF($E676="","",IF($B676&gt;Input!$C$9,$AC676*AI676,0)+AK677/(1+$L676)*$R676))</f>
        <v>90489.594477728562</v>
      </c>
      <c r="AL676" s="164">
        <f>IF(AND($C675=12,$D675=Input!$C$6),0,IF($E676="","",IF($B676&gt;Input!$C$9,0,$AC676)+AL677/(1+$L676)*$R676))</f>
        <v>0</v>
      </c>
      <c r="AM676" s="160">
        <f t="shared" si="216"/>
        <v>1.1382936520186004</v>
      </c>
      <c r="AN676" s="164">
        <f>IF($E676="","",IF($B676&gt;Input!$C$9,$AI676*$AC676,$AM676*$AC676))</f>
        <v>0</v>
      </c>
      <c r="AO676" s="164">
        <f>IF(AND($C675=12,$D675=Input!$C$6),0,IF($E676="","",$AN676+AO677/(1+$L676)*$R676))</f>
        <v>90489.594477728562</v>
      </c>
      <c r="AP676" s="152"/>
      <c r="AQ676" s="164">
        <f t="shared" si="217"/>
        <v>-17741.314014483491</v>
      </c>
      <c r="AR676" s="164">
        <f t="shared" si="226"/>
        <v>4815.6125103382983</v>
      </c>
      <c r="AS676" s="164">
        <f t="shared" si="227"/>
        <v>16846.411483253585</v>
      </c>
      <c r="AT676" s="164">
        <f t="shared" si="218"/>
        <v>16846.411483253585</v>
      </c>
      <c r="AU676" s="152"/>
      <c r="AV676" s="147">
        <f>'Deterministic Reserve'!BC676</f>
        <v>1.8094714305367708E-8</v>
      </c>
      <c r="AW676" s="164">
        <f t="shared" si="219"/>
        <v>16846.411483253585</v>
      </c>
      <c r="AX676" s="164">
        <f t="shared" si="220"/>
        <v>3.0483100286013946E-4</v>
      </c>
      <c r="AY676" s="152"/>
    </row>
    <row r="677" spans="1:51" s="150" customFormat="1" x14ac:dyDescent="0.25">
      <c r="A677" s="150">
        <f t="shared" si="228"/>
        <v>673</v>
      </c>
      <c r="B677" s="150">
        <f t="shared" si="229"/>
        <v>57</v>
      </c>
      <c r="C677" s="150">
        <f t="shared" si="230"/>
        <v>1</v>
      </c>
      <c r="D677" s="150">
        <f>IF(E677="","",Input!$C$4+B677-1)</f>
        <v>101</v>
      </c>
      <c r="E677" s="150">
        <f>IF(OR(AND(C676=12,D676=Input!$C$6),E676=""),"",1)</f>
        <v>1</v>
      </c>
      <c r="F677" s="150">
        <f>IF(E677="","",Input!$C$8+B677-1)</f>
        <v>2074</v>
      </c>
      <c r="G677" s="151">
        <f>IF(E677="","",MAX(0,Input!$C$9-B677))</f>
        <v>0</v>
      </c>
      <c r="H677" s="152">
        <f>IF(E677="","",Input!$C$3)</f>
        <v>100000</v>
      </c>
      <c r="I677" s="153">
        <f>IF(E677="","",HLOOKUP($B677,Input!$C$13:$BT$14,2))</f>
        <v>917.45150000000012</v>
      </c>
      <c r="J677" s="154"/>
      <c r="K677" s="155">
        <f>IF($E677="","",Input!$C$57)</f>
        <v>4.4999999999999998E-2</v>
      </c>
      <c r="L677" s="155">
        <f t="shared" si="221"/>
        <v>3.6748094004368514E-3</v>
      </c>
      <c r="M677" s="147">
        <f>IF($E677="","",VLOOKUP(IF($B677&lt;=Input!$C$7,$B677,26),'Mortality Tables'!$A$72:$CA$97,IF($B677&lt;=Input!$C$7+1,Input!$C$4-16,$D677-Input!$C$7-16),0)/1000)</f>
        <v>0.37447000000000003</v>
      </c>
      <c r="N677" s="147">
        <f t="shared" si="210"/>
        <v>3.8341934128839572E-2</v>
      </c>
      <c r="O677" s="157">
        <f>IF($E677="","",IF($C677=12,IF($B677&lt;Input!$C$9,Input!$C$54,IF($B677=Input!$C$9,Input!$C$55,Input!$C$56)),0%))</f>
        <v>0</v>
      </c>
      <c r="P677" s="167">
        <f>IF($E677="","",IF($B677=1,Input!$C$59,IF($B677&lt;6,Input!$C$60,0%)))</f>
        <v>0</v>
      </c>
      <c r="Q677" s="162">
        <f>IF($E677="","",Input!$C$58)</f>
        <v>2.5</v>
      </c>
      <c r="R677" s="156">
        <f t="shared" si="222"/>
        <v>0.96165806587116043</v>
      </c>
      <c r="S677" s="154">
        <f t="shared" si="211"/>
        <v>1.5654372464902717E-5</v>
      </c>
      <c r="T677" s="152"/>
      <c r="U677" s="150">
        <f t="shared" si="223"/>
        <v>91745.150000000009</v>
      </c>
      <c r="V677" s="150">
        <f t="shared" si="224"/>
        <v>91745.150000000009</v>
      </c>
      <c r="W677" s="168">
        <f t="shared" si="225"/>
        <v>0</v>
      </c>
      <c r="X677" s="163">
        <f t="shared" si="212"/>
        <v>3834.1934128839571</v>
      </c>
      <c r="Y677" s="152"/>
      <c r="Z677" s="164">
        <f>IF(AND($C676=12,$D676=Input!$C$6),0,IF($E677="","",V677+Z678/(1+L677)*R677))</f>
        <v>197450.03607295619</v>
      </c>
      <c r="AA677" s="164">
        <f>IF(OR($M677=1,AND($C676=12,$D676=Input!$C$6)),0,IF($E677="","",W677+(X677+AA678*$R677)/(1+$L677)))</f>
        <v>80353.046763070888</v>
      </c>
      <c r="AB677" s="160">
        <f t="shared" si="213"/>
        <v>0.825720328500681</v>
      </c>
      <c r="AC677" s="164">
        <f t="shared" si="214"/>
        <v>75755.835396344264</v>
      </c>
      <c r="AD677" s="164">
        <f>IF(AND($C676=12,$D676=Input!$C$6),0,IF($E677="","",$AC677+AD678/(1+$L677)*$R677))</f>
        <v>163038.50864863265</v>
      </c>
      <c r="AE677" s="152"/>
      <c r="AF677" s="164">
        <f>IF(AND($C676=12,$D676=Input!$C$6),0,IF($E677="","",IF($B677&gt;Input!$C$9,$AC677,0)+AF678/(1+$L677)*$R677))</f>
        <v>163038.50864863265</v>
      </c>
      <c r="AG677" s="164">
        <f>IF(AND($C676=12,$D676=Input!$C$6),0,IF($E677="","",(IF($B677&gt;Input!$C$9,$X677,0)+AG678)/(1+$L677)*$R677))</f>
        <v>76498.988366541103</v>
      </c>
      <c r="AH677" s="160">
        <f t="shared" si="215"/>
        <v>2.0950137211446997</v>
      </c>
      <c r="AI677" s="160">
        <f>IF($E677="","",MIN(Input!$C$61/AH677,1))</f>
        <v>0.64438718771845094</v>
      </c>
      <c r="AJ677" s="152"/>
      <c r="AK677" s="164">
        <f>IF(AND($C676=12,$D676=Input!$C$6),0,IF($E677="","",IF($B677&gt;Input!$C$9,$AC677*AI677,0)+AK678/(1+$L677)*$R677))</f>
        <v>105059.92607790275</v>
      </c>
      <c r="AL677" s="164">
        <f>IF(AND($C676=12,$D676=Input!$C$6),0,IF($E677="","",IF($B677&gt;Input!$C$9,0,$AC677)+AL678/(1+$L677)*$R677))</f>
        <v>0</v>
      </c>
      <c r="AM677" s="160">
        <f t="shared" si="216"/>
        <v>1.1382936520186004</v>
      </c>
      <c r="AN677" s="164">
        <f>IF($E677="","",IF($B677&gt;Input!$C$9,$AI677*$AC677,$AM677*$AC677))</f>
        <v>48816.089724312158</v>
      </c>
      <c r="AO677" s="164">
        <f>IF(AND($C676=12,$D676=Input!$C$6),0,IF($E677="","",$AN677+AO678/(1+$L677)*$R677))</f>
        <v>105059.92607790275</v>
      </c>
      <c r="AP677" s="152"/>
      <c r="AQ677" s="164">
        <f t="shared" si="217"/>
        <v>-24706.879314831865</v>
      </c>
      <c r="AR677" s="164">
        <f t="shared" si="226"/>
        <v>7426.8234154848979</v>
      </c>
      <c r="AS677" s="164">
        <f t="shared" si="227"/>
        <v>17917.224880382775</v>
      </c>
      <c r="AT677" s="164">
        <f t="shared" si="218"/>
        <v>17917.224880382775</v>
      </c>
      <c r="AU677" s="152"/>
      <c r="AV677" s="147">
        <f>'Deterministic Reserve'!BC677</f>
        <v>1.6092054538318211E-8</v>
      </c>
      <c r="AW677" s="164">
        <f t="shared" si="219"/>
        <v>17917.224880382775</v>
      </c>
      <c r="AX677" s="164">
        <f t="shared" si="220"/>
        <v>2.883249599504316E-4</v>
      </c>
      <c r="AY677" s="152"/>
    </row>
    <row r="678" spans="1:51" s="150" customFormat="1" x14ac:dyDescent="0.25">
      <c r="A678" s="150">
        <f t="shared" si="228"/>
        <v>674</v>
      </c>
      <c r="B678" s="150">
        <f t="shared" si="229"/>
        <v>57</v>
      </c>
      <c r="C678" s="150">
        <f t="shared" si="230"/>
        <v>2</v>
      </c>
      <c r="D678" s="150">
        <f>IF(E678="","",Input!$C$4+B678-1)</f>
        <v>101</v>
      </c>
      <c r="E678" s="150">
        <f>IF(OR(AND(C677=12,D677=Input!$C$6),E677=""),"",1)</f>
        <v>1</v>
      </c>
      <c r="F678" s="150">
        <f>IF(E678="","",Input!$C$8+B678-1)</f>
        <v>2074</v>
      </c>
      <c r="G678" s="151">
        <f>IF(E678="","",MAX(0,Input!$C$9-B678))</f>
        <v>0</v>
      </c>
      <c r="H678" s="152">
        <f>IF(E678="","",Input!$C$3)</f>
        <v>100000</v>
      </c>
      <c r="I678" s="153">
        <f>IF(E678="","",HLOOKUP($B678,Input!$C$13:$BT$14,2))</f>
        <v>917.45150000000012</v>
      </c>
      <c r="J678" s="154"/>
      <c r="K678" s="155">
        <f>IF($E678="","",Input!$C$57)</f>
        <v>4.4999999999999998E-2</v>
      </c>
      <c r="L678" s="155">
        <f t="shared" si="221"/>
        <v>3.6748094004368514E-3</v>
      </c>
      <c r="M678" s="147">
        <f>IF($E678="","",VLOOKUP(IF($B678&lt;=Input!$C$7,$B678,26),'Mortality Tables'!$A$72:$CA$97,IF($B678&lt;=Input!$C$7+1,Input!$C$4-16,$D678-Input!$C$7-16),0)/1000)</f>
        <v>0.37447000000000003</v>
      </c>
      <c r="N678" s="147">
        <f t="shared" si="210"/>
        <v>3.8341934128839572E-2</v>
      </c>
      <c r="O678" s="157">
        <f>IF($E678="","",IF($C678=12,IF($B678&lt;Input!$C$9,Input!$C$54,IF($B678=Input!$C$9,Input!$C$55,Input!$C$56)),0%))</f>
        <v>0</v>
      </c>
      <c r="P678" s="167">
        <f>IF($E678="","",IF($B678=1,Input!$C$59,IF($B678&lt;6,Input!$C$60,0%)))</f>
        <v>0</v>
      </c>
      <c r="Q678" s="162">
        <f>IF($E678="","",Input!$C$58)</f>
        <v>2.5</v>
      </c>
      <c r="R678" s="156">
        <f t="shared" si="222"/>
        <v>0.96165806587116043</v>
      </c>
      <c r="S678" s="154">
        <f t="shared" si="211"/>
        <v>1.5054153547025098E-5</v>
      </c>
      <c r="T678" s="152"/>
      <c r="U678" s="150">
        <f t="shared" si="223"/>
        <v>0</v>
      </c>
      <c r="V678" s="150">
        <f t="shared" si="224"/>
        <v>0</v>
      </c>
      <c r="W678" s="168">
        <f t="shared" si="225"/>
        <v>0</v>
      </c>
      <c r="X678" s="163">
        <f t="shared" si="212"/>
        <v>3834.1934128839571</v>
      </c>
      <c r="Y678" s="152"/>
      <c r="Z678" s="164">
        <f>IF(AND($C677=12,$D677=Input!$C$6),0,IF($E678="","",V678+Z679/(1+L678)*R678))</f>
        <v>110323.3416815985</v>
      </c>
      <c r="AA678" s="164">
        <f>IF(OR($M678=1,AND($C677=12,$D677=Input!$C$6)),0,IF($E678="","",W678+(X678+AA679*$R678)/(1+$L678)))</f>
        <v>79876.765149575411</v>
      </c>
      <c r="AB678" s="160">
        <f t="shared" si="213"/>
        <v>0.825720328500681</v>
      </c>
      <c r="AC678" s="164">
        <f t="shared" si="214"/>
        <v>0</v>
      </c>
      <c r="AD678" s="164">
        <f>IF(AND($C677=12,$D677=Input!$C$6),0,IF($E678="","",$AC678+AD679/(1+$L678)*$R678))</f>
        <v>91096.225934622329</v>
      </c>
      <c r="AE678" s="152"/>
      <c r="AF678" s="164">
        <f>IF(AND($C677=12,$D677=Input!$C$6),0,IF($E678="","",IF($B678&gt;Input!$C$9,$AC678,0)+AF679/(1+$L678)*$R678))</f>
        <v>91096.225934622329</v>
      </c>
      <c r="AG678" s="164">
        <f>IF(AND($C677=12,$D677=Input!$C$6),0,IF($E678="","",(IF($B678&gt;Input!$C$9,$X678,0)+AG679)/(1+$L678)*$R678))</f>
        <v>76007.187107914491</v>
      </c>
      <c r="AH678" s="160">
        <f t="shared" si="215"/>
        <v>2.0950137211446997</v>
      </c>
      <c r="AI678" s="160">
        <f>IF($E678="","",MIN(Input!$C$61/AH678,1))</f>
        <v>0.64438718771845094</v>
      </c>
      <c r="AJ678" s="152"/>
      <c r="AK678" s="164">
        <f>IF(AND($C677=12,$D677=Input!$C$6),0,IF($E678="","",IF($B678&gt;Input!$C$9,$AC678*AI678,0)+AK679/(1+$L678)*$R678))</f>
        <v>58701.240841775914</v>
      </c>
      <c r="AL678" s="164">
        <f>IF(AND($C677=12,$D677=Input!$C$6),0,IF($E678="","",IF($B678&gt;Input!$C$9,0,$AC678)+AL679/(1+$L678)*$R678))</f>
        <v>0</v>
      </c>
      <c r="AM678" s="160">
        <f t="shared" si="216"/>
        <v>1.1382936520186004</v>
      </c>
      <c r="AN678" s="164">
        <f>IF($E678="","",IF($B678&gt;Input!$C$9,$AI678*$AC678,$AM678*$AC678))</f>
        <v>0</v>
      </c>
      <c r="AO678" s="164">
        <f>IF(AND($C677=12,$D677=Input!$C$6),0,IF($E678="","",$AN678+AO679/(1+$L678)*$R678))</f>
        <v>58701.240841775914</v>
      </c>
      <c r="AP678" s="152"/>
      <c r="AQ678" s="164">
        <f t="shared" si="217"/>
        <v>21175.524307799496</v>
      </c>
      <c r="AR678" s="164">
        <f t="shared" si="226"/>
        <v>7426.8234154848979</v>
      </c>
      <c r="AS678" s="164">
        <f t="shared" si="227"/>
        <v>17917.224880382775</v>
      </c>
      <c r="AT678" s="164">
        <f t="shared" si="218"/>
        <v>17917.224880382775</v>
      </c>
      <c r="AU678" s="152"/>
      <c r="AV678" s="147">
        <f>'Deterministic Reserve'!BC678</f>
        <v>1.4311042158172689E-8</v>
      </c>
      <c r="AW678" s="164">
        <f t="shared" si="219"/>
        <v>17917.224880382775</v>
      </c>
      <c r="AX678" s="164">
        <f t="shared" si="220"/>
        <v>2.5641416062061853E-4</v>
      </c>
      <c r="AY678" s="152"/>
    </row>
    <row r="679" spans="1:51" s="150" customFormat="1" x14ac:dyDescent="0.25">
      <c r="A679" s="150">
        <f t="shared" si="228"/>
        <v>675</v>
      </c>
      <c r="B679" s="150">
        <f t="shared" si="229"/>
        <v>57</v>
      </c>
      <c r="C679" s="150">
        <f t="shared" si="230"/>
        <v>3</v>
      </c>
      <c r="D679" s="150">
        <f>IF(E679="","",Input!$C$4+B679-1)</f>
        <v>101</v>
      </c>
      <c r="E679" s="150">
        <f>IF(OR(AND(C678=12,D678=Input!$C$6),E678=""),"",1)</f>
        <v>1</v>
      </c>
      <c r="F679" s="150">
        <f>IF(E679="","",Input!$C$8+B679-1)</f>
        <v>2074</v>
      </c>
      <c r="G679" s="151">
        <f>IF(E679="","",MAX(0,Input!$C$9-B679))</f>
        <v>0</v>
      </c>
      <c r="H679" s="152">
        <f>IF(E679="","",Input!$C$3)</f>
        <v>100000</v>
      </c>
      <c r="I679" s="153">
        <f>IF(E679="","",HLOOKUP($B679,Input!$C$13:$BT$14,2))</f>
        <v>917.45150000000012</v>
      </c>
      <c r="J679" s="154"/>
      <c r="K679" s="155">
        <f>IF($E679="","",Input!$C$57)</f>
        <v>4.4999999999999998E-2</v>
      </c>
      <c r="L679" s="155">
        <f t="shared" si="221"/>
        <v>3.6748094004368514E-3</v>
      </c>
      <c r="M679" s="147">
        <f>IF($E679="","",VLOOKUP(IF($B679&lt;=Input!$C$7,$B679,26),'Mortality Tables'!$A$72:$CA$97,IF($B679&lt;=Input!$C$7+1,Input!$C$4-16,$D679-Input!$C$7-16),0)/1000)</f>
        <v>0.37447000000000003</v>
      </c>
      <c r="N679" s="147">
        <f t="shared" si="210"/>
        <v>3.8341934128839572E-2</v>
      </c>
      <c r="O679" s="157">
        <f>IF($E679="","",IF($C679=12,IF($B679&lt;Input!$C$9,Input!$C$54,IF($B679=Input!$C$9,Input!$C$55,Input!$C$56)),0%))</f>
        <v>0</v>
      </c>
      <c r="P679" s="167">
        <f>IF($E679="","",IF($B679=1,Input!$C$59,IF($B679&lt;6,Input!$C$60,0%)))</f>
        <v>0</v>
      </c>
      <c r="Q679" s="162">
        <f>IF($E679="","",Input!$C$58)</f>
        <v>2.5</v>
      </c>
      <c r="R679" s="156">
        <f t="shared" si="222"/>
        <v>0.96165806587116043</v>
      </c>
      <c r="S679" s="154">
        <f t="shared" si="211"/>
        <v>1.4476948183359624E-5</v>
      </c>
      <c r="T679" s="152"/>
      <c r="U679" s="150">
        <f t="shared" si="223"/>
        <v>0</v>
      </c>
      <c r="V679" s="150">
        <f t="shared" si="224"/>
        <v>0</v>
      </c>
      <c r="W679" s="168">
        <f t="shared" si="225"/>
        <v>0</v>
      </c>
      <c r="X679" s="163">
        <f t="shared" si="212"/>
        <v>3834.1934128839571</v>
      </c>
      <c r="Y679" s="152"/>
      <c r="Z679" s="164">
        <f>IF(AND($C678=12,$D678=Input!$C$6),0,IF($E679="","",V679+Z680/(1+L679)*R679))</f>
        <v>115143.58675335303</v>
      </c>
      <c r="AA679" s="164">
        <f>IF(OR($M679=1,AND($C678=12,$D678=Input!$C$6)),0,IF($E679="","",W679+(X679+AA680*$R679)/(1+$L679)))</f>
        <v>79379.673850067658</v>
      </c>
      <c r="AB679" s="160">
        <f t="shared" si="213"/>
        <v>0.825720328500681</v>
      </c>
      <c r="AC679" s="164">
        <f t="shared" si="214"/>
        <v>0</v>
      </c>
      <c r="AD679" s="164">
        <f>IF(AND($C678=12,$D678=Input!$C$6),0,IF($E679="","",$AC679+AD680/(1+$L679)*$R679))</f>
        <v>95076.400278725268</v>
      </c>
      <c r="AE679" s="152"/>
      <c r="AF679" s="164">
        <f>IF(AND($C678=12,$D678=Input!$C$6),0,IF($E679="","",IF($B679&gt;Input!$C$9,$AC679,0)+AF680/(1+$L679)*$R679))</f>
        <v>95076.400278725268</v>
      </c>
      <c r="AG679" s="164">
        <f>IF(AND($C678=12,$D678=Input!$C$6),0,IF($E679="","",(IF($B679&gt;Input!$C$9,$X679,0)+AG680)/(1+$L679)*$R679))</f>
        <v>75493.898079274353</v>
      </c>
      <c r="AH679" s="160">
        <f t="shared" si="215"/>
        <v>2.0950137211446997</v>
      </c>
      <c r="AI679" s="160">
        <f>IF($E679="","",MIN(Input!$C$61/AH679,1))</f>
        <v>0.64438718771845094</v>
      </c>
      <c r="AJ679" s="152"/>
      <c r="AK679" s="164">
        <f>IF(AND($C678=12,$D678=Input!$C$6),0,IF($E679="","",IF($B679&gt;Input!$C$9,$AC679*AI679,0)+AK680/(1+$L679)*$R679))</f>
        <v>61266.014194001538</v>
      </c>
      <c r="AL679" s="164">
        <f>IF(AND($C678=12,$D678=Input!$C$6),0,IF($E679="","",IF($B679&gt;Input!$C$9,0,$AC679)+AL680/(1+$L679)*$R679))</f>
        <v>0</v>
      </c>
      <c r="AM679" s="160">
        <f t="shared" si="216"/>
        <v>1.1382936520186004</v>
      </c>
      <c r="AN679" s="164">
        <f>IF($E679="","",IF($B679&gt;Input!$C$9,$AI679*$AC679,$AM679*$AC679))</f>
        <v>0</v>
      </c>
      <c r="AO679" s="164">
        <f>IF(AND($C678=12,$D678=Input!$C$6),0,IF($E679="","",$AN679+AO680/(1+$L679)*$R679))</f>
        <v>61266.014194001538</v>
      </c>
      <c r="AP679" s="152"/>
      <c r="AQ679" s="164">
        <f t="shared" si="217"/>
        <v>18113.65965606612</v>
      </c>
      <c r="AR679" s="164">
        <f t="shared" si="226"/>
        <v>7426.8234154848979</v>
      </c>
      <c r="AS679" s="164">
        <f t="shared" si="227"/>
        <v>17917.224880382775</v>
      </c>
      <c r="AT679" s="164">
        <f t="shared" si="218"/>
        <v>17917.224880382775</v>
      </c>
      <c r="AU679" s="152"/>
      <c r="AV679" s="147">
        <f>'Deterministic Reserve'!BC679</f>
        <v>1.2727146006453967E-8</v>
      </c>
      <c r="AW679" s="164">
        <f t="shared" si="219"/>
        <v>17917.224880382775</v>
      </c>
      <c r="AX679" s="164">
        <f t="shared" si="220"/>
        <v>2.2803513708310129E-4</v>
      </c>
      <c r="AY679" s="152"/>
    </row>
    <row r="680" spans="1:51" s="150" customFormat="1" x14ac:dyDescent="0.25">
      <c r="A680" s="150">
        <f t="shared" si="228"/>
        <v>676</v>
      </c>
      <c r="B680" s="150">
        <f t="shared" si="229"/>
        <v>57</v>
      </c>
      <c r="C680" s="150">
        <f t="shared" si="230"/>
        <v>4</v>
      </c>
      <c r="D680" s="150">
        <f>IF(E680="","",Input!$C$4+B680-1)</f>
        <v>101</v>
      </c>
      <c r="E680" s="150">
        <f>IF(OR(AND(C679=12,D679=Input!$C$6),E679=""),"",1)</f>
        <v>1</v>
      </c>
      <c r="F680" s="150">
        <f>IF(E680="","",Input!$C$8+B680-1)</f>
        <v>2074</v>
      </c>
      <c r="G680" s="151">
        <f>IF(E680="","",MAX(0,Input!$C$9-B680))</f>
        <v>0</v>
      </c>
      <c r="H680" s="152">
        <f>IF(E680="","",Input!$C$3)</f>
        <v>100000</v>
      </c>
      <c r="I680" s="153">
        <f>IF(E680="","",HLOOKUP($B680,Input!$C$13:$BT$14,2))</f>
        <v>917.45150000000012</v>
      </c>
      <c r="J680" s="154"/>
      <c r="K680" s="155">
        <f>IF($E680="","",Input!$C$57)</f>
        <v>4.4999999999999998E-2</v>
      </c>
      <c r="L680" s="155">
        <f t="shared" si="221"/>
        <v>3.6748094004368514E-3</v>
      </c>
      <c r="M680" s="147">
        <f>IF($E680="","",VLOOKUP(IF($B680&lt;=Input!$C$7,$B680,26),'Mortality Tables'!$A$72:$CA$97,IF($B680&lt;=Input!$C$7+1,Input!$C$4-16,$D680-Input!$C$7-16),0)/1000)</f>
        <v>0.37447000000000003</v>
      </c>
      <c r="N680" s="147">
        <f t="shared" si="210"/>
        <v>3.8341934128839572E-2</v>
      </c>
      <c r="O680" s="157">
        <f>IF($E680="","",IF($C680=12,IF($B680&lt;Input!$C$9,Input!$C$54,IF($B680=Input!$C$9,Input!$C$55,Input!$C$56)),0%))</f>
        <v>0</v>
      </c>
      <c r="P680" s="167">
        <f>IF($E680="","",IF($B680=1,Input!$C$59,IF($B680&lt;6,Input!$C$60,0%)))</f>
        <v>0</v>
      </c>
      <c r="Q680" s="162">
        <f>IF($E680="","",Input!$C$58)</f>
        <v>2.5</v>
      </c>
      <c r="R680" s="156">
        <f t="shared" si="222"/>
        <v>0.96165806587116043</v>
      </c>
      <c r="S680" s="154">
        <f t="shared" si="211"/>
        <v>1.3921873989726626E-5</v>
      </c>
      <c r="T680" s="152"/>
      <c r="U680" s="150">
        <f t="shared" si="223"/>
        <v>0</v>
      </c>
      <c r="V680" s="150">
        <f t="shared" si="224"/>
        <v>0</v>
      </c>
      <c r="W680" s="168">
        <f t="shared" si="225"/>
        <v>0</v>
      </c>
      <c r="X680" s="163">
        <f t="shared" si="212"/>
        <v>3834.1934128839571</v>
      </c>
      <c r="Y680" s="152"/>
      <c r="Z680" s="164">
        <f>IF(AND($C679=12,$D679=Input!$C$6),0,IF($E680="","",V680+Z681/(1+L680)*R680))</f>
        <v>120174.43786910168</v>
      </c>
      <c r="AA680" s="164">
        <f>IF(OR($M680=1,AND($C679=12,$D679=Input!$C$6)),0,IF($E680="","",W680+(X680+AA681*$R680)/(1+$L680)))</f>
        <v>78860.86364819399</v>
      </c>
      <c r="AB680" s="160">
        <f t="shared" si="213"/>
        <v>0.825720328500681</v>
      </c>
      <c r="AC680" s="164">
        <f t="shared" si="214"/>
        <v>0</v>
      </c>
      <c r="AD680" s="164">
        <f>IF(AND($C679=12,$D679=Input!$C$6),0,IF($E680="","",$AC680+AD681/(1+$L680)*$R680))</f>
        <v>99230.476314659274</v>
      </c>
      <c r="AE680" s="152"/>
      <c r="AF680" s="164">
        <f>IF(AND($C679=12,$D679=Input!$C$6),0,IF($E680="","",IF($B680&gt;Input!$C$9,$AC680,0)+AF681/(1+$L680)*$R680))</f>
        <v>99230.476314659274</v>
      </c>
      <c r="AG680" s="164">
        <f>IF(AND($C679=12,$D679=Input!$C$6),0,IF($E680="","",(IF($B680&gt;Input!$C$9,$X680,0)+AG681)/(1+$L680)*$R680))</f>
        <v>74958.182437435447</v>
      </c>
      <c r="AH680" s="160">
        <f t="shared" si="215"/>
        <v>2.0950137211446997</v>
      </c>
      <c r="AI680" s="160">
        <f>IF($E680="","",MIN(Input!$C$61/AH680,1))</f>
        <v>0.64438718771845094</v>
      </c>
      <c r="AJ680" s="152"/>
      <c r="AK680" s="164">
        <f>IF(AND($C679=12,$D679=Input!$C$6),0,IF($E680="","",IF($B680&gt;Input!$C$9,$AC680*AI680,0)+AK681/(1+$L680)*$R680))</f>
        <v>63942.847568365658</v>
      </c>
      <c r="AL680" s="164">
        <f>IF(AND($C679=12,$D679=Input!$C$6),0,IF($E680="","",IF($B680&gt;Input!$C$9,0,$AC680)+AL681/(1+$L680)*$R680))</f>
        <v>0</v>
      </c>
      <c r="AM680" s="160">
        <f t="shared" si="216"/>
        <v>1.1382936520186004</v>
      </c>
      <c r="AN680" s="164">
        <f>IF($E680="","",IF($B680&gt;Input!$C$9,$AI680*$AC680,$AM680*$AC680))</f>
        <v>0</v>
      </c>
      <c r="AO680" s="164">
        <f>IF(AND($C679=12,$D679=Input!$C$6),0,IF($E680="","",$AN680+AO681/(1+$L680)*$R680))</f>
        <v>63942.847568365658</v>
      </c>
      <c r="AP680" s="152"/>
      <c r="AQ680" s="164">
        <f t="shared" si="217"/>
        <v>14918.016079828332</v>
      </c>
      <c r="AR680" s="164">
        <f t="shared" si="226"/>
        <v>7426.8234154848979</v>
      </c>
      <c r="AS680" s="164">
        <f t="shared" si="227"/>
        <v>17917.224880382775</v>
      </c>
      <c r="AT680" s="164">
        <f t="shared" si="218"/>
        <v>17917.224880382775</v>
      </c>
      <c r="AU680" s="152"/>
      <c r="AV680" s="147">
        <f>'Deterministic Reserve'!BC680</f>
        <v>1.1318549947607704E-8</v>
      </c>
      <c r="AW680" s="164">
        <f t="shared" si="219"/>
        <v>17917.224880382775</v>
      </c>
      <c r="AX680" s="164">
        <f t="shared" si="220"/>
        <v>2.0279700473113191E-4</v>
      </c>
      <c r="AY680" s="152"/>
    </row>
    <row r="681" spans="1:51" s="150" customFormat="1" x14ac:dyDescent="0.25">
      <c r="A681" s="150">
        <f t="shared" si="228"/>
        <v>677</v>
      </c>
      <c r="B681" s="150">
        <f t="shared" si="229"/>
        <v>57</v>
      </c>
      <c r="C681" s="150">
        <f t="shared" si="230"/>
        <v>5</v>
      </c>
      <c r="D681" s="150">
        <f>IF(E681="","",Input!$C$4+B681-1)</f>
        <v>101</v>
      </c>
      <c r="E681" s="150">
        <f>IF(OR(AND(C680=12,D680=Input!$C$6),E680=""),"",1)</f>
        <v>1</v>
      </c>
      <c r="F681" s="150">
        <f>IF(E681="","",Input!$C$8+B681-1)</f>
        <v>2074</v>
      </c>
      <c r="G681" s="151">
        <f>IF(E681="","",MAX(0,Input!$C$9-B681))</f>
        <v>0</v>
      </c>
      <c r="H681" s="152">
        <f>IF(E681="","",Input!$C$3)</f>
        <v>100000</v>
      </c>
      <c r="I681" s="153">
        <f>IF(E681="","",HLOOKUP($B681,Input!$C$13:$BT$14,2))</f>
        <v>917.45150000000012</v>
      </c>
      <c r="J681" s="154"/>
      <c r="K681" s="155">
        <f>IF($E681="","",Input!$C$57)</f>
        <v>4.4999999999999998E-2</v>
      </c>
      <c r="L681" s="155">
        <f t="shared" si="221"/>
        <v>3.6748094004368514E-3</v>
      </c>
      <c r="M681" s="147">
        <f>IF($E681="","",VLOOKUP(IF($B681&lt;=Input!$C$7,$B681,26),'Mortality Tables'!$A$72:$CA$97,IF($B681&lt;=Input!$C$7+1,Input!$C$4-16,$D681-Input!$C$7-16),0)/1000)</f>
        <v>0.37447000000000003</v>
      </c>
      <c r="N681" s="147">
        <f t="shared" si="210"/>
        <v>3.8341934128839572E-2</v>
      </c>
      <c r="O681" s="157">
        <f>IF($E681="","",IF($C681=12,IF($B681&lt;Input!$C$9,Input!$C$54,IF($B681=Input!$C$9,Input!$C$55,Input!$C$56)),0%))</f>
        <v>0</v>
      </c>
      <c r="P681" s="167">
        <f>IF($E681="","",IF($B681=1,Input!$C$59,IF($B681&lt;6,Input!$C$60,0%)))</f>
        <v>0</v>
      </c>
      <c r="Q681" s="162">
        <f>IF($E681="","",Input!$C$58)</f>
        <v>2.5</v>
      </c>
      <c r="R681" s="156">
        <f t="shared" si="222"/>
        <v>0.96165806587116043</v>
      </c>
      <c r="S681" s="154">
        <f t="shared" si="211"/>
        <v>1.3388082414262522E-5</v>
      </c>
      <c r="T681" s="152"/>
      <c r="U681" s="150">
        <f t="shared" si="223"/>
        <v>0</v>
      </c>
      <c r="V681" s="150">
        <f t="shared" si="224"/>
        <v>0</v>
      </c>
      <c r="W681" s="168">
        <f t="shared" si="225"/>
        <v>0</v>
      </c>
      <c r="X681" s="163">
        <f t="shared" si="212"/>
        <v>3834.1934128839571</v>
      </c>
      <c r="Y681" s="152"/>
      <c r="Z681" s="164">
        <f>IF(AND($C680=12,$D680=Input!$C$6),0,IF($E681="","",V681+Z682/(1+L681)*R681))</f>
        <v>125425.09682358862</v>
      </c>
      <c r="AA681" s="164">
        <f>IF(OR($M681=1,AND($C680=12,$D680=Input!$C$6)),0,IF($E681="","",W681+(X681+AA682*$R681)/(1+$L681)))</f>
        <v>78319.385602139388</v>
      </c>
      <c r="AB681" s="160">
        <f t="shared" si="213"/>
        <v>0.825720328500681</v>
      </c>
      <c r="AC681" s="164">
        <f t="shared" si="214"/>
        <v>0</v>
      </c>
      <c r="AD681" s="164">
        <f>IF(AND($C680=12,$D680=Input!$C$6),0,IF($E681="","",$AC681+AD682/(1+$L681)*$R681))</f>
        <v>103566.05215140329</v>
      </c>
      <c r="AE681" s="152"/>
      <c r="AF681" s="164">
        <f>IF(AND($C680=12,$D680=Input!$C$6),0,IF($E681="","",IF($B681&gt;Input!$C$9,$AC681,0)+AF682/(1+$L681)*$R681))</f>
        <v>103566.05215140329</v>
      </c>
      <c r="AG681" s="164">
        <f>IF(AND($C680=12,$D680=Input!$C$6),0,IF($E681="","",(IF($B681&gt;Input!$C$9,$X681,0)+AG682)/(1+$L681)*$R681))</f>
        <v>74399.060319296288</v>
      </c>
      <c r="AH681" s="160">
        <f t="shared" si="215"/>
        <v>2.0950137211446997</v>
      </c>
      <c r="AI681" s="160">
        <f>IF($E681="","",MIN(Input!$C$61/AH681,1))</f>
        <v>0.64438718771845094</v>
      </c>
      <c r="AJ681" s="152"/>
      <c r="AK681" s="164">
        <f>IF(AND($C680=12,$D680=Input!$C$6),0,IF($E681="","",IF($B681&gt;Input!$C$9,$AC681*AI681,0)+AK682/(1+$L681)*$R681))</f>
        <v>66736.637088945194</v>
      </c>
      <c r="AL681" s="164">
        <f>IF(AND($C680=12,$D680=Input!$C$6),0,IF($E681="","",IF($B681&gt;Input!$C$9,0,$AC681)+AL682/(1+$L681)*$R681))</f>
        <v>0</v>
      </c>
      <c r="AM681" s="160">
        <f t="shared" si="216"/>
        <v>1.1382936520186004</v>
      </c>
      <c r="AN681" s="164">
        <f>IF($E681="","",IF($B681&gt;Input!$C$9,$AI681*$AC681,$AM681*$AC681))</f>
        <v>0</v>
      </c>
      <c r="AO681" s="164">
        <f>IF(AND($C680=12,$D680=Input!$C$6),0,IF($E681="","",$AN681+AO682/(1+$L681)*$R681))</f>
        <v>66736.637088945194</v>
      </c>
      <c r="AP681" s="152"/>
      <c r="AQ681" s="164">
        <f t="shared" si="217"/>
        <v>11582.748513194194</v>
      </c>
      <c r="AR681" s="164">
        <f t="shared" si="226"/>
        <v>7426.8234154848979</v>
      </c>
      <c r="AS681" s="164">
        <f t="shared" si="227"/>
        <v>17917.224880382775</v>
      </c>
      <c r="AT681" s="164">
        <f t="shared" si="218"/>
        <v>17917.224880382775</v>
      </c>
      <c r="AU681" s="152"/>
      <c r="AV681" s="147">
        <f>'Deterministic Reserve'!BC681</f>
        <v>1.006585237975E-8</v>
      </c>
      <c r="AW681" s="164">
        <f t="shared" si="219"/>
        <v>17917.224880382775</v>
      </c>
      <c r="AX681" s="164">
        <f t="shared" si="220"/>
        <v>1.8035214070071686E-4</v>
      </c>
      <c r="AY681" s="152"/>
    </row>
    <row r="682" spans="1:51" s="150" customFormat="1" x14ac:dyDescent="0.25">
      <c r="A682" s="150">
        <f t="shared" si="228"/>
        <v>678</v>
      </c>
      <c r="B682" s="150">
        <f t="shared" si="229"/>
        <v>57</v>
      </c>
      <c r="C682" s="150">
        <f t="shared" si="230"/>
        <v>6</v>
      </c>
      <c r="D682" s="150">
        <f>IF(E682="","",Input!$C$4+B682-1)</f>
        <v>101</v>
      </c>
      <c r="E682" s="150">
        <f>IF(OR(AND(C681=12,D681=Input!$C$6),E681=""),"",1)</f>
        <v>1</v>
      </c>
      <c r="F682" s="150">
        <f>IF(E682="","",Input!$C$8+B682-1)</f>
        <v>2074</v>
      </c>
      <c r="G682" s="151">
        <f>IF(E682="","",MAX(0,Input!$C$9-B682))</f>
        <v>0</v>
      </c>
      <c r="H682" s="152">
        <f>IF(E682="","",Input!$C$3)</f>
        <v>100000</v>
      </c>
      <c r="I682" s="153">
        <f>IF(E682="","",HLOOKUP($B682,Input!$C$13:$BT$14,2))</f>
        <v>917.45150000000012</v>
      </c>
      <c r="J682" s="154"/>
      <c r="K682" s="155">
        <f>IF($E682="","",Input!$C$57)</f>
        <v>4.4999999999999998E-2</v>
      </c>
      <c r="L682" s="155">
        <f t="shared" si="221"/>
        <v>3.6748094004368514E-3</v>
      </c>
      <c r="M682" s="147">
        <f>IF($E682="","",VLOOKUP(IF($B682&lt;=Input!$C$7,$B682,26),'Mortality Tables'!$A$72:$CA$97,IF($B682&lt;=Input!$C$7+1,Input!$C$4-16,$D682-Input!$C$7-16),0)/1000)</f>
        <v>0.37447000000000003</v>
      </c>
      <c r="N682" s="147">
        <f t="shared" si="210"/>
        <v>3.8341934128839572E-2</v>
      </c>
      <c r="O682" s="157">
        <f>IF($E682="","",IF($C682=12,IF($B682&lt;Input!$C$9,Input!$C$54,IF($B682=Input!$C$9,Input!$C$55,Input!$C$56)),0%))</f>
        <v>0</v>
      </c>
      <c r="P682" s="167">
        <f>IF($E682="","",IF($B682=1,Input!$C$59,IF($B682&lt;6,Input!$C$60,0%)))</f>
        <v>0</v>
      </c>
      <c r="Q682" s="162">
        <f>IF($E682="","",Input!$C$58)</f>
        <v>2.5</v>
      </c>
      <c r="R682" s="156">
        <f t="shared" si="222"/>
        <v>0.96165806587116043</v>
      </c>
      <c r="S682" s="154">
        <f t="shared" si="211"/>
        <v>1.2874757440223394E-5</v>
      </c>
      <c r="T682" s="152"/>
      <c r="U682" s="150">
        <f t="shared" si="223"/>
        <v>0</v>
      </c>
      <c r="V682" s="150">
        <f t="shared" si="224"/>
        <v>0</v>
      </c>
      <c r="W682" s="168">
        <f t="shared" si="225"/>
        <v>0</v>
      </c>
      <c r="X682" s="163">
        <f t="shared" si="212"/>
        <v>3834.1934128839571</v>
      </c>
      <c r="Y682" s="152"/>
      <c r="Z682" s="164">
        <f>IF(AND($C681=12,$D681=Input!$C$6),0,IF($E682="","",V682+Z683/(1+L682)*R682))</f>
        <v>130905.16745617606</v>
      </c>
      <c r="AA682" s="164">
        <f>IF(OR($M682=1,AND($C681=12,$D681=Input!$C$6)),0,IF($E682="","",W682+(X682+AA683*$R682)/(1+$L682)))</f>
        <v>77754.249308943487</v>
      </c>
      <c r="AB682" s="160">
        <f t="shared" si="213"/>
        <v>0.825720328500681</v>
      </c>
      <c r="AC682" s="164">
        <f t="shared" si="214"/>
        <v>0</v>
      </c>
      <c r="AD682" s="164">
        <f>IF(AND($C681=12,$D681=Input!$C$6),0,IF($E682="","",$AC682+AD683/(1+$L682)*$R682))</f>
        <v>108091.05787435033</v>
      </c>
      <c r="AE682" s="152"/>
      <c r="AF682" s="164">
        <f>IF(AND($C681=12,$D681=Input!$C$6),0,IF($E682="","",IF($B682&gt;Input!$C$9,$AC682,0)+AF683/(1+$L682)*$R682))</f>
        <v>108091.05787435033</v>
      </c>
      <c r="AG682" s="164">
        <f>IF(AND($C681=12,$D681=Input!$C$6),0,IF($E682="","",(IF($B682&gt;Input!$C$9,$X682,0)+AG683)/(1+$L682)*$R682))</f>
        <v>73815.509049597807</v>
      </c>
      <c r="AH682" s="160">
        <f t="shared" si="215"/>
        <v>2.0950137211446997</v>
      </c>
      <c r="AI682" s="160">
        <f>IF($E682="","",MIN(Input!$C$61/AH682,1))</f>
        <v>0.64438718771845094</v>
      </c>
      <c r="AJ682" s="152"/>
      <c r="AK682" s="164">
        <f>IF(AND($C681=12,$D681=Input!$C$6),0,IF($E682="","",IF($B682&gt;Input!$C$9,$AC682*AI682,0)+AK683/(1+$L682)*$R682))</f>
        <v>69652.492801164917</v>
      </c>
      <c r="AL682" s="164">
        <f>IF(AND($C681=12,$D681=Input!$C$6),0,IF($E682="","",IF($B682&gt;Input!$C$9,0,$AC682)+AL683/(1+$L682)*$R682))</f>
        <v>0</v>
      </c>
      <c r="AM682" s="160">
        <f t="shared" si="216"/>
        <v>1.1382936520186004</v>
      </c>
      <c r="AN682" s="164">
        <f>IF($E682="","",IF($B682&gt;Input!$C$9,$AI682*$AC682,$AM682*$AC682))</f>
        <v>0</v>
      </c>
      <c r="AO682" s="164">
        <f>IF(AND($C681=12,$D681=Input!$C$6),0,IF($E682="","",$AN682+AO683/(1+$L682)*$R682))</f>
        <v>69652.492801164917</v>
      </c>
      <c r="AP682" s="152"/>
      <c r="AQ682" s="164">
        <f t="shared" si="217"/>
        <v>8101.7565077785694</v>
      </c>
      <c r="AR682" s="164">
        <f t="shared" si="226"/>
        <v>7426.8234154848979</v>
      </c>
      <c r="AS682" s="164">
        <f t="shared" si="227"/>
        <v>17917.224880382775</v>
      </c>
      <c r="AT682" s="164">
        <f t="shared" si="218"/>
        <v>17917.224880382775</v>
      </c>
      <c r="AU682" s="152"/>
      <c r="AV682" s="147">
        <f>'Deterministic Reserve'!BC682</f>
        <v>8.9517990025156963E-9</v>
      </c>
      <c r="AW682" s="164">
        <f t="shared" si="219"/>
        <v>17917.224880382775</v>
      </c>
      <c r="AX682" s="164">
        <f t="shared" si="220"/>
        <v>1.6039139581205993E-4</v>
      </c>
      <c r="AY682" s="152"/>
    </row>
    <row r="683" spans="1:51" s="150" customFormat="1" x14ac:dyDescent="0.25">
      <c r="A683" s="150">
        <f t="shared" si="228"/>
        <v>679</v>
      </c>
      <c r="B683" s="150">
        <f t="shared" si="229"/>
        <v>57</v>
      </c>
      <c r="C683" s="150">
        <f t="shared" si="230"/>
        <v>7</v>
      </c>
      <c r="D683" s="150">
        <f>IF(E683="","",Input!$C$4+B683-1)</f>
        <v>101</v>
      </c>
      <c r="E683" s="150">
        <f>IF(OR(AND(C682=12,D682=Input!$C$6),E682=""),"",1)</f>
        <v>1</v>
      </c>
      <c r="F683" s="150">
        <f>IF(E683="","",Input!$C$8+B683-1)</f>
        <v>2074</v>
      </c>
      <c r="G683" s="151">
        <f>IF(E683="","",MAX(0,Input!$C$9-B683))</f>
        <v>0</v>
      </c>
      <c r="H683" s="152">
        <f>IF(E683="","",Input!$C$3)</f>
        <v>100000</v>
      </c>
      <c r="I683" s="153">
        <f>IF(E683="","",HLOOKUP($B683,Input!$C$13:$BT$14,2))</f>
        <v>917.45150000000012</v>
      </c>
      <c r="J683" s="154"/>
      <c r="K683" s="155">
        <f>IF($E683="","",Input!$C$57)</f>
        <v>4.4999999999999998E-2</v>
      </c>
      <c r="L683" s="155">
        <f t="shared" si="221"/>
        <v>3.6748094004368514E-3</v>
      </c>
      <c r="M683" s="147">
        <f>IF($E683="","",VLOOKUP(IF($B683&lt;=Input!$C$7,$B683,26),'Mortality Tables'!$A$72:$CA$97,IF($B683&lt;=Input!$C$7+1,Input!$C$4-16,$D683-Input!$C$7-16),0)/1000)</f>
        <v>0.37447000000000003</v>
      </c>
      <c r="N683" s="147">
        <f t="shared" si="210"/>
        <v>3.8341934128839572E-2</v>
      </c>
      <c r="O683" s="157">
        <f>IF($E683="","",IF($C683=12,IF($B683&lt;Input!$C$9,Input!$C$54,IF($B683=Input!$C$9,Input!$C$55,Input!$C$56)),0%))</f>
        <v>0</v>
      </c>
      <c r="P683" s="167">
        <f>IF($E683="","",IF($B683=1,Input!$C$59,IF($B683&lt;6,Input!$C$60,0%)))</f>
        <v>0</v>
      </c>
      <c r="Q683" s="162">
        <f>IF($E683="","",Input!$C$58)</f>
        <v>2.5</v>
      </c>
      <c r="R683" s="156">
        <f t="shared" si="222"/>
        <v>0.96165806587116043</v>
      </c>
      <c r="S683" s="154">
        <f t="shared" si="211"/>
        <v>1.2381114338525561E-5</v>
      </c>
      <c r="T683" s="152"/>
      <c r="U683" s="150">
        <f t="shared" si="223"/>
        <v>0</v>
      </c>
      <c r="V683" s="150">
        <f t="shared" si="224"/>
        <v>0</v>
      </c>
      <c r="W683" s="168">
        <f t="shared" si="225"/>
        <v>0</v>
      </c>
      <c r="X683" s="163">
        <f t="shared" si="212"/>
        <v>3834.1934128839571</v>
      </c>
      <c r="Y683" s="152"/>
      <c r="Z683" s="164">
        <f>IF(AND($C682=12,$D682=Input!$C$6),0,IF($E683="","",V683+Z684/(1+L683)*R683))</f>
        <v>136624.67321696904</v>
      </c>
      <c r="AA683" s="164">
        <f>IF(OR($M683=1,AND($C682=12,$D682=Input!$C$6)),0,IF($E683="","",W683+(X683+AA684*$R683)/(1+$L683)))</f>
        <v>77164.421092981065</v>
      </c>
      <c r="AB683" s="160">
        <f t="shared" si="213"/>
        <v>0.825720328500681</v>
      </c>
      <c r="AC683" s="164">
        <f t="shared" si="214"/>
        <v>0</v>
      </c>
      <c r="AD683" s="164">
        <f>IF(AND($C682=12,$D682=Input!$C$6),0,IF($E683="","",$AC683+AD684/(1+$L683)*$R683))</f>
        <v>112813.77005001385</v>
      </c>
      <c r="AE683" s="152"/>
      <c r="AF683" s="164">
        <f>IF(AND($C682=12,$D682=Input!$C$6),0,IF($E683="","",IF($B683&gt;Input!$C$9,$AC683,0)+AF684/(1+$L683)*$R683))</f>
        <v>112813.77005001385</v>
      </c>
      <c r="AG683" s="164">
        <f>IF(AND($C682=12,$D682=Input!$C$6),0,IF($E683="","",(IF($B683&gt;Input!$C$9,$X683,0)+AG684)/(1+$L683)*$R683))</f>
        <v>73206.461270375541</v>
      </c>
      <c r="AH683" s="160">
        <f t="shared" si="215"/>
        <v>2.0950137211446997</v>
      </c>
      <c r="AI683" s="160">
        <f>IF($E683="","",MIN(Input!$C$61/AH683,1))</f>
        <v>0.64438718771845094</v>
      </c>
      <c r="AJ683" s="152"/>
      <c r="AK683" s="164">
        <f>IF(AND($C682=12,$D682=Input!$C$6),0,IF($E683="","",IF($B683&gt;Input!$C$9,$AC683*AI683,0)+AK684/(1+$L683)*$R683))</f>
        <v>72695.748018444414</v>
      </c>
      <c r="AL683" s="164">
        <f>IF(AND($C682=12,$D682=Input!$C$6),0,IF($E683="","",IF($B683&gt;Input!$C$9,0,$AC683)+AL684/(1+$L683)*$R683))</f>
        <v>0</v>
      </c>
      <c r="AM683" s="160">
        <f t="shared" si="216"/>
        <v>1.1382936520186004</v>
      </c>
      <c r="AN683" s="164">
        <f>IF($E683="","",IF($B683&gt;Input!$C$9,$AI683*$AC683,$AM683*$AC683))</f>
        <v>0</v>
      </c>
      <c r="AO683" s="164">
        <f>IF(AND($C682=12,$D682=Input!$C$6),0,IF($E683="","",$AN683+AO684/(1+$L683)*$R683))</f>
        <v>72695.748018444414</v>
      </c>
      <c r="AP683" s="152"/>
      <c r="AQ683" s="164">
        <f t="shared" si="217"/>
        <v>4468.6730745366513</v>
      </c>
      <c r="AR683" s="164">
        <f t="shared" si="226"/>
        <v>7426.8234154848979</v>
      </c>
      <c r="AS683" s="164">
        <f t="shared" si="227"/>
        <v>17917.224880382775</v>
      </c>
      <c r="AT683" s="164">
        <f t="shared" si="218"/>
        <v>17917.224880382775</v>
      </c>
      <c r="AU683" s="152"/>
      <c r="AV683" s="147">
        <f>'Deterministic Reserve'!BC683</f>
        <v>7.9610451612276943E-9</v>
      </c>
      <c r="AW683" s="164">
        <f t="shared" si="219"/>
        <v>17917.224880382775</v>
      </c>
      <c r="AX683" s="164">
        <f t="shared" si="220"/>
        <v>1.4263983643659974E-4</v>
      </c>
      <c r="AY683" s="152"/>
    </row>
    <row r="684" spans="1:51" s="150" customFormat="1" x14ac:dyDescent="0.25">
      <c r="A684" s="150">
        <f t="shared" si="228"/>
        <v>680</v>
      </c>
      <c r="B684" s="150">
        <f t="shared" si="229"/>
        <v>57</v>
      </c>
      <c r="C684" s="150">
        <f t="shared" si="230"/>
        <v>8</v>
      </c>
      <c r="D684" s="150">
        <f>IF(E684="","",Input!$C$4+B684-1)</f>
        <v>101</v>
      </c>
      <c r="E684" s="150">
        <f>IF(OR(AND(C683=12,D683=Input!$C$6),E683=""),"",1)</f>
        <v>1</v>
      </c>
      <c r="F684" s="150">
        <f>IF(E684="","",Input!$C$8+B684-1)</f>
        <v>2074</v>
      </c>
      <c r="G684" s="151">
        <f>IF(E684="","",MAX(0,Input!$C$9-B684))</f>
        <v>0</v>
      </c>
      <c r="H684" s="152">
        <f>IF(E684="","",Input!$C$3)</f>
        <v>100000</v>
      </c>
      <c r="I684" s="153">
        <f>IF(E684="","",HLOOKUP($B684,Input!$C$13:$BT$14,2))</f>
        <v>917.45150000000012</v>
      </c>
      <c r="J684" s="154"/>
      <c r="K684" s="155">
        <f>IF($E684="","",Input!$C$57)</f>
        <v>4.4999999999999998E-2</v>
      </c>
      <c r="L684" s="155">
        <f t="shared" si="221"/>
        <v>3.6748094004368514E-3</v>
      </c>
      <c r="M684" s="147">
        <f>IF($E684="","",VLOOKUP(IF($B684&lt;=Input!$C$7,$B684,26),'Mortality Tables'!$A$72:$CA$97,IF($B684&lt;=Input!$C$7+1,Input!$C$4-16,$D684-Input!$C$7-16),0)/1000)</f>
        <v>0.37447000000000003</v>
      </c>
      <c r="N684" s="147">
        <f t="shared" si="210"/>
        <v>3.8341934128839572E-2</v>
      </c>
      <c r="O684" s="157">
        <f>IF($E684="","",IF($C684=12,IF($B684&lt;Input!$C$9,Input!$C$54,IF($B684=Input!$C$9,Input!$C$55,Input!$C$56)),0%))</f>
        <v>0</v>
      </c>
      <c r="P684" s="167">
        <f>IF($E684="","",IF($B684=1,Input!$C$59,IF($B684&lt;6,Input!$C$60,0%)))</f>
        <v>0</v>
      </c>
      <c r="Q684" s="162">
        <f>IF($E684="","",Input!$C$58)</f>
        <v>2.5</v>
      </c>
      <c r="R684" s="156">
        <f t="shared" si="222"/>
        <v>0.96165806587116043</v>
      </c>
      <c r="S684" s="154">
        <f t="shared" si="211"/>
        <v>1.1906398468116183E-5</v>
      </c>
      <c r="T684" s="152"/>
      <c r="U684" s="150">
        <f t="shared" si="223"/>
        <v>0</v>
      </c>
      <c r="V684" s="150">
        <f t="shared" si="224"/>
        <v>0</v>
      </c>
      <c r="W684" s="168">
        <f t="shared" si="225"/>
        <v>0</v>
      </c>
      <c r="X684" s="163">
        <f t="shared" si="212"/>
        <v>3834.1934128839571</v>
      </c>
      <c r="Y684" s="152"/>
      <c r="Z684" s="164">
        <f>IF(AND($C683=12,$D683=Input!$C$6),0,IF($E684="","",V684+Z685/(1+L684)*R684))</f>
        <v>142594.07550043898</v>
      </c>
      <c r="AA684" s="164">
        <f>IF(OR($M684=1,AND($C683=12,$D683=Input!$C$6)),0,IF($E684="","",W684+(X684+AA685*$R684)/(1+$L684)))</f>
        <v>76548.822115293704</v>
      </c>
      <c r="AB684" s="160">
        <f t="shared" si="213"/>
        <v>0.825720328500681</v>
      </c>
      <c r="AC684" s="164">
        <f t="shared" si="214"/>
        <v>0</v>
      </c>
      <c r="AD684" s="164">
        <f>IF(AND($C683=12,$D683=Input!$C$6),0,IF($E684="","",$AC684+AD685/(1+$L684)*$R684))</f>
        <v>117742.82686447336</v>
      </c>
      <c r="AE684" s="152"/>
      <c r="AF684" s="164">
        <f>IF(AND($C683=12,$D683=Input!$C$6),0,IF($E684="","",IF($B684&gt;Input!$C$9,$AC684,0)+AF685/(1+$L684)*$R684))</f>
        <v>117742.82686447336</v>
      </c>
      <c r="AG684" s="164">
        <f>IF(AND($C683=12,$D683=Input!$C$6),0,IF($E684="","",(IF($B684&gt;Input!$C$9,$X684,0)+AG685)/(1+$L684)*$R684))</f>
        <v>72570.802988683805</v>
      </c>
      <c r="AH684" s="160">
        <f t="shared" si="215"/>
        <v>2.0950137211446997</v>
      </c>
      <c r="AI684" s="160">
        <f>IF($E684="","",MIN(Input!$C$61/AH684,1))</f>
        <v>0.64438718771845094</v>
      </c>
      <c r="AJ684" s="152"/>
      <c r="AK684" s="164">
        <f>IF(AND($C683=12,$D683=Input!$C$6),0,IF($E684="","",IF($B684&gt;Input!$C$9,$AC684*AI684,0)+AK685/(1+$L684)*$R684))</f>
        <v>75871.96907721844</v>
      </c>
      <c r="AL684" s="164">
        <f>IF(AND($C683=12,$D683=Input!$C$6),0,IF($E684="","",IF($B684&gt;Input!$C$9,0,$AC684)+AL685/(1+$L684)*$R684))</f>
        <v>0</v>
      </c>
      <c r="AM684" s="160">
        <f t="shared" si="216"/>
        <v>1.1382936520186004</v>
      </c>
      <c r="AN684" s="164">
        <f>IF($E684="","",IF($B684&gt;Input!$C$9,$AI684*$AC684,$AM684*$AC684))</f>
        <v>0</v>
      </c>
      <c r="AO684" s="164">
        <f>IF(AND($C683=12,$D683=Input!$C$6),0,IF($E684="","",$AN684+AO685/(1+$L684)*$R684))</f>
        <v>75871.96907721844</v>
      </c>
      <c r="AP684" s="152"/>
      <c r="AQ684" s="164">
        <f t="shared" si="217"/>
        <v>676.85303807526361</v>
      </c>
      <c r="AR684" s="164">
        <f t="shared" si="226"/>
        <v>7426.8234154848979</v>
      </c>
      <c r="AS684" s="164">
        <f t="shared" si="227"/>
        <v>17917.224880382775</v>
      </c>
      <c r="AT684" s="164">
        <f t="shared" si="218"/>
        <v>17917.224880382775</v>
      </c>
      <c r="AU684" s="152"/>
      <c r="AV684" s="147">
        <f>'Deterministic Reserve'!BC684</f>
        <v>7.079944493983377E-9</v>
      </c>
      <c r="AW684" s="164">
        <f t="shared" si="219"/>
        <v>17917.224880382775</v>
      </c>
      <c r="AX684" s="164">
        <f t="shared" si="220"/>
        <v>1.26852957639328E-4</v>
      </c>
      <c r="AY684" s="152"/>
    </row>
    <row r="685" spans="1:51" s="150" customFormat="1" x14ac:dyDescent="0.25">
      <c r="A685" s="150">
        <f t="shared" si="228"/>
        <v>681</v>
      </c>
      <c r="B685" s="150">
        <f t="shared" si="229"/>
        <v>57</v>
      </c>
      <c r="C685" s="150">
        <f t="shared" si="230"/>
        <v>9</v>
      </c>
      <c r="D685" s="150">
        <f>IF(E685="","",Input!$C$4+B685-1)</f>
        <v>101</v>
      </c>
      <c r="E685" s="150">
        <f>IF(OR(AND(C684=12,D684=Input!$C$6),E684=""),"",1)</f>
        <v>1</v>
      </c>
      <c r="F685" s="150">
        <f>IF(E685="","",Input!$C$8+B685-1)</f>
        <v>2074</v>
      </c>
      <c r="G685" s="151">
        <f>IF(E685="","",MAX(0,Input!$C$9-B685))</f>
        <v>0</v>
      </c>
      <c r="H685" s="152">
        <f>IF(E685="","",Input!$C$3)</f>
        <v>100000</v>
      </c>
      <c r="I685" s="153">
        <f>IF(E685="","",HLOOKUP($B685,Input!$C$13:$BT$14,2))</f>
        <v>917.45150000000012</v>
      </c>
      <c r="J685" s="154"/>
      <c r="K685" s="155">
        <f>IF($E685="","",Input!$C$57)</f>
        <v>4.4999999999999998E-2</v>
      </c>
      <c r="L685" s="155">
        <f t="shared" si="221"/>
        <v>3.6748094004368514E-3</v>
      </c>
      <c r="M685" s="147">
        <f>IF($E685="","",VLOOKUP(IF($B685&lt;=Input!$C$7,$B685,26),'Mortality Tables'!$A$72:$CA$97,IF($B685&lt;=Input!$C$7+1,Input!$C$4-16,$D685-Input!$C$7-16),0)/1000)</f>
        <v>0.37447000000000003</v>
      </c>
      <c r="N685" s="147">
        <f t="shared" si="210"/>
        <v>3.8341934128839572E-2</v>
      </c>
      <c r="O685" s="157">
        <f>IF($E685="","",IF($C685=12,IF($B685&lt;Input!$C$9,Input!$C$54,IF($B685=Input!$C$9,Input!$C$55,Input!$C$56)),0%))</f>
        <v>0</v>
      </c>
      <c r="P685" s="167">
        <f>IF($E685="","",IF($B685=1,Input!$C$59,IF($B685&lt;6,Input!$C$60,0%)))</f>
        <v>0</v>
      </c>
      <c r="Q685" s="162">
        <f>IF($E685="","",Input!$C$58)</f>
        <v>2.5</v>
      </c>
      <c r="R685" s="156">
        <f t="shared" si="222"/>
        <v>0.96165806587116043</v>
      </c>
      <c r="S685" s="154">
        <f t="shared" si="211"/>
        <v>1.1449884122339957E-5</v>
      </c>
      <c r="T685" s="152"/>
      <c r="U685" s="150">
        <f t="shared" si="223"/>
        <v>0</v>
      </c>
      <c r="V685" s="150">
        <f t="shared" si="224"/>
        <v>0</v>
      </c>
      <c r="W685" s="168">
        <f t="shared" si="225"/>
        <v>0</v>
      </c>
      <c r="X685" s="163">
        <f t="shared" si="212"/>
        <v>3834.1934128839571</v>
      </c>
      <c r="Y685" s="152"/>
      <c r="Z685" s="164">
        <f>IF(AND($C684=12,$D684=Input!$C$6),0,IF($E685="","",V685+Z686/(1+L685)*R685))</f>
        <v>148824.29278007956</v>
      </c>
      <c r="AA685" s="164">
        <f>IF(OR($M685=1,AND($C684=12,$D684=Input!$C$6)),0,IF($E685="","",W685+(X685+AA686*$R685)/(1+$L685)))</f>
        <v>75906.326400314443</v>
      </c>
      <c r="AB685" s="160">
        <f t="shared" si="213"/>
        <v>0.825720328500681</v>
      </c>
      <c r="AC685" s="164">
        <f t="shared" si="214"/>
        <v>0</v>
      </c>
      <c r="AD685" s="164">
        <f>IF(AND($C684=12,$D684=Input!$C$6),0,IF($E685="","",$AC685+AD686/(1+$L685)*$R685))</f>
        <v>122887.24392324878</v>
      </c>
      <c r="AE685" s="152"/>
      <c r="AF685" s="164">
        <f>IF(AND($C684=12,$D684=Input!$C$6),0,IF($E685="","",IF($B685&gt;Input!$C$9,$AC685,0)+AF686/(1+$L685)*$R685))</f>
        <v>122887.24392324878</v>
      </c>
      <c r="AG685" s="164">
        <f>IF(AND($C684=12,$D684=Input!$C$6),0,IF($E685="","",(IF($B685&gt;Input!$C$9,$X685,0)+AG686)/(1+$L685)*$R685))</f>
        <v>71907.371539021071</v>
      </c>
      <c r="AH685" s="160">
        <f t="shared" si="215"/>
        <v>2.0950137211446997</v>
      </c>
      <c r="AI685" s="160">
        <f>IF($E685="","",MIN(Input!$C$61/AH685,1))</f>
        <v>0.64438718771845094</v>
      </c>
      <c r="AJ685" s="152"/>
      <c r="AK685" s="164">
        <f>IF(AND($C684=12,$D684=Input!$C$6),0,IF($E685="","",IF($B685&gt;Input!$C$9,$AC685*AI685,0)+AK686/(1+$L685)*$R685))</f>
        <v>79186.965518173558</v>
      </c>
      <c r="AL685" s="164">
        <f>IF(AND($C684=12,$D684=Input!$C$6),0,IF($E685="","",IF($B685&gt;Input!$C$9,0,$AC685)+AL686/(1+$L685)*$R685))</f>
        <v>0</v>
      </c>
      <c r="AM685" s="160">
        <f t="shared" si="216"/>
        <v>1.1382936520186004</v>
      </c>
      <c r="AN685" s="164">
        <f>IF($E685="","",IF($B685&gt;Input!$C$9,$AI685*$AC685,$AM685*$AC685))</f>
        <v>0</v>
      </c>
      <c r="AO685" s="164">
        <f>IF(AND($C684=12,$D684=Input!$C$6),0,IF($E685="","",$AN685+AO686/(1+$L685)*$R685))</f>
        <v>79186.965518173558</v>
      </c>
      <c r="AP685" s="152"/>
      <c r="AQ685" s="164">
        <f t="shared" si="217"/>
        <v>-3280.6391178591148</v>
      </c>
      <c r="AR685" s="164">
        <f t="shared" si="226"/>
        <v>7426.8234154848979</v>
      </c>
      <c r="AS685" s="164">
        <f t="shared" si="227"/>
        <v>17917.224880382775</v>
      </c>
      <c r="AT685" s="164">
        <f t="shared" si="218"/>
        <v>17917.224880382775</v>
      </c>
      <c r="AU685" s="152"/>
      <c r="AV685" s="147">
        <f>'Deterministic Reserve'!BC685</f>
        <v>6.2963609705431602E-9</v>
      </c>
      <c r="AW685" s="164">
        <f t="shared" si="219"/>
        <v>17917.224880382775</v>
      </c>
      <c r="AX685" s="164">
        <f t="shared" si="220"/>
        <v>1.1281331543728695E-4</v>
      </c>
      <c r="AY685" s="152"/>
    </row>
    <row r="686" spans="1:51" s="150" customFormat="1" x14ac:dyDescent="0.25">
      <c r="A686" s="150">
        <f t="shared" si="228"/>
        <v>682</v>
      </c>
      <c r="B686" s="150">
        <f t="shared" si="229"/>
        <v>57</v>
      </c>
      <c r="C686" s="150">
        <f t="shared" si="230"/>
        <v>10</v>
      </c>
      <c r="D686" s="150">
        <f>IF(E686="","",Input!$C$4+B686-1)</f>
        <v>101</v>
      </c>
      <c r="E686" s="150">
        <f>IF(OR(AND(C685=12,D685=Input!$C$6),E685=""),"",1)</f>
        <v>1</v>
      </c>
      <c r="F686" s="150">
        <f>IF(E686="","",Input!$C$8+B686-1)</f>
        <v>2074</v>
      </c>
      <c r="G686" s="151">
        <f>IF(E686="","",MAX(0,Input!$C$9-B686))</f>
        <v>0</v>
      </c>
      <c r="H686" s="152">
        <f>IF(E686="","",Input!$C$3)</f>
        <v>100000</v>
      </c>
      <c r="I686" s="153">
        <f>IF(E686="","",HLOOKUP($B686,Input!$C$13:$BT$14,2))</f>
        <v>917.45150000000012</v>
      </c>
      <c r="J686" s="154"/>
      <c r="K686" s="155">
        <f>IF($E686="","",Input!$C$57)</f>
        <v>4.4999999999999998E-2</v>
      </c>
      <c r="L686" s="155">
        <f t="shared" si="221"/>
        <v>3.6748094004368514E-3</v>
      </c>
      <c r="M686" s="147">
        <f>IF($E686="","",VLOOKUP(IF($B686&lt;=Input!$C$7,$B686,26),'Mortality Tables'!$A$72:$CA$97,IF($B686&lt;=Input!$C$7+1,Input!$C$4-16,$D686-Input!$C$7-16),0)/1000)</f>
        <v>0.37447000000000003</v>
      </c>
      <c r="N686" s="147">
        <f t="shared" si="210"/>
        <v>3.8341934128839572E-2</v>
      </c>
      <c r="O686" s="157">
        <f>IF($E686="","",IF($C686=12,IF($B686&lt;Input!$C$9,Input!$C$54,IF($B686=Input!$C$9,Input!$C$55,Input!$C$56)),0%))</f>
        <v>0</v>
      </c>
      <c r="P686" s="167">
        <f>IF($E686="","",IF($B686=1,Input!$C$59,IF($B686&lt;6,Input!$C$60,0%)))</f>
        <v>0</v>
      </c>
      <c r="Q686" s="162">
        <f>IF($E686="","",Input!$C$58)</f>
        <v>2.5</v>
      </c>
      <c r="R686" s="156">
        <f t="shared" si="222"/>
        <v>0.96165806587116043</v>
      </c>
      <c r="S686" s="154">
        <f t="shared" si="211"/>
        <v>1.1010873419538352E-5</v>
      </c>
      <c r="T686" s="152"/>
      <c r="U686" s="150">
        <f t="shared" si="223"/>
        <v>0</v>
      </c>
      <c r="V686" s="150">
        <f t="shared" si="224"/>
        <v>0</v>
      </c>
      <c r="W686" s="168">
        <f t="shared" si="225"/>
        <v>0</v>
      </c>
      <c r="X686" s="163">
        <f t="shared" si="212"/>
        <v>3834.1934128839571</v>
      </c>
      <c r="Y686" s="152"/>
      <c r="Z686" s="164">
        <f>IF(AND($C685=12,$D685=Input!$C$6),0,IF($E686="","",V686+Z687/(1+L686)*R686))</f>
        <v>155326.72057909344</v>
      </c>
      <c r="AA686" s="164">
        <f>IF(OR($M686=1,AND($C685=12,$D685=Input!$C$6)),0,IF($E686="","",W686+(X686+AA687*$R686)/(1+$L686)))</f>
        <v>75235.758776376053</v>
      </c>
      <c r="AB686" s="160">
        <f t="shared" si="213"/>
        <v>0.825720328500681</v>
      </c>
      <c r="AC686" s="164">
        <f t="shared" si="214"/>
        <v>0</v>
      </c>
      <c r="AD686" s="164">
        <f>IF(AND($C685=12,$D685=Input!$C$6),0,IF($E686="","",$AC686+AD687/(1+$L686)*$R686))</f>
        <v>128256.43074150247</v>
      </c>
      <c r="AE686" s="152"/>
      <c r="AF686" s="164">
        <f>IF(AND($C685=12,$D685=Input!$C$6),0,IF($E686="","",IF($B686&gt;Input!$C$9,$AC686,0)+AF687/(1+$L686)*$R686))</f>
        <v>128256.43074150247</v>
      </c>
      <c r="AG686" s="164">
        <f>IF(AND($C685=12,$D685=Input!$C$6),0,IF($E686="","",(IF($B686&gt;Input!$C$9,$X686,0)+AG687)/(1+$L686)*$R686))</f>
        <v>71214.953456729738</v>
      </c>
      <c r="AH686" s="160">
        <f t="shared" si="215"/>
        <v>2.0950137211446997</v>
      </c>
      <c r="AI686" s="160">
        <f>IF($E686="","",MIN(Input!$C$61/AH686,1))</f>
        <v>0.64438718771845094</v>
      </c>
      <c r="AJ686" s="152"/>
      <c r="AK686" s="164">
        <f>IF(AND($C685=12,$D685=Input!$C$6),0,IF($E686="","",IF($B686&gt;Input!$C$9,$AC686*AI686,0)+AK687/(1+$L686)*$R686))</f>
        <v>82646.800712323035</v>
      </c>
      <c r="AL686" s="164">
        <f>IF(AND($C685=12,$D685=Input!$C$6),0,IF($E686="","",IF($B686&gt;Input!$C$9,0,$AC686)+AL687/(1+$L686)*$R686))</f>
        <v>0</v>
      </c>
      <c r="AM686" s="160">
        <f t="shared" si="216"/>
        <v>1.1382936520186004</v>
      </c>
      <c r="AN686" s="164">
        <f>IF($E686="","",IF($B686&gt;Input!$C$9,$AI686*$AC686,$AM686*$AC686))</f>
        <v>0</v>
      </c>
      <c r="AO686" s="164">
        <f>IF(AND($C685=12,$D685=Input!$C$6),0,IF($E686="","",$AN686+AO687/(1+$L686)*$R686))</f>
        <v>82646.800712323035</v>
      </c>
      <c r="AP686" s="152"/>
      <c r="AQ686" s="164">
        <f t="shared" si="217"/>
        <v>-7411.0419359469815</v>
      </c>
      <c r="AR686" s="164">
        <f t="shared" si="226"/>
        <v>7426.8234154848979</v>
      </c>
      <c r="AS686" s="164">
        <f t="shared" si="227"/>
        <v>17917.224880382775</v>
      </c>
      <c r="AT686" s="164">
        <f t="shared" si="218"/>
        <v>17917.224880382775</v>
      </c>
      <c r="AU686" s="152"/>
      <c r="AV686" s="147">
        <f>'Deterministic Reserve'!BC686</f>
        <v>5.5995017340982407E-9</v>
      </c>
      <c r="AW686" s="164">
        <f t="shared" si="219"/>
        <v>17917.224880382775</v>
      </c>
      <c r="AX686" s="164">
        <f t="shared" si="220"/>
        <v>1.003275317879315E-4</v>
      </c>
      <c r="AY686" s="152"/>
    </row>
    <row r="687" spans="1:51" s="150" customFormat="1" x14ac:dyDescent="0.25">
      <c r="A687" s="150">
        <f t="shared" si="228"/>
        <v>683</v>
      </c>
      <c r="B687" s="150">
        <f t="shared" si="229"/>
        <v>57</v>
      </c>
      <c r="C687" s="150">
        <f t="shared" si="230"/>
        <v>11</v>
      </c>
      <c r="D687" s="150">
        <f>IF(E687="","",Input!$C$4+B687-1)</f>
        <v>101</v>
      </c>
      <c r="E687" s="150">
        <f>IF(OR(AND(C686=12,D686=Input!$C$6),E686=""),"",1)</f>
        <v>1</v>
      </c>
      <c r="F687" s="150">
        <f>IF(E687="","",Input!$C$8+B687-1)</f>
        <v>2074</v>
      </c>
      <c r="G687" s="151">
        <f>IF(E687="","",MAX(0,Input!$C$9-B687))</f>
        <v>0</v>
      </c>
      <c r="H687" s="152">
        <f>IF(E687="","",Input!$C$3)</f>
        <v>100000</v>
      </c>
      <c r="I687" s="153">
        <f>IF(E687="","",HLOOKUP($B687,Input!$C$13:$BT$14,2))</f>
        <v>917.45150000000012</v>
      </c>
      <c r="J687" s="154"/>
      <c r="K687" s="155">
        <f>IF($E687="","",Input!$C$57)</f>
        <v>4.4999999999999998E-2</v>
      </c>
      <c r="L687" s="155">
        <f t="shared" si="221"/>
        <v>3.6748094004368514E-3</v>
      </c>
      <c r="M687" s="147">
        <f>IF($E687="","",VLOOKUP(IF($B687&lt;=Input!$C$7,$B687,26),'Mortality Tables'!$A$72:$CA$97,IF($B687&lt;=Input!$C$7+1,Input!$C$4-16,$D687-Input!$C$7-16),0)/1000)</f>
        <v>0.37447000000000003</v>
      </c>
      <c r="N687" s="147">
        <f t="shared" si="210"/>
        <v>3.8341934128839572E-2</v>
      </c>
      <c r="O687" s="157">
        <f>IF($E687="","",IF($C687=12,IF($B687&lt;Input!$C$9,Input!$C$54,IF($B687=Input!$C$9,Input!$C$55,Input!$C$56)),0%))</f>
        <v>0</v>
      </c>
      <c r="P687" s="167">
        <f>IF($E687="","",IF($B687=1,Input!$C$59,IF($B687&lt;6,Input!$C$60,0%)))</f>
        <v>0</v>
      </c>
      <c r="Q687" s="162">
        <f>IF($E687="","",Input!$C$58)</f>
        <v>2.5</v>
      </c>
      <c r="R687" s="156">
        <f t="shared" si="222"/>
        <v>0.96165806587116043</v>
      </c>
      <c r="S687" s="154">
        <f t="shared" si="211"/>
        <v>1.0588695236185422E-5</v>
      </c>
      <c r="T687" s="152"/>
      <c r="U687" s="150">
        <f t="shared" si="223"/>
        <v>0</v>
      </c>
      <c r="V687" s="150">
        <f t="shared" si="224"/>
        <v>0</v>
      </c>
      <c r="W687" s="168">
        <f t="shared" si="225"/>
        <v>0</v>
      </c>
      <c r="X687" s="163">
        <f t="shared" si="212"/>
        <v>3834.1934128839571</v>
      </c>
      <c r="Y687" s="152"/>
      <c r="Z687" s="164">
        <f>IF(AND($C686=12,$D686=Input!$C$6),0,IF($E687="","",V687+Z688/(1+L687)*R687))</f>
        <v>162113.25231363796</v>
      </c>
      <c r="AA687" s="164">
        <f>IF(OR($M687=1,AND($C686=12,$D686=Input!$C$6)),0,IF($E687="","",W687+(X687+AA688*$R687)/(1+$L687)))</f>
        <v>74535.89272623611</v>
      </c>
      <c r="AB687" s="160">
        <f t="shared" si="213"/>
        <v>0.825720328500681</v>
      </c>
      <c r="AC687" s="164">
        <f t="shared" si="214"/>
        <v>0</v>
      </c>
      <c r="AD687" s="164">
        <f>IF(AND($C686=12,$D686=Input!$C$6),0,IF($E687="","",$AC687+AD688/(1+$L687)*$R687))</f>
        <v>133860.20795473087</v>
      </c>
      <c r="AE687" s="152"/>
      <c r="AF687" s="164">
        <f>IF(AND($C686=12,$D686=Input!$C$6),0,IF($E687="","",IF($B687&gt;Input!$C$9,$AC687,0)+AF688/(1+$L687)*$R687))</f>
        <v>133860.20795473087</v>
      </c>
      <c r="AG687" s="164">
        <f>IF(AND($C686=12,$D686=Input!$C$6),0,IF($E687="","",(IF($B687&gt;Input!$C$9,$X687,0)+AG688)/(1+$L687)*$R687))</f>
        <v>70492.282258480496</v>
      </c>
      <c r="AH687" s="160">
        <f t="shared" si="215"/>
        <v>2.0950137211446997</v>
      </c>
      <c r="AI687" s="160">
        <f>IF($E687="","",MIN(Input!$C$61/AH687,1))</f>
        <v>0.64438718771845094</v>
      </c>
      <c r="AJ687" s="152"/>
      <c r="AK687" s="164">
        <f>IF(AND($C686=12,$D686=Input!$C$6),0,IF($E687="","",IF($B687&gt;Input!$C$9,$AC687*AI687,0)+AK688/(1+$L687)*$R687))</f>
        <v>86257.802951356032</v>
      </c>
      <c r="AL687" s="164">
        <f>IF(AND($C686=12,$D686=Input!$C$6),0,IF($E687="","",IF($B687&gt;Input!$C$9,0,$AC687)+AL688/(1+$L687)*$R687))</f>
        <v>0</v>
      </c>
      <c r="AM687" s="160">
        <f t="shared" si="216"/>
        <v>1.1382936520186004</v>
      </c>
      <c r="AN687" s="164">
        <f>IF($E687="","",IF($B687&gt;Input!$C$9,$AI687*$AC687,$AM687*$AC687))</f>
        <v>0</v>
      </c>
      <c r="AO687" s="164">
        <f>IF(AND($C686=12,$D686=Input!$C$6),0,IF($E687="","",$AN687+AO688/(1+$L687)*$R687))</f>
        <v>86257.802951356032</v>
      </c>
      <c r="AP687" s="152"/>
      <c r="AQ687" s="164">
        <f t="shared" si="217"/>
        <v>-11721.910225119922</v>
      </c>
      <c r="AR687" s="164">
        <f t="shared" si="226"/>
        <v>7426.8234154848979</v>
      </c>
      <c r="AS687" s="164">
        <f t="shared" si="227"/>
        <v>17917.224880382775</v>
      </c>
      <c r="AT687" s="164">
        <f t="shared" si="218"/>
        <v>17917.224880382775</v>
      </c>
      <c r="AU687" s="152"/>
      <c r="AV687" s="147">
        <f>'Deterministic Reserve'!BC687</f>
        <v>4.9797684435275305E-9</v>
      </c>
      <c r="AW687" s="164">
        <f t="shared" si="219"/>
        <v>17917.224880382775</v>
      </c>
      <c r="AX687" s="164">
        <f t="shared" si="220"/>
        <v>8.9223631054916475E-5</v>
      </c>
      <c r="AY687" s="152"/>
    </row>
    <row r="688" spans="1:51" s="150" customFormat="1" x14ac:dyDescent="0.25">
      <c r="A688" s="150">
        <f t="shared" si="228"/>
        <v>684</v>
      </c>
      <c r="B688" s="150">
        <f t="shared" si="229"/>
        <v>57</v>
      </c>
      <c r="C688" s="150">
        <f t="shared" si="230"/>
        <v>12</v>
      </c>
      <c r="D688" s="150">
        <f>IF(E688="","",Input!$C$4+B688-1)</f>
        <v>101</v>
      </c>
      <c r="E688" s="150">
        <f>IF(OR(AND(C687=12,D687=Input!$C$6),E687=""),"",1)</f>
        <v>1</v>
      </c>
      <c r="F688" s="150">
        <f>IF(E688="","",Input!$C$8+B688-1)</f>
        <v>2074</v>
      </c>
      <c r="G688" s="151">
        <f>IF(E688="","",MAX(0,Input!$C$9-B688))</f>
        <v>0</v>
      </c>
      <c r="H688" s="152">
        <f>IF(E688="","",Input!$C$3)</f>
        <v>100000</v>
      </c>
      <c r="I688" s="153">
        <f>IF(E688="","",HLOOKUP($B688,Input!$C$13:$BT$14,2))</f>
        <v>917.45150000000012</v>
      </c>
      <c r="J688" s="154"/>
      <c r="K688" s="155">
        <f>IF($E688="","",Input!$C$57)</f>
        <v>4.4999999999999998E-2</v>
      </c>
      <c r="L688" s="155">
        <f t="shared" si="221"/>
        <v>3.6748094004368514E-3</v>
      </c>
      <c r="M688" s="147">
        <f>IF($E688="","",VLOOKUP(IF($B688&lt;=Input!$C$7,$B688,26),'Mortality Tables'!$A$72:$CA$97,IF($B688&lt;=Input!$C$7+1,Input!$C$4-16,$D688-Input!$C$7-16),0)/1000)</f>
        <v>0.37447000000000003</v>
      </c>
      <c r="N688" s="147">
        <f t="shared" si="210"/>
        <v>3.8341934128839572E-2</v>
      </c>
      <c r="O688" s="157">
        <f>IF($E688="","",IF($C688=12,IF($B688&lt;Input!$C$9,Input!$C$54,IF($B688=Input!$C$9,Input!$C$55,Input!$C$56)),0%))</f>
        <v>0.1</v>
      </c>
      <c r="P688" s="167">
        <f>IF($E688="","",IF($B688=1,Input!$C$59,IF($B688&lt;6,Input!$C$60,0%)))</f>
        <v>0</v>
      </c>
      <c r="Q688" s="162">
        <f>IF($E688="","",Input!$C$58)</f>
        <v>2.5</v>
      </c>
      <c r="R688" s="156">
        <f t="shared" si="222"/>
        <v>0.86165806587116045</v>
      </c>
      <c r="S688" s="154">
        <f t="shared" si="211"/>
        <v>9.1238346573107015E-6</v>
      </c>
      <c r="T688" s="152"/>
      <c r="U688" s="150">
        <f t="shared" si="223"/>
        <v>0</v>
      </c>
      <c r="V688" s="150">
        <f t="shared" si="224"/>
        <v>0</v>
      </c>
      <c r="W688" s="168">
        <f t="shared" si="225"/>
        <v>0</v>
      </c>
      <c r="X688" s="163">
        <f t="shared" si="212"/>
        <v>3834.1934128839571</v>
      </c>
      <c r="Y688" s="152"/>
      <c r="Z688" s="164">
        <f>IF(AND($C687=12,$D687=Input!$C$6),0,IF($E688="","",V688+Z689/(1+L688)*R688))</f>
        <v>169196.30104675345</v>
      </c>
      <c r="AA688" s="164">
        <f>IF(OR($M688=1,AND($C687=12,$D687=Input!$C$6)),0,IF($E688="","",W688+(X688+AA689*$R688)/(1+$L688)))</f>
        <v>73805.448143687201</v>
      </c>
      <c r="AB688" s="160">
        <f t="shared" si="213"/>
        <v>0.825720328500681</v>
      </c>
      <c r="AC688" s="164">
        <f t="shared" si="214"/>
        <v>0</v>
      </c>
      <c r="AD688" s="164">
        <f>IF(AND($C687=12,$D687=Input!$C$6),0,IF($E688="","",$AC688+AD689/(1+$L688)*$R688))</f>
        <v>139708.82528142532</v>
      </c>
      <c r="AE688" s="152"/>
      <c r="AF688" s="164">
        <f>IF(AND($C687=12,$D687=Input!$C$6),0,IF($E688="","",IF($B688&gt;Input!$C$9,$AC688,0)+AF689/(1+$L688)*$R688))</f>
        <v>139708.82528142532</v>
      </c>
      <c r="AG688" s="164">
        <f>IF(AND($C687=12,$D687=Input!$C$6),0,IF($E688="","",(IF($B688&gt;Input!$C$9,$X688,0)+AG689)/(1+$L688)*$R688))</f>
        <v>69738.036125781626</v>
      </c>
      <c r="AH688" s="160">
        <f t="shared" si="215"/>
        <v>2.0950137211446997</v>
      </c>
      <c r="AI688" s="160">
        <f>IF($E688="","",MIN(Input!$C$61/AH688,1))</f>
        <v>0.64438718771845094</v>
      </c>
      <c r="AJ688" s="152"/>
      <c r="AK688" s="164">
        <f>IF(AND($C687=12,$D687=Input!$C$6),0,IF($E688="","",IF($B688&gt;Input!$C$9,$AC688*AI688,0)+AK689/(1+$L688)*$R688))</f>
        <v>90026.577022546073</v>
      </c>
      <c r="AL688" s="164">
        <f>IF(AND($C687=12,$D687=Input!$C$6),0,IF($E688="","",IF($B688&gt;Input!$C$9,0,$AC688)+AL689/(1+$L688)*$R688))</f>
        <v>0</v>
      </c>
      <c r="AM688" s="160">
        <f t="shared" si="216"/>
        <v>1.1382936520186004</v>
      </c>
      <c r="AN688" s="164">
        <f>IF($E688="","",IF($B688&gt;Input!$C$9,$AI688*$AC688,$AM688*$AC688))</f>
        <v>0</v>
      </c>
      <c r="AO688" s="164">
        <f>IF(AND($C687=12,$D687=Input!$C$6),0,IF($E688="","",$AN688+AO689/(1+$L688)*$R688))</f>
        <v>90026.577022546073</v>
      </c>
      <c r="AP688" s="152"/>
      <c r="AQ688" s="164">
        <f t="shared" si="217"/>
        <v>-16221.128878858872</v>
      </c>
      <c r="AR688" s="164">
        <f t="shared" si="226"/>
        <v>7426.8234154848979</v>
      </c>
      <c r="AS688" s="164">
        <f t="shared" si="227"/>
        <v>17917.224880382775</v>
      </c>
      <c r="AT688" s="164">
        <f t="shared" si="218"/>
        <v>17917.224880382775</v>
      </c>
      <c r="AU688" s="152"/>
      <c r="AV688" s="147">
        <f>'Deterministic Reserve'!BC688</f>
        <v>3.9306482242215235E-9</v>
      </c>
      <c r="AW688" s="164">
        <f t="shared" si="219"/>
        <v>17917.224880382775</v>
      </c>
      <c r="AX688" s="164">
        <f t="shared" si="220"/>
        <v>7.0426308159054257E-5</v>
      </c>
      <c r="AY688" s="152"/>
    </row>
    <row r="689" spans="1:51" s="150" customFormat="1" x14ac:dyDescent="0.25">
      <c r="A689" s="150">
        <f t="shared" si="228"/>
        <v>685</v>
      </c>
      <c r="B689" s="150">
        <f t="shared" si="229"/>
        <v>58</v>
      </c>
      <c r="C689" s="150">
        <f t="shared" si="230"/>
        <v>1</v>
      </c>
      <c r="D689" s="150">
        <f>IF(E689="","",Input!$C$4+B689-1)</f>
        <v>102</v>
      </c>
      <c r="E689" s="150">
        <f>IF(OR(AND(C688=12,D688=Input!$C$6),E688=""),"",1)</f>
        <v>1</v>
      </c>
      <c r="F689" s="150">
        <f>IF(E689="","",Input!$C$8+B689-1)</f>
        <v>2075</v>
      </c>
      <c r="G689" s="151">
        <f>IF(E689="","",MAX(0,Input!$C$9-B689))</f>
        <v>0</v>
      </c>
      <c r="H689" s="152">
        <f>IF(E689="","",Input!$C$3)</f>
        <v>100000</v>
      </c>
      <c r="I689" s="153">
        <f>IF(E689="","",HLOOKUP($B689,Input!$C$13:$BT$14,2))</f>
        <v>972.16000000000008</v>
      </c>
      <c r="J689" s="154"/>
      <c r="K689" s="155">
        <f>IF($E689="","",Input!$C$57)</f>
        <v>4.4999999999999998E-2</v>
      </c>
      <c r="L689" s="155">
        <f t="shared" si="221"/>
        <v>3.6748094004368514E-3</v>
      </c>
      <c r="M689" s="147">
        <f>IF($E689="","",VLOOKUP(IF($B689&lt;=Input!$C$7,$B689,26),'Mortality Tables'!$A$72:$CA$97,IF($B689&lt;=Input!$C$7+1,Input!$C$4-16,$D689-Input!$C$7-16),0)/1000)</f>
        <v>0.39679999999999999</v>
      </c>
      <c r="N689" s="147">
        <f t="shared" si="210"/>
        <v>4.1250586968968106E-2</v>
      </c>
      <c r="O689" s="157">
        <f>IF($E689="","",IF($C689=12,IF($B689&lt;Input!$C$9,Input!$C$54,IF($B689=Input!$C$9,Input!$C$55,Input!$C$56)),0%))</f>
        <v>0</v>
      </c>
      <c r="P689" s="167">
        <f>IF($E689="","",IF($B689=1,Input!$C$59,IF($B689&lt;6,Input!$C$60,0%)))</f>
        <v>0</v>
      </c>
      <c r="Q689" s="162">
        <f>IF($E689="","",Input!$C$58)</f>
        <v>2.5</v>
      </c>
      <c r="R689" s="156">
        <f t="shared" si="222"/>
        <v>0.95874941303103189</v>
      </c>
      <c r="S689" s="154">
        <f t="shared" si="211"/>
        <v>8.747471122288821E-6</v>
      </c>
      <c r="T689" s="152"/>
      <c r="U689" s="150">
        <f t="shared" si="223"/>
        <v>97216.000000000015</v>
      </c>
      <c r="V689" s="150">
        <f t="shared" si="224"/>
        <v>97216.000000000015</v>
      </c>
      <c r="W689" s="168">
        <f t="shared" si="225"/>
        <v>0</v>
      </c>
      <c r="X689" s="163">
        <f t="shared" si="212"/>
        <v>4125.0586968968109</v>
      </c>
      <c r="Y689" s="152"/>
      <c r="Z689" s="164">
        <f>IF(AND($C688=12,$D688=Input!$C$6),0,IF($E689="","",V689+Z690/(1+L689)*R689))</f>
        <v>197082.89393504182</v>
      </c>
      <c r="AA689" s="164">
        <f>IF(OR($M689=1,AND($C688=12,$D688=Input!$C$6)),0,IF($E689="","",W689+(X689+AA690*$R689)/(1+$L689)))</f>
        <v>81520.127841463429</v>
      </c>
      <c r="AB689" s="160">
        <f t="shared" si="213"/>
        <v>0.825720328500681</v>
      </c>
      <c r="AC689" s="164">
        <f t="shared" si="214"/>
        <v>80273.22745552221</v>
      </c>
      <c r="AD689" s="164">
        <f>IF(AND($C688=12,$D688=Input!$C$6),0,IF($E689="","",$AC689+AD690/(1+$L689)*$R689))</f>
        <v>162735.35192190757</v>
      </c>
      <c r="AE689" s="152"/>
      <c r="AF689" s="164">
        <f>IF(AND($C688=12,$D688=Input!$C$6),0,IF($E689="","",IF($B689&gt;Input!$C$9,$AC689,0)+AF690/(1+$L689)*$R689))</f>
        <v>162735.35192190757</v>
      </c>
      <c r="AG689" s="164">
        <f>IF(AND($C688=12,$D688=Input!$C$6),0,IF($E689="","",(IF($B689&gt;Input!$C$9,$X689,0)+AG690)/(1+$L689)*$R689))</f>
        <v>77397.925090803968</v>
      </c>
      <c r="AH689" s="160">
        <f t="shared" si="215"/>
        <v>2.0950137211446997</v>
      </c>
      <c r="AI689" s="160">
        <f>IF($E689="","",MIN(Input!$C$61/AH689,1))</f>
        <v>0.64438718771845094</v>
      </c>
      <c r="AJ689" s="152"/>
      <c r="AK689" s="164">
        <f>IF(AND($C688=12,$D688=Input!$C$6),0,IF($E689="","",IF($B689&gt;Input!$C$9,$AC689*AI689,0)+AK690/(1+$L689)*$R689))</f>
        <v>104864.5757673304</v>
      </c>
      <c r="AL689" s="164">
        <f>IF(AND($C688=12,$D688=Input!$C$6),0,IF($E689="","",IF($B689&gt;Input!$C$9,0,$AC689)+AL690/(1+$L689)*$R689))</f>
        <v>0</v>
      </c>
      <c r="AM689" s="160">
        <f t="shared" si="216"/>
        <v>1.1382936520186004</v>
      </c>
      <c r="AN689" s="164">
        <f>IF($E689="","",IF($B689&gt;Input!$C$9,$AI689*$AC689,$AM689*$AC689))</f>
        <v>51727.039289147498</v>
      </c>
      <c r="AO689" s="164">
        <f>IF(AND($C688=12,$D688=Input!$C$6),0,IF($E689="","",$AN689+AO690/(1+$L689)*$R689))</f>
        <v>104864.5757673304</v>
      </c>
      <c r="AP689" s="152"/>
      <c r="AQ689" s="164">
        <f t="shared" si="217"/>
        <v>-23344.447925866974</v>
      </c>
      <c r="AR689" s="164">
        <f t="shared" si="226"/>
        <v>11172.176729273484</v>
      </c>
      <c r="AS689" s="164">
        <f t="shared" si="227"/>
        <v>18985.645933014355</v>
      </c>
      <c r="AT689" s="164">
        <f t="shared" si="218"/>
        <v>18985.645933014355</v>
      </c>
      <c r="AU689" s="152"/>
      <c r="AV689" s="147">
        <f>'Deterministic Reserve'!BC689</f>
        <v>3.5000809043833228E-9</v>
      </c>
      <c r="AW689" s="164">
        <f t="shared" si="219"/>
        <v>18985.645933014355</v>
      </c>
      <c r="AX689" s="164">
        <f t="shared" si="220"/>
        <v>6.6451296787526444E-5</v>
      </c>
      <c r="AY689" s="152"/>
    </row>
    <row r="690" spans="1:51" s="150" customFormat="1" x14ac:dyDescent="0.25">
      <c r="A690" s="150">
        <f t="shared" si="228"/>
        <v>686</v>
      </c>
      <c r="B690" s="150">
        <f t="shared" si="229"/>
        <v>58</v>
      </c>
      <c r="C690" s="150">
        <f t="shared" si="230"/>
        <v>2</v>
      </c>
      <c r="D690" s="150">
        <f>IF(E690="","",Input!$C$4+B690-1)</f>
        <v>102</v>
      </c>
      <c r="E690" s="150">
        <f>IF(OR(AND(C689=12,D689=Input!$C$6),E689=""),"",1)</f>
        <v>1</v>
      </c>
      <c r="F690" s="150">
        <f>IF(E690="","",Input!$C$8+B690-1)</f>
        <v>2075</v>
      </c>
      <c r="G690" s="151">
        <f>IF(E690="","",MAX(0,Input!$C$9-B690))</f>
        <v>0</v>
      </c>
      <c r="H690" s="152">
        <f>IF(E690="","",Input!$C$3)</f>
        <v>100000</v>
      </c>
      <c r="I690" s="153">
        <f>IF(E690="","",HLOOKUP($B690,Input!$C$13:$BT$14,2))</f>
        <v>972.16000000000008</v>
      </c>
      <c r="J690" s="154"/>
      <c r="K690" s="155">
        <f>IF($E690="","",Input!$C$57)</f>
        <v>4.4999999999999998E-2</v>
      </c>
      <c r="L690" s="155">
        <f t="shared" si="221"/>
        <v>3.6748094004368514E-3</v>
      </c>
      <c r="M690" s="147">
        <f>IF($E690="","",VLOOKUP(IF($B690&lt;=Input!$C$7,$B690,26),'Mortality Tables'!$A$72:$CA$97,IF($B690&lt;=Input!$C$7+1,Input!$C$4-16,$D690-Input!$C$7-16),0)/1000)</f>
        <v>0.39679999999999999</v>
      </c>
      <c r="N690" s="147">
        <f t="shared" si="210"/>
        <v>4.1250586968968106E-2</v>
      </c>
      <c r="O690" s="157">
        <f>IF($E690="","",IF($C690=12,IF($B690&lt;Input!$C$9,Input!$C$54,IF($B690=Input!$C$9,Input!$C$55,Input!$C$56)),0%))</f>
        <v>0</v>
      </c>
      <c r="P690" s="167">
        <f>IF($E690="","",IF($B690=1,Input!$C$59,IF($B690&lt;6,Input!$C$60,0%)))</f>
        <v>0</v>
      </c>
      <c r="Q690" s="162">
        <f>IF($E690="","",Input!$C$58)</f>
        <v>2.5</v>
      </c>
      <c r="R690" s="156">
        <f t="shared" si="222"/>
        <v>0.95874941303103189</v>
      </c>
      <c r="S690" s="154">
        <f t="shared" si="211"/>
        <v>8.3866328040003086E-6</v>
      </c>
      <c r="T690" s="152"/>
      <c r="U690" s="150">
        <f t="shared" si="223"/>
        <v>0</v>
      </c>
      <c r="V690" s="150">
        <f t="shared" si="224"/>
        <v>0</v>
      </c>
      <c r="W690" s="168">
        <f t="shared" si="225"/>
        <v>0</v>
      </c>
      <c r="X690" s="163">
        <f t="shared" si="212"/>
        <v>4125.0586968968109</v>
      </c>
      <c r="Y690" s="152"/>
      <c r="Z690" s="164">
        <f>IF(AND($C689=12,$D689=Input!$C$6),0,IF($E690="","",V690+Z691/(1+L690)*R690))</f>
        <v>104546.48980569697</v>
      </c>
      <c r="AA690" s="164">
        <f>IF(OR($M690=1,AND($C689=12,$D689=Input!$C$6)),0,IF($E690="","",W690+(X690+AA691*$R690)/(1+$L690)))</f>
        <v>81037.483852069374</v>
      </c>
      <c r="AB690" s="160">
        <f t="shared" si="213"/>
        <v>0.825720328500681</v>
      </c>
      <c r="AC690" s="164">
        <f t="shared" si="214"/>
        <v>0</v>
      </c>
      <c r="AD690" s="164">
        <f>IF(AND($C689=12,$D689=Input!$C$6),0,IF($E690="","",$AC690+AD691/(1+$L690)*$R690))</f>
        <v>86326.16190595318</v>
      </c>
      <c r="AE690" s="152"/>
      <c r="AF690" s="164">
        <f>IF(AND($C689=12,$D689=Input!$C$6),0,IF($E690="","",IF($B690&gt;Input!$C$9,$AC690,0)+AF691/(1+$L690)*$R690))</f>
        <v>86326.16190595318</v>
      </c>
      <c r="AG690" s="164">
        <f>IF(AND($C689=12,$D689=Input!$C$6),0,IF($E690="","",(IF($B690&gt;Input!$C$9,$X690,0)+AG691)/(1+$L690)*$R690))</f>
        <v>76899.603908020596</v>
      </c>
      <c r="AH690" s="160">
        <f t="shared" si="215"/>
        <v>2.0950137211446997</v>
      </c>
      <c r="AI690" s="160">
        <f>IF($E690="","",MIN(Input!$C$61/AH690,1))</f>
        <v>0.64438718771845094</v>
      </c>
      <c r="AJ690" s="152"/>
      <c r="AK690" s="164">
        <f>IF(AND($C689=12,$D689=Input!$C$6),0,IF($E690="","",IF($B690&gt;Input!$C$9,$AC690*AI690,0)+AK691/(1+$L690)*$R690))</f>
        <v>55627.472697104808</v>
      </c>
      <c r="AL690" s="164">
        <f>IF(AND($C689=12,$D689=Input!$C$6),0,IF($E690="","",IF($B690&gt;Input!$C$9,0,$AC690)+AL691/(1+$L690)*$R690))</f>
        <v>0</v>
      </c>
      <c r="AM690" s="160">
        <f t="shared" si="216"/>
        <v>1.1382936520186004</v>
      </c>
      <c r="AN690" s="164">
        <f>IF($E690="","",IF($B690&gt;Input!$C$9,$AI690*$AC690,$AM690*$AC690))</f>
        <v>0</v>
      </c>
      <c r="AO690" s="164">
        <f>IF(AND($C689=12,$D689=Input!$C$6),0,IF($E690="","",$AN690+AO691/(1+$L690)*$R690))</f>
        <v>55627.472697104808</v>
      </c>
      <c r="AP690" s="152"/>
      <c r="AQ690" s="164">
        <f t="shared" si="217"/>
        <v>25410.011154964566</v>
      </c>
      <c r="AR690" s="164">
        <f t="shared" si="226"/>
        <v>11172.176729273484</v>
      </c>
      <c r="AS690" s="164">
        <f t="shared" si="227"/>
        <v>18985.645933014355</v>
      </c>
      <c r="AT690" s="164">
        <f t="shared" si="218"/>
        <v>18985.645933014355</v>
      </c>
      <c r="AU690" s="152"/>
      <c r="AV690" s="147">
        <f>'Deterministic Reserve'!BC690</f>
        <v>3.1166783793416261E-9</v>
      </c>
      <c r="AW690" s="164">
        <f t="shared" si="219"/>
        <v>18985.645933014355</v>
      </c>
      <c r="AX690" s="164">
        <f t="shared" si="220"/>
        <v>5.9172152197261117E-5</v>
      </c>
      <c r="AY690" s="152"/>
    </row>
    <row r="691" spans="1:51" s="150" customFormat="1" x14ac:dyDescent="0.25">
      <c r="A691" s="150">
        <f t="shared" si="228"/>
        <v>687</v>
      </c>
      <c r="B691" s="150">
        <f t="shared" si="229"/>
        <v>58</v>
      </c>
      <c r="C691" s="150">
        <f t="shared" si="230"/>
        <v>3</v>
      </c>
      <c r="D691" s="150">
        <f>IF(E691="","",Input!$C$4+B691-1)</f>
        <v>102</v>
      </c>
      <c r="E691" s="150">
        <f>IF(OR(AND(C690=12,D690=Input!$C$6),E690=""),"",1)</f>
        <v>1</v>
      </c>
      <c r="F691" s="150">
        <f>IF(E691="","",Input!$C$8+B691-1)</f>
        <v>2075</v>
      </c>
      <c r="G691" s="151">
        <f>IF(E691="","",MAX(0,Input!$C$9-B691))</f>
        <v>0</v>
      </c>
      <c r="H691" s="152">
        <f>IF(E691="","",Input!$C$3)</f>
        <v>100000</v>
      </c>
      <c r="I691" s="153">
        <f>IF(E691="","",HLOOKUP($B691,Input!$C$13:$BT$14,2))</f>
        <v>972.16000000000008</v>
      </c>
      <c r="J691" s="154"/>
      <c r="K691" s="155">
        <f>IF($E691="","",Input!$C$57)</f>
        <v>4.4999999999999998E-2</v>
      </c>
      <c r="L691" s="155">
        <f t="shared" si="221"/>
        <v>3.6748094004368514E-3</v>
      </c>
      <c r="M691" s="147">
        <f>IF($E691="","",VLOOKUP(IF($B691&lt;=Input!$C$7,$B691,26),'Mortality Tables'!$A$72:$CA$97,IF($B691&lt;=Input!$C$7+1,Input!$C$4-16,$D691-Input!$C$7-16),0)/1000)</f>
        <v>0.39679999999999999</v>
      </c>
      <c r="N691" s="147">
        <f t="shared" si="210"/>
        <v>4.1250586968968106E-2</v>
      </c>
      <c r="O691" s="157">
        <f>IF($E691="","",IF($C691=12,IF($B691&lt;Input!$C$9,Input!$C$54,IF($B691=Input!$C$9,Input!$C$55,Input!$C$56)),0%))</f>
        <v>0</v>
      </c>
      <c r="P691" s="167">
        <f>IF($E691="","",IF($B691=1,Input!$C$59,IF($B691&lt;6,Input!$C$60,0%)))</f>
        <v>0</v>
      </c>
      <c r="Q691" s="162">
        <f>IF($E691="","",Input!$C$58)</f>
        <v>2.5</v>
      </c>
      <c r="R691" s="156">
        <f t="shared" si="222"/>
        <v>0.95874941303103189</v>
      </c>
      <c r="S691" s="154">
        <f t="shared" si="211"/>
        <v>8.0406792781420927E-6</v>
      </c>
      <c r="T691" s="152"/>
      <c r="U691" s="150">
        <f t="shared" si="223"/>
        <v>0</v>
      </c>
      <c r="V691" s="150">
        <f t="shared" si="224"/>
        <v>0</v>
      </c>
      <c r="W691" s="168">
        <f t="shared" si="225"/>
        <v>0</v>
      </c>
      <c r="X691" s="163">
        <f t="shared" si="212"/>
        <v>4125.0586968968109</v>
      </c>
      <c r="Y691" s="152"/>
      <c r="Z691" s="164">
        <f>IF(AND($C690=12,$D690=Input!$C$6),0,IF($E691="","",V691+Z692/(1+L691)*R691))</f>
        <v>109445.363723859</v>
      </c>
      <c r="AA691" s="164">
        <f>IF(OR($M691=1,AND($C690=12,$D690=Input!$C$6)),0,IF($E691="","",W691+(X691+AA692*$R691)/(1+$L691)))</f>
        <v>80532.223971354688</v>
      </c>
      <c r="AB691" s="160">
        <f t="shared" si="213"/>
        <v>0.825720328500681</v>
      </c>
      <c r="AC691" s="164">
        <f t="shared" si="214"/>
        <v>0</v>
      </c>
      <c r="AD691" s="164">
        <f>IF(AND($C690=12,$D690=Input!$C$6),0,IF($E691="","",$AC691+AD692/(1+$L691)*$R691))</f>
        <v>90371.261686941361</v>
      </c>
      <c r="AE691" s="152"/>
      <c r="AF691" s="164">
        <f>IF(AND($C690=12,$D690=Input!$C$6),0,IF($E691="","",IF($B691&gt;Input!$C$9,$AC691,0)+AF692/(1+$L691)*$R691))</f>
        <v>90371.261686941361</v>
      </c>
      <c r="AG691" s="164">
        <f>IF(AND($C690=12,$D690=Input!$C$6),0,IF($E691="","",(IF($B691&gt;Input!$C$9,$X691,0)+AG692)/(1+$L691)*$R691))</f>
        <v>76377.932226815494</v>
      </c>
      <c r="AH691" s="160">
        <f t="shared" si="215"/>
        <v>2.0950137211446997</v>
      </c>
      <c r="AI691" s="160">
        <f>IF($E691="","",MIN(Input!$C$61/AH691,1))</f>
        <v>0.64438718771845094</v>
      </c>
      <c r="AJ691" s="152"/>
      <c r="AK691" s="164">
        <f>IF(AND($C690=12,$D690=Input!$C$6),0,IF($E691="","",IF($B691&gt;Input!$C$9,$AC691*AI691,0)+AK692/(1+$L691)*$R691))</f>
        <v>58234.083169016303</v>
      </c>
      <c r="AL691" s="164">
        <f>IF(AND($C690=12,$D690=Input!$C$6),0,IF($E691="","",IF($B691&gt;Input!$C$9,0,$AC691)+AL692/(1+$L691)*$R691))</f>
        <v>0</v>
      </c>
      <c r="AM691" s="160">
        <f t="shared" si="216"/>
        <v>1.1382936520186004</v>
      </c>
      <c r="AN691" s="164">
        <f>IF($E691="","",IF($B691&gt;Input!$C$9,$AI691*$AC691,$AM691*$AC691))</f>
        <v>0</v>
      </c>
      <c r="AO691" s="164">
        <f>IF(AND($C690=12,$D690=Input!$C$6),0,IF($E691="","",$AN691+AO692/(1+$L691)*$R691))</f>
        <v>58234.083169016303</v>
      </c>
      <c r="AP691" s="152"/>
      <c r="AQ691" s="164">
        <f t="shared" si="217"/>
        <v>22298.140802338385</v>
      </c>
      <c r="AR691" s="164">
        <f t="shared" si="226"/>
        <v>11172.176729273484</v>
      </c>
      <c r="AS691" s="164">
        <f t="shared" si="227"/>
        <v>18985.645933014355</v>
      </c>
      <c r="AT691" s="164">
        <f t="shared" si="218"/>
        <v>18985.645933014355</v>
      </c>
      <c r="AU691" s="152"/>
      <c r="AV691" s="147">
        <f>'Deterministic Reserve'!BC691</f>
        <v>2.7752741681172636E-9</v>
      </c>
      <c r="AW691" s="164">
        <f t="shared" si="219"/>
        <v>18985.645933014355</v>
      </c>
      <c r="AX691" s="164">
        <f t="shared" si="220"/>
        <v>5.2690372722915322E-5</v>
      </c>
      <c r="AY691" s="152"/>
    </row>
    <row r="692" spans="1:51" s="150" customFormat="1" x14ac:dyDescent="0.25">
      <c r="A692" s="150">
        <f t="shared" si="228"/>
        <v>688</v>
      </c>
      <c r="B692" s="150">
        <f t="shared" si="229"/>
        <v>58</v>
      </c>
      <c r="C692" s="150">
        <f t="shared" si="230"/>
        <v>4</v>
      </c>
      <c r="D692" s="150">
        <f>IF(E692="","",Input!$C$4+B692-1)</f>
        <v>102</v>
      </c>
      <c r="E692" s="150">
        <f>IF(OR(AND(C691=12,D691=Input!$C$6),E691=""),"",1)</f>
        <v>1</v>
      </c>
      <c r="F692" s="150">
        <f>IF(E692="","",Input!$C$8+B692-1)</f>
        <v>2075</v>
      </c>
      <c r="G692" s="151">
        <f>IF(E692="","",MAX(0,Input!$C$9-B692))</f>
        <v>0</v>
      </c>
      <c r="H692" s="152">
        <f>IF(E692="","",Input!$C$3)</f>
        <v>100000</v>
      </c>
      <c r="I692" s="153">
        <f>IF(E692="","",HLOOKUP($B692,Input!$C$13:$BT$14,2))</f>
        <v>972.16000000000008</v>
      </c>
      <c r="J692" s="154"/>
      <c r="K692" s="155">
        <f>IF($E692="","",Input!$C$57)</f>
        <v>4.4999999999999998E-2</v>
      </c>
      <c r="L692" s="155">
        <f t="shared" si="221"/>
        <v>3.6748094004368514E-3</v>
      </c>
      <c r="M692" s="147">
        <f>IF($E692="","",VLOOKUP(IF($B692&lt;=Input!$C$7,$B692,26),'Mortality Tables'!$A$72:$CA$97,IF($B692&lt;=Input!$C$7+1,Input!$C$4-16,$D692-Input!$C$7-16),0)/1000)</f>
        <v>0.39679999999999999</v>
      </c>
      <c r="N692" s="147">
        <f t="shared" si="210"/>
        <v>4.1250586968968106E-2</v>
      </c>
      <c r="O692" s="157">
        <f>IF($E692="","",IF($C692=12,IF($B692&lt;Input!$C$9,Input!$C$54,IF($B692=Input!$C$9,Input!$C$55,Input!$C$56)),0%))</f>
        <v>0</v>
      </c>
      <c r="P692" s="167">
        <f>IF($E692="","",IF($B692=1,Input!$C$59,IF($B692&lt;6,Input!$C$60,0%)))</f>
        <v>0</v>
      </c>
      <c r="Q692" s="162">
        <f>IF($E692="","",Input!$C$58)</f>
        <v>2.5</v>
      </c>
      <c r="R692" s="156">
        <f t="shared" si="222"/>
        <v>0.95874941303103189</v>
      </c>
      <c r="S692" s="154">
        <f t="shared" si="211"/>
        <v>7.7089965382895118E-6</v>
      </c>
      <c r="T692" s="152"/>
      <c r="U692" s="150">
        <f t="shared" si="223"/>
        <v>0</v>
      </c>
      <c r="V692" s="150">
        <f t="shared" si="224"/>
        <v>0</v>
      </c>
      <c r="W692" s="168">
        <f t="shared" si="225"/>
        <v>0</v>
      </c>
      <c r="X692" s="163">
        <f t="shared" si="212"/>
        <v>4125.0586968968109</v>
      </c>
      <c r="Y692" s="152"/>
      <c r="Z692" s="164">
        <f>IF(AND($C691=12,$D691=Input!$C$6),0,IF($E692="","",V692+Z693/(1+L692)*R692))</f>
        <v>114573.79069263663</v>
      </c>
      <c r="AA692" s="164">
        <f>IF(OR($M692=1,AND($C691=12,$D691=Input!$C$6)),0,IF($E692="","",W692+(X692+AA693*$R692)/(1+$L692)))</f>
        <v>80003.288456420923</v>
      </c>
      <c r="AB692" s="160">
        <f t="shared" si="213"/>
        <v>0.825720328500681</v>
      </c>
      <c r="AC692" s="164">
        <f t="shared" si="214"/>
        <v>0</v>
      </c>
      <c r="AD692" s="164">
        <f>IF(AND($C691=12,$D691=Input!$C$6),0,IF($E692="","",$AC692+AD693/(1+$L692)*$R692))</f>
        <v>94605.90808829217</v>
      </c>
      <c r="AE692" s="152"/>
      <c r="AF692" s="164">
        <f>IF(AND($C691=12,$D691=Input!$C$6),0,IF($E692="","",IF($B692&gt;Input!$C$9,$AC692,0)+AF693/(1+$L692)*$R692))</f>
        <v>94605.90808829217</v>
      </c>
      <c r="AG692" s="164">
        <f>IF(AND($C691=12,$D691=Input!$C$6),0,IF($E692="","",(IF($B692&gt;Input!$C$9,$X692,0)+AG693)/(1+$L692)*$R692))</f>
        <v>75831.815881828283</v>
      </c>
      <c r="AH692" s="160">
        <f t="shared" si="215"/>
        <v>2.0950137211446997</v>
      </c>
      <c r="AI692" s="160">
        <f>IF($E692="","",MIN(Input!$C$61/AH692,1))</f>
        <v>0.64438718771845094</v>
      </c>
      <c r="AJ692" s="152"/>
      <c r="AK692" s="164">
        <f>IF(AND($C691=12,$D691=Input!$C$6),0,IF($E692="","",IF($B692&gt;Input!$C$9,$AC692*AI692,0)+AK693/(1+$L692)*$R692))</f>
        <v>60962.835054564806</v>
      </c>
      <c r="AL692" s="164">
        <f>IF(AND($C691=12,$D691=Input!$C$6),0,IF($E692="","",IF($B692&gt;Input!$C$9,0,$AC692)+AL693/(1+$L692)*$R692))</f>
        <v>0</v>
      </c>
      <c r="AM692" s="160">
        <f t="shared" si="216"/>
        <v>1.1382936520186004</v>
      </c>
      <c r="AN692" s="164">
        <f>IF($E692="","",IF($B692&gt;Input!$C$9,$AI692*$AC692,$AM692*$AC692))</f>
        <v>0</v>
      </c>
      <c r="AO692" s="164">
        <f>IF(AND($C691=12,$D691=Input!$C$6),0,IF($E692="","",$AN692+AO693/(1+$L692)*$R692))</f>
        <v>60962.835054564806</v>
      </c>
      <c r="AP692" s="152"/>
      <c r="AQ692" s="164">
        <f t="shared" si="217"/>
        <v>19040.453401856117</v>
      </c>
      <c r="AR692" s="164">
        <f t="shared" si="226"/>
        <v>11172.176729273484</v>
      </c>
      <c r="AS692" s="164">
        <f t="shared" si="227"/>
        <v>18985.645933014355</v>
      </c>
      <c r="AT692" s="164">
        <f t="shared" si="218"/>
        <v>18985.645933014355</v>
      </c>
      <c r="AU692" s="152"/>
      <c r="AV692" s="147">
        <f>'Deterministic Reserve'!BC692</f>
        <v>2.471267731464158E-9</v>
      </c>
      <c r="AW692" s="164">
        <f t="shared" si="219"/>
        <v>18985.645933014355</v>
      </c>
      <c r="AX692" s="164">
        <f t="shared" si="220"/>
        <v>4.6918614155262101E-5</v>
      </c>
      <c r="AY692" s="152"/>
    </row>
    <row r="693" spans="1:51" s="150" customFormat="1" x14ac:dyDescent="0.25">
      <c r="A693" s="150">
        <f t="shared" si="228"/>
        <v>689</v>
      </c>
      <c r="B693" s="150">
        <f t="shared" si="229"/>
        <v>58</v>
      </c>
      <c r="C693" s="150">
        <f t="shared" si="230"/>
        <v>5</v>
      </c>
      <c r="D693" s="150">
        <f>IF(E693="","",Input!$C$4+B693-1)</f>
        <v>102</v>
      </c>
      <c r="E693" s="150">
        <f>IF(OR(AND(C692=12,D692=Input!$C$6),E692=""),"",1)</f>
        <v>1</v>
      </c>
      <c r="F693" s="150">
        <f>IF(E693="","",Input!$C$8+B693-1)</f>
        <v>2075</v>
      </c>
      <c r="G693" s="151">
        <f>IF(E693="","",MAX(0,Input!$C$9-B693))</f>
        <v>0</v>
      </c>
      <c r="H693" s="152">
        <f>IF(E693="","",Input!$C$3)</f>
        <v>100000</v>
      </c>
      <c r="I693" s="153">
        <f>IF(E693="","",HLOOKUP($B693,Input!$C$13:$BT$14,2))</f>
        <v>972.16000000000008</v>
      </c>
      <c r="J693" s="154"/>
      <c r="K693" s="155">
        <f>IF($E693="","",Input!$C$57)</f>
        <v>4.4999999999999998E-2</v>
      </c>
      <c r="L693" s="155">
        <f t="shared" si="221"/>
        <v>3.6748094004368514E-3</v>
      </c>
      <c r="M693" s="147">
        <f>IF($E693="","",VLOOKUP(IF($B693&lt;=Input!$C$7,$B693,26),'Mortality Tables'!$A$72:$CA$97,IF($B693&lt;=Input!$C$7+1,Input!$C$4-16,$D693-Input!$C$7-16),0)/1000)</f>
        <v>0.39679999999999999</v>
      </c>
      <c r="N693" s="147">
        <f t="shared" si="210"/>
        <v>4.1250586968968106E-2</v>
      </c>
      <c r="O693" s="157">
        <f>IF($E693="","",IF($C693=12,IF($B693&lt;Input!$C$9,Input!$C$54,IF($B693=Input!$C$9,Input!$C$55,Input!$C$56)),0%))</f>
        <v>0</v>
      </c>
      <c r="P693" s="167">
        <f>IF($E693="","",IF($B693=1,Input!$C$59,IF($B693&lt;6,Input!$C$60,0%)))</f>
        <v>0</v>
      </c>
      <c r="Q693" s="162">
        <f>IF($E693="","",Input!$C$58)</f>
        <v>2.5</v>
      </c>
      <c r="R693" s="156">
        <f t="shared" si="222"/>
        <v>0.95874941303103189</v>
      </c>
      <c r="S693" s="154">
        <f t="shared" si="211"/>
        <v>7.3909959061433258E-6</v>
      </c>
      <c r="T693" s="152"/>
      <c r="U693" s="150">
        <f t="shared" si="223"/>
        <v>0</v>
      </c>
      <c r="V693" s="150">
        <f t="shared" si="224"/>
        <v>0</v>
      </c>
      <c r="W693" s="168">
        <f t="shared" si="225"/>
        <v>0</v>
      </c>
      <c r="X693" s="163">
        <f t="shared" si="212"/>
        <v>4125.0586968968109</v>
      </c>
      <c r="Y693" s="152"/>
      <c r="Z693" s="164">
        <f>IF(AND($C692=12,$D692=Input!$C$6),0,IF($E693="","",V693+Z694/(1+L693)*R693))</f>
        <v>119942.52718462481</v>
      </c>
      <c r="AA693" s="164">
        <f>IF(OR($M693=1,AND($C692=12,$D692=Input!$C$6)),0,IF($E693="","",W693+(X693+AA694*$R693)/(1+$L693)))</f>
        <v>79449.567906587239</v>
      </c>
      <c r="AB693" s="160">
        <f t="shared" si="213"/>
        <v>0.825720328500681</v>
      </c>
      <c r="AC693" s="164">
        <f t="shared" si="214"/>
        <v>0</v>
      </c>
      <c r="AD693" s="164">
        <f>IF(AND($C692=12,$D692=Input!$C$6),0,IF($E693="","",$AC693+AD694/(1+$L693)*$R693))</f>
        <v>99038.982948090241</v>
      </c>
      <c r="AE693" s="152"/>
      <c r="AF693" s="164">
        <f>IF(AND($C692=12,$D692=Input!$C$6),0,IF($E693="","",IF($B693&gt;Input!$C$9,$AC693,0)+AF694/(1+$L693)*$R693))</f>
        <v>99038.982948090241</v>
      </c>
      <c r="AG693" s="164">
        <f>IF(AND($C692=12,$D692=Input!$C$6),0,IF($E693="","",(IF($B693&gt;Input!$C$9,$X693,0)+AG694)/(1+$L693)*$R693))</f>
        <v>75260.109436937084</v>
      </c>
      <c r="AH693" s="160">
        <f t="shared" si="215"/>
        <v>2.0950137211446997</v>
      </c>
      <c r="AI693" s="160">
        <f>IF($E693="","",MIN(Input!$C$61/AH693,1))</f>
        <v>0.64438718771845094</v>
      </c>
      <c r="AJ693" s="152"/>
      <c r="AK693" s="164">
        <f>IF(AND($C692=12,$D692=Input!$C$6),0,IF($E693="","",IF($B693&gt;Input!$C$9,$AC693*AI693,0)+AK694/(1+$L693)*$R693))</f>
        <v>63819.451696415446</v>
      </c>
      <c r="AL693" s="164">
        <f>IF(AND($C692=12,$D692=Input!$C$6),0,IF($E693="","",IF($B693&gt;Input!$C$9,0,$AC693)+AL694/(1+$L693)*$R693))</f>
        <v>0</v>
      </c>
      <c r="AM693" s="160">
        <f t="shared" si="216"/>
        <v>1.1382936520186004</v>
      </c>
      <c r="AN693" s="164">
        <f>IF($E693="","",IF($B693&gt;Input!$C$9,$AI693*$AC693,$AM693*$AC693))</f>
        <v>0</v>
      </c>
      <c r="AO693" s="164">
        <f>IF(AND($C692=12,$D692=Input!$C$6),0,IF($E693="","",$AN693+AO694/(1+$L693)*$R693))</f>
        <v>63819.451696415446</v>
      </c>
      <c r="AP693" s="152"/>
      <c r="AQ693" s="164">
        <f t="shared" si="217"/>
        <v>15630.116210171793</v>
      </c>
      <c r="AR693" s="164">
        <f t="shared" si="226"/>
        <v>11172.176729273484</v>
      </c>
      <c r="AS693" s="164">
        <f t="shared" si="227"/>
        <v>18985.645933014355</v>
      </c>
      <c r="AT693" s="164">
        <f t="shared" si="218"/>
        <v>18985.645933014355</v>
      </c>
      <c r="AU693" s="152"/>
      <c r="AV693" s="147">
        <f>'Deterministic Reserve'!BC693</f>
        <v>2.2005624780196349E-9</v>
      </c>
      <c r="AW693" s="164">
        <f t="shared" si="219"/>
        <v>18985.645933014355</v>
      </c>
      <c r="AX693" s="164">
        <f t="shared" si="220"/>
        <v>4.1779100061157474E-5</v>
      </c>
      <c r="AY693" s="152"/>
    </row>
    <row r="694" spans="1:51" s="150" customFormat="1" x14ac:dyDescent="0.25">
      <c r="A694" s="150">
        <f t="shared" si="228"/>
        <v>690</v>
      </c>
      <c r="B694" s="150">
        <f t="shared" si="229"/>
        <v>58</v>
      </c>
      <c r="C694" s="150">
        <f t="shared" si="230"/>
        <v>6</v>
      </c>
      <c r="D694" s="150">
        <f>IF(E694="","",Input!$C$4+B694-1)</f>
        <v>102</v>
      </c>
      <c r="E694" s="150">
        <f>IF(OR(AND(C693=12,D693=Input!$C$6),E693=""),"",1)</f>
        <v>1</v>
      </c>
      <c r="F694" s="150">
        <f>IF(E694="","",Input!$C$8+B694-1)</f>
        <v>2075</v>
      </c>
      <c r="G694" s="151">
        <f>IF(E694="","",MAX(0,Input!$C$9-B694))</f>
        <v>0</v>
      </c>
      <c r="H694" s="152">
        <f>IF(E694="","",Input!$C$3)</f>
        <v>100000</v>
      </c>
      <c r="I694" s="153">
        <f>IF(E694="","",HLOOKUP($B694,Input!$C$13:$BT$14,2))</f>
        <v>972.16000000000008</v>
      </c>
      <c r="J694" s="154"/>
      <c r="K694" s="155">
        <f>IF($E694="","",Input!$C$57)</f>
        <v>4.4999999999999998E-2</v>
      </c>
      <c r="L694" s="155">
        <f t="shared" si="221"/>
        <v>3.6748094004368514E-3</v>
      </c>
      <c r="M694" s="147">
        <f>IF($E694="","",VLOOKUP(IF($B694&lt;=Input!$C$7,$B694,26),'Mortality Tables'!$A$72:$CA$97,IF($B694&lt;=Input!$C$7+1,Input!$C$4-16,$D694-Input!$C$7-16),0)/1000)</f>
        <v>0.39679999999999999</v>
      </c>
      <c r="N694" s="147">
        <f t="shared" si="210"/>
        <v>4.1250586968968106E-2</v>
      </c>
      <c r="O694" s="157">
        <f>IF($E694="","",IF($C694=12,IF($B694&lt;Input!$C$9,Input!$C$54,IF($B694=Input!$C$9,Input!$C$55,Input!$C$56)),0%))</f>
        <v>0</v>
      </c>
      <c r="P694" s="167">
        <f>IF($E694="","",IF($B694=1,Input!$C$59,IF($B694&lt;6,Input!$C$60,0%)))</f>
        <v>0</v>
      </c>
      <c r="Q694" s="162">
        <f>IF($E694="","",Input!$C$58)</f>
        <v>2.5</v>
      </c>
      <c r="R694" s="156">
        <f t="shared" si="222"/>
        <v>0.95874941303103189</v>
      </c>
      <c r="S694" s="154">
        <f t="shared" si="211"/>
        <v>7.0861129867296733E-6</v>
      </c>
      <c r="T694" s="152"/>
      <c r="U694" s="150">
        <f t="shared" si="223"/>
        <v>0</v>
      </c>
      <c r="V694" s="150">
        <f t="shared" si="224"/>
        <v>0</v>
      </c>
      <c r="W694" s="168">
        <f t="shared" si="225"/>
        <v>0</v>
      </c>
      <c r="X694" s="163">
        <f t="shared" si="212"/>
        <v>4125.0586968968109</v>
      </c>
      <c r="Y694" s="152"/>
      <c r="Z694" s="164">
        <f>IF(AND($C693=12,$D693=Input!$C$6),0,IF($E694="","",V694+Z695/(1+L694)*R694))</f>
        <v>125562.83370276084</v>
      </c>
      <c r="AA694" s="164">
        <f>IF(OR($M694=1,AND($C693=12,$D693=Input!$C$6)),0,IF($E694="","",W694+(X694+AA695*$R694)/(1+$L694)))</f>
        <v>78869.900936509584</v>
      </c>
      <c r="AB694" s="160">
        <f t="shared" si="213"/>
        <v>0.825720328500681</v>
      </c>
      <c r="AC694" s="164">
        <f t="shared" si="214"/>
        <v>0</v>
      </c>
      <c r="AD694" s="164">
        <f>IF(AND($C693=12,$D693=Input!$C$6),0,IF($E694="","",$AC694+AD695/(1+$L694)*$R694))</f>
        <v>103679.78429252004</v>
      </c>
      <c r="AE694" s="152"/>
      <c r="AF694" s="164">
        <f>IF(AND($C693=12,$D693=Input!$C$6),0,IF($E694="","",IF($B694&gt;Input!$C$9,$AC694,0)+AF695/(1+$L694)*$R694))</f>
        <v>103679.78429252004</v>
      </c>
      <c r="AG694" s="164">
        <f>IF(AND($C693=12,$D693=Input!$C$6),0,IF($E694="","",(IF($B694&gt;Input!$C$9,$X694,0)+AG695)/(1+$L694)*$R694))</f>
        <v>74661.613782796223</v>
      </c>
      <c r="AH694" s="160">
        <f t="shared" si="215"/>
        <v>2.0950137211446997</v>
      </c>
      <c r="AI694" s="160">
        <f>IF($E694="","",MIN(Input!$C$61/AH694,1))</f>
        <v>0.64438718771845094</v>
      </c>
      <c r="AJ694" s="152"/>
      <c r="AK694" s="164">
        <f>IF(AND($C693=12,$D693=Input!$C$6),0,IF($E694="","",IF($B694&gt;Input!$C$9,$AC694*AI694,0)+AK695/(1+$L694)*$R694))</f>
        <v>66809.924623512576</v>
      </c>
      <c r="AL694" s="164">
        <f>IF(AND($C693=12,$D693=Input!$C$6),0,IF($E694="","",IF($B694&gt;Input!$C$9,0,$AC694)+AL695/(1+$L694)*$R694))</f>
        <v>0</v>
      </c>
      <c r="AM694" s="160">
        <f t="shared" si="216"/>
        <v>1.1382936520186004</v>
      </c>
      <c r="AN694" s="164">
        <f>IF($E694="","",IF($B694&gt;Input!$C$9,$AI694*$AC694,$AM694*$AC694))</f>
        <v>0</v>
      </c>
      <c r="AO694" s="164">
        <f>IF(AND($C693=12,$D693=Input!$C$6),0,IF($E694="","",$AN694+AO695/(1+$L694)*$R694))</f>
        <v>66809.924623512576</v>
      </c>
      <c r="AP694" s="152"/>
      <c r="AQ694" s="164">
        <f t="shared" si="217"/>
        <v>12059.976312997009</v>
      </c>
      <c r="AR694" s="164">
        <f t="shared" si="226"/>
        <v>11172.176729273484</v>
      </c>
      <c r="AS694" s="164">
        <f t="shared" si="227"/>
        <v>18985.645933014355</v>
      </c>
      <c r="AT694" s="164">
        <f t="shared" si="218"/>
        <v>18985.645933014355</v>
      </c>
      <c r="AU694" s="152"/>
      <c r="AV694" s="147">
        <f>'Deterministic Reserve'!BC694</f>
        <v>1.9595105613258998E-9</v>
      </c>
      <c r="AW694" s="164">
        <f t="shared" si="219"/>
        <v>18985.645933014355</v>
      </c>
      <c r="AX694" s="164">
        <f t="shared" si="220"/>
        <v>3.7202573719335745E-5</v>
      </c>
      <c r="AY694" s="152"/>
    </row>
    <row r="695" spans="1:51" s="150" customFormat="1" x14ac:dyDescent="0.25">
      <c r="A695" s="150">
        <f t="shared" si="228"/>
        <v>691</v>
      </c>
      <c r="B695" s="150">
        <f t="shared" si="229"/>
        <v>58</v>
      </c>
      <c r="C695" s="150">
        <f t="shared" si="230"/>
        <v>7</v>
      </c>
      <c r="D695" s="150">
        <f>IF(E695="","",Input!$C$4+B695-1)</f>
        <v>102</v>
      </c>
      <c r="E695" s="150">
        <f>IF(OR(AND(C694=12,D694=Input!$C$6),E694=""),"",1)</f>
        <v>1</v>
      </c>
      <c r="F695" s="150">
        <f>IF(E695="","",Input!$C$8+B695-1)</f>
        <v>2075</v>
      </c>
      <c r="G695" s="151">
        <f>IF(E695="","",MAX(0,Input!$C$9-B695))</f>
        <v>0</v>
      </c>
      <c r="H695" s="152">
        <f>IF(E695="","",Input!$C$3)</f>
        <v>100000</v>
      </c>
      <c r="I695" s="153">
        <f>IF(E695="","",HLOOKUP($B695,Input!$C$13:$BT$14,2))</f>
        <v>972.16000000000008</v>
      </c>
      <c r="J695" s="154"/>
      <c r="K695" s="155">
        <f>IF($E695="","",Input!$C$57)</f>
        <v>4.4999999999999998E-2</v>
      </c>
      <c r="L695" s="155">
        <f t="shared" si="221"/>
        <v>3.6748094004368514E-3</v>
      </c>
      <c r="M695" s="147">
        <f>IF($E695="","",VLOOKUP(IF($B695&lt;=Input!$C$7,$B695,26),'Mortality Tables'!$A$72:$CA$97,IF($B695&lt;=Input!$C$7+1,Input!$C$4-16,$D695-Input!$C$7-16),0)/1000)</f>
        <v>0.39679999999999999</v>
      </c>
      <c r="N695" s="147">
        <f t="shared" si="210"/>
        <v>4.1250586968968106E-2</v>
      </c>
      <c r="O695" s="157">
        <f>IF($E695="","",IF($C695=12,IF($B695&lt;Input!$C$9,Input!$C$54,IF($B695=Input!$C$9,Input!$C$55,Input!$C$56)),0%))</f>
        <v>0</v>
      </c>
      <c r="P695" s="167">
        <f>IF($E695="","",IF($B695=1,Input!$C$59,IF($B695&lt;6,Input!$C$60,0%)))</f>
        <v>0</v>
      </c>
      <c r="Q695" s="162">
        <f>IF($E695="","",Input!$C$58)</f>
        <v>2.5</v>
      </c>
      <c r="R695" s="156">
        <f t="shared" si="222"/>
        <v>0.95874941303103189</v>
      </c>
      <c r="S695" s="154">
        <f t="shared" si="211"/>
        <v>6.7938066666986467E-6</v>
      </c>
      <c r="T695" s="152"/>
      <c r="U695" s="150">
        <f t="shared" si="223"/>
        <v>0</v>
      </c>
      <c r="V695" s="150">
        <f t="shared" si="224"/>
        <v>0</v>
      </c>
      <c r="W695" s="168">
        <f t="shared" si="225"/>
        <v>0</v>
      </c>
      <c r="X695" s="163">
        <f t="shared" si="212"/>
        <v>4125.0586968968109</v>
      </c>
      <c r="Y695" s="152"/>
      <c r="Z695" s="164">
        <f>IF(AND($C694=12,$D694=Input!$C$6),0,IF($E695="","",V695+Z696/(1+L695)*R695))</f>
        <v>131446.49839834447</v>
      </c>
      <c r="AA695" s="164">
        <f>IF(OR($M695=1,AND($C694=12,$D694=Input!$C$6)),0,IF($E695="","",W695+(X695+AA696*$R695)/(1+$L695)))</f>
        <v>78263.071740266212</v>
      </c>
      <c r="AB695" s="160">
        <f t="shared" si="213"/>
        <v>0.825720328500681</v>
      </c>
      <c r="AC695" s="164">
        <f t="shared" si="214"/>
        <v>0</v>
      </c>
      <c r="AD695" s="164">
        <f>IF(AND($C694=12,$D694=Input!$C$6),0,IF($E695="","",$AC695+AD696/(1+$L695)*$R695))</f>
        <v>108538.04583774522</v>
      </c>
      <c r="AE695" s="152"/>
      <c r="AF695" s="164">
        <f>IF(AND($C694=12,$D694=Input!$C$6),0,IF($E695="","",IF($B695&gt;Input!$C$9,$AC695,0)+AF696/(1+$L695)*$R695))</f>
        <v>108538.04583774522</v>
      </c>
      <c r="AG695" s="164">
        <f>IF(AND($C694=12,$D694=Input!$C$6),0,IF($E695="","",(IF($B695&gt;Input!$C$9,$X695,0)+AG696)/(1+$L695)*$R695))</f>
        <v>74035.073621798612</v>
      </c>
      <c r="AH695" s="160">
        <f t="shared" si="215"/>
        <v>2.0950137211446997</v>
      </c>
      <c r="AI695" s="160">
        <f>IF($E695="","",MIN(Input!$C$61/AH695,1))</f>
        <v>0.64438718771845094</v>
      </c>
      <c r="AJ695" s="152"/>
      <c r="AK695" s="164">
        <f>IF(AND($C694=12,$D694=Input!$C$6),0,IF($E695="","",IF($B695&gt;Input!$C$9,$AC695*AI695,0)+AK696/(1+$L695)*$R695))</f>
        <v>69940.526117840927</v>
      </c>
      <c r="AL695" s="164">
        <f>IF(AND($C694=12,$D694=Input!$C$6),0,IF($E695="","",IF($B695&gt;Input!$C$9,0,$AC695)+AL696/(1+$L695)*$R695))</f>
        <v>0</v>
      </c>
      <c r="AM695" s="160">
        <f t="shared" si="216"/>
        <v>1.1382936520186004</v>
      </c>
      <c r="AN695" s="164">
        <f>IF($E695="","",IF($B695&gt;Input!$C$9,$AI695*$AC695,$AM695*$AC695))</f>
        <v>0</v>
      </c>
      <c r="AO695" s="164">
        <f>IF(AND($C694=12,$D694=Input!$C$6),0,IF($E695="","",$AN695+AO696/(1+$L695)*$R695))</f>
        <v>69940.526117840927</v>
      </c>
      <c r="AP695" s="152"/>
      <c r="AQ695" s="164">
        <f t="shared" si="217"/>
        <v>8322.5456224252848</v>
      </c>
      <c r="AR695" s="164">
        <f t="shared" si="226"/>
        <v>11172.176729273484</v>
      </c>
      <c r="AS695" s="164">
        <f t="shared" si="227"/>
        <v>18985.645933014355</v>
      </c>
      <c r="AT695" s="164">
        <f t="shared" si="218"/>
        <v>18985.645933014355</v>
      </c>
      <c r="AU695" s="152"/>
      <c r="AV695" s="147">
        <f>'Deterministic Reserve'!BC695</f>
        <v>1.7448637238435559E-9</v>
      </c>
      <c r="AW695" s="164">
        <f t="shared" si="219"/>
        <v>18985.645933014355</v>
      </c>
      <c r="AX695" s="164">
        <f t="shared" si="220"/>
        <v>3.3127364862254691E-5</v>
      </c>
      <c r="AY695" s="152"/>
    </row>
    <row r="696" spans="1:51" s="150" customFormat="1" x14ac:dyDescent="0.25">
      <c r="A696" s="150">
        <f t="shared" si="228"/>
        <v>692</v>
      </c>
      <c r="B696" s="150">
        <f t="shared" si="229"/>
        <v>58</v>
      </c>
      <c r="C696" s="150">
        <f t="shared" si="230"/>
        <v>8</v>
      </c>
      <c r="D696" s="150">
        <f>IF(E696="","",Input!$C$4+B696-1)</f>
        <v>102</v>
      </c>
      <c r="E696" s="150">
        <f>IF(OR(AND(C695=12,D695=Input!$C$6),E695=""),"",1)</f>
        <v>1</v>
      </c>
      <c r="F696" s="150">
        <f>IF(E696="","",Input!$C$8+B696-1)</f>
        <v>2075</v>
      </c>
      <c r="G696" s="151">
        <f>IF(E696="","",MAX(0,Input!$C$9-B696))</f>
        <v>0</v>
      </c>
      <c r="H696" s="152">
        <f>IF(E696="","",Input!$C$3)</f>
        <v>100000</v>
      </c>
      <c r="I696" s="153">
        <f>IF(E696="","",HLOOKUP($B696,Input!$C$13:$BT$14,2))</f>
        <v>972.16000000000008</v>
      </c>
      <c r="J696" s="154"/>
      <c r="K696" s="155">
        <f>IF($E696="","",Input!$C$57)</f>
        <v>4.4999999999999998E-2</v>
      </c>
      <c r="L696" s="155">
        <f t="shared" si="221"/>
        <v>3.6748094004368514E-3</v>
      </c>
      <c r="M696" s="147">
        <f>IF($E696="","",VLOOKUP(IF($B696&lt;=Input!$C$7,$B696,26),'Mortality Tables'!$A$72:$CA$97,IF($B696&lt;=Input!$C$7+1,Input!$C$4-16,$D696-Input!$C$7-16),0)/1000)</f>
        <v>0.39679999999999999</v>
      </c>
      <c r="N696" s="147">
        <f t="shared" si="210"/>
        <v>4.1250586968968106E-2</v>
      </c>
      <c r="O696" s="157">
        <f>IF($E696="","",IF($C696=12,IF($B696&lt;Input!$C$9,Input!$C$54,IF($B696=Input!$C$9,Input!$C$55,Input!$C$56)),0%))</f>
        <v>0</v>
      </c>
      <c r="P696" s="167">
        <f>IF($E696="","",IF($B696=1,Input!$C$59,IF($B696&lt;6,Input!$C$60,0%)))</f>
        <v>0</v>
      </c>
      <c r="Q696" s="162">
        <f>IF($E696="","",Input!$C$58)</f>
        <v>2.5</v>
      </c>
      <c r="R696" s="156">
        <f t="shared" si="222"/>
        <v>0.95874941303103189</v>
      </c>
      <c r="S696" s="154">
        <f t="shared" si="211"/>
        <v>6.5135581539436387E-6</v>
      </c>
      <c r="T696" s="152"/>
      <c r="U696" s="150">
        <f t="shared" si="223"/>
        <v>0</v>
      </c>
      <c r="V696" s="150">
        <f t="shared" si="224"/>
        <v>0</v>
      </c>
      <c r="W696" s="168">
        <f t="shared" si="225"/>
        <v>0</v>
      </c>
      <c r="X696" s="163">
        <f t="shared" si="212"/>
        <v>4125.0586968968109</v>
      </c>
      <c r="Y696" s="152"/>
      <c r="Z696" s="164">
        <f>IF(AND($C695=12,$D695=Input!$C$6),0,IF($E696="","",V696+Z697/(1+L696)*R696))</f>
        <v>137605.86179575897</v>
      </c>
      <c r="AA696" s="164">
        <f>IF(OR($M696=1,AND($C695=12,$D695=Input!$C$6)),0,IF($E696="","",W696+(X696+AA697*$R696)/(1+$L696)))</f>
        <v>77627.807541300324</v>
      </c>
      <c r="AB696" s="160">
        <f t="shared" si="213"/>
        <v>0.825720328500681</v>
      </c>
      <c r="AC696" s="164">
        <f t="shared" si="214"/>
        <v>0</v>
      </c>
      <c r="AD696" s="164">
        <f>IF(AND($C695=12,$D695=Input!$C$6),0,IF($E696="","",$AC696+AD697/(1+$L696)*$R696))</f>
        <v>113623.95740561339</v>
      </c>
      <c r="AE696" s="152"/>
      <c r="AF696" s="164">
        <f>IF(AND($C695=12,$D695=Input!$C$6),0,IF($E696="","",IF($B696&gt;Input!$C$9,$AC696,0)+AF697/(1+$L696)*$R696))</f>
        <v>113623.95740561339</v>
      </c>
      <c r="AG696" s="164">
        <f>IF(AND($C695=12,$D695=Input!$C$6),0,IF($E696="","",(IF($B696&gt;Input!$C$9,$X696,0)+AG697)/(1+$L696)*$R696))</f>
        <v>73379.174835187674</v>
      </c>
      <c r="AH696" s="160">
        <f t="shared" si="215"/>
        <v>2.0950137211446997</v>
      </c>
      <c r="AI696" s="160">
        <f>IF($E696="","",MIN(Input!$C$61/AH696,1))</f>
        <v>0.64438718771845094</v>
      </c>
      <c r="AJ696" s="152"/>
      <c r="AK696" s="164">
        <f>IF(AND($C695=12,$D695=Input!$C$6),0,IF($E696="","",IF($B696&gt;Input!$C$9,$AC696*AI696,0)+AK697/(1+$L696)*$R696))</f>
        <v>73217.822370044247</v>
      </c>
      <c r="AL696" s="164">
        <f>IF(AND($C695=12,$D695=Input!$C$6),0,IF($E696="","",IF($B696&gt;Input!$C$9,0,$AC696)+AL697/(1+$L696)*$R696))</f>
        <v>0</v>
      </c>
      <c r="AM696" s="160">
        <f t="shared" si="216"/>
        <v>1.1382936520186004</v>
      </c>
      <c r="AN696" s="164">
        <f>IF($E696="","",IF($B696&gt;Input!$C$9,$AI696*$AC696,$AM696*$AC696))</f>
        <v>0</v>
      </c>
      <c r="AO696" s="164">
        <f>IF(AND($C695=12,$D695=Input!$C$6),0,IF($E696="","",$AN696+AO697/(1+$L696)*$R696))</f>
        <v>73217.822370044247</v>
      </c>
      <c r="AP696" s="152"/>
      <c r="AQ696" s="164">
        <f t="shared" si="217"/>
        <v>4409.9851712560776</v>
      </c>
      <c r="AR696" s="164">
        <f t="shared" si="226"/>
        <v>11172.176729273484</v>
      </c>
      <c r="AS696" s="164">
        <f t="shared" si="227"/>
        <v>18985.645933014355</v>
      </c>
      <c r="AT696" s="164">
        <f t="shared" si="218"/>
        <v>18985.645933014355</v>
      </c>
      <c r="AU696" s="152"/>
      <c r="AV696" s="147">
        <f>'Deterministic Reserve'!BC696</f>
        <v>1.5537295255633179E-9</v>
      </c>
      <c r="AW696" s="164">
        <f t="shared" si="219"/>
        <v>18985.645933014355</v>
      </c>
      <c r="AX696" s="164">
        <f t="shared" si="220"/>
        <v>2.949855864801553E-5</v>
      </c>
      <c r="AY696" s="152"/>
    </row>
    <row r="697" spans="1:51" s="150" customFormat="1" x14ac:dyDescent="0.25">
      <c r="A697" s="150">
        <f t="shared" si="228"/>
        <v>693</v>
      </c>
      <c r="B697" s="150">
        <f t="shared" si="229"/>
        <v>58</v>
      </c>
      <c r="C697" s="150">
        <f t="shared" si="230"/>
        <v>9</v>
      </c>
      <c r="D697" s="150">
        <f>IF(E697="","",Input!$C$4+B697-1)</f>
        <v>102</v>
      </c>
      <c r="E697" s="150">
        <f>IF(OR(AND(C696=12,D696=Input!$C$6),E696=""),"",1)</f>
        <v>1</v>
      </c>
      <c r="F697" s="150">
        <f>IF(E697="","",Input!$C$8+B697-1)</f>
        <v>2075</v>
      </c>
      <c r="G697" s="151">
        <f>IF(E697="","",MAX(0,Input!$C$9-B697))</f>
        <v>0</v>
      </c>
      <c r="H697" s="152">
        <f>IF(E697="","",Input!$C$3)</f>
        <v>100000</v>
      </c>
      <c r="I697" s="153">
        <f>IF(E697="","",HLOOKUP($B697,Input!$C$13:$BT$14,2))</f>
        <v>972.16000000000008</v>
      </c>
      <c r="J697" s="154"/>
      <c r="K697" s="155">
        <f>IF($E697="","",Input!$C$57)</f>
        <v>4.4999999999999998E-2</v>
      </c>
      <c r="L697" s="155">
        <f t="shared" si="221"/>
        <v>3.6748094004368514E-3</v>
      </c>
      <c r="M697" s="147">
        <f>IF($E697="","",VLOOKUP(IF($B697&lt;=Input!$C$7,$B697,26),'Mortality Tables'!$A$72:$CA$97,IF($B697&lt;=Input!$C$7+1,Input!$C$4-16,$D697-Input!$C$7-16),0)/1000)</f>
        <v>0.39679999999999999</v>
      </c>
      <c r="N697" s="147">
        <f t="shared" si="210"/>
        <v>4.1250586968968106E-2</v>
      </c>
      <c r="O697" s="157">
        <f>IF($E697="","",IF($C697=12,IF($B697&lt;Input!$C$9,Input!$C$54,IF($B697=Input!$C$9,Input!$C$55,Input!$C$56)),0%))</f>
        <v>0</v>
      </c>
      <c r="P697" s="167">
        <f>IF($E697="","",IF($B697=1,Input!$C$59,IF($B697&lt;6,Input!$C$60,0%)))</f>
        <v>0</v>
      </c>
      <c r="Q697" s="162">
        <f>IF($E697="","",Input!$C$58)</f>
        <v>2.5</v>
      </c>
      <c r="R697" s="156">
        <f t="shared" si="222"/>
        <v>0.95874941303103189</v>
      </c>
      <c r="S697" s="154">
        <f t="shared" si="211"/>
        <v>6.2448700568369549E-6</v>
      </c>
      <c r="T697" s="152"/>
      <c r="U697" s="150">
        <f t="shared" si="223"/>
        <v>0</v>
      </c>
      <c r="V697" s="150">
        <f t="shared" si="224"/>
        <v>0</v>
      </c>
      <c r="W697" s="168">
        <f t="shared" si="225"/>
        <v>0</v>
      </c>
      <c r="X697" s="163">
        <f t="shared" si="212"/>
        <v>4125.0586968968109</v>
      </c>
      <c r="Y697" s="152"/>
      <c r="Z697" s="164">
        <f>IF(AND($C696=12,$D696=Input!$C$6),0,IF($E697="","",V697+Z698/(1+L697)*R697))</f>
        <v>144053.84267575137</v>
      </c>
      <c r="AA697" s="164">
        <f>IF(OR($M697=1,AND($C696=12,$D696=Input!$C$6)),0,IF($E697="","",W697+(X697+AA698*$R697)/(1+$L697)))</f>
        <v>76962.77592287118</v>
      </c>
      <c r="AB697" s="160">
        <f t="shared" si="213"/>
        <v>0.825720328500681</v>
      </c>
      <c r="AC697" s="164">
        <f t="shared" si="214"/>
        <v>0</v>
      </c>
      <c r="AD697" s="164">
        <f>IF(AND($C696=12,$D696=Input!$C$6),0,IF($E697="","",$AC697+AD698/(1+$L697)*$R697))</f>
        <v>118948.18629600682</v>
      </c>
      <c r="AE697" s="152"/>
      <c r="AF697" s="164">
        <f>IF(AND($C696=12,$D696=Input!$C$6),0,IF($E697="","",IF($B697&gt;Input!$C$9,$AC697,0)+AF698/(1+$L697)*$R697))</f>
        <v>118948.18629600682</v>
      </c>
      <c r="AG697" s="164">
        <f>IF(AND($C696=12,$D696=Input!$C$6),0,IF($E697="","",(IF($B697&gt;Input!$C$9,$X697,0)+AG698)/(1+$L697)*$R697))</f>
        <v>72692.541726796509</v>
      </c>
      <c r="AH697" s="160">
        <f t="shared" si="215"/>
        <v>2.0950137211446997</v>
      </c>
      <c r="AI697" s="160">
        <f>IF($E697="","",MIN(Input!$C$61/AH697,1))</f>
        <v>0.64438718771845094</v>
      </c>
      <c r="AJ697" s="152"/>
      <c r="AK697" s="164">
        <f>IF(AND($C696=12,$D696=Input!$C$6),0,IF($E697="","",IF($B697&gt;Input!$C$9,$AC697*AI697,0)+AK698/(1+$L697)*$R697))</f>
        <v>76648.687251494208</v>
      </c>
      <c r="AL697" s="164">
        <f>IF(AND($C696=12,$D696=Input!$C$6),0,IF($E697="","",IF($B697&gt;Input!$C$9,0,$AC697)+AL698/(1+$L697)*$R697))</f>
        <v>0</v>
      </c>
      <c r="AM697" s="160">
        <f t="shared" si="216"/>
        <v>1.1382936520186004</v>
      </c>
      <c r="AN697" s="164">
        <f>IF($E697="","",IF($B697&gt;Input!$C$9,$AI697*$AC697,$AM697*$AC697))</f>
        <v>0</v>
      </c>
      <c r="AO697" s="164">
        <f>IF(AND($C696=12,$D696=Input!$C$6),0,IF($E697="","",$AN697+AO698/(1+$L697)*$R697))</f>
        <v>76648.687251494208</v>
      </c>
      <c r="AP697" s="152"/>
      <c r="AQ697" s="164">
        <f t="shared" si="217"/>
        <v>314.08867137697234</v>
      </c>
      <c r="AR697" s="164">
        <f t="shared" si="226"/>
        <v>11172.176729273484</v>
      </c>
      <c r="AS697" s="164">
        <f t="shared" si="227"/>
        <v>18985.645933014355</v>
      </c>
      <c r="AT697" s="164">
        <f t="shared" si="218"/>
        <v>18985.645933014355</v>
      </c>
      <c r="AU697" s="152"/>
      <c r="AV697" s="147">
        <f>'Deterministic Reserve'!BC697</f>
        <v>1.3835323673814072E-9</v>
      </c>
      <c r="AW697" s="164">
        <f t="shared" si="219"/>
        <v>18985.645933014355</v>
      </c>
      <c r="AX697" s="164">
        <f t="shared" si="220"/>
        <v>2.6267255663968536E-5</v>
      </c>
      <c r="AY697" s="152"/>
    </row>
    <row r="698" spans="1:51" s="150" customFormat="1" x14ac:dyDescent="0.25">
      <c r="A698" s="150">
        <f t="shared" si="228"/>
        <v>694</v>
      </c>
      <c r="B698" s="150">
        <f t="shared" si="229"/>
        <v>58</v>
      </c>
      <c r="C698" s="150">
        <f t="shared" si="230"/>
        <v>10</v>
      </c>
      <c r="D698" s="150">
        <f>IF(E698="","",Input!$C$4+B698-1)</f>
        <v>102</v>
      </c>
      <c r="E698" s="150">
        <f>IF(OR(AND(C697=12,D697=Input!$C$6),E697=""),"",1)</f>
        <v>1</v>
      </c>
      <c r="F698" s="150">
        <f>IF(E698="","",Input!$C$8+B698-1)</f>
        <v>2075</v>
      </c>
      <c r="G698" s="151">
        <f>IF(E698="","",MAX(0,Input!$C$9-B698))</f>
        <v>0</v>
      </c>
      <c r="H698" s="152">
        <f>IF(E698="","",Input!$C$3)</f>
        <v>100000</v>
      </c>
      <c r="I698" s="153">
        <f>IF(E698="","",HLOOKUP($B698,Input!$C$13:$BT$14,2))</f>
        <v>972.16000000000008</v>
      </c>
      <c r="J698" s="154"/>
      <c r="K698" s="155">
        <f>IF($E698="","",Input!$C$57)</f>
        <v>4.4999999999999998E-2</v>
      </c>
      <c r="L698" s="155">
        <f t="shared" si="221"/>
        <v>3.6748094004368514E-3</v>
      </c>
      <c r="M698" s="147">
        <f>IF($E698="","",VLOOKUP(IF($B698&lt;=Input!$C$7,$B698,26),'Mortality Tables'!$A$72:$CA$97,IF($B698&lt;=Input!$C$7+1,Input!$C$4-16,$D698-Input!$C$7-16),0)/1000)</f>
        <v>0.39679999999999999</v>
      </c>
      <c r="N698" s="147">
        <f t="shared" si="210"/>
        <v>4.1250586968968106E-2</v>
      </c>
      <c r="O698" s="157">
        <f>IF($E698="","",IF($C698=12,IF($B698&lt;Input!$C$9,Input!$C$54,IF($B698=Input!$C$9,Input!$C$55,Input!$C$56)),0%))</f>
        <v>0</v>
      </c>
      <c r="P698" s="167">
        <f>IF($E698="","",IF($B698=1,Input!$C$59,IF($B698&lt;6,Input!$C$60,0%)))</f>
        <v>0</v>
      </c>
      <c r="Q698" s="162">
        <f>IF($E698="","",Input!$C$58)</f>
        <v>2.5</v>
      </c>
      <c r="R698" s="156">
        <f t="shared" si="222"/>
        <v>0.95874941303103189</v>
      </c>
      <c r="S698" s="154">
        <f t="shared" si="211"/>
        <v>5.9872655014474972E-6</v>
      </c>
      <c r="T698" s="152"/>
      <c r="U698" s="150">
        <f t="shared" si="223"/>
        <v>0</v>
      </c>
      <c r="V698" s="150">
        <f t="shared" si="224"/>
        <v>0</v>
      </c>
      <c r="W698" s="168">
        <f t="shared" si="225"/>
        <v>0</v>
      </c>
      <c r="X698" s="163">
        <f t="shared" si="212"/>
        <v>4125.0586968968109</v>
      </c>
      <c r="Y698" s="152"/>
      <c r="Z698" s="164">
        <f>IF(AND($C697=12,$D697=Input!$C$6),0,IF($E698="","",V698+Z699/(1+L698)*R698))</f>
        <v>150803.96517155995</v>
      </c>
      <c r="AA698" s="164">
        <f>IF(OR($M698=1,AND($C697=12,$D697=Input!$C$6)),0,IF($E698="","",W698+(X698+AA699*$R698)/(1+$L698)))</f>
        <v>76266.582033414757</v>
      </c>
      <c r="AB698" s="160">
        <f t="shared" si="213"/>
        <v>0.825720328500681</v>
      </c>
      <c r="AC698" s="164">
        <f t="shared" si="214"/>
        <v>0</v>
      </c>
      <c r="AD698" s="164">
        <f>IF(AND($C697=12,$D697=Input!$C$6),0,IF($E698="","",$AC698+AD699/(1+$L698)*$R698))</f>
        <v>124521.89966066572</v>
      </c>
      <c r="AE698" s="152"/>
      <c r="AF698" s="164">
        <f>IF(AND($C697=12,$D697=Input!$C$6),0,IF($E698="","",IF($B698&gt;Input!$C$9,$AC698,0)+AF699/(1+$L698)*$R698))</f>
        <v>124521.89966066572</v>
      </c>
      <c r="AG698" s="164">
        <f>IF(AND($C697=12,$D697=Input!$C$6),0,IF($E698="","",(IF($B698&gt;Input!$C$9,$X698,0)+AG699)/(1+$L698)*$R698))</f>
        <v>71973.734137633248</v>
      </c>
      <c r="AH698" s="160">
        <f t="shared" si="215"/>
        <v>2.0950137211446997</v>
      </c>
      <c r="AI698" s="160">
        <f>IF($E698="","",MIN(Input!$C$61/AH698,1))</f>
        <v>0.64438718771845094</v>
      </c>
      <c r="AJ698" s="152"/>
      <c r="AK698" s="164">
        <f>IF(AND($C697=12,$D697=Input!$C$6),0,IF($E698="","",IF($B698&gt;Input!$C$9,$AC698*AI698,0)+AK699/(1+$L698)*$R698))</f>
        <v>80240.316731695508</v>
      </c>
      <c r="AL698" s="164">
        <f>IF(AND($C697=12,$D697=Input!$C$6),0,IF($E698="","",IF($B698&gt;Input!$C$9,0,$AC698)+AL699/(1+$L698)*$R698))</f>
        <v>0</v>
      </c>
      <c r="AM698" s="160">
        <f t="shared" si="216"/>
        <v>1.1382936520186004</v>
      </c>
      <c r="AN698" s="164">
        <f>IF($E698="","",IF($B698&gt;Input!$C$9,$AI698*$AC698,$AM698*$AC698))</f>
        <v>0</v>
      </c>
      <c r="AO698" s="164">
        <f>IF(AND($C697=12,$D697=Input!$C$6),0,IF($E698="","",$AN698+AO699/(1+$L698)*$R698))</f>
        <v>80240.316731695508</v>
      </c>
      <c r="AP698" s="152"/>
      <c r="AQ698" s="164">
        <f t="shared" si="217"/>
        <v>-3973.7346982807503</v>
      </c>
      <c r="AR698" s="164">
        <f t="shared" si="226"/>
        <v>11172.176729273484</v>
      </c>
      <c r="AS698" s="164">
        <f t="shared" si="227"/>
        <v>18985.645933014355</v>
      </c>
      <c r="AT698" s="164">
        <f t="shared" si="218"/>
        <v>18985.645933014355</v>
      </c>
      <c r="AU698" s="152"/>
      <c r="AV698" s="147">
        <f>'Deterministic Reserve'!BC698</f>
        <v>1.2319787840151943E-9</v>
      </c>
      <c r="AW698" s="164">
        <f t="shared" si="219"/>
        <v>18985.645933014355</v>
      </c>
      <c r="AX698" s="164">
        <f t="shared" si="220"/>
        <v>2.3389912990298044E-5</v>
      </c>
      <c r="AY698" s="152"/>
    </row>
    <row r="699" spans="1:51" s="150" customFormat="1" x14ac:dyDescent="0.25">
      <c r="A699" s="150">
        <f t="shared" si="228"/>
        <v>695</v>
      </c>
      <c r="B699" s="150">
        <f t="shared" si="229"/>
        <v>58</v>
      </c>
      <c r="C699" s="150">
        <f t="shared" si="230"/>
        <v>11</v>
      </c>
      <c r="D699" s="150">
        <f>IF(E699="","",Input!$C$4+B699-1)</f>
        <v>102</v>
      </c>
      <c r="E699" s="150">
        <f>IF(OR(AND(C698=12,D698=Input!$C$6),E698=""),"",1)</f>
        <v>1</v>
      </c>
      <c r="F699" s="150">
        <f>IF(E699="","",Input!$C$8+B699-1)</f>
        <v>2075</v>
      </c>
      <c r="G699" s="151">
        <f>IF(E699="","",MAX(0,Input!$C$9-B699))</f>
        <v>0</v>
      </c>
      <c r="H699" s="152">
        <f>IF(E699="","",Input!$C$3)</f>
        <v>100000</v>
      </c>
      <c r="I699" s="153">
        <f>IF(E699="","",HLOOKUP($B699,Input!$C$13:$BT$14,2))</f>
        <v>972.16000000000008</v>
      </c>
      <c r="J699" s="154"/>
      <c r="K699" s="155">
        <f>IF($E699="","",Input!$C$57)</f>
        <v>4.4999999999999998E-2</v>
      </c>
      <c r="L699" s="155">
        <f t="shared" si="221"/>
        <v>3.6748094004368514E-3</v>
      </c>
      <c r="M699" s="147">
        <f>IF($E699="","",VLOOKUP(IF($B699&lt;=Input!$C$7,$B699,26),'Mortality Tables'!$A$72:$CA$97,IF($B699&lt;=Input!$C$7+1,Input!$C$4-16,$D699-Input!$C$7-16),0)/1000)</f>
        <v>0.39679999999999999</v>
      </c>
      <c r="N699" s="147">
        <f t="shared" si="210"/>
        <v>4.1250586968968106E-2</v>
      </c>
      <c r="O699" s="157">
        <f>IF($E699="","",IF($C699=12,IF($B699&lt;Input!$C$9,Input!$C$54,IF($B699=Input!$C$9,Input!$C$55,Input!$C$56)),0%))</f>
        <v>0</v>
      </c>
      <c r="P699" s="167">
        <f>IF($E699="","",IF($B699=1,Input!$C$59,IF($B699&lt;6,Input!$C$60,0%)))</f>
        <v>0</v>
      </c>
      <c r="Q699" s="162">
        <f>IF($E699="","",Input!$C$58)</f>
        <v>2.5</v>
      </c>
      <c r="R699" s="156">
        <f t="shared" si="222"/>
        <v>0.95874941303103189</v>
      </c>
      <c r="S699" s="154">
        <f t="shared" si="211"/>
        <v>5.7402872851737343E-6</v>
      </c>
      <c r="T699" s="152"/>
      <c r="U699" s="150">
        <f t="shared" si="223"/>
        <v>0</v>
      </c>
      <c r="V699" s="150">
        <f t="shared" si="224"/>
        <v>0</v>
      </c>
      <c r="W699" s="168">
        <f t="shared" si="225"/>
        <v>0</v>
      </c>
      <c r="X699" s="163">
        <f t="shared" si="212"/>
        <v>4125.0586968968109</v>
      </c>
      <c r="Y699" s="152"/>
      <c r="Z699" s="164">
        <f>IF(AND($C698=12,$D698=Input!$C$6),0,IF($E699="","",V699+Z700/(1+L699)*R699))</f>
        <v>157870.38713472104</v>
      </c>
      <c r="AA699" s="164">
        <f>IF(OR($M699=1,AND($C698=12,$D698=Input!$C$6)),0,IF($E699="","",W699+(X699+AA700*$R699)/(1+$L699)))</f>
        <v>75537.765660952165</v>
      </c>
      <c r="AB699" s="160">
        <f t="shared" si="213"/>
        <v>0.825720328500681</v>
      </c>
      <c r="AC699" s="164">
        <f t="shared" si="214"/>
        <v>0</v>
      </c>
      <c r="AD699" s="164">
        <f>IF(AND($C698=12,$D698=Input!$C$6),0,IF($E699="","",$AC699+AD700/(1+$L699)*$R699))</f>
        <v>130356.78792541151</v>
      </c>
      <c r="AE699" s="152"/>
      <c r="AF699" s="164">
        <f>IF(AND($C698=12,$D698=Input!$C$6),0,IF($E699="","",IF($B699&gt;Input!$C$9,$AC699,0)+AF700/(1+$L699)*$R699))</f>
        <v>130356.78792541151</v>
      </c>
      <c r="AG699" s="164">
        <f>IF(AND($C698=12,$D698=Input!$C$6),0,IF($E699="","",(IF($B699&gt;Input!$C$9,$X699,0)+AG700)/(1+$L699)*$R699))</f>
        <v>71221.244425260753</v>
      </c>
      <c r="AH699" s="160">
        <f t="shared" si="215"/>
        <v>2.0950137211446997</v>
      </c>
      <c r="AI699" s="160">
        <f>IF($E699="","",MIN(Input!$C$61/AH699,1))</f>
        <v>0.64438718771845094</v>
      </c>
      <c r="AJ699" s="152"/>
      <c r="AK699" s="164">
        <f>IF(AND($C698=12,$D698=Input!$C$6),0,IF($E699="","",IF($B699&gt;Input!$C$9,$AC699*AI699,0)+AK700/(1+$L699)*$R699))</f>
        <v>84000.243971266435</v>
      </c>
      <c r="AL699" s="164">
        <f>IF(AND($C698=12,$D698=Input!$C$6),0,IF($E699="","",IF($B699&gt;Input!$C$9,0,$AC699)+AL700/(1+$L699)*$R699))</f>
        <v>0</v>
      </c>
      <c r="AM699" s="160">
        <f t="shared" si="216"/>
        <v>1.1382936520186004</v>
      </c>
      <c r="AN699" s="164">
        <f>IF($E699="","",IF($B699&gt;Input!$C$9,$AI699*$AC699,$AM699*$AC699))</f>
        <v>0</v>
      </c>
      <c r="AO699" s="164">
        <f>IF(AND($C698=12,$D698=Input!$C$6),0,IF($E699="","",$AN699+AO700/(1+$L699)*$R699))</f>
        <v>84000.243971266435</v>
      </c>
      <c r="AP699" s="152"/>
      <c r="AQ699" s="164">
        <f t="shared" si="217"/>
        <v>-8462.478310314269</v>
      </c>
      <c r="AR699" s="164">
        <f t="shared" si="226"/>
        <v>11172.176729273484</v>
      </c>
      <c r="AS699" s="164">
        <f t="shared" si="227"/>
        <v>18985.645933014355</v>
      </c>
      <c r="AT699" s="164">
        <f t="shared" si="218"/>
        <v>18985.645933014355</v>
      </c>
      <c r="AU699" s="152"/>
      <c r="AV699" s="147">
        <f>'Deterministic Reserve'!BC699</f>
        <v>1.0970265387691815E-9</v>
      </c>
      <c r="AW699" s="164">
        <f t="shared" si="219"/>
        <v>18985.645933014355</v>
      </c>
      <c r="AX699" s="164">
        <f t="shared" si="220"/>
        <v>2.0827757444191924E-5</v>
      </c>
      <c r="AY699" s="152"/>
    </row>
    <row r="700" spans="1:51" s="150" customFormat="1" x14ac:dyDescent="0.25">
      <c r="A700" s="150">
        <f t="shared" si="228"/>
        <v>696</v>
      </c>
      <c r="B700" s="150">
        <f t="shared" si="229"/>
        <v>58</v>
      </c>
      <c r="C700" s="150">
        <f t="shared" si="230"/>
        <v>12</v>
      </c>
      <c r="D700" s="150">
        <f>IF(E700="","",Input!$C$4+B700-1)</f>
        <v>102</v>
      </c>
      <c r="E700" s="150">
        <f>IF(OR(AND(C699=12,D699=Input!$C$6),E699=""),"",1)</f>
        <v>1</v>
      </c>
      <c r="F700" s="150">
        <f>IF(E700="","",Input!$C$8+B700-1)</f>
        <v>2075</v>
      </c>
      <c r="G700" s="151">
        <f>IF(E700="","",MAX(0,Input!$C$9-B700))</f>
        <v>0</v>
      </c>
      <c r="H700" s="152">
        <f>IF(E700="","",Input!$C$3)</f>
        <v>100000</v>
      </c>
      <c r="I700" s="153">
        <f>IF(E700="","",HLOOKUP($B700,Input!$C$13:$BT$14,2))</f>
        <v>972.16000000000008</v>
      </c>
      <c r="J700" s="154"/>
      <c r="K700" s="155">
        <f>IF($E700="","",Input!$C$57)</f>
        <v>4.4999999999999998E-2</v>
      </c>
      <c r="L700" s="155">
        <f t="shared" si="221"/>
        <v>3.6748094004368514E-3</v>
      </c>
      <c r="M700" s="147">
        <f>IF($E700="","",VLOOKUP(IF($B700&lt;=Input!$C$7,$B700,26),'Mortality Tables'!$A$72:$CA$97,IF($B700&lt;=Input!$C$7+1,Input!$C$4-16,$D700-Input!$C$7-16),0)/1000)</f>
        <v>0.39679999999999999</v>
      </c>
      <c r="N700" s="147">
        <f t="shared" si="210"/>
        <v>4.1250586968968106E-2</v>
      </c>
      <c r="O700" s="157">
        <f>IF($E700="","",IF($C700=12,IF($B700&lt;Input!$C$9,Input!$C$54,IF($B700=Input!$C$9,Input!$C$55,Input!$C$56)),0%))</f>
        <v>0.1</v>
      </c>
      <c r="P700" s="167">
        <f>IF($E700="","",IF($B700=1,Input!$C$59,IF($B700&lt;6,Input!$C$60,0%)))</f>
        <v>0</v>
      </c>
      <c r="Q700" s="162">
        <f>IF($E700="","",Input!$C$58)</f>
        <v>2.5</v>
      </c>
      <c r="R700" s="156">
        <f t="shared" si="222"/>
        <v>0.85874941303103192</v>
      </c>
      <c r="S700" s="154">
        <f t="shared" si="211"/>
        <v>4.9294683367724402E-6</v>
      </c>
      <c r="T700" s="152"/>
      <c r="U700" s="150">
        <f t="shared" si="223"/>
        <v>0</v>
      </c>
      <c r="V700" s="150">
        <f t="shared" si="224"/>
        <v>0</v>
      </c>
      <c r="W700" s="168">
        <f t="shared" si="225"/>
        <v>0</v>
      </c>
      <c r="X700" s="163">
        <f t="shared" si="212"/>
        <v>4125.0586968968109</v>
      </c>
      <c r="Y700" s="152"/>
      <c r="Z700" s="164">
        <f>IF(AND($C699=12,$D699=Input!$C$6),0,IF($E700="","",V700+Z701/(1+L700)*R700))</f>
        <v>165267.9298300501</v>
      </c>
      <c r="AA700" s="164">
        <f>IF(OR($M700=1,AND($C699=12,$D699=Input!$C$6)),0,IF($E700="","",W700+(X700+AA701*$R700)/(1+$L700)))</f>
        <v>74774.798170409747</v>
      </c>
      <c r="AB700" s="160">
        <f t="shared" si="213"/>
        <v>0.825720328500681</v>
      </c>
      <c r="AC700" s="164">
        <f t="shared" si="214"/>
        <v>0</v>
      </c>
      <c r="AD700" s="164">
        <f>IF(AND($C699=12,$D699=Input!$C$6),0,IF($E700="","",$AC700+AD701/(1+$L700)*$R700))</f>
        <v>136465.08930989643</v>
      </c>
      <c r="AE700" s="152"/>
      <c r="AF700" s="164">
        <f>IF(AND($C699=12,$D699=Input!$C$6),0,IF($E700="","",IF($B700&gt;Input!$C$9,$AC700,0)+AF701/(1+$L700)*$R700))</f>
        <v>136465.08930989643</v>
      </c>
      <c r="AG700" s="164">
        <f>IF(AND($C699=12,$D699=Input!$C$6),0,IF($E700="","",(IF($B700&gt;Input!$C$9,$X700,0)+AG701)/(1+$L700)*$R700))</f>
        <v>70433.494301635044</v>
      </c>
      <c r="AH700" s="160">
        <f t="shared" si="215"/>
        <v>2.0950137211446997</v>
      </c>
      <c r="AI700" s="160">
        <f>IF($E700="","",MIN(Input!$C$61/AH700,1))</f>
        <v>0.64438718771845094</v>
      </c>
      <c r="AJ700" s="152"/>
      <c r="AK700" s="164">
        <f>IF(AND($C699=12,$D699=Input!$C$6),0,IF($E700="","",IF($B700&gt;Input!$C$9,$AC700*AI700,0)+AK701/(1+$L700)*$R700))</f>
        <v>87936.355122151406</v>
      </c>
      <c r="AL700" s="164">
        <f>IF(AND($C699=12,$D699=Input!$C$6),0,IF($E700="","",IF($B700&gt;Input!$C$9,0,$AC700)+AL701/(1+$L700)*$R700))</f>
        <v>0</v>
      </c>
      <c r="AM700" s="160">
        <f t="shared" si="216"/>
        <v>1.1382936520186004</v>
      </c>
      <c r="AN700" s="164">
        <f>IF($E700="","",IF($B700&gt;Input!$C$9,$AI700*$AC700,$AM700*$AC700))</f>
        <v>0</v>
      </c>
      <c r="AO700" s="164">
        <f>IF(AND($C699=12,$D699=Input!$C$6),0,IF($E700="","",$AN700+AO701/(1+$L700)*$R700))</f>
        <v>87936.355122151406</v>
      </c>
      <c r="AP700" s="152"/>
      <c r="AQ700" s="164">
        <f t="shared" si="217"/>
        <v>-13161.556951741659</v>
      </c>
      <c r="AR700" s="164">
        <f t="shared" si="226"/>
        <v>11172.176729273484</v>
      </c>
      <c r="AS700" s="164">
        <f t="shared" si="227"/>
        <v>18985.645933014355</v>
      </c>
      <c r="AT700" s="164">
        <f t="shared" si="218"/>
        <v>18985.645933014355</v>
      </c>
      <c r="AU700" s="152"/>
      <c r="AV700" s="147">
        <f>'Deterministic Reserve'!BC700</f>
        <v>8.6715444981574399E-10</v>
      </c>
      <c r="AW700" s="164">
        <f t="shared" si="219"/>
        <v>18985.645933014355</v>
      </c>
      <c r="AX700" s="164">
        <f t="shared" si="220"/>
        <v>1.6463487353439581E-5</v>
      </c>
      <c r="AY700" s="152"/>
    </row>
    <row r="701" spans="1:51" s="150" customFormat="1" x14ac:dyDescent="0.25">
      <c r="A701" s="150">
        <f t="shared" si="228"/>
        <v>697</v>
      </c>
      <c r="B701" s="150">
        <f t="shared" si="229"/>
        <v>59</v>
      </c>
      <c r="C701" s="150">
        <f t="shared" si="230"/>
        <v>1</v>
      </c>
      <c r="D701" s="150">
        <f>IF(E701="","",Input!$C$4+B701-1)</f>
        <v>103</v>
      </c>
      <c r="E701" s="150">
        <f>IF(OR(AND(C700=12,D700=Input!$C$6),E700=""),"",1)</f>
        <v>1</v>
      </c>
      <c r="F701" s="150">
        <f>IF(E701="","",Input!$C$8+B701-1)</f>
        <v>2076</v>
      </c>
      <c r="G701" s="151">
        <f>IF(E701="","",MAX(0,Input!$C$9-B701))</f>
        <v>0</v>
      </c>
      <c r="H701" s="152">
        <f>IF(E701="","",Input!$C$3)</f>
        <v>100000</v>
      </c>
      <c r="I701" s="153">
        <f>IF(E701="","",HLOOKUP($B701,Input!$C$13:$BT$14,2))</f>
        <v>1000</v>
      </c>
      <c r="J701" s="154"/>
      <c r="K701" s="155">
        <f>IF($E701="","",Input!$C$57)</f>
        <v>4.4999999999999998E-2</v>
      </c>
      <c r="L701" s="155">
        <f t="shared" si="221"/>
        <v>3.6748094004368514E-3</v>
      </c>
      <c r="M701" s="147">
        <f>IF($E701="","",VLOOKUP(IF($B701&lt;=Input!$C$7,$B701,26),'Mortality Tables'!$A$72:$CA$97,IF($B701&lt;=Input!$C$7+1,Input!$C$4-16,$D701-Input!$C$7-16),0)/1000)</f>
        <v>0.41866000000000003</v>
      </c>
      <c r="N701" s="147">
        <f t="shared" si="210"/>
        <v>4.419525135876623E-2</v>
      </c>
      <c r="O701" s="157">
        <f>IF($E701="","",IF($C701=12,IF($B701&lt;Input!$C$9,Input!$C$54,IF($B701=Input!$C$9,Input!$C$55,Input!$C$56)),0%))</f>
        <v>0</v>
      </c>
      <c r="P701" s="167">
        <f>IF($E701="","",IF($B701=1,Input!$C$59,IF($B701&lt;6,Input!$C$60,0%)))</f>
        <v>0</v>
      </c>
      <c r="Q701" s="162">
        <f>IF($E701="","",Input!$C$58)</f>
        <v>2.5</v>
      </c>
      <c r="R701" s="156">
        <f t="shared" si="222"/>
        <v>0.95580474864123377</v>
      </c>
      <c r="S701" s="154">
        <f t="shared" si="211"/>
        <v>4.711609244563703E-6</v>
      </c>
      <c r="T701" s="152"/>
      <c r="U701" s="150">
        <f t="shared" si="223"/>
        <v>100000</v>
      </c>
      <c r="V701" s="150">
        <f t="shared" si="224"/>
        <v>100000</v>
      </c>
      <c r="W701" s="168">
        <f t="shared" si="225"/>
        <v>0</v>
      </c>
      <c r="X701" s="163">
        <f t="shared" si="212"/>
        <v>4419.5251358766227</v>
      </c>
      <c r="Y701" s="152"/>
      <c r="Z701" s="164">
        <f>IF(AND($C700=12,$D700=Input!$C$6),0,IF($E701="","",V701+Z702/(1+L701)*R701))</f>
        <v>193159.09327577753</v>
      </c>
      <c r="AA701" s="164">
        <f>IF(OR($M701=1,AND($C700=12,$D700=Input!$C$6)),0,IF($E701="","",W701+(X701+AA702*$R701)/(1+$L701)))</f>
        <v>82590.475787821444</v>
      </c>
      <c r="AB701" s="160">
        <f t="shared" si="213"/>
        <v>0.825720328500681</v>
      </c>
      <c r="AC701" s="164">
        <f t="shared" si="214"/>
        <v>82572.032850068106</v>
      </c>
      <c r="AD701" s="164">
        <f>IF(AND($C700=12,$D700=Input!$C$6),0,IF($E701="","",$AC701+AD702/(1+$L701)*$R701))</f>
        <v>159495.38995256869</v>
      </c>
      <c r="AE701" s="152"/>
      <c r="AF701" s="164">
        <f>IF(AND($C700=12,$D700=Input!$C$6),0,IF($E701="","",IF($B701&gt;Input!$C$9,$AC701,0)+AF702/(1+$L701)*$R701))</f>
        <v>159495.38995256869</v>
      </c>
      <c r="AG701" s="164">
        <f>IF(AND($C700=12,$D700=Input!$C$6),0,IF($E701="","",(IF($B701&gt;Input!$C$9,$X701,0)+AG702)/(1+$L701)*$R701))</f>
        <v>78195.025481193632</v>
      </c>
      <c r="AH701" s="160">
        <f t="shared" si="215"/>
        <v>2.0950137211446997</v>
      </c>
      <c r="AI701" s="160">
        <f>IF($E701="","",MIN(Input!$C$61/AH701,1))</f>
        <v>0.64438718771845094</v>
      </c>
      <c r="AJ701" s="152"/>
      <c r="AK701" s="164">
        <f>IF(AND($C700=12,$D700=Input!$C$6),0,IF($E701="","",IF($B701&gt;Input!$C$9,$AC701*AI701,0)+AK702/(1+$L701)*$R701))</f>
        <v>102776.78578559341</v>
      </c>
      <c r="AL701" s="164">
        <f>IF(AND($C700=12,$D700=Input!$C$6),0,IF($E701="","",IF($B701&gt;Input!$C$9,0,$AC701)+AL702/(1+$L701)*$R701))</f>
        <v>0</v>
      </c>
      <c r="AM701" s="160">
        <f t="shared" si="216"/>
        <v>1.1382936520186004</v>
      </c>
      <c r="AN701" s="164">
        <f>IF($E701="","",IF($B701&gt;Input!$C$9,$AI701*$AC701,$AM701*$AC701))</f>
        <v>53208.360032450932</v>
      </c>
      <c r="AO701" s="164">
        <f>IF(AND($C700=12,$D700=Input!$C$6),0,IF($E701="","",$AN701+AO702/(1+$L701)*$R701))</f>
        <v>102776.78578559341</v>
      </c>
      <c r="AP701" s="152"/>
      <c r="AQ701" s="164">
        <f t="shared" si="217"/>
        <v>-20186.309997771968</v>
      </c>
      <c r="AR701" s="164">
        <f t="shared" si="226"/>
        <v>15428.010475917334</v>
      </c>
      <c r="AS701" s="164">
        <f t="shared" si="227"/>
        <v>20031.578947368424</v>
      </c>
      <c r="AT701" s="164">
        <f t="shared" si="218"/>
        <v>20031.578947368424</v>
      </c>
      <c r="AU701" s="152"/>
      <c r="AV701" s="147">
        <f>'Deterministic Reserve'!BC701</f>
        <v>7.7313162139191251E-10</v>
      </c>
      <c r="AW701" s="164">
        <f t="shared" si="219"/>
        <v>20031.578947368424</v>
      </c>
      <c r="AX701" s="164">
        <f t="shared" si="220"/>
        <v>1.5487047110619048E-5</v>
      </c>
      <c r="AY701" s="152"/>
    </row>
    <row r="702" spans="1:51" s="150" customFormat="1" x14ac:dyDescent="0.25">
      <c r="A702" s="150">
        <f t="shared" si="228"/>
        <v>698</v>
      </c>
      <c r="B702" s="150">
        <f t="shared" si="229"/>
        <v>59</v>
      </c>
      <c r="C702" s="150">
        <f t="shared" si="230"/>
        <v>2</v>
      </c>
      <c r="D702" s="150">
        <f>IF(E702="","",Input!$C$4+B702-1)</f>
        <v>103</v>
      </c>
      <c r="E702" s="150">
        <f>IF(OR(AND(C701=12,D701=Input!$C$6),E701=""),"",1)</f>
        <v>1</v>
      </c>
      <c r="F702" s="150">
        <f>IF(E702="","",Input!$C$8+B702-1)</f>
        <v>2076</v>
      </c>
      <c r="G702" s="151">
        <f>IF(E702="","",MAX(0,Input!$C$9-B702))</f>
        <v>0</v>
      </c>
      <c r="H702" s="152">
        <f>IF(E702="","",Input!$C$3)</f>
        <v>100000</v>
      </c>
      <c r="I702" s="153">
        <f>IF(E702="","",HLOOKUP($B702,Input!$C$13:$BT$14,2))</f>
        <v>1000</v>
      </c>
      <c r="J702" s="154"/>
      <c r="K702" s="155">
        <f>IF($E702="","",Input!$C$57)</f>
        <v>4.4999999999999998E-2</v>
      </c>
      <c r="L702" s="155">
        <f t="shared" si="221"/>
        <v>3.6748094004368514E-3</v>
      </c>
      <c r="M702" s="147">
        <f>IF($E702="","",VLOOKUP(IF($B702&lt;=Input!$C$7,$B702,26),'Mortality Tables'!$A$72:$CA$97,IF($B702&lt;=Input!$C$7+1,Input!$C$4-16,$D702-Input!$C$7-16),0)/1000)</f>
        <v>0.41866000000000003</v>
      </c>
      <c r="N702" s="147">
        <f t="shared" si="210"/>
        <v>4.419525135876623E-2</v>
      </c>
      <c r="O702" s="157">
        <f>IF($E702="","",IF($C702=12,IF($B702&lt;Input!$C$9,Input!$C$54,IF($B702=Input!$C$9,Input!$C$55,Input!$C$56)),0%))</f>
        <v>0</v>
      </c>
      <c r="P702" s="167">
        <f>IF($E702="","",IF($B702=1,Input!$C$59,IF($B702&lt;6,Input!$C$60,0%)))</f>
        <v>0</v>
      </c>
      <c r="Q702" s="162">
        <f>IF($E702="","",Input!$C$58)</f>
        <v>2.5</v>
      </c>
      <c r="R702" s="156">
        <f t="shared" si="222"/>
        <v>0.95580474864123377</v>
      </c>
      <c r="S702" s="154">
        <f t="shared" si="211"/>
        <v>4.5033784896959233E-6</v>
      </c>
      <c r="T702" s="152"/>
      <c r="U702" s="150">
        <f t="shared" si="223"/>
        <v>0</v>
      </c>
      <c r="V702" s="150">
        <f t="shared" si="224"/>
        <v>0</v>
      </c>
      <c r="W702" s="168">
        <f t="shared" si="225"/>
        <v>0</v>
      </c>
      <c r="X702" s="163">
        <f t="shared" si="212"/>
        <v>4419.5251358766227</v>
      </c>
      <c r="Y702" s="152"/>
      <c r="Z702" s="164">
        <f>IF(AND($C701=12,$D701=Input!$C$6),0,IF($E702="","",V702+Z703/(1+L702)*R702))</f>
        <v>97824.828052386831</v>
      </c>
      <c r="AA702" s="164">
        <f>IF(OR($M702=1,AND($C701=12,$D701=Input!$C$6)),0,IF($E702="","",W702+(X702+AA703*$R702)/(1+$L702)))</f>
        <v>82103.018446304297</v>
      </c>
      <c r="AB702" s="160">
        <f t="shared" si="213"/>
        <v>0.825720328500681</v>
      </c>
      <c r="AC702" s="164">
        <f t="shared" si="214"/>
        <v>0</v>
      </c>
      <c r="AD702" s="164">
        <f>IF(AND($C701=12,$D701=Input!$C$6),0,IF($E702="","",$AC702+AD703/(1+$L702)*$R702))</f>
        <v>80775.949154939473</v>
      </c>
      <c r="AE702" s="152"/>
      <c r="AF702" s="164">
        <f>IF(AND($C701=12,$D701=Input!$C$6),0,IF($E702="","",IF($B702&gt;Input!$C$9,$AC702,0)+AF703/(1+$L702)*$R702))</f>
        <v>80775.949154939473</v>
      </c>
      <c r="AG702" s="164">
        <f>IF(AND($C701=12,$D701=Input!$C$6),0,IF($E702="","",(IF($B702&gt;Input!$C$9,$X702,0)+AG703)/(1+$L702)*$R702))</f>
        <v>77691.782019135309</v>
      </c>
      <c r="AH702" s="160">
        <f t="shared" si="215"/>
        <v>2.0950137211446997</v>
      </c>
      <c r="AI702" s="160">
        <f>IF($E702="","",MIN(Input!$C$61/AH702,1))</f>
        <v>0.64438718771845094</v>
      </c>
      <c r="AJ702" s="152"/>
      <c r="AK702" s="164">
        <f>IF(AND($C701=12,$D701=Input!$C$6),0,IF($E702="","",IF($B702&gt;Input!$C$9,$AC702*AI702,0)+AK703/(1+$L702)*$R702))</f>
        <v>52050.986711240046</v>
      </c>
      <c r="AL702" s="164">
        <f>IF(AND($C701=12,$D701=Input!$C$6),0,IF($E702="","",IF($B702&gt;Input!$C$9,0,$AC702)+AL703/(1+$L702)*$R702))</f>
        <v>0</v>
      </c>
      <c r="AM702" s="160">
        <f t="shared" si="216"/>
        <v>1.1382936520186004</v>
      </c>
      <c r="AN702" s="164">
        <f>IF($E702="","",IF($B702&gt;Input!$C$9,$AI702*$AC702,$AM702*$AC702))</f>
        <v>0</v>
      </c>
      <c r="AO702" s="164">
        <f>IF(AND($C701=12,$D701=Input!$C$6),0,IF($E702="","",$AN702+AO703/(1+$L702)*$R702))</f>
        <v>52050.986711240046</v>
      </c>
      <c r="AP702" s="152"/>
      <c r="AQ702" s="164">
        <f t="shared" si="217"/>
        <v>30052.031735064251</v>
      </c>
      <c r="AR702" s="164">
        <f t="shared" si="226"/>
        <v>15428.010475917334</v>
      </c>
      <c r="AS702" s="164">
        <f t="shared" si="227"/>
        <v>20031.578947368424</v>
      </c>
      <c r="AT702" s="164">
        <f t="shared" si="218"/>
        <v>20031.578947368424</v>
      </c>
      <c r="AU702" s="152"/>
      <c r="AV702" s="147">
        <f>'Deterministic Reserve'!BC702</f>
        <v>6.8930339240385127E-10</v>
      </c>
      <c r="AW702" s="164">
        <f t="shared" si="219"/>
        <v>20031.578947368424</v>
      </c>
      <c r="AX702" s="164">
        <f t="shared" si="220"/>
        <v>1.3807835323626623E-5</v>
      </c>
      <c r="AY702" s="152"/>
    </row>
    <row r="703" spans="1:51" s="150" customFormat="1" x14ac:dyDescent="0.25">
      <c r="A703" s="150">
        <f t="shared" si="228"/>
        <v>699</v>
      </c>
      <c r="B703" s="150">
        <f t="shared" si="229"/>
        <v>59</v>
      </c>
      <c r="C703" s="150">
        <f t="shared" si="230"/>
        <v>3</v>
      </c>
      <c r="D703" s="150">
        <f>IF(E703="","",Input!$C$4+B703-1)</f>
        <v>103</v>
      </c>
      <c r="E703" s="150">
        <f>IF(OR(AND(C702=12,D702=Input!$C$6),E702=""),"",1)</f>
        <v>1</v>
      </c>
      <c r="F703" s="150">
        <f>IF(E703="","",Input!$C$8+B703-1)</f>
        <v>2076</v>
      </c>
      <c r="G703" s="151">
        <f>IF(E703="","",MAX(0,Input!$C$9-B703))</f>
        <v>0</v>
      </c>
      <c r="H703" s="152">
        <f>IF(E703="","",Input!$C$3)</f>
        <v>100000</v>
      </c>
      <c r="I703" s="153">
        <f>IF(E703="","",HLOOKUP($B703,Input!$C$13:$BT$14,2))</f>
        <v>1000</v>
      </c>
      <c r="J703" s="154"/>
      <c r="K703" s="155">
        <f>IF($E703="","",Input!$C$57)</f>
        <v>4.4999999999999998E-2</v>
      </c>
      <c r="L703" s="155">
        <f t="shared" si="221"/>
        <v>3.6748094004368514E-3</v>
      </c>
      <c r="M703" s="147">
        <f>IF($E703="","",VLOOKUP(IF($B703&lt;=Input!$C$7,$B703,26),'Mortality Tables'!$A$72:$CA$97,IF($B703&lt;=Input!$C$7+1,Input!$C$4-16,$D703-Input!$C$7-16),0)/1000)</f>
        <v>0.41866000000000003</v>
      </c>
      <c r="N703" s="147">
        <f t="shared" si="210"/>
        <v>4.419525135876623E-2</v>
      </c>
      <c r="O703" s="157">
        <f>IF($E703="","",IF($C703=12,IF($B703&lt;Input!$C$9,Input!$C$54,IF($B703=Input!$C$9,Input!$C$55,Input!$C$56)),0%))</f>
        <v>0</v>
      </c>
      <c r="P703" s="167">
        <f>IF($E703="","",IF($B703=1,Input!$C$59,IF($B703&lt;6,Input!$C$60,0%)))</f>
        <v>0</v>
      </c>
      <c r="Q703" s="162">
        <f>IF($E703="","",Input!$C$58)</f>
        <v>2.5</v>
      </c>
      <c r="R703" s="156">
        <f t="shared" si="222"/>
        <v>0.95580474864123377</v>
      </c>
      <c r="S703" s="154">
        <f t="shared" si="211"/>
        <v>4.3043505453801512E-6</v>
      </c>
      <c r="T703" s="152"/>
      <c r="U703" s="150">
        <f t="shared" si="223"/>
        <v>0</v>
      </c>
      <c r="V703" s="150">
        <f t="shared" si="224"/>
        <v>0</v>
      </c>
      <c r="W703" s="168">
        <f t="shared" si="225"/>
        <v>0</v>
      </c>
      <c r="X703" s="163">
        <f t="shared" si="212"/>
        <v>4419.5251358766227</v>
      </c>
      <c r="Y703" s="152"/>
      <c r="Z703" s="164">
        <f>IF(AND($C702=12,$D702=Input!$C$6),0,IF($E703="","",V703+Z704/(1+L703)*R703))</f>
        <v>102724.23922321801</v>
      </c>
      <c r="AA703" s="164">
        <f>IF(OR($M703=1,AND($C702=12,$D702=Input!$C$6)),0,IF($E703="","",W703+(X703+AA704*$R703)/(1+$L703)))</f>
        <v>81591.147528071699</v>
      </c>
      <c r="AB703" s="160">
        <f t="shared" si="213"/>
        <v>0.825720328500681</v>
      </c>
      <c r="AC703" s="164">
        <f t="shared" si="214"/>
        <v>0</v>
      </c>
      <c r="AD703" s="164">
        <f>IF(AND($C702=12,$D702=Input!$C$6),0,IF($E703="","",$AC703+AD704/(1+$L703)*$R703))</f>
        <v>84821.492556378114</v>
      </c>
      <c r="AE703" s="152"/>
      <c r="AF703" s="164">
        <f>IF(AND($C702=12,$D702=Input!$C$6),0,IF($E703="","",IF($B703&gt;Input!$C$9,$AC703,0)+AF704/(1+$L703)*$R703))</f>
        <v>84821.492556378114</v>
      </c>
      <c r="AG703" s="164">
        <f>IF(AND($C702=12,$D702=Input!$C$6),0,IF($E703="","",(IF($B703&gt;Input!$C$9,$X703,0)+AG704)/(1+$L703)*$R703))</f>
        <v>77163.334355968283</v>
      </c>
      <c r="AH703" s="160">
        <f t="shared" si="215"/>
        <v>2.0950137211446997</v>
      </c>
      <c r="AI703" s="160">
        <f>IF($E703="","",MIN(Input!$C$61/AH703,1))</f>
        <v>0.64438718771845094</v>
      </c>
      <c r="AJ703" s="152"/>
      <c r="AK703" s="164">
        <f>IF(AND($C702=12,$D702=Input!$C$6),0,IF($E703="","",IF($B703&gt;Input!$C$9,$AC703*AI703,0)+AK704/(1+$L703)*$R703))</f>
        <v>54657.883046486022</v>
      </c>
      <c r="AL703" s="164">
        <f>IF(AND($C702=12,$D702=Input!$C$6),0,IF($E703="","",IF($B703&gt;Input!$C$9,0,$AC703)+AL704/(1+$L703)*$R703))</f>
        <v>0</v>
      </c>
      <c r="AM703" s="160">
        <f t="shared" si="216"/>
        <v>1.1382936520186004</v>
      </c>
      <c r="AN703" s="164">
        <f>IF($E703="","",IF($B703&gt;Input!$C$9,$AI703*$AC703,$AM703*$AC703))</f>
        <v>0</v>
      </c>
      <c r="AO703" s="164">
        <f>IF(AND($C702=12,$D702=Input!$C$6),0,IF($E703="","",$AN703+AO704/(1+$L703)*$R703))</f>
        <v>54657.883046486022</v>
      </c>
      <c r="AP703" s="152"/>
      <c r="AQ703" s="164">
        <f t="shared" si="217"/>
        <v>26933.264481585677</v>
      </c>
      <c r="AR703" s="164">
        <f t="shared" si="226"/>
        <v>15428.010475917334</v>
      </c>
      <c r="AS703" s="164">
        <f t="shared" si="227"/>
        <v>20031.578947368424</v>
      </c>
      <c r="AT703" s="164">
        <f t="shared" si="218"/>
        <v>20031.578947368424</v>
      </c>
      <c r="AU703" s="152"/>
      <c r="AV703" s="147">
        <f>'Deterministic Reserve'!BC703</f>
        <v>6.1456439451284876E-10</v>
      </c>
      <c r="AW703" s="164">
        <f t="shared" si="219"/>
        <v>20031.578947368424</v>
      </c>
      <c r="AX703" s="164">
        <f t="shared" si="220"/>
        <v>1.2310695186925804E-5</v>
      </c>
      <c r="AY703" s="152"/>
    </row>
    <row r="704" spans="1:51" s="150" customFormat="1" x14ac:dyDescent="0.25">
      <c r="A704" s="150">
        <f t="shared" si="228"/>
        <v>700</v>
      </c>
      <c r="B704" s="150">
        <f t="shared" si="229"/>
        <v>59</v>
      </c>
      <c r="C704" s="150">
        <f t="shared" si="230"/>
        <v>4</v>
      </c>
      <c r="D704" s="150">
        <f>IF(E704="","",Input!$C$4+B704-1)</f>
        <v>103</v>
      </c>
      <c r="E704" s="150">
        <f>IF(OR(AND(C703=12,D703=Input!$C$6),E703=""),"",1)</f>
        <v>1</v>
      </c>
      <c r="F704" s="150">
        <f>IF(E704="","",Input!$C$8+B704-1)</f>
        <v>2076</v>
      </c>
      <c r="G704" s="151">
        <f>IF(E704="","",MAX(0,Input!$C$9-B704))</f>
        <v>0</v>
      </c>
      <c r="H704" s="152">
        <f>IF(E704="","",Input!$C$3)</f>
        <v>100000</v>
      </c>
      <c r="I704" s="153">
        <f>IF(E704="","",HLOOKUP($B704,Input!$C$13:$BT$14,2))</f>
        <v>1000</v>
      </c>
      <c r="J704" s="154"/>
      <c r="K704" s="155">
        <f>IF($E704="","",Input!$C$57)</f>
        <v>4.4999999999999998E-2</v>
      </c>
      <c r="L704" s="155">
        <f t="shared" si="221"/>
        <v>3.6748094004368514E-3</v>
      </c>
      <c r="M704" s="147">
        <f>IF($E704="","",VLOOKUP(IF($B704&lt;=Input!$C$7,$B704,26),'Mortality Tables'!$A$72:$CA$97,IF($B704&lt;=Input!$C$7+1,Input!$C$4-16,$D704-Input!$C$7-16),0)/1000)</f>
        <v>0.41866000000000003</v>
      </c>
      <c r="N704" s="147">
        <f t="shared" si="210"/>
        <v>4.419525135876623E-2</v>
      </c>
      <c r="O704" s="157">
        <f>IF($E704="","",IF($C704=12,IF($B704&lt;Input!$C$9,Input!$C$54,IF($B704=Input!$C$9,Input!$C$55,Input!$C$56)),0%))</f>
        <v>0</v>
      </c>
      <c r="P704" s="167">
        <f>IF($E704="","",IF($B704=1,Input!$C$59,IF($B704&lt;6,Input!$C$60,0%)))</f>
        <v>0</v>
      </c>
      <c r="Q704" s="162">
        <f>IF($E704="","",Input!$C$58)</f>
        <v>2.5</v>
      </c>
      <c r="R704" s="156">
        <f t="shared" si="222"/>
        <v>0.95580474864123377</v>
      </c>
      <c r="S704" s="154">
        <f t="shared" si="211"/>
        <v>4.1141186910908327E-6</v>
      </c>
      <c r="T704" s="152"/>
      <c r="U704" s="150">
        <f t="shared" si="223"/>
        <v>0</v>
      </c>
      <c r="V704" s="150">
        <f t="shared" si="224"/>
        <v>0</v>
      </c>
      <c r="W704" s="168">
        <f t="shared" si="225"/>
        <v>0</v>
      </c>
      <c r="X704" s="163">
        <f t="shared" si="212"/>
        <v>4419.5251358766227</v>
      </c>
      <c r="Y704" s="152"/>
      <c r="Z704" s="164">
        <f>IF(AND($C703=12,$D703=Input!$C$6),0,IF($E704="","",V704+Z705/(1+L704)*R704))</f>
        <v>107869.0301232935</v>
      </c>
      <c r="AA704" s="164">
        <f>IF(OR($M704=1,AND($C703=12,$D703=Input!$C$6)),0,IF($E704="","",W704+(X704+AA705*$R704)/(1+$L704)))</f>
        <v>81053.640315406068</v>
      </c>
      <c r="AB704" s="160">
        <f t="shared" si="213"/>
        <v>0.825720328500681</v>
      </c>
      <c r="AC704" s="164">
        <f t="shared" si="214"/>
        <v>0</v>
      </c>
      <c r="AD704" s="164">
        <f>IF(AND($C703=12,$D703=Input!$C$6),0,IF($E704="","",$AC704+AD705/(1+$L704)*$R704))</f>
        <v>89069.65098845576</v>
      </c>
      <c r="AE704" s="152"/>
      <c r="AF704" s="164">
        <f>IF(AND($C703=12,$D703=Input!$C$6),0,IF($E704="","",IF($B704&gt;Input!$C$9,$AC704,0)+AF705/(1+$L704)*$R704))</f>
        <v>89069.65098845576</v>
      </c>
      <c r="AG704" s="164">
        <f>IF(AND($C703=12,$D703=Input!$C$6),0,IF($E704="","",(IF($B704&gt;Input!$C$9,$X704,0)+AG705)/(1+$L704)*$R704))</f>
        <v>76608.420176726897</v>
      </c>
      <c r="AH704" s="160">
        <f t="shared" si="215"/>
        <v>2.0950137211446997</v>
      </c>
      <c r="AI704" s="160">
        <f>IF($E704="","",MIN(Input!$C$61/AH704,1))</f>
        <v>0.64438718771845094</v>
      </c>
      <c r="AJ704" s="152"/>
      <c r="AK704" s="164">
        <f>IF(AND($C703=12,$D703=Input!$C$6),0,IF($E704="","",IF($B704&gt;Input!$C$9,$AC704*AI704,0)+AK705/(1+$L704)*$R704))</f>
        <v>57395.341911514959</v>
      </c>
      <c r="AL704" s="164">
        <f>IF(AND($C703=12,$D703=Input!$C$6),0,IF($E704="","",IF($B704&gt;Input!$C$9,0,$AC704)+AL705/(1+$L704)*$R704))</f>
        <v>0</v>
      </c>
      <c r="AM704" s="160">
        <f t="shared" si="216"/>
        <v>1.1382936520186004</v>
      </c>
      <c r="AN704" s="164">
        <f>IF($E704="","",IF($B704&gt;Input!$C$9,$AI704*$AC704,$AM704*$AC704))</f>
        <v>0</v>
      </c>
      <c r="AO704" s="164">
        <f>IF(AND($C703=12,$D703=Input!$C$6),0,IF($E704="","",$AN704+AO705/(1+$L704)*$R704))</f>
        <v>57395.341911514959</v>
      </c>
      <c r="AP704" s="152"/>
      <c r="AQ704" s="164">
        <f t="shared" si="217"/>
        <v>23658.298403891109</v>
      </c>
      <c r="AR704" s="164">
        <f t="shared" si="226"/>
        <v>15428.010475917334</v>
      </c>
      <c r="AS704" s="164">
        <f t="shared" si="227"/>
        <v>20031.578947368424</v>
      </c>
      <c r="AT704" s="164">
        <f t="shared" si="218"/>
        <v>20031.578947368424</v>
      </c>
      <c r="AU704" s="152"/>
      <c r="AV704" s="147">
        <f>'Deterministic Reserve'!BC704</f>
        <v>5.479291109910316E-10</v>
      </c>
      <c r="AW704" s="164">
        <f t="shared" si="219"/>
        <v>20031.578947368424</v>
      </c>
      <c r="AX704" s="164">
        <f t="shared" si="220"/>
        <v>1.0975885244378245E-5</v>
      </c>
      <c r="AY704" s="152"/>
    </row>
    <row r="705" spans="1:51" s="150" customFormat="1" x14ac:dyDescent="0.25">
      <c r="A705" s="150">
        <f t="shared" si="228"/>
        <v>701</v>
      </c>
      <c r="B705" s="150">
        <f t="shared" si="229"/>
        <v>59</v>
      </c>
      <c r="C705" s="150">
        <f t="shared" si="230"/>
        <v>5</v>
      </c>
      <c r="D705" s="150">
        <f>IF(E705="","",Input!$C$4+B705-1)</f>
        <v>103</v>
      </c>
      <c r="E705" s="150">
        <f>IF(OR(AND(C704=12,D704=Input!$C$6),E704=""),"",1)</f>
        <v>1</v>
      </c>
      <c r="F705" s="150">
        <f>IF(E705="","",Input!$C$8+B705-1)</f>
        <v>2076</v>
      </c>
      <c r="G705" s="151">
        <f>IF(E705="","",MAX(0,Input!$C$9-B705))</f>
        <v>0</v>
      </c>
      <c r="H705" s="152">
        <f>IF(E705="","",Input!$C$3)</f>
        <v>100000</v>
      </c>
      <c r="I705" s="153">
        <f>IF(E705="","",HLOOKUP($B705,Input!$C$13:$BT$14,2))</f>
        <v>1000</v>
      </c>
      <c r="J705" s="154"/>
      <c r="K705" s="155">
        <f>IF($E705="","",Input!$C$57)</f>
        <v>4.4999999999999998E-2</v>
      </c>
      <c r="L705" s="155">
        <f t="shared" si="221"/>
        <v>3.6748094004368514E-3</v>
      </c>
      <c r="M705" s="147">
        <f>IF($E705="","",VLOOKUP(IF($B705&lt;=Input!$C$7,$B705,26),'Mortality Tables'!$A$72:$CA$97,IF($B705&lt;=Input!$C$7+1,Input!$C$4-16,$D705-Input!$C$7-16),0)/1000)</f>
        <v>0.41866000000000003</v>
      </c>
      <c r="N705" s="147">
        <f t="shared" si="210"/>
        <v>4.419525135876623E-2</v>
      </c>
      <c r="O705" s="157">
        <f>IF($E705="","",IF($C705=12,IF($B705&lt;Input!$C$9,Input!$C$54,IF($B705=Input!$C$9,Input!$C$55,Input!$C$56)),0%))</f>
        <v>0</v>
      </c>
      <c r="P705" s="167">
        <f>IF($E705="","",IF($B705=1,Input!$C$59,IF($B705&lt;6,Input!$C$60,0%)))</f>
        <v>0</v>
      </c>
      <c r="Q705" s="162">
        <f>IF($E705="","",Input!$C$58)</f>
        <v>2.5</v>
      </c>
      <c r="R705" s="156">
        <f t="shared" si="222"/>
        <v>0.95580474864123377</v>
      </c>
      <c r="S705" s="154">
        <f t="shared" si="211"/>
        <v>3.9322941814182754E-6</v>
      </c>
      <c r="T705" s="152"/>
      <c r="U705" s="150">
        <f t="shared" si="223"/>
        <v>0</v>
      </c>
      <c r="V705" s="150">
        <f t="shared" si="224"/>
        <v>0</v>
      </c>
      <c r="W705" s="168">
        <f t="shared" si="225"/>
        <v>0</v>
      </c>
      <c r="X705" s="163">
        <f t="shared" si="212"/>
        <v>4419.5251358766227</v>
      </c>
      <c r="Y705" s="152"/>
      <c r="Z705" s="164">
        <f>IF(AND($C704=12,$D704=Input!$C$6),0,IF($E705="","",V705+Z706/(1+L705)*R705))</f>
        <v>113271.49023178224</v>
      </c>
      <c r="AA705" s="164">
        <f>IF(OR($M705=1,AND($C704=12,$D704=Input!$C$6)),0,IF($E705="","",W705+(X705+AA706*$R705)/(1+$L705)))</f>
        <v>80489.212852589553</v>
      </c>
      <c r="AB705" s="160">
        <f t="shared" si="213"/>
        <v>0.825720328500681</v>
      </c>
      <c r="AC705" s="164">
        <f t="shared" si="214"/>
        <v>0</v>
      </c>
      <c r="AD705" s="164">
        <f>IF(AND($C704=12,$D704=Input!$C$6),0,IF($E705="","",$AC705+AD706/(1+$L705)*$R705))</f>
        <v>93530.572123948907</v>
      </c>
      <c r="AE705" s="152"/>
      <c r="AF705" s="164">
        <f>IF(AND($C704=12,$D704=Input!$C$6),0,IF($E705="","",IF($B705&gt;Input!$C$9,$AC705,0)+AF706/(1+$L705)*$R705))</f>
        <v>93530.572123948907</v>
      </c>
      <c r="AG705" s="164">
        <f>IF(AND($C704=12,$D704=Input!$C$6),0,IF($E705="","",(IF($B705&gt;Input!$C$9,$X705,0)+AG706)/(1+$L705)*$R705))</f>
        <v>76025.7139452759</v>
      </c>
      <c r="AH705" s="160">
        <f t="shared" si="215"/>
        <v>2.0950137211446997</v>
      </c>
      <c r="AI705" s="160">
        <f>IF($E705="","",MIN(Input!$C$61/AH705,1))</f>
        <v>0.64438718771845094</v>
      </c>
      <c r="AJ705" s="152"/>
      <c r="AK705" s="164">
        <f>IF(AND($C704=12,$D704=Input!$C$6),0,IF($E705="","",IF($B705&gt;Input!$C$9,$AC705*AI705,0)+AK706/(1+$L705)*$R705))</f>
        <v>60269.902336649182</v>
      </c>
      <c r="AL705" s="164">
        <f>IF(AND($C704=12,$D704=Input!$C$6),0,IF($E705="","",IF($B705&gt;Input!$C$9,0,$AC705)+AL706/(1+$L705)*$R705))</f>
        <v>0</v>
      </c>
      <c r="AM705" s="160">
        <f t="shared" si="216"/>
        <v>1.1382936520186004</v>
      </c>
      <c r="AN705" s="164">
        <f>IF($E705="","",IF($B705&gt;Input!$C$9,$AI705*$AC705,$AM705*$AC705))</f>
        <v>0</v>
      </c>
      <c r="AO705" s="164">
        <f>IF(AND($C704=12,$D704=Input!$C$6),0,IF($E705="","",$AN705+AO706/(1+$L705)*$R705))</f>
        <v>60269.902336649182</v>
      </c>
      <c r="AP705" s="152"/>
      <c r="AQ705" s="164">
        <f t="shared" si="217"/>
        <v>20219.310515940371</v>
      </c>
      <c r="AR705" s="164">
        <f t="shared" si="226"/>
        <v>15428.010475917334</v>
      </c>
      <c r="AS705" s="164">
        <f t="shared" si="227"/>
        <v>20031.578947368424</v>
      </c>
      <c r="AT705" s="164">
        <f t="shared" si="218"/>
        <v>20031.578947368424</v>
      </c>
      <c r="AU705" s="152"/>
      <c r="AV705" s="147">
        <f>'Deterministic Reserve'!BC705</f>
        <v>4.8851888158832374E-10</v>
      </c>
      <c r="AW705" s="164">
        <f t="shared" si="219"/>
        <v>20031.578947368424</v>
      </c>
      <c r="AX705" s="164">
        <f t="shared" si="220"/>
        <v>9.7858045438166342E-6</v>
      </c>
      <c r="AY705" s="152"/>
    </row>
    <row r="706" spans="1:51" s="150" customFormat="1" x14ac:dyDescent="0.25">
      <c r="A706" s="150">
        <f t="shared" si="228"/>
        <v>702</v>
      </c>
      <c r="B706" s="150">
        <f t="shared" si="229"/>
        <v>59</v>
      </c>
      <c r="C706" s="150">
        <f t="shared" si="230"/>
        <v>6</v>
      </c>
      <c r="D706" s="150">
        <f>IF(E706="","",Input!$C$4+B706-1)</f>
        <v>103</v>
      </c>
      <c r="E706" s="150">
        <f>IF(OR(AND(C705=12,D705=Input!$C$6),E705=""),"",1)</f>
        <v>1</v>
      </c>
      <c r="F706" s="150">
        <f>IF(E706="","",Input!$C$8+B706-1)</f>
        <v>2076</v>
      </c>
      <c r="G706" s="151">
        <f>IF(E706="","",MAX(0,Input!$C$9-B706))</f>
        <v>0</v>
      </c>
      <c r="H706" s="152">
        <f>IF(E706="","",Input!$C$3)</f>
        <v>100000</v>
      </c>
      <c r="I706" s="153">
        <f>IF(E706="","",HLOOKUP($B706,Input!$C$13:$BT$14,2))</f>
        <v>1000</v>
      </c>
      <c r="J706" s="154"/>
      <c r="K706" s="155">
        <f>IF($E706="","",Input!$C$57)</f>
        <v>4.4999999999999998E-2</v>
      </c>
      <c r="L706" s="155">
        <f t="shared" si="221"/>
        <v>3.6748094004368514E-3</v>
      </c>
      <c r="M706" s="147">
        <f>IF($E706="","",VLOOKUP(IF($B706&lt;=Input!$C$7,$B706,26),'Mortality Tables'!$A$72:$CA$97,IF($B706&lt;=Input!$C$7+1,Input!$C$4-16,$D706-Input!$C$7-16),0)/1000)</f>
        <v>0.41866000000000003</v>
      </c>
      <c r="N706" s="147">
        <f t="shared" si="210"/>
        <v>4.419525135876623E-2</v>
      </c>
      <c r="O706" s="157">
        <f>IF($E706="","",IF($C706=12,IF($B706&lt;Input!$C$9,Input!$C$54,IF($B706=Input!$C$9,Input!$C$55,Input!$C$56)),0%))</f>
        <v>0</v>
      </c>
      <c r="P706" s="167">
        <f>IF($E706="","",IF($B706=1,Input!$C$59,IF($B706&lt;6,Input!$C$60,0%)))</f>
        <v>0</v>
      </c>
      <c r="Q706" s="162">
        <f>IF($E706="","",Input!$C$58)</f>
        <v>2.5</v>
      </c>
      <c r="R706" s="156">
        <f t="shared" si="222"/>
        <v>0.95580474864123377</v>
      </c>
      <c r="S706" s="154">
        <f t="shared" si="211"/>
        <v>3.7585054516538807E-6</v>
      </c>
      <c r="T706" s="152"/>
      <c r="U706" s="150">
        <f t="shared" si="223"/>
        <v>0</v>
      </c>
      <c r="V706" s="150">
        <f t="shared" si="224"/>
        <v>0</v>
      </c>
      <c r="W706" s="168">
        <f t="shared" si="225"/>
        <v>0</v>
      </c>
      <c r="X706" s="163">
        <f t="shared" si="212"/>
        <v>4419.5251358766227</v>
      </c>
      <c r="Y706" s="152"/>
      <c r="Z706" s="164">
        <f>IF(AND($C705=12,$D705=Input!$C$6),0,IF($E706="","",V706+Z707/(1+L706)*R706))</f>
        <v>118944.52452815838</v>
      </c>
      <c r="AA706" s="164">
        <f>IF(OR($M706=1,AND($C705=12,$D705=Input!$C$6)),0,IF($E706="","",W706+(X706+AA707*$R706)/(1+$L706)))</f>
        <v>79896.51687888983</v>
      </c>
      <c r="AB706" s="160">
        <f t="shared" si="213"/>
        <v>0.825720328500681</v>
      </c>
      <c r="AC706" s="164">
        <f t="shared" si="214"/>
        <v>0</v>
      </c>
      <c r="AD706" s="164">
        <f>IF(AND($C705=12,$D705=Input!$C$6),0,IF($E706="","",$AC706+AD707/(1+$L706)*$R706))</f>
        <v>98214.91186674824</v>
      </c>
      <c r="AE706" s="152"/>
      <c r="AF706" s="164">
        <f>IF(AND($C705=12,$D705=Input!$C$6),0,IF($E706="","",IF($B706&gt;Input!$C$9,$AC706,0)+AF707/(1+$L706)*$R706))</f>
        <v>98214.91186674824</v>
      </c>
      <c r="AG706" s="164">
        <f>IF(AND($C705=12,$D705=Input!$C$6),0,IF($E706="","",(IF($B706&gt;Input!$C$9,$X706,0)+AG707)/(1+$L706)*$R706))</f>
        <v>75413.823737972125</v>
      </c>
      <c r="AH706" s="160">
        <f t="shared" si="215"/>
        <v>2.0950137211446997</v>
      </c>
      <c r="AI706" s="160">
        <f>IF($E706="","",MIN(Input!$C$61/AH706,1))</f>
        <v>0.64438718771845094</v>
      </c>
      <c r="AJ706" s="152"/>
      <c r="AK706" s="164">
        <f>IF(AND($C705=12,$D705=Input!$C$6),0,IF($E706="","",IF($B706&gt;Input!$C$9,$AC706*AI706,0)+AK707/(1+$L706)*$R706))</f>
        <v>63288.430849829412</v>
      </c>
      <c r="AL706" s="164">
        <f>IF(AND($C705=12,$D705=Input!$C$6),0,IF($E706="","",IF($B706&gt;Input!$C$9,0,$AC706)+AL707/(1+$L706)*$R706))</f>
        <v>0</v>
      </c>
      <c r="AM706" s="160">
        <f t="shared" si="216"/>
        <v>1.1382936520186004</v>
      </c>
      <c r="AN706" s="164">
        <f>IF($E706="","",IF($B706&gt;Input!$C$9,$AI706*$AC706,$AM706*$AC706))</f>
        <v>0</v>
      </c>
      <c r="AO706" s="164">
        <f>IF(AND($C705=12,$D705=Input!$C$6),0,IF($E706="","",$AN706+AO707/(1+$L706)*$R706))</f>
        <v>63288.430849829412</v>
      </c>
      <c r="AP706" s="152"/>
      <c r="AQ706" s="164">
        <f t="shared" si="217"/>
        <v>16608.086029060418</v>
      </c>
      <c r="AR706" s="164">
        <f t="shared" si="226"/>
        <v>15428.010475917334</v>
      </c>
      <c r="AS706" s="164">
        <f t="shared" si="227"/>
        <v>20031.578947368424</v>
      </c>
      <c r="AT706" s="164">
        <f t="shared" si="218"/>
        <v>20031.578947368424</v>
      </c>
      <c r="AU706" s="152"/>
      <c r="AV706" s="147">
        <f>'Deterministic Reserve'!BC706</f>
        <v>4.3555031642079124E-10</v>
      </c>
      <c r="AW706" s="164">
        <f t="shared" si="219"/>
        <v>20031.578947368424</v>
      </c>
      <c r="AX706" s="164">
        <f t="shared" si="220"/>
        <v>8.7247605489343776E-6</v>
      </c>
      <c r="AY706" s="152"/>
    </row>
    <row r="707" spans="1:51" s="150" customFormat="1" x14ac:dyDescent="0.25">
      <c r="A707" s="150">
        <f t="shared" si="228"/>
        <v>703</v>
      </c>
      <c r="B707" s="150">
        <f t="shared" si="229"/>
        <v>59</v>
      </c>
      <c r="C707" s="150">
        <f t="shared" si="230"/>
        <v>7</v>
      </c>
      <c r="D707" s="150">
        <f>IF(E707="","",Input!$C$4+B707-1)</f>
        <v>103</v>
      </c>
      <c r="E707" s="150">
        <f>IF(OR(AND(C706=12,D706=Input!$C$6),E706=""),"",1)</f>
        <v>1</v>
      </c>
      <c r="F707" s="150">
        <f>IF(E707="","",Input!$C$8+B707-1)</f>
        <v>2076</v>
      </c>
      <c r="G707" s="151">
        <f>IF(E707="","",MAX(0,Input!$C$9-B707))</f>
        <v>0</v>
      </c>
      <c r="H707" s="152">
        <f>IF(E707="","",Input!$C$3)</f>
        <v>100000</v>
      </c>
      <c r="I707" s="153">
        <f>IF(E707="","",HLOOKUP($B707,Input!$C$13:$BT$14,2))</f>
        <v>1000</v>
      </c>
      <c r="J707" s="154"/>
      <c r="K707" s="155">
        <f>IF($E707="","",Input!$C$57)</f>
        <v>4.4999999999999998E-2</v>
      </c>
      <c r="L707" s="155">
        <f t="shared" si="221"/>
        <v>3.6748094004368514E-3</v>
      </c>
      <c r="M707" s="147">
        <f>IF($E707="","",VLOOKUP(IF($B707&lt;=Input!$C$7,$B707,26),'Mortality Tables'!$A$72:$CA$97,IF($B707&lt;=Input!$C$7+1,Input!$C$4-16,$D707-Input!$C$7-16),0)/1000)</f>
        <v>0.41866000000000003</v>
      </c>
      <c r="N707" s="147">
        <f t="shared" si="210"/>
        <v>4.419525135876623E-2</v>
      </c>
      <c r="O707" s="157">
        <f>IF($E707="","",IF($C707=12,IF($B707&lt;Input!$C$9,Input!$C$54,IF($B707=Input!$C$9,Input!$C$55,Input!$C$56)),0%))</f>
        <v>0</v>
      </c>
      <c r="P707" s="167">
        <f>IF($E707="","",IF($B707=1,Input!$C$59,IF($B707&lt;6,Input!$C$60,0%)))</f>
        <v>0</v>
      </c>
      <c r="Q707" s="162">
        <f>IF($E707="","",Input!$C$58)</f>
        <v>2.5</v>
      </c>
      <c r="R707" s="156">
        <f t="shared" si="222"/>
        <v>0.95580474864123377</v>
      </c>
      <c r="S707" s="154">
        <f t="shared" si="211"/>
        <v>3.5923973584847443E-6</v>
      </c>
      <c r="T707" s="152"/>
      <c r="U707" s="150">
        <f t="shared" si="223"/>
        <v>0</v>
      </c>
      <c r="V707" s="150">
        <f t="shared" si="224"/>
        <v>0</v>
      </c>
      <c r="W707" s="168">
        <f t="shared" si="225"/>
        <v>0</v>
      </c>
      <c r="X707" s="163">
        <f t="shared" si="212"/>
        <v>4419.5251358766227</v>
      </c>
      <c r="Y707" s="152"/>
      <c r="Z707" s="164">
        <f>IF(AND($C706=12,$D706=Input!$C$6),0,IF($E707="","",V707+Z708/(1+L707)*R707))</f>
        <v>124901.68431861961</v>
      </c>
      <c r="AA707" s="164">
        <f>IF(OR($M707=1,AND($C706=12,$D706=Input!$C$6)),0,IF($E707="","",W707+(X707+AA708*$R707)/(1+$L707)))</f>
        <v>79274.136607938941</v>
      </c>
      <c r="AB707" s="160">
        <f t="shared" si="213"/>
        <v>0.825720328500681</v>
      </c>
      <c r="AC707" s="164">
        <f t="shared" si="214"/>
        <v>0</v>
      </c>
      <c r="AD707" s="164">
        <f>IF(AND($C706=12,$D706=Input!$C$6),0,IF($E707="","",$AC707+AD708/(1+$L707)*$R707))</f>
        <v>103133.85980585894</v>
      </c>
      <c r="AE707" s="152"/>
      <c r="AF707" s="164">
        <f>IF(AND($C706=12,$D706=Input!$C$6),0,IF($E707="","",IF($B707&gt;Input!$C$9,$AC707,0)+AF708/(1+$L707)*$R707))</f>
        <v>103133.85980585894</v>
      </c>
      <c r="AG707" s="164">
        <f>IF(AND($C706=12,$D706=Input!$C$6),0,IF($E707="","",(IF($B707&gt;Input!$C$9,$X707,0)+AG708)/(1+$L707)*$R707))</f>
        <v>74771.287918744754</v>
      </c>
      <c r="AH707" s="160">
        <f t="shared" si="215"/>
        <v>2.0950137211446997</v>
      </c>
      <c r="AI707" s="160">
        <f>IF($E707="","",MIN(Input!$C$61/AH707,1))</f>
        <v>0.64438718771845094</v>
      </c>
      <c r="AJ707" s="152"/>
      <c r="AK707" s="164">
        <f>IF(AND($C706=12,$D706=Input!$C$6),0,IF($E707="","",IF($B707&gt;Input!$C$9,$AC707*AI707,0)+AK708/(1+$L707)*$R707))</f>
        <v>66458.137878846421</v>
      </c>
      <c r="AL707" s="164">
        <f>IF(AND($C706=12,$D706=Input!$C$6),0,IF($E707="","",IF($B707&gt;Input!$C$9,0,$AC707)+AL708/(1+$L707)*$R707))</f>
        <v>0</v>
      </c>
      <c r="AM707" s="160">
        <f t="shared" si="216"/>
        <v>1.1382936520186004</v>
      </c>
      <c r="AN707" s="164">
        <f>IF($E707="","",IF($B707&gt;Input!$C$9,$AI707*$AC707,$AM707*$AC707))</f>
        <v>0</v>
      </c>
      <c r="AO707" s="164">
        <f>IF(AND($C706=12,$D706=Input!$C$6),0,IF($E707="","",$AN707+AO708/(1+$L707)*$R707))</f>
        <v>66458.137878846421</v>
      </c>
      <c r="AP707" s="152"/>
      <c r="AQ707" s="164">
        <f t="shared" si="217"/>
        <v>12815.99872909252</v>
      </c>
      <c r="AR707" s="164">
        <f t="shared" si="226"/>
        <v>15428.010475917334</v>
      </c>
      <c r="AS707" s="164">
        <f t="shared" si="227"/>
        <v>20031.578947368424</v>
      </c>
      <c r="AT707" s="164">
        <f t="shared" si="218"/>
        <v>20031.578947368424</v>
      </c>
      <c r="AU707" s="152"/>
      <c r="AV707" s="147">
        <f>'Deterministic Reserve'!BC707</f>
        <v>3.883249661046173E-10</v>
      </c>
      <c r="AW707" s="164">
        <f t="shared" si="219"/>
        <v>20031.578947368424</v>
      </c>
      <c r="AX707" s="164">
        <f t="shared" si="220"/>
        <v>7.7787622157588092E-6</v>
      </c>
      <c r="AY707" s="152"/>
    </row>
    <row r="708" spans="1:51" s="150" customFormat="1" x14ac:dyDescent="0.25">
      <c r="A708" s="150">
        <f t="shared" si="228"/>
        <v>704</v>
      </c>
      <c r="B708" s="150">
        <f t="shared" si="229"/>
        <v>59</v>
      </c>
      <c r="C708" s="150">
        <f t="shared" si="230"/>
        <v>8</v>
      </c>
      <c r="D708" s="150">
        <f>IF(E708="","",Input!$C$4+B708-1)</f>
        <v>103</v>
      </c>
      <c r="E708" s="150">
        <f>IF(OR(AND(C707=12,D707=Input!$C$6),E707=""),"",1)</f>
        <v>1</v>
      </c>
      <c r="F708" s="150">
        <f>IF(E708="","",Input!$C$8+B708-1)</f>
        <v>2076</v>
      </c>
      <c r="G708" s="151">
        <f>IF(E708="","",MAX(0,Input!$C$9-B708))</f>
        <v>0</v>
      </c>
      <c r="H708" s="152">
        <f>IF(E708="","",Input!$C$3)</f>
        <v>100000</v>
      </c>
      <c r="I708" s="153">
        <f>IF(E708="","",HLOOKUP($B708,Input!$C$13:$BT$14,2))</f>
        <v>1000</v>
      </c>
      <c r="J708" s="154"/>
      <c r="K708" s="155">
        <f>IF($E708="","",Input!$C$57)</f>
        <v>4.4999999999999998E-2</v>
      </c>
      <c r="L708" s="155">
        <f t="shared" si="221"/>
        <v>3.6748094004368514E-3</v>
      </c>
      <c r="M708" s="147">
        <f>IF($E708="","",VLOOKUP(IF($B708&lt;=Input!$C$7,$B708,26),'Mortality Tables'!$A$72:$CA$97,IF($B708&lt;=Input!$C$7+1,Input!$C$4-16,$D708-Input!$C$7-16),0)/1000)</f>
        <v>0.41866000000000003</v>
      </c>
      <c r="N708" s="147">
        <f t="shared" si="210"/>
        <v>4.419525135876623E-2</v>
      </c>
      <c r="O708" s="157">
        <f>IF($E708="","",IF($C708=12,IF($B708&lt;Input!$C$9,Input!$C$54,IF($B708=Input!$C$9,Input!$C$55,Input!$C$56)),0%))</f>
        <v>0</v>
      </c>
      <c r="P708" s="167">
        <f>IF($E708="","",IF($B708=1,Input!$C$59,IF($B708&lt;6,Input!$C$60,0%)))</f>
        <v>0</v>
      </c>
      <c r="Q708" s="162">
        <f>IF($E708="","",Input!$C$58)</f>
        <v>2.5</v>
      </c>
      <c r="R708" s="156">
        <f t="shared" si="222"/>
        <v>0.95580474864123377</v>
      </c>
      <c r="S708" s="154">
        <f t="shared" si="211"/>
        <v>3.4336304542459434E-6</v>
      </c>
      <c r="T708" s="152"/>
      <c r="U708" s="150">
        <f t="shared" si="223"/>
        <v>0</v>
      </c>
      <c r="V708" s="150">
        <f t="shared" si="224"/>
        <v>0</v>
      </c>
      <c r="W708" s="168">
        <f t="shared" si="225"/>
        <v>0</v>
      </c>
      <c r="X708" s="163">
        <f t="shared" si="212"/>
        <v>4419.5251358766227</v>
      </c>
      <c r="Y708" s="152"/>
      <c r="Z708" s="164">
        <f>IF(AND($C707=12,$D707=Input!$C$6),0,IF($E708="","",V708+Z709/(1+L708)*R708))</f>
        <v>131157.19960640083</v>
      </c>
      <c r="AA708" s="164">
        <f>IF(OR($M708=1,AND($C707=12,$D707=Input!$C$6)),0,IF($E708="","",W708+(X708+AA709*$R708)/(1+$L708)))</f>
        <v>78620.585345812186</v>
      </c>
      <c r="AB708" s="160">
        <f t="shared" si="213"/>
        <v>0.825720328500681</v>
      </c>
      <c r="AC708" s="164">
        <f t="shared" si="214"/>
        <v>0</v>
      </c>
      <c r="AD708" s="164">
        <f>IF(AND($C707=12,$D707=Input!$C$6),0,IF($E708="","",$AC708+AD709/(1+$L708)*$R708))</f>
        <v>108299.16594422668</v>
      </c>
      <c r="AE708" s="152"/>
      <c r="AF708" s="164">
        <f>IF(AND($C707=12,$D707=Input!$C$6),0,IF($E708="","",IF($B708&gt;Input!$C$9,$AC708,0)+AF709/(1+$L708)*$R708))</f>
        <v>108299.16594422668</v>
      </c>
      <c r="AG708" s="164">
        <f>IF(AND($C707=12,$D707=Input!$C$6),0,IF($E708="","",(IF($B708&gt;Input!$C$9,$X708,0)+AG709)/(1+$L708)*$R708))</f>
        <v>74096.571647651959</v>
      </c>
      <c r="AH708" s="160">
        <f t="shared" si="215"/>
        <v>2.0950137211446997</v>
      </c>
      <c r="AI708" s="160">
        <f>IF($E708="","",MIN(Input!$C$61/AH708,1))</f>
        <v>0.64438718771845094</v>
      </c>
      <c r="AJ708" s="152"/>
      <c r="AK708" s="164">
        <f>IF(AND($C707=12,$D707=Input!$C$6),0,IF($E708="","",IF($B708&gt;Input!$C$9,$AC708*AI708,0)+AK709/(1+$L708)*$R708))</f>
        <v>69786.59497505406</v>
      </c>
      <c r="AL708" s="164">
        <f>IF(AND($C707=12,$D707=Input!$C$6),0,IF($E708="","",IF($B708&gt;Input!$C$9,0,$AC708)+AL709/(1+$L708)*$R708))</f>
        <v>0</v>
      </c>
      <c r="AM708" s="160">
        <f t="shared" si="216"/>
        <v>1.1382936520186004</v>
      </c>
      <c r="AN708" s="164">
        <f>IF($E708="","",IF($B708&gt;Input!$C$9,$AI708*$AC708,$AM708*$AC708))</f>
        <v>0</v>
      </c>
      <c r="AO708" s="164">
        <f>IF(AND($C707=12,$D707=Input!$C$6),0,IF($E708="","",$AN708+AO709/(1+$L708)*$R708))</f>
        <v>69786.59497505406</v>
      </c>
      <c r="AP708" s="152"/>
      <c r="AQ708" s="164">
        <f t="shared" si="217"/>
        <v>8833.9903707581252</v>
      </c>
      <c r="AR708" s="164">
        <f t="shared" si="226"/>
        <v>15428.010475917334</v>
      </c>
      <c r="AS708" s="164">
        <f t="shared" si="227"/>
        <v>20031.578947368424</v>
      </c>
      <c r="AT708" s="164">
        <f t="shared" si="218"/>
        <v>20031.578947368424</v>
      </c>
      <c r="AU708" s="152"/>
      <c r="AV708" s="147">
        <f>'Deterministic Reserve'!BC708</f>
        <v>3.4622011192494647E-10</v>
      </c>
      <c r="AW708" s="164">
        <f t="shared" si="219"/>
        <v>20031.578947368424</v>
      </c>
      <c r="AX708" s="164">
        <f t="shared" si="220"/>
        <v>6.9353355051912972E-6</v>
      </c>
      <c r="AY708" s="152"/>
    </row>
    <row r="709" spans="1:51" s="150" customFormat="1" x14ac:dyDescent="0.25">
      <c r="A709" s="150">
        <f t="shared" si="228"/>
        <v>705</v>
      </c>
      <c r="B709" s="150">
        <f t="shared" si="229"/>
        <v>59</v>
      </c>
      <c r="C709" s="150">
        <f t="shared" si="230"/>
        <v>9</v>
      </c>
      <c r="D709" s="150">
        <f>IF(E709="","",Input!$C$4+B709-1)</f>
        <v>103</v>
      </c>
      <c r="E709" s="150">
        <f>IF(OR(AND(C708=12,D708=Input!$C$6),E708=""),"",1)</f>
        <v>1</v>
      </c>
      <c r="F709" s="150">
        <f>IF(E709="","",Input!$C$8+B709-1)</f>
        <v>2076</v>
      </c>
      <c r="G709" s="151">
        <f>IF(E709="","",MAX(0,Input!$C$9-B709))</f>
        <v>0</v>
      </c>
      <c r="H709" s="152">
        <f>IF(E709="","",Input!$C$3)</f>
        <v>100000</v>
      </c>
      <c r="I709" s="153">
        <f>IF(E709="","",HLOOKUP($B709,Input!$C$13:$BT$14,2))</f>
        <v>1000</v>
      </c>
      <c r="J709" s="154"/>
      <c r="K709" s="155">
        <f>IF($E709="","",Input!$C$57)</f>
        <v>4.4999999999999998E-2</v>
      </c>
      <c r="L709" s="155">
        <f t="shared" si="221"/>
        <v>3.6748094004368514E-3</v>
      </c>
      <c r="M709" s="147">
        <f>IF($E709="","",VLOOKUP(IF($B709&lt;=Input!$C$7,$B709,26),'Mortality Tables'!$A$72:$CA$97,IF($B709&lt;=Input!$C$7+1,Input!$C$4-16,$D709-Input!$C$7-16),0)/1000)</f>
        <v>0.41866000000000003</v>
      </c>
      <c r="N709" s="147">
        <f t="shared" ref="N709:N772" si="231">IF($E709="","",1-(1-M709)^(1/12))</f>
        <v>4.419525135876623E-2</v>
      </c>
      <c r="O709" s="157">
        <f>IF($E709="","",IF($C709=12,IF($B709&lt;Input!$C$9,Input!$C$54,IF($B709=Input!$C$9,Input!$C$55,Input!$C$56)),0%))</f>
        <v>0</v>
      </c>
      <c r="P709" s="167">
        <f>IF($E709="","",IF($B709=1,Input!$C$59,IF($B709&lt;6,Input!$C$60,0%)))</f>
        <v>0</v>
      </c>
      <c r="Q709" s="162">
        <f>IF($E709="","",Input!$C$58)</f>
        <v>2.5</v>
      </c>
      <c r="R709" s="156">
        <f t="shared" si="222"/>
        <v>0.95580474864123377</v>
      </c>
      <c r="S709" s="154">
        <f t="shared" ref="S709:S772" si="232">IF($E709="","",IF(AND($B709=1,$C709=1),1,S708*R709))</f>
        <v>3.2818802932474292E-6</v>
      </c>
      <c r="T709" s="152"/>
      <c r="U709" s="150">
        <f t="shared" si="223"/>
        <v>0</v>
      </c>
      <c r="V709" s="150">
        <f t="shared" si="224"/>
        <v>0</v>
      </c>
      <c r="W709" s="168">
        <f t="shared" si="225"/>
        <v>0</v>
      </c>
      <c r="X709" s="163">
        <f t="shared" ref="X709:X772" si="233">IF($E709="","",N709*$H709)</f>
        <v>4419.5251358766227</v>
      </c>
      <c r="Y709" s="152"/>
      <c r="Z709" s="164">
        <f>IF(AND($C708=12,$D708=Input!$C$6),0,IF($E709="","",V709+Z710/(1+L709)*R709))</f>
        <v>137726.01308330687</v>
      </c>
      <c r="AA709" s="164">
        <f>IF(OR($M709=1,AND($C708=12,$D708=Input!$C$6)),0,IF($E709="","",W709+(X709+AA710*$R709)/(1+$L709)))</f>
        <v>77934.301939728481</v>
      </c>
      <c r="AB709" s="160">
        <f t="shared" ref="AB709:AB772" si="234">IF($E709="","",$AA$5/$Z$5)</f>
        <v>0.825720328500681</v>
      </c>
      <c r="AC709" s="164">
        <f t="shared" ref="AC709:AC772" si="235">IF($E709="","",V709*AB709)</f>
        <v>0</v>
      </c>
      <c r="AD709" s="164">
        <f>IF(AND($C708=12,$D708=Input!$C$6),0,IF($E709="","",$AC709+AD710/(1+$L709)*$R709))</f>
        <v>113723.16876623724</v>
      </c>
      <c r="AE709" s="152"/>
      <c r="AF709" s="164">
        <f>IF(AND($C708=12,$D708=Input!$C$6),0,IF($E709="","",IF($B709&gt;Input!$C$9,$AC709,0)+AF710/(1+$L709)*$R709))</f>
        <v>113723.16876623724</v>
      </c>
      <c r="AG709" s="164">
        <f>IF(AND($C708=12,$D708=Input!$C$6),0,IF($E709="","",(IF($B709&gt;Input!$C$9,$X709,0)+AG710)/(1+$L709)*$R709))</f>
        <v>73388.063214573835</v>
      </c>
      <c r="AH709" s="160">
        <f t="shared" ref="AH709:AH772" si="236">IF($E709="","",$AF$5/$AG$5)</f>
        <v>2.0950137211446997</v>
      </c>
      <c r="AI709" s="160">
        <f>IF($E709="","",MIN(Input!$C$61/AH709,1))</f>
        <v>0.64438718771845094</v>
      </c>
      <c r="AJ709" s="152"/>
      <c r="AK709" s="164">
        <f>IF(AND($C708=12,$D708=Input!$C$6),0,IF($E709="","",IF($B709&gt;Input!$C$9,$AC709*AI709,0)+AK710/(1+$L709)*$R709))</f>
        <v>73281.752899706393</v>
      </c>
      <c r="AL709" s="164">
        <f>IF(AND($C708=12,$D708=Input!$C$6),0,IF($E709="","",IF($B709&gt;Input!$C$9,0,$AC709)+AL710/(1+$L709)*$R709))</f>
        <v>0</v>
      </c>
      <c r="AM709" s="160">
        <f t="shared" ref="AM709:AM772" si="237">IF($E709="","",($AD$5-$AK$5)/$AL$5)</f>
        <v>1.1382936520186004</v>
      </c>
      <c r="AN709" s="164">
        <f>IF($E709="","",IF($B709&gt;Input!$C$9,$AI709*$AC709,$AM709*$AC709))</f>
        <v>0</v>
      </c>
      <c r="AO709" s="164">
        <f>IF(AND($C708=12,$D708=Input!$C$6),0,IF($E709="","",$AN709+AO710/(1+$L709)*$R709))</f>
        <v>73281.752899706393</v>
      </c>
      <c r="AP709" s="152"/>
      <c r="AQ709" s="164">
        <f t="shared" ref="AQ709:AQ772" si="238">IF($E709="","",$AA709-$AO709)</f>
        <v>4652.5490400220879</v>
      </c>
      <c r="AR709" s="164">
        <f t="shared" si="226"/>
        <v>15428.010475917334</v>
      </c>
      <c r="AS709" s="164">
        <f t="shared" si="227"/>
        <v>20031.578947368424</v>
      </c>
      <c r="AT709" s="164">
        <f t="shared" ref="AT709:AT772" si="239">IF($E709="","",MAX($AR709,$AS709))</f>
        <v>20031.578947368424</v>
      </c>
      <c r="AU709" s="152"/>
      <c r="AV709" s="147">
        <f>'Deterministic Reserve'!BC709</f>
        <v>3.0868055459774156E-10</v>
      </c>
      <c r="AW709" s="164">
        <f t="shared" ref="AW709:AW772" si="240">IF($E709="","",$AT709)</f>
        <v>20031.578947368424</v>
      </c>
      <c r="AX709" s="164">
        <f t="shared" ref="AX709:AX772" si="241">IF($E709="","",AV709*AW709)</f>
        <v>6.1833588989421291E-6</v>
      </c>
      <c r="AY709" s="152"/>
    </row>
    <row r="710" spans="1:51" s="150" customFormat="1" x14ac:dyDescent="0.25">
      <c r="A710" s="150">
        <f t="shared" si="228"/>
        <v>706</v>
      </c>
      <c r="B710" s="150">
        <f t="shared" si="229"/>
        <v>59</v>
      </c>
      <c r="C710" s="150">
        <f t="shared" si="230"/>
        <v>10</v>
      </c>
      <c r="D710" s="150">
        <f>IF(E710="","",Input!$C$4+B710-1)</f>
        <v>103</v>
      </c>
      <c r="E710" s="150">
        <f>IF(OR(AND(C709=12,D709=Input!$C$6),E709=""),"",1)</f>
        <v>1</v>
      </c>
      <c r="F710" s="150">
        <f>IF(E710="","",Input!$C$8+B710-1)</f>
        <v>2076</v>
      </c>
      <c r="G710" s="151">
        <f>IF(E710="","",MAX(0,Input!$C$9-B710))</f>
        <v>0</v>
      </c>
      <c r="H710" s="152">
        <f>IF(E710="","",Input!$C$3)</f>
        <v>100000</v>
      </c>
      <c r="I710" s="153">
        <f>IF(E710="","",HLOOKUP($B710,Input!$C$13:$BT$14,2))</f>
        <v>1000</v>
      </c>
      <c r="J710" s="154"/>
      <c r="K710" s="155">
        <f>IF($E710="","",Input!$C$57)</f>
        <v>4.4999999999999998E-2</v>
      </c>
      <c r="L710" s="155">
        <f t="shared" ref="L710:L773" si="242">IF($E710="","",(1+K710)^(1/12)-1)</f>
        <v>3.6748094004368514E-3</v>
      </c>
      <c r="M710" s="147">
        <f>IF($E710="","",VLOOKUP(IF($B710&lt;=Input!$C$7,$B710,26),'Mortality Tables'!$A$72:$CA$97,IF($B710&lt;=Input!$C$7+1,Input!$C$4-16,$D710-Input!$C$7-16),0)/1000)</f>
        <v>0.41866000000000003</v>
      </c>
      <c r="N710" s="147">
        <f t="shared" si="231"/>
        <v>4.419525135876623E-2</v>
      </c>
      <c r="O710" s="157">
        <f>IF($E710="","",IF($C710=12,IF($B710&lt;Input!$C$9,Input!$C$54,IF($B710=Input!$C$9,Input!$C$55,Input!$C$56)),0%))</f>
        <v>0</v>
      </c>
      <c r="P710" s="167">
        <f>IF($E710="","",IF($B710=1,Input!$C$59,IF($B710&lt;6,Input!$C$60,0%)))</f>
        <v>0</v>
      </c>
      <c r="Q710" s="162">
        <f>IF($E710="","",Input!$C$58)</f>
        <v>2.5</v>
      </c>
      <c r="R710" s="156">
        <f t="shared" ref="R710:R773" si="243">IF($E710="","",MAX(1-N710-O710,0))</f>
        <v>0.95580474864123377</v>
      </c>
      <c r="S710" s="154">
        <f t="shared" si="232"/>
        <v>3.1368367687579778E-6</v>
      </c>
      <c r="T710" s="152"/>
      <c r="U710" s="150">
        <f t="shared" ref="U710:U773" si="244">IF($E710="","",IF($C710=1,$I710*$H710/1000,0))</f>
        <v>0</v>
      </c>
      <c r="V710" s="150">
        <f t="shared" ref="V710:V773" si="245">IF($E710="","",U710*(1-$P710))</f>
        <v>0</v>
      </c>
      <c r="W710" s="168">
        <f t="shared" ref="W710:W773" si="246">IF($E710="","",IF(AND($B710=1,$C710=1),$Q710*$H710/1000,0))</f>
        <v>0</v>
      </c>
      <c r="X710" s="163">
        <f t="shared" si="233"/>
        <v>4419.5251358766227</v>
      </c>
      <c r="Y710" s="152"/>
      <c r="Z710" s="164">
        <f>IF(AND($C709=12,$D709=Input!$C$6),0,IF($E710="","",V710+Z711/(1+L710)*R710))</f>
        <v>144623.81582366067</v>
      </c>
      <c r="AA710" s="164">
        <f>IF(OR($M710=1,AND($C709=12,$D709=Input!$C$6)),0,IF($E710="","",W710+(X710+AA711*$R710)/(1+$L710)))</f>
        <v>77213.647048889179</v>
      </c>
      <c r="AB710" s="160">
        <f t="shared" si="234"/>
        <v>0.825720328500681</v>
      </c>
      <c r="AC710" s="164">
        <f t="shared" si="235"/>
        <v>0</v>
      </c>
      <c r="AD710" s="164">
        <f>IF(AND($C709=12,$D709=Input!$C$6),0,IF($E710="","",$AC710+AD711/(1+$L710)*$R710))</f>
        <v>119418.82471093511</v>
      </c>
      <c r="AE710" s="152"/>
      <c r="AF710" s="164">
        <f>IF(AND($C709=12,$D709=Input!$C$6),0,IF($E710="","",IF($B710&gt;Input!$C$9,$AC710,0)+AF711/(1+$L710)*$R710))</f>
        <v>119418.82471093511</v>
      </c>
      <c r="AG710" s="164">
        <f>IF(AND($C709=12,$D709=Input!$C$6),0,IF($E710="","",(IF($B710&gt;Input!$C$9,$X710,0)+AG711)/(1+$L710)*$R710))</f>
        <v>72644.070189283681</v>
      </c>
      <c r="AH710" s="160">
        <f t="shared" si="236"/>
        <v>2.0950137211446997</v>
      </c>
      <c r="AI710" s="160">
        <f>IF($E710="","",MIN(Input!$C$61/AH710,1))</f>
        <v>0.64438718771845094</v>
      </c>
      <c r="AJ710" s="152"/>
      <c r="AK710" s="164">
        <f>IF(AND($C709=12,$D709=Input!$C$6),0,IF($E710="","",IF($B710&gt;Input!$C$9,$AC710*AI710,0)+AK711/(1+$L710)*$R710))</f>
        <v>76951.960616122116</v>
      </c>
      <c r="AL710" s="164">
        <f>IF(AND($C709=12,$D709=Input!$C$6),0,IF($E710="","",IF($B710&gt;Input!$C$9,0,$AC710)+AL711/(1+$L710)*$R710))</f>
        <v>0</v>
      </c>
      <c r="AM710" s="160">
        <f t="shared" si="237"/>
        <v>1.1382936520186004</v>
      </c>
      <c r="AN710" s="164">
        <f>IF($E710="","",IF($B710&gt;Input!$C$9,$AI710*$AC710,$AM710*$AC710))</f>
        <v>0</v>
      </c>
      <c r="AO710" s="164">
        <f>IF(AND($C709=12,$D709=Input!$C$6),0,IF($E710="","",$AN710+AO711/(1+$L710)*$R710))</f>
        <v>76951.960616122116</v>
      </c>
      <c r="AP710" s="152"/>
      <c r="AQ710" s="164">
        <f t="shared" si="238"/>
        <v>261.6864327670628</v>
      </c>
      <c r="AR710" s="164">
        <f t="shared" ref="AR710:AR773" si="247">IF($E710="","",IF($M710=1,0,0.5*(IF($B710=1,0,SUMIFS($AQ:$AQ,$B:$B,$B710-1,$C:$C,12))+SUMIFS($AN:$AN,$B:$B,$B710,$C:$C,1)+SUMIFS($AQ:$AQ,$B:$B,$B710,$C:$C,12))))</f>
        <v>15428.010475917334</v>
      </c>
      <c r="AS710" s="164">
        <f t="shared" ref="AS710:AS773" si="248">IF($E710="","",IF($M710=1,0,0.5*$M710*$H710/(1+$K710)))</f>
        <v>20031.578947368424</v>
      </c>
      <c r="AT710" s="164">
        <f t="shared" si="239"/>
        <v>20031.578947368424</v>
      </c>
      <c r="AU710" s="152"/>
      <c r="AV710" s="147">
        <f>'Deterministic Reserve'!BC710</f>
        <v>2.7521129335035531E-10</v>
      </c>
      <c r="AW710" s="164">
        <f t="shared" si="240"/>
        <v>20031.578947368424</v>
      </c>
      <c r="AX710" s="164">
        <f t="shared" si="241"/>
        <v>5.5129167499550126E-6</v>
      </c>
      <c r="AY710" s="152"/>
    </row>
    <row r="711" spans="1:51" s="150" customFormat="1" x14ac:dyDescent="0.25">
      <c r="A711" s="150">
        <f t="shared" ref="A711:A774" si="249">IF(E711="","",A710+1)</f>
        <v>707</v>
      </c>
      <c r="B711" s="150">
        <f t="shared" ref="B711:B774" si="250">IF(E711="","",IF(C710+1&gt;12,B710+1,B710))</f>
        <v>59</v>
      </c>
      <c r="C711" s="150">
        <f t="shared" ref="C711:C774" si="251">IF(E711="","",IF(C710+1&gt;12,1,C710+1))</f>
        <v>11</v>
      </c>
      <c r="D711" s="150">
        <f>IF(E711="","",Input!$C$4+B711-1)</f>
        <v>103</v>
      </c>
      <c r="E711" s="150">
        <f>IF(OR(AND(C710=12,D710=Input!$C$6),E710=""),"",1)</f>
        <v>1</v>
      </c>
      <c r="F711" s="150">
        <f>IF(E711="","",Input!$C$8+B711-1)</f>
        <v>2076</v>
      </c>
      <c r="G711" s="151">
        <f>IF(E711="","",MAX(0,Input!$C$9-B711))</f>
        <v>0</v>
      </c>
      <c r="H711" s="152">
        <f>IF(E711="","",Input!$C$3)</f>
        <v>100000</v>
      </c>
      <c r="I711" s="153">
        <f>IF(E711="","",HLOOKUP($B711,Input!$C$13:$BT$14,2))</f>
        <v>1000</v>
      </c>
      <c r="J711" s="154"/>
      <c r="K711" s="155">
        <f>IF($E711="","",Input!$C$57)</f>
        <v>4.4999999999999998E-2</v>
      </c>
      <c r="L711" s="155">
        <f t="shared" si="242"/>
        <v>3.6748094004368514E-3</v>
      </c>
      <c r="M711" s="147">
        <f>IF($E711="","",VLOOKUP(IF($B711&lt;=Input!$C$7,$B711,26),'Mortality Tables'!$A$72:$CA$97,IF($B711&lt;=Input!$C$7+1,Input!$C$4-16,$D711-Input!$C$7-16),0)/1000)</f>
        <v>0.41866000000000003</v>
      </c>
      <c r="N711" s="147">
        <f t="shared" si="231"/>
        <v>4.419525135876623E-2</v>
      </c>
      <c r="O711" s="157">
        <f>IF($E711="","",IF($C711=12,IF($B711&lt;Input!$C$9,Input!$C$54,IF($B711=Input!$C$9,Input!$C$55,Input!$C$56)),0%))</f>
        <v>0</v>
      </c>
      <c r="P711" s="167">
        <f>IF($E711="","",IF($B711=1,Input!$C$59,IF($B711&lt;6,Input!$C$60,0%)))</f>
        <v>0</v>
      </c>
      <c r="Q711" s="162">
        <f>IF($E711="","",Input!$C$58)</f>
        <v>2.5</v>
      </c>
      <c r="R711" s="156">
        <f t="shared" si="243"/>
        <v>0.95580474864123377</v>
      </c>
      <c r="S711" s="154">
        <f t="shared" si="232"/>
        <v>2.9982034792912988E-6</v>
      </c>
      <c r="T711" s="152"/>
      <c r="U711" s="150">
        <f t="shared" si="244"/>
        <v>0</v>
      </c>
      <c r="V711" s="150">
        <f t="shared" si="245"/>
        <v>0</v>
      </c>
      <c r="W711" s="168">
        <f t="shared" si="246"/>
        <v>0</v>
      </c>
      <c r="X711" s="163">
        <f t="shared" si="233"/>
        <v>4419.5251358766227</v>
      </c>
      <c r="Y711" s="152"/>
      <c r="Z711" s="164">
        <f>IF(AND($C710=12,$D710=Input!$C$6),0,IF($E711="","",V711+Z712/(1+L711)*R711))</f>
        <v>151867.08476592982</v>
      </c>
      <c r="AA711" s="164">
        <f>IF(OR($M711=1,AND($C710=12,$D710=Input!$C$6)),0,IF($E711="","",W711+(X711+AA712*$R711)/(1+$L711)))</f>
        <v>76456.899228547336</v>
      </c>
      <c r="AB711" s="160">
        <f t="shared" si="234"/>
        <v>0.825720328500681</v>
      </c>
      <c r="AC711" s="164">
        <f t="shared" si="235"/>
        <v>0</v>
      </c>
      <c r="AD711" s="164">
        <f>IF(AND($C710=12,$D710=Input!$C$6),0,IF($E711="","",$AC711+AD712/(1+$L711)*$R711))</f>
        <v>125399.73912136437</v>
      </c>
      <c r="AE711" s="152"/>
      <c r="AF711" s="164">
        <f>IF(AND($C710=12,$D710=Input!$C$6),0,IF($E711="","",IF($B711&gt;Input!$C$9,$AC711,0)+AF712/(1+$L711)*$R711))</f>
        <v>125399.73912136437</v>
      </c>
      <c r="AG711" s="164">
        <f>IF(AND($C710=12,$D710=Input!$C$6),0,IF($E711="","",(IF($B711&gt;Input!$C$9,$X711,0)+AG712)/(1+$L711)*$R711))</f>
        <v>71862.815378701402</v>
      </c>
      <c r="AH711" s="160">
        <f t="shared" si="236"/>
        <v>2.0950137211446997</v>
      </c>
      <c r="AI711" s="160">
        <f>IF($E711="","",MIN(Input!$C$61/AH711,1))</f>
        <v>0.64438718771845094</v>
      </c>
      <c r="AJ711" s="152"/>
      <c r="AK711" s="164">
        <f>IF(AND($C710=12,$D710=Input!$C$6),0,IF($E711="","",IF($B711&gt;Input!$C$9,$AC711*AI711,0)+AK712/(1+$L711)*$R711))</f>
        <v>80805.985233043408</v>
      </c>
      <c r="AL711" s="164">
        <f>IF(AND($C710=12,$D710=Input!$C$6),0,IF($E711="","",IF($B711&gt;Input!$C$9,0,$AC711)+AL712/(1+$L711)*$R711))</f>
        <v>0</v>
      </c>
      <c r="AM711" s="160">
        <f t="shared" si="237"/>
        <v>1.1382936520186004</v>
      </c>
      <c r="AN711" s="164">
        <f>IF($E711="","",IF($B711&gt;Input!$C$9,$AI711*$AC711,$AM711*$AC711))</f>
        <v>0</v>
      </c>
      <c r="AO711" s="164">
        <f>IF(AND($C710=12,$D710=Input!$C$6),0,IF($E711="","",$AN711+AO712/(1+$L711)*$R711))</f>
        <v>80805.985233043408</v>
      </c>
      <c r="AP711" s="152"/>
      <c r="AQ711" s="164">
        <f t="shared" si="238"/>
        <v>-4349.0860044960718</v>
      </c>
      <c r="AR711" s="164">
        <f t="shared" si="247"/>
        <v>15428.010475917334</v>
      </c>
      <c r="AS711" s="164">
        <f t="shared" si="248"/>
        <v>20031.578947368424</v>
      </c>
      <c r="AT711" s="164">
        <f t="shared" si="239"/>
        <v>20031.578947368424</v>
      </c>
      <c r="AU711" s="152"/>
      <c r="AV711" s="147">
        <f>'Deterministic Reserve'!BC711</f>
        <v>2.4537099878635984E-10</v>
      </c>
      <c r="AW711" s="164">
        <f t="shared" si="240"/>
        <v>20031.578947368424</v>
      </c>
      <c r="AX711" s="164">
        <f t="shared" si="241"/>
        <v>4.9151685335836092E-6</v>
      </c>
      <c r="AY711" s="152"/>
    </row>
    <row r="712" spans="1:51" s="150" customFormat="1" x14ac:dyDescent="0.25">
      <c r="A712" s="150">
        <f t="shared" si="249"/>
        <v>708</v>
      </c>
      <c r="B712" s="150">
        <f t="shared" si="250"/>
        <v>59</v>
      </c>
      <c r="C712" s="150">
        <f t="shared" si="251"/>
        <v>12</v>
      </c>
      <c r="D712" s="150">
        <f>IF(E712="","",Input!$C$4+B712-1)</f>
        <v>103</v>
      </c>
      <c r="E712" s="150">
        <f>IF(OR(AND(C711=12,D711=Input!$C$6),E711=""),"",1)</f>
        <v>1</v>
      </c>
      <c r="F712" s="150">
        <f>IF(E712="","",Input!$C$8+B712-1)</f>
        <v>2076</v>
      </c>
      <c r="G712" s="151">
        <f>IF(E712="","",MAX(0,Input!$C$9-B712))</f>
        <v>0</v>
      </c>
      <c r="H712" s="152">
        <f>IF(E712="","",Input!$C$3)</f>
        <v>100000</v>
      </c>
      <c r="I712" s="153">
        <f>IF(E712="","",HLOOKUP($B712,Input!$C$13:$BT$14,2))</f>
        <v>1000</v>
      </c>
      <c r="J712" s="154"/>
      <c r="K712" s="155">
        <f>IF($E712="","",Input!$C$57)</f>
        <v>4.4999999999999998E-2</v>
      </c>
      <c r="L712" s="155">
        <f t="shared" si="242"/>
        <v>3.6748094004368514E-3</v>
      </c>
      <c r="M712" s="147">
        <f>IF($E712="","",VLOOKUP(IF($B712&lt;=Input!$C$7,$B712,26),'Mortality Tables'!$A$72:$CA$97,IF($B712&lt;=Input!$C$7+1,Input!$C$4-16,$D712-Input!$C$7-16),0)/1000)</f>
        <v>0.41866000000000003</v>
      </c>
      <c r="N712" s="147">
        <f t="shared" si="231"/>
        <v>4.419525135876623E-2</v>
      </c>
      <c r="O712" s="157">
        <f>IF($E712="","",IF($C712=12,IF($B712&lt;Input!$C$9,Input!$C$54,IF($B712=Input!$C$9,Input!$C$55,Input!$C$56)),0%))</f>
        <v>0.1</v>
      </c>
      <c r="P712" s="167">
        <f>IF($E712="","",IF($B712=1,Input!$C$59,IF($B712&lt;6,Input!$C$60,0%)))</f>
        <v>0</v>
      </c>
      <c r="Q712" s="162">
        <f>IF($E712="","",Input!$C$58)</f>
        <v>2.5</v>
      </c>
      <c r="R712" s="156">
        <f t="shared" si="243"/>
        <v>0.85580474864123379</v>
      </c>
      <c r="S712" s="154">
        <f t="shared" si="232"/>
        <v>2.5658767749701624E-6</v>
      </c>
      <c r="T712" s="152"/>
      <c r="U712" s="150">
        <f t="shared" si="244"/>
        <v>0</v>
      </c>
      <c r="V712" s="150">
        <f t="shared" si="245"/>
        <v>0</v>
      </c>
      <c r="W712" s="168">
        <f t="shared" si="246"/>
        <v>0</v>
      </c>
      <c r="X712" s="163">
        <f t="shared" si="233"/>
        <v>4419.5251358766227</v>
      </c>
      <c r="Y712" s="152"/>
      <c r="Z712" s="164">
        <f>IF(AND($C711=12,$D711=Input!$C$6),0,IF($E712="","",V712+Z713/(1+L712)*R712))</f>
        <v>159473.1220715646</v>
      </c>
      <c r="AA712" s="164">
        <f>IF(OR($M712=1,AND($C711=12,$D711=Input!$C$6)),0,IF($E712="","",W712+(X712+AA713*$R712)/(1+$L712)))</f>
        <v>75662.250817953493</v>
      </c>
      <c r="AB712" s="160">
        <f t="shared" si="234"/>
        <v>0.825720328500681</v>
      </c>
      <c r="AC712" s="164">
        <f t="shared" si="235"/>
        <v>0</v>
      </c>
      <c r="AD712" s="164">
        <f>IF(AND($C711=12,$D711=Input!$C$6),0,IF($E712="","",$AC712+AD713/(1+$L712)*$R712))</f>
        <v>131680.19874396158</v>
      </c>
      <c r="AE712" s="152"/>
      <c r="AF712" s="164">
        <f>IF(AND($C711=12,$D711=Input!$C$6),0,IF($E712="","",IF($B712&gt;Input!$C$9,$AC712,0)+AF713/(1+$L712)*$R712))</f>
        <v>131680.19874396158</v>
      </c>
      <c r="AG712" s="164">
        <f>IF(AND($C711=12,$D711=Input!$C$6),0,IF($E712="","",(IF($B712&gt;Input!$C$9,$X712,0)+AG713)/(1+$L712)*$R712))</f>
        <v>71042.432581671921</v>
      </c>
      <c r="AH712" s="160">
        <f t="shared" si="236"/>
        <v>2.0950137211446997</v>
      </c>
      <c r="AI712" s="160">
        <f>IF($E712="","",MIN(Input!$C$61/AH712,1))</f>
        <v>0.64438718771845094</v>
      </c>
      <c r="AJ712" s="152"/>
      <c r="AK712" s="164">
        <f>IF(AND($C711=12,$D711=Input!$C$6),0,IF($E712="","",IF($B712&gt;Input!$C$9,$AC712*AI712,0)+AK713/(1+$L712)*$R712))</f>
        <v>84853.032946828098</v>
      </c>
      <c r="AL712" s="164">
        <f>IF(AND($C711=12,$D711=Input!$C$6),0,IF($E712="","",IF($B712&gt;Input!$C$9,0,$AC712)+AL713/(1+$L712)*$R712))</f>
        <v>0</v>
      </c>
      <c r="AM712" s="160">
        <f t="shared" si="237"/>
        <v>1.1382936520186004</v>
      </c>
      <c r="AN712" s="164">
        <f>IF($E712="","",IF($B712&gt;Input!$C$9,$AI712*$AC712,$AM712*$AC712))</f>
        <v>0</v>
      </c>
      <c r="AO712" s="164">
        <f>IF(AND($C711=12,$D711=Input!$C$6),0,IF($E712="","",$AN712+AO713/(1+$L712)*$R712))</f>
        <v>84853.032946828098</v>
      </c>
      <c r="AP712" s="152"/>
      <c r="AQ712" s="164">
        <f t="shared" si="238"/>
        <v>-9190.7821288746054</v>
      </c>
      <c r="AR712" s="164">
        <f t="shared" si="247"/>
        <v>15428.010475917334</v>
      </c>
      <c r="AS712" s="164">
        <f t="shared" si="248"/>
        <v>20031.578947368424</v>
      </c>
      <c r="AT712" s="164">
        <f t="shared" si="239"/>
        <v>20031.578947368424</v>
      </c>
      <c r="AU712" s="152"/>
      <c r="AV712" s="147">
        <f>'Deterministic Reserve'!BC712</f>
        <v>1.9422909358846825E-10</v>
      </c>
      <c r="AW712" s="164">
        <f t="shared" si="240"/>
        <v>20031.578947368424</v>
      </c>
      <c r="AX712" s="164">
        <f t="shared" si="241"/>
        <v>3.8907154220932119E-6</v>
      </c>
      <c r="AY712" s="152"/>
    </row>
    <row r="713" spans="1:51" s="150" customFormat="1" x14ac:dyDescent="0.25">
      <c r="A713" s="150">
        <f t="shared" si="249"/>
        <v>709</v>
      </c>
      <c r="B713" s="150">
        <f t="shared" si="250"/>
        <v>60</v>
      </c>
      <c r="C713" s="150">
        <f t="shared" si="251"/>
        <v>1</v>
      </c>
      <c r="D713" s="150">
        <f>IF(E713="","",Input!$C$4+B713-1)</f>
        <v>104</v>
      </c>
      <c r="E713" s="150">
        <f>IF(OR(AND(C712=12,D712=Input!$C$6),E712=""),"",1)</f>
        <v>1</v>
      </c>
      <c r="F713" s="150">
        <f>IF(E713="","",Input!$C$8+B713-1)</f>
        <v>2077</v>
      </c>
      <c r="G713" s="151">
        <f>IF(E713="","",MAX(0,Input!$C$9-B713))</f>
        <v>0</v>
      </c>
      <c r="H713" s="152">
        <f>IF(E713="","",Input!$C$3)</f>
        <v>100000</v>
      </c>
      <c r="I713" s="153">
        <f>IF(E713="","",HLOOKUP($B713,Input!$C$13:$BT$14,2))</f>
        <v>1000</v>
      </c>
      <c r="J713" s="154"/>
      <c r="K713" s="155">
        <f>IF($E713="","",Input!$C$57)</f>
        <v>4.4999999999999998E-2</v>
      </c>
      <c r="L713" s="155">
        <f t="shared" si="242"/>
        <v>3.6748094004368514E-3</v>
      </c>
      <c r="M713" s="147">
        <f>IF($E713="","",VLOOKUP(IF($B713&lt;=Input!$C$7,$B713,26),'Mortality Tables'!$A$72:$CA$97,IF($B713&lt;=Input!$C$7+1,Input!$C$4-16,$D713-Input!$C$7-16),0)/1000)</f>
        <v>0.43964999999999999</v>
      </c>
      <c r="N713" s="147">
        <f t="shared" si="231"/>
        <v>4.7119847028618822E-2</v>
      </c>
      <c r="O713" s="157">
        <f>IF($E713="","",IF($C713=12,IF($B713&lt;Input!$C$9,Input!$C$54,IF($B713=Input!$C$9,Input!$C$55,Input!$C$56)),0%))</f>
        <v>0</v>
      </c>
      <c r="P713" s="167">
        <f>IF($E713="","",IF($B713=1,Input!$C$59,IF($B713&lt;6,Input!$C$60,0%)))</f>
        <v>0</v>
      </c>
      <c r="Q713" s="162">
        <f>IF($E713="","",Input!$C$58)</f>
        <v>2.5</v>
      </c>
      <c r="R713" s="156">
        <f t="shared" si="243"/>
        <v>0.95288015297138118</v>
      </c>
      <c r="S713" s="154">
        <f t="shared" si="232"/>
        <v>2.4449730538392825E-6</v>
      </c>
      <c r="T713" s="152"/>
      <c r="U713" s="150">
        <f t="shared" si="244"/>
        <v>100000</v>
      </c>
      <c r="V713" s="150">
        <f t="shared" si="245"/>
        <v>100000</v>
      </c>
      <c r="W713" s="168">
        <f t="shared" si="246"/>
        <v>0</v>
      </c>
      <c r="X713" s="163">
        <f t="shared" si="233"/>
        <v>4711.9847028618824</v>
      </c>
      <c r="Y713" s="152"/>
      <c r="Z713" s="164">
        <f>IF(AND($C712=12,$D712=Input!$C$6),0,IF($E713="","",V713+Z714/(1+L713)*R713))</f>
        <v>187027.65514423363</v>
      </c>
      <c r="AA713" s="164">
        <f>IF(OR($M713=1,AND($C712=12,$D712=Input!$C$6)),0,IF($E713="","",W713+(X713+AA714*$R713)/(1+$L713)))</f>
        <v>83571.363849283196</v>
      </c>
      <c r="AB713" s="160">
        <f t="shared" si="234"/>
        <v>0.825720328500681</v>
      </c>
      <c r="AC713" s="164">
        <f t="shared" si="235"/>
        <v>82572.032850068106</v>
      </c>
      <c r="AD713" s="164">
        <f>IF(AND($C712=12,$D712=Input!$C$6),0,IF($E713="","",$AC713+AD714/(1+$L713)*$R713))</f>
        <v>154432.53684440872</v>
      </c>
      <c r="AE713" s="152"/>
      <c r="AF713" s="164">
        <f>IF(AND($C712=12,$D712=Input!$C$6),0,IF($E713="","",IF($B713&gt;Input!$C$9,$AC713,0)+AF714/(1+$L713)*$R713))</f>
        <v>154432.53684440872</v>
      </c>
      <c r="AG713" s="164">
        <f>IF(AND($C712=12,$D712=Input!$C$6),0,IF($E713="","",(IF($B713&gt;Input!$C$9,$X713,0)+AG714)/(1+$L713)*$R713))</f>
        <v>78897.960650410416</v>
      </c>
      <c r="AH713" s="160">
        <f t="shared" si="236"/>
        <v>2.0950137211446997</v>
      </c>
      <c r="AI713" s="160">
        <f>IF($E713="","",MIN(Input!$C$61/AH713,1))</f>
        <v>0.64438718771845094</v>
      </c>
      <c r="AJ713" s="152"/>
      <c r="AK713" s="164">
        <f>IF(AND($C712=12,$D712=Input!$C$6),0,IF($E713="","",IF($B713&gt;Input!$C$9,$AC713*AI713,0)+AK714/(1+$L713)*$R713))</f>
        <v>99514.348109394588</v>
      </c>
      <c r="AL713" s="164">
        <f>IF(AND($C712=12,$D712=Input!$C$6),0,IF($E713="","",IF($B713&gt;Input!$C$9,0,$AC713)+AL714/(1+$L713)*$R713))</f>
        <v>0</v>
      </c>
      <c r="AM713" s="160">
        <f t="shared" si="237"/>
        <v>1.1382936520186004</v>
      </c>
      <c r="AN713" s="164">
        <f>IF($E713="","",IF($B713&gt;Input!$C$9,$AI713*$AC713,$AM713*$AC713))</f>
        <v>53208.360032450932</v>
      </c>
      <c r="AO713" s="164">
        <f>IF(AND($C712=12,$D712=Input!$C$6),0,IF($E713="","",$AN713+AO714/(1+$L713)*$R713))</f>
        <v>99514.348109394588</v>
      </c>
      <c r="AP713" s="152"/>
      <c r="AQ713" s="164">
        <f t="shared" si="238"/>
        <v>-15942.984260111392</v>
      </c>
      <c r="AR713" s="164">
        <f t="shared" si="247"/>
        <v>19259.401098570372</v>
      </c>
      <c r="AS713" s="164">
        <f t="shared" si="248"/>
        <v>21035.885167464116</v>
      </c>
      <c r="AT713" s="164">
        <f t="shared" si="239"/>
        <v>21035.885167464116</v>
      </c>
      <c r="AU713" s="152"/>
      <c r="AV713" s="147">
        <f>'Deterministic Reserve'!BC713</f>
        <v>1.7338185802084257E-10</v>
      </c>
      <c r="AW713" s="164">
        <f t="shared" si="240"/>
        <v>21035.885167464116</v>
      </c>
      <c r="AX713" s="164">
        <f t="shared" si="241"/>
        <v>3.6472408554480115E-6</v>
      </c>
      <c r="AY713" s="152"/>
    </row>
    <row r="714" spans="1:51" s="150" customFormat="1" x14ac:dyDescent="0.25">
      <c r="A714" s="150">
        <f t="shared" si="249"/>
        <v>710</v>
      </c>
      <c r="B714" s="150">
        <f t="shared" si="250"/>
        <v>60</v>
      </c>
      <c r="C714" s="150">
        <f t="shared" si="251"/>
        <v>2</v>
      </c>
      <c r="D714" s="150">
        <f>IF(E714="","",Input!$C$4+B714-1)</f>
        <v>104</v>
      </c>
      <c r="E714" s="150">
        <f>IF(OR(AND(C713=12,D713=Input!$C$6),E713=""),"",1)</f>
        <v>1</v>
      </c>
      <c r="F714" s="150">
        <f>IF(E714="","",Input!$C$8+B714-1)</f>
        <v>2077</v>
      </c>
      <c r="G714" s="151">
        <f>IF(E714="","",MAX(0,Input!$C$9-B714))</f>
        <v>0</v>
      </c>
      <c r="H714" s="152">
        <f>IF(E714="","",Input!$C$3)</f>
        <v>100000</v>
      </c>
      <c r="I714" s="153">
        <f>IF(E714="","",HLOOKUP($B714,Input!$C$13:$BT$14,2))</f>
        <v>1000</v>
      </c>
      <c r="J714" s="154"/>
      <c r="K714" s="155">
        <f>IF($E714="","",Input!$C$57)</f>
        <v>4.4999999999999998E-2</v>
      </c>
      <c r="L714" s="155">
        <f t="shared" si="242"/>
        <v>3.6748094004368514E-3</v>
      </c>
      <c r="M714" s="147">
        <f>IF($E714="","",VLOOKUP(IF($B714&lt;=Input!$C$7,$B714,26),'Mortality Tables'!$A$72:$CA$97,IF($B714&lt;=Input!$C$7+1,Input!$C$4-16,$D714-Input!$C$7-16),0)/1000)</f>
        <v>0.43964999999999999</v>
      </c>
      <c r="N714" s="147">
        <f t="shared" si="231"/>
        <v>4.7119847028618822E-2</v>
      </c>
      <c r="O714" s="157">
        <f>IF($E714="","",IF($C714=12,IF($B714&lt;Input!$C$9,Input!$C$54,IF($B714=Input!$C$9,Input!$C$55,Input!$C$56)),0%))</f>
        <v>0</v>
      </c>
      <c r="P714" s="167">
        <f>IF($E714="","",IF($B714=1,Input!$C$59,IF($B714&lt;6,Input!$C$60,0%)))</f>
        <v>0</v>
      </c>
      <c r="Q714" s="162">
        <f>IF($E714="","",Input!$C$58)</f>
        <v>2.5</v>
      </c>
      <c r="R714" s="156">
        <f t="shared" si="243"/>
        <v>0.95288015297138118</v>
      </c>
      <c r="S714" s="154">
        <f t="shared" si="232"/>
        <v>2.3297662975532804E-6</v>
      </c>
      <c r="T714" s="152"/>
      <c r="U714" s="150">
        <f t="shared" si="244"/>
        <v>0</v>
      </c>
      <c r="V714" s="150">
        <f t="shared" si="245"/>
        <v>0</v>
      </c>
      <c r="W714" s="168">
        <f t="shared" si="246"/>
        <v>0</v>
      </c>
      <c r="X714" s="163">
        <f t="shared" si="233"/>
        <v>4711.9847028618824</v>
      </c>
      <c r="Y714" s="152"/>
      <c r="Z714" s="164">
        <f>IF(AND($C713=12,$D713=Input!$C$6),0,IF($E714="","",V714+Z715/(1+L714)*R714))</f>
        <v>91666.790327281633</v>
      </c>
      <c r="AA714" s="164">
        <f>IF(OR($M714=1,AND($C713=12,$D713=Input!$C$6)),0,IF($E714="","",W714+(X714+AA715*$R714)/(1+$L714)))</f>
        <v>83081.264451815776</v>
      </c>
      <c r="AB714" s="160">
        <f t="shared" si="234"/>
        <v>0.825720328500681</v>
      </c>
      <c r="AC714" s="164">
        <f t="shared" si="235"/>
        <v>0</v>
      </c>
      <c r="AD714" s="164">
        <f>IF(AND($C713=12,$D713=Input!$C$6),0,IF($E714="","",$AC714+AD715/(1+$L714)*$R714))</f>
        <v>75691.132221646054</v>
      </c>
      <c r="AE714" s="152"/>
      <c r="AF714" s="164">
        <f>IF(AND($C713=12,$D713=Input!$C$6),0,IF($E714="","",IF($B714&gt;Input!$C$9,$AC714,0)+AF715/(1+$L714)*$R714))</f>
        <v>75691.132221646054</v>
      </c>
      <c r="AG714" s="164">
        <f>IF(AND($C713=12,$D713=Input!$C$6),0,IF($E714="","",(IF($B714&gt;Input!$C$9,$X714,0)+AG715)/(1+$L714)*$R714))</f>
        <v>78391.745992914468</v>
      </c>
      <c r="AH714" s="160">
        <f t="shared" si="236"/>
        <v>2.0950137211446997</v>
      </c>
      <c r="AI714" s="160">
        <f>IF($E714="","",MIN(Input!$C$61/AH714,1))</f>
        <v>0.64438718771845094</v>
      </c>
      <c r="AJ714" s="152"/>
      <c r="AK714" s="164">
        <f>IF(AND($C713=12,$D713=Input!$C$6),0,IF($E714="","",IF($B714&gt;Input!$C$9,$AC714*AI714,0)+AK715/(1+$L714)*$R714))</f>
        <v>48774.395827531931</v>
      </c>
      <c r="AL714" s="164">
        <f>IF(AND($C713=12,$D713=Input!$C$6),0,IF($E714="","",IF($B714&gt;Input!$C$9,0,$AC714)+AL715/(1+$L714)*$R714))</f>
        <v>0</v>
      </c>
      <c r="AM714" s="160">
        <f t="shared" si="237"/>
        <v>1.1382936520186004</v>
      </c>
      <c r="AN714" s="164">
        <f>IF($E714="","",IF($B714&gt;Input!$C$9,$AI714*$AC714,$AM714*$AC714))</f>
        <v>0</v>
      </c>
      <c r="AO714" s="164">
        <f>IF(AND($C713=12,$D713=Input!$C$6),0,IF($E714="","",$AN714+AO715/(1+$L714)*$R714))</f>
        <v>48774.395827531931</v>
      </c>
      <c r="AP714" s="152"/>
      <c r="AQ714" s="164">
        <f t="shared" si="238"/>
        <v>34306.868624283845</v>
      </c>
      <c r="AR714" s="164">
        <f t="shared" si="247"/>
        <v>19259.401098570372</v>
      </c>
      <c r="AS714" s="164">
        <f t="shared" si="248"/>
        <v>21035.885167464116</v>
      </c>
      <c r="AT714" s="164">
        <f t="shared" si="239"/>
        <v>21035.885167464116</v>
      </c>
      <c r="AU714" s="152"/>
      <c r="AV714" s="147">
        <f>'Deterministic Reserve'!BC714</f>
        <v>1.5477222353955528E-10</v>
      </c>
      <c r="AW714" s="164">
        <f t="shared" si="240"/>
        <v>21035.885167464116</v>
      </c>
      <c r="AX714" s="164">
        <f t="shared" si="241"/>
        <v>3.2557707214911713E-6</v>
      </c>
      <c r="AY714" s="152"/>
    </row>
    <row r="715" spans="1:51" s="150" customFormat="1" x14ac:dyDescent="0.25">
      <c r="A715" s="150">
        <f t="shared" si="249"/>
        <v>711</v>
      </c>
      <c r="B715" s="150">
        <f t="shared" si="250"/>
        <v>60</v>
      </c>
      <c r="C715" s="150">
        <f t="shared" si="251"/>
        <v>3</v>
      </c>
      <c r="D715" s="150">
        <f>IF(E715="","",Input!$C$4+B715-1)</f>
        <v>104</v>
      </c>
      <c r="E715" s="150">
        <f>IF(OR(AND(C714=12,D714=Input!$C$6),E714=""),"",1)</f>
        <v>1</v>
      </c>
      <c r="F715" s="150">
        <f>IF(E715="","",Input!$C$8+B715-1)</f>
        <v>2077</v>
      </c>
      <c r="G715" s="151">
        <f>IF(E715="","",MAX(0,Input!$C$9-B715))</f>
        <v>0</v>
      </c>
      <c r="H715" s="152">
        <f>IF(E715="","",Input!$C$3)</f>
        <v>100000</v>
      </c>
      <c r="I715" s="153">
        <f>IF(E715="","",HLOOKUP($B715,Input!$C$13:$BT$14,2))</f>
        <v>1000</v>
      </c>
      <c r="J715" s="154"/>
      <c r="K715" s="155">
        <f>IF($E715="","",Input!$C$57)</f>
        <v>4.4999999999999998E-2</v>
      </c>
      <c r="L715" s="155">
        <f t="shared" si="242"/>
        <v>3.6748094004368514E-3</v>
      </c>
      <c r="M715" s="147">
        <f>IF($E715="","",VLOOKUP(IF($B715&lt;=Input!$C$7,$B715,26),'Mortality Tables'!$A$72:$CA$97,IF($B715&lt;=Input!$C$7+1,Input!$C$4-16,$D715-Input!$C$7-16),0)/1000)</f>
        <v>0.43964999999999999</v>
      </c>
      <c r="N715" s="147">
        <f t="shared" si="231"/>
        <v>4.7119847028618822E-2</v>
      </c>
      <c r="O715" s="157">
        <f>IF($E715="","",IF($C715=12,IF($B715&lt;Input!$C$9,Input!$C$54,IF($B715=Input!$C$9,Input!$C$55,Input!$C$56)),0%))</f>
        <v>0</v>
      </c>
      <c r="P715" s="167">
        <f>IF($E715="","",IF($B715=1,Input!$C$59,IF($B715&lt;6,Input!$C$60,0%)))</f>
        <v>0</v>
      </c>
      <c r="Q715" s="162">
        <f>IF($E715="","",Input!$C$58)</f>
        <v>2.5</v>
      </c>
      <c r="R715" s="156">
        <f t="shared" si="243"/>
        <v>0.95288015297138118</v>
      </c>
      <c r="S715" s="154">
        <f t="shared" si="232"/>
        <v>2.2199880660001381E-6</v>
      </c>
      <c r="T715" s="152"/>
      <c r="U715" s="150">
        <f t="shared" si="244"/>
        <v>0</v>
      </c>
      <c r="V715" s="150">
        <f t="shared" si="245"/>
        <v>0</v>
      </c>
      <c r="W715" s="168">
        <f t="shared" si="246"/>
        <v>0</v>
      </c>
      <c r="X715" s="163">
        <f t="shared" si="233"/>
        <v>4711.9847028618824</v>
      </c>
      <c r="Y715" s="152"/>
      <c r="Z715" s="164">
        <f>IF(AND($C714=12,$D714=Input!$C$6),0,IF($E715="","",V715+Z716/(1+L715)*R715))</f>
        <v>96553.22132923828</v>
      </c>
      <c r="AA715" s="164">
        <f>IF(OR($M715=1,AND($C714=12,$D714=Input!$C$6)),0,IF($E715="","",W715+(X715+AA716*$R715)/(1+$L715)))</f>
        <v>82565.039596248695</v>
      </c>
      <c r="AB715" s="160">
        <f t="shared" si="234"/>
        <v>0.825720328500681</v>
      </c>
      <c r="AC715" s="164">
        <f t="shared" si="235"/>
        <v>0</v>
      </c>
      <c r="AD715" s="164">
        <f>IF(AND($C714=12,$D714=Input!$C$6),0,IF($E715="","",$AC715+AD716/(1+$L715)*$R715))</f>
        <v>79725.957633777609</v>
      </c>
      <c r="AE715" s="152"/>
      <c r="AF715" s="164">
        <f>IF(AND($C714=12,$D714=Input!$C$6),0,IF($E715="","",IF($B715&gt;Input!$C$9,$AC715,0)+AF716/(1+$L715)*$R715))</f>
        <v>79725.957633777609</v>
      </c>
      <c r="AG715" s="164">
        <f>IF(AND($C714=12,$D714=Input!$C$6),0,IF($E715="","",(IF($B715&gt;Input!$C$9,$X715,0)+AG716)/(1+$L715)*$R715))</f>
        <v>77858.546830046384</v>
      </c>
      <c r="AH715" s="160">
        <f t="shared" si="236"/>
        <v>2.0950137211446997</v>
      </c>
      <c r="AI715" s="160">
        <f>IF($E715="","",MIN(Input!$C$61/AH715,1))</f>
        <v>0.64438718771845094</v>
      </c>
      <c r="AJ715" s="152"/>
      <c r="AK715" s="164">
        <f>IF(AND($C714=12,$D714=Input!$C$6),0,IF($E715="","",IF($B715&gt;Input!$C$9,$AC715*AI715,0)+AK716/(1+$L715)*$R715))</f>
        <v>51374.385627790325</v>
      </c>
      <c r="AL715" s="164">
        <f>IF(AND($C714=12,$D714=Input!$C$6),0,IF($E715="","",IF($B715&gt;Input!$C$9,0,$AC715)+AL716/(1+$L715)*$R715))</f>
        <v>0</v>
      </c>
      <c r="AM715" s="160">
        <f t="shared" si="237"/>
        <v>1.1382936520186004</v>
      </c>
      <c r="AN715" s="164">
        <f>IF($E715="","",IF($B715&gt;Input!$C$9,$AI715*$AC715,$AM715*$AC715))</f>
        <v>0</v>
      </c>
      <c r="AO715" s="164">
        <f>IF(AND($C714=12,$D714=Input!$C$6),0,IF($E715="","",$AN715+AO716/(1+$L715)*$R715))</f>
        <v>51374.385627790325</v>
      </c>
      <c r="AP715" s="152"/>
      <c r="AQ715" s="164">
        <f t="shared" si="238"/>
        <v>31190.653968458369</v>
      </c>
      <c r="AR715" s="164">
        <f t="shared" si="247"/>
        <v>19259.401098570372</v>
      </c>
      <c r="AS715" s="164">
        <f t="shared" si="248"/>
        <v>21035.885167464116</v>
      </c>
      <c r="AT715" s="164">
        <f t="shared" si="239"/>
        <v>21035.885167464116</v>
      </c>
      <c r="AU715" s="152"/>
      <c r="AV715" s="147">
        <f>'Deterministic Reserve'!BC715</f>
        <v>1.3816002119724925E-10</v>
      </c>
      <c r="AW715" s="164">
        <f t="shared" si="240"/>
        <v>21035.885167464116</v>
      </c>
      <c r="AX715" s="164">
        <f t="shared" si="241"/>
        <v>2.9063183406397433E-6</v>
      </c>
      <c r="AY715" s="152"/>
    </row>
    <row r="716" spans="1:51" s="150" customFormat="1" x14ac:dyDescent="0.25">
      <c r="A716" s="150">
        <f t="shared" si="249"/>
        <v>712</v>
      </c>
      <c r="B716" s="150">
        <f t="shared" si="250"/>
        <v>60</v>
      </c>
      <c r="C716" s="150">
        <f t="shared" si="251"/>
        <v>4</v>
      </c>
      <c r="D716" s="150">
        <f>IF(E716="","",Input!$C$4+B716-1)</f>
        <v>104</v>
      </c>
      <c r="E716" s="150">
        <f>IF(OR(AND(C715=12,D715=Input!$C$6),E715=""),"",1)</f>
        <v>1</v>
      </c>
      <c r="F716" s="150">
        <f>IF(E716="","",Input!$C$8+B716-1)</f>
        <v>2077</v>
      </c>
      <c r="G716" s="151">
        <f>IF(E716="","",MAX(0,Input!$C$9-B716))</f>
        <v>0</v>
      </c>
      <c r="H716" s="152">
        <f>IF(E716="","",Input!$C$3)</f>
        <v>100000</v>
      </c>
      <c r="I716" s="153">
        <f>IF(E716="","",HLOOKUP($B716,Input!$C$13:$BT$14,2))</f>
        <v>1000</v>
      </c>
      <c r="J716" s="154"/>
      <c r="K716" s="155">
        <f>IF($E716="","",Input!$C$57)</f>
        <v>4.4999999999999998E-2</v>
      </c>
      <c r="L716" s="155">
        <f t="shared" si="242"/>
        <v>3.6748094004368514E-3</v>
      </c>
      <c r="M716" s="147">
        <f>IF($E716="","",VLOOKUP(IF($B716&lt;=Input!$C$7,$B716,26),'Mortality Tables'!$A$72:$CA$97,IF($B716&lt;=Input!$C$7+1,Input!$C$4-16,$D716-Input!$C$7-16),0)/1000)</f>
        <v>0.43964999999999999</v>
      </c>
      <c r="N716" s="147">
        <f t="shared" si="231"/>
        <v>4.7119847028618822E-2</v>
      </c>
      <c r="O716" s="157">
        <f>IF($E716="","",IF($C716=12,IF($B716&lt;Input!$C$9,Input!$C$54,IF($B716=Input!$C$9,Input!$C$55,Input!$C$56)),0%))</f>
        <v>0</v>
      </c>
      <c r="P716" s="167">
        <f>IF($E716="","",IF($B716=1,Input!$C$59,IF($B716&lt;6,Input!$C$60,0%)))</f>
        <v>0</v>
      </c>
      <c r="Q716" s="162">
        <f>IF($E716="","",Input!$C$58)</f>
        <v>2.5</v>
      </c>
      <c r="R716" s="156">
        <f t="shared" si="243"/>
        <v>0.95288015297138118</v>
      </c>
      <c r="S716" s="154">
        <f t="shared" si="232"/>
        <v>2.1153825679248521E-6</v>
      </c>
      <c r="T716" s="152"/>
      <c r="U716" s="150">
        <f t="shared" si="244"/>
        <v>0</v>
      </c>
      <c r="V716" s="150">
        <f t="shared" si="245"/>
        <v>0</v>
      </c>
      <c r="W716" s="168">
        <f t="shared" si="246"/>
        <v>0</v>
      </c>
      <c r="X716" s="163">
        <f t="shared" si="233"/>
        <v>4711.9847028618824</v>
      </c>
      <c r="Y716" s="152"/>
      <c r="Z716" s="164">
        <f>IF(AND($C715=12,$D715=Input!$C$6),0,IF($E716="","",V716+Z717/(1+L716)*R716))</f>
        <v>101700.13061184197</v>
      </c>
      <c r="AA716" s="164">
        <f>IF(OR($M716=1,AND($C715=12,$D715=Input!$C$6)),0,IF($E716="","",W716+(X716+AA717*$R716)/(1+$L716)))</f>
        <v>82021.296627205433</v>
      </c>
      <c r="AB716" s="160">
        <f t="shared" si="234"/>
        <v>0.825720328500681</v>
      </c>
      <c r="AC716" s="164">
        <f t="shared" si="235"/>
        <v>0</v>
      </c>
      <c r="AD716" s="164">
        <f>IF(AND($C715=12,$D715=Input!$C$6),0,IF($E716="","",$AC716+AD717/(1+$L716)*$R716))</f>
        <v>83975.865257372338</v>
      </c>
      <c r="AE716" s="152"/>
      <c r="AF716" s="164">
        <f>IF(AND($C715=12,$D715=Input!$C$6),0,IF($E716="","",IF($B716&gt;Input!$C$9,$AC716,0)+AF717/(1+$L716)*$R716))</f>
        <v>83975.865257372338</v>
      </c>
      <c r="AG716" s="164">
        <f>IF(AND($C715=12,$D715=Input!$C$6),0,IF($E716="","",(IF($B716&gt;Input!$C$9,$X716,0)+AG717)/(1+$L716)*$R716))</f>
        <v>77296.924713670785</v>
      </c>
      <c r="AH716" s="160">
        <f t="shared" si="236"/>
        <v>2.0950137211446997</v>
      </c>
      <c r="AI716" s="160">
        <f>IF($E716="","",MIN(Input!$C$61/AH716,1))</f>
        <v>0.64438718771845094</v>
      </c>
      <c r="AJ716" s="152"/>
      <c r="AK716" s="164">
        <f>IF(AND($C715=12,$D715=Input!$C$6),0,IF($E716="","",IF($B716&gt;Input!$C$9,$AC716*AI716,0)+AK717/(1+$L716)*$R716))</f>
        <v>54112.971649421735</v>
      </c>
      <c r="AL716" s="164">
        <f>IF(AND($C715=12,$D715=Input!$C$6),0,IF($E716="","",IF($B716&gt;Input!$C$9,0,$AC716)+AL717/(1+$L716)*$R716))</f>
        <v>0</v>
      </c>
      <c r="AM716" s="160">
        <f t="shared" si="237"/>
        <v>1.1382936520186004</v>
      </c>
      <c r="AN716" s="164">
        <f>IF($E716="","",IF($B716&gt;Input!$C$9,$AI716*$AC716,$AM716*$AC716))</f>
        <v>0</v>
      </c>
      <c r="AO716" s="164">
        <f>IF(AND($C715=12,$D715=Input!$C$6),0,IF($E716="","",$AN716+AO717/(1+$L716)*$R716))</f>
        <v>54112.971649421735</v>
      </c>
      <c r="AP716" s="152"/>
      <c r="AQ716" s="164">
        <f t="shared" si="238"/>
        <v>27908.324977783697</v>
      </c>
      <c r="AR716" s="164">
        <f t="shared" si="247"/>
        <v>19259.401098570372</v>
      </c>
      <c r="AS716" s="164">
        <f t="shared" si="248"/>
        <v>21035.885167464116</v>
      </c>
      <c r="AT716" s="164">
        <f t="shared" si="239"/>
        <v>21035.885167464116</v>
      </c>
      <c r="AU716" s="152"/>
      <c r="AV716" s="147">
        <f>'Deterministic Reserve'!BC716</f>
        <v>1.2333086015492939E-10</v>
      </c>
      <c r="AW716" s="164">
        <f t="shared" si="240"/>
        <v>21035.885167464116</v>
      </c>
      <c r="AX716" s="164">
        <f t="shared" si="241"/>
        <v>2.5943738118236702E-6</v>
      </c>
      <c r="AY716" s="152"/>
    </row>
    <row r="717" spans="1:51" s="150" customFormat="1" x14ac:dyDescent="0.25">
      <c r="A717" s="150">
        <f t="shared" si="249"/>
        <v>713</v>
      </c>
      <c r="B717" s="150">
        <f t="shared" si="250"/>
        <v>60</v>
      </c>
      <c r="C717" s="150">
        <f t="shared" si="251"/>
        <v>5</v>
      </c>
      <c r="D717" s="150">
        <f>IF(E717="","",Input!$C$4+B717-1)</f>
        <v>104</v>
      </c>
      <c r="E717" s="150">
        <f>IF(OR(AND(C716=12,D716=Input!$C$6),E716=""),"",1)</f>
        <v>1</v>
      </c>
      <c r="F717" s="150">
        <f>IF(E717="","",Input!$C$8+B717-1)</f>
        <v>2077</v>
      </c>
      <c r="G717" s="151">
        <f>IF(E717="","",MAX(0,Input!$C$9-B717))</f>
        <v>0</v>
      </c>
      <c r="H717" s="152">
        <f>IF(E717="","",Input!$C$3)</f>
        <v>100000</v>
      </c>
      <c r="I717" s="153">
        <f>IF(E717="","",HLOOKUP($B717,Input!$C$13:$BT$14,2))</f>
        <v>1000</v>
      </c>
      <c r="J717" s="154"/>
      <c r="K717" s="155">
        <f>IF($E717="","",Input!$C$57)</f>
        <v>4.4999999999999998E-2</v>
      </c>
      <c r="L717" s="155">
        <f t="shared" si="242"/>
        <v>3.6748094004368514E-3</v>
      </c>
      <c r="M717" s="147">
        <f>IF($E717="","",VLOOKUP(IF($B717&lt;=Input!$C$7,$B717,26),'Mortality Tables'!$A$72:$CA$97,IF($B717&lt;=Input!$C$7+1,Input!$C$4-16,$D717-Input!$C$7-16),0)/1000)</f>
        <v>0.43964999999999999</v>
      </c>
      <c r="N717" s="147">
        <f t="shared" si="231"/>
        <v>4.7119847028618822E-2</v>
      </c>
      <c r="O717" s="157">
        <f>IF($E717="","",IF($C717=12,IF($B717&lt;Input!$C$9,Input!$C$54,IF($B717=Input!$C$9,Input!$C$55,Input!$C$56)),0%))</f>
        <v>0</v>
      </c>
      <c r="P717" s="167">
        <f>IF($E717="","",IF($B717=1,Input!$C$59,IF($B717&lt;6,Input!$C$60,0%)))</f>
        <v>0</v>
      </c>
      <c r="Q717" s="162">
        <f>IF($E717="","",Input!$C$58)</f>
        <v>2.5</v>
      </c>
      <c r="R717" s="156">
        <f t="shared" si="243"/>
        <v>0.95288015297138118</v>
      </c>
      <c r="S717" s="154">
        <f t="shared" si="232"/>
        <v>2.0157060649172261E-6</v>
      </c>
      <c r="T717" s="152"/>
      <c r="U717" s="150">
        <f t="shared" si="244"/>
        <v>0</v>
      </c>
      <c r="V717" s="150">
        <f t="shared" si="245"/>
        <v>0</v>
      </c>
      <c r="W717" s="168">
        <f t="shared" si="246"/>
        <v>0</v>
      </c>
      <c r="X717" s="163">
        <f t="shared" si="233"/>
        <v>4711.9847028618824</v>
      </c>
      <c r="Y717" s="152"/>
      <c r="Z717" s="164">
        <f>IF(AND($C716=12,$D716=Input!$C$6),0,IF($E717="","",V717+Z718/(1+L717)*R717))</f>
        <v>107121.4033470437</v>
      </c>
      <c r="AA717" s="164">
        <f>IF(OR($M717=1,AND($C716=12,$D716=Input!$C$6)),0,IF($E717="","",W717+(X717+AA718*$R717)/(1+$L717)))</f>
        <v>81448.56865179789</v>
      </c>
      <c r="AB717" s="160">
        <f t="shared" si="234"/>
        <v>0.825720328500681</v>
      </c>
      <c r="AC717" s="164">
        <f t="shared" si="235"/>
        <v>0</v>
      </c>
      <c r="AD717" s="164">
        <f>IF(AND($C716=12,$D716=Input!$C$6),0,IF($E717="","",$AC717+AD718/(1+$L717)*$R717))</f>
        <v>88452.32036117489</v>
      </c>
      <c r="AE717" s="152"/>
      <c r="AF717" s="164">
        <f>IF(AND($C716=12,$D716=Input!$C$6),0,IF($E717="","",IF($B717&gt;Input!$C$9,$AC717,0)+AF718/(1+$L717)*$R717))</f>
        <v>88452.32036117489</v>
      </c>
      <c r="AG717" s="164">
        <f>IF(AND($C716=12,$D716=Input!$C$6),0,IF($E717="","",(IF($B717&gt;Input!$C$9,$X717,0)+AG718)/(1+$L717)*$R717))</f>
        <v>76705.364517091395</v>
      </c>
      <c r="AH717" s="160">
        <f t="shared" si="236"/>
        <v>2.0950137211446997</v>
      </c>
      <c r="AI717" s="160">
        <f>IF($E717="","",MIN(Input!$C$61/AH717,1))</f>
        <v>0.64438718771845094</v>
      </c>
      <c r="AJ717" s="152"/>
      <c r="AK717" s="164">
        <f>IF(AND($C716=12,$D716=Input!$C$6),0,IF($E717="","",IF($B717&gt;Input!$C$9,$AC717*AI717,0)+AK718/(1+$L717)*$R717))</f>
        <v>56997.541964708973</v>
      </c>
      <c r="AL717" s="164">
        <f>IF(AND($C716=12,$D716=Input!$C$6),0,IF($E717="","",IF($B717&gt;Input!$C$9,0,$AC717)+AL718/(1+$L717)*$R717))</f>
        <v>0</v>
      </c>
      <c r="AM717" s="160">
        <f t="shared" si="237"/>
        <v>1.1382936520186004</v>
      </c>
      <c r="AN717" s="164">
        <f>IF($E717="","",IF($B717&gt;Input!$C$9,$AI717*$AC717,$AM717*$AC717))</f>
        <v>0</v>
      </c>
      <c r="AO717" s="164">
        <f>IF(AND($C716=12,$D716=Input!$C$6),0,IF($E717="","",$AN717+AO718/(1+$L717)*$R717))</f>
        <v>56997.541964708973</v>
      </c>
      <c r="AP717" s="152"/>
      <c r="AQ717" s="164">
        <f t="shared" si="238"/>
        <v>24451.026687088917</v>
      </c>
      <c r="AR717" s="164">
        <f t="shared" si="247"/>
        <v>19259.401098570372</v>
      </c>
      <c r="AS717" s="164">
        <f t="shared" si="248"/>
        <v>21035.885167464116</v>
      </c>
      <c r="AT717" s="164">
        <f t="shared" si="239"/>
        <v>21035.885167464116</v>
      </c>
      <c r="AU717" s="152"/>
      <c r="AV717" s="147">
        <f>'Deterministic Reserve'!BC717</f>
        <v>1.1009336083438287E-10</v>
      </c>
      <c r="AW717" s="164">
        <f t="shared" si="240"/>
        <v>21035.885167464116</v>
      </c>
      <c r="AX717" s="164">
        <f t="shared" si="241"/>
        <v>2.3159112962122695E-6</v>
      </c>
      <c r="AY717" s="152"/>
    </row>
    <row r="718" spans="1:51" s="150" customFormat="1" x14ac:dyDescent="0.25">
      <c r="A718" s="150">
        <f t="shared" si="249"/>
        <v>714</v>
      </c>
      <c r="B718" s="150">
        <f t="shared" si="250"/>
        <v>60</v>
      </c>
      <c r="C718" s="150">
        <f t="shared" si="251"/>
        <v>6</v>
      </c>
      <c r="D718" s="150">
        <f>IF(E718="","",Input!$C$4+B718-1)</f>
        <v>104</v>
      </c>
      <c r="E718" s="150">
        <f>IF(OR(AND(C717=12,D717=Input!$C$6),E717=""),"",1)</f>
        <v>1</v>
      </c>
      <c r="F718" s="150">
        <f>IF(E718="","",Input!$C$8+B718-1)</f>
        <v>2077</v>
      </c>
      <c r="G718" s="151">
        <f>IF(E718="","",MAX(0,Input!$C$9-B718))</f>
        <v>0</v>
      </c>
      <c r="H718" s="152">
        <f>IF(E718="","",Input!$C$3)</f>
        <v>100000</v>
      </c>
      <c r="I718" s="153">
        <f>IF(E718="","",HLOOKUP($B718,Input!$C$13:$BT$14,2))</f>
        <v>1000</v>
      </c>
      <c r="J718" s="154"/>
      <c r="K718" s="155">
        <f>IF($E718="","",Input!$C$57)</f>
        <v>4.4999999999999998E-2</v>
      </c>
      <c r="L718" s="155">
        <f t="shared" si="242"/>
        <v>3.6748094004368514E-3</v>
      </c>
      <c r="M718" s="147">
        <f>IF($E718="","",VLOOKUP(IF($B718&lt;=Input!$C$7,$B718,26),'Mortality Tables'!$A$72:$CA$97,IF($B718&lt;=Input!$C$7+1,Input!$C$4-16,$D718-Input!$C$7-16),0)/1000)</f>
        <v>0.43964999999999999</v>
      </c>
      <c r="N718" s="147">
        <f t="shared" si="231"/>
        <v>4.7119847028618822E-2</v>
      </c>
      <c r="O718" s="157">
        <f>IF($E718="","",IF($C718=12,IF($B718&lt;Input!$C$9,Input!$C$54,IF($B718=Input!$C$9,Input!$C$55,Input!$C$56)),0%))</f>
        <v>0</v>
      </c>
      <c r="P718" s="167">
        <f>IF($E718="","",IF($B718=1,Input!$C$59,IF($B718&lt;6,Input!$C$60,0%)))</f>
        <v>0</v>
      </c>
      <c r="Q718" s="162">
        <f>IF($E718="","",Input!$C$58)</f>
        <v>2.5</v>
      </c>
      <c r="R718" s="156">
        <f t="shared" si="243"/>
        <v>0.95288015297138118</v>
      </c>
      <c r="S718" s="154">
        <f t="shared" si="232"/>
        <v>1.9207263034836671E-6</v>
      </c>
      <c r="T718" s="152"/>
      <c r="U718" s="150">
        <f t="shared" si="244"/>
        <v>0</v>
      </c>
      <c r="V718" s="150">
        <f t="shared" si="245"/>
        <v>0</v>
      </c>
      <c r="W718" s="168">
        <f t="shared" si="246"/>
        <v>0</v>
      </c>
      <c r="X718" s="163">
        <f t="shared" si="233"/>
        <v>4711.9847028618824</v>
      </c>
      <c r="Y718" s="152"/>
      <c r="Z718" s="164">
        <f>IF(AND($C717=12,$D717=Input!$C$6),0,IF($E718="","",V718+Z719/(1+L718)*R718))</f>
        <v>112831.66487599254</v>
      </c>
      <c r="AA718" s="164">
        <f>IF(OR($M718=1,AND($C717=12,$D717=Input!$C$6)),0,IF($E718="","",W718+(X718+AA719*$R718)/(1+$L718)))</f>
        <v>80845.310582288366</v>
      </c>
      <c r="AB718" s="160">
        <f t="shared" si="234"/>
        <v>0.825720328500681</v>
      </c>
      <c r="AC718" s="164">
        <f t="shared" si="235"/>
        <v>0</v>
      </c>
      <c r="AD718" s="164">
        <f>IF(AND($C717=12,$D717=Input!$C$6),0,IF($E718="","",$AC718+AD719/(1+$L718)*$R718))</f>
        <v>93167.399386683348</v>
      </c>
      <c r="AE718" s="152"/>
      <c r="AF718" s="164">
        <f>IF(AND($C717=12,$D717=Input!$C$6),0,IF($E718="","",IF($B718&gt;Input!$C$9,$AC718,0)+AF719/(1+$L718)*$R718))</f>
        <v>93167.399386683348</v>
      </c>
      <c r="AG718" s="164">
        <f>IF(AND($C717=12,$D717=Input!$C$6),0,IF($E718="","",(IF($B718&gt;Input!$C$9,$X718,0)+AG719)/(1+$L718)*$R718))</f>
        <v>76082.270347589321</v>
      </c>
      <c r="AH718" s="160">
        <f t="shared" si="236"/>
        <v>2.0950137211446997</v>
      </c>
      <c r="AI718" s="160">
        <f>IF($E718="","",MIN(Input!$C$61/AH718,1))</f>
        <v>0.64438718771845094</v>
      </c>
      <c r="AJ718" s="152"/>
      <c r="AK718" s="164">
        <f>IF(AND($C717=12,$D717=Input!$C$6),0,IF($E718="","",IF($B718&gt;Input!$C$9,$AC718*AI718,0)+AK719/(1+$L718)*$R718))</f>
        <v>60035.87847782662</v>
      </c>
      <c r="AL718" s="164">
        <f>IF(AND($C717=12,$D717=Input!$C$6),0,IF($E718="","",IF($B718&gt;Input!$C$9,0,$AC718)+AL719/(1+$L718)*$R718))</f>
        <v>0</v>
      </c>
      <c r="AM718" s="160">
        <f t="shared" si="237"/>
        <v>1.1382936520186004</v>
      </c>
      <c r="AN718" s="164">
        <f>IF($E718="","",IF($B718&gt;Input!$C$9,$AI718*$AC718,$AM718*$AC718))</f>
        <v>0</v>
      </c>
      <c r="AO718" s="164">
        <f>IF(AND($C717=12,$D717=Input!$C$6),0,IF($E718="","",$AN718+AO719/(1+$L718)*$R718))</f>
        <v>60035.87847782662</v>
      </c>
      <c r="AP718" s="152"/>
      <c r="AQ718" s="164">
        <f t="shared" si="238"/>
        <v>20809.432104461746</v>
      </c>
      <c r="AR718" s="164">
        <f t="shared" si="247"/>
        <v>19259.401098570372</v>
      </c>
      <c r="AS718" s="164">
        <f t="shared" si="248"/>
        <v>21035.885167464116</v>
      </c>
      <c r="AT718" s="164">
        <f t="shared" si="239"/>
        <v>21035.885167464116</v>
      </c>
      <c r="AU718" s="152"/>
      <c r="AV718" s="147">
        <f>'Deterministic Reserve'!BC718</f>
        <v>9.8276685045281303E-11</v>
      </c>
      <c r="AW718" s="164">
        <f t="shared" si="240"/>
        <v>21035.885167464116</v>
      </c>
      <c r="AX718" s="164">
        <f t="shared" si="241"/>
        <v>2.0673370612515753E-6</v>
      </c>
      <c r="AY718" s="152"/>
    </row>
    <row r="719" spans="1:51" s="150" customFormat="1" x14ac:dyDescent="0.25">
      <c r="A719" s="150">
        <f t="shared" si="249"/>
        <v>715</v>
      </c>
      <c r="B719" s="150">
        <f t="shared" si="250"/>
        <v>60</v>
      </c>
      <c r="C719" s="150">
        <f t="shared" si="251"/>
        <v>7</v>
      </c>
      <c r="D719" s="150">
        <f>IF(E719="","",Input!$C$4+B719-1)</f>
        <v>104</v>
      </c>
      <c r="E719" s="150">
        <f>IF(OR(AND(C718=12,D718=Input!$C$6),E718=""),"",1)</f>
        <v>1</v>
      </c>
      <c r="F719" s="150">
        <f>IF(E719="","",Input!$C$8+B719-1)</f>
        <v>2077</v>
      </c>
      <c r="G719" s="151">
        <f>IF(E719="","",MAX(0,Input!$C$9-B719))</f>
        <v>0</v>
      </c>
      <c r="H719" s="152">
        <f>IF(E719="","",Input!$C$3)</f>
        <v>100000</v>
      </c>
      <c r="I719" s="153">
        <f>IF(E719="","",HLOOKUP($B719,Input!$C$13:$BT$14,2))</f>
        <v>1000</v>
      </c>
      <c r="J719" s="154"/>
      <c r="K719" s="155">
        <f>IF($E719="","",Input!$C$57)</f>
        <v>4.4999999999999998E-2</v>
      </c>
      <c r="L719" s="155">
        <f t="shared" si="242"/>
        <v>3.6748094004368514E-3</v>
      </c>
      <c r="M719" s="147">
        <f>IF($E719="","",VLOOKUP(IF($B719&lt;=Input!$C$7,$B719,26),'Mortality Tables'!$A$72:$CA$97,IF($B719&lt;=Input!$C$7+1,Input!$C$4-16,$D719-Input!$C$7-16),0)/1000)</f>
        <v>0.43964999999999999</v>
      </c>
      <c r="N719" s="147">
        <f t="shared" si="231"/>
        <v>4.7119847028618822E-2</v>
      </c>
      <c r="O719" s="157">
        <f>IF($E719="","",IF($C719=12,IF($B719&lt;Input!$C$9,Input!$C$54,IF($B719=Input!$C$9,Input!$C$55,Input!$C$56)),0%))</f>
        <v>0</v>
      </c>
      <c r="P719" s="167">
        <f>IF($E719="","",IF($B719=1,Input!$C$59,IF($B719&lt;6,Input!$C$60,0%)))</f>
        <v>0</v>
      </c>
      <c r="Q719" s="162">
        <f>IF($E719="","",Input!$C$58)</f>
        <v>2.5</v>
      </c>
      <c r="R719" s="156">
        <f t="shared" si="243"/>
        <v>0.95288015297138118</v>
      </c>
      <c r="S719" s="154">
        <f t="shared" si="232"/>
        <v>1.8302219738796724E-6</v>
      </c>
      <c r="T719" s="152"/>
      <c r="U719" s="150">
        <f t="shared" si="244"/>
        <v>0</v>
      </c>
      <c r="V719" s="150">
        <f t="shared" si="245"/>
        <v>0</v>
      </c>
      <c r="W719" s="168">
        <f t="shared" si="246"/>
        <v>0</v>
      </c>
      <c r="X719" s="163">
        <f t="shared" si="233"/>
        <v>4711.9847028618824</v>
      </c>
      <c r="Y719" s="152"/>
      <c r="Z719" s="164">
        <f>IF(AND($C718=12,$D718=Input!$C$6),0,IF($E719="","",V719+Z720/(1+L719)*R719))</f>
        <v>118846.32016482667</v>
      </c>
      <c r="AA719" s="164">
        <f>IF(OR($M719=1,AND($C718=12,$D718=Input!$C$6)),0,IF($E719="","",W719+(X719+AA720*$R719)/(1+$L719)))</f>
        <v>80209.894967799817</v>
      </c>
      <c r="AB719" s="160">
        <f t="shared" si="234"/>
        <v>0.825720328500681</v>
      </c>
      <c r="AC719" s="164">
        <f t="shared" si="235"/>
        <v>0</v>
      </c>
      <c r="AD719" s="164">
        <f>IF(AND($C718=12,$D718=Input!$C$6),0,IF($E719="","",$AC719+AD720/(1+$L719)*$R719))</f>
        <v>98133.822527597818</v>
      </c>
      <c r="AE719" s="152"/>
      <c r="AF719" s="164">
        <f>IF(AND($C718=12,$D718=Input!$C$6),0,IF($E719="","",IF($B719&gt;Input!$C$9,$AC719,0)+AF720/(1+$L719)*$R719))</f>
        <v>98133.822527597818</v>
      </c>
      <c r="AG719" s="164">
        <f>IF(AND($C718=12,$D718=Input!$C$6),0,IF($E719="","",(IF($B719&gt;Input!$C$9,$X719,0)+AG720)/(1+$L719)*$R719))</f>
        <v>75425.961241073281</v>
      </c>
      <c r="AH719" s="160">
        <f t="shared" si="236"/>
        <v>2.0950137211446997</v>
      </c>
      <c r="AI719" s="160">
        <f>IF($E719="","",MIN(Input!$C$61/AH719,1))</f>
        <v>0.64438718771845094</v>
      </c>
      <c r="AJ719" s="152"/>
      <c r="AK719" s="164">
        <f>IF(AND($C718=12,$D718=Input!$C$6),0,IF($E719="","",IF($B719&gt;Input!$C$9,$AC719*AI719,0)+AK720/(1+$L719)*$R719))</f>
        <v>63236.177918620335</v>
      </c>
      <c r="AL719" s="164">
        <f>IF(AND($C718=12,$D718=Input!$C$6),0,IF($E719="","",IF($B719&gt;Input!$C$9,0,$AC719)+AL720/(1+$L719)*$R719))</f>
        <v>0</v>
      </c>
      <c r="AM719" s="160">
        <f t="shared" si="237"/>
        <v>1.1382936520186004</v>
      </c>
      <c r="AN719" s="164">
        <f>IF($E719="","",IF($B719&gt;Input!$C$9,$AI719*$AC719,$AM719*$AC719))</f>
        <v>0</v>
      </c>
      <c r="AO719" s="164">
        <f>IF(AND($C718=12,$D718=Input!$C$6),0,IF($E719="","",$AN719+AO720/(1+$L719)*$R719))</f>
        <v>63236.177918620335</v>
      </c>
      <c r="AP719" s="152"/>
      <c r="AQ719" s="164">
        <f t="shared" si="238"/>
        <v>16973.717049179482</v>
      </c>
      <c r="AR719" s="164">
        <f t="shared" si="247"/>
        <v>19259.401098570372</v>
      </c>
      <c r="AS719" s="164">
        <f t="shared" si="248"/>
        <v>21035.885167464116</v>
      </c>
      <c r="AT719" s="164">
        <f t="shared" si="239"/>
        <v>21035.885167464116</v>
      </c>
      <c r="AU719" s="152"/>
      <c r="AV719" s="147">
        <f>'Deterministic Reserve'!BC719</f>
        <v>8.7728331211713417E-11</v>
      </c>
      <c r="AW719" s="164">
        <f t="shared" si="240"/>
        <v>21035.885167464116</v>
      </c>
      <c r="AX719" s="164">
        <f t="shared" si="241"/>
        <v>1.8454431013028614E-6</v>
      </c>
      <c r="AY719" s="152"/>
    </row>
    <row r="720" spans="1:51" s="150" customFormat="1" x14ac:dyDescent="0.25">
      <c r="A720" s="150">
        <f t="shared" si="249"/>
        <v>716</v>
      </c>
      <c r="B720" s="150">
        <f t="shared" si="250"/>
        <v>60</v>
      </c>
      <c r="C720" s="150">
        <f t="shared" si="251"/>
        <v>8</v>
      </c>
      <c r="D720" s="150">
        <f>IF(E720="","",Input!$C$4+B720-1)</f>
        <v>104</v>
      </c>
      <c r="E720" s="150">
        <f>IF(OR(AND(C719=12,D719=Input!$C$6),E719=""),"",1)</f>
        <v>1</v>
      </c>
      <c r="F720" s="150">
        <f>IF(E720="","",Input!$C$8+B720-1)</f>
        <v>2077</v>
      </c>
      <c r="G720" s="151">
        <f>IF(E720="","",MAX(0,Input!$C$9-B720))</f>
        <v>0</v>
      </c>
      <c r="H720" s="152">
        <f>IF(E720="","",Input!$C$3)</f>
        <v>100000</v>
      </c>
      <c r="I720" s="153">
        <f>IF(E720="","",HLOOKUP($B720,Input!$C$13:$BT$14,2))</f>
        <v>1000</v>
      </c>
      <c r="J720" s="154"/>
      <c r="K720" s="155">
        <f>IF($E720="","",Input!$C$57)</f>
        <v>4.4999999999999998E-2</v>
      </c>
      <c r="L720" s="155">
        <f t="shared" si="242"/>
        <v>3.6748094004368514E-3</v>
      </c>
      <c r="M720" s="147">
        <f>IF($E720="","",VLOOKUP(IF($B720&lt;=Input!$C$7,$B720,26),'Mortality Tables'!$A$72:$CA$97,IF($B720&lt;=Input!$C$7+1,Input!$C$4-16,$D720-Input!$C$7-16),0)/1000)</f>
        <v>0.43964999999999999</v>
      </c>
      <c r="N720" s="147">
        <f t="shared" si="231"/>
        <v>4.7119847028618822E-2</v>
      </c>
      <c r="O720" s="157">
        <f>IF($E720="","",IF($C720=12,IF($B720&lt;Input!$C$9,Input!$C$54,IF($B720=Input!$C$9,Input!$C$55,Input!$C$56)),0%))</f>
        <v>0</v>
      </c>
      <c r="P720" s="167">
        <f>IF($E720="","",IF($B720=1,Input!$C$59,IF($B720&lt;6,Input!$C$60,0%)))</f>
        <v>0</v>
      </c>
      <c r="Q720" s="162">
        <f>IF($E720="","",Input!$C$58)</f>
        <v>2.5</v>
      </c>
      <c r="R720" s="156">
        <f t="shared" si="243"/>
        <v>0.95288015297138118</v>
      </c>
      <c r="S720" s="154">
        <f t="shared" si="232"/>
        <v>1.7439821944420455E-6</v>
      </c>
      <c r="T720" s="152"/>
      <c r="U720" s="150">
        <f t="shared" si="244"/>
        <v>0</v>
      </c>
      <c r="V720" s="150">
        <f t="shared" si="245"/>
        <v>0</v>
      </c>
      <c r="W720" s="168">
        <f t="shared" si="246"/>
        <v>0</v>
      </c>
      <c r="X720" s="163">
        <f t="shared" si="233"/>
        <v>4711.9847028618824</v>
      </c>
      <c r="Y720" s="152"/>
      <c r="Z720" s="164">
        <f>IF(AND($C719=12,$D719=Input!$C$6),0,IF($E720="","",V720+Z721/(1+L720)*R720))</f>
        <v>125181.59536371229</v>
      </c>
      <c r="AA720" s="164">
        <f>IF(OR($M720=1,AND($C719=12,$D719=Input!$C$6)),0,IF($E720="","",W720+(X720+AA721*$R720)/(1+$L720)))</f>
        <v>79540.6076038295</v>
      </c>
      <c r="AB720" s="160">
        <f t="shared" si="234"/>
        <v>0.825720328500681</v>
      </c>
      <c r="AC720" s="164">
        <f t="shared" si="235"/>
        <v>0</v>
      </c>
      <c r="AD720" s="164">
        <f>IF(AND($C719=12,$D719=Input!$C$6),0,IF($E720="","",$AC720+AD721/(1+$L720)*$R720))</f>
        <v>103364.98804596387</v>
      </c>
      <c r="AE720" s="152"/>
      <c r="AF720" s="164">
        <f>IF(AND($C719=12,$D719=Input!$C$6),0,IF($E720="","",IF($B720&gt;Input!$C$9,$AC720,0)+AF721/(1+$L720)*$R720))</f>
        <v>103364.98804596387</v>
      </c>
      <c r="AG720" s="164">
        <f>IF(AND($C719=12,$D719=Input!$C$6),0,IF($E720="","",(IF($B720&gt;Input!$C$9,$X720,0)+AG721)/(1+$L720)*$R720))</f>
        <v>74734.666627226878</v>
      </c>
      <c r="AH720" s="160">
        <f t="shared" si="236"/>
        <v>2.0950137211446997</v>
      </c>
      <c r="AI720" s="160">
        <f>IF($E720="","",MIN(Input!$C$61/AH720,1))</f>
        <v>0.64438718771845094</v>
      </c>
      <c r="AJ720" s="152"/>
      <c r="AK720" s="164">
        <f>IF(AND($C719=12,$D719=Input!$C$6),0,IF($E720="","",IF($B720&gt;Input!$C$9,$AC720*AI720,0)+AK721/(1+$L720)*$R720))</f>
        <v>66607.073955489963</v>
      </c>
      <c r="AL720" s="164">
        <f>IF(AND($C719=12,$D719=Input!$C$6),0,IF($E720="","",IF($B720&gt;Input!$C$9,0,$AC720)+AL721/(1+$L720)*$R720))</f>
        <v>0</v>
      </c>
      <c r="AM720" s="160">
        <f t="shared" si="237"/>
        <v>1.1382936520186004</v>
      </c>
      <c r="AN720" s="164">
        <f>IF($E720="","",IF($B720&gt;Input!$C$9,$AI720*$AC720,$AM720*$AC720))</f>
        <v>0</v>
      </c>
      <c r="AO720" s="164">
        <f>IF(AND($C719=12,$D719=Input!$C$6),0,IF($E720="","",$AN720+AO721/(1+$L720)*$R720))</f>
        <v>66607.073955489963</v>
      </c>
      <c r="AP720" s="152"/>
      <c r="AQ720" s="164">
        <f t="shared" si="238"/>
        <v>12933.533648339537</v>
      </c>
      <c r="AR720" s="164">
        <f t="shared" si="247"/>
        <v>19259.401098570372</v>
      </c>
      <c r="AS720" s="164">
        <f t="shared" si="248"/>
        <v>21035.885167464116</v>
      </c>
      <c r="AT720" s="164">
        <f t="shared" si="239"/>
        <v>21035.885167464116</v>
      </c>
      <c r="AU720" s="152"/>
      <c r="AV720" s="147">
        <f>'Deterministic Reserve'!BC720</f>
        <v>7.8312166244170865E-11</v>
      </c>
      <c r="AW720" s="164">
        <f t="shared" si="240"/>
        <v>21035.885167464116</v>
      </c>
      <c r="AX720" s="164">
        <f t="shared" si="241"/>
        <v>1.6473657363277379E-6</v>
      </c>
      <c r="AY720" s="152"/>
    </row>
    <row r="721" spans="1:51" s="150" customFormat="1" x14ac:dyDescent="0.25">
      <c r="A721" s="150">
        <f t="shared" si="249"/>
        <v>717</v>
      </c>
      <c r="B721" s="150">
        <f t="shared" si="250"/>
        <v>60</v>
      </c>
      <c r="C721" s="150">
        <f t="shared" si="251"/>
        <v>9</v>
      </c>
      <c r="D721" s="150">
        <f>IF(E721="","",Input!$C$4+B721-1)</f>
        <v>104</v>
      </c>
      <c r="E721" s="150">
        <f>IF(OR(AND(C720=12,D720=Input!$C$6),E720=""),"",1)</f>
        <v>1</v>
      </c>
      <c r="F721" s="150">
        <f>IF(E721="","",Input!$C$8+B721-1)</f>
        <v>2077</v>
      </c>
      <c r="G721" s="151">
        <f>IF(E721="","",MAX(0,Input!$C$9-B721))</f>
        <v>0</v>
      </c>
      <c r="H721" s="152">
        <f>IF(E721="","",Input!$C$3)</f>
        <v>100000</v>
      </c>
      <c r="I721" s="153">
        <f>IF(E721="","",HLOOKUP($B721,Input!$C$13:$BT$14,2))</f>
        <v>1000</v>
      </c>
      <c r="J721" s="154"/>
      <c r="K721" s="155">
        <f>IF($E721="","",Input!$C$57)</f>
        <v>4.4999999999999998E-2</v>
      </c>
      <c r="L721" s="155">
        <f t="shared" si="242"/>
        <v>3.6748094004368514E-3</v>
      </c>
      <c r="M721" s="147">
        <f>IF($E721="","",VLOOKUP(IF($B721&lt;=Input!$C$7,$B721,26),'Mortality Tables'!$A$72:$CA$97,IF($B721&lt;=Input!$C$7+1,Input!$C$4-16,$D721-Input!$C$7-16),0)/1000)</f>
        <v>0.43964999999999999</v>
      </c>
      <c r="N721" s="147">
        <f t="shared" si="231"/>
        <v>4.7119847028618822E-2</v>
      </c>
      <c r="O721" s="157">
        <f>IF($E721="","",IF($C721=12,IF($B721&lt;Input!$C$9,Input!$C$54,IF($B721=Input!$C$9,Input!$C$55,Input!$C$56)),0%))</f>
        <v>0</v>
      </c>
      <c r="P721" s="167">
        <f>IF($E721="","",IF($B721=1,Input!$C$59,IF($B721&lt;6,Input!$C$60,0%)))</f>
        <v>0</v>
      </c>
      <c r="Q721" s="162">
        <f>IF($E721="","",Input!$C$58)</f>
        <v>2.5</v>
      </c>
      <c r="R721" s="156">
        <f t="shared" si="243"/>
        <v>0.95288015297138118</v>
      </c>
      <c r="S721" s="154">
        <f t="shared" si="232"/>
        <v>1.6618060202193014E-6</v>
      </c>
      <c r="T721" s="152"/>
      <c r="U721" s="150">
        <f t="shared" si="244"/>
        <v>0</v>
      </c>
      <c r="V721" s="150">
        <f t="shared" si="245"/>
        <v>0</v>
      </c>
      <c r="W721" s="168">
        <f t="shared" si="246"/>
        <v>0</v>
      </c>
      <c r="X721" s="163">
        <f t="shared" si="233"/>
        <v>4711.9847028618824</v>
      </c>
      <c r="Y721" s="152"/>
      <c r="Z721" s="164">
        <f>IF(AND($C720=12,$D720=Input!$C$6),0,IF($E721="","",V721+Z722/(1+L721)*R721))</f>
        <v>131854.58158124748</v>
      </c>
      <c r="AA721" s="164">
        <f>IF(OR($M721=1,AND($C720=12,$D720=Input!$C$6)),0,IF($E721="","",W721+(X721+AA722*$R721)/(1+$L721)))</f>
        <v>78835.642907721267</v>
      </c>
      <c r="AB721" s="160">
        <f t="shared" si="234"/>
        <v>0.825720328500681</v>
      </c>
      <c r="AC721" s="164">
        <f t="shared" si="235"/>
        <v>0</v>
      </c>
      <c r="AD721" s="164">
        <f>IF(AND($C720=12,$D720=Input!$C$6),0,IF($E721="","",$AC721+AD722/(1+$L721)*$R721))</f>
        <v>108875.00841758754</v>
      </c>
      <c r="AE721" s="152"/>
      <c r="AF721" s="164">
        <f>IF(AND($C720=12,$D720=Input!$C$6),0,IF($E721="","",IF($B721&gt;Input!$C$9,$AC721,0)+AF722/(1+$L721)*$R721))</f>
        <v>108875.00841758754</v>
      </c>
      <c r="AG721" s="164">
        <f>IF(AND($C720=12,$D720=Input!$C$6),0,IF($E721="","",(IF($B721&gt;Input!$C$9,$X721,0)+AG722)/(1+$L721)*$R721))</f>
        <v>74006.521552919017</v>
      </c>
      <c r="AH721" s="160">
        <f t="shared" si="236"/>
        <v>2.0950137211446997</v>
      </c>
      <c r="AI721" s="160">
        <f>IF($E721="","",MIN(Input!$C$61/AH721,1))</f>
        <v>0.64438718771845094</v>
      </c>
      <c r="AJ721" s="152"/>
      <c r="AK721" s="164">
        <f>IF(AND($C720=12,$D720=Input!$C$6),0,IF($E721="","",IF($B721&gt;Input!$C$9,$AC721*AI721,0)+AK722/(1+$L721)*$R721))</f>
        <v>70157.660487031899</v>
      </c>
      <c r="AL721" s="164">
        <f>IF(AND($C720=12,$D720=Input!$C$6),0,IF($E721="","",IF($B721&gt;Input!$C$9,0,$AC721)+AL722/(1+$L721)*$R721))</f>
        <v>0</v>
      </c>
      <c r="AM721" s="160">
        <f t="shared" si="237"/>
        <v>1.1382936520186004</v>
      </c>
      <c r="AN721" s="164">
        <f>IF($E721="","",IF($B721&gt;Input!$C$9,$AI721*$AC721,$AM721*$AC721))</f>
        <v>0</v>
      </c>
      <c r="AO721" s="164">
        <f>IF(AND($C720=12,$D720=Input!$C$6),0,IF($E721="","",$AN721+AO722/(1+$L721)*$R721))</f>
        <v>70157.660487031899</v>
      </c>
      <c r="AP721" s="152"/>
      <c r="AQ721" s="164">
        <f t="shared" si="238"/>
        <v>8677.9824206893682</v>
      </c>
      <c r="AR721" s="164">
        <f t="shared" si="247"/>
        <v>19259.401098570372</v>
      </c>
      <c r="AS721" s="164">
        <f t="shared" si="248"/>
        <v>21035.885167464116</v>
      </c>
      <c r="AT721" s="164">
        <f t="shared" si="239"/>
        <v>21035.885167464116</v>
      </c>
      <c r="AU721" s="152"/>
      <c r="AV721" s="147">
        <f>'Deterministic Reserve'!BC721</f>
        <v>6.9906668657066729E-11</v>
      </c>
      <c r="AW721" s="164">
        <f t="shared" si="240"/>
        <v>21035.885167464116</v>
      </c>
      <c r="AX721" s="164">
        <f t="shared" si="241"/>
        <v>1.4705486543100185E-6</v>
      </c>
      <c r="AY721" s="152"/>
    </row>
    <row r="722" spans="1:51" s="150" customFormat="1" x14ac:dyDescent="0.25">
      <c r="A722" s="150">
        <f t="shared" si="249"/>
        <v>718</v>
      </c>
      <c r="B722" s="150">
        <f t="shared" si="250"/>
        <v>60</v>
      </c>
      <c r="C722" s="150">
        <f t="shared" si="251"/>
        <v>10</v>
      </c>
      <c r="D722" s="150">
        <f>IF(E722="","",Input!$C$4+B722-1)</f>
        <v>104</v>
      </c>
      <c r="E722" s="150">
        <f>IF(OR(AND(C721=12,D721=Input!$C$6),E721=""),"",1)</f>
        <v>1</v>
      </c>
      <c r="F722" s="150">
        <f>IF(E722="","",Input!$C$8+B722-1)</f>
        <v>2077</v>
      </c>
      <c r="G722" s="151">
        <f>IF(E722="","",MAX(0,Input!$C$9-B722))</f>
        <v>0</v>
      </c>
      <c r="H722" s="152">
        <f>IF(E722="","",Input!$C$3)</f>
        <v>100000</v>
      </c>
      <c r="I722" s="153">
        <f>IF(E722="","",HLOOKUP($B722,Input!$C$13:$BT$14,2))</f>
        <v>1000</v>
      </c>
      <c r="J722" s="154"/>
      <c r="K722" s="155">
        <f>IF($E722="","",Input!$C$57)</f>
        <v>4.4999999999999998E-2</v>
      </c>
      <c r="L722" s="155">
        <f t="shared" si="242"/>
        <v>3.6748094004368514E-3</v>
      </c>
      <c r="M722" s="147">
        <f>IF($E722="","",VLOOKUP(IF($B722&lt;=Input!$C$7,$B722,26),'Mortality Tables'!$A$72:$CA$97,IF($B722&lt;=Input!$C$7+1,Input!$C$4-16,$D722-Input!$C$7-16),0)/1000)</f>
        <v>0.43964999999999999</v>
      </c>
      <c r="N722" s="147">
        <f t="shared" si="231"/>
        <v>4.7119847028618822E-2</v>
      </c>
      <c r="O722" s="157">
        <f>IF($E722="","",IF($C722=12,IF($B722&lt;Input!$C$9,Input!$C$54,IF($B722=Input!$C$9,Input!$C$55,Input!$C$56)),0%))</f>
        <v>0</v>
      </c>
      <c r="P722" s="167">
        <f>IF($E722="","",IF($B722=1,Input!$C$59,IF($B722&lt;6,Input!$C$60,0%)))</f>
        <v>0</v>
      </c>
      <c r="Q722" s="162">
        <f>IF($E722="","",Input!$C$58)</f>
        <v>2.5</v>
      </c>
      <c r="R722" s="156">
        <f t="shared" si="243"/>
        <v>0.95288015297138118</v>
      </c>
      <c r="S722" s="154">
        <f t="shared" si="232"/>
        <v>1.5835019747553301E-6</v>
      </c>
      <c r="T722" s="152"/>
      <c r="U722" s="150">
        <f t="shared" si="244"/>
        <v>0</v>
      </c>
      <c r="V722" s="150">
        <f t="shared" si="245"/>
        <v>0</v>
      </c>
      <c r="W722" s="168">
        <f t="shared" si="246"/>
        <v>0</v>
      </c>
      <c r="X722" s="163">
        <f t="shared" si="233"/>
        <v>4711.9847028618824</v>
      </c>
      <c r="Y722" s="152"/>
      <c r="Z722" s="164">
        <f>IF(AND($C721=12,$D721=Input!$C$6),0,IF($E722="","",V722+Z723/(1+L722)*R722))</f>
        <v>138883.28099232391</v>
      </c>
      <c r="AA722" s="164">
        <f>IF(OR($M722=1,AND($C721=12,$D721=Input!$C$6)),0,IF($E722="","",W722+(X722+AA723*$R722)/(1+$L722)))</f>
        <v>78093.099047620824</v>
      </c>
      <c r="AB722" s="160">
        <f t="shared" si="234"/>
        <v>0.825720328500681</v>
      </c>
      <c r="AC722" s="164">
        <f t="shared" si="235"/>
        <v>0</v>
      </c>
      <c r="AD722" s="164">
        <f>IF(AND($C721=12,$D721=Input!$C$6),0,IF($E722="","",$AC722+AD723/(1+$L722)*$R722))</f>
        <v>114678.74840423411</v>
      </c>
      <c r="AE722" s="152"/>
      <c r="AF722" s="164">
        <f>IF(AND($C721=12,$D721=Input!$C$6),0,IF($E722="","",IF($B722&gt;Input!$C$9,$AC722,0)+AF723/(1+$L722)*$R722))</f>
        <v>114678.74840423411</v>
      </c>
      <c r="AG722" s="164">
        <f>IF(AND($C721=12,$D721=Input!$C$6),0,IF($E722="","",(IF($B722&gt;Input!$C$9,$X722,0)+AG723)/(1+$L722)*$R722))</f>
        <v>73239.56165099128</v>
      </c>
      <c r="AH722" s="160">
        <f t="shared" si="236"/>
        <v>2.0950137211446997</v>
      </c>
      <c r="AI722" s="160">
        <f>IF($E722="","",MIN(Input!$C$61/AH722,1))</f>
        <v>0.64438718771845094</v>
      </c>
      <c r="AJ722" s="152"/>
      <c r="AK722" s="164">
        <f>IF(AND($C721=12,$D721=Input!$C$6),0,IF($E722="","",IF($B722&gt;Input!$C$9,$AC722*AI722,0)+AK723/(1+$L722)*$R722))</f>
        <v>73897.516175276207</v>
      </c>
      <c r="AL722" s="164">
        <f>IF(AND($C721=12,$D721=Input!$C$6),0,IF($E722="","",IF($B722&gt;Input!$C$9,0,$AC722)+AL723/(1+$L722)*$R722))</f>
        <v>0</v>
      </c>
      <c r="AM722" s="160">
        <f t="shared" si="237"/>
        <v>1.1382936520186004</v>
      </c>
      <c r="AN722" s="164">
        <f>IF($E722="","",IF($B722&gt;Input!$C$9,$AI722*$AC722,$AM722*$AC722))</f>
        <v>0</v>
      </c>
      <c r="AO722" s="164">
        <f>IF(AND($C721=12,$D721=Input!$C$6),0,IF($E722="","",$AN722+AO723/(1+$L722)*$R722))</f>
        <v>73897.516175276207</v>
      </c>
      <c r="AP722" s="152"/>
      <c r="AQ722" s="164">
        <f t="shared" si="238"/>
        <v>4195.5828723446175</v>
      </c>
      <c r="AR722" s="164">
        <f t="shared" si="247"/>
        <v>19259.401098570372</v>
      </c>
      <c r="AS722" s="164">
        <f t="shared" si="248"/>
        <v>21035.885167464116</v>
      </c>
      <c r="AT722" s="164">
        <f t="shared" si="239"/>
        <v>21035.885167464116</v>
      </c>
      <c r="AU722" s="152"/>
      <c r="AV722" s="147">
        <f>'Deterministic Reserve'!BC722</f>
        <v>6.2403360258121749E-11</v>
      </c>
      <c r="AW722" s="164">
        <f t="shared" si="240"/>
        <v>21035.885167464116</v>
      </c>
      <c r="AX722" s="164">
        <f t="shared" si="241"/>
        <v>1.312709920453743E-6</v>
      </c>
      <c r="AY722" s="152"/>
    </row>
    <row r="723" spans="1:51" s="150" customFormat="1" x14ac:dyDescent="0.25">
      <c r="A723" s="150">
        <f t="shared" si="249"/>
        <v>719</v>
      </c>
      <c r="B723" s="150">
        <f t="shared" si="250"/>
        <v>60</v>
      </c>
      <c r="C723" s="150">
        <f t="shared" si="251"/>
        <v>11</v>
      </c>
      <c r="D723" s="150">
        <f>IF(E723="","",Input!$C$4+B723-1)</f>
        <v>104</v>
      </c>
      <c r="E723" s="150">
        <f>IF(OR(AND(C722=12,D722=Input!$C$6),E722=""),"",1)</f>
        <v>1</v>
      </c>
      <c r="F723" s="150">
        <f>IF(E723="","",Input!$C$8+B723-1)</f>
        <v>2077</v>
      </c>
      <c r="G723" s="151">
        <f>IF(E723="","",MAX(0,Input!$C$9-B723))</f>
        <v>0</v>
      </c>
      <c r="H723" s="152">
        <f>IF(E723="","",Input!$C$3)</f>
        <v>100000</v>
      </c>
      <c r="I723" s="153">
        <f>IF(E723="","",HLOOKUP($B723,Input!$C$13:$BT$14,2))</f>
        <v>1000</v>
      </c>
      <c r="J723" s="154"/>
      <c r="K723" s="155">
        <f>IF($E723="","",Input!$C$57)</f>
        <v>4.4999999999999998E-2</v>
      </c>
      <c r="L723" s="155">
        <f t="shared" si="242"/>
        <v>3.6748094004368514E-3</v>
      </c>
      <c r="M723" s="147">
        <f>IF($E723="","",VLOOKUP(IF($B723&lt;=Input!$C$7,$B723,26),'Mortality Tables'!$A$72:$CA$97,IF($B723&lt;=Input!$C$7+1,Input!$C$4-16,$D723-Input!$C$7-16),0)/1000)</f>
        <v>0.43964999999999999</v>
      </c>
      <c r="N723" s="147">
        <f t="shared" si="231"/>
        <v>4.7119847028618822E-2</v>
      </c>
      <c r="O723" s="157">
        <f>IF($E723="","",IF($C723=12,IF($B723&lt;Input!$C$9,Input!$C$54,IF($B723=Input!$C$9,Input!$C$55,Input!$C$56)),0%))</f>
        <v>0</v>
      </c>
      <c r="P723" s="167">
        <f>IF($E723="","",IF($B723=1,Input!$C$59,IF($B723&lt;6,Input!$C$60,0%)))</f>
        <v>0</v>
      </c>
      <c r="Q723" s="162">
        <f>IF($E723="","",Input!$C$58)</f>
        <v>2.5</v>
      </c>
      <c r="R723" s="156">
        <f t="shared" si="243"/>
        <v>0.95288015297138118</v>
      </c>
      <c r="S723" s="154">
        <f t="shared" si="232"/>
        <v>1.5088876039353432E-6</v>
      </c>
      <c r="T723" s="152"/>
      <c r="U723" s="150">
        <f t="shared" si="244"/>
        <v>0</v>
      </c>
      <c r="V723" s="150">
        <f t="shared" si="245"/>
        <v>0</v>
      </c>
      <c r="W723" s="168">
        <f t="shared" si="246"/>
        <v>0</v>
      </c>
      <c r="X723" s="163">
        <f t="shared" si="233"/>
        <v>4711.9847028618824</v>
      </c>
      <c r="Y723" s="152"/>
      <c r="Z723" s="164">
        <f>IF(AND($C722=12,$D722=Input!$C$6),0,IF($E723="","",V723+Z724/(1+L723)*R723))</f>
        <v>146286.655403835</v>
      </c>
      <c r="AA723" s="164">
        <f>IF(OR($M723=1,AND($C722=12,$D722=Input!$C$6)),0,IF($E723="","",W723+(X723+AA724*$R723)/(1+$L723)))</f>
        <v>77310.972811772823</v>
      </c>
      <c r="AB723" s="160">
        <f t="shared" si="234"/>
        <v>0.825720328500681</v>
      </c>
      <c r="AC723" s="164">
        <f t="shared" si="235"/>
        <v>0</v>
      </c>
      <c r="AD723" s="164">
        <f>IF(AND($C722=12,$D722=Input!$C$6),0,IF($E723="","",$AC723+AD724/(1+$L723)*$R723))</f>
        <v>120791.86515532059</v>
      </c>
      <c r="AE723" s="152"/>
      <c r="AF723" s="164">
        <f>IF(AND($C722=12,$D722=Input!$C$6),0,IF($E723="","",IF($B723&gt;Input!$C$9,$AC723,0)+AF724/(1+$L723)*$R723))</f>
        <v>120791.86515532059</v>
      </c>
      <c r="AG723" s="164">
        <f>IF(AND($C722=12,$D722=Input!$C$6),0,IF($E723="","",(IF($B723&gt;Input!$C$9,$X723,0)+AG724)/(1+$L723)*$R723))</f>
        <v>72431.717840849291</v>
      </c>
      <c r="AH723" s="160">
        <f t="shared" si="236"/>
        <v>2.0950137211446997</v>
      </c>
      <c r="AI723" s="160">
        <f>IF($E723="","",MIN(Input!$C$61/AH723,1))</f>
        <v>0.64438718771845094</v>
      </c>
      <c r="AJ723" s="152"/>
      <c r="AK723" s="164">
        <f>IF(AND($C722=12,$D722=Input!$C$6),0,IF($E723="","",IF($B723&gt;Input!$C$9,$AC723*AI723,0)+AK724/(1+$L723)*$R723))</f>
        <v>77836.730286703372</v>
      </c>
      <c r="AL723" s="164">
        <f>IF(AND($C722=12,$D722=Input!$C$6),0,IF($E723="","",IF($B723&gt;Input!$C$9,0,$AC723)+AL724/(1+$L723)*$R723))</f>
        <v>0</v>
      </c>
      <c r="AM723" s="160">
        <f t="shared" si="237"/>
        <v>1.1382936520186004</v>
      </c>
      <c r="AN723" s="164">
        <f>IF($E723="","",IF($B723&gt;Input!$C$9,$AI723*$AC723,$AM723*$AC723))</f>
        <v>0</v>
      </c>
      <c r="AO723" s="164">
        <f>IF(AND($C722=12,$D722=Input!$C$6),0,IF($E723="","",$AN723+AO724/(1+$L723)*$R723))</f>
        <v>77836.730286703372</v>
      </c>
      <c r="AP723" s="152"/>
      <c r="AQ723" s="164">
        <f t="shared" si="238"/>
        <v>-525.75747493054951</v>
      </c>
      <c r="AR723" s="164">
        <f t="shared" si="247"/>
        <v>19259.401098570372</v>
      </c>
      <c r="AS723" s="164">
        <f t="shared" si="248"/>
        <v>21035.885167464116</v>
      </c>
      <c r="AT723" s="164">
        <f t="shared" si="239"/>
        <v>21035.885167464116</v>
      </c>
      <c r="AU723" s="152"/>
      <c r="AV723" s="147">
        <f>'Deterministic Reserve'!BC723</f>
        <v>5.570540616959114E-11</v>
      </c>
      <c r="AW723" s="164">
        <f t="shared" si="240"/>
        <v>21035.885167464116</v>
      </c>
      <c r="AX723" s="164">
        <f t="shared" si="241"/>
        <v>1.1718125273904663E-6</v>
      </c>
      <c r="AY723" s="152"/>
    </row>
    <row r="724" spans="1:51" s="150" customFormat="1" x14ac:dyDescent="0.25">
      <c r="A724" s="150">
        <f t="shared" si="249"/>
        <v>720</v>
      </c>
      <c r="B724" s="150">
        <f t="shared" si="250"/>
        <v>60</v>
      </c>
      <c r="C724" s="150">
        <f t="shared" si="251"/>
        <v>12</v>
      </c>
      <c r="D724" s="150">
        <f>IF(E724="","",Input!$C$4+B724-1)</f>
        <v>104</v>
      </c>
      <c r="E724" s="150">
        <f>IF(OR(AND(C723=12,D723=Input!$C$6),E723=""),"",1)</f>
        <v>1</v>
      </c>
      <c r="F724" s="150">
        <f>IF(E724="","",Input!$C$8+B724-1)</f>
        <v>2077</v>
      </c>
      <c r="G724" s="151">
        <f>IF(E724="","",MAX(0,Input!$C$9-B724))</f>
        <v>0</v>
      </c>
      <c r="H724" s="152">
        <f>IF(E724="","",Input!$C$3)</f>
        <v>100000</v>
      </c>
      <c r="I724" s="153">
        <f>IF(E724="","",HLOOKUP($B724,Input!$C$13:$BT$14,2))</f>
        <v>1000</v>
      </c>
      <c r="J724" s="154"/>
      <c r="K724" s="155">
        <f>IF($E724="","",Input!$C$57)</f>
        <v>4.4999999999999998E-2</v>
      </c>
      <c r="L724" s="155">
        <f t="shared" si="242"/>
        <v>3.6748094004368514E-3</v>
      </c>
      <c r="M724" s="147">
        <f>IF($E724="","",VLOOKUP(IF($B724&lt;=Input!$C$7,$B724,26),'Mortality Tables'!$A$72:$CA$97,IF($B724&lt;=Input!$C$7+1,Input!$C$4-16,$D724-Input!$C$7-16),0)/1000)</f>
        <v>0.43964999999999999</v>
      </c>
      <c r="N724" s="147">
        <f t="shared" si="231"/>
        <v>4.7119847028618822E-2</v>
      </c>
      <c r="O724" s="157">
        <f>IF($E724="","",IF($C724=12,IF($B724&lt;Input!$C$9,Input!$C$54,IF($B724=Input!$C$9,Input!$C$55,Input!$C$56)),0%))</f>
        <v>0.1</v>
      </c>
      <c r="P724" s="167">
        <f>IF($E724="","",IF($B724=1,Input!$C$59,IF($B724&lt;6,Input!$C$60,0%)))</f>
        <v>0</v>
      </c>
      <c r="Q724" s="162">
        <f>IF($E724="","",Input!$C$58)</f>
        <v>2.5</v>
      </c>
      <c r="R724" s="156">
        <f t="shared" si="243"/>
        <v>0.8528801529713812</v>
      </c>
      <c r="S724" s="154">
        <f t="shared" si="232"/>
        <v>1.2869002904609963E-6</v>
      </c>
      <c r="T724" s="152"/>
      <c r="U724" s="150">
        <f t="shared" si="244"/>
        <v>0</v>
      </c>
      <c r="V724" s="150">
        <f t="shared" si="245"/>
        <v>0</v>
      </c>
      <c r="W724" s="168">
        <f t="shared" si="246"/>
        <v>0</v>
      </c>
      <c r="X724" s="163">
        <f t="shared" si="233"/>
        <v>4711.9847028618824</v>
      </c>
      <c r="Y724" s="152"/>
      <c r="Z724" s="164">
        <f>IF(AND($C723=12,$D723=Input!$C$6),0,IF($E724="","",V724+Z725/(1+L724)*R724))</f>
        <v>154084.67740924939</v>
      </c>
      <c r="AA724" s="164">
        <f>IF(OR($M724=1,AND($C723=12,$D723=Input!$C$6)),0,IF($E724="","",W724+(X724+AA725*$R724)/(1+$L724)))</f>
        <v>76487.154204318431</v>
      </c>
      <c r="AB724" s="160">
        <f t="shared" si="234"/>
        <v>0.825720328500681</v>
      </c>
      <c r="AC724" s="164">
        <f t="shared" si="235"/>
        <v>0</v>
      </c>
      <c r="AD724" s="164">
        <f>IF(AND($C723=12,$D723=Input!$C$6),0,IF($E724="","",$AC724+AD725/(1+$L724)*$R724))</f>
        <v>127230.8504472869</v>
      </c>
      <c r="AE724" s="152"/>
      <c r="AF724" s="164">
        <f>IF(AND($C723=12,$D723=Input!$C$6),0,IF($E724="","",IF($B724&gt;Input!$C$9,$AC724,0)+AF725/(1+$L724)*$R724))</f>
        <v>127230.8504472869</v>
      </c>
      <c r="AG724" s="164">
        <f>IF(AND($C723=12,$D723=Input!$C$6),0,IF($E724="","",(IF($B724&gt;Input!$C$9,$X724,0)+AG725)/(1+$L724)*$R724))</f>
        <v>71580.81074656127</v>
      </c>
      <c r="AH724" s="160">
        <f t="shared" si="236"/>
        <v>2.0950137211446997</v>
      </c>
      <c r="AI724" s="160">
        <f>IF($E724="","",MIN(Input!$C$61/AH724,1))</f>
        <v>0.64438718771845094</v>
      </c>
      <c r="AJ724" s="152"/>
      <c r="AK724" s="164">
        <f>IF(AND($C723=12,$D723=Input!$C$6),0,IF($E724="","",IF($B724&gt;Input!$C$9,$AC724*AI724,0)+AK725/(1+$L724)*$R724))</f>
        <v>81985.929910754014</v>
      </c>
      <c r="AL724" s="164">
        <f>IF(AND($C723=12,$D723=Input!$C$6),0,IF($E724="","",IF($B724&gt;Input!$C$9,0,$AC724)+AL725/(1+$L724)*$R724))</f>
        <v>0</v>
      </c>
      <c r="AM724" s="160">
        <f t="shared" si="237"/>
        <v>1.1382936520186004</v>
      </c>
      <c r="AN724" s="164">
        <f>IF($E724="","",IF($B724&gt;Input!$C$9,$AI724*$AC724,$AM724*$AC724))</f>
        <v>0</v>
      </c>
      <c r="AO724" s="164">
        <f>IF(AND($C723=12,$D723=Input!$C$6),0,IF($E724="","",$AN724+AO725/(1+$L724)*$R724))</f>
        <v>81985.929910754014</v>
      </c>
      <c r="AP724" s="152"/>
      <c r="AQ724" s="164">
        <f t="shared" si="238"/>
        <v>-5498.7757064355828</v>
      </c>
      <c r="AR724" s="164">
        <f t="shared" si="247"/>
        <v>19259.401098570372</v>
      </c>
      <c r="AS724" s="164">
        <f t="shared" si="248"/>
        <v>21035.885167464116</v>
      </c>
      <c r="AT724" s="164">
        <f t="shared" si="239"/>
        <v>21035.885167464116</v>
      </c>
      <c r="AU724" s="152"/>
      <c r="AV724" s="147">
        <f>'Deterministic Reserve'!BC724</f>
        <v>4.4155824496773003E-11</v>
      </c>
      <c r="AW724" s="164">
        <f t="shared" si="240"/>
        <v>21035.885167464116</v>
      </c>
      <c r="AX724" s="164">
        <f t="shared" si="241"/>
        <v>9.2885685358881589E-7</v>
      </c>
      <c r="AY724" s="152"/>
    </row>
    <row r="725" spans="1:51" s="150" customFormat="1" x14ac:dyDescent="0.25">
      <c r="A725" s="150">
        <f t="shared" si="249"/>
        <v>721</v>
      </c>
      <c r="B725" s="150">
        <f t="shared" si="250"/>
        <v>61</v>
      </c>
      <c r="C725" s="150">
        <f t="shared" si="251"/>
        <v>1</v>
      </c>
      <c r="D725" s="150">
        <f>IF(E725="","",Input!$C$4+B725-1)</f>
        <v>105</v>
      </c>
      <c r="E725" s="150">
        <f>IF(OR(AND(C724=12,D724=Input!$C$6),E724=""),"",1)</f>
        <v>1</v>
      </c>
      <c r="F725" s="150">
        <f>IF(E725="","",Input!$C$8+B725-1)</f>
        <v>2078</v>
      </c>
      <c r="G725" s="151">
        <f>IF(E725="","",MAX(0,Input!$C$9-B725))</f>
        <v>0</v>
      </c>
      <c r="H725" s="152">
        <f>IF(E725="","",Input!$C$3)</f>
        <v>100000</v>
      </c>
      <c r="I725" s="153">
        <f>IF(E725="","",HLOOKUP($B725,Input!$C$13:$BT$14,2))</f>
        <v>1000</v>
      </c>
      <c r="J725" s="154"/>
      <c r="K725" s="155">
        <f>IF($E725="","",Input!$C$57)</f>
        <v>4.4999999999999998E-2</v>
      </c>
      <c r="L725" s="155">
        <f t="shared" si="242"/>
        <v>3.6748094004368514E-3</v>
      </c>
      <c r="M725" s="147">
        <f>IF($E725="","",VLOOKUP(IF($B725&lt;=Input!$C$7,$B725,26),'Mortality Tables'!$A$72:$CA$97,IF($B725&lt;=Input!$C$7+1,Input!$C$4-16,$D725-Input!$C$7-16),0)/1000)</f>
        <v>0.45935999999999999</v>
      </c>
      <c r="N725" s="147">
        <f t="shared" si="231"/>
        <v>4.9959000548418397E-2</v>
      </c>
      <c r="O725" s="157">
        <f>IF($E725="","",IF($C725=12,IF($B725&lt;Input!$C$9,Input!$C$54,IF($B725=Input!$C$9,Input!$C$55,Input!$C$56)),0%))</f>
        <v>0</v>
      </c>
      <c r="P725" s="167">
        <f>IF($E725="","",IF($B725=1,Input!$C$59,IF($B725&lt;6,Input!$C$60,0%)))</f>
        <v>0</v>
      </c>
      <c r="Q725" s="162">
        <f>IF($E725="","",Input!$C$58)</f>
        <v>2.5</v>
      </c>
      <c r="R725" s="156">
        <f t="shared" si="243"/>
        <v>0.9500409994515816</v>
      </c>
      <c r="S725" s="154">
        <f t="shared" si="232"/>
        <v>1.2226080381440956E-6</v>
      </c>
      <c r="T725" s="152"/>
      <c r="U725" s="150">
        <f t="shared" si="244"/>
        <v>100000</v>
      </c>
      <c r="V725" s="150">
        <f t="shared" si="245"/>
        <v>100000</v>
      </c>
      <c r="W725" s="168">
        <f t="shared" si="246"/>
        <v>0</v>
      </c>
      <c r="X725" s="163">
        <f t="shared" si="233"/>
        <v>4995.9000548418398</v>
      </c>
      <c r="Y725" s="152"/>
      <c r="Z725" s="164">
        <f>IF(AND($C724=12,$D724=Input!$C$6),0,IF($E725="","",V725+Z726/(1+L725)*R725))</f>
        <v>181327.83215960892</v>
      </c>
      <c r="AA725" s="164">
        <f>IF(OR($M725=1,AND($C724=12,$D724=Input!$C$6)),0,IF($E725="","",W725+(X725+AA726*$R725)/(1+$L725)))</f>
        <v>84485.78028659687</v>
      </c>
      <c r="AB725" s="160">
        <f t="shared" si="234"/>
        <v>0.825720328500681</v>
      </c>
      <c r="AC725" s="164">
        <f t="shared" si="235"/>
        <v>82572.032850068106</v>
      </c>
      <c r="AD725" s="164">
        <f>IF(AND($C724=12,$D724=Input!$C$6),0,IF($E725="","",$AC725+AD726/(1+$L725)*$R725))</f>
        <v>149726.07713714865</v>
      </c>
      <c r="AE725" s="152"/>
      <c r="AF725" s="164">
        <f>IF(AND($C724=12,$D724=Input!$C$6),0,IF($E725="","",IF($B725&gt;Input!$C$9,$AC725,0)+AF726/(1+$L725)*$R725))</f>
        <v>149726.07713714865</v>
      </c>
      <c r="AG725" s="164">
        <f>IF(AND($C724=12,$D724=Input!$C$6),0,IF($E725="","",(IF($B725&gt;Input!$C$9,$X725,0)+AG726)/(1+$L725)*$R725))</f>
        <v>79524.770405677235</v>
      </c>
      <c r="AH725" s="160">
        <f t="shared" si="236"/>
        <v>2.0950137211446997</v>
      </c>
      <c r="AI725" s="160">
        <f>IF($E725="","",MIN(Input!$C$61/AH725,1))</f>
        <v>0.64438718771845094</v>
      </c>
      <c r="AJ725" s="152"/>
      <c r="AK725" s="164">
        <f>IF(AND($C724=12,$D724=Input!$C$6),0,IF($E725="","",IF($B725&gt;Input!$C$9,$AC725*AI725,0)+AK726/(1+$L725)*$R725))</f>
        <v>96481.565774523071</v>
      </c>
      <c r="AL725" s="164">
        <f>IF(AND($C724=12,$D724=Input!$C$6),0,IF($E725="","",IF($B725&gt;Input!$C$9,0,$AC725)+AL726/(1+$L725)*$R725))</f>
        <v>0</v>
      </c>
      <c r="AM725" s="160">
        <f t="shared" si="237"/>
        <v>1.1382936520186004</v>
      </c>
      <c r="AN725" s="164">
        <f>IF($E725="","",IF($B725&gt;Input!$C$9,$AI725*$AC725,$AM725*$AC725))</f>
        <v>53208.360032450932</v>
      </c>
      <c r="AO725" s="164">
        <f>IF(AND($C724=12,$D724=Input!$C$6),0,IF($E725="","",$AN725+AO726/(1+$L725)*$R725))</f>
        <v>96481.565774523071</v>
      </c>
      <c r="AP725" s="152"/>
      <c r="AQ725" s="164">
        <f t="shared" si="238"/>
        <v>-11995.785487926201</v>
      </c>
      <c r="AR725" s="164">
        <f t="shared" si="247"/>
        <v>22917.985406515218</v>
      </c>
      <c r="AS725" s="164">
        <f t="shared" si="248"/>
        <v>21978.947368421053</v>
      </c>
      <c r="AT725" s="164">
        <f t="shared" si="239"/>
        <v>22917.985406515218</v>
      </c>
      <c r="AU725" s="152"/>
      <c r="AV725" s="147">
        <f>'Deterministic Reserve'!BC725</f>
        <v>3.9463848457688116E-11</v>
      </c>
      <c r="AW725" s="164">
        <f t="shared" si="240"/>
        <v>22917.985406515218</v>
      </c>
      <c r="AX725" s="164">
        <f t="shared" si="241"/>
        <v>9.0443190303822435E-7</v>
      </c>
      <c r="AY725" s="152"/>
    </row>
    <row r="726" spans="1:51" s="150" customFormat="1" x14ac:dyDescent="0.25">
      <c r="A726" s="150">
        <f t="shared" si="249"/>
        <v>722</v>
      </c>
      <c r="B726" s="150">
        <f t="shared" si="250"/>
        <v>61</v>
      </c>
      <c r="C726" s="150">
        <f t="shared" si="251"/>
        <v>2</v>
      </c>
      <c r="D726" s="150">
        <f>IF(E726="","",Input!$C$4+B726-1)</f>
        <v>105</v>
      </c>
      <c r="E726" s="150">
        <f>IF(OR(AND(C725=12,D725=Input!$C$6),E725=""),"",1)</f>
        <v>1</v>
      </c>
      <c r="F726" s="150">
        <f>IF(E726="","",Input!$C$8+B726-1)</f>
        <v>2078</v>
      </c>
      <c r="G726" s="151">
        <f>IF(E726="","",MAX(0,Input!$C$9-B726))</f>
        <v>0</v>
      </c>
      <c r="H726" s="152">
        <f>IF(E726="","",Input!$C$3)</f>
        <v>100000</v>
      </c>
      <c r="I726" s="153">
        <f>IF(E726="","",HLOOKUP($B726,Input!$C$13:$BT$14,2))</f>
        <v>1000</v>
      </c>
      <c r="J726" s="154"/>
      <c r="K726" s="155">
        <f>IF($E726="","",Input!$C$57)</f>
        <v>4.4999999999999998E-2</v>
      </c>
      <c r="L726" s="155">
        <f t="shared" si="242"/>
        <v>3.6748094004368514E-3</v>
      </c>
      <c r="M726" s="147">
        <f>IF($E726="","",VLOOKUP(IF($B726&lt;=Input!$C$7,$B726,26),'Mortality Tables'!$A$72:$CA$97,IF($B726&lt;=Input!$C$7+1,Input!$C$4-16,$D726-Input!$C$7-16),0)/1000)</f>
        <v>0.45935999999999999</v>
      </c>
      <c r="N726" s="147">
        <f t="shared" si="231"/>
        <v>4.9959000548418397E-2</v>
      </c>
      <c r="O726" s="157">
        <f>IF($E726="","",IF($C726=12,IF($B726&lt;Input!$C$9,Input!$C$54,IF($B726=Input!$C$9,Input!$C$55,Input!$C$56)),0%))</f>
        <v>0</v>
      </c>
      <c r="P726" s="167">
        <f>IF($E726="","",IF($B726=1,Input!$C$59,IF($B726&lt;6,Input!$C$60,0%)))</f>
        <v>0</v>
      </c>
      <c r="Q726" s="162">
        <f>IF($E726="","",Input!$C$58)</f>
        <v>2.5</v>
      </c>
      <c r="R726" s="156">
        <f t="shared" si="243"/>
        <v>0.9500409994515816</v>
      </c>
      <c r="S726" s="154">
        <f t="shared" si="232"/>
        <v>1.161527762495954E-6</v>
      </c>
      <c r="T726" s="152"/>
      <c r="U726" s="150">
        <f t="shared" si="244"/>
        <v>0</v>
      </c>
      <c r="V726" s="150">
        <f t="shared" si="245"/>
        <v>0</v>
      </c>
      <c r="W726" s="168">
        <f t="shared" si="246"/>
        <v>0</v>
      </c>
      <c r="X726" s="163">
        <f t="shared" si="233"/>
        <v>4995.9000548418398</v>
      </c>
      <c r="Y726" s="152"/>
      <c r="Z726" s="164">
        <f>IF(AND($C725=12,$D725=Input!$C$6),0,IF($E726="","",V726+Z727/(1+L726)*R726))</f>
        <v>85919.130320550204</v>
      </c>
      <c r="AA726" s="164">
        <f>IF(OR($M726=1,AND($C725=12,$D725=Input!$C$6)),0,IF($E726="","",W726+(X726+AA727*$R726)/(1+$L726)))</f>
        <v>83996.742685232341</v>
      </c>
      <c r="AB726" s="160">
        <f t="shared" si="234"/>
        <v>0.825720328500681</v>
      </c>
      <c r="AC726" s="164">
        <f t="shared" si="235"/>
        <v>0</v>
      </c>
      <c r="AD726" s="164">
        <f>IF(AND($C725=12,$D725=Input!$C$6),0,IF($E726="","",$AC726+AD727/(1+$L726)*$R726))</f>
        <v>70945.172512777572</v>
      </c>
      <c r="AE726" s="152"/>
      <c r="AF726" s="164">
        <f>IF(AND($C725=12,$D725=Input!$C$6),0,IF($E726="","",IF($B726&gt;Input!$C$9,$AC726,0)+AF727/(1+$L726)*$R726))</f>
        <v>70945.172512777572</v>
      </c>
      <c r="AG726" s="164">
        <f>IF(AND($C725=12,$D725=Input!$C$6),0,IF($E726="","",(IF($B726&gt;Input!$C$9,$X726,0)+AG727)/(1+$L726)*$R726))</f>
        <v>79018.37809273976</v>
      </c>
      <c r="AH726" s="160">
        <f t="shared" si="236"/>
        <v>2.0950137211446997</v>
      </c>
      <c r="AI726" s="160">
        <f>IF($E726="","",MIN(Input!$C$61/AH726,1))</f>
        <v>0.64438718771845094</v>
      </c>
      <c r="AJ726" s="152"/>
      <c r="AK726" s="164">
        <f>IF(AND($C725=12,$D725=Input!$C$6),0,IF($E726="","",IF($B726&gt;Input!$C$9,$AC726*AI726,0)+AK727/(1+$L726)*$R726))</f>
        <v>45716.160197709076</v>
      </c>
      <c r="AL726" s="164">
        <f>IF(AND($C725=12,$D725=Input!$C$6),0,IF($E726="","",IF($B726&gt;Input!$C$9,0,$AC726)+AL727/(1+$L726)*$R726))</f>
        <v>0</v>
      </c>
      <c r="AM726" s="160">
        <f t="shared" si="237"/>
        <v>1.1382936520186004</v>
      </c>
      <c r="AN726" s="164">
        <f>IF($E726="","",IF($B726&gt;Input!$C$9,$AI726*$AC726,$AM726*$AC726))</f>
        <v>0</v>
      </c>
      <c r="AO726" s="164">
        <f>IF(AND($C725=12,$D725=Input!$C$6),0,IF($E726="","",$AN726+AO727/(1+$L726)*$R726))</f>
        <v>45716.160197709076</v>
      </c>
      <c r="AP726" s="152"/>
      <c r="AQ726" s="164">
        <f t="shared" si="238"/>
        <v>38280.582487523265</v>
      </c>
      <c r="AR726" s="164">
        <f t="shared" si="247"/>
        <v>22917.985406515218</v>
      </c>
      <c r="AS726" s="164">
        <f t="shared" si="248"/>
        <v>21978.947368421053</v>
      </c>
      <c r="AT726" s="164">
        <f t="shared" si="239"/>
        <v>22917.985406515218</v>
      </c>
      <c r="AU726" s="152"/>
      <c r="AV726" s="147">
        <f>'Deterministic Reserve'!BC726</f>
        <v>3.5270439468414641E-11</v>
      </c>
      <c r="AW726" s="164">
        <f t="shared" si="240"/>
        <v>22917.985406515218</v>
      </c>
      <c r="AX726" s="164">
        <f t="shared" si="241"/>
        <v>8.0832741701850512E-7</v>
      </c>
      <c r="AY726" s="152"/>
    </row>
    <row r="727" spans="1:51" s="150" customFormat="1" x14ac:dyDescent="0.25">
      <c r="A727" s="150">
        <f t="shared" si="249"/>
        <v>723</v>
      </c>
      <c r="B727" s="150">
        <f t="shared" si="250"/>
        <v>61</v>
      </c>
      <c r="C727" s="150">
        <f t="shared" si="251"/>
        <v>3</v>
      </c>
      <c r="D727" s="150">
        <f>IF(E727="","",Input!$C$4+B727-1)</f>
        <v>105</v>
      </c>
      <c r="E727" s="150">
        <f>IF(OR(AND(C726=12,D726=Input!$C$6),E726=""),"",1)</f>
        <v>1</v>
      </c>
      <c r="F727" s="150">
        <f>IF(E727="","",Input!$C$8+B727-1)</f>
        <v>2078</v>
      </c>
      <c r="G727" s="151">
        <f>IF(E727="","",MAX(0,Input!$C$9-B727))</f>
        <v>0</v>
      </c>
      <c r="H727" s="152">
        <f>IF(E727="","",Input!$C$3)</f>
        <v>100000</v>
      </c>
      <c r="I727" s="153">
        <f>IF(E727="","",HLOOKUP($B727,Input!$C$13:$BT$14,2))</f>
        <v>1000</v>
      </c>
      <c r="J727" s="154"/>
      <c r="K727" s="155">
        <f>IF($E727="","",Input!$C$57)</f>
        <v>4.4999999999999998E-2</v>
      </c>
      <c r="L727" s="155">
        <f t="shared" si="242"/>
        <v>3.6748094004368514E-3</v>
      </c>
      <c r="M727" s="147">
        <f>IF($E727="","",VLOOKUP(IF($B727&lt;=Input!$C$7,$B727,26),'Mortality Tables'!$A$72:$CA$97,IF($B727&lt;=Input!$C$7+1,Input!$C$4-16,$D727-Input!$C$7-16),0)/1000)</f>
        <v>0.45935999999999999</v>
      </c>
      <c r="N727" s="147">
        <f t="shared" si="231"/>
        <v>4.9959000548418397E-2</v>
      </c>
      <c r="O727" s="157">
        <f>IF($E727="","",IF($C727=12,IF($B727&lt;Input!$C$9,Input!$C$54,IF($B727=Input!$C$9,Input!$C$55,Input!$C$56)),0%))</f>
        <v>0</v>
      </c>
      <c r="P727" s="167">
        <f>IF($E727="","",IF($B727=1,Input!$C$59,IF($B727&lt;6,Input!$C$60,0%)))</f>
        <v>0</v>
      </c>
      <c r="Q727" s="162">
        <f>IF($E727="","",Input!$C$58)</f>
        <v>2.5</v>
      </c>
      <c r="R727" s="156">
        <f t="shared" si="243"/>
        <v>0.9500409994515816</v>
      </c>
      <c r="S727" s="154">
        <f t="shared" si="232"/>
        <v>1.1034989963724155E-6</v>
      </c>
      <c r="T727" s="152"/>
      <c r="U727" s="150">
        <f t="shared" si="244"/>
        <v>0</v>
      </c>
      <c r="V727" s="150">
        <f t="shared" si="245"/>
        <v>0</v>
      </c>
      <c r="W727" s="168">
        <f t="shared" si="246"/>
        <v>0</v>
      </c>
      <c r="X727" s="163">
        <f t="shared" si="233"/>
        <v>4995.9000548418398</v>
      </c>
      <c r="Y727" s="152"/>
      <c r="Z727" s="164">
        <f>IF(AND($C726=12,$D726=Input!$C$6),0,IF($E727="","",V727+Z728/(1+L727)*R727))</f>
        <v>90769.626572020832</v>
      </c>
      <c r="AA727" s="164">
        <f>IF(OR($M727=1,AND($C726=12,$D726=Input!$C$6)),0,IF($E727="","",W727+(X727+AA728*$R727)/(1+$L727)))</f>
        <v>83480.096854554999</v>
      </c>
      <c r="AB727" s="160">
        <f t="shared" si="234"/>
        <v>0.825720328500681</v>
      </c>
      <c r="AC727" s="164">
        <f t="shared" si="235"/>
        <v>0</v>
      </c>
      <c r="AD727" s="164">
        <f>IF(AND($C726=12,$D726=Input!$C$6),0,IF($E727="","",$AC727+AD728/(1+$L727)*$R727))</f>
        <v>74950.325870933229</v>
      </c>
      <c r="AE727" s="152"/>
      <c r="AF727" s="164">
        <f>IF(AND($C726=12,$D726=Input!$C$6),0,IF($E727="","",IF($B727&gt;Input!$C$9,$AC727,0)+AF728/(1+$L727)*$R727))</f>
        <v>74950.325870933229</v>
      </c>
      <c r="AG727" s="164">
        <f>IF(AND($C726=12,$D726=Input!$C$6),0,IF($E727="","",(IF($B727&gt;Input!$C$9,$X727,0)+AG728)/(1+$L727)*$R727))</f>
        <v>78483.397804033535</v>
      </c>
      <c r="AH727" s="160">
        <f t="shared" si="236"/>
        <v>2.0950137211446997</v>
      </c>
      <c r="AI727" s="160">
        <f>IF($E727="","",MIN(Input!$C$61/AH727,1))</f>
        <v>0.64438718771845094</v>
      </c>
      <c r="AJ727" s="152"/>
      <c r="AK727" s="164">
        <f>IF(AND($C726=12,$D726=Input!$C$6),0,IF($E727="","",IF($B727&gt;Input!$C$9,$AC727*AI727,0)+AK728/(1+$L727)*$R727))</f>
        <v>48297.029706552108</v>
      </c>
      <c r="AL727" s="164">
        <f>IF(AND($C726=12,$D726=Input!$C$6),0,IF($E727="","",IF($B727&gt;Input!$C$9,0,$AC727)+AL728/(1+$L727)*$R727))</f>
        <v>0</v>
      </c>
      <c r="AM727" s="160">
        <f t="shared" si="237"/>
        <v>1.1382936520186004</v>
      </c>
      <c r="AN727" s="164">
        <f>IF($E727="","",IF($B727&gt;Input!$C$9,$AI727*$AC727,$AM727*$AC727))</f>
        <v>0</v>
      </c>
      <c r="AO727" s="164">
        <f>IF(AND($C726=12,$D726=Input!$C$6),0,IF($E727="","",$AN727+AO728/(1+$L727)*$R727))</f>
        <v>48297.029706552108</v>
      </c>
      <c r="AP727" s="152"/>
      <c r="AQ727" s="164">
        <f t="shared" si="238"/>
        <v>35183.06714800289</v>
      </c>
      <c r="AR727" s="164">
        <f t="shared" si="247"/>
        <v>22917.985406515218</v>
      </c>
      <c r="AS727" s="164">
        <f t="shared" si="248"/>
        <v>21978.947368421053</v>
      </c>
      <c r="AT727" s="164">
        <f t="shared" si="239"/>
        <v>22917.985406515218</v>
      </c>
      <c r="AU727" s="152"/>
      <c r="AV727" s="147">
        <f>'Deterministic Reserve'!BC727</f>
        <v>3.1522620041197522E-11</v>
      </c>
      <c r="AW727" s="164">
        <f t="shared" si="240"/>
        <v>22917.985406515218</v>
      </c>
      <c r="AX727" s="164">
        <f t="shared" si="241"/>
        <v>7.2243494607928894E-7</v>
      </c>
      <c r="AY727" s="152"/>
    </row>
    <row r="728" spans="1:51" s="150" customFormat="1" x14ac:dyDescent="0.25">
      <c r="A728" s="150">
        <f t="shared" si="249"/>
        <v>724</v>
      </c>
      <c r="B728" s="150">
        <f t="shared" si="250"/>
        <v>61</v>
      </c>
      <c r="C728" s="150">
        <f t="shared" si="251"/>
        <v>4</v>
      </c>
      <c r="D728" s="150">
        <f>IF(E728="","",Input!$C$4+B728-1)</f>
        <v>105</v>
      </c>
      <c r="E728" s="150">
        <f>IF(OR(AND(C727=12,D727=Input!$C$6),E727=""),"",1)</f>
        <v>1</v>
      </c>
      <c r="F728" s="150">
        <f>IF(E728="","",Input!$C$8+B728-1)</f>
        <v>2078</v>
      </c>
      <c r="G728" s="151">
        <f>IF(E728="","",MAX(0,Input!$C$9-B728))</f>
        <v>0</v>
      </c>
      <c r="H728" s="152">
        <f>IF(E728="","",Input!$C$3)</f>
        <v>100000</v>
      </c>
      <c r="I728" s="153">
        <f>IF(E728="","",HLOOKUP($B728,Input!$C$13:$BT$14,2))</f>
        <v>1000</v>
      </c>
      <c r="J728" s="154"/>
      <c r="K728" s="155">
        <f>IF($E728="","",Input!$C$57)</f>
        <v>4.4999999999999998E-2</v>
      </c>
      <c r="L728" s="155">
        <f t="shared" si="242"/>
        <v>3.6748094004368514E-3</v>
      </c>
      <c r="M728" s="147">
        <f>IF($E728="","",VLOOKUP(IF($B728&lt;=Input!$C$7,$B728,26),'Mortality Tables'!$A$72:$CA$97,IF($B728&lt;=Input!$C$7+1,Input!$C$4-16,$D728-Input!$C$7-16),0)/1000)</f>
        <v>0.45935999999999999</v>
      </c>
      <c r="N728" s="147">
        <f t="shared" si="231"/>
        <v>4.9959000548418397E-2</v>
      </c>
      <c r="O728" s="157">
        <f>IF($E728="","",IF($C728=12,IF($B728&lt;Input!$C$9,Input!$C$54,IF($B728=Input!$C$9,Input!$C$55,Input!$C$56)),0%))</f>
        <v>0</v>
      </c>
      <c r="P728" s="167">
        <f>IF($E728="","",IF($B728=1,Input!$C$59,IF($B728&lt;6,Input!$C$60,0%)))</f>
        <v>0</v>
      </c>
      <c r="Q728" s="162">
        <f>IF($E728="","",Input!$C$58)</f>
        <v>2.5</v>
      </c>
      <c r="R728" s="156">
        <f t="shared" si="243"/>
        <v>0.9500409994515816</v>
      </c>
      <c r="S728" s="154">
        <f t="shared" si="232"/>
        <v>1.0483692894074668E-6</v>
      </c>
      <c r="T728" s="152"/>
      <c r="U728" s="150">
        <f t="shared" si="244"/>
        <v>0</v>
      </c>
      <c r="V728" s="150">
        <f t="shared" si="245"/>
        <v>0</v>
      </c>
      <c r="W728" s="168">
        <f t="shared" si="246"/>
        <v>0</v>
      </c>
      <c r="X728" s="163">
        <f t="shared" si="233"/>
        <v>4995.9000548418398</v>
      </c>
      <c r="Y728" s="152"/>
      <c r="Z728" s="164">
        <f>IF(AND($C727=12,$D727=Input!$C$6),0,IF($E728="","",V728+Z729/(1+L728)*R728))</f>
        <v>95893.953736324896</v>
      </c>
      <c r="AA728" s="164">
        <f>IF(OR($M728=1,AND($C727=12,$D727=Input!$C$6)),0,IF($E728="","",W728+(X728+AA729*$R728)/(1+$L728)))</f>
        <v>82934.284193909887</v>
      </c>
      <c r="AB728" s="160">
        <f t="shared" si="234"/>
        <v>0.825720328500681</v>
      </c>
      <c r="AC728" s="164">
        <f t="shared" si="235"/>
        <v>0</v>
      </c>
      <c r="AD728" s="164">
        <f>IF(AND($C727=12,$D727=Input!$C$6),0,IF($E728="","",$AC728+AD729/(1+$L728)*$R728))</f>
        <v>79181.58698038735</v>
      </c>
      <c r="AE728" s="152"/>
      <c r="AF728" s="164">
        <f>IF(AND($C727=12,$D727=Input!$C$6),0,IF($E728="","",IF($B728&gt;Input!$C$9,$AC728,0)+AF729/(1+$L728)*$R728))</f>
        <v>79181.58698038735</v>
      </c>
      <c r="AG728" s="164">
        <f>IF(AND($C727=12,$D727=Input!$C$6),0,IF($E728="","",(IF($B728&gt;Input!$C$9,$X728,0)+AG729)/(1+$L728)*$R728))</f>
        <v>77918.215628095684</v>
      </c>
      <c r="AH728" s="160">
        <f t="shared" si="236"/>
        <v>2.0950137211446997</v>
      </c>
      <c r="AI728" s="160">
        <f>IF($E728="","",MIN(Input!$C$61/AH728,1))</f>
        <v>0.64438718771845094</v>
      </c>
      <c r="AJ728" s="152"/>
      <c r="AK728" s="164">
        <f>IF(AND($C727=12,$D727=Input!$C$6),0,IF($E728="","",IF($B728&gt;Input!$C$9,$AC728*AI728,0)+AK729/(1+$L728)*$R728))</f>
        <v>51023.600153375701</v>
      </c>
      <c r="AL728" s="164">
        <f>IF(AND($C727=12,$D727=Input!$C$6),0,IF($E728="","",IF($B728&gt;Input!$C$9,0,$AC728)+AL729/(1+$L728)*$R728))</f>
        <v>0</v>
      </c>
      <c r="AM728" s="160">
        <f t="shared" si="237"/>
        <v>1.1382936520186004</v>
      </c>
      <c r="AN728" s="164">
        <f>IF($E728="","",IF($B728&gt;Input!$C$9,$AI728*$AC728,$AM728*$AC728))</f>
        <v>0</v>
      </c>
      <c r="AO728" s="164">
        <f>IF(AND($C727=12,$D727=Input!$C$6),0,IF($E728="","",$AN728+AO729/(1+$L728)*$R728))</f>
        <v>51023.600153375701</v>
      </c>
      <c r="AP728" s="152"/>
      <c r="AQ728" s="164">
        <f t="shared" si="238"/>
        <v>31910.684040534186</v>
      </c>
      <c r="AR728" s="164">
        <f t="shared" si="247"/>
        <v>22917.985406515218</v>
      </c>
      <c r="AS728" s="164">
        <f t="shared" si="248"/>
        <v>21978.947368421053</v>
      </c>
      <c r="AT728" s="164">
        <f t="shared" si="239"/>
        <v>22917.985406515218</v>
      </c>
      <c r="AU728" s="152"/>
      <c r="AV728" s="147">
        <f>'Deterministic Reserve'!BC728</f>
        <v>2.8173042049888923E-11</v>
      </c>
      <c r="AW728" s="164">
        <f t="shared" si="240"/>
        <v>22917.985406515218</v>
      </c>
      <c r="AX728" s="164">
        <f t="shared" si="241"/>
        <v>6.4566936655649394E-7</v>
      </c>
      <c r="AY728" s="152"/>
    </row>
    <row r="729" spans="1:51" s="150" customFormat="1" x14ac:dyDescent="0.25">
      <c r="A729" s="150">
        <f t="shared" si="249"/>
        <v>725</v>
      </c>
      <c r="B729" s="150">
        <f t="shared" si="250"/>
        <v>61</v>
      </c>
      <c r="C729" s="150">
        <f t="shared" si="251"/>
        <v>5</v>
      </c>
      <c r="D729" s="150">
        <f>IF(E729="","",Input!$C$4+B729-1)</f>
        <v>105</v>
      </c>
      <c r="E729" s="150">
        <f>IF(OR(AND(C728=12,D728=Input!$C$6),E728=""),"",1)</f>
        <v>1</v>
      </c>
      <c r="F729" s="150">
        <f>IF(E729="","",Input!$C$8+B729-1)</f>
        <v>2078</v>
      </c>
      <c r="G729" s="151">
        <f>IF(E729="","",MAX(0,Input!$C$9-B729))</f>
        <v>0</v>
      </c>
      <c r="H729" s="152">
        <f>IF(E729="","",Input!$C$3)</f>
        <v>100000</v>
      </c>
      <c r="I729" s="153">
        <f>IF(E729="","",HLOOKUP($B729,Input!$C$13:$BT$14,2))</f>
        <v>1000</v>
      </c>
      <c r="J729" s="154"/>
      <c r="K729" s="155">
        <f>IF($E729="","",Input!$C$57)</f>
        <v>4.4999999999999998E-2</v>
      </c>
      <c r="L729" s="155">
        <f t="shared" si="242"/>
        <v>3.6748094004368514E-3</v>
      </c>
      <c r="M729" s="147">
        <f>IF($E729="","",VLOOKUP(IF($B729&lt;=Input!$C$7,$B729,26),'Mortality Tables'!$A$72:$CA$97,IF($B729&lt;=Input!$C$7+1,Input!$C$4-16,$D729-Input!$C$7-16),0)/1000)</f>
        <v>0.45935999999999999</v>
      </c>
      <c r="N729" s="147">
        <f t="shared" si="231"/>
        <v>4.9959000548418397E-2</v>
      </c>
      <c r="O729" s="157">
        <f>IF($E729="","",IF($C729=12,IF($B729&lt;Input!$C$9,Input!$C$54,IF($B729=Input!$C$9,Input!$C$55,Input!$C$56)),0%))</f>
        <v>0</v>
      </c>
      <c r="P729" s="167">
        <f>IF($E729="","",IF($B729=1,Input!$C$59,IF($B729&lt;6,Input!$C$60,0%)))</f>
        <v>0</v>
      </c>
      <c r="Q729" s="162">
        <f>IF($E729="","",Input!$C$58)</f>
        <v>2.5</v>
      </c>
      <c r="R729" s="156">
        <f t="shared" si="243"/>
        <v>0.9500409994515816</v>
      </c>
      <c r="S729" s="154">
        <f t="shared" si="232"/>
        <v>9.9599380750301407E-7</v>
      </c>
      <c r="T729" s="152"/>
      <c r="U729" s="150">
        <f t="shared" si="244"/>
        <v>0</v>
      </c>
      <c r="V729" s="150">
        <f t="shared" si="245"/>
        <v>0</v>
      </c>
      <c r="W729" s="168">
        <f t="shared" si="246"/>
        <v>0</v>
      </c>
      <c r="X729" s="163">
        <f t="shared" si="233"/>
        <v>4995.9000548418398</v>
      </c>
      <c r="Y729" s="152"/>
      <c r="Z729" s="164">
        <f>IF(AND($C728=12,$D728=Input!$C$6),0,IF($E729="","",V729+Z730/(1+L729)*R729))</f>
        <v>101307.57072012591</v>
      </c>
      <c r="AA729" s="164">
        <f>IF(OR($M729=1,AND($C728=12,$D728=Input!$C$6)),0,IF($E729="","",W729+(X729+AA730*$R729)/(1+$L729)))</f>
        <v>82357.658113080164</v>
      </c>
      <c r="AB729" s="160">
        <f t="shared" si="234"/>
        <v>0.825720328500681</v>
      </c>
      <c r="AC729" s="164">
        <f t="shared" si="235"/>
        <v>0</v>
      </c>
      <c r="AD729" s="164">
        <f>IF(AND($C728=12,$D728=Input!$C$6),0,IF($E729="","",$AC729+AD730/(1+$L729)*$R729))</f>
        <v>83651.720574628387</v>
      </c>
      <c r="AE729" s="152"/>
      <c r="AF729" s="164">
        <f>IF(AND($C728=12,$D728=Input!$C$6),0,IF($E729="","",IF($B729&gt;Input!$C$9,$AC729,0)+AF730/(1+$L729)*$R729))</f>
        <v>83651.720574628387</v>
      </c>
      <c r="AG729" s="164">
        <f>IF(AND($C728=12,$D728=Input!$C$6),0,IF($E729="","",(IF($B729&gt;Input!$C$9,$X729,0)+AG730)/(1+$L729)*$R729))</f>
        <v>77321.126541373742</v>
      </c>
      <c r="AH729" s="160">
        <f t="shared" si="236"/>
        <v>2.0950137211446997</v>
      </c>
      <c r="AI729" s="160">
        <f>IF($E729="","",MIN(Input!$C$61/AH729,1))</f>
        <v>0.64438718771845094</v>
      </c>
      <c r="AJ729" s="152"/>
      <c r="AK729" s="164">
        <f>IF(AND($C728=12,$D728=Input!$C$6),0,IF($E729="","",IF($B729&gt;Input!$C$9,$AC729*AI729,0)+AK730/(1+$L729)*$R729))</f>
        <v>53904.096968894453</v>
      </c>
      <c r="AL729" s="164">
        <f>IF(AND($C728=12,$D728=Input!$C$6),0,IF($E729="","",IF($B729&gt;Input!$C$9,0,$AC729)+AL730/(1+$L729)*$R729))</f>
        <v>0</v>
      </c>
      <c r="AM729" s="160">
        <f t="shared" si="237"/>
        <v>1.1382936520186004</v>
      </c>
      <c r="AN729" s="164">
        <f>IF($E729="","",IF($B729&gt;Input!$C$9,$AI729*$AC729,$AM729*$AC729))</f>
        <v>0</v>
      </c>
      <c r="AO729" s="164">
        <f>IF(AND($C728=12,$D728=Input!$C$6),0,IF($E729="","",$AN729+AO730/(1+$L729)*$R729))</f>
        <v>53904.096968894453</v>
      </c>
      <c r="AP729" s="152"/>
      <c r="AQ729" s="164">
        <f t="shared" si="238"/>
        <v>28453.561144185711</v>
      </c>
      <c r="AR729" s="164">
        <f t="shared" si="247"/>
        <v>22917.985406515218</v>
      </c>
      <c r="AS729" s="164">
        <f t="shared" si="248"/>
        <v>21978.947368421053</v>
      </c>
      <c r="AT729" s="164">
        <f t="shared" si="239"/>
        <v>22917.985406515218</v>
      </c>
      <c r="AU729" s="152"/>
      <c r="AV729" s="147">
        <f>'Deterministic Reserve'!BC729</f>
        <v>2.5179388556772281E-11</v>
      </c>
      <c r="AW729" s="164">
        <f t="shared" si="240"/>
        <v>22917.985406515218</v>
      </c>
      <c r="AX729" s="164">
        <f t="shared" si="241"/>
        <v>5.7706085948908344E-7</v>
      </c>
      <c r="AY729" s="152"/>
    </row>
    <row r="730" spans="1:51" s="150" customFormat="1" x14ac:dyDescent="0.25">
      <c r="A730" s="150">
        <f t="shared" si="249"/>
        <v>726</v>
      </c>
      <c r="B730" s="150">
        <f t="shared" si="250"/>
        <v>61</v>
      </c>
      <c r="C730" s="150">
        <f t="shared" si="251"/>
        <v>6</v>
      </c>
      <c r="D730" s="150">
        <f>IF(E730="","",Input!$C$4+B730-1)</f>
        <v>105</v>
      </c>
      <c r="E730" s="150">
        <f>IF(OR(AND(C729=12,D729=Input!$C$6),E729=""),"",1)</f>
        <v>1</v>
      </c>
      <c r="F730" s="150">
        <f>IF(E730="","",Input!$C$8+B730-1)</f>
        <v>2078</v>
      </c>
      <c r="G730" s="151">
        <f>IF(E730="","",MAX(0,Input!$C$9-B730))</f>
        <v>0</v>
      </c>
      <c r="H730" s="152">
        <f>IF(E730="","",Input!$C$3)</f>
        <v>100000</v>
      </c>
      <c r="I730" s="153">
        <f>IF(E730="","",HLOOKUP($B730,Input!$C$13:$BT$14,2))</f>
        <v>1000</v>
      </c>
      <c r="J730" s="154"/>
      <c r="K730" s="155">
        <f>IF($E730="","",Input!$C$57)</f>
        <v>4.4999999999999998E-2</v>
      </c>
      <c r="L730" s="155">
        <f t="shared" si="242"/>
        <v>3.6748094004368514E-3</v>
      </c>
      <c r="M730" s="147">
        <f>IF($E730="","",VLOOKUP(IF($B730&lt;=Input!$C$7,$B730,26),'Mortality Tables'!$A$72:$CA$97,IF($B730&lt;=Input!$C$7+1,Input!$C$4-16,$D730-Input!$C$7-16),0)/1000)</f>
        <v>0.45935999999999999</v>
      </c>
      <c r="N730" s="147">
        <f t="shared" si="231"/>
        <v>4.9959000548418397E-2</v>
      </c>
      <c r="O730" s="157">
        <f>IF($E730="","",IF($C730=12,IF($B730&lt;Input!$C$9,Input!$C$54,IF($B730=Input!$C$9,Input!$C$55,Input!$C$56)),0%))</f>
        <v>0</v>
      </c>
      <c r="P730" s="167">
        <f>IF($E730="","",IF($B730=1,Input!$C$59,IF($B730&lt;6,Input!$C$60,0%)))</f>
        <v>0</v>
      </c>
      <c r="Q730" s="162">
        <f>IF($E730="","",Input!$C$58)</f>
        <v>2.5</v>
      </c>
      <c r="R730" s="156">
        <f t="shared" si="243"/>
        <v>0.9500409994515816</v>
      </c>
      <c r="S730" s="154">
        <f t="shared" si="232"/>
        <v>9.4623495232774965E-7</v>
      </c>
      <c r="T730" s="152"/>
      <c r="U730" s="150">
        <f t="shared" si="244"/>
        <v>0</v>
      </c>
      <c r="V730" s="150">
        <f t="shared" si="245"/>
        <v>0</v>
      </c>
      <c r="W730" s="168">
        <f t="shared" si="246"/>
        <v>0</v>
      </c>
      <c r="X730" s="163">
        <f t="shared" si="233"/>
        <v>4995.9000548418398</v>
      </c>
      <c r="Y730" s="152"/>
      <c r="Z730" s="164">
        <f>IF(AND($C729=12,$D729=Input!$C$6),0,IF($E730="","",V730+Z731/(1+L730)*R730))</f>
        <v>107026.80915038311</v>
      </c>
      <c r="AA730" s="164">
        <f>IF(OR($M730=1,AND($C729=12,$D729=Input!$C$6)),0,IF($E730="","",W730+(X730+AA731*$R730)/(1+$L730)))</f>
        <v>81748.479064906263</v>
      </c>
      <c r="AB730" s="160">
        <f t="shared" si="234"/>
        <v>0.825720328500681</v>
      </c>
      <c r="AC730" s="164">
        <f t="shared" si="235"/>
        <v>0</v>
      </c>
      <c r="AD730" s="164">
        <f>IF(AND($C729=12,$D729=Input!$C$6),0,IF($E730="","",$AC730+AD731/(1+$L730)*$R730))</f>
        <v>88374.212010034084</v>
      </c>
      <c r="AE730" s="152"/>
      <c r="AF730" s="164">
        <f>IF(AND($C729=12,$D729=Input!$C$6),0,IF($E730="","",IF($B730&gt;Input!$C$9,$AC730,0)+AF731/(1+$L730)*$R730))</f>
        <v>88374.212010034084</v>
      </c>
      <c r="AG730" s="164">
        <f>IF(AND($C729=12,$D729=Input!$C$6),0,IF($E730="","",(IF($B730&gt;Input!$C$9,$X730,0)+AG731)/(1+$L730)*$R730))</f>
        <v>76690.329264564993</v>
      </c>
      <c r="AH730" s="160">
        <f t="shared" si="236"/>
        <v>2.0950137211446997</v>
      </c>
      <c r="AI730" s="160">
        <f>IF($E730="","",MIN(Input!$C$61/AH730,1))</f>
        <v>0.64438718771845094</v>
      </c>
      <c r="AJ730" s="152"/>
      <c r="AK730" s="164">
        <f>IF(AND($C729=12,$D729=Input!$C$6),0,IF($E730="","",IF($B730&gt;Input!$C$9,$AC730*AI730,0)+AK731/(1+$L730)*$R730))</f>
        <v>56947.20994398</v>
      </c>
      <c r="AL730" s="164">
        <f>IF(AND($C729=12,$D729=Input!$C$6),0,IF($E730="","",IF($B730&gt;Input!$C$9,0,$AC730)+AL731/(1+$L730)*$R730))</f>
        <v>0</v>
      </c>
      <c r="AM730" s="160">
        <f t="shared" si="237"/>
        <v>1.1382936520186004</v>
      </c>
      <c r="AN730" s="164">
        <f>IF($E730="","",IF($B730&gt;Input!$C$9,$AI730*$AC730,$AM730*$AC730))</f>
        <v>0</v>
      </c>
      <c r="AO730" s="164">
        <f>IF(AND($C729=12,$D729=Input!$C$6),0,IF($E730="","",$AN730+AO731/(1+$L730)*$R730))</f>
        <v>56947.20994398</v>
      </c>
      <c r="AP730" s="152"/>
      <c r="AQ730" s="164">
        <f t="shared" si="238"/>
        <v>24801.269120926263</v>
      </c>
      <c r="AR730" s="164">
        <f t="shared" si="247"/>
        <v>22917.985406515218</v>
      </c>
      <c r="AS730" s="164">
        <f t="shared" si="248"/>
        <v>21978.947368421053</v>
      </c>
      <c r="AT730" s="164">
        <f t="shared" si="239"/>
        <v>22917.985406515218</v>
      </c>
      <c r="AU730" s="152"/>
      <c r="AV730" s="147">
        <f>'Deterministic Reserve'!BC730</f>
        <v>2.2503839200971717E-11</v>
      </c>
      <c r="AW730" s="164">
        <f t="shared" si="240"/>
        <v>22917.985406515218</v>
      </c>
      <c r="AX730" s="164">
        <f t="shared" si="241"/>
        <v>5.1574265839843492E-7</v>
      </c>
      <c r="AY730" s="152"/>
    </row>
    <row r="731" spans="1:51" s="150" customFormat="1" x14ac:dyDescent="0.25">
      <c r="A731" s="150">
        <f t="shared" si="249"/>
        <v>727</v>
      </c>
      <c r="B731" s="150">
        <f t="shared" si="250"/>
        <v>61</v>
      </c>
      <c r="C731" s="150">
        <f t="shared" si="251"/>
        <v>7</v>
      </c>
      <c r="D731" s="150">
        <f>IF(E731="","",Input!$C$4+B731-1)</f>
        <v>105</v>
      </c>
      <c r="E731" s="150">
        <f>IF(OR(AND(C730=12,D730=Input!$C$6),E730=""),"",1)</f>
        <v>1</v>
      </c>
      <c r="F731" s="150">
        <f>IF(E731="","",Input!$C$8+B731-1)</f>
        <v>2078</v>
      </c>
      <c r="G731" s="151">
        <f>IF(E731="","",MAX(0,Input!$C$9-B731))</f>
        <v>0</v>
      </c>
      <c r="H731" s="152">
        <f>IF(E731="","",Input!$C$3)</f>
        <v>100000</v>
      </c>
      <c r="I731" s="153">
        <f>IF(E731="","",HLOOKUP($B731,Input!$C$13:$BT$14,2))</f>
        <v>1000</v>
      </c>
      <c r="J731" s="154"/>
      <c r="K731" s="155">
        <f>IF($E731="","",Input!$C$57)</f>
        <v>4.4999999999999998E-2</v>
      </c>
      <c r="L731" s="155">
        <f t="shared" si="242"/>
        <v>3.6748094004368514E-3</v>
      </c>
      <c r="M731" s="147">
        <f>IF($E731="","",VLOOKUP(IF($B731&lt;=Input!$C$7,$B731,26),'Mortality Tables'!$A$72:$CA$97,IF($B731&lt;=Input!$C$7+1,Input!$C$4-16,$D731-Input!$C$7-16),0)/1000)</f>
        <v>0.45935999999999999</v>
      </c>
      <c r="N731" s="147">
        <f t="shared" si="231"/>
        <v>4.9959000548418397E-2</v>
      </c>
      <c r="O731" s="157">
        <f>IF($E731="","",IF($C731=12,IF($B731&lt;Input!$C$9,Input!$C$54,IF($B731=Input!$C$9,Input!$C$55,Input!$C$56)),0%))</f>
        <v>0</v>
      </c>
      <c r="P731" s="167">
        <f>IF($E731="","",IF($B731=1,Input!$C$59,IF($B731&lt;6,Input!$C$60,0%)))</f>
        <v>0</v>
      </c>
      <c r="Q731" s="162">
        <f>IF($E731="","",Input!$C$58)</f>
        <v>2.5</v>
      </c>
      <c r="R731" s="156">
        <f t="shared" si="243"/>
        <v>0.9500409994515816</v>
      </c>
      <c r="S731" s="154">
        <f t="shared" si="232"/>
        <v>8.989619998254749E-7</v>
      </c>
      <c r="T731" s="152"/>
      <c r="U731" s="150">
        <f t="shared" si="244"/>
        <v>0</v>
      </c>
      <c r="V731" s="150">
        <f t="shared" si="245"/>
        <v>0</v>
      </c>
      <c r="W731" s="168">
        <f t="shared" si="246"/>
        <v>0</v>
      </c>
      <c r="X731" s="163">
        <f t="shared" si="233"/>
        <v>4995.9000548418398</v>
      </c>
      <c r="Y731" s="152"/>
      <c r="Z731" s="164">
        <f>IF(AND($C730=12,$D730=Input!$C$6),0,IF($E731="","",V731+Z732/(1+L731)*R731))</f>
        <v>113068.92264308254</v>
      </c>
      <c r="AA731" s="164">
        <f>IF(OR($M731=1,AND($C730=12,$D730=Input!$C$6)),0,IF($E731="","",W731+(X731+AA732*$R731)/(1+$L731)))</f>
        <v>81104.909297475548</v>
      </c>
      <c r="AB731" s="160">
        <f t="shared" si="234"/>
        <v>0.825720328500681</v>
      </c>
      <c r="AC731" s="164">
        <f t="shared" si="235"/>
        <v>0</v>
      </c>
      <c r="AD731" s="164">
        <f>IF(AND($C730=12,$D730=Input!$C$6),0,IF($E731="","",$AC731+AD732/(1+$L731)*$R731))</f>
        <v>93363.307948064263</v>
      </c>
      <c r="AE731" s="152"/>
      <c r="AF731" s="164">
        <f>IF(AND($C730=12,$D730=Input!$C$6),0,IF($E731="","",IF($B731&gt;Input!$C$9,$AC731,0)+AF732/(1+$L731)*$R731))</f>
        <v>93363.307948064263</v>
      </c>
      <c r="AG731" s="164">
        <f>IF(AND($C730=12,$D730=Input!$C$6),0,IF($E731="","",(IF($B731&gt;Input!$C$9,$X731,0)+AG732)/(1+$L731)*$R731))</f>
        <v>76023.920828574526</v>
      </c>
      <c r="AH731" s="160">
        <f t="shared" si="236"/>
        <v>2.0950137211446997</v>
      </c>
      <c r="AI731" s="160">
        <f>IF($E731="","",MIN(Input!$C$61/AH731,1))</f>
        <v>0.64438718771845094</v>
      </c>
      <c r="AJ731" s="152"/>
      <c r="AK731" s="164">
        <f>IF(AND($C730=12,$D730=Input!$C$6),0,IF($E731="","",IF($B731&gt;Input!$C$9,$AC731*AI731,0)+AK732/(1+$L731)*$R731))</f>
        <v>60162.119444744807</v>
      </c>
      <c r="AL731" s="164">
        <f>IF(AND($C730=12,$D730=Input!$C$6),0,IF($E731="","",IF($B731&gt;Input!$C$9,0,$AC731)+AL732/(1+$L731)*$R731))</f>
        <v>0</v>
      </c>
      <c r="AM731" s="160">
        <f t="shared" si="237"/>
        <v>1.1382936520186004</v>
      </c>
      <c r="AN731" s="164">
        <f>IF($E731="","",IF($B731&gt;Input!$C$9,$AI731*$AC731,$AM731*$AC731))</f>
        <v>0</v>
      </c>
      <c r="AO731" s="164">
        <f>IF(AND($C730=12,$D730=Input!$C$6),0,IF($E731="","",$AN731+AO732/(1+$L731)*$R731))</f>
        <v>60162.119444744807</v>
      </c>
      <c r="AP731" s="152"/>
      <c r="AQ731" s="164">
        <f t="shared" si="238"/>
        <v>20942.789852730741</v>
      </c>
      <c r="AR731" s="164">
        <f t="shared" si="247"/>
        <v>22917.985406515218</v>
      </c>
      <c r="AS731" s="164">
        <f t="shared" si="248"/>
        <v>21978.947368421053</v>
      </c>
      <c r="AT731" s="164">
        <f t="shared" si="239"/>
        <v>22917.985406515218</v>
      </c>
      <c r="AU731" s="152"/>
      <c r="AV731" s="147">
        <f>'Deterministic Reserve'!BC731</f>
        <v>2.0112592394424256E-11</v>
      </c>
      <c r="AW731" s="164">
        <f t="shared" si="240"/>
        <v>22917.985406515218</v>
      </c>
      <c r="AX731" s="164">
        <f t="shared" si="241"/>
        <v>4.6094009898260405E-7</v>
      </c>
      <c r="AY731" s="152"/>
    </row>
    <row r="732" spans="1:51" s="150" customFormat="1" x14ac:dyDescent="0.25">
      <c r="A732" s="150">
        <f t="shared" si="249"/>
        <v>728</v>
      </c>
      <c r="B732" s="150">
        <f t="shared" si="250"/>
        <v>61</v>
      </c>
      <c r="C732" s="150">
        <f t="shared" si="251"/>
        <v>8</v>
      </c>
      <c r="D732" s="150">
        <f>IF(E732="","",Input!$C$4+B732-1)</f>
        <v>105</v>
      </c>
      <c r="E732" s="150">
        <f>IF(OR(AND(C731=12,D731=Input!$C$6),E731=""),"",1)</f>
        <v>1</v>
      </c>
      <c r="F732" s="150">
        <f>IF(E732="","",Input!$C$8+B732-1)</f>
        <v>2078</v>
      </c>
      <c r="G732" s="151">
        <f>IF(E732="","",MAX(0,Input!$C$9-B732))</f>
        <v>0</v>
      </c>
      <c r="H732" s="152">
        <f>IF(E732="","",Input!$C$3)</f>
        <v>100000</v>
      </c>
      <c r="I732" s="153">
        <f>IF(E732="","",HLOOKUP($B732,Input!$C$13:$BT$14,2))</f>
        <v>1000</v>
      </c>
      <c r="J732" s="154"/>
      <c r="K732" s="155">
        <f>IF($E732="","",Input!$C$57)</f>
        <v>4.4999999999999998E-2</v>
      </c>
      <c r="L732" s="155">
        <f t="shared" si="242"/>
        <v>3.6748094004368514E-3</v>
      </c>
      <c r="M732" s="147">
        <f>IF($E732="","",VLOOKUP(IF($B732&lt;=Input!$C$7,$B732,26),'Mortality Tables'!$A$72:$CA$97,IF($B732&lt;=Input!$C$7+1,Input!$C$4-16,$D732-Input!$C$7-16),0)/1000)</f>
        <v>0.45935999999999999</v>
      </c>
      <c r="N732" s="147">
        <f t="shared" si="231"/>
        <v>4.9959000548418397E-2</v>
      </c>
      <c r="O732" s="157">
        <f>IF($E732="","",IF($C732=12,IF($B732&lt;Input!$C$9,Input!$C$54,IF($B732=Input!$C$9,Input!$C$55,Input!$C$56)),0%))</f>
        <v>0</v>
      </c>
      <c r="P732" s="167">
        <f>IF($E732="","",IF($B732=1,Input!$C$59,IF($B732&lt;6,Input!$C$60,0%)))</f>
        <v>0</v>
      </c>
      <c r="Q732" s="162">
        <f>IF($E732="","",Input!$C$58)</f>
        <v>2.5</v>
      </c>
      <c r="R732" s="156">
        <f t="shared" si="243"/>
        <v>0.9500409994515816</v>
      </c>
      <c r="S732" s="154">
        <f t="shared" si="232"/>
        <v>8.5405075678318666E-7</v>
      </c>
      <c r="T732" s="152"/>
      <c r="U732" s="150">
        <f t="shared" si="244"/>
        <v>0</v>
      </c>
      <c r="V732" s="150">
        <f t="shared" si="245"/>
        <v>0</v>
      </c>
      <c r="W732" s="168">
        <f t="shared" si="246"/>
        <v>0</v>
      </c>
      <c r="X732" s="163">
        <f t="shared" si="233"/>
        <v>4995.9000548418398</v>
      </c>
      <c r="Y732" s="152"/>
      <c r="Z732" s="164">
        <f>IF(AND($C731=12,$D731=Input!$C$6),0,IF($E732="","",V732+Z733/(1+L732)*R732))</f>
        <v>119452.13885339512</v>
      </c>
      <c r="AA732" s="164">
        <f>IF(OR($M732=1,AND($C731=12,$D731=Input!$C$6)),0,IF($E732="","",W732+(X732+AA733*$R732)/(1+$L732)))</f>
        <v>80425.007310051034</v>
      </c>
      <c r="AB732" s="160">
        <f t="shared" si="234"/>
        <v>0.825720328500681</v>
      </c>
      <c r="AC732" s="164">
        <f t="shared" si="235"/>
        <v>0</v>
      </c>
      <c r="AD732" s="164">
        <f>IF(AND($C731=12,$D731=Input!$C$6),0,IF($E732="","",$AC732+AD733/(1+$L732)*$R732))</f>
        <v>98634.059334134436</v>
      </c>
      <c r="AE732" s="152"/>
      <c r="AF732" s="164">
        <f>IF(AND($C731=12,$D731=Input!$C$6),0,IF($E732="","",IF($B732&gt;Input!$C$9,$AC732,0)+AF733/(1+$L732)*$R732))</f>
        <v>98634.059334134436</v>
      </c>
      <c r="AG732" s="164">
        <f>IF(AND($C731=12,$D731=Input!$C$6),0,IF($E732="","",(IF($B732&gt;Input!$C$9,$X732,0)+AG733)/(1+$L732)*$R732))</f>
        <v>75319.890833698868</v>
      </c>
      <c r="AH732" s="160">
        <f t="shared" si="236"/>
        <v>2.0950137211446997</v>
      </c>
      <c r="AI732" s="160">
        <f>IF($E732="","",MIN(Input!$C$61/AH732,1))</f>
        <v>0.64438718771845094</v>
      </c>
      <c r="AJ732" s="152"/>
      <c r="AK732" s="164">
        <f>IF(AND($C731=12,$D731=Input!$C$6),0,IF($E732="","",IF($B732&gt;Input!$C$9,$AC732*AI732,0)+AK733/(1+$L732)*$R732))</f>
        <v>63558.524107577694</v>
      </c>
      <c r="AL732" s="164">
        <f>IF(AND($C731=12,$D731=Input!$C$6),0,IF($E732="","",IF($B732&gt;Input!$C$9,0,$AC732)+AL733/(1+$L732)*$R732))</f>
        <v>0</v>
      </c>
      <c r="AM732" s="160">
        <f t="shared" si="237"/>
        <v>1.1382936520186004</v>
      </c>
      <c r="AN732" s="164">
        <f>IF($E732="","",IF($B732&gt;Input!$C$9,$AI732*$AC732,$AM732*$AC732))</f>
        <v>0</v>
      </c>
      <c r="AO732" s="164">
        <f>IF(AND($C731=12,$D731=Input!$C$6),0,IF($E732="","",$AN732+AO733/(1+$L732)*$R732))</f>
        <v>63558.524107577694</v>
      </c>
      <c r="AP732" s="152"/>
      <c r="AQ732" s="164">
        <f t="shared" si="238"/>
        <v>16866.48320247334</v>
      </c>
      <c r="AR732" s="164">
        <f t="shared" si="247"/>
        <v>22917.985406515218</v>
      </c>
      <c r="AS732" s="164">
        <f t="shared" si="248"/>
        <v>21978.947368421053</v>
      </c>
      <c r="AT732" s="164">
        <f t="shared" si="239"/>
        <v>22917.985406515218</v>
      </c>
      <c r="AU732" s="152"/>
      <c r="AV732" s="147">
        <f>'Deterministic Reserve'!BC732</f>
        <v>1.7975438289071379E-11</v>
      </c>
      <c r="AW732" s="164">
        <f t="shared" si="240"/>
        <v>22917.985406515218</v>
      </c>
      <c r="AX732" s="164">
        <f t="shared" si="241"/>
        <v>4.1196083238465274E-7</v>
      </c>
      <c r="AY732" s="152"/>
    </row>
    <row r="733" spans="1:51" s="150" customFormat="1" x14ac:dyDescent="0.25">
      <c r="A733" s="150">
        <f t="shared" si="249"/>
        <v>729</v>
      </c>
      <c r="B733" s="150">
        <f t="shared" si="250"/>
        <v>61</v>
      </c>
      <c r="C733" s="150">
        <f t="shared" si="251"/>
        <v>9</v>
      </c>
      <c r="D733" s="150">
        <f>IF(E733="","",Input!$C$4+B733-1)</f>
        <v>105</v>
      </c>
      <c r="E733" s="150">
        <f>IF(OR(AND(C732=12,D732=Input!$C$6),E732=""),"",1)</f>
        <v>1</v>
      </c>
      <c r="F733" s="150">
        <f>IF(E733="","",Input!$C$8+B733-1)</f>
        <v>2078</v>
      </c>
      <c r="G733" s="151">
        <f>IF(E733="","",MAX(0,Input!$C$9-B733))</f>
        <v>0</v>
      </c>
      <c r="H733" s="152">
        <f>IF(E733="","",Input!$C$3)</f>
        <v>100000</v>
      </c>
      <c r="I733" s="153">
        <f>IF(E733="","",HLOOKUP($B733,Input!$C$13:$BT$14,2))</f>
        <v>1000</v>
      </c>
      <c r="J733" s="154"/>
      <c r="K733" s="155">
        <f>IF($E733="","",Input!$C$57)</f>
        <v>4.4999999999999998E-2</v>
      </c>
      <c r="L733" s="155">
        <f t="shared" si="242"/>
        <v>3.6748094004368514E-3</v>
      </c>
      <c r="M733" s="147">
        <f>IF($E733="","",VLOOKUP(IF($B733&lt;=Input!$C$7,$B733,26),'Mortality Tables'!$A$72:$CA$97,IF($B733&lt;=Input!$C$7+1,Input!$C$4-16,$D733-Input!$C$7-16),0)/1000)</f>
        <v>0.45935999999999999</v>
      </c>
      <c r="N733" s="147">
        <f t="shared" si="231"/>
        <v>4.9959000548418397E-2</v>
      </c>
      <c r="O733" s="157">
        <f>IF($E733="","",IF($C733=12,IF($B733&lt;Input!$C$9,Input!$C$54,IF($B733=Input!$C$9,Input!$C$55,Input!$C$56)),0%))</f>
        <v>0</v>
      </c>
      <c r="P733" s="167">
        <f>IF($E733="","",IF($B733=1,Input!$C$59,IF($B733&lt;6,Input!$C$60,0%)))</f>
        <v>0</v>
      </c>
      <c r="Q733" s="162">
        <f>IF($E733="","",Input!$C$58)</f>
        <v>2.5</v>
      </c>
      <c r="R733" s="156">
        <f t="shared" si="243"/>
        <v>0.9500409994515816</v>
      </c>
      <c r="S733" s="154">
        <f t="shared" si="232"/>
        <v>8.1138323455667835E-7</v>
      </c>
      <c r="T733" s="152"/>
      <c r="U733" s="150">
        <f t="shared" si="244"/>
        <v>0</v>
      </c>
      <c r="V733" s="150">
        <f t="shared" si="245"/>
        <v>0</v>
      </c>
      <c r="W733" s="168">
        <f t="shared" si="246"/>
        <v>0</v>
      </c>
      <c r="X733" s="163">
        <f t="shared" si="233"/>
        <v>4995.9000548418398</v>
      </c>
      <c r="Y733" s="152"/>
      <c r="Z733" s="164">
        <f>IF(AND($C732=12,$D732=Input!$C$6),0,IF($E733="","",V733+Z734/(1+L733)*R733))</f>
        <v>126195.71446428515</v>
      </c>
      <c r="AA733" s="164">
        <f>IF(OR($M733=1,AND($C732=12,$D732=Input!$C$6)),0,IF($E733="","",W733+(X733+AA734*$R733)/(1+$L733)))</f>
        <v>79706.721996013861</v>
      </c>
      <c r="AB733" s="160">
        <f t="shared" si="234"/>
        <v>0.825720328500681</v>
      </c>
      <c r="AC733" s="164">
        <f t="shared" si="235"/>
        <v>0</v>
      </c>
      <c r="AD733" s="164">
        <f>IF(AND($C732=12,$D732=Input!$C$6),0,IF($E733="","",$AC733+AD734/(1+$L733)*$R733))</f>
        <v>104202.36680282773</v>
      </c>
      <c r="AE733" s="152"/>
      <c r="AF733" s="164">
        <f>IF(AND($C732=12,$D732=Input!$C$6),0,IF($E733="","",IF($B733&gt;Input!$C$9,$AC733,0)+AF734/(1+$L733)*$R733))</f>
        <v>104202.36680282773</v>
      </c>
      <c r="AG733" s="164">
        <f>IF(AND($C732=12,$D732=Input!$C$6),0,IF($E733="","",(IF($B733&gt;Input!$C$9,$X733,0)+AG734)/(1+$L733)*$R733))</f>
        <v>74576.11538471622</v>
      </c>
      <c r="AH733" s="160">
        <f t="shared" si="236"/>
        <v>2.0950137211446997</v>
      </c>
      <c r="AI733" s="160">
        <f>IF($E733="","",MIN(Input!$C$61/AH733,1))</f>
        <v>0.64438718771845094</v>
      </c>
      <c r="AJ733" s="152"/>
      <c r="AK733" s="164">
        <f>IF(AND($C732=12,$D732=Input!$C$6),0,IF($E733="","",IF($B733&gt;Input!$C$9,$AC733*AI733,0)+AK734/(1+$L733)*$R733))</f>
        <v>67146.670097680602</v>
      </c>
      <c r="AL733" s="164">
        <f>IF(AND($C732=12,$D732=Input!$C$6),0,IF($E733="","",IF($B733&gt;Input!$C$9,0,$AC733)+AL734/(1+$L733)*$R733))</f>
        <v>0</v>
      </c>
      <c r="AM733" s="160">
        <f t="shared" si="237"/>
        <v>1.1382936520186004</v>
      </c>
      <c r="AN733" s="164">
        <f>IF($E733="","",IF($B733&gt;Input!$C$9,$AI733*$AC733,$AM733*$AC733))</f>
        <v>0</v>
      </c>
      <c r="AO733" s="164">
        <f>IF(AND($C732=12,$D732=Input!$C$6),0,IF($E733="","",$AN733+AO734/(1+$L733)*$R733))</f>
        <v>67146.670097680602</v>
      </c>
      <c r="AP733" s="152"/>
      <c r="AQ733" s="164">
        <f t="shared" si="238"/>
        <v>12560.051898333259</v>
      </c>
      <c r="AR733" s="164">
        <f t="shared" si="247"/>
        <v>22917.985406515218</v>
      </c>
      <c r="AS733" s="164">
        <f t="shared" si="248"/>
        <v>21978.947368421053</v>
      </c>
      <c r="AT733" s="164">
        <f t="shared" si="239"/>
        <v>22917.985406515218</v>
      </c>
      <c r="AU733" s="152"/>
      <c r="AV733" s="147">
        <f>'Deterministic Reserve'!BC733</f>
        <v>1.6065377120345253E-11</v>
      </c>
      <c r="AW733" s="164">
        <f t="shared" si="240"/>
        <v>22917.985406515218</v>
      </c>
      <c r="AX733" s="164">
        <f t="shared" si="241"/>
        <v>3.68186078394236E-7</v>
      </c>
      <c r="AY733" s="152"/>
    </row>
    <row r="734" spans="1:51" s="150" customFormat="1" x14ac:dyDescent="0.25">
      <c r="A734" s="150">
        <f t="shared" si="249"/>
        <v>730</v>
      </c>
      <c r="B734" s="150">
        <f t="shared" si="250"/>
        <v>61</v>
      </c>
      <c r="C734" s="150">
        <f t="shared" si="251"/>
        <v>10</v>
      </c>
      <c r="D734" s="150">
        <f>IF(E734="","",Input!$C$4+B734-1)</f>
        <v>105</v>
      </c>
      <c r="E734" s="150">
        <f>IF(OR(AND(C733=12,D733=Input!$C$6),E733=""),"",1)</f>
        <v>1</v>
      </c>
      <c r="F734" s="150">
        <f>IF(E734="","",Input!$C$8+B734-1)</f>
        <v>2078</v>
      </c>
      <c r="G734" s="151">
        <f>IF(E734="","",MAX(0,Input!$C$9-B734))</f>
        <v>0</v>
      </c>
      <c r="H734" s="152">
        <f>IF(E734="","",Input!$C$3)</f>
        <v>100000</v>
      </c>
      <c r="I734" s="153">
        <f>IF(E734="","",HLOOKUP($B734,Input!$C$13:$BT$14,2))</f>
        <v>1000</v>
      </c>
      <c r="J734" s="154"/>
      <c r="K734" s="155">
        <f>IF($E734="","",Input!$C$57)</f>
        <v>4.4999999999999998E-2</v>
      </c>
      <c r="L734" s="155">
        <f t="shared" si="242"/>
        <v>3.6748094004368514E-3</v>
      </c>
      <c r="M734" s="147">
        <f>IF($E734="","",VLOOKUP(IF($B734&lt;=Input!$C$7,$B734,26),'Mortality Tables'!$A$72:$CA$97,IF($B734&lt;=Input!$C$7+1,Input!$C$4-16,$D734-Input!$C$7-16),0)/1000)</f>
        <v>0.45935999999999999</v>
      </c>
      <c r="N734" s="147">
        <f t="shared" si="231"/>
        <v>4.9959000548418397E-2</v>
      </c>
      <c r="O734" s="157">
        <f>IF($E734="","",IF($C734=12,IF($B734&lt;Input!$C$9,Input!$C$54,IF($B734=Input!$C$9,Input!$C$55,Input!$C$56)),0%))</f>
        <v>0</v>
      </c>
      <c r="P734" s="167">
        <f>IF($E734="","",IF($B734=1,Input!$C$59,IF($B734&lt;6,Input!$C$60,0%)))</f>
        <v>0</v>
      </c>
      <c r="Q734" s="162">
        <f>IF($E734="","",Input!$C$58)</f>
        <v>2.5</v>
      </c>
      <c r="R734" s="156">
        <f t="shared" si="243"/>
        <v>0.9500409994515816</v>
      </c>
      <c r="S734" s="154">
        <f t="shared" si="232"/>
        <v>7.7084733909648381E-7</v>
      </c>
      <c r="T734" s="152"/>
      <c r="U734" s="150">
        <f t="shared" si="244"/>
        <v>0</v>
      </c>
      <c r="V734" s="150">
        <f t="shared" si="245"/>
        <v>0</v>
      </c>
      <c r="W734" s="168">
        <f t="shared" si="246"/>
        <v>0</v>
      </c>
      <c r="X734" s="163">
        <f t="shared" si="233"/>
        <v>4995.9000548418398</v>
      </c>
      <c r="Y734" s="152"/>
      <c r="Z734" s="164">
        <f>IF(AND($C733=12,$D733=Input!$C$6),0,IF($E734="","",V734+Z735/(1+L734)*R734))</f>
        <v>133319.99327945686</v>
      </c>
      <c r="AA734" s="164">
        <f>IF(OR($M734=1,AND($C733=12,$D733=Input!$C$6)),0,IF($E734="","",W734+(X734+AA735*$R734)/(1+$L734)))</f>
        <v>78947.886455150292</v>
      </c>
      <c r="AB734" s="160">
        <f t="shared" si="234"/>
        <v>0.825720328500681</v>
      </c>
      <c r="AC734" s="164">
        <f t="shared" si="235"/>
        <v>0</v>
      </c>
      <c r="AD734" s="164">
        <f>IF(AND($C733=12,$D733=Input!$C$6),0,IF($E734="","",$AC734+AD735/(1+$L734)*$R734))</f>
        <v>110085.02864642176</v>
      </c>
      <c r="AE734" s="152"/>
      <c r="AF734" s="164">
        <f>IF(AND($C733=12,$D733=Input!$C$6),0,IF($E734="","",IF($B734&gt;Input!$C$9,$AC734,0)+AF735/(1+$L734)*$R734))</f>
        <v>110085.02864642176</v>
      </c>
      <c r="AG734" s="164">
        <f>IF(AND($C733=12,$D733=Input!$C$6),0,IF($E734="","",(IF($B734&gt;Input!$C$9,$X734,0)+AG735)/(1+$L734)*$R734))</f>
        <v>73790.350683587196</v>
      </c>
      <c r="AH734" s="160">
        <f t="shared" si="236"/>
        <v>2.0950137211446997</v>
      </c>
      <c r="AI734" s="160">
        <f>IF($E734="","",MIN(Input!$C$61/AH734,1))</f>
        <v>0.64438718771845094</v>
      </c>
      <c r="AJ734" s="152"/>
      <c r="AK734" s="164">
        <f>IF(AND($C733=12,$D733=Input!$C$6),0,IF($E734="","",IF($B734&gt;Input!$C$9,$AC734*AI734,0)+AK735/(1+$L734)*$R734))</f>
        <v>70937.382019372802</v>
      </c>
      <c r="AL734" s="164">
        <f>IF(AND($C733=12,$D733=Input!$C$6),0,IF($E734="","",IF($B734&gt;Input!$C$9,0,$AC734)+AL735/(1+$L734)*$R734))</f>
        <v>0</v>
      </c>
      <c r="AM734" s="160">
        <f t="shared" si="237"/>
        <v>1.1382936520186004</v>
      </c>
      <c r="AN734" s="164">
        <f>IF($E734="","",IF($B734&gt;Input!$C$9,$AI734*$AC734,$AM734*$AC734))</f>
        <v>0</v>
      </c>
      <c r="AO734" s="164">
        <f>IF(AND($C733=12,$D733=Input!$C$6),0,IF($E734="","",$AN734+AO735/(1+$L734)*$R734))</f>
        <v>70937.382019372802</v>
      </c>
      <c r="AP734" s="152"/>
      <c r="AQ734" s="164">
        <f t="shared" si="238"/>
        <v>8010.5044357774896</v>
      </c>
      <c r="AR734" s="164">
        <f t="shared" si="247"/>
        <v>22917.985406515218</v>
      </c>
      <c r="AS734" s="164">
        <f t="shared" si="248"/>
        <v>21978.947368421053</v>
      </c>
      <c r="AT734" s="164">
        <f t="shared" si="239"/>
        <v>22917.985406515218</v>
      </c>
      <c r="AU734" s="152"/>
      <c r="AV734" s="147">
        <f>'Deterministic Reserve'!BC734</f>
        <v>1.4358278105287085E-11</v>
      </c>
      <c r="AW734" s="164">
        <f t="shared" si="240"/>
        <v>22917.985406515218</v>
      </c>
      <c r="AX734" s="164">
        <f t="shared" si="241"/>
        <v>3.2906280807965639E-7</v>
      </c>
      <c r="AY734" s="152"/>
    </row>
    <row r="735" spans="1:51" s="150" customFormat="1" x14ac:dyDescent="0.25">
      <c r="A735" s="150">
        <f t="shared" si="249"/>
        <v>731</v>
      </c>
      <c r="B735" s="150">
        <f t="shared" si="250"/>
        <v>61</v>
      </c>
      <c r="C735" s="150">
        <f t="shared" si="251"/>
        <v>11</v>
      </c>
      <c r="D735" s="150">
        <f>IF(E735="","",Input!$C$4+B735-1)</f>
        <v>105</v>
      </c>
      <c r="E735" s="150">
        <f>IF(OR(AND(C734=12,D734=Input!$C$6),E734=""),"",1)</f>
        <v>1</v>
      </c>
      <c r="F735" s="150">
        <f>IF(E735="","",Input!$C$8+B735-1)</f>
        <v>2078</v>
      </c>
      <c r="G735" s="151">
        <f>IF(E735="","",MAX(0,Input!$C$9-B735))</f>
        <v>0</v>
      </c>
      <c r="H735" s="152">
        <f>IF(E735="","",Input!$C$3)</f>
        <v>100000</v>
      </c>
      <c r="I735" s="153">
        <f>IF(E735="","",HLOOKUP($B735,Input!$C$13:$BT$14,2))</f>
        <v>1000</v>
      </c>
      <c r="J735" s="154"/>
      <c r="K735" s="155">
        <f>IF($E735="","",Input!$C$57)</f>
        <v>4.4999999999999998E-2</v>
      </c>
      <c r="L735" s="155">
        <f t="shared" si="242"/>
        <v>3.6748094004368514E-3</v>
      </c>
      <c r="M735" s="147">
        <f>IF($E735="","",VLOOKUP(IF($B735&lt;=Input!$C$7,$B735,26),'Mortality Tables'!$A$72:$CA$97,IF($B735&lt;=Input!$C$7+1,Input!$C$4-16,$D735-Input!$C$7-16),0)/1000)</f>
        <v>0.45935999999999999</v>
      </c>
      <c r="N735" s="147">
        <f t="shared" si="231"/>
        <v>4.9959000548418397E-2</v>
      </c>
      <c r="O735" s="157">
        <f>IF($E735="","",IF($C735=12,IF($B735&lt;Input!$C$9,Input!$C$54,IF($B735=Input!$C$9,Input!$C$55,Input!$C$56)),0%))</f>
        <v>0</v>
      </c>
      <c r="P735" s="167">
        <f>IF($E735="","",IF($B735=1,Input!$C$59,IF($B735&lt;6,Input!$C$60,0%)))</f>
        <v>0</v>
      </c>
      <c r="Q735" s="162">
        <f>IF($E735="","",Input!$C$58)</f>
        <v>2.5</v>
      </c>
      <c r="R735" s="156">
        <f t="shared" si="243"/>
        <v>0.9500409994515816</v>
      </c>
      <c r="S735" s="154">
        <f t="shared" si="232"/>
        <v>7.3233657645981573E-7</v>
      </c>
      <c r="T735" s="152"/>
      <c r="U735" s="150">
        <f t="shared" si="244"/>
        <v>0</v>
      </c>
      <c r="V735" s="150">
        <f t="shared" si="245"/>
        <v>0</v>
      </c>
      <c r="W735" s="168">
        <f t="shared" si="246"/>
        <v>0</v>
      </c>
      <c r="X735" s="163">
        <f t="shared" si="233"/>
        <v>4995.9000548418398</v>
      </c>
      <c r="Y735" s="152"/>
      <c r="Z735" s="164">
        <f>IF(AND($C734=12,$D734=Input!$C$6),0,IF($E735="","",V735+Z736/(1+L735)*R735))</f>
        <v>140846.46759589238</v>
      </c>
      <c r="AA735" s="164">
        <f>IF(OR($M735=1,AND($C734=12,$D734=Input!$C$6)),0,IF($E735="","",W735+(X735+AA736*$R735)/(1+$L735)))</f>
        <v>78146.211456616365</v>
      </c>
      <c r="AB735" s="160">
        <f t="shared" si="234"/>
        <v>0.825720328500681</v>
      </c>
      <c r="AC735" s="164">
        <f t="shared" si="235"/>
        <v>0</v>
      </c>
      <c r="AD735" s="164">
        <f>IF(AND($C734=12,$D734=Input!$C$6),0,IF($E735="","",$AC735+AD736/(1+$L735)*$R735))</f>
        <v>116299.79149144083</v>
      </c>
      <c r="AE735" s="152"/>
      <c r="AF735" s="164">
        <f>IF(AND($C734=12,$D734=Input!$C$6),0,IF($E735="","",IF($B735&gt;Input!$C$9,$AC735,0)+AF736/(1+$L735)*$R735))</f>
        <v>116299.79149144083</v>
      </c>
      <c r="AG735" s="164">
        <f>IF(AND($C734=12,$D734=Input!$C$6),0,IF($E735="","",(IF($B735&gt;Input!$C$9,$X735,0)+AG736)/(1+$L735)*$R735))</f>
        <v>72960.226260436495</v>
      </c>
      <c r="AH735" s="160">
        <f t="shared" si="236"/>
        <v>2.0950137211446997</v>
      </c>
      <c r="AI735" s="160">
        <f>IF($E735="","",MIN(Input!$C$61/AH735,1))</f>
        <v>0.64438718771845094</v>
      </c>
      <c r="AJ735" s="152"/>
      <c r="AK735" s="164">
        <f>IF(AND($C734=12,$D734=Input!$C$6),0,IF($E735="","",IF($B735&gt;Input!$C$9,$AC735*AI735,0)+AK736/(1+$L735)*$R735))</f>
        <v>74942.095571411759</v>
      </c>
      <c r="AL735" s="164">
        <f>IF(AND($C734=12,$D734=Input!$C$6),0,IF($E735="","",IF($B735&gt;Input!$C$9,0,$AC735)+AL736/(1+$L735)*$R735))</f>
        <v>0</v>
      </c>
      <c r="AM735" s="160">
        <f t="shared" si="237"/>
        <v>1.1382936520186004</v>
      </c>
      <c r="AN735" s="164">
        <f>IF($E735="","",IF($B735&gt;Input!$C$9,$AI735*$AC735,$AM735*$AC735))</f>
        <v>0</v>
      </c>
      <c r="AO735" s="164">
        <f>IF(AND($C734=12,$D734=Input!$C$6),0,IF($E735="","",$AN735+AO736/(1+$L735)*$R735))</f>
        <v>74942.095571411759</v>
      </c>
      <c r="AP735" s="152"/>
      <c r="AQ735" s="164">
        <f t="shared" si="238"/>
        <v>3204.1158852046065</v>
      </c>
      <c r="AR735" s="164">
        <f t="shared" si="247"/>
        <v>22917.985406515218</v>
      </c>
      <c r="AS735" s="164">
        <f t="shared" si="248"/>
        <v>21978.947368421053</v>
      </c>
      <c r="AT735" s="164">
        <f t="shared" si="239"/>
        <v>22917.985406515218</v>
      </c>
      <c r="AU735" s="152"/>
      <c r="AV735" s="147">
        <f>'Deterministic Reserve'!BC735</f>
        <v>1.2832574585982454E-11</v>
      </c>
      <c r="AW735" s="164">
        <f t="shared" si="240"/>
        <v>22917.985406515218</v>
      </c>
      <c r="AX735" s="164">
        <f t="shared" si="241"/>
        <v>2.9409675708956395E-7</v>
      </c>
      <c r="AY735" s="152"/>
    </row>
    <row r="736" spans="1:51" s="150" customFormat="1" x14ac:dyDescent="0.25">
      <c r="A736" s="150">
        <f t="shared" si="249"/>
        <v>732</v>
      </c>
      <c r="B736" s="150">
        <f t="shared" si="250"/>
        <v>61</v>
      </c>
      <c r="C736" s="150">
        <f t="shared" si="251"/>
        <v>12</v>
      </c>
      <c r="D736" s="150">
        <f>IF(E736="","",Input!$C$4+B736-1)</f>
        <v>105</v>
      </c>
      <c r="E736" s="150">
        <f>IF(OR(AND(C735=12,D735=Input!$C$6),E735=""),"",1)</f>
        <v>1</v>
      </c>
      <c r="F736" s="150">
        <f>IF(E736="","",Input!$C$8+B736-1)</f>
        <v>2078</v>
      </c>
      <c r="G736" s="151">
        <f>IF(E736="","",MAX(0,Input!$C$9-B736))</f>
        <v>0</v>
      </c>
      <c r="H736" s="152">
        <f>IF(E736="","",Input!$C$3)</f>
        <v>100000</v>
      </c>
      <c r="I736" s="153">
        <f>IF(E736="","",HLOOKUP($B736,Input!$C$13:$BT$14,2))</f>
        <v>1000</v>
      </c>
      <c r="J736" s="154"/>
      <c r="K736" s="155">
        <f>IF($E736="","",Input!$C$57)</f>
        <v>4.4999999999999998E-2</v>
      </c>
      <c r="L736" s="155">
        <f t="shared" si="242"/>
        <v>3.6748094004368514E-3</v>
      </c>
      <c r="M736" s="147">
        <f>IF($E736="","",VLOOKUP(IF($B736&lt;=Input!$C$7,$B736,26),'Mortality Tables'!$A$72:$CA$97,IF($B736&lt;=Input!$C$7+1,Input!$C$4-16,$D736-Input!$C$7-16),0)/1000)</f>
        <v>0.45935999999999999</v>
      </c>
      <c r="N736" s="147">
        <f t="shared" si="231"/>
        <v>4.9959000548418397E-2</v>
      </c>
      <c r="O736" s="157">
        <f>IF($E736="","",IF($C736=12,IF($B736&lt;Input!$C$9,Input!$C$54,IF($B736=Input!$C$9,Input!$C$55,Input!$C$56)),0%))</f>
        <v>0.1</v>
      </c>
      <c r="P736" s="167">
        <f>IF($E736="","",IF($B736=1,Input!$C$59,IF($B736&lt;6,Input!$C$60,0%)))</f>
        <v>0</v>
      </c>
      <c r="Q736" s="162">
        <f>IF($E736="","",Input!$C$58)</f>
        <v>2.5</v>
      </c>
      <c r="R736" s="156">
        <f t="shared" si="243"/>
        <v>0.85004099945158162</v>
      </c>
      <c r="S736" s="154">
        <f t="shared" si="232"/>
        <v>6.2251611538885142E-7</v>
      </c>
      <c r="T736" s="152"/>
      <c r="U736" s="150">
        <f t="shared" si="244"/>
        <v>0</v>
      </c>
      <c r="V736" s="150">
        <f t="shared" si="245"/>
        <v>0</v>
      </c>
      <c r="W736" s="168">
        <f t="shared" si="246"/>
        <v>0</v>
      </c>
      <c r="X736" s="163">
        <f t="shared" si="233"/>
        <v>4995.9000548418398</v>
      </c>
      <c r="Y736" s="152"/>
      <c r="Z736" s="164">
        <f>IF(AND($C735=12,$D735=Input!$C$6),0,IF($E736="","",V736+Z737/(1+L736)*R736))</f>
        <v>148797.84304112726</v>
      </c>
      <c r="AA736" s="164">
        <f>IF(OR($M736=1,AND($C735=12,$D735=Input!$C$6)),0,IF($E736="","",W736+(X736+AA737*$R736)/(1+$L736)))</f>
        <v>77299.278532859302</v>
      </c>
      <c r="AB736" s="160">
        <f t="shared" si="234"/>
        <v>0.825720328500681</v>
      </c>
      <c r="AC736" s="164">
        <f t="shared" si="235"/>
        <v>0</v>
      </c>
      <c r="AD736" s="164">
        <f>IF(AND($C735=12,$D735=Input!$C$6),0,IF($E736="","",$AC736+AD737/(1+$L736)*$R736))</f>
        <v>122865.40383611241</v>
      </c>
      <c r="AE736" s="152"/>
      <c r="AF736" s="164">
        <f>IF(AND($C735=12,$D735=Input!$C$6),0,IF($E736="","",IF($B736&gt;Input!$C$9,$AC736,0)+AF737/(1+$L736)*$R736))</f>
        <v>122865.40383611241</v>
      </c>
      <c r="AG736" s="164">
        <f>IF(AND($C735=12,$D735=Input!$C$6),0,IF($E736="","",(IF($B736&gt;Input!$C$9,$X736,0)+AG737)/(1+$L736)*$R736))</f>
        <v>72083.237822394993</v>
      </c>
      <c r="AH736" s="160">
        <f t="shared" si="236"/>
        <v>2.0950137211446997</v>
      </c>
      <c r="AI736" s="160">
        <f>IF($E736="","",MIN(Input!$C$61/AH736,1))</f>
        <v>0.64438718771845094</v>
      </c>
      <c r="AJ736" s="152"/>
      <c r="AK736" s="164">
        <f>IF(AND($C735=12,$D735=Input!$C$6),0,IF($E736="","",IF($B736&gt;Input!$C$9,$AC736*AI736,0)+AK737/(1+$L736)*$R736))</f>
        <v>79172.892045844215</v>
      </c>
      <c r="AL736" s="164">
        <f>IF(AND($C735=12,$D735=Input!$C$6),0,IF($E736="","",IF($B736&gt;Input!$C$9,0,$AC736)+AL737/(1+$L736)*$R736))</f>
        <v>0</v>
      </c>
      <c r="AM736" s="160">
        <f t="shared" si="237"/>
        <v>1.1382936520186004</v>
      </c>
      <c r="AN736" s="164">
        <f>IF($E736="","",IF($B736&gt;Input!$C$9,$AI736*$AC736,$AM736*$AC736))</f>
        <v>0</v>
      </c>
      <c r="AO736" s="164">
        <f>IF(AND($C735=12,$D735=Input!$C$6),0,IF($E736="","",$AN736+AO737/(1+$L736)*$R736))</f>
        <v>79172.892045844215</v>
      </c>
      <c r="AP736" s="152"/>
      <c r="AQ736" s="164">
        <f t="shared" si="238"/>
        <v>-1873.6135129849135</v>
      </c>
      <c r="AR736" s="164">
        <f t="shared" si="247"/>
        <v>22917.985406515218</v>
      </c>
      <c r="AS736" s="164">
        <f t="shared" si="248"/>
        <v>21978.947368421053</v>
      </c>
      <c r="AT736" s="164">
        <f t="shared" si="239"/>
        <v>22917.985406515218</v>
      </c>
      <c r="AU736" s="152"/>
      <c r="AV736" s="147">
        <f>'Deterministic Reserve'!BC736</f>
        <v>1.0185734108305952E-11</v>
      </c>
      <c r="AW736" s="164">
        <f t="shared" si="240"/>
        <v>22917.985406515218</v>
      </c>
      <c r="AX736" s="164">
        <f t="shared" si="241"/>
        <v>2.3343650564880011E-7</v>
      </c>
      <c r="AY736" s="152"/>
    </row>
    <row r="737" spans="1:51" s="150" customFormat="1" x14ac:dyDescent="0.25">
      <c r="A737" s="150">
        <f t="shared" si="249"/>
        <v>733</v>
      </c>
      <c r="B737" s="150">
        <f t="shared" si="250"/>
        <v>62</v>
      </c>
      <c r="C737" s="150">
        <f t="shared" si="251"/>
        <v>1</v>
      </c>
      <c r="D737" s="150">
        <f>IF(E737="","",Input!$C$4+B737-1)</f>
        <v>106</v>
      </c>
      <c r="E737" s="150">
        <f>IF(OR(AND(C736=12,D736=Input!$C$6),E736=""),"",1)</f>
        <v>1</v>
      </c>
      <c r="F737" s="150">
        <f>IF(E737="","",Input!$C$8+B737-1)</f>
        <v>2079</v>
      </c>
      <c r="G737" s="151">
        <f>IF(E737="","",MAX(0,Input!$C$9-B737))</f>
        <v>0</v>
      </c>
      <c r="H737" s="152">
        <f>IF(E737="","",Input!$C$3)</f>
        <v>100000</v>
      </c>
      <c r="I737" s="153">
        <f>IF(E737="","",HLOOKUP($B737,Input!$C$13:$BT$14,2))</f>
        <v>1000</v>
      </c>
      <c r="J737" s="154"/>
      <c r="K737" s="155">
        <f>IF($E737="","",Input!$C$57)</f>
        <v>4.4999999999999998E-2</v>
      </c>
      <c r="L737" s="155">
        <f t="shared" si="242"/>
        <v>3.6748094004368514E-3</v>
      </c>
      <c r="M737" s="147">
        <f>IF($E737="","",VLOOKUP(IF($B737&lt;=Input!$C$7,$B737,26),'Mortality Tables'!$A$72:$CA$97,IF($B737&lt;=Input!$C$7+1,Input!$C$4-16,$D737-Input!$C$7-16),0)/1000)</f>
        <v>0.47743000000000002</v>
      </c>
      <c r="N737" s="147">
        <f t="shared" si="231"/>
        <v>5.2646553374917637E-2</v>
      </c>
      <c r="O737" s="157">
        <f>IF($E737="","",IF($C737=12,IF($B737&lt;Input!$C$9,Input!$C$54,IF($B737=Input!$C$9,Input!$C$55,Input!$C$56)),0%))</f>
        <v>0</v>
      </c>
      <c r="P737" s="167">
        <f>IF($E737="","",IF($B737=1,Input!$C$59,IF($B737&lt;6,Input!$C$60,0%)))</f>
        <v>0</v>
      </c>
      <c r="Q737" s="162">
        <f>IF($E737="","",Input!$C$58)</f>
        <v>2.5</v>
      </c>
      <c r="R737" s="156">
        <f t="shared" si="243"/>
        <v>0.94735344662508236</v>
      </c>
      <c r="S737" s="154">
        <f t="shared" si="232"/>
        <v>5.8974278749328587E-7</v>
      </c>
      <c r="T737" s="152"/>
      <c r="U737" s="150">
        <f t="shared" si="244"/>
        <v>100000</v>
      </c>
      <c r="V737" s="150">
        <f t="shared" si="245"/>
        <v>100000</v>
      </c>
      <c r="W737" s="168">
        <f t="shared" si="246"/>
        <v>0</v>
      </c>
      <c r="X737" s="163">
        <f t="shared" si="233"/>
        <v>5264.6553374917639</v>
      </c>
      <c r="Y737" s="152"/>
      <c r="Z737" s="164">
        <f>IF(AND($C736=12,$D736=Input!$C$6),0,IF($E737="","",V737+Z738/(1+L737)*R737))</f>
        <v>175691.11001687183</v>
      </c>
      <c r="AA737" s="164">
        <f>IF(OR($M737=1,AND($C736=12,$D736=Input!$C$6)),0,IF($E737="","",W737+(X737+AA738*$R737)/(1+$L737)))</f>
        <v>85392.867685497535</v>
      </c>
      <c r="AB737" s="160">
        <f t="shared" si="234"/>
        <v>0.825720328500681</v>
      </c>
      <c r="AC737" s="164">
        <f t="shared" si="235"/>
        <v>82572.032850068106</v>
      </c>
      <c r="AD737" s="164">
        <f>IF(AND($C736=12,$D736=Input!$C$6),0,IF($E737="","",$AC737+AD738/(1+$L737)*$R737))</f>
        <v>145071.72107778073</v>
      </c>
      <c r="AE737" s="152"/>
      <c r="AF737" s="164">
        <f>IF(AND($C736=12,$D736=Input!$C$6),0,IF($E737="","",IF($B737&gt;Input!$C$9,$AC737,0)+AF738/(1+$L737)*$R737))</f>
        <v>145071.72107778073</v>
      </c>
      <c r="AG737" s="164">
        <f>IF(AND($C736=12,$D736=Input!$C$6),0,IF($E737="","",(IF($B737&gt;Input!$C$9,$X737,0)+AG738)/(1+$L737)*$R737))</f>
        <v>80115.441667540115</v>
      </c>
      <c r="AH737" s="160">
        <f t="shared" si="236"/>
        <v>2.0950137211446997</v>
      </c>
      <c r="AI737" s="160">
        <f>IF($E737="","",MIN(Input!$C$61/AH737,1))</f>
        <v>0.64438718771845094</v>
      </c>
      <c r="AJ737" s="152"/>
      <c r="AK737" s="164">
        <f>IF(AND($C736=12,$D736=Input!$C$6),0,IF($E737="","",IF($B737&gt;Input!$C$9,$AC737*AI737,0)+AK738/(1+$L737)*$R737))</f>
        <v>93482.358362786617</v>
      </c>
      <c r="AL737" s="164">
        <f>IF(AND($C736=12,$D736=Input!$C$6),0,IF($E737="","",IF($B737&gt;Input!$C$9,0,$AC737)+AL738/(1+$L737)*$R737))</f>
        <v>0</v>
      </c>
      <c r="AM737" s="160">
        <f t="shared" si="237"/>
        <v>1.1382936520186004</v>
      </c>
      <c r="AN737" s="164">
        <f>IF($E737="","",IF($B737&gt;Input!$C$9,$AI737*$AC737,$AM737*$AC737))</f>
        <v>53208.360032450932</v>
      </c>
      <c r="AO737" s="164">
        <f>IF(AND($C736=12,$D736=Input!$C$6),0,IF($E737="","",$AN737+AO738/(1+$L737)*$R737))</f>
        <v>93482.358362786617</v>
      </c>
      <c r="AP737" s="152"/>
      <c r="AQ737" s="164">
        <f t="shared" si="238"/>
        <v>-8089.4906772890827</v>
      </c>
      <c r="AR737" s="164">
        <f t="shared" si="247"/>
        <v>26768.242448189456</v>
      </c>
      <c r="AS737" s="164">
        <f t="shared" si="248"/>
        <v>22843.540669856462</v>
      </c>
      <c r="AT737" s="164">
        <f t="shared" si="239"/>
        <v>26768.242448189456</v>
      </c>
      <c r="AU737" s="152"/>
      <c r="AV737" s="147">
        <f>'Deterministic Reserve'!BC737</f>
        <v>9.1141434374745975E-12</v>
      </c>
      <c r="AW737" s="164">
        <f t="shared" si="240"/>
        <v>26768.242448189456</v>
      </c>
      <c r="AX737" s="164">
        <f t="shared" si="241"/>
        <v>2.4396960124189489E-7</v>
      </c>
      <c r="AY737" s="152"/>
    </row>
    <row r="738" spans="1:51" s="150" customFormat="1" x14ac:dyDescent="0.25">
      <c r="A738" s="150">
        <f t="shared" si="249"/>
        <v>734</v>
      </c>
      <c r="B738" s="150">
        <f t="shared" si="250"/>
        <v>62</v>
      </c>
      <c r="C738" s="150">
        <f t="shared" si="251"/>
        <v>2</v>
      </c>
      <c r="D738" s="150">
        <f>IF(E738="","",Input!$C$4+B738-1)</f>
        <v>106</v>
      </c>
      <c r="E738" s="150">
        <f>IF(OR(AND(C737=12,D737=Input!$C$6),E737=""),"",1)</f>
        <v>1</v>
      </c>
      <c r="F738" s="150">
        <f>IF(E738="","",Input!$C$8+B738-1)</f>
        <v>2079</v>
      </c>
      <c r="G738" s="151">
        <f>IF(E738="","",MAX(0,Input!$C$9-B738))</f>
        <v>0</v>
      </c>
      <c r="H738" s="152">
        <f>IF(E738="","",Input!$C$3)</f>
        <v>100000</v>
      </c>
      <c r="I738" s="153">
        <f>IF(E738="","",HLOOKUP($B738,Input!$C$13:$BT$14,2))</f>
        <v>1000</v>
      </c>
      <c r="J738" s="154"/>
      <c r="K738" s="155">
        <f>IF($E738="","",Input!$C$57)</f>
        <v>4.4999999999999998E-2</v>
      </c>
      <c r="L738" s="155">
        <f t="shared" si="242"/>
        <v>3.6748094004368514E-3</v>
      </c>
      <c r="M738" s="147">
        <f>IF($E738="","",VLOOKUP(IF($B738&lt;=Input!$C$7,$B738,26),'Mortality Tables'!$A$72:$CA$97,IF($B738&lt;=Input!$C$7+1,Input!$C$4-16,$D738-Input!$C$7-16),0)/1000)</f>
        <v>0.47743000000000002</v>
      </c>
      <c r="N738" s="147">
        <f t="shared" si="231"/>
        <v>5.2646553374917637E-2</v>
      </c>
      <c r="O738" s="157">
        <f>IF($E738="","",IF($C738=12,IF($B738&lt;Input!$C$9,Input!$C$54,IF($B738=Input!$C$9,Input!$C$55,Input!$C$56)),0%))</f>
        <v>0</v>
      </c>
      <c r="P738" s="167">
        <f>IF($E738="","",IF($B738=1,Input!$C$59,IF($B738&lt;6,Input!$C$60,0%)))</f>
        <v>0</v>
      </c>
      <c r="Q738" s="162">
        <f>IF($E738="","",Input!$C$58)</f>
        <v>2.5</v>
      </c>
      <c r="R738" s="156">
        <f t="shared" si="243"/>
        <v>0.94735344662508236</v>
      </c>
      <c r="S738" s="154">
        <f t="shared" si="232"/>
        <v>5.5869486235404785E-7</v>
      </c>
      <c r="T738" s="152"/>
      <c r="U738" s="150">
        <f t="shared" si="244"/>
        <v>0</v>
      </c>
      <c r="V738" s="150">
        <f t="shared" si="245"/>
        <v>0</v>
      </c>
      <c r="W738" s="168">
        <f t="shared" si="246"/>
        <v>0</v>
      </c>
      <c r="X738" s="163">
        <f t="shared" si="233"/>
        <v>5264.6553374917639</v>
      </c>
      <c r="Y738" s="152"/>
      <c r="Z738" s="164">
        <f>IF(AND($C737=12,$D737=Input!$C$6),0,IF($E738="","",V738+Z739/(1+L738)*R738))</f>
        <v>80191.042414137512</v>
      </c>
      <c r="AA738" s="164">
        <f>IF(OR($M738=1,AND($C737=12,$D737=Input!$C$6)),0,IF($E738="","",W738+(X738+AA739*$R738)/(1+$L738)))</f>
        <v>84912.35784012705</v>
      </c>
      <c r="AB738" s="160">
        <f t="shared" si="234"/>
        <v>0.825720328500681</v>
      </c>
      <c r="AC738" s="164">
        <f t="shared" si="235"/>
        <v>0</v>
      </c>
      <c r="AD738" s="164">
        <f>IF(AND($C737=12,$D737=Input!$C$6),0,IF($E738="","",$AC738+AD739/(1+$L738)*$R738))</f>
        <v>66215.373885013702</v>
      </c>
      <c r="AE738" s="152"/>
      <c r="AF738" s="164">
        <f>IF(AND($C737=12,$D737=Input!$C$6),0,IF($E738="","",IF($B738&gt;Input!$C$9,$AC738,0)+AF739/(1+$L738)*$R738))</f>
        <v>66215.373885013702</v>
      </c>
      <c r="AG738" s="164">
        <f>IF(AND($C737=12,$D737=Input!$C$6),0,IF($E738="","",(IF($B738&gt;Input!$C$9,$X738,0)+AG739)/(1+$L738)*$R738))</f>
        <v>79613.750849932563</v>
      </c>
      <c r="AH738" s="160">
        <f t="shared" si="236"/>
        <v>2.0950137211446997</v>
      </c>
      <c r="AI738" s="160">
        <f>IF($E738="","",MIN(Input!$C$61/AH738,1))</f>
        <v>0.64438718771845094</v>
      </c>
      <c r="AJ738" s="152"/>
      <c r="AK738" s="164">
        <f>IF(AND($C737=12,$D737=Input!$C$6),0,IF($E738="","",IF($B738&gt;Input!$C$9,$AC738*AI738,0)+AK739/(1+$L738)*$R738))</f>
        <v>42668.338561489712</v>
      </c>
      <c r="AL738" s="164">
        <f>IF(AND($C737=12,$D737=Input!$C$6),0,IF($E738="","",IF($B738&gt;Input!$C$9,0,$AC738)+AL739/(1+$L738)*$R738))</f>
        <v>0</v>
      </c>
      <c r="AM738" s="160">
        <f t="shared" si="237"/>
        <v>1.1382936520186004</v>
      </c>
      <c r="AN738" s="164">
        <f>IF($E738="","",IF($B738&gt;Input!$C$9,$AI738*$AC738,$AM738*$AC738))</f>
        <v>0</v>
      </c>
      <c r="AO738" s="164">
        <f>IF(AND($C737=12,$D737=Input!$C$6),0,IF($E738="","",$AN738+AO739/(1+$L738)*$R738))</f>
        <v>42668.338561489712</v>
      </c>
      <c r="AP738" s="152"/>
      <c r="AQ738" s="164">
        <f t="shared" si="238"/>
        <v>42244.019278637337</v>
      </c>
      <c r="AR738" s="164">
        <f t="shared" si="247"/>
        <v>26768.242448189456</v>
      </c>
      <c r="AS738" s="164">
        <f t="shared" si="248"/>
        <v>22843.540669856462</v>
      </c>
      <c r="AT738" s="164">
        <f t="shared" si="239"/>
        <v>26768.242448189456</v>
      </c>
      <c r="AU738" s="152"/>
      <c r="AV738" s="147">
        <f>'Deterministic Reserve'!BC738</f>
        <v>8.1552895172399826E-12</v>
      </c>
      <c r="AW738" s="164">
        <f t="shared" si="240"/>
        <v>26768.242448189456</v>
      </c>
      <c r="AX738" s="164">
        <f t="shared" si="241"/>
        <v>2.183027670326578E-7</v>
      </c>
      <c r="AY738" s="152"/>
    </row>
    <row r="739" spans="1:51" s="150" customFormat="1" x14ac:dyDescent="0.25">
      <c r="A739" s="150">
        <f t="shared" si="249"/>
        <v>735</v>
      </c>
      <c r="B739" s="150">
        <f t="shared" si="250"/>
        <v>62</v>
      </c>
      <c r="C739" s="150">
        <f t="shared" si="251"/>
        <v>3</v>
      </c>
      <c r="D739" s="150">
        <f>IF(E739="","",Input!$C$4+B739-1)</f>
        <v>106</v>
      </c>
      <c r="E739" s="150">
        <f>IF(OR(AND(C738=12,D738=Input!$C$6),E738=""),"",1)</f>
        <v>1</v>
      </c>
      <c r="F739" s="150">
        <f>IF(E739="","",Input!$C$8+B739-1)</f>
        <v>2079</v>
      </c>
      <c r="G739" s="151">
        <f>IF(E739="","",MAX(0,Input!$C$9-B739))</f>
        <v>0</v>
      </c>
      <c r="H739" s="152">
        <f>IF(E739="","",Input!$C$3)</f>
        <v>100000</v>
      </c>
      <c r="I739" s="153">
        <f>IF(E739="","",HLOOKUP($B739,Input!$C$13:$BT$14,2))</f>
        <v>1000</v>
      </c>
      <c r="J739" s="154"/>
      <c r="K739" s="155">
        <f>IF($E739="","",Input!$C$57)</f>
        <v>4.4999999999999998E-2</v>
      </c>
      <c r="L739" s="155">
        <f t="shared" si="242"/>
        <v>3.6748094004368514E-3</v>
      </c>
      <c r="M739" s="147">
        <f>IF($E739="","",VLOOKUP(IF($B739&lt;=Input!$C$7,$B739,26),'Mortality Tables'!$A$72:$CA$97,IF($B739&lt;=Input!$C$7+1,Input!$C$4-16,$D739-Input!$C$7-16),0)/1000)</f>
        <v>0.47743000000000002</v>
      </c>
      <c r="N739" s="147">
        <f t="shared" si="231"/>
        <v>5.2646553374917637E-2</v>
      </c>
      <c r="O739" s="157">
        <f>IF($E739="","",IF($C739=12,IF($B739&lt;Input!$C$9,Input!$C$54,IF($B739=Input!$C$9,Input!$C$55,Input!$C$56)),0%))</f>
        <v>0</v>
      </c>
      <c r="P739" s="167">
        <f>IF($E739="","",IF($B739=1,Input!$C$59,IF($B739&lt;6,Input!$C$60,0%)))</f>
        <v>0</v>
      </c>
      <c r="Q739" s="162">
        <f>IF($E739="","",Input!$C$58)</f>
        <v>2.5</v>
      </c>
      <c r="R739" s="156">
        <f t="shared" si="243"/>
        <v>0.94735344662508236</v>
      </c>
      <c r="S739" s="154">
        <f t="shared" si="232"/>
        <v>5.2928150346283319E-7</v>
      </c>
      <c r="T739" s="152"/>
      <c r="U739" s="150">
        <f t="shared" si="244"/>
        <v>0</v>
      </c>
      <c r="V739" s="150">
        <f t="shared" si="245"/>
        <v>0</v>
      </c>
      <c r="W739" s="168">
        <f t="shared" si="246"/>
        <v>0</v>
      </c>
      <c r="X739" s="163">
        <f t="shared" si="233"/>
        <v>5264.6553374917639</v>
      </c>
      <c r="Y739" s="152"/>
      <c r="Z739" s="164">
        <f>IF(AND($C738=12,$D738=Input!$C$6),0,IF($E739="","",V739+Z740/(1+L739)*R739))</f>
        <v>84958.501494199183</v>
      </c>
      <c r="AA739" s="164">
        <f>IF(OR($M739=1,AND($C738=12,$D738=Input!$C$6)),0,IF($E739="","",W739+(X739+AA740*$R739)/(1+$L739)))</f>
        <v>84403.281075604435</v>
      </c>
      <c r="AB739" s="160">
        <f t="shared" si="234"/>
        <v>0.825720328500681</v>
      </c>
      <c r="AC739" s="164">
        <f t="shared" si="235"/>
        <v>0</v>
      </c>
      <c r="AD739" s="164">
        <f>IF(AND($C738=12,$D738=Input!$C$6),0,IF($E739="","",$AC739+AD740/(1+$L739)*$R739))</f>
        <v>70151.961762715786</v>
      </c>
      <c r="AE739" s="152"/>
      <c r="AF739" s="164">
        <f>IF(AND($C738=12,$D738=Input!$C$6),0,IF($E739="","",IF($B739&gt;Input!$C$9,$AC739,0)+AF740/(1+$L739)*$R739))</f>
        <v>70151.961762715786</v>
      </c>
      <c r="AG739" s="164">
        <f>IF(AND($C738=12,$D738=Input!$C$6),0,IF($E739="","",(IF($B739&gt;Input!$C$9,$X739,0)+AG740)/(1+$L739)*$R739))</f>
        <v>79082.233877535356</v>
      </c>
      <c r="AH739" s="160">
        <f t="shared" si="236"/>
        <v>2.0950137211446997</v>
      </c>
      <c r="AI739" s="160">
        <f>IF($E739="","",MIN(Input!$C$61/AH739,1))</f>
        <v>0.64438718771845094</v>
      </c>
      <c r="AJ739" s="152"/>
      <c r="AK739" s="164">
        <f>IF(AND($C738=12,$D738=Input!$C$6),0,IF($E739="","",IF($B739&gt;Input!$C$9,$AC739*AI739,0)+AK740/(1+$L739)*$R739))</f>
        <v>45205.025353208701</v>
      </c>
      <c r="AL739" s="164">
        <f>IF(AND($C738=12,$D738=Input!$C$6),0,IF($E739="","",IF($B739&gt;Input!$C$9,0,$AC739)+AL740/(1+$L739)*$R739))</f>
        <v>0</v>
      </c>
      <c r="AM739" s="160">
        <f t="shared" si="237"/>
        <v>1.1382936520186004</v>
      </c>
      <c r="AN739" s="164">
        <f>IF($E739="","",IF($B739&gt;Input!$C$9,$AI739*$AC739,$AM739*$AC739))</f>
        <v>0</v>
      </c>
      <c r="AO739" s="164">
        <f>IF(AND($C738=12,$D738=Input!$C$6),0,IF($E739="","",$AN739+AO740/(1+$L739)*$R739))</f>
        <v>45205.025353208701</v>
      </c>
      <c r="AP739" s="152"/>
      <c r="AQ739" s="164">
        <f t="shared" si="238"/>
        <v>39198.255722395734</v>
      </c>
      <c r="AR739" s="164">
        <f t="shared" si="247"/>
        <v>26768.242448189456</v>
      </c>
      <c r="AS739" s="164">
        <f t="shared" si="248"/>
        <v>22843.540669856462</v>
      </c>
      <c r="AT739" s="164">
        <f t="shared" si="239"/>
        <v>26768.242448189456</v>
      </c>
      <c r="AU739" s="152"/>
      <c r="AV739" s="147">
        <f>'Deterministic Reserve'!BC739</f>
        <v>7.2973118720669371E-12</v>
      </c>
      <c r="AW739" s="164">
        <f t="shared" si="240"/>
        <v>26768.242448189456</v>
      </c>
      <c r="AX739" s="164">
        <f t="shared" si="241"/>
        <v>1.9533621341153906E-7</v>
      </c>
      <c r="AY739" s="152"/>
    </row>
    <row r="740" spans="1:51" s="150" customFormat="1" x14ac:dyDescent="0.25">
      <c r="A740" s="150">
        <f t="shared" si="249"/>
        <v>736</v>
      </c>
      <c r="B740" s="150">
        <f t="shared" si="250"/>
        <v>62</v>
      </c>
      <c r="C740" s="150">
        <f t="shared" si="251"/>
        <v>4</v>
      </c>
      <c r="D740" s="150">
        <f>IF(E740="","",Input!$C$4+B740-1)</f>
        <v>106</v>
      </c>
      <c r="E740" s="150">
        <f>IF(OR(AND(C739=12,D739=Input!$C$6),E739=""),"",1)</f>
        <v>1</v>
      </c>
      <c r="F740" s="150">
        <f>IF(E740="","",Input!$C$8+B740-1)</f>
        <v>2079</v>
      </c>
      <c r="G740" s="151">
        <f>IF(E740="","",MAX(0,Input!$C$9-B740))</f>
        <v>0</v>
      </c>
      <c r="H740" s="152">
        <f>IF(E740="","",Input!$C$3)</f>
        <v>100000</v>
      </c>
      <c r="I740" s="153">
        <f>IF(E740="","",HLOOKUP($B740,Input!$C$13:$BT$14,2))</f>
        <v>1000</v>
      </c>
      <c r="J740" s="154"/>
      <c r="K740" s="155">
        <f>IF($E740="","",Input!$C$57)</f>
        <v>4.4999999999999998E-2</v>
      </c>
      <c r="L740" s="155">
        <f t="shared" si="242"/>
        <v>3.6748094004368514E-3</v>
      </c>
      <c r="M740" s="147">
        <f>IF($E740="","",VLOOKUP(IF($B740&lt;=Input!$C$7,$B740,26),'Mortality Tables'!$A$72:$CA$97,IF($B740&lt;=Input!$C$7+1,Input!$C$4-16,$D740-Input!$C$7-16),0)/1000)</f>
        <v>0.47743000000000002</v>
      </c>
      <c r="N740" s="147">
        <f t="shared" si="231"/>
        <v>5.2646553374917637E-2</v>
      </c>
      <c r="O740" s="157">
        <f>IF($E740="","",IF($C740=12,IF($B740&lt;Input!$C$9,Input!$C$54,IF($B740=Input!$C$9,Input!$C$55,Input!$C$56)),0%))</f>
        <v>0</v>
      </c>
      <c r="P740" s="167">
        <f>IF($E740="","",IF($B740=1,Input!$C$59,IF($B740&lt;6,Input!$C$60,0%)))</f>
        <v>0</v>
      </c>
      <c r="Q740" s="162">
        <f>IF($E740="","",Input!$C$58)</f>
        <v>2.5</v>
      </c>
      <c r="R740" s="156">
        <f t="shared" si="243"/>
        <v>0.94735344662508236</v>
      </c>
      <c r="S740" s="154">
        <f t="shared" si="232"/>
        <v>5.0141665654042051E-7</v>
      </c>
      <c r="T740" s="152"/>
      <c r="U740" s="150">
        <f t="shared" si="244"/>
        <v>0</v>
      </c>
      <c r="V740" s="150">
        <f t="shared" si="245"/>
        <v>0</v>
      </c>
      <c r="W740" s="168">
        <f t="shared" si="246"/>
        <v>0</v>
      </c>
      <c r="X740" s="163">
        <f t="shared" si="233"/>
        <v>5264.6553374917639</v>
      </c>
      <c r="Y740" s="152"/>
      <c r="Z740" s="164">
        <f>IF(AND($C739=12,$D739=Input!$C$6),0,IF($E740="","",V740+Z741/(1+L740)*R740))</f>
        <v>90009.392057327059</v>
      </c>
      <c r="AA740" s="164">
        <f>IF(OR($M740=1,AND($C739=12,$D739=Input!$C$6)),0,IF($E740="","",W740+(X740+AA741*$R740)/(1+$L740)))</f>
        <v>83863.939052389484</v>
      </c>
      <c r="AB740" s="160">
        <f t="shared" si="234"/>
        <v>0.825720328500681</v>
      </c>
      <c r="AC740" s="164">
        <f t="shared" si="235"/>
        <v>0</v>
      </c>
      <c r="AD740" s="164">
        <f>IF(AND($C739=12,$D739=Input!$C$6),0,IF($E740="","",$AC740+AD741/(1+$L740)*$R740))</f>
        <v>74322.584777722717</v>
      </c>
      <c r="AE740" s="152"/>
      <c r="AF740" s="164">
        <f>IF(AND($C739=12,$D739=Input!$C$6),0,IF($E740="","",IF($B740&gt;Input!$C$9,$AC740,0)+AF741/(1+$L740)*$R740))</f>
        <v>74322.584777722717</v>
      </c>
      <c r="AG740" s="164">
        <f>IF(AND($C739=12,$D739=Input!$C$6),0,IF($E740="","",(IF($B740&gt;Input!$C$9,$X740,0)+AG741)/(1+$L740)*$R740))</f>
        <v>78519.11754765411</v>
      </c>
      <c r="AH740" s="160">
        <f t="shared" si="236"/>
        <v>2.0950137211446997</v>
      </c>
      <c r="AI740" s="160">
        <f>IF($E740="","",MIN(Input!$C$61/AH740,1))</f>
        <v>0.64438718771845094</v>
      </c>
      <c r="AJ740" s="152"/>
      <c r="AK740" s="164">
        <f>IF(AND($C739=12,$D739=Input!$C$6),0,IF($E740="","",IF($B740&gt;Input!$C$9,$AC740*AI740,0)+AK741/(1+$L740)*$R740))</f>
        <v>47892.521388882866</v>
      </c>
      <c r="AL740" s="164">
        <f>IF(AND($C739=12,$D739=Input!$C$6),0,IF($E740="","",IF($B740&gt;Input!$C$9,0,$AC740)+AL741/(1+$L740)*$R740))</f>
        <v>0</v>
      </c>
      <c r="AM740" s="160">
        <f t="shared" si="237"/>
        <v>1.1382936520186004</v>
      </c>
      <c r="AN740" s="164">
        <f>IF($E740="","",IF($B740&gt;Input!$C$9,$AI740*$AC740,$AM740*$AC740))</f>
        <v>0</v>
      </c>
      <c r="AO740" s="164">
        <f>IF(AND($C739=12,$D739=Input!$C$6),0,IF($E740="","",$AN740+AO741/(1+$L740)*$R740))</f>
        <v>47892.521388882866</v>
      </c>
      <c r="AP740" s="152"/>
      <c r="AQ740" s="164">
        <f t="shared" si="238"/>
        <v>35971.417663506618</v>
      </c>
      <c r="AR740" s="164">
        <f t="shared" si="247"/>
        <v>26768.242448189456</v>
      </c>
      <c r="AS740" s="164">
        <f t="shared" si="248"/>
        <v>22843.540669856462</v>
      </c>
      <c r="AT740" s="164">
        <f t="shared" si="239"/>
        <v>26768.242448189456</v>
      </c>
      <c r="AU740" s="152"/>
      <c r="AV740" s="147">
        <f>'Deterministic Reserve'!BC740</f>
        <v>6.5295978083474434E-12</v>
      </c>
      <c r="AW740" s="164">
        <f t="shared" si="240"/>
        <v>26768.242448189456</v>
      </c>
      <c r="AX740" s="164">
        <f t="shared" si="241"/>
        <v>1.7478585722301088E-7</v>
      </c>
      <c r="AY740" s="152"/>
    </row>
    <row r="741" spans="1:51" s="150" customFormat="1" x14ac:dyDescent="0.25">
      <c r="A741" s="150">
        <f t="shared" si="249"/>
        <v>737</v>
      </c>
      <c r="B741" s="150">
        <f t="shared" si="250"/>
        <v>62</v>
      </c>
      <c r="C741" s="150">
        <f t="shared" si="251"/>
        <v>5</v>
      </c>
      <c r="D741" s="150">
        <f>IF(E741="","",Input!$C$4+B741-1)</f>
        <v>106</v>
      </c>
      <c r="E741" s="150">
        <f>IF(OR(AND(C740=12,D740=Input!$C$6),E740=""),"",1)</f>
        <v>1</v>
      </c>
      <c r="F741" s="150">
        <f>IF(E741="","",Input!$C$8+B741-1)</f>
        <v>2079</v>
      </c>
      <c r="G741" s="151">
        <f>IF(E741="","",MAX(0,Input!$C$9-B741))</f>
        <v>0</v>
      </c>
      <c r="H741" s="152">
        <f>IF(E741="","",Input!$C$3)</f>
        <v>100000</v>
      </c>
      <c r="I741" s="153">
        <f>IF(E741="","",HLOOKUP($B741,Input!$C$13:$BT$14,2))</f>
        <v>1000</v>
      </c>
      <c r="J741" s="154"/>
      <c r="K741" s="155">
        <f>IF($E741="","",Input!$C$57)</f>
        <v>4.4999999999999998E-2</v>
      </c>
      <c r="L741" s="155">
        <f t="shared" si="242"/>
        <v>3.6748094004368514E-3</v>
      </c>
      <c r="M741" s="147">
        <f>IF($E741="","",VLOOKUP(IF($B741&lt;=Input!$C$7,$B741,26),'Mortality Tables'!$A$72:$CA$97,IF($B741&lt;=Input!$C$7+1,Input!$C$4-16,$D741-Input!$C$7-16),0)/1000)</f>
        <v>0.47743000000000002</v>
      </c>
      <c r="N741" s="147">
        <f t="shared" si="231"/>
        <v>5.2646553374917637E-2</v>
      </c>
      <c r="O741" s="157">
        <f>IF($E741="","",IF($C741=12,IF($B741&lt;Input!$C$9,Input!$C$54,IF($B741=Input!$C$9,Input!$C$55,Input!$C$56)),0%))</f>
        <v>0</v>
      </c>
      <c r="P741" s="167">
        <f>IF($E741="","",IF($B741=1,Input!$C$59,IF($B741&lt;6,Input!$C$60,0%)))</f>
        <v>0</v>
      </c>
      <c r="Q741" s="162">
        <f>IF($E741="","",Input!$C$58)</f>
        <v>2.5</v>
      </c>
      <c r="R741" s="156">
        <f t="shared" si="243"/>
        <v>0.94735344662508236</v>
      </c>
      <c r="S741" s="154">
        <f t="shared" si="232"/>
        <v>4.7501879776879252E-7</v>
      </c>
      <c r="T741" s="152"/>
      <c r="U741" s="150">
        <f t="shared" si="244"/>
        <v>0</v>
      </c>
      <c r="V741" s="150">
        <f t="shared" si="245"/>
        <v>0</v>
      </c>
      <c r="W741" s="168">
        <f t="shared" si="246"/>
        <v>0</v>
      </c>
      <c r="X741" s="163">
        <f t="shared" si="233"/>
        <v>5264.6553374917639</v>
      </c>
      <c r="Y741" s="152"/>
      <c r="Z741" s="164">
        <f>IF(AND($C740=12,$D740=Input!$C$6),0,IF($E741="","",V741+Z742/(1+L741)*R741))</f>
        <v>95360.564464320036</v>
      </c>
      <c r="AA741" s="164">
        <f>IF(OR($M741=1,AND($C740=12,$D740=Input!$C$6)),0,IF($E741="","",W741+(X741+AA742*$R741)/(1+$L741)))</f>
        <v>83292.532462504401</v>
      </c>
      <c r="AB741" s="160">
        <f t="shared" si="234"/>
        <v>0.825720328500681</v>
      </c>
      <c r="AC741" s="164">
        <f t="shared" si="235"/>
        <v>0</v>
      </c>
      <c r="AD741" s="164">
        <f>IF(AND($C740=12,$D740=Input!$C$6),0,IF($E741="","",$AC741+AD742/(1+$L741)*$R741))</f>
        <v>78741.15661548874</v>
      </c>
      <c r="AE741" s="152"/>
      <c r="AF741" s="164">
        <f>IF(AND($C740=12,$D740=Input!$C$6),0,IF($E741="","",IF($B741&gt;Input!$C$9,$AC741,0)+AF742/(1+$L741)*$R741))</f>
        <v>78741.15661548874</v>
      </c>
      <c r="AG741" s="164">
        <f>IF(AND($C740=12,$D740=Input!$C$6),0,IF($E741="","",(IF($B741&gt;Input!$C$9,$X741,0)+AG742)/(1+$L741)*$R741))</f>
        <v>77922.523238447466</v>
      </c>
      <c r="AH741" s="160">
        <f t="shared" si="236"/>
        <v>2.0950137211446997</v>
      </c>
      <c r="AI741" s="160">
        <f>IF($E741="","",MIN(Input!$C$61/AH741,1))</f>
        <v>0.64438718771845094</v>
      </c>
      <c r="AJ741" s="152"/>
      <c r="AK741" s="164">
        <f>IF(AND($C740=12,$D740=Input!$C$6),0,IF($E741="","",IF($B741&gt;Input!$C$9,$AC741*AI741,0)+AK742/(1+$L741)*$R741))</f>
        <v>50739.792469152861</v>
      </c>
      <c r="AL741" s="164">
        <f>IF(AND($C740=12,$D740=Input!$C$6),0,IF($E741="","",IF($B741&gt;Input!$C$9,0,$AC741)+AL742/(1+$L741)*$R741))</f>
        <v>0</v>
      </c>
      <c r="AM741" s="160">
        <f t="shared" si="237"/>
        <v>1.1382936520186004</v>
      </c>
      <c r="AN741" s="164">
        <f>IF($E741="","",IF($B741&gt;Input!$C$9,$AI741*$AC741,$AM741*$AC741))</f>
        <v>0</v>
      </c>
      <c r="AO741" s="164">
        <f>IF(AND($C740=12,$D740=Input!$C$6),0,IF($E741="","",$AN741+AO742/(1+$L741)*$R741))</f>
        <v>50739.792469152861</v>
      </c>
      <c r="AP741" s="152"/>
      <c r="AQ741" s="164">
        <f t="shared" si="238"/>
        <v>32552.739993351541</v>
      </c>
      <c r="AR741" s="164">
        <f t="shared" si="247"/>
        <v>26768.242448189456</v>
      </c>
      <c r="AS741" s="164">
        <f t="shared" si="248"/>
        <v>22843.540669856462</v>
      </c>
      <c r="AT741" s="164">
        <f t="shared" si="239"/>
        <v>26768.242448189456</v>
      </c>
      <c r="AU741" s="152"/>
      <c r="AV741" s="147">
        <f>'Deterministic Reserve'!BC741</f>
        <v>5.8426511414400254E-12</v>
      </c>
      <c r="AW741" s="164">
        <f t="shared" si="240"/>
        <v>26768.242448189456</v>
      </c>
      <c r="AX741" s="164">
        <f t="shared" si="241"/>
        <v>1.5639750229425746E-7</v>
      </c>
      <c r="AY741" s="152"/>
    </row>
    <row r="742" spans="1:51" s="150" customFormat="1" x14ac:dyDescent="0.25">
      <c r="A742" s="150">
        <f t="shared" si="249"/>
        <v>738</v>
      </c>
      <c r="B742" s="150">
        <f t="shared" si="250"/>
        <v>62</v>
      </c>
      <c r="C742" s="150">
        <f t="shared" si="251"/>
        <v>6</v>
      </c>
      <c r="D742" s="150">
        <f>IF(E742="","",Input!$C$4+B742-1)</f>
        <v>106</v>
      </c>
      <c r="E742" s="150">
        <f>IF(OR(AND(C741=12,D741=Input!$C$6),E741=""),"",1)</f>
        <v>1</v>
      </c>
      <c r="F742" s="150">
        <f>IF(E742="","",Input!$C$8+B742-1)</f>
        <v>2079</v>
      </c>
      <c r="G742" s="151">
        <f>IF(E742="","",MAX(0,Input!$C$9-B742))</f>
        <v>0</v>
      </c>
      <c r="H742" s="152">
        <f>IF(E742="","",Input!$C$3)</f>
        <v>100000</v>
      </c>
      <c r="I742" s="153">
        <f>IF(E742="","",HLOOKUP($B742,Input!$C$13:$BT$14,2))</f>
        <v>1000</v>
      </c>
      <c r="J742" s="154"/>
      <c r="K742" s="155">
        <f>IF($E742="","",Input!$C$57)</f>
        <v>4.4999999999999998E-2</v>
      </c>
      <c r="L742" s="155">
        <f t="shared" si="242"/>
        <v>3.6748094004368514E-3</v>
      </c>
      <c r="M742" s="147">
        <f>IF($E742="","",VLOOKUP(IF($B742&lt;=Input!$C$7,$B742,26),'Mortality Tables'!$A$72:$CA$97,IF($B742&lt;=Input!$C$7+1,Input!$C$4-16,$D742-Input!$C$7-16),0)/1000)</f>
        <v>0.47743000000000002</v>
      </c>
      <c r="N742" s="147">
        <f t="shared" si="231"/>
        <v>5.2646553374917637E-2</v>
      </c>
      <c r="O742" s="157">
        <f>IF($E742="","",IF($C742=12,IF($B742&lt;Input!$C$9,Input!$C$54,IF($B742=Input!$C$9,Input!$C$55,Input!$C$56)),0%))</f>
        <v>0</v>
      </c>
      <c r="P742" s="167">
        <f>IF($E742="","",IF($B742=1,Input!$C$59,IF($B742&lt;6,Input!$C$60,0%)))</f>
        <v>0</v>
      </c>
      <c r="Q742" s="162">
        <f>IF($E742="","",Input!$C$58)</f>
        <v>2.5</v>
      </c>
      <c r="R742" s="156">
        <f t="shared" si="243"/>
        <v>0.94735344662508236</v>
      </c>
      <c r="S742" s="154">
        <f t="shared" si="232"/>
        <v>4.500106952779686E-7</v>
      </c>
      <c r="T742" s="152"/>
      <c r="U742" s="150">
        <f t="shared" si="244"/>
        <v>0</v>
      </c>
      <c r="V742" s="150">
        <f t="shared" si="245"/>
        <v>0</v>
      </c>
      <c r="W742" s="168">
        <f t="shared" si="246"/>
        <v>0</v>
      </c>
      <c r="X742" s="163">
        <f t="shared" si="233"/>
        <v>5264.6553374917639</v>
      </c>
      <c r="Y742" s="152"/>
      <c r="Z742" s="164">
        <f>IF(AND($C741=12,$D741=Input!$C$6),0,IF($E742="","",V742+Z743/(1+L742)*R742))</f>
        <v>101029.8708512773</v>
      </c>
      <c r="AA742" s="164">
        <f>IF(OR($M742=1,AND($C741=12,$D741=Input!$C$6)),0,IF($E742="","",W742+(X742+AA743*$R742)/(1+$L742)))</f>
        <v>82687.155026832261</v>
      </c>
      <c r="AB742" s="160">
        <f t="shared" si="234"/>
        <v>0.825720328500681</v>
      </c>
      <c r="AC742" s="164">
        <f t="shared" si="235"/>
        <v>0</v>
      </c>
      <c r="AD742" s="164">
        <f>IF(AND($C741=12,$D741=Input!$C$6),0,IF($E742="","",$AC742+AD743/(1+$L742)*$R742))</f>
        <v>83422.418147698088</v>
      </c>
      <c r="AE742" s="152"/>
      <c r="AF742" s="164">
        <f>IF(AND($C741=12,$D741=Input!$C$6),0,IF($E742="","",IF($B742&gt;Input!$C$9,$AC742,0)+AF743/(1+$L742)*$R742))</f>
        <v>83422.418147698088</v>
      </c>
      <c r="AG742" s="164">
        <f>IF(AND($C741=12,$D741=Input!$C$6),0,IF($E742="","",(IF($B742&gt;Input!$C$9,$X742,0)+AG743)/(1+$L742)*$R742))</f>
        <v>77290.460641625206</v>
      </c>
      <c r="AH742" s="160">
        <f t="shared" si="236"/>
        <v>2.0950137211446997</v>
      </c>
      <c r="AI742" s="160">
        <f>IF($E742="","",MIN(Input!$C$61/AH742,1))</f>
        <v>0.64438718771845094</v>
      </c>
      <c r="AJ742" s="152"/>
      <c r="AK742" s="164">
        <f>IF(AND($C741=12,$D741=Input!$C$6),0,IF($E742="","",IF($B742&gt;Input!$C$9,$AC742*AI742,0)+AK743/(1+$L742)*$R742))</f>
        <v>53756.337422867808</v>
      </c>
      <c r="AL742" s="164">
        <f>IF(AND($C741=12,$D741=Input!$C$6),0,IF($E742="","",IF($B742&gt;Input!$C$9,0,$AC742)+AL743/(1+$L742)*$R742))</f>
        <v>0</v>
      </c>
      <c r="AM742" s="160">
        <f t="shared" si="237"/>
        <v>1.1382936520186004</v>
      </c>
      <c r="AN742" s="164">
        <f>IF($E742="","",IF($B742&gt;Input!$C$9,$AI742*$AC742,$AM742*$AC742))</f>
        <v>0</v>
      </c>
      <c r="AO742" s="164">
        <f>IF(AND($C741=12,$D741=Input!$C$6),0,IF($E742="","",$AN742+AO743/(1+$L742)*$R742))</f>
        <v>53756.337422867808</v>
      </c>
      <c r="AP742" s="152"/>
      <c r="AQ742" s="164">
        <f t="shared" si="238"/>
        <v>28930.817603964453</v>
      </c>
      <c r="AR742" s="164">
        <f t="shared" si="247"/>
        <v>26768.242448189456</v>
      </c>
      <c r="AS742" s="164">
        <f t="shared" si="248"/>
        <v>22843.540669856462</v>
      </c>
      <c r="AT742" s="164">
        <f t="shared" si="239"/>
        <v>26768.242448189456</v>
      </c>
      <c r="AU742" s="152"/>
      <c r="AV742" s="147">
        <f>'Deterministic Reserve'!BC742</f>
        <v>5.2279747332875855E-12</v>
      </c>
      <c r="AW742" s="164">
        <f t="shared" si="240"/>
        <v>26768.242448189456</v>
      </c>
      <c r="AX742" s="164">
        <f t="shared" si="241"/>
        <v>1.3994369517365071E-7</v>
      </c>
      <c r="AY742" s="152"/>
    </row>
    <row r="743" spans="1:51" s="150" customFormat="1" x14ac:dyDescent="0.25">
      <c r="A743" s="150">
        <f t="shared" si="249"/>
        <v>739</v>
      </c>
      <c r="B743" s="150">
        <f t="shared" si="250"/>
        <v>62</v>
      </c>
      <c r="C743" s="150">
        <f t="shared" si="251"/>
        <v>7</v>
      </c>
      <c r="D743" s="150">
        <f>IF(E743="","",Input!$C$4+B743-1)</f>
        <v>106</v>
      </c>
      <c r="E743" s="150">
        <f>IF(OR(AND(C742=12,D742=Input!$C$6),E742=""),"",1)</f>
        <v>1</v>
      </c>
      <c r="F743" s="150">
        <f>IF(E743="","",Input!$C$8+B743-1)</f>
        <v>2079</v>
      </c>
      <c r="G743" s="151">
        <f>IF(E743="","",MAX(0,Input!$C$9-B743))</f>
        <v>0</v>
      </c>
      <c r="H743" s="152">
        <f>IF(E743="","",Input!$C$3)</f>
        <v>100000</v>
      </c>
      <c r="I743" s="153">
        <f>IF(E743="","",HLOOKUP($B743,Input!$C$13:$BT$14,2))</f>
        <v>1000</v>
      </c>
      <c r="J743" s="154"/>
      <c r="K743" s="155">
        <f>IF($E743="","",Input!$C$57)</f>
        <v>4.4999999999999998E-2</v>
      </c>
      <c r="L743" s="155">
        <f t="shared" si="242"/>
        <v>3.6748094004368514E-3</v>
      </c>
      <c r="M743" s="147">
        <f>IF($E743="","",VLOOKUP(IF($B743&lt;=Input!$C$7,$B743,26),'Mortality Tables'!$A$72:$CA$97,IF($B743&lt;=Input!$C$7+1,Input!$C$4-16,$D743-Input!$C$7-16),0)/1000)</f>
        <v>0.47743000000000002</v>
      </c>
      <c r="N743" s="147">
        <f t="shared" si="231"/>
        <v>5.2646553374917637E-2</v>
      </c>
      <c r="O743" s="157">
        <f>IF($E743="","",IF($C743=12,IF($B743&lt;Input!$C$9,Input!$C$54,IF($B743=Input!$C$9,Input!$C$55,Input!$C$56)),0%))</f>
        <v>0</v>
      </c>
      <c r="P743" s="167">
        <f>IF($E743="","",IF($B743=1,Input!$C$59,IF($B743&lt;6,Input!$C$60,0%)))</f>
        <v>0</v>
      </c>
      <c r="Q743" s="162">
        <f>IF($E743="","",Input!$C$58)</f>
        <v>2.5</v>
      </c>
      <c r="R743" s="156">
        <f t="shared" si="243"/>
        <v>0.94735344662508236</v>
      </c>
      <c r="S743" s="154">
        <f t="shared" si="232"/>
        <v>4.2631918318973323E-7</v>
      </c>
      <c r="T743" s="152"/>
      <c r="U743" s="150">
        <f t="shared" si="244"/>
        <v>0</v>
      </c>
      <c r="V743" s="150">
        <f t="shared" si="245"/>
        <v>0</v>
      </c>
      <c r="W743" s="168">
        <f t="shared" si="246"/>
        <v>0</v>
      </c>
      <c r="X743" s="163">
        <f t="shared" si="233"/>
        <v>5264.6553374917639</v>
      </c>
      <c r="Y743" s="152"/>
      <c r="Z743" s="164">
        <f>IF(AND($C742=12,$D742=Input!$C$6),0,IF($E743="","",V743+Z744/(1+L743)*R743))</f>
        <v>107036.22468640922</v>
      </c>
      <c r="AA743" s="164">
        <f>IF(OR($M743=1,AND($C742=12,$D742=Input!$C$6)),0,IF($E743="","",W743+(X743+AA744*$R743)/(1+$L743)))</f>
        <v>82045.787135547187</v>
      </c>
      <c r="AB743" s="160">
        <f t="shared" si="234"/>
        <v>0.825720328500681</v>
      </c>
      <c r="AC743" s="164">
        <f t="shared" si="235"/>
        <v>0</v>
      </c>
      <c r="AD743" s="164">
        <f>IF(AND($C742=12,$D742=Input!$C$6),0,IF($E743="","",$AC743+AD744/(1+$L743)*$R743))</f>
        <v>88381.986609534535</v>
      </c>
      <c r="AE743" s="152"/>
      <c r="AF743" s="164">
        <f>IF(AND($C742=12,$D742=Input!$C$6),0,IF($E743="","",IF($B743&gt;Input!$C$9,$AC743,0)+AF744/(1+$L743)*$R743))</f>
        <v>88381.986609534535</v>
      </c>
      <c r="AG743" s="164">
        <f>IF(AND($C742=12,$D742=Input!$C$6),0,IF($E743="","",(IF($B743&gt;Input!$C$9,$X743,0)+AG744)/(1+$L743)*$R743))</f>
        <v>76620.821122547379</v>
      </c>
      <c r="AH743" s="160">
        <f t="shared" si="236"/>
        <v>2.0950137211446997</v>
      </c>
      <c r="AI743" s="160">
        <f>IF($E743="","",MIN(Input!$C$61/AH743,1))</f>
        <v>0.64438718771845094</v>
      </c>
      <c r="AJ743" s="152"/>
      <c r="AK743" s="164">
        <f>IF(AND($C742=12,$D742=Input!$C$6),0,IF($E743="","",IF($B743&gt;Input!$C$9,$AC743*AI743,0)+AK744/(1+$L743)*$R743))</f>
        <v>56952.219796287725</v>
      </c>
      <c r="AL743" s="164">
        <f>IF(AND($C742=12,$D742=Input!$C$6),0,IF($E743="","",IF($B743&gt;Input!$C$9,0,$AC743)+AL744/(1+$L743)*$R743))</f>
        <v>0</v>
      </c>
      <c r="AM743" s="160">
        <f t="shared" si="237"/>
        <v>1.1382936520186004</v>
      </c>
      <c r="AN743" s="164">
        <f>IF($E743="","",IF($B743&gt;Input!$C$9,$AI743*$AC743,$AM743*$AC743))</f>
        <v>0</v>
      </c>
      <c r="AO743" s="164">
        <f>IF(AND($C742=12,$D742=Input!$C$6),0,IF($E743="","",$AN743+AO744/(1+$L743)*$R743))</f>
        <v>56952.219796287725</v>
      </c>
      <c r="AP743" s="152"/>
      <c r="AQ743" s="164">
        <f t="shared" si="238"/>
        <v>25093.567339259462</v>
      </c>
      <c r="AR743" s="164">
        <f t="shared" si="247"/>
        <v>26768.242448189456</v>
      </c>
      <c r="AS743" s="164">
        <f t="shared" si="248"/>
        <v>22843.540669856462</v>
      </c>
      <c r="AT743" s="164">
        <f t="shared" si="239"/>
        <v>26768.242448189456</v>
      </c>
      <c r="AU743" s="152"/>
      <c r="AV743" s="147">
        <f>'Deterministic Reserve'!BC743</f>
        <v>4.6779653876710857E-12</v>
      </c>
      <c r="AW743" s="164">
        <f t="shared" si="240"/>
        <v>26768.242448189456</v>
      </c>
      <c r="AX743" s="164">
        <f t="shared" si="241"/>
        <v>1.252209116614182E-7</v>
      </c>
      <c r="AY743" s="152"/>
    </row>
    <row r="744" spans="1:51" s="150" customFormat="1" x14ac:dyDescent="0.25">
      <c r="A744" s="150">
        <f t="shared" si="249"/>
        <v>740</v>
      </c>
      <c r="B744" s="150">
        <f t="shared" si="250"/>
        <v>62</v>
      </c>
      <c r="C744" s="150">
        <f t="shared" si="251"/>
        <v>8</v>
      </c>
      <c r="D744" s="150">
        <f>IF(E744="","",Input!$C$4+B744-1)</f>
        <v>106</v>
      </c>
      <c r="E744" s="150">
        <f>IF(OR(AND(C743=12,D743=Input!$C$6),E743=""),"",1)</f>
        <v>1</v>
      </c>
      <c r="F744" s="150">
        <f>IF(E744="","",Input!$C$8+B744-1)</f>
        <v>2079</v>
      </c>
      <c r="G744" s="151">
        <f>IF(E744="","",MAX(0,Input!$C$9-B744))</f>
        <v>0</v>
      </c>
      <c r="H744" s="152">
        <f>IF(E744="","",Input!$C$3)</f>
        <v>100000</v>
      </c>
      <c r="I744" s="153">
        <f>IF(E744="","",HLOOKUP($B744,Input!$C$13:$BT$14,2))</f>
        <v>1000</v>
      </c>
      <c r="J744" s="154"/>
      <c r="K744" s="155">
        <f>IF($E744="","",Input!$C$57)</f>
        <v>4.4999999999999998E-2</v>
      </c>
      <c r="L744" s="155">
        <f t="shared" si="242"/>
        <v>3.6748094004368514E-3</v>
      </c>
      <c r="M744" s="147">
        <f>IF($E744="","",VLOOKUP(IF($B744&lt;=Input!$C$7,$B744,26),'Mortality Tables'!$A$72:$CA$97,IF($B744&lt;=Input!$C$7+1,Input!$C$4-16,$D744-Input!$C$7-16),0)/1000)</f>
        <v>0.47743000000000002</v>
      </c>
      <c r="N744" s="147">
        <f t="shared" si="231"/>
        <v>5.2646553374917637E-2</v>
      </c>
      <c r="O744" s="157">
        <f>IF($E744="","",IF($C744=12,IF($B744&lt;Input!$C$9,Input!$C$54,IF($B744=Input!$C$9,Input!$C$55,Input!$C$56)),0%))</f>
        <v>0</v>
      </c>
      <c r="P744" s="167">
        <f>IF($E744="","",IF($B744=1,Input!$C$59,IF($B744&lt;6,Input!$C$60,0%)))</f>
        <v>0</v>
      </c>
      <c r="Q744" s="162">
        <f>IF($E744="","",Input!$C$58)</f>
        <v>2.5</v>
      </c>
      <c r="R744" s="156">
        <f t="shared" si="243"/>
        <v>0.94735344662508236</v>
      </c>
      <c r="S744" s="154">
        <f t="shared" si="232"/>
        <v>4.0387494755718365E-7</v>
      </c>
      <c r="T744" s="152"/>
      <c r="U744" s="150">
        <f t="shared" si="244"/>
        <v>0</v>
      </c>
      <c r="V744" s="150">
        <f t="shared" si="245"/>
        <v>0</v>
      </c>
      <c r="W744" s="168">
        <f t="shared" si="246"/>
        <v>0</v>
      </c>
      <c r="X744" s="163">
        <f t="shared" si="233"/>
        <v>5264.6553374917639</v>
      </c>
      <c r="Y744" s="152"/>
      <c r="Z744" s="164">
        <f>IF(AND($C743=12,$D743=Input!$C$6),0,IF($E744="","",V744+Z745/(1+L744)*R744))</f>
        <v>113399.66386757616</v>
      </c>
      <c r="AA744" s="164">
        <f>IF(OR($M744=1,AND($C743=12,$D743=Input!$C$6)),0,IF($E744="","",W744+(X744+AA745*$R744)/(1+$L744)))</f>
        <v>81366.289110460173</v>
      </c>
      <c r="AB744" s="160">
        <f t="shared" si="234"/>
        <v>0.825720328500681</v>
      </c>
      <c r="AC744" s="164">
        <f t="shared" si="235"/>
        <v>0</v>
      </c>
      <c r="AD744" s="164">
        <f>IF(AND($C743=12,$D743=Input!$C$6),0,IF($E744="","",$AC744+AD745/(1+$L744)*$R744))</f>
        <v>93636.40770060182</v>
      </c>
      <c r="AE744" s="152"/>
      <c r="AF744" s="164">
        <f>IF(AND($C743=12,$D743=Input!$C$6),0,IF($E744="","",IF($B744&gt;Input!$C$9,$AC744,0)+AF745/(1+$L744)*$R744))</f>
        <v>93636.40770060182</v>
      </c>
      <c r="AG744" s="164">
        <f>IF(AND($C743=12,$D743=Input!$C$6),0,IF($E744="","",(IF($B744&gt;Input!$C$9,$X744,0)+AG745)/(1+$L744)*$R744))</f>
        <v>75911.370685572911</v>
      </c>
      <c r="AH744" s="160">
        <f t="shared" si="236"/>
        <v>2.0950137211446997</v>
      </c>
      <c r="AI744" s="160">
        <f>IF($E744="","",MIN(Input!$C$61/AH744,1))</f>
        <v>0.64438718771845094</v>
      </c>
      <c r="AJ744" s="152"/>
      <c r="AK744" s="164">
        <f>IF(AND($C743=12,$D743=Input!$C$6),0,IF($E744="","",IF($B744&gt;Input!$C$9,$AC744*AI744,0)+AK745/(1+$L744)*$R744))</f>
        <v>60338.101426249086</v>
      </c>
      <c r="AL744" s="164">
        <f>IF(AND($C743=12,$D743=Input!$C$6),0,IF($E744="","",IF($B744&gt;Input!$C$9,0,$AC744)+AL745/(1+$L744)*$R744))</f>
        <v>0</v>
      </c>
      <c r="AM744" s="160">
        <f t="shared" si="237"/>
        <v>1.1382936520186004</v>
      </c>
      <c r="AN744" s="164">
        <f>IF($E744="","",IF($B744&gt;Input!$C$9,$AI744*$AC744,$AM744*$AC744))</f>
        <v>0</v>
      </c>
      <c r="AO744" s="164">
        <f>IF(AND($C743=12,$D743=Input!$C$6),0,IF($E744="","",$AN744+AO745/(1+$L744)*$R744))</f>
        <v>60338.101426249086</v>
      </c>
      <c r="AP744" s="152"/>
      <c r="AQ744" s="164">
        <f t="shared" si="238"/>
        <v>21028.187684211087</v>
      </c>
      <c r="AR744" s="164">
        <f t="shared" si="247"/>
        <v>26768.242448189456</v>
      </c>
      <c r="AS744" s="164">
        <f t="shared" si="248"/>
        <v>22843.540669856462</v>
      </c>
      <c r="AT744" s="164">
        <f t="shared" si="239"/>
        <v>26768.242448189456</v>
      </c>
      <c r="AU744" s="152"/>
      <c r="AV744" s="147">
        <f>'Deterministic Reserve'!BC744</f>
        <v>4.1858198030133652E-12</v>
      </c>
      <c r="AW744" s="164">
        <f t="shared" si="240"/>
        <v>26768.242448189456</v>
      </c>
      <c r="AX744" s="164">
        <f t="shared" si="241"/>
        <v>1.1204703933149438E-7</v>
      </c>
      <c r="AY744" s="152"/>
    </row>
    <row r="745" spans="1:51" s="150" customFormat="1" x14ac:dyDescent="0.25">
      <c r="A745" s="150">
        <f t="shared" si="249"/>
        <v>741</v>
      </c>
      <c r="B745" s="150">
        <f t="shared" si="250"/>
        <v>62</v>
      </c>
      <c r="C745" s="150">
        <f t="shared" si="251"/>
        <v>9</v>
      </c>
      <c r="D745" s="150">
        <f>IF(E745="","",Input!$C$4+B745-1)</f>
        <v>106</v>
      </c>
      <c r="E745" s="150">
        <f>IF(OR(AND(C744=12,D744=Input!$C$6),E744=""),"",1)</f>
        <v>1</v>
      </c>
      <c r="F745" s="150">
        <f>IF(E745="","",Input!$C$8+B745-1)</f>
        <v>2079</v>
      </c>
      <c r="G745" s="151">
        <f>IF(E745="","",MAX(0,Input!$C$9-B745))</f>
        <v>0</v>
      </c>
      <c r="H745" s="152">
        <f>IF(E745="","",Input!$C$3)</f>
        <v>100000</v>
      </c>
      <c r="I745" s="153">
        <f>IF(E745="","",HLOOKUP($B745,Input!$C$13:$BT$14,2))</f>
        <v>1000</v>
      </c>
      <c r="J745" s="154"/>
      <c r="K745" s="155">
        <f>IF($E745="","",Input!$C$57)</f>
        <v>4.4999999999999998E-2</v>
      </c>
      <c r="L745" s="155">
        <f t="shared" si="242"/>
        <v>3.6748094004368514E-3</v>
      </c>
      <c r="M745" s="147">
        <f>IF($E745="","",VLOOKUP(IF($B745&lt;=Input!$C$7,$B745,26),'Mortality Tables'!$A$72:$CA$97,IF($B745&lt;=Input!$C$7+1,Input!$C$4-16,$D745-Input!$C$7-16),0)/1000)</f>
        <v>0.47743000000000002</v>
      </c>
      <c r="N745" s="147">
        <f t="shared" si="231"/>
        <v>5.2646553374917637E-2</v>
      </c>
      <c r="O745" s="157">
        <f>IF($E745="","",IF($C745=12,IF($B745&lt;Input!$C$9,Input!$C$54,IF($B745=Input!$C$9,Input!$C$55,Input!$C$56)),0%))</f>
        <v>0</v>
      </c>
      <c r="P745" s="167">
        <f>IF($E745="","",IF($B745=1,Input!$C$59,IF($B745&lt;6,Input!$C$60,0%)))</f>
        <v>0</v>
      </c>
      <c r="Q745" s="162">
        <f>IF($E745="","",Input!$C$58)</f>
        <v>2.5</v>
      </c>
      <c r="R745" s="156">
        <f t="shared" si="243"/>
        <v>0.94735344662508236</v>
      </c>
      <c r="S745" s="154">
        <f t="shared" si="232"/>
        <v>3.8261232357382233E-7</v>
      </c>
      <c r="T745" s="152"/>
      <c r="U745" s="150">
        <f t="shared" si="244"/>
        <v>0</v>
      </c>
      <c r="V745" s="150">
        <f t="shared" si="245"/>
        <v>0</v>
      </c>
      <c r="W745" s="168">
        <f t="shared" si="246"/>
        <v>0</v>
      </c>
      <c r="X745" s="163">
        <f t="shared" si="233"/>
        <v>5264.6553374917639</v>
      </c>
      <c r="Y745" s="152"/>
      <c r="Z745" s="164">
        <f>IF(AND($C744=12,$D744=Input!$C$6),0,IF($E745="","",V745+Z746/(1+L745)*R745))</f>
        <v>120141.41757105598</v>
      </c>
      <c r="AA745" s="164">
        <f>IF(OR($M745=1,AND($C744=12,$D744=Input!$C$6)),0,IF($E745="","",W745+(X745+AA746*$R745)/(1+$L745)))</f>
        <v>80646.39406680275</v>
      </c>
      <c r="AB745" s="160">
        <f t="shared" si="234"/>
        <v>0.825720328500681</v>
      </c>
      <c r="AC745" s="164">
        <f t="shared" si="235"/>
        <v>0</v>
      </c>
      <c r="AD745" s="164">
        <f>IF(AND($C744=12,$D744=Input!$C$6),0,IF($E745="","",$AC745+AD746/(1+$L745)*$R745))</f>
        <v>99203.210783309856</v>
      </c>
      <c r="AE745" s="152"/>
      <c r="AF745" s="164">
        <f>IF(AND($C744=12,$D744=Input!$C$6),0,IF($E745="","",IF($B745&gt;Input!$C$9,$AC745,0)+AF746/(1+$L745)*$R745))</f>
        <v>99203.210783309856</v>
      </c>
      <c r="AG745" s="164">
        <f>IF(AND($C744=12,$D744=Input!$C$6),0,IF($E745="","",(IF($B745&gt;Input!$C$9,$X745,0)+AG746)/(1+$L745)*$R745))</f>
        <v>75159.742521189197</v>
      </c>
      <c r="AH745" s="160">
        <f t="shared" si="236"/>
        <v>2.0950137211446997</v>
      </c>
      <c r="AI745" s="160">
        <f>IF($E745="","",MIN(Input!$C$61/AH745,1))</f>
        <v>0.64438718771845094</v>
      </c>
      <c r="AJ745" s="152"/>
      <c r="AK745" s="164">
        <f>IF(AND($C744=12,$D744=Input!$C$6),0,IF($E745="","",IF($B745&gt;Input!$C$9,$AC745*AI745,0)+AK746/(1+$L745)*$R745))</f>
        <v>63925.278009297719</v>
      </c>
      <c r="AL745" s="164">
        <f>IF(AND($C744=12,$D744=Input!$C$6),0,IF($E745="","",IF($B745&gt;Input!$C$9,0,$AC745)+AL746/(1+$L745)*$R745))</f>
        <v>0</v>
      </c>
      <c r="AM745" s="160">
        <f t="shared" si="237"/>
        <v>1.1382936520186004</v>
      </c>
      <c r="AN745" s="164">
        <f>IF($E745="","",IF($B745&gt;Input!$C$9,$AI745*$AC745,$AM745*$AC745))</f>
        <v>0</v>
      </c>
      <c r="AO745" s="164">
        <f>IF(AND($C744=12,$D744=Input!$C$6),0,IF($E745="","",$AN745+AO746/(1+$L745)*$R745))</f>
        <v>63925.278009297719</v>
      </c>
      <c r="AP745" s="152"/>
      <c r="AQ745" s="164">
        <f t="shared" si="238"/>
        <v>16721.116057505031</v>
      </c>
      <c r="AR745" s="164">
        <f t="shared" si="247"/>
        <v>26768.242448189456</v>
      </c>
      <c r="AS745" s="164">
        <f t="shared" si="248"/>
        <v>22843.540669856462</v>
      </c>
      <c r="AT745" s="164">
        <f t="shared" si="239"/>
        <v>26768.242448189456</v>
      </c>
      <c r="AU745" s="152"/>
      <c r="AV745" s="147">
        <f>'Deterministic Reserve'!BC745</f>
        <v>3.7454504194229793E-12</v>
      </c>
      <c r="AW745" s="164">
        <f t="shared" si="240"/>
        <v>26768.242448189456</v>
      </c>
      <c r="AX745" s="164">
        <f t="shared" si="241"/>
        <v>1.002591249047872E-7</v>
      </c>
      <c r="AY745" s="152"/>
    </row>
    <row r="746" spans="1:51" s="150" customFormat="1" x14ac:dyDescent="0.25">
      <c r="A746" s="150">
        <f t="shared" si="249"/>
        <v>742</v>
      </c>
      <c r="B746" s="150">
        <f t="shared" si="250"/>
        <v>62</v>
      </c>
      <c r="C746" s="150">
        <f t="shared" si="251"/>
        <v>10</v>
      </c>
      <c r="D746" s="150">
        <f>IF(E746="","",Input!$C$4+B746-1)</f>
        <v>106</v>
      </c>
      <c r="E746" s="150">
        <f>IF(OR(AND(C745=12,D745=Input!$C$6),E745=""),"",1)</f>
        <v>1</v>
      </c>
      <c r="F746" s="150">
        <f>IF(E746="","",Input!$C$8+B746-1)</f>
        <v>2079</v>
      </c>
      <c r="G746" s="151">
        <f>IF(E746="","",MAX(0,Input!$C$9-B746))</f>
        <v>0</v>
      </c>
      <c r="H746" s="152">
        <f>IF(E746="","",Input!$C$3)</f>
        <v>100000</v>
      </c>
      <c r="I746" s="153">
        <f>IF(E746="","",HLOOKUP($B746,Input!$C$13:$BT$14,2))</f>
        <v>1000</v>
      </c>
      <c r="J746" s="154"/>
      <c r="K746" s="155">
        <f>IF($E746="","",Input!$C$57)</f>
        <v>4.4999999999999998E-2</v>
      </c>
      <c r="L746" s="155">
        <f t="shared" si="242"/>
        <v>3.6748094004368514E-3</v>
      </c>
      <c r="M746" s="147">
        <f>IF($E746="","",VLOOKUP(IF($B746&lt;=Input!$C$7,$B746,26),'Mortality Tables'!$A$72:$CA$97,IF($B746&lt;=Input!$C$7+1,Input!$C$4-16,$D746-Input!$C$7-16),0)/1000)</f>
        <v>0.47743000000000002</v>
      </c>
      <c r="N746" s="147">
        <f t="shared" si="231"/>
        <v>5.2646553374917637E-2</v>
      </c>
      <c r="O746" s="157">
        <f>IF($E746="","",IF($C746=12,IF($B746&lt;Input!$C$9,Input!$C$54,IF($B746=Input!$C$9,Input!$C$55,Input!$C$56)),0%))</f>
        <v>0</v>
      </c>
      <c r="P746" s="167">
        <f>IF($E746="","",IF($B746=1,Input!$C$59,IF($B746&lt;6,Input!$C$60,0%)))</f>
        <v>0</v>
      </c>
      <c r="Q746" s="162">
        <f>IF($E746="","",Input!$C$58)</f>
        <v>2.5</v>
      </c>
      <c r="R746" s="156">
        <f t="shared" si="243"/>
        <v>0.94735344662508236</v>
      </c>
      <c r="S746" s="154">
        <f t="shared" si="232"/>
        <v>3.6246910345889182E-7</v>
      </c>
      <c r="T746" s="152"/>
      <c r="U746" s="150">
        <f t="shared" si="244"/>
        <v>0</v>
      </c>
      <c r="V746" s="150">
        <f t="shared" si="245"/>
        <v>0</v>
      </c>
      <c r="W746" s="168">
        <f t="shared" si="246"/>
        <v>0</v>
      </c>
      <c r="X746" s="163">
        <f t="shared" si="233"/>
        <v>5264.6553374917639</v>
      </c>
      <c r="Y746" s="152"/>
      <c r="Z746" s="164">
        <f>IF(AND($C745=12,$D745=Input!$C$6),0,IF($E746="","",V746+Z747/(1+L746)*R746))</f>
        <v>127283.97707455527</v>
      </c>
      <c r="AA746" s="164">
        <f>IF(OR($M746=1,AND($C745=12,$D745=Input!$C$6)),0,IF($E746="","",W746+(X746+AA747*$R746)/(1+$L746)))</f>
        <v>79883.700350634623</v>
      </c>
      <c r="AB746" s="160">
        <f t="shared" si="234"/>
        <v>0.825720328500681</v>
      </c>
      <c r="AC746" s="164">
        <f t="shared" si="235"/>
        <v>0</v>
      </c>
      <c r="AD746" s="164">
        <f>IF(AND($C745=12,$D745=Input!$C$6),0,IF($E746="","",$AC746+AD747/(1+$L746)*$R746))</f>
        <v>105100.96736287496</v>
      </c>
      <c r="AE746" s="152"/>
      <c r="AF746" s="164">
        <f>IF(AND($C745=12,$D745=Input!$C$6),0,IF($E746="","",IF($B746&gt;Input!$C$9,$AC746,0)+AF747/(1+$L746)*$R746))</f>
        <v>105100.96736287496</v>
      </c>
      <c r="AG746" s="164">
        <f>IF(AND($C745=12,$D745=Input!$C$6),0,IF($E746="","",(IF($B746&gt;Input!$C$9,$X746,0)+AG747)/(1+$L746)*$R746))</f>
        <v>74363.429110059136</v>
      </c>
      <c r="AH746" s="160">
        <f t="shared" si="236"/>
        <v>2.0950137211446997</v>
      </c>
      <c r="AI746" s="160">
        <f>IF($E746="","",MIN(Input!$C$61/AH746,1))</f>
        <v>0.64438718771845094</v>
      </c>
      <c r="AJ746" s="152"/>
      <c r="AK746" s="164">
        <f>IF(AND($C745=12,$D745=Input!$C$6),0,IF($E746="","",IF($B746&gt;Input!$C$9,$AC746*AI746,0)+AK747/(1+$L746)*$R746))</f>
        <v>67725.716785451659</v>
      </c>
      <c r="AL746" s="164">
        <f>IF(AND($C745=12,$D745=Input!$C$6),0,IF($E746="","",IF($B746&gt;Input!$C$9,0,$AC746)+AL747/(1+$L746)*$R746))</f>
        <v>0</v>
      </c>
      <c r="AM746" s="160">
        <f t="shared" si="237"/>
        <v>1.1382936520186004</v>
      </c>
      <c r="AN746" s="164">
        <f>IF($E746="","",IF($B746&gt;Input!$C$9,$AI746*$AC746,$AM746*$AC746))</f>
        <v>0</v>
      </c>
      <c r="AO746" s="164">
        <f>IF(AND($C745=12,$D745=Input!$C$6),0,IF($E746="","",$AN746+AO747/(1+$L746)*$R746))</f>
        <v>67725.716785451659</v>
      </c>
      <c r="AP746" s="152"/>
      <c r="AQ746" s="164">
        <f t="shared" si="238"/>
        <v>12157.983565182964</v>
      </c>
      <c r="AR746" s="164">
        <f t="shared" si="247"/>
        <v>26768.242448189456</v>
      </c>
      <c r="AS746" s="164">
        <f t="shared" si="248"/>
        <v>22843.540669856462</v>
      </c>
      <c r="AT746" s="164">
        <f t="shared" si="239"/>
        <v>26768.242448189456</v>
      </c>
      <c r="AU746" s="152"/>
      <c r="AV746" s="147">
        <f>'Deterministic Reserve'!BC746</f>
        <v>3.3514101190540382E-12</v>
      </c>
      <c r="AW746" s="164">
        <f t="shared" si="240"/>
        <v>26768.242448189456</v>
      </c>
      <c r="AX746" s="164">
        <f t="shared" si="241"/>
        <v>8.971135861015398E-8</v>
      </c>
      <c r="AY746" s="152"/>
    </row>
    <row r="747" spans="1:51" s="150" customFormat="1" x14ac:dyDescent="0.25">
      <c r="A747" s="150">
        <f t="shared" si="249"/>
        <v>743</v>
      </c>
      <c r="B747" s="150">
        <f t="shared" si="250"/>
        <v>62</v>
      </c>
      <c r="C747" s="150">
        <f t="shared" si="251"/>
        <v>11</v>
      </c>
      <c r="D747" s="150">
        <f>IF(E747="","",Input!$C$4+B747-1)</f>
        <v>106</v>
      </c>
      <c r="E747" s="150">
        <f>IF(OR(AND(C746=12,D746=Input!$C$6),E746=""),"",1)</f>
        <v>1</v>
      </c>
      <c r="F747" s="150">
        <f>IF(E747="","",Input!$C$8+B747-1)</f>
        <v>2079</v>
      </c>
      <c r="G747" s="151">
        <f>IF(E747="","",MAX(0,Input!$C$9-B747))</f>
        <v>0</v>
      </c>
      <c r="H747" s="152">
        <f>IF(E747="","",Input!$C$3)</f>
        <v>100000</v>
      </c>
      <c r="I747" s="153">
        <f>IF(E747="","",HLOOKUP($B747,Input!$C$13:$BT$14,2))</f>
        <v>1000</v>
      </c>
      <c r="J747" s="154"/>
      <c r="K747" s="155">
        <f>IF($E747="","",Input!$C$57)</f>
        <v>4.4999999999999998E-2</v>
      </c>
      <c r="L747" s="155">
        <f t="shared" si="242"/>
        <v>3.6748094004368514E-3</v>
      </c>
      <c r="M747" s="147">
        <f>IF($E747="","",VLOOKUP(IF($B747&lt;=Input!$C$7,$B747,26),'Mortality Tables'!$A$72:$CA$97,IF($B747&lt;=Input!$C$7+1,Input!$C$4-16,$D747-Input!$C$7-16),0)/1000)</f>
        <v>0.47743000000000002</v>
      </c>
      <c r="N747" s="147">
        <f t="shared" si="231"/>
        <v>5.2646553374917637E-2</v>
      </c>
      <c r="O747" s="157">
        <f>IF($E747="","",IF($C747=12,IF($B747&lt;Input!$C$9,Input!$C$54,IF($B747=Input!$C$9,Input!$C$55,Input!$C$56)),0%))</f>
        <v>0</v>
      </c>
      <c r="P747" s="167">
        <f>IF($E747="","",IF($B747=1,Input!$C$59,IF($B747&lt;6,Input!$C$60,0%)))</f>
        <v>0</v>
      </c>
      <c r="Q747" s="162">
        <f>IF($E747="","",Input!$C$58)</f>
        <v>2.5</v>
      </c>
      <c r="R747" s="156">
        <f t="shared" si="243"/>
        <v>0.94735344662508236</v>
      </c>
      <c r="S747" s="154">
        <f t="shared" si="232"/>
        <v>3.4338635445688472E-7</v>
      </c>
      <c r="T747" s="152"/>
      <c r="U747" s="150">
        <f t="shared" si="244"/>
        <v>0</v>
      </c>
      <c r="V747" s="150">
        <f t="shared" si="245"/>
        <v>0</v>
      </c>
      <c r="W747" s="168">
        <f t="shared" si="246"/>
        <v>0</v>
      </c>
      <c r="X747" s="163">
        <f t="shared" si="233"/>
        <v>5264.6553374917639</v>
      </c>
      <c r="Y747" s="152"/>
      <c r="Z747" s="164">
        <f>IF(AND($C746=12,$D746=Input!$C$6),0,IF($E747="","",V747+Z748/(1+L747)*R747))</f>
        <v>134851.17079073857</v>
      </c>
      <c r="AA747" s="164">
        <f>IF(OR($M747=1,AND($C746=12,$D746=Input!$C$6)),0,IF($E747="","",W747+(X747+AA748*$R747)/(1+$L747)))</f>
        <v>79075.663526645629</v>
      </c>
      <c r="AB747" s="160">
        <f t="shared" si="234"/>
        <v>0.825720328500681</v>
      </c>
      <c r="AC747" s="164">
        <f t="shared" si="235"/>
        <v>0</v>
      </c>
      <c r="AD747" s="164">
        <f>IF(AND($C746=12,$D746=Input!$C$6),0,IF($E747="","",$AC747+AD748/(1+$L747)*$R747))</f>
        <v>111349.35304403014</v>
      </c>
      <c r="AE747" s="152"/>
      <c r="AF747" s="164">
        <f>IF(AND($C746=12,$D746=Input!$C$6),0,IF($E747="","",IF($B747&gt;Input!$C$9,$AC747,0)+AF748/(1+$L747)*$R747))</f>
        <v>111349.35304403014</v>
      </c>
      <c r="AG747" s="164">
        <f>IF(AND($C746=12,$D746=Input!$C$6),0,IF($E747="","",(IF($B747&gt;Input!$C$9,$X747,0)+AG748)/(1+$L747)*$R747))</f>
        <v>73519.773857643871</v>
      </c>
      <c r="AH747" s="160">
        <f t="shared" si="236"/>
        <v>2.0950137211446997</v>
      </c>
      <c r="AI747" s="160">
        <f>IF($E747="","",MIN(Input!$C$61/AH747,1))</f>
        <v>0.64438718771845094</v>
      </c>
      <c r="AJ747" s="152"/>
      <c r="AK747" s="164">
        <f>IF(AND($C746=12,$D746=Input!$C$6),0,IF($E747="","",IF($B747&gt;Input!$C$9,$AC747*AI747,0)+AK748/(1+$L747)*$R747))</f>
        <v>71752.096462311471</v>
      </c>
      <c r="AL747" s="164">
        <f>IF(AND($C746=12,$D746=Input!$C$6),0,IF($E747="","",IF($B747&gt;Input!$C$9,0,$AC747)+AL748/(1+$L747)*$R747))</f>
        <v>0</v>
      </c>
      <c r="AM747" s="160">
        <f t="shared" si="237"/>
        <v>1.1382936520186004</v>
      </c>
      <c r="AN747" s="164">
        <f>IF($E747="","",IF($B747&gt;Input!$C$9,$AI747*$AC747,$AM747*$AC747))</f>
        <v>0</v>
      </c>
      <c r="AO747" s="164">
        <f>IF(AND($C746=12,$D746=Input!$C$6),0,IF($E747="","",$AN747+AO748/(1+$L747)*$R747))</f>
        <v>71752.096462311471</v>
      </c>
      <c r="AP747" s="152"/>
      <c r="AQ747" s="164">
        <f t="shared" si="238"/>
        <v>7323.5670643341582</v>
      </c>
      <c r="AR747" s="164">
        <f t="shared" si="247"/>
        <v>26768.242448189456</v>
      </c>
      <c r="AS747" s="164">
        <f t="shared" si="248"/>
        <v>22843.540669856462</v>
      </c>
      <c r="AT747" s="164">
        <f t="shared" si="239"/>
        <v>26768.242448189456</v>
      </c>
      <c r="AU747" s="152"/>
      <c r="AV747" s="147">
        <f>'Deterministic Reserve'!BC747</f>
        <v>2.9988248483684871E-12</v>
      </c>
      <c r="AW747" s="164">
        <f t="shared" si="240"/>
        <v>26768.242448189456</v>
      </c>
      <c r="AX747" s="164">
        <f t="shared" si="241"/>
        <v>8.0273270600782649E-8</v>
      </c>
      <c r="AY747" s="152"/>
    </row>
    <row r="748" spans="1:51" s="150" customFormat="1" x14ac:dyDescent="0.25">
      <c r="A748" s="150">
        <f t="shared" si="249"/>
        <v>744</v>
      </c>
      <c r="B748" s="150">
        <f t="shared" si="250"/>
        <v>62</v>
      </c>
      <c r="C748" s="150">
        <f t="shared" si="251"/>
        <v>12</v>
      </c>
      <c r="D748" s="150">
        <f>IF(E748="","",Input!$C$4+B748-1)</f>
        <v>106</v>
      </c>
      <c r="E748" s="150">
        <f>IF(OR(AND(C747=12,D747=Input!$C$6),E747=""),"",1)</f>
        <v>1</v>
      </c>
      <c r="F748" s="150">
        <f>IF(E748="","",Input!$C$8+B748-1)</f>
        <v>2079</v>
      </c>
      <c r="G748" s="151">
        <f>IF(E748="","",MAX(0,Input!$C$9-B748))</f>
        <v>0</v>
      </c>
      <c r="H748" s="152">
        <f>IF(E748="","",Input!$C$3)</f>
        <v>100000</v>
      </c>
      <c r="I748" s="153">
        <f>IF(E748="","",HLOOKUP($B748,Input!$C$13:$BT$14,2))</f>
        <v>1000</v>
      </c>
      <c r="J748" s="154"/>
      <c r="K748" s="155">
        <f>IF($E748="","",Input!$C$57)</f>
        <v>4.4999999999999998E-2</v>
      </c>
      <c r="L748" s="155">
        <f t="shared" si="242"/>
        <v>3.6748094004368514E-3</v>
      </c>
      <c r="M748" s="147">
        <f>IF($E748="","",VLOOKUP(IF($B748&lt;=Input!$C$7,$B748,26),'Mortality Tables'!$A$72:$CA$97,IF($B748&lt;=Input!$C$7+1,Input!$C$4-16,$D748-Input!$C$7-16),0)/1000)</f>
        <v>0.47743000000000002</v>
      </c>
      <c r="N748" s="147">
        <f t="shared" si="231"/>
        <v>5.2646553374917637E-2</v>
      </c>
      <c r="O748" s="157">
        <f>IF($E748="","",IF($C748=12,IF($B748&lt;Input!$C$9,Input!$C$54,IF($B748=Input!$C$9,Input!$C$55,Input!$C$56)),0%))</f>
        <v>0.1</v>
      </c>
      <c r="P748" s="167">
        <f>IF($E748="","",IF($B748=1,Input!$C$59,IF($B748&lt;6,Input!$C$60,0%)))</f>
        <v>0</v>
      </c>
      <c r="Q748" s="162">
        <f>IF($E748="","",Input!$C$58)</f>
        <v>2.5</v>
      </c>
      <c r="R748" s="156">
        <f t="shared" si="243"/>
        <v>0.84735344662508238</v>
      </c>
      <c r="S748" s="154">
        <f t="shared" si="232"/>
        <v>2.9096961097306349E-7</v>
      </c>
      <c r="T748" s="152"/>
      <c r="U748" s="150">
        <f t="shared" si="244"/>
        <v>0</v>
      </c>
      <c r="V748" s="150">
        <f t="shared" si="245"/>
        <v>0</v>
      </c>
      <c r="W748" s="168">
        <f t="shared" si="246"/>
        <v>0</v>
      </c>
      <c r="X748" s="163">
        <f t="shared" si="233"/>
        <v>5264.6553374917639</v>
      </c>
      <c r="Y748" s="152"/>
      <c r="Z748" s="164">
        <f>IF(AND($C747=12,$D747=Input!$C$6),0,IF($E748="","",V748+Z749/(1+L748)*R748))</f>
        <v>142868.24376159592</v>
      </c>
      <c r="AA748" s="164">
        <f>IF(OR($M748=1,AND($C747=12,$D747=Input!$C$6)),0,IF($E748="","",W748+(X748+AA749*$R748)/(1+$L748)))</f>
        <v>78219.587889622446</v>
      </c>
      <c r="AB748" s="160">
        <f t="shared" si="234"/>
        <v>0.825720328500681</v>
      </c>
      <c r="AC748" s="164">
        <f t="shared" si="235"/>
        <v>0</v>
      </c>
      <c r="AD748" s="164">
        <f>IF(AND($C747=12,$D747=Input!$C$6),0,IF($E748="","",$AC748+AD749/(1+$L748)*$R748))</f>
        <v>117969.21317114038</v>
      </c>
      <c r="AE748" s="152"/>
      <c r="AF748" s="164">
        <f>IF(AND($C747=12,$D747=Input!$C$6),0,IF($E748="","",IF($B748&gt;Input!$C$9,$AC748,0)+AF749/(1+$L748)*$R748))</f>
        <v>117969.21317114038</v>
      </c>
      <c r="AG748" s="164">
        <f>IF(AND($C747=12,$D747=Input!$C$6),0,IF($E748="","",(IF($B748&gt;Input!$C$9,$X748,0)+AG749)/(1+$L748)*$R748))</f>
        <v>72625.962231493046</v>
      </c>
      <c r="AH748" s="160">
        <f t="shared" si="236"/>
        <v>2.0950137211446997</v>
      </c>
      <c r="AI748" s="160">
        <f>IF($E748="","",MIN(Input!$C$61/AH748,1))</f>
        <v>0.64438718771845094</v>
      </c>
      <c r="AJ748" s="152"/>
      <c r="AK748" s="164">
        <f>IF(AND($C747=12,$D747=Input!$C$6),0,IF($E748="","",IF($B748&gt;Input!$C$9,$AC748*AI748,0)+AK749/(1+$L748)*$R748))</f>
        <v>76017.849512709552</v>
      </c>
      <c r="AL748" s="164">
        <f>IF(AND($C747=12,$D747=Input!$C$6),0,IF($E748="","",IF($B748&gt;Input!$C$9,0,$AC748)+AL749/(1+$L748)*$R748))</f>
        <v>0</v>
      </c>
      <c r="AM748" s="160">
        <f t="shared" si="237"/>
        <v>1.1382936520186004</v>
      </c>
      <c r="AN748" s="164">
        <f>IF($E748="","",IF($B748&gt;Input!$C$9,$AI748*$AC748,$AM748*$AC748))</f>
        <v>0</v>
      </c>
      <c r="AO748" s="164">
        <f>IF(AND($C747=12,$D747=Input!$C$6),0,IF($E748="","",$AN748+AO749/(1+$L748)*$R748))</f>
        <v>76017.849512709552</v>
      </c>
      <c r="AP748" s="152"/>
      <c r="AQ748" s="164">
        <f t="shared" si="238"/>
        <v>2201.7383769128937</v>
      </c>
      <c r="AR748" s="164">
        <f t="shared" si="247"/>
        <v>26768.242448189456</v>
      </c>
      <c r="AS748" s="164">
        <f t="shared" si="248"/>
        <v>22843.540669856462</v>
      </c>
      <c r="AT748" s="164">
        <f t="shared" si="239"/>
        <v>26768.242448189456</v>
      </c>
      <c r="AU748" s="152"/>
      <c r="AV748" s="147">
        <f>'Deterministic Reserve'!BC748</f>
        <v>2.3834508440398361E-12</v>
      </c>
      <c r="AW748" s="164">
        <f t="shared" si="240"/>
        <v>26768.242448189456</v>
      </c>
      <c r="AX748" s="164">
        <f t="shared" si="241"/>
        <v>6.3800790056600127E-8</v>
      </c>
      <c r="AY748" s="152"/>
    </row>
    <row r="749" spans="1:51" s="150" customFormat="1" x14ac:dyDescent="0.25">
      <c r="A749" s="150">
        <f t="shared" si="249"/>
        <v>745</v>
      </c>
      <c r="B749" s="150">
        <f t="shared" si="250"/>
        <v>63</v>
      </c>
      <c r="C749" s="150">
        <f t="shared" si="251"/>
        <v>1</v>
      </c>
      <c r="D749" s="150">
        <f>IF(E749="","",Input!$C$4+B749-1)</f>
        <v>107</v>
      </c>
      <c r="E749" s="150">
        <f>IF(OR(AND(C748=12,D748=Input!$C$6),E748=""),"",1)</f>
        <v>1</v>
      </c>
      <c r="F749" s="150">
        <f>IF(E749="","",Input!$C$8+B749-1)</f>
        <v>2080</v>
      </c>
      <c r="G749" s="151">
        <f>IF(E749="","",MAX(0,Input!$C$9-B749))</f>
        <v>0</v>
      </c>
      <c r="H749" s="152">
        <f>IF(E749="","",Input!$C$3)</f>
        <v>100000</v>
      </c>
      <c r="I749" s="153">
        <f>IF(E749="","",HLOOKUP($B749,Input!$C$13:$BT$14,2))</f>
        <v>1000</v>
      </c>
      <c r="J749" s="154"/>
      <c r="K749" s="155">
        <f>IF($E749="","",Input!$C$57)</f>
        <v>4.4999999999999998E-2</v>
      </c>
      <c r="L749" s="155">
        <f t="shared" si="242"/>
        <v>3.6748094004368514E-3</v>
      </c>
      <c r="M749" s="147">
        <f>IF($E749="","",VLOOKUP(IF($B749&lt;=Input!$C$7,$B749,26),'Mortality Tables'!$A$72:$CA$97,IF($B749&lt;=Input!$C$7+1,Input!$C$4-16,$D749-Input!$C$7-16),0)/1000)</f>
        <v>0.50331999999999999</v>
      </c>
      <c r="N749" s="147">
        <f t="shared" si="231"/>
        <v>5.6649560677032196E-2</v>
      </c>
      <c r="O749" s="157">
        <f>IF($E749="","",IF($C749=12,IF($B749&lt;Input!$C$9,Input!$C$54,IF($B749=Input!$C$9,Input!$C$55,Input!$C$56)),0%))</f>
        <v>0</v>
      </c>
      <c r="P749" s="167">
        <f>IF($E749="","",IF($B749=1,Input!$C$59,IF($B749&lt;6,Input!$C$60,0%)))</f>
        <v>0</v>
      </c>
      <c r="Q749" s="162">
        <f>IF($E749="","",Input!$C$58)</f>
        <v>2.5</v>
      </c>
      <c r="R749" s="156">
        <f t="shared" si="243"/>
        <v>0.9433504393229678</v>
      </c>
      <c r="S749" s="154">
        <f t="shared" si="232"/>
        <v>2.7448631034107245E-7</v>
      </c>
      <c r="T749" s="152"/>
      <c r="U749" s="150">
        <f t="shared" si="244"/>
        <v>100000</v>
      </c>
      <c r="V749" s="150">
        <f t="shared" si="245"/>
        <v>100000</v>
      </c>
      <c r="W749" s="168">
        <f t="shared" si="246"/>
        <v>0</v>
      </c>
      <c r="X749" s="163">
        <f t="shared" si="233"/>
        <v>5664.9560677032196</v>
      </c>
      <c r="Y749" s="152"/>
      <c r="Z749" s="164">
        <f>IF(AND($C748=12,$D748=Input!$C$6),0,IF($E749="","",V749+Z750/(1+L749)*R749))</f>
        <v>169224.84696075154</v>
      </c>
      <c r="AA749" s="164">
        <f>IF(OR($M749=1,AND($C748=12,$D748=Input!$C$6)),0,IF($E749="","",W749+(X749+AA750*$R749)/(1+$L749)))</f>
        <v>86436.627974692587</v>
      </c>
      <c r="AB749" s="160">
        <f t="shared" si="234"/>
        <v>0.825720328500681</v>
      </c>
      <c r="AC749" s="164">
        <f t="shared" si="235"/>
        <v>82572.032850068106</v>
      </c>
      <c r="AD749" s="164">
        <f>IF(AND($C748=12,$D748=Input!$C$6),0,IF($E749="","",$AC749+AD750/(1+$L749)*$R749))</f>
        <v>139732.39622290927</v>
      </c>
      <c r="AE749" s="152"/>
      <c r="AF749" s="164">
        <f>IF(AND($C748=12,$D748=Input!$C$6),0,IF($E749="","",IF($B749&gt;Input!$C$9,$AC749,0)+AF750/(1+$L749)*$R749))</f>
        <v>139732.39622290927</v>
      </c>
      <c r="AG749" s="164">
        <f>IF(AND($C748=12,$D748=Input!$C$6),0,IF($E749="","",(IF($B749&gt;Input!$C$9,$X749,0)+AG750)/(1+$L749)*$R749))</f>
        <v>80759.481450458392</v>
      </c>
      <c r="AH749" s="160">
        <f t="shared" si="236"/>
        <v>2.0950137211446997</v>
      </c>
      <c r="AI749" s="160">
        <f>IF($E749="","",MIN(Input!$C$61/AH749,1))</f>
        <v>0.64438718771845094</v>
      </c>
      <c r="AJ749" s="152"/>
      <c r="AK749" s="164">
        <f>IF(AND($C748=12,$D748=Input!$C$6),0,IF($E749="","",IF($B749&gt;Input!$C$9,$AC749*AI749,0)+AK750/(1+$L749)*$R749))</f>
        <v>90041.765835240774</v>
      </c>
      <c r="AL749" s="164">
        <f>IF(AND($C748=12,$D748=Input!$C$6),0,IF($E749="","",IF($B749&gt;Input!$C$9,0,$AC749)+AL750/(1+$L749)*$R749))</f>
        <v>0</v>
      </c>
      <c r="AM749" s="160">
        <f t="shared" si="237"/>
        <v>1.1382936520186004</v>
      </c>
      <c r="AN749" s="164">
        <f>IF($E749="","",IF($B749&gt;Input!$C$9,$AI749*$AC749,$AM749*$AC749))</f>
        <v>53208.360032450932</v>
      </c>
      <c r="AO749" s="164">
        <f>IF(AND($C748=12,$D748=Input!$C$6),0,IF($E749="","",$AN749+AO750/(1+$L749)*$R749))</f>
        <v>90041.765835240774</v>
      </c>
      <c r="AP749" s="152"/>
      <c r="AQ749" s="164">
        <f t="shared" si="238"/>
        <v>-3605.1378605481877</v>
      </c>
      <c r="AR749" s="164">
        <f t="shared" si="247"/>
        <v>30852.259094855595</v>
      </c>
      <c r="AS749" s="164">
        <f t="shared" si="248"/>
        <v>24082.296650717704</v>
      </c>
      <c r="AT749" s="164">
        <f t="shared" si="239"/>
        <v>30852.259094855595</v>
      </c>
      <c r="AU749" s="152"/>
      <c r="AV749" s="147">
        <f>'Deterministic Reserve'!BC749</f>
        <v>2.1351685285442424E-12</v>
      </c>
      <c r="AW749" s="164">
        <f t="shared" si="240"/>
        <v>30852.259094855595</v>
      </c>
      <c r="AX749" s="164">
        <f t="shared" si="241"/>
        <v>6.5874772653828536E-8</v>
      </c>
      <c r="AY749" s="152"/>
    </row>
    <row r="750" spans="1:51" s="150" customFormat="1" x14ac:dyDescent="0.25">
      <c r="A750" s="150">
        <f t="shared" si="249"/>
        <v>746</v>
      </c>
      <c r="B750" s="150">
        <f t="shared" si="250"/>
        <v>63</v>
      </c>
      <c r="C750" s="150">
        <f t="shared" si="251"/>
        <v>2</v>
      </c>
      <c r="D750" s="150">
        <f>IF(E750="","",Input!$C$4+B750-1)</f>
        <v>107</v>
      </c>
      <c r="E750" s="150">
        <f>IF(OR(AND(C749=12,D749=Input!$C$6),E749=""),"",1)</f>
        <v>1</v>
      </c>
      <c r="F750" s="150">
        <f>IF(E750="","",Input!$C$8+B750-1)</f>
        <v>2080</v>
      </c>
      <c r="G750" s="151">
        <f>IF(E750="","",MAX(0,Input!$C$9-B750))</f>
        <v>0</v>
      </c>
      <c r="H750" s="152">
        <f>IF(E750="","",Input!$C$3)</f>
        <v>100000</v>
      </c>
      <c r="I750" s="153">
        <f>IF(E750="","",HLOOKUP($B750,Input!$C$13:$BT$14,2))</f>
        <v>1000</v>
      </c>
      <c r="J750" s="154"/>
      <c r="K750" s="155">
        <f>IF($E750="","",Input!$C$57)</f>
        <v>4.4999999999999998E-2</v>
      </c>
      <c r="L750" s="155">
        <f t="shared" si="242"/>
        <v>3.6748094004368514E-3</v>
      </c>
      <c r="M750" s="147">
        <f>IF($E750="","",VLOOKUP(IF($B750&lt;=Input!$C$7,$B750,26),'Mortality Tables'!$A$72:$CA$97,IF($B750&lt;=Input!$C$7+1,Input!$C$4-16,$D750-Input!$C$7-16),0)/1000)</f>
        <v>0.50331999999999999</v>
      </c>
      <c r="N750" s="147">
        <f t="shared" si="231"/>
        <v>5.6649560677032196E-2</v>
      </c>
      <c r="O750" s="157">
        <f>IF($E750="","",IF($C750=12,IF($B750&lt;Input!$C$9,Input!$C$54,IF($B750=Input!$C$9,Input!$C$55,Input!$C$56)),0%))</f>
        <v>0</v>
      </c>
      <c r="P750" s="167">
        <f>IF($E750="","",IF($B750=1,Input!$C$59,IF($B750&lt;6,Input!$C$60,0%)))</f>
        <v>0</v>
      </c>
      <c r="Q750" s="162">
        <f>IF($E750="","",Input!$C$58)</f>
        <v>2.5</v>
      </c>
      <c r="R750" s="156">
        <f t="shared" si="243"/>
        <v>0.9433504393229678</v>
      </c>
      <c r="S750" s="154">
        <f t="shared" si="232"/>
        <v>2.5893678144839117E-7</v>
      </c>
      <c r="T750" s="152"/>
      <c r="U750" s="150">
        <f t="shared" si="244"/>
        <v>0</v>
      </c>
      <c r="V750" s="150">
        <f t="shared" si="245"/>
        <v>0</v>
      </c>
      <c r="W750" s="168">
        <f t="shared" si="246"/>
        <v>0</v>
      </c>
      <c r="X750" s="163">
        <f t="shared" si="233"/>
        <v>5664.9560677032196</v>
      </c>
      <c r="Y750" s="152"/>
      <c r="Z750" s="164">
        <f>IF(AND($C749=12,$D749=Input!$C$6),0,IF($E750="","",V750+Z751/(1+L750)*R750))</f>
        <v>73651.56381224691</v>
      </c>
      <c r="AA750" s="164">
        <f>IF(OR($M750=1,AND($C749=12,$D749=Input!$C$6)),0,IF($E750="","",W750+(X750+AA751*$R750)/(1+$L750)))</f>
        <v>85958.840596088266</v>
      </c>
      <c r="AB750" s="160">
        <f t="shared" si="234"/>
        <v>0.825720328500681</v>
      </c>
      <c r="AC750" s="164">
        <f t="shared" si="235"/>
        <v>0</v>
      </c>
      <c r="AD750" s="164">
        <f>IF(AND($C749=12,$D749=Input!$C$6),0,IF($E750="","",$AC750+AD751/(1+$L750)*$R750))</f>
        <v>60815.593465637416</v>
      </c>
      <c r="AE750" s="152"/>
      <c r="AF750" s="164">
        <f>IF(AND($C749=12,$D749=Input!$C$6),0,IF($E750="","",IF($B750&gt;Input!$C$9,$AC750,0)+AF751/(1+$L750)*$R750))</f>
        <v>60815.593465637416</v>
      </c>
      <c r="AG750" s="164">
        <f>IF(AND($C749=12,$D749=Input!$C$6),0,IF($E750="","",(IF($B750&gt;Input!$C$9,$X750,0)+AG751)/(1+$L750)*$R750))</f>
        <v>80258.846766628558</v>
      </c>
      <c r="AH750" s="160">
        <f t="shared" si="236"/>
        <v>2.0950137211446997</v>
      </c>
      <c r="AI750" s="160">
        <f>IF($E750="","",MIN(Input!$C$61/AH750,1))</f>
        <v>0.64438718771845094</v>
      </c>
      <c r="AJ750" s="152"/>
      <c r="AK750" s="164">
        <f>IF(AND($C749=12,$D749=Input!$C$6),0,IF($E750="","",IF($B750&gt;Input!$C$9,$AC750*AI750,0)+AK751/(1+$L750)*$R750))</f>
        <v>39188.789242750667</v>
      </c>
      <c r="AL750" s="164">
        <f>IF(AND($C749=12,$D749=Input!$C$6),0,IF($E750="","",IF($B750&gt;Input!$C$9,0,$AC750)+AL751/(1+$L750)*$R750))</f>
        <v>0</v>
      </c>
      <c r="AM750" s="160">
        <f t="shared" si="237"/>
        <v>1.1382936520186004</v>
      </c>
      <c r="AN750" s="164">
        <f>IF($E750="","",IF($B750&gt;Input!$C$9,$AI750*$AC750,$AM750*$AC750))</f>
        <v>0</v>
      </c>
      <c r="AO750" s="164">
        <f>IF(AND($C749=12,$D749=Input!$C$6),0,IF($E750="","",$AN750+AO751/(1+$L750)*$R750))</f>
        <v>39188.789242750667</v>
      </c>
      <c r="AP750" s="152"/>
      <c r="AQ750" s="164">
        <f t="shared" si="238"/>
        <v>46770.0513533376</v>
      </c>
      <c r="AR750" s="164">
        <f t="shared" si="247"/>
        <v>30852.259094855595</v>
      </c>
      <c r="AS750" s="164">
        <f t="shared" si="248"/>
        <v>24082.296650717704</v>
      </c>
      <c r="AT750" s="164">
        <f t="shared" si="239"/>
        <v>30852.259094855595</v>
      </c>
      <c r="AU750" s="152"/>
      <c r="AV750" s="147">
        <f>'Deterministic Reserve'!BC750</f>
        <v>1.9127495986275891E-12</v>
      </c>
      <c r="AW750" s="164">
        <f t="shared" si="240"/>
        <v>30852.259094855595</v>
      </c>
      <c r="AX750" s="164">
        <f t="shared" si="241"/>
        <v>5.9012646200439428E-8</v>
      </c>
      <c r="AY750" s="152"/>
    </row>
    <row r="751" spans="1:51" s="150" customFormat="1" x14ac:dyDescent="0.25">
      <c r="A751" s="150">
        <f t="shared" si="249"/>
        <v>747</v>
      </c>
      <c r="B751" s="150">
        <f t="shared" si="250"/>
        <v>63</v>
      </c>
      <c r="C751" s="150">
        <f t="shared" si="251"/>
        <v>3</v>
      </c>
      <c r="D751" s="150">
        <f>IF(E751="","",Input!$C$4+B751-1)</f>
        <v>107</v>
      </c>
      <c r="E751" s="150">
        <f>IF(OR(AND(C750=12,D750=Input!$C$6),E750=""),"",1)</f>
        <v>1</v>
      </c>
      <c r="F751" s="150">
        <f>IF(E751="","",Input!$C$8+B751-1)</f>
        <v>2080</v>
      </c>
      <c r="G751" s="151">
        <f>IF(E751="","",MAX(0,Input!$C$9-B751))</f>
        <v>0</v>
      </c>
      <c r="H751" s="152">
        <f>IF(E751="","",Input!$C$3)</f>
        <v>100000</v>
      </c>
      <c r="I751" s="153">
        <f>IF(E751="","",HLOOKUP($B751,Input!$C$13:$BT$14,2))</f>
        <v>1000</v>
      </c>
      <c r="J751" s="154"/>
      <c r="K751" s="155">
        <f>IF($E751="","",Input!$C$57)</f>
        <v>4.4999999999999998E-2</v>
      </c>
      <c r="L751" s="155">
        <f t="shared" si="242"/>
        <v>3.6748094004368514E-3</v>
      </c>
      <c r="M751" s="147">
        <f>IF($E751="","",VLOOKUP(IF($B751&lt;=Input!$C$7,$B751,26),'Mortality Tables'!$A$72:$CA$97,IF($B751&lt;=Input!$C$7+1,Input!$C$4-16,$D751-Input!$C$7-16),0)/1000)</f>
        <v>0.50331999999999999</v>
      </c>
      <c r="N751" s="147">
        <f t="shared" si="231"/>
        <v>5.6649560677032196E-2</v>
      </c>
      <c r="O751" s="157">
        <f>IF($E751="","",IF($C751=12,IF($B751&lt;Input!$C$9,Input!$C$54,IF($B751=Input!$C$9,Input!$C$55,Input!$C$56)),0%))</f>
        <v>0</v>
      </c>
      <c r="P751" s="167">
        <f>IF($E751="","",IF($B751=1,Input!$C$59,IF($B751&lt;6,Input!$C$60,0%)))</f>
        <v>0</v>
      </c>
      <c r="Q751" s="162">
        <f>IF($E751="","",Input!$C$58)</f>
        <v>2.5</v>
      </c>
      <c r="R751" s="156">
        <f t="shared" si="243"/>
        <v>0.9433504393229678</v>
      </c>
      <c r="S751" s="154">
        <f t="shared" si="232"/>
        <v>2.4426812653621509E-7</v>
      </c>
      <c r="T751" s="152"/>
      <c r="U751" s="150">
        <f t="shared" si="244"/>
        <v>0</v>
      </c>
      <c r="V751" s="150">
        <f t="shared" si="245"/>
        <v>0</v>
      </c>
      <c r="W751" s="168">
        <f t="shared" si="246"/>
        <v>0</v>
      </c>
      <c r="X751" s="163">
        <f t="shared" si="233"/>
        <v>5664.9560677032196</v>
      </c>
      <c r="Y751" s="152"/>
      <c r="Z751" s="164">
        <f>IF(AND($C750=12,$D750=Input!$C$6),0,IF($E751="","",V751+Z752/(1+L751)*R751))</f>
        <v>78361.355642505645</v>
      </c>
      <c r="AA751" s="164">
        <f>IF(OR($M751=1,AND($C750=12,$D750=Input!$C$6)),0,IF($E751="","",W751+(X751+AA752*$R751)/(1+$L751)))</f>
        <v>85450.500178609087</v>
      </c>
      <c r="AB751" s="160">
        <f t="shared" si="234"/>
        <v>0.825720328500681</v>
      </c>
      <c r="AC751" s="164">
        <f t="shared" si="235"/>
        <v>0</v>
      </c>
      <c r="AD751" s="164">
        <f>IF(AND($C750=12,$D750=Input!$C$6),0,IF($E751="","",$AC751+AD752/(1+$L751)*$R751))</f>
        <v>64704.564322888487</v>
      </c>
      <c r="AE751" s="152"/>
      <c r="AF751" s="164">
        <f>IF(AND($C750=12,$D750=Input!$C$6),0,IF($E751="","",IF($B751&gt;Input!$C$9,$AC751,0)+AF752/(1+$L751)*$R751))</f>
        <v>64704.564322888487</v>
      </c>
      <c r="AG751" s="164">
        <f>IF(AND($C750=12,$D750=Input!$C$6),0,IF($E751="","",(IF($B751&gt;Input!$C$9,$X751,0)+AG752)/(1+$L751)*$R751))</f>
        <v>79726.19802876102</v>
      </c>
      <c r="AH751" s="160">
        <f t="shared" si="236"/>
        <v>2.0950137211446997</v>
      </c>
      <c r="AI751" s="160">
        <f>IF($E751="","",MIN(Input!$C$61/AH751,1))</f>
        <v>0.64438718771845094</v>
      </c>
      <c r="AJ751" s="152"/>
      <c r="AK751" s="164">
        <f>IF(AND($C750=12,$D750=Input!$C$6),0,IF($E751="","",IF($B751&gt;Input!$C$9,$AC751*AI751,0)+AK752/(1+$L751)*$R751))</f>
        <v>41694.792236573703</v>
      </c>
      <c r="AL751" s="164">
        <f>IF(AND($C750=12,$D750=Input!$C$6),0,IF($E751="","",IF($B751&gt;Input!$C$9,0,$AC751)+AL752/(1+$L751)*$R751))</f>
        <v>0</v>
      </c>
      <c r="AM751" s="160">
        <f t="shared" si="237"/>
        <v>1.1382936520186004</v>
      </c>
      <c r="AN751" s="164">
        <f>IF($E751="","",IF($B751&gt;Input!$C$9,$AI751*$AC751,$AM751*$AC751))</f>
        <v>0</v>
      </c>
      <c r="AO751" s="164">
        <f>IF(AND($C750=12,$D750=Input!$C$6),0,IF($E751="","",$AN751+AO752/(1+$L751)*$R751))</f>
        <v>41694.792236573703</v>
      </c>
      <c r="AP751" s="152"/>
      <c r="AQ751" s="164">
        <f t="shared" si="238"/>
        <v>43755.707942035384</v>
      </c>
      <c r="AR751" s="164">
        <f t="shared" si="247"/>
        <v>30852.259094855595</v>
      </c>
      <c r="AS751" s="164">
        <f t="shared" si="248"/>
        <v>24082.296650717704</v>
      </c>
      <c r="AT751" s="164">
        <f t="shared" si="239"/>
        <v>30852.259094855595</v>
      </c>
      <c r="AU751" s="152"/>
      <c r="AV751" s="147">
        <f>'Deterministic Reserve'!BC751</f>
        <v>1.7134998845006597E-12</v>
      </c>
      <c r="AW751" s="164">
        <f t="shared" si="240"/>
        <v>30852.259094855595</v>
      </c>
      <c r="AX751" s="164">
        <f t="shared" si="241"/>
        <v>5.286534239561949E-8</v>
      </c>
      <c r="AY751" s="152"/>
    </row>
    <row r="752" spans="1:51" s="150" customFormat="1" x14ac:dyDescent="0.25">
      <c r="A752" s="150">
        <f t="shared" si="249"/>
        <v>748</v>
      </c>
      <c r="B752" s="150">
        <f t="shared" si="250"/>
        <v>63</v>
      </c>
      <c r="C752" s="150">
        <f t="shared" si="251"/>
        <v>4</v>
      </c>
      <c r="D752" s="150">
        <f>IF(E752="","",Input!$C$4+B752-1)</f>
        <v>107</v>
      </c>
      <c r="E752" s="150">
        <f>IF(OR(AND(C751=12,D751=Input!$C$6),E751=""),"",1)</f>
        <v>1</v>
      </c>
      <c r="F752" s="150">
        <f>IF(E752="","",Input!$C$8+B752-1)</f>
        <v>2080</v>
      </c>
      <c r="G752" s="151">
        <f>IF(E752="","",MAX(0,Input!$C$9-B752))</f>
        <v>0</v>
      </c>
      <c r="H752" s="152">
        <f>IF(E752="","",Input!$C$3)</f>
        <v>100000</v>
      </c>
      <c r="I752" s="153">
        <f>IF(E752="","",HLOOKUP($B752,Input!$C$13:$BT$14,2))</f>
        <v>1000</v>
      </c>
      <c r="J752" s="154"/>
      <c r="K752" s="155">
        <f>IF($E752="","",Input!$C$57)</f>
        <v>4.4999999999999998E-2</v>
      </c>
      <c r="L752" s="155">
        <f t="shared" si="242"/>
        <v>3.6748094004368514E-3</v>
      </c>
      <c r="M752" s="147">
        <f>IF($E752="","",VLOOKUP(IF($B752&lt;=Input!$C$7,$B752,26),'Mortality Tables'!$A$72:$CA$97,IF($B752&lt;=Input!$C$7+1,Input!$C$4-16,$D752-Input!$C$7-16),0)/1000)</f>
        <v>0.50331999999999999</v>
      </c>
      <c r="N752" s="147">
        <f t="shared" si="231"/>
        <v>5.6649560677032196E-2</v>
      </c>
      <c r="O752" s="157">
        <f>IF($E752="","",IF($C752=12,IF($B752&lt;Input!$C$9,Input!$C$54,IF($B752=Input!$C$9,Input!$C$55,Input!$C$56)),0%))</f>
        <v>0</v>
      </c>
      <c r="P752" s="167">
        <f>IF($E752="","",IF($B752=1,Input!$C$59,IF($B752&lt;6,Input!$C$60,0%)))</f>
        <v>0</v>
      </c>
      <c r="Q752" s="162">
        <f>IF($E752="","",Input!$C$58)</f>
        <v>2.5</v>
      </c>
      <c r="R752" s="156">
        <f t="shared" si="243"/>
        <v>0.9433504393229678</v>
      </c>
      <c r="S752" s="154">
        <f t="shared" si="232"/>
        <v>2.304304444805368E-7</v>
      </c>
      <c r="T752" s="152"/>
      <c r="U752" s="150">
        <f t="shared" si="244"/>
        <v>0</v>
      </c>
      <c r="V752" s="150">
        <f t="shared" si="245"/>
        <v>0</v>
      </c>
      <c r="W752" s="168">
        <f t="shared" si="246"/>
        <v>0</v>
      </c>
      <c r="X752" s="163">
        <f t="shared" si="233"/>
        <v>5664.9560677032196</v>
      </c>
      <c r="Y752" s="152"/>
      <c r="Z752" s="164">
        <f>IF(AND($C751=12,$D751=Input!$C$6),0,IF($E752="","",V752+Z753/(1+L752)*R752))</f>
        <v>83372.3242290505</v>
      </c>
      <c r="AA752" s="164">
        <f>IF(OR($M752=1,AND($C751=12,$D751=Input!$C$6)),0,IF($E752="","",W752+(X752+AA753*$R752)/(1+$L752)))</f>
        <v>84909.652949036448</v>
      </c>
      <c r="AB752" s="160">
        <f t="shared" si="234"/>
        <v>0.825720328500681</v>
      </c>
      <c r="AC752" s="164">
        <f t="shared" si="235"/>
        <v>0</v>
      </c>
      <c r="AD752" s="164">
        <f>IF(AND($C751=12,$D751=Input!$C$6),0,IF($E752="","",$AC752+AD753/(1+$L752)*$R752))</f>
        <v>68842.22295027689</v>
      </c>
      <c r="AE752" s="152"/>
      <c r="AF752" s="164">
        <f>IF(AND($C751=12,$D751=Input!$C$6),0,IF($E752="","",IF($B752&gt;Input!$C$9,$AC752,0)+AF753/(1+$L752)*$R752))</f>
        <v>68842.22295027689</v>
      </c>
      <c r="AG752" s="164">
        <f>IF(AND($C751=12,$D751=Input!$C$6),0,IF($E752="","",(IF($B752&gt;Input!$C$9,$X752,0)+AG753)/(1+$L752)*$R752))</f>
        <v>79159.488036194263</v>
      </c>
      <c r="AH752" s="160">
        <f t="shared" si="236"/>
        <v>2.0950137211446997</v>
      </c>
      <c r="AI752" s="160">
        <f>IF($E752="","",MIN(Input!$C$61/AH752,1))</f>
        <v>0.64438718771845094</v>
      </c>
      <c r="AJ752" s="152"/>
      <c r="AK752" s="164">
        <f>IF(AND($C751=12,$D751=Input!$C$6),0,IF($E752="","",IF($B752&gt;Input!$C$9,$AC752*AI752,0)+AK753/(1+$L752)*$R752))</f>
        <v>44361.046443215506</v>
      </c>
      <c r="AL752" s="164">
        <f>IF(AND($C751=12,$D751=Input!$C$6),0,IF($E752="","",IF($B752&gt;Input!$C$9,0,$AC752)+AL753/(1+$L752)*$R752))</f>
        <v>0</v>
      </c>
      <c r="AM752" s="160">
        <f t="shared" si="237"/>
        <v>1.1382936520186004</v>
      </c>
      <c r="AN752" s="164">
        <f>IF($E752="","",IF($B752&gt;Input!$C$9,$AI752*$AC752,$AM752*$AC752))</f>
        <v>0</v>
      </c>
      <c r="AO752" s="164">
        <f>IF(AND($C751=12,$D751=Input!$C$6),0,IF($E752="","",$AN752+AO753/(1+$L752)*$R752))</f>
        <v>44361.046443215506</v>
      </c>
      <c r="AP752" s="152"/>
      <c r="AQ752" s="164">
        <f t="shared" si="238"/>
        <v>40548.606505820942</v>
      </c>
      <c r="AR752" s="164">
        <f t="shared" si="247"/>
        <v>30852.259094855595</v>
      </c>
      <c r="AS752" s="164">
        <f t="shared" si="248"/>
        <v>24082.296650717704</v>
      </c>
      <c r="AT752" s="164">
        <f t="shared" si="239"/>
        <v>30852.259094855595</v>
      </c>
      <c r="AU752" s="152"/>
      <c r="AV752" s="147">
        <f>'Deterministic Reserve'!BC752</f>
        <v>1.5350058660529497E-12</v>
      </c>
      <c r="AW752" s="164">
        <f t="shared" si="240"/>
        <v>30852.259094855595</v>
      </c>
      <c r="AX752" s="164">
        <f t="shared" si="241"/>
        <v>4.735839869158881E-8</v>
      </c>
      <c r="AY752" s="152"/>
    </row>
    <row r="753" spans="1:51" s="150" customFormat="1" x14ac:dyDescent="0.25">
      <c r="A753" s="150">
        <f t="shared" si="249"/>
        <v>749</v>
      </c>
      <c r="B753" s="150">
        <f t="shared" si="250"/>
        <v>63</v>
      </c>
      <c r="C753" s="150">
        <f t="shared" si="251"/>
        <v>5</v>
      </c>
      <c r="D753" s="150">
        <f>IF(E753="","",Input!$C$4+B753-1)</f>
        <v>107</v>
      </c>
      <c r="E753" s="150">
        <f>IF(OR(AND(C752=12,D752=Input!$C$6),E752=""),"",1)</f>
        <v>1</v>
      </c>
      <c r="F753" s="150">
        <f>IF(E753="","",Input!$C$8+B753-1)</f>
        <v>2080</v>
      </c>
      <c r="G753" s="151">
        <f>IF(E753="","",MAX(0,Input!$C$9-B753))</f>
        <v>0</v>
      </c>
      <c r="H753" s="152">
        <f>IF(E753="","",Input!$C$3)</f>
        <v>100000</v>
      </c>
      <c r="I753" s="153">
        <f>IF(E753="","",HLOOKUP($B753,Input!$C$13:$BT$14,2))</f>
        <v>1000</v>
      </c>
      <c r="J753" s="154"/>
      <c r="K753" s="155">
        <f>IF($E753="","",Input!$C$57)</f>
        <v>4.4999999999999998E-2</v>
      </c>
      <c r="L753" s="155">
        <f t="shared" si="242"/>
        <v>3.6748094004368514E-3</v>
      </c>
      <c r="M753" s="147">
        <f>IF($E753="","",VLOOKUP(IF($B753&lt;=Input!$C$7,$B753,26),'Mortality Tables'!$A$72:$CA$97,IF($B753&lt;=Input!$C$7+1,Input!$C$4-16,$D753-Input!$C$7-16),0)/1000)</f>
        <v>0.50331999999999999</v>
      </c>
      <c r="N753" s="147">
        <f t="shared" si="231"/>
        <v>5.6649560677032196E-2</v>
      </c>
      <c r="O753" s="157">
        <f>IF($E753="","",IF($C753=12,IF($B753&lt;Input!$C$9,Input!$C$54,IF($B753=Input!$C$9,Input!$C$55,Input!$C$56)),0%))</f>
        <v>0</v>
      </c>
      <c r="P753" s="167">
        <f>IF($E753="","",IF($B753=1,Input!$C$59,IF($B753&lt;6,Input!$C$60,0%)))</f>
        <v>0</v>
      </c>
      <c r="Q753" s="162">
        <f>IF($E753="","",Input!$C$58)</f>
        <v>2.5</v>
      </c>
      <c r="R753" s="156">
        <f t="shared" si="243"/>
        <v>0.9433504393229678</v>
      </c>
      <c r="S753" s="154">
        <f t="shared" si="232"/>
        <v>2.1737666103410114E-7</v>
      </c>
      <c r="T753" s="152"/>
      <c r="U753" s="150">
        <f t="shared" si="244"/>
        <v>0</v>
      </c>
      <c r="V753" s="150">
        <f t="shared" si="245"/>
        <v>0</v>
      </c>
      <c r="W753" s="168">
        <f t="shared" si="246"/>
        <v>0</v>
      </c>
      <c r="X753" s="163">
        <f t="shared" si="233"/>
        <v>5664.9560677032196</v>
      </c>
      <c r="Y753" s="152"/>
      <c r="Z753" s="164">
        <f>IF(AND($C752=12,$D752=Input!$C$6),0,IF($E753="","",V753+Z754/(1+L753)*R753))</f>
        <v>88703.728902611168</v>
      </c>
      <c r="AA753" s="164">
        <f>IF(OR($M753=1,AND($C752=12,$D752=Input!$C$6)),0,IF($E753="","",W753+(X753+AA754*$R753)/(1+$L753)))</f>
        <v>84334.22019634099</v>
      </c>
      <c r="AB753" s="160">
        <f t="shared" si="234"/>
        <v>0.825720328500681</v>
      </c>
      <c r="AC753" s="164">
        <f t="shared" si="235"/>
        <v>0</v>
      </c>
      <c r="AD753" s="164">
        <f>IF(AND($C752=12,$D752=Input!$C$6),0,IF($E753="","",$AC753+AD754/(1+$L753)*$R753))</f>
        <v>73244.472168699474</v>
      </c>
      <c r="AE753" s="152"/>
      <c r="AF753" s="164">
        <f>IF(AND($C752=12,$D752=Input!$C$6),0,IF($E753="","",IF($B753&gt;Input!$C$9,$AC753,0)+AF754/(1+$L753)*$R753))</f>
        <v>73244.472168699474</v>
      </c>
      <c r="AG753" s="164">
        <f>IF(AND($C752=12,$D752=Input!$C$6),0,IF($E753="","",(IF($B753&gt;Input!$C$9,$X753,0)+AG754)/(1+$L753)*$R753))</f>
        <v>78556.538676057229</v>
      </c>
      <c r="AH753" s="160">
        <f t="shared" si="236"/>
        <v>2.0950137211446997</v>
      </c>
      <c r="AI753" s="160">
        <f>IF($E753="","",MIN(Input!$C$61/AH753,1))</f>
        <v>0.64438718771845094</v>
      </c>
      <c r="AJ753" s="152"/>
      <c r="AK753" s="164">
        <f>IF(AND($C752=12,$D752=Input!$C$6),0,IF($E753="","",IF($B753&gt;Input!$C$9,$AC753*AI753,0)+AK754/(1+$L753)*$R753))</f>
        <v>47197.799436710586</v>
      </c>
      <c r="AL753" s="164">
        <f>IF(AND($C752=12,$D752=Input!$C$6),0,IF($E753="","",IF($B753&gt;Input!$C$9,0,$AC753)+AL754/(1+$L753)*$R753))</f>
        <v>0</v>
      </c>
      <c r="AM753" s="160">
        <f t="shared" si="237"/>
        <v>1.1382936520186004</v>
      </c>
      <c r="AN753" s="164">
        <f>IF($E753="","",IF($B753&gt;Input!$C$9,$AI753*$AC753,$AM753*$AC753))</f>
        <v>0</v>
      </c>
      <c r="AO753" s="164">
        <f>IF(AND($C752=12,$D752=Input!$C$6),0,IF($E753="","",$AN753+AO754/(1+$L753)*$R753))</f>
        <v>47197.799436710586</v>
      </c>
      <c r="AP753" s="152"/>
      <c r="AQ753" s="164">
        <f t="shared" si="238"/>
        <v>37136.420759630404</v>
      </c>
      <c r="AR753" s="164">
        <f t="shared" si="247"/>
        <v>30852.259094855595</v>
      </c>
      <c r="AS753" s="164">
        <f t="shared" si="248"/>
        <v>24082.296650717704</v>
      </c>
      <c r="AT753" s="164">
        <f t="shared" si="239"/>
        <v>30852.259094855595</v>
      </c>
      <c r="AU753" s="152"/>
      <c r="AV753" s="147">
        <f>'Deterministic Reserve'!BC753</f>
        <v>1.3751054377827471E-12</v>
      </c>
      <c r="AW753" s="164">
        <f t="shared" si="240"/>
        <v>30852.259094855595</v>
      </c>
      <c r="AX753" s="164">
        <f t="shared" si="241"/>
        <v>4.2425109249218146E-8</v>
      </c>
      <c r="AY753" s="152"/>
    </row>
    <row r="754" spans="1:51" s="150" customFormat="1" x14ac:dyDescent="0.25">
      <c r="A754" s="150">
        <f t="shared" si="249"/>
        <v>750</v>
      </c>
      <c r="B754" s="150">
        <f t="shared" si="250"/>
        <v>63</v>
      </c>
      <c r="C754" s="150">
        <f t="shared" si="251"/>
        <v>6</v>
      </c>
      <c r="D754" s="150">
        <f>IF(E754="","",Input!$C$4+B754-1)</f>
        <v>107</v>
      </c>
      <c r="E754" s="150">
        <f>IF(OR(AND(C753=12,D753=Input!$C$6),E753=""),"",1)</f>
        <v>1</v>
      </c>
      <c r="F754" s="150">
        <f>IF(E754="","",Input!$C$8+B754-1)</f>
        <v>2080</v>
      </c>
      <c r="G754" s="151">
        <f>IF(E754="","",MAX(0,Input!$C$9-B754))</f>
        <v>0</v>
      </c>
      <c r="H754" s="152">
        <f>IF(E754="","",Input!$C$3)</f>
        <v>100000</v>
      </c>
      <c r="I754" s="153">
        <f>IF(E754="","",HLOOKUP($B754,Input!$C$13:$BT$14,2))</f>
        <v>1000</v>
      </c>
      <c r="J754" s="154"/>
      <c r="K754" s="155">
        <f>IF($E754="","",Input!$C$57)</f>
        <v>4.4999999999999998E-2</v>
      </c>
      <c r="L754" s="155">
        <f t="shared" si="242"/>
        <v>3.6748094004368514E-3</v>
      </c>
      <c r="M754" s="147">
        <f>IF($E754="","",VLOOKUP(IF($B754&lt;=Input!$C$7,$B754,26),'Mortality Tables'!$A$72:$CA$97,IF($B754&lt;=Input!$C$7+1,Input!$C$4-16,$D754-Input!$C$7-16),0)/1000)</f>
        <v>0.50331999999999999</v>
      </c>
      <c r="N754" s="147">
        <f t="shared" si="231"/>
        <v>5.6649560677032196E-2</v>
      </c>
      <c r="O754" s="157">
        <f>IF($E754="","",IF($C754=12,IF($B754&lt;Input!$C$9,Input!$C$54,IF($B754=Input!$C$9,Input!$C$55,Input!$C$56)),0%))</f>
        <v>0</v>
      </c>
      <c r="P754" s="167">
        <f>IF($E754="","",IF($B754=1,Input!$C$59,IF($B754&lt;6,Input!$C$60,0%)))</f>
        <v>0</v>
      </c>
      <c r="Q754" s="162">
        <f>IF($E754="","",Input!$C$58)</f>
        <v>2.5</v>
      </c>
      <c r="R754" s="156">
        <f t="shared" si="243"/>
        <v>0.9433504393229678</v>
      </c>
      <c r="S754" s="154">
        <f t="shared" si="232"/>
        <v>2.0506236868507916E-7</v>
      </c>
      <c r="T754" s="152"/>
      <c r="U754" s="150">
        <f t="shared" si="244"/>
        <v>0</v>
      </c>
      <c r="V754" s="150">
        <f t="shared" si="245"/>
        <v>0</v>
      </c>
      <c r="W754" s="168">
        <f t="shared" si="246"/>
        <v>0</v>
      </c>
      <c r="X754" s="163">
        <f t="shared" si="233"/>
        <v>5664.9560677032196</v>
      </c>
      <c r="Y754" s="152"/>
      <c r="Z754" s="164">
        <f>IF(AND($C753=12,$D753=Input!$C$6),0,IF($E754="","",V754+Z755/(1+L754)*R754))</f>
        <v>94376.060569105073</v>
      </c>
      <c r="AA754" s="164">
        <f>IF(OR($M754=1,AND($C753=12,$D753=Input!$C$6)),0,IF($E754="","",W754+(X754+AA755*$R754)/(1+$L754)))</f>
        <v>83721.99028229242</v>
      </c>
      <c r="AB754" s="160">
        <f t="shared" si="234"/>
        <v>0.825720328500681</v>
      </c>
      <c r="AC754" s="164">
        <f t="shared" si="235"/>
        <v>0</v>
      </c>
      <c r="AD754" s="164">
        <f>IF(AND($C753=12,$D753=Input!$C$6),0,IF($E754="","",$AC754+AD755/(1+$L754)*$R754))</f>
        <v>77928.231735721623</v>
      </c>
      <c r="AE754" s="152"/>
      <c r="AF754" s="164">
        <f>IF(AND($C753=12,$D753=Input!$C$6),0,IF($E754="","",IF($B754&gt;Input!$C$9,$AC754,0)+AF755/(1+$L754)*$R754))</f>
        <v>77928.231735721623</v>
      </c>
      <c r="AG754" s="164">
        <f>IF(AND($C753=12,$D753=Input!$C$6),0,IF($E754="","",(IF($B754&gt;Input!$C$9,$X754,0)+AG755)/(1+$L754)*$R754))</f>
        <v>77915.032551834753</v>
      </c>
      <c r="AH754" s="160">
        <f t="shared" si="236"/>
        <v>2.0950137211446997</v>
      </c>
      <c r="AI754" s="160">
        <f>IF($E754="","",MIN(Input!$C$61/AH754,1))</f>
        <v>0.64438718771845094</v>
      </c>
      <c r="AJ754" s="152"/>
      <c r="AK754" s="164">
        <f>IF(AND($C753=12,$D753=Input!$C$6),0,IF($E754="","",IF($B754&gt;Input!$C$9,$AC754*AI754,0)+AK755/(1+$L754)*$R754))</f>
        <v>50215.954092053384</v>
      </c>
      <c r="AL754" s="164">
        <f>IF(AND($C753=12,$D753=Input!$C$6),0,IF($E754="","",IF($B754&gt;Input!$C$9,0,$AC754)+AL755/(1+$L754)*$R754))</f>
        <v>0</v>
      </c>
      <c r="AM754" s="160">
        <f t="shared" si="237"/>
        <v>1.1382936520186004</v>
      </c>
      <c r="AN754" s="164">
        <f>IF($E754="","",IF($B754&gt;Input!$C$9,$AI754*$AC754,$AM754*$AC754))</f>
        <v>0</v>
      </c>
      <c r="AO754" s="164">
        <f>IF(AND($C753=12,$D753=Input!$C$6),0,IF($E754="","",$AN754+AO755/(1+$L754)*$R754))</f>
        <v>50215.954092053384</v>
      </c>
      <c r="AP754" s="152"/>
      <c r="AQ754" s="164">
        <f t="shared" si="238"/>
        <v>33506.036190239036</v>
      </c>
      <c r="AR754" s="164">
        <f t="shared" si="247"/>
        <v>30852.259094855595</v>
      </c>
      <c r="AS754" s="164">
        <f t="shared" si="248"/>
        <v>24082.296650717704</v>
      </c>
      <c r="AT754" s="164">
        <f t="shared" si="239"/>
        <v>30852.259094855595</v>
      </c>
      <c r="AU754" s="152"/>
      <c r="AV754" s="147">
        <f>'Deterministic Reserve'!BC754</f>
        <v>1.2318617191228726E-12</v>
      </c>
      <c r="AW754" s="164">
        <f t="shared" si="240"/>
        <v>30852.259094855595</v>
      </c>
      <c r="AX754" s="164">
        <f t="shared" si="241"/>
        <v>3.8005716927413097E-8</v>
      </c>
      <c r="AY754" s="152"/>
    </row>
    <row r="755" spans="1:51" s="150" customFormat="1" x14ac:dyDescent="0.25">
      <c r="A755" s="150">
        <f t="shared" si="249"/>
        <v>751</v>
      </c>
      <c r="B755" s="150">
        <f t="shared" si="250"/>
        <v>63</v>
      </c>
      <c r="C755" s="150">
        <f t="shared" si="251"/>
        <v>7</v>
      </c>
      <c r="D755" s="150">
        <f>IF(E755="","",Input!$C$4+B755-1)</f>
        <v>107</v>
      </c>
      <c r="E755" s="150">
        <f>IF(OR(AND(C754=12,D754=Input!$C$6),E754=""),"",1)</f>
        <v>1</v>
      </c>
      <c r="F755" s="150">
        <f>IF(E755="","",Input!$C$8+B755-1)</f>
        <v>2080</v>
      </c>
      <c r="G755" s="151">
        <f>IF(E755="","",MAX(0,Input!$C$9-B755))</f>
        <v>0</v>
      </c>
      <c r="H755" s="152">
        <f>IF(E755="","",Input!$C$3)</f>
        <v>100000</v>
      </c>
      <c r="I755" s="153">
        <f>IF(E755="","",HLOOKUP($B755,Input!$C$13:$BT$14,2))</f>
        <v>1000</v>
      </c>
      <c r="J755" s="154"/>
      <c r="K755" s="155">
        <f>IF($E755="","",Input!$C$57)</f>
        <v>4.4999999999999998E-2</v>
      </c>
      <c r="L755" s="155">
        <f t="shared" si="242"/>
        <v>3.6748094004368514E-3</v>
      </c>
      <c r="M755" s="147">
        <f>IF($E755="","",VLOOKUP(IF($B755&lt;=Input!$C$7,$B755,26),'Mortality Tables'!$A$72:$CA$97,IF($B755&lt;=Input!$C$7+1,Input!$C$4-16,$D755-Input!$C$7-16),0)/1000)</f>
        <v>0.50331999999999999</v>
      </c>
      <c r="N755" s="147">
        <f t="shared" si="231"/>
        <v>5.6649560677032196E-2</v>
      </c>
      <c r="O755" s="157">
        <f>IF($E755="","",IF($C755=12,IF($B755&lt;Input!$C$9,Input!$C$54,IF($B755=Input!$C$9,Input!$C$55,Input!$C$56)),0%))</f>
        <v>0</v>
      </c>
      <c r="P755" s="167">
        <f>IF($E755="","",IF($B755=1,Input!$C$59,IF($B755&lt;6,Input!$C$60,0%)))</f>
        <v>0</v>
      </c>
      <c r="Q755" s="162">
        <f>IF($E755="","",Input!$C$58)</f>
        <v>2.5</v>
      </c>
      <c r="R755" s="156">
        <f t="shared" si="243"/>
        <v>0.9433504393229678</v>
      </c>
      <c r="S755" s="154">
        <f t="shared" si="232"/>
        <v>1.9344567558767782E-7</v>
      </c>
      <c r="T755" s="152"/>
      <c r="U755" s="150">
        <f t="shared" si="244"/>
        <v>0</v>
      </c>
      <c r="V755" s="150">
        <f t="shared" si="245"/>
        <v>0</v>
      </c>
      <c r="W755" s="168">
        <f t="shared" si="246"/>
        <v>0</v>
      </c>
      <c r="X755" s="163">
        <f t="shared" si="233"/>
        <v>5664.9560677032196</v>
      </c>
      <c r="Y755" s="152"/>
      <c r="Z755" s="164">
        <f>IF(AND($C754=12,$D754=Input!$C$6),0,IF($E755="","",V755+Z756/(1+L755)*R755))</f>
        <v>100411.12046509692</v>
      </c>
      <c r="AA755" s="164">
        <f>IF(OR($M755=1,AND($C754=12,$D754=Input!$C$6)),0,IF($E755="","",W755+(X755+AA756*$R755)/(1+$L755)))</f>
        <v>83070.610141172292</v>
      </c>
      <c r="AB755" s="160">
        <f t="shared" si="234"/>
        <v>0.825720328500681</v>
      </c>
      <c r="AC755" s="164">
        <f t="shared" si="235"/>
        <v>0</v>
      </c>
      <c r="AD755" s="164">
        <f>IF(AND($C754=12,$D754=Input!$C$6),0,IF($E755="","",$AC755+AD756/(1+$L755)*$R755))</f>
        <v>82911.503375561297</v>
      </c>
      <c r="AE755" s="152"/>
      <c r="AF755" s="164">
        <f>IF(AND($C754=12,$D754=Input!$C$6),0,IF($E755="","",IF($B755&gt;Input!$C$9,$AC755,0)+AF756/(1+$L755)*$R755))</f>
        <v>82911.503375561297</v>
      </c>
      <c r="AG755" s="164">
        <f>IF(AND($C754=12,$D754=Input!$C$6),0,IF($E755="","",(IF($B755&gt;Input!$C$9,$X755,0)+AG756)/(1+$L755)*$R755))</f>
        <v>77232.504076605226</v>
      </c>
      <c r="AH755" s="160">
        <f t="shared" si="236"/>
        <v>2.0950137211446997</v>
      </c>
      <c r="AI755" s="160">
        <f>IF($E755="","",MIN(Input!$C$61/AH755,1))</f>
        <v>0.64438718771845094</v>
      </c>
      <c r="AJ755" s="152"/>
      <c r="AK755" s="164">
        <f>IF(AND($C754=12,$D754=Input!$C$6),0,IF($E755="","",IF($B755&gt;Input!$C$9,$AC755*AI755,0)+AK756/(1+$L755)*$R755))</f>
        <v>53427.110489686776</v>
      </c>
      <c r="AL755" s="164">
        <f>IF(AND($C754=12,$D754=Input!$C$6),0,IF($E755="","",IF($B755&gt;Input!$C$9,0,$AC755)+AL756/(1+$L755)*$R755))</f>
        <v>0</v>
      </c>
      <c r="AM755" s="160">
        <f t="shared" si="237"/>
        <v>1.1382936520186004</v>
      </c>
      <c r="AN755" s="164">
        <f>IF($E755="","",IF($B755&gt;Input!$C$9,$AI755*$AC755,$AM755*$AC755))</f>
        <v>0</v>
      </c>
      <c r="AO755" s="164">
        <f>IF(AND($C754=12,$D754=Input!$C$6),0,IF($E755="","",$AN755+AO756/(1+$L755)*$R755))</f>
        <v>53427.110489686776</v>
      </c>
      <c r="AP755" s="152"/>
      <c r="AQ755" s="164">
        <f t="shared" si="238"/>
        <v>29643.499651485516</v>
      </c>
      <c r="AR755" s="164">
        <f t="shared" si="247"/>
        <v>30852.259094855595</v>
      </c>
      <c r="AS755" s="164">
        <f t="shared" si="248"/>
        <v>24082.296650717704</v>
      </c>
      <c r="AT755" s="164">
        <f t="shared" si="239"/>
        <v>30852.259094855595</v>
      </c>
      <c r="AU755" s="152"/>
      <c r="AV755" s="147">
        <f>'Deterministic Reserve'!BC755</f>
        <v>1.1035395929254598E-12</v>
      </c>
      <c r="AW755" s="164">
        <f t="shared" si="240"/>
        <v>30852.259094855595</v>
      </c>
      <c r="AX755" s="164">
        <f t="shared" si="241"/>
        <v>3.4046689442367758E-8</v>
      </c>
      <c r="AY755" s="152"/>
    </row>
    <row r="756" spans="1:51" s="150" customFormat="1" x14ac:dyDescent="0.25">
      <c r="A756" s="150">
        <f t="shared" si="249"/>
        <v>752</v>
      </c>
      <c r="B756" s="150">
        <f t="shared" si="250"/>
        <v>63</v>
      </c>
      <c r="C756" s="150">
        <f t="shared" si="251"/>
        <v>8</v>
      </c>
      <c r="D756" s="150">
        <f>IF(E756="","",Input!$C$4+B756-1)</f>
        <v>107</v>
      </c>
      <c r="E756" s="150">
        <f>IF(OR(AND(C755=12,D755=Input!$C$6),E755=""),"",1)</f>
        <v>1</v>
      </c>
      <c r="F756" s="150">
        <f>IF(E756="","",Input!$C$8+B756-1)</f>
        <v>2080</v>
      </c>
      <c r="G756" s="151">
        <f>IF(E756="","",MAX(0,Input!$C$9-B756))</f>
        <v>0</v>
      </c>
      <c r="H756" s="152">
        <f>IF(E756="","",Input!$C$3)</f>
        <v>100000</v>
      </c>
      <c r="I756" s="153">
        <f>IF(E756="","",HLOOKUP($B756,Input!$C$13:$BT$14,2))</f>
        <v>1000</v>
      </c>
      <c r="J756" s="154"/>
      <c r="K756" s="155">
        <f>IF($E756="","",Input!$C$57)</f>
        <v>4.4999999999999998E-2</v>
      </c>
      <c r="L756" s="155">
        <f t="shared" si="242"/>
        <v>3.6748094004368514E-3</v>
      </c>
      <c r="M756" s="147">
        <f>IF($E756="","",VLOOKUP(IF($B756&lt;=Input!$C$7,$B756,26),'Mortality Tables'!$A$72:$CA$97,IF($B756&lt;=Input!$C$7+1,Input!$C$4-16,$D756-Input!$C$7-16),0)/1000)</f>
        <v>0.50331999999999999</v>
      </c>
      <c r="N756" s="147">
        <f t="shared" si="231"/>
        <v>5.6649560677032196E-2</v>
      </c>
      <c r="O756" s="157">
        <f>IF($E756="","",IF($C756=12,IF($B756&lt;Input!$C$9,Input!$C$54,IF($B756=Input!$C$9,Input!$C$55,Input!$C$56)),0%))</f>
        <v>0</v>
      </c>
      <c r="P756" s="167">
        <f>IF($E756="","",IF($B756=1,Input!$C$59,IF($B756&lt;6,Input!$C$60,0%)))</f>
        <v>0</v>
      </c>
      <c r="Q756" s="162">
        <f>IF($E756="","",Input!$C$58)</f>
        <v>2.5</v>
      </c>
      <c r="R756" s="156">
        <f t="shared" si="243"/>
        <v>0.9433504393229678</v>
      </c>
      <c r="S756" s="154">
        <f t="shared" si="232"/>
        <v>1.8248706305076417E-7</v>
      </c>
      <c r="T756" s="152"/>
      <c r="U756" s="150">
        <f t="shared" si="244"/>
        <v>0</v>
      </c>
      <c r="V756" s="150">
        <f t="shared" si="245"/>
        <v>0</v>
      </c>
      <c r="W756" s="168">
        <f t="shared" si="246"/>
        <v>0</v>
      </c>
      <c r="X756" s="163">
        <f t="shared" si="233"/>
        <v>5664.9560677032196</v>
      </c>
      <c r="Y756" s="152"/>
      <c r="Z756" s="164">
        <f>IF(AND($C755=12,$D755=Input!$C$6),0,IF($E756="","",V756+Z757/(1+L756)*R756))</f>
        <v>106832.10394942861</v>
      </c>
      <c r="AA756" s="164">
        <f>IF(OR($M756=1,AND($C755=12,$D755=Input!$C$6)),0,IF($E756="","",W756+(X756+AA757*$R756)/(1+$L756)))</f>
        <v>82377.576235919449</v>
      </c>
      <c r="AB756" s="160">
        <f t="shared" si="234"/>
        <v>0.825720328500681</v>
      </c>
      <c r="AC756" s="164">
        <f t="shared" si="235"/>
        <v>0</v>
      </c>
      <c r="AD756" s="164">
        <f>IF(AND($C755=12,$D755=Input!$C$6),0,IF($E756="","",$AC756+AD757/(1+$L756)*$R756))</f>
        <v>88213.439967541126</v>
      </c>
      <c r="AE756" s="152"/>
      <c r="AF756" s="164">
        <f>IF(AND($C755=12,$D755=Input!$C$6),0,IF($E756="","",IF($B756&gt;Input!$C$9,$AC756,0)+AF757/(1+$L756)*$R756))</f>
        <v>88213.439967541126</v>
      </c>
      <c r="AG756" s="164">
        <f>IF(AND($C755=12,$D755=Input!$C$6),0,IF($E756="","",(IF($B756&gt;Input!$C$9,$X756,0)+AG757)/(1+$L756)*$R756))</f>
        <v>76506.32999671821</v>
      </c>
      <c r="AH756" s="160">
        <f t="shared" si="236"/>
        <v>2.0950137211446997</v>
      </c>
      <c r="AI756" s="160">
        <f>IF($E756="","",MIN(Input!$C$61/AH756,1))</f>
        <v>0.64438718771845094</v>
      </c>
      <c r="AJ756" s="152"/>
      <c r="AK756" s="164">
        <f>IF(AND($C755=12,$D755=Input!$C$6),0,IF($E756="","",IF($B756&gt;Input!$C$9,$AC756*AI756,0)+AK757/(1+$L756)*$R756))</f>
        <v>56843.610499654205</v>
      </c>
      <c r="AL756" s="164">
        <f>IF(AND($C755=12,$D755=Input!$C$6),0,IF($E756="","",IF($B756&gt;Input!$C$9,0,$AC756)+AL757/(1+$L756)*$R756))</f>
        <v>0</v>
      </c>
      <c r="AM756" s="160">
        <f t="shared" si="237"/>
        <v>1.1382936520186004</v>
      </c>
      <c r="AN756" s="164">
        <f>IF($E756="","",IF($B756&gt;Input!$C$9,$AI756*$AC756,$AM756*$AC756))</f>
        <v>0</v>
      </c>
      <c r="AO756" s="164">
        <f>IF(AND($C755=12,$D755=Input!$C$6),0,IF($E756="","",$AN756+AO757/(1+$L756)*$R756))</f>
        <v>56843.610499654205</v>
      </c>
      <c r="AP756" s="152"/>
      <c r="AQ756" s="164">
        <f t="shared" si="238"/>
        <v>25533.965736265243</v>
      </c>
      <c r="AR756" s="164">
        <f t="shared" si="247"/>
        <v>30852.259094855595</v>
      </c>
      <c r="AS756" s="164">
        <f t="shared" si="248"/>
        <v>24082.296650717704</v>
      </c>
      <c r="AT756" s="164">
        <f t="shared" si="239"/>
        <v>30852.259094855595</v>
      </c>
      <c r="AU756" s="152"/>
      <c r="AV756" s="147">
        <f>'Deterministic Reserve'!BC756</f>
        <v>9.8858468791546206E-13</v>
      </c>
      <c r="AW756" s="164">
        <f t="shared" si="240"/>
        <v>30852.259094855595</v>
      </c>
      <c r="AX756" s="164">
        <f t="shared" si="241"/>
        <v>3.0500070928774794E-8</v>
      </c>
      <c r="AY756" s="152"/>
    </row>
    <row r="757" spans="1:51" s="150" customFormat="1" x14ac:dyDescent="0.25">
      <c r="A757" s="150">
        <f t="shared" si="249"/>
        <v>753</v>
      </c>
      <c r="B757" s="150">
        <f t="shared" si="250"/>
        <v>63</v>
      </c>
      <c r="C757" s="150">
        <f t="shared" si="251"/>
        <v>9</v>
      </c>
      <c r="D757" s="150">
        <f>IF(E757="","",Input!$C$4+B757-1)</f>
        <v>107</v>
      </c>
      <c r="E757" s="150">
        <f>IF(OR(AND(C756=12,D756=Input!$C$6),E756=""),"",1)</f>
        <v>1</v>
      </c>
      <c r="F757" s="150">
        <f>IF(E757="","",Input!$C$8+B757-1)</f>
        <v>2080</v>
      </c>
      <c r="G757" s="151">
        <f>IF(E757="","",MAX(0,Input!$C$9-B757))</f>
        <v>0</v>
      </c>
      <c r="H757" s="152">
        <f>IF(E757="","",Input!$C$3)</f>
        <v>100000</v>
      </c>
      <c r="I757" s="153">
        <f>IF(E757="","",HLOOKUP($B757,Input!$C$13:$BT$14,2))</f>
        <v>1000</v>
      </c>
      <c r="J757" s="154"/>
      <c r="K757" s="155">
        <f>IF($E757="","",Input!$C$57)</f>
        <v>4.4999999999999998E-2</v>
      </c>
      <c r="L757" s="155">
        <f t="shared" si="242"/>
        <v>3.6748094004368514E-3</v>
      </c>
      <c r="M757" s="147">
        <f>IF($E757="","",VLOOKUP(IF($B757&lt;=Input!$C$7,$B757,26),'Mortality Tables'!$A$72:$CA$97,IF($B757&lt;=Input!$C$7+1,Input!$C$4-16,$D757-Input!$C$7-16),0)/1000)</f>
        <v>0.50331999999999999</v>
      </c>
      <c r="N757" s="147">
        <f t="shared" si="231"/>
        <v>5.6649560677032196E-2</v>
      </c>
      <c r="O757" s="157">
        <f>IF($E757="","",IF($C757=12,IF($B757&lt;Input!$C$9,Input!$C$54,IF($B757=Input!$C$9,Input!$C$55,Input!$C$56)),0%))</f>
        <v>0</v>
      </c>
      <c r="P757" s="167">
        <f>IF($E757="","",IF($B757=1,Input!$C$59,IF($B757&lt;6,Input!$C$60,0%)))</f>
        <v>0</v>
      </c>
      <c r="Q757" s="162">
        <f>IF($E757="","",Input!$C$58)</f>
        <v>2.5</v>
      </c>
      <c r="R757" s="156">
        <f t="shared" si="243"/>
        <v>0.9433504393229678</v>
      </c>
      <c r="S757" s="154">
        <f t="shared" si="232"/>
        <v>1.7214925109969649E-7</v>
      </c>
      <c r="T757" s="152"/>
      <c r="U757" s="150">
        <f t="shared" si="244"/>
        <v>0</v>
      </c>
      <c r="V757" s="150">
        <f t="shared" si="245"/>
        <v>0</v>
      </c>
      <c r="W757" s="168">
        <f t="shared" si="246"/>
        <v>0</v>
      </c>
      <c r="X757" s="163">
        <f t="shared" si="233"/>
        <v>5664.9560677032196</v>
      </c>
      <c r="Y757" s="152"/>
      <c r="Z757" s="164">
        <f>IF(AND($C756=12,$D756=Input!$C$6),0,IF($E757="","",V757+Z758/(1+L757)*R757))</f>
        <v>113663.68965306719</v>
      </c>
      <c r="AA757" s="164">
        <f>IF(OR($M757=1,AND($C756=12,$D756=Input!$C$6)),0,IF($E757="","",W757+(X757+AA758*$R757)/(1+$L757)))</f>
        <v>81640.224935948776</v>
      </c>
      <c r="AB757" s="160">
        <f t="shared" si="234"/>
        <v>0.825720328500681</v>
      </c>
      <c r="AC757" s="164">
        <f t="shared" si="235"/>
        <v>0</v>
      </c>
      <c r="AD757" s="164">
        <f>IF(AND($C756=12,$D756=Input!$C$6),0,IF($E757="","",$AC757+AD758/(1+$L757)*$R757))</f>
        <v>93854.419158930134</v>
      </c>
      <c r="AE757" s="152"/>
      <c r="AF757" s="164">
        <f>IF(AND($C756=12,$D756=Input!$C$6),0,IF($E757="","",IF($B757&gt;Input!$C$9,$AC757,0)+AF758/(1+$L757)*$R757))</f>
        <v>93854.419158930134</v>
      </c>
      <c r="AG757" s="164">
        <f>IF(AND($C756=12,$D756=Input!$C$6),0,IF($E757="","",(IF($B757&gt;Input!$C$9,$X757,0)+AG758)/(1+$L757)*$R757))</f>
        <v>75733.719309490232</v>
      </c>
      <c r="AH757" s="160">
        <f t="shared" si="236"/>
        <v>2.0950137211446997</v>
      </c>
      <c r="AI757" s="160">
        <f>IF($E757="","",MIN(Input!$C$61/AH757,1))</f>
        <v>0.64438718771845094</v>
      </c>
      <c r="AJ757" s="152"/>
      <c r="AK757" s="164">
        <f>IF(AND($C756=12,$D756=Input!$C$6),0,IF($E757="","",IF($B757&gt;Input!$C$9,$AC757*AI757,0)+AK758/(1+$L757)*$R757))</f>
        <v>60478.585216771673</v>
      </c>
      <c r="AL757" s="164">
        <f>IF(AND($C756=12,$D756=Input!$C$6),0,IF($E757="","",IF($B757&gt;Input!$C$9,0,$AC757)+AL758/(1+$L757)*$R757))</f>
        <v>0</v>
      </c>
      <c r="AM757" s="160">
        <f t="shared" si="237"/>
        <v>1.1382936520186004</v>
      </c>
      <c r="AN757" s="164">
        <f>IF($E757="","",IF($B757&gt;Input!$C$9,$AI757*$AC757,$AM757*$AC757))</f>
        <v>0</v>
      </c>
      <c r="AO757" s="164">
        <f>IF(AND($C756=12,$D756=Input!$C$6),0,IF($E757="","",$AN757+AO758/(1+$L757)*$R757))</f>
        <v>60478.585216771673</v>
      </c>
      <c r="AP757" s="152"/>
      <c r="AQ757" s="164">
        <f t="shared" si="238"/>
        <v>21161.639719177103</v>
      </c>
      <c r="AR757" s="164">
        <f t="shared" si="247"/>
        <v>30852.259094855595</v>
      </c>
      <c r="AS757" s="164">
        <f t="shared" si="248"/>
        <v>24082.296650717704</v>
      </c>
      <c r="AT757" s="164">
        <f t="shared" si="239"/>
        <v>30852.259094855595</v>
      </c>
      <c r="AU757" s="152"/>
      <c r="AV757" s="147">
        <f>'Deterministic Reserve'!BC757</f>
        <v>8.8560455052646642E-13</v>
      </c>
      <c r="AW757" s="164">
        <f t="shared" si="240"/>
        <v>30852.259094855595</v>
      </c>
      <c r="AX757" s="164">
        <f t="shared" si="241"/>
        <v>2.7322901048425675E-8</v>
      </c>
      <c r="AY757" s="152"/>
    </row>
    <row r="758" spans="1:51" s="150" customFormat="1" x14ac:dyDescent="0.25">
      <c r="A758" s="150">
        <f t="shared" si="249"/>
        <v>754</v>
      </c>
      <c r="B758" s="150">
        <f t="shared" si="250"/>
        <v>63</v>
      </c>
      <c r="C758" s="150">
        <f t="shared" si="251"/>
        <v>10</v>
      </c>
      <c r="D758" s="150">
        <f>IF(E758="","",Input!$C$4+B758-1)</f>
        <v>107</v>
      </c>
      <c r="E758" s="150">
        <f>IF(OR(AND(C757=12,D757=Input!$C$6),E757=""),"",1)</f>
        <v>1</v>
      </c>
      <c r="F758" s="150">
        <f>IF(E758="","",Input!$C$8+B758-1)</f>
        <v>2080</v>
      </c>
      <c r="G758" s="151">
        <f>IF(E758="","",MAX(0,Input!$C$9-B758))</f>
        <v>0</v>
      </c>
      <c r="H758" s="152">
        <f>IF(E758="","",Input!$C$3)</f>
        <v>100000</v>
      </c>
      <c r="I758" s="153">
        <f>IF(E758="","",HLOOKUP($B758,Input!$C$13:$BT$14,2))</f>
        <v>1000</v>
      </c>
      <c r="J758" s="154"/>
      <c r="K758" s="155">
        <f>IF($E758="","",Input!$C$57)</f>
        <v>4.4999999999999998E-2</v>
      </c>
      <c r="L758" s="155">
        <f t="shared" si="242"/>
        <v>3.6748094004368514E-3</v>
      </c>
      <c r="M758" s="147">
        <f>IF($E758="","",VLOOKUP(IF($B758&lt;=Input!$C$7,$B758,26),'Mortality Tables'!$A$72:$CA$97,IF($B758&lt;=Input!$C$7+1,Input!$C$4-16,$D758-Input!$C$7-16),0)/1000)</f>
        <v>0.50331999999999999</v>
      </c>
      <c r="N758" s="147">
        <f t="shared" si="231"/>
        <v>5.6649560677032196E-2</v>
      </c>
      <c r="O758" s="157">
        <f>IF($E758="","",IF($C758=12,IF($B758&lt;Input!$C$9,Input!$C$54,IF($B758=Input!$C$9,Input!$C$55,Input!$C$56)),0%))</f>
        <v>0</v>
      </c>
      <c r="P758" s="167">
        <f>IF($E758="","",IF($B758=1,Input!$C$59,IF($B758&lt;6,Input!$C$60,0%)))</f>
        <v>0</v>
      </c>
      <c r="Q758" s="162">
        <f>IF($E758="","",Input!$C$58)</f>
        <v>2.5</v>
      </c>
      <c r="R758" s="156">
        <f t="shared" si="243"/>
        <v>0.9433504393229678</v>
      </c>
      <c r="S758" s="154">
        <f t="shared" si="232"/>
        <v>1.6239707165401858E-7</v>
      </c>
      <c r="T758" s="152"/>
      <c r="U758" s="150">
        <f t="shared" si="244"/>
        <v>0</v>
      </c>
      <c r="V758" s="150">
        <f t="shared" si="245"/>
        <v>0</v>
      </c>
      <c r="W758" s="168">
        <f t="shared" si="246"/>
        <v>0</v>
      </c>
      <c r="X758" s="163">
        <f t="shared" si="233"/>
        <v>5664.9560677032196</v>
      </c>
      <c r="Y758" s="152"/>
      <c r="Z758" s="164">
        <f>IF(AND($C757=12,$D757=Input!$C$6),0,IF($E758="","",V758+Z759/(1+L758)*R758))</f>
        <v>120932.13432981232</v>
      </c>
      <c r="AA758" s="164">
        <f>IF(OR($M758=1,AND($C757=12,$D757=Input!$C$6)),0,IF($E758="","",W758+(X758+AA759*$R758)/(1+$L758)))</f>
        <v>80855.722279660884</v>
      </c>
      <c r="AB758" s="160">
        <f t="shared" si="234"/>
        <v>0.825720328500681</v>
      </c>
      <c r="AC758" s="164">
        <f t="shared" si="235"/>
        <v>0</v>
      </c>
      <c r="AD758" s="164">
        <f>IF(AND($C757=12,$D757=Input!$C$6),0,IF($E758="","",$AC758+AD759/(1+$L758)*$R758))</f>
        <v>99856.121685101156</v>
      </c>
      <c r="AE758" s="152"/>
      <c r="AF758" s="164">
        <f>IF(AND($C757=12,$D757=Input!$C$6),0,IF($E758="","",IF($B758&gt;Input!$C$9,$AC758,0)+AF759/(1+$L758)*$R758))</f>
        <v>99856.121685101156</v>
      </c>
      <c r="AG758" s="164">
        <f>IF(AND($C757=12,$D757=Input!$C$6),0,IF($E758="","",(IF($B758&gt;Input!$C$9,$X758,0)+AG759)/(1+$L758)*$R758))</f>
        <v>74911.702536168086</v>
      </c>
      <c r="AH758" s="160">
        <f t="shared" si="236"/>
        <v>2.0950137211446997</v>
      </c>
      <c r="AI758" s="160">
        <f>IF($E758="","",MIN(Input!$C$61/AH758,1))</f>
        <v>0.64438718771845094</v>
      </c>
      <c r="AJ758" s="152"/>
      <c r="AK758" s="164">
        <f>IF(AND($C757=12,$D757=Input!$C$6),0,IF($E758="","",IF($B758&gt;Input!$C$9,$AC758*AI758,0)+AK759/(1+$L758)*$R758))</f>
        <v>64346.005429133744</v>
      </c>
      <c r="AL758" s="164">
        <f>IF(AND($C757=12,$D757=Input!$C$6),0,IF($E758="","",IF($B758&gt;Input!$C$9,0,$AC758)+AL759/(1+$L758)*$R758))</f>
        <v>0</v>
      </c>
      <c r="AM758" s="160">
        <f t="shared" si="237"/>
        <v>1.1382936520186004</v>
      </c>
      <c r="AN758" s="164">
        <f>IF($E758="","",IF($B758&gt;Input!$C$9,$AI758*$AC758,$AM758*$AC758))</f>
        <v>0</v>
      </c>
      <c r="AO758" s="164">
        <f>IF(AND($C757=12,$D757=Input!$C$6),0,IF($E758="","",$AN758+AO759/(1+$L758)*$R758))</f>
        <v>64346.005429133744</v>
      </c>
      <c r="AP758" s="152"/>
      <c r="AQ758" s="164">
        <f t="shared" si="238"/>
        <v>16509.71685052714</v>
      </c>
      <c r="AR758" s="164">
        <f t="shared" si="247"/>
        <v>30852.259094855595</v>
      </c>
      <c r="AS758" s="164">
        <f t="shared" si="248"/>
        <v>24082.296650717704</v>
      </c>
      <c r="AT758" s="164">
        <f t="shared" si="239"/>
        <v>30852.259094855595</v>
      </c>
      <c r="AU758" s="152"/>
      <c r="AV758" s="147">
        <f>'Deterministic Reserve'!BC758</f>
        <v>7.9335177805247666E-13</v>
      </c>
      <c r="AW758" s="164">
        <f t="shared" si="240"/>
        <v>30852.259094855595</v>
      </c>
      <c r="AX758" s="164">
        <f t="shared" si="241"/>
        <v>2.447669460983938E-8</v>
      </c>
      <c r="AY758" s="152"/>
    </row>
    <row r="759" spans="1:51" s="150" customFormat="1" x14ac:dyDescent="0.25">
      <c r="A759" s="150">
        <f t="shared" si="249"/>
        <v>755</v>
      </c>
      <c r="B759" s="150">
        <f t="shared" si="250"/>
        <v>63</v>
      </c>
      <c r="C759" s="150">
        <f t="shared" si="251"/>
        <v>11</v>
      </c>
      <c r="D759" s="150">
        <f>IF(E759="","",Input!$C$4+B759-1)</f>
        <v>107</v>
      </c>
      <c r="E759" s="150">
        <f>IF(OR(AND(C758=12,D758=Input!$C$6),E758=""),"",1)</f>
        <v>1</v>
      </c>
      <c r="F759" s="150">
        <f>IF(E759="","",Input!$C$8+B759-1)</f>
        <v>2080</v>
      </c>
      <c r="G759" s="151">
        <f>IF(E759="","",MAX(0,Input!$C$9-B759))</f>
        <v>0</v>
      </c>
      <c r="H759" s="152">
        <f>IF(E759="","",Input!$C$3)</f>
        <v>100000</v>
      </c>
      <c r="I759" s="153">
        <f>IF(E759="","",HLOOKUP($B759,Input!$C$13:$BT$14,2))</f>
        <v>1000</v>
      </c>
      <c r="J759" s="154"/>
      <c r="K759" s="155">
        <f>IF($E759="","",Input!$C$57)</f>
        <v>4.4999999999999998E-2</v>
      </c>
      <c r="L759" s="155">
        <f t="shared" si="242"/>
        <v>3.6748094004368514E-3</v>
      </c>
      <c r="M759" s="147">
        <f>IF($E759="","",VLOOKUP(IF($B759&lt;=Input!$C$7,$B759,26),'Mortality Tables'!$A$72:$CA$97,IF($B759&lt;=Input!$C$7+1,Input!$C$4-16,$D759-Input!$C$7-16),0)/1000)</f>
        <v>0.50331999999999999</v>
      </c>
      <c r="N759" s="147">
        <f t="shared" si="231"/>
        <v>5.6649560677032196E-2</v>
      </c>
      <c r="O759" s="157">
        <f>IF($E759="","",IF($C759=12,IF($B759&lt;Input!$C$9,Input!$C$54,IF($B759=Input!$C$9,Input!$C$55,Input!$C$56)),0%))</f>
        <v>0</v>
      </c>
      <c r="P759" s="167">
        <f>IF($E759="","",IF($B759=1,Input!$C$59,IF($B759&lt;6,Input!$C$60,0%)))</f>
        <v>0</v>
      </c>
      <c r="Q759" s="162">
        <f>IF($E759="","",Input!$C$58)</f>
        <v>2.5</v>
      </c>
      <c r="R759" s="156">
        <f t="shared" si="243"/>
        <v>0.9433504393229678</v>
      </c>
      <c r="S759" s="154">
        <f t="shared" si="232"/>
        <v>1.5319734888958191E-7</v>
      </c>
      <c r="T759" s="152"/>
      <c r="U759" s="150">
        <f t="shared" si="244"/>
        <v>0</v>
      </c>
      <c r="V759" s="150">
        <f t="shared" si="245"/>
        <v>0</v>
      </c>
      <c r="W759" s="168">
        <f t="shared" si="246"/>
        <v>0</v>
      </c>
      <c r="X759" s="163">
        <f t="shared" si="233"/>
        <v>5664.9560677032196</v>
      </c>
      <c r="Y759" s="152"/>
      <c r="Z759" s="164">
        <f>IF(AND($C758=12,$D758=Input!$C$6),0,IF($E759="","",V759+Z760/(1+L759)*R759))</f>
        <v>128665.37377241591</v>
      </c>
      <c r="AA759" s="164">
        <f>IF(OR($M759=1,AND($C758=12,$D758=Input!$C$6)),0,IF($E759="","",W759+(X759+AA760*$R759)/(1+$L759)))</f>
        <v>80021.053082295606</v>
      </c>
      <c r="AB759" s="160">
        <f t="shared" si="234"/>
        <v>0.825720328500681</v>
      </c>
      <c r="AC759" s="164">
        <f t="shared" si="235"/>
        <v>0</v>
      </c>
      <c r="AD759" s="164">
        <f>IF(AND($C758=12,$D758=Input!$C$6),0,IF($E759="","",$AC759+AD760/(1+$L759)*$R759))</f>
        <v>106241.61469802221</v>
      </c>
      <c r="AE759" s="152"/>
      <c r="AF759" s="164">
        <f>IF(AND($C758=12,$D758=Input!$C$6),0,IF($E759="","",IF($B759&gt;Input!$C$9,$AC759,0)+AF760/(1+$L759)*$R759))</f>
        <v>106241.61469802221</v>
      </c>
      <c r="AG759" s="164">
        <f>IF(AND($C758=12,$D758=Input!$C$6),0,IF($E759="","",(IF($B759&gt;Input!$C$9,$X759,0)+AG760)/(1+$L759)*$R759))</f>
        <v>74037.120308931102</v>
      </c>
      <c r="AH759" s="160">
        <f t="shared" si="236"/>
        <v>2.0950137211446997</v>
      </c>
      <c r="AI759" s="160">
        <f>IF($E759="","",MIN(Input!$C$61/AH759,1))</f>
        <v>0.64438718771845094</v>
      </c>
      <c r="AJ759" s="152"/>
      <c r="AK759" s="164">
        <f>IF(AND($C758=12,$D758=Input!$C$6),0,IF($E759="","",IF($B759&gt;Input!$C$9,$AC759*AI759,0)+AK760/(1+$L759)*$R759))</f>
        <v>68460.735313925761</v>
      </c>
      <c r="AL759" s="164">
        <f>IF(AND($C758=12,$D758=Input!$C$6),0,IF($E759="","",IF($B759&gt;Input!$C$9,0,$AC759)+AL760/(1+$L759)*$R759))</f>
        <v>0</v>
      </c>
      <c r="AM759" s="160">
        <f t="shared" si="237"/>
        <v>1.1382936520186004</v>
      </c>
      <c r="AN759" s="164">
        <f>IF($E759="","",IF($B759&gt;Input!$C$9,$AI759*$AC759,$AM759*$AC759))</f>
        <v>0</v>
      </c>
      <c r="AO759" s="164">
        <f>IF(AND($C758=12,$D758=Input!$C$6),0,IF($E759="","",$AN759+AO760/(1+$L759)*$R759))</f>
        <v>68460.735313925761</v>
      </c>
      <c r="AP759" s="152"/>
      <c r="AQ759" s="164">
        <f t="shared" si="238"/>
        <v>11560.317768369845</v>
      </c>
      <c r="AR759" s="164">
        <f t="shared" si="247"/>
        <v>30852.259094855595</v>
      </c>
      <c r="AS759" s="164">
        <f t="shared" si="248"/>
        <v>24082.296650717704</v>
      </c>
      <c r="AT759" s="164">
        <f t="shared" si="239"/>
        <v>30852.259094855595</v>
      </c>
      <c r="AU759" s="152"/>
      <c r="AV759" s="147">
        <f>'Deterministic Reserve'!BC759</f>
        <v>7.1070890880682788E-13</v>
      </c>
      <c r="AW759" s="164">
        <f t="shared" si="240"/>
        <v>30852.259094855595</v>
      </c>
      <c r="AX759" s="164">
        <f t="shared" si="241"/>
        <v>2.192697539553035E-8</v>
      </c>
      <c r="AY759" s="152"/>
    </row>
    <row r="760" spans="1:51" s="150" customFormat="1" x14ac:dyDescent="0.25">
      <c r="A760" s="150">
        <f t="shared" si="249"/>
        <v>756</v>
      </c>
      <c r="B760" s="150">
        <f t="shared" si="250"/>
        <v>63</v>
      </c>
      <c r="C760" s="150">
        <f t="shared" si="251"/>
        <v>12</v>
      </c>
      <c r="D760" s="150">
        <f>IF(E760="","",Input!$C$4+B760-1)</f>
        <v>107</v>
      </c>
      <c r="E760" s="150">
        <f>IF(OR(AND(C759=12,D759=Input!$C$6),E759=""),"",1)</f>
        <v>1</v>
      </c>
      <c r="F760" s="150">
        <f>IF(E760="","",Input!$C$8+B760-1)</f>
        <v>2080</v>
      </c>
      <c r="G760" s="151">
        <f>IF(E760="","",MAX(0,Input!$C$9-B760))</f>
        <v>0</v>
      </c>
      <c r="H760" s="152">
        <f>IF(E760="","",Input!$C$3)</f>
        <v>100000</v>
      </c>
      <c r="I760" s="153">
        <f>IF(E760="","",HLOOKUP($B760,Input!$C$13:$BT$14,2))</f>
        <v>1000</v>
      </c>
      <c r="J760" s="154"/>
      <c r="K760" s="155">
        <f>IF($E760="","",Input!$C$57)</f>
        <v>4.4999999999999998E-2</v>
      </c>
      <c r="L760" s="155">
        <f t="shared" si="242"/>
        <v>3.6748094004368514E-3</v>
      </c>
      <c r="M760" s="147">
        <f>IF($E760="","",VLOOKUP(IF($B760&lt;=Input!$C$7,$B760,26),'Mortality Tables'!$A$72:$CA$97,IF($B760&lt;=Input!$C$7+1,Input!$C$4-16,$D760-Input!$C$7-16),0)/1000)</f>
        <v>0.50331999999999999</v>
      </c>
      <c r="N760" s="147">
        <f t="shared" si="231"/>
        <v>5.6649560677032196E-2</v>
      </c>
      <c r="O760" s="157">
        <f>IF($E760="","",IF($C760=12,IF($B760&lt;Input!$C$9,Input!$C$54,IF($B760=Input!$C$9,Input!$C$55,Input!$C$56)),0%))</f>
        <v>0.1</v>
      </c>
      <c r="P760" s="167">
        <f>IF($E760="","",IF($B760=1,Input!$C$59,IF($B760&lt;6,Input!$C$60,0%)))</f>
        <v>0</v>
      </c>
      <c r="Q760" s="162">
        <f>IF($E760="","",Input!$C$58)</f>
        <v>2.5</v>
      </c>
      <c r="R760" s="156">
        <f t="shared" si="243"/>
        <v>0.84335043932296783</v>
      </c>
      <c r="S760" s="154">
        <f t="shared" si="232"/>
        <v>1.2919905148914288E-7</v>
      </c>
      <c r="T760" s="152"/>
      <c r="U760" s="150">
        <f t="shared" si="244"/>
        <v>0</v>
      </c>
      <c r="V760" s="150">
        <f t="shared" si="245"/>
        <v>0</v>
      </c>
      <c r="W760" s="168">
        <f t="shared" si="246"/>
        <v>0</v>
      </c>
      <c r="X760" s="163">
        <f t="shared" si="233"/>
        <v>5664.9560677032196</v>
      </c>
      <c r="Y760" s="152"/>
      <c r="Z760" s="164">
        <f>IF(AND($C759=12,$D759=Input!$C$6),0,IF($E760="","",V760+Z761/(1+L760)*R760))</f>
        <v>136893.13018197837</v>
      </c>
      <c r="AA760" s="164">
        <f>IF(OR($M760=1,AND($C759=12,$D759=Input!$C$6)),0,IF($E760="","",W760+(X760+AA761*$R760)/(1+$L760)))</f>
        <v>79133.009347266183</v>
      </c>
      <c r="AB760" s="160">
        <f t="shared" si="234"/>
        <v>0.825720328500681</v>
      </c>
      <c r="AC760" s="164">
        <f t="shared" si="235"/>
        <v>0</v>
      </c>
      <c r="AD760" s="164">
        <f>IF(AND($C759=12,$D759=Input!$C$6),0,IF($E760="","",$AC760+AD761/(1+$L760)*$R760))</f>
        <v>113035.4404233497</v>
      </c>
      <c r="AE760" s="152"/>
      <c r="AF760" s="164">
        <f>IF(AND($C759=12,$D759=Input!$C$6),0,IF($E760="","",IF($B760&gt;Input!$C$9,$AC760,0)+AF761/(1+$L760)*$R760))</f>
        <v>113035.4404233497</v>
      </c>
      <c r="AG760" s="164">
        <f>IF(AND($C759=12,$D759=Input!$C$6),0,IF($E760="","",(IF($B760&gt;Input!$C$9,$X760,0)+AG761)/(1+$L760)*$R760))</f>
        <v>73106.611228067079</v>
      </c>
      <c r="AH760" s="160">
        <f t="shared" si="236"/>
        <v>2.0950137211446997</v>
      </c>
      <c r="AI760" s="160">
        <f>IF($E760="","",MIN(Input!$C$61/AH760,1))</f>
        <v>0.64438718771845094</v>
      </c>
      <c r="AJ760" s="152"/>
      <c r="AK760" s="164">
        <f>IF(AND($C759=12,$D759=Input!$C$6),0,IF($E760="","",IF($B760&gt;Input!$C$9,$AC760*AI760,0)+AK761/(1+$L760)*$R760))</f>
        <v>72838.589566918818</v>
      </c>
      <c r="AL760" s="164">
        <f>IF(AND($C759=12,$D759=Input!$C$6),0,IF($E760="","",IF($B760&gt;Input!$C$9,0,$AC760)+AL761/(1+$L760)*$R760))</f>
        <v>0</v>
      </c>
      <c r="AM760" s="160">
        <f t="shared" si="237"/>
        <v>1.1382936520186004</v>
      </c>
      <c r="AN760" s="164">
        <f>IF($E760="","",IF($B760&gt;Input!$C$9,$AI760*$AC760,$AM760*$AC760))</f>
        <v>0</v>
      </c>
      <c r="AO760" s="164">
        <f>IF(AND($C759=12,$D759=Input!$C$6),0,IF($E760="","",$AN760+AO761/(1+$L760)*$R760))</f>
        <v>72838.589566918818</v>
      </c>
      <c r="AP760" s="152"/>
      <c r="AQ760" s="164">
        <f t="shared" si="238"/>
        <v>6294.4197803473653</v>
      </c>
      <c r="AR760" s="164">
        <f t="shared" si="247"/>
        <v>30852.259094855595</v>
      </c>
      <c r="AS760" s="164">
        <f t="shared" si="248"/>
        <v>24082.296650717704</v>
      </c>
      <c r="AT760" s="164">
        <f t="shared" si="239"/>
        <v>30852.259094855595</v>
      </c>
      <c r="AU760" s="152"/>
      <c r="AV760" s="147">
        <f>'Deterministic Reserve'!BC760</f>
        <v>5.6560399538141294E-13</v>
      </c>
      <c r="AW760" s="164">
        <f t="shared" si="240"/>
        <v>30852.259094855595</v>
      </c>
      <c r="AX760" s="164">
        <f t="shared" si="241"/>
        <v>1.7450161010592861E-8</v>
      </c>
      <c r="AY760" s="152"/>
    </row>
    <row r="761" spans="1:51" s="150" customFormat="1" x14ac:dyDescent="0.25">
      <c r="A761" s="150">
        <f t="shared" si="249"/>
        <v>757</v>
      </c>
      <c r="B761" s="150">
        <f t="shared" si="250"/>
        <v>64</v>
      </c>
      <c r="C761" s="150">
        <f t="shared" si="251"/>
        <v>1</v>
      </c>
      <c r="D761" s="150">
        <f>IF(E761="","",Input!$C$4+B761-1)</f>
        <v>108</v>
      </c>
      <c r="E761" s="150">
        <f>IF(OR(AND(C760=12,D760=Input!$C$6),E760=""),"",1)</f>
        <v>1</v>
      </c>
      <c r="F761" s="150">
        <f>IF(E761="","",Input!$C$8+B761-1)</f>
        <v>2081</v>
      </c>
      <c r="G761" s="151">
        <f>IF(E761="","",MAX(0,Input!$C$9-B761))</f>
        <v>0</v>
      </c>
      <c r="H761" s="152">
        <f>IF(E761="","",Input!$C$3)</f>
        <v>100000</v>
      </c>
      <c r="I761" s="153">
        <f>IF(E761="","",HLOOKUP($B761,Input!$C$13:$BT$14,2))</f>
        <v>1000</v>
      </c>
      <c r="J761" s="154"/>
      <c r="K761" s="155">
        <f>IF($E761="","",Input!$C$57)</f>
        <v>4.4999999999999998E-2</v>
      </c>
      <c r="L761" s="155">
        <f t="shared" si="242"/>
        <v>3.6748094004368514E-3</v>
      </c>
      <c r="M761" s="147">
        <f>IF($E761="","",VLOOKUP(IF($B761&lt;=Input!$C$7,$B761,26),'Mortality Tables'!$A$72:$CA$97,IF($B761&lt;=Input!$C$7+1,Input!$C$4-16,$D761-Input!$C$7-16),0)/1000)</f>
        <v>0.53061000000000003</v>
      </c>
      <c r="N761" s="147">
        <f t="shared" si="231"/>
        <v>6.1081666153281144E-2</v>
      </c>
      <c r="O761" s="157">
        <f>IF($E761="","",IF($C761=12,IF($B761&lt;Input!$C$9,Input!$C$54,IF($B761=Input!$C$9,Input!$C$55,Input!$C$56)),0%))</f>
        <v>0</v>
      </c>
      <c r="P761" s="167">
        <f>IF($E761="","",IF($B761=1,Input!$C$59,IF($B761&lt;6,Input!$C$60,0%)))</f>
        <v>0</v>
      </c>
      <c r="Q761" s="162">
        <f>IF($E761="","",Input!$C$58)</f>
        <v>2.5</v>
      </c>
      <c r="R761" s="156">
        <f t="shared" si="243"/>
        <v>0.93891833384671886</v>
      </c>
      <c r="S761" s="154">
        <f t="shared" si="232"/>
        <v>1.2130735815876247E-7</v>
      </c>
      <c r="T761" s="152"/>
      <c r="U761" s="150">
        <f t="shared" si="244"/>
        <v>100000</v>
      </c>
      <c r="V761" s="150">
        <f t="shared" si="245"/>
        <v>100000</v>
      </c>
      <c r="W761" s="168">
        <f t="shared" si="246"/>
        <v>0</v>
      </c>
      <c r="X761" s="163">
        <f t="shared" si="233"/>
        <v>6108.1666153281149</v>
      </c>
      <c r="Y761" s="152"/>
      <c r="Z761" s="164">
        <f>IF(AND($C760=12,$D760=Input!$C$6),0,IF($E761="","",V761+Z762/(1+L761)*R761))</f>
        <v>162917.07448913695</v>
      </c>
      <c r="AA761" s="164">
        <f>IF(OR($M761=1,AND($C760=12,$D760=Input!$C$6)),0,IF($E761="","",W761+(X761+AA762*$R761)/(1+$L761)))</f>
        <v>87459.315329710313</v>
      </c>
      <c r="AB761" s="160">
        <f t="shared" si="234"/>
        <v>0.825720328500681</v>
      </c>
      <c r="AC761" s="164">
        <f t="shared" si="235"/>
        <v>82572.032850068106</v>
      </c>
      <c r="AD761" s="164">
        <f>IF(AND($C760=12,$D760=Input!$C$6),0,IF($E761="","",$AC761+AD762/(1+$L761)*$R761))</f>
        <v>134523.94026554012</v>
      </c>
      <c r="AE761" s="152"/>
      <c r="AF761" s="164">
        <f>IF(AND($C760=12,$D760=Input!$C$6),0,IF($E761="","",IF($B761&gt;Input!$C$9,$AC761,0)+AF762/(1+$L761)*$R761))</f>
        <v>134523.94026554012</v>
      </c>
      <c r="AG761" s="164">
        <f>IF(AND($C760=12,$D760=Input!$C$6),0,IF($E761="","",(IF($B761&gt;Input!$C$9,$X761,0)+AG762)/(1+$L761)*$R761))</f>
        <v>81339.521156672083</v>
      </c>
      <c r="AH761" s="160">
        <f t="shared" si="236"/>
        <v>2.0950137211446997</v>
      </c>
      <c r="AI761" s="160">
        <f>IF($E761="","",MIN(Input!$C$61/AH761,1))</f>
        <v>0.64438718771845094</v>
      </c>
      <c r="AJ761" s="152"/>
      <c r="AK761" s="164">
        <f>IF(AND($C760=12,$D760=Input!$C$6),0,IF($E761="","",IF($B761&gt;Input!$C$9,$AC761*AI761,0)+AK762/(1+$L761)*$R761))</f>
        <v>86685.503548516281</v>
      </c>
      <c r="AL761" s="164">
        <f>IF(AND($C760=12,$D760=Input!$C$6),0,IF($E761="","",IF($B761&gt;Input!$C$9,0,$AC761)+AL762/(1+$L761)*$R761))</f>
        <v>0</v>
      </c>
      <c r="AM761" s="160">
        <f t="shared" si="237"/>
        <v>1.1382936520186004</v>
      </c>
      <c r="AN761" s="164">
        <f>IF($E761="","",IF($B761&gt;Input!$C$9,$AI761*$AC761,$AM761*$AC761))</f>
        <v>53208.360032450932</v>
      </c>
      <c r="AO761" s="164">
        <f>IF(AND($C760=12,$D760=Input!$C$6),0,IF($E761="","",$AN761+AO762/(1+$L761)*$R761))</f>
        <v>86685.503548516281</v>
      </c>
      <c r="AP761" s="152"/>
      <c r="AQ761" s="164">
        <f t="shared" si="238"/>
        <v>773.81178119403194</v>
      </c>
      <c r="AR761" s="164">
        <f t="shared" si="247"/>
        <v>34903.700490000418</v>
      </c>
      <c r="AS761" s="164">
        <f t="shared" si="248"/>
        <v>25388.038277511965</v>
      </c>
      <c r="AT761" s="164">
        <f t="shared" si="239"/>
        <v>34903.700490000418</v>
      </c>
      <c r="AU761" s="152"/>
      <c r="AV761" s="147">
        <f>'Deterministic Reserve'!BC761</f>
        <v>5.07261058540015E-13</v>
      </c>
      <c r="AW761" s="164">
        <f t="shared" si="240"/>
        <v>34903.700490000418</v>
      </c>
      <c r="AX761" s="164">
        <f t="shared" si="241"/>
        <v>1.7705288057521251E-8</v>
      </c>
      <c r="AY761" s="152"/>
    </row>
    <row r="762" spans="1:51" s="150" customFormat="1" x14ac:dyDescent="0.25">
      <c r="A762" s="150">
        <f t="shared" si="249"/>
        <v>758</v>
      </c>
      <c r="B762" s="150">
        <f t="shared" si="250"/>
        <v>64</v>
      </c>
      <c r="C762" s="150">
        <f t="shared" si="251"/>
        <v>2</v>
      </c>
      <c r="D762" s="150">
        <f>IF(E762="","",Input!$C$4+B762-1)</f>
        <v>108</v>
      </c>
      <c r="E762" s="150">
        <f>IF(OR(AND(C761=12,D761=Input!$C$6),E761=""),"",1)</f>
        <v>1</v>
      </c>
      <c r="F762" s="150">
        <f>IF(E762="","",Input!$C$8+B762-1)</f>
        <v>2081</v>
      </c>
      <c r="G762" s="151">
        <f>IF(E762="","",MAX(0,Input!$C$9-B762))</f>
        <v>0</v>
      </c>
      <c r="H762" s="152">
        <f>IF(E762="","",Input!$C$3)</f>
        <v>100000</v>
      </c>
      <c r="I762" s="153">
        <f>IF(E762="","",HLOOKUP($B762,Input!$C$13:$BT$14,2))</f>
        <v>1000</v>
      </c>
      <c r="J762" s="154"/>
      <c r="K762" s="155">
        <f>IF($E762="","",Input!$C$57)</f>
        <v>4.4999999999999998E-2</v>
      </c>
      <c r="L762" s="155">
        <f t="shared" si="242"/>
        <v>3.6748094004368514E-3</v>
      </c>
      <c r="M762" s="147">
        <f>IF($E762="","",VLOOKUP(IF($B762&lt;=Input!$C$7,$B762,26),'Mortality Tables'!$A$72:$CA$97,IF($B762&lt;=Input!$C$7+1,Input!$C$4-16,$D762-Input!$C$7-16),0)/1000)</f>
        <v>0.53061000000000003</v>
      </c>
      <c r="N762" s="147">
        <f t="shared" si="231"/>
        <v>6.1081666153281144E-2</v>
      </c>
      <c r="O762" s="157">
        <f>IF($E762="","",IF($C762=12,IF($B762&lt;Input!$C$9,Input!$C$54,IF($B762=Input!$C$9,Input!$C$55,Input!$C$56)),0%))</f>
        <v>0</v>
      </c>
      <c r="P762" s="167">
        <f>IF($E762="","",IF($B762=1,Input!$C$59,IF($B762&lt;6,Input!$C$60,0%)))</f>
        <v>0</v>
      </c>
      <c r="Q762" s="162">
        <f>IF($E762="","",Input!$C$58)</f>
        <v>2.5</v>
      </c>
      <c r="R762" s="156">
        <f t="shared" si="243"/>
        <v>0.93891833384671886</v>
      </c>
      <c r="S762" s="154">
        <f t="shared" si="232"/>
        <v>1.1389770260577244E-7</v>
      </c>
      <c r="T762" s="152"/>
      <c r="U762" s="150">
        <f t="shared" si="244"/>
        <v>0</v>
      </c>
      <c r="V762" s="150">
        <f t="shared" si="245"/>
        <v>0</v>
      </c>
      <c r="W762" s="168">
        <f t="shared" si="246"/>
        <v>0</v>
      </c>
      <c r="X762" s="163">
        <f t="shared" si="233"/>
        <v>6108.1666153281149</v>
      </c>
      <c r="Y762" s="152"/>
      <c r="Z762" s="164">
        <f>IF(AND($C761=12,$D761=Input!$C$6),0,IF($E762="","",V762+Z763/(1+L762)*R762))</f>
        <v>67256.416739889508</v>
      </c>
      <c r="AA762" s="164">
        <f>IF(OR($M762=1,AND($C761=12,$D761=Input!$C$6)),0,IF($E762="","",W762+(X762+AA763*$R762)/(1+$L762)))</f>
        <v>86985.781493798029</v>
      </c>
      <c r="AB762" s="160">
        <f t="shared" si="234"/>
        <v>0.825720328500681</v>
      </c>
      <c r="AC762" s="164">
        <f t="shared" si="235"/>
        <v>0</v>
      </c>
      <c r="AD762" s="164">
        <f>IF(AND($C761=12,$D761=Input!$C$6),0,IF($E762="","",$AC762+AD763/(1+$L762)*$R762))</f>
        <v>55534.990524240304</v>
      </c>
      <c r="AE762" s="152"/>
      <c r="AF762" s="164">
        <f>IF(AND($C761=12,$D761=Input!$C$6),0,IF($E762="","",IF($B762&gt;Input!$C$9,$AC762,0)+AF763/(1+$L762)*$R762))</f>
        <v>55534.990524240304</v>
      </c>
      <c r="AG762" s="164">
        <f>IF(AND($C761=12,$D761=Input!$C$6),0,IF($E762="","",(IF($B762&gt;Input!$C$9,$X762,0)+AG763)/(1+$L762)*$R762))</f>
        <v>80841.278773788508</v>
      </c>
      <c r="AH762" s="160">
        <f t="shared" si="236"/>
        <v>2.0950137211446997</v>
      </c>
      <c r="AI762" s="160">
        <f>IF($E762="","",MIN(Input!$C$61/AH762,1))</f>
        <v>0.64438718771845094</v>
      </c>
      <c r="AJ762" s="152"/>
      <c r="AK762" s="164">
        <f>IF(AND($C761=12,$D761=Input!$C$6),0,IF($E762="","",IF($B762&gt;Input!$C$9,$AC762*AI762,0)+AK763/(1+$L762)*$R762))</f>
        <v>35786.036363886022</v>
      </c>
      <c r="AL762" s="164">
        <f>IF(AND($C761=12,$D761=Input!$C$6),0,IF($E762="","",IF($B762&gt;Input!$C$9,0,$AC762)+AL763/(1+$L762)*$R762))</f>
        <v>0</v>
      </c>
      <c r="AM762" s="160">
        <f t="shared" si="237"/>
        <v>1.1382936520186004</v>
      </c>
      <c r="AN762" s="164">
        <f>IF($E762="","",IF($B762&gt;Input!$C$9,$AI762*$AC762,$AM762*$AC762))</f>
        <v>0</v>
      </c>
      <c r="AO762" s="164">
        <f>IF(AND($C761=12,$D761=Input!$C$6),0,IF($E762="","",$AN762+AO763/(1+$L762)*$R762))</f>
        <v>35786.036363886022</v>
      </c>
      <c r="AP762" s="152"/>
      <c r="AQ762" s="164">
        <f t="shared" si="238"/>
        <v>51199.745129912008</v>
      </c>
      <c r="AR762" s="164">
        <f t="shared" si="247"/>
        <v>34903.700490000418</v>
      </c>
      <c r="AS762" s="164">
        <f t="shared" si="248"/>
        <v>25388.038277511965</v>
      </c>
      <c r="AT762" s="164">
        <f t="shared" si="239"/>
        <v>34903.700490000418</v>
      </c>
      <c r="AU762" s="152"/>
      <c r="AV762" s="147">
        <f>'Deterministic Reserve'!BC762</f>
        <v>4.5493628689383277E-13</v>
      </c>
      <c r="AW762" s="164">
        <f t="shared" si="240"/>
        <v>34903.700490000418</v>
      </c>
      <c r="AX762" s="164">
        <f t="shared" si="241"/>
        <v>1.587895989977524E-8</v>
      </c>
      <c r="AY762" s="152"/>
    </row>
    <row r="763" spans="1:51" s="150" customFormat="1" x14ac:dyDescent="0.25">
      <c r="A763" s="150">
        <f t="shared" si="249"/>
        <v>759</v>
      </c>
      <c r="B763" s="150">
        <f t="shared" si="250"/>
        <v>64</v>
      </c>
      <c r="C763" s="150">
        <f t="shared" si="251"/>
        <v>3</v>
      </c>
      <c r="D763" s="150">
        <f>IF(E763="","",Input!$C$4+B763-1)</f>
        <v>108</v>
      </c>
      <c r="E763" s="150">
        <f>IF(OR(AND(C762=12,D762=Input!$C$6),E762=""),"",1)</f>
        <v>1</v>
      </c>
      <c r="F763" s="150">
        <f>IF(E763="","",Input!$C$8+B763-1)</f>
        <v>2081</v>
      </c>
      <c r="G763" s="151">
        <f>IF(E763="","",MAX(0,Input!$C$9-B763))</f>
        <v>0</v>
      </c>
      <c r="H763" s="152">
        <f>IF(E763="","",Input!$C$3)</f>
        <v>100000</v>
      </c>
      <c r="I763" s="153">
        <f>IF(E763="","",HLOOKUP($B763,Input!$C$13:$BT$14,2))</f>
        <v>1000</v>
      </c>
      <c r="J763" s="154"/>
      <c r="K763" s="155">
        <f>IF($E763="","",Input!$C$57)</f>
        <v>4.4999999999999998E-2</v>
      </c>
      <c r="L763" s="155">
        <f t="shared" si="242"/>
        <v>3.6748094004368514E-3</v>
      </c>
      <c r="M763" s="147">
        <f>IF($E763="","",VLOOKUP(IF($B763&lt;=Input!$C$7,$B763,26),'Mortality Tables'!$A$72:$CA$97,IF($B763&lt;=Input!$C$7+1,Input!$C$4-16,$D763-Input!$C$7-16),0)/1000)</f>
        <v>0.53061000000000003</v>
      </c>
      <c r="N763" s="147">
        <f t="shared" si="231"/>
        <v>6.1081666153281144E-2</v>
      </c>
      <c r="O763" s="157">
        <f>IF($E763="","",IF($C763=12,IF($B763&lt;Input!$C$9,Input!$C$54,IF($B763=Input!$C$9,Input!$C$55,Input!$C$56)),0%))</f>
        <v>0</v>
      </c>
      <c r="P763" s="167">
        <f>IF($E763="","",IF($B763=1,Input!$C$59,IF($B763&lt;6,Input!$C$60,0%)))</f>
        <v>0</v>
      </c>
      <c r="Q763" s="162">
        <f>IF($E763="","",Input!$C$58)</f>
        <v>2.5</v>
      </c>
      <c r="R763" s="156">
        <f t="shared" si="243"/>
        <v>0.93891833384671886</v>
      </c>
      <c r="S763" s="154">
        <f t="shared" si="232"/>
        <v>1.0694064115958095E-7</v>
      </c>
      <c r="T763" s="152"/>
      <c r="U763" s="150">
        <f t="shared" si="244"/>
        <v>0</v>
      </c>
      <c r="V763" s="150">
        <f t="shared" si="245"/>
        <v>0</v>
      </c>
      <c r="W763" s="168">
        <f t="shared" si="246"/>
        <v>0</v>
      </c>
      <c r="X763" s="163">
        <f t="shared" si="233"/>
        <v>6108.1666153281149</v>
      </c>
      <c r="Y763" s="152"/>
      <c r="Z763" s="164">
        <f>IF(AND($C762=12,$D762=Input!$C$6),0,IF($E763="","",V763+Z764/(1+L763)*R763))</f>
        <v>71895.040089168295</v>
      </c>
      <c r="AA763" s="164">
        <f>IF(OR($M763=1,AND($C762=12,$D762=Input!$C$6)),0,IF($E763="","",W763+(X763+AA764*$R763)/(1+$L763)))</f>
        <v>86479.588393321726</v>
      </c>
      <c r="AB763" s="160">
        <f t="shared" si="234"/>
        <v>0.825720328500681</v>
      </c>
      <c r="AC763" s="164">
        <f t="shared" si="235"/>
        <v>0</v>
      </c>
      <c r="AD763" s="164">
        <f>IF(AND($C762=12,$D762=Input!$C$6),0,IF($E763="","",$AC763+AD764/(1+$L763)*$R763))</f>
        <v>59365.196119997716</v>
      </c>
      <c r="AE763" s="152"/>
      <c r="AF763" s="164">
        <f>IF(AND($C762=12,$D762=Input!$C$6),0,IF($E763="","",IF($B763&gt;Input!$C$9,$AC763,0)+AF764/(1+$L763)*$R763))</f>
        <v>59365.196119997716</v>
      </c>
      <c r="AG763" s="164">
        <f>IF(AND($C762=12,$D762=Input!$C$6),0,IF($E763="","",(IF($B763&gt;Input!$C$9,$X763,0)+AG764)/(1+$L763)*$R763))</f>
        <v>80308.672996854642</v>
      </c>
      <c r="AH763" s="160">
        <f t="shared" si="236"/>
        <v>2.0950137211446997</v>
      </c>
      <c r="AI763" s="160">
        <f>IF($E763="","",MIN(Input!$C$61/AH763,1))</f>
        <v>0.64438718771845094</v>
      </c>
      <c r="AJ763" s="152"/>
      <c r="AK763" s="164">
        <f>IF(AND($C762=12,$D762=Input!$C$6),0,IF($E763="","",IF($B763&gt;Input!$C$9,$AC763*AI763,0)+AK764/(1+$L763)*$R763))</f>
        <v>38254.17177611962</v>
      </c>
      <c r="AL763" s="164">
        <f>IF(AND($C762=12,$D762=Input!$C$6),0,IF($E763="","",IF($B763&gt;Input!$C$9,0,$AC763)+AL764/(1+$L763)*$R763))</f>
        <v>0</v>
      </c>
      <c r="AM763" s="160">
        <f t="shared" si="237"/>
        <v>1.1382936520186004</v>
      </c>
      <c r="AN763" s="164">
        <f>IF($E763="","",IF($B763&gt;Input!$C$9,$AI763*$AC763,$AM763*$AC763))</f>
        <v>0</v>
      </c>
      <c r="AO763" s="164">
        <f>IF(AND($C762=12,$D762=Input!$C$6),0,IF($E763="","",$AN763+AO764/(1+$L763)*$R763))</f>
        <v>38254.17177611962</v>
      </c>
      <c r="AP763" s="152"/>
      <c r="AQ763" s="164">
        <f t="shared" si="238"/>
        <v>48225.416617202107</v>
      </c>
      <c r="AR763" s="164">
        <f t="shared" si="247"/>
        <v>34903.700490000418</v>
      </c>
      <c r="AS763" s="164">
        <f t="shared" si="248"/>
        <v>25388.038277511965</v>
      </c>
      <c r="AT763" s="164">
        <f t="shared" si="239"/>
        <v>34903.700490000418</v>
      </c>
      <c r="AU763" s="152"/>
      <c r="AV763" s="147">
        <f>'Deterministic Reserve'!BC763</f>
        <v>4.080088972893653E-13</v>
      </c>
      <c r="AW763" s="164">
        <f t="shared" si="240"/>
        <v>34903.700490000418</v>
      </c>
      <c r="AX763" s="164">
        <f t="shared" si="241"/>
        <v>1.424102034824335E-8</v>
      </c>
      <c r="AY763" s="152"/>
    </row>
    <row r="764" spans="1:51" s="150" customFormat="1" x14ac:dyDescent="0.25">
      <c r="A764" s="150">
        <f t="shared" si="249"/>
        <v>760</v>
      </c>
      <c r="B764" s="150">
        <f t="shared" si="250"/>
        <v>64</v>
      </c>
      <c r="C764" s="150">
        <f t="shared" si="251"/>
        <v>4</v>
      </c>
      <c r="D764" s="150">
        <f>IF(E764="","",Input!$C$4+B764-1)</f>
        <v>108</v>
      </c>
      <c r="E764" s="150">
        <f>IF(OR(AND(C763=12,D763=Input!$C$6),E763=""),"",1)</f>
        <v>1</v>
      </c>
      <c r="F764" s="150">
        <f>IF(E764="","",Input!$C$8+B764-1)</f>
        <v>2081</v>
      </c>
      <c r="G764" s="151">
        <f>IF(E764="","",MAX(0,Input!$C$9-B764))</f>
        <v>0</v>
      </c>
      <c r="H764" s="152">
        <f>IF(E764="","",Input!$C$3)</f>
        <v>100000</v>
      </c>
      <c r="I764" s="153">
        <f>IF(E764="","",HLOOKUP($B764,Input!$C$13:$BT$14,2))</f>
        <v>1000</v>
      </c>
      <c r="J764" s="154"/>
      <c r="K764" s="155">
        <f>IF($E764="","",Input!$C$57)</f>
        <v>4.4999999999999998E-2</v>
      </c>
      <c r="L764" s="155">
        <f t="shared" si="242"/>
        <v>3.6748094004368514E-3</v>
      </c>
      <c r="M764" s="147">
        <f>IF($E764="","",VLOOKUP(IF($B764&lt;=Input!$C$7,$B764,26),'Mortality Tables'!$A$72:$CA$97,IF($B764&lt;=Input!$C$7+1,Input!$C$4-16,$D764-Input!$C$7-16),0)/1000)</f>
        <v>0.53061000000000003</v>
      </c>
      <c r="N764" s="147">
        <f t="shared" si="231"/>
        <v>6.1081666153281144E-2</v>
      </c>
      <c r="O764" s="157">
        <f>IF($E764="","",IF($C764=12,IF($B764&lt;Input!$C$9,Input!$C$54,IF($B764=Input!$C$9,Input!$C$55,Input!$C$56)),0%))</f>
        <v>0</v>
      </c>
      <c r="P764" s="167">
        <f>IF($E764="","",IF($B764=1,Input!$C$59,IF($B764&lt;6,Input!$C$60,0%)))</f>
        <v>0</v>
      </c>
      <c r="Q764" s="162">
        <f>IF($E764="","",Input!$C$58)</f>
        <v>2.5</v>
      </c>
      <c r="R764" s="156">
        <f t="shared" si="243"/>
        <v>0.93891833384671886</v>
      </c>
      <c r="S764" s="154">
        <f t="shared" si="232"/>
        <v>1.004085286180536E-7</v>
      </c>
      <c r="T764" s="152"/>
      <c r="U764" s="150">
        <f t="shared" si="244"/>
        <v>0</v>
      </c>
      <c r="V764" s="150">
        <f t="shared" si="245"/>
        <v>0</v>
      </c>
      <c r="W764" s="168">
        <f t="shared" si="246"/>
        <v>0</v>
      </c>
      <c r="X764" s="163">
        <f t="shared" si="233"/>
        <v>6108.1666153281149</v>
      </c>
      <c r="Y764" s="152"/>
      <c r="Z764" s="164">
        <f>IF(AND($C763=12,$D763=Input!$C$6),0,IF($E764="","",V764+Z765/(1+L764)*R764))</f>
        <v>76853.58572422227</v>
      </c>
      <c r="AA764" s="164">
        <f>IF(OR($M764=1,AND($C763=12,$D763=Input!$C$6)),0,IF($E764="","",W764+(X764+AA765*$R764)/(1+$L764)))</f>
        <v>85938.483543916023</v>
      </c>
      <c r="AB764" s="160">
        <f t="shared" si="234"/>
        <v>0.825720328500681</v>
      </c>
      <c r="AC764" s="164">
        <f t="shared" si="235"/>
        <v>0</v>
      </c>
      <c r="AD764" s="164">
        <f>IF(AND($C763=12,$D763=Input!$C$6),0,IF($E764="","",$AC764+AD765/(1+$L764)*$R764))</f>
        <v>63459.568050660113</v>
      </c>
      <c r="AE764" s="152"/>
      <c r="AF764" s="164">
        <f>IF(AND($C763=12,$D763=Input!$C$6),0,IF($E764="","",IF($B764&gt;Input!$C$9,$AC764,0)+AF765/(1+$L764)*$R764))</f>
        <v>63459.568050660113</v>
      </c>
      <c r="AG764" s="164">
        <f>IF(AND($C763=12,$D763=Input!$C$6),0,IF($E764="","",(IF($B764&gt;Input!$C$9,$X764,0)+AG765)/(1+$L764)*$R764))</f>
        <v>79739.333809004733</v>
      </c>
      <c r="AH764" s="160">
        <f t="shared" si="236"/>
        <v>2.0950137211446997</v>
      </c>
      <c r="AI764" s="160">
        <f>IF($E764="","",MIN(Input!$C$61/AH764,1))</f>
        <v>0.64438718771845094</v>
      </c>
      <c r="AJ764" s="152"/>
      <c r="AK764" s="164">
        <f>IF(AND($C763=12,$D763=Input!$C$6),0,IF($E764="","",IF($B764&gt;Input!$C$9,$AC764*AI764,0)+AK765/(1+$L764)*$R764))</f>
        <v>40892.532589992523</v>
      </c>
      <c r="AL764" s="164">
        <f>IF(AND($C763=12,$D763=Input!$C$6),0,IF($E764="","",IF($B764&gt;Input!$C$9,0,$AC764)+AL765/(1+$L764)*$R764))</f>
        <v>0</v>
      </c>
      <c r="AM764" s="160">
        <f t="shared" si="237"/>
        <v>1.1382936520186004</v>
      </c>
      <c r="AN764" s="164">
        <f>IF($E764="","",IF($B764&gt;Input!$C$9,$AI764*$AC764,$AM764*$AC764))</f>
        <v>0</v>
      </c>
      <c r="AO764" s="164">
        <f>IF(AND($C763=12,$D763=Input!$C$6),0,IF($E764="","",$AN764+AO765/(1+$L764)*$R764))</f>
        <v>40892.532589992523</v>
      </c>
      <c r="AP764" s="152"/>
      <c r="AQ764" s="164">
        <f t="shared" si="238"/>
        <v>45045.9509539235</v>
      </c>
      <c r="AR764" s="164">
        <f t="shared" si="247"/>
        <v>34903.700490000418</v>
      </c>
      <c r="AS764" s="164">
        <f t="shared" si="248"/>
        <v>25388.038277511965</v>
      </c>
      <c r="AT764" s="164">
        <f t="shared" si="239"/>
        <v>34903.700490000418</v>
      </c>
      <c r="AU764" s="152"/>
      <c r="AV764" s="147">
        <f>'Deterministic Reserve'!BC764</f>
        <v>3.6592214132642441E-13</v>
      </c>
      <c r="AW764" s="164">
        <f t="shared" si="240"/>
        <v>34903.700490000418</v>
      </c>
      <c r="AX764" s="164">
        <f t="shared" si="241"/>
        <v>1.2772036823517122E-8</v>
      </c>
      <c r="AY764" s="152"/>
    </row>
    <row r="765" spans="1:51" s="150" customFormat="1" x14ac:dyDescent="0.25">
      <c r="A765" s="150">
        <f t="shared" si="249"/>
        <v>761</v>
      </c>
      <c r="B765" s="150">
        <f t="shared" si="250"/>
        <v>64</v>
      </c>
      <c r="C765" s="150">
        <f t="shared" si="251"/>
        <v>5</v>
      </c>
      <c r="D765" s="150">
        <f>IF(E765="","",Input!$C$4+B765-1)</f>
        <v>108</v>
      </c>
      <c r="E765" s="150">
        <f>IF(OR(AND(C764=12,D764=Input!$C$6),E764=""),"",1)</f>
        <v>1</v>
      </c>
      <c r="F765" s="150">
        <f>IF(E765="","",Input!$C$8+B765-1)</f>
        <v>2081</v>
      </c>
      <c r="G765" s="151">
        <f>IF(E765="","",MAX(0,Input!$C$9-B765))</f>
        <v>0</v>
      </c>
      <c r="H765" s="152">
        <f>IF(E765="","",Input!$C$3)</f>
        <v>100000</v>
      </c>
      <c r="I765" s="153">
        <f>IF(E765="","",HLOOKUP($B765,Input!$C$13:$BT$14,2))</f>
        <v>1000</v>
      </c>
      <c r="J765" s="154"/>
      <c r="K765" s="155">
        <f>IF($E765="","",Input!$C$57)</f>
        <v>4.4999999999999998E-2</v>
      </c>
      <c r="L765" s="155">
        <f t="shared" si="242"/>
        <v>3.6748094004368514E-3</v>
      </c>
      <c r="M765" s="147">
        <f>IF($E765="","",VLOOKUP(IF($B765&lt;=Input!$C$7,$B765,26),'Mortality Tables'!$A$72:$CA$97,IF($B765&lt;=Input!$C$7+1,Input!$C$4-16,$D765-Input!$C$7-16),0)/1000)</f>
        <v>0.53061000000000003</v>
      </c>
      <c r="N765" s="147">
        <f t="shared" si="231"/>
        <v>6.1081666153281144E-2</v>
      </c>
      <c r="O765" s="157">
        <f>IF($E765="","",IF($C765=12,IF($B765&lt;Input!$C$9,Input!$C$54,IF($B765=Input!$C$9,Input!$C$55,Input!$C$56)),0%))</f>
        <v>0</v>
      </c>
      <c r="P765" s="167">
        <f>IF($E765="","",IF($B765=1,Input!$C$59,IF($B765&lt;6,Input!$C$60,0%)))</f>
        <v>0</v>
      </c>
      <c r="Q765" s="162">
        <f>IF($E765="","",Input!$C$58)</f>
        <v>2.5</v>
      </c>
      <c r="R765" s="156">
        <f t="shared" si="243"/>
        <v>0.93891833384671886</v>
      </c>
      <c r="S765" s="154">
        <f t="shared" si="232"/>
        <v>9.427540839406347E-8</v>
      </c>
      <c r="T765" s="152"/>
      <c r="U765" s="150">
        <f t="shared" si="244"/>
        <v>0</v>
      </c>
      <c r="V765" s="150">
        <f t="shared" si="245"/>
        <v>0</v>
      </c>
      <c r="W765" s="168">
        <f t="shared" si="246"/>
        <v>0</v>
      </c>
      <c r="X765" s="163">
        <f t="shared" si="233"/>
        <v>6108.1666153281149</v>
      </c>
      <c r="Y765" s="152"/>
      <c r="Z765" s="164">
        <f>IF(AND($C764=12,$D764=Input!$C$6),0,IF($E765="","",V765+Z766/(1+L765)*R765))</f>
        <v>82154.118439114012</v>
      </c>
      <c r="AA765" s="164">
        <f>IF(OR($M765=1,AND($C764=12,$D764=Input!$C$6)),0,IF($E765="","",W765+(X765+AA766*$R765)/(1+$L765)))</f>
        <v>85360.059109100825</v>
      </c>
      <c r="AB765" s="160">
        <f t="shared" si="234"/>
        <v>0.825720328500681</v>
      </c>
      <c r="AC765" s="164">
        <f t="shared" si="235"/>
        <v>0</v>
      </c>
      <c r="AD765" s="164">
        <f>IF(AND($C764=12,$D764=Input!$C$6),0,IF($E765="","",$AC765+AD766/(1+$L765)*$R765))</f>
        <v>67836.325665229131</v>
      </c>
      <c r="AE765" s="152"/>
      <c r="AF765" s="164">
        <f>IF(AND($C764=12,$D764=Input!$C$6),0,IF($E765="","",IF($B765&gt;Input!$C$9,$AC765,0)+AF766/(1+$L765)*$R765))</f>
        <v>67836.325665229131</v>
      </c>
      <c r="AG765" s="164">
        <f>IF(AND($C764=12,$D764=Input!$C$6),0,IF($E765="","",(IF($B765&gt;Input!$C$9,$X765,0)+AG766)/(1+$L765)*$R765))</f>
        <v>79130.727735132154</v>
      </c>
      <c r="AH765" s="160">
        <f t="shared" si="236"/>
        <v>2.0950137211446997</v>
      </c>
      <c r="AI765" s="160">
        <f>IF($E765="","",MIN(Input!$C$61/AH765,1))</f>
        <v>0.64438718771845094</v>
      </c>
      <c r="AJ765" s="152"/>
      <c r="AK765" s="164">
        <f>IF(AND($C764=12,$D764=Input!$C$6),0,IF($E765="","",IF($B765&gt;Input!$C$9,$AC765*AI765,0)+AK766/(1+$L765)*$R765))</f>
        <v>43712.859120569963</v>
      </c>
      <c r="AL765" s="164">
        <f>IF(AND($C764=12,$D764=Input!$C$6),0,IF($E765="","",IF($B765&gt;Input!$C$9,0,$AC765)+AL766/(1+$L765)*$R765))</f>
        <v>0</v>
      </c>
      <c r="AM765" s="160">
        <f t="shared" si="237"/>
        <v>1.1382936520186004</v>
      </c>
      <c r="AN765" s="164">
        <f>IF($E765="","",IF($B765&gt;Input!$C$9,$AI765*$AC765,$AM765*$AC765))</f>
        <v>0</v>
      </c>
      <c r="AO765" s="164">
        <f>IF(AND($C764=12,$D764=Input!$C$6),0,IF($E765="","",$AN765+AO766/(1+$L765)*$R765))</f>
        <v>43712.859120569963</v>
      </c>
      <c r="AP765" s="152"/>
      <c r="AQ765" s="164">
        <f t="shared" si="238"/>
        <v>41647.199988530861</v>
      </c>
      <c r="AR765" s="164">
        <f t="shared" si="247"/>
        <v>34903.700490000418</v>
      </c>
      <c r="AS765" s="164">
        <f t="shared" si="248"/>
        <v>25388.038277511965</v>
      </c>
      <c r="AT765" s="164">
        <f t="shared" si="239"/>
        <v>34903.700490000418</v>
      </c>
      <c r="AU765" s="152"/>
      <c r="AV765" s="147">
        <f>'Deterministic Reserve'!BC765</f>
        <v>3.281767000731672E-13</v>
      </c>
      <c r="AW765" s="164">
        <f t="shared" si="240"/>
        <v>34903.700490000418</v>
      </c>
      <c r="AX765" s="164">
        <f t="shared" si="241"/>
        <v>1.1454581247150525E-8</v>
      </c>
      <c r="AY765" s="152"/>
    </row>
    <row r="766" spans="1:51" s="150" customFormat="1" x14ac:dyDescent="0.25">
      <c r="A766" s="150">
        <f t="shared" si="249"/>
        <v>762</v>
      </c>
      <c r="B766" s="150">
        <f t="shared" si="250"/>
        <v>64</v>
      </c>
      <c r="C766" s="150">
        <f t="shared" si="251"/>
        <v>6</v>
      </c>
      <c r="D766" s="150">
        <f>IF(E766="","",Input!$C$4+B766-1)</f>
        <v>108</v>
      </c>
      <c r="E766" s="150">
        <f>IF(OR(AND(C765=12,D765=Input!$C$6),E765=""),"",1)</f>
        <v>1</v>
      </c>
      <c r="F766" s="150">
        <f>IF(E766="","",Input!$C$8+B766-1)</f>
        <v>2081</v>
      </c>
      <c r="G766" s="151">
        <f>IF(E766="","",MAX(0,Input!$C$9-B766))</f>
        <v>0</v>
      </c>
      <c r="H766" s="152">
        <f>IF(E766="","",Input!$C$3)</f>
        <v>100000</v>
      </c>
      <c r="I766" s="153">
        <f>IF(E766="","",HLOOKUP($B766,Input!$C$13:$BT$14,2))</f>
        <v>1000</v>
      </c>
      <c r="J766" s="154"/>
      <c r="K766" s="155">
        <f>IF($E766="","",Input!$C$57)</f>
        <v>4.4999999999999998E-2</v>
      </c>
      <c r="L766" s="155">
        <f t="shared" si="242"/>
        <v>3.6748094004368514E-3</v>
      </c>
      <c r="M766" s="147">
        <f>IF($E766="","",VLOOKUP(IF($B766&lt;=Input!$C$7,$B766,26),'Mortality Tables'!$A$72:$CA$97,IF($B766&lt;=Input!$C$7+1,Input!$C$4-16,$D766-Input!$C$7-16),0)/1000)</f>
        <v>0.53061000000000003</v>
      </c>
      <c r="N766" s="147">
        <f t="shared" si="231"/>
        <v>6.1081666153281144E-2</v>
      </c>
      <c r="O766" s="157">
        <f>IF($E766="","",IF($C766=12,IF($B766&lt;Input!$C$9,Input!$C$54,IF($B766=Input!$C$9,Input!$C$55,Input!$C$56)),0%))</f>
        <v>0</v>
      </c>
      <c r="P766" s="167">
        <f>IF($E766="","",IF($B766=1,Input!$C$59,IF($B766&lt;6,Input!$C$60,0%)))</f>
        <v>0</v>
      </c>
      <c r="Q766" s="162">
        <f>IF($E766="","",Input!$C$58)</f>
        <v>2.5</v>
      </c>
      <c r="R766" s="156">
        <f t="shared" si="243"/>
        <v>0.93891833384671886</v>
      </c>
      <c r="S766" s="154">
        <f t="shared" si="232"/>
        <v>8.8516909372073051E-8</v>
      </c>
      <c r="T766" s="152"/>
      <c r="U766" s="150">
        <f t="shared" si="244"/>
        <v>0</v>
      </c>
      <c r="V766" s="150">
        <f t="shared" si="245"/>
        <v>0</v>
      </c>
      <c r="W766" s="168">
        <f t="shared" si="246"/>
        <v>0</v>
      </c>
      <c r="X766" s="163">
        <f t="shared" si="233"/>
        <v>6108.1666153281149</v>
      </c>
      <c r="Y766" s="152"/>
      <c r="Z766" s="164">
        <f>IF(AND($C765=12,$D765=Input!$C$6),0,IF($E766="","",V766+Z767/(1+L766)*R766))</f>
        <v>87820.224819787007</v>
      </c>
      <c r="AA766" s="164">
        <f>IF(OR($M766=1,AND($C765=12,$D765=Input!$C$6)),0,IF($E766="","",W766+(X766+AA767*$R766)/(1+$L766)))</f>
        <v>84741.74118576535</v>
      </c>
      <c r="AB766" s="160">
        <f t="shared" si="234"/>
        <v>0.825720328500681</v>
      </c>
      <c r="AC766" s="164">
        <f t="shared" si="235"/>
        <v>0</v>
      </c>
      <c r="AD766" s="164">
        <f>IF(AND($C765=12,$D765=Input!$C$6),0,IF($E766="","",$AC766+AD767/(1+$L766)*$R766))</f>
        <v>72514.944887198231</v>
      </c>
      <c r="AE766" s="152"/>
      <c r="AF766" s="164">
        <f>IF(AND($C765=12,$D765=Input!$C$6),0,IF($E766="","",IF($B766&gt;Input!$C$9,$AC766,0)+AF767/(1+$L766)*$R766))</f>
        <v>72514.944887198231</v>
      </c>
      <c r="AG766" s="164">
        <f>IF(AND($C765=12,$D765=Input!$C$6),0,IF($E766="","",(IF($B766&gt;Input!$C$9,$X766,0)+AG767)/(1+$L766)*$R766))</f>
        <v>78480.146568300072</v>
      </c>
      <c r="AH766" s="160">
        <f t="shared" si="236"/>
        <v>2.0950137211446997</v>
      </c>
      <c r="AI766" s="160">
        <f>IF($E766="","",MIN(Input!$C$61/AH766,1))</f>
        <v>0.64438718771845094</v>
      </c>
      <c r="AJ766" s="152"/>
      <c r="AK766" s="164">
        <f>IF(AND($C765=12,$D765=Input!$C$6),0,IF($E766="","",IF($B766&gt;Input!$C$9,$AC766*AI766,0)+AK767/(1+$L766)*$R766))</f>
        <v>46727.70140342012</v>
      </c>
      <c r="AL766" s="164">
        <f>IF(AND($C765=12,$D765=Input!$C$6),0,IF($E766="","",IF($B766&gt;Input!$C$9,0,$AC766)+AL767/(1+$L766)*$R766))</f>
        <v>0</v>
      </c>
      <c r="AM766" s="160">
        <f t="shared" si="237"/>
        <v>1.1382936520186004</v>
      </c>
      <c r="AN766" s="164">
        <f>IF($E766="","",IF($B766&gt;Input!$C$9,$AI766*$AC766,$AM766*$AC766))</f>
        <v>0</v>
      </c>
      <c r="AO766" s="164">
        <f>IF(AND($C765=12,$D765=Input!$C$6),0,IF($E766="","",$AN766+AO767/(1+$L766)*$R766))</f>
        <v>46727.70140342012</v>
      </c>
      <c r="AP766" s="152"/>
      <c r="AQ766" s="164">
        <f t="shared" si="238"/>
        <v>38014.039782345229</v>
      </c>
      <c r="AR766" s="164">
        <f t="shared" si="247"/>
        <v>34903.700490000418</v>
      </c>
      <c r="AS766" s="164">
        <f t="shared" si="248"/>
        <v>25388.038277511965</v>
      </c>
      <c r="AT766" s="164">
        <f t="shared" si="239"/>
        <v>34903.700490000418</v>
      </c>
      <c r="AU766" s="152"/>
      <c r="AV766" s="147">
        <f>'Deterministic Reserve'!BC766</f>
        <v>2.9432476012660509E-13</v>
      </c>
      <c r="AW766" s="164">
        <f t="shared" si="240"/>
        <v>34903.700490000418</v>
      </c>
      <c r="AX766" s="164">
        <f t="shared" si="241"/>
        <v>1.0273023274250241E-8</v>
      </c>
      <c r="AY766" s="152"/>
    </row>
    <row r="767" spans="1:51" s="150" customFormat="1" x14ac:dyDescent="0.25">
      <c r="A767" s="150">
        <f t="shared" si="249"/>
        <v>763</v>
      </c>
      <c r="B767" s="150">
        <f t="shared" si="250"/>
        <v>64</v>
      </c>
      <c r="C767" s="150">
        <f t="shared" si="251"/>
        <v>7</v>
      </c>
      <c r="D767" s="150">
        <f>IF(E767="","",Input!$C$4+B767-1)</f>
        <v>108</v>
      </c>
      <c r="E767" s="150">
        <f>IF(OR(AND(C766=12,D766=Input!$C$6),E766=""),"",1)</f>
        <v>1</v>
      </c>
      <c r="F767" s="150">
        <f>IF(E767="","",Input!$C$8+B767-1)</f>
        <v>2081</v>
      </c>
      <c r="G767" s="151">
        <f>IF(E767="","",MAX(0,Input!$C$9-B767))</f>
        <v>0</v>
      </c>
      <c r="H767" s="152">
        <f>IF(E767="","",Input!$C$3)</f>
        <v>100000</v>
      </c>
      <c r="I767" s="153">
        <f>IF(E767="","",HLOOKUP($B767,Input!$C$13:$BT$14,2))</f>
        <v>1000</v>
      </c>
      <c r="J767" s="154"/>
      <c r="K767" s="155">
        <f>IF($E767="","",Input!$C$57)</f>
        <v>4.4999999999999998E-2</v>
      </c>
      <c r="L767" s="155">
        <f t="shared" si="242"/>
        <v>3.6748094004368514E-3</v>
      </c>
      <c r="M767" s="147">
        <f>IF($E767="","",VLOOKUP(IF($B767&lt;=Input!$C$7,$B767,26),'Mortality Tables'!$A$72:$CA$97,IF($B767&lt;=Input!$C$7+1,Input!$C$4-16,$D767-Input!$C$7-16),0)/1000)</f>
        <v>0.53061000000000003</v>
      </c>
      <c r="N767" s="147">
        <f t="shared" si="231"/>
        <v>6.1081666153281144E-2</v>
      </c>
      <c r="O767" s="157">
        <f>IF($E767="","",IF($C767=12,IF($B767&lt;Input!$C$9,Input!$C$54,IF($B767=Input!$C$9,Input!$C$55,Input!$C$56)),0%))</f>
        <v>0</v>
      </c>
      <c r="P767" s="167">
        <f>IF($E767="","",IF($B767=1,Input!$C$59,IF($B767&lt;6,Input!$C$60,0%)))</f>
        <v>0</v>
      </c>
      <c r="Q767" s="162">
        <f>IF($E767="","",Input!$C$58)</f>
        <v>2.5</v>
      </c>
      <c r="R767" s="156">
        <f t="shared" si="243"/>
        <v>0.93891833384671886</v>
      </c>
      <c r="S767" s="154">
        <f t="shared" si="232"/>
        <v>8.3110149064887838E-8</v>
      </c>
      <c r="T767" s="152"/>
      <c r="U767" s="150">
        <f t="shared" si="244"/>
        <v>0</v>
      </c>
      <c r="V767" s="150">
        <f t="shared" si="245"/>
        <v>0</v>
      </c>
      <c r="W767" s="168">
        <f t="shared" si="246"/>
        <v>0</v>
      </c>
      <c r="X767" s="163">
        <f t="shared" si="233"/>
        <v>6108.1666153281149</v>
      </c>
      <c r="Y767" s="152"/>
      <c r="Z767" s="164">
        <f>IF(AND($C766=12,$D766=Input!$C$6),0,IF($E767="","",V767+Z768/(1+L767)*R767))</f>
        <v>93877.11820088161</v>
      </c>
      <c r="AA767" s="164">
        <f>IF(OR($M767=1,AND($C766=12,$D766=Input!$C$6)),0,IF($E767="","",W767+(X767+AA768*$R767)/(1+$L767)))</f>
        <v>84080.778350680368</v>
      </c>
      <c r="AB767" s="160">
        <f t="shared" si="234"/>
        <v>0.825720328500681</v>
      </c>
      <c r="AC767" s="164">
        <f t="shared" si="235"/>
        <v>0</v>
      </c>
      <c r="AD767" s="164">
        <f>IF(AND($C766=12,$D766=Input!$C$6),0,IF($E767="","",$AC767+AD768/(1+$L767)*$R767))</f>
        <v>77516.244879529258</v>
      </c>
      <c r="AE767" s="152"/>
      <c r="AF767" s="164">
        <f>IF(AND($C766=12,$D766=Input!$C$6),0,IF($E767="","",IF($B767&gt;Input!$C$9,$AC767,0)+AF768/(1+$L767)*$R767))</f>
        <v>77516.244879529258</v>
      </c>
      <c r="AG767" s="164">
        <f>IF(AND($C766=12,$D766=Input!$C$6),0,IF($E767="","",(IF($B767&gt;Input!$C$9,$X767,0)+AG768)/(1+$L767)*$R767))</f>
        <v>77784.695318621641</v>
      </c>
      <c r="AH767" s="160">
        <f t="shared" si="236"/>
        <v>2.0950137211446997</v>
      </c>
      <c r="AI767" s="160">
        <f>IF($E767="","",MIN(Input!$C$61/AH767,1))</f>
        <v>0.64438718771845094</v>
      </c>
      <c r="AJ767" s="152"/>
      <c r="AK767" s="164">
        <f>IF(AND($C766=12,$D766=Input!$C$6),0,IF($E767="","",IF($B767&gt;Input!$C$9,$AC767*AI767,0)+AK768/(1+$L767)*$R767))</f>
        <v>49950.475040414618</v>
      </c>
      <c r="AL767" s="164">
        <f>IF(AND($C766=12,$D766=Input!$C$6),0,IF($E767="","",IF($B767&gt;Input!$C$9,0,$AC767)+AL768/(1+$L767)*$R767))</f>
        <v>0</v>
      </c>
      <c r="AM767" s="160">
        <f t="shared" si="237"/>
        <v>1.1382936520186004</v>
      </c>
      <c r="AN767" s="164">
        <f>IF($E767="","",IF($B767&gt;Input!$C$9,$AI767*$AC767,$AM767*$AC767))</f>
        <v>0</v>
      </c>
      <c r="AO767" s="164">
        <f>IF(AND($C766=12,$D766=Input!$C$6),0,IF($E767="","",$AN767+AO768/(1+$L767)*$R767))</f>
        <v>49950.475040414618</v>
      </c>
      <c r="AP767" s="152"/>
      <c r="AQ767" s="164">
        <f t="shared" si="238"/>
        <v>34130.30331026575</v>
      </c>
      <c r="AR767" s="164">
        <f t="shared" si="247"/>
        <v>34903.700490000418</v>
      </c>
      <c r="AS767" s="164">
        <f t="shared" si="248"/>
        <v>25388.038277511965</v>
      </c>
      <c r="AT767" s="164">
        <f t="shared" si="239"/>
        <v>34903.700490000418</v>
      </c>
      <c r="AU767" s="152"/>
      <c r="AV767" s="147">
        <f>'Deterministic Reserve'!BC767</f>
        <v>2.6396470073673742E-13</v>
      </c>
      <c r="AW767" s="164">
        <f t="shared" si="240"/>
        <v>34903.700490000418</v>
      </c>
      <c r="AX767" s="164">
        <f t="shared" si="241"/>
        <v>9.2133448544476751E-9</v>
      </c>
      <c r="AY767" s="152"/>
    </row>
    <row r="768" spans="1:51" s="150" customFormat="1" x14ac:dyDescent="0.25">
      <c r="A768" s="150">
        <f t="shared" si="249"/>
        <v>764</v>
      </c>
      <c r="B768" s="150">
        <f t="shared" si="250"/>
        <v>64</v>
      </c>
      <c r="C768" s="150">
        <f t="shared" si="251"/>
        <v>8</v>
      </c>
      <c r="D768" s="150">
        <f>IF(E768="","",Input!$C$4+B768-1)</f>
        <v>108</v>
      </c>
      <c r="E768" s="150">
        <f>IF(OR(AND(C767=12,D767=Input!$C$6),E767=""),"",1)</f>
        <v>1</v>
      </c>
      <c r="F768" s="150">
        <f>IF(E768="","",Input!$C$8+B768-1)</f>
        <v>2081</v>
      </c>
      <c r="G768" s="151">
        <f>IF(E768="","",MAX(0,Input!$C$9-B768))</f>
        <v>0</v>
      </c>
      <c r="H768" s="152">
        <f>IF(E768="","",Input!$C$3)</f>
        <v>100000</v>
      </c>
      <c r="I768" s="153">
        <f>IF(E768="","",HLOOKUP($B768,Input!$C$13:$BT$14,2))</f>
        <v>1000</v>
      </c>
      <c r="J768" s="154"/>
      <c r="K768" s="155">
        <f>IF($E768="","",Input!$C$57)</f>
        <v>4.4999999999999998E-2</v>
      </c>
      <c r="L768" s="155">
        <f t="shared" si="242"/>
        <v>3.6748094004368514E-3</v>
      </c>
      <c r="M768" s="147">
        <f>IF($E768="","",VLOOKUP(IF($B768&lt;=Input!$C$7,$B768,26),'Mortality Tables'!$A$72:$CA$97,IF($B768&lt;=Input!$C$7+1,Input!$C$4-16,$D768-Input!$C$7-16),0)/1000)</f>
        <v>0.53061000000000003</v>
      </c>
      <c r="N768" s="147">
        <f t="shared" si="231"/>
        <v>6.1081666153281144E-2</v>
      </c>
      <c r="O768" s="157">
        <f>IF($E768="","",IF($C768=12,IF($B768&lt;Input!$C$9,Input!$C$54,IF($B768=Input!$C$9,Input!$C$55,Input!$C$56)),0%))</f>
        <v>0</v>
      </c>
      <c r="P768" s="167">
        <f>IF($E768="","",IF($B768=1,Input!$C$59,IF($B768&lt;6,Input!$C$60,0%)))</f>
        <v>0</v>
      </c>
      <c r="Q768" s="162">
        <f>IF($E768="","",Input!$C$58)</f>
        <v>2.5</v>
      </c>
      <c r="R768" s="156">
        <f t="shared" si="243"/>
        <v>0.93891833384671886</v>
      </c>
      <c r="S768" s="154">
        <f t="shared" si="232"/>
        <v>7.8033642685756929E-8</v>
      </c>
      <c r="T768" s="152"/>
      <c r="U768" s="150">
        <f t="shared" si="244"/>
        <v>0</v>
      </c>
      <c r="V768" s="150">
        <f t="shared" si="245"/>
        <v>0</v>
      </c>
      <c r="W768" s="168">
        <f t="shared" si="246"/>
        <v>0</v>
      </c>
      <c r="X768" s="163">
        <f t="shared" si="233"/>
        <v>6108.1666153281149</v>
      </c>
      <c r="Y768" s="152"/>
      <c r="Z768" s="164">
        <f>IF(AND($C767=12,$D767=Input!$C$6),0,IF($E768="","",V768+Z769/(1+L768)*R768))</f>
        <v>100351.75086134186</v>
      </c>
      <c r="AA768" s="164">
        <f>IF(OR($M768=1,AND($C767=12,$D767=Input!$C$6)),0,IF($E768="","",W768+(X768+AA769*$R768)/(1+$L768)))</f>
        <v>83374.229417072056</v>
      </c>
      <c r="AB768" s="160">
        <f t="shared" si="234"/>
        <v>0.825720328500681</v>
      </c>
      <c r="AC768" s="164">
        <f t="shared" si="235"/>
        <v>0</v>
      </c>
      <c r="AD768" s="164">
        <f>IF(AND($C767=12,$D767=Input!$C$6),0,IF($E768="","",$AC768+AD769/(1+$L768)*$R768))</f>
        <v>82862.480686845738</v>
      </c>
      <c r="AE768" s="152"/>
      <c r="AF768" s="164">
        <f>IF(AND($C767=12,$D767=Input!$C$6),0,IF($E768="","",IF($B768&gt;Input!$C$9,$AC768,0)+AF769/(1+$L768)*$R768))</f>
        <v>82862.480686845738</v>
      </c>
      <c r="AG768" s="164">
        <f>IF(AND($C767=12,$D767=Input!$C$6),0,IF($E768="","",(IF($B768&gt;Input!$C$9,$X768,0)+AG769)/(1+$L768)*$R768))</f>
        <v>77041.279330983409</v>
      </c>
      <c r="AH768" s="160">
        <f t="shared" si="236"/>
        <v>2.0950137211446997</v>
      </c>
      <c r="AI768" s="160">
        <f>IF($E768="","",MIN(Input!$C$61/AH768,1))</f>
        <v>0.64438718771845094</v>
      </c>
      <c r="AJ768" s="152"/>
      <c r="AK768" s="164">
        <f>IF(AND($C767=12,$D767=Input!$C$6),0,IF($E768="","",IF($B768&gt;Input!$C$9,$AC768*AI768,0)+AK769/(1+$L768)*$R768))</f>
        <v>53395.520897170958</v>
      </c>
      <c r="AL768" s="164">
        <f>IF(AND($C767=12,$D767=Input!$C$6),0,IF($E768="","",IF($B768&gt;Input!$C$9,0,$AC768)+AL769/(1+$L768)*$R768))</f>
        <v>0</v>
      </c>
      <c r="AM768" s="160">
        <f t="shared" si="237"/>
        <v>1.1382936520186004</v>
      </c>
      <c r="AN768" s="164">
        <f>IF($E768="","",IF($B768&gt;Input!$C$9,$AI768*$AC768,$AM768*$AC768))</f>
        <v>0</v>
      </c>
      <c r="AO768" s="164">
        <f>IF(AND($C767=12,$D767=Input!$C$6),0,IF($E768="","",$AN768+AO769/(1+$L768)*$R768))</f>
        <v>53395.520897170958</v>
      </c>
      <c r="AP768" s="152"/>
      <c r="AQ768" s="164">
        <f t="shared" si="238"/>
        <v>29978.708519901098</v>
      </c>
      <c r="AR768" s="164">
        <f t="shared" si="247"/>
        <v>34903.700490000418</v>
      </c>
      <c r="AS768" s="164">
        <f t="shared" si="248"/>
        <v>25388.038277511965</v>
      </c>
      <c r="AT768" s="164">
        <f t="shared" si="239"/>
        <v>34903.700490000418</v>
      </c>
      <c r="AU768" s="152"/>
      <c r="AV768" s="147">
        <f>'Deterministic Reserve'!BC768</f>
        <v>2.3673632896214142E-13</v>
      </c>
      <c r="AW768" s="164">
        <f t="shared" si="240"/>
        <v>34903.700490000418</v>
      </c>
      <c r="AX768" s="164">
        <f t="shared" si="241"/>
        <v>8.2629739211967953E-9</v>
      </c>
      <c r="AY768" s="152"/>
    </row>
    <row r="769" spans="1:51" s="150" customFormat="1" x14ac:dyDescent="0.25">
      <c r="A769" s="150">
        <f t="shared" si="249"/>
        <v>765</v>
      </c>
      <c r="B769" s="150">
        <f t="shared" si="250"/>
        <v>64</v>
      </c>
      <c r="C769" s="150">
        <f t="shared" si="251"/>
        <v>9</v>
      </c>
      <c r="D769" s="150">
        <f>IF(E769="","",Input!$C$4+B769-1)</f>
        <v>108</v>
      </c>
      <c r="E769" s="150">
        <f>IF(OR(AND(C768=12,D768=Input!$C$6),E768=""),"",1)</f>
        <v>1</v>
      </c>
      <c r="F769" s="150">
        <f>IF(E769="","",Input!$C$8+B769-1)</f>
        <v>2081</v>
      </c>
      <c r="G769" s="151">
        <f>IF(E769="","",MAX(0,Input!$C$9-B769))</f>
        <v>0</v>
      </c>
      <c r="H769" s="152">
        <f>IF(E769="","",Input!$C$3)</f>
        <v>100000</v>
      </c>
      <c r="I769" s="153">
        <f>IF(E769="","",HLOOKUP($B769,Input!$C$13:$BT$14,2))</f>
        <v>1000</v>
      </c>
      <c r="J769" s="154"/>
      <c r="K769" s="155">
        <f>IF($E769="","",Input!$C$57)</f>
        <v>4.4999999999999998E-2</v>
      </c>
      <c r="L769" s="155">
        <f t="shared" si="242"/>
        <v>3.6748094004368514E-3</v>
      </c>
      <c r="M769" s="147">
        <f>IF($E769="","",VLOOKUP(IF($B769&lt;=Input!$C$7,$B769,26),'Mortality Tables'!$A$72:$CA$97,IF($B769&lt;=Input!$C$7+1,Input!$C$4-16,$D769-Input!$C$7-16),0)/1000)</f>
        <v>0.53061000000000003</v>
      </c>
      <c r="N769" s="147">
        <f t="shared" si="231"/>
        <v>6.1081666153281144E-2</v>
      </c>
      <c r="O769" s="157">
        <f>IF($E769="","",IF($C769=12,IF($B769&lt;Input!$C$9,Input!$C$54,IF($B769=Input!$C$9,Input!$C$55,Input!$C$56)),0%))</f>
        <v>0</v>
      </c>
      <c r="P769" s="167">
        <f>IF($E769="","",IF($B769=1,Input!$C$59,IF($B769&lt;6,Input!$C$60,0%)))</f>
        <v>0</v>
      </c>
      <c r="Q769" s="162">
        <f>IF($E769="","",Input!$C$58)</f>
        <v>2.5</v>
      </c>
      <c r="R769" s="156">
        <f t="shared" si="243"/>
        <v>0.93891833384671886</v>
      </c>
      <c r="S769" s="154">
        <f t="shared" si="232"/>
        <v>7.3267217774501089E-8</v>
      </c>
      <c r="T769" s="152"/>
      <c r="U769" s="150">
        <f t="shared" si="244"/>
        <v>0</v>
      </c>
      <c r="V769" s="150">
        <f t="shared" si="245"/>
        <v>0</v>
      </c>
      <c r="W769" s="168">
        <f t="shared" si="246"/>
        <v>0</v>
      </c>
      <c r="X769" s="163">
        <f t="shared" si="233"/>
        <v>6108.1666153281149</v>
      </c>
      <c r="Y769" s="152"/>
      <c r="Z769" s="164">
        <f>IF(AND($C768=12,$D768=Input!$C$6),0,IF($E769="","",V769+Z770/(1+L769)*R769))</f>
        <v>107272.93395806705</v>
      </c>
      <c r="AA769" s="164">
        <f>IF(OR($M769=1,AND($C768=12,$D768=Input!$C$6)),0,IF($E769="","",W769+(X769+AA770*$R769)/(1+$L769)))</f>
        <v>82618.95034677627</v>
      </c>
      <c r="AB769" s="160">
        <f t="shared" si="234"/>
        <v>0.825720328500681</v>
      </c>
      <c r="AC769" s="164">
        <f t="shared" si="235"/>
        <v>0</v>
      </c>
      <c r="AD769" s="164">
        <f>IF(AND($C768=12,$D768=Input!$C$6),0,IF($E769="","",$AC769+AD770/(1+$L769)*$R769))</f>
        <v>88577.442267087012</v>
      </c>
      <c r="AE769" s="152"/>
      <c r="AF769" s="164">
        <f>IF(AND($C768=12,$D768=Input!$C$6),0,IF($E769="","",IF($B769&gt;Input!$C$9,$AC769,0)+AF770/(1+$L769)*$R769))</f>
        <v>88577.442267087012</v>
      </c>
      <c r="AG769" s="164">
        <f>IF(AND($C768=12,$D768=Input!$C$6),0,IF($E769="","",(IF($B769&gt;Input!$C$9,$X769,0)+AG770)/(1+$L769)*$R769))</f>
        <v>76246.590514288255</v>
      </c>
      <c r="AH769" s="160">
        <f t="shared" si="236"/>
        <v>2.0950137211446997</v>
      </c>
      <c r="AI769" s="160">
        <f>IF($E769="","",MIN(Input!$C$61/AH769,1))</f>
        <v>0.64438718771845094</v>
      </c>
      <c r="AJ769" s="152"/>
      <c r="AK769" s="164">
        <f>IF(AND($C768=12,$D768=Input!$C$6),0,IF($E769="","",IF($B769&gt;Input!$C$9,$AC769*AI769,0)+AK770/(1+$L769)*$R769))</f>
        <v>57078.16891778163</v>
      </c>
      <c r="AL769" s="164">
        <f>IF(AND($C768=12,$D768=Input!$C$6),0,IF($E769="","",IF($B769&gt;Input!$C$9,0,$AC769)+AL770/(1+$L769)*$R769))</f>
        <v>0</v>
      </c>
      <c r="AM769" s="160">
        <f t="shared" si="237"/>
        <v>1.1382936520186004</v>
      </c>
      <c r="AN769" s="164">
        <f>IF($E769="","",IF($B769&gt;Input!$C$9,$AI769*$AC769,$AM769*$AC769))</f>
        <v>0</v>
      </c>
      <c r="AO769" s="164">
        <f>IF(AND($C768=12,$D768=Input!$C$6),0,IF($E769="","",$AN769+AO770/(1+$L769)*$R769))</f>
        <v>57078.16891778163</v>
      </c>
      <c r="AP769" s="152"/>
      <c r="AQ769" s="164">
        <f t="shared" si="238"/>
        <v>25540.78142899464</v>
      </c>
      <c r="AR769" s="164">
        <f t="shared" si="247"/>
        <v>34903.700490000418</v>
      </c>
      <c r="AS769" s="164">
        <f t="shared" si="248"/>
        <v>25388.038277511965</v>
      </c>
      <c r="AT769" s="164">
        <f t="shared" si="239"/>
        <v>34903.700490000418</v>
      </c>
      <c r="AU769" s="152"/>
      <c r="AV769" s="147">
        <f>'Deterministic Reserve'!BC769</f>
        <v>2.1231660632671586E-13</v>
      </c>
      <c r="AW769" s="164">
        <f t="shared" si="240"/>
        <v>34903.700490000418</v>
      </c>
      <c r="AX769" s="164">
        <f t="shared" si="241"/>
        <v>7.4106352362810181E-9</v>
      </c>
      <c r="AY769" s="152"/>
    </row>
    <row r="770" spans="1:51" s="150" customFormat="1" x14ac:dyDescent="0.25">
      <c r="A770" s="150">
        <f t="shared" si="249"/>
        <v>766</v>
      </c>
      <c r="B770" s="150">
        <f t="shared" si="250"/>
        <v>64</v>
      </c>
      <c r="C770" s="150">
        <f t="shared" si="251"/>
        <v>10</v>
      </c>
      <c r="D770" s="150">
        <f>IF(E770="","",Input!$C$4+B770-1)</f>
        <v>108</v>
      </c>
      <c r="E770" s="150">
        <f>IF(OR(AND(C769=12,D769=Input!$C$6),E769=""),"",1)</f>
        <v>1</v>
      </c>
      <c r="F770" s="150">
        <f>IF(E770="","",Input!$C$8+B770-1)</f>
        <v>2081</v>
      </c>
      <c r="G770" s="151">
        <f>IF(E770="","",MAX(0,Input!$C$9-B770))</f>
        <v>0</v>
      </c>
      <c r="H770" s="152">
        <f>IF(E770="","",Input!$C$3)</f>
        <v>100000</v>
      </c>
      <c r="I770" s="153">
        <f>IF(E770="","",HLOOKUP($B770,Input!$C$13:$BT$14,2))</f>
        <v>1000</v>
      </c>
      <c r="J770" s="154"/>
      <c r="K770" s="155">
        <f>IF($E770="","",Input!$C$57)</f>
        <v>4.4999999999999998E-2</v>
      </c>
      <c r="L770" s="155">
        <f t="shared" si="242"/>
        <v>3.6748094004368514E-3</v>
      </c>
      <c r="M770" s="147">
        <f>IF($E770="","",VLOOKUP(IF($B770&lt;=Input!$C$7,$B770,26),'Mortality Tables'!$A$72:$CA$97,IF($B770&lt;=Input!$C$7+1,Input!$C$4-16,$D770-Input!$C$7-16),0)/1000)</f>
        <v>0.53061000000000003</v>
      </c>
      <c r="N770" s="147">
        <f t="shared" si="231"/>
        <v>6.1081666153281144E-2</v>
      </c>
      <c r="O770" s="157">
        <f>IF($E770="","",IF($C770=12,IF($B770&lt;Input!$C$9,Input!$C$54,IF($B770=Input!$C$9,Input!$C$55,Input!$C$56)),0%))</f>
        <v>0</v>
      </c>
      <c r="P770" s="167">
        <f>IF($E770="","",IF($B770=1,Input!$C$59,IF($B770&lt;6,Input!$C$60,0%)))</f>
        <v>0</v>
      </c>
      <c r="Q770" s="162">
        <f>IF($E770="","",Input!$C$58)</f>
        <v>2.5</v>
      </c>
      <c r="R770" s="156">
        <f t="shared" si="243"/>
        <v>0.93891833384671886</v>
      </c>
      <c r="S770" s="154">
        <f t="shared" si="232"/>
        <v>6.8791934038419267E-8</v>
      </c>
      <c r="T770" s="152"/>
      <c r="U770" s="150">
        <f t="shared" si="244"/>
        <v>0</v>
      </c>
      <c r="V770" s="150">
        <f t="shared" si="245"/>
        <v>0</v>
      </c>
      <c r="W770" s="168">
        <f t="shared" si="246"/>
        <v>0</v>
      </c>
      <c r="X770" s="163">
        <f t="shared" si="233"/>
        <v>6108.1666153281149</v>
      </c>
      <c r="Y770" s="152"/>
      <c r="Z770" s="164">
        <f>IF(AND($C769=12,$D769=Input!$C$6),0,IF($E770="","",V770+Z771/(1+L770)*R770))</f>
        <v>114671.46573129499</v>
      </c>
      <c r="AA770" s="164">
        <f>IF(OR($M770=1,AND($C769=12,$D769=Input!$C$6)),0,IF($E770="","",W770+(X770+AA771*$R770)/(1+$L770)))</f>
        <v>81811.580259734168</v>
      </c>
      <c r="AB770" s="160">
        <f t="shared" si="234"/>
        <v>0.825720328500681</v>
      </c>
      <c r="AC770" s="164">
        <f t="shared" si="235"/>
        <v>0</v>
      </c>
      <c r="AD770" s="164">
        <f>IF(AND($C769=12,$D769=Input!$C$6),0,IF($E770="","",$AC770+AD771/(1+$L770)*$R770))</f>
        <v>94686.560353299501</v>
      </c>
      <c r="AE770" s="152"/>
      <c r="AF770" s="164">
        <f>IF(AND($C769=12,$D769=Input!$C$6),0,IF($E770="","",IF($B770&gt;Input!$C$9,$AC770,0)+AF771/(1+$L770)*$R770))</f>
        <v>94686.560353299501</v>
      </c>
      <c r="AG770" s="164">
        <f>IF(AND($C769=12,$D769=Input!$C$6),0,IF($E770="","",(IF($B770&gt;Input!$C$9,$X770,0)+AG771)/(1+$L770)*$R770))</f>
        <v>75397.092620939642</v>
      </c>
      <c r="AH770" s="160">
        <f t="shared" si="236"/>
        <v>2.0950137211446997</v>
      </c>
      <c r="AI770" s="160">
        <f>IF($E770="","",MIN(Input!$C$61/AH770,1))</f>
        <v>0.64438718771845094</v>
      </c>
      <c r="AJ770" s="152"/>
      <c r="AK770" s="164">
        <f>IF(AND($C769=12,$D769=Input!$C$6),0,IF($E770="","",IF($B770&gt;Input!$C$9,$AC770*AI770,0)+AK771/(1+$L770)*$R770))</f>
        <v>61014.806340796022</v>
      </c>
      <c r="AL770" s="164">
        <f>IF(AND($C769=12,$D769=Input!$C$6),0,IF($E770="","",IF($B770&gt;Input!$C$9,0,$AC770)+AL771/(1+$L770)*$R770))</f>
        <v>0</v>
      </c>
      <c r="AM770" s="160">
        <f t="shared" si="237"/>
        <v>1.1382936520186004</v>
      </c>
      <c r="AN770" s="164">
        <f>IF($E770="","",IF($B770&gt;Input!$C$9,$AI770*$AC770,$AM770*$AC770))</f>
        <v>0</v>
      </c>
      <c r="AO770" s="164">
        <f>IF(AND($C769=12,$D769=Input!$C$6),0,IF($E770="","",$AN770+AO771/(1+$L770)*$R770))</f>
        <v>61014.806340796022</v>
      </c>
      <c r="AP770" s="152"/>
      <c r="AQ770" s="164">
        <f t="shared" si="238"/>
        <v>20796.773918938146</v>
      </c>
      <c r="AR770" s="164">
        <f t="shared" si="247"/>
        <v>34903.700490000418</v>
      </c>
      <c r="AS770" s="164">
        <f t="shared" si="248"/>
        <v>25388.038277511965</v>
      </c>
      <c r="AT770" s="164">
        <f t="shared" si="239"/>
        <v>34903.700490000418</v>
      </c>
      <c r="AU770" s="152"/>
      <c r="AV770" s="147">
        <f>'Deterministic Reserve'!BC770</f>
        <v>1.9041581627846614E-13</v>
      </c>
      <c r="AW770" s="164">
        <f t="shared" si="240"/>
        <v>34903.700490000418</v>
      </c>
      <c r="AX770" s="164">
        <f t="shared" si="241"/>
        <v>6.646216619942528E-9</v>
      </c>
      <c r="AY770" s="152"/>
    </row>
    <row r="771" spans="1:51" s="150" customFormat="1" x14ac:dyDescent="0.25">
      <c r="A771" s="150">
        <f t="shared" si="249"/>
        <v>767</v>
      </c>
      <c r="B771" s="150">
        <f t="shared" si="250"/>
        <v>64</v>
      </c>
      <c r="C771" s="150">
        <f t="shared" si="251"/>
        <v>11</v>
      </c>
      <c r="D771" s="150">
        <f>IF(E771="","",Input!$C$4+B771-1)</f>
        <v>108</v>
      </c>
      <c r="E771" s="150">
        <f>IF(OR(AND(C770=12,D770=Input!$C$6),E770=""),"",1)</f>
        <v>1</v>
      </c>
      <c r="F771" s="150">
        <f>IF(E771="","",Input!$C$8+B771-1)</f>
        <v>2081</v>
      </c>
      <c r="G771" s="151">
        <f>IF(E771="","",MAX(0,Input!$C$9-B771))</f>
        <v>0</v>
      </c>
      <c r="H771" s="152">
        <f>IF(E771="","",Input!$C$3)</f>
        <v>100000</v>
      </c>
      <c r="I771" s="153">
        <f>IF(E771="","",HLOOKUP($B771,Input!$C$13:$BT$14,2))</f>
        <v>1000</v>
      </c>
      <c r="J771" s="154"/>
      <c r="K771" s="155">
        <f>IF($E771="","",Input!$C$57)</f>
        <v>4.4999999999999998E-2</v>
      </c>
      <c r="L771" s="155">
        <f t="shared" si="242"/>
        <v>3.6748094004368514E-3</v>
      </c>
      <c r="M771" s="147">
        <f>IF($E771="","",VLOOKUP(IF($B771&lt;=Input!$C$7,$B771,26),'Mortality Tables'!$A$72:$CA$97,IF($B771&lt;=Input!$C$7+1,Input!$C$4-16,$D771-Input!$C$7-16),0)/1000)</f>
        <v>0.53061000000000003</v>
      </c>
      <c r="N771" s="147">
        <f t="shared" si="231"/>
        <v>6.1081666153281144E-2</v>
      </c>
      <c r="O771" s="157">
        <f>IF($E771="","",IF($C771=12,IF($B771&lt;Input!$C$9,Input!$C$54,IF($B771=Input!$C$9,Input!$C$55,Input!$C$56)),0%))</f>
        <v>0</v>
      </c>
      <c r="P771" s="167">
        <f>IF($E771="","",IF($B771=1,Input!$C$59,IF($B771&lt;6,Input!$C$60,0%)))</f>
        <v>0</v>
      </c>
      <c r="Q771" s="162">
        <f>IF($E771="","",Input!$C$58)</f>
        <v>2.5</v>
      </c>
      <c r="R771" s="156">
        <f t="shared" si="243"/>
        <v>0.93891833384671886</v>
      </c>
      <c r="S771" s="154">
        <f t="shared" si="232"/>
        <v>6.4590008089446005E-8</v>
      </c>
      <c r="T771" s="152"/>
      <c r="U771" s="150">
        <f t="shared" si="244"/>
        <v>0</v>
      </c>
      <c r="V771" s="150">
        <f t="shared" si="245"/>
        <v>0</v>
      </c>
      <c r="W771" s="168">
        <f t="shared" si="246"/>
        <v>0</v>
      </c>
      <c r="X771" s="163">
        <f t="shared" si="233"/>
        <v>6108.1666153281149</v>
      </c>
      <c r="Y771" s="152"/>
      <c r="Z771" s="164">
        <f>IF(AND($C770=12,$D770=Input!$C$6),0,IF($E771="","",V771+Z772/(1+L771)*R771))</f>
        <v>122580.26855221199</v>
      </c>
      <c r="AA771" s="164">
        <f>IF(OR($M771=1,AND($C770=12,$D770=Input!$C$6)),0,IF($E771="","",W771+(X771+AA772*$R771)/(1+$L771)))</f>
        <v>80948.526478573374</v>
      </c>
      <c r="AB771" s="160">
        <f t="shared" si="234"/>
        <v>0.825720328500681</v>
      </c>
      <c r="AC771" s="164">
        <f t="shared" si="235"/>
        <v>0</v>
      </c>
      <c r="AD771" s="164">
        <f>IF(AND($C770=12,$D770=Input!$C$6),0,IF($E771="","",$AC771+AD772/(1+$L771)*$R771))</f>
        <v>101217.01961663419</v>
      </c>
      <c r="AE771" s="152"/>
      <c r="AF771" s="164">
        <f>IF(AND($C770=12,$D770=Input!$C$6),0,IF($E771="","",IF($B771&gt;Input!$C$9,$AC771,0)+AF772/(1+$L771)*$R771))</f>
        <v>101217.01961663419</v>
      </c>
      <c r="AG771" s="164">
        <f>IF(AND($C770=12,$D770=Input!$C$6),0,IF($E771="","",(IF($B771&gt;Input!$C$9,$X771,0)+AG772)/(1+$L771)*$R771))</f>
        <v>74489.00551106334</v>
      </c>
      <c r="AH771" s="160">
        <f t="shared" si="236"/>
        <v>2.0950137211446997</v>
      </c>
      <c r="AI771" s="160">
        <f>IF($E771="","",MIN(Input!$C$61/AH771,1))</f>
        <v>0.64438718771845094</v>
      </c>
      <c r="AJ771" s="152"/>
      <c r="AK771" s="164">
        <f>IF(AND($C770=12,$D770=Input!$C$6),0,IF($E771="","",IF($B771&gt;Input!$C$9,$AC771*AI771,0)+AK772/(1+$L771)*$R771))</f>
        <v>65222.950620006173</v>
      </c>
      <c r="AL771" s="164">
        <f>IF(AND($C770=12,$D770=Input!$C$6),0,IF($E771="","",IF($B771&gt;Input!$C$9,0,$AC771)+AL772/(1+$L771)*$R771))</f>
        <v>0</v>
      </c>
      <c r="AM771" s="160">
        <f t="shared" si="237"/>
        <v>1.1382936520186004</v>
      </c>
      <c r="AN771" s="164">
        <f>IF($E771="","",IF($B771&gt;Input!$C$9,$AI771*$AC771,$AM771*$AC771))</f>
        <v>0</v>
      </c>
      <c r="AO771" s="164">
        <f>IF(AND($C770=12,$D770=Input!$C$6),0,IF($E771="","",$AN771+AO772/(1+$L771)*$R771))</f>
        <v>65222.950620006173</v>
      </c>
      <c r="AP771" s="152"/>
      <c r="AQ771" s="164">
        <f t="shared" si="238"/>
        <v>15725.575858567201</v>
      </c>
      <c r="AR771" s="164">
        <f t="shared" si="247"/>
        <v>34903.700490000418</v>
      </c>
      <c r="AS771" s="164">
        <f t="shared" si="248"/>
        <v>25388.038277511965</v>
      </c>
      <c r="AT771" s="164">
        <f t="shared" si="239"/>
        <v>34903.700490000418</v>
      </c>
      <c r="AU771" s="152"/>
      <c r="AV771" s="147">
        <f>'Deterministic Reserve'!BC771</f>
        <v>1.7077412698091053E-13</v>
      </c>
      <c r="AW771" s="164">
        <f t="shared" si="240"/>
        <v>34903.700490000418</v>
      </c>
      <c r="AX771" s="164">
        <f t="shared" si="241"/>
        <v>5.9606489795830006E-9</v>
      </c>
      <c r="AY771" s="152"/>
    </row>
    <row r="772" spans="1:51" s="150" customFormat="1" x14ac:dyDescent="0.25">
      <c r="A772" s="150">
        <f t="shared" si="249"/>
        <v>768</v>
      </c>
      <c r="B772" s="150">
        <f t="shared" si="250"/>
        <v>64</v>
      </c>
      <c r="C772" s="150">
        <f t="shared" si="251"/>
        <v>12</v>
      </c>
      <c r="D772" s="150">
        <f>IF(E772="","",Input!$C$4+B772-1)</f>
        <v>108</v>
      </c>
      <c r="E772" s="150">
        <f>IF(OR(AND(C771=12,D771=Input!$C$6),E771=""),"",1)</f>
        <v>1</v>
      </c>
      <c r="F772" s="150">
        <f>IF(E772="","",Input!$C$8+B772-1)</f>
        <v>2081</v>
      </c>
      <c r="G772" s="151">
        <f>IF(E772="","",MAX(0,Input!$C$9-B772))</f>
        <v>0</v>
      </c>
      <c r="H772" s="152">
        <f>IF(E772="","",Input!$C$3)</f>
        <v>100000</v>
      </c>
      <c r="I772" s="153">
        <f>IF(E772="","",HLOOKUP($B772,Input!$C$13:$BT$14,2))</f>
        <v>1000</v>
      </c>
      <c r="J772" s="154"/>
      <c r="K772" s="155">
        <f>IF($E772="","",Input!$C$57)</f>
        <v>4.4999999999999998E-2</v>
      </c>
      <c r="L772" s="155">
        <f t="shared" si="242"/>
        <v>3.6748094004368514E-3</v>
      </c>
      <c r="M772" s="147">
        <f>IF($E772="","",VLOOKUP(IF($B772&lt;=Input!$C$7,$B772,26),'Mortality Tables'!$A$72:$CA$97,IF($B772&lt;=Input!$C$7+1,Input!$C$4-16,$D772-Input!$C$7-16),0)/1000)</f>
        <v>0.53061000000000003</v>
      </c>
      <c r="N772" s="147">
        <f t="shared" si="231"/>
        <v>6.1081666153281144E-2</v>
      </c>
      <c r="O772" s="157">
        <f>IF($E772="","",IF($C772=12,IF($B772&lt;Input!$C$9,Input!$C$54,IF($B772=Input!$C$9,Input!$C$55,Input!$C$56)),0%))</f>
        <v>0.1</v>
      </c>
      <c r="P772" s="167">
        <f>IF($E772="","",IF($B772=1,Input!$C$59,IF($B772&lt;6,Input!$C$60,0%)))</f>
        <v>0</v>
      </c>
      <c r="Q772" s="162">
        <f>IF($E772="","",Input!$C$58)</f>
        <v>2.5</v>
      </c>
      <c r="R772" s="156">
        <f t="shared" si="243"/>
        <v>0.83891833384671888</v>
      </c>
      <c r="S772" s="154">
        <f t="shared" si="232"/>
        <v>5.418574196954414E-8</v>
      </c>
      <c r="T772" s="152"/>
      <c r="U772" s="150">
        <f t="shared" si="244"/>
        <v>0</v>
      </c>
      <c r="V772" s="150">
        <f t="shared" si="245"/>
        <v>0</v>
      </c>
      <c r="W772" s="168">
        <f t="shared" si="246"/>
        <v>0</v>
      </c>
      <c r="X772" s="163">
        <f t="shared" si="233"/>
        <v>6108.1666153281149</v>
      </c>
      <c r="Y772" s="152"/>
      <c r="Z772" s="164">
        <f>IF(AND($C771=12,$D771=Input!$C$6),0,IF($E772="","",V772+Z773/(1+L772)*R772))</f>
        <v>131034.53542263118</v>
      </c>
      <c r="AA772" s="164">
        <f>IF(OR($M772=1,AND($C771=12,$D771=Input!$C$6)),0,IF($E772="","",W772+(X772+AA773*$R772)/(1+$L772)))</f>
        <v>80025.948541725578</v>
      </c>
      <c r="AB772" s="160">
        <f t="shared" si="234"/>
        <v>0.825720328500681</v>
      </c>
      <c r="AC772" s="164">
        <f t="shared" si="235"/>
        <v>0</v>
      </c>
      <c r="AD772" s="164">
        <f>IF(AND($C771=12,$D771=Input!$C$6),0,IF($E772="","",$AC772+AD773/(1+$L772)*$R772))</f>
        <v>108197.87963410915</v>
      </c>
      <c r="AE772" s="152"/>
      <c r="AF772" s="164">
        <f>IF(AND($C771=12,$D771=Input!$C$6),0,IF($E772="","",IF($B772&gt;Input!$C$9,$AC772,0)+AF773/(1+$L772)*$R772))</f>
        <v>108197.87963410915</v>
      </c>
      <c r="AG772" s="164">
        <f>IF(AND($C771=12,$D771=Input!$C$6),0,IF($E772="","",(IF($B772&gt;Input!$C$9,$X772,0)+AG773)/(1+$L772)*$R772))</f>
        <v>73518.288331444535</v>
      </c>
      <c r="AH772" s="160">
        <f t="shared" si="236"/>
        <v>2.0950137211446997</v>
      </c>
      <c r="AI772" s="160">
        <f>IF($E772="","",MIN(Input!$C$61/AH772,1))</f>
        <v>0.64438718771845094</v>
      </c>
      <c r="AJ772" s="152"/>
      <c r="AK772" s="164">
        <f>IF(AND($C771=12,$D771=Input!$C$6),0,IF($E772="","",IF($B772&gt;Input!$C$9,$AC772*AI772,0)+AK773/(1+$L772)*$R772))</f>
        <v>69721.32737452304</v>
      </c>
      <c r="AL772" s="164">
        <f>IF(AND($C771=12,$D771=Input!$C$6),0,IF($E772="","",IF($B772&gt;Input!$C$9,0,$AC772)+AL773/(1+$L772)*$R772))</f>
        <v>0</v>
      </c>
      <c r="AM772" s="160">
        <f t="shared" si="237"/>
        <v>1.1382936520186004</v>
      </c>
      <c r="AN772" s="164">
        <f>IF($E772="","",IF($B772&gt;Input!$C$9,$AI772*$AC772,$AM772*$AC772))</f>
        <v>0</v>
      </c>
      <c r="AO772" s="164">
        <f>IF(AND($C771=12,$D771=Input!$C$6),0,IF($E772="","",$AN772+AO773/(1+$L772)*$R772))</f>
        <v>69721.32737452304</v>
      </c>
      <c r="AP772" s="152"/>
      <c r="AQ772" s="164">
        <f t="shared" si="238"/>
        <v>10304.621167202538</v>
      </c>
      <c r="AR772" s="164">
        <f t="shared" si="247"/>
        <v>34903.700490000418</v>
      </c>
      <c r="AS772" s="164">
        <f t="shared" si="248"/>
        <v>25388.038277511965</v>
      </c>
      <c r="AT772" s="164">
        <f t="shared" si="239"/>
        <v>34903.700490000418</v>
      </c>
      <c r="AU772" s="152"/>
      <c r="AV772" s="147">
        <f>'Deterministic Reserve'!BC772</f>
        <v>1.3608109595983839E-13</v>
      </c>
      <c r="AW772" s="164">
        <f t="shared" si="240"/>
        <v>34903.700490000418</v>
      </c>
      <c r="AX772" s="164">
        <f t="shared" si="241"/>
        <v>4.7497338157332051E-9</v>
      </c>
      <c r="AY772" s="152"/>
    </row>
    <row r="773" spans="1:51" s="150" customFormat="1" x14ac:dyDescent="0.25">
      <c r="A773" s="150">
        <f t="shared" si="249"/>
        <v>769</v>
      </c>
      <c r="B773" s="150">
        <f t="shared" si="250"/>
        <v>65</v>
      </c>
      <c r="C773" s="150">
        <f t="shared" si="251"/>
        <v>1</v>
      </c>
      <c r="D773" s="150">
        <f>IF(E773="","",Input!$C$4+B773-1)</f>
        <v>109</v>
      </c>
      <c r="E773" s="150">
        <f>IF(OR(AND(C772=12,D772=Input!$C$6),E772=""),"",1)</f>
        <v>1</v>
      </c>
      <c r="F773" s="150">
        <f>IF(E773="","",Input!$C$8+B773-1)</f>
        <v>2082</v>
      </c>
      <c r="G773" s="151">
        <f>IF(E773="","",MAX(0,Input!$C$9-B773))</f>
        <v>0</v>
      </c>
      <c r="H773" s="152">
        <f>IF(E773="","",Input!$C$3)</f>
        <v>100000</v>
      </c>
      <c r="I773" s="153">
        <f>IF(E773="","",HLOOKUP($B773,Input!$C$13:$BT$14,2))</f>
        <v>1000</v>
      </c>
      <c r="J773" s="154"/>
      <c r="K773" s="155">
        <f>IF($E773="","",Input!$C$57)</f>
        <v>4.4999999999999998E-2</v>
      </c>
      <c r="L773" s="155">
        <f t="shared" si="242"/>
        <v>3.6748094004368514E-3</v>
      </c>
      <c r="M773" s="147">
        <f>IF($E773="","",VLOOKUP(IF($B773&lt;=Input!$C$7,$B773,26),'Mortality Tables'!$A$72:$CA$97,IF($B773&lt;=Input!$C$7+1,Input!$C$4-16,$D773-Input!$C$7-16),0)/1000)</f>
        <v>0.55938999999999994</v>
      </c>
      <c r="N773" s="147">
        <f t="shared" ref="N773:N836" si="252">IF($E773="","",1-(1-M773)^(1/12))</f>
        <v>6.6019384930594893E-2</v>
      </c>
      <c r="O773" s="157">
        <f>IF($E773="","",IF($C773=12,IF($B773&lt;Input!$C$9,Input!$C$54,IF($B773=Input!$C$9,Input!$C$55,Input!$C$56)),0%))</f>
        <v>0</v>
      </c>
      <c r="P773" s="167">
        <f>IF($E773="","",IF($B773=1,Input!$C$59,IF($B773&lt;6,Input!$C$60,0%)))</f>
        <v>0</v>
      </c>
      <c r="Q773" s="162">
        <f>IF($E773="","",Input!$C$58)</f>
        <v>2.5</v>
      </c>
      <c r="R773" s="156">
        <f t="shared" si="243"/>
        <v>0.93398061506940511</v>
      </c>
      <c r="S773" s="154">
        <f t="shared" ref="S773:S836" si="253">IF($E773="","",IF(AND($B773=1,$C773=1),1,S772*R773))</f>
        <v>5.0608432612706912E-8</v>
      </c>
      <c r="T773" s="152"/>
      <c r="U773" s="150">
        <f t="shared" si="244"/>
        <v>100000</v>
      </c>
      <c r="V773" s="150">
        <f t="shared" si="245"/>
        <v>100000</v>
      </c>
      <c r="W773" s="168">
        <f t="shared" si="246"/>
        <v>0</v>
      </c>
      <c r="X773" s="163">
        <f t="shared" ref="X773:X836" si="254">IF($E773="","",N773*$H773)</f>
        <v>6601.9384930594897</v>
      </c>
      <c r="Y773" s="152"/>
      <c r="Z773" s="164">
        <f>IF(AND($C772=12,$D772=Input!$C$6),0,IF($E773="","",V773+Z774/(1+L773)*R773))</f>
        <v>156768.61150731961</v>
      </c>
      <c r="AA773" s="164">
        <f>IF(OR($M773=1,AND($C772=12,$D772=Input!$C$6)),0,IF($E773="","",W773+(X773+AA774*$R773)/(1+$L773)))</f>
        <v>88461.366309747304</v>
      </c>
      <c r="AB773" s="160">
        <f t="shared" ref="AB773:AB836" si="255">IF($E773="","",$AA$5/$Z$5)</f>
        <v>0.825720328500681</v>
      </c>
      <c r="AC773" s="164">
        <f t="shared" ref="AC773:AC836" si="256">IF($E773="","",V773*AB773)</f>
        <v>82572.032850068106</v>
      </c>
      <c r="AD773" s="164">
        <f>IF(AND($C772=12,$D772=Input!$C$6),0,IF($E773="","",$AC773+AD774/(1+$L773)*$R773))</f>
        <v>129447.02939241962</v>
      </c>
      <c r="AE773" s="152"/>
      <c r="AF773" s="164">
        <f>IF(AND($C772=12,$D772=Input!$C$6),0,IF($E773="","",IF($B773&gt;Input!$C$9,$AC773,0)+AF774/(1+$L773)*$R773))</f>
        <v>129447.02939241962</v>
      </c>
      <c r="AG773" s="164">
        <f>IF(AND($C772=12,$D772=Input!$C$6),0,IF($E773="","",(IF($B773&gt;Input!$C$9,$X773,0)+AG774)/(1+$L773)*$R773))</f>
        <v>81848.492634404116</v>
      </c>
      <c r="AH773" s="160">
        <f t="shared" ref="AH773:AH836" si="257">IF($E773="","",$AF$5/$AG$5)</f>
        <v>2.0950137211446997</v>
      </c>
      <c r="AI773" s="160">
        <f>IF($E773="","",MIN(Input!$C$61/AH773,1))</f>
        <v>0.64438718771845094</v>
      </c>
      <c r="AJ773" s="152"/>
      <c r="AK773" s="164">
        <f>IF(AND($C772=12,$D772=Input!$C$6),0,IF($E773="","",IF($B773&gt;Input!$C$9,$AC773*AI773,0)+AK774/(1+$L773)*$R773))</f>
        <v>83414.007228688934</v>
      </c>
      <c r="AL773" s="164">
        <f>IF(AND($C772=12,$D772=Input!$C$6),0,IF($E773="","",IF($B773&gt;Input!$C$9,0,$AC773)+AL774/(1+$L773)*$R773))</f>
        <v>0</v>
      </c>
      <c r="AM773" s="160">
        <f t="shared" ref="AM773:AM836" si="258">IF($E773="","",($AD$5-$AK$5)/$AL$5)</f>
        <v>1.1382936520186004</v>
      </c>
      <c r="AN773" s="164">
        <f>IF($E773="","",IF($B773&gt;Input!$C$9,$AI773*$AC773,$AM773*$AC773))</f>
        <v>53208.360032450932</v>
      </c>
      <c r="AO773" s="164">
        <f>IF(AND($C772=12,$D772=Input!$C$6),0,IF($E773="","",$AN773+AO774/(1+$L773)*$R773))</f>
        <v>83414.007228688934</v>
      </c>
      <c r="AP773" s="152"/>
      <c r="AQ773" s="164">
        <f t="shared" ref="AQ773:AQ836" si="259">IF($E773="","",$AA773-$AO773)</f>
        <v>5047.3590810583701</v>
      </c>
      <c r="AR773" s="164">
        <f t="shared" si="247"/>
        <v>38873.376848282482</v>
      </c>
      <c r="AS773" s="164">
        <f t="shared" si="248"/>
        <v>26765.071770334926</v>
      </c>
      <c r="AT773" s="164">
        <f t="shared" ref="AT773:AT836" si="260">IF($E773="","",MAX($AR773,$AS773))</f>
        <v>38873.376848282482</v>
      </c>
      <c r="AU773" s="152"/>
      <c r="AV773" s="147">
        <f>'Deterministic Reserve'!BC773</f>
        <v>1.2218022037855766E-13</v>
      </c>
      <c r="AW773" s="164">
        <f t="shared" ref="AW773:AW836" si="261">IF($E773="","",$AT773)</f>
        <v>38873.376848282482</v>
      </c>
      <c r="AX773" s="164">
        <f t="shared" ref="AX773:AX836" si="262">IF($E773="","",AV773*AW773)</f>
        <v>4.7495577501818747E-9</v>
      </c>
      <c r="AY773" s="152"/>
    </row>
    <row r="774" spans="1:51" s="150" customFormat="1" x14ac:dyDescent="0.25">
      <c r="A774" s="150">
        <f t="shared" si="249"/>
        <v>770</v>
      </c>
      <c r="B774" s="150">
        <f t="shared" si="250"/>
        <v>65</v>
      </c>
      <c r="C774" s="150">
        <f t="shared" si="251"/>
        <v>2</v>
      </c>
      <c r="D774" s="150">
        <f>IF(E774="","",Input!$C$4+B774-1)</f>
        <v>109</v>
      </c>
      <c r="E774" s="150">
        <f>IF(OR(AND(C773=12,D773=Input!$C$6),E773=""),"",1)</f>
        <v>1</v>
      </c>
      <c r="F774" s="150">
        <f>IF(E774="","",Input!$C$8+B774-1)</f>
        <v>2082</v>
      </c>
      <c r="G774" s="151">
        <f>IF(E774="","",MAX(0,Input!$C$9-B774))</f>
        <v>0</v>
      </c>
      <c r="H774" s="152">
        <f>IF(E774="","",Input!$C$3)</f>
        <v>100000</v>
      </c>
      <c r="I774" s="153">
        <f>IF(E774="","",HLOOKUP($B774,Input!$C$13:$BT$14,2))</f>
        <v>1000</v>
      </c>
      <c r="J774" s="154"/>
      <c r="K774" s="155">
        <f>IF($E774="","",Input!$C$57)</f>
        <v>4.4999999999999998E-2</v>
      </c>
      <c r="L774" s="155">
        <f t="shared" ref="L774:L837" si="263">IF($E774="","",(1+K774)^(1/12)-1)</f>
        <v>3.6748094004368514E-3</v>
      </c>
      <c r="M774" s="147">
        <f>IF($E774="","",VLOOKUP(IF($B774&lt;=Input!$C$7,$B774,26),'Mortality Tables'!$A$72:$CA$97,IF($B774&lt;=Input!$C$7+1,Input!$C$4-16,$D774-Input!$C$7-16),0)/1000)</f>
        <v>0.55938999999999994</v>
      </c>
      <c r="N774" s="147">
        <f t="shared" si="252"/>
        <v>6.6019384930594893E-2</v>
      </c>
      <c r="O774" s="157">
        <f>IF($E774="","",IF($C774=12,IF($B774&lt;Input!$C$9,Input!$C$54,IF($B774=Input!$C$9,Input!$C$55,Input!$C$56)),0%))</f>
        <v>0</v>
      </c>
      <c r="P774" s="167">
        <f>IF($E774="","",IF($B774=1,Input!$C$59,IF($B774&lt;6,Input!$C$60,0%)))</f>
        <v>0</v>
      </c>
      <c r="Q774" s="162">
        <f>IF($E774="","",Input!$C$58)</f>
        <v>2.5</v>
      </c>
      <c r="R774" s="156">
        <f t="shared" ref="R774:R837" si="264">IF($E774="","",MAX(1-N774-O774,0))</f>
        <v>0.93398061506940511</v>
      </c>
      <c r="S774" s="154">
        <f t="shared" si="253"/>
        <v>4.7267295019314542E-8</v>
      </c>
      <c r="T774" s="152"/>
      <c r="U774" s="150">
        <f t="shared" ref="U774:U837" si="265">IF($E774="","",IF($C774=1,$I774*$H774/1000,0))</f>
        <v>0</v>
      </c>
      <c r="V774" s="150">
        <f t="shared" ref="V774:V837" si="266">IF($E774="","",U774*(1-$P774))</f>
        <v>0</v>
      </c>
      <c r="W774" s="168">
        <f t="shared" ref="W774:W837" si="267">IF($E774="","",IF(AND($B774=1,$C774=1),$Q774*$H774/1000,0))</f>
        <v>0</v>
      </c>
      <c r="X774" s="163">
        <f t="shared" si="254"/>
        <v>6601.9384930594897</v>
      </c>
      <c r="Y774" s="152"/>
      <c r="Z774" s="164">
        <f>IF(AND($C773=12,$D773=Input!$C$6),0,IF($E774="","",V774+Z775/(1+L774)*R774))</f>
        <v>61004.719386282377</v>
      </c>
      <c r="AA774" s="164">
        <f>IF(OR($M774=1,AND($C773=12,$D773=Input!$C$6)),0,IF($E774="","",W774+(X774+AA775*$R774)/(1+$L774)))</f>
        <v>87993.803245125324</v>
      </c>
      <c r="AB774" s="160">
        <f t="shared" si="255"/>
        <v>0.825720328500681</v>
      </c>
      <c r="AC774" s="164">
        <f t="shared" si="256"/>
        <v>0</v>
      </c>
      <c r="AD774" s="164">
        <f>IF(AND($C773=12,$D773=Input!$C$6),0,IF($E774="","",$AC774+AD775/(1+$L774)*$R774))</f>
        <v>50372.836931732949</v>
      </c>
      <c r="AE774" s="152"/>
      <c r="AF774" s="164">
        <f>IF(AND($C773=12,$D773=Input!$C$6),0,IF($E774="","",IF($B774&gt;Input!$C$9,$AC774,0)+AF775/(1+$L774)*$R774))</f>
        <v>50372.836931732949</v>
      </c>
      <c r="AG774" s="164">
        <f>IF(AND($C773=12,$D773=Input!$C$6),0,IF($E774="","",(IF($B774&gt;Input!$C$9,$X774,0)+AG775)/(1+$L774)*$R774))</f>
        <v>81354.137809920314</v>
      </c>
      <c r="AH774" s="160">
        <f t="shared" si="257"/>
        <v>2.0950137211446997</v>
      </c>
      <c r="AI774" s="160">
        <f>IF($E774="","",MIN(Input!$C$61/AH774,1))</f>
        <v>0.64438718771845094</v>
      </c>
      <c r="AJ774" s="152"/>
      <c r="AK774" s="164">
        <f>IF(AND($C773=12,$D773=Input!$C$6),0,IF($E774="","",IF($B774&gt;Input!$C$9,$AC774*AI774,0)+AK775/(1+$L774)*$R774))</f>
        <v>32459.610727839521</v>
      </c>
      <c r="AL774" s="164">
        <f>IF(AND($C773=12,$D773=Input!$C$6),0,IF($E774="","",IF($B774&gt;Input!$C$9,0,$AC774)+AL775/(1+$L774)*$R774))</f>
        <v>0</v>
      </c>
      <c r="AM774" s="160">
        <f t="shared" si="258"/>
        <v>1.1382936520186004</v>
      </c>
      <c r="AN774" s="164">
        <f>IF($E774="","",IF($B774&gt;Input!$C$9,$AI774*$AC774,$AM774*$AC774))</f>
        <v>0</v>
      </c>
      <c r="AO774" s="164">
        <f>IF(AND($C773=12,$D773=Input!$C$6),0,IF($E774="","",$AN774+AO775/(1+$L774)*$R774))</f>
        <v>32459.610727839521</v>
      </c>
      <c r="AP774" s="152"/>
      <c r="AQ774" s="164">
        <f t="shared" si="259"/>
        <v>55534.192517285803</v>
      </c>
      <c r="AR774" s="164">
        <f t="shared" ref="AR774:AR837" si="268">IF($E774="","",IF($M774=1,0,0.5*(IF($B774=1,0,SUMIFS($AQ:$AQ,$B:$B,$B774-1,$C:$C,12))+SUMIFS($AN:$AN,$B:$B,$B774,$C:$C,1)+SUMIFS($AQ:$AQ,$B:$B,$B774,$C:$C,12))))</f>
        <v>38873.376848282482</v>
      </c>
      <c r="AS774" s="164">
        <f t="shared" ref="AS774:AS837" si="269">IF($E774="","",IF($M774=1,0,0.5*$M774*$H774/(1+$K774)))</f>
        <v>26765.071770334926</v>
      </c>
      <c r="AT774" s="164">
        <f t="shared" si="260"/>
        <v>38873.376848282482</v>
      </c>
      <c r="AU774" s="152"/>
      <c r="AV774" s="147">
        <f>'Deterministic Reserve'!BC774</f>
        <v>1.0969933881307524E-13</v>
      </c>
      <c r="AW774" s="164">
        <f t="shared" si="261"/>
        <v>38873.376848282482</v>
      </c>
      <c r="AX774" s="164">
        <f t="shared" si="262"/>
        <v>4.2643837376880949E-9</v>
      </c>
      <c r="AY774" s="152"/>
    </row>
    <row r="775" spans="1:51" s="150" customFormat="1" x14ac:dyDescent="0.25">
      <c r="A775" s="150">
        <f t="shared" ref="A775:A838" si="270">IF(E775="","",A774+1)</f>
        <v>771</v>
      </c>
      <c r="B775" s="150">
        <f t="shared" ref="B775:B838" si="271">IF(E775="","",IF(C774+1&gt;12,B774+1,B774))</f>
        <v>65</v>
      </c>
      <c r="C775" s="150">
        <f t="shared" ref="C775:C838" si="272">IF(E775="","",IF(C774+1&gt;12,1,C774+1))</f>
        <v>3</v>
      </c>
      <c r="D775" s="150">
        <f>IF(E775="","",Input!$C$4+B775-1)</f>
        <v>109</v>
      </c>
      <c r="E775" s="150">
        <f>IF(OR(AND(C774=12,D774=Input!$C$6),E774=""),"",1)</f>
        <v>1</v>
      </c>
      <c r="F775" s="150">
        <f>IF(E775="","",Input!$C$8+B775-1)</f>
        <v>2082</v>
      </c>
      <c r="G775" s="151">
        <f>IF(E775="","",MAX(0,Input!$C$9-B775))</f>
        <v>0</v>
      </c>
      <c r="H775" s="152">
        <f>IF(E775="","",Input!$C$3)</f>
        <v>100000</v>
      </c>
      <c r="I775" s="153">
        <f>IF(E775="","",HLOOKUP($B775,Input!$C$13:$BT$14,2))</f>
        <v>1000</v>
      </c>
      <c r="J775" s="154"/>
      <c r="K775" s="155">
        <f>IF($E775="","",Input!$C$57)</f>
        <v>4.4999999999999998E-2</v>
      </c>
      <c r="L775" s="155">
        <f t="shared" si="263"/>
        <v>3.6748094004368514E-3</v>
      </c>
      <c r="M775" s="147">
        <f>IF($E775="","",VLOOKUP(IF($B775&lt;=Input!$C$7,$B775,26),'Mortality Tables'!$A$72:$CA$97,IF($B775&lt;=Input!$C$7+1,Input!$C$4-16,$D775-Input!$C$7-16),0)/1000)</f>
        <v>0.55938999999999994</v>
      </c>
      <c r="N775" s="147">
        <f t="shared" si="252"/>
        <v>6.6019384930594893E-2</v>
      </c>
      <c r="O775" s="157">
        <f>IF($E775="","",IF($C775=12,IF($B775&lt;Input!$C$9,Input!$C$54,IF($B775=Input!$C$9,Input!$C$55,Input!$C$56)),0%))</f>
        <v>0</v>
      </c>
      <c r="P775" s="167">
        <f>IF($E775="","",IF($B775=1,Input!$C$59,IF($B775&lt;6,Input!$C$60,0%)))</f>
        <v>0</v>
      </c>
      <c r="Q775" s="162">
        <f>IF($E775="","",Input!$C$58)</f>
        <v>2.5</v>
      </c>
      <c r="R775" s="156">
        <f t="shared" si="264"/>
        <v>0.93398061506940511</v>
      </c>
      <c r="S775" s="154">
        <f t="shared" si="253"/>
        <v>4.4146737274806423E-8</v>
      </c>
      <c r="T775" s="152"/>
      <c r="U775" s="150">
        <f t="shared" si="265"/>
        <v>0</v>
      </c>
      <c r="V775" s="150">
        <f t="shared" si="266"/>
        <v>0</v>
      </c>
      <c r="W775" s="168">
        <f t="shared" si="267"/>
        <v>0</v>
      </c>
      <c r="X775" s="163">
        <f t="shared" si="254"/>
        <v>6601.9384930594897</v>
      </c>
      <c r="Y775" s="152"/>
      <c r="Z775" s="164">
        <f>IF(AND($C774=12,$D774=Input!$C$6),0,IF($E775="","",V775+Z776/(1+L775)*R775))</f>
        <v>65556.928178861737</v>
      </c>
      <c r="AA775" s="164">
        <f>IF(OR($M775=1,AND($C774=12,$D774=Input!$C$6)),0,IF($E775="","",W775+(X775+AA776*$R775)/(1+$L775)))</f>
        <v>87491.350343860046</v>
      </c>
      <c r="AB775" s="160">
        <f t="shared" si="255"/>
        <v>0.825720328500681</v>
      </c>
      <c r="AC775" s="164">
        <f t="shared" si="256"/>
        <v>0</v>
      </c>
      <c r="AD775" s="164">
        <f>IF(AND($C774=12,$D774=Input!$C$6),0,IF($E775="","",$AC775+AD776/(1+$L775)*$R775))</f>
        <v>54131.688271345265</v>
      </c>
      <c r="AE775" s="152"/>
      <c r="AF775" s="164">
        <f>IF(AND($C774=12,$D774=Input!$C$6),0,IF($E775="","",IF($B775&gt;Input!$C$9,$AC775,0)+AF776/(1+$L775)*$R775))</f>
        <v>54131.688271345265</v>
      </c>
      <c r="AG775" s="164">
        <f>IF(AND($C774=12,$D774=Input!$C$6),0,IF($E775="","",(IF($B775&gt;Input!$C$9,$X775,0)+AG776)/(1+$L775)*$R775))</f>
        <v>80822.893931584476</v>
      </c>
      <c r="AH775" s="160">
        <f t="shared" si="257"/>
        <v>2.0950137211446997</v>
      </c>
      <c r="AI775" s="160">
        <f>IF($E775="","",MIN(Input!$C$61/AH775,1))</f>
        <v>0.64438718771845094</v>
      </c>
      <c r="AJ775" s="152"/>
      <c r="AK775" s="164">
        <f>IF(AND($C774=12,$D774=Input!$C$6),0,IF($E775="","",IF($B775&gt;Input!$C$9,$AC775*AI775,0)+AK776/(1+$L775)*$R775))</f>
        <v>34881.766371624035</v>
      </c>
      <c r="AL775" s="164">
        <f>IF(AND($C774=12,$D774=Input!$C$6),0,IF($E775="","",IF($B775&gt;Input!$C$9,0,$AC775)+AL776/(1+$L775)*$R775))</f>
        <v>0</v>
      </c>
      <c r="AM775" s="160">
        <f t="shared" si="258"/>
        <v>1.1382936520186004</v>
      </c>
      <c r="AN775" s="164">
        <f>IF($E775="","",IF($B775&gt;Input!$C$9,$AI775*$AC775,$AM775*$AC775))</f>
        <v>0</v>
      </c>
      <c r="AO775" s="164">
        <f>IF(AND($C774=12,$D774=Input!$C$6),0,IF($E775="","",$AN775+AO776/(1+$L775)*$R775))</f>
        <v>34881.766371624035</v>
      </c>
      <c r="AP775" s="152"/>
      <c r="AQ775" s="164">
        <f t="shared" si="259"/>
        <v>52609.583972236011</v>
      </c>
      <c r="AR775" s="164">
        <f t="shared" si="268"/>
        <v>38873.376848282482</v>
      </c>
      <c r="AS775" s="164">
        <f t="shared" si="269"/>
        <v>26765.071770334926</v>
      </c>
      <c r="AT775" s="164">
        <f t="shared" si="260"/>
        <v>38873.376848282482</v>
      </c>
      <c r="AU775" s="152"/>
      <c r="AV775" s="147">
        <f>'Deterministic Reserve'!BC775</f>
        <v>9.8493396875046117E-14</v>
      </c>
      <c r="AW775" s="164">
        <f t="shared" si="261"/>
        <v>38873.376848282482</v>
      </c>
      <c r="AX775" s="164">
        <f t="shared" si="262"/>
        <v>3.828770933791116E-9</v>
      </c>
      <c r="AY775" s="152"/>
    </row>
    <row r="776" spans="1:51" s="150" customFormat="1" x14ac:dyDescent="0.25">
      <c r="A776" s="150">
        <f t="shared" si="270"/>
        <v>772</v>
      </c>
      <c r="B776" s="150">
        <f t="shared" si="271"/>
        <v>65</v>
      </c>
      <c r="C776" s="150">
        <f t="shared" si="272"/>
        <v>4</v>
      </c>
      <c r="D776" s="150">
        <f>IF(E776="","",Input!$C$4+B776-1)</f>
        <v>109</v>
      </c>
      <c r="E776" s="150">
        <f>IF(OR(AND(C775=12,D775=Input!$C$6),E775=""),"",1)</f>
        <v>1</v>
      </c>
      <c r="F776" s="150">
        <f>IF(E776="","",Input!$C$8+B776-1)</f>
        <v>2082</v>
      </c>
      <c r="G776" s="151">
        <f>IF(E776="","",MAX(0,Input!$C$9-B776))</f>
        <v>0</v>
      </c>
      <c r="H776" s="152">
        <f>IF(E776="","",Input!$C$3)</f>
        <v>100000</v>
      </c>
      <c r="I776" s="153">
        <f>IF(E776="","",HLOOKUP($B776,Input!$C$13:$BT$14,2))</f>
        <v>1000</v>
      </c>
      <c r="J776" s="154"/>
      <c r="K776" s="155">
        <f>IF($E776="","",Input!$C$57)</f>
        <v>4.4999999999999998E-2</v>
      </c>
      <c r="L776" s="155">
        <f t="shared" si="263"/>
        <v>3.6748094004368514E-3</v>
      </c>
      <c r="M776" s="147">
        <f>IF($E776="","",VLOOKUP(IF($B776&lt;=Input!$C$7,$B776,26),'Mortality Tables'!$A$72:$CA$97,IF($B776&lt;=Input!$C$7+1,Input!$C$4-16,$D776-Input!$C$7-16),0)/1000)</f>
        <v>0.55938999999999994</v>
      </c>
      <c r="N776" s="147">
        <f t="shared" si="252"/>
        <v>6.6019384930594893E-2</v>
      </c>
      <c r="O776" s="157">
        <f>IF($E776="","",IF($C776=12,IF($B776&lt;Input!$C$9,Input!$C$54,IF($B776=Input!$C$9,Input!$C$55,Input!$C$56)),0%))</f>
        <v>0</v>
      </c>
      <c r="P776" s="167">
        <f>IF($E776="","",IF($B776=1,Input!$C$59,IF($B776&lt;6,Input!$C$60,0%)))</f>
        <v>0</v>
      </c>
      <c r="Q776" s="162">
        <f>IF($E776="","",Input!$C$58)</f>
        <v>2.5</v>
      </c>
      <c r="R776" s="156">
        <f t="shared" si="264"/>
        <v>0.93398061506940511</v>
      </c>
      <c r="S776" s="154">
        <f t="shared" si="253"/>
        <v>4.1232196833231139E-8</v>
      </c>
      <c r="T776" s="152"/>
      <c r="U776" s="150">
        <f t="shared" si="265"/>
        <v>0</v>
      </c>
      <c r="V776" s="150">
        <f t="shared" si="266"/>
        <v>0</v>
      </c>
      <c r="W776" s="168">
        <f t="shared" si="267"/>
        <v>0</v>
      </c>
      <c r="X776" s="163">
        <f t="shared" si="254"/>
        <v>6601.9384930594897</v>
      </c>
      <c r="Y776" s="152"/>
      <c r="Z776" s="164">
        <f>IF(AND($C775=12,$D775=Input!$C$6),0,IF($E776="","",V776+Z777/(1+L776)*R776))</f>
        <v>70448.825525043343</v>
      </c>
      <c r="AA776" s="164">
        <f>IF(OR($M776=1,AND($C775=12,$D775=Input!$C$6)),0,IF($E776="","",W776+(X776+AA777*$R776)/(1+$L776)))</f>
        <v>86951.404105390568</v>
      </c>
      <c r="AB776" s="160">
        <f t="shared" si="255"/>
        <v>0.825720328500681</v>
      </c>
      <c r="AC776" s="164">
        <f t="shared" si="256"/>
        <v>0</v>
      </c>
      <c r="AD776" s="164">
        <f>IF(AND($C775=12,$D775=Input!$C$6),0,IF($E776="","",$AC776+AD777/(1+$L776)*$R776))</f>
        <v>58171.027355025944</v>
      </c>
      <c r="AE776" s="152"/>
      <c r="AF776" s="164">
        <f>IF(AND($C775=12,$D775=Input!$C$6),0,IF($E776="","",IF($B776&gt;Input!$C$9,$AC776,0)+AF777/(1+$L776)*$R776))</f>
        <v>58171.027355025944</v>
      </c>
      <c r="AG776" s="164">
        <f>IF(AND($C775=12,$D775=Input!$C$6),0,IF($E776="","",(IF($B776&gt;Input!$C$9,$X776,0)+AG777)/(1+$L776)*$R776))</f>
        <v>80252.008316047111</v>
      </c>
      <c r="AH776" s="160">
        <f t="shared" si="257"/>
        <v>2.0950137211446997</v>
      </c>
      <c r="AI776" s="160">
        <f>IF($E776="","",MIN(Input!$C$61/AH776,1))</f>
        <v>0.64438718771845094</v>
      </c>
      <c r="AJ776" s="152"/>
      <c r="AK776" s="164">
        <f>IF(AND($C775=12,$D775=Input!$C$6),0,IF($E776="","",IF($B776&gt;Input!$C$9,$AC776*AI776,0)+AK777/(1+$L776)*$R776))</f>
        <v>37484.664723998256</v>
      </c>
      <c r="AL776" s="164">
        <f>IF(AND($C775=12,$D775=Input!$C$6),0,IF($E776="","",IF($B776&gt;Input!$C$9,0,$AC776)+AL777/(1+$L776)*$R776))</f>
        <v>0</v>
      </c>
      <c r="AM776" s="160">
        <f t="shared" si="258"/>
        <v>1.1382936520186004</v>
      </c>
      <c r="AN776" s="164">
        <f>IF($E776="","",IF($B776&gt;Input!$C$9,$AI776*$AC776,$AM776*$AC776))</f>
        <v>0</v>
      </c>
      <c r="AO776" s="164">
        <f>IF(AND($C775=12,$D775=Input!$C$6),0,IF($E776="","",$AN776+AO777/(1+$L776)*$R776))</f>
        <v>37484.664723998256</v>
      </c>
      <c r="AP776" s="152"/>
      <c r="AQ776" s="164">
        <f t="shared" si="259"/>
        <v>49466.739381392312</v>
      </c>
      <c r="AR776" s="164">
        <f t="shared" si="268"/>
        <v>38873.376848282482</v>
      </c>
      <c r="AS776" s="164">
        <f t="shared" si="269"/>
        <v>26765.071770334926</v>
      </c>
      <c r="AT776" s="164">
        <f t="shared" si="260"/>
        <v>38873.376848282482</v>
      </c>
      <c r="AU776" s="152"/>
      <c r="AV776" s="147">
        <f>'Deterministic Reserve'!BC776</f>
        <v>8.8432157686159841E-14</v>
      </c>
      <c r="AW776" s="164">
        <f t="shared" si="261"/>
        <v>38873.376848282482</v>
      </c>
      <c r="AX776" s="164">
        <f t="shared" si="262"/>
        <v>3.4376565912408315E-9</v>
      </c>
      <c r="AY776" s="152"/>
    </row>
    <row r="777" spans="1:51" s="150" customFormat="1" x14ac:dyDescent="0.25">
      <c r="A777" s="150">
        <f t="shared" si="270"/>
        <v>773</v>
      </c>
      <c r="B777" s="150">
        <f t="shared" si="271"/>
        <v>65</v>
      </c>
      <c r="C777" s="150">
        <f t="shared" si="272"/>
        <v>5</v>
      </c>
      <c r="D777" s="150">
        <f>IF(E777="","",Input!$C$4+B777-1)</f>
        <v>109</v>
      </c>
      <c r="E777" s="150">
        <f>IF(OR(AND(C776=12,D776=Input!$C$6),E776=""),"",1)</f>
        <v>1</v>
      </c>
      <c r="F777" s="150">
        <f>IF(E777="","",Input!$C$8+B777-1)</f>
        <v>2082</v>
      </c>
      <c r="G777" s="151">
        <f>IF(E777="","",MAX(0,Input!$C$9-B777))</f>
        <v>0</v>
      </c>
      <c r="H777" s="152">
        <f>IF(E777="","",Input!$C$3)</f>
        <v>100000</v>
      </c>
      <c r="I777" s="153">
        <f>IF(E777="","",HLOOKUP($B777,Input!$C$13:$BT$14,2))</f>
        <v>1000</v>
      </c>
      <c r="J777" s="154"/>
      <c r="K777" s="155">
        <f>IF($E777="","",Input!$C$57)</f>
        <v>4.4999999999999998E-2</v>
      </c>
      <c r="L777" s="155">
        <f t="shared" si="263"/>
        <v>3.6748094004368514E-3</v>
      </c>
      <c r="M777" s="147">
        <f>IF($E777="","",VLOOKUP(IF($B777&lt;=Input!$C$7,$B777,26),'Mortality Tables'!$A$72:$CA$97,IF($B777&lt;=Input!$C$7+1,Input!$C$4-16,$D777-Input!$C$7-16),0)/1000)</f>
        <v>0.55938999999999994</v>
      </c>
      <c r="N777" s="147">
        <f t="shared" si="252"/>
        <v>6.6019384930594893E-2</v>
      </c>
      <c r="O777" s="157">
        <f>IF($E777="","",IF($C777=12,IF($B777&lt;Input!$C$9,Input!$C$54,IF($B777=Input!$C$9,Input!$C$55,Input!$C$56)),0%))</f>
        <v>0</v>
      </c>
      <c r="P777" s="167">
        <f>IF($E777="","",IF($B777=1,Input!$C$59,IF($B777&lt;6,Input!$C$60,0%)))</f>
        <v>0</v>
      </c>
      <c r="Q777" s="162">
        <f>IF($E777="","",Input!$C$58)</f>
        <v>2.5</v>
      </c>
      <c r="R777" s="156">
        <f t="shared" si="264"/>
        <v>0.93398061506940511</v>
      </c>
      <c r="S777" s="154">
        <f t="shared" si="253"/>
        <v>3.8510072558963999E-8</v>
      </c>
      <c r="T777" s="152"/>
      <c r="U777" s="150">
        <f t="shared" si="265"/>
        <v>0</v>
      </c>
      <c r="V777" s="150">
        <f t="shared" si="266"/>
        <v>0</v>
      </c>
      <c r="W777" s="168">
        <f t="shared" si="267"/>
        <v>0</v>
      </c>
      <c r="X777" s="163">
        <f t="shared" si="254"/>
        <v>6601.9384930594897</v>
      </c>
      <c r="Y777" s="152"/>
      <c r="Z777" s="164">
        <f>IF(AND($C776=12,$D776=Input!$C$6),0,IF($E777="","",V777+Z778/(1+L777)*R777))</f>
        <v>75705.759188672397</v>
      </c>
      <c r="AA777" s="164">
        <f>IF(OR($M777=1,AND($C776=12,$D776=Input!$C$6)),0,IF($E777="","",W777+(X777+AA778*$R777)/(1+$L777)))</f>
        <v>86371.166754380829</v>
      </c>
      <c r="AB777" s="160">
        <f t="shared" si="255"/>
        <v>0.825720328500681</v>
      </c>
      <c r="AC777" s="164">
        <f t="shared" si="256"/>
        <v>0</v>
      </c>
      <c r="AD777" s="164">
        <f>IF(AND($C776=12,$D776=Input!$C$6),0,IF($E777="","",$AC777+AD778/(1+$L777)*$R777))</f>
        <v>62511.784346664012</v>
      </c>
      <c r="AE777" s="152"/>
      <c r="AF777" s="164">
        <f>IF(AND($C776=12,$D776=Input!$C$6),0,IF($E777="","",IF($B777&gt;Input!$C$9,$AC777,0)+AF778/(1+$L777)*$R777))</f>
        <v>62511.784346664012</v>
      </c>
      <c r="AG777" s="164">
        <f>IF(AND($C776=12,$D776=Input!$C$6),0,IF($E777="","",(IF($B777&gt;Input!$C$9,$X777,0)+AG778)/(1+$L777)*$R777))</f>
        <v>79638.522873074253</v>
      </c>
      <c r="AH777" s="160">
        <f t="shared" si="257"/>
        <v>2.0950137211446997</v>
      </c>
      <c r="AI777" s="160">
        <f>IF($E777="","",MIN(Input!$C$61/AH777,1))</f>
        <v>0.64438718771845094</v>
      </c>
      <c r="AJ777" s="152"/>
      <c r="AK777" s="164">
        <f>IF(AND($C776=12,$D776=Input!$C$6),0,IF($E777="","",IF($B777&gt;Input!$C$9,$AC777*AI777,0)+AK778/(1+$L777)*$R777))</f>
        <v>40281.79291440911</v>
      </c>
      <c r="AL777" s="164">
        <f>IF(AND($C776=12,$D776=Input!$C$6),0,IF($E777="","",IF($B777&gt;Input!$C$9,0,$AC777)+AL778/(1+$L777)*$R777))</f>
        <v>0</v>
      </c>
      <c r="AM777" s="160">
        <f t="shared" si="258"/>
        <v>1.1382936520186004</v>
      </c>
      <c r="AN777" s="164">
        <f>IF($E777="","",IF($B777&gt;Input!$C$9,$AI777*$AC777,$AM777*$AC777))</f>
        <v>0</v>
      </c>
      <c r="AO777" s="164">
        <f>IF(AND($C776=12,$D776=Input!$C$6),0,IF($E777="","",$AN777+AO778/(1+$L777)*$R777))</f>
        <v>40281.79291440911</v>
      </c>
      <c r="AP777" s="152"/>
      <c r="AQ777" s="164">
        <f t="shared" si="259"/>
        <v>46089.373839971719</v>
      </c>
      <c r="AR777" s="164">
        <f t="shared" si="268"/>
        <v>38873.376848282482</v>
      </c>
      <c r="AS777" s="164">
        <f t="shared" si="269"/>
        <v>26765.071770334926</v>
      </c>
      <c r="AT777" s="164">
        <f t="shared" si="260"/>
        <v>38873.376848282482</v>
      </c>
      <c r="AU777" s="152"/>
      <c r="AV777" s="147">
        <f>'Deterministic Reserve'!BC777</f>
        <v>7.9398688248624551E-14</v>
      </c>
      <c r="AW777" s="164">
        <f t="shared" si="261"/>
        <v>38873.376848282482</v>
      </c>
      <c r="AX777" s="164">
        <f t="shared" si="262"/>
        <v>3.0864951295480799E-9</v>
      </c>
      <c r="AY777" s="152"/>
    </row>
    <row r="778" spans="1:51" s="150" customFormat="1" x14ac:dyDescent="0.25">
      <c r="A778" s="150">
        <f t="shared" si="270"/>
        <v>774</v>
      </c>
      <c r="B778" s="150">
        <f t="shared" si="271"/>
        <v>65</v>
      </c>
      <c r="C778" s="150">
        <f t="shared" si="272"/>
        <v>6</v>
      </c>
      <c r="D778" s="150">
        <f>IF(E778="","",Input!$C$4+B778-1)</f>
        <v>109</v>
      </c>
      <c r="E778" s="150">
        <f>IF(OR(AND(C777=12,D777=Input!$C$6),E777=""),"",1)</f>
        <v>1</v>
      </c>
      <c r="F778" s="150">
        <f>IF(E778="","",Input!$C$8+B778-1)</f>
        <v>2082</v>
      </c>
      <c r="G778" s="151">
        <f>IF(E778="","",MAX(0,Input!$C$9-B778))</f>
        <v>0</v>
      </c>
      <c r="H778" s="152">
        <f>IF(E778="","",Input!$C$3)</f>
        <v>100000</v>
      </c>
      <c r="I778" s="153">
        <f>IF(E778="","",HLOOKUP($B778,Input!$C$13:$BT$14,2))</f>
        <v>1000</v>
      </c>
      <c r="J778" s="154"/>
      <c r="K778" s="155">
        <f>IF($E778="","",Input!$C$57)</f>
        <v>4.4999999999999998E-2</v>
      </c>
      <c r="L778" s="155">
        <f t="shared" si="263"/>
        <v>3.6748094004368514E-3</v>
      </c>
      <c r="M778" s="147">
        <f>IF($E778="","",VLOOKUP(IF($B778&lt;=Input!$C$7,$B778,26),'Mortality Tables'!$A$72:$CA$97,IF($B778&lt;=Input!$C$7+1,Input!$C$4-16,$D778-Input!$C$7-16),0)/1000)</f>
        <v>0.55938999999999994</v>
      </c>
      <c r="N778" s="147">
        <f t="shared" si="252"/>
        <v>6.6019384930594893E-2</v>
      </c>
      <c r="O778" s="157">
        <f>IF($E778="","",IF($C778=12,IF($B778&lt;Input!$C$9,Input!$C$54,IF($B778=Input!$C$9,Input!$C$55,Input!$C$56)),0%))</f>
        <v>0</v>
      </c>
      <c r="P778" s="167">
        <f>IF($E778="","",IF($B778=1,Input!$C$59,IF($B778&lt;6,Input!$C$60,0%)))</f>
        <v>0</v>
      </c>
      <c r="Q778" s="162">
        <f>IF($E778="","",Input!$C$58)</f>
        <v>2.5</v>
      </c>
      <c r="R778" s="156">
        <f t="shared" si="264"/>
        <v>0.93398061506940511</v>
      </c>
      <c r="S778" s="154">
        <f t="shared" si="253"/>
        <v>3.5967661254988617E-8</v>
      </c>
      <c r="T778" s="152"/>
      <c r="U778" s="150">
        <f t="shared" si="265"/>
        <v>0</v>
      </c>
      <c r="V778" s="150">
        <f t="shared" si="266"/>
        <v>0</v>
      </c>
      <c r="W778" s="168">
        <f t="shared" si="267"/>
        <v>0</v>
      </c>
      <c r="X778" s="163">
        <f t="shared" si="254"/>
        <v>6601.9384930594897</v>
      </c>
      <c r="Y778" s="152"/>
      <c r="Z778" s="164">
        <f>IF(AND($C777=12,$D777=Input!$C$6),0,IF($E778="","",V778+Z779/(1+L778)*R778))</f>
        <v>81354.968398953002</v>
      </c>
      <c r="AA778" s="164">
        <f>IF(OR($M778=1,AND($C777=12,$D777=Input!$C$6)),0,IF($E778="","",W778+(X778+AA779*$R778)/(1+$L778)))</f>
        <v>85747.631743819133</v>
      </c>
      <c r="AB778" s="160">
        <f t="shared" si="255"/>
        <v>0.825720328500681</v>
      </c>
      <c r="AC778" s="164">
        <f t="shared" si="256"/>
        <v>0</v>
      </c>
      <c r="AD778" s="164">
        <f>IF(AND($C777=12,$D777=Input!$C$6),0,IF($E778="","",$AC778+AD779/(1+$L778)*$R778))</f>
        <v>67176.451231545987</v>
      </c>
      <c r="AE778" s="152"/>
      <c r="AF778" s="164">
        <f>IF(AND($C777=12,$D777=Input!$C$6),0,IF($E778="","",IF($B778&gt;Input!$C$9,$AC778,0)+AF779/(1+$L778)*$R778))</f>
        <v>67176.451231545987</v>
      </c>
      <c r="AG778" s="164">
        <f>IF(AND($C777=12,$D777=Input!$C$6),0,IF($E778="","",(IF($B778&gt;Input!$C$9,$X778,0)+AG779)/(1+$L778)*$R778))</f>
        <v>78979.258777962415</v>
      </c>
      <c r="AH778" s="160">
        <f t="shared" si="257"/>
        <v>2.0950137211446997</v>
      </c>
      <c r="AI778" s="160">
        <f>IF($E778="","",MIN(Input!$C$61/AH778,1))</f>
        <v>0.64438718771845094</v>
      </c>
      <c r="AJ778" s="152"/>
      <c r="AK778" s="164">
        <f>IF(AND($C777=12,$D777=Input!$C$6),0,IF($E778="","",IF($B778&gt;Input!$C$9,$AC778*AI778,0)+AK779/(1+$L778)*$R778))</f>
        <v>43287.644490001592</v>
      </c>
      <c r="AL778" s="164">
        <f>IF(AND($C777=12,$D777=Input!$C$6),0,IF($E778="","",IF($B778&gt;Input!$C$9,0,$AC778)+AL779/(1+$L778)*$R778))</f>
        <v>0</v>
      </c>
      <c r="AM778" s="160">
        <f t="shared" si="258"/>
        <v>1.1382936520186004</v>
      </c>
      <c r="AN778" s="164">
        <f>IF($E778="","",IF($B778&gt;Input!$C$9,$AI778*$AC778,$AM778*$AC778))</f>
        <v>0</v>
      </c>
      <c r="AO778" s="164">
        <f>IF(AND($C777=12,$D777=Input!$C$6),0,IF($E778="","",$AN778+AO779/(1+$L778)*$R778))</f>
        <v>43287.644490001592</v>
      </c>
      <c r="AP778" s="152"/>
      <c r="AQ778" s="164">
        <f t="shared" si="259"/>
        <v>42459.98725381754</v>
      </c>
      <c r="AR778" s="164">
        <f t="shared" si="268"/>
        <v>38873.376848282482</v>
      </c>
      <c r="AS778" s="164">
        <f t="shared" si="269"/>
        <v>26765.071770334926</v>
      </c>
      <c r="AT778" s="164">
        <f t="shared" si="260"/>
        <v>38873.376848282482</v>
      </c>
      <c r="AU778" s="152"/>
      <c r="AV778" s="147">
        <f>'Deterministic Reserve'!BC778</f>
        <v>7.128800043503754E-14</v>
      </c>
      <c r="AW778" s="164">
        <f t="shared" si="261"/>
        <v>38873.376848282482</v>
      </c>
      <c r="AX778" s="164">
        <f t="shared" si="262"/>
        <v>2.7712053056717398E-9</v>
      </c>
      <c r="AY778" s="152"/>
    </row>
    <row r="779" spans="1:51" s="150" customFormat="1" x14ac:dyDescent="0.25">
      <c r="A779" s="150">
        <f t="shared" si="270"/>
        <v>775</v>
      </c>
      <c r="B779" s="150">
        <f t="shared" si="271"/>
        <v>65</v>
      </c>
      <c r="C779" s="150">
        <f t="shared" si="272"/>
        <v>7</v>
      </c>
      <c r="D779" s="150">
        <f>IF(E779="","",Input!$C$4+B779-1)</f>
        <v>109</v>
      </c>
      <c r="E779" s="150">
        <f>IF(OR(AND(C778=12,D778=Input!$C$6),E778=""),"",1)</f>
        <v>1</v>
      </c>
      <c r="F779" s="150">
        <f>IF(E779="","",Input!$C$8+B779-1)</f>
        <v>2082</v>
      </c>
      <c r="G779" s="151">
        <f>IF(E779="","",MAX(0,Input!$C$9-B779))</f>
        <v>0</v>
      </c>
      <c r="H779" s="152">
        <f>IF(E779="","",Input!$C$3)</f>
        <v>100000</v>
      </c>
      <c r="I779" s="153">
        <f>IF(E779="","",HLOOKUP($B779,Input!$C$13:$BT$14,2))</f>
        <v>1000</v>
      </c>
      <c r="J779" s="154"/>
      <c r="K779" s="155">
        <f>IF($E779="","",Input!$C$57)</f>
        <v>4.4999999999999998E-2</v>
      </c>
      <c r="L779" s="155">
        <f t="shared" si="263"/>
        <v>3.6748094004368514E-3</v>
      </c>
      <c r="M779" s="147">
        <f>IF($E779="","",VLOOKUP(IF($B779&lt;=Input!$C$7,$B779,26),'Mortality Tables'!$A$72:$CA$97,IF($B779&lt;=Input!$C$7+1,Input!$C$4-16,$D779-Input!$C$7-16),0)/1000)</f>
        <v>0.55938999999999994</v>
      </c>
      <c r="N779" s="147">
        <f t="shared" si="252"/>
        <v>6.6019384930594893E-2</v>
      </c>
      <c r="O779" s="157">
        <f>IF($E779="","",IF($C779=12,IF($B779&lt;Input!$C$9,Input!$C$54,IF($B779=Input!$C$9,Input!$C$55,Input!$C$56)),0%))</f>
        <v>0</v>
      </c>
      <c r="P779" s="167">
        <f>IF($E779="","",IF($B779=1,Input!$C$59,IF($B779&lt;6,Input!$C$60,0%)))</f>
        <v>0</v>
      </c>
      <c r="Q779" s="162">
        <f>IF($E779="","",Input!$C$58)</f>
        <v>2.5</v>
      </c>
      <c r="R779" s="156">
        <f t="shared" si="264"/>
        <v>0.93398061506940511</v>
      </c>
      <c r="S779" s="154">
        <f t="shared" si="253"/>
        <v>3.3593098381542279E-8</v>
      </c>
      <c r="T779" s="152"/>
      <c r="U779" s="150">
        <f t="shared" si="265"/>
        <v>0</v>
      </c>
      <c r="V779" s="150">
        <f t="shared" si="266"/>
        <v>0</v>
      </c>
      <c r="W779" s="168">
        <f t="shared" si="267"/>
        <v>0</v>
      </c>
      <c r="X779" s="163">
        <f t="shared" si="254"/>
        <v>6601.9384930594897</v>
      </c>
      <c r="Y779" s="152"/>
      <c r="Z779" s="164">
        <f>IF(AND($C778=12,$D778=Input!$C$6),0,IF($E779="","",V779+Z780/(1+L779)*R779))</f>
        <v>87425.724992729025</v>
      </c>
      <c r="AA779" s="164">
        <f>IF(OR($M779=1,AND($C778=12,$D778=Input!$C$6)),0,IF($E779="","",W779+(X779+AA780*$R779)/(1+$L779)))</f>
        <v>85077.56817635044</v>
      </c>
      <c r="AB779" s="160">
        <f t="shared" si="255"/>
        <v>0.825720328500681</v>
      </c>
      <c r="AC779" s="164">
        <f t="shared" si="256"/>
        <v>0</v>
      </c>
      <c r="AD779" s="164">
        <f>IF(AND($C778=12,$D778=Input!$C$6),0,IF($E779="","",$AC779+AD780/(1+$L779)*$R779))</f>
        <v>72189.198360406401</v>
      </c>
      <c r="AE779" s="152"/>
      <c r="AF779" s="164">
        <f>IF(AND($C778=12,$D778=Input!$C$6),0,IF($E779="","",IF($B779&gt;Input!$C$9,$AC779,0)+AF780/(1+$L779)*$R779))</f>
        <v>72189.198360406401</v>
      </c>
      <c r="AG779" s="164">
        <f>IF(AND($C778=12,$D778=Input!$C$6),0,IF($E779="","",(IF($B779&gt;Input!$C$9,$X779,0)+AG780)/(1+$L779)*$R779))</f>
        <v>78270.800000199917</v>
      </c>
      <c r="AH779" s="160">
        <f t="shared" si="257"/>
        <v>2.0950137211446997</v>
      </c>
      <c r="AI779" s="160">
        <f>IF($E779="","",MIN(Input!$C$61/AH779,1))</f>
        <v>0.64438718771845094</v>
      </c>
      <c r="AJ779" s="152"/>
      <c r="AK779" s="164">
        <f>IF(AND($C778=12,$D778=Input!$C$6),0,IF($E779="","",IF($B779&gt;Input!$C$9,$AC779*AI779,0)+AK780/(1+$L779)*$R779))</f>
        <v>46517.794515111695</v>
      </c>
      <c r="AL779" s="164">
        <f>IF(AND($C778=12,$D778=Input!$C$6),0,IF($E779="","",IF($B779&gt;Input!$C$9,0,$AC779)+AL780/(1+$L779)*$R779))</f>
        <v>0</v>
      </c>
      <c r="AM779" s="160">
        <f t="shared" si="258"/>
        <v>1.1382936520186004</v>
      </c>
      <c r="AN779" s="164">
        <f>IF($E779="","",IF($B779&gt;Input!$C$9,$AI779*$AC779,$AM779*$AC779))</f>
        <v>0</v>
      </c>
      <c r="AO779" s="164">
        <f>IF(AND($C778=12,$D778=Input!$C$6),0,IF($E779="","",$AN779+AO780/(1+$L779)*$R779))</f>
        <v>46517.794515111695</v>
      </c>
      <c r="AP779" s="152"/>
      <c r="AQ779" s="164">
        <f t="shared" si="259"/>
        <v>38559.773661238745</v>
      </c>
      <c r="AR779" s="164">
        <f t="shared" si="268"/>
        <v>38873.376848282482</v>
      </c>
      <c r="AS779" s="164">
        <f t="shared" si="269"/>
        <v>26765.071770334926</v>
      </c>
      <c r="AT779" s="164">
        <f t="shared" si="260"/>
        <v>38873.376848282482</v>
      </c>
      <c r="AU779" s="152"/>
      <c r="AV779" s="147">
        <f>'Deterministic Reserve'!BC779</f>
        <v>6.400583080305422E-14</v>
      </c>
      <c r="AW779" s="164">
        <f t="shared" si="261"/>
        <v>38873.376848282482</v>
      </c>
      <c r="AX779" s="164">
        <f t="shared" si="262"/>
        <v>2.4881227812945338E-9</v>
      </c>
      <c r="AY779" s="152"/>
    </row>
    <row r="780" spans="1:51" s="150" customFormat="1" x14ac:dyDescent="0.25">
      <c r="A780" s="150">
        <f t="shared" si="270"/>
        <v>776</v>
      </c>
      <c r="B780" s="150">
        <f t="shared" si="271"/>
        <v>65</v>
      </c>
      <c r="C780" s="150">
        <f t="shared" si="272"/>
        <v>8</v>
      </c>
      <c r="D780" s="150">
        <f>IF(E780="","",Input!$C$4+B780-1)</f>
        <v>109</v>
      </c>
      <c r="E780" s="150">
        <f>IF(OR(AND(C779=12,D779=Input!$C$6),E779=""),"",1)</f>
        <v>1</v>
      </c>
      <c r="F780" s="150">
        <f>IF(E780="","",Input!$C$8+B780-1)</f>
        <v>2082</v>
      </c>
      <c r="G780" s="151">
        <f>IF(E780="","",MAX(0,Input!$C$9-B780))</f>
        <v>0</v>
      </c>
      <c r="H780" s="152">
        <f>IF(E780="","",Input!$C$3)</f>
        <v>100000</v>
      </c>
      <c r="I780" s="153">
        <f>IF(E780="","",HLOOKUP($B780,Input!$C$13:$BT$14,2))</f>
        <v>1000</v>
      </c>
      <c r="J780" s="154"/>
      <c r="K780" s="155">
        <f>IF($E780="","",Input!$C$57)</f>
        <v>4.4999999999999998E-2</v>
      </c>
      <c r="L780" s="155">
        <f t="shared" si="263"/>
        <v>3.6748094004368514E-3</v>
      </c>
      <c r="M780" s="147">
        <f>IF($E780="","",VLOOKUP(IF($B780&lt;=Input!$C$7,$B780,26),'Mortality Tables'!$A$72:$CA$97,IF($B780&lt;=Input!$C$7+1,Input!$C$4-16,$D780-Input!$C$7-16),0)/1000)</f>
        <v>0.55938999999999994</v>
      </c>
      <c r="N780" s="147">
        <f t="shared" si="252"/>
        <v>6.6019384930594893E-2</v>
      </c>
      <c r="O780" s="157">
        <f>IF($E780="","",IF($C780=12,IF($B780&lt;Input!$C$9,Input!$C$54,IF($B780=Input!$C$9,Input!$C$55,Input!$C$56)),0%))</f>
        <v>0</v>
      </c>
      <c r="P780" s="167">
        <f>IF($E780="","",IF($B780=1,Input!$C$59,IF($B780&lt;6,Input!$C$60,0%)))</f>
        <v>0</v>
      </c>
      <c r="Q780" s="162">
        <f>IF($E780="","",Input!$C$58)</f>
        <v>2.5</v>
      </c>
      <c r="R780" s="156">
        <f t="shared" si="264"/>
        <v>0.93398061506940511</v>
      </c>
      <c r="S780" s="154">
        <f t="shared" si="253"/>
        <v>3.1375302688479892E-8</v>
      </c>
      <c r="T780" s="152"/>
      <c r="U780" s="150">
        <f t="shared" si="265"/>
        <v>0</v>
      </c>
      <c r="V780" s="150">
        <f t="shared" si="266"/>
        <v>0</v>
      </c>
      <c r="W780" s="168">
        <f t="shared" si="267"/>
        <v>0</v>
      </c>
      <c r="X780" s="163">
        <f t="shared" si="254"/>
        <v>6601.9384930594897</v>
      </c>
      <c r="Y780" s="152"/>
      <c r="Z780" s="164">
        <f>IF(AND($C779=12,$D779=Input!$C$6),0,IF($E780="","",V780+Z781/(1+L780)*R780))</f>
        <v>93949.485088886708</v>
      </c>
      <c r="AA780" s="164">
        <f>IF(OR($M780=1,AND($C779=12,$D779=Input!$C$6)),0,IF($E780="","",W780+(X780+AA781*$R780)/(1+$L780)))</f>
        <v>84357.504063118991</v>
      </c>
      <c r="AB780" s="160">
        <f t="shared" si="255"/>
        <v>0.825720328500681</v>
      </c>
      <c r="AC780" s="164">
        <f t="shared" si="256"/>
        <v>0</v>
      </c>
      <c r="AD780" s="164">
        <f>IF(AND($C779=12,$D779=Input!$C$6),0,IF($E780="","",$AC780+AD781/(1+$L780)*$R780))</f>
        <v>77575.999690065364</v>
      </c>
      <c r="AE780" s="152"/>
      <c r="AF780" s="164">
        <f>IF(AND($C779=12,$D779=Input!$C$6),0,IF($E780="","",IF($B780&gt;Input!$C$9,$AC780,0)+AF781/(1+$L780)*$R780))</f>
        <v>77575.999690065364</v>
      </c>
      <c r="AG780" s="164">
        <f>IF(AND($C779=12,$D779=Input!$C$6),0,IF($E780="","",(IF($B780&gt;Input!$C$9,$X780,0)+AG781)/(1+$L780)*$R780))</f>
        <v>77509.47560302708</v>
      </c>
      <c r="AH780" s="160">
        <f t="shared" si="257"/>
        <v>2.0950137211446997</v>
      </c>
      <c r="AI780" s="160">
        <f>IF($E780="","",MIN(Input!$C$61/AH780,1))</f>
        <v>0.64438718771845094</v>
      </c>
      <c r="AJ780" s="152"/>
      <c r="AK780" s="164">
        <f>IF(AND($C779=12,$D779=Input!$C$6),0,IF($E780="","",IF($B780&gt;Input!$C$9,$AC780*AI780,0)+AK781/(1+$L780)*$R780))</f>
        <v>49988.980274728645</v>
      </c>
      <c r="AL780" s="164">
        <f>IF(AND($C779=12,$D779=Input!$C$6),0,IF($E780="","",IF($B780&gt;Input!$C$9,0,$AC780)+AL781/(1+$L780)*$R780))</f>
        <v>0</v>
      </c>
      <c r="AM780" s="160">
        <f t="shared" si="258"/>
        <v>1.1382936520186004</v>
      </c>
      <c r="AN780" s="164">
        <f>IF($E780="","",IF($B780&gt;Input!$C$9,$AI780*$AC780,$AM780*$AC780))</f>
        <v>0</v>
      </c>
      <c r="AO780" s="164">
        <f>IF(AND($C779=12,$D779=Input!$C$6),0,IF($E780="","",$AN780+AO781/(1+$L780)*$R780))</f>
        <v>49988.980274728645</v>
      </c>
      <c r="AP780" s="152"/>
      <c r="AQ780" s="164">
        <f t="shared" si="259"/>
        <v>34368.523788390346</v>
      </c>
      <c r="AR780" s="164">
        <f t="shared" si="268"/>
        <v>38873.376848282482</v>
      </c>
      <c r="AS780" s="164">
        <f t="shared" si="269"/>
        <v>26765.071770334926</v>
      </c>
      <c r="AT780" s="164">
        <f t="shared" si="260"/>
        <v>38873.376848282482</v>
      </c>
      <c r="AU780" s="152"/>
      <c r="AV780" s="147">
        <f>'Deterministic Reserve'!BC780</f>
        <v>5.7467545053707001E-14</v>
      </c>
      <c r="AW780" s="164">
        <f t="shared" si="261"/>
        <v>38873.376848282482</v>
      </c>
      <c r="AX780" s="164">
        <f t="shared" si="262"/>
        <v>2.2339575354184044E-9</v>
      </c>
      <c r="AY780" s="152"/>
    </row>
    <row r="781" spans="1:51" s="150" customFormat="1" x14ac:dyDescent="0.25">
      <c r="A781" s="150">
        <f t="shared" si="270"/>
        <v>777</v>
      </c>
      <c r="B781" s="150">
        <f t="shared" si="271"/>
        <v>65</v>
      </c>
      <c r="C781" s="150">
        <f t="shared" si="272"/>
        <v>9</v>
      </c>
      <c r="D781" s="150">
        <f>IF(E781="","",Input!$C$4+B781-1)</f>
        <v>109</v>
      </c>
      <c r="E781" s="150">
        <f>IF(OR(AND(C780=12,D780=Input!$C$6),E780=""),"",1)</f>
        <v>1</v>
      </c>
      <c r="F781" s="150">
        <f>IF(E781="","",Input!$C$8+B781-1)</f>
        <v>2082</v>
      </c>
      <c r="G781" s="151">
        <f>IF(E781="","",MAX(0,Input!$C$9-B781))</f>
        <v>0</v>
      </c>
      <c r="H781" s="152">
        <f>IF(E781="","",Input!$C$3)</f>
        <v>100000</v>
      </c>
      <c r="I781" s="153">
        <f>IF(E781="","",HLOOKUP($B781,Input!$C$13:$BT$14,2))</f>
        <v>1000</v>
      </c>
      <c r="J781" s="154"/>
      <c r="K781" s="155">
        <f>IF($E781="","",Input!$C$57)</f>
        <v>4.4999999999999998E-2</v>
      </c>
      <c r="L781" s="155">
        <f t="shared" si="263"/>
        <v>3.6748094004368514E-3</v>
      </c>
      <c r="M781" s="147">
        <f>IF($E781="","",VLOOKUP(IF($B781&lt;=Input!$C$7,$B781,26),'Mortality Tables'!$A$72:$CA$97,IF($B781&lt;=Input!$C$7+1,Input!$C$4-16,$D781-Input!$C$7-16),0)/1000)</f>
        <v>0.55938999999999994</v>
      </c>
      <c r="N781" s="147">
        <f t="shared" si="252"/>
        <v>6.6019384930594893E-2</v>
      </c>
      <c r="O781" s="157">
        <f>IF($E781="","",IF($C781=12,IF($B781&lt;Input!$C$9,Input!$C$54,IF($B781=Input!$C$9,Input!$C$55,Input!$C$56)),0%))</f>
        <v>0</v>
      </c>
      <c r="P781" s="167">
        <f>IF($E781="","",IF($B781=1,Input!$C$59,IF($B781&lt;6,Input!$C$60,0%)))</f>
        <v>0</v>
      </c>
      <c r="Q781" s="162">
        <f>IF($E781="","",Input!$C$58)</f>
        <v>2.5</v>
      </c>
      <c r="R781" s="156">
        <f t="shared" si="264"/>
        <v>0.93398061506940511</v>
      </c>
      <c r="S781" s="154">
        <f t="shared" si="253"/>
        <v>2.9303924502975209E-8</v>
      </c>
      <c r="T781" s="152"/>
      <c r="U781" s="150">
        <f t="shared" si="265"/>
        <v>0</v>
      </c>
      <c r="V781" s="150">
        <f t="shared" si="266"/>
        <v>0</v>
      </c>
      <c r="W781" s="168">
        <f t="shared" si="267"/>
        <v>0</v>
      </c>
      <c r="X781" s="163">
        <f t="shared" si="254"/>
        <v>6601.9384930594897</v>
      </c>
      <c r="Y781" s="152"/>
      <c r="Z781" s="164">
        <f>IF(AND($C780=12,$D780=Input!$C$6),0,IF($E781="","",V781+Z782/(1+L781)*R781))</f>
        <v>100960.05208079227</v>
      </c>
      <c r="AA781" s="164">
        <f>IF(OR($M781=1,AND($C780=12,$D780=Input!$C$6)),0,IF($E781="","",W781+(X781+AA782*$R781)/(1+$L781)))</f>
        <v>83583.708333375747</v>
      </c>
      <c r="AB781" s="160">
        <f t="shared" si="255"/>
        <v>0.825720328500681</v>
      </c>
      <c r="AC781" s="164">
        <f t="shared" si="256"/>
        <v>0</v>
      </c>
      <c r="AD781" s="164">
        <f>IF(AND($C780=12,$D780=Input!$C$6),0,IF($E781="","",$AC781+AD782/(1+$L781)*$R781))</f>
        <v>83364.76736959767</v>
      </c>
      <c r="AE781" s="152"/>
      <c r="AF781" s="164">
        <f>IF(AND($C780=12,$D780=Input!$C$6),0,IF($E781="","",IF($B781&gt;Input!$C$9,$AC781,0)+AF782/(1+$L781)*$R781))</f>
        <v>83364.76736959767</v>
      </c>
      <c r="AG781" s="164">
        <f>IF(AND($C780=12,$D780=Input!$C$6),0,IF($E781="","",(IF($B781&gt;Input!$C$9,$X781,0)+AG782)/(1+$L781)*$R781))</f>
        <v>76691.340722178851</v>
      </c>
      <c r="AH781" s="160">
        <f t="shared" si="257"/>
        <v>2.0950137211446997</v>
      </c>
      <c r="AI781" s="160">
        <f>IF($E781="","",MIN(Input!$C$61/AH781,1))</f>
        <v>0.64438718771845094</v>
      </c>
      <c r="AJ781" s="152"/>
      <c r="AK781" s="164">
        <f>IF(AND($C780=12,$D780=Input!$C$6),0,IF($E781="","",IF($B781&gt;Input!$C$9,$AC781*AI781,0)+AK782/(1+$L781)*$R781))</f>
        <v>53719.188000097929</v>
      </c>
      <c r="AL781" s="164">
        <f>IF(AND($C780=12,$D780=Input!$C$6),0,IF($E781="","",IF($B781&gt;Input!$C$9,0,$AC781)+AL782/(1+$L781)*$R781))</f>
        <v>0</v>
      </c>
      <c r="AM781" s="160">
        <f t="shared" si="258"/>
        <v>1.1382936520186004</v>
      </c>
      <c r="AN781" s="164">
        <f>IF($E781="","",IF($B781&gt;Input!$C$9,$AI781*$AC781,$AM781*$AC781))</f>
        <v>0</v>
      </c>
      <c r="AO781" s="164">
        <f>IF(AND($C780=12,$D780=Input!$C$6),0,IF($E781="","",$AN781+AO782/(1+$L781)*$R781))</f>
        <v>53719.188000097929</v>
      </c>
      <c r="AP781" s="152"/>
      <c r="AQ781" s="164">
        <f t="shared" si="259"/>
        <v>29864.520333277818</v>
      </c>
      <c r="AR781" s="164">
        <f t="shared" si="268"/>
        <v>38873.376848282482</v>
      </c>
      <c r="AS781" s="164">
        <f t="shared" si="269"/>
        <v>26765.071770334926</v>
      </c>
      <c r="AT781" s="164">
        <f t="shared" si="260"/>
        <v>38873.376848282482</v>
      </c>
      <c r="AU781" s="152"/>
      <c r="AV781" s="147">
        <f>'Deterministic Reserve'!BC781</f>
        <v>5.15971544008496E-14</v>
      </c>
      <c r="AW781" s="164">
        <f t="shared" si="261"/>
        <v>38873.376848282482</v>
      </c>
      <c r="AX781" s="164">
        <f t="shared" si="262"/>
        <v>2.0057556273232432E-9</v>
      </c>
      <c r="AY781" s="152"/>
    </row>
    <row r="782" spans="1:51" s="150" customFormat="1" x14ac:dyDescent="0.25">
      <c r="A782" s="150">
        <f t="shared" si="270"/>
        <v>778</v>
      </c>
      <c r="B782" s="150">
        <f t="shared" si="271"/>
        <v>65</v>
      </c>
      <c r="C782" s="150">
        <f t="shared" si="272"/>
        <v>10</v>
      </c>
      <c r="D782" s="150">
        <f>IF(E782="","",Input!$C$4+B782-1)</f>
        <v>109</v>
      </c>
      <c r="E782" s="150">
        <f>IF(OR(AND(C781=12,D781=Input!$C$6),E781=""),"",1)</f>
        <v>1</v>
      </c>
      <c r="F782" s="150">
        <f>IF(E782="","",Input!$C$8+B782-1)</f>
        <v>2082</v>
      </c>
      <c r="G782" s="151">
        <f>IF(E782="","",MAX(0,Input!$C$9-B782))</f>
        <v>0</v>
      </c>
      <c r="H782" s="152">
        <f>IF(E782="","",Input!$C$3)</f>
        <v>100000</v>
      </c>
      <c r="I782" s="153">
        <f>IF(E782="","",HLOOKUP($B782,Input!$C$13:$BT$14,2))</f>
        <v>1000</v>
      </c>
      <c r="J782" s="154"/>
      <c r="K782" s="155">
        <f>IF($E782="","",Input!$C$57)</f>
        <v>4.4999999999999998E-2</v>
      </c>
      <c r="L782" s="155">
        <f t="shared" si="263"/>
        <v>3.6748094004368514E-3</v>
      </c>
      <c r="M782" s="147">
        <f>IF($E782="","",VLOOKUP(IF($B782&lt;=Input!$C$7,$B782,26),'Mortality Tables'!$A$72:$CA$97,IF($B782&lt;=Input!$C$7+1,Input!$C$4-16,$D782-Input!$C$7-16),0)/1000)</f>
        <v>0.55938999999999994</v>
      </c>
      <c r="N782" s="147">
        <f t="shared" si="252"/>
        <v>6.6019384930594893E-2</v>
      </c>
      <c r="O782" s="157">
        <f>IF($E782="","",IF($C782=12,IF($B782&lt;Input!$C$9,Input!$C$54,IF($B782=Input!$C$9,Input!$C$55,Input!$C$56)),0%))</f>
        <v>0</v>
      </c>
      <c r="P782" s="167">
        <f>IF($E782="","",IF($B782=1,Input!$C$59,IF($B782&lt;6,Input!$C$60,0%)))</f>
        <v>0</v>
      </c>
      <c r="Q782" s="162">
        <f>IF($E782="","",Input!$C$58)</f>
        <v>2.5</v>
      </c>
      <c r="R782" s="156">
        <f t="shared" si="264"/>
        <v>0.93398061506940511</v>
      </c>
      <c r="S782" s="154">
        <f t="shared" si="253"/>
        <v>2.7369297431236197E-8</v>
      </c>
      <c r="T782" s="152"/>
      <c r="U782" s="150">
        <f t="shared" si="265"/>
        <v>0</v>
      </c>
      <c r="V782" s="150">
        <f t="shared" si="266"/>
        <v>0</v>
      </c>
      <c r="W782" s="168">
        <f t="shared" si="267"/>
        <v>0</v>
      </c>
      <c r="X782" s="163">
        <f t="shared" si="254"/>
        <v>6601.9384930594897</v>
      </c>
      <c r="Y782" s="152"/>
      <c r="Z782" s="164">
        <f>IF(AND($C781=12,$D781=Input!$C$6),0,IF($E782="","",V782+Z783/(1+L782)*R782))</f>
        <v>108493.75179132314</v>
      </c>
      <c r="AA782" s="164">
        <f>IF(OR($M782=1,AND($C781=12,$D781=Input!$C$6)),0,IF($E782="","",W782+(X782+AA783*$R782)/(1+$L782)))</f>
        <v>82752.171501631965</v>
      </c>
      <c r="AB782" s="160">
        <f t="shared" si="255"/>
        <v>0.825720328500681</v>
      </c>
      <c r="AC782" s="164">
        <f t="shared" si="256"/>
        <v>0</v>
      </c>
      <c r="AD782" s="164">
        <f>IF(AND($C781=12,$D781=Input!$C$6),0,IF($E782="","",$AC782+AD783/(1+$L782)*$R782))</f>
        <v>89585.496369402696</v>
      </c>
      <c r="AE782" s="152"/>
      <c r="AF782" s="164">
        <f>IF(AND($C781=12,$D781=Input!$C$6),0,IF($E782="","",IF($B782&gt;Input!$C$9,$AC782,0)+AF783/(1+$L782)*$R782))</f>
        <v>89585.496369402696</v>
      </c>
      <c r="AG782" s="164">
        <f>IF(AND($C781=12,$D781=Input!$C$6),0,IF($E782="","",(IF($B782&gt;Input!$C$9,$X782,0)+AG783)/(1+$L782)*$R782))</f>
        <v>75812.156125249981</v>
      </c>
      <c r="AH782" s="160">
        <f t="shared" si="257"/>
        <v>2.0950137211446997</v>
      </c>
      <c r="AI782" s="160">
        <f>IF($E782="","",MIN(Input!$C$61/AH782,1))</f>
        <v>0.64438718771845094</v>
      </c>
      <c r="AJ782" s="152"/>
      <c r="AK782" s="164">
        <f>IF(AND($C781=12,$D781=Input!$C$6),0,IF($E782="","",IF($B782&gt;Input!$C$9,$AC782*AI782,0)+AK783/(1+$L782)*$R782))</f>
        <v>57727.746065840904</v>
      </c>
      <c r="AL782" s="164">
        <f>IF(AND($C781=12,$D781=Input!$C$6),0,IF($E782="","",IF($B782&gt;Input!$C$9,0,$AC782)+AL783/(1+$L782)*$R782))</f>
        <v>0</v>
      </c>
      <c r="AM782" s="160">
        <f t="shared" si="258"/>
        <v>1.1382936520186004</v>
      </c>
      <c r="AN782" s="164">
        <f>IF($E782="","",IF($B782&gt;Input!$C$9,$AI782*$AC782,$AM782*$AC782))</f>
        <v>0</v>
      </c>
      <c r="AO782" s="164">
        <f>IF(AND($C781=12,$D781=Input!$C$6),0,IF($E782="","",$AN782+AO783/(1+$L782)*$R782))</f>
        <v>57727.746065840904</v>
      </c>
      <c r="AP782" s="152"/>
      <c r="AQ782" s="164">
        <f t="shared" si="259"/>
        <v>25024.425435791061</v>
      </c>
      <c r="AR782" s="164">
        <f t="shared" si="268"/>
        <v>38873.376848282482</v>
      </c>
      <c r="AS782" s="164">
        <f t="shared" si="269"/>
        <v>26765.071770334926</v>
      </c>
      <c r="AT782" s="164">
        <f t="shared" si="260"/>
        <v>38873.376848282482</v>
      </c>
      <c r="AU782" s="152"/>
      <c r="AV782" s="147">
        <f>'Deterministic Reserve'!BC782</f>
        <v>4.6326432419847755E-14</v>
      </c>
      <c r="AW782" s="164">
        <f t="shared" si="261"/>
        <v>38873.376848282482</v>
      </c>
      <c r="AX782" s="164">
        <f t="shared" si="262"/>
        <v>1.8008648654932327E-9</v>
      </c>
      <c r="AY782" s="152"/>
    </row>
    <row r="783" spans="1:51" s="150" customFormat="1" x14ac:dyDescent="0.25">
      <c r="A783" s="150">
        <f t="shared" si="270"/>
        <v>779</v>
      </c>
      <c r="B783" s="150">
        <f t="shared" si="271"/>
        <v>65</v>
      </c>
      <c r="C783" s="150">
        <f t="shared" si="272"/>
        <v>11</v>
      </c>
      <c r="D783" s="150">
        <f>IF(E783="","",Input!$C$4+B783-1)</f>
        <v>109</v>
      </c>
      <c r="E783" s="150">
        <f>IF(OR(AND(C782=12,D782=Input!$C$6),E782=""),"",1)</f>
        <v>1</v>
      </c>
      <c r="F783" s="150">
        <f>IF(E783="","",Input!$C$8+B783-1)</f>
        <v>2082</v>
      </c>
      <c r="G783" s="151">
        <f>IF(E783="","",MAX(0,Input!$C$9-B783))</f>
        <v>0</v>
      </c>
      <c r="H783" s="152">
        <f>IF(E783="","",Input!$C$3)</f>
        <v>100000</v>
      </c>
      <c r="I783" s="153">
        <f>IF(E783="","",HLOOKUP($B783,Input!$C$13:$BT$14,2))</f>
        <v>1000</v>
      </c>
      <c r="J783" s="154"/>
      <c r="K783" s="155">
        <f>IF($E783="","",Input!$C$57)</f>
        <v>4.4999999999999998E-2</v>
      </c>
      <c r="L783" s="155">
        <f t="shared" si="263"/>
        <v>3.6748094004368514E-3</v>
      </c>
      <c r="M783" s="147">
        <f>IF($E783="","",VLOOKUP(IF($B783&lt;=Input!$C$7,$B783,26),'Mortality Tables'!$A$72:$CA$97,IF($B783&lt;=Input!$C$7+1,Input!$C$4-16,$D783-Input!$C$7-16),0)/1000)</f>
        <v>0.55938999999999994</v>
      </c>
      <c r="N783" s="147">
        <f t="shared" si="252"/>
        <v>6.6019384930594893E-2</v>
      </c>
      <c r="O783" s="157">
        <f>IF($E783="","",IF($C783=12,IF($B783&lt;Input!$C$9,Input!$C$54,IF($B783=Input!$C$9,Input!$C$55,Input!$C$56)),0%))</f>
        <v>0</v>
      </c>
      <c r="P783" s="167">
        <f>IF($E783="","",IF($B783=1,Input!$C$59,IF($B783&lt;6,Input!$C$60,0%)))</f>
        <v>0</v>
      </c>
      <c r="Q783" s="162">
        <f>IF($E783="","",Input!$C$58)</f>
        <v>2.5</v>
      </c>
      <c r="R783" s="156">
        <f t="shared" si="264"/>
        <v>0.93398061506940511</v>
      </c>
      <c r="S783" s="154">
        <f t="shared" si="253"/>
        <v>2.5562393248843474E-8</v>
      </c>
      <c r="T783" s="152"/>
      <c r="U783" s="150">
        <f t="shared" si="265"/>
        <v>0</v>
      </c>
      <c r="V783" s="150">
        <f t="shared" si="266"/>
        <v>0</v>
      </c>
      <c r="W783" s="168">
        <f t="shared" si="267"/>
        <v>0</v>
      </c>
      <c r="X783" s="163">
        <f t="shared" si="254"/>
        <v>6601.9384930594897</v>
      </c>
      <c r="Y783" s="152"/>
      <c r="Z783" s="164">
        <f>IF(AND($C782=12,$D782=Input!$C$6),0,IF($E783="","",V783+Z784/(1+L783)*R783))</f>
        <v>116589.62069807269</v>
      </c>
      <c r="AA783" s="164">
        <f>IF(OR($M783=1,AND($C782=12,$D782=Input!$C$6)),0,IF($E783="","",W783+(X783+AA784*$R783)/(1+$L783)))</f>
        <v>81858.584892184139</v>
      </c>
      <c r="AB783" s="160">
        <f t="shared" si="255"/>
        <v>0.825720328500681</v>
      </c>
      <c r="AC783" s="164">
        <f t="shared" si="256"/>
        <v>0</v>
      </c>
      <c r="AD783" s="164">
        <f>IF(AND($C782=12,$D782=Input!$C$6),0,IF($E783="","",$AC783+AD784/(1+$L783)*$R783))</f>
        <v>96270.419902582362</v>
      </c>
      <c r="AE783" s="152"/>
      <c r="AF783" s="164">
        <f>IF(AND($C782=12,$D782=Input!$C$6),0,IF($E783="","",IF($B783&gt;Input!$C$9,$AC783,0)+AF784/(1+$L783)*$R783))</f>
        <v>96270.419902582362</v>
      </c>
      <c r="AG783" s="164">
        <f>IF(AND($C782=12,$D782=Input!$C$6),0,IF($E783="","",(IF($B783&gt;Input!$C$9,$X783,0)+AG784)/(1+$L783)*$R783))</f>
        <v>74867.366245767509</v>
      </c>
      <c r="AH783" s="160">
        <f t="shared" si="257"/>
        <v>2.0950137211446997</v>
      </c>
      <c r="AI783" s="160">
        <f>IF($E783="","",MIN(Input!$C$61/AH783,1))</f>
        <v>0.64438718771845094</v>
      </c>
      <c r="AJ783" s="152"/>
      <c r="AK783" s="164">
        <f>IF(AND($C782=12,$D782=Input!$C$6),0,IF($E783="","",IF($B783&gt;Input!$C$9,$AC783*AI783,0)+AK784/(1+$L783)*$R783))</f>
        <v>62035.425141499436</v>
      </c>
      <c r="AL783" s="164">
        <f>IF(AND($C782=12,$D782=Input!$C$6),0,IF($E783="","",IF($B783&gt;Input!$C$9,0,$AC783)+AL784/(1+$L783)*$R783))</f>
        <v>0</v>
      </c>
      <c r="AM783" s="160">
        <f t="shared" si="258"/>
        <v>1.1382936520186004</v>
      </c>
      <c r="AN783" s="164">
        <f>IF($E783="","",IF($B783&gt;Input!$C$9,$AI783*$AC783,$AM783*$AC783))</f>
        <v>0</v>
      </c>
      <c r="AO783" s="164">
        <f>IF(AND($C782=12,$D782=Input!$C$6),0,IF($E783="","",$AN783+AO784/(1+$L783)*$R783))</f>
        <v>62035.425141499436</v>
      </c>
      <c r="AP783" s="152"/>
      <c r="AQ783" s="164">
        <f t="shared" si="259"/>
        <v>19823.159750684703</v>
      </c>
      <c r="AR783" s="164">
        <f t="shared" si="268"/>
        <v>38873.376848282482</v>
      </c>
      <c r="AS783" s="164">
        <f t="shared" si="269"/>
        <v>26765.071770334926</v>
      </c>
      <c r="AT783" s="164">
        <f t="shared" si="260"/>
        <v>38873.376848282482</v>
      </c>
      <c r="AU783" s="152"/>
      <c r="AV783" s="147">
        <f>'Deterministic Reserve'!BC783</f>
        <v>4.1594122111419824E-14</v>
      </c>
      <c r="AW783" s="164">
        <f t="shared" si="261"/>
        <v>38873.376848282482</v>
      </c>
      <c r="AX783" s="164">
        <f t="shared" si="262"/>
        <v>1.6169039835107018E-9</v>
      </c>
      <c r="AY783" s="152"/>
    </row>
    <row r="784" spans="1:51" s="150" customFormat="1" x14ac:dyDescent="0.25">
      <c r="A784" s="150">
        <f t="shared" si="270"/>
        <v>780</v>
      </c>
      <c r="B784" s="150">
        <f t="shared" si="271"/>
        <v>65</v>
      </c>
      <c r="C784" s="150">
        <f t="shared" si="272"/>
        <v>12</v>
      </c>
      <c r="D784" s="150">
        <f>IF(E784="","",Input!$C$4+B784-1)</f>
        <v>109</v>
      </c>
      <c r="E784" s="150">
        <f>IF(OR(AND(C783=12,D783=Input!$C$6),E783=""),"",1)</f>
        <v>1</v>
      </c>
      <c r="F784" s="150">
        <f>IF(E784="","",Input!$C$8+B784-1)</f>
        <v>2082</v>
      </c>
      <c r="G784" s="151">
        <f>IF(E784="","",MAX(0,Input!$C$9-B784))</f>
        <v>0</v>
      </c>
      <c r="H784" s="152">
        <f>IF(E784="","",Input!$C$3)</f>
        <v>100000</v>
      </c>
      <c r="I784" s="153">
        <f>IF(E784="","",HLOOKUP($B784,Input!$C$13:$BT$14,2))</f>
        <v>1000</v>
      </c>
      <c r="J784" s="154"/>
      <c r="K784" s="155">
        <f>IF($E784="","",Input!$C$57)</f>
        <v>4.4999999999999998E-2</v>
      </c>
      <c r="L784" s="155">
        <f t="shared" si="263"/>
        <v>3.6748094004368514E-3</v>
      </c>
      <c r="M784" s="147">
        <f>IF($E784="","",VLOOKUP(IF($B784&lt;=Input!$C$7,$B784,26),'Mortality Tables'!$A$72:$CA$97,IF($B784&lt;=Input!$C$7+1,Input!$C$4-16,$D784-Input!$C$7-16),0)/1000)</f>
        <v>0.55938999999999994</v>
      </c>
      <c r="N784" s="147">
        <f t="shared" si="252"/>
        <v>6.6019384930594893E-2</v>
      </c>
      <c r="O784" s="157">
        <f>IF($E784="","",IF($C784=12,IF($B784&lt;Input!$C$9,Input!$C$54,IF($B784=Input!$C$9,Input!$C$55,Input!$C$56)),0%))</f>
        <v>0.1</v>
      </c>
      <c r="P784" s="167">
        <f>IF($E784="","",IF($B784=1,Input!$C$59,IF($B784&lt;6,Input!$C$60,0%)))</f>
        <v>0</v>
      </c>
      <c r="Q784" s="162">
        <f>IF($E784="","",Input!$C$58)</f>
        <v>2.5</v>
      </c>
      <c r="R784" s="156">
        <f t="shared" si="264"/>
        <v>0.83398061506940513</v>
      </c>
      <c r="S784" s="154">
        <f t="shared" si="253"/>
        <v>2.1318540444316489E-8</v>
      </c>
      <c r="T784" s="152"/>
      <c r="U784" s="150">
        <f t="shared" si="265"/>
        <v>0</v>
      </c>
      <c r="V784" s="150">
        <f t="shared" si="266"/>
        <v>0</v>
      </c>
      <c r="W784" s="168">
        <f t="shared" si="267"/>
        <v>0</v>
      </c>
      <c r="X784" s="163">
        <f t="shared" si="254"/>
        <v>6601.9384930594897</v>
      </c>
      <c r="Y784" s="152"/>
      <c r="Z784" s="164">
        <f>IF(AND($C783=12,$D783=Input!$C$6),0,IF($E784="","",V784+Z785/(1+L784)*R784))</f>
        <v>125289.60820403279</v>
      </c>
      <c r="AA784" s="164">
        <f>IF(OR($M784=1,AND($C783=12,$D783=Input!$C$6)),0,IF($E784="","",W784+(X784+AA785*$R784)/(1+$L784)))</f>
        <v>80898.318313360433</v>
      </c>
      <c r="AB784" s="160">
        <f t="shared" si="255"/>
        <v>0.825720328500681</v>
      </c>
      <c r="AC784" s="164">
        <f t="shared" si="256"/>
        <v>0</v>
      </c>
      <c r="AD784" s="164">
        <f>IF(AND($C783=12,$D783=Input!$C$6),0,IF($E784="","",$AC784+AD785/(1+$L784)*$R784))</f>
        <v>103454.17644395557</v>
      </c>
      <c r="AE784" s="152"/>
      <c r="AF784" s="164">
        <f>IF(AND($C783=12,$D783=Input!$C$6),0,IF($E784="","",IF($B784&gt;Input!$C$9,$AC784,0)+AF785/(1+$L784)*$R784))</f>
        <v>103454.17644395557</v>
      </c>
      <c r="AG784" s="164">
        <f>IF(AND($C783=12,$D783=Input!$C$6),0,IF($E784="","",(IF($B784&gt;Input!$C$9,$X784,0)+AG785)/(1+$L784)*$R784))</f>
        <v>73852.07557815277</v>
      </c>
      <c r="AH784" s="160">
        <f t="shared" si="257"/>
        <v>2.0950137211446997</v>
      </c>
      <c r="AI784" s="160">
        <f>IF($E784="","",MIN(Input!$C$61/AH784,1))</f>
        <v>0.64438718771845094</v>
      </c>
      <c r="AJ784" s="152"/>
      <c r="AK784" s="164">
        <f>IF(AND($C783=12,$D783=Input!$C$6),0,IF($E784="","",IF($B784&gt;Input!$C$9,$AC784*AI784,0)+AK785/(1+$L784)*$R784))</f>
        <v>66664.545816448939</v>
      </c>
      <c r="AL784" s="164">
        <f>IF(AND($C783=12,$D783=Input!$C$6),0,IF($E784="","",IF($B784&gt;Input!$C$9,0,$AC784)+AL785/(1+$L784)*$R784))</f>
        <v>0</v>
      </c>
      <c r="AM784" s="160">
        <f t="shared" si="258"/>
        <v>1.1382936520186004</v>
      </c>
      <c r="AN784" s="164">
        <f>IF($E784="","",IF($B784&gt;Input!$C$9,$AI784*$AC784,$AM784*$AC784))</f>
        <v>0</v>
      </c>
      <c r="AO784" s="164">
        <f>IF(AND($C783=12,$D783=Input!$C$6),0,IF($E784="","",$AN784+AO785/(1+$L784)*$R784))</f>
        <v>66664.545816448939</v>
      </c>
      <c r="AP784" s="152"/>
      <c r="AQ784" s="164">
        <f t="shared" si="259"/>
        <v>14233.772496911493</v>
      </c>
      <c r="AR784" s="164">
        <f t="shared" si="268"/>
        <v>38873.376848282482</v>
      </c>
      <c r="AS784" s="164">
        <f t="shared" si="269"/>
        <v>26765.071770334926</v>
      </c>
      <c r="AT784" s="164">
        <f t="shared" si="260"/>
        <v>38873.376848282482</v>
      </c>
      <c r="AU784" s="152"/>
      <c r="AV784" s="147">
        <f>'Deterministic Reserve'!BC784</f>
        <v>3.3185811753880729E-14</v>
      </c>
      <c r="AW784" s="164">
        <f t="shared" si="261"/>
        <v>38873.376848282482</v>
      </c>
      <c r="AX784" s="164">
        <f t="shared" si="262"/>
        <v>1.2900445663247678E-9</v>
      </c>
      <c r="AY784" s="152"/>
    </row>
    <row r="785" spans="1:51" s="150" customFormat="1" x14ac:dyDescent="0.25">
      <c r="A785" s="150">
        <f t="shared" si="270"/>
        <v>781</v>
      </c>
      <c r="B785" s="150">
        <f t="shared" si="271"/>
        <v>66</v>
      </c>
      <c r="C785" s="150">
        <f t="shared" si="272"/>
        <v>1</v>
      </c>
      <c r="D785" s="150">
        <f>IF(E785="","",Input!$C$4+B785-1)</f>
        <v>110</v>
      </c>
      <c r="E785" s="150">
        <f>IF(OR(AND(C784=12,D784=Input!$C$6),E784=""),"",1)</f>
        <v>1</v>
      </c>
      <c r="F785" s="150">
        <f>IF(E785="","",Input!$C$8+B785-1)</f>
        <v>2083</v>
      </c>
      <c r="G785" s="151">
        <f>IF(E785="","",MAX(0,Input!$C$9-B785))</f>
        <v>0</v>
      </c>
      <c r="H785" s="152">
        <f>IF(E785="","",Input!$C$3)</f>
        <v>100000</v>
      </c>
      <c r="I785" s="153">
        <f>IF(E785="","",HLOOKUP($B785,Input!$C$13:$BT$14,2))</f>
        <v>1000</v>
      </c>
      <c r="J785" s="154"/>
      <c r="K785" s="155">
        <f>IF($E785="","",Input!$C$57)</f>
        <v>4.4999999999999998E-2</v>
      </c>
      <c r="L785" s="155">
        <f t="shared" si="263"/>
        <v>3.6748094004368514E-3</v>
      </c>
      <c r="M785" s="147">
        <f>IF($E785="","",VLOOKUP(IF($B785&lt;=Input!$C$7,$B785,26),'Mortality Tables'!$A$72:$CA$97,IF($B785&lt;=Input!$C$7+1,Input!$C$4-16,$D785-Input!$C$7-16),0)/1000)</f>
        <v>0.58972000000000002</v>
      </c>
      <c r="N785" s="147">
        <f t="shared" si="252"/>
        <v>7.1553901517934948E-2</v>
      </c>
      <c r="O785" s="157">
        <f>IF($E785="","",IF($C785=12,IF($B785&lt;Input!$C$9,Input!$C$54,IF($B785=Input!$C$9,Input!$C$55,Input!$C$56)),0%))</f>
        <v>0</v>
      </c>
      <c r="P785" s="167">
        <f>IF($E785="","",IF($B785=1,Input!$C$59,IF($B785&lt;6,Input!$C$60,0%)))</f>
        <v>0</v>
      </c>
      <c r="Q785" s="162">
        <f>IF($E785="","",Input!$C$58)</f>
        <v>2.5</v>
      </c>
      <c r="R785" s="156">
        <f t="shared" si="264"/>
        <v>0.92844609848206505</v>
      </c>
      <c r="S785" s="154">
        <f t="shared" si="253"/>
        <v>1.9793115700857753E-8</v>
      </c>
      <c r="T785" s="152"/>
      <c r="U785" s="150">
        <f t="shared" si="265"/>
        <v>100000</v>
      </c>
      <c r="V785" s="150">
        <f t="shared" si="266"/>
        <v>100000</v>
      </c>
      <c r="W785" s="168">
        <f t="shared" si="267"/>
        <v>0</v>
      </c>
      <c r="X785" s="163">
        <f t="shared" si="254"/>
        <v>7155.3901517934946</v>
      </c>
      <c r="Y785" s="152"/>
      <c r="Z785" s="164">
        <f>IF(AND($C784=12,$D784=Input!$C$6),0,IF($E785="","",V785+Z786/(1+L785)*R785))</f>
        <v>150782.90953270288</v>
      </c>
      <c r="AA785" s="164">
        <f>IF(OR($M785=1,AND($C784=12,$D784=Input!$C$6)),0,IF($E785="","",W785+(X785+AA786*$R785)/(1+$L785)))</f>
        <v>89442.925138866238</v>
      </c>
      <c r="AB785" s="160">
        <f t="shared" si="255"/>
        <v>0.825720328500681</v>
      </c>
      <c r="AC785" s="164">
        <f t="shared" si="256"/>
        <v>82572.032850068106</v>
      </c>
      <c r="AD785" s="164">
        <f>IF(AND($C784=12,$D784=Input!$C$6),0,IF($E785="","",$AC785+AD786/(1+$L785)*$R785))</f>
        <v>124504.51359163188</v>
      </c>
      <c r="AE785" s="152"/>
      <c r="AF785" s="164">
        <f>IF(AND($C784=12,$D784=Input!$C$6),0,IF($E785="","",IF($B785&gt;Input!$C$9,$AC785,0)+AF786/(1+$L785)*$R785))</f>
        <v>124504.51359163188</v>
      </c>
      <c r="AG785" s="164">
        <f>IF(AND($C784=12,$D784=Input!$C$6),0,IF($E785="","",(IF($B785&gt;Input!$C$9,$X785,0)+AG786)/(1+$L785)*$R785))</f>
        <v>82277.187160910849</v>
      </c>
      <c r="AH785" s="160">
        <f t="shared" si="257"/>
        <v>2.0950137211446997</v>
      </c>
      <c r="AI785" s="160">
        <f>IF($E785="","",MIN(Input!$C$61/AH785,1))</f>
        <v>0.64438718771845094</v>
      </c>
      <c r="AJ785" s="152"/>
      <c r="AK785" s="164">
        <f>IF(AND($C784=12,$D784=Input!$C$6),0,IF($E785="","",IF($B785&gt;Input!$C$9,$AC785*AI785,0)+AK786/(1+$L785)*$R785))</f>
        <v>80229.113371565327</v>
      </c>
      <c r="AL785" s="164">
        <f>IF(AND($C784=12,$D784=Input!$C$6),0,IF($E785="","",IF($B785&gt;Input!$C$9,0,$AC785)+AL786/(1+$L785)*$R785))</f>
        <v>0</v>
      </c>
      <c r="AM785" s="160">
        <f t="shared" si="258"/>
        <v>1.1382936520186004</v>
      </c>
      <c r="AN785" s="164">
        <f>IF($E785="","",IF($B785&gt;Input!$C$9,$AI785*$AC785,$AM785*$AC785))</f>
        <v>53208.360032450932</v>
      </c>
      <c r="AO785" s="164">
        <f>IF(AND($C784=12,$D784=Input!$C$6),0,IF($E785="","",$AN785+AO786/(1+$L785)*$R785))</f>
        <v>80229.113371565327</v>
      </c>
      <c r="AP785" s="152"/>
      <c r="AQ785" s="164">
        <f t="shared" si="259"/>
        <v>9213.811767300911</v>
      </c>
      <c r="AR785" s="164">
        <f t="shared" si="268"/>
        <v>42764.155195584106</v>
      </c>
      <c r="AS785" s="164">
        <f t="shared" si="269"/>
        <v>28216.267942583734</v>
      </c>
      <c r="AT785" s="164">
        <f t="shared" si="260"/>
        <v>42764.155195584106</v>
      </c>
      <c r="AU785" s="152"/>
      <c r="AV785" s="147">
        <f>'Deterministic Reserve'!BC785</f>
        <v>2.9828460590295935E-14</v>
      </c>
      <c r="AW785" s="164">
        <f t="shared" si="261"/>
        <v>42764.155195584106</v>
      </c>
      <c r="AX785" s="164">
        <f t="shared" si="262"/>
        <v>1.2755889179287797E-9</v>
      </c>
      <c r="AY785" s="152"/>
    </row>
    <row r="786" spans="1:51" s="150" customFormat="1" x14ac:dyDescent="0.25">
      <c r="A786" s="150">
        <f t="shared" si="270"/>
        <v>782</v>
      </c>
      <c r="B786" s="150">
        <f t="shared" si="271"/>
        <v>66</v>
      </c>
      <c r="C786" s="150">
        <f t="shared" si="272"/>
        <v>2</v>
      </c>
      <c r="D786" s="150">
        <f>IF(E786="","",Input!$C$4+B786-1)</f>
        <v>110</v>
      </c>
      <c r="E786" s="150">
        <f>IF(OR(AND(C785=12,D785=Input!$C$6),E785=""),"",1)</f>
        <v>1</v>
      </c>
      <c r="F786" s="150">
        <f>IF(E786="","",Input!$C$8+B786-1)</f>
        <v>2083</v>
      </c>
      <c r="G786" s="151">
        <f>IF(E786="","",MAX(0,Input!$C$9-B786))</f>
        <v>0</v>
      </c>
      <c r="H786" s="152">
        <f>IF(E786="","",Input!$C$3)</f>
        <v>100000</v>
      </c>
      <c r="I786" s="153">
        <f>IF(E786="","",HLOOKUP($B786,Input!$C$13:$BT$14,2))</f>
        <v>1000</v>
      </c>
      <c r="J786" s="154"/>
      <c r="K786" s="155">
        <f>IF($E786="","",Input!$C$57)</f>
        <v>4.4999999999999998E-2</v>
      </c>
      <c r="L786" s="155">
        <f t="shared" si="263"/>
        <v>3.6748094004368514E-3</v>
      </c>
      <c r="M786" s="147">
        <f>IF($E786="","",VLOOKUP(IF($B786&lt;=Input!$C$7,$B786,26),'Mortality Tables'!$A$72:$CA$97,IF($B786&lt;=Input!$C$7+1,Input!$C$4-16,$D786-Input!$C$7-16),0)/1000)</f>
        <v>0.58972000000000002</v>
      </c>
      <c r="N786" s="147">
        <f t="shared" si="252"/>
        <v>7.1553901517934948E-2</v>
      </c>
      <c r="O786" s="157">
        <f>IF($E786="","",IF($C786=12,IF($B786&lt;Input!$C$9,Input!$C$54,IF($B786=Input!$C$9,Input!$C$55,Input!$C$56)),0%))</f>
        <v>0</v>
      </c>
      <c r="P786" s="167">
        <f>IF($E786="","",IF($B786=1,Input!$C$59,IF($B786&lt;6,Input!$C$60,0%)))</f>
        <v>0</v>
      </c>
      <c r="Q786" s="162">
        <f>IF($E786="","",Input!$C$58)</f>
        <v>2.5</v>
      </c>
      <c r="R786" s="156">
        <f t="shared" si="264"/>
        <v>0.92844609848206505</v>
      </c>
      <c r="S786" s="154">
        <f t="shared" si="253"/>
        <v>1.8376841049265486E-8</v>
      </c>
      <c r="T786" s="152"/>
      <c r="U786" s="150">
        <f t="shared" si="265"/>
        <v>0</v>
      </c>
      <c r="V786" s="150">
        <f t="shared" si="266"/>
        <v>0</v>
      </c>
      <c r="W786" s="168">
        <f t="shared" si="267"/>
        <v>0</v>
      </c>
      <c r="X786" s="163">
        <f t="shared" si="254"/>
        <v>7155.3901517934946</v>
      </c>
      <c r="Y786" s="152"/>
      <c r="Z786" s="164">
        <f>IF(AND($C785=12,$D785=Input!$C$6),0,IF($E786="","",V786+Z787/(1+L786)*R786))</f>
        <v>54897.669481692348</v>
      </c>
      <c r="AA786" s="164">
        <f>IF(OR($M786=1,AND($C785=12,$D785=Input!$C$6)),0,IF($E786="","",W786+(X786+AA787*$R786)/(1+$L786)))</f>
        <v>88983.324744696001</v>
      </c>
      <c r="AB786" s="160">
        <f t="shared" si="255"/>
        <v>0.825720328500681</v>
      </c>
      <c r="AC786" s="164">
        <f t="shared" si="256"/>
        <v>0</v>
      </c>
      <c r="AD786" s="164">
        <f>IF(AND($C785=12,$D785=Input!$C$6),0,IF($E786="","",$AC786+AD787/(1+$L786)*$R786))</f>
        <v>45330.121678344804</v>
      </c>
      <c r="AE786" s="152"/>
      <c r="AF786" s="164">
        <f>IF(AND($C785=12,$D785=Input!$C$6),0,IF($E786="","",IF($B786&gt;Input!$C$9,$AC786,0)+AF787/(1+$L786)*$R786))</f>
        <v>45330.121678344804</v>
      </c>
      <c r="AG786" s="164">
        <f>IF(AND($C785=12,$D785=Input!$C$6),0,IF($E786="","",(IF($B786&gt;Input!$C$9,$X786,0)+AG787)/(1+$L786)*$R786))</f>
        <v>81788.42713252941</v>
      </c>
      <c r="AH786" s="160">
        <f t="shared" si="257"/>
        <v>2.0950137211446997</v>
      </c>
      <c r="AI786" s="160">
        <f>IF($E786="","",MIN(Input!$C$61/AH786,1))</f>
        <v>0.64438718771845094</v>
      </c>
      <c r="AJ786" s="152"/>
      <c r="AK786" s="164">
        <f>IF(AND($C785=12,$D785=Input!$C$6),0,IF($E786="","",IF($B786&gt;Input!$C$9,$AC786*AI786,0)+AK787/(1+$L786)*$R786))</f>
        <v>29210.149627243802</v>
      </c>
      <c r="AL786" s="164">
        <f>IF(AND($C785=12,$D785=Input!$C$6),0,IF($E786="","",IF($B786&gt;Input!$C$9,0,$AC786)+AL787/(1+$L786)*$R786))</f>
        <v>0</v>
      </c>
      <c r="AM786" s="160">
        <f t="shared" si="258"/>
        <v>1.1382936520186004</v>
      </c>
      <c r="AN786" s="164">
        <f>IF($E786="","",IF($B786&gt;Input!$C$9,$AI786*$AC786,$AM786*$AC786))</f>
        <v>0</v>
      </c>
      <c r="AO786" s="164">
        <f>IF(AND($C785=12,$D785=Input!$C$6),0,IF($E786="","",$AN786+AO787/(1+$L786)*$R786))</f>
        <v>29210.149627243802</v>
      </c>
      <c r="AP786" s="152"/>
      <c r="AQ786" s="164">
        <f t="shared" si="259"/>
        <v>59773.1751174522</v>
      </c>
      <c r="AR786" s="164">
        <f t="shared" si="268"/>
        <v>42764.155195584106</v>
      </c>
      <c r="AS786" s="164">
        <f t="shared" si="269"/>
        <v>28216.267942583734</v>
      </c>
      <c r="AT786" s="164">
        <f t="shared" si="260"/>
        <v>42764.155195584106</v>
      </c>
      <c r="AU786" s="152"/>
      <c r="AV786" s="147">
        <f>'Deterministic Reserve'!BC786</f>
        <v>2.6810766835703282E-14</v>
      </c>
      <c r="AW786" s="164">
        <f t="shared" si="261"/>
        <v>42764.155195584106</v>
      </c>
      <c r="AX786" s="164">
        <f t="shared" si="262"/>
        <v>1.1465397938746345E-9</v>
      </c>
      <c r="AY786" s="152"/>
    </row>
    <row r="787" spans="1:51" s="150" customFormat="1" x14ac:dyDescent="0.25">
      <c r="A787" s="150">
        <f t="shared" si="270"/>
        <v>783</v>
      </c>
      <c r="B787" s="150">
        <f t="shared" si="271"/>
        <v>66</v>
      </c>
      <c r="C787" s="150">
        <f t="shared" si="272"/>
        <v>3</v>
      </c>
      <c r="D787" s="150">
        <f>IF(E787="","",Input!$C$4+B787-1)</f>
        <v>110</v>
      </c>
      <c r="E787" s="150">
        <f>IF(OR(AND(C786=12,D786=Input!$C$6),E786=""),"",1)</f>
        <v>1</v>
      </c>
      <c r="F787" s="150">
        <f>IF(E787="","",Input!$C$8+B787-1)</f>
        <v>2083</v>
      </c>
      <c r="G787" s="151">
        <f>IF(E787="","",MAX(0,Input!$C$9-B787))</f>
        <v>0</v>
      </c>
      <c r="H787" s="152">
        <f>IF(E787="","",Input!$C$3)</f>
        <v>100000</v>
      </c>
      <c r="I787" s="153">
        <f>IF(E787="","",HLOOKUP($B787,Input!$C$13:$BT$14,2))</f>
        <v>1000</v>
      </c>
      <c r="J787" s="154"/>
      <c r="K787" s="155">
        <f>IF($E787="","",Input!$C$57)</f>
        <v>4.4999999999999998E-2</v>
      </c>
      <c r="L787" s="155">
        <f t="shared" si="263"/>
        <v>3.6748094004368514E-3</v>
      </c>
      <c r="M787" s="147">
        <f>IF($E787="","",VLOOKUP(IF($B787&lt;=Input!$C$7,$B787,26),'Mortality Tables'!$A$72:$CA$97,IF($B787&lt;=Input!$C$7+1,Input!$C$4-16,$D787-Input!$C$7-16),0)/1000)</f>
        <v>0.58972000000000002</v>
      </c>
      <c r="N787" s="147">
        <f t="shared" si="252"/>
        <v>7.1553901517934948E-2</v>
      </c>
      <c r="O787" s="157">
        <f>IF($E787="","",IF($C787=12,IF($B787&lt;Input!$C$9,Input!$C$54,IF($B787=Input!$C$9,Input!$C$55,Input!$C$56)),0%))</f>
        <v>0</v>
      </c>
      <c r="P787" s="167">
        <f>IF($E787="","",IF($B787=1,Input!$C$59,IF($B787&lt;6,Input!$C$60,0%)))</f>
        <v>0</v>
      </c>
      <c r="Q787" s="162">
        <f>IF($E787="","",Input!$C$58)</f>
        <v>2.5</v>
      </c>
      <c r="R787" s="156">
        <f t="shared" si="264"/>
        <v>0.92844609848206505</v>
      </c>
      <c r="S787" s="154">
        <f t="shared" si="253"/>
        <v>1.7061906374615598E-8</v>
      </c>
      <c r="T787" s="152"/>
      <c r="U787" s="150">
        <f t="shared" si="265"/>
        <v>0</v>
      </c>
      <c r="V787" s="150">
        <f t="shared" si="266"/>
        <v>0</v>
      </c>
      <c r="W787" s="168">
        <f t="shared" si="267"/>
        <v>0</v>
      </c>
      <c r="X787" s="163">
        <f t="shared" si="254"/>
        <v>7155.3901517934946</v>
      </c>
      <c r="Y787" s="152"/>
      <c r="Z787" s="164">
        <f>IF(AND($C786=12,$D786=Input!$C$6),0,IF($E787="","",V787+Z788/(1+L787)*R787))</f>
        <v>59345.833908558459</v>
      </c>
      <c r="AA787" s="164">
        <f>IF(OR($M787=1,AND($C786=12,$D786=Input!$C$6)),0,IF($E787="","",W787+(X787+AA788*$R787)/(1+$L787)))</f>
        <v>88486.484552493857</v>
      </c>
      <c r="AB787" s="160">
        <f t="shared" si="255"/>
        <v>0.825720328500681</v>
      </c>
      <c r="AC787" s="164">
        <f t="shared" si="256"/>
        <v>0</v>
      </c>
      <c r="AD787" s="164">
        <f>IF(AND($C786=12,$D786=Input!$C$6),0,IF($E787="","",$AC787+AD788/(1+$L787)*$R787))</f>
        <v>49003.061470121735</v>
      </c>
      <c r="AE787" s="152"/>
      <c r="AF787" s="164">
        <f>IF(AND($C786=12,$D786=Input!$C$6),0,IF($E787="","",IF($B787&gt;Input!$C$9,$AC787,0)+AF788/(1+$L787)*$R787))</f>
        <v>49003.061470121735</v>
      </c>
      <c r="AG787" s="164">
        <f>IF(AND($C786=12,$D786=Input!$C$6),0,IF($E787="","",(IF($B787&gt;Input!$C$9,$X787,0)+AG788)/(1+$L787)*$R787))</f>
        <v>81260.06460385886</v>
      </c>
      <c r="AH787" s="160">
        <f t="shared" si="257"/>
        <v>2.0950137211446997</v>
      </c>
      <c r="AI787" s="160">
        <f>IF($E787="","",MIN(Input!$C$61/AH787,1))</f>
        <v>0.64438718771845094</v>
      </c>
      <c r="AJ787" s="152"/>
      <c r="AK787" s="164">
        <f>IF(AND($C786=12,$D786=Input!$C$6),0,IF($E787="","",IF($B787&gt;Input!$C$9,$AC787*AI787,0)+AK788/(1+$L787)*$R787))</f>
        <v>31576.944970326131</v>
      </c>
      <c r="AL787" s="164">
        <f>IF(AND($C786=12,$D786=Input!$C$6),0,IF($E787="","",IF($B787&gt;Input!$C$9,0,$AC787)+AL788/(1+$L787)*$R787))</f>
        <v>0</v>
      </c>
      <c r="AM787" s="160">
        <f t="shared" si="258"/>
        <v>1.1382936520186004</v>
      </c>
      <c r="AN787" s="164">
        <f>IF($E787="","",IF($B787&gt;Input!$C$9,$AI787*$AC787,$AM787*$AC787))</f>
        <v>0</v>
      </c>
      <c r="AO787" s="164">
        <f>IF(AND($C786=12,$D786=Input!$C$6),0,IF($E787="","",$AN787+AO788/(1+$L787)*$R787))</f>
        <v>31576.944970326131</v>
      </c>
      <c r="AP787" s="152"/>
      <c r="AQ787" s="164">
        <f t="shared" si="259"/>
        <v>56909.539582167723</v>
      </c>
      <c r="AR787" s="164">
        <f t="shared" si="268"/>
        <v>42764.155195584106</v>
      </c>
      <c r="AS787" s="164">
        <f t="shared" si="269"/>
        <v>28216.267942583734</v>
      </c>
      <c r="AT787" s="164">
        <f t="shared" si="260"/>
        <v>42764.155195584106</v>
      </c>
      <c r="AU787" s="152"/>
      <c r="AV787" s="147">
        <f>'Deterministic Reserve'!BC787</f>
        <v>2.4098367937643392E-14</v>
      </c>
      <c r="AW787" s="164">
        <f t="shared" si="261"/>
        <v>42764.155195584106</v>
      </c>
      <c r="AX787" s="164">
        <f t="shared" si="262"/>
        <v>1.03054634644567E-9</v>
      </c>
      <c r="AY787" s="152"/>
    </row>
    <row r="788" spans="1:51" s="150" customFormat="1" x14ac:dyDescent="0.25">
      <c r="A788" s="150">
        <f t="shared" si="270"/>
        <v>784</v>
      </c>
      <c r="B788" s="150">
        <f t="shared" si="271"/>
        <v>66</v>
      </c>
      <c r="C788" s="150">
        <f t="shared" si="272"/>
        <v>4</v>
      </c>
      <c r="D788" s="150">
        <f>IF(E788="","",Input!$C$4+B788-1)</f>
        <v>110</v>
      </c>
      <c r="E788" s="150">
        <f>IF(OR(AND(C787=12,D787=Input!$C$6),E787=""),"",1)</f>
        <v>1</v>
      </c>
      <c r="F788" s="150">
        <f>IF(E788="","",Input!$C$8+B788-1)</f>
        <v>2083</v>
      </c>
      <c r="G788" s="151">
        <f>IF(E788="","",MAX(0,Input!$C$9-B788))</f>
        <v>0</v>
      </c>
      <c r="H788" s="152">
        <f>IF(E788="","",Input!$C$3)</f>
        <v>100000</v>
      </c>
      <c r="I788" s="153">
        <f>IF(E788="","",HLOOKUP($B788,Input!$C$13:$BT$14,2))</f>
        <v>1000</v>
      </c>
      <c r="J788" s="154"/>
      <c r="K788" s="155">
        <f>IF($E788="","",Input!$C$57)</f>
        <v>4.4999999999999998E-2</v>
      </c>
      <c r="L788" s="155">
        <f t="shared" si="263"/>
        <v>3.6748094004368514E-3</v>
      </c>
      <c r="M788" s="147">
        <f>IF($E788="","",VLOOKUP(IF($B788&lt;=Input!$C$7,$B788,26),'Mortality Tables'!$A$72:$CA$97,IF($B788&lt;=Input!$C$7+1,Input!$C$4-16,$D788-Input!$C$7-16),0)/1000)</f>
        <v>0.58972000000000002</v>
      </c>
      <c r="N788" s="147">
        <f t="shared" si="252"/>
        <v>7.1553901517934948E-2</v>
      </c>
      <c r="O788" s="157">
        <f>IF($E788="","",IF($C788=12,IF($B788&lt;Input!$C$9,Input!$C$54,IF($B788=Input!$C$9,Input!$C$55,Input!$C$56)),0%))</f>
        <v>0</v>
      </c>
      <c r="P788" s="167">
        <f>IF($E788="","",IF($B788=1,Input!$C$59,IF($B788&lt;6,Input!$C$60,0%)))</f>
        <v>0</v>
      </c>
      <c r="Q788" s="162">
        <f>IF($E788="","",Input!$C$58)</f>
        <v>2.5</v>
      </c>
      <c r="R788" s="156">
        <f t="shared" si="264"/>
        <v>0.92844609848206505</v>
      </c>
      <c r="S788" s="154">
        <f t="shared" si="253"/>
        <v>1.5841060406178128E-8</v>
      </c>
      <c r="T788" s="152"/>
      <c r="U788" s="150">
        <f t="shared" si="265"/>
        <v>0</v>
      </c>
      <c r="V788" s="150">
        <f t="shared" si="266"/>
        <v>0</v>
      </c>
      <c r="W788" s="168">
        <f t="shared" si="267"/>
        <v>0</v>
      </c>
      <c r="X788" s="163">
        <f t="shared" si="254"/>
        <v>7155.3901517934946</v>
      </c>
      <c r="Y788" s="152"/>
      <c r="Z788" s="164">
        <f>IF(AND($C787=12,$D787=Input!$C$6),0,IF($E788="","",V788+Z789/(1+L788)*R788))</f>
        <v>64154.417401575192</v>
      </c>
      <c r="AA788" s="164">
        <f>IF(OR($M788=1,AND($C787=12,$D787=Input!$C$6)),0,IF($E788="","",W788+(X788+AA789*$R788)/(1+$L788)))</f>
        <v>87949.387152842712</v>
      </c>
      <c r="AB788" s="160">
        <f t="shared" si="255"/>
        <v>0.825720328500681</v>
      </c>
      <c r="AC788" s="164">
        <f t="shared" si="256"/>
        <v>0</v>
      </c>
      <c r="AD788" s="164">
        <f>IF(AND($C787=12,$D787=Input!$C$6),0,IF($E788="","",$AC788+AD789/(1+$L788)*$R788))</f>
        <v>52973.606611598472</v>
      </c>
      <c r="AE788" s="152"/>
      <c r="AF788" s="164">
        <f>IF(AND($C787=12,$D787=Input!$C$6),0,IF($E788="","",IF($B788&gt;Input!$C$9,$AC788,0)+AF789/(1+$L788)*$R788))</f>
        <v>52973.606611598472</v>
      </c>
      <c r="AG788" s="164">
        <f>IF(AND($C787=12,$D787=Input!$C$6),0,IF($E788="","",(IF($B788&gt;Input!$C$9,$X788,0)+AG789)/(1+$L788)*$R788))</f>
        <v>80688.890724056095</v>
      </c>
      <c r="AH788" s="160">
        <f t="shared" si="257"/>
        <v>2.0950137211446997</v>
      </c>
      <c r="AI788" s="160">
        <f>IF($E788="","",MIN(Input!$C$61/AH788,1))</f>
        <v>0.64438718771845094</v>
      </c>
      <c r="AJ788" s="152"/>
      <c r="AK788" s="164">
        <f>IF(AND($C787=12,$D787=Input!$C$6),0,IF($E788="","",IF($B788&gt;Input!$C$9,$AC788*AI788,0)+AK789/(1+$L788)*$R788))</f>
        <v>34135.513387751482</v>
      </c>
      <c r="AL788" s="164">
        <f>IF(AND($C787=12,$D787=Input!$C$6),0,IF($E788="","",IF($B788&gt;Input!$C$9,0,$AC788)+AL789/(1+$L788)*$R788))</f>
        <v>0</v>
      </c>
      <c r="AM788" s="160">
        <f t="shared" si="258"/>
        <v>1.1382936520186004</v>
      </c>
      <c r="AN788" s="164">
        <f>IF($E788="","",IF($B788&gt;Input!$C$9,$AI788*$AC788,$AM788*$AC788))</f>
        <v>0</v>
      </c>
      <c r="AO788" s="164">
        <f>IF(AND($C787=12,$D787=Input!$C$6),0,IF($E788="","",$AN788+AO789/(1+$L788)*$R788))</f>
        <v>34135.513387751482</v>
      </c>
      <c r="AP788" s="152"/>
      <c r="AQ788" s="164">
        <f t="shared" si="259"/>
        <v>53813.87376509123</v>
      </c>
      <c r="AR788" s="164">
        <f t="shared" si="268"/>
        <v>42764.155195584106</v>
      </c>
      <c r="AS788" s="164">
        <f t="shared" si="269"/>
        <v>28216.267942583734</v>
      </c>
      <c r="AT788" s="164">
        <f t="shared" si="260"/>
        <v>42764.155195584106</v>
      </c>
      <c r="AU788" s="152"/>
      <c r="AV788" s="147">
        <f>'Deterministic Reserve'!BC788</f>
        <v>2.1660377743641872E-14</v>
      </c>
      <c r="AW788" s="164">
        <f t="shared" si="261"/>
        <v>42764.155195584106</v>
      </c>
      <c r="AX788" s="164">
        <f t="shared" si="262"/>
        <v>9.2628775542407693E-10</v>
      </c>
      <c r="AY788" s="152"/>
    </row>
    <row r="789" spans="1:51" s="150" customFormat="1" x14ac:dyDescent="0.25">
      <c r="A789" s="150">
        <f t="shared" si="270"/>
        <v>785</v>
      </c>
      <c r="B789" s="150">
        <f t="shared" si="271"/>
        <v>66</v>
      </c>
      <c r="C789" s="150">
        <f t="shared" si="272"/>
        <v>5</v>
      </c>
      <c r="D789" s="150">
        <f>IF(E789="","",Input!$C$4+B789-1)</f>
        <v>110</v>
      </c>
      <c r="E789" s="150">
        <f>IF(OR(AND(C788=12,D788=Input!$C$6),E788=""),"",1)</f>
        <v>1</v>
      </c>
      <c r="F789" s="150">
        <f>IF(E789="","",Input!$C$8+B789-1)</f>
        <v>2083</v>
      </c>
      <c r="G789" s="151">
        <f>IF(E789="","",MAX(0,Input!$C$9-B789))</f>
        <v>0</v>
      </c>
      <c r="H789" s="152">
        <f>IF(E789="","",Input!$C$3)</f>
        <v>100000</v>
      </c>
      <c r="I789" s="153">
        <f>IF(E789="","",HLOOKUP($B789,Input!$C$13:$BT$14,2))</f>
        <v>1000</v>
      </c>
      <c r="J789" s="154"/>
      <c r="K789" s="155">
        <f>IF($E789="","",Input!$C$57)</f>
        <v>4.4999999999999998E-2</v>
      </c>
      <c r="L789" s="155">
        <f t="shared" si="263"/>
        <v>3.6748094004368514E-3</v>
      </c>
      <c r="M789" s="147">
        <f>IF($E789="","",VLOOKUP(IF($B789&lt;=Input!$C$7,$B789,26),'Mortality Tables'!$A$72:$CA$97,IF($B789&lt;=Input!$C$7+1,Input!$C$4-16,$D789-Input!$C$7-16),0)/1000)</f>
        <v>0.58972000000000002</v>
      </c>
      <c r="N789" s="147">
        <f t="shared" si="252"/>
        <v>7.1553901517934948E-2</v>
      </c>
      <c r="O789" s="157">
        <f>IF($E789="","",IF($C789=12,IF($B789&lt;Input!$C$9,Input!$C$54,IF($B789=Input!$C$9,Input!$C$55,Input!$C$56)),0%))</f>
        <v>0</v>
      </c>
      <c r="P789" s="167">
        <f>IF($E789="","",IF($B789=1,Input!$C$59,IF($B789&lt;6,Input!$C$60,0%)))</f>
        <v>0</v>
      </c>
      <c r="Q789" s="162">
        <f>IF($E789="","",Input!$C$58)</f>
        <v>2.5</v>
      </c>
      <c r="R789" s="156">
        <f t="shared" si="264"/>
        <v>0.92844609848206505</v>
      </c>
      <c r="S789" s="154">
        <f t="shared" si="253"/>
        <v>1.47075707299348E-8</v>
      </c>
      <c r="T789" s="152"/>
      <c r="U789" s="150">
        <f t="shared" si="265"/>
        <v>0</v>
      </c>
      <c r="V789" s="150">
        <f t="shared" si="266"/>
        <v>0</v>
      </c>
      <c r="W789" s="168">
        <f t="shared" si="267"/>
        <v>0</v>
      </c>
      <c r="X789" s="163">
        <f t="shared" si="254"/>
        <v>7155.3901517934946</v>
      </c>
      <c r="Y789" s="152"/>
      <c r="Z789" s="164">
        <f>IF(AND($C788=12,$D788=Input!$C$6),0,IF($E789="","",V789+Z790/(1+L789)*R789))</f>
        <v>69352.623445771183</v>
      </c>
      <c r="AA789" s="164">
        <f>IF(OR($M789=1,AND($C788=12,$D788=Input!$C$6)),0,IF($E789="","",W789+(X789+AA790*$R789)/(1+$L789)))</f>
        <v>87368.770646288729</v>
      </c>
      <c r="AB789" s="160">
        <f t="shared" si="255"/>
        <v>0.825720328500681</v>
      </c>
      <c r="AC789" s="164">
        <f t="shared" si="256"/>
        <v>0</v>
      </c>
      <c r="AD789" s="164">
        <f>IF(AND($C788=12,$D788=Input!$C$6),0,IF($E789="","",$AC789+AD790/(1+$L789)*$R789))</f>
        <v>57265.871014026219</v>
      </c>
      <c r="AE789" s="152"/>
      <c r="AF789" s="164">
        <f>IF(AND($C788=12,$D788=Input!$C$6),0,IF($E789="","",IF($B789&gt;Input!$C$9,$AC789,0)+AF790/(1+$L789)*$R789))</f>
        <v>57265.871014026219</v>
      </c>
      <c r="AG789" s="164">
        <f>IF(AND($C788=12,$D788=Input!$C$6),0,IF($E789="","",(IF($B789&gt;Input!$C$9,$X789,0)+AG790)/(1+$L789)*$R789))</f>
        <v>80071.436640418047</v>
      </c>
      <c r="AH789" s="160">
        <f t="shared" si="257"/>
        <v>2.0950137211446997</v>
      </c>
      <c r="AI789" s="160">
        <f>IF($E789="","",MIN(Input!$C$61/AH789,1))</f>
        <v>0.64438718771845094</v>
      </c>
      <c r="AJ789" s="152"/>
      <c r="AK789" s="164">
        <f>IF(AND($C788=12,$D788=Input!$C$6),0,IF($E789="","",IF($B789&gt;Input!$C$9,$AC789*AI789,0)+AK790/(1+$L789)*$R789))</f>
        <v>36901.393574975911</v>
      </c>
      <c r="AL789" s="164">
        <f>IF(AND($C788=12,$D788=Input!$C$6),0,IF($E789="","",IF($B789&gt;Input!$C$9,0,$AC789)+AL790/(1+$L789)*$R789))</f>
        <v>0</v>
      </c>
      <c r="AM789" s="160">
        <f t="shared" si="258"/>
        <v>1.1382936520186004</v>
      </c>
      <c r="AN789" s="164">
        <f>IF($E789="","",IF($B789&gt;Input!$C$9,$AI789*$AC789,$AM789*$AC789))</f>
        <v>0</v>
      </c>
      <c r="AO789" s="164">
        <f>IF(AND($C788=12,$D788=Input!$C$6),0,IF($E789="","",$AN789+AO790/(1+$L789)*$R789))</f>
        <v>36901.393574975911</v>
      </c>
      <c r="AP789" s="152"/>
      <c r="AQ789" s="164">
        <f t="shared" si="259"/>
        <v>50467.377071312818</v>
      </c>
      <c r="AR789" s="164">
        <f t="shared" si="268"/>
        <v>42764.155195584106</v>
      </c>
      <c r="AS789" s="164">
        <f t="shared" si="269"/>
        <v>28216.267942583734</v>
      </c>
      <c r="AT789" s="164">
        <f t="shared" si="260"/>
        <v>42764.155195584106</v>
      </c>
      <c r="AU789" s="152"/>
      <c r="AV789" s="147">
        <f>'Deterministic Reserve'!BC789</f>
        <v>1.9469034799837032E-14</v>
      </c>
      <c r="AW789" s="164">
        <f t="shared" si="261"/>
        <v>42764.155195584106</v>
      </c>
      <c r="AX789" s="164">
        <f t="shared" si="262"/>
        <v>8.3257682568845855E-10</v>
      </c>
      <c r="AY789" s="152"/>
    </row>
    <row r="790" spans="1:51" s="150" customFormat="1" x14ac:dyDescent="0.25">
      <c r="A790" s="150">
        <f t="shared" si="270"/>
        <v>786</v>
      </c>
      <c r="B790" s="150">
        <f t="shared" si="271"/>
        <v>66</v>
      </c>
      <c r="C790" s="150">
        <f t="shared" si="272"/>
        <v>6</v>
      </c>
      <c r="D790" s="150">
        <f>IF(E790="","",Input!$C$4+B790-1)</f>
        <v>110</v>
      </c>
      <c r="E790" s="150">
        <f>IF(OR(AND(C789=12,D789=Input!$C$6),E789=""),"",1)</f>
        <v>1</v>
      </c>
      <c r="F790" s="150">
        <f>IF(E790="","",Input!$C$8+B790-1)</f>
        <v>2083</v>
      </c>
      <c r="G790" s="151">
        <f>IF(E790="","",MAX(0,Input!$C$9-B790))</f>
        <v>0</v>
      </c>
      <c r="H790" s="152">
        <f>IF(E790="","",Input!$C$3)</f>
        <v>100000</v>
      </c>
      <c r="I790" s="153">
        <f>IF(E790="","",HLOOKUP($B790,Input!$C$13:$BT$14,2))</f>
        <v>1000</v>
      </c>
      <c r="J790" s="154"/>
      <c r="K790" s="155">
        <f>IF($E790="","",Input!$C$57)</f>
        <v>4.4999999999999998E-2</v>
      </c>
      <c r="L790" s="155">
        <f t="shared" si="263"/>
        <v>3.6748094004368514E-3</v>
      </c>
      <c r="M790" s="147">
        <f>IF($E790="","",VLOOKUP(IF($B790&lt;=Input!$C$7,$B790,26),'Mortality Tables'!$A$72:$CA$97,IF($B790&lt;=Input!$C$7+1,Input!$C$4-16,$D790-Input!$C$7-16),0)/1000)</f>
        <v>0.58972000000000002</v>
      </c>
      <c r="N790" s="147">
        <f t="shared" si="252"/>
        <v>7.1553901517934948E-2</v>
      </c>
      <c r="O790" s="157">
        <f>IF($E790="","",IF($C790=12,IF($B790&lt;Input!$C$9,Input!$C$54,IF($B790=Input!$C$9,Input!$C$55,Input!$C$56)),0%))</f>
        <v>0</v>
      </c>
      <c r="P790" s="167">
        <f>IF($E790="","",IF($B790=1,Input!$C$59,IF($B790&lt;6,Input!$C$60,0%)))</f>
        <v>0</v>
      </c>
      <c r="Q790" s="162">
        <f>IF($E790="","",Input!$C$58)</f>
        <v>2.5</v>
      </c>
      <c r="R790" s="156">
        <f t="shared" si="264"/>
        <v>0.92844609848206505</v>
      </c>
      <c r="S790" s="154">
        <f t="shared" si="253"/>
        <v>1.3655186662356983E-8</v>
      </c>
      <c r="T790" s="152"/>
      <c r="U790" s="150">
        <f t="shared" si="265"/>
        <v>0</v>
      </c>
      <c r="V790" s="150">
        <f t="shared" si="266"/>
        <v>0</v>
      </c>
      <c r="W790" s="168">
        <f t="shared" si="267"/>
        <v>0</v>
      </c>
      <c r="X790" s="163">
        <f t="shared" si="254"/>
        <v>7155.3901517934946</v>
      </c>
      <c r="Y790" s="152"/>
      <c r="Z790" s="164">
        <f>IF(AND($C789=12,$D789=Input!$C$6),0,IF($E790="","",V790+Z791/(1+L790)*R790))</f>
        <v>74972.021781509247</v>
      </c>
      <c r="AA790" s="164">
        <f>IF(OR($M790=1,AND($C789=12,$D789=Input!$C$6)),0,IF($E790="","",W790+(X790+AA791*$R790)/(1+$L790)))</f>
        <v>86741.108833176404</v>
      </c>
      <c r="AB790" s="160">
        <f t="shared" si="255"/>
        <v>0.825720328500681</v>
      </c>
      <c r="AC790" s="164">
        <f t="shared" si="256"/>
        <v>0</v>
      </c>
      <c r="AD790" s="164">
        <f>IF(AND($C789=12,$D789=Input!$C$6),0,IF($E790="","",$AC790+AD791/(1+$L790)*$R790))</f>
        <v>61905.922453788029</v>
      </c>
      <c r="AE790" s="152"/>
      <c r="AF790" s="164">
        <f>IF(AND($C789=12,$D789=Input!$C$6),0,IF($E790="","",IF($B790&gt;Input!$C$9,$AC790,0)+AF791/(1+$L790)*$R790))</f>
        <v>61905.922453788029</v>
      </c>
      <c r="AG790" s="164">
        <f>IF(AND($C789=12,$D789=Input!$C$6),0,IF($E790="","",(IF($B790&gt;Input!$C$9,$X790,0)+AG791)/(1+$L790)*$R790))</f>
        <v>79403.952431348574</v>
      </c>
      <c r="AH790" s="160">
        <f t="shared" si="257"/>
        <v>2.0950137211446997</v>
      </c>
      <c r="AI790" s="160">
        <f>IF($E790="","",MIN(Input!$C$61/AH790,1))</f>
        <v>0.64438718771845094</v>
      </c>
      <c r="AJ790" s="152"/>
      <c r="AK790" s="164">
        <f>IF(AND($C789=12,$D789=Input!$C$6),0,IF($E790="","",IF($B790&gt;Input!$C$9,$AC790*AI790,0)+AK791/(1+$L790)*$R790))</f>
        <v>39891.383273112973</v>
      </c>
      <c r="AL790" s="164">
        <f>IF(AND($C789=12,$D789=Input!$C$6),0,IF($E790="","",IF($B790&gt;Input!$C$9,0,$AC790)+AL791/(1+$L790)*$R790))</f>
        <v>0</v>
      </c>
      <c r="AM790" s="160">
        <f t="shared" si="258"/>
        <v>1.1382936520186004</v>
      </c>
      <c r="AN790" s="164">
        <f>IF($E790="","",IF($B790&gt;Input!$C$9,$AI790*$AC790,$AM790*$AC790))</f>
        <v>0</v>
      </c>
      <c r="AO790" s="164">
        <f>IF(AND($C789=12,$D789=Input!$C$6),0,IF($E790="","",$AN790+AO791/(1+$L790)*$R790))</f>
        <v>39891.383273112973</v>
      </c>
      <c r="AP790" s="152"/>
      <c r="AQ790" s="164">
        <f t="shared" si="259"/>
        <v>46849.725560063431</v>
      </c>
      <c r="AR790" s="164">
        <f t="shared" si="268"/>
        <v>42764.155195584106</v>
      </c>
      <c r="AS790" s="164">
        <f t="shared" si="269"/>
        <v>28216.267942583734</v>
      </c>
      <c r="AT790" s="164">
        <f t="shared" si="260"/>
        <v>42764.155195584106</v>
      </c>
      <c r="AU790" s="152"/>
      <c r="AV790" s="147">
        <f>'Deterministic Reserve'!BC790</f>
        <v>1.7499386230626967E-14</v>
      </c>
      <c r="AW790" s="164">
        <f t="shared" si="261"/>
        <v>42764.155195584106</v>
      </c>
      <c r="AX790" s="164">
        <f t="shared" si="262"/>
        <v>7.4834646859399923E-10</v>
      </c>
      <c r="AY790" s="152"/>
    </row>
    <row r="791" spans="1:51" s="150" customFormat="1" x14ac:dyDescent="0.25">
      <c r="A791" s="150">
        <f t="shared" si="270"/>
        <v>787</v>
      </c>
      <c r="B791" s="150">
        <f t="shared" si="271"/>
        <v>66</v>
      </c>
      <c r="C791" s="150">
        <f t="shared" si="272"/>
        <v>7</v>
      </c>
      <c r="D791" s="150">
        <f>IF(E791="","",Input!$C$4+B791-1)</f>
        <v>110</v>
      </c>
      <c r="E791" s="150">
        <f>IF(OR(AND(C790=12,D790=Input!$C$6),E790=""),"",1)</f>
        <v>1</v>
      </c>
      <c r="F791" s="150">
        <f>IF(E791="","",Input!$C$8+B791-1)</f>
        <v>2083</v>
      </c>
      <c r="G791" s="151">
        <f>IF(E791="","",MAX(0,Input!$C$9-B791))</f>
        <v>0</v>
      </c>
      <c r="H791" s="152">
        <f>IF(E791="","",Input!$C$3)</f>
        <v>100000</v>
      </c>
      <c r="I791" s="153">
        <f>IF(E791="","",HLOOKUP($B791,Input!$C$13:$BT$14,2))</f>
        <v>1000</v>
      </c>
      <c r="J791" s="154"/>
      <c r="K791" s="155">
        <f>IF($E791="","",Input!$C$57)</f>
        <v>4.4999999999999998E-2</v>
      </c>
      <c r="L791" s="155">
        <f t="shared" si="263"/>
        <v>3.6748094004368514E-3</v>
      </c>
      <c r="M791" s="147">
        <f>IF($E791="","",VLOOKUP(IF($B791&lt;=Input!$C$7,$B791,26),'Mortality Tables'!$A$72:$CA$97,IF($B791&lt;=Input!$C$7+1,Input!$C$4-16,$D791-Input!$C$7-16),0)/1000)</f>
        <v>0.58972000000000002</v>
      </c>
      <c r="N791" s="147">
        <f t="shared" si="252"/>
        <v>7.1553901517934948E-2</v>
      </c>
      <c r="O791" s="157">
        <f>IF($E791="","",IF($C791=12,IF($B791&lt;Input!$C$9,Input!$C$54,IF($B791=Input!$C$9,Input!$C$55,Input!$C$56)),0%))</f>
        <v>0</v>
      </c>
      <c r="P791" s="167">
        <f>IF($E791="","",IF($B791=1,Input!$C$59,IF($B791&lt;6,Input!$C$60,0%)))</f>
        <v>0</v>
      </c>
      <c r="Q791" s="162">
        <f>IF($E791="","",Input!$C$58)</f>
        <v>2.5</v>
      </c>
      <c r="R791" s="156">
        <f t="shared" si="264"/>
        <v>0.92844609848206505</v>
      </c>
      <c r="S791" s="154">
        <f t="shared" si="253"/>
        <v>1.2678104780709673E-8</v>
      </c>
      <c r="T791" s="152"/>
      <c r="U791" s="150">
        <f t="shared" si="265"/>
        <v>0</v>
      </c>
      <c r="V791" s="150">
        <f t="shared" si="266"/>
        <v>0</v>
      </c>
      <c r="W791" s="168">
        <f t="shared" si="267"/>
        <v>0</v>
      </c>
      <c r="X791" s="163">
        <f t="shared" si="254"/>
        <v>7155.3901517934946</v>
      </c>
      <c r="Y791" s="152"/>
      <c r="Z791" s="164">
        <f>IF(AND($C790=12,$D790=Input!$C$6),0,IF($E791="","",V791+Z792/(1+L791)*R791))</f>
        <v>81046.740133805695</v>
      </c>
      <c r="AA791" s="164">
        <f>IF(OR($M791=1,AND($C790=12,$D790=Input!$C$6)),0,IF($E791="","",W791+(X791+AA792*$R791)/(1+$L791)))</f>
        <v>86062.589798335932</v>
      </c>
      <c r="AB791" s="160">
        <f t="shared" si="255"/>
        <v>0.825720328500681</v>
      </c>
      <c r="AC791" s="164">
        <f t="shared" si="256"/>
        <v>0</v>
      </c>
      <c r="AD791" s="164">
        <f>IF(AND($C790=12,$D790=Input!$C$6),0,IF($E791="","",$AC791+AD792/(1+$L791)*$R791))</f>
        <v>66921.940887195364</v>
      </c>
      <c r="AE791" s="152"/>
      <c r="AF791" s="164">
        <f>IF(AND($C790=12,$D790=Input!$C$6),0,IF($E791="","",IF($B791&gt;Input!$C$9,$AC791,0)+AF792/(1+$L791)*$R791))</f>
        <v>66921.940887195364</v>
      </c>
      <c r="AG791" s="164">
        <f>IF(AND($C790=12,$D790=Input!$C$6),0,IF($E791="","",(IF($B791&gt;Input!$C$9,$X791,0)+AG792)/(1+$L791)*$R791))</f>
        <v>78682.384332337882</v>
      </c>
      <c r="AH791" s="160">
        <f t="shared" si="257"/>
        <v>2.0950137211446997</v>
      </c>
      <c r="AI791" s="160">
        <f>IF($E791="","",MIN(Input!$C$61/AH791,1))</f>
        <v>0.64438718771845094</v>
      </c>
      <c r="AJ791" s="152"/>
      <c r="AK791" s="164">
        <f>IF(AND($C790=12,$D790=Input!$C$6),0,IF($E791="","",IF($B791&gt;Input!$C$9,$AC791*AI791,0)+AK792/(1+$L791)*$R791))</f>
        <v>43123.641284960242</v>
      </c>
      <c r="AL791" s="164">
        <f>IF(AND($C790=12,$D790=Input!$C$6),0,IF($E791="","",IF($B791&gt;Input!$C$9,0,$AC791)+AL792/(1+$L791)*$R791))</f>
        <v>0</v>
      </c>
      <c r="AM791" s="160">
        <f t="shared" si="258"/>
        <v>1.1382936520186004</v>
      </c>
      <c r="AN791" s="164">
        <f>IF($E791="","",IF($B791&gt;Input!$C$9,$AI791*$AC791,$AM791*$AC791))</f>
        <v>0</v>
      </c>
      <c r="AO791" s="164">
        <f>IF(AND($C790=12,$D790=Input!$C$6),0,IF($E791="","",$AN791+AO792/(1+$L791)*$R791))</f>
        <v>43123.641284960242</v>
      </c>
      <c r="AP791" s="152"/>
      <c r="AQ791" s="164">
        <f t="shared" si="259"/>
        <v>42938.94851337569</v>
      </c>
      <c r="AR791" s="164">
        <f t="shared" si="268"/>
        <v>42764.155195584106</v>
      </c>
      <c r="AS791" s="164">
        <f t="shared" si="269"/>
        <v>28216.267942583734</v>
      </c>
      <c r="AT791" s="164">
        <f t="shared" si="260"/>
        <v>42764.155195584106</v>
      </c>
      <c r="AU791" s="152"/>
      <c r="AV791" s="147">
        <f>'Deterministic Reserve'!BC791</f>
        <v>1.5729003599665866E-14</v>
      </c>
      <c r="AW791" s="164">
        <f t="shared" si="261"/>
        <v>42764.155195584106</v>
      </c>
      <c r="AX791" s="164">
        <f t="shared" si="262"/>
        <v>6.7263755100801213E-10</v>
      </c>
      <c r="AY791" s="152"/>
    </row>
    <row r="792" spans="1:51" s="150" customFormat="1" x14ac:dyDescent="0.25">
      <c r="A792" s="150">
        <f t="shared" si="270"/>
        <v>788</v>
      </c>
      <c r="B792" s="150">
        <f t="shared" si="271"/>
        <v>66</v>
      </c>
      <c r="C792" s="150">
        <f t="shared" si="272"/>
        <v>8</v>
      </c>
      <c r="D792" s="150">
        <f>IF(E792="","",Input!$C$4+B792-1)</f>
        <v>110</v>
      </c>
      <c r="E792" s="150">
        <f>IF(OR(AND(C791=12,D791=Input!$C$6),E791=""),"",1)</f>
        <v>1</v>
      </c>
      <c r="F792" s="150">
        <f>IF(E792="","",Input!$C$8+B792-1)</f>
        <v>2083</v>
      </c>
      <c r="G792" s="151">
        <f>IF(E792="","",MAX(0,Input!$C$9-B792))</f>
        <v>0</v>
      </c>
      <c r="H792" s="152">
        <f>IF(E792="","",Input!$C$3)</f>
        <v>100000</v>
      </c>
      <c r="I792" s="153">
        <f>IF(E792="","",HLOOKUP($B792,Input!$C$13:$BT$14,2))</f>
        <v>1000</v>
      </c>
      <c r="J792" s="154"/>
      <c r="K792" s="155">
        <f>IF($E792="","",Input!$C$57)</f>
        <v>4.4999999999999998E-2</v>
      </c>
      <c r="L792" s="155">
        <f t="shared" si="263"/>
        <v>3.6748094004368514E-3</v>
      </c>
      <c r="M792" s="147">
        <f>IF($E792="","",VLOOKUP(IF($B792&lt;=Input!$C$7,$B792,26),'Mortality Tables'!$A$72:$CA$97,IF($B792&lt;=Input!$C$7+1,Input!$C$4-16,$D792-Input!$C$7-16),0)/1000)</f>
        <v>0.58972000000000002</v>
      </c>
      <c r="N792" s="147">
        <f t="shared" si="252"/>
        <v>7.1553901517934948E-2</v>
      </c>
      <c r="O792" s="157">
        <f>IF($E792="","",IF($C792=12,IF($B792&lt;Input!$C$9,Input!$C$54,IF($B792=Input!$C$9,Input!$C$55,Input!$C$56)),0%))</f>
        <v>0</v>
      </c>
      <c r="P792" s="167">
        <f>IF($E792="","",IF($B792=1,Input!$C$59,IF($B792&lt;6,Input!$C$60,0%)))</f>
        <v>0</v>
      </c>
      <c r="Q792" s="162">
        <f>IF($E792="","",Input!$C$58)</f>
        <v>2.5</v>
      </c>
      <c r="R792" s="156">
        <f t="shared" si="264"/>
        <v>0.92844609848206505</v>
      </c>
      <c r="S792" s="154">
        <f t="shared" si="253"/>
        <v>1.1770936919796713E-8</v>
      </c>
      <c r="T792" s="152"/>
      <c r="U792" s="150">
        <f t="shared" si="265"/>
        <v>0</v>
      </c>
      <c r="V792" s="150">
        <f t="shared" si="266"/>
        <v>0</v>
      </c>
      <c r="W792" s="168">
        <f t="shared" si="267"/>
        <v>0</v>
      </c>
      <c r="X792" s="163">
        <f t="shared" si="254"/>
        <v>7155.3901517934946</v>
      </c>
      <c r="Y792" s="152"/>
      <c r="Z792" s="164">
        <f>IF(AND($C791=12,$D791=Input!$C$6),0,IF($E792="","",V792+Z793/(1+L792)*R792))</f>
        <v>87613.671476799806</v>
      </c>
      <c r="AA792" s="164">
        <f>IF(OR($M792=1,AND($C791=12,$D791=Input!$C$6)),0,IF($E792="","",W792+(X792+AA793*$R792)/(1+$L792)))</f>
        <v>85329.092760563377</v>
      </c>
      <c r="AB792" s="160">
        <f t="shared" si="255"/>
        <v>0.825720328500681</v>
      </c>
      <c r="AC792" s="164">
        <f t="shared" si="256"/>
        <v>0</v>
      </c>
      <c r="AD792" s="164">
        <f>IF(AND($C791=12,$D791=Input!$C$6),0,IF($E792="","",$AC792+AD793/(1+$L792)*$R792))</f>
        <v>72344.389592973879</v>
      </c>
      <c r="AE792" s="152"/>
      <c r="AF792" s="164">
        <f>IF(AND($C791=12,$D791=Input!$C$6),0,IF($E792="","",IF($B792&gt;Input!$C$9,$AC792,0)+AF793/(1+$L792)*$R792))</f>
        <v>72344.389592973879</v>
      </c>
      <c r="AG792" s="164">
        <f>IF(AND($C791=12,$D791=Input!$C$6),0,IF($E792="","",(IF($B792&gt;Input!$C$9,$X792,0)+AG793)/(1+$L792)*$R792))</f>
        <v>77902.350116643458</v>
      </c>
      <c r="AH792" s="160">
        <f t="shared" si="257"/>
        <v>2.0950137211446997</v>
      </c>
      <c r="AI792" s="160">
        <f>IF($E792="","",MIN(Input!$C$61/AH792,1))</f>
        <v>0.64438718771845094</v>
      </c>
      <c r="AJ792" s="152"/>
      <c r="AK792" s="164">
        <f>IF(AND($C791=12,$D791=Input!$C$6),0,IF($E792="","",IF($B792&gt;Input!$C$9,$AC792*AI792,0)+AK793/(1+$L792)*$R792))</f>
        <v>46617.797757024418</v>
      </c>
      <c r="AL792" s="164">
        <f>IF(AND($C791=12,$D791=Input!$C$6),0,IF($E792="","",IF($B792&gt;Input!$C$9,0,$AC792)+AL793/(1+$L792)*$R792))</f>
        <v>0</v>
      </c>
      <c r="AM792" s="160">
        <f t="shared" si="258"/>
        <v>1.1382936520186004</v>
      </c>
      <c r="AN792" s="164">
        <f>IF($E792="","",IF($B792&gt;Input!$C$9,$AI792*$AC792,$AM792*$AC792))</f>
        <v>0</v>
      </c>
      <c r="AO792" s="164">
        <f>IF(AND($C791=12,$D791=Input!$C$6),0,IF($E792="","",$AN792+AO793/(1+$L792)*$R792))</f>
        <v>46617.797757024418</v>
      </c>
      <c r="AP792" s="152"/>
      <c r="AQ792" s="164">
        <f t="shared" si="259"/>
        <v>38711.295003538959</v>
      </c>
      <c r="AR792" s="164">
        <f t="shared" si="268"/>
        <v>42764.155195584106</v>
      </c>
      <c r="AS792" s="164">
        <f t="shared" si="269"/>
        <v>28216.267942583734</v>
      </c>
      <c r="AT792" s="164">
        <f t="shared" si="260"/>
        <v>42764.155195584106</v>
      </c>
      <c r="AU792" s="152"/>
      <c r="AV792" s="147">
        <f>'Deterministic Reserve'!BC792</f>
        <v>1.413772751671176E-14</v>
      </c>
      <c r="AW792" s="164">
        <f t="shared" si="261"/>
        <v>42764.155195584106</v>
      </c>
      <c r="AX792" s="164">
        <f t="shared" si="262"/>
        <v>6.0458797363754156E-10</v>
      </c>
      <c r="AY792" s="152"/>
    </row>
    <row r="793" spans="1:51" s="150" customFormat="1" x14ac:dyDescent="0.25">
      <c r="A793" s="150">
        <f t="shared" si="270"/>
        <v>789</v>
      </c>
      <c r="B793" s="150">
        <f t="shared" si="271"/>
        <v>66</v>
      </c>
      <c r="C793" s="150">
        <f t="shared" si="272"/>
        <v>9</v>
      </c>
      <c r="D793" s="150">
        <f>IF(E793="","",Input!$C$4+B793-1)</f>
        <v>110</v>
      </c>
      <c r="E793" s="150">
        <f>IF(OR(AND(C792=12,D792=Input!$C$6),E792=""),"",1)</f>
        <v>1</v>
      </c>
      <c r="F793" s="150">
        <f>IF(E793="","",Input!$C$8+B793-1)</f>
        <v>2083</v>
      </c>
      <c r="G793" s="151">
        <f>IF(E793="","",MAX(0,Input!$C$9-B793))</f>
        <v>0</v>
      </c>
      <c r="H793" s="152">
        <f>IF(E793="","",Input!$C$3)</f>
        <v>100000</v>
      </c>
      <c r="I793" s="153">
        <f>IF(E793="","",HLOOKUP($B793,Input!$C$13:$BT$14,2))</f>
        <v>1000</v>
      </c>
      <c r="J793" s="154"/>
      <c r="K793" s="155">
        <f>IF($E793="","",Input!$C$57)</f>
        <v>4.4999999999999998E-2</v>
      </c>
      <c r="L793" s="155">
        <f t="shared" si="263"/>
        <v>3.6748094004368514E-3</v>
      </c>
      <c r="M793" s="147">
        <f>IF($E793="","",VLOOKUP(IF($B793&lt;=Input!$C$7,$B793,26),'Mortality Tables'!$A$72:$CA$97,IF($B793&lt;=Input!$C$7+1,Input!$C$4-16,$D793-Input!$C$7-16),0)/1000)</f>
        <v>0.58972000000000002</v>
      </c>
      <c r="N793" s="147">
        <f t="shared" si="252"/>
        <v>7.1553901517934948E-2</v>
      </c>
      <c r="O793" s="157">
        <f>IF($E793="","",IF($C793=12,IF($B793&lt;Input!$C$9,Input!$C$54,IF($B793=Input!$C$9,Input!$C$55,Input!$C$56)),0%))</f>
        <v>0</v>
      </c>
      <c r="P793" s="167">
        <f>IF($E793="","",IF($B793=1,Input!$C$59,IF($B793&lt;6,Input!$C$60,0%)))</f>
        <v>0</v>
      </c>
      <c r="Q793" s="162">
        <f>IF($E793="","",Input!$C$58)</f>
        <v>2.5</v>
      </c>
      <c r="R793" s="156">
        <f t="shared" si="264"/>
        <v>0.92844609848206505</v>
      </c>
      <c r="S793" s="154">
        <f t="shared" si="253"/>
        <v>1.0928680458663755E-8</v>
      </c>
      <c r="T793" s="152"/>
      <c r="U793" s="150">
        <f t="shared" si="265"/>
        <v>0</v>
      </c>
      <c r="V793" s="150">
        <f t="shared" si="266"/>
        <v>0</v>
      </c>
      <c r="W793" s="168">
        <f t="shared" si="267"/>
        <v>0</v>
      </c>
      <c r="X793" s="163">
        <f t="shared" si="254"/>
        <v>7155.3901517934946</v>
      </c>
      <c r="Y793" s="152"/>
      <c r="Z793" s="164">
        <f>IF(AND($C792=12,$D792=Input!$C$6),0,IF($E793="","",V793+Z794/(1+L793)*R793))</f>
        <v>94712.698092131846</v>
      </c>
      <c r="AA793" s="164">
        <f>IF(OR($M793=1,AND($C792=12,$D792=Input!$C$6)),0,IF($E793="","",W793+(X793+AA794*$R793)/(1+$L793)))</f>
        <v>84536.1630462959</v>
      </c>
      <c r="AB793" s="160">
        <f t="shared" si="255"/>
        <v>0.825720328500681</v>
      </c>
      <c r="AC793" s="164">
        <f t="shared" si="256"/>
        <v>0</v>
      </c>
      <c r="AD793" s="164">
        <f>IF(AND($C792=12,$D792=Input!$C$6),0,IF($E793="","",$AC793+AD794/(1+$L793)*$R793))</f>
        <v>78206.200181820939</v>
      </c>
      <c r="AE793" s="152"/>
      <c r="AF793" s="164">
        <f>IF(AND($C792=12,$D792=Input!$C$6),0,IF($E793="","",IF($B793&gt;Input!$C$9,$AC793,0)+AF794/(1+$L793)*$R793))</f>
        <v>78206.200181820939</v>
      </c>
      <c r="AG793" s="164">
        <f>IF(AND($C792=12,$D792=Input!$C$6),0,IF($E793="","",(IF($B793&gt;Input!$C$9,$X793,0)+AG794)/(1+$L793)*$R793))</f>
        <v>77059.11248115456</v>
      </c>
      <c r="AH793" s="160">
        <f t="shared" si="257"/>
        <v>2.0950137211446997</v>
      </c>
      <c r="AI793" s="160">
        <f>IF($E793="","",MIN(Input!$C$61/AH793,1))</f>
        <v>0.64438718771845094</v>
      </c>
      <c r="AJ793" s="152"/>
      <c r="AK793" s="164">
        <f>IF(AND($C792=12,$D792=Input!$C$6),0,IF($E793="","",IF($B793&gt;Input!$C$9,$AC793*AI793,0)+AK794/(1+$L793)*$R793))</f>
        <v>50395.073397309803</v>
      </c>
      <c r="AL793" s="164">
        <f>IF(AND($C792=12,$D792=Input!$C$6),0,IF($E793="","",IF($B793&gt;Input!$C$9,0,$AC793)+AL794/(1+$L793)*$R793))</f>
        <v>0</v>
      </c>
      <c r="AM793" s="160">
        <f t="shared" si="258"/>
        <v>1.1382936520186004</v>
      </c>
      <c r="AN793" s="164">
        <f>IF($E793="","",IF($B793&gt;Input!$C$9,$AI793*$AC793,$AM793*$AC793))</f>
        <v>0</v>
      </c>
      <c r="AO793" s="164">
        <f>IF(AND($C792=12,$D792=Input!$C$6),0,IF($E793="","",$AN793+AO794/(1+$L793)*$R793))</f>
        <v>50395.073397309803</v>
      </c>
      <c r="AP793" s="152"/>
      <c r="AQ793" s="164">
        <f t="shared" si="259"/>
        <v>34141.089648986097</v>
      </c>
      <c r="AR793" s="164">
        <f t="shared" si="268"/>
        <v>42764.155195584106</v>
      </c>
      <c r="AS793" s="164">
        <f t="shared" si="269"/>
        <v>28216.267942583734</v>
      </c>
      <c r="AT793" s="164">
        <f t="shared" si="260"/>
        <v>42764.155195584106</v>
      </c>
      <c r="AU793" s="152"/>
      <c r="AV793" s="147">
        <f>'Deterministic Reserve'!BC793</f>
        <v>1.2707438082157655E-14</v>
      </c>
      <c r="AW793" s="164">
        <f t="shared" si="261"/>
        <v>42764.155195584106</v>
      </c>
      <c r="AX793" s="164">
        <f t="shared" si="262"/>
        <v>5.4342285428366559E-10</v>
      </c>
      <c r="AY793" s="152"/>
    </row>
    <row r="794" spans="1:51" s="150" customFormat="1" x14ac:dyDescent="0.25">
      <c r="A794" s="150">
        <f t="shared" si="270"/>
        <v>790</v>
      </c>
      <c r="B794" s="150">
        <f t="shared" si="271"/>
        <v>66</v>
      </c>
      <c r="C794" s="150">
        <f t="shared" si="272"/>
        <v>10</v>
      </c>
      <c r="D794" s="150">
        <f>IF(E794="","",Input!$C$4+B794-1)</f>
        <v>110</v>
      </c>
      <c r="E794" s="150">
        <f>IF(OR(AND(C793=12,D793=Input!$C$6),E793=""),"",1)</f>
        <v>1</v>
      </c>
      <c r="F794" s="150">
        <f>IF(E794="","",Input!$C$8+B794-1)</f>
        <v>2083</v>
      </c>
      <c r="G794" s="151">
        <f>IF(E794="","",MAX(0,Input!$C$9-B794))</f>
        <v>0</v>
      </c>
      <c r="H794" s="152">
        <f>IF(E794="","",Input!$C$3)</f>
        <v>100000</v>
      </c>
      <c r="I794" s="153">
        <f>IF(E794="","",HLOOKUP($B794,Input!$C$13:$BT$14,2))</f>
        <v>1000</v>
      </c>
      <c r="J794" s="154"/>
      <c r="K794" s="155">
        <f>IF($E794="","",Input!$C$57)</f>
        <v>4.4999999999999998E-2</v>
      </c>
      <c r="L794" s="155">
        <f t="shared" si="263"/>
        <v>3.6748094004368514E-3</v>
      </c>
      <c r="M794" s="147">
        <f>IF($E794="","",VLOOKUP(IF($B794&lt;=Input!$C$7,$B794,26),'Mortality Tables'!$A$72:$CA$97,IF($B794&lt;=Input!$C$7+1,Input!$C$4-16,$D794-Input!$C$7-16),0)/1000)</f>
        <v>0.58972000000000002</v>
      </c>
      <c r="N794" s="147">
        <f t="shared" si="252"/>
        <v>7.1553901517934948E-2</v>
      </c>
      <c r="O794" s="157">
        <f>IF($E794="","",IF($C794=12,IF($B794&lt;Input!$C$9,Input!$C$54,IF($B794=Input!$C$9,Input!$C$55,Input!$C$56)),0%))</f>
        <v>0</v>
      </c>
      <c r="P794" s="167">
        <f>IF($E794="","",IF($B794=1,Input!$C$59,IF($B794&lt;6,Input!$C$60,0%)))</f>
        <v>0</v>
      </c>
      <c r="Q794" s="162">
        <f>IF($E794="","",Input!$C$58)</f>
        <v>2.5</v>
      </c>
      <c r="R794" s="156">
        <f t="shared" si="264"/>
        <v>0.92844609848206505</v>
      </c>
      <c r="S794" s="154">
        <f t="shared" si="253"/>
        <v>1.0146690733403549E-8</v>
      </c>
      <c r="T794" s="152"/>
      <c r="U794" s="150">
        <f t="shared" si="265"/>
        <v>0</v>
      </c>
      <c r="V794" s="150">
        <f t="shared" si="266"/>
        <v>0</v>
      </c>
      <c r="W794" s="168">
        <f t="shared" si="267"/>
        <v>0</v>
      </c>
      <c r="X794" s="163">
        <f t="shared" si="254"/>
        <v>7155.3901517934946</v>
      </c>
      <c r="Y794" s="152"/>
      <c r="Z794" s="164">
        <f>IF(AND($C793=12,$D793=Input!$C$6),0,IF($E794="","",V794+Z795/(1+L794)*R794))</f>
        <v>102386.93378198073</v>
      </c>
      <c r="AA794" s="164">
        <f>IF(OR($M794=1,AND($C793=12,$D793=Input!$C$6)),0,IF($E794="","",W794+(X794+AA795*$R794)/(1+$L794)))</f>
        <v>83678.985035492136</v>
      </c>
      <c r="AB794" s="160">
        <f t="shared" si="255"/>
        <v>0.825720328500681</v>
      </c>
      <c r="AC794" s="164">
        <f t="shared" si="256"/>
        <v>0</v>
      </c>
      <c r="AD794" s="164">
        <f>IF(AND($C793=12,$D793=Input!$C$6),0,IF($E794="","",$AC794+AD795/(1+$L794)*$R794))</f>
        <v>84542.972596634601</v>
      </c>
      <c r="AE794" s="152"/>
      <c r="AF794" s="164">
        <f>IF(AND($C793=12,$D793=Input!$C$6),0,IF($E794="","",IF($B794&gt;Input!$C$9,$AC794,0)+AF795/(1+$L794)*$R794))</f>
        <v>84542.972596634601</v>
      </c>
      <c r="AG794" s="164">
        <f>IF(AND($C793=12,$D793=Input!$C$6),0,IF($E794="","",(IF($B794&gt;Input!$C$9,$X794,0)+AG795)/(1+$L794)*$R794))</f>
        <v>76147.550275807051</v>
      </c>
      <c r="AH794" s="160">
        <f t="shared" si="257"/>
        <v>2.0950137211446997</v>
      </c>
      <c r="AI794" s="160">
        <f>IF($E794="","",MIN(Input!$C$61/AH794,1))</f>
        <v>0.64438718771845094</v>
      </c>
      <c r="AJ794" s="152"/>
      <c r="AK794" s="164">
        <f>IF(AND($C793=12,$D793=Input!$C$6),0,IF($E794="","",IF($B794&gt;Input!$C$9,$AC794*AI794,0)+AK795/(1+$L794)*$R794))</f>
        <v>54478.40835290344</v>
      </c>
      <c r="AL794" s="164">
        <f>IF(AND($C793=12,$D793=Input!$C$6),0,IF($E794="","",IF($B794&gt;Input!$C$9,0,$AC794)+AL795/(1+$L794)*$R794))</f>
        <v>0</v>
      </c>
      <c r="AM794" s="160">
        <f t="shared" si="258"/>
        <v>1.1382936520186004</v>
      </c>
      <c r="AN794" s="164">
        <f>IF($E794="","",IF($B794&gt;Input!$C$9,$AI794*$AC794,$AM794*$AC794))</f>
        <v>0</v>
      </c>
      <c r="AO794" s="164">
        <f>IF(AND($C793=12,$D793=Input!$C$6),0,IF($E794="","",$AN794+AO795/(1+$L794)*$R794))</f>
        <v>54478.40835290344</v>
      </c>
      <c r="AP794" s="152"/>
      <c r="AQ794" s="164">
        <f t="shared" si="259"/>
        <v>29200.576682588697</v>
      </c>
      <c r="AR794" s="164">
        <f t="shared" si="268"/>
        <v>42764.155195584106</v>
      </c>
      <c r="AS794" s="164">
        <f t="shared" si="269"/>
        <v>28216.267942583734</v>
      </c>
      <c r="AT794" s="164">
        <f t="shared" si="260"/>
        <v>42764.155195584106</v>
      </c>
      <c r="AU794" s="152"/>
      <c r="AV794" s="147">
        <f>'Deterministic Reserve'!BC794</f>
        <v>1.1421848555292315E-14</v>
      </c>
      <c r="AW794" s="164">
        <f t="shared" si="261"/>
        <v>42764.155195584106</v>
      </c>
      <c r="AX794" s="164">
        <f t="shared" si="262"/>
        <v>4.8844570423897864E-10</v>
      </c>
      <c r="AY794" s="152"/>
    </row>
    <row r="795" spans="1:51" s="150" customFormat="1" x14ac:dyDescent="0.25">
      <c r="A795" s="150">
        <f t="shared" si="270"/>
        <v>791</v>
      </c>
      <c r="B795" s="150">
        <f t="shared" si="271"/>
        <v>66</v>
      </c>
      <c r="C795" s="150">
        <f t="shared" si="272"/>
        <v>11</v>
      </c>
      <c r="D795" s="150">
        <f>IF(E795="","",Input!$C$4+B795-1)</f>
        <v>110</v>
      </c>
      <c r="E795" s="150">
        <f>IF(OR(AND(C794=12,D794=Input!$C$6),E794=""),"",1)</f>
        <v>1</v>
      </c>
      <c r="F795" s="150">
        <f>IF(E795="","",Input!$C$8+B795-1)</f>
        <v>2083</v>
      </c>
      <c r="G795" s="151">
        <f>IF(E795="","",MAX(0,Input!$C$9-B795))</f>
        <v>0</v>
      </c>
      <c r="H795" s="152">
        <f>IF(E795="","",Input!$C$3)</f>
        <v>100000</v>
      </c>
      <c r="I795" s="153">
        <f>IF(E795="","",HLOOKUP($B795,Input!$C$13:$BT$14,2))</f>
        <v>1000</v>
      </c>
      <c r="J795" s="154"/>
      <c r="K795" s="155">
        <f>IF($E795="","",Input!$C$57)</f>
        <v>4.4999999999999998E-2</v>
      </c>
      <c r="L795" s="155">
        <f t="shared" si="263"/>
        <v>3.6748094004368514E-3</v>
      </c>
      <c r="M795" s="147">
        <f>IF($E795="","",VLOOKUP(IF($B795&lt;=Input!$C$7,$B795,26),'Mortality Tables'!$A$72:$CA$97,IF($B795&lt;=Input!$C$7+1,Input!$C$4-16,$D795-Input!$C$7-16),0)/1000)</f>
        <v>0.58972000000000002</v>
      </c>
      <c r="N795" s="147">
        <f t="shared" si="252"/>
        <v>7.1553901517934948E-2</v>
      </c>
      <c r="O795" s="157">
        <f>IF($E795="","",IF($C795=12,IF($B795&lt;Input!$C$9,Input!$C$54,IF($B795=Input!$C$9,Input!$C$55,Input!$C$56)),0%))</f>
        <v>0</v>
      </c>
      <c r="P795" s="167">
        <f>IF($E795="","",IF($B795=1,Input!$C$59,IF($B795&lt;6,Input!$C$60,0%)))</f>
        <v>0</v>
      </c>
      <c r="Q795" s="162">
        <f>IF($E795="","",Input!$C$58)</f>
        <v>2.5</v>
      </c>
      <c r="R795" s="156">
        <f t="shared" si="264"/>
        <v>0.92844609848206505</v>
      </c>
      <c r="S795" s="154">
        <f t="shared" si="253"/>
        <v>9.4206554239326477E-9</v>
      </c>
      <c r="T795" s="152"/>
      <c r="U795" s="150">
        <f t="shared" si="265"/>
        <v>0</v>
      </c>
      <c r="V795" s="150">
        <f t="shared" si="266"/>
        <v>0</v>
      </c>
      <c r="W795" s="168">
        <f t="shared" si="267"/>
        <v>0</v>
      </c>
      <c r="X795" s="163">
        <f t="shared" si="254"/>
        <v>7155.3901517934946</v>
      </c>
      <c r="Y795" s="152"/>
      <c r="Z795" s="164">
        <f>IF(AND($C794=12,$D794=Input!$C$6),0,IF($E795="","",V795+Z796/(1+L795)*R795))</f>
        <v>110682.98570776939</v>
      </c>
      <c r="AA795" s="164">
        <f>IF(OR($M795=1,AND($C794=12,$D794=Input!$C$6)),0,IF($E795="","",W795+(X795+AA796*$R795)/(1+$L795)))</f>
        <v>82752.352915412936</v>
      </c>
      <c r="AB795" s="160">
        <f t="shared" si="255"/>
        <v>0.825720328500681</v>
      </c>
      <c r="AC795" s="164">
        <f t="shared" si="256"/>
        <v>0</v>
      </c>
      <c r="AD795" s="164">
        <f>IF(AND($C794=12,$D794=Input!$C$6),0,IF($E795="","",$AC795+AD796/(1+$L795)*$R795))</f>
        <v>91393.191318055513</v>
      </c>
      <c r="AE795" s="152"/>
      <c r="AF795" s="164">
        <f>IF(AND($C794=12,$D794=Input!$C$6),0,IF($E795="","",IF($B795&gt;Input!$C$9,$AC795,0)+AF796/(1+$L795)*$R795))</f>
        <v>91393.191318055513</v>
      </c>
      <c r="AG795" s="164">
        <f>IF(AND($C794=12,$D794=Input!$C$6),0,IF($E795="","",(IF($B795&gt;Input!$C$9,$X795,0)+AG796)/(1+$L795)*$R795))</f>
        <v>75162.127401819424</v>
      </c>
      <c r="AH795" s="160">
        <f t="shared" si="257"/>
        <v>2.0950137211446997</v>
      </c>
      <c r="AI795" s="160">
        <f>IF($E795="","",MIN(Input!$C$61/AH795,1))</f>
        <v>0.64438718771845094</v>
      </c>
      <c r="AJ795" s="152"/>
      <c r="AK795" s="164">
        <f>IF(AND($C794=12,$D794=Input!$C$6),0,IF($E795="","",IF($B795&gt;Input!$C$9,$AC795*AI795,0)+AK796/(1+$L795)*$R795))</f>
        <v>58892.601530056148</v>
      </c>
      <c r="AL795" s="164">
        <f>IF(AND($C794=12,$D794=Input!$C$6),0,IF($E795="","",IF($B795&gt;Input!$C$9,0,$AC795)+AL796/(1+$L795)*$R795))</f>
        <v>0</v>
      </c>
      <c r="AM795" s="160">
        <f t="shared" si="258"/>
        <v>1.1382936520186004</v>
      </c>
      <c r="AN795" s="164">
        <f>IF($E795="","",IF($B795&gt;Input!$C$9,$AI795*$AC795,$AM795*$AC795))</f>
        <v>0</v>
      </c>
      <c r="AO795" s="164">
        <f>IF(AND($C794=12,$D794=Input!$C$6),0,IF($E795="","",$AN795+AO796/(1+$L795)*$R795))</f>
        <v>58892.601530056148</v>
      </c>
      <c r="AP795" s="152"/>
      <c r="AQ795" s="164">
        <f t="shared" si="259"/>
        <v>23859.751385356787</v>
      </c>
      <c r="AR795" s="164">
        <f t="shared" si="268"/>
        <v>42764.155195584106</v>
      </c>
      <c r="AS795" s="164">
        <f t="shared" si="269"/>
        <v>28216.267942583734</v>
      </c>
      <c r="AT795" s="164">
        <f t="shared" si="260"/>
        <v>42764.155195584106</v>
      </c>
      <c r="AU795" s="152"/>
      <c r="AV795" s="147">
        <f>'Deterministic Reserve'!BC795</f>
        <v>1.0266319896786149E-14</v>
      </c>
      <c r="AW795" s="164">
        <f t="shared" si="261"/>
        <v>42764.155195584106</v>
      </c>
      <c r="AX795" s="164">
        <f t="shared" si="262"/>
        <v>4.3903049735367586E-10</v>
      </c>
      <c r="AY795" s="152"/>
    </row>
    <row r="796" spans="1:51" s="150" customFormat="1" x14ac:dyDescent="0.25">
      <c r="A796" s="150">
        <f t="shared" si="270"/>
        <v>792</v>
      </c>
      <c r="B796" s="150">
        <f t="shared" si="271"/>
        <v>66</v>
      </c>
      <c r="C796" s="150">
        <f t="shared" si="272"/>
        <v>12</v>
      </c>
      <c r="D796" s="150">
        <f>IF(E796="","",Input!$C$4+B796-1)</f>
        <v>110</v>
      </c>
      <c r="E796" s="150">
        <f>IF(OR(AND(C795=12,D795=Input!$C$6),E795=""),"",1)</f>
        <v>1</v>
      </c>
      <c r="F796" s="150">
        <f>IF(E796="","",Input!$C$8+B796-1)</f>
        <v>2083</v>
      </c>
      <c r="G796" s="151">
        <f>IF(E796="","",MAX(0,Input!$C$9-B796))</f>
        <v>0</v>
      </c>
      <c r="H796" s="152">
        <f>IF(E796="","",Input!$C$3)</f>
        <v>100000</v>
      </c>
      <c r="I796" s="153">
        <f>IF(E796="","",HLOOKUP($B796,Input!$C$13:$BT$14,2))</f>
        <v>1000</v>
      </c>
      <c r="J796" s="154"/>
      <c r="K796" s="155">
        <f>IF($E796="","",Input!$C$57)</f>
        <v>4.4999999999999998E-2</v>
      </c>
      <c r="L796" s="155">
        <f t="shared" si="263"/>
        <v>3.6748094004368514E-3</v>
      </c>
      <c r="M796" s="147">
        <f>IF($E796="","",VLOOKUP(IF($B796&lt;=Input!$C$7,$B796,26),'Mortality Tables'!$A$72:$CA$97,IF($B796&lt;=Input!$C$7+1,Input!$C$4-16,$D796-Input!$C$7-16),0)/1000)</f>
        <v>0.58972000000000002</v>
      </c>
      <c r="N796" s="147">
        <f t="shared" si="252"/>
        <v>7.1553901517934948E-2</v>
      </c>
      <c r="O796" s="157">
        <f>IF($E796="","",IF($C796=12,IF($B796&lt;Input!$C$9,Input!$C$54,IF($B796=Input!$C$9,Input!$C$55,Input!$C$56)),0%))</f>
        <v>0.1</v>
      </c>
      <c r="P796" s="167">
        <f>IF($E796="","",IF($B796=1,Input!$C$59,IF($B796&lt;6,Input!$C$60,0%)))</f>
        <v>0</v>
      </c>
      <c r="Q796" s="162">
        <f>IF($E796="","",Input!$C$58)</f>
        <v>2.5</v>
      </c>
      <c r="R796" s="156">
        <f t="shared" si="264"/>
        <v>0.82844609848206507</v>
      </c>
      <c r="S796" s="154">
        <f t="shared" si="253"/>
        <v>7.8045052311009063E-9</v>
      </c>
      <c r="T796" s="152"/>
      <c r="U796" s="150">
        <f t="shared" si="265"/>
        <v>0</v>
      </c>
      <c r="V796" s="150">
        <f t="shared" si="266"/>
        <v>0</v>
      </c>
      <c r="W796" s="168">
        <f t="shared" si="267"/>
        <v>0</v>
      </c>
      <c r="X796" s="163">
        <f t="shared" si="254"/>
        <v>7155.3901517934946</v>
      </c>
      <c r="Y796" s="152"/>
      <c r="Z796" s="164">
        <f>IF(AND($C795=12,$D795=Input!$C$6),0,IF($E796="","",V796+Z797/(1+L796)*R796))</f>
        <v>119651.23744473643</v>
      </c>
      <c r="AA796" s="164">
        <f>IF(OR($M796=1,AND($C795=12,$D795=Input!$C$6)),0,IF($E796="","",W796+(X796+AA797*$R796)/(1+$L796)))</f>
        <v>81750.639064683899</v>
      </c>
      <c r="AB796" s="160">
        <f t="shared" si="255"/>
        <v>0.825720328500681</v>
      </c>
      <c r="AC796" s="164">
        <f t="shared" si="256"/>
        <v>0</v>
      </c>
      <c r="AD796" s="164">
        <f>IF(AND($C795=12,$D795=Input!$C$6),0,IF($E796="","",$AC796+AD797/(1+$L796)*$R796))</f>
        <v>98798.459088380754</v>
      </c>
      <c r="AE796" s="152"/>
      <c r="AF796" s="164">
        <f>IF(AND($C795=12,$D795=Input!$C$6),0,IF($E796="","",IF($B796&gt;Input!$C$9,$AC796,0)+AF797/(1+$L796)*$R796))</f>
        <v>98798.459088380754</v>
      </c>
      <c r="AG796" s="164">
        <f>IF(AND($C795=12,$D795=Input!$C$6),0,IF($E796="","",(IF($B796&gt;Input!$C$9,$X796,0)+AG797)/(1+$L796)*$R796))</f>
        <v>74096.859189862502</v>
      </c>
      <c r="AH796" s="160">
        <f t="shared" si="257"/>
        <v>2.0950137211446997</v>
      </c>
      <c r="AI796" s="160">
        <f>IF($E796="","",MIN(Input!$C$61/AH796,1))</f>
        <v>0.64438718771845094</v>
      </c>
      <c r="AJ796" s="152"/>
      <c r="AK796" s="164">
        <f>IF(AND($C795=12,$D795=Input!$C$6),0,IF($E796="","",IF($B796&gt;Input!$C$9,$AC796*AI796,0)+AK797/(1+$L796)*$R796))</f>
        <v>63664.461202878112</v>
      </c>
      <c r="AL796" s="164">
        <f>IF(AND($C795=12,$D795=Input!$C$6),0,IF($E796="","",IF($B796&gt;Input!$C$9,0,$AC796)+AL797/(1+$L796)*$R796))</f>
        <v>0</v>
      </c>
      <c r="AM796" s="160">
        <f t="shared" si="258"/>
        <v>1.1382936520186004</v>
      </c>
      <c r="AN796" s="164">
        <f>IF($E796="","",IF($B796&gt;Input!$C$9,$AI796*$AC796,$AM796*$AC796))</f>
        <v>0</v>
      </c>
      <c r="AO796" s="164">
        <f>IF(AND($C795=12,$D795=Input!$C$6),0,IF($E796="","",$AN796+AO797/(1+$L796)*$R796))</f>
        <v>63664.461202878112</v>
      </c>
      <c r="AP796" s="152"/>
      <c r="AQ796" s="164">
        <f t="shared" si="259"/>
        <v>18086.177861805787</v>
      </c>
      <c r="AR796" s="164">
        <f t="shared" si="268"/>
        <v>42764.155195584106</v>
      </c>
      <c r="AS796" s="164">
        <f t="shared" si="269"/>
        <v>28216.267942583734</v>
      </c>
      <c r="AT796" s="164">
        <f t="shared" si="260"/>
        <v>42764.155195584106</v>
      </c>
      <c r="AU796" s="152"/>
      <c r="AV796" s="147">
        <f>'Deterministic Reserve'!BC796</f>
        <v>8.2010620839143408E-15</v>
      </c>
      <c r="AW796" s="164">
        <f t="shared" si="261"/>
        <v>42764.155195584106</v>
      </c>
      <c r="AX796" s="164">
        <f t="shared" si="262"/>
        <v>3.5071149172513329E-10</v>
      </c>
      <c r="AY796" s="152"/>
    </row>
    <row r="797" spans="1:51" s="150" customFormat="1" x14ac:dyDescent="0.25">
      <c r="A797" s="150">
        <f t="shared" si="270"/>
        <v>793</v>
      </c>
      <c r="B797" s="150">
        <f t="shared" si="271"/>
        <v>67</v>
      </c>
      <c r="C797" s="150">
        <f t="shared" si="272"/>
        <v>1</v>
      </c>
      <c r="D797" s="150">
        <f>IF(E797="","",Input!$C$4+B797-1)</f>
        <v>111</v>
      </c>
      <c r="E797" s="150">
        <f>IF(OR(AND(C796=12,D796=Input!$C$6),E796=""),"",1)</f>
        <v>1</v>
      </c>
      <c r="F797" s="150">
        <f>IF(E797="","",Input!$C$8+B797-1)</f>
        <v>2084</v>
      </c>
      <c r="G797" s="151">
        <f>IF(E797="","",MAX(0,Input!$C$9-B797))</f>
        <v>0</v>
      </c>
      <c r="H797" s="152">
        <f>IF(E797="","",Input!$C$3)</f>
        <v>100000</v>
      </c>
      <c r="I797" s="153">
        <f>IF(E797="","",HLOOKUP($B797,Input!$C$13:$BT$14,2))</f>
        <v>1000</v>
      </c>
      <c r="J797" s="154"/>
      <c r="K797" s="155">
        <f>IF($E797="","",Input!$C$57)</f>
        <v>4.4999999999999998E-2</v>
      </c>
      <c r="L797" s="155">
        <f t="shared" si="263"/>
        <v>3.6748094004368514E-3</v>
      </c>
      <c r="M797" s="147">
        <f>IF($E797="","",VLOOKUP(IF($B797&lt;=Input!$C$7,$B797,26),'Mortality Tables'!$A$72:$CA$97,IF($B797&lt;=Input!$C$7+1,Input!$C$4-16,$D797-Input!$C$7-16),0)/1000)</f>
        <v>0.62170000000000003</v>
      </c>
      <c r="N797" s="147">
        <f t="shared" si="252"/>
        <v>7.7811514888401101E-2</v>
      </c>
      <c r="O797" s="157">
        <f>IF($E797="","",IF($C797=12,IF($B797&lt;Input!$C$9,Input!$C$54,IF($B797=Input!$C$9,Input!$C$55,Input!$C$56)),0%))</f>
        <v>0</v>
      </c>
      <c r="P797" s="167">
        <f>IF($E797="","",IF($B797=1,Input!$C$59,IF($B797&lt;6,Input!$C$60,0%)))</f>
        <v>0</v>
      </c>
      <c r="Q797" s="162">
        <f>IF($E797="","",Input!$C$58)</f>
        <v>2.5</v>
      </c>
      <c r="R797" s="156">
        <f t="shared" si="264"/>
        <v>0.9221884851115989</v>
      </c>
      <c r="S797" s="154">
        <f t="shared" si="253"/>
        <v>7.1972248561144938E-9</v>
      </c>
      <c r="T797" s="152"/>
      <c r="U797" s="150">
        <f t="shared" si="265"/>
        <v>100000</v>
      </c>
      <c r="V797" s="150">
        <f t="shared" si="266"/>
        <v>100000</v>
      </c>
      <c r="W797" s="168">
        <f t="shared" si="267"/>
        <v>0</v>
      </c>
      <c r="X797" s="163">
        <f t="shared" si="254"/>
        <v>7781.1514888401098</v>
      </c>
      <c r="Y797" s="152"/>
      <c r="Z797" s="164">
        <f>IF(AND($C796=12,$D796=Input!$C$6),0,IF($E797="","",V797+Z798/(1+L797)*R797))</f>
        <v>144959.25945805162</v>
      </c>
      <c r="AA797" s="164">
        <f>IF(OR($M797=1,AND($C796=12,$D796=Input!$C$6)),0,IF($E797="","",W797+(X797+AA798*$R797)/(1+$L797)))</f>
        <v>90404.996857424907</v>
      </c>
      <c r="AB797" s="160">
        <f t="shared" si="255"/>
        <v>0.825720328500681</v>
      </c>
      <c r="AC797" s="164">
        <f t="shared" si="256"/>
        <v>82572.032850068106</v>
      </c>
      <c r="AD797" s="164">
        <f>IF(AND($C796=12,$D796=Input!$C$6),0,IF($E797="","",$AC797+AD798/(1+$L797)*$R797))</f>
        <v>119695.80733891785</v>
      </c>
      <c r="AE797" s="152"/>
      <c r="AF797" s="164">
        <f>IF(AND($C796=12,$D796=Input!$C$6),0,IF($E797="","",IF($B797&gt;Input!$C$9,$AC797,0)+AF798/(1+$L797)*$R797))</f>
        <v>119695.80733891785</v>
      </c>
      <c r="AG797" s="164">
        <f>IF(AND($C796=12,$D796=Input!$C$6),0,IF($E797="","",(IF($B797&gt;Input!$C$9,$X797,0)+AG798)/(1+$L797)*$R797))</f>
        <v>82614.060342113633</v>
      </c>
      <c r="AH797" s="160">
        <f t="shared" si="257"/>
        <v>2.0950137211446997</v>
      </c>
      <c r="AI797" s="160">
        <f>IF($E797="","",MIN(Input!$C$61/AH797,1))</f>
        <v>0.64438718771845094</v>
      </c>
      <c r="AJ797" s="152"/>
      <c r="AK797" s="164">
        <f>IF(AND($C796=12,$D796=Input!$C$6),0,IF($E797="","",IF($B797&gt;Input!$C$9,$AC797*AI797,0)+AK798/(1+$L797)*$R797))</f>
        <v>77130.444672814789</v>
      </c>
      <c r="AL797" s="164">
        <f>IF(AND($C796=12,$D796=Input!$C$6),0,IF($E797="","",IF($B797&gt;Input!$C$9,0,$AC797)+AL798/(1+$L797)*$R797))</f>
        <v>0</v>
      </c>
      <c r="AM797" s="160">
        <f t="shared" si="258"/>
        <v>1.1382936520186004</v>
      </c>
      <c r="AN797" s="164">
        <f>IF($E797="","",IF($B797&gt;Input!$C$9,$AI797*$AC797,$AM797*$AC797))</f>
        <v>53208.360032450932</v>
      </c>
      <c r="AO797" s="164">
        <f>IF(AND($C796=12,$D796=Input!$C$6),0,IF($E797="","",$AN797+AO798/(1+$L797)*$R797))</f>
        <v>77130.444672814789</v>
      </c>
      <c r="AP797" s="152"/>
      <c r="AQ797" s="164">
        <f t="shared" si="259"/>
        <v>13274.552184610118</v>
      </c>
      <c r="AR797" s="164">
        <f t="shared" si="268"/>
        <v>46580.791722145455</v>
      </c>
      <c r="AS797" s="164">
        <f t="shared" si="269"/>
        <v>29746.411483253589</v>
      </c>
      <c r="AT797" s="164">
        <f t="shared" si="260"/>
        <v>46580.791722145455</v>
      </c>
      <c r="AU797" s="152"/>
      <c r="AV797" s="147">
        <f>'Deterministic Reserve'!BC797</f>
        <v>7.3793021406041951E-15</v>
      </c>
      <c r="AW797" s="164">
        <f t="shared" si="261"/>
        <v>46580.791722145455</v>
      </c>
      <c r="AX797" s="164">
        <f t="shared" si="262"/>
        <v>3.4373373606626611E-10</v>
      </c>
      <c r="AY797" s="152"/>
    </row>
    <row r="798" spans="1:51" s="150" customFormat="1" x14ac:dyDescent="0.25">
      <c r="A798" s="150">
        <f t="shared" si="270"/>
        <v>794</v>
      </c>
      <c r="B798" s="150">
        <f t="shared" si="271"/>
        <v>67</v>
      </c>
      <c r="C798" s="150">
        <f t="shared" si="272"/>
        <v>2</v>
      </c>
      <c r="D798" s="150">
        <f>IF(E798="","",Input!$C$4+B798-1)</f>
        <v>111</v>
      </c>
      <c r="E798" s="150">
        <f>IF(OR(AND(C797=12,D797=Input!$C$6),E797=""),"",1)</f>
        <v>1</v>
      </c>
      <c r="F798" s="150">
        <f>IF(E798="","",Input!$C$8+B798-1)</f>
        <v>2084</v>
      </c>
      <c r="G798" s="151">
        <f>IF(E798="","",MAX(0,Input!$C$9-B798))</f>
        <v>0</v>
      </c>
      <c r="H798" s="152">
        <f>IF(E798="","",Input!$C$3)</f>
        <v>100000</v>
      </c>
      <c r="I798" s="153">
        <f>IF(E798="","",HLOOKUP($B798,Input!$C$13:$BT$14,2))</f>
        <v>1000</v>
      </c>
      <c r="J798" s="154"/>
      <c r="K798" s="155">
        <f>IF($E798="","",Input!$C$57)</f>
        <v>4.4999999999999998E-2</v>
      </c>
      <c r="L798" s="155">
        <f t="shared" si="263"/>
        <v>3.6748094004368514E-3</v>
      </c>
      <c r="M798" s="147">
        <f>IF($E798="","",VLOOKUP(IF($B798&lt;=Input!$C$7,$B798,26),'Mortality Tables'!$A$72:$CA$97,IF($B798&lt;=Input!$C$7+1,Input!$C$4-16,$D798-Input!$C$7-16),0)/1000)</f>
        <v>0.62170000000000003</v>
      </c>
      <c r="N798" s="147">
        <f t="shared" si="252"/>
        <v>7.7811514888401101E-2</v>
      </c>
      <c r="O798" s="157">
        <f>IF($E798="","",IF($C798=12,IF($B798&lt;Input!$C$9,Input!$C$54,IF($B798=Input!$C$9,Input!$C$55,Input!$C$56)),0%))</f>
        <v>0</v>
      </c>
      <c r="P798" s="167">
        <f>IF($E798="","",IF($B798=1,Input!$C$59,IF($B798&lt;6,Input!$C$60,0%)))</f>
        <v>0</v>
      </c>
      <c r="Q798" s="162">
        <f>IF($E798="","",Input!$C$58)</f>
        <v>2.5</v>
      </c>
      <c r="R798" s="156">
        <f t="shared" si="264"/>
        <v>0.9221884851115989</v>
      </c>
      <c r="S798" s="154">
        <f t="shared" si="253"/>
        <v>6.6371978870677702E-9</v>
      </c>
      <c r="T798" s="152"/>
      <c r="U798" s="150">
        <f t="shared" si="265"/>
        <v>0</v>
      </c>
      <c r="V798" s="150">
        <f t="shared" si="266"/>
        <v>0</v>
      </c>
      <c r="W798" s="168">
        <f t="shared" si="267"/>
        <v>0</v>
      </c>
      <c r="X798" s="163">
        <f t="shared" si="254"/>
        <v>7781.1514888401098</v>
      </c>
      <c r="Y798" s="152"/>
      <c r="Z798" s="164">
        <f>IF(AND($C797=12,$D797=Input!$C$6),0,IF($E798="","",V798+Z799/(1+L798)*R798))</f>
        <v>48931.94492868126</v>
      </c>
      <c r="AA798" s="164">
        <f>IF(OR($M798=1,AND($C797=12,$D797=Input!$C$6)),0,IF($E798="","",W798+(X798+AA799*$R798)/(1+$L798)))</f>
        <v>89955.652060483029</v>
      </c>
      <c r="AB798" s="160">
        <f t="shared" si="255"/>
        <v>0.825720328500681</v>
      </c>
      <c r="AC798" s="164">
        <f t="shared" si="256"/>
        <v>0</v>
      </c>
      <c r="AD798" s="164">
        <f>IF(AND($C797=12,$D797=Input!$C$6),0,IF($E798="","",$AC798+AD799/(1+$L798)*$R798))</f>
        <v>40404.101640687921</v>
      </c>
      <c r="AE798" s="152"/>
      <c r="AF798" s="164">
        <f>IF(AND($C797=12,$D797=Input!$C$6),0,IF($E798="","",IF($B798&gt;Input!$C$9,$AC798,0)+AF799/(1+$L798)*$R798))</f>
        <v>40404.101640687921</v>
      </c>
      <c r="AG798" s="164">
        <f>IF(AND($C797=12,$D797=Input!$C$6),0,IF($E798="","",(IF($B798&gt;Input!$C$9,$X798,0)+AG799)/(1+$L798)*$R798))</f>
        <v>82132.843975582524</v>
      </c>
      <c r="AH798" s="160">
        <f t="shared" si="257"/>
        <v>2.0950137211446997</v>
      </c>
      <c r="AI798" s="160">
        <f>IF($E798="","",MIN(Input!$C$61/AH798,1))</f>
        <v>0.64438718771845094</v>
      </c>
      <c r="AJ798" s="152"/>
      <c r="AK798" s="164">
        <f>IF(AND($C797=12,$D797=Input!$C$6),0,IF($E798="","",IF($B798&gt;Input!$C$9,$AC798*AI798,0)+AK799/(1+$L798)*$R798))</f>
        <v>26035.885428533336</v>
      </c>
      <c r="AL798" s="164">
        <f>IF(AND($C797=12,$D797=Input!$C$6),0,IF($E798="","",IF($B798&gt;Input!$C$9,0,$AC798)+AL799/(1+$L798)*$R798))</f>
        <v>0</v>
      </c>
      <c r="AM798" s="160">
        <f t="shared" si="258"/>
        <v>1.1382936520186004</v>
      </c>
      <c r="AN798" s="164">
        <f>IF($E798="","",IF($B798&gt;Input!$C$9,$AI798*$AC798,$AM798*$AC798))</f>
        <v>0</v>
      </c>
      <c r="AO798" s="164">
        <f>IF(AND($C797=12,$D797=Input!$C$6),0,IF($E798="","",$AN798+AO799/(1+$L798)*$R798))</f>
        <v>26035.885428533336</v>
      </c>
      <c r="AP798" s="152"/>
      <c r="AQ798" s="164">
        <f t="shared" si="259"/>
        <v>63919.766631949693</v>
      </c>
      <c r="AR798" s="164">
        <f t="shared" si="268"/>
        <v>46580.791722145455</v>
      </c>
      <c r="AS798" s="164">
        <f t="shared" si="269"/>
        <v>29746.411483253589</v>
      </c>
      <c r="AT798" s="164">
        <f t="shared" si="260"/>
        <v>46580.791722145455</v>
      </c>
      <c r="AU798" s="152"/>
      <c r="AV798" s="147">
        <f>'Deterministic Reserve'!BC798</f>
        <v>6.6398838985907168E-15</v>
      </c>
      <c r="AW798" s="164">
        <f t="shared" si="261"/>
        <v>46580.791722145455</v>
      </c>
      <c r="AX798" s="164">
        <f t="shared" si="262"/>
        <v>3.0929104893948135E-10</v>
      </c>
      <c r="AY798" s="152"/>
    </row>
    <row r="799" spans="1:51" s="150" customFormat="1" x14ac:dyDescent="0.25">
      <c r="A799" s="150">
        <f t="shared" si="270"/>
        <v>795</v>
      </c>
      <c r="B799" s="150">
        <f t="shared" si="271"/>
        <v>67</v>
      </c>
      <c r="C799" s="150">
        <f t="shared" si="272"/>
        <v>3</v>
      </c>
      <c r="D799" s="150">
        <f>IF(E799="","",Input!$C$4+B799-1)</f>
        <v>111</v>
      </c>
      <c r="E799" s="150">
        <f>IF(OR(AND(C798=12,D798=Input!$C$6),E798=""),"",1)</f>
        <v>1</v>
      </c>
      <c r="F799" s="150">
        <f>IF(E799="","",Input!$C$8+B799-1)</f>
        <v>2084</v>
      </c>
      <c r="G799" s="151">
        <f>IF(E799="","",MAX(0,Input!$C$9-B799))</f>
        <v>0</v>
      </c>
      <c r="H799" s="152">
        <f>IF(E799="","",Input!$C$3)</f>
        <v>100000</v>
      </c>
      <c r="I799" s="153">
        <f>IF(E799="","",HLOOKUP($B799,Input!$C$13:$BT$14,2))</f>
        <v>1000</v>
      </c>
      <c r="J799" s="154"/>
      <c r="K799" s="155">
        <f>IF($E799="","",Input!$C$57)</f>
        <v>4.4999999999999998E-2</v>
      </c>
      <c r="L799" s="155">
        <f t="shared" si="263"/>
        <v>3.6748094004368514E-3</v>
      </c>
      <c r="M799" s="147">
        <f>IF($E799="","",VLOOKUP(IF($B799&lt;=Input!$C$7,$B799,26),'Mortality Tables'!$A$72:$CA$97,IF($B799&lt;=Input!$C$7+1,Input!$C$4-16,$D799-Input!$C$7-16),0)/1000)</f>
        <v>0.62170000000000003</v>
      </c>
      <c r="N799" s="147">
        <f t="shared" si="252"/>
        <v>7.7811514888401101E-2</v>
      </c>
      <c r="O799" s="157">
        <f>IF($E799="","",IF($C799=12,IF($B799&lt;Input!$C$9,Input!$C$54,IF($B799=Input!$C$9,Input!$C$55,Input!$C$56)),0%))</f>
        <v>0</v>
      </c>
      <c r="P799" s="167">
        <f>IF($E799="","",IF($B799=1,Input!$C$59,IF($B799&lt;6,Input!$C$60,0%)))</f>
        <v>0</v>
      </c>
      <c r="Q799" s="162">
        <f>IF($E799="","",Input!$C$58)</f>
        <v>2.5</v>
      </c>
      <c r="R799" s="156">
        <f t="shared" si="264"/>
        <v>0.9221884851115989</v>
      </c>
      <c r="S799" s="154">
        <f t="shared" si="253"/>
        <v>6.1207474648609321E-9</v>
      </c>
      <c r="T799" s="152"/>
      <c r="U799" s="150">
        <f t="shared" si="265"/>
        <v>0</v>
      </c>
      <c r="V799" s="150">
        <f t="shared" si="266"/>
        <v>0</v>
      </c>
      <c r="W799" s="168">
        <f t="shared" si="267"/>
        <v>0</v>
      </c>
      <c r="X799" s="163">
        <f t="shared" si="254"/>
        <v>7781.1514888401098</v>
      </c>
      <c r="Y799" s="152"/>
      <c r="Z799" s="164">
        <f>IF(AND($C798=12,$D798=Input!$C$6),0,IF($E799="","",V799+Z800/(1+L799)*R799))</f>
        <v>53255.664425199975</v>
      </c>
      <c r="AA799" s="164">
        <f>IF(OR($M799=1,AND($C798=12,$D798=Input!$C$6)),0,IF($E799="","",W799+(X799+AA800*$R799)/(1+$L799)))</f>
        <v>89466.602304704356</v>
      </c>
      <c r="AB799" s="160">
        <f t="shared" si="255"/>
        <v>0.825720328500681</v>
      </c>
      <c r="AC799" s="164">
        <f t="shared" si="256"/>
        <v>0</v>
      </c>
      <c r="AD799" s="164">
        <f>IF(AND($C798=12,$D798=Input!$C$6),0,IF($E799="","",$AC799+AD800/(1+$L799)*$R799))</f>
        <v>43974.284723698154</v>
      </c>
      <c r="AE799" s="152"/>
      <c r="AF799" s="164">
        <f>IF(AND($C798=12,$D798=Input!$C$6),0,IF($E799="","",IF($B799&gt;Input!$C$9,$AC799,0)+AF800/(1+$L799)*$R799))</f>
        <v>43974.284723698154</v>
      </c>
      <c r="AG799" s="164">
        <f>IF(AND($C798=12,$D798=Input!$C$6),0,IF($E799="","",(IF($B799&gt;Input!$C$9,$X799,0)+AG800)/(1+$L799)*$R799))</f>
        <v>81609.106417853167</v>
      </c>
      <c r="AH799" s="160">
        <f t="shared" si="257"/>
        <v>2.0950137211446997</v>
      </c>
      <c r="AI799" s="160">
        <f>IF($E799="","",MIN(Input!$C$61/AH799,1))</f>
        <v>0.64438718771845094</v>
      </c>
      <c r="AJ799" s="152"/>
      <c r="AK799" s="164">
        <f>IF(AND($C798=12,$D798=Input!$C$6),0,IF($E799="","",IF($B799&gt;Input!$C$9,$AC799*AI799,0)+AK800/(1+$L799)*$R799))</f>
        <v>28336.465665034291</v>
      </c>
      <c r="AL799" s="164">
        <f>IF(AND($C798=12,$D798=Input!$C$6),0,IF($E799="","",IF($B799&gt;Input!$C$9,0,$AC799)+AL800/(1+$L799)*$R799))</f>
        <v>0</v>
      </c>
      <c r="AM799" s="160">
        <f t="shared" si="258"/>
        <v>1.1382936520186004</v>
      </c>
      <c r="AN799" s="164">
        <f>IF($E799="","",IF($B799&gt;Input!$C$9,$AI799*$AC799,$AM799*$AC799))</f>
        <v>0</v>
      </c>
      <c r="AO799" s="164">
        <f>IF(AND($C798=12,$D798=Input!$C$6),0,IF($E799="","",$AN799+AO800/(1+$L799)*$R799))</f>
        <v>28336.465665034291</v>
      </c>
      <c r="AP799" s="152"/>
      <c r="AQ799" s="164">
        <f t="shared" si="259"/>
        <v>61130.136639670061</v>
      </c>
      <c r="AR799" s="164">
        <f t="shared" si="268"/>
        <v>46580.791722145455</v>
      </c>
      <c r="AS799" s="164">
        <f t="shared" si="269"/>
        <v>29746.411483253589</v>
      </c>
      <c r="AT799" s="164">
        <f t="shared" si="260"/>
        <v>46580.791722145455</v>
      </c>
      <c r="AU799" s="152"/>
      <c r="AV799" s="147">
        <f>'Deterministic Reserve'!BC799</f>
        <v>5.9745565836330504E-15</v>
      </c>
      <c r="AW799" s="164">
        <f t="shared" si="261"/>
        <v>46580.791722145455</v>
      </c>
      <c r="AX799" s="164">
        <f t="shared" si="262"/>
        <v>2.7829957585438403E-10</v>
      </c>
      <c r="AY799" s="152"/>
    </row>
    <row r="800" spans="1:51" s="150" customFormat="1" x14ac:dyDescent="0.25">
      <c r="A800" s="150">
        <f t="shared" si="270"/>
        <v>796</v>
      </c>
      <c r="B800" s="150">
        <f t="shared" si="271"/>
        <v>67</v>
      </c>
      <c r="C800" s="150">
        <f t="shared" si="272"/>
        <v>4</v>
      </c>
      <c r="D800" s="150">
        <f>IF(E800="","",Input!$C$4+B800-1)</f>
        <v>111</v>
      </c>
      <c r="E800" s="150">
        <f>IF(OR(AND(C799=12,D799=Input!$C$6),E799=""),"",1)</f>
        <v>1</v>
      </c>
      <c r="F800" s="150">
        <f>IF(E800="","",Input!$C$8+B800-1)</f>
        <v>2084</v>
      </c>
      <c r="G800" s="151">
        <f>IF(E800="","",MAX(0,Input!$C$9-B800))</f>
        <v>0</v>
      </c>
      <c r="H800" s="152">
        <f>IF(E800="","",Input!$C$3)</f>
        <v>100000</v>
      </c>
      <c r="I800" s="153">
        <f>IF(E800="","",HLOOKUP($B800,Input!$C$13:$BT$14,2))</f>
        <v>1000</v>
      </c>
      <c r="J800" s="154"/>
      <c r="K800" s="155">
        <f>IF($E800="","",Input!$C$57)</f>
        <v>4.4999999999999998E-2</v>
      </c>
      <c r="L800" s="155">
        <f t="shared" si="263"/>
        <v>3.6748094004368514E-3</v>
      </c>
      <c r="M800" s="147">
        <f>IF($E800="","",VLOOKUP(IF($B800&lt;=Input!$C$7,$B800,26),'Mortality Tables'!$A$72:$CA$97,IF($B800&lt;=Input!$C$7+1,Input!$C$4-16,$D800-Input!$C$7-16),0)/1000)</f>
        <v>0.62170000000000003</v>
      </c>
      <c r="N800" s="147">
        <f t="shared" si="252"/>
        <v>7.7811514888401101E-2</v>
      </c>
      <c r="O800" s="157">
        <f>IF($E800="","",IF($C800=12,IF($B800&lt;Input!$C$9,Input!$C$54,IF($B800=Input!$C$9,Input!$C$55,Input!$C$56)),0%))</f>
        <v>0</v>
      </c>
      <c r="P800" s="167">
        <f>IF($E800="","",IF($B800=1,Input!$C$59,IF($B800&lt;6,Input!$C$60,0%)))</f>
        <v>0</v>
      </c>
      <c r="Q800" s="162">
        <f>IF($E800="","",Input!$C$58)</f>
        <v>2.5</v>
      </c>
      <c r="R800" s="156">
        <f t="shared" si="264"/>
        <v>0.9221884851115989</v>
      </c>
      <c r="S800" s="154">
        <f t="shared" si="253"/>
        <v>5.644482832370762E-9</v>
      </c>
      <c r="T800" s="152"/>
      <c r="U800" s="150">
        <f t="shared" si="265"/>
        <v>0</v>
      </c>
      <c r="V800" s="150">
        <f t="shared" si="266"/>
        <v>0</v>
      </c>
      <c r="W800" s="168">
        <f t="shared" si="267"/>
        <v>0</v>
      </c>
      <c r="X800" s="163">
        <f t="shared" si="254"/>
        <v>7781.1514888401098</v>
      </c>
      <c r="Y800" s="152"/>
      <c r="Z800" s="164">
        <f>IF(AND($C799=12,$D799=Input!$C$6),0,IF($E800="","",V800+Z801/(1+L800)*R800))</f>
        <v>57961.435980181188</v>
      </c>
      <c r="AA800" s="164">
        <f>IF(OR($M800=1,AND($C799=12,$D799=Input!$C$6)),0,IF($E800="","",W800+(X800+AA801*$R800)/(1+$L800)))</f>
        <v>88934.339184590601</v>
      </c>
      <c r="AB800" s="160">
        <f t="shared" si="255"/>
        <v>0.825720328500681</v>
      </c>
      <c r="AC800" s="164">
        <f t="shared" si="256"/>
        <v>0</v>
      </c>
      <c r="AD800" s="164">
        <f>IF(AND($C799=12,$D799=Input!$C$6),0,IF($E800="","",$AC800+AD801/(1+$L800)*$R800))</f>
        <v>47859.935957926398</v>
      </c>
      <c r="AE800" s="152"/>
      <c r="AF800" s="164">
        <f>IF(AND($C799=12,$D799=Input!$C$6),0,IF($E800="","",IF($B800&gt;Input!$C$9,$AC800,0)+AF801/(1+$L800)*$R800))</f>
        <v>47859.935957926398</v>
      </c>
      <c r="AG800" s="164">
        <f>IF(AND($C799=12,$D799=Input!$C$6),0,IF($E800="","",(IF($B800&gt;Input!$C$9,$X800,0)+AG801)/(1+$L800)*$R800))</f>
        <v>81039.090415792321</v>
      </c>
      <c r="AH800" s="160">
        <f t="shared" si="257"/>
        <v>2.0950137211446997</v>
      </c>
      <c r="AI800" s="160">
        <f>IF($E800="","",MIN(Input!$C$61/AH800,1))</f>
        <v>0.64438718771845094</v>
      </c>
      <c r="AJ800" s="152"/>
      <c r="AK800" s="164">
        <f>IF(AND($C799=12,$D799=Input!$C$6),0,IF($E800="","",IF($B800&gt;Input!$C$9,$AC800*AI800,0)+AK801/(1+$L800)*$R800))</f>
        <v>30840.329536313362</v>
      </c>
      <c r="AL800" s="164">
        <f>IF(AND($C799=12,$D799=Input!$C$6),0,IF($E800="","",IF($B800&gt;Input!$C$9,0,$AC800)+AL801/(1+$L800)*$R800))</f>
        <v>0</v>
      </c>
      <c r="AM800" s="160">
        <f t="shared" si="258"/>
        <v>1.1382936520186004</v>
      </c>
      <c r="AN800" s="164">
        <f>IF($E800="","",IF($B800&gt;Input!$C$9,$AI800*$AC800,$AM800*$AC800))</f>
        <v>0</v>
      </c>
      <c r="AO800" s="164">
        <f>IF(AND($C799=12,$D799=Input!$C$6),0,IF($E800="","",$AN800+AO801/(1+$L800)*$R800))</f>
        <v>30840.329536313362</v>
      </c>
      <c r="AP800" s="152"/>
      <c r="AQ800" s="164">
        <f t="shared" si="259"/>
        <v>58094.009648277235</v>
      </c>
      <c r="AR800" s="164">
        <f t="shared" si="268"/>
        <v>46580.791722145455</v>
      </c>
      <c r="AS800" s="164">
        <f t="shared" si="269"/>
        <v>29746.411483253589</v>
      </c>
      <c r="AT800" s="164">
        <f t="shared" si="260"/>
        <v>46580.791722145455</v>
      </c>
      <c r="AU800" s="152"/>
      <c r="AV800" s="147">
        <f>'Deterministic Reserve'!BC800</f>
        <v>5.3758961626737458E-15</v>
      </c>
      <c r="AW800" s="164">
        <f t="shared" si="261"/>
        <v>46580.791722145455</v>
      </c>
      <c r="AX800" s="164">
        <f t="shared" si="262"/>
        <v>2.5041349947338673E-10</v>
      </c>
      <c r="AY800" s="152"/>
    </row>
    <row r="801" spans="1:51" s="150" customFormat="1" x14ac:dyDescent="0.25">
      <c r="A801" s="150">
        <f t="shared" si="270"/>
        <v>797</v>
      </c>
      <c r="B801" s="150">
        <f t="shared" si="271"/>
        <v>67</v>
      </c>
      <c r="C801" s="150">
        <f t="shared" si="272"/>
        <v>5</v>
      </c>
      <c r="D801" s="150">
        <f>IF(E801="","",Input!$C$4+B801-1)</f>
        <v>111</v>
      </c>
      <c r="E801" s="150">
        <f>IF(OR(AND(C800=12,D800=Input!$C$6),E800=""),"",1)</f>
        <v>1</v>
      </c>
      <c r="F801" s="150">
        <f>IF(E801="","",Input!$C$8+B801-1)</f>
        <v>2084</v>
      </c>
      <c r="G801" s="151">
        <f>IF(E801="","",MAX(0,Input!$C$9-B801))</f>
        <v>0</v>
      </c>
      <c r="H801" s="152">
        <f>IF(E801="","",Input!$C$3)</f>
        <v>100000</v>
      </c>
      <c r="I801" s="153">
        <f>IF(E801="","",HLOOKUP($B801,Input!$C$13:$BT$14,2))</f>
        <v>1000</v>
      </c>
      <c r="J801" s="154"/>
      <c r="K801" s="155">
        <f>IF($E801="","",Input!$C$57)</f>
        <v>4.4999999999999998E-2</v>
      </c>
      <c r="L801" s="155">
        <f t="shared" si="263"/>
        <v>3.6748094004368514E-3</v>
      </c>
      <c r="M801" s="147">
        <f>IF($E801="","",VLOOKUP(IF($B801&lt;=Input!$C$7,$B801,26),'Mortality Tables'!$A$72:$CA$97,IF($B801&lt;=Input!$C$7+1,Input!$C$4-16,$D801-Input!$C$7-16),0)/1000)</f>
        <v>0.62170000000000003</v>
      </c>
      <c r="N801" s="147">
        <f t="shared" si="252"/>
        <v>7.7811514888401101E-2</v>
      </c>
      <c r="O801" s="157">
        <f>IF($E801="","",IF($C801=12,IF($B801&lt;Input!$C$9,Input!$C$54,IF($B801=Input!$C$9,Input!$C$55,Input!$C$56)),0%))</f>
        <v>0</v>
      </c>
      <c r="P801" s="167">
        <f>IF($E801="","",IF($B801=1,Input!$C$59,IF($B801&lt;6,Input!$C$60,0%)))</f>
        <v>0</v>
      </c>
      <c r="Q801" s="162">
        <f>IF($E801="","",Input!$C$58)</f>
        <v>2.5</v>
      </c>
      <c r="R801" s="156">
        <f t="shared" si="264"/>
        <v>0.9221884851115989</v>
      </c>
      <c r="S801" s="154">
        <f t="shared" si="253"/>
        <v>5.2052770724224204E-9</v>
      </c>
      <c r="T801" s="152"/>
      <c r="U801" s="150">
        <f t="shared" si="265"/>
        <v>0</v>
      </c>
      <c r="V801" s="150">
        <f t="shared" si="266"/>
        <v>0</v>
      </c>
      <c r="W801" s="168">
        <f t="shared" si="267"/>
        <v>0</v>
      </c>
      <c r="X801" s="163">
        <f t="shared" si="254"/>
        <v>7781.1514888401098</v>
      </c>
      <c r="Y801" s="152"/>
      <c r="Z801" s="164">
        <f>IF(AND($C800=12,$D800=Input!$C$6),0,IF($E801="","",V801+Z802/(1+L801)*R801))</f>
        <v>63083.018438409563</v>
      </c>
      <c r="AA801" s="164">
        <f>IF(OR($M801=1,AND($C800=12,$D800=Input!$C$6)),0,IF($E801="","",W801+(X801+AA802*$R801)/(1+$L801)))</f>
        <v>88355.044285276803</v>
      </c>
      <c r="AB801" s="160">
        <f t="shared" si="255"/>
        <v>0.825720328500681</v>
      </c>
      <c r="AC801" s="164">
        <f t="shared" si="256"/>
        <v>0</v>
      </c>
      <c r="AD801" s="164">
        <f>IF(AND($C800=12,$D800=Input!$C$6),0,IF($E801="","",$AC801+AD802/(1+$L801)*$R801))</f>
        <v>52088.930707778061</v>
      </c>
      <c r="AE801" s="152"/>
      <c r="AF801" s="164">
        <f>IF(AND($C800=12,$D800=Input!$C$6),0,IF($E801="","",IF($B801&gt;Input!$C$9,$AC801,0)+AF802/(1+$L801)*$R801))</f>
        <v>52088.930707778061</v>
      </c>
      <c r="AG801" s="164">
        <f>IF(AND($C800=12,$D800=Input!$C$6),0,IF($E801="","",(IF($B801&gt;Input!$C$9,$X801,0)+AG802)/(1+$L801)*$R801))</f>
        <v>80418.706718250935</v>
      </c>
      <c r="AH801" s="160">
        <f t="shared" si="257"/>
        <v>2.0950137211446997</v>
      </c>
      <c r="AI801" s="160">
        <f>IF($E801="","",MIN(Input!$C$61/AH801,1))</f>
        <v>0.64438718771845094</v>
      </c>
      <c r="AJ801" s="152"/>
      <c r="AK801" s="164">
        <f>IF(AND($C800=12,$D800=Input!$C$6),0,IF($E801="","",IF($B801&gt;Input!$C$9,$AC801*AI801,0)+AK802/(1+$L801)*$R801))</f>
        <v>33565.439570046365</v>
      </c>
      <c r="AL801" s="164">
        <f>IF(AND($C800=12,$D800=Input!$C$6),0,IF($E801="","",IF($B801&gt;Input!$C$9,0,$AC801)+AL802/(1+$L801)*$R801))</f>
        <v>0</v>
      </c>
      <c r="AM801" s="160">
        <f t="shared" si="258"/>
        <v>1.1382936520186004</v>
      </c>
      <c r="AN801" s="164">
        <f>IF($E801="","",IF($B801&gt;Input!$C$9,$AI801*$AC801,$AM801*$AC801))</f>
        <v>0</v>
      </c>
      <c r="AO801" s="164">
        <f>IF(AND($C800=12,$D800=Input!$C$6),0,IF($E801="","",$AN801+AO802/(1+$L801)*$R801))</f>
        <v>33565.439570046365</v>
      </c>
      <c r="AP801" s="152"/>
      <c r="AQ801" s="164">
        <f t="shared" si="259"/>
        <v>54789.604715230438</v>
      </c>
      <c r="AR801" s="164">
        <f t="shared" si="268"/>
        <v>46580.791722145455</v>
      </c>
      <c r="AS801" s="164">
        <f t="shared" si="269"/>
        <v>29746.411483253589</v>
      </c>
      <c r="AT801" s="164">
        <f t="shared" si="260"/>
        <v>46580.791722145455</v>
      </c>
      <c r="AU801" s="152"/>
      <c r="AV801" s="147">
        <f>'Deterministic Reserve'!BC801</f>
        <v>4.8372225030089905E-15</v>
      </c>
      <c r="AW801" s="164">
        <f t="shared" si="261"/>
        <v>46580.791722145455</v>
      </c>
      <c r="AX801" s="164">
        <f t="shared" si="262"/>
        <v>2.2532165392633689E-10</v>
      </c>
      <c r="AY801" s="152"/>
    </row>
    <row r="802" spans="1:51" s="150" customFormat="1" x14ac:dyDescent="0.25">
      <c r="A802" s="150">
        <f t="shared" si="270"/>
        <v>798</v>
      </c>
      <c r="B802" s="150">
        <f t="shared" si="271"/>
        <v>67</v>
      </c>
      <c r="C802" s="150">
        <f t="shared" si="272"/>
        <v>6</v>
      </c>
      <c r="D802" s="150">
        <f>IF(E802="","",Input!$C$4+B802-1)</f>
        <v>111</v>
      </c>
      <c r="E802" s="150">
        <f>IF(OR(AND(C801=12,D801=Input!$C$6),E801=""),"",1)</f>
        <v>1</v>
      </c>
      <c r="F802" s="150">
        <f>IF(E802="","",Input!$C$8+B802-1)</f>
        <v>2084</v>
      </c>
      <c r="G802" s="151">
        <f>IF(E802="","",MAX(0,Input!$C$9-B802))</f>
        <v>0</v>
      </c>
      <c r="H802" s="152">
        <f>IF(E802="","",Input!$C$3)</f>
        <v>100000</v>
      </c>
      <c r="I802" s="153">
        <f>IF(E802="","",HLOOKUP($B802,Input!$C$13:$BT$14,2))</f>
        <v>1000</v>
      </c>
      <c r="J802" s="154"/>
      <c r="K802" s="155">
        <f>IF($E802="","",Input!$C$57)</f>
        <v>4.4999999999999998E-2</v>
      </c>
      <c r="L802" s="155">
        <f t="shared" si="263"/>
        <v>3.6748094004368514E-3</v>
      </c>
      <c r="M802" s="147">
        <f>IF($E802="","",VLOOKUP(IF($B802&lt;=Input!$C$7,$B802,26),'Mortality Tables'!$A$72:$CA$97,IF($B802&lt;=Input!$C$7+1,Input!$C$4-16,$D802-Input!$C$7-16),0)/1000)</f>
        <v>0.62170000000000003</v>
      </c>
      <c r="N802" s="147">
        <f t="shared" si="252"/>
        <v>7.7811514888401101E-2</v>
      </c>
      <c r="O802" s="157">
        <f>IF($E802="","",IF($C802=12,IF($B802&lt;Input!$C$9,Input!$C$54,IF($B802=Input!$C$9,Input!$C$55,Input!$C$56)),0%))</f>
        <v>0</v>
      </c>
      <c r="P802" s="167">
        <f>IF($E802="","",IF($B802=1,Input!$C$59,IF($B802&lt;6,Input!$C$60,0%)))</f>
        <v>0</v>
      </c>
      <c r="Q802" s="162">
        <f>IF($E802="","",Input!$C$58)</f>
        <v>2.5</v>
      </c>
      <c r="R802" s="156">
        <f t="shared" si="264"/>
        <v>0.9221884851115989</v>
      </c>
      <c r="S802" s="154">
        <f t="shared" si="253"/>
        <v>4.80024657800337E-9</v>
      </c>
      <c r="T802" s="152"/>
      <c r="U802" s="150">
        <f t="shared" si="265"/>
        <v>0</v>
      </c>
      <c r="V802" s="150">
        <f t="shared" si="266"/>
        <v>0</v>
      </c>
      <c r="W802" s="168">
        <f t="shared" si="267"/>
        <v>0</v>
      </c>
      <c r="X802" s="163">
        <f t="shared" si="254"/>
        <v>7781.1514888401098</v>
      </c>
      <c r="Y802" s="152"/>
      <c r="Z802" s="164">
        <f>IF(AND($C801=12,$D801=Input!$C$6),0,IF($E802="","",V802+Z803/(1+L802)*R802))</f>
        <v>68657.153640248391</v>
      </c>
      <c r="AA802" s="164">
        <f>IF(OR($M802=1,AND($C801=12,$D801=Input!$C$6)),0,IF($E802="","",W802+(X802+AA803*$R802)/(1+$L802)))</f>
        <v>87724.561789515588</v>
      </c>
      <c r="AB802" s="160">
        <f t="shared" si="255"/>
        <v>0.825720328500681</v>
      </c>
      <c r="AC802" s="164">
        <f t="shared" si="256"/>
        <v>0</v>
      </c>
      <c r="AD802" s="164">
        <f>IF(AND($C801=12,$D801=Input!$C$6),0,IF($E802="","",$AC802+AD803/(1+$L802)*$R802))</f>
        <v>56691.607457747625</v>
      </c>
      <c r="AE802" s="152"/>
      <c r="AF802" s="164">
        <f>IF(AND($C801=12,$D801=Input!$C$6),0,IF($E802="","",IF($B802&gt;Input!$C$9,$AC802,0)+AF803/(1+$L802)*$R802))</f>
        <v>56691.607457747625</v>
      </c>
      <c r="AG802" s="164">
        <f>IF(AND($C801=12,$D801=Input!$C$6),0,IF($E802="","",(IF($B802&gt;Input!$C$9,$X802,0)+AG803)/(1+$L802)*$R802))</f>
        <v>79743.504740089586</v>
      </c>
      <c r="AH802" s="160">
        <f t="shared" si="257"/>
        <v>2.0950137211446997</v>
      </c>
      <c r="AI802" s="160">
        <f>IF($E802="","",MIN(Input!$C$61/AH802,1))</f>
        <v>0.64438718771845094</v>
      </c>
      <c r="AJ802" s="152"/>
      <c r="AK802" s="164">
        <f>IF(AND($C801=12,$D801=Input!$C$6),0,IF($E802="","",IF($B802&gt;Input!$C$9,$AC802*AI802,0)+AK803/(1+$L802)*$R802))</f>
        <v>36531.345496936352</v>
      </c>
      <c r="AL802" s="164">
        <f>IF(AND($C801=12,$D801=Input!$C$6),0,IF($E802="","",IF($B802&gt;Input!$C$9,0,$AC802)+AL803/(1+$L802)*$R802))</f>
        <v>0</v>
      </c>
      <c r="AM802" s="160">
        <f t="shared" si="258"/>
        <v>1.1382936520186004</v>
      </c>
      <c r="AN802" s="164">
        <f>IF($E802="","",IF($B802&gt;Input!$C$9,$AI802*$AC802,$AM802*$AC802))</f>
        <v>0</v>
      </c>
      <c r="AO802" s="164">
        <f>IF(AND($C801=12,$D801=Input!$C$6),0,IF($E802="","",$AN802+AO803/(1+$L802)*$R802))</f>
        <v>36531.345496936352</v>
      </c>
      <c r="AP802" s="152"/>
      <c r="AQ802" s="164">
        <f t="shared" si="259"/>
        <v>51193.216292579236</v>
      </c>
      <c r="AR802" s="164">
        <f t="shared" si="268"/>
        <v>46580.791722145455</v>
      </c>
      <c r="AS802" s="164">
        <f t="shared" si="269"/>
        <v>29746.411483253589</v>
      </c>
      <c r="AT802" s="164">
        <f t="shared" si="260"/>
        <v>46580.791722145455</v>
      </c>
      <c r="AU802" s="152"/>
      <c r="AV802" s="147">
        <f>'Deterministic Reserve'!BC802</f>
        <v>4.3525248322465771E-15</v>
      </c>
      <c r="AW802" s="164">
        <f t="shared" si="261"/>
        <v>46580.791722145455</v>
      </c>
      <c r="AX802" s="164">
        <f t="shared" si="262"/>
        <v>2.0274405267634389E-10</v>
      </c>
      <c r="AY802" s="152"/>
    </row>
    <row r="803" spans="1:51" s="150" customFormat="1" x14ac:dyDescent="0.25">
      <c r="A803" s="150">
        <f t="shared" si="270"/>
        <v>799</v>
      </c>
      <c r="B803" s="150">
        <f t="shared" si="271"/>
        <v>67</v>
      </c>
      <c r="C803" s="150">
        <f t="shared" si="272"/>
        <v>7</v>
      </c>
      <c r="D803" s="150">
        <f>IF(E803="","",Input!$C$4+B803-1)</f>
        <v>111</v>
      </c>
      <c r="E803" s="150">
        <f>IF(OR(AND(C802=12,D802=Input!$C$6),E802=""),"",1)</f>
        <v>1</v>
      </c>
      <c r="F803" s="150">
        <f>IF(E803="","",Input!$C$8+B803-1)</f>
        <v>2084</v>
      </c>
      <c r="G803" s="151">
        <f>IF(E803="","",MAX(0,Input!$C$9-B803))</f>
        <v>0</v>
      </c>
      <c r="H803" s="152">
        <f>IF(E803="","",Input!$C$3)</f>
        <v>100000</v>
      </c>
      <c r="I803" s="153">
        <f>IF(E803="","",HLOOKUP($B803,Input!$C$13:$BT$14,2))</f>
        <v>1000</v>
      </c>
      <c r="J803" s="154"/>
      <c r="K803" s="155">
        <f>IF($E803="","",Input!$C$57)</f>
        <v>4.4999999999999998E-2</v>
      </c>
      <c r="L803" s="155">
        <f t="shared" si="263"/>
        <v>3.6748094004368514E-3</v>
      </c>
      <c r="M803" s="147">
        <f>IF($E803="","",VLOOKUP(IF($B803&lt;=Input!$C$7,$B803,26),'Mortality Tables'!$A$72:$CA$97,IF($B803&lt;=Input!$C$7+1,Input!$C$4-16,$D803-Input!$C$7-16),0)/1000)</f>
        <v>0.62170000000000003</v>
      </c>
      <c r="N803" s="147">
        <f t="shared" si="252"/>
        <v>7.7811514888401101E-2</v>
      </c>
      <c r="O803" s="157">
        <f>IF($E803="","",IF($C803=12,IF($B803&lt;Input!$C$9,Input!$C$54,IF($B803=Input!$C$9,Input!$C$55,Input!$C$56)),0%))</f>
        <v>0</v>
      </c>
      <c r="P803" s="167">
        <f>IF($E803="","",IF($B803=1,Input!$C$59,IF($B803&lt;6,Input!$C$60,0%)))</f>
        <v>0</v>
      </c>
      <c r="Q803" s="162">
        <f>IF($E803="","",Input!$C$58)</f>
        <v>2.5</v>
      </c>
      <c r="R803" s="156">
        <f t="shared" si="264"/>
        <v>0.9221884851115989</v>
      </c>
      <c r="S803" s="154">
        <f t="shared" si="253"/>
        <v>4.4267321199310644E-9</v>
      </c>
      <c r="T803" s="152"/>
      <c r="U803" s="150">
        <f t="shared" si="265"/>
        <v>0</v>
      </c>
      <c r="V803" s="150">
        <f t="shared" si="266"/>
        <v>0</v>
      </c>
      <c r="W803" s="168">
        <f t="shared" si="267"/>
        <v>0</v>
      </c>
      <c r="X803" s="163">
        <f t="shared" si="254"/>
        <v>7781.1514888401098</v>
      </c>
      <c r="Y803" s="152"/>
      <c r="Z803" s="164">
        <f>IF(AND($C802=12,$D802=Input!$C$6),0,IF($E803="","",V803+Z804/(1+L803)*R803))</f>
        <v>74723.83000478879</v>
      </c>
      <c r="AA803" s="164">
        <f>IF(OR($M803=1,AND($C802=12,$D802=Input!$C$6)),0,IF($E803="","",W803+(X803+AA804*$R803)/(1+$L803)))</f>
        <v>87038.368664162408</v>
      </c>
      <c r="AB803" s="160">
        <f t="shared" si="255"/>
        <v>0.825720328500681</v>
      </c>
      <c r="AC803" s="164">
        <f t="shared" si="256"/>
        <v>0</v>
      </c>
      <c r="AD803" s="164">
        <f>IF(AND($C802=12,$D802=Input!$C$6),0,IF($E803="","",$AC803+AD804/(1+$L803)*$R803))</f>
        <v>61700.985458383235</v>
      </c>
      <c r="AE803" s="152"/>
      <c r="AF803" s="164">
        <f>IF(AND($C802=12,$D802=Input!$C$6),0,IF($E803="","",IF($B803&gt;Input!$C$9,$AC803,0)+AF804/(1+$L803)*$R803))</f>
        <v>61700.985458383235</v>
      </c>
      <c r="AG803" s="164">
        <f>IF(AND($C802=12,$D802=Input!$C$6),0,IF($E803="","",(IF($B803&gt;Input!$C$9,$X803,0)+AG804)/(1+$L803)*$R803))</f>
        <v>79008.640634021416</v>
      </c>
      <c r="AH803" s="160">
        <f t="shared" si="257"/>
        <v>2.0950137211446997</v>
      </c>
      <c r="AI803" s="160">
        <f>IF($E803="","",MIN(Input!$C$61/AH803,1))</f>
        <v>0.64438718771845094</v>
      </c>
      <c r="AJ803" s="152"/>
      <c r="AK803" s="164">
        <f>IF(AND($C802=12,$D802=Input!$C$6),0,IF($E803="","",IF($B803&gt;Input!$C$9,$AC803*AI803,0)+AK804/(1+$L803)*$R803))</f>
        <v>39759.324498984613</v>
      </c>
      <c r="AL803" s="164">
        <f>IF(AND($C802=12,$D802=Input!$C$6),0,IF($E803="","",IF($B803&gt;Input!$C$9,0,$AC803)+AL804/(1+$L803)*$R803))</f>
        <v>0</v>
      </c>
      <c r="AM803" s="160">
        <f t="shared" si="258"/>
        <v>1.1382936520186004</v>
      </c>
      <c r="AN803" s="164">
        <f>IF($E803="","",IF($B803&gt;Input!$C$9,$AI803*$AC803,$AM803*$AC803))</f>
        <v>0</v>
      </c>
      <c r="AO803" s="164">
        <f>IF(AND($C802=12,$D802=Input!$C$6),0,IF($E803="","",$AN803+AO804/(1+$L803)*$R803))</f>
        <v>39759.324498984613</v>
      </c>
      <c r="AP803" s="152"/>
      <c r="AQ803" s="164">
        <f t="shared" si="259"/>
        <v>47279.044165177795</v>
      </c>
      <c r="AR803" s="164">
        <f t="shared" si="268"/>
        <v>46580.791722145455</v>
      </c>
      <c r="AS803" s="164">
        <f t="shared" si="269"/>
        <v>29746.411483253589</v>
      </c>
      <c r="AT803" s="164">
        <f t="shared" si="260"/>
        <v>46580.791722145455</v>
      </c>
      <c r="AU803" s="152"/>
      <c r="AV803" s="147">
        <f>'Deterministic Reserve'!BC803</f>
        <v>3.916394667298992E-15</v>
      </c>
      <c r="AW803" s="164">
        <f t="shared" si="261"/>
        <v>46580.791722145455</v>
      </c>
      <c r="AX803" s="164">
        <f t="shared" si="262"/>
        <v>1.8242876429917548E-10</v>
      </c>
      <c r="AY803" s="152"/>
    </row>
    <row r="804" spans="1:51" s="150" customFormat="1" x14ac:dyDescent="0.25">
      <c r="A804" s="150">
        <f t="shared" si="270"/>
        <v>800</v>
      </c>
      <c r="B804" s="150">
        <f t="shared" si="271"/>
        <v>67</v>
      </c>
      <c r="C804" s="150">
        <f t="shared" si="272"/>
        <v>8</v>
      </c>
      <c r="D804" s="150">
        <f>IF(E804="","",Input!$C$4+B804-1)</f>
        <v>111</v>
      </c>
      <c r="E804" s="150">
        <f>IF(OR(AND(C803=12,D803=Input!$C$6),E803=""),"",1)</f>
        <v>1</v>
      </c>
      <c r="F804" s="150">
        <f>IF(E804="","",Input!$C$8+B804-1)</f>
        <v>2084</v>
      </c>
      <c r="G804" s="151">
        <f>IF(E804="","",MAX(0,Input!$C$9-B804))</f>
        <v>0</v>
      </c>
      <c r="H804" s="152">
        <f>IF(E804="","",Input!$C$3)</f>
        <v>100000</v>
      </c>
      <c r="I804" s="153">
        <f>IF(E804="","",HLOOKUP($B804,Input!$C$13:$BT$14,2))</f>
        <v>1000</v>
      </c>
      <c r="J804" s="154"/>
      <c r="K804" s="155">
        <f>IF($E804="","",Input!$C$57)</f>
        <v>4.4999999999999998E-2</v>
      </c>
      <c r="L804" s="155">
        <f t="shared" si="263"/>
        <v>3.6748094004368514E-3</v>
      </c>
      <c r="M804" s="147">
        <f>IF($E804="","",VLOOKUP(IF($B804&lt;=Input!$C$7,$B804,26),'Mortality Tables'!$A$72:$CA$97,IF($B804&lt;=Input!$C$7+1,Input!$C$4-16,$D804-Input!$C$7-16),0)/1000)</f>
        <v>0.62170000000000003</v>
      </c>
      <c r="N804" s="147">
        <f t="shared" si="252"/>
        <v>7.7811514888401101E-2</v>
      </c>
      <c r="O804" s="157">
        <f>IF($E804="","",IF($C804=12,IF($B804&lt;Input!$C$9,Input!$C$54,IF($B804=Input!$C$9,Input!$C$55,Input!$C$56)),0%))</f>
        <v>0</v>
      </c>
      <c r="P804" s="167">
        <f>IF($E804="","",IF($B804=1,Input!$C$59,IF($B804&lt;6,Input!$C$60,0%)))</f>
        <v>0</v>
      </c>
      <c r="Q804" s="162">
        <f>IF($E804="","",Input!$C$58)</f>
        <v>2.5</v>
      </c>
      <c r="R804" s="156">
        <f t="shared" si="264"/>
        <v>0.9221884851115989</v>
      </c>
      <c r="S804" s="154">
        <f t="shared" si="253"/>
        <v>4.082281387674085E-9</v>
      </c>
      <c r="T804" s="152"/>
      <c r="U804" s="150">
        <f t="shared" si="265"/>
        <v>0</v>
      </c>
      <c r="V804" s="150">
        <f t="shared" si="266"/>
        <v>0</v>
      </c>
      <c r="W804" s="168">
        <f t="shared" si="267"/>
        <v>0</v>
      </c>
      <c r="X804" s="163">
        <f t="shared" si="254"/>
        <v>7781.1514888401098</v>
      </c>
      <c r="Y804" s="152"/>
      <c r="Z804" s="164">
        <f>IF(AND($C803=12,$D803=Input!$C$6),0,IF($E804="","",V804+Z805/(1+L804)*R804))</f>
        <v>81326.569403706089</v>
      </c>
      <c r="AA804" s="164">
        <f>IF(OR($M804=1,AND($C803=12,$D803=Input!$C$6)),0,IF($E804="","",W804+(X804+AA805*$R804)/(1+$L804)))</f>
        <v>86291.542212282133</v>
      </c>
      <c r="AB804" s="160">
        <f t="shared" si="255"/>
        <v>0.825720328500681</v>
      </c>
      <c r="AC804" s="164">
        <f t="shared" si="256"/>
        <v>0</v>
      </c>
      <c r="AD804" s="164">
        <f>IF(AND($C803=12,$D803=Input!$C$6),0,IF($E804="","",$AC804+AD805/(1+$L804)*$R804))</f>
        <v>67153.001603861616</v>
      </c>
      <c r="AE804" s="152"/>
      <c r="AF804" s="164">
        <f>IF(AND($C803=12,$D803=Input!$C$6),0,IF($E804="","",IF($B804&gt;Input!$C$9,$AC804,0)+AF805/(1+$L804)*$R804))</f>
        <v>67153.001603861616</v>
      </c>
      <c r="AG804" s="164">
        <f>IF(AND($C803=12,$D803=Input!$C$6),0,IF($E804="","",(IF($B804&gt;Input!$C$9,$X804,0)+AG805)/(1+$L804)*$R804))</f>
        <v>78208.842541222693</v>
      </c>
      <c r="AH804" s="160">
        <f t="shared" si="257"/>
        <v>2.0950137211446997</v>
      </c>
      <c r="AI804" s="160">
        <f>IF($E804="","",MIN(Input!$C$61/AH804,1))</f>
        <v>0.64438718771845094</v>
      </c>
      <c r="AJ804" s="152"/>
      <c r="AK804" s="164">
        <f>IF(AND($C803=12,$D803=Input!$C$6),0,IF($E804="","",IF($B804&gt;Input!$C$9,$AC804*AI804,0)+AK805/(1+$L804)*$R804))</f>
        <v>43272.53385036502</v>
      </c>
      <c r="AL804" s="164">
        <f>IF(AND($C803=12,$D803=Input!$C$6),0,IF($E804="","",IF($B804&gt;Input!$C$9,0,$AC804)+AL805/(1+$L804)*$R804))</f>
        <v>0</v>
      </c>
      <c r="AM804" s="160">
        <f t="shared" si="258"/>
        <v>1.1382936520186004</v>
      </c>
      <c r="AN804" s="164">
        <f>IF($E804="","",IF($B804&gt;Input!$C$9,$AI804*$AC804,$AM804*$AC804))</f>
        <v>0</v>
      </c>
      <c r="AO804" s="164">
        <f>IF(AND($C803=12,$D803=Input!$C$6),0,IF($E804="","",$AN804+AO805/(1+$L804)*$R804))</f>
        <v>43272.53385036502</v>
      </c>
      <c r="AP804" s="152"/>
      <c r="AQ804" s="164">
        <f t="shared" si="259"/>
        <v>43019.008361917113</v>
      </c>
      <c r="AR804" s="164">
        <f t="shared" si="268"/>
        <v>46580.791722145455</v>
      </c>
      <c r="AS804" s="164">
        <f t="shared" si="269"/>
        <v>29746.411483253589</v>
      </c>
      <c r="AT804" s="164">
        <f t="shared" si="260"/>
        <v>46580.791722145455</v>
      </c>
      <c r="AU804" s="152"/>
      <c r="AV804" s="147">
        <f>'Deterministic Reserve'!BC804</f>
        <v>3.5239654640019876E-15</v>
      </c>
      <c r="AW804" s="164">
        <f t="shared" si="261"/>
        <v>46580.791722145455</v>
      </c>
      <c r="AX804" s="164">
        <f t="shared" si="262"/>
        <v>1.6414910131471026E-10</v>
      </c>
      <c r="AY804" s="152"/>
    </row>
    <row r="805" spans="1:51" s="150" customFormat="1" x14ac:dyDescent="0.25">
      <c r="A805" s="150">
        <f t="shared" si="270"/>
        <v>801</v>
      </c>
      <c r="B805" s="150">
        <f t="shared" si="271"/>
        <v>67</v>
      </c>
      <c r="C805" s="150">
        <f t="shared" si="272"/>
        <v>9</v>
      </c>
      <c r="D805" s="150">
        <f>IF(E805="","",Input!$C$4+B805-1)</f>
        <v>111</v>
      </c>
      <c r="E805" s="150">
        <f>IF(OR(AND(C804=12,D804=Input!$C$6),E804=""),"",1)</f>
        <v>1</v>
      </c>
      <c r="F805" s="150">
        <f>IF(E805="","",Input!$C$8+B805-1)</f>
        <v>2084</v>
      </c>
      <c r="G805" s="151">
        <f>IF(E805="","",MAX(0,Input!$C$9-B805))</f>
        <v>0</v>
      </c>
      <c r="H805" s="152">
        <f>IF(E805="","",Input!$C$3)</f>
        <v>100000</v>
      </c>
      <c r="I805" s="153">
        <f>IF(E805="","",HLOOKUP($B805,Input!$C$13:$BT$14,2))</f>
        <v>1000</v>
      </c>
      <c r="J805" s="154"/>
      <c r="K805" s="155">
        <f>IF($E805="","",Input!$C$57)</f>
        <v>4.4999999999999998E-2</v>
      </c>
      <c r="L805" s="155">
        <f t="shared" si="263"/>
        <v>3.6748094004368514E-3</v>
      </c>
      <c r="M805" s="147">
        <f>IF($E805="","",VLOOKUP(IF($B805&lt;=Input!$C$7,$B805,26),'Mortality Tables'!$A$72:$CA$97,IF($B805&lt;=Input!$C$7+1,Input!$C$4-16,$D805-Input!$C$7-16),0)/1000)</f>
        <v>0.62170000000000003</v>
      </c>
      <c r="N805" s="147">
        <f t="shared" si="252"/>
        <v>7.7811514888401101E-2</v>
      </c>
      <c r="O805" s="157">
        <f>IF($E805="","",IF($C805=12,IF($B805&lt;Input!$C$9,Input!$C$54,IF($B805=Input!$C$9,Input!$C$55,Input!$C$56)),0%))</f>
        <v>0</v>
      </c>
      <c r="P805" s="167">
        <f>IF($E805="","",IF($B805=1,Input!$C$59,IF($B805&lt;6,Input!$C$60,0%)))</f>
        <v>0</v>
      </c>
      <c r="Q805" s="162">
        <f>IF($E805="","",Input!$C$58)</f>
        <v>2.5</v>
      </c>
      <c r="R805" s="156">
        <f t="shared" si="264"/>
        <v>0.9221884851115989</v>
      </c>
      <c r="S805" s="154">
        <f t="shared" si="253"/>
        <v>3.7646328886984403E-9</v>
      </c>
      <c r="T805" s="152"/>
      <c r="U805" s="150">
        <f t="shared" si="265"/>
        <v>0</v>
      </c>
      <c r="V805" s="150">
        <f t="shared" si="266"/>
        <v>0</v>
      </c>
      <c r="W805" s="168">
        <f t="shared" si="267"/>
        <v>0</v>
      </c>
      <c r="X805" s="163">
        <f t="shared" si="254"/>
        <v>7781.1514888401098</v>
      </c>
      <c r="Y805" s="152"/>
      <c r="Z805" s="164">
        <f>IF(AND($C804=12,$D804=Input!$C$6),0,IF($E805="","",V805+Z806/(1+L805)*R805))</f>
        <v>88512.739383834501</v>
      </c>
      <c r="AA805" s="164">
        <f>IF(OR($M805=1,AND($C804=12,$D804=Input!$C$6)),0,IF($E805="","",W805+(X805+AA806*$R805)/(1+$L805)))</f>
        <v>85478.724758098208</v>
      </c>
      <c r="AB805" s="160">
        <f t="shared" si="255"/>
        <v>0.825720328500681</v>
      </c>
      <c r="AC805" s="164">
        <f t="shared" si="256"/>
        <v>0</v>
      </c>
      <c r="AD805" s="164">
        <f>IF(AND($C804=12,$D804=Input!$C$6),0,IF($E805="","",$AC805+AD806/(1+$L805)*$R805))</f>
        <v>73086.768240514997</v>
      </c>
      <c r="AE805" s="152"/>
      <c r="AF805" s="164">
        <f>IF(AND($C804=12,$D804=Input!$C$6),0,IF($E805="","",IF($B805&gt;Input!$C$9,$AC805,0)+AF806/(1+$L805)*$R805))</f>
        <v>73086.768240514997</v>
      </c>
      <c r="AG805" s="164">
        <f>IF(AND($C804=12,$D804=Input!$C$6),0,IF($E805="","",(IF($B805&gt;Input!$C$9,$X805,0)+AG806)/(1+$L805)*$R805))</f>
        <v>77338.372771421302</v>
      </c>
      <c r="AH805" s="160">
        <f t="shared" si="257"/>
        <v>2.0950137211446997</v>
      </c>
      <c r="AI805" s="160">
        <f>IF($E805="","",MIN(Input!$C$61/AH805,1))</f>
        <v>0.64438718771845094</v>
      </c>
      <c r="AJ805" s="152"/>
      <c r="AK805" s="164">
        <f>IF(AND($C804=12,$D804=Input!$C$6),0,IF($E805="","",IF($B805&gt;Input!$C$9,$AC805*AI805,0)+AK806/(1+$L805)*$R805))</f>
        <v>47096.177045935663</v>
      </c>
      <c r="AL805" s="164">
        <f>IF(AND($C804=12,$D804=Input!$C$6),0,IF($E805="","",IF($B805&gt;Input!$C$9,0,$AC805)+AL806/(1+$L805)*$R805))</f>
        <v>0</v>
      </c>
      <c r="AM805" s="160">
        <f t="shared" si="258"/>
        <v>1.1382936520186004</v>
      </c>
      <c r="AN805" s="164">
        <f>IF($E805="","",IF($B805&gt;Input!$C$9,$AI805*$AC805,$AM805*$AC805))</f>
        <v>0</v>
      </c>
      <c r="AO805" s="164">
        <f>IF(AND($C804=12,$D804=Input!$C$6),0,IF($E805="","",$AN805+AO806/(1+$L805)*$R805))</f>
        <v>47096.177045935663</v>
      </c>
      <c r="AP805" s="152"/>
      <c r="AQ805" s="164">
        <f t="shared" si="259"/>
        <v>38382.547712162544</v>
      </c>
      <c r="AR805" s="164">
        <f t="shared" si="268"/>
        <v>46580.791722145455</v>
      </c>
      <c r="AS805" s="164">
        <f t="shared" si="269"/>
        <v>29746.411483253589</v>
      </c>
      <c r="AT805" s="164">
        <f t="shared" si="260"/>
        <v>46580.791722145455</v>
      </c>
      <c r="AU805" s="152"/>
      <c r="AV805" s="147">
        <f>'Deterministic Reserve'!BC805</f>
        <v>3.1708583139408824E-15</v>
      </c>
      <c r="AW805" s="164">
        <f t="shared" si="261"/>
        <v>46580.791722145455</v>
      </c>
      <c r="AX805" s="164">
        <f t="shared" si="262"/>
        <v>1.4770109070211355E-10</v>
      </c>
      <c r="AY805" s="152"/>
    </row>
    <row r="806" spans="1:51" s="150" customFormat="1" x14ac:dyDescent="0.25">
      <c r="A806" s="150">
        <f t="shared" si="270"/>
        <v>802</v>
      </c>
      <c r="B806" s="150">
        <f t="shared" si="271"/>
        <v>67</v>
      </c>
      <c r="C806" s="150">
        <f t="shared" si="272"/>
        <v>10</v>
      </c>
      <c r="D806" s="150">
        <f>IF(E806="","",Input!$C$4+B806-1)</f>
        <v>111</v>
      </c>
      <c r="E806" s="150">
        <f>IF(OR(AND(C805=12,D805=Input!$C$6),E805=""),"",1)</f>
        <v>1</v>
      </c>
      <c r="F806" s="150">
        <f>IF(E806="","",Input!$C$8+B806-1)</f>
        <v>2084</v>
      </c>
      <c r="G806" s="151">
        <f>IF(E806="","",MAX(0,Input!$C$9-B806))</f>
        <v>0</v>
      </c>
      <c r="H806" s="152">
        <f>IF(E806="","",Input!$C$3)</f>
        <v>100000</v>
      </c>
      <c r="I806" s="153">
        <f>IF(E806="","",HLOOKUP($B806,Input!$C$13:$BT$14,2))</f>
        <v>1000</v>
      </c>
      <c r="J806" s="154"/>
      <c r="K806" s="155">
        <f>IF($E806="","",Input!$C$57)</f>
        <v>4.4999999999999998E-2</v>
      </c>
      <c r="L806" s="155">
        <f t="shared" si="263"/>
        <v>3.6748094004368514E-3</v>
      </c>
      <c r="M806" s="147">
        <f>IF($E806="","",VLOOKUP(IF($B806&lt;=Input!$C$7,$B806,26),'Mortality Tables'!$A$72:$CA$97,IF($B806&lt;=Input!$C$7+1,Input!$C$4-16,$D806-Input!$C$7-16),0)/1000)</f>
        <v>0.62170000000000003</v>
      </c>
      <c r="N806" s="147">
        <f t="shared" si="252"/>
        <v>7.7811514888401101E-2</v>
      </c>
      <c r="O806" s="157">
        <f>IF($E806="","",IF($C806=12,IF($B806&lt;Input!$C$9,Input!$C$54,IF($B806=Input!$C$9,Input!$C$55,Input!$C$56)),0%))</f>
        <v>0</v>
      </c>
      <c r="P806" s="167">
        <f>IF($E806="","",IF($B806=1,Input!$C$59,IF($B806&lt;6,Input!$C$60,0%)))</f>
        <v>0</v>
      </c>
      <c r="Q806" s="162">
        <f>IF($E806="","",Input!$C$58)</f>
        <v>2.5</v>
      </c>
      <c r="R806" s="156">
        <f t="shared" si="264"/>
        <v>0.9221884851115989</v>
      </c>
      <c r="S806" s="154">
        <f t="shared" si="253"/>
        <v>3.4717011006301171E-9</v>
      </c>
      <c r="T806" s="152"/>
      <c r="U806" s="150">
        <f t="shared" si="265"/>
        <v>0</v>
      </c>
      <c r="V806" s="150">
        <f t="shared" si="266"/>
        <v>0</v>
      </c>
      <c r="W806" s="168">
        <f t="shared" si="267"/>
        <v>0</v>
      </c>
      <c r="X806" s="163">
        <f t="shared" si="254"/>
        <v>7781.1514888401098</v>
      </c>
      <c r="Y806" s="152"/>
      <c r="Z806" s="164">
        <f>IF(AND($C805=12,$D805=Input!$C$6),0,IF($E806="","",V806+Z807/(1+L806)*R806))</f>
        <v>96333.892978320902</v>
      </c>
      <c r="AA806" s="164">
        <f>IF(OR($M806=1,AND($C805=12,$D805=Input!$C$6)),0,IF($E806="","",W806+(X806+AA807*$R806)/(1+$L806)))</f>
        <v>84594.08521143689</v>
      </c>
      <c r="AB806" s="160">
        <f t="shared" si="255"/>
        <v>0.825720328500681</v>
      </c>
      <c r="AC806" s="164">
        <f t="shared" si="256"/>
        <v>0</v>
      </c>
      <c r="AD806" s="164">
        <f>IF(AND($C805=12,$D805=Input!$C$6),0,IF($E806="","",$AC806+AD807/(1+$L806)*$R806))</f>
        <v>79544.853755808581</v>
      </c>
      <c r="AE806" s="152"/>
      <c r="AF806" s="164">
        <f>IF(AND($C805=12,$D805=Input!$C$6),0,IF($E806="","",IF($B806&gt;Input!$C$9,$AC806,0)+AF807/(1+$L806)*$R806))</f>
        <v>79544.853755808581</v>
      </c>
      <c r="AG806" s="164">
        <f>IF(AND($C805=12,$D805=Input!$C$6),0,IF($E806="","",(IF($B806&gt;Input!$C$9,$X806,0)+AG807)/(1+$L806)*$R806))</f>
        <v>76390.986641146068</v>
      </c>
      <c r="AH806" s="160">
        <f t="shared" si="257"/>
        <v>2.0950137211446997</v>
      </c>
      <c r="AI806" s="160">
        <f>IF($E806="","",MIN(Input!$C$61/AH806,1))</f>
        <v>0.64438718771845094</v>
      </c>
      <c r="AJ806" s="152"/>
      <c r="AK806" s="164">
        <f>IF(AND($C805=12,$D805=Input!$C$6),0,IF($E806="","",IF($B806&gt;Input!$C$9,$AC806*AI806,0)+AK807/(1+$L806)*$R806))</f>
        <v>51257.684609180957</v>
      </c>
      <c r="AL806" s="164">
        <f>IF(AND($C805=12,$D805=Input!$C$6),0,IF($E806="","",IF($B806&gt;Input!$C$9,0,$AC806)+AL807/(1+$L806)*$R806))</f>
        <v>0</v>
      </c>
      <c r="AM806" s="160">
        <f t="shared" si="258"/>
        <v>1.1382936520186004</v>
      </c>
      <c r="AN806" s="164">
        <f>IF($E806="","",IF($B806&gt;Input!$C$9,$AI806*$AC806,$AM806*$AC806))</f>
        <v>0</v>
      </c>
      <c r="AO806" s="164">
        <f>IF(AND($C805=12,$D805=Input!$C$6),0,IF($E806="","",$AN806+AO807/(1+$L806)*$R806))</f>
        <v>51257.684609180957</v>
      </c>
      <c r="AP806" s="152"/>
      <c r="AQ806" s="164">
        <f t="shared" si="259"/>
        <v>33336.400602255933</v>
      </c>
      <c r="AR806" s="164">
        <f t="shared" si="268"/>
        <v>46580.791722145455</v>
      </c>
      <c r="AS806" s="164">
        <f t="shared" si="269"/>
        <v>29746.411483253589</v>
      </c>
      <c r="AT806" s="164">
        <f t="shared" si="260"/>
        <v>46580.791722145455</v>
      </c>
      <c r="AU806" s="152"/>
      <c r="AV806" s="147">
        <f>'Deterministic Reserve'!BC806</f>
        <v>2.8531330825444047E-15</v>
      </c>
      <c r="AW806" s="164">
        <f t="shared" si="261"/>
        <v>46580.791722145455</v>
      </c>
      <c r="AX806" s="164">
        <f t="shared" si="262"/>
        <v>1.3290119787356375E-10</v>
      </c>
      <c r="AY806" s="152"/>
    </row>
    <row r="807" spans="1:51" s="150" customFormat="1" x14ac:dyDescent="0.25">
      <c r="A807" s="150">
        <f t="shared" si="270"/>
        <v>803</v>
      </c>
      <c r="B807" s="150">
        <f t="shared" si="271"/>
        <v>67</v>
      </c>
      <c r="C807" s="150">
        <f t="shared" si="272"/>
        <v>11</v>
      </c>
      <c r="D807" s="150">
        <f>IF(E807="","",Input!$C$4+B807-1)</f>
        <v>111</v>
      </c>
      <c r="E807" s="150">
        <f>IF(OR(AND(C806=12,D806=Input!$C$6),E806=""),"",1)</f>
        <v>1</v>
      </c>
      <c r="F807" s="150">
        <f>IF(E807="","",Input!$C$8+B807-1)</f>
        <v>2084</v>
      </c>
      <c r="G807" s="151">
        <f>IF(E807="","",MAX(0,Input!$C$9-B807))</f>
        <v>0</v>
      </c>
      <c r="H807" s="152">
        <f>IF(E807="","",Input!$C$3)</f>
        <v>100000</v>
      </c>
      <c r="I807" s="153">
        <f>IF(E807="","",HLOOKUP($B807,Input!$C$13:$BT$14,2))</f>
        <v>1000</v>
      </c>
      <c r="J807" s="154"/>
      <c r="K807" s="155">
        <f>IF($E807="","",Input!$C$57)</f>
        <v>4.4999999999999998E-2</v>
      </c>
      <c r="L807" s="155">
        <f t="shared" si="263"/>
        <v>3.6748094004368514E-3</v>
      </c>
      <c r="M807" s="147">
        <f>IF($E807="","",VLOOKUP(IF($B807&lt;=Input!$C$7,$B807,26),'Mortality Tables'!$A$72:$CA$97,IF($B807&lt;=Input!$C$7+1,Input!$C$4-16,$D807-Input!$C$7-16),0)/1000)</f>
        <v>0.62170000000000003</v>
      </c>
      <c r="N807" s="147">
        <f t="shared" si="252"/>
        <v>7.7811514888401101E-2</v>
      </c>
      <c r="O807" s="157">
        <f>IF($E807="","",IF($C807=12,IF($B807&lt;Input!$C$9,Input!$C$54,IF($B807=Input!$C$9,Input!$C$55,Input!$C$56)),0%))</f>
        <v>0</v>
      </c>
      <c r="P807" s="167">
        <f>IF($E807="","",IF($B807=1,Input!$C$59,IF($B807&lt;6,Input!$C$60,0%)))</f>
        <v>0</v>
      </c>
      <c r="Q807" s="162">
        <f>IF($E807="","",Input!$C$58)</f>
        <v>2.5</v>
      </c>
      <c r="R807" s="156">
        <f t="shared" si="264"/>
        <v>0.9221884851115989</v>
      </c>
      <c r="S807" s="154">
        <f t="shared" si="253"/>
        <v>3.2015627787503582E-9</v>
      </c>
      <c r="T807" s="152"/>
      <c r="U807" s="150">
        <f t="shared" si="265"/>
        <v>0</v>
      </c>
      <c r="V807" s="150">
        <f t="shared" si="266"/>
        <v>0</v>
      </c>
      <c r="W807" s="168">
        <f t="shared" si="267"/>
        <v>0</v>
      </c>
      <c r="X807" s="163">
        <f t="shared" si="254"/>
        <v>7781.1514888401098</v>
      </c>
      <c r="Y807" s="152"/>
      <c r="Z807" s="164">
        <f>IF(AND($C806=12,$D806=Input!$C$6),0,IF($E807="","",V807+Z808/(1+L807)*R807))</f>
        <v>104846.13854413677</v>
      </c>
      <c r="AA807" s="164">
        <f>IF(OR($M807=1,AND($C806=12,$D806=Input!$C$6)),0,IF($E807="","",W807+(X807+AA808*$R807)/(1+$L807)))</f>
        <v>83631.27723593291</v>
      </c>
      <c r="AB807" s="160">
        <f t="shared" si="255"/>
        <v>0.825720328500681</v>
      </c>
      <c r="AC807" s="164">
        <f t="shared" si="256"/>
        <v>0</v>
      </c>
      <c r="AD807" s="164">
        <f>IF(AND($C806=12,$D806=Input!$C$6),0,IF($E807="","",$AC807+AD808/(1+$L807)*$R807))</f>
        <v>86573.58796069253</v>
      </c>
      <c r="AE807" s="152"/>
      <c r="AF807" s="164">
        <f>IF(AND($C806=12,$D806=Input!$C$6),0,IF($E807="","",IF($B807&gt;Input!$C$9,$AC807,0)+AF808/(1+$L807)*$R807))</f>
        <v>86573.58796069253</v>
      </c>
      <c r="AG807" s="164">
        <f>IF(AND($C806=12,$D806=Input!$C$6),0,IF($E807="","",(IF($B807&gt;Input!$C$9,$X807,0)+AG808)/(1+$L807)*$R807))</f>
        <v>75359.88767484577</v>
      </c>
      <c r="AH807" s="160">
        <f t="shared" si="257"/>
        <v>2.0950137211446997</v>
      </c>
      <c r="AI807" s="160">
        <f>IF($E807="","",MIN(Input!$C$61/AH807,1))</f>
        <v>0.64438718771845094</v>
      </c>
      <c r="AJ807" s="152"/>
      <c r="AK807" s="164">
        <f>IF(AND($C806=12,$D806=Input!$C$6),0,IF($E807="","",IF($B807&gt;Input!$C$9,$AC807*AI807,0)+AK808/(1+$L807)*$R807))</f>
        <v>55786.910876686605</v>
      </c>
      <c r="AL807" s="164">
        <f>IF(AND($C806=12,$D806=Input!$C$6),0,IF($E807="","",IF($B807&gt;Input!$C$9,0,$AC807)+AL808/(1+$L807)*$R807))</f>
        <v>0</v>
      </c>
      <c r="AM807" s="160">
        <f t="shared" si="258"/>
        <v>1.1382936520186004</v>
      </c>
      <c r="AN807" s="164">
        <f>IF($E807="","",IF($B807&gt;Input!$C$9,$AI807*$AC807,$AM807*$AC807))</f>
        <v>0</v>
      </c>
      <c r="AO807" s="164">
        <f>IF(AND($C806=12,$D806=Input!$C$6),0,IF($E807="","",$AN807+AO808/(1+$L807)*$R807))</f>
        <v>55786.910876686605</v>
      </c>
      <c r="AP807" s="152"/>
      <c r="AQ807" s="164">
        <f t="shared" si="259"/>
        <v>27844.366359246305</v>
      </c>
      <c r="AR807" s="164">
        <f t="shared" si="268"/>
        <v>46580.791722145455</v>
      </c>
      <c r="AS807" s="164">
        <f t="shared" si="269"/>
        <v>29746.411483253589</v>
      </c>
      <c r="AT807" s="164">
        <f t="shared" si="260"/>
        <v>46580.791722145455</v>
      </c>
      <c r="AU807" s="152"/>
      <c r="AV807" s="147">
        <f>'Deterministic Reserve'!BC807</f>
        <v>2.567244443222103E-15</v>
      </c>
      <c r="AW807" s="164">
        <f t="shared" si="261"/>
        <v>46580.791722145455</v>
      </c>
      <c r="AX807" s="164">
        <f t="shared" si="262"/>
        <v>1.1958427870956405E-10</v>
      </c>
      <c r="AY807" s="152"/>
    </row>
    <row r="808" spans="1:51" s="150" customFormat="1" x14ac:dyDescent="0.25">
      <c r="A808" s="150">
        <f t="shared" si="270"/>
        <v>804</v>
      </c>
      <c r="B808" s="150">
        <f t="shared" si="271"/>
        <v>67</v>
      </c>
      <c r="C808" s="150">
        <f t="shared" si="272"/>
        <v>12</v>
      </c>
      <c r="D808" s="150">
        <f>IF(E808="","",Input!$C$4+B808-1)</f>
        <v>111</v>
      </c>
      <c r="E808" s="150">
        <f>IF(OR(AND(C807=12,D807=Input!$C$6),E807=""),"",1)</f>
        <v>1</v>
      </c>
      <c r="F808" s="150">
        <f>IF(E808="","",Input!$C$8+B808-1)</f>
        <v>2084</v>
      </c>
      <c r="G808" s="151">
        <f>IF(E808="","",MAX(0,Input!$C$9-B808))</f>
        <v>0</v>
      </c>
      <c r="H808" s="152">
        <f>IF(E808="","",Input!$C$3)</f>
        <v>100000</v>
      </c>
      <c r="I808" s="153">
        <f>IF(E808="","",HLOOKUP($B808,Input!$C$13:$BT$14,2))</f>
        <v>1000</v>
      </c>
      <c r="J808" s="154"/>
      <c r="K808" s="155">
        <f>IF($E808="","",Input!$C$57)</f>
        <v>4.4999999999999998E-2</v>
      </c>
      <c r="L808" s="155">
        <f t="shared" si="263"/>
        <v>3.6748094004368514E-3</v>
      </c>
      <c r="M808" s="147">
        <f>IF($E808="","",VLOOKUP(IF($B808&lt;=Input!$C$7,$B808,26),'Mortality Tables'!$A$72:$CA$97,IF($B808&lt;=Input!$C$7+1,Input!$C$4-16,$D808-Input!$C$7-16),0)/1000)</f>
        <v>0.62170000000000003</v>
      </c>
      <c r="N808" s="147">
        <f t="shared" si="252"/>
        <v>7.7811514888401101E-2</v>
      </c>
      <c r="O808" s="157">
        <f>IF($E808="","",IF($C808=12,IF($B808&lt;Input!$C$9,Input!$C$54,IF($B808=Input!$C$9,Input!$C$55,Input!$C$56)),0%))</f>
        <v>0.1</v>
      </c>
      <c r="P808" s="167">
        <f>IF($E808="","",IF($B808=1,Input!$C$59,IF($B808&lt;6,Input!$C$60,0%)))</f>
        <v>0</v>
      </c>
      <c r="Q808" s="162">
        <f>IF($E808="","",Input!$C$58)</f>
        <v>2.5</v>
      </c>
      <c r="R808" s="156">
        <f t="shared" si="264"/>
        <v>0.82218848511159892</v>
      </c>
      <c r="S808" s="154">
        <f t="shared" si="253"/>
        <v>2.6322880510504383E-9</v>
      </c>
      <c r="T808" s="152"/>
      <c r="U808" s="150">
        <f t="shared" si="265"/>
        <v>0</v>
      </c>
      <c r="V808" s="150">
        <f t="shared" si="266"/>
        <v>0</v>
      </c>
      <c r="W808" s="168">
        <f t="shared" si="267"/>
        <v>0</v>
      </c>
      <c r="X808" s="163">
        <f t="shared" si="254"/>
        <v>7781.1514888401098</v>
      </c>
      <c r="Y808" s="152"/>
      <c r="Z808" s="164">
        <f>IF(AND($C807=12,$D807=Input!$C$6),0,IF($E808="","",V808+Z809/(1+L808)*R808))</f>
        <v>114110.54227913468</v>
      </c>
      <c r="AA808" s="164">
        <f>IF(OR($M808=1,AND($C807=12,$D807=Input!$C$6)),0,IF($E808="","",W808+(X808+AA809*$R808)/(1+$L808)))</f>
        <v>82583.393720898312</v>
      </c>
      <c r="AB808" s="160">
        <f t="shared" si="255"/>
        <v>0.825720328500681</v>
      </c>
      <c r="AC808" s="164">
        <f t="shared" si="256"/>
        <v>0</v>
      </c>
      <c r="AD808" s="164">
        <f>IF(AND($C807=12,$D807=Input!$C$6),0,IF($E808="","",$AC808+AD809/(1+$L808)*$R808))</f>
        <v>94223.394456117938</v>
      </c>
      <c r="AE808" s="152"/>
      <c r="AF808" s="164">
        <f>IF(AND($C807=12,$D807=Input!$C$6),0,IF($E808="","",IF($B808&gt;Input!$C$9,$AC808,0)+AF809/(1+$L808)*$R808))</f>
        <v>94223.394456117938</v>
      </c>
      <c r="AG808" s="164">
        <f>IF(AND($C807=12,$D807=Input!$C$6),0,IF($E808="","",(IF($B808&gt;Input!$C$9,$X808,0)+AG809)/(1+$L808)*$R808))</f>
        <v>74237.678847493939</v>
      </c>
      <c r="AH808" s="160">
        <f t="shared" si="257"/>
        <v>2.0950137211446997</v>
      </c>
      <c r="AI808" s="160">
        <f>IF($E808="","",MIN(Input!$C$61/AH808,1))</f>
        <v>0.64438718771845094</v>
      </c>
      <c r="AJ808" s="152"/>
      <c r="AK808" s="164">
        <f>IF(AND($C807=12,$D807=Input!$C$6),0,IF($E808="","",IF($B808&gt;Input!$C$9,$AC808*AI808,0)+AK809/(1+$L808)*$R808))</f>
        <v>60716.348170864119</v>
      </c>
      <c r="AL808" s="164">
        <f>IF(AND($C807=12,$D807=Input!$C$6),0,IF($E808="","",IF($B808&gt;Input!$C$9,0,$AC808)+AL809/(1+$L808)*$R808))</f>
        <v>0</v>
      </c>
      <c r="AM808" s="160">
        <f t="shared" si="258"/>
        <v>1.1382936520186004</v>
      </c>
      <c r="AN808" s="164">
        <f>IF($E808="","",IF($B808&gt;Input!$C$9,$AI808*$AC808,$AM808*$AC808))</f>
        <v>0</v>
      </c>
      <c r="AO808" s="164">
        <f>IF(AND($C807=12,$D807=Input!$C$6),0,IF($E808="","",$AN808+AO809/(1+$L808)*$R808))</f>
        <v>60716.348170864119</v>
      </c>
      <c r="AP808" s="152"/>
      <c r="AQ808" s="164">
        <f t="shared" si="259"/>
        <v>21867.045550034192</v>
      </c>
      <c r="AR808" s="164">
        <f t="shared" si="268"/>
        <v>46580.791722145455</v>
      </c>
      <c r="AS808" s="164">
        <f t="shared" si="269"/>
        <v>29746.411483253589</v>
      </c>
      <c r="AT808" s="164">
        <f t="shared" si="260"/>
        <v>46580.791722145455</v>
      </c>
      <c r="AU808" s="152"/>
      <c r="AV808" s="147">
        <f>'Deterministic Reserve'!BC808</f>
        <v>2.0532778726314685E-15</v>
      </c>
      <c r="AW808" s="164">
        <f t="shared" si="261"/>
        <v>46580.791722145455</v>
      </c>
      <c r="AX808" s="164">
        <f t="shared" si="262"/>
        <v>9.5643308932736344E-11</v>
      </c>
      <c r="AY808" s="152"/>
    </row>
    <row r="809" spans="1:51" s="150" customFormat="1" x14ac:dyDescent="0.25">
      <c r="A809" s="150">
        <f t="shared" si="270"/>
        <v>805</v>
      </c>
      <c r="B809" s="150">
        <f t="shared" si="271"/>
        <v>68</v>
      </c>
      <c r="C809" s="150">
        <f t="shared" si="272"/>
        <v>1</v>
      </c>
      <c r="D809" s="150">
        <f>IF(E809="","",Input!$C$4+B809-1)</f>
        <v>112</v>
      </c>
      <c r="E809" s="150">
        <f>IF(OR(AND(C808=12,D808=Input!$C$6),E808=""),"",1)</f>
        <v>1</v>
      </c>
      <c r="F809" s="150">
        <f>IF(E809="","",Input!$C$8+B809-1)</f>
        <v>2085</v>
      </c>
      <c r="G809" s="151">
        <f>IF(E809="","",MAX(0,Input!$C$9-B809))</f>
        <v>0</v>
      </c>
      <c r="H809" s="152">
        <f>IF(E809="","",Input!$C$3)</f>
        <v>100000</v>
      </c>
      <c r="I809" s="153">
        <f>IF(E809="","",HLOOKUP($B809,Input!$C$13:$BT$14,2))</f>
        <v>1000</v>
      </c>
      <c r="J809" s="154"/>
      <c r="K809" s="155">
        <f>IF($E809="","",Input!$C$57)</f>
        <v>4.4999999999999998E-2</v>
      </c>
      <c r="L809" s="155">
        <f t="shared" si="263"/>
        <v>3.6748094004368514E-3</v>
      </c>
      <c r="M809" s="147">
        <f>IF($E809="","",VLOOKUP(IF($B809&lt;=Input!$C$7,$B809,26),'Mortality Tables'!$A$72:$CA$97,IF($B809&lt;=Input!$C$7+1,Input!$C$4-16,$D809-Input!$C$7-16),0)/1000)</f>
        <v>0.65542</v>
      </c>
      <c r="N809" s="147">
        <f t="shared" si="252"/>
        <v>8.4958399372223603E-2</v>
      </c>
      <c r="O809" s="157">
        <f>IF($E809="","",IF($C809=12,IF($B809&lt;Input!$C$9,Input!$C$54,IF($B809=Input!$C$9,Input!$C$55,Input!$C$56)),0%))</f>
        <v>0</v>
      </c>
      <c r="P809" s="167">
        <f>IF($E809="","",IF($B809=1,Input!$C$59,IF($B809&lt;6,Input!$C$60,0%)))</f>
        <v>0</v>
      </c>
      <c r="Q809" s="162">
        <f>IF($E809="","",Input!$C$58)</f>
        <v>2.5</v>
      </c>
      <c r="R809" s="156">
        <f t="shared" si="264"/>
        <v>0.9150416006277764</v>
      </c>
      <c r="S809" s="154">
        <f t="shared" si="253"/>
        <v>2.4086530715465632E-9</v>
      </c>
      <c r="T809" s="152"/>
      <c r="U809" s="150">
        <f t="shared" si="265"/>
        <v>100000</v>
      </c>
      <c r="V809" s="150">
        <f t="shared" si="266"/>
        <v>100000</v>
      </c>
      <c r="W809" s="168">
        <f t="shared" si="267"/>
        <v>0</v>
      </c>
      <c r="X809" s="163">
        <f t="shared" si="254"/>
        <v>8495.8399372223612</v>
      </c>
      <c r="Y809" s="152"/>
      <c r="Z809" s="164">
        <f>IF(AND($C808=12,$D808=Input!$C$6),0,IF($E809="","",V809+Z810/(1+L809)*R809))</f>
        <v>139298.80902801186</v>
      </c>
      <c r="AA809" s="164">
        <f>IF(OR($M809=1,AND($C808=12,$D808=Input!$C$6)),0,IF($E809="","",W809+(X809+AA810*$R809)/(1+$L809)))</f>
        <v>91348.543337272989</v>
      </c>
      <c r="AB809" s="160">
        <f t="shared" si="255"/>
        <v>0.825720328500681</v>
      </c>
      <c r="AC809" s="164">
        <f t="shared" si="256"/>
        <v>82572.032850068106</v>
      </c>
      <c r="AD809" s="164">
        <f>IF(AND($C808=12,$D808=Input!$C$6),0,IF($E809="","",$AC809+AD810/(1+$L809)*$R809))</f>
        <v>115021.85835036359</v>
      </c>
      <c r="AE809" s="152"/>
      <c r="AF809" s="164">
        <f>IF(AND($C808=12,$D808=Input!$C$6),0,IF($E809="","",IF($B809&gt;Input!$C$9,$AC809,0)+AF810/(1+$L809)*$R809))</f>
        <v>115021.85835036359</v>
      </c>
      <c r="AG809" s="164">
        <f>IF(AND($C808=12,$D808=Input!$C$6),0,IF($E809="","",(IF($B809&gt;Input!$C$9,$X809,0)+AG810)/(1+$L809)*$R809))</f>
        <v>82843.430972291928</v>
      </c>
      <c r="AH809" s="160">
        <f t="shared" si="257"/>
        <v>2.0950137211446997</v>
      </c>
      <c r="AI809" s="160">
        <f>IF($E809="","",MIN(Input!$C$61/AH809,1))</f>
        <v>0.64438718771845094</v>
      </c>
      <c r="AJ809" s="152"/>
      <c r="AK809" s="164">
        <f>IF(AND($C808=12,$D808=Input!$C$6),0,IF($E809="","",IF($B809&gt;Input!$C$9,$AC809*AI809,0)+AK810/(1+$L809)*$R809))</f>
        <v>74118.611828540816</v>
      </c>
      <c r="AL809" s="164">
        <f>IF(AND($C808=12,$D808=Input!$C$6),0,IF($E809="","",IF($B809&gt;Input!$C$9,0,$AC809)+AL810/(1+$L809)*$R809))</f>
        <v>0</v>
      </c>
      <c r="AM809" s="160">
        <f t="shared" si="258"/>
        <v>1.1382936520186004</v>
      </c>
      <c r="AN809" s="164">
        <f>IF($E809="","",IF($B809&gt;Input!$C$9,$AI809*$AC809,$AM809*$AC809))</f>
        <v>53208.360032450932</v>
      </c>
      <c r="AO809" s="164">
        <f>IF(AND($C808=12,$D808=Input!$C$6),0,IF($E809="","",$AN809+AO810/(1+$L809)*$R809))</f>
        <v>74118.611828540816</v>
      </c>
      <c r="AP809" s="152"/>
      <c r="AQ809" s="164">
        <f t="shared" si="259"/>
        <v>17229.931508732174</v>
      </c>
      <c r="AR809" s="164">
        <f t="shared" si="268"/>
        <v>50329.268930404301</v>
      </c>
      <c r="AS809" s="164">
        <f t="shared" si="269"/>
        <v>31359.808612440193</v>
      </c>
      <c r="AT809" s="164">
        <f t="shared" si="260"/>
        <v>50329.268930404301</v>
      </c>
      <c r="AU809" s="152"/>
      <c r="AV809" s="147">
        <f>'Deterministic Reserve'!BC809</f>
        <v>1.849487854950979E-15</v>
      </c>
      <c r="AW809" s="164">
        <f t="shared" si="261"/>
        <v>50329.268930404301</v>
      </c>
      <c r="AX809" s="164">
        <f t="shared" si="262"/>
        <v>9.3083371635344404E-11</v>
      </c>
      <c r="AY809" s="152"/>
    </row>
    <row r="810" spans="1:51" s="150" customFormat="1" x14ac:dyDescent="0.25">
      <c r="A810" s="150">
        <f t="shared" si="270"/>
        <v>806</v>
      </c>
      <c r="B810" s="150">
        <f t="shared" si="271"/>
        <v>68</v>
      </c>
      <c r="C810" s="150">
        <f t="shared" si="272"/>
        <v>2</v>
      </c>
      <c r="D810" s="150">
        <f>IF(E810="","",Input!$C$4+B810-1)</f>
        <v>112</v>
      </c>
      <c r="E810" s="150">
        <f>IF(OR(AND(C809=12,D809=Input!$C$6),E809=""),"",1)</f>
        <v>1</v>
      </c>
      <c r="F810" s="150">
        <f>IF(E810="","",Input!$C$8+B810-1)</f>
        <v>2085</v>
      </c>
      <c r="G810" s="151">
        <f>IF(E810="","",MAX(0,Input!$C$9-B810))</f>
        <v>0</v>
      </c>
      <c r="H810" s="152">
        <f>IF(E810="","",Input!$C$3)</f>
        <v>100000</v>
      </c>
      <c r="I810" s="153">
        <f>IF(E810="","",HLOOKUP($B810,Input!$C$13:$BT$14,2))</f>
        <v>1000</v>
      </c>
      <c r="J810" s="154"/>
      <c r="K810" s="155">
        <f>IF($E810="","",Input!$C$57)</f>
        <v>4.4999999999999998E-2</v>
      </c>
      <c r="L810" s="155">
        <f t="shared" si="263"/>
        <v>3.6748094004368514E-3</v>
      </c>
      <c r="M810" s="147">
        <f>IF($E810="","",VLOOKUP(IF($B810&lt;=Input!$C$7,$B810,26),'Mortality Tables'!$A$72:$CA$97,IF($B810&lt;=Input!$C$7+1,Input!$C$4-16,$D810-Input!$C$7-16),0)/1000)</f>
        <v>0.65542</v>
      </c>
      <c r="N810" s="147">
        <f t="shared" si="252"/>
        <v>8.4958399372223603E-2</v>
      </c>
      <c r="O810" s="157">
        <f>IF($E810="","",IF($C810=12,IF($B810&lt;Input!$C$9,Input!$C$54,IF($B810=Input!$C$9,Input!$C$55,Input!$C$56)),0%))</f>
        <v>0</v>
      </c>
      <c r="P810" s="167">
        <f>IF($E810="","",IF($B810=1,Input!$C$59,IF($B810&lt;6,Input!$C$60,0%)))</f>
        <v>0</v>
      </c>
      <c r="Q810" s="162">
        <f>IF($E810="","",Input!$C$58)</f>
        <v>2.5</v>
      </c>
      <c r="R810" s="156">
        <f t="shared" si="264"/>
        <v>0.9150416006277764</v>
      </c>
      <c r="S810" s="154">
        <f t="shared" si="253"/>
        <v>2.2040177619449774E-9</v>
      </c>
      <c r="T810" s="152"/>
      <c r="U810" s="150">
        <f t="shared" si="265"/>
        <v>0</v>
      </c>
      <c r="V810" s="150">
        <f t="shared" si="266"/>
        <v>0</v>
      </c>
      <c r="W810" s="168">
        <f t="shared" si="267"/>
        <v>0</v>
      </c>
      <c r="X810" s="163">
        <f t="shared" si="254"/>
        <v>8495.8399372223612</v>
      </c>
      <c r="Y810" s="152"/>
      <c r="Z810" s="164">
        <f>IF(AND($C809=12,$D809=Input!$C$6),0,IF($E810="","",V810+Z811/(1+L810)*R810))</f>
        <v>43105.389562390861</v>
      </c>
      <c r="AA810" s="164">
        <f>IF(OR($M810=1,AND($C809=12,$D809=Input!$C$6)),0,IF($E810="","",W810+(X810+AA811*$R810)/(1+$L810)))</f>
        <v>90912.141949338868</v>
      </c>
      <c r="AB810" s="160">
        <f t="shared" si="255"/>
        <v>0.825720328500681</v>
      </c>
      <c r="AC810" s="164">
        <f t="shared" si="256"/>
        <v>0</v>
      </c>
      <c r="AD810" s="164">
        <f>IF(AND($C809=12,$D809=Input!$C$6),0,IF($E810="","",$AC810+AD811/(1+$L810)*$R810))</f>
        <v>35592.996429607199</v>
      </c>
      <c r="AE810" s="152"/>
      <c r="AF810" s="164">
        <f>IF(AND($C809=12,$D809=Input!$C$6),0,IF($E810="","",IF($B810&gt;Input!$C$9,$AC810,0)+AF811/(1+$L810)*$R810))</f>
        <v>35592.996429607199</v>
      </c>
      <c r="AG810" s="164">
        <f>IF(AND($C809=12,$D809=Input!$C$6),0,IF($E810="","",(IF($B810&gt;Input!$C$9,$X810,0)+AG811)/(1+$L810)*$R810))</f>
        <v>82372.012119065184</v>
      </c>
      <c r="AH810" s="160">
        <f t="shared" si="257"/>
        <v>2.0950137211446997</v>
      </c>
      <c r="AI810" s="160">
        <f>IF($E810="","",MIN(Input!$C$61/AH810,1))</f>
        <v>0.64438718771845094</v>
      </c>
      <c r="AJ810" s="152"/>
      <c r="AK810" s="164">
        <f>IF(AND($C809=12,$D809=Input!$C$6),0,IF($E810="","",IF($B810&gt;Input!$C$9,$AC810*AI810,0)+AK811/(1+$L810)*$R810))</f>
        <v>22935.670871747458</v>
      </c>
      <c r="AL810" s="164">
        <f>IF(AND($C809=12,$D809=Input!$C$6),0,IF($E810="","",IF($B810&gt;Input!$C$9,0,$AC810)+AL811/(1+$L810)*$R810))</f>
        <v>0</v>
      </c>
      <c r="AM810" s="160">
        <f t="shared" si="258"/>
        <v>1.1382936520186004</v>
      </c>
      <c r="AN810" s="164">
        <f>IF($E810="","",IF($B810&gt;Input!$C$9,$AI810*$AC810,$AM810*$AC810))</f>
        <v>0</v>
      </c>
      <c r="AO810" s="164">
        <f>IF(AND($C809=12,$D809=Input!$C$6),0,IF($E810="","",$AN810+AO811/(1+$L810)*$R810))</f>
        <v>22935.670871747458</v>
      </c>
      <c r="AP810" s="152"/>
      <c r="AQ810" s="164">
        <f t="shared" si="259"/>
        <v>67976.471077591414</v>
      </c>
      <c r="AR810" s="164">
        <f t="shared" si="268"/>
        <v>50329.268930404301</v>
      </c>
      <c r="AS810" s="164">
        <f t="shared" si="269"/>
        <v>31359.808612440193</v>
      </c>
      <c r="AT810" s="164">
        <f t="shared" si="260"/>
        <v>50329.268930404301</v>
      </c>
      <c r="AU810" s="152"/>
      <c r="AV810" s="147">
        <f>'Deterministic Reserve'!BC810</f>
        <v>1.6659242137681768E-15</v>
      </c>
      <c r="AW810" s="164">
        <f t="shared" si="261"/>
        <v>50329.268930404301</v>
      </c>
      <c r="AX810" s="164">
        <f t="shared" si="262"/>
        <v>8.3844747772410915E-11</v>
      </c>
      <c r="AY810" s="152"/>
    </row>
    <row r="811" spans="1:51" s="150" customFormat="1" x14ac:dyDescent="0.25">
      <c r="A811" s="150">
        <f t="shared" si="270"/>
        <v>807</v>
      </c>
      <c r="B811" s="150">
        <f t="shared" si="271"/>
        <v>68</v>
      </c>
      <c r="C811" s="150">
        <f t="shared" si="272"/>
        <v>3</v>
      </c>
      <c r="D811" s="150">
        <f>IF(E811="","",Input!$C$4+B811-1)</f>
        <v>112</v>
      </c>
      <c r="E811" s="150">
        <f>IF(OR(AND(C810=12,D810=Input!$C$6),E810=""),"",1)</f>
        <v>1</v>
      </c>
      <c r="F811" s="150">
        <f>IF(E811="","",Input!$C$8+B811-1)</f>
        <v>2085</v>
      </c>
      <c r="G811" s="151">
        <f>IF(E811="","",MAX(0,Input!$C$9-B811))</f>
        <v>0</v>
      </c>
      <c r="H811" s="152">
        <f>IF(E811="","",Input!$C$3)</f>
        <v>100000</v>
      </c>
      <c r="I811" s="153">
        <f>IF(E811="","",HLOOKUP($B811,Input!$C$13:$BT$14,2))</f>
        <v>1000</v>
      </c>
      <c r="J811" s="154"/>
      <c r="K811" s="155">
        <f>IF($E811="","",Input!$C$57)</f>
        <v>4.4999999999999998E-2</v>
      </c>
      <c r="L811" s="155">
        <f t="shared" si="263"/>
        <v>3.6748094004368514E-3</v>
      </c>
      <c r="M811" s="147">
        <f>IF($E811="","",VLOOKUP(IF($B811&lt;=Input!$C$7,$B811,26),'Mortality Tables'!$A$72:$CA$97,IF($B811&lt;=Input!$C$7+1,Input!$C$4-16,$D811-Input!$C$7-16),0)/1000)</f>
        <v>0.65542</v>
      </c>
      <c r="N811" s="147">
        <f t="shared" si="252"/>
        <v>8.4958399372223603E-2</v>
      </c>
      <c r="O811" s="157">
        <f>IF($E811="","",IF($C811=12,IF($B811&lt;Input!$C$9,Input!$C$54,IF($B811=Input!$C$9,Input!$C$55,Input!$C$56)),0%))</f>
        <v>0</v>
      </c>
      <c r="P811" s="167">
        <f>IF($E811="","",IF($B811=1,Input!$C$59,IF($B811&lt;6,Input!$C$60,0%)))</f>
        <v>0</v>
      </c>
      <c r="Q811" s="162">
        <f>IF($E811="","",Input!$C$58)</f>
        <v>2.5</v>
      </c>
      <c r="R811" s="156">
        <f t="shared" si="264"/>
        <v>0.9150416006277764</v>
      </c>
      <c r="S811" s="154">
        <f t="shared" si="253"/>
        <v>2.0167679407021814E-9</v>
      </c>
      <c r="T811" s="152"/>
      <c r="U811" s="150">
        <f t="shared" si="265"/>
        <v>0</v>
      </c>
      <c r="V811" s="150">
        <f t="shared" si="266"/>
        <v>0</v>
      </c>
      <c r="W811" s="168">
        <f t="shared" si="267"/>
        <v>0</v>
      </c>
      <c r="X811" s="163">
        <f t="shared" si="254"/>
        <v>8495.8399372223612</v>
      </c>
      <c r="Y811" s="152"/>
      <c r="Z811" s="164">
        <f>IF(AND($C810=12,$D810=Input!$C$6),0,IF($E811="","",V811+Z812/(1+L811)*R811))</f>
        <v>47280.684969385577</v>
      </c>
      <c r="AA811" s="164">
        <f>IF(OR($M811=1,AND($C810=12,$D810=Input!$C$6)),0,IF($E811="","",W811+(X811+AA812*$R811)/(1+$L811)))</f>
        <v>90433.46963590922</v>
      </c>
      <c r="AB811" s="160">
        <f t="shared" si="255"/>
        <v>0.825720328500681</v>
      </c>
      <c r="AC811" s="164">
        <f t="shared" si="256"/>
        <v>0</v>
      </c>
      <c r="AD811" s="164">
        <f>IF(AND($C810=12,$D810=Input!$C$6),0,IF($E811="","",$AC811+AD812/(1+$L811)*$R811))</f>
        <v>39040.622724658264</v>
      </c>
      <c r="AE811" s="152"/>
      <c r="AF811" s="164">
        <f>IF(AND($C810=12,$D810=Input!$C$6),0,IF($E811="","",IF($B811&gt;Input!$C$9,$AC811,0)+AF812/(1+$L811)*$R811))</f>
        <v>39040.622724658264</v>
      </c>
      <c r="AG811" s="164">
        <f>IF(AND($C810=12,$D810=Input!$C$6),0,IF($E811="","",(IF($B811&gt;Input!$C$9,$X811,0)+AG812)/(1+$L811)*$R811))</f>
        <v>81854.93046142743</v>
      </c>
      <c r="AH811" s="160">
        <f t="shared" si="257"/>
        <v>2.0950137211446997</v>
      </c>
      <c r="AI811" s="160">
        <f>IF($E811="","",MIN(Input!$C$61/AH811,1))</f>
        <v>0.64438718771845094</v>
      </c>
      <c r="AJ811" s="152"/>
      <c r="AK811" s="164">
        <f>IF(AND($C810=12,$D810=Input!$C$6),0,IF($E811="","",IF($B811&gt;Input!$C$9,$AC811*AI811,0)+AK812/(1+$L811)*$R811))</f>
        <v>25157.277084319594</v>
      </c>
      <c r="AL811" s="164">
        <f>IF(AND($C810=12,$D810=Input!$C$6),0,IF($E811="","",IF($B811&gt;Input!$C$9,0,$AC811)+AL812/(1+$L811)*$R811))</f>
        <v>0</v>
      </c>
      <c r="AM811" s="160">
        <f t="shared" si="258"/>
        <v>1.1382936520186004</v>
      </c>
      <c r="AN811" s="164">
        <f>IF($E811="","",IF($B811&gt;Input!$C$9,$AI811*$AC811,$AM811*$AC811))</f>
        <v>0</v>
      </c>
      <c r="AO811" s="164">
        <f>IF(AND($C810=12,$D810=Input!$C$6),0,IF($E811="","",$AN811+AO812/(1+$L811)*$R811))</f>
        <v>25157.277084319594</v>
      </c>
      <c r="AP811" s="152"/>
      <c r="AQ811" s="164">
        <f t="shared" si="259"/>
        <v>65276.192551589629</v>
      </c>
      <c r="AR811" s="164">
        <f t="shared" si="268"/>
        <v>50329.268930404301</v>
      </c>
      <c r="AS811" s="164">
        <f t="shared" si="269"/>
        <v>31359.808612440193</v>
      </c>
      <c r="AT811" s="164">
        <f t="shared" si="260"/>
        <v>50329.268930404301</v>
      </c>
      <c r="AU811" s="152"/>
      <c r="AV811" s="147">
        <f>'Deterministic Reserve'!BC811</f>
        <v>1.5005794596540771E-15</v>
      </c>
      <c r="AW811" s="164">
        <f t="shared" si="261"/>
        <v>50329.268930404301</v>
      </c>
      <c r="AX811" s="164">
        <f t="shared" si="262"/>
        <v>7.5523067176370824E-11</v>
      </c>
      <c r="AY811" s="152"/>
    </row>
    <row r="812" spans="1:51" s="150" customFormat="1" x14ac:dyDescent="0.25">
      <c r="A812" s="150">
        <f t="shared" si="270"/>
        <v>808</v>
      </c>
      <c r="B812" s="150">
        <f t="shared" si="271"/>
        <v>68</v>
      </c>
      <c r="C812" s="150">
        <f t="shared" si="272"/>
        <v>4</v>
      </c>
      <c r="D812" s="150">
        <f>IF(E812="","",Input!$C$4+B812-1)</f>
        <v>112</v>
      </c>
      <c r="E812" s="150">
        <f>IF(OR(AND(C811=12,D811=Input!$C$6),E811=""),"",1)</f>
        <v>1</v>
      </c>
      <c r="F812" s="150">
        <f>IF(E812="","",Input!$C$8+B812-1)</f>
        <v>2085</v>
      </c>
      <c r="G812" s="151">
        <f>IF(E812="","",MAX(0,Input!$C$9-B812))</f>
        <v>0</v>
      </c>
      <c r="H812" s="152">
        <f>IF(E812="","",Input!$C$3)</f>
        <v>100000</v>
      </c>
      <c r="I812" s="153">
        <f>IF(E812="","",HLOOKUP($B812,Input!$C$13:$BT$14,2))</f>
        <v>1000</v>
      </c>
      <c r="J812" s="154"/>
      <c r="K812" s="155">
        <f>IF($E812="","",Input!$C$57)</f>
        <v>4.4999999999999998E-2</v>
      </c>
      <c r="L812" s="155">
        <f t="shared" si="263"/>
        <v>3.6748094004368514E-3</v>
      </c>
      <c r="M812" s="147">
        <f>IF($E812="","",VLOOKUP(IF($B812&lt;=Input!$C$7,$B812,26),'Mortality Tables'!$A$72:$CA$97,IF($B812&lt;=Input!$C$7+1,Input!$C$4-16,$D812-Input!$C$7-16),0)/1000)</f>
        <v>0.65542</v>
      </c>
      <c r="N812" s="147">
        <f t="shared" si="252"/>
        <v>8.4958399372223603E-2</v>
      </c>
      <c r="O812" s="157">
        <f>IF($E812="","",IF($C812=12,IF($B812&lt;Input!$C$9,Input!$C$54,IF($B812=Input!$C$9,Input!$C$55,Input!$C$56)),0%))</f>
        <v>0</v>
      </c>
      <c r="P812" s="167">
        <f>IF($E812="","",IF($B812=1,Input!$C$59,IF($B812&lt;6,Input!$C$60,0%)))</f>
        <v>0</v>
      </c>
      <c r="Q812" s="162">
        <f>IF($E812="","",Input!$C$58)</f>
        <v>2.5</v>
      </c>
      <c r="R812" s="156">
        <f t="shared" si="264"/>
        <v>0.9150416006277764</v>
      </c>
      <c r="S812" s="154">
        <f t="shared" si="253"/>
        <v>1.8454265645549086E-9</v>
      </c>
      <c r="T812" s="152"/>
      <c r="U812" s="150">
        <f t="shared" si="265"/>
        <v>0</v>
      </c>
      <c r="V812" s="150">
        <f t="shared" si="266"/>
        <v>0</v>
      </c>
      <c r="W812" s="168">
        <f t="shared" si="267"/>
        <v>0</v>
      </c>
      <c r="X812" s="163">
        <f t="shared" si="254"/>
        <v>8495.8399372223612</v>
      </c>
      <c r="Y812" s="152"/>
      <c r="Z812" s="164">
        <f>IF(AND($C811=12,$D811=Input!$C$6),0,IF($E812="","",V812+Z813/(1+L812)*R812))</f>
        <v>51860.409890013121</v>
      </c>
      <c r="AA812" s="164">
        <f>IF(OR($M812=1,AND($C811=12,$D811=Input!$C$6)),0,IF($E812="","",W812+(X812+AA813*$R812)/(1+$L812)))</f>
        <v>89908.431929845174</v>
      </c>
      <c r="AB812" s="160">
        <f t="shared" si="255"/>
        <v>0.825720328500681</v>
      </c>
      <c r="AC812" s="164">
        <f t="shared" si="256"/>
        <v>0</v>
      </c>
      <c r="AD812" s="164">
        <f>IF(AND($C811=12,$D811=Input!$C$6),0,IF($E812="","",$AC812+AD813/(1+$L812)*$R812))</f>
        <v>42822.194690561591</v>
      </c>
      <c r="AE812" s="152"/>
      <c r="AF812" s="164">
        <f>IF(AND($C811=12,$D811=Input!$C$6),0,IF($E812="","",IF($B812&gt;Input!$C$9,$AC812,0)+AF813/(1+$L812)*$R812))</f>
        <v>42822.194690561591</v>
      </c>
      <c r="AG812" s="164">
        <f>IF(AND($C811=12,$D811=Input!$C$6),0,IF($E812="","",(IF($B812&gt;Input!$C$9,$X812,0)+AG813)/(1+$L812)*$R812))</f>
        <v>81287.762986398986</v>
      </c>
      <c r="AH812" s="160">
        <f t="shared" si="257"/>
        <v>2.0950137211446997</v>
      </c>
      <c r="AI812" s="160">
        <f>IF($E812="","",MIN(Input!$C$61/AH812,1))</f>
        <v>0.64438718771845094</v>
      </c>
      <c r="AJ812" s="152"/>
      <c r="AK812" s="164">
        <f>IF(AND($C811=12,$D811=Input!$C$6),0,IF($E812="","",IF($B812&gt;Input!$C$9,$AC812*AI812,0)+AK813/(1+$L812)*$R812))</f>
        <v>27594.073608582974</v>
      </c>
      <c r="AL812" s="164">
        <f>IF(AND($C811=12,$D811=Input!$C$6),0,IF($E812="","",IF($B812&gt;Input!$C$9,0,$AC812)+AL813/(1+$L812)*$R812))</f>
        <v>0</v>
      </c>
      <c r="AM812" s="160">
        <f t="shared" si="258"/>
        <v>1.1382936520186004</v>
      </c>
      <c r="AN812" s="164">
        <f>IF($E812="","",IF($B812&gt;Input!$C$9,$AI812*$AC812,$AM812*$AC812))</f>
        <v>0</v>
      </c>
      <c r="AO812" s="164">
        <f>IF(AND($C811=12,$D811=Input!$C$6),0,IF($E812="","",$AN812+AO813/(1+$L812)*$R812))</f>
        <v>27594.073608582974</v>
      </c>
      <c r="AP812" s="152"/>
      <c r="AQ812" s="164">
        <f t="shared" si="259"/>
        <v>62314.358321262203</v>
      </c>
      <c r="AR812" s="164">
        <f t="shared" si="268"/>
        <v>50329.268930404301</v>
      </c>
      <c r="AS812" s="164">
        <f t="shared" si="269"/>
        <v>31359.808612440193</v>
      </c>
      <c r="AT812" s="164">
        <f t="shared" si="260"/>
        <v>50329.268930404301</v>
      </c>
      <c r="AU812" s="152"/>
      <c r="AV812" s="147">
        <f>'Deterministic Reserve'!BC812</f>
        <v>1.3516453486455326E-15</v>
      </c>
      <c r="AW812" s="164">
        <f t="shared" si="261"/>
        <v>50329.268930404301</v>
      </c>
      <c r="AX812" s="164">
        <f t="shared" si="262"/>
        <v>6.8027322250511094E-11</v>
      </c>
      <c r="AY812" s="152"/>
    </row>
    <row r="813" spans="1:51" s="150" customFormat="1" x14ac:dyDescent="0.25">
      <c r="A813" s="150">
        <f t="shared" si="270"/>
        <v>809</v>
      </c>
      <c r="B813" s="150">
        <f t="shared" si="271"/>
        <v>68</v>
      </c>
      <c r="C813" s="150">
        <f t="shared" si="272"/>
        <v>5</v>
      </c>
      <c r="D813" s="150">
        <f>IF(E813="","",Input!$C$4+B813-1)</f>
        <v>112</v>
      </c>
      <c r="E813" s="150">
        <f>IF(OR(AND(C812=12,D812=Input!$C$6),E812=""),"",1)</f>
        <v>1</v>
      </c>
      <c r="F813" s="150">
        <f>IF(E813="","",Input!$C$8+B813-1)</f>
        <v>2085</v>
      </c>
      <c r="G813" s="151">
        <f>IF(E813="","",MAX(0,Input!$C$9-B813))</f>
        <v>0</v>
      </c>
      <c r="H813" s="152">
        <f>IF(E813="","",Input!$C$3)</f>
        <v>100000</v>
      </c>
      <c r="I813" s="153">
        <f>IF(E813="","",HLOOKUP($B813,Input!$C$13:$BT$14,2))</f>
        <v>1000</v>
      </c>
      <c r="J813" s="154"/>
      <c r="K813" s="155">
        <f>IF($E813="","",Input!$C$57)</f>
        <v>4.4999999999999998E-2</v>
      </c>
      <c r="L813" s="155">
        <f t="shared" si="263"/>
        <v>3.6748094004368514E-3</v>
      </c>
      <c r="M813" s="147">
        <f>IF($E813="","",VLOOKUP(IF($B813&lt;=Input!$C$7,$B813,26),'Mortality Tables'!$A$72:$CA$97,IF($B813&lt;=Input!$C$7+1,Input!$C$4-16,$D813-Input!$C$7-16),0)/1000)</f>
        <v>0.65542</v>
      </c>
      <c r="N813" s="147">
        <f t="shared" si="252"/>
        <v>8.4958399372223603E-2</v>
      </c>
      <c r="O813" s="157">
        <f>IF($E813="","",IF($C813=12,IF($B813&lt;Input!$C$9,Input!$C$54,IF($B813=Input!$C$9,Input!$C$55,Input!$C$56)),0%))</f>
        <v>0</v>
      </c>
      <c r="P813" s="167">
        <f>IF($E813="","",IF($B813=1,Input!$C$59,IF($B813&lt;6,Input!$C$60,0%)))</f>
        <v>0</v>
      </c>
      <c r="Q813" s="162">
        <f>IF($E813="","",Input!$C$58)</f>
        <v>2.5</v>
      </c>
      <c r="R813" s="156">
        <f t="shared" si="264"/>
        <v>0.9150416006277764</v>
      </c>
      <c r="S813" s="154">
        <f t="shared" si="253"/>
        <v>1.688642077471342E-9</v>
      </c>
      <c r="T813" s="152"/>
      <c r="U813" s="150">
        <f t="shared" si="265"/>
        <v>0</v>
      </c>
      <c r="V813" s="150">
        <f t="shared" si="266"/>
        <v>0</v>
      </c>
      <c r="W813" s="168">
        <f t="shared" si="267"/>
        <v>0</v>
      </c>
      <c r="X813" s="163">
        <f t="shared" si="254"/>
        <v>8495.8399372223612</v>
      </c>
      <c r="Y813" s="152"/>
      <c r="Z813" s="164">
        <f>IF(AND($C812=12,$D812=Input!$C$6),0,IF($E813="","",V813+Z814/(1+L813)*R813))</f>
        <v>56883.738374383393</v>
      </c>
      <c r="AA813" s="164">
        <f>IF(OR($M813=1,AND($C812=12,$D812=Input!$C$6)),0,IF($E813="","",W813+(X813+AA814*$R813)/(1+$L813)))</f>
        <v>89332.537763721644</v>
      </c>
      <c r="AB813" s="160">
        <f t="shared" si="255"/>
        <v>0.825720328500681</v>
      </c>
      <c r="AC813" s="164">
        <f t="shared" si="256"/>
        <v>0</v>
      </c>
      <c r="AD813" s="164">
        <f>IF(AND($C812=12,$D812=Input!$C$6),0,IF($E813="","",$AC813+AD814/(1+$L813)*$R813))</f>
        <v>46970.059136842647</v>
      </c>
      <c r="AE813" s="152"/>
      <c r="AF813" s="164">
        <f>IF(AND($C812=12,$D812=Input!$C$6),0,IF($E813="","",IF($B813&gt;Input!$C$9,$AC813,0)+AF814/(1+$L813)*$R813))</f>
        <v>46970.059136842647</v>
      </c>
      <c r="AG813" s="164">
        <f>IF(AND($C812=12,$D812=Input!$C$6),0,IF($E813="","",(IF($B813&gt;Input!$C$9,$X813,0)+AG814)/(1+$L813)*$R813))</f>
        <v>80665.658256945433</v>
      </c>
      <c r="AH813" s="160">
        <f t="shared" si="257"/>
        <v>2.0950137211446997</v>
      </c>
      <c r="AI813" s="160">
        <f>IF($E813="","",MIN(Input!$C$61/AH813,1))</f>
        <v>0.64438718771845094</v>
      </c>
      <c r="AJ813" s="152"/>
      <c r="AK813" s="164">
        <f>IF(AND($C812=12,$D812=Input!$C$6),0,IF($E813="","",IF($B813&gt;Input!$C$9,$AC813*AI813,0)+AK814/(1+$L813)*$R813))</f>
        <v>30266.904314159368</v>
      </c>
      <c r="AL813" s="164">
        <f>IF(AND($C812=12,$D812=Input!$C$6),0,IF($E813="","",IF($B813&gt;Input!$C$9,0,$AC813)+AL814/(1+$L813)*$R813))</f>
        <v>0</v>
      </c>
      <c r="AM813" s="160">
        <f t="shared" si="258"/>
        <v>1.1382936520186004</v>
      </c>
      <c r="AN813" s="164">
        <f>IF($E813="","",IF($B813&gt;Input!$C$9,$AI813*$AC813,$AM813*$AC813))</f>
        <v>0</v>
      </c>
      <c r="AO813" s="164">
        <f>IF(AND($C812=12,$D812=Input!$C$6),0,IF($E813="","",$AN813+AO814/(1+$L813)*$R813))</f>
        <v>30266.904314159368</v>
      </c>
      <c r="AP813" s="152"/>
      <c r="AQ813" s="164">
        <f t="shared" si="259"/>
        <v>59065.633449562272</v>
      </c>
      <c r="AR813" s="164">
        <f t="shared" si="268"/>
        <v>50329.268930404301</v>
      </c>
      <c r="AS813" s="164">
        <f t="shared" si="269"/>
        <v>31359.808612440193</v>
      </c>
      <c r="AT813" s="164">
        <f t="shared" si="260"/>
        <v>50329.268930404301</v>
      </c>
      <c r="AU813" s="152"/>
      <c r="AV813" s="147">
        <f>'Deterministic Reserve'!BC813</f>
        <v>1.2174931069203505E-15</v>
      </c>
      <c r="AW813" s="164">
        <f t="shared" si="261"/>
        <v>50329.268930404301</v>
      </c>
      <c r="AX813" s="164">
        <f t="shared" si="262"/>
        <v>6.1275537999107799E-11</v>
      </c>
      <c r="AY813" s="152"/>
    </row>
    <row r="814" spans="1:51" s="150" customFormat="1" x14ac:dyDescent="0.25">
      <c r="A814" s="150">
        <f t="shared" si="270"/>
        <v>810</v>
      </c>
      <c r="B814" s="150">
        <f t="shared" si="271"/>
        <v>68</v>
      </c>
      <c r="C814" s="150">
        <f t="shared" si="272"/>
        <v>6</v>
      </c>
      <c r="D814" s="150">
        <f>IF(E814="","",Input!$C$4+B814-1)</f>
        <v>112</v>
      </c>
      <c r="E814" s="150">
        <f>IF(OR(AND(C813=12,D813=Input!$C$6),E813=""),"",1)</f>
        <v>1</v>
      </c>
      <c r="F814" s="150">
        <f>IF(E814="","",Input!$C$8+B814-1)</f>
        <v>2085</v>
      </c>
      <c r="G814" s="151">
        <f>IF(E814="","",MAX(0,Input!$C$9-B814))</f>
        <v>0</v>
      </c>
      <c r="H814" s="152">
        <f>IF(E814="","",Input!$C$3)</f>
        <v>100000</v>
      </c>
      <c r="I814" s="153">
        <f>IF(E814="","",HLOOKUP($B814,Input!$C$13:$BT$14,2))</f>
        <v>1000</v>
      </c>
      <c r="J814" s="154"/>
      <c r="K814" s="155">
        <f>IF($E814="","",Input!$C$57)</f>
        <v>4.4999999999999998E-2</v>
      </c>
      <c r="L814" s="155">
        <f t="shared" si="263"/>
        <v>3.6748094004368514E-3</v>
      </c>
      <c r="M814" s="147">
        <f>IF($E814="","",VLOOKUP(IF($B814&lt;=Input!$C$7,$B814,26),'Mortality Tables'!$A$72:$CA$97,IF($B814&lt;=Input!$C$7+1,Input!$C$4-16,$D814-Input!$C$7-16),0)/1000)</f>
        <v>0.65542</v>
      </c>
      <c r="N814" s="147">
        <f t="shared" si="252"/>
        <v>8.4958399372223603E-2</v>
      </c>
      <c r="O814" s="157">
        <f>IF($E814="","",IF($C814=12,IF($B814&lt;Input!$C$9,Input!$C$54,IF($B814=Input!$C$9,Input!$C$55,Input!$C$56)),0%))</f>
        <v>0</v>
      </c>
      <c r="P814" s="167">
        <f>IF($E814="","",IF($B814=1,Input!$C$59,IF($B814&lt;6,Input!$C$60,0%)))</f>
        <v>0</v>
      </c>
      <c r="Q814" s="162">
        <f>IF($E814="","",Input!$C$58)</f>
        <v>2.5</v>
      </c>
      <c r="R814" s="156">
        <f t="shared" si="264"/>
        <v>0.9150416006277764</v>
      </c>
      <c r="S814" s="154">
        <f t="shared" si="253"/>
        <v>1.5451777494567904E-9</v>
      </c>
      <c r="T814" s="152"/>
      <c r="U814" s="150">
        <f t="shared" si="265"/>
        <v>0</v>
      </c>
      <c r="V814" s="150">
        <f t="shared" si="266"/>
        <v>0</v>
      </c>
      <c r="W814" s="168">
        <f t="shared" si="267"/>
        <v>0</v>
      </c>
      <c r="X814" s="163">
        <f t="shared" si="254"/>
        <v>8495.8399372223612</v>
      </c>
      <c r="Y814" s="152"/>
      <c r="Z814" s="164">
        <f>IF(AND($C813=12,$D813=Input!$C$6),0,IF($E814="","",V814+Z815/(1+L814)*R814))</f>
        <v>62393.638968681109</v>
      </c>
      <c r="AA814" s="164">
        <f>IF(OR($M814=1,AND($C813=12,$D813=Input!$C$6)),0,IF($E814="","",W814+(X814+AA815*$R814)/(1+$L814)))</f>
        <v>88700.861054135661</v>
      </c>
      <c r="AB814" s="160">
        <f t="shared" si="255"/>
        <v>0.825720328500681</v>
      </c>
      <c r="AC814" s="164">
        <f t="shared" si="256"/>
        <v>0</v>
      </c>
      <c r="AD814" s="164">
        <f>IF(AND($C813=12,$D813=Input!$C$6),0,IF($E814="","",$AC814+AD815/(1+$L814)*$R814))</f>
        <v>51519.696065572251</v>
      </c>
      <c r="AE814" s="152"/>
      <c r="AF814" s="164">
        <f>IF(AND($C813=12,$D813=Input!$C$6),0,IF($E814="","",IF($B814&gt;Input!$C$9,$AC814,0)+AF815/(1+$L814)*$R814))</f>
        <v>51519.696065572251</v>
      </c>
      <c r="AG814" s="164">
        <f>IF(AND($C813=12,$D813=Input!$C$6),0,IF($E814="","",(IF($B814&gt;Input!$C$9,$X814,0)+AG815)/(1+$L814)*$R814))</f>
        <v>79983.294913756399</v>
      </c>
      <c r="AH814" s="160">
        <f t="shared" si="257"/>
        <v>2.0950137211446997</v>
      </c>
      <c r="AI814" s="160">
        <f>IF($E814="","",MIN(Input!$C$61/AH814,1))</f>
        <v>0.64438718771845094</v>
      </c>
      <c r="AJ814" s="152"/>
      <c r="AK814" s="164">
        <f>IF(AND($C813=12,$D813=Input!$C$6),0,IF($E814="","",IF($B814&gt;Input!$C$9,$AC814*AI814,0)+AK815/(1+$L814)*$R814))</f>
        <v>33198.632059803451</v>
      </c>
      <c r="AL814" s="164">
        <f>IF(AND($C813=12,$D813=Input!$C$6),0,IF($E814="","",IF($B814&gt;Input!$C$9,0,$AC814)+AL815/(1+$L814)*$R814))</f>
        <v>0</v>
      </c>
      <c r="AM814" s="160">
        <f t="shared" si="258"/>
        <v>1.1382936520186004</v>
      </c>
      <c r="AN814" s="164">
        <f>IF($E814="","",IF($B814&gt;Input!$C$9,$AI814*$AC814,$AM814*$AC814))</f>
        <v>0</v>
      </c>
      <c r="AO814" s="164">
        <f>IF(AND($C813=12,$D813=Input!$C$6),0,IF($E814="","",$AN814+AO815/(1+$L814)*$R814))</f>
        <v>33198.632059803451</v>
      </c>
      <c r="AP814" s="152"/>
      <c r="AQ814" s="164">
        <f t="shared" si="259"/>
        <v>55502.22899433221</v>
      </c>
      <c r="AR814" s="164">
        <f t="shared" si="268"/>
        <v>50329.268930404301</v>
      </c>
      <c r="AS814" s="164">
        <f t="shared" si="269"/>
        <v>31359.808612440193</v>
      </c>
      <c r="AT814" s="164">
        <f t="shared" si="260"/>
        <v>50329.268930404301</v>
      </c>
      <c r="AU814" s="152"/>
      <c r="AV814" s="147">
        <f>'Deterministic Reserve'!BC814</f>
        <v>1.0966556181944861E-15</v>
      </c>
      <c r="AW814" s="164">
        <f t="shared" si="261"/>
        <v>50329.268930404301</v>
      </c>
      <c r="AX814" s="164">
        <f t="shared" si="262"/>
        <v>5.5193875532149069E-11</v>
      </c>
      <c r="AY814" s="152"/>
    </row>
    <row r="815" spans="1:51" s="150" customFormat="1" x14ac:dyDescent="0.25">
      <c r="A815" s="150">
        <f t="shared" si="270"/>
        <v>811</v>
      </c>
      <c r="B815" s="150">
        <f t="shared" si="271"/>
        <v>68</v>
      </c>
      <c r="C815" s="150">
        <f t="shared" si="272"/>
        <v>7</v>
      </c>
      <c r="D815" s="150">
        <f>IF(E815="","",Input!$C$4+B815-1)</f>
        <v>112</v>
      </c>
      <c r="E815" s="150">
        <f>IF(OR(AND(C814=12,D814=Input!$C$6),E814=""),"",1)</f>
        <v>1</v>
      </c>
      <c r="F815" s="150">
        <f>IF(E815="","",Input!$C$8+B815-1)</f>
        <v>2085</v>
      </c>
      <c r="G815" s="151">
        <f>IF(E815="","",MAX(0,Input!$C$9-B815))</f>
        <v>0</v>
      </c>
      <c r="H815" s="152">
        <f>IF(E815="","",Input!$C$3)</f>
        <v>100000</v>
      </c>
      <c r="I815" s="153">
        <f>IF(E815="","",HLOOKUP($B815,Input!$C$13:$BT$14,2))</f>
        <v>1000</v>
      </c>
      <c r="J815" s="154"/>
      <c r="K815" s="155">
        <f>IF($E815="","",Input!$C$57)</f>
        <v>4.4999999999999998E-2</v>
      </c>
      <c r="L815" s="155">
        <f t="shared" si="263"/>
        <v>3.6748094004368514E-3</v>
      </c>
      <c r="M815" s="147">
        <f>IF($E815="","",VLOOKUP(IF($B815&lt;=Input!$C$7,$B815,26),'Mortality Tables'!$A$72:$CA$97,IF($B815&lt;=Input!$C$7+1,Input!$C$4-16,$D815-Input!$C$7-16),0)/1000)</f>
        <v>0.65542</v>
      </c>
      <c r="N815" s="147">
        <f t="shared" si="252"/>
        <v>8.4958399372223603E-2</v>
      </c>
      <c r="O815" s="157">
        <f>IF($E815="","",IF($C815=12,IF($B815&lt;Input!$C$9,Input!$C$54,IF($B815=Input!$C$9,Input!$C$55,Input!$C$56)),0%))</f>
        <v>0</v>
      </c>
      <c r="P815" s="167">
        <f>IF($E815="","",IF($B815=1,Input!$C$59,IF($B815&lt;6,Input!$C$60,0%)))</f>
        <v>0</v>
      </c>
      <c r="Q815" s="162">
        <f>IF($E815="","",Input!$C$58)</f>
        <v>2.5</v>
      </c>
      <c r="R815" s="156">
        <f t="shared" si="264"/>
        <v>0.9150416006277764</v>
      </c>
      <c r="S815" s="154">
        <f t="shared" si="253"/>
        <v>1.4139019211173669E-9</v>
      </c>
      <c r="T815" s="152"/>
      <c r="U815" s="150">
        <f t="shared" si="265"/>
        <v>0</v>
      </c>
      <c r="V815" s="150">
        <f t="shared" si="266"/>
        <v>0</v>
      </c>
      <c r="W815" s="168">
        <f t="shared" si="267"/>
        <v>0</v>
      </c>
      <c r="X815" s="163">
        <f t="shared" si="254"/>
        <v>8495.8399372223612</v>
      </c>
      <c r="Y815" s="152"/>
      <c r="Z815" s="164">
        <f>IF(AND($C814=12,$D814=Input!$C$6),0,IF($E815="","",V815+Z816/(1+L815)*R815))</f>
        <v>68437.242259507533</v>
      </c>
      <c r="AA815" s="164">
        <f>IF(OR($M815=1,AND($C814=12,$D814=Input!$C$6)),0,IF($E815="","",W815+(X815+AA816*$R815)/(1+$L815)))</f>
        <v>88007.998564975118</v>
      </c>
      <c r="AB815" s="160">
        <f t="shared" si="255"/>
        <v>0.825720328500681</v>
      </c>
      <c r="AC815" s="164">
        <f t="shared" si="256"/>
        <v>0</v>
      </c>
      <c r="AD815" s="164">
        <f>IF(AND($C814=12,$D814=Input!$C$6),0,IF($E815="","",$AC815+AD816/(1+$L815)*$R815))</f>
        <v>56510.022160201246</v>
      </c>
      <c r="AE815" s="152"/>
      <c r="AF815" s="164">
        <f>IF(AND($C814=12,$D814=Input!$C$6),0,IF($E815="","",IF($B815&gt;Input!$C$9,$AC815,0)+AF816/(1+$L815)*$R815))</f>
        <v>56510.022160201246</v>
      </c>
      <c r="AG815" s="164">
        <f>IF(AND($C814=12,$D814=Input!$C$6),0,IF($E815="","",(IF($B815&gt;Input!$C$9,$X815,0)+AG816)/(1+$L815)*$R815))</f>
        <v>79234.836157403421</v>
      </c>
      <c r="AH815" s="160">
        <f t="shared" si="257"/>
        <v>2.0950137211446997</v>
      </c>
      <c r="AI815" s="160">
        <f>IF($E815="","",MIN(Input!$C$61/AH815,1))</f>
        <v>0.64438718771845094</v>
      </c>
      <c r="AJ815" s="152"/>
      <c r="AK815" s="164">
        <f>IF(AND($C814=12,$D814=Input!$C$6),0,IF($E815="","",IF($B815&gt;Input!$C$9,$AC815*AI815,0)+AK816/(1+$L815)*$R815))</f>
        <v>36414.334257719434</v>
      </c>
      <c r="AL815" s="164">
        <f>IF(AND($C814=12,$D814=Input!$C$6),0,IF($E815="","",IF($B815&gt;Input!$C$9,0,$AC815)+AL816/(1+$L815)*$R815))</f>
        <v>0</v>
      </c>
      <c r="AM815" s="160">
        <f t="shared" si="258"/>
        <v>1.1382936520186004</v>
      </c>
      <c r="AN815" s="164">
        <f>IF($E815="","",IF($B815&gt;Input!$C$9,$AI815*$AC815,$AM815*$AC815))</f>
        <v>0</v>
      </c>
      <c r="AO815" s="164">
        <f>IF(AND($C814=12,$D814=Input!$C$6),0,IF($E815="","",$AN815+AO816/(1+$L815)*$R815))</f>
        <v>36414.334257719434</v>
      </c>
      <c r="AP815" s="152"/>
      <c r="AQ815" s="164">
        <f t="shared" si="259"/>
        <v>51593.664307255684</v>
      </c>
      <c r="AR815" s="164">
        <f t="shared" si="268"/>
        <v>50329.268930404301</v>
      </c>
      <c r="AS815" s="164">
        <f t="shared" si="269"/>
        <v>31359.808612440193</v>
      </c>
      <c r="AT815" s="164">
        <f t="shared" si="260"/>
        <v>50329.268930404301</v>
      </c>
      <c r="AU815" s="152"/>
      <c r="AV815" s="147">
        <f>'Deterministic Reserve'!BC815</f>
        <v>9.8781137903905118E-16</v>
      </c>
      <c r="AW815" s="164">
        <f t="shared" si="261"/>
        <v>50329.268930404301</v>
      </c>
      <c r="AX815" s="164">
        <f t="shared" si="262"/>
        <v>4.9715824548169946E-11</v>
      </c>
      <c r="AY815" s="152"/>
    </row>
    <row r="816" spans="1:51" s="150" customFormat="1" x14ac:dyDescent="0.25">
      <c r="A816" s="150">
        <f t="shared" si="270"/>
        <v>812</v>
      </c>
      <c r="B816" s="150">
        <f t="shared" si="271"/>
        <v>68</v>
      </c>
      <c r="C816" s="150">
        <f t="shared" si="272"/>
        <v>8</v>
      </c>
      <c r="D816" s="150">
        <f>IF(E816="","",Input!$C$4+B816-1)</f>
        <v>112</v>
      </c>
      <c r="E816" s="150">
        <f>IF(OR(AND(C815=12,D815=Input!$C$6),E815=""),"",1)</f>
        <v>1</v>
      </c>
      <c r="F816" s="150">
        <f>IF(E816="","",Input!$C$8+B816-1)</f>
        <v>2085</v>
      </c>
      <c r="G816" s="151">
        <f>IF(E816="","",MAX(0,Input!$C$9-B816))</f>
        <v>0</v>
      </c>
      <c r="H816" s="152">
        <f>IF(E816="","",Input!$C$3)</f>
        <v>100000</v>
      </c>
      <c r="I816" s="153">
        <f>IF(E816="","",HLOOKUP($B816,Input!$C$13:$BT$14,2))</f>
        <v>1000</v>
      </c>
      <c r="J816" s="154"/>
      <c r="K816" s="155">
        <f>IF($E816="","",Input!$C$57)</f>
        <v>4.4999999999999998E-2</v>
      </c>
      <c r="L816" s="155">
        <f t="shared" si="263"/>
        <v>3.6748094004368514E-3</v>
      </c>
      <c r="M816" s="147">
        <f>IF($E816="","",VLOOKUP(IF($B816&lt;=Input!$C$7,$B816,26),'Mortality Tables'!$A$72:$CA$97,IF($B816&lt;=Input!$C$7+1,Input!$C$4-16,$D816-Input!$C$7-16),0)/1000)</f>
        <v>0.65542</v>
      </c>
      <c r="N816" s="147">
        <f t="shared" si="252"/>
        <v>8.4958399372223603E-2</v>
      </c>
      <c r="O816" s="157">
        <f>IF($E816="","",IF($C816=12,IF($B816&lt;Input!$C$9,Input!$C$54,IF($B816=Input!$C$9,Input!$C$55,Input!$C$56)),0%))</f>
        <v>0</v>
      </c>
      <c r="P816" s="167">
        <f>IF($E816="","",IF($B816=1,Input!$C$59,IF($B816&lt;6,Input!$C$60,0%)))</f>
        <v>0</v>
      </c>
      <c r="Q816" s="162">
        <f>IF($E816="","",Input!$C$58)</f>
        <v>2.5</v>
      </c>
      <c r="R816" s="156">
        <f t="shared" si="264"/>
        <v>0.9150416006277764</v>
      </c>
      <c r="S816" s="154">
        <f t="shared" si="253"/>
        <v>1.2937790770299233E-9</v>
      </c>
      <c r="T816" s="152"/>
      <c r="U816" s="150">
        <f t="shared" si="265"/>
        <v>0</v>
      </c>
      <c r="V816" s="150">
        <f t="shared" si="266"/>
        <v>0</v>
      </c>
      <c r="W816" s="168">
        <f t="shared" si="267"/>
        <v>0</v>
      </c>
      <c r="X816" s="163">
        <f t="shared" si="254"/>
        <v>8495.8399372223612</v>
      </c>
      <c r="Y816" s="152"/>
      <c r="Z816" s="164">
        <f>IF(AND($C815=12,$D815=Input!$C$6),0,IF($E816="","",V816+Z817/(1+L816)*R816))</f>
        <v>75066.24401948275</v>
      </c>
      <c r="AA816" s="164">
        <f>IF(OR($M816=1,AND($C815=12,$D815=Input!$C$6)),0,IF($E816="","",W816+(X816+AA817*$R816)/(1+$L816)))</f>
        <v>87248.023689218826</v>
      </c>
      <c r="AB816" s="160">
        <f t="shared" si="255"/>
        <v>0.825720328500681</v>
      </c>
      <c r="AC816" s="164">
        <f t="shared" si="256"/>
        <v>0</v>
      </c>
      <c r="AD816" s="164">
        <f>IF(AND($C815=12,$D815=Input!$C$6),0,IF($E816="","",$AC816+AD817/(1+$L816)*$R816))</f>
        <v>61983.723671079577</v>
      </c>
      <c r="AE816" s="152"/>
      <c r="AF816" s="164">
        <f>IF(AND($C815=12,$D815=Input!$C$6),0,IF($E816="","",IF($B816&gt;Input!$C$9,$AC816,0)+AF817/(1+$L816)*$R816))</f>
        <v>61983.723671079577</v>
      </c>
      <c r="AG816" s="164">
        <f>IF(AND($C815=12,$D815=Input!$C$6),0,IF($E816="","",(IF($B816&gt;Input!$C$9,$X816,0)+AG817)/(1+$L816)*$R816))</f>
        <v>78413.879821526149</v>
      </c>
      <c r="AH816" s="160">
        <f t="shared" si="257"/>
        <v>2.0950137211446997</v>
      </c>
      <c r="AI816" s="160">
        <f>IF($E816="","",MIN(Input!$C$61/AH816,1))</f>
        <v>0.64438718771845094</v>
      </c>
      <c r="AJ816" s="152"/>
      <c r="AK816" s="164">
        <f>IF(AND($C815=12,$D815=Input!$C$6),0,IF($E816="","",IF($B816&gt;Input!$C$9,$AC816*AI816,0)+AK817/(1+$L816)*$R816))</f>
        <v>39941.517380724552</v>
      </c>
      <c r="AL816" s="164">
        <f>IF(AND($C815=12,$D815=Input!$C$6),0,IF($E816="","",IF($B816&gt;Input!$C$9,0,$AC816)+AL817/(1+$L816)*$R816))</f>
        <v>0</v>
      </c>
      <c r="AM816" s="160">
        <f t="shared" si="258"/>
        <v>1.1382936520186004</v>
      </c>
      <c r="AN816" s="164">
        <f>IF($E816="","",IF($B816&gt;Input!$C$9,$AI816*$AC816,$AM816*$AC816))</f>
        <v>0</v>
      </c>
      <c r="AO816" s="164">
        <f>IF(AND($C815=12,$D815=Input!$C$6),0,IF($E816="","",$AN816+AO817/(1+$L816)*$R816))</f>
        <v>39941.517380724552</v>
      </c>
      <c r="AP816" s="152"/>
      <c r="AQ816" s="164">
        <f t="shared" si="259"/>
        <v>47306.506308494274</v>
      </c>
      <c r="AR816" s="164">
        <f t="shared" si="268"/>
        <v>50329.268930404301</v>
      </c>
      <c r="AS816" s="164">
        <f t="shared" si="269"/>
        <v>31359.808612440193</v>
      </c>
      <c r="AT816" s="164">
        <f t="shared" si="260"/>
        <v>50329.268930404301</v>
      </c>
      <c r="AU816" s="152"/>
      <c r="AV816" s="147">
        <f>'Deterministic Reserve'!BC816</f>
        <v>8.8977004664921534E-16</v>
      </c>
      <c r="AW816" s="164">
        <f t="shared" si="261"/>
        <v>50329.268930404301</v>
      </c>
      <c r="AX816" s="164">
        <f t="shared" si="262"/>
        <v>4.4781475964026741E-11</v>
      </c>
      <c r="AY816" s="152"/>
    </row>
    <row r="817" spans="1:51" s="150" customFormat="1" x14ac:dyDescent="0.25">
      <c r="A817" s="150">
        <f t="shared" si="270"/>
        <v>813</v>
      </c>
      <c r="B817" s="150">
        <f t="shared" si="271"/>
        <v>68</v>
      </c>
      <c r="C817" s="150">
        <f t="shared" si="272"/>
        <v>9</v>
      </c>
      <c r="D817" s="150">
        <f>IF(E817="","",Input!$C$4+B817-1)</f>
        <v>112</v>
      </c>
      <c r="E817" s="150">
        <f>IF(OR(AND(C816=12,D816=Input!$C$6),E816=""),"",1)</f>
        <v>1</v>
      </c>
      <c r="F817" s="150">
        <f>IF(E817="","",Input!$C$8+B817-1)</f>
        <v>2085</v>
      </c>
      <c r="G817" s="151">
        <f>IF(E817="","",MAX(0,Input!$C$9-B817))</f>
        <v>0</v>
      </c>
      <c r="H817" s="152">
        <f>IF(E817="","",Input!$C$3)</f>
        <v>100000</v>
      </c>
      <c r="I817" s="153">
        <f>IF(E817="","",HLOOKUP($B817,Input!$C$13:$BT$14,2))</f>
        <v>1000</v>
      </c>
      <c r="J817" s="154"/>
      <c r="K817" s="155">
        <f>IF($E817="","",Input!$C$57)</f>
        <v>4.4999999999999998E-2</v>
      </c>
      <c r="L817" s="155">
        <f t="shared" si="263"/>
        <v>3.6748094004368514E-3</v>
      </c>
      <c r="M817" s="147">
        <f>IF($E817="","",VLOOKUP(IF($B817&lt;=Input!$C$7,$B817,26),'Mortality Tables'!$A$72:$CA$97,IF($B817&lt;=Input!$C$7+1,Input!$C$4-16,$D817-Input!$C$7-16),0)/1000)</f>
        <v>0.65542</v>
      </c>
      <c r="N817" s="147">
        <f t="shared" si="252"/>
        <v>8.4958399372223603E-2</v>
      </c>
      <c r="O817" s="157">
        <f>IF($E817="","",IF($C817=12,IF($B817&lt;Input!$C$9,Input!$C$54,IF($B817=Input!$C$9,Input!$C$55,Input!$C$56)),0%))</f>
        <v>0</v>
      </c>
      <c r="P817" s="167">
        <f>IF($E817="","",IF($B817=1,Input!$C$59,IF($B817&lt;6,Input!$C$60,0%)))</f>
        <v>0</v>
      </c>
      <c r="Q817" s="162">
        <f>IF($E817="","",Input!$C$58)</f>
        <v>2.5</v>
      </c>
      <c r="R817" s="156">
        <f t="shared" si="264"/>
        <v>0.9150416006277764</v>
      </c>
      <c r="S817" s="154">
        <f t="shared" si="253"/>
        <v>1.1838616775041882E-9</v>
      </c>
      <c r="T817" s="152"/>
      <c r="U817" s="150">
        <f t="shared" si="265"/>
        <v>0</v>
      </c>
      <c r="V817" s="150">
        <f t="shared" si="266"/>
        <v>0</v>
      </c>
      <c r="W817" s="168">
        <f t="shared" si="267"/>
        <v>0</v>
      </c>
      <c r="X817" s="163">
        <f t="shared" si="254"/>
        <v>8495.8399372223612</v>
      </c>
      <c r="Y817" s="152"/>
      <c r="Z817" s="164">
        <f>IF(AND($C816=12,$D816=Input!$C$6),0,IF($E817="","",V817+Z818/(1+L817)*R817))</f>
        <v>82337.347402535132</v>
      </c>
      <c r="AA817" s="164">
        <f>IF(OR($M817=1,AND($C816=12,$D816=Input!$C$6)),0,IF($E817="","",W817+(X817+AA818*$R817)/(1+$L817)))</f>
        <v>86414.435753926591</v>
      </c>
      <c r="AB817" s="160">
        <f t="shared" si="255"/>
        <v>0.825720328500681</v>
      </c>
      <c r="AC817" s="164">
        <f t="shared" si="256"/>
        <v>0</v>
      </c>
      <c r="AD817" s="164">
        <f>IF(AND($C816=12,$D816=Input!$C$6),0,IF($E817="","",$AC817+AD818/(1+$L817)*$R817))</f>
        <v>67987.621545096001</v>
      </c>
      <c r="AE817" s="152"/>
      <c r="AF817" s="164">
        <f>IF(AND($C816=12,$D816=Input!$C$6),0,IF($E817="","",IF($B817&gt;Input!$C$9,$AC817,0)+AF818/(1+$L817)*$R817))</f>
        <v>67987.621545096001</v>
      </c>
      <c r="AG817" s="164">
        <f>IF(AND($C816=12,$D816=Input!$C$6),0,IF($E817="","",(IF($B817&gt;Input!$C$9,$X817,0)+AG818)/(1+$L817)*$R817))</f>
        <v>77513.403609982968</v>
      </c>
      <c r="AH817" s="160">
        <f t="shared" si="257"/>
        <v>2.0950137211446997</v>
      </c>
      <c r="AI817" s="160">
        <f>IF($E817="","",MIN(Input!$C$61/AH817,1))</f>
        <v>0.64438718771845094</v>
      </c>
      <c r="AJ817" s="152"/>
      <c r="AK817" s="164">
        <f>IF(AND($C816=12,$D816=Input!$C$6),0,IF($E817="","",IF($B817&gt;Input!$C$9,$AC817*AI817,0)+AK818/(1+$L817)*$R817))</f>
        <v>43810.352247110786</v>
      </c>
      <c r="AL817" s="164">
        <f>IF(AND($C816=12,$D816=Input!$C$6),0,IF($E817="","",IF($B817&gt;Input!$C$9,0,$AC817)+AL818/(1+$L817)*$R817))</f>
        <v>0</v>
      </c>
      <c r="AM817" s="160">
        <f t="shared" si="258"/>
        <v>1.1382936520186004</v>
      </c>
      <c r="AN817" s="164">
        <f>IF($E817="","",IF($B817&gt;Input!$C$9,$AI817*$AC817,$AM817*$AC817))</f>
        <v>0</v>
      </c>
      <c r="AO817" s="164">
        <f>IF(AND($C816=12,$D816=Input!$C$6),0,IF($E817="","",$AN817+AO818/(1+$L817)*$R817))</f>
        <v>43810.352247110786</v>
      </c>
      <c r="AP817" s="152"/>
      <c r="AQ817" s="164">
        <f t="shared" si="259"/>
        <v>42604.083506815805</v>
      </c>
      <c r="AR817" s="164">
        <f t="shared" si="268"/>
        <v>50329.268930404301</v>
      </c>
      <c r="AS817" s="164">
        <f t="shared" si="269"/>
        <v>31359.808612440193</v>
      </c>
      <c r="AT817" s="164">
        <f t="shared" si="260"/>
        <v>50329.268930404301</v>
      </c>
      <c r="AU817" s="152"/>
      <c r="AV817" s="147">
        <f>'Deterministic Reserve'!BC817</f>
        <v>8.0145942101244905E-16</v>
      </c>
      <c r="AW817" s="164">
        <f t="shared" si="261"/>
        <v>50329.268930404301</v>
      </c>
      <c r="AX817" s="164">
        <f t="shared" si="262"/>
        <v>4.033686673694167E-11</v>
      </c>
      <c r="AY817" s="152"/>
    </row>
    <row r="818" spans="1:51" s="150" customFormat="1" x14ac:dyDescent="0.25">
      <c r="A818" s="150">
        <f t="shared" si="270"/>
        <v>814</v>
      </c>
      <c r="B818" s="150">
        <f t="shared" si="271"/>
        <v>68</v>
      </c>
      <c r="C818" s="150">
        <f t="shared" si="272"/>
        <v>10</v>
      </c>
      <c r="D818" s="150">
        <f>IF(E818="","",Input!$C$4+B818-1)</f>
        <v>112</v>
      </c>
      <c r="E818" s="150">
        <f>IF(OR(AND(C817=12,D817=Input!$C$6),E817=""),"",1)</f>
        <v>1</v>
      </c>
      <c r="F818" s="150">
        <f>IF(E818="","",Input!$C$8+B818-1)</f>
        <v>2085</v>
      </c>
      <c r="G818" s="151">
        <f>IF(E818="","",MAX(0,Input!$C$9-B818))</f>
        <v>0</v>
      </c>
      <c r="H818" s="152">
        <f>IF(E818="","",Input!$C$3)</f>
        <v>100000</v>
      </c>
      <c r="I818" s="153">
        <f>IF(E818="","",HLOOKUP($B818,Input!$C$13:$BT$14,2))</f>
        <v>1000</v>
      </c>
      <c r="J818" s="154"/>
      <c r="K818" s="155">
        <f>IF($E818="","",Input!$C$57)</f>
        <v>4.4999999999999998E-2</v>
      </c>
      <c r="L818" s="155">
        <f t="shared" si="263"/>
        <v>3.6748094004368514E-3</v>
      </c>
      <c r="M818" s="147">
        <f>IF($E818="","",VLOOKUP(IF($B818&lt;=Input!$C$7,$B818,26),'Mortality Tables'!$A$72:$CA$97,IF($B818&lt;=Input!$C$7+1,Input!$C$4-16,$D818-Input!$C$7-16),0)/1000)</f>
        <v>0.65542</v>
      </c>
      <c r="N818" s="147">
        <f t="shared" si="252"/>
        <v>8.4958399372223603E-2</v>
      </c>
      <c r="O818" s="157">
        <f>IF($E818="","",IF($C818=12,IF($B818&lt;Input!$C$9,Input!$C$54,IF($B818=Input!$C$9,Input!$C$55,Input!$C$56)),0%))</f>
        <v>0</v>
      </c>
      <c r="P818" s="167">
        <f>IF($E818="","",IF($B818=1,Input!$C$59,IF($B818&lt;6,Input!$C$60,0%)))</f>
        <v>0</v>
      </c>
      <c r="Q818" s="162">
        <f>IF($E818="","",Input!$C$58)</f>
        <v>2.5</v>
      </c>
      <c r="R818" s="156">
        <f t="shared" si="264"/>
        <v>0.9150416006277764</v>
      </c>
      <c r="S818" s="154">
        <f t="shared" si="253"/>
        <v>1.0832826843053168E-9</v>
      </c>
      <c r="T818" s="152"/>
      <c r="U818" s="150">
        <f t="shared" si="265"/>
        <v>0</v>
      </c>
      <c r="V818" s="150">
        <f t="shared" si="266"/>
        <v>0</v>
      </c>
      <c r="W818" s="168">
        <f t="shared" si="267"/>
        <v>0</v>
      </c>
      <c r="X818" s="163">
        <f t="shared" si="254"/>
        <v>8495.8399372223612</v>
      </c>
      <c r="Y818" s="152"/>
      <c r="Z818" s="164">
        <f>IF(AND($C817=12,$D817=Input!$C$6),0,IF($E818="","",V818+Z819/(1+L818)*R818))</f>
        <v>90312.747971328077</v>
      </c>
      <c r="AA818" s="164">
        <f>IF(OR($M818=1,AND($C817=12,$D817=Input!$C$6)),0,IF($E818="","",W818+(X818+AA819*$R818)/(1+$L818)))</f>
        <v>85500.104414784262</v>
      </c>
      <c r="AB818" s="160">
        <f t="shared" si="255"/>
        <v>0.825720328500681</v>
      </c>
      <c r="AC818" s="164">
        <f t="shared" si="256"/>
        <v>0</v>
      </c>
      <c r="AD818" s="164">
        <f>IF(AND($C817=12,$D817=Input!$C$6),0,IF($E818="","",$AC818+AD819/(1+$L818)*$R818))</f>
        <v>74573.071922684234</v>
      </c>
      <c r="AE818" s="152"/>
      <c r="AF818" s="164">
        <f>IF(AND($C817=12,$D817=Input!$C$6),0,IF($E818="","",IF($B818&gt;Input!$C$9,$AC818,0)+AF819/(1+$L818)*$R818))</f>
        <v>74573.071922684234</v>
      </c>
      <c r="AG818" s="164">
        <f>IF(AND($C817=12,$D817=Input!$C$6),0,IF($E818="","",(IF($B818&gt;Input!$C$9,$X818,0)+AG819)/(1+$L818)*$R818))</f>
        <v>76525.705029535718</v>
      </c>
      <c r="AH818" s="160">
        <f t="shared" si="257"/>
        <v>2.0950137211446997</v>
      </c>
      <c r="AI818" s="160">
        <f>IF($E818="","",MIN(Input!$C$61/AH818,1))</f>
        <v>0.64438718771845094</v>
      </c>
      <c r="AJ818" s="152"/>
      <c r="AK818" s="164">
        <f>IF(AND($C817=12,$D817=Input!$C$6),0,IF($E818="","",IF($B818&gt;Input!$C$9,$AC818*AI818,0)+AK819/(1+$L818)*$R818))</f>
        <v>48053.932095784279</v>
      </c>
      <c r="AL818" s="164">
        <f>IF(AND($C817=12,$D817=Input!$C$6),0,IF($E818="","",IF($B818&gt;Input!$C$9,0,$AC818)+AL819/(1+$L818)*$R818))</f>
        <v>0</v>
      </c>
      <c r="AM818" s="160">
        <f t="shared" si="258"/>
        <v>1.1382936520186004</v>
      </c>
      <c r="AN818" s="164">
        <f>IF($E818="","",IF($B818&gt;Input!$C$9,$AI818*$AC818,$AM818*$AC818))</f>
        <v>0</v>
      </c>
      <c r="AO818" s="164">
        <f>IF(AND($C817=12,$D817=Input!$C$6),0,IF($E818="","",$AN818+AO819/(1+$L818)*$R818))</f>
        <v>48053.932095784279</v>
      </c>
      <c r="AP818" s="152"/>
      <c r="AQ818" s="164">
        <f t="shared" si="259"/>
        <v>37446.172318999983</v>
      </c>
      <c r="AR818" s="164">
        <f t="shared" si="268"/>
        <v>50329.268930404301</v>
      </c>
      <c r="AS818" s="164">
        <f t="shared" si="269"/>
        <v>31359.808612440193</v>
      </c>
      <c r="AT818" s="164">
        <f t="shared" si="260"/>
        <v>50329.268930404301</v>
      </c>
      <c r="AU818" s="152"/>
      <c r="AV818" s="147">
        <f>'Deterministic Reserve'!BC818</f>
        <v>7.2191371911044598E-16</v>
      </c>
      <c r="AW818" s="164">
        <f t="shared" si="261"/>
        <v>50329.268930404301</v>
      </c>
      <c r="AX818" s="164">
        <f t="shared" si="262"/>
        <v>3.6333389713657987E-11</v>
      </c>
      <c r="AY818" s="152"/>
    </row>
    <row r="819" spans="1:51" s="150" customFormat="1" x14ac:dyDescent="0.25">
      <c r="A819" s="150">
        <f t="shared" si="270"/>
        <v>815</v>
      </c>
      <c r="B819" s="150">
        <f t="shared" si="271"/>
        <v>68</v>
      </c>
      <c r="C819" s="150">
        <f t="shared" si="272"/>
        <v>11</v>
      </c>
      <c r="D819" s="150">
        <f>IF(E819="","",Input!$C$4+B819-1)</f>
        <v>112</v>
      </c>
      <c r="E819" s="150">
        <f>IF(OR(AND(C818=12,D818=Input!$C$6),E818=""),"",1)</f>
        <v>1</v>
      </c>
      <c r="F819" s="150">
        <f>IF(E819="","",Input!$C$8+B819-1)</f>
        <v>2085</v>
      </c>
      <c r="G819" s="151">
        <f>IF(E819="","",MAX(0,Input!$C$9-B819))</f>
        <v>0</v>
      </c>
      <c r="H819" s="152">
        <f>IF(E819="","",Input!$C$3)</f>
        <v>100000</v>
      </c>
      <c r="I819" s="153">
        <f>IF(E819="","",HLOOKUP($B819,Input!$C$13:$BT$14,2))</f>
        <v>1000</v>
      </c>
      <c r="J819" s="154"/>
      <c r="K819" s="155">
        <f>IF($E819="","",Input!$C$57)</f>
        <v>4.4999999999999998E-2</v>
      </c>
      <c r="L819" s="155">
        <f t="shared" si="263"/>
        <v>3.6748094004368514E-3</v>
      </c>
      <c r="M819" s="147">
        <f>IF($E819="","",VLOOKUP(IF($B819&lt;=Input!$C$7,$B819,26),'Mortality Tables'!$A$72:$CA$97,IF($B819&lt;=Input!$C$7+1,Input!$C$4-16,$D819-Input!$C$7-16),0)/1000)</f>
        <v>0.65542</v>
      </c>
      <c r="N819" s="147">
        <f t="shared" si="252"/>
        <v>8.4958399372223603E-2</v>
      </c>
      <c r="O819" s="157">
        <f>IF($E819="","",IF($C819=12,IF($B819&lt;Input!$C$9,Input!$C$54,IF($B819=Input!$C$9,Input!$C$55,Input!$C$56)),0%))</f>
        <v>0</v>
      </c>
      <c r="P819" s="167">
        <f>IF($E819="","",IF($B819=1,Input!$C$59,IF($B819&lt;6,Input!$C$60,0%)))</f>
        <v>0</v>
      </c>
      <c r="Q819" s="162">
        <f>IF($E819="","",Input!$C$58)</f>
        <v>2.5</v>
      </c>
      <c r="R819" s="156">
        <f t="shared" si="264"/>
        <v>0.9150416006277764</v>
      </c>
      <c r="S819" s="154">
        <f t="shared" si="253"/>
        <v>9.9124872137909139E-10</v>
      </c>
      <c r="T819" s="152"/>
      <c r="U819" s="150">
        <f t="shared" si="265"/>
        <v>0</v>
      </c>
      <c r="V819" s="150">
        <f t="shared" si="266"/>
        <v>0</v>
      </c>
      <c r="W819" s="168">
        <f t="shared" si="267"/>
        <v>0</v>
      </c>
      <c r="X819" s="163">
        <f t="shared" si="254"/>
        <v>8495.8399372223612</v>
      </c>
      <c r="Y819" s="152"/>
      <c r="Z819" s="164">
        <f>IF(AND($C818=12,$D818=Input!$C$6),0,IF($E819="","",V819+Z820/(1+L819)*R819))</f>
        <v>99060.665705651467</v>
      </c>
      <c r="AA819" s="164">
        <f>IF(OR($M819=1,AND($C818=12,$D818=Input!$C$6)),0,IF($E819="","",W819+(X819+AA820*$R819)/(1+$L819)))</f>
        <v>84497.208664565987</v>
      </c>
      <c r="AB819" s="160">
        <f t="shared" si="255"/>
        <v>0.825720328500681</v>
      </c>
      <c r="AC819" s="164">
        <f t="shared" si="256"/>
        <v>0</v>
      </c>
      <c r="AD819" s="164">
        <f>IF(AND($C818=12,$D818=Input!$C$6),0,IF($E819="","",$AC819+AD820/(1+$L819)*$R819))</f>
        <v>81796.405427966689</v>
      </c>
      <c r="AE819" s="152"/>
      <c r="AF819" s="164">
        <f>IF(AND($C818=12,$D818=Input!$C$6),0,IF($E819="","",IF($B819&gt;Input!$C$9,$AC819,0)+AF820/(1+$L819)*$R819))</f>
        <v>81796.405427966689</v>
      </c>
      <c r="AG819" s="164">
        <f>IF(AND($C818=12,$D818=Input!$C$6),0,IF($E819="","",(IF($B819&gt;Input!$C$9,$X819,0)+AG820)/(1+$L819)*$R819))</f>
        <v>75442.335504264571</v>
      </c>
      <c r="AH819" s="160">
        <f t="shared" si="257"/>
        <v>2.0950137211446997</v>
      </c>
      <c r="AI819" s="160">
        <f>IF($E819="","",MIN(Input!$C$61/AH819,1))</f>
        <v>0.64438718771845094</v>
      </c>
      <c r="AJ819" s="152"/>
      <c r="AK819" s="164">
        <f>IF(AND($C818=12,$D818=Input!$C$6),0,IF($E819="","",IF($B819&gt;Input!$C$9,$AC819*AI819,0)+AK820/(1+$L819)*$R819))</f>
        <v>52708.555659205696</v>
      </c>
      <c r="AL819" s="164">
        <f>IF(AND($C818=12,$D818=Input!$C$6),0,IF($E819="","",IF($B819&gt;Input!$C$9,0,$AC819)+AL820/(1+$L819)*$R819))</f>
        <v>0</v>
      </c>
      <c r="AM819" s="160">
        <f t="shared" si="258"/>
        <v>1.1382936520186004</v>
      </c>
      <c r="AN819" s="164">
        <f>IF($E819="","",IF($B819&gt;Input!$C$9,$AI819*$AC819,$AM819*$AC819))</f>
        <v>0</v>
      </c>
      <c r="AO819" s="164">
        <f>IF(AND($C818=12,$D818=Input!$C$6),0,IF($E819="","",$AN819+AO820/(1+$L819)*$R819))</f>
        <v>52708.555659205696</v>
      </c>
      <c r="AP819" s="152"/>
      <c r="AQ819" s="164">
        <f t="shared" si="259"/>
        <v>31788.653005360291</v>
      </c>
      <c r="AR819" s="164">
        <f t="shared" si="268"/>
        <v>50329.268930404301</v>
      </c>
      <c r="AS819" s="164">
        <f t="shared" si="269"/>
        <v>31359.808612440193</v>
      </c>
      <c r="AT819" s="164">
        <f t="shared" si="260"/>
        <v>50329.268930404301</v>
      </c>
      <c r="AU819" s="152"/>
      <c r="AV819" s="147">
        <f>'Deterministic Reserve'!BC819</f>
        <v>6.5026301291900435E-16</v>
      </c>
      <c r="AW819" s="164">
        <f t="shared" si="261"/>
        <v>50329.268930404301</v>
      </c>
      <c r="AX819" s="164">
        <f t="shared" si="262"/>
        <v>3.2727262052695537E-11</v>
      </c>
      <c r="AY819" s="152"/>
    </row>
    <row r="820" spans="1:51" s="150" customFormat="1" x14ac:dyDescent="0.25">
      <c r="A820" s="150">
        <f t="shared" si="270"/>
        <v>816</v>
      </c>
      <c r="B820" s="150">
        <f t="shared" si="271"/>
        <v>68</v>
      </c>
      <c r="C820" s="150">
        <f t="shared" si="272"/>
        <v>12</v>
      </c>
      <c r="D820" s="150">
        <f>IF(E820="","",Input!$C$4+B820-1)</f>
        <v>112</v>
      </c>
      <c r="E820" s="150">
        <f>IF(OR(AND(C819=12,D819=Input!$C$6),E819=""),"",1)</f>
        <v>1</v>
      </c>
      <c r="F820" s="150">
        <f>IF(E820="","",Input!$C$8+B820-1)</f>
        <v>2085</v>
      </c>
      <c r="G820" s="151">
        <f>IF(E820="","",MAX(0,Input!$C$9-B820))</f>
        <v>0</v>
      </c>
      <c r="H820" s="152">
        <f>IF(E820="","",Input!$C$3)</f>
        <v>100000</v>
      </c>
      <c r="I820" s="153">
        <f>IF(E820="","",HLOOKUP($B820,Input!$C$13:$BT$14,2))</f>
        <v>1000</v>
      </c>
      <c r="J820" s="154"/>
      <c r="K820" s="155">
        <f>IF($E820="","",Input!$C$57)</f>
        <v>4.4999999999999998E-2</v>
      </c>
      <c r="L820" s="155">
        <f t="shared" si="263"/>
        <v>3.6748094004368514E-3</v>
      </c>
      <c r="M820" s="147">
        <f>IF($E820="","",VLOOKUP(IF($B820&lt;=Input!$C$7,$B820,26),'Mortality Tables'!$A$72:$CA$97,IF($B820&lt;=Input!$C$7+1,Input!$C$4-16,$D820-Input!$C$7-16),0)/1000)</f>
        <v>0.65542</v>
      </c>
      <c r="N820" s="147">
        <f t="shared" si="252"/>
        <v>8.4958399372223603E-2</v>
      </c>
      <c r="O820" s="157">
        <f>IF($E820="","",IF($C820=12,IF($B820&lt;Input!$C$9,Input!$C$54,IF($B820=Input!$C$9,Input!$C$55,Input!$C$56)),0%))</f>
        <v>0.1</v>
      </c>
      <c r="P820" s="167">
        <f>IF($E820="","",IF($B820=1,Input!$C$59,IF($B820&lt;6,Input!$C$60,0%)))</f>
        <v>0</v>
      </c>
      <c r="Q820" s="162">
        <f>IF($E820="","",Input!$C$58)</f>
        <v>2.5</v>
      </c>
      <c r="R820" s="156">
        <f t="shared" si="264"/>
        <v>0.81504160062777642</v>
      </c>
      <c r="S820" s="154">
        <f t="shared" si="253"/>
        <v>8.0790894449305141E-10</v>
      </c>
      <c r="T820" s="152"/>
      <c r="U820" s="150">
        <f t="shared" si="265"/>
        <v>0</v>
      </c>
      <c r="V820" s="150">
        <f t="shared" si="266"/>
        <v>0</v>
      </c>
      <c r="W820" s="168">
        <f t="shared" si="267"/>
        <v>0</v>
      </c>
      <c r="X820" s="163">
        <f t="shared" si="254"/>
        <v>8495.8399372223612</v>
      </c>
      <c r="Y820" s="152"/>
      <c r="Z820" s="164">
        <f>IF(AND($C819=12,$D819=Input!$C$6),0,IF($E820="","",V820+Z821/(1+L820)*R820))</f>
        <v>108655.92854247119</v>
      </c>
      <c r="AA820" s="164">
        <f>IF(OR($M820=1,AND($C819=12,$D819=Input!$C$6)),0,IF($E820="","",W820+(X820+AA821*$R820)/(1+$L820)))</f>
        <v>83397.16993380418</v>
      </c>
      <c r="AB820" s="160">
        <f t="shared" si="255"/>
        <v>0.825720328500681</v>
      </c>
      <c r="AC820" s="164">
        <f t="shared" si="256"/>
        <v>0</v>
      </c>
      <c r="AD820" s="164">
        <f>IF(AND($C819=12,$D819=Input!$C$6),0,IF($E820="","",$AC820+AD821/(1+$L820)*$R820))</f>
        <v>89719.409009635841</v>
      </c>
      <c r="AE820" s="152"/>
      <c r="AF820" s="164">
        <f>IF(AND($C819=12,$D819=Input!$C$6),0,IF($E820="","",IF($B820&gt;Input!$C$9,$AC820,0)+AF821/(1+$L820)*$R820))</f>
        <v>89719.409009635841</v>
      </c>
      <c r="AG820" s="164">
        <f>IF(AND($C819=12,$D819=Input!$C$6),0,IF($E820="","",(IF($B820&gt;Input!$C$9,$X820,0)+AG821)/(1+$L820)*$R820))</f>
        <v>74254.028108140978</v>
      </c>
      <c r="AH820" s="160">
        <f t="shared" si="257"/>
        <v>2.0950137211446997</v>
      </c>
      <c r="AI820" s="160">
        <f>IF($E820="","",MIN(Input!$C$61/AH820,1))</f>
        <v>0.64438718771845094</v>
      </c>
      <c r="AJ820" s="152"/>
      <c r="AK820" s="164">
        <f>IF(AND($C819=12,$D819=Input!$C$6),0,IF($E820="","",IF($B820&gt;Input!$C$9,$AC820*AI820,0)+AK821/(1+$L820)*$R820))</f>
        <v>57814.037655480694</v>
      </c>
      <c r="AL820" s="164">
        <f>IF(AND($C819=12,$D819=Input!$C$6),0,IF($E820="","",IF($B820&gt;Input!$C$9,0,$AC820)+AL821/(1+$L820)*$R820))</f>
        <v>0</v>
      </c>
      <c r="AM820" s="160">
        <f t="shared" si="258"/>
        <v>1.1382936520186004</v>
      </c>
      <c r="AN820" s="164">
        <f>IF($E820="","",IF($B820&gt;Input!$C$9,$AI820*$AC820,$AM820*$AC820))</f>
        <v>0</v>
      </c>
      <c r="AO820" s="164">
        <f>IF(AND($C819=12,$D819=Input!$C$6),0,IF($E820="","",$AN820+AO821/(1+$L820)*$R820))</f>
        <v>57814.037655480694</v>
      </c>
      <c r="AP820" s="152"/>
      <c r="AQ820" s="164">
        <f t="shared" si="259"/>
        <v>25583.132278323486</v>
      </c>
      <c r="AR820" s="164">
        <f t="shared" si="268"/>
        <v>50329.268930404301</v>
      </c>
      <c r="AS820" s="164">
        <f t="shared" si="269"/>
        <v>31359.808612440193</v>
      </c>
      <c r="AT820" s="164">
        <f t="shared" si="260"/>
        <v>50329.268930404301</v>
      </c>
      <c r="AU820" s="152"/>
      <c r="AV820" s="147">
        <f>'Deterministic Reserve'!BC820</f>
        <v>5.2069741440577892E-16</v>
      </c>
      <c r="AW820" s="164">
        <f t="shared" si="261"/>
        <v>50329.268930404301</v>
      </c>
      <c r="AX820" s="164">
        <f t="shared" si="262"/>
        <v>2.6206320200994621E-11</v>
      </c>
      <c r="AY820" s="152"/>
    </row>
    <row r="821" spans="1:51" s="150" customFormat="1" x14ac:dyDescent="0.25">
      <c r="A821" s="150">
        <f t="shared" si="270"/>
        <v>817</v>
      </c>
      <c r="B821" s="150">
        <f t="shared" si="271"/>
        <v>69</v>
      </c>
      <c r="C821" s="150">
        <f t="shared" si="272"/>
        <v>1</v>
      </c>
      <c r="D821" s="150">
        <f>IF(E821="","",Input!$C$4+B821-1)</f>
        <v>113</v>
      </c>
      <c r="E821" s="150">
        <f>IF(OR(AND(C820=12,D820=Input!$C$6),E820=""),"",1)</f>
        <v>1</v>
      </c>
      <c r="F821" s="150">
        <f>IF(E821="","",Input!$C$8+B821-1)</f>
        <v>2086</v>
      </c>
      <c r="G821" s="151">
        <f>IF(E821="","",MAX(0,Input!$C$9-B821))</f>
        <v>0</v>
      </c>
      <c r="H821" s="152">
        <f>IF(E821="","",Input!$C$3)</f>
        <v>100000</v>
      </c>
      <c r="I821" s="153">
        <f>IF(E821="","",HLOOKUP($B821,Input!$C$13:$BT$14,2))</f>
        <v>1000</v>
      </c>
      <c r="J821" s="154"/>
      <c r="K821" s="155">
        <f>IF($E821="","",Input!$C$57)</f>
        <v>4.4999999999999998E-2</v>
      </c>
      <c r="L821" s="155">
        <f t="shared" si="263"/>
        <v>3.6748094004368514E-3</v>
      </c>
      <c r="M821" s="147">
        <f>IF($E821="","",VLOOKUP(IF($B821&lt;=Input!$C$7,$B821,26),'Mortality Tables'!$A$72:$CA$97,IF($B821&lt;=Input!$C$7+1,Input!$C$4-16,$D821-Input!$C$7-16),0)/1000)</f>
        <v>0.69096000000000002</v>
      </c>
      <c r="N821" s="147">
        <f t="shared" si="252"/>
        <v>9.3221478545861491E-2</v>
      </c>
      <c r="O821" s="157">
        <f>IF($E821="","",IF($C821=12,IF($B821&lt;Input!$C$9,Input!$C$54,IF($B821=Input!$C$9,Input!$C$55,Input!$C$56)),0%))</f>
        <v>0</v>
      </c>
      <c r="P821" s="167">
        <f>IF($E821="","",IF($B821=1,Input!$C$59,IF($B821&lt;6,Input!$C$60,0%)))</f>
        <v>0</v>
      </c>
      <c r="Q821" s="162">
        <f>IF($E821="","",Input!$C$58)</f>
        <v>2.5</v>
      </c>
      <c r="R821" s="156">
        <f t="shared" si="264"/>
        <v>0.90677852145413851</v>
      </c>
      <c r="S821" s="154">
        <f t="shared" si="253"/>
        <v>7.3259447815698282E-10</v>
      </c>
      <c r="T821" s="152"/>
      <c r="U821" s="150">
        <f t="shared" si="265"/>
        <v>100000</v>
      </c>
      <c r="V821" s="150">
        <f t="shared" si="266"/>
        <v>100000</v>
      </c>
      <c r="W821" s="168">
        <f t="shared" si="267"/>
        <v>0</v>
      </c>
      <c r="X821" s="163">
        <f t="shared" si="254"/>
        <v>9322.1478545861482</v>
      </c>
      <c r="Y821" s="152"/>
      <c r="Z821" s="164">
        <f>IF(AND($C820=12,$D820=Input!$C$6),0,IF($E821="","",V821+Z822/(1+L821)*R821))</f>
        <v>133803.25407450827</v>
      </c>
      <c r="AA821" s="164">
        <f>IF(OR($M821=1,AND($C820=12,$D820=Input!$C$6)),0,IF($E821="","",W821+(X821+AA822*$R821)/(1+$L821)))</f>
        <v>92274.797559653947</v>
      </c>
      <c r="AB821" s="160">
        <f t="shared" si="255"/>
        <v>0.825720328500681</v>
      </c>
      <c r="AC821" s="164">
        <f t="shared" si="256"/>
        <v>82572.032850068106</v>
      </c>
      <c r="AD821" s="164">
        <f>IF(AND($C820=12,$D820=Input!$C$6),0,IF($E821="","",$AC821+AD822/(1+$L821)*$R821))</f>
        <v>110484.06690886305</v>
      </c>
      <c r="AE821" s="152"/>
      <c r="AF821" s="164">
        <f>IF(AND($C820=12,$D820=Input!$C$6),0,IF($E821="","",IF($B821&gt;Input!$C$9,$AC821,0)+AF822/(1+$L821)*$R821))</f>
        <v>110484.06690886305</v>
      </c>
      <c r="AG821" s="164">
        <f>IF(AND($C820=12,$D820=Input!$C$6),0,IF($E821="","",(IF($B821&gt;Input!$C$9,$X821,0)+AG822)/(1+$L821)*$R821))</f>
        <v>82943.538680077152</v>
      </c>
      <c r="AH821" s="160">
        <f t="shared" si="257"/>
        <v>2.0950137211446997</v>
      </c>
      <c r="AI821" s="160">
        <f>IF($E821="","",MIN(Input!$C$61/AH821,1))</f>
        <v>0.64438718771845094</v>
      </c>
      <c r="AJ821" s="152"/>
      <c r="AK821" s="164">
        <f>IF(AND($C820=12,$D820=Input!$C$6),0,IF($E821="","",IF($B821&gt;Input!$C$9,$AC821*AI821,0)+AK822/(1+$L821)*$R821))</f>
        <v>71194.51716309943</v>
      </c>
      <c r="AL821" s="164">
        <f>IF(AND($C820=12,$D820=Input!$C$6),0,IF($E821="","",IF($B821&gt;Input!$C$9,0,$AC821)+AL822/(1+$L821)*$R821))</f>
        <v>0</v>
      </c>
      <c r="AM821" s="160">
        <f t="shared" si="258"/>
        <v>1.1382936520186004</v>
      </c>
      <c r="AN821" s="164">
        <f>IF($E821="","",IF($B821&gt;Input!$C$9,$AI821*$AC821,$AM821*$AC821))</f>
        <v>53208.360032450932</v>
      </c>
      <c r="AO821" s="164">
        <f>IF(AND($C820=12,$D820=Input!$C$6),0,IF($E821="","",$AN821+AO822/(1+$L821)*$R821))</f>
        <v>71194.51716309943</v>
      </c>
      <c r="AP821" s="152"/>
      <c r="AQ821" s="164">
        <f t="shared" si="259"/>
        <v>21080.280396554517</v>
      </c>
      <c r="AR821" s="164">
        <f t="shared" si="268"/>
        <v>54018.566294086399</v>
      </c>
      <c r="AS821" s="164">
        <f t="shared" si="269"/>
        <v>33060.287081339717</v>
      </c>
      <c r="AT821" s="164">
        <f t="shared" si="260"/>
        <v>54018.566294086399</v>
      </c>
      <c r="AU821" s="152"/>
      <c r="AV821" s="147">
        <f>'Deterministic Reserve'!BC821</f>
        <v>4.6950449447135168E-16</v>
      </c>
      <c r="AW821" s="164">
        <f t="shared" si="261"/>
        <v>54018.566294086399</v>
      </c>
      <c r="AX821" s="164">
        <f t="shared" si="262"/>
        <v>2.5361959659972233E-11</v>
      </c>
      <c r="AY821" s="152"/>
    </row>
    <row r="822" spans="1:51" s="150" customFormat="1" x14ac:dyDescent="0.25">
      <c r="A822" s="150">
        <f t="shared" si="270"/>
        <v>818</v>
      </c>
      <c r="B822" s="150">
        <f t="shared" si="271"/>
        <v>69</v>
      </c>
      <c r="C822" s="150">
        <f t="shared" si="272"/>
        <v>2</v>
      </c>
      <c r="D822" s="150">
        <f>IF(E822="","",Input!$C$4+B822-1)</f>
        <v>113</v>
      </c>
      <c r="E822" s="150">
        <f>IF(OR(AND(C821=12,D821=Input!$C$6),E821=""),"",1)</f>
        <v>1</v>
      </c>
      <c r="F822" s="150">
        <f>IF(E822="","",Input!$C$8+B822-1)</f>
        <v>2086</v>
      </c>
      <c r="G822" s="151">
        <f>IF(E822="","",MAX(0,Input!$C$9-B822))</f>
        <v>0</v>
      </c>
      <c r="H822" s="152">
        <f>IF(E822="","",Input!$C$3)</f>
        <v>100000</v>
      </c>
      <c r="I822" s="153">
        <f>IF(E822="","",HLOOKUP($B822,Input!$C$13:$BT$14,2))</f>
        <v>1000</v>
      </c>
      <c r="J822" s="154"/>
      <c r="K822" s="155">
        <f>IF($E822="","",Input!$C$57)</f>
        <v>4.4999999999999998E-2</v>
      </c>
      <c r="L822" s="155">
        <f t="shared" si="263"/>
        <v>3.6748094004368514E-3</v>
      </c>
      <c r="M822" s="147">
        <f>IF($E822="","",VLOOKUP(IF($B822&lt;=Input!$C$7,$B822,26),'Mortality Tables'!$A$72:$CA$97,IF($B822&lt;=Input!$C$7+1,Input!$C$4-16,$D822-Input!$C$7-16),0)/1000)</f>
        <v>0.69096000000000002</v>
      </c>
      <c r="N822" s="147">
        <f t="shared" si="252"/>
        <v>9.3221478545861491E-2</v>
      </c>
      <c r="O822" s="157">
        <f>IF($E822="","",IF($C822=12,IF($B822&lt;Input!$C$9,Input!$C$54,IF($B822=Input!$C$9,Input!$C$55,Input!$C$56)),0%))</f>
        <v>0</v>
      </c>
      <c r="P822" s="167">
        <f>IF($E822="","",IF($B822=1,Input!$C$59,IF($B822&lt;6,Input!$C$60,0%)))</f>
        <v>0</v>
      </c>
      <c r="Q822" s="162">
        <f>IF($E822="","",Input!$C$58)</f>
        <v>2.5</v>
      </c>
      <c r="R822" s="156">
        <f t="shared" si="264"/>
        <v>0.90677852145413851</v>
      </c>
      <c r="S822" s="154">
        <f t="shared" si="253"/>
        <v>6.6430093772865501E-10</v>
      </c>
      <c r="T822" s="152"/>
      <c r="U822" s="150">
        <f t="shared" si="265"/>
        <v>0</v>
      </c>
      <c r="V822" s="150">
        <f t="shared" si="266"/>
        <v>0</v>
      </c>
      <c r="W822" s="168">
        <f t="shared" si="267"/>
        <v>0</v>
      </c>
      <c r="X822" s="163">
        <f t="shared" si="254"/>
        <v>9322.1478545861482</v>
      </c>
      <c r="Y822" s="152"/>
      <c r="Z822" s="164">
        <f>IF(AND($C821=12,$D821=Input!$C$6),0,IF($E822="","",V822+Z823/(1+L822)*R822))</f>
        <v>37415.392830367746</v>
      </c>
      <c r="AA822" s="164">
        <f>IF(OR($M822=1,AND($C821=12,$D821=Input!$C$6)),0,IF($E822="","",W822+(X822+AA823*$R822)/(1+$L822)))</f>
        <v>91854.559881936948</v>
      </c>
      <c r="AB822" s="160">
        <f t="shared" si="255"/>
        <v>0.825720328500681</v>
      </c>
      <c r="AC822" s="164">
        <f t="shared" si="256"/>
        <v>0</v>
      </c>
      <c r="AD822" s="164">
        <f>IF(AND($C821=12,$D821=Input!$C$6),0,IF($E822="","",$AC822+AD823/(1+$L822)*$R822))</f>
        <v>30894.650458873268</v>
      </c>
      <c r="AE822" s="152"/>
      <c r="AF822" s="164">
        <f>IF(AND($C821=12,$D821=Input!$C$6),0,IF($E822="","",IF($B822&gt;Input!$C$9,$AC822,0)+AF823/(1+$L822)*$R822))</f>
        <v>30894.650458873268</v>
      </c>
      <c r="AG822" s="164">
        <f>IF(AND($C821=12,$D821=Input!$C$6),0,IF($E822="","",(IF($B822&gt;Input!$C$9,$X822,0)+AG823)/(1+$L822)*$R822))</f>
        <v>82484.548495283874</v>
      </c>
      <c r="AH822" s="160">
        <f t="shared" si="257"/>
        <v>2.0950137211446997</v>
      </c>
      <c r="AI822" s="160">
        <f>IF($E822="","",MIN(Input!$C$61/AH822,1))</f>
        <v>0.64438718771845094</v>
      </c>
      <c r="AJ822" s="152"/>
      <c r="AK822" s="164">
        <f>IF(AND($C821=12,$D821=Input!$C$6),0,IF($E822="","",IF($B822&gt;Input!$C$9,$AC822*AI822,0)+AK823/(1+$L822)*$R822))</f>
        <v>19908.1169247379</v>
      </c>
      <c r="AL822" s="164">
        <f>IF(AND($C821=12,$D821=Input!$C$6),0,IF($E822="","",IF($B822&gt;Input!$C$9,0,$AC822)+AL823/(1+$L822)*$R822))</f>
        <v>0</v>
      </c>
      <c r="AM822" s="160">
        <f t="shared" si="258"/>
        <v>1.1382936520186004</v>
      </c>
      <c r="AN822" s="164">
        <f>IF($E822="","",IF($B822&gt;Input!$C$9,$AI822*$AC822,$AM822*$AC822))</f>
        <v>0</v>
      </c>
      <c r="AO822" s="164">
        <f>IF(AND($C821=12,$D821=Input!$C$6),0,IF($E822="","",$AN822+AO823/(1+$L822)*$R822))</f>
        <v>19908.1169247379</v>
      </c>
      <c r="AP822" s="152"/>
      <c r="AQ822" s="164">
        <f t="shared" si="259"/>
        <v>71946.442957199048</v>
      </c>
      <c r="AR822" s="164">
        <f t="shared" si="268"/>
        <v>54018.566294086399</v>
      </c>
      <c r="AS822" s="164">
        <f t="shared" si="269"/>
        <v>33060.287081339717</v>
      </c>
      <c r="AT822" s="164">
        <f t="shared" si="260"/>
        <v>54018.566294086399</v>
      </c>
      <c r="AU822" s="152"/>
      <c r="AV822" s="147">
        <f>'Deterministic Reserve'!BC822</f>
        <v>4.2334466089170011E-16</v>
      </c>
      <c r="AW822" s="164">
        <f t="shared" si="261"/>
        <v>54018.566294086399</v>
      </c>
      <c r="AX822" s="164">
        <f t="shared" si="262"/>
        <v>2.2868471629625827E-11</v>
      </c>
      <c r="AY822" s="152"/>
    </row>
    <row r="823" spans="1:51" s="150" customFormat="1" x14ac:dyDescent="0.25">
      <c r="A823" s="150">
        <f t="shared" si="270"/>
        <v>819</v>
      </c>
      <c r="B823" s="150">
        <f t="shared" si="271"/>
        <v>69</v>
      </c>
      <c r="C823" s="150">
        <f t="shared" si="272"/>
        <v>3</v>
      </c>
      <c r="D823" s="150">
        <f>IF(E823="","",Input!$C$4+B823-1)</f>
        <v>113</v>
      </c>
      <c r="E823" s="150">
        <f>IF(OR(AND(C822=12,D822=Input!$C$6),E822=""),"",1)</f>
        <v>1</v>
      </c>
      <c r="F823" s="150">
        <f>IF(E823="","",Input!$C$8+B823-1)</f>
        <v>2086</v>
      </c>
      <c r="G823" s="151">
        <f>IF(E823="","",MAX(0,Input!$C$9-B823))</f>
        <v>0</v>
      </c>
      <c r="H823" s="152">
        <f>IF(E823="","",Input!$C$3)</f>
        <v>100000</v>
      </c>
      <c r="I823" s="153">
        <f>IF(E823="","",HLOOKUP($B823,Input!$C$13:$BT$14,2))</f>
        <v>1000</v>
      </c>
      <c r="J823" s="154"/>
      <c r="K823" s="155">
        <f>IF($E823="","",Input!$C$57)</f>
        <v>4.4999999999999998E-2</v>
      </c>
      <c r="L823" s="155">
        <f t="shared" si="263"/>
        <v>3.6748094004368514E-3</v>
      </c>
      <c r="M823" s="147">
        <f>IF($E823="","",VLOOKUP(IF($B823&lt;=Input!$C$7,$B823,26),'Mortality Tables'!$A$72:$CA$97,IF($B823&lt;=Input!$C$7+1,Input!$C$4-16,$D823-Input!$C$7-16),0)/1000)</f>
        <v>0.69096000000000002</v>
      </c>
      <c r="N823" s="147">
        <f t="shared" si="252"/>
        <v>9.3221478545861491E-2</v>
      </c>
      <c r="O823" s="157">
        <f>IF($E823="","",IF($C823=12,IF($B823&lt;Input!$C$9,Input!$C$54,IF($B823=Input!$C$9,Input!$C$55,Input!$C$56)),0%))</f>
        <v>0</v>
      </c>
      <c r="P823" s="167">
        <f>IF($E823="","",IF($B823=1,Input!$C$59,IF($B823&lt;6,Input!$C$60,0%)))</f>
        <v>0</v>
      </c>
      <c r="Q823" s="162">
        <f>IF($E823="","",Input!$C$58)</f>
        <v>2.5</v>
      </c>
      <c r="R823" s="156">
        <f t="shared" si="264"/>
        <v>0.90677852145413851</v>
      </c>
      <c r="S823" s="154">
        <f t="shared" si="253"/>
        <v>6.0237382211418753E-10</v>
      </c>
      <c r="T823" s="152"/>
      <c r="U823" s="150">
        <f t="shared" si="265"/>
        <v>0</v>
      </c>
      <c r="V823" s="150">
        <f t="shared" si="266"/>
        <v>0</v>
      </c>
      <c r="W823" s="168">
        <f t="shared" si="267"/>
        <v>0</v>
      </c>
      <c r="X823" s="163">
        <f t="shared" si="254"/>
        <v>9322.1478545861482</v>
      </c>
      <c r="Y823" s="152"/>
      <c r="Z823" s="164">
        <f>IF(AND($C822=12,$D822=Input!$C$6),0,IF($E823="","",V823+Z824/(1+L823)*R823))</f>
        <v>41413.51650835402</v>
      </c>
      <c r="AA823" s="164">
        <f>IF(OR($M823=1,AND($C822=12,$D822=Input!$C$6)),0,IF($E823="","",W823+(X823+AA824*$R823)/(1+$L823)))</f>
        <v>91389.416562916667</v>
      </c>
      <c r="AB823" s="160">
        <f t="shared" si="255"/>
        <v>0.825720328500681</v>
      </c>
      <c r="AC823" s="164">
        <f t="shared" si="256"/>
        <v>0</v>
      </c>
      <c r="AD823" s="164">
        <f>IF(AND($C822=12,$D822=Input!$C$6),0,IF($E823="","",$AC823+AD824/(1+$L823)*$R823))</f>
        <v>34195.982455646445</v>
      </c>
      <c r="AE823" s="152"/>
      <c r="AF823" s="164">
        <f>IF(AND($C822=12,$D822=Input!$C$6),0,IF($E823="","",IF($B823&gt;Input!$C$9,$AC823,0)+AF824/(1+$L823)*$R823))</f>
        <v>34195.982455646445</v>
      </c>
      <c r="AG823" s="164">
        <f>IF(AND($C822=12,$D822=Input!$C$6),0,IF($E823="","",(IF($B823&gt;Input!$C$9,$X823,0)+AG824)/(1+$L823)*$R823))</f>
        <v>81976.511664525795</v>
      </c>
      <c r="AH823" s="160">
        <f t="shared" si="257"/>
        <v>2.0950137211446997</v>
      </c>
      <c r="AI823" s="160">
        <f>IF($E823="","",MIN(Input!$C$61/AH823,1))</f>
        <v>0.64438718771845094</v>
      </c>
      <c r="AJ823" s="152"/>
      <c r="AK823" s="164">
        <f>IF(AND($C822=12,$D822=Input!$C$6),0,IF($E823="","",IF($B823&gt;Input!$C$9,$AC823*AI823,0)+AK824/(1+$L823)*$R823))</f>
        <v>22035.452965863507</v>
      </c>
      <c r="AL823" s="164">
        <f>IF(AND($C822=12,$D822=Input!$C$6),0,IF($E823="","",IF($B823&gt;Input!$C$9,0,$AC823)+AL824/(1+$L823)*$R823))</f>
        <v>0</v>
      </c>
      <c r="AM823" s="160">
        <f t="shared" si="258"/>
        <v>1.1382936520186004</v>
      </c>
      <c r="AN823" s="164">
        <f>IF($E823="","",IF($B823&gt;Input!$C$9,$AI823*$AC823,$AM823*$AC823))</f>
        <v>0</v>
      </c>
      <c r="AO823" s="164">
        <f>IF(AND($C822=12,$D822=Input!$C$6),0,IF($E823="","",$AN823+AO824/(1+$L823)*$R823))</f>
        <v>22035.452965863507</v>
      </c>
      <c r="AP823" s="152"/>
      <c r="AQ823" s="164">
        <f t="shared" si="259"/>
        <v>69353.963597053167</v>
      </c>
      <c r="AR823" s="164">
        <f t="shared" si="268"/>
        <v>54018.566294086399</v>
      </c>
      <c r="AS823" s="164">
        <f t="shared" si="269"/>
        <v>33060.287081339717</v>
      </c>
      <c r="AT823" s="164">
        <f t="shared" si="260"/>
        <v>54018.566294086399</v>
      </c>
      <c r="AU823" s="152"/>
      <c r="AV823" s="147">
        <f>'Deterministic Reserve'!BC823</f>
        <v>3.8172308043037121E-16</v>
      </c>
      <c r="AW823" s="164">
        <f t="shared" si="261"/>
        <v>54018.566294086399</v>
      </c>
      <c r="AX823" s="164">
        <f t="shared" si="262"/>
        <v>2.062013352621088E-11</v>
      </c>
      <c r="AY823" s="152"/>
    </row>
    <row r="824" spans="1:51" s="150" customFormat="1" x14ac:dyDescent="0.25">
      <c r="A824" s="150">
        <f t="shared" si="270"/>
        <v>820</v>
      </c>
      <c r="B824" s="150">
        <f t="shared" si="271"/>
        <v>69</v>
      </c>
      <c r="C824" s="150">
        <f t="shared" si="272"/>
        <v>4</v>
      </c>
      <c r="D824" s="150">
        <f>IF(E824="","",Input!$C$4+B824-1)</f>
        <v>113</v>
      </c>
      <c r="E824" s="150">
        <f>IF(OR(AND(C823=12,D823=Input!$C$6),E823=""),"",1)</f>
        <v>1</v>
      </c>
      <c r="F824" s="150">
        <f>IF(E824="","",Input!$C$8+B824-1)</f>
        <v>2086</v>
      </c>
      <c r="G824" s="151">
        <f>IF(E824="","",MAX(0,Input!$C$9-B824))</f>
        <v>0</v>
      </c>
      <c r="H824" s="152">
        <f>IF(E824="","",Input!$C$3)</f>
        <v>100000</v>
      </c>
      <c r="I824" s="153">
        <f>IF(E824="","",HLOOKUP($B824,Input!$C$13:$BT$14,2))</f>
        <v>1000</v>
      </c>
      <c r="J824" s="154"/>
      <c r="K824" s="155">
        <f>IF($E824="","",Input!$C$57)</f>
        <v>4.4999999999999998E-2</v>
      </c>
      <c r="L824" s="155">
        <f t="shared" si="263"/>
        <v>3.6748094004368514E-3</v>
      </c>
      <c r="M824" s="147">
        <f>IF($E824="","",VLOOKUP(IF($B824&lt;=Input!$C$7,$B824,26),'Mortality Tables'!$A$72:$CA$97,IF($B824&lt;=Input!$C$7+1,Input!$C$4-16,$D824-Input!$C$7-16),0)/1000)</f>
        <v>0.69096000000000002</v>
      </c>
      <c r="N824" s="147">
        <f t="shared" si="252"/>
        <v>9.3221478545861491E-2</v>
      </c>
      <c r="O824" s="157">
        <f>IF($E824="","",IF($C824=12,IF($B824&lt;Input!$C$9,Input!$C$54,IF($B824=Input!$C$9,Input!$C$55,Input!$C$56)),0%))</f>
        <v>0</v>
      </c>
      <c r="P824" s="167">
        <f>IF($E824="","",IF($B824=1,Input!$C$59,IF($B824&lt;6,Input!$C$60,0%)))</f>
        <v>0</v>
      </c>
      <c r="Q824" s="162">
        <f>IF($E824="","",Input!$C$58)</f>
        <v>2.5</v>
      </c>
      <c r="R824" s="156">
        <f t="shared" si="264"/>
        <v>0.90677852145413851</v>
      </c>
      <c r="S824" s="154">
        <f t="shared" si="253"/>
        <v>5.4621964377938124E-10</v>
      </c>
      <c r="T824" s="152"/>
      <c r="U824" s="150">
        <f t="shared" si="265"/>
        <v>0</v>
      </c>
      <c r="V824" s="150">
        <f t="shared" si="266"/>
        <v>0</v>
      </c>
      <c r="W824" s="168">
        <f t="shared" si="267"/>
        <v>0</v>
      </c>
      <c r="X824" s="163">
        <f t="shared" si="254"/>
        <v>9322.1478545861482</v>
      </c>
      <c r="Y824" s="152"/>
      <c r="Z824" s="164">
        <f>IF(AND($C823=12,$D823=Input!$C$6),0,IF($E824="","",V824+Z825/(1+L824)*R824))</f>
        <v>45838.870578306152</v>
      </c>
      <c r="AA824" s="164">
        <f>IF(OR($M824=1,AND($C823=12,$D823=Input!$C$6)),0,IF($E824="","",W824+(X824+AA825*$R824)/(1+$L824)))</f>
        <v>90874.569088019605</v>
      </c>
      <c r="AB824" s="160">
        <f t="shared" si="255"/>
        <v>0.825720328500681</v>
      </c>
      <c r="AC824" s="164">
        <f t="shared" si="256"/>
        <v>0</v>
      </c>
      <c r="AD824" s="164">
        <f>IF(AND($C823=12,$D823=Input!$C$6),0,IF($E824="","",$AC824+AD825/(1+$L824)*$R824))</f>
        <v>37850.087272019147</v>
      </c>
      <c r="AE824" s="152"/>
      <c r="AF824" s="164">
        <f>IF(AND($C823=12,$D823=Input!$C$6),0,IF($E824="","",IF($B824&gt;Input!$C$9,$AC824,0)+AF825/(1+$L824)*$R824))</f>
        <v>37850.087272019147</v>
      </c>
      <c r="AG824" s="164">
        <f>IF(AND($C823=12,$D823=Input!$C$6),0,IF($E824="","",(IF($B824&gt;Input!$C$9,$X824,0)+AG825)/(1+$L824)*$R824))</f>
        <v>81414.187174900901</v>
      </c>
      <c r="AH824" s="160">
        <f t="shared" si="257"/>
        <v>2.0950137211446997</v>
      </c>
      <c r="AI824" s="160">
        <f>IF($E824="","",MIN(Input!$C$61/AH824,1))</f>
        <v>0.64438718771845094</v>
      </c>
      <c r="AJ824" s="152"/>
      <c r="AK824" s="164">
        <f>IF(AND($C823=12,$D823=Input!$C$6),0,IF($E824="","",IF($B824&gt;Input!$C$9,$AC824*AI824,0)+AK825/(1+$L824)*$R824))</f>
        <v>24390.111292114358</v>
      </c>
      <c r="AL824" s="164">
        <f>IF(AND($C823=12,$D823=Input!$C$6),0,IF($E824="","",IF($B824&gt;Input!$C$9,0,$AC824)+AL825/(1+$L824)*$R824))</f>
        <v>0</v>
      </c>
      <c r="AM824" s="160">
        <f t="shared" si="258"/>
        <v>1.1382936520186004</v>
      </c>
      <c r="AN824" s="164">
        <f>IF($E824="","",IF($B824&gt;Input!$C$9,$AI824*$AC824,$AM824*$AC824))</f>
        <v>0</v>
      </c>
      <c r="AO824" s="164">
        <f>IF(AND($C823=12,$D823=Input!$C$6),0,IF($E824="","",$AN824+AO825/(1+$L824)*$R824))</f>
        <v>24390.111292114358</v>
      </c>
      <c r="AP824" s="152"/>
      <c r="AQ824" s="164">
        <f t="shared" si="259"/>
        <v>66484.45779590524</v>
      </c>
      <c r="AR824" s="164">
        <f t="shared" si="268"/>
        <v>54018.566294086399</v>
      </c>
      <c r="AS824" s="164">
        <f t="shared" si="269"/>
        <v>33060.287081339717</v>
      </c>
      <c r="AT824" s="164">
        <f t="shared" si="260"/>
        <v>54018.566294086399</v>
      </c>
      <c r="AU824" s="152"/>
      <c r="AV824" s="147">
        <f>'Deterministic Reserve'!BC824</f>
        <v>3.441935699066907E-16</v>
      </c>
      <c r="AW824" s="164">
        <f t="shared" si="261"/>
        <v>54018.566294086399</v>
      </c>
      <c r="AX824" s="164">
        <f t="shared" si="262"/>
        <v>1.8592843174002832E-11</v>
      </c>
      <c r="AY824" s="152"/>
    </row>
    <row r="825" spans="1:51" s="150" customFormat="1" x14ac:dyDescent="0.25">
      <c r="A825" s="150">
        <f t="shared" si="270"/>
        <v>821</v>
      </c>
      <c r="B825" s="150">
        <f t="shared" si="271"/>
        <v>69</v>
      </c>
      <c r="C825" s="150">
        <f t="shared" si="272"/>
        <v>5</v>
      </c>
      <c r="D825" s="150">
        <f>IF(E825="","",Input!$C$4+B825-1)</f>
        <v>113</v>
      </c>
      <c r="E825" s="150">
        <f>IF(OR(AND(C824=12,D824=Input!$C$6),E824=""),"",1)</f>
        <v>1</v>
      </c>
      <c r="F825" s="150">
        <f>IF(E825="","",Input!$C$8+B825-1)</f>
        <v>2086</v>
      </c>
      <c r="G825" s="151">
        <f>IF(E825="","",MAX(0,Input!$C$9-B825))</f>
        <v>0</v>
      </c>
      <c r="H825" s="152">
        <f>IF(E825="","",Input!$C$3)</f>
        <v>100000</v>
      </c>
      <c r="I825" s="153">
        <f>IF(E825="","",HLOOKUP($B825,Input!$C$13:$BT$14,2))</f>
        <v>1000</v>
      </c>
      <c r="J825" s="154"/>
      <c r="K825" s="155">
        <f>IF($E825="","",Input!$C$57)</f>
        <v>4.4999999999999998E-2</v>
      </c>
      <c r="L825" s="155">
        <f t="shared" si="263"/>
        <v>3.6748094004368514E-3</v>
      </c>
      <c r="M825" s="147">
        <f>IF($E825="","",VLOOKUP(IF($B825&lt;=Input!$C$7,$B825,26),'Mortality Tables'!$A$72:$CA$97,IF($B825&lt;=Input!$C$7+1,Input!$C$4-16,$D825-Input!$C$7-16),0)/1000)</f>
        <v>0.69096000000000002</v>
      </c>
      <c r="N825" s="147">
        <f t="shared" si="252"/>
        <v>9.3221478545861491E-2</v>
      </c>
      <c r="O825" s="157">
        <f>IF($E825="","",IF($C825=12,IF($B825&lt;Input!$C$9,Input!$C$54,IF($B825=Input!$C$9,Input!$C$55,Input!$C$56)),0%))</f>
        <v>0</v>
      </c>
      <c r="P825" s="167">
        <f>IF($E825="","",IF($B825=1,Input!$C$59,IF($B825&lt;6,Input!$C$60,0%)))</f>
        <v>0</v>
      </c>
      <c r="Q825" s="162">
        <f>IF($E825="","",Input!$C$58)</f>
        <v>2.5</v>
      </c>
      <c r="R825" s="156">
        <f t="shared" si="264"/>
        <v>0.90677852145413851</v>
      </c>
      <c r="S825" s="154">
        <f t="shared" si="253"/>
        <v>4.9530024097547359E-10</v>
      </c>
      <c r="T825" s="152"/>
      <c r="U825" s="150">
        <f t="shared" si="265"/>
        <v>0</v>
      </c>
      <c r="V825" s="150">
        <f t="shared" si="266"/>
        <v>0</v>
      </c>
      <c r="W825" s="168">
        <f t="shared" si="267"/>
        <v>0</v>
      </c>
      <c r="X825" s="163">
        <f t="shared" si="254"/>
        <v>9322.1478545861482</v>
      </c>
      <c r="Y825" s="152"/>
      <c r="Z825" s="164">
        <f>IF(AND($C824=12,$D824=Input!$C$6),0,IF($E825="","",V825+Z826/(1+L825)*R825))</f>
        <v>50737.107907048718</v>
      </c>
      <c r="AA825" s="164">
        <f>IF(OR($M825=1,AND($C824=12,$D824=Input!$C$6)),0,IF($E825="","",W825+(X825+AA826*$R825)/(1+$L825)))</f>
        <v>90304.706184331764</v>
      </c>
      <c r="AB825" s="160">
        <f t="shared" si="255"/>
        <v>0.825720328500681</v>
      </c>
      <c r="AC825" s="164">
        <f t="shared" si="256"/>
        <v>0</v>
      </c>
      <c r="AD825" s="164">
        <f>IF(AND($C824=12,$D824=Input!$C$6),0,IF($E825="","",$AC825+AD826/(1+$L825)*$R825))</f>
        <v>41894.661408182765</v>
      </c>
      <c r="AE825" s="152"/>
      <c r="AF825" s="164">
        <f>IF(AND($C824=12,$D824=Input!$C$6),0,IF($E825="","",IF($B825&gt;Input!$C$9,$AC825,0)+AF826/(1+$L825)*$R825))</f>
        <v>41894.661408182765</v>
      </c>
      <c r="AG825" s="164">
        <f>IF(AND($C824=12,$D824=Input!$C$6),0,IF($E825="","",(IF($B825&gt;Input!$C$9,$X825,0)+AG826)/(1+$L825)*$R825))</f>
        <v>80791.773970802955</v>
      </c>
      <c r="AH825" s="160">
        <f t="shared" si="257"/>
        <v>2.0950137211446997</v>
      </c>
      <c r="AI825" s="160">
        <f>IF($E825="","",MIN(Input!$C$61/AH825,1))</f>
        <v>0.64438718771845094</v>
      </c>
      <c r="AJ825" s="152"/>
      <c r="AK825" s="164">
        <f>IF(AND($C824=12,$D824=Input!$C$6),0,IF($E825="","",IF($B825&gt;Input!$C$9,$AC825*AI825,0)+AK826/(1+$L825)*$R825))</f>
        <v>26996.383045235609</v>
      </c>
      <c r="AL825" s="164">
        <f>IF(AND($C824=12,$D824=Input!$C$6),0,IF($E825="","",IF($B825&gt;Input!$C$9,0,$AC825)+AL826/(1+$L825)*$R825))</f>
        <v>0</v>
      </c>
      <c r="AM825" s="160">
        <f t="shared" si="258"/>
        <v>1.1382936520186004</v>
      </c>
      <c r="AN825" s="164">
        <f>IF($E825="","",IF($B825&gt;Input!$C$9,$AI825*$AC825,$AM825*$AC825))</f>
        <v>0</v>
      </c>
      <c r="AO825" s="164">
        <f>IF(AND($C824=12,$D824=Input!$C$6),0,IF($E825="","",$AN825+AO826/(1+$L825)*$R825))</f>
        <v>26996.383045235609</v>
      </c>
      <c r="AP825" s="152"/>
      <c r="AQ825" s="164">
        <f t="shared" si="259"/>
        <v>63308.323139096159</v>
      </c>
      <c r="AR825" s="164">
        <f t="shared" si="268"/>
        <v>54018.566294086399</v>
      </c>
      <c r="AS825" s="164">
        <f t="shared" si="269"/>
        <v>33060.287081339717</v>
      </c>
      <c r="AT825" s="164">
        <f t="shared" si="260"/>
        <v>54018.566294086399</v>
      </c>
      <c r="AU825" s="152"/>
      <c r="AV825" s="147">
        <f>'Deterministic Reserve'!BC825</f>
        <v>3.1035381311380134E-16</v>
      </c>
      <c r="AW825" s="164">
        <f t="shared" si="261"/>
        <v>54018.566294086399</v>
      </c>
      <c r="AX825" s="164">
        <f t="shared" si="262"/>
        <v>1.6764868028310377E-11</v>
      </c>
      <c r="AY825" s="152"/>
    </row>
    <row r="826" spans="1:51" s="150" customFormat="1" x14ac:dyDescent="0.25">
      <c r="A826" s="150">
        <f t="shared" si="270"/>
        <v>822</v>
      </c>
      <c r="B826" s="150">
        <f t="shared" si="271"/>
        <v>69</v>
      </c>
      <c r="C826" s="150">
        <f t="shared" si="272"/>
        <v>6</v>
      </c>
      <c r="D826" s="150">
        <f>IF(E826="","",Input!$C$4+B826-1)</f>
        <v>113</v>
      </c>
      <c r="E826" s="150">
        <f>IF(OR(AND(C825=12,D825=Input!$C$6),E825=""),"",1)</f>
        <v>1</v>
      </c>
      <c r="F826" s="150">
        <f>IF(E826="","",Input!$C$8+B826-1)</f>
        <v>2086</v>
      </c>
      <c r="G826" s="151">
        <f>IF(E826="","",MAX(0,Input!$C$9-B826))</f>
        <v>0</v>
      </c>
      <c r="H826" s="152">
        <f>IF(E826="","",Input!$C$3)</f>
        <v>100000</v>
      </c>
      <c r="I826" s="153">
        <f>IF(E826="","",HLOOKUP($B826,Input!$C$13:$BT$14,2))</f>
        <v>1000</v>
      </c>
      <c r="J826" s="154"/>
      <c r="K826" s="155">
        <f>IF($E826="","",Input!$C$57)</f>
        <v>4.4999999999999998E-2</v>
      </c>
      <c r="L826" s="155">
        <f t="shared" si="263"/>
        <v>3.6748094004368514E-3</v>
      </c>
      <c r="M826" s="147">
        <f>IF($E826="","",VLOOKUP(IF($B826&lt;=Input!$C$7,$B826,26),'Mortality Tables'!$A$72:$CA$97,IF($B826&lt;=Input!$C$7+1,Input!$C$4-16,$D826-Input!$C$7-16),0)/1000)</f>
        <v>0.69096000000000002</v>
      </c>
      <c r="N826" s="147">
        <f t="shared" si="252"/>
        <v>9.3221478545861491E-2</v>
      </c>
      <c r="O826" s="157">
        <f>IF($E826="","",IF($C826=12,IF($B826&lt;Input!$C$9,Input!$C$54,IF($B826=Input!$C$9,Input!$C$55,Input!$C$56)),0%))</f>
        <v>0</v>
      </c>
      <c r="P826" s="167">
        <f>IF($E826="","",IF($B826=1,Input!$C$59,IF($B826&lt;6,Input!$C$60,0%)))</f>
        <v>0</v>
      </c>
      <c r="Q826" s="162">
        <f>IF($E826="","",Input!$C$58)</f>
        <v>2.5</v>
      </c>
      <c r="R826" s="156">
        <f t="shared" si="264"/>
        <v>0.90677852145413851</v>
      </c>
      <c r="S826" s="154">
        <f t="shared" si="253"/>
        <v>4.4912762018761844E-10</v>
      </c>
      <c r="T826" s="152"/>
      <c r="U826" s="150">
        <f t="shared" si="265"/>
        <v>0</v>
      </c>
      <c r="V826" s="150">
        <f t="shared" si="266"/>
        <v>0</v>
      </c>
      <c r="W826" s="168">
        <f t="shared" si="267"/>
        <v>0</v>
      </c>
      <c r="X826" s="163">
        <f t="shared" si="254"/>
        <v>9322.1478545861482</v>
      </c>
      <c r="Y826" s="152"/>
      <c r="Z826" s="164">
        <f>IF(AND($C825=12,$D825=Input!$C$6),0,IF($E826="","",V826+Z827/(1+L826)*R826))</f>
        <v>56158.759722797477</v>
      </c>
      <c r="AA826" s="164">
        <f>IF(OR($M826=1,AND($C825=12,$D825=Input!$C$6)),0,IF($E826="","",W826+(X826+AA827*$R826)/(1+$L826)))</f>
        <v>89673.949028410105</v>
      </c>
      <c r="AB826" s="160">
        <f t="shared" si="255"/>
        <v>0.825720328500681</v>
      </c>
      <c r="AC826" s="164">
        <f t="shared" si="256"/>
        <v>0</v>
      </c>
      <c r="AD826" s="164">
        <f>IF(AND($C825=12,$D825=Input!$C$6),0,IF($E826="","",$AC826+AD827/(1+$L826)*$R826))</f>
        <v>46371.429526499138</v>
      </c>
      <c r="AE826" s="152"/>
      <c r="AF826" s="164">
        <f>IF(AND($C825=12,$D825=Input!$C$6),0,IF($E826="","",IF($B826&gt;Input!$C$9,$AC826,0)+AF827/(1+$L826)*$R826))</f>
        <v>46371.429526499138</v>
      </c>
      <c r="AG826" s="164">
        <f>IF(AND($C825=12,$D825=Input!$C$6),0,IF($E826="","",(IF($B826&gt;Input!$C$9,$X826,0)+AG827)/(1+$L826)*$R826))</f>
        <v>80102.851109033421</v>
      </c>
      <c r="AH826" s="160">
        <f t="shared" si="257"/>
        <v>2.0950137211446997</v>
      </c>
      <c r="AI826" s="160">
        <f>IF($E826="","",MIN(Input!$C$61/AH826,1))</f>
        <v>0.64438718771845094</v>
      </c>
      <c r="AJ826" s="152"/>
      <c r="AK826" s="164">
        <f>IF(AND($C825=12,$D825=Input!$C$6),0,IF($E826="","",IF($B826&gt;Input!$C$9,$AC826*AI826,0)+AK827/(1+$L826)*$R826))</f>
        <v>29881.155063065122</v>
      </c>
      <c r="AL826" s="164">
        <f>IF(AND($C825=12,$D825=Input!$C$6),0,IF($E826="","",IF($B826&gt;Input!$C$9,0,$AC826)+AL827/(1+$L826)*$R826))</f>
        <v>0</v>
      </c>
      <c r="AM826" s="160">
        <f t="shared" si="258"/>
        <v>1.1382936520186004</v>
      </c>
      <c r="AN826" s="164">
        <f>IF($E826="","",IF($B826&gt;Input!$C$9,$AI826*$AC826,$AM826*$AC826))</f>
        <v>0</v>
      </c>
      <c r="AO826" s="164">
        <f>IF(AND($C825=12,$D825=Input!$C$6),0,IF($E826="","",$AN826+AO827/(1+$L826)*$R826))</f>
        <v>29881.155063065122</v>
      </c>
      <c r="AP826" s="152"/>
      <c r="AQ826" s="164">
        <f t="shared" si="259"/>
        <v>59792.793965344987</v>
      </c>
      <c r="AR826" s="164">
        <f t="shared" si="268"/>
        <v>54018.566294086399</v>
      </c>
      <c r="AS826" s="164">
        <f t="shared" si="269"/>
        <v>33060.287081339717</v>
      </c>
      <c r="AT826" s="164">
        <f t="shared" si="260"/>
        <v>54018.566294086399</v>
      </c>
      <c r="AU826" s="152"/>
      <c r="AV826" s="147">
        <f>'Deterministic Reserve'!BC826</f>
        <v>2.7984104799049008E-16</v>
      </c>
      <c r="AW826" s="164">
        <f t="shared" si="261"/>
        <v>54018.566294086399</v>
      </c>
      <c r="AX826" s="164">
        <f t="shared" si="262"/>
        <v>1.5116612202680903E-11</v>
      </c>
      <c r="AY826" s="152"/>
    </row>
    <row r="827" spans="1:51" s="150" customFormat="1" x14ac:dyDescent="0.25">
      <c r="A827" s="150">
        <f t="shared" si="270"/>
        <v>823</v>
      </c>
      <c r="B827" s="150">
        <f t="shared" si="271"/>
        <v>69</v>
      </c>
      <c r="C827" s="150">
        <f t="shared" si="272"/>
        <v>7</v>
      </c>
      <c r="D827" s="150">
        <f>IF(E827="","",Input!$C$4+B827-1)</f>
        <v>113</v>
      </c>
      <c r="E827" s="150">
        <f>IF(OR(AND(C826=12,D826=Input!$C$6),E826=""),"",1)</f>
        <v>1</v>
      </c>
      <c r="F827" s="150">
        <f>IF(E827="","",Input!$C$8+B827-1)</f>
        <v>2086</v>
      </c>
      <c r="G827" s="151">
        <f>IF(E827="","",MAX(0,Input!$C$9-B827))</f>
        <v>0</v>
      </c>
      <c r="H827" s="152">
        <f>IF(E827="","",Input!$C$3)</f>
        <v>100000</v>
      </c>
      <c r="I827" s="153">
        <f>IF(E827="","",HLOOKUP($B827,Input!$C$13:$BT$14,2))</f>
        <v>1000</v>
      </c>
      <c r="J827" s="154"/>
      <c r="K827" s="155">
        <f>IF($E827="","",Input!$C$57)</f>
        <v>4.4999999999999998E-2</v>
      </c>
      <c r="L827" s="155">
        <f t="shared" si="263"/>
        <v>3.6748094004368514E-3</v>
      </c>
      <c r="M827" s="147">
        <f>IF($E827="","",VLOOKUP(IF($B827&lt;=Input!$C$7,$B827,26),'Mortality Tables'!$A$72:$CA$97,IF($B827&lt;=Input!$C$7+1,Input!$C$4-16,$D827-Input!$C$7-16),0)/1000)</f>
        <v>0.69096000000000002</v>
      </c>
      <c r="N827" s="147">
        <f t="shared" si="252"/>
        <v>9.3221478545861491E-2</v>
      </c>
      <c r="O827" s="157">
        <f>IF($E827="","",IF($C827=12,IF($B827&lt;Input!$C$9,Input!$C$54,IF($B827=Input!$C$9,Input!$C$55,Input!$C$56)),0%))</f>
        <v>0</v>
      </c>
      <c r="P827" s="167">
        <f>IF($E827="","",IF($B827=1,Input!$C$59,IF($B827&lt;6,Input!$C$60,0%)))</f>
        <v>0</v>
      </c>
      <c r="Q827" s="162">
        <f>IF($E827="","",Input!$C$58)</f>
        <v>2.5</v>
      </c>
      <c r="R827" s="156">
        <f t="shared" si="264"/>
        <v>0.90677852145413851</v>
      </c>
      <c r="S827" s="154">
        <f t="shared" si="253"/>
        <v>4.0725927937794456E-10</v>
      </c>
      <c r="T827" s="152"/>
      <c r="U827" s="150">
        <f t="shared" si="265"/>
        <v>0</v>
      </c>
      <c r="V827" s="150">
        <f t="shared" si="266"/>
        <v>0</v>
      </c>
      <c r="W827" s="168">
        <f t="shared" si="267"/>
        <v>0</v>
      </c>
      <c r="X827" s="163">
        <f t="shared" si="254"/>
        <v>9322.1478545861482</v>
      </c>
      <c r="Y827" s="152"/>
      <c r="Z827" s="164">
        <f>IF(AND($C826=12,$D826=Input!$C$6),0,IF($E827="","",V827+Z828/(1+L827)*R827))</f>
        <v>62159.756905748931</v>
      </c>
      <c r="AA827" s="164">
        <f>IF(OR($M827=1,AND($C826=12,$D826=Input!$C$6)),0,IF($E827="","",W827+(X827+AA828*$R827)/(1+$L827)))</f>
        <v>88975.790599125277</v>
      </c>
      <c r="AB827" s="160">
        <f t="shared" si="255"/>
        <v>0.825720328500681</v>
      </c>
      <c r="AC827" s="164">
        <f t="shared" si="256"/>
        <v>0</v>
      </c>
      <c r="AD827" s="164">
        <f>IF(AND($C826=12,$D826=Input!$C$6),0,IF($E827="","",$AC827+AD828/(1+$L827)*$R827))</f>
        <v>51326.574891737473</v>
      </c>
      <c r="AE827" s="152"/>
      <c r="AF827" s="164">
        <f>IF(AND($C826=12,$D826=Input!$C$6),0,IF($E827="","",IF($B827&gt;Input!$C$9,$AC827,0)+AF828/(1+$L827)*$R827))</f>
        <v>51326.574891737473</v>
      </c>
      <c r="AG827" s="164">
        <f>IF(AND($C826=12,$D826=Input!$C$6),0,IF($E827="","",(IF($B827&gt;Input!$C$9,$X827,0)+AG828)/(1+$L827)*$R827))</f>
        <v>79340.311519024952</v>
      </c>
      <c r="AH827" s="160">
        <f t="shared" si="257"/>
        <v>2.0950137211446997</v>
      </c>
      <c r="AI827" s="160">
        <f>IF($E827="","",MIN(Input!$C$61/AH827,1))</f>
        <v>0.64438718771845094</v>
      </c>
      <c r="AJ827" s="152"/>
      <c r="AK827" s="164">
        <f>IF(AND($C826=12,$D826=Input!$C$6),0,IF($E827="","",IF($B827&gt;Input!$C$9,$AC827*AI827,0)+AK828/(1+$L827)*$R827))</f>
        <v>33074.187249707167</v>
      </c>
      <c r="AL827" s="164">
        <f>IF(AND($C826=12,$D826=Input!$C$6),0,IF($E827="","",IF($B827&gt;Input!$C$9,0,$AC827)+AL828/(1+$L827)*$R827))</f>
        <v>0</v>
      </c>
      <c r="AM827" s="160">
        <f t="shared" si="258"/>
        <v>1.1382936520186004</v>
      </c>
      <c r="AN827" s="164">
        <f>IF($E827="","",IF($B827&gt;Input!$C$9,$AI827*$AC827,$AM827*$AC827))</f>
        <v>0</v>
      </c>
      <c r="AO827" s="164">
        <f>IF(AND($C826=12,$D826=Input!$C$6),0,IF($E827="","",$AN827+AO828/(1+$L827)*$R827))</f>
        <v>33074.187249707167</v>
      </c>
      <c r="AP827" s="152"/>
      <c r="AQ827" s="164">
        <f t="shared" si="259"/>
        <v>55901.60334941811</v>
      </c>
      <c r="AR827" s="164">
        <f t="shared" si="268"/>
        <v>54018.566294086399</v>
      </c>
      <c r="AS827" s="164">
        <f t="shared" si="269"/>
        <v>33060.287081339717</v>
      </c>
      <c r="AT827" s="164">
        <f t="shared" si="260"/>
        <v>54018.566294086399</v>
      </c>
      <c r="AU827" s="152"/>
      <c r="AV827" s="147">
        <f>'Deterministic Reserve'!BC827</f>
        <v>2.5232817781330265E-16</v>
      </c>
      <c r="AW827" s="164">
        <f t="shared" si="261"/>
        <v>54018.566294086399</v>
      </c>
      <c r="AX827" s="164">
        <f t="shared" si="262"/>
        <v>1.3630406401073909E-11</v>
      </c>
      <c r="AY827" s="152"/>
    </row>
    <row r="828" spans="1:51" s="150" customFormat="1" x14ac:dyDescent="0.25">
      <c r="A828" s="150">
        <f t="shared" si="270"/>
        <v>824</v>
      </c>
      <c r="B828" s="150">
        <f t="shared" si="271"/>
        <v>69</v>
      </c>
      <c r="C828" s="150">
        <f t="shared" si="272"/>
        <v>8</v>
      </c>
      <c r="D828" s="150">
        <f>IF(E828="","",Input!$C$4+B828-1)</f>
        <v>113</v>
      </c>
      <c r="E828" s="150">
        <f>IF(OR(AND(C827=12,D827=Input!$C$6),E827=""),"",1)</f>
        <v>1</v>
      </c>
      <c r="F828" s="150">
        <f>IF(E828="","",Input!$C$8+B828-1)</f>
        <v>2086</v>
      </c>
      <c r="G828" s="151">
        <f>IF(E828="","",MAX(0,Input!$C$9-B828))</f>
        <v>0</v>
      </c>
      <c r="H828" s="152">
        <f>IF(E828="","",Input!$C$3)</f>
        <v>100000</v>
      </c>
      <c r="I828" s="153">
        <f>IF(E828="","",HLOOKUP($B828,Input!$C$13:$BT$14,2))</f>
        <v>1000</v>
      </c>
      <c r="J828" s="154"/>
      <c r="K828" s="155">
        <f>IF($E828="","",Input!$C$57)</f>
        <v>4.4999999999999998E-2</v>
      </c>
      <c r="L828" s="155">
        <f t="shared" si="263"/>
        <v>3.6748094004368514E-3</v>
      </c>
      <c r="M828" s="147">
        <f>IF($E828="","",VLOOKUP(IF($B828&lt;=Input!$C$7,$B828,26),'Mortality Tables'!$A$72:$CA$97,IF($B828&lt;=Input!$C$7+1,Input!$C$4-16,$D828-Input!$C$7-16),0)/1000)</f>
        <v>0.69096000000000002</v>
      </c>
      <c r="N828" s="147">
        <f t="shared" si="252"/>
        <v>9.3221478545861491E-2</v>
      </c>
      <c r="O828" s="157">
        <f>IF($E828="","",IF($C828=12,IF($B828&lt;Input!$C$9,Input!$C$54,IF($B828=Input!$C$9,Input!$C$55,Input!$C$56)),0%))</f>
        <v>0</v>
      </c>
      <c r="P828" s="167">
        <f>IF($E828="","",IF($B828=1,Input!$C$59,IF($B828&lt;6,Input!$C$60,0%)))</f>
        <v>0</v>
      </c>
      <c r="Q828" s="162">
        <f>IF($E828="","",Input!$C$58)</f>
        <v>2.5</v>
      </c>
      <c r="R828" s="156">
        <f t="shared" si="264"/>
        <v>0.90677852145413851</v>
      </c>
      <c r="S828" s="154">
        <f t="shared" si="253"/>
        <v>3.6929396720281052E-10</v>
      </c>
      <c r="T828" s="152"/>
      <c r="U828" s="150">
        <f t="shared" si="265"/>
        <v>0</v>
      </c>
      <c r="V828" s="150">
        <f t="shared" si="266"/>
        <v>0</v>
      </c>
      <c r="W828" s="168">
        <f t="shared" si="267"/>
        <v>0</v>
      </c>
      <c r="X828" s="163">
        <f t="shared" si="254"/>
        <v>9322.1478545861482</v>
      </c>
      <c r="Y828" s="152"/>
      <c r="Z828" s="164">
        <f>IF(AND($C827=12,$D827=Input!$C$6),0,IF($E828="","",V828+Z829/(1+L828)*R828))</f>
        <v>68802.006982595267</v>
      </c>
      <c r="AA828" s="164">
        <f>IF(OR($M828=1,AND($C827=12,$D827=Input!$C$6)),0,IF($E828="","",W828+(X828+AA829*$R828)/(1+$L828)))</f>
        <v>88203.028549887444</v>
      </c>
      <c r="AB828" s="160">
        <f t="shared" si="255"/>
        <v>0.825720328500681</v>
      </c>
      <c r="AC828" s="164">
        <f t="shared" si="256"/>
        <v>0</v>
      </c>
      <c r="AD828" s="164">
        <f>IF(AND($C827=12,$D827=Input!$C$6),0,IF($E828="","",$AC828+AD829/(1+$L828)*$R828))</f>
        <v>56811.215807174696</v>
      </c>
      <c r="AE828" s="152"/>
      <c r="AF828" s="164">
        <f>IF(AND($C827=12,$D827=Input!$C$6),0,IF($E828="","",IF($B828&gt;Input!$C$9,$AC828,0)+AF829/(1+$L828)*$R828))</f>
        <v>56811.215807174696</v>
      </c>
      <c r="AG828" s="164">
        <f>IF(AND($C827=12,$D827=Input!$C$6),0,IF($E828="","",(IF($B828&gt;Input!$C$9,$X828,0)+AG829)/(1+$L828)*$R828))</f>
        <v>78496.288684833067</v>
      </c>
      <c r="AH828" s="160">
        <f t="shared" si="257"/>
        <v>2.0950137211446997</v>
      </c>
      <c r="AI828" s="160">
        <f>IF($E828="","",MIN(Input!$C$61/AH828,1))</f>
        <v>0.64438718771845094</v>
      </c>
      <c r="AJ828" s="152"/>
      <c r="AK828" s="164">
        <f>IF(AND($C827=12,$D827=Input!$C$6),0,IF($E828="","",IF($B828&gt;Input!$C$9,$AC828*AI828,0)+AK829/(1+$L828)*$R828))</f>
        <v>36608.419584851312</v>
      </c>
      <c r="AL828" s="164">
        <f>IF(AND($C827=12,$D827=Input!$C$6),0,IF($E828="","",IF($B828&gt;Input!$C$9,0,$AC828)+AL829/(1+$L828)*$R828))</f>
        <v>0</v>
      </c>
      <c r="AM828" s="160">
        <f t="shared" si="258"/>
        <v>1.1382936520186004</v>
      </c>
      <c r="AN828" s="164">
        <f>IF($E828="","",IF($B828&gt;Input!$C$9,$AI828*$AC828,$AM828*$AC828))</f>
        <v>0</v>
      </c>
      <c r="AO828" s="164">
        <f>IF(AND($C827=12,$D827=Input!$C$6),0,IF($E828="","",$AN828+AO829/(1+$L828)*$R828))</f>
        <v>36608.419584851312</v>
      </c>
      <c r="AP828" s="152"/>
      <c r="AQ828" s="164">
        <f t="shared" si="259"/>
        <v>51594.608965036132</v>
      </c>
      <c r="AR828" s="164">
        <f t="shared" si="268"/>
        <v>54018.566294086399</v>
      </c>
      <c r="AS828" s="164">
        <f t="shared" si="269"/>
        <v>33060.287081339717</v>
      </c>
      <c r="AT828" s="164">
        <f t="shared" si="260"/>
        <v>54018.566294086399</v>
      </c>
      <c r="AU828" s="152"/>
      <c r="AV828" s="147">
        <f>'Deterministic Reserve'!BC828</f>
        <v>2.2752026472094036E-16</v>
      </c>
      <c r="AW828" s="164">
        <f t="shared" si="261"/>
        <v>54018.566294086399</v>
      </c>
      <c r="AX828" s="164">
        <f t="shared" si="262"/>
        <v>1.2290318503076204E-11</v>
      </c>
      <c r="AY828" s="152"/>
    </row>
    <row r="829" spans="1:51" s="150" customFormat="1" x14ac:dyDescent="0.25">
      <c r="A829" s="150">
        <f t="shared" si="270"/>
        <v>825</v>
      </c>
      <c r="B829" s="150">
        <f t="shared" si="271"/>
        <v>69</v>
      </c>
      <c r="C829" s="150">
        <f t="shared" si="272"/>
        <v>9</v>
      </c>
      <c r="D829" s="150">
        <f>IF(E829="","",Input!$C$4+B829-1)</f>
        <v>113</v>
      </c>
      <c r="E829" s="150">
        <f>IF(OR(AND(C828=12,D828=Input!$C$6),E828=""),"",1)</f>
        <v>1</v>
      </c>
      <c r="F829" s="150">
        <f>IF(E829="","",Input!$C$8+B829-1)</f>
        <v>2086</v>
      </c>
      <c r="G829" s="151">
        <f>IF(E829="","",MAX(0,Input!$C$9-B829))</f>
        <v>0</v>
      </c>
      <c r="H829" s="152">
        <f>IF(E829="","",Input!$C$3)</f>
        <v>100000</v>
      </c>
      <c r="I829" s="153">
        <f>IF(E829="","",HLOOKUP($B829,Input!$C$13:$BT$14,2))</f>
        <v>1000</v>
      </c>
      <c r="J829" s="154"/>
      <c r="K829" s="155">
        <f>IF($E829="","",Input!$C$57)</f>
        <v>4.4999999999999998E-2</v>
      </c>
      <c r="L829" s="155">
        <f t="shared" si="263"/>
        <v>3.6748094004368514E-3</v>
      </c>
      <c r="M829" s="147">
        <f>IF($E829="","",VLOOKUP(IF($B829&lt;=Input!$C$7,$B829,26),'Mortality Tables'!$A$72:$CA$97,IF($B829&lt;=Input!$C$7+1,Input!$C$4-16,$D829-Input!$C$7-16),0)/1000)</f>
        <v>0.69096000000000002</v>
      </c>
      <c r="N829" s="147">
        <f t="shared" si="252"/>
        <v>9.3221478545861491E-2</v>
      </c>
      <c r="O829" s="157">
        <f>IF($E829="","",IF($C829=12,IF($B829&lt;Input!$C$9,Input!$C$54,IF($B829=Input!$C$9,Input!$C$55,Input!$C$56)),0%))</f>
        <v>0</v>
      </c>
      <c r="P829" s="167">
        <f>IF($E829="","",IF($B829=1,Input!$C$59,IF($B829&lt;6,Input!$C$60,0%)))</f>
        <v>0</v>
      </c>
      <c r="Q829" s="162">
        <f>IF($E829="","",Input!$C$58)</f>
        <v>2.5</v>
      </c>
      <c r="R829" s="156">
        <f t="shared" si="264"/>
        <v>0.90677852145413851</v>
      </c>
      <c r="S829" s="154">
        <f t="shared" si="253"/>
        <v>3.3486783756209762E-10</v>
      </c>
      <c r="T829" s="152"/>
      <c r="U829" s="150">
        <f t="shared" si="265"/>
        <v>0</v>
      </c>
      <c r="V829" s="150">
        <f t="shared" si="266"/>
        <v>0</v>
      </c>
      <c r="W829" s="168">
        <f t="shared" si="267"/>
        <v>0</v>
      </c>
      <c r="X829" s="163">
        <f t="shared" si="254"/>
        <v>9322.1478545861482</v>
      </c>
      <c r="Y829" s="152"/>
      <c r="Z829" s="164">
        <f>IF(AND($C828=12,$D828=Input!$C$6),0,IF($E829="","",V829+Z830/(1+L829)*R829))</f>
        <v>76154.032777359258</v>
      </c>
      <c r="AA829" s="164">
        <f>IF(OR($M829=1,AND($C828=12,$D828=Input!$C$6)),0,IF($E829="","",W829+(X829+AA830*$R829)/(1+$L829)))</f>
        <v>87347.690907750875</v>
      </c>
      <c r="AB829" s="160">
        <f t="shared" si="255"/>
        <v>0.825720328500681</v>
      </c>
      <c r="AC829" s="164">
        <f t="shared" si="256"/>
        <v>0</v>
      </c>
      <c r="AD829" s="164">
        <f>IF(AND($C828=12,$D828=Input!$C$6),0,IF($E829="","",$AC829+AD830/(1+$L829)*$R829))</f>
        <v>62881.932961572697</v>
      </c>
      <c r="AE829" s="152"/>
      <c r="AF829" s="164">
        <f>IF(AND($C828=12,$D828=Input!$C$6),0,IF($E829="","",IF($B829&gt;Input!$C$9,$AC829,0)+AF830/(1+$L829)*$R829))</f>
        <v>62881.932961572697</v>
      </c>
      <c r="AG829" s="164">
        <f>IF(AND($C828=12,$D828=Input!$C$6),0,IF($E829="","",(IF($B829&gt;Input!$C$9,$X829,0)+AG830)/(1+$L829)*$R829))</f>
        <v>77562.075492532618</v>
      </c>
      <c r="AH829" s="160">
        <f t="shared" si="257"/>
        <v>2.0950137211446997</v>
      </c>
      <c r="AI829" s="160">
        <f>IF($E829="","",MIN(Input!$C$61/AH829,1))</f>
        <v>0.64438718771845094</v>
      </c>
      <c r="AJ829" s="152"/>
      <c r="AK829" s="164">
        <f>IF(AND($C828=12,$D828=Input!$C$6),0,IF($E829="","",IF($B829&gt;Input!$C$9,$AC829*AI829,0)+AK830/(1+$L829)*$R829))</f>
        <v>40520.311939407999</v>
      </c>
      <c r="AL829" s="164">
        <f>IF(AND($C828=12,$D828=Input!$C$6),0,IF($E829="","",IF($B829&gt;Input!$C$9,0,$AC829)+AL830/(1+$L829)*$R829))</f>
        <v>0</v>
      </c>
      <c r="AM829" s="160">
        <f t="shared" si="258"/>
        <v>1.1382936520186004</v>
      </c>
      <c r="AN829" s="164">
        <f>IF($E829="","",IF($B829&gt;Input!$C$9,$AI829*$AC829,$AM829*$AC829))</f>
        <v>0</v>
      </c>
      <c r="AO829" s="164">
        <f>IF(AND($C828=12,$D828=Input!$C$6),0,IF($E829="","",$AN829+AO830/(1+$L829)*$R829))</f>
        <v>40520.311939407999</v>
      </c>
      <c r="AP829" s="152"/>
      <c r="AQ829" s="164">
        <f t="shared" si="259"/>
        <v>46827.378968342877</v>
      </c>
      <c r="AR829" s="164">
        <f t="shared" si="268"/>
        <v>54018.566294086399</v>
      </c>
      <c r="AS829" s="164">
        <f t="shared" si="269"/>
        <v>33060.287081339717</v>
      </c>
      <c r="AT829" s="164">
        <f t="shared" si="260"/>
        <v>54018.566294086399</v>
      </c>
      <c r="AU829" s="152"/>
      <c r="AV829" s="147">
        <f>'Deterministic Reserve'!BC829</f>
        <v>2.0515136798153395E-16</v>
      </c>
      <c r="AW829" s="164">
        <f t="shared" si="261"/>
        <v>54018.566294086399</v>
      </c>
      <c r="AX829" s="164">
        <f t="shared" si="262"/>
        <v>1.1081982771633005E-11</v>
      </c>
      <c r="AY829" s="152"/>
    </row>
    <row r="830" spans="1:51" s="150" customFormat="1" x14ac:dyDescent="0.25">
      <c r="A830" s="150">
        <f t="shared" si="270"/>
        <v>826</v>
      </c>
      <c r="B830" s="150">
        <f t="shared" si="271"/>
        <v>69</v>
      </c>
      <c r="C830" s="150">
        <f t="shared" si="272"/>
        <v>10</v>
      </c>
      <c r="D830" s="150">
        <f>IF(E830="","",Input!$C$4+B830-1)</f>
        <v>113</v>
      </c>
      <c r="E830" s="150">
        <f>IF(OR(AND(C829=12,D829=Input!$C$6),E829=""),"",1)</f>
        <v>1</v>
      </c>
      <c r="F830" s="150">
        <f>IF(E830="","",Input!$C$8+B830-1)</f>
        <v>2086</v>
      </c>
      <c r="G830" s="151">
        <f>IF(E830="","",MAX(0,Input!$C$9-B830))</f>
        <v>0</v>
      </c>
      <c r="H830" s="152">
        <f>IF(E830="","",Input!$C$3)</f>
        <v>100000</v>
      </c>
      <c r="I830" s="153">
        <f>IF(E830="","",HLOOKUP($B830,Input!$C$13:$BT$14,2))</f>
        <v>1000</v>
      </c>
      <c r="J830" s="154"/>
      <c r="K830" s="155">
        <f>IF($E830="","",Input!$C$57)</f>
        <v>4.4999999999999998E-2</v>
      </c>
      <c r="L830" s="155">
        <f t="shared" si="263"/>
        <v>3.6748094004368514E-3</v>
      </c>
      <c r="M830" s="147">
        <f>IF($E830="","",VLOOKUP(IF($B830&lt;=Input!$C$7,$B830,26),'Mortality Tables'!$A$72:$CA$97,IF($B830&lt;=Input!$C$7+1,Input!$C$4-16,$D830-Input!$C$7-16),0)/1000)</f>
        <v>0.69096000000000002</v>
      </c>
      <c r="N830" s="147">
        <f t="shared" si="252"/>
        <v>9.3221478545861491E-2</v>
      </c>
      <c r="O830" s="157">
        <f>IF($E830="","",IF($C830=12,IF($B830&lt;Input!$C$9,Input!$C$54,IF($B830=Input!$C$9,Input!$C$55,Input!$C$56)),0%))</f>
        <v>0</v>
      </c>
      <c r="P830" s="167">
        <f>IF($E830="","",IF($B830=1,Input!$C$59,IF($B830&lt;6,Input!$C$60,0%)))</f>
        <v>0</v>
      </c>
      <c r="Q830" s="162">
        <f>IF($E830="","",Input!$C$58)</f>
        <v>2.5</v>
      </c>
      <c r="R830" s="156">
        <f t="shared" si="264"/>
        <v>0.90677852145413851</v>
      </c>
      <c r="S830" s="154">
        <f t="shared" si="253"/>
        <v>3.0365096262710352E-10</v>
      </c>
      <c r="T830" s="152"/>
      <c r="U830" s="150">
        <f t="shared" si="265"/>
        <v>0</v>
      </c>
      <c r="V830" s="150">
        <f t="shared" si="266"/>
        <v>0</v>
      </c>
      <c r="W830" s="168">
        <f t="shared" si="267"/>
        <v>0</v>
      </c>
      <c r="X830" s="163">
        <f t="shared" si="254"/>
        <v>9322.1478545861482</v>
      </c>
      <c r="Y830" s="152"/>
      <c r="Z830" s="164">
        <f>IF(AND($C829=12,$D829=Input!$C$6),0,IF($E830="","",V830+Z831/(1+L830)*R830))</f>
        <v>84291.679307003098</v>
      </c>
      <c r="AA830" s="164">
        <f>IF(OR($M830=1,AND($C829=12,$D829=Input!$C$6)),0,IF($E830="","",W830+(X830+AA831*$R830)/(1+$L830)))</f>
        <v>86400.953832894098</v>
      </c>
      <c r="AB830" s="160">
        <f t="shared" si="255"/>
        <v>0.825720328500681</v>
      </c>
      <c r="AC830" s="164">
        <f t="shared" si="256"/>
        <v>0</v>
      </c>
      <c r="AD830" s="164">
        <f>IF(AND($C829=12,$D829=Input!$C$6),0,IF($E830="","",$AC830+AD831/(1+$L830)*$R830))</f>
        <v>69601.353127252645</v>
      </c>
      <c r="AE830" s="152"/>
      <c r="AF830" s="164">
        <f>IF(AND($C829=12,$D829=Input!$C$6),0,IF($E830="","",IF($B830&gt;Input!$C$9,$AC830,0)+AF831/(1+$L830)*$R830))</f>
        <v>69601.353127252645</v>
      </c>
      <c r="AG830" s="164">
        <f>IF(AND($C829=12,$D829=Input!$C$6),0,IF($E830="","",(IF($B830&gt;Input!$C$9,$X830,0)+AG831)/(1+$L830)*$R830))</f>
        <v>76528.034405831655</v>
      </c>
      <c r="AH830" s="160">
        <f t="shared" si="257"/>
        <v>2.0950137211446997</v>
      </c>
      <c r="AI830" s="160">
        <f>IF($E830="","",MIN(Input!$C$61/AH830,1))</f>
        <v>0.64438718771845094</v>
      </c>
      <c r="AJ830" s="152"/>
      <c r="AK830" s="164">
        <f>IF(AND($C829=12,$D829=Input!$C$6),0,IF($E830="","",IF($B830&gt;Input!$C$9,$AC830*AI830,0)+AK831/(1+$L830)*$R830))</f>
        <v>44850.220203069148</v>
      </c>
      <c r="AL830" s="164">
        <f>IF(AND($C829=12,$D829=Input!$C$6),0,IF($E830="","",IF($B830&gt;Input!$C$9,0,$AC830)+AL831/(1+$L830)*$R830))</f>
        <v>0</v>
      </c>
      <c r="AM830" s="160">
        <f t="shared" si="258"/>
        <v>1.1382936520186004</v>
      </c>
      <c r="AN830" s="164">
        <f>IF($E830="","",IF($B830&gt;Input!$C$9,$AI830*$AC830,$AM830*$AC830))</f>
        <v>0</v>
      </c>
      <c r="AO830" s="164">
        <f>IF(AND($C829=12,$D829=Input!$C$6),0,IF($E830="","",$AN830+AO831/(1+$L830)*$R830))</f>
        <v>44850.220203069148</v>
      </c>
      <c r="AP830" s="152"/>
      <c r="AQ830" s="164">
        <f t="shared" si="259"/>
        <v>41550.73362982495</v>
      </c>
      <c r="AR830" s="164">
        <f t="shared" si="268"/>
        <v>54018.566294086399</v>
      </c>
      <c r="AS830" s="164">
        <f t="shared" si="269"/>
        <v>33060.287081339717</v>
      </c>
      <c r="AT830" s="164">
        <f t="shared" si="260"/>
        <v>54018.566294086399</v>
      </c>
      <c r="AU830" s="152"/>
      <c r="AV830" s="147">
        <f>'Deterministic Reserve'!BC830</f>
        <v>1.8498169310903219E-16</v>
      </c>
      <c r="AW830" s="164">
        <f t="shared" si="261"/>
        <v>54018.566294086399</v>
      </c>
      <c r="AX830" s="164">
        <f t="shared" si="262"/>
        <v>9.9924458524026001E-12</v>
      </c>
      <c r="AY830" s="152"/>
    </row>
    <row r="831" spans="1:51" s="150" customFormat="1" x14ac:dyDescent="0.25">
      <c r="A831" s="150">
        <f t="shared" si="270"/>
        <v>827</v>
      </c>
      <c r="B831" s="150">
        <f t="shared" si="271"/>
        <v>69</v>
      </c>
      <c r="C831" s="150">
        <f t="shared" si="272"/>
        <v>11</v>
      </c>
      <c r="D831" s="150">
        <f>IF(E831="","",Input!$C$4+B831-1)</f>
        <v>113</v>
      </c>
      <c r="E831" s="150">
        <f>IF(OR(AND(C830=12,D830=Input!$C$6),E830=""),"",1)</f>
        <v>1</v>
      </c>
      <c r="F831" s="150">
        <f>IF(E831="","",Input!$C$8+B831-1)</f>
        <v>2086</v>
      </c>
      <c r="G831" s="151">
        <f>IF(E831="","",MAX(0,Input!$C$9-B831))</f>
        <v>0</v>
      </c>
      <c r="H831" s="152">
        <f>IF(E831="","",Input!$C$3)</f>
        <v>100000</v>
      </c>
      <c r="I831" s="153">
        <f>IF(E831="","",HLOOKUP($B831,Input!$C$13:$BT$14,2))</f>
        <v>1000</v>
      </c>
      <c r="J831" s="154"/>
      <c r="K831" s="155">
        <f>IF($E831="","",Input!$C$57)</f>
        <v>4.4999999999999998E-2</v>
      </c>
      <c r="L831" s="155">
        <f t="shared" si="263"/>
        <v>3.6748094004368514E-3</v>
      </c>
      <c r="M831" s="147">
        <f>IF($E831="","",VLOOKUP(IF($B831&lt;=Input!$C$7,$B831,26),'Mortality Tables'!$A$72:$CA$97,IF($B831&lt;=Input!$C$7+1,Input!$C$4-16,$D831-Input!$C$7-16),0)/1000)</f>
        <v>0.69096000000000002</v>
      </c>
      <c r="N831" s="147">
        <f t="shared" si="252"/>
        <v>9.3221478545861491E-2</v>
      </c>
      <c r="O831" s="157">
        <f>IF($E831="","",IF($C831=12,IF($B831&lt;Input!$C$9,Input!$C$54,IF($B831=Input!$C$9,Input!$C$55,Input!$C$56)),0%))</f>
        <v>0</v>
      </c>
      <c r="P831" s="167">
        <f>IF($E831="","",IF($B831=1,Input!$C$59,IF($B831&lt;6,Input!$C$60,0%)))</f>
        <v>0</v>
      </c>
      <c r="Q831" s="162">
        <f>IF($E831="","",Input!$C$58)</f>
        <v>2.5</v>
      </c>
      <c r="R831" s="156">
        <f t="shared" si="264"/>
        <v>0.90677852145413851</v>
      </c>
      <c r="S831" s="154">
        <f t="shared" si="253"/>
        <v>2.753441709291308E-10</v>
      </c>
      <c r="T831" s="152"/>
      <c r="U831" s="150">
        <f t="shared" si="265"/>
        <v>0</v>
      </c>
      <c r="V831" s="150">
        <f t="shared" si="266"/>
        <v>0</v>
      </c>
      <c r="W831" s="168">
        <f t="shared" si="267"/>
        <v>0</v>
      </c>
      <c r="X831" s="163">
        <f t="shared" si="254"/>
        <v>9322.1478545861482</v>
      </c>
      <c r="Y831" s="152"/>
      <c r="Z831" s="164">
        <f>IF(AND($C830=12,$D830=Input!$C$6),0,IF($E831="","",V831+Z832/(1+L831)*R831))</f>
        <v>93298.896214292297</v>
      </c>
      <c r="AA831" s="164">
        <f>IF(OR($M831=1,AND($C830=12,$D830=Input!$C$6)),0,IF($E831="","",W831+(X831+AA832*$R831)/(1+$L831)))</f>
        <v>85353.050590065395</v>
      </c>
      <c r="AB831" s="160">
        <f t="shared" si="255"/>
        <v>0.825720328500681</v>
      </c>
      <c r="AC831" s="164">
        <f t="shared" si="256"/>
        <v>0</v>
      </c>
      <c r="AD831" s="164">
        <f>IF(AND($C830=12,$D830=Input!$C$6),0,IF($E831="","",$AC831+AD832/(1+$L831)*$R831))</f>
        <v>77038.795230816366</v>
      </c>
      <c r="AE831" s="152"/>
      <c r="AF831" s="164">
        <f>IF(AND($C830=12,$D830=Input!$C$6),0,IF($E831="","",IF($B831&gt;Input!$C$9,$AC831,0)+AF832/(1+$L831)*$R831))</f>
        <v>77038.795230816366</v>
      </c>
      <c r="AG831" s="164">
        <f>IF(AND($C830=12,$D830=Input!$C$6),0,IF($E831="","",(IF($B831&gt;Input!$C$9,$X831,0)+AG832)/(1+$L831)*$R831))</f>
        <v>75383.498043256055</v>
      </c>
      <c r="AH831" s="160">
        <f t="shared" si="257"/>
        <v>2.0950137211446997</v>
      </c>
      <c r="AI831" s="160">
        <f>IF($E831="","",MIN(Input!$C$61/AH831,1))</f>
        <v>0.64438718771845094</v>
      </c>
      <c r="AJ831" s="152"/>
      <c r="AK831" s="164">
        <f>IF(AND($C830=12,$D830=Input!$C$6),0,IF($E831="","",IF($B831&gt;Input!$C$9,$AC831*AI831,0)+AK832/(1+$L831)*$R831))</f>
        <v>49642.812604003375</v>
      </c>
      <c r="AL831" s="164">
        <f>IF(AND($C830=12,$D830=Input!$C$6),0,IF($E831="","",IF($B831&gt;Input!$C$9,0,$AC831)+AL832/(1+$L831)*$R831))</f>
        <v>0</v>
      </c>
      <c r="AM831" s="160">
        <f t="shared" si="258"/>
        <v>1.1382936520186004</v>
      </c>
      <c r="AN831" s="164">
        <f>IF($E831="","",IF($B831&gt;Input!$C$9,$AI831*$AC831,$AM831*$AC831))</f>
        <v>0</v>
      </c>
      <c r="AO831" s="164">
        <f>IF(AND($C830=12,$D830=Input!$C$6),0,IF($E831="","",$AN831+AO832/(1+$L831)*$R831))</f>
        <v>49642.812604003375</v>
      </c>
      <c r="AP831" s="152"/>
      <c r="AQ831" s="164">
        <f t="shared" si="259"/>
        <v>35710.23798606202</v>
      </c>
      <c r="AR831" s="164">
        <f t="shared" si="268"/>
        <v>54018.566294086399</v>
      </c>
      <c r="AS831" s="164">
        <f t="shared" si="269"/>
        <v>33060.287081339717</v>
      </c>
      <c r="AT831" s="164">
        <f t="shared" si="260"/>
        <v>54018.566294086399</v>
      </c>
      <c r="AU831" s="152"/>
      <c r="AV831" s="147">
        <f>'Deterministic Reserve'!BC831</f>
        <v>1.6679502126724406E-16</v>
      </c>
      <c r="AW831" s="164">
        <f t="shared" si="261"/>
        <v>54018.566294086399</v>
      </c>
      <c r="AX831" s="164">
        <f t="shared" si="262"/>
        <v>9.0100279138481745E-12</v>
      </c>
      <c r="AY831" s="152"/>
    </row>
    <row r="832" spans="1:51" s="150" customFormat="1" x14ac:dyDescent="0.25">
      <c r="A832" s="150">
        <f t="shared" si="270"/>
        <v>828</v>
      </c>
      <c r="B832" s="150">
        <f t="shared" si="271"/>
        <v>69</v>
      </c>
      <c r="C832" s="150">
        <f t="shared" si="272"/>
        <v>12</v>
      </c>
      <c r="D832" s="150">
        <f>IF(E832="","",Input!$C$4+B832-1)</f>
        <v>113</v>
      </c>
      <c r="E832" s="150">
        <f>IF(OR(AND(C831=12,D831=Input!$C$6),E831=""),"",1)</f>
        <v>1</v>
      </c>
      <c r="F832" s="150">
        <f>IF(E832="","",Input!$C$8+B832-1)</f>
        <v>2086</v>
      </c>
      <c r="G832" s="151">
        <f>IF(E832="","",MAX(0,Input!$C$9-B832))</f>
        <v>0</v>
      </c>
      <c r="H832" s="152">
        <f>IF(E832="","",Input!$C$3)</f>
        <v>100000</v>
      </c>
      <c r="I832" s="153">
        <f>IF(E832="","",HLOOKUP($B832,Input!$C$13:$BT$14,2))</f>
        <v>1000</v>
      </c>
      <c r="J832" s="154"/>
      <c r="K832" s="155">
        <f>IF($E832="","",Input!$C$57)</f>
        <v>4.4999999999999998E-2</v>
      </c>
      <c r="L832" s="155">
        <f t="shared" si="263"/>
        <v>3.6748094004368514E-3</v>
      </c>
      <c r="M832" s="147">
        <f>IF($E832="","",VLOOKUP(IF($B832&lt;=Input!$C$7,$B832,26),'Mortality Tables'!$A$72:$CA$97,IF($B832&lt;=Input!$C$7+1,Input!$C$4-16,$D832-Input!$C$7-16),0)/1000)</f>
        <v>0.69096000000000002</v>
      </c>
      <c r="N832" s="147">
        <f t="shared" si="252"/>
        <v>9.3221478545861491E-2</v>
      </c>
      <c r="O832" s="157">
        <f>IF($E832="","",IF($C832=12,IF($B832&lt;Input!$C$9,Input!$C$54,IF($B832=Input!$C$9,Input!$C$55,Input!$C$56)),0%))</f>
        <v>0.1</v>
      </c>
      <c r="P832" s="167">
        <f>IF($E832="","",IF($B832=1,Input!$C$59,IF($B832&lt;6,Input!$C$60,0%)))</f>
        <v>0</v>
      </c>
      <c r="Q832" s="162">
        <f>IF($E832="","",Input!$C$58)</f>
        <v>2.5</v>
      </c>
      <c r="R832" s="156">
        <f t="shared" si="264"/>
        <v>0.80677852145413853</v>
      </c>
      <c r="S832" s="154">
        <f t="shared" si="253"/>
        <v>2.2214176311321974E-10</v>
      </c>
      <c r="T832" s="152"/>
      <c r="U832" s="150">
        <f t="shared" si="265"/>
        <v>0</v>
      </c>
      <c r="V832" s="150">
        <f t="shared" si="266"/>
        <v>0</v>
      </c>
      <c r="W832" s="168">
        <f t="shared" si="267"/>
        <v>0</v>
      </c>
      <c r="X832" s="163">
        <f t="shared" si="254"/>
        <v>9322.1478545861482</v>
      </c>
      <c r="Y832" s="152"/>
      <c r="Z832" s="164">
        <f>IF(AND($C831=12,$D831=Input!$C$6),0,IF($E832="","",V832+Z833/(1+L832)*R832))</f>
        <v>103268.60380965366</v>
      </c>
      <c r="AA832" s="164">
        <f>IF(OR($M832=1,AND($C831=12,$D831=Input!$C$6)),0,IF($E832="","",W832+(X832+AA833*$R832)/(1+$L832)))</f>
        <v>84193.170792924226</v>
      </c>
      <c r="AB832" s="160">
        <f t="shared" si="255"/>
        <v>0.825720328500681</v>
      </c>
      <c r="AC832" s="164">
        <f t="shared" si="256"/>
        <v>0</v>
      </c>
      <c r="AD832" s="164">
        <f>IF(AND($C831=12,$D831=Input!$C$6),0,IF($E832="","",$AC832+AD833/(1+$L832)*$R832))</f>
        <v>85270.98546151389</v>
      </c>
      <c r="AE832" s="152"/>
      <c r="AF832" s="164">
        <f>IF(AND($C831=12,$D831=Input!$C$6),0,IF($E832="","",IF($B832&gt;Input!$C$9,$AC832,0)+AF833/(1+$L832)*$R832))</f>
        <v>85270.98546151389</v>
      </c>
      <c r="AG832" s="164">
        <f>IF(AND($C831=12,$D831=Input!$C$6),0,IF($E832="","",(IF($B832&gt;Input!$C$9,$X832,0)+AG833)/(1+$L832)*$R832))</f>
        <v>74116.659131238397</v>
      </c>
      <c r="AH832" s="160">
        <f t="shared" si="257"/>
        <v>2.0950137211446997</v>
      </c>
      <c r="AI832" s="160">
        <f>IF($E832="","",MIN(Input!$C$61/AH832,1))</f>
        <v>0.64438718771845094</v>
      </c>
      <c r="AJ832" s="152"/>
      <c r="AK832" s="164">
        <f>IF(AND($C831=12,$D831=Input!$C$6),0,IF($E832="","",IF($B832&gt;Input!$C$9,$AC832*AI832,0)+AK833/(1+$L832)*$R832))</f>
        <v>54947.530515525854</v>
      </c>
      <c r="AL832" s="164">
        <f>IF(AND($C831=12,$D831=Input!$C$6),0,IF($E832="","",IF($B832&gt;Input!$C$9,0,$AC832)+AL833/(1+$L832)*$R832))</f>
        <v>0</v>
      </c>
      <c r="AM832" s="160">
        <f t="shared" si="258"/>
        <v>1.1382936520186004</v>
      </c>
      <c r="AN832" s="164">
        <f>IF($E832="","",IF($B832&gt;Input!$C$9,$AI832*$AC832,$AM832*$AC832))</f>
        <v>0</v>
      </c>
      <c r="AO832" s="164">
        <f>IF(AND($C831=12,$D831=Input!$C$6),0,IF($E832="","",$AN832+AO833/(1+$L832)*$R832))</f>
        <v>54947.530515525854</v>
      </c>
      <c r="AP832" s="152"/>
      <c r="AQ832" s="164">
        <f t="shared" si="259"/>
        <v>29245.640277398372</v>
      </c>
      <c r="AR832" s="164">
        <f t="shared" si="268"/>
        <v>54018.566294086399</v>
      </c>
      <c r="AS832" s="164">
        <f t="shared" si="269"/>
        <v>33060.287081339717</v>
      </c>
      <c r="AT832" s="164">
        <f t="shared" si="260"/>
        <v>54018.566294086399</v>
      </c>
      <c r="AU832" s="152"/>
      <c r="AV832" s="147">
        <f>'Deterministic Reserve'!BC832</f>
        <v>1.3371688927803124E-16</v>
      </c>
      <c r="AW832" s="164">
        <f t="shared" si="261"/>
        <v>54018.566294086399</v>
      </c>
      <c r="AX832" s="164">
        <f t="shared" si="262"/>
        <v>7.2231946481043414E-12</v>
      </c>
      <c r="AY832" s="152"/>
    </row>
    <row r="833" spans="1:51" s="150" customFormat="1" x14ac:dyDescent="0.25">
      <c r="A833" s="150">
        <f t="shared" si="270"/>
        <v>829</v>
      </c>
      <c r="B833" s="150">
        <f t="shared" si="271"/>
        <v>70</v>
      </c>
      <c r="C833" s="150">
        <f t="shared" si="272"/>
        <v>1</v>
      </c>
      <c r="D833" s="150">
        <f>IF(E833="","",Input!$C$4+B833-1)</f>
        <v>114</v>
      </c>
      <c r="E833" s="150">
        <f>IF(OR(AND(C832=12,D832=Input!$C$6),E832=""),"",1)</f>
        <v>1</v>
      </c>
      <c r="F833" s="150">
        <f>IF(E833="","",Input!$C$8+B833-1)</f>
        <v>2087</v>
      </c>
      <c r="G833" s="151">
        <f>IF(E833="","",MAX(0,Input!$C$9-B833))</f>
        <v>0</v>
      </c>
      <c r="H833" s="152">
        <f>IF(E833="","",Input!$C$3)</f>
        <v>100000</v>
      </c>
      <c r="I833" s="153">
        <f>IF(E833="","",HLOOKUP($B833,Input!$C$13:$BT$14,2))</f>
        <v>1000</v>
      </c>
      <c r="J833" s="154"/>
      <c r="K833" s="155">
        <f>IF($E833="","",Input!$C$57)</f>
        <v>4.4999999999999998E-2</v>
      </c>
      <c r="L833" s="155">
        <f t="shared" si="263"/>
        <v>3.6748094004368514E-3</v>
      </c>
      <c r="M833" s="147">
        <f>IF($E833="","",VLOOKUP(IF($B833&lt;=Input!$C$7,$B833,26),'Mortality Tables'!$A$72:$CA$97,IF($B833&lt;=Input!$C$7+1,Input!$C$4-16,$D833-Input!$C$7-16),0)/1000)</f>
        <v>0.72842999999999991</v>
      </c>
      <c r="N833" s="147">
        <f t="shared" si="252"/>
        <v>0.10293588783861807</v>
      </c>
      <c r="O833" s="157">
        <f>IF($E833="","",IF($C833=12,IF($B833&lt;Input!$C$9,Input!$C$54,IF($B833=Input!$C$9,Input!$C$55,Input!$C$56)),0%))</f>
        <v>0</v>
      </c>
      <c r="P833" s="167">
        <f>IF($E833="","",IF($B833=1,Input!$C$59,IF($B833&lt;6,Input!$C$60,0%)))</f>
        <v>0</v>
      </c>
      <c r="Q833" s="162">
        <f>IF($E833="","",Input!$C$58)</f>
        <v>2.5</v>
      </c>
      <c r="R833" s="156">
        <f t="shared" si="264"/>
        <v>0.89706411216138193</v>
      </c>
      <c r="S833" s="154">
        <f t="shared" si="253"/>
        <v>1.992754035011245E-10</v>
      </c>
      <c r="T833" s="152"/>
      <c r="U833" s="150">
        <f t="shared" si="265"/>
        <v>100000</v>
      </c>
      <c r="V833" s="150">
        <f t="shared" si="266"/>
        <v>100000</v>
      </c>
      <c r="W833" s="168">
        <f t="shared" si="267"/>
        <v>0</v>
      </c>
      <c r="X833" s="163">
        <f t="shared" si="254"/>
        <v>10293.588783861807</v>
      </c>
      <c r="Y833" s="152"/>
      <c r="Z833" s="164">
        <f>IF(AND($C832=12,$D832=Input!$C$6),0,IF($E833="","",V833+Z834/(1+L833)*R833))</f>
        <v>128471.56126428343</v>
      </c>
      <c r="AA833" s="164">
        <f>IF(OR($M833=1,AND($C832=12,$D832=Input!$C$6)),0,IF($E833="","",W833+(X833+AA834*$R833)/(1+$L833)))</f>
        <v>93185.94235542517</v>
      </c>
      <c r="AB833" s="160">
        <f t="shared" si="255"/>
        <v>0.825720328500681</v>
      </c>
      <c r="AC833" s="164">
        <f t="shared" si="256"/>
        <v>82572.032850068106</v>
      </c>
      <c r="AD833" s="164">
        <f>IF(AND($C832=12,$D832=Input!$C$6),0,IF($E833="","",$AC833+AD834/(1+$L833)*$R833))</f>
        <v>106081.57977013948</v>
      </c>
      <c r="AE833" s="152"/>
      <c r="AF833" s="164">
        <f>IF(AND($C832=12,$D832=Input!$C$6),0,IF($E833="","",IF($B833&gt;Input!$C$9,$AC833,0)+AF834/(1+$L833)*$R833))</f>
        <v>106081.57977013948</v>
      </c>
      <c r="AG833" s="164">
        <f>IF(AND($C832=12,$D832=Input!$C$6),0,IF($E833="","",(IF($B833&gt;Input!$C$9,$X833,0)+AG834)/(1+$L833)*$R833))</f>
        <v>82882.86473407819</v>
      </c>
      <c r="AH833" s="160">
        <f t="shared" si="257"/>
        <v>2.0950137211446997</v>
      </c>
      <c r="AI833" s="160">
        <f>IF($E833="","",MIN(Input!$C$61/AH833,1))</f>
        <v>0.64438718771845094</v>
      </c>
      <c r="AJ833" s="152"/>
      <c r="AK833" s="164">
        <f>IF(AND($C832=12,$D832=Input!$C$6),0,IF($E833="","",IF($B833&gt;Input!$C$9,$AC833*AI833,0)+AK834/(1+$L833)*$R833))</f>
        <v>68357.610856810687</v>
      </c>
      <c r="AL833" s="164">
        <f>IF(AND($C832=12,$D832=Input!$C$6),0,IF($E833="","",IF($B833&gt;Input!$C$9,0,$AC833)+AL834/(1+$L833)*$R833))</f>
        <v>0</v>
      </c>
      <c r="AM833" s="160">
        <f t="shared" si="258"/>
        <v>1.1382936520186004</v>
      </c>
      <c r="AN833" s="164">
        <f>IF($E833="","",IF($B833&gt;Input!$C$9,$AI833*$AC833,$AM833*$AC833))</f>
        <v>53208.360032450932</v>
      </c>
      <c r="AO833" s="164">
        <f>IF(AND($C832=12,$D832=Input!$C$6),0,IF($E833="","",$AN833+AO834/(1+$L833)*$R833))</f>
        <v>68357.610856810687</v>
      </c>
      <c r="AP833" s="152"/>
      <c r="AQ833" s="164">
        <f t="shared" si="259"/>
        <v>24828.331498614483</v>
      </c>
      <c r="AR833" s="164">
        <f t="shared" si="268"/>
        <v>57662.234273927286</v>
      </c>
      <c r="AS833" s="164">
        <f t="shared" si="269"/>
        <v>34853.110047846887</v>
      </c>
      <c r="AT833" s="164">
        <f t="shared" si="260"/>
        <v>57662.234273927286</v>
      </c>
      <c r="AU833" s="152"/>
      <c r="AV833" s="147">
        <f>'Deterministic Reserve'!BC833</f>
        <v>1.2069337212952615E-16</v>
      </c>
      <c r="AW833" s="164">
        <f t="shared" si="261"/>
        <v>57662.234273927286</v>
      </c>
      <c r="AX833" s="164">
        <f t="shared" si="262"/>
        <v>6.959449499043023E-12</v>
      </c>
      <c r="AY833" s="152"/>
    </row>
    <row r="834" spans="1:51" s="150" customFormat="1" x14ac:dyDescent="0.25">
      <c r="A834" s="150">
        <f t="shared" si="270"/>
        <v>830</v>
      </c>
      <c r="B834" s="150">
        <f t="shared" si="271"/>
        <v>70</v>
      </c>
      <c r="C834" s="150">
        <f t="shared" si="272"/>
        <v>2</v>
      </c>
      <c r="D834" s="150">
        <f>IF(E834="","",Input!$C$4+B834-1)</f>
        <v>114</v>
      </c>
      <c r="E834" s="150">
        <f>IF(OR(AND(C833=12,D833=Input!$C$6),E833=""),"",1)</f>
        <v>1</v>
      </c>
      <c r="F834" s="150">
        <f>IF(E834="","",Input!$C$8+B834-1)</f>
        <v>2087</v>
      </c>
      <c r="G834" s="151">
        <f>IF(E834="","",MAX(0,Input!$C$9-B834))</f>
        <v>0</v>
      </c>
      <c r="H834" s="152">
        <f>IF(E834="","",Input!$C$3)</f>
        <v>100000</v>
      </c>
      <c r="I834" s="153">
        <f>IF(E834="","",HLOOKUP($B834,Input!$C$13:$BT$14,2))</f>
        <v>1000</v>
      </c>
      <c r="J834" s="154"/>
      <c r="K834" s="155">
        <f>IF($E834="","",Input!$C$57)</f>
        <v>4.4999999999999998E-2</v>
      </c>
      <c r="L834" s="155">
        <f t="shared" si="263"/>
        <v>3.6748094004368514E-3</v>
      </c>
      <c r="M834" s="147">
        <f>IF($E834="","",VLOOKUP(IF($B834&lt;=Input!$C$7,$B834,26),'Mortality Tables'!$A$72:$CA$97,IF($B834&lt;=Input!$C$7+1,Input!$C$4-16,$D834-Input!$C$7-16),0)/1000)</f>
        <v>0.72842999999999991</v>
      </c>
      <c r="N834" s="147">
        <f t="shared" si="252"/>
        <v>0.10293588783861807</v>
      </c>
      <c r="O834" s="157">
        <f>IF($E834="","",IF($C834=12,IF($B834&lt;Input!$C$9,Input!$C$54,IF($B834=Input!$C$9,Input!$C$55,Input!$C$56)),0%))</f>
        <v>0</v>
      </c>
      <c r="P834" s="167">
        <f>IF($E834="","",IF($B834=1,Input!$C$59,IF($B834&lt;6,Input!$C$60,0%)))</f>
        <v>0</v>
      </c>
      <c r="Q834" s="162">
        <f>IF($E834="","",Input!$C$58)</f>
        <v>2.5</v>
      </c>
      <c r="R834" s="156">
        <f t="shared" si="264"/>
        <v>0.89706411216138193</v>
      </c>
      <c r="S834" s="154">
        <f t="shared" si="253"/>
        <v>1.7876281291733739E-10</v>
      </c>
      <c r="T834" s="152"/>
      <c r="U834" s="150">
        <f t="shared" si="265"/>
        <v>0</v>
      </c>
      <c r="V834" s="150">
        <f t="shared" si="266"/>
        <v>0</v>
      </c>
      <c r="W834" s="168">
        <f t="shared" si="267"/>
        <v>0</v>
      </c>
      <c r="X834" s="163">
        <f t="shared" si="254"/>
        <v>10293.588783861807</v>
      </c>
      <c r="Y834" s="152"/>
      <c r="Z834" s="164">
        <f>IF(AND($C833=12,$D833=Input!$C$6),0,IF($E834="","",V834+Z835/(1+L834)*R834))</f>
        <v>31855.235805176952</v>
      </c>
      <c r="AA834" s="164">
        <f>IF(OR($M834=1,AND($C833=12,$D833=Input!$C$6)),0,IF($E834="","",W834+(X834+AA835*$R834)/(1+$L834)))</f>
        <v>92785.780882454594</v>
      </c>
      <c r="AB834" s="160">
        <f t="shared" si="255"/>
        <v>0.825720328500681</v>
      </c>
      <c r="AC834" s="164">
        <f t="shared" si="256"/>
        <v>0</v>
      </c>
      <c r="AD834" s="164">
        <f>IF(AND($C833=12,$D833=Input!$C$6),0,IF($E834="","",$AC834+AD835/(1+$L834)*$R834))</f>
        <v>26303.51577351736</v>
      </c>
      <c r="AE834" s="152"/>
      <c r="AF834" s="164">
        <f>IF(AND($C833=12,$D833=Input!$C$6),0,IF($E834="","",IF($B834&gt;Input!$C$9,$AC834,0)+AF835/(1+$L834)*$R834))</f>
        <v>26303.51577351736</v>
      </c>
      <c r="AG834" s="164">
        <f>IF(AND($C833=12,$D833=Input!$C$6),0,IF($E834="","",(IF($B834&gt;Input!$C$9,$X834,0)+AG835)/(1+$L834)*$R834))</f>
        <v>82439.408040753871</v>
      </c>
      <c r="AH834" s="160">
        <f t="shared" si="257"/>
        <v>2.0950137211446997</v>
      </c>
      <c r="AI834" s="160">
        <f>IF($E834="","",MIN(Input!$C$61/AH834,1))</f>
        <v>0.64438718771845094</v>
      </c>
      <c r="AJ834" s="152"/>
      <c r="AK834" s="164">
        <f>IF(AND($C833=12,$D833=Input!$C$6),0,IF($E834="","",IF($B834&gt;Input!$C$9,$AC834*AI834,0)+AK835/(1+$L834)*$R834))</f>
        <v>16949.648556404765</v>
      </c>
      <c r="AL834" s="164">
        <f>IF(AND($C833=12,$D833=Input!$C$6),0,IF($E834="","",IF($B834&gt;Input!$C$9,0,$AC834)+AL835/(1+$L834)*$R834))</f>
        <v>0</v>
      </c>
      <c r="AM834" s="160">
        <f t="shared" si="258"/>
        <v>1.1382936520186004</v>
      </c>
      <c r="AN834" s="164">
        <f>IF($E834="","",IF($B834&gt;Input!$C$9,$AI834*$AC834,$AM834*$AC834))</f>
        <v>0</v>
      </c>
      <c r="AO834" s="164">
        <f>IF(AND($C833=12,$D833=Input!$C$6),0,IF($E834="","",$AN834+AO835/(1+$L834)*$R834))</f>
        <v>16949.648556404765</v>
      </c>
      <c r="AP834" s="152"/>
      <c r="AQ834" s="164">
        <f t="shared" si="259"/>
        <v>75836.132326049832</v>
      </c>
      <c r="AR834" s="164">
        <f t="shared" si="268"/>
        <v>57662.234273927286</v>
      </c>
      <c r="AS834" s="164">
        <f t="shared" si="269"/>
        <v>34853.110047846887</v>
      </c>
      <c r="AT834" s="164">
        <f t="shared" si="260"/>
        <v>57662.234273927286</v>
      </c>
      <c r="AU834" s="152"/>
      <c r="AV834" s="147">
        <f>'Deterministic Reserve'!BC834</f>
        <v>1.0893829608695151E-16</v>
      </c>
      <c r="AW834" s="164">
        <f t="shared" si="261"/>
        <v>57662.234273927286</v>
      </c>
      <c r="AX834" s="164">
        <f t="shared" si="262"/>
        <v>6.2816255503682541E-12</v>
      </c>
      <c r="AY834" s="152"/>
    </row>
    <row r="835" spans="1:51" s="150" customFormat="1" x14ac:dyDescent="0.25">
      <c r="A835" s="150">
        <f t="shared" si="270"/>
        <v>831</v>
      </c>
      <c r="B835" s="150">
        <f t="shared" si="271"/>
        <v>70</v>
      </c>
      <c r="C835" s="150">
        <f t="shared" si="272"/>
        <v>3</v>
      </c>
      <c r="D835" s="150">
        <f>IF(E835="","",Input!$C$4+B835-1)</f>
        <v>114</v>
      </c>
      <c r="E835" s="150">
        <f>IF(OR(AND(C834=12,D834=Input!$C$6),E834=""),"",1)</f>
        <v>1</v>
      </c>
      <c r="F835" s="150">
        <f>IF(E835="","",Input!$C$8+B835-1)</f>
        <v>2087</v>
      </c>
      <c r="G835" s="151">
        <f>IF(E835="","",MAX(0,Input!$C$9-B835))</f>
        <v>0</v>
      </c>
      <c r="H835" s="152">
        <f>IF(E835="","",Input!$C$3)</f>
        <v>100000</v>
      </c>
      <c r="I835" s="153">
        <f>IF(E835="","",HLOOKUP($B835,Input!$C$13:$BT$14,2))</f>
        <v>1000</v>
      </c>
      <c r="J835" s="154"/>
      <c r="K835" s="155">
        <f>IF($E835="","",Input!$C$57)</f>
        <v>4.4999999999999998E-2</v>
      </c>
      <c r="L835" s="155">
        <f t="shared" si="263"/>
        <v>3.6748094004368514E-3</v>
      </c>
      <c r="M835" s="147">
        <f>IF($E835="","",VLOOKUP(IF($B835&lt;=Input!$C$7,$B835,26),'Mortality Tables'!$A$72:$CA$97,IF($B835&lt;=Input!$C$7+1,Input!$C$4-16,$D835-Input!$C$7-16),0)/1000)</f>
        <v>0.72842999999999991</v>
      </c>
      <c r="N835" s="147">
        <f t="shared" si="252"/>
        <v>0.10293588783861807</v>
      </c>
      <c r="O835" s="157">
        <f>IF($E835="","",IF($C835=12,IF($B835&lt;Input!$C$9,Input!$C$54,IF($B835=Input!$C$9,Input!$C$55,Input!$C$56)),0%))</f>
        <v>0</v>
      </c>
      <c r="P835" s="167">
        <f>IF($E835="","",IF($B835=1,Input!$C$59,IF($B835&lt;6,Input!$C$60,0%)))</f>
        <v>0</v>
      </c>
      <c r="Q835" s="162">
        <f>IF($E835="","",Input!$C$58)</f>
        <v>2.5</v>
      </c>
      <c r="R835" s="156">
        <f t="shared" si="264"/>
        <v>0.89706411216138193</v>
      </c>
      <c r="S835" s="154">
        <f t="shared" si="253"/>
        <v>1.6036170405716248E-10</v>
      </c>
      <c r="T835" s="152"/>
      <c r="U835" s="150">
        <f t="shared" si="265"/>
        <v>0</v>
      </c>
      <c r="V835" s="150">
        <f t="shared" si="266"/>
        <v>0</v>
      </c>
      <c r="W835" s="168">
        <f t="shared" si="267"/>
        <v>0</v>
      </c>
      <c r="X835" s="163">
        <f t="shared" si="254"/>
        <v>10293.588783861807</v>
      </c>
      <c r="Y835" s="152"/>
      <c r="Z835" s="164">
        <f>IF(AND($C834=12,$D834=Input!$C$6),0,IF($E835="","",V835+Z836/(1+L835)*R835))</f>
        <v>35641.03980052557</v>
      </c>
      <c r="AA835" s="164">
        <f>IF(OR($M835=1,AND($C834=12,$D834=Input!$C$6)),0,IF($E835="","",W835+(X835+AA836*$R835)/(1+$L835)))</f>
        <v>92338.062614977069</v>
      </c>
      <c r="AB835" s="160">
        <f t="shared" si="255"/>
        <v>0.825720328500681</v>
      </c>
      <c r="AC835" s="164">
        <f t="shared" si="256"/>
        <v>0</v>
      </c>
      <c r="AD835" s="164">
        <f>IF(AND($C834=12,$D834=Input!$C$6),0,IF($E835="","",$AC835+AD836/(1+$L835)*$R835))</f>
        <v>29429.531092195812</v>
      </c>
      <c r="AE835" s="152"/>
      <c r="AF835" s="164">
        <f>IF(AND($C834=12,$D834=Input!$C$6),0,IF($E835="","",IF($B835&gt;Input!$C$9,$AC835,0)+AF836/(1+$L835)*$R835))</f>
        <v>29429.531092195812</v>
      </c>
      <c r="AG835" s="164">
        <f>IF(AND($C834=12,$D834=Input!$C$6),0,IF($E835="","",(IF($B835&gt;Input!$C$9,$X835,0)+AG836)/(1+$L835)*$R835))</f>
        <v>81943.249175277422</v>
      </c>
      <c r="AH835" s="160">
        <f t="shared" si="257"/>
        <v>2.0950137211446997</v>
      </c>
      <c r="AI835" s="160">
        <f>IF($E835="","",MIN(Input!$C$61/AH835,1))</f>
        <v>0.64438718771845094</v>
      </c>
      <c r="AJ835" s="152"/>
      <c r="AK835" s="164">
        <f>IF(AND($C834=12,$D834=Input!$C$6),0,IF($E835="","",IF($B835&gt;Input!$C$9,$AC835*AI835,0)+AK836/(1+$L835)*$R835))</f>
        <v>18964.012776372769</v>
      </c>
      <c r="AL835" s="164">
        <f>IF(AND($C834=12,$D834=Input!$C$6),0,IF($E835="","",IF($B835&gt;Input!$C$9,0,$AC835)+AL836/(1+$L835)*$R835))</f>
        <v>0</v>
      </c>
      <c r="AM835" s="160">
        <f t="shared" si="258"/>
        <v>1.1382936520186004</v>
      </c>
      <c r="AN835" s="164">
        <f>IF($E835="","",IF($B835&gt;Input!$C$9,$AI835*$AC835,$AM835*$AC835))</f>
        <v>0</v>
      </c>
      <c r="AO835" s="164">
        <f>IF(AND($C834=12,$D834=Input!$C$6),0,IF($E835="","",$AN835+AO836/(1+$L835)*$R835))</f>
        <v>18964.012776372769</v>
      </c>
      <c r="AP835" s="152"/>
      <c r="AQ835" s="164">
        <f t="shared" si="259"/>
        <v>73374.049838604304</v>
      </c>
      <c r="AR835" s="164">
        <f t="shared" si="268"/>
        <v>57662.234273927286</v>
      </c>
      <c r="AS835" s="164">
        <f t="shared" si="269"/>
        <v>34853.110047846887</v>
      </c>
      <c r="AT835" s="164">
        <f t="shared" si="260"/>
        <v>57662.234273927286</v>
      </c>
      <c r="AU835" s="152"/>
      <c r="AV835" s="147">
        <f>'Deterministic Reserve'!BC835</f>
        <v>9.8328119804227963E-17</v>
      </c>
      <c r="AW835" s="164">
        <f t="shared" si="261"/>
        <v>57662.234273927286</v>
      </c>
      <c r="AX835" s="164">
        <f t="shared" si="262"/>
        <v>5.669819079866182E-12</v>
      </c>
      <c r="AY835" s="152"/>
    </row>
    <row r="836" spans="1:51" s="150" customFormat="1" x14ac:dyDescent="0.25">
      <c r="A836" s="150">
        <f t="shared" si="270"/>
        <v>832</v>
      </c>
      <c r="B836" s="150">
        <f t="shared" si="271"/>
        <v>70</v>
      </c>
      <c r="C836" s="150">
        <f t="shared" si="272"/>
        <v>4</v>
      </c>
      <c r="D836" s="150">
        <f>IF(E836="","",Input!$C$4+B836-1)</f>
        <v>114</v>
      </c>
      <c r="E836" s="150">
        <f>IF(OR(AND(C835=12,D835=Input!$C$6),E835=""),"",1)</f>
        <v>1</v>
      </c>
      <c r="F836" s="150">
        <f>IF(E836="","",Input!$C$8+B836-1)</f>
        <v>2087</v>
      </c>
      <c r="G836" s="151">
        <f>IF(E836="","",MAX(0,Input!$C$9-B836))</f>
        <v>0</v>
      </c>
      <c r="H836" s="152">
        <f>IF(E836="","",Input!$C$3)</f>
        <v>100000</v>
      </c>
      <c r="I836" s="153">
        <f>IF(E836="","",HLOOKUP($B836,Input!$C$13:$BT$14,2))</f>
        <v>1000</v>
      </c>
      <c r="J836" s="154"/>
      <c r="K836" s="155">
        <f>IF($E836="","",Input!$C$57)</f>
        <v>4.4999999999999998E-2</v>
      </c>
      <c r="L836" s="155">
        <f t="shared" si="263"/>
        <v>3.6748094004368514E-3</v>
      </c>
      <c r="M836" s="147">
        <f>IF($E836="","",VLOOKUP(IF($B836&lt;=Input!$C$7,$B836,26),'Mortality Tables'!$A$72:$CA$97,IF($B836&lt;=Input!$C$7+1,Input!$C$4-16,$D836-Input!$C$7-16),0)/1000)</f>
        <v>0.72842999999999991</v>
      </c>
      <c r="N836" s="147">
        <f t="shared" si="252"/>
        <v>0.10293588783861807</v>
      </c>
      <c r="O836" s="157">
        <f>IF($E836="","",IF($C836=12,IF($B836&lt;Input!$C$9,Input!$C$54,IF($B836=Input!$C$9,Input!$C$55,Input!$C$56)),0%))</f>
        <v>0</v>
      </c>
      <c r="P836" s="167">
        <f>IF($E836="","",IF($B836=1,Input!$C$59,IF($B836&lt;6,Input!$C$60,0%)))</f>
        <v>0</v>
      </c>
      <c r="Q836" s="162">
        <f>IF($E836="","",Input!$C$58)</f>
        <v>2.5</v>
      </c>
      <c r="R836" s="156">
        <f t="shared" si="264"/>
        <v>0.89706411216138193</v>
      </c>
      <c r="S836" s="154">
        <f t="shared" si="253"/>
        <v>1.4385472967472475E-10</v>
      </c>
      <c r="T836" s="152"/>
      <c r="U836" s="150">
        <f t="shared" si="265"/>
        <v>0</v>
      </c>
      <c r="V836" s="150">
        <f t="shared" si="266"/>
        <v>0</v>
      </c>
      <c r="W836" s="168">
        <f t="shared" si="267"/>
        <v>0</v>
      </c>
      <c r="X836" s="163">
        <f t="shared" si="254"/>
        <v>10293.588783861807</v>
      </c>
      <c r="Y836" s="152"/>
      <c r="Z836" s="164">
        <f>IF(AND($C835=12,$D835=Input!$C$6),0,IF($E836="","",V836+Z837/(1+L836)*R836))</f>
        <v>39876.763927649459</v>
      </c>
      <c r="AA836" s="164">
        <f>IF(OR($M836=1,AND($C835=12,$D835=Input!$C$6)),0,IF($E836="","",W836+(X836+AA837*$R836)/(1+$L836)))</f>
        <v>91837.135712781746</v>
      </c>
      <c r="AB836" s="160">
        <f t="shared" si="255"/>
        <v>0.825720328500681</v>
      </c>
      <c r="AC836" s="164">
        <f t="shared" si="256"/>
        <v>0</v>
      </c>
      <c r="AD836" s="164">
        <f>IF(AND($C835=12,$D835=Input!$C$6),0,IF($E836="","",$AC836+AD837/(1+$L836)*$R836))</f>
        <v>32927.054609882813</v>
      </c>
      <c r="AE836" s="152"/>
      <c r="AF836" s="164">
        <f>IF(AND($C835=12,$D835=Input!$C$6),0,IF($E836="","",IF($B836&gt;Input!$C$9,$AC836,0)+AF837/(1+$L836)*$R836))</f>
        <v>32927.054609882813</v>
      </c>
      <c r="AG836" s="164">
        <f>IF(AND($C835=12,$D835=Input!$C$6),0,IF($E836="","",(IF($B836&gt;Input!$C$9,$X836,0)+AG837)/(1+$L836)*$R836))</f>
        <v>81388.124800120349</v>
      </c>
      <c r="AH836" s="160">
        <f t="shared" si="257"/>
        <v>2.0950137211446997</v>
      </c>
      <c r="AI836" s="160">
        <f>IF($E836="","",MIN(Input!$C$61/AH836,1))</f>
        <v>0.64438718771845094</v>
      </c>
      <c r="AJ836" s="152"/>
      <c r="AK836" s="164">
        <f>IF(AND($C835=12,$D835=Input!$C$6),0,IF($E836="","",IF($B836&gt;Input!$C$9,$AC836*AI836,0)+AK837/(1+$L836)*$R836))</f>
        <v>21217.772119914236</v>
      </c>
      <c r="AL836" s="164">
        <f>IF(AND($C835=12,$D835=Input!$C$6),0,IF($E836="","",IF($B836&gt;Input!$C$9,0,$AC836)+AL837/(1+$L836)*$R836))</f>
        <v>0</v>
      </c>
      <c r="AM836" s="160">
        <f t="shared" si="258"/>
        <v>1.1382936520186004</v>
      </c>
      <c r="AN836" s="164">
        <f>IF($E836="","",IF($B836&gt;Input!$C$9,$AI836*$AC836,$AM836*$AC836))</f>
        <v>0</v>
      </c>
      <c r="AO836" s="164">
        <f>IF(AND($C835=12,$D835=Input!$C$6),0,IF($E836="","",$AN836+AO837/(1+$L836)*$R836))</f>
        <v>21217.772119914236</v>
      </c>
      <c r="AP836" s="152"/>
      <c r="AQ836" s="164">
        <f t="shared" si="259"/>
        <v>70619.363592867507</v>
      </c>
      <c r="AR836" s="164">
        <f t="shared" si="268"/>
        <v>57662.234273927286</v>
      </c>
      <c r="AS836" s="164">
        <f t="shared" si="269"/>
        <v>34853.110047846887</v>
      </c>
      <c r="AT836" s="164">
        <f t="shared" si="260"/>
        <v>57662.234273927286</v>
      </c>
      <c r="AU836" s="152"/>
      <c r="AV836" s="147">
        <f>'Deterministic Reserve'!BC836</f>
        <v>8.8751334393164589E-17</v>
      </c>
      <c r="AW836" s="164">
        <f t="shared" si="261"/>
        <v>57662.234273927286</v>
      </c>
      <c r="AX836" s="164">
        <f t="shared" si="262"/>
        <v>5.1176002359023165E-12</v>
      </c>
      <c r="AY836" s="152"/>
    </row>
    <row r="837" spans="1:51" s="150" customFormat="1" x14ac:dyDescent="0.25">
      <c r="A837" s="150">
        <f t="shared" si="270"/>
        <v>833</v>
      </c>
      <c r="B837" s="150">
        <f t="shared" si="271"/>
        <v>70</v>
      </c>
      <c r="C837" s="150">
        <f t="shared" si="272"/>
        <v>5</v>
      </c>
      <c r="D837" s="150">
        <f>IF(E837="","",Input!$C$4+B837-1)</f>
        <v>114</v>
      </c>
      <c r="E837" s="150">
        <f>IF(OR(AND(C836=12,D836=Input!$C$6),E836=""),"",1)</f>
        <v>1</v>
      </c>
      <c r="F837" s="150">
        <f>IF(E837="","",Input!$C$8+B837-1)</f>
        <v>2087</v>
      </c>
      <c r="G837" s="151">
        <f>IF(E837="","",MAX(0,Input!$C$9-B837))</f>
        <v>0</v>
      </c>
      <c r="H837" s="152">
        <f>IF(E837="","",Input!$C$3)</f>
        <v>100000</v>
      </c>
      <c r="I837" s="153">
        <f>IF(E837="","",HLOOKUP($B837,Input!$C$13:$BT$14,2))</f>
        <v>1000</v>
      </c>
      <c r="J837" s="154"/>
      <c r="K837" s="155">
        <f>IF($E837="","",Input!$C$57)</f>
        <v>4.4999999999999998E-2</v>
      </c>
      <c r="L837" s="155">
        <f t="shared" si="263"/>
        <v>3.6748094004368514E-3</v>
      </c>
      <c r="M837" s="147">
        <f>IF($E837="","",VLOOKUP(IF($B837&lt;=Input!$C$7,$B837,26),'Mortality Tables'!$A$72:$CA$97,IF($B837&lt;=Input!$C$7+1,Input!$C$4-16,$D837-Input!$C$7-16),0)/1000)</f>
        <v>0.72842999999999991</v>
      </c>
      <c r="N837" s="147">
        <f t="shared" ref="N837:N900" si="273">IF($E837="","",1-(1-M837)^(1/12))</f>
        <v>0.10293588783861807</v>
      </c>
      <c r="O837" s="157">
        <f>IF($E837="","",IF($C837=12,IF($B837&lt;Input!$C$9,Input!$C$54,IF($B837=Input!$C$9,Input!$C$55,Input!$C$56)),0%))</f>
        <v>0</v>
      </c>
      <c r="P837" s="167">
        <f>IF($E837="","",IF($B837=1,Input!$C$59,IF($B837&lt;6,Input!$C$60,0%)))</f>
        <v>0</v>
      </c>
      <c r="Q837" s="162">
        <f>IF($E837="","",Input!$C$58)</f>
        <v>2.5</v>
      </c>
      <c r="R837" s="156">
        <f t="shared" si="264"/>
        <v>0.89706411216138193</v>
      </c>
      <c r="S837" s="154">
        <f t="shared" ref="S837:S900" si="274">IF($E837="","",IF(AND($B837=1,$C837=1),1,S836*R837))</f>
        <v>1.2904691535587256E-10</v>
      </c>
      <c r="T837" s="152"/>
      <c r="U837" s="150">
        <f t="shared" si="265"/>
        <v>0</v>
      </c>
      <c r="V837" s="150">
        <f t="shared" si="266"/>
        <v>0</v>
      </c>
      <c r="W837" s="168">
        <f t="shared" si="267"/>
        <v>0</v>
      </c>
      <c r="X837" s="163">
        <f t="shared" ref="X837:X900" si="275">IF($E837="","",N837*$H837)</f>
        <v>10293.588783861807</v>
      </c>
      <c r="Y837" s="152"/>
      <c r="Z837" s="164">
        <f>IF(AND($C836=12,$D836=Input!$C$6),0,IF($E837="","",V837+Z838/(1+L837)*R837))</f>
        <v>44615.878499651299</v>
      </c>
      <c r="AA837" s="164">
        <f>IF(OR($M837=1,AND($C836=12,$D836=Input!$C$6)),0,IF($E837="","",W837+(X837+AA838*$R837)/(1+$L837)))</f>
        <v>91276.67664829742</v>
      </c>
      <c r="AB837" s="160">
        <f t="shared" ref="AB837:AB900" si="276">IF($E837="","",$AA$5/$Z$5)</f>
        <v>0.825720328500681</v>
      </c>
      <c r="AC837" s="164">
        <f t="shared" ref="AC837:AC900" si="277">IF($E837="","",V837*AB837)</f>
        <v>0</v>
      </c>
      <c r="AD837" s="164">
        <f>IF(AND($C836=12,$D836=Input!$C$6),0,IF($E837="","",$AC837+AD838/(1+$L837)*$R837))</f>
        <v>36840.237851078542</v>
      </c>
      <c r="AE837" s="152"/>
      <c r="AF837" s="164">
        <f>IF(AND($C836=12,$D836=Input!$C$6),0,IF($E837="","",IF($B837&gt;Input!$C$9,$AC837,0)+AF838/(1+$L837)*$R837))</f>
        <v>36840.237851078542</v>
      </c>
      <c r="AG837" s="164">
        <f>IF(AND($C836=12,$D836=Input!$C$6),0,IF($E837="","",(IF($B837&gt;Input!$C$9,$X837,0)+AG838)/(1+$L837)*$R837))</f>
        <v>80767.027217599869</v>
      </c>
      <c r="AH837" s="160">
        <f t="shared" ref="AH837:AH900" si="278">IF($E837="","",$AF$5/$AG$5)</f>
        <v>2.0950137211446997</v>
      </c>
      <c r="AI837" s="160">
        <f>IF($E837="","",MIN(Input!$C$61/AH837,1))</f>
        <v>0.64438718771845094</v>
      </c>
      <c r="AJ837" s="152"/>
      <c r="AK837" s="164">
        <f>IF(AND($C836=12,$D836=Input!$C$6),0,IF($E837="","",IF($B837&gt;Input!$C$9,$AC837*AI837,0)+AK838/(1+$L837)*$R837))</f>
        <v>23739.377263735325</v>
      </c>
      <c r="AL837" s="164">
        <f>IF(AND($C836=12,$D836=Input!$C$6),0,IF($E837="","",IF($B837&gt;Input!$C$9,0,$AC837)+AL838/(1+$L837)*$R837))</f>
        <v>0</v>
      </c>
      <c r="AM837" s="160">
        <f t="shared" ref="AM837:AM900" si="279">IF($E837="","",($AD$5-$AK$5)/$AL$5)</f>
        <v>1.1382936520186004</v>
      </c>
      <c r="AN837" s="164">
        <f>IF($E837="","",IF($B837&gt;Input!$C$9,$AI837*$AC837,$AM837*$AC837))</f>
        <v>0</v>
      </c>
      <c r="AO837" s="164">
        <f>IF(AND($C836=12,$D836=Input!$C$6),0,IF($E837="","",$AN837+AO838/(1+$L837)*$R837))</f>
        <v>23739.377263735325</v>
      </c>
      <c r="AP837" s="152"/>
      <c r="AQ837" s="164">
        <f t="shared" ref="AQ837:AQ900" si="280">IF($E837="","",$AA837-$AO837)</f>
        <v>67537.299384562095</v>
      </c>
      <c r="AR837" s="164">
        <f t="shared" si="268"/>
        <v>57662.234273927286</v>
      </c>
      <c r="AS837" s="164">
        <f t="shared" si="269"/>
        <v>34853.110047846887</v>
      </c>
      <c r="AT837" s="164">
        <f t="shared" ref="AT837:AT900" si="281">IF($E837="","",MAX($AR837,$AS837))</f>
        <v>57662.234273927286</v>
      </c>
      <c r="AU837" s="152"/>
      <c r="AV837" s="147">
        <f>'Deterministic Reserve'!BC837</f>
        <v>8.0107291507760822E-17</v>
      </c>
      <c r="AW837" s="164">
        <f t="shared" ref="AW837:AW900" si="282">IF($E837="","",$AT837)</f>
        <v>57662.234273927286</v>
      </c>
      <c r="AX837" s="164">
        <f t="shared" ref="AX837:AX900" si="283">IF($E837="","",AV837*AW837)</f>
        <v>4.6191654099702904E-12</v>
      </c>
      <c r="AY837" s="152"/>
    </row>
    <row r="838" spans="1:51" s="150" customFormat="1" x14ac:dyDescent="0.25">
      <c r="A838" s="150">
        <f t="shared" si="270"/>
        <v>834</v>
      </c>
      <c r="B838" s="150">
        <f t="shared" si="271"/>
        <v>70</v>
      </c>
      <c r="C838" s="150">
        <f t="shared" si="272"/>
        <v>6</v>
      </c>
      <c r="D838" s="150">
        <f>IF(E838="","",Input!$C$4+B838-1)</f>
        <v>114</v>
      </c>
      <c r="E838" s="150">
        <f>IF(OR(AND(C837=12,D837=Input!$C$6),E837=""),"",1)</f>
        <v>1</v>
      </c>
      <c r="F838" s="150">
        <f>IF(E838="","",Input!$C$8+B838-1)</f>
        <v>2087</v>
      </c>
      <c r="G838" s="151">
        <f>IF(E838="","",MAX(0,Input!$C$9-B838))</f>
        <v>0</v>
      </c>
      <c r="H838" s="152">
        <f>IF(E838="","",Input!$C$3)</f>
        <v>100000</v>
      </c>
      <c r="I838" s="153">
        <f>IF(E838="","",HLOOKUP($B838,Input!$C$13:$BT$14,2))</f>
        <v>1000</v>
      </c>
      <c r="J838" s="154"/>
      <c r="K838" s="155">
        <f>IF($E838="","",Input!$C$57)</f>
        <v>4.4999999999999998E-2</v>
      </c>
      <c r="L838" s="155">
        <f t="shared" ref="L838:L901" si="284">IF($E838="","",(1+K838)^(1/12)-1)</f>
        <v>3.6748094004368514E-3</v>
      </c>
      <c r="M838" s="147">
        <f>IF($E838="","",VLOOKUP(IF($B838&lt;=Input!$C$7,$B838,26),'Mortality Tables'!$A$72:$CA$97,IF($B838&lt;=Input!$C$7+1,Input!$C$4-16,$D838-Input!$C$7-16),0)/1000)</f>
        <v>0.72842999999999991</v>
      </c>
      <c r="N838" s="147">
        <f t="shared" si="273"/>
        <v>0.10293588783861807</v>
      </c>
      <c r="O838" s="157">
        <f>IF($E838="","",IF($C838=12,IF($B838&lt;Input!$C$9,Input!$C$54,IF($B838=Input!$C$9,Input!$C$55,Input!$C$56)),0%))</f>
        <v>0</v>
      </c>
      <c r="P838" s="167">
        <f>IF($E838="","",IF($B838=1,Input!$C$59,IF($B838&lt;6,Input!$C$60,0%)))</f>
        <v>0</v>
      </c>
      <c r="Q838" s="162">
        <f>IF($E838="","",Input!$C$58)</f>
        <v>2.5</v>
      </c>
      <c r="R838" s="156">
        <f t="shared" ref="R838:R901" si="285">IF($E838="","",MAX(1-N838-O838,0))</f>
        <v>0.89706411216138193</v>
      </c>
      <c r="S838" s="154">
        <f t="shared" si="274"/>
        <v>1.1576335655088081E-10</v>
      </c>
      <c r="T838" s="152"/>
      <c r="U838" s="150">
        <f t="shared" ref="U838:U901" si="286">IF($E838="","",IF($C838=1,$I838*$H838/1000,0))</f>
        <v>0</v>
      </c>
      <c r="V838" s="150">
        <f t="shared" ref="V838:V901" si="287">IF($E838="","",U838*(1-$P838))</f>
        <v>0</v>
      </c>
      <c r="W838" s="168">
        <f t="shared" ref="W838:W901" si="288">IF($E838="","",IF(AND($B838=1,$C838=1),$Q838*$H838/1000,0))</f>
        <v>0</v>
      </c>
      <c r="X838" s="163">
        <f t="shared" si="275"/>
        <v>10293.588783861807</v>
      </c>
      <c r="Y838" s="152"/>
      <c r="Z838" s="164">
        <f>IF(AND($C837=12,$D837=Input!$C$6),0,IF($E838="","",V838+Z839/(1+L838)*R838))</f>
        <v>49918.208456113854</v>
      </c>
      <c r="AA838" s="164">
        <f>IF(OR($M838=1,AND($C837=12,$D837=Input!$C$6)),0,IF($E838="","",W838+(X838+AA839*$R838)/(1+$L838)))</f>
        <v>90649.610380572441</v>
      </c>
      <c r="AB838" s="160">
        <f t="shared" si="276"/>
        <v>0.825720328500681</v>
      </c>
      <c r="AC838" s="164">
        <f t="shared" si="277"/>
        <v>0</v>
      </c>
      <c r="AD838" s="164">
        <f>IF(AND($C837=12,$D837=Input!$C$6),0,IF($E838="","",$AC838+AD839/(1+$L838)*$R838))</f>
        <v>41218.479484547803</v>
      </c>
      <c r="AE838" s="152"/>
      <c r="AF838" s="164">
        <f>IF(AND($C837=12,$D837=Input!$C$6),0,IF($E838="","",IF($B838&gt;Input!$C$9,$AC838,0)+AF839/(1+$L838)*$R838))</f>
        <v>41218.479484547803</v>
      </c>
      <c r="AG838" s="164">
        <f>IF(AND($C837=12,$D837=Input!$C$6),0,IF($E838="","",(IF($B838&gt;Input!$C$9,$X838,0)+AG839)/(1+$L838)*$R838))</f>
        <v>80072.115907132509</v>
      </c>
      <c r="AH838" s="160">
        <f t="shared" si="278"/>
        <v>2.0950137211446997</v>
      </c>
      <c r="AI838" s="160">
        <f>IF($E838="","",MIN(Input!$C$61/AH838,1))</f>
        <v>0.64438718771845094</v>
      </c>
      <c r="AJ838" s="152"/>
      <c r="AK838" s="164">
        <f>IF(AND($C837=12,$D837=Input!$C$6),0,IF($E838="","",IF($B838&gt;Input!$C$9,$AC838*AI838,0)+AK839/(1+$L838)*$R838))</f>
        <v>26560.660077078424</v>
      </c>
      <c r="AL838" s="164">
        <f>IF(AND($C837=12,$D837=Input!$C$6),0,IF($E838="","",IF($B838&gt;Input!$C$9,0,$AC838)+AL839/(1+$L838)*$R838))</f>
        <v>0</v>
      </c>
      <c r="AM838" s="160">
        <f t="shared" si="279"/>
        <v>1.1382936520186004</v>
      </c>
      <c r="AN838" s="164">
        <f>IF($E838="","",IF($B838&gt;Input!$C$9,$AI838*$AC838,$AM838*$AC838))</f>
        <v>0</v>
      </c>
      <c r="AO838" s="164">
        <f>IF(AND($C837=12,$D837=Input!$C$6),0,IF($E838="","",$AN838+AO839/(1+$L838)*$R838))</f>
        <v>26560.660077078424</v>
      </c>
      <c r="AP838" s="152"/>
      <c r="AQ838" s="164">
        <f t="shared" si="280"/>
        <v>64088.950303494013</v>
      </c>
      <c r="AR838" s="164">
        <f t="shared" ref="AR838:AR901" si="289">IF($E838="","",IF($M838=1,0,0.5*(IF($B838=1,0,SUMIFS($AQ:$AQ,$B:$B,$B838-1,$C:$C,12))+SUMIFS($AN:$AN,$B:$B,$B838,$C:$C,1)+SUMIFS($AQ:$AQ,$B:$B,$B838,$C:$C,12))))</f>
        <v>57662.234273927286</v>
      </c>
      <c r="AS838" s="164">
        <f t="shared" ref="AS838:AS901" si="290">IF($E838="","",IF($M838=1,0,0.5*$M838*$H838/(1+$K838)))</f>
        <v>34853.110047846887</v>
      </c>
      <c r="AT838" s="164">
        <f t="shared" si="281"/>
        <v>57662.234273927286</v>
      </c>
      <c r="AU838" s="152"/>
      <c r="AV838" s="147">
        <f>'Deterministic Reserve'!BC838</f>
        <v>7.2305145568646288E-17</v>
      </c>
      <c r="AW838" s="164">
        <f t="shared" si="282"/>
        <v>57662.234273927286</v>
      </c>
      <c r="AX838" s="164">
        <f t="shared" si="283"/>
        <v>4.1692762429896977E-12</v>
      </c>
      <c r="AY838" s="152"/>
    </row>
    <row r="839" spans="1:51" s="150" customFormat="1" x14ac:dyDescent="0.25">
      <c r="A839" s="150">
        <f t="shared" ref="A839:A902" si="291">IF(E839="","",A838+1)</f>
        <v>835</v>
      </c>
      <c r="B839" s="150">
        <f t="shared" ref="B839:B902" si="292">IF(E839="","",IF(C838+1&gt;12,B838+1,B838))</f>
        <v>70</v>
      </c>
      <c r="C839" s="150">
        <f t="shared" ref="C839:C902" si="293">IF(E839="","",IF(C838+1&gt;12,1,C838+1))</f>
        <v>7</v>
      </c>
      <c r="D839" s="150">
        <f>IF(E839="","",Input!$C$4+B839-1)</f>
        <v>114</v>
      </c>
      <c r="E839" s="150">
        <f>IF(OR(AND(C838=12,D838=Input!$C$6),E838=""),"",1)</f>
        <v>1</v>
      </c>
      <c r="F839" s="150">
        <f>IF(E839="","",Input!$C$8+B839-1)</f>
        <v>2087</v>
      </c>
      <c r="G839" s="151">
        <f>IF(E839="","",MAX(0,Input!$C$9-B839))</f>
        <v>0</v>
      </c>
      <c r="H839" s="152">
        <f>IF(E839="","",Input!$C$3)</f>
        <v>100000</v>
      </c>
      <c r="I839" s="153">
        <f>IF(E839="","",HLOOKUP($B839,Input!$C$13:$BT$14,2))</f>
        <v>1000</v>
      </c>
      <c r="J839" s="154"/>
      <c r="K839" s="155">
        <f>IF($E839="","",Input!$C$57)</f>
        <v>4.4999999999999998E-2</v>
      </c>
      <c r="L839" s="155">
        <f t="shared" si="284"/>
        <v>3.6748094004368514E-3</v>
      </c>
      <c r="M839" s="147">
        <f>IF($E839="","",VLOOKUP(IF($B839&lt;=Input!$C$7,$B839,26),'Mortality Tables'!$A$72:$CA$97,IF($B839&lt;=Input!$C$7+1,Input!$C$4-16,$D839-Input!$C$7-16),0)/1000)</f>
        <v>0.72842999999999991</v>
      </c>
      <c r="N839" s="147">
        <f t="shared" si="273"/>
        <v>0.10293588783861807</v>
      </c>
      <c r="O839" s="157">
        <f>IF($E839="","",IF($C839=12,IF($B839&lt;Input!$C$9,Input!$C$54,IF($B839=Input!$C$9,Input!$C$55,Input!$C$56)),0%))</f>
        <v>0</v>
      </c>
      <c r="P839" s="167">
        <f>IF($E839="","",IF($B839=1,Input!$C$59,IF($B839&lt;6,Input!$C$60,0%)))</f>
        <v>0</v>
      </c>
      <c r="Q839" s="162">
        <f>IF($E839="","",Input!$C$58)</f>
        <v>2.5</v>
      </c>
      <c r="R839" s="156">
        <f t="shared" si="285"/>
        <v>0.89706411216138193</v>
      </c>
      <c r="S839" s="154">
        <f t="shared" si="274"/>
        <v>1.038471526651374E-10</v>
      </c>
      <c r="T839" s="152"/>
      <c r="U839" s="150">
        <f t="shared" si="286"/>
        <v>0</v>
      </c>
      <c r="V839" s="150">
        <f t="shared" si="287"/>
        <v>0</v>
      </c>
      <c r="W839" s="168">
        <f t="shared" si="288"/>
        <v>0</v>
      </c>
      <c r="X839" s="163">
        <f t="shared" si="275"/>
        <v>10293.588783861807</v>
      </c>
      <c r="Y839" s="152"/>
      <c r="Z839" s="164">
        <f>IF(AND($C838=12,$D838=Input!$C$6),0,IF($E839="","",V839+Z840/(1+L839)*R839))</f>
        <v>55850.688572399442</v>
      </c>
      <c r="AA839" s="164">
        <f>IF(OR($M839=1,AND($C838=12,$D838=Input!$C$6)),0,IF($E839="","",W839+(X839+AA840*$R839)/(1+$L839)))</f>
        <v>89948.021042410299</v>
      </c>
      <c r="AB839" s="160">
        <f t="shared" si="276"/>
        <v>0.825720328500681</v>
      </c>
      <c r="AC839" s="164">
        <f t="shared" si="277"/>
        <v>0</v>
      </c>
      <c r="AD839" s="164">
        <f>IF(AND($C838=12,$D838=Input!$C$6),0,IF($E839="","",$AC839+AD840/(1+$L839)*$R839))</f>
        <v>46117.048914990897</v>
      </c>
      <c r="AE839" s="152"/>
      <c r="AF839" s="164">
        <f>IF(AND($C838=12,$D838=Input!$C$6),0,IF($E839="","",IF($B839&gt;Input!$C$9,$AC839,0)+AF840/(1+$L839)*$R839))</f>
        <v>46117.048914990897</v>
      </c>
      <c r="AG839" s="164">
        <f>IF(AND($C838=12,$D838=Input!$C$6),0,IF($E839="","",(IF($B839&gt;Input!$C$9,$X839,0)+AG840)/(1+$L839)*$R839))</f>
        <v>79294.618549220089</v>
      </c>
      <c r="AH839" s="160">
        <f t="shared" si="278"/>
        <v>2.0950137211446997</v>
      </c>
      <c r="AI839" s="160">
        <f>IF($E839="","",MIN(Input!$C$61/AH839,1))</f>
        <v>0.64438718771845094</v>
      </c>
      <c r="AJ839" s="152"/>
      <c r="AK839" s="164">
        <f>IF(AND($C838=12,$D838=Input!$C$6),0,IF($E839="","",IF($B839&gt;Input!$C$9,$AC839*AI839,0)+AK840/(1+$L839)*$R839))</f>
        <v>29717.235456205224</v>
      </c>
      <c r="AL839" s="164">
        <f>IF(AND($C838=12,$D838=Input!$C$6),0,IF($E839="","",IF($B839&gt;Input!$C$9,0,$AC839)+AL840/(1+$L839)*$R839))</f>
        <v>0</v>
      </c>
      <c r="AM839" s="160">
        <f t="shared" si="279"/>
        <v>1.1382936520186004</v>
      </c>
      <c r="AN839" s="164">
        <f>IF($E839="","",IF($B839&gt;Input!$C$9,$AI839*$AC839,$AM839*$AC839))</f>
        <v>0</v>
      </c>
      <c r="AO839" s="164">
        <f>IF(AND($C838=12,$D838=Input!$C$6),0,IF($E839="","",$AN839+AO840/(1+$L839)*$R839))</f>
        <v>29717.235456205224</v>
      </c>
      <c r="AP839" s="152"/>
      <c r="AQ839" s="164">
        <f t="shared" si="280"/>
        <v>60230.785586205078</v>
      </c>
      <c r="AR839" s="164">
        <f t="shared" si="289"/>
        <v>57662.234273927286</v>
      </c>
      <c r="AS839" s="164">
        <f t="shared" si="290"/>
        <v>34853.110047846887</v>
      </c>
      <c r="AT839" s="164">
        <f t="shared" si="281"/>
        <v>57662.234273927286</v>
      </c>
      <c r="AU839" s="152"/>
      <c r="AV839" s="147">
        <f>'Deterministic Reserve'!BC839</f>
        <v>6.5262899010842684E-17</v>
      </c>
      <c r="AW839" s="164">
        <f t="shared" si="282"/>
        <v>57662.234273927286</v>
      </c>
      <c r="AX839" s="164">
        <f t="shared" si="283"/>
        <v>3.7632045721588682E-12</v>
      </c>
      <c r="AY839" s="152"/>
    </row>
    <row r="840" spans="1:51" s="150" customFormat="1" x14ac:dyDescent="0.25">
      <c r="A840" s="150">
        <f t="shared" si="291"/>
        <v>836</v>
      </c>
      <c r="B840" s="150">
        <f t="shared" si="292"/>
        <v>70</v>
      </c>
      <c r="C840" s="150">
        <f t="shared" si="293"/>
        <v>8</v>
      </c>
      <c r="D840" s="150">
        <f>IF(E840="","",Input!$C$4+B840-1)</f>
        <v>114</v>
      </c>
      <c r="E840" s="150">
        <f>IF(OR(AND(C839=12,D839=Input!$C$6),E839=""),"",1)</f>
        <v>1</v>
      </c>
      <c r="F840" s="150">
        <f>IF(E840="","",Input!$C$8+B840-1)</f>
        <v>2087</v>
      </c>
      <c r="G840" s="151">
        <f>IF(E840="","",MAX(0,Input!$C$9-B840))</f>
        <v>0</v>
      </c>
      <c r="H840" s="152">
        <f>IF(E840="","",Input!$C$3)</f>
        <v>100000</v>
      </c>
      <c r="I840" s="153">
        <f>IF(E840="","",HLOOKUP($B840,Input!$C$13:$BT$14,2))</f>
        <v>1000</v>
      </c>
      <c r="J840" s="154"/>
      <c r="K840" s="155">
        <f>IF($E840="","",Input!$C$57)</f>
        <v>4.4999999999999998E-2</v>
      </c>
      <c r="L840" s="155">
        <f t="shared" si="284"/>
        <v>3.6748094004368514E-3</v>
      </c>
      <c r="M840" s="147">
        <f>IF($E840="","",VLOOKUP(IF($B840&lt;=Input!$C$7,$B840,26),'Mortality Tables'!$A$72:$CA$97,IF($B840&lt;=Input!$C$7+1,Input!$C$4-16,$D840-Input!$C$7-16),0)/1000)</f>
        <v>0.72842999999999991</v>
      </c>
      <c r="N840" s="147">
        <f t="shared" si="273"/>
        <v>0.10293588783861807</v>
      </c>
      <c r="O840" s="157">
        <f>IF($E840="","",IF($C840=12,IF($B840&lt;Input!$C$9,Input!$C$54,IF($B840=Input!$C$9,Input!$C$55,Input!$C$56)),0%))</f>
        <v>0</v>
      </c>
      <c r="P840" s="167">
        <f>IF($E840="","",IF($B840=1,Input!$C$59,IF($B840&lt;6,Input!$C$60,0%)))</f>
        <v>0</v>
      </c>
      <c r="Q840" s="162">
        <f>IF($E840="","",Input!$C$58)</f>
        <v>2.5</v>
      </c>
      <c r="R840" s="156">
        <f t="shared" si="285"/>
        <v>0.89706411216138193</v>
      </c>
      <c r="S840" s="154">
        <f t="shared" si="274"/>
        <v>9.3157553806038969E-11</v>
      </c>
      <c r="T840" s="152"/>
      <c r="U840" s="150">
        <f t="shared" si="286"/>
        <v>0</v>
      </c>
      <c r="V840" s="150">
        <f t="shared" si="287"/>
        <v>0</v>
      </c>
      <c r="W840" s="168">
        <f t="shared" si="288"/>
        <v>0</v>
      </c>
      <c r="X840" s="163">
        <f t="shared" si="275"/>
        <v>10293.588783861807</v>
      </c>
      <c r="Y840" s="152"/>
      <c r="Z840" s="164">
        <f>IF(AND($C839=12,$D839=Input!$C$6),0,IF($E840="","",V840+Z841/(1+L840)*R840))</f>
        <v>62488.208421051735</v>
      </c>
      <c r="AA840" s="164">
        <f>IF(OR($M840=1,AND($C839=12,$D839=Input!$C$6)),0,IF($E840="","",W840+(X840+AA841*$R840)/(1+$L840)))</f>
        <v>89163.052013206077</v>
      </c>
      <c r="AB840" s="160">
        <f t="shared" si="276"/>
        <v>0.825720328500681</v>
      </c>
      <c r="AC840" s="164">
        <f t="shared" si="277"/>
        <v>0</v>
      </c>
      <c r="AD840" s="164">
        <f>IF(AND($C839=12,$D839=Input!$C$6),0,IF($E840="","",$AC840+AD841/(1+$L840)*$R840))</f>
        <v>51597.783984849862</v>
      </c>
      <c r="AE840" s="152"/>
      <c r="AF840" s="164">
        <f>IF(AND($C839=12,$D839=Input!$C$6),0,IF($E840="","",IF($B840&gt;Input!$C$9,$AC840,0)+AF841/(1+$L840)*$R840))</f>
        <v>51597.783984849862</v>
      </c>
      <c r="AG840" s="164">
        <f>IF(AND($C839=12,$D839=Input!$C$6),0,IF($E840="","",(IF($B840&gt;Input!$C$9,$X840,0)+AG841)/(1+$L840)*$R840))</f>
        <v>78424.720286729222</v>
      </c>
      <c r="AH840" s="160">
        <f t="shared" si="278"/>
        <v>2.0950137211446997</v>
      </c>
      <c r="AI840" s="160">
        <f>IF($E840="","",MIN(Input!$C$61/AH840,1))</f>
        <v>0.64438718771845094</v>
      </c>
      <c r="AJ840" s="152"/>
      <c r="AK840" s="164">
        <f>IF(AND($C839=12,$D839=Input!$C$6),0,IF($E840="","",IF($B840&gt;Input!$C$9,$AC840*AI840,0)+AK841/(1+$L840)*$R840))</f>
        <v>33248.950914501533</v>
      </c>
      <c r="AL840" s="164">
        <f>IF(AND($C839=12,$D839=Input!$C$6),0,IF($E840="","",IF($B840&gt;Input!$C$9,0,$AC840)+AL841/(1+$L840)*$R840))</f>
        <v>0</v>
      </c>
      <c r="AM840" s="160">
        <f t="shared" si="279"/>
        <v>1.1382936520186004</v>
      </c>
      <c r="AN840" s="164">
        <f>IF($E840="","",IF($B840&gt;Input!$C$9,$AI840*$AC840,$AM840*$AC840))</f>
        <v>0</v>
      </c>
      <c r="AO840" s="164">
        <f>IF(AND($C839=12,$D839=Input!$C$6),0,IF($E840="","",$AN840+AO841/(1+$L840)*$R840))</f>
        <v>33248.950914501533</v>
      </c>
      <c r="AP840" s="152"/>
      <c r="AQ840" s="164">
        <f t="shared" si="280"/>
        <v>55914.101098704545</v>
      </c>
      <c r="AR840" s="164">
        <f t="shared" si="289"/>
        <v>57662.234273927286</v>
      </c>
      <c r="AS840" s="164">
        <f t="shared" si="290"/>
        <v>34853.110047846887</v>
      </c>
      <c r="AT840" s="164">
        <f t="shared" si="281"/>
        <v>57662.234273927286</v>
      </c>
      <c r="AU840" s="152"/>
      <c r="AV840" s="147">
        <f>'Deterministic Reserve'!BC840</f>
        <v>5.8906540520767438E-17</v>
      </c>
      <c r="AW840" s="164">
        <f t="shared" si="282"/>
        <v>57662.234273927286</v>
      </c>
      <c r="AX840" s="164">
        <f t="shared" si="283"/>
        <v>3.3966827397750827E-12</v>
      </c>
      <c r="AY840" s="152"/>
    </row>
    <row r="841" spans="1:51" s="150" customFormat="1" x14ac:dyDescent="0.25">
      <c r="A841" s="150">
        <f t="shared" si="291"/>
        <v>837</v>
      </c>
      <c r="B841" s="150">
        <f t="shared" si="292"/>
        <v>70</v>
      </c>
      <c r="C841" s="150">
        <f t="shared" si="293"/>
        <v>9</v>
      </c>
      <c r="D841" s="150">
        <f>IF(E841="","",Input!$C$4+B841-1)</f>
        <v>114</v>
      </c>
      <c r="E841" s="150">
        <f>IF(OR(AND(C840=12,D840=Input!$C$6),E840=""),"",1)</f>
        <v>1</v>
      </c>
      <c r="F841" s="150">
        <f>IF(E841="","",Input!$C$8+B841-1)</f>
        <v>2087</v>
      </c>
      <c r="G841" s="151">
        <f>IF(E841="","",MAX(0,Input!$C$9-B841))</f>
        <v>0</v>
      </c>
      <c r="H841" s="152">
        <f>IF(E841="","",Input!$C$3)</f>
        <v>100000</v>
      </c>
      <c r="I841" s="153">
        <f>IF(E841="","",HLOOKUP($B841,Input!$C$13:$BT$14,2))</f>
        <v>1000</v>
      </c>
      <c r="J841" s="154"/>
      <c r="K841" s="155">
        <f>IF($E841="","",Input!$C$57)</f>
        <v>4.4999999999999998E-2</v>
      </c>
      <c r="L841" s="155">
        <f t="shared" si="284"/>
        <v>3.6748094004368514E-3</v>
      </c>
      <c r="M841" s="147">
        <f>IF($E841="","",VLOOKUP(IF($B841&lt;=Input!$C$7,$B841,26),'Mortality Tables'!$A$72:$CA$97,IF($B841&lt;=Input!$C$7+1,Input!$C$4-16,$D841-Input!$C$7-16),0)/1000)</f>
        <v>0.72842999999999991</v>
      </c>
      <c r="N841" s="147">
        <f t="shared" si="273"/>
        <v>0.10293588783861807</v>
      </c>
      <c r="O841" s="157">
        <f>IF($E841="","",IF($C841=12,IF($B841&lt;Input!$C$9,Input!$C$54,IF($B841=Input!$C$9,Input!$C$55,Input!$C$56)),0%))</f>
        <v>0</v>
      </c>
      <c r="P841" s="167">
        <f>IF($E841="","",IF($B841=1,Input!$C$59,IF($B841&lt;6,Input!$C$60,0%)))</f>
        <v>0</v>
      </c>
      <c r="Q841" s="162">
        <f>IF($E841="","",Input!$C$58)</f>
        <v>2.5</v>
      </c>
      <c r="R841" s="156">
        <f t="shared" si="285"/>
        <v>0.89706411216138193</v>
      </c>
      <c r="S841" s="154">
        <f t="shared" si="274"/>
        <v>8.356829829614051E-11</v>
      </c>
      <c r="T841" s="152"/>
      <c r="U841" s="150">
        <f t="shared" si="286"/>
        <v>0</v>
      </c>
      <c r="V841" s="150">
        <f t="shared" si="287"/>
        <v>0</v>
      </c>
      <c r="W841" s="168">
        <f t="shared" si="288"/>
        <v>0</v>
      </c>
      <c r="X841" s="163">
        <f t="shared" si="275"/>
        <v>10293.588783861807</v>
      </c>
      <c r="Y841" s="152"/>
      <c r="Z841" s="164">
        <f>IF(AND($C840=12,$D840=Input!$C$6),0,IF($E841="","",V841+Z842/(1+L841)*R841))</f>
        <v>69914.557751799715</v>
      </c>
      <c r="AA841" s="164">
        <f>IF(OR($M841=1,AND($C840=12,$D840=Input!$C$6)),0,IF($E841="","",W841+(X841+AA842*$R841)/(1+$L841)))</f>
        <v>88284.794116038014</v>
      </c>
      <c r="AB841" s="160">
        <f t="shared" si="276"/>
        <v>0.825720328500681</v>
      </c>
      <c r="AC841" s="164">
        <f t="shared" si="277"/>
        <v>0</v>
      </c>
      <c r="AD841" s="164">
        <f>IF(AND($C840=12,$D840=Input!$C$6),0,IF($E841="","",$AC841+AD842/(1+$L841)*$R841))</f>
        <v>57729.871593795899</v>
      </c>
      <c r="AE841" s="152"/>
      <c r="AF841" s="164">
        <f>IF(AND($C840=12,$D840=Input!$C$6),0,IF($E841="","",IF($B841&gt;Input!$C$9,$AC841,0)+AF842/(1+$L841)*$R841))</f>
        <v>57729.871593795899</v>
      </c>
      <c r="AG841" s="164">
        <f>IF(AND($C840=12,$D840=Input!$C$6),0,IF($E841="","",(IF($B841&gt;Input!$C$9,$X841,0)+AG842)/(1+$L841)*$R841))</f>
        <v>77451.439825537149</v>
      </c>
      <c r="AH841" s="160">
        <f t="shared" si="278"/>
        <v>2.0950137211446997</v>
      </c>
      <c r="AI841" s="160">
        <f>IF($E841="","",MIN(Input!$C$61/AH841,1))</f>
        <v>0.64438718771845094</v>
      </c>
      <c r="AJ841" s="152"/>
      <c r="AK841" s="164">
        <f>IF(AND($C840=12,$D840=Input!$C$6),0,IF($E841="","",IF($B841&gt;Input!$C$9,$AC841*AI841,0)+AK842/(1+$L841)*$R841))</f>
        <v>37200.38960367343</v>
      </c>
      <c r="AL841" s="164">
        <f>IF(AND($C840=12,$D840=Input!$C$6),0,IF($E841="","",IF($B841&gt;Input!$C$9,0,$AC841)+AL842/(1+$L841)*$R841))</f>
        <v>0</v>
      </c>
      <c r="AM841" s="160">
        <f t="shared" si="279"/>
        <v>1.1382936520186004</v>
      </c>
      <c r="AN841" s="164">
        <f>IF($E841="","",IF($B841&gt;Input!$C$9,$AI841*$AC841,$AM841*$AC841))</f>
        <v>0</v>
      </c>
      <c r="AO841" s="164">
        <f>IF(AND($C840=12,$D840=Input!$C$6),0,IF($E841="","",$AN841+AO842/(1+$L841)*$R841))</f>
        <v>37200.38960367343</v>
      </c>
      <c r="AP841" s="152"/>
      <c r="AQ841" s="164">
        <f t="shared" si="280"/>
        <v>51084.404512364585</v>
      </c>
      <c r="AR841" s="164">
        <f t="shared" si="289"/>
        <v>57662.234273927286</v>
      </c>
      <c r="AS841" s="164">
        <f t="shared" si="290"/>
        <v>34853.110047846887</v>
      </c>
      <c r="AT841" s="164">
        <f t="shared" si="281"/>
        <v>57662.234273927286</v>
      </c>
      <c r="AU841" s="152"/>
      <c r="AV841" s="147">
        <f>'Deterministic Reserve'!BC841</f>
        <v>5.3169267205680192E-17</v>
      </c>
      <c r="AW841" s="164">
        <f t="shared" si="282"/>
        <v>57662.234273927286</v>
      </c>
      <c r="AX841" s="164">
        <f t="shared" si="283"/>
        <v>3.0658587417869707E-12</v>
      </c>
      <c r="AY841" s="152"/>
    </row>
    <row r="842" spans="1:51" s="150" customFormat="1" x14ac:dyDescent="0.25">
      <c r="A842" s="150">
        <f t="shared" si="291"/>
        <v>838</v>
      </c>
      <c r="B842" s="150">
        <f t="shared" si="292"/>
        <v>70</v>
      </c>
      <c r="C842" s="150">
        <f t="shared" si="293"/>
        <v>10</v>
      </c>
      <c r="D842" s="150">
        <f>IF(E842="","",Input!$C$4+B842-1)</f>
        <v>114</v>
      </c>
      <c r="E842" s="150">
        <f>IF(OR(AND(C841=12,D841=Input!$C$6),E841=""),"",1)</f>
        <v>1</v>
      </c>
      <c r="F842" s="150">
        <f>IF(E842="","",Input!$C$8+B842-1)</f>
        <v>2087</v>
      </c>
      <c r="G842" s="151">
        <f>IF(E842="","",MAX(0,Input!$C$9-B842))</f>
        <v>0</v>
      </c>
      <c r="H842" s="152">
        <f>IF(E842="","",Input!$C$3)</f>
        <v>100000</v>
      </c>
      <c r="I842" s="153">
        <f>IF(E842="","",HLOOKUP($B842,Input!$C$13:$BT$14,2))</f>
        <v>1000</v>
      </c>
      <c r="J842" s="154"/>
      <c r="K842" s="155">
        <f>IF($E842="","",Input!$C$57)</f>
        <v>4.4999999999999998E-2</v>
      </c>
      <c r="L842" s="155">
        <f t="shared" si="284"/>
        <v>3.6748094004368514E-3</v>
      </c>
      <c r="M842" s="147">
        <f>IF($E842="","",VLOOKUP(IF($B842&lt;=Input!$C$7,$B842,26),'Mortality Tables'!$A$72:$CA$97,IF($B842&lt;=Input!$C$7+1,Input!$C$4-16,$D842-Input!$C$7-16),0)/1000)</f>
        <v>0.72842999999999991</v>
      </c>
      <c r="N842" s="147">
        <f t="shared" si="273"/>
        <v>0.10293588783861807</v>
      </c>
      <c r="O842" s="157">
        <f>IF($E842="","",IF($C842=12,IF($B842&lt;Input!$C$9,Input!$C$54,IF($B842=Input!$C$9,Input!$C$55,Input!$C$56)),0%))</f>
        <v>0</v>
      </c>
      <c r="P842" s="167">
        <f>IF($E842="","",IF($B842=1,Input!$C$59,IF($B842&lt;6,Input!$C$60,0%)))</f>
        <v>0</v>
      </c>
      <c r="Q842" s="162">
        <f>IF($E842="","",Input!$C$58)</f>
        <v>2.5</v>
      </c>
      <c r="R842" s="156">
        <f t="shared" si="285"/>
        <v>0.89706411216138193</v>
      </c>
      <c r="S842" s="154">
        <f t="shared" si="274"/>
        <v>7.4966121315864814E-11</v>
      </c>
      <c r="T842" s="152"/>
      <c r="U842" s="150">
        <f t="shared" si="286"/>
        <v>0</v>
      </c>
      <c r="V842" s="150">
        <f t="shared" si="287"/>
        <v>0</v>
      </c>
      <c r="W842" s="168">
        <f t="shared" si="288"/>
        <v>0</v>
      </c>
      <c r="X842" s="163">
        <f t="shared" si="275"/>
        <v>10293.588783861807</v>
      </c>
      <c r="Y842" s="152"/>
      <c r="Z842" s="164">
        <f>IF(AND($C841=12,$D841=Input!$C$6),0,IF($E842="","",V842+Z843/(1+L842)*R842))</f>
        <v>78223.48422431323</v>
      </c>
      <c r="AA842" s="164">
        <f>IF(OR($M842=1,AND($C841=12,$D841=Input!$C$6)),0,IF($E842="","",W842+(X842+AA843*$R842)/(1+$L842)))</f>
        <v>87302.160527652974</v>
      </c>
      <c r="AB842" s="160">
        <f t="shared" si="276"/>
        <v>0.825720328500681</v>
      </c>
      <c r="AC842" s="164">
        <f t="shared" si="277"/>
        <v>0</v>
      </c>
      <c r="AD842" s="164">
        <f>IF(AND($C841=12,$D841=Input!$C$6),0,IF($E842="","",$AC842+AD843/(1+$L842)*$R842))</f>
        <v>64590.721090167761</v>
      </c>
      <c r="AE842" s="152"/>
      <c r="AF842" s="164">
        <f>IF(AND($C841=12,$D841=Input!$C$6),0,IF($E842="","",IF($B842&gt;Input!$C$9,$AC842,0)+AF843/(1+$L842)*$R842))</f>
        <v>64590.721090167761</v>
      </c>
      <c r="AG842" s="164">
        <f>IF(AND($C841=12,$D841=Input!$C$6),0,IF($E842="","",(IF($B842&gt;Input!$C$9,$X842,0)+AG843)/(1+$L842)*$R842))</f>
        <v>76362.490810481249</v>
      </c>
      <c r="AH842" s="160">
        <f t="shared" si="278"/>
        <v>2.0950137211446997</v>
      </c>
      <c r="AI842" s="160">
        <f>IF($E842="","",MIN(Input!$C$61/AH842,1))</f>
        <v>0.64438718771845094</v>
      </c>
      <c r="AJ842" s="152"/>
      <c r="AK842" s="164">
        <f>IF(AND($C841=12,$D841=Input!$C$6),0,IF($E842="","",IF($B842&gt;Input!$C$9,$AC842*AI842,0)+AK843/(1+$L842)*$R842))</f>
        <v>41621.433116000044</v>
      </c>
      <c r="AL842" s="164">
        <f>IF(AND($C841=12,$D841=Input!$C$6),0,IF($E842="","",IF($B842&gt;Input!$C$9,0,$AC842)+AL843/(1+$L842)*$R842))</f>
        <v>0</v>
      </c>
      <c r="AM842" s="160">
        <f t="shared" si="279"/>
        <v>1.1382936520186004</v>
      </c>
      <c r="AN842" s="164">
        <f>IF($E842="","",IF($B842&gt;Input!$C$9,$AI842*$AC842,$AM842*$AC842))</f>
        <v>0</v>
      </c>
      <c r="AO842" s="164">
        <f>IF(AND($C841=12,$D841=Input!$C$6),0,IF($E842="","",$AN842+AO843/(1+$L842)*$R842))</f>
        <v>41621.433116000044</v>
      </c>
      <c r="AP842" s="152"/>
      <c r="AQ842" s="164">
        <f t="shared" si="280"/>
        <v>45680.72741165293</v>
      </c>
      <c r="AR842" s="164">
        <f t="shared" si="289"/>
        <v>57662.234273927286</v>
      </c>
      <c r="AS842" s="164">
        <f t="shared" si="290"/>
        <v>34853.110047846887</v>
      </c>
      <c r="AT842" s="164">
        <f t="shared" si="281"/>
        <v>57662.234273927286</v>
      </c>
      <c r="AU842" s="152"/>
      <c r="AV842" s="147">
        <f>'Deterministic Reserve'!BC842</f>
        <v>4.7990782520870892E-17</v>
      </c>
      <c r="AW842" s="164">
        <f t="shared" si="282"/>
        <v>57662.234273927286</v>
      </c>
      <c r="AX842" s="164">
        <f t="shared" si="283"/>
        <v>2.7672557447075523E-12</v>
      </c>
      <c r="AY842" s="152"/>
    </row>
    <row r="843" spans="1:51" s="150" customFormat="1" x14ac:dyDescent="0.25">
      <c r="A843" s="150">
        <f t="shared" si="291"/>
        <v>839</v>
      </c>
      <c r="B843" s="150">
        <f t="shared" si="292"/>
        <v>70</v>
      </c>
      <c r="C843" s="150">
        <f t="shared" si="293"/>
        <v>11</v>
      </c>
      <c r="D843" s="150">
        <f>IF(E843="","",Input!$C$4+B843-1)</f>
        <v>114</v>
      </c>
      <c r="E843" s="150">
        <f>IF(OR(AND(C842=12,D842=Input!$C$6),E842=""),"",1)</f>
        <v>1</v>
      </c>
      <c r="F843" s="150">
        <f>IF(E843="","",Input!$C$8+B843-1)</f>
        <v>2087</v>
      </c>
      <c r="G843" s="151">
        <f>IF(E843="","",MAX(0,Input!$C$9-B843))</f>
        <v>0</v>
      </c>
      <c r="H843" s="152">
        <f>IF(E843="","",Input!$C$3)</f>
        <v>100000</v>
      </c>
      <c r="I843" s="153">
        <f>IF(E843="","",HLOOKUP($B843,Input!$C$13:$BT$14,2))</f>
        <v>1000</v>
      </c>
      <c r="J843" s="154"/>
      <c r="K843" s="155">
        <f>IF($E843="","",Input!$C$57)</f>
        <v>4.4999999999999998E-2</v>
      </c>
      <c r="L843" s="155">
        <f t="shared" si="284"/>
        <v>3.6748094004368514E-3</v>
      </c>
      <c r="M843" s="147">
        <f>IF($E843="","",VLOOKUP(IF($B843&lt;=Input!$C$7,$B843,26),'Mortality Tables'!$A$72:$CA$97,IF($B843&lt;=Input!$C$7+1,Input!$C$4-16,$D843-Input!$C$7-16),0)/1000)</f>
        <v>0.72842999999999991</v>
      </c>
      <c r="N843" s="147">
        <f t="shared" si="273"/>
        <v>0.10293588783861807</v>
      </c>
      <c r="O843" s="157">
        <f>IF($E843="","",IF($C843=12,IF($B843&lt;Input!$C$9,Input!$C$54,IF($B843=Input!$C$9,Input!$C$55,Input!$C$56)),0%))</f>
        <v>0</v>
      </c>
      <c r="P843" s="167">
        <f>IF($E843="","",IF($B843=1,Input!$C$59,IF($B843&lt;6,Input!$C$60,0%)))</f>
        <v>0</v>
      </c>
      <c r="Q843" s="162">
        <f>IF($E843="","",Input!$C$58)</f>
        <v>2.5</v>
      </c>
      <c r="R843" s="156">
        <f t="shared" si="285"/>
        <v>0.89706411216138193</v>
      </c>
      <c r="S843" s="154">
        <f t="shared" si="274"/>
        <v>6.7249417060398718E-11</v>
      </c>
      <c r="T843" s="152"/>
      <c r="U843" s="150">
        <f t="shared" si="286"/>
        <v>0</v>
      </c>
      <c r="V843" s="150">
        <f t="shared" si="287"/>
        <v>0</v>
      </c>
      <c r="W843" s="168">
        <f t="shared" si="288"/>
        <v>0</v>
      </c>
      <c r="X843" s="163">
        <f t="shared" si="275"/>
        <v>10293.588783861807</v>
      </c>
      <c r="Y843" s="152"/>
      <c r="Z843" s="164">
        <f>IF(AND($C842=12,$D842=Input!$C$6),0,IF($E843="","",V843+Z844/(1+L843)*R843))</f>
        <v>87519.876846161846</v>
      </c>
      <c r="AA843" s="164">
        <f>IF(OR($M843=1,AND($C842=12,$D842=Input!$C$6)),0,IF($E843="","",W843+(X843+AA844*$R843)/(1+$L843)))</f>
        <v>86202.746822252841</v>
      </c>
      <c r="AB843" s="160">
        <f t="shared" si="276"/>
        <v>0.825720328500681</v>
      </c>
      <c r="AC843" s="164">
        <f t="shared" si="277"/>
        <v>0</v>
      </c>
      <c r="AD843" s="164">
        <f>IF(AND($C842=12,$D842=Input!$C$6),0,IF($E843="","",$AC843+AD844/(1+$L843)*$R843))</f>
        <v>72266.941459751906</v>
      </c>
      <c r="AE843" s="152"/>
      <c r="AF843" s="164">
        <f>IF(AND($C842=12,$D842=Input!$C$6),0,IF($E843="","",IF($B843&gt;Input!$C$9,$AC843,0)+AF844/(1+$L843)*$R843))</f>
        <v>72266.941459751906</v>
      </c>
      <c r="AG843" s="164">
        <f>IF(AND($C842=12,$D842=Input!$C$6),0,IF($E843="","",(IF($B843&gt;Input!$C$9,$X843,0)+AG844)/(1+$L843)*$R843))</f>
        <v>75144.126726670482</v>
      </c>
      <c r="AH843" s="160">
        <f t="shared" si="278"/>
        <v>2.0950137211446997</v>
      </c>
      <c r="AI843" s="160">
        <f>IF($E843="","",MIN(Input!$C$61/AH843,1))</f>
        <v>0.64438718771845094</v>
      </c>
      <c r="AJ843" s="152"/>
      <c r="AK843" s="164">
        <f>IF(AND($C842=12,$D842=Input!$C$6),0,IF($E843="","",IF($B843&gt;Input!$C$9,$AC843*AI843,0)+AK844/(1+$L843)*$R843))</f>
        <v>46567.891172263458</v>
      </c>
      <c r="AL843" s="164">
        <f>IF(AND($C842=12,$D842=Input!$C$6),0,IF($E843="","",IF($B843&gt;Input!$C$9,0,$AC843)+AL844/(1+$L843)*$R843))</f>
        <v>0</v>
      </c>
      <c r="AM843" s="160">
        <f t="shared" si="279"/>
        <v>1.1382936520186004</v>
      </c>
      <c r="AN843" s="164">
        <f>IF($E843="","",IF($B843&gt;Input!$C$9,$AI843*$AC843,$AM843*$AC843))</f>
        <v>0</v>
      </c>
      <c r="AO843" s="164">
        <f>IF(AND($C842=12,$D842=Input!$C$6),0,IF($E843="","",$AN843+AO844/(1+$L843)*$R843))</f>
        <v>46567.891172263458</v>
      </c>
      <c r="AP843" s="152"/>
      <c r="AQ843" s="164">
        <f t="shared" si="280"/>
        <v>39634.855649989382</v>
      </c>
      <c r="AR843" s="164">
        <f t="shared" si="289"/>
        <v>57662.234273927286</v>
      </c>
      <c r="AS843" s="164">
        <f t="shared" si="290"/>
        <v>34853.110047846887</v>
      </c>
      <c r="AT843" s="164">
        <f t="shared" si="281"/>
        <v>57662.234273927286</v>
      </c>
      <c r="AU843" s="152"/>
      <c r="AV843" s="147">
        <f>'Deterministic Reserve'!BC843</f>
        <v>4.3316662576073275E-17</v>
      </c>
      <c r="AW843" s="164">
        <f t="shared" si="282"/>
        <v>57662.234273927286</v>
      </c>
      <c r="AX843" s="164">
        <f t="shared" si="283"/>
        <v>2.4977355454261958E-12</v>
      </c>
      <c r="AY843" s="152"/>
    </row>
    <row r="844" spans="1:51" s="150" customFormat="1" x14ac:dyDescent="0.25">
      <c r="A844" s="150">
        <f t="shared" si="291"/>
        <v>840</v>
      </c>
      <c r="B844" s="150">
        <f t="shared" si="292"/>
        <v>70</v>
      </c>
      <c r="C844" s="150">
        <f t="shared" si="293"/>
        <v>12</v>
      </c>
      <c r="D844" s="150">
        <f>IF(E844="","",Input!$C$4+B844-1)</f>
        <v>114</v>
      </c>
      <c r="E844" s="150">
        <f>IF(OR(AND(C843=12,D843=Input!$C$6),E843=""),"",1)</f>
        <v>1</v>
      </c>
      <c r="F844" s="150">
        <f>IF(E844="","",Input!$C$8+B844-1)</f>
        <v>2087</v>
      </c>
      <c r="G844" s="151">
        <f>IF(E844="","",MAX(0,Input!$C$9-B844))</f>
        <v>0</v>
      </c>
      <c r="H844" s="152">
        <f>IF(E844="","",Input!$C$3)</f>
        <v>100000</v>
      </c>
      <c r="I844" s="153">
        <f>IF(E844="","",HLOOKUP($B844,Input!$C$13:$BT$14,2))</f>
        <v>1000</v>
      </c>
      <c r="J844" s="154"/>
      <c r="K844" s="155">
        <f>IF($E844="","",Input!$C$57)</f>
        <v>4.4999999999999998E-2</v>
      </c>
      <c r="L844" s="155">
        <f t="shared" si="284"/>
        <v>3.6748094004368514E-3</v>
      </c>
      <c r="M844" s="147">
        <f>IF($E844="","",VLOOKUP(IF($B844&lt;=Input!$C$7,$B844,26),'Mortality Tables'!$A$72:$CA$97,IF($B844&lt;=Input!$C$7+1,Input!$C$4-16,$D844-Input!$C$7-16),0)/1000)</f>
        <v>0.72842999999999991</v>
      </c>
      <c r="N844" s="147">
        <f t="shared" si="273"/>
        <v>0.10293588783861807</v>
      </c>
      <c r="O844" s="157">
        <f>IF($E844="","",IF($C844=12,IF($B844&lt;Input!$C$9,Input!$C$54,IF($B844=Input!$C$9,Input!$C$55,Input!$C$56)),0%))</f>
        <v>0.1</v>
      </c>
      <c r="P844" s="167">
        <f>IF($E844="","",IF($B844=1,Input!$C$59,IF($B844&lt;6,Input!$C$60,0%)))</f>
        <v>0</v>
      </c>
      <c r="Q844" s="162">
        <f>IF($E844="","",Input!$C$58)</f>
        <v>2.5</v>
      </c>
      <c r="R844" s="156">
        <f t="shared" si="285"/>
        <v>0.79706411216138195</v>
      </c>
      <c r="S844" s="154">
        <f t="shared" si="274"/>
        <v>5.3602096902617199E-11</v>
      </c>
      <c r="T844" s="152"/>
      <c r="U844" s="150">
        <f t="shared" si="286"/>
        <v>0</v>
      </c>
      <c r="V844" s="150">
        <f t="shared" si="287"/>
        <v>0</v>
      </c>
      <c r="W844" s="168">
        <f t="shared" si="288"/>
        <v>0</v>
      </c>
      <c r="X844" s="163">
        <f t="shared" si="275"/>
        <v>10293.588783861807</v>
      </c>
      <c r="Y844" s="152"/>
      <c r="Z844" s="164">
        <f>IF(AND($C843=12,$D843=Input!$C$6),0,IF($E844="","",V844+Z845/(1+L844)*R844))</f>
        <v>97921.090055287495</v>
      </c>
      <c r="AA844" s="164">
        <f>IF(OR($M844=1,AND($C843=12,$D843=Input!$C$6)),0,IF($E844="","",W844+(X844+AA845*$R844)/(1+$L844)))</f>
        <v>84972.674382323152</v>
      </c>
      <c r="AB844" s="160">
        <f t="shared" si="276"/>
        <v>0.825720328500681</v>
      </c>
      <c r="AC844" s="164">
        <f t="shared" si="277"/>
        <v>0</v>
      </c>
      <c r="AD844" s="164">
        <f>IF(AND($C843=12,$D843=Input!$C$6),0,IF($E844="","",$AC844+AD845/(1+$L844)*$R844))</f>
        <v>80855.434647596761</v>
      </c>
      <c r="AE844" s="152"/>
      <c r="AF844" s="164">
        <f>IF(AND($C843=12,$D843=Input!$C$6),0,IF($E844="","",IF($B844&gt;Input!$C$9,$AC844,0)+AF845/(1+$L844)*$R844))</f>
        <v>80855.434647596761</v>
      </c>
      <c r="AG844" s="164">
        <f>IF(AND($C843=12,$D843=Input!$C$6),0,IF($E844="","",(IF($B844&gt;Input!$C$9,$X844,0)+AG845)/(1+$L844)*$R844))</f>
        <v>73780.967368246478</v>
      </c>
      <c r="AH844" s="160">
        <f t="shared" si="278"/>
        <v>2.0950137211446997</v>
      </c>
      <c r="AI844" s="160">
        <f>IF($E844="","",MIN(Input!$C$61/AH844,1))</f>
        <v>0.64438718771845094</v>
      </c>
      <c r="AJ844" s="152"/>
      <c r="AK844" s="164">
        <f>IF(AND($C843=12,$D843=Input!$C$6),0,IF($E844="","",IF($B844&gt;Input!$C$9,$AC844*AI844,0)+AK845/(1+$L844)*$R844))</f>
        <v>52102.206144317875</v>
      </c>
      <c r="AL844" s="164">
        <f>IF(AND($C843=12,$D843=Input!$C$6),0,IF($E844="","",IF($B844&gt;Input!$C$9,0,$AC844)+AL845/(1+$L844)*$R844))</f>
        <v>0</v>
      </c>
      <c r="AM844" s="160">
        <f t="shared" si="279"/>
        <v>1.1382936520186004</v>
      </c>
      <c r="AN844" s="164">
        <f>IF($E844="","",IF($B844&gt;Input!$C$9,$AI844*$AC844,$AM844*$AC844))</f>
        <v>0</v>
      </c>
      <c r="AO844" s="164">
        <f>IF(AND($C843=12,$D843=Input!$C$6),0,IF($E844="","",$AN844+AO845/(1+$L844)*$R844))</f>
        <v>52102.206144317875</v>
      </c>
      <c r="AP844" s="152"/>
      <c r="AQ844" s="164">
        <f t="shared" si="280"/>
        <v>32870.468238005276</v>
      </c>
      <c r="AR844" s="164">
        <f t="shared" si="289"/>
        <v>57662.234273927286</v>
      </c>
      <c r="AS844" s="164">
        <f t="shared" si="290"/>
        <v>34853.110047846887</v>
      </c>
      <c r="AT844" s="164">
        <f t="shared" si="281"/>
        <v>57662.234273927286</v>
      </c>
      <c r="AU844" s="152"/>
      <c r="AV844" s="147">
        <f>'Deterministic Reserve'!BC844</f>
        <v>3.4766117903619497E-17</v>
      </c>
      <c r="AW844" s="164">
        <f t="shared" si="282"/>
        <v>57662.234273927286</v>
      </c>
      <c r="AX844" s="164">
        <f t="shared" si="283"/>
        <v>2.0046920353534853E-12</v>
      </c>
      <c r="AY844" s="152"/>
    </row>
    <row r="845" spans="1:51" s="150" customFormat="1" x14ac:dyDescent="0.25">
      <c r="A845" s="150">
        <f t="shared" si="291"/>
        <v>841</v>
      </c>
      <c r="B845" s="150">
        <f t="shared" si="292"/>
        <v>71</v>
      </c>
      <c r="C845" s="150">
        <f t="shared" si="293"/>
        <v>1</v>
      </c>
      <c r="D845" s="150">
        <f>IF(E845="","",Input!$C$4+B845-1)</f>
        <v>115</v>
      </c>
      <c r="E845" s="150">
        <f>IF(OR(AND(C844=12,D844=Input!$C$6),E844=""),"",1)</f>
        <v>1</v>
      </c>
      <c r="F845" s="150">
        <f>IF(E845="","",Input!$C$8+B845-1)</f>
        <v>2088</v>
      </c>
      <c r="G845" s="151">
        <f>IF(E845="","",MAX(0,Input!$C$9-B845))</f>
        <v>0</v>
      </c>
      <c r="H845" s="152">
        <f>IF(E845="","",Input!$C$3)</f>
        <v>100000</v>
      </c>
      <c r="I845" s="153">
        <f>IF(E845="","",HLOOKUP($B845,Input!$C$13:$BT$14,2))</f>
        <v>1000</v>
      </c>
      <c r="J845" s="154"/>
      <c r="K845" s="155">
        <f>IF($E845="","",Input!$C$57)</f>
        <v>4.4999999999999998E-2</v>
      </c>
      <c r="L845" s="155">
        <f t="shared" si="284"/>
        <v>3.6748094004368514E-3</v>
      </c>
      <c r="M845" s="147">
        <f>IF($E845="","",VLOOKUP(IF($B845&lt;=Input!$C$7,$B845,26),'Mortality Tables'!$A$72:$CA$97,IF($B845&lt;=Input!$C$7+1,Input!$C$4-16,$D845-Input!$C$7-16),0)/1000)</f>
        <v>0.76794000000000007</v>
      </c>
      <c r="N845" s="147">
        <f t="shared" si="273"/>
        <v>0.11461255900399059</v>
      </c>
      <c r="O845" s="157">
        <f>IF($E845="","",IF($C845=12,IF($B845&lt;Input!$C$9,Input!$C$54,IF($B845=Input!$C$9,Input!$C$55,Input!$C$56)),0%))</f>
        <v>0</v>
      </c>
      <c r="P845" s="167">
        <f>IF($E845="","",IF($B845=1,Input!$C$59,IF($B845&lt;6,Input!$C$60,0%)))</f>
        <v>0</v>
      </c>
      <c r="Q845" s="162">
        <f>IF($E845="","",Input!$C$58)</f>
        <v>2.5</v>
      </c>
      <c r="R845" s="156">
        <f t="shared" si="285"/>
        <v>0.88538744099600941</v>
      </c>
      <c r="S845" s="154">
        <f t="shared" si="274"/>
        <v>4.7458623408628363E-11</v>
      </c>
      <c r="T845" s="152"/>
      <c r="U845" s="150">
        <f t="shared" si="286"/>
        <v>100000</v>
      </c>
      <c r="V845" s="150">
        <f t="shared" si="287"/>
        <v>100000</v>
      </c>
      <c r="W845" s="168">
        <f t="shared" si="288"/>
        <v>0</v>
      </c>
      <c r="X845" s="163">
        <f t="shared" si="275"/>
        <v>11461.255900399059</v>
      </c>
      <c r="Y845" s="152"/>
      <c r="Z845" s="164">
        <f>IF(AND($C844=12,$D844=Input!$C$6),0,IF($E845="","",V845+Z846/(1+L845)*R845))</f>
        <v>123303.67143367848</v>
      </c>
      <c r="AA845" s="164">
        <f>IF(OR($M845=1,AND($C844=12,$D844=Input!$C$6)),0,IF($E845="","",W845+(X845+AA846*$R845)/(1+$L845)))</f>
        <v>94084.456741766131</v>
      </c>
      <c r="AB845" s="160">
        <f t="shared" si="276"/>
        <v>0.825720328500681</v>
      </c>
      <c r="AC845" s="164">
        <f t="shared" si="277"/>
        <v>82572.032850068106</v>
      </c>
      <c r="AD845" s="164">
        <f>IF(AND($C844=12,$D844=Input!$C$6),0,IF($E845="","",$AC845+AD846/(1+$L845)*$R845))</f>
        <v>101814.34808155704</v>
      </c>
      <c r="AE845" s="152"/>
      <c r="AF845" s="164">
        <f>IF(AND($C844=12,$D844=Input!$C$6),0,IF($E845="","",IF($B845&gt;Input!$C$9,$AC845,0)+AF846/(1+$L845)*$R845))</f>
        <v>101814.34808155704</v>
      </c>
      <c r="AG845" s="164">
        <f>IF(AND($C844=12,$D844=Input!$C$6),0,IF($E845="","",(IF($B845&gt;Input!$C$9,$X845,0)+AG846)/(1+$L845)*$R845))</f>
        <v>82612.486437489119</v>
      </c>
      <c r="AH845" s="160">
        <f t="shared" si="278"/>
        <v>2.0950137211446997</v>
      </c>
      <c r="AI845" s="160">
        <f>IF($E845="","",MIN(Input!$C$61/AH845,1))</f>
        <v>0.64438718771845094</v>
      </c>
      <c r="AJ845" s="152"/>
      <c r="AK845" s="164">
        <f>IF(AND($C844=12,$D844=Input!$C$6),0,IF($E845="","",IF($B845&gt;Input!$C$9,$AC845*AI845,0)+AK846/(1+$L845)*$R845))</f>
        <v>65607.861429661993</v>
      </c>
      <c r="AL845" s="164">
        <f>IF(AND($C844=12,$D844=Input!$C$6),0,IF($E845="","",IF($B845&gt;Input!$C$9,0,$AC845)+AL846/(1+$L845)*$R845))</f>
        <v>0</v>
      </c>
      <c r="AM845" s="160">
        <f t="shared" si="279"/>
        <v>1.1382936520186004</v>
      </c>
      <c r="AN845" s="164">
        <f>IF($E845="","",IF($B845&gt;Input!$C$9,$AI845*$AC845,$AM845*$AC845))</f>
        <v>53208.360032450932</v>
      </c>
      <c r="AO845" s="164">
        <f>IF(AND($C844=12,$D844=Input!$C$6),0,IF($E845="","",$AN845+AO846/(1+$L845)*$R845))</f>
        <v>65607.861429661993</v>
      </c>
      <c r="AP845" s="152"/>
      <c r="AQ845" s="164">
        <f t="shared" si="280"/>
        <v>28476.595312104138</v>
      </c>
      <c r="AR845" s="164">
        <f t="shared" si="289"/>
        <v>61278.985610517506</v>
      </c>
      <c r="AS845" s="164">
        <f t="shared" si="290"/>
        <v>36743.540669856462</v>
      </c>
      <c r="AT845" s="164">
        <f t="shared" si="281"/>
        <v>61278.985610517506</v>
      </c>
      <c r="AU845" s="152"/>
      <c r="AV845" s="147">
        <f>'Deterministic Reserve'!BC845</f>
        <v>3.1411498276698356E-17</v>
      </c>
      <c r="AW845" s="164">
        <f t="shared" si="282"/>
        <v>61278.985610517506</v>
      </c>
      <c r="AX845" s="164">
        <f t="shared" si="283"/>
        <v>1.9248647509025941E-12</v>
      </c>
      <c r="AY845" s="152"/>
    </row>
    <row r="846" spans="1:51" s="150" customFormat="1" x14ac:dyDescent="0.25">
      <c r="A846" s="150">
        <f t="shared" si="291"/>
        <v>842</v>
      </c>
      <c r="B846" s="150">
        <f t="shared" si="292"/>
        <v>71</v>
      </c>
      <c r="C846" s="150">
        <f t="shared" si="293"/>
        <v>2</v>
      </c>
      <c r="D846" s="150">
        <f>IF(E846="","",Input!$C$4+B846-1)</f>
        <v>115</v>
      </c>
      <c r="E846" s="150">
        <f>IF(OR(AND(C845=12,D845=Input!$C$6),E845=""),"",1)</f>
        <v>1</v>
      </c>
      <c r="F846" s="150">
        <f>IF(E846="","",Input!$C$8+B846-1)</f>
        <v>2088</v>
      </c>
      <c r="G846" s="151">
        <f>IF(E846="","",MAX(0,Input!$C$9-B846))</f>
        <v>0</v>
      </c>
      <c r="H846" s="152">
        <f>IF(E846="","",Input!$C$3)</f>
        <v>100000</v>
      </c>
      <c r="I846" s="153">
        <f>IF(E846="","",HLOOKUP($B846,Input!$C$13:$BT$14,2))</f>
        <v>1000</v>
      </c>
      <c r="J846" s="154"/>
      <c r="K846" s="155">
        <f>IF($E846="","",Input!$C$57)</f>
        <v>4.4999999999999998E-2</v>
      </c>
      <c r="L846" s="155">
        <f t="shared" si="284"/>
        <v>3.6748094004368514E-3</v>
      </c>
      <c r="M846" s="147">
        <f>IF($E846="","",VLOOKUP(IF($B846&lt;=Input!$C$7,$B846,26),'Mortality Tables'!$A$72:$CA$97,IF($B846&lt;=Input!$C$7+1,Input!$C$4-16,$D846-Input!$C$7-16),0)/1000)</f>
        <v>0.76794000000000007</v>
      </c>
      <c r="N846" s="147">
        <f t="shared" si="273"/>
        <v>0.11461255900399059</v>
      </c>
      <c r="O846" s="157">
        <f>IF($E846="","",IF($C846=12,IF($B846&lt;Input!$C$9,Input!$C$54,IF($B846=Input!$C$9,Input!$C$55,Input!$C$56)),0%))</f>
        <v>0</v>
      </c>
      <c r="P846" s="167">
        <f>IF($E846="","",IF($B846=1,Input!$C$59,IF($B846&lt;6,Input!$C$60,0%)))</f>
        <v>0</v>
      </c>
      <c r="Q846" s="162">
        <f>IF($E846="","",Input!$C$58)</f>
        <v>2.5</v>
      </c>
      <c r="R846" s="156">
        <f t="shared" si="285"/>
        <v>0.88538744099600941</v>
      </c>
      <c r="S846" s="154">
        <f t="shared" si="274"/>
        <v>4.2019269132958774E-11</v>
      </c>
      <c r="T846" s="152"/>
      <c r="U846" s="150">
        <f t="shared" si="286"/>
        <v>0</v>
      </c>
      <c r="V846" s="150">
        <f t="shared" si="287"/>
        <v>0</v>
      </c>
      <c r="W846" s="168">
        <f t="shared" si="288"/>
        <v>0</v>
      </c>
      <c r="X846" s="163">
        <f t="shared" si="275"/>
        <v>11461.255900399059</v>
      </c>
      <c r="Y846" s="152"/>
      <c r="Z846" s="164">
        <f>IF(AND($C845=12,$D845=Input!$C$6),0,IF($E846="","",V846+Z847/(1+L846)*R846))</f>
        <v>26417.031574579418</v>
      </c>
      <c r="AA846" s="164">
        <f>IF(OR($M846=1,AND($C845=12,$D845=Input!$C$6)),0,IF($E846="","",W846+(X846+AA847*$R846)/(1+$L846)))</f>
        <v>93709.193789897749</v>
      </c>
      <c r="AB846" s="160">
        <f t="shared" si="276"/>
        <v>0.825720328500681</v>
      </c>
      <c r="AC846" s="164">
        <f t="shared" si="277"/>
        <v>0</v>
      </c>
      <c r="AD846" s="164">
        <f>IF(AND($C845=12,$D845=Input!$C$6),0,IF($E846="","",$AC846+AD847/(1+$L846)*$R846))</f>
        <v>21813.079989774578</v>
      </c>
      <c r="AE846" s="152"/>
      <c r="AF846" s="164">
        <f>IF(AND($C845=12,$D845=Input!$C$6),0,IF($E846="","",IF($B846&gt;Input!$C$9,$AC846,0)+AF847/(1+$L846)*$R846))</f>
        <v>21813.079989774578</v>
      </c>
      <c r="AG846" s="164">
        <f>IF(AND($C845=12,$D845=Input!$C$6),0,IF($E846="","",(IF($B846&gt;Input!$C$9,$X846,0)+AG847)/(1+$L846)*$R846))</f>
        <v>82188.22198915323</v>
      </c>
      <c r="AH846" s="160">
        <f t="shared" si="278"/>
        <v>2.0950137211446997</v>
      </c>
      <c r="AI846" s="160">
        <f>IF($E846="","",MIN(Input!$C$61/AH846,1))</f>
        <v>0.64438718771845094</v>
      </c>
      <c r="AJ846" s="152"/>
      <c r="AK846" s="164">
        <f>IF(AND($C845=12,$D845=Input!$C$6),0,IF($E846="","",IF($B846&gt;Input!$C$9,$AC846*AI846,0)+AK847/(1+$L846)*$R846))</f>
        <v>14056.069270088454</v>
      </c>
      <c r="AL846" s="164">
        <f>IF(AND($C845=12,$D845=Input!$C$6),0,IF($E846="","",IF($B846&gt;Input!$C$9,0,$AC846)+AL847/(1+$L846)*$R846))</f>
        <v>0</v>
      </c>
      <c r="AM846" s="160">
        <f t="shared" si="279"/>
        <v>1.1382936520186004</v>
      </c>
      <c r="AN846" s="164">
        <f>IF($E846="","",IF($B846&gt;Input!$C$9,$AI846*$AC846,$AM846*$AC846))</f>
        <v>0</v>
      </c>
      <c r="AO846" s="164">
        <f>IF(AND($C845=12,$D845=Input!$C$6),0,IF($E846="","",$AN846+AO847/(1+$L846)*$R846))</f>
        <v>14056.069270088454</v>
      </c>
      <c r="AP846" s="152"/>
      <c r="AQ846" s="164">
        <f t="shared" si="280"/>
        <v>79653.124519809295</v>
      </c>
      <c r="AR846" s="164">
        <f t="shared" si="289"/>
        <v>61278.985610517506</v>
      </c>
      <c r="AS846" s="164">
        <f t="shared" si="290"/>
        <v>36743.540669856462</v>
      </c>
      <c r="AT846" s="164">
        <f t="shared" si="281"/>
        <v>61278.985610517506</v>
      </c>
      <c r="AU846" s="152"/>
      <c r="AV846" s="147">
        <f>'Deterministic Reserve'!BC846</f>
        <v>2.8380569459102607E-17</v>
      </c>
      <c r="AW846" s="164">
        <f t="shared" si="282"/>
        <v>61278.985610517506</v>
      </c>
      <c r="AX846" s="164">
        <f t="shared" si="283"/>
        <v>1.7391325075026412E-12</v>
      </c>
      <c r="AY846" s="152"/>
    </row>
    <row r="847" spans="1:51" s="150" customFormat="1" x14ac:dyDescent="0.25">
      <c r="A847" s="150">
        <f t="shared" si="291"/>
        <v>843</v>
      </c>
      <c r="B847" s="150">
        <f t="shared" si="292"/>
        <v>71</v>
      </c>
      <c r="C847" s="150">
        <f t="shared" si="293"/>
        <v>3</v>
      </c>
      <c r="D847" s="150">
        <f>IF(E847="","",Input!$C$4+B847-1)</f>
        <v>115</v>
      </c>
      <c r="E847" s="150">
        <f>IF(OR(AND(C846=12,D846=Input!$C$6),E846=""),"",1)</f>
        <v>1</v>
      </c>
      <c r="F847" s="150">
        <f>IF(E847="","",Input!$C$8+B847-1)</f>
        <v>2088</v>
      </c>
      <c r="G847" s="151">
        <f>IF(E847="","",MAX(0,Input!$C$9-B847))</f>
        <v>0</v>
      </c>
      <c r="H847" s="152">
        <f>IF(E847="","",Input!$C$3)</f>
        <v>100000</v>
      </c>
      <c r="I847" s="153">
        <f>IF(E847="","",HLOOKUP($B847,Input!$C$13:$BT$14,2))</f>
        <v>1000</v>
      </c>
      <c r="J847" s="154"/>
      <c r="K847" s="155">
        <f>IF($E847="","",Input!$C$57)</f>
        <v>4.4999999999999998E-2</v>
      </c>
      <c r="L847" s="155">
        <f t="shared" si="284"/>
        <v>3.6748094004368514E-3</v>
      </c>
      <c r="M847" s="147">
        <f>IF($E847="","",VLOOKUP(IF($B847&lt;=Input!$C$7,$B847,26),'Mortality Tables'!$A$72:$CA$97,IF($B847&lt;=Input!$C$7+1,Input!$C$4-16,$D847-Input!$C$7-16),0)/1000)</f>
        <v>0.76794000000000007</v>
      </c>
      <c r="N847" s="147">
        <f t="shared" si="273"/>
        <v>0.11461255900399059</v>
      </c>
      <c r="O847" s="157">
        <f>IF($E847="","",IF($C847=12,IF($B847&lt;Input!$C$9,Input!$C$54,IF($B847=Input!$C$9,Input!$C$55,Input!$C$56)),0%))</f>
        <v>0</v>
      </c>
      <c r="P847" s="167">
        <f>IF($E847="","",IF($B847=1,Input!$C$59,IF($B847&lt;6,Input!$C$60,0%)))</f>
        <v>0</v>
      </c>
      <c r="Q847" s="162">
        <f>IF($E847="","",Input!$C$58)</f>
        <v>2.5</v>
      </c>
      <c r="R847" s="156">
        <f t="shared" si="285"/>
        <v>0.88538744099600941</v>
      </c>
      <c r="S847" s="154">
        <f t="shared" si="274"/>
        <v>3.7203333170152974E-11</v>
      </c>
      <c r="T847" s="152"/>
      <c r="U847" s="150">
        <f t="shared" si="286"/>
        <v>0</v>
      </c>
      <c r="V847" s="150">
        <f t="shared" si="287"/>
        <v>0</v>
      </c>
      <c r="W847" s="168">
        <f t="shared" si="288"/>
        <v>0</v>
      </c>
      <c r="X847" s="163">
        <f t="shared" si="275"/>
        <v>11461.255900399059</v>
      </c>
      <c r="Y847" s="152"/>
      <c r="Z847" s="164">
        <f>IF(AND($C846=12,$D846=Input!$C$6),0,IF($E847="","",V847+Z848/(1+L847)*R847))</f>
        <v>29946.335245860824</v>
      </c>
      <c r="AA847" s="164">
        <f>IF(OR($M847=1,AND($C846=12,$D846=Input!$C$6)),0,IF($E847="","",W847+(X847+AA848*$R847)/(1+$L847)))</f>
        <v>93283.795874531075</v>
      </c>
      <c r="AB847" s="160">
        <f t="shared" si="276"/>
        <v>0.825720328500681</v>
      </c>
      <c r="AC847" s="164">
        <f t="shared" si="277"/>
        <v>0</v>
      </c>
      <c r="AD847" s="164">
        <f>IF(AND($C846=12,$D846=Input!$C$6),0,IF($E847="","",$AC847+AD848/(1+$L847)*$R847))</f>
        <v>24727.297776603726</v>
      </c>
      <c r="AE847" s="152"/>
      <c r="AF847" s="164">
        <f>IF(AND($C846=12,$D846=Input!$C$6),0,IF($E847="","",IF($B847&gt;Input!$C$9,$AC847,0)+AF848/(1+$L847)*$R847))</f>
        <v>24727.297776603726</v>
      </c>
      <c r="AG847" s="164">
        <f>IF(AND($C846=12,$D846=Input!$C$6),0,IF($E847="","",(IF($B847&gt;Input!$C$9,$X847,0)+AG848)/(1+$L847)*$R847))</f>
        <v>81707.2759991809</v>
      </c>
      <c r="AH847" s="160">
        <f t="shared" si="278"/>
        <v>2.0950137211446997</v>
      </c>
      <c r="AI847" s="160">
        <f>IF($E847="","",MIN(Input!$C$61/AH847,1))</f>
        <v>0.64438718771845094</v>
      </c>
      <c r="AJ847" s="152"/>
      <c r="AK847" s="164">
        <f>IF(AND($C846=12,$D846=Input!$C$6),0,IF($E847="","",IF($B847&gt;Input!$C$9,$AC847*AI847,0)+AK848/(1+$L847)*$R847))</f>
        <v>15933.953874142373</v>
      </c>
      <c r="AL847" s="164">
        <f>IF(AND($C846=12,$D846=Input!$C$6),0,IF($E847="","",IF($B847&gt;Input!$C$9,0,$AC847)+AL848/(1+$L847)*$R847))</f>
        <v>0</v>
      </c>
      <c r="AM847" s="160">
        <f t="shared" si="279"/>
        <v>1.1382936520186004</v>
      </c>
      <c r="AN847" s="164">
        <f>IF($E847="","",IF($B847&gt;Input!$C$9,$AI847*$AC847,$AM847*$AC847))</f>
        <v>0</v>
      </c>
      <c r="AO847" s="164">
        <f>IF(AND($C846=12,$D846=Input!$C$6),0,IF($E847="","",$AN847+AO848/(1+$L847)*$R847))</f>
        <v>15933.953874142373</v>
      </c>
      <c r="AP847" s="152"/>
      <c r="AQ847" s="164">
        <f t="shared" si="280"/>
        <v>77349.8420003887</v>
      </c>
      <c r="AR847" s="164">
        <f t="shared" si="289"/>
        <v>61278.985610517506</v>
      </c>
      <c r="AS847" s="164">
        <f t="shared" si="290"/>
        <v>36743.540669856462</v>
      </c>
      <c r="AT847" s="164">
        <f t="shared" si="281"/>
        <v>61278.985610517506</v>
      </c>
      <c r="AU847" s="152"/>
      <c r="AV847" s="147">
        <f>'Deterministic Reserve'!BC847</f>
        <v>2.5642098180985231E-17</v>
      </c>
      <c r="AW847" s="164">
        <f t="shared" si="282"/>
        <v>61278.985610517506</v>
      </c>
      <c r="AX847" s="164">
        <f t="shared" si="283"/>
        <v>1.5713217654560711E-12</v>
      </c>
      <c r="AY847" s="152"/>
    </row>
    <row r="848" spans="1:51" s="150" customFormat="1" x14ac:dyDescent="0.25">
      <c r="A848" s="150">
        <f t="shared" si="291"/>
        <v>844</v>
      </c>
      <c r="B848" s="150">
        <f t="shared" si="292"/>
        <v>71</v>
      </c>
      <c r="C848" s="150">
        <f t="shared" si="293"/>
        <v>4</v>
      </c>
      <c r="D848" s="150">
        <f>IF(E848="","",Input!$C$4+B848-1)</f>
        <v>115</v>
      </c>
      <c r="E848" s="150">
        <f>IF(OR(AND(C847=12,D847=Input!$C$6),E847=""),"",1)</f>
        <v>1</v>
      </c>
      <c r="F848" s="150">
        <f>IF(E848="","",Input!$C$8+B848-1)</f>
        <v>2088</v>
      </c>
      <c r="G848" s="151">
        <f>IF(E848="","",MAX(0,Input!$C$9-B848))</f>
        <v>0</v>
      </c>
      <c r="H848" s="152">
        <f>IF(E848="","",Input!$C$3)</f>
        <v>100000</v>
      </c>
      <c r="I848" s="153">
        <f>IF(E848="","",HLOOKUP($B848,Input!$C$13:$BT$14,2))</f>
        <v>1000</v>
      </c>
      <c r="J848" s="154"/>
      <c r="K848" s="155">
        <f>IF($E848="","",Input!$C$57)</f>
        <v>4.4999999999999998E-2</v>
      </c>
      <c r="L848" s="155">
        <f t="shared" si="284"/>
        <v>3.6748094004368514E-3</v>
      </c>
      <c r="M848" s="147">
        <f>IF($E848="","",VLOOKUP(IF($B848&lt;=Input!$C$7,$B848,26),'Mortality Tables'!$A$72:$CA$97,IF($B848&lt;=Input!$C$7+1,Input!$C$4-16,$D848-Input!$C$7-16),0)/1000)</f>
        <v>0.76794000000000007</v>
      </c>
      <c r="N848" s="147">
        <f t="shared" si="273"/>
        <v>0.11461255900399059</v>
      </c>
      <c r="O848" s="157">
        <f>IF($E848="","",IF($C848=12,IF($B848&lt;Input!$C$9,Input!$C$54,IF($B848=Input!$C$9,Input!$C$55,Input!$C$56)),0%))</f>
        <v>0</v>
      </c>
      <c r="P848" s="167">
        <f>IF($E848="","",IF($B848=1,Input!$C$59,IF($B848&lt;6,Input!$C$60,0%)))</f>
        <v>0</v>
      </c>
      <c r="Q848" s="162">
        <f>IF($E848="","",Input!$C$58)</f>
        <v>2.5</v>
      </c>
      <c r="R848" s="156">
        <f t="shared" si="285"/>
        <v>0.88538744099600941</v>
      </c>
      <c r="S848" s="154">
        <f t="shared" si="274"/>
        <v>3.2939363952043699E-11</v>
      </c>
      <c r="T848" s="152"/>
      <c r="U848" s="150">
        <f t="shared" si="286"/>
        <v>0</v>
      </c>
      <c r="V848" s="150">
        <f t="shared" si="287"/>
        <v>0</v>
      </c>
      <c r="W848" s="168">
        <f t="shared" si="288"/>
        <v>0</v>
      </c>
      <c r="X848" s="163">
        <f t="shared" si="275"/>
        <v>11461.255900399059</v>
      </c>
      <c r="Y848" s="152"/>
      <c r="Z848" s="164">
        <f>IF(AND($C847=12,$D847=Input!$C$6),0,IF($E848="","",V848+Z849/(1+L848)*R848))</f>
        <v>33947.15231822044</v>
      </c>
      <c r="AA848" s="164">
        <f>IF(OR($M848=1,AND($C847=12,$D847=Input!$C$6)),0,IF($E848="","",W848+(X848+AA849*$R848)/(1+$L848)))</f>
        <v>92801.56498683666</v>
      </c>
      <c r="AB848" s="160">
        <f t="shared" si="276"/>
        <v>0.825720328500681</v>
      </c>
      <c r="AC848" s="164">
        <f t="shared" si="277"/>
        <v>0</v>
      </c>
      <c r="AD848" s="164">
        <f>IF(AND($C847=12,$D847=Input!$C$6),0,IF($E848="","",$AC848+AD849/(1+$L848)*$R848))</f>
        <v>28030.853763863644</v>
      </c>
      <c r="AE848" s="152"/>
      <c r="AF848" s="164">
        <f>IF(AND($C847=12,$D847=Input!$C$6),0,IF($E848="","",IF($B848&gt;Input!$C$9,$AC848,0)+AF849/(1+$L848)*$R848))</f>
        <v>28030.853763863644</v>
      </c>
      <c r="AG848" s="164">
        <f>IF(AND($C847=12,$D847=Input!$C$6),0,IF($E848="","",(IF($B848&gt;Input!$C$9,$X848,0)+AG849)/(1+$L848)*$R848))</f>
        <v>81162.075838814533</v>
      </c>
      <c r="AH848" s="160">
        <f t="shared" si="278"/>
        <v>2.0950137211446997</v>
      </c>
      <c r="AI848" s="160">
        <f>IF($E848="","",MIN(Input!$C$61/AH848,1))</f>
        <v>0.64438718771845094</v>
      </c>
      <c r="AJ848" s="152"/>
      <c r="AK848" s="164">
        <f>IF(AND($C847=12,$D847=Input!$C$6),0,IF($E848="","",IF($B848&gt;Input!$C$9,$AC848*AI848,0)+AK849/(1+$L848)*$R848))</f>
        <v>18062.723026243242</v>
      </c>
      <c r="AL848" s="164">
        <f>IF(AND($C847=12,$D847=Input!$C$6),0,IF($E848="","",IF($B848&gt;Input!$C$9,0,$AC848)+AL849/(1+$L848)*$R848))</f>
        <v>0</v>
      </c>
      <c r="AM848" s="160">
        <f t="shared" si="279"/>
        <v>1.1382936520186004</v>
      </c>
      <c r="AN848" s="164">
        <f>IF($E848="","",IF($B848&gt;Input!$C$9,$AI848*$AC848,$AM848*$AC848))</f>
        <v>0</v>
      </c>
      <c r="AO848" s="164">
        <f>IF(AND($C847=12,$D847=Input!$C$6),0,IF($E848="","",$AN848+AO849/(1+$L848)*$R848))</f>
        <v>18062.723026243242</v>
      </c>
      <c r="AP848" s="152"/>
      <c r="AQ848" s="164">
        <f t="shared" si="280"/>
        <v>74738.841960593418</v>
      </c>
      <c r="AR848" s="164">
        <f t="shared" si="289"/>
        <v>61278.985610517506</v>
      </c>
      <c r="AS848" s="164">
        <f t="shared" si="290"/>
        <v>36743.540669856462</v>
      </c>
      <c r="AT848" s="164">
        <f t="shared" si="281"/>
        <v>61278.985610517506</v>
      </c>
      <c r="AU848" s="152"/>
      <c r="AV848" s="147">
        <f>'Deterministic Reserve'!BC848</f>
        <v>2.3167864903866407E-17</v>
      </c>
      <c r="AW848" s="164">
        <f t="shared" si="282"/>
        <v>61278.985610517506</v>
      </c>
      <c r="AX848" s="164">
        <f t="shared" si="283"/>
        <v>1.4197032600704431E-12</v>
      </c>
      <c r="AY848" s="152"/>
    </row>
    <row r="849" spans="1:51" s="150" customFormat="1" x14ac:dyDescent="0.25">
      <c r="A849" s="150">
        <f t="shared" si="291"/>
        <v>845</v>
      </c>
      <c r="B849" s="150">
        <f t="shared" si="292"/>
        <v>71</v>
      </c>
      <c r="C849" s="150">
        <f t="shared" si="293"/>
        <v>5</v>
      </c>
      <c r="D849" s="150">
        <f>IF(E849="","",Input!$C$4+B849-1)</f>
        <v>115</v>
      </c>
      <c r="E849" s="150">
        <f>IF(OR(AND(C848=12,D848=Input!$C$6),E848=""),"",1)</f>
        <v>1</v>
      </c>
      <c r="F849" s="150">
        <f>IF(E849="","",Input!$C$8+B849-1)</f>
        <v>2088</v>
      </c>
      <c r="G849" s="151">
        <f>IF(E849="","",MAX(0,Input!$C$9-B849))</f>
        <v>0</v>
      </c>
      <c r="H849" s="152">
        <f>IF(E849="","",Input!$C$3)</f>
        <v>100000</v>
      </c>
      <c r="I849" s="153">
        <f>IF(E849="","",HLOOKUP($B849,Input!$C$13:$BT$14,2))</f>
        <v>1000</v>
      </c>
      <c r="J849" s="154"/>
      <c r="K849" s="155">
        <f>IF($E849="","",Input!$C$57)</f>
        <v>4.4999999999999998E-2</v>
      </c>
      <c r="L849" s="155">
        <f t="shared" si="284"/>
        <v>3.6748094004368514E-3</v>
      </c>
      <c r="M849" s="147">
        <f>IF($E849="","",VLOOKUP(IF($B849&lt;=Input!$C$7,$B849,26),'Mortality Tables'!$A$72:$CA$97,IF($B849&lt;=Input!$C$7+1,Input!$C$4-16,$D849-Input!$C$7-16),0)/1000)</f>
        <v>0.76794000000000007</v>
      </c>
      <c r="N849" s="147">
        <f t="shared" si="273"/>
        <v>0.11461255900399059</v>
      </c>
      <c r="O849" s="157">
        <f>IF($E849="","",IF($C849=12,IF($B849&lt;Input!$C$9,Input!$C$54,IF($B849=Input!$C$9,Input!$C$55,Input!$C$56)),0%))</f>
        <v>0</v>
      </c>
      <c r="P849" s="167">
        <f>IF($E849="","",IF($B849=1,Input!$C$59,IF($B849&lt;6,Input!$C$60,0%)))</f>
        <v>0</v>
      </c>
      <c r="Q849" s="162">
        <f>IF($E849="","",Input!$C$58)</f>
        <v>2.5</v>
      </c>
      <c r="R849" s="156">
        <f t="shared" si="285"/>
        <v>0.88538744099600941</v>
      </c>
      <c r="S849" s="154">
        <f t="shared" si="274"/>
        <v>2.9164099157536173E-11</v>
      </c>
      <c r="T849" s="152"/>
      <c r="U849" s="150">
        <f t="shared" si="286"/>
        <v>0</v>
      </c>
      <c r="V849" s="150">
        <f t="shared" si="287"/>
        <v>0</v>
      </c>
      <c r="W849" s="168">
        <f t="shared" si="288"/>
        <v>0</v>
      </c>
      <c r="X849" s="163">
        <f t="shared" si="275"/>
        <v>11461.255900399059</v>
      </c>
      <c r="Y849" s="152"/>
      <c r="Z849" s="164">
        <f>IF(AND($C848=12,$D848=Input!$C$6),0,IF($E849="","",V849+Z850/(1+L849)*R849))</f>
        <v>38482.476772370515</v>
      </c>
      <c r="AA849" s="164">
        <f>IF(OR($M849=1,AND($C848=12,$D848=Input!$C$6)),0,IF($E849="","",W849+(X849+AA850*$R849)/(1+$L849)))</f>
        <v>92254.908266983912</v>
      </c>
      <c r="AB849" s="160">
        <f t="shared" si="276"/>
        <v>0.825720328500681</v>
      </c>
      <c r="AC849" s="164">
        <f t="shared" si="277"/>
        <v>0</v>
      </c>
      <c r="AD849" s="164">
        <f>IF(AND($C848=12,$D848=Input!$C$6),0,IF($E849="","",$AC849+AD850/(1+$L849)*$R849))</f>
        <v>31775.763362001613</v>
      </c>
      <c r="AE849" s="152"/>
      <c r="AF849" s="164">
        <f>IF(AND($C848=12,$D848=Input!$C$6),0,IF($E849="","",IF($B849&gt;Input!$C$9,$AC849,0)+AF850/(1+$L849)*$R849))</f>
        <v>31775.763362001613</v>
      </c>
      <c r="AG849" s="164">
        <f>IF(AND($C848=12,$D848=Input!$C$6),0,IF($E849="","",(IF($B849&gt;Input!$C$9,$X849,0)+AG850)/(1+$L849)*$R849))</f>
        <v>80544.037179461928</v>
      </c>
      <c r="AH849" s="160">
        <f t="shared" si="278"/>
        <v>2.0950137211446997</v>
      </c>
      <c r="AI849" s="160">
        <f>IF($E849="","",MIN(Input!$C$61/AH849,1))</f>
        <v>0.64438718771845094</v>
      </c>
      <c r="AJ849" s="152"/>
      <c r="AK849" s="164">
        <f>IF(AND($C848=12,$D848=Input!$C$6),0,IF($E849="","",IF($B849&gt;Input!$C$9,$AC849*AI849,0)+AK850/(1+$L849)*$R849))</f>
        <v>20475.894790447204</v>
      </c>
      <c r="AL849" s="164">
        <f>IF(AND($C848=12,$D848=Input!$C$6),0,IF($E849="","",IF($B849&gt;Input!$C$9,0,$AC849)+AL850/(1+$L849)*$R849))</f>
        <v>0</v>
      </c>
      <c r="AM849" s="160">
        <f t="shared" si="279"/>
        <v>1.1382936520186004</v>
      </c>
      <c r="AN849" s="164">
        <f>IF($E849="","",IF($B849&gt;Input!$C$9,$AI849*$AC849,$AM849*$AC849))</f>
        <v>0</v>
      </c>
      <c r="AO849" s="164">
        <f>IF(AND($C848=12,$D848=Input!$C$6),0,IF($E849="","",$AN849+AO850/(1+$L849)*$R849))</f>
        <v>20475.894790447204</v>
      </c>
      <c r="AP849" s="152"/>
      <c r="AQ849" s="164">
        <f t="shared" si="280"/>
        <v>71779.013476536711</v>
      </c>
      <c r="AR849" s="164">
        <f t="shared" si="289"/>
        <v>61278.985610517506</v>
      </c>
      <c r="AS849" s="164">
        <f t="shared" si="290"/>
        <v>36743.540669856462</v>
      </c>
      <c r="AT849" s="164">
        <f t="shared" si="281"/>
        <v>61278.985610517506</v>
      </c>
      <c r="AU849" s="152"/>
      <c r="AV849" s="147">
        <f>'Deterministic Reserve'!BC849</f>
        <v>2.0932373022494277E-17</v>
      </c>
      <c r="AW849" s="164">
        <f t="shared" si="282"/>
        <v>61278.985610517506</v>
      </c>
      <c r="AX849" s="164">
        <f t="shared" si="283"/>
        <v>1.2827145852394116E-12</v>
      </c>
      <c r="AY849" s="152"/>
    </row>
    <row r="850" spans="1:51" s="150" customFormat="1" x14ac:dyDescent="0.25">
      <c r="A850" s="150">
        <f t="shared" si="291"/>
        <v>846</v>
      </c>
      <c r="B850" s="150">
        <f t="shared" si="292"/>
        <v>71</v>
      </c>
      <c r="C850" s="150">
        <f t="shared" si="293"/>
        <v>6</v>
      </c>
      <c r="D850" s="150">
        <f>IF(E850="","",Input!$C$4+B850-1)</f>
        <v>115</v>
      </c>
      <c r="E850" s="150">
        <f>IF(OR(AND(C849=12,D849=Input!$C$6),E849=""),"",1)</f>
        <v>1</v>
      </c>
      <c r="F850" s="150">
        <f>IF(E850="","",Input!$C$8+B850-1)</f>
        <v>2088</v>
      </c>
      <c r="G850" s="151">
        <f>IF(E850="","",MAX(0,Input!$C$9-B850))</f>
        <v>0</v>
      </c>
      <c r="H850" s="152">
        <f>IF(E850="","",Input!$C$3)</f>
        <v>100000</v>
      </c>
      <c r="I850" s="153">
        <f>IF(E850="","",HLOOKUP($B850,Input!$C$13:$BT$14,2))</f>
        <v>1000</v>
      </c>
      <c r="J850" s="154"/>
      <c r="K850" s="155">
        <f>IF($E850="","",Input!$C$57)</f>
        <v>4.4999999999999998E-2</v>
      </c>
      <c r="L850" s="155">
        <f t="shared" si="284"/>
        <v>3.6748094004368514E-3</v>
      </c>
      <c r="M850" s="147">
        <f>IF($E850="","",VLOOKUP(IF($B850&lt;=Input!$C$7,$B850,26),'Mortality Tables'!$A$72:$CA$97,IF($B850&lt;=Input!$C$7+1,Input!$C$4-16,$D850-Input!$C$7-16),0)/1000)</f>
        <v>0.76794000000000007</v>
      </c>
      <c r="N850" s="147">
        <f t="shared" si="273"/>
        <v>0.11461255900399059</v>
      </c>
      <c r="O850" s="157">
        <f>IF($E850="","",IF($C850=12,IF($B850&lt;Input!$C$9,Input!$C$54,IF($B850=Input!$C$9,Input!$C$55,Input!$C$56)),0%))</f>
        <v>0</v>
      </c>
      <c r="P850" s="167">
        <f>IF($E850="","",IF($B850=1,Input!$C$59,IF($B850&lt;6,Input!$C$60,0%)))</f>
        <v>0</v>
      </c>
      <c r="Q850" s="162">
        <f>IF($E850="","",Input!$C$58)</f>
        <v>2.5</v>
      </c>
      <c r="R850" s="156">
        <f t="shared" si="285"/>
        <v>0.88538744099600941</v>
      </c>
      <c r="S850" s="154">
        <f t="shared" si="274"/>
        <v>2.5821527122044826E-11</v>
      </c>
      <c r="T850" s="152"/>
      <c r="U850" s="150">
        <f t="shared" si="286"/>
        <v>0</v>
      </c>
      <c r="V850" s="150">
        <f t="shared" si="287"/>
        <v>0</v>
      </c>
      <c r="W850" s="168">
        <f t="shared" si="288"/>
        <v>0</v>
      </c>
      <c r="X850" s="163">
        <f t="shared" si="275"/>
        <v>11461.255900399059</v>
      </c>
      <c r="Y850" s="152"/>
      <c r="Z850" s="164">
        <f>IF(AND($C849=12,$D849=Input!$C$6),0,IF($E850="","",V850+Z851/(1+L850)*R850))</f>
        <v>43623.71855683437</v>
      </c>
      <c r="AA850" s="164">
        <f>IF(OR($M850=1,AND($C849=12,$D849=Input!$C$6)),0,IF($E850="","",W850+(X850+AA851*$R850)/(1+$L850)))</f>
        <v>91635.21845244526</v>
      </c>
      <c r="AB850" s="160">
        <f t="shared" si="276"/>
        <v>0.825720328500681</v>
      </c>
      <c r="AC850" s="164">
        <f t="shared" si="277"/>
        <v>0</v>
      </c>
      <c r="AD850" s="164">
        <f>IF(AND($C849=12,$D849=Input!$C$6),0,IF($E850="","",$AC850+AD851/(1+$L850)*$R850))</f>
        <v>36020.991217170544</v>
      </c>
      <c r="AE850" s="152"/>
      <c r="AF850" s="164">
        <f>IF(AND($C849=12,$D849=Input!$C$6),0,IF($E850="","",IF($B850&gt;Input!$C$9,$AC850,0)+AF851/(1+$L850)*$R850))</f>
        <v>36020.991217170544</v>
      </c>
      <c r="AG850" s="164">
        <f>IF(AND($C849=12,$D849=Input!$C$6),0,IF($E850="","",(IF($B850&gt;Input!$C$9,$X850,0)+AG851)/(1+$L850)*$R850))</f>
        <v>79843.428830048229</v>
      </c>
      <c r="AH850" s="160">
        <f t="shared" si="278"/>
        <v>2.0950137211446997</v>
      </c>
      <c r="AI850" s="160">
        <f>IF($E850="","",MIN(Input!$C$61/AH850,1))</f>
        <v>0.64438718771845094</v>
      </c>
      <c r="AJ850" s="152"/>
      <c r="AK850" s="164">
        <f>IF(AND($C849=12,$D849=Input!$C$6),0,IF($E850="","",IF($B850&gt;Input!$C$9,$AC850*AI850,0)+AK851/(1+$L850)*$R850))</f>
        <v>23211.46522926354</v>
      </c>
      <c r="AL850" s="164">
        <f>IF(AND($C849=12,$D849=Input!$C$6),0,IF($E850="","",IF($B850&gt;Input!$C$9,0,$AC850)+AL851/(1+$L850)*$R850))</f>
        <v>0</v>
      </c>
      <c r="AM850" s="160">
        <f t="shared" si="279"/>
        <v>1.1382936520186004</v>
      </c>
      <c r="AN850" s="164">
        <f>IF($E850="","",IF($B850&gt;Input!$C$9,$AI850*$AC850,$AM850*$AC850))</f>
        <v>0</v>
      </c>
      <c r="AO850" s="164">
        <f>IF(AND($C849=12,$D849=Input!$C$6),0,IF($E850="","",$AN850+AO851/(1+$L850)*$R850))</f>
        <v>23211.46522926354</v>
      </c>
      <c r="AP850" s="152"/>
      <c r="AQ850" s="164">
        <f t="shared" si="280"/>
        <v>68423.753223181717</v>
      </c>
      <c r="AR850" s="164">
        <f t="shared" si="289"/>
        <v>61278.985610517506</v>
      </c>
      <c r="AS850" s="164">
        <f t="shared" si="290"/>
        <v>36743.540669856462</v>
      </c>
      <c r="AT850" s="164">
        <f t="shared" si="281"/>
        <v>61278.985610517506</v>
      </c>
      <c r="AU850" s="152"/>
      <c r="AV850" s="147">
        <f>'Deterministic Reserve'!BC850</f>
        <v>1.8912586126126902E-17</v>
      </c>
      <c r="AW850" s="164">
        <f t="shared" si="282"/>
        <v>61278.985610517506</v>
      </c>
      <c r="AX850" s="164">
        <f t="shared" si="283"/>
        <v>1.1589440930806035E-12</v>
      </c>
      <c r="AY850" s="152"/>
    </row>
    <row r="851" spans="1:51" s="150" customFormat="1" x14ac:dyDescent="0.25">
      <c r="A851" s="150">
        <f t="shared" si="291"/>
        <v>847</v>
      </c>
      <c r="B851" s="150">
        <f t="shared" si="292"/>
        <v>71</v>
      </c>
      <c r="C851" s="150">
        <f t="shared" si="293"/>
        <v>7</v>
      </c>
      <c r="D851" s="150">
        <f>IF(E851="","",Input!$C$4+B851-1)</f>
        <v>115</v>
      </c>
      <c r="E851" s="150">
        <f>IF(OR(AND(C850=12,D850=Input!$C$6),E850=""),"",1)</f>
        <v>1</v>
      </c>
      <c r="F851" s="150">
        <f>IF(E851="","",Input!$C$8+B851-1)</f>
        <v>2088</v>
      </c>
      <c r="G851" s="151">
        <f>IF(E851="","",MAX(0,Input!$C$9-B851))</f>
        <v>0</v>
      </c>
      <c r="H851" s="152">
        <f>IF(E851="","",Input!$C$3)</f>
        <v>100000</v>
      </c>
      <c r="I851" s="153">
        <f>IF(E851="","",HLOOKUP($B851,Input!$C$13:$BT$14,2))</f>
        <v>1000</v>
      </c>
      <c r="J851" s="154"/>
      <c r="K851" s="155">
        <f>IF($E851="","",Input!$C$57)</f>
        <v>4.4999999999999998E-2</v>
      </c>
      <c r="L851" s="155">
        <f t="shared" si="284"/>
        <v>3.6748094004368514E-3</v>
      </c>
      <c r="M851" s="147">
        <f>IF($E851="","",VLOOKUP(IF($B851&lt;=Input!$C$7,$B851,26),'Mortality Tables'!$A$72:$CA$97,IF($B851&lt;=Input!$C$7+1,Input!$C$4-16,$D851-Input!$C$7-16),0)/1000)</f>
        <v>0.76794000000000007</v>
      </c>
      <c r="N851" s="147">
        <f t="shared" si="273"/>
        <v>0.11461255900399059</v>
      </c>
      <c r="O851" s="157">
        <f>IF($E851="","",IF($C851=12,IF($B851&lt;Input!$C$9,Input!$C$54,IF($B851=Input!$C$9,Input!$C$55,Input!$C$56)),0%))</f>
        <v>0</v>
      </c>
      <c r="P851" s="167">
        <f>IF($E851="","",IF($B851=1,Input!$C$59,IF($B851&lt;6,Input!$C$60,0%)))</f>
        <v>0</v>
      </c>
      <c r="Q851" s="162">
        <f>IF($E851="","",Input!$C$58)</f>
        <v>2.5</v>
      </c>
      <c r="R851" s="156">
        <f t="shared" si="285"/>
        <v>0.88538744099600941</v>
      </c>
      <c r="S851" s="154">
        <f t="shared" si="274"/>
        <v>2.2862055821196319E-11</v>
      </c>
      <c r="T851" s="152"/>
      <c r="U851" s="150">
        <f t="shared" si="286"/>
        <v>0</v>
      </c>
      <c r="V851" s="150">
        <f t="shared" si="287"/>
        <v>0</v>
      </c>
      <c r="W851" s="168">
        <f t="shared" si="288"/>
        <v>0</v>
      </c>
      <c r="X851" s="163">
        <f t="shared" si="275"/>
        <v>11461.255900399059</v>
      </c>
      <c r="Y851" s="152"/>
      <c r="Z851" s="164">
        <f>IF(AND($C850=12,$D850=Input!$C$6),0,IF($E851="","",V851+Z852/(1+L851)*R851))</f>
        <v>49451.827957503614</v>
      </c>
      <c r="AA851" s="164">
        <f>IF(OR($M851=1,AND($C850=12,$D850=Input!$C$6)),0,IF($E851="","",W851+(X851+AA852*$R851)/(1+$L851)))</f>
        <v>90932.738354246874</v>
      </c>
      <c r="AB851" s="160">
        <f t="shared" si="276"/>
        <v>0.825720328500681</v>
      </c>
      <c r="AC851" s="164">
        <f t="shared" si="277"/>
        <v>0</v>
      </c>
      <c r="AD851" s="164">
        <f>IF(AND($C850=12,$D850=Input!$C$6),0,IF($E851="","",$AC851+AD852/(1+$L851)*$R851))</f>
        <v>40833.379626029055</v>
      </c>
      <c r="AE851" s="152"/>
      <c r="AF851" s="164">
        <f>IF(AND($C850=12,$D850=Input!$C$6),0,IF($E851="","",IF($B851&gt;Input!$C$9,$AC851,0)+AF852/(1+$L851)*$R851))</f>
        <v>40833.379626029055</v>
      </c>
      <c r="AG851" s="164">
        <f>IF(AND($C850=12,$D850=Input!$C$6),0,IF($E851="","",(IF($B851&gt;Input!$C$9,$X851,0)+AG852)/(1+$L851)*$R851))</f>
        <v>79049.219516698256</v>
      </c>
      <c r="AH851" s="160">
        <f t="shared" si="278"/>
        <v>2.0950137211446997</v>
      </c>
      <c r="AI851" s="160">
        <f>IF($E851="","",MIN(Input!$C$61/AH851,1))</f>
        <v>0.64438718771845094</v>
      </c>
      <c r="AJ851" s="152"/>
      <c r="AK851" s="164">
        <f>IF(AND($C850=12,$D850=Input!$C$6),0,IF($E851="","",IF($B851&gt;Input!$C$9,$AC851*AI851,0)+AK852/(1+$L851)*$R851))</f>
        <v>26312.506662256746</v>
      </c>
      <c r="AL851" s="164">
        <f>IF(AND($C850=12,$D850=Input!$C$6),0,IF($E851="","",IF($B851&gt;Input!$C$9,0,$AC851)+AL852/(1+$L851)*$R851))</f>
        <v>0</v>
      </c>
      <c r="AM851" s="160">
        <f t="shared" si="279"/>
        <v>1.1382936520186004</v>
      </c>
      <c r="AN851" s="164">
        <f>IF($E851="","",IF($B851&gt;Input!$C$9,$AI851*$AC851,$AM851*$AC851))</f>
        <v>0</v>
      </c>
      <c r="AO851" s="164">
        <f>IF(AND($C850=12,$D850=Input!$C$6),0,IF($E851="","",$AN851+AO852/(1+$L851)*$R851))</f>
        <v>26312.506662256746</v>
      </c>
      <c r="AP851" s="152"/>
      <c r="AQ851" s="164">
        <f t="shared" si="280"/>
        <v>64620.231691990128</v>
      </c>
      <c r="AR851" s="164">
        <f t="shared" si="289"/>
        <v>61278.985610517506</v>
      </c>
      <c r="AS851" s="164">
        <f t="shared" si="290"/>
        <v>36743.540669856462</v>
      </c>
      <c r="AT851" s="164">
        <f t="shared" si="281"/>
        <v>61278.985610517506</v>
      </c>
      <c r="AU851" s="152"/>
      <c r="AV851" s="147">
        <f>'Deterministic Reserve'!BC851</f>
        <v>1.7087690611752071E-17</v>
      </c>
      <c r="AW851" s="164">
        <f t="shared" si="282"/>
        <v>61278.985610517506</v>
      </c>
      <c r="AX851" s="164">
        <f t="shared" si="283"/>
        <v>1.0471163471145303E-12</v>
      </c>
      <c r="AY851" s="152"/>
    </row>
    <row r="852" spans="1:51" s="150" customFormat="1" x14ac:dyDescent="0.25">
      <c r="A852" s="150">
        <f t="shared" si="291"/>
        <v>848</v>
      </c>
      <c r="B852" s="150">
        <f t="shared" si="292"/>
        <v>71</v>
      </c>
      <c r="C852" s="150">
        <f t="shared" si="293"/>
        <v>8</v>
      </c>
      <c r="D852" s="150">
        <f>IF(E852="","",Input!$C$4+B852-1)</f>
        <v>115</v>
      </c>
      <c r="E852" s="150">
        <f>IF(OR(AND(C851=12,D851=Input!$C$6),E851=""),"",1)</f>
        <v>1</v>
      </c>
      <c r="F852" s="150">
        <f>IF(E852="","",Input!$C$8+B852-1)</f>
        <v>2088</v>
      </c>
      <c r="G852" s="151">
        <f>IF(E852="","",MAX(0,Input!$C$9-B852))</f>
        <v>0</v>
      </c>
      <c r="H852" s="152">
        <f>IF(E852="","",Input!$C$3)</f>
        <v>100000</v>
      </c>
      <c r="I852" s="153">
        <f>IF(E852="","",HLOOKUP($B852,Input!$C$13:$BT$14,2))</f>
        <v>1000</v>
      </c>
      <c r="J852" s="154"/>
      <c r="K852" s="155">
        <f>IF($E852="","",Input!$C$57)</f>
        <v>4.4999999999999998E-2</v>
      </c>
      <c r="L852" s="155">
        <f t="shared" si="284"/>
        <v>3.6748094004368514E-3</v>
      </c>
      <c r="M852" s="147">
        <f>IF($E852="","",VLOOKUP(IF($B852&lt;=Input!$C$7,$B852,26),'Mortality Tables'!$A$72:$CA$97,IF($B852&lt;=Input!$C$7+1,Input!$C$4-16,$D852-Input!$C$7-16),0)/1000)</f>
        <v>0.76794000000000007</v>
      </c>
      <c r="N852" s="147">
        <f t="shared" si="273"/>
        <v>0.11461255900399059</v>
      </c>
      <c r="O852" s="157">
        <f>IF($E852="","",IF($C852=12,IF($B852&lt;Input!$C$9,Input!$C$54,IF($B852=Input!$C$9,Input!$C$55,Input!$C$56)),0%))</f>
        <v>0</v>
      </c>
      <c r="P852" s="167">
        <f>IF($E852="","",IF($B852=1,Input!$C$59,IF($B852&lt;6,Input!$C$60,0%)))</f>
        <v>0</v>
      </c>
      <c r="Q852" s="162">
        <f>IF($E852="","",Input!$C$58)</f>
        <v>2.5</v>
      </c>
      <c r="R852" s="156">
        <f t="shared" si="285"/>
        <v>0.88538744099600941</v>
      </c>
      <c r="S852" s="154">
        <f t="shared" si="274"/>
        <v>2.024177709943693E-11</v>
      </c>
      <c r="T852" s="152"/>
      <c r="U852" s="150">
        <f t="shared" si="286"/>
        <v>0</v>
      </c>
      <c r="V852" s="150">
        <f t="shared" si="287"/>
        <v>0</v>
      </c>
      <c r="W852" s="168">
        <f t="shared" si="288"/>
        <v>0</v>
      </c>
      <c r="X852" s="163">
        <f t="shared" si="275"/>
        <v>11461.255900399059</v>
      </c>
      <c r="Y852" s="152"/>
      <c r="Z852" s="164">
        <f>IF(AND($C851=12,$D851=Input!$C$6),0,IF($E852="","",V852+Z853/(1+L852)*R852))</f>
        <v>56058.570182468109</v>
      </c>
      <c r="AA852" s="164">
        <f>IF(OR($M852=1,AND($C851=12,$D851=Input!$C$6)),0,IF($E852="","",W852+(X852+AA853*$R852)/(1+$L852)))</f>
        <v>90136.407227306889</v>
      </c>
      <c r="AB852" s="160">
        <f t="shared" si="276"/>
        <v>0.825720328500681</v>
      </c>
      <c r="AC852" s="164">
        <f t="shared" si="277"/>
        <v>0</v>
      </c>
      <c r="AD852" s="164">
        <f>IF(AND($C851=12,$D851=Input!$C$6),0,IF($E852="","",$AC852+AD853/(1+$L852)*$R852))</f>
        <v>46288.700986346055</v>
      </c>
      <c r="AE852" s="152"/>
      <c r="AF852" s="164">
        <f>IF(AND($C851=12,$D851=Input!$C$6),0,IF($E852="","",IF($B852&gt;Input!$C$9,$AC852,0)+AF853/(1+$L852)*$R852))</f>
        <v>46288.700986346055</v>
      </c>
      <c r="AG852" s="164">
        <f>IF(AND($C851=12,$D851=Input!$C$6),0,IF($E852="","",(IF($B852&gt;Input!$C$9,$X852,0)+AG853)/(1+$L852)*$R852))</f>
        <v>78148.904192252405</v>
      </c>
      <c r="AH852" s="160">
        <f t="shared" si="278"/>
        <v>2.0950137211446997</v>
      </c>
      <c r="AI852" s="160">
        <f>IF($E852="","",MIN(Input!$C$61/AH852,1))</f>
        <v>0.64438718771845094</v>
      </c>
      <c r="AJ852" s="152"/>
      <c r="AK852" s="164">
        <f>IF(AND($C851=12,$D851=Input!$C$6),0,IF($E852="","",IF($B852&gt;Input!$C$9,$AC852*AI852,0)+AK853/(1+$L852)*$R852))</f>
        <v>29827.845851731814</v>
      </c>
      <c r="AL852" s="164">
        <f>IF(AND($C851=12,$D851=Input!$C$6),0,IF($E852="","",IF($B852&gt;Input!$C$9,0,$AC852)+AL853/(1+$L852)*$R852))</f>
        <v>0</v>
      </c>
      <c r="AM852" s="160">
        <f t="shared" si="279"/>
        <v>1.1382936520186004</v>
      </c>
      <c r="AN852" s="164">
        <f>IF($E852="","",IF($B852&gt;Input!$C$9,$AI852*$AC852,$AM852*$AC852))</f>
        <v>0</v>
      </c>
      <c r="AO852" s="164">
        <f>IF(AND($C851=12,$D851=Input!$C$6),0,IF($E852="","",$AN852+AO853/(1+$L852)*$R852))</f>
        <v>29827.845851731814</v>
      </c>
      <c r="AP852" s="152"/>
      <c r="AQ852" s="164">
        <f t="shared" si="280"/>
        <v>60308.561375575075</v>
      </c>
      <c r="AR852" s="164">
        <f t="shared" si="289"/>
        <v>61278.985610517506</v>
      </c>
      <c r="AS852" s="164">
        <f t="shared" si="290"/>
        <v>36743.540669856462</v>
      </c>
      <c r="AT852" s="164">
        <f t="shared" si="281"/>
        <v>61278.985610517506</v>
      </c>
      <c r="AU852" s="152"/>
      <c r="AV852" s="147">
        <f>'Deterministic Reserve'!BC852</f>
        <v>1.5438881203009552E-17</v>
      </c>
      <c r="AW852" s="164">
        <f t="shared" si="282"/>
        <v>61278.985610517506</v>
      </c>
      <c r="AX852" s="164">
        <f t="shared" si="283"/>
        <v>9.4607897908171158E-13</v>
      </c>
      <c r="AY852" s="152"/>
    </row>
    <row r="853" spans="1:51" s="150" customFormat="1" x14ac:dyDescent="0.25">
      <c r="A853" s="150">
        <f t="shared" si="291"/>
        <v>849</v>
      </c>
      <c r="B853" s="150">
        <f t="shared" si="292"/>
        <v>71</v>
      </c>
      <c r="C853" s="150">
        <f t="shared" si="293"/>
        <v>9</v>
      </c>
      <c r="D853" s="150">
        <f>IF(E853="","",Input!$C$4+B853-1)</f>
        <v>115</v>
      </c>
      <c r="E853" s="150">
        <f>IF(OR(AND(C852=12,D852=Input!$C$6),E852=""),"",1)</f>
        <v>1</v>
      </c>
      <c r="F853" s="150">
        <f>IF(E853="","",Input!$C$8+B853-1)</f>
        <v>2088</v>
      </c>
      <c r="G853" s="151">
        <f>IF(E853="","",MAX(0,Input!$C$9-B853))</f>
        <v>0</v>
      </c>
      <c r="H853" s="152">
        <f>IF(E853="","",Input!$C$3)</f>
        <v>100000</v>
      </c>
      <c r="I853" s="153">
        <f>IF(E853="","",HLOOKUP($B853,Input!$C$13:$BT$14,2))</f>
        <v>1000</v>
      </c>
      <c r="J853" s="154"/>
      <c r="K853" s="155">
        <f>IF($E853="","",Input!$C$57)</f>
        <v>4.4999999999999998E-2</v>
      </c>
      <c r="L853" s="155">
        <f t="shared" si="284"/>
        <v>3.6748094004368514E-3</v>
      </c>
      <c r="M853" s="147">
        <f>IF($E853="","",VLOOKUP(IF($B853&lt;=Input!$C$7,$B853,26),'Mortality Tables'!$A$72:$CA$97,IF($B853&lt;=Input!$C$7+1,Input!$C$4-16,$D853-Input!$C$7-16),0)/1000)</f>
        <v>0.76794000000000007</v>
      </c>
      <c r="N853" s="147">
        <f t="shared" si="273"/>
        <v>0.11461255900399059</v>
      </c>
      <c r="O853" s="157">
        <f>IF($E853="","",IF($C853=12,IF($B853&lt;Input!$C$9,Input!$C$54,IF($B853=Input!$C$9,Input!$C$55,Input!$C$56)),0%))</f>
        <v>0</v>
      </c>
      <c r="P853" s="167">
        <f>IF($E853="","",IF($B853=1,Input!$C$59,IF($B853&lt;6,Input!$C$60,0%)))</f>
        <v>0</v>
      </c>
      <c r="Q853" s="162">
        <f>IF($E853="","",Input!$C$58)</f>
        <v>2.5</v>
      </c>
      <c r="R853" s="156">
        <f t="shared" si="285"/>
        <v>0.88538744099600941</v>
      </c>
      <c r="S853" s="154">
        <f t="shared" si="274"/>
        <v>1.7921815227282089E-11</v>
      </c>
      <c r="T853" s="152"/>
      <c r="U853" s="150">
        <f t="shared" si="286"/>
        <v>0</v>
      </c>
      <c r="V853" s="150">
        <f t="shared" si="287"/>
        <v>0</v>
      </c>
      <c r="W853" s="168">
        <f t="shared" si="288"/>
        <v>0</v>
      </c>
      <c r="X853" s="163">
        <f t="shared" si="275"/>
        <v>11461.255900399059</v>
      </c>
      <c r="Y853" s="152"/>
      <c r="Z853" s="164">
        <f>IF(AND($C852=12,$D852=Input!$C$6),0,IF($E853="","",V853+Z854/(1+L853)*R853))</f>
        <v>63547.970230812534</v>
      </c>
      <c r="AA853" s="164">
        <f>IF(OR($M853=1,AND($C852=12,$D852=Input!$C$6)),0,IF($E853="","",W853+(X853+AA854*$R853)/(1+$L853)))</f>
        <v>89233.686615918952</v>
      </c>
      <c r="AB853" s="160">
        <f t="shared" si="276"/>
        <v>0.825720328500681</v>
      </c>
      <c r="AC853" s="164">
        <f t="shared" si="277"/>
        <v>0</v>
      </c>
      <c r="AD853" s="164">
        <f>IF(AND($C852=12,$D852=Input!$C$6),0,IF($E853="","",$AC853+AD854/(1+$L853)*$R853))</f>
        <v>52472.850854538025</v>
      </c>
      <c r="AE853" s="152"/>
      <c r="AF853" s="164">
        <f>IF(AND($C852=12,$D852=Input!$C$6),0,IF($E853="","",IF($B853&gt;Input!$C$9,$AC853,0)+AF854/(1+$L853)*$R853))</f>
        <v>52472.850854538025</v>
      </c>
      <c r="AG853" s="164">
        <f>IF(AND($C852=12,$D852=Input!$C$6),0,IF($E853="","",(IF($B853&gt;Input!$C$9,$X853,0)+AG854)/(1+$L853)*$R853))</f>
        <v>77128.307140811346</v>
      </c>
      <c r="AH853" s="160">
        <f t="shared" si="278"/>
        <v>2.0950137211446997</v>
      </c>
      <c r="AI853" s="160">
        <f>IF($E853="","",MIN(Input!$C$61/AH853,1))</f>
        <v>0.64438718771845094</v>
      </c>
      <c r="AJ853" s="152"/>
      <c r="AK853" s="164">
        <f>IF(AND($C852=12,$D852=Input!$C$6),0,IF($E853="","",IF($B853&gt;Input!$C$9,$AC853*AI853,0)+AK854/(1+$L853)*$R853))</f>
        <v>33812.832793725465</v>
      </c>
      <c r="AL853" s="164">
        <f>IF(AND($C852=12,$D852=Input!$C$6),0,IF($E853="","",IF($B853&gt;Input!$C$9,0,$AC853)+AL854/(1+$L853)*$R853))</f>
        <v>0</v>
      </c>
      <c r="AM853" s="160">
        <f t="shared" si="279"/>
        <v>1.1382936520186004</v>
      </c>
      <c r="AN853" s="164">
        <f>IF($E853="","",IF($B853&gt;Input!$C$9,$AI853*$AC853,$AM853*$AC853))</f>
        <v>0</v>
      </c>
      <c r="AO853" s="164">
        <f>IF(AND($C852=12,$D852=Input!$C$6),0,IF($E853="","",$AN853+AO854/(1+$L853)*$R853))</f>
        <v>33812.832793725465</v>
      </c>
      <c r="AP853" s="152"/>
      <c r="AQ853" s="164">
        <f t="shared" si="280"/>
        <v>55420.853822193487</v>
      </c>
      <c r="AR853" s="164">
        <f t="shared" si="289"/>
        <v>61278.985610517506</v>
      </c>
      <c r="AS853" s="164">
        <f t="shared" si="290"/>
        <v>36743.540669856462</v>
      </c>
      <c r="AT853" s="164">
        <f t="shared" si="281"/>
        <v>61278.985610517506</v>
      </c>
      <c r="AU853" s="152"/>
      <c r="AV853" s="147">
        <f>'Deterministic Reserve'!BC853</f>
        <v>1.3949167164620248E-17</v>
      </c>
      <c r="AW853" s="164">
        <f t="shared" si="282"/>
        <v>61278.985610517506</v>
      </c>
      <c r="AX853" s="164">
        <f t="shared" si="283"/>
        <v>8.547908139594674E-13</v>
      </c>
      <c r="AY853" s="152"/>
    </row>
    <row r="854" spans="1:51" s="150" customFormat="1" x14ac:dyDescent="0.25">
      <c r="A854" s="150">
        <f t="shared" si="291"/>
        <v>850</v>
      </c>
      <c r="B854" s="150">
        <f t="shared" si="292"/>
        <v>71</v>
      </c>
      <c r="C854" s="150">
        <f t="shared" si="293"/>
        <v>10</v>
      </c>
      <c r="D854" s="150">
        <f>IF(E854="","",Input!$C$4+B854-1)</f>
        <v>115</v>
      </c>
      <c r="E854" s="150">
        <f>IF(OR(AND(C853=12,D853=Input!$C$6),E853=""),"",1)</f>
        <v>1</v>
      </c>
      <c r="F854" s="150">
        <f>IF(E854="","",Input!$C$8+B854-1)</f>
        <v>2088</v>
      </c>
      <c r="G854" s="151">
        <f>IF(E854="","",MAX(0,Input!$C$9-B854))</f>
        <v>0</v>
      </c>
      <c r="H854" s="152">
        <f>IF(E854="","",Input!$C$3)</f>
        <v>100000</v>
      </c>
      <c r="I854" s="153">
        <f>IF(E854="","",HLOOKUP($B854,Input!$C$13:$BT$14,2))</f>
        <v>1000</v>
      </c>
      <c r="J854" s="154"/>
      <c r="K854" s="155">
        <f>IF($E854="","",Input!$C$57)</f>
        <v>4.4999999999999998E-2</v>
      </c>
      <c r="L854" s="155">
        <f t="shared" si="284"/>
        <v>3.6748094004368514E-3</v>
      </c>
      <c r="M854" s="147">
        <f>IF($E854="","",VLOOKUP(IF($B854&lt;=Input!$C$7,$B854,26),'Mortality Tables'!$A$72:$CA$97,IF($B854&lt;=Input!$C$7+1,Input!$C$4-16,$D854-Input!$C$7-16),0)/1000)</f>
        <v>0.76794000000000007</v>
      </c>
      <c r="N854" s="147">
        <f t="shared" si="273"/>
        <v>0.11461255900399059</v>
      </c>
      <c r="O854" s="157">
        <f>IF($E854="","",IF($C854=12,IF($B854&lt;Input!$C$9,Input!$C$54,IF($B854=Input!$C$9,Input!$C$55,Input!$C$56)),0%))</f>
        <v>0</v>
      </c>
      <c r="P854" s="167">
        <f>IF($E854="","",IF($B854=1,Input!$C$59,IF($B854&lt;6,Input!$C$60,0%)))</f>
        <v>0</v>
      </c>
      <c r="Q854" s="162">
        <f>IF($E854="","",Input!$C$58)</f>
        <v>2.5</v>
      </c>
      <c r="R854" s="156">
        <f t="shared" si="285"/>
        <v>0.88538744099600941</v>
      </c>
      <c r="S854" s="154">
        <f t="shared" si="274"/>
        <v>1.5867750122086604E-11</v>
      </c>
      <c r="T854" s="152"/>
      <c r="U854" s="150">
        <f t="shared" si="286"/>
        <v>0</v>
      </c>
      <c r="V854" s="150">
        <f t="shared" si="287"/>
        <v>0</v>
      </c>
      <c r="W854" s="168">
        <f t="shared" si="288"/>
        <v>0</v>
      </c>
      <c r="X854" s="163">
        <f t="shared" si="275"/>
        <v>11461.255900399059</v>
      </c>
      <c r="Y854" s="152"/>
      <c r="Z854" s="164">
        <f>IF(AND($C853=12,$D853=Input!$C$6),0,IF($E854="","",V854+Z855/(1+L854)*R854))</f>
        <v>72037.950795241602</v>
      </c>
      <c r="AA854" s="164">
        <f>IF(OR($M854=1,AND($C853=12,$D853=Input!$C$6)),0,IF($E854="","",W854+(X854+AA855*$R854)/(1+$L854)))</f>
        <v>88210.362932269927</v>
      </c>
      <c r="AB854" s="160">
        <f t="shared" si="276"/>
        <v>0.825720328500681</v>
      </c>
      <c r="AC854" s="164">
        <f t="shared" si="277"/>
        <v>0</v>
      </c>
      <c r="AD854" s="164">
        <f>IF(AND($C853=12,$D853=Input!$C$6),0,IF($E854="","",$AC854+AD855/(1+$L854)*$R854))</f>
        <v>59483.200395162792</v>
      </c>
      <c r="AE854" s="152"/>
      <c r="AF854" s="164">
        <f>IF(AND($C853=12,$D853=Input!$C$6),0,IF($E854="","",IF($B854&gt;Input!$C$9,$AC854,0)+AF855/(1+$L854)*$R854))</f>
        <v>59483.200395162792</v>
      </c>
      <c r="AG854" s="164">
        <f>IF(AND($C853=12,$D853=Input!$C$6),0,IF($E854="","",(IF($B854&gt;Input!$C$9,$X854,0)+AG855)/(1+$L854)*$R854))</f>
        <v>75971.358777135189</v>
      </c>
      <c r="AH854" s="160">
        <f t="shared" si="278"/>
        <v>2.0950137211446997</v>
      </c>
      <c r="AI854" s="160">
        <f>IF($E854="","",MIN(Input!$C$61/AH854,1))</f>
        <v>0.64438718771845094</v>
      </c>
      <c r="AJ854" s="152"/>
      <c r="AK854" s="164">
        <f>IF(AND($C853=12,$D853=Input!$C$6),0,IF($E854="","",IF($B854&gt;Input!$C$9,$AC854*AI854,0)+AK855/(1+$L854)*$R854))</f>
        <v>38330.212219131994</v>
      </c>
      <c r="AL854" s="164">
        <f>IF(AND($C853=12,$D853=Input!$C$6),0,IF($E854="","",IF($B854&gt;Input!$C$9,0,$AC854)+AL855/(1+$L854)*$R854))</f>
        <v>0</v>
      </c>
      <c r="AM854" s="160">
        <f t="shared" si="279"/>
        <v>1.1382936520186004</v>
      </c>
      <c r="AN854" s="164">
        <f>IF($E854="","",IF($B854&gt;Input!$C$9,$AI854*$AC854,$AM854*$AC854))</f>
        <v>0</v>
      </c>
      <c r="AO854" s="164">
        <f>IF(AND($C853=12,$D853=Input!$C$6),0,IF($E854="","",$AN854+AO855/(1+$L854)*$R854))</f>
        <v>38330.212219131994</v>
      </c>
      <c r="AP854" s="152"/>
      <c r="AQ854" s="164">
        <f t="shared" si="280"/>
        <v>49880.150713137933</v>
      </c>
      <c r="AR854" s="164">
        <f t="shared" si="289"/>
        <v>61278.985610517506</v>
      </c>
      <c r="AS854" s="164">
        <f t="shared" si="290"/>
        <v>36743.540669856462</v>
      </c>
      <c r="AT854" s="164">
        <f t="shared" si="281"/>
        <v>61278.985610517506</v>
      </c>
      <c r="AU854" s="152"/>
      <c r="AV854" s="147">
        <f>'Deterministic Reserve'!BC854</f>
        <v>1.2603197215390821E-17</v>
      </c>
      <c r="AW854" s="164">
        <f t="shared" si="282"/>
        <v>61278.985610517506</v>
      </c>
      <c r="AX854" s="164">
        <f t="shared" si="283"/>
        <v>7.7231114080844842E-13</v>
      </c>
      <c r="AY854" s="152"/>
    </row>
    <row r="855" spans="1:51" s="150" customFormat="1" x14ac:dyDescent="0.25">
      <c r="A855" s="150">
        <f t="shared" si="291"/>
        <v>851</v>
      </c>
      <c r="B855" s="150">
        <f t="shared" si="292"/>
        <v>71</v>
      </c>
      <c r="C855" s="150">
        <f t="shared" si="293"/>
        <v>11</v>
      </c>
      <c r="D855" s="150">
        <f>IF(E855="","",Input!$C$4+B855-1)</f>
        <v>115</v>
      </c>
      <c r="E855" s="150">
        <f>IF(OR(AND(C854=12,D854=Input!$C$6),E854=""),"",1)</f>
        <v>1</v>
      </c>
      <c r="F855" s="150">
        <f>IF(E855="","",Input!$C$8+B855-1)</f>
        <v>2088</v>
      </c>
      <c r="G855" s="151">
        <f>IF(E855="","",MAX(0,Input!$C$9-B855))</f>
        <v>0</v>
      </c>
      <c r="H855" s="152">
        <f>IF(E855="","",Input!$C$3)</f>
        <v>100000</v>
      </c>
      <c r="I855" s="153">
        <f>IF(E855="","",HLOOKUP($B855,Input!$C$13:$BT$14,2))</f>
        <v>1000</v>
      </c>
      <c r="J855" s="154"/>
      <c r="K855" s="155">
        <f>IF($E855="","",Input!$C$57)</f>
        <v>4.4999999999999998E-2</v>
      </c>
      <c r="L855" s="155">
        <f t="shared" si="284"/>
        <v>3.6748094004368514E-3</v>
      </c>
      <c r="M855" s="147">
        <f>IF($E855="","",VLOOKUP(IF($B855&lt;=Input!$C$7,$B855,26),'Mortality Tables'!$A$72:$CA$97,IF($B855&lt;=Input!$C$7+1,Input!$C$4-16,$D855-Input!$C$7-16),0)/1000)</f>
        <v>0.76794000000000007</v>
      </c>
      <c r="N855" s="147">
        <f t="shared" si="273"/>
        <v>0.11461255900399059</v>
      </c>
      <c r="O855" s="157">
        <f>IF($E855="","",IF($C855=12,IF($B855&lt;Input!$C$9,Input!$C$54,IF($B855=Input!$C$9,Input!$C$55,Input!$C$56)),0%))</f>
        <v>0</v>
      </c>
      <c r="P855" s="167">
        <f>IF($E855="","",IF($B855=1,Input!$C$59,IF($B855&lt;6,Input!$C$60,0%)))</f>
        <v>0</v>
      </c>
      <c r="Q855" s="162">
        <f>IF($E855="","",Input!$C$58)</f>
        <v>2.5</v>
      </c>
      <c r="R855" s="156">
        <f t="shared" si="285"/>
        <v>0.88538744099600941</v>
      </c>
      <c r="S855" s="154">
        <f t="shared" si="274"/>
        <v>1.4049106674958374E-11</v>
      </c>
      <c r="T855" s="152"/>
      <c r="U855" s="150">
        <f t="shared" si="286"/>
        <v>0</v>
      </c>
      <c r="V855" s="150">
        <f t="shared" si="287"/>
        <v>0</v>
      </c>
      <c r="W855" s="168">
        <f t="shared" si="288"/>
        <v>0</v>
      </c>
      <c r="X855" s="163">
        <f t="shared" si="275"/>
        <v>11461.255900399059</v>
      </c>
      <c r="Y855" s="152"/>
      <c r="Z855" s="164">
        <f>IF(AND($C854=12,$D854=Input!$C$6),0,IF($E855="","",V855+Z856/(1+L855)*R855))</f>
        <v>81662.188987767717</v>
      </c>
      <c r="AA855" s="164">
        <f>IF(OR($M855=1,AND($C854=12,$D854=Input!$C$6)),0,IF($E855="","",W855+(X855+AA856*$R855)/(1+$L855)))</f>
        <v>87050.323659535279</v>
      </c>
      <c r="AB855" s="160">
        <f t="shared" si="276"/>
        <v>0.825720328500681</v>
      </c>
      <c r="AC855" s="164">
        <f t="shared" si="277"/>
        <v>0</v>
      </c>
      <c r="AD855" s="164">
        <f>IF(AND($C854=12,$D854=Input!$C$6),0,IF($E855="","",$AC855+AD856/(1+$L855)*$R855))</f>
        <v>67430.129517064255</v>
      </c>
      <c r="AE855" s="152"/>
      <c r="AF855" s="164">
        <f>IF(AND($C854=12,$D854=Input!$C$6),0,IF($E855="","",IF($B855&gt;Input!$C$9,$AC855,0)+AF856/(1+$L855)*$R855))</f>
        <v>67430.129517064255</v>
      </c>
      <c r="AG855" s="164">
        <f>IF(AND($C854=12,$D854=Input!$C$6),0,IF($E855="","",(IF($B855&gt;Input!$C$9,$X855,0)+AG856)/(1+$L855)*$R855))</f>
        <v>74659.842626541809</v>
      </c>
      <c r="AH855" s="160">
        <f t="shared" si="278"/>
        <v>2.0950137211446997</v>
      </c>
      <c r="AI855" s="160">
        <f>IF($E855="","",MIN(Input!$C$61/AH855,1))</f>
        <v>0.64438718771845094</v>
      </c>
      <c r="AJ855" s="152"/>
      <c r="AK855" s="164">
        <f>IF(AND($C854=12,$D854=Input!$C$6),0,IF($E855="","",IF($B855&gt;Input!$C$9,$AC855*AI855,0)+AK856/(1+$L855)*$R855))</f>
        <v>43451.111526991939</v>
      </c>
      <c r="AL855" s="164">
        <f>IF(AND($C854=12,$D854=Input!$C$6),0,IF($E855="","",IF($B855&gt;Input!$C$9,0,$AC855)+AL856/(1+$L855)*$R855))</f>
        <v>0</v>
      </c>
      <c r="AM855" s="160">
        <f t="shared" si="279"/>
        <v>1.1382936520186004</v>
      </c>
      <c r="AN855" s="164">
        <f>IF($E855="","",IF($B855&gt;Input!$C$9,$AI855*$AC855,$AM855*$AC855))</f>
        <v>0</v>
      </c>
      <c r="AO855" s="164">
        <f>IF(AND($C854=12,$D854=Input!$C$6),0,IF($E855="","",$AN855+AO856/(1+$L855)*$R855))</f>
        <v>43451.111526991939</v>
      </c>
      <c r="AP855" s="152"/>
      <c r="AQ855" s="164">
        <f t="shared" si="280"/>
        <v>43599.21213254334</v>
      </c>
      <c r="AR855" s="164">
        <f t="shared" si="289"/>
        <v>61278.985610517506</v>
      </c>
      <c r="AS855" s="164">
        <f t="shared" si="290"/>
        <v>36743.540669856462</v>
      </c>
      <c r="AT855" s="164">
        <f t="shared" si="281"/>
        <v>61278.985610517506</v>
      </c>
      <c r="AU855" s="152"/>
      <c r="AV855" s="147">
        <f>'Deterministic Reserve'!BC855</f>
        <v>1.1387101335548389E-17</v>
      </c>
      <c r="AW855" s="164">
        <f t="shared" si="282"/>
        <v>61278.985610517506</v>
      </c>
      <c r="AX855" s="164">
        <f t="shared" si="283"/>
        <v>6.9779001888657437E-13</v>
      </c>
      <c r="AY855" s="152"/>
    </row>
    <row r="856" spans="1:51" s="150" customFormat="1" x14ac:dyDescent="0.25">
      <c r="A856" s="150">
        <f t="shared" si="291"/>
        <v>852</v>
      </c>
      <c r="B856" s="150">
        <f t="shared" si="292"/>
        <v>71</v>
      </c>
      <c r="C856" s="150">
        <f t="shared" si="293"/>
        <v>12</v>
      </c>
      <c r="D856" s="150">
        <f>IF(E856="","",Input!$C$4+B856-1)</f>
        <v>115</v>
      </c>
      <c r="E856" s="150">
        <f>IF(OR(AND(C855=12,D855=Input!$C$6),E855=""),"",1)</f>
        <v>1</v>
      </c>
      <c r="F856" s="150">
        <f>IF(E856="","",Input!$C$8+B856-1)</f>
        <v>2088</v>
      </c>
      <c r="G856" s="151">
        <f>IF(E856="","",MAX(0,Input!$C$9-B856))</f>
        <v>0</v>
      </c>
      <c r="H856" s="152">
        <f>IF(E856="","",Input!$C$3)</f>
        <v>100000</v>
      </c>
      <c r="I856" s="153">
        <f>IF(E856="","",HLOOKUP($B856,Input!$C$13:$BT$14,2))</f>
        <v>1000</v>
      </c>
      <c r="J856" s="154"/>
      <c r="K856" s="155">
        <f>IF($E856="","",Input!$C$57)</f>
        <v>4.4999999999999998E-2</v>
      </c>
      <c r="L856" s="155">
        <f t="shared" si="284"/>
        <v>3.6748094004368514E-3</v>
      </c>
      <c r="M856" s="147">
        <f>IF($E856="","",VLOOKUP(IF($B856&lt;=Input!$C$7,$B856,26),'Mortality Tables'!$A$72:$CA$97,IF($B856&lt;=Input!$C$7+1,Input!$C$4-16,$D856-Input!$C$7-16),0)/1000)</f>
        <v>0.76794000000000007</v>
      </c>
      <c r="N856" s="147">
        <f t="shared" si="273"/>
        <v>0.11461255900399059</v>
      </c>
      <c r="O856" s="157">
        <f>IF($E856="","",IF($C856=12,IF($B856&lt;Input!$C$9,Input!$C$54,IF($B856=Input!$C$9,Input!$C$55,Input!$C$56)),0%))</f>
        <v>0.1</v>
      </c>
      <c r="P856" s="167">
        <f>IF($E856="","",IF($B856=1,Input!$C$59,IF($B856&lt;6,Input!$C$60,0%)))</f>
        <v>0</v>
      </c>
      <c r="Q856" s="162">
        <f>IF($E856="","",Input!$C$58)</f>
        <v>2.5</v>
      </c>
      <c r="R856" s="156">
        <f t="shared" si="285"/>
        <v>0.78538744099600943</v>
      </c>
      <c r="S856" s="154">
        <f t="shared" si="274"/>
        <v>1.1033991939725512E-11</v>
      </c>
      <c r="T856" s="152"/>
      <c r="U856" s="150">
        <f t="shared" si="286"/>
        <v>0</v>
      </c>
      <c r="V856" s="150">
        <f t="shared" si="287"/>
        <v>0</v>
      </c>
      <c r="W856" s="168">
        <f t="shared" si="288"/>
        <v>0</v>
      </c>
      <c r="X856" s="163">
        <f t="shared" si="275"/>
        <v>11461.255900399059</v>
      </c>
      <c r="Y856" s="152"/>
      <c r="Z856" s="164">
        <f>IF(AND($C855=12,$D855=Input!$C$6),0,IF($E856="","",V856+Z857/(1+L856)*R856))</f>
        <v>92572.221123124822</v>
      </c>
      <c r="AA856" s="164">
        <f>IF(OR($M856=1,AND($C855=12,$D855=Input!$C$6)),0,IF($E856="","",W856+(X856+AA857*$R856)/(1+$L856)))</f>
        <v>85735.303655807656</v>
      </c>
      <c r="AB856" s="160">
        <f t="shared" si="276"/>
        <v>0.825720328500681</v>
      </c>
      <c r="AC856" s="164">
        <f t="shared" si="277"/>
        <v>0</v>
      </c>
      <c r="AD856" s="164">
        <f>IF(AND($C855=12,$D855=Input!$C$6),0,IF($E856="","",$AC856+AD857/(1+$L856)*$R856))</f>
        <v>76438.764835824302</v>
      </c>
      <c r="AE856" s="152"/>
      <c r="AF856" s="164">
        <f>IF(AND($C855=12,$D855=Input!$C$6),0,IF($E856="","",IF($B856&gt;Input!$C$9,$AC856,0)+AF857/(1+$L856)*$R856))</f>
        <v>76438.764835824302</v>
      </c>
      <c r="AG856" s="164">
        <f>IF(AND($C855=12,$D855=Input!$C$6),0,IF($E856="","",(IF($B856&gt;Input!$C$9,$X856,0)+AG857)/(1+$L856)*$R856))</f>
        <v>73173.108501431998</v>
      </c>
      <c r="AH856" s="160">
        <f t="shared" si="278"/>
        <v>2.0950137211446997</v>
      </c>
      <c r="AI856" s="160">
        <f>IF($E856="","",MIN(Input!$C$61/AH856,1))</f>
        <v>0.64438718771845094</v>
      </c>
      <c r="AJ856" s="152"/>
      <c r="AK856" s="164">
        <f>IF(AND($C855=12,$D855=Input!$C$6),0,IF($E856="","",IF($B856&gt;Input!$C$9,$AC856*AI856,0)+AK857/(1+$L856)*$R856))</f>
        <v>49256.160705228845</v>
      </c>
      <c r="AL856" s="164">
        <f>IF(AND($C855=12,$D855=Input!$C$6),0,IF($E856="","",IF($B856&gt;Input!$C$9,0,$AC856)+AL857/(1+$L856)*$R856))</f>
        <v>0</v>
      </c>
      <c r="AM856" s="160">
        <f t="shared" si="279"/>
        <v>1.1382936520186004</v>
      </c>
      <c r="AN856" s="164">
        <f>IF($E856="","",IF($B856&gt;Input!$C$9,$AI856*$AC856,$AM856*$AC856))</f>
        <v>0</v>
      </c>
      <c r="AO856" s="164">
        <f>IF(AND($C855=12,$D855=Input!$C$6),0,IF($E856="","",$AN856+AO857/(1+$L856)*$R856))</f>
        <v>49256.160705228845</v>
      </c>
      <c r="AP856" s="152"/>
      <c r="AQ856" s="164">
        <f t="shared" si="280"/>
        <v>36479.142950578811</v>
      </c>
      <c r="AR856" s="164">
        <f t="shared" si="289"/>
        <v>61278.985610517506</v>
      </c>
      <c r="AS856" s="164">
        <f t="shared" si="290"/>
        <v>36743.540669856462</v>
      </c>
      <c r="AT856" s="164">
        <f t="shared" si="281"/>
        <v>61278.985610517506</v>
      </c>
      <c r="AU856" s="152"/>
      <c r="AV856" s="147">
        <f>'Deterministic Reserve'!BC856</f>
        <v>9.1496377046985985E-18</v>
      </c>
      <c r="AW856" s="164">
        <f t="shared" si="282"/>
        <v>61278.985610517506</v>
      </c>
      <c r="AX856" s="164">
        <f t="shared" si="283"/>
        <v>5.6068051724767379E-13</v>
      </c>
      <c r="AY856" s="152"/>
    </row>
    <row r="857" spans="1:51" s="150" customFormat="1" x14ac:dyDescent="0.25">
      <c r="A857" s="150">
        <f t="shared" si="291"/>
        <v>853</v>
      </c>
      <c r="B857" s="150">
        <f t="shared" si="292"/>
        <v>72</v>
      </c>
      <c r="C857" s="150">
        <f t="shared" si="293"/>
        <v>1</v>
      </c>
      <c r="D857" s="150">
        <f>IF(E857="","",Input!$C$4+B857-1)</f>
        <v>116</v>
      </c>
      <c r="E857" s="150">
        <f>IF(OR(AND(C856=12,D856=Input!$C$6),E856=""),"",1)</f>
        <v>1</v>
      </c>
      <c r="F857" s="150">
        <f>IF(E857="","",Input!$C$8+B857-1)</f>
        <v>2089</v>
      </c>
      <c r="G857" s="151">
        <f>IF(E857="","",MAX(0,Input!$C$9-B857))</f>
        <v>0</v>
      </c>
      <c r="H857" s="152">
        <f>IF(E857="","",Input!$C$3)</f>
        <v>100000</v>
      </c>
      <c r="I857" s="153">
        <f>IF(E857="","",HLOOKUP($B857,Input!$C$13:$BT$14,2))</f>
        <v>1000</v>
      </c>
      <c r="J857" s="154"/>
      <c r="K857" s="155">
        <f>IF($E857="","",Input!$C$57)</f>
        <v>4.4999999999999998E-2</v>
      </c>
      <c r="L857" s="155">
        <f t="shared" si="284"/>
        <v>3.6748094004368514E-3</v>
      </c>
      <c r="M857" s="147">
        <f>IF($E857="","",VLOOKUP(IF($B857&lt;=Input!$C$7,$B857,26),'Mortality Tables'!$A$72:$CA$97,IF($B857&lt;=Input!$C$7+1,Input!$C$4-16,$D857-Input!$C$7-16),0)/1000)</f>
        <v>0.80958000000000008</v>
      </c>
      <c r="N857" s="147">
        <f t="shared" si="273"/>
        <v>0.12908444622020243</v>
      </c>
      <c r="O857" s="157">
        <f>IF($E857="","",IF($C857=12,IF($B857&lt;Input!$C$9,Input!$C$54,IF($B857=Input!$C$9,Input!$C$55,Input!$C$56)),0%))</f>
        <v>0</v>
      </c>
      <c r="P857" s="167">
        <f>IF($E857="","",IF($B857=1,Input!$C$59,IF($B857&lt;6,Input!$C$60,0%)))</f>
        <v>0</v>
      </c>
      <c r="Q857" s="162">
        <f>IF($E857="","",Input!$C$58)</f>
        <v>2.5</v>
      </c>
      <c r="R857" s="156">
        <f t="shared" si="285"/>
        <v>0.87091555377979757</v>
      </c>
      <c r="S857" s="154">
        <f t="shared" si="274"/>
        <v>9.6096752005878681E-12</v>
      </c>
      <c r="T857" s="152"/>
      <c r="U857" s="150">
        <f t="shared" si="286"/>
        <v>100000</v>
      </c>
      <c r="V857" s="150">
        <f t="shared" si="287"/>
        <v>100000</v>
      </c>
      <c r="W857" s="168">
        <f t="shared" si="288"/>
        <v>0</v>
      </c>
      <c r="X857" s="163">
        <f t="shared" si="275"/>
        <v>12908.444622020243</v>
      </c>
      <c r="Y857" s="152"/>
      <c r="Z857" s="164">
        <f>IF(AND($C856=12,$D856=Input!$C$6),0,IF($E857="","",V857+Z858/(1+L857)*R857))</f>
        <v>118301.36508638096</v>
      </c>
      <c r="AA857" s="164">
        <f>IF(OR($M857=1,AND($C856=12,$D856=Input!$C$6)),0,IF($E857="","",W857+(X857+AA858*$R857)/(1+$L857)))</f>
        <v>94971.099309456942</v>
      </c>
      <c r="AB857" s="160">
        <f t="shared" si="276"/>
        <v>0.825720328500681</v>
      </c>
      <c r="AC857" s="164">
        <f t="shared" si="277"/>
        <v>82572.032850068106</v>
      </c>
      <c r="AD857" s="164">
        <f>IF(AND($C856=12,$D856=Input!$C$6),0,IF($E857="","",$AC857+AD858/(1+$L857)*$R857))</f>
        <v>97683.842041205484</v>
      </c>
      <c r="AE857" s="152"/>
      <c r="AF857" s="164">
        <f>IF(AND($C856=12,$D856=Input!$C$6),0,IF($E857="","",IF($B857&gt;Input!$C$9,$AC857,0)+AF858/(1+$L857)*$R857))</f>
        <v>97683.842041205484</v>
      </c>
      <c r="AG857" s="164">
        <f>IF(AND($C856=12,$D856=Input!$C$6),0,IF($E857="","",(IF($B857&gt;Input!$C$9,$X857,0)+AG858)/(1+$L857)*$R857))</f>
        <v>82049.286660957485</v>
      </c>
      <c r="AH857" s="160">
        <f t="shared" si="278"/>
        <v>2.0950137211446997</v>
      </c>
      <c r="AI857" s="160">
        <f>IF($E857="","",MIN(Input!$C$61/AH857,1))</f>
        <v>0.64438718771845094</v>
      </c>
      <c r="AJ857" s="152"/>
      <c r="AK857" s="164">
        <f>IF(AND($C856=12,$D856=Input!$C$6),0,IF($E857="","",IF($B857&gt;Input!$C$9,$AC857*AI857,0)+AK858/(1+$L857)*$R857))</f>
        <v>62946.216258465785</v>
      </c>
      <c r="AL857" s="164">
        <f>IF(AND($C856=12,$D856=Input!$C$6),0,IF($E857="","",IF($B857&gt;Input!$C$9,0,$AC857)+AL858/(1+$L857)*$R857))</f>
        <v>0</v>
      </c>
      <c r="AM857" s="160">
        <f t="shared" si="279"/>
        <v>1.1382936520186004</v>
      </c>
      <c r="AN857" s="164">
        <f>IF($E857="","",IF($B857&gt;Input!$C$9,$AI857*$AC857,$AM857*$AC857))</f>
        <v>53208.360032450932</v>
      </c>
      <c r="AO857" s="164">
        <f>IF(AND($C856=12,$D856=Input!$C$6),0,IF($E857="","",$AN857+AO858/(1+$L857)*$R857))</f>
        <v>62946.216258465785</v>
      </c>
      <c r="AP857" s="152"/>
      <c r="AQ857" s="164">
        <f t="shared" si="280"/>
        <v>32024.883050991157</v>
      </c>
      <c r="AR857" s="164">
        <f t="shared" si="289"/>
        <v>64890.931913201173</v>
      </c>
      <c r="AS857" s="164">
        <f t="shared" si="290"/>
        <v>38735.885167464126</v>
      </c>
      <c r="AT857" s="164">
        <f t="shared" si="281"/>
        <v>64890.931913201173</v>
      </c>
      <c r="AU857" s="152"/>
      <c r="AV857" s="147">
        <f>'Deterministic Reserve'!BC857</f>
        <v>8.2749301482488409E-18</v>
      </c>
      <c r="AW857" s="164">
        <f t="shared" si="282"/>
        <v>64890.931913201173</v>
      </c>
      <c r="AX857" s="164">
        <f t="shared" si="283"/>
        <v>5.3696792883651124E-13</v>
      </c>
      <c r="AY857" s="152"/>
    </row>
    <row r="858" spans="1:51" s="150" customFormat="1" x14ac:dyDescent="0.25">
      <c r="A858" s="150">
        <f t="shared" si="291"/>
        <v>854</v>
      </c>
      <c r="B858" s="150">
        <f t="shared" si="292"/>
        <v>72</v>
      </c>
      <c r="C858" s="150">
        <f t="shared" si="293"/>
        <v>2</v>
      </c>
      <c r="D858" s="150">
        <f>IF(E858="","",Input!$C$4+B858-1)</f>
        <v>116</v>
      </c>
      <c r="E858" s="150">
        <f>IF(OR(AND(C857=12,D857=Input!$C$6),E857=""),"",1)</f>
        <v>1</v>
      </c>
      <c r="F858" s="150">
        <f>IF(E858="","",Input!$C$8+B858-1)</f>
        <v>2089</v>
      </c>
      <c r="G858" s="151">
        <f>IF(E858="","",MAX(0,Input!$C$9-B858))</f>
        <v>0</v>
      </c>
      <c r="H858" s="152">
        <f>IF(E858="","",Input!$C$3)</f>
        <v>100000</v>
      </c>
      <c r="I858" s="153">
        <f>IF(E858="","",HLOOKUP($B858,Input!$C$13:$BT$14,2))</f>
        <v>1000</v>
      </c>
      <c r="J858" s="154"/>
      <c r="K858" s="155">
        <f>IF($E858="","",Input!$C$57)</f>
        <v>4.4999999999999998E-2</v>
      </c>
      <c r="L858" s="155">
        <f t="shared" si="284"/>
        <v>3.6748094004368514E-3</v>
      </c>
      <c r="M858" s="147">
        <f>IF($E858="","",VLOOKUP(IF($B858&lt;=Input!$C$7,$B858,26),'Mortality Tables'!$A$72:$CA$97,IF($B858&lt;=Input!$C$7+1,Input!$C$4-16,$D858-Input!$C$7-16),0)/1000)</f>
        <v>0.80958000000000008</v>
      </c>
      <c r="N858" s="147">
        <f t="shared" si="273"/>
        <v>0.12908444622020243</v>
      </c>
      <c r="O858" s="157">
        <f>IF($E858="","",IF($C858=12,IF($B858&lt;Input!$C$9,Input!$C$54,IF($B858=Input!$C$9,Input!$C$55,Input!$C$56)),0%))</f>
        <v>0</v>
      </c>
      <c r="P858" s="167">
        <f>IF($E858="","",IF($B858=1,Input!$C$59,IF($B858&lt;6,Input!$C$60,0%)))</f>
        <v>0</v>
      </c>
      <c r="Q858" s="162">
        <f>IF($E858="","",Input!$C$58)</f>
        <v>2.5</v>
      </c>
      <c r="R858" s="156">
        <f t="shared" si="285"/>
        <v>0.87091555377979757</v>
      </c>
      <c r="S858" s="154">
        <f t="shared" si="274"/>
        <v>8.3692155989639697E-12</v>
      </c>
      <c r="T858" s="152"/>
      <c r="U858" s="150">
        <f t="shared" si="286"/>
        <v>0</v>
      </c>
      <c r="V858" s="150">
        <f t="shared" si="287"/>
        <v>0</v>
      </c>
      <c r="W858" s="168">
        <f t="shared" si="288"/>
        <v>0</v>
      </c>
      <c r="X858" s="163">
        <f t="shared" si="275"/>
        <v>12908.444622020243</v>
      </c>
      <c r="Y858" s="152"/>
      <c r="Z858" s="164">
        <f>IF(AND($C857=12,$D857=Input!$C$6),0,IF($E858="","",V858+Z859/(1+L858)*R858))</f>
        <v>21091.159797434899</v>
      </c>
      <c r="AA858" s="164">
        <f>IF(OR($M858=1,AND($C857=12,$D857=Input!$C$6)),0,IF($E858="","",W858+(X858+AA859*$R858)/(1+$L858)))</f>
        <v>94626.459498030614</v>
      </c>
      <c r="AB858" s="160">
        <f t="shared" si="276"/>
        <v>0.825720328500681</v>
      </c>
      <c r="AC858" s="164">
        <f t="shared" si="277"/>
        <v>0</v>
      </c>
      <c r="AD858" s="164">
        <f>IF(AND($C857=12,$D857=Input!$C$6),0,IF($E858="","",$AC858+AD859/(1+$L858)*$R858))</f>
        <v>17415.399396398305</v>
      </c>
      <c r="AE858" s="152"/>
      <c r="AF858" s="164">
        <f>IF(AND($C857=12,$D857=Input!$C$6),0,IF($E858="","",IF($B858&gt;Input!$C$9,$AC858,0)+AF859/(1+$L858)*$R858))</f>
        <v>17415.399396398305</v>
      </c>
      <c r="AG858" s="164">
        <f>IF(AND($C857=12,$D857=Input!$C$6),0,IF($E858="","",(IF($B858&gt;Input!$C$9,$X858,0)+AG859)/(1+$L858)*$R858))</f>
        <v>81648.142171582833</v>
      </c>
      <c r="AH858" s="160">
        <f t="shared" si="278"/>
        <v>2.0950137211446997</v>
      </c>
      <c r="AI858" s="160">
        <f>IF($E858="","",MIN(Input!$C$61/AH858,1))</f>
        <v>0.64438718771845094</v>
      </c>
      <c r="AJ858" s="152"/>
      <c r="AK858" s="164">
        <f>IF(AND($C857=12,$D857=Input!$C$6),0,IF($E858="","",IF($B858&gt;Input!$C$9,$AC858*AI858,0)+AK859/(1+$L858)*$R858))</f>
        <v>11222.260240038711</v>
      </c>
      <c r="AL858" s="164">
        <f>IF(AND($C857=12,$D857=Input!$C$6),0,IF($E858="","",IF($B858&gt;Input!$C$9,0,$AC858)+AL859/(1+$L858)*$R858))</f>
        <v>0</v>
      </c>
      <c r="AM858" s="160">
        <f t="shared" si="279"/>
        <v>1.1382936520186004</v>
      </c>
      <c r="AN858" s="164">
        <f>IF($E858="","",IF($B858&gt;Input!$C$9,$AI858*$AC858,$AM858*$AC858))</f>
        <v>0</v>
      </c>
      <c r="AO858" s="164">
        <f>IF(AND($C857=12,$D857=Input!$C$6),0,IF($E858="","",$AN858+AO859/(1+$L858)*$R858))</f>
        <v>11222.260240038711</v>
      </c>
      <c r="AP858" s="152"/>
      <c r="AQ858" s="164">
        <f t="shared" si="280"/>
        <v>83404.199257991902</v>
      </c>
      <c r="AR858" s="164">
        <f t="shared" si="289"/>
        <v>64890.931913201173</v>
      </c>
      <c r="AS858" s="164">
        <f t="shared" si="290"/>
        <v>38735.885167464126</v>
      </c>
      <c r="AT858" s="164">
        <f t="shared" si="281"/>
        <v>64890.931913201173</v>
      </c>
      <c r="AU858" s="152"/>
      <c r="AV858" s="147">
        <f>'Deterministic Reserve'!BC858</f>
        <v>7.4838448437399881E-18</v>
      </c>
      <c r="AW858" s="164">
        <f t="shared" si="282"/>
        <v>64890.931913201173</v>
      </c>
      <c r="AX858" s="164">
        <f t="shared" si="283"/>
        <v>4.8563366620409319E-13</v>
      </c>
      <c r="AY858" s="152"/>
    </row>
    <row r="859" spans="1:51" s="150" customFormat="1" x14ac:dyDescent="0.25">
      <c r="A859" s="150">
        <f t="shared" si="291"/>
        <v>855</v>
      </c>
      <c r="B859" s="150">
        <f t="shared" si="292"/>
        <v>72</v>
      </c>
      <c r="C859" s="150">
        <f t="shared" si="293"/>
        <v>3</v>
      </c>
      <c r="D859" s="150">
        <f>IF(E859="","",Input!$C$4+B859-1)</f>
        <v>116</v>
      </c>
      <c r="E859" s="150">
        <f>IF(OR(AND(C858=12,D858=Input!$C$6),E858=""),"",1)</f>
        <v>1</v>
      </c>
      <c r="F859" s="150">
        <f>IF(E859="","",Input!$C$8+B859-1)</f>
        <v>2089</v>
      </c>
      <c r="G859" s="151">
        <f>IF(E859="","",MAX(0,Input!$C$9-B859))</f>
        <v>0</v>
      </c>
      <c r="H859" s="152">
        <f>IF(E859="","",Input!$C$3)</f>
        <v>100000</v>
      </c>
      <c r="I859" s="153">
        <f>IF(E859="","",HLOOKUP($B859,Input!$C$13:$BT$14,2))</f>
        <v>1000</v>
      </c>
      <c r="J859" s="154"/>
      <c r="K859" s="155">
        <f>IF($E859="","",Input!$C$57)</f>
        <v>4.4999999999999998E-2</v>
      </c>
      <c r="L859" s="155">
        <f t="shared" si="284"/>
        <v>3.6748094004368514E-3</v>
      </c>
      <c r="M859" s="147">
        <f>IF($E859="","",VLOOKUP(IF($B859&lt;=Input!$C$7,$B859,26),'Mortality Tables'!$A$72:$CA$97,IF($B859&lt;=Input!$C$7+1,Input!$C$4-16,$D859-Input!$C$7-16),0)/1000)</f>
        <v>0.80958000000000008</v>
      </c>
      <c r="N859" s="147">
        <f t="shared" si="273"/>
        <v>0.12908444622020243</v>
      </c>
      <c r="O859" s="157">
        <f>IF($E859="","",IF($C859=12,IF($B859&lt;Input!$C$9,Input!$C$54,IF($B859=Input!$C$9,Input!$C$55,Input!$C$56)),0%))</f>
        <v>0</v>
      </c>
      <c r="P859" s="167">
        <f>IF($E859="","",IF($B859=1,Input!$C$59,IF($B859&lt;6,Input!$C$60,0%)))</f>
        <v>0</v>
      </c>
      <c r="Q859" s="162">
        <f>IF($E859="","",Input!$C$58)</f>
        <v>2.5</v>
      </c>
      <c r="R859" s="156">
        <f t="shared" si="285"/>
        <v>0.87091555377979757</v>
      </c>
      <c r="S859" s="154">
        <f t="shared" si="274"/>
        <v>7.2888800380742265E-12</v>
      </c>
      <c r="T859" s="152"/>
      <c r="U859" s="150">
        <f t="shared" si="286"/>
        <v>0</v>
      </c>
      <c r="V859" s="150">
        <f t="shared" si="287"/>
        <v>0</v>
      </c>
      <c r="W859" s="168">
        <f t="shared" si="288"/>
        <v>0</v>
      </c>
      <c r="X859" s="163">
        <f t="shared" si="275"/>
        <v>12908.444622020243</v>
      </c>
      <c r="Y859" s="152"/>
      <c r="Z859" s="164">
        <f>IF(AND($C858=12,$D858=Input!$C$6),0,IF($E859="","",V859+Z860/(1+L859)*R859))</f>
        <v>24306.220847534569</v>
      </c>
      <c r="AA859" s="164">
        <f>IF(OR($M859=1,AND($C858=12,$D858=Input!$C$6)),0,IF($E859="","",W859+(X859+AA860*$R859)/(1+$L859)))</f>
        <v>94229.284024996654</v>
      </c>
      <c r="AB859" s="160">
        <f t="shared" si="276"/>
        <v>0.825720328500681</v>
      </c>
      <c r="AC859" s="164">
        <f t="shared" si="277"/>
        <v>0</v>
      </c>
      <c r="AD859" s="164">
        <f>IF(AND($C858=12,$D858=Input!$C$6),0,IF($E859="","",$AC859+AD860/(1+$L859)*$R859))</f>
        <v>20070.140662836347</v>
      </c>
      <c r="AE859" s="152"/>
      <c r="AF859" s="164">
        <f>IF(AND($C858=12,$D858=Input!$C$6),0,IF($E859="","",IF($B859&gt;Input!$C$9,$AC859,0)+AF860/(1+$L859)*$R859))</f>
        <v>20070.140662836347</v>
      </c>
      <c r="AG859" s="164">
        <f>IF(AND($C858=12,$D858=Input!$C$6),0,IF($E859="","",(IF($B859&gt;Input!$C$9,$X859,0)+AG860)/(1+$L859)*$R859))</f>
        <v>81185.848649360429</v>
      </c>
      <c r="AH859" s="160">
        <f t="shared" si="278"/>
        <v>2.0950137211446997</v>
      </c>
      <c r="AI859" s="160">
        <f>IF($E859="","",MIN(Input!$C$61/AH859,1))</f>
        <v>0.64438718771845094</v>
      </c>
      <c r="AJ859" s="152"/>
      <c r="AK859" s="164">
        <f>IF(AND($C858=12,$D858=Input!$C$6),0,IF($E859="","",IF($B859&gt;Input!$C$9,$AC859*AI859,0)+AK860/(1+$L859)*$R859))</f>
        <v>12932.94149883884</v>
      </c>
      <c r="AL859" s="164">
        <f>IF(AND($C858=12,$D858=Input!$C$6),0,IF($E859="","",IF($B859&gt;Input!$C$9,0,$AC859)+AL860/(1+$L859)*$R859))</f>
        <v>0</v>
      </c>
      <c r="AM859" s="160">
        <f t="shared" si="279"/>
        <v>1.1382936520186004</v>
      </c>
      <c r="AN859" s="164">
        <f>IF($E859="","",IF($B859&gt;Input!$C$9,$AI859*$AC859,$AM859*$AC859))</f>
        <v>0</v>
      </c>
      <c r="AO859" s="164">
        <f>IF(AND($C858=12,$D858=Input!$C$6),0,IF($E859="","",$AN859+AO860/(1+$L859)*$R859))</f>
        <v>12932.94149883884</v>
      </c>
      <c r="AP859" s="152"/>
      <c r="AQ859" s="164">
        <f t="shared" si="280"/>
        <v>81296.342526157809</v>
      </c>
      <c r="AR859" s="164">
        <f t="shared" si="289"/>
        <v>64890.931913201173</v>
      </c>
      <c r="AS859" s="164">
        <f t="shared" si="290"/>
        <v>38735.885167464126</v>
      </c>
      <c r="AT859" s="164">
        <f t="shared" si="281"/>
        <v>64890.931913201173</v>
      </c>
      <c r="AU859" s="152"/>
      <c r="AV859" s="147">
        <f>'Deterministic Reserve'!BC859</f>
        <v>6.7683874838540034E-18</v>
      </c>
      <c r="AW859" s="164">
        <f t="shared" si="282"/>
        <v>64890.931913201173</v>
      </c>
      <c r="AX859" s="164">
        <f t="shared" si="283"/>
        <v>4.3920697137693314E-13</v>
      </c>
      <c r="AY859" s="152"/>
    </row>
    <row r="860" spans="1:51" s="150" customFormat="1" x14ac:dyDescent="0.25">
      <c r="A860" s="150">
        <f t="shared" si="291"/>
        <v>856</v>
      </c>
      <c r="B860" s="150">
        <f t="shared" si="292"/>
        <v>72</v>
      </c>
      <c r="C860" s="150">
        <f t="shared" si="293"/>
        <v>4</v>
      </c>
      <c r="D860" s="150">
        <f>IF(E860="","",Input!$C$4+B860-1)</f>
        <v>116</v>
      </c>
      <c r="E860" s="150">
        <f>IF(OR(AND(C859=12,D859=Input!$C$6),E859=""),"",1)</f>
        <v>1</v>
      </c>
      <c r="F860" s="150">
        <f>IF(E860="","",Input!$C$8+B860-1)</f>
        <v>2089</v>
      </c>
      <c r="G860" s="151">
        <f>IF(E860="","",MAX(0,Input!$C$9-B860))</f>
        <v>0</v>
      </c>
      <c r="H860" s="152">
        <f>IF(E860="","",Input!$C$3)</f>
        <v>100000</v>
      </c>
      <c r="I860" s="153">
        <f>IF(E860="","",HLOOKUP($B860,Input!$C$13:$BT$14,2))</f>
        <v>1000</v>
      </c>
      <c r="J860" s="154"/>
      <c r="K860" s="155">
        <f>IF($E860="","",Input!$C$57)</f>
        <v>4.4999999999999998E-2</v>
      </c>
      <c r="L860" s="155">
        <f t="shared" si="284"/>
        <v>3.6748094004368514E-3</v>
      </c>
      <c r="M860" s="147">
        <f>IF($E860="","",VLOOKUP(IF($B860&lt;=Input!$C$7,$B860,26),'Mortality Tables'!$A$72:$CA$97,IF($B860&lt;=Input!$C$7+1,Input!$C$4-16,$D860-Input!$C$7-16),0)/1000)</f>
        <v>0.80958000000000008</v>
      </c>
      <c r="N860" s="147">
        <f t="shared" si="273"/>
        <v>0.12908444622020243</v>
      </c>
      <c r="O860" s="157">
        <f>IF($E860="","",IF($C860=12,IF($B860&lt;Input!$C$9,Input!$C$54,IF($B860=Input!$C$9,Input!$C$55,Input!$C$56)),0%))</f>
        <v>0</v>
      </c>
      <c r="P860" s="167">
        <f>IF($E860="","",IF($B860=1,Input!$C$59,IF($B860&lt;6,Input!$C$60,0%)))</f>
        <v>0</v>
      </c>
      <c r="Q860" s="162">
        <f>IF($E860="","",Input!$C$58)</f>
        <v>2.5</v>
      </c>
      <c r="R860" s="156">
        <f t="shared" si="285"/>
        <v>0.87091555377979757</v>
      </c>
      <c r="S860" s="154">
        <f t="shared" si="274"/>
        <v>6.3479989947939266E-12</v>
      </c>
      <c r="T860" s="152"/>
      <c r="U860" s="150">
        <f t="shared" si="286"/>
        <v>0</v>
      </c>
      <c r="V860" s="150">
        <f t="shared" si="287"/>
        <v>0</v>
      </c>
      <c r="W860" s="168">
        <f t="shared" si="288"/>
        <v>0</v>
      </c>
      <c r="X860" s="163">
        <f t="shared" si="275"/>
        <v>12908.444622020243</v>
      </c>
      <c r="Y860" s="152"/>
      <c r="Z860" s="164">
        <f>IF(AND($C859=12,$D859=Input!$C$6),0,IF($E860="","",V860+Z861/(1+L860)*R860))</f>
        <v>28011.374318114838</v>
      </c>
      <c r="AA860" s="164">
        <f>IF(OR($M860=1,AND($C859=12,$D859=Input!$C$6)),0,IF($E860="","",W860+(X860+AA861*$R860)/(1+$L860)))</f>
        <v>93771.564541786371</v>
      </c>
      <c r="AB860" s="160">
        <f t="shared" si="276"/>
        <v>0.825720328500681</v>
      </c>
      <c r="AC860" s="164">
        <f t="shared" si="277"/>
        <v>0</v>
      </c>
      <c r="AD860" s="164">
        <f>IF(AND($C859=12,$D859=Input!$C$6),0,IF($E860="","",$AC860+AD861/(1+$L860)*$R860))</f>
        <v>23129.561203709323</v>
      </c>
      <c r="AE860" s="152"/>
      <c r="AF860" s="164">
        <f>IF(AND($C859=12,$D859=Input!$C$6),0,IF($E860="","",IF($B860&gt;Input!$C$9,$AC860,0)+AF861/(1+$L860)*$R860))</f>
        <v>23129.561203709323</v>
      </c>
      <c r="AG860" s="164">
        <f>IF(AND($C859=12,$D859=Input!$C$6),0,IF($E860="","",(IF($B860&gt;Input!$C$9,$X860,0)+AG861)/(1+$L860)*$R860))</f>
        <v>80653.084754181502</v>
      </c>
      <c r="AH860" s="160">
        <f t="shared" si="278"/>
        <v>2.0950137211446997</v>
      </c>
      <c r="AI860" s="160">
        <f>IF($E860="","",MIN(Input!$C$61/AH860,1))</f>
        <v>0.64438718771845094</v>
      </c>
      <c r="AJ860" s="152"/>
      <c r="AK860" s="164">
        <f>IF(AND($C859=12,$D859=Input!$C$6),0,IF($E860="","",IF($B860&gt;Input!$C$9,$AC860*AI860,0)+AK861/(1+$L860)*$R860))</f>
        <v>14904.392897220041</v>
      </c>
      <c r="AL860" s="164">
        <f>IF(AND($C859=12,$D859=Input!$C$6),0,IF($E860="","",IF($B860&gt;Input!$C$9,0,$AC860)+AL861/(1+$L860)*$R860))</f>
        <v>0</v>
      </c>
      <c r="AM860" s="160">
        <f t="shared" si="279"/>
        <v>1.1382936520186004</v>
      </c>
      <c r="AN860" s="164">
        <f>IF($E860="","",IF($B860&gt;Input!$C$9,$AI860*$AC860,$AM860*$AC860))</f>
        <v>0</v>
      </c>
      <c r="AO860" s="164">
        <f>IF(AND($C859=12,$D859=Input!$C$6),0,IF($E860="","",$AN860+AO861/(1+$L860)*$R860))</f>
        <v>14904.392897220041</v>
      </c>
      <c r="AP860" s="152"/>
      <c r="AQ860" s="164">
        <f t="shared" si="280"/>
        <v>78867.171644566333</v>
      </c>
      <c r="AR860" s="164">
        <f t="shared" si="289"/>
        <v>64890.931913201173</v>
      </c>
      <c r="AS860" s="164">
        <f t="shared" si="290"/>
        <v>38735.885167464126</v>
      </c>
      <c r="AT860" s="164">
        <f t="shared" si="281"/>
        <v>64890.931913201173</v>
      </c>
      <c r="AU860" s="152"/>
      <c r="AV860" s="147">
        <f>'Deterministic Reserve'!BC860</f>
        <v>6.1213280189675651E-18</v>
      </c>
      <c r="AW860" s="164">
        <f t="shared" si="282"/>
        <v>64890.931913201173</v>
      </c>
      <c r="AX860" s="164">
        <f t="shared" si="283"/>
        <v>3.9721867969719488E-13</v>
      </c>
      <c r="AY860" s="152"/>
    </row>
    <row r="861" spans="1:51" s="150" customFormat="1" x14ac:dyDescent="0.25">
      <c r="A861" s="150">
        <f t="shared" si="291"/>
        <v>857</v>
      </c>
      <c r="B861" s="150">
        <f t="shared" si="292"/>
        <v>72</v>
      </c>
      <c r="C861" s="150">
        <f t="shared" si="293"/>
        <v>5</v>
      </c>
      <c r="D861" s="150">
        <f>IF(E861="","",Input!$C$4+B861-1)</f>
        <v>116</v>
      </c>
      <c r="E861" s="150">
        <f>IF(OR(AND(C860=12,D860=Input!$C$6),E860=""),"",1)</f>
        <v>1</v>
      </c>
      <c r="F861" s="150">
        <f>IF(E861="","",Input!$C$8+B861-1)</f>
        <v>2089</v>
      </c>
      <c r="G861" s="151">
        <f>IF(E861="","",MAX(0,Input!$C$9-B861))</f>
        <v>0</v>
      </c>
      <c r="H861" s="152">
        <f>IF(E861="","",Input!$C$3)</f>
        <v>100000</v>
      </c>
      <c r="I861" s="153">
        <f>IF(E861="","",HLOOKUP($B861,Input!$C$13:$BT$14,2))</f>
        <v>1000</v>
      </c>
      <c r="J861" s="154"/>
      <c r="K861" s="155">
        <f>IF($E861="","",Input!$C$57)</f>
        <v>4.4999999999999998E-2</v>
      </c>
      <c r="L861" s="155">
        <f t="shared" si="284"/>
        <v>3.6748094004368514E-3</v>
      </c>
      <c r="M861" s="147">
        <f>IF($E861="","",VLOOKUP(IF($B861&lt;=Input!$C$7,$B861,26),'Mortality Tables'!$A$72:$CA$97,IF($B861&lt;=Input!$C$7+1,Input!$C$4-16,$D861-Input!$C$7-16),0)/1000)</f>
        <v>0.80958000000000008</v>
      </c>
      <c r="N861" s="147">
        <f t="shared" si="273"/>
        <v>0.12908444622020243</v>
      </c>
      <c r="O861" s="157">
        <f>IF($E861="","",IF($C861=12,IF($B861&lt;Input!$C$9,Input!$C$54,IF($B861=Input!$C$9,Input!$C$55,Input!$C$56)),0%))</f>
        <v>0</v>
      </c>
      <c r="P861" s="167">
        <f>IF($E861="","",IF($B861=1,Input!$C$59,IF($B861&lt;6,Input!$C$60,0%)))</f>
        <v>0</v>
      </c>
      <c r="Q861" s="162">
        <f>IF($E861="","",Input!$C$58)</f>
        <v>2.5</v>
      </c>
      <c r="R861" s="156">
        <f t="shared" si="285"/>
        <v>0.87091555377979757</v>
      </c>
      <c r="S861" s="154">
        <f t="shared" si="274"/>
        <v>5.5285710599445511E-12</v>
      </c>
      <c r="T861" s="152"/>
      <c r="U861" s="150">
        <f t="shared" si="286"/>
        <v>0</v>
      </c>
      <c r="V861" s="150">
        <f t="shared" si="287"/>
        <v>0</v>
      </c>
      <c r="W861" s="168">
        <f t="shared" si="288"/>
        <v>0</v>
      </c>
      <c r="X861" s="163">
        <f t="shared" si="275"/>
        <v>12908.444622020243</v>
      </c>
      <c r="Y861" s="152"/>
      <c r="Z861" s="164">
        <f>IF(AND($C860=12,$D860=Input!$C$6),0,IF($E861="","",V861+Z862/(1+L861)*R861))</f>
        <v>32281.328146869484</v>
      </c>
      <c r="AA861" s="164">
        <f>IF(OR($M861=1,AND($C860=12,$D860=Input!$C$6)),0,IF($E861="","",W861+(X861+AA862*$R861)/(1+$L861)))</f>
        <v>93244.071935785571</v>
      </c>
      <c r="AB861" s="160">
        <f t="shared" si="276"/>
        <v>0.825720328500681</v>
      </c>
      <c r="AC861" s="164">
        <f t="shared" si="277"/>
        <v>0</v>
      </c>
      <c r="AD861" s="164">
        <f>IF(AND($C860=12,$D860=Input!$C$6),0,IF($E861="","",$AC861+AD862/(1+$L861)*$R861))</f>
        <v>26655.348881871349</v>
      </c>
      <c r="AE861" s="152"/>
      <c r="AF861" s="164">
        <f>IF(AND($C860=12,$D860=Input!$C$6),0,IF($E861="","",IF($B861&gt;Input!$C$9,$AC861,0)+AF862/(1+$L861)*$R861))</f>
        <v>26655.348881871349</v>
      </c>
      <c r="AG861" s="164">
        <f>IF(AND($C860=12,$D860=Input!$C$6),0,IF($E861="","",(IF($B861&gt;Input!$C$9,$X861,0)+AG862)/(1+$L861)*$R861))</f>
        <v>80039.108234152169</v>
      </c>
      <c r="AH861" s="160">
        <f t="shared" si="278"/>
        <v>2.0950137211446997</v>
      </c>
      <c r="AI861" s="160">
        <f>IF($E861="","",MIN(Input!$C$61/AH861,1))</f>
        <v>0.64438718771845094</v>
      </c>
      <c r="AJ861" s="152"/>
      <c r="AK861" s="164">
        <f>IF(AND($C860=12,$D860=Input!$C$6),0,IF($E861="","",IF($B861&gt;Input!$C$9,$AC861*AI861,0)+AK862/(1+$L861)*$R861))</f>
        <v>17176.365303643237</v>
      </c>
      <c r="AL861" s="164">
        <f>IF(AND($C860=12,$D860=Input!$C$6),0,IF($E861="","",IF($B861&gt;Input!$C$9,0,$AC861)+AL862/(1+$L861)*$R861))</f>
        <v>0</v>
      </c>
      <c r="AM861" s="160">
        <f t="shared" si="279"/>
        <v>1.1382936520186004</v>
      </c>
      <c r="AN861" s="164">
        <f>IF($E861="","",IF($B861&gt;Input!$C$9,$AI861*$AC861,$AM861*$AC861))</f>
        <v>0</v>
      </c>
      <c r="AO861" s="164">
        <f>IF(AND($C860=12,$D860=Input!$C$6),0,IF($E861="","",$AN861+AO862/(1+$L861)*$R861))</f>
        <v>17176.365303643237</v>
      </c>
      <c r="AP861" s="152"/>
      <c r="AQ861" s="164">
        <f t="shared" si="280"/>
        <v>76067.706632142334</v>
      </c>
      <c r="AR861" s="164">
        <f t="shared" si="289"/>
        <v>64890.931913201173</v>
      </c>
      <c r="AS861" s="164">
        <f t="shared" si="290"/>
        <v>38735.885167464126</v>
      </c>
      <c r="AT861" s="164">
        <f t="shared" si="281"/>
        <v>64890.931913201173</v>
      </c>
      <c r="AU861" s="152"/>
      <c r="AV861" s="147">
        <f>'Deterministic Reserve'!BC861</f>
        <v>5.5361275939333664E-18</v>
      </c>
      <c r="AW861" s="164">
        <f t="shared" si="282"/>
        <v>64890.931913201173</v>
      </c>
      <c r="AX861" s="164">
        <f t="shared" si="283"/>
        <v>3.592444787607243E-13</v>
      </c>
      <c r="AY861" s="152"/>
    </row>
    <row r="862" spans="1:51" s="150" customFormat="1" x14ac:dyDescent="0.25">
      <c r="A862" s="150">
        <f t="shared" si="291"/>
        <v>858</v>
      </c>
      <c r="B862" s="150">
        <f t="shared" si="292"/>
        <v>72</v>
      </c>
      <c r="C862" s="150">
        <f t="shared" si="293"/>
        <v>6</v>
      </c>
      <c r="D862" s="150">
        <f>IF(E862="","",Input!$C$4+B862-1)</f>
        <v>116</v>
      </c>
      <c r="E862" s="150">
        <f>IF(OR(AND(C861=12,D861=Input!$C$6),E861=""),"",1)</f>
        <v>1</v>
      </c>
      <c r="F862" s="150">
        <f>IF(E862="","",Input!$C$8+B862-1)</f>
        <v>2089</v>
      </c>
      <c r="G862" s="151">
        <f>IF(E862="","",MAX(0,Input!$C$9-B862))</f>
        <v>0</v>
      </c>
      <c r="H862" s="152">
        <f>IF(E862="","",Input!$C$3)</f>
        <v>100000</v>
      </c>
      <c r="I862" s="153">
        <f>IF(E862="","",HLOOKUP($B862,Input!$C$13:$BT$14,2))</f>
        <v>1000</v>
      </c>
      <c r="J862" s="154"/>
      <c r="K862" s="155">
        <f>IF($E862="","",Input!$C$57)</f>
        <v>4.4999999999999998E-2</v>
      </c>
      <c r="L862" s="155">
        <f t="shared" si="284"/>
        <v>3.6748094004368514E-3</v>
      </c>
      <c r="M862" s="147">
        <f>IF($E862="","",VLOOKUP(IF($B862&lt;=Input!$C$7,$B862,26),'Mortality Tables'!$A$72:$CA$97,IF($B862&lt;=Input!$C$7+1,Input!$C$4-16,$D862-Input!$C$7-16),0)/1000)</f>
        <v>0.80958000000000008</v>
      </c>
      <c r="N862" s="147">
        <f t="shared" si="273"/>
        <v>0.12908444622020243</v>
      </c>
      <c r="O862" s="157">
        <f>IF($E862="","",IF($C862=12,IF($B862&lt;Input!$C$9,Input!$C$54,IF($B862=Input!$C$9,Input!$C$55,Input!$C$56)),0%))</f>
        <v>0</v>
      </c>
      <c r="P862" s="167">
        <f>IF($E862="","",IF($B862=1,Input!$C$59,IF($B862&lt;6,Input!$C$60,0%)))</f>
        <v>0</v>
      </c>
      <c r="Q862" s="162">
        <f>IF($E862="","",Input!$C$58)</f>
        <v>2.5</v>
      </c>
      <c r="R862" s="156">
        <f t="shared" si="285"/>
        <v>0.87091555377979757</v>
      </c>
      <c r="S862" s="154">
        <f t="shared" si="274"/>
        <v>4.8149185262825708E-12</v>
      </c>
      <c r="T862" s="152"/>
      <c r="U862" s="150">
        <f t="shared" si="286"/>
        <v>0</v>
      </c>
      <c r="V862" s="150">
        <f t="shared" si="287"/>
        <v>0</v>
      </c>
      <c r="W862" s="168">
        <f t="shared" si="288"/>
        <v>0</v>
      </c>
      <c r="X862" s="163">
        <f t="shared" si="275"/>
        <v>12908.444622020243</v>
      </c>
      <c r="Y862" s="152"/>
      <c r="Z862" s="164">
        <f>IF(AND($C861=12,$D861=Input!$C$6),0,IF($E862="","",V862+Z863/(1+L862)*R862))</f>
        <v>37202.178482615775</v>
      </c>
      <c r="AA862" s="164">
        <f>IF(OR($M862=1,AND($C861=12,$D861=Input!$C$6)),0,IF($E862="","",W862+(X862+AA863*$R862)/(1+$L862)))</f>
        <v>92636.170241424668</v>
      </c>
      <c r="AB862" s="160">
        <f t="shared" si="276"/>
        <v>0.825720328500681</v>
      </c>
      <c r="AC862" s="164">
        <f t="shared" si="277"/>
        <v>0</v>
      </c>
      <c r="AD862" s="164">
        <f>IF(AND($C861=12,$D861=Input!$C$6),0,IF($E862="","",$AC862+AD863/(1+$L862)*$R862))</f>
        <v>30718.595037606465</v>
      </c>
      <c r="AE862" s="152"/>
      <c r="AF862" s="164">
        <f>IF(AND($C861=12,$D861=Input!$C$6),0,IF($E862="","",IF($B862&gt;Input!$C$9,$AC862,0)+AF863/(1+$L862)*$R862))</f>
        <v>30718.595037606465</v>
      </c>
      <c r="AG862" s="164">
        <f>IF(AND($C861=12,$D861=Input!$C$6),0,IF($E862="","",(IF($B862&gt;Input!$C$9,$X862,0)+AG863)/(1+$L862)*$R862))</f>
        <v>79331.539326877159</v>
      </c>
      <c r="AH862" s="160">
        <f t="shared" si="278"/>
        <v>2.0950137211446997</v>
      </c>
      <c r="AI862" s="160">
        <f>IF($E862="","",MIN(Input!$C$61/AH862,1))</f>
        <v>0.64438718771845094</v>
      </c>
      <c r="AJ862" s="152"/>
      <c r="AK862" s="164">
        <f>IF(AND($C861=12,$D861=Input!$C$6),0,IF($E862="","",IF($B862&gt;Input!$C$9,$AC862*AI862,0)+AK863/(1+$L862)*$R862))</f>
        <v>19794.669066945193</v>
      </c>
      <c r="AL862" s="164">
        <f>IF(AND($C861=12,$D861=Input!$C$6),0,IF($E862="","",IF($B862&gt;Input!$C$9,0,$AC862)+AL863/(1+$L862)*$R862))</f>
        <v>0</v>
      </c>
      <c r="AM862" s="160">
        <f t="shared" si="279"/>
        <v>1.1382936520186004</v>
      </c>
      <c r="AN862" s="164">
        <f>IF($E862="","",IF($B862&gt;Input!$C$9,$AI862*$AC862,$AM862*$AC862))</f>
        <v>0</v>
      </c>
      <c r="AO862" s="164">
        <f>IF(AND($C861=12,$D861=Input!$C$6),0,IF($E862="","",$AN862+AO863/(1+$L862)*$R862))</f>
        <v>19794.669066945193</v>
      </c>
      <c r="AP862" s="152"/>
      <c r="AQ862" s="164">
        <f t="shared" si="280"/>
        <v>72841.501174479476</v>
      </c>
      <c r="AR862" s="164">
        <f t="shared" si="289"/>
        <v>64890.931913201173</v>
      </c>
      <c r="AS862" s="164">
        <f t="shared" si="290"/>
        <v>38735.885167464126</v>
      </c>
      <c r="AT862" s="164">
        <f t="shared" si="281"/>
        <v>64890.931913201173</v>
      </c>
      <c r="AU862" s="152"/>
      <c r="AV862" s="147">
        <f>'Deterministic Reserve'!BC862</f>
        <v>5.0068724697226266E-18</v>
      </c>
      <c r="AW862" s="164">
        <f t="shared" si="282"/>
        <v>64890.931913201173</v>
      </c>
      <c r="AX862" s="164">
        <f t="shared" si="283"/>
        <v>3.2490062053085237E-13</v>
      </c>
      <c r="AY862" s="152"/>
    </row>
    <row r="863" spans="1:51" s="150" customFormat="1" x14ac:dyDescent="0.25">
      <c r="A863" s="150">
        <f t="shared" si="291"/>
        <v>859</v>
      </c>
      <c r="B863" s="150">
        <f t="shared" si="292"/>
        <v>72</v>
      </c>
      <c r="C863" s="150">
        <f t="shared" si="293"/>
        <v>7</v>
      </c>
      <c r="D863" s="150">
        <f>IF(E863="","",Input!$C$4+B863-1)</f>
        <v>116</v>
      </c>
      <c r="E863" s="150">
        <f>IF(OR(AND(C862=12,D862=Input!$C$6),E862=""),"",1)</f>
        <v>1</v>
      </c>
      <c r="F863" s="150">
        <f>IF(E863="","",Input!$C$8+B863-1)</f>
        <v>2089</v>
      </c>
      <c r="G863" s="151">
        <f>IF(E863="","",MAX(0,Input!$C$9-B863))</f>
        <v>0</v>
      </c>
      <c r="H863" s="152">
        <f>IF(E863="","",Input!$C$3)</f>
        <v>100000</v>
      </c>
      <c r="I863" s="153">
        <f>IF(E863="","",HLOOKUP($B863,Input!$C$13:$BT$14,2))</f>
        <v>1000</v>
      </c>
      <c r="J863" s="154"/>
      <c r="K863" s="155">
        <f>IF($E863="","",Input!$C$57)</f>
        <v>4.4999999999999998E-2</v>
      </c>
      <c r="L863" s="155">
        <f t="shared" si="284"/>
        <v>3.6748094004368514E-3</v>
      </c>
      <c r="M863" s="147">
        <f>IF($E863="","",VLOOKUP(IF($B863&lt;=Input!$C$7,$B863,26),'Mortality Tables'!$A$72:$CA$97,IF($B863&lt;=Input!$C$7+1,Input!$C$4-16,$D863-Input!$C$7-16),0)/1000)</f>
        <v>0.80958000000000008</v>
      </c>
      <c r="N863" s="147">
        <f t="shared" si="273"/>
        <v>0.12908444622020243</v>
      </c>
      <c r="O863" s="157">
        <f>IF($E863="","",IF($C863=12,IF($B863&lt;Input!$C$9,Input!$C$54,IF($B863=Input!$C$9,Input!$C$55,Input!$C$56)),0%))</f>
        <v>0</v>
      </c>
      <c r="P863" s="167">
        <f>IF($E863="","",IF($B863=1,Input!$C$59,IF($B863&lt;6,Input!$C$60,0%)))</f>
        <v>0</v>
      </c>
      <c r="Q863" s="162">
        <f>IF($E863="","",Input!$C$58)</f>
        <v>2.5</v>
      </c>
      <c r="R863" s="156">
        <f t="shared" si="285"/>
        <v>0.87091555377979757</v>
      </c>
      <c r="S863" s="154">
        <f t="shared" si="274"/>
        <v>4.1933874347219922E-12</v>
      </c>
      <c r="T863" s="152"/>
      <c r="U863" s="150">
        <f t="shared" si="286"/>
        <v>0</v>
      </c>
      <c r="V863" s="150">
        <f t="shared" si="287"/>
        <v>0</v>
      </c>
      <c r="W863" s="168">
        <f t="shared" si="288"/>
        <v>0</v>
      </c>
      <c r="X863" s="163">
        <f t="shared" si="275"/>
        <v>12908.444622020243</v>
      </c>
      <c r="Y863" s="152"/>
      <c r="Z863" s="164">
        <f>IF(AND($C862=12,$D862=Input!$C$6),0,IF($E863="","",V863+Z864/(1+L863)*R863))</f>
        <v>42873.145663513082</v>
      </c>
      <c r="AA863" s="164">
        <f>IF(OR($M863=1,AND($C862=12,$D862=Input!$C$6)),0,IF($E863="","",W863+(X863+AA864*$R863)/(1+$L863)))</f>
        <v>91935.602184540316</v>
      </c>
      <c r="AB863" s="160">
        <f t="shared" si="276"/>
        <v>0.825720328500681</v>
      </c>
      <c r="AC863" s="164">
        <f t="shared" si="277"/>
        <v>0</v>
      </c>
      <c r="AD863" s="164">
        <f>IF(AND($C862=12,$D862=Input!$C$6),0,IF($E863="","",$AC863+AD864/(1+$L863)*$R863))</f>
        <v>35401.22792113357</v>
      </c>
      <c r="AE863" s="152"/>
      <c r="AF863" s="164">
        <f>IF(AND($C862=12,$D862=Input!$C$6),0,IF($E863="","",IF($B863&gt;Input!$C$9,$AC863,0)+AF864/(1+$L863)*$R863))</f>
        <v>35401.22792113357</v>
      </c>
      <c r="AG863" s="164">
        <f>IF(AND($C862=12,$D862=Input!$C$6),0,IF($E863="","",(IF($B863&gt;Input!$C$9,$X863,0)+AG864)/(1+$L863)*$R863))</f>
        <v>78516.111143209098</v>
      </c>
      <c r="AH863" s="160">
        <f t="shared" si="278"/>
        <v>2.0950137211446997</v>
      </c>
      <c r="AI863" s="160">
        <f>IF($E863="","",MIN(Input!$C$61/AH863,1))</f>
        <v>0.64438718771845094</v>
      </c>
      <c r="AJ863" s="152"/>
      <c r="AK863" s="164">
        <f>IF(AND($C862=12,$D862=Input!$C$6),0,IF($E863="","",IF($B863&gt;Input!$C$9,$AC863*AI863,0)+AK864/(1+$L863)*$R863))</f>
        <v>22812.097701879164</v>
      </c>
      <c r="AL863" s="164">
        <f>IF(AND($C862=12,$D862=Input!$C$6),0,IF($E863="","",IF($B863&gt;Input!$C$9,0,$AC863)+AL864/(1+$L863)*$R863))</f>
        <v>0</v>
      </c>
      <c r="AM863" s="160">
        <f t="shared" si="279"/>
        <v>1.1382936520186004</v>
      </c>
      <c r="AN863" s="164">
        <f>IF($E863="","",IF($B863&gt;Input!$C$9,$AI863*$AC863,$AM863*$AC863))</f>
        <v>0</v>
      </c>
      <c r="AO863" s="164">
        <f>IF(AND($C862=12,$D862=Input!$C$6),0,IF($E863="","",$AN863+AO864/(1+$L863)*$R863))</f>
        <v>22812.097701879164</v>
      </c>
      <c r="AP863" s="152"/>
      <c r="AQ863" s="164">
        <f t="shared" si="280"/>
        <v>69123.504482661156</v>
      </c>
      <c r="AR863" s="164">
        <f t="shared" si="289"/>
        <v>64890.931913201173</v>
      </c>
      <c r="AS863" s="164">
        <f t="shared" si="290"/>
        <v>38735.885167464126</v>
      </c>
      <c r="AT863" s="164">
        <f t="shared" si="281"/>
        <v>64890.931913201173</v>
      </c>
      <c r="AU863" s="152"/>
      <c r="AV863" s="147">
        <f>'Deterministic Reserve'!BC863</f>
        <v>4.528214262174407E-18</v>
      </c>
      <c r="AW863" s="164">
        <f t="shared" si="282"/>
        <v>64890.931913201173</v>
      </c>
      <c r="AX863" s="164">
        <f t="shared" si="283"/>
        <v>2.9384004337514593E-13</v>
      </c>
      <c r="AY863" s="152"/>
    </row>
    <row r="864" spans="1:51" s="150" customFormat="1" x14ac:dyDescent="0.25">
      <c r="A864" s="150">
        <f t="shared" si="291"/>
        <v>860</v>
      </c>
      <c r="B864" s="150">
        <f t="shared" si="292"/>
        <v>72</v>
      </c>
      <c r="C864" s="150">
        <f t="shared" si="293"/>
        <v>8</v>
      </c>
      <c r="D864" s="150">
        <f>IF(E864="","",Input!$C$4+B864-1)</f>
        <v>116</v>
      </c>
      <c r="E864" s="150">
        <f>IF(OR(AND(C863=12,D863=Input!$C$6),E863=""),"",1)</f>
        <v>1</v>
      </c>
      <c r="F864" s="150">
        <f>IF(E864="","",Input!$C$8+B864-1)</f>
        <v>2089</v>
      </c>
      <c r="G864" s="151">
        <f>IF(E864="","",MAX(0,Input!$C$9-B864))</f>
        <v>0</v>
      </c>
      <c r="H864" s="152">
        <f>IF(E864="","",Input!$C$3)</f>
        <v>100000</v>
      </c>
      <c r="I864" s="153">
        <f>IF(E864="","",HLOOKUP($B864,Input!$C$13:$BT$14,2))</f>
        <v>1000</v>
      </c>
      <c r="J864" s="154"/>
      <c r="K864" s="155">
        <f>IF($E864="","",Input!$C$57)</f>
        <v>4.4999999999999998E-2</v>
      </c>
      <c r="L864" s="155">
        <f t="shared" si="284"/>
        <v>3.6748094004368514E-3</v>
      </c>
      <c r="M864" s="147">
        <f>IF($E864="","",VLOOKUP(IF($B864&lt;=Input!$C$7,$B864,26),'Mortality Tables'!$A$72:$CA$97,IF($B864&lt;=Input!$C$7+1,Input!$C$4-16,$D864-Input!$C$7-16),0)/1000)</f>
        <v>0.80958000000000008</v>
      </c>
      <c r="N864" s="147">
        <f t="shared" si="273"/>
        <v>0.12908444622020243</v>
      </c>
      <c r="O864" s="157">
        <f>IF($E864="","",IF($C864=12,IF($B864&lt;Input!$C$9,Input!$C$54,IF($B864=Input!$C$9,Input!$C$55,Input!$C$56)),0%))</f>
        <v>0</v>
      </c>
      <c r="P864" s="167">
        <f>IF($E864="","",IF($B864=1,Input!$C$59,IF($B864&lt;6,Input!$C$60,0%)))</f>
        <v>0</v>
      </c>
      <c r="Q864" s="162">
        <f>IF($E864="","",Input!$C$58)</f>
        <v>2.5</v>
      </c>
      <c r="R864" s="156">
        <f t="shared" si="285"/>
        <v>0.87091555377979757</v>
      </c>
      <c r="S864" s="154">
        <f t="shared" si="274"/>
        <v>3.6520863399241485E-12</v>
      </c>
      <c r="T864" s="152"/>
      <c r="U864" s="150">
        <f t="shared" si="286"/>
        <v>0</v>
      </c>
      <c r="V864" s="150">
        <f t="shared" si="287"/>
        <v>0</v>
      </c>
      <c r="W864" s="168">
        <f t="shared" si="288"/>
        <v>0</v>
      </c>
      <c r="X864" s="163">
        <f t="shared" si="275"/>
        <v>12908.444622020243</v>
      </c>
      <c r="Y864" s="152"/>
      <c r="Z864" s="164">
        <f>IF(AND($C863=12,$D863=Input!$C$6),0,IF($E864="","",V864+Z865/(1+L864)*R864))</f>
        <v>49408.574821599235</v>
      </c>
      <c r="AA864" s="164">
        <f>IF(OR($M864=1,AND($C863=12,$D863=Input!$C$6)),0,IF($E864="","",W864+(X864+AA865*$R864)/(1+$L864)))</f>
        <v>91128.242035885502</v>
      </c>
      <c r="AB864" s="160">
        <f t="shared" si="276"/>
        <v>0.825720328500681</v>
      </c>
      <c r="AC864" s="164">
        <f t="shared" si="277"/>
        <v>0</v>
      </c>
      <c r="AD864" s="164">
        <f>IF(AND($C863=12,$D863=Input!$C$6),0,IF($E864="","",$AC864+AD865/(1+$L864)*$R864))</f>
        <v>40797.664632441396</v>
      </c>
      <c r="AE864" s="152"/>
      <c r="AF864" s="164">
        <f>IF(AND($C863=12,$D863=Input!$C$6),0,IF($E864="","",IF($B864&gt;Input!$C$9,$AC864,0)+AF865/(1+$L864)*$R864))</f>
        <v>40797.664632441396</v>
      </c>
      <c r="AG864" s="164">
        <f>IF(AND($C863=12,$D863=Input!$C$6),0,IF($E864="","",(IF($B864&gt;Input!$C$9,$X864,0)+AG865)/(1+$L864)*$R864))</f>
        <v>77576.382000388316</v>
      </c>
      <c r="AH864" s="160">
        <f t="shared" si="278"/>
        <v>2.0950137211446997</v>
      </c>
      <c r="AI864" s="160">
        <f>IF($E864="","",MIN(Input!$C$61/AH864,1))</f>
        <v>0.64438718771845094</v>
      </c>
      <c r="AJ864" s="152"/>
      <c r="AK864" s="164">
        <f>IF(AND($C863=12,$D863=Input!$C$6),0,IF($E864="","",IF($B864&gt;Input!$C$9,$AC864*AI864,0)+AK865/(1+$L864)*$R864))</f>
        <v>26289.492377979419</v>
      </c>
      <c r="AL864" s="164">
        <f>IF(AND($C863=12,$D863=Input!$C$6),0,IF($E864="","",IF($B864&gt;Input!$C$9,0,$AC864)+AL865/(1+$L864)*$R864))</f>
        <v>0</v>
      </c>
      <c r="AM864" s="160">
        <f t="shared" si="279"/>
        <v>1.1382936520186004</v>
      </c>
      <c r="AN864" s="164">
        <f>IF($E864="","",IF($B864&gt;Input!$C$9,$AI864*$AC864,$AM864*$AC864))</f>
        <v>0</v>
      </c>
      <c r="AO864" s="164">
        <f>IF(AND($C863=12,$D863=Input!$C$6),0,IF($E864="","",$AN864+AO865/(1+$L864)*$R864))</f>
        <v>26289.492377979419</v>
      </c>
      <c r="AP864" s="152"/>
      <c r="AQ864" s="164">
        <f t="shared" si="280"/>
        <v>64838.749657906083</v>
      </c>
      <c r="AR864" s="164">
        <f t="shared" si="289"/>
        <v>64890.931913201173</v>
      </c>
      <c r="AS864" s="164">
        <f t="shared" si="290"/>
        <v>38735.885167464126</v>
      </c>
      <c r="AT864" s="164">
        <f t="shared" si="281"/>
        <v>64890.931913201173</v>
      </c>
      <c r="AU864" s="152"/>
      <c r="AV864" s="147">
        <f>'Deterministic Reserve'!BC864</f>
        <v>4.0953158939348101E-18</v>
      </c>
      <c r="AW864" s="164">
        <f t="shared" si="282"/>
        <v>64890.931913201173</v>
      </c>
      <c r="AX864" s="164">
        <f t="shared" si="283"/>
        <v>2.6574886483637437E-13</v>
      </c>
      <c r="AY864" s="152"/>
    </row>
    <row r="865" spans="1:51" s="150" customFormat="1" x14ac:dyDescent="0.25">
      <c r="A865" s="150">
        <f t="shared" si="291"/>
        <v>861</v>
      </c>
      <c r="B865" s="150">
        <f t="shared" si="292"/>
        <v>72</v>
      </c>
      <c r="C865" s="150">
        <f t="shared" si="293"/>
        <v>9</v>
      </c>
      <c r="D865" s="150">
        <f>IF(E865="","",Input!$C$4+B865-1)</f>
        <v>116</v>
      </c>
      <c r="E865" s="150">
        <f>IF(OR(AND(C864=12,D864=Input!$C$6),E864=""),"",1)</f>
        <v>1</v>
      </c>
      <c r="F865" s="150">
        <f>IF(E865="","",Input!$C$8+B865-1)</f>
        <v>2089</v>
      </c>
      <c r="G865" s="151">
        <f>IF(E865="","",MAX(0,Input!$C$9-B865))</f>
        <v>0</v>
      </c>
      <c r="H865" s="152">
        <f>IF(E865="","",Input!$C$3)</f>
        <v>100000</v>
      </c>
      <c r="I865" s="153">
        <f>IF(E865="","",HLOOKUP($B865,Input!$C$13:$BT$14,2))</f>
        <v>1000</v>
      </c>
      <c r="J865" s="154"/>
      <c r="K865" s="155">
        <f>IF($E865="","",Input!$C$57)</f>
        <v>4.4999999999999998E-2</v>
      </c>
      <c r="L865" s="155">
        <f t="shared" si="284"/>
        <v>3.6748094004368514E-3</v>
      </c>
      <c r="M865" s="147">
        <f>IF($E865="","",VLOOKUP(IF($B865&lt;=Input!$C$7,$B865,26),'Mortality Tables'!$A$72:$CA$97,IF($B865&lt;=Input!$C$7+1,Input!$C$4-16,$D865-Input!$C$7-16),0)/1000)</f>
        <v>0.80958000000000008</v>
      </c>
      <c r="N865" s="147">
        <f t="shared" si="273"/>
        <v>0.12908444622020243</v>
      </c>
      <c r="O865" s="157">
        <f>IF($E865="","",IF($C865=12,IF($B865&lt;Input!$C$9,Input!$C$54,IF($B865=Input!$C$9,Input!$C$55,Input!$C$56)),0%))</f>
        <v>0</v>
      </c>
      <c r="P865" s="167">
        <f>IF($E865="","",IF($B865=1,Input!$C$59,IF($B865&lt;6,Input!$C$60,0%)))</f>
        <v>0</v>
      </c>
      <c r="Q865" s="162">
        <f>IF($E865="","",Input!$C$58)</f>
        <v>2.5</v>
      </c>
      <c r="R865" s="156">
        <f t="shared" si="285"/>
        <v>0.87091555377979757</v>
      </c>
      <c r="S865" s="154">
        <f t="shared" si="274"/>
        <v>3.1806587971866739E-12</v>
      </c>
      <c r="T865" s="152"/>
      <c r="U865" s="150">
        <f t="shared" si="286"/>
        <v>0</v>
      </c>
      <c r="V865" s="150">
        <f t="shared" si="287"/>
        <v>0</v>
      </c>
      <c r="W865" s="168">
        <f t="shared" si="288"/>
        <v>0</v>
      </c>
      <c r="X865" s="163">
        <f t="shared" si="275"/>
        <v>12908.444622020243</v>
      </c>
      <c r="Y865" s="152"/>
      <c r="Z865" s="164">
        <f>IF(AND($C864=12,$D864=Input!$C$6),0,IF($E865="","",V865+Z866/(1+L865)*R865))</f>
        <v>56940.241452335133</v>
      </c>
      <c r="AA865" s="164">
        <f>IF(OR($M865=1,AND($C864=12,$D864=Input!$C$6)),0,IF($E865="","",W865+(X865+AA866*$R865)/(1+$L865)))</f>
        <v>90197.810790511852</v>
      </c>
      <c r="AB865" s="160">
        <f t="shared" si="276"/>
        <v>0.825720328500681</v>
      </c>
      <c r="AC865" s="164">
        <f t="shared" si="277"/>
        <v>0</v>
      </c>
      <c r="AD865" s="164">
        <f>IF(AND($C864=12,$D864=Input!$C$6),0,IF($E865="","",$AC865+AD866/(1+$L865)*$R865))</f>
        <v>47016.714876930258</v>
      </c>
      <c r="AE865" s="152"/>
      <c r="AF865" s="164">
        <f>IF(AND($C864=12,$D864=Input!$C$6),0,IF($E865="","",IF($B865&gt;Input!$C$9,$AC865,0)+AF866/(1+$L865)*$R865))</f>
        <v>47016.714876930258</v>
      </c>
      <c r="AG865" s="164">
        <f>IF(AND($C864=12,$D864=Input!$C$6),0,IF($E865="","",(IF($B865&gt;Input!$C$9,$X865,0)+AG866)/(1+$L865)*$R865))</f>
        <v>76493.403904274121</v>
      </c>
      <c r="AH865" s="160">
        <f t="shared" si="278"/>
        <v>2.0950137211446997</v>
      </c>
      <c r="AI865" s="160">
        <f>IF($E865="","",MIN(Input!$C$61/AH865,1))</f>
        <v>0.64438718771845094</v>
      </c>
      <c r="AJ865" s="152"/>
      <c r="AK865" s="164">
        <f>IF(AND($C864=12,$D864=Input!$C$6),0,IF($E865="","",IF($B865&gt;Input!$C$9,$AC865*AI865,0)+AK866/(1+$L865)*$R865))</f>
        <v>30296.968675305343</v>
      </c>
      <c r="AL865" s="164">
        <f>IF(AND($C864=12,$D864=Input!$C$6),0,IF($E865="","",IF($B865&gt;Input!$C$9,0,$AC865)+AL866/(1+$L865)*$R865))</f>
        <v>0</v>
      </c>
      <c r="AM865" s="160">
        <f t="shared" si="279"/>
        <v>1.1382936520186004</v>
      </c>
      <c r="AN865" s="164">
        <f>IF($E865="","",IF($B865&gt;Input!$C$9,$AI865*$AC865,$AM865*$AC865))</f>
        <v>0</v>
      </c>
      <c r="AO865" s="164">
        <f>IF(AND($C864=12,$D864=Input!$C$6),0,IF($E865="","",$AN865+AO866/(1+$L865)*$R865))</f>
        <v>30296.968675305343</v>
      </c>
      <c r="AP865" s="152"/>
      <c r="AQ865" s="164">
        <f t="shared" si="280"/>
        <v>59900.842115206513</v>
      </c>
      <c r="AR865" s="164">
        <f t="shared" si="289"/>
        <v>64890.931913201173</v>
      </c>
      <c r="AS865" s="164">
        <f t="shared" si="290"/>
        <v>38735.885167464126</v>
      </c>
      <c r="AT865" s="164">
        <f t="shared" si="281"/>
        <v>64890.931913201173</v>
      </c>
      <c r="AU865" s="152"/>
      <c r="AV865" s="147">
        <f>'Deterministic Reserve'!BC865</f>
        <v>3.7038027134037374E-18</v>
      </c>
      <c r="AW865" s="164">
        <f t="shared" si="282"/>
        <v>64890.931913201173</v>
      </c>
      <c r="AX865" s="164">
        <f t="shared" si="283"/>
        <v>2.4034320969541167E-13</v>
      </c>
      <c r="AY865" s="152"/>
    </row>
    <row r="866" spans="1:51" s="150" customFormat="1" x14ac:dyDescent="0.25">
      <c r="A866" s="150">
        <f t="shared" si="291"/>
        <v>862</v>
      </c>
      <c r="B866" s="150">
        <f t="shared" si="292"/>
        <v>72</v>
      </c>
      <c r="C866" s="150">
        <f t="shared" si="293"/>
        <v>10</v>
      </c>
      <c r="D866" s="150">
        <f>IF(E866="","",Input!$C$4+B866-1)</f>
        <v>116</v>
      </c>
      <c r="E866" s="150">
        <f>IF(OR(AND(C865=12,D865=Input!$C$6),E865=""),"",1)</f>
        <v>1</v>
      </c>
      <c r="F866" s="150">
        <f>IF(E866="","",Input!$C$8+B866-1)</f>
        <v>2089</v>
      </c>
      <c r="G866" s="151">
        <f>IF(E866="","",MAX(0,Input!$C$9-B866))</f>
        <v>0</v>
      </c>
      <c r="H866" s="152">
        <f>IF(E866="","",Input!$C$3)</f>
        <v>100000</v>
      </c>
      <c r="I866" s="153">
        <f>IF(E866="","",HLOOKUP($B866,Input!$C$13:$BT$14,2))</f>
        <v>1000</v>
      </c>
      <c r="J866" s="154"/>
      <c r="K866" s="155">
        <f>IF($E866="","",Input!$C$57)</f>
        <v>4.4999999999999998E-2</v>
      </c>
      <c r="L866" s="155">
        <f t="shared" si="284"/>
        <v>3.6748094004368514E-3</v>
      </c>
      <c r="M866" s="147">
        <f>IF($E866="","",VLOOKUP(IF($B866&lt;=Input!$C$7,$B866,26),'Mortality Tables'!$A$72:$CA$97,IF($B866&lt;=Input!$C$7+1,Input!$C$4-16,$D866-Input!$C$7-16),0)/1000)</f>
        <v>0.80958000000000008</v>
      </c>
      <c r="N866" s="147">
        <f t="shared" si="273"/>
        <v>0.12908444622020243</v>
      </c>
      <c r="O866" s="157">
        <f>IF($E866="","",IF($C866=12,IF($B866&lt;Input!$C$9,Input!$C$54,IF($B866=Input!$C$9,Input!$C$55,Input!$C$56)),0%))</f>
        <v>0</v>
      </c>
      <c r="P866" s="167">
        <f>IF($E866="","",IF($B866=1,Input!$C$59,IF($B866&lt;6,Input!$C$60,0%)))</f>
        <v>0</v>
      </c>
      <c r="Q866" s="162">
        <f>IF($E866="","",Input!$C$58)</f>
        <v>2.5</v>
      </c>
      <c r="R866" s="156">
        <f t="shared" si="285"/>
        <v>0.87091555377979757</v>
      </c>
      <c r="S866" s="154">
        <f t="shared" si="274"/>
        <v>2.7700852177364168E-12</v>
      </c>
      <c r="T866" s="152"/>
      <c r="U866" s="150">
        <f t="shared" si="286"/>
        <v>0</v>
      </c>
      <c r="V866" s="150">
        <f t="shared" si="287"/>
        <v>0</v>
      </c>
      <c r="W866" s="168">
        <f t="shared" si="288"/>
        <v>0</v>
      </c>
      <c r="X866" s="163">
        <f t="shared" si="275"/>
        <v>12908.444622020243</v>
      </c>
      <c r="Y866" s="152"/>
      <c r="Z866" s="164">
        <f>IF(AND($C865=12,$D865=Input!$C$6),0,IF($E866="","",V866+Z867/(1+L866)*R866))</f>
        <v>65620.008436933946</v>
      </c>
      <c r="AA866" s="164">
        <f>IF(OR($M866=1,AND($C865=12,$D865=Input!$C$6)),0,IF($E866="","",W866+(X866+AA867*$R866)/(1+$L866)))</f>
        <v>89125.547930114335</v>
      </c>
      <c r="AB866" s="160">
        <f t="shared" si="276"/>
        <v>0.825720328500681</v>
      </c>
      <c r="AC866" s="164">
        <f t="shared" si="277"/>
        <v>0</v>
      </c>
      <c r="AD866" s="164">
        <f>IF(AND($C865=12,$D865=Input!$C$6),0,IF($E866="","",$AC866+AD867/(1+$L866)*$R866))</f>
        <v>54183.774922762561</v>
      </c>
      <c r="AE866" s="152"/>
      <c r="AF866" s="164">
        <f>IF(AND($C865=12,$D865=Input!$C$6),0,IF($E866="","",IF($B866&gt;Input!$C$9,$AC866,0)+AF867/(1+$L866)*$R866))</f>
        <v>54183.774922762561</v>
      </c>
      <c r="AG866" s="164">
        <f>IF(AND($C865=12,$D865=Input!$C$6),0,IF($E866="","",(IF($B866&gt;Input!$C$9,$X866,0)+AG867)/(1+$L866)*$R866))</f>
        <v>75245.340496191857</v>
      </c>
      <c r="AH866" s="160">
        <f t="shared" si="278"/>
        <v>2.0950137211446997</v>
      </c>
      <c r="AI866" s="160">
        <f>IF($E866="","",MIN(Input!$C$61/AH866,1))</f>
        <v>0.64438718771845094</v>
      </c>
      <c r="AJ866" s="152"/>
      <c r="AK866" s="164">
        <f>IF(AND($C865=12,$D865=Input!$C$6),0,IF($E866="","",IF($B866&gt;Input!$C$9,$AC866*AI866,0)+AK867/(1+$L866)*$R866))</f>
        <v>34915.330342448491</v>
      </c>
      <c r="AL866" s="164">
        <f>IF(AND($C865=12,$D865=Input!$C$6),0,IF($E866="","",IF($B866&gt;Input!$C$9,0,$AC866)+AL867/(1+$L866)*$R866))</f>
        <v>0</v>
      </c>
      <c r="AM866" s="160">
        <f t="shared" si="279"/>
        <v>1.1382936520186004</v>
      </c>
      <c r="AN866" s="164">
        <f>IF($E866="","",IF($B866&gt;Input!$C$9,$AI866*$AC866,$AM866*$AC866))</f>
        <v>0</v>
      </c>
      <c r="AO866" s="164">
        <f>IF(AND($C865=12,$D865=Input!$C$6),0,IF($E866="","",$AN866+AO867/(1+$L866)*$R866))</f>
        <v>34915.330342448491</v>
      </c>
      <c r="AP866" s="152"/>
      <c r="AQ866" s="164">
        <f t="shared" si="280"/>
        <v>54210.217587665844</v>
      </c>
      <c r="AR866" s="164">
        <f t="shared" si="289"/>
        <v>64890.931913201173</v>
      </c>
      <c r="AS866" s="164">
        <f t="shared" si="290"/>
        <v>38735.885167464126</v>
      </c>
      <c r="AT866" s="164">
        <f t="shared" si="281"/>
        <v>64890.931913201173</v>
      </c>
      <c r="AU866" s="152"/>
      <c r="AV866" s="147">
        <f>'Deterministic Reserve'!BC866</f>
        <v>3.349718286722049E-18</v>
      </c>
      <c r="AW866" s="164">
        <f t="shared" si="282"/>
        <v>64890.931913201173</v>
      </c>
      <c r="AX866" s="164">
        <f t="shared" si="283"/>
        <v>2.1736634127208538E-13</v>
      </c>
      <c r="AY866" s="152"/>
    </row>
    <row r="867" spans="1:51" s="150" customFormat="1" x14ac:dyDescent="0.25">
      <c r="A867" s="150">
        <f t="shared" si="291"/>
        <v>863</v>
      </c>
      <c r="B867" s="150">
        <f t="shared" si="292"/>
        <v>72</v>
      </c>
      <c r="C867" s="150">
        <f t="shared" si="293"/>
        <v>11</v>
      </c>
      <c r="D867" s="150">
        <f>IF(E867="","",Input!$C$4+B867-1)</f>
        <v>116</v>
      </c>
      <c r="E867" s="150">
        <f>IF(OR(AND(C866=12,D866=Input!$C$6),E866=""),"",1)</f>
        <v>1</v>
      </c>
      <c r="F867" s="150">
        <f>IF(E867="","",Input!$C$8+B867-1)</f>
        <v>2089</v>
      </c>
      <c r="G867" s="151">
        <f>IF(E867="","",MAX(0,Input!$C$9-B867))</f>
        <v>0</v>
      </c>
      <c r="H867" s="152">
        <f>IF(E867="","",Input!$C$3)</f>
        <v>100000</v>
      </c>
      <c r="I867" s="153">
        <f>IF(E867="","",HLOOKUP($B867,Input!$C$13:$BT$14,2))</f>
        <v>1000</v>
      </c>
      <c r="J867" s="154"/>
      <c r="K867" s="155">
        <f>IF($E867="","",Input!$C$57)</f>
        <v>4.4999999999999998E-2</v>
      </c>
      <c r="L867" s="155">
        <f t="shared" si="284"/>
        <v>3.6748094004368514E-3</v>
      </c>
      <c r="M867" s="147">
        <f>IF($E867="","",VLOOKUP(IF($B867&lt;=Input!$C$7,$B867,26),'Mortality Tables'!$A$72:$CA$97,IF($B867&lt;=Input!$C$7+1,Input!$C$4-16,$D867-Input!$C$7-16),0)/1000)</f>
        <v>0.80958000000000008</v>
      </c>
      <c r="N867" s="147">
        <f t="shared" si="273"/>
        <v>0.12908444622020243</v>
      </c>
      <c r="O867" s="157">
        <f>IF($E867="","",IF($C867=12,IF($B867&lt;Input!$C$9,Input!$C$54,IF($B867=Input!$C$9,Input!$C$55,Input!$C$56)),0%))</f>
        <v>0</v>
      </c>
      <c r="P867" s="167">
        <f>IF($E867="","",IF($B867=1,Input!$C$59,IF($B867&lt;6,Input!$C$60,0%)))</f>
        <v>0</v>
      </c>
      <c r="Q867" s="162">
        <f>IF($E867="","",Input!$C$58)</f>
        <v>2.5</v>
      </c>
      <c r="R867" s="156">
        <f t="shared" si="285"/>
        <v>0.87091555377979757</v>
      </c>
      <c r="S867" s="154">
        <f t="shared" si="274"/>
        <v>2.4125103014221427E-12</v>
      </c>
      <c r="T867" s="152"/>
      <c r="U867" s="150">
        <f t="shared" si="286"/>
        <v>0</v>
      </c>
      <c r="V867" s="150">
        <f t="shared" si="287"/>
        <v>0</v>
      </c>
      <c r="W867" s="168">
        <f t="shared" si="288"/>
        <v>0</v>
      </c>
      <c r="X867" s="163">
        <f t="shared" si="275"/>
        <v>12908.444622020243</v>
      </c>
      <c r="Y867" s="152"/>
      <c r="Z867" s="164">
        <f>IF(AND($C866=12,$D866=Input!$C$6),0,IF($E867="","",V867+Z868/(1+L867)*R867))</f>
        <v>75622.888091681831</v>
      </c>
      <c r="AA867" s="164">
        <f>IF(OR($M867=1,AND($C866=12,$D866=Input!$C$6)),0,IF($E867="","",W867+(X867+AA868*$R867)/(1+$L867)))</f>
        <v>87889.833150000573</v>
      </c>
      <c r="AB867" s="160">
        <f t="shared" si="276"/>
        <v>0.825720328500681</v>
      </c>
      <c r="AC867" s="164">
        <f t="shared" si="277"/>
        <v>0</v>
      </c>
      <c r="AD867" s="164">
        <f>IF(AND($C866=12,$D866=Input!$C$6),0,IF($E867="","",$AC867+AD868/(1+$L867)*$R867))</f>
        <v>62443.355997233761</v>
      </c>
      <c r="AE867" s="152"/>
      <c r="AF867" s="164">
        <f>IF(AND($C866=12,$D866=Input!$C$6),0,IF($E867="","",IF($B867&gt;Input!$C$9,$AC867,0)+AF868/(1+$L867)*$R867))</f>
        <v>62443.355997233761</v>
      </c>
      <c r="AG867" s="164">
        <f>IF(AND($C866=12,$D866=Input!$C$6),0,IF($E867="","",(IF($B867&gt;Input!$C$9,$X867,0)+AG868)/(1+$L867)*$R867))</f>
        <v>73807.026760962195</v>
      </c>
      <c r="AH867" s="160">
        <f t="shared" si="278"/>
        <v>2.0950137211446997</v>
      </c>
      <c r="AI867" s="160">
        <f>IF($E867="","",MIN(Input!$C$61/AH867,1))</f>
        <v>0.64438718771845094</v>
      </c>
      <c r="AJ867" s="152"/>
      <c r="AK867" s="164">
        <f>IF(AND($C866=12,$D866=Input!$C$6),0,IF($E867="","",IF($B867&gt;Input!$C$9,$AC867*AI867,0)+AK868/(1+$L867)*$R867))</f>
        <v>40237.698562759528</v>
      </c>
      <c r="AL867" s="164">
        <f>IF(AND($C866=12,$D866=Input!$C$6),0,IF($E867="","",IF($B867&gt;Input!$C$9,0,$AC867)+AL868/(1+$L867)*$R867))</f>
        <v>0</v>
      </c>
      <c r="AM867" s="160">
        <f t="shared" si="279"/>
        <v>1.1382936520186004</v>
      </c>
      <c r="AN867" s="164">
        <f>IF($E867="","",IF($B867&gt;Input!$C$9,$AI867*$AC867,$AM867*$AC867))</f>
        <v>0</v>
      </c>
      <c r="AO867" s="164">
        <f>IF(AND($C866=12,$D866=Input!$C$6),0,IF($E867="","",$AN867+AO868/(1+$L867)*$R867))</f>
        <v>40237.698562759528</v>
      </c>
      <c r="AP867" s="152"/>
      <c r="AQ867" s="164">
        <f t="shared" si="280"/>
        <v>47652.134587241046</v>
      </c>
      <c r="AR867" s="164">
        <f t="shared" si="289"/>
        <v>64890.931913201173</v>
      </c>
      <c r="AS867" s="164">
        <f t="shared" si="290"/>
        <v>38735.885167464126</v>
      </c>
      <c r="AT867" s="164">
        <f t="shared" si="281"/>
        <v>64890.931913201173</v>
      </c>
      <c r="AU867" s="152"/>
      <c r="AV867" s="147">
        <f>'Deterministic Reserve'!BC867</f>
        <v>3.0294844160553383E-18</v>
      </c>
      <c r="AW867" s="164">
        <f t="shared" si="282"/>
        <v>64890.931913201173</v>
      </c>
      <c r="AX867" s="164">
        <f t="shared" si="283"/>
        <v>1.9658606697435097E-13</v>
      </c>
      <c r="AY867" s="152"/>
    </row>
    <row r="868" spans="1:51" s="150" customFormat="1" x14ac:dyDescent="0.25">
      <c r="A868" s="150">
        <f t="shared" si="291"/>
        <v>864</v>
      </c>
      <c r="B868" s="150">
        <f t="shared" si="292"/>
        <v>72</v>
      </c>
      <c r="C868" s="150">
        <f t="shared" si="293"/>
        <v>12</v>
      </c>
      <c r="D868" s="150">
        <f>IF(E868="","",Input!$C$4+B868-1)</f>
        <v>116</v>
      </c>
      <c r="E868" s="150">
        <f>IF(OR(AND(C867=12,D867=Input!$C$6),E867=""),"",1)</f>
        <v>1</v>
      </c>
      <c r="F868" s="150">
        <f>IF(E868="","",Input!$C$8+B868-1)</f>
        <v>2089</v>
      </c>
      <c r="G868" s="151">
        <f>IF(E868="","",MAX(0,Input!$C$9-B868))</f>
        <v>0</v>
      </c>
      <c r="H868" s="152">
        <f>IF(E868="","",Input!$C$3)</f>
        <v>100000</v>
      </c>
      <c r="I868" s="153">
        <f>IF(E868="","",HLOOKUP($B868,Input!$C$13:$BT$14,2))</f>
        <v>1000</v>
      </c>
      <c r="J868" s="154"/>
      <c r="K868" s="155">
        <f>IF($E868="","",Input!$C$57)</f>
        <v>4.4999999999999998E-2</v>
      </c>
      <c r="L868" s="155">
        <f t="shared" si="284"/>
        <v>3.6748094004368514E-3</v>
      </c>
      <c r="M868" s="147">
        <f>IF($E868="","",VLOOKUP(IF($B868&lt;=Input!$C$7,$B868,26),'Mortality Tables'!$A$72:$CA$97,IF($B868&lt;=Input!$C$7+1,Input!$C$4-16,$D868-Input!$C$7-16),0)/1000)</f>
        <v>0.80958000000000008</v>
      </c>
      <c r="N868" s="147">
        <f t="shared" si="273"/>
        <v>0.12908444622020243</v>
      </c>
      <c r="O868" s="157">
        <f>IF($E868="","",IF($C868=12,IF($B868&lt;Input!$C$9,Input!$C$54,IF($B868=Input!$C$9,Input!$C$55,Input!$C$56)),0%))</f>
        <v>0.1</v>
      </c>
      <c r="P868" s="167">
        <f>IF($E868="","",IF($B868=1,Input!$C$59,IF($B868&lt;6,Input!$C$60,0%)))</f>
        <v>0</v>
      </c>
      <c r="Q868" s="162">
        <f>IF($E868="","",Input!$C$58)</f>
        <v>2.5</v>
      </c>
      <c r="R868" s="156">
        <f t="shared" si="285"/>
        <v>0.77091555377979759</v>
      </c>
      <c r="S868" s="154">
        <f t="shared" si="274"/>
        <v>1.8598417150203176E-12</v>
      </c>
      <c r="T868" s="152"/>
      <c r="U868" s="150">
        <f t="shared" si="286"/>
        <v>0</v>
      </c>
      <c r="V868" s="150">
        <f t="shared" si="287"/>
        <v>0</v>
      </c>
      <c r="W868" s="168">
        <f t="shared" si="288"/>
        <v>0</v>
      </c>
      <c r="X868" s="163">
        <f t="shared" si="275"/>
        <v>12908.444622020243</v>
      </c>
      <c r="Y868" s="152"/>
      <c r="Z868" s="164">
        <f>IF(AND($C867=12,$D867=Input!$C$6),0,IF($E868="","",V868+Z869/(1+L868)*R868))</f>
        <v>87150.57098511768</v>
      </c>
      <c r="AA868" s="164">
        <f>IF(OR($M868=1,AND($C867=12,$D867=Input!$C$6)),0,IF($E868="","",W868+(X868+AA869*$R868)/(1+$L868)))</f>
        <v>86465.750423470745</v>
      </c>
      <c r="AB868" s="160">
        <f t="shared" si="276"/>
        <v>0.825720328500681</v>
      </c>
      <c r="AC868" s="164">
        <f t="shared" si="277"/>
        <v>0</v>
      </c>
      <c r="AD868" s="164">
        <f>IF(AND($C867=12,$D867=Input!$C$6),0,IF($E868="","",$AC868+AD869/(1+$L868)*$R868))</f>
        <v>71961.998102853293</v>
      </c>
      <c r="AE868" s="152"/>
      <c r="AF868" s="164">
        <f>IF(AND($C867=12,$D867=Input!$C$6),0,IF($E868="","",IF($B868&gt;Input!$C$9,$AC868,0)+AF869/(1+$L868)*$R868))</f>
        <v>71961.998102853293</v>
      </c>
      <c r="AG868" s="164">
        <f>IF(AND($C867=12,$D867=Input!$C$6),0,IF($E868="","",(IF($B868&gt;Input!$C$9,$X868,0)+AG869)/(1+$L868)*$R868))</f>
        <v>72149.461618395391</v>
      </c>
      <c r="AH868" s="160">
        <f t="shared" si="278"/>
        <v>2.0950137211446997</v>
      </c>
      <c r="AI868" s="160">
        <f>IF($E868="","",MIN(Input!$C$61/AH868,1))</f>
        <v>0.64438718771845094</v>
      </c>
      <c r="AJ868" s="152"/>
      <c r="AK868" s="164">
        <f>IF(AND($C867=12,$D867=Input!$C$6),0,IF($E868="","",IF($B868&gt;Input!$C$9,$AC868*AI868,0)+AK869/(1+$L868)*$R868))</f>
        <v>46371.389580098134</v>
      </c>
      <c r="AL868" s="164">
        <f>IF(AND($C867=12,$D867=Input!$C$6),0,IF($E868="","",IF($B868&gt;Input!$C$9,0,$AC868)+AL869/(1+$L868)*$R868))</f>
        <v>0</v>
      </c>
      <c r="AM868" s="160">
        <f t="shared" si="279"/>
        <v>1.1382936520186004</v>
      </c>
      <c r="AN868" s="164">
        <f>IF($E868="","",IF($B868&gt;Input!$C$9,$AI868*$AC868,$AM868*$AC868))</f>
        <v>0</v>
      </c>
      <c r="AO868" s="164">
        <f>IF(AND($C867=12,$D867=Input!$C$6),0,IF($E868="","",$AN868+AO869/(1+$L868)*$R868))</f>
        <v>46371.389580098134</v>
      </c>
      <c r="AP868" s="152"/>
      <c r="AQ868" s="164">
        <f t="shared" si="280"/>
        <v>40094.360843372611</v>
      </c>
      <c r="AR868" s="164">
        <f t="shared" si="289"/>
        <v>64890.931913201173</v>
      </c>
      <c r="AS868" s="164">
        <f t="shared" si="290"/>
        <v>38735.885167464126</v>
      </c>
      <c r="AT868" s="164">
        <f t="shared" si="281"/>
        <v>64890.931913201173</v>
      </c>
      <c r="AU868" s="152"/>
      <c r="AV868" s="147">
        <f>'Deterministic Reserve'!BC868</f>
        <v>2.4369165385338254E-18</v>
      </c>
      <c r="AW868" s="164">
        <f t="shared" si="282"/>
        <v>64890.931913201173</v>
      </c>
      <c r="AX868" s="164">
        <f t="shared" si="283"/>
        <v>1.5813378518015235E-13</v>
      </c>
      <c r="AY868" s="152"/>
    </row>
    <row r="869" spans="1:51" s="150" customFormat="1" x14ac:dyDescent="0.25">
      <c r="A869" s="150">
        <f t="shared" si="291"/>
        <v>865</v>
      </c>
      <c r="B869" s="150">
        <f t="shared" si="292"/>
        <v>73</v>
      </c>
      <c r="C869" s="150">
        <f t="shared" si="293"/>
        <v>1</v>
      </c>
      <c r="D869" s="150">
        <f>IF(E869="","",Input!$C$4+B869-1)</f>
        <v>117</v>
      </c>
      <c r="E869" s="150">
        <f>IF(OR(AND(C868=12,D868=Input!$C$6),E868=""),"",1)</f>
        <v>1</v>
      </c>
      <c r="F869" s="150">
        <f>IF(E869="","",Input!$C$8+B869-1)</f>
        <v>2090</v>
      </c>
      <c r="G869" s="151">
        <f>IF(E869="","",MAX(0,Input!$C$9-B869))</f>
        <v>0</v>
      </c>
      <c r="H869" s="152">
        <f>IF(E869="","",Input!$C$3)</f>
        <v>100000</v>
      </c>
      <c r="I869" s="153">
        <f>IF(E869="","",HLOOKUP($B869,Input!$C$13:$BT$14,2))</f>
        <v>1000</v>
      </c>
      <c r="J869" s="154"/>
      <c r="K869" s="155">
        <f>IF($E869="","",Input!$C$57)</f>
        <v>4.4999999999999998E-2</v>
      </c>
      <c r="L869" s="155">
        <f t="shared" si="284"/>
        <v>3.6748094004368514E-3</v>
      </c>
      <c r="M869" s="147">
        <f>IF($E869="","",VLOOKUP(IF($B869&lt;=Input!$C$7,$B869,26),'Mortality Tables'!$A$72:$CA$97,IF($B869&lt;=Input!$C$7+1,Input!$C$4-16,$D869-Input!$C$7-16),0)/1000)</f>
        <v>0.85348000000000002</v>
      </c>
      <c r="N869" s="147">
        <f t="shared" si="273"/>
        <v>0.14789834431787452</v>
      </c>
      <c r="O869" s="157">
        <f>IF($E869="","",IF($C869=12,IF($B869&lt;Input!$C$9,Input!$C$54,IF($B869=Input!$C$9,Input!$C$55,Input!$C$56)),0%))</f>
        <v>0</v>
      </c>
      <c r="P869" s="167">
        <f>IF($E869="","",IF($B869=1,Input!$C$59,IF($B869&lt;6,Input!$C$60,0%)))</f>
        <v>0</v>
      </c>
      <c r="Q869" s="162">
        <f>IF($E869="","",Input!$C$58)</f>
        <v>2.5</v>
      </c>
      <c r="R869" s="156">
        <f t="shared" si="285"/>
        <v>0.85210165568212548</v>
      </c>
      <c r="S869" s="154">
        <f t="shared" si="274"/>
        <v>1.5847742046754964E-12</v>
      </c>
      <c r="T869" s="152"/>
      <c r="U869" s="150">
        <f t="shared" si="286"/>
        <v>100000</v>
      </c>
      <c r="V869" s="150">
        <f t="shared" si="287"/>
        <v>100000</v>
      </c>
      <c r="W869" s="168">
        <f t="shared" si="288"/>
        <v>0</v>
      </c>
      <c r="X869" s="163">
        <f t="shared" si="275"/>
        <v>14789.834431787453</v>
      </c>
      <c r="Y869" s="152"/>
      <c r="Z869" s="164">
        <f>IF(AND($C868=12,$D868=Input!$C$6),0,IF($E869="","",V869+Z870/(1+L869)*R869))</f>
        <v>113463.57236374062</v>
      </c>
      <c r="AA869" s="164">
        <f>IF(OR($M869=1,AND($C868=12,$D868=Input!$C$6)),0,IF($E869="","",W869+(X869+AA870*$R869)/(1+$L869)))</f>
        <v>95827.682541509581</v>
      </c>
      <c r="AB869" s="160">
        <f t="shared" si="276"/>
        <v>0.825720328500681</v>
      </c>
      <c r="AC869" s="164">
        <f t="shared" si="277"/>
        <v>82572.032850068106</v>
      </c>
      <c r="AD869" s="164">
        <f>IF(AND($C868=12,$D868=Input!$C$6),0,IF($E869="","",$AC869+AD870/(1+$L869)*$R869))</f>
        <v>93689.178245048693</v>
      </c>
      <c r="AE869" s="152"/>
      <c r="AF869" s="164">
        <f>IF(AND($C868=12,$D868=Input!$C$6),0,IF($E869="","",IF($B869&gt;Input!$C$9,$AC869,0)+AF870/(1+$L869)*$R869))</f>
        <v>93689.178245048693</v>
      </c>
      <c r="AG869" s="164">
        <f>IF(AND($C868=12,$D868=Input!$C$6),0,IF($E869="","",(IF($B869&gt;Input!$C$9,$X869,0)+AG870)/(1+$L869)*$R869))</f>
        <v>81024.797200820773</v>
      </c>
      <c r="AH869" s="160">
        <f t="shared" si="278"/>
        <v>2.0950137211446997</v>
      </c>
      <c r="AI869" s="160">
        <f>IF($E869="","",MIN(Input!$C$61/AH869,1))</f>
        <v>0.64438718771845094</v>
      </c>
      <c r="AJ869" s="152"/>
      <c r="AK869" s="164">
        <f>IF(AND($C868=12,$D868=Input!$C$6),0,IF($E869="","",IF($B869&gt;Input!$C$9,$AC869*AI869,0)+AK870/(1+$L869)*$R869))</f>
        <v>60372.106088979599</v>
      </c>
      <c r="AL869" s="164">
        <f>IF(AND($C868=12,$D868=Input!$C$6),0,IF($E869="","",IF($B869&gt;Input!$C$9,0,$AC869)+AL870/(1+$L869)*$R869))</f>
        <v>0</v>
      </c>
      <c r="AM869" s="160">
        <f t="shared" si="279"/>
        <v>1.1382936520186004</v>
      </c>
      <c r="AN869" s="164">
        <f>IF($E869="","",IF($B869&gt;Input!$C$9,$AI869*$AC869,$AM869*$AC869))</f>
        <v>53208.360032450932</v>
      </c>
      <c r="AO869" s="164">
        <f>IF(AND($C868=12,$D868=Input!$C$6),0,IF($E869="","",$AN869+AO870/(1+$L869)*$R869))</f>
        <v>60372.106088979599</v>
      </c>
      <c r="AP869" s="152"/>
      <c r="AQ869" s="164">
        <f t="shared" si="280"/>
        <v>35455.576452529982</v>
      </c>
      <c r="AR869" s="164">
        <f t="shared" si="289"/>
        <v>68458.990881252656</v>
      </c>
      <c r="AS869" s="164">
        <f t="shared" si="290"/>
        <v>40836.36363636364</v>
      </c>
      <c r="AT869" s="164">
        <f t="shared" si="281"/>
        <v>68458.990881252656</v>
      </c>
      <c r="AU869" s="152"/>
      <c r="AV869" s="147">
        <f>'Deterministic Reserve'!BC869</f>
        <v>2.2060836427642523E-18</v>
      </c>
      <c r="AW869" s="164">
        <f t="shared" si="282"/>
        <v>68458.990881252656</v>
      </c>
      <c r="AX869" s="164">
        <f t="shared" si="283"/>
        <v>1.5102625998327858E-13</v>
      </c>
      <c r="AY869" s="152"/>
    </row>
    <row r="870" spans="1:51" s="150" customFormat="1" x14ac:dyDescent="0.25">
      <c r="A870" s="150">
        <f t="shared" si="291"/>
        <v>866</v>
      </c>
      <c r="B870" s="150">
        <f t="shared" si="292"/>
        <v>73</v>
      </c>
      <c r="C870" s="150">
        <f t="shared" si="293"/>
        <v>2</v>
      </c>
      <c r="D870" s="150">
        <f>IF(E870="","",Input!$C$4+B870-1)</f>
        <v>117</v>
      </c>
      <c r="E870" s="150">
        <f>IF(OR(AND(C869=12,D869=Input!$C$6),E869=""),"",1)</f>
        <v>1</v>
      </c>
      <c r="F870" s="150">
        <f>IF(E870="","",Input!$C$8+B870-1)</f>
        <v>2090</v>
      </c>
      <c r="G870" s="151">
        <f>IF(E870="","",MAX(0,Input!$C$9-B870))</f>
        <v>0</v>
      </c>
      <c r="H870" s="152">
        <f>IF(E870="","",Input!$C$3)</f>
        <v>100000</v>
      </c>
      <c r="I870" s="153">
        <f>IF(E870="","",HLOOKUP($B870,Input!$C$13:$BT$14,2))</f>
        <v>1000</v>
      </c>
      <c r="J870" s="154"/>
      <c r="K870" s="155">
        <f>IF($E870="","",Input!$C$57)</f>
        <v>4.4999999999999998E-2</v>
      </c>
      <c r="L870" s="155">
        <f t="shared" si="284"/>
        <v>3.6748094004368514E-3</v>
      </c>
      <c r="M870" s="147">
        <f>IF($E870="","",VLOOKUP(IF($B870&lt;=Input!$C$7,$B870,26),'Mortality Tables'!$A$72:$CA$97,IF($B870&lt;=Input!$C$7+1,Input!$C$4-16,$D870-Input!$C$7-16),0)/1000)</f>
        <v>0.85348000000000002</v>
      </c>
      <c r="N870" s="147">
        <f t="shared" si="273"/>
        <v>0.14789834431787452</v>
      </c>
      <c r="O870" s="157">
        <f>IF($E870="","",IF($C870=12,IF($B870&lt;Input!$C$9,Input!$C$54,IF($B870=Input!$C$9,Input!$C$55,Input!$C$56)),0%))</f>
        <v>0</v>
      </c>
      <c r="P870" s="167">
        <f>IF($E870="","",IF($B870=1,Input!$C$59,IF($B870&lt;6,Input!$C$60,0%)))</f>
        <v>0</v>
      </c>
      <c r="Q870" s="162">
        <f>IF($E870="","",Input!$C$58)</f>
        <v>2.5</v>
      </c>
      <c r="R870" s="156">
        <f t="shared" si="285"/>
        <v>0.85210165568212548</v>
      </c>
      <c r="S870" s="154">
        <f t="shared" si="274"/>
        <v>1.3503887236863141E-12</v>
      </c>
      <c r="T870" s="152"/>
      <c r="U870" s="150">
        <f t="shared" si="286"/>
        <v>0</v>
      </c>
      <c r="V870" s="150">
        <f t="shared" si="287"/>
        <v>0</v>
      </c>
      <c r="W870" s="168">
        <f t="shared" si="288"/>
        <v>0</v>
      </c>
      <c r="X870" s="163">
        <f t="shared" si="275"/>
        <v>14789.834431787453</v>
      </c>
      <c r="Y870" s="152"/>
      <c r="Z870" s="164">
        <f>IF(AND($C869=12,$D869=Input!$C$6),0,IF($E870="","",V870+Z871/(1+L870)*R870))</f>
        <v>15858.49333341439</v>
      </c>
      <c r="AA870" s="164">
        <f>IF(OR($M870=1,AND($C869=12,$D869=Input!$C$6)),0,IF($E870="","",W870+(X870+AA871*$R870)/(1+$L870)))</f>
        <v>95516.768493065916</v>
      </c>
      <c r="AB870" s="160">
        <f t="shared" si="276"/>
        <v>0.825720328500681</v>
      </c>
      <c r="AC870" s="164">
        <f t="shared" si="277"/>
        <v>0</v>
      </c>
      <c r="AD870" s="164">
        <f>IF(AND($C869=12,$D869=Input!$C$6),0,IF($E870="","",$AC870+AD871/(1+$L870)*$R870))</f>
        <v>13094.680324792789</v>
      </c>
      <c r="AE870" s="152"/>
      <c r="AF870" s="164">
        <f>IF(AND($C869=12,$D869=Input!$C$6),0,IF($E870="","",IF($B870&gt;Input!$C$9,$AC870,0)+AF871/(1+$L870)*$R870))</f>
        <v>13094.680324792789</v>
      </c>
      <c r="AG870" s="164">
        <f>IF(AND($C869=12,$D869=Input!$C$6),0,IF($E870="","",(IF($B870&gt;Input!$C$9,$X870,0)+AG871)/(1+$L870)*$R870))</f>
        <v>80647.778375269467</v>
      </c>
      <c r="AH870" s="160">
        <f t="shared" si="278"/>
        <v>2.0950137211446997</v>
      </c>
      <c r="AI870" s="160">
        <f>IF($E870="","",MIN(Input!$C$61/AH870,1))</f>
        <v>0.64438718771845094</v>
      </c>
      <c r="AJ870" s="152"/>
      <c r="AK870" s="164">
        <f>IF(AND($C869=12,$D869=Input!$C$6),0,IF($E870="","",IF($B870&gt;Input!$C$9,$AC870*AI870,0)+AK871/(1+$L870)*$R870))</f>
        <v>8438.0442285653553</v>
      </c>
      <c r="AL870" s="164">
        <f>IF(AND($C869=12,$D869=Input!$C$6),0,IF($E870="","",IF($B870&gt;Input!$C$9,0,$AC870)+AL871/(1+$L870)*$R870))</f>
        <v>0</v>
      </c>
      <c r="AM870" s="160">
        <f t="shared" si="279"/>
        <v>1.1382936520186004</v>
      </c>
      <c r="AN870" s="164">
        <f>IF($E870="","",IF($B870&gt;Input!$C$9,$AI870*$AC870,$AM870*$AC870))</f>
        <v>0</v>
      </c>
      <c r="AO870" s="164">
        <f>IF(AND($C869=12,$D869=Input!$C$6),0,IF($E870="","",$AN870+AO871/(1+$L870)*$R870))</f>
        <v>8438.0442285653553</v>
      </c>
      <c r="AP870" s="152"/>
      <c r="AQ870" s="164">
        <f t="shared" si="280"/>
        <v>87078.724264500561</v>
      </c>
      <c r="AR870" s="164">
        <f t="shared" si="289"/>
        <v>68458.990881252656</v>
      </c>
      <c r="AS870" s="164">
        <f t="shared" si="290"/>
        <v>40836.36363636364</v>
      </c>
      <c r="AT870" s="164">
        <f t="shared" si="281"/>
        <v>68458.990881252656</v>
      </c>
      <c r="AU870" s="152"/>
      <c r="AV870" s="147">
        <f>'Deterministic Reserve'!BC870</f>
        <v>1.9971160119419245E-18</v>
      </c>
      <c r="AW870" s="164">
        <f t="shared" si="282"/>
        <v>68458.990881252656</v>
      </c>
      <c r="AX870" s="164">
        <f t="shared" si="283"/>
        <v>1.3672054685033588E-13</v>
      </c>
      <c r="AY870" s="152"/>
    </row>
    <row r="871" spans="1:51" s="150" customFormat="1" x14ac:dyDescent="0.25">
      <c r="A871" s="150">
        <f t="shared" si="291"/>
        <v>867</v>
      </c>
      <c r="B871" s="150">
        <f t="shared" si="292"/>
        <v>73</v>
      </c>
      <c r="C871" s="150">
        <f t="shared" si="293"/>
        <v>3</v>
      </c>
      <c r="D871" s="150">
        <f>IF(E871="","",Input!$C$4+B871-1)</f>
        <v>117</v>
      </c>
      <c r="E871" s="150">
        <f>IF(OR(AND(C870=12,D870=Input!$C$6),E870=""),"",1)</f>
        <v>1</v>
      </c>
      <c r="F871" s="150">
        <f>IF(E871="","",Input!$C$8+B871-1)</f>
        <v>2090</v>
      </c>
      <c r="G871" s="151">
        <f>IF(E871="","",MAX(0,Input!$C$9-B871))</f>
        <v>0</v>
      </c>
      <c r="H871" s="152">
        <f>IF(E871="","",Input!$C$3)</f>
        <v>100000</v>
      </c>
      <c r="I871" s="153">
        <f>IF(E871="","",HLOOKUP($B871,Input!$C$13:$BT$14,2))</f>
        <v>1000</v>
      </c>
      <c r="J871" s="154"/>
      <c r="K871" s="155">
        <f>IF($E871="","",Input!$C$57)</f>
        <v>4.4999999999999998E-2</v>
      </c>
      <c r="L871" s="155">
        <f t="shared" si="284"/>
        <v>3.6748094004368514E-3</v>
      </c>
      <c r="M871" s="147">
        <f>IF($E871="","",VLOOKUP(IF($B871&lt;=Input!$C$7,$B871,26),'Mortality Tables'!$A$72:$CA$97,IF($B871&lt;=Input!$C$7+1,Input!$C$4-16,$D871-Input!$C$7-16),0)/1000)</f>
        <v>0.85348000000000002</v>
      </c>
      <c r="N871" s="147">
        <f t="shared" si="273"/>
        <v>0.14789834431787452</v>
      </c>
      <c r="O871" s="157">
        <f>IF($E871="","",IF($C871=12,IF($B871&lt;Input!$C$9,Input!$C$54,IF($B871=Input!$C$9,Input!$C$55,Input!$C$56)),0%))</f>
        <v>0</v>
      </c>
      <c r="P871" s="167">
        <f>IF($E871="","",IF($B871=1,Input!$C$59,IF($B871&lt;6,Input!$C$60,0%)))</f>
        <v>0</v>
      </c>
      <c r="Q871" s="162">
        <f>IF($E871="","",Input!$C$58)</f>
        <v>2.5</v>
      </c>
      <c r="R871" s="156">
        <f t="shared" si="285"/>
        <v>0.85210165568212548</v>
      </c>
      <c r="S871" s="154">
        <f t="shared" si="274"/>
        <v>1.1506684672675806E-12</v>
      </c>
      <c r="T871" s="152"/>
      <c r="U871" s="150">
        <f t="shared" si="286"/>
        <v>0</v>
      </c>
      <c r="V871" s="150">
        <f t="shared" si="287"/>
        <v>0</v>
      </c>
      <c r="W871" s="168">
        <f t="shared" si="288"/>
        <v>0</v>
      </c>
      <c r="X871" s="163">
        <f t="shared" si="275"/>
        <v>14789.834431787453</v>
      </c>
      <c r="Y871" s="152"/>
      <c r="Z871" s="164">
        <f>IF(AND($C870=12,$D870=Input!$C$6),0,IF($E871="","",V871+Z872/(1+L871)*R871))</f>
        <v>18679.426530454366</v>
      </c>
      <c r="AA871" s="164">
        <f>IF(OR($M871=1,AND($C870=12,$D870=Input!$C$6)),0,IF($E871="","",W871+(X871+AA872*$R871)/(1+$L871)))</f>
        <v>95150.548575253633</v>
      </c>
      <c r="AB871" s="160">
        <f t="shared" si="276"/>
        <v>0.825720328500681</v>
      </c>
      <c r="AC871" s="164">
        <f t="shared" si="277"/>
        <v>0</v>
      </c>
      <c r="AD871" s="164">
        <f>IF(AND($C870=12,$D870=Input!$C$6),0,IF($E871="","",$AC871+AD872/(1+$L871)*$R871))</f>
        <v>15423.982210931115</v>
      </c>
      <c r="AE871" s="152"/>
      <c r="AF871" s="164">
        <f>IF(AND($C870=12,$D870=Input!$C$6),0,IF($E871="","",IF($B871&gt;Input!$C$9,$AC871,0)+AF872/(1+$L871)*$R871))</f>
        <v>15423.982210931115</v>
      </c>
      <c r="AG871" s="164">
        <f>IF(AND($C870=12,$D870=Input!$C$6),0,IF($E871="","",(IF($B871&gt;Input!$C$9,$X871,0)+AG872)/(1+$L871)*$R871))</f>
        <v>80203.69486087629</v>
      </c>
      <c r="AH871" s="160">
        <f t="shared" si="278"/>
        <v>2.0950137211446997</v>
      </c>
      <c r="AI871" s="160">
        <f>IF($E871="","",MIN(Input!$C$61/AH871,1))</f>
        <v>0.64438718771845094</v>
      </c>
      <c r="AJ871" s="152"/>
      <c r="AK871" s="164">
        <f>IF(AND($C870=12,$D870=Input!$C$6),0,IF($E871="","",IF($B871&gt;Input!$C$9,$AC871*AI871,0)+AK872/(1+$L871)*$R871))</f>
        <v>9939.0165203213146</v>
      </c>
      <c r="AL871" s="164">
        <f>IF(AND($C870=12,$D870=Input!$C$6),0,IF($E871="","",IF($B871&gt;Input!$C$9,0,$AC871)+AL872/(1+$L871)*$R871))</f>
        <v>0</v>
      </c>
      <c r="AM871" s="160">
        <f t="shared" si="279"/>
        <v>1.1382936520186004</v>
      </c>
      <c r="AN871" s="164">
        <f>IF($E871="","",IF($B871&gt;Input!$C$9,$AI871*$AC871,$AM871*$AC871))</f>
        <v>0</v>
      </c>
      <c r="AO871" s="164">
        <f>IF(AND($C870=12,$D870=Input!$C$6),0,IF($E871="","",$AN871+AO872/(1+$L871)*$R871))</f>
        <v>9939.0165203213146</v>
      </c>
      <c r="AP871" s="152"/>
      <c r="AQ871" s="164">
        <f t="shared" si="280"/>
        <v>85211.532054932322</v>
      </c>
      <c r="AR871" s="164">
        <f t="shared" si="289"/>
        <v>68458.990881252656</v>
      </c>
      <c r="AS871" s="164">
        <f t="shared" si="290"/>
        <v>40836.36363636364</v>
      </c>
      <c r="AT871" s="164">
        <f t="shared" si="281"/>
        <v>68458.990881252656</v>
      </c>
      <c r="AU871" s="152"/>
      <c r="AV871" s="147">
        <f>'Deterministic Reserve'!BC871</f>
        <v>1.8079424949442115E-18</v>
      </c>
      <c r="AW871" s="164">
        <f t="shared" si="282"/>
        <v>68458.990881252656</v>
      </c>
      <c r="AX871" s="164">
        <f t="shared" si="283"/>
        <v>1.2376991877521496E-13</v>
      </c>
      <c r="AY871" s="152"/>
    </row>
    <row r="872" spans="1:51" s="150" customFormat="1" x14ac:dyDescent="0.25">
      <c r="A872" s="150">
        <f t="shared" si="291"/>
        <v>868</v>
      </c>
      <c r="B872" s="150">
        <f t="shared" si="292"/>
        <v>73</v>
      </c>
      <c r="C872" s="150">
        <f t="shared" si="293"/>
        <v>4</v>
      </c>
      <c r="D872" s="150">
        <f>IF(E872="","",Input!$C$4+B872-1)</f>
        <v>117</v>
      </c>
      <c r="E872" s="150">
        <f>IF(OR(AND(C871=12,D871=Input!$C$6),E871=""),"",1)</f>
        <v>1</v>
      </c>
      <c r="F872" s="150">
        <f>IF(E872="","",Input!$C$8+B872-1)</f>
        <v>2090</v>
      </c>
      <c r="G872" s="151">
        <f>IF(E872="","",MAX(0,Input!$C$9-B872))</f>
        <v>0</v>
      </c>
      <c r="H872" s="152">
        <f>IF(E872="","",Input!$C$3)</f>
        <v>100000</v>
      </c>
      <c r="I872" s="153">
        <f>IF(E872="","",HLOOKUP($B872,Input!$C$13:$BT$14,2))</f>
        <v>1000</v>
      </c>
      <c r="J872" s="154"/>
      <c r="K872" s="155">
        <f>IF($E872="","",Input!$C$57)</f>
        <v>4.4999999999999998E-2</v>
      </c>
      <c r="L872" s="155">
        <f t="shared" si="284"/>
        <v>3.6748094004368514E-3</v>
      </c>
      <c r="M872" s="147">
        <f>IF($E872="","",VLOOKUP(IF($B872&lt;=Input!$C$7,$B872,26),'Mortality Tables'!$A$72:$CA$97,IF($B872&lt;=Input!$C$7+1,Input!$C$4-16,$D872-Input!$C$7-16),0)/1000)</f>
        <v>0.85348000000000002</v>
      </c>
      <c r="N872" s="147">
        <f t="shared" si="273"/>
        <v>0.14789834431787452</v>
      </c>
      <c r="O872" s="157">
        <f>IF($E872="","",IF($C872=12,IF($B872&lt;Input!$C$9,Input!$C$54,IF($B872=Input!$C$9,Input!$C$55,Input!$C$56)),0%))</f>
        <v>0</v>
      </c>
      <c r="P872" s="167">
        <f>IF($E872="","",IF($B872=1,Input!$C$59,IF($B872&lt;6,Input!$C$60,0%)))</f>
        <v>0</v>
      </c>
      <c r="Q872" s="162">
        <f>IF($E872="","",Input!$C$58)</f>
        <v>2.5</v>
      </c>
      <c r="R872" s="156">
        <f t="shared" si="285"/>
        <v>0.85210165568212548</v>
      </c>
      <c r="S872" s="154">
        <f t="shared" si="274"/>
        <v>9.8048650609991902E-13</v>
      </c>
      <c r="T872" s="152"/>
      <c r="U872" s="150">
        <f t="shared" si="286"/>
        <v>0</v>
      </c>
      <c r="V872" s="150">
        <f t="shared" si="287"/>
        <v>0</v>
      </c>
      <c r="W872" s="168">
        <f t="shared" si="288"/>
        <v>0</v>
      </c>
      <c r="X872" s="163">
        <f t="shared" si="275"/>
        <v>14789.834431787453</v>
      </c>
      <c r="Y872" s="152"/>
      <c r="Z872" s="164">
        <f>IF(AND($C871=12,$D871=Input!$C$6),0,IF($E872="","",V872+Z873/(1+L872)*R872))</f>
        <v>22002.151665407833</v>
      </c>
      <c r="AA872" s="164">
        <f>IF(OR($M872=1,AND($C871=12,$D871=Input!$C$6)),0,IF($E872="","",W872+(X872+AA873*$R872)/(1+$L872)))</f>
        <v>94719.184894925333</v>
      </c>
      <c r="AB872" s="160">
        <f t="shared" si="276"/>
        <v>0.825720328500681</v>
      </c>
      <c r="AC872" s="164">
        <f t="shared" si="277"/>
        <v>0</v>
      </c>
      <c r="AD872" s="164">
        <f>IF(AND($C871=12,$D871=Input!$C$6),0,IF($E872="","",$AC872+AD873/(1+$L872)*$R872))</f>
        <v>18167.623900882361</v>
      </c>
      <c r="AE872" s="152"/>
      <c r="AF872" s="164">
        <f>IF(AND($C871=12,$D871=Input!$C$6),0,IF($E872="","",IF($B872&gt;Input!$C$9,$AC872,0)+AF873/(1+$L872)*$R872))</f>
        <v>18167.623900882361</v>
      </c>
      <c r="AG872" s="164">
        <f>IF(AND($C871=12,$D871=Input!$C$6),0,IF($E872="","",(IF($B872&gt;Input!$C$9,$X872,0)+AG873)/(1+$L872)*$R872))</f>
        <v>79680.617087591541</v>
      </c>
      <c r="AH872" s="160">
        <f t="shared" si="278"/>
        <v>2.0950137211446997</v>
      </c>
      <c r="AI872" s="160">
        <f>IF($E872="","",MIN(Input!$C$61/AH872,1))</f>
        <v>0.64438718771845094</v>
      </c>
      <c r="AJ872" s="152"/>
      <c r="AK872" s="164">
        <f>IF(AND($C871=12,$D871=Input!$C$6),0,IF($E872="","",IF($B872&gt;Input!$C$9,$AC872*AI872,0)+AK873/(1+$L872)*$R872))</f>
        <v>11706.984073016096</v>
      </c>
      <c r="AL872" s="164">
        <f>IF(AND($C871=12,$D871=Input!$C$6),0,IF($E872="","",IF($B872&gt;Input!$C$9,0,$AC872)+AL873/(1+$L872)*$R872))</f>
        <v>0</v>
      </c>
      <c r="AM872" s="160">
        <f t="shared" si="279"/>
        <v>1.1382936520186004</v>
      </c>
      <c r="AN872" s="164">
        <f>IF($E872="","",IF($B872&gt;Input!$C$9,$AI872*$AC872,$AM872*$AC872))</f>
        <v>0</v>
      </c>
      <c r="AO872" s="164">
        <f>IF(AND($C871=12,$D871=Input!$C$6),0,IF($E872="","",$AN872+AO873/(1+$L872)*$R872))</f>
        <v>11706.984073016096</v>
      </c>
      <c r="AP872" s="152"/>
      <c r="AQ872" s="164">
        <f t="shared" si="280"/>
        <v>83012.200821909239</v>
      </c>
      <c r="AR872" s="164">
        <f t="shared" si="289"/>
        <v>68458.990881252656</v>
      </c>
      <c r="AS872" s="164">
        <f t="shared" si="290"/>
        <v>40836.36363636364</v>
      </c>
      <c r="AT872" s="164">
        <f t="shared" si="281"/>
        <v>68458.990881252656</v>
      </c>
      <c r="AU872" s="152"/>
      <c r="AV872" s="147">
        <f>'Deterministic Reserve'!BC872</f>
        <v>1.6366881270191087E-18</v>
      </c>
      <c r="AW872" s="164">
        <f t="shared" si="282"/>
        <v>68458.990881252656</v>
      </c>
      <c r="AX872" s="164">
        <f t="shared" si="283"/>
        <v>1.1204601756305565E-13</v>
      </c>
      <c r="AY872" s="152"/>
    </row>
    <row r="873" spans="1:51" s="150" customFormat="1" x14ac:dyDescent="0.25">
      <c r="A873" s="150">
        <f t="shared" si="291"/>
        <v>869</v>
      </c>
      <c r="B873" s="150">
        <f t="shared" si="292"/>
        <v>73</v>
      </c>
      <c r="C873" s="150">
        <f t="shared" si="293"/>
        <v>5</v>
      </c>
      <c r="D873" s="150">
        <f>IF(E873="","",Input!$C$4+B873-1)</f>
        <v>117</v>
      </c>
      <c r="E873" s="150">
        <f>IF(OR(AND(C872=12,D872=Input!$C$6),E872=""),"",1)</f>
        <v>1</v>
      </c>
      <c r="F873" s="150">
        <f>IF(E873="","",Input!$C$8+B873-1)</f>
        <v>2090</v>
      </c>
      <c r="G873" s="151">
        <f>IF(E873="","",MAX(0,Input!$C$9-B873))</f>
        <v>0</v>
      </c>
      <c r="H873" s="152">
        <f>IF(E873="","",Input!$C$3)</f>
        <v>100000</v>
      </c>
      <c r="I873" s="153">
        <f>IF(E873="","",HLOOKUP($B873,Input!$C$13:$BT$14,2))</f>
        <v>1000</v>
      </c>
      <c r="J873" s="154"/>
      <c r="K873" s="155">
        <f>IF($E873="","",Input!$C$57)</f>
        <v>4.4999999999999998E-2</v>
      </c>
      <c r="L873" s="155">
        <f t="shared" si="284"/>
        <v>3.6748094004368514E-3</v>
      </c>
      <c r="M873" s="147">
        <f>IF($E873="","",VLOOKUP(IF($B873&lt;=Input!$C$7,$B873,26),'Mortality Tables'!$A$72:$CA$97,IF($B873&lt;=Input!$C$7+1,Input!$C$4-16,$D873-Input!$C$7-16),0)/1000)</f>
        <v>0.85348000000000002</v>
      </c>
      <c r="N873" s="147">
        <f t="shared" si="273"/>
        <v>0.14789834431787452</v>
      </c>
      <c r="O873" s="157">
        <f>IF($E873="","",IF($C873=12,IF($B873&lt;Input!$C$9,Input!$C$54,IF($B873=Input!$C$9,Input!$C$55,Input!$C$56)),0%))</f>
        <v>0</v>
      </c>
      <c r="P873" s="167">
        <f>IF($E873="","",IF($B873=1,Input!$C$59,IF($B873&lt;6,Input!$C$60,0%)))</f>
        <v>0</v>
      </c>
      <c r="Q873" s="162">
        <f>IF($E873="","",Input!$C$58)</f>
        <v>2.5</v>
      </c>
      <c r="R873" s="156">
        <f t="shared" si="285"/>
        <v>0.85210165568212548</v>
      </c>
      <c r="S873" s="154">
        <f t="shared" si="274"/>
        <v>8.3547417522172344E-13</v>
      </c>
      <c r="T873" s="152"/>
      <c r="U873" s="150">
        <f t="shared" si="286"/>
        <v>0</v>
      </c>
      <c r="V873" s="150">
        <f t="shared" si="287"/>
        <v>0</v>
      </c>
      <c r="W873" s="168">
        <f t="shared" si="288"/>
        <v>0</v>
      </c>
      <c r="X873" s="163">
        <f t="shared" si="275"/>
        <v>14789.834431787453</v>
      </c>
      <c r="Y873" s="152"/>
      <c r="Z873" s="164">
        <f>IF(AND($C872=12,$D872=Input!$C$6),0,IF($E873="","",V873+Z874/(1+L873)*R873))</f>
        <v>25915.928260343298</v>
      </c>
      <c r="AA873" s="164">
        <f>IF(OR($M873=1,AND($C872=12,$D872=Input!$C$6)),0,IF($E873="","",W873+(X873+AA874*$R873)/(1+$L873)))</f>
        <v>94211.089579362073</v>
      </c>
      <c r="AB873" s="160">
        <f t="shared" si="276"/>
        <v>0.825720328500681</v>
      </c>
      <c r="AC873" s="164">
        <f t="shared" si="277"/>
        <v>0</v>
      </c>
      <c r="AD873" s="164">
        <f>IF(AND($C872=12,$D872=Input!$C$6),0,IF($E873="","",$AC873+AD874/(1+$L873)*$R873))</f>
        <v>21399.30879653075</v>
      </c>
      <c r="AE873" s="152"/>
      <c r="AF873" s="164">
        <f>IF(AND($C872=12,$D872=Input!$C$6),0,IF($E873="","",IF($B873&gt;Input!$C$9,$AC873,0)+AF874/(1+$L873)*$R873))</f>
        <v>21399.30879653075</v>
      </c>
      <c r="AG873" s="164">
        <f>IF(AND($C872=12,$D872=Input!$C$6),0,IF($E873="","",(IF($B873&gt;Input!$C$9,$X873,0)+AG874)/(1+$L873)*$R873))</f>
        <v>79064.493435088021</v>
      </c>
      <c r="AH873" s="160">
        <f t="shared" si="278"/>
        <v>2.0950137211446997</v>
      </c>
      <c r="AI873" s="160">
        <f>IF($E873="","",MIN(Input!$C$61/AH873,1))</f>
        <v>0.64438718771845094</v>
      </c>
      <c r="AJ873" s="152"/>
      <c r="AK873" s="164">
        <f>IF(AND($C872=12,$D872=Input!$C$6),0,IF($E873="","",IF($B873&gt;Input!$C$9,$AC873*AI873,0)+AK874/(1+$L873)*$R873))</f>
        <v>13789.440414515157</v>
      </c>
      <c r="AL873" s="164">
        <f>IF(AND($C872=12,$D872=Input!$C$6),0,IF($E873="","",IF($B873&gt;Input!$C$9,0,$AC873)+AL874/(1+$L873)*$R873))</f>
        <v>0</v>
      </c>
      <c r="AM873" s="160">
        <f t="shared" si="279"/>
        <v>1.1382936520186004</v>
      </c>
      <c r="AN873" s="164">
        <f>IF($E873="","",IF($B873&gt;Input!$C$9,$AI873*$AC873,$AM873*$AC873))</f>
        <v>0</v>
      </c>
      <c r="AO873" s="164">
        <f>IF(AND($C872=12,$D872=Input!$C$6),0,IF($E873="","",$AN873+AO874/(1+$L873)*$R873))</f>
        <v>13789.440414515157</v>
      </c>
      <c r="AP873" s="152"/>
      <c r="AQ873" s="164">
        <f t="shared" si="280"/>
        <v>80421.649164846924</v>
      </c>
      <c r="AR873" s="164">
        <f t="shared" si="289"/>
        <v>68458.990881252656</v>
      </c>
      <c r="AS873" s="164">
        <f t="shared" si="290"/>
        <v>40836.36363636364</v>
      </c>
      <c r="AT873" s="164">
        <f t="shared" si="281"/>
        <v>68458.990881252656</v>
      </c>
      <c r="AU873" s="152"/>
      <c r="AV873" s="147">
        <f>'Deterministic Reserve'!BC873</f>
        <v>1.4816555463551829E-18</v>
      </c>
      <c r="AW873" s="164">
        <f t="shared" si="282"/>
        <v>68458.990881252656</v>
      </c>
      <c r="AX873" s="164">
        <f t="shared" si="283"/>
        <v>1.0143264353708689E-13</v>
      </c>
      <c r="AY873" s="152"/>
    </row>
    <row r="874" spans="1:51" s="150" customFormat="1" x14ac:dyDescent="0.25">
      <c r="A874" s="150">
        <f t="shared" si="291"/>
        <v>870</v>
      </c>
      <c r="B874" s="150">
        <f t="shared" si="292"/>
        <v>73</v>
      </c>
      <c r="C874" s="150">
        <f t="shared" si="293"/>
        <v>6</v>
      </c>
      <c r="D874" s="150">
        <f>IF(E874="","",Input!$C$4+B874-1)</f>
        <v>117</v>
      </c>
      <c r="E874" s="150">
        <f>IF(OR(AND(C873=12,D873=Input!$C$6),E873=""),"",1)</f>
        <v>1</v>
      </c>
      <c r="F874" s="150">
        <f>IF(E874="","",Input!$C$8+B874-1)</f>
        <v>2090</v>
      </c>
      <c r="G874" s="151">
        <f>IF(E874="","",MAX(0,Input!$C$9-B874))</f>
        <v>0</v>
      </c>
      <c r="H874" s="152">
        <f>IF(E874="","",Input!$C$3)</f>
        <v>100000</v>
      </c>
      <c r="I874" s="153">
        <f>IF(E874="","",HLOOKUP($B874,Input!$C$13:$BT$14,2))</f>
        <v>1000</v>
      </c>
      <c r="J874" s="154"/>
      <c r="K874" s="155">
        <f>IF($E874="","",Input!$C$57)</f>
        <v>4.4999999999999998E-2</v>
      </c>
      <c r="L874" s="155">
        <f t="shared" si="284"/>
        <v>3.6748094004368514E-3</v>
      </c>
      <c r="M874" s="147">
        <f>IF($E874="","",VLOOKUP(IF($B874&lt;=Input!$C$7,$B874,26),'Mortality Tables'!$A$72:$CA$97,IF($B874&lt;=Input!$C$7+1,Input!$C$4-16,$D874-Input!$C$7-16),0)/1000)</f>
        <v>0.85348000000000002</v>
      </c>
      <c r="N874" s="147">
        <f t="shared" si="273"/>
        <v>0.14789834431787452</v>
      </c>
      <c r="O874" s="157">
        <f>IF($E874="","",IF($C874=12,IF($B874&lt;Input!$C$9,Input!$C$54,IF($B874=Input!$C$9,Input!$C$55,Input!$C$56)),0%))</f>
        <v>0</v>
      </c>
      <c r="P874" s="167">
        <f>IF($E874="","",IF($B874=1,Input!$C$59,IF($B874&lt;6,Input!$C$60,0%)))</f>
        <v>0</v>
      </c>
      <c r="Q874" s="162">
        <f>IF($E874="","",Input!$C$58)</f>
        <v>2.5</v>
      </c>
      <c r="R874" s="156">
        <f t="shared" si="285"/>
        <v>0.85210165568212548</v>
      </c>
      <c r="S874" s="154">
        <f t="shared" si="274"/>
        <v>7.1190892798608872E-13</v>
      </c>
      <c r="T874" s="152"/>
      <c r="U874" s="150">
        <f t="shared" si="286"/>
        <v>0</v>
      </c>
      <c r="V874" s="150">
        <f t="shared" si="287"/>
        <v>0</v>
      </c>
      <c r="W874" s="168">
        <f t="shared" si="288"/>
        <v>0</v>
      </c>
      <c r="X874" s="163">
        <f t="shared" si="275"/>
        <v>14789.834431787453</v>
      </c>
      <c r="Y874" s="152"/>
      <c r="Z874" s="164">
        <f>IF(AND($C873=12,$D873=Input!$C$6),0,IF($E874="","",V874+Z875/(1+L874)*R874))</f>
        <v>30525.893458466486</v>
      </c>
      <c r="AA874" s="164">
        <f>IF(OR($M874=1,AND($C873=12,$D873=Input!$C$6)),0,IF($E874="","",W874+(X874+AA875*$R874)/(1+$L874)))</f>
        <v>93612.613487214388</v>
      </c>
      <c r="AB874" s="160">
        <f t="shared" si="276"/>
        <v>0.825720328500681</v>
      </c>
      <c r="AC874" s="164">
        <f t="shared" si="277"/>
        <v>0</v>
      </c>
      <c r="AD874" s="164">
        <f>IF(AND($C873=12,$D873=Input!$C$6),0,IF($E874="","",$AC874+AD875/(1+$L874)*$R874))</f>
        <v>25205.850774301733</v>
      </c>
      <c r="AE874" s="152"/>
      <c r="AF874" s="164">
        <f>IF(AND($C873=12,$D873=Input!$C$6),0,IF($E874="","",IF($B874&gt;Input!$C$9,$AC874,0)+AF875/(1+$L874)*$R874))</f>
        <v>25205.850774301733</v>
      </c>
      <c r="AG874" s="164">
        <f>IF(AND($C873=12,$D873=Input!$C$6),0,IF($E874="","",(IF($B874&gt;Input!$C$9,$X874,0)+AG875)/(1+$L874)*$R874))</f>
        <v>78338.772759192187</v>
      </c>
      <c r="AH874" s="160">
        <f t="shared" si="278"/>
        <v>2.0950137211446997</v>
      </c>
      <c r="AI874" s="160">
        <f>IF($E874="","",MIN(Input!$C$61/AH874,1))</f>
        <v>0.64438718771845094</v>
      </c>
      <c r="AJ874" s="152"/>
      <c r="AK874" s="164">
        <f>IF(AND($C873=12,$D873=Input!$C$6),0,IF($E874="","",IF($B874&gt;Input!$C$9,$AC874*AI874,0)+AK875/(1+$L874)*$R874))</f>
        <v>16242.327294503231</v>
      </c>
      <c r="AL874" s="164">
        <f>IF(AND($C873=12,$D873=Input!$C$6),0,IF($E874="","",IF($B874&gt;Input!$C$9,0,$AC874)+AL875/(1+$L874)*$R874))</f>
        <v>0</v>
      </c>
      <c r="AM874" s="160">
        <f t="shared" si="279"/>
        <v>1.1382936520186004</v>
      </c>
      <c r="AN874" s="164">
        <f>IF($E874="","",IF($B874&gt;Input!$C$9,$AI874*$AC874,$AM874*$AC874))</f>
        <v>0</v>
      </c>
      <c r="AO874" s="164">
        <f>IF(AND($C873=12,$D873=Input!$C$6),0,IF($E874="","",$AN874+AO875/(1+$L874)*$R874))</f>
        <v>16242.327294503231</v>
      </c>
      <c r="AP874" s="152"/>
      <c r="AQ874" s="164">
        <f t="shared" si="280"/>
        <v>77370.286192711152</v>
      </c>
      <c r="AR874" s="164">
        <f t="shared" si="289"/>
        <v>68458.990881252656</v>
      </c>
      <c r="AS874" s="164">
        <f t="shared" si="290"/>
        <v>40836.36363636364</v>
      </c>
      <c r="AT874" s="164">
        <f t="shared" si="281"/>
        <v>68458.990881252656</v>
      </c>
      <c r="AU874" s="152"/>
      <c r="AV874" s="147">
        <f>'Deterministic Reserve'!BC874</f>
        <v>1.3413081709362488E-18</v>
      </c>
      <c r="AW874" s="164">
        <f t="shared" si="282"/>
        <v>68458.990881252656</v>
      </c>
      <c r="AX874" s="164">
        <f t="shared" si="283"/>
        <v>9.1824603843074334E-14</v>
      </c>
      <c r="AY874" s="152"/>
    </row>
    <row r="875" spans="1:51" s="150" customFormat="1" x14ac:dyDescent="0.25">
      <c r="A875" s="150">
        <f t="shared" si="291"/>
        <v>871</v>
      </c>
      <c r="B875" s="150">
        <f t="shared" si="292"/>
        <v>73</v>
      </c>
      <c r="C875" s="150">
        <f t="shared" si="293"/>
        <v>7</v>
      </c>
      <c r="D875" s="150">
        <f>IF(E875="","",Input!$C$4+B875-1)</f>
        <v>117</v>
      </c>
      <c r="E875" s="150">
        <f>IF(OR(AND(C874=12,D874=Input!$C$6),E874=""),"",1)</f>
        <v>1</v>
      </c>
      <c r="F875" s="150">
        <f>IF(E875="","",Input!$C$8+B875-1)</f>
        <v>2090</v>
      </c>
      <c r="G875" s="151">
        <f>IF(E875="","",MAX(0,Input!$C$9-B875))</f>
        <v>0</v>
      </c>
      <c r="H875" s="152">
        <f>IF(E875="","",Input!$C$3)</f>
        <v>100000</v>
      </c>
      <c r="I875" s="153">
        <f>IF(E875="","",HLOOKUP($B875,Input!$C$13:$BT$14,2))</f>
        <v>1000</v>
      </c>
      <c r="J875" s="154"/>
      <c r="K875" s="155">
        <f>IF($E875="","",Input!$C$57)</f>
        <v>4.4999999999999998E-2</v>
      </c>
      <c r="L875" s="155">
        <f t="shared" si="284"/>
        <v>3.6748094004368514E-3</v>
      </c>
      <c r="M875" s="147">
        <f>IF($E875="","",VLOOKUP(IF($B875&lt;=Input!$C$7,$B875,26),'Mortality Tables'!$A$72:$CA$97,IF($B875&lt;=Input!$C$7+1,Input!$C$4-16,$D875-Input!$C$7-16),0)/1000)</f>
        <v>0.85348000000000002</v>
      </c>
      <c r="N875" s="147">
        <f t="shared" si="273"/>
        <v>0.14789834431787452</v>
      </c>
      <c r="O875" s="157">
        <f>IF($E875="","",IF($C875=12,IF($B875&lt;Input!$C$9,Input!$C$54,IF($B875=Input!$C$9,Input!$C$55,Input!$C$56)),0%))</f>
        <v>0</v>
      </c>
      <c r="P875" s="167">
        <f>IF($E875="","",IF($B875=1,Input!$C$59,IF($B875&lt;6,Input!$C$60,0%)))</f>
        <v>0</v>
      </c>
      <c r="Q875" s="162">
        <f>IF($E875="","",Input!$C$58)</f>
        <v>2.5</v>
      </c>
      <c r="R875" s="156">
        <f t="shared" si="285"/>
        <v>0.85210165568212548</v>
      </c>
      <c r="S875" s="154">
        <f t="shared" si="274"/>
        <v>6.0661877623183328E-13</v>
      </c>
      <c r="T875" s="152"/>
      <c r="U875" s="150">
        <f t="shared" si="286"/>
        <v>0</v>
      </c>
      <c r="V875" s="150">
        <f t="shared" si="287"/>
        <v>0</v>
      </c>
      <c r="W875" s="168">
        <f t="shared" si="288"/>
        <v>0</v>
      </c>
      <c r="X875" s="163">
        <f t="shared" si="275"/>
        <v>14789.834431787453</v>
      </c>
      <c r="Y875" s="152"/>
      <c r="Z875" s="164">
        <f>IF(AND($C874=12,$D874=Input!$C$6),0,IF($E875="","",V875+Z876/(1+L875)*R875))</f>
        <v>35955.886359800541</v>
      </c>
      <c r="AA875" s="164">
        <f>IF(OR($M875=1,AND($C874=12,$D874=Input!$C$6)),0,IF($E875="","",W875+(X875+AA876*$R875)/(1+$L875)))</f>
        <v>92907.679546866391</v>
      </c>
      <c r="AB875" s="160">
        <f t="shared" si="276"/>
        <v>0.825720328500681</v>
      </c>
      <c r="AC875" s="164">
        <f t="shared" si="277"/>
        <v>0</v>
      </c>
      <c r="AD875" s="164">
        <f>IF(AND($C874=12,$D874=Input!$C$6),0,IF($E875="","",$AC875+AD876/(1+$L875)*$R875))</f>
        <v>29689.506296547654</v>
      </c>
      <c r="AE875" s="152"/>
      <c r="AF875" s="164">
        <f>IF(AND($C874=12,$D874=Input!$C$6),0,IF($E875="","",IF($B875&gt;Input!$C$9,$AC875,0)+AF876/(1+$L875)*$R875))</f>
        <v>29689.506296547654</v>
      </c>
      <c r="AG875" s="164">
        <f>IF(AND($C874=12,$D874=Input!$C$6),0,IF($E875="","",(IF($B875&gt;Input!$C$9,$X875,0)+AG876)/(1+$L875)*$R875))</f>
        <v>77483.959772736227</v>
      </c>
      <c r="AH875" s="160">
        <f t="shared" si="278"/>
        <v>2.0950137211446997</v>
      </c>
      <c r="AI875" s="160">
        <f>IF($E875="","",MIN(Input!$C$61/AH875,1))</f>
        <v>0.64438718771845094</v>
      </c>
      <c r="AJ875" s="152"/>
      <c r="AK875" s="164">
        <f>IF(AND($C874=12,$D874=Input!$C$6),0,IF($E875="","",IF($B875&gt;Input!$C$9,$AC875*AI875,0)+AK876/(1+$L875)*$R875))</f>
        <v>19131.537467181584</v>
      </c>
      <c r="AL875" s="164">
        <f>IF(AND($C874=12,$D874=Input!$C$6),0,IF($E875="","",IF($B875&gt;Input!$C$9,0,$AC875)+AL876/(1+$L875)*$R875))</f>
        <v>0</v>
      </c>
      <c r="AM875" s="160">
        <f t="shared" si="279"/>
        <v>1.1382936520186004</v>
      </c>
      <c r="AN875" s="164">
        <f>IF($E875="","",IF($B875&gt;Input!$C$9,$AI875*$AC875,$AM875*$AC875))</f>
        <v>0</v>
      </c>
      <c r="AO875" s="164">
        <f>IF(AND($C874=12,$D874=Input!$C$6),0,IF($E875="","",$AN875+AO876/(1+$L875)*$R875))</f>
        <v>19131.537467181584</v>
      </c>
      <c r="AP875" s="152"/>
      <c r="AQ875" s="164">
        <f t="shared" si="280"/>
        <v>73776.142079684811</v>
      </c>
      <c r="AR875" s="164">
        <f t="shared" si="289"/>
        <v>68458.990881252656</v>
      </c>
      <c r="AS875" s="164">
        <f t="shared" si="290"/>
        <v>40836.36363636364</v>
      </c>
      <c r="AT875" s="164">
        <f t="shared" si="281"/>
        <v>68458.990881252656</v>
      </c>
      <c r="AU875" s="152"/>
      <c r="AV875" s="147">
        <f>'Deterministic Reserve'!BC875</f>
        <v>1.2142549689407113E-18</v>
      </c>
      <c r="AW875" s="164">
        <f t="shared" si="282"/>
        <v>68458.990881252656</v>
      </c>
      <c r="AX875" s="164">
        <f t="shared" si="283"/>
        <v>8.3126669846227888E-14</v>
      </c>
      <c r="AY875" s="152"/>
    </row>
    <row r="876" spans="1:51" s="150" customFormat="1" x14ac:dyDescent="0.25">
      <c r="A876" s="150">
        <f t="shared" si="291"/>
        <v>872</v>
      </c>
      <c r="B876" s="150">
        <f t="shared" si="292"/>
        <v>73</v>
      </c>
      <c r="C876" s="150">
        <f t="shared" si="293"/>
        <v>8</v>
      </c>
      <c r="D876" s="150">
        <f>IF(E876="","",Input!$C$4+B876-1)</f>
        <v>117</v>
      </c>
      <c r="E876" s="150">
        <f>IF(OR(AND(C875=12,D875=Input!$C$6),E875=""),"",1)</f>
        <v>1</v>
      </c>
      <c r="F876" s="150">
        <f>IF(E876="","",Input!$C$8+B876-1)</f>
        <v>2090</v>
      </c>
      <c r="G876" s="151">
        <f>IF(E876="","",MAX(0,Input!$C$9-B876))</f>
        <v>0</v>
      </c>
      <c r="H876" s="152">
        <f>IF(E876="","",Input!$C$3)</f>
        <v>100000</v>
      </c>
      <c r="I876" s="153">
        <f>IF(E876="","",HLOOKUP($B876,Input!$C$13:$BT$14,2))</f>
        <v>1000</v>
      </c>
      <c r="J876" s="154"/>
      <c r="K876" s="155">
        <f>IF($E876="","",Input!$C$57)</f>
        <v>4.4999999999999998E-2</v>
      </c>
      <c r="L876" s="155">
        <f t="shared" si="284"/>
        <v>3.6748094004368514E-3</v>
      </c>
      <c r="M876" s="147">
        <f>IF($E876="","",VLOOKUP(IF($B876&lt;=Input!$C$7,$B876,26),'Mortality Tables'!$A$72:$CA$97,IF($B876&lt;=Input!$C$7+1,Input!$C$4-16,$D876-Input!$C$7-16),0)/1000)</f>
        <v>0.85348000000000002</v>
      </c>
      <c r="N876" s="147">
        <f t="shared" si="273"/>
        <v>0.14789834431787452</v>
      </c>
      <c r="O876" s="157">
        <f>IF($E876="","",IF($C876=12,IF($B876&lt;Input!$C$9,Input!$C$54,IF($B876=Input!$C$9,Input!$C$55,Input!$C$56)),0%))</f>
        <v>0</v>
      </c>
      <c r="P876" s="167">
        <f>IF($E876="","",IF($B876=1,Input!$C$59,IF($B876&lt;6,Input!$C$60,0%)))</f>
        <v>0</v>
      </c>
      <c r="Q876" s="162">
        <f>IF($E876="","",Input!$C$58)</f>
        <v>2.5</v>
      </c>
      <c r="R876" s="156">
        <f t="shared" si="285"/>
        <v>0.85210165568212548</v>
      </c>
      <c r="S876" s="154">
        <f t="shared" si="274"/>
        <v>5.1690086359500996E-13</v>
      </c>
      <c r="T876" s="152"/>
      <c r="U876" s="150">
        <f t="shared" si="286"/>
        <v>0</v>
      </c>
      <c r="V876" s="150">
        <f t="shared" si="287"/>
        <v>0</v>
      </c>
      <c r="W876" s="168">
        <f t="shared" si="288"/>
        <v>0</v>
      </c>
      <c r="X876" s="163">
        <f t="shared" si="275"/>
        <v>14789.834431787453</v>
      </c>
      <c r="Y876" s="152"/>
      <c r="Z876" s="164">
        <f>IF(AND($C875=12,$D875=Input!$C$6),0,IF($E876="","",V876+Z877/(1+L876)*R876))</f>
        <v>42351.774754043108</v>
      </c>
      <c r="AA876" s="164">
        <f>IF(OR($M876=1,AND($C875=12,$D875=Input!$C$6)),0,IF($E876="","",W876+(X876+AA877*$R876)/(1+$L876)))</f>
        <v>92077.350872463954</v>
      </c>
      <c r="AB876" s="160">
        <f t="shared" si="276"/>
        <v>0.825720328500681</v>
      </c>
      <c r="AC876" s="164">
        <f t="shared" si="277"/>
        <v>0</v>
      </c>
      <c r="AD876" s="164">
        <f>IF(AND($C875=12,$D875=Input!$C$6),0,IF($E876="","",$AC876+AD877/(1+$L876)*$R876))</f>
        <v>34970.721362495322</v>
      </c>
      <c r="AE876" s="152"/>
      <c r="AF876" s="164">
        <f>IF(AND($C875=12,$D875=Input!$C$6),0,IF($E876="","",IF($B876&gt;Input!$C$9,$AC876,0)+AF877/(1+$L876)*$R876))</f>
        <v>34970.721362495322</v>
      </c>
      <c r="AG876" s="164">
        <f>IF(AND($C875=12,$D875=Input!$C$6),0,IF($E876="","",(IF($B876&gt;Input!$C$9,$X876,0)+AG877)/(1+$L876)*$R876))</f>
        <v>76477.091336871745</v>
      </c>
      <c r="AH876" s="160">
        <f t="shared" si="278"/>
        <v>2.0950137211446997</v>
      </c>
      <c r="AI876" s="160">
        <f>IF($E876="","",MIN(Input!$C$61/AH876,1))</f>
        <v>0.64438718771845094</v>
      </c>
      <c r="AJ876" s="152"/>
      <c r="AK876" s="164">
        <f>IF(AND($C875=12,$D875=Input!$C$6),0,IF($E876="","",IF($B876&gt;Input!$C$9,$AC876*AI876,0)+AK877/(1+$L876)*$R876))</f>
        <v>22534.684791263917</v>
      </c>
      <c r="AL876" s="164">
        <f>IF(AND($C875=12,$D875=Input!$C$6),0,IF($E876="","",IF($B876&gt;Input!$C$9,0,$AC876)+AL877/(1+$L876)*$R876))</f>
        <v>0</v>
      </c>
      <c r="AM876" s="160">
        <f t="shared" si="279"/>
        <v>1.1382936520186004</v>
      </c>
      <c r="AN876" s="164">
        <f>IF($E876="","",IF($B876&gt;Input!$C$9,$AI876*$AC876,$AM876*$AC876))</f>
        <v>0</v>
      </c>
      <c r="AO876" s="164">
        <f>IF(AND($C875=12,$D875=Input!$C$6),0,IF($E876="","",$AN876+AO877/(1+$L876)*$R876))</f>
        <v>22534.684791263917</v>
      </c>
      <c r="AP876" s="152"/>
      <c r="AQ876" s="164">
        <f t="shared" si="280"/>
        <v>69542.666081200034</v>
      </c>
      <c r="AR876" s="164">
        <f t="shared" si="289"/>
        <v>68458.990881252656</v>
      </c>
      <c r="AS876" s="164">
        <f t="shared" si="290"/>
        <v>40836.36363636364</v>
      </c>
      <c r="AT876" s="164">
        <f t="shared" si="281"/>
        <v>68458.990881252656</v>
      </c>
      <c r="AU876" s="152"/>
      <c r="AV876" s="147">
        <f>'Deterministic Reserve'!BC876</f>
        <v>1.0992366717396858E-18</v>
      </c>
      <c r="AW876" s="164">
        <f t="shared" si="282"/>
        <v>68458.990881252656</v>
      </c>
      <c r="AX876" s="164">
        <f t="shared" si="283"/>
        <v>7.5252633286965667E-14</v>
      </c>
      <c r="AY876" s="152"/>
    </row>
    <row r="877" spans="1:51" s="150" customFormat="1" x14ac:dyDescent="0.25">
      <c r="A877" s="150">
        <f t="shared" si="291"/>
        <v>873</v>
      </c>
      <c r="B877" s="150">
        <f t="shared" si="292"/>
        <v>73</v>
      </c>
      <c r="C877" s="150">
        <f t="shared" si="293"/>
        <v>9</v>
      </c>
      <c r="D877" s="150">
        <f>IF(E877="","",Input!$C$4+B877-1)</f>
        <v>117</v>
      </c>
      <c r="E877" s="150">
        <f>IF(OR(AND(C876=12,D876=Input!$C$6),E876=""),"",1)</f>
        <v>1</v>
      </c>
      <c r="F877" s="150">
        <f>IF(E877="","",Input!$C$8+B877-1)</f>
        <v>2090</v>
      </c>
      <c r="G877" s="151">
        <f>IF(E877="","",MAX(0,Input!$C$9-B877))</f>
        <v>0</v>
      </c>
      <c r="H877" s="152">
        <f>IF(E877="","",Input!$C$3)</f>
        <v>100000</v>
      </c>
      <c r="I877" s="153">
        <f>IF(E877="","",HLOOKUP($B877,Input!$C$13:$BT$14,2))</f>
        <v>1000</v>
      </c>
      <c r="J877" s="154"/>
      <c r="K877" s="155">
        <f>IF($E877="","",Input!$C$57)</f>
        <v>4.4999999999999998E-2</v>
      </c>
      <c r="L877" s="155">
        <f t="shared" si="284"/>
        <v>3.6748094004368514E-3</v>
      </c>
      <c r="M877" s="147">
        <f>IF($E877="","",VLOOKUP(IF($B877&lt;=Input!$C$7,$B877,26),'Mortality Tables'!$A$72:$CA$97,IF($B877&lt;=Input!$C$7+1,Input!$C$4-16,$D877-Input!$C$7-16),0)/1000)</f>
        <v>0.85348000000000002</v>
      </c>
      <c r="N877" s="147">
        <f t="shared" si="273"/>
        <v>0.14789834431787452</v>
      </c>
      <c r="O877" s="157">
        <f>IF($E877="","",IF($C877=12,IF($B877&lt;Input!$C$9,Input!$C$54,IF($B877=Input!$C$9,Input!$C$55,Input!$C$56)),0%))</f>
        <v>0</v>
      </c>
      <c r="P877" s="167">
        <f>IF($E877="","",IF($B877=1,Input!$C$59,IF($B877&lt;6,Input!$C$60,0%)))</f>
        <v>0</v>
      </c>
      <c r="Q877" s="162">
        <f>IF($E877="","",Input!$C$58)</f>
        <v>2.5</v>
      </c>
      <c r="R877" s="156">
        <f t="shared" si="285"/>
        <v>0.85210165568212548</v>
      </c>
      <c r="S877" s="154">
        <f t="shared" si="274"/>
        <v>4.4045208169282849E-13</v>
      </c>
      <c r="T877" s="152"/>
      <c r="U877" s="150">
        <f t="shared" si="286"/>
        <v>0</v>
      </c>
      <c r="V877" s="150">
        <f t="shared" si="287"/>
        <v>0</v>
      </c>
      <c r="W877" s="168">
        <f t="shared" si="288"/>
        <v>0</v>
      </c>
      <c r="X877" s="163">
        <f t="shared" si="275"/>
        <v>14789.834431787453</v>
      </c>
      <c r="Y877" s="152"/>
      <c r="Z877" s="164">
        <f>IF(AND($C876=12,$D876=Input!$C$6),0,IF($E877="","",V877+Z878/(1+L877)*R877))</f>
        <v>49885.37361778316</v>
      </c>
      <c r="AA877" s="164">
        <f>IF(OR($M877=1,AND($C876=12,$D876=Input!$C$6)),0,IF($E877="","",W877+(X877+AA878*$R877)/(1+$L877)))</f>
        <v>91099.322055757279</v>
      </c>
      <c r="AB877" s="160">
        <f t="shared" si="276"/>
        <v>0.825720328500681</v>
      </c>
      <c r="AC877" s="164">
        <f t="shared" si="277"/>
        <v>0</v>
      </c>
      <c r="AD877" s="164">
        <f>IF(AND($C876=12,$D876=Input!$C$6),0,IF($E877="","",$AC877+AD878/(1+$L877)*$R877))</f>
        <v>41191.367091055115</v>
      </c>
      <c r="AE877" s="152"/>
      <c r="AF877" s="164">
        <f>IF(AND($C876=12,$D876=Input!$C$6),0,IF($E877="","",IF($B877&gt;Input!$C$9,$AC877,0)+AF878/(1+$L877)*$R877))</f>
        <v>41191.367091055115</v>
      </c>
      <c r="AG877" s="164">
        <f>IF(AND($C876=12,$D876=Input!$C$6),0,IF($E877="","",(IF($B877&gt;Input!$C$9,$X877,0)+AG878)/(1+$L877)*$R877))</f>
        <v>75291.119594276533</v>
      </c>
      <c r="AH877" s="160">
        <f t="shared" si="278"/>
        <v>2.0950137211446997</v>
      </c>
      <c r="AI877" s="160">
        <f>IF($E877="","",MIN(Input!$C$61/AH877,1))</f>
        <v>0.64438718771845094</v>
      </c>
      <c r="AJ877" s="152"/>
      <c r="AK877" s="164">
        <f>IF(AND($C876=12,$D876=Input!$C$6),0,IF($E877="","",IF($B877&gt;Input!$C$9,$AC877*AI877,0)+AK878/(1+$L877)*$R877))</f>
        <v>26543.189198083357</v>
      </c>
      <c r="AL877" s="164">
        <f>IF(AND($C876=12,$D876=Input!$C$6),0,IF($E877="","",IF($B877&gt;Input!$C$9,0,$AC877)+AL878/(1+$L877)*$R877))</f>
        <v>0</v>
      </c>
      <c r="AM877" s="160">
        <f t="shared" si="279"/>
        <v>1.1382936520186004</v>
      </c>
      <c r="AN877" s="164">
        <f>IF($E877="","",IF($B877&gt;Input!$C$9,$AI877*$AC877,$AM877*$AC877))</f>
        <v>0</v>
      </c>
      <c r="AO877" s="164">
        <f>IF(AND($C876=12,$D876=Input!$C$6),0,IF($E877="","",$AN877+AO878/(1+$L877)*$R877))</f>
        <v>26543.189198083357</v>
      </c>
      <c r="AP877" s="152"/>
      <c r="AQ877" s="164">
        <f t="shared" si="280"/>
        <v>64556.132857673918</v>
      </c>
      <c r="AR877" s="164">
        <f t="shared" si="289"/>
        <v>68458.990881252656</v>
      </c>
      <c r="AS877" s="164">
        <f t="shared" si="290"/>
        <v>40836.36363636364</v>
      </c>
      <c r="AT877" s="164">
        <f t="shared" si="281"/>
        <v>68458.990881252656</v>
      </c>
      <c r="AU877" s="152"/>
      <c r="AV877" s="147">
        <f>'Deterministic Reserve'!BC877</f>
        <v>9.9511329284610963E-19</v>
      </c>
      <c r="AW877" s="164">
        <f t="shared" si="282"/>
        <v>68458.990881252656</v>
      </c>
      <c r="AX877" s="164">
        <f t="shared" si="283"/>
        <v>6.8124451840765117E-14</v>
      </c>
      <c r="AY877" s="152"/>
    </row>
    <row r="878" spans="1:51" s="150" customFormat="1" x14ac:dyDescent="0.25">
      <c r="A878" s="150">
        <f t="shared" si="291"/>
        <v>874</v>
      </c>
      <c r="B878" s="150">
        <f t="shared" si="292"/>
        <v>73</v>
      </c>
      <c r="C878" s="150">
        <f t="shared" si="293"/>
        <v>10</v>
      </c>
      <c r="D878" s="150">
        <f>IF(E878="","",Input!$C$4+B878-1)</f>
        <v>117</v>
      </c>
      <c r="E878" s="150">
        <f>IF(OR(AND(C877=12,D877=Input!$C$6),E877=""),"",1)</f>
        <v>1</v>
      </c>
      <c r="F878" s="150">
        <f>IF(E878="","",Input!$C$8+B878-1)</f>
        <v>2090</v>
      </c>
      <c r="G878" s="151">
        <f>IF(E878="","",MAX(0,Input!$C$9-B878))</f>
        <v>0</v>
      </c>
      <c r="H878" s="152">
        <f>IF(E878="","",Input!$C$3)</f>
        <v>100000</v>
      </c>
      <c r="I878" s="153">
        <f>IF(E878="","",HLOOKUP($B878,Input!$C$13:$BT$14,2))</f>
        <v>1000</v>
      </c>
      <c r="J878" s="154"/>
      <c r="K878" s="155">
        <f>IF($E878="","",Input!$C$57)</f>
        <v>4.4999999999999998E-2</v>
      </c>
      <c r="L878" s="155">
        <f t="shared" si="284"/>
        <v>3.6748094004368514E-3</v>
      </c>
      <c r="M878" s="147">
        <f>IF($E878="","",VLOOKUP(IF($B878&lt;=Input!$C$7,$B878,26),'Mortality Tables'!$A$72:$CA$97,IF($B878&lt;=Input!$C$7+1,Input!$C$4-16,$D878-Input!$C$7-16),0)/1000)</f>
        <v>0.85348000000000002</v>
      </c>
      <c r="N878" s="147">
        <f t="shared" si="273"/>
        <v>0.14789834431787452</v>
      </c>
      <c r="O878" s="157">
        <f>IF($E878="","",IF($C878=12,IF($B878&lt;Input!$C$9,Input!$C$54,IF($B878=Input!$C$9,Input!$C$55,Input!$C$56)),0%))</f>
        <v>0</v>
      </c>
      <c r="P878" s="167">
        <f>IF($E878="","",IF($B878=1,Input!$C$59,IF($B878&lt;6,Input!$C$60,0%)))</f>
        <v>0</v>
      </c>
      <c r="Q878" s="162">
        <f>IF($E878="","",Input!$C$58)</f>
        <v>2.5</v>
      </c>
      <c r="R878" s="156">
        <f t="shared" si="285"/>
        <v>0.85210165568212548</v>
      </c>
      <c r="S878" s="154">
        <f t="shared" si="274"/>
        <v>3.7530994805909795E-13</v>
      </c>
      <c r="T878" s="152"/>
      <c r="U878" s="150">
        <f t="shared" si="286"/>
        <v>0</v>
      </c>
      <c r="V878" s="150">
        <f t="shared" si="287"/>
        <v>0</v>
      </c>
      <c r="W878" s="168">
        <f t="shared" si="288"/>
        <v>0</v>
      </c>
      <c r="X878" s="163">
        <f t="shared" si="275"/>
        <v>14789.834431787453</v>
      </c>
      <c r="Y878" s="152"/>
      <c r="Z878" s="164">
        <f>IF(AND($C877=12,$D877=Input!$C$6),0,IF($E878="","",V878+Z879/(1+L878)*R878))</f>
        <v>58759.06064003249</v>
      </c>
      <c r="AA878" s="164">
        <f>IF(OR($M878=1,AND($C877=12,$D877=Input!$C$6)),0,IF($E878="","",W878+(X878+AA879*$R878)/(1+$L878)))</f>
        <v>89947.319968153766</v>
      </c>
      <c r="AB878" s="160">
        <f t="shared" si="276"/>
        <v>0.825720328500681</v>
      </c>
      <c r="AC878" s="164">
        <f t="shared" si="277"/>
        <v>0</v>
      </c>
      <c r="AD878" s="164">
        <f>IF(AND($C877=12,$D877=Input!$C$6),0,IF($E878="","",$AC878+AD879/(1+$L878)*$R878))</f>
        <v>48518.550854079062</v>
      </c>
      <c r="AE878" s="152"/>
      <c r="AF878" s="164">
        <f>IF(AND($C877=12,$D877=Input!$C$6),0,IF($E878="","",IF($B878&gt;Input!$C$9,$AC878,0)+AF879/(1+$L878)*$R878))</f>
        <v>48518.550854079062</v>
      </c>
      <c r="AG878" s="164">
        <f>IF(AND($C877=12,$D877=Input!$C$6),0,IF($E878="","",(IF($B878&gt;Input!$C$9,$X878,0)+AG879)/(1+$L878)*$R878))</f>
        <v>73894.185373146916</v>
      </c>
      <c r="AH878" s="160">
        <f t="shared" si="278"/>
        <v>2.0950137211446997</v>
      </c>
      <c r="AI878" s="160">
        <f>IF($E878="","",MIN(Input!$C$61/AH878,1))</f>
        <v>0.64438718771845094</v>
      </c>
      <c r="AJ878" s="152"/>
      <c r="AK878" s="164">
        <f>IF(AND($C877=12,$D877=Input!$C$6),0,IF($E878="","",IF($B878&gt;Input!$C$9,$AC878*AI878,0)+AK879/(1+$L878)*$R878))</f>
        <v>31264.732537034655</v>
      </c>
      <c r="AL878" s="164">
        <f>IF(AND($C877=12,$D877=Input!$C$6),0,IF($E878="","",IF($B878&gt;Input!$C$9,0,$AC878)+AL879/(1+$L878)*$R878))</f>
        <v>0</v>
      </c>
      <c r="AM878" s="160">
        <f t="shared" si="279"/>
        <v>1.1382936520186004</v>
      </c>
      <c r="AN878" s="164">
        <f>IF($E878="","",IF($B878&gt;Input!$C$9,$AI878*$AC878,$AM878*$AC878))</f>
        <v>0</v>
      </c>
      <c r="AO878" s="164">
        <f>IF(AND($C877=12,$D877=Input!$C$6),0,IF($E878="","",$AN878+AO879/(1+$L878)*$R878))</f>
        <v>31264.732537034655</v>
      </c>
      <c r="AP878" s="152"/>
      <c r="AQ878" s="164">
        <f t="shared" si="280"/>
        <v>58682.587431119115</v>
      </c>
      <c r="AR878" s="164">
        <f t="shared" si="289"/>
        <v>68458.990881252656</v>
      </c>
      <c r="AS878" s="164">
        <f t="shared" si="290"/>
        <v>40836.36363636364</v>
      </c>
      <c r="AT878" s="164">
        <f t="shared" si="281"/>
        <v>68458.990881252656</v>
      </c>
      <c r="AU878" s="152"/>
      <c r="AV878" s="147">
        <f>'Deterministic Reserve'!BC878</f>
        <v>9.0085282911079215E-19</v>
      </c>
      <c r="AW878" s="164">
        <f t="shared" si="282"/>
        <v>68458.990881252656</v>
      </c>
      <c r="AX878" s="164">
        <f t="shared" si="283"/>
        <v>6.1671475613446371E-14</v>
      </c>
      <c r="AY878" s="152"/>
    </row>
    <row r="879" spans="1:51" s="150" customFormat="1" x14ac:dyDescent="0.25">
      <c r="A879" s="150">
        <f t="shared" si="291"/>
        <v>875</v>
      </c>
      <c r="B879" s="150">
        <f t="shared" si="292"/>
        <v>73</v>
      </c>
      <c r="C879" s="150">
        <f t="shared" si="293"/>
        <v>11</v>
      </c>
      <c r="D879" s="150">
        <f>IF(E879="","",Input!$C$4+B879-1)</f>
        <v>117</v>
      </c>
      <c r="E879" s="150">
        <f>IF(OR(AND(C878=12,D878=Input!$C$6),E878=""),"",1)</f>
        <v>1</v>
      </c>
      <c r="F879" s="150">
        <f>IF(E879="","",Input!$C$8+B879-1)</f>
        <v>2090</v>
      </c>
      <c r="G879" s="151">
        <f>IF(E879="","",MAX(0,Input!$C$9-B879))</f>
        <v>0</v>
      </c>
      <c r="H879" s="152">
        <f>IF(E879="","",Input!$C$3)</f>
        <v>100000</v>
      </c>
      <c r="I879" s="153">
        <f>IF(E879="","",HLOOKUP($B879,Input!$C$13:$BT$14,2))</f>
        <v>1000</v>
      </c>
      <c r="J879" s="154"/>
      <c r="K879" s="155">
        <f>IF($E879="","",Input!$C$57)</f>
        <v>4.4999999999999998E-2</v>
      </c>
      <c r="L879" s="155">
        <f t="shared" si="284"/>
        <v>3.6748094004368514E-3</v>
      </c>
      <c r="M879" s="147">
        <f>IF($E879="","",VLOOKUP(IF($B879&lt;=Input!$C$7,$B879,26),'Mortality Tables'!$A$72:$CA$97,IF($B879&lt;=Input!$C$7+1,Input!$C$4-16,$D879-Input!$C$7-16),0)/1000)</f>
        <v>0.85348000000000002</v>
      </c>
      <c r="N879" s="147">
        <f t="shared" si="273"/>
        <v>0.14789834431787452</v>
      </c>
      <c r="O879" s="157">
        <f>IF($E879="","",IF($C879=12,IF($B879&lt;Input!$C$9,Input!$C$54,IF($B879=Input!$C$9,Input!$C$55,Input!$C$56)),0%))</f>
        <v>0</v>
      </c>
      <c r="P879" s="167">
        <f>IF($E879="","",IF($B879=1,Input!$C$59,IF($B879&lt;6,Input!$C$60,0%)))</f>
        <v>0</v>
      </c>
      <c r="Q879" s="162">
        <f>IF($E879="","",Input!$C$58)</f>
        <v>2.5</v>
      </c>
      <c r="R879" s="156">
        <f t="shared" si="285"/>
        <v>0.85210165568212548</v>
      </c>
      <c r="S879" s="154">
        <f t="shared" si="274"/>
        <v>3.1980222813512987E-13</v>
      </c>
      <c r="T879" s="152"/>
      <c r="U879" s="150">
        <f t="shared" si="286"/>
        <v>0</v>
      </c>
      <c r="V879" s="150">
        <f t="shared" si="287"/>
        <v>0</v>
      </c>
      <c r="W879" s="168">
        <f t="shared" si="288"/>
        <v>0</v>
      </c>
      <c r="X879" s="163">
        <f t="shared" si="275"/>
        <v>14789.834431787453</v>
      </c>
      <c r="Y879" s="152"/>
      <c r="Z879" s="164">
        <f>IF(AND($C878=12,$D878=Input!$C$6),0,IF($E879="","",V879+Z880/(1+L879)*R879))</f>
        <v>69211.212764541095</v>
      </c>
      <c r="AA879" s="164">
        <f>IF(OR($M879=1,AND($C878=12,$D878=Input!$C$6)),0,IF($E879="","",W879+(X879+AA880*$R879)/(1+$L879)))</f>
        <v>88590.397976517983</v>
      </c>
      <c r="AB879" s="160">
        <f t="shared" si="276"/>
        <v>0.825720328500681</v>
      </c>
      <c r="AC879" s="164">
        <f t="shared" si="277"/>
        <v>0</v>
      </c>
      <c r="AD879" s="164">
        <f>IF(AND($C878=12,$D878=Input!$C$6),0,IF($E879="","",$AC879+AD880/(1+$L879)*$R879))</f>
        <v>57149.10533986739</v>
      </c>
      <c r="AE879" s="152"/>
      <c r="AF879" s="164">
        <f>IF(AND($C878=12,$D878=Input!$C$6),0,IF($E879="","",IF($B879&gt;Input!$C$9,$AC879,0)+AF880/(1+$L879)*$R879))</f>
        <v>57149.10533986739</v>
      </c>
      <c r="AG879" s="164">
        <f>IF(AND($C878=12,$D878=Input!$C$6),0,IF($E879="","",(IF($B879&gt;Input!$C$9,$X879,0)+AG880)/(1+$L879)*$R879))</f>
        <v>72248.762343174254</v>
      </c>
      <c r="AH879" s="160">
        <f t="shared" si="278"/>
        <v>2.0950137211446997</v>
      </c>
      <c r="AI879" s="160">
        <f>IF($E879="","",MIN(Input!$C$61/AH879,1))</f>
        <v>0.64438718771845094</v>
      </c>
      <c r="AJ879" s="152"/>
      <c r="AK879" s="164">
        <f>IF(AND($C878=12,$D878=Input!$C$6),0,IF($E879="","",IF($B879&gt;Input!$C$9,$AC879*AI879,0)+AK880/(1+$L879)*$R879))</f>
        <v>36826.151270582661</v>
      </c>
      <c r="AL879" s="164">
        <f>IF(AND($C878=12,$D878=Input!$C$6),0,IF($E879="","",IF($B879&gt;Input!$C$9,0,$AC879)+AL880/(1+$L879)*$R879))</f>
        <v>0</v>
      </c>
      <c r="AM879" s="160">
        <f t="shared" si="279"/>
        <v>1.1382936520186004</v>
      </c>
      <c r="AN879" s="164">
        <f>IF($E879="","",IF($B879&gt;Input!$C$9,$AI879*$AC879,$AM879*$AC879))</f>
        <v>0</v>
      </c>
      <c r="AO879" s="164">
        <f>IF(AND($C878=12,$D878=Input!$C$6),0,IF($E879="","",$AN879+AO880/(1+$L879)*$R879))</f>
        <v>36826.151270582661</v>
      </c>
      <c r="AP879" s="152"/>
      <c r="AQ879" s="164">
        <f t="shared" si="280"/>
        <v>51764.246705935322</v>
      </c>
      <c r="AR879" s="164">
        <f t="shared" si="289"/>
        <v>68458.990881252656</v>
      </c>
      <c r="AS879" s="164">
        <f t="shared" si="290"/>
        <v>40836.36363636364</v>
      </c>
      <c r="AT879" s="164">
        <f t="shared" si="281"/>
        <v>68458.990881252656</v>
      </c>
      <c r="AU879" s="152"/>
      <c r="AV879" s="147">
        <f>'Deterministic Reserve'!BC879</f>
        <v>8.1552103217901535E-19</v>
      </c>
      <c r="AW879" s="164">
        <f t="shared" si="282"/>
        <v>68458.990881252656</v>
      </c>
      <c r="AX879" s="164">
        <f t="shared" si="283"/>
        <v>5.5829746905412967E-14</v>
      </c>
      <c r="AY879" s="152"/>
    </row>
    <row r="880" spans="1:51" s="150" customFormat="1" x14ac:dyDescent="0.25">
      <c r="A880" s="150">
        <f t="shared" si="291"/>
        <v>876</v>
      </c>
      <c r="B880" s="150">
        <f t="shared" si="292"/>
        <v>73</v>
      </c>
      <c r="C880" s="150">
        <f t="shared" si="293"/>
        <v>12</v>
      </c>
      <c r="D880" s="150">
        <f>IF(E880="","",Input!$C$4+B880-1)</f>
        <v>117</v>
      </c>
      <c r="E880" s="150">
        <f>IF(OR(AND(C879=12,D879=Input!$C$6),E879=""),"",1)</f>
        <v>1</v>
      </c>
      <c r="F880" s="150">
        <f>IF(E880="","",Input!$C$8+B880-1)</f>
        <v>2090</v>
      </c>
      <c r="G880" s="151">
        <f>IF(E880="","",MAX(0,Input!$C$9-B880))</f>
        <v>0</v>
      </c>
      <c r="H880" s="152">
        <f>IF(E880="","",Input!$C$3)</f>
        <v>100000</v>
      </c>
      <c r="I880" s="153">
        <f>IF(E880="","",HLOOKUP($B880,Input!$C$13:$BT$14,2))</f>
        <v>1000</v>
      </c>
      <c r="J880" s="154"/>
      <c r="K880" s="155">
        <f>IF($E880="","",Input!$C$57)</f>
        <v>4.4999999999999998E-2</v>
      </c>
      <c r="L880" s="155">
        <f t="shared" si="284"/>
        <v>3.6748094004368514E-3</v>
      </c>
      <c r="M880" s="147">
        <f>IF($E880="","",VLOOKUP(IF($B880&lt;=Input!$C$7,$B880,26),'Mortality Tables'!$A$72:$CA$97,IF($B880&lt;=Input!$C$7+1,Input!$C$4-16,$D880-Input!$C$7-16),0)/1000)</f>
        <v>0.85348000000000002</v>
      </c>
      <c r="N880" s="147">
        <f t="shared" si="273"/>
        <v>0.14789834431787452</v>
      </c>
      <c r="O880" s="157">
        <f>IF($E880="","",IF($C880=12,IF($B880&lt;Input!$C$9,Input!$C$54,IF($B880=Input!$C$9,Input!$C$55,Input!$C$56)),0%))</f>
        <v>0.1</v>
      </c>
      <c r="P880" s="167">
        <f>IF($E880="","",IF($B880=1,Input!$C$59,IF($B880&lt;6,Input!$C$60,0%)))</f>
        <v>0</v>
      </c>
      <c r="Q880" s="162">
        <f>IF($E880="","",Input!$C$58)</f>
        <v>2.5</v>
      </c>
      <c r="R880" s="156">
        <f t="shared" si="285"/>
        <v>0.7521016556821255</v>
      </c>
      <c r="S880" s="154">
        <f t="shared" si="274"/>
        <v>2.4052378527126401E-13</v>
      </c>
      <c r="T880" s="152"/>
      <c r="U880" s="150">
        <f t="shared" si="286"/>
        <v>0</v>
      </c>
      <c r="V880" s="150">
        <f t="shared" si="287"/>
        <v>0</v>
      </c>
      <c r="W880" s="168">
        <f t="shared" si="288"/>
        <v>0</v>
      </c>
      <c r="X880" s="163">
        <f t="shared" si="275"/>
        <v>14789.834431787453</v>
      </c>
      <c r="Y880" s="152"/>
      <c r="Z880" s="164">
        <f>IF(AND($C879=12,$D879=Input!$C$6),0,IF($E880="","",V880+Z881/(1+L880)*R880))</f>
        <v>81522.609792625284</v>
      </c>
      <c r="AA880" s="164">
        <f>IF(OR($M880=1,AND($C879=12,$D879=Input!$C$6)),0,IF($E880="","",W880+(X880+AA881*$R880)/(1+$L880)))</f>
        <v>86992.104612991912</v>
      </c>
      <c r="AB880" s="160">
        <f t="shared" si="276"/>
        <v>0.825720328500681</v>
      </c>
      <c r="AC880" s="164">
        <f t="shared" si="277"/>
        <v>0</v>
      </c>
      <c r="AD880" s="164">
        <f>IF(AND($C879=12,$D879=Input!$C$6),0,IF($E880="","",$AC880+AD881/(1+$L880)*$R880))</f>
        <v>67314.876138199383</v>
      </c>
      <c r="AE880" s="152"/>
      <c r="AF880" s="164">
        <f>IF(AND($C879=12,$D879=Input!$C$6),0,IF($E880="","",IF($B880&gt;Input!$C$9,$AC880,0)+AF881/(1+$L880)*$R880))</f>
        <v>67314.876138199383</v>
      </c>
      <c r="AG880" s="164">
        <f>IF(AND($C879=12,$D879=Input!$C$6),0,IF($E880="","",(IF($B880&gt;Input!$C$9,$X880,0)+AG881)/(1+$L880)*$R880))</f>
        <v>70310.648932669414</v>
      </c>
      <c r="AH880" s="160">
        <f t="shared" si="278"/>
        <v>2.0950137211446997</v>
      </c>
      <c r="AI880" s="160">
        <f>IF($E880="","",MIN(Input!$C$61/AH880,1))</f>
        <v>0.64438718771845094</v>
      </c>
      <c r="AJ880" s="152"/>
      <c r="AK880" s="164">
        <f>IF(AND($C879=12,$D879=Input!$C$6),0,IF($E880="","",IF($B880&gt;Input!$C$9,$AC880*AI880,0)+AK881/(1+$L880)*$R880))</f>
        <v>43376.843726310166</v>
      </c>
      <c r="AL880" s="164">
        <f>IF(AND($C879=12,$D879=Input!$C$6),0,IF($E880="","",IF($B880&gt;Input!$C$9,0,$AC880)+AL881/(1+$L880)*$R880))</f>
        <v>0</v>
      </c>
      <c r="AM880" s="160">
        <f t="shared" si="279"/>
        <v>1.1382936520186004</v>
      </c>
      <c r="AN880" s="164">
        <f>IF($E880="","",IF($B880&gt;Input!$C$9,$AI880*$AC880,$AM880*$AC880))</f>
        <v>0</v>
      </c>
      <c r="AO880" s="164">
        <f>IF(AND($C879=12,$D879=Input!$C$6),0,IF($E880="","",$AN880+AO881/(1+$L880)*$R880))</f>
        <v>43376.843726310166</v>
      </c>
      <c r="AP880" s="152"/>
      <c r="AQ880" s="164">
        <f t="shared" si="280"/>
        <v>43615.260886681746</v>
      </c>
      <c r="AR880" s="164">
        <f t="shared" si="289"/>
        <v>68458.990881252656</v>
      </c>
      <c r="AS880" s="164">
        <f t="shared" si="290"/>
        <v>40836.36363636364</v>
      </c>
      <c r="AT880" s="164">
        <f t="shared" si="281"/>
        <v>68458.990881252656</v>
      </c>
      <c r="AU880" s="152"/>
      <c r="AV880" s="147">
        <f>'Deterministic Reserve'!BC880</f>
        <v>6.5672004561111863E-19</v>
      </c>
      <c r="AW880" s="164">
        <f t="shared" si="282"/>
        <v>68458.990881252656</v>
      </c>
      <c r="AX880" s="164">
        <f t="shared" si="283"/>
        <v>4.4958391614027396E-14</v>
      </c>
      <c r="AY880" s="152"/>
    </row>
    <row r="881" spans="1:51" s="150" customFormat="1" x14ac:dyDescent="0.25">
      <c r="A881" s="150">
        <f t="shared" si="291"/>
        <v>877</v>
      </c>
      <c r="B881" s="150">
        <f t="shared" si="292"/>
        <v>74</v>
      </c>
      <c r="C881" s="150">
        <f t="shared" si="293"/>
        <v>1</v>
      </c>
      <c r="D881" s="150">
        <f>IF(E881="","",Input!$C$4+B881-1)</f>
        <v>118</v>
      </c>
      <c r="E881" s="150">
        <f>IF(OR(AND(C880=12,D880=Input!$C$6),E880=""),"",1)</f>
        <v>1</v>
      </c>
      <c r="F881" s="150">
        <f>IF(E881="","",Input!$C$8+B881-1)</f>
        <v>2091</v>
      </c>
      <c r="G881" s="151">
        <f>IF(E881="","",MAX(0,Input!$C$9-B881))</f>
        <v>0</v>
      </c>
      <c r="H881" s="152">
        <f>IF(E881="","",Input!$C$3)</f>
        <v>100000</v>
      </c>
      <c r="I881" s="153">
        <f>IF(E881="","",HLOOKUP($B881,Input!$C$13:$BT$14,2))</f>
        <v>1000</v>
      </c>
      <c r="J881" s="154"/>
      <c r="K881" s="155">
        <f>IF($E881="","",Input!$C$57)</f>
        <v>4.4999999999999998E-2</v>
      </c>
      <c r="L881" s="155">
        <f t="shared" si="284"/>
        <v>3.6748094004368514E-3</v>
      </c>
      <c r="M881" s="147">
        <f>IF($E881="","",VLOOKUP(IF($B881&lt;=Input!$C$7,$B881,26),'Mortality Tables'!$A$72:$CA$97,IF($B881&lt;=Input!$C$7+1,Input!$C$4-16,$D881-Input!$C$7-16),0)/1000)</f>
        <v>0.89976999999999996</v>
      </c>
      <c r="N881" s="147">
        <f t="shared" si="273"/>
        <v>0.17443777879025613</v>
      </c>
      <c r="O881" s="157">
        <f>IF($E881="","",IF($C881=12,IF($B881&lt;Input!$C$9,Input!$C$54,IF($B881=Input!$C$9,Input!$C$55,Input!$C$56)),0%))</f>
        <v>0</v>
      </c>
      <c r="P881" s="167">
        <f>IF($E881="","",IF($B881=1,Input!$C$59,IF($B881&lt;6,Input!$C$60,0%)))</f>
        <v>0</v>
      </c>
      <c r="Q881" s="162">
        <f>IF($E881="","",Input!$C$58)</f>
        <v>2.5</v>
      </c>
      <c r="R881" s="156">
        <f t="shared" si="285"/>
        <v>0.82556222120974387</v>
      </c>
      <c r="S881" s="154">
        <f t="shared" si="274"/>
        <v>1.985673504223202E-13</v>
      </c>
      <c r="T881" s="152"/>
      <c r="U881" s="150">
        <f t="shared" si="286"/>
        <v>100000</v>
      </c>
      <c r="V881" s="150">
        <f t="shared" si="287"/>
        <v>100000</v>
      </c>
      <c r="W881" s="168">
        <f t="shared" si="288"/>
        <v>0</v>
      </c>
      <c r="X881" s="163">
        <f t="shared" si="275"/>
        <v>17443.777879025612</v>
      </c>
      <c r="Y881" s="152"/>
      <c r="Z881" s="164">
        <f>IF(AND($C880=12,$D880=Input!$C$6),0,IF($E881="","",V881+Z882/(1+L881)*R881))</f>
        <v>108791.39705021655</v>
      </c>
      <c r="AA881" s="164">
        <f>IF(OR($M881=1,AND($C880=12,$D880=Input!$C$6)),0,IF($E881="","",W881+(X881+AA882*$R881)/(1+$L881)))</f>
        <v>96425.727874811841</v>
      </c>
      <c r="AB881" s="160">
        <f t="shared" si="276"/>
        <v>0.825720328500681</v>
      </c>
      <c r="AC881" s="164">
        <f t="shared" si="277"/>
        <v>82572.032850068106</v>
      </c>
      <c r="AD881" s="164">
        <f>IF(AND($C880=12,$D880=Input!$C$6),0,IF($E881="","",$AC881+AD882/(1+$L881)*$R881))</f>
        <v>89831.26811035283</v>
      </c>
      <c r="AE881" s="152"/>
      <c r="AF881" s="164">
        <f>IF(AND($C880=12,$D880=Input!$C$6),0,IF($E881="","",IF($B881&gt;Input!$C$9,$AC881,0)+AF882/(1+$L881)*$R881))</f>
        <v>89831.26811035283</v>
      </c>
      <c r="AG881" s="164">
        <f>IF(AND($C880=12,$D880=Input!$C$6),0,IF($E881="","",(IF($B881&gt;Input!$C$9,$X881,0)+AG882)/(1+$L881)*$R881))</f>
        <v>79039.273153828442</v>
      </c>
      <c r="AH881" s="160">
        <f t="shared" si="278"/>
        <v>2.0950137211446997</v>
      </c>
      <c r="AI881" s="160">
        <f>IF($E881="","",MIN(Input!$C$61/AH881,1))</f>
        <v>0.64438718771845094</v>
      </c>
      <c r="AJ881" s="152"/>
      <c r="AK881" s="164">
        <f>IF(AND($C880=12,$D880=Input!$C$6),0,IF($E881="","",IF($B881&gt;Input!$C$9,$AC881*AI881,0)+AK882/(1+$L881)*$R881))</f>
        <v>57886.118226812425</v>
      </c>
      <c r="AL881" s="164">
        <f>IF(AND($C880=12,$D880=Input!$C$6),0,IF($E881="","",IF($B881&gt;Input!$C$9,0,$AC881)+AL882/(1+$L881)*$R881))</f>
        <v>0</v>
      </c>
      <c r="AM881" s="160">
        <f t="shared" si="279"/>
        <v>1.1382936520186004</v>
      </c>
      <c r="AN881" s="164">
        <f>IF($E881="","",IF($B881&gt;Input!$C$9,$AI881*$AC881,$AM881*$AC881))</f>
        <v>53208.360032450932</v>
      </c>
      <c r="AO881" s="164">
        <f>IF(AND($C880=12,$D880=Input!$C$6),0,IF($E881="","",$AN881+AO882/(1+$L881)*$R881))</f>
        <v>57886.118226812425</v>
      </c>
      <c r="AP881" s="152"/>
      <c r="AQ881" s="164">
        <f t="shared" si="280"/>
        <v>38539.609647999416</v>
      </c>
      <c r="AR881" s="164">
        <f t="shared" si="289"/>
        <v>70843.061753200745</v>
      </c>
      <c r="AS881" s="164">
        <f t="shared" si="290"/>
        <v>43051.196172248805</v>
      </c>
      <c r="AT881" s="164">
        <f t="shared" si="281"/>
        <v>70843.061753200745</v>
      </c>
      <c r="AU881" s="152"/>
      <c r="AV881" s="147">
        <f>'Deterministic Reserve'!BC881</f>
        <v>5.9508028967928091E-19</v>
      </c>
      <c r="AW881" s="164">
        <f t="shared" si="282"/>
        <v>70843.061753200745</v>
      </c>
      <c r="AX881" s="164">
        <f t="shared" si="283"/>
        <v>4.2157309709861887E-14</v>
      </c>
      <c r="AY881" s="152"/>
    </row>
    <row r="882" spans="1:51" s="150" customFormat="1" x14ac:dyDescent="0.25">
      <c r="A882" s="150">
        <f t="shared" si="291"/>
        <v>878</v>
      </c>
      <c r="B882" s="150">
        <f t="shared" si="292"/>
        <v>74</v>
      </c>
      <c r="C882" s="150">
        <f t="shared" si="293"/>
        <v>2</v>
      </c>
      <c r="D882" s="150">
        <f>IF(E882="","",Input!$C$4+B882-1)</f>
        <v>118</v>
      </c>
      <c r="E882" s="150">
        <f>IF(OR(AND(C881=12,D881=Input!$C$6),E881=""),"",1)</f>
        <v>1</v>
      </c>
      <c r="F882" s="150">
        <f>IF(E882="","",Input!$C$8+B882-1)</f>
        <v>2091</v>
      </c>
      <c r="G882" s="151">
        <f>IF(E882="","",MAX(0,Input!$C$9-B882))</f>
        <v>0</v>
      </c>
      <c r="H882" s="152">
        <f>IF(E882="","",Input!$C$3)</f>
        <v>100000</v>
      </c>
      <c r="I882" s="153">
        <f>IF(E882="","",HLOOKUP($B882,Input!$C$13:$BT$14,2))</f>
        <v>1000</v>
      </c>
      <c r="J882" s="154"/>
      <c r="K882" s="155">
        <f>IF($E882="","",Input!$C$57)</f>
        <v>4.4999999999999998E-2</v>
      </c>
      <c r="L882" s="155">
        <f t="shared" si="284"/>
        <v>3.6748094004368514E-3</v>
      </c>
      <c r="M882" s="147">
        <f>IF($E882="","",VLOOKUP(IF($B882&lt;=Input!$C$7,$B882,26),'Mortality Tables'!$A$72:$CA$97,IF($B882&lt;=Input!$C$7+1,Input!$C$4-16,$D882-Input!$C$7-16),0)/1000)</f>
        <v>0.89976999999999996</v>
      </c>
      <c r="N882" s="147">
        <f t="shared" si="273"/>
        <v>0.17443777879025613</v>
      </c>
      <c r="O882" s="157">
        <f>IF($E882="","",IF($C882=12,IF($B882&lt;Input!$C$9,Input!$C$54,IF($B882=Input!$C$9,Input!$C$55,Input!$C$56)),0%))</f>
        <v>0</v>
      </c>
      <c r="P882" s="167">
        <f>IF($E882="","",IF($B882=1,Input!$C$59,IF($B882&lt;6,Input!$C$60,0%)))</f>
        <v>0</v>
      </c>
      <c r="Q882" s="162">
        <f>IF($E882="","",Input!$C$58)</f>
        <v>2.5</v>
      </c>
      <c r="R882" s="156">
        <f t="shared" si="285"/>
        <v>0.82556222120974387</v>
      </c>
      <c r="S882" s="154">
        <f t="shared" si="274"/>
        <v>1.6392970287438424E-13</v>
      </c>
      <c r="T882" s="152"/>
      <c r="U882" s="150">
        <f t="shared" si="286"/>
        <v>0</v>
      </c>
      <c r="V882" s="150">
        <f t="shared" si="287"/>
        <v>0</v>
      </c>
      <c r="W882" s="168">
        <f t="shared" si="288"/>
        <v>0</v>
      </c>
      <c r="X882" s="163">
        <f t="shared" si="275"/>
        <v>17443.777879025612</v>
      </c>
      <c r="Y882" s="152"/>
      <c r="Z882" s="164">
        <f>IF(AND($C881=12,$D881=Input!$C$6),0,IF($E882="","",V882+Z883/(1+L882)*R882))</f>
        <v>10688.114756280598</v>
      </c>
      <c r="AA882" s="164">
        <f>IF(OR($M882=1,AND($C881=12,$D881=Input!$C$6)),0,IF($E882="","",W882+(X882+AA883*$R882)/(1+$L882)))</f>
        <v>96099.717415325169</v>
      </c>
      <c r="AB882" s="160">
        <f t="shared" si="276"/>
        <v>0.825720328500681</v>
      </c>
      <c r="AC882" s="164">
        <f t="shared" si="277"/>
        <v>0</v>
      </c>
      <c r="AD882" s="164">
        <f>IF(AND($C881=12,$D881=Input!$C$6),0,IF($E882="","",$AC882+AD883/(1+$L882)*$R882))</f>
        <v>8825.3936276089917</v>
      </c>
      <c r="AE882" s="152"/>
      <c r="AF882" s="164">
        <f>IF(AND($C881=12,$D881=Input!$C$6),0,IF($E882="","",IF($B882&gt;Input!$C$9,$AC882,0)+AF883/(1+$L882)*$R882))</f>
        <v>8825.3936276089917</v>
      </c>
      <c r="AG882" s="164">
        <f>IF(AND($C881=12,$D881=Input!$C$6),0,IF($E882="","",(IF($B882&gt;Input!$C$9,$X882,0)+AG883)/(1+$L882)*$R882))</f>
        <v>78647.982838381504</v>
      </c>
      <c r="AH882" s="160">
        <f t="shared" si="278"/>
        <v>2.0950137211446997</v>
      </c>
      <c r="AI882" s="160">
        <f>IF($E882="","",MIN(Input!$C$61/AH882,1))</f>
        <v>0.64438718771845094</v>
      </c>
      <c r="AJ882" s="152"/>
      <c r="AK882" s="164">
        <f>IF(AND($C881=12,$D881=Input!$C$6),0,IF($E882="","",IF($B882&gt;Input!$C$9,$AC882*AI882,0)+AK883/(1+$L882)*$R882))</f>
        <v>5686.9705802032968</v>
      </c>
      <c r="AL882" s="164">
        <f>IF(AND($C881=12,$D881=Input!$C$6),0,IF($E882="","",IF($B882&gt;Input!$C$9,0,$AC882)+AL883/(1+$L882)*$R882))</f>
        <v>0</v>
      </c>
      <c r="AM882" s="160">
        <f t="shared" si="279"/>
        <v>1.1382936520186004</v>
      </c>
      <c r="AN882" s="164">
        <f>IF($E882="","",IF($B882&gt;Input!$C$9,$AI882*$AC882,$AM882*$AC882))</f>
        <v>0</v>
      </c>
      <c r="AO882" s="164">
        <f>IF(AND($C881=12,$D881=Input!$C$6),0,IF($E882="","",$AN882+AO883/(1+$L882)*$R882))</f>
        <v>5686.9705802032968</v>
      </c>
      <c r="AP882" s="152"/>
      <c r="AQ882" s="164">
        <f t="shared" si="280"/>
        <v>90412.74683512187</v>
      </c>
      <c r="AR882" s="164">
        <f t="shared" si="289"/>
        <v>70843.061753200745</v>
      </c>
      <c r="AS882" s="164">
        <f t="shared" si="290"/>
        <v>43051.196172248805</v>
      </c>
      <c r="AT882" s="164">
        <f t="shared" si="281"/>
        <v>70843.061753200745</v>
      </c>
      <c r="AU882" s="152"/>
      <c r="AV882" s="147">
        <f>'Deterministic Reserve'!BC882</f>
        <v>5.3922604240783579E-19</v>
      </c>
      <c r="AW882" s="164">
        <f t="shared" si="282"/>
        <v>70843.061753200745</v>
      </c>
      <c r="AX882" s="164">
        <f t="shared" si="283"/>
        <v>3.8200423821232352E-14</v>
      </c>
      <c r="AY882" s="152"/>
    </row>
    <row r="883" spans="1:51" s="150" customFormat="1" x14ac:dyDescent="0.25">
      <c r="A883" s="150">
        <f t="shared" si="291"/>
        <v>879</v>
      </c>
      <c r="B883" s="150">
        <f t="shared" si="292"/>
        <v>74</v>
      </c>
      <c r="C883" s="150">
        <f t="shared" si="293"/>
        <v>3</v>
      </c>
      <c r="D883" s="150">
        <f>IF(E883="","",Input!$C$4+B883-1)</f>
        <v>118</v>
      </c>
      <c r="E883" s="150">
        <f>IF(OR(AND(C882=12,D882=Input!$C$6),E882=""),"",1)</f>
        <v>1</v>
      </c>
      <c r="F883" s="150">
        <f>IF(E883="","",Input!$C$8+B883-1)</f>
        <v>2091</v>
      </c>
      <c r="G883" s="151">
        <f>IF(E883="","",MAX(0,Input!$C$9-B883))</f>
        <v>0</v>
      </c>
      <c r="H883" s="152">
        <f>IF(E883="","",Input!$C$3)</f>
        <v>100000</v>
      </c>
      <c r="I883" s="153">
        <f>IF(E883="","",HLOOKUP($B883,Input!$C$13:$BT$14,2))</f>
        <v>1000</v>
      </c>
      <c r="J883" s="154"/>
      <c r="K883" s="155">
        <f>IF($E883="","",Input!$C$57)</f>
        <v>4.4999999999999998E-2</v>
      </c>
      <c r="L883" s="155">
        <f t="shared" si="284"/>
        <v>3.6748094004368514E-3</v>
      </c>
      <c r="M883" s="147">
        <f>IF($E883="","",VLOOKUP(IF($B883&lt;=Input!$C$7,$B883,26),'Mortality Tables'!$A$72:$CA$97,IF($B883&lt;=Input!$C$7+1,Input!$C$4-16,$D883-Input!$C$7-16),0)/1000)</f>
        <v>0.89976999999999996</v>
      </c>
      <c r="N883" s="147">
        <f t="shared" si="273"/>
        <v>0.17443777879025613</v>
      </c>
      <c r="O883" s="157">
        <f>IF($E883="","",IF($C883=12,IF($B883&lt;Input!$C$9,Input!$C$54,IF($B883=Input!$C$9,Input!$C$55,Input!$C$56)),0%))</f>
        <v>0</v>
      </c>
      <c r="P883" s="167">
        <f>IF($E883="","",IF($B883=1,Input!$C$59,IF($B883&lt;6,Input!$C$60,0%)))</f>
        <v>0</v>
      </c>
      <c r="Q883" s="162">
        <f>IF($E883="","",Input!$C$58)</f>
        <v>2.5</v>
      </c>
      <c r="R883" s="156">
        <f t="shared" si="285"/>
        <v>0.82556222120974387</v>
      </c>
      <c r="S883" s="154">
        <f t="shared" si="274"/>
        <v>1.3533416962722999E-13</v>
      </c>
      <c r="T883" s="152"/>
      <c r="U883" s="150">
        <f t="shared" si="286"/>
        <v>0</v>
      </c>
      <c r="V883" s="150">
        <f t="shared" si="287"/>
        <v>0</v>
      </c>
      <c r="W883" s="168">
        <f t="shared" si="288"/>
        <v>0</v>
      </c>
      <c r="X883" s="163">
        <f t="shared" si="275"/>
        <v>17443.777879025612</v>
      </c>
      <c r="Y883" s="152"/>
      <c r="Z883" s="164">
        <f>IF(AND($C882=12,$D882=Input!$C$6),0,IF($E883="","",V883+Z884/(1+L883)*R883))</f>
        <v>12994.043653233624</v>
      </c>
      <c r="AA883" s="164">
        <f>IF(OR($M883=1,AND($C882=12,$D882=Input!$C$6)),0,IF($E883="","",W883+(X883+AA884*$R883)/(1+$L883)))</f>
        <v>95703.371171054983</v>
      </c>
      <c r="AB883" s="160">
        <f t="shared" si="276"/>
        <v>0.825720328500681</v>
      </c>
      <c r="AC883" s="164">
        <f t="shared" si="277"/>
        <v>0</v>
      </c>
      <c r="AD883" s="164">
        <f>IF(AND($C882=12,$D882=Input!$C$6),0,IF($E883="","",$AC883+AD884/(1+$L883)*$R883))</f>
        <v>10729.445993900257</v>
      </c>
      <c r="AE883" s="152"/>
      <c r="AF883" s="164">
        <f>IF(AND($C882=12,$D882=Input!$C$6),0,IF($E883="","",IF($B883&gt;Input!$C$9,$AC883,0)+AF884/(1+$L883)*$R883))</f>
        <v>10729.445993900257</v>
      </c>
      <c r="AG883" s="164">
        <f>IF(AND($C882=12,$D882=Input!$C$6),0,IF($E883="","",(IF($B883&gt;Input!$C$9,$X883,0)+AG884)/(1+$L883)*$R883))</f>
        <v>78172.27280382959</v>
      </c>
      <c r="AH883" s="160">
        <f t="shared" si="278"/>
        <v>2.0950137211446997</v>
      </c>
      <c r="AI883" s="160">
        <f>IF($E883="","",MIN(Input!$C$61/AH883,1))</f>
        <v>0.64438718771845094</v>
      </c>
      <c r="AJ883" s="152"/>
      <c r="AK883" s="164">
        <f>IF(AND($C882=12,$D882=Input!$C$6),0,IF($E883="","",IF($B883&gt;Input!$C$9,$AC883*AI883,0)+AK884/(1+$L883)*$R883))</f>
        <v>6913.9175297863867</v>
      </c>
      <c r="AL883" s="164">
        <f>IF(AND($C882=12,$D882=Input!$C$6),0,IF($E883="","",IF($B883&gt;Input!$C$9,0,$AC883)+AL884/(1+$L883)*$R883))</f>
        <v>0</v>
      </c>
      <c r="AM883" s="160">
        <f t="shared" si="279"/>
        <v>1.1382936520186004</v>
      </c>
      <c r="AN883" s="164">
        <f>IF($E883="","",IF($B883&gt;Input!$C$9,$AI883*$AC883,$AM883*$AC883))</f>
        <v>0</v>
      </c>
      <c r="AO883" s="164">
        <f>IF(AND($C882=12,$D882=Input!$C$6),0,IF($E883="","",$AN883+AO884/(1+$L883)*$R883))</f>
        <v>6913.9175297863867</v>
      </c>
      <c r="AP883" s="152"/>
      <c r="AQ883" s="164">
        <f t="shared" si="280"/>
        <v>88789.453641268599</v>
      </c>
      <c r="AR883" s="164">
        <f t="shared" si="289"/>
        <v>70843.061753200745</v>
      </c>
      <c r="AS883" s="164">
        <f t="shared" si="290"/>
        <v>43051.196172248805</v>
      </c>
      <c r="AT883" s="164">
        <f t="shared" si="281"/>
        <v>70843.061753200745</v>
      </c>
      <c r="AU883" s="152"/>
      <c r="AV883" s="147">
        <f>'Deterministic Reserve'!BC883</f>
        <v>4.8861427584423113E-19</v>
      </c>
      <c r="AW883" s="164">
        <f t="shared" si="282"/>
        <v>70843.061753200745</v>
      </c>
      <c r="AX883" s="164">
        <f t="shared" si="283"/>
        <v>3.4614931317128331E-14</v>
      </c>
      <c r="AY883" s="152"/>
    </row>
    <row r="884" spans="1:51" s="150" customFormat="1" x14ac:dyDescent="0.25">
      <c r="A884" s="150">
        <f t="shared" si="291"/>
        <v>880</v>
      </c>
      <c r="B884" s="150">
        <f t="shared" si="292"/>
        <v>74</v>
      </c>
      <c r="C884" s="150">
        <f t="shared" si="293"/>
        <v>4</v>
      </c>
      <c r="D884" s="150">
        <f>IF(E884="","",Input!$C$4+B884-1)</f>
        <v>118</v>
      </c>
      <c r="E884" s="150">
        <f>IF(OR(AND(C883=12,D883=Input!$C$6),E883=""),"",1)</f>
        <v>1</v>
      </c>
      <c r="F884" s="150">
        <f>IF(E884="","",Input!$C$8+B884-1)</f>
        <v>2091</v>
      </c>
      <c r="G884" s="151">
        <f>IF(E884="","",MAX(0,Input!$C$9-B884))</f>
        <v>0</v>
      </c>
      <c r="H884" s="152">
        <f>IF(E884="","",Input!$C$3)</f>
        <v>100000</v>
      </c>
      <c r="I884" s="153">
        <f>IF(E884="","",HLOOKUP($B884,Input!$C$13:$BT$14,2))</f>
        <v>1000</v>
      </c>
      <c r="J884" s="154"/>
      <c r="K884" s="155">
        <f>IF($E884="","",Input!$C$57)</f>
        <v>4.4999999999999998E-2</v>
      </c>
      <c r="L884" s="155">
        <f t="shared" si="284"/>
        <v>3.6748094004368514E-3</v>
      </c>
      <c r="M884" s="147">
        <f>IF($E884="","",VLOOKUP(IF($B884&lt;=Input!$C$7,$B884,26),'Mortality Tables'!$A$72:$CA$97,IF($B884&lt;=Input!$C$7+1,Input!$C$4-16,$D884-Input!$C$7-16),0)/1000)</f>
        <v>0.89976999999999996</v>
      </c>
      <c r="N884" s="147">
        <f t="shared" si="273"/>
        <v>0.17443777879025613</v>
      </c>
      <c r="O884" s="157">
        <f>IF($E884="","",IF($C884=12,IF($B884&lt;Input!$C$9,Input!$C$54,IF($B884=Input!$C$9,Input!$C$55,Input!$C$56)),0%))</f>
        <v>0</v>
      </c>
      <c r="P884" s="167">
        <f>IF($E884="","",IF($B884=1,Input!$C$59,IF($B884&lt;6,Input!$C$60,0%)))</f>
        <v>0</v>
      </c>
      <c r="Q884" s="162">
        <f>IF($E884="","",Input!$C$58)</f>
        <v>2.5</v>
      </c>
      <c r="R884" s="156">
        <f t="shared" si="285"/>
        <v>0.82556222120974387</v>
      </c>
      <c r="S884" s="154">
        <f t="shared" si="274"/>
        <v>1.1172677768303224E-13</v>
      </c>
      <c r="T884" s="152"/>
      <c r="U884" s="150">
        <f t="shared" si="286"/>
        <v>0</v>
      </c>
      <c r="V884" s="150">
        <f t="shared" si="287"/>
        <v>0</v>
      </c>
      <c r="W884" s="168">
        <f t="shared" si="288"/>
        <v>0</v>
      </c>
      <c r="X884" s="163">
        <f t="shared" si="275"/>
        <v>17443.777879025612</v>
      </c>
      <c r="Y884" s="152"/>
      <c r="Z884" s="164">
        <f>IF(AND($C883=12,$D883=Input!$C$6),0,IF($E884="","",V884+Z885/(1+L884)*R884))</f>
        <v>15797.46983563434</v>
      </c>
      <c r="AA884" s="164">
        <f>IF(OR($M884=1,AND($C883=12,$D883=Input!$C$6)),0,IF($E884="","",W884+(X884+AA885*$R884)/(1+$L884)))</f>
        <v>95221.514406108137</v>
      </c>
      <c r="AB884" s="160">
        <f t="shared" si="276"/>
        <v>0.825720328500681</v>
      </c>
      <c r="AC884" s="164">
        <f t="shared" si="277"/>
        <v>0</v>
      </c>
      <c r="AD884" s="164">
        <f>IF(AND($C883=12,$D883=Input!$C$6),0,IF($E884="","",$AC884+AD885/(1+$L884)*$R884))</f>
        <v>13044.291982159586</v>
      </c>
      <c r="AE884" s="152"/>
      <c r="AF884" s="164">
        <f>IF(AND($C883=12,$D883=Input!$C$6),0,IF($E884="","",IF($B884&gt;Input!$C$9,$AC884,0)+AF885/(1+$L884)*$R884))</f>
        <v>13044.291982159586</v>
      </c>
      <c r="AG884" s="164">
        <f>IF(AND($C883=12,$D883=Input!$C$6),0,IF($E884="","",(IF($B884&gt;Input!$C$9,$X884,0)+AG885)/(1+$L884)*$R884))</f>
        <v>77593.929747434478</v>
      </c>
      <c r="AH884" s="160">
        <f t="shared" si="278"/>
        <v>2.0950137211446997</v>
      </c>
      <c r="AI884" s="160">
        <f>IF($E884="","",MIN(Input!$C$61/AH884,1))</f>
        <v>0.64438718771845094</v>
      </c>
      <c r="AJ884" s="152"/>
      <c r="AK884" s="164">
        <f>IF(AND($C883=12,$D883=Input!$C$6),0,IF($E884="","",IF($B884&gt;Input!$C$9,$AC884*AI884,0)+AK885/(1+$L884)*$R884))</f>
        <v>8405.5746261621534</v>
      </c>
      <c r="AL884" s="164">
        <f>IF(AND($C883=12,$D883=Input!$C$6),0,IF($E884="","",IF($B884&gt;Input!$C$9,0,$AC884)+AL885/(1+$L884)*$R884))</f>
        <v>0</v>
      </c>
      <c r="AM884" s="160">
        <f t="shared" si="279"/>
        <v>1.1382936520186004</v>
      </c>
      <c r="AN884" s="164">
        <f>IF($E884="","",IF($B884&gt;Input!$C$9,$AI884*$AC884,$AM884*$AC884))</f>
        <v>0</v>
      </c>
      <c r="AO884" s="164">
        <f>IF(AND($C883=12,$D883=Input!$C$6),0,IF($E884="","",$AN884+AO885/(1+$L884)*$R884))</f>
        <v>8405.5746261621534</v>
      </c>
      <c r="AP884" s="152"/>
      <c r="AQ884" s="164">
        <f t="shared" si="280"/>
        <v>86815.939779945984</v>
      </c>
      <c r="AR884" s="164">
        <f t="shared" si="289"/>
        <v>70843.061753200745</v>
      </c>
      <c r="AS884" s="164">
        <f t="shared" si="290"/>
        <v>43051.196172248805</v>
      </c>
      <c r="AT884" s="164">
        <f t="shared" si="281"/>
        <v>70843.061753200745</v>
      </c>
      <c r="AU884" s="152"/>
      <c r="AV884" s="147">
        <f>'Deterministic Reserve'!BC884</f>
        <v>4.427529306498366E-19</v>
      </c>
      <c r="AW884" s="164">
        <f t="shared" si="282"/>
        <v>70843.061753200745</v>
      </c>
      <c r="AX884" s="164">
        <f t="shared" si="283"/>
        <v>3.1365973207436979E-14</v>
      </c>
      <c r="AY884" s="152"/>
    </row>
    <row r="885" spans="1:51" s="150" customFormat="1" x14ac:dyDescent="0.25">
      <c r="A885" s="150">
        <f t="shared" si="291"/>
        <v>881</v>
      </c>
      <c r="B885" s="150">
        <f t="shared" si="292"/>
        <v>74</v>
      </c>
      <c r="C885" s="150">
        <f t="shared" si="293"/>
        <v>5</v>
      </c>
      <c r="D885" s="150">
        <f>IF(E885="","",Input!$C$4+B885-1)</f>
        <v>118</v>
      </c>
      <c r="E885" s="150">
        <f>IF(OR(AND(C884=12,D884=Input!$C$6),E884=""),"",1)</f>
        <v>1</v>
      </c>
      <c r="F885" s="150">
        <f>IF(E885="","",Input!$C$8+B885-1)</f>
        <v>2091</v>
      </c>
      <c r="G885" s="151">
        <f>IF(E885="","",MAX(0,Input!$C$9-B885))</f>
        <v>0</v>
      </c>
      <c r="H885" s="152">
        <f>IF(E885="","",Input!$C$3)</f>
        <v>100000</v>
      </c>
      <c r="I885" s="153">
        <f>IF(E885="","",HLOOKUP($B885,Input!$C$13:$BT$14,2))</f>
        <v>1000</v>
      </c>
      <c r="J885" s="154"/>
      <c r="K885" s="155">
        <f>IF($E885="","",Input!$C$57)</f>
        <v>4.4999999999999998E-2</v>
      </c>
      <c r="L885" s="155">
        <f t="shared" si="284"/>
        <v>3.6748094004368514E-3</v>
      </c>
      <c r="M885" s="147">
        <f>IF($E885="","",VLOOKUP(IF($B885&lt;=Input!$C$7,$B885,26),'Mortality Tables'!$A$72:$CA$97,IF($B885&lt;=Input!$C$7+1,Input!$C$4-16,$D885-Input!$C$7-16),0)/1000)</f>
        <v>0.89976999999999996</v>
      </c>
      <c r="N885" s="147">
        <f t="shared" si="273"/>
        <v>0.17443777879025613</v>
      </c>
      <c r="O885" s="157">
        <f>IF($E885="","",IF($C885=12,IF($B885&lt;Input!$C$9,Input!$C$54,IF($B885=Input!$C$9,Input!$C$55,Input!$C$56)),0%))</f>
        <v>0</v>
      </c>
      <c r="P885" s="167">
        <f>IF($E885="","",IF($B885=1,Input!$C$59,IF($B885&lt;6,Input!$C$60,0%)))</f>
        <v>0</v>
      </c>
      <c r="Q885" s="162">
        <f>IF($E885="","",Input!$C$58)</f>
        <v>2.5</v>
      </c>
      <c r="R885" s="156">
        <f t="shared" si="285"/>
        <v>0.82556222120974387</v>
      </c>
      <c r="S885" s="154">
        <f t="shared" si="274"/>
        <v>9.2237406752611339E-14</v>
      </c>
      <c r="T885" s="152"/>
      <c r="U885" s="150">
        <f t="shared" si="286"/>
        <v>0</v>
      </c>
      <c r="V885" s="150">
        <f t="shared" si="287"/>
        <v>0</v>
      </c>
      <c r="W885" s="168">
        <f t="shared" si="288"/>
        <v>0</v>
      </c>
      <c r="X885" s="163">
        <f t="shared" si="275"/>
        <v>17443.777879025612</v>
      </c>
      <c r="Y885" s="152"/>
      <c r="Z885" s="164">
        <f>IF(AND($C884=12,$D884=Input!$C$6),0,IF($E885="","",V885+Z886/(1+L885)*R885))</f>
        <v>19205.72685975799</v>
      </c>
      <c r="AA885" s="164">
        <f>IF(OR($M885=1,AND($C884=12,$D884=Input!$C$6)),0,IF($E885="","",W885+(X885+AA886*$R885)/(1+$L885)))</f>
        <v>94635.698480559062</v>
      </c>
      <c r="AB885" s="160">
        <f t="shared" si="276"/>
        <v>0.825720328500681</v>
      </c>
      <c r="AC885" s="164">
        <f t="shared" si="277"/>
        <v>0</v>
      </c>
      <c r="AD885" s="164">
        <f>IF(AND($C884=12,$D884=Input!$C$6),0,IF($E885="","",$AC885+AD886/(1+$L885)*$R885))</f>
        <v>15858.559091733719</v>
      </c>
      <c r="AE885" s="152"/>
      <c r="AF885" s="164">
        <f>IF(AND($C884=12,$D884=Input!$C$6),0,IF($E885="","",IF($B885&gt;Input!$C$9,$AC885,0)+AF886/(1+$L885)*$R885))</f>
        <v>15858.559091733719</v>
      </c>
      <c r="AG885" s="164">
        <f>IF(AND($C884=12,$D884=Input!$C$6),0,IF($E885="","",(IF($B885&gt;Input!$C$9,$X885,0)+AG886)/(1+$L885)*$R885))</f>
        <v>76890.810900686818</v>
      </c>
      <c r="AH885" s="160">
        <f t="shared" si="278"/>
        <v>2.0950137211446997</v>
      </c>
      <c r="AI885" s="160">
        <f>IF($E885="","",MIN(Input!$C$61/AH885,1))</f>
        <v>0.64438718771845094</v>
      </c>
      <c r="AJ885" s="152"/>
      <c r="AK885" s="164">
        <f>IF(AND($C884=12,$D884=Input!$C$6),0,IF($E885="","",IF($B885&gt;Input!$C$9,$AC885*AI885,0)+AK886/(1+$L885)*$R885))</f>
        <v>10219.052294389165</v>
      </c>
      <c r="AL885" s="164">
        <f>IF(AND($C884=12,$D884=Input!$C$6),0,IF($E885="","",IF($B885&gt;Input!$C$9,0,$AC885)+AL886/(1+$L885)*$R885))</f>
        <v>0</v>
      </c>
      <c r="AM885" s="160">
        <f t="shared" si="279"/>
        <v>1.1382936520186004</v>
      </c>
      <c r="AN885" s="164">
        <f>IF($E885="","",IF($B885&gt;Input!$C$9,$AI885*$AC885,$AM885*$AC885))</f>
        <v>0</v>
      </c>
      <c r="AO885" s="164">
        <f>IF(AND($C884=12,$D884=Input!$C$6),0,IF($E885="","",$AN885+AO886/(1+$L885)*$R885))</f>
        <v>10219.052294389165</v>
      </c>
      <c r="AP885" s="152"/>
      <c r="AQ885" s="164">
        <f t="shared" si="280"/>
        <v>84416.646186169892</v>
      </c>
      <c r="AR885" s="164">
        <f t="shared" si="289"/>
        <v>70843.061753200745</v>
      </c>
      <c r="AS885" s="164">
        <f t="shared" si="290"/>
        <v>43051.196172248805</v>
      </c>
      <c r="AT885" s="164">
        <f t="shared" si="281"/>
        <v>70843.061753200745</v>
      </c>
      <c r="AU885" s="152"/>
      <c r="AV885" s="147">
        <f>'Deterministic Reserve'!BC885</f>
        <v>4.0119613218487482E-19</v>
      </c>
      <c r="AW885" s="164">
        <f t="shared" si="282"/>
        <v>70843.061753200745</v>
      </c>
      <c r="AX885" s="164">
        <f t="shared" si="283"/>
        <v>2.8421962367518375E-14</v>
      </c>
      <c r="AY885" s="152"/>
    </row>
    <row r="886" spans="1:51" s="150" customFormat="1" x14ac:dyDescent="0.25">
      <c r="A886" s="150">
        <f t="shared" si="291"/>
        <v>882</v>
      </c>
      <c r="B886" s="150">
        <f t="shared" si="292"/>
        <v>74</v>
      </c>
      <c r="C886" s="150">
        <f t="shared" si="293"/>
        <v>6</v>
      </c>
      <c r="D886" s="150">
        <f>IF(E886="","",Input!$C$4+B886-1)</f>
        <v>118</v>
      </c>
      <c r="E886" s="150">
        <f>IF(OR(AND(C885=12,D885=Input!$C$6),E885=""),"",1)</f>
        <v>1</v>
      </c>
      <c r="F886" s="150">
        <f>IF(E886="","",Input!$C$8+B886-1)</f>
        <v>2091</v>
      </c>
      <c r="G886" s="151">
        <f>IF(E886="","",MAX(0,Input!$C$9-B886))</f>
        <v>0</v>
      </c>
      <c r="H886" s="152">
        <f>IF(E886="","",Input!$C$3)</f>
        <v>100000</v>
      </c>
      <c r="I886" s="153">
        <f>IF(E886="","",HLOOKUP($B886,Input!$C$13:$BT$14,2))</f>
        <v>1000</v>
      </c>
      <c r="J886" s="154"/>
      <c r="K886" s="155">
        <f>IF($E886="","",Input!$C$57)</f>
        <v>4.4999999999999998E-2</v>
      </c>
      <c r="L886" s="155">
        <f t="shared" si="284"/>
        <v>3.6748094004368514E-3</v>
      </c>
      <c r="M886" s="147">
        <f>IF($E886="","",VLOOKUP(IF($B886&lt;=Input!$C$7,$B886,26),'Mortality Tables'!$A$72:$CA$97,IF($B886&lt;=Input!$C$7+1,Input!$C$4-16,$D886-Input!$C$7-16),0)/1000)</f>
        <v>0.89976999999999996</v>
      </c>
      <c r="N886" s="147">
        <f t="shared" si="273"/>
        <v>0.17443777879025613</v>
      </c>
      <c r="O886" s="157">
        <f>IF($E886="","",IF($C886=12,IF($B886&lt;Input!$C$9,Input!$C$54,IF($B886=Input!$C$9,Input!$C$55,Input!$C$56)),0%))</f>
        <v>0</v>
      </c>
      <c r="P886" s="167">
        <f>IF($E886="","",IF($B886=1,Input!$C$59,IF($B886&lt;6,Input!$C$60,0%)))</f>
        <v>0</v>
      </c>
      <c r="Q886" s="162">
        <f>IF($E886="","",Input!$C$58)</f>
        <v>2.5</v>
      </c>
      <c r="R886" s="156">
        <f t="shared" si="285"/>
        <v>0.82556222120974387</v>
      </c>
      <c r="S886" s="154">
        <f t="shared" si="274"/>
        <v>7.6147718397312449E-14</v>
      </c>
      <c r="T886" s="152"/>
      <c r="U886" s="150">
        <f t="shared" si="286"/>
        <v>0</v>
      </c>
      <c r="V886" s="150">
        <f t="shared" si="287"/>
        <v>0</v>
      </c>
      <c r="W886" s="168">
        <f t="shared" si="288"/>
        <v>0</v>
      </c>
      <c r="X886" s="163">
        <f t="shared" si="275"/>
        <v>17443.777879025612</v>
      </c>
      <c r="Y886" s="152"/>
      <c r="Z886" s="164">
        <f>IF(AND($C885=12,$D885=Input!$C$6),0,IF($E886="","",V886+Z887/(1+L886)*R886))</f>
        <v>23349.305176680409</v>
      </c>
      <c r="AA886" s="164">
        <f>IF(OR($M886=1,AND($C885=12,$D885=Input!$C$6)),0,IF($E886="","",W886+(X886+AA887*$R886)/(1+$L886)))</f>
        <v>93923.494515414408</v>
      </c>
      <c r="AB886" s="160">
        <f t="shared" si="276"/>
        <v>0.825720328500681</v>
      </c>
      <c r="AC886" s="164">
        <f t="shared" si="277"/>
        <v>0</v>
      </c>
      <c r="AD886" s="164">
        <f>IF(AND($C885=12,$D885=Input!$C$6),0,IF($E886="","",$AC886+AD887/(1+$L886)*$R886))</f>
        <v>19279.9959407512</v>
      </c>
      <c r="AE886" s="152"/>
      <c r="AF886" s="164">
        <f>IF(AND($C885=12,$D885=Input!$C$6),0,IF($E886="","",IF($B886&gt;Input!$C$9,$AC886,0)+AF887/(1+$L886)*$R886))</f>
        <v>19279.9959407512</v>
      </c>
      <c r="AG886" s="164">
        <f>IF(AND($C885=12,$D885=Input!$C$6),0,IF($E886="","",(IF($B886&gt;Input!$C$9,$X886,0)+AG887)/(1+$L886)*$R886))</f>
        <v>76035.996258779895</v>
      </c>
      <c r="AH886" s="160">
        <f t="shared" si="278"/>
        <v>2.0950137211446997</v>
      </c>
      <c r="AI886" s="160">
        <f>IF($E886="","",MIN(Input!$C$61/AH886,1))</f>
        <v>0.64438718771845094</v>
      </c>
      <c r="AJ886" s="152"/>
      <c r="AK886" s="164">
        <f>IF(AND($C885=12,$D885=Input!$C$6),0,IF($E886="","",IF($B886&gt;Input!$C$9,$AC886*AI886,0)+AK887/(1+$L886)*$R886))</f>
        <v>12423.782363483819</v>
      </c>
      <c r="AL886" s="164">
        <f>IF(AND($C885=12,$D885=Input!$C$6),0,IF($E886="","",IF($B886&gt;Input!$C$9,0,$AC886)+AL887/(1+$L886)*$R886))</f>
        <v>0</v>
      </c>
      <c r="AM886" s="160">
        <f t="shared" si="279"/>
        <v>1.1382936520186004</v>
      </c>
      <c r="AN886" s="164">
        <f>IF($E886="","",IF($B886&gt;Input!$C$9,$AI886*$AC886,$AM886*$AC886))</f>
        <v>0</v>
      </c>
      <c r="AO886" s="164">
        <f>IF(AND($C885=12,$D885=Input!$C$6),0,IF($E886="","",$AN886+AO887/(1+$L886)*$R886))</f>
        <v>12423.782363483819</v>
      </c>
      <c r="AP886" s="152"/>
      <c r="AQ886" s="164">
        <f t="shared" si="280"/>
        <v>81499.712151930595</v>
      </c>
      <c r="AR886" s="164">
        <f t="shared" si="289"/>
        <v>70843.061753200745</v>
      </c>
      <c r="AS886" s="164">
        <f t="shared" si="290"/>
        <v>43051.196172248805</v>
      </c>
      <c r="AT886" s="164">
        <f t="shared" si="281"/>
        <v>70843.061753200745</v>
      </c>
      <c r="AU886" s="152"/>
      <c r="AV886" s="147">
        <f>'Deterministic Reserve'!BC886</f>
        <v>3.6353985561171112E-19</v>
      </c>
      <c r="AW886" s="164">
        <f t="shared" si="282"/>
        <v>70843.061753200745</v>
      </c>
      <c r="AX886" s="164">
        <f t="shared" si="283"/>
        <v>2.5754276440850134E-14</v>
      </c>
      <c r="AY886" s="152"/>
    </row>
    <row r="887" spans="1:51" s="150" customFormat="1" x14ac:dyDescent="0.25">
      <c r="A887" s="150">
        <f t="shared" si="291"/>
        <v>883</v>
      </c>
      <c r="B887" s="150">
        <f t="shared" si="292"/>
        <v>74</v>
      </c>
      <c r="C887" s="150">
        <f t="shared" si="293"/>
        <v>7</v>
      </c>
      <c r="D887" s="150">
        <f>IF(E887="","",Input!$C$4+B887-1)</f>
        <v>118</v>
      </c>
      <c r="E887" s="150">
        <f>IF(OR(AND(C886=12,D886=Input!$C$6),E886=""),"",1)</f>
        <v>1</v>
      </c>
      <c r="F887" s="150">
        <f>IF(E887="","",Input!$C$8+B887-1)</f>
        <v>2091</v>
      </c>
      <c r="G887" s="151">
        <f>IF(E887="","",MAX(0,Input!$C$9-B887))</f>
        <v>0</v>
      </c>
      <c r="H887" s="152">
        <f>IF(E887="","",Input!$C$3)</f>
        <v>100000</v>
      </c>
      <c r="I887" s="153">
        <f>IF(E887="","",HLOOKUP($B887,Input!$C$13:$BT$14,2))</f>
        <v>1000</v>
      </c>
      <c r="J887" s="154"/>
      <c r="K887" s="155">
        <f>IF($E887="","",Input!$C$57)</f>
        <v>4.4999999999999998E-2</v>
      </c>
      <c r="L887" s="155">
        <f t="shared" si="284"/>
        <v>3.6748094004368514E-3</v>
      </c>
      <c r="M887" s="147">
        <f>IF($E887="","",VLOOKUP(IF($B887&lt;=Input!$C$7,$B887,26),'Mortality Tables'!$A$72:$CA$97,IF($B887&lt;=Input!$C$7+1,Input!$C$4-16,$D887-Input!$C$7-16),0)/1000)</f>
        <v>0.89976999999999996</v>
      </c>
      <c r="N887" s="147">
        <f t="shared" si="273"/>
        <v>0.17443777879025613</v>
      </c>
      <c r="O887" s="157">
        <f>IF($E887="","",IF($C887=12,IF($B887&lt;Input!$C$9,Input!$C$54,IF($B887=Input!$C$9,Input!$C$55,Input!$C$56)),0%))</f>
        <v>0</v>
      </c>
      <c r="P887" s="167">
        <f>IF($E887="","",IF($B887=1,Input!$C$59,IF($B887&lt;6,Input!$C$60,0%)))</f>
        <v>0</v>
      </c>
      <c r="Q887" s="162">
        <f>IF($E887="","",Input!$C$58)</f>
        <v>2.5</v>
      </c>
      <c r="R887" s="156">
        <f t="shared" si="285"/>
        <v>0.82556222120974387</v>
      </c>
      <c r="S887" s="154">
        <f t="shared" si="274"/>
        <v>6.2864679540139341E-14</v>
      </c>
      <c r="T887" s="152"/>
      <c r="U887" s="150">
        <f t="shared" si="286"/>
        <v>0</v>
      </c>
      <c r="V887" s="150">
        <f t="shared" si="287"/>
        <v>0</v>
      </c>
      <c r="W887" s="168">
        <f t="shared" si="288"/>
        <v>0</v>
      </c>
      <c r="X887" s="163">
        <f t="shared" si="275"/>
        <v>17443.777879025612</v>
      </c>
      <c r="Y887" s="152"/>
      <c r="Z887" s="164">
        <f>IF(AND($C886=12,$D886=Input!$C$6),0,IF($E887="","",V887+Z888/(1+L887)*R887))</f>
        <v>28386.848163299583</v>
      </c>
      <c r="AA887" s="164">
        <f>IF(OR($M887=1,AND($C886=12,$D886=Input!$C$6)),0,IF($E887="","",W887+(X887+AA888*$R887)/(1+$L887)))</f>
        <v>93057.63466789943</v>
      </c>
      <c r="AB887" s="160">
        <f t="shared" si="276"/>
        <v>0.825720328500681</v>
      </c>
      <c r="AC887" s="164">
        <f t="shared" si="277"/>
        <v>0</v>
      </c>
      <c r="AD887" s="164">
        <f>IF(AND($C886=12,$D886=Input!$C$6),0,IF($E887="","",$AC887+AD888/(1+$L887)*$R887))</f>
        <v>23439.597590498688</v>
      </c>
      <c r="AE887" s="152"/>
      <c r="AF887" s="164">
        <f>IF(AND($C886=12,$D886=Input!$C$6),0,IF($E887="","",IF($B887&gt;Input!$C$9,$AC887,0)+AF888/(1+$L887)*$R887))</f>
        <v>23439.597590498688</v>
      </c>
      <c r="AG887" s="164">
        <f>IF(AND($C886=12,$D886=Input!$C$6),0,IF($E887="","",(IF($B887&gt;Input!$C$9,$X887,0)+AG888)/(1+$L887)*$R887))</f>
        <v>74996.757906119528</v>
      </c>
      <c r="AH887" s="160">
        <f t="shared" si="278"/>
        <v>2.0950137211446997</v>
      </c>
      <c r="AI887" s="160">
        <f>IF($E887="","",MIN(Input!$C$61/AH887,1))</f>
        <v>0.64438718771845094</v>
      </c>
      <c r="AJ887" s="152"/>
      <c r="AK887" s="164">
        <f>IF(AND($C886=12,$D886=Input!$C$6),0,IF($E887="","",IF($B887&gt;Input!$C$9,$AC887*AI887,0)+AK888/(1+$L887)*$R887))</f>
        <v>15104.176372593631</v>
      </c>
      <c r="AL887" s="164">
        <f>IF(AND($C886=12,$D886=Input!$C$6),0,IF($E887="","",IF($B887&gt;Input!$C$9,0,$AC887)+AL888/(1+$L887)*$R887))</f>
        <v>0</v>
      </c>
      <c r="AM887" s="160">
        <f t="shared" si="279"/>
        <v>1.1382936520186004</v>
      </c>
      <c r="AN887" s="164">
        <f>IF($E887="","",IF($B887&gt;Input!$C$9,$AI887*$AC887,$AM887*$AC887))</f>
        <v>0</v>
      </c>
      <c r="AO887" s="164">
        <f>IF(AND($C886=12,$D886=Input!$C$6),0,IF($E887="","",$AN887+AO888/(1+$L887)*$R887))</f>
        <v>15104.176372593631</v>
      </c>
      <c r="AP887" s="152"/>
      <c r="AQ887" s="164">
        <f t="shared" si="280"/>
        <v>77953.458295305798</v>
      </c>
      <c r="AR887" s="164">
        <f t="shared" si="289"/>
        <v>70843.061753200745</v>
      </c>
      <c r="AS887" s="164">
        <f t="shared" si="290"/>
        <v>43051.196172248805</v>
      </c>
      <c r="AT887" s="164">
        <f t="shared" si="281"/>
        <v>70843.061753200745</v>
      </c>
      <c r="AU887" s="152"/>
      <c r="AV887" s="147">
        <f>'Deterministic Reserve'!BC887</f>
        <v>3.2941799787163121E-19</v>
      </c>
      <c r="AW887" s="164">
        <f t="shared" si="282"/>
        <v>70843.061753200745</v>
      </c>
      <c r="AX887" s="164">
        <f t="shared" si="283"/>
        <v>2.3336979565835721E-14</v>
      </c>
      <c r="AY887" s="152"/>
    </row>
    <row r="888" spans="1:51" s="150" customFormat="1" x14ac:dyDescent="0.25">
      <c r="A888" s="150">
        <f t="shared" si="291"/>
        <v>884</v>
      </c>
      <c r="B888" s="150">
        <f t="shared" si="292"/>
        <v>74</v>
      </c>
      <c r="C888" s="150">
        <f t="shared" si="293"/>
        <v>8</v>
      </c>
      <c r="D888" s="150">
        <f>IF(E888="","",Input!$C$4+B888-1)</f>
        <v>118</v>
      </c>
      <c r="E888" s="150">
        <f>IF(OR(AND(C887=12,D887=Input!$C$6),E887=""),"",1)</f>
        <v>1</v>
      </c>
      <c r="F888" s="150">
        <f>IF(E888="","",Input!$C$8+B888-1)</f>
        <v>2091</v>
      </c>
      <c r="G888" s="151">
        <f>IF(E888="","",MAX(0,Input!$C$9-B888))</f>
        <v>0</v>
      </c>
      <c r="H888" s="152">
        <f>IF(E888="","",Input!$C$3)</f>
        <v>100000</v>
      </c>
      <c r="I888" s="153">
        <f>IF(E888="","",HLOOKUP($B888,Input!$C$13:$BT$14,2))</f>
        <v>1000</v>
      </c>
      <c r="J888" s="154"/>
      <c r="K888" s="155">
        <f>IF($E888="","",Input!$C$57)</f>
        <v>4.4999999999999998E-2</v>
      </c>
      <c r="L888" s="155">
        <f t="shared" si="284"/>
        <v>3.6748094004368514E-3</v>
      </c>
      <c r="M888" s="147">
        <f>IF($E888="","",VLOOKUP(IF($B888&lt;=Input!$C$7,$B888,26),'Mortality Tables'!$A$72:$CA$97,IF($B888&lt;=Input!$C$7+1,Input!$C$4-16,$D888-Input!$C$7-16),0)/1000)</f>
        <v>0.89976999999999996</v>
      </c>
      <c r="N888" s="147">
        <f t="shared" si="273"/>
        <v>0.17443777879025613</v>
      </c>
      <c r="O888" s="157">
        <f>IF($E888="","",IF($C888=12,IF($B888&lt;Input!$C$9,Input!$C$54,IF($B888=Input!$C$9,Input!$C$55,Input!$C$56)),0%))</f>
        <v>0</v>
      </c>
      <c r="P888" s="167">
        <f>IF($E888="","",IF($B888=1,Input!$C$59,IF($B888&lt;6,Input!$C$60,0%)))</f>
        <v>0</v>
      </c>
      <c r="Q888" s="162">
        <f>IF($E888="","",Input!$C$58)</f>
        <v>2.5</v>
      </c>
      <c r="R888" s="156">
        <f t="shared" si="285"/>
        <v>0.82556222120974387</v>
      </c>
      <c r="S888" s="154">
        <f t="shared" si="274"/>
        <v>5.1898704476796175E-14</v>
      </c>
      <c r="T888" s="152"/>
      <c r="U888" s="150">
        <f t="shared" si="286"/>
        <v>0</v>
      </c>
      <c r="V888" s="150">
        <f t="shared" si="287"/>
        <v>0</v>
      </c>
      <c r="W888" s="168">
        <f t="shared" si="288"/>
        <v>0</v>
      </c>
      <c r="X888" s="163">
        <f t="shared" si="275"/>
        <v>17443.777879025612</v>
      </c>
      <c r="Y888" s="152"/>
      <c r="Z888" s="164">
        <f>IF(AND($C887=12,$D887=Input!$C$6),0,IF($E888="","",V888+Z889/(1+L888)*R888))</f>
        <v>34511.226032156737</v>
      </c>
      <c r="AA888" s="164">
        <f>IF(OR($M888=1,AND($C887=12,$D887=Input!$C$6)),0,IF($E888="","",W888+(X888+AA889*$R888)/(1+$L888)))</f>
        <v>92004.968139447301</v>
      </c>
      <c r="AB888" s="160">
        <f t="shared" si="276"/>
        <v>0.825720328500681</v>
      </c>
      <c r="AC888" s="164">
        <f t="shared" si="277"/>
        <v>0</v>
      </c>
      <c r="AD888" s="164">
        <f>IF(AND($C887=12,$D887=Input!$C$6),0,IF($E888="","",$AC888+AD889/(1+$L888)*$R888))</f>
        <v>28496.620896233719</v>
      </c>
      <c r="AE888" s="152"/>
      <c r="AF888" s="164">
        <f>IF(AND($C887=12,$D887=Input!$C$6),0,IF($E888="","",IF($B888&gt;Input!$C$9,$AC888,0)+AF889/(1+$L888)*$R888))</f>
        <v>28496.620896233719</v>
      </c>
      <c r="AG888" s="164">
        <f>IF(AND($C887=12,$D887=Input!$C$6),0,IF($E888="","",(IF($B888&gt;Input!$C$9,$X888,0)+AG889)/(1+$L888)*$R888))</f>
        <v>73733.306976885433</v>
      </c>
      <c r="AH888" s="160">
        <f t="shared" si="278"/>
        <v>2.0950137211446997</v>
      </c>
      <c r="AI888" s="160">
        <f>IF($E888="","",MIN(Input!$C$61/AH888,1))</f>
        <v>0.64438718771845094</v>
      </c>
      <c r="AJ888" s="152"/>
      <c r="AK888" s="164">
        <f>IF(AND($C887=12,$D887=Input!$C$6),0,IF($E888="","",IF($B888&gt;Input!$C$9,$AC888*AI888,0)+AK889/(1+$L888)*$R888))</f>
        <v>18362.857398802891</v>
      </c>
      <c r="AL888" s="164">
        <f>IF(AND($C887=12,$D887=Input!$C$6),0,IF($E888="","",IF($B888&gt;Input!$C$9,0,$AC888)+AL889/(1+$L888)*$R888))</f>
        <v>0</v>
      </c>
      <c r="AM888" s="160">
        <f t="shared" si="279"/>
        <v>1.1382936520186004</v>
      </c>
      <c r="AN888" s="164">
        <f>IF($E888="","",IF($B888&gt;Input!$C$9,$AI888*$AC888,$AM888*$AC888))</f>
        <v>0</v>
      </c>
      <c r="AO888" s="164">
        <f>IF(AND($C887=12,$D887=Input!$C$6),0,IF($E888="","",$AN888+AO889/(1+$L888)*$R888))</f>
        <v>18362.857398802891</v>
      </c>
      <c r="AP888" s="152"/>
      <c r="AQ888" s="164">
        <f t="shared" si="280"/>
        <v>73642.110740644406</v>
      </c>
      <c r="AR888" s="164">
        <f t="shared" si="289"/>
        <v>70843.061753200745</v>
      </c>
      <c r="AS888" s="164">
        <f t="shared" si="290"/>
        <v>43051.196172248805</v>
      </c>
      <c r="AT888" s="164">
        <f t="shared" si="281"/>
        <v>70843.061753200745</v>
      </c>
      <c r="AU888" s="152"/>
      <c r="AV888" s="147">
        <f>'Deterministic Reserve'!BC888</f>
        <v>2.9849881834595268E-19</v>
      </c>
      <c r="AW888" s="164">
        <f t="shared" si="282"/>
        <v>70843.061753200745</v>
      </c>
      <c r="AX888" s="164">
        <f t="shared" si="283"/>
        <v>2.1146570221339778E-14</v>
      </c>
      <c r="AY888" s="152"/>
    </row>
    <row r="889" spans="1:51" s="150" customFormat="1" x14ac:dyDescent="0.25">
      <c r="A889" s="150">
        <f t="shared" si="291"/>
        <v>885</v>
      </c>
      <c r="B889" s="150">
        <f t="shared" si="292"/>
        <v>74</v>
      </c>
      <c r="C889" s="150">
        <f t="shared" si="293"/>
        <v>9</v>
      </c>
      <c r="D889" s="150">
        <f>IF(E889="","",Input!$C$4+B889-1)</f>
        <v>118</v>
      </c>
      <c r="E889" s="150">
        <f>IF(OR(AND(C888=12,D888=Input!$C$6),E888=""),"",1)</f>
        <v>1</v>
      </c>
      <c r="F889" s="150">
        <f>IF(E889="","",Input!$C$8+B889-1)</f>
        <v>2091</v>
      </c>
      <c r="G889" s="151">
        <f>IF(E889="","",MAX(0,Input!$C$9-B889))</f>
        <v>0</v>
      </c>
      <c r="H889" s="152">
        <f>IF(E889="","",Input!$C$3)</f>
        <v>100000</v>
      </c>
      <c r="I889" s="153">
        <f>IF(E889="","",HLOOKUP($B889,Input!$C$13:$BT$14,2))</f>
        <v>1000</v>
      </c>
      <c r="J889" s="154"/>
      <c r="K889" s="155">
        <f>IF($E889="","",Input!$C$57)</f>
        <v>4.4999999999999998E-2</v>
      </c>
      <c r="L889" s="155">
        <f t="shared" si="284"/>
        <v>3.6748094004368514E-3</v>
      </c>
      <c r="M889" s="147">
        <f>IF($E889="","",VLOOKUP(IF($B889&lt;=Input!$C$7,$B889,26),'Mortality Tables'!$A$72:$CA$97,IF($B889&lt;=Input!$C$7+1,Input!$C$4-16,$D889-Input!$C$7-16),0)/1000)</f>
        <v>0.89976999999999996</v>
      </c>
      <c r="N889" s="147">
        <f t="shared" si="273"/>
        <v>0.17443777879025613</v>
      </c>
      <c r="O889" s="157">
        <f>IF($E889="","",IF($C889=12,IF($B889&lt;Input!$C$9,Input!$C$54,IF($B889=Input!$C$9,Input!$C$55,Input!$C$56)),0%))</f>
        <v>0</v>
      </c>
      <c r="P889" s="167">
        <f>IF($E889="","",IF($B889=1,Input!$C$59,IF($B889&lt;6,Input!$C$60,0%)))</f>
        <v>0</v>
      </c>
      <c r="Q889" s="162">
        <f>IF($E889="","",Input!$C$58)</f>
        <v>2.5</v>
      </c>
      <c r="R889" s="156">
        <f t="shared" si="285"/>
        <v>0.82556222120974387</v>
      </c>
      <c r="S889" s="154">
        <f t="shared" si="274"/>
        <v>4.2845609745771931E-14</v>
      </c>
      <c r="T889" s="152"/>
      <c r="U889" s="150">
        <f t="shared" si="286"/>
        <v>0</v>
      </c>
      <c r="V889" s="150">
        <f t="shared" si="287"/>
        <v>0</v>
      </c>
      <c r="W889" s="168">
        <f t="shared" si="288"/>
        <v>0</v>
      </c>
      <c r="X889" s="163">
        <f t="shared" si="275"/>
        <v>17443.777879025612</v>
      </c>
      <c r="Y889" s="152"/>
      <c r="Z889" s="164">
        <f>IF(AND($C888=12,$D888=Input!$C$6),0,IF($E889="","",V889+Z890/(1+L889)*R889))</f>
        <v>41956.920169194731</v>
      </c>
      <c r="AA889" s="164">
        <f>IF(OR($M889=1,AND($C888=12,$D888=Input!$C$6)),0,IF($E889="","",W889+(X889+AA890*$R889)/(1+$L889)))</f>
        <v>90725.191945524319</v>
      </c>
      <c r="AB889" s="160">
        <f t="shared" si="276"/>
        <v>0.825720328500681</v>
      </c>
      <c r="AC889" s="164">
        <f t="shared" si="277"/>
        <v>0</v>
      </c>
      <c r="AD889" s="164">
        <f>IF(AND($C888=12,$D888=Input!$C$6),0,IF($E889="","",$AC889+AD890/(1+$L889)*$R889))</f>
        <v>34644.681904984333</v>
      </c>
      <c r="AE889" s="152"/>
      <c r="AF889" s="164">
        <f>IF(AND($C888=12,$D888=Input!$C$6),0,IF($E889="","",IF($B889&gt;Input!$C$9,$AC889,0)+AF890/(1+$L889)*$R889))</f>
        <v>34644.681904984333</v>
      </c>
      <c r="AG889" s="164">
        <f>IF(AND($C888=12,$D888=Input!$C$6),0,IF($E889="","",(IF($B889&gt;Input!$C$9,$X889,0)+AG890)/(1+$L889)*$R889))</f>
        <v>72197.270276068826</v>
      </c>
      <c r="AH889" s="160">
        <f t="shared" si="278"/>
        <v>2.0950137211446997</v>
      </c>
      <c r="AI889" s="160">
        <f>IF($E889="","",MIN(Input!$C$61/AH889,1))</f>
        <v>0.64438718771845094</v>
      </c>
      <c r="AJ889" s="152"/>
      <c r="AK889" s="164">
        <f>IF(AND($C888=12,$D888=Input!$C$6),0,IF($E889="","",IF($B889&gt;Input!$C$9,$AC889*AI889,0)+AK890/(1+$L889)*$R889))</f>
        <v>22324.58914215316</v>
      </c>
      <c r="AL889" s="164">
        <f>IF(AND($C888=12,$D888=Input!$C$6),0,IF($E889="","",IF($B889&gt;Input!$C$9,0,$AC889)+AL890/(1+$L889)*$R889))</f>
        <v>0</v>
      </c>
      <c r="AM889" s="160">
        <f t="shared" si="279"/>
        <v>1.1382936520186004</v>
      </c>
      <c r="AN889" s="164">
        <f>IF($E889="","",IF($B889&gt;Input!$C$9,$AI889*$AC889,$AM889*$AC889))</f>
        <v>0</v>
      </c>
      <c r="AO889" s="164">
        <f>IF(AND($C888=12,$D888=Input!$C$6),0,IF($E889="","",$AN889+AO890/(1+$L889)*$R889))</f>
        <v>22324.58914215316</v>
      </c>
      <c r="AP889" s="152"/>
      <c r="AQ889" s="164">
        <f t="shared" si="280"/>
        <v>68400.602803371163</v>
      </c>
      <c r="AR889" s="164">
        <f t="shared" si="289"/>
        <v>70843.061753200745</v>
      </c>
      <c r="AS889" s="164">
        <f t="shared" si="290"/>
        <v>43051.196172248805</v>
      </c>
      <c r="AT889" s="164">
        <f t="shared" si="281"/>
        <v>70843.061753200745</v>
      </c>
      <c r="AU889" s="152"/>
      <c r="AV889" s="147">
        <f>'Deterministic Reserve'!BC889</f>
        <v>2.7048171359675212E-19</v>
      </c>
      <c r="AW889" s="164">
        <f t="shared" si="282"/>
        <v>70843.061753200745</v>
      </c>
      <c r="AX889" s="164">
        <f t="shared" si="283"/>
        <v>1.9161752739446267E-14</v>
      </c>
      <c r="AY889" s="152"/>
    </row>
    <row r="890" spans="1:51" s="150" customFormat="1" x14ac:dyDescent="0.25">
      <c r="A890" s="150">
        <f t="shared" si="291"/>
        <v>886</v>
      </c>
      <c r="B890" s="150">
        <f t="shared" si="292"/>
        <v>74</v>
      </c>
      <c r="C890" s="150">
        <f t="shared" si="293"/>
        <v>10</v>
      </c>
      <c r="D890" s="150">
        <f>IF(E890="","",Input!$C$4+B890-1)</f>
        <v>118</v>
      </c>
      <c r="E890" s="150">
        <f>IF(OR(AND(C889=12,D889=Input!$C$6),E889=""),"",1)</f>
        <v>1</v>
      </c>
      <c r="F890" s="150">
        <f>IF(E890="","",Input!$C$8+B890-1)</f>
        <v>2091</v>
      </c>
      <c r="G890" s="151">
        <f>IF(E890="","",MAX(0,Input!$C$9-B890))</f>
        <v>0</v>
      </c>
      <c r="H890" s="152">
        <f>IF(E890="","",Input!$C$3)</f>
        <v>100000</v>
      </c>
      <c r="I890" s="153">
        <f>IF(E890="","",HLOOKUP($B890,Input!$C$13:$BT$14,2))</f>
        <v>1000</v>
      </c>
      <c r="J890" s="154"/>
      <c r="K890" s="155">
        <f>IF($E890="","",Input!$C$57)</f>
        <v>4.4999999999999998E-2</v>
      </c>
      <c r="L890" s="155">
        <f t="shared" si="284"/>
        <v>3.6748094004368514E-3</v>
      </c>
      <c r="M890" s="147">
        <f>IF($E890="","",VLOOKUP(IF($B890&lt;=Input!$C$7,$B890,26),'Mortality Tables'!$A$72:$CA$97,IF($B890&lt;=Input!$C$7+1,Input!$C$4-16,$D890-Input!$C$7-16),0)/1000)</f>
        <v>0.89976999999999996</v>
      </c>
      <c r="N890" s="147">
        <f t="shared" si="273"/>
        <v>0.17443777879025613</v>
      </c>
      <c r="O890" s="157">
        <f>IF($E890="","",IF($C890=12,IF($B890&lt;Input!$C$9,Input!$C$54,IF($B890=Input!$C$9,Input!$C$55,Input!$C$56)),0%))</f>
        <v>0</v>
      </c>
      <c r="P890" s="167">
        <f>IF($E890="","",IF($B890=1,Input!$C$59,IF($B890&lt;6,Input!$C$60,0%)))</f>
        <v>0</v>
      </c>
      <c r="Q890" s="162">
        <f>IF($E890="","",Input!$C$58)</f>
        <v>2.5</v>
      </c>
      <c r="R890" s="156">
        <f t="shared" si="285"/>
        <v>0.82556222120974387</v>
      </c>
      <c r="S890" s="154">
        <f t="shared" si="274"/>
        <v>3.5371716750805326E-14</v>
      </c>
      <c r="T890" s="152"/>
      <c r="U890" s="150">
        <f t="shared" si="286"/>
        <v>0</v>
      </c>
      <c r="V890" s="150">
        <f t="shared" si="287"/>
        <v>0</v>
      </c>
      <c r="W890" s="168">
        <f t="shared" si="288"/>
        <v>0</v>
      </c>
      <c r="X890" s="163">
        <f t="shared" si="275"/>
        <v>17443.777879025612</v>
      </c>
      <c r="Y890" s="152"/>
      <c r="Z890" s="164">
        <f>IF(AND($C889=12,$D889=Input!$C$6),0,IF($E890="","",V890+Z891/(1+L890)*R890))</f>
        <v>51009.000620374856</v>
      </c>
      <c r="AA890" s="164">
        <f>IF(OR($M890=1,AND($C889=12,$D889=Input!$C$6)),0,IF($E890="","",W890+(X890+AA891*$R890)/(1+$L890)))</f>
        <v>89169.307852828497</v>
      </c>
      <c r="AB890" s="160">
        <f t="shared" si="276"/>
        <v>0.825720328500681</v>
      </c>
      <c r="AC890" s="164">
        <f t="shared" si="277"/>
        <v>0</v>
      </c>
      <c r="AD890" s="164">
        <f>IF(AND($C889=12,$D889=Input!$C$6),0,IF($E890="","",$AC890+AD891/(1+$L890)*$R890))</f>
        <v>42119.168748747376</v>
      </c>
      <c r="AE890" s="152"/>
      <c r="AF890" s="164">
        <f>IF(AND($C889=12,$D889=Input!$C$6),0,IF($E890="","",IF($B890&gt;Input!$C$9,$AC890,0)+AF891/(1+$L890)*$R890))</f>
        <v>42119.168748747376</v>
      </c>
      <c r="AG890" s="164">
        <f>IF(AND($C889=12,$D889=Input!$C$6),0,IF($E890="","",(IF($B890&gt;Input!$C$9,$X890,0)+AG891)/(1+$L890)*$R890))</f>
        <v>70329.838236040319</v>
      </c>
      <c r="AH890" s="160">
        <f t="shared" si="278"/>
        <v>2.0950137211446997</v>
      </c>
      <c r="AI890" s="160">
        <f>IF($E890="","",MIN(Input!$C$61/AH890,1))</f>
        <v>0.64438718771845094</v>
      </c>
      <c r="AJ890" s="152"/>
      <c r="AK890" s="164">
        <f>IF(AND($C889=12,$D889=Input!$C$6),0,IF($E890="","",IF($B890&gt;Input!$C$9,$AC890*AI890,0)+AK891/(1+$L890)*$R890))</f>
        <v>27141.052699044187</v>
      </c>
      <c r="AL890" s="164">
        <f>IF(AND($C889=12,$D889=Input!$C$6),0,IF($E890="","",IF($B890&gt;Input!$C$9,0,$AC890)+AL891/(1+$L890)*$R890))</f>
        <v>0</v>
      </c>
      <c r="AM890" s="160">
        <f t="shared" si="279"/>
        <v>1.1382936520186004</v>
      </c>
      <c r="AN890" s="164">
        <f>IF($E890="","",IF($B890&gt;Input!$C$9,$AI890*$AC890,$AM890*$AC890))</f>
        <v>0</v>
      </c>
      <c r="AO890" s="164">
        <f>IF(AND($C889=12,$D889=Input!$C$6),0,IF($E890="","",$AN890+AO891/(1+$L890)*$R890))</f>
        <v>27141.052699044187</v>
      </c>
      <c r="AP890" s="152"/>
      <c r="AQ890" s="164">
        <f t="shared" si="280"/>
        <v>62028.25515378431</v>
      </c>
      <c r="AR890" s="164">
        <f t="shared" si="289"/>
        <v>70843.061753200745</v>
      </c>
      <c r="AS890" s="164">
        <f t="shared" si="290"/>
        <v>43051.196172248805</v>
      </c>
      <c r="AT890" s="164">
        <f t="shared" si="281"/>
        <v>70843.061753200745</v>
      </c>
      <c r="AU890" s="152"/>
      <c r="AV890" s="147">
        <f>'Deterministic Reserve'!BC890</f>
        <v>2.4509429483048878E-19</v>
      </c>
      <c r="AW890" s="164">
        <f t="shared" si="282"/>
        <v>70843.061753200745</v>
      </c>
      <c r="AX890" s="164">
        <f t="shared" si="283"/>
        <v>1.7363230264033506E-14</v>
      </c>
      <c r="AY890" s="152"/>
    </row>
    <row r="891" spans="1:51" s="150" customFormat="1" x14ac:dyDescent="0.25">
      <c r="A891" s="150">
        <f t="shared" si="291"/>
        <v>887</v>
      </c>
      <c r="B891" s="150">
        <f t="shared" si="292"/>
        <v>74</v>
      </c>
      <c r="C891" s="150">
        <f t="shared" si="293"/>
        <v>11</v>
      </c>
      <c r="D891" s="150">
        <f>IF(E891="","",Input!$C$4+B891-1)</f>
        <v>118</v>
      </c>
      <c r="E891" s="150">
        <f>IF(OR(AND(C890=12,D890=Input!$C$6),E890=""),"",1)</f>
        <v>1</v>
      </c>
      <c r="F891" s="150">
        <f>IF(E891="","",Input!$C$8+B891-1)</f>
        <v>2091</v>
      </c>
      <c r="G891" s="151">
        <f>IF(E891="","",MAX(0,Input!$C$9-B891))</f>
        <v>0</v>
      </c>
      <c r="H891" s="152">
        <f>IF(E891="","",Input!$C$3)</f>
        <v>100000</v>
      </c>
      <c r="I891" s="153">
        <f>IF(E891="","",HLOOKUP($B891,Input!$C$13:$BT$14,2))</f>
        <v>1000</v>
      </c>
      <c r="J891" s="154"/>
      <c r="K891" s="155">
        <f>IF($E891="","",Input!$C$57)</f>
        <v>4.4999999999999998E-2</v>
      </c>
      <c r="L891" s="155">
        <f t="shared" si="284"/>
        <v>3.6748094004368514E-3</v>
      </c>
      <c r="M891" s="147">
        <f>IF($E891="","",VLOOKUP(IF($B891&lt;=Input!$C$7,$B891,26),'Mortality Tables'!$A$72:$CA$97,IF($B891&lt;=Input!$C$7+1,Input!$C$4-16,$D891-Input!$C$7-16),0)/1000)</f>
        <v>0.89976999999999996</v>
      </c>
      <c r="N891" s="147">
        <f t="shared" si="273"/>
        <v>0.17443777879025613</v>
      </c>
      <c r="O891" s="157">
        <f>IF($E891="","",IF($C891=12,IF($B891&lt;Input!$C$9,Input!$C$54,IF($B891=Input!$C$9,Input!$C$55,Input!$C$56)),0%))</f>
        <v>0</v>
      </c>
      <c r="P891" s="167">
        <f>IF($E891="","",IF($B891=1,Input!$C$59,IF($B891&lt;6,Input!$C$60,0%)))</f>
        <v>0</v>
      </c>
      <c r="Q891" s="162">
        <f>IF($E891="","",Input!$C$58)</f>
        <v>2.5</v>
      </c>
      <c r="R891" s="156">
        <f t="shared" si="285"/>
        <v>0.82556222120974387</v>
      </c>
      <c r="S891" s="154">
        <f t="shared" si="274"/>
        <v>2.9201553048796748E-14</v>
      </c>
      <c r="T891" s="152"/>
      <c r="U891" s="150">
        <f t="shared" si="286"/>
        <v>0</v>
      </c>
      <c r="V891" s="150">
        <f t="shared" si="287"/>
        <v>0</v>
      </c>
      <c r="W891" s="168">
        <f t="shared" si="288"/>
        <v>0</v>
      </c>
      <c r="X891" s="163">
        <f t="shared" si="275"/>
        <v>17443.777879025612</v>
      </c>
      <c r="Y891" s="152"/>
      <c r="Z891" s="164">
        <f>IF(AND($C890=12,$D890=Input!$C$6),0,IF($E891="","",V891+Z892/(1+L891)*R891))</f>
        <v>62014.040444268874</v>
      </c>
      <c r="AA891" s="164">
        <f>IF(OR($M891=1,AND($C890=12,$D890=Input!$C$6)),0,IF($E891="","",W891+(X891+AA892*$R891)/(1+$L891)))</f>
        <v>87277.746405288737</v>
      </c>
      <c r="AB891" s="160">
        <f t="shared" si="276"/>
        <v>0.825720328500681</v>
      </c>
      <c r="AC891" s="164">
        <f t="shared" si="277"/>
        <v>0</v>
      </c>
      <c r="AD891" s="164">
        <f>IF(AND($C890=12,$D890=Input!$C$6),0,IF($E891="","",$AC891+AD892/(1+$L891)*$R891))</f>
        <v>51206.253847296219</v>
      </c>
      <c r="AE891" s="152"/>
      <c r="AF891" s="164">
        <f>IF(AND($C890=12,$D890=Input!$C$6),0,IF($E891="","",IF($B891&gt;Input!$C$9,$AC891,0)+AF892/(1+$L891)*$R891))</f>
        <v>51206.253847296219</v>
      </c>
      <c r="AG891" s="164">
        <f>IF(AND($C890=12,$D890=Input!$C$6),0,IF($E891="","",(IF($B891&gt;Input!$C$9,$X891,0)+AG892)/(1+$L891)*$R891))</f>
        <v>68059.513300268227</v>
      </c>
      <c r="AH891" s="160">
        <f t="shared" si="278"/>
        <v>2.0950137211446997</v>
      </c>
      <c r="AI891" s="160">
        <f>IF($E891="","",MIN(Input!$C$61/AH891,1))</f>
        <v>0.64438718771845094</v>
      </c>
      <c r="AJ891" s="152"/>
      <c r="AK891" s="164">
        <f>IF(AND($C890=12,$D890=Input!$C$6),0,IF($E891="","",IF($B891&gt;Input!$C$9,$AC891*AI891,0)+AK892/(1+$L891)*$R891))</f>
        <v>32996.653910256318</v>
      </c>
      <c r="AL891" s="164">
        <f>IF(AND($C890=12,$D890=Input!$C$6),0,IF($E891="","",IF($B891&gt;Input!$C$9,0,$AC891)+AL892/(1+$L891)*$R891))</f>
        <v>0</v>
      </c>
      <c r="AM891" s="160">
        <f t="shared" si="279"/>
        <v>1.1382936520186004</v>
      </c>
      <c r="AN891" s="164">
        <f>IF($E891="","",IF($B891&gt;Input!$C$9,$AI891*$AC891,$AM891*$AC891))</f>
        <v>0</v>
      </c>
      <c r="AO891" s="164">
        <f>IF(AND($C890=12,$D890=Input!$C$6),0,IF($E891="","",$AN891+AO892/(1+$L891)*$R891))</f>
        <v>32996.653910256318</v>
      </c>
      <c r="AP891" s="152"/>
      <c r="AQ891" s="164">
        <f t="shared" si="280"/>
        <v>54281.092495032419</v>
      </c>
      <c r="AR891" s="164">
        <f t="shared" si="289"/>
        <v>70843.061753200745</v>
      </c>
      <c r="AS891" s="164">
        <f t="shared" si="290"/>
        <v>43051.196172248805</v>
      </c>
      <c r="AT891" s="164">
        <f t="shared" si="281"/>
        <v>70843.061753200745</v>
      </c>
      <c r="AU891" s="152"/>
      <c r="AV891" s="147">
        <f>'Deterministic Reserve'!BC891</f>
        <v>2.2208973967094791E-19</v>
      </c>
      <c r="AW891" s="164">
        <f t="shared" si="282"/>
        <v>70843.061753200745</v>
      </c>
      <c r="AX891" s="164">
        <f t="shared" si="283"/>
        <v>1.5733517142261239E-14</v>
      </c>
      <c r="AY891" s="152"/>
    </row>
    <row r="892" spans="1:51" s="150" customFormat="1" x14ac:dyDescent="0.25">
      <c r="A892" s="150">
        <f t="shared" si="291"/>
        <v>888</v>
      </c>
      <c r="B892" s="150">
        <f t="shared" si="292"/>
        <v>74</v>
      </c>
      <c r="C892" s="150">
        <f t="shared" si="293"/>
        <v>12</v>
      </c>
      <c r="D892" s="150">
        <f>IF(E892="","",Input!$C$4+B892-1)</f>
        <v>118</v>
      </c>
      <c r="E892" s="150">
        <f>IF(OR(AND(C891=12,D891=Input!$C$6),E891=""),"",1)</f>
        <v>1</v>
      </c>
      <c r="F892" s="150">
        <f>IF(E892="","",Input!$C$8+B892-1)</f>
        <v>2091</v>
      </c>
      <c r="G892" s="151">
        <f>IF(E892="","",MAX(0,Input!$C$9-B892))</f>
        <v>0</v>
      </c>
      <c r="H892" s="152">
        <f>IF(E892="","",Input!$C$3)</f>
        <v>100000</v>
      </c>
      <c r="I892" s="153">
        <f>IF(E892="","",HLOOKUP($B892,Input!$C$13:$BT$14,2))</f>
        <v>1000</v>
      </c>
      <c r="J892" s="154"/>
      <c r="K892" s="155">
        <f>IF($E892="","",Input!$C$57)</f>
        <v>4.4999999999999998E-2</v>
      </c>
      <c r="L892" s="155">
        <f t="shared" si="284"/>
        <v>3.6748094004368514E-3</v>
      </c>
      <c r="M892" s="147">
        <f>IF($E892="","",VLOOKUP(IF($B892&lt;=Input!$C$7,$B892,26),'Mortality Tables'!$A$72:$CA$97,IF($B892&lt;=Input!$C$7+1,Input!$C$4-16,$D892-Input!$C$7-16),0)/1000)</f>
        <v>0.89976999999999996</v>
      </c>
      <c r="N892" s="147">
        <f t="shared" si="273"/>
        <v>0.17443777879025613</v>
      </c>
      <c r="O892" s="157">
        <f>IF($E892="","",IF($C892=12,IF($B892&lt;Input!$C$9,Input!$C$54,IF($B892=Input!$C$9,Input!$C$55,Input!$C$56)),0%))</f>
        <v>0.1</v>
      </c>
      <c r="P892" s="167">
        <f>IF($E892="","",IF($B892=1,Input!$C$59,IF($B892&lt;6,Input!$C$60,0%)))</f>
        <v>0</v>
      </c>
      <c r="Q892" s="162">
        <f>IF($E892="","",Input!$C$58)</f>
        <v>2.5</v>
      </c>
      <c r="R892" s="156">
        <f t="shared" si="285"/>
        <v>0.7255622212097439</v>
      </c>
      <c r="S892" s="154">
        <f t="shared" si="274"/>
        <v>2.1187543692859136E-14</v>
      </c>
      <c r="T892" s="152"/>
      <c r="U892" s="150">
        <f t="shared" si="286"/>
        <v>0</v>
      </c>
      <c r="V892" s="150">
        <f t="shared" si="287"/>
        <v>0</v>
      </c>
      <c r="W892" s="168">
        <f t="shared" si="288"/>
        <v>0</v>
      </c>
      <c r="X892" s="163">
        <f t="shared" si="275"/>
        <v>17443.777879025612</v>
      </c>
      <c r="Y892" s="152"/>
      <c r="Z892" s="164">
        <f>IF(AND($C891=12,$D891=Input!$C$6),0,IF($E892="","",V892+Z893/(1+L892)*R892))</f>
        <v>75393.384803686698</v>
      </c>
      <c r="AA892" s="164">
        <f>IF(OR($M892=1,AND($C891=12,$D891=Input!$C$6)),0,IF($E892="","",W892+(X892+AA893*$R892)/(1+$L892)))</f>
        <v>84978.086214265597</v>
      </c>
      <c r="AB892" s="160">
        <f t="shared" si="276"/>
        <v>0.825720328500681</v>
      </c>
      <c r="AC892" s="164">
        <f t="shared" si="277"/>
        <v>0</v>
      </c>
      <c r="AD892" s="164">
        <f>IF(AND($C891=12,$D891=Input!$C$6),0,IF($E892="","",$AC892+AD893/(1+$L892)*$R892))</f>
        <v>62253.850466878444</v>
      </c>
      <c r="AE892" s="152"/>
      <c r="AF892" s="164">
        <f>IF(AND($C891=12,$D891=Input!$C$6),0,IF($E892="","",IF($B892&gt;Input!$C$9,$AC892,0)+AF893/(1+$L892)*$R892))</f>
        <v>62253.850466878444</v>
      </c>
      <c r="AG892" s="164">
        <f>IF(AND($C891=12,$D891=Input!$C$6),0,IF($E892="","",(IF($B892&gt;Input!$C$9,$X892,0)+AG893)/(1+$L892)*$R892))</f>
        <v>65299.372527536361</v>
      </c>
      <c r="AH892" s="160">
        <f t="shared" si="278"/>
        <v>2.0950137211446997</v>
      </c>
      <c r="AI892" s="160">
        <f>IF($E892="","",MIN(Input!$C$61/AH892,1))</f>
        <v>0.64438718771845094</v>
      </c>
      <c r="AJ892" s="152"/>
      <c r="AK892" s="164">
        <f>IF(AND($C891=12,$D891=Input!$C$6),0,IF($E892="","",IF($B892&gt;Input!$C$9,$AC892*AI892,0)+AK893/(1+$L892)*$R892))</f>
        <v>40115.583626996769</v>
      </c>
      <c r="AL892" s="164">
        <f>IF(AND($C891=12,$D891=Input!$C$6),0,IF($E892="","",IF($B892&gt;Input!$C$9,0,$AC892)+AL893/(1+$L892)*$R892))</f>
        <v>0</v>
      </c>
      <c r="AM892" s="160">
        <f t="shared" si="279"/>
        <v>1.1382936520186004</v>
      </c>
      <c r="AN892" s="164">
        <f>IF($E892="","",IF($B892&gt;Input!$C$9,$AI892*$AC892,$AM892*$AC892))</f>
        <v>0</v>
      </c>
      <c r="AO892" s="164">
        <f>IF(AND($C891=12,$D891=Input!$C$6),0,IF($E892="","",$AN892+AO893/(1+$L892)*$R892))</f>
        <v>40115.583626996769</v>
      </c>
      <c r="AP892" s="152"/>
      <c r="AQ892" s="164">
        <f t="shared" si="280"/>
        <v>44862.502587268827</v>
      </c>
      <c r="AR892" s="164">
        <f t="shared" si="289"/>
        <v>70843.061753200745</v>
      </c>
      <c r="AS892" s="164">
        <f t="shared" si="290"/>
        <v>43051.196172248805</v>
      </c>
      <c r="AT892" s="164">
        <f t="shared" si="281"/>
        <v>70843.061753200745</v>
      </c>
      <c r="AU892" s="152"/>
      <c r="AV892" s="147">
        <f>'Deterministic Reserve'!BC892</f>
        <v>1.7903541852773088E-19</v>
      </c>
      <c r="AW892" s="164">
        <f t="shared" si="282"/>
        <v>70843.061753200745</v>
      </c>
      <c r="AX892" s="164">
        <f t="shared" si="283"/>
        <v>1.268341721077018E-14</v>
      </c>
      <c r="AY892" s="152"/>
    </row>
    <row r="893" spans="1:51" s="150" customFormat="1" x14ac:dyDescent="0.25">
      <c r="A893" s="150">
        <f t="shared" si="291"/>
        <v>889</v>
      </c>
      <c r="B893" s="150">
        <f t="shared" si="292"/>
        <v>75</v>
      </c>
      <c r="C893" s="150">
        <f t="shared" si="293"/>
        <v>1</v>
      </c>
      <c r="D893" s="150">
        <f>IF(E893="","",Input!$C$4+B893-1)</f>
        <v>119</v>
      </c>
      <c r="E893" s="150">
        <f>IF(OR(AND(C892=12,D892=Input!$C$6),E892=""),"",1)</f>
        <v>1</v>
      </c>
      <c r="F893" s="150">
        <f>IF(E893="","",Input!$C$8+B893-1)</f>
        <v>2092</v>
      </c>
      <c r="G893" s="151">
        <f>IF(E893="","",MAX(0,Input!$C$9-B893))</f>
        <v>0</v>
      </c>
      <c r="H893" s="152">
        <f>IF(E893="","",Input!$C$3)</f>
        <v>100000</v>
      </c>
      <c r="I893" s="153">
        <f>IF(E893="","",HLOOKUP($B893,Input!$C$13:$BT$14,2))</f>
        <v>1000</v>
      </c>
      <c r="J893" s="154"/>
      <c r="K893" s="155">
        <f>IF($E893="","",Input!$C$57)</f>
        <v>4.4999999999999998E-2</v>
      </c>
      <c r="L893" s="155">
        <f t="shared" si="284"/>
        <v>3.6748094004368514E-3</v>
      </c>
      <c r="M893" s="147">
        <f>IF($E893="","",VLOOKUP(IF($B893&lt;=Input!$C$7,$B893,26),'Mortality Tables'!$A$72:$CA$97,IF($B893&lt;=Input!$C$7+1,Input!$C$4-16,$D893-Input!$C$7-16),0)/1000)</f>
        <v>0.94855999999999996</v>
      </c>
      <c r="N893" s="147">
        <f t="shared" si="273"/>
        <v>0.21907664158399753</v>
      </c>
      <c r="O893" s="157">
        <f>IF($E893="","",IF($C893=12,IF($B893&lt;Input!$C$9,Input!$C$54,IF($B893=Input!$C$9,Input!$C$55,Input!$C$56)),0%))</f>
        <v>0</v>
      </c>
      <c r="P893" s="167">
        <f>IF($E893="","",IF($B893=1,Input!$C$59,IF($B893&lt;6,Input!$C$60,0%)))</f>
        <v>0</v>
      </c>
      <c r="Q893" s="162">
        <f>IF($E893="","",Input!$C$58)</f>
        <v>2.5</v>
      </c>
      <c r="R893" s="156">
        <f t="shared" si="285"/>
        <v>0.78092335841600247</v>
      </c>
      <c r="S893" s="154">
        <f t="shared" si="274"/>
        <v>1.6545847777213348E-14</v>
      </c>
      <c r="T893" s="152"/>
      <c r="U893" s="150">
        <f t="shared" si="286"/>
        <v>100000</v>
      </c>
      <c r="V893" s="150">
        <f t="shared" si="287"/>
        <v>100000</v>
      </c>
      <c r="W893" s="168">
        <f t="shared" si="288"/>
        <v>0</v>
      </c>
      <c r="X893" s="163">
        <f t="shared" si="275"/>
        <v>21907.664158399752</v>
      </c>
      <c r="Y893" s="152"/>
      <c r="Z893" s="164">
        <f>IF(AND($C892=12,$D892=Input!$C$6),0,IF($E893="","",V893+Z894/(1+L893)*R893))</f>
        <v>104292.14602260749</v>
      </c>
      <c r="AA893" s="164">
        <f>IF(OR($M893=1,AND($C892=12,$D892=Input!$C$6)),0,IF($E893="","",W893+(X893+AA894*$R893)/(1+$L893)))</f>
        <v>93508.984649406601</v>
      </c>
      <c r="AB893" s="160">
        <f t="shared" si="276"/>
        <v>0.825720328500681</v>
      </c>
      <c r="AC893" s="164">
        <f t="shared" si="277"/>
        <v>82572.032850068106</v>
      </c>
      <c r="AD893" s="164">
        <f>IF(AND($C892=12,$D892=Input!$C$6),0,IF($E893="","",$AC893+AD894/(1+$L893)*$R893))</f>
        <v>86116.145073828447</v>
      </c>
      <c r="AE893" s="152"/>
      <c r="AF893" s="164">
        <f>IF(AND($C892=12,$D892=Input!$C$6),0,IF($E893="","",IF($B893&gt;Input!$C$9,$AC893,0)+AF894/(1+$L893)*$R893))</f>
        <v>86116.145073828447</v>
      </c>
      <c r="AG893" s="164">
        <f>IF(AND($C892=12,$D892=Input!$C$6),0,IF($E893="","",(IF($B893&gt;Input!$C$9,$X893,0)+AG894)/(1+$L893)*$R893))</f>
        <v>72885.257122642724</v>
      </c>
      <c r="AH893" s="160">
        <f t="shared" si="278"/>
        <v>2.0950137211446997</v>
      </c>
      <c r="AI893" s="160">
        <f>IF($E893="","",MIN(Input!$C$61/AH893,1))</f>
        <v>0.64438718771845094</v>
      </c>
      <c r="AJ893" s="152"/>
      <c r="AK893" s="164">
        <f>IF(AND($C892=12,$D892=Input!$C$6),0,IF($E893="","",IF($B893&gt;Input!$C$9,$AC893*AI893,0)+AK894/(1+$L893)*$R893))</f>
        <v>55492.140541278444</v>
      </c>
      <c r="AL893" s="164">
        <f>IF(AND($C892=12,$D892=Input!$C$6),0,IF($E893="","",IF($B893&gt;Input!$C$9,0,$AC893)+AL894/(1+$L893)*$R893))</f>
        <v>0</v>
      </c>
      <c r="AM893" s="160">
        <f t="shared" si="279"/>
        <v>1.1382936520186004</v>
      </c>
      <c r="AN893" s="164">
        <f>IF($E893="","",IF($B893&gt;Input!$C$9,$AI893*$AC893,$AM893*$AC893))</f>
        <v>53208.360032450932</v>
      </c>
      <c r="AO893" s="164">
        <f>IF(AND($C892=12,$D892=Input!$C$6),0,IF($E893="","",$AN893+AO894/(1+$L893)*$R893))</f>
        <v>55492.140541278444</v>
      </c>
      <c r="AP893" s="152"/>
      <c r="AQ893" s="164">
        <f t="shared" si="280"/>
        <v>38016.844108128156</v>
      </c>
      <c r="AR893" s="164">
        <f t="shared" si="289"/>
        <v>41900.076852144273</v>
      </c>
      <c r="AS893" s="164">
        <f t="shared" si="290"/>
        <v>45385.645933014355</v>
      </c>
      <c r="AT893" s="164">
        <f t="shared" si="281"/>
        <v>45385.645933014355</v>
      </c>
      <c r="AU893" s="152"/>
      <c r="AV893" s="147">
        <f>'Deterministic Reserve'!BC893</f>
        <v>1.6238335339444086E-19</v>
      </c>
      <c r="AW893" s="164">
        <f t="shared" si="282"/>
        <v>45385.645933014355</v>
      </c>
      <c r="AX893" s="164">
        <f t="shared" si="283"/>
        <v>7.3698733825756373E-15</v>
      </c>
      <c r="AY893" s="152"/>
    </row>
    <row r="894" spans="1:51" s="150" customFormat="1" x14ac:dyDescent="0.25">
      <c r="A894" s="150">
        <f t="shared" si="291"/>
        <v>890</v>
      </c>
      <c r="B894" s="150">
        <f t="shared" si="292"/>
        <v>75</v>
      </c>
      <c r="C894" s="150">
        <f t="shared" si="293"/>
        <v>2</v>
      </c>
      <c r="D894" s="150">
        <f>IF(E894="","",Input!$C$4+B894-1)</f>
        <v>119</v>
      </c>
      <c r="E894" s="150">
        <f>IF(OR(AND(C893=12,D893=Input!$C$6),E893=""),"",1)</f>
        <v>1</v>
      </c>
      <c r="F894" s="150">
        <f>IF(E894="","",Input!$C$8+B894-1)</f>
        <v>2092</v>
      </c>
      <c r="G894" s="151">
        <f>IF(E894="","",MAX(0,Input!$C$9-B894))</f>
        <v>0</v>
      </c>
      <c r="H894" s="152">
        <f>IF(E894="","",Input!$C$3)</f>
        <v>100000</v>
      </c>
      <c r="I894" s="153">
        <f>IF(E894="","",HLOOKUP($B894,Input!$C$13:$BT$14,2))</f>
        <v>1000</v>
      </c>
      <c r="J894" s="154"/>
      <c r="K894" s="155">
        <f>IF($E894="","",Input!$C$57)</f>
        <v>4.4999999999999998E-2</v>
      </c>
      <c r="L894" s="155">
        <f t="shared" si="284"/>
        <v>3.6748094004368514E-3</v>
      </c>
      <c r="M894" s="147">
        <f>IF($E894="","",VLOOKUP(IF($B894&lt;=Input!$C$7,$B894,26),'Mortality Tables'!$A$72:$CA$97,IF($B894&lt;=Input!$C$7+1,Input!$C$4-16,$D894-Input!$C$7-16),0)/1000)</f>
        <v>0.94855999999999996</v>
      </c>
      <c r="N894" s="147">
        <f t="shared" si="273"/>
        <v>0.21907664158399753</v>
      </c>
      <c r="O894" s="157">
        <f>IF($E894="","",IF($C894=12,IF($B894&lt;Input!$C$9,Input!$C$54,IF($B894=Input!$C$9,Input!$C$55,Input!$C$56)),0%))</f>
        <v>0</v>
      </c>
      <c r="P894" s="167">
        <f>IF($E894="","",IF($B894=1,Input!$C$59,IF($B894&lt;6,Input!$C$60,0%)))</f>
        <v>0</v>
      </c>
      <c r="Q894" s="162">
        <f>IF($E894="","",Input!$C$58)</f>
        <v>2.5</v>
      </c>
      <c r="R894" s="156">
        <f t="shared" si="285"/>
        <v>0.78092335841600247</v>
      </c>
      <c r="S894" s="154">
        <f t="shared" si="274"/>
        <v>1.2921039014021398E-14</v>
      </c>
      <c r="T894" s="152"/>
      <c r="U894" s="150">
        <f t="shared" si="286"/>
        <v>0</v>
      </c>
      <c r="V894" s="150">
        <f t="shared" si="287"/>
        <v>0</v>
      </c>
      <c r="W894" s="168">
        <f t="shared" si="288"/>
        <v>0</v>
      </c>
      <c r="X894" s="163">
        <f t="shared" si="275"/>
        <v>21907.664158399752</v>
      </c>
      <c r="Y894" s="152"/>
      <c r="Z894" s="164">
        <f>IF(AND($C893=12,$D893=Input!$C$6),0,IF($E894="","",V894+Z895/(1+L894)*R894))</f>
        <v>5516.4425480849195</v>
      </c>
      <c r="AA894" s="164">
        <f>IF(OR($M894=1,AND($C893=12,$D893=Input!$C$6)),0,IF($E894="","",W894+(X894+AA895*$R894)/(1+$L894)))</f>
        <v>92128.052530983827</v>
      </c>
      <c r="AB894" s="160">
        <f t="shared" si="276"/>
        <v>0.825720328500681</v>
      </c>
      <c r="AC894" s="164">
        <f t="shared" si="277"/>
        <v>0</v>
      </c>
      <c r="AD894" s="164">
        <f>IF(AND($C893=12,$D893=Input!$C$6),0,IF($E894="","",$AC894+AD895/(1+$L894)*$R894))</f>
        <v>4555.0387529598129</v>
      </c>
      <c r="AE894" s="152"/>
      <c r="AF894" s="164">
        <f>IF(AND($C893=12,$D893=Input!$C$6),0,IF($E894="","",IF($B894&gt;Input!$C$9,$AC894,0)+AF895/(1+$L894)*$R894))</f>
        <v>4555.0387529598129</v>
      </c>
      <c r="AG894" s="164">
        <f>IF(AND($C893=12,$D893=Input!$C$6),0,IF($E894="","",(IF($B894&gt;Input!$C$9,$X894,0)+AG895)/(1+$L894)*$R894))</f>
        <v>71767.465112994367</v>
      </c>
      <c r="AH894" s="160">
        <f t="shared" si="278"/>
        <v>2.0950137211446997</v>
      </c>
      <c r="AI894" s="160">
        <f>IF($E894="","",MIN(Input!$C$61/AH894,1))</f>
        <v>0.64438718771845094</v>
      </c>
      <c r="AJ894" s="152"/>
      <c r="AK894" s="164">
        <f>IF(AND($C893=12,$D893=Input!$C$6),0,IF($E894="","",IF($B894&gt;Input!$C$9,$AC894*AI894,0)+AK895/(1+$L894)*$R894))</f>
        <v>2935.2086119683349</v>
      </c>
      <c r="AL894" s="164">
        <f>IF(AND($C893=12,$D893=Input!$C$6),0,IF($E894="","",IF($B894&gt;Input!$C$9,0,$AC894)+AL895/(1+$L894)*$R894))</f>
        <v>0</v>
      </c>
      <c r="AM894" s="160">
        <f t="shared" si="279"/>
        <v>1.1382936520186004</v>
      </c>
      <c r="AN894" s="164">
        <f>IF($E894="","",IF($B894&gt;Input!$C$9,$AI894*$AC894,$AM894*$AC894))</f>
        <v>0</v>
      </c>
      <c r="AO894" s="164">
        <f>IF(AND($C893=12,$D893=Input!$C$6),0,IF($E894="","",$AN894+AO895/(1+$L894)*$R894))</f>
        <v>2935.2086119683349</v>
      </c>
      <c r="AP894" s="152"/>
      <c r="AQ894" s="164">
        <f t="shared" si="280"/>
        <v>89192.84391901549</v>
      </c>
      <c r="AR894" s="164">
        <f t="shared" si="289"/>
        <v>41900.076852144273</v>
      </c>
      <c r="AS894" s="164">
        <f t="shared" si="290"/>
        <v>45385.645933014355</v>
      </c>
      <c r="AT894" s="164">
        <f t="shared" si="281"/>
        <v>45385.645933014355</v>
      </c>
      <c r="AU894" s="152"/>
      <c r="AV894" s="147">
        <f>'Deterministic Reserve'!BC894</f>
        <v>1.4728009505861915E-19</v>
      </c>
      <c r="AW894" s="164">
        <f t="shared" si="282"/>
        <v>45385.645933014355</v>
      </c>
      <c r="AX894" s="164">
        <f t="shared" si="283"/>
        <v>6.6844022473111856E-15</v>
      </c>
      <c r="AY894" s="152"/>
    </row>
    <row r="895" spans="1:51" s="150" customFormat="1" x14ac:dyDescent="0.25">
      <c r="A895" s="150">
        <f t="shared" si="291"/>
        <v>891</v>
      </c>
      <c r="B895" s="150">
        <f t="shared" si="292"/>
        <v>75</v>
      </c>
      <c r="C895" s="150">
        <f t="shared" si="293"/>
        <v>3</v>
      </c>
      <c r="D895" s="150">
        <f>IF(E895="","",Input!$C$4+B895-1)</f>
        <v>119</v>
      </c>
      <c r="E895" s="150">
        <f>IF(OR(AND(C894=12,D894=Input!$C$6),E894=""),"",1)</f>
        <v>1</v>
      </c>
      <c r="F895" s="150">
        <f>IF(E895="","",Input!$C$8+B895-1)</f>
        <v>2092</v>
      </c>
      <c r="G895" s="151">
        <f>IF(E895="","",MAX(0,Input!$C$9-B895))</f>
        <v>0</v>
      </c>
      <c r="H895" s="152">
        <f>IF(E895="","",Input!$C$3)</f>
        <v>100000</v>
      </c>
      <c r="I895" s="153">
        <f>IF(E895="","",HLOOKUP($B895,Input!$C$13:$BT$14,2))</f>
        <v>1000</v>
      </c>
      <c r="J895" s="154"/>
      <c r="K895" s="155">
        <f>IF($E895="","",Input!$C$57)</f>
        <v>4.4999999999999998E-2</v>
      </c>
      <c r="L895" s="155">
        <f t="shared" si="284"/>
        <v>3.6748094004368514E-3</v>
      </c>
      <c r="M895" s="147">
        <f>IF($E895="","",VLOOKUP(IF($B895&lt;=Input!$C$7,$B895,26),'Mortality Tables'!$A$72:$CA$97,IF($B895&lt;=Input!$C$7+1,Input!$C$4-16,$D895-Input!$C$7-16),0)/1000)</f>
        <v>0.94855999999999996</v>
      </c>
      <c r="N895" s="147">
        <f t="shared" si="273"/>
        <v>0.21907664158399753</v>
      </c>
      <c r="O895" s="157">
        <f>IF($E895="","",IF($C895=12,IF($B895&lt;Input!$C$9,Input!$C$54,IF($B895=Input!$C$9,Input!$C$55,Input!$C$56)),0%))</f>
        <v>0</v>
      </c>
      <c r="P895" s="167">
        <f>IF($E895="","",IF($B895=1,Input!$C$59,IF($B895&lt;6,Input!$C$60,0%)))</f>
        <v>0</v>
      </c>
      <c r="Q895" s="162">
        <f>IF($E895="","",Input!$C$58)</f>
        <v>2.5</v>
      </c>
      <c r="R895" s="156">
        <f t="shared" si="285"/>
        <v>0.78092335841600247</v>
      </c>
      <c r="S895" s="154">
        <f t="shared" si="274"/>
        <v>1.0090341181053784E-14</v>
      </c>
      <c r="T895" s="152"/>
      <c r="U895" s="150">
        <f t="shared" si="286"/>
        <v>0</v>
      </c>
      <c r="V895" s="150">
        <f t="shared" si="287"/>
        <v>0</v>
      </c>
      <c r="W895" s="168">
        <f t="shared" si="288"/>
        <v>0</v>
      </c>
      <c r="X895" s="163">
        <f t="shared" si="275"/>
        <v>21907.664158399752</v>
      </c>
      <c r="Y895" s="152"/>
      <c r="Z895" s="164">
        <f>IF(AND($C894=12,$D894=Input!$C$6),0,IF($E895="","",V895+Z896/(1+L895)*R895))</f>
        <v>7089.9587819322869</v>
      </c>
      <c r="AA895" s="164">
        <f>IF(OR($M895=1,AND($C894=12,$D894=Input!$C$6)),0,IF($E895="","",W895+(X895+AA896*$R895)/(1+$L895)))</f>
        <v>90353.221792709781</v>
      </c>
      <c r="AB895" s="160">
        <f t="shared" si="276"/>
        <v>0.825720328500681</v>
      </c>
      <c r="AC895" s="164">
        <f t="shared" si="277"/>
        <v>0</v>
      </c>
      <c r="AD895" s="164">
        <f>IF(AND($C894=12,$D894=Input!$C$6),0,IF($E895="","",$AC895+AD896/(1+$L895)*$R895))</f>
        <v>5854.323094473415</v>
      </c>
      <c r="AE895" s="152"/>
      <c r="AF895" s="164">
        <f>IF(AND($C894=12,$D894=Input!$C$6),0,IF($E895="","",IF($B895&gt;Input!$C$9,$AC895,0)+AF896/(1+$L895)*$R895))</f>
        <v>5854.323094473415</v>
      </c>
      <c r="AG895" s="164">
        <f>IF(AND($C894=12,$D894=Input!$C$6),0,IF($E895="","",(IF($B895&gt;Input!$C$9,$X895,0)+AG896)/(1+$L895)*$R895))</f>
        <v>70330.832862028314</v>
      </c>
      <c r="AH895" s="160">
        <f t="shared" si="278"/>
        <v>2.0950137211446997</v>
      </c>
      <c r="AI895" s="160">
        <f>IF($E895="","",MIN(Input!$C$61/AH895,1))</f>
        <v>0.64438718771845094</v>
      </c>
      <c r="AJ895" s="152"/>
      <c r="AK895" s="164">
        <f>IF(AND($C894=12,$D894=Input!$C$6),0,IF($E895="","",IF($B895&gt;Input!$C$9,$AC895*AI895,0)+AK896/(1+$L895)*$R895))</f>
        <v>3772.450794842905</v>
      </c>
      <c r="AL895" s="164">
        <f>IF(AND($C894=12,$D894=Input!$C$6),0,IF($E895="","",IF($B895&gt;Input!$C$9,0,$AC895)+AL896/(1+$L895)*$R895))</f>
        <v>0</v>
      </c>
      <c r="AM895" s="160">
        <f t="shared" si="279"/>
        <v>1.1382936520186004</v>
      </c>
      <c r="AN895" s="164">
        <f>IF($E895="","",IF($B895&gt;Input!$C$9,$AI895*$AC895,$AM895*$AC895))</f>
        <v>0</v>
      </c>
      <c r="AO895" s="164">
        <f>IF(AND($C894=12,$D894=Input!$C$6),0,IF($E895="","",$AN895+AO896/(1+$L895)*$R895))</f>
        <v>3772.450794842905</v>
      </c>
      <c r="AP895" s="152"/>
      <c r="AQ895" s="164">
        <f t="shared" si="280"/>
        <v>86580.770997866872</v>
      </c>
      <c r="AR895" s="164">
        <f t="shared" si="289"/>
        <v>41900.076852144273</v>
      </c>
      <c r="AS895" s="164">
        <f t="shared" si="290"/>
        <v>45385.645933014355</v>
      </c>
      <c r="AT895" s="164">
        <f t="shared" si="281"/>
        <v>45385.645933014355</v>
      </c>
      <c r="AU895" s="152"/>
      <c r="AV895" s="147">
        <f>'Deterministic Reserve'!BC895</f>
        <v>1.3358158916564469E-19</v>
      </c>
      <c r="AW895" s="164">
        <f t="shared" si="282"/>
        <v>45385.645933014355</v>
      </c>
      <c r="AX895" s="164">
        <f t="shared" si="283"/>
        <v>6.0626867090413365E-15</v>
      </c>
      <c r="AY895" s="152"/>
    </row>
    <row r="896" spans="1:51" s="150" customFormat="1" x14ac:dyDescent="0.25">
      <c r="A896" s="150">
        <f t="shared" si="291"/>
        <v>892</v>
      </c>
      <c r="B896" s="150">
        <f t="shared" si="292"/>
        <v>75</v>
      </c>
      <c r="C896" s="150">
        <f t="shared" si="293"/>
        <v>4</v>
      </c>
      <c r="D896" s="150">
        <f>IF(E896="","",Input!$C$4+B896-1)</f>
        <v>119</v>
      </c>
      <c r="E896" s="150">
        <f>IF(OR(AND(C895=12,D895=Input!$C$6),E895=""),"",1)</f>
        <v>1</v>
      </c>
      <c r="F896" s="150">
        <f>IF(E896="","",Input!$C$8+B896-1)</f>
        <v>2092</v>
      </c>
      <c r="G896" s="151">
        <f>IF(E896="","",MAX(0,Input!$C$9-B896))</f>
        <v>0</v>
      </c>
      <c r="H896" s="152">
        <f>IF(E896="","",Input!$C$3)</f>
        <v>100000</v>
      </c>
      <c r="I896" s="153">
        <f>IF(E896="","",HLOOKUP($B896,Input!$C$13:$BT$14,2))</f>
        <v>1000</v>
      </c>
      <c r="J896" s="154"/>
      <c r="K896" s="155">
        <f>IF($E896="","",Input!$C$57)</f>
        <v>4.4999999999999998E-2</v>
      </c>
      <c r="L896" s="155">
        <f t="shared" si="284"/>
        <v>3.6748094004368514E-3</v>
      </c>
      <c r="M896" s="147">
        <f>IF($E896="","",VLOOKUP(IF($B896&lt;=Input!$C$7,$B896,26),'Mortality Tables'!$A$72:$CA$97,IF($B896&lt;=Input!$C$7+1,Input!$C$4-16,$D896-Input!$C$7-16),0)/1000)</f>
        <v>0.94855999999999996</v>
      </c>
      <c r="N896" s="147">
        <f t="shared" si="273"/>
        <v>0.21907664158399753</v>
      </c>
      <c r="O896" s="157">
        <f>IF($E896="","",IF($C896=12,IF($B896&lt;Input!$C$9,Input!$C$54,IF($B896=Input!$C$9,Input!$C$55,Input!$C$56)),0%))</f>
        <v>0</v>
      </c>
      <c r="P896" s="167">
        <f>IF($E896="","",IF($B896=1,Input!$C$59,IF($B896&lt;6,Input!$C$60,0%)))</f>
        <v>0</v>
      </c>
      <c r="Q896" s="162">
        <f>IF($E896="","",Input!$C$58)</f>
        <v>2.5</v>
      </c>
      <c r="R896" s="156">
        <f t="shared" si="285"/>
        <v>0.78092335841600247</v>
      </c>
      <c r="S896" s="154">
        <f t="shared" si="274"/>
        <v>7.8797831226718134E-15</v>
      </c>
      <c r="T896" s="152"/>
      <c r="U896" s="150">
        <f t="shared" si="286"/>
        <v>0</v>
      </c>
      <c r="V896" s="150">
        <f t="shared" si="287"/>
        <v>0</v>
      </c>
      <c r="W896" s="168">
        <f t="shared" si="288"/>
        <v>0</v>
      </c>
      <c r="X896" s="163">
        <f t="shared" si="275"/>
        <v>21907.664158399752</v>
      </c>
      <c r="Y896" s="152"/>
      <c r="Z896" s="164">
        <f>IF(AND($C895=12,$D895=Input!$C$6),0,IF($E896="","",V896+Z897/(1+L896)*R896))</f>
        <v>9112.3065438159156</v>
      </c>
      <c r="AA896" s="164">
        <f>IF(OR($M896=1,AND($C895=12,$D895=Input!$C$6)),0,IF($E896="","",W896+(X896+AA897*$R896)/(1+$L896)))</f>
        <v>88072.136352304369</v>
      </c>
      <c r="AB896" s="160">
        <f t="shared" si="276"/>
        <v>0.825720328500681</v>
      </c>
      <c r="AC896" s="164">
        <f t="shared" si="277"/>
        <v>0</v>
      </c>
      <c r="AD896" s="164">
        <f>IF(AND($C895=12,$D895=Input!$C$6),0,IF($E896="","",$AC896+AD897/(1+$L896)*$R896))</f>
        <v>7524.2167527585825</v>
      </c>
      <c r="AE896" s="152"/>
      <c r="AF896" s="164">
        <f>IF(AND($C895=12,$D895=Input!$C$6),0,IF($E896="","",IF($B896&gt;Input!$C$9,$AC896,0)+AF897/(1+$L896)*$R896))</f>
        <v>7524.2167527585825</v>
      </c>
      <c r="AG896" s="164">
        <f>IF(AND($C895=12,$D895=Input!$C$6),0,IF($E896="","",(IF($B896&gt;Input!$C$9,$X896,0)+AG897)/(1+$L896)*$R896))</f>
        <v>68484.414023191697</v>
      </c>
      <c r="AH896" s="160">
        <f t="shared" si="278"/>
        <v>2.0950137211446997</v>
      </c>
      <c r="AI896" s="160">
        <f>IF($E896="","",MIN(Input!$C$61/AH896,1))</f>
        <v>0.64438718771845094</v>
      </c>
      <c r="AJ896" s="152"/>
      <c r="AK896" s="164">
        <f>IF(AND($C895=12,$D895=Input!$C$6),0,IF($E896="","",IF($B896&gt;Input!$C$9,$AC896*AI896,0)+AK897/(1+$L896)*$R896))</f>
        <v>4848.5088730941607</v>
      </c>
      <c r="AL896" s="164">
        <f>IF(AND($C895=12,$D895=Input!$C$6),0,IF($E896="","",IF($B896&gt;Input!$C$9,0,$AC896)+AL897/(1+$L896)*$R896))</f>
        <v>0</v>
      </c>
      <c r="AM896" s="160">
        <f t="shared" si="279"/>
        <v>1.1382936520186004</v>
      </c>
      <c r="AN896" s="164">
        <f>IF($E896="","",IF($B896&gt;Input!$C$9,$AI896*$AC896,$AM896*$AC896))</f>
        <v>0</v>
      </c>
      <c r="AO896" s="164">
        <f>IF(AND($C895=12,$D895=Input!$C$6),0,IF($E896="","",$AN896+AO897/(1+$L896)*$R896))</f>
        <v>4848.5088730941607</v>
      </c>
      <c r="AP896" s="152"/>
      <c r="AQ896" s="164">
        <f t="shared" si="280"/>
        <v>83223.627479210205</v>
      </c>
      <c r="AR896" s="164">
        <f t="shared" si="289"/>
        <v>41900.076852144273</v>
      </c>
      <c r="AS896" s="164">
        <f t="shared" si="290"/>
        <v>45385.645933014355</v>
      </c>
      <c r="AT896" s="164">
        <f t="shared" si="281"/>
        <v>45385.645933014355</v>
      </c>
      <c r="AU896" s="152"/>
      <c r="AV896" s="147">
        <f>'Deterministic Reserve'!BC896</f>
        <v>1.2115717984101619E-19</v>
      </c>
      <c r="AW896" s="164">
        <f t="shared" si="282"/>
        <v>45385.645933014355</v>
      </c>
      <c r="AX896" s="164">
        <f t="shared" si="283"/>
        <v>5.4987968665069049E-15</v>
      </c>
      <c r="AY896" s="152"/>
    </row>
    <row r="897" spans="1:51" s="150" customFormat="1" x14ac:dyDescent="0.25">
      <c r="A897" s="150">
        <f t="shared" si="291"/>
        <v>893</v>
      </c>
      <c r="B897" s="150">
        <f t="shared" si="292"/>
        <v>75</v>
      </c>
      <c r="C897" s="150">
        <f t="shared" si="293"/>
        <v>5</v>
      </c>
      <c r="D897" s="150">
        <f>IF(E897="","",Input!$C$4+B897-1)</f>
        <v>119</v>
      </c>
      <c r="E897" s="150">
        <f>IF(OR(AND(C896=12,D896=Input!$C$6),E896=""),"",1)</f>
        <v>1</v>
      </c>
      <c r="F897" s="150">
        <f>IF(E897="","",Input!$C$8+B897-1)</f>
        <v>2092</v>
      </c>
      <c r="G897" s="151">
        <f>IF(E897="","",MAX(0,Input!$C$9-B897))</f>
        <v>0</v>
      </c>
      <c r="H897" s="152">
        <f>IF(E897="","",Input!$C$3)</f>
        <v>100000</v>
      </c>
      <c r="I897" s="153">
        <f>IF(E897="","",HLOOKUP($B897,Input!$C$13:$BT$14,2))</f>
        <v>1000</v>
      </c>
      <c r="J897" s="154"/>
      <c r="K897" s="155">
        <f>IF($E897="","",Input!$C$57)</f>
        <v>4.4999999999999998E-2</v>
      </c>
      <c r="L897" s="155">
        <f t="shared" si="284"/>
        <v>3.6748094004368514E-3</v>
      </c>
      <c r="M897" s="147">
        <f>IF($E897="","",VLOOKUP(IF($B897&lt;=Input!$C$7,$B897,26),'Mortality Tables'!$A$72:$CA$97,IF($B897&lt;=Input!$C$7+1,Input!$C$4-16,$D897-Input!$C$7-16),0)/1000)</f>
        <v>0.94855999999999996</v>
      </c>
      <c r="N897" s="147">
        <f t="shared" si="273"/>
        <v>0.21907664158399753</v>
      </c>
      <c r="O897" s="157">
        <f>IF($E897="","",IF($C897=12,IF($B897&lt;Input!$C$9,Input!$C$54,IF($B897=Input!$C$9,Input!$C$55,Input!$C$56)),0%))</f>
        <v>0</v>
      </c>
      <c r="P897" s="167">
        <f>IF($E897="","",IF($B897=1,Input!$C$59,IF($B897&lt;6,Input!$C$60,0%)))</f>
        <v>0</v>
      </c>
      <c r="Q897" s="162">
        <f>IF($E897="","",Input!$C$58)</f>
        <v>2.5</v>
      </c>
      <c r="R897" s="156">
        <f t="shared" si="285"/>
        <v>0.78092335841600247</v>
      </c>
      <c r="S897" s="154">
        <f t="shared" si="274"/>
        <v>6.1535066997466075E-15</v>
      </c>
      <c r="T897" s="152"/>
      <c r="U897" s="150">
        <f t="shared" si="286"/>
        <v>0</v>
      </c>
      <c r="V897" s="150">
        <f t="shared" si="287"/>
        <v>0</v>
      </c>
      <c r="W897" s="168">
        <f t="shared" si="288"/>
        <v>0</v>
      </c>
      <c r="X897" s="163">
        <f t="shared" si="275"/>
        <v>21907.664158399752</v>
      </c>
      <c r="Y897" s="152"/>
      <c r="Z897" s="164">
        <f>IF(AND($C896=12,$D896=Input!$C$6),0,IF($E897="","",V897+Z898/(1+L897)*R897))</f>
        <v>11711.511040102318</v>
      </c>
      <c r="AA897" s="164">
        <f>IF(OR($M897=1,AND($C896=12,$D896=Input!$C$6)),0,IF($E897="","",W897+(X897+AA898*$R897)/(1+$L897)))</f>
        <v>85140.391553085035</v>
      </c>
      <c r="AB897" s="160">
        <f t="shared" si="276"/>
        <v>0.825720328500681</v>
      </c>
      <c r="AC897" s="164">
        <f t="shared" si="277"/>
        <v>0</v>
      </c>
      <c r="AD897" s="164">
        <f>IF(AND($C896=12,$D896=Input!$C$6),0,IF($E897="","",$AC897+AD898/(1+$L897)*$R897))</f>
        <v>9670.4327432726368</v>
      </c>
      <c r="AE897" s="152"/>
      <c r="AF897" s="164">
        <f>IF(AND($C896=12,$D896=Input!$C$6),0,IF($E897="","",IF($B897&gt;Input!$C$9,$AC897,0)+AF898/(1+$L897)*$R897))</f>
        <v>9670.4327432726368</v>
      </c>
      <c r="AG897" s="164">
        <f>IF(AND($C896=12,$D896=Input!$C$6),0,IF($E897="","",(IF($B897&gt;Input!$C$9,$X897,0)+AG898)/(1+$L897)*$R897))</f>
        <v>66111.320612460957</v>
      </c>
      <c r="AH897" s="160">
        <f t="shared" si="278"/>
        <v>2.0950137211446997</v>
      </c>
      <c r="AI897" s="160">
        <f>IF($E897="","",MIN(Input!$C$61/AH897,1))</f>
        <v>0.64438718771845094</v>
      </c>
      <c r="AJ897" s="152"/>
      <c r="AK897" s="164">
        <f>IF(AND($C896=12,$D896=Input!$C$6),0,IF($E897="","",IF($B897&gt;Input!$C$9,$AC897*AI897,0)+AK898/(1+$L897)*$R897))</f>
        <v>6231.5029594578828</v>
      </c>
      <c r="AL897" s="164">
        <f>IF(AND($C896=12,$D896=Input!$C$6),0,IF($E897="","",IF($B897&gt;Input!$C$9,0,$AC897)+AL898/(1+$L897)*$R897))</f>
        <v>0</v>
      </c>
      <c r="AM897" s="160">
        <f t="shared" si="279"/>
        <v>1.1382936520186004</v>
      </c>
      <c r="AN897" s="164">
        <f>IF($E897="","",IF($B897&gt;Input!$C$9,$AI897*$AC897,$AM897*$AC897))</f>
        <v>0</v>
      </c>
      <c r="AO897" s="164">
        <f>IF(AND($C896=12,$D896=Input!$C$6),0,IF($E897="","",$AN897+AO898/(1+$L897)*$R897))</f>
        <v>6231.5029594578828</v>
      </c>
      <c r="AP897" s="152"/>
      <c r="AQ897" s="164">
        <f t="shared" si="280"/>
        <v>78908.888593627154</v>
      </c>
      <c r="AR897" s="164">
        <f t="shared" si="289"/>
        <v>41900.076852144273</v>
      </c>
      <c r="AS897" s="164">
        <f t="shared" si="290"/>
        <v>45385.645933014355</v>
      </c>
      <c r="AT897" s="164">
        <f t="shared" si="281"/>
        <v>45385.645933014355</v>
      </c>
      <c r="AU897" s="152"/>
      <c r="AV897" s="147">
        <f>'Deterministic Reserve'!BC897</f>
        <v>1.0988836349914894E-19</v>
      </c>
      <c r="AW897" s="164">
        <f t="shared" si="282"/>
        <v>45385.645933014355</v>
      </c>
      <c r="AX897" s="164">
        <f t="shared" si="283"/>
        <v>4.9873543579307524E-15</v>
      </c>
      <c r="AY897" s="152"/>
    </row>
    <row r="898" spans="1:51" s="150" customFormat="1" x14ac:dyDescent="0.25">
      <c r="A898" s="150">
        <f t="shared" si="291"/>
        <v>894</v>
      </c>
      <c r="B898" s="150">
        <f t="shared" si="292"/>
        <v>75</v>
      </c>
      <c r="C898" s="150">
        <f t="shared" si="293"/>
        <v>6</v>
      </c>
      <c r="D898" s="150">
        <f>IF(E898="","",Input!$C$4+B898-1)</f>
        <v>119</v>
      </c>
      <c r="E898" s="150">
        <f>IF(OR(AND(C897=12,D897=Input!$C$6),E897=""),"",1)</f>
        <v>1</v>
      </c>
      <c r="F898" s="150">
        <f>IF(E898="","",Input!$C$8+B898-1)</f>
        <v>2092</v>
      </c>
      <c r="G898" s="151">
        <f>IF(E898="","",MAX(0,Input!$C$9-B898))</f>
        <v>0</v>
      </c>
      <c r="H898" s="152">
        <f>IF(E898="","",Input!$C$3)</f>
        <v>100000</v>
      </c>
      <c r="I898" s="153">
        <f>IF(E898="","",HLOOKUP($B898,Input!$C$13:$BT$14,2))</f>
        <v>1000</v>
      </c>
      <c r="J898" s="154"/>
      <c r="K898" s="155">
        <f>IF($E898="","",Input!$C$57)</f>
        <v>4.4999999999999998E-2</v>
      </c>
      <c r="L898" s="155">
        <f t="shared" si="284"/>
        <v>3.6748094004368514E-3</v>
      </c>
      <c r="M898" s="147">
        <f>IF($E898="","",VLOOKUP(IF($B898&lt;=Input!$C$7,$B898,26),'Mortality Tables'!$A$72:$CA$97,IF($B898&lt;=Input!$C$7+1,Input!$C$4-16,$D898-Input!$C$7-16),0)/1000)</f>
        <v>0.94855999999999996</v>
      </c>
      <c r="N898" s="147">
        <f t="shared" si="273"/>
        <v>0.21907664158399753</v>
      </c>
      <c r="O898" s="157">
        <f>IF($E898="","",IF($C898=12,IF($B898&lt;Input!$C$9,Input!$C$54,IF($B898=Input!$C$9,Input!$C$55,Input!$C$56)),0%))</f>
        <v>0</v>
      </c>
      <c r="P898" s="167">
        <f>IF($E898="","",IF($B898=1,Input!$C$59,IF($B898&lt;6,Input!$C$60,0%)))</f>
        <v>0</v>
      </c>
      <c r="Q898" s="162">
        <f>IF($E898="","",Input!$C$58)</f>
        <v>2.5</v>
      </c>
      <c r="R898" s="156">
        <f t="shared" si="285"/>
        <v>0.78092335841600247</v>
      </c>
      <c r="S898" s="154">
        <f t="shared" si="274"/>
        <v>4.8054171180014923E-15</v>
      </c>
      <c r="T898" s="152"/>
      <c r="U898" s="150">
        <f t="shared" si="286"/>
        <v>0</v>
      </c>
      <c r="V898" s="150">
        <f t="shared" si="287"/>
        <v>0</v>
      </c>
      <c r="W898" s="168">
        <f t="shared" si="288"/>
        <v>0</v>
      </c>
      <c r="X898" s="163">
        <f t="shared" si="275"/>
        <v>21907.664158399752</v>
      </c>
      <c r="Y898" s="152"/>
      <c r="Z898" s="164">
        <f>IF(AND($C897=12,$D897=Input!$C$6),0,IF($E898="","",V898+Z899/(1+L898)*R898))</f>
        <v>15052.115530016057</v>
      </c>
      <c r="AA898" s="164">
        <f>IF(OR($M898=1,AND($C897=12,$D897=Input!$C$6)),0,IF($E898="","",W898+(X898+AA899*$R898)/(1+$L898)))</f>
        <v>81372.392592808465</v>
      </c>
      <c r="AB898" s="160">
        <f t="shared" si="276"/>
        <v>0.825720328500681</v>
      </c>
      <c r="AC898" s="164">
        <f t="shared" si="277"/>
        <v>0</v>
      </c>
      <c r="AD898" s="164">
        <f>IF(AND($C897=12,$D897=Input!$C$6),0,IF($E898="","",$AC898+AD899/(1+$L898)*$R898))</f>
        <v>12428.837780075059</v>
      </c>
      <c r="AE898" s="152"/>
      <c r="AF898" s="164">
        <f>IF(AND($C897=12,$D897=Input!$C$6),0,IF($E898="","",IF($B898&gt;Input!$C$9,$AC898,0)+AF899/(1+$L898)*$R898))</f>
        <v>12428.837780075059</v>
      </c>
      <c r="AG898" s="164">
        <f>IF(AND($C897=12,$D897=Input!$C$6),0,IF($E898="","",(IF($B898&gt;Input!$C$9,$X898,0)+AG899)/(1+$L898)*$R898))</f>
        <v>63061.323386695054</v>
      </c>
      <c r="AH898" s="160">
        <f t="shared" si="278"/>
        <v>2.0950137211446997</v>
      </c>
      <c r="AI898" s="160">
        <f>IF($E898="","",MIN(Input!$C$61/AH898,1))</f>
        <v>0.64438718771845094</v>
      </c>
      <c r="AJ898" s="152"/>
      <c r="AK898" s="164">
        <f>IF(AND($C897=12,$D897=Input!$C$6),0,IF($E898="","",IF($B898&gt;Input!$C$9,$AC898*AI898,0)+AK899/(1+$L898)*$R898))</f>
        <v>8008.9838237114063</v>
      </c>
      <c r="AL898" s="164">
        <f>IF(AND($C897=12,$D897=Input!$C$6),0,IF($E898="","",IF($B898&gt;Input!$C$9,0,$AC898)+AL899/(1+$L898)*$R898))</f>
        <v>0</v>
      </c>
      <c r="AM898" s="160">
        <f t="shared" si="279"/>
        <v>1.1382936520186004</v>
      </c>
      <c r="AN898" s="164">
        <f>IF($E898="","",IF($B898&gt;Input!$C$9,$AI898*$AC898,$AM898*$AC898))</f>
        <v>0</v>
      </c>
      <c r="AO898" s="164">
        <f>IF(AND($C897=12,$D897=Input!$C$6),0,IF($E898="","",$AN898+AO899/(1+$L898)*$R898))</f>
        <v>8008.9838237114063</v>
      </c>
      <c r="AP898" s="152"/>
      <c r="AQ898" s="164">
        <f t="shared" si="280"/>
        <v>73363.408769097063</v>
      </c>
      <c r="AR898" s="164">
        <f t="shared" si="289"/>
        <v>41900.076852144273</v>
      </c>
      <c r="AS898" s="164">
        <f t="shared" si="290"/>
        <v>45385.645933014355</v>
      </c>
      <c r="AT898" s="164">
        <f t="shared" si="281"/>
        <v>45385.645933014355</v>
      </c>
      <c r="AU898" s="152"/>
      <c r="AV898" s="147">
        <f>'Deterministic Reserve'!BC898</f>
        <v>9.9667658560282051E-20</v>
      </c>
      <c r="AW898" s="164">
        <f t="shared" si="282"/>
        <v>45385.645933014355</v>
      </c>
      <c r="AX898" s="164">
        <f t="shared" si="283"/>
        <v>4.5234810623895288E-15</v>
      </c>
      <c r="AY898" s="152"/>
    </row>
    <row r="899" spans="1:51" s="150" customFormat="1" x14ac:dyDescent="0.25">
      <c r="A899" s="150">
        <f t="shared" si="291"/>
        <v>895</v>
      </c>
      <c r="B899" s="150">
        <f t="shared" si="292"/>
        <v>75</v>
      </c>
      <c r="C899" s="150">
        <f t="shared" si="293"/>
        <v>7</v>
      </c>
      <c r="D899" s="150">
        <f>IF(E899="","",Input!$C$4+B899-1)</f>
        <v>119</v>
      </c>
      <c r="E899" s="150">
        <f>IF(OR(AND(C898=12,D898=Input!$C$6),E898=""),"",1)</f>
        <v>1</v>
      </c>
      <c r="F899" s="150">
        <f>IF(E899="","",Input!$C$8+B899-1)</f>
        <v>2092</v>
      </c>
      <c r="G899" s="151">
        <f>IF(E899="","",MAX(0,Input!$C$9-B899))</f>
        <v>0</v>
      </c>
      <c r="H899" s="152">
        <f>IF(E899="","",Input!$C$3)</f>
        <v>100000</v>
      </c>
      <c r="I899" s="153">
        <f>IF(E899="","",HLOOKUP($B899,Input!$C$13:$BT$14,2))</f>
        <v>1000</v>
      </c>
      <c r="J899" s="154"/>
      <c r="K899" s="155">
        <f>IF($E899="","",Input!$C$57)</f>
        <v>4.4999999999999998E-2</v>
      </c>
      <c r="L899" s="155">
        <f t="shared" si="284"/>
        <v>3.6748094004368514E-3</v>
      </c>
      <c r="M899" s="147">
        <f>IF($E899="","",VLOOKUP(IF($B899&lt;=Input!$C$7,$B899,26),'Mortality Tables'!$A$72:$CA$97,IF($B899&lt;=Input!$C$7+1,Input!$C$4-16,$D899-Input!$C$7-16),0)/1000)</f>
        <v>0.94855999999999996</v>
      </c>
      <c r="N899" s="147">
        <f t="shared" si="273"/>
        <v>0.21907664158399753</v>
      </c>
      <c r="O899" s="157">
        <f>IF($E899="","",IF($C899=12,IF($B899&lt;Input!$C$9,Input!$C$54,IF($B899=Input!$C$9,Input!$C$55,Input!$C$56)),0%))</f>
        <v>0</v>
      </c>
      <c r="P899" s="167">
        <f>IF($E899="","",IF($B899=1,Input!$C$59,IF($B899&lt;6,Input!$C$60,0%)))</f>
        <v>0</v>
      </c>
      <c r="Q899" s="162">
        <f>IF($E899="","",Input!$C$58)</f>
        <v>2.5</v>
      </c>
      <c r="R899" s="156">
        <f t="shared" si="285"/>
        <v>0.78092335841600247</v>
      </c>
      <c r="S899" s="154">
        <f t="shared" si="274"/>
        <v>3.7526624743794726E-15</v>
      </c>
      <c r="T899" s="152"/>
      <c r="U899" s="150">
        <f t="shared" si="286"/>
        <v>0</v>
      </c>
      <c r="V899" s="150">
        <f t="shared" si="287"/>
        <v>0</v>
      </c>
      <c r="W899" s="168">
        <f t="shared" si="288"/>
        <v>0</v>
      </c>
      <c r="X899" s="163">
        <f t="shared" si="275"/>
        <v>21907.664158399752</v>
      </c>
      <c r="Y899" s="152"/>
      <c r="Z899" s="164">
        <f>IF(AND($C898=12,$D898=Input!$C$6),0,IF($E899="","",V899+Z900/(1+L899)*R899))</f>
        <v>19345.597775824765</v>
      </c>
      <c r="AA899" s="164">
        <f>IF(OR($M899=1,AND($C898=12,$D898=Input!$C$6)),0,IF($E899="","",W899+(X899+AA900*$R899)/(1+$L899)))</f>
        <v>76529.605400544693</v>
      </c>
      <c r="AB899" s="160">
        <f t="shared" si="276"/>
        <v>0.825720328500681</v>
      </c>
      <c r="AC899" s="164">
        <f t="shared" si="277"/>
        <v>0</v>
      </c>
      <c r="AD899" s="164">
        <f>IF(AND($C898=12,$D898=Input!$C$6),0,IF($E899="","",$AC899+AD900/(1+$L899)*$R899))</f>
        <v>15974.053350496066</v>
      </c>
      <c r="AE899" s="152"/>
      <c r="AF899" s="164">
        <f>IF(AND($C898=12,$D898=Input!$C$6),0,IF($E899="","",IF($B899&gt;Input!$C$9,$AC899,0)+AF900/(1+$L899)*$R899))</f>
        <v>15974.053350496066</v>
      </c>
      <c r="AG899" s="164">
        <f>IF(AND($C898=12,$D898=Input!$C$6),0,IF($E899="","",(IF($B899&gt;Input!$C$9,$X899,0)+AG900)/(1+$L899)*$R899))</f>
        <v>59141.341545645126</v>
      </c>
      <c r="AH899" s="160">
        <f t="shared" si="278"/>
        <v>2.0950137211446997</v>
      </c>
      <c r="AI899" s="160">
        <f>IF($E899="","",MIN(Input!$C$61/AH899,1))</f>
        <v>0.64438718771845094</v>
      </c>
      <c r="AJ899" s="152"/>
      <c r="AK899" s="164">
        <f>IF(AND($C898=12,$D898=Input!$C$6),0,IF($E899="","",IF($B899&gt;Input!$C$9,$AC899*AI899,0)+AK900/(1+$L899)*$R899))</f>
        <v>10293.475314990663</v>
      </c>
      <c r="AL899" s="164">
        <f>IF(AND($C898=12,$D898=Input!$C$6),0,IF($E899="","",IF($B899&gt;Input!$C$9,0,$AC899)+AL900/(1+$L899)*$R899))</f>
        <v>0</v>
      </c>
      <c r="AM899" s="160">
        <f t="shared" si="279"/>
        <v>1.1382936520186004</v>
      </c>
      <c r="AN899" s="164">
        <f>IF($E899="","",IF($B899&gt;Input!$C$9,$AI899*$AC899,$AM899*$AC899))</f>
        <v>0</v>
      </c>
      <c r="AO899" s="164">
        <f>IF(AND($C898=12,$D898=Input!$C$6),0,IF($E899="","",$AN899+AO900/(1+$L899)*$R899))</f>
        <v>10293.475314990663</v>
      </c>
      <c r="AP899" s="152"/>
      <c r="AQ899" s="164">
        <f t="shared" si="280"/>
        <v>66236.130085554032</v>
      </c>
      <c r="AR899" s="164">
        <f t="shared" si="289"/>
        <v>41900.076852144273</v>
      </c>
      <c r="AS899" s="164">
        <f t="shared" si="290"/>
        <v>45385.645933014355</v>
      </c>
      <c r="AT899" s="164">
        <f t="shared" si="281"/>
        <v>45385.645933014355</v>
      </c>
      <c r="AU899" s="152"/>
      <c r="AV899" s="147">
        <f>'Deterministic Reserve'!BC899</f>
        <v>9.0397580294895357E-20</v>
      </c>
      <c r="AW899" s="164">
        <f t="shared" si="282"/>
        <v>45385.645933014355</v>
      </c>
      <c r="AX899" s="164">
        <f t="shared" si="283"/>
        <v>4.1027525724653562E-15</v>
      </c>
      <c r="AY899" s="152"/>
    </row>
    <row r="900" spans="1:51" s="150" customFormat="1" x14ac:dyDescent="0.25">
      <c r="A900" s="150">
        <f t="shared" si="291"/>
        <v>896</v>
      </c>
      <c r="B900" s="150">
        <f t="shared" si="292"/>
        <v>75</v>
      </c>
      <c r="C900" s="150">
        <f t="shared" si="293"/>
        <v>8</v>
      </c>
      <c r="D900" s="150">
        <f>IF(E900="","",Input!$C$4+B900-1)</f>
        <v>119</v>
      </c>
      <c r="E900" s="150">
        <f>IF(OR(AND(C899=12,D899=Input!$C$6),E899=""),"",1)</f>
        <v>1</v>
      </c>
      <c r="F900" s="150">
        <f>IF(E900="","",Input!$C$8+B900-1)</f>
        <v>2092</v>
      </c>
      <c r="G900" s="151">
        <f>IF(E900="","",MAX(0,Input!$C$9-B900))</f>
        <v>0</v>
      </c>
      <c r="H900" s="152">
        <f>IF(E900="","",Input!$C$3)</f>
        <v>100000</v>
      </c>
      <c r="I900" s="153">
        <f>IF(E900="","",HLOOKUP($B900,Input!$C$13:$BT$14,2))</f>
        <v>1000</v>
      </c>
      <c r="J900" s="154"/>
      <c r="K900" s="155">
        <f>IF($E900="","",Input!$C$57)</f>
        <v>4.4999999999999998E-2</v>
      </c>
      <c r="L900" s="155">
        <f t="shared" si="284"/>
        <v>3.6748094004368514E-3</v>
      </c>
      <c r="M900" s="147">
        <f>IF($E900="","",VLOOKUP(IF($B900&lt;=Input!$C$7,$B900,26),'Mortality Tables'!$A$72:$CA$97,IF($B900&lt;=Input!$C$7+1,Input!$C$4-16,$D900-Input!$C$7-16),0)/1000)</f>
        <v>0.94855999999999996</v>
      </c>
      <c r="N900" s="147">
        <f t="shared" si="273"/>
        <v>0.21907664158399753</v>
      </c>
      <c r="O900" s="157">
        <f>IF($E900="","",IF($C900=12,IF($B900&lt;Input!$C$9,Input!$C$54,IF($B900=Input!$C$9,Input!$C$55,Input!$C$56)),0%))</f>
        <v>0</v>
      </c>
      <c r="P900" s="167">
        <f>IF($E900="","",IF($B900=1,Input!$C$59,IF($B900&lt;6,Input!$C$60,0%)))</f>
        <v>0</v>
      </c>
      <c r="Q900" s="162">
        <f>IF($E900="","",Input!$C$58)</f>
        <v>2.5</v>
      </c>
      <c r="R900" s="156">
        <f t="shared" si="285"/>
        <v>0.78092335841600247</v>
      </c>
      <c r="S900" s="154">
        <f t="shared" si="274"/>
        <v>2.9305417824941235E-15</v>
      </c>
      <c r="T900" s="152"/>
      <c r="U900" s="150">
        <f t="shared" si="286"/>
        <v>0</v>
      </c>
      <c r="V900" s="150">
        <f t="shared" si="287"/>
        <v>0</v>
      </c>
      <c r="W900" s="168">
        <f t="shared" si="288"/>
        <v>0</v>
      </c>
      <c r="X900" s="163">
        <f t="shared" si="275"/>
        <v>21907.664158399752</v>
      </c>
      <c r="Y900" s="152"/>
      <c r="Z900" s="164">
        <f>IF(AND($C899=12,$D899=Input!$C$6),0,IF($E900="","",V900+Z901/(1+L900)*R900))</f>
        <v>24863.757692909287</v>
      </c>
      <c r="AA900" s="164">
        <f>IF(OR($M900=1,AND($C899=12,$D899=Input!$C$6)),0,IF($E900="","",W900+(X900+AA901*$R900)/(1+$L900)))</f>
        <v>70305.456180547932</v>
      </c>
      <c r="AB900" s="160">
        <f t="shared" si="276"/>
        <v>0.825720328500681</v>
      </c>
      <c r="AC900" s="164">
        <f t="shared" si="277"/>
        <v>0</v>
      </c>
      <c r="AD900" s="164">
        <f>IF(AND($C899=12,$D899=Input!$C$6),0,IF($E900="","",$AC900+AD901/(1+$L900)*$R900))</f>
        <v>20530.510169950387</v>
      </c>
      <c r="AE900" s="152"/>
      <c r="AF900" s="164">
        <f>IF(AND($C899=12,$D899=Input!$C$6),0,IF($E900="","",IF($B900&gt;Input!$C$9,$AC900,0)+AF901/(1+$L900)*$R900))</f>
        <v>20530.510169950387</v>
      </c>
      <c r="AG900" s="164">
        <f>IF(AND($C899=12,$D899=Input!$C$6),0,IF($E900="","",(IF($B900&gt;Input!$C$9,$X900,0)+AG901)/(1+$L900)*$R900))</f>
        <v>54103.219705943295</v>
      </c>
      <c r="AH900" s="160">
        <f t="shared" si="278"/>
        <v>2.0950137211446997</v>
      </c>
      <c r="AI900" s="160">
        <f>IF($E900="","",MIN(Input!$C$61/AH900,1))</f>
        <v>0.64438718771845094</v>
      </c>
      <c r="AJ900" s="152"/>
      <c r="AK900" s="164">
        <f>IF(AND($C899=12,$D899=Input!$C$6),0,IF($E900="","",IF($B900&gt;Input!$C$9,$AC900*AI900,0)+AK901/(1+$L900)*$R900))</f>
        <v>13229.597710839389</v>
      </c>
      <c r="AL900" s="164">
        <f>IF(AND($C899=12,$D899=Input!$C$6),0,IF($E900="","",IF($B900&gt;Input!$C$9,0,$AC900)+AL901/(1+$L900)*$R900))</f>
        <v>0</v>
      </c>
      <c r="AM900" s="160">
        <f t="shared" si="279"/>
        <v>1.1382936520186004</v>
      </c>
      <c r="AN900" s="164">
        <f>IF($E900="","",IF($B900&gt;Input!$C$9,$AI900*$AC900,$AM900*$AC900))</f>
        <v>0</v>
      </c>
      <c r="AO900" s="164">
        <f>IF(AND($C899=12,$D899=Input!$C$6),0,IF($E900="","",$AN900+AO901/(1+$L900)*$R900))</f>
        <v>13229.597710839389</v>
      </c>
      <c r="AP900" s="152"/>
      <c r="AQ900" s="164">
        <f t="shared" si="280"/>
        <v>57075.858469708546</v>
      </c>
      <c r="AR900" s="164">
        <f t="shared" si="289"/>
        <v>41900.076852144273</v>
      </c>
      <c r="AS900" s="164">
        <f t="shared" si="290"/>
        <v>45385.645933014355</v>
      </c>
      <c r="AT900" s="164">
        <f t="shared" si="281"/>
        <v>45385.645933014355</v>
      </c>
      <c r="AU900" s="152"/>
      <c r="AV900" s="147">
        <f>'Deterministic Reserve'!BC900</f>
        <v>8.1989711017737473E-20</v>
      </c>
      <c r="AW900" s="164">
        <f t="shared" si="282"/>
        <v>45385.645933014355</v>
      </c>
      <c r="AX900" s="164">
        <f t="shared" si="283"/>
        <v>3.7211559944011992E-15</v>
      </c>
      <c r="AY900" s="152"/>
    </row>
    <row r="901" spans="1:51" s="150" customFormat="1" x14ac:dyDescent="0.25">
      <c r="A901" s="150">
        <f t="shared" si="291"/>
        <v>897</v>
      </c>
      <c r="B901" s="150">
        <f t="shared" si="292"/>
        <v>75</v>
      </c>
      <c r="C901" s="150">
        <f t="shared" si="293"/>
        <v>9</v>
      </c>
      <c r="D901" s="150">
        <f>IF(E901="","",Input!$C$4+B901-1)</f>
        <v>119</v>
      </c>
      <c r="E901" s="150">
        <f>IF(OR(AND(C900=12,D900=Input!$C$6),E900=""),"",1)</f>
        <v>1</v>
      </c>
      <c r="F901" s="150">
        <f>IF(E901="","",Input!$C$8+B901-1)</f>
        <v>2092</v>
      </c>
      <c r="G901" s="151">
        <f>IF(E901="","",MAX(0,Input!$C$9-B901))</f>
        <v>0</v>
      </c>
      <c r="H901" s="152">
        <f>IF(E901="","",Input!$C$3)</f>
        <v>100000</v>
      </c>
      <c r="I901" s="153">
        <f>IF(E901="","",HLOOKUP($B901,Input!$C$13:$BT$14,2))</f>
        <v>1000</v>
      </c>
      <c r="J901" s="154"/>
      <c r="K901" s="155">
        <f>IF($E901="","",Input!$C$57)</f>
        <v>4.4999999999999998E-2</v>
      </c>
      <c r="L901" s="155">
        <f t="shared" si="284"/>
        <v>3.6748094004368514E-3</v>
      </c>
      <c r="M901" s="147">
        <f>IF($E901="","",VLOOKUP(IF($B901&lt;=Input!$C$7,$B901,26),'Mortality Tables'!$A$72:$CA$97,IF($B901&lt;=Input!$C$7+1,Input!$C$4-16,$D901-Input!$C$7-16),0)/1000)</f>
        <v>0.94855999999999996</v>
      </c>
      <c r="N901" s="147">
        <f t="shared" ref="N901:N964" si="294">IF($E901="","",1-(1-M901)^(1/12))</f>
        <v>0.21907664158399753</v>
      </c>
      <c r="O901" s="157">
        <f>IF($E901="","",IF($C901=12,IF($B901&lt;Input!$C$9,Input!$C$54,IF($B901=Input!$C$9,Input!$C$55,Input!$C$56)),0%))</f>
        <v>0</v>
      </c>
      <c r="P901" s="167">
        <f>IF($E901="","",IF($B901=1,Input!$C$59,IF($B901&lt;6,Input!$C$60,0%)))</f>
        <v>0</v>
      </c>
      <c r="Q901" s="162">
        <f>IF($E901="","",Input!$C$58)</f>
        <v>2.5</v>
      </c>
      <c r="R901" s="156">
        <f t="shared" si="285"/>
        <v>0.78092335841600247</v>
      </c>
      <c r="S901" s="154">
        <f t="shared" ref="S901:S964" si="295">IF($E901="","",IF(AND($B901=1,$C901=1),1,S900*R901))</f>
        <v>2.2885285307637294E-15</v>
      </c>
      <c r="T901" s="152"/>
      <c r="U901" s="150">
        <f t="shared" si="286"/>
        <v>0</v>
      </c>
      <c r="V901" s="150">
        <f t="shared" si="287"/>
        <v>0</v>
      </c>
      <c r="W901" s="168">
        <f t="shared" si="288"/>
        <v>0</v>
      </c>
      <c r="X901" s="163">
        <f t="shared" ref="X901:X964" si="296">IF($E901="","",N901*$H901)</f>
        <v>21907.664158399752</v>
      </c>
      <c r="Y901" s="152"/>
      <c r="Z901" s="164">
        <f>IF(AND($C900=12,$D900=Input!$C$6),0,IF($E901="","",V901+Z902/(1+L901)*R901))</f>
        <v>31955.923708092789</v>
      </c>
      <c r="AA901" s="164">
        <f>IF(OR($M901=1,AND($C900=12,$D900=Input!$C$6)),0,IF($E901="","",W901+(X901+AA902*$R901)/(1+$L901)))</f>
        <v>62305.923685155067</v>
      </c>
      <c r="AB901" s="160">
        <f t="shared" ref="AB901:AB964" si="297">IF($E901="","",$AA$5/$Z$5)</f>
        <v>0.825720328500681</v>
      </c>
      <c r="AC901" s="164">
        <f t="shared" ref="AC901:AC964" si="298">IF($E901="","",V901*AB901)</f>
        <v>0</v>
      </c>
      <c r="AD901" s="164">
        <f>IF(AND($C900=12,$D900=Input!$C$6),0,IF($E901="","",$AC901+AD902/(1+$L901)*$R901))</f>
        <v>26386.655821789071</v>
      </c>
      <c r="AE901" s="152"/>
      <c r="AF901" s="164">
        <f>IF(AND($C900=12,$D900=Input!$C$6),0,IF($E901="","",IF($B901&gt;Input!$C$9,$AC901,0)+AF902/(1+$L901)*$R901))</f>
        <v>26386.655821789071</v>
      </c>
      <c r="AG901" s="164">
        <f>IF(AND($C900=12,$D900=Input!$C$6),0,IF($E901="","",(IF($B901&gt;Input!$C$9,$X901,0)+AG902)/(1+$L901)*$R901))</f>
        <v>47628.018365499833</v>
      </c>
      <c r="AH901" s="160">
        <f t="shared" ref="AH901:AH964" si="299">IF($E901="","",$AF$5/$AG$5)</f>
        <v>2.0950137211446997</v>
      </c>
      <c r="AI901" s="160">
        <f>IF($E901="","",MIN(Input!$C$61/AH901,1))</f>
        <v>0.64438718771845094</v>
      </c>
      <c r="AJ901" s="152"/>
      <c r="AK901" s="164">
        <f>IF(AND($C900=12,$D900=Input!$C$6),0,IF($E901="","",IF($B901&gt;Input!$C$9,$AC901*AI901,0)+AK902/(1+$L901)*$R901))</f>
        <v>17003.222938297353</v>
      </c>
      <c r="AL901" s="164">
        <f>IF(AND($C900=12,$D900=Input!$C$6),0,IF($E901="","",IF($B901&gt;Input!$C$9,0,$AC901)+AL902/(1+$L901)*$R901))</f>
        <v>0</v>
      </c>
      <c r="AM901" s="160">
        <f t="shared" ref="AM901:AM964" si="300">IF($E901="","",($AD$5-$AK$5)/$AL$5)</f>
        <v>1.1382936520186004</v>
      </c>
      <c r="AN901" s="164">
        <f>IF($E901="","",IF($B901&gt;Input!$C$9,$AI901*$AC901,$AM901*$AC901))</f>
        <v>0</v>
      </c>
      <c r="AO901" s="164">
        <f>IF(AND($C900=12,$D900=Input!$C$6),0,IF($E901="","",$AN901+AO902/(1+$L901)*$R901))</f>
        <v>17003.222938297353</v>
      </c>
      <c r="AP901" s="152"/>
      <c r="AQ901" s="164">
        <f t="shared" ref="AQ901:AQ964" si="301">IF($E901="","",$AA901-$AO901)</f>
        <v>45302.700746857714</v>
      </c>
      <c r="AR901" s="164">
        <f t="shared" si="289"/>
        <v>41900.076852144273</v>
      </c>
      <c r="AS901" s="164">
        <f t="shared" si="290"/>
        <v>45385.645933014355</v>
      </c>
      <c r="AT901" s="164">
        <f t="shared" ref="AT901:AT964" si="302">IF($E901="","",MAX($AR901,$AS901))</f>
        <v>45385.645933014355</v>
      </c>
      <c r="AU901" s="152"/>
      <c r="AV901" s="147">
        <f>'Deterministic Reserve'!BC901</f>
        <v>7.4363856763007875E-20</v>
      </c>
      <c r="AW901" s="164">
        <f t="shared" ref="AW901:AW964" si="303">IF($E901="","",$AT901)</f>
        <v>45385.645933014355</v>
      </c>
      <c r="AX901" s="164">
        <f t="shared" ref="AX901:AX964" si="304">IF($E901="","",AV901*AW901)</f>
        <v>3.3750516732592703E-15</v>
      </c>
      <c r="AY901" s="152"/>
    </row>
    <row r="902" spans="1:51" s="150" customFormat="1" x14ac:dyDescent="0.25">
      <c r="A902" s="150">
        <f t="shared" si="291"/>
        <v>898</v>
      </c>
      <c r="B902" s="150">
        <f t="shared" si="292"/>
        <v>75</v>
      </c>
      <c r="C902" s="150">
        <f t="shared" si="293"/>
        <v>10</v>
      </c>
      <c r="D902" s="150">
        <f>IF(E902="","",Input!$C$4+B902-1)</f>
        <v>119</v>
      </c>
      <c r="E902" s="150">
        <f>IF(OR(AND(C901=12,D901=Input!$C$6),E901=""),"",1)</f>
        <v>1</v>
      </c>
      <c r="F902" s="150">
        <f>IF(E902="","",Input!$C$8+B902-1)</f>
        <v>2092</v>
      </c>
      <c r="G902" s="151">
        <f>IF(E902="","",MAX(0,Input!$C$9-B902))</f>
        <v>0</v>
      </c>
      <c r="H902" s="152">
        <f>IF(E902="","",Input!$C$3)</f>
        <v>100000</v>
      </c>
      <c r="I902" s="153">
        <f>IF(E902="","",HLOOKUP($B902,Input!$C$13:$BT$14,2))</f>
        <v>1000</v>
      </c>
      <c r="J902" s="154"/>
      <c r="K902" s="155">
        <f>IF($E902="","",Input!$C$57)</f>
        <v>4.4999999999999998E-2</v>
      </c>
      <c r="L902" s="155">
        <f t="shared" ref="L902:L965" si="305">IF($E902="","",(1+K902)^(1/12)-1)</f>
        <v>3.6748094004368514E-3</v>
      </c>
      <c r="M902" s="147">
        <f>IF($E902="","",VLOOKUP(IF($B902&lt;=Input!$C$7,$B902,26),'Mortality Tables'!$A$72:$CA$97,IF($B902&lt;=Input!$C$7+1,Input!$C$4-16,$D902-Input!$C$7-16),0)/1000)</f>
        <v>0.94855999999999996</v>
      </c>
      <c r="N902" s="147">
        <f t="shared" si="294"/>
        <v>0.21907664158399753</v>
      </c>
      <c r="O902" s="157">
        <f>IF($E902="","",IF($C902=12,IF($B902&lt;Input!$C$9,Input!$C$54,IF($B902=Input!$C$9,Input!$C$55,Input!$C$56)),0%))</f>
        <v>0</v>
      </c>
      <c r="P902" s="167">
        <f>IF($E902="","",IF($B902=1,Input!$C$59,IF($B902&lt;6,Input!$C$60,0%)))</f>
        <v>0</v>
      </c>
      <c r="Q902" s="162">
        <f>IF($E902="","",Input!$C$58)</f>
        <v>2.5</v>
      </c>
      <c r="R902" s="156">
        <f t="shared" ref="R902:R965" si="306">IF($E902="","",MAX(1-N902-O902,0))</f>
        <v>0.78092335841600247</v>
      </c>
      <c r="S902" s="154">
        <f t="shared" si="295"/>
        <v>1.7871653860748512E-15</v>
      </c>
      <c r="T902" s="152"/>
      <c r="U902" s="150">
        <f t="shared" ref="U902:U965" si="307">IF($E902="","",IF($C902=1,$I902*$H902/1000,0))</f>
        <v>0</v>
      </c>
      <c r="V902" s="150">
        <f t="shared" ref="V902:V965" si="308">IF($E902="","",U902*(1-$P902))</f>
        <v>0</v>
      </c>
      <c r="W902" s="168">
        <f t="shared" ref="W902:W965" si="309">IF($E902="","",IF(AND($B902=1,$C902=1),$Q902*$H902/1000,0))</f>
        <v>0</v>
      </c>
      <c r="X902" s="163">
        <f t="shared" si="296"/>
        <v>21907.664158399752</v>
      </c>
      <c r="Y902" s="152"/>
      <c r="Z902" s="164">
        <f>IF(AND($C901=12,$D901=Input!$C$6),0,IF($E902="","",V902+Z903/(1+L902)*R902))</f>
        <v>41071.067078837797</v>
      </c>
      <c r="AA902" s="164">
        <f>IF(OR($M902=1,AND($C901=12,$D901=Input!$C$6)),0,IF($E902="","",W902+(X902+AA903*$R902)/(1+$L902)))</f>
        <v>52024.595605928924</v>
      </c>
      <c r="AB902" s="160">
        <f t="shared" si="297"/>
        <v>0.825720328500681</v>
      </c>
      <c r="AC902" s="164">
        <f t="shared" si="298"/>
        <v>0</v>
      </c>
      <c r="AD902" s="164">
        <f>IF(AND($C901=12,$D901=Input!$C$6),0,IF($E902="","",$AC902+AD903/(1+$L902)*$R902))</f>
        <v>33913.215000211443</v>
      </c>
      <c r="AE902" s="152"/>
      <c r="AF902" s="164">
        <f>IF(AND($C901=12,$D901=Input!$C$6),0,IF($E902="","",IF($B902&gt;Input!$C$9,$AC902,0)+AF903/(1+$L902)*$R902))</f>
        <v>33913.215000211443</v>
      </c>
      <c r="AG902" s="164">
        <f>IF(AND($C901=12,$D901=Input!$C$6),0,IF($E902="","",(IF($B902&gt;Input!$C$9,$X902,0)+AG903)/(1+$L902)*$R902))</f>
        <v>39305.823362418632</v>
      </c>
      <c r="AH902" s="160">
        <f t="shared" si="299"/>
        <v>2.0950137211446997</v>
      </c>
      <c r="AI902" s="160">
        <f>IF($E902="","",MIN(Input!$C$61/AH902,1))</f>
        <v>0.64438718771845094</v>
      </c>
      <c r="AJ902" s="152"/>
      <c r="AK902" s="164">
        <f>IF(AND($C901=12,$D901=Input!$C$6),0,IF($E902="","",IF($B902&gt;Input!$C$9,$AC902*AI902,0)+AK903/(1+$L902)*$R902))</f>
        <v>21853.241240477444</v>
      </c>
      <c r="AL902" s="164">
        <f>IF(AND($C901=12,$D901=Input!$C$6),0,IF($E902="","",IF($B902&gt;Input!$C$9,0,$AC902)+AL903/(1+$L902)*$R902))</f>
        <v>0</v>
      </c>
      <c r="AM902" s="160">
        <f t="shared" si="300"/>
        <v>1.1382936520186004</v>
      </c>
      <c r="AN902" s="164">
        <f>IF($E902="","",IF($B902&gt;Input!$C$9,$AI902*$AC902,$AM902*$AC902))</f>
        <v>0</v>
      </c>
      <c r="AO902" s="164">
        <f>IF(AND($C901=12,$D901=Input!$C$6),0,IF($E902="","",$AN902+AO903/(1+$L902)*$R902))</f>
        <v>21853.241240477444</v>
      </c>
      <c r="AP902" s="152"/>
      <c r="AQ902" s="164">
        <f t="shared" si="301"/>
        <v>30171.35436545148</v>
      </c>
      <c r="AR902" s="164">
        <f t="shared" ref="AR902:AR965" si="310">IF($E902="","",IF($M902=1,0,0.5*(IF($B902=1,0,SUMIFS($AQ:$AQ,$B:$B,$B902-1,$C:$C,12))+SUMIFS($AN:$AN,$B:$B,$B902,$C:$C,1)+SUMIFS($AQ:$AQ,$B:$B,$B902,$C:$C,12))))</f>
        <v>41900.076852144273</v>
      </c>
      <c r="AS902" s="164">
        <f t="shared" ref="AS902:AS965" si="311">IF($E902="","",IF($M902=1,0,0.5*$M902*$H902/(1+$K902)))</f>
        <v>45385.645933014355</v>
      </c>
      <c r="AT902" s="164">
        <f t="shared" si="302"/>
        <v>45385.645933014355</v>
      </c>
      <c r="AU902" s="152"/>
      <c r="AV902" s="147">
        <f>'Deterministic Reserve'!BC902</f>
        <v>6.7447282397090138E-20</v>
      </c>
      <c r="AW902" s="164">
        <f t="shared" si="303"/>
        <v>45385.645933014355</v>
      </c>
      <c r="AX902" s="164">
        <f t="shared" si="304"/>
        <v>3.0611384780183646E-15</v>
      </c>
      <c r="AY902" s="152"/>
    </row>
    <row r="903" spans="1:51" s="150" customFormat="1" x14ac:dyDescent="0.25">
      <c r="A903" s="150">
        <f t="shared" ref="A903:A966" si="312">IF(E903="","",A902+1)</f>
        <v>899</v>
      </c>
      <c r="B903" s="150">
        <f t="shared" ref="B903:B966" si="313">IF(E903="","",IF(C902+1&gt;12,B902+1,B902))</f>
        <v>75</v>
      </c>
      <c r="C903" s="150">
        <f t="shared" ref="C903:C966" si="314">IF(E903="","",IF(C902+1&gt;12,1,C902+1))</f>
        <v>11</v>
      </c>
      <c r="D903" s="150">
        <f>IF(E903="","",Input!$C$4+B903-1)</f>
        <v>119</v>
      </c>
      <c r="E903" s="150">
        <f>IF(OR(AND(C902=12,D902=Input!$C$6),E902=""),"",1)</f>
        <v>1</v>
      </c>
      <c r="F903" s="150">
        <f>IF(E903="","",Input!$C$8+B903-1)</f>
        <v>2092</v>
      </c>
      <c r="G903" s="151">
        <f>IF(E903="","",MAX(0,Input!$C$9-B903))</f>
        <v>0</v>
      </c>
      <c r="H903" s="152">
        <f>IF(E903="","",Input!$C$3)</f>
        <v>100000</v>
      </c>
      <c r="I903" s="153">
        <f>IF(E903="","",HLOOKUP($B903,Input!$C$13:$BT$14,2))</f>
        <v>1000</v>
      </c>
      <c r="J903" s="154"/>
      <c r="K903" s="155">
        <f>IF($E903="","",Input!$C$57)</f>
        <v>4.4999999999999998E-2</v>
      </c>
      <c r="L903" s="155">
        <f t="shared" si="305"/>
        <v>3.6748094004368514E-3</v>
      </c>
      <c r="M903" s="147">
        <f>IF($E903="","",VLOOKUP(IF($B903&lt;=Input!$C$7,$B903,26),'Mortality Tables'!$A$72:$CA$97,IF($B903&lt;=Input!$C$7+1,Input!$C$4-16,$D903-Input!$C$7-16),0)/1000)</f>
        <v>0.94855999999999996</v>
      </c>
      <c r="N903" s="147">
        <f t="shared" si="294"/>
        <v>0.21907664158399753</v>
      </c>
      <c r="O903" s="157">
        <f>IF($E903="","",IF($C903=12,IF($B903&lt;Input!$C$9,Input!$C$54,IF($B903=Input!$C$9,Input!$C$55,Input!$C$56)),0%))</f>
        <v>0</v>
      </c>
      <c r="P903" s="167">
        <f>IF($E903="","",IF($B903=1,Input!$C$59,IF($B903&lt;6,Input!$C$60,0%)))</f>
        <v>0</v>
      </c>
      <c r="Q903" s="162">
        <f>IF($E903="","",Input!$C$58)</f>
        <v>2.5</v>
      </c>
      <c r="R903" s="156">
        <f t="shared" si="306"/>
        <v>0.78092335841600247</v>
      </c>
      <c r="S903" s="154">
        <f t="shared" si="295"/>
        <v>1.3956391953384044E-15</v>
      </c>
      <c r="T903" s="152"/>
      <c r="U903" s="150">
        <f t="shared" si="307"/>
        <v>0</v>
      </c>
      <c r="V903" s="150">
        <f t="shared" si="308"/>
        <v>0</v>
      </c>
      <c r="W903" s="168">
        <f t="shared" si="309"/>
        <v>0</v>
      </c>
      <c r="X903" s="163">
        <f t="shared" si="296"/>
        <v>21907.664158399752</v>
      </c>
      <c r="Y903" s="152"/>
      <c r="Z903" s="164">
        <f>IF(AND($C902=12,$D902=Input!$C$6),0,IF($E903="","",V903+Z904/(1+L903)*R903))</f>
        <v>52786.22412555098</v>
      </c>
      <c r="AA903" s="164">
        <f>IF(OR($M903=1,AND($C902=12,$D902=Input!$C$6)),0,IF($E903="","",W903+(X903+AA904*$R903)/(1+$L903)))</f>
        <v>38810.610021951026</v>
      </c>
      <c r="AB903" s="160">
        <f t="shared" si="297"/>
        <v>0.825720328500681</v>
      </c>
      <c r="AC903" s="164">
        <f t="shared" si="298"/>
        <v>0</v>
      </c>
      <c r="AD903" s="164">
        <f>IF(AND($C902=12,$D902=Input!$C$6),0,IF($E903="","",$AC903+AD904/(1+$L903)*$R903))</f>
        <v>43586.65832526052</v>
      </c>
      <c r="AE903" s="152"/>
      <c r="AF903" s="164">
        <f>IF(AND($C902=12,$D902=Input!$C$6),0,IF($E903="","",IF($B903&gt;Input!$C$9,$AC903,0)+AF904/(1+$L903)*$R903))</f>
        <v>43586.65832526052</v>
      </c>
      <c r="AG903" s="164">
        <f>IF(AND($C902=12,$D902=Input!$C$6),0,IF($E903="","",(IF($B903&gt;Input!$C$9,$X903,0)+AG904)/(1+$L903)*$R903))</f>
        <v>28609.796161422521</v>
      </c>
      <c r="AH903" s="160">
        <f t="shared" si="299"/>
        <v>2.0950137211446997</v>
      </c>
      <c r="AI903" s="160">
        <f>IF($E903="","",MIN(Input!$C$61/AH903,1))</f>
        <v>0.64438718771845094</v>
      </c>
      <c r="AJ903" s="152"/>
      <c r="AK903" s="164">
        <f>IF(AND($C902=12,$D902=Input!$C$6),0,IF($E903="","",IF($B903&gt;Input!$C$9,$AC903*AI903,0)+AK904/(1+$L903)*$R903))</f>
        <v>28086.684180259639</v>
      </c>
      <c r="AL903" s="164">
        <f>IF(AND($C902=12,$D902=Input!$C$6),0,IF($E903="","",IF($B903&gt;Input!$C$9,0,$AC903)+AL904/(1+$L903)*$R903))</f>
        <v>0</v>
      </c>
      <c r="AM903" s="160">
        <f t="shared" si="300"/>
        <v>1.1382936520186004</v>
      </c>
      <c r="AN903" s="164">
        <f>IF($E903="","",IF($B903&gt;Input!$C$9,$AI903*$AC903,$AM903*$AC903))</f>
        <v>0</v>
      </c>
      <c r="AO903" s="164">
        <f>IF(AND($C902=12,$D902=Input!$C$6),0,IF($E903="","",$AN903+AO904/(1+$L903)*$R903))</f>
        <v>28086.684180259639</v>
      </c>
      <c r="AP903" s="152"/>
      <c r="AQ903" s="164">
        <f t="shared" si="301"/>
        <v>10723.925841691387</v>
      </c>
      <c r="AR903" s="164">
        <f t="shared" si="310"/>
        <v>41900.076852144273</v>
      </c>
      <c r="AS903" s="164">
        <f t="shared" si="311"/>
        <v>45385.645933014355</v>
      </c>
      <c r="AT903" s="164">
        <f t="shared" si="302"/>
        <v>45385.645933014355</v>
      </c>
      <c r="AU903" s="152"/>
      <c r="AV903" s="147">
        <f>'Deterministic Reserve'!BC903</f>
        <v>6.1174017873368048E-20</v>
      </c>
      <c r="AW903" s="164">
        <f t="shared" si="303"/>
        <v>45385.645933014355</v>
      </c>
      <c r="AX903" s="164">
        <f t="shared" si="304"/>
        <v>2.7764223155005739E-15</v>
      </c>
      <c r="AY903" s="152"/>
    </row>
    <row r="904" spans="1:51" s="150" customFormat="1" x14ac:dyDescent="0.25">
      <c r="A904" s="150">
        <f t="shared" si="312"/>
        <v>900</v>
      </c>
      <c r="B904" s="150">
        <f t="shared" si="313"/>
        <v>75</v>
      </c>
      <c r="C904" s="150">
        <f t="shared" si="314"/>
        <v>12</v>
      </c>
      <c r="D904" s="150">
        <f>IF(E904="","",Input!$C$4+B904-1)</f>
        <v>119</v>
      </c>
      <c r="E904" s="150">
        <f>IF(OR(AND(C903=12,D903=Input!$C$6),E903=""),"",1)</f>
        <v>1</v>
      </c>
      <c r="F904" s="150">
        <f>IF(E904="","",Input!$C$8+B904-1)</f>
        <v>2092</v>
      </c>
      <c r="G904" s="151">
        <f>IF(E904="","",MAX(0,Input!$C$9-B904))</f>
        <v>0</v>
      </c>
      <c r="H904" s="152">
        <f>IF(E904="","",Input!$C$3)</f>
        <v>100000</v>
      </c>
      <c r="I904" s="153">
        <f>IF(E904="","",HLOOKUP($B904,Input!$C$13:$BT$14,2))</f>
        <v>1000</v>
      </c>
      <c r="J904" s="154"/>
      <c r="K904" s="155">
        <f>IF($E904="","",Input!$C$57)</f>
        <v>4.4999999999999998E-2</v>
      </c>
      <c r="L904" s="155">
        <f t="shared" si="305"/>
        <v>3.6748094004368514E-3</v>
      </c>
      <c r="M904" s="147">
        <f>IF($E904="","",VLOOKUP(IF($B904&lt;=Input!$C$7,$B904,26),'Mortality Tables'!$A$72:$CA$97,IF($B904&lt;=Input!$C$7+1,Input!$C$4-16,$D904-Input!$C$7-16),0)/1000)</f>
        <v>0.94855999999999996</v>
      </c>
      <c r="N904" s="147">
        <f t="shared" si="294"/>
        <v>0.21907664158399753</v>
      </c>
      <c r="O904" s="157">
        <f>IF($E904="","",IF($C904=12,IF($B904&lt;Input!$C$9,Input!$C$54,IF($B904=Input!$C$9,Input!$C$55,Input!$C$56)),0%))</f>
        <v>0.1</v>
      </c>
      <c r="P904" s="167">
        <f>IF($E904="","",IF($B904=1,Input!$C$59,IF($B904&lt;6,Input!$C$60,0%)))</f>
        <v>0</v>
      </c>
      <c r="Q904" s="162">
        <f>IF($E904="","",Input!$C$58)</f>
        <v>2.5</v>
      </c>
      <c r="R904" s="156">
        <f t="shared" si="306"/>
        <v>0.68092335841600249</v>
      </c>
      <c r="S904" s="154">
        <f t="shared" si="295"/>
        <v>9.5032332802683368E-16</v>
      </c>
      <c r="T904" s="152"/>
      <c r="U904" s="150">
        <f t="shared" si="307"/>
        <v>0</v>
      </c>
      <c r="V904" s="150">
        <f t="shared" si="308"/>
        <v>0</v>
      </c>
      <c r="W904" s="168">
        <f t="shared" si="309"/>
        <v>0</v>
      </c>
      <c r="X904" s="163">
        <f t="shared" si="296"/>
        <v>21907.664158399752</v>
      </c>
      <c r="Y904" s="152"/>
      <c r="Z904" s="164">
        <f>IF(AND($C903=12,$D903=Input!$C$6),0,IF($E904="","",V904+Z905/(1+L904)*R904))</f>
        <v>67843.025653175879</v>
      </c>
      <c r="AA904" s="164">
        <f>IF(OR($M904=1,AND($C903=12,$D903=Input!$C$6)),0,IF($E904="","",W904+(X904+AA905*$R904)/(1+$L904)))</f>
        <v>21827.452431018657</v>
      </c>
      <c r="AB904" s="160">
        <f t="shared" si="297"/>
        <v>0.825720328500681</v>
      </c>
      <c r="AC904" s="164">
        <f t="shared" si="298"/>
        <v>0</v>
      </c>
      <c r="AD904" s="164">
        <f>IF(AND($C903=12,$D903=Input!$C$6),0,IF($E904="","",$AC904+AD905/(1+$L904)*$R904))</f>
        <v>56019.365428820514</v>
      </c>
      <c r="AE904" s="152"/>
      <c r="AF904" s="164">
        <f>IF(AND($C903=12,$D903=Input!$C$6),0,IF($E904="","",IF($B904&gt;Input!$C$9,$AC904,0)+AF905/(1+$L904)*$R904))</f>
        <v>56019.365428820514</v>
      </c>
      <c r="AG904" s="164">
        <f>IF(AND($C903=12,$D903=Input!$C$6),0,IF($E904="","",(IF($B904&gt;Input!$C$9,$X904,0)+AG905)/(1+$L904)*$R904))</f>
        <v>14862.822214994761</v>
      </c>
      <c r="AH904" s="160">
        <f t="shared" si="299"/>
        <v>2.0950137211446997</v>
      </c>
      <c r="AI904" s="160">
        <f>IF($E904="","",MIN(Input!$C$61/AH904,1))</f>
        <v>0.64438718771845094</v>
      </c>
      <c r="AJ904" s="152"/>
      <c r="AK904" s="164">
        <f>IF(AND($C903=12,$D903=Input!$C$6),0,IF($E904="","",IF($B904&gt;Input!$C$9,$AC904*AI904,0)+AK905/(1+$L904)*$R904))</f>
        <v>36098.161346449866</v>
      </c>
      <c r="AL904" s="164">
        <f>IF(AND($C903=12,$D903=Input!$C$6),0,IF($E904="","",IF($B904&gt;Input!$C$9,0,$AC904)+AL905/(1+$L904)*$R904))</f>
        <v>0</v>
      </c>
      <c r="AM904" s="160">
        <f t="shared" si="300"/>
        <v>1.1382936520186004</v>
      </c>
      <c r="AN904" s="164">
        <f>IF($E904="","",IF($B904&gt;Input!$C$9,$AI904*$AC904,$AM904*$AC904))</f>
        <v>0</v>
      </c>
      <c r="AO904" s="164">
        <f>IF(AND($C903=12,$D903=Input!$C$6),0,IF($E904="","",$AN904+AO905/(1+$L904)*$R904))</f>
        <v>36098.161346449866</v>
      </c>
      <c r="AP904" s="152"/>
      <c r="AQ904" s="164">
        <f t="shared" si="301"/>
        <v>-14270.708915431209</v>
      </c>
      <c r="AR904" s="164">
        <f t="shared" si="310"/>
        <v>41900.076852144273</v>
      </c>
      <c r="AS904" s="164">
        <f t="shared" si="311"/>
        <v>45385.645933014355</v>
      </c>
      <c r="AT904" s="164">
        <f t="shared" si="302"/>
        <v>45385.645933014355</v>
      </c>
      <c r="AU904" s="152"/>
      <c r="AV904" s="147">
        <f>'Deterministic Reserve'!BC904</f>
        <v>4.9366827224870287E-20</v>
      </c>
      <c r="AW904" s="164">
        <f t="shared" si="303"/>
        <v>45385.645933014355</v>
      </c>
      <c r="AX904" s="164">
        <f t="shared" si="304"/>
        <v>2.2405453412642566E-15</v>
      </c>
      <c r="AY904" s="152"/>
    </row>
    <row r="905" spans="1:51" s="150" customFormat="1" x14ac:dyDescent="0.25">
      <c r="A905" s="150">
        <f t="shared" si="312"/>
        <v>901</v>
      </c>
      <c r="B905" s="150">
        <f t="shared" si="313"/>
        <v>76</v>
      </c>
      <c r="C905" s="150">
        <f t="shared" si="314"/>
        <v>1</v>
      </c>
      <c r="D905" s="150">
        <f>IF(E905="","",Input!$C$4+B905-1)</f>
        <v>120</v>
      </c>
      <c r="E905" s="150">
        <f>IF(OR(AND(C904=12,D904=Input!$C$6),E904=""),"",1)</f>
        <v>1</v>
      </c>
      <c r="F905" s="150">
        <f>IF(E905="","",Input!$C$8+B905-1)</f>
        <v>2093</v>
      </c>
      <c r="G905" s="151">
        <f>IF(E905="","",MAX(0,Input!$C$9-B905))</f>
        <v>0</v>
      </c>
      <c r="H905" s="152">
        <f>IF(E905="","",Input!$C$3)</f>
        <v>100000</v>
      </c>
      <c r="I905" s="153">
        <f>IF(E905="","",HLOOKUP($B905,Input!$C$13:$BT$14,2))</f>
        <v>1000</v>
      </c>
      <c r="J905" s="154"/>
      <c r="K905" s="155">
        <f>IF($E905="","",Input!$C$57)</f>
        <v>4.4999999999999998E-2</v>
      </c>
      <c r="L905" s="155">
        <f t="shared" si="305"/>
        <v>3.6748094004368514E-3</v>
      </c>
      <c r="M905" s="147">
        <f>IF($E905="","",VLOOKUP(IF($B905&lt;=Input!$C$7,$B905,26),'Mortality Tables'!$A$72:$CA$97,IF($B905&lt;=Input!$C$7+1,Input!$C$4-16,$D905-Input!$C$7-16),0)/1000)</f>
        <v>1</v>
      </c>
      <c r="N905" s="147">
        <f t="shared" si="294"/>
        <v>1</v>
      </c>
      <c r="O905" s="157">
        <f>IF($E905="","",IF($C905=12,IF($B905&lt;Input!$C$9,Input!$C$54,IF($B905=Input!$C$9,Input!$C$55,Input!$C$56)),0%))</f>
        <v>0</v>
      </c>
      <c r="P905" s="167">
        <f>IF($E905="","",IF($B905=1,Input!$C$59,IF($B905&lt;6,Input!$C$60,0%)))</f>
        <v>0</v>
      </c>
      <c r="Q905" s="162">
        <f>IF($E905="","",Input!$C$58)</f>
        <v>2.5</v>
      </c>
      <c r="R905" s="156">
        <f t="shared" si="306"/>
        <v>0</v>
      </c>
      <c r="S905" s="154">
        <f t="shared" si="295"/>
        <v>0</v>
      </c>
      <c r="T905" s="152"/>
      <c r="U905" s="150">
        <f t="shared" si="307"/>
        <v>100000</v>
      </c>
      <c r="V905" s="150">
        <f t="shared" si="308"/>
        <v>100000</v>
      </c>
      <c r="W905" s="168">
        <f t="shared" si="309"/>
        <v>0</v>
      </c>
      <c r="X905" s="163">
        <f t="shared" si="296"/>
        <v>100000</v>
      </c>
      <c r="Y905" s="152"/>
      <c r="Z905" s="164">
        <f>IF(AND($C904=12,$D904=Input!$C$6),0,IF($E905="","",V905+Z906/(1+L905)*R905))</f>
        <v>100000</v>
      </c>
      <c r="AA905" s="164">
        <f>IF(OR($M905=1,AND($C904=12,$D904=Input!$C$6)),0,IF($E905="","",W905+(X905+AA906*$R905)/(1+$L905)))</f>
        <v>0</v>
      </c>
      <c r="AB905" s="160">
        <f t="shared" si="297"/>
        <v>0.825720328500681</v>
      </c>
      <c r="AC905" s="164">
        <f t="shared" si="298"/>
        <v>82572.032850068106</v>
      </c>
      <c r="AD905" s="164">
        <f>IF(AND($C904=12,$D904=Input!$C$6),0,IF($E905="","",$AC905+AD906/(1+$L905)*$R905))</f>
        <v>82572.032850068106</v>
      </c>
      <c r="AE905" s="152"/>
      <c r="AF905" s="164">
        <f>IF(AND($C904=12,$D904=Input!$C$6),0,IF($E905="","",IF($B905&gt;Input!$C$9,$AC905,0)+AF906/(1+$L905)*$R905))</f>
        <v>82572.032850068106</v>
      </c>
      <c r="AG905" s="164">
        <f>IF(AND($C904=12,$D904=Input!$C$6),0,IF($E905="","",(IF($B905&gt;Input!$C$9,$X905,0)+AG906)/(1+$L905)*$R905))</f>
        <v>0</v>
      </c>
      <c r="AH905" s="160">
        <f t="shared" si="299"/>
        <v>2.0950137211446997</v>
      </c>
      <c r="AI905" s="160">
        <f>IF($E905="","",MIN(Input!$C$61/AH905,1))</f>
        <v>0.64438718771845094</v>
      </c>
      <c r="AJ905" s="152"/>
      <c r="AK905" s="164">
        <f>IF(AND($C904=12,$D904=Input!$C$6),0,IF($E905="","",IF($B905&gt;Input!$C$9,$AC905*AI905,0)+AK906/(1+$L905)*$R905))</f>
        <v>53208.360032450932</v>
      </c>
      <c r="AL905" s="164">
        <f>IF(AND($C904=12,$D904=Input!$C$6),0,IF($E905="","",IF($B905&gt;Input!$C$9,0,$AC905)+AL906/(1+$L905)*$R905))</f>
        <v>0</v>
      </c>
      <c r="AM905" s="160">
        <f t="shared" si="300"/>
        <v>1.1382936520186004</v>
      </c>
      <c r="AN905" s="164">
        <f>IF($E905="","",IF($B905&gt;Input!$C$9,$AI905*$AC905,$AM905*$AC905))</f>
        <v>53208.360032450932</v>
      </c>
      <c r="AO905" s="164">
        <f>IF(AND($C904=12,$D904=Input!$C$6),0,IF($E905="","",$AN905+AO906/(1+$L905)*$R905))</f>
        <v>53208.360032450932</v>
      </c>
      <c r="AP905" s="152"/>
      <c r="AQ905" s="164">
        <f t="shared" si="301"/>
        <v>-53208.360032450932</v>
      </c>
      <c r="AR905" s="164">
        <f t="shared" si="310"/>
        <v>0</v>
      </c>
      <c r="AS905" s="164">
        <f t="shared" si="311"/>
        <v>0</v>
      </c>
      <c r="AT905" s="164">
        <f t="shared" si="302"/>
        <v>0</v>
      </c>
      <c r="AU905" s="152"/>
      <c r="AV905" s="147">
        <f>'Deterministic Reserve'!BC905</f>
        <v>4.4816556978993465E-20</v>
      </c>
      <c r="AW905" s="164">
        <f t="shared" si="303"/>
        <v>0</v>
      </c>
      <c r="AX905" s="164">
        <f t="shared" si="304"/>
        <v>0</v>
      </c>
      <c r="AY905" s="152"/>
    </row>
    <row r="906" spans="1:51" s="150" customFormat="1" x14ac:dyDescent="0.25">
      <c r="A906" s="150">
        <f t="shared" si="312"/>
        <v>902</v>
      </c>
      <c r="B906" s="150">
        <f t="shared" si="313"/>
        <v>76</v>
      </c>
      <c r="C906" s="150">
        <f t="shared" si="314"/>
        <v>2</v>
      </c>
      <c r="D906" s="150">
        <f>IF(E906="","",Input!$C$4+B906-1)</f>
        <v>120</v>
      </c>
      <c r="E906" s="150">
        <f>IF(OR(AND(C905=12,D905=Input!$C$6),E905=""),"",1)</f>
        <v>1</v>
      </c>
      <c r="F906" s="150">
        <f>IF(E906="","",Input!$C$8+B906-1)</f>
        <v>2093</v>
      </c>
      <c r="G906" s="151">
        <f>IF(E906="","",MAX(0,Input!$C$9-B906))</f>
        <v>0</v>
      </c>
      <c r="H906" s="152">
        <f>IF(E906="","",Input!$C$3)</f>
        <v>100000</v>
      </c>
      <c r="I906" s="153">
        <f>IF(E906="","",HLOOKUP($B906,Input!$C$13:$BT$14,2))</f>
        <v>1000</v>
      </c>
      <c r="J906" s="154"/>
      <c r="K906" s="155">
        <f>IF($E906="","",Input!$C$57)</f>
        <v>4.4999999999999998E-2</v>
      </c>
      <c r="L906" s="155">
        <f t="shared" si="305"/>
        <v>3.6748094004368514E-3</v>
      </c>
      <c r="M906" s="147">
        <f>IF($E906="","",VLOOKUP(IF($B906&lt;=Input!$C$7,$B906,26),'Mortality Tables'!$A$72:$CA$97,IF($B906&lt;=Input!$C$7+1,Input!$C$4-16,$D906-Input!$C$7-16),0)/1000)</f>
        <v>1</v>
      </c>
      <c r="N906" s="147">
        <f t="shared" si="294"/>
        <v>1</v>
      </c>
      <c r="O906" s="157">
        <f>IF($E906="","",IF($C906=12,IF($B906&lt;Input!$C$9,Input!$C$54,IF($B906=Input!$C$9,Input!$C$55,Input!$C$56)),0%))</f>
        <v>0</v>
      </c>
      <c r="P906" s="167">
        <f>IF($E906="","",IF($B906=1,Input!$C$59,IF($B906&lt;6,Input!$C$60,0%)))</f>
        <v>0</v>
      </c>
      <c r="Q906" s="162">
        <f>IF($E906="","",Input!$C$58)</f>
        <v>2.5</v>
      </c>
      <c r="R906" s="156">
        <f t="shared" si="306"/>
        <v>0</v>
      </c>
      <c r="S906" s="154">
        <f t="shared" si="295"/>
        <v>0</v>
      </c>
      <c r="T906" s="152"/>
      <c r="U906" s="150">
        <f t="shared" si="307"/>
        <v>0</v>
      </c>
      <c r="V906" s="150">
        <f t="shared" si="308"/>
        <v>0</v>
      </c>
      <c r="W906" s="168">
        <f t="shared" si="309"/>
        <v>0</v>
      </c>
      <c r="X906" s="163">
        <f t="shared" si="296"/>
        <v>100000</v>
      </c>
      <c r="Y906" s="152"/>
      <c r="Z906" s="164">
        <f>IF(AND($C905=12,$D905=Input!$C$6),0,IF($E906="","",V906+Z907/(1+L906)*R906))</f>
        <v>0</v>
      </c>
      <c r="AA906" s="164">
        <f>IF(OR($M906=1,AND($C905=12,$D905=Input!$C$6)),0,IF($E906="","",W906+(X906+AA907*$R906)/(1+$L906)))</f>
        <v>0</v>
      </c>
      <c r="AB906" s="160">
        <f t="shared" si="297"/>
        <v>0.825720328500681</v>
      </c>
      <c r="AC906" s="164">
        <f t="shared" si="298"/>
        <v>0</v>
      </c>
      <c r="AD906" s="164">
        <f>IF(AND($C905=12,$D905=Input!$C$6),0,IF($E906="","",$AC906+AD907/(1+$L906)*$R906))</f>
        <v>0</v>
      </c>
      <c r="AE906" s="152"/>
      <c r="AF906" s="164">
        <f>IF(AND($C905=12,$D905=Input!$C$6),0,IF($E906="","",IF($B906&gt;Input!$C$9,$AC906,0)+AF907/(1+$L906)*$R906))</f>
        <v>0</v>
      </c>
      <c r="AG906" s="164">
        <f>IF(AND($C905=12,$D905=Input!$C$6),0,IF($E906="","",(IF($B906&gt;Input!$C$9,$X906,0)+AG907)/(1+$L906)*$R906))</f>
        <v>0</v>
      </c>
      <c r="AH906" s="160">
        <f t="shared" si="299"/>
        <v>2.0950137211446997</v>
      </c>
      <c r="AI906" s="160">
        <f>IF($E906="","",MIN(Input!$C$61/AH906,1))</f>
        <v>0.64438718771845094</v>
      </c>
      <c r="AJ906" s="152"/>
      <c r="AK906" s="164">
        <f>IF(AND($C905=12,$D905=Input!$C$6),0,IF($E906="","",IF($B906&gt;Input!$C$9,$AC906*AI906,0)+AK907/(1+$L906)*$R906))</f>
        <v>0</v>
      </c>
      <c r="AL906" s="164">
        <f>IF(AND($C905=12,$D905=Input!$C$6),0,IF($E906="","",IF($B906&gt;Input!$C$9,0,$AC906)+AL907/(1+$L906)*$R906))</f>
        <v>0</v>
      </c>
      <c r="AM906" s="160">
        <f t="shared" si="300"/>
        <v>1.1382936520186004</v>
      </c>
      <c r="AN906" s="164">
        <f>IF($E906="","",IF($B906&gt;Input!$C$9,$AI906*$AC906,$AM906*$AC906))</f>
        <v>0</v>
      </c>
      <c r="AO906" s="164">
        <f>IF(AND($C905=12,$D905=Input!$C$6),0,IF($E906="","",$AN906+AO907/(1+$L906)*$R906))</f>
        <v>0</v>
      </c>
      <c r="AP906" s="152"/>
      <c r="AQ906" s="164">
        <f t="shared" si="301"/>
        <v>0</v>
      </c>
      <c r="AR906" s="164">
        <f t="shared" si="310"/>
        <v>0</v>
      </c>
      <c r="AS906" s="164">
        <f t="shared" si="311"/>
        <v>0</v>
      </c>
      <c r="AT906" s="164">
        <f t="shared" si="302"/>
        <v>0</v>
      </c>
      <c r="AU906" s="152"/>
      <c r="AV906" s="147">
        <f>'Deterministic Reserve'!BC906</f>
        <v>4.0685697103894552E-20</v>
      </c>
      <c r="AW906" s="164">
        <f t="shared" si="303"/>
        <v>0</v>
      </c>
      <c r="AX906" s="164">
        <f t="shared" si="304"/>
        <v>0</v>
      </c>
      <c r="AY906" s="152"/>
    </row>
    <row r="907" spans="1:51" s="150" customFormat="1" x14ac:dyDescent="0.25">
      <c r="A907" s="150">
        <f t="shared" si="312"/>
        <v>903</v>
      </c>
      <c r="B907" s="150">
        <f t="shared" si="313"/>
        <v>76</v>
      </c>
      <c r="C907" s="150">
        <f t="shared" si="314"/>
        <v>3</v>
      </c>
      <c r="D907" s="150">
        <f>IF(E907="","",Input!$C$4+B907-1)</f>
        <v>120</v>
      </c>
      <c r="E907" s="150">
        <f>IF(OR(AND(C906=12,D906=Input!$C$6),E906=""),"",1)</f>
        <v>1</v>
      </c>
      <c r="F907" s="150">
        <f>IF(E907="","",Input!$C$8+B907-1)</f>
        <v>2093</v>
      </c>
      <c r="G907" s="151">
        <f>IF(E907="","",MAX(0,Input!$C$9-B907))</f>
        <v>0</v>
      </c>
      <c r="H907" s="152">
        <f>IF(E907="","",Input!$C$3)</f>
        <v>100000</v>
      </c>
      <c r="I907" s="153">
        <f>IF(E907="","",HLOOKUP($B907,Input!$C$13:$BT$14,2))</f>
        <v>1000</v>
      </c>
      <c r="J907" s="154"/>
      <c r="K907" s="155">
        <f>IF($E907="","",Input!$C$57)</f>
        <v>4.4999999999999998E-2</v>
      </c>
      <c r="L907" s="155">
        <f t="shared" si="305"/>
        <v>3.6748094004368514E-3</v>
      </c>
      <c r="M907" s="147">
        <f>IF($E907="","",VLOOKUP(IF($B907&lt;=Input!$C$7,$B907,26),'Mortality Tables'!$A$72:$CA$97,IF($B907&lt;=Input!$C$7+1,Input!$C$4-16,$D907-Input!$C$7-16),0)/1000)</f>
        <v>1</v>
      </c>
      <c r="N907" s="147">
        <f t="shared" si="294"/>
        <v>1</v>
      </c>
      <c r="O907" s="157">
        <f>IF($E907="","",IF($C907=12,IF($B907&lt;Input!$C$9,Input!$C$54,IF($B907=Input!$C$9,Input!$C$55,Input!$C$56)),0%))</f>
        <v>0</v>
      </c>
      <c r="P907" s="167">
        <f>IF($E907="","",IF($B907=1,Input!$C$59,IF($B907&lt;6,Input!$C$60,0%)))</f>
        <v>0</v>
      </c>
      <c r="Q907" s="162">
        <f>IF($E907="","",Input!$C$58)</f>
        <v>2.5</v>
      </c>
      <c r="R907" s="156">
        <f t="shared" si="306"/>
        <v>0</v>
      </c>
      <c r="S907" s="154">
        <f t="shared" si="295"/>
        <v>0</v>
      </c>
      <c r="T907" s="152"/>
      <c r="U907" s="150">
        <f t="shared" si="307"/>
        <v>0</v>
      </c>
      <c r="V907" s="150">
        <f t="shared" si="308"/>
        <v>0</v>
      </c>
      <c r="W907" s="168">
        <f t="shared" si="309"/>
        <v>0</v>
      </c>
      <c r="X907" s="163">
        <f t="shared" si="296"/>
        <v>100000</v>
      </c>
      <c r="Y907" s="152"/>
      <c r="Z907" s="164">
        <f>IF(AND($C906=12,$D906=Input!$C$6),0,IF($E907="","",V907+Z908/(1+L907)*R907))</f>
        <v>0</v>
      </c>
      <c r="AA907" s="164">
        <f>IF(OR($M907=1,AND($C906=12,$D906=Input!$C$6)),0,IF($E907="","",W907+(X907+AA908*$R907)/(1+$L907)))</f>
        <v>0</v>
      </c>
      <c r="AB907" s="160">
        <f t="shared" si="297"/>
        <v>0.825720328500681</v>
      </c>
      <c r="AC907" s="164">
        <f t="shared" si="298"/>
        <v>0</v>
      </c>
      <c r="AD907" s="164">
        <f>IF(AND($C906=12,$D906=Input!$C$6),0,IF($E907="","",$AC907+AD908/(1+$L907)*$R907))</f>
        <v>0</v>
      </c>
      <c r="AE907" s="152"/>
      <c r="AF907" s="164">
        <f>IF(AND($C906=12,$D906=Input!$C$6),0,IF($E907="","",IF($B907&gt;Input!$C$9,$AC907,0)+AF908/(1+$L907)*$R907))</f>
        <v>0</v>
      </c>
      <c r="AG907" s="164">
        <f>IF(AND($C906=12,$D906=Input!$C$6),0,IF($E907="","",(IF($B907&gt;Input!$C$9,$X907,0)+AG908)/(1+$L907)*$R907))</f>
        <v>0</v>
      </c>
      <c r="AH907" s="160">
        <f t="shared" si="299"/>
        <v>2.0950137211446997</v>
      </c>
      <c r="AI907" s="160">
        <f>IF($E907="","",MIN(Input!$C$61/AH907,1))</f>
        <v>0.64438718771845094</v>
      </c>
      <c r="AJ907" s="152"/>
      <c r="AK907" s="164">
        <f>IF(AND($C906=12,$D906=Input!$C$6),0,IF($E907="","",IF($B907&gt;Input!$C$9,$AC907*AI907,0)+AK908/(1+$L907)*$R907))</f>
        <v>0</v>
      </c>
      <c r="AL907" s="164">
        <f>IF(AND($C906=12,$D906=Input!$C$6),0,IF($E907="","",IF($B907&gt;Input!$C$9,0,$AC907)+AL908/(1+$L907)*$R907))</f>
        <v>0</v>
      </c>
      <c r="AM907" s="160">
        <f t="shared" si="300"/>
        <v>1.1382936520186004</v>
      </c>
      <c r="AN907" s="164">
        <f>IF($E907="","",IF($B907&gt;Input!$C$9,$AI907*$AC907,$AM907*$AC907))</f>
        <v>0</v>
      </c>
      <c r="AO907" s="164">
        <f>IF(AND($C906=12,$D906=Input!$C$6),0,IF($E907="","",$AN907+AO908/(1+$L907)*$R907))</f>
        <v>0</v>
      </c>
      <c r="AP907" s="152"/>
      <c r="AQ907" s="164">
        <f t="shared" si="301"/>
        <v>0</v>
      </c>
      <c r="AR907" s="164">
        <f t="shared" si="310"/>
        <v>0</v>
      </c>
      <c r="AS907" s="164">
        <f t="shared" si="311"/>
        <v>0</v>
      </c>
      <c r="AT907" s="164">
        <f t="shared" si="302"/>
        <v>0</v>
      </c>
      <c r="AU907" s="152"/>
      <c r="AV907" s="147">
        <f>'Deterministic Reserve'!BC907</f>
        <v>3.6935589443110107E-20</v>
      </c>
      <c r="AW907" s="164">
        <f t="shared" si="303"/>
        <v>0</v>
      </c>
      <c r="AX907" s="164">
        <f t="shared" si="304"/>
        <v>0</v>
      </c>
      <c r="AY907" s="152"/>
    </row>
    <row r="908" spans="1:51" s="150" customFormat="1" x14ac:dyDescent="0.25">
      <c r="A908" s="150">
        <f t="shared" si="312"/>
        <v>904</v>
      </c>
      <c r="B908" s="150">
        <f t="shared" si="313"/>
        <v>76</v>
      </c>
      <c r="C908" s="150">
        <f t="shared" si="314"/>
        <v>4</v>
      </c>
      <c r="D908" s="150">
        <f>IF(E908="","",Input!$C$4+B908-1)</f>
        <v>120</v>
      </c>
      <c r="E908" s="150">
        <f>IF(OR(AND(C907=12,D907=Input!$C$6),E907=""),"",1)</f>
        <v>1</v>
      </c>
      <c r="F908" s="150">
        <f>IF(E908="","",Input!$C$8+B908-1)</f>
        <v>2093</v>
      </c>
      <c r="G908" s="151">
        <f>IF(E908="","",MAX(0,Input!$C$9-B908))</f>
        <v>0</v>
      </c>
      <c r="H908" s="152">
        <f>IF(E908="","",Input!$C$3)</f>
        <v>100000</v>
      </c>
      <c r="I908" s="153">
        <f>IF(E908="","",HLOOKUP($B908,Input!$C$13:$BT$14,2))</f>
        <v>1000</v>
      </c>
      <c r="J908" s="154"/>
      <c r="K908" s="155">
        <f>IF($E908="","",Input!$C$57)</f>
        <v>4.4999999999999998E-2</v>
      </c>
      <c r="L908" s="155">
        <f t="shared" si="305"/>
        <v>3.6748094004368514E-3</v>
      </c>
      <c r="M908" s="147">
        <f>IF($E908="","",VLOOKUP(IF($B908&lt;=Input!$C$7,$B908,26),'Mortality Tables'!$A$72:$CA$97,IF($B908&lt;=Input!$C$7+1,Input!$C$4-16,$D908-Input!$C$7-16),0)/1000)</f>
        <v>1</v>
      </c>
      <c r="N908" s="147">
        <f t="shared" si="294"/>
        <v>1</v>
      </c>
      <c r="O908" s="157">
        <f>IF($E908="","",IF($C908=12,IF($B908&lt;Input!$C$9,Input!$C$54,IF($B908=Input!$C$9,Input!$C$55,Input!$C$56)),0%))</f>
        <v>0</v>
      </c>
      <c r="P908" s="167">
        <f>IF($E908="","",IF($B908=1,Input!$C$59,IF($B908&lt;6,Input!$C$60,0%)))</f>
        <v>0</v>
      </c>
      <c r="Q908" s="162">
        <f>IF($E908="","",Input!$C$58)</f>
        <v>2.5</v>
      </c>
      <c r="R908" s="156">
        <f t="shared" si="306"/>
        <v>0</v>
      </c>
      <c r="S908" s="154">
        <f t="shared" si="295"/>
        <v>0</v>
      </c>
      <c r="T908" s="152"/>
      <c r="U908" s="150">
        <f t="shared" si="307"/>
        <v>0</v>
      </c>
      <c r="V908" s="150">
        <f t="shared" si="308"/>
        <v>0</v>
      </c>
      <c r="W908" s="168">
        <f t="shared" si="309"/>
        <v>0</v>
      </c>
      <c r="X908" s="163">
        <f t="shared" si="296"/>
        <v>100000</v>
      </c>
      <c r="Y908" s="152"/>
      <c r="Z908" s="164">
        <f>IF(AND($C907=12,$D907=Input!$C$6),0,IF($E908="","",V908+Z909/(1+L908)*R908))</f>
        <v>0</v>
      </c>
      <c r="AA908" s="164">
        <f>IF(OR($M908=1,AND($C907=12,$D907=Input!$C$6)),0,IF($E908="","",W908+(X908+AA909*$R908)/(1+$L908)))</f>
        <v>0</v>
      </c>
      <c r="AB908" s="160">
        <f t="shared" si="297"/>
        <v>0.825720328500681</v>
      </c>
      <c r="AC908" s="164">
        <f t="shared" si="298"/>
        <v>0</v>
      </c>
      <c r="AD908" s="164">
        <f>IF(AND($C907=12,$D907=Input!$C$6),0,IF($E908="","",$AC908+AD909/(1+$L908)*$R908))</f>
        <v>0</v>
      </c>
      <c r="AE908" s="152"/>
      <c r="AF908" s="164">
        <f>IF(AND($C907=12,$D907=Input!$C$6),0,IF($E908="","",IF($B908&gt;Input!$C$9,$AC908,0)+AF909/(1+$L908)*$R908))</f>
        <v>0</v>
      </c>
      <c r="AG908" s="164">
        <f>IF(AND($C907=12,$D907=Input!$C$6),0,IF($E908="","",(IF($B908&gt;Input!$C$9,$X908,0)+AG909)/(1+$L908)*$R908))</f>
        <v>0</v>
      </c>
      <c r="AH908" s="160">
        <f t="shared" si="299"/>
        <v>2.0950137211446997</v>
      </c>
      <c r="AI908" s="160">
        <f>IF($E908="","",MIN(Input!$C$61/AH908,1))</f>
        <v>0.64438718771845094</v>
      </c>
      <c r="AJ908" s="152"/>
      <c r="AK908" s="164">
        <f>IF(AND($C907=12,$D907=Input!$C$6),0,IF($E908="","",IF($B908&gt;Input!$C$9,$AC908*AI908,0)+AK909/(1+$L908)*$R908))</f>
        <v>0</v>
      </c>
      <c r="AL908" s="164">
        <f>IF(AND($C907=12,$D907=Input!$C$6),0,IF($E908="","",IF($B908&gt;Input!$C$9,0,$AC908)+AL909/(1+$L908)*$R908))</f>
        <v>0</v>
      </c>
      <c r="AM908" s="160">
        <f t="shared" si="300"/>
        <v>1.1382936520186004</v>
      </c>
      <c r="AN908" s="164">
        <f>IF($E908="","",IF($B908&gt;Input!$C$9,$AI908*$AC908,$AM908*$AC908))</f>
        <v>0</v>
      </c>
      <c r="AO908" s="164">
        <f>IF(AND($C907=12,$D907=Input!$C$6),0,IF($E908="","",$AN908+AO909/(1+$L908)*$R908))</f>
        <v>0</v>
      </c>
      <c r="AP908" s="152"/>
      <c r="AQ908" s="164">
        <f t="shared" si="301"/>
        <v>0</v>
      </c>
      <c r="AR908" s="164">
        <f t="shared" si="310"/>
        <v>0</v>
      </c>
      <c r="AS908" s="164">
        <f t="shared" si="311"/>
        <v>0</v>
      </c>
      <c r="AT908" s="164">
        <f t="shared" si="302"/>
        <v>0</v>
      </c>
      <c r="AU908" s="152"/>
      <c r="AV908" s="147">
        <f>'Deterministic Reserve'!BC908</f>
        <v>3.3531139064086429E-20</v>
      </c>
      <c r="AW908" s="164">
        <f t="shared" si="303"/>
        <v>0</v>
      </c>
      <c r="AX908" s="164">
        <f t="shared" si="304"/>
        <v>0</v>
      </c>
      <c r="AY908" s="152"/>
    </row>
    <row r="909" spans="1:51" s="150" customFormat="1" x14ac:dyDescent="0.25">
      <c r="A909" s="150">
        <f t="shared" si="312"/>
        <v>905</v>
      </c>
      <c r="B909" s="150">
        <f t="shared" si="313"/>
        <v>76</v>
      </c>
      <c r="C909" s="150">
        <f t="shared" si="314"/>
        <v>5</v>
      </c>
      <c r="D909" s="150">
        <f>IF(E909="","",Input!$C$4+B909-1)</f>
        <v>120</v>
      </c>
      <c r="E909" s="150">
        <f>IF(OR(AND(C908=12,D908=Input!$C$6),E908=""),"",1)</f>
        <v>1</v>
      </c>
      <c r="F909" s="150">
        <f>IF(E909="","",Input!$C$8+B909-1)</f>
        <v>2093</v>
      </c>
      <c r="G909" s="151">
        <f>IF(E909="","",MAX(0,Input!$C$9-B909))</f>
        <v>0</v>
      </c>
      <c r="H909" s="152">
        <f>IF(E909="","",Input!$C$3)</f>
        <v>100000</v>
      </c>
      <c r="I909" s="153">
        <f>IF(E909="","",HLOOKUP($B909,Input!$C$13:$BT$14,2))</f>
        <v>1000</v>
      </c>
      <c r="J909" s="154"/>
      <c r="K909" s="155">
        <f>IF($E909="","",Input!$C$57)</f>
        <v>4.4999999999999998E-2</v>
      </c>
      <c r="L909" s="155">
        <f t="shared" si="305"/>
        <v>3.6748094004368514E-3</v>
      </c>
      <c r="M909" s="147">
        <f>IF($E909="","",VLOOKUP(IF($B909&lt;=Input!$C$7,$B909,26),'Mortality Tables'!$A$72:$CA$97,IF($B909&lt;=Input!$C$7+1,Input!$C$4-16,$D909-Input!$C$7-16),0)/1000)</f>
        <v>1</v>
      </c>
      <c r="N909" s="147">
        <f t="shared" si="294"/>
        <v>1</v>
      </c>
      <c r="O909" s="157">
        <f>IF($E909="","",IF($C909=12,IF($B909&lt;Input!$C$9,Input!$C$54,IF($B909=Input!$C$9,Input!$C$55,Input!$C$56)),0%))</f>
        <v>0</v>
      </c>
      <c r="P909" s="167">
        <f>IF($E909="","",IF($B909=1,Input!$C$59,IF($B909&lt;6,Input!$C$60,0%)))</f>
        <v>0</v>
      </c>
      <c r="Q909" s="162">
        <f>IF($E909="","",Input!$C$58)</f>
        <v>2.5</v>
      </c>
      <c r="R909" s="156">
        <f t="shared" si="306"/>
        <v>0</v>
      </c>
      <c r="S909" s="154">
        <f t="shared" si="295"/>
        <v>0</v>
      </c>
      <c r="T909" s="152"/>
      <c r="U909" s="150">
        <f t="shared" si="307"/>
        <v>0</v>
      </c>
      <c r="V909" s="150">
        <f t="shared" si="308"/>
        <v>0</v>
      </c>
      <c r="W909" s="168">
        <f t="shared" si="309"/>
        <v>0</v>
      </c>
      <c r="X909" s="163">
        <f t="shared" si="296"/>
        <v>100000</v>
      </c>
      <c r="Y909" s="152"/>
      <c r="Z909" s="164">
        <f>IF(AND($C908=12,$D908=Input!$C$6),0,IF($E909="","",V909+Z910/(1+L909)*R909))</f>
        <v>0</v>
      </c>
      <c r="AA909" s="164">
        <f>IF(OR($M909=1,AND($C908=12,$D908=Input!$C$6)),0,IF($E909="","",W909+(X909+AA910*$R909)/(1+$L909)))</f>
        <v>0</v>
      </c>
      <c r="AB909" s="160">
        <f t="shared" si="297"/>
        <v>0.825720328500681</v>
      </c>
      <c r="AC909" s="164">
        <f t="shared" si="298"/>
        <v>0</v>
      </c>
      <c r="AD909" s="164">
        <f>IF(AND($C908=12,$D908=Input!$C$6),0,IF($E909="","",$AC909+AD910/(1+$L909)*$R909))</f>
        <v>0</v>
      </c>
      <c r="AE909" s="152"/>
      <c r="AF909" s="164">
        <f>IF(AND($C908=12,$D908=Input!$C$6),0,IF($E909="","",IF($B909&gt;Input!$C$9,$AC909,0)+AF910/(1+$L909)*$R909))</f>
        <v>0</v>
      </c>
      <c r="AG909" s="164">
        <f>IF(AND($C908=12,$D908=Input!$C$6),0,IF($E909="","",(IF($B909&gt;Input!$C$9,$X909,0)+AG910)/(1+$L909)*$R909))</f>
        <v>0</v>
      </c>
      <c r="AH909" s="160">
        <f t="shared" si="299"/>
        <v>2.0950137211446997</v>
      </c>
      <c r="AI909" s="160">
        <f>IF($E909="","",MIN(Input!$C$61/AH909,1))</f>
        <v>0.64438718771845094</v>
      </c>
      <c r="AJ909" s="152"/>
      <c r="AK909" s="164">
        <f>IF(AND($C908=12,$D908=Input!$C$6),0,IF($E909="","",IF($B909&gt;Input!$C$9,$AC909*AI909,0)+AK910/(1+$L909)*$R909))</f>
        <v>0</v>
      </c>
      <c r="AL909" s="164">
        <f>IF(AND($C908=12,$D908=Input!$C$6),0,IF($E909="","",IF($B909&gt;Input!$C$9,0,$AC909)+AL910/(1+$L909)*$R909))</f>
        <v>0</v>
      </c>
      <c r="AM909" s="160">
        <f t="shared" si="300"/>
        <v>1.1382936520186004</v>
      </c>
      <c r="AN909" s="164">
        <f>IF($E909="","",IF($B909&gt;Input!$C$9,$AI909*$AC909,$AM909*$AC909))</f>
        <v>0</v>
      </c>
      <c r="AO909" s="164">
        <f>IF(AND($C908=12,$D908=Input!$C$6),0,IF($E909="","",$AN909+AO910/(1+$L909)*$R909))</f>
        <v>0</v>
      </c>
      <c r="AP909" s="152"/>
      <c r="AQ909" s="164">
        <f t="shared" si="301"/>
        <v>0</v>
      </c>
      <c r="AR909" s="164">
        <f t="shared" si="310"/>
        <v>0</v>
      </c>
      <c r="AS909" s="164">
        <f t="shared" si="311"/>
        <v>0</v>
      </c>
      <c r="AT909" s="164">
        <f t="shared" si="302"/>
        <v>0</v>
      </c>
      <c r="AU909" s="152"/>
      <c r="AV909" s="147">
        <f>'Deterministic Reserve'!BC909</f>
        <v>3.0440485826464444E-20</v>
      </c>
      <c r="AW909" s="164">
        <f t="shared" si="303"/>
        <v>0</v>
      </c>
      <c r="AX909" s="164">
        <f t="shared" si="304"/>
        <v>0</v>
      </c>
      <c r="AY909" s="152"/>
    </row>
    <row r="910" spans="1:51" s="150" customFormat="1" x14ac:dyDescent="0.25">
      <c r="A910" s="150">
        <f t="shared" si="312"/>
        <v>906</v>
      </c>
      <c r="B910" s="150">
        <f t="shared" si="313"/>
        <v>76</v>
      </c>
      <c r="C910" s="150">
        <f t="shared" si="314"/>
        <v>6</v>
      </c>
      <c r="D910" s="150">
        <f>IF(E910="","",Input!$C$4+B910-1)</f>
        <v>120</v>
      </c>
      <c r="E910" s="150">
        <f>IF(OR(AND(C909=12,D909=Input!$C$6),E909=""),"",1)</f>
        <v>1</v>
      </c>
      <c r="F910" s="150">
        <f>IF(E910="","",Input!$C$8+B910-1)</f>
        <v>2093</v>
      </c>
      <c r="G910" s="151">
        <f>IF(E910="","",MAX(0,Input!$C$9-B910))</f>
        <v>0</v>
      </c>
      <c r="H910" s="152">
        <f>IF(E910="","",Input!$C$3)</f>
        <v>100000</v>
      </c>
      <c r="I910" s="153">
        <f>IF(E910="","",HLOOKUP($B910,Input!$C$13:$BT$14,2))</f>
        <v>1000</v>
      </c>
      <c r="J910" s="154"/>
      <c r="K910" s="155">
        <f>IF($E910="","",Input!$C$57)</f>
        <v>4.4999999999999998E-2</v>
      </c>
      <c r="L910" s="155">
        <f t="shared" si="305"/>
        <v>3.6748094004368514E-3</v>
      </c>
      <c r="M910" s="147">
        <f>IF($E910="","",VLOOKUP(IF($B910&lt;=Input!$C$7,$B910,26),'Mortality Tables'!$A$72:$CA$97,IF($B910&lt;=Input!$C$7+1,Input!$C$4-16,$D910-Input!$C$7-16),0)/1000)</f>
        <v>1</v>
      </c>
      <c r="N910" s="147">
        <f t="shared" si="294"/>
        <v>1</v>
      </c>
      <c r="O910" s="157">
        <f>IF($E910="","",IF($C910=12,IF($B910&lt;Input!$C$9,Input!$C$54,IF($B910=Input!$C$9,Input!$C$55,Input!$C$56)),0%))</f>
        <v>0</v>
      </c>
      <c r="P910" s="167">
        <f>IF($E910="","",IF($B910=1,Input!$C$59,IF($B910&lt;6,Input!$C$60,0%)))</f>
        <v>0</v>
      </c>
      <c r="Q910" s="162">
        <f>IF($E910="","",Input!$C$58)</f>
        <v>2.5</v>
      </c>
      <c r="R910" s="156">
        <f t="shared" si="306"/>
        <v>0</v>
      </c>
      <c r="S910" s="154">
        <f t="shared" si="295"/>
        <v>0</v>
      </c>
      <c r="T910" s="152"/>
      <c r="U910" s="150">
        <f t="shared" si="307"/>
        <v>0</v>
      </c>
      <c r="V910" s="150">
        <f t="shared" si="308"/>
        <v>0</v>
      </c>
      <c r="W910" s="168">
        <f t="shared" si="309"/>
        <v>0</v>
      </c>
      <c r="X910" s="163">
        <f t="shared" si="296"/>
        <v>100000</v>
      </c>
      <c r="Y910" s="152"/>
      <c r="Z910" s="164">
        <f>IF(AND($C909=12,$D909=Input!$C$6),0,IF($E910="","",V910+Z911/(1+L910)*R910))</f>
        <v>0</v>
      </c>
      <c r="AA910" s="164">
        <f>IF(OR($M910=1,AND($C909=12,$D909=Input!$C$6)),0,IF($E910="","",W910+(X910+AA911*$R910)/(1+$L910)))</f>
        <v>0</v>
      </c>
      <c r="AB910" s="160">
        <f t="shared" si="297"/>
        <v>0.825720328500681</v>
      </c>
      <c r="AC910" s="164">
        <f t="shared" si="298"/>
        <v>0</v>
      </c>
      <c r="AD910" s="164">
        <f>IF(AND($C909=12,$D909=Input!$C$6),0,IF($E910="","",$AC910+AD911/(1+$L910)*$R910))</f>
        <v>0</v>
      </c>
      <c r="AE910" s="152"/>
      <c r="AF910" s="164">
        <f>IF(AND($C909=12,$D909=Input!$C$6),0,IF($E910="","",IF($B910&gt;Input!$C$9,$AC910,0)+AF911/(1+$L910)*$R910))</f>
        <v>0</v>
      </c>
      <c r="AG910" s="164">
        <f>IF(AND($C909=12,$D909=Input!$C$6),0,IF($E910="","",(IF($B910&gt;Input!$C$9,$X910,0)+AG911)/(1+$L910)*$R910))</f>
        <v>0</v>
      </c>
      <c r="AH910" s="160">
        <f t="shared" si="299"/>
        <v>2.0950137211446997</v>
      </c>
      <c r="AI910" s="160">
        <f>IF($E910="","",MIN(Input!$C$61/AH910,1))</f>
        <v>0.64438718771845094</v>
      </c>
      <c r="AJ910" s="152"/>
      <c r="AK910" s="164">
        <f>IF(AND($C909=12,$D909=Input!$C$6),0,IF($E910="","",IF($B910&gt;Input!$C$9,$AC910*AI910,0)+AK911/(1+$L910)*$R910))</f>
        <v>0</v>
      </c>
      <c r="AL910" s="164">
        <f>IF(AND($C909=12,$D909=Input!$C$6),0,IF($E910="","",IF($B910&gt;Input!$C$9,0,$AC910)+AL911/(1+$L910)*$R910))</f>
        <v>0</v>
      </c>
      <c r="AM910" s="160">
        <f t="shared" si="300"/>
        <v>1.1382936520186004</v>
      </c>
      <c r="AN910" s="164">
        <f>IF($E910="","",IF($B910&gt;Input!$C$9,$AI910*$AC910,$AM910*$AC910))</f>
        <v>0</v>
      </c>
      <c r="AO910" s="164">
        <f>IF(AND($C909=12,$D909=Input!$C$6),0,IF($E910="","",$AN910+AO911/(1+$L910)*$R910))</f>
        <v>0</v>
      </c>
      <c r="AP910" s="152"/>
      <c r="AQ910" s="164">
        <f t="shared" si="301"/>
        <v>0</v>
      </c>
      <c r="AR910" s="164">
        <f t="shared" si="310"/>
        <v>0</v>
      </c>
      <c r="AS910" s="164">
        <f t="shared" si="311"/>
        <v>0</v>
      </c>
      <c r="AT910" s="164">
        <f t="shared" si="302"/>
        <v>0</v>
      </c>
      <c r="AU910" s="152"/>
      <c r="AV910" s="147">
        <f>'Deterministic Reserve'!BC910</f>
        <v>2.7634706222779162E-20</v>
      </c>
      <c r="AW910" s="164">
        <f t="shared" si="303"/>
        <v>0</v>
      </c>
      <c r="AX910" s="164">
        <f t="shared" si="304"/>
        <v>0</v>
      </c>
      <c r="AY910" s="152"/>
    </row>
    <row r="911" spans="1:51" s="150" customFormat="1" x14ac:dyDescent="0.25">
      <c r="A911" s="150">
        <f t="shared" si="312"/>
        <v>907</v>
      </c>
      <c r="B911" s="150">
        <f t="shared" si="313"/>
        <v>76</v>
      </c>
      <c r="C911" s="150">
        <f t="shared" si="314"/>
        <v>7</v>
      </c>
      <c r="D911" s="150">
        <f>IF(E911="","",Input!$C$4+B911-1)</f>
        <v>120</v>
      </c>
      <c r="E911" s="150">
        <f>IF(OR(AND(C910=12,D910=Input!$C$6),E910=""),"",1)</f>
        <v>1</v>
      </c>
      <c r="F911" s="150">
        <f>IF(E911="","",Input!$C$8+B911-1)</f>
        <v>2093</v>
      </c>
      <c r="G911" s="151">
        <f>IF(E911="","",MAX(0,Input!$C$9-B911))</f>
        <v>0</v>
      </c>
      <c r="H911" s="152">
        <f>IF(E911="","",Input!$C$3)</f>
        <v>100000</v>
      </c>
      <c r="I911" s="153">
        <f>IF(E911="","",HLOOKUP($B911,Input!$C$13:$BT$14,2))</f>
        <v>1000</v>
      </c>
      <c r="J911" s="154"/>
      <c r="K911" s="155">
        <f>IF($E911="","",Input!$C$57)</f>
        <v>4.4999999999999998E-2</v>
      </c>
      <c r="L911" s="155">
        <f t="shared" si="305"/>
        <v>3.6748094004368514E-3</v>
      </c>
      <c r="M911" s="147">
        <f>IF($E911="","",VLOOKUP(IF($B911&lt;=Input!$C$7,$B911,26),'Mortality Tables'!$A$72:$CA$97,IF($B911&lt;=Input!$C$7+1,Input!$C$4-16,$D911-Input!$C$7-16),0)/1000)</f>
        <v>1</v>
      </c>
      <c r="N911" s="147">
        <f t="shared" si="294"/>
        <v>1</v>
      </c>
      <c r="O911" s="157">
        <f>IF($E911="","",IF($C911=12,IF($B911&lt;Input!$C$9,Input!$C$54,IF($B911=Input!$C$9,Input!$C$55,Input!$C$56)),0%))</f>
        <v>0</v>
      </c>
      <c r="P911" s="167">
        <f>IF($E911="","",IF($B911=1,Input!$C$59,IF($B911&lt;6,Input!$C$60,0%)))</f>
        <v>0</v>
      </c>
      <c r="Q911" s="162">
        <f>IF($E911="","",Input!$C$58)</f>
        <v>2.5</v>
      </c>
      <c r="R911" s="156">
        <f t="shared" si="306"/>
        <v>0</v>
      </c>
      <c r="S911" s="154">
        <f t="shared" si="295"/>
        <v>0</v>
      </c>
      <c r="T911" s="152"/>
      <c r="U911" s="150">
        <f t="shared" si="307"/>
        <v>0</v>
      </c>
      <c r="V911" s="150">
        <f t="shared" si="308"/>
        <v>0</v>
      </c>
      <c r="W911" s="168">
        <f t="shared" si="309"/>
        <v>0</v>
      </c>
      <c r="X911" s="163">
        <f t="shared" si="296"/>
        <v>100000</v>
      </c>
      <c r="Y911" s="152"/>
      <c r="Z911" s="164">
        <f>IF(AND($C910=12,$D910=Input!$C$6),0,IF($E911="","",V911+Z912/(1+L911)*R911))</f>
        <v>0</v>
      </c>
      <c r="AA911" s="164">
        <f>IF(OR($M911=1,AND($C910=12,$D910=Input!$C$6)),0,IF($E911="","",W911+(X911+AA912*$R911)/(1+$L911)))</f>
        <v>0</v>
      </c>
      <c r="AB911" s="160">
        <f t="shared" si="297"/>
        <v>0.825720328500681</v>
      </c>
      <c r="AC911" s="164">
        <f t="shared" si="298"/>
        <v>0</v>
      </c>
      <c r="AD911" s="164">
        <f>IF(AND($C910=12,$D910=Input!$C$6),0,IF($E911="","",$AC911+AD912/(1+$L911)*$R911))</f>
        <v>0</v>
      </c>
      <c r="AE911" s="152"/>
      <c r="AF911" s="164">
        <f>IF(AND($C910=12,$D910=Input!$C$6),0,IF($E911="","",IF($B911&gt;Input!$C$9,$AC911,0)+AF912/(1+$L911)*$R911))</f>
        <v>0</v>
      </c>
      <c r="AG911" s="164">
        <f>IF(AND($C910=12,$D910=Input!$C$6),0,IF($E911="","",(IF($B911&gt;Input!$C$9,$X911,0)+AG912)/(1+$L911)*$R911))</f>
        <v>0</v>
      </c>
      <c r="AH911" s="160">
        <f t="shared" si="299"/>
        <v>2.0950137211446997</v>
      </c>
      <c r="AI911" s="160">
        <f>IF($E911="","",MIN(Input!$C$61/AH911,1))</f>
        <v>0.64438718771845094</v>
      </c>
      <c r="AJ911" s="152"/>
      <c r="AK911" s="164">
        <f>IF(AND($C910=12,$D910=Input!$C$6),0,IF($E911="","",IF($B911&gt;Input!$C$9,$AC911*AI911,0)+AK912/(1+$L911)*$R911))</f>
        <v>0</v>
      </c>
      <c r="AL911" s="164">
        <f>IF(AND($C910=12,$D910=Input!$C$6),0,IF($E911="","",IF($B911&gt;Input!$C$9,0,$AC911)+AL912/(1+$L911)*$R911))</f>
        <v>0</v>
      </c>
      <c r="AM911" s="160">
        <f t="shared" si="300"/>
        <v>1.1382936520186004</v>
      </c>
      <c r="AN911" s="164">
        <f>IF($E911="","",IF($B911&gt;Input!$C$9,$AI911*$AC911,$AM911*$AC911))</f>
        <v>0</v>
      </c>
      <c r="AO911" s="164">
        <f>IF(AND($C910=12,$D910=Input!$C$6),0,IF($E911="","",$AN911+AO912/(1+$L911)*$R911))</f>
        <v>0</v>
      </c>
      <c r="AP911" s="152"/>
      <c r="AQ911" s="164">
        <f t="shared" si="301"/>
        <v>0</v>
      </c>
      <c r="AR911" s="164">
        <f t="shared" si="310"/>
        <v>0</v>
      </c>
      <c r="AS911" s="164">
        <f t="shared" si="311"/>
        <v>0</v>
      </c>
      <c r="AT911" s="164">
        <f t="shared" si="302"/>
        <v>0</v>
      </c>
      <c r="AU911" s="152"/>
      <c r="AV911" s="147">
        <f>'Deterministic Reserve'!BC911</f>
        <v>2.5087542701285717E-20</v>
      </c>
      <c r="AW911" s="164">
        <f t="shared" si="303"/>
        <v>0</v>
      </c>
      <c r="AX911" s="164">
        <f t="shared" si="304"/>
        <v>0</v>
      </c>
      <c r="AY911" s="152"/>
    </row>
    <row r="912" spans="1:51" s="150" customFormat="1" x14ac:dyDescent="0.25">
      <c r="A912" s="150">
        <f t="shared" si="312"/>
        <v>908</v>
      </c>
      <c r="B912" s="150">
        <f t="shared" si="313"/>
        <v>76</v>
      </c>
      <c r="C912" s="150">
        <f t="shared" si="314"/>
        <v>8</v>
      </c>
      <c r="D912" s="150">
        <f>IF(E912="","",Input!$C$4+B912-1)</f>
        <v>120</v>
      </c>
      <c r="E912" s="150">
        <f>IF(OR(AND(C911=12,D911=Input!$C$6),E911=""),"",1)</f>
        <v>1</v>
      </c>
      <c r="F912" s="150">
        <f>IF(E912="","",Input!$C$8+B912-1)</f>
        <v>2093</v>
      </c>
      <c r="G912" s="151">
        <f>IF(E912="","",MAX(0,Input!$C$9-B912))</f>
        <v>0</v>
      </c>
      <c r="H912" s="152">
        <f>IF(E912="","",Input!$C$3)</f>
        <v>100000</v>
      </c>
      <c r="I912" s="153">
        <f>IF(E912="","",HLOOKUP($B912,Input!$C$13:$BT$14,2))</f>
        <v>1000</v>
      </c>
      <c r="J912" s="154"/>
      <c r="K912" s="155">
        <f>IF($E912="","",Input!$C$57)</f>
        <v>4.4999999999999998E-2</v>
      </c>
      <c r="L912" s="155">
        <f t="shared" si="305"/>
        <v>3.6748094004368514E-3</v>
      </c>
      <c r="M912" s="147">
        <f>IF($E912="","",VLOOKUP(IF($B912&lt;=Input!$C$7,$B912,26),'Mortality Tables'!$A$72:$CA$97,IF($B912&lt;=Input!$C$7+1,Input!$C$4-16,$D912-Input!$C$7-16),0)/1000)</f>
        <v>1</v>
      </c>
      <c r="N912" s="147">
        <f t="shared" si="294"/>
        <v>1</v>
      </c>
      <c r="O912" s="157">
        <f>IF($E912="","",IF($C912=12,IF($B912&lt;Input!$C$9,Input!$C$54,IF($B912=Input!$C$9,Input!$C$55,Input!$C$56)),0%))</f>
        <v>0</v>
      </c>
      <c r="P912" s="167">
        <f>IF($E912="","",IF($B912=1,Input!$C$59,IF($B912&lt;6,Input!$C$60,0%)))</f>
        <v>0</v>
      </c>
      <c r="Q912" s="162">
        <f>IF($E912="","",Input!$C$58)</f>
        <v>2.5</v>
      </c>
      <c r="R912" s="156">
        <f t="shared" si="306"/>
        <v>0</v>
      </c>
      <c r="S912" s="154">
        <f t="shared" si="295"/>
        <v>0</v>
      </c>
      <c r="T912" s="152"/>
      <c r="U912" s="150">
        <f t="shared" si="307"/>
        <v>0</v>
      </c>
      <c r="V912" s="150">
        <f t="shared" si="308"/>
        <v>0</v>
      </c>
      <c r="W912" s="168">
        <f t="shared" si="309"/>
        <v>0</v>
      </c>
      <c r="X912" s="163">
        <f t="shared" si="296"/>
        <v>100000</v>
      </c>
      <c r="Y912" s="152"/>
      <c r="Z912" s="164">
        <f>IF(AND($C911=12,$D911=Input!$C$6),0,IF($E912="","",V912+Z913/(1+L912)*R912))</f>
        <v>0</v>
      </c>
      <c r="AA912" s="164">
        <f>IF(OR($M912=1,AND($C911=12,$D911=Input!$C$6)),0,IF($E912="","",W912+(X912+AA913*$R912)/(1+$L912)))</f>
        <v>0</v>
      </c>
      <c r="AB912" s="160">
        <f t="shared" si="297"/>
        <v>0.825720328500681</v>
      </c>
      <c r="AC912" s="164">
        <f t="shared" si="298"/>
        <v>0</v>
      </c>
      <c r="AD912" s="164">
        <f>IF(AND($C911=12,$D911=Input!$C$6),0,IF($E912="","",$AC912+AD913/(1+$L912)*$R912))</f>
        <v>0</v>
      </c>
      <c r="AE912" s="152"/>
      <c r="AF912" s="164">
        <f>IF(AND($C911=12,$D911=Input!$C$6),0,IF($E912="","",IF($B912&gt;Input!$C$9,$AC912,0)+AF913/(1+$L912)*$R912))</f>
        <v>0</v>
      </c>
      <c r="AG912" s="164">
        <f>IF(AND($C911=12,$D911=Input!$C$6),0,IF($E912="","",(IF($B912&gt;Input!$C$9,$X912,0)+AG913)/(1+$L912)*$R912))</f>
        <v>0</v>
      </c>
      <c r="AH912" s="160">
        <f t="shared" si="299"/>
        <v>2.0950137211446997</v>
      </c>
      <c r="AI912" s="160">
        <f>IF($E912="","",MIN(Input!$C$61/AH912,1))</f>
        <v>0.64438718771845094</v>
      </c>
      <c r="AJ912" s="152"/>
      <c r="AK912" s="164">
        <f>IF(AND($C911=12,$D911=Input!$C$6),0,IF($E912="","",IF($B912&gt;Input!$C$9,$AC912*AI912,0)+AK913/(1+$L912)*$R912))</f>
        <v>0</v>
      </c>
      <c r="AL912" s="164">
        <f>IF(AND($C911=12,$D911=Input!$C$6),0,IF($E912="","",IF($B912&gt;Input!$C$9,0,$AC912)+AL913/(1+$L912)*$R912))</f>
        <v>0</v>
      </c>
      <c r="AM912" s="160">
        <f t="shared" si="300"/>
        <v>1.1382936520186004</v>
      </c>
      <c r="AN912" s="164">
        <f>IF($E912="","",IF($B912&gt;Input!$C$9,$AI912*$AC912,$AM912*$AC912))</f>
        <v>0</v>
      </c>
      <c r="AO912" s="164">
        <f>IF(AND($C911=12,$D911=Input!$C$6),0,IF($E912="","",$AN912+AO913/(1+$L912)*$R912))</f>
        <v>0</v>
      </c>
      <c r="AP912" s="152"/>
      <c r="AQ912" s="164">
        <f t="shared" si="301"/>
        <v>0</v>
      </c>
      <c r="AR912" s="164">
        <f t="shared" si="310"/>
        <v>0</v>
      </c>
      <c r="AS912" s="164">
        <f t="shared" si="311"/>
        <v>0</v>
      </c>
      <c r="AT912" s="164">
        <f t="shared" si="302"/>
        <v>0</v>
      </c>
      <c r="AU912" s="152"/>
      <c r="AV912" s="147">
        <f>'Deterministic Reserve'!BC912</f>
        <v>2.2775157937812097E-20</v>
      </c>
      <c r="AW912" s="164">
        <f t="shared" si="303"/>
        <v>0</v>
      </c>
      <c r="AX912" s="164">
        <f t="shared" si="304"/>
        <v>0</v>
      </c>
      <c r="AY912" s="152"/>
    </row>
    <row r="913" spans="1:51" s="150" customFormat="1" x14ac:dyDescent="0.25">
      <c r="A913" s="150">
        <f t="shared" si="312"/>
        <v>909</v>
      </c>
      <c r="B913" s="150">
        <f t="shared" si="313"/>
        <v>76</v>
      </c>
      <c r="C913" s="150">
        <f t="shared" si="314"/>
        <v>9</v>
      </c>
      <c r="D913" s="150">
        <f>IF(E913="","",Input!$C$4+B913-1)</f>
        <v>120</v>
      </c>
      <c r="E913" s="150">
        <f>IF(OR(AND(C912=12,D912=Input!$C$6),E912=""),"",1)</f>
        <v>1</v>
      </c>
      <c r="F913" s="150">
        <f>IF(E913="","",Input!$C$8+B913-1)</f>
        <v>2093</v>
      </c>
      <c r="G913" s="151">
        <f>IF(E913="","",MAX(0,Input!$C$9-B913))</f>
        <v>0</v>
      </c>
      <c r="H913" s="152">
        <f>IF(E913="","",Input!$C$3)</f>
        <v>100000</v>
      </c>
      <c r="I913" s="153">
        <f>IF(E913="","",HLOOKUP($B913,Input!$C$13:$BT$14,2))</f>
        <v>1000</v>
      </c>
      <c r="J913" s="154"/>
      <c r="K913" s="155">
        <f>IF($E913="","",Input!$C$57)</f>
        <v>4.4999999999999998E-2</v>
      </c>
      <c r="L913" s="155">
        <f t="shared" si="305"/>
        <v>3.6748094004368514E-3</v>
      </c>
      <c r="M913" s="147">
        <f>IF($E913="","",VLOOKUP(IF($B913&lt;=Input!$C$7,$B913,26),'Mortality Tables'!$A$72:$CA$97,IF($B913&lt;=Input!$C$7+1,Input!$C$4-16,$D913-Input!$C$7-16),0)/1000)</f>
        <v>1</v>
      </c>
      <c r="N913" s="147">
        <f t="shared" si="294"/>
        <v>1</v>
      </c>
      <c r="O913" s="157">
        <f>IF($E913="","",IF($C913=12,IF($B913&lt;Input!$C$9,Input!$C$54,IF($B913=Input!$C$9,Input!$C$55,Input!$C$56)),0%))</f>
        <v>0</v>
      </c>
      <c r="P913" s="167">
        <f>IF($E913="","",IF($B913=1,Input!$C$59,IF($B913&lt;6,Input!$C$60,0%)))</f>
        <v>0</v>
      </c>
      <c r="Q913" s="162">
        <f>IF($E913="","",Input!$C$58)</f>
        <v>2.5</v>
      </c>
      <c r="R913" s="156">
        <f t="shared" si="306"/>
        <v>0</v>
      </c>
      <c r="S913" s="154">
        <f t="shared" si="295"/>
        <v>0</v>
      </c>
      <c r="T913" s="152"/>
      <c r="U913" s="150">
        <f t="shared" si="307"/>
        <v>0</v>
      </c>
      <c r="V913" s="150">
        <f t="shared" si="308"/>
        <v>0</v>
      </c>
      <c r="W913" s="168">
        <f t="shared" si="309"/>
        <v>0</v>
      </c>
      <c r="X913" s="163">
        <f t="shared" si="296"/>
        <v>100000</v>
      </c>
      <c r="Y913" s="152"/>
      <c r="Z913" s="164">
        <f>IF(AND($C912=12,$D912=Input!$C$6),0,IF($E913="","",V913+Z914/(1+L913)*R913))</f>
        <v>0</v>
      </c>
      <c r="AA913" s="164">
        <f>IF(OR($M913=1,AND($C912=12,$D912=Input!$C$6)),0,IF($E913="","",W913+(X913+AA914*$R913)/(1+$L913)))</f>
        <v>0</v>
      </c>
      <c r="AB913" s="160">
        <f t="shared" si="297"/>
        <v>0.825720328500681</v>
      </c>
      <c r="AC913" s="164">
        <f t="shared" si="298"/>
        <v>0</v>
      </c>
      <c r="AD913" s="164">
        <f>IF(AND($C912=12,$D912=Input!$C$6),0,IF($E913="","",$AC913+AD914/(1+$L913)*$R913))</f>
        <v>0</v>
      </c>
      <c r="AE913" s="152"/>
      <c r="AF913" s="164">
        <f>IF(AND($C912=12,$D912=Input!$C$6),0,IF($E913="","",IF($B913&gt;Input!$C$9,$AC913,0)+AF914/(1+$L913)*$R913))</f>
        <v>0</v>
      </c>
      <c r="AG913" s="164">
        <f>IF(AND($C912=12,$D912=Input!$C$6),0,IF($E913="","",(IF($B913&gt;Input!$C$9,$X913,0)+AG914)/(1+$L913)*$R913))</f>
        <v>0</v>
      </c>
      <c r="AH913" s="160">
        <f t="shared" si="299"/>
        <v>2.0950137211446997</v>
      </c>
      <c r="AI913" s="160">
        <f>IF($E913="","",MIN(Input!$C$61/AH913,1))</f>
        <v>0.64438718771845094</v>
      </c>
      <c r="AJ913" s="152"/>
      <c r="AK913" s="164">
        <f>IF(AND($C912=12,$D912=Input!$C$6),0,IF($E913="","",IF($B913&gt;Input!$C$9,$AC913*AI913,0)+AK914/(1+$L913)*$R913))</f>
        <v>0</v>
      </c>
      <c r="AL913" s="164">
        <f>IF(AND($C912=12,$D912=Input!$C$6),0,IF($E913="","",IF($B913&gt;Input!$C$9,0,$AC913)+AL914/(1+$L913)*$R913))</f>
        <v>0</v>
      </c>
      <c r="AM913" s="160">
        <f t="shared" si="300"/>
        <v>1.1382936520186004</v>
      </c>
      <c r="AN913" s="164">
        <f>IF($E913="","",IF($B913&gt;Input!$C$9,$AI913*$AC913,$AM913*$AC913))</f>
        <v>0</v>
      </c>
      <c r="AO913" s="164">
        <f>IF(AND($C912=12,$D912=Input!$C$6),0,IF($E913="","",$AN913+AO914/(1+$L913)*$R913))</f>
        <v>0</v>
      </c>
      <c r="AP913" s="152"/>
      <c r="AQ913" s="164">
        <f t="shared" si="301"/>
        <v>0</v>
      </c>
      <c r="AR913" s="164">
        <f t="shared" si="310"/>
        <v>0</v>
      </c>
      <c r="AS913" s="164">
        <f t="shared" si="311"/>
        <v>0</v>
      </c>
      <c r="AT913" s="164">
        <f t="shared" si="302"/>
        <v>0</v>
      </c>
      <c r="AU913" s="152"/>
      <c r="AV913" s="147">
        <f>'Deterministic Reserve'!BC913</f>
        <v>2.0675911757021227E-20</v>
      </c>
      <c r="AW913" s="164">
        <f t="shared" si="303"/>
        <v>0</v>
      </c>
      <c r="AX913" s="164">
        <f t="shared" si="304"/>
        <v>0</v>
      </c>
      <c r="AY913" s="152"/>
    </row>
    <row r="914" spans="1:51" s="150" customFormat="1" x14ac:dyDescent="0.25">
      <c r="A914" s="150">
        <f t="shared" si="312"/>
        <v>910</v>
      </c>
      <c r="B914" s="150">
        <f t="shared" si="313"/>
        <v>76</v>
      </c>
      <c r="C914" s="150">
        <f t="shared" si="314"/>
        <v>10</v>
      </c>
      <c r="D914" s="150">
        <f>IF(E914="","",Input!$C$4+B914-1)</f>
        <v>120</v>
      </c>
      <c r="E914" s="150">
        <f>IF(OR(AND(C913=12,D913=Input!$C$6),E913=""),"",1)</f>
        <v>1</v>
      </c>
      <c r="F914" s="150">
        <f>IF(E914="","",Input!$C$8+B914-1)</f>
        <v>2093</v>
      </c>
      <c r="G914" s="151">
        <f>IF(E914="","",MAX(0,Input!$C$9-B914))</f>
        <v>0</v>
      </c>
      <c r="H914" s="152">
        <f>IF(E914="","",Input!$C$3)</f>
        <v>100000</v>
      </c>
      <c r="I914" s="153">
        <f>IF(E914="","",HLOOKUP($B914,Input!$C$13:$BT$14,2))</f>
        <v>1000</v>
      </c>
      <c r="J914" s="154"/>
      <c r="K914" s="155">
        <f>IF($E914="","",Input!$C$57)</f>
        <v>4.4999999999999998E-2</v>
      </c>
      <c r="L914" s="155">
        <f t="shared" si="305"/>
        <v>3.6748094004368514E-3</v>
      </c>
      <c r="M914" s="147">
        <f>IF($E914="","",VLOOKUP(IF($B914&lt;=Input!$C$7,$B914,26),'Mortality Tables'!$A$72:$CA$97,IF($B914&lt;=Input!$C$7+1,Input!$C$4-16,$D914-Input!$C$7-16),0)/1000)</f>
        <v>1</v>
      </c>
      <c r="N914" s="147">
        <f t="shared" si="294"/>
        <v>1</v>
      </c>
      <c r="O914" s="157">
        <f>IF($E914="","",IF($C914=12,IF($B914&lt;Input!$C$9,Input!$C$54,IF($B914=Input!$C$9,Input!$C$55,Input!$C$56)),0%))</f>
        <v>0</v>
      </c>
      <c r="P914" s="167">
        <f>IF($E914="","",IF($B914=1,Input!$C$59,IF($B914&lt;6,Input!$C$60,0%)))</f>
        <v>0</v>
      </c>
      <c r="Q914" s="162">
        <f>IF($E914="","",Input!$C$58)</f>
        <v>2.5</v>
      </c>
      <c r="R914" s="156">
        <f t="shared" si="306"/>
        <v>0</v>
      </c>
      <c r="S914" s="154">
        <f t="shared" si="295"/>
        <v>0</v>
      </c>
      <c r="T914" s="152"/>
      <c r="U914" s="150">
        <f t="shared" si="307"/>
        <v>0</v>
      </c>
      <c r="V914" s="150">
        <f t="shared" si="308"/>
        <v>0</v>
      </c>
      <c r="W914" s="168">
        <f t="shared" si="309"/>
        <v>0</v>
      </c>
      <c r="X914" s="163">
        <f t="shared" si="296"/>
        <v>100000</v>
      </c>
      <c r="Y914" s="152"/>
      <c r="Z914" s="164">
        <f>IF(AND($C913=12,$D913=Input!$C$6),0,IF($E914="","",V914+Z915/(1+L914)*R914))</f>
        <v>0</v>
      </c>
      <c r="AA914" s="164">
        <f>IF(OR($M914=1,AND($C913=12,$D913=Input!$C$6)),0,IF($E914="","",W914+(X914+AA915*$R914)/(1+$L914)))</f>
        <v>0</v>
      </c>
      <c r="AB914" s="160">
        <f t="shared" si="297"/>
        <v>0.825720328500681</v>
      </c>
      <c r="AC914" s="164">
        <f t="shared" si="298"/>
        <v>0</v>
      </c>
      <c r="AD914" s="164">
        <f>IF(AND($C913=12,$D913=Input!$C$6),0,IF($E914="","",$AC914+AD915/(1+$L914)*$R914))</f>
        <v>0</v>
      </c>
      <c r="AE914" s="152"/>
      <c r="AF914" s="164">
        <f>IF(AND($C913=12,$D913=Input!$C$6),0,IF($E914="","",IF($B914&gt;Input!$C$9,$AC914,0)+AF915/(1+$L914)*$R914))</f>
        <v>0</v>
      </c>
      <c r="AG914" s="164">
        <f>IF(AND($C913=12,$D913=Input!$C$6),0,IF($E914="","",(IF($B914&gt;Input!$C$9,$X914,0)+AG915)/(1+$L914)*$R914))</f>
        <v>0</v>
      </c>
      <c r="AH914" s="160">
        <f t="shared" si="299"/>
        <v>2.0950137211446997</v>
      </c>
      <c r="AI914" s="160">
        <f>IF($E914="","",MIN(Input!$C$61/AH914,1))</f>
        <v>0.64438718771845094</v>
      </c>
      <c r="AJ914" s="152"/>
      <c r="AK914" s="164">
        <f>IF(AND($C913=12,$D913=Input!$C$6),0,IF($E914="","",IF($B914&gt;Input!$C$9,$AC914*AI914,0)+AK915/(1+$L914)*$R914))</f>
        <v>0</v>
      </c>
      <c r="AL914" s="164">
        <f>IF(AND($C913=12,$D913=Input!$C$6),0,IF($E914="","",IF($B914&gt;Input!$C$9,0,$AC914)+AL915/(1+$L914)*$R914))</f>
        <v>0</v>
      </c>
      <c r="AM914" s="160">
        <f t="shared" si="300"/>
        <v>1.1382936520186004</v>
      </c>
      <c r="AN914" s="164">
        <f>IF($E914="","",IF($B914&gt;Input!$C$9,$AI914*$AC914,$AM914*$AC914))</f>
        <v>0</v>
      </c>
      <c r="AO914" s="164">
        <f>IF(AND($C913=12,$D913=Input!$C$6),0,IF($E914="","",$AN914+AO915/(1+$L914)*$R914))</f>
        <v>0</v>
      </c>
      <c r="AP914" s="152"/>
      <c r="AQ914" s="164">
        <f t="shared" si="301"/>
        <v>0</v>
      </c>
      <c r="AR914" s="164">
        <f t="shared" si="310"/>
        <v>0</v>
      </c>
      <c r="AS914" s="164">
        <f t="shared" si="311"/>
        <v>0</v>
      </c>
      <c r="AT914" s="164">
        <f t="shared" si="302"/>
        <v>0</v>
      </c>
      <c r="AU914" s="152"/>
      <c r="AV914" s="147">
        <f>'Deterministic Reserve'!BC914</f>
        <v>1.8770158615426745E-20</v>
      </c>
      <c r="AW914" s="164">
        <f t="shared" si="303"/>
        <v>0</v>
      </c>
      <c r="AX914" s="164">
        <f t="shared" si="304"/>
        <v>0</v>
      </c>
      <c r="AY914" s="152"/>
    </row>
    <row r="915" spans="1:51" s="150" customFormat="1" x14ac:dyDescent="0.25">
      <c r="A915" s="150">
        <f t="shared" si="312"/>
        <v>911</v>
      </c>
      <c r="B915" s="150">
        <f t="shared" si="313"/>
        <v>76</v>
      </c>
      <c r="C915" s="150">
        <f t="shared" si="314"/>
        <v>11</v>
      </c>
      <c r="D915" s="150">
        <f>IF(E915="","",Input!$C$4+B915-1)</f>
        <v>120</v>
      </c>
      <c r="E915" s="150">
        <f>IF(OR(AND(C914=12,D914=Input!$C$6),E914=""),"",1)</f>
        <v>1</v>
      </c>
      <c r="F915" s="150">
        <f>IF(E915="","",Input!$C$8+B915-1)</f>
        <v>2093</v>
      </c>
      <c r="G915" s="151">
        <f>IF(E915="","",MAX(0,Input!$C$9-B915))</f>
        <v>0</v>
      </c>
      <c r="H915" s="152">
        <f>IF(E915="","",Input!$C$3)</f>
        <v>100000</v>
      </c>
      <c r="I915" s="153">
        <f>IF(E915="","",HLOOKUP($B915,Input!$C$13:$BT$14,2))</f>
        <v>1000</v>
      </c>
      <c r="J915" s="154"/>
      <c r="K915" s="155">
        <f>IF($E915="","",Input!$C$57)</f>
        <v>4.4999999999999998E-2</v>
      </c>
      <c r="L915" s="155">
        <f t="shared" si="305"/>
        <v>3.6748094004368514E-3</v>
      </c>
      <c r="M915" s="147">
        <f>IF($E915="","",VLOOKUP(IF($B915&lt;=Input!$C$7,$B915,26),'Mortality Tables'!$A$72:$CA$97,IF($B915&lt;=Input!$C$7+1,Input!$C$4-16,$D915-Input!$C$7-16),0)/1000)</f>
        <v>1</v>
      </c>
      <c r="N915" s="147">
        <f t="shared" si="294"/>
        <v>1</v>
      </c>
      <c r="O915" s="157">
        <f>IF($E915="","",IF($C915=12,IF($B915&lt;Input!$C$9,Input!$C$54,IF($B915=Input!$C$9,Input!$C$55,Input!$C$56)),0%))</f>
        <v>0</v>
      </c>
      <c r="P915" s="167">
        <f>IF($E915="","",IF($B915=1,Input!$C$59,IF($B915&lt;6,Input!$C$60,0%)))</f>
        <v>0</v>
      </c>
      <c r="Q915" s="162">
        <f>IF($E915="","",Input!$C$58)</f>
        <v>2.5</v>
      </c>
      <c r="R915" s="156">
        <f t="shared" si="306"/>
        <v>0</v>
      </c>
      <c r="S915" s="154">
        <f t="shared" si="295"/>
        <v>0</v>
      </c>
      <c r="T915" s="152"/>
      <c r="U915" s="150">
        <f t="shared" si="307"/>
        <v>0</v>
      </c>
      <c r="V915" s="150">
        <f t="shared" si="308"/>
        <v>0</v>
      </c>
      <c r="W915" s="168">
        <f t="shared" si="309"/>
        <v>0</v>
      </c>
      <c r="X915" s="163">
        <f t="shared" si="296"/>
        <v>100000</v>
      </c>
      <c r="Y915" s="152"/>
      <c r="Z915" s="164">
        <f>IF(AND($C914=12,$D914=Input!$C$6),0,IF($E915="","",V915+Z916/(1+L915)*R915))</f>
        <v>0</v>
      </c>
      <c r="AA915" s="164">
        <f>IF(OR($M915=1,AND($C914=12,$D914=Input!$C$6)),0,IF($E915="","",W915+(X915+AA916*$R915)/(1+$L915)))</f>
        <v>0</v>
      </c>
      <c r="AB915" s="160">
        <f t="shared" si="297"/>
        <v>0.825720328500681</v>
      </c>
      <c r="AC915" s="164">
        <f t="shared" si="298"/>
        <v>0</v>
      </c>
      <c r="AD915" s="164">
        <f>IF(AND($C914=12,$D914=Input!$C$6),0,IF($E915="","",$AC915+AD916/(1+$L915)*$R915))</f>
        <v>0</v>
      </c>
      <c r="AE915" s="152"/>
      <c r="AF915" s="164">
        <f>IF(AND($C914=12,$D914=Input!$C$6),0,IF($E915="","",IF($B915&gt;Input!$C$9,$AC915,0)+AF916/(1+$L915)*$R915))</f>
        <v>0</v>
      </c>
      <c r="AG915" s="164">
        <f>IF(AND($C914=12,$D914=Input!$C$6),0,IF($E915="","",(IF($B915&gt;Input!$C$9,$X915,0)+AG916)/(1+$L915)*$R915))</f>
        <v>0</v>
      </c>
      <c r="AH915" s="160">
        <f t="shared" si="299"/>
        <v>2.0950137211446997</v>
      </c>
      <c r="AI915" s="160">
        <f>IF($E915="","",MIN(Input!$C$61/AH915,1))</f>
        <v>0.64438718771845094</v>
      </c>
      <c r="AJ915" s="152"/>
      <c r="AK915" s="164">
        <f>IF(AND($C914=12,$D914=Input!$C$6),0,IF($E915="","",IF($B915&gt;Input!$C$9,$AC915*AI915,0)+AK916/(1+$L915)*$R915))</f>
        <v>0</v>
      </c>
      <c r="AL915" s="164">
        <f>IF(AND($C914=12,$D914=Input!$C$6),0,IF($E915="","",IF($B915&gt;Input!$C$9,0,$AC915)+AL916/(1+$L915)*$R915))</f>
        <v>0</v>
      </c>
      <c r="AM915" s="160">
        <f t="shared" si="300"/>
        <v>1.1382936520186004</v>
      </c>
      <c r="AN915" s="164">
        <f>IF($E915="","",IF($B915&gt;Input!$C$9,$AI915*$AC915,$AM915*$AC915))</f>
        <v>0</v>
      </c>
      <c r="AO915" s="164">
        <f>IF(AND($C914=12,$D914=Input!$C$6),0,IF($E915="","",$AN915+AO916/(1+$L915)*$R915))</f>
        <v>0</v>
      </c>
      <c r="AP915" s="152"/>
      <c r="AQ915" s="164">
        <f t="shared" si="301"/>
        <v>0</v>
      </c>
      <c r="AR915" s="164">
        <f t="shared" si="310"/>
        <v>0</v>
      </c>
      <c r="AS915" s="164">
        <f t="shared" si="311"/>
        <v>0</v>
      </c>
      <c r="AT915" s="164">
        <f t="shared" si="302"/>
        <v>0</v>
      </c>
      <c r="AU915" s="152"/>
      <c r="AV915" s="147">
        <f>'Deterministic Reserve'!BC915</f>
        <v>1.7040063750931649E-20</v>
      </c>
      <c r="AW915" s="164">
        <f t="shared" si="303"/>
        <v>0</v>
      </c>
      <c r="AX915" s="164">
        <f t="shared" si="304"/>
        <v>0</v>
      </c>
      <c r="AY915" s="152"/>
    </row>
    <row r="916" spans="1:51" s="150" customFormat="1" x14ac:dyDescent="0.25">
      <c r="A916" s="150">
        <f t="shared" si="312"/>
        <v>912</v>
      </c>
      <c r="B916" s="150">
        <f t="shared" si="313"/>
        <v>76</v>
      </c>
      <c r="C916" s="150">
        <f t="shared" si="314"/>
        <v>12</v>
      </c>
      <c r="D916" s="150">
        <f>IF(E916="","",Input!$C$4+B916-1)</f>
        <v>120</v>
      </c>
      <c r="E916" s="150">
        <f>IF(OR(AND(C915=12,D915=Input!$C$6),E915=""),"",1)</f>
        <v>1</v>
      </c>
      <c r="F916" s="150">
        <f>IF(E916="","",Input!$C$8+B916-1)</f>
        <v>2093</v>
      </c>
      <c r="G916" s="151">
        <f>IF(E916="","",MAX(0,Input!$C$9-B916))</f>
        <v>0</v>
      </c>
      <c r="H916" s="152">
        <f>IF(E916="","",Input!$C$3)</f>
        <v>100000</v>
      </c>
      <c r="I916" s="153">
        <f>IF(E916="","",HLOOKUP($B916,Input!$C$13:$BT$14,2))</f>
        <v>1000</v>
      </c>
      <c r="J916" s="154"/>
      <c r="K916" s="155">
        <f>IF($E916="","",Input!$C$57)</f>
        <v>4.4999999999999998E-2</v>
      </c>
      <c r="L916" s="155">
        <f t="shared" si="305"/>
        <v>3.6748094004368514E-3</v>
      </c>
      <c r="M916" s="147">
        <f>IF($E916="","",VLOOKUP(IF($B916&lt;=Input!$C$7,$B916,26),'Mortality Tables'!$A$72:$CA$97,IF($B916&lt;=Input!$C$7+1,Input!$C$4-16,$D916-Input!$C$7-16),0)/1000)</f>
        <v>1</v>
      </c>
      <c r="N916" s="147">
        <f t="shared" si="294"/>
        <v>1</v>
      </c>
      <c r="O916" s="157">
        <f>IF($E916="","",IF($C916=12,IF($B916&lt;Input!$C$9,Input!$C$54,IF($B916=Input!$C$9,Input!$C$55,Input!$C$56)),0%))</f>
        <v>0.1</v>
      </c>
      <c r="P916" s="167">
        <f>IF($E916="","",IF($B916=1,Input!$C$59,IF($B916&lt;6,Input!$C$60,0%)))</f>
        <v>0</v>
      </c>
      <c r="Q916" s="162">
        <f>IF($E916="","",Input!$C$58)</f>
        <v>2.5</v>
      </c>
      <c r="R916" s="156">
        <f t="shared" si="306"/>
        <v>0</v>
      </c>
      <c r="S916" s="154">
        <f t="shared" si="295"/>
        <v>0</v>
      </c>
      <c r="T916" s="152"/>
      <c r="U916" s="150">
        <f t="shared" si="307"/>
        <v>0</v>
      </c>
      <c r="V916" s="150">
        <f t="shared" si="308"/>
        <v>0</v>
      </c>
      <c r="W916" s="168">
        <f t="shared" si="309"/>
        <v>0</v>
      </c>
      <c r="X916" s="163">
        <f t="shared" si="296"/>
        <v>100000</v>
      </c>
      <c r="Y916" s="152"/>
      <c r="Z916" s="164">
        <f>IF(AND($C915=12,$D915=Input!$C$6),0,IF($E916="","",V916+Z917/(1+L916)*R916))</f>
        <v>0</v>
      </c>
      <c r="AA916" s="164">
        <f>IF(OR($M916=1,AND($C915=12,$D915=Input!$C$6)),0,IF($E916="","",W916+(X916+AA917*$R916)/(1+$L916)))</f>
        <v>0</v>
      </c>
      <c r="AB916" s="160">
        <f t="shared" si="297"/>
        <v>0.825720328500681</v>
      </c>
      <c r="AC916" s="164">
        <f t="shared" si="298"/>
        <v>0</v>
      </c>
      <c r="AD916" s="164">
        <f>IF(AND($C915=12,$D915=Input!$C$6),0,IF($E916="","",$AC916+AD917/(1+$L916)*$R916))</f>
        <v>0</v>
      </c>
      <c r="AE916" s="152"/>
      <c r="AF916" s="164">
        <f>IF(AND($C915=12,$D915=Input!$C$6),0,IF($E916="","",IF($B916&gt;Input!$C$9,$AC916,0)+AF917/(1+$L916)*$R916))</f>
        <v>0</v>
      </c>
      <c r="AG916" s="164">
        <f>IF(AND($C915=12,$D915=Input!$C$6),0,IF($E916="","",(IF($B916&gt;Input!$C$9,$X916,0)+AG917)/(1+$L916)*$R916))</f>
        <v>0</v>
      </c>
      <c r="AH916" s="160">
        <f t="shared" si="299"/>
        <v>2.0950137211446997</v>
      </c>
      <c r="AI916" s="160">
        <f>IF($E916="","",MIN(Input!$C$61/AH916,1))</f>
        <v>0.64438718771845094</v>
      </c>
      <c r="AJ916" s="152"/>
      <c r="AK916" s="164">
        <f>IF(AND($C915=12,$D915=Input!$C$6),0,IF($E916="","",IF($B916&gt;Input!$C$9,$AC916*AI916,0)+AK917/(1+$L916)*$R916))</f>
        <v>0</v>
      </c>
      <c r="AL916" s="164">
        <f>IF(AND($C915=12,$D915=Input!$C$6),0,IF($E916="","",IF($B916&gt;Input!$C$9,0,$AC916)+AL917/(1+$L916)*$R916))</f>
        <v>0</v>
      </c>
      <c r="AM916" s="160">
        <f t="shared" si="300"/>
        <v>1.1382936520186004</v>
      </c>
      <c r="AN916" s="164">
        <f>IF($E916="","",IF($B916&gt;Input!$C$9,$AI916*$AC916,$AM916*$AC916))</f>
        <v>0</v>
      </c>
      <c r="AO916" s="164">
        <f>IF(AND($C915=12,$D915=Input!$C$6),0,IF($E916="","",$AN916+AO917/(1+$L916)*$R916))</f>
        <v>0</v>
      </c>
      <c r="AP916" s="152"/>
      <c r="AQ916" s="164">
        <f t="shared" si="301"/>
        <v>0</v>
      </c>
      <c r="AR916" s="164">
        <f t="shared" si="310"/>
        <v>0</v>
      </c>
      <c r="AS916" s="164">
        <f t="shared" si="311"/>
        <v>0</v>
      </c>
      <c r="AT916" s="164">
        <f t="shared" si="302"/>
        <v>0</v>
      </c>
      <c r="AU916" s="152"/>
      <c r="AV916" s="147">
        <f>'Deterministic Reserve'!BC916</f>
        <v>1.5469436278347254E-20</v>
      </c>
      <c r="AW916" s="164">
        <f t="shared" si="303"/>
        <v>0</v>
      </c>
      <c r="AX916" s="164">
        <f t="shared" si="304"/>
        <v>0</v>
      </c>
      <c r="AY916" s="152"/>
    </row>
    <row r="917" spans="1:51" s="150" customFormat="1" x14ac:dyDescent="0.25">
      <c r="A917" s="150" t="str">
        <f t="shared" si="312"/>
        <v/>
      </c>
      <c r="B917" s="150" t="str">
        <f t="shared" si="313"/>
        <v/>
      </c>
      <c r="C917" s="150" t="str">
        <f t="shared" si="314"/>
        <v/>
      </c>
      <c r="D917" s="150" t="str">
        <f>IF(E917="","",Input!$C$4+B917-1)</f>
        <v/>
      </c>
      <c r="E917" s="150" t="str">
        <f>IF(OR(AND(C916=12,D916=Input!$C$6),E916=""),"",1)</f>
        <v/>
      </c>
      <c r="F917" s="150" t="str">
        <f>IF(E917="","",Input!$C$8+B917-1)</f>
        <v/>
      </c>
      <c r="G917" s="151" t="str">
        <f>IF(E917="","",MAX(0,Input!$C$9-B917))</f>
        <v/>
      </c>
      <c r="H917" s="152" t="str">
        <f>IF(E917="","",Input!$C$3)</f>
        <v/>
      </c>
      <c r="I917" s="153" t="str">
        <f>IF(E917="","",HLOOKUP($B917,Input!$C$13:$BT$14,2))</f>
        <v/>
      </c>
      <c r="J917" s="154"/>
      <c r="K917" s="155" t="str">
        <f>IF($E917="","",Input!$C$57)</f>
        <v/>
      </c>
      <c r="L917" s="155" t="str">
        <f t="shared" si="305"/>
        <v/>
      </c>
      <c r="M917" s="147" t="str">
        <f>IF($E917="","",VLOOKUP(IF($B917&lt;=Input!$C$7,$B917,26),'Mortality Tables'!$A$72:$CA$97,IF($B917&lt;=Input!$C$7+1,Input!$C$4-16,$D917-Input!$C$7-16),0)/1000)</f>
        <v/>
      </c>
      <c r="N917" s="147" t="str">
        <f t="shared" si="294"/>
        <v/>
      </c>
      <c r="O917" s="157" t="str">
        <f>IF($E917="","",IF($C917=12,IF($B917&lt;Input!$C$9,Input!$C$54,IF($B917=Input!$C$9,Input!$C$55,Input!$C$56)),0%))</f>
        <v/>
      </c>
      <c r="P917" s="167" t="str">
        <f>IF($E917="","",IF($B917=1,Input!$C$59,IF($B917&lt;6,Input!$C$60,0%)))</f>
        <v/>
      </c>
      <c r="Q917" s="162" t="str">
        <f>IF($E917="","",Input!$C$58)</f>
        <v/>
      </c>
      <c r="R917" s="156" t="str">
        <f t="shared" si="306"/>
        <v/>
      </c>
      <c r="S917" s="154" t="str">
        <f t="shared" si="295"/>
        <v/>
      </c>
      <c r="T917" s="152"/>
      <c r="U917" s="150" t="str">
        <f t="shared" si="307"/>
        <v/>
      </c>
      <c r="V917" s="150" t="str">
        <f t="shared" si="308"/>
        <v/>
      </c>
      <c r="W917" s="168" t="str">
        <f t="shared" si="309"/>
        <v/>
      </c>
      <c r="X917" s="163" t="str">
        <f t="shared" si="296"/>
        <v/>
      </c>
      <c r="Y917" s="152"/>
      <c r="Z917" s="164">
        <f>IF(AND($C916=12,$D916=Input!$C$6),0,IF($E917="","",V917+Z918/(1+L917)*R917))</f>
        <v>0</v>
      </c>
      <c r="AA917" s="164">
        <f>IF(OR($M917=1,AND($C916=12,$D916=Input!$C$6)),0,IF($E917="","",W917+(X917+AA918*$R917)/(1+$L917)))</f>
        <v>0</v>
      </c>
      <c r="AB917" s="160" t="str">
        <f t="shared" si="297"/>
        <v/>
      </c>
      <c r="AC917" s="164" t="str">
        <f t="shared" si="298"/>
        <v/>
      </c>
      <c r="AD917" s="164">
        <f>IF(AND($C916=12,$D916=Input!$C$6),0,IF($E917="","",$AC917+AD918/(1+$L917)*$R917))</f>
        <v>0</v>
      </c>
      <c r="AE917" s="152"/>
      <c r="AF917" s="164">
        <f>IF(AND($C916=12,$D916=Input!$C$6),0,IF($E917="","",IF($B917&gt;Input!$C$9,$AC917,0)+AF918/(1+$L917)*$R917))</f>
        <v>0</v>
      </c>
      <c r="AG917" s="164">
        <f>IF(AND($C916=12,$D916=Input!$C$6),0,IF($E917="","",(IF($B917&gt;Input!$C$9,$X917,0)+AG918)/(1+$L917)*$R917))</f>
        <v>0</v>
      </c>
      <c r="AH917" s="160" t="str">
        <f t="shared" si="299"/>
        <v/>
      </c>
      <c r="AI917" s="160" t="str">
        <f>IF($E917="","",MIN(Input!$C$61/AH917,1))</f>
        <v/>
      </c>
      <c r="AJ917" s="152"/>
      <c r="AK917" s="164">
        <f>IF(AND($C916=12,$D916=Input!$C$6),0,IF($E917="","",IF($B917&gt;Input!$C$9,$AC917*AI917,0)+AK918/(1+$L917)*$R917))</f>
        <v>0</v>
      </c>
      <c r="AL917" s="164">
        <f>IF(AND($C916=12,$D916=Input!$C$6),0,IF($E917="","",IF($B917&gt;Input!$C$9,0,$AC917)+AL918/(1+$L917)*$R917))</f>
        <v>0</v>
      </c>
      <c r="AM917" s="160" t="str">
        <f t="shared" si="300"/>
        <v/>
      </c>
      <c r="AN917" s="164" t="str">
        <f>IF($E917="","",IF($B917&gt;Input!$C$9,$AI917*$AC917,$AM917*$AC917))</f>
        <v/>
      </c>
      <c r="AO917" s="164">
        <f>IF(AND($C916=12,$D916=Input!$C$6),0,IF($E917="","",$AN917+AO918/(1+$L917)*$R917))</f>
        <v>0</v>
      </c>
      <c r="AP917" s="152"/>
      <c r="AQ917" s="164" t="str">
        <f t="shared" si="301"/>
        <v/>
      </c>
      <c r="AR917" s="164" t="str">
        <f t="shared" si="310"/>
        <v/>
      </c>
      <c r="AS917" s="164" t="str">
        <f t="shared" si="311"/>
        <v/>
      </c>
      <c r="AT917" s="164" t="str">
        <f t="shared" si="302"/>
        <v/>
      </c>
      <c r="AU917" s="152"/>
      <c r="AV917" s="147" t="str">
        <f>'Deterministic Reserve'!BC917</f>
        <v/>
      </c>
      <c r="AW917" s="164" t="str">
        <f t="shared" si="303"/>
        <v/>
      </c>
      <c r="AX917" s="164" t="str">
        <f t="shared" si="304"/>
        <v/>
      </c>
      <c r="AY917" s="152"/>
    </row>
    <row r="918" spans="1:51" s="150" customFormat="1" x14ac:dyDescent="0.25">
      <c r="A918" s="150" t="str">
        <f t="shared" si="312"/>
        <v/>
      </c>
      <c r="B918" s="150" t="str">
        <f t="shared" si="313"/>
        <v/>
      </c>
      <c r="C918" s="150" t="str">
        <f t="shared" si="314"/>
        <v/>
      </c>
      <c r="D918" s="150" t="str">
        <f>IF(E918="","",Input!$C$4+B918-1)</f>
        <v/>
      </c>
      <c r="E918" s="150" t="str">
        <f>IF(OR(AND(C917=12,D917=Input!$C$6),E917=""),"",1)</f>
        <v/>
      </c>
      <c r="F918" s="150" t="str">
        <f>IF(E918="","",Input!$C$8+B918-1)</f>
        <v/>
      </c>
      <c r="G918" s="151" t="str">
        <f>IF(E918="","",MAX(0,Input!$C$9-B918))</f>
        <v/>
      </c>
      <c r="H918" s="152" t="str">
        <f>IF(E918="","",Input!$C$3)</f>
        <v/>
      </c>
      <c r="I918" s="153" t="str">
        <f>IF(E918="","",HLOOKUP($B918,Input!$C$13:$BT$14,2))</f>
        <v/>
      </c>
      <c r="J918" s="154"/>
      <c r="K918" s="155" t="str">
        <f>IF($E918="","",Input!$C$57)</f>
        <v/>
      </c>
      <c r="L918" s="155" t="str">
        <f t="shared" si="305"/>
        <v/>
      </c>
      <c r="M918" s="147" t="str">
        <f>IF($E918="","",VLOOKUP(IF($B918&lt;=Input!$C$7,$B918,26),'Mortality Tables'!$A$72:$CA$97,IF($B918&lt;=Input!$C$7+1,Input!$C$4-16,$D918-Input!$C$7-16),0)/1000)</f>
        <v/>
      </c>
      <c r="N918" s="147" t="str">
        <f t="shared" si="294"/>
        <v/>
      </c>
      <c r="O918" s="157" t="str">
        <f>IF($E918="","",IF($C918=12,IF($B918&lt;Input!$C$9,Input!$C$54,IF($B918=Input!$C$9,Input!$C$55,Input!$C$56)),0%))</f>
        <v/>
      </c>
      <c r="P918" s="167" t="str">
        <f>IF($E918="","",IF($B918=1,Input!$C$59,IF($B918&lt;6,Input!$C$60,0%)))</f>
        <v/>
      </c>
      <c r="Q918" s="162" t="str">
        <f>IF($E918="","",Input!$C$58)</f>
        <v/>
      </c>
      <c r="R918" s="156" t="str">
        <f t="shared" si="306"/>
        <v/>
      </c>
      <c r="S918" s="154" t="str">
        <f t="shared" si="295"/>
        <v/>
      </c>
      <c r="T918" s="152"/>
      <c r="U918" s="150" t="str">
        <f t="shared" si="307"/>
        <v/>
      </c>
      <c r="V918" s="150" t="str">
        <f t="shared" si="308"/>
        <v/>
      </c>
      <c r="W918" s="168" t="str">
        <f t="shared" si="309"/>
        <v/>
      </c>
      <c r="X918" s="163" t="str">
        <f t="shared" si="296"/>
        <v/>
      </c>
      <c r="Y918" s="152"/>
      <c r="Z918" s="164" t="str">
        <f>IF(AND($C917=12,$D917=Input!$C$6),0,IF($E918="","",V918+Z919/(1+L918)*R918))</f>
        <v/>
      </c>
      <c r="AA918" s="164" t="str">
        <f>IF(OR($M918=1,AND($C917=12,$D917=Input!$C$6)),0,IF($E918="","",W918+(X918+AA919*$R918)/(1+$L918)))</f>
        <v/>
      </c>
      <c r="AB918" s="160" t="str">
        <f t="shared" si="297"/>
        <v/>
      </c>
      <c r="AC918" s="164" t="str">
        <f t="shared" si="298"/>
        <v/>
      </c>
      <c r="AD918" s="164" t="str">
        <f>IF(AND($C917=12,$D917=Input!$C$6),0,IF($E918="","",$AC918+AD919/(1+$L918)*$R918))</f>
        <v/>
      </c>
      <c r="AE918" s="152"/>
      <c r="AF918" s="164" t="str">
        <f>IF(AND($C917=12,$D917=Input!$C$6),0,IF($E918="","",IF($B918&gt;Input!$C$9,$AC918,0)+AF919/(1+$L918)*$R918))</f>
        <v/>
      </c>
      <c r="AG918" s="164" t="str">
        <f>IF(AND($C917=12,$D917=Input!$C$6),0,IF($E918="","",(IF($B918&gt;Input!$C$9,$X918,0)+AG919)/(1+$L918)*$R918))</f>
        <v/>
      </c>
      <c r="AH918" s="160" t="str">
        <f t="shared" si="299"/>
        <v/>
      </c>
      <c r="AI918" s="160" t="str">
        <f>IF($E918="","",MIN(Input!$C$61/AH918,1))</f>
        <v/>
      </c>
      <c r="AJ918" s="152"/>
      <c r="AK918" s="164" t="str">
        <f>IF(AND($C917=12,$D917=Input!$C$6),0,IF($E918="","",IF($B918&gt;Input!$C$9,$AC918*AI918,0)+AK919/(1+$L918)*$R918))</f>
        <v/>
      </c>
      <c r="AL918" s="164" t="str">
        <f>IF(AND($C917=12,$D917=Input!$C$6),0,IF($E918="","",IF($B918&gt;Input!$C$9,0,$AC918)+AL919/(1+$L918)*$R918))</f>
        <v/>
      </c>
      <c r="AM918" s="160" t="str">
        <f t="shared" si="300"/>
        <v/>
      </c>
      <c r="AN918" s="164" t="str">
        <f>IF($E918="","",IF($B918&gt;Input!$C$9,$AI918*$AC918,$AM918*$AC918))</f>
        <v/>
      </c>
      <c r="AO918" s="164" t="str">
        <f>IF(AND($C917=12,$D917=Input!$C$6),0,IF($E918="","",$AN918+AO919/(1+$L918)*$R918))</f>
        <v/>
      </c>
      <c r="AP918" s="152"/>
      <c r="AQ918" s="164" t="str">
        <f t="shared" si="301"/>
        <v/>
      </c>
      <c r="AR918" s="164" t="str">
        <f t="shared" si="310"/>
        <v/>
      </c>
      <c r="AS918" s="164" t="str">
        <f t="shared" si="311"/>
        <v/>
      </c>
      <c r="AT918" s="164" t="str">
        <f t="shared" si="302"/>
        <v/>
      </c>
      <c r="AU918" s="152"/>
      <c r="AV918" s="147" t="str">
        <f>'Deterministic Reserve'!BC918</f>
        <v/>
      </c>
      <c r="AW918" s="164" t="str">
        <f t="shared" si="303"/>
        <v/>
      </c>
      <c r="AX918" s="164" t="str">
        <f t="shared" si="304"/>
        <v/>
      </c>
      <c r="AY918" s="152"/>
    </row>
    <row r="919" spans="1:51" s="150" customFormat="1" x14ac:dyDescent="0.25">
      <c r="A919" s="150" t="str">
        <f t="shared" si="312"/>
        <v/>
      </c>
      <c r="B919" s="150" t="str">
        <f t="shared" si="313"/>
        <v/>
      </c>
      <c r="C919" s="150" t="str">
        <f t="shared" si="314"/>
        <v/>
      </c>
      <c r="D919" s="150" t="str">
        <f>IF(E919="","",Input!$C$4+B919-1)</f>
        <v/>
      </c>
      <c r="E919" s="150" t="str">
        <f>IF(OR(AND(C918=12,D918=Input!$C$6),E918=""),"",1)</f>
        <v/>
      </c>
      <c r="F919" s="150" t="str">
        <f>IF(E919="","",Input!$C$8+B919-1)</f>
        <v/>
      </c>
      <c r="G919" s="151" t="str">
        <f>IF(E919="","",MAX(0,Input!$C$9-B919))</f>
        <v/>
      </c>
      <c r="H919" s="152" t="str">
        <f>IF(E919="","",Input!$C$3)</f>
        <v/>
      </c>
      <c r="I919" s="153" t="str">
        <f>IF(E919="","",HLOOKUP($B919,Input!$C$13:$BT$14,2))</f>
        <v/>
      </c>
      <c r="J919" s="154"/>
      <c r="K919" s="155" t="str">
        <f>IF($E919="","",Input!$C$57)</f>
        <v/>
      </c>
      <c r="L919" s="155" t="str">
        <f t="shared" si="305"/>
        <v/>
      </c>
      <c r="M919" s="147" t="str">
        <f>IF($E919="","",VLOOKUP(IF($B919&lt;=Input!$C$7,$B919,26),'Mortality Tables'!$A$72:$CA$97,IF($B919&lt;=Input!$C$7+1,Input!$C$4-16,$D919-Input!$C$7-16),0)/1000)</f>
        <v/>
      </c>
      <c r="N919" s="147" t="str">
        <f t="shared" si="294"/>
        <v/>
      </c>
      <c r="O919" s="157" t="str">
        <f>IF($E919="","",IF($C919=12,IF($B919&lt;Input!$C$9,Input!$C$54,IF($B919=Input!$C$9,Input!$C$55,Input!$C$56)),0%))</f>
        <v/>
      </c>
      <c r="P919" s="167" t="str">
        <f>IF($E919="","",IF($B919=1,Input!$C$59,IF($B919&lt;6,Input!$C$60,0%)))</f>
        <v/>
      </c>
      <c r="Q919" s="162" t="str">
        <f>IF($E919="","",Input!$C$58)</f>
        <v/>
      </c>
      <c r="R919" s="156" t="str">
        <f t="shared" si="306"/>
        <v/>
      </c>
      <c r="S919" s="154" t="str">
        <f t="shared" si="295"/>
        <v/>
      </c>
      <c r="T919" s="152"/>
      <c r="U919" s="150" t="str">
        <f t="shared" si="307"/>
        <v/>
      </c>
      <c r="V919" s="150" t="str">
        <f t="shared" si="308"/>
        <v/>
      </c>
      <c r="W919" s="168" t="str">
        <f t="shared" si="309"/>
        <v/>
      </c>
      <c r="X919" s="163" t="str">
        <f t="shared" si="296"/>
        <v/>
      </c>
      <c r="Y919" s="152"/>
      <c r="Z919" s="164" t="str">
        <f>IF(AND($C918=12,$D918=Input!$C$6),0,IF($E919="","",V919+Z920/(1+L919)*R919))</f>
        <v/>
      </c>
      <c r="AA919" s="164" t="str">
        <f>IF(OR($M919=1,AND($C918=12,$D918=Input!$C$6)),0,IF($E919="","",W919+(X919+AA920*$R919)/(1+$L919)))</f>
        <v/>
      </c>
      <c r="AB919" s="160" t="str">
        <f t="shared" si="297"/>
        <v/>
      </c>
      <c r="AC919" s="164" t="str">
        <f t="shared" si="298"/>
        <v/>
      </c>
      <c r="AD919" s="164" t="str">
        <f>IF(AND($C918=12,$D918=Input!$C$6),0,IF($E919="","",$AC919+AD920/(1+$L919)*$R919))</f>
        <v/>
      </c>
      <c r="AE919" s="152"/>
      <c r="AF919" s="164" t="str">
        <f>IF(AND($C918=12,$D918=Input!$C$6),0,IF($E919="","",IF($B919&gt;Input!$C$9,$AC919,0)+AF920/(1+$L919)*$R919))</f>
        <v/>
      </c>
      <c r="AG919" s="164" t="str">
        <f>IF(AND($C918=12,$D918=Input!$C$6),0,IF($E919="","",(IF($B919&gt;Input!$C$9,$X919,0)+AG920)/(1+$L919)*$R919))</f>
        <v/>
      </c>
      <c r="AH919" s="160" t="str">
        <f t="shared" si="299"/>
        <v/>
      </c>
      <c r="AI919" s="160" t="str">
        <f>IF($E919="","",MIN(Input!$C$61/AH919,1))</f>
        <v/>
      </c>
      <c r="AJ919" s="152"/>
      <c r="AK919" s="164" t="str">
        <f>IF(AND($C918=12,$D918=Input!$C$6),0,IF($E919="","",IF($B919&gt;Input!$C$9,$AC919*AI919,0)+AK920/(1+$L919)*$R919))</f>
        <v/>
      </c>
      <c r="AL919" s="164" t="str">
        <f>IF(AND($C918=12,$D918=Input!$C$6),0,IF($E919="","",IF($B919&gt;Input!$C$9,0,$AC919)+AL920/(1+$L919)*$R919))</f>
        <v/>
      </c>
      <c r="AM919" s="160" t="str">
        <f t="shared" si="300"/>
        <v/>
      </c>
      <c r="AN919" s="164" t="str">
        <f>IF($E919="","",IF($B919&gt;Input!$C$9,$AI919*$AC919,$AM919*$AC919))</f>
        <v/>
      </c>
      <c r="AO919" s="164" t="str">
        <f>IF(AND($C918=12,$D918=Input!$C$6),0,IF($E919="","",$AN919+AO920/(1+$L919)*$R919))</f>
        <v/>
      </c>
      <c r="AP919" s="152"/>
      <c r="AQ919" s="164" t="str">
        <f t="shared" si="301"/>
        <v/>
      </c>
      <c r="AR919" s="164" t="str">
        <f t="shared" si="310"/>
        <v/>
      </c>
      <c r="AS919" s="164" t="str">
        <f t="shared" si="311"/>
        <v/>
      </c>
      <c r="AT919" s="164" t="str">
        <f t="shared" si="302"/>
        <v/>
      </c>
      <c r="AU919" s="152"/>
      <c r="AV919" s="147" t="str">
        <f>'Deterministic Reserve'!BC919</f>
        <v/>
      </c>
      <c r="AW919" s="164" t="str">
        <f t="shared" si="303"/>
        <v/>
      </c>
      <c r="AX919" s="164" t="str">
        <f t="shared" si="304"/>
        <v/>
      </c>
      <c r="AY919" s="152"/>
    </row>
    <row r="920" spans="1:51" s="150" customFormat="1" x14ac:dyDescent="0.25">
      <c r="A920" s="150" t="str">
        <f t="shared" si="312"/>
        <v/>
      </c>
      <c r="B920" s="150" t="str">
        <f t="shared" si="313"/>
        <v/>
      </c>
      <c r="C920" s="150" t="str">
        <f t="shared" si="314"/>
        <v/>
      </c>
      <c r="D920" s="150" t="str">
        <f>IF(E920="","",Input!$C$4+B920-1)</f>
        <v/>
      </c>
      <c r="E920" s="150" t="str">
        <f>IF(OR(AND(C919=12,D919=Input!$C$6),E919=""),"",1)</f>
        <v/>
      </c>
      <c r="F920" s="150" t="str">
        <f>IF(E920="","",Input!$C$8+B920-1)</f>
        <v/>
      </c>
      <c r="G920" s="151" t="str">
        <f>IF(E920="","",MAX(0,Input!$C$9-B920))</f>
        <v/>
      </c>
      <c r="H920" s="152" t="str">
        <f>IF(E920="","",Input!$C$3)</f>
        <v/>
      </c>
      <c r="I920" s="153" t="str">
        <f>IF(E920="","",HLOOKUP($B920,Input!$C$13:$BT$14,2))</f>
        <v/>
      </c>
      <c r="J920" s="154"/>
      <c r="K920" s="155" t="str">
        <f>IF($E920="","",Input!$C$57)</f>
        <v/>
      </c>
      <c r="L920" s="155" t="str">
        <f t="shared" si="305"/>
        <v/>
      </c>
      <c r="M920" s="147" t="str">
        <f>IF($E920="","",VLOOKUP(IF($B920&lt;=Input!$C$7,$B920,26),'Mortality Tables'!$A$72:$CA$97,IF($B920&lt;=Input!$C$7+1,Input!$C$4-16,$D920-Input!$C$7-16),0)/1000)</f>
        <v/>
      </c>
      <c r="N920" s="147" t="str">
        <f t="shared" si="294"/>
        <v/>
      </c>
      <c r="O920" s="157" t="str">
        <f>IF($E920="","",IF($C920=12,IF($B920&lt;Input!$C$9,Input!$C$54,IF($B920=Input!$C$9,Input!$C$55,Input!$C$56)),0%))</f>
        <v/>
      </c>
      <c r="P920" s="167" t="str">
        <f>IF($E920="","",IF($B920=1,Input!$C$59,IF($B920&lt;6,Input!$C$60,0%)))</f>
        <v/>
      </c>
      <c r="Q920" s="162" t="str">
        <f>IF($E920="","",Input!$C$58)</f>
        <v/>
      </c>
      <c r="R920" s="156" t="str">
        <f t="shared" si="306"/>
        <v/>
      </c>
      <c r="S920" s="154" t="str">
        <f t="shared" si="295"/>
        <v/>
      </c>
      <c r="T920" s="152"/>
      <c r="U920" s="150" t="str">
        <f t="shared" si="307"/>
        <v/>
      </c>
      <c r="V920" s="150" t="str">
        <f t="shared" si="308"/>
        <v/>
      </c>
      <c r="W920" s="168" t="str">
        <f t="shared" si="309"/>
        <v/>
      </c>
      <c r="X920" s="163" t="str">
        <f t="shared" si="296"/>
        <v/>
      </c>
      <c r="Y920" s="152"/>
      <c r="Z920" s="164" t="str">
        <f>IF(AND($C919=12,$D919=Input!$C$6),0,IF($E920="","",V920+Z921/(1+L920)*R920))</f>
        <v/>
      </c>
      <c r="AA920" s="164" t="str">
        <f>IF(OR($M920=1,AND($C919=12,$D919=Input!$C$6)),0,IF($E920="","",W920+(X920+AA921*$R920)/(1+$L920)))</f>
        <v/>
      </c>
      <c r="AB920" s="160" t="str">
        <f t="shared" si="297"/>
        <v/>
      </c>
      <c r="AC920" s="164" t="str">
        <f t="shared" si="298"/>
        <v/>
      </c>
      <c r="AD920" s="164" t="str">
        <f>IF(AND($C919=12,$D919=Input!$C$6),0,IF($E920="","",$AC920+AD921/(1+$L920)*$R920))</f>
        <v/>
      </c>
      <c r="AE920" s="152"/>
      <c r="AF920" s="164" t="str">
        <f>IF(AND($C919=12,$D919=Input!$C$6),0,IF($E920="","",IF($B920&gt;Input!$C$9,$AC920,0)+AF921/(1+$L920)*$R920))</f>
        <v/>
      </c>
      <c r="AG920" s="164" t="str">
        <f>IF(AND($C919=12,$D919=Input!$C$6),0,IF($E920="","",(IF($B920&gt;Input!$C$9,$X920,0)+AG921)/(1+$L920)*$R920))</f>
        <v/>
      </c>
      <c r="AH920" s="160" t="str">
        <f t="shared" si="299"/>
        <v/>
      </c>
      <c r="AI920" s="160" t="str">
        <f>IF($E920="","",MIN(Input!$C$61/AH920,1))</f>
        <v/>
      </c>
      <c r="AJ920" s="152"/>
      <c r="AK920" s="164" t="str">
        <f>IF(AND($C919=12,$D919=Input!$C$6),0,IF($E920="","",IF($B920&gt;Input!$C$9,$AC920*AI920,0)+AK921/(1+$L920)*$R920))</f>
        <v/>
      </c>
      <c r="AL920" s="164" t="str">
        <f>IF(AND($C919=12,$D919=Input!$C$6),0,IF($E920="","",IF($B920&gt;Input!$C$9,0,$AC920)+AL921/(1+$L920)*$R920))</f>
        <v/>
      </c>
      <c r="AM920" s="160" t="str">
        <f t="shared" si="300"/>
        <v/>
      </c>
      <c r="AN920" s="164" t="str">
        <f>IF($E920="","",IF($B920&gt;Input!$C$9,$AI920*$AC920,$AM920*$AC920))</f>
        <v/>
      </c>
      <c r="AO920" s="164" t="str">
        <f>IF(AND($C919=12,$D919=Input!$C$6),0,IF($E920="","",$AN920+AO921/(1+$L920)*$R920))</f>
        <v/>
      </c>
      <c r="AP920" s="152"/>
      <c r="AQ920" s="164" t="str">
        <f t="shared" si="301"/>
        <v/>
      </c>
      <c r="AR920" s="164" t="str">
        <f t="shared" si="310"/>
        <v/>
      </c>
      <c r="AS920" s="164" t="str">
        <f t="shared" si="311"/>
        <v/>
      </c>
      <c r="AT920" s="164" t="str">
        <f t="shared" si="302"/>
        <v/>
      </c>
      <c r="AU920" s="152"/>
      <c r="AV920" s="147" t="str">
        <f>'Deterministic Reserve'!BC920</f>
        <v/>
      </c>
      <c r="AW920" s="164" t="str">
        <f t="shared" si="303"/>
        <v/>
      </c>
      <c r="AX920" s="164" t="str">
        <f t="shared" si="304"/>
        <v/>
      </c>
      <c r="AY920" s="152"/>
    </row>
    <row r="921" spans="1:51" s="150" customFormat="1" x14ac:dyDescent="0.25">
      <c r="A921" s="150" t="str">
        <f t="shared" si="312"/>
        <v/>
      </c>
      <c r="B921" s="150" t="str">
        <f t="shared" si="313"/>
        <v/>
      </c>
      <c r="C921" s="150" t="str">
        <f t="shared" si="314"/>
        <v/>
      </c>
      <c r="D921" s="150" t="str">
        <f>IF(E921="","",Input!$C$4+B921-1)</f>
        <v/>
      </c>
      <c r="E921" s="150" t="str">
        <f>IF(OR(AND(C920=12,D920=Input!$C$6),E920=""),"",1)</f>
        <v/>
      </c>
      <c r="F921" s="150" t="str">
        <f>IF(E921="","",Input!$C$8+B921-1)</f>
        <v/>
      </c>
      <c r="G921" s="151" t="str">
        <f>IF(E921="","",MAX(0,Input!$C$9-B921))</f>
        <v/>
      </c>
      <c r="H921" s="152" t="str">
        <f>IF(E921="","",Input!$C$3)</f>
        <v/>
      </c>
      <c r="I921" s="153" t="str">
        <f>IF(E921="","",HLOOKUP($B921,Input!$C$13:$BT$14,2))</f>
        <v/>
      </c>
      <c r="J921" s="154"/>
      <c r="K921" s="155" t="str">
        <f>IF($E921="","",Input!$C$57)</f>
        <v/>
      </c>
      <c r="L921" s="155" t="str">
        <f t="shared" si="305"/>
        <v/>
      </c>
      <c r="M921" s="147" t="str">
        <f>IF($E921="","",VLOOKUP(IF($B921&lt;=Input!$C$7,$B921,26),'Mortality Tables'!$A$72:$CA$97,IF($B921&lt;=Input!$C$7+1,Input!$C$4-16,$D921-Input!$C$7-16),0)/1000)</f>
        <v/>
      </c>
      <c r="N921" s="147" t="str">
        <f t="shared" si="294"/>
        <v/>
      </c>
      <c r="O921" s="157" t="str">
        <f>IF($E921="","",IF($C921=12,IF($B921&lt;Input!$C$9,Input!$C$54,IF($B921=Input!$C$9,Input!$C$55,Input!$C$56)),0%))</f>
        <v/>
      </c>
      <c r="P921" s="167" t="str">
        <f>IF($E921="","",IF($B921=1,Input!$C$59,IF($B921&lt;6,Input!$C$60,0%)))</f>
        <v/>
      </c>
      <c r="Q921" s="162" t="str">
        <f>IF($E921="","",Input!$C$58)</f>
        <v/>
      </c>
      <c r="R921" s="156" t="str">
        <f t="shared" si="306"/>
        <v/>
      </c>
      <c r="S921" s="154" t="str">
        <f t="shared" si="295"/>
        <v/>
      </c>
      <c r="T921" s="152"/>
      <c r="U921" s="150" t="str">
        <f t="shared" si="307"/>
        <v/>
      </c>
      <c r="V921" s="150" t="str">
        <f t="shared" si="308"/>
        <v/>
      </c>
      <c r="W921" s="168" t="str">
        <f t="shared" si="309"/>
        <v/>
      </c>
      <c r="X921" s="163" t="str">
        <f t="shared" si="296"/>
        <v/>
      </c>
      <c r="Y921" s="152"/>
      <c r="Z921" s="164" t="str">
        <f>IF(AND($C920=12,$D920=Input!$C$6),0,IF($E921="","",V921+Z922/(1+L921)*R921))</f>
        <v/>
      </c>
      <c r="AA921" s="164" t="str">
        <f>IF(OR($M921=1,AND($C920=12,$D920=Input!$C$6)),0,IF($E921="","",W921+(X921+AA922*$R921)/(1+$L921)))</f>
        <v/>
      </c>
      <c r="AB921" s="160" t="str">
        <f t="shared" si="297"/>
        <v/>
      </c>
      <c r="AC921" s="164" t="str">
        <f t="shared" si="298"/>
        <v/>
      </c>
      <c r="AD921" s="164" t="str">
        <f>IF(AND($C920=12,$D920=Input!$C$6),0,IF($E921="","",$AC921+AD922/(1+$L921)*$R921))</f>
        <v/>
      </c>
      <c r="AE921" s="152"/>
      <c r="AF921" s="164" t="str">
        <f>IF(AND($C920=12,$D920=Input!$C$6),0,IF($E921="","",IF($B921&gt;Input!$C$9,$AC921,0)+AF922/(1+$L921)*$R921))</f>
        <v/>
      </c>
      <c r="AG921" s="164" t="str">
        <f>IF(AND($C920=12,$D920=Input!$C$6),0,IF($E921="","",(IF($B921&gt;Input!$C$9,$X921,0)+AG922)/(1+$L921)*$R921))</f>
        <v/>
      </c>
      <c r="AH921" s="160" t="str">
        <f t="shared" si="299"/>
        <v/>
      </c>
      <c r="AI921" s="160" t="str">
        <f>IF($E921="","",MIN(Input!$C$61/AH921,1))</f>
        <v/>
      </c>
      <c r="AJ921" s="152"/>
      <c r="AK921" s="164" t="str">
        <f>IF(AND($C920=12,$D920=Input!$C$6),0,IF($E921="","",IF($B921&gt;Input!$C$9,$AC921*AI921,0)+AK922/(1+$L921)*$R921))</f>
        <v/>
      </c>
      <c r="AL921" s="164" t="str">
        <f>IF(AND($C920=12,$D920=Input!$C$6),0,IF($E921="","",IF($B921&gt;Input!$C$9,0,$AC921)+AL922/(1+$L921)*$R921))</f>
        <v/>
      </c>
      <c r="AM921" s="160" t="str">
        <f t="shared" si="300"/>
        <v/>
      </c>
      <c r="AN921" s="164" t="str">
        <f>IF($E921="","",IF($B921&gt;Input!$C$9,$AI921*$AC921,$AM921*$AC921))</f>
        <v/>
      </c>
      <c r="AO921" s="164" t="str">
        <f>IF(AND($C920=12,$D920=Input!$C$6),0,IF($E921="","",$AN921+AO922/(1+$L921)*$R921))</f>
        <v/>
      </c>
      <c r="AP921" s="152"/>
      <c r="AQ921" s="164" t="str">
        <f t="shared" si="301"/>
        <v/>
      </c>
      <c r="AR921" s="164" t="str">
        <f t="shared" si="310"/>
        <v/>
      </c>
      <c r="AS921" s="164" t="str">
        <f t="shared" si="311"/>
        <v/>
      </c>
      <c r="AT921" s="164" t="str">
        <f t="shared" si="302"/>
        <v/>
      </c>
      <c r="AU921" s="152"/>
      <c r="AV921" s="147" t="str">
        <f>'Deterministic Reserve'!BC921</f>
        <v/>
      </c>
      <c r="AW921" s="164" t="str">
        <f t="shared" si="303"/>
        <v/>
      </c>
      <c r="AX921" s="164" t="str">
        <f t="shared" si="304"/>
        <v/>
      </c>
      <c r="AY921" s="152"/>
    </row>
    <row r="922" spans="1:51" s="150" customFormat="1" x14ac:dyDescent="0.25">
      <c r="A922" s="150" t="str">
        <f t="shared" si="312"/>
        <v/>
      </c>
      <c r="B922" s="150" t="str">
        <f t="shared" si="313"/>
        <v/>
      </c>
      <c r="C922" s="150" t="str">
        <f t="shared" si="314"/>
        <v/>
      </c>
      <c r="D922" s="150" t="str">
        <f>IF(E922="","",Input!$C$4+B922-1)</f>
        <v/>
      </c>
      <c r="E922" s="150" t="str">
        <f>IF(OR(AND(C921=12,D921=Input!$C$6),E921=""),"",1)</f>
        <v/>
      </c>
      <c r="F922" s="150" t="str">
        <f>IF(E922="","",Input!$C$8+B922-1)</f>
        <v/>
      </c>
      <c r="G922" s="151" t="str">
        <f>IF(E922="","",MAX(0,Input!$C$9-B922))</f>
        <v/>
      </c>
      <c r="H922" s="152" t="str">
        <f>IF(E922="","",Input!$C$3)</f>
        <v/>
      </c>
      <c r="I922" s="153" t="str">
        <f>IF(E922="","",HLOOKUP($B922,Input!$C$13:$BT$14,2))</f>
        <v/>
      </c>
      <c r="J922" s="154"/>
      <c r="K922" s="155" t="str">
        <f>IF($E922="","",Input!$C$57)</f>
        <v/>
      </c>
      <c r="L922" s="155" t="str">
        <f t="shared" si="305"/>
        <v/>
      </c>
      <c r="M922" s="147" t="str">
        <f>IF($E922="","",VLOOKUP(IF($B922&lt;=Input!$C$7,$B922,26),'Mortality Tables'!$A$72:$CA$97,IF($B922&lt;=Input!$C$7+1,Input!$C$4-16,$D922-Input!$C$7-16),0)/1000)</f>
        <v/>
      </c>
      <c r="N922" s="147" t="str">
        <f t="shared" si="294"/>
        <v/>
      </c>
      <c r="O922" s="157" t="str">
        <f>IF($E922="","",IF($C922=12,IF($B922&lt;Input!$C$9,Input!$C$54,IF($B922=Input!$C$9,Input!$C$55,Input!$C$56)),0%))</f>
        <v/>
      </c>
      <c r="P922" s="167" t="str">
        <f>IF($E922="","",IF($B922=1,Input!$C$59,IF($B922&lt;6,Input!$C$60,0%)))</f>
        <v/>
      </c>
      <c r="Q922" s="162" t="str">
        <f>IF($E922="","",Input!$C$58)</f>
        <v/>
      </c>
      <c r="R922" s="156" t="str">
        <f t="shared" si="306"/>
        <v/>
      </c>
      <c r="S922" s="154" t="str">
        <f t="shared" si="295"/>
        <v/>
      </c>
      <c r="T922" s="152"/>
      <c r="U922" s="150" t="str">
        <f t="shared" si="307"/>
        <v/>
      </c>
      <c r="V922" s="150" t="str">
        <f t="shared" si="308"/>
        <v/>
      </c>
      <c r="W922" s="168" t="str">
        <f t="shared" si="309"/>
        <v/>
      </c>
      <c r="X922" s="163" t="str">
        <f t="shared" si="296"/>
        <v/>
      </c>
      <c r="Y922" s="152"/>
      <c r="Z922" s="164" t="str">
        <f>IF(AND($C921=12,$D921=Input!$C$6),0,IF($E922="","",V922+Z923/(1+L922)*R922))</f>
        <v/>
      </c>
      <c r="AA922" s="164" t="str">
        <f>IF(OR($M922=1,AND($C921=12,$D921=Input!$C$6)),0,IF($E922="","",W922+(X922+AA923*$R922)/(1+$L922)))</f>
        <v/>
      </c>
      <c r="AB922" s="160" t="str">
        <f t="shared" si="297"/>
        <v/>
      </c>
      <c r="AC922" s="164" t="str">
        <f t="shared" si="298"/>
        <v/>
      </c>
      <c r="AD922" s="164" t="str">
        <f>IF(AND($C921=12,$D921=Input!$C$6),0,IF($E922="","",$AC922+AD923/(1+$L922)*$R922))</f>
        <v/>
      </c>
      <c r="AE922" s="152"/>
      <c r="AF922" s="164" t="str">
        <f>IF(AND($C921=12,$D921=Input!$C$6),0,IF($E922="","",IF($B922&gt;Input!$C$9,$AC922,0)+AF923/(1+$L922)*$R922))</f>
        <v/>
      </c>
      <c r="AG922" s="164" t="str">
        <f>IF(AND($C921=12,$D921=Input!$C$6),0,IF($E922="","",(IF($B922&gt;Input!$C$9,$X922,0)+AG923)/(1+$L922)*$R922))</f>
        <v/>
      </c>
      <c r="AH922" s="160" t="str">
        <f t="shared" si="299"/>
        <v/>
      </c>
      <c r="AI922" s="160" t="str">
        <f>IF($E922="","",MIN(Input!$C$61/AH922,1))</f>
        <v/>
      </c>
      <c r="AJ922" s="152"/>
      <c r="AK922" s="164" t="str">
        <f>IF(AND($C921=12,$D921=Input!$C$6),0,IF($E922="","",IF($B922&gt;Input!$C$9,$AC922*AI922,0)+AK923/(1+$L922)*$R922))</f>
        <v/>
      </c>
      <c r="AL922" s="164" t="str">
        <f>IF(AND($C921=12,$D921=Input!$C$6),0,IF($E922="","",IF($B922&gt;Input!$C$9,0,$AC922)+AL923/(1+$L922)*$R922))</f>
        <v/>
      </c>
      <c r="AM922" s="160" t="str">
        <f t="shared" si="300"/>
        <v/>
      </c>
      <c r="AN922" s="164" t="str">
        <f>IF($E922="","",IF($B922&gt;Input!$C$9,$AI922*$AC922,$AM922*$AC922))</f>
        <v/>
      </c>
      <c r="AO922" s="164" t="str">
        <f>IF(AND($C921=12,$D921=Input!$C$6),0,IF($E922="","",$AN922+AO923/(1+$L922)*$R922))</f>
        <v/>
      </c>
      <c r="AP922" s="152"/>
      <c r="AQ922" s="164" t="str">
        <f t="shared" si="301"/>
        <v/>
      </c>
      <c r="AR922" s="164" t="str">
        <f t="shared" si="310"/>
        <v/>
      </c>
      <c r="AS922" s="164" t="str">
        <f t="shared" si="311"/>
        <v/>
      </c>
      <c r="AT922" s="164" t="str">
        <f t="shared" si="302"/>
        <v/>
      </c>
      <c r="AU922" s="152"/>
      <c r="AV922" s="147" t="str">
        <f>'Deterministic Reserve'!BC922</f>
        <v/>
      </c>
      <c r="AW922" s="164" t="str">
        <f t="shared" si="303"/>
        <v/>
      </c>
      <c r="AX922" s="164" t="str">
        <f t="shared" si="304"/>
        <v/>
      </c>
      <c r="AY922" s="152"/>
    </row>
    <row r="923" spans="1:51" s="150" customFormat="1" x14ac:dyDescent="0.25">
      <c r="A923" s="150" t="str">
        <f t="shared" si="312"/>
        <v/>
      </c>
      <c r="B923" s="150" t="str">
        <f t="shared" si="313"/>
        <v/>
      </c>
      <c r="C923" s="150" t="str">
        <f t="shared" si="314"/>
        <v/>
      </c>
      <c r="D923" s="150" t="str">
        <f>IF(E923="","",Input!$C$4+B923-1)</f>
        <v/>
      </c>
      <c r="E923" s="150" t="str">
        <f>IF(OR(AND(C922=12,D922=Input!$C$6),E922=""),"",1)</f>
        <v/>
      </c>
      <c r="F923" s="150" t="str">
        <f>IF(E923="","",Input!$C$8+B923-1)</f>
        <v/>
      </c>
      <c r="G923" s="151" t="str">
        <f>IF(E923="","",MAX(0,Input!$C$9-B923))</f>
        <v/>
      </c>
      <c r="H923" s="152" t="str">
        <f>IF(E923="","",Input!$C$3)</f>
        <v/>
      </c>
      <c r="I923" s="153" t="str">
        <f>IF(E923="","",HLOOKUP($B923,Input!$C$13:$BT$14,2))</f>
        <v/>
      </c>
      <c r="J923" s="154"/>
      <c r="K923" s="155" t="str">
        <f>IF($E923="","",Input!$C$57)</f>
        <v/>
      </c>
      <c r="L923" s="155" t="str">
        <f t="shared" si="305"/>
        <v/>
      </c>
      <c r="M923" s="147" t="str">
        <f>IF($E923="","",VLOOKUP(IF($B923&lt;=Input!$C$7,$B923,26),'Mortality Tables'!$A$72:$CA$97,IF($B923&lt;=Input!$C$7+1,Input!$C$4-16,$D923-Input!$C$7-16),0)/1000)</f>
        <v/>
      </c>
      <c r="N923" s="147" t="str">
        <f t="shared" si="294"/>
        <v/>
      </c>
      <c r="O923" s="157" t="str">
        <f>IF($E923="","",IF($C923=12,IF($B923&lt;Input!$C$9,Input!$C$54,IF($B923=Input!$C$9,Input!$C$55,Input!$C$56)),0%))</f>
        <v/>
      </c>
      <c r="P923" s="167" t="str">
        <f>IF($E923="","",IF($B923=1,Input!$C$59,IF($B923&lt;6,Input!$C$60,0%)))</f>
        <v/>
      </c>
      <c r="Q923" s="162" t="str">
        <f>IF($E923="","",Input!$C$58)</f>
        <v/>
      </c>
      <c r="R923" s="156" t="str">
        <f t="shared" si="306"/>
        <v/>
      </c>
      <c r="S923" s="154" t="str">
        <f t="shared" si="295"/>
        <v/>
      </c>
      <c r="T923" s="152"/>
      <c r="U923" s="150" t="str">
        <f t="shared" si="307"/>
        <v/>
      </c>
      <c r="V923" s="150" t="str">
        <f t="shared" si="308"/>
        <v/>
      </c>
      <c r="W923" s="168" t="str">
        <f t="shared" si="309"/>
        <v/>
      </c>
      <c r="X923" s="163" t="str">
        <f t="shared" si="296"/>
        <v/>
      </c>
      <c r="Y923" s="152"/>
      <c r="Z923" s="164" t="str">
        <f>IF(AND($C922=12,$D922=Input!$C$6),0,IF($E923="","",V923+Z924/(1+L923)*R923))</f>
        <v/>
      </c>
      <c r="AA923" s="164" t="str">
        <f>IF(OR($M923=1,AND($C922=12,$D922=Input!$C$6)),0,IF($E923="","",W923+(X923+AA924*$R923)/(1+$L923)))</f>
        <v/>
      </c>
      <c r="AB923" s="160" t="str">
        <f t="shared" si="297"/>
        <v/>
      </c>
      <c r="AC923" s="164" t="str">
        <f t="shared" si="298"/>
        <v/>
      </c>
      <c r="AD923" s="164" t="str">
        <f>IF(AND($C922=12,$D922=Input!$C$6),0,IF($E923="","",$AC923+AD924/(1+$L923)*$R923))</f>
        <v/>
      </c>
      <c r="AE923" s="152"/>
      <c r="AF923" s="164" t="str">
        <f>IF(AND($C922=12,$D922=Input!$C$6),0,IF($E923="","",IF($B923&gt;Input!$C$9,$AC923,0)+AF924/(1+$L923)*$R923))</f>
        <v/>
      </c>
      <c r="AG923" s="164" t="str">
        <f>IF(AND($C922=12,$D922=Input!$C$6),0,IF($E923="","",(IF($B923&gt;Input!$C$9,$X923,0)+AG924)/(1+$L923)*$R923))</f>
        <v/>
      </c>
      <c r="AH923" s="160" t="str">
        <f t="shared" si="299"/>
        <v/>
      </c>
      <c r="AI923" s="160" t="str">
        <f>IF($E923="","",MIN(Input!$C$61/AH923,1))</f>
        <v/>
      </c>
      <c r="AJ923" s="152"/>
      <c r="AK923" s="164" t="str">
        <f>IF(AND($C922=12,$D922=Input!$C$6),0,IF($E923="","",IF($B923&gt;Input!$C$9,$AC923*AI923,0)+AK924/(1+$L923)*$R923))</f>
        <v/>
      </c>
      <c r="AL923" s="164" t="str">
        <f>IF(AND($C922=12,$D922=Input!$C$6),0,IF($E923="","",IF($B923&gt;Input!$C$9,0,$AC923)+AL924/(1+$L923)*$R923))</f>
        <v/>
      </c>
      <c r="AM923" s="160" t="str">
        <f t="shared" si="300"/>
        <v/>
      </c>
      <c r="AN923" s="164" t="str">
        <f>IF($E923="","",IF($B923&gt;Input!$C$9,$AI923*$AC923,$AM923*$AC923))</f>
        <v/>
      </c>
      <c r="AO923" s="164" t="str">
        <f>IF(AND($C922=12,$D922=Input!$C$6),0,IF($E923="","",$AN923+AO924/(1+$L923)*$R923))</f>
        <v/>
      </c>
      <c r="AP923" s="152"/>
      <c r="AQ923" s="164" t="str">
        <f t="shared" si="301"/>
        <v/>
      </c>
      <c r="AR923" s="164" t="str">
        <f t="shared" si="310"/>
        <v/>
      </c>
      <c r="AS923" s="164" t="str">
        <f t="shared" si="311"/>
        <v/>
      </c>
      <c r="AT923" s="164" t="str">
        <f t="shared" si="302"/>
        <v/>
      </c>
      <c r="AU923" s="152"/>
      <c r="AV923" s="147" t="str">
        <f>'Deterministic Reserve'!BC923</f>
        <v/>
      </c>
      <c r="AW923" s="164" t="str">
        <f t="shared" si="303"/>
        <v/>
      </c>
      <c r="AX923" s="164" t="str">
        <f t="shared" si="304"/>
        <v/>
      </c>
      <c r="AY923" s="152"/>
    </row>
    <row r="924" spans="1:51" s="150" customFormat="1" x14ac:dyDescent="0.25">
      <c r="A924" s="150" t="str">
        <f t="shared" si="312"/>
        <v/>
      </c>
      <c r="B924" s="150" t="str">
        <f t="shared" si="313"/>
        <v/>
      </c>
      <c r="C924" s="150" t="str">
        <f t="shared" si="314"/>
        <v/>
      </c>
      <c r="D924" s="150" t="str">
        <f>IF(E924="","",Input!$C$4+B924-1)</f>
        <v/>
      </c>
      <c r="E924" s="150" t="str">
        <f>IF(OR(AND(C923=12,D923=Input!$C$6),E923=""),"",1)</f>
        <v/>
      </c>
      <c r="F924" s="150" t="str">
        <f>IF(E924="","",Input!$C$8+B924-1)</f>
        <v/>
      </c>
      <c r="G924" s="151" t="str">
        <f>IF(E924="","",MAX(0,Input!$C$9-B924))</f>
        <v/>
      </c>
      <c r="H924" s="152" t="str">
        <f>IF(E924="","",Input!$C$3)</f>
        <v/>
      </c>
      <c r="I924" s="153" t="str">
        <f>IF(E924="","",HLOOKUP($B924,Input!$C$13:$BT$14,2))</f>
        <v/>
      </c>
      <c r="J924" s="154"/>
      <c r="K924" s="155" t="str">
        <f>IF($E924="","",Input!$C$57)</f>
        <v/>
      </c>
      <c r="L924" s="155" t="str">
        <f t="shared" si="305"/>
        <v/>
      </c>
      <c r="M924" s="147" t="str">
        <f>IF($E924="","",VLOOKUP(IF($B924&lt;=Input!$C$7,$B924,26),'Mortality Tables'!$A$72:$CA$97,IF($B924&lt;=Input!$C$7+1,Input!$C$4-16,$D924-Input!$C$7-16),0)/1000)</f>
        <v/>
      </c>
      <c r="N924" s="147" t="str">
        <f t="shared" si="294"/>
        <v/>
      </c>
      <c r="O924" s="157" t="str">
        <f>IF($E924="","",IF($C924=12,IF($B924&lt;Input!$C$9,Input!$C$54,IF($B924=Input!$C$9,Input!$C$55,Input!$C$56)),0%))</f>
        <v/>
      </c>
      <c r="P924" s="167" t="str">
        <f>IF($E924="","",IF($B924=1,Input!$C$59,IF($B924&lt;6,Input!$C$60,0%)))</f>
        <v/>
      </c>
      <c r="Q924" s="162" t="str">
        <f>IF($E924="","",Input!$C$58)</f>
        <v/>
      </c>
      <c r="R924" s="156" t="str">
        <f t="shared" si="306"/>
        <v/>
      </c>
      <c r="S924" s="154" t="str">
        <f t="shared" si="295"/>
        <v/>
      </c>
      <c r="T924" s="152"/>
      <c r="U924" s="150" t="str">
        <f t="shared" si="307"/>
        <v/>
      </c>
      <c r="V924" s="150" t="str">
        <f t="shared" si="308"/>
        <v/>
      </c>
      <c r="W924" s="168" t="str">
        <f t="shared" si="309"/>
        <v/>
      </c>
      <c r="X924" s="163" t="str">
        <f t="shared" si="296"/>
        <v/>
      </c>
      <c r="Y924" s="152"/>
      <c r="Z924" s="164" t="str">
        <f>IF(AND($C923=12,$D923=Input!$C$6),0,IF($E924="","",V924+Z925/(1+L924)*R924))</f>
        <v/>
      </c>
      <c r="AA924" s="164" t="str">
        <f>IF(OR($M924=1,AND($C923=12,$D923=Input!$C$6)),0,IF($E924="","",W924+(X924+AA925*$R924)/(1+$L924)))</f>
        <v/>
      </c>
      <c r="AB924" s="160" t="str">
        <f t="shared" si="297"/>
        <v/>
      </c>
      <c r="AC924" s="164" t="str">
        <f t="shared" si="298"/>
        <v/>
      </c>
      <c r="AD924" s="164" t="str">
        <f>IF(AND($C923=12,$D923=Input!$C$6),0,IF($E924="","",$AC924+AD925/(1+$L924)*$R924))</f>
        <v/>
      </c>
      <c r="AE924" s="152"/>
      <c r="AF924" s="164" t="str">
        <f>IF(AND($C923=12,$D923=Input!$C$6),0,IF($E924="","",IF($B924&gt;Input!$C$9,$AC924,0)+AF925/(1+$L924)*$R924))</f>
        <v/>
      </c>
      <c r="AG924" s="164" t="str">
        <f>IF(AND($C923=12,$D923=Input!$C$6),0,IF($E924="","",(IF($B924&gt;Input!$C$9,$X924,0)+AG925)/(1+$L924)*$R924))</f>
        <v/>
      </c>
      <c r="AH924" s="160" t="str">
        <f t="shared" si="299"/>
        <v/>
      </c>
      <c r="AI924" s="160" t="str">
        <f>IF($E924="","",MIN(Input!$C$61/AH924,1))</f>
        <v/>
      </c>
      <c r="AJ924" s="152"/>
      <c r="AK924" s="164" t="str">
        <f>IF(AND($C923=12,$D923=Input!$C$6),0,IF($E924="","",IF($B924&gt;Input!$C$9,$AC924*AI924,0)+AK925/(1+$L924)*$R924))</f>
        <v/>
      </c>
      <c r="AL924" s="164" t="str">
        <f>IF(AND($C923=12,$D923=Input!$C$6),0,IF($E924="","",IF($B924&gt;Input!$C$9,0,$AC924)+AL925/(1+$L924)*$R924))</f>
        <v/>
      </c>
      <c r="AM924" s="160" t="str">
        <f t="shared" si="300"/>
        <v/>
      </c>
      <c r="AN924" s="164" t="str">
        <f>IF($E924="","",IF($B924&gt;Input!$C$9,$AI924*$AC924,$AM924*$AC924))</f>
        <v/>
      </c>
      <c r="AO924" s="164" t="str">
        <f>IF(AND($C923=12,$D923=Input!$C$6),0,IF($E924="","",$AN924+AO925/(1+$L924)*$R924))</f>
        <v/>
      </c>
      <c r="AP924" s="152"/>
      <c r="AQ924" s="164" t="str">
        <f t="shared" si="301"/>
        <v/>
      </c>
      <c r="AR924" s="164" t="str">
        <f t="shared" si="310"/>
        <v/>
      </c>
      <c r="AS924" s="164" t="str">
        <f t="shared" si="311"/>
        <v/>
      </c>
      <c r="AT924" s="164" t="str">
        <f t="shared" si="302"/>
        <v/>
      </c>
      <c r="AU924" s="152"/>
      <c r="AV924" s="147" t="str">
        <f>'Deterministic Reserve'!BC924</f>
        <v/>
      </c>
      <c r="AW924" s="164" t="str">
        <f t="shared" si="303"/>
        <v/>
      </c>
      <c r="AX924" s="164" t="str">
        <f t="shared" si="304"/>
        <v/>
      </c>
      <c r="AY924" s="152"/>
    </row>
    <row r="925" spans="1:51" s="150" customFormat="1" x14ac:dyDescent="0.25">
      <c r="A925" s="150" t="str">
        <f t="shared" si="312"/>
        <v/>
      </c>
      <c r="B925" s="150" t="str">
        <f t="shared" si="313"/>
        <v/>
      </c>
      <c r="C925" s="150" t="str">
        <f t="shared" si="314"/>
        <v/>
      </c>
      <c r="D925" s="150" t="str">
        <f>IF(E925="","",Input!$C$4+B925-1)</f>
        <v/>
      </c>
      <c r="E925" s="150" t="str">
        <f>IF(OR(AND(C924=12,D924=Input!$C$6),E924=""),"",1)</f>
        <v/>
      </c>
      <c r="F925" s="150" t="str">
        <f>IF(E925="","",Input!$C$8+B925-1)</f>
        <v/>
      </c>
      <c r="G925" s="151" t="str">
        <f>IF(E925="","",MAX(0,Input!$C$9-B925))</f>
        <v/>
      </c>
      <c r="H925" s="152" t="str">
        <f>IF(E925="","",Input!$C$3)</f>
        <v/>
      </c>
      <c r="I925" s="153" t="str">
        <f>IF(E925="","",HLOOKUP($B925,Input!$C$13:$BT$14,2))</f>
        <v/>
      </c>
      <c r="J925" s="154"/>
      <c r="K925" s="155" t="str">
        <f>IF($E925="","",Input!$C$57)</f>
        <v/>
      </c>
      <c r="L925" s="155" t="str">
        <f t="shared" si="305"/>
        <v/>
      </c>
      <c r="M925" s="147" t="str">
        <f>IF($E925="","",VLOOKUP(IF($B925&lt;=Input!$C$7,$B925,26),'Mortality Tables'!$A$72:$CA$97,IF($B925&lt;=Input!$C$7+1,Input!$C$4-16,$D925-Input!$C$7-16),0)/1000)</f>
        <v/>
      </c>
      <c r="N925" s="147" t="str">
        <f t="shared" si="294"/>
        <v/>
      </c>
      <c r="O925" s="157" t="str">
        <f>IF($E925="","",IF($C925=12,IF($B925&lt;Input!$C$9,Input!$C$54,IF($B925=Input!$C$9,Input!$C$55,Input!$C$56)),0%))</f>
        <v/>
      </c>
      <c r="P925" s="167" t="str">
        <f>IF($E925="","",IF($B925=1,Input!$C$59,IF($B925&lt;6,Input!$C$60,0%)))</f>
        <v/>
      </c>
      <c r="Q925" s="162" t="str">
        <f>IF($E925="","",Input!$C$58)</f>
        <v/>
      </c>
      <c r="R925" s="156" t="str">
        <f t="shared" si="306"/>
        <v/>
      </c>
      <c r="S925" s="154" t="str">
        <f t="shared" si="295"/>
        <v/>
      </c>
      <c r="T925" s="152"/>
      <c r="U925" s="150" t="str">
        <f t="shared" si="307"/>
        <v/>
      </c>
      <c r="V925" s="150" t="str">
        <f t="shared" si="308"/>
        <v/>
      </c>
      <c r="W925" s="168" t="str">
        <f t="shared" si="309"/>
        <v/>
      </c>
      <c r="X925" s="163" t="str">
        <f t="shared" si="296"/>
        <v/>
      </c>
      <c r="Y925" s="152"/>
      <c r="Z925" s="164" t="str">
        <f>IF(AND($C924=12,$D924=Input!$C$6),0,IF($E925="","",V925+Z926/(1+L925)*R925))</f>
        <v/>
      </c>
      <c r="AA925" s="164" t="str">
        <f>IF(OR($M925=1,AND($C924=12,$D924=Input!$C$6)),0,IF($E925="","",W925+(X925+AA926*$R925)/(1+$L925)))</f>
        <v/>
      </c>
      <c r="AB925" s="160" t="str">
        <f t="shared" si="297"/>
        <v/>
      </c>
      <c r="AC925" s="164" t="str">
        <f t="shared" si="298"/>
        <v/>
      </c>
      <c r="AD925" s="164" t="str">
        <f>IF(AND($C924=12,$D924=Input!$C$6),0,IF($E925="","",$AC925+AD926/(1+$L925)*$R925))</f>
        <v/>
      </c>
      <c r="AE925" s="152"/>
      <c r="AF925" s="164" t="str">
        <f>IF(AND($C924=12,$D924=Input!$C$6),0,IF($E925="","",IF($B925&gt;Input!$C$9,$AC925,0)+AF926/(1+$L925)*$R925))</f>
        <v/>
      </c>
      <c r="AG925" s="164" t="str">
        <f>IF(AND($C924=12,$D924=Input!$C$6),0,IF($E925="","",(IF($B925&gt;Input!$C$9,$X925,0)+AG926)/(1+$L925)*$R925))</f>
        <v/>
      </c>
      <c r="AH925" s="160" t="str">
        <f t="shared" si="299"/>
        <v/>
      </c>
      <c r="AI925" s="160" t="str">
        <f>IF($E925="","",MIN(Input!$C$61/AH925,1))</f>
        <v/>
      </c>
      <c r="AJ925" s="152"/>
      <c r="AK925" s="164" t="str">
        <f>IF(AND($C924=12,$D924=Input!$C$6),0,IF($E925="","",IF($B925&gt;Input!$C$9,$AC925*AI925,0)+AK926/(1+$L925)*$R925))</f>
        <v/>
      </c>
      <c r="AL925" s="164" t="str">
        <f>IF(AND($C924=12,$D924=Input!$C$6),0,IF($E925="","",IF($B925&gt;Input!$C$9,0,$AC925)+AL926/(1+$L925)*$R925))</f>
        <v/>
      </c>
      <c r="AM925" s="160" t="str">
        <f t="shared" si="300"/>
        <v/>
      </c>
      <c r="AN925" s="164" t="str">
        <f>IF($E925="","",IF($B925&gt;Input!$C$9,$AI925*$AC925,$AM925*$AC925))</f>
        <v/>
      </c>
      <c r="AO925" s="164" t="str">
        <f>IF(AND($C924=12,$D924=Input!$C$6),0,IF($E925="","",$AN925+AO926/(1+$L925)*$R925))</f>
        <v/>
      </c>
      <c r="AP925" s="152"/>
      <c r="AQ925" s="164" t="str">
        <f t="shared" si="301"/>
        <v/>
      </c>
      <c r="AR925" s="164" t="str">
        <f t="shared" si="310"/>
        <v/>
      </c>
      <c r="AS925" s="164" t="str">
        <f t="shared" si="311"/>
        <v/>
      </c>
      <c r="AT925" s="164" t="str">
        <f t="shared" si="302"/>
        <v/>
      </c>
      <c r="AU925" s="152"/>
      <c r="AV925" s="147" t="str">
        <f>'Deterministic Reserve'!BC925</f>
        <v/>
      </c>
      <c r="AW925" s="164" t="str">
        <f t="shared" si="303"/>
        <v/>
      </c>
      <c r="AX925" s="164" t="str">
        <f t="shared" si="304"/>
        <v/>
      </c>
      <c r="AY925" s="152"/>
    </row>
    <row r="926" spans="1:51" s="150" customFormat="1" x14ac:dyDescent="0.25">
      <c r="A926" s="150" t="str">
        <f t="shared" si="312"/>
        <v/>
      </c>
      <c r="B926" s="150" t="str">
        <f t="shared" si="313"/>
        <v/>
      </c>
      <c r="C926" s="150" t="str">
        <f t="shared" si="314"/>
        <v/>
      </c>
      <c r="D926" s="150" t="str">
        <f>IF(E926="","",Input!$C$4+B926-1)</f>
        <v/>
      </c>
      <c r="E926" s="150" t="str">
        <f>IF(OR(AND(C925=12,D925=Input!$C$6),E925=""),"",1)</f>
        <v/>
      </c>
      <c r="F926" s="150" t="str">
        <f>IF(E926="","",Input!$C$8+B926-1)</f>
        <v/>
      </c>
      <c r="G926" s="151" t="str">
        <f>IF(E926="","",MAX(0,Input!$C$9-B926))</f>
        <v/>
      </c>
      <c r="H926" s="152" t="str">
        <f>IF(E926="","",Input!$C$3)</f>
        <v/>
      </c>
      <c r="I926" s="153" t="str">
        <f>IF(E926="","",HLOOKUP($B926,Input!$C$13:$BT$14,2))</f>
        <v/>
      </c>
      <c r="J926" s="154"/>
      <c r="K926" s="155" t="str">
        <f>IF($E926="","",Input!$C$57)</f>
        <v/>
      </c>
      <c r="L926" s="155" t="str">
        <f t="shared" si="305"/>
        <v/>
      </c>
      <c r="M926" s="147" t="str">
        <f>IF($E926="","",VLOOKUP(IF($B926&lt;=Input!$C$7,$B926,26),'Mortality Tables'!$A$72:$CA$97,IF($B926&lt;=Input!$C$7+1,Input!$C$4-16,$D926-Input!$C$7-16),0)/1000)</f>
        <v/>
      </c>
      <c r="N926" s="147" t="str">
        <f t="shared" si="294"/>
        <v/>
      </c>
      <c r="O926" s="157" t="str">
        <f>IF($E926="","",IF($C926=12,IF($B926&lt;Input!$C$9,Input!$C$54,IF($B926=Input!$C$9,Input!$C$55,Input!$C$56)),0%))</f>
        <v/>
      </c>
      <c r="P926" s="167" t="str">
        <f>IF($E926="","",IF($B926=1,Input!$C$59,IF($B926&lt;6,Input!$C$60,0%)))</f>
        <v/>
      </c>
      <c r="Q926" s="162" t="str">
        <f>IF($E926="","",Input!$C$58)</f>
        <v/>
      </c>
      <c r="R926" s="156" t="str">
        <f t="shared" si="306"/>
        <v/>
      </c>
      <c r="S926" s="154" t="str">
        <f t="shared" si="295"/>
        <v/>
      </c>
      <c r="T926" s="152"/>
      <c r="U926" s="150" t="str">
        <f t="shared" si="307"/>
        <v/>
      </c>
      <c r="V926" s="150" t="str">
        <f t="shared" si="308"/>
        <v/>
      </c>
      <c r="W926" s="168" t="str">
        <f t="shared" si="309"/>
        <v/>
      </c>
      <c r="X926" s="163" t="str">
        <f t="shared" si="296"/>
        <v/>
      </c>
      <c r="Y926" s="152"/>
      <c r="Z926" s="164" t="str">
        <f>IF(AND($C925=12,$D925=Input!$C$6),0,IF($E926="","",V926+Z927/(1+L926)*R926))</f>
        <v/>
      </c>
      <c r="AA926" s="164" t="str">
        <f>IF(OR($M926=1,AND($C925=12,$D925=Input!$C$6)),0,IF($E926="","",W926+(X926+AA927*$R926)/(1+$L926)))</f>
        <v/>
      </c>
      <c r="AB926" s="160" t="str">
        <f t="shared" si="297"/>
        <v/>
      </c>
      <c r="AC926" s="164" t="str">
        <f t="shared" si="298"/>
        <v/>
      </c>
      <c r="AD926" s="164" t="str">
        <f>IF(AND($C925=12,$D925=Input!$C$6),0,IF($E926="","",$AC926+AD927/(1+$L926)*$R926))</f>
        <v/>
      </c>
      <c r="AE926" s="152"/>
      <c r="AF926" s="164" t="str">
        <f>IF(AND($C925=12,$D925=Input!$C$6),0,IF($E926="","",IF($B926&gt;Input!$C$9,$AC926,0)+AF927/(1+$L926)*$R926))</f>
        <v/>
      </c>
      <c r="AG926" s="164" t="str">
        <f>IF(AND($C925=12,$D925=Input!$C$6),0,IF($E926="","",(IF($B926&gt;Input!$C$9,$X926,0)+AG927)/(1+$L926)*$R926))</f>
        <v/>
      </c>
      <c r="AH926" s="160" t="str">
        <f t="shared" si="299"/>
        <v/>
      </c>
      <c r="AI926" s="160" t="str">
        <f>IF($E926="","",MIN(Input!$C$61/AH926,1))</f>
        <v/>
      </c>
      <c r="AJ926" s="152"/>
      <c r="AK926" s="164" t="str">
        <f>IF(AND($C925=12,$D925=Input!$C$6),0,IF($E926="","",IF($B926&gt;Input!$C$9,$AC926*AI926,0)+AK927/(1+$L926)*$R926))</f>
        <v/>
      </c>
      <c r="AL926" s="164" t="str">
        <f>IF(AND($C925=12,$D925=Input!$C$6),0,IF($E926="","",IF($B926&gt;Input!$C$9,0,$AC926)+AL927/(1+$L926)*$R926))</f>
        <v/>
      </c>
      <c r="AM926" s="160" t="str">
        <f t="shared" si="300"/>
        <v/>
      </c>
      <c r="AN926" s="164" t="str">
        <f>IF($E926="","",IF($B926&gt;Input!$C$9,$AI926*$AC926,$AM926*$AC926))</f>
        <v/>
      </c>
      <c r="AO926" s="164" t="str">
        <f>IF(AND($C925=12,$D925=Input!$C$6),0,IF($E926="","",$AN926+AO927/(1+$L926)*$R926))</f>
        <v/>
      </c>
      <c r="AP926" s="152"/>
      <c r="AQ926" s="164" t="str">
        <f t="shared" si="301"/>
        <v/>
      </c>
      <c r="AR926" s="164" t="str">
        <f t="shared" si="310"/>
        <v/>
      </c>
      <c r="AS926" s="164" t="str">
        <f t="shared" si="311"/>
        <v/>
      </c>
      <c r="AT926" s="164" t="str">
        <f t="shared" si="302"/>
        <v/>
      </c>
      <c r="AU926" s="152"/>
      <c r="AV926" s="147" t="str">
        <f>'Deterministic Reserve'!BC926</f>
        <v/>
      </c>
      <c r="AW926" s="164" t="str">
        <f t="shared" si="303"/>
        <v/>
      </c>
      <c r="AX926" s="164" t="str">
        <f t="shared" si="304"/>
        <v/>
      </c>
      <c r="AY926" s="152"/>
    </row>
    <row r="927" spans="1:51" s="150" customFormat="1" x14ac:dyDescent="0.25">
      <c r="A927" s="150" t="str">
        <f t="shared" si="312"/>
        <v/>
      </c>
      <c r="B927" s="150" t="str">
        <f t="shared" si="313"/>
        <v/>
      </c>
      <c r="C927" s="150" t="str">
        <f t="shared" si="314"/>
        <v/>
      </c>
      <c r="D927" s="150" t="str">
        <f>IF(E927="","",Input!$C$4+B927-1)</f>
        <v/>
      </c>
      <c r="E927" s="150" t="str">
        <f>IF(OR(AND(C926=12,D926=Input!$C$6),E926=""),"",1)</f>
        <v/>
      </c>
      <c r="F927" s="150" t="str">
        <f>IF(E927="","",Input!$C$8+B927-1)</f>
        <v/>
      </c>
      <c r="G927" s="151" t="str">
        <f>IF(E927="","",MAX(0,Input!$C$9-B927))</f>
        <v/>
      </c>
      <c r="H927" s="152" t="str">
        <f>IF(E927="","",Input!$C$3)</f>
        <v/>
      </c>
      <c r="I927" s="153" t="str">
        <f>IF(E927="","",HLOOKUP($B927,Input!$C$13:$BT$14,2))</f>
        <v/>
      </c>
      <c r="J927" s="154"/>
      <c r="K927" s="155" t="str">
        <f>IF($E927="","",Input!$C$57)</f>
        <v/>
      </c>
      <c r="L927" s="155" t="str">
        <f t="shared" si="305"/>
        <v/>
      </c>
      <c r="M927" s="147" t="str">
        <f>IF($E927="","",VLOOKUP(IF($B927&lt;=Input!$C$7,$B927,26),'Mortality Tables'!$A$72:$CA$97,IF($B927&lt;=Input!$C$7+1,Input!$C$4-16,$D927-Input!$C$7-16),0)/1000)</f>
        <v/>
      </c>
      <c r="N927" s="147" t="str">
        <f t="shared" si="294"/>
        <v/>
      </c>
      <c r="O927" s="157" t="str">
        <f>IF($E927="","",IF($C927=12,IF($B927&lt;Input!$C$9,Input!$C$54,IF($B927=Input!$C$9,Input!$C$55,Input!$C$56)),0%))</f>
        <v/>
      </c>
      <c r="P927" s="167" t="str">
        <f>IF($E927="","",IF($B927=1,Input!$C$59,IF($B927&lt;6,Input!$C$60,0%)))</f>
        <v/>
      </c>
      <c r="Q927" s="162" t="str">
        <f>IF($E927="","",Input!$C$58)</f>
        <v/>
      </c>
      <c r="R927" s="156" t="str">
        <f t="shared" si="306"/>
        <v/>
      </c>
      <c r="S927" s="154" t="str">
        <f t="shared" si="295"/>
        <v/>
      </c>
      <c r="T927" s="152"/>
      <c r="U927" s="150" t="str">
        <f t="shared" si="307"/>
        <v/>
      </c>
      <c r="V927" s="150" t="str">
        <f t="shared" si="308"/>
        <v/>
      </c>
      <c r="W927" s="168" t="str">
        <f t="shared" si="309"/>
        <v/>
      </c>
      <c r="X927" s="163" t="str">
        <f t="shared" si="296"/>
        <v/>
      </c>
      <c r="Y927" s="152"/>
      <c r="Z927" s="164" t="str">
        <f>IF(AND($C926=12,$D926=Input!$C$6),0,IF($E927="","",V927+Z928/(1+L927)*R927))</f>
        <v/>
      </c>
      <c r="AA927" s="164" t="str">
        <f>IF(OR($M927=1,AND($C926=12,$D926=Input!$C$6)),0,IF($E927="","",W927+(X927+AA928*$R927)/(1+$L927)))</f>
        <v/>
      </c>
      <c r="AB927" s="160" t="str">
        <f t="shared" si="297"/>
        <v/>
      </c>
      <c r="AC927" s="164" t="str">
        <f t="shared" si="298"/>
        <v/>
      </c>
      <c r="AD927" s="164" t="str">
        <f>IF(AND($C926=12,$D926=Input!$C$6),0,IF($E927="","",$AC927+AD928/(1+$L927)*$R927))</f>
        <v/>
      </c>
      <c r="AE927" s="152"/>
      <c r="AF927" s="164" t="str">
        <f>IF(AND($C926=12,$D926=Input!$C$6),0,IF($E927="","",IF($B927&gt;Input!$C$9,$AC927,0)+AF928/(1+$L927)*$R927))</f>
        <v/>
      </c>
      <c r="AG927" s="164" t="str">
        <f>IF(AND($C926=12,$D926=Input!$C$6),0,IF($E927="","",(IF($B927&gt;Input!$C$9,$X927,0)+AG928)/(1+$L927)*$R927))</f>
        <v/>
      </c>
      <c r="AH927" s="160" t="str">
        <f t="shared" si="299"/>
        <v/>
      </c>
      <c r="AI927" s="160" t="str">
        <f>IF($E927="","",MIN(Input!$C$61/AH927,1))</f>
        <v/>
      </c>
      <c r="AJ927" s="152"/>
      <c r="AK927" s="164" t="str">
        <f>IF(AND($C926=12,$D926=Input!$C$6),0,IF($E927="","",IF($B927&gt;Input!$C$9,$AC927*AI927,0)+AK928/(1+$L927)*$R927))</f>
        <v/>
      </c>
      <c r="AL927" s="164" t="str">
        <f>IF(AND($C926=12,$D926=Input!$C$6),0,IF($E927="","",IF($B927&gt;Input!$C$9,0,$AC927)+AL928/(1+$L927)*$R927))</f>
        <v/>
      </c>
      <c r="AM927" s="160" t="str">
        <f t="shared" si="300"/>
        <v/>
      </c>
      <c r="AN927" s="164" t="str">
        <f>IF($E927="","",IF($B927&gt;Input!$C$9,$AI927*$AC927,$AM927*$AC927))</f>
        <v/>
      </c>
      <c r="AO927" s="164" t="str">
        <f>IF(AND($C926=12,$D926=Input!$C$6),0,IF($E927="","",$AN927+AO928/(1+$L927)*$R927))</f>
        <v/>
      </c>
      <c r="AP927" s="152"/>
      <c r="AQ927" s="164" t="str">
        <f t="shared" si="301"/>
        <v/>
      </c>
      <c r="AR927" s="164" t="str">
        <f t="shared" si="310"/>
        <v/>
      </c>
      <c r="AS927" s="164" t="str">
        <f t="shared" si="311"/>
        <v/>
      </c>
      <c r="AT927" s="164" t="str">
        <f t="shared" si="302"/>
        <v/>
      </c>
      <c r="AU927" s="152"/>
      <c r="AV927" s="147" t="str">
        <f>'Deterministic Reserve'!BC927</f>
        <v/>
      </c>
      <c r="AW927" s="164" t="str">
        <f t="shared" si="303"/>
        <v/>
      </c>
      <c r="AX927" s="164" t="str">
        <f t="shared" si="304"/>
        <v/>
      </c>
      <c r="AY927" s="152"/>
    </row>
    <row r="928" spans="1:51" s="150" customFormat="1" x14ac:dyDescent="0.25">
      <c r="A928" s="150" t="str">
        <f t="shared" si="312"/>
        <v/>
      </c>
      <c r="B928" s="150" t="str">
        <f t="shared" si="313"/>
        <v/>
      </c>
      <c r="C928" s="150" t="str">
        <f t="shared" si="314"/>
        <v/>
      </c>
      <c r="D928" s="150" t="str">
        <f>IF(E928="","",Input!$C$4+B928-1)</f>
        <v/>
      </c>
      <c r="E928" s="150" t="str">
        <f>IF(OR(AND(C927=12,D927=Input!$C$6),E927=""),"",1)</f>
        <v/>
      </c>
      <c r="F928" s="150" t="str">
        <f>IF(E928="","",Input!$C$8+B928-1)</f>
        <v/>
      </c>
      <c r="G928" s="151" t="str">
        <f>IF(E928="","",MAX(0,Input!$C$9-B928))</f>
        <v/>
      </c>
      <c r="H928" s="152" t="str">
        <f>IF(E928="","",Input!$C$3)</f>
        <v/>
      </c>
      <c r="I928" s="153" t="str">
        <f>IF(E928="","",HLOOKUP($B928,Input!$C$13:$BT$14,2))</f>
        <v/>
      </c>
      <c r="J928" s="154"/>
      <c r="K928" s="155" t="str">
        <f>IF($E928="","",Input!$C$57)</f>
        <v/>
      </c>
      <c r="L928" s="155" t="str">
        <f t="shared" si="305"/>
        <v/>
      </c>
      <c r="M928" s="147" t="str">
        <f>IF($E928="","",VLOOKUP(IF($B928&lt;=Input!$C$7,$B928,26),'Mortality Tables'!$A$72:$CA$97,IF($B928&lt;=Input!$C$7+1,Input!$C$4-16,$D928-Input!$C$7-16),0)/1000)</f>
        <v/>
      </c>
      <c r="N928" s="147" t="str">
        <f t="shared" si="294"/>
        <v/>
      </c>
      <c r="O928" s="157" t="str">
        <f>IF($E928="","",IF($C928=12,IF($B928&lt;Input!$C$9,Input!$C$54,IF($B928=Input!$C$9,Input!$C$55,Input!$C$56)),0%))</f>
        <v/>
      </c>
      <c r="P928" s="167" t="str">
        <f>IF($E928="","",IF($B928=1,Input!$C$59,IF($B928&lt;6,Input!$C$60,0%)))</f>
        <v/>
      </c>
      <c r="Q928" s="162" t="str">
        <f>IF($E928="","",Input!$C$58)</f>
        <v/>
      </c>
      <c r="R928" s="156" t="str">
        <f t="shared" si="306"/>
        <v/>
      </c>
      <c r="S928" s="154" t="str">
        <f t="shared" si="295"/>
        <v/>
      </c>
      <c r="T928" s="152"/>
      <c r="U928" s="150" t="str">
        <f t="shared" si="307"/>
        <v/>
      </c>
      <c r="V928" s="150" t="str">
        <f t="shared" si="308"/>
        <v/>
      </c>
      <c r="W928" s="168" t="str">
        <f t="shared" si="309"/>
        <v/>
      </c>
      <c r="X928" s="163" t="str">
        <f t="shared" si="296"/>
        <v/>
      </c>
      <c r="Y928" s="152"/>
      <c r="Z928" s="164" t="str">
        <f>IF(AND($C927=12,$D927=Input!$C$6),0,IF($E928="","",V928+Z929/(1+L928)*R928))</f>
        <v/>
      </c>
      <c r="AA928" s="164" t="str">
        <f>IF(OR($M928=1,AND($C927=12,$D927=Input!$C$6)),0,IF($E928="","",W928+(X928+AA929*$R928)/(1+$L928)))</f>
        <v/>
      </c>
      <c r="AB928" s="160" t="str">
        <f t="shared" si="297"/>
        <v/>
      </c>
      <c r="AC928" s="164" t="str">
        <f t="shared" si="298"/>
        <v/>
      </c>
      <c r="AD928" s="164" t="str">
        <f>IF(AND($C927=12,$D927=Input!$C$6),0,IF($E928="","",$AC928+AD929/(1+$L928)*$R928))</f>
        <v/>
      </c>
      <c r="AE928" s="152"/>
      <c r="AF928" s="164" t="str">
        <f>IF(AND($C927=12,$D927=Input!$C$6),0,IF($E928="","",IF($B928&gt;Input!$C$9,$AC928,0)+AF929/(1+$L928)*$R928))</f>
        <v/>
      </c>
      <c r="AG928" s="164" t="str">
        <f>IF(AND($C927=12,$D927=Input!$C$6),0,IF($E928="","",(IF($B928&gt;Input!$C$9,$X928,0)+AG929)/(1+$L928)*$R928))</f>
        <v/>
      </c>
      <c r="AH928" s="160" t="str">
        <f t="shared" si="299"/>
        <v/>
      </c>
      <c r="AI928" s="160" t="str">
        <f>IF($E928="","",MIN(Input!$C$61/AH928,1))</f>
        <v/>
      </c>
      <c r="AJ928" s="152"/>
      <c r="AK928" s="164" t="str">
        <f>IF(AND($C927=12,$D927=Input!$C$6),0,IF($E928="","",IF($B928&gt;Input!$C$9,$AC928*AI928,0)+AK929/(1+$L928)*$R928))</f>
        <v/>
      </c>
      <c r="AL928" s="164" t="str">
        <f>IF(AND($C927=12,$D927=Input!$C$6),0,IF($E928="","",IF($B928&gt;Input!$C$9,0,$AC928)+AL929/(1+$L928)*$R928))</f>
        <v/>
      </c>
      <c r="AM928" s="160" t="str">
        <f t="shared" si="300"/>
        <v/>
      </c>
      <c r="AN928" s="164" t="str">
        <f>IF($E928="","",IF($B928&gt;Input!$C$9,$AI928*$AC928,$AM928*$AC928))</f>
        <v/>
      </c>
      <c r="AO928" s="164" t="str">
        <f>IF(AND($C927=12,$D927=Input!$C$6),0,IF($E928="","",$AN928+AO929/(1+$L928)*$R928))</f>
        <v/>
      </c>
      <c r="AP928" s="152"/>
      <c r="AQ928" s="164" t="str">
        <f t="shared" si="301"/>
        <v/>
      </c>
      <c r="AR928" s="164" t="str">
        <f t="shared" si="310"/>
        <v/>
      </c>
      <c r="AS928" s="164" t="str">
        <f t="shared" si="311"/>
        <v/>
      </c>
      <c r="AT928" s="164" t="str">
        <f t="shared" si="302"/>
        <v/>
      </c>
      <c r="AU928" s="152"/>
      <c r="AV928" s="147" t="str">
        <f>'Deterministic Reserve'!BC928</f>
        <v/>
      </c>
      <c r="AW928" s="164" t="str">
        <f t="shared" si="303"/>
        <v/>
      </c>
      <c r="AX928" s="164" t="str">
        <f t="shared" si="304"/>
        <v/>
      </c>
      <c r="AY928" s="152"/>
    </row>
    <row r="929" spans="1:51" s="150" customFormat="1" x14ac:dyDescent="0.25">
      <c r="A929" s="150" t="str">
        <f t="shared" si="312"/>
        <v/>
      </c>
      <c r="B929" s="150" t="str">
        <f t="shared" si="313"/>
        <v/>
      </c>
      <c r="C929" s="150" t="str">
        <f t="shared" si="314"/>
        <v/>
      </c>
      <c r="D929" s="150" t="str">
        <f>IF(E929="","",Input!$C$4+B929-1)</f>
        <v/>
      </c>
      <c r="E929" s="150" t="str">
        <f>IF(OR(AND(C928=12,D928=Input!$C$6),E928=""),"",1)</f>
        <v/>
      </c>
      <c r="F929" s="150" t="str">
        <f>IF(E929="","",Input!$C$8+B929-1)</f>
        <v/>
      </c>
      <c r="G929" s="151" t="str">
        <f>IF(E929="","",MAX(0,Input!$C$9-B929))</f>
        <v/>
      </c>
      <c r="H929" s="152" t="str">
        <f>IF(E929="","",Input!$C$3)</f>
        <v/>
      </c>
      <c r="I929" s="153" t="str">
        <f>IF(E929="","",HLOOKUP($B929,Input!$C$13:$BT$14,2))</f>
        <v/>
      </c>
      <c r="J929" s="154"/>
      <c r="K929" s="155" t="str">
        <f>IF($E929="","",Input!$C$57)</f>
        <v/>
      </c>
      <c r="L929" s="155" t="str">
        <f t="shared" si="305"/>
        <v/>
      </c>
      <c r="M929" s="147" t="str">
        <f>IF($E929="","",VLOOKUP(IF($B929&lt;=Input!$C$7,$B929,26),'Mortality Tables'!$A$72:$CA$97,IF($B929&lt;=Input!$C$7+1,Input!$C$4-16,$D929-Input!$C$7-16),0)/1000)</f>
        <v/>
      </c>
      <c r="N929" s="147" t="str">
        <f t="shared" si="294"/>
        <v/>
      </c>
      <c r="O929" s="157" t="str">
        <f>IF($E929="","",IF($C929=12,IF($B929&lt;Input!$C$9,Input!$C$54,IF($B929=Input!$C$9,Input!$C$55,Input!$C$56)),0%))</f>
        <v/>
      </c>
      <c r="P929" s="167" t="str">
        <f>IF($E929="","",IF($B929=1,Input!$C$59,IF($B929&lt;6,Input!$C$60,0%)))</f>
        <v/>
      </c>
      <c r="Q929" s="162" t="str">
        <f>IF($E929="","",Input!$C$58)</f>
        <v/>
      </c>
      <c r="R929" s="156" t="str">
        <f t="shared" si="306"/>
        <v/>
      </c>
      <c r="S929" s="154" t="str">
        <f t="shared" si="295"/>
        <v/>
      </c>
      <c r="T929" s="152"/>
      <c r="U929" s="150" t="str">
        <f t="shared" si="307"/>
        <v/>
      </c>
      <c r="V929" s="150" t="str">
        <f t="shared" si="308"/>
        <v/>
      </c>
      <c r="W929" s="168" t="str">
        <f t="shared" si="309"/>
        <v/>
      </c>
      <c r="X929" s="163" t="str">
        <f t="shared" si="296"/>
        <v/>
      </c>
      <c r="Y929" s="152"/>
      <c r="Z929" s="164" t="str">
        <f>IF(AND($C928=12,$D928=Input!$C$6),0,IF($E929="","",V929+Z930/(1+L929)*R929))</f>
        <v/>
      </c>
      <c r="AA929" s="164" t="str">
        <f>IF(OR($M929=1,AND($C928=12,$D928=Input!$C$6)),0,IF($E929="","",W929+(X929+AA930*$R929)/(1+$L929)))</f>
        <v/>
      </c>
      <c r="AB929" s="160" t="str">
        <f t="shared" si="297"/>
        <v/>
      </c>
      <c r="AC929" s="164" t="str">
        <f t="shared" si="298"/>
        <v/>
      </c>
      <c r="AD929" s="164" t="str">
        <f>IF(AND($C928=12,$D928=Input!$C$6),0,IF($E929="","",$AC929+AD930/(1+$L929)*$R929))</f>
        <v/>
      </c>
      <c r="AE929" s="152"/>
      <c r="AF929" s="164" t="str">
        <f>IF(AND($C928=12,$D928=Input!$C$6),0,IF($E929="","",IF($B929&gt;Input!$C$9,$AC929,0)+AF930/(1+$L929)*$R929))</f>
        <v/>
      </c>
      <c r="AG929" s="164" t="str">
        <f>IF(AND($C928=12,$D928=Input!$C$6),0,IF($E929="","",(IF($B929&gt;Input!$C$9,$X929,0)+AG930)/(1+$L929)*$R929))</f>
        <v/>
      </c>
      <c r="AH929" s="160" t="str">
        <f t="shared" si="299"/>
        <v/>
      </c>
      <c r="AI929" s="160" t="str">
        <f>IF($E929="","",MIN(Input!$C$61/AH929,1))</f>
        <v/>
      </c>
      <c r="AJ929" s="152"/>
      <c r="AK929" s="164" t="str">
        <f>IF(AND($C928=12,$D928=Input!$C$6),0,IF($E929="","",IF($B929&gt;Input!$C$9,$AC929*AI929,0)+AK930/(1+$L929)*$R929))</f>
        <v/>
      </c>
      <c r="AL929" s="164" t="str">
        <f>IF(AND($C928=12,$D928=Input!$C$6),0,IF($E929="","",IF($B929&gt;Input!$C$9,0,$AC929)+AL930/(1+$L929)*$R929))</f>
        <v/>
      </c>
      <c r="AM929" s="160" t="str">
        <f t="shared" si="300"/>
        <v/>
      </c>
      <c r="AN929" s="164" t="str">
        <f>IF($E929="","",IF($B929&gt;Input!$C$9,$AI929*$AC929,$AM929*$AC929))</f>
        <v/>
      </c>
      <c r="AO929" s="164" t="str">
        <f>IF(AND($C928=12,$D928=Input!$C$6),0,IF($E929="","",$AN929+AO930/(1+$L929)*$R929))</f>
        <v/>
      </c>
      <c r="AP929" s="152"/>
      <c r="AQ929" s="164" t="str">
        <f t="shared" si="301"/>
        <v/>
      </c>
      <c r="AR929" s="164" t="str">
        <f t="shared" si="310"/>
        <v/>
      </c>
      <c r="AS929" s="164" t="str">
        <f t="shared" si="311"/>
        <v/>
      </c>
      <c r="AT929" s="164" t="str">
        <f t="shared" si="302"/>
        <v/>
      </c>
      <c r="AU929" s="152"/>
      <c r="AV929" s="147" t="str">
        <f>'Deterministic Reserve'!BC929</f>
        <v/>
      </c>
      <c r="AW929" s="164" t="str">
        <f t="shared" si="303"/>
        <v/>
      </c>
      <c r="AX929" s="164" t="str">
        <f t="shared" si="304"/>
        <v/>
      </c>
      <c r="AY929" s="152"/>
    </row>
    <row r="930" spans="1:51" s="150" customFormat="1" x14ac:dyDescent="0.25">
      <c r="A930" s="150" t="str">
        <f t="shared" si="312"/>
        <v/>
      </c>
      <c r="B930" s="150" t="str">
        <f t="shared" si="313"/>
        <v/>
      </c>
      <c r="C930" s="150" t="str">
        <f t="shared" si="314"/>
        <v/>
      </c>
      <c r="D930" s="150" t="str">
        <f>IF(E930="","",Input!$C$4+B930-1)</f>
        <v/>
      </c>
      <c r="E930" s="150" t="str">
        <f>IF(OR(AND(C929=12,D929=Input!$C$6),E929=""),"",1)</f>
        <v/>
      </c>
      <c r="F930" s="150" t="str">
        <f>IF(E930="","",Input!$C$8+B930-1)</f>
        <v/>
      </c>
      <c r="G930" s="151" t="str">
        <f>IF(E930="","",MAX(0,Input!$C$9-B930))</f>
        <v/>
      </c>
      <c r="H930" s="152" t="str">
        <f>IF(E930="","",Input!$C$3)</f>
        <v/>
      </c>
      <c r="I930" s="153" t="str">
        <f>IF(E930="","",HLOOKUP($B930,Input!$C$13:$BT$14,2))</f>
        <v/>
      </c>
      <c r="J930" s="154"/>
      <c r="K930" s="155" t="str">
        <f>IF($E930="","",Input!$C$57)</f>
        <v/>
      </c>
      <c r="L930" s="155" t="str">
        <f t="shared" si="305"/>
        <v/>
      </c>
      <c r="M930" s="147" t="str">
        <f>IF($E930="","",VLOOKUP(IF($B930&lt;=Input!$C$7,$B930,26),'Mortality Tables'!$A$72:$CA$97,IF($B930&lt;=Input!$C$7+1,Input!$C$4-16,$D930-Input!$C$7-16),0)/1000)</f>
        <v/>
      </c>
      <c r="N930" s="147" t="str">
        <f t="shared" si="294"/>
        <v/>
      </c>
      <c r="O930" s="157" t="str">
        <f>IF($E930="","",IF($C930=12,IF($B930&lt;Input!$C$9,Input!$C$54,IF($B930=Input!$C$9,Input!$C$55,Input!$C$56)),0%))</f>
        <v/>
      </c>
      <c r="P930" s="167" t="str">
        <f>IF($E930="","",IF($B930=1,Input!$C$59,IF($B930&lt;6,Input!$C$60,0%)))</f>
        <v/>
      </c>
      <c r="Q930" s="162" t="str">
        <f>IF($E930="","",Input!$C$58)</f>
        <v/>
      </c>
      <c r="R930" s="156" t="str">
        <f t="shared" si="306"/>
        <v/>
      </c>
      <c r="S930" s="154" t="str">
        <f t="shared" si="295"/>
        <v/>
      </c>
      <c r="T930" s="152"/>
      <c r="U930" s="150" t="str">
        <f t="shared" si="307"/>
        <v/>
      </c>
      <c r="V930" s="150" t="str">
        <f t="shared" si="308"/>
        <v/>
      </c>
      <c r="W930" s="168" t="str">
        <f t="shared" si="309"/>
        <v/>
      </c>
      <c r="X930" s="163" t="str">
        <f t="shared" si="296"/>
        <v/>
      </c>
      <c r="Y930" s="152"/>
      <c r="Z930" s="164" t="str">
        <f>IF(AND($C929=12,$D929=Input!$C$6),0,IF($E930="","",V930+Z931/(1+L930)*R930))</f>
        <v/>
      </c>
      <c r="AA930" s="164" t="str">
        <f>IF(OR($M930=1,AND($C929=12,$D929=Input!$C$6)),0,IF($E930="","",W930+(X930+AA931*$R930)/(1+$L930)))</f>
        <v/>
      </c>
      <c r="AB930" s="160" t="str">
        <f t="shared" si="297"/>
        <v/>
      </c>
      <c r="AC930" s="164" t="str">
        <f t="shared" si="298"/>
        <v/>
      </c>
      <c r="AD930" s="164" t="str">
        <f>IF(AND($C929=12,$D929=Input!$C$6),0,IF($E930="","",$AC930+AD931/(1+$L930)*$R930))</f>
        <v/>
      </c>
      <c r="AE930" s="152"/>
      <c r="AF930" s="164" t="str">
        <f>IF(AND($C929=12,$D929=Input!$C$6),0,IF($E930="","",IF($B930&gt;Input!$C$9,$AC930,0)+AF931/(1+$L930)*$R930))</f>
        <v/>
      </c>
      <c r="AG930" s="164" t="str">
        <f>IF(AND($C929=12,$D929=Input!$C$6),0,IF($E930="","",(IF($B930&gt;Input!$C$9,$X930,0)+AG931)/(1+$L930)*$R930))</f>
        <v/>
      </c>
      <c r="AH930" s="160" t="str">
        <f t="shared" si="299"/>
        <v/>
      </c>
      <c r="AI930" s="160" t="str">
        <f>IF($E930="","",MIN(Input!$C$61/AH930,1))</f>
        <v/>
      </c>
      <c r="AJ930" s="152"/>
      <c r="AK930" s="164" t="str">
        <f>IF(AND($C929=12,$D929=Input!$C$6),0,IF($E930="","",IF($B930&gt;Input!$C$9,$AC930*AI930,0)+AK931/(1+$L930)*$R930))</f>
        <v/>
      </c>
      <c r="AL930" s="164" t="str">
        <f>IF(AND($C929=12,$D929=Input!$C$6),0,IF($E930="","",IF($B930&gt;Input!$C$9,0,$AC930)+AL931/(1+$L930)*$R930))</f>
        <v/>
      </c>
      <c r="AM930" s="160" t="str">
        <f t="shared" si="300"/>
        <v/>
      </c>
      <c r="AN930" s="164" t="str">
        <f>IF($E930="","",IF($B930&gt;Input!$C$9,$AI930*$AC930,$AM930*$AC930))</f>
        <v/>
      </c>
      <c r="AO930" s="164" t="str">
        <f>IF(AND($C929=12,$D929=Input!$C$6),0,IF($E930="","",$AN930+AO931/(1+$L930)*$R930))</f>
        <v/>
      </c>
      <c r="AP930" s="152"/>
      <c r="AQ930" s="164" t="str">
        <f t="shared" si="301"/>
        <v/>
      </c>
      <c r="AR930" s="164" t="str">
        <f t="shared" si="310"/>
        <v/>
      </c>
      <c r="AS930" s="164" t="str">
        <f t="shared" si="311"/>
        <v/>
      </c>
      <c r="AT930" s="164" t="str">
        <f t="shared" si="302"/>
        <v/>
      </c>
      <c r="AU930" s="152"/>
      <c r="AV930" s="147" t="str">
        <f>'Deterministic Reserve'!BC930</f>
        <v/>
      </c>
      <c r="AW930" s="164" t="str">
        <f t="shared" si="303"/>
        <v/>
      </c>
      <c r="AX930" s="164" t="str">
        <f t="shared" si="304"/>
        <v/>
      </c>
      <c r="AY930" s="152"/>
    </row>
    <row r="931" spans="1:51" s="150" customFormat="1" x14ac:dyDescent="0.25">
      <c r="A931" s="150" t="str">
        <f t="shared" si="312"/>
        <v/>
      </c>
      <c r="B931" s="150" t="str">
        <f t="shared" si="313"/>
        <v/>
      </c>
      <c r="C931" s="150" t="str">
        <f t="shared" si="314"/>
        <v/>
      </c>
      <c r="D931" s="150" t="str">
        <f>IF(E931="","",Input!$C$4+B931-1)</f>
        <v/>
      </c>
      <c r="E931" s="150" t="str">
        <f>IF(OR(AND(C930=12,D930=Input!$C$6),E930=""),"",1)</f>
        <v/>
      </c>
      <c r="F931" s="150" t="str">
        <f>IF(E931="","",Input!$C$8+B931-1)</f>
        <v/>
      </c>
      <c r="G931" s="151" t="str">
        <f>IF(E931="","",MAX(0,Input!$C$9-B931))</f>
        <v/>
      </c>
      <c r="H931" s="152" t="str">
        <f>IF(E931="","",Input!$C$3)</f>
        <v/>
      </c>
      <c r="I931" s="153" t="str">
        <f>IF(E931="","",HLOOKUP($B931,Input!$C$13:$BT$14,2))</f>
        <v/>
      </c>
      <c r="J931" s="154"/>
      <c r="K931" s="155" t="str">
        <f>IF($E931="","",Input!$C$57)</f>
        <v/>
      </c>
      <c r="L931" s="155" t="str">
        <f t="shared" si="305"/>
        <v/>
      </c>
      <c r="M931" s="147" t="str">
        <f>IF($E931="","",VLOOKUP(IF($B931&lt;=Input!$C$7,$B931,26),'Mortality Tables'!$A$72:$CA$97,IF($B931&lt;=Input!$C$7+1,Input!$C$4-16,$D931-Input!$C$7-16),0)/1000)</f>
        <v/>
      </c>
      <c r="N931" s="147" t="str">
        <f t="shared" si="294"/>
        <v/>
      </c>
      <c r="O931" s="157" t="str">
        <f>IF($E931="","",IF($C931=12,IF($B931&lt;Input!$C$9,Input!$C$54,IF($B931=Input!$C$9,Input!$C$55,Input!$C$56)),0%))</f>
        <v/>
      </c>
      <c r="P931" s="167" t="str">
        <f>IF($E931="","",IF($B931=1,Input!$C$59,IF($B931&lt;6,Input!$C$60,0%)))</f>
        <v/>
      </c>
      <c r="Q931" s="162" t="str">
        <f>IF($E931="","",Input!$C$58)</f>
        <v/>
      </c>
      <c r="R931" s="156" t="str">
        <f t="shared" si="306"/>
        <v/>
      </c>
      <c r="S931" s="154" t="str">
        <f t="shared" si="295"/>
        <v/>
      </c>
      <c r="T931" s="152"/>
      <c r="U931" s="150" t="str">
        <f t="shared" si="307"/>
        <v/>
      </c>
      <c r="V931" s="150" t="str">
        <f t="shared" si="308"/>
        <v/>
      </c>
      <c r="W931" s="168" t="str">
        <f t="shared" si="309"/>
        <v/>
      </c>
      <c r="X931" s="163" t="str">
        <f t="shared" si="296"/>
        <v/>
      </c>
      <c r="Y931" s="152"/>
      <c r="Z931" s="164" t="str">
        <f>IF(AND($C930=12,$D930=Input!$C$6),0,IF($E931="","",V931+Z932/(1+L931)*R931))</f>
        <v/>
      </c>
      <c r="AA931" s="164" t="str">
        <f>IF(OR($M931=1,AND($C930=12,$D930=Input!$C$6)),0,IF($E931="","",W931+(X931+AA932*$R931)/(1+$L931)))</f>
        <v/>
      </c>
      <c r="AB931" s="160" t="str">
        <f t="shared" si="297"/>
        <v/>
      </c>
      <c r="AC931" s="164" t="str">
        <f t="shared" si="298"/>
        <v/>
      </c>
      <c r="AD931" s="164" t="str">
        <f>IF(AND($C930=12,$D930=Input!$C$6),0,IF($E931="","",$AC931+AD932/(1+$L931)*$R931))</f>
        <v/>
      </c>
      <c r="AE931" s="152"/>
      <c r="AF931" s="164" t="str">
        <f>IF(AND($C930=12,$D930=Input!$C$6),0,IF($E931="","",IF($B931&gt;Input!$C$9,$AC931,0)+AF932/(1+$L931)*$R931))</f>
        <v/>
      </c>
      <c r="AG931" s="164" t="str">
        <f>IF(AND($C930=12,$D930=Input!$C$6),0,IF($E931="","",(IF($B931&gt;Input!$C$9,$X931,0)+AG932)/(1+$L931)*$R931))</f>
        <v/>
      </c>
      <c r="AH931" s="160" t="str">
        <f t="shared" si="299"/>
        <v/>
      </c>
      <c r="AI931" s="160" t="str">
        <f>IF($E931="","",MIN(Input!$C$61/AH931,1))</f>
        <v/>
      </c>
      <c r="AJ931" s="152"/>
      <c r="AK931" s="164" t="str">
        <f>IF(AND($C930=12,$D930=Input!$C$6),0,IF($E931="","",IF($B931&gt;Input!$C$9,$AC931*AI931,0)+AK932/(1+$L931)*$R931))</f>
        <v/>
      </c>
      <c r="AL931" s="164" t="str">
        <f>IF(AND($C930=12,$D930=Input!$C$6),0,IF($E931="","",IF($B931&gt;Input!$C$9,0,$AC931)+AL932/(1+$L931)*$R931))</f>
        <v/>
      </c>
      <c r="AM931" s="160" t="str">
        <f t="shared" si="300"/>
        <v/>
      </c>
      <c r="AN931" s="164" t="str">
        <f>IF($E931="","",IF($B931&gt;Input!$C$9,$AI931*$AC931,$AM931*$AC931))</f>
        <v/>
      </c>
      <c r="AO931" s="164" t="str">
        <f>IF(AND($C930=12,$D930=Input!$C$6),0,IF($E931="","",$AN931+AO932/(1+$L931)*$R931))</f>
        <v/>
      </c>
      <c r="AP931" s="152"/>
      <c r="AQ931" s="164" t="str">
        <f t="shared" si="301"/>
        <v/>
      </c>
      <c r="AR931" s="164" t="str">
        <f t="shared" si="310"/>
        <v/>
      </c>
      <c r="AS931" s="164" t="str">
        <f t="shared" si="311"/>
        <v/>
      </c>
      <c r="AT931" s="164" t="str">
        <f t="shared" si="302"/>
        <v/>
      </c>
      <c r="AU931" s="152"/>
      <c r="AV931" s="147" t="str">
        <f>'Deterministic Reserve'!BC931</f>
        <v/>
      </c>
      <c r="AW931" s="164" t="str">
        <f t="shared" si="303"/>
        <v/>
      </c>
      <c r="AX931" s="164" t="str">
        <f t="shared" si="304"/>
        <v/>
      </c>
      <c r="AY931" s="152"/>
    </row>
    <row r="932" spans="1:51" s="150" customFormat="1" x14ac:dyDescent="0.25">
      <c r="A932" s="150" t="str">
        <f t="shared" si="312"/>
        <v/>
      </c>
      <c r="B932" s="150" t="str">
        <f t="shared" si="313"/>
        <v/>
      </c>
      <c r="C932" s="150" t="str">
        <f t="shared" si="314"/>
        <v/>
      </c>
      <c r="D932" s="150" t="str">
        <f>IF(E932="","",Input!$C$4+B932-1)</f>
        <v/>
      </c>
      <c r="E932" s="150" t="str">
        <f>IF(OR(AND(C931=12,D931=Input!$C$6),E931=""),"",1)</f>
        <v/>
      </c>
      <c r="F932" s="150" t="str">
        <f>IF(E932="","",Input!$C$8+B932-1)</f>
        <v/>
      </c>
      <c r="G932" s="151" t="str">
        <f>IF(E932="","",MAX(0,Input!$C$9-B932))</f>
        <v/>
      </c>
      <c r="H932" s="152" t="str">
        <f>IF(E932="","",Input!$C$3)</f>
        <v/>
      </c>
      <c r="I932" s="153" t="str">
        <f>IF(E932="","",HLOOKUP($B932,Input!$C$13:$BT$14,2))</f>
        <v/>
      </c>
      <c r="J932" s="154"/>
      <c r="K932" s="155" t="str">
        <f>IF($E932="","",Input!$C$57)</f>
        <v/>
      </c>
      <c r="L932" s="155" t="str">
        <f t="shared" si="305"/>
        <v/>
      </c>
      <c r="M932" s="147" t="str">
        <f>IF($E932="","",VLOOKUP(IF($B932&lt;=Input!$C$7,$B932,26),'Mortality Tables'!$A$72:$CA$97,IF($B932&lt;=Input!$C$7+1,Input!$C$4-16,$D932-Input!$C$7-16),0)/1000)</f>
        <v/>
      </c>
      <c r="N932" s="147" t="str">
        <f t="shared" si="294"/>
        <v/>
      </c>
      <c r="O932" s="157" t="str">
        <f>IF($E932="","",IF($C932=12,IF($B932&lt;Input!$C$9,Input!$C$54,IF($B932=Input!$C$9,Input!$C$55,Input!$C$56)),0%))</f>
        <v/>
      </c>
      <c r="P932" s="167" t="str">
        <f>IF($E932="","",IF($B932=1,Input!$C$59,IF($B932&lt;6,Input!$C$60,0%)))</f>
        <v/>
      </c>
      <c r="Q932" s="162" t="str">
        <f>IF($E932="","",Input!$C$58)</f>
        <v/>
      </c>
      <c r="R932" s="156" t="str">
        <f t="shared" si="306"/>
        <v/>
      </c>
      <c r="S932" s="154" t="str">
        <f t="shared" si="295"/>
        <v/>
      </c>
      <c r="T932" s="152"/>
      <c r="U932" s="150" t="str">
        <f t="shared" si="307"/>
        <v/>
      </c>
      <c r="V932" s="150" t="str">
        <f t="shared" si="308"/>
        <v/>
      </c>
      <c r="W932" s="168" t="str">
        <f t="shared" si="309"/>
        <v/>
      </c>
      <c r="X932" s="163" t="str">
        <f t="shared" si="296"/>
        <v/>
      </c>
      <c r="Y932" s="152"/>
      <c r="Z932" s="164" t="str">
        <f>IF(AND($C931=12,$D931=Input!$C$6),0,IF($E932="","",V932+Z933/(1+L932)*R932))</f>
        <v/>
      </c>
      <c r="AA932" s="164" t="str">
        <f>IF(OR($M932=1,AND($C931=12,$D931=Input!$C$6)),0,IF($E932="","",W932+(X932+AA933*$R932)/(1+$L932)))</f>
        <v/>
      </c>
      <c r="AB932" s="160" t="str">
        <f t="shared" si="297"/>
        <v/>
      </c>
      <c r="AC932" s="164" t="str">
        <f t="shared" si="298"/>
        <v/>
      </c>
      <c r="AD932" s="164" t="str">
        <f>IF(AND($C931=12,$D931=Input!$C$6),0,IF($E932="","",$AC932+AD933/(1+$L932)*$R932))</f>
        <v/>
      </c>
      <c r="AE932" s="152"/>
      <c r="AF932" s="164" t="str">
        <f>IF(AND($C931=12,$D931=Input!$C$6),0,IF($E932="","",IF($B932&gt;Input!$C$9,$AC932,0)+AF933/(1+$L932)*$R932))</f>
        <v/>
      </c>
      <c r="AG932" s="164" t="str">
        <f>IF(AND($C931=12,$D931=Input!$C$6),0,IF($E932="","",(IF($B932&gt;Input!$C$9,$X932,0)+AG933)/(1+$L932)*$R932))</f>
        <v/>
      </c>
      <c r="AH932" s="160" t="str">
        <f t="shared" si="299"/>
        <v/>
      </c>
      <c r="AI932" s="160" t="str">
        <f>IF($E932="","",MIN(Input!$C$61/AH932,1))</f>
        <v/>
      </c>
      <c r="AJ932" s="152"/>
      <c r="AK932" s="164" t="str">
        <f>IF(AND($C931=12,$D931=Input!$C$6),0,IF($E932="","",IF($B932&gt;Input!$C$9,$AC932*AI932,0)+AK933/(1+$L932)*$R932))</f>
        <v/>
      </c>
      <c r="AL932" s="164" t="str">
        <f>IF(AND($C931=12,$D931=Input!$C$6),0,IF($E932="","",IF($B932&gt;Input!$C$9,0,$AC932)+AL933/(1+$L932)*$R932))</f>
        <v/>
      </c>
      <c r="AM932" s="160" t="str">
        <f t="shared" si="300"/>
        <v/>
      </c>
      <c r="AN932" s="164" t="str">
        <f>IF($E932="","",IF($B932&gt;Input!$C$9,$AI932*$AC932,$AM932*$AC932))</f>
        <v/>
      </c>
      <c r="AO932" s="164" t="str">
        <f>IF(AND($C931=12,$D931=Input!$C$6),0,IF($E932="","",$AN932+AO933/(1+$L932)*$R932))</f>
        <v/>
      </c>
      <c r="AP932" s="152"/>
      <c r="AQ932" s="164" t="str">
        <f t="shared" si="301"/>
        <v/>
      </c>
      <c r="AR932" s="164" t="str">
        <f t="shared" si="310"/>
        <v/>
      </c>
      <c r="AS932" s="164" t="str">
        <f t="shared" si="311"/>
        <v/>
      </c>
      <c r="AT932" s="164" t="str">
        <f t="shared" si="302"/>
        <v/>
      </c>
      <c r="AU932" s="152"/>
      <c r="AV932" s="147" t="str">
        <f>'Deterministic Reserve'!BC932</f>
        <v/>
      </c>
      <c r="AW932" s="164" t="str">
        <f t="shared" si="303"/>
        <v/>
      </c>
      <c r="AX932" s="164" t="str">
        <f t="shared" si="304"/>
        <v/>
      </c>
      <c r="AY932" s="152"/>
    </row>
    <row r="933" spans="1:51" s="150" customFormat="1" x14ac:dyDescent="0.25">
      <c r="A933" s="150" t="str">
        <f t="shared" si="312"/>
        <v/>
      </c>
      <c r="B933" s="150" t="str">
        <f t="shared" si="313"/>
        <v/>
      </c>
      <c r="C933" s="150" t="str">
        <f t="shared" si="314"/>
        <v/>
      </c>
      <c r="D933" s="150" t="str">
        <f>IF(E933="","",Input!$C$4+B933-1)</f>
        <v/>
      </c>
      <c r="E933" s="150" t="str">
        <f>IF(OR(AND(C932=12,D932=Input!$C$6),E932=""),"",1)</f>
        <v/>
      </c>
      <c r="F933" s="150" t="str">
        <f>IF(E933="","",Input!$C$8+B933-1)</f>
        <v/>
      </c>
      <c r="G933" s="151" t="str">
        <f>IF(E933="","",MAX(0,Input!$C$9-B933))</f>
        <v/>
      </c>
      <c r="H933" s="152" t="str">
        <f>IF(E933="","",Input!$C$3)</f>
        <v/>
      </c>
      <c r="I933" s="153" t="str">
        <f>IF(E933="","",HLOOKUP($B933,Input!$C$13:$BT$14,2))</f>
        <v/>
      </c>
      <c r="J933" s="154"/>
      <c r="K933" s="155" t="str">
        <f>IF($E933="","",Input!$C$57)</f>
        <v/>
      </c>
      <c r="L933" s="155" t="str">
        <f t="shared" si="305"/>
        <v/>
      </c>
      <c r="M933" s="147" t="str">
        <f>IF($E933="","",VLOOKUP(IF($B933&lt;=Input!$C$7,$B933,26),'Mortality Tables'!$A$72:$CA$97,IF($B933&lt;=Input!$C$7+1,Input!$C$4-16,$D933-Input!$C$7-16),0)/1000)</f>
        <v/>
      </c>
      <c r="N933" s="147" t="str">
        <f t="shared" si="294"/>
        <v/>
      </c>
      <c r="O933" s="157" t="str">
        <f>IF($E933="","",IF($C933=12,IF($B933&lt;Input!$C$9,Input!$C$54,IF($B933=Input!$C$9,Input!$C$55,Input!$C$56)),0%))</f>
        <v/>
      </c>
      <c r="P933" s="167" t="str">
        <f>IF($E933="","",IF($B933=1,Input!$C$59,IF($B933&lt;6,Input!$C$60,0%)))</f>
        <v/>
      </c>
      <c r="Q933" s="162" t="str">
        <f>IF($E933="","",Input!$C$58)</f>
        <v/>
      </c>
      <c r="R933" s="156" t="str">
        <f t="shared" si="306"/>
        <v/>
      </c>
      <c r="S933" s="154" t="str">
        <f t="shared" si="295"/>
        <v/>
      </c>
      <c r="T933" s="152"/>
      <c r="U933" s="150" t="str">
        <f t="shared" si="307"/>
        <v/>
      </c>
      <c r="V933" s="150" t="str">
        <f t="shared" si="308"/>
        <v/>
      </c>
      <c r="W933" s="168" t="str">
        <f t="shared" si="309"/>
        <v/>
      </c>
      <c r="X933" s="163" t="str">
        <f t="shared" si="296"/>
        <v/>
      </c>
      <c r="Y933" s="152"/>
      <c r="Z933" s="164" t="str">
        <f>IF(AND($C932=12,$D932=Input!$C$6),0,IF($E933="","",V933+Z934/(1+L933)*R933))</f>
        <v/>
      </c>
      <c r="AA933" s="164" t="str">
        <f>IF(OR($M933=1,AND($C932=12,$D932=Input!$C$6)),0,IF($E933="","",W933+(X933+AA934*$R933)/(1+$L933)))</f>
        <v/>
      </c>
      <c r="AB933" s="160" t="str">
        <f t="shared" si="297"/>
        <v/>
      </c>
      <c r="AC933" s="164" t="str">
        <f t="shared" si="298"/>
        <v/>
      </c>
      <c r="AD933" s="164" t="str">
        <f>IF(AND($C932=12,$D932=Input!$C$6),0,IF($E933="","",$AC933+AD934/(1+$L933)*$R933))</f>
        <v/>
      </c>
      <c r="AE933" s="152"/>
      <c r="AF933" s="164" t="str">
        <f>IF(AND($C932=12,$D932=Input!$C$6),0,IF($E933="","",IF($B933&gt;Input!$C$9,$AC933,0)+AF934/(1+$L933)*$R933))</f>
        <v/>
      </c>
      <c r="AG933" s="164" t="str">
        <f>IF(AND($C932=12,$D932=Input!$C$6),0,IF($E933="","",(IF($B933&gt;Input!$C$9,$X933,0)+AG934)/(1+$L933)*$R933))</f>
        <v/>
      </c>
      <c r="AH933" s="160" t="str">
        <f t="shared" si="299"/>
        <v/>
      </c>
      <c r="AI933" s="160" t="str">
        <f>IF($E933="","",MIN(Input!$C$61/AH933,1))</f>
        <v/>
      </c>
      <c r="AJ933" s="152"/>
      <c r="AK933" s="164" t="str">
        <f>IF(AND($C932=12,$D932=Input!$C$6),0,IF($E933="","",IF($B933&gt;Input!$C$9,$AC933*AI933,0)+AK934/(1+$L933)*$R933))</f>
        <v/>
      </c>
      <c r="AL933" s="164" t="str">
        <f>IF(AND($C932=12,$D932=Input!$C$6),0,IF($E933="","",IF($B933&gt;Input!$C$9,0,$AC933)+AL934/(1+$L933)*$R933))</f>
        <v/>
      </c>
      <c r="AM933" s="160" t="str">
        <f t="shared" si="300"/>
        <v/>
      </c>
      <c r="AN933" s="164" t="str">
        <f>IF($E933="","",IF($B933&gt;Input!$C$9,$AI933*$AC933,$AM933*$AC933))</f>
        <v/>
      </c>
      <c r="AO933" s="164" t="str">
        <f>IF(AND($C932=12,$D932=Input!$C$6),0,IF($E933="","",$AN933+AO934/(1+$L933)*$R933))</f>
        <v/>
      </c>
      <c r="AP933" s="152"/>
      <c r="AQ933" s="164" t="str">
        <f t="shared" si="301"/>
        <v/>
      </c>
      <c r="AR933" s="164" t="str">
        <f t="shared" si="310"/>
        <v/>
      </c>
      <c r="AS933" s="164" t="str">
        <f t="shared" si="311"/>
        <v/>
      </c>
      <c r="AT933" s="164" t="str">
        <f t="shared" si="302"/>
        <v/>
      </c>
      <c r="AU933" s="152"/>
      <c r="AV933" s="147" t="str">
        <f>'Deterministic Reserve'!BC933</f>
        <v/>
      </c>
      <c r="AW933" s="164" t="str">
        <f t="shared" si="303"/>
        <v/>
      </c>
      <c r="AX933" s="164" t="str">
        <f t="shared" si="304"/>
        <v/>
      </c>
      <c r="AY933" s="152"/>
    </row>
    <row r="934" spans="1:51" s="150" customFormat="1" x14ac:dyDescent="0.25">
      <c r="A934" s="150" t="str">
        <f t="shared" si="312"/>
        <v/>
      </c>
      <c r="B934" s="150" t="str">
        <f t="shared" si="313"/>
        <v/>
      </c>
      <c r="C934" s="150" t="str">
        <f t="shared" si="314"/>
        <v/>
      </c>
      <c r="D934" s="150" t="str">
        <f>IF(E934="","",Input!$C$4+B934-1)</f>
        <v/>
      </c>
      <c r="E934" s="150" t="str">
        <f>IF(OR(AND(C933=12,D933=Input!$C$6),E933=""),"",1)</f>
        <v/>
      </c>
      <c r="F934" s="150" t="str">
        <f>IF(E934="","",Input!$C$8+B934-1)</f>
        <v/>
      </c>
      <c r="G934" s="151" t="str">
        <f>IF(E934="","",MAX(0,Input!$C$9-B934))</f>
        <v/>
      </c>
      <c r="H934" s="152" t="str">
        <f>IF(E934="","",Input!$C$3)</f>
        <v/>
      </c>
      <c r="I934" s="153" t="str">
        <f>IF(E934="","",HLOOKUP($B934,Input!$C$13:$BT$14,2))</f>
        <v/>
      </c>
      <c r="J934" s="154"/>
      <c r="K934" s="155" t="str">
        <f>IF($E934="","",Input!$C$57)</f>
        <v/>
      </c>
      <c r="L934" s="155" t="str">
        <f t="shared" si="305"/>
        <v/>
      </c>
      <c r="M934" s="147" t="str">
        <f>IF($E934="","",VLOOKUP(IF($B934&lt;=Input!$C$7,$B934,26),'Mortality Tables'!$A$72:$CA$97,IF($B934&lt;=Input!$C$7+1,Input!$C$4-16,$D934-Input!$C$7-16),0)/1000)</f>
        <v/>
      </c>
      <c r="N934" s="147" t="str">
        <f t="shared" si="294"/>
        <v/>
      </c>
      <c r="O934" s="157" t="str">
        <f>IF($E934="","",IF($C934=12,IF($B934&lt;Input!$C$9,Input!$C$54,IF($B934=Input!$C$9,Input!$C$55,Input!$C$56)),0%))</f>
        <v/>
      </c>
      <c r="P934" s="167" t="str">
        <f>IF($E934="","",IF($B934=1,Input!$C$59,IF($B934&lt;6,Input!$C$60,0%)))</f>
        <v/>
      </c>
      <c r="Q934" s="162" t="str">
        <f>IF($E934="","",Input!$C$58)</f>
        <v/>
      </c>
      <c r="R934" s="156" t="str">
        <f t="shared" si="306"/>
        <v/>
      </c>
      <c r="S934" s="154" t="str">
        <f t="shared" si="295"/>
        <v/>
      </c>
      <c r="T934" s="152"/>
      <c r="U934" s="150" t="str">
        <f t="shared" si="307"/>
        <v/>
      </c>
      <c r="V934" s="150" t="str">
        <f t="shared" si="308"/>
        <v/>
      </c>
      <c r="W934" s="168" t="str">
        <f t="shared" si="309"/>
        <v/>
      </c>
      <c r="X934" s="163" t="str">
        <f t="shared" si="296"/>
        <v/>
      </c>
      <c r="Y934" s="152"/>
      <c r="Z934" s="164" t="str">
        <f>IF(AND($C933=12,$D933=Input!$C$6),0,IF($E934="","",V934+Z935/(1+L934)*R934))</f>
        <v/>
      </c>
      <c r="AA934" s="164" t="str">
        <f>IF(OR($M934=1,AND($C933=12,$D933=Input!$C$6)),0,IF($E934="","",W934+(X934+AA935*$R934)/(1+$L934)))</f>
        <v/>
      </c>
      <c r="AB934" s="160" t="str">
        <f t="shared" si="297"/>
        <v/>
      </c>
      <c r="AC934" s="164" t="str">
        <f t="shared" si="298"/>
        <v/>
      </c>
      <c r="AD934" s="164" t="str">
        <f>IF(AND($C933=12,$D933=Input!$C$6),0,IF($E934="","",$AC934+AD935/(1+$L934)*$R934))</f>
        <v/>
      </c>
      <c r="AE934" s="152"/>
      <c r="AF934" s="164" t="str">
        <f>IF(AND($C933=12,$D933=Input!$C$6),0,IF($E934="","",IF($B934&gt;Input!$C$9,$AC934,0)+AF935/(1+$L934)*$R934))</f>
        <v/>
      </c>
      <c r="AG934" s="164" t="str">
        <f>IF(AND($C933=12,$D933=Input!$C$6),0,IF($E934="","",(IF($B934&gt;Input!$C$9,$X934,0)+AG935)/(1+$L934)*$R934))</f>
        <v/>
      </c>
      <c r="AH934" s="160" t="str">
        <f t="shared" si="299"/>
        <v/>
      </c>
      <c r="AI934" s="160" t="str">
        <f>IF($E934="","",MIN(Input!$C$61/AH934,1))</f>
        <v/>
      </c>
      <c r="AJ934" s="152"/>
      <c r="AK934" s="164" t="str">
        <f>IF(AND($C933=12,$D933=Input!$C$6),0,IF($E934="","",IF($B934&gt;Input!$C$9,$AC934*AI934,0)+AK935/(1+$L934)*$R934))</f>
        <v/>
      </c>
      <c r="AL934" s="164" t="str">
        <f>IF(AND($C933=12,$D933=Input!$C$6),0,IF($E934="","",IF($B934&gt;Input!$C$9,0,$AC934)+AL935/(1+$L934)*$R934))</f>
        <v/>
      </c>
      <c r="AM934" s="160" t="str">
        <f t="shared" si="300"/>
        <v/>
      </c>
      <c r="AN934" s="164" t="str">
        <f>IF($E934="","",IF($B934&gt;Input!$C$9,$AI934*$AC934,$AM934*$AC934))</f>
        <v/>
      </c>
      <c r="AO934" s="164" t="str">
        <f>IF(AND($C933=12,$D933=Input!$C$6),0,IF($E934="","",$AN934+AO935/(1+$L934)*$R934))</f>
        <v/>
      </c>
      <c r="AP934" s="152"/>
      <c r="AQ934" s="164" t="str">
        <f t="shared" si="301"/>
        <v/>
      </c>
      <c r="AR934" s="164" t="str">
        <f t="shared" si="310"/>
        <v/>
      </c>
      <c r="AS934" s="164" t="str">
        <f t="shared" si="311"/>
        <v/>
      </c>
      <c r="AT934" s="164" t="str">
        <f t="shared" si="302"/>
        <v/>
      </c>
      <c r="AU934" s="152"/>
      <c r="AV934" s="147" t="str">
        <f>'Deterministic Reserve'!BC934</f>
        <v/>
      </c>
      <c r="AW934" s="164" t="str">
        <f t="shared" si="303"/>
        <v/>
      </c>
      <c r="AX934" s="164" t="str">
        <f t="shared" si="304"/>
        <v/>
      </c>
      <c r="AY934" s="152"/>
    </row>
    <row r="935" spans="1:51" s="150" customFormat="1" x14ac:dyDescent="0.25">
      <c r="A935" s="150" t="str">
        <f t="shared" si="312"/>
        <v/>
      </c>
      <c r="B935" s="150" t="str">
        <f t="shared" si="313"/>
        <v/>
      </c>
      <c r="C935" s="150" t="str">
        <f t="shared" si="314"/>
        <v/>
      </c>
      <c r="D935" s="150" t="str">
        <f>IF(E935="","",Input!$C$4+B935-1)</f>
        <v/>
      </c>
      <c r="E935" s="150" t="str">
        <f>IF(OR(AND(C934=12,D934=Input!$C$6),E934=""),"",1)</f>
        <v/>
      </c>
      <c r="F935" s="150" t="str">
        <f>IF(E935="","",Input!$C$8+B935-1)</f>
        <v/>
      </c>
      <c r="G935" s="151" t="str">
        <f>IF(E935="","",MAX(0,Input!$C$9-B935))</f>
        <v/>
      </c>
      <c r="H935" s="152" t="str">
        <f>IF(E935="","",Input!$C$3)</f>
        <v/>
      </c>
      <c r="I935" s="153" t="str">
        <f>IF(E935="","",HLOOKUP($B935,Input!$C$13:$BT$14,2))</f>
        <v/>
      </c>
      <c r="J935" s="154"/>
      <c r="K935" s="155" t="str">
        <f>IF($E935="","",Input!$C$57)</f>
        <v/>
      </c>
      <c r="L935" s="155" t="str">
        <f t="shared" si="305"/>
        <v/>
      </c>
      <c r="M935" s="147" t="str">
        <f>IF($E935="","",VLOOKUP(IF($B935&lt;=Input!$C$7,$B935,26),'Mortality Tables'!$A$72:$CA$97,IF($B935&lt;=Input!$C$7+1,Input!$C$4-16,$D935-Input!$C$7-16),0)/1000)</f>
        <v/>
      </c>
      <c r="N935" s="147" t="str">
        <f t="shared" si="294"/>
        <v/>
      </c>
      <c r="O935" s="157" t="str">
        <f>IF($E935="","",IF($C935=12,IF($B935&lt;Input!$C$9,Input!$C$54,IF($B935=Input!$C$9,Input!$C$55,Input!$C$56)),0%))</f>
        <v/>
      </c>
      <c r="P935" s="167" t="str">
        <f>IF($E935="","",IF($B935=1,Input!$C$59,IF($B935&lt;6,Input!$C$60,0%)))</f>
        <v/>
      </c>
      <c r="Q935" s="162" t="str">
        <f>IF($E935="","",Input!$C$58)</f>
        <v/>
      </c>
      <c r="R935" s="156" t="str">
        <f t="shared" si="306"/>
        <v/>
      </c>
      <c r="S935" s="154" t="str">
        <f t="shared" si="295"/>
        <v/>
      </c>
      <c r="T935" s="152"/>
      <c r="U935" s="150" t="str">
        <f t="shared" si="307"/>
        <v/>
      </c>
      <c r="V935" s="150" t="str">
        <f t="shared" si="308"/>
        <v/>
      </c>
      <c r="W935" s="168" t="str">
        <f t="shared" si="309"/>
        <v/>
      </c>
      <c r="X935" s="163" t="str">
        <f t="shared" si="296"/>
        <v/>
      </c>
      <c r="Y935" s="152"/>
      <c r="Z935" s="164" t="str">
        <f>IF(AND($C934=12,$D934=Input!$C$6),0,IF($E935="","",V935+Z936/(1+L935)*R935))</f>
        <v/>
      </c>
      <c r="AA935" s="164" t="str">
        <f>IF(OR($M935=1,AND($C934=12,$D934=Input!$C$6)),0,IF($E935="","",W935+(X935+AA936*$R935)/(1+$L935)))</f>
        <v/>
      </c>
      <c r="AB935" s="160" t="str">
        <f t="shared" si="297"/>
        <v/>
      </c>
      <c r="AC935" s="164" t="str">
        <f t="shared" si="298"/>
        <v/>
      </c>
      <c r="AD935" s="164" t="str">
        <f>IF(AND($C934=12,$D934=Input!$C$6),0,IF($E935="","",$AC935+AD936/(1+$L935)*$R935))</f>
        <v/>
      </c>
      <c r="AE935" s="152"/>
      <c r="AF935" s="164" t="str">
        <f>IF(AND($C934=12,$D934=Input!$C$6),0,IF($E935="","",IF($B935&gt;Input!$C$9,$AC935,0)+AF936/(1+$L935)*$R935))</f>
        <v/>
      </c>
      <c r="AG935" s="164" t="str">
        <f>IF(AND($C934=12,$D934=Input!$C$6),0,IF($E935="","",(IF($B935&gt;Input!$C$9,$X935,0)+AG936)/(1+$L935)*$R935))</f>
        <v/>
      </c>
      <c r="AH935" s="160" t="str">
        <f t="shared" si="299"/>
        <v/>
      </c>
      <c r="AI935" s="160" t="str">
        <f>IF($E935="","",MIN(Input!$C$61/AH935,1))</f>
        <v/>
      </c>
      <c r="AJ935" s="152"/>
      <c r="AK935" s="164" t="str">
        <f>IF(AND($C934=12,$D934=Input!$C$6),0,IF($E935="","",IF($B935&gt;Input!$C$9,$AC935*AI935,0)+AK936/(1+$L935)*$R935))</f>
        <v/>
      </c>
      <c r="AL935" s="164" t="str">
        <f>IF(AND($C934=12,$D934=Input!$C$6),0,IF($E935="","",IF($B935&gt;Input!$C$9,0,$AC935)+AL936/(1+$L935)*$R935))</f>
        <v/>
      </c>
      <c r="AM935" s="160" t="str">
        <f t="shared" si="300"/>
        <v/>
      </c>
      <c r="AN935" s="164" t="str">
        <f>IF($E935="","",IF($B935&gt;Input!$C$9,$AI935*$AC935,$AM935*$AC935))</f>
        <v/>
      </c>
      <c r="AO935" s="164" t="str">
        <f>IF(AND($C934=12,$D934=Input!$C$6),0,IF($E935="","",$AN935+AO936/(1+$L935)*$R935))</f>
        <v/>
      </c>
      <c r="AP935" s="152"/>
      <c r="AQ935" s="164" t="str">
        <f t="shared" si="301"/>
        <v/>
      </c>
      <c r="AR935" s="164" t="str">
        <f t="shared" si="310"/>
        <v/>
      </c>
      <c r="AS935" s="164" t="str">
        <f t="shared" si="311"/>
        <v/>
      </c>
      <c r="AT935" s="164" t="str">
        <f t="shared" si="302"/>
        <v/>
      </c>
      <c r="AU935" s="152"/>
      <c r="AV935" s="147" t="str">
        <f>'Deterministic Reserve'!BC935</f>
        <v/>
      </c>
      <c r="AW935" s="164" t="str">
        <f t="shared" si="303"/>
        <v/>
      </c>
      <c r="AX935" s="164" t="str">
        <f t="shared" si="304"/>
        <v/>
      </c>
      <c r="AY935" s="152"/>
    </row>
    <row r="936" spans="1:51" s="150" customFormat="1" x14ac:dyDescent="0.25">
      <c r="A936" s="150" t="str">
        <f t="shared" si="312"/>
        <v/>
      </c>
      <c r="B936" s="150" t="str">
        <f t="shared" si="313"/>
        <v/>
      </c>
      <c r="C936" s="150" t="str">
        <f t="shared" si="314"/>
        <v/>
      </c>
      <c r="D936" s="150" t="str">
        <f>IF(E936="","",Input!$C$4+B936-1)</f>
        <v/>
      </c>
      <c r="E936" s="150" t="str">
        <f>IF(OR(AND(C935=12,D935=Input!$C$6),E935=""),"",1)</f>
        <v/>
      </c>
      <c r="F936" s="150" t="str">
        <f>IF(E936="","",Input!$C$8+B936-1)</f>
        <v/>
      </c>
      <c r="G936" s="151" t="str">
        <f>IF(E936="","",MAX(0,Input!$C$9-B936))</f>
        <v/>
      </c>
      <c r="H936" s="152" t="str">
        <f>IF(E936="","",Input!$C$3)</f>
        <v/>
      </c>
      <c r="I936" s="153" t="str">
        <f>IF(E936="","",HLOOKUP($B936,Input!$C$13:$BT$14,2))</f>
        <v/>
      </c>
      <c r="J936" s="154"/>
      <c r="K936" s="155" t="str">
        <f>IF($E936="","",Input!$C$57)</f>
        <v/>
      </c>
      <c r="L936" s="155" t="str">
        <f t="shared" si="305"/>
        <v/>
      </c>
      <c r="M936" s="147" t="str">
        <f>IF($E936="","",VLOOKUP(IF($B936&lt;=Input!$C$7,$B936,26),'Mortality Tables'!$A$72:$CA$97,IF($B936&lt;=Input!$C$7+1,Input!$C$4-16,$D936-Input!$C$7-16),0)/1000)</f>
        <v/>
      </c>
      <c r="N936" s="147" t="str">
        <f t="shared" si="294"/>
        <v/>
      </c>
      <c r="O936" s="157" t="str">
        <f>IF($E936="","",IF($C936=12,IF($B936&lt;Input!$C$9,Input!$C$54,IF($B936=Input!$C$9,Input!$C$55,Input!$C$56)),0%))</f>
        <v/>
      </c>
      <c r="P936" s="167" t="str">
        <f>IF($E936="","",IF($B936=1,Input!$C$59,IF($B936&lt;6,Input!$C$60,0%)))</f>
        <v/>
      </c>
      <c r="Q936" s="162" t="str">
        <f>IF($E936="","",Input!$C$58)</f>
        <v/>
      </c>
      <c r="R936" s="156" t="str">
        <f t="shared" si="306"/>
        <v/>
      </c>
      <c r="S936" s="154" t="str">
        <f t="shared" si="295"/>
        <v/>
      </c>
      <c r="T936" s="152"/>
      <c r="U936" s="150" t="str">
        <f t="shared" si="307"/>
        <v/>
      </c>
      <c r="V936" s="150" t="str">
        <f t="shared" si="308"/>
        <v/>
      </c>
      <c r="W936" s="168" t="str">
        <f t="shared" si="309"/>
        <v/>
      </c>
      <c r="X936" s="163" t="str">
        <f t="shared" si="296"/>
        <v/>
      </c>
      <c r="Y936" s="152"/>
      <c r="Z936" s="164" t="str">
        <f>IF(AND($C935=12,$D935=Input!$C$6),0,IF($E936="","",V936+Z937/(1+L936)*R936))</f>
        <v/>
      </c>
      <c r="AA936" s="164" t="str">
        <f>IF(OR($M936=1,AND($C935=12,$D935=Input!$C$6)),0,IF($E936="","",W936+(X936+AA937*$R936)/(1+$L936)))</f>
        <v/>
      </c>
      <c r="AB936" s="160" t="str">
        <f t="shared" si="297"/>
        <v/>
      </c>
      <c r="AC936" s="164" t="str">
        <f t="shared" si="298"/>
        <v/>
      </c>
      <c r="AD936" s="164" t="str">
        <f>IF(AND($C935=12,$D935=Input!$C$6),0,IF($E936="","",$AC936+AD937/(1+$L936)*$R936))</f>
        <v/>
      </c>
      <c r="AE936" s="152"/>
      <c r="AF936" s="164" t="str">
        <f>IF(AND($C935=12,$D935=Input!$C$6),0,IF($E936="","",IF($B936&gt;Input!$C$9,$AC936,0)+AF937/(1+$L936)*$R936))</f>
        <v/>
      </c>
      <c r="AG936" s="164" t="str">
        <f>IF(AND($C935=12,$D935=Input!$C$6),0,IF($E936="","",(IF($B936&gt;Input!$C$9,$X936,0)+AG937)/(1+$L936)*$R936))</f>
        <v/>
      </c>
      <c r="AH936" s="160" t="str">
        <f t="shared" si="299"/>
        <v/>
      </c>
      <c r="AI936" s="160" t="str">
        <f>IF($E936="","",MIN(Input!$C$61/AH936,1))</f>
        <v/>
      </c>
      <c r="AJ936" s="152"/>
      <c r="AK936" s="164" t="str">
        <f>IF(AND($C935=12,$D935=Input!$C$6),0,IF($E936="","",IF($B936&gt;Input!$C$9,$AC936*AI936,0)+AK937/(1+$L936)*$R936))</f>
        <v/>
      </c>
      <c r="AL936" s="164" t="str">
        <f>IF(AND($C935=12,$D935=Input!$C$6),0,IF($E936="","",IF($B936&gt;Input!$C$9,0,$AC936)+AL937/(1+$L936)*$R936))</f>
        <v/>
      </c>
      <c r="AM936" s="160" t="str">
        <f t="shared" si="300"/>
        <v/>
      </c>
      <c r="AN936" s="164" t="str">
        <f>IF($E936="","",IF($B936&gt;Input!$C$9,$AI936*$AC936,$AM936*$AC936))</f>
        <v/>
      </c>
      <c r="AO936" s="164" t="str">
        <f>IF(AND($C935=12,$D935=Input!$C$6),0,IF($E936="","",$AN936+AO937/(1+$L936)*$R936))</f>
        <v/>
      </c>
      <c r="AP936" s="152"/>
      <c r="AQ936" s="164" t="str">
        <f t="shared" si="301"/>
        <v/>
      </c>
      <c r="AR936" s="164" t="str">
        <f t="shared" si="310"/>
        <v/>
      </c>
      <c r="AS936" s="164" t="str">
        <f t="shared" si="311"/>
        <v/>
      </c>
      <c r="AT936" s="164" t="str">
        <f t="shared" si="302"/>
        <v/>
      </c>
      <c r="AU936" s="152"/>
      <c r="AV936" s="147" t="str">
        <f>'Deterministic Reserve'!BC936</f>
        <v/>
      </c>
      <c r="AW936" s="164" t="str">
        <f t="shared" si="303"/>
        <v/>
      </c>
      <c r="AX936" s="164" t="str">
        <f t="shared" si="304"/>
        <v/>
      </c>
      <c r="AY936" s="152"/>
    </row>
    <row r="937" spans="1:51" s="150" customFormat="1" x14ac:dyDescent="0.25">
      <c r="A937" s="150" t="str">
        <f t="shared" si="312"/>
        <v/>
      </c>
      <c r="B937" s="150" t="str">
        <f t="shared" si="313"/>
        <v/>
      </c>
      <c r="C937" s="150" t="str">
        <f t="shared" si="314"/>
        <v/>
      </c>
      <c r="D937" s="150" t="str">
        <f>IF(E937="","",Input!$C$4+B937-1)</f>
        <v/>
      </c>
      <c r="E937" s="150" t="str">
        <f>IF(OR(AND(C936=12,D936=Input!$C$6),E936=""),"",1)</f>
        <v/>
      </c>
      <c r="F937" s="150" t="str">
        <f>IF(E937="","",Input!$C$8+B937-1)</f>
        <v/>
      </c>
      <c r="G937" s="151" t="str">
        <f>IF(E937="","",MAX(0,Input!$C$9-B937))</f>
        <v/>
      </c>
      <c r="H937" s="152" t="str">
        <f>IF(E937="","",Input!$C$3)</f>
        <v/>
      </c>
      <c r="I937" s="153" t="str">
        <f>IF(E937="","",HLOOKUP($B937,Input!$C$13:$BT$14,2))</f>
        <v/>
      </c>
      <c r="J937" s="154"/>
      <c r="K937" s="155" t="str">
        <f>IF($E937="","",Input!$C$57)</f>
        <v/>
      </c>
      <c r="L937" s="155" t="str">
        <f t="shared" si="305"/>
        <v/>
      </c>
      <c r="M937" s="147" t="str">
        <f>IF($E937="","",VLOOKUP(IF($B937&lt;=Input!$C$7,$B937,26),'Mortality Tables'!$A$72:$CA$97,IF($B937&lt;=Input!$C$7+1,Input!$C$4-16,$D937-Input!$C$7-16),0)/1000)</f>
        <v/>
      </c>
      <c r="N937" s="147" t="str">
        <f t="shared" si="294"/>
        <v/>
      </c>
      <c r="O937" s="157" t="str">
        <f>IF($E937="","",IF($C937=12,IF($B937&lt;Input!$C$9,Input!$C$54,IF($B937=Input!$C$9,Input!$C$55,Input!$C$56)),0%))</f>
        <v/>
      </c>
      <c r="P937" s="167" t="str">
        <f>IF($E937="","",IF($B937=1,Input!$C$59,IF($B937&lt;6,Input!$C$60,0%)))</f>
        <v/>
      </c>
      <c r="Q937" s="162" t="str">
        <f>IF($E937="","",Input!$C$58)</f>
        <v/>
      </c>
      <c r="R937" s="156" t="str">
        <f t="shared" si="306"/>
        <v/>
      </c>
      <c r="S937" s="154" t="str">
        <f t="shared" si="295"/>
        <v/>
      </c>
      <c r="T937" s="152"/>
      <c r="U937" s="150" t="str">
        <f t="shared" si="307"/>
        <v/>
      </c>
      <c r="V937" s="150" t="str">
        <f t="shared" si="308"/>
        <v/>
      </c>
      <c r="W937" s="168" t="str">
        <f t="shared" si="309"/>
        <v/>
      </c>
      <c r="X937" s="163" t="str">
        <f t="shared" si="296"/>
        <v/>
      </c>
      <c r="Y937" s="152"/>
      <c r="Z937" s="164" t="str">
        <f>IF(AND($C936=12,$D936=Input!$C$6),0,IF($E937="","",V937+Z938/(1+L937)*R937))</f>
        <v/>
      </c>
      <c r="AA937" s="164" t="str">
        <f>IF(OR($M937=1,AND($C936=12,$D936=Input!$C$6)),0,IF($E937="","",W937+(X937+AA938*$R937)/(1+$L937)))</f>
        <v/>
      </c>
      <c r="AB937" s="160" t="str">
        <f t="shared" si="297"/>
        <v/>
      </c>
      <c r="AC937" s="164" t="str">
        <f t="shared" si="298"/>
        <v/>
      </c>
      <c r="AD937" s="164" t="str">
        <f>IF(AND($C936=12,$D936=Input!$C$6),0,IF($E937="","",$AC937+AD938/(1+$L937)*$R937))</f>
        <v/>
      </c>
      <c r="AE937" s="152"/>
      <c r="AF937" s="164" t="str">
        <f>IF(AND($C936=12,$D936=Input!$C$6),0,IF($E937="","",IF($B937&gt;Input!$C$9,$AC937,0)+AF938/(1+$L937)*$R937))</f>
        <v/>
      </c>
      <c r="AG937" s="164" t="str">
        <f>IF(AND($C936=12,$D936=Input!$C$6),0,IF($E937="","",(IF($B937&gt;Input!$C$9,$X937,0)+AG938)/(1+$L937)*$R937))</f>
        <v/>
      </c>
      <c r="AH937" s="160" t="str">
        <f t="shared" si="299"/>
        <v/>
      </c>
      <c r="AI937" s="160" t="str">
        <f>IF($E937="","",MIN(Input!$C$61/AH937,1))</f>
        <v/>
      </c>
      <c r="AJ937" s="152"/>
      <c r="AK937" s="164" t="str">
        <f>IF(AND($C936=12,$D936=Input!$C$6),0,IF($E937="","",IF($B937&gt;Input!$C$9,$AC937*AI937,0)+AK938/(1+$L937)*$R937))</f>
        <v/>
      </c>
      <c r="AL937" s="164" t="str">
        <f>IF(AND($C936=12,$D936=Input!$C$6),0,IF($E937="","",IF($B937&gt;Input!$C$9,0,$AC937)+AL938/(1+$L937)*$R937))</f>
        <v/>
      </c>
      <c r="AM937" s="160" t="str">
        <f t="shared" si="300"/>
        <v/>
      </c>
      <c r="AN937" s="164" t="str">
        <f>IF($E937="","",IF($B937&gt;Input!$C$9,$AI937*$AC937,$AM937*$AC937))</f>
        <v/>
      </c>
      <c r="AO937" s="164" t="str">
        <f>IF(AND($C936=12,$D936=Input!$C$6),0,IF($E937="","",$AN937+AO938/(1+$L937)*$R937))</f>
        <v/>
      </c>
      <c r="AP937" s="152"/>
      <c r="AQ937" s="164" t="str">
        <f t="shared" si="301"/>
        <v/>
      </c>
      <c r="AR937" s="164" t="str">
        <f t="shared" si="310"/>
        <v/>
      </c>
      <c r="AS937" s="164" t="str">
        <f t="shared" si="311"/>
        <v/>
      </c>
      <c r="AT937" s="164" t="str">
        <f t="shared" si="302"/>
        <v/>
      </c>
      <c r="AU937" s="152"/>
      <c r="AV937" s="147" t="str">
        <f>'Deterministic Reserve'!BC937</f>
        <v/>
      </c>
      <c r="AW937" s="164" t="str">
        <f t="shared" si="303"/>
        <v/>
      </c>
      <c r="AX937" s="164" t="str">
        <f t="shared" si="304"/>
        <v/>
      </c>
      <c r="AY937" s="152"/>
    </row>
    <row r="938" spans="1:51" s="150" customFormat="1" x14ac:dyDescent="0.25">
      <c r="A938" s="150" t="str">
        <f t="shared" si="312"/>
        <v/>
      </c>
      <c r="B938" s="150" t="str">
        <f t="shared" si="313"/>
        <v/>
      </c>
      <c r="C938" s="150" t="str">
        <f t="shared" si="314"/>
        <v/>
      </c>
      <c r="D938" s="150" t="str">
        <f>IF(E938="","",Input!$C$4+B938-1)</f>
        <v/>
      </c>
      <c r="E938" s="150" t="str">
        <f>IF(OR(AND(C937=12,D937=Input!$C$6),E937=""),"",1)</f>
        <v/>
      </c>
      <c r="F938" s="150" t="str">
        <f>IF(E938="","",Input!$C$8+B938-1)</f>
        <v/>
      </c>
      <c r="G938" s="151" t="str">
        <f>IF(E938="","",MAX(0,Input!$C$9-B938))</f>
        <v/>
      </c>
      <c r="H938" s="152" t="str">
        <f>IF(E938="","",Input!$C$3)</f>
        <v/>
      </c>
      <c r="I938" s="153" t="str">
        <f>IF(E938="","",HLOOKUP($B938,Input!$C$13:$BT$14,2))</f>
        <v/>
      </c>
      <c r="J938" s="154"/>
      <c r="K938" s="155" t="str">
        <f>IF($E938="","",Input!$C$57)</f>
        <v/>
      </c>
      <c r="L938" s="155" t="str">
        <f t="shared" si="305"/>
        <v/>
      </c>
      <c r="M938" s="147" t="str">
        <f>IF($E938="","",VLOOKUP(IF($B938&lt;=Input!$C$7,$B938,26),'Mortality Tables'!$A$72:$CA$97,IF($B938&lt;=Input!$C$7+1,Input!$C$4-16,$D938-Input!$C$7-16),0)/1000)</f>
        <v/>
      </c>
      <c r="N938" s="147" t="str">
        <f t="shared" si="294"/>
        <v/>
      </c>
      <c r="O938" s="157" t="str">
        <f>IF($E938="","",IF($C938=12,IF($B938&lt;Input!$C$9,Input!$C$54,IF($B938=Input!$C$9,Input!$C$55,Input!$C$56)),0%))</f>
        <v/>
      </c>
      <c r="P938" s="167" t="str">
        <f>IF($E938="","",IF($B938=1,Input!$C$59,IF($B938&lt;6,Input!$C$60,0%)))</f>
        <v/>
      </c>
      <c r="Q938" s="162" t="str">
        <f>IF($E938="","",Input!$C$58)</f>
        <v/>
      </c>
      <c r="R938" s="156" t="str">
        <f t="shared" si="306"/>
        <v/>
      </c>
      <c r="S938" s="154" t="str">
        <f t="shared" si="295"/>
        <v/>
      </c>
      <c r="T938" s="152"/>
      <c r="U938" s="150" t="str">
        <f t="shared" si="307"/>
        <v/>
      </c>
      <c r="V938" s="150" t="str">
        <f t="shared" si="308"/>
        <v/>
      </c>
      <c r="W938" s="168" t="str">
        <f t="shared" si="309"/>
        <v/>
      </c>
      <c r="X938" s="163" t="str">
        <f t="shared" si="296"/>
        <v/>
      </c>
      <c r="Y938" s="152"/>
      <c r="Z938" s="164" t="str">
        <f>IF(AND($C937=12,$D937=Input!$C$6),0,IF($E938="","",V938+Z939/(1+L938)*R938))</f>
        <v/>
      </c>
      <c r="AA938" s="164" t="str">
        <f>IF(OR($M938=1,AND($C937=12,$D937=Input!$C$6)),0,IF($E938="","",W938+(X938+AA939*$R938)/(1+$L938)))</f>
        <v/>
      </c>
      <c r="AB938" s="160" t="str">
        <f t="shared" si="297"/>
        <v/>
      </c>
      <c r="AC938" s="164" t="str">
        <f t="shared" si="298"/>
        <v/>
      </c>
      <c r="AD938" s="164" t="str">
        <f>IF(AND($C937=12,$D937=Input!$C$6),0,IF($E938="","",$AC938+AD939/(1+$L938)*$R938))</f>
        <v/>
      </c>
      <c r="AE938" s="152"/>
      <c r="AF938" s="164" t="str">
        <f>IF(AND($C937=12,$D937=Input!$C$6),0,IF($E938="","",IF($B938&gt;Input!$C$9,$AC938,0)+AF939/(1+$L938)*$R938))</f>
        <v/>
      </c>
      <c r="AG938" s="164" t="str">
        <f>IF(AND($C937=12,$D937=Input!$C$6),0,IF($E938="","",(IF($B938&gt;Input!$C$9,$X938,0)+AG939)/(1+$L938)*$R938))</f>
        <v/>
      </c>
      <c r="AH938" s="160" t="str">
        <f t="shared" si="299"/>
        <v/>
      </c>
      <c r="AI938" s="160" t="str">
        <f>IF($E938="","",MIN(Input!$C$61/AH938,1))</f>
        <v/>
      </c>
      <c r="AJ938" s="152"/>
      <c r="AK938" s="164" t="str">
        <f>IF(AND($C937=12,$D937=Input!$C$6),0,IF($E938="","",IF($B938&gt;Input!$C$9,$AC938*AI938,0)+AK939/(1+$L938)*$R938))</f>
        <v/>
      </c>
      <c r="AL938" s="164" t="str">
        <f>IF(AND($C937=12,$D937=Input!$C$6),0,IF($E938="","",IF($B938&gt;Input!$C$9,0,$AC938)+AL939/(1+$L938)*$R938))</f>
        <v/>
      </c>
      <c r="AM938" s="160" t="str">
        <f t="shared" si="300"/>
        <v/>
      </c>
      <c r="AN938" s="164" t="str">
        <f>IF($E938="","",IF($B938&gt;Input!$C$9,$AI938*$AC938,$AM938*$AC938))</f>
        <v/>
      </c>
      <c r="AO938" s="164" t="str">
        <f>IF(AND($C937=12,$D937=Input!$C$6),0,IF($E938="","",$AN938+AO939/(1+$L938)*$R938))</f>
        <v/>
      </c>
      <c r="AP938" s="152"/>
      <c r="AQ938" s="164" t="str">
        <f t="shared" si="301"/>
        <v/>
      </c>
      <c r="AR938" s="164" t="str">
        <f t="shared" si="310"/>
        <v/>
      </c>
      <c r="AS938" s="164" t="str">
        <f t="shared" si="311"/>
        <v/>
      </c>
      <c r="AT938" s="164" t="str">
        <f t="shared" si="302"/>
        <v/>
      </c>
      <c r="AU938" s="152"/>
      <c r="AV938" s="147" t="str">
        <f>'Deterministic Reserve'!BC938</f>
        <v/>
      </c>
      <c r="AW938" s="164" t="str">
        <f t="shared" si="303"/>
        <v/>
      </c>
      <c r="AX938" s="164" t="str">
        <f t="shared" si="304"/>
        <v/>
      </c>
      <c r="AY938" s="152"/>
    </row>
    <row r="939" spans="1:51" s="150" customFormat="1" x14ac:dyDescent="0.25">
      <c r="A939" s="150" t="str">
        <f t="shared" si="312"/>
        <v/>
      </c>
      <c r="B939" s="150" t="str">
        <f t="shared" si="313"/>
        <v/>
      </c>
      <c r="C939" s="150" t="str">
        <f t="shared" si="314"/>
        <v/>
      </c>
      <c r="D939" s="150" t="str">
        <f>IF(E939="","",Input!$C$4+B939-1)</f>
        <v/>
      </c>
      <c r="E939" s="150" t="str">
        <f>IF(OR(AND(C938=12,D938=Input!$C$6),E938=""),"",1)</f>
        <v/>
      </c>
      <c r="F939" s="150" t="str">
        <f>IF(E939="","",Input!$C$8+B939-1)</f>
        <v/>
      </c>
      <c r="G939" s="151" t="str">
        <f>IF(E939="","",MAX(0,Input!$C$9-B939))</f>
        <v/>
      </c>
      <c r="H939" s="152" t="str">
        <f>IF(E939="","",Input!$C$3)</f>
        <v/>
      </c>
      <c r="I939" s="153" t="str">
        <f>IF(E939="","",HLOOKUP($B939,Input!$C$13:$BT$14,2))</f>
        <v/>
      </c>
      <c r="J939" s="154"/>
      <c r="K939" s="155" t="str">
        <f>IF($E939="","",Input!$C$57)</f>
        <v/>
      </c>
      <c r="L939" s="155" t="str">
        <f t="shared" si="305"/>
        <v/>
      </c>
      <c r="M939" s="147" t="str">
        <f>IF($E939="","",VLOOKUP(IF($B939&lt;=Input!$C$7,$B939,26),'Mortality Tables'!$A$72:$CA$97,IF($B939&lt;=Input!$C$7+1,Input!$C$4-16,$D939-Input!$C$7-16),0)/1000)</f>
        <v/>
      </c>
      <c r="N939" s="147" t="str">
        <f t="shared" si="294"/>
        <v/>
      </c>
      <c r="O939" s="157" t="str">
        <f>IF($E939="","",IF($C939=12,IF($B939&lt;Input!$C$9,Input!$C$54,IF($B939=Input!$C$9,Input!$C$55,Input!$C$56)),0%))</f>
        <v/>
      </c>
      <c r="P939" s="167" t="str">
        <f>IF($E939="","",IF($B939=1,Input!$C$59,IF($B939&lt;6,Input!$C$60,0%)))</f>
        <v/>
      </c>
      <c r="Q939" s="162" t="str">
        <f>IF($E939="","",Input!$C$58)</f>
        <v/>
      </c>
      <c r="R939" s="156" t="str">
        <f t="shared" si="306"/>
        <v/>
      </c>
      <c r="S939" s="154" t="str">
        <f t="shared" si="295"/>
        <v/>
      </c>
      <c r="T939" s="152"/>
      <c r="U939" s="150" t="str">
        <f t="shared" si="307"/>
        <v/>
      </c>
      <c r="V939" s="150" t="str">
        <f t="shared" si="308"/>
        <v/>
      </c>
      <c r="W939" s="168" t="str">
        <f t="shared" si="309"/>
        <v/>
      </c>
      <c r="X939" s="163" t="str">
        <f t="shared" si="296"/>
        <v/>
      </c>
      <c r="Y939" s="152"/>
      <c r="Z939" s="164" t="str">
        <f>IF(AND($C938=12,$D938=Input!$C$6),0,IF($E939="","",V939+Z940/(1+L939)*R939))</f>
        <v/>
      </c>
      <c r="AA939" s="164" t="str">
        <f>IF(OR($M939=1,AND($C938=12,$D938=Input!$C$6)),0,IF($E939="","",W939+(X939+AA940*$R939)/(1+$L939)))</f>
        <v/>
      </c>
      <c r="AB939" s="160" t="str">
        <f t="shared" si="297"/>
        <v/>
      </c>
      <c r="AC939" s="164" t="str">
        <f t="shared" si="298"/>
        <v/>
      </c>
      <c r="AD939" s="164" t="str">
        <f>IF(AND($C938=12,$D938=Input!$C$6),0,IF($E939="","",$AC939+AD940/(1+$L939)*$R939))</f>
        <v/>
      </c>
      <c r="AE939" s="152"/>
      <c r="AF939" s="164" t="str">
        <f>IF(AND($C938=12,$D938=Input!$C$6),0,IF($E939="","",IF($B939&gt;Input!$C$9,$AC939,0)+AF940/(1+$L939)*$R939))</f>
        <v/>
      </c>
      <c r="AG939" s="164" t="str">
        <f>IF(AND($C938=12,$D938=Input!$C$6),0,IF($E939="","",(IF($B939&gt;Input!$C$9,$X939,0)+AG940)/(1+$L939)*$R939))</f>
        <v/>
      </c>
      <c r="AH939" s="160" t="str">
        <f t="shared" si="299"/>
        <v/>
      </c>
      <c r="AI939" s="160" t="str">
        <f>IF($E939="","",MIN(Input!$C$61/AH939,1))</f>
        <v/>
      </c>
      <c r="AJ939" s="152"/>
      <c r="AK939" s="164" t="str">
        <f>IF(AND($C938=12,$D938=Input!$C$6),0,IF($E939="","",IF($B939&gt;Input!$C$9,$AC939*AI939,0)+AK940/(1+$L939)*$R939))</f>
        <v/>
      </c>
      <c r="AL939" s="164" t="str">
        <f>IF(AND($C938=12,$D938=Input!$C$6),0,IF($E939="","",IF($B939&gt;Input!$C$9,0,$AC939)+AL940/(1+$L939)*$R939))</f>
        <v/>
      </c>
      <c r="AM939" s="160" t="str">
        <f t="shared" si="300"/>
        <v/>
      </c>
      <c r="AN939" s="164" t="str">
        <f>IF($E939="","",IF($B939&gt;Input!$C$9,$AI939*$AC939,$AM939*$AC939))</f>
        <v/>
      </c>
      <c r="AO939" s="164" t="str">
        <f>IF(AND($C938=12,$D938=Input!$C$6),0,IF($E939="","",$AN939+AO940/(1+$L939)*$R939))</f>
        <v/>
      </c>
      <c r="AP939" s="152"/>
      <c r="AQ939" s="164" t="str">
        <f t="shared" si="301"/>
        <v/>
      </c>
      <c r="AR939" s="164" t="str">
        <f t="shared" si="310"/>
        <v/>
      </c>
      <c r="AS939" s="164" t="str">
        <f t="shared" si="311"/>
        <v/>
      </c>
      <c r="AT939" s="164" t="str">
        <f t="shared" si="302"/>
        <v/>
      </c>
      <c r="AU939" s="152"/>
      <c r="AV939" s="147" t="str">
        <f>'Deterministic Reserve'!BC939</f>
        <v/>
      </c>
      <c r="AW939" s="164" t="str">
        <f t="shared" si="303"/>
        <v/>
      </c>
      <c r="AX939" s="164" t="str">
        <f t="shared" si="304"/>
        <v/>
      </c>
      <c r="AY939" s="152"/>
    </row>
    <row r="940" spans="1:51" s="150" customFormat="1" x14ac:dyDescent="0.25">
      <c r="A940" s="150" t="str">
        <f t="shared" si="312"/>
        <v/>
      </c>
      <c r="B940" s="150" t="str">
        <f t="shared" si="313"/>
        <v/>
      </c>
      <c r="C940" s="150" t="str">
        <f t="shared" si="314"/>
        <v/>
      </c>
      <c r="D940" s="150" t="str">
        <f>IF(E940="","",Input!$C$4+B940-1)</f>
        <v/>
      </c>
      <c r="E940" s="150" t="str">
        <f>IF(OR(AND(C939=12,D939=Input!$C$6),E939=""),"",1)</f>
        <v/>
      </c>
      <c r="F940" s="150" t="str">
        <f>IF(E940="","",Input!$C$8+B940-1)</f>
        <v/>
      </c>
      <c r="G940" s="151" t="str">
        <f>IF(E940="","",MAX(0,Input!$C$9-B940))</f>
        <v/>
      </c>
      <c r="H940" s="152" t="str">
        <f>IF(E940="","",Input!$C$3)</f>
        <v/>
      </c>
      <c r="I940" s="153" t="str">
        <f>IF(E940="","",HLOOKUP($B940,Input!$C$13:$BT$14,2))</f>
        <v/>
      </c>
      <c r="J940" s="154"/>
      <c r="K940" s="155" t="str">
        <f>IF($E940="","",Input!$C$57)</f>
        <v/>
      </c>
      <c r="L940" s="155" t="str">
        <f t="shared" si="305"/>
        <v/>
      </c>
      <c r="M940" s="147" t="str">
        <f>IF($E940="","",VLOOKUP(IF($B940&lt;=Input!$C$7,$B940,26),'Mortality Tables'!$A$72:$CA$97,IF($B940&lt;=Input!$C$7+1,Input!$C$4-16,$D940-Input!$C$7-16),0)/1000)</f>
        <v/>
      </c>
      <c r="N940" s="147" t="str">
        <f t="shared" si="294"/>
        <v/>
      </c>
      <c r="O940" s="157" t="str">
        <f>IF($E940="","",IF($C940=12,IF($B940&lt;Input!$C$9,Input!$C$54,IF($B940=Input!$C$9,Input!$C$55,Input!$C$56)),0%))</f>
        <v/>
      </c>
      <c r="P940" s="167" t="str">
        <f>IF($E940="","",IF($B940=1,Input!$C$59,IF($B940&lt;6,Input!$C$60,0%)))</f>
        <v/>
      </c>
      <c r="Q940" s="162" t="str">
        <f>IF($E940="","",Input!$C$58)</f>
        <v/>
      </c>
      <c r="R940" s="156" t="str">
        <f t="shared" si="306"/>
        <v/>
      </c>
      <c r="S940" s="154" t="str">
        <f t="shared" si="295"/>
        <v/>
      </c>
      <c r="T940" s="152"/>
      <c r="U940" s="150" t="str">
        <f t="shared" si="307"/>
        <v/>
      </c>
      <c r="V940" s="150" t="str">
        <f t="shared" si="308"/>
        <v/>
      </c>
      <c r="W940" s="168" t="str">
        <f t="shared" si="309"/>
        <v/>
      </c>
      <c r="X940" s="163" t="str">
        <f t="shared" si="296"/>
        <v/>
      </c>
      <c r="Y940" s="152"/>
      <c r="Z940" s="164" t="str">
        <f>IF(AND($C939=12,$D939=Input!$C$6),0,IF($E940="","",V940+Z941/(1+L940)*R940))</f>
        <v/>
      </c>
      <c r="AA940" s="164" t="str">
        <f>IF(OR($M940=1,AND($C939=12,$D939=Input!$C$6)),0,IF($E940="","",W940+(X940+AA941*$R940)/(1+$L940)))</f>
        <v/>
      </c>
      <c r="AB940" s="160" t="str">
        <f t="shared" si="297"/>
        <v/>
      </c>
      <c r="AC940" s="164" t="str">
        <f t="shared" si="298"/>
        <v/>
      </c>
      <c r="AD940" s="164" t="str">
        <f>IF(AND($C939=12,$D939=Input!$C$6),0,IF($E940="","",$AC940+AD941/(1+$L940)*$R940))</f>
        <v/>
      </c>
      <c r="AE940" s="152"/>
      <c r="AF940" s="164" t="str">
        <f>IF(AND($C939=12,$D939=Input!$C$6),0,IF($E940="","",IF($B940&gt;Input!$C$9,$AC940,0)+AF941/(1+$L940)*$R940))</f>
        <v/>
      </c>
      <c r="AG940" s="164" t="str">
        <f>IF(AND($C939=12,$D939=Input!$C$6),0,IF($E940="","",(IF($B940&gt;Input!$C$9,$X940,0)+AG941)/(1+$L940)*$R940))</f>
        <v/>
      </c>
      <c r="AH940" s="160" t="str">
        <f t="shared" si="299"/>
        <v/>
      </c>
      <c r="AI940" s="160" t="str">
        <f>IF($E940="","",MIN(Input!$C$61/AH940,1))</f>
        <v/>
      </c>
      <c r="AJ940" s="152"/>
      <c r="AK940" s="164" t="str">
        <f>IF(AND($C939=12,$D939=Input!$C$6),0,IF($E940="","",IF($B940&gt;Input!$C$9,$AC940*AI940,0)+AK941/(1+$L940)*$R940))</f>
        <v/>
      </c>
      <c r="AL940" s="164" t="str">
        <f>IF(AND($C939=12,$D939=Input!$C$6),0,IF($E940="","",IF($B940&gt;Input!$C$9,0,$AC940)+AL941/(1+$L940)*$R940))</f>
        <v/>
      </c>
      <c r="AM940" s="160" t="str">
        <f t="shared" si="300"/>
        <v/>
      </c>
      <c r="AN940" s="164" t="str">
        <f>IF($E940="","",IF($B940&gt;Input!$C$9,$AI940*$AC940,$AM940*$AC940))</f>
        <v/>
      </c>
      <c r="AO940" s="164" t="str">
        <f>IF(AND($C939=12,$D939=Input!$C$6),0,IF($E940="","",$AN940+AO941/(1+$L940)*$R940))</f>
        <v/>
      </c>
      <c r="AP940" s="152"/>
      <c r="AQ940" s="164" t="str">
        <f t="shared" si="301"/>
        <v/>
      </c>
      <c r="AR940" s="164" t="str">
        <f t="shared" si="310"/>
        <v/>
      </c>
      <c r="AS940" s="164" t="str">
        <f t="shared" si="311"/>
        <v/>
      </c>
      <c r="AT940" s="164" t="str">
        <f t="shared" si="302"/>
        <v/>
      </c>
      <c r="AU940" s="152"/>
      <c r="AV940" s="147" t="str">
        <f>'Deterministic Reserve'!BC940</f>
        <v/>
      </c>
      <c r="AW940" s="164" t="str">
        <f t="shared" si="303"/>
        <v/>
      </c>
      <c r="AX940" s="164" t="str">
        <f t="shared" si="304"/>
        <v/>
      </c>
      <c r="AY940" s="152"/>
    </row>
    <row r="941" spans="1:51" s="150" customFormat="1" x14ac:dyDescent="0.25">
      <c r="A941" s="150" t="str">
        <f t="shared" si="312"/>
        <v/>
      </c>
      <c r="B941" s="150" t="str">
        <f t="shared" si="313"/>
        <v/>
      </c>
      <c r="C941" s="150" t="str">
        <f t="shared" si="314"/>
        <v/>
      </c>
      <c r="D941" s="150" t="str">
        <f>IF(E941="","",Input!$C$4+B941-1)</f>
        <v/>
      </c>
      <c r="E941" s="150" t="str">
        <f>IF(OR(AND(C940=12,D940=Input!$C$6),E940=""),"",1)</f>
        <v/>
      </c>
      <c r="F941" s="150" t="str">
        <f>IF(E941="","",Input!$C$8+B941-1)</f>
        <v/>
      </c>
      <c r="G941" s="151" t="str">
        <f>IF(E941="","",MAX(0,Input!$C$9-B941))</f>
        <v/>
      </c>
      <c r="H941" s="152" t="str">
        <f>IF(E941="","",Input!$C$3)</f>
        <v/>
      </c>
      <c r="I941" s="153" t="str">
        <f>IF(E941="","",HLOOKUP($B941,Input!$C$13:$BT$14,2))</f>
        <v/>
      </c>
      <c r="J941" s="154"/>
      <c r="K941" s="155" t="str">
        <f>IF($E941="","",Input!$C$57)</f>
        <v/>
      </c>
      <c r="L941" s="155" t="str">
        <f t="shared" si="305"/>
        <v/>
      </c>
      <c r="M941" s="147" t="str">
        <f>IF($E941="","",VLOOKUP(IF($B941&lt;=Input!$C$7,$B941,26),'Mortality Tables'!$A$72:$CA$97,IF($B941&lt;=Input!$C$7+1,Input!$C$4-16,$D941-Input!$C$7-16),0)/1000)</f>
        <v/>
      </c>
      <c r="N941" s="147" t="str">
        <f t="shared" si="294"/>
        <v/>
      </c>
      <c r="O941" s="157" t="str">
        <f>IF($E941="","",IF($C941=12,IF($B941&lt;Input!$C$9,Input!$C$54,IF($B941=Input!$C$9,Input!$C$55,Input!$C$56)),0%))</f>
        <v/>
      </c>
      <c r="P941" s="167" t="str">
        <f>IF($E941="","",IF($B941=1,Input!$C$59,IF($B941&lt;6,Input!$C$60,0%)))</f>
        <v/>
      </c>
      <c r="Q941" s="162" t="str">
        <f>IF($E941="","",Input!$C$58)</f>
        <v/>
      </c>
      <c r="R941" s="156" t="str">
        <f t="shared" si="306"/>
        <v/>
      </c>
      <c r="S941" s="154" t="str">
        <f t="shared" si="295"/>
        <v/>
      </c>
      <c r="T941" s="152"/>
      <c r="U941" s="150" t="str">
        <f t="shared" si="307"/>
        <v/>
      </c>
      <c r="V941" s="150" t="str">
        <f t="shared" si="308"/>
        <v/>
      </c>
      <c r="W941" s="168" t="str">
        <f t="shared" si="309"/>
        <v/>
      </c>
      <c r="X941" s="163" t="str">
        <f t="shared" si="296"/>
        <v/>
      </c>
      <c r="Y941" s="152"/>
      <c r="Z941" s="164" t="str">
        <f>IF(AND($C940=12,$D940=Input!$C$6),0,IF($E941="","",V941+Z942/(1+L941)*R941))</f>
        <v/>
      </c>
      <c r="AA941" s="164" t="str">
        <f>IF(OR($M941=1,AND($C940=12,$D940=Input!$C$6)),0,IF($E941="","",W941+(X941+AA942*$R941)/(1+$L941)))</f>
        <v/>
      </c>
      <c r="AB941" s="160" t="str">
        <f t="shared" si="297"/>
        <v/>
      </c>
      <c r="AC941" s="164" t="str">
        <f t="shared" si="298"/>
        <v/>
      </c>
      <c r="AD941" s="164" t="str">
        <f>IF(AND($C940=12,$D940=Input!$C$6),0,IF($E941="","",$AC941+AD942/(1+$L941)*$R941))</f>
        <v/>
      </c>
      <c r="AE941" s="152"/>
      <c r="AF941" s="164" t="str">
        <f>IF(AND($C940=12,$D940=Input!$C$6),0,IF($E941="","",IF($B941&gt;Input!$C$9,$AC941,0)+AF942/(1+$L941)*$R941))</f>
        <v/>
      </c>
      <c r="AG941" s="164" t="str">
        <f>IF(AND($C940=12,$D940=Input!$C$6),0,IF($E941="","",(IF($B941&gt;Input!$C$9,$X941,0)+AG942)/(1+$L941)*$R941))</f>
        <v/>
      </c>
      <c r="AH941" s="160" t="str">
        <f t="shared" si="299"/>
        <v/>
      </c>
      <c r="AI941" s="160" t="str">
        <f>IF($E941="","",MIN(Input!$C$61/AH941,1))</f>
        <v/>
      </c>
      <c r="AJ941" s="152"/>
      <c r="AK941" s="164" t="str">
        <f>IF(AND($C940=12,$D940=Input!$C$6),0,IF($E941="","",IF($B941&gt;Input!$C$9,$AC941*AI941,0)+AK942/(1+$L941)*$R941))</f>
        <v/>
      </c>
      <c r="AL941" s="164" t="str">
        <f>IF(AND($C940=12,$D940=Input!$C$6),0,IF($E941="","",IF($B941&gt;Input!$C$9,0,$AC941)+AL942/(1+$L941)*$R941))</f>
        <v/>
      </c>
      <c r="AM941" s="160" t="str">
        <f t="shared" si="300"/>
        <v/>
      </c>
      <c r="AN941" s="164" t="str">
        <f>IF($E941="","",IF($B941&gt;Input!$C$9,$AI941*$AC941,$AM941*$AC941))</f>
        <v/>
      </c>
      <c r="AO941" s="164" t="str">
        <f>IF(AND($C940=12,$D940=Input!$C$6),0,IF($E941="","",$AN941+AO942/(1+$L941)*$R941))</f>
        <v/>
      </c>
      <c r="AP941" s="152"/>
      <c r="AQ941" s="164" t="str">
        <f t="shared" si="301"/>
        <v/>
      </c>
      <c r="AR941" s="164" t="str">
        <f t="shared" si="310"/>
        <v/>
      </c>
      <c r="AS941" s="164" t="str">
        <f t="shared" si="311"/>
        <v/>
      </c>
      <c r="AT941" s="164" t="str">
        <f t="shared" si="302"/>
        <v/>
      </c>
      <c r="AU941" s="152"/>
      <c r="AV941" s="147" t="str">
        <f>'Deterministic Reserve'!BC941</f>
        <v/>
      </c>
      <c r="AW941" s="164" t="str">
        <f t="shared" si="303"/>
        <v/>
      </c>
      <c r="AX941" s="164" t="str">
        <f t="shared" si="304"/>
        <v/>
      </c>
      <c r="AY941" s="152"/>
    </row>
    <row r="942" spans="1:51" s="150" customFormat="1" x14ac:dyDescent="0.25">
      <c r="A942" s="150" t="str">
        <f t="shared" si="312"/>
        <v/>
      </c>
      <c r="B942" s="150" t="str">
        <f t="shared" si="313"/>
        <v/>
      </c>
      <c r="C942" s="150" t="str">
        <f t="shared" si="314"/>
        <v/>
      </c>
      <c r="D942" s="150" t="str">
        <f>IF(E942="","",Input!$C$4+B942-1)</f>
        <v/>
      </c>
      <c r="E942" s="150" t="str">
        <f>IF(OR(AND(C941=12,D941=Input!$C$6),E941=""),"",1)</f>
        <v/>
      </c>
      <c r="F942" s="150" t="str">
        <f>IF(E942="","",Input!$C$8+B942-1)</f>
        <v/>
      </c>
      <c r="G942" s="151" t="str">
        <f>IF(E942="","",MAX(0,Input!$C$9-B942))</f>
        <v/>
      </c>
      <c r="H942" s="152" t="str">
        <f>IF(E942="","",Input!$C$3)</f>
        <v/>
      </c>
      <c r="I942" s="153" t="str">
        <f>IF(E942="","",HLOOKUP($B942,Input!$C$13:$BT$14,2))</f>
        <v/>
      </c>
      <c r="J942" s="154"/>
      <c r="K942" s="155" t="str">
        <f>IF($E942="","",Input!$C$57)</f>
        <v/>
      </c>
      <c r="L942" s="155" t="str">
        <f t="shared" si="305"/>
        <v/>
      </c>
      <c r="M942" s="147" t="str">
        <f>IF($E942="","",VLOOKUP(IF($B942&lt;=Input!$C$7,$B942,26),'Mortality Tables'!$A$72:$CA$97,IF($B942&lt;=Input!$C$7+1,Input!$C$4-16,$D942-Input!$C$7-16),0)/1000)</f>
        <v/>
      </c>
      <c r="N942" s="147" t="str">
        <f t="shared" si="294"/>
        <v/>
      </c>
      <c r="O942" s="157" t="str">
        <f>IF($E942="","",IF($C942=12,IF($B942&lt;Input!$C$9,Input!$C$54,IF($B942=Input!$C$9,Input!$C$55,Input!$C$56)),0%))</f>
        <v/>
      </c>
      <c r="P942" s="167" t="str">
        <f>IF($E942="","",IF($B942=1,Input!$C$59,IF($B942&lt;6,Input!$C$60,0%)))</f>
        <v/>
      </c>
      <c r="Q942" s="162" t="str">
        <f>IF($E942="","",Input!$C$58)</f>
        <v/>
      </c>
      <c r="R942" s="156" t="str">
        <f t="shared" si="306"/>
        <v/>
      </c>
      <c r="S942" s="154" t="str">
        <f t="shared" si="295"/>
        <v/>
      </c>
      <c r="T942" s="152"/>
      <c r="U942" s="150" t="str">
        <f t="shared" si="307"/>
        <v/>
      </c>
      <c r="V942" s="150" t="str">
        <f t="shared" si="308"/>
        <v/>
      </c>
      <c r="W942" s="168" t="str">
        <f t="shared" si="309"/>
        <v/>
      </c>
      <c r="X942" s="163" t="str">
        <f t="shared" si="296"/>
        <v/>
      </c>
      <c r="Y942" s="152"/>
      <c r="Z942" s="164" t="str">
        <f>IF(AND($C941=12,$D941=Input!$C$6),0,IF($E942="","",V942+Z943/(1+L942)*R942))</f>
        <v/>
      </c>
      <c r="AA942" s="164" t="str">
        <f>IF(OR($M942=1,AND($C941=12,$D941=Input!$C$6)),0,IF($E942="","",W942+(X942+AA943*$R942)/(1+$L942)))</f>
        <v/>
      </c>
      <c r="AB942" s="160" t="str">
        <f t="shared" si="297"/>
        <v/>
      </c>
      <c r="AC942" s="164" t="str">
        <f t="shared" si="298"/>
        <v/>
      </c>
      <c r="AD942" s="164" t="str">
        <f>IF(AND($C941=12,$D941=Input!$C$6),0,IF($E942="","",$AC942+AD943/(1+$L942)*$R942))</f>
        <v/>
      </c>
      <c r="AE942" s="152"/>
      <c r="AF942" s="164" t="str">
        <f>IF(AND($C941=12,$D941=Input!$C$6),0,IF($E942="","",IF($B942&gt;Input!$C$9,$AC942,0)+AF943/(1+$L942)*$R942))</f>
        <v/>
      </c>
      <c r="AG942" s="164" t="str">
        <f>IF(AND($C941=12,$D941=Input!$C$6),0,IF($E942="","",(IF($B942&gt;Input!$C$9,$X942,0)+AG943)/(1+$L942)*$R942))</f>
        <v/>
      </c>
      <c r="AH942" s="160" t="str">
        <f t="shared" si="299"/>
        <v/>
      </c>
      <c r="AI942" s="160" t="str">
        <f>IF($E942="","",MIN(Input!$C$61/AH942,1))</f>
        <v/>
      </c>
      <c r="AJ942" s="152"/>
      <c r="AK942" s="164" t="str">
        <f>IF(AND($C941=12,$D941=Input!$C$6),0,IF($E942="","",IF($B942&gt;Input!$C$9,$AC942*AI942,0)+AK943/(1+$L942)*$R942))</f>
        <v/>
      </c>
      <c r="AL942" s="164" t="str">
        <f>IF(AND($C941=12,$D941=Input!$C$6),0,IF($E942="","",IF($B942&gt;Input!$C$9,0,$AC942)+AL943/(1+$L942)*$R942))</f>
        <v/>
      </c>
      <c r="AM942" s="160" t="str">
        <f t="shared" si="300"/>
        <v/>
      </c>
      <c r="AN942" s="164" t="str">
        <f>IF($E942="","",IF($B942&gt;Input!$C$9,$AI942*$AC942,$AM942*$AC942))</f>
        <v/>
      </c>
      <c r="AO942" s="164" t="str">
        <f>IF(AND($C941=12,$D941=Input!$C$6),0,IF($E942="","",$AN942+AO943/(1+$L942)*$R942))</f>
        <v/>
      </c>
      <c r="AP942" s="152"/>
      <c r="AQ942" s="164" t="str">
        <f t="shared" si="301"/>
        <v/>
      </c>
      <c r="AR942" s="164" t="str">
        <f t="shared" si="310"/>
        <v/>
      </c>
      <c r="AS942" s="164" t="str">
        <f t="shared" si="311"/>
        <v/>
      </c>
      <c r="AT942" s="164" t="str">
        <f t="shared" si="302"/>
        <v/>
      </c>
      <c r="AU942" s="152"/>
      <c r="AV942" s="147" t="str">
        <f>'Deterministic Reserve'!BC942</f>
        <v/>
      </c>
      <c r="AW942" s="164" t="str">
        <f t="shared" si="303"/>
        <v/>
      </c>
      <c r="AX942" s="164" t="str">
        <f t="shared" si="304"/>
        <v/>
      </c>
      <c r="AY942" s="152"/>
    </row>
    <row r="943" spans="1:51" s="150" customFormat="1" x14ac:dyDescent="0.25">
      <c r="A943" s="150" t="str">
        <f t="shared" si="312"/>
        <v/>
      </c>
      <c r="B943" s="150" t="str">
        <f t="shared" si="313"/>
        <v/>
      </c>
      <c r="C943" s="150" t="str">
        <f t="shared" si="314"/>
        <v/>
      </c>
      <c r="D943" s="150" t="str">
        <f>IF(E943="","",Input!$C$4+B943-1)</f>
        <v/>
      </c>
      <c r="E943" s="150" t="str">
        <f>IF(OR(AND(C942=12,D942=Input!$C$6),E942=""),"",1)</f>
        <v/>
      </c>
      <c r="F943" s="150" t="str">
        <f>IF(E943="","",Input!$C$8+B943-1)</f>
        <v/>
      </c>
      <c r="G943" s="151" t="str">
        <f>IF(E943="","",MAX(0,Input!$C$9-B943))</f>
        <v/>
      </c>
      <c r="H943" s="152" t="str">
        <f>IF(E943="","",Input!$C$3)</f>
        <v/>
      </c>
      <c r="I943" s="153" t="str">
        <f>IF(E943="","",HLOOKUP($B943,Input!$C$13:$BT$14,2))</f>
        <v/>
      </c>
      <c r="J943" s="154"/>
      <c r="K943" s="155" t="str">
        <f>IF($E943="","",Input!$C$57)</f>
        <v/>
      </c>
      <c r="L943" s="155" t="str">
        <f t="shared" si="305"/>
        <v/>
      </c>
      <c r="M943" s="147" t="str">
        <f>IF($E943="","",VLOOKUP(IF($B943&lt;=Input!$C$7,$B943,26),'Mortality Tables'!$A$72:$CA$97,IF($B943&lt;=Input!$C$7+1,Input!$C$4-16,$D943-Input!$C$7-16),0)/1000)</f>
        <v/>
      </c>
      <c r="N943" s="147" t="str">
        <f t="shared" si="294"/>
        <v/>
      </c>
      <c r="O943" s="157" t="str">
        <f>IF($E943="","",IF($C943=12,IF($B943&lt;Input!$C$9,Input!$C$54,IF($B943=Input!$C$9,Input!$C$55,Input!$C$56)),0%))</f>
        <v/>
      </c>
      <c r="P943" s="167" t="str">
        <f>IF($E943="","",IF($B943=1,Input!$C$59,IF($B943&lt;6,Input!$C$60,0%)))</f>
        <v/>
      </c>
      <c r="Q943" s="162" t="str">
        <f>IF($E943="","",Input!$C$58)</f>
        <v/>
      </c>
      <c r="R943" s="156" t="str">
        <f t="shared" si="306"/>
        <v/>
      </c>
      <c r="S943" s="154" t="str">
        <f t="shared" si="295"/>
        <v/>
      </c>
      <c r="T943" s="152"/>
      <c r="U943" s="150" t="str">
        <f t="shared" si="307"/>
        <v/>
      </c>
      <c r="V943" s="150" t="str">
        <f t="shared" si="308"/>
        <v/>
      </c>
      <c r="W943" s="168" t="str">
        <f t="shared" si="309"/>
        <v/>
      </c>
      <c r="X943" s="163" t="str">
        <f t="shared" si="296"/>
        <v/>
      </c>
      <c r="Y943" s="152"/>
      <c r="Z943" s="164" t="str">
        <f>IF(AND($C942=12,$D942=Input!$C$6),0,IF($E943="","",V943+Z944/(1+L943)*R943))</f>
        <v/>
      </c>
      <c r="AA943" s="164" t="str">
        <f>IF(OR($M943=1,AND($C942=12,$D942=Input!$C$6)),0,IF($E943="","",W943+(X943+AA944*$R943)/(1+$L943)))</f>
        <v/>
      </c>
      <c r="AB943" s="160" t="str">
        <f t="shared" si="297"/>
        <v/>
      </c>
      <c r="AC943" s="164" t="str">
        <f t="shared" si="298"/>
        <v/>
      </c>
      <c r="AD943" s="164" t="str">
        <f>IF(AND($C942=12,$D942=Input!$C$6),0,IF($E943="","",$AC943+AD944/(1+$L943)*$R943))</f>
        <v/>
      </c>
      <c r="AE943" s="152"/>
      <c r="AF943" s="164" t="str">
        <f>IF(AND($C942=12,$D942=Input!$C$6),0,IF($E943="","",IF($B943&gt;Input!$C$9,$AC943,0)+AF944/(1+$L943)*$R943))</f>
        <v/>
      </c>
      <c r="AG943" s="164" t="str">
        <f>IF(AND($C942=12,$D942=Input!$C$6),0,IF($E943="","",(IF($B943&gt;Input!$C$9,$X943,0)+AG944)/(1+$L943)*$R943))</f>
        <v/>
      </c>
      <c r="AH943" s="160" t="str">
        <f t="shared" si="299"/>
        <v/>
      </c>
      <c r="AI943" s="160" t="str">
        <f>IF($E943="","",MIN(Input!$C$61/AH943,1))</f>
        <v/>
      </c>
      <c r="AJ943" s="152"/>
      <c r="AK943" s="164" t="str">
        <f>IF(AND($C942=12,$D942=Input!$C$6),0,IF($E943="","",IF($B943&gt;Input!$C$9,$AC943*AI943,0)+AK944/(1+$L943)*$R943))</f>
        <v/>
      </c>
      <c r="AL943" s="164" t="str">
        <f>IF(AND($C942=12,$D942=Input!$C$6),0,IF($E943="","",IF($B943&gt;Input!$C$9,0,$AC943)+AL944/(1+$L943)*$R943))</f>
        <v/>
      </c>
      <c r="AM943" s="160" t="str">
        <f t="shared" si="300"/>
        <v/>
      </c>
      <c r="AN943" s="164" t="str">
        <f>IF($E943="","",IF($B943&gt;Input!$C$9,$AI943*$AC943,$AM943*$AC943))</f>
        <v/>
      </c>
      <c r="AO943" s="164" t="str">
        <f>IF(AND($C942=12,$D942=Input!$C$6),0,IF($E943="","",$AN943+AO944/(1+$L943)*$R943))</f>
        <v/>
      </c>
      <c r="AP943" s="152"/>
      <c r="AQ943" s="164" t="str">
        <f t="shared" si="301"/>
        <v/>
      </c>
      <c r="AR943" s="164" t="str">
        <f t="shared" si="310"/>
        <v/>
      </c>
      <c r="AS943" s="164" t="str">
        <f t="shared" si="311"/>
        <v/>
      </c>
      <c r="AT943" s="164" t="str">
        <f t="shared" si="302"/>
        <v/>
      </c>
      <c r="AU943" s="152"/>
      <c r="AV943" s="147" t="str">
        <f>'Deterministic Reserve'!BC943</f>
        <v/>
      </c>
      <c r="AW943" s="164" t="str">
        <f t="shared" si="303"/>
        <v/>
      </c>
      <c r="AX943" s="164" t="str">
        <f t="shared" si="304"/>
        <v/>
      </c>
      <c r="AY943" s="152"/>
    </row>
    <row r="944" spans="1:51" s="150" customFormat="1" x14ac:dyDescent="0.25">
      <c r="A944" s="150" t="str">
        <f t="shared" si="312"/>
        <v/>
      </c>
      <c r="B944" s="150" t="str">
        <f t="shared" si="313"/>
        <v/>
      </c>
      <c r="C944" s="150" t="str">
        <f t="shared" si="314"/>
        <v/>
      </c>
      <c r="D944" s="150" t="str">
        <f>IF(E944="","",Input!$C$4+B944-1)</f>
        <v/>
      </c>
      <c r="E944" s="150" t="str">
        <f>IF(OR(AND(C943=12,D943=Input!$C$6),E943=""),"",1)</f>
        <v/>
      </c>
      <c r="F944" s="150" t="str">
        <f>IF(E944="","",Input!$C$8+B944-1)</f>
        <v/>
      </c>
      <c r="G944" s="151" t="str">
        <f>IF(E944="","",MAX(0,Input!$C$9-B944))</f>
        <v/>
      </c>
      <c r="H944" s="152" t="str">
        <f>IF(E944="","",Input!$C$3)</f>
        <v/>
      </c>
      <c r="I944" s="153" t="str">
        <f>IF(E944="","",HLOOKUP($B944,Input!$C$13:$BT$14,2))</f>
        <v/>
      </c>
      <c r="J944" s="154"/>
      <c r="K944" s="155" t="str">
        <f>IF($E944="","",Input!$C$57)</f>
        <v/>
      </c>
      <c r="L944" s="155" t="str">
        <f t="shared" si="305"/>
        <v/>
      </c>
      <c r="M944" s="147" t="str">
        <f>IF($E944="","",VLOOKUP(IF($B944&lt;=Input!$C$7,$B944,26),'Mortality Tables'!$A$72:$CA$97,IF($B944&lt;=Input!$C$7+1,Input!$C$4-16,$D944-Input!$C$7-16),0)/1000)</f>
        <v/>
      </c>
      <c r="N944" s="147" t="str">
        <f t="shared" si="294"/>
        <v/>
      </c>
      <c r="O944" s="157" t="str">
        <f>IF($E944="","",IF($C944=12,IF($B944&lt;Input!$C$9,Input!$C$54,IF($B944=Input!$C$9,Input!$C$55,Input!$C$56)),0%))</f>
        <v/>
      </c>
      <c r="P944" s="167" t="str">
        <f>IF($E944="","",IF($B944=1,Input!$C$59,IF($B944&lt;6,Input!$C$60,0%)))</f>
        <v/>
      </c>
      <c r="Q944" s="162" t="str">
        <f>IF($E944="","",Input!$C$58)</f>
        <v/>
      </c>
      <c r="R944" s="156" t="str">
        <f t="shared" si="306"/>
        <v/>
      </c>
      <c r="S944" s="154" t="str">
        <f t="shared" si="295"/>
        <v/>
      </c>
      <c r="T944" s="152"/>
      <c r="U944" s="150" t="str">
        <f t="shared" si="307"/>
        <v/>
      </c>
      <c r="V944" s="150" t="str">
        <f t="shared" si="308"/>
        <v/>
      </c>
      <c r="W944" s="168" t="str">
        <f t="shared" si="309"/>
        <v/>
      </c>
      <c r="X944" s="163" t="str">
        <f t="shared" si="296"/>
        <v/>
      </c>
      <c r="Y944" s="152"/>
      <c r="Z944" s="164" t="str">
        <f>IF(AND($C943=12,$D943=Input!$C$6),0,IF($E944="","",V944+Z945/(1+L944)*R944))</f>
        <v/>
      </c>
      <c r="AA944" s="164" t="str">
        <f>IF(OR($M944=1,AND($C943=12,$D943=Input!$C$6)),0,IF($E944="","",W944+(X944+AA945*$R944)/(1+$L944)))</f>
        <v/>
      </c>
      <c r="AB944" s="160" t="str">
        <f t="shared" si="297"/>
        <v/>
      </c>
      <c r="AC944" s="164" t="str">
        <f t="shared" si="298"/>
        <v/>
      </c>
      <c r="AD944" s="164" t="str">
        <f>IF(AND($C943=12,$D943=Input!$C$6),0,IF($E944="","",$AC944+AD945/(1+$L944)*$R944))</f>
        <v/>
      </c>
      <c r="AE944" s="152"/>
      <c r="AF944" s="164" t="str">
        <f>IF(AND($C943=12,$D943=Input!$C$6),0,IF($E944="","",IF($B944&gt;Input!$C$9,$AC944,0)+AF945/(1+$L944)*$R944))</f>
        <v/>
      </c>
      <c r="AG944" s="164" t="str">
        <f>IF(AND($C943=12,$D943=Input!$C$6),0,IF($E944="","",(IF($B944&gt;Input!$C$9,$X944,0)+AG945)/(1+$L944)*$R944))</f>
        <v/>
      </c>
      <c r="AH944" s="160" t="str">
        <f t="shared" si="299"/>
        <v/>
      </c>
      <c r="AI944" s="160" t="str">
        <f>IF($E944="","",MIN(Input!$C$61/AH944,1))</f>
        <v/>
      </c>
      <c r="AJ944" s="152"/>
      <c r="AK944" s="164" t="str">
        <f>IF(AND($C943=12,$D943=Input!$C$6),0,IF($E944="","",IF($B944&gt;Input!$C$9,$AC944*AI944,0)+AK945/(1+$L944)*$R944))</f>
        <v/>
      </c>
      <c r="AL944" s="164" t="str">
        <f>IF(AND($C943=12,$D943=Input!$C$6),0,IF($E944="","",IF($B944&gt;Input!$C$9,0,$AC944)+AL945/(1+$L944)*$R944))</f>
        <v/>
      </c>
      <c r="AM944" s="160" t="str">
        <f t="shared" si="300"/>
        <v/>
      </c>
      <c r="AN944" s="164" t="str">
        <f>IF($E944="","",IF($B944&gt;Input!$C$9,$AI944*$AC944,$AM944*$AC944))</f>
        <v/>
      </c>
      <c r="AO944" s="164" t="str">
        <f>IF(AND($C943=12,$D943=Input!$C$6),0,IF($E944="","",$AN944+AO945/(1+$L944)*$R944))</f>
        <v/>
      </c>
      <c r="AP944" s="152"/>
      <c r="AQ944" s="164" t="str">
        <f t="shared" si="301"/>
        <v/>
      </c>
      <c r="AR944" s="164" t="str">
        <f t="shared" si="310"/>
        <v/>
      </c>
      <c r="AS944" s="164" t="str">
        <f t="shared" si="311"/>
        <v/>
      </c>
      <c r="AT944" s="164" t="str">
        <f t="shared" si="302"/>
        <v/>
      </c>
      <c r="AU944" s="152"/>
      <c r="AV944" s="147" t="str">
        <f>'Deterministic Reserve'!BC944</f>
        <v/>
      </c>
      <c r="AW944" s="164" t="str">
        <f t="shared" si="303"/>
        <v/>
      </c>
      <c r="AX944" s="164" t="str">
        <f t="shared" si="304"/>
        <v/>
      </c>
      <c r="AY944" s="152"/>
    </row>
    <row r="945" spans="1:51" s="150" customFormat="1" x14ac:dyDescent="0.25">
      <c r="A945" s="150" t="str">
        <f t="shared" si="312"/>
        <v/>
      </c>
      <c r="B945" s="150" t="str">
        <f t="shared" si="313"/>
        <v/>
      </c>
      <c r="C945" s="150" t="str">
        <f t="shared" si="314"/>
        <v/>
      </c>
      <c r="D945" s="150" t="str">
        <f>IF(E945="","",Input!$C$4+B945-1)</f>
        <v/>
      </c>
      <c r="E945" s="150" t="str">
        <f>IF(OR(AND(C944=12,D944=Input!$C$6),E944=""),"",1)</f>
        <v/>
      </c>
      <c r="F945" s="150" t="str">
        <f>IF(E945="","",Input!$C$8+B945-1)</f>
        <v/>
      </c>
      <c r="G945" s="151" t="str">
        <f>IF(E945="","",MAX(0,Input!$C$9-B945))</f>
        <v/>
      </c>
      <c r="H945" s="152" t="str">
        <f>IF(E945="","",Input!$C$3)</f>
        <v/>
      </c>
      <c r="I945" s="153" t="str">
        <f>IF(E945="","",HLOOKUP($B945,Input!$C$13:$BT$14,2))</f>
        <v/>
      </c>
      <c r="J945" s="154"/>
      <c r="K945" s="155" t="str">
        <f>IF($E945="","",Input!$C$57)</f>
        <v/>
      </c>
      <c r="L945" s="155" t="str">
        <f t="shared" si="305"/>
        <v/>
      </c>
      <c r="M945" s="147" t="str">
        <f>IF($E945="","",VLOOKUP(IF($B945&lt;=Input!$C$7,$B945,26),'Mortality Tables'!$A$72:$CA$97,IF($B945&lt;=Input!$C$7+1,Input!$C$4-16,$D945-Input!$C$7-16),0)/1000)</f>
        <v/>
      </c>
      <c r="N945" s="147" t="str">
        <f t="shared" si="294"/>
        <v/>
      </c>
      <c r="O945" s="157" t="str">
        <f>IF($E945="","",IF($C945=12,IF($B945&lt;Input!$C$9,Input!$C$54,IF($B945=Input!$C$9,Input!$C$55,Input!$C$56)),0%))</f>
        <v/>
      </c>
      <c r="P945" s="167" t="str">
        <f>IF($E945="","",IF($B945=1,Input!$C$59,IF($B945&lt;6,Input!$C$60,0%)))</f>
        <v/>
      </c>
      <c r="Q945" s="162" t="str">
        <f>IF($E945="","",Input!$C$58)</f>
        <v/>
      </c>
      <c r="R945" s="156" t="str">
        <f t="shared" si="306"/>
        <v/>
      </c>
      <c r="S945" s="154" t="str">
        <f t="shared" si="295"/>
        <v/>
      </c>
      <c r="T945" s="152"/>
      <c r="U945" s="150" t="str">
        <f t="shared" si="307"/>
        <v/>
      </c>
      <c r="V945" s="150" t="str">
        <f t="shared" si="308"/>
        <v/>
      </c>
      <c r="W945" s="168" t="str">
        <f t="shared" si="309"/>
        <v/>
      </c>
      <c r="X945" s="163" t="str">
        <f t="shared" si="296"/>
        <v/>
      </c>
      <c r="Y945" s="152"/>
      <c r="Z945" s="164" t="str">
        <f>IF(AND($C944=12,$D944=Input!$C$6),0,IF($E945="","",V945+Z946/(1+L945)*R945))</f>
        <v/>
      </c>
      <c r="AA945" s="164" t="str">
        <f>IF(OR($M945=1,AND($C944=12,$D944=Input!$C$6)),0,IF($E945="","",W945+(X945+AA946*$R945)/(1+$L945)))</f>
        <v/>
      </c>
      <c r="AB945" s="160" t="str">
        <f t="shared" si="297"/>
        <v/>
      </c>
      <c r="AC945" s="164" t="str">
        <f t="shared" si="298"/>
        <v/>
      </c>
      <c r="AD945" s="164" t="str">
        <f>IF(AND($C944=12,$D944=Input!$C$6),0,IF($E945="","",$AC945+AD946/(1+$L945)*$R945))</f>
        <v/>
      </c>
      <c r="AE945" s="152"/>
      <c r="AF945" s="164" t="str">
        <f>IF(AND($C944=12,$D944=Input!$C$6),0,IF($E945="","",IF($B945&gt;Input!$C$9,$AC945,0)+AF946/(1+$L945)*$R945))</f>
        <v/>
      </c>
      <c r="AG945" s="164" t="str">
        <f>IF(AND($C944=12,$D944=Input!$C$6),0,IF($E945="","",(IF($B945&gt;Input!$C$9,$X945,0)+AG946)/(1+$L945)*$R945))</f>
        <v/>
      </c>
      <c r="AH945" s="160" t="str">
        <f t="shared" si="299"/>
        <v/>
      </c>
      <c r="AI945" s="160" t="str">
        <f>IF($E945="","",MIN(Input!$C$61/AH945,1))</f>
        <v/>
      </c>
      <c r="AJ945" s="152"/>
      <c r="AK945" s="164" t="str">
        <f>IF(AND($C944=12,$D944=Input!$C$6),0,IF($E945="","",IF($B945&gt;Input!$C$9,$AC945*AI945,0)+AK946/(1+$L945)*$R945))</f>
        <v/>
      </c>
      <c r="AL945" s="164" t="str">
        <f>IF(AND($C944=12,$D944=Input!$C$6),0,IF($E945="","",IF($B945&gt;Input!$C$9,0,$AC945)+AL946/(1+$L945)*$R945))</f>
        <v/>
      </c>
      <c r="AM945" s="160" t="str">
        <f t="shared" si="300"/>
        <v/>
      </c>
      <c r="AN945" s="164" t="str">
        <f>IF($E945="","",IF($B945&gt;Input!$C$9,$AI945*$AC945,$AM945*$AC945))</f>
        <v/>
      </c>
      <c r="AO945" s="164" t="str">
        <f>IF(AND($C944=12,$D944=Input!$C$6),0,IF($E945="","",$AN945+AO946/(1+$L945)*$R945))</f>
        <v/>
      </c>
      <c r="AP945" s="152"/>
      <c r="AQ945" s="164" t="str">
        <f t="shared" si="301"/>
        <v/>
      </c>
      <c r="AR945" s="164" t="str">
        <f t="shared" si="310"/>
        <v/>
      </c>
      <c r="AS945" s="164" t="str">
        <f t="shared" si="311"/>
        <v/>
      </c>
      <c r="AT945" s="164" t="str">
        <f t="shared" si="302"/>
        <v/>
      </c>
      <c r="AU945" s="152"/>
      <c r="AV945" s="147" t="str">
        <f>'Deterministic Reserve'!BC945</f>
        <v/>
      </c>
      <c r="AW945" s="164" t="str">
        <f t="shared" si="303"/>
        <v/>
      </c>
      <c r="AX945" s="164" t="str">
        <f t="shared" si="304"/>
        <v/>
      </c>
      <c r="AY945" s="152"/>
    </row>
    <row r="946" spans="1:51" s="150" customFormat="1" x14ac:dyDescent="0.25">
      <c r="A946" s="150" t="str">
        <f t="shared" si="312"/>
        <v/>
      </c>
      <c r="B946" s="150" t="str">
        <f t="shared" si="313"/>
        <v/>
      </c>
      <c r="C946" s="150" t="str">
        <f t="shared" si="314"/>
        <v/>
      </c>
      <c r="D946" s="150" t="str">
        <f>IF(E946="","",Input!$C$4+B946-1)</f>
        <v/>
      </c>
      <c r="E946" s="150" t="str">
        <f>IF(OR(AND(C945=12,D945=Input!$C$6),E945=""),"",1)</f>
        <v/>
      </c>
      <c r="F946" s="150" t="str">
        <f>IF(E946="","",Input!$C$8+B946-1)</f>
        <v/>
      </c>
      <c r="G946" s="151" t="str">
        <f>IF(E946="","",MAX(0,Input!$C$9-B946))</f>
        <v/>
      </c>
      <c r="H946" s="152" t="str">
        <f>IF(E946="","",Input!$C$3)</f>
        <v/>
      </c>
      <c r="I946" s="153" t="str">
        <f>IF(E946="","",HLOOKUP($B946,Input!$C$13:$BT$14,2))</f>
        <v/>
      </c>
      <c r="J946" s="154"/>
      <c r="K946" s="155" t="str">
        <f>IF($E946="","",Input!$C$57)</f>
        <v/>
      </c>
      <c r="L946" s="155" t="str">
        <f t="shared" si="305"/>
        <v/>
      </c>
      <c r="M946" s="147" t="str">
        <f>IF($E946="","",VLOOKUP(IF($B946&lt;=Input!$C$7,$B946,26),'Mortality Tables'!$A$72:$CA$97,IF($B946&lt;=Input!$C$7+1,Input!$C$4-16,$D946-Input!$C$7-16),0)/1000)</f>
        <v/>
      </c>
      <c r="N946" s="147" t="str">
        <f t="shared" si="294"/>
        <v/>
      </c>
      <c r="O946" s="157" t="str">
        <f>IF($E946="","",IF($C946=12,IF($B946&lt;Input!$C$9,Input!$C$54,IF($B946=Input!$C$9,Input!$C$55,Input!$C$56)),0%))</f>
        <v/>
      </c>
      <c r="P946" s="167" t="str">
        <f>IF($E946="","",IF($B946=1,Input!$C$59,IF($B946&lt;6,Input!$C$60,0%)))</f>
        <v/>
      </c>
      <c r="Q946" s="162" t="str">
        <f>IF($E946="","",Input!$C$58)</f>
        <v/>
      </c>
      <c r="R946" s="156" t="str">
        <f t="shared" si="306"/>
        <v/>
      </c>
      <c r="S946" s="154" t="str">
        <f t="shared" si="295"/>
        <v/>
      </c>
      <c r="T946" s="152"/>
      <c r="U946" s="150" t="str">
        <f t="shared" si="307"/>
        <v/>
      </c>
      <c r="V946" s="150" t="str">
        <f t="shared" si="308"/>
        <v/>
      </c>
      <c r="W946" s="168" t="str">
        <f t="shared" si="309"/>
        <v/>
      </c>
      <c r="X946" s="163" t="str">
        <f t="shared" si="296"/>
        <v/>
      </c>
      <c r="Y946" s="152"/>
      <c r="Z946" s="164" t="str">
        <f>IF(AND($C945=12,$D945=Input!$C$6),0,IF($E946="","",V946+Z947/(1+L946)*R946))</f>
        <v/>
      </c>
      <c r="AA946" s="164" t="str">
        <f>IF(OR($M946=1,AND($C945=12,$D945=Input!$C$6)),0,IF($E946="","",W946+(X946+AA947*$R946)/(1+$L946)))</f>
        <v/>
      </c>
      <c r="AB946" s="160" t="str">
        <f t="shared" si="297"/>
        <v/>
      </c>
      <c r="AC946" s="164" t="str">
        <f t="shared" si="298"/>
        <v/>
      </c>
      <c r="AD946" s="164" t="str">
        <f>IF(AND($C945=12,$D945=Input!$C$6),0,IF($E946="","",$AC946+AD947/(1+$L946)*$R946))</f>
        <v/>
      </c>
      <c r="AE946" s="152"/>
      <c r="AF946" s="164" t="str">
        <f>IF(AND($C945=12,$D945=Input!$C$6),0,IF($E946="","",IF($B946&gt;Input!$C$9,$AC946,0)+AF947/(1+$L946)*$R946))</f>
        <v/>
      </c>
      <c r="AG946" s="164" t="str">
        <f>IF(AND($C945=12,$D945=Input!$C$6),0,IF($E946="","",(IF($B946&gt;Input!$C$9,$X946,0)+AG947)/(1+$L946)*$R946))</f>
        <v/>
      </c>
      <c r="AH946" s="160" t="str">
        <f t="shared" si="299"/>
        <v/>
      </c>
      <c r="AI946" s="160" t="str">
        <f>IF($E946="","",MIN(Input!$C$61/AH946,1))</f>
        <v/>
      </c>
      <c r="AJ946" s="152"/>
      <c r="AK946" s="164" t="str">
        <f>IF(AND($C945=12,$D945=Input!$C$6),0,IF($E946="","",IF($B946&gt;Input!$C$9,$AC946*AI946,0)+AK947/(1+$L946)*$R946))</f>
        <v/>
      </c>
      <c r="AL946" s="164" t="str">
        <f>IF(AND($C945=12,$D945=Input!$C$6),0,IF($E946="","",IF($B946&gt;Input!$C$9,0,$AC946)+AL947/(1+$L946)*$R946))</f>
        <v/>
      </c>
      <c r="AM946" s="160" t="str">
        <f t="shared" si="300"/>
        <v/>
      </c>
      <c r="AN946" s="164" t="str">
        <f>IF($E946="","",IF($B946&gt;Input!$C$9,$AI946*$AC946,$AM946*$AC946))</f>
        <v/>
      </c>
      <c r="AO946" s="164" t="str">
        <f>IF(AND($C945=12,$D945=Input!$C$6),0,IF($E946="","",$AN946+AO947/(1+$L946)*$R946))</f>
        <v/>
      </c>
      <c r="AP946" s="152"/>
      <c r="AQ946" s="164" t="str">
        <f t="shared" si="301"/>
        <v/>
      </c>
      <c r="AR946" s="164" t="str">
        <f t="shared" si="310"/>
        <v/>
      </c>
      <c r="AS946" s="164" t="str">
        <f t="shared" si="311"/>
        <v/>
      </c>
      <c r="AT946" s="164" t="str">
        <f t="shared" si="302"/>
        <v/>
      </c>
      <c r="AU946" s="152"/>
      <c r="AV946" s="147" t="str">
        <f>'Deterministic Reserve'!BC946</f>
        <v/>
      </c>
      <c r="AW946" s="164" t="str">
        <f t="shared" si="303"/>
        <v/>
      </c>
      <c r="AX946" s="164" t="str">
        <f t="shared" si="304"/>
        <v/>
      </c>
      <c r="AY946" s="152"/>
    </row>
    <row r="947" spans="1:51" s="150" customFormat="1" x14ac:dyDescent="0.25">
      <c r="A947" s="150" t="str">
        <f t="shared" si="312"/>
        <v/>
      </c>
      <c r="B947" s="150" t="str">
        <f t="shared" si="313"/>
        <v/>
      </c>
      <c r="C947" s="150" t="str">
        <f t="shared" si="314"/>
        <v/>
      </c>
      <c r="D947" s="150" t="str">
        <f>IF(E947="","",Input!$C$4+B947-1)</f>
        <v/>
      </c>
      <c r="E947" s="150" t="str">
        <f>IF(OR(AND(C946=12,D946=Input!$C$6),E946=""),"",1)</f>
        <v/>
      </c>
      <c r="F947" s="150" t="str">
        <f>IF(E947="","",Input!$C$8+B947-1)</f>
        <v/>
      </c>
      <c r="G947" s="151" t="str">
        <f>IF(E947="","",MAX(0,Input!$C$9-B947))</f>
        <v/>
      </c>
      <c r="H947" s="152" t="str">
        <f>IF(E947="","",Input!$C$3)</f>
        <v/>
      </c>
      <c r="I947" s="153" t="str">
        <f>IF(E947="","",HLOOKUP($B947,Input!$C$13:$BT$14,2))</f>
        <v/>
      </c>
      <c r="J947" s="154"/>
      <c r="K947" s="155" t="str">
        <f>IF($E947="","",Input!$C$57)</f>
        <v/>
      </c>
      <c r="L947" s="155" t="str">
        <f t="shared" si="305"/>
        <v/>
      </c>
      <c r="M947" s="147" t="str">
        <f>IF($E947="","",VLOOKUP(IF($B947&lt;=Input!$C$7,$B947,26),'Mortality Tables'!$A$72:$CA$97,IF($B947&lt;=Input!$C$7+1,Input!$C$4-16,$D947-Input!$C$7-16),0)/1000)</f>
        <v/>
      </c>
      <c r="N947" s="147" t="str">
        <f t="shared" si="294"/>
        <v/>
      </c>
      <c r="O947" s="157" t="str">
        <f>IF($E947="","",IF($C947=12,IF($B947&lt;Input!$C$9,Input!$C$54,IF($B947=Input!$C$9,Input!$C$55,Input!$C$56)),0%))</f>
        <v/>
      </c>
      <c r="P947" s="167" t="str">
        <f>IF($E947="","",IF($B947=1,Input!$C$59,IF($B947&lt;6,Input!$C$60,0%)))</f>
        <v/>
      </c>
      <c r="Q947" s="162" t="str">
        <f>IF($E947="","",Input!$C$58)</f>
        <v/>
      </c>
      <c r="R947" s="156" t="str">
        <f t="shared" si="306"/>
        <v/>
      </c>
      <c r="S947" s="154" t="str">
        <f t="shared" si="295"/>
        <v/>
      </c>
      <c r="T947" s="152"/>
      <c r="U947" s="150" t="str">
        <f t="shared" si="307"/>
        <v/>
      </c>
      <c r="V947" s="150" t="str">
        <f t="shared" si="308"/>
        <v/>
      </c>
      <c r="W947" s="168" t="str">
        <f t="shared" si="309"/>
        <v/>
      </c>
      <c r="X947" s="163" t="str">
        <f t="shared" si="296"/>
        <v/>
      </c>
      <c r="Y947" s="152"/>
      <c r="Z947" s="164" t="str">
        <f>IF(AND($C946=12,$D946=Input!$C$6),0,IF($E947="","",V947+Z948/(1+L947)*R947))</f>
        <v/>
      </c>
      <c r="AA947" s="164" t="str">
        <f>IF(OR($M947=1,AND($C946=12,$D946=Input!$C$6)),0,IF($E947="","",W947+(X947+AA948*$R947)/(1+$L947)))</f>
        <v/>
      </c>
      <c r="AB947" s="160" t="str">
        <f t="shared" si="297"/>
        <v/>
      </c>
      <c r="AC947" s="164" t="str">
        <f t="shared" si="298"/>
        <v/>
      </c>
      <c r="AD947" s="164" t="str">
        <f>IF(AND($C946=12,$D946=Input!$C$6),0,IF($E947="","",$AC947+AD948/(1+$L947)*$R947))</f>
        <v/>
      </c>
      <c r="AE947" s="152"/>
      <c r="AF947" s="164" t="str">
        <f>IF(AND($C946=12,$D946=Input!$C$6),0,IF($E947="","",IF($B947&gt;Input!$C$9,$AC947,0)+AF948/(1+$L947)*$R947))</f>
        <v/>
      </c>
      <c r="AG947" s="164" t="str">
        <f>IF(AND($C946=12,$D946=Input!$C$6),0,IF($E947="","",(IF($B947&gt;Input!$C$9,$X947,0)+AG948)/(1+$L947)*$R947))</f>
        <v/>
      </c>
      <c r="AH947" s="160" t="str">
        <f t="shared" si="299"/>
        <v/>
      </c>
      <c r="AI947" s="160" t="str">
        <f>IF($E947="","",MIN(Input!$C$61/AH947,1))</f>
        <v/>
      </c>
      <c r="AJ947" s="152"/>
      <c r="AK947" s="164" t="str">
        <f>IF(AND($C946=12,$D946=Input!$C$6),0,IF($E947="","",IF($B947&gt;Input!$C$9,$AC947*AI947,0)+AK948/(1+$L947)*$R947))</f>
        <v/>
      </c>
      <c r="AL947" s="164" t="str">
        <f>IF(AND($C946=12,$D946=Input!$C$6),0,IF($E947="","",IF($B947&gt;Input!$C$9,0,$AC947)+AL948/(1+$L947)*$R947))</f>
        <v/>
      </c>
      <c r="AM947" s="160" t="str">
        <f t="shared" si="300"/>
        <v/>
      </c>
      <c r="AN947" s="164" t="str">
        <f>IF($E947="","",IF($B947&gt;Input!$C$9,$AI947*$AC947,$AM947*$AC947))</f>
        <v/>
      </c>
      <c r="AO947" s="164" t="str">
        <f>IF(AND($C946=12,$D946=Input!$C$6),0,IF($E947="","",$AN947+AO948/(1+$L947)*$R947))</f>
        <v/>
      </c>
      <c r="AP947" s="152"/>
      <c r="AQ947" s="164" t="str">
        <f t="shared" si="301"/>
        <v/>
      </c>
      <c r="AR947" s="164" t="str">
        <f t="shared" si="310"/>
        <v/>
      </c>
      <c r="AS947" s="164" t="str">
        <f t="shared" si="311"/>
        <v/>
      </c>
      <c r="AT947" s="164" t="str">
        <f t="shared" si="302"/>
        <v/>
      </c>
      <c r="AU947" s="152"/>
      <c r="AV947" s="147" t="str">
        <f>'Deterministic Reserve'!BC947</f>
        <v/>
      </c>
      <c r="AW947" s="164" t="str">
        <f t="shared" si="303"/>
        <v/>
      </c>
      <c r="AX947" s="164" t="str">
        <f t="shared" si="304"/>
        <v/>
      </c>
      <c r="AY947" s="152"/>
    </row>
    <row r="948" spans="1:51" s="150" customFormat="1" x14ac:dyDescent="0.25">
      <c r="A948" s="150" t="str">
        <f t="shared" si="312"/>
        <v/>
      </c>
      <c r="B948" s="150" t="str">
        <f t="shared" si="313"/>
        <v/>
      </c>
      <c r="C948" s="150" t="str">
        <f t="shared" si="314"/>
        <v/>
      </c>
      <c r="D948" s="150" t="str">
        <f>IF(E948="","",Input!$C$4+B948-1)</f>
        <v/>
      </c>
      <c r="E948" s="150" t="str">
        <f>IF(OR(AND(C947=12,D947=Input!$C$6),E947=""),"",1)</f>
        <v/>
      </c>
      <c r="F948" s="150" t="str">
        <f>IF(E948="","",Input!$C$8+B948-1)</f>
        <v/>
      </c>
      <c r="G948" s="151" t="str">
        <f>IF(E948="","",MAX(0,Input!$C$9-B948))</f>
        <v/>
      </c>
      <c r="H948" s="152" t="str">
        <f>IF(E948="","",Input!$C$3)</f>
        <v/>
      </c>
      <c r="I948" s="153" t="str">
        <f>IF(E948="","",HLOOKUP($B948,Input!$C$13:$BT$14,2))</f>
        <v/>
      </c>
      <c r="J948" s="154"/>
      <c r="K948" s="155" t="str">
        <f>IF($E948="","",Input!$C$57)</f>
        <v/>
      </c>
      <c r="L948" s="155" t="str">
        <f t="shared" si="305"/>
        <v/>
      </c>
      <c r="M948" s="147" t="str">
        <f>IF($E948="","",VLOOKUP(IF($B948&lt;=Input!$C$7,$B948,26),'Mortality Tables'!$A$72:$CA$97,IF($B948&lt;=Input!$C$7+1,Input!$C$4-16,$D948-Input!$C$7-16),0)/1000)</f>
        <v/>
      </c>
      <c r="N948" s="147" t="str">
        <f t="shared" si="294"/>
        <v/>
      </c>
      <c r="O948" s="157" t="str">
        <f>IF($E948="","",IF($C948=12,IF($B948&lt;Input!$C$9,Input!$C$54,IF($B948=Input!$C$9,Input!$C$55,Input!$C$56)),0%))</f>
        <v/>
      </c>
      <c r="P948" s="167" t="str">
        <f>IF($E948="","",IF($B948=1,Input!$C$59,IF($B948&lt;6,Input!$C$60,0%)))</f>
        <v/>
      </c>
      <c r="Q948" s="162" t="str">
        <f>IF($E948="","",Input!$C$58)</f>
        <v/>
      </c>
      <c r="R948" s="156" t="str">
        <f t="shared" si="306"/>
        <v/>
      </c>
      <c r="S948" s="154" t="str">
        <f t="shared" si="295"/>
        <v/>
      </c>
      <c r="T948" s="152"/>
      <c r="U948" s="150" t="str">
        <f t="shared" si="307"/>
        <v/>
      </c>
      <c r="V948" s="150" t="str">
        <f t="shared" si="308"/>
        <v/>
      </c>
      <c r="W948" s="168" t="str">
        <f t="shared" si="309"/>
        <v/>
      </c>
      <c r="X948" s="163" t="str">
        <f t="shared" si="296"/>
        <v/>
      </c>
      <c r="Y948" s="152"/>
      <c r="Z948" s="164" t="str">
        <f>IF(AND($C947=12,$D947=Input!$C$6),0,IF($E948="","",V948+Z949/(1+L948)*R948))</f>
        <v/>
      </c>
      <c r="AA948" s="164" t="str">
        <f>IF(OR($M948=1,AND($C947=12,$D947=Input!$C$6)),0,IF($E948="","",W948+(X948+AA949*$R948)/(1+$L948)))</f>
        <v/>
      </c>
      <c r="AB948" s="160" t="str">
        <f t="shared" si="297"/>
        <v/>
      </c>
      <c r="AC948" s="164" t="str">
        <f t="shared" si="298"/>
        <v/>
      </c>
      <c r="AD948" s="164" t="str">
        <f>IF(AND($C947=12,$D947=Input!$C$6),0,IF($E948="","",$AC948+AD949/(1+$L948)*$R948))</f>
        <v/>
      </c>
      <c r="AE948" s="152"/>
      <c r="AF948" s="164" t="str">
        <f>IF(AND($C947=12,$D947=Input!$C$6),0,IF($E948="","",IF($B948&gt;Input!$C$9,$AC948,0)+AF949/(1+$L948)*$R948))</f>
        <v/>
      </c>
      <c r="AG948" s="164" t="str">
        <f>IF(AND($C947=12,$D947=Input!$C$6),0,IF($E948="","",(IF($B948&gt;Input!$C$9,$X948,0)+AG949)/(1+$L948)*$R948))</f>
        <v/>
      </c>
      <c r="AH948" s="160" t="str">
        <f t="shared" si="299"/>
        <v/>
      </c>
      <c r="AI948" s="160" t="str">
        <f>IF($E948="","",MIN(Input!$C$61/AH948,1))</f>
        <v/>
      </c>
      <c r="AJ948" s="152"/>
      <c r="AK948" s="164" t="str">
        <f>IF(AND($C947=12,$D947=Input!$C$6),0,IF($E948="","",IF($B948&gt;Input!$C$9,$AC948*AI948,0)+AK949/(1+$L948)*$R948))</f>
        <v/>
      </c>
      <c r="AL948" s="164" t="str">
        <f>IF(AND($C947=12,$D947=Input!$C$6),0,IF($E948="","",IF($B948&gt;Input!$C$9,0,$AC948)+AL949/(1+$L948)*$R948))</f>
        <v/>
      </c>
      <c r="AM948" s="160" t="str">
        <f t="shared" si="300"/>
        <v/>
      </c>
      <c r="AN948" s="164" t="str">
        <f>IF($E948="","",IF($B948&gt;Input!$C$9,$AI948*$AC948,$AM948*$AC948))</f>
        <v/>
      </c>
      <c r="AO948" s="164" t="str">
        <f>IF(AND($C947=12,$D947=Input!$C$6),0,IF($E948="","",$AN948+AO949/(1+$L948)*$R948))</f>
        <v/>
      </c>
      <c r="AP948" s="152"/>
      <c r="AQ948" s="164" t="str">
        <f t="shared" si="301"/>
        <v/>
      </c>
      <c r="AR948" s="164" t="str">
        <f t="shared" si="310"/>
        <v/>
      </c>
      <c r="AS948" s="164" t="str">
        <f t="shared" si="311"/>
        <v/>
      </c>
      <c r="AT948" s="164" t="str">
        <f t="shared" si="302"/>
        <v/>
      </c>
      <c r="AU948" s="152"/>
      <c r="AV948" s="147" t="str">
        <f>'Deterministic Reserve'!BC948</f>
        <v/>
      </c>
      <c r="AW948" s="164" t="str">
        <f t="shared" si="303"/>
        <v/>
      </c>
      <c r="AX948" s="164" t="str">
        <f t="shared" si="304"/>
        <v/>
      </c>
      <c r="AY948" s="152"/>
    </row>
    <row r="949" spans="1:51" s="150" customFormat="1" x14ac:dyDescent="0.25">
      <c r="A949" s="150" t="str">
        <f t="shared" si="312"/>
        <v/>
      </c>
      <c r="B949" s="150" t="str">
        <f t="shared" si="313"/>
        <v/>
      </c>
      <c r="C949" s="150" t="str">
        <f t="shared" si="314"/>
        <v/>
      </c>
      <c r="D949" s="150" t="str">
        <f>IF(E949="","",Input!$C$4+B949-1)</f>
        <v/>
      </c>
      <c r="E949" s="150" t="str">
        <f>IF(OR(AND(C948=12,D948=Input!$C$6),E948=""),"",1)</f>
        <v/>
      </c>
      <c r="F949" s="150" t="str">
        <f>IF(E949="","",Input!$C$8+B949-1)</f>
        <v/>
      </c>
      <c r="G949" s="151" t="str">
        <f>IF(E949="","",MAX(0,Input!$C$9-B949))</f>
        <v/>
      </c>
      <c r="H949" s="152" t="str">
        <f>IF(E949="","",Input!$C$3)</f>
        <v/>
      </c>
      <c r="I949" s="153" t="str">
        <f>IF(E949="","",HLOOKUP($B949,Input!$C$13:$BT$14,2))</f>
        <v/>
      </c>
      <c r="J949" s="154"/>
      <c r="K949" s="155" t="str">
        <f>IF($E949="","",Input!$C$57)</f>
        <v/>
      </c>
      <c r="L949" s="155" t="str">
        <f t="shared" si="305"/>
        <v/>
      </c>
      <c r="M949" s="147" t="str">
        <f>IF($E949="","",VLOOKUP(IF($B949&lt;=Input!$C$7,$B949,26),'Mortality Tables'!$A$72:$CA$97,IF($B949&lt;=Input!$C$7+1,Input!$C$4-16,$D949-Input!$C$7-16),0)/1000)</f>
        <v/>
      </c>
      <c r="N949" s="147" t="str">
        <f t="shared" si="294"/>
        <v/>
      </c>
      <c r="O949" s="157" t="str">
        <f>IF($E949="","",IF($C949=12,IF($B949&lt;Input!$C$9,Input!$C$54,IF($B949=Input!$C$9,Input!$C$55,Input!$C$56)),0%))</f>
        <v/>
      </c>
      <c r="P949" s="167" t="str">
        <f>IF($E949="","",IF($B949=1,Input!$C$59,IF($B949&lt;6,Input!$C$60,0%)))</f>
        <v/>
      </c>
      <c r="Q949" s="162" t="str">
        <f>IF($E949="","",Input!$C$58)</f>
        <v/>
      </c>
      <c r="R949" s="156" t="str">
        <f t="shared" si="306"/>
        <v/>
      </c>
      <c r="S949" s="154" t="str">
        <f t="shared" si="295"/>
        <v/>
      </c>
      <c r="T949" s="152"/>
      <c r="U949" s="150" t="str">
        <f t="shared" si="307"/>
        <v/>
      </c>
      <c r="V949" s="150" t="str">
        <f t="shared" si="308"/>
        <v/>
      </c>
      <c r="W949" s="168" t="str">
        <f t="shared" si="309"/>
        <v/>
      </c>
      <c r="X949" s="163" t="str">
        <f t="shared" si="296"/>
        <v/>
      </c>
      <c r="Y949" s="152"/>
      <c r="Z949" s="164" t="str">
        <f>IF(AND($C948=12,$D948=Input!$C$6),0,IF($E949="","",V949+Z950/(1+L949)*R949))</f>
        <v/>
      </c>
      <c r="AA949" s="164" t="str">
        <f>IF(OR($M949=1,AND($C948=12,$D948=Input!$C$6)),0,IF($E949="","",W949+(X949+AA950*$R949)/(1+$L949)))</f>
        <v/>
      </c>
      <c r="AB949" s="160" t="str">
        <f t="shared" si="297"/>
        <v/>
      </c>
      <c r="AC949" s="164" t="str">
        <f t="shared" si="298"/>
        <v/>
      </c>
      <c r="AD949" s="164" t="str">
        <f>IF(AND($C948=12,$D948=Input!$C$6),0,IF($E949="","",$AC949+AD950/(1+$L949)*$R949))</f>
        <v/>
      </c>
      <c r="AE949" s="152"/>
      <c r="AF949" s="164" t="str">
        <f>IF(AND($C948=12,$D948=Input!$C$6),0,IF($E949="","",IF($B949&gt;Input!$C$9,$AC949,0)+AF950/(1+$L949)*$R949))</f>
        <v/>
      </c>
      <c r="AG949" s="164" t="str">
        <f>IF(AND($C948=12,$D948=Input!$C$6),0,IF($E949="","",(IF($B949&gt;Input!$C$9,$X949,0)+AG950)/(1+$L949)*$R949))</f>
        <v/>
      </c>
      <c r="AH949" s="160" t="str">
        <f t="shared" si="299"/>
        <v/>
      </c>
      <c r="AI949" s="160" t="str">
        <f>IF($E949="","",MIN(Input!$C$61/AH949,1))</f>
        <v/>
      </c>
      <c r="AJ949" s="152"/>
      <c r="AK949" s="164" t="str">
        <f>IF(AND($C948=12,$D948=Input!$C$6),0,IF($E949="","",IF($B949&gt;Input!$C$9,$AC949*AI949,0)+AK950/(1+$L949)*$R949))</f>
        <v/>
      </c>
      <c r="AL949" s="164" t="str">
        <f>IF(AND($C948=12,$D948=Input!$C$6),0,IF($E949="","",IF($B949&gt;Input!$C$9,0,$AC949)+AL950/(1+$L949)*$R949))</f>
        <v/>
      </c>
      <c r="AM949" s="160" t="str">
        <f t="shared" si="300"/>
        <v/>
      </c>
      <c r="AN949" s="164" t="str">
        <f>IF($E949="","",IF($B949&gt;Input!$C$9,$AI949*$AC949,$AM949*$AC949))</f>
        <v/>
      </c>
      <c r="AO949" s="164" t="str">
        <f>IF(AND($C948=12,$D948=Input!$C$6),0,IF($E949="","",$AN949+AO950/(1+$L949)*$R949))</f>
        <v/>
      </c>
      <c r="AP949" s="152"/>
      <c r="AQ949" s="164" t="str">
        <f t="shared" si="301"/>
        <v/>
      </c>
      <c r="AR949" s="164" t="str">
        <f t="shared" si="310"/>
        <v/>
      </c>
      <c r="AS949" s="164" t="str">
        <f t="shared" si="311"/>
        <v/>
      </c>
      <c r="AT949" s="164" t="str">
        <f t="shared" si="302"/>
        <v/>
      </c>
      <c r="AU949" s="152"/>
      <c r="AV949" s="147" t="str">
        <f>'Deterministic Reserve'!BC949</f>
        <v/>
      </c>
      <c r="AW949" s="164" t="str">
        <f t="shared" si="303"/>
        <v/>
      </c>
      <c r="AX949" s="164" t="str">
        <f t="shared" si="304"/>
        <v/>
      </c>
      <c r="AY949" s="152"/>
    </row>
    <row r="950" spans="1:51" s="150" customFormat="1" x14ac:dyDescent="0.25">
      <c r="A950" s="150" t="str">
        <f t="shared" si="312"/>
        <v/>
      </c>
      <c r="B950" s="150" t="str">
        <f t="shared" si="313"/>
        <v/>
      </c>
      <c r="C950" s="150" t="str">
        <f t="shared" si="314"/>
        <v/>
      </c>
      <c r="D950" s="150" t="str">
        <f>IF(E950="","",Input!$C$4+B950-1)</f>
        <v/>
      </c>
      <c r="E950" s="150" t="str">
        <f>IF(OR(AND(C949=12,D949=Input!$C$6),E949=""),"",1)</f>
        <v/>
      </c>
      <c r="F950" s="150" t="str">
        <f>IF(E950="","",Input!$C$8+B950-1)</f>
        <v/>
      </c>
      <c r="G950" s="151" t="str">
        <f>IF(E950="","",MAX(0,Input!$C$9-B950))</f>
        <v/>
      </c>
      <c r="H950" s="152" t="str">
        <f>IF(E950="","",Input!$C$3)</f>
        <v/>
      </c>
      <c r="I950" s="153" t="str">
        <f>IF(E950="","",HLOOKUP($B950,Input!$C$13:$BT$14,2))</f>
        <v/>
      </c>
      <c r="J950" s="154"/>
      <c r="K950" s="155" t="str">
        <f>IF($E950="","",Input!$C$57)</f>
        <v/>
      </c>
      <c r="L950" s="155" t="str">
        <f t="shared" si="305"/>
        <v/>
      </c>
      <c r="M950" s="147" t="str">
        <f>IF($E950="","",VLOOKUP(IF($B950&lt;=Input!$C$7,$B950,26),'Mortality Tables'!$A$72:$CA$97,IF($B950&lt;=Input!$C$7+1,Input!$C$4-16,$D950-Input!$C$7-16),0)/1000)</f>
        <v/>
      </c>
      <c r="N950" s="147" t="str">
        <f t="shared" si="294"/>
        <v/>
      </c>
      <c r="O950" s="157" t="str">
        <f>IF($E950="","",IF($C950=12,IF($B950&lt;Input!$C$9,Input!$C$54,IF($B950=Input!$C$9,Input!$C$55,Input!$C$56)),0%))</f>
        <v/>
      </c>
      <c r="P950" s="167" t="str">
        <f>IF($E950="","",IF($B950=1,Input!$C$59,IF($B950&lt;6,Input!$C$60,0%)))</f>
        <v/>
      </c>
      <c r="Q950" s="162" t="str">
        <f>IF($E950="","",Input!$C$58)</f>
        <v/>
      </c>
      <c r="R950" s="156" t="str">
        <f t="shared" si="306"/>
        <v/>
      </c>
      <c r="S950" s="154" t="str">
        <f t="shared" si="295"/>
        <v/>
      </c>
      <c r="T950" s="152"/>
      <c r="U950" s="150" t="str">
        <f t="shared" si="307"/>
        <v/>
      </c>
      <c r="V950" s="150" t="str">
        <f t="shared" si="308"/>
        <v/>
      </c>
      <c r="W950" s="168" t="str">
        <f t="shared" si="309"/>
        <v/>
      </c>
      <c r="X950" s="163" t="str">
        <f t="shared" si="296"/>
        <v/>
      </c>
      <c r="Y950" s="152"/>
      <c r="Z950" s="164" t="str">
        <f>IF(AND($C949=12,$D949=Input!$C$6),0,IF($E950="","",V950+Z951/(1+L950)*R950))</f>
        <v/>
      </c>
      <c r="AA950" s="164" t="str">
        <f>IF(OR($M950=1,AND($C949=12,$D949=Input!$C$6)),0,IF($E950="","",W950+(X950+AA951*$R950)/(1+$L950)))</f>
        <v/>
      </c>
      <c r="AB950" s="160" t="str">
        <f t="shared" si="297"/>
        <v/>
      </c>
      <c r="AC950" s="164" t="str">
        <f t="shared" si="298"/>
        <v/>
      </c>
      <c r="AD950" s="164" t="str">
        <f>IF(AND($C949=12,$D949=Input!$C$6),0,IF($E950="","",$AC950+AD951/(1+$L950)*$R950))</f>
        <v/>
      </c>
      <c r="AE950" s="152"/>
      <c r="AF950" s="164" t="str">
        <f>IF(AND($C949=12,$D949=Input!$C$6),0,IF($E950="","",IF($B950&gt;Input!$C$9,$AC950,0)+AF951/(1+$L950)*$R950))</f>
        <v/>
      </c>
      <c r="AG950" s="164" t="str">
        <f>IF(AND($C949=12,$D949=Input!$C$6),0,IF($E950="","",(IF($B950&gt;Input!$C$9,$X950,0)+AG951)/(1+$L950)*$R950))</f>
        <v/>
      </c>
      <c r="AH950" s="160" t="str">
        <f t="shared" si="299"/>
        <v/>
      </c>
      <c r="AI950" s="160" t="str">
        <f>IF($E950="","",MIN(Input!$C$61/AH950,1))</f>
        <v/>
      </c>
      <c r="AJ950" s="152"/>
      <c r="AK950" s="164" t="str">
        <f>IF(AND($C949=12,$D949=Input!$C$6),0,IF($E950="","",IF($B950&gt;Input!$C$9,$AC950*AI950,0)+AK951/(1+$L950)*$R950))</f>
        <v/>
      </c>
      <c r="AL950" s="164" t="str">
        <f>IF(AND($C949=12,$D949=Input!$C$6),0,IF($E950="","",IF($B950&gt;Input!$C$9,0,$AC950)+AL951/(1+$L950)*$R950))</f>
        <v/>
      </c>
      <c r="AM950" s="160" t="str">
        <f t="shared" si="300"/>
        <v/>
      </c>
      <c r="AN950" s="164" t="str">
        <f>IF($E950="","",IF($B950&gt;Input!$C$9,$AI950*$AC950,$AM950*$AC950))</f>
        <v/>
      </c>
      <c r="AO950" s="164" t="str">
        <f>IF(AND($C949=12,$D949=Input!$C$6),0,IF($E950="","",$AN950+AO951/(1+$L950)*$R950))</f>
        <v/>
      </c>
      <c r="AP950" s="152"/>
      <c r="AQ950" s="164" t="str">
        <f t="shared" si="301"/>
        <v/>
      </c>
      <c r="AR950" s="164" t="str">
        <f t="shared" si="310"/>
        <v/>
      </c>
      <c r="AS950" s="164" t="str">
        <f t="shared" si="311"/>
        <v/>
      </c>
      <c r="AT950" s="164" t="str">
        <f t="shared" si="302"/>
        <v/>
      </c>
      <c r="AU950" s="152"/>
      <c r="AV950" s="147" t="str">
        <f>'Deterministic Reserve'!BC950</f>
        <v/>
      </c>
      <c r="AW950" s="164" t="str">
        <f t="shared" si="303"/>
        <v/>
      </c>
      <c r="AX950" s="164" t="str">
        <f t="shared" si="304"/>
        <v/>
      </c>
      <c r="AY950" s="152"/>
    </row>
    <row r="951" spans="1:51" s="150" customFormat="1" x14ac:dyDescent="0.25">
      <c r="A951" s="150" t="str">
        <f t="shared" si="312"/>
        <v/>
      </c>
      <c r="B951" s="150" t="str">
        <f t="shared" si="313"/>
        <v/>
      </c>
      <c r="C951" s="150" t="str">
        <f t="shared" si="314"/>
        <v/>
      </c>
      <c r="D951" s="150" t="str">
        <f>IF(E951="","",Input!$C$4+B951-1)</f>
        <v/>
      </c>
      <c r="E951" s="150" t="str">
        <f>IF(OR(AND(C950=12,D950=Input!$C$6),E950=""),"",1)</f>
        <v/>
      </c>
      <c r="F951" s="150" t="str">
        <f>IF(E951="","",Input!$C$8+B951-1)</f>
        <v/>
      </c>
      <c r="G951" s="151" t="str">
        <f>IF(E951="","",MAX(0,Input!$C$9-B951))</f>
        <v/>
      </c>
      <c r="H951" s="152" t="str">
        <f>IF(E951="","",Input!$C$3)</f>
        <v/>
      </c>
      <c r="I951" s="153" t="str">
        <f>IF(E951="","",HLOOKUP($B951,Input!$C$13:$BT$14,2))</f>
        <v/>
      </c>
      <c r="J951" s="154"/>
      <c r="K951" s="155" t="str">
        <f>IF($E951="","",Input!$C$57)</f>
        <v/>
      </c>
      <c r="L951" s="155" t="str">
        <f t="shared" si="305"/>
        <v/>
      </c>
      <c r="M951" s="147" t="str">
        <f>IF($E951="","",VLOOKUP(IF($B951&lt;=Input!$C$7,$B951,26),'Mortality Tables'!$A$72:$CA$97,IF($B951&lt;=Input!$C$7+1,Input!$C$4-16,$D951-Input!$C$7-16),0)/1000)</f>
        <v/>
      </c>
      <c r="N951" s="147" t="str">
        <f t="shared" si="294"/>
        <v/>
      </c>
      <c r="O951" s="157" t="str">
        <f>IF($E951="","",IF($C951=12,IF($B951&lt;Input!$C$9,Input!$C$54,IF($B951=Input!$C$9,Input!$C$55,Input!$C$56)),0%))</f>
        <v/>
      </c>
      <c r="P951" s="167" t="str">
        <f>IF($E951="","",IF($B951=1,Input!$C$59,IF($B951&lt;6,Input!$C$60,0%)))</f>
        <v/>
      </c>
      <c r="Q951" s="162" t="str">
        <f>IF($E951="","",Input!$C$58)</f>
        <v/>
      </c>
      <c r="R951" s="156" t="str">
        <f t="shared" si="306"/>
        <v/>
      </c>
      <c r="S951" s="154" t="str">
        <f t="shared" si="295"/>
        <v/>
      </c>
      <c r="T951" s="152"/>
      <c r="U951" s="150" t="str">
        <f t="shared" si="307"/>
        <v/>
      </c>
      <c r="V951" s="150" t="str">
        <f t="shared" si="308"/>
        <v/>
      </c>
      <c r="W951" s="168" t="str">
        <f t="shared" si="309"/>
        <v/>
      </c>
      <c r="X951" s="163" t="str">
        <f t="shared" si="296"/>
        <v/>
      </c>
      <c r="Y951" s="152"/>
      <c r="Z951" s="164" t="str">
        <f>IF(AND($C950=12,$D950=Input!$C$6),0,IF($E951="","",V951+Z952/(1+L951)*R951))</f>
        <v/>
      </c>
      <c r="AA951" s="164" t="str">
        <f>IF(OR($M951=1,AND($C950=12,$D950=Input!$C$6)),0,IF($E951="","",W951+(X951+AA952*$R951)/(1+$L951)))</f>
        <v/>
      </c>
      <c r="AB951" s="160" t="str">
        <f t="shared" si="297"/>
        <v/>
      </c>
      <c r="AC951" s="164" t="str">
        <f t="shared" si="298"/>
        <v/>
      </c>
      <c r="AD951" s="164" t="str">
        <f>IF(AND($C950=12,$D950=Input!$C$6),0,IF($E951="","",$AC951+AD952/(1+$L951)*$R951))</f>
        <v/>
      </c>
      <c r="AE951" s="152"/>
      <c r="AF951" s="164" t="str">
        <f>IF(AND($C950=12,$D950=Input!$C$6),0,IF($E951="","",IF($B951&gt;Input!$C$9,$AC951,0)+AF952/(1+$L951)*$R951))</f>
        <v/>
      </c>
      <c r="AG951" s="164" t="str">
        <f>IF(AND($C950=12,$D950=Input!$C$6),0,IF($E951="","",(IF($B951&gt;Input!$C$9,$X951,0)+AG952)/(1+$L951)*$R951))</f>
        <v/>
      </c>
      <c r="AH951" s="160" t="str">
        <f t="shared" si="299"/>
        <v/>
      </c>
      <c r="AI951" s="160" t="str">
        <f>IF($E951="","",MIN(Input!$C$61/AH951,1))</f>
        <v/>
      </c>
      <c r="AJ951" s="152"/>
      <c r="AK951" s="164" t="str">
        <f>IF(AND($C950=12,$D950=Input!$C$6),0,IF($E951="","",IF($B951&gt;Input!$C$9,$AC951*AI951,0)+AK952/(1+$L951)*$R951))</f>
        <v/>
      </c>
      <c r="AL951" s="164" t="str">
        <f>IF(AND($C950=12,$D950=Input!$C$6),0,IF($E951="","",IF($B951&gt;Input!$C$9,0,$AC951)+AL952/(1+$L951)*$R951))</f>
        <v/>
      </c>
      <c r="AM951" s="160" t="str">
        <f t="shared" si="300"/>
        <v/>
      </c>
      <c r="AN951" s="164" t="str">
        <f>IF($E951="","",IF($B951&gt;Input!$C$9,$AI951*$AC951,$AM951*$AC951))</f>
        <v/>
      </c>
      <c r="AO951" s="164" t="str">
        <f>IF(AND($C950=12,$D950=Input!$C$6),0,IF($E951="","",$AN951+AO952/(1+$L951)*$R951))</f>
        <v/>
      </c>
      <c r="AP951" s="152"/>
      <c r="AQ951" s="164" t="str">
        <f t="shared" si="301"/>
        <v/>
      </c>
      <c r="AR951" s="164" t="str">
        <f t="shared" si="310"/>
        <v/>
      </c>
      <c r="AS951" s="164" t="str">
        <f t="shared" si="311"/>
        <v/>
      </c>
      <c r="AT951" s="164" t="str">
        <f t="shared" si="302"/>
        <v/>
      </c>
      <c r="AU951" s="152"/>
      <c r="AV951" s="147" t="str">
        <f>'Deterministic Reserve'!BC951</f>
        <v/>
      </c>
      <c r="AW951" s="164" t="str">
        <f t="shared" si="303"/>
        <v/>
      </c>
      <c r="AX951" s="164" t="str">
        <f t="shared" si="304"/>
        <v/>
      </c>
      <c r="AY951" s="152"/>
    </row>
    <row r="952" spans="1:51" s="150" customFormat="1" x14ac:dyDescent="0.25">
      <c r="A952" s="150" t="str">
        <f t="shared" si="312"/>
        <v/>
      </c>
      <c r="B952" s="150" t="str">
        <f t="shared" si="313"/>
        <v/>
      </c>
      <c r="C952" s="150" t="str">
        <f t="shared" si="314"/>
        <v/>
      </c>
      <c r="D952" s="150" t="str">
        <f>IF(E952="","",Input!$C$4+B952-1)</f>
        <v/>
      </c>
      <c r="E952" s="150" t="str">
        <f>IF(OR(AND(C951=12,D951=Input!$C$6),E951=""),"",1)</f>
        <v/>
      </c>
      <c r="F952" s="150" t="str">
        <f>IF(E952="","",Input!$C$8+B952-1)</f>
        <v/>
      </c>
      <c r="G952" s="151" t="str">
        <f>IF(E952="","",MAX(0,Input!$C$9-B952))</f>
        <v/>
      </c>
      <c r="H952" s="152" t="str">
        <f>IF(E952="","",Input!$C$3)</f>
        <v/>
      </c>
      <c r="I952" s="153" t="str">
        <f>IF(E952="","",HLOOKUP($B952,Input!$C$13:$BT$14,2))</f>
        <v/>
      </c>
      <c r="J952" s="154"/>
      <c r="K952" s="155" t="str">
        <f>IF($E952="","",Input!$C$57)</f>
        <v/>
      </c>
      <c r="L952" s="155" t="str">
        <f t="shared" si="305"/>
        <v/>
      </c>
      <c r="M952" s="147" t="str">
        <f>IF($E952="","",VLOOKUP(IF($B952&lt;=Input!$C$7,$B952,26),'Mortality Tables'!$A$72:$CA$97,IF($B952&lt;=Input!$C$7+1,Input!$C$4-16,$D952-Input!$C$7-16),0)/1000)</f>
        <v/>
      </c>
      <c r="N952" s="147" t="str">
        <f t="shared" si="294"/>
        <v/>
      </c>
      <c r="O952" s="157" t="str">
        <f>IF($E952="","",IF($C952=12,IF($B952&lt;Input!$C$9,Input!$C$54,IF($B952=Input!$C$9,Input!$C$55,Input!$C$56)),0%))</f>
        <v/>
      </c>
      <c r="P952" s="167" t="str">
        <f>IF($E952="","",IF($B952=1,Input!$C$59,IF($B952&lt;6,Input!$C$60,0%)))</f>
        <v/>
      </c>
      <c r="Q952" s="162" t="str">
        <f>IF($E952="","",Input!$C$58)</f>
        <v/>
      </c>
      <c r="R952" s="156" t="str">
        <f t="shared" si="306"/>
        <v/>
      </c>
      <c r="S952" s="154" t="str">
        <f t="shared" si="295"/>
        <v/>
      </c>
      <c r="T952" s="152"/>
      <c r="U952" s="150" t="str">
        <f t="shared" si="307"/>
        <v/>
      </c>
      <c r="V952" s="150" t="str">
        <f t="shared" si="308"/>
        <v/>
      </c>
      <c r="W952" s="168" t="str">
        <f t="shared" si="309"/>
        <v/>
      </c>
      <c r="X952" s="163" t="str">
        <f t="shared" si="296"/>
        <v/>
      </c>
      <c r="Y952" s="152"/>
      <c r="Z952" s="164" t="str">
        <f>IF(AND($C951=12,$D951=Input!$C$6),0,IF($E952="","",V952+Z953/(1+L952)*R952))</f>
        <v/>
      </c>
      <c r="AA952" s="164" t="str">
        <f>IF(OR($M952=1,AND($C951=12,$D951=Input!$C$6)),0,IF($E952="","",W952+(X952+AA953*$R952)/(1+$L952)))</f>
        <v/>
      </c>
      <c r="AB952" s="160" t="str">
        <f t="shared" si="297"/>
        <v/>
      </c>
      <c r="AC952" s="164" t="str">
        <f t="shared" si="298"/>
        <v/>
      </c>
      <c r="AD952" s="164" t="str">
        <f>IF(AND($C951=12,$D951=Input!$C$6),0,IF($E952="","",$AC952+AD953/(1+$L952)*$R952))</f>
        <v/>
      </c>
      <c r="AE952" s="152"/>
      <c r="AF952" s="164" t="str">
        <f>IF(AND($C951=12,$D951=Input!$C$6),0,IF($E952="","",IF($B952&gt;Input!$C$9,$AC952,0)+AF953/(1+$L952)*$R952))</f>
        <v/>
      </c>
      <c r="AG952" s="164" t="str">
        <f>IF(AND($C951=12,$D951=Input!$C$6),0,IF($E952="","",(IF($B952&gt;Input!$C$9,$X952,0)+AG953)/(1+$L952)*$R952))</f>
        <v/>
      </c>
      <c r="AH952" s="160" t="str">
        <f t="shared" si="299"/>
        <v/>
      </c>
      <c r="AI952" s="160" t="str">
        <f>IF($E952="","",MIN(Input!$C$61/AH952,1))</f>
        <v/>
      </c>
      <c r="AJ952" s="152"/>
      <c r="AK952" s="164" t="str">
        <f>IF(AND($C951=12,$D951=Input!$C$6),0,IF($E952="","",IF($B952&gt;Input!$C$9,$AC952*AI952,0)+AK953/(1+$L952)*$R952))</f>
        <v/>
      </c>
      <c r="AL952" s="164" t="str">
        <f>IF(AND($C951=12,$D951=Input!$C$6),0,IF($E952="","",IF($B952&gt;Input!$C$9,0,$AC952)+AL953/(1+$L952)*$R952))</f>
        <v/>
      </c>
      <c r="AM952" s="160" t="str">
        <f t="shared" si="300"/>
        <v/>
      </c>
      <c r="AN952" s="164" t="str">
        <f>IF($E952="","",IF($B952&gt;Input!$C$9,$AI952*$AC952,$AM952*$AC952))</f>
        <v/>
      </c>
      <c r="AO952" s="164" t="str">
        <f>IF(AND($C951=12,$D951=Input!$C$6),0,IF($E952="","",$AN952+AO953/(1+$L952)*$R952))</f>
        <v/>
      </c>
      <c r="AP952" s="152"/>
      <c r="AQ952" s="164" t="str">
        <f t="shared" si="301"/>
        <v/>
      </c>
      <c r="AR952" s="164" t="str">
        <f t="shared" si="310"/>
        <v/>
      </c>
      <c r="AS952" s="164" t="str">
        <f t="shared" si="311"/>
        <v/>
      </c>
      <c r="AT952" s="164" t="str">
        <f t="shared" si="302"/>
        <v/>
      </c>
      <c r="AU952" s="152"/>
      <c r="AV952" s="147" t="str">
        <f>'Deterministic Reserve'!BC952</f>
        <v/>
      </c>
      <c r="AW952" s="164" t="str">
        <f t="shared" si="303"/>
        <v/>
      </c>
      <c r="AX952" s="164" t="str">
        <f t="shared" si="304"/>
        <v/>
      </c>
      <c r="AY952" s="152"/>
    </row>
    <row r="953" spans="1:51" s="150" customFormat="1" x14ac:dyDescent="0.25">
      <c r="A953" s="150" t="str">
        <f t="shared" si="312"/>
        <v/>
      </c>
      <c r="B953" s="150" t="str">
        <f t="shared" si="313"/>
        <v/>
      </c>
      <c r="C953" s="150" t="str">
        <f t="shared" si="314"/>
        <v/>
      </c>
      <c r="D953" s="150" t="str">
        <f>IF(E953="","",Input!$C$4+B953-1)</f>
        <v/>
      </c>
      <c r="E953" s="150" t="str">
        <f>IF(OR(AND(C952=12,D952=Input!$C$6),E952=""),"",1)</f>
        <v/>
      </c>
      <c r="F953" s="150" t="str">
        <f>IF(E953="","",Input!$C$8+B953-1)</f>
        <v/>
      </c>
      <c r="G953" s="151" t="str">
        <f>IF(E953="","",MAX(0,Input!$C$9-B953))</f>
        <v/>
      </c>
      <c r="H953" s="152" t="str">
        <f>IF(E953="","",Input!$C$3)</f>
        <v/>
      </c>
      <c r="I953" s="153" t="str">
        <f>IF(E953="","",HLOOKUP($B953,Input!$C$13:$BT$14,2))</f>
        <v/>
      </c>
      <c r="J953" s="154"/>
      <c r="K953" s="155" t="str">
        <f>IF($E953="","",Input!$C$57)</f>
        <v/>
      </c>
      <c r="L953" s="155" t="str">
        <f t="shared" si="305"/>
        <v/>
      </c>
      <c r="M953" s="147" t="str">
        <f>IF($E953="","",VLOOKUP(IF($B953&lt;=Input!$C$7,$B953,26),'Mortality Tables'!$A$72:$CA$97,IF($B953&lt;=Input!$C$7+1,Input!$C$4-16,$D953-Input!$C$7-16),0)/1000)</f>
        <v/>
      </c>
      <c r="N953" s="147" t="str">
        <f t="shared" si="294"/>
        <v/>
      </c>
      <c r="O953" s="157" t="str">
        <f>IF($E953="","",IF($C953=12,IF($B953&lt;Input!$C$9,Input!$C$54,IF($B953=Input!$C$9,Input!$C$55,Input!$C$56)),0%))</f>
        <v/>
      </c>
      <c r="P953" s="167" t="str">
        <f>IF($E953="","",IF($B953=1,Input!$C$59,IF($B953&lt;6,Input!$C$60,0%)))</f>
        <v/>
      </c>
      <c r="Q953" s="162" t="str">
        <f>IF($E953="","",Input!$C$58)</f>
        <v/>
      </c>
      <c r="R953" s="156" t="str">
        <f t="shared" si="306"/>
        <v/>
      </c>
      <c r="S953" s="154" t="str">
        <f t="shared" si="295"/>
        <v/>
      </c>
      <c r="T953" s="152"/>
      <c r="U953" s="150" t="str">
        <f t="shared" si="307"/>
        <v/>
      </c>
      <c r="V953" s="150" t="str">
        <f t="shared" si="308"/>
        <v/>
      </c>
      <c r="W953" s="168" t="str">
        <f t="shared" si="309"/>
        <v/>
      </c>
      <c r="X953" s="163" t="str">
        <f t="shared" si="296"/>
        <v/>
      </c>
      <c r="Y953" s="152"/>
      <c r="Z953" s="164" t="str">
        <f>IF(AND($C952=12,$D952=Input!$C$6),0,IF($E953="","",V953+Z954/(1+L953)*R953))</f>
        <v/>
      </c>
      <c r="AA953" s="164" t="str">
        <f>IF(OR($M953=1,AND($C952=12,$D952=Input!$C$6)),0,IF($E953="","",W953+(X953+AA954*$R953)/(1+$L953)))</f>
        <v/>
      </c>
      <c r="AB953" s="160" t="str">
        <f t="shared" si="297"/>
        <v/>
      </c>
      <c r="AC953" s="164" t="str">
        <f t="shared" si="298"/>
        <v/>
      </c>
      <c r="AD953" s="164" t="str">
        <f>IF(AND($C952=12,$D952=Input!$C$6),0,IF($E953="","",$AC953+AD954/(1+$L953)*$R953))</f>
        <v/>
      </c>
      <c r="AE953" s="152"/>
      <c r="AF953" s="164" t="str">
        <f>IF(AND($C952=12,$D952=Input!$C$6),0,IF($E953="","",IF($B953&gt;Input!$C$9,$AC953,0)+AF954/(1+$L953)*$R953))</f>
        <v/>
      </c>
      <c r="AG953" s="164" t="str">
        <f>IF(AND($C952=12,$D952=Input!$C$6),0,IF($E953="","",(IF($B953&gt;Input!$C$9,$X953,0)+AG954)/(1+$L953)*$R953))</f>
        <v/>
      </c>
      <c r="AH953" s="160" t="str">
        <f t="shared" si="299"/>
        <v/>
      </c>
      <c r="AI953" s="160" t="str">
        <f>IF($E953="","",MIN(Input!$C$61/AH953,1))</f>
        <v/>
      </c>
      <c r="AJ953" s="152"/>
      <c r="AK953" s="164" t="str">
        <f>IF(AND($C952=12,$D952=Input!$C$6),0,IF($E953="","",IF($B953&gt;Input!$C$9,$AC953*AI953,0)+AK954/(1+$L953)*$R953))</f>
        <v/>
      </c>
      <c r="AL953" s="164" t="str">
        <f>IF(AND($C952=12,$D952=Input!$C$6),0,IF($E953="","",IF($B953&gt;Input!$C$9,0,$AC953)+AL954/(1+$L953)*$R953))</f>
        <v/>
      </c>
      <c r="AM953" s="160" t="str">
        <f t="shared" si="300"/>
        <v/>
      </c>
      <c r="AN953" s="164" t="str">
        <f>IF($E953="","",IF($B953&gt;Input!$C$9,$AI953*$AC953,$AM953*$AC953))</f>
        <v/>
      </c>
      <c r="AO953" s="164" t="str">
        <f>IF(AND($C952=12,$D952=Input!$C$6),0,IF($E953="","",$AN953+AO954/(1+$L953)*$R953))</f>
        <v/>
      </c>
      <c r="AP953" s="152"/>
      <c r="AQ953" s="164" t="str">
        <f t="shared" si="301"/>
        <v/>
      </c>
      <c r="AR953" s="164" t="str">
        <f t="shared" si="310"/>
        <v/>
      </c>
      <c r="AS953" s="164" t="str">
        <f t="shared" si="311"/>
        <v/>
      </c>
      <c r="AT953" s="164" t="str">
        <f t="shared" si="302"/>
        <v/>
      </c>
      <c r="AU953" s="152"/>
      <c r="AV953" s="147" t="str">
        <f>'Deterministic Reserve'!BC953</f>
        <v/>
      </c>
      <c r="AW953" s="164" t="str">
        <f t="shared" si="303"/>
        <v/>
      </c>
      <c r="AX953" s="164" t="str">
        <f t="shared" si="304"/>
        <v/>
      </c>
      <c r="AY953" s="152"/>
    </row>
    <row r="954" spans="1:51" s="150" customFormat="1" x14ac:dyDescent="0.25">
      <c r="A954" s="150" t="str">
        <f t="shared" si="312"/>
        <v/>
      </c>
      <c r="B954" s="150" t="str">
        <f t="shared" si="313"/>
        <v/>
      </c>
      <c r="C954" s="150" t="str">
        <f t="shared" si="314"/>
        <v/>
      </c>
      <c r="D954" s="150" t="str">
        <f>IF(E954="","",Input!$C$4+B954-1)</f>
        <v/>
      </c>
      <c r="E954" s="150" t="str">
        <f>IF(OR(AND(C953=12,D953=Input!$C$6),E953=""),"",1)</f>
        <v/>
      </c>
      <c r="F954" s="150" t="str">
        <f>IF(E954="","",Input!$C$8+B954-1)</f>
        <v/>
      </c>
      <c r="G954" s="151" t="str">
        <f>IF(E954="","",MAX(0,Input!$C$9-B954))</f>
        <v/>
      </c>
      <c r="H954" s="152" t="str">
        <f>IF(E954="","",Input!$C$3)</f>
        <v/>
      </c>
      <c r="I954" s="153" t="str">
        <f>IF(E954="","",HLOOKUP($B954,Input!$C$13:$BT$14,2))</f>
        <v/>
      </c>
      <c r="J954" s="154"/>
      <c r="K954" s="155" t="str">
        <f>IF($E954="","",Input!$C$57)</f>
        <v/>
      </c>
      <c r="L954" s="155" t="str">
        <f t="shared" si="305"/>
        <v/>
      </c>
      <c r="M954" s="147" t="str">
        <f>IF($E954="","",VLOOKUP(IF($B954&lt;=Input!$C$7,$B954,26),'Mortality Tables'!$A$72:$CA$97,IF($B954&lt;=Input!$C$7+1,Input!$C$4-16,$D954-Input!$C$7-16),0)/1000)</f>
        <v/>
      </c>
      <c r="N954" s="147" t="str">
        <f t="shared" si="294"/>
        <v/>
      </c>
      <c r="O954" s="157" t="str">
        <f>IF($E954="","",IF($C954=12,IF($B954&lt;Input!$C$9,Input!$C$54,IF($B954=Input!$C$9,Input!$C$55,Input!$C$56)),0%))</f>
        <v/>
      </c>
      <c r="P954" s="167" t="str">
        <f>IF($E954="","",IF($B954=1,Input!$C$59,IF($B954&lt;6,Input!$C$60,0%)))</f>
        <v/>
      </c>
      <c r="Q954" s="162" t="str">
        <f>IF($E954="","",Input!$C$58)</f>
        <v/>
      </c>
      <c r="R954" s="156" t="str">
        <f t="shared" si="306"/>
        <v/>
      </c>
      <c r="S954" s="154" t="str">
        <f t="shared" si="295"/>
        <v/>
      </c>
      <c r="T954" s="152"/>
      <c r="U954" s="150" t="str">
        <f t="shared" si="307"/>
        <v/>
      </c>
      <c r="V954" s="150" t="str">
        <f t="shared" si="308"/>
        <v/>
      </c>
      <c r="W954" s="168" t="str">
        <f t="shared" si="309"/>
        <v/>
      </c>
      <c r="X954" s="163" t="str">
        <f t="shared" si="296"/>
        <v/>
      </c>
      <c r="Y954" s="152"/>
      <c r="Z954" s="164" t="str">
        <f>IF(AND($C953=12,$D953=Input!$C$6),0,IF($E954="","",V954+Z955/(1+L954)*R954))</f>
        <v/>
      </c>
      <c r="AA954" s="164" t="str">
        <f>IF(OR($M954=1,AND($C953=12,$D953=Input!$C$6)),0,IF($E954="","",W954+(X954+AA955*$R954)/(1+$L954)))</f>
        <v/>
      </c>
      <c r="AB954" s="160" t="str">
        <f t="shared" si="297"/>
        <v/>
      </c>
      <c r="AC954" s="164" t="str">
        <f t="shared" si="298"/>
        <v/>
      </c>
      <c r="AD954" s="164" t="str">
        <f>IF(AND($C953=12,$D953=Input!$C$6),0,IF($E954="","",$AC954+AD955/(1+$L954)*$R954))</f>
        <v/>
      </c>
      <c r="AE954" s="152"/>
      <c r="AF954" s="164" t="str">
        <f>IF(AND($C953=12,$D953=Input!$C$6),0,IF($E954="","",IF($B954&gt;Input!$C$9,$AC954,0)+AF955/(1+$L954)*$R954))</f>
        <v/>
      </c>
      <c r="AG954" s="164" t="str">
        <f>IF(AND($C953=12,$D953=Input!$C$6),0,IF($E954="","",(IF($B954&gt;Input!$C$9,$X954,0)+AG955)/(1+$L954)*$R954))</f>
        <v/>
      </c>
      <c r="AH954" s="160" t="str">
        <f t="shared" si="299"/>
        <v/>
      </c>
      <c r="AI954" s="160" t="str">
        <f>IF($E954="","",MIN(Input!$C$61/AH954,1))</f>
        <v/>
      </c>
      <c r="AJ954" s="152"/>
      <c r="AK954" s="164" t="str">
        <f>IF(AND($C953=12,$D953=Input!$C$6),0,IF($E954="","",IF($B954&gt;Input!$C$9,$AC954*AI954,0)+AK955/(1+$L954)*$R954))</f>
        <v/>
      </c>
      <c r="AL954" s="164" t="str">
        <f>IF(AND($C953=12,$D953=Input!$C$6),0,IF($E954="","",IF($B954&gt;Input!$C$9,0,$AC954)+AL955/(1+$L954)*$R954))</f>
        <v/>
      </c>
      <c r="AM954" s="160" t="str">
        <f t="shared" si="300"/>
        <v/>
      </c>
      <c r="AN954" s="164" t="str">
        <f>IF($E954="","",IF($B954&gt;Input!$C$9,$AI954*$AC954,$AM954*$AC954))</f>
        <v/>
      </c>
      <c r="AO954" s="164" t="str">
        <f>IF(AND($C953=12,$D953=Input!$C$6),0,IF($E954="","",$AN954+AO955/(1+$L954)*$R954))</f>
        <v/>
      </c>
      <c r="AP954" s="152"/>
      <c r="AQ954" s="164" t="str">
        <f t="shared" si="301"/>
        <v/>
      </c>
      <c r="AR954" s="164" t="str">
        <f t="shared" si="310"/>
        <v/>
      </c>
      <c r="AS954" s="164" t="str">
        <f t="shared" si="311"/>
        <v/>
      </c>
      <c r="AT954" s="164" t="str">
        <f t="shared" si="302"/>
        <v/>
      </c>
      <c r="AU954" s="152"/>
      <c r="AV954" s="147" t="str">
        <f>'Deterministic Reserve'!BC954</f>
        <v/>
      </c>
      <c r="AW954" s="164" t="str">
        <f t="shared" si="303"/>
        <v/>
      </c>
      <c r="AX954" s="164" t="str">
        <f t="shared" si="304"/>
        <v/>
      </c>
      <c r="AY954" s="152"/>
    </row>
    <row r="955" spans="1:51" s="150" customFormat="1" x14ac:dyDescent="0.25">
      <c r="A955" s="150" t="str">
        <f t="shared" si="312"/>
        <v/>
      </c>
      <c r="B955" s="150" t="str">
        <f t="shared" si="313"/>
        <v/>
      </c>
      <c r="C955" s="150" t="str">
        <f t="shared" si="314"/>
        <v/>
      </c>
      <c r="D955" s="150" t="str">
        <f>IF(E955="","",Input!$C$4+B955-1)</f>
        <v/>
      </c>
      <c r="E955" s="150" t="str">
        <f>IF(OR(AND(C954=12,D954=Input!$C$6),E954=""),"",1)</f>
        <v/>
      </c>
      <c r="F955" s="150" t="str">
        <f>IF(E955="","",Input!$C$8+B955-1)</f>
        <v/>
      </c>
      <c r="G955" s="151" t="str">
        <f>IF(E955="","",MAX(0,Input!$C$9-B955))</f>
        <v/>
      </c>
      <c r="H955" s="152" t="str">
        <f>IF(E955="","",Input!$C$3)</f>
        <v/>
      </c>
      <c r="I955" s="153" t="str">
        <f>IF(E955="","",HLOOKUP($B955,Input!$C$13:$BT$14,2))</f>
        <v/>
      </c>
      <c r="J955" s="154"/>
      <c r="K955" s="155" t="str">
        <f>IF($E955="","",Input!$C$57)</f>
        <v/>
      </c>
      <c r="L955" s="155" t="str">
        <f t="shared" si="305"/>
        <v/>
      </c>
      <c r="M955" s="147" t="str">
        <f>IF($E955="","",VLOOKUP(IF($B955&lt;=Input!$C$7,$B955,26),'Mortality Tables'!$A$72:$CA$97,IF($B955&lt;=Input!$C$7+1,Input!$C$4-16,$D955-Input!$C$7-16),0)/1000)</f>
        <v/>
      </c>
      <c r="N955" s="147" t="str">
        <f t="shared" si="294"/>
        <v/>
      </c>
      <c r="O955" s="157" t="str">
        <f>IF($E955="","",IF($C955=12,IF($B955&lt;Input!$C$9,Input!$C$54,IF($B955=Input!$C$9,Input!$C$55,Input!$C$56)),0%))</f>
        <v/>
      </c>
      <c r="P955" s="167" t="str">
        <f>IF($E955="","",IF($B955=1,Input!$C$59,IF($B955&lt;6,Input!$C$60,0%)))</f>
        <v/>
      </c>
      <c r="Q955" s="162" t="str">
        <f>IF($E955="","",Input!$C$58)</f>
        <v/>
      </c>
      <c r="R955" s="156" t="str">
        <f t="shared" si="306"/>
        <v/>
      </c>
      <c r="S955" s="154" t="str">
        <f t="shared" si="295"/>
        <v/>
      </c>
      <c r="T955" s="152"/>
      <c r="U955" s="150" t="str">
        <f t="shared" si="307"/>
        <v/>
      </c>
      <c r="V955" s="150" t="str">
        <f t="shared" si="308"/>
        <v/>
      </c>
      <c r="W955" s="168" t="str">
        <f t="shared" si="309"/>
        <v/>
      </c>
      <c r="X955" s="163" t="str">
        <f t="shared" si="296"/>
        <v/>
      </c>
      <c r="Y955" s="152"/>
      <c r="Z955" s="164" t="str">
        <f>IF(AND($C954=12,$D954=Input!$C$6),0,IF($E955="","",V955+Z956/(1+L955)*R955))</f>
        <v/>
      </c>
      <c r="AA955" s="164" t="str">
        <f>IF(OR($M955=1,AND($C954=12,$D954=Input!$C$6)),0,IF($E955="","",W955+(X955+AA956*$R955)/(1+$L955)))</f>
        <v/>
      </c>
      <c r="AB955" s="160" t="str">
        <f t="shared" si="297"/>
        <v/>
      </c>
      <c r="AC955" s="164" t="str">
        <f t="shared" si="298"/>
        <v/>
      </c>
      <c r="AD955" s="164" t="str">
        <f>IF(AND($C954=12,$D954=Input!$C$6),0,IF($E955="","",$AC955+AD956/(1+$L955)*$R955))</f>
        <v/>
      </c>
      <c r="AE955" s="152"/>
      <c r="AF955" s="164" t="str">
        <f>IF(AND($C954=12,$D954=Input!$C$6),0,IF($E955="","",IF($B955&gt;Input!$C$9,$AC955,0)+AF956/(1+$L955)*$R955))</f>
        <v/>
      </c>
      <c r="AG955" s="164" t="str">
        <f>IF(AND($C954=12,$D954=Input!$C$6),0,IF($E955="","",(IF($B955&gt;Input!$C$9,$X955,0)+AG956)/(1+$L955)*$R955))</f>
        <v/>
      </c>
      <c r="AH955" s="160" t="str">
        <f t="shared" si="299"/>
        <v/>
      </c>
      <c r="AI955" s="160" t="str">
        <f>IF($E955="","",MIN(Input!$C$61/AH955,1))</f>
        <v/>
      </c>
      <c r="AJ955" s="152"/>
      <c r="AK955" s="164" t="str">
        <f>IF(AND($C954=12,$D954=Input!$C$6),0,IF($E955="","",IF($B955&gt;Input!$C$9,$AC955*AI955,0)+AK956/(1+$L955)*$R955))</f>
        <v/>
      </c>
      <c r="AL955" s="164" t="str">
        <f>IF(AND($C954=12,$D954=Input!$C$6),0,IF($E955="","",IF($B955&gt;Input!$C$9,0,$AC955)+AL956/(1+$L955)*$R955))</f>
        <v/>
      </c>
      <c r="AM955" s="160" t="str">
        <f t="shared" si="300"/>
        <v/>
      </c>
      <c r="AN955" s="164" t="str">
        <f>IF($E955="","",IF($B955&gt;Input!$C$9,$AI955*$AC955,$AM955*$AC955))</f>
        <v/>
      </c>
      <c r="AO955" s="164" t="str">
        <f>IF(AND($C954=12,$D954=Input!$C$6),0,IF($E955="","",$AN955+AO956/(1+$L955)*$R955))</f>
        <v/>
      </c>
      <c r="AP955" s="152"/>
      <c r="AQ955" s="164" t="str">
        <f t="shared" si="301"/>
        <v/>
      </c>
      <c r="AR955" s="164" t="str">
        <f t="shared" si="310"/>
        <v/>
      </c>
      <c r="AS955" s="164" t="str">
        <f t="shared" si="311"/>
        <v/>
      </c>
      <c r="AT955" s="164" t="str">
        <f t="shared" si="302"/>
        <v/>
      </c>
      <c r="AU955" s="152"/>
      <c r="AV955" s="147" t="str">
        <f>'Deterministic Reserve'!BC955</f>
        <v/>
      </c>
      <c r="AW955" s="164" t="str">
        <f t="shared" si="303"/>
        <v/>
      </c>
      <c r="AX955" s="164" t="str">
        <f t="shared" si="304"/>
        <v/>
      </c>
      <c r="AY955" s="152"/>
    </row>
    <row r="956" spans="1:51" s="150" customFormat="1" x14ac:dyDescent="0.25">
      <c r="A956" s="150" t="str">
        <f t="shared" si="312"/>
        <v/>
      </c>
      <c r="B956" s="150" t="str">
        <f t="shared" si="313"/>
        <v/>
      </c>
      <c r="C956" s="150" t="str">
        <f t="shared" si="314"/>
        <v/>
      </c>
      <c r="D956" s="150" t="str">
        <f>IF(E956="","",Input!$C$4+B956-1)</f>
        <v/>
      </c>
      <c r="E956" s="150" t="str">
        <f>IF(OR(AND(C955=12,D955=Input!$C$6),E955=""),"",1)</f>
        <v/>
      </c>
      <c r="F956" s="150" t="str">
        <f>IF(E956="","",Input!$C$8+B956-1)</f>
        <v/>
      </c>
      <c r="G956" s="151" t="str">
        <f>IF(E956="","",MAX(0,Input!$C$9-B956))</f>
        <v/>
      </c>
      <c r="H956" s="152" t="str">
        <f>IF(E956="","",Input!$C$3)</f>
        <v/>
      </c>
      <c r="I956" s="153" t="str">
        <f>IF(E956="","",HLOOKUP($B956,Input!$C$13:$BT$14,2))</f>
        <v/>
      </c>
      <c r="J956" s="154"/>
      <c r="K956" s="155" t="str">
        <f>IF($E956="","",Input!$C$57)</f>
        <v/>
      </c>
      <c r="L956" s="155" t="str">
        <f t="shared" si="305"/>
        <v/>
      </c>
      <c r="M956" s="147" t="str">
        <f>IF($E956="","",VLOOKUP(IF($B956&lt;=Input!$C$7,$B956,26),'Mortality Tables'!$A$72:$CA$97,IF($B956&lt;=Input!$C$7+1,Input!$C$4-16,$D956-Input!$C$7-16),0)/1000)</f>
        <v/>
      </c>
      <c r="N956" s="147" t="str">
        <f t="shared" si="294"/>
        <v/>
      </c>
      <c r="O956" s="157" t="str">
        <f>IF($E956="","",IF($C956=12,IF($B956&lt;Input!$C$9,Input!$C$54,IF($B956=Input!$C$9,Input!$C$55,Input!$C$56)),0%))</f>
        <v/>
      </c>
      <c r="P956" s="167" t="str">
        <f>IF($E956="","",IF($B956=1,Input!$C$59,IF($B956&lt;6,Input!$C$60,0%)))</f>
        <v/>
      </c>
      <c r="Q956" s="162" t="str">
        <f>IF($E956="","",Input!$C$58)</f>
        <v/>
      </c>
      <c r="R956" s="156" t="str">
        <f t="shared" si="306"/>
        <v/>
      </c>
      <c r="S956" s="154" t="str">
        <f t="shared" si="295"/>
        <v/>
      </c>
      <c r="T956" s="152"/>
      <c r="U956" s="150" t="str">
        <f t="shared" si="307"/>
        <v/>
      </c>
      <c r="V956" s="150" t="str">
        <f t="shared" si="308"/>
        <v/>
      </c>
      <c r="W956" s="168" t="str">
        <f t="shared" si="309"/>
        <v/>
      </c>
      <c r="X956" s="163" t="str">
        <f t="shared" si="296"/>
        <v/>
      </c>
      <c r="Y956" s="152"/>
      <c r="Z956" s="164" t="str">
        <f>IF(AND($C955=12,$D955=Input!$C$6),0,IF($E956="","",V956+Z957/(1+L956)*R956))</f>
        <v/>
      </c>
      <c r="AA956" s="164" t="str">
        <f>IF(OR($M956=1,AND($C955=12,$D955=Input!$C$6)),0,IF($E956="","",W956+(X956+AA957*$R956)/(1+$L956)))</f>
        <v/>
      </c>
      <c r="AB956" s="160" t="str">
        <f t="shared" si="297"/>
        <v/>
      </c>
      <c r="AC956" s="164" t="str">
        <f t="shared" si="298"/>
        <v/>
      </c>
      <c r="AD956" s="164" t="str">
        <f>IF(AND($C955=12,$D955=Input!$C$6),0,IF($E956="","",$AC956+AD957/(1+$L956)*$R956))</f>
        <v/>
      </c>
      <c r="AE956" s="152"/>
      <c r="AF956" s="164" t="str">
        <f>IF(AND($C955=12,$D955=Input!$C$6),0,IF($E956="","",IF($B956&gt;Input!$C$9,$AC956,0)+AF957/(1+$L956)*$R956))</f>
        <v/>
      </c>
      <c r="AG956" s="164" t="str">
        <f>IF(AND($C955=12,$D955=Input!$C$6),0,IF($E956="","",(IF($B956&gt;Input!$C$9,$X956,0)+AG957)/(1+$L956)*$R956))</f>
        <v/>
      </c>
      <c r="AH956" s="160" t="str">
        <f t="shared" si="299"/>
        <v/>
      </c>
      <c r="AI956" s="160" t="str">
        <f>IF($E956="","",MIN(Input!$C$61/AH956,1))</f>
        <v/>
      </c>
      <c r="AJ956" s="152"/>
      <c r="AK956" s="164" t="str">
        <f>IF(AND($C955=12,$D955=Input!$C$6),0,IF($E956="","",IF($B956&gt;Input!$C$9,$AC956*AI956,0)+AK957/(1+$L956)*$R956))</f>
        <v/>
      </c>
      <c r="AL956" s="164" t="str">
        <f>IF(AND($C955=12,$D955=Input!$C$6),0,IF($E956="","",IF($B956&gt;Input!$C$9,0,$AC956)+AL957/(1+$L956)*$R956))</f>
        <v/>
      </c>
      <c r="AM956" s="160" t="str">
        <f t="shared" si="300"/>
        <v/>
      </c>
      <c r="AN956" s="164" t="str">
        <f>IF($E956="","",IF($B956&gt;Input!$C$9,$AI956*$AC956,$AM956*$AC956))</f>
        <v/>
      </c>
      <c r="AO956" s="164" t="str">
        <f>IF(AND($C955=12,$D955=Input!$C$6),0,IF($E956="","",$AN956+AO957/(1+$L956)*$R956))</f>
        <v/>
      </c>
      <c r="AP956" s="152"/>
      <c r="AQ956" s="164" t="str">
        <f t="shared" si="301"/>
        <v/>
      </c>
      <c r="AR956" s="164" t="str">
        <f t="shared" si="310"/>
        <v/>
      </c>
      <c r="AS956" s="164" t="str">
        <f t="shared" si="311"/>
        <v/>
      </c>
      <c r="AT956" s="164" t="str">
        <f t="shared" si="302"/>
        <v/>
      </c>
      <c r="AU956" s="152"/>
      <c r="AV956" s="147" t="str">
        <f>'Deterministic Reserve'!BC956</f>
        <v/>
      </c>
      <c r="AW956" s="164" t="str">
        <f t="shared" si="303"/>
        <v/>
      </c>
      <c r="AX956" s="164" t="str">
        <f t="shared" si="304"/>
        <v/>
      </c>
      <c r="AY956" s="152"/>
    </row>
    <row r="957" spans="1:51" s="150" customFormat="1" x14ac:dyDescent="0.25">
      <c r="A957" s="150" t="str">
        <f t="shared" si="312"/>
        <v/>
      </c>
      <c r="B957" s="150" t="str">
        <f t="shared" si="313"/>
        <v/>
      </c>
      <c r="C957" s="150" t="str">
        <f t="shared" si="314"/>
        <v/>
      </c>
      <c r="D957" s="150" t="str">
        <f>IF(E957="","",Input!$C$4+B957-1)</f>
        <v/>
      </c>
      <c r="E957" s="150" t="str">
        <f>IF(OR(AND(C956=12,D956=Input!$C$6),E956=""),"",1)</f>
        <v/>
      </c>
      <c r="F957" s="150" t="str">
        <f>IF(E957="","",Input!$C$8+B957-1)</f>
        <v/>
      </c>
      <c r="G957" s="151" t="str">
        <f>IF(E957="","",MAX(0,Input!$C$9-B957))</f>
        <v/>
      </c>
      <c r="H957" s="152" t="str">
        <f>IF(E957="","",Input!$C$3)</f>
        <v/>
      </c>
      <c r="I957" s="153" t="str">
        <f>IF(E957="","",HLOOKUP($B957,Input!$C$13:$BT$14,2))</f>
        <v/>
      </c>
      <c r="J957" s="154"/>
      <c r="K957" s="155" t="str">
        <f>IF($E957="","",Input!$C$57)</f>
        <v/>
      </c>
      <c r="L957" s="155" t="str">
        <f t="shared" si="305"/>
        <v/>
      </c>
      <c r="M957" s="147" t="str">
        <f>IF($E957="","",VLOOKUP(IF($B957&lt;=Input!$C$7,$B957,26),'Mortality Tables'!$A$72:$CA$97,IF($B957&lt;=Input!$C$7+1,Input!$C$4-16,$D957-Input!$C$7-16),0)/1000)</f>
        <v/>
      </c>
      <c r="N957" s="147" t="str">
        <f t="shared" si="294"/>
        <v/>
      </c>
      <c r="O957" s="157" t="str">
        <f>IF($E957="","",IF($C957=12,IF($B957&lt;Input!$C$9,Input!$C$54,IF($B957=Input!$C$9,Input!$C$55,Input!$C$56)),0%))</f>
        <v/>
      </c>
      <c r="P957" s="167" t="str">
        <f>IF($E957="","",IF($B957=1,Input!$C$59,IF($B957&lt;6,Input!$C$60,0%)))</f>
        <v/>
      </c>
      <c r="Q957" s="162" t="str">
        <f>IF($E957="","",Input!$C$58)</f>
        <v/>
      </c>
      <c r="R957" s="156" t="str">
        <f t="shared" si="306"/>
        <v/>
      </c>
      <c r="S957" s="154" t="str">
        <f t="shared" si="295"/>
        <v/>
      </c>
      <c r="T957" s="152"/>
      <c r="U957" s="150" t="str">
        <f t="shared" si="307"/>
        <v/>
      </c>
      <c r="V957" s="150" t="str">
        <f t="shared" si="308"/>
        <v/>
      </c>
      <c r="W957" s="168" t="str">
        <f t="shared" si="309"/>
        <v/>
      </c>
      <c r="X957" s="163" t="str">
        <f t="shared" si="296"/>
        <v/>
      </c>
      <c r="Y957" s="152"/>
      <c r="Z957" s="164" t="str">
        <f>IF(AND($C956=12,$D956=Input!$C$6),0,IF($E957="","",V957+Z958/(1+L957)*R957))</f>
        <v/>
      </c>
      <c r="AA957" s="164" t="str">
        <f>IF(OR($M957=1,AND($C956=12,$D956=Input!$C$6)),0,IF($E957="","",W957+(X957+AA958*$R957)/(1+$L957)))</f>
        <v/>
      </c>
      <c r="AB957" s="160" t="str">
        <f t="shared" si="297"/>
        <v/>
      </c>
      <c r="AC957" s="164" t="str">
        <f t="shared" si="298"/>
        <v/>
      </c>
      <c r="AD957" s="164" t="str">
        <f>IF(AND($C956=12,$D956=Input!$C$6),0,IF($E957="","",$AC957+AD958/(1+$L957)*$R957))</f>
        <v/>
      </c>
      <c r="AE957" s="152"/>
      <c r="AF957" s="164" t="str">
        <f>IF(AND($C956=12,$D956=Input!$C$6),0,IF($E957="","",IF($B957&gt;Input!$C$9,$AC957,0)+AF958/(1+$L957)*$R957))</f>
        <v/>
      </c>
      <c r="AG957" s="164" t="str">
        <f>IF(AND($C956=12,$D956=Input!$C$6),0,IF($E957="","",(IF($B957&gt;Input!$C$9,$X957,0)+AG958)/(1+$L957)*$R957))</f>
        <v/>
      </c>
      <c r="AH957" s="160" t="str">
        <f t="shared" si="299"/>
        <v/>
      </c>
      <c r="AI957" s="160" t="str">
        <f>IF($E957="","",MIN(Input!$C$61/AH957,1))</f>
        <v/>
      </c>
      <c r="AJ957" s="152"/>
      <c r="AK957" s="164" t="str">
        <f>IF(AND($C956=12,$D956=Input!$C$6),0,IF($E957="","",IF($B957&gt;Input!$C$9,$AC957*AI957,0)+AK958/(1+$L957)*$R957))</f>
        <v/>
      </c>
      <c r="AL957" s="164" t="str">
        <f>IF(AND($C956=12,$D956=Input!$C$6),0,IF($E957="","",IF($B957&gt;Input!$C$9,0,$AC957)+AL958/(1+$L957)*$R957))</f>
        <v/>
      </c>
      <c r="AM957" s="160" t="str">
        <f t="shared" si="300"/>
        <v/>
      </c>
      <c r="AN957" s="164" t="str">
        <f>IF($E957="","",IF($B957&gt;Input!$C$9,$AI957*$AC957,$AM957*$AC957))</f>
        <v/>
      </c>
      <c r="AO957" s="164" t="str">
        <f>IF(AND($C956=12,$D956=Input!$C$6),0,IF($E957="","",$AN957+AO958/(1+$L957)*$R957))</f>
        <v/>
      </c>
      <c r="AP957" s="152"/>
      <c r="AQ957" s="164" t="str">
        <f t="shared" si="301"/>
        <v/>
      </c>
      <c r="AR957" s="164" t="str">
        <f t="shared" si="310"/>
        <v/>
      </c>
      <c r="AS957" s="164" t="str">
        <f t="shared" si="311"/>
        <v/>
      </c>
      <c r="AT957" s="164" t="str">
        <f t="shared" si="302"/>
        <v/>
      </c>
      <c r="AU957" s="152"/>
      <c r="AV957" s="147" t="str">
        <f>'Deterministic Reserve'!BC957</f>
        <v/>
      </c>
      <c r="AW957" s="164" t="str">
        <f t="shared" si="303"/>
        <v/>
      </c>
      <c r="AX957" s="164" t="str">
        <f t="shared" si="304"/>
        <v/>
      </c>
      <c r="AY957" s="152"/>
    </row>
    <row r="958" spans="1:51" s="150" customFormat="1" x14ac:dyDescent="0.25">
      <c r="A958" s="150" t="str">
        <f t="shared" si="312"/>
        <v/>
      </c>
      <c r="B958" s="150" t="str">
        <f t="shared" si="313"/>
        <v/>
      </c>
      <c r="C958" s="150" t="str">
        <f t="shared" si="314"/>
        <v/>
      </c>
      <c r="D958" s="150" t="str">
        <f>IF(E958="","",Input!$C$4+B958-1)</f>
        <v/>
      </c>
      <c r="E958" s="150" t="str">
        <f>IF(OR(AND(C957=12,D957=Input!$C$6),E957=""),"",1)</f>
        <v/>
      </c>
      <c r="F958" s="150" t="str">
        <f>IF(E958="","",Input!$C$8+B958-1)</f>
        <v/>
      </c>
      <c r="G958" s="151" t="str">
        <f>IF(E958="","",MAX(0,Input!$C$9-B958))</f>
        <v/>
      </c>
      <c r="H958" s="152" t="str">
        <f>IF(E958="","",Input!$C$3)</f>
        <v/>
      </c>
      <c r="I958" s="153" t="str">
        <f>IF(E958="","",HLOOKUP($B958,Input!$C$13:$BT$14,2))</f>
        <v/>
      </c>
      <c r="J958" s="154"/>
      <c r="K958" s="155" t="str">
        <f>IF($E958="","",Input!$C$57)</f>
        <v/>
      </c>
      <c r="L958" s="155" t="str">
        <f t="shared" si="305"/>
        <v/>
      </c>
      <c r="M958" s="147" t="str">
        <f>IF($E958="","",VLOOKUP(IF($B958&lt;=Input!$C$7,$B958,26),'Mortality Tables'!$A$72:$CA$97,IF($B958&lt;=Input!$C$7+1,Input!$C$4-16,$D958-Input!$C$7-16),0)/1000)</f>
        <v/>
      </c>
      <c r="N958" s="147" t="str">
        <f t="shared" si="294"/>
        <v/>
      </c>
      <c r="O958" s="157" t="str">
        <f>IF($E958="","",IF($C958=12,IF($B958&lt;Input!$C$9,Input!$C$54,IF($B958=Input!$C$9,Input!$C$55,Input!$C$56)),0%))</f>
        <v/>
      </c>
      <c r="P958" s="167" t="str">
        <f>IF($E958="","",IF($B958=1,Input!$C$59,IF($B958&lt;6,Input!$C$60,0%)))</f>
        <v/>
      </c>
      <c r="Q958" s="162" t="str">
        <f>IF($E958="","",Input!$C$58)</f>
        <v/>
      </c>
      <c r="R958" s="156" t="str">
        <f t="shared" si="306"/>
        <v/>
      </c>
      <c r="S958" s="154" t="str">
        <f t="shared" si="295"/>
        <v/>
      </c>
      <c r="T958" s="152"/>
      <c r="U958" s="150" t="str">
        <f t="shared" si="307"/>
        <v/>
      </c>
      <c r="V958" s="150" t="str">
        <f t="shared" si="308"/>
        <v/>
      </c>
      <c r="W958" s="168" t="str">
        <f t="shared" si="309"/>
        <v/>
      </c>
      <c r="X958" s="163" t="str">
        <f t="shared" si="296"/>
        <v/>
      </c>
      <c r="Y958" s="152"/>
      <c r="Z958" s="164" t="str">
        <f>IF(AND($C957=12,$D957=Input!$C$6),0,IF($E958="","",V958+Z959/(1+L958)*R958))</f>
        <v/>
      </c>
      <c r="AA958" s="164" t="str">
        <f>IF(OR($M958=1,AND($C957=12,$D957=Input!$C$6)),0,IF($E958="","",W958+(X958+AA959*$R958)/(1+$L958)))</f>
        <v/>
      </c>
      <c r="AB958" s="160" t="str">
        <f t="shared" si="297"/>
        <v/>
      </c>
      <c r="AC958" s="164" t="str">
        <f t="shared" si="298"/>
        <v/>
      </c>
      <c r="AD958" s="164" t="str">
        <f>IF(AND($C957=12,$D957=Input!$C$6),0,IF($E958="","",$AC958+AD959/(1+$L958)*$R958))</f>
        <v/>
      </c>
      <c r="AE958" s="152"/>
      <c r="AF958" s="164" t="str">
        <f>IF(AND($C957=12,$D957=Input!$C$6),0,IF($E958="","",IF($B958&gt;Input!$C$9,$AC958,0)+AF959/(1+$L958)*$R958))</f>
        <v/>
      </c>
      <c r="AG958" s="164" t="str">
        <f>IF(AND($C957=12,$D957=Input!$C$6),0,IF($E958="","",(IF($B958&gt;Input!$C$9,$X958,0)+AG959)/(1+$L958)*$R958))</f>
        <v/>
      </c>
      <c r="AH958" s="160" t="str">
        <f t="shared" si="299"/>
        <v/>
      </c>
      <c r="AI958" s="160" t="str">
        <f>IF($E958="","",MIN(Input!$C$61/AH958,1))</f>
        <v/>
      </c>
      <c r="AJ958" s="152"/>
      <c r="AK958" s="164" t="str">
        <f>IF(AND($C957=12,$D957=Input!$C$6),0,IF($E958="","",IF($B958&gt;Input!$C$9,$AC958*AI958,0)+AK959/(1+$L958)*$R958))</f>
        <v/>
      </c>
      <c r="AL958" s="164" t="str">
        <f>IF(AND($C957=12,$D957=Input!$C$6),0,IF($E958="","",IF($B958&gt;Input!$C$9,0,$AC958)+AL959/(1+$L958)*$R958))</f>
        <v/>
      </c>
      <c r="AM958" s="160" t="str">
        <f t="shared" si="300"/>
        <v/>
      </c>
      <c r="AN958" s="164" t="str">
        <f>IF($E958="","",IF($B958&gt;Input!$C$9,$AI958*$AC958,$AM958*$AC958))</f>
        <v/>
      </c>
      <c r="AO958" s="164" t="str">
        <f>IF(AND($C957=12,$D957=Input!$C$6),0,IF($E958="","",$AN958+AO959/(1+$L958)*$R958))</f>
        <v/>
      </c>
      <c r="AP958" s="152"/>
      <c r="AQ958" s="164" t="str">
        <f t="shared" si="301"/>
        <v/>
      </c>
      <c r="AR958" s="164" t="str">
        <f t="shared" si="310"/>
        <v/>
      </c>
      <c r="AS958" s="164" t="str">
        <f t="shared" si="311"/>
        <v/>
      </c>
      <c r="AT958" s="164" t="str">
        <f t="shared" si="302"/>
        <v/>
      </c>
      <c r="AU958" s="152"/>
      <c r="AV958" s="147" t="str">
        <f>'Deterministic Reserve'!BC958</f>
        <v/>
      </c>
      <c r="AW958" s="164" t="str">
        <f t="shared" si="303"/>
        <v/>
      </c>
      <c r="AX958" s="164" t="str">
        <f t="shared" si="304"/>
        <v/>
      </c>
      <c r="AY958" s="152"/>
    </row>
    <row r="959" spans="1:51" s="150" customFormat="1" x14ac:dyDescent="0.25">
      <c r="A959" s="150" t="str">
        <f t="shared" si="312"/>
        <v/>
      </c>
      <c r="B959" s="150" t="str">
        <f t="shared" si="313"/>
        <v/>
      </c>
      <c r="C959" s="150" t="str">
        <f t="shared" si="314"/>
        <v/>
      </c>
      <c r="D959" s="150" t="str">
        <f>IF(E959="","",Input!$C$4+B959-1)</f>
        <v/>
      </c>
      <c r="E959" s="150" t="str">
        <f>IF(OR(AND(C958=12,D958=Input!$C$6),E958=""),"",1)</f>
        <v/>
      </c>
      <c r="F959" s="150" t="str">
        <f>IF(E959="","",Input!$C$8+B959-1)</f>
        <v/>
      </c>
      <c r="G959" s="151" t="str">
        <f>IF(E959="","",MAX(0,Input!$C$9-B959))</f>
        <v/>
      </c>
      <c r="H959" s="152" t="str">
        <f>IF(E959="","",Input!$C$3)</f>
        <v/>
      </c>
      <c r="I959" s="153" t="str">
        <f>IF(E959="","",HLOOKUP($B959,Input!$C$13:$BT$14,2))</f>
        <v/>
      </c>
      <c r="J959" s="154"/>
      <c r="K959" s="155" t="str">
        <f>IF($E959="","",Input!$C$57)</f>
        <v/>
      </c>
      <c r="L959" s="155" t="str">
        <f t="shared" si="305"/>
        <v/>
      </c>
      <c r="M959" s="147" t="str">
        <f>IF($E959="","",VLOOKUP(IF($B959&lt;=Input!$C$7,$B959,26),'Mortality Tables'!$A$72:$CA$97,IF($B959&lt;=Input!$C$7+1,Input!$C$4-16,$D959-Input!$C$7-16),0)/1000)</f>
        <v/>
      </c>
      <c r="N959" s="147" t="str">
        <f t="shared" si="294"/>
        <v/>
      </c>
      <c r="O959" s="157" t="str">
        <f>IF($E959="","",IF($C959=12,IF($B959&lt;Input!$C$9,Input!$C$54,IF($B959=Input!$C$9,Input!$C$55,Input!$C$56)),0%))</f>
        <v/>
      </c>
      <c r="P959" s="167" t="str">
        <f>IF($E959="","",IF($B959=1,Input!$C$59,IF($B959&lt;6,Input!$C$60,0%)))</f>
        <v/>
      </c>
      <c r="Q959" s="162" t="str">
        <f>IF($E959="","",Input!$C$58)</f>
        <v/>
      </c>
      <c r="R959" s="156" t="str">
        <f t="shared" si="306"/>
        <v/>
      </c>
      <c r="S959" s="154" t="str">
        <f t="shared" si="295"/>
        <v/>
      </c>
      <c r="T959" s="152"/>
      <c r="U959" s="150" t="str">
        <f t="shared" si="307"/>
        <v/>
      </c>
      <c r="V959" s="150" t="str">
        <f t="shared" si="308"/>
        <v/>
      </c>
      <c r="W959" s="168" t="str">
        <f t="shared" si="309"/>
        <v/>
      </c>
      <c r="X959" s="163" t="str">
        <f t="shared" si="296"/>
        <v/>
      </c>
      <c r="Y959" s="152"/>
      <c r="Z959" s="164" t="str">
        <f>IF(AND($C958=12,$D958=Input!$C$6),0,IF($E959="","",V959+Z960/(1+L959)*R959))</f>
        <v/>
      </c>
      <c r="AA959" s="164" t="str">
        <f>IF(OR($M959=1,AND($C958=12,$D958=Input!$C$6)),0,IF($E959="","",W959+(X959+AA960*$R959)/(1+$L959)))</f>
        <v/>
      </c>
      <c r="AB959" s="160" t="str">
        <f t="shared" si="297"/>
        <v/>
      </c>
      <c r="AC959" s="164" t="str">
        <f t="shared" si="298"/>
        <v/>
      </c>
      <c r="AD959" s="164" t="str">
        <f>IF(AND($C958=12,$D958=Input!$C$6),0,IF($E959="","",$AC959+AD960/(1+$L959)*$R959))</f>
        <v/>
      </c>
      <c r="AE959" s="152"/>
      <c r="AF959" s="164" t="str">
        <f>IF(AND($C958=12,$D958=Input!$C$6),0,IF($E959="","",IF($B959&gt;Input!$C$9,$AC959,0)+AF960/(1+$L959)*$R959))</f>
        <v/>
      </c>
      <c r="AG959" s="164" t="str">
        <f>IF(AND($C958=12,$D958=Input!$C$6),0,IF($E959="","",(IF($B959&gt;Input!$C$9,$X959,0)+AG960)/(1+$L959)*$R959))</f>
        <v/>
      </c>
      <c r="AH959" s="160" t="str">
        <f t="shared" si="299"/>
        <v/>
      </c>
      <c r="AI959" s="160" t="str">
        <f>IF($E959="","",MIN(Input!$C$61/AH959,1))</f>
        <v/>
      </c>
      <c r="AJ959" s="152"/>
      <c r="AK959" s="164" t="str">
        <f>IF(AND($C958=12,$D958=Input!$C$6),0,IF($E959="","",IF($B959&gt;Input!$C$9,$AC959*AI959,0)+AK960/(1+$L959)*$R959))</f>
        <v/>
      </c>
      <c r="AL959" s="164" t="str">
        <f>IF(AND($C958=12,$D958=Input!$C$6),0,IF($E959="","",IF($B959&gt;Input!$C$9,0,$AC959)+AL960/(1+$L959)*$R959))</f>
        <v/>
      </c>
      <c r="AM959" s="160" t="str">
        <f t="shared" si="300"/>
        <v/>
      </c>
      <c r="AN959" s="164" t="str">
        <f>IF($E959="","",IF($B959&gt;Input!$C$9,$AI959*$AC959,$AM959*$AC959))</f>
        <v/>
      </c>
      <c r="AO959" s="164" t="str">
        <f>IF(AND($C958=12,$D958=Input!$C$6),0,IF($E959="","",$AN959+AO960/(1+$L959)*$R959))</f>
        <v/>
      </c>
      <c r="AP959" s="152"/>
      <c r="AQ959" s="164" t="str">
        <f t="shared" si="301"/>
        <v/>
      </c>
      <c r="AR959" s="164" t="str">
        <f t="shared" si="310"/>
        <v/>
      </c>
      <c r="AS959" s="164" t="str">
        <f t="shared" si="311"/>
        <v/>
      </c>
      <c r="AT959" s="164" t="str">
        <f t="shared" si="302"/>
        <v/>
      </c>
      <c r="AU959" s="152"/>
      <c r="AV959" s="147" t="str">
        <f>'Deterministic Reserve'!BC959</f>
        <v/>
      </c>
      <c r="AW959" s="164" t="str">
        <f t="shared" si="303"/>
        <v/>
      </c>
      <c r="AX959" s="164" t="str">
        <f t="shared" si="304"/>
        <v/>
      </c>
      <c r="AY959" s="152"/>
    </row>
    <row r="960" spans="1:51" s="150" customFormat="1" x14ac:dyDescent="0.25">
      <c r="A960" s="150" t="str">
        <f t="shared" si="312"/>
        <v/>
      </c>
      <c r="B960" s="150" t="str">
        <f t="shared" si="313"/>
        <v/>
      </c>
      <c r="C960" s="150" t="str">
        <f t="shared" si="314"/>
        <v/>
      </c>
      <c r="D960" s="150" t="str">
        <f>IF(E960="","",Input!$C$4+B960-1)</f>
        <v/>
      </c>
      <c r="E960" s="150" t="str">
        <f>IF(OR(AND(C959=12,D959=Input!$C$6),E959=""),"",1)</f>
        <v/>
      </c>
      <c r="F960" s="150" t="str">
        <f>IF(E960="","",Input!$C$8+B960-1)</f>
        <v/>
      </c>
      <c r="G960" s="151" t="str">
        <f>IF(E960="","",MAX(0,Input!$C$9-B960))</f>
        <v/>
      </c>
      <c r="H960" s="152" t="str">
        <f>IF(E960="","",Input!$C$3)</f>
        <v/>
      </c>
      <c r="I960" s="153" t="str">
        <f>IF(E960="","",HLOOKUP($B960,Input!$C$13:$BT$14,2))</f>
        <v/>
      </c>
      <c r="J960" s="154"/>
      <c r="K960" s="155" t="str">
        <f>IF($E960="","",Input!$C$57)</f>
        <v/>
      </c>
      <c r="L960" s="155" t="str">
        <f t="shared" si="305"/>
        <v/>
      </c>
      <c r="M960" s="147" t="str">
        <f>IF($E960="","",VLOOKUP(IF($B960&lt;=Input!$C$7,$B960,26),'Mortality Tables'!$A$72:$CA$97,IF($B960&lt;=Input!$C$7+1,Input!$C$4-16,$D960-Input!$C$7-16),0)/1000)</f>
        <v/>
      </c>
      <c r="N960" s="147" t="str">
        <f t="shared" si="294"/>
        <v/>
      </c>
      <c r="O960" s="157" t="str">
        <f>IF($E960="","",IF($C960=12,IF($B960&lt;Input!$C$9,Input!$C$54,IF($B960=Input!$C$9,Input!$C$55,Input!$C$56)),0%))</f>
        <v/>
      </c>
      <c r="P960" s="167" t="str">
        <f>IF($E960="","",IF($B960=1,Input!$C$59,IF($B960&lt;6,Input!$C$60,0%)))</f>
        <v/>
      </c>
      <c r="Q960" s="162" t="str">
        <f>IF($E960="","",Input!$C$58)</f>
        <v/>
      </c>
      <c r="R960" s="156" t="str">
        <f t="shared" si="306"/>
        <v/>
      </c>
      <c r="S960" s="154" t="str">
        <f t="shared" si="295"/>
        <v/>
      </c>
      <c r="T960" s="152"/>
      <c r="U960" s="150" t="str">
        <f t="shared" si="307"/>
        <v/>
      </c>
      <c r="V960" s="150" t="str">
        <f t="shared" si="308"/>
        <v/>
      </c>
      <c r="W960" s="168" t="str">
        <f t="shared" si="309"/>
        <v/>
      </c>
      <c r="X960" s="163" t="str">
        <f t="shared" si="296"/>
        <v/>
      </c>
      <c r="Y960" s="152"/>
      <c r="Z960" s="164" t="str">
        <f>IF(AND($C959=12,$D959=Input!$C$6),0,IF($E960="","",V960+Z961/(1+L960)*R960))</f>
        <v/>
      </c>
      <c r="AA960" s="164" t="str">
        <f>IF(OR($M960=1,AND($C959=12,$D959=Input!$C$6)),0,IF($E960="","",W960+(X960+AA961*$R960)/(1+$L960)))</f>
        <v/>
      </c>
      <c r="AB960" s="160" t="str">
        <f t="shared" si="297"/>
        <v/>
      </c>
      <c r="AC960" s="164" t="str">
        <f t="shared" si="298"/>
        <v/>
      </c>
      <c r="AD960" s="164" t="str">
        <f>IF(AND($C959=12,$D959=Input!$C$6),0,IF($E960="","",$AC960+AD961/(1+$L960)*$R960))</f>
        <v/>
      </c>
      <c r="AE960" s="152"/>
      <c r="AF960" s="164" t="str">
        <f>IF(AND($C959=12,$D959=Input!$C$6),0,IF($E960="","",IF($B960&gt;Input!$C$9,$AC960,0)+AF961/(1+$L960)*$R960))</f>
        <v/>
      </c>
      <c r="AG960" s="164" t="str">
        <f>IF(AND($C959=12,$D959=Input!$C$6),0,IF($E960="","",(IF($B960&gt;Input!$C$9,$X960,0)+AG961)/(1+$L960)*$R960))</f>
        <v/>
      </c>
      <c r="AH960" s="160" t="str">
        <f t="shared" si="299"/>
        <v/>
      </c>
      <c r="AI960" s="160" t="str">
        <f>IF($E960="","",MIN(Input!$C$61/AH960,1))</f>
        <v/>
      </c>
      <c r="AJ960" s="152"/>
      <c r="AK960" s="164" t="str">
        <f>IF(AND($C959=12,$D959=Input!$C$6),0,IF($E960="","",IF($B960&gt;Input!$C$9,$AC960*AI960,0)+AK961/(1+$L960)*$R960))</f>
        <v/>
      </c>
      <c r="AL960" s="164" t="str">
        <f>IF(AND($C959=12,$D959=Input!$C$6),0,IF($E960="","",IF($B960&gt;Input!$C$9,0,$AC960)+AL961/(1+$L960)*$R960))</f>
        <v/>
      </c>
      <c r="AM960" s="160" t="str">
        <f t="shared" si="300"/>
        <v/>
      </c>
      <c r="AN960" s="164" t="str">
        <f>IF($E960="","",IF($B960&gt;Input!$C$9,$AI960*$AC960,$AM960*$AC960))</f>
        <v/>
      </c>
      <c r="AO960" s="164" t="str">
        <f>IF(AND($C959=12,$D959=Input!$C$6),0,IF($E960="","",$AN960+AO961/(1+$L960)*$R960))</f>
        <v/>
      </c>
      <c r="AP960" s="152"/>
      <c r="AQ960" s="164" t="str">
        <f t="shared" si="301"/>
        <v/>
      </c>
      <c r="AR960" s="164" t="str">
        <f t="shared" si="310"/>
        <v/>
      </c>
      <c r="AS960" s="164" t="str">
        <f t="shared" si="311"/>
        <v/>
      </c>
      <c r="AT960" s="164" t="str">
        <f t="shared" si="302"/>
        <v/>
      </c>
      <c r="AU960" s="152"/>
      <c r="AV960" s="147" t="str">
        <f>'Deterministic Reserve'!BC960</f>
        <v/>
      </c>
      <c r="AW960" s="164" t="str">
        <f t="shared" si="303"/>
        <v/>
      </c>
      <c r="AX960" s="164" t="str">
        <f t="shared" si="304"/>
        <v/>
      </c>
      <c r="AY960" s="152"/>
    </row>
    <row r="961" spans="1:51" s="150" customFormat="1" x14ac:dyDescent="0.25">
      <c r="A961" s="150" t="str">
        <f t="shared" si="312"/>
        <v/>
      </c>
      <c r="B961" s="150" t="str">
        <f t="shared" si="313"/>
        <v/>
      </c>
      <c r="C961" s="150" t="str">
        <f t="shared" si="314"/>
        <v/>
      </c>
      <c r="D961" s="150" t="str">
        <f>IF(E961="","",Input!$C$4+B961-1)</f>
        <v/>
      </c>
      <c r="E961" s="150" t="str">
        <f>IF(OR(AND(C960=12,D960=Input!$C$6),E960=""),"",1)</f>
        <v/>
      </c>
      <c r="F961" s="150" t="str">
        <f>IF(E961="","",Input!$C$8+B961-1)</f>
        <v/>
      </c>
      <c r="G961" s="151" t="str">
        <f>IF(E961="","",MAX(0,Input!$C$9-B961))</f>
        <v/>
      </c>
      <c r="H961" s="152" t="str">
        <f>IF(E961="","",Input!$C$3)</f>
        <v/>
      </c>
      <c r="I961" s="153" t="str">
        <f>IF(E961="","",HLOOKUP($B961,Input!$C$13:$BT$14,2))</f>
        <v/>
      </c>
      <c r="J961" s="154"/>
      <c r="K961" s="155" t="str">
        <f>IF($E961="","",Input!$C$57)</f>
        <v/>
      </c>
      <c r="L961" s="155" t="str">
        <f t="shared" si="305"/>
        <v/>
      </c>
      <c r="M961" s="147" t="str">
        <f>IF($E961="","",VLOOKUP(IF($B961&lt;=Input!$C$7,$B961,26),'Mortality Tables'!$A$72:$CA$97,IF($B961&lt;=Input!$C$7+1,Input!$C$4-16,$D961-Input!$C$7-16),0)/1000)</f>
        <v/>
      </c>
      <c r="N961" s="147" t="str">
        <f t="shared" si="294"/>
        <v/>
      </c>
      <c r="O961" s="157" t="str">
        <f>IF($E961="","",IF($C961=12,IF($B961&lt;Input!$C$9,Input!$C$54,IF($B961=Input!$C$9,Input!$C$55,Input!$C$56)),0%))</f>
        <v/>
      </c>
      <c r="P961" s="167" t="str">
        <f>IF($E961="","",IF($B961=1,Input!$C$59,IF($B961&lt;6,Input!$C$60,0%)))</f>
        <v/>
      </c>
      <c r="Q961" s="162" t="str">
        <f>IF($E961="","",Input!$C$58)</f>
        <v/>
      </c>
      <c r="R961" s="156" t="str">
        <f t="shared" si="306"/>
        <v/>
      </c>
      <c r="S961" s="154" t="str">
        <f t="shared" si="295"/>
        <v/>
      </c>
      <c r="T961" s="152"/>
      <c r="U961" s="150" t="str">
        <f t="shared" si="307"/>
        <v/>
      </c>
      <c r="V961" s="150" t="str">
        <f t="shared" si="308"/>
        <v/>
      </c>
      <c r="W961" s="168" t="str">
        <f t="shared" si="309"/>
        <v/>
      </c>
      <c r="X961" s="163" t="str">
        <f t="shared" si="296"/>
        <v/>
      </c>
      <c r="Y961" s="152"/>
      <c r="Z961" s="164" t="str">
        <f>IF(AND($C960=12,$D960=Input!$C$6),0,IF($E961="","",V961+Z962/(1+L961)*R961))</f>
        <v/>
      </c>
      <c r="AA961" s="164" t="str">
        <f>IF(OR($M961=1,AND($C960=12,$D960=Input!$C$6)),0,IF($E961="","",W961+(X961+AA962*$R961)/(1+$L961)))</f>
        <v/>
      </c>
      <c r="AB961" s="160" t="str">
        <f t="shared" si="297"/>
        <v/>
      </c>
      <c r="AC961" s="164" t="str">
        <f t="shared" si="298"/>
        <v/>
      </c>
      <c r="AD961" s="164" t="str">
        <f>IF(AND($C960=12,$D960=Input!$C$6),0,IF($E961="","",$AC961+AD962/(1+$L961)*$R961))</f>
        <v/>
      </c>
      <c r="AE961" s="152"/>
      <c r="AF961" s="164" t="str">
        <f>IF(AND($C960=12,$D960=Input!$C$6),0,IF($E961="","",IF($B961&gt;Input!$C$9,$AC961,0)+AF962/(1+$L961)*$R961))</f>
        <v/>
      </c>
      <c r="AG961" s="164" t="str">
        <f>IF(AND($C960=12,$D960=Input!$C$6),0,IF($E961="","",(IF($B961&gt;Input!$C$9,$X961,0)+AG962)/(1+$L961)*$R961))</f>
        <v/>
      </c>
      <c r="AH961" s="160" t="str">
        <f t="shared" si="299"/>
        <v/>
      </c>
      <c r="AI961" s="160" t="str">
        <f>IF($E961="","",MIN(Input!$C$61/AH961,1))</f>
        <v/>
      </c>
      <c r="AJ961" s="152"/>
      <c r="AK961" s="164" t="str">
        <f>IF(AND($C960=12,$D960=Input!$C$6),0,IF($E961="","",IF($B961&gt;Input!$C$9,$AC961*AI961,0)+AK962/(1+$L961)*$R961))</f>
        <v/>
      </c>
      <c r="AL961" s="164" t="str">
        <f>IF(AND($C960=12,$D960=Input!$C$6),0,IF($E961="","",IF($B961&gt;Input!$C$9,0,$AC961)+AL962/(1+$L961)*$R961))</f>
        <v/>
      </c>
      <c r="AM961" s="160" t="str">
        <f t="shared" si="300"/>
        <v/>
      </c>
      <c r="AN961" s="164" t="str">
        <f>IF($E961="","",IF($B961&gt;Input!$C$9,$AI961*$AC961,$AM961*$AC961))</f>
        <v/>
      </c>
      <c r="AO961" s="164" t="str">
        <f>IF(AND($C960=12,$D960=Input!$C$6),0,IF($E961="","",$AN961+AO962/(1+$L961)*$R961))</f>
        <v/>
      </c>
      <c r="AP961" s="152"/>
      <c r="AQ961" s="164" t="str">
        <f t="shared" si="301"/>
        <v/>
      </c>
      <c r="AR961" s="164" t="str">
        <f t="shared" si="310"/>
        <v/>
      </c>
      <c r="AS961" s="164" t="str">
        <f t="shared" si="311"/>
        <v/>
      </c>
      <c r="AT961" s="164" t="str">
        <f t="shared" si="302"/>
        <v/>
      </c>
      <c r="AU961" s="152"/>
      <c r="AV961" s="147" t="str">
        <f>'Deterministic Reserve'!BC961</f>
        <v/>
      </c>
      <c r="AW961" s="164" t="str">
        <f t="shared" si="303"/>
        <v/>
      </c>
      <c r="AX961" s="164" t="str">
        <f t="shared" si="304"/>
        <v/>
      </c>
      <c r="AY961" s="152"/>
    </row>
    <row r="962" spans="1:51" s="150" customFormat="1" x14ac:dyDescent="0.25">
      <c r="A962" s="150" t="str">
        <f t="shared" si="312"/>
        <v/>
      </c>
      <c r="B962" s="150" t="str">
        <f t="shared" si="313"/>
        <v/>
      </c>
      <c r="C962" s="150" t="str">
        <f t="shared" si="314"/>
        <v/>
      </c>
      <c r="D962" s="150" t="str">
        <f>IF(E962="","",Input!$C$4+B962-1)</f>
        <v/>
      </c>
      <c r="E962" s="150" t="str">
        <f>IF(OR(AND(C961=12,D961=Input!$C$6),E961=""),"",1)</f>
        <v/>
      </c>
      <c r="F962" s="150" t="str">
        <f>IF(E962="","",Input!$C$8+B962-1)</f>
        <v/>
      </c>
      <c r="G962" s="151" t="str">
        <f>IF(E962="","",MAX(0,Input!$C$9-B962))</f>
        <v/>
      </c>
      <c r="H962" s="152" t="str">
        <f>IF(E962="","",Input!$C$3)</f>
        <v/>
      </c>
      <c r="I962" s="153" t="str">
        <f>IF(E962="","",HLOOKUP($B962,Input!$C$13:$BT$14,2))</f>
        <v/>
      </c>
      <c r="J962" s="154"/>
      <c r="K962" s="155" t="str">
        <f>IF($E962="","",Input!$C$57)</f>
        <v/>
      </c>
      <c r="L962" s="155" t="str">
        <f t="shared" si="305"/>
        <v/>
      </c>
      <c r="M962" s="147" t="str">
        <f>IF($E962="","",VLOOKUP(IF($B962&lt;=Input!$C$7,$B962,26),'Mortality Tables'!$A$72:$CA$97,IF($B962&lt;=Input!$C$7+1,Input!$C$4-16,$D962-Input!$C$7-16),0)/1000)</f>
        <v/>
      </c>
      <c r="N962" s="147" t="str">
        <f t="shared" si="294"/>
        <v/>
      </c>
      <c r="O962" s="157" t="str">
        <f>IF($E962="","",IF($C962=12,IF($B962&lt;Input!$C$9,Input!$C$54,IF($B962=Input!$C$9,Input!$C$55,Input!$C$56)),0%))</f>
        <v/>
      </c>
      <c r="P962" s="167" t="str">
        <f>IF($E962="","",IF($B962=1,Input!$C$59,IF($B962&lt;6,Input!$C$60,0%)))</f>
        <v/>
      </c>
      <c r="Q962" s="162" t="str">
        <f>IF($E962="","",Input!$C$58)</f>
        <v/>
      </c>
      <c r="R962" s="156" t="str">
        <f t="shared" si="306"/>
        <v/>
      </c>
      <c r="S962" s="154" t="str">
        <f t="shared" si="295"/>
        <v/>
      </c>
      <c r="T962" s="152"/>
      <c r="U962" s="150" t="str">
        <f t="shared" si="307"/>
        <v/>
      </c>
      <c r="V962" s="150" t="str">
        <f t="shared" si="308"/>
        <v/>
      </c>
      <c r="W962" s="168" t="str">
        <f t="shared" si="309"/>
        <v/>
      </c>
      <c r="X962" s="163" t="str">
        <f t="shared" si="296"/>
        <v/>
      </c>
      <c r="Y962" s="152"/>
      <c r="Z962" s="164" t="str">
        <f>IF(AND($C961=12,$D961=Input!$C$6),0,IF($E962="","",V962+Z963/(1+L962)*R962))</f>
        <v/>
      </c>
      <c r="AA962" s="164" t="str">
        <f>IF(OR($M962=1,AND($C961=12,$D961=Input!$C$6)),0,IF($E962="","",W962+(X962+AA963*$R962)/(1+$L962)))</f>
        <v/>
      </c>
      <c r="AB962" s="160" t="str">
        <f t="shared" si="297"/>
        <v/>
      </c>
      <c r="AC962" s="164" t="str">
        <f t="shared" si="298"/>
        <v/>
      </c>
      <c r="AD962" s="164" t="str">
        <f>IF(AND($C961=12,$D961=Input!$C$6),0,IF($E962="","",$AC962+AD963/(1+$L962)*$R962))</f>
        <v/>
      </c>
      <c r="AE962" s="152"/>
      <c r="AF962" s="164" t="str">
        <f>IF(AND($C961=12,$D961=Input!$C$6),0,IF($E962="","",IF($B962&gt;Input!$C$9,$AC962,0)+AF963/(1+$L962)*$R962))</f>
        <v/>
      </c>
      <c r="AG962" s="164" t="str">
        <f>IF(AND($C961=12,$D961=Input!$C$6),0,IF($E962="","",(IF($B962&gt;Input!$C$9,$X962,0)+AG963)/(1+$L962)*$R962))</f>
        <v/>
      </c>
      <c r="AH962" s="160" t="str">
        <f t="shared" si="299"/>
        <v/>
      </c>
      <c r="AI962" s="160" t="str">
        <f>IF($E962="","",MIN(Input!$C$61/AH962,1))</f>
        <v/>
      </c>
      <c r="AJ962" s="152"/>
      <c r="AK962" s="164" t="str">
        <f>IF(AND($C961=12,$D961=Input!$C$6),0,IF($E962="","",IF($B962&gt;Input!$C$9,$AC962*AI962,0)+AK963/(1+$L962)*$R962))</f>
        <v/>
      </c>
      <c r="AL962" s="164" t="str">
        <f>IF(AND($C961=12,$D961=Input!$C$6),0,IF($E962="","",IF($B962&gt;Input!$C$9,0,$AC962)+AL963/(1+$L962)*$R962))</f>
        <v/>
      </c>
      <c r="AM962" s="160" t="str">
        <f t="shared" si="300"/>
        <v/>
      </c>
      <c r="AN962" s="164" t="str">
        <f>IF($E962="","",IF($B962&gt;Input!$C$9,$AI962*$AC962,$AM962*$AC962))</f>
        <v/>
      </c>
      <c r="AO962" s="164" t="str">
        <f>IF(AND($C961=12,$D961=Input!$C$6),0,IF($E962="","",$AN962+AO963/(1+$L962)*$R962))</f>
        <v/>
      </c>
      <c r="AP962" s="152"/>
      <c r="AQ962" s="164" t="str">
        <f t="shared" si="301"/>
        <v/>
      </c>
      <c r="AR962" s="164" t="str">
        <f t="shared" si="310"/>
        <v/>
      </c>
      <c r="AS962" s="164" t="str">
        <f t="shared" si="311"/>
        <v/>
      </c>
      <c r="AT962" s="164" t="str">
        <f t="shared" si="302"/>
        <v/>
      </c>
      <c r="AU962" s="152"/>
      <c r="AV962" s="147" t="str">
        <f>'Deterministic Reserve'!BC962</f>
        <v/>
      </c>
      <c r="AW962" s="164" t="str">
        <f t="shared" si="303"/>
        <v/>
      </c>
      <c r="AX962" s="164" t="str">
        <f t="shared" si="304"/>
        <v/>
      </c>
      <c r="AY962" s="152"/>
    </row>
    <row r="963" spans="1:51" s="150" customFormat="1" x14ac:dyDescent="0.25">
      <c r="A963" s="150" t="str">
        <f t="shared" si="312"/>
        <v/>
      </c>
      <c r="B963" s="150" t="str">
        <f t="shared" si="313"/>
        <v/>
      </c>
      <c r="C963" s="150" t="str">
        <f t="shared" si="314"/>
        <v/>
      </c>
      <c r="D963" s="150" t="str">
        <f>IF(E963="","",Input!$C$4+B963-1)</f>
        <v/>
      </c>
      <c r="E963" s="150" t="str">
        <f>IF(OR(AND(C962=12,D962=Input!$C$6),E962=""),"",1)</f>
        <v/>
      </c>
      <c r="F963" s="150" t="str">
        <f>IF(E963="","",Input!$C$8+B963-1)</f>
        <v/>
      </c>
      <c r="G963" s="151" t="str">
        <f>IF(E963="","",MAX(0,Input!$C$9-B963))</f>
        <v/>
      </c>
      <c r="H963" s="152" t="str">
        <f>IF(E963="","",Input!$C$3)</f>
        <v/>
      </c>
      <c r="I963" s="153" t="str">
        <f>IF(E963="","",HLOOKUP($B963,Input!$C$13:$BT$14,2))</f>
        <v/>
      </c>
      <c r="J963" s="154"/>
      <c r="K963" s="155" t="str">
        <f>IF($E963="","",Input!$C$57)</f>
        <v/>
      </c>
      <c r="L963" s="155" t="str">
        <f t="shared" si="305"/>
        <v/>
      </c>
      <c r="M963" s="147" t="str">
        <f>IF($E963="","",VLOOKUP(IF($B963&lt;=Input!$C$7,$B963,26),'Mortality Tables'!$A$72:$CA$97,IF($B963&lt;=Input!$C$7+1,Input!$C$4-16,$D963-Input!$C$7-16),0)/1000)</f>
        <v/>
      </c>
      <c r="N963" s="147" t="str">
        <f t="shared" si="294"/>
        <v/>
      </c>
      <c r="O963" s="157" t="str">
        <f>IF($E963="","",IF($C963=12,IF($B963&lt;Input!$C$9,Input!$C$54,IF($B963=Input!$C$9,Input!$C$55,Input!$C$56)),0%))</f>
        <v/>
      </c>
      <c r="P963" s="167" t="str">
        <f>IF($E963="","",IF($B963=1,Input!$C$59,IF($B963&lt;6,Input!$C$60,0%)))</f>
        <v/>
      </c>
      <c r="Q963" s="162" t="str">
        <f>IF($E963="","",Input!$C$58)</f>
        <v/>
      </c>
      <c r="R963" s="156" t="str">
        <f t="shared" si="306"/>
        <v/>
      </c>
      <c r="S963" s="154" t="str">
        <f t="shared" si="295"/>
        <v/>
      </c>
      <c r="T963" s="152"/>
      <c r="U963" s="150" t="str">
        <f t="shared" si="307"/>
        <v/>
      </c>
      <c r="V963" s="150" t="str">
        <f t="shared" si="308"/>
        <v/>
      </c>
      <c r="W963" s="168" t="str">
        <f t="shared" si="309"/>
        <v/>
      </c>
      <c r="X963" s="163" t="str">
        <f t="shared" si="296"/>
        <v/>
      </c>
      <c r="Y963" s="152"/>
      <c r="Z963" s="164" t="str">
        <f>IF(AND($C962=12,$D962=Input!$C$6),0,IF($E963="","",V963+Z964/(1+L963)*R963))</f>
        <v/>
      </c>
      <c r="AA963" s="164" t="str">
        <f>IF(OR($M963=1,AND($C962=12,$D962=Input!$C$6)),0,IF($E963="","",W963+(X963+AA964*$R963)/(1+$L963)))</f>
        <v/>
      </c>
      <c r="AB963" s="160" t="str">
        <f t="shared" si="297"/>
        <v/>
      </c>
      <c r="AC963" s="164" t="str">
        <f t="shared" si="298"/>
        <v/>
      </c>
      <c r="AD963" s="164" t="str">
        <f>IF(AND($C962=12,$D962=Input!$C$6),0,IF($E963="","",$AC963+AD964/(1+$L963)*$R963))</f>
        <v/>
      </c>
      <c r="AE963" s="152"/>
      <c r="AF963" s="164" t="str">
        <f>IF(AND($C962=12,$D962=Input!$C$6),0,IF($E963="","",IF($B963&gt;Input!$C$9,$AC963,0)+AF964/(1+$L963)*$R963))</f>
        <v/>
      </c>
      <c r="AG963" s="164" t="str">
        <f>IF(AND($C962=12,$D962=Input!$C$6),0,IF($E963="","",(IF($B963&gt;Input!$C$9,$X963,0)+AG964)/(1+$L963)*$R963))</f>
        <v/>
      </c>
      <c r="AH963" s="160" t="str">
        <f t="shared" si="299"/>
        <v/>
      </c>
      <c r="AI963" s="160" t="str">
        <f>IF($E963="","",MIN(Input!$C$61/AH963,1))</f>
        <v/>
      </c>
      <c r="AJ963" s="152"/>
      <c r="AK963" s="164" t="str">
        <f>IF(AND($C962=12,$D962=Input!$C$6),0,IF($E963="","",IF($B963&gt;Input!$C$9,$AC963*AI963,0)+AK964/(1+$L963)*$R963))</f>
        <v/>
      </c>
      <c r="AL963" s="164" t="str">
        <f>IF(AND($C962=12,$D962=Input!$C$6),0,IF($E963="","",IF($B963&gt;Input!$C$9,0,$AC963)+AL964/(1+$L963)*$R963))</f>
        <v/>
      </c>
      <c r="AM963" s="160" t="str">
        <f t="shared" si="300"/>
        <v/>
      </c>
      <c r="AN963" s="164" t="str">
        <f>IF($E963="","",IF($B963&gt;Input!$C$9,$AI963*$AC963,$AM963*$AC963))</f>
        <v/>
      </c>
      <c r="AO963" s="164" t="str">
        <f>IF(AND($C962=12,$D962=Input!$C$6),0,IF($E963="","",$AN963+AO964/(1+$L963)*$R963))</f>
        <v/>
      </c>
      <c r="AP963" s="152"/>
      <c r="AQ963" s="164" t="str">
        <f t="shared" si="301"/>
        <v/>
      </c>
      <c r="AR963" s="164" t="str">
        <f t="shared" si="310"/>
        <v/>
      </c>
      <c r="AS963" s="164" t="str">
        <f t="shared" si="311"/>
        <v/>
      </c>
      <c r="AT963" s="164" t="str">
        <f t="shared" si="302"/>
        <v/>
      </c>
      <c r="AU963" s="152"/>
      <c r="AV963" s="147" t="str">
        <f>'Deterministic Reserve'!BC963</f>
        <v/>
      </c>
      <c r="AW963" s="164" t="str">
        <f t="shared" si="303"/>
        <v/>
      </c>
      <c r="AX963" s="164" t="str">
        <f t="shared" si="304"/>
        <v/>
      </c>
      <c r="AY963" s="152"/>
    </row>
    <row r="964" spans="1:51" s="150" customFormat="1" x14ac:dyDescent="0.25">
      <c r="A964" s="150" t="str">
        <f t="shared" si="312"/>
        <v/>
      </c>
      <c r="B964" s="150" t="str">
        <f t="shared" si="313"/>
        <v/>
      </c>
      <c r="C964" s="150" t="str">
        <f t="shared" si="314"/>
        <v/>
      </c>
      <c r="D964" s="150" t="str">
        <f>IF(E964="","",Input!$C$4+B964-1)</f>
        <v/>
      </c>
      <c r="E964" s="150" t="str">
        <f>IF(OR(AND(C963=12,D963=Input!$C$6),E963=""),"",1)</f>
        <v/>
      </c>
      <c r="F964" s="150" t="str">
        <f>IF(E964="","",Input!$C$8+B964-1)</f>
        <v/>
      </c>
      <c r="G964" s="151" t="str">
        <f>IF(E964="","",MAX(0,Input!$C$9-B964))</f>
        <v/>
      </c>
      <c r="H964" s="152" t="str">
        <f>IF(E964="","",Input!$C$3)</f>
        <v/>
      </c>
      <c r="I964" s="153" t="str">
        <f>IF(E964="","",HLOOKUP($B964,Input!$C$13:$BT$14,2))</f>
        <v/>
      </c>
      <c r="J964" s="154"/>
      <c r="K964" s="155" t="str">
        <f>IF($E964="","",Input!$C$57)</f>
        <v/>
      </c>
      <c r="L964" s="155" t="str">
        <f t="shared" si="305"/>
        <v/>
      </c>
      <c r="M964" s="147" t="str">
        <f>IF($E964="","",VLOOKUP(IF($B964&lt;=Input!$C$7,$B964,26),'Mortality Tables'!$A$72:$CA$97,IF($B964&lt;=Input!$C$7+1,Input!$C$4-16,$D964-Input!$C$7-16),0)/1000)</f>
        <v/>
      </c>
      <c r="N964" s="147" t="str">
        <f t="shared" si="294"/>
        <v/>
      </c>
      <c r="O964" s="157" t="str">
        <f>IF($E964="","",IF($C964=12,IF($B964&lt;Input!$C$9,Input!$C$54,IF($B964=Input!$C$9,Input!$C$55,Input!$C$56)),0%))</f>
        <v/>
      </c>
      <c r="P964" s="167" t="str">
        <f>IF($E964="","",IF($B964=1,Input!$C$59,IF($B964&lt;6,Input!$C$60,0%)))</f>
        <v/>
      </c>
      <c r="Q964" s="162" t="str">
        <f>IF($E964="","",Input!$C$58)</f>
        <v/>
      </c>
      <c r="R964" s="156" t="str">
        <f t="shared" si="306"/>
        <v/>
      </c>
      <c r="S964" s="154" t="str">
        <f t="shared" si="295"/>
        <v/>
      </c>
      <c r="T964" s="152"/>
      <c r="U964" s="150" t="str">
        <f t="shared" si="307"/>
        <v/>
      </c>
      <c r="V964" s="150" t="str">
        <f t="shared" si="308"/>
        <v/>
      </c>
      <c r="W964" s="168" t="str">
        <f t="shared" si="309"/>
        <v/>
      </c>
      <c r="X964" s="163" t="str">
        <f t="shared" si="296"/>
        <v/>
      </c>
      <c r="Y964" s="152"/>
      <c r="Z964" s="164" t="str">
        <f>IF(AND($C963=12,$D963=Input!$C$6),0,IF($E964="","",V964+Z965/(1+L964)*R964))</f>
        <v/>
      </c>
      <c r="AA964" s="164" t="str">
        <f>IF(OR($M964=1,AND($C963=12,$D963=Input!$C$6)),0,IF($E964="","",W964+(X964+AA965*$R964)/(1+$L964)))</f>
        <v/>
      </c>
      <c r="AB964" s="160" t="str">
        <f t="shared" si="297"/>
        <v/>
      </c>
      <c r="AC964" s="164" t="str">
        <f t="shared" si="298"/>
        <v/>
      </c>
      <c r="AD964" s="164" t="str">
        <f>IF(AND($C963=12,$D963=Input!$C$6),0,IF($E964="","",$AC964+AD965/(1+$L964)*$R964))</f>
        <v/>
      </c>
      <c r="AE964" s="152"/>
      <c r="AF964" s="164" t="str">
        <f>IF(AND($C963=12,$D963=Input!$C$6),0,IF($E964="","",IF($B964&gt;Input!$C$9,$AC964,0)+AF965/(1+$L964)*$R964))</f>
        <v/>
      </c>
      <c r="AG964" s="164" t="str">
        <f>IF(AND($C963=12,$D963=Input!$C$6),0,IF($E964="","",(IF($B964&gt;Input!$C$9,$X964,0)+AG965)/(1+$L964)*$R964))</f>
        <v/>
      </c>
      <c r="AH964" s="160" t="str">
        <f t="shared" si="299"/>
        <v/>
      </c>
      <c r="AI964" s="160" t="str">
        <f>IF($E964="","",MIN(Input!$C$61/AH964,1))</f>
        <v/>
      </c>
      <c r="AJ964" s="152"/>
      <c r="AK964" s="164" t="str">
        <f>IF(AND($C963=12,$D963=Input!$C$6),0,IF($E964="","",IF($B964&gt;Input!$C$9,$AC964*AI964,0)+AK965/(1+$L964)*$R964))</f>
        <v/>
      </c>
      <c r="AL964" s="164" t="str">
        <f>IF(AND($C963=12,$D963=Input!$C$6),0,IF($E964="","",IF($B964&gt;Input!$C$9,0,$AC964)+AL965/(1+$L964)*$R964))</f>
        <v/>
      </c>
      <c r="AM964" s="160" t="str">
        <f t="shared" si="300"/>
        <v/>
      </c>
      <c r="AN964" s="164" t="str">
        <f>IF($E964="","",IF($B964&gt;Input!$C$9,$AI964*$AC964,$AM964*$AC964))</f>
        <v/>
      </c>
      <c r="AO964" s="164" t="str">
        <f>IF(AND($C963=12,$D963=Input!$C$6),0,IF($E964="","",$AN964+AO965/(1+$L964)*$R964))</f>
        <v/>
      </c>
      <c r="AP964" s="152"/>
      <c r="AQ964" s="164" t="str">
        <f t="shared" si="301"/>
        <v/>
      </c>
      <c r="AR964" s="164" t="str">
        <f t="shared" si="310"/>
        <v/>
      </c>
      <c r="AS964" s="164" t="str">
        <f t="shared" si="311"/>
        <v/>
      </c>
      <c r="AT964" s="164" t="str">
        <f t="shared" si="302"/>
        <v/>
      </c>
      <c r="AU964" s="152"/>
      <c r="AV964" s="147" t="str">
        <f>'Deterministic Reserve'!BC964</f>
        <v/>
      </c>
      <c r="AW964" s="164" t="str">
        <f t="shared" si="303"/>
        <v/>
      </c>
      <c r="AX964" s="164" t="str">
        <f t="shared" si="304"/>
        <v/>
      </c>
      <c r="AY964" s="152"/>
    </row>
    <row r="965" spans="1:51" s="150" customFormat="1" x14ac:dyDescent="0.25">
      <c r="A965" s="150" t="str">
        <f t="shared" si="312"/>
        <v/>
      </c>
      <c r="B965" s="150" t="str">
        <f t="shared" si="313"/>
        <v/>
      </c>
      <c r="C965" s="150" t="str">
        <f t="shared" si="314"/>
        <v/>
      </c>
      <c r="D965" s="150" t="str">
        <f>IF(E965="","",Input!$C$4+B965-1)</f>
        <v/>
      </c>
      <c r="E965" s="150" t="str">
        <f>IF(OR(AND(C964=12,D964=Input!$C$6),E964=""),"",1)</f>
        <v/>
      </c>
      <c r="F965" s="150" t="str">
        <f>IF(E965="","",Input!$C$8+B965-1)</f>
        <v/>
      </c>
      <c r="G965" s="151" t="str">
        <f>IF(E965="","",MAX(0,Input!$C$9-B965))</f>
        <v/>
      </c>
      <c r="H965" s="152" t="str">
        <f>IF(E965="","",Input!$C$3)</f>
        <v/>
      </c>
      <c r="I965" s="153" t="str">
        <f>IF(E965="","",HLOOKUP($B965,Input!$C$13:$BT$14,2))</f>
        <v/>
      </c>
      <c r="J965" s="154"/>
      <c r="K965" s="155" t="str">
        <f>IF($E965="","",Input!$C$57)</f>
        <v/>
      </c>
      <c r="L965" s="155" t="str">
        <f t="shared" si="305"/>
        <v/>
      </c>
      <c r="M965" s="147" t="str">
        <f>IF($E965="","",VLOOKUP(IF($B965&lt;=Input!$C$7,$B965,26),'Mortality Tables'!$A$72:$CA$97,IF($B965&lt;=Input!$C$7+1,Input!$C$4-16,$D965-Input!$C$7-16),0)/1000)</f>
        <v/>
      </c>
      <c r="N965" s="147" t="str">
        <f t="shared" ref="N965:N1028" si="315">IF($E965="","",1-(1-M965)^(1/12))</f>
        <v/>
      </c>
      <c r="O965" s="157" t="str">
        <f>IF($E965="","",IF($C965=12,IF($B965&lt;Input!$C$9,Input!$C$54,IF($B965=Input!$C$9,Input!$C$55,Input!$C$56)),0%))</f>
        <v/>
      </c>
      <c r="P965" s="167" t="str">
        <f>IF($E965="","",IF($B965=1,Input!$C$59,IF($B965&lt;6,Input!$C$60,0%)))</f>
        <v/>
      </c>
      <c r="Q965" s="162" t="str">
        <f>IF($E965="","",Input!$C$58)</f>
        <v/>
      </c>
      <c r="R965" s="156" t="str">
        <f t="shared" si="306"/>
        <v/>
      </c>
      <c r="S965" s="154" t="str">
        <f t="shared" ref="S965:S1028" si="316">IF($E965="","",IF(AND($B965=1,$C965=1),1,S964*R965))</f>
        <v/>
      </c>
      <c r="T965" s="152"/>
      <c r="U965" s="150" t="str">
        <f t="shared" si="307"/>
        <v/>
      </c>
      <c r="V965" s="150" t="str">
        <f t="shared" si="308"/>
        <v/>
      </c>
      <c r="W965" s="168" t="str">
        <f t="shared" si="309"/>
        <v/>
      </c>
      <c r="X965" s="163" t="str">
        <f t="shared" ref="X965:X1028" si="317">IF($E965="","",N965*$H965)</f>
        <v/>
      </c>
      <c r="Y965" s="152"/>
      <c r="Z965" s="164" t="str">
        <f>IF(AND($C964=12,$D964=Input!$C$6),0,IF($E965="","",V965+Z966/(1+L965)*R965))</f>
        <v/>
      </c>
      <c r="AA965" s="164" t="str">
        <f>IF(OR($M965=1,AND($C964=12,$D964=Input!$C$6)),0,IF($E965="","",W965+(X965+AA966*$R965)/(1+$L965)))</f>
        <v/>
      </c>
      <c r="AB965" s="160" t="str">
        <f t="shared" ref="AB965:AB1028" si="318">IF($E965="","",$AA$5/$Z$5)</f>
        <v/>
      </c>
      <c r="AC965" s="164" t="str">
        <f t="shared" ref="AC965:AC1028" si="319">IF($E965="","",V965*AB965)</f>
        <v/>
      </c>
      <c r="AD965" s="164" t="str">
        <f>IF(AND($C964=12,$D964=Input!$C$6),0,IF($E965="","",$AC965+AD966/(1+$L965)*$R965))</f>
        <v/>
      </c>
      <c r="AE965" s="152"/>
      <c r="AF965" s="164" t="str">
        <f>IF(AND($C964=12,$D964=Input!$C$6),0,IF($E965="","",IF($B965&gt;Input!$C$9,$AC965,0)+AF966/(1+$L965)*$R965))</f>
        <v/>
      </c>
      <c r="AG965" s="164" t="str">
        <f>IF(AND($C964=12,$D964=Input!$C$6),0,IF($E965="","",(IF($B965&gt;Input!$C$9,$X965,0)+AG966)/(1+$L965)*$R965))</f>
        <v/>
      </c>
      <c r="AH965" s="160" t="str">
        <f t="shared" ref="AH965:AH1028" si="320">IF($E965="","",$AF$5/$AG$5)</f>
        <v/>
      </c>
      <c r="AI965" s="160" t="str">
        <f>IF($E965="","",MIN(Input!$C$61/AH965,1))</f>
        <v/>
      </c>
      <c r="AJ965" s="152"/>
      <c r="AK965" s="164" t="str">
        <f>IF(AND($C964=12,$D964=Input!$C$6),0,IF($E965="","",IF($B965&gt;Input!$C$9,$AC965*AI965,0)+AK966/(1+$L965)*$R965))</f>
        <v/>
      </c>
      <c r="AL965" s="164" t="str">
        <f>IF(AND($C964=12,$D964=Input!$C$6),0,IF($E965="","",IF($B965&gt;Input!$C$9,0,$AC965)+AL966/(1+$L965)*$R965))</f>
        <v/>
      </c>
      <c r="AM965" s="160" t="str">
        <f t="shared" ref="AM965:AM1028" si="321">IF($E965="","",($AD$5-$AK$5)/$AL$5)</f>
        <v/>
      </c>
      <c r="AN965" s="164" t="str">
        <f>IF($E965="","",IF($B965&gt;Input!$C$9,$AI965*$AC965,$AM965*$AC965))</f>
        <v/>
      </c>
      <c r="AO965" s="164" t="str">
        <f>IF(AND($C964=12,$D964=Input!$C$6),0,IF($E965="","",$AN965+AO966/(1+$L965)*$R965))</f>
        <v/>
      </c>
      <c r="AP965" s="152"/>
      <c r="AQ965" s="164" t="str">
        <f t="shared" ref="AQ965:AQ1028" si="322">IF($E965="","",$AA965-$AO965)</f>
        <v/>
      </c>
      <c r="AR965" s="164" t="str">
        <f t="shared" si="310"/>
        <v/>
      </c>
      <c r="AS965" s="164" t="str">
        <f t="shared" si="311"/>
        <v/>
      </c>
      <c r="AT965" s="164" t="str">
        <f t="shared" ref="AT965:AT1028" si="323">IF($E965="","",MAX($AR965,$AS965))</f>
        <v/>
      </c>
      <c r="AU965" s="152"/>
      <c r="AV965" s="147" t="str">
        <f>'Deterministic Reserve'!BC965</f>
        <v/>
      </c>
      <c r="AW965" s="164" t="str">
        <f t="shared" ref="AW965:AW1028" si="324">IF($E965="","",$AT965)</f>
        <v/>
      </c>
      <c r="AX965" s="164" t="str">
        <f t="shared" ref="AX965:AX1028" si="325">IF($E965="","",AV965*AW965)</f>
        <v/>
      </c>
      <c r="AY965" s="152"/>
    </row>
    <row r="966" spans="1:51" s="150" customFormat="1" x14ac:dyDescent="0.25">
      <c r="A966" s="150" t="str">
        <f t="shared" si="312"/>
        <v/>
      </c>
      <c r="B966" s="150" t="str">
        <f t="shared" si="313"/>
        <v/>
      </c>
      <c r="C966" s="150" t="str">
        <f t="shared" si="314"/>
        <v/>
      </c>
      <c r="D966" s="150" t="str">
        <f>IF(E966="","",Input!$C$4+B966-1)</f>
        <v/>
      </c>
      <c r="E966" s="150" t="str">
        <f>IF(OR(AND(C965=12,D965=Input!$C$6),E965=""),"",1)</f>
        <v/>
      </c>
      <c r="F966" s="150" t="str">
        <f>IF(E966="","",Input!$C$8+B966-1)</f>
        <v/>
      </c>
      <c r="G966" s="151" t="str">
        <f>IF(E966="","",MAX(0,Input!$C$9-B966))</f>
        <v/>
      </c>
      <c r="H966" s="152" t="str">
        <f>IF(E966="","",Input!$C$3)</f>
        <v/>
      </c>
      <c r="I966" s="153" t="str">
        <f>IF(E966="","",HLOOKUP($B966,Input!$C$13:$BT$14,2))</f>
        <v/>
      </c>
      <c r="J966" s="154"/>
      <c r="K966" s="155" t="str">
        <f>IF($E966="","",Input!$C$57)</f>
        <v/>
      </c>
      <c r="L966" s="155" t="str">
        <f t="shared" ref="L966:L1029" si="326">IF($E966="","",(1+K966)^(1/12)-1)</f>
        <v/>
      </c>
      <c r="M966" s="147" t="str">
        <f>IF($E966="","",VLOOKUP(IF($B966&lt;=Input!$C$7,$B966,26),'Mortality Tables'!$A$72:$CA$97,IF($B966&lt;=Input!$C$7+1,Input!$C$4-16,$D966-Input!$C$7-16),0)/1000)</f>
        <v/>
      </c>
      <c r="N966" s="147" t="str">
        <f t="shared" si="315"/>
        <v/>
      </c>
      <c r="O966" s="157" t="str">
        <f>IF($E966="","",IF($C966=12,IF($B966&lt;Input!$C$9,Input!$C$54,IF($B966=Input!$C$9,Input!$C$55,Input!$C$56)),0%))</f>
        <v/>
      </c>
      <c r="P966" s="167" t="str">
        <f>IF($E966="","",IF($B966=1,Input!$C$59,IF($B966&lt;6,Input!$C$60,0%)))</f>
        <v/>
      </c>
      <c r="Q966" s="162" t="str">
        <f>IF($E966="","",Input!$C$58)</f>
        <v/>
      </c>
      <c r="R966" s="156" t="str">
        <f t="shared" ref="R966:R1029" si="327">IF($E966="","",MAX(1-N966-O966,0))</f>
        <v/>
      </c>
      <c r="S966" s="154" t="str">
        <f t="shared" si="316"/>
        <v/>
      </c>
      <c r="T966" s="152"/>
      <c r="U966" s="150" t="str">
        <f t="shared" ref="U966:U1029" si="328">IF($E966="","",IF($C966=1,$I966*$H966/1000,0))</f>
        <v/>
      </c>
      <c r="V966" s="150" t="str">
        <f t="shared" ref="V966:V1029" si="329">IF($E966="","",U966*(1-$P966))</f>
        <v/>
      </c>
      <c r="W966" s="168" t="str">
        <f t="shared" ref="W966:W1029" si="330">IF($E966="","",IF(AND($B966=1,$C966=1),$Q966*$H966/1000,0))</f>
        <v/>
      </c>
      <c r="X966" s="163" t="str">
        <f t="shared" si="317"/>
        <v/>
      </c>
      <c r="Y966" s="152"/>
      <c r="Z966" s="164" t="str">
        <f>IF(AND($C965=12,$D965=Input!$C$6),0,IF($E966="","",V966+Z967/(1+L966)*R966))</f>
        <v/>
      </c>
      <c r="AA966" s="164" t="str">
        <f>IF(OR($M966=1,AND($C965=12,$D965=Input!$C$6)),0,IF($E966="","",W966+(X966+AA967*$R966)/(1+$L966)))</f>
        <v/>
      </c>
      <c r="AB966" s="160" t="str">
        <f t="shared" si="318"/>
        <v/>
      </c>
      <c r="AC966" s="164" t="str">
        <f t="shared" si="319"/>
        <v/>
      </c>
      <c r="AD966" s="164" t="str">
        <f>IF(AND($C965=12,$D965=Input!$C$6),0,IF($E966="","",$AC966+AD967/(1+$L966)*$R966))</f>
        <v/>
      </c>
      <c r="AE966" s="152"/>
      <c r="AF966" s="164" t="str">
        <f>IF(AND($C965=12,$D965=Input!$C$6),0,IF($E966="","",IF($B966&gt;Input!$C$9,$AC966,0)+AF967/(1+$L966)*$R966))</f>
        <v/>
      </c>
      <c r="AG966" s="164" t="str">
        <f>IF(AND($C965=12,$D965=Input!$C$6),0,IF($E966="","",(IF($B966&gt;Input!$C$9,$X966,0)+AG967)/(1+$L966)*$R966))</f>
        <v/>
      </c>
      <c r="AH966" s="160" t="str">
        <f t="shared" si="320"/>
        <v/>
      </c>
      <c r="AI966" s="160" t="str">
        <f>IF($E966="","",MIN(Input!$C$61/AH966,1))</f>
        <v/>
      </c>
      <c r="AJ966" s="152"/>
      <c r="AK966" s="164" t="str">
        <f>IF(AND($C965=12,$D965=Input!$C$6),0,IF($E966="","",IF($B966&gt;Input!$C$9,$AC966*AI966,0)+AK967/(1+$L966)*$R966))</f>
        <v/>
      </c>
      <c r="AL966" s="164" t="str">
        <f>IF(AND($C965=12,$D965=Input!$C$6),0,IF($E966="","",IF($B966&gt;Input!$C$9,0,$AC966)+AL967/(1+$L966)*$R966))</f>
        <v/>
      </c>
      <c r="AM966" s="160" t="str">
        <f t="shared" si="321"/>
        <v/>
      </c>
      <c r="AN966" s="164" t="str">
        <f>IF($E966="","",IF($B966&gt;Input!$C$9,$AI966*$AC966,$AM966*$AC966))</f>
        <v/>
      </c>
      <c r="AO966" s="164" t="str">
        <f>IF(AND($C965=12,$D965=Input!$C$6),0,IF($E966="","",$AN966+AO967/(1+$L966)*$R966))</f>
        <v/>
      </c>
      <c r="AP966" s="152"/>
      <c r="AQ966" s="164" t="str">
        <f t="shared" si="322"/>
        <v/>
      </c>
      <c r="AR966" s="164" t="str">
        <f t="shared" ref="AR966:AR1029" si="331">IF($E966="","",IF($M966=1,0,0.5*(IF($B966=1,0,SUMIFS($AQ:$AQ,$B:$B,$B966-1,$C:$C,12))+SUMIFS($AN:$AN,$B:$B,$B966,$C:$C,1)+SUMIFS($AQ:$AQ,$B:$B,$B966,$C:$C,12))))</f>
        <v/>
      </c>
      <c r="AS966" s="164" t="str">
        <f t="shared" ref="AS966:AS1029" si="332">IF($E966="","",IF($M966=1,0,0.5*$M966*$H966/(1+$K966)))</f>
        <v/>
      </c>
      <c r="AT966" s="164" t="str">
        <f t="shared" si="323"/>
        <v/>
      </c>
      <c r="AU966" s="152"/>
      <c r="AV966" s="147" t="str">
        <f>'Deterministic Reserve'!BC966</f>
        <v/>
      </c>
      <c r="AW966" s="164" t="str">
        <f t="shared" si="324"/>
        <v/>
      </c>
      <c r="AX966" s="164" t="str">
        <f t="shared" si="325"/>
        <v/>
      </c>
      <c r="AY966" s="152"/>
    </row>
    <row r="967" spans="1:51" s="150" customFormat="1" x14ac:dyDescent="0.25">
      <c r="A967" s="150" t="str">
        <f t="shared" ref="A967:A1030" si="333">IF(E967="","",A966+1)</f>
        <v/>
      </c>
      <c r="B967" s="150" t="str">
        <f t="shared" ref="B967:B1030" si="334">IF(E967="","",IF(C966+1&gt;12,B966+1,B966))</f>
        <v/>
      </c>
      <c r="C967" s="150" t="str">
        <f t="shared" ref="C967:C1030" si="335">IF(E967="","",IF(C966+1&gt;12,1,C966+1))</f>
        <v/>
      </c>
      <c r="D967" s="150" t="str">
        <f>IF(E967="","",Input!$C$4+B967-1)</f>
        <v/>
      </c>
      <c r="E967" s="150" t="str">
        <f>IF(OR(AND(C966=12,D966=Input!$C$6),E966=""),"",1)</f>
        <v/>
      </c>
      <c r="F967" s="150" t="str">
        <f>IF(E967="","",Input!$C$8+B967-1)</f>
        <v/>
      </c>
      <c r="G967" s="151" t="str">
        <f>IF(E967="","",MAX(0,Input!$C$9-B967))</f>
        <v/>
      </c>
      <c r="H967" s="152" t="str">
        <f>IF(E967="","",Input!$C$3)</f>
        <v/>
      </c>
      <c r="I967" s="153" t="str">
        <f>IF(E967="","",HLOOKUP($B967,Input!$C$13:$BT$14,2))</f>
        <v/>
      </c>
      <c r="J967" s="154"/>
      <c r="K967" s="155" t="str">
        <f>IF($E967="","",Input!$C$57)</f>
        <v/>
      </c>
      <c r="L967" s="155" t="str">
        <f t="shared" si="326"/>
        <v/>
      </c>
      <c r="M967" s="147" t="str">
        <f>IF($E967="","",VLOOKUP(IF($B967&lt;=Input!$C$7,$B967,26),'Mortality Tables'!$A$72:$CA$97,IF($B967&lt;=Input!$C$7+1,Input!$C$4-16,$D967-Input!$C$7-16),0)/1000)</f>
        <v/>
      </c>
      <c r="N967" s="147" t="str">
        <f t="shared" si="315"/>
        <v/>
      </c>
      <c r="O967" s="157" t="str">
        <f>IF($E967="","",IF($C967=12,IF($B967&lt;Input!$C$9,Input!$C$54,IF($B967=Input!$C$9,Input!$C$55,Input!$C$56)),0%))</f>
        <v/>
      </c>
      <c r="P967" s="167" t="str">
        <f>IF($E967="","",IF($B967=1,Input!$C$59,IF($B967&lt;6,Input!$C$60,0%)))</f>
        <v/>
      </c>
      <c r="Q967" s="162" t="str">
        <f>IF($E967="","",Input!$C$58)</f>
        <v/>
      </c>
      <c r="R967" s="156" t="str">
        <f t="shared" si="327"/>
        <v/>
      </c>
      <c r="S967" s="154" t="str">
        <f t="shared" si="316"/>
        <v/>
      </c>
      <c r="T967" s="152"/>
      <c r="U967" s="150" t="str">
        <f t="shared" si="328"/>
        <v/>
      </c>
      <c r="V967" s="150" t="str">
        <f t="shared" si="329"/>
        <v/>
      </c>
      <c r="W967" s="168" t="str">
        <f t="shared" si="330"/>
        <v/>
      </c>
      <c r="X967" s="163" t="str">
        <f t="shared" si="317"/>
        <v/>
      </c>
      <c r="Y967" s="152"/>
      <c r="Z967" s="164" t="str">
        <f>IF(AND($C966=12,$D966=Input!$C$6),0,IF($E967="","",V967+Z968/(1+L967)*R967))</f>
        <v/>
      </c>
      <c r="AA967" s="164" t="str">
        <f>IF(OR($M967=1,AND($C966=12,$D966=Input!$C$6)),0,IF($E967="","",W967+(X967+AA968*$R967)/(1+$L967)))</f>
        <v/>
      </c>
      <c r="AB967" s="160" t="str">
        <f t="shared" si="318"/>
        <v/>
      </c>
      <c r="AC967" s="164" t="str">
        <f t="shared" si="319"/>
        <v/>
      </c>
      <c r="AD967" s="164" t="str">
        <f>IF(AND($C966=12,$D966=Input!$C$6),0,IF($E967="","",$AC967+AD968/(1+$L967)*$R967))</f>
        <v/>
      </c>
      <c r="AE967" s="152"/>
      <c r="AF967" s="164" t="str">
        <f>IF(AND($C966=12,$D966=Input!$C$6),0,IF($E967="","",IF($B967&gt;Input!$C$9,$AC967,0)+AF968/(1+$L967)*$R967))</f>
        <v/>
      </c>
      <c r="AG967" s="164" t="str">
        <f>IF(AND($C966=12,$D966=Input!$C$6),0,IF($E967="","",(IF($B967&gt;Input!$C$9,$X967,0)+AG968)/(1+$L967)*$R967))</f>
        <v/>
      </c>
      <c r="AH967" s="160" t="str">
        <f t="shared" si="320"/>
        <v/>
      </c>
      <c r="AI967" s="160" t="str">
        <f>IF($E967="","",MIN(Input!$C$61/AH967,1))</f>
        <v/>
      </c>
      <c r="AJ967" s="152"/>
      <c r="AK967" s="164" t="str">
        <f>IF(AND($C966=12,$D966=Input!$C$6),0,IF($E967="","",IF($B967&gt;Input!$C$9,$AC967*AI967,0)+AK968/(1+$L967)*$R967))</f>
        <v/>
      </c>
      <c r="AL967" s="164" t="str">
        <f>IF(AND($C966=12,$D966=Input!$C$6),0,IF($E967="","",IF($B967&gt;Input!$C$9,0,$AC967)+AL968/(1+$L967)*$R967))</f>
        <v/>
      </c>
      <c r="AM967" s="160" t="str">
        <f t="shared" si="321"/>
        <v/>
      </c>
      <c r="AN967" s="164" t="str">
        <f>IF($E967="","",IF($B967&gt;Input!$C$9,$AI967*$AC967,$AM967*$AC967))</f>
        <v/>
      </c>
      <c r="AO967" s="164" t="str">
        <f>IF(AND($C966=12,$D966=Input!$C$6),0,IF($E967="","",$AN967+AO968/(1+$L967)*$R967))</f>
        <v/>
      </c>
      <c r="AP967" s="152"/>
      <c r="AQ967" s="164" t="str">
        <f t="shared" si="322"/>
        <v/>
      </c>
      <c r="AR967" s="164" t="str">
        <f t="shared" si="331"/>
        <v/>
      </c>
      <c r="AS967" s="164" t="str">
        <f t="shared" si="332"/>
        <v/>
      </c>
      <c r="AT967" s="164" t="str">
        <f t="shared" si="323"/>
        <v/>
      </c>
      <c r="AU967" s="152"/>
      <c r="AV967" s="147" t="str">
        <f>'Deterministic Reserve'!BC967</f>
        <v/>
      </c>
      <c r="AW967" s="164" t="str">
        <f t="shared" si="324"/>
        <v/>
      </c>
      <c r="AX967" s="164" t="str">
        <f t="shared" si="325"/>
        <v/>
      </c>
      <c r="AY967" s="152"/>
    </row>
    <row r="968" spans="1:51" s="150" customFormat="1" x14ac:dyDescent="0.25">
      <c r="A968" s="150" t="str">
        <f t="shared" si="333"/>
        <v/>
      </c>
      <c r="B968" s="150" t="str">
        <f t="shared" si="334"/>
        <v/>
      </c>
      <c r="C968" s="150" t="str">
        <f t="shared" si="335"/>
        <v/>
      </c>
      <c r="D968" s="150" t="str">
        <f>IF(E968="","",Input!$C$4+B968-1)</f>
        <v/>
      </c>
      <c r="E968" s="150" t="str">
        <f>IF(OR(AND(C967=12,D967=Input!$C$6),E967=""),"",1)</f>
        <v/>
      </c>
      <c r="F968" s="150" t="str">
        <f>IF(E968="","",Input!$C$8+B968-1)</f>
        <v/>
      </c>
      <c r="G968" s="151" t="str">
        <f>IF(E968="","",MAX(0,Input!$C$9-B968))</f>
        <v/>
      </c>
      <c r="H968" s="152" t="str">
        <f>IF(E968="","",Input!$C$3)</f>
        <v/>
      </c>
      <c r="I968" s="153" t="str">
        <f>IF(E968="","",HLOOKUP($B968,Input!$C$13:$BT$14,2))</f>
        <v/>
      </c>
      <c r="J968" s="154"/>
      <c r="K968" s="155" t="str">
        <f>IF($E968="","",Input!$C$57)</f>
        <v/>
      </c>
      <c r="L968" s="155" t="str">
        <f t="shared" si="326"/>
        <v/>
      </c>
      <c r="M968" s="147" t="str">
        <f>IF($E968="","",VLOOKUP(IF($B968&lt;=Input!$C$7,$B968,26),'Mortality Tables'!$A$72:$CA$97,IF($B968&lt;=Input!$C$7+1,Input!$C$4-16,$D968-Input!$C$7-16),0)/1000)</f>
        <v/>
      </c>
      <c r="N968" s="147" t="str">
        <f t="shared" si="315"/>
        <v/>
      </c>
      <c r="O968" s="157" t="str">
        <f>IF($E968="","",IF($C968=12,IF($B968&lt;Input!$C$9,Input!$C$54,IF($B968=Input!$C$9,Input!$C$55,Input!$C$56)),0%))</f>
        <v/>
      </c>
      <c r="P968" s="167" t="str">
        <f>IF($E968="","",IF($B968=1,Input!$C$59,IF($B968&lt;6,Input!$C$60,0%)))</f>
        <v/>
      </c>
      <c r="Q968" s="162" t="str">
        <f>IF($E968="","",Input!$C$58)</f>
        <v/>
      </c>
      <c r="R968" s="156" t="str">
        <f t="shared" si="327"/>
        <v/>
      </c>
      <c r="S968" s="154" t="str">
        <f t="shared" si="316"/>
        <v/>
      </c>
      <c r="T968" s="152"/>
      <c r="U968" s="150" t="str">
        <f t="shared" si="328"/>
        <v/>
      </c>
      <c r="V968" s="150" t="str">
        <f t="shared" si="329"/>
        <v/>
      </c>
      <c r="W968" s="168" t="str">
        <f t="shared" si="330"/>
        <v/>
      </c>
      <c r="X968" s="163" t="str">
        <f t="shared" si="317"/>
        <v/>
      </c>
      <c r="Y968" s="152"/>
      <c r="Z968" s="164" t="str">
        <f>IF(AND($C967=12,$D967=Input!$C$6),0,IF($E968="","",V968+Z969/(1+L968)*R968))</f>
        <v/>
      </c>
      <c r="AA968" s="164" t="str">
        <f>IF(OR($M968=1,AND($C967=12,$D967=Input!$C$6)),0,IF($E968="","",W968+(X968+AA969*$R968)/(1+$L968)))</f>
        <v/>
      </c>
      <c r="AB968" s="160" t="str">
        <f t="shared" si="318"/>
        <v/>
      </c>
      <c r="AC968" s="164" t="str">
        <f t="shared" si="319"/>
        <v/>
      </c>
      <c r="AD968" s="164" t="str">
        <f>IF(AND($C967=12,$D967=Input!$C$6),0,IF($E968="","",$AC968+AD969/(1+$L968)*$R968))</f>
        <v/>
      </c>
      <c r="AE968" s="152"/>
      <c r="AF968" s="164" t="str">
        <f>IF(AND($C967=12,$D967=Input!$C$6),0,IF($E968="","",IF($B968&gt;Input!$C$9,$AC968,0)+AF969/(1+$L968)*$R968))</f>
        <v/>
      </c>
      <c r="AG968" s="164" t="str">
        <f>IF(AND($C967=12,$D967=Input!$C$6),0,IF($E968="","",(IF($B968&gt;Input!$C$9,$X968,0)+AG969)/(1+$L968)*$R968))</f>
        <v/>
      </c>
      <c r="AH968" s="160" t="str">
        <f t="shared" si="320"/>
        <v/>
      </c>
      <c r="AI968" s="160" t="str">
        <f>IF($E968="","",MIN(Input!$C$61/AH968,1))</f>
        <v/>
      </c>
      <c r="AJ968" s="152"/>
      <c r="AK968" s="164" t="str">
        <f>IF(AND($C967=12,$D967=Input!$C$6),0,IF($E968="","",IF($B968&gt;Input!$C$9,$AC968*AI968,0)+AK969/(1+$L968)*$R968))</f>
        <v/>
      </c>
      <c r="AL968" s="164" t="str">
        <f>IF(AND($C967=12,$D967=Input!$C$6),0,IF($E968="","",IF($B968&gt;Input!$C$9,0,$AC968)+AL969/(1+$L968)*$R968))</f>
        <v/>
      </c>
      <c r="AM968" s="160" t="str">
        <f t="shared" si="321"/>
        <v/>
      </c>
      <c r="AN968" s="164" t="str">
        <f>IF($E968="","",IF($B968&gt;Input!$C$9,$AI968*$AC968,$AM968*$AC968))</f>
        <v/>
      </c>
      <c r="AO968" s="164" t="str">
        <f>IF(AND($C967=12,$D967=Input!$C$6),0,IF($E968="","",$AN968+AO969/(1+$L968)*$R968))</f>
        <v/>
      </c>
      <c r="AP968" s="152"/>
      <c r="AQ968" s="164" t="str">
        <f t="shared" si="322"/>
        <v/>
      </c>
      <c r="AR968" s="164" t="str">
        <f t="shared" si="331"/>
        <v/>
      </c>
      <c r="AS968" s="164" t="str">
        <f t="shared" si="332"/>
        <v/>
      </c>
      <c r="AT968" s="164" t="str">
        <f t="shared" si="323"/>
        <v/>
      </c>
      <c r="AU968" s="152"/>
      <c r="AV968" s="147" t="str">
        <f>'Deterministic Reserve'!BC968</f>
        <v/>
      </c>
      <c r="AW968" s="164" t="str">
        <f t="shared" si="324"/>
        <v/>
      </c>
      <c r="AX968" s="164" t="str">
        <f t="shared" si="325"/>
        <v/>
      </c>
      <c r="AY968" s="152"/>
    </row>
    <row r="969" spans="1:51" s="150" customFormat="1" x14ac:dyDescent="0.25">
      <c r="A969" s="150" t="str">
        <f t="shared" si="333"/>
        <v/>
      </c>
      <c r="B969" s="150" t="str">
        <f t="shared" si="334"/>
        <v/>
      </c>
      <c r="C969" s="150" t="str">
        <f t="shared" si="335"/>
        <v/>
      </c>
      <c r="D969" s="150" t="str">
        <f>IF(E969="","",Input!$C$4+B969-1)</f>
        <v/>
      </c>
      <c r="E969" s="150" t="str">
        <f>IF(OR(AND(C968=12,D968=Input!$C$6),E968=""),"",1)</f>
        <v/>
      </c>
      <c r="F969" s="150" t="str">
        <f>IF(E969="","",Input!$C$8+B969-1)</f>
        <v/>
      </c>
      <c r="G969" s="151" t="str">
        <f>IF(E969="","",MAX(0,Input!$C$9-B969))</f>
        <v/>
      </c>
      <c r="H969" s="152" t="str">
        <f>IF(E969="","",Input!$C$3)</f>
        <v/>
      </c>
      <c r="I969" s="153" t="str">
        <f>IF(E969="","",HLOOKUP($B969,Input!$C$13:$BT$14,2))</f>
        <v/>
      </c>
      <c r="J969" s="154"/>
      <c r="K969" s="155" t="str">
        <f>IF($E969="","",Input!$C$57)</f>
        <v/>
      </c>
      <c r="L969" s="155" t="str">
        <f t="shared" si="326"/>
        <v/>
      </c>
      <c r="M969" s="147" t="str">
        <f>IF($E969="","",VLOOKUP(IF($B969&lt;=Input!$C$7,$B969,26),'Mortality Tables'!$A$72:$CA$97,IF($B969&lt;=Input!$C$7+1,Input!$C$4-16,$D969-Input!$C$7-16),0)/1000)</f>
        <v/>
      </c>
      <c r="N969" s="147" t="str">
        <f t="shared" si="315"/>
        <v/>
      </c>
      <c r="O969" s="157" t="str">
        <f>IF($E969="","",IF($C969=12,IF($B969&lt;Input!$C$9,Input!$C$54,IF($B969=Input!$C$9,Input!$C$55,Input!$C$56)),0%))</f>
        <v/>
      </c>
      <c r="P969" s="167" t="str">
        <f>IF($E969="","",IF($B969=1,Input!$C$59,IF($B969&lt;6,Input!$C$60,0%)))</f>
        <v/>
      </c>
      <c r="Q969" s="162" t="str">
        <f>IF($E969="","",Input!$C$58)</f>
        <v/>
      </c>
      <c r="R969" s="156" t="str">
        <f t="shared" si="327"/>
        <v/>
      </c>
      <c r="S969" s="154" t="str">
        <f t="shared" si="316"/>
        <v/>
      </c>
      <c r="T969" s="152"/>
      <c r="U969" s="150" t="str">
        <f t="shared" si="328"/>
        <v/>
      </c>
      <c r="V969" s="150" t="str">
        <f t="shared" si="329"/>
        <v/>
      </c>
      <c r="W969" s="168" t="str">
        <f t="shared" si="330"/>
        <v/>
      </c>
      <c r="X969" s="163" t="str">
        <f t="shared" si="317"/>
        <v/>
      </c>
      <c r="Y969" s="152"/>
      <c r="Z969" s="164" t="str">
        <f>IF(AND($C968=12,$D968=Input!$C$6),0,IF($E969="","",V969+Z970/(1+L969)*R969))</f>
        <v/>
      </c>
      <c r="AA969" s="164" t="str">
        <f>IF(OR($M969=1,AND($C968=12,$D968=Input!$C$6)),0,IF($E969="","",W969+(X969+AA970*$R969)/(1+$L969)))</f>
        <v/>
      </c>
      <c r="AB969" s="160" t="str">
        <f t="shared" si="318"/>
        <v/>
      </c>
      <c r="AC969" s="164" t="str">
        <f t="shared" si="319"/>
        <v/>
      </c>
      <c r="AD969" s="164" t="str">
        <f>IF(AND($C968=12,$D968=Input!$C$6),0,IF($E969="","",$AC969+AD970/(1+$L969)*$R969))</f>
        <v/>
      </c>
      <c r="AE969" s="152"/>
      <c r="AF969" s="164" t="str">
        <f>IF(AND($C968=12,$D968=Input!$C$6),0,IF($E969="","",IF($B969&gt;Input!$C$9,$AC969,0)+AF970/(1+$L969)*$R969))</f>
        <v/>
      </c>
      <c r="AG969" s="164" t="str">
        <f>IF(AND($C968=12,$D968=Input!$C$6),0,IF($E969="","",(IF($B969&gt;Input!$C$9,$X969,0)+AG970)/(1+$L969)*$R969))</f>
        <v/>
      </c>
      <c r="AH969" s="160" t="str">
        <f t="shared" si="320"/>
        <v/>
      </c>
      <c r="AI969" s="160" t="str">
        <f>IF($E969="","",MIN(Input!$C$61/AH969,1))</f>
        <v/>
      </c>
      <c r="AJ969" s="152"/>
      <c r="AK969" s="164" t="str">
        <f>IF(AND($C968=12,$D968=Input!$C$6),0,IF($E969="","",IF($B969&gt;Input!$C$9,$AC969*AI969,0)+AK970/(1+$L969)*$R969))</f>
        <v/>
      </c>
      <c r="AL969" s="164" t="str">
        <f>IF(AND($C968=12,$D968=Input!$C$6),0,IF($E969="","",IF($B969&gt;Input!$C$9,0,$AC969)+AL970/(1+$L969)*$R969))</f>
        <v/>
      </c>
      <c r="AM969" s="160" t="str">
        <f t="shared" si="321"/>
        <v/>
      </c>
      <c r="AN969" s="164" t="str">
        <f>IF($E969="","",IF($B969&gt;Input!$C$9,$AI969*$AC969,$AM969*$AC969))</f>
        <v/>
      </c>
      <c r="AO969" s="164" t="str">
        <f>IF(AND($C968=12,$D968=Input!$C$6),0,IF($E969="","",$AN969+AO970/(1+$L969)*$R969))</f>
        <v/>
      </c>
      <c r="AP969" s="152"/>
      <c r="AQ969" s="164" t="str">
        <f t="shared" si="322"/>
        <v/>
      </c>
      <c r="AR969" s="164" t="str">
        <f t="shared" si="331"/>
        <v/>
      </c>
      <c r="AS969" s="164" t="str">
        <f t="shared" si="332"/>
        <v/>
      </c>
      <c r="AT969" s="164" t="str">
        <f t="shared" si="323"/>
        <v/>
      </c>
      <c r="AU969" s="152"/>
      <c r="AV969" s="147" t="str">
        <f>'Deterministic Reserve'!BC969</f>
        <v/>
      </c>
      <c r="AW969" s="164" t="str">
        <f t="shared" si="324"/>
        <v/>
      </c>
      <c r="AX969" s="164" t="str">
        <f t="shared" si="325"/>
        <v/>
      </c>
      <c r="AY969" s="152"/>
    </row>
    <row r="970" spans="1:51" s="150" customFormat="1" x14ac:dyDescent="0.25">
      <c r="A970" s="150" t="str">
        <f t="shared" si="333"/>
        <v/>
      </c>
      <c r="B970" s="150" t="str">
        <f t="shared" si="334"/>
        <v/>
      </c>
      <c r="C970" s="150" t="str">
        <f t="shared" si="335"/>
        <v/>
      </c>
      <c r="D970" s="150" t="str">
        <f>IF(E970="","",Input!$C$4+B970-1)</f>
        <v/>
      </c>
      <c r="E970" s="150" t="str">
        <f>IF(OR(AND(C969=12,D969=Input!$C$6),E969=""),"",1)</f>
        <v/>
      </c>
      <c r="F970" s="150" t="str">
        <f>IF(E970="","",Input!$C$8+B970-1)</f>
        <v/>
      </c>
      <c r="G970" s="151" t="str">
        <f>IF(E970="","",MAX(0,Input!$C$9-B970))</f>
        <v/>
      </c>
      <c r="H970" s="152" t="str">
        <f>IF(E970="","",Input!$C$3)</f>
        <v/>
      </c>
      <c r="I970" s="153" t="str">
        <f>IF(E970="","",HLOOKUP($B970,Input!$C$13:$BT$14,2))</f>
        <v/>
      </c>
      <c r="J970" s="154"/>
      <c r="K970" s="155" t="str">
        <f>IF($E970="","",Input!$C$57)</f>
        <v/>
      </c>
      <c r="L970" s="155" t="str">
        <f t="shared" si="326"/>
        <v/>
      </c>
      <c r="M970" s="147" t="str">
        <f>IF($E970="","",VLOOKUP(IF($B970&lt;=Input!$C$7,$B970,26),'Mortality Tables'!$A$72:$CA$97,IF($B970&lt;=Input!$C$7+1,Input!$C$4-16,$D970-Input!$C$7-16),0)/1000)</f>
        <v/>
      </c>
      <c r="N970" s="147" t="str">
        <f t="shared" si="315"/>
        <v/>
      </c>
      <c r="O970" s="157" t="str">
        <f>IF($E970="","",IF($C970=12,IF($B970&lt;Input!$C$9,Input!$C$54,IF($B970=Input!$C$9,Input!$C$55,Input!$C$56)),0%))</f>
        <v/>
      </c>
      <c r="P970" s="167" t="str">
        <f>IF($E970="","",IF($B970=1,Input!$C$59,IF($B970&lt;6,Input!$C$60,0%)))</f>
        <v/>
      </c>
      <c r="Q970" s="162" t="str">
        <f>IF($E970="","",Input!$C$58)</f>
        <v/>
      </c>
      <c r="R970" s="156" t="str">
        <f t="shared" si="327"/>
        <v/>
      </c>
      <c r="S970" s="154" t="str">
        <f t="shared" si="316"/>
        <v/>
      </c>
      <c r="T970" s="152"/>
      <c r="U970" s="150" t="str">
        <f t="shared" si="328"/>
        <v/>
      </c>
      <c r="V970" s="150" t="str">
        <f t="shared" si="329"/>
        <v/>
      </c>
      <c r="W970" s="168" t="str">
        <f t="shared" si="330"/>
        <v/>
      </c>
      <c r="X970" s="163" t="str">
        <f t="shared" si="317"/>
        <v/>
      </c>
      <c r="Y970" s="152"/>
      <c r="Z970" s="164" t="str">
        <f>IF(AND($C969=12,$D969=Input!$C$6),0,IF($E970="","",V970+Z971/(1+L970)*R970))</f>
        <v/>
      </c>
      <c r="AA970" s="164" t="str">
        <f>IF(OR($M970=1,AND($C969=12,$D969=Input!$C$6)),0,IF($E970="","",W970+(X970+AA971*$R970)/(1+$L970)))</f>
        <v/>
      </c>
      <c r="AB970" s="160" t="str">
        <f t="shared" si="318"/>
        <v/>
      </c>
      <c r="AC970" s="164" t="str">
        <f t="shared" si="319"/>
        <v/>
      </c>
      <c r="AD970" s="164" t="str">
        <f>IF(AND($C969=12,$D969=Input!$C$6),0,IF($E970="","",$AC970+AD971/(1+$L970)*$R970))</f>
        <v/>
      </c>
      <c r="AE970" s="152"/>
      <c r="AF970" s="164" t="str">
        <f>IF(AND($C969=12,$D969=Input!$C$6),0,IF($E970="","",IF($B970&gt;Input!$C$9,$AC970,0)+AF971/(1+$L970)*$R970))</f>
        <v/>
      </c>
      <c r="AG970" s="164" t="str">
        <f>IF(AND($C969=12,$D969=Input!$C$6),0,IF($E970="","",(IF($B970&gt;Input!$C$9,$X970,0)+AG971)/(1+$L970)*$R970))</f>
        <v/>
      </c>
      <c r="AH970" s="160" t="str">
        <f t="shared" si="320"/>
        <v/>
      </c>
      <c r="AI970" s="160" t="str">
        <f>IF($E970="","",MIN(Input!$C$61/AH970,1))</f>
        <v/>
      </c>
      <c r="AJ970" s="152"/>
      <c r="AK970" s="164" t="str">
        <f>IF(AND($C969=12,$D969=Input!$C$6),0,IF($E970="","",IF($B970&gt;Input!$C$9,$AC970*AI970,0)+AK971/(1+$L970)*$R970))</f>
        <v/>
      </c>
      <c r="AL970" s="164" t="str">
        <f>IF(AND($C969=12,$D969=Input!$C$6),0,IF($E970="","",IF($B970&gt;Input!$C$9,0,$AC970)+AL971/(1+$L970)*$R970))</f>
        <v/>
      </c>
      <c r="AM970" s="160" t="str">
        <f t="shared" si="321"/>
        <v/>
      </c>
      <c r="AN970" s="164" t="str">
        <f>IF($E970="","",IF($B970&gt;Input!$C$9,$AI970*$AC970,$AM970*$AC970))</f>
        <v/>
      </c>
      <c r="AO970" s="164" t="str">
        <f>IF(AND($C969=12,$D969=Input!$C$6),0,IF($E970="","",$AN970+AO971/(1+$L970)*$R970))</f>
        <v/>
      </c>
      <c r="AP970" s="152"/>
      <c r="AQ970" s="164" t="str">
        <f t="shared" si="322"/>
        <v/>
      </c>
      <c r="AR970" s="164" t="str">
        <f t="shared" si="331"/>
        <v/>
      </c>
      <c r="AS970" s="164" t="str">
        <f t="shared" si="332"/>
        <v/>
      </c>
      <c r="AT970" s="164" t="str">
        <f t="shared" si="323"/>
        <v/>
      </c>
      <c r="AU970" s="152"/>
      <c r="AV970" s="147" t="str">
        <f>'Deterministic Reserve'!BC970</f>
        <v/>
      </c>
      <c r="AW970" s="164" t="str">
        <f t="shared" si="324"/>
        <v/>
      </c>
      <c r="AX970" s="164" t="str">
        <f t="shared" si="325"/>
        <v/>
      </c>
      <c r="AY970" s="152"/>
    </row>
    <row r="971" spans="1:51" s="150" customFormat="1" x14ac:dyDescent="0.25">
      <c r="A971" s="150" t="str">
        <f t="shared" si="333"/>
        <v/>
      </c>
      <c r="B971" s="150" t="str">
        <f t="shared" si="334"/>
        <v/>
      </c>
      <c r="C971" s="150" t="str">
        <f t="shared" si="335"/>
        <v/>
      </c>
      <c r="D971" s="150" t="str">
        <f>IF(E971="","",Input!$C$4+B971-1)</f>
        <v/>
      </c>
      <c r="E971" s="150" t="str">
        <f>IF(OR(AND(C970=12,D970=Input!$C$6),E970=""),"",1)</f>
        <v/>
      </c>
      <c r="F971" s="150" t="str">
        <f>IF(E971="","",Input!$C$8+B971-1)</f>
        <v/>
      </c>
      <c r="G971" s="151" t="str">
        <f>IF(E971="","",MAX(0,Input!$C$9-B971))</f>
        <v/>
      </c>
      <c r="H971" s="152" t="str">
        <f>IF(E971="","",Input!$C$3)</f>
        <v/>
      </c>
      <c r="I971" s="153" t="str">
        <f>IF(E971="","",HLOOKUP($B971,Input!$C$13:$BT$14,2))</f>
        <v/>
      </c>
      <c r="J971" s="154"/>
      <c r="K971" s="155" t="str">
        <f>IF($E971="","",Input!$C$57)</f>
        <v/>
      </c>
      <c r="L971" s="155" t="str">
        <f t="shared" si="326"/>
        <v/>
      </c>
      <c r="M971" s="147" t="str">
        <f>IF($E971="","",VLOOKUP(IF($B971&lt;=Input!$C$7,$B971,26),'Mortality Tables'!$A$72:$CA$97,IF($B971&lt;=Input!$C$7+1,Input!$C$4-16,$D971-Input!$C$7-16),0)/1000)</f>
        <v/>
      </c>
      <c r="N971" s="147" t="str">
        <f t="shared" si="315"/>
        <v/>
      </c>
      <c r="O971" s="157" t="str">
        <f>IF($E971="","",IF($C971=12,IF($B971&lt;Input!$C$9,Input!$C$54,IF($B971=Input!$C$9,Input!$C$55,Input!$C$56)),0%))</f>
        <v/>
      </c>
      <c r="P971" s="167" t="str">
        <f>IF($E971="","",IF($B971=1,Input!$C$59,IF($B971&lt;6,Input!$C$60,0%)))</f>
        <v/>
      </c>
      <c r="Q971" s="162" t="str">
        <f>IF($E971="","",Input!$C$58)</f>
        <v/>
      </c>
      <c r="R971" s="156" t="str">
        <f t="shared" si="327"/>
        <v/>
      </c>
      <c r="S971" s="154" t="str">
        <f t="shared" si="316"/>
        <v/>
      </c>
      <c r="T971" s="152"/>
      <c r="U971" s="150" t="str">
        <f t="shared" si="328"/>
        <v/>
      </c>
      <c r="V971" s="150" t="str">
        <f t="shared" si="329"/>
        <v/>
      </c>
      <c r="W971" s="168" t="str">
        <f t="shared" si="330"/>
        <v/>
      </c>
      <c r="X971" s="163" t="str">
        <f t="shared" si="317"/>
        <v/>
      </c>
      <c r="Y971" s="152"/>
      <c r="Z971" s="164" t="str">
        <f>IF(AND($C970=12,$D970=Input!$C$6),0,IF($E971="","",V971+Z972/(1+L971)*R971))</f>
        <v/>
      </c>
      <c r="AA971" s="164" t="str">
        <f>IF(OR($M971=1,AND($C970=12,$D970=Input!$C$6)),0,IF($E971="","",W971+(X971+AA972*$R971)/(1+$L971)))</f>
        <v/>
      </c>
      <c r="AB971" s="160" t="str">
        <f t="shared" si="318"/>
        <v/>
      </c>
      <c r="AC971" s="164" t="str">
        <f t="shared" si="319"/>
        <v/>
      </c>
      <c r="AD971" s="164" t="str">
        <f>IF(AND($C970=12,$D970=Input!$C$6),0,IF($E971="","",$AC971+AD972/(1+$L971)*$R971))</f>
        <v/>
      </c>
      <c r="AE971" s="152"/>
      <c r="AF971" s="164" t="str">
        <f>IF(AND($C970=12,$D970=Input!$C$6),0,IF($E971="","",IF($B971&gt;Input!$C$9,$AC971,0)+AF972/(1+$L971)*$R971))</f>
        <v/>
      </c>
      <c r="AG971" s="164" t="str">
        <f>IF(AND($C970=12,$D970=Input!$C$6),0,IF($E971="","",(IF($B971&gt;Input!$C$9,$X971,0)+AG972)/(1+$L971)*$R971))</f>
        <v/>
      </c>
      <c r="AH971" s="160" t="str">
        <f t="shared" si="320"/>
        <v/>
      </c>
      <c r="AI971" s="160" t="str">
        <f>IF($E971="","",MIN(Input!$C$61/AH971,1))</f>
        <v/>
      </c>
      <c r="AJ971" s="152"/>
      <c r="AK971" s="164" t="str">
        <f>IF(AND($C970=12,$D970=Input!$C$6),0,IF($E971="","",IF($B971&gt;Input!$C$9,$AC971*AI971,0)+AK972/(1+$L971)*$R971))</f>
        <v/>
      </c>
      <c r="AL971" s="164" t="str">
        <f>IF(AND($C970=12,$D970=Input!$C$6),0,IF($E971="","",IF($B971&gt;Input!$C$9,0,$AC971)+AL972/(1+$L971)*$R971))</f>
        <v/>
      </c>
      <c r="AM971" s="160" t="str">
        <f t="shared" si="321"/>
        <v/>
      </c>
      <c r="AN971" s="164" t="str">
        <f>IF($E971="","",IF($B971&gt;Input!$C$9,$AI971*$AC971,$AM971*$AC971))</f>
        <v/>
      </c>
      <c r="AO971" s="164" t="str">
        <f>IF(AND($C970=12,$D970=Input!$C$6),0,IF($E971="","",$AN971+AO972/(1+$L971)*$R971))</f>
        <v/>
      </c>
      <c r="AP971" s="152"/>
      <c r="AQ971" s="164" t="str">
        <f t="shared" si="322"/>
        <v/>
      </c>
      <c r="AR971" s="164" t="str">
        <f t="shared" si="331"/>
        <v/>
      </c>
      <c r="AS971" s="164" t="str">
        <f t="shared" si="332"/>
        <v/>
      </c>
      <c r="AT971" s="164" t="str">
        <f t="shared" si="323"/>
        <v/>
      </c>
      <c r="AU971" s="152"/>
      <c r="AV971" s="147" t="str">
        <f>'Deterministic Reserve'!BC971</f>
        <v/>
      </c>
      <c r="AW971" s="164" t="str">
        <f t="shared" si="324"/>
        <v/>
      </c>
      <c r="AX971" s="164" t="str">
        <f t="shared" si="325"/>
        <v/>
      </c>
      <c r="AY971" s="152"/>
    </row>
    <row r="972" spans="1:51" s="150" customFormat="1" x14ac:dyDescent="0.25">
      <c r="A972" s="150" t="str">
        <f t="shared" si="333"/>
        <v/>
      </c>
      <c r="B972" s="150" t="str">
        <f t="shared" si="334"/>
        <v/>
      </c>
      <c r="C972" s="150" t="str">
        <f t="shared" si="335"/>
        <v/>
      </c>
      <c r="D972" s="150" t="str">
        <f>IF(E972="","",Input!$C$4+B972-1)</f>
        <v/>
      </c>
      <c r="E972" s="150" t="str">
        <f>IF(OR(AND(C971=12,D971=Input!$C$6),E971=""),"",1)</f>
        <v/>
      </c>
      <c r="F972" s="150" t="str">
        <f>IF(E972="","",Input!$C$8+B972-1)</f>
        <v/>
      </c>
      <c r="G972" s="151" t="str">
        <f>IF(E972="","",MAX(0,Input!$C$9-B972))</f>
        <v/>
      </c>
      <c r="H972" s="152" t="str">
        <f>IF(E972="","",Input!$C$3)</f>
        <v/>
      </c>
      <c r="I972" s="153" t="str">
        <f>IF(E972="","",HLOOKUP($B972,Input!$C$13:$BT$14,2))</f>
        <v/>
      </c>
      <c r="J972" s="154"/>
      <c r="K972" s="155" t="str">
        <f>IF($E972="","",Input!$C$57)</f>
        <v/>
      </c>
      <c r="L972" s="155" t="str">
        <f t="shared" si="326"/>
        <v/>
      </c>
      <c r="M972" s="147" t="str">
        <f>IF($E972="","",VLOOKUP(IF($B972&lt;=Input!$C$7,$B972,26),'Mortality Tables'!$A$72:$CA$97,IF($B972&lt;=Input!$C$7+1,Input!$C$4-16,$D972-Input!$C$7-16),0)/1000)</f>
        <v/>
      </c>
      <c r="N972" s="147" t="str">
        <f t="shared" si="315"/>
        <v/>
      </c>
      <c r="O972" s="157" t="str">
        <f>IF($E972="","",IF($C972=12,IF($B972&lt;Input!$C$9,Input!$C$54,IF($B972=Input!$C$9,Input!$C$55,Input!$C$56)),0%))</f>
        <v/>
      </c>
      <c r="P972" s="167" t="str">
        <f>IF($E972="","",IF($B972=1,Input!$C$59,IF($B972&lt;6,Input!$C$60,0%)))</f>
        <v/>
      </c>
      <c r="Q972" s="162" t="str">
        <f>IF($E972="","",Input!$C$58)</f>
        <v/>
      </c>
      <c r="R972" s="156" t="str">
        <f t="shared" si="327"/>
        <v/>
      </c>
      <c r="S972" s="154" t="str">
        <f t="shared" si="316"/>
        <v/>
      </c>
      <c r="T972" s="152"/>
      <c r="U972" s="150" t="str">
        <f t="shared" si="328"/>
        <v/>
      </c>
      <c r="V972" s="150" t="str">
        <f t="shared" si="329"/>
        <v/>
      </c>
      <c r="W972" s="168" t="str">
        <f t="shared" si="330"/>
        <v/>
      </c>
      <c r="X972" s="163" t="str">
        <f t="shared" si="317"/>
        <v/>
      </c>
      <c r="Y972" s="152"/>
      <c r="Z972" s="164" t="str">
        <f>IF(AND($C971=12,$D971=Input!$C$6),0,IF($E972="","",V972+Z973/(1+L972)*R972))</f>
        <v/>
      </c>
      <c r="AA972" s="164" t="str">
        <f>IF(OR($M972=1,AND($C971=12,$D971=Input!$C$6)),0,IF($E972="","",W972+(X972+AA973*$R972)/(1+$L972)))</f>
        <v/>
      </c>
      <c r="AB972" s="160" t="str">
        <f t="shared" si="318"/>
        <v/>
      </c>
      <c r="AC972" s="164" t="str">
        <f t="shared" si="319"/>
        <v/>
      </c>
      <c r="AD972" s="164" t="str">
        <f>IF(AND($C971=12,$D971=Input!$C$6),0,IF($E972="","",$AC972+AD973/(1+$L972)*$R972))</f>
        <v/>
      </c>
      <c r="AE972" s="152"/>
      <c r="AF972" s="164" t="str">
        <f>IF(AND($C971=12,$D971=Input!$C$6),0,IF($E972="","",IF($B972&gt;Input!$C$9,$AC972,0)+AF973/(1+$L972)*$R972))</f>
        <v/>
      </c>
      <c r="AG972" s="164" t="str">
        <f>IF(AND($C971=12,$D971=Input!$C$6),0,IF($E972="","",(IF($B972&gt;Input!$C$9,$X972,0)+AG973)/(1+$L972)*$R972))</f>
        <v/>
      </c>
      <c r="AH972" s="160" t="str">
        <f t="shared" si="320"/>
        <v/>
      </c>
      <c r="AI972" s="160" t="str">
        <f>IF($E972="","",MIN(Input!$C$61/AH972,1))</f>
        <v/>
      </c>
      <c r="AJ972" s="152"/>
      <c r="AK972" s="164" t="str">
        <f>IF(AND($C971=12,$D971=Input!$C$6),0,IF($E972="","",IF($B972&gt;Input!$C$9,$AC972*AI972,0)+AK973/(1+$L972)*$R972))</f>
        <v/>
      </c>
      <c r="AL972" s="164" t="str">
        <f>IF(AND($C971=12,$D971=Input!$C$6),0,IF($E972="","",IF($B972&gt;Input!$C$9,0,$AC972)+AL973/(1+$L972)*$R972))</f>
        <v/>
      </c>
      <c r="AM972" s="160" t="str">
        <f t="shared" si="321"/>
        <v/>
      </c>
      <c r="AN972" s="164" t="str">
        <f>IF($E972="","",IF($B972&gt;Input!$C$9,$AI972*$AC972,$AM972*$AC972))</f>
        <v/>
      </c>
      <c r="AO972" s="164" t="str">
        <f>IF(AND($C971=12,$D971=Input!$C$6),0,IF($E972="","",$AN972+AO973/(1+$L972)*$R972))</f>
        <v/>
      </c>
      <c r="AP972" s="152"/>
      <c r="AQ972" s="164" t="str">
        <f t="shared" si="322"/>
        <v/>
      </c>
      <c r="AR972" s="164" t="str">
        <f t="shared" si="331"/>
        <v/>
      </c>
      <c r="AS972" s="164" t="str">
        <f t="shared" si="332"/>
        <v/>
      </c>
      <c r="AT972" s="164" t="str">
        <f t="shared" si="323"/>
        <v/>
      </c>
      <c r="AU972" s="152"/>
      <c r="AV972" s="147" t="str">
        <f>'Deterministic Reserve'!BC972</f>
        <v/>
      </c>
      <c r="AW972" s="164" t="str">
        <f t="shared" si="324"/>
        <v/>
      </c>
      <c r="AX972" s="164" t="str">
        <f t="shared" si="325"/>
        <v/>
      </c>
      <c r="AY972" s="152"/>
    </row>
    <row r="973" spans="1:51" s="150" customFormat="1" x14ac:dyDescent="0.25">
      <c r="A973" s="150" t="str">
        <f t="shared" si="333"/>
        <v/>
      </c>
      <c r="B973" s="150" t="str">
        <f t="shared" si="334"/>
        <v/>
      </c>
      <c r="C973" s="150" t="str">
        <f t="shared" si="335"/>
        <v/>
      </c>
      <c r="D973" s="150" t="str">
        <f>IF(E973="","",Input!$C$4+B973-1)</f>
        <v/>
      </c>
      <c r="E973" s="150" t="str">
        <f>IF(OR(AND(C972=12,D972=Input!$C$6),E972=""),"",1)</f>
        <v/>
      </c>
      <c r="F973" s="150" t="str">
        <f>IF(E973="","",Input!$C$8+B973-1)</f>
        <v/>
      </c>
      <c r="G973" s="151" t="str">
        <f>IF(E973="","",MAX(0,Input!$C$9-B973))</f>
        <v/>
      </c>
      <c r="H973" s="152" t="str">
        <f>IF(E973="","",Input!$C$3)</f>
        <v/>
      </c>
      <c r="I973" s="153" t="str">
        <f>IF(E973="","",HLOOKUP($B973,Input!$C$13:$BT$14,2))</f>
        <v/>
      </c>
      <c r="J973" s="154"/>
      <c r="K973" s="155" t="str">
        <f>IF($E973="","",Input!$C$57)</f>
        <v/>
      </c>
      <c r="L973" s="155" t="str">
        <f t="shared" si="326"/>
        <v/>
      </c>
      <c r="M973" s="147" t="str">
        <f>IF($E973="","",VLOOKUP(IF($B973&lt;=Input!$C$7,$B973,26),'Mortality Tables'!$A$72:$CA$97,IF($B973&lt;=Input!$C$7+1,Input!$C$4-16,$D973-Input!$C$7-16),0)/1000)</f>
        <v/>
      </c>
      <c r="N973" s="147" t="str">
        <f t="shared" si="315"/>
        <v/>
      </c>
      <c r="O973" s="157" t="str">
        <f>IF($E973="","",IF($C973=12,IF($B973&lt;Input!$C$9,Input!$C$54,IF($B973=Input!$C$9,Input!$C$55,Input!$C$56)),0%))</f>
        <v/>
      </c>
      <c r="P973" s="167" t="str">
        <f>IF($E973="","",IF($B973=1,Input!$C$59,IF($B973&lt;6,Input!$C$60,0%)))</f>
        <v/>
      </c>
      <c r="Q973" s="162" t="str">
        <f>IF($E973="","",Input!$C$58)</f>
        <v/>
      </c>
      <c r="R973" s="156" t="str">
        <f t="shared" si="327"/>
        <v/>
      </c>
      <c r="S973" s="154" t="str">
        <f t="shared" si="316"/>
        <v/>
      </c>
      <c r="T973" s="152"/>
      <c r="U973" s="150" t="str">
        <f t="shared" si="328"/>
        <v/>
      </c>
      <c r="V973" s="150" t="str">
        <f t="shared" si="329"/>
        <v/>
      </c>
      <c r="W973" s="168" t="str">
        <f t="shared" si="330"/>
        <v/>
      </c>
      <c r="X973" s="163" t="str">
        <f t="shared" si="317"/>
        <v/>
      </c>
      <c r="Y973" s="152"/>
      <c r="Z973" s="164" t="str">
        <f>IF(AND($C972=12,$D972=Input!$C$6),0,IF($E973="","",V973+Z974/(1+L973)*R973))</f>
        <v/>
      </c>
      <c r="AA973" s="164" t="str">
        <f>IF(OR($M973=1,AND($C972=12,$D972=Input!$C$6)),0,IF($E973="","",W973+(X973+AA974*$R973)/(1+$L973)))</f>
        <v/>
      </c>
      <c r="AB973" s="160" t="str">
        <f t="shared" si="318"/>
        <v/>
      </c>
      <c r="AC973" s="164" t="str">
        <f t="shared" si="319"/>
        <v/>
      </c>
      <c r="AD973" s="164" t="str">
        <f>IF(AND($C972=12,$D972=Input!$C$6),0,IF($E973="","",$AC973+AD974/(1+$L973)*$R973))</f>
        <v/>
      </c>
      <c r="AE973" s="152"/>
      <c r="AF973" s="164" t="str">
        <f>IF(AND($C972=12,$D972=Input!$C$6),0,IF($E973="","",IF($B973&gt;Input!$C$9,$AC973,0)+AF974/(1+$L973)*$R973))</f>
        <v/>
      </c>
      <c r="AG973" s="164" t="str">
        <f>IF(AND($C972=12,$D972=Input!$C$6),0,IF($E973="","",(IF($B973&gt;Input!$C$9,$X973,0)+AG974)/(1+$L973)*$R973))</f>
        <v/>
      </c>
      <c r="AH973" s="160" t="str">
        <f t="shared" si="320"/>
        <v/>
      </c>
      <c r="AI973" s="160" t="str">
        <f>IF($E973="","",MIN(Input!$C$61/AH973,1))</f>
        <v/>
      </c>
      <c r="AJ973" s="152"/>
      <c r="AK973" s="164" t="str">
        <f>IF(AND($C972=12,$D972=Input!$C$6),0,IF($E973="","",IF($B973&gt;Input!$C$9,$AC973*AI973,0)+AK974/(1+$L973)*$R973))</f>
        <v/>
      </c>
      <c r="AL973" s="164" t="str">
        <f>IF(AND($C972=12,$D972=Input!$C$6),0,IF($E973="","",IF($B973&gt;Input!$C$9,0,$AC973)+AL974/(1+$L973)*$R973))</f>
        <v/>
      </c>
      <c r="AM973" s="160" t="str">
        <f t="shared" si="321"/>
        <v/>
      </c>
      <c r="AN973" s="164" t="str">
        <f>IF($E973="","",IF($B973&gt;Input!$C$9,$AI973*$AC973,$AM973*$AC973))</f>
        <v/>
      </c>
      <c r="AO973" s="164" t="str">
        <f>IF(AND($C972=12,$D972=Input!$C$6),0,IF($E973="","",$AN973+AO974/(1+$L973)*$R973))</f>
        <v/>
      </c>
      <c r="AP973" s="152"/>
      <c r="AQ973" s="164" t="str">
        <f t="shared" si="322"/>
        <v/>
      </c>
      <c r="AR973" s="164" t="str">
        <f t="shared" si="331"/>
        <v/>
      </c>
      <c r="AS973" s="164" t="str">
        <f t="shared" si="332"/>
        <v/>
      </c>
      <c r="AT973" s="164" t="str">
        <f t="shared" si="323"/>
        <v/>
      </c>
      <c r="AU973" s="152"/>
      <c r="AV973" s="147" t="str">
        <f>'Deterministic Reserve'!BC973</f>
        <v/>
      </c>
      <c r="AW973" s="164" t="str">
        <f t="shared" si="324"/>
        <v/>
      </c>
      <c r="AX973" s="164" t="str">
        <f t="shared" si="325"/>
        <v/>
      </c>
      <c r="AY973" s="152"/>
    </row>
    <row r="974" spans="1:51" s="150" customFormat="1" x14ac:dyDescent="0.25">
      <c r="A974" s="150" t="str">
        <f t="shared" si="333"/>
        <v/>
      </c>
      <c r="B974" s="150" t="str">
        <f t="shared" si="334"/>
        <v/>
      </c>
      <c r="C974" s="150" t="str">
        <f t="shared" si="335"/>
        <v/>
      </c>
      <c r="D974" s="150" t="str">
        <f>IF(E974="","",Input!$C$4+B974-1)</f>
        <v/>
      </c>
      <c r="E974" s="150" t="str">
        <f>IF(OR(AND(C973=12,D973=Input!$C$6),E973=""),"",1)</f>
        <v/>
      </c>
      <c r="F974" s="150" t="str">
        <f>IF(E974="","",Input!$C$8+B974-1)</f>
        <v/>
      </c>
      <c r="G974" s="151" t="str">
        <f>IF(E974="","",MAX(0,Input!$C$9-B974))</f>
        <v/>
      </c>
      <c r="H974" s="152" t="str">
        <f>IF(E974="","",Input!$C$3)</f>
        <v/>
      </c>
      <c r="I974" s="153" t="str">
        <f>IF(E974="","",HLOOKUP($B974,Input!$C$13:$BT$14,2))</f>
        <v/>
      </c>
      <c r="J974" s="154"/>
      <c r="K974" s="155" t="str">
        <f>IF($E974="","",Input!$C$57)</f>
        <v/>
      </c>
      <c r="L974" s="155" t="str">
        <f t="shared" si="326"/>
        <v/>
      </c>
      <c r="M974" s="147" t="str">
        <f>IF($E974="","",VLOOKUP(IF($B974&lt;=Input!$C$7,$B974,26),'Mortality Tables'!$A$72:$CA$97,IF($B974&lt;=Input!$C$7+1,Input!$C$4-16,$D974-Input!$C$7-16),0)/1000)</f>
        <v/>
      </c>
      <c r="N974" s="147" t="str">
        <f t="shared" si="315"/>
        <v/>
      </c>
      <c r="O974" s="157" t="str">
        <f>IF($E974="","",IF($C974=12,IF($B974&lt;Input!$C$9,Input!$C$54,IF($B974=Input!$C$9,Input!$C$55,Input!$C$56)),0%))</f>
        <v/>
      </c>
      <c r="P974" s="167" t="str">
        <f>IF($E974="","",IF($B974=1,Input!$C$59,IF($B974&lt;6,Input!$C$60,0%)))</f>
        <v/>
      </c>
      <c r="Q974" s="162" t="str">
        <f>IF($E974="","",Input!$C$58)</f>
        <v/>
      </c>
      <c r="R974" s="156" t="str">
        <f t="shared" si="327"/>
        <v/>
      </c>
      <c r="S974" s="154" t="str">
        <f t="shared" si="316"/>
        <v/>
      </c>
      <c r="T974" s="152"/>
      <c r="U974" s="150" t="str">
        <f t="shared" si="328"/>
        <v/>
      </c>
      <c r="V974" s="150" t="str">
        <f t="shared" si="329"/>
        <v/>
      </c>
      <c r="W974" s="168" t="str">
        <f t="shared" si="330"/>
        <v/>
      </c>
      <c r="X974" s="163" t="str">
        <f t="shared" si="317"/>
        <v/>
      </c>
      <c r="Y974" s="152"/>
      <c r="Z974" s="164" t="str">
        <f>IF(AND($C973=12,$D973=Input!$C$6),0,IF($E974="","",V974+Z975/(1+L974)*R974))</f>
        <v/>
      </c>
      <c r="AA974" s="164" t="str">
        <f>IF(OR($M974=1,AND($C973=12,$D973=Input!$C$6)),0,IF($E974="","",W974+(X974+AA975*$R974)/(1+$L974)))</f>
        <v/>
      </c>
      <c r="AB974" s="160" t="str">
        <f t="shared" si="318"/>
        <v/>
      </c>
      <c r="AC974" s="164" t="str">
        <f t="shared" si="319"/>
        <v/>
      </c>
      <c r="AD974" s="164" t="str">
        <f>IF(AND($C973=12,$D973=Input!$C$6),0,IF($E974="","",$AC974+AD975/(1+$L974)*$R974))</f>
        <v/>
      </c>
      <c r="AE974" s="152"/>
      <c r="AF974" s="164" t="str">
        <f>IF(AND($C973=12,$D973=Input!$C$6),0,IF($E974="","",IF($B974&gt;Input!$C$9,$AC974,0)+AF975/(1+$L974)*$R974))</f>
        <v/>
      </c>
      <c r="AG974" s="164" t="str">
        <f>IF(AND($C973=12,$D973=Input!$C$6),0,IF($E974="","",(IF($B974&gt;Input!$C$9,$X974,0)+AG975)/(1+$L974)*$R974))</f>
        <v/>
      </c>
      <c r="AH974" s="160" t="str">
        <f t="shared" si="320"/>
        <v/>
      </c>
      <c r="AI974" s="160" t="str">
        <f>IF($E974="","",MIN(Input!$C$61/AH974,1))</f>
        <v/>
      </c>
      <c r="AJ974" s="152"/>
      <c r="AK974" s="164" t="str">
        <f>IF(AND($C973=12,$D973=Input!$C$6),0,IF($E974="","",IF($B974&gt;Input!$C$9,$AC974*AI974,0)+AK975/(1+$L974)*$R974))</f>
        <v/>
      </c>
      <c r="AL974" s="164" t="str">
        <f>IF(AND($C973=12,$D973=Input!$C$6),0,IF($E974="","",IF($B974&gt;Input!$C$9,0,$AC974)+AL975/(1+$L974)*$R974))</f>
        <v/>
      </c>
      <c r="AM974" s="160" t="str">
        <f t="shared" si="321"/>
        <v/>
      </c>
      <c r="AN974" s="164" t="str">
        <f>IF($E974="","",IF($B974&gt;Input!$C$9,$AI974*$AC974,$AM974*$AC974))</f>
        <v/>
      </c>
      <c r="AO974" s="164" t="str">
        <f>IF(AND($C973=12,$D973=Input!$C$6),0,IF($E974="","",$AN974+AO975/(1+$L974)*$R974))</f>
        <v/>
      </c>
      <c r="AP974" s="152"/>
      <c r="AQ974" s="164" t="str">
        <f t="shared" si="322"/>
        <v/>
      </c>
      <c r="AR974" s="164" t="str">
        <f t="shared" si="331"/>
        <v/>
      </c>
      <c r="AS974" s="164" t="str">
        <f t="shared" si="332"/>
        <v/>
      </c>
      <c r="AT974" s="164" t="str">
        <f t="shared" si="323"/>
        <v/>
      </c>
      <c r="AU974" s="152"/>
      <c r="AV974" s="147" t="str">
        <f>'Deterministic Reserve'!BC974</f>
        <v/>
      </c>
      <c r="AW974" s="164" t="str">
        <f t="shared" si="324"/>
        <v/>
      </c>
      <c r="AX974" s="164" t="str">
        <f t="shared" si="325"/>
        <v/>
      </c>
      <c r="AY974" s="152"/>
    </row>
    <row r="975" spans="1:51" s="150" customFormat="1" x14ac:dyDescent="0.25">
      <c r="A975" s="150" t="str">
        <f t="shared" si="333"/>
        <v/>
      </c>
      <c r="B975" s="150" t="str">
        <f t="shared" si="334"/>
        <v/>
      </c>
      <c r="C975" s="150" t="str">
        <f t="shared" si="335"/>
        <v/>
      </c>
      <c r="D975" s="150" t="str">
        <f>IF(E975="","",Input!$C$4+B975-1)</f>
        <v/>
      </c>
      <c r="E975" s="150" t="str">
        <f>IF(OR(AND(C974=12,D974=Input!$C$6),E974=""),"",1)</f>
        <v/>
      </c>
      <c r="F975" s="150" t="str">
        <f>IF(E975="","",Input!$C$8+B975-1)</f>
        <v/>
      </c>
      <c r="G975" s="151" t="str">
        <f>IF(E975="","",MAX(0,Input!$C$9-B975))</f>
        <v/>
      </c>
      <c r="H975" s="152" t="str">
        <f>IF(E975="","",Input!$C$3)</f>
        <v/>
      </c>
      <c r="I975" s="153" t="str">
        <f>IF(E975="","",HLOOKUP($B975,Input!$C$13:$BT$14,2))</f>
        <v/>
      </c>
      <c r="J975" s="154"/>
      <c r="K975" s="155" t="str">
        <f>IF($E975="","",Input!$C$57)</f>
        <v/>
      </c>
      <c r="L975" s="155" t="str">
        <f t="shared" si="326"/>
        <v/>
      </c>
      <c r="M975" s="147" t="str">
        <f>IF($E975="","",VLOOKUP(IF($B975&lt;=Input!$C$7,$B975,26),'Mortality Tables'!$A$72:$CA$97,IF($B975&lt;=Input!$C$7+1,Input!$C$4-16,$D975-Input!$C$7-16),0)/1000)</f>
        <v/>
      </c>
      <c r="N975" s="147" t="str">
        <f t="shared" si="315"/>
        <v/>
      </c>
      <c r="O975" s="157" t="str">
        <f>IF($E975="","",IF($C975=12,IF($B975&lt;Input!$C$9,Input!$C$54,IF($B975=Input!$C$9,Input!$C$55,Input!$C$56)),0%))</f>
        <v/>
      </c>
      <c r="P975" s="167" t="str">
        <f>IF($E975="","",IF($B975=1,Input!$C$59,IF($B975&lt;6,Input!$C$60,0%)))</f>
        <v/>
      </c>
      <c r="Q975" s="162" t="str">
        <f>IF($E975="","",Input!$C$58)</f>
        <v/>
      </c>
      <c r="R975" s="156" t="str">
        <f t="shared" si="327"/>
        <v/>
      </c>
      <c r="S975" s="154" t="str">
        <f t="shared" si="316"/>
        <v/>
      </c>
      <c r="T975" s="152"/>
      <c r="U975" s="150" t="str">
        <f t="shared" si="328"/>
        <v/>
      </c>
      <c r="V975" s="150" t="str">
        <f t="shared" si="329"/>
        <v/>
      </c>
      <c r="W975" s="168" t="str">
        <f t="shared" si="330"/>
        <v/>
      </c>
      <c r="X975" s="163" t="str">
        <f t="shared" si="317"/>
        <v/>
      </c>
      <c r="Y975" s="152"/>
      <c r="Z975" s="164" t="str">
        <f>IF(AND($C974=12,$D974=Input!$C$6),0,IF($E975="","",V975+Z976/(1+L975)*R975))</f>
        <v/>
      </c>
      <c r="AA975" s="164" t="str">
        <f>IF(OR($M975=1,AND($C974=12,$D974=Input!$C$6)),0,IF($E975="","",W975+(X975+AA976*$R975)/(1+$L975)))</f>
        <v/>
      </c>
      <c r="AB975" s="160" t="str">
        <f t="shared" si="318"/>
        <v/>
      </c>
      <c r="AC975" s="164" t="str">
        <f t="shared" si="319"/>
        <v/>
      </c>
      <c r="AD975" s="164" t="str">
        <f>IF(AND($C974=12,$D974=Input!$C$6),0,IF($E975="","",$AC975+AD976/(1+$L975)*$R975))</f>
        <v/>
      </c>
      <c r="AE975" s="152"/>
      <c r="AF975" s="164" t="str">
        <f>IF(AND($C974=12,$D974=Input!$C$6),0,IF($E975="","",IF($B975&gt;Input!$C$9,$AC975,0)+AF976/(1+$L975)*$R975))</f>
        <v/>
      </c>
      <c r="AG975" s="164" t="str">
        <f>IF(AND($C974=12,$D974=Input!$C$6),0,IF($E975="","",(IF($B975&gt;Input!$C$9,$X975,0)+AG976)/(1+$L975)*$R975))</f>
        <v/>
      </c>
      <c r="AH975" s="160" t="str">
        <f t="shared" si="320"/>
        <v/>
      </c>
      <c r="AI975" s="160" t="str">
        <f>IF($E975="","",MIN(Input!$C$61/AH975,1))</f>
        <v/>
      </c>
      <c r="AJ975" s="152"/>
      <c r="AK975" s="164" t="str">
        <f>IF(AND($C974=12,$D974=Input!$C$6),0,IF($E975="","",IF($B975&gt;Input!$C$9,$AC975*AI975,0)+AK976/(1+$L975)*$R975))</f>
        <v/>
      </c>
      <c r="AL975" s="164" t="str">
        <f>IF(AND($C974=12,$D974=Input!$C$6),0,IF($E975="","",IF($B975&gt;Input!$C$9,0,$AC975)+AL976/(1+$L975)*$R975))</f>
        <v/>
      </c>
      <c r="AM975" s="160" t="str">
        <f t="shared" si="321"/>
        <v/>
      </c>
      <c r="AN975" s="164" t="str">
        <f>IF($E975="","",IF($B975&gt;Input!$C$9,$AI975*$AC975,$AM975*$AC975))</f>
        <v/>
      </c>
      <c r="AO975" s="164" t="str">
        <f>IF(AND($C974=12,$D974=Input!$C$6),0,IF($E975="","",$AN975+AO976/(1+$L975)*$R975))</f>
        <v/>
      </c>
      <c r="AP975" s="152"/>
      <c r="AQ975" s="164" t="str">
        <f t="shared" si="322"/>
        <v/>
      </c>
      <c r="AR975" s="164" t="str">
        <f t="shared" si="331"/>
        <v/>
      </c>
      <c r="AS975" s="164" t="str">
        <f t="shared" si="332"/>
        <v/>
      </c>
      <c r="AT975" s="164" t="str">
        <f t="shared" si="323"/>
        <v/>
      </c>
      <c r="AU975" s="152"/>
      <c r="AV975" s="147" t="str">
        <f>'Deterministic Reserve'!BC975</f>
        <v/>
      </c>
      <c r="AW975" s="164" t="str">
        <f t="shared" si="324"/>
        <v/>
      </c>
      <c r="AX975" s="164" t="str">
        <f t="shared" si="325"/>
        <v/>
      </c>
      <c r="AY975" s="152"/>
    </row>
    <row r="976" spans="1:51" s="150" customFormat="1" x14ac:dyDescent="0.25">
      <c r="A976" s="150" t="str">
        <f t="shared" si="333"/>
        <v/>
      </c>
      <c r="B976" s="150" t="str">
        <f t="shared" si="334"/>
        <v/>
      </c>
      <c r="C976" s="150" t="str">
        <f t="shared" si="335"/>
        <v/>
      </c>
      <c r="D976" s="150" t="str">
        <f>IF(E976="","",Input!$C$4+B976-1)</f>
        <v/>
      </c>
      <c r="E976" s="150" t="str">
        <f>IF(OR(AND(C975=12,D975=Input!$C$6),E975=""),"",1)</f>
        <v/>
      </c>
      <c r="F976" s="150" t="str">
        <f>IF(E976="","",Input!$C$8+B976-1)</f>
        <v/>
      </c>
      <c r="G976" s="151" t="str">
        <f>IF(E976="","",MAX(0,Input!$C$9-B976))</f>
        <v/>
      </c>
      <c r="H976" s="152" t="str">
        <f>IF(E976="","",Input!$C$3)</f>
        <v/>
      </c>
      <c r="I976" s="153" t="str">
        <f>IF(E976="","",HLOOKUP($B976,Input!$C$13:$BT$14,2))</f>
        <v/>
      </c>
      <c r="J976" s="154"/>
      <c r="K976" s="155" t="str">
        <f>IF($E976="","",Input!$C$57)</f>
        <v/>
      </c>
      <c r="L976" s="155" t="str">
        <f t="shared" si="326"/>
        <v/>
      </c>
      <c r="M976" s="147" t="str">
        <f>IF($E976="","",VLOOKUP(IF($B976&lt;=Input!$C$7,$B976,26),'Mortality Tables'!$A$72:$CA$97,IF($B976&lt;=Input!$C$7+1,Input!$C$4-16,$D976-Input!$C$7-16),0)/1000)</f>
        <v/>
      </c>
      <c r="N976" s="147" t="str">
        <f t="shared" si="315"/>
        <v/>
      </c>
      <c r="O976" s="157" t="str">
        <f>IF($E976="","",IF($C976=12,IF($B976&lt;Input!$C$9,Input!$C$54,IF($B976=Input!$C$9,Input!$C$55,Input!$C$56)),0%))</f>
        <v/>
      </c>
      <c r="P976" s="167" t="str">
        <f>IF($E976="","",IF($B976=1,Input!$C$59,IF($B976&lt;6,Input!$C$60,0%)))</f>
        <v/>
      </c>
      <c r="Q976" s="162" t="str">
        <f>IF($E976="","",Input!$C$58)</f>
        <v/>
      </c>
      <c r="R976" s="156" t="str">
        <f t="shared" si="327"/>
        <v/>
      </c>
      <c r="S976" s="154" t="str">
        <f t="shared" si="316"/>
        <v/>
      </c>
      <c r="T976" s="152"/>
      <c r="U976" s="150" t="str">
        <f t="shared" si="328"/>
        <v/>
      </c>
      <c r="V976" s="150" t="str">
        <f t="shared" si="329"/>
        <v/>
      </c>
      <c r="W976" s="168" t="str">
        <f t="shared" si="330"/>
        <v/>
      </c>
      <c r="X976" s="163" t="str">
        <f t="shared" si="317"/>
        <v/>
      </c>
      <c r="Y976" s="152"/>
      <c r="Z976" s="164" t="str">
        <f>IF(AND($C975=12,$D975=Input!$C$6),0,IF($E976="","",V976+Z977/(1+L976)*R976))</f>
        <v/>
      </c>
      <c r="AA976" s="164" t="str">
        <f>IF(OR($M976=1,AND($C975=12,$D975=Input!$C$6)),0,IF($E976="","",W976+(X976+AA977*$R976)/(1+$L976)))</f>
        <v/>
      </c>
      <c r="AB976" s="160" t="str">
        <f t="shared" si="318"/>
        <v/>
      </c>
      <c r="AC976" s="164" t="str">
        <f t="shared" si="319"/>
        <v/>
      </c>
      <c r="AD976" s="164" t="str">
        <f>IF(AND($C975=12,$D975=Input!$C$6),0,IF($E976="","",$AC976+AD977/(1+$L976)*$R976))</f>
        <v/>
      </c>
      <c r="AE976" s="152"/>
      <c r="AF976" s="164" t="str">
        <f>IF(AND($C975=12,$D975=Input!$C$6),0,IF($E976="","",IF($B976&gt;Input!$C$9,$AC976,0)+AF977/(1+$L976)*$R976))</f>
        <v/>
      </c>
      <c r="AG976" s="164" t="str">
        <f>IF(AND($C975=12,$D975=Input!$C$6),0,IF($E976="","",(IF($B976&gt;Input!$C$9,$X976,0)+AG977)/(1+$L976)*$R976))</f>
        <v/>
      </c>
      <c r="AH976" s="160" t="str">
        <f t="shared" si="320"/>
        <v/>
      </c>
      <c r="AI976" s="160" t="str">
        <f>IF($E976="","",MIN(Input!$C$61/AH976,1))</f>
        <v/>
      </c>
      <c r="AJ976" s="152"/>
      <c r="AK976" s="164" t="str">
        <f>IF(AND($C975=12,$D975=Input!$C$6),0,IF($E976="","",IF($B976&gt;Input!$C$9,$AC976*AI976,0)+AK977/(1+$L976)*$R976))</f>
        <v/>
      </c>
      <c r="AL976" s="164" t="str">
        <f>IF(AND($C975=12,$D975=Input!$C$6),0,IF($E976="","",IF($B976&gt;Input!$C$9,0,$AC976)+AL977/(1+$L976)*$R976))</f>
        <v/>
      </c>
      <c r="AM976" s="160" t="str">
        <f t="shared" si="321"/>
        <v/>
      </c>
      <c r="AN976" s="164" t="str">
        <f>IF($E976="","",IF($B976&gt;Input!$C$9,$AI976*$AC976,$AM976*$AC976))</f>
        <v/>
      </c>
      <c r="AO976" s="164" t="str">
        <f>IF(AND($C975=12,$D975=Input!$C$6),0,IF($E976="","",$AN976+AO977/(1+$L976)*$R976))</f>
        <v/>
      </c>
      <c r="AP976" s="152"/>
      <c r="AQ976" s="164" t="str">
        <f t="shared" si="322"/>
        <v/>
      </c>
      <c r="AR976" s="164" t="str">
        <f t="shared" si="331"/>
        <v/>
      </c>
      <c r="AS976" s="164" t="str">
        <f t="shared" si="332"/>
        <v/>
      </c>
      <c r="AT976" s="164" t="str">
        <f t="shared" si="323"/>
        <v/>
      </c>
      <c r="AU976" s="152"/>
      <c r="AV976" s="147" t="str">
        <f>'Deterministic Reserve'!BC976</f>
        <v/>
      </c>
      <c r="AW976" s="164" t="str">
        <f t="shared" si="324"/>
        <v/>
      </c>
      <c r="AX976" s="164" t="str">
        <f t="shared" si="325"/>
        <v/>
      </c>
      <c r="AY976" s="152"/>
    </row>
    <row r="977" spans="1:51" s="150" customFormat="1" x14ac:dyDescent="0.25">
      <c r="A977" s="150" t="str">
        <f t="shared" si="333"/>
        <v/>
      </c>
      <c r="B977" s="150" t="str">
        <f t="shared" si="334"/>
        <v/>
      </c>
      <c r="C977" s="150" t="str">
        <f t="shared" si="335"/>
        <v/>
      </c>
      <c r="D977" s="150" t="str">
        <f>IF(E977="","",Input!$C$4+B977-1)</f>
        <v/>
      </c>
      <c r="E977" s="150" t="str">
        <f>IF(OR(AND(C976=12,D976=Input!$C$6),E976=""),"",1)</f>
        <v/>
      </c>
      <c r="F977" s="150" t="str">
        <f>IF(E977="","",Input!$C$8+B977-1)</f>
        <v/>
      </c>
      <c r="G977" s="151" t="str">
        <f>IF(E977="","",MAX(0,Input!$C$9-B977))</f>
        <v/>
      </c>
      <c r="H977" s="152" t="str">
        <f>IF(E977="","",Input!$C$3)</f>
        <v/>
      </c>
      <c r="I977" s="153" t="str">
        <f>IF(E977="","",HLOOKUP($B977,Input!$C$13:$BT$14,2))</f>
        <v/>
      </c>
      <c r="J977" s="154"/>
      <c r="K977" s="155" t="str">
        <f>IF($E977="","",Input!$C$57)</f>
        <v/>
      </c>
      <c r="L977" s="155" t="str">
        <f t="shared" si="326"/>
        <v/>
      </c>
      <c r="M977" s="147" t="str">
        <f>IF($E977="","",VLOOKUP(IF($B977&lt;=Input!$C$7,$B977,26),'Mortality Tables'!$A$72:$CA$97,IF($B977&lt;=Input!$C$7+1,Input!$C$4-16,$D977-Input!$C$7-16),0)/1000)</f>
        <v/>
      </c>
      <c r="N977" s="147" t="str">
        <f t="shared" si="315"/>
        <v/>
      </c>
      <c r="O977" s="157" t="str">
        <f>IF($E977="","",IF($C977=12,IF($B977&lt;Input!$C$9,Input!$C$54,IF($B977=Input!$C$9,Input!$C$55,Input!$C$56)),0%))</f>
        <v/>
      </c>
      <c r="P977" s="167" t="str">
        <f>IF($E977="","",IF($B977=1,Input!$C$59,IF($B977&lt;6,Input!$C$60,0%)))</f>
        <v/>
      </c>
      <c r="Q977" s="162" t="str">
        <f>IF($E977="","",Input!$C$58)</f>
        <v/>
      </c>
      <c r="R977" s="156" t="str">
        <f t="shared" si="327"/>
        <v/>
      </c>
      <c r="S977" s="154" t="str">
        <f t="shared" si="316"/>
        <v/>
      </c>
      <c r="T977" s="152"/>
      <c r="U977" s="150" t="str">
        <f t="shared" si="328"/>
        <v/>
      </c>
      <c r="V977" s="150" t="str">
        <f t="shared" si="329"/>
        <v/>
      </c>
      <c r="W977" s="168" t="str">
        <f t="shared" si="330"/>
        <v/>
      </c>
      <c r="X977" s="163" t="str">
        <f t="shared" si="317"/>
        <v/>
      </c>
      <c r="Y977" s="152"/>
      <c r="Z977" s="164" t="str">
        <f>IF(AND($C976=12,$D976=Input!$C$6),0,IF($E977="","",V977+Z978/(1+L977)*R977))</f>
        <v/>
      </c>
      <c r="AA977" s="164" t="str">
        <f>IF(OR($M977=1,AND($C976=12,$D976=Input!$C$6)),0,IF($E977="","",W977+(X977+AA978*$R977)/(1+$L977)))</f>
        <v/>
      </c>
      <c r="AB977" s="160" t="str">
        <f t="shared" si="318"/>
        <v/>
      </c>
      <c r="AC977" s="164" t="str">
        <f t="shared" si="319"/>
        <v/>
      </c>
      <c r="AD977" s="164" t="str">
        <f>IF(AND($C976=12,$D976=Input!$C$6),0,IF($E977="","",$AC977+AD978/(1+$L977)*$R977))</f>
        <v/>
      </c>
      <c r="AE977" s="152"/>
      <c r="AF977" s="164" t="str">
        <f>IF(AND($C976=12,$D976=Input!$C$6),0,IF($E977="","",IF($B977&gt;Input!$C$9,$AC977,0)+AF978/(1+$L977)*$R977))</f>
        <v/>
      </c>
      <c r="AG977" s="164" t="str">
        <f>IF(AND($C976=12,$D976=Input!$C$6),0,IF($E977="","",(IF($B977&gt;Input!$C$9,$X977,0)+AG978)/(1+$L977)*$R977))</f>
        <v/>
      </c>
      <c r="AH977" s="160" t="str">
        <f t="shared" si="320"/>
        <v/>
      </c>
      <c r="AI977" s="160" t="str">
        <f>IF($E977="","",MIN(Input!$C$61/AH977,1))</f>
        <v/>
      </c>
      <c r="AJ977" s="152"/>
      <c r="AK977" s="164" t="str">
        <f>IF(AND($C976=12,$D976=Input!$C$6),0,IF($E977="","",IF($B977&gt;Input!$C$9,$AC977*AI977,0)+AK978/(1+$L977)*$R977))</f>
        <v/>
      </c>
      <c r="AL977" s="164" t="str">
        <f>IF(AND($C976=12,$D976=Input!$C$6),0,IF($E977="","",IF($B977&gt;Input!$C$9,0,$AC977)+AL978/(1+$L977)*$R977))</f>
        <v/>
      </c>
      <c r="AM977" s="160" t="str">
        <f t="shared" si="321"/>
        <v/>
      </c>
      <c r="AN977" s="164" t="str">
        <f>IF($E977="","",IF($B977&gt;Input!$C$9,$AI977*$AC977,$AM977*$AC977))</f>
        <v/>
      </c>
      <c r="AO977" s="164" t="str">
        <f>IF(AND($C976=12,$D976=Input!$C$6),0,IF($E977="","",$AN977+AO978/(1+$L977)*$R977))</f>
        <v/>
      </c>
      <c r="AP977" s="152"/>
      <c r="AQ977" s="164" t="str">
        <f t="shared" si="322"/>
        <v/>
      </c>
      <c r="AR977" s="164" t="str">
        <f t="shared" si="331"/>
        <v/>
      </c>
      <c r="AS977" s="164" t="str">
        <f t="shared" si="332"/>
        <v/>
      </c>
      <c r="AT977" s="164" t="str">
        <f t="shared" si="323"/>
        <v/>
      </c>
      <c r="AU977" s="152"/>
      <c r="AV977" s="147" t="str">
        <f>'Deterministic Reserve'!BC977</f>
        <v/>
      </c>
      <c r="AW977" s="164" t="str">
        <f t="shared" si="324"/>
        <v/>
      </c>
      <c r="AX977" s="164" t="str">
        <f t="shared" si="325"/>
        <v/>
      </c>
      <c r="AY977" s="152"/>
    </row>
    <row r="978" spans="1:51" s="150" customFormat="1" x14ac:dyDescent="0.25">
      <c r="A978" s="150" t="str">
        <f t="shared" si="333"/>
        <v/>
      </c>
      <c r="B978" s="150" t="str">
        <f t="shared" si="334"/>
        <v/>
      </c>
      <c r="C978" s="150" t="str">
        <f t="shared" si="335"/>
        <v/>
      </c>
      <c r="D978" s="150" t="str">
        <f>IF(E978="","",Input!$C$4+B978-1)</f>
        <v/>
      </c>
      <c r="E978" s="150" t="str">
        <f>IF(OR(AND(C977=12,D977=Input!$C$6),E977=""),"",1)</f>
        <v/>
      </c>
      <c r="F978" s="150" t="str">
        <f>IF(E978="","",Input!$C$8+B978-1)</f>
        <v/>
      </c>
      <c r="G978" s="151" t="str">
        <f>IF(E978="","",MAX(0,Input!$C$9-B978))</f>
        <v/>
      </c>
      <c r="H978" s="152" t="str">
        <f>IF(E978="","",Input!$C$3)</f>
        <v/>
      </c>
      <c r="I978" s="153" t="str">
        <f>IF(E978="","",HLOOKUP($B978,Input!$C$13:$BT$14,2))</f>
        <v/>
      </c>
      <c r="J978" s="154"/>
      <c r="K978" s="155" t="str">
        <f>IF($E978="","",Input!$C$57)</f>
        <v/>
      </c>
      <c r="L978" s="155" t="str">
        <f t="shared" si="326"/>
        <v/>
      </c>
      <c r="M978" s="147" t="str">
        <f>IF($E978="","",VLOOKUP(IF($B978&lt;=Input!$C$7,$B978,26),'Mortality Tables'!$A$72:$CA$97,IF($B978&lt;=Input!$C$7+1,Input!$C$4-16,$D978-Input!$C$7-16),0)/1000)</f>
        <v/>
      </c>
      <c r="N978" s="147" t="str">
        <f t="shared" si="315"/>
        <v/>
      </c>
      <c r="O978" s="157" t="str">
        <f>IF($E978="","",IF($C978=12,IF($B978&lt;Input!$C$9,Input!$C$54,IF($B978=Input!$C$9,Input!$C$55,Input!$C$56)),0%))</f>
        <v/>
      </c>
      <c r="P978" s="167" t="str">
        <f>IF($E978="","",IF($B978=1,Input!$C$59,IF($B978&lt;6,Input!$C$60,0%)))</f>
        <v/>
      </c>
      <c r="Q978" s="162" t="str">
        <f>IF($E978="","",Input!$C$58)</f>
        <v/>
      </c>
      <c r="R978" s="156" t="str">
        <f t="shared" si="327"/>
        <v/>
      </c>
      <c r="S978" s="154" t="str">
        <f t="shared" si="316"/>
        <v/>
      </c>
      <c r="T978" s="152"/>
      <c r="U978" s="150" t="str">
        <f t="shared" si="328"/>
        <v/>
      </c>
      <c r="V978" s="150" t="str">
        <f t="shared" si="329"/>
        <v/>
      </c>
      <c r="W978" s="168" t="str">
        <f t="shared" si="330"/>
        <v/>
      </c>
      <c r="X978" s="163" t="str">
        <f t="shared" si="317"/>
        <v/>
      </c>
      <c r="Y978" s="152"/>
      <c r="Z978" s="164" t="str">
        <f>IF(AND($C977=12,$D977=Input!$C$6),0,IF($E978="","",V978+Z979/(1+L978)*R978))</f>
        <v/>
      </c>
      <c r="AA978" s="164" t="str">
        <f>IF(OR($M978=1,AND($C977=12,$D977=Input!$C$6)),0,IF($E978="","",W978+(X978+AA979*$R978)/(1+$L978)))</f>
        <v/>
      </c>
      <c r="AB978" s="160" t="str">
        <f t="shared" si="318"/>
        <v/>
      </c>
      <c r="AC978" s="164" t="str">
        <f t="shared" si="319"/>
        <v/>
      </c>
      <c r="AD978" s="164" t="str">
        <f>IF(AND($C977=12,$D977=Input!$C$6),0,IF($E978="","",$AC978+AD979/(1+$L978)*$R978))</f>
        <v/>
      </c>
      <c r="AE978" s="152"/>
      <c r="AF978" s="164" t="str">
        <f>IF(AND($C977=12,$D977=Input!$C$6),0,IF($E978="","",IF($B978&gt;Input!$C$9,$AC978,0)+AF979/(1+$L978)*$R978))</f>
        <v/>
      </c>
      <c r="AG978" s="164" t="str">
        <f>IF(AND($C977=12,$D977=Input!$C$6),0,IF($E978="","",(IF($B978&gt;Input!$C$9,$X978,0)+AG979)/(1+$L978)*$R978))</f>
        <v/>
      </c>
      <c r="AH978" s="160" t="str">
        <f t="shared" si="320"/>
        <v/>
      </c>
      <c r="AI978" s="160" t="str">
        <f>IF($E978="","",MIN(Input!$C$61/AH978,1))</f>
        <v/>
      </c>
      <c r="AJ978" s="152"/>
      <c r="AK978" s="164" t="str">
        <f>IF(AND($C977=12,$D977=Input!$C$6),0,IF($E978="","",IF($B978&gt;Input!$C$9,$AC978*AI978,0)+AK979/(1+$L978)*$R978))</f>
        <v/>
      </c>
      <c r="AL978" s="164" t="str">
        <f>IF(AND($C977=12,$D977=Input!$C$6),0,IF($E978="","",IF($B978&gt;Input!$C$9,0,$AC978)+AL979/(1+$L978)*$R978))</f>
        <v/>
      </c>
      <c r="AM978" s="160" t="str">
        <f t="shared" si="321"/>
        <v/>
      </c>
      <c r="AN978" s="164" t="str">
        <f>IF($E978="","",IF($B978&gt;Input!$C$9,$AI978*$AC978,$AM978*$AC978))</f>
        <v/>
      </c>
      <c r="AO978" s="164" t="str">
        <f>IF(AND($C977=12,$D977=Input!$C$6),0,IF($E978="","",$AN978+AO979/(1+$L978)*$R978))</f>
        <v/>
      </c>
      <c r="AP978" s="152"/>
      <c r="AQ978" s="164" t="str">
        <f t="shared" si="322"/>
        <v/>
      </c>
      <c r="AR978" s="164" t="str">
        <f t="shared" si="331"/>
        <v/>
      </c>
      <c r="AS978" s="164" t="str">
        <f t="shared" si="332"/>
        <v/>
      </c>
      <c r="AT978" s="164" t="str">
        <f t="shared" si="323"/>
        <v/>
      </c>
      <c r="AU978" s="152"/>
      <c r="AV978" s="147" t="str">
        <f>'Deterministic Reserve'!BC978</f>
        <v/>
      </c>
      <c r="AW978" s="164" t="str">
        <f t="shared" si="324"/>
        <v/>
      </c>
      <c r="AX978" s="164" t="str">
        <f t="shared" si="325"/>
        <v/>
      </c>
      <c r="AY978" s="152"/>
    </row>
    <row r="979" spans="1:51" s="150" customFormat="1" x14ac:dyDescent="0.25">
      <c r="A979" s="150" t="str">
        <f t="shared" si="333"/>
        <v/>
      </c>
      <c r="B979" s="150" t="str">
        <f t="shared" si="334"/>
        <v/>
      </c>
      <c r="C979" s="150" t="str">
        <f t="shared" si="335"/>
        <v/>
      </c>
      <c r="D979" s="150" t="str">
        <f>IF(E979="","",Input!$C$4+B979-1)</f>
        <v/>
      </c>
      <c r="E979" s="150" t="str">
        <f>IF(OR(AND(C978=12,D978=Input!$C$6),E978=""),"",1)</f>
        <v/>
      </c>
      <c r="F979" s="150" t="str">
        <f>IF(E979="","",Input!$C$8+B979-1)</f>
        <v/>
      </c>
      <c r="G979" s="151" t="str">
        <f>IF(E979="","",MAX(0,Input!$C$9-B979))</f>
        <v/>
      </c>
      <c r="H979" s="152" t="str">
        <f>IF(E979="","",Input!$C$3)</f>
        <v/>
      </c>
      <c r="I979" s="153" t="str">
        <f>IF(E979="","",HLOOKUP($B979,Input!$C$13:$BT$14,2))</f>
        <v/>
      </c>
      <c r="J979" s="154"/>
      <c r="K979" s="155" t="str">
        <f>IF($E979="","",Input!$C$57)</f>
        <v/>
      </c>
      <c r="L979" s="155" t="str">
        <f t="shared" si="326"/>
        <v/>
      </c>
      <c r="M979" s="147" t="str">
        <f>IF($E979="","",VLOOKUP(IF($B979&lt;=Input!$C$7,$B979,26),'Mortality Tables'!$A$72:$CA$97,IF($B979&lt;=Input!$C$7+1,Input!$C$4-16,$D979-Input!$C$7-16),0)/1000)</f>
        <v/>
      </c>
      <c r="N979" s="147" t="str">
        <f t="shared" si="315"/>
        <v/>
      </c>
      <c r="O979" s="157" t="str">
        <f>IF($E979="","",IF($C979=12,IF($B979&lt;Input!$C$9,Input!$C$54,IF($B979=Input!$C$9,Input!$C$55,Input!$C$56)),0%))</f>
        <v/>
      </c>
      <c r="P979" s="167" t="str">
        <f>IF($E979="","",IF($B979=1,Input!$C$59,IF($B979&lt;6,Input!$C$60,0%)))</f>
        <v/>
      </c>
      <c r="Q979" s="162" t="str">
        <f>IF($E979="","",Input!$C$58)</f>
        <v/>
      </c>
      <c r="R979" s="156" t="str">
        <f t="shared" si="327"/>
        <v/>
      </c>
      <c r="S979" s="154" t="str">
        <f t="shared" si="316"/>
        <v/>
      </c>
      <c r="T979" s="152"/>
      <c r="U979" s="150" t="str">
        <f t="shared" si="328"/>
        <v/>
      </c>
      <c r="V979" s="150" t="str">
        <f t="shared" si="329"/>
        <v/>
      </c>
      <c r="W979" s="168" t="str">
        <f t="shared" si="330"/>
        <v/>
      </c>
      <c r="X979" s="163" t="str">
        <f t="shared" si="317"/>
        <v/>
      </c>
      <c r="Y979" s="152"/>
      <c r="Z979" s="164" t="str">
        <f>IF(AND($C978=12,$D978=Input!$C$6),0,IF($E979="","",V979+Z980/(1+L979)*R979))</f>
        <v/>
      </c>
      <c r="AA979" s="164" t="str">
        <f>IF(OR($M979=1,AND($C978=12,$D978=Input!$C$6)),0,IF($E979="","",W979+(X979+AA980*$R979)/(1+$L979)))</f>
        <v/>
      </c>
      <c r="AB979" s="160" t="str">
        <f t="shared" si="318"/>
        <v/>
      </c>
      <c r="AC979" s="164" t="str">
        <f t="shared" si="319"/>
        <v/>
      </c>
      <c r="AD979" s="164" t="str">
        <f>IF(AND($C978=12,$D978=Input!$C$6),0,IF($E979="","",$AC979+AD980/(1+$L979)*$R979))</f>
        <v/>
      </c>
      <c r="AE979" s="152"/>
      <c r="AF979" s="164" t="str">
        <f>IF(AND($C978=12,$D978=Input!$C$6),0,IF($E979="","",IF($B979&gt;Input!$C$9,$AC979,0)+AF980/(1+$L979)*$R979))</f>
        <v/>
      </c>
      <c r="AG979" s="164" t="str">
        <f>IF(AND($C978=12,$D978=Input!$C$6),0,IF($E979="","",(IF($B979&gt;Input!$C$9,$X979,0)+AG980)/(1+$L979)*$R979))</f>
        <v/>
      </c>
      <c r="AH979" s="160" t="str">
        <f t="shared" si="320"/>
        <v/>
      </c>
      <c r="AI979" s="160" t="str">
        <f>IF($E979="","",MIN(Input!$C$61/AH979,1))</f>
        <v/>
      </c>
      <c r="AJ979" s="152"/>
      <c r="AK979" s="164" t="str">
        <f>IF(AND($C978=12,$D978=Input!$C$6),0,IF($E979="","",IF($B979&gt;Input!$C$9,$AC979*AI979,0)+AK980/(1+$L979)*$R979))</f>
        <v/>
      </c>
      <c r="AL979" s="164" t="str">
        <f>IF(AND($C978=12,$D978=Input!$C$6),0,IF($E979="","",IF($B979&gt;Input!$C$9,0,$AC979)+AL980/(1+$L979)*$R979))</f>
        <v/>
      </c>
      <c r="AM979" s="160" t="str">
        <f t="shared" si="321"/>
        <v/>
      </c>
      <c r="AN979" s="164" t="str">
        <f>IF($E979="","",IF($B979&gt;Input!$C$9,$AI979*$AC979,$AM979*$AC979))</f>
        <v/>
      </c>
      <c r="AO979" s="164" t="str">
        <f>IF(AND($C978=12,$D978=Input!$C$6),0,IF($E979="","",$AN979+AO980/(1+$L979)*$R979))</f>
        <v/>
      </c>
      <c r="AP979" s="152"/>
      <c r="AQ979" s="164" t="str">
        <f t="shared" si="322"/>
        <v/>
      </c>
      <c r="AR979" s="164" t="str">
        <f t="shared" si="331"/>
        <v/>
      </c>
      <c r="AS979" s="164" t="str">
        <f t="shared" si="332"/>
        <v/>
      </c>
      <c r="AT979" s="164" t="str">
        <f t="shared" si="323"/>
        <v/>
      </c>
      <c r="AU979" s="152"/>
      <c r="AV979" s="147" t="str">
        <f>'Deterministic Reserve'!BC979</f>
        <v/>
      </c>
      <c r="AW979" s="164" t="str">
        <f t="shared" si="324"/>
        <v/>
      </c>
      <c r="AX979" s="164" t="str">
        <f t="shared" si="325"/>
        <v/>
      </c>
      <c r="AY979" s="152"/>
    </row>
    <row r="980" spans="1:51" s="150" customFormat="1" x14ac:dyDescent="0.25">
      <c r="A980" s="150" t="str">
        <f t="shared" si="333"/>
        <v/>
      </c>
      <c r="B980" s="150" t="str">
        <f t="shared" si="334"/>
        <v/>
      </c>
      <c r="C980" s="150" t="str">
        <f t="shared" si="335"/>
        <v/>
      </c>
      <c r="D980" s="150" t="str">
        <f>IF(E980="","",Input!$C$4+B980-1)</f>
        <v/>
      </c>
      <c r="E980" s="150" t="str">
        <f>IF(OR(AND(C979=12,D979=Input!$C$6),E979=""),"",1)</f>
        <v/>
      </c>
      <c r="F980" s="150" t="str">
        <f>IF(E980="","",Input!$C$8+B980-1)</f>
        <v/>
      </c>
      <c r="G980" s="151" t="str">
        <f>IF(E980="","",MAX(0,Input!$C$9-B980))</f>
        <v/>
      </c>
      <c r="H980" s="152" t="str">
        <f>IF(E980="","",Input!$C$3)</f>
        <v/>
      </c>
      <c r="I980" s="153" t="str">
        <f>IF(E980="","",HLOOKUP($B980,Input!$C$13:$BT$14,2))</f>
        <v/>
      </c>
      <c r="J980" s="154"/>
      <c r="K980" s="155" t="str">
        <f>IF($E980="","",Input!$C$57)</f>
        <v/>
      </c>
      <c r="L980" s="155" t="str">
        <f t="shared" si="326"/>
        <v/>
      </c>
      <c r="M980" s="147" t="str">
        <f>IF($E980="","",VLOOKUP(IF($B980&lt;=Input!$C$7,$B980,26),'Mortality Tables'!$A$72:$CA$97,IF($B980&lt;=Input!$C$7+1,Input!$C$4-16,$D980-Input!$C$7-16),0)/1000)</f>
        <v/>
      </c>
      <c r="N980" s="147" t="str">
        <f t="shared" si="315"/>
        <v/>
      </c>
      <c r="O980" s="157" t="str">
        <f>IF($E980="","",IF($C980=12,IF($B980&lt;Input!$C$9,Input!$C$54,IF($B980=Input!$C$9,Input!$C$55,Input!$C$56)),0%))</f>
        <v/>
      </c>
      <c r="P980" s="167" t="str">
        <f>IF($E980="","",IF($B980=1,Input!$C$59,IF($B980&lt;6,Input!$C$60,0%)))</f>
        <v/>
      </c>
      <c r="Q980" s="162" t="str">
        <f>IF($E980="","",Input!$C$58)</f>
        <v/>
      </c>
      <c r="R980" s="156" t="str">
        <f t="shared" si="327"/>
        <v/>
      </c>
      <c r="S980" s="154" t="str">
        <f t="shared" si="316"/>
        <v/>
      </c>
      <c r="T980" s="152"/>
      <c r="U980" s="150" t="str">
        <f t="shared" si="328"/>
        <v/>
      </c>
      <c r="V980" s="150" t="str">
        <f t="shared" si="329"/>
        <v/>
      </c>
      <c r="W980" s="168" t="str">
        <f t="shared" si="330"/>
        <v/>
      </c>
      <c r="X980" s="163" t="str">
        <f t="shared" si="317"/>
        <v/>
      </c>
      <c r="Y980" s="152"/>
      <c r="Z980" s="164" t="str">
        <f>IF(AND($C979=12,$D979=Input!$C$6),0,IF($E980="","",V980+Z981/(1+L980)*R980))</f>
        <v/>
      </c>
      <c r="AA980" s="164" t="str">
        <f>IF(OR($M980=1,AND($C979=12,$D979=Input!$C$6)),0,IF($E980="","",W980+(X980+AA981*$R980)/(1+$L980)))</f>
        <v/>
      </c>
      <c r="AB980" s="160" t="str">
        <f t="shared" si="318"/>
        <v/>
      </c>
      <c r="AC980" s="164" t="str">
        <f t="shared" si="319"/>
        <v/>
      </c>
      <c r="AD980" s="164" t="str">
        <f>IF(AND($C979=12,$D979=Input!$C$6),0,IF($E980="","",$AC980+AD981/(1+$L980)*$R980))</f>
        <v/>
      </c>
      <c r="AE980" s="152"/>
      <c r="AF980" s="164" t="str">
        <f>IF(AND($C979=12,$D979=Input!$C$6),0,IF($E980="","",IF($B980&gt;Input!$C$9,$AC980,0)+AF981/(1+$L980)*$R980))</f>
        <v/>
      </c>
      <c r="AG980" s="164" t="str">
        <f>IF(AND($C979=12,$D979=Input!$C$6),0,IF($E980="","",(IF($B980&gt;Input!$C$9,$X980,0)+AG981)/(1+$L980)*$R980))</f>
        <v/>
      </c>
      <c r="AH980" s="160" t="str">
        <f t="shared" si="320"/>
        <v/>
      </c>
      <c r="AI980" s="160" t="str">
        <f>IF($E980="","",MIN(Input!$C$61/AH980,1))</f>
        <v/>
      </c>
      <c r="AJ980" s="152"/>
      <c r="AK980" s="164" t="str">
        <f>IF(AND($C979=12,$D979=Input!$C$6),0,IF($E980="","",IF($B980&gt;Input!$C$9,$AC980*AI980,0)+AK981/(1+$L980)*$R980))</f>
        <v/>
      </c>
      <c r="AL980" s="164" t="str">
        <f>IF(AND($C979=12,$D979=Input!$C$6),0,IF($E980="","",IF($B980&gt;Input!$C$9,0,$AC980)+AL981/(1+$L980)*$R980))</f>
        <v/>
      </c>
      <c r="AM980" s="160" t="str">
        <f t="shared" si="321"/>
        <v/>
      </c>
      <c r="AN980" s="164" t="str">
        <f>IF($E980="","",IF($B980&gt;Input!$C$9,$AI980*$AC980,$AM980*$AC980))</f>
        <v/>
      </c>
      <c r="AO980" s="164" t="str">
        <f>IF(AND($C979=12,$D979=Input!$C$6),0,IF($E980="","",$AN980+AO981/(1+$L980)*$R980))</f>
        <v/>
      </c>
      <c r="AP980" s="152"/>
      <c r="AQ980" s="164" t="str">
        <f t="shared" si="322"/>
        <v/>
      </c>
      <c r="AR980" s="164" t="str">
        <f t="shared" si="331"/>
        <v/>
      </c>
      <c r="AS980" s="164" t="str">
        <f t="shared" si="332"/>
        <v/>
      </c>
      <c r="AT980" s="164" t="str">
        <f t="shared" si="323"/>
        <v/>
      </c>
      <c r="AU980" s="152"/>
      <c r="AV980" s="147" t="str">
        <f>'Deterministic Reserve'!BC980</f>
        <v/>
      </c>
      <c r="AW980" s="164" t="str">
        <f t="shared" si="324"/>
        <v/>
      </c>
      <c r="AX980" s="164" t="str">
        <f t="shared" si="325"/>
        <v/>
      </c>
      <c r="AY980" s="152"/>
    </row>
    <row r="981" spans="1:51" s="150" customFormat="1" x14ac:dyDescent="0.25">
      <c r="A981" s="150" t="str">
        <f t="shared" si="333"/>
        <v/>
      </c>
      <c r="B981" s="150" t="str">
        <f t="shared" si="334"/>
        <v/>
      </c>
      <c r="C981" s="150" t="str">
        <f t="shared" si="335"/>
        <v/>
      </c>
      <c r="D981" s="150" t="str">
        <f>IF(E981="","",Input!$C$4+B981-1)</f>
        <v/>
      </c>
      <c r="E981" s="150" t="str">
        <f>IF(OR(AND(C980=12,D980=Input!$C$6),E980=""),"",1)</f>
        <v/>
      </c>
      <c r="F981" s="150" t="str">
        <f>IF(E981="","",Input!$C$8+B981-1)</f>
        <v/>
      </c>
      <c r="G981" s="151" t="str">
        <f>IF(E981="","",MAX(0,Input!$C$9-B981))</f>
        <v/>
      </c>
      <c r="H981" s="152" t="str">
        <f>IF(E981="","",Input!$C$3)</f>
        <v/>
      </c>
      <c r="I981" s="153" t="str">
        <f>IF(E981="","",HLOOKUP($B981,Input!$C$13:$BT$14,2))</f>
        <v/>
      </c>
      <c r="J981" s="154"/>
      <c r="K981" s="155" t="str">
        <f>IF($E981="","",Input!$C$57)</f>
        <v/>
      </c>
      <c r="L981" s="155" t="str">
        <f t="shared" si="326"/>
        <v/>
      </c>
      <c r="M981" s="147" t="str">
        <f>IF($E981="","",VLOOKUP(IF($B981&lt;=Input!$C$7,$B981,26),'Mortality Tables'!$A$72:$CA$97,IF($B981&lt;=Input!$C$7+1,Input!$C$4-16,$D981-Input!$C$7-16),0)/1000)</f>
        <v/>
      </c>
      <c r="N981" s="147" t="str">
        <f t="shared" si="315"/>
        <v/>
      </c>
      <c r="O981" s="157" t="str">
        <f>IF($E981="","",IF($C981=12,IF($B981&lt;Input!$C$9,Input!$C$54,IF($B981=Input!$C$9,Input!$C$55,Input!$C$56)),0%))</f>
        <v/>
      </c>
      <c r="P981" s="167" t="str">
        <f>IF($E981="","",IF($B981=1,Input!$C$59,IF($B981&lt;6,Input!$C$60,0%)))</f>
        <v/>
      </c>
      <c r="Q981" s="162" t="str">
        <f>IF($E981="","",Input!$C$58)</f>
        <v/>
      </c>
      <c r="R981" s="156" t="str">
        <f t="shared" si="327"/>
        <v/>
      </c>
      <c r="S981" s="154" t="str">
        <f t="shared" si="316"/>
        <v/>
      </c>
      <c r="T981" s="152"/>
      <c r="U981" s="150" t="str">
        <f t="shared" si="328"/>
        <v/>
      </c>
      <c r="V981" s="150" t="str">
        <f t="shared" si="329"/>
        <v/>
      </c>
      <c r="W981" s="168" t="str">
        <f t="shared" si="330"/>
        <v/>
      </c>
      <c r="X981" s="163" t="str">
        <f t="shared" si="317"/>
        <v/>
      </c>
      <c r="Y981" s="152"/>
      <c r="Z981" s="164" t="str">
        <f>IF(AND($C980=12,$D980=Input!$C$6),0,IF($E981="","",V981+Z982/(1+L981)*R981))</f>
        <v/>
      </c>
      <c r="AA981" s="164" t="str">
        <f>IF(OR($M981=1,AND($C980=12,$D980=Input!$C$6)),0,IF($E981="","",W981+(X981+AA982*$R981)/(1+$L981)))</f>
        <v/>
      </c>
      <c r="AB981" s="160" t="str">
        <f t="shared" si="318"/>
        <v/>
      </c>
      <c r="AC981" s="164" t="str">
        <f t="shared" si="319"/>
        <v/>
      </c>
      <c r="AD981" s="164" t="str">
        <f>IF(AND($C980=12,$D980=Input!$C$6),0,IF($E981="","",$AC981+AD982/(1+$L981)*$R981))</f>
        <v/>
      </c>
      <c r="AE981" s="152"/>
      <c r="AF981" s="164" t="str">
        <f>IF(AND($C980=12,$D980=Input!$C$6),0,IF($E981="","",IF($B981&gt;Input!$C$9,$AC981,0)+AF982/(1+$L981)*$R981))</f>
        <v/>
      </c>
      <c r="AG981" s="164" t="str">
        <f>IF(AND($C980=12,$D980=Input!$C$6),0,IF($E981="","",(IF($B981&gt;Input!$C$9,$X981,0)+AG982)/(1+$L981)*$R981))</f>
        <v/>
      </c>
      <c r="AH981" s="160" t="str">
        <f t="shared" si="320"/>
        <v/>
      </c>
      <c r="AI981" s="160" t="str">
        <f>IF($E981="","",MIN(Input!$C$61/AH981,1))</f>
        <v/>
      </c>
      <c r="AJ981" s="152"/>
      <c r="AK981" s="164" t="str">
        <f>IF(AND($C980=12,$D980=Input!$C$6),0,IF($E981="","",IF($B981&gt;Input!$C$9,$AC981*AI981,0)+AK982/(1+$L981)*$R981))</f>
        <v/>
      </c>
      <c r="AL981" s="164" t="str">
        <f>IF(AND($C980=12,$D980=Input!$C$6),0,IF($E981="","",IF($B981&gt;Input!$C$9,0,$AC981)+AL982/(1+$L981)*$R981))</f>
        <v/>
      </c>
      <c r="AM981" s="160" t="str">
        <f t="shared" si="321"/>
        <v/>
      </c>
      <c r="AN981" s="164" t="str">
        <f>IF($E981="","",IF($B981&gt;Input!$C$9,$AI981*$AC981,$AM981*$AC981))</f>
        <v/>
      </c>
      <c r="AO981" s="164" t="str">
        <f>IF(AND($C980=12,$D980=Input!$C$6),0,IF($E981="","",$AN981+AO982/(1+$L981)*$R981))</f>
        <v/>
      </c>
      <c r="AP981" s="152"/>
      <c r="AQ981" s="164" t="str">
        <f t="shared" si="322"/>
        <v/>
      </c>
      <c r="AR981" s="164" t="str">
        <f t="shared" si="331"/>
        <v/>
      </c>
      <c r="AS981" s="164" t="str">
        <f t="shared" si="332"/>
        <v/>
      </c>
      <c r="AT981" s="164" t="str">
        <f t="shared" si="323"/>
        <v/>
      </c>
      <c r="AU981" s="152"/>
      <c r="AV981" s="147" t="str">
        <f>'Deterministic Reserve'!BC981</f>
        <v/>
      </c>
      <c r="AW981" s="164" t="str">
        <f t="shared" si="324"/>
        <v/>
      </c>
      <c r="AX981" s="164" t="str">
        <f t="shared" si="325"/>
        <v/>
      </c>
      <c r="AY981" s="152"/>
    </row>
    <row r="982" spans="1:51" s="150" customFormat="1" x14ac:dyDescent="0.25">
      <c r="A982" s="150" t="str">
        <f t="shared" si="333"/>
        <v/>
      </c>
      <c r="B982" s="150" t="str">
        <f t="shared" si="334"/>
        <v/>
      </c>
      <c r="C982" s="150" t="str">
        <f t="shared" si="335"/>
        <v/>
      </c>
      <c r="D982" s="150" t="str">
        <f>IF(E982="","",Input!$C$4+B982-1)</f>
        <v/>
      </c>
      <c r="E982" s="150" t="str">
        <f>IF(OR(AND(C981=12,D981=Input!$C$6),E981=""),"",1)</f>
        <v/>
      </c>
      <c r="F982" s="150" t="str">
        <f>IF(E982="","",Input!$C$8+B982-1)</f>
        <v/>
      </c>
      <c r="G982" s="151" t="str">
        <f>IF(E982="","",MAX(0,Input!$C$9-B982))</f>
        <v/>
      </c>
      <c r="H982" s="152" t="str">
        <f>IF(E982="","",Input!$C$3)</f>
        <v/>
      </c>
      <c r="I982" s="153" t="str">
        <f>IF(E982="","",HLOOKUP($B982,Input!$C$13:$BT$14,2))</f>
        <v/>
      </c>
      <c r="J982" s="154"/>
      <c r="K982" s="155" t="str">
        <f>IF($E982="","",Input!$C$57)</f>
        <v/>
      </c>
      <c r="L982" s="155" t="str">
        <f t="shared" si="326"/>
        <v/>
      </c>
      <c r="M982" s="147" t="str">
        <f>IF($E982="","",VLOOKUP(IF($B982&lt;=Input!$C$7,$B982,26),'Mortality Tables'!$A$72:$CA$97,IF($B982&lt;=Input!$C$7+1,Input!$C$4-16,$D982-Input!$C$7-16),0)/1000)</f>
        <v/>
      </c>
      <c r="N982" s="147" t="str">
        <f t="shared" si="315"/>
        <v/>
      </c>
      <c r="O982" s="157" t="str">
        <f>IF($E982="","",IF($C982=12,IF($B982&lt;Input!$C$9,Input!$C$54,IF($B982=Input!$C$9,Input!$C$55,Input!$C$56)),0%))</f>
        <v/>
      </c>
      <c r="P982" s="167" t="str">
        <f>IF($E982="","",IF($B982=1,Input!$C$59,IF($B982&lt;6,Input!$C$60,0%)))</f>
        <v/>
      </c>
      <c r="Q982" s="162" t="str">
        <f>IF($E982="","",Input!$C$58)</f>
        <v/>
      </c>
      <c r="R982" s="156" t="str">
        <f t="shared" si="327"/>
        <v/>
      </c>
      <c r="S982" s="154" t="str">
        <f t="shared" si="316"/>
        <v/>
      </c>
      <c r="T982" s="152"/>
      <c r="U982" s="150" t="str">
        <f t="shared" si="328"/>
        <v/>
      </c>
      <c r="V982" s="150" t="str">
        <f t="shared" si="329"/>
        <v/>
      </c>
      <c r="W982" s="168" t="str">
        <f t="shared" si="330"/>
        <v/>
      </c>
      <c r="X982" s="163" t="str">
        <f t="shared" si="317"/>
        <v/>
      </c>
      <c r="Y982" s="152"/>
      <c r="Z982" s="164" t="str">
        <f>IF(AND($C981=12,$D981=Input!$C$6),0,IF($E982="","",V982+Z983/(1+L982)*R982))</f>
        <v/>
      </c>
      <c r="AA982" s="164" t="str">
        <f>IF(OR($M982=1,AND($C981=12,$D981=Input!$C$6)),0,IF($E982="","",W982+(X982+AA983*$R982)/(1+$L982)))</f>
        <v/>
      </c>
      <c r="AB982" s="160" t="str">
        <f t="shared" si="318"/>
        <v/>
      </c>
      <c r="AC982" s="164" t="str">
        <f t="shared" si="319"/>
        <v/>
      </c>
      <c r="AD982" s="164" t="str">
        <f>IF(AND($C981=12,$D981=Input!$C$6),0,IF($E982="","",$AC982+AD983/(1+$L982)*$R982))</f>
        <v/>
      </c>
      <c r="AE982" s="152"/>
      <c r="AF982" s="164" t="str">
        <f>IF(AND($C981=12,$D981=Input!$C$6),0,IF($E982="","",IF($B982&gt;Input!$C$9,$AC982,0)+AF983/(1+$L982)*$R982))</f>
        <v/>
      </c>
      <c r="AG982" s="164" t="str">
        <f>IF(AND($C981=12,$D981=Input!$C$6),0,IF($E982="","",(IF($B982&gt;Input!$C$9,$X982,0)+AG983)/(1+$L982)*$R982))</f>
        <v/>
      </c>
      <c r="AH982" s="160" t="str">
        <f t="shared" si="320"/>
        <v/>
      </c>
      <c r="AI982" s="160" t="str">
        <f>IF($E982="","",MIN(Input!$C$61/AH982,1))</f>
        <v/>
      </c>
      <c r="AJ982" s="152"/>
      <c r="AK982" s="164" t="str">
        <f>IF(AND($C981=12,$D981=Input!$C$6),0,IF($E982="","",IF($B982&gt;Input!$C$9,$AC982*AI982,0)+AK983/(1+$L982)*$R982))</f>
        <v/>
      </c>
      <c r="AL982" s="164" t="str">
        <f>IF(AND($C981=12,$D981=Input!$C$6),0,IF($E982="","",IF($B982&gt;Input!$C$9,0,$AC982)+AL983/(1+$L982)*$R982))</f>
        <v/>
      </c>
      <c r="AM982" s="160" t="str">
        <f t="shared" si="321"/>
        <v/>
      </c>
      <c r="AN982" s="164" t="str">
        <f>IF($E982="","",IF($B982&gt;Input!$C$9,$AI982*$AC982,$AM982*$AC982))</f>
        <v/>
      </c>
      <c r="AO982" s="164" t="str">
        <f>IF(AND($C981=12,$D981=Input!$C$6),0,IF($E982="","",$AN982+AO983/(1+$L982)*$R982))</f>
        <v/>
      </c>
      <c r="AP982" s="152"/>
      <c r="AQ982" s="164" t="str">
        <f t="shared" si="322"/>
        <v/>
      </c>
      <c r="AR982" s="164" t="str">
        <f t="shared" si="331"/>
        <v/>
      </c>
      <c r="AS982" s="164" t="str">
        <f t="shared" si="332"/>
        <v/>
      </c>
      <c r="AT982" s="164" t="str">
        <f t="shared" si="323"/>
        <v/>
      </c>
      <c r="AU982" s="152"/>
      <c r="AV982" s="147" t="str">
        <f>'Deterministic Reserve'!BC982</f>
        <v/>
      </c>
      <c r="AW982" s="164" t="str">
        <f t="shared" si="324"/>
        <v/>
      </c>
      <c r="AX982" s="164" t="str">
        <f t="shared" si="325"/>
        <v/>
      </c>
      <c r="AY982" s="152"/>
    </row>
    <row r="983" spans="1:51" s="150" customFormat="1" x14ac:dyDescent="0.25">
      <c r="A983" s="150" t="str">
        <f t="shared" si="333"/>
        <v/>
      </c>
      <c r="B983" s="150" t="str">
        <f t="shared" si="334"/>
        <v/>
      </c>
      <c r="C983" s="150" t="str">
        <f t="shared" si="335"/>
        <v/>
      </c>
      <c r="D983" s="150" t="str">
        <f>IF(E983="","",Input!$C$4+B983-1)</f>
        <v/>
      </c>
      <c r="E983" s="150" t="str">
        <f>IF(OR(AND(C982=12,D982=Input!$C$6),E982=""),"",1)</f>
        <v/>
      </c>
      <c r="F983" s="150" t="str">
        <f>IF(E983="","",Input!$C$8+B983-1)</f>
        <v/>
      </c>
      <c r="G983" s="151" t="str">
        <f>IF(E983="","",MAX(0,Input!$C$9-B983))</f>
        <v/>
      </c>
      <c r="H983" s="152" t="str">
        <f>IF(E983="","",Input!$C$3)</f>
        <v/>
      </c>
      <c r="I983" s="153" t="str">
        <f>IF(E983="","",HLOOKUP($B983,Input!$C$13:$BT$14,2))</f>
        <v/>
      </c>
      <c r="J983" s="154"/>
      <c r="K983" s="155" t="str">
        <f>IF($E983="","",Input!$C$57)</f>
        <v/>
      </c>
      <c r="L983" s="155" t="str">
        <f t="shared" si="326"/>
        <v/>
      </c>
      <c r="M983" s="147" t="str">
        <f>IF($E983="","",VLOOKUP(IF($B983&lt;=Input!$C$7,$B983,26),'Mortality Tables'!$A$72:$CA$97,IF($B983&lt;=Input!$C$7+1,Input!$C$4-16,$D983-Input!$C$7-16),0)/1000)</f>
        <v/>
      </c>
      <c r="N983" s="147" t="str">
        <f t="shared" si="315"/>
        <v/>
      </c>
      <c r="O983" s="157" t="str">
        <f>IF($E983="","",IF($C983=12,IF($B983&lt;Input!$C$9,Input!$C$54,IF($B983=Input!$C$9,Input!$C$55,Input!$C$56)),0%))</f>
        <v/>
      </c>
      <c r="P983" s="167" t="str">
        <f>IF($E983="","",IF($B983=1,Input!$C$59,IF($B983&lt;6,Input!$C$60,0%)))</f>
        <v/>
      </c>
      <c r="Q983" s="162" t="str">
        <f>IF($E983="","",Input!$C$58)</f>
        <v/>
      </c>
      <c r="R983" s="156" t="str">
        <f t="shared" si="327"/>
        <v/>
      </c>
      <c r="S983" s="154" t="str">
        <f t="shared" si="316"/>
        <v/>
      </c>
      <c r="T983" s="152"/>
      <c r="U983" s="150" t="str">
        <f t="shared" si="328"/>
        <v/>
      </c>
      <c r="V983" s="150" t="str">
        <f t="shared" si="329"/>
        <v/>
      </c>
      <c r="W983" s="168" t="str">
        <f t="shared" si="330"/>
        <v/>
      </c>
      <c r="X983" s="163" t="str">
        <f t="shared" si="317"/>
        <v/>
      </c>
      <c r="Y983" s="152"/>
      <c r="Z983" s="164" t="str">
        <f>IF(AND($C982=12,$D982=Input!$C$6),0,IF($E983="","",V983+Z984/(1+L983)*R983))</f>
        <v/>
      </c>
      <c r="AA983" s="164" t="str">
        <f>IF(OR($M983=1,AND($C982=12,$D982=Input!$C$6)),0,IF($E983="","",W983+(X983+AA984*$R983)/(1+$L983)))</f>
        <v/>
      </c>
      <c r="AB983" s="160" t="str">
        <f t="shared" si="318"/>
        <v/>
      </c>
      <c r="AC983" s="164" t="str">
        <f t="shared" si="319"/>
        <v/>
      </c>
      <c r="AD983" s="164" t="str">
        <f>IF(AND($C982=12,$D982=Input!$C$6),0,IF($E983="","",$AC983+AD984/(1+$L983)*$R983))</f>
        <v/>
      </c>
      <c r="AE983" s="152"/>
      <c r="AF983" s="164" t="str">
        <f>IF(AND($C982=12,$D982=Input!$C$6),0,IF($E983="","",IF($B983&gt;Input!$C$9,$AC983,0)+AF984/(1+$L983)*$R983))</f>
        <v/>
      </c>
      <c r="AG983" s="164" t="str">
        <f>IF(AND($C982=12,$D982=Input!$C$6),0,IF($E983="","",(IF($B983&gt;Input!$C$9,$X983,0)+AG984)/(1+$L983)*$R983))</f>
        <v/>
      </c>
      <c r="AH983" s="160" t="str">
        <f t="shared" si="320"/>
        <v/>
      </c>
      <c r="AI983" s="160" t="str">
        <f>IF($E983="","",MIN(Input!$C$61/AH983,1))</f>
        <v/>
      </c>
      <c r="AJ983" s="152"/>
      <c r="AK983" s="164" t="str">
        <f>IF(AND($C982=12,$D982=Input!$C$6),0,IF($E983="","",IF($B983&gt;Input!$C$9,$AC983*AI983,0)+AK984/(1+$L983)*$R983))</f>
        <v/>
      </c>
      <c r="AL983" s="164" t="str">
        <f>IF(AND($C982=12,$D982=Input!$C$6),0,IF($E983="","",IF($B983&gt;Input!$C$9,0,$AC983)+AL984/(1+$L983)*$R983))</f>
        <v/>
      </c>
      <c r="AM983" s="160" t="str">
        <f t="shared" si="321"/>
        <v/>
      </c>
      <c r="AN983" s="164" t="str">
        <f>IF($E983="","",IF($B983&gt;Input!$C$9,$AI983*$AC983,$AM983*$AC983))</f>
        <v/>
      </c>
      <c r="AO983" s="164" t="str">
        <f>IF(AND($C982=12,$D982=Input!$C$6),0,IF($E983="","",$AN983+AO984/(1+$L983)*$R983))</f>
        <v/>
      </c>
      <c r="AP983" s="152"/>
      <c r="AQ983" s="164" t="str">
        <f t="shared" si="322"/>
        <v/>
      </c>
      <c r="AR983" s="164" t="str">
        <f t="shared" si="331"/>
        <v/>
      </c>
      <c r="AS983" s="164" t="str">
        <f t="shared" si="332"/>
        <v/>
      </c>
      <c r="AT983" s="164" t="str">
        <f t="shared" si="323"/>
        <v/>
      </c>
      <c r="AU983" s="152"/>
      <c r="AV983" s="147" t="str">
        <f>'Deterministic Reserve'!BC983</f>
        <v/>
      </c>
      <c r="AW983" s="164" t="str">
        <f t="shared" si="324"/>
        <v/>
      </c>
      <c r="AX983" s="164" t="str">
        <f t="shared" si="325"/>
        <v/>
      </c>
      <c r="AY983" s="152"/>
    </row>
    <row r="984" spans="1:51" s="150" customFormat="1" x14ac:dyDescent="0.25">
      <c r="A984" s="150" t="str">
        <f t="shared" si="333"/>
        <v/>
      </c>
      <c r="B984" s="150" t="str">
        <f t="shared" si="334"/>
        <v/>
      </c>
      <c r="C984" s="150" t="str">
        <f t="shared" si="335"/>
        <v/>
      </c>
      <c r="D984" s="150" t="str">
        <f>IF(E984="","",Input!$C$4+B984-1)</f>
        <v/>
      </c>
      <c r="E984" s="150" t="str">
        <f>IF(OR(AND(C983=12,D983=Input!$C$6),E983=""),"",1)</f>
        <v/>
      </c>
      <c r="F984" s="150" t="str">
        <f>IF(E984="","",Input!$C$8+B984-1)</f>
        <v/>
      </c>
      <c r="G984" s="151" t="str">
        <f>IF(E984="","",MAX(0,Input!$C$9-B984))</f>
        <v/>
      </c>
      <c r="H984" s="152" t="str">
        <f>IF(E984="","",Input!$C$3)</f>
        <v/>
      </c>
      <c r="I984" s="153" t="str">
        <f>IF(E984="","",HLOOKUP($B984,Input!$C$13:$BT$14,2))</f>
        <v/>
      </c>
      <c r="J984" s="154"/>
      <c r="K984" s="155" t="str">
        <f>IF($E984="","",Input!$C$57)</f>
        <v/>
      </c>
      <c r="L984" s="155" t="str">
        <f t="shared" si="326"/>
        <v/>
      </c>
      <c r="M984" s="147" t="str">
        <f>IF($E984="","",VLOOKUP(IF($B984&lt;=Input!$C$7,$B984,26),'Mortality Tables'!$A$72:$CA$97,IF($B984&lt;=Input!$C$7+1,Input!$C$4-16,$D984-Input!$C$7-16),0)/1000)</f>
        <v/>
      </c>
      <c r="N984" s="147" t="str">
        <f t="shared" si="315"/>
        <v/>
      </c>
      <c r="O984" s="157" t="str">
        <f>IF($E984="","",IF($C984=12,IF($B984&lt;Input!$C$9,Input!$C$54,IF($B984=Input!$C$9,Input!$C$55,Input!$C$56)),0%))</f>
        <v/>
      </c>
      <c r="P984" s="167" t="str">
        <f>IF($E984="","",IF($B984=1,Input!$C$59,IF($B984&lt;6,Input!$C$60,0%)))</f>
        <v/>
      </c>
      <c r="Q984" s="162" t="str">
        <f>IF($E984="","",Input!$C$58)</f>
        <v/>
      </c>
      <c r="R984" s="156" t="str">
        <f t="shared" si="327"/>
        <v/>
      </c>
      <c r="S984" s="154" t="str">
        <f t="shared" si="316"/>
        <v/>
      </c>
      <c r="T984" s="152"/>
      <c r="U984" s="150" t="str">
        <f t="shared" si="328"/>
        <v/>
      </c>
      <c r="V984" s="150" t="str">
        <f t="shared" si="329"/>
        <v/>
      </c>
      <c r="W984" s="168" t="str">
        <f t="shared" si="330"/>
        <v/>
      </c>
      <c r="X984" s="163" t="str">
        <f t="shared" si="317"/>
        <v/>
      </c>
      <c r="Y984" s="152"/>
      <c r="Z984" s="164" t="str">
        <f>IF(AND($C983=12,$D983=Input!$C$6),0,IF($E984="","",V984+Z985/(1+L984)*R984))</f>
        <v/>
      </c>
      <c r="AA984" s="164" t="str">
        <f>IF(OR($M984=1,AND($C983=12,$D983=Input!$C$6)),0,IF($E984="","",W984+(X984+AA985*$R984)/(1+$L984)))</f>
        <v/>
      </c>
      <c r="AB984" s="160" t="str">
        <f t="shared" si="318"/>
        <v/>
      </c>
      <c r="AC984" s="164" t="str">
        <f t="shared" si="319"/>
        <v/>
      </c>
      <c r="AD984" s="164" t="str">
        <f>IF(AND($C983=12,$D983=Input!$C$6),0,IF($E984="","",$AC984+AD985/(1+$L984)*$R984))</f>
        <v/>
      </c>
      <c r="AE984" s="152"/>
      <c r="AF984" s="164" t="str">
        <f>IF(AND($C983=12,$D983=Input!$C$6),0,IF($E984="","",IF($B984&gt;Input!$C$9,$AC984,0)+AF985/(1+$L984)*$R984))</f>
        <v/>
      </c>
      <c r="AG984" s="164" t="str">
        <f>IF(AND($C983=12,$D983=Input!$C$6),0,IF($E984="","",(IF($B984&gt;Input!$C$9,$X984,0)+AG985)/(1+$L984)*$R984))</f>
        <v/>
      </c>
      <c r="AH984" s="160" t="str">
        <f t="shared" si="320"/>
        <v/>
      </c>
      <c r="AI984" s="160" t="str">
        <f>IF($E984="","",MIN(Input!$C$61/AH984,1))</f>
        <v/>
      </c>
      <c r="AJ984" s="152"/>
      <c r="AK984" s="164" t="str">
        <f>IF(AND($C983=12,$D983=Input!$C$6),0,IF($E984="","",IF($B984&gt;Input!$C$9,$AC984*AI984,0)+AK985/(1+$L984)*$R984))</f>
        <v/>
      </c>
      <c r="AL984" s="164" t="str">
        <f>IF(AND($C983=12,$D983=Input!$C$6),0,IF($E984="","",IF($B984&gt;Input!$C$9,0,$AC984)+AL985/(1+$L984)*$R984))</f>
        <v/>
      </c>
      <c r="AM984" s="160" t="str">
        <f t="shared" si="321"/>
        <v/>
      </c>
      <c r="AN984" s="164" t="str">
        <f>IF($E984="","",IF($B984&gt;Input!$C$9,$AI984*$AC984,$AM984*$AC984))</f>
        <v/>
      </c>
      <c r="AO984" s="164" t="str">
        <f>IF(AND($C983=12,$D983=Input!$C$6),0,IF($E984="","",$AN984+AO985/(1+$L984)*$R984))</f>
        <v/>
      </c>
      <c r="AP984" s="152"/>
      <c r="AQ984" s="164" t="str">
        <f t="shared" si="322"/>
        <v/>
      </c>
      <c r="AR984" s="164" t="str">
        <f t="shared" si="331"/>
        <v/>
      </c>
      <c r="AS984" s="164" t="str">
        <f t="shared" si="332"/>
        <v/>
      </c>
      <c r="AT984" s="164" t="str">
        <f t="shared" si="323"/>
        <v/>
      </c>
      <c r="AU984" s="152"/>
      <c r="AV984" s="147" t="str">
        <f>'Deterministic Reserve'!BC984</f>
        <v/>
      </c>
      <c r="AW984" s="164" t="str">
        <f t="shared" si="324"/>
        <v/>
      </c>
      <c r="AX984" s="164" t="str">
        <f t="shared" si="325"/>
        <v/>
      </c>
      <c r="AY984" s="152"/>
    </row>
    <row r="985" spans="1:51" s="150" customFormat="1" x14ac:dyDescent="0.25">
      <c r="A985" s="150" t="str">
        <f t="shared" si="333"/>
        <v/>
      </c>
      <c r="B985" s="150" t="str">
        <f t="shared" si="334"/>
        <v/>
      </c>
      <c r="C985" s="150" t="str">
        <f t="shared" si="335"/>
        <v/>
      </c>
      <c r="D985" s="150" t="str">
        <f>IF(E985="","",Input!$C$4+B985-1)</f>
        <v/>
      </c>
      <c r="E985" s="150" t="str">
        <f>IF(OR(AND(C984=12,D984=Input!$C$6),E984=""),"",1)</f>
        <v/>
      </c>
      <c r="F985" s="150" t="str">
        <f>IF(E985="","",Input!$C$8+B985-1)</f>
        <v/>
      </c>
      <c r="G985" s="151" t="str">
        <f>IF(E985="","",MAX(0,Input!$C$9-B985))</f>
        <v/>
      </c>
      <c r="H985" s="152" t="str">
        <f>IF(E985="","",Input!$C$3)</f>
        <v/>
      </c>
      <c r="I985" s="153" t="str">
        <f>IF(E985="","",HLOOKUP($B985,Input!$C$13:$BT$14,2))</f>
        <v/>
      </c>
      <c r="J985" s="154"/>
      <c r="K985" s="155" t="str">
        <f>IF($E985="","",Input!$C$57)</f>
        <v/>
      </c>
      <c r="L985" s="155" t="str">
        <f t="shared" si="326"/>
        <v/>
      </c>
      <c r="M985" s="147" t="str">
        <f>IF($E985="","",VLOOKUP(IF($B985&lt;=Input!$C$7,$B985,26),'Mortality Tables'!$A$72:$CA$97,IF($B985&lt;=Input!$C$7+1,Input!$C$4-16,$D985-Input!$C$7-16),0)/1000)</f>
        <v/>
      </c>
      <c r="N985" s="147" t="str">
        <f t="shared" si="315"/>
        <v/>
      </c>
      <c r="O985" s="157" t="str">
        <f>IF($E985="","",IF($C985=12,IF($B985&lt;Input!$C$9,Input!$C$54,IF($B985=Input!$C$9,Input!$C$55,Input!$C$56)),0%))</f>
        <v/>
      </c>
      <c r="P985" s="167" t="str">
        <f>IF($E985="","",IF($B985=1,Input!$C$59,IF($B985&lt;6,Input!$C$60,0%)))</f>
        <v/>
      </c>
      <c r="Q985" s="162" t="str">
        <f>IF($E985="","",Input!$C$58)</f>
        <v/>
      </c>
      <c r="R985" s="156" t="str">
        <f t="shared" si="327"/>
        <v/>
      </c>
      <c r="S985" s="154" t="str">
        <f t="shared" si="316"/>
        <v/>
      </c>
      <c r="T985" s="152"/>
      <c r="U985" s="150" t="str">
        <f t="shared" si="328"/>
        <v/>
      </c>
      <c r="V985" s="150" t="str">
        <f t="shared" si="329"/>
        <v/>
      </c>
      <c r="W985" s="168" t="str">
        <f t="shared" si="330"/>
        <v/>
      </c>
      <c r="X985" s="163" t="str">
        <f t="shared" si="317"/>
        <v/>
      </c>
      <c r="Y985" s="152"/>
      <c r="Z985" s="164" t="str">
        <f>IF(AND($C984=12,$D984=Input!$C$6),0,IF($E985="","",V985+Z986/(1+L985)*R985))</f>
        <v/>
      </c>
      <c r="AA985" s="164" t="str">
        <f>IF(OR($M985=1,AND($C984=12,$D984=Input!$C$6)),0,IF($E985="","",W985+(X985+AA986*$R985)/(1+$L985)))</f>
        <v/>
      </c>
      <c r="AB985" s="160" t="str">
        <f t="shared" si="318"/>
        <v/>
      </c>
      <c r="AC985" s="164" t="str">
        <f t="shared" si="319"/>
        <v/>
      </c>
      <c r="AD985" s="164" t="str">
        <f>IF(AND($C984=12,$D984=Input!$C$6),0,IF($E985="","",$AC985+AD986/(1+$L985)*$R985))</f>
        <v/>
      </c>
      <c r="AE985" s="152"/>
      <c r="AF985" s="164" t="str">
        <f>IF(AND($C984=12,$D984=Input!$C$6),0,IF($E985="","",IF($B985&gt;Input!$C$9,$AC985,0)+AF986/(1+$L985)*$R985))</f>
        <v/>
      </c>
      <c r="AG985" s="164" t="str">
        <f>IF(AND($C984=12,$D984=Input!$C$6),0,IF($E985="","",(IF($B985&gt;Input!$C$9,$X985,0)+AG986)/(1+$L985)*$R985))</f>
        <v/>
      </c>
      <c r="AH985" s="160" t="str">
        <f t="shared" si="320"/>
        <v/>
      </c>
      <c r="AI985" s="160" t="str">
        <f>IF($E985="","",MIN(Input!$C$61/AH985,1))</f>
        <v/>
      </c>
      <c r="AJ985" s="152"/>
      <c r="AK985" s="164" t="str">
        <f>IF(AND($C984=12,$D984=Input!$C$6),0,IF($E985="","",IF($B985&gt;Input!$C$9,$AC985*AI985,0)+AK986/(1+$L985)*$R985))</f>
        <v/>
      </c>
      <c r="AL985" s="164" t="str">
        <f>IF(AND($C984=12,$D984=Input!$C$6),0,IF($E985="","",IF($B985&gt;Input!$C$9,0,$AC985)+AL986/(1+$L985)*$R985))</f>
        <v/>
      </c>
      <c r="AM985" s="160" t="str">
        <f t="shared" si="321"/>
        <v/>
      </c>
      <c r="AN985" s="164" t="str">
        <f>IF($E985="","",IF($B985&gt;Input!$C$9,$AI985*$AC985,$AM985*$AC985))</f>
        <v/>
      </c>
      <c r="AO985" s="164" t="str">
        <f>IF(AND($C984=12,$D984=Input!$C$6),0,IF($E985="","",$AN985+AO986/(1+$L985)*$R985))</f>
        <v/>
      </c>
      <c r="AP985" s="152"/>
      <c r="AQ985" s="164" t="str">
        <f t="shared" si="322"/>
        <v/>
      </c>
      <c r="AR985" s="164" t="str">
        <f t="shared" si="331"/>
        <v/>
      </c>
      <c r="AS985" s="164" t="str">
        <f t="shared" si="332"/>
        <v/>
      </c>
      <c r="AT985" s="164" t="str">
        <f t="shared" si="323"/>
        <v/>
      </c>
      <c r="AU985" s="152"/>
      <c r="AV985" s="147" t="str">
        <f>'Deterministic Reserve'!BC985</f>
        <v/>
      </c>
      <c r="AW985" s="164" t="str">
        <f t="shared" si="324"/>
        <v/>
      </c>
      <c r="AX985" s="164" t="str">
        <f t="shared" si="325"/>
        <v/>
      </c>
      <c r="AY985" s="152"/>
    </row>
    <row r="986" spans="1:51" s="150" customFormat="1" x14ac:dyDescent="0.25">
      <c r="A986" s="150" t="str">
        <f t="shared" si="333"/>
        <v/>
      </c>
      <c r="B986" s="150" t="str">
        <f t="shared" si="334"/>
        <v/>
      </c>
      <c r="C986" s="150" t="str">
        <f t="shared" si="335"/>
        <v/>
      </c>
      <c r="D986" s="150" t="str">
        <f>IF(E986="","",Input!$C$4+B986-1)</f>
        <v/>
      </c>
      <c r="E986" s="150" t="str">
        <f>IF(OR(AND(C985=12,D985=Input!$C$6),E985=""),"",1)</f>
        <v/>
      </c>
      <c r="F986" s="150" t="str">
        <f>IF(E986="","",Input!$C$8+B986-1)</f>
        <v/>
      </c>
      <c r="G986" s="151" t="str">
        <f>IF(E986="","",MAX(0,Input!$C$9-B986))</f>
        <v/>
      </c>
      <c r="H986" s="152" t="str">
        <f>IF(E986="","",Input!$C$3)</f>
        <v/>
      </c>
      <c r="I986" s="153" t="str">
        <f>IF(E986="","",HLOOKUP($B986,Input!$C$13:$BT$14,2))</f>
        <v/>
      </c>
      <c r="J986" s="154"/>
      <c r="K986" s="155" t="str">
        <f>IF($E986="","",Input!$C$57)</f>
        <v/>
      </c>
      <c r="L986" s="155" t="str">
        <f t="shared" si="326"/>
        <v/>
      </c>
      <c r="M986" s="147" t="str">
        <f>IF($E986="","",VLOOKUP(IF($B986&lt;=Input!$C$7,$B986,26),'Mortality Tables'!$A$72:$CA$97,IF($B986&lt;=Input!$C$7+1,Input!$C$4-16,$D986-Input!$C$7-16),0)/1000)</f>
        <v/>
      </c>
      <c r="N986" s="147" t="str">
        <f t="shared" si="315"/>
        <v/>
      </c>
      <c r="O986" s="157" t="str">
        <f>IF($E986="","",IF($C986=12,IF($B986&lt;Input!$C$9,Input!$C$54,IF($B986=Input!$C$9,Input!$C$55,Input!$C$56)),0%))</f>
        <v/>
      </c>
      <c r="P986" s="167" t="str">
        <f>IF($E986="","",IF($B986=1,Input!$C$59,IF($B986&lt;6,Input!$C$60,0%)))</f>
        <v/>
      </c>
      <c r="Q986" s="162" t="str">
        <f>IF($E986="","",Input!$C$58)</f>
        <v/>
      </c>
      <c r="R986" s="156" t="str">
        <f t="shared" si="327"/>
        <v/>
      </c>
      <c r="S986" s="154" t="str">
        <f t="shared" si="316"/>
        <v/>
      </c>
      <c r="T986" s="152"/>
      <c r="U986" s="150" t="str">
        <f t="shared" si="328"/>
        <v/>
      </c>
      <c r="V986" s="150" t="str">
        <f t="shared" si="329"/>
        <v/>
      </c>
      <c r="W986" s="168" t="str">
        <f t="shared" si="330"/>
        <v/>
      </c>
      <c r="X986" s="163" t="str">
        <f t="shared" si="317"/>
        <v/>
      </c>
      <c r="Y986" s="152"/>
      <c r="Z986" s="164" t="str">
        <f>IF(AND($C985=12,$D985=Input!$C$6),0,IF($E986="","",V986+Z987/(1+L986)*R986))</f>
        <v/>
      </c>
      <c r="AA986" s="164" t="str">
        <f>IF(OR($M986=1,AND($C985=12,$D985=Input!$C$6)),0,IF($E986="","",W986+(X986+AA987*$R986)/(1+$L986)))</f>
        <v/>
      </c>
      <c r="AB986" s="160" t="str">
        <f t="shared" si="318"/>
        <v/>
      </c>
      <c r="AC986" s="164" t="str">
        <f t="shared" si="319"/>
        <v/>
      </c>
      <c r="AD986" s="164" t="str">
        <f>IF(AND($C985=12,$D985=Input!$C$6),0,IF($E986="","",$AC986+AD987/(1+$L986)*$R986))</f>
        <v/>
      </c>
      <c r="AE986" s="152"/>
      <c r="AF986" s="164" t="str">
        <f>IF(AND($C985=12,$D985=Input!$C$6),0,IF($E986="","",IF($B986&gt;Input!$C$9,$AC986,0)+AF987/(1+$L986)*$R986))</f>
        <v/>
      </c>
      <c r="AG986" s="164" t="str">
        <f>IF(AND($C985=12,$D985=Input!$C$6),0,IF($E986="","",(IF($B986&gt;Input!$C$9,$X986,0)+AG987)/(1+$L986)*$R986))</f>
        <v/>
      </c>
      <c r="AH986" s="160" t="str">
        <f t="shared" si="320"/>
        <v/>
      </c>
      <c r="AI986" s="160" t="str">
        <f>IF($E986="","",MIN(Input!$C$61/AH986,1))</f>
        <v/>
      </c>
      <c r="AJ986" s="152"/>
      <c r="AK986" s="164" t="str">
        <f>IF(AND($C985=12,$D985=Input!$C$6),0,IF($E986="","",IF($B986&gt;Input!$C$9,$AC986*AI986,0)+AK987/(1+$L986)*$R986))</f>
        <v/>
      </c>
      <c r="AL986" s="164" t="str">
        <f>IF(AND($C985=12,$D985=Input!$C$6),0,IF($E986="","",IF($B986&gt;Input!$C$9,0,$AC986)+AL987/(1+$L986)*$R986))</f>
        <v/>
      </c>
      <c r="AM986" s="160" t="str">
        <f t="shared" si="321"/>
        <v/>
      </c>
      <c r="AN986" s="164" t="str">
        <f>IF($E986="","",IF($B986&gt;Input!$C$9,$AI986*$AC986,$AM986*$AC986))</f>
        <v/>
      </c>
      <c r="AO986" s="164" t="str">
        <f>IF(AND($C985=12,$D985=Input!$C$6),0,IF($E986="","",$AN986+AO987/(1+$L986)*$R986))</f>
        <v/>
      </c>
      <c r="AP986" s="152"/>
      <c r="AQ986" s="164" t="str">
        <f t="shared" si="322"/>
        <v/>
      </c>
      <c r="AR986" s="164" t="str">
        <f t="shared" si="331"/>
        <v/>
      </c>
      <c r="AS986" s="164" t="str">
        <f t="shared" si="332"/>
        <v/>
      </c>
      <c r="AT986" s="164" t="str">
        <f t="shared" si="323"/>
        <v/>
      </c>
      <c r="AU986" s="152"/>
      <c r="AV986" s="147" t="str">
        <f>'Deterministic Reserve'!BC986</f>
        <v/>
      </c>
      <c r="AW986" s="164" t="str">
        <f t="shared" si="324"/>
        <v/>
      </c>
      <c r="AX986" s="164" t="str">
        <f t="shared" si="325"/>
        <v/>
      </c>
      <c r="AY986" s="152"/>
    </row>
    <row r="987" spans="1:51" s="150" customFormat="1" x14ac:dyDescent="0.25">
      <c r="A987" s="150" t="str">
        <f t="shared" si="333"/>
        <v/>
      </c>
      <c r="B987" s="150" t="str">
        <f t="shared" si="334"/>
        <v/>
      </c>
      <c r="C987" s="150" t="str">
        <f t="shared" si="335"/>
        <v/>
      </c>
      <c r="D987" s="150" t="str">
        <f>IF(E987="","",Input!$C$4+B987-1)</f>
        <v/>
      </c>
      <c r="E987" s="150" t="str">
        <f>IF(OR(AND(C986=12,D986=Input!$C$6),E986=""),"",1)</f>
        <v/>
      </c>
      <c r="F987" s="150" t="str">
        <f>IF(E987="","",Input!$C$8+B987-1)</f>
        <v/>
      </c>
      <c r="G987" s="151" t="str">
        <f>IF(E987="","",MAX(0,Input!$C$9-B987))</f>
        <v/>
      </c>
      <c r="H987" s="152" t="str">
        <f>IF(E987="","",Input!$C$3)</f>
        <v/>
      </c>
      <c r="I987" s="153" t="str">
        <f>IF(E987="","",HLOOKUP($B987,Input!$C$13:$BT$14,2))</f>
        <v/>
      </c>
      <c r="J987" s="154"/>
      <c r="K987" s="155" t="str">
        <f>IF($E987="","",Input!$C$57)</f>
        <v/>
      </c>
      <c r="L987" s="155" t="str">
        <f t="shared" si="326"/>
        <v/>
      </c>
      <c r="M987" s="147" t="str">
        <f>IF($E987="","",VLOOKUP(IF($B987&lt;=Input!$C$7,$B987,26),'Mortality Tables'!$A$72:$CA$97,IF($B987&lt;=Input!$C$7+1,Input!$C$4-16,$D987-Input!$C$7-16),0)/1000)</f>
        <v/>
      </c>
      <c r="N987" s="147" t="str">
        <f t="shared" si="315"/>
        <v/>
      </c>
      <c r="O987" s="157" t="str">
        <f>IF($E987="","",IF($C987=12,IF($B987&lt;Input!$C$9,Input!$C$54,IF($B987=Input!$C$9,Input!$C$55,Input!$C$56)),0%))</f>
        <v/>
      </c>
      <c r="P987" s="167" t="str">
        <f>IF($E987="","",IF($B987=1,Input!$C$59,IF($B987&lt;6,Input!$C$60,0%)))</f>
        <v/>
      </c>
      <c r="Q987" s="162" t="str">
        <f>IF($E987="","",Input!$C$58)</f>
        <v/>
      </c>
      <c r="R987" s="156" t="str">
        <f t="shared" si="327"/>
        <v/>
      </c>
      <c r="S987" s="154" t="str">
        <f t="shared" si="316"/>
        <v/>
      </c>
      <c r="T987" s="152"/>
      <c r="U987" s="150" t="str">
        <f t="shared" si="328"/>
        <v/>
      </c>
      <c r="V987" s="150" t="str">
        <f t="shared" si="329"/>
        <v/>
      </c>
      <c r="W987" s="168" t="str">
        <f t="shared" si="330"/>
        <v/>
      </c>
      <c r="X987" s="163" t="str">
        <f t="shared" si="317"/>
        <v/>
      </c>
      <c r="Y987" s="152"/>
      <c r="Z987" s="164" t="str">
        <f>IF(AND($C986=12,$D986=Input!$C$6),0,IF($E987="","",V987+Z988/(1+L987)*R987))</f>
        <v/>
      </c>
      <c r="AA987" s="164" t="str">
        <f>IF(OR($M987=1,AND($C986=12,$D986=Input!$C$6)),0,IF($E987="","",W987+(X987+AA988*$R987)/(1+$L987)))</f>
        <v/>
      </c>
      <c r="AB987" s="160" t="str">
        <f t="shared" si="318"/>
        <v/>
      </c>
      <c r="AC987" s="164" t="str">
        <f t="shared" si="319"/>
        <v/>
      </c>
      <c r="AD987" s="164" t="str">
        <f>IF(AND($C986=12,$D986=Input!$C$6),0,IF($E987="","",$AC987+AD988/(1+$L987)*$R987))</f>
        <v/>
      </c>
      <c r="AE987" s="152"/>
      <c r="AF987" s="164" t="str">
        <f>IF(AND($C986=12,$D986=Input!$C$6),0,IF($E987="","",IF($B987&gt;Input!$C$9,$AC987,0)+AF988/(1+$L987)*$R987))</f>
        <v/>
      </c>
      <c r="AG987" s="164" t="str">
        <f>IF(AND($C986=12,$D986=Input!$C$6),0,IF($E987="","",(IF($B987&gt;Input!$C$9,$X987,0)+AG988)/(1+$L987)*$R987))</f>
        <v/>
      </c>
      <c r="AH987" s="160" t="str">
        <f t="shared" si="320"/>
        <v/>
      </c>
      <c r="AI987" s="160" t="str">
        <f>IF($E987="","",MIN(Input!$C$61/AH987,1))</f>
        <v/>
      </c>
      <c r="AJ987" s="152"/>
      <c r="AK987" s="164" t="str">
        <f>IF(AND($C986=12,$D986=Input!$C$6),0,IF($E987="","",IF($B987&gt;Input!$C$9,$AC987*AI987,0)+AK988/(1+$L987)*$R987))</f>
        <v/>
      </c>
      <c r="AL987" s="164" t="str">
        <f>IF(AND($C986=12,$D986=Input!$C$6),0,IF($E987="","",IF($B987&gt;Input!$C$9,0,$AC987)+AL988/(1+$L987)*$R987))</f>
        <v/>
      </c>
      <c r="AM987" s="160" t="str">
        <f t="shared" si="321"/>
        <v/>
      </c>
      <c r="AN987" s="164" t="str">
        <f>IF($E987="","",IF($B987&gt;Input!$C$9,$AI987*$AC987,$AM987*$AC987))</f>
        <v/>
      </c>
      <c r="AO987" s="164" t="str">
        <f>IF(AND($C986=12,$D986=Input!$C$6),0,IF($E987="","",$AN987+AO988/(1+$L987)*$R987))</f>
        <v/>
      </c>
      <c r="AP987" s="152"/>
      <c r="AQ987" s="164" t="str">
        <f t="shared" si="322"/>
        <v/>
      </c>
      <c r="AR987" s="164" t="str">
        <f t="shared" si="331"/>
        <v/>
      </c>
      <c r="AS987" s="164" t="str">
        <f t="shared" si="332"/>
        <v/>
      </c>
      <c r="AT987" s="164" t="str">
        <f t="shared" si="323"/>
        <v/>
      </c>
      <c r="AU987" s="152"/>
      <c r="AV987" s="147" t="str">
        <f>'Deterministic Reserve'!BC987</f>
        <v/>
      </c>
      <c r="AW987" s="164" t="str">
        <f t="shared" si="324"/>
        <v/>
      </c>
      <c r="AX987" s="164" t="str">
        <f t="shared" si="325"/>
        <v/>
      </c>
      <c r="AY987" s="152"/>
    </row>
    <row r="988" spans="1:51" s="150" customFormat="1" x14ac:dyDescent="0.25">
      <c r="A988" s="150" t="str">
        <f t="shared" si="333"/>
        <v/>
      </c>
      <c r="B988" s="150" t="str">
        <f t="shared" si="334"/>
        <v/>
      </c>
      <c r="C988" s="150" t="str">
        <f t="shared" si="335"/>
        <v/>
      </c>
      <c r="D988" s="150" t="str">
        <f>IF(E988="","",Input!$C$4+B988-1)</f>
        <v/>
      </c>
      <c r="E988" s="150" t="str">
        <f>IF(OR(AND(C987=12,D987=Input!$C$6),E987=""),"",1)</f>
        <v/>
      </c>
      <c r="F988" s="150" t="str">
        <f>IF(E988="","",Input!$C$8+B988-1)</f>
        <v/>
      </c>
      <c r="G988" s="151" t="str">
        <f>IF(E988="","",MAX(0,Input!$C$9-B988))</f>
        <v/>
      </c>
      <c r="H988" s="152" t="str">
        <f>IF(E988="","",Input!$C$3)</f>
        <v/>
      </c>
      <c r="I988" s="153" t="str">
        <f>IF(E988="","",HLOOKUP($B988,Input!$C$13:$BT$14,2))</f>
        <v/>
      </c>
      <c r="J988" s="154"/>
      <c r="K988" s="155" t="str">
        <f>IF($E988="","",Input!$C$57)</f>
        <v/>
      </c>
      <c r="L988" s="155" t="str">
        <f t="shared" si="326"/>
        <v/>
      </c>
      <c r="M988" s="147" t="str">
        <f>IF($E988="","",VLOOKUP(IF($B988&lt;=Input!$C$7,$B988,26),'Mortality Tables'!$A$72:$CA$97,IF($B988&lt;=Input!$C$7+1,Input!$C$4-16,$D988-Input!$C$7-16),0)/1000)</f>
        <v/>
      </c>
      <c r="N988" s="147" t="str">
        <f t="shared" si="315"/>
        <v/>
      </c>
      <c r="O988" s="157" t="str">
        <f>IF($E988="","",IF($C988=12,IF($B988&lt;Input!$C$9,Input!$C$54,IF($B988=Input!$C$9,Input!$C$55,Input!$C$56)),0%))</f>
        <v/>
      </c>
      <c r="P988" s="167" t="str">
        <f>IF($E988="","",IF($B988=1,Input!$C$59,IF($B988&lt;6,Input!$C$60,0%)))</f>
        <v/>
      </c>
      <c r="Q988" s="162" t="str">
        <f>IF($E988="","",Input!$C$58)</f>
        <v/>
      </c>
      <c r="R988" s="156" t="str">
        <f t="shared" si="327"/>
        <v/>
      </c>
      <c r="S988" s="154" t="str">
        <f t="shared" si="316"/>
        <v/>
      </c>
      <c r="T988" s="152"/>
      <c r="U988" s="150" t="str">
        <f t="shared" si="328"/>
        <v/>
      </c>
      <c r="V988" s="150" t="str">
        <f t="shared" si="329"/>
        <v/>
      </c>
      <c r="W988" s="168" t="str">
        <f t="shared" si="330"/>
        <v/>
      </c>
      <c r="X988" s="163" t="str">
        <f t="shared" si="317"/>
        <v/>
      </c>
      <c r="Y988" s="152"/>
      <c r="Z988" s="164" t="str">
        <f>IF(AND($C987=12,$D987=Input!$C$6),0,IF($E988="","",V988+Z989/(1+L988)*R988))</f>
        <v/>
      </c>
      <c r="AA988" s="164" t="str">
        <f>IF(OR($M988=1,AND($C987=12,$D987=Input!$C$6)),0,IF($E988="","",W988+(X988+AA989*$R988)/(1+$L988)))</f>
        <v/>
      </c>
      <c r="AB988" s="160" t="str">
        <f t="shared" si="318"/>
        <v/>
      </c>
      <c r="AC988" s="164" t="str">
        <f t="shared" si="319"/>
        <v/>
      </c>
      <c r="AD988" s="164" t="str">
        <f>IF(AND($C987=12,$D987=Input!$C$6),0,IF($E988="","",$AC988+AD989/(1+$L988)*$R988))</f>
        <v/>
      </c>
      <c r="AE988" s="152"/>
      <c r="AF988" s="164" t="str">
        <f>IF(AND($C987=12,$D987=Input!$C$6),0,IF($E988="","",IF($B988&gt;Input!$C$9,$AC988,0)+AF989/(1+$L988)*$R988))</f>
        <v/>
      </c>
      <c r="AG988" s="164" t="str">
        <f>IF(AND($C987=12,$D987=Input!$C$6),0,IF($E988="","",(IF($B988&gt;Input!$C$9,$X988,0)+AG989)/(1+$L988)*$R988))</f>
        <v/>
      </c>
      <c r="AH988" s="160" t="str">
        <f t="shared" si="320"/>
        <v/>
      </c>
      <c r="AI988" s="160" t="str">
        <f>IF($E988="","",MIN(Input!$C$61/AH988,1))</f>
        <v/>
      </c>
      <c r="AJ988" s="152"/>
      <c r="AK988" s="164" t="str">
        <f>IF(AND($C987=12,$D987=Input!$C$6),0,IF($E988="","",IF($B988&gt;Input!$C$9,$AC988*AI988,0)+AK989/(1+$L988)*$R988))</f>
        <v/>
      </c>
      <c r="AL988" s="164" t="str">
        <f>IF(AND($C987=12,$D987=Input!$C$6),0,IF($E988="","",IF($B988&gt;Input!$C$9,0,$AC988)+AL989/(1+$L988)*$R988))</f>
        <v/>
      </c>
      <c r="AM988" s="160" t="str">
        <f t="shared" si="321"/>
        <v/>
      </c>
      <c r="AN988" s="164" t="str">
        <f>IF($E988="","",IF($B988&gt;Input!$C$9,$AI988*$AC988,$AM988*$AC988))</f>
        <v/>
      </c>
      <c r="AO988" s="164" t="str">
        <f>IF(AND($C987=12,$D987=Input!$C$6),0,IF($E988="","",$AN988+AO989/(1+$L988)*$R988))</f>
        <v/>
      </c>
      <c r="AP988" s="152"/>
      <c r="AQ988" s="164" t="str">
        <f t="shared" si="322"/>
        <v/>
      </c>
      <c r="AR988" s="164" t="str">
        <f t="shared" si="331"/>
        <v/>
      </c>
      <c r="AS988" s="164" t="str">
        <f t="shared" si="332"/>
        <v/>
      </c>
      <c r="AT988" s="164" t="str">
        <f t="shared" si="323"/>
        <v/>
      </c>
      <c r="AU988" s="152"/>
      <c r="AV988" s="147" t="str">
        <f>'Deterministic Reserve'!BC988</f>
        <v/>
      </c>
      <c r="AW988" s="164" t="str">
        <f t="shared" si="324"/>
        <v/>
      </c>
      <c r="AX988" s="164" t="str">
        <f t="shared" si="325"/>
        <v/>
      </c>
      <c r="AY988" s="152"/>
    </row>
    <row r="989" spans="1:51" s="150" customFormat="1" x14ac:dyDescent="0.25">
      <c r="A989" s="150" t="str">
        <f t="shared" si="333"/>
        <v/>
      </c>
      <c r="B989" s="150" t="str">
        <f t="shared" si="334"/>
        <v/>
      </c>
      <c r="C989" s="150" t="str">
        <f t="shared" si="335"/>
        <v/>
      </c>
      <c r="D989" s="150" t="str">
        <f>IF(E989="","",Input!$C$4+B989-1)</f>
        <v/>
      </c>
      <c r="E989" s="150" t="str">
        <f>IF(OR(AND(C988=12,D988=Input!$C$6),E988=""),"",1)</f>
        <v/>
      </c>
      <c r="F989" s="150" t="str">
        <f>IF(E989="","",Input!$C$8+B989-1)</f>
        <v/>
      </c>
      <c r="G989" s="151" t="str">
        <f>IF(E989="","",MAX(0,Input!$C$9-B989))</f>
        <v/>
      </c>
      <c r="H989" s="152" t="str">
        <f>IF(E989="","",Input!$C$3)</f>
        <v/>
      </c>
      <c r="I989" s="153" t="str">
        <f>IF(E989="","",HLOOKUP($B989,Input!$C$13:$BT$14,2))</f>
        <v/>
      </c>
      <c r="J989" s="154"/>
      <c r="K989" s="155" t="str">
        <f>IF($E989="","",Input!$C$57)</f>
        <v/>
      </c>
      <c r="L989" s="155" t="str">
        <f t="shared" si="326"/>
        <v/>
      </c>
      <c r="M989" s="147" t="str">
        <f>IF($E989="","",VLOOKUP(IF($B989&lt;=Input!$C$7,$B989,26),'Mortality Tables'!$A$72:$CA$97,IF($B989&lt;=Input!$C$7+1,Input!$C$4-16,$D989-Input!$C$7-16),0)/1000)</f>
        <v/>
      </c>
      <c r="N989" s="147" t="str">
        <f t="shared" si="315"/>
        <v/>
      </c>
      <c r="O989" s="157" t="str">
        <f>IF($E989="","",IF($C989=12,IF($B989&lt;Input!$C$9,Input!$C$54,IF($B989=Input!$C$9,Input!$C$55,Input!$C$56)),0%))</f>
        <v/>
      </c>
      <c r="P989" s="167" t="str">
        <f>IF($E989="","",IF($B989=1,Input!$C$59,IF($B989&lt;6,Input!$C$60,0%)))</f>
        <v/>
      </c>
      <c r="Q989" s="162" t="str">
        <f>IF($E989="","",Input!$C$58)</f>
        <v/>
      </c>
      <c r="R989" s="156" t="str">
        <f t="shared" si="327"/>
        <v/>
      </c>
      <c r="S989" s="154" t="str">
        <f t="shared" si="316"/>
        <v/>
      </c>
      <c r="T989" s="152"/>
      <c r="U989" s="150" t="str">
        <f t="shared" si="328"/>
        <v/>
      </c>
      <c r="V989" s="150" t="str">
        <f t="shared" si="329"/>
        <v/>
      </c>
      <c r="W989" s="168" t="str">
        <f t="shared" si="330"/>
        <v/>
      </c>
      <c r="X989" s="163" t="str">
        <f t="shared" si="317"/>
        <v/>
      </c>
      <c r="Y989" s="152"/>
      <c r="Z989" s="164" t="str">
        <f>IF(AND($C988=12,$D988=Input!$C$6),0,IF($E989="","",V989+Z990/(1+L989)*R989))</f>
        <v/>
      </c>
      <c r="AA989" s="164" t="str">
        <f>IF(OR($M989=1,AND($C988=12,$D988=Input!$C$6)),0,IF($E989="","",W989+(X989+AA990*$R989)/(1+$L989)))</f>
        <v/>
      </c>
      <c r="AB989" s="160" t="str">
        <f t="shared" si="318"/>
        <v/>
      </c>
      <c r="AC989" s="164" t="str">
        <f t="shared" si="319"/>
        <v/>
      </c>
      <c r="AD989" s="164" t="str">
        <f>IF(AND($C988=12,$D988=Input!$C$6),0,IF($E989="","",$AC989+AD990/(1+$L989)*$R989))</f>
        <v/>
      </c>
      <c r="AE989" s="152"/>
      <c r="AF989" s="164" t="str">
        <f>IF(AND($C988=12,$D988=Input!$C$6),0,IF($E989="","",IF($B989&gt;Input!$C$9,$AC989,0)+AF990/(1+$L989)*$R989))</f>
        <v/>
      </c>
      <c r="AG989" s="164" t="str">
        <f>IF(AND($C988=12,$D988=Input!$C$6),0,IF($E989="","",(IF($B989&gt;Input!$C$9,$X989,0)+AG990)/(1+$L989)*$R989))</f>
        <v/>
      </c>
      <c r="AH989" s="160" t="str">
        <f t="shared" si="320"/>
        <v/>
      </c>
      <c r="AI989" s="160" t="str">
        <f>IF($E989="","",MIN(Input!$C$61/AH989,1))</f>
        <v/>
      </c>
      <c r="AJ989" s="152"/>
      <c r="AK989" s="164" t="str">
        <f>IF(AND($C988=12,$D988=Input!$C$6),0,IF($E989="","",IF($B989&gt;Input!$C$9,$AC989*AI989,0)+AK990/(1+$L989)*$R989))</f>
        <v/>
      </c>
      <c r="AL989" s="164" t="str">
        <f>IF(AND($C988=12,$D988=Input!$C$6),0,IF($E989="","",IF($B989&gt;Input!$C$9,0,$AC989)+AL990/(1+$L989)*$R989))</f>
        <v/>
      </c>
      <c r="AM989" s="160" t="str">
        <f t="shared" si="321"/>
        <v/>
      </c>
      <c r="AN989" s="164" t="str">
        <f>IF($E989="","",IF($B989&gt;Input!$C$9,$AI989*$AC989,$AM989*$AC989))</f>
        <v/>
      </c>
      <c r="AO989" s="164" t="str">
        <f>IF(AND($C988=12,$D988=Input!$C$6),0,IF($E989="","",$AN989+AO990/(1+$L989)*$R989))</f>
        <v/>
      </c>
      <c r="AP989" s="152"/>
      <c r="AQ989" s="164" t="str">
        <f t="shared" si="322"/>
        <v/>
      </c>
      <c r="AR989" s="164" t="str">
        <f t="shared" si="331"/>
        <v/>
      </c>
      <c r="AS989" s="164" t="str">
        <f t="shared" si="332"/>
        <v/>
      </c>
      <c r="AT989" s="164" t="str">
        <f t="shared" si="323"/>
        <v/>
      </c>
      <c r="AU989" s="152"/>
      <c r="AV989" s="147" t="str">
        <f>'Deterministic Reserve'!BC989</f>
        <v/>
      </c>
      <c r="AW989" s="164" t="str">
        <f t="shared" si="324"/>
        <v/>
      </c>
      <c r="AX989" s="164" t="str">
        <f t="shared" si="325"/>
        <v/>
      </c>
      <c r="AY989" s="152"/>
    </row>
    <row r="990" spans="1:51" s="150" customFormat="1" x14ac:dyDescent="0.25">
      <c r="A990" s="150" t="str">
        <f t="shared" si="333"/>
        <v/>
      </c>
      <c r="B990" s="150" t="str">
        <f t="shared" si="334"/>
        <v/>
      </c>
      <c r="C990" s="150" t="str">
        <f t="shared" si="335"/>
        <v/>
      </c>
      <c r="D990" s="150" t="str">
        <f>IF(E990="","",Input!$C$4+B990-1)</f>
        <v/>
      </c>
      <c r="E990" s="150" t="str">
        <f>IF(OR(AND(C989=12,D989=Input!$C$6),E989=""),"",1)</f>
        <v/>
      </c>
      <c r="F990" s="150" t="str">
        <f>IF(E990="","",Input!$C$8+B990-1)</f>
        <v/>
      </c>
      <c r="G990" s="151" t="str">
        <f>IF(E990="","",MAX(0,Input!$C$9-B990))</f>
        <v/>
      </c>
      <c r="H990" s="152" t="str">
        <f>IF(E990="","",Input!$C$3)</f>
        <v/>
      </c>
      <c r="I990" s="153" t="str">
        <f>IF(E990="","",HLOOKUP($B990,Input!$C$13:$BT$14,2))</f>
        <v/>
      </c>
      <c r="J990" s="154"/>
      <c r="K990" s="155" t="str">
        <f>IF($E990="","",Input!$C$57)</f>
        <v/>
      </c>
      <c r="L990" s="155" t="str">
        <f t="shared" si="326"/>
        <v/>
      </c>
      <c r="M990" s="147" t="str">
        <f>IF($E990="","",VLOOKUP(IF($B990&lt;=Input!$C$7,$B990,26),'Mortality Tables'!$A$72:$CA$97,IF($B990&lt;=Input!$C$7+1,Input!$C$4-16,$D990-Input!$C$7-16),0)/1000)</f>
        <v/>
      </c>
      <c r="N990" s="147" t="str">
        <f t="shared" si="315"/>
        <v/>
      </c>
      <c r="O990" s="157" t="str">
        <f>IF($E990="","",IF($C990=12,IF($B990&lt;Input!$C$9,Input!$C$54,IF($B990=Input!$C$9,Input!$C$55,Input!$C$56)),0%))</f>
        <v/>
      </c>
      <c r="P990" s="167" t="str">
        <f>IF($E990="","",IF($B990=1,Input!$C$59,IF($B990&lt;6,Input!$C$60,0%)))</f>
        <v/>
      </c>
      <c r="Q990" s="162" t="str">
        <f>IF($E990="","",Input!$C$58)</f>
        <v/>
      </c>
      <c r="R990" s="156" t="str">
        <f t="shared" si="327"/>
        <v/>
      </c>
      <c r="S990" s="154" t="str">
        <f t="shared" si="316"/>
        <v/>
      </c>
      <c r="T990" s="152"/>
      <c r="U990" s="150" t="str">
        <f t="shared" si="328"/>
        <v/>
      </c>
      <c r="V990" s="150" t="str">
        <f t="shared" si="329"/>
        <v/>
      </c>
      <c r="W990" s="168" t="str">
        <f t="shared" si="330"/>
        <v/>
      </c>
      <c r="X990" s="163" t="str">
        <f t="shared" si="317"/>
        <v/>
      </c>
      <c r="Y990" s="152"/>
      <c r="Z990" s="164" t="str">
        <f>IF(AND($C989=12,$D989=Input!$C$6),0,IF($E990="","",V990+Z991/(1+L990)*R990))</f>
        <v/>
      </c>
      <c r="AA990" s="164" t="str">
        <f>IF(OR($M990=1,AND($C989=12,$D989=Input!$C$6)),0,IF($E990="","",W990+(X990+AA991*$R990)/(1+$L990)))</f>
        <v/>
      </c>
      <c r="AB990" s="160" t="str">
        <f t="shared" si="318"/>
        <v/>
      </c>
      <c r="AC990" s="164" t="str">
        <f t="shared" si="319"/>
        <v/>
      </c>
      <c r="AD990" s="164" t="str">
        <f>IF(AND($C989=12,$D989=Input!$C$6),0,IF($E990="","",$AC990+AD991/(1+$L990)*$R990))</f>
        <v/>
      </c>
      <c r="AE990" s="152"/>
      <c r="AF990" s="164" t="str">
        <f>IF(AND($C989=12,$D989=Input!$C$6),0,IF($E990="","",IF($B990&gt;Input!$C$9,$AC990,0)+AF991/(1+$L990)*$R990))</f>
        <v/>
      </c>
      <c r="AG990" s="164" t="str">
        <f>IF(AND($C989=12,$D989=Input!$C$6),0,IF($E990="","",(IF($B990&gt;Input!$C$9,$X990,0)+AG991)/(1+$L990)*$R990))</f>
        <v/>
      </c>
      <c r="AH990" s="160" t="str">
        <f t="shared" si="320"/>
        <v/>
      </c>
      <c r="AI990" s="160" t="str">
        <f>IF($E990="","",MIN(Input!$C$61/AH990,1))</f>
        <v/>
      </c>
      <c r="AJ990" s="152"/>
      <c r="AK990" s="164" t="str">
        <f>IF(AND($C989=12,$D989=Input!$C$6),0,IF($E990="","",IF($B990&gt;Input!$C$9,$AC990*AI990,0)+AK991/(1+$L990)*$R990))</f>
        <v/>
      </c>
      <c r="AL990" s="164" t="str">
        <f>IF(AND($C989=12,$D989=Input!$C$6),0,IF($E990="","",IF($B990&gt;Input!$C$9,0,$AC990)+AL991/(1+$L990)*$R990))</f>
        <v/>
      </c>
      <c r="AM990" s="160" t="str">
        <f t="shared" si="321"/>
        <v/>
      </c>
      <c r="AN990" s="164" t="str">
        <f>IF($E990="","",IF($B990&gt;Input!$C$9,$AI990*$AC990,$AM990*$AC990))</f>
        <v/>
      </c>
      <c r="AO990" s="164" t="str">
        <f>IF(AND($C989=12,$D989=Input!$C$6),0,IF($E990="","",$AN990+AO991/(1+$L990)*$R990))</f>
        <v/>
      </c>
      <c r="AP990" s="152"/>
      <c r="AQ990" s="164" t="str">
        <f t="shared" si="322"/>
        <v/>
      </c>
      <c r="AR990" s="164" t="str">
        <f t="shared" si="331"/>
        <v/>
      </c>
      <c r="AS990" s="164" t="str">
        <f t="shared" si="332"/>
        <v/>
      </c>
      <c r="AT990" s="164" t="str">
        <f t="shared" si="323"/>
        <v/>
      </c>
      <c r="AU990" s="152"/>
      <c r="AV990" s="147" t="str">
        <f>'Deterministic Reserve'!BC990</f>
        <v/>
      </c>
      <c r="AW990" s="164" t="str">
        <f t="shared" si="324"/>
        <v/>
      </c>
      <c r="AX990" s="164" t="str">
        <f t="shared" si="325"/>
        <v/>
      </c>
      <c r="AY990" s="152"/>
    </row>
    <row r="991" spans="1:51" s="150" customFormat="1" x14ac:dyDescent="0.25">
      <c r="A991" s="150" t="str">
        <f t="shared" si="333"/>
        <v/>
      </c>
      <c r="B991" s="150" t="str">
        <f t="shared" si="334"/>
        <v/>
      </c>
      <c r="C991" s="150" t="str">
        <f t="shared" si="335"/>
        <v/>
      </c>
      <c r="D991" s="150" t="str">
        <f>IF(E991="","",Input!$C$4+B991-1)</f>
        <v/>
      </c>
      <c r="E991" s="150" t="str">
        <f>IF(OR(AND(C990=12,D990=Input!$C$6),E990=""),"",1)</f>
        <v/>
      </c>
      <c r="F991" s="150" t="str">
        <f>IF(E991="","",Input!$C$8+B991-1)</f>
        <v/>
      </c>
      <c r="G991" s="151" t="str">
        <f>IF(E991="","",MAX(0,Input!$C$9-B991))</f>
        <v/>
      </c>
      <c r="H991" s="152" t="str">
        <f>IF(E991="","",Input!$C$3)</f>
        <v/>
      </c>
      <c r="I991" s="153" t="str">
        <f>IF(E991="","",HLOOKUP($B991,Input!$C$13:$BT$14,2))</f>
        <v/>
      </c>
      <c r="J991" s="154"/>
      <c r="K991" s="155" t="str">
        <f>IF($E991="","",Input!$C$57)</f>
        <v/>
      </c>
      <c r="L991" s="155" t="str">
        <f t="shared" si="326"/>
        <v/>
      </c>
      <c r="M991" s="147" t="str">
        <f>IF($E991="","",VLOOKUP(IF($B991&lt;=Input!$C$7,$B991,26),'Mortality Tables'!$A$72:$CA$97,IF($B991&lt;=Input!$C$7+1,Input!$C$4-16,$D991-Input!$C$7-16),0)/1000)</f>
        <v/>
      </c>
      <c r="N991" s="147" t="str">
        <f t="shared" si="315"/>
        <v/>
      </c>
      <c r="O991" s="157" t="str">
        <f>IF($E991="","",IF($C991=12,IF($B991&lt;Input!$C$9,Input!$C$54,IF($B991=Input!$C$9,Input!$C$55,Input!$C$56)),0%))</f>
        <v/>
      </c>
      <c r="P991" s="167" t="str">
        <f>IF($E991="","",IF($B991=1,Input!$C$59,IF($B991&lt;6,Input!$C$60,0%)))</f>
        <v/>
      </c>
      <c r="Q991" s="162" t="str">
        <f>IF($E991="","",Input!$C$58)</f>
        <v/>
      </c>
      <c r="R991" s="156" t="str">
        <f t="shared" si="327"/>
        <v/>
      </c>
      <c r="S991" s="154" t="str">
        <f t="shared" si="316"/>
        <v/>
      </c>
      <c r="T991" s="152"/>
      <c r="U991" s="150" t="str">
        <f t="shared" si="328"/>
        <v/>
      </c>
      <c r="V991" s="150" t="str">
        <f t="shared" si="329"/>
        <v/>
      </c>
      <c r="W991" s="168" t="str">
        <f t="shared" si="330"/>
        <v/>
      </c>
      <c r="X991" s="163" t="str">
        <f t="shared" si="317"/>
        <v/>
      </c>
      <c r="Y991" s="152"/>
      <c r="Z991" s="164" t="str">
        <f>IF(AND($C990=12,$D990=Input!$C$6),0,IF($E991="","",V991+Z992/(1+L991)*R991))</f>
        <v/>
      </c>
      <c r="AA991" s="164" t="str">
        <f>IF(OR($M991=1,AND($C990=12,$D990=Input!$C$6)),0,IF($E991="","",W991+(X991+AA992*$R991)/(1+$L991)))</f>
        <v/>
      </c>
      <c r="AB991" s="160" t="str">
        <f t="shared" si="318"/>
        <v/>
      </c>
      <c r="AC991" s="164" t="str">
        <f t="shared" si="319"/>
        <v/>
      </c>
      <c r="AD991" s="164" t="str">
        <f>IF(AND($C990=12,$D990=Input!$C$6),0,IF($E991="","",$AC991+AD992/(1+$L991)*$R991))</f>
        <v/>
      </c>
      <c r="AE991" s="152"/>
      <c r="AF991" s="164" t="str">
        <f>IF(AND($C990=12,$D990=Input!$C$6),0,IF($E991="","",IF($B991&gt;Input!$C$9,$AC991,0)+AF992/(1+$L991)*$R991))</f>
        <v/>
      </c>
      <c r="AG991" s="164" t="str">
        <f>IF(AND($C990=12,$D990=Input!$C$6),0,IF($E991="","",(IF($B991&gt;Input!$C$9,$X991,0)+AG992)/(1+$L991)*$R991))</f>
        <v/>
      </c>
      <c r="AH991" s="160" t="str">
        <f t="shared" si="320"/>
        <v/>
      </c>
      <c r="AI991" s="160" t="str">
        <f>IF($E991="","",MIN(Input!$C$61/AH991,1))</f>
        <v/>
      </c>
      <c r="AJ991" s="152"/>
      <c r="AK991" s="164" t="str">
        <f>IF(AND($C990=12,$D990=Input!$C$6),0,IF($E991="","",IF($B991&gt;Input!$C$9,$AC991*AI991,0)+AK992/(1+$L991)*$R991))</f>
        <v/>
      </c>
      <c r="AL991" s="164" t="str">
        <f>IF(AND($C990=12,$D990=Input!$C$6),0,IF($E991="","",IF($B991&gt;Input!$C$9,0,$AC991)+AL992/(1+$L991)*$R991))</f>
        <v/>
      </c>
      <c r="AM991" s="160" t="str">
        <f t="shared" si="321"/>
        <v/>
      </c>
      <c r="AN991" s="164" t="str">
        <f>IF($E991="","",IF($B991&gt;Input!$C$9,$AI991*$AC991,$AM991*$AC991))</f>
        <v/>
      </c>
      <c r="AO991" s="164" t="str">
        <f>IF(AND($C990=12,$D990=Input!$C$6),0,IF($E991="","",$AN991+AO992/(1+$L991)*$R991))</f>
        <v/>
      </c>
      <c r="AP991" s="152"/>
      <c r="AQ991" s="164" t="str">
        <f t="shared" si="322"/>
        <v/>
      </c>
      <c r="AR991" s="164" t="str">
        <f t="shared" si="331"/>
        <v/>
      </c>
      <c r="AS991" s="164" t="str">
        <f t="shared" si="332"/>
        <v/>
      </c>
      <c r="AT991" s="164" t="str">
        <f t="shared" si="323"/>
        <v/>
      </c>
      <c r="AU991" s="152"/>
      <c r="AV991" s="147" t="str">
        <f>'Deterministic Reserve'!BC991</f>
        <v/>
      </c>
      <c r="AW991" s="164" t="str">
        <f t="shared" si="324"/>
        <v/>
      </c>
      <c r="AX991" s="164" t="str">
        <f t="shared" si="325"/>
        <v/>
      </c>
      <c r="AY991" s="152"/>
    </row>
    <row r="992" spans="1:51" s="150" customFormat="1" x14ac:dyDescent="0.25">
      <c r="A992" s="150" t="str">
        <f t="shared" si="333"/>
        <v/>
      </c>
      <c r="B992" s="150" t="str">
        <f t="shared" si="334"/>
        <v/>
      </c>
      <c r="C992" s="150" t="str">
        <f t="shared" si="335"/>
        <v/>
      </c>
      <c r="D992" s="150" t="str">
        <f>IF(E992="","",Input!$C$4+B992-1)</f>
        <v/>
      </c>
      <c r="E992" s="150" t="str">
        <f>IF(OR(AND(C991=12,D991=Input!$C$6),E991=""),"",1)</f>
        <v/>
      </c>
      <c r="F992" s="150" t="str">
        <f>IF(E992="","",Input!$C$8+B992-1)</f>
        <v/>
      </c>
      <c r="G992" s="151" t="str">
        <f>IF(E992="","",MAX(0,Input!$C$9-B992))</f>
        <v/>
      </c>
      <c r="H992" s="152" t="str">
        <f>IF(E992="","",Input!$C$3)</f>
        <v/>
      </c>
      <c r="I992" s="153" t="str">
        <f>IF(E992="","",HLOOKUP($B992,Input!$C$13:$BT$14,2))</f>
        <v/>
      </c>
      <c r="J992" s="154"/>
      <c r="K992" s="155" t="str">
        <f>IF($E992="","",Input!$C$57)</f>
        <v/>
      </c>
      <c r="L992" s="155" t="str">
        <f t="shared" si="326"/>
        <v/>
      </c>
      <c r="M992" s="147" t="str">
        <f>IF($E992="","",VLOOKUP(IF($B992&lt;=Input!$C$7,$B992,26),'Mortality Tables'!$A$72:$CA$97,IF($B992&lt;=Input!$C$7+1,Input!$C$4-16,$D992-Input!$C$7-16),0)/1000)</f>
        <v/>
      </c>
      <c r="N992" s="147" t="str">
        <f t="shared" si="315"/>
        <v/>
      </c>
      <c r="O992" s="157" t="str">
        <f>IF($E992="","",IF($C992=12,IF($B992&lt;Input!$C$9,Input!$C$54,IF($B992=Input!$C$9,Input!$C$55,Input!$C$56)),0%))</f>
        <v/>
      </c>
      <c r="P992" s="167" t="str">
        <f>IF($E992="","",IF($B992=1,Input!$C$59,IF($B992&lt;6,Input!$C$60,0%)))</f>
        <v/>
      </c>
      <c r="Q992" s="162" t="str">
        <f>IF($E992="","",Input!$C$58)</f>
        <v/>
      </c>
      <c r="R992" s="156" t="str">
        <f t="shared" si="327"/>
        <v/>
      </c>
      <c r="S992" s="154" t="str">
        <f t="shared" si="316"/>
        <v/>
      </c>
      <c r="T992" s="152"/>
      <c r="U992" s="150" t="str">
        <f t="shared" si="328"/>
        <v/>
      </c>
      <c r="V992" s="150" t="str">
        <f t="shared" si="329"/>
        <v/>
      </c>
      <c r="W992" s="168" t="str">
        <f t="shared" si="330"/>
        <v/>
      </c>
      <c r="X992" s="163" t="str">
        <f t="shared" si="317"/>
        <v/>
      </c>
      <c r="Y992" s="152"/>
      <c r="Z992" s="164" t="str">
        <f>IF(AND($C991=12,$D991=Input!$C$6),0,IF($E992="","",V992+Z993/(1+L992)*R992))</f>
        <v/>
      </c>
      <c r="AA992" s="164" t="str">
        <f>IF(OR($M992=1,AND($C991=12,$D991=Input!$C$6)),0,IF($E992="","",W992+(X992+AA993*$R992)/(1+$L992)))</f>
        <v/>
      </c>
      <c r="AB992" s="160" t="str">
        <f t="shared" si="318"/>
        <v/>
      </c>
      <c r="AC992" s="164" t="str">
        <f t="shared" si="319"/>
        <v/>
      </c>
      <c r="AD992" s="164" t="str">
        <f>IF(AND($C991=12,$D991=Input!$C$6),0,IF($E992="","",$AC992+AD993/(1+$L992)*$R992))</f>
        <v/>
      </c>
      <c r="AE992" s="152"/>
      <c r="AF992" s="164" t="str">
        <f>IF(AND($C991=12,$D991=Input!$C$6),0,IF($E992="","",IF($B992&gt;Input!$C$9,$AC992,0)+AF993/(1+$L992)*$R992))</f>
        <v/>
      </c>
      <c r="AG992" s="164" t="str">
        <f>IF(AND($C991=12,$D991=Input!$C$6),0,IF($E992="","",(IF($B992&gt;Input!$C$9,$X992,0)+AG993)/(1+$L992)*$R992))</f>
        <v/>
      </c>
      <c r="AH992" s="160" t="str">
        <f t="shared" si="320"/>
        <v/>
      </c>
      <c r="AI992" s="160" t="str">
        <f>IF($E992="","",MIN(Input!$C$61/AH992,1))</f>
        <v/>
      </c>
      <c r="AJ992" s="152"/>
      <c r="AK992" s="164" t="str">
        <f>IF(AND($C991=12,$D991=Input!$C$6),0,IF($E992="","",IF($B992&gt;Input!$C$9,$AC992*AI992,0)+AK993/(1+$L992)*$R992))</f>
        <v/>
      </c>
      <c r="AL992" s="164" t="str">
        <f>IF(AND($C991=12,$D991=Input!$C$6),0,IF($E992="","",IF($B992&gt;Input!$C$9,0,$AC992)+AL993/(1+$L992)*$R992))</f>
        <v/>
      </c>
      <c r="AM992" s="160" t="str">
        <f t="shared" si="321"/>
        <v/>
      </c>
      <c r="AN992" s="164" t="str">
        <f>IF($E992="","",IF($B992&gt;Input!$C$9,$AI992*$AC992,$AM992*$AC992))</f>
        <v/>
      </c>
      <c r="AO992" s="164" t="str">
        <f>IF(AND($C991=12,$D991=Input!$C$6),0,IF($E992="","",$AN992+AO993/(1+$L992)*$R992))</f>
        <v/>
      </c>
      <c r="AP992" s="152"/>
      <c r="AQ992" s="164" t="str">
        <f t="shared" si="322"/>
        <v/>
      </c>
      <c r="AR992" s="164" t="str">
        <f t="shared" si="331"/>
        <v/>
      </c>
      <c r="AS992" s="164" t="str">
        <f t="shared" si="332"/>
        <v/>
      </c>
      <c r="AT992" s="164" t="str">
        <f t="shared" si="323"/>
        <v/>
      </c>
      <c r="AU992" s="152"/>
      <c r="AV992" s="147" t="str">
        <f>'Deterministic Reserve'!BC992</f>
        <v/>
      </c>
      <c r="AW992" s="164" t="str">
        <f t="shared" si="324"/>
        <v/>
      </c>
      <c r="AX992" s="164" t="str">
        <f t="shared" si="325"/>
        <v/>
      </c>
      <c r="AY992" s="152"/>
    </row>
    <row r="993" spans="1:51" s="150" customFormat="1" x14ac:dyDescent="0.25">
      <c r="A993" s="150" t="str">
        <f t="shared" si="333"/>
        <v/>
      </c>
      <c r="B993" s="150" t="str">
        <f t="shared" si="334"/>
        <v/>
      </c>
      <c r="C993" s="150" t="str">
        <f t="shared" si="335"/>
        <v/>
      </c>
      <c r="D993" s="150" t="str">
        <f>IF(E993="","",Input!$C$4+B993-1)</f>
        <v/>
      </c>
      <c r="E993" s="150" t="str">
        <f>IF(OR(AND(C992=12,D992=Input!$C$6),E992=""),"",1)</f>
        <v/>
      </c>
      <c r="F993" s="150" t="str">
        <f>IF(E993="","",Input!$C$8+B993-1)</f>
        <v/>
      </c>
      <c r="G993" s="151" t="str">
        <f>IF(E993="","",MAX(0,Input!$C$9-B993))</f>
        <v/>
      </c>
      <c r="H993" s="152" t="str">
        <f>IF(E993="","",Input!$C$3)</f>
        <v/>
      </c>
      <c r="I993" s="153" t="str">
        <f>IF(E993="","",HLOOKUP($B993,Input!$C$13:$BT$14,2))</f>
        <v/>
      </c>
      <c r="J993" s="154"/>
      <c r="K993" s="155" t="str">
        <f>IF($E993="","",Input!$C$57)</f>
        <v/>
      </c>
      <c r="L993" s="155" t="str">
        <f t="shared" si="326"/>
        <v/>
      </c>
      <c r="M993" s="147" t="str">
        <f>IF($E993="","",VLOOKUP(IF($B993&lt;=Input!$C$7,$B993,26),'Mortality Tables'!$A$72:$CA$97,IF($B993&lt;=Input!$C$7+1,Input!$C$4-16,$D993-Input!$C$7-16),0)/1000)</f>
        <v/>
      </c>
      <c r="N993" s="147" t="str">
        <f t="shared" si="315"/>
        <v/>
      </c>
      <c r="O993" s="157" t="str">
        <f>IF($E993="","",IF($C993=12,IF($B993&lt;Input!$C$9,Input!$C$54,IF($B993=Input!$C$9,Input!$C$55,Input!$C$56)),0%))</f>
        <v/>
      </c>
      <c r="P993" s="167" t="str">
        <f>IF($E993="","",IF($B993=1,Input!$C$59,IF($B993&lt;6,Input!$C$60,0%)))</f>
        <v/>
      </c>
      <c r="Q993" s="162" t="str">
        <f>IF($E993="","",Input!$C$58)</f>
        <v/>
      </c>
      <c r="R993" s="156" t="str">
        <f t="shared" si="327"/>
        <v/>
      </c>
      <c r="S993" s="154" t="str">
        <f t="shared" si="316"/>
        <v/>
      </c>
      <c r="T993" s="152"/>
      <c r="U993" s="150" t="str">
        <f t="shared" si="328"/>
        <v/>
      </c>
      <c r="V993" s="150" t="str">
        <f t="shared" si="329"/>
        <v/>
      </c>
      <c r="W993" s="168" t="str">
        <f t="shared" si="330"/>
        <v/>
      </c>
      <c r="X993" s="163" t="str">
        <f t="shared" si="317"/>
        <v/>
      </c>
      <c r="Y993" s="152"/>
      <c r="Z993" s="164" t="str">
        <f>IF(AND($C992=12,$D992=Input!$C$6),0,IF($E993="","",V993+Z994/(1+L993)*R993))</f>
        <v/>
      </c>
      <c r="AA993" s="164" t="str">
        <f>IF(OR($M993=1,AND($C992=12,$D992=Input!$C$6)),0,IF($E993="","",W993+(X993+AA994*$R993)/(1+$L993)))</f>
        <v/>
      </c>
      <c r="AB993" s="160" t="str">
        <f t="shared" si="318"/>
        <v/>
      </c>
      <c r="AC993" s="164" t="str">
        <f t="shared" si="319"/>
        <v/>
      </c>
      <c r="AD993" s="164" t="str">
        <f>IF(AND($C992=12,$D992=Input!$C$6),0,IF($E993="","",$AC993+AD994/(1+$L993)*$R993))</f>
        <v/>
      </c>
      <c r="AE993" s="152"/>
      <c r="AF993" s="164" t="str">
        <f>IF(AND($C992=12,$D992=Input!$C$6),0,IF($E993="","",IF($B993&gt;Input!$C$9,$AC993,0)+AF994/(1+$L993)*$R993))</f>
        <v/>
      </c>
      <c r="AG993" s="164" t="str">
        <f>IF(AND($C992=12,$D992=Input!$C$6),0,IF($E993="","",(IF($B993&gt;Input!$C$9,$X993,0)+AG994)/(1+$L993)*$R993))</f>
        <v/>
      </c>
      <c r="AH993" s="160" t="str">
        <f t="shared" si="320"/>
        <v/>
      </c>
      <c r="AI993" s="160" t="str">
        <f>IF($E993="","",MIN(Input!$C$61/AH993,1))</f>
        <v/>
      </c>
      <c r="AJ993" s="152"/>
      <c r="AK993" s="164" t="str">
        <f>IF(AND($C992=12,$D992=Input!$C$6),0,IF($E993="","",IF($B993&gt;Input!$C$9,$AC993*AI993,0)+AK994/(1+$L993)*$R993))</f>
        <v/>
      </c>
      <c r="AL993" s="164" t="str">
        <f>IF(AND($C992=12,$D992=Input!$C$6),0,IF($E993="","",IF($B993&gt;Input!$C$9,0,$AC993)+AL994/(1+$L993)*$R993))</f>
        <v/>
      </c>
      <c r="AM993" s="160" t="str">
        <f t="shared" si="321"/>
        <v/>
      </c>
      <c r="AN993" s="164" t="str">
        <f>IF($E993="","",IF($B993&gt;Input!$C$9,$AI993*$AC993,$AM993*$AC993))</f>
        <v/>
      </c>
      <c r="AO993" s="164" t="str">
        <f>IF(AND($C992=12,$D992=Input!$C$6),0,IF($E993="","",$AN993+AO994/(1+$L993)*$R993))</f>
        <v/>
      </c>
      <c r="AP993" s="152"/>
      <c r="AQ993" s="164" t="str">
        <f t="shared" si="322"/>
        <v/>
      </c>
      <c r="AR993" s="164" t="str">
        <f t="shared" si="331"/>
        <v/>
      </c>
      <c r="AS993" s="164" t="str">
        <f t="shared" si="332"/>
        <v/>
      </c>
      <c r="AT993" s="164" t="str">
        <f t="shared" si="323"/>
        <v/>
      </c>
      <c r="AU993" s="152"/>
      <c r="AV993" s="147" t="str">
        <f>'Deterministic Reserve'!BC993</f>
        <v/>
      </c>
      <c r="AW993" s="164" t="str">
        <f t="shared" si="324"/>
        <v/>
      </c>
      <c r="AX993" s="164" t="str">
        <f t="shared" si="325"/>
        <v/>
      </c>
      <c r="AY993" s="152"/>
    </row>
    <row r="994" spans="1:51" s="150" customFormat="1" x14ac:dyDescent="0.25">
      <c r="A994" s="150" t="str">
        <f t="shared" si="333"/>
        <v/>
      </c>
      <c r="B994" s="150" t="str">
        <f t="shared" si="334"/>
        <v/>
      </c>
      <c r="C994" s="150" t="str">
        <f t="shared" si="335"/>
        <v/>
      </c>
      <c r="D994" s="150" t="str">
        <f>IF(E994="","",Input!$C$4+B994-1)</f>
        <v/>
      </c>
      <c r="E994" s="150" t="str">
        <f>IF(OR(AND(C993=12,D993=Input!$C$6),E993=""),"",1)</f>
        <v/>
      </c>
      <c r="F994" s="150" t="str">
        <f>IF(E994="","",Input!$C$8+B994-1)</f>
        <v/>
      </c>
      <c r="G994" s="151" t="str">
        <f>IF(E994="","",MAX(0,Input!$C$9-B994))</f>
        <v/>
      </c>
      <c r="H994" s="152" t="str">
        <f>IF(E994="","",Input!$C$3)</f>
        <v/>
      </c>
      <c r="I994" s="153" t="str">
        <f>IF(E994="","",HLOOKUP($B994,Input!$C$13:$BT$14,2))</f>
        <v/>
      </c>
      <c r="J994" s="154"/>
      <c r="K994" s="155" t="str">
        <f>IF($E994="","",Input!$C$57)</f>
        <v/>
      </c>
      <c r="L994" s="155" t="str">
        <f t="shared" si="326"/>
        <v/>
      </c>
      <c r="M994" s="147" t="str">
        <f>IF($E994="","",VLOOKUP(IF($B994&lt;=Input!$C$7,$B994,26),'Mortality Tables'!$A$72:$CA$97,IF($B994&lt;=Input!$C$7+1,Input!$C$4-16,$D994-Input!$C$7-16),0)/1000)</f>
        <v/>
      </c>
      <c r="N994" s="147" t="str">
        <f t="shared" si="315"/>
        <v/>
      </c>
      <c r="O994" s="157" t="str">
        <f>IF($E994="","",IF($C994=12,IF($B994&lt;Input!$C$9,Input!$C$54,IF($B994=Input!$C$9,Input!$C$55,Input!$C$56)),0%))</f>
        <v/>
      </c>
      <c r="P994" s="167" t="str">
        <f>IF($E994="","",IF($B994=1,Input!$C$59,IF($B994&lt;6,Input!$C$60,0%)))</f>
        <v/>
      </c>
      <c r="Q994" s="162" t="str">
        <f>IF($E994="","",Input!$C$58)</f>
        <v/>
      </c>
      <c r="R994" s="156" t="str">
        <f t="shared" si="327"/>
        <v/>
      </c>
      <c r="S994" s="154" t="str">
        <f t="shared" si="316"/>
        <v/>
      </c>
      <c r="T994" s="152"/>
      <c r="U994" s="150" t="str">
        <f t="shared" si="328"/>
        <v/>
      </c>
      <c r="V994" s="150" t="str">
        <f t="shared" si="329"/>
        <v/>
      </c>
      <c r="W994" s="168" t="str">
        <f t="shared" si="330"/>
        <v/>
      </c>
      <c r="X994" s="163" t="str">
        <f t="shared" si="317"/>
        <v/>
      </c>
      <c r="Y994" s="152"/>
      <c r="Z994" s="164" t="str">
        <f>IF(AND($C993=12,$D993=Input!$C$6),0,IF($E994="","",V994+Z995/(1+L994)*R994))</f>
        <v/>
      </c>
      <c r="AA994" s="164" t="str">
        <f>IF(OR($M994=1,AND($C993=12,$D993=Input!$C$6)),0,IF($E994="","",W994+(X994+AA995*$R994)/(1+$L994)))</f>
        <v/>
      </c>
      <c r="AB994" s="160" t="str">
        <f t="shared" si="318"/>
        <v/>
      </c>
      <c r="AC994" s="164" t="str">
        <f t="shared" si="319"/>
        <v/>
      </c>
      <c r="AD994" s="164" t="str">
        <f>IF(AND($C993=12,$D993=Input!$C$6),0,IF($E994="","",$AC994+AD995/(1+$L994)*$R994))</f>
        <v/>
      </c>
      <c r="AE994" s="152"/>
      <c r="AF994" s="164" t="str">
        <f>IF(AND($C993=12,$D993=Input!$C$6),0,IF($E994="","",IF($B994&gt;Input!$C$9,$AC994,0)+AF995/(1+$L994)*$R994))</f>
        <v/>
      </c>
      <c r="AG994" s="164" t="str">
        <f>IF(AND($C993=12,$D993=Input!$C$6),0,IF($E994="","",(IF($B994&gt;Input!$C$9,$X994,0)+AG995)/(1+$L994)*$R994))</f>
        <v/>
      </c>
      <c r="AH994" s="160" t="str">
        <f t="shared" si="320"/>
        <v/>
      </c>
      <c r="AI994" s="160" t="str">
        <f>IF($E994="","",MIN(Input!$C$61/AH994,1))</f>
        <v/>
      </c>
      <c r="AJ994" s="152"/>
      <c r="AK994" s="164" t="str">
        <f>IF(AND($C993=12,$D993=Input!$C$6),0,IF($E994="","",IF($B994&gt;Input!$C$9,$AC994*AI994,0)+AK995/(1+$L994)*$R994))</f>
        <v/>
      </c>
      <c r="AL994" s="164" t="str">
        <f>IF(AND($C993=12,$D993=Input!$C$6),0,IF($E994="","",IF($B994&gt;Input!$C$9,0,$AC994)+AL995/(1+$L994)*$R994))</f>
        <v/>
      </c>
      <c r="AM994" s="160" t="str">
        <f t="shared" si="321"/>
        <v/>
      </c>
      <c r="AN994" s="164" t="str">
        <f>IF($E994="","",IF($B994&gt;Input!$C$9,$AI994*$AC994,$AM994*$AC994))</f>
        <v/>
      </c>
      <c r="AO994" s="164" t="str">
        <f>IF(AND($C993=12,$D993=Input!$C$6),0,IF($E994="","",$AN994+AO995/(1+$L994)*$R994))</f>
        <v/>
      </c>
      <c r="AP994" s="152"/>
      <c r="AQ994" s="164" t="str">
        <f t="shared" si="322"/>
        <v/>
      </c>
      <c r="AR994" s="164" t="str">
        <f t="shared" si="331"/>
        <v/>
      </c>
      <c r="AS994" s="164" t="str">
        <f t="shared" si="332"/>
        <v/>
      </c>
      <c r="AT994" s="164" t="str">
        <f t="shared" si="323"/>
        <v/>
      </c>
      <c r="AU994" s="152"/>
      <c r="AV994" s="147" t="str">
        <f>'Deterministic Reserve'!BC994</f>
        <v/>
      </c>
      <c r="AW994" s="164" t="str">
        <f t="shared" si="324"/>
        <v/>
      </c>
      <c r="AX994" s="164" t="str">
        <f t="shared" si="325"/>
        <v/>
      </c>
      <c r="AY994" s="152"/>
    </row>
    <row r="995" spans="1:51" s="150" customFormat="1" x14ac:dyDescent="0.25">
      <c r="A995" s="150" t="str">
        <f t="shared" si="333"/>
        <v/>
      </c>
      <c r="B995" s="150" t="str">
        <f t="shared" si="334"/>
        <v/>
      </c>
      <c r="C995" s="150" t="str">
        <f t="shared" si="335"/>
        <v/>
      </c>
      <c r="D995" s="150" t="str">
        <f>IF(E995="","",Input!$C$4+B995-1)</f>
        <v/>
      </c>
      <c r="E995" s="150" t="str">
        <f>IF(OR(AND(C994=12,D994=Input!$C$6),E994=""),"",1)</f>
        <v/>
      </c>
      <c r="F995" s="150" t="str">
        <f>IF(E995="","",Input!$C$8+B995-1)</f>
        <v/>
      </c>
      <c r="G995" s="151" t="str">
        <f>IF(E995="","",MAX(0,Input!$C$9-B995))</f>
        <v/>
      </c>
      <c r="H995" s="152" t="str">
        <f>IF(E995="","",Input!$C$3)</f>
        <v/>
      </c>
      <c r="I995" s="153" t="str">
        <f>IF(E995="","",HLOOKUP($B995,Input!$C$13:$BT$14,2))</f>
        <v/>
      </c>
      <c r="J995" s="154"/>
      <c r="K995" s="155" t="str">
        <f>IF($E995="","",Input!$C$57)</f>
        <v/>
      </c>
      <c r="L995" s="155" t="str">
        <f t="shared" si="326"/>
        <v/>
      </c>
      <c r="M995" s="147" t="str">
        <f>IF($E995="","",VLOOKUP(IF($B995&lt;=Input!$C$7,$B995,26),'Mortality Tables'!$A$72:$CA$97,IF($B995&lt;=Input!$C$7+1,Input!$C$4-16,$D995-Input!$C$7-16),0)/1000)</f>
        <v/>
      </c>
      <c r="N995" s="147" t="str">
        <f t="shared" si="315"/>
        <v/>
      </c>
      <c r="O995" s="157" t="str">
        <f>IF($E995="","",IF($C995=12,IF($B995&lt;Input!$C$9,Input!$C$54,IF($B995=Input!$C$9,Input!$C$55,Input!$C$56)),0%))</f>
        <v/>
      </c>
      <c r="P995" s="167" t="str">
        <f>IF($E995="","",IF($B995=1,Input!$C$59,IF($B995&lt;6,Input!$C$60,0%)))</f>
        <v/>
      </c>
      <c r="Q995" s="162" t="str">
        <f>IF($E995="","",Input!$C$58)</f>
        <v/>
      </c>
      <c r="R995" s="156" t="str">
        <f t="shared" si="327"/>
        <v/>
      </c>
      <c r="S995" s="154" t="str">
        <f t="shared" si="316"/>
        <v/>
      </c>
      <c r="T995" s="152"/>
      <c r="U995" s="150" t="str">
        <f t="shared" si="328"/>
        <v/>
      </c>
      <c r="V995" s="150" t="str">
        <f t="shared" si="329"/>
        <v/>
      </c>
      <c r="W995" s="168" t="str">
        <f t="shared" si="330"/>
        <v/>
      </c>
      <c r="X995" s="163" t="str">
        <f t="shared" si="317"/>
        <v/>
      </c>
      <c r="Y995" s="152"/>
      <c r="Z995" s="164" t="str">
        <f>IF(AND($C994=12,$D994=Input!$C$6),0,IF($E995="","",V995+Z996/(1+L995)*R995))</f>
        <v/>
      </c>
      <c r="AA995" s="164" t="str">
        <f>IF(OR($M995=1,AND($C994=12,$D994=Input!$C$6)),0,IF($E995="","",W995+(X995+AA996*$R995)/(1+$L995)))</f>
        <v/>
      </c>
      <c r="AB995" s="160" t="str">
        <f t="shared" si="318"/>
        <v/>
      </c>
      <c r="AC995" s="164" t="str">
        <f t="shared" si="319"/>
        <v/>
      </c>
      <c r="AD995" s="164" t="str">
        <f>IF(AND($C994=12,$D994=Input!$C$6),0,IF($E995="","",$AC995+AD996/(1+$L995)*$R995))</f>
        <v/>
      </c>
      <c r="AE995" s="152"/>
      <c r="AF995" s="164" t="str">
        <f>IF(AND($C994=12,$D994=Input!$C$6),0,IF($E995="","",IF($B995&gt;Input!$C$9,$AC995,0)+AF996/(1+$L995)*$R995))</f>
        <v/>
      </c>
      <c r="AG995" s="164" t="str">
        <f>IF(AND($C994=12,$D994=Input!$C$6),0,IF($E995="","",(IF($B995&gt;Input!$C$9,$X995,0)+AG996)/(1+$L995)*$R995))</f>
        <v/>
      </c>
      <c r="AH995" s="160" t="str">
        <f t="shared" si="320"/>
        <v/>
      </c>
      <c r="AI995" s="160" t="str">
        <f>IF($E995="","",MIN(Input!$C$61/AH995,1))</f>
        <v/>
      </c>
      <c r="AJ995" s="152"/>
      <c r="AK995" s="164" t="str">
        <f>IF(AND($C994=12,$D994=Input!$C$6),0,IF($E995="","",IF($B995&gt;Input!$C$9,$AC995*AI995,0)+AK996/(1+$L995)*$R995))</f>
        <v/>
      </c>
      <c r="AL995" s="164" t="str">
        <f>IF(AND($C994=12,$D994=Input!$C$6),0,IF($E995="","",IF($B995&gt;Input!$C$9,0,$AC995)+AL996/(1+$L995)*$R995))</f>
        <v/>
      </c>
      <c r="AM995" s="160" t="str">
        <f t="shared" si="321"/>
        <v/>
      </c>
      <c r="AN995" s="164" t="str">
        <f>IF($E995="","",IF($B995&gt;Input!$C$9,$AI995*$AC995,$AM995*$AC995))</f>
        <v/>
      </c>
      <c r="AO995" s="164" t="str">
        <f>IF(AND($C994=12,$D994=Input!$C$6),0,IF($E995="","",$AN995+AO996/(1+$L995)*$R995))</f>
        <v/>
      </c>
      <c r="AP995" s="152"/>
      <c r="AQ995" s="164" t="str">
        <f t="shared" si="322"/>
        <v/>
      </c>
      <c r="AR995" s="164" t="str">
        <f t="shared" si="331"/>
        <v/>
      </c>
      <c r="AS995" s="164" t="str">
        <f t="shared" si="332"/>
        <v/>
      </c>
      <c r="AT995" s="164" t="str">
        <f t="shared" si="323"/>
        <v/>
      </c>
      <c r="AU995" s="152"/>
      <c r="AV995" s="147" t="str">
        <f>'Deterministic Reserve'!BC995</f>
        <v/>
      </c>
      <c r="AW995" s="164" t="str">
        <f t="shared" si="324"/>
        <v/>
      </c>
      <c r="AX995" s="164" t="str">
        <f t="shared" si="325"/>
        <v/>
      </c>
      <c r="AY995" s="152"/>
    </row>
    <row r="996" spans="1:51" s="150" customFormat="1" x14ac:dyDescent="0.25">
      <c r="A996" s="150" t="str">
        <f t="shared" si="333"/>
        <v/>
      </c>
      <c r="B996" s="150" t="str">
        <f t="shared" si="334"/>
        <v/>
      </c>
      <c r="C996" s="150" t="str">
        <f t="shared" si="335"/>
        <v/>
      </c>
      <c r="D996" s="150" t="str">
        <f>IF(E996="","",Input!$C$4+B996-1)</f>
        <v/>
      </c>
      <c r="E996" s="150" t="str">
        <f>IF(OR(AND(C995=12,D995=Input!$C$6),E995=""),"",1)</f>
        <v/>
      </c>
      <c r="F996" s="150" t="str">
        <f>IF(E996="","",Input!$C$8+B996-1)</f>
        <v/>
      </c>
      <c r="G996" s="151" t="str">
        <f>IF(E996="","",MAX(0,Input!$C$9-B996))</f>
        <v/>
      </c>
      <c r="H996" s="152" t="str">
        <f>IF(E996="","",Input!$C$3)</f>
        <v/>
      </c>
      <c r="I996" s="153" t="str">
        <f>IF(E996="","",HLOOKUP($B996,Input!$C$13:$BT$14,2))</f>
        <v/>
      </c>
      <c r="J996" s="154"/>
      <c r="K996" s="155" t="str">
        <f>IF($E996="","",Input!$C$57)</f>
        <v/>
      </c>
      <c r="L996" s="155" t="str">
        <f t="shared" si="326"/>
        <v/>
      </c>
      <c r="M996" s="147" t="str">
        <f>IF($E996="","",VLOOKUP(IF($B996&lt;=Input!$C$7,$B996,26),'Mortality Tables'!$A$72:$CA$97,IF($B996&lt;=Input!$C$7+1,Input!$C$4-16,$D996-Input!$C$7-16),0)/1000)</f>
        <v/>
      </c>
      <c r="N996" s="147" t="str">
        <f t="shared" si="315"/>
        <v/>
      </c>
      <c r="O996" s="157" t="str">
        <f>IF($E996="","",IF($C996=12,IF($B996&lt;Input!$C$9,Input!$C$54,IF($B996=Input!$C$9,Input!$C$55,Input!$C$56)),0%))</f>
        <v/>
      </c>
      <c r="P996" s="167" t="str">
        <f>IF($E996="","",IF($B996=1,Input!$C$59,IF($B996&lt;6,Input!$C$60,0%)))</f>
        <v/>
      </c>
      <c r="Q996" s="162" t="str">
        <f>IF($E996="","",Input!$C$58)</f>
        <v/>
      </c>
      <c r="R996" s="156" t="str">
        <f t="shared" si="327"/>
        <v/>
      </c>
      <c r="S996" s="154" t="str">
        <f t="shared" si="316"/>
        <v/>
      </c>
      <c r="T996" s="152"/>
      <c r="U996" s="150" t="str">
        <f t="shared" si="328"/>
        <v/>
      </c>
      <c r="V996" s="150" t="str">
        <f t="shared" si="329"/>
        <v/>
      </c>
      <c r="W996" s="168" t="str">
        <f t="shared" si="330"/>
        <v/>
      </c>
      <c r="X996" s="163" t="str">
        <f t="shared" si="317"/>
        <v/>
      </c>
      <c r="Y996" s="152"/>
      <c r="Z996" s="164" t="str">
        <f>IF(AND($C995=12,$D995=Input!$C$6),0,IF($E996="","",V996+Z997/(1+L996)*R996))</f>
        <v/>
      </c>
      <c r="AA996" s="164" t="str">
        <f>IF(OR($M996=1,AND($C995=12,$D995=Input!$C$6)),0,IF($E996="","",W996+(X996+AA997*$R996)/(1+$L996)))</f>
        <v/>
      </c>
      <c r="AB996" s="160" t="str">
        <f t="shared" si="318"/>
        <v/>
      </c>
      <c r="AC996" s="164" t="str">
        <f t="shared" si="319"/>
        <v/>
      </c>
      <c r="AD996" s="164" t="str">
        <f>IF(AND($C995=12,$D995=Input!$C$6),0,IF($E996="","",$AC996+AD997/(1+$L996)*$R996))</f>
        <v/>
      </c>
      <c r="AE996" s="152"/>
      <c r="AF996" s="164" t="str">
        <f>IF(AND($C995=12,$D995=Input!$C$6),0,IF($E996="","",IF($B996&gt;Input!$C$9,$AC996,0)+AF997/(1+$L996)*$R996))</f>
        <v/>
      </c>
      <c r="AG996" s="164" t="str">
        <f>IF(AND($C995=12,$D995=Input!$C$6),0,IF($E996="","",(IF($B996&gt;Input!$C$9,$X996,0)+AG997)/(1+$L996)*$R996))</f>
        <v/>
      </c>
      <c r="AH996" s="160" t="str">
        <f t="shared" si="320"/>
        <v/>
      </c>
      <c r="AI996" s="160" t="str">
        <f>IF($E996="","",MIN(Input!$C$61/AH996,1))</f>
        <v/>
      </c>
      <c r="AJ996" s="152"/>
      <c r="AK996" s="164" t="str">
        <f>IF(AND($C995=12,$D995=Input!$C$6),0,IF($E996="","",IF($B996&gt;Input!$C$9,$AC996*AI996,0)+AK997/(1+$L996)*$R996))</f>
        <v/>
      </c>
      <c r="AL996" s="164" t="str">
        <f>IF(AND($C995=12,$D995=Input!$C$6),0,IF($E996="","",IF($B996&gt;Input!$C$9,0,$AC996)+AL997/(1+$L996)*$R996))</f>
        <v/>
      </c>
      <c r="AM996" s="160" t="str">
        <f t="shared" si="321"/>
        <v/>
      </c>
      <c r="AN996" s="164" t="str">
        <f>IF($E996="","",IF($B996&gt;Input!$C$9,$AI996*$AC996,$AM996*$AC996))</f>
        <v/>
      </c>
      <c r="AO996" s="164" t="str">
        <f>IF(AND($C995=12,$D995=Input!$C$6),0,IF($E996="","",$AN996+AO997/(1+$L996)*$R996))</f>
        <v/>
      </c>
      <c r="AP996" s="152"/>
      <c r="AQ996" s="164" t="str">
        <f t="shared" si="322"/>
        <v/>
      </c>
      <c r="AR996" s="164" t="str">
        <f t="shared" si="331"/>
        <v/>
      </c>
      <c r="AS996" s="164" t="str">
        <f t="shared" si="332"/>
        <v/>
      </c>
      <c r="AT996" s="164" t="str">
        <f t="shared" si="323"/>
        <v/>
      </c>
      <c r="AU996" s="152"/>
      <c r="AV996" s="147" t="str">
        <f>'Deterministic Reserve'!BC996</f>
        <v/>
      </c>
      <c r="AW996" s="164" t="str">
        <f t="shared" si="324"/>
        <v/>
      </c>
      <c r="AX996" s="164" t="str">
        <f t="shared" si="325"/>
        <v/>
      </c>
      <c r="AY996" s="152"/>
    </row>
    <row r="997" spans="1:51" s="150" customFormat="1" x14ac:dyDescent="0.25">
      <c r="A997" s="150" t="str">
        <f t="shared" si="333"/>
        <v/>
      </c>
      <c r="B997" s="150" t="str">
        <f t="shared" si="334"/>
        <v/>
      </c>
      <c r="C997" s="150" t="str">
        <f t="shared" si="335"/>
        <v/>
      </c>
      <c r="D997" s="150" t="str">
        <f>IF(E997="","",Input!$C$4+B997-1)</f>
        <v/>
      </c>
      <c r="E997" s="150" t="str">
        <f>IF(OR(AND(C996=12,D996=Input!$C$6),E996=""),"",1)</f>
        <v/>
      </c>
      <c r="F997" s="150" t="str">
        <f>IF(E997="","",Input!$C$8+B997-1)</f>
        <v/>
      </c>
      <c r="G997" s="151" t="str">
        <f>IF(E997="","",MAX(0,Input!$C$9-B997))</f>
        <v/>
      </c>
      <c r="H997" s="152" t="str">
        <f>IF(E997="","",Input!$C$3)</f>
        <v/>
      </c>
      <c r="I997" s="153" t="str">
        <f>IF(E997="","",HLOOKUP($B997,Input!$C$13:$BT$14,2))</f>
        <v/>
      </c>
      <c r="J997" s="154"/>
      <c r="K997" s="155" t="str">
        <f>IF($E997="","",Input!$C$57)</f>
        <v/>
      </c>
      <c r="L997" s="155" t="str">
        <f t="shared" si="326"/>
        <v/>
      </c>
      <c r="M997" s="147" t="str">
        <f>IF($E997="","",VLOOKUP(IF($B997&lt;=Input!$C$7,$B997,26),'Mortality Tables'!$A$72:$CA$97,IF($B997&lt;=Input!$C$7+1,Input!$C$4-16,$D997-Input!$C$7-16),0)/1000)</f>
        <v/>
      </c>
      <c r="N997" s="147" t="str">
        <f t="shared" si="315"/>
        <v/>
      </c>
      <c r="O997" s="157" t="str">
        <f>IF($E997="","",IF($C997=12,IF($B997&lt;Input!$C$9,Input!$C$54,IF($B997=Input!$C$9,Input!$C$55,Input!$C$56)),0%))</f>
        <v/>
      </c>
      <c r="P997" s="167" t="str">
        <f>IF($E997="","",IF($B997=1,Input!$C$59,IF($B997&lt;6,Input!$C$60,0%)))</f>
        <v/>
      </c>
      <c r="Q997" s="162" t="str">
        <f>IF($E997="","",Input!$C$58)</f>
        <v/>
      </c>
      <c r="R997" s="156" t="str">
        <f t="shared" si="327"/>
        <v/>
      </c>
      <c r="S997" s="154" t="str">
        <f t="shared" si="316"/>
        <v/>
      </c>
      <c r="T997" s="152"/>
      <c r="U997" s="150" t="str">
        <f t="shared" si="328"/>
        <v/>
      </c>
      <c r="V997" s="150" t="str">
        <f t="shared" si="329"/>
        <v/>
      </c>
      <c r="W997" s="168" t="str">
        <f t="shared" si="330"/>
        <v/>
      </c>
      <c r="X997" s="163" t="str">
        <f t="shared" si="317"/>
        <v/>
      </c>
      <c r="Y997" s="152"/>
      <c r="Z997" s="164" t="str">
        <f>IF(AND($C996=12,$D996=Input!$C$6),0,IF($E997="","",V997+Z998/(1+L997)*R997))</f>
        <v/>
      </c>
      <c r="AA997" s="164" t="str">
        <f>IF(OR($M997=1,AND($C996=12,$D996=Input!$C$6)),0,IF($E997="","",W997+(X997+AA998*$R997)/(1+$L997)))</f>
        <v/>
      </c>
      <c r="AB997" s="160" t="str">
        <f t="shared" si="318"/>
        <v/>
      </c>
      <c r="AC997" s="164" t="str">
        <f t="shared" si="319"/>
        <v/>
      </c>
      <c r="AD997" s="164" t="str">
        <f>IF(AND($C996=12,$D996=Input!$C$6),0,IF($E997="","",$AC997+AD998/(1+$L997)*$R997))</f>
        <v/>
      </c>
      <c r="AE997" s="152"/>
      <c r="AF997" s="164" t="str">
        <f>IF(AND($C996=12,$D996=Input!$C$6),0,IF($E997="","",IF($B997&gt;Input!$C$9,$AC997,0)+AF998/(1+$L997)*$R997))</f>
        <v/>
      </c>
      <c r="AG997" s="164" t="str">
        <f>IF(AND($C996=12,$D996=Input!$C$6),0,IF($E997="","",(IF($B997&gt;Input!$C$9,$X997,0)+AG998)/(1+$L997)*$R997))</f>
        <v/>
      </c>
      <c r="AH997" s="160" t="str">
        <f t="shared" si="320"/>
        <v/>
      </c>
      <c r="AI997" s="160" t="str">
        <f>IF($E997="","",MIN(Input!$C$61/AH997,1))</f>
        <v/>
      </c>
      <c r="AJ997" s="152"/>
      <c r="AK997" s="164" t="str">
        <f>IF(AND($C996=12,$D996=Input!$C$6),0,IF($E997="","",IF($B997&gt;Input!$C$9,$AC997*AI997,0)+AK998/(1+$L997)*$R997))</f>
        <v/>
      </c>
      <c r="AL997" s="164" t="str">
        <f>IF(AND($C996=12,$D996=Input!$C$6),0,IF($E997="","",IF($B997&gt;Input!$C$9,0,$AC997)+AL998/(1+$L997)*$R997))</f>
        <v/>
      </c>
      <c r="AM997" s="160" t="str">
        <f t="shared" si="321"/>
        <v/>
      </c>
      <c r="AN997" s="164" t="str">
        <f>IF($E997="","",IF($B997&gt;Input!$C$9,$AI997*$AC997,$AM997*$AC997))</f>
        <v/>
      </c>
      <c r="AO997" s="164" t="str">
        <f>IF(AND($C996=12,$D996=Input!$C$6),0,IF($E997="","",$AN997+AO998/(1+$L997)*$R997))</f>
        <v/>
      </c>
      <c r="AP997" s="152"/>
      <c r="AQ997" s="164" t="str">
        <f t="shared" si="322"/>
        <v/>
      </c>
      <c r="AR997" s="164" t="str">
        <f t="shared" si="331"/>
        <v/>
      </c>
      <c r="AS997" s="164" t="str">
        <f t="shared" si="332"/>
        <v/>
      </c>
      <c r="AT997" s="164" t="str">
        <f t="shared" si="323"/>
        <v/>
      </c>
      <c r="AU997" s="152"/>
      <c r="AV997" s="147" t="str">
        <f>'Deterministic Reserve'!BC997</f>
        <v/>
      </c>
      <c r="AW997" s="164" t="str">
        <f t="shared" si="324"/>
        <v/>
      </c>
      <c r="AX997" s="164" t="str">
        <f t="shared" si="325"/>
        <v/>
      </c>
      <c r="AY997" s="152"/>
    </row>
    <row r="998" spans="1:51" s="150" customFormat="1" x14ac:dyDescent="0.25">
      <c r="A998" s="150" t="str">
        <f t="shared" si="333"/>
        <v/>
      </c>
      <c r="B998" s="150" t="str">
        <f t="shared" si="334"/>
        <v/>
      </c>
      <c r="C998" s="150" t="str">
        <f t="shared" si="335"/>
        <v/>
      </c>
      <c r="D998" s="150" t="str">
        <f>IF(E998="","",Input!$C$4+B998-1)</f>
        <v/>
      </c>
      <c r="E998" s="150" t="str">
        <f>IF(OR(AND(C997=12,D997=Input!$C$6),E997=""),"",1)</f>
        <v/>
      </c>
      <c r="F998" s="150" t="str">
        <f>IF(E998="","",Input!$C$8+B998-1)</f>
        <v/>
      </c>
      <c r="G998" s="151" t="str">
        <f>IF(E998="","",MAX(0,Input!$C$9-B998))</f>
        <v/>
      </c>
      <c r="H998" s="152" t="str">
        <f>IF(E998="","",Input!$C$3)</f>
        <v/>
      </c>
      <c r="I998" s="153" t="str">
        <f>IF(E998="","",HLOOKUP($B998,Input!$C$13:$BT$14,2))</f>
        <v/>
      </c>
      <c r="J998" s="154"/>
      <c r="K998" s="155" t="str">
        <f>IF($E998="","",Input!$C$57)</f>
        <v/>
      </c>
      <c r="L998" s="155" t="str">
        <f t="shared" si="326"/>
        <v/>
      </c>
      <c r="M998" s="147" t="str">
        <f>IF($E998="","",VLOOKUP(IF($B998&lt;=Input!$C$7,$B998,26),'Mortality Tables'!$A$72:$CA$97,IF($B998&lt;=Input!$C$7+1,Input!$C$4-16,$D998-Input!$C$7-16),0)/1000)</f>
        <v/>
      </c>
      <c r="N998" s="147" t="str">
        <f t="shared" si="315"/>
        <v/>
      </c>
      <c r="O998" s="157" t="str">
        <f>IF($E998="","",IF($C998=12,IF($B998&lt;Input!$C$9,Input!$C$54,IF($B998=Input!$C$9,Input!$C$55,Input!$C$56)),0%))</f>
        <v/>
      </c>
      <c r="P998" s="167" t="str">
        <f>IF($E998="","",IF($B998=1,Input!$C$59,IF($B998&lt;6,Input!$C$60,0%)))</f>
        <v/>
      </c>
      <c r="Q998" s="162" t="str">
        <f>IF($E998="","",Input!$C$58)</f>
        <v/>
      </c>
      <c r="R998" s="156" t="str">
        <f t="shared" si="327"/>
        <v/>
      </c>
      <c r="S998" s="154" t="str">
        <f t="shared" si="316"/>
        <v/>
      </c>
      <c r="T998" s="152"/>
      <c r="U998" s="150" t="str">
        <f t="shared" si="328"/>
        <v/>
      </c>
      <c r="V998" s="150" t="str">
        <f t="shared" si="329"/>
        <v/>
      </c>
      <c r="W998" s="168" t="str">
        <f t="shared" si="330"/>
        <v/>
      </c>
      <c r="X998" s="163" t="str">
        <f t="shared" si="317"/>
        <v/>
      </c>
      <c r="Y998" s="152"/>
      <c r="Z998" s="164" t="str">
        <f>IF(AND($C997=12,$D997=Input!$C$6),0,IF($E998="","",V998+Z999/(1+L998)*R998))</f>
        <v/>
      </c>
      <c r="AA998" s="164" t="str">
        <f>IF(OR($M998=1,AND($C997=12,$D997=Input!$C$6)),0,IF($E998="","",W998+(X998+AA999*$R998)/(1+$L998)))</f>
        <v/>
      </c>
      <c r="AB998" s="160" t="str">
        <f t="shared" si="318"/>
        <v/>
      </c>
      <c r="AC998" s="164" t="str">
        <f t="shared" si="319"/>
        <v/>
      </c>
      <c r="AD998" s="164" t="str">
        <f>IF(AND($C997=12,$D997=Input!$C$6),0,IF($E998="","",$AC998+AD999/(1+$L998)*$R998))</f>
        <v/>
      </c>
      <c r="AE998" s="152"/>
      <c r="AF998" s="164" t="str">
        <f>IF(AND($C997=12,$D997=Input!$C$6),0,IF($E998="","",IF($B998&gt;Input!$C$9,$AC998,0)+AF999/(1+$L998)*$R998))</f>
        <v/>
      </c>
      <c r="AG998" s="164" t="str">
        <f>IF(AND($C997=12,$D997=Input!$C$6),0,IF($E998="","",(IF($B998&gt;Input!$C$9,$X998,0)+AG999)/(1+$L998)*$R998))</f>
        <v/>
      </c>
      <c r="AH998" s="160" t="str">
        <f t="shared" si="320"/>
        <v/>
      </c>
      <c r="AI998" s="160" t="str">
        <f>IF($E998="","",MIN(Input!$C$61/AH998,1))</f>
        <v/>
      </c>
      <c r="AJ998" s="152"/>
      <c r="AK998" s="164" t="str">
        <f>IF(AND($C997=12,$D997=Input!$C$6),0,IF($E998="","",IF($B998&gt;Input!$C$9,$AC998*AI998,0)+AK999/(1+$L998)*$R998))</f>
        <v/>
      </c>
      <c r="AL998" s="164" t="str">
        <f>IF(AND($C997=12,$D997=Input!$C$6),0,IF($E998="","",IF($B998&gt;Input!$C$9,0,$AC998)+AL999/(1+$L998)*$R998))</f>
        <v/>
      </c>
      <c r="AM998" s="160" t="str">
        <f t="shared" si="321"/>
        <v/>
      </c>
      <c r="AN998" s="164" t="str">
        <f>IF($E998="","",IF($B998&gt;Input!$C$9,$AI998*$AC998,$AM998*$AC998))</f>
        <v/>
      </c>
      <c r="AO998" s="164" t="str">
        <f>IF(AND($C997=12,$D997=Input!$C$6),0,IF($E998="","",$AN998+AO999/(1+$L998)*$R998))</f>
        <v/>
      </c>
      <c r="AP998" s="152"/>
      <c r="AQ998" s="164" t="str">
        <f t="shared" si="322"/>
        <v/>
      </c>
      <c r="AR998" s="164" t="str">
        <f t="shared" si="331"/>
        <v/>
      </c>
      <c r="AS998" s="164" t="str">
        <f t="shared" si="332"/>
        <v/>
      </c>
      <c r="AT998" s="164" t="str">
        <f t="shared" si="323"/>
        <v/>
      </c>
      <c r="AU998" s="152"/>
      <c r="AV998" s="147" t="str">
        <f>'Deterministic Reserve'!BC998</f>
        <v/>
      </c>
      <c r="AW998" s="164" t="str">
        <f t="shared" si="324"/>
        <v/>
      </c>
      <c r="AX998" s="164" t="str">
        <f t="shared" si="325"/>
        <v/>
      </c>
      <c r="AY998" s="152"/>
    </row>
    <row r="999" spans="1:51" s="150" customFormat="1" x14ac:dyDescent="0.25">
      <c r="A999" s="150" t="str">
        <f t="shared" si="333"/>
        <v/>
      </c>
      <c r="B999" s="150" t="str">
        <f t="shared" si="334"/>
        <v/>
      </c>
      <c r="C999" s="150" t="str">
        <f t="shared" si="335"/>
        <v/>
      </c>
      <c r="D999" s="150" t="str">
        <f>IF(E999="","",Input!$C$4+B999-1)</f>
        <v/>
      </c>
      <c r="E999" s="150" t="str">
        <f>IF(OR(AND(C998=12,D998=Input!$C$6),E998=""),"",1)</f>
        <v/>
      </c>
      <c r="F999" s="150" t="str">
        <f>IF(E999="","",Input!$C$8+B999-1)</f>
        <v/>
      </c>
      <c r="G999" s="151" t="str">
        <f>IF(E999="","",MAX(0,Input!$C$9-B999))</f>
        <v/>
      </c>
      <c r="H999" s="152" t="str">
        <f>IF(E999="","",Input!$C$3)</f>
        <v/>
      </c>
      <c r="I999" s="153" t="str">
        <f>IF(E999="","",HLOOKUP($B999,Input!$C$13:$BT$14,2))</f>
        <v/>
      </c>
      <c r="J999" s="154"/>
      <c r="K999" s="155" t="str">
        <f>IF($E999="","",Input!$C$57)</f>
        <v/>
      </c>
      <c r="L999" s="155" t="str">
        <f t="shared" si="326"/>
        <v/>
      </c>
      <c r="M999" s="147" t="str">
        <f>IF($E999="","",VLOOKUP(IF($B999&lt;=Input!$C$7,$B999,26),'Mortality Tables'!$A$72:$CA$97,IF($B999&lt;=Input!$C$7+1,Input!$C$4-16,$D999-Input!$C$7-16),0)/1000)</f>
        <v/>
      </c>
      <c r="N999" s="147" t="str">
        <f t="shared" si="315"/>
        <v/>
      </c>
      <c r="O999" s="157" t="str">
        <f>IF($E999="","",IF($C999=12,IF($B999&lt;Input!$C$9,Input!$C$54,IF($B999=Input!$C$9,Input!$C$55,Input!$C$56)),0%))</f>
        <v/>
      </c>
      <c r="P999" s="167" t="str">
        <f>IF($E999="","",IF($B999=1,Input!$C$59,IF($B999&lt;6,Input!$C$60,0%)))</f>
        <v/>
      </c>
      <c r="Q999" s="162" t="str">
        <f>IF($E999="","",Input!$C$58)</f>
        <v/>
      </c>
      <c r="R999" s="156" t="str">
        <f t="shared" si="327"/>
        <v/>
      </c>
      <c r="S999" s="154" t="str">
        <f t="shared" si="316"/>
        <v/>
      </c>
      <c r="T999" s="152"/>
      <c r="U999" s="150" t="str">
        <f t="shared" si="328"/>
        <v/>
      </c>
      <c r="V999" s="150" t="str">
        <f t="shared" si="329"/>
        <v/>
      </c>
      <c r="W999" s="168" t="str">
        <f t="shared" si="330"/>
        <v/>
      </c>
      <c r="X999" s="163" t="str">
        <f t="shared" si="317"/>
        <v/>
      </c>
      <c r="Y999" s="152"/>
      <c r="Z999" s="164" t="str">
        <f>IF(AND($C998=12,$D998=Input!$C$6),0,IF($E999="","",V999+Z1000/(1+L999)*R999))</f>
        <v/>
      </c>
      <c r="AA999" s="164" t="str">
        <f>IF(OR($M999=1,AND($C998=12,$D998=Input!$C$6)),0,IF($E999="","",W999+(X999+AA1000*$R999)/(1+$L999)))</f>
        <v/>
      </c>
      <c r="AB999" s="160" t="str">
        <f t="shared" si="318"/>
        <v/>
      </c>
      <c r="AC999" s="164" t="str">
        <f t="shared" si="319"/>
        <v/>
      </c>
      <c r="AD999" s="164" t="str">
        <f>IF(AND($C998=12,$D998=Input!$C$6),0,IF($E999="","",$AC999+AD1000/(1+$L999)*$R999))</f>
        <v/>
      </c>
      <c r="AE999" s="152"/>
      <c r="AF999" s="164" t="str">
        <f>IF(AND($C998=12,$D998=Input!$C$6),0,IF($E999="","",IF($B999&gt;Input!$C$9,$AC999,0)+AF1000/(1+$L999)*$R999))</f>
        <v/>
      </c>
      <c r="AG999" s="164" t="str">
        <f>IF(AND($C998=12,$D998=Input!$C$6),0,IF($E999="","",(IF($B999&gt;Input!$C$9,$X999,0)+AG1000)/(1+$L999)*$R999))</f>
        <v/>
      </c>
      <c r="AH999" s="160" t="str">
        <f t="shared" si="320"/>
        <v/>
      </c>
      <c r="AI999" s="160" t="str">
        <f>IF($E999="","",MIN(Input!$C$61/AH999,1))</f>
        <v/>
      </c>
      <c r="AJ999" s="152"/>
      <c r="AK999" s="164" t="str">
        <f>IF(AND($C998=12,$D998=Input!$C$6),0,IF($E999="","",IF($B999&gt;Input!$C$9,$AC999*AI999,0)+AK1000/(1+$L999)*$R999))</f>
        <v/>
      </c>
      <c r="AL999" s="164" t="str">
        <f>IF(AND($C998=12,$D998=Input!$C$6),0,IF($E999="","",IF($B999&gt;Input!$C$9,0,$AC999)+AL1000/(1+$L999)*$R999))</f>
        <v/>
      </c>
      <c r="AM999" s="160" t="str">
        <f t="shared" si="321"/>
        <v/>
      </c>
      <c r="AN999" s="164" t="str">
        <f>IF($E999="","",IF($B999&gt;Input!$C$9,$AI999*$AC999,$AM999*$AC999))</f>
        <v/>
      </c>
      <c r="AO999" s="164" t="str">
        <f>IF(AND($C998=12,$D998=Input!$C$6),0,IF($E999="","",$AN999+AO1000/(1+$L999)*$R999))</f>
        <v/>
      </c>
      <c r="AP999" s="152"/>
      <c r="AQ999" s="164" t="str">
        <f t="shared" si="322"/>
        <v/>
      </c>
      <c r="AR999" s="164" t="str">
        <f t="shared" si="331"/>
        <v/>
      </c>
      <c r="AS999" s="164" t="str">
        <f t="shared" si="332"/>
        <v/>
      </c>
      <c r="AT999" s="164" t="str">
        <f t="shared" si="323"/>
        <v/>
      </c>
      <c r="AU999" s="152"/>
      <c r="AV999" s="147" t="str">
        <f>'Deterministic Reserve'!BC999</f>
        <v/>
      </c>
      <c r="AW999" s="164" t="str">
        <f t="shared" si="324"/>
        <v/>
      </c>
      <c r="AX999" s="164" t="str">
        <f t="shared" si="325"/>
        <v/>
      </c>
      <c r="AY999" s="152"/>
    </row>
    <row r="1000" spans="1:51" s="150" customFormat="1" x14ac:dyDescent="0.25">
      <c r="A1000" s="150" t="str">
        <f t="shared" si="333"/>
        <v/>
      </c>
      <c r="B1000" s="150" t="str">
        <f t="shared" si="334"/>
        <v/>
      </c>
      <c r="C1000" s="150" t="str">
        <f t="shared" si="335"/>
        <v/>
      </c>
      <c r="D1000" s="150" t="str">
        <f>IF(E1000="","",Input!$C$4+B1000-1)</f>
        <v/>
      </c>
      <c r="E1000" s="150" t="str">
        <f>IF(OR(AND(C999=12,D999=Input!$C$6),E999=""),"",1)</f>
        <v/>
      </c>
      <c r="F1000" s="150" t="str">
        <f>IF(E1000="","",Input!$C$8+B1000-1)</f>
        <v/>
      </c>
      <c r="G1000" s="151" t="str">
        <f>IF(E1000="","",MAX(0,Input!$C$9-B1000))</f>
        <v/>
      </c>
      <c r="H1000" s="152" t="str">
        <f>IF(E1000="","",Input!$C$3)</f>
        <v/>
      </c>
      <c r="I1000" s="153" t="str">
        <f>IF(E1000="","",HLOOKUP($B1000,Input!$C$13:$BT$14,2))</f>
        <v/>
      </c>
      <c r="J1000" s="154"/>
      <c r="K1000" s="155" t="str">
        <f>IF($E1000="","",Input!$C$57)</f>
        <v/>
      </c>
      <c r="L1000" s="155" t="str">
        <f t="shared" si="326"/>
        <v/>
      </c>
      <c r="M1000" s="147" t="str">
        <f>IF($E1000="","",VLOOKUP(IF($B1000&lt;=Input!$C$7,$B1000,26),'Mortality Tables'!$A$72:$CA$97,IF($B1000&lt;=Input!$C$7+1,Input!$C$4-16,$D1000-Input!$C$7-16),0)/1000)</f>
        <v/>
      </c>
      <c r="N1000" s="147" t="str">
        <f t="shared" si="315"/>
        <v/>
      </c>
      <c r="O1000" s="157" t="str">
        <f>IF($E1000="","",IF($C1000=12,IF($B1000&lt;Input!$C$9,Input!$C$54,IF($B1000=Input!$C$9,Input!$C$55,Input!$C$56)),0%))</f>
        <v/>
      </c>
      <c r="P1000" s="167" t="str">
        <f>IF($E1000="","",IF($B1000=1,Input!$C$59,IF($B1000&lt;6,Input!$C$60,0%)))</f>
        <v/>
      </c>
      <c r="Q1000" s="162" t="str">
        <f>IF($E1000="","",Input!$C$58)</f>
        <v/>
      </c>
      <c r="R1000" s="156" t="str">
        <f t="shared" si="327"/>
        <v/>
      </c>
      <c r="S1000" s="154" t="str">
        <f t="shared" si="316"/>
        <v/>
      </c>
      <c r="T1000" s="152"/>
      <c r="U1000" s="150" t="str">
        <f t="shared" si="328"/>
        <v/>
      </c>
      <c r="V1000" s="150" t="str">
        <f t="shared" si="329"/>
        <v/>
      </c>
      <c r="W1000" s="168" t="str">
        <f t="shared" si="330"/>
        <v/>
      </c>
      <c r="X1000" s="163" t="str">
        <f t="shared" si="317"/>
        <v/>
      </c>
      <c r="Y1000" s="152"/>
      <c r="Z1000" s="164" t="str">
        <f>IF(AND($C999=12,$D999=Input!$C$6),0,IF($E1000="","",V1000+Z1001/(1+L1000)*R1000))</f>
        <v/>
      </c>
      <c r="AA1000" s="164" t="str">
        <f>IF(OR($M1000=1,AND($C999=12,$D999=Input!$C$6)),0,IF($E1000="","",W1000+(X1000+AA1001*$R1000)/(1+$L1000)))</f>
        <v/>
      </c>
      <c r="AB1000" s="160" t="str">
        <f t="shared" si="318"/>
        <v/>
      </c>
      <c r="AC1000" s="164" t="str">
        <f t="shared" si="319"/>
        <v/>
      </c>
      <c r="AD1000" s="164" t="str">
        <f>IF(AND($C999=12,$D999=Input!$C$6),0,IF($E1000="","",$AC1000+AD1001/(1+$L1000)*$R1000))</f>
        <v/>
      </c>
      <c r="AE1000" s="152"/>
      <c r="AF1000" s="164" t="str">
        <f>IF(AND($C999=12,$D999=Input!$C$6),0,IF($E1000="","",IF($B1000&gt;Input!$C$9,$AC1000,0)+AF1001/(1+$L1000)*$R1000))</f>
        <v/>
      </c>
      <c r="AG1000" s="164" t="str">
        <f>IF(AND($C999=12,$D999=Input!$C$6),0,IF($E1000="","",(IF($B1000&gt;Input!$C$9,$X1000,0)+AG1001)/(1+$L1000)*$R1000))</f>
        <v/>
      </c>
      <c r="AH1000" s="160" t="str">
        <f t="shared" si="320"/>
        <v/>
      </c>
      <c r="AI1000" s="160" t="str">
        <f>IF($E1000="","",MIN(Input!$C$61/AH1000,1))</f>
        <v/>
      </c>
      <c r="AJ1000" s="152"/>
      <c r="AK1000" s="164" t="str">
        <f>IF(AND($C999=12,$D999=Input!$C$6),0,IF($E1000="","",IF($B1000&gt;Input!$C$9,$AC1000*AI1000,0)+AK1001/(1+$L1000)*$R1000))</f>
        <v/>
      </c>
      <c r="AL1000" s="164" t="str">
        <f>IF(AND($C999=12,$D999=Input!$C$6),0,IF($E1000="","",IF($B1000&gt;Input!$C$9,0,$AC1000)+AL1001/(1+$L1000)*$R1000))</f>
        <v/>
      </c>
      <c r="AM1000" s="160" t="str">
        <f t="shared" si="321"/>
        <v/>
      </c>
      <c r="AN1000" s="164" t="str">
        <f>IF($E1000="","",IF($B1000&gt;Input!$C$9,$AI1000*$AC1000,$AM1000*$AC1000))</f>
        <v/>
      </c>
      <c r="AO1000" s="164" t="str">
        <f>IF(AND($C999=12,$D999=Input!$C$6),0,IF($E1000="","",$AN1000+AO1001/(1+$L1000)*$R1000))</f>
        <v/>
      </c>
      <c r="AP1000" s="152"/>
      <c r="AQ1000" s="164" t="str">
        <f t="shared" si="322"/>
        <v/>
      </c>
      <c r="AR1000" s="164" t="str">
        <f t="shared" si="331"/>
        <v/>
      </c>
      <c r="AS1000" s="164" t="str">
        <f t="shared" si="332"/>
        <v/>
      </c>
      <c r="AT1000" s="164" t="str">
        <f t="shared" si="323"/>
        <v/>
      </c>
      <c r="AU1000" s="152"/>
      <c r="AV1000" s="147" t="str">
        <f>'Deterministic Reserve'!BC1000</f>
        <v/>
      </c>
      <c r="AW1000" s="164" t="str">
        <f t="shared" si="324"/>
        <v/>
      </c>
      <c r="AX1000" s="164" t="str">
        <f t="shared" si="325"/>
        <v/>
      </c>
      <c r="AY1000" s="152"/>
    </row>
    <row r="1001" spans="1:51" s="150" customFormat="1" x14ac:dyDescent="0.25">
      <c r="A1001" s="150" t="str">
        <f t="shared" si="333"/>
        <v/>
      </c>
      <c r="B1001" s="150" t="str">
        <f t="shared" si="334"/>
        <v/>
      </c>
      <c r="C1001" s="150" t="str">
        <f t="shared" si="335"/>
        <v/>
      </c>
      <c r="D1001" s="150" t="str">
        <f>IF(E1001="","",Input!$C$4+B1001-1)</f>
        <v/>
      </c>
      <c r="E1001" s="150" t="str">
        <f>IF(OR(AND(C1000=12,D1000=Input!$C$6),E1000=""),"",1)</f>
        <v/>
      </c>
      <c r="F1001" s="150" t="str">
        <f>IF(E1001="","",Input!$C$8+B1001-1)</f>
        <v/>
      </c>
      <c r="G1001" s="151" t="str">
        <f>IF(E1001="","",MAX(0,Input!$C$9-B1001))</f>
        <v/>
      </c>
      <c r="H1001" s="152" t="str">
        <f>IF(E1001="","",Input!$C$3)</f>
        <v/>
      </c>
      <c r="I1001" s="153" t="str">
        <f>IF(E1001="","",HLOOKUP($B1001,Input!$C$13:$BT$14,2))</f>
        <v/>
      </c>
      <c r="J1001" s="154"/>
      <c r="K1001" s="155" t="str">
        <f>IF($E1001="","",Input!$C$57)</f>
        <v/>
      </c>
      <c r="L1001" s="155" t="str">
        <f t="shared" si="326"/>
        <v/>
      </c>
      <c r="M1001" s="147" t="str">
        <f>IF($E1001="","",VLOOKUP(IF($B1001&lt;=Input!$C$7,$B1001,26),'Mortality Tables'!$A$72:$CA$97,IF($B1001&lt;=Input!$C$7+1,Input!$C$4-16,$D1001-Input!$C$7-16),0)/1000)</f>
        <v/>
      </c>
      <c r="N1001" s="147" t="str">
        <f t="shared" si="315"/>
        <v/>
      </c>
      <c r="O1001" s="157" t="str">
        <f>IF($E1001="","",IF($C1001=12,IF($B1001&lt;Input!$C$9,Input!$C$54,IF($B1001=Input!$C$9,Input!$C$55,Input!$C$56)),0%))</f>
        <v/>
      </c>
      <c r="P1001" s="167" t="str">
        <f>IF($E1001="","",IF($B1001=1,Input!$C$59,IF($B1001&lt;6,Input!$C$60,0%)))</f>
        <v/>
      </c>
      <c r="Q1001" s="162" t="str">
        <f>IF($E1001="","",Input!$C$58)</f>
        <v/>
      </c>
      <c r="R1001" s="156" t="str">
        <f t="shared" si="327"/>
        <v/>
      </c>
      <c r="S1001" s="154" t="str">
        <f t="shared" si="316"/>
        <v/>
      </c>
      <c r="T1001" s="152"/>
      <c r="U1001" s="150" t="str">
        <f t="shared" si="328"/>
        <v/>
      </c>
      <c r="V1001" s="150" t="str">
        <f t="shared" si="329"/>
        <v/>
      </c>
      <c r="W1001" s="168" t="str">
        <f t="shared" si="330"/>
        <v/>
      </c>
      <c r="X1001" s="163" t="str">
        <f t="shared" si="317"/>
        <v/>
      </c>
      <c r="Y1001" s="152"/>
      <c r="Z1001" s="164" t="str">
        <f>IF(AND($C1000=12,$D1000=Input!$C$6),0,IF($E1001="","",V1001+Z1002/(1+L1001)*R1001))</f>
        <v/>
      </c>
      <c r="AA1001" s="164" t="str">
        <f>IF(OR($M1001=1,AND($C1000=12,$D1000=Input!$C$6)),0,IF($E1001="","",W1001+(X1001+AA1002*$R1001)/(1+$L1001)))</f>
        <v/>
      </c>
      <c r="AB1001" s="160" t="str">
        <f t="shared" si="318"/>
        <v/>
      </c>
      <c r="AC1001" s="164" t="str">
        <f t="shared" si="319"/>
        <v/>
      </c>
      <c r="AD1001" s="164" t="str">
        <f>IF(AND($C1000=12,$D1000=Input!$C$6),0,IF($E1001="","",$AC1001+AD1002/(1+$L1001)*$R1001))</f>
        <v/>
      </c>
      <c r="AE1001" s="152"/>
      <c r="AF1001" s="164" t="str">
        <f>IF(AND($C1000=12,$D1000=Input!$C$6),0,IF($E1001="","",IF($B1001&gt;Input!$C$9,$AC1001,0)+AF1002/(1+$L1001)*$R1001))</f>
        <v/>
      </c>
      <c r="AG1001" s="164" t="str">
        <f>IF(AND($C1000=12,$D1000=Input!$C$6),0,IF($E1001="","",(IF($B1001&gt;Input!$C$9,$X1001,0)+AG1002)/(1+$L1001)*$R1001))</f>
        <v/>
      </c>
      <c r="AH1001" s="160" t="str">
        <f t="shared" si="320"/>
        <v/>
      </c>
      <c r="AI1001" s="160" t="str">
        <f>IF($E1001="","",MIN(Input!$C$61/AH1001,1))</f>
        <v/>
      </c>
      <c r="AJ1001" s="152"/>
      <c r="AK1001" s="164" t="str">
        <f>IF(AND($C1000=12,$D1000=Input!$C$6),0,IF($E1001="","",IF($B1001&gt;Input!$C$9,$AC1001*AI1001,0)+AK1002/(1+$L1001)*$R1001))</f>
        <v/>
      </c>
      <c r="AL1001" s="164" t="str">
        <f>IF(AND($C1000=12,$D1000=Input!$C$6),0,IF($E1001="","",IF($B1001&gt;Input!$C$9,0,$AC1001)+AL1002/(1+$L1001)*$R1001))</f>
        <v/>
      </c>
      <c r="AM1001" s="160" t="str">
        <f t="shared" si="321"/>
        <v/>
      </c>
      <c r="AN1001" s="164" t="str">
        <f>IF($E1001="","",IF($B1001&gt;Input!$C$9,$AI1001*$AC1001,$AM1001*$AC1001))</f>
        <v/>
      </c>
      <c r="AO1001" s="164" t="str">
        <f>IF(AND($C1000=12,$D1000=Input!$C$6),0,IF($E1001="","",$AN1001+AO1002/(1+$L1001)*$R1001))</f>
        <v/>
      </c>
      <c r="AP1001" s="152"/>
      <c r="AQ1001" s="164" t="str">
        <f t="shared" si="322"/>
        <v/>
      </c>
      <c r="AR1001" s="164" t="str">
        <f t="shared" si="331"/>
        <v/>
      </c>
      <c r="AS1001" s="164" t="str">
        <f t="shared" si="332"/>
        <v/>
      </c>
      <c r="AT1001" s="164" t="str">
        <f t="shared" si="323"/>
        <v/>
      </c>
      <c r="AU1001" s="152"/>
      <c r="AV1001" s="147" t="str">
        <f>'Deterministic Reserve'!BC1001</f>
        <v/>
      </c>
      <c r="AW1001" s="164" t="str">
        <f t="shared" si="324"/>
        <v/>
      </c>
      <c r="AX1001" s="164" t="str">
        <f t="shared" si="325"/>
        <v/>
      </c>
      <c r="AY1001" s="152"/>
    </row>
    <row r="1002" spans="1:51" s="150" customFormat="1" x14ac:dyDescent="0.25">
      <c r="A1002" s="150" t="str">
        <f t="shared" si="333"/>
        <v/>
      </c>
      <c r="B1002" s="150" t="str">
        <f t="shared" si="334"/>
        <v/>
      </c>
      <c r="C1002" s="150" t="str">
        <f t="shared" si="335"/>
        <v/>
      </c>
      <c r="D1002" s="150" t="str">
        <f>IF(E1002="","",Input!$C$4+B1002-1)</f>
        <v/>
      </c>
      <c r="E1002" s="150" t="str">
        <f>IF(OR(AND(C1001=12,D1001=Input!$C$6),E1001=""),"",1)</f>
        <v/>
      </c>
      <c r="F1002" s="150" t="str">
        <f>IF(E1002="","",Input!$C$8+B1002-1)</f>
        <v/>
      </c>
      <c r="G1002" s="151" t="str">
        <f>IF(E1002="","",MAX(0,Input!$C$9-B1002))</f>
        <v/>
      </c>
      <c r="H1002" s="152" t="str">
        <f>IF(E1002="","",Input!$C$3)</f>
        <v/>
      </c>
      <c r="I1002" s="153" t="str">
        <f>IF(E1002="","",HLOOKUP($B1002,Input!$C$13:$BT$14,2))</f>
        <v/>
      </c>
      <c r="J1002" s="154"/>
      <c r="K1002" s="155" t="str">
        <f>IF($E1002="","",Input!$C$57)</f>
        <v/>
      </c>
      <c r="L1002" s="155" t="str">
        <f t="shared" si="326"/>
        <v/>
      </c>
      <c r="M1002" s="147" t="str">
        <f>IF($E1002="","",VLOOKUP(IF($B1002&lt;=Input!$C$7,$B1002,26),'Mortality Tables'!$A$72:$CA$97,IF($B1002&lt;=Input!$C$7+1,Input!$C$4-16,$D1002-Input!$C$7-16),0)/1000)</f>
        <v/>
      </c>
      <c r="N1002" s="147" t="str">
        <f t="shared" si="315"/>
        <v/>
      </c>
      <c r="O1002" s="157" t="str">
        <f>IF($E1002="","",IF($C1002=12,IF($B1002&lt;Input!$C$9,Input!$C$54,IF($B1002=Input!$C$9,Input!$C$55,Input!$C$56)),0%))</f>
        <v/>
      </c>
      <c r="P1002" s="167" t="str">
        <f>IF($E1002="","",IF($B1002=1,Input!$C$59,IF($B1002&lt;6,Input!$C$60,0%)))</f>
        <v/>
      </c>
      <c r="Q1002" s="162" t="str">
        <f>IF($E1002="","",Input!$C$58)</f>
        <v/>
      </c>
      <c r="R1002" s="156" t="str">
        <f t="shared" si="327"/>
        <v/>
      </c>
      <c r="S1002" s="154" t="str">
        <f t="shared" si="316"/>
        <v/>
      </c>
      <c r="T1002" s="152"/>
      <c r="U1002" s="150" t="str">
        <f t="shared" si="328"/>
        <v/>
      </c>
      <c r="V1002" s="150" t="str">
        <f t="shared" si="329"/>
        <v/>
      </c>
      <c r="W1002" s="168" t="str">
        <f t="shared" si="330"/>
        <v/>
      </c>
      <c r="X1002" s="163" t="str">
        <f t="shared" si="317"/>
        <v/>
      </c>
      <c r="Y1002" s="152"/>
      <c r="Z1002" s="164" t="str">
        <f>IF(AND($C1001=12,$D1001=Input!$C$6),0,IF($E1002="","",V1002+Z1003/(1+L1002)*R1002))</f>
        <v/>
      </c>
      <c r="AA1002" s="164" t="str">
        <f>IF(OR($M1002=1,AND($C1001=12,$D1001=Input!$C$6)),0,IF($E1002="","",W1002+(X1002+AA1003*$R1002)/(1+$L1002)))</f>
        <v/>
      </c>
      <c r="AB1002" s="160" t="str">
        <f t="shared" si="318"/>
        <v/>
      </c>
      <c r="AC1002" s="164" t="str">
        <f t="shared" si="319"/>
        <v/>
      </c>
      <c r="AD1002" s="164" t="str">
        <f>IF(AND($C1001=12,$D1001=Input!$C$6),0,IF($E1002="","",$AC1002+AD1003/(1+$L1002)*$R1002))</f>
        <v/>
      </c>
      <c r="AE1002" s="152"/>
      <c r="AF1002" s="164" t="str">
        <f>IF(AND($C1001=12,$D1001=Input!$C$6),0,IF($E1002="","",IF($B1002&gt;Input!$C$9,$AC1002,0)+AF1003/(1+$L1002)*$R1002))</f>
        <v/>
      </c>
      <c r="AG1002" s="164" t="str">
        <f>IF(AND($C1001=12,$D1001=Input!$C$6),0,IF($E1002="","",(IF($B1002&gt;Input!$C$9,$X1002,0)+AG1003)/(1+$L1002)*$R1002))</f>
        <v/>
      </c>
      <c r="AH1002" s="160" t="str">
        <f t="shared" si="320"/>
        <v/>
      </c>
      <c r="AI1002" s="160" t="str">
        <f>IF($E1002="","",MIN(Input!$C$61/AH1002,1))</f>
        <v/>
      </c>
      <c r="AJ1002" s="152"/>
      <c r="AK1002" s="164" t="str">
        <f>IF(AND($C1001=12,$D1001=Input!$C$6),0,IF($E1002="","",IF($B1002&gt;Input!$C$9,$AC1002*AI1002,0)+AK1003/(1+$L1002)*$R1002))</f>
        <v/>
      </c>
      <c r="AL1002" s="164" t="str">
        <f>IF(AND($C1001=12,$D1001=Input!$C$6),0,IF($E1002="","",IF($B1002&gt;Input!$C$9,0,$AC1002)+AL1003/(1+$L1002)*$R1002))</f>
        <v/>
      </c>
      <c r="AM1002" s="160" t="str">
        <f t="shared" si="321"/>
        <v/>
      </c>
      <c r="AN1002" s="164" t="str">
        <f>IF($E1002="","",IF($B1002&gt;Input!$C$9,$AI1002*$AC1002,$AM1002*$AC1002))</f>
        <v/>
      </c>
      <c r="AO1002" s="164" t="str">
        <f>IF(AND($C1001=12,$D1001=Input!$C$6),0,IF($E1002="","",$AN1002+AO1003/(1+$L1002)*$R1002))</f>
        <v/>
      </c>
      <c r="AP1002" s="152"/>
      <c r="AQ1002" s="164" t="str">
        <f t="shared" si="322"/>
        <v/>
      </c>
      <c r="AR1002" s="164" t="str">
        <f t="shared" si="331"/>
        <v/>
      </c>
      <c r="AS1002" s="164" t="str">
        <f t="shared" si="332"/>
        <v/>
      </c>
      <c r="AT1002" s="164" t="str">
        <f t="shared" si="323"/>
        <v/>
      </c>
      <c r="AU1002" s="152"/>
      <c r="AV1002" s="147" t="str">
        <f>'Deterministic Reserve'!BC1002</f>
        <v/>
      </c>
      <c r="AW1002" s="164" t="str">
        <f t="shared" si="324"/>
        <v/>
      </c>
      <c r="AX1002" s="164" t="str">
        <f t="shared" si="325"/>
        <v/>
      </c>
      <c r="AY1002" s="152"/>
    </row>
    <row r="1003" spans="1:51" s="150" customFormat="1" x14ac:dyDescent="0.25">
      <c r="A1003" s="150" t="str">
        <f t="shared" si="333"/>
        <v/>
      </c>
      <c r="B1003" s="150" t="str">
        <f t="shared" si="334"/>
        <v/>
      </c>
      <c r="C1003" s="150" t="str">
        <f t="shared" si="335"/>
        <v/>
      </c>
      <c r="D1003" s="150" t="str">
        <f>IF(E1003="","",Input!$C$4+B1003-1)</f>
        <v/>
      </c>
      <c r="E1003" s="150" t="str">
        <f>IF(OR(AND(C1002=12,D1002=Input!$C$6),E1002=""),"",1)</f>
        <v/>
      </c>
      <c r="F1003" s="150" t="str">
        <f>IF(E1003="","",Input!$C$8+B1003-1)</f>
        <v/>
      </c>
      <c r="G1003" s="151" t="str">
        <f>IF(E1003="","",MAX(0,Input!$C$9-B1003))</f>
        <v/>
      </c>
      <c r="H1003" s="152" t="str">
        <f>IF(E1003="","",Input!$C$3)</f>
        <v/>
      </c>
      <c r="I1003" s="153" t="str">
        <f>IF(E1003="","",HLOOKUP($B1003,Input!$C$13:$BT$14,2))</f>
        <v/>
      </c>
      <c r="J1003" s="154"/>
      <c r="K1003" s="155" t="str">
        <f>IF($E1003="","",Input!$C$57)</f>
        <v/>
      </c>
      <c r="L1003" s="155" t="str">
        <f t="shared" si="326"/>
        <v/>
      </c>
      <c r="M1003" s="147" t="str">
        <f>IF($E1003="","",VLOOKUP(IF($B1003&lt;=Input!$C$7,$B1003,26),'Mortality Tables'!$A$72:$CA$97,IF($B1003&lt;=Input!$C$7+1,Input!$C$4-16,$D1003-Input!$C$7-16),0)/1000)</f>
        <v/>
      </c>
      <c r="N1003" s="147" t="str">
        <f t="shared" si="315"/>
        <v/>
      </c>
      <c r="O1003" s="157" t="str">
        <f>IF($E1003="","",IF($C1003=12,IF($B1003&lt;Input!$C$9,Input!$C$54,IF($B1003=Input!$C$9,Input!$C$55,Input!$C$56)),0%))</f>
        <v/>
      </c>
      <c r="P1003" s="167" t="str">
        <f>IF($E1003="","",IF($B1003=1,Input!$C$59,IF($B1003&lt;6,Input!$C$60,0%)))</f>
        <v/>
      </c>
      <c r="Q1003" s="162" t="str">
        <f>IF($E1003="","",Input!$C$58)</f>
        <v/>
      </c>
      <c r="R1003" s="156" t="str">
        <f t="shared" si="327"/>
        <v/>
      </c>
      <c r="S1003" s="154" t="str">
        <f t="shared" si="316"/>
        <v/>
      </c>
      <c r="T1003" s="152"/>
      <c r="U1003" s="150" t="str">
        <f t="shared" si="328"/>
        <v/>
      </c>
      <c r="V1003" s="150" t="str">
        <f t="shared" si="329"/>
        <v/>
      </c>
      <c r="W1003" s="168" t="str">
        <f t="shared" si="330"/>
        <v/>
      </c>
      <c r="X1003" s="163" t="str">
        <f t="shared" si="317"/>
        <v/>
      </c>
      <c r="Y1003" s="152"/>
      <c r="Z1003" s="164" t="str">
        <f>IF(AND($C1002=12,$D1002=Input!$C$6),0,IF($E1003="","",V1003+Z1004/(1+L1003)*R1003))</f>
        <v/>
      </c>
      <c r="AA1003" s="164" t="str">
        <f>IF(OR($M1003=1,AND($C1002=12,$D1002=Input!$C$6)),0,IF($E1003="","",W1003+(X1003+AA1004*$R1003)/(1+$L1003)))</f>
        <v/>
      </c>
      <c r="AB1003" s="160" t="str">
        <f t="shared" si="318"/>
        <v/>
      </c>
      <c r="AC1003" s="164" t="str">
        <f t="shared" si="319"/>
        <v/>
      </c>
      <c r="AD1003" s="164" t="str">
        <f>IF(AND($C1002=12,$D1002=Input!$C$6),0,IF($E1003="","",$AC1003+AD1004/(1+$L1003)*$R1003))</f>
        <v/>
      </c>
      <c r="AE1003" s="152"/>
      <c r="AF1003" s="164" t="str">
        <f>IF(AND($C1002=12,$D1002=Input!$C$6),0,IF($E1003="","",IF($B1003&gt;Input!$C$9,$AC1003,0)+AF1004/(1+$L1003)*$R1003))</f>
        <v/>
      </c>
      <c r="AG1003" s="164" t="str">
        <f>IF(AND($C1002=12,$D1002=Input!$C$6),0,IF($E1003="","",(IF($B1003&gt;Input!$C$9,$X1003,0)+AG1004)/(1+$L1003)*$R1003))</f>
        <v/>
      </c>
      <c r="AH1003" s="160" t="str">
        <f t="shared" si="320"/>
        <v/>
      </c>
      <c r="AI1003" s="160" t="str">
        <f>IF($E1003="","",MIN(Input!$C$61/AH1003,1))</f>
        <v/>
      </c>
      <c r="AJ1003" s="152"/>
      <c r="AK1003" s="164" t="str">
        <f>IF(AND($C1002=12,$D1002=Input!$C$6),0,IF($E1003="","",IF($B1003&gt;Input!$C$9,$AC1003*AI1003,0)+AK1004/(1+$L1003)*$R1003))</f>
        <v/>
      </c>
      <c r="AL1003" s="164" t="str">
        <f>IF(AND($C1002=12,$D1002=Input!$C$6),0,IF($E1003="","",IF($B1003&gt;Input!$C$9,0,$AC1003)+AL1004/(1+$L1003)*$R1003))</f>
        <v/>
      </c>
      <c r="AM1003" s="160" t="str">
        <f t="shared" si="321"/>
        <v/>
      </c>
      <c r="AN1003" s="164" t="str">
        <f>IF($E1003="","",IF($B1003&gt;Input!$C$9,$AI1003*$AC1003,$AM1003*$AC1003))</f>
        <v/>
      </c>
      <c r="AO1003" s="164" t="str">
        <f>IF(AND($C1002=12,$D1002=Input!$C$6),0,IF($E1003="","",$AN1003+AO1004/(1+$L1003)*$R1003))</f>
        <v/>
      </c>
      <c r="AP1003" s="152"/>
      <c r="AQ1003" s="164" t="str">
        <f t="shared" si="322"/>
        <v/>
      </c>
      <c r="AR1003" s="164" t="str">
        <f t="shared" si="331"/>
        <v/>
      </c>
      <c r="AS1003" s="164" t="str">
        <f t="shared" si="332"/>
        <v/>
      </c>
      <c r="AT1003" s="164" t="str">
        <f t="shared" si="323"/>
        <v/>
      </c>
      <c r="AU1003" s="152"/>
      <c r="AV1003" s="147" t="str">
        <f>'Deterministic Reserve'!BC1003</f>
        <v/>
      </c>
      <c r="AW1003" s="164" t="str">
        <f t="shared" si="324"/>
        <v/>
      </c>
      <c r="AX1003" s="164" t="str">
        <f t="shared" si="325"/>
        <v/>
      </c>
      <c r="AY1003" s="152"/>
    </row>
    <row r="1004" spans="1:51" s="150" customFormat="1" x14ac:dyDescent="0.25">
      <c r="A1004" s="150" t="str">
        <f t="shared" si="333"/>
        <v/>
      </c>
      <c r="B1004" s="150" t="str">
        <f t="shared" si="334"/>
        <v/>
      </c>
      <c r="C1004" s="150" t="str">
        <f t="shared" si="335"/>
        <v/>
      </c>
      <c r="D1004" s="150" t="str">
        <f>IF(E1004="","",Input!$C$4+B1004-1)</f>
        <v/>
      </c>
      <c r="E1004" s="150" t="str">
        <f>IF(OR(AND(C1003=12,D1003=Input!$C$6),E1003=""),"",1)</f>
        <v/>
      </c>
      <c r="F1004" s="150" t="str">
        <f>IF(E1004="","",Input!$C$8+B1004-1)</f>
        <v/>
      </c>
      <c r="G1004" s="151" t="str">
        <f>IF(E1004="","",MAX(0,Input!$C$9-B1004))</f>
        <v/>
      </c>
      <c r="H1004" s="152" t="str">
        <f>IF(E1004="","",Input!$C$3)</f>
        <v/>
      </c>
      <c r="I1004" s="153" t="str">
        <f>IF(E1004="","",HLOOKUP($B1004,Input!$C$13:$BT$14,2))</f>
        <v/>
      </c>
      <c r="J1004" s="154"/>
      <c r="K1004" s="155" t="str">
        <f>IF($E1004="","",Input!$C$57)</f>
        <v/>
      </c>
      <c r="L1004" s="155" t="str">
        <f t="shared" si="326"/>
        <v/>
      </c>
      <c r="M1004" s="147" t="str">
        <f>IF($E1004="","",VLOOKUP(IF($B1004&lt;=Input!$C$7,$B1004,26),'Mortality Tables'!$A$72:$CA$97,IF($B1004&lt;=Input!$C$7+1,Input!$C$4-16,$D1004-Input!$C$7-16),0)/1000)</f>
        <v/>
      </c>
      <c r="N1004" s="147" t="str">
        <f t="shared" si="315"/>
        <v/>
      </c>
      <c r="O1004" s="157" t="str">
        <f>IF($E1004="","",IF($C1004=12,IF($B1004&lt;Input!$C$9,Input!$C$54,IF($B1004=Input!$C$9,Input!$C$55,Input!$C$56)),0%))</f>
        <v/>
      </c>
      <c r="P1004" s="167" t="str">
        <f>IF($E1004="","",IF($B1004=1,Input!$C$59,IF($B1004&lt;6,Input!$C$60,0%)))</f>
        <v/>
      </c>
      <c r="Q1004" s="162" t="str">
        <f>IF($E1004="","",Input!$C$58)</f>
        <v/>
      </c>
      <c r="R1004" s="156" t="str">
        <f t="shared" si="327"/>
        <v/>
      </c>
      <c r="S1004" s="154" t="str">
        <f t="shared" si="316"/>
        <v/>
      </c>
      <c r="T1004" s="152"/>
      <c r="U1004" s="150" t="str">
        <f t="shared" si="328"/>
        <v/>
      </c>
      <c r="V1004" s="150" t="str">
        <f t="shared" si="329"/>
        <v/>
      </c>
      <c r="W1004" s="168" t="str">
        <f t="shared" si="330"/>
        <v/>
      </c>
      <c r="X1004" s="163" t="str">
        <f t="shared" si="317"/>
        <v/>
      </c>
      <c r="Y1004" s="152"/>
      <c r="Z1004" s="164" t="str">
        <f>IF(AND($C1003=12,$D1003=Input!$C$6),0,IF($E1004="","",V1004+Z1005/(1+L1004)*R1004))</f>
        <v/>
      </c>
      <c r="AA1004" s="164" t="str">
        <f>IF(OR($M1004=1,AND($C1003=12,$D1003=Input!$C$6)),0,IF($E1004="","",W1004+(X1004+AA1005*$R1004)/(1+$L1004)))</f>
        <v/>
      </c>
      <c r="AB1004" s="160" t="str">
        <f t="shared" si="318"/>
        <v/>
      </c>
      <c r="AC1004" s="164" t="str">
        <f t="shared" si="319"/>
        <v/>
      </c>
      <c r="AD1004" s="164" t="str">
        <f>IF(AND($C1003=12,$D1003=Input!$C$6),0,IF($E1004="","",$AC1004+AD1005/(1+$L1004)*$R1004))</f>
        <v/>
      </c>
      <c r="AE1004" s="152"/>
      <c r="AF1004" s="164" t="str">
        <f>IF(AND($C1003=12,$D1003=Input!$C$6),0,IF($E1004="","",IF($B1004&gt;Input!$C$9,$AC1004,0)+AF1005/(1+$L1004)*$R1004))</f>
        <v/>
      </c>
      <c r="AG1004" s="164" t="str">
        <f>IF(AND($C1003=12,$D1003=Input!$C$6),0,IF($E1004="","",(IF($B1004&gt;Input!$C$9,$X1004,0)+AG1005)/(1+$L1004)*$R1004))</f>
        <v/>
      </c>
      <c r="AH1004" s="160" t="str">
        <f t="shared" si="320"/>
        <v/>
      </c>
      <c r="AI1004" s="160" t="str">
        <f>IF($E1004="","",MIN(Input!$C$61/AH1004,1))</f>
        <v/>
      </c>
      <c r="AJ1004" s="152"/>
      <c r="AK1004" s="164" t="str">
        <f>IF(AND($C1003=12,$D1003=Input!$C$6),0,IF($E1004="","",IF($B1004&gt;Input!$C$9,$AC1004*AI1004,0)+AK1005/(1+$L1004)*$R1004))</f>
        <v/>
      </c>
      <c r="AL1004" s="164" t="str">
        <f>IF(AND($C1003=12,$D1003=Input!$C$6),0,IF($E1004="","",IF($B1004&gt;Input!$C$9,0,$AC1004)+AL1005/(1+$L1004)*$R1004))</f>
        <v/>
      </c>
      <c r="AM1004" s="160" t="str">
        <f t="shared" si="321"/>
        <v/>
      </c>
      <c r="AN1004" s="164" t="str">
        <f>IF($E1004="","",IF($B1004&gt;Input!$C$9,$AI1004*$AC1004,$AM1004*$AC1004))</f>
        <v/>
      </c>
      <c r="AO1004" s="164" t="str">
        <f>IF(AND($C1003=12,$D1003=Input!$C$6),0,IF($E1004="","",$AN1004+AO1005/(1+$L1004)*$R1004))</f>
        <v/>
      </c>
      <c r="AP1004" s="152"/>
      <c r="AQ1004" s="164" t="str">
        <f t="shared" si="322"/>
        <v/>
      </c>
      <c r="AR1004" s="164" t="str">
        <f t="shared" si="331"/>
        <v/>
      </c>
      <c r="AS1004" s="164" t="str">
        <f t="shared" si="332"/>
        <v/>
      </c>
      <c r="AT1004" s="164" t="str">
        <f t="shared" si="323"/>
        <v/>
      </c>
      <c r="AU1004" s="152"/>
      <c r="AV1004" s="147" t="str">
        <f>'Deterministic Reserve'!BC1004</f>
        <v/>
      </c>
      <c r="AW1004" s="164" t="str">
        <f t="shared" si="324"/>
        <v/>
      </c>
      <c r="AX1004" s="164" t="str">
        <f t="shared" si="325"/>
        <v/>
      </c>
      <c r="AY1004" s="152"/>
    </row>
    <row r="1005" spans="1:51" s="150" customFormat="1" x14ac:dyDescent="0.25">
      <c r="A1005" s="150" t="str">
        <f t="shared" si="333"/>
        <v/>
      </c>
      <c r="B1005" s="150" t="str">
        <f t="shared" si="334"/>
        <v/>
      </c>
      <c r="C1005" s="150" t="str">
        <f t="shared" si="335"/>
        <v/>
      </c>
      <c r="D1005" s="150" t="str">
        <f>IF(E1005="","",Input!$C$4+B1005-1)</f>
        <v/>
      </c>
      <c r="E1005" s="150" t="str">
        <f>IF(OR(AND(C1004=12,D1004=Input!$C$6),E1004=""),"",1)</f>
        <v/>
      </c>
      <c r="F1005" s="150" t="str">
        <f>IF(E1005="","",Input!$C$8+B1005-1)</f>
        <v/>
      </c>
      <c r="G1005" s="151" t="str">
        <f>IF(E1005="","",MAX(0,Input!$C$9-B1005))</f>
        <v/>
      </c>
      <c r="H1005" s="152" t="str">
        <f>IF(E1005="","",Input!$C$3)</f>
        <v/>
      </c>
      <c r="I1005" s="153" t="str">
        <f>IF(E1005="","",HLOOKUP($B1005,Input!$C$13:$BT$14,2))</f>
        <v/>
      </c>
      <c r="J1005" s="154"/>
      <c r="K1005" s="155" t="str">
        <f>IF($E1005="","",Input!$C$57)</f>
        <v/>
      </c>
      <c r="L1005" s="155" t="str">
        <f t="shared" si="326"/>
        <v/>
      </c>
      <c r="M1005" s="147" t="str">
        <f>IF($E1005="","",VLOOKUP(IF($B1005&lt;=Input!$C$7,$B1005,26),'Mortality Tables'!$A$72:$CA$97,IF($B1005&lt;=Input!$C$7+1,Input!$C$4-16,$D1005-Input!$C$7-16),0)/1000)</f>
        <v/>
      </c>
      <c r="N1005" s="147" t="str">
        <f t="shared" si="315"/>
        <v/>
      </c>
      <c r="O1005" s="157" t="str">
        <f>IF($E1005="","",IF($C1005=12,IF($B1005&lt;Input!$C$9,Input!$C$54,IF($B1005=Input!$C$9,Input!$C$55,Input!$C$56)),0%))</f>
        <v/>
      </c>
      <c r="P1005" s="167" t="str">
        <f>IF($E1005="","",IF($B1005=1,Input!$C$59,IF($B1005&lt;6,Input!$C$60,0%)))</f>
        <v/>
      </c>
      <c r="Q1005" s="162" t="str">
        <f>IF($E1005="","",Input!$C$58)</f>
        <v/>
      </c>
      <c r="R1005" s="156" t="str">
        <f t="shared" si="327"/>
        <v/>
      </c>
      <c r="S1005" s="154" t="str">
        <f t="shared" si="316"/>
        <v/>
      </c>
      <c r="T1005" s="152"/>
      <c r="U1005" s="150" t="str">
        <f t="shared" si="328"/>
        <v/>
      </c>
      <c r="V1005" s="150" t="str">
        <f t="shared" si="329"/>
        <v/>
      </c>
      <c r="W1005" s="168" t="str">
        <f t="shared" si="330"/>
        <v/>
      </c>
      <c r="X1005" s="163" t="str">
        <f t="shared" si="317"/>
        <v/>
      </c>
      <c r="Y1005" s="152"/>
      <c r="Z1005" s="164" t="str">
        <f>IF(AND($C1004=12,$D1004=Input!$C$6),0,IF($E1005="","",V1005+Z1006/(1+L1005)*R1005))</f>
        <v/>
      </c>
      <c r="AA1005" s="164" t="str">
        <f>IF(OR($M1005=1,AND($C1004=12,$D1004=Input!$C$6)),0,IF($E1005="","",W1005+(X1005+AA1006*$R1005)/(1+$L1005)))</f>
        <v/>
      </c>
      <c r="AB1005" s="160" t="str">
        <f t="shared" si="318"/>
        <v/>
      </c>
      <c r="AC1005" s="164" t="str">
        <f t="shared" si="319"/>
        <v/>
      </c>
      <c r="AD1005" s="164" t="str">
        <f>IF(AND($C1004=12,$D1004=Input!$C$6),0,IF($E1005="","",$AC1005+AD1006/(1+$L1005)*$R1005))</f>
        <v/>
      </c>
      <c r="AE1005" s="152"/>
      <c r="AF1005" s="164" t="str">
        <f>IF(AND($C1004=12,$D1004=Input!$C$6),0,IF($E1005="","",IF($B1005&gt;Input!$C$9,$AC1005,0)+AF1006/(1+$L1005)*$R1005))</f>
        <v/>
      </c>
      <c r="AG1005" s="164" t="str">
        <f>IF(AND($C1004=12,$D1004=Input!$C$6),0,IF($E1005="","",(IF($B1005&gt;Input!$C$9,$X1005,0)+AG1006)/(1+$L1005)*$R1005))</f>
        <v/>
      </c>
      <c r="AH1005" s="160" t="str">
        <f t="shared" si="320"/>
        <v/>
      </c>
      <c r="AI1005" s="160" t="str">
        <f>IF($E1005="","",MIN(Input!$C$61/AH1005,1))</f>
        <v/>
      </c>
      <c r="AJ1005" s="152"/>
      <c r="AK1005" s="164" t="str">
        <f>IF(AND($C1004=12,$D1004=Input!$C$6),0,IF($E1005="","",IF($B1005&gt;Input!$C$9,$AC1005*AI1005,0)+AK1006/(1+$L1005)*$R1005))</f>
        <v/>
      </c>
      <c r="AL1005" s="164" t="str">
        <f>IF(AND($C1004=12,$D1004=Input!$C$6),0,IF($E1005="","",IF($B1005&gt;Input!$C$9,0,$AC1005)+AL1006/(1+$L1005)*$R1005))</f>
        <v/>
      </c>
      <c r="AM1005" s="160" t="str">
        <f t="shared" si="321"/>
        <v/>
      </c>
      <c r="AN1005" s="164" t="str">
        <f>IF($E1005="","",IF($B1005&gt;Input!$C$9,$AI1005*$AC1005,$AM1005*$AC1005))</f>
        <v/>
      </c>
      <c r="AO1005" s="164" t="str">
        <f>IF(AND($C1004=12,$D1004=Input!$C$6),0,IF($E1005="","",$AN1005+AO1006/(1+$L1005)*$R1005))</f>
        <v/>
      </c>
      <c r="AP1005" s="152"/>
      <c r="AQ1005" s="164" t="str">
        <f t="shared" si="322"/>
        <v/>
      </c>
      <c r="AR1005" s="164" t="str">
        <f t="shared" si="331"/>
        <v/>
      </c>
      <c r="AS1005" s="164" t="str">
        <f t="shared" si="332"/>
        <v/>
      </c>
      <c r="AT1005" s="164" t="str">
        <f t="shared" si="323"/>
        <v/>
      </c>
      <c r="AU1005" s="152"/>
      <c r="AV1005" s="147" t="str">
        <f>'Deterministic Reserve'!BC1005</f>
        <v/>
      </c>
      <c r="AW1005" s="164" t="str">
        <f t="shared" si="324"/>
        <v/>
      </c>
      <c r="AX1005" s="164" t="str">
        <f t="shared" si="325"/>
        <v/>
      </c>
      <c r="AY1005" s="152"/>
    </row>
    <row r="1006" spans="1:51" s="150" customFormat="1" x14ac:dyDescent="0.25">
      <c r="A1006" s="150" t="str">
        <f t="shared" si="333"/>
        <v/>
      </c>
      <c r="B1006" s="150" t="str">
        <f t="shared" si="334"/>
        <v/>
      </c>
      <c r="C1006" s="150" t="str">
        <f t="shared" si="335"/>
        <v/>
      </c>
      <c r="D1006" s="150" t="str">
        <f>IF(E1006="","",Input!$C$4+B1006-1)</f>
        <v/>
      </c>
      <c r="E1006" s="150" t="str">
        <f>IF(OR(AND(C1005=12,D1005=Input!$C$6),E1005=""),"",1)</f>
        <v/>
      </c>
      <c r="F1006" s="150" t="str">
        <f>IF(E1006="","",Input!$C$8+B1006-1)</f>
        <v/>
      </c>
      <c r="G1006" s="151" t="str">
        <f>IF(E1006="","",MAX(0,Input!$C$9-B1006))</f>
        <v/>
      </c>
      <c r="H1006" s="152" t="str">
        <f>IF(E1006="","",Input!$C$3)</f>
        <v/>
      </c>
      <c r="I1006" s="153" t="str">
        <f>IF(E1006="","",HLOOKUP($B1006,Input!$C$13:$BT$14,2))</f>
        <v/>
      </c>
      <c r="J1006" s="154"/>
      <c r="K1006" s="155" t="str">
        <f>IF($E1006="","",Input!$C$57)</f>
        <v/>
      </c>
      <c r="L1006" s="155" t="str">
        <f t="shared" si="326"/>
        <v/>
      </c>
      <c r="M1006" s="147" t="str">
        <f>IF($E1006="","",VLOOKUP(IF($B1006&lt;=Input!$C$7,$B1006,26),'Mortality Tables'!$A$72:$CA$97,IF($B1006&lt;=Input!$C$7+1,Input!$C$4-16,$D1006-Input!$C$7-16),0)/1000)</f>
        <v/>
      </c>
      <c r="N1006" s="147" t="str">
        <f t="shared" si="315"/>
        <v/>
      </c>
      <c r="O1006" s="157" t="str">
        <f>IF($E1006="","",IF($C1006=12,IF($B1006&lt;Input!$C$9,Input!$C$54,IF($B1006=Input!$C$9,Input!$C$55,Input!$C$56)),0%))</f>
        <v/>
      </c>
      <c r="P1006" s="167" t="str">
        <f>IF($E1006="","",IF($B1006=1,Input!$C$59,IF($B1006&lt;6,Input!$C$60,0%)))</f>
        <v/>
      </c>
      <c r="Q1006" s="162" t="str">
        <f>IF($E1006="","",Input!$C$58)</f>
        <v/>
      </c>
      <c r="R1006" s="156" t="str">
        <f t="shared" si="327"/>
        <v/>
      </c>
      <c r="S1006" s="154" t="str">
        <f t="shared" si="316"/>
        <v/>
      </c>
      <c r="T1006" s="152"/>
      <c r="U1006" s="150" t="str">
        <f t="shared" si="328"/>
        <v/>
      </c>
      <c r="V1006" s="150" t="str">
        <f t="shared" si="329"/>
        <v/>
      </c>
      <c r="W1006" s="168" t="str">
        <f t="shared" si="330"/>
        <v/>
      </c>
      <c r="X1006" s="163" t="str">
        <f t="shared" si="317"/>
        <v/>
      </c>
      <c r="Y1006" s="152"/>
      <c r="Z1006" s="164" t="str">
        <f>IF(AND($C1005=12,$D1005=Input!$C$6),0,IF($E1006="","",V1006+Z1007/(1+L1006)*R1006))</f>
        <v/>
      </c>
      <c r="AA1006" s="164" t="str">
        <f>IF(OR($M1006=1,AND($C1005=12,$D1005=Input!$C$6)),0,IF($E1006="","",W1006+(X1006+AA1007*$R1006)/(1+$L1006)))</f>
        <v/>
      </c>
      <c r="AB1006" s="160" t="str">
        <f t="shared" si="318"/>
        <v/>
      </c>
      <c r="AC1006" s="164" t="str">
        <f t="shared" si="319"/>
        <v/>
      </c>
      <c r="AD1006" s="164" t="str">
        <f>IF(AND($C1005=12,$D1005=Input!$C$6),0,IF($E1006="","",$AC1006+AD1007/(1+$L1006)*$R1006))</f>
        <v/>
      </c>
      <c r="AE1006" s="152"/>
      <c r="AF1006" s="164" t="str">
        <f>IF(AND($C1005=12,$D1005=Input!$C$6),0,IF($E1006="","",IF($B1006&gt;Input!$C$9,$AC1006,0)+AF1007/(1+$L1006)*$R1006))</f>
        <v/>
      </c>
      <c r="AG1006" s="164" t="str">
        <f>IF(AND($C1005=12,$D1005=Input!$C$6),0,IF($E1006="","",(IF($B1006&gt;Input!$C$9,$X1006,0)+AG1007)/(1+$L1006)*$R1006))</f>
        <v/>
      </c>
      <c r="AH1006" s="160" t="str">
        <f t="shared" si="320"/>
        <v/>
      </c>
      <c r="AI1006" s="160" t="str">
        <f>IF($E1006="","",MIN(Input!$C$61/AH1006,1))</f>
        <v/>
      </c>
      <c r="AJ1006" s="152"/>
      <c r="AK1006" s="164" t="str">
        <f>IF(AND($C1005=12,$D1005=Input!$C$6),0,IF($E1006="","",IF($B1006&gt;Input!$C$9,$AC1006*AI1006,0)+AK1007/(1+$L1006)*$R1006))</f>
        <v/>
      </c>
      <c r="AL1006" s="164" t="str">
        <f>IF(AND($C1005=12,$D1005=Input!$C$6),0,IF($E1006="","",IF($B1006&gt;Input!$C$9,0,$AC1006)+AL1007/(1+$L1006)*$R1006))</f>
        <v/>
      </c>
      <c r="AM1006" s="160" t="str">
        <f t="shared" si="321"/>
        <v/>
      </c>
      <c r="AN1006" s="164" t="str">
        <f>IF($E1006="","",IF($B1006&gt;Input!$C$9,$AI1006*$AC1006,$AM1006*$AC1006))</f>
        <v/>
      </c>
      <c r="AO1006" s="164" t="str">
        <f>IF(AND($C1005=12,$D1005=Input!$C$6),0,IF($E1006="","",$AN1006+AO1007/(1+$L1006)*$R1006))</f>
        <v/>
      </c>
      <c r="AP1006" s="152"/>
      <c r="AQ1006" s="164" t="str">
        <f t="shared" si="322"/>
        <v/>
      </c>
      <c r="AR1006" s="164" t="str">
        <f t="shared" si="331"/>
        <v/>
      </c>
      <c r="AS1006" s="164" t="str">
        <f t="shared" si="332"/>
        <v/>
      </c>
      <c r="AT1006" s="164" t="str">
        <f t="shared" si="323"/>
        <v/>
      </c>
      <c r="AU1006" s="152"/>
      <c r="AV1006" s="147" t="str">
        <f>'Deterministic Reserve'!BC1006</f>
        <v/>
      </c>
      <c r="AW1006" s="164" t="str">
        <f t="shared" si="324"/>
        <v/>
      </c>
      <c r="AX1006" s="164" t="str">
        <f t="shared" si="325"/>
        <v/>
      </c>
      <c r="AY1006" s="152"/>
    </row>
    <row r="1007" spans="1:51" s="150" customFormat="1" x14ac:dyDescent="0.25">
      <c r="A1007" s="150" t="str">
        <f t="shared" si="333"/>
        <v/>
      </c>
      <c r="B1007" s="150" t="str">
        <f t="shared" si="334"/>
        <v/>
      </c>
      <c r="C1007" s="150" t="str">
        <f t="shared" si="335"/>
        <v/>
      </c>
      <c r="D1007" s="150" t="str">
        <f>IF(E1007="","",Input!$C$4+B1007-1)</f>
        <v/>
      </c>
      <c r="E1007" s="150" t="str">
        <f>IF(OR(AND(C1006=12,D1006=Input!$C$6),E1006=""),"",1)</f>
        <v/>
      </c>
      <c r="F1007" s="150" t="str">
        <f>IF(E1007="","",Input!$C$8+B1007-1)</f>
        <v/>
      </c>
      <c r="G1007" s="151" t="str">
        <f>IF(E1007="","",MAX(0,Input!$C$9-B1007))</f>
        <v/>
      </c>
      <c r="H1007" s="152" t="str">
        <f>IF(E1007="","",Input!$C$3)</f>
        <v/>
      </c>
      <c r="I1007" s="153" t="str">
        <f>IF(E1007="","",HLOOKUP($B1007,Input!$C$13:$BT$14,2))</f>
        <v/>
      </c>
      <c r="J1007" s="154"/>
      <c r="K1007" s="155" t="str">
        <f>IF($E1007="","",Input!$C$57)</f>
        <v/>
      </c>
      <c r="L1007" s="155" t="str">
        <f t="shared" si="326"/>
        <v/>
      </c>
      <c r="M1007" s="147" t="str">
        <f>IF($E1007="","",VLOOKUP(IF($B1007&lt;=Input!$C$7,$B1007,26),'Mortality Tables'!$A$72:$CA$97,IF($B1007&lt;=Input!$C$7+1,Input!$C$4-16,$D1007-Input!$C$7-16),0)/1000)</f>
        <v/>
      </c>
      <c r="N1007" s="147" t="str">
        <f t="shared" si="315"/>
        <v/>
      </c>
      <c r="O1007" s="157" t="str">
        <f>IF($E1007="","",IF($C1007=12,IF($B1007&lt;Input!$C$9,Input!$C$54,IF($B1007=Input!$C$9,Input!$C$55,Input!$C$56)),0%))</f>
        <v/>
      </c>
      <c r="P1007" s="167" t="str">
        <f>IF($E1007="","",IF($B1007=1,Input!$C$59,IF($B1007&lt;6,Input!$C$60,0%)))</f>
        <v/>
      </c>
      <c r="Q1007" s="162" t="str">
        <f>IF($E1007="","",Input!$C$58)</f>
        <v/>
      </c>
      <c r="R1007" s="156" t="str">
        <f t="shared" si="327"/>
        <v/>
      </c>
      <c r="S1007" s="154" t="str">
        <f t="shared" si="316"/>
        <v/>
      </c>
      <c r="T1007" s="152"/>
      <c r="U1007" s="150" t="str">
        <f t="shared" si="328"/>
        <v/>
      </c>
      <c r="V1007" s="150" t="str">
        <f t="shared" si="329"/>
        <v/>
      </c>
      <c r="W1007" s="168" t="str">
        <f t="shared" si="330"/>
        <v/>
      </c>
      <c r="X1007" s="163" t="str">
        <f t="shared" si="317"/>
        <v/>
      </c>
      <c r="Y1007" s="152"/>
      <c r="Z1007" s="164" t="str">
        <f>IF(AND($C1006=12,$D1006=Input!$C$6),0,IF($E1007="","",V1007+Z1008/(1+L1007)*R1007))</f>
        <v/>
      </c>
      <c r="AA1007" s="164" t="str">
        <f>IF(OR($M1007=1,AND($C1006=12,$D1006=Input!$C$6)),0,IF($E1007="","",W1007+(X1007+AA1008*$R1007)/(1+$L1007)))</f>
        <v/>
      </c>
      <c r="AB1007" s="160" t="str">
        <f t="shared" si="318"/>
        <v/>
      </c>
      <c r="AC1007" s="164" t="str">
        <f t="shared" si="319"/>
        <v/>
      </c>
      <c r="AD1007" s="164" t="str">
        <f>IF(AND($C1006=12,$D1006=Input!$C$6),0,IF($E1007="","",$AC1007+AD1008/(1+$L1007)*$R1007))</f>
        <v/>
      </c>
      <c r="AE1007" s="152"/>
      <c r="AF1007" s="164" t="str">
        <f>IF(AND($C1006=12,$D1006=Input!$C$6),0,IF($E1007="","",IF($B1007&gt;Input!$C$9,$AC1007,0)+AF1008/(1+$L1007)*$R1007))</f>
        <v/>
      </c>
      <c r="AG1007" s="164" t="str">
        <f>IF(AND($C1006=12,$D1006=Input!$C$6),0,IF($E1007="","",(IF($B1007&gt;Input!$C$9,$X1007,0)+AG1008)/(1+$L1007)*$R1007))</f>
        <v/>
      </c>
      <c r="AH1007" s="160" t="str">
        <f t="shared" si="320"/>
        <v/>
      </c>
      <c r="AI1007" s="160" t="str">
        <f>IF($E1007="","",MIN(Input!$C$61/AH1007,1))</f>
        <v/>
      </c>
      <c r="AJ1007" s="152"/>
      <c r="AK1007" s="164" t="str">
        <f>IF(AND($C1006=12,$D1006=Input!$C$6),0,IF($E1007="","",IF($B1007&gt;Input!$C$9,$AC1007*AI1007,0)+AK1008/(1+$L1007)*$R1007))</f>
        <v/>
      </c>
      <c r="AL1007" s="164" t="str">
        <f>IF(AND($C1006=12,$D1006=Input!$C$6),0,IF($E1007="","",IF($B1007&gt;Input!$C$9,0,$AC1007)+AL1008/(1+$L1007)*$R1007))</f>
        <v/>
      </c>
      <c r="AM1007" s="160" t="str">
        <f t="shared" si="321"/>
        <v/>
      </c>
      <c r="AN1007" s="164" t="str">
        <f>IF($E1007="","",IF($B1007&gt;Input!$C$9,$AI1007*$AC1007,$AM1007*$AC1007))</f>
        <v/>
      </c>
      <c r="AO1007" s="164" t="str">
        <f>IF(AND($C1006=12,$D1006=Input!$C$6),0,IF($E1007="","",$AN1007+AO1008/(1+$L1007)*$R1007))</f>
        <v/>
      </c>
      <c r="AP1007" s="152"/>
      <c r="AQ1007" s="164" t="str">
        <f t="shared" si="322"/>
        <v/>
      </c>
      <c r="AR1007" s="164" t="str">
        <f t="shared" si="331"/>
        <v/>
      </c>
      <c r="AS1007" s="164" t="str">
        <f t="shared" si="332"/>
        <v/>
      </c>
      <c r="AT1007" s="164" t="str">
        <f t="shared" si="323"/>
        <v/>
      </c>
      <c r="AU1007" s="152"/>
      <c r="AV1007" s="147" t="str">
        <f>'Deterministic Reserve'!BC1007</f>
        <v/>
      </c>
      <c r="AW1007" s="164" t="str">
        <f t="shared" si="324"/>
        <v/>
      </c>
      <c r="AX1007" s="164" t="str">
        <f t="shared" si="325"/>
        <v/>
      </c>
      <c r="AY1007" s="152"/>
    </row>
    <row r="1008" spans="1:51" s="150" customFormat="1" x14ac:dyDescent="0.25">
      <c r="A1008" s="150" t="str">
        <f t="shared" si="333"/>
        <v/>
      </c>
      <c r="B1008" s="150" t="str">
        <f t="shared" si="334"/>
        <v/>
      </c>
      <c r="C1008" s="150" t="str">
        <f t="shared" si="335"/>
        <v/>
      </c>
      <c r="D1008" s="150" t="str">
        <f>IF(E1008="","",Input!$C$4+B1008-1)</f>
        <v/>
      </c>
      <c r="E1008" s="150" t="str">
        <f>IF(OR(AND(C1007=12,D1007=Input!$C$6),E1007=""),"",1)</f>
        <v/>
      </c>
      <c r="F1008" s="150" t="str">
        <f>IF(E1008="","",Input!$C$8+B1008-1)</f>
        <v/>
      </c>
      <c r="G1008" s="151" t="str">
        <f>IF(E1008="","",MAX(0,Input!$C$9-B1008))</f>
        <v/>
      </c>
      <c r="H1008" s="152" t="str">
        <f>IF(E1008="","",Input!$C$3)</f>
        <v/>
      </c>
      <c r="I1008" s="153" t="str">
        <f>IF(E1008="","",HLOOKUP($B1008,Input!$C$13:$BT$14,2))</f>
        <v/>
      </c>
      <c r="J1008" s="154"/>
      <c r="K1008" s="155" t="str">
        <f>IF($E1008="","",Input!$C$57)</f>
        <v/>
      </c>
      <c r="L1008" s="155" t="str">
        <f t="shared" si="326"/>
        <v/>
      </c>
      <c r="M1008" s="147" t="str">
        <f>IF($E1008="","",VLOOKUP(IF($B1008&lt;=Input!$C$7,$B1008,26),'Mortality Tables'!$A$72:$CA$97,IF($B1008&lt;=Input!$C$7+1,Input!$C$4-16,$D1008-Input!$C$7-16),0)/1000)</f>
        <v/>
      </c>
      <c r="N1008" s="147" t="str">
        <f t="shared" si="315"/>
        <v/>
      </c>
      <c r="O1008" s="157" t="str">
        <f>IF($E1008="","",IF($C1008=12,IF($B1008&lt;Input!$C$9,Input!$C$54,IF($B1008=Input!$C$9,Input!$C$55,Input!$C$56)),0%))</f>
        <v/>
      </c>
      <c r="P1008" s="167" t="str">
        <f>IF($E1008="","",IF($B1008=1,Input!$C$59,IF($B1008&lt;6,Input!$C$60,0%)))</f>
        <v/>
      </c>
      <c r="Q1008" s="162" t="str">
        <f>IF($E1008="","",Input!$C$58)</f>
        <v/>
      </c>
      <c r="R1008" s="156" t="str">
        <f t="shared" si="327"/>
        <v/>
      </c>
      <c r="S1008" s="154" t="str">
        <f t="shared" si="316"/>
        <v/>
      </c>
      <c r="T1008" s="152"/>
      <c r="U1008" s="150" t="str">
        <f t="shared" si="328"/>
        <v/>
      </c>
      <c r="V1008" s="150" t="str">
        <f t="shared" si="329"/>
        <v/>
      </c>
      <c r="W1008" s="168" t="str">
        <f t="shared" si="330"/>
        <v/>
      </c>
      <c r="X1008" s="163" t="str">
        <f t="shared" si="317"/>
        <v/>
      </c>
      <c r="Y1008" s="152"/>
      <c r="Z1008" s="164" t="str">
        <f>IF(AND($C1007=12,$D1007=Input!$C$6),0,IF($E1008="","",V1008+Z1009/(1+L1008)*R1008))</f>
        <v/>
      </c>
      <c r="AA1008" s="164" t="str">
        <f>IF(OR($M1008=1,AND($C1007=12,$D1007=Input!$C$6)),0,IF($E1008="","",W1008+(X1008+AA1009*$R1008)/(1+$L1008)))</f>
        <v/>
      </c>
      <c r="AB1008" s="160" t="str">
        <f t="shared" si="318"/>
        <v/>
      </c>
      <c r="AC1008" s="164" t="str">
        <f t="shared" si="319"/>
        <v/>
      </c>
      <c r="AD1008" s="164" t="str">
        <f>IF(AND($C1007=12,$D1007=Input!$C$6),0,IF($E1008="","",$AC1008+AD1009/(1+$L1008)*$R1008))</f>
        <v/>
      </c>
      <c r="AE1008" s="152"/>
      <c r="AF1008" s="164" t="str">
        <f>IF(AND($C1007=12,$D1007=Input!$C$6),0,IF($E1008="","",IF($B1008&gt;Input!$C$9,$AC1008,0)+AF1009/(1+$L1008)*$R1008))</f>
        <v/>
      </c>
      <c r="AG1008" s="164" t="str">
        <f>IF(AND($C1007=12,$D1007=Input!$C$6),0,IF($E1008="","",(IF($B1008&gt;Input!$C$9,$X1008,0)+AG1009)/(1+$L1008)*$R1008))</f>
        <v/>
      </c>
      <c r="AH1008" s="160" t="str">
        <f t="shared" si="320"/>
        <v/>
      </c>
      <c r="AI1008" s="160" t="str">
        <f>IF($E1008="","",MIN(Input!$C$61/AH1008,1))</f>
        <v/>
      </c>
      <c r="AJ1008" s="152"/>
      <c r="AK1008" s="164" t="str">
        <f>IF(AND($C1007=12,$D1007=Input!$C$6),0,IF($E1008="","",IF($B1008&gt;Input!$C$9,$AC1008*AI1008,0)+AK1009/(1+$L1008)*$R1008))</f>
        <v/>
      </c>
      <c r="AL1008" s="164" t="str">
        <f>IF(AND($C1007=12,$D1007=Input!$C$6),0,IF($E1008="","",IF($B1008&gt;Input!$C$9,0,$AC1008)+AL1009/(1+$L1008)*$R1008))</f>
        <v/>
      </c>
      <c r="AM1008" s="160" t="str">
        <f t="shared" si="321"/>
        <v/>
      </c>
      <c r="AN1008" s="164" t="str">
        <f>IF($E1008="","",IF($B1008&gt;Input!$C$9,$AI1008*$AC1008,$AM1008*$AC1008))</f>
        <v/>
      </c>
      <c r="AO1008" s="164" t="str">
        <f>IF(AND($C1007=12,$D1007=Input!$C$6),0,IF($E1008="","",$AN1008+AO1009/(1+$L1008)*$R1008))</f>
        <v/>
      </c>
      <c r="AP1008" s="152"/>
      <c r="AQ1008" s="164" t="str">
        <f t="shared" si="322"/>
        <v/>
      </c>
      <c r="AR1008" s="164" t="str">
        <f t="shared" si="331"/>
        <v/>
      </c>
      <c r="AS1008" s="164" t="str">
        <f t="shared" si="332"/>
        <v/>
      </c>
      <c r="AT1008" s="164" t="str">
        <f t="shared" si="323"/>
        <v/>
      </c>
      <c r="AU1008" s="152"/>
      <c r="AV1008" s="147" t="str">
        <f>'Deterministic Reserve'!BC1008</f>
        <v/>
      </c>
      <c r="AW1008" s="164" t="str">
        <f t="shared" si="324"/>
        <v/>
      </c>
      <c r="AX1008" s="164" t="str">
        <f t="shared" si="325"/>
        <v/>
      </c>
      <c r="AY1008" s="152"/>
    </row>
    <row r="1009" spans="1:51" s="150" customFormat="1" x14ac:dyDescent="0.25">
      <c r="A1009" s="150" t="str">
        <f t="shared" si="333"/>
        <v/>
      </c>
      <c r="B1009" s="150" t="str">
        <f t="shared" si="334"/>
        <v/>
      </c>
      <c r="C1009" s="150" t="str">
        <f t="shared" si="335"/>
        <v/>
      </c>
      <c r="D1009" s="150" t="str">
        <f>IF(E1009="","",Input!$C$4+B1009-1)</f>
        <v/>
      </c>
      <c r="E1009" s="150" t="str">
        <f>IF(OR(AND(C1008=12,D1008=Input!$C$6),E1008=""),"",1)</f>
        <v/>
      </c>
      <c r="F1009" s="150" t="str">
        <f>IF(E1009="","",Input!$C$8+B1009-1)</f>
        <v/>
      </c>
      <c r="G1009" s="151" t="str">
        <f>IF(E1009="","",MAX(0,Input!$C$9-B1009))</f>
        <v/>
      </c>
      <c r="H1009" s="152" t="str">
        <f>IF(E1009="","",Input!$C$3)</f>
        <v/>
      </c>
      <c r="I1009" s="153" t="str">
        <f>IF(E1009="","",HLOOKUP($B1009,Input!$C$13:$BT$14,2))</f>
        <v/>
      </c>
      <c r="J1009" s="154"/>
      <c r="K1009" s="155" t="str">
        <f>IF($E1009="","",Input!$C$57)</f>
        <v/>
      </c>
      <c r="L1009" s="155" t="str">
        <f t="shared" si="326"/>
        <v/>
      </c>
      <c r="M1009" s="147" t="str">
        <f>IF($E1009="","",VLOOKUP(IF($B1009&lt;=Input!$C$7,$B1009,26),'Mortality Tables'!$A$72:$CA$97,IF($B1009&lt;=Input!$C$7+1,Input!$C$4-16,$D1009-Input!$C$7-16),0)/1000)</f>
        <v/>
      </c>
      <c r="N1009" s="147" t="str">
        <f t="shared" si="315"/>
        <v/>
      </c>
      <c r="O1009" s="157" t="str">
        <f>IF($E1009="","",IF($C1009=12,IF($B1009&lt;Input!$C$9,Input!$C$54,IF($B1009=Input!$C$9,Input!$C$55,Input!$C$56)),0%))</f>
        <v/>
      </c>
      <c r="P1009" s="167" t="str">
        <f>IF($E1009="","",IF($B1009=1,Input!$C$59,IF($B1009&lt;6,Input!$C$60,0%)))</f>
        <v/>
      </c>
      <c r="Q1009" s="162" t="str">
        <f>IF($E1009="","",Input!$C$58)</f>
        <v/>
      </c>
      <c r="R1009" s="156" t="str">
        <f t="shared" si="327"/>
        <v/>
      </c>
      <c r="S1009" s="154" t="str">
        <f t="shared" si="316"/>
        <v/>
      </c>
      <c r="T1009" s="152"/>
      <c r="U1009" s="150" t="str">
        <f t="shared" si="328"/>
        <v/>
      </c>
      <c r="V1009" s="150" t="str">
        <f t="shared" si="329"/>
        <v/>
      </c>
      <c r="W1009" s="168" t="str">
        <f t="shared" si="330"/>
        <v/>
      </c>
      <c r="X1009" s="163" t="str">
        <f t="shared" si="317"/>
        <v/>
      </c>
      <c r="Y1009" s="152"/>
      <c r="Z1009" s="164" t="str">
        <f>IF(AND($C1008=12,$D1008=Input!$C$6),0,IF($E1009="","",V1009+Z1010/(1+L1009)*R1009))</f>
        <v/>
      </c>
      <c r="AA1009" s="164" t="str">
        <f>IF(OR($M1009=1,AND($C1008=12,$D1008=Input!$C$6)),0,IF($E1009="","",W1009+(X1009+AA1010*$R1009)/(1+$L1009)))</f>
        <v/>
      </c>
      <c r="AB1009" s="160" t="str">
        <f t="shared" si="318"/>
        <v/>
      </c>
      <c r="AC1009" s="164" t="str">
        <f t="shared" si="319"/>
        <v/>
      </c>
      <c r="AD1009" s="164" t="str">
        <f>IF(AND($C1008=12,$D1008=Input!$C$6),0,IF($E1009="","",$AC1009+AD1010/(1+$L1009)*$R1009))</f>
        <v/>
      </c>
      <c r="AE1009" s="152"/>
      <c r="AF1009" s="164" t="str">
        <f>IF(AND($C1008=12,$D1008=Input!$C$6),0,IF($E1009="","",IF($B1009&gt;Input!$C$9,$AC1009,0)+AF1010/(1+$L1009)*$R1009))</f>
        <v/>
      </c>
      <c r="AG1009" s="164" t="str">
        <f>IF(AND($C1008=12,$D1008=Input!$C$6),0,IF($E1009="","",(IF($B1009&gt;Input!$C$9,$X1009,0)+AG1010)/(1+$L1009)*$R1009))</f>
        <v/>
      </c>
      <c r="AH1009" s="160" t="str">
        <f t="shared" si="320"/>
        <v/>
      </c>
      <c r="AI1009" s="160" t="str">
        <f>IF($E1009="","",MIN(Input!$C$61/AH1009,1))</f>
        <v/>
      </c>
      <c r="AJ1009" s="152"/>
      <c r="AK1009" s="164" t="str">
        <f>IF(AND($C1008=12,$D1008=Input!$C$6),0,IF($E1009="","",IF($B1009&gt;Input!$C$9,$AC1009*AI1009,0)+AK1010/(1+$L1009)*$R1009))</f>
        <v/>
      </c>
      <c r="AL1009" s="164" t="str">
        <f>IF(AND($C1008=12,$D1008=Input!$C$6),0,IF($E1009="","",IF($B1009&gt;Input!$C$9,0,$AC1009)+AL1010/(1+$L1009)*$R1009))</f>
        <v/>
      </c>
      <c r="AM1009" s="160" t="str">
        <f t="shared" si="321"/>
        <v/>
      </c>
      <c r="AN1009" s="164" t="str">
        <f>IF($E1009="","",IF($B1009&gt;Input!$C$9,$AI1009*$AC1009,$AM1009*$AC1009))</f>
        <v/>
      </c>
      <c r="AO1009" s="164" t="str">
        <f>IF(AND($C1008=12,$D1008=Input!$C$6),0,IF($E1009="","",$AN1009+AO1010/(1+$L1009)*$R1009))</f>
        <v/>
      </c>
      <c r="AP1009" s="152"/>
      <c r="AQ1009" s="164" t="str">
        <f t="shared" si="322"/>
        <v/>
      </c>
      <c r="AR1009" s="164" t="str">
        <f t="shared" si="331"/>
        <v/>
      </c>
      <c r="AS1009" s="164" t="str">
        <f t="shared" si="332"/>
        <v/>
      </c>
      <c r="AT1009" s="164" t="str">
        <f t="shared" si="323"/>
        <v/>
      </c>
      <c r="AU1009" s="152"/>
      <c r="AV1009" s="147" t="str">
        <f>'Deterministic Reserve'!BC1009</f>
        <v/>
      </c>
      <c r="AW1009" s="164" t="str">
        <f t="shared" si="324"/>
        <v/>
      </c>
      <c r="AX1009" s="164" t="str">
        <f t="shared" si="325"/>
        <v/>
      </c>
      <c r="AY1009" s="152"/>
    </row>
    <row r="1010" spans="1:51" s="150" customFormat="1" x14ac:dyDescent="0.25">
      <c r="A1010" s="150" t="str">
        <f t="shared" si="333"/>
        <v/>
      </c>
      <c r="B1010" s="150" t="str">
        <f t="shared" si="334"/>
        <v/>
      </c>
      <c r="C1010" s="150" t="str">
        <f t="shared" si="335"/>
        <v/>
      </c>
      <c r="D1010" s="150" t="str">
        <f>IF(E1010="","",Input!$C$4+B1010-1)</f>
        <v/>
      </c>
      <c r="E1010" s="150" t="str">
        <f>IF(OR(AND(C1009=12,D1009=Input!$C$6),E1009=""),"",1)</f>
        <v/>
      </c>
      <c r="F1010" s="150" t="str">
        <f>IF(E1010="","",Input!$C$8+B1010-1)</f>
        <v/>
      </c>
      <c r="G1010" s="151" t="str">
        <f>IF(E1010="","",MAX(0,Input!$C$9-B1010))</f>
        <v/>
      </c>
      <c r="H1010" s="152" t="str">
        <f>IF(E1010="","",Input!$C$3)</f>
        <v/>
      </c>
      <c r="I1010" s="153" t="str">
        <f>IF(E1010="","",HLOOKUP($B1010,Input!$C$13:$BT$14,2))</f>
        <v/>
      </c>
      <c r="J1010" s="154"/>
      <c r="K1010" s="155" t="str">
        <f>IF($E1010="","",Input!$C$57)</f>
        <v/>
      </c>
      <c r="L1010" s="155" t="str">
        <f t="shared" si="326"/>
        <v/>
      </c>
      <c r="M1010" s="147" t="str">
        <f>IF($E1010="","",VLOOKUP(IF($B1010&lt;=Input!$C$7,$B1010,26),'Mortality Tables'!$A$72:$CA$97,IF($B1010&lt;=Input!$C$7+1,Input!$C$4-16,$D1010-Input!$C$7-16),0)/1000)</f>
        <v/>
      </c>
      <c r="N1010" s="147" t="str">
        <f t="shared" si="315"/>
        <v/>
      </c>
      <c r="O1010" s="157" t="str">
        <f>IF($E1010="","",IF($C1010=12,IF($B1010&lt;Input!$C$9,Input!$C$54,IF($B1010=Input!$C$9,Input!$C$55,Input!$C$56)),0%))</f>
        <v/>
      </c>
      <c r="P1010" s="167" t="str">
        <f>IF($E1010="","",IF($B1010=1,Input!$C$59,IF($B1010&lt;6,Input!$C$60,0%)))</f>
        <v/>
      </c>
      <c r="Q1010" s="162" t="str">
        <f>IF($E1010="","",Input!$C$58)</f>
        <v/>
      </c>
      <c r="R1010" s="156" t="str">
        <f t="shared" si="327"/>
        <v/>
      </c>
      <c r="S1010" s="154" t="str">
        <f t="shared" si="316"/>
        <v/>
      </c>
      <c r="T1010" s="152"/>
      <c r="U1010" s="150" t="str">
        <f t="shared" si="328"/>
        <v/>
      </c>
      <c r="V1010" s="150" t="str">
        <f t="shared" si="329"/>
        <v/>
      </c>
      <c r="W1010" s="168" t="str">
        <f t="shared" si="330"/>
        <v/>
      </c>
      <c r="X1010" s="163" t="str">
        <f t="shared" si="317"/>
        <v/>
      </c>
      <c r="Y1010" s="152"/>
      <c r="Z1010" s="164" t="str">
        <f>IF(AND($C1009=12,$D1009=Input!$C$6),0,IF($E1010="","",V1010+Z1011/(1+L1010)*R1010))</f>
        <v/>
      </c>
      <c r="AA1010" s="164" t="str">
        <f>IF(OR($M1010=1,AND($C1009=12,$D1009=Input!$C$6)),0,IF($E1010="","",W1010+(X1010+AA1011*$R1010)/(1+$L1010)))</f>
        <v/>
      </c>
      <c r="AB1010" s="160" t="str">
        <f t="shared" si="318"/>
        <v/>
      </c>
      <c r="AC1010" s="164" t="str">
        <f t="shared" si="319"/>
        <v/>
      </c>
      <c r="AD1010" s="164" t="str">
        <f>IF(AND($C1009=12,$D1009=Input!$C$6),0,IF($E1010="","",$AC1010+AD1011/(1+$L1010)*$R1010))</f>
        <v/>
      </c>
      <c r="AE1010" s="152"/>
      <c r="AF1010" s="164" t="str">
        <f>IF(AND($C1009=12,$D1009=Input!$C$6),0,IF($E1010="","",IF($B1010&gt;Input!$C$9,$AC1010,0)+AF1011/(1+$L1010)*$R1010))</f>
        <v/>
      </c>
      <c r="AG1010" s="164" t="str">
        <f>IF(AND($C1009=12,$D1009=Input!$C$6),0,IF($E1010="","",(IF($B1010&gt;Input!$C$9,$X1010,0)+AG1011)/(1+$L1010)*$R1010))</f>
        <v/>
      </c>
      <c r="AH1010" s="160" t="str">
        <f t="shared" si="320"/>
        <v/>
      </c>
      <c r="AI1010" s="160" t="str">
        <f>IF($E1010="","",MIN(Input!$C$61/AH1010,1))</f>
        <v/>
      </c>
      <c r="AJ1010" s="152"/>
      <c r="AK1010" s="164" t="str">
        <f>IF(AND($C1009=12,$D1009=Input!$C$6),0,IF($E1010="","",IF($B1010&gt;Input!$C$9,$AC1010*AI1010,0)+AK1011/(1+$L1010)*$R1010))</f>
        <v/>
      </c>
      <c r="AL1010" s="164" t="str">
        <f>IF(AND($C1009=12,$D1009=Input!$C$6),0,IF($E1010="","",IF($B1010&gt;Input!$C$9,0,$AC1010)+AL1011/(1+$L1010)*$R1010))</f>
        <v/>
      </c>
      <c r="AM1010" s="160" t="str">
        <f t="shared" si="321"/>
        <v/>
      </c>
      <c r="AN1010" s="164" t="str">
        <f>IF($E1010="","",IF($B1010&gt;Input!$C$9,$AI1010*$AC1010,$AM1010*$AC1010))</f>
        <v/>
      </c>
      <c r="AO1010" s="164" t="str">
        <f>IF(AND($C1009=12,$D1009=Input!$C$6),0,IF($E1010="","",$AN1010+AO1011/(1+$L1010)*$R1010))</f>
        <v/>
      </c>
      <c r="AP1010" s="152"/>
      <c r="AQ1010" s="164" t="str">
        <f t="shared" si="322"/>
        <v/>
      </c>
      <c r="AR1010" s="164" t="str">
        <f t="shared" si="331"/>
        <v/>
      </c>
      <c r="AS1010" s="164" t="str">
        <f t="shared" si="332"/>
        <v/>
      </c>
      <c r="AT1010" s="164" t="str">
        <f t="shared" si="323"/>
        <v/>
      </c>
      <c r="AU1010" s="152"/>
      <c r="AV1010" s="147" t="str">
        <f>'Deterministic Reserve'!BC1010</f>
        <v/>
      </c>
      <c r="AW1010" s="164" t="str">
        <f t="shared" si="324"/>
        <v/>
      </c>
      <c r="AX1010" s="164" t="str">
        <f t="shared" si="325"/>
        <v/>
      </c>
      <c r="AY1010" s="152"/>
    </row>
    <row r="1011" spans="1:51" s="150" customFormat="1" x14ac:dyDescent="0.25">
      <c r="A1011" s="150" t="str">
        <f t="shared" si="333"/>
        <v/>
      </c>
      <c r="B1011" s="150" t="str">
        <f t="shared" si="334"/>
        <v/>
      </c>
      <c r="C1011" s="150" t="str">
        <f t="shared" si="335"/>
        <v/>
      </c>
      <c r="D1011" s="150" t="str">
        <f>IF(E1011="","",Input!$C$4+B1011-1)</f>
        <v/>
      </c>
      <c r="E1011" s="150" t="str">
        <f>IF(OR(AND(C1010=12,D1010=Input!$C$6),E1010=""),"",1)</f>
        <v/>
      </c>
      <c r="F1011" s="150" t="str">
        <f>IF(E1011="","",Input!$C$8+B1011-1)</f>
        <v/>
      </c>
      <c r="G1011" s="151" t="str">
        <f>IF(E1011="","",MAX(0,Input!$C$9-B1011))</f>
        <v/>
      </c>
      <c r="H1011" s="152" t="str">
        <f>IF(E1011="","",Input!$C$3)</f>
        <v/>
      </c>
      <c r="I1011" s="153" t="str">
        <f>IF(E1011="","",HLOOKUP($B1011,Input!$C$13:$BT$14,2))</f>
        <v/>
      </c>
      <c r="J1011" s="154"/>
      <c r="K1011" s="155" t="str">
        <f>IF($E1011="","",Input!$C$57)</f>
        <v/>
      </c>
      <c r="L1011" s="155" t="str">
        <f t="shared" si="326"/>
        <v/>
      </c>
      <c r="M1011" s="147" t="str">
        <f>IF($E1011="","",VLOOKUP(IF($B1011&lt;=Input!$C$7,$B1011,26),'Mortality Tables'!$A$72:$CA$97,IF($B1011&lt;=Input!$C$7+1,Input!$C$4-16,$D1011-Input!$C$7-16),0)/1000)</f>
        <v/>
      </c>
      <c r="N1011" s="147" t="str">
        <f t="shared" si="315"/>
        <v/>
      </c>
      <c r="O1011" s="157" t="str">
        <f>IF($E1011="","",IF($C1011=12,IF($B1011&lt;Input!$C$9,Input!$C$54,IF($B1011=Input!$C$9,Input!$C$55,Input!$C$56)),0%))</f>
        <v/>
      </c>
      <c r="P1011" s="167" t="str">
        <f>IF($E1011="","",IF($B1011=1,Input!$C$59,IF($B1011&lt;6,Input!$C$60,0%)))</f>
        <v/>
      </c>
      <c r="Q1011" s="162" t="str">
        <f>IF($E1011="","",Input!$C$58)</f>
        <v/>
      </c>
      <c r="R1011" s="156" t="str">
        <f t="shared" si="327"/>
        <v/>
      </c>
      <c r="S1011" s="154" t="str">
        <f t="shared" si="316"/>
        <v/>
      </c>
      <c r="T1011" s="152"/>
      <c r="U1011" s="150" t="str">
        <f t="shared" si="328"/>
        <v/>
      </c>
      <c r="V1011" s="150" t="str">
        <f t="shared" si="329"/>
        <v/>
      </c>
      <c r="W1011" s="168" t="str">
        <f t="shared" si="330"/>
        <v/>
      </c>
      <c r="X1011" s="163" t="str">
        <f t="shared" si="317"/>
        <v/>
      </c>
      <c r="Y1011" s="152"/>
      <c r="Z1011" s="164" t="str">
        <f>IF(AND($C1010=12,$D1010=Input!$C$6),0,IF($E1011="","",V1011+Z1012/(1+L1011)*R1011))</f>
        <v/>
      </c>
      <c r="AA1011" s="164" t="str">
        <f>IF(OR($M1011=1,AND($C1010=12,$D1010=Input!$C$6)),0,IF($E1011="","",W1011+(X1011+AA1012*$R1011)/(1+$L1011)))</f>
        <v/>
      </c>
      <c r="AB1011" s="160" t="str">
        <f t="shared" si="318"/>
        <v/>
      </c>
      <c r="AC1011" s="164" t="str">
        <f t="shared" si="319"/>
        <v/>
      </c>
      <c r="AD1011" s="164" t="str">
        <f>IF(AND($C1010=12,$D1010=Input!$C$6),0,IF($E1011="","",$AC1011+AD1012/(1+$L1011)*$R1011))</f>
        <v/>
      </c>
      <c r="AE1011" s="152"/>
      <c r="AF1011" s="164" t="str">
        <f>IF(AND($C1010=12,$D1010=Input!$C$6),0,IF($E1011="","",IF($B1011&gt;Input!$C$9,$AC1011,0)+AF1012/(1+$L1011)*$R1011))</f>
        <v/>
      </c>
      <c r="AG1011" s="164" t="str">
        <f>IF(AND($C1010=12,$D1010=Input!$C$6),0,IF($E1011="","",(IF($B1011&gt;Input!$C$9,$X1011,0)+AG1012)/(1+$L1011)*$R1011))</f>
        <v/>
      </c>
      <c r="AH1011" s="160" t="str">
        <f t="shared" si="320"/>
        <v/>
      </c>
      <c r="AI1011" s="160" t="str">
        <f>IF($E1011="","",MIN(Input!$C$61/AH1011,1))</f>
        <v/>
      </c>
      <c r="AJ1011" s="152"/>
      <c r="AK1011" s="164" t="str">
        <f>IF(AND($C1010=12,$D1010=Input!$C$6),0,IF($E1011="","",IF($B1011&gt;Input!$C$9,$AC1011*AI1011,0)+AK1012/(1+$L1011)*$R1011))</f>
        <v/>
      </c>
      <c r="AL1011" s="164" t="str">
        <f>IF(AND($C1010=12,$D1010=Input!$C$6),0,IF($E1011="","",IF($B1011&gt;Input!$C$9,0,$AC1011)+AL1012/(1+$L1011)*$R1011))</f>
        <v/>
      </c>
      <c r="AM1011" s="160" t="str">
        <f t="shared" si="321"/>
        <v/>
      </c>
      <c r="AN1011" s="164" t="str">
        <f>IF($E1011="","",IF($B1011&gt;Input!$C$9,$AI1011*$AC1011,$AM1011*$AC1011))</f>
        <v/>
      </c>
      <c r="AO1011" s="164" t="str">
        <f>IF(AND($C1010=12,$D1010=Input!$C$6),0,IF($E1011="","",$AN1011+AO1012/(1+$L1011)*$R1011))</f>
        <v/>
      </c>
      <c r="AP1011" s="152"/>
      <c r="AQ1011" s="164" t="str">
        <f t="shared" si="322"/>
        <v/>
      </c>
      <c r="AR1011" s="164" t="str">
        <f t="shared" si="331"/>
        <v/>
      </c>
      <c r="AS1011" s="164" t="str">
        <f t="shared" si="332"/>
        <v/>
      </c>
      <c r="AT1011" s="164" t="str">
        <f t="shared" si="323"/>
        <v/>
      </c>
      <c r="AU1011" s="152"/>
      <c r="AV1011" s="147" t="str">
        <f>'Deterministic Reserve'!BC1011</f>
        <v/>
      </c>
      <c r="AW1011" s="164" t="str">
        <f t="shared" si="324"/>
        <v/>
      </c>
      <c r="AX1011" s="164" t="str">
        <f t="shared" si="325"/>
        <v/>
      </c>
      <c r="AY1011" s="152"/>
    </row>
    <row r="1012" spans="1:51" s="150" customFormat="1" x14ac:dyDescent="0.25">
      <c r="A1012" s="150" t="str">
        <f t="shared" si="333"/>
        <v/>
      </c>
      <c r="B1012" s="150" t="str">
        <f t="shared" si="334"/>
        <v/>
      </c>
      <c r="C1012" s="150" t="str">
        <f t="shared" si="335"/>
        <v/>
      </c>
      <c r="D1012" s="150" t="str">
        <f>IF(E1012="","",Input!$C$4+B1012-1)</f>
        <v/>
      </c>
      <c r="E1012" s="150" t="str">
        <f>IF(OR(AND(C1011=12,D1011=Input!$C$6),E1011=""),"",1)</f>
        <v/>
      </c>
      <c r="F1012" s="150" t="str">
        <f>IF(E1012="","",Input!$C$8+B1012-1)</f>
        <v/>
      </c>
      <c r="G1012" s="151" t="str">
        <f>IF(E1012="","",MAX(0,Input!$C$9-B1012))</f>
        <v/>
      </c>
      <c r="H1012" s="152" t="str">
        <f>IF(E1012="","",Input!$C$3)</f>
        <v/>
      </c>
      <c r="I1012" s="153" t="str">
        <f>IF(E1012="","",HLOOKUP($B1012,Input!$C$13:$BT$14,2))</f>
        <v/>
      </c>
      <c r="J1012" s="154"/>
      <c r="K1012" s="155" t="str">
        <f>IF($E1012="","",Input!$C$57)</f>
        <v/>
      </c>
      <c r="L1012" s="155" t="str">
        <f t="shared" si="326"/>
        <v/>
      </c>
      <c r="M1012" s="147" t="str">
        <f>IF($E1012="","",VLOOKUP(IF($B1012&lt;=Input!$C$7,$B1012,26),'Mortality Tables'!$A$72:$CA$97,IF($B1012&lt;=Input!$C$7+1,Input!$C$4-16,$D1012-Input!$C$7-16),0)/1000)</f>
        <v/>
      </c>
      <c r="N1012" s="147" t="str">
        <f t="shared" si="315"/>
        <v/>
      </c>
      <c r="O1012" s="157" t="str">
        <f>IF($E1012="","",IF($C1012=12,IF($B1012&lt;Input!$C$9,Input!$C$54,IF($B1012=Input!$C$9,Input!$C$55,Input!$C$56)),0%))</f>
        <v/>
      </c>
      <c r="P1012" s="167" t="str">
        <f>IF($E1012="","",IF($B1012=1,Input!$C$59,IF($B1012&lt;6,Input!$C$60,0%)))</f>
        <v/>
      </c>
      <c r="Q1012" s="162" t="str">
        <f>IF($E1012="","",Input!$C$58)</f>
        <v/>
      </c>
      <c r="R1012" s="156" t="str">
        <f t="shared" si="327"/>
        <v/>
      </c>
      <c r="S1012" s="154" t="str">
        <f t="shared" si="316"/>
        <v/>
      </c>
      <c r="T1012" s="152"/>
      <c r="U1012" s="150" t="str">
        <f t="shared" si="328"/>
        <v/>
      </c>
      <c r="V1012" s="150" t="str">
        <f t="shared" si="329"/>
        <v/>
      </c>
      <c r="W1012" s="168" t="str">
        <f t="shared" si="330"/>
        <v/>
      </c>
      <c r="X1012" s="163" t="str">
        <f t="shared" si="317"/>
        <v/>
      </c>
      <c r="Y1012" s="152"/>
      <c r="Z1012" s="164" t="str">
        <f>IF(AND($C1011=12,$D1011=Input!$C$6),0,IF($E1012="","",V1012+Z1013/(1+L1012)*R1012))</f>
        <v/>
      </c>
      <c r="AA1012" s="164" t="str">
        <f>IF(OR($M1012=1,AND($C1011=12,$D1011=Input!$C$6)),0,IF($E1012="","",W1012+(X1012+AA1013*$R1012)/(1+$L1012)))</f>
        <v/>
      </c>
      <c r="AB1012" s="160" t="str">
        <f t="shared" si="318"/>
        <v/>
      </c>
      <c r="AC1012" s="164" t="str">
        <f t="shared" si="319"/>
        <v/>
      </c>
      <c r="AD1012" s="164" t="str">
        <f>IF(AND($C1011=12,$D1011=Input!$C$6),0,IF($E1012="","",$AC1012+AD1013/(1+$L1012)*$R1012))</f>
        <v/>
      </c>
      <c r="AE1012" s="152"/>
      <c r="AF1012" s="164" t="str">
        <f>IF(AND($C1011=12,$D1011=Input!$C$6),0,IF($E1012="","",IF($B1012&gt;Input!$C$9,$AC1012,0)+AF1013/(1+$L1012)*$R1012))</f>
        <v/>
      </c>
      <c r="AG1012" s="164" t="str">
        <f>IF(AND($C1011=12,$D1011=Input!$C$6),0,IF($E1012="","",(IF($B1012&gt;Input!$C$9,$X1012,0)+AG1013)/(1+$L1012)*$R1012))</f>
        <v/>
      </c>
      <c r="AH1012" s="160" t="str">
        <f t="shared" si="320"/>
        <v/>
      </c>
      <c r="AI1012" s="160" t="str">
        <f>IF($E1012="","",MIN(Input!$C$61/AH1012,1))</f>
        <v/>
      </c>
      <c r="AJ1012" s="152"/>
      <c r="AK1012" s="164" t="str">
        <f>IF(AND($C1011=12,$D1011=Input!$C$6),0,IF($E1012="","",IF($B1012&gt;Input!$C$9,$AC1012*AI1012,0)+AK1013/(1+$L1012)*$R1012))</f>
        <v/>
      </c>
      <c r="AL1012" s="164" t="str">
        <f>IF(AND($C1011=12,$D1011=Input!$C$6),0,IF($E1012="","",IF($B1012&gt;Input!$C$9,0,$AC1012)+AL1013/(1+$L1012)*$R1012))</f>
        <v/>
      </c>
      <c r="AM1012" s="160" t="str">
        <f t="shared" si="321"/>
        <v/>
      </c>
      <c r="AN1012" s="164" t="str">
        <f>IF($E1012="","",IF($B1012&gt;Input!$C$9,$AI1012*$AC1012,$AM1012*$AC1012))</f>
        <v/>
      </c>
      <c r="AO1012" s="164" t="str">
        <f>IF(AND($C1011=12,$D1011=Input!$C$6),0,IF($E1012="","",$AN1012+AO1013/(1+$L1012)*$R1012))</f>
        <v/>
      </c>
      <c r="AP1012" s="152"/>
      <c r="AQ1012" s="164" t="str">
        <f t="shared" si="322"/>
        <v/>
      </c>
      <c r="AR1012" s="164" t="str">
        <f t="shared" si="331"/>
        <v/>
      </c>
      <c r="AS1012" s="164" t="str">
        <f t="shared" si="332"/>
        <v/>
      </c>
      <c r="AT1012" s="164" t="str">
        <f t="shared" si="323"/>
        <v/>
      </c>
      <c r="AU1012" s="152"/>
      <c r="AV1012" s="147" t="str">
        <f>'Deterministic Reserve'!BC1012</f>
        <v/>
      </c>
      <c r="AW1012" s="164" t="str">
        <f t="shared" si="324"/>
        <v/>
      </c>
      <c r="AX1012" s="164" t="str">
        <f t="shared" si="325"/>
        <v/>
      </c>
      <c r="AY1012" s="152"/>
    </row>
    <row r="1013" spans="1:51" s="150" customFormat="1" x14ac:dyDescent="0.25">
      <c r="A1013" s="150" t="str">
        <f t="shared" si="333"/>
        <v/>
      </c>
      <c r="B1013" s="150" t="str">
        <f t="shared" si="334"/>
        <v/>
      </c>
      <c r="C1013" s="150" t="str">
        <f t="shared" si="335"/>
        <v/>
      </c>
      <c r="D1013" s="150" t="str">
        <f>IF(E1013="","",Input!$C$4+B1013-1)</f>
        <v/>
      </c>
      <c r="E1013" s="150" t="str">
        <f>IF(OR(AND(C1012=12,D1012=Input!$C$6),E1012=""),"",1)</f>
        <v/>
      </c>
      <c r="F1013" s="150" t="str">
        <f>IF(E1013="","",Input!$C$8+B1013-1)</f>
        <v/>
      </c>
      <c r="G1013" s="151" t="str">
        <f>IF(E1013="","",MAX(0,Input!$C$9-B1013))</f>
        <v/>
      </c>
      <c r="H1013" s="152" t="str">
        <f>IF(E1013="","",Input!$C$3)</f>
        <v/>
      </c>
      <c r="I1013" s="153" t="str">
        <f>IF(E1013="","",HLOOKUP($B1013,Input!$C$13:$BT$14,2))</f>
        <v/>
      </c>
      <c r="J1013" s="154"/>
      <c r="K1013" s="155" t="str">
        <f>IF($E1013="","",Input!$C$57)</f>
        <v/>
      </c>
      <c r="L1013" s="155" t="str">
        <f t="shared" si="326"/>
        <v/>
      </c>
      <c r="M1013" s="147" t="str">
        <f>IF($E1013="","",VLOOKUP(IF($B1013&lt;=Input!$C$7,$B1013,26),'Mortality Tables'!$A$72:$CA$97,IF($B1013&lt;=Input!$C$7+1,Input!$C$4-16,$D1013-Input!$C$7-16),0)/1000)</f>
        <v/>
      </c>
      <c r="N1013" s="147" t="str">
        <f t="shared" si="315"/>
        <v/>
      </c>
      <c r="O1013" s="157" t="str">
        <f>IF($E1013="","",IF($C1013=12,IF($B1013&lt;Input!$C$9,Input!$C$54,IF($B1013=Input!$C$9,Input!$C$55,Input!$C$56)),0%))</f>
        <v/>
      </c>
      <c r="P1013" s="167" t="str">
        <f>IF($E1013="","",IF($B1013=1,Input!$C$59,IF($B1013&lt;6,Input!$C$60,0%)))</f>
        <v/>
      </c>
      <c r="Q1013" s="162" t="str">
        <f>IF($E1013="","",Input!$C$58)</f>
        <v/>
      </c>
      <c r="R1013" s="156" t="str">
        <f t="shared" si="327"/>
        <v/>
      </c>
      <c r="S1013" s="154" t="str">
        <f t="shared" si="316"/>
        <v/>
      </c>
      <c r="T1013" s="152"/>
      <c r="U1013" s="150" t="str">
        <f t="shared" si="328"/>
        <v/>
      </c>
      <c r="V1013" s="150" t="str">
        <f t="shared" si="329"/>
        <v/>
      </c>
      <c r="W1013" s="168" t="str">
        <f t="shared" si="330"/>
        <v/>
      </c>
      <c r="X1013" s="163" t="str">
        <f t="shared" si="317"/>
        <v/>
      </c>
      <c r="Y1013" s="152"/>
      <c r="Z1013" s="164" t="str">
        <f>IF(AND($C1012=12,$D1012=Input!$C$6),0,IF($E1013="","",V1013+Z1014/(1+L1013)*R1013))</f>
        <v/>
      </c>
      <c r="AA1013" s="164" t="str">
        <f>IF(OR($M1013=1,AND($C1012=12,$D1012=Input!$C$6)),0,IF($E1013="","",W1013+(X1013+AA1014*$R1013)/(1+$L1013)))</f>
        <v/>
      </c>
      <c r="AB1013" s="160" t="str">
        <f t="shared" si="318"/>
        <v/>
      </c>
      <c r="AC1013" s="164" t="str">
        <f t="shared" si="319"/>
        <v/>
      </c>
      <c r="AD1013" s="164" t="str">
        <f>IF(AND($C1012=12,$D1012=Input!$C$6),0,IF($E1013="","",$AC1013+AD1014/(1+$L1013)*$R1013))</f>
        <v/>
      </c>
      <c r="AE1013" s="152"/>
      <c r="AF1013" s="164" t="str">
        <f>IF(AND($C1012=12,$D1012=Input!$C$6),0,IF($E1013="","",IF($B1013&gt;Input!$C$9,$AC1013,0)+AF1014/(1+$L1013)*$R1013))</f>
        <v/>
      </c>
      <c r="AG1013" s="164" t="str">
        <f>IF(AND($C1012=12,$D1012=Input!$C$6),0,IF($E1013="","",(IF($B1013&gt;Input!$C$9,$X1013,0)+AG1014)/(1+$L1013)*$R1013))</f>
        <v/>
      </c>
      <c r="AH1013" s="160" t="str">
        <f t="shared" si="320"/>
        <v/>
      </c>
      <c r="AI1013" s="160" t="str">
        <f>IF($E1013="","",MIN(Input!$C$61/AH1013,1))</f>
        <v/>
      </c>
      <c r="AJ1013" s="152"/>
      <c r="AK1013" s="164" t="str">
        <f>IF(AND($C1012=12,$D1012=Input!$C$6),0,IF($E1013="","",IF($B1013&gt;Input!$C$9,$AC1013*AI1013,0)+AK1014/(1+$L1013)*$R1013))</f>
        <v/>
      </c>
      <c r="AL1013" s="164" t="str">
        <f>IF(AND($C1012=12,$D1012=Input!$C$6),0,IF($E1013="","",IF($B1013&gt;Input!$C$9,0,$AC1013)+AL1014/(1+$L1013)*$R1013))</f>
        <v/>
      </c>
      <c r="AM1013" s="160" t="str">
        <f t="shared" si="321"/>
        <v/>
      </c>
      <c r="AN1013" s="164" t="str">
        <f>IF($E1013="","",IF($B1013&gt;Input!$C$9,$AI1013*$AC1013,$AM1013*$AC1013))</f>
        <v/>
      </c>
      <c r="AO1013" s="164" t="str">
        <f>IF(AND($C1012=12,$D1012=Input!$C$6),0,IF($E1013="","",$AN1013+AO1014/(1+$L1013)*$R1013))</f>
        <v/>
      </c>
      <c r="AP1013" s="152"/>
      <c r="AQ1013" s="164" t="str">
        <f t="shared" si="322"/>
        <v/>
      </c>
      <c r="AR1013" s="164" t="str">
        <f t="shared" si="331"/>
        <v/>
      </c>
      <c r="AS1013" s="164" t="str">
        <f t="shared" si="332"/>
        <v/>
      </c>
      <c r="AT1013" s="164" t="str">
        <f t="shared" si="323"/>
        <v/>
      </c>
      <c r="AU1013" s="152"/>
      <c r="AV1013" s="147" t="str">
        <f>'Deterministic Reserve'!BC1013</f>
        <v/>
      </c>
      <c r="AW1013" s="164" t="str">
        <f t="shared" si="324"/>
        <v/>
      </c>
      <c r="AX1013" s="164" t="str">
        <f t="shared" si="325"/>
        <v/>
      </c>
      <c r="AY1013" s="152"/>
    </row>
    <row r="1014" spans="1:51" s="150" customFormat="1" x14ac:dyDescent="0.25">
      <c r="A1014" s="150" t="str">
        <f t="shared" si="333"/>
        <v/>
      </c>
      <c r="B1014" s="150" t="str">
        <f t="shared" si="334"/>
        <v/>
      </c>
      <c r="C1014" s="150" t="str">
        <f t="shared" si="335"/>
        <v/>
      </c>
      <c r="D1014" s="150" t="str">
        <f>IF(E1014="","",Input!$C$4+B1014-1)</f>
        <v/>
      </c>
      <c r="E1014" s="150" t="str">
        <f>IF(OR(AND(C1013=12,D1013=Input!$C$6),E1013=""),"",1)</f>
        <v/>
      </c>
      <c r="F1014" s="150" t="str">
        <f>IF(E1014="","",Input!$C$8+B1014-1)</f>
        <v/>
      </c>
      <c r="G1014" s="151" t="str">
        <f>IF(E1014="","",MAX(0,Input!$C$9-B1014))</f>
        <v/>
      </c>
      <c r="H1014" s="152" t="str">
        <f>IF(E1014="","",Input!$C$3)</f>
        <v/>
      </c>
      <c r="I1014" s="153" t="str">
        <f>IF(E1014="","",HLOOKUP($B1014,Input!$C$13:$BT$14,2))</f>
        <v/>
      </c>
      <c r="J1014" s="154"/>
      <c r="K1014" s="155" t="str">
        <f>IF($E1014="","",Input!$C$57)</f>
        <v/>
      </c>
      <c r="L1014" s="155" t="str">
        <f t="shared" si="326"/>
        <v/>
      </c>
      <c r="M1014" s="147" t="str">
        <f>IF($E1014="","",VLOOKUP(IF($B1014&lt;=Input!$C$7,$B1014,26),'Mortality Tables'!$A$72:$CA$97,IF($B1014&lt;=Input!$C$7+1,Input!$C$4-16,$D1014-Input!$C$7-16),0)/1000)</f>
        <v/>
      </c>
      <c r="N1014" s="147" t="str">
        <f t="shared" si="315"/>
        <v/>
      </c>
      <c r="O1014" s="157" t="str">
        <f>IF($E1014="","",IF($C1014=12,IF($B1014&lt;Input!$C$9,Input!$C$54,IF($B1014=Input!$C$9,Input!$C$55,Input!$C$56)),0%))</f>
        <v/>
      </c>
      <c r="P1014" s="167" t="str">
        <f>IF($E1014="","",IF($B1014=1,Input!$C$59,IF($B1014&lt;6,Input!$C$60,0%)))</f>
        <v/>
      </c>
      <c r="Q1014" s="162" t="str">
        <f>IF($E1014="","",Input!$C$58)</f>
        <v/>
      </c>
      <c r="R1014" s="156" t="str">
        <f t="shared" si="327"/>
        <v/>
      </c>
      <c r="S1014" s="154" t="str">
        <f t="shared" si="316"/>
        <v/>
      </c>
      <c r="T1014" s="152"/>
      <c r="U1014" s="150" t="str">
        <f t="shared" si="328"/>
        <v/>
      </c>
      <c r="V1014" s="150" t="str">
        <f t="shared" si="329"/>
        <v/>
      </c>
      <c r="W1014" s="168" t="str">
        <f t="shared" si="330"/>
        <v/>
      </c>
      <c r="X1014" s="163" t="str">
        <f t="shared" si="317"/>
        <v/>
      </c>
      <c r="Y1014" s="152"/>
      <c r="Z1014" s="164" t="str">
        <f>IF(AND($C1013=12,$D1013=Input!$C$6),0,IF($E1014="","",V1014+Z1015/(1+L1014)*R1014))</f>
        <v/>
      </c>
      <c r="AA1014" s="164" t="str">
        <f>IF(OR($M1014=1,AND($C1013=12,$D1013=Input!$C$6)),0,IF($E1014="","",W1014+(X1014+AA1015*$R1014)/(1+$L1014)))</f>
        <v/>
      </c>
      <c r="AB1014" s="160" t="str">
        <f t="shared" si="318"/>
        <v/>
      </c>
      <c r="AC1014" s="164" t="str">
        <f t="shared" si="319"/>
        <v/>
      </c>
      <c r="AD1014" s="164" t="str">
        <f>IF(AND($C1013=12,$D1013=Input!$C$6),0,IF($E1014="","",$AC1014+AD1015/(1+$L1014)*$R1014))</f>
        <v/>
      </c>
      <c r="AE1014" s="152"/>
      <c r="AF1014" s="164" t="str">
        <f>IF(AND($C1013=12,$D1013=Input!$C$6),0,IF($E1014="","",IF($B1014&gt;Input!$C$9,$AC1014,0)+AF1015/(1+$L1014)*$R1014))</f>
        <v/>
      </c>
      <c r="AG1014" s="164" t="str">
        <f>IF(AND($C1013=12,$D1013=Input!$C$6),0,IF($E1014="","",(IF($B1014&gt;Input!$C$9,$X1014,0)+AG1015)/(1+$L1014)*$R1014))</f>
        <v/>
      </c>
      <c r="AH1014" s="160" t="str">
        <f t="shared" si="320"/>
        <v/>
      </c>
      <c r="AI1014" s="160" t="str">
        <f>IF($E1014="","",MIN(Input!$C$61/AH1014,1))</f>
        <v/>
      </c>
      <c r="AJ1014" s="152"/>
      <c r="AK1014" s="164" t="str">
        <f>IF(AND($C1013=12,$D1013=Input!$C$6),0,IF($E1014="","",IF($B1014&gt;Input!$C$9,$AC1014*AI1014,0)+AK1015/(1+$L1014)*$R1014))</f>
        <v/>
      </c>
      <c r="AL1014" s="164" t="str">
        <f>IF(AND($C1013=12,$D1013=Input!$C$6),0,IF($E1014="","",IF($B1014&gt;Input!$C$9,0,$AC1014)+AL1015/(1+$L1014)*$R1014))</f>
        <v/>
      </c>
      <c r="AM1014" s="160" t="str">
        <f t="shared" si="321"/>
        <v/>
      </c>
      <c r="AN1014" s="164" t="str">
        <f>IF($E1014="","",IF($B1014&gt;Input!$C$9,$AI1014*$AC1014,$AM1014*$AC1014))</f>
        <v/>
      </c>
      <c r="AO1014" s="164" t="str">
        <f>IF(AND($C1013=12,$D1013=Input!$C$6),0,IF($E1014="","",$AN1014+AO1015/(1+$L1014)*$R1014))</f>
        <v/>
      </c>
      <c r="AP1014" s="152"/>
      <c r="AQ1014" s="164" t="str">
        <f t="shared" si="322"/>
        <v/>
      </c>
      <c r="AR1014" s="164" t="str">
        <f t="shared" si="331"/>
        <v/>
      </c>
      <c r="AS1014" s="164" t="str">
        <f t="shared" si="332"/>
        <v/>
      </c>
      <c r="AT1014" s="164" t="str">
        <f t="shared" si="323"/>
        <v/>
      </c>
      <c r="AU1014" s="152"/>
      <c r="AV1014" s="147" t="str">
        <f>'Deterministic Reserve'!BC1014</f>
        <v/>
      </c>
      <c r="AW1014" s="164" t="str">
        <f t="shared" si="324"/>
        <v/>
      </c>
      <c r="AX1014" s="164" t="str">
        <f t="shared" si="325"/>
        <v/>
      </c>
      <c r="AY1014" s="152"/>
    </row>
    <row r="1015" spans="1:51" s="150" customFormat="1" x14ac:dyDescent="0.25">
      <c r="A1015" s="150" t="str">
        <f t="shared" si="333"/>
        <v/>
      </c>
      <c r="B1015" s="150" t="str">
        <f t="shared" si="334"/>
        <v/>
      </c>
      <c r="C1015" s="150" t="str">
        <f t="shared" si="335"/>
        <v/>
      </c>
      <c r="D1015" s="150" t="str">
        <f>IF(E1015="","",Input!$C$4+B1015-1)</f>
        <v/>
      </c>
      <c r="E1015" s="150" t="str">
        <f>IF(OR(AND(C1014=12,D1014=Input!$C$6),E1014=""),"",1)</f>
        <v/>
      </c>
      <c r="F1015" s="150" t="str">
        <f>IF(E1015="","",Input!$C$8+B1015-1)</f>
        <v/>
      </c>
      <c r="G1015" s="151" t="str">
        <f>IF(E1015="","",MAX(0,Input!$C$9-B1015))</f>
        <v/>
      </c>
      <c r="H1015" s="152" t="str">
        <f>IF(E1015="","",Input!$C$3)</f>
        <v/>
      </c>
      <c r="I1015" s="153" t="str">
        <f>IF(E1015="","",HLOOKUP($B1015,Input!$C$13:$BT$14,2))</f>
        <v/>
      </c>
      <c r="J1015" s="154"/>
      <c r="K1015" s="155" t="str">
        <f>IF($E1015="","",Input!$C$57)</f>
        <v/>
      </c>
      <c r="L1015" s="155" t="str">
        <f t="shared" si="326"/>
        <v/>
      </c>
      <c r="M1015" s="147" t="str">
        <f>IF($E1015="","",VLOOKUP(IF($B1015&lt;=Input!$C$7,$B1015,26),'Mortality Tables'!$A$72:$CA$97,IF($B1015&lt;=Input!$C$7+1,Input!$C$4-16,$D1015-Input!$C$7-16),0)/1000)</f>
        <v/>
      </c>
      <c r="N1015" s="147" t="str">
        <f t="shared" si="315"/>
        <v/>
      </c>
      <c r="O1015" s="157" t="str">
        <f>IF($E1015="","",IF($C1015=12,IF($B1015&lt;Input!$C$9,Input!$C$54,IF($B1015=Input!$C$9,Input!$C$55,Input!$C$56)),0%))</f>
        <v/>
      </c>
      <c r="P1015" s="167" t="str">
        <f>IF($E1015="","",IF($B1015=1,Input!$C$59,IF($B1015&lt;6,Input!$C$60,0%)))</f>
        <v/>
      </c>
      <c r="Q1015" s="162" t="str">
        <f>IF($E1015="","",Input!$C$58)</f>
        <v/>
      </c>
      <c r="R1015" s="156" t="str">
        <f t="shared" si="327"/>
        <v/>
      </c>
      <c r="S1015" s="154" t="str">
        <f t="shared" si="316"/>
        <v/>
      </c>
      <c r="T1015" s="152"/>
      <c r="U1015" s="150" t="str">
        <f t="shared" si="328"/>
        <v/>
      </c>
      <c r="V1015" s="150" t="str">
        <f t="shared" si="329"/>
        <v/>
      </c>
      <c r="W1015" s="168" t="str">
        <f t="shared" si="330"/>
        <v/>
      </c>
      <c r="X1015" s="163" t="str">
        <f t="shared" si="317"/>
        <v/>
      </c>
      <c r="Y1015" s="152"/>
      <c r="Z1015" s="164" t="str">
        <f>IF(AND($C1014=12,$D1014=Input!$C$6),0,IF($E1015="","",V1015+Z1016/(1+L1015)*R1015))</f>
        <v/>
      </c>
      <c r="AA1015" s="164" t="str">
        <f>IF(OR($M1015=1,AND($C1014=12,$D1014=Input!$C$6)),0,IF($E1015="","",W1015+(X1015+AA1016*$R1015)/(1+$L1015)))</f>
        <v/>
      </c>
      <c r="AB1015" s="160" t="str">
        <f t="shared" si="318"/>
        <v/>
      </c>
      <c r="AC1015" s="164" t="str">
        <f t="shared" si="319"/>
        <v/>
      </c>
      <c r="AD1015" s="164" t="str">
        <f>IF(AND($C1014=12,$D1014=Input!$C$6),0,IF($E1015="","",$AC1015+AD1016/(1+$L1015)*$R1015))</f>
        <v/>
      </c>
      <c r="AE1015" s="152"/>
      <c r="AF1015" s="164" t="str">
        <f>IF(AND($C1014=12,$D1014=Input!$C$6),0,IF($E1015="","",IF($B1015&gt;Input!$C$9,$AC1015,0)+AF1016/(1+$L1015)*$R1015))</f>
        <v/>
      </c>
      <c r="AG1015" s="164" t="str">
        <f>IF(AND($C1014=12,$D1014=Input!$C$6),0,IF($E1015="","",(IF($B1015&gt;Input!$C$9,$X1015,0)+AG1016)/(1+$L1015)*$R1015))</f>
        <v/>
      </c>
      <c r="AH1015" s="160" t="str">
        <f t="shared" si="320"/>
        <v/>
      </c>
      <c r="AI1015" s="160" t="str">
        <f>IF($E1015="","",MIN(Input!$C$61/AH1015,1))</f>
        <v/>
      </c>
      <c r="AJ1015" s="152"/>
      <c r="AK1015" s="164" t="str">
        <f>IF(AND($C1014=12,$D1014=Input!$C$6),0,IF($E1015="","",IF($B1015&gt;Input!$C$9,$AC1015*AI1015,0)+AK1016/(1+$L1015)*$R1015))</f>
        <v/>
      </c>
      <c r="AL1015" s="164" t="str">
        <f>IF(AND($C1014=12,$D1014=Input!$C$6),0,IF($E1015="","",IF($B1015&gt;Input!$C$9,0,$AC1015)+AL1016/(1+$L1015)*$R1015))</f>
        <v/>
      </c>
      <c r="AM1015" s="160" t="str">
        <f t="shared" si="321"/>
        <v/>
      </c>
      <c r="AN1015" s="164" t="str">
        <f>IF($E1015="","",IF($B1015&gt;Input!$C$9,$AI1015*$AC1015,$AM1015*$AC1015))</f>
        <v/>
      </c>
      <c r="AO1015" s="164" t="str">
        <f>IF(AND($C1014=12,$D1014=Input!$C$6),0,IF($E1015="","",$AN1015+AO1016/(1+$L1015)*$R1015))</f>
        <v/>
      </c>
      <c r="AP1015" s="152"/>
      <c r="AQ1015" s="164" t="str">
        <f t="shared" si="322"/>
        <v/>
      </c>
      <c r="AR1015" s="164" t="str">
        <f t="shared" si="331"/>
        <v/>
      </c>
      <c r="AS1015" s="164" t="str">
        <f t="shared" si="332"/>
        <v/>
      </c>
      <c r="AT1015" s="164" t="str">
        <f t="shared" si="323"/>
        <v/>
      </c>
      <c r="AU1015" s="152"/>
      <c r="AV1015" s="147" t="str">
        <f>'Deterministic Reserve'!BC1015</f>
        <v/>
      </c>
      <c r="AW1015" s="164" t="str">
        <f t="shared" si="324"/>
        <v/>
      </c>
      <c r="AX1015" s="164" t="str">
        <f t="shared" si="325"/>
        <v/>
      </c>
      <c r="AY1015" s="152"/>
    </row>
    <row r="1016" spans="1:51" s="150" customFormat="1" x14ac:dyDescent="0.25">
      <c r="A1016" s="150" t="str">
        <f t="shared" si="333"/>
        <v/>
      </c>
      <c r="B1016" s="150" t="str">
        <f t="shared" si="334"/>
        <v/>
      </c>
      <c r="C1016" s="150" t="str">
        <f t="shared" si="335"/>
        <v/>
      </c>
      <c r="D1016" s="150" t="str">
        <f>IF(E1016="","",Input!$C$4+B1016-1)</f>
        <v/>
      </c>
      <c r="E1016" s="150" t="str">
        <f>IF(OR(AND(C1015=12,D1015=Input!$C$6),E1015=""),"",1)</f>
        <v/>
      </c>
      <c r="F1016" s="150" t="str">
        <f>IF(E1016="","",Input!$C$8+B1016-1)</f>
        <v/>
      </c>
      <c r="G1016" s="151" t="str">
        <f>IF(E1016="","",MAX(0,Input!$C$9-B1016))</f>
        <v/>
      </c>
      <c r="H1016" s="152" t="str">
        <f>IF(E1016="","",Input!$C$3)</f>
        <v/>
      </c>
      <c r="I1016" s="153" t="str">
        <f>IF(E1016="","",HLOOKUP($B1016,Input!$C$13:$BT$14,2))</f>
        <v/>
      </c>
      <c r="J1016" s="154"/>
      <c r="K1016" s="155" t="str">
        <f>IF($E1016="","",Input!$C$57)</f>
        <v/>
      </c>
      <c r="L1016" s="155" t="str">
        <f t="shared" si="326"/>
        <v/>
      </c>
      <c r="M1016" s="147" t="str">
        <f>IF($E1016="","",VLOOKUP(IF($B1016&lt;=Input!$C$7,$B1016,26),'Mortality Tables'!$A$72:$CA$97,IF($B1016&lt;=Input!$C$7+1,Input!$C$4-16,$D1016-Input!$C$7-16),0)/1000)</f>
        <v/>
      </c>
      <c r="N1016" s="147" t="str">
        <f t="shared" si="315"/>
        <v/>
      </c>
      <c r="O1016" s="157" t="str">
        <f>IF($E1016="","",IF($C1016=12,IF($B1016&lt;Input!$C$9,Input!$C$54,IF($B1016=Input!$C$9,Input!$C$55,Input!$C$56)),0%))</f>
        <v/>
      </c>
      <c r="P1016" s="167" t="str">
        <f>IF($E1016="","",IF($B1016=1,Input!$C$59,IF($B1016&lt;6,Input!$C$60,0%)))</f>
        <v/>
      </c>
      <c r="Q1016" s="162" t="str">
        <f>IF($E1016="","",Input!$C$58)</f>
        <v/>
      </c>
      <c r="R1016" s="156" t="str">
        <f t="shared" si="327"/>
        <v/>
      </c>
      <c r="S1016" s="154" t="str">
        <f t="shared" si="316"/>
        <v/>
      </c>
      <c r="T1016" s="152"/>
      <c r="U1016" s="150" t="str">
        <f t="shared" si="328"/>
        <v/>
      </c>
      <c r="V1016" s="150" t="str">
        <f t="shared" si="329"/>
        <v/>
      </c>
      <c r="W1016" s="168" t="str">
        <f t="shared" si="330"/>
        <v/>
      </c>
      <c r="X1016" s="163" t="str">
        <f t="shared" si="317"/>
        <v/>
      </c>
      <c r="Y1016" s="152"/>
      <c r="Z1016" s="164" t="str">
        <f>IF(AND($C1015=12,$D1015=Input!$C$6),0,IF($E1016="","",V1016+Z1017/(1+L1016)*R1016))</f>
        <v/>
      </c>
      <c r="AA1016" s="164" t="str">
        <f>IF(OR($M1016=1,AND($C1015=12,$D1015=Input!$C$6)),0,IF($E1016="","",W1016+(X1016+AA1017*$R1016)/(1+$L1016)))</f>
        <v/>
      </c>
      <c r="AB1016" s="160" t="str">
        <f t="shared" si="318"/>
        <v/>
      </c>
      <c r="AC1016" s="164" t="str">
        <f t="shared" si="319"/>
        <v/>
      </c>
      <c r="AD1016" s="164" t="str">
        <f>IF(AND($C1015=12,$D1015=Input!$C$6),0,IF($E1016="","",$AC1016+AD1017/(1+$L1016)*$R1016))</f>
        <v/>
      </c>
      <c r="AE1016" s="152"/>
      <c r="AF1016" s="164" t="str">
        <f>IF(AND($C1015=12,$D1015=Input!$C$6),0,IF($E1016="","",IF($B1016&gt;Input!$C$9,$AC1016,0)+AF1017/(1+$L1016)*$R1016))</f>
        <v/>
      </c>
      <c r="AG1016" s="164" t="str">
        <f>IF(AND($C1015=12,$D1015=Input!$C$6),0,IF($E1016="","",(IF($B1016&gt;Input!$C$9,$X1016,0)+AG1017)/(1+$L1016)*$R1016))</f>
        <v/>
      </c>
      <c r="AH1016" s="160" t="str">
        <f t="shared" si="320"/>
        <v/>
      </c>
      <c r="AI1016" s="160" t="str">
        <f>IF($E1016="","",MIN(Input!$C$61/AH1016,1))</f>
        <v/>
      </c>
      <c r="AJ1016" s="152"/>
      <c r="AK1016" s="164" t="str">
        <f>IF(AND($C1015=12,$D1015=Input!$C$6),0,IF($E1016="","",IF($B1016&gt;Input!$C$9,$AC1016*AI1016,0)+AK1017/(1+$L1016)*$R1016))</f>
        <v/>
      </c>
      <c r="AL1016" s="164" t="str">
        <f>IF(AND($C1015=12,$D1015=Input!$C$6),0,IF($E1016="","",IF($B1016&gt;Input!$C$9,0,$AC1016)+AL1017/(1+$L1016)*$R1016))</f>
        <v/>
      </c>
      <c r="AM1016" s="160" t="str">
        <f t="shared" si="321"/>
        <v/>
      </c>
      <c r="AN1016" s="164" t="str">
        <f>IF($E1016="","",IF($B1016&gt;Input!$C$9,$AI1016*$AC1016,$AM1016*$AC1016))</f>
        <v/>
      </c>
      <c r="AO1016" s="164" t="str">
        <f>IF(AND($C1015=12,$D1015=Input!$C$6),0,IF($E1016="","",$AN1016+AO1017/(1+$L1016)*$R1016))</f>
        <v/>
      </c>
      <c r="AP1016" s="152"/>
      <c r="AQ1016" s="164" t="str">
        <f t="shared" si="322"/>
        <v/>
      </c>
      <c r="AR1016" s="164" t="str">
        <f t="shared" si="331"/>
        <v/>
      </c>
      <c r="AS1016" s="164" t="str">
        <f t="shared" si="332"/>
        <v/>
      </c>
      <c r="AT1016" s="164" t="str">
        <f t="shared" si="323"/>
        <v/>
      </c>
      <c r="AU1016" s="152"/>
      <c r="AV1016" s="147" t="str">
        <f>'Deterministic Reserve'!BC1016</f>
        <v/>
      </c>
      <c r="AW1016" s="164" t="str">
        <f t="shared" si="324"/>
        <v/>
      </c>
      <c r="AX1016" s="164" t="str">
        <f t="shared" si="325"/>
        <v/>
      </c>
      <c r="AY1016" s="152"/>
    </row>
    <row r="1017" spans="1:51" s="150" customFormat="1" x14ac:dyDescent="0.25">
      <c r="A1017" s="150" t="str">
        <f t="shared" si="333"/>
        <v/>
      </c>
      <c r="B1017" s="150" t="str">
        <f t="shared" si="334"/>
        <v/>
      </c>
      <c r="C1017" s="150" t="str">
        <f t="shared" si="335"/>
        <v/>
      </c>
      <c r="D1017" s="150" t="str">
        <f>IF(E1017="","",Input!$C$4+B1017-1)</f>
        <v/>
      </c>
      <c r="E1017" s="150" t="str">
        <f>IF(OR(AND(C1016=12,D1016=Input!$C$6),E1016=""),"",1)</f>
        <v/>
      </c>
      <c r="F1017" s="150" t="str">
        <f>IF(E1017="","",Input!$C$8+B1017-1)</f>
        <v/>
      </c>
      <c r="G1017" s="151" t="str">
        <f>IF(E1017="","",MAX(0,Input!$C$9-B1017))</f>
        <v/>
      </c>
      <c r="H1017" s="152" t="str">
        <f>IF(E1017="","",Input!$C$3)</f>
        <v/>
      </c>
      <c r="I1017" s="153" t="str">
        <f>IF(E1017="","",HLOOKUP($B1017,Input!$C$13:$BT$14,2))</f>
        <v/>
      </c>
      <c r="J1017" s="154"/>
      <c r="K1017" s="155" t="str">
        <f>IF($E1017="","",Input!$C$57)</f>
        <v/>
      </c>
      <c r="L1017" s="155" t="str">
        <f t="shared" si="326"/>
        <v/>
      </c>
      <c r="M1017" s="147" t="str">
        <f>IF($E1017="","",VLOOKUP(IF($B1017&lt;=Input!$C$7,$B1017,26),'Mortality Tables'!$A$72:$CA$97,IF($B1017&lt;=Input!$C$7+1,Input!$C$4-16,$D1017-Input!$C$7-16),0)/1000)</f>
        <v/>
      </c>
      <c r="N1017" s="147" t="str">
        <f t="shared" si="315"/>
        <v/>
      </c>
      <c r="O1017" s="157" t="str">
        <f>IF($E1017="","",IF($C1017=12,IF($B1017&lt;Input!$C$9,Input!$C$54,IF($B1017=Input!$C$9,Input!$C$55,Input!$C$56)),0%))</f>
        <v/>
      </c>
      <c r="P1017" s="167" t="str">
        <f>IF($E1017="","",IF($B1017=1,Input!$C$59,IF($B1017&lt;6,Input!$C$60,0%)))</f>
        <v/>
      </c>
      <c r="Q1017" s="162" t="str">
        <f>IF($E1017="","",Input!$C$58)</f>
        <v/>
      </c>
      <c r="R1017" s="156" t="str">
        <f t="shared" si="327"/>
        <v/>
      </c>
      <c r="S1017" s="154" t="str">
        <f t="shared" si="316"/>
        <v/>
      </c>
      <c r="T1017" s="152"/>
      <c r="U1017" s="150" t="str">
        <f t="shared" si="328"/>
        <v/>
      </c>
      <c r="V1017" s="150" t="str">
        <f t="shared" si="329"/>
        <v/>
      </c>
      <c r="W1017" s="168" t="str">
        <f t="shared" si="330"/>
        <v/>
      </c>
      <c r="X1017" s="163" t="str">
        <f t="shared" si="317"/>
        <v/>
      </c>
      <c r="Y1017" s="152"/>
      <c r="Z1017" s="164" t="str">
        <f>IF(AND($C1016=12,$D1016=Input!$C$6),0,IF($E1017="","",V1017+Z1018/(1+L1017)*R1017))</f>
        <v/>
      </c>
      <c r="AA1017" s="164" t="str">
        <f>IF(OR($M1017=1,AND($C1016=12,$D1016=Input!$C$6)),0,IF($E1017="","",W1017+(X1017+AA1018*$R1017)/(1+$L1017)))</f>
        <v/>
      </c>
      <c r="AB1017" s="160" t="str">
        <f t="shared" si="318"/>
        <v/>
      </c>
      <c r="AC1017" s="164" t="str">
        <f t="shared" si="319"/>
        <v/>
      </c>
      <c r="AD1017" s="164" t="str">
        <f>IF(AND($C1016=12,$D1016=Input!$C$6),0,IF($E1017="","",$AC1017+AD1018/(1+$L1017)*$R1017))</f>
        <v/>
      </c>
      <c r="AE1017" s="152"/>
      <c r="AF1017" s="164" t="str">
        <f>IF(AND($C1016=12,$D1016=Input!$C$6),0,IF($E1017="","",IF($B1017&gt;Input!$C$9,$AC1017,0)+AF1018/(1+$L1017)*$R1017))</f>
        <v/>
      </c>
      <c r="AG1017" s="164" t="str">
        <f>IF(AND($C1016=12,$D1016=Input!$C$6),0,IF($E1017="","",(IF($B1017&gt;Input!$C$9,$X1017,0)+AG1018)/(1+$L1017)*$R1017))</f>
        <v/>
      </c>
      <c r="AH1017" s="160" t="str">
        <f t="shared" si="320"/>
        <v/>
      </c>
      <c r="AI1017" s="160" t="str">
        <f>IF($E1017="","",MIN(Input!$C$61/AH1017,1))</f>
        <v/>
      </c>
      <c r="AJ1017" s="152"/>
      <c r="AK1017" s="164" t="str">
        <f>IF(AND($C1016=12,$D1016=Input!$C$6),0,IF($E1017="","",IF($B1017&gt;Input!$C$9,$AC1017*AI1017,0)+AK1018/(1+$L1017)*$R1017))</f>
        <v/>
      </c>
      <c r="AL1017" s="164" t="str">
        <f>IF(AND($C1016=12,$D1016=Input!$C$6),0,IF($E1017="","",IF($B1017&gt;Input!$C$9,0,$AC1017)+AL1018/(1+$L1017)*$R1017))</f>
        <v/>
      </c>
      <c r="AM1017" s="160" t="str">
        <f t="shared" si="321"/>
        <v/>
      </c>
      <c r="AN1017" s="164" t="str">
        <f>IF($E1017="","",IF($B1017&gt;Input!$C$9,$AI1017*$AC1017,$AM1017*$AC1017))</f>
        <v/>
      </c>
      <c r="AO1017" s="164" t="str">
        <f>IF(AND($C1016=12,$D1016=Input!$C$6),0,IF($E1017="","",$AN1017+AO1018/(1+$L1017)*$R1017))</f>
        <v/>
      </c>
      <c r="AP1017" s="152"/>
      <c r="AQ1017" s="164" t="str">
        <f t="shared" si="322"/>
        <v/>
      </c>
      <c r="AR1017" s="164" t="str">
        <f t="shared" si="331"/>
        <v/>
      </c>
      <c r="AS1017" s="164" t="str">
        <f t="shared" si="332"/>
        <v/>
      </c>
      <c r="AT1017" s="164" t="str">
        <f t="shared" si="323"/>
        <v/>
      </c>
      <c r="AU1017" s="152"/>
      <c r="AV1017" s="147" t="str">
        <f>'Deterministic Reserve'!BC1017</f>
        <v/>
      </c>
      <c r="AW1017" s="164" t="str">
        <f t="shared" si="324"/>
        <v/>
      </c>
      <c r="AX1017" s="164" t="str">
        <f t="shared" si="325"/>
        <v/>
      </c>
      <c r="AY1017" s="152"/>
    </row>
    <row r="1018" spans="1:51" s="150" customFormat="1" x14ac:dyDescent="0.25">
      <c r="A1018" s="150" t="str">
        <f t="shared" si="333"/>
        <v/>
      </c>
      <c r="B1018" s="150" t="str">
        <f t="shared" si="334"/>
        <v/>
      </c>
      <c r="C1018" s="150" t="str">
        <f t="shared" si="335"/>
        <v/>
      </c>
      <c r="D1018" s="150" t="str">
        <f>IF(E1018="","",Input!$C$4+B1018-1)</f>
        <v/>
      </c>
      <c r="E1018" s="150" t="str">
        <f>IF(OR(AND(C1017=12,D1017=Input!$C$6),E1017=""),"",1)</f>
        <v/>
      </c>
      <c r="F1018" s="150" t="str">
        <f>IF(E1018="","",Input!$C$8+B1018-1)</f>
        <v/>
      </c>
      <c r="G1018" s="151" t="str">
        <f>IF(E1018="","",MAX(0,Input!$C$9-B1018))</f>
        <v/>
      </c>
      <c r="H1018" s="152" t="str">
        <f>IF(E1018="","",Input!$C$3)</f>
        <v/>
      </c>
      <c r="I1018" s="153" t="str">
        <f>IF(E1018="","",HLOOKUP($B1018,Input!$C$13:$BT$14,2))</f>
        <v/>
      </c>
      <c r="J1018" s="154"/>
      <c r="K1018" s="155" t="str">
        <f>IF($E1018="","",Input!$C$57)</f>
        <v/>
      </c>
      <c r="L1018" s="155" t="str">
        <f t="shared" si="326"/>
        <v/>
      </c>
      <c r="M1018" s="147" t="str">
        <f>IF($E1018="","",VLOOKUP(IF($B1018&lt;=Input!$C$7,$B1018,26),'Mortality Tables'!$A$72:$CA$97,IF($B1018&lt;=Input!$C$7+1,Input!$C$4-16,$D1018-Input!$C$7-16),0)/1000)</f>
        <v/>
      </c>
      <c r="N1018" s="147" t="str">
        <f t="shared" si="315"/>
        <v/>
      </c>
      <c r="O1018" s="157" t="str">
        <f>IF($E1018="","",IF($C1018=12,IF($B1018&lt;Input!$C$9,Input!$C$54,IF($B1018=Input!$C$9,Input!$C$55,Input!$C$56)),0%))</f>
        <v/>
      </c>
      <c r="P1018" s="167" t="str">
        <f>IF($E1018="","",IF($B1018=1,Input!$C$59,IF($B1018&lt;6,Input!$C$60,0%)))</f>
        <v/>
      </c>
      <c r="Q1018" s="162" t="str">
        <f>IF($E1018="","",Input!$C$58)</f>
        <v/>
      </c>
      <c r="R1018" s="156" t="str">
        <f t="shared" si="327"/>
        <v/>
      </c>
      <c r="S1018" s="154" t="str">
        <f t="shared" si="316"/>
        <v/>
      </c>
      <c r="T1018" s="152"/>
      <c r="U1018" s="150" t="str">
        <f t="shared" si="328"/>
        <v/>
      </c>
      <c r="V1018" s="150" t="str">
        <f t="shared" si="329"/>
        <v/>
      </c>
      <c r="W1018" s="168" t="str">
        <f t="shared" si="330"/>
        <v/>
      </c>
      <c r="X1018" s="163" t="str">
        <f t="shared" si="317"/>
        <v/>
      </c>
      <c r="Y1018" s="152"/>
      <c r="Z1018" s="164" t="str">
        <f>IF(AND($C1017=12,$D1017=Input!$C$6),0,IF($E1018="","",V1018+Z1019/(1+L1018)*R1018))</f>
        <v/>
      </c>
      <c r="AA1018" s="164" t="str">
        <f>IF(OR($M1018=1,AND($C1017=12,$D1017=Input!$C$6)),0,IF($E1018="","",W1018+(X1018+AA1019*$R1018)/(1+$L1018)))</f>
        <v/>
      </c>
      <c r="AB1018" s="160" t="str">
        <f t="shared" si="318"/>
        <v/>
      </c>
      <c r="AC1018" s="164" t="str">
        <f t="shared" si="319"/>
        <v/>
      </c>
      <c r="AD1018" s="164" t="str">
        <f>IF(AND($C1017=12,$D1017=Input!$C$6),0,IF($E1018="","",$AC1018+AD1019/(1+$L1018)*$R1018))</f>
        <v/>
      </c>
      <c r="AE1018" s="152"/>
      <c r="AF1018" s="164" t="str">
        <f>IF(AND($C1017=12,$D1017=Input!$C$6),0,IF($E1018="","",IF($B1018&gt;Input!$C$9,$AC1018,0)+AF1019/(1+$L1018)*$R1018))</f>
        <v/>
      </c>
      <c r="AG1018" s="164" t="str">
        <f>IF(AND($C1017=12,$D1017=Input!$C$6),0,IF($E1018="","",(IF($B1018&gt;Input!$C$9,$X1018,0)+AG1019)/(1+$L1018)*$R1018))</f>
        <v/>
      </c>
      <c r="AH1018" s="160" t="str">
        <f t="shared" si="320"/>
        <v/>
      </c>
      <c r="AI1018" s="160" t="str">
        <f>IF($E1018="","",MIN(Input!$C$61/AH1018,1))</f>
        <v/>
      </c>
      <c r="AJ1018" s="152"/>
      <c r="AK1018" s="164" t="str">
        <f>IF(AND($C1017=12,$D1017=Input!$C$6),0,IF($E1018="","",IF($B1018&gt;Input!$C$9,$AC1018*AI1018,0)+AK1019/(1+$L1018)*$R1018))</f>
        <v/>
      </c>
      <c r="AL1018" s="164" t="str">
        <f>IF(AND($C1017=12,$D1017=Input!$C$6),0,IF($E1018="","",IF($B1018&gt;Input!$C$9,0,$AC1018)+AL1019/(1+$L1018)*$R1018))</f>
        <v/>
      </c>
      <c r="AM1018" s="160" t="str">
        <f t="shared" si="321"/>
        <v/>
      </c>
      <c r="AN1018" s="164" t="str">
        <f>IF($E1018="","",IF($B1018&gt;Input!$C$9,$AI1018*$AC1018,$AM1018*$AC1018))</f>
        <v/>
      </c>
      <c r="AO1018" s="164" t="str">
        <f>IF(AND($C1017=12,$D1017=Input!$C$6),0,IF($E1018="","",$AN1018+AO1019/(1+$L1018)*$R1018))</f>
        <v/>
      </c>
      <c r="AP1018" s="152"/>
      <c r="AQ1018" s="164" t="str">
        <f t="shared" si="322"/>
        <v/>
      </c>
      <c r="AR1018" s="164" t="str">
        <f t="shared" si="331"/>
        <v/>
      </c>
      <c r="AS1018" s="164" t="str">
        <f t="shared" si="332"/>
        <v/>
      </c>
      <c r="AT1018" s="164" t="str">
        <f t="shared" si="323"/>
        <v/>
      </c>
      <c r="AU1018" s="152"/>
      <c r="AV1018" s="147" t="str">
        <f>'Deterministic Reserve'!BC1018</f>
        <v/>
      </c>
      <c r="AW1018" s="164" t="str">
        <f t="shared" si="324"/>
        <v/>
      </c>
      <c r="AX1018" s="164" t="str">
        <f t="shared" si="325"/>
        <v/>
      </c>
      <c r="AY1018" s="152"/>
    </row>
    <row r="1019" spans="1:51" s="150" customFormat="1" x14ac:dyDescent="0.25">
      <c r="A1019" s="150" t="str">
        <f t="shared" si="333"/>
        <v/>
      </c>
      <c r="B1019" s="150" t="str">
        <f t="shared" si="334"/>
        <v/>
      </c>
      <c r="C1019" s="150" t="str">
        <f t="shared" si="335"/>
        <v/>
      </c>
      <c r="D1019" s="150" t="str">
        <f>IF(E1019="","",Input!$C$4+B1019-1)</f>
        <v/>
      </c>
      <c r="E1019" s="150" t="str">
        <f>IF(OR(AND(C1018=12,D1018=Input!$C$6),E1018=""),"",1)</f>
        <v/>
      </c>
      <c r="F1019" s="150" t="str">
        <f>IF(E1019="","",Input!$C$8+B1019-1)</f>
        <v/>
      </c>
      <c r="G1019" s="151" t="str">
        <f>IF(E1019="","",MAX(0,Input!$C$9-B1019))</f>
        <v/>
      </c>
      <c r="H1019" s="152" t="str">
        <f>IF(E1019="","",Input!$C$3)</f>
        <v/>
      </c>
      <c r="I1019" s="153" t="str">
        <f>IF(E1019="","",HLOOKUP($B1019,Input!$C$13:$BT$14,2))</f>
        <v/>
      </c>
      <c r="J1019" s="154"/>
      <c r="K1019" s="155" t="str">
        <f>IF($E1019="","",Input!$C$57)</f>
        <v/>
      </c>
      <c r="L1019" s="155" t="str">
        <f t="shared" si="326"/>
        <v/>
      </c>
      <c r="M1019" s="147" t="str">
        <f>IF($E1019="","",VLOOKUP(IF($B1019&lt;=Input!$C$7,$B1019,26),'Mortality Tables'!$A$72:$CA$97,IF($B1019&lt;=Input!$C$7+1,Input!$C$4-16,$D1019-Input!$C$7-16),0)/1000)</f>
        <v/>
      </c>
      <c r="N1019" s="147" t="str">
        <f t="shared" si="315"/>
        <v/>
      </c>
      <c r="O1019" s="157" t="str">
        <f>IF($E1019="","",IF($C1019=12,IF($B1019&lt;Input!$C$9,Input!$C$54,IF($B1019=Input!$C$9,Input!$C$55,Input!$C$56)),0%))</f>
        <v/>
      </c>
      <c r="P1019" s="167" t="str">
        <f>IF($E1019="","",IF($B1019=1,Input!$C$59,IF($B1019&lt;6,Input!$C$60,0%)))</f>
        <v/>
      </c>
      <c r="Q1019" s="162" t="str">
        <f>IF($E1019="","",Input!$C$58)</f>
        <v/>
      </c>
      <c r="R1019" s="156" t="str">
        <f t="shared" si="327"/>
        <v/>
      </c>
      <c r="S1019" s="154" t="str">
        <f t="shared" si="316"/>
        <v/>
      </c>
      <c r="T1019" s="152"/>
      <c r="U1019" s="150" t="str">
        <f t="shared" si="328"/>
        <v/>
      </c>
      <c r="V1019" s="150" t="str">
        <f t="shared" si="329"/>
        <v/>
      </c>
      <c r="W1019" s="168" t="str">
        <f t="shared" si="330"/>
        <v/>
      </c>
      <c r="X1019" s="163" t="str">
        <f t="shared" si="317"/>
        <v/>
      </c>
      <c r="Y1019" s="152"/>
      <c r="Z1019" s="164" t="str">
        <f>IF(AND($C1018=12,$D1018=Input!$C$6),0,IF($E1019="","",V1019+Z1020/(1+L1019)*R1019))</f>
        <v/>
      </c>
      <c r="AA1019" s="164" t="str">
        <f>IF(OR($M1019=1,AND($C1018=12,$D1018=Input!$C$6)),0,IF($E1019="","",W1019+(X1019+AA1020*$R1019)/(1+$L1019)))</f>
        <v/>
      </c>
      <c r="AB1019" s="160" t="str">
        <f t="shared" si="318"/>
        <v/>
      </c>
      <c r="AC1019" s="164" t="str">
        <f t="shared" si="319"/>
        <v/>
      </c>
      <c r="AD1019" s="164" t="str">
        <f>IF(AND($C1018=12,$D1018=Input!$C$6),0,IF($E1019="","",$AC1019+AD1020/(1+$L1019)*$R1019))</f>
        <v/>
      </c>
      <c r="AE1019" s="152"/>
      <c r="AF1019" s="164" t="str">
        <f>IF(AND($C1018=12,$D1018=Input!$C$6),0,IF($E1019="","",IF($B1019&gt;Input!$C$9,$AC1019,0)+AF1020/(1+$L1019)*$R1019))</f>
        <v/>
      </c>
      <c r="AG1019" s="164" t="str">
        <f>IF(AND($C1018=12,$D1018=Input!$C$6),0,IF($E1019="","",(IF($B1019&gt;Input!$C$9,$X1019,0)+AG1020)/(1+$L1019)*$R1019))</f>
        <v/>
      </c>
      <c r="AH1019" s="160" t="str">
        <f t="shared" si="320"/>
        <v/>
      </c>
      <c r="AI1019" s="160" t="str">
        <f>IF($E1019="","",MIN(Input!$C$61/AH1019,1))</f>
        <v/>
      </c>
      <c r="AJ1019" s="152"/>
      <c r="AK1019" s="164" t="str">
        <f>IF(AND($C1018=12,$D1018=Input!$C$6),0,IF($E1019="","",IF($B1019&gt;Input!$C$9,$AC1019*AI1019,0)+AK1020/(1+$L1019)*$R1019))</f>
        <v/>
      </c>
      <c r="AL1019" s="164" t="str">
        <f>IF(AND($C1018=12,$D1018=Input!$C$6),0,IF($E1019="","",IF($B1019&gt;Input!$C$9,0,$AC1019)+AL1020/(1+$L1019)*$R1019))</f>
        <v/>
      </c>
      <c r="AM1019" s="160" t="str">
        <f t="shared" si="321"/>
        <v/>
      </c>
      <c r="AN1019" s="164" t="str">
        <f>IF($E1019="","",IF($B1019&gt;Input!$C$9,$AI1019*$AC1019,$AM1019*$AC1019))</f>
        <v/>
      </c>
      <c r="AO1019" s="164" t="str">
        <f>IF(AND($C1018=12,$D1018=Input!$C$6),0,IF($E1019="","",$AN1019+AO1020/(1+$L1019)*$R1019))</f>
        <v/>
      </c>
      <c r="AP1019" s="152"/>
      <c r="AQ1019" s="164" t="str">
        <f t="shared" si="322"/>
        <v/>
      </c>
      <c r="AR1019" s="164" t="str">
        <f t="shared" si="331"/>
        <v/>
      </c>
      <c r="AS1019" s="164" t="str">
        <f t="shared" si="332"/>
        <v/>
      </c>
      <c r="AT1019" s="164" t="str">
        <f t="shared" si="323"/>
        <v/>
      </c>
      <c r="AU1019" s="152"/>
      <c r="AV1019" s="147" t="str">
        <f>'Deterministic Reserve'!BC1019</f>
        <v/>
      </c>
      <c r="AW1019" s="164" t="str">
        <f t="shared" si="324"/>
        <v/>
      </c>
      <c r="AX1019" s="164" t="str">
        <f t="shared" si="325"/>
        <v/>
      </c>
      <c r="AY1019" s="152"/>
    </row>
    <row r="1020" spans="1:51" s="150" customFormat="1" x14ac:dyDescent="0.25">
      <c r="A1020" s="150" t="str">
        <f t="shared" si="333"/>
        <v/>
      </c>
      <c r="B1020" s="150" t="str">
        <f t="shared" si="334"/>
        <v/>
      </c>
      <c r="C1020" s="150" t="str">
        <f t="shared" si="335"/>
        <v/>
      </c>
      <c r="D1020" s="150" t="str">
        <f>IF(E1020="","",Input!$C$4+B1020-1)</f>
        <v/>
      </c>
      <c r="E1020" s="150" t="str">
        <f>IF(OR(AND(C1019=12,D1019=Input!$C$6),E1019=""),"",1)</f>
        <v/>
      </c>
      <c r="F1020" s="150" t="str">
        <f>IF(E1020="","",Input!$C$8+B1020-1)</f>
        <v/>
      </c>
      <c r="G1020" s="151" t="str">
        <f>IF(E1020="","",MAX(0,Input!$C$9-B1020))</f>
        <v/>
      </c>
      <c r="H1020" s="152" t="str">
        <f>IF(E1020="","",Input!$C$3)</f>
        <v/>
      </c>
      <c r="I1020" s="153" t="str">
        <f>IF(E1020="","",HLOOKUP($B1020,Input!$C$13:$BT$14,2))</f>
        <v/>
      </c>
      <c r="J1020" s="154"/>
      <c r="K1020" s="155" t="str">
        <f>IF($E1020="","",Input!$C$57)</f>
        <v/>
      </c>
      <c r="L1020" s="155" t="str">
        <f t="shared" si="326"/>
        <v/>
      </c>
      <c r="M1020" s="147" t="str">
        <f>IF($E1020="","",VLOOKUP(IF($B1020&lt;=Input!$C$7,$B1020,26),'Mortality Tables'!$A$72:$CA$97,IF($B1020&lt;=Input!$C$7+1,Input!$C$4-16,$D1020-Input!$C$7-16),0)/1000)</f>
        <v/>
      </c>
      <c r="N1020" s="147" t="str">
        <f t="shared" si="315"/>
        <v/>
      </c>
      <c r="O1020" s="157" t="str">
        <f>IF($E1020="","",IF($C1020=12,IF($B1020&lt;Input!$C$9,Input!$C$54,IF($B1020=Input!$C$9,Input!$C$55,Input!$C$56)),0%))</f>
        <v/>
      </c>
      <c r="P1020" s="167" t="str">
        <f>IF($E1020="","",IF($B1020=1,Input!$C$59,IF($B1020&lt;6,Input!$C$60,0%)))</f>
        <v/>
      </c>
      <c r="Q1020" s="162" t="str">
        <f>IF($E1020="","",Input!$C$58)</f>
        <v/>
      </c>
      <c r="R1020" s="156" t="str">
        <f t="shared" si="327"/>
        <v/>
      </c>
      <c r="S1020" s="154" t="str">
        <f t="shared" si="316"/>
        <v/>
      </c>
      <c r="T1020" s="152"/>
      <c r="U1020" s="150" t="str">
        <f t="shared" si="328"/>
        <v/>
      </c>
      <c r="V1020" s="150" t="str">
        <f t="shared" si="329"/>
        <v/>
      </c>
      <c r="W1020" s="168" t="str">
        <f t="shared" si="330"/>
        <v/>
      </c>
      <c r="X1020" s="163" t="str">
        <f t="shared" si="317"/>
        <v/>
      </c>
      <c r="Y1020" s="152"/>
      <c r="Z1020" s="164" t="str">
        <f>IF(AND($C1019=12,$D1019=Input!$C$6),0,IF($E1020="","",V1020+Z1021/(1+L1020)*R1020))</f>
        <v/>
      </c>
      <c r="AA1020" s="164" t="str">
        <f>IF(OR($M1020=1,AND($C1019=12,$D1019=Input!$C$6)),0,IF($E1020="","",W1020+(X1020+AA1021*$R1020)/(1+$L1020)))</f>
        <v/>
      </c>
      <c r="AB1020" s="160" t="str">
        <f t="shared" si="318"/>
        <v/>
      </c>
      <c r="AC1020" s="164" t="str">
        <f t="shared" si="319"/>
        <v/>
      </c>
      <c r="AD1020" s="164" t="str">
        <f>IF(AND($C1019=12,$D1019=Input!$C$6),0,IF($E1020="","",$AC1020+AD1021/(1+$L1020)*$R1020))</f>
        <v/>
      </c>
      <c r="AE1020" s="152"/>
      <c r="AF1020" s="164" t="str">
        <f>IF(AND($C1019=12,$D1019=Input!$C$6),0,IF($E1020="","",IF($B1020&gt;Input!$C$9,$AC1020,0)+AF1021/(1+$L1020)*$R1020))</f>
        <v/>
      </c>
      <c r="AG1020" s="164" t="str">
        <f>IF(AND($C1019=12,$D1019=Input!$C$6),0,IF($E1020="","",(IF($B1020&gt;Input!$C$9,$X1020,0)+AG1021)/(1+$L1020)*$R1020))</f>
        <v/>
      </c>
      <c r="AH1020" s="160" t="str">
        <f t="shared" si="320"/>
        <v/>
      </c>
      <c r="AI1020" s="160" t="str">
        <f>IF($E1020="","",MIN(Input!$C$61/AH1020,1))</f>
        <v/>
      </c>
      <c r="AJ1020" s="152"/>
      <c r="AK1020" s="164" t="str">
        <f>IF(AND($C1019=12,$D1019=Input!$C$6),0,IF($E1020="","",IF($B1020&gt;Input!$C$9,$AC1020*AI1020,0)+AK1021/(1+$L1020)*$R1020))</f>
        <v/>
      </c>
      <c r="AL1020" s="164" t="str">
        <f>IF(AND($C1019=12,$D1019=Input!$C$6),0,IF($E1020="","",IF($B1020&gt;Input!$C$9,0,$AC1020)+AL1021/(1+$L1020)*$R1020))</f>
        <v/>
      </c>
      <c r="AM1020" s="160" t="str">
        <f t="shared" si="321"/>
        <v/>
      </c>
      <c r="AN1020" s="164" t="str">
        <f>IF($E1020="","",IF($B1020&gt;Input!$C$9,$AI1020*$AC1020,$AM1020*$AC1020))</f>
        <v/>
      </c>
      <c r="AO1020" s="164" t="str">
        <f>IF(AND($C1019=12,$D1019=Input!$C$6),0,IF($E1020="","",$AN1020+AO1021/(1+$L1020)*$R1020))</f>
        <v/>
      </c>
      <c r="AP1020" s="152"/>
      <c r="AQ1020" s="164" t="str">
        <f t="shared" si="322"/>
        <v/>
      </c>
      <c r="AR1020" s="164" t="str">
        <f t="shared" si="331"/>
        <v/>
      </c>
      <c r="AS1020" s="164" t="str">
        <f t="shared" si="332"/>
        <v/>
      </c>
      <c r="AT1020" s="164" t="str">
        <f t="shared" si="323"/>
        <v/>
      </c>
      <c r="AU1020" s="152"/>
      <c r="AV1020" s="147" t="str">
        <f>'Deterministic Reserve'!BC1020</f>
        <v/>
      </c>
      <c r="AW1020" s="164" t="str">
        <f t="shared" si="324"/>
        <v/>
      </c>
      <c r="AX1020" s="164" t="str">
        <f t="shared" si="325"/>
        <v/>
      </c>
      <c r="AY1020" s="152"/>
    </row>
    <row r="1021" spans="1:51" s="150" customFormat="1" x14ac:dyDescent="0.25">
      <c r="A1021" s="150" t="str">
        <f t="shared" si="333"/>
        <v/>
      </c>
      <c r="B1021" s="150" t="str">
        <f t="shared" si="334"/>
        <v/>
      </c>
      <c r="C1021" s="150" t="str">
        <f t="shared" si="335"/>
        <v/>
      </c>
      <c r="D1021" s="150" t="str">
        <f>IF(E1021="","",Input!$C$4+B1021-1)</f>
        <v/>
      </c>
      <c r="E1021" s="150" t="str">
        <f>IF(OR(AND(C1020=12,D1020=Input!$C$6),E1020=""),"",1)</f>
        <v/>
      </c>
      <c r="F1021" s="150" t="str">
        <f>IF(E1021="","",Input!$C$8+B1021-1)</f>
        <v/>
      </c>
      <c r="G1021" s="151" t="str">
        <f>IF(E1021="","",MAX(0,Input!$C$9-B1021))</f>
        <v/>
      </c>
      <c r="H1021" s="152" t="str">
        <f>IF(E1021="","",Input!$C$3)</f>
        <v/>
      </c>
      <c r="I1021" s="153" t="str">
        <f>IF(E1021="","",HLOOKUP($B1021,Input!$C$13:$BT$14,2))</f>
        <v/>
      </c>
      <c r="J1021" s="154"/>
      <c r="K1021" s="155" t="str">
        <f>IF($E1021="","",Input!$C$57)</f>
        <v/>
      </c>
      <c r="L1021" s="155" t="str">
        <f t="shared" si="326"/>
        <v/>
      </c>
      <c r="M1021" s="147" t="str">
        <f>IF($E1021="","",VLOOKUP(IF($B1021&lt;=Input!$C$7,$B1021,26),'Mortality Tables'!$A$72:$CA$97,IF($B1021&lt;=Input!$C$7+1,Input!$C$4-16,$D1021-Input!$C$7-16),0)/1000)</f>
        <v/>
      </c>
      <c r="N1021" s="147" t="str">
        <f t="shared" si="315"/>
        <v/>
      </c>
      <c r="O1021" s="157" t="str">
        <f>IF($E1021="","",IF($C1021=12,IF($B1021&lt;Input!$C$9,Input!$C$54,IF($B1021=Input!$C$9,Input!$C$55,Input!$C$56)),0%))</f>
        <v/>
      </c>
      <c r="P1021" s="167" t="str">
        <f>IF($E1021="","",IF($B1021=1,Input!$C$59,IF($B1021&lt;6,Input!$C$60,0%)))</f>
        <v/>
      </c>
      <c r="Q1021" s="162" t="str">
        <f>IF($E1021="","",Input!$C$58)</f>
        <v/>
      </c>
      <c r="R1021" s="156" t="str">
        <f t="shared" si="327"/>
        <v/>
      </c>
      <c r="S1021" s="154" t="str">
        <f t="shared" si="316"/>
        <v/>
      </c>
      <c r="T1021" s="152"/>
      <c r="U1021" s="150" t="str">
        <f t="shared" si="328"/>
        <v/>
      </c>
      <c r="V1021" s="150" t="str">
        <f t="shared" si="329"/>
        <v/>
      </c>
      <c r="W1021" s="168" t="str">
        <f t="shared" si="330"/>
        <v/>
      </c>
      <c r="X1021" s="163" t="str">
        <f t="shared" si="317"/>
        <v/>
      </c>
      <c r="Y1021" s="152"/>
      <c r="Z1021" s="164" t="str">
        <f>IF(AND($C1020=12,$D1020=Input!$C$6),0,IF($E1021="","",V1021+Z1022/(1+L1021)*R1021))</f>
        <v/>
      </c>
      <c r="AA1021" s="164" t="str">
        <f>IF(OR($M1021=1,AND($C1020=12,$D1020=Input!$C$6)),0,IF($E1021="","",W1021+(X1021+AA1022*$R1021)/(1+$L1021)))</f>
        <v/>
      </c>
      <c r="AB1021" s="160" t="str">
        <f t="shared" si="318"/>
        <v/>
      </c>
      <c r="AC1021" s="164" t="str">
        <f t="shared" si="319"/>
        <v/>
      </c>
      <c r="AD1021" s="164" t="str">
        <f>IF(AND($C1020=12,$D1020=Input!$C$6),0,IF($E1021="","",$AC1021+AD1022/(1+$L1021)*$R1021))</f>
        <v/>
      </c>
      <c r="AE1021" s="152"/>
      <c r="AF1021" s="164" t="str">
        <f>IF(AND($C1020=12,$D1020=Input!$C$6),0,IF($E1021="","",IF($B1021&gt;Input!$C$9,$AC1021,0)+AF1022/(1+$L1021)*$R1021))</f>
        <v/>
      </c>
      <c r="AG1021" s="164" t="str">
        <f>IF(AND($C1020=12,$D1020=Input!$C$6),0,IF($E1021="","",(IF($B1021&gt;Input!$C$9,$X1021,0)+AG1022)/(1+$L1021)*$R1021))</f>
        <v/>
      </c>
      <c r="AH1021" s="160" t="str">
        <f t="shared" si="320"/>
        <v/>
      </c>
      <c r="AI1021" s="160" t="str">
        <f>IF($E1021="","",MIN(Input!$C$61/AH1021,1))</f>
        <v/>
      </c>
      <c r="AJ1021" s="152"/>
      <c r="AK1021" s="164" t="str">
        <f>IF(AND($C1020=12,$D1020=Input!$C$6),0,IF($E1021="","",IF($B1021&gt;Input!$C$9,$AC1021*AI1021,0)+AK1022/(1+$L1021)*$R1021))</f>
        <v/>
      </c>
      <c r="AL1021" s="164" t="str">
        <f>IF(AND($C1020=12,$D1020=Input!$C$6),0,IF($E1021="","",IF($B1021&gt;Input!$C$9,0,$AC1021)+AL1022/(1+$L1021)*$R1021))</f>
        <v/>
      </c>
      <c r="AM1021" s="160" t="str">
        <f t="shared" si="321"/>
        <v/>
      </c>
      <c r="AN1021" s="164" t="str">
        <f>IF($E1021="","",IF($B1021&gt;Input!$C$9,$AI1021*$AC1021,$AM1021*$AC1021))</f>
        <v/>
      </c>
      <c r="AO1021" s="164" t="str">
        <f>IF(AND($C1020=12,$D1020=Input!$C$6),0,IF($E1021="","",$AN1021+AO1022/(1+$L1021)*$R1021))</f>
        <v/>
      </c>
      <c r="AP1021" s="152"/>
      <c r="AQ1021" s="164" t="str">
        <f t="shared" si="322"/>
        <v/>
      </c>
      <c r="AR1021" s="164" t="str">
        <f t="shared" si="331"/>
        <v/>
      </c>
      <c r="AS1021" s="164" t="str">
        <f t="shared" si="332"/>
        <v/>
      </c>
      <c r="AT1021" s="164" t="str">
        <f t="shared" si="323"/>
        <v/>
      </c>
      <c r="AU1021" s="152"/>
      <c r="AV1021" s="147" t="str">
        <f>'Deterministic Reserve'!BC1021</f>
        <v/>
      </c>
      <c r="AW1021" s="164" t="str">
        <f t="shared" si="324"/>
        <v/>
      </c>
      <c r="AX1021" s="164" t="str">
        <f t="shared" si="325"/>
        <v/>
      </c>
      <c r="AY1021" s="152"/>
    </row>
    <row r="1022" spans="1:51" s="150" customFormat="1" x14ac:dyDescent="0.25">
      <c r="A1022" s="150" t="str">
        <f t="shared" si="333"/>
        <v/>
      </c>
      <c r="B1022" s="150" t="str">
        <f t="shared" si="334"/>
        <v/>
      </c>
      <c r="C1022" s="150" t="str">
        <f t="shared" si="335"/>
        <v/>
      </c>
      <c r="D1022" s="150" t="str">
        <f>IF(E1022="","",Input!$C$4+B1022-1)</f>
        <v/>
      </c>
      <c r="E1022" s="150" t="str">
        <f>IF(OR(AND(C1021=12,D1021=Input!$C$6),E1021=""),"",1)</f>
        <v/>
      </c>
      <c r="F1022" s="150" t="str">
        <f>IF(E1022="","",Input!$C$8+B1022-1)</f>
        <v/>
      </c>
      <c r="G1022" s="151" t="str">
        <f>IF(E1022="","",MAX(0,Input!$C$9-B1022))</f>
        <v/>
      </c>
      <c r="H1022" s="152" t="str">
        <f>IF(E1022="","",Input!$C$3)</f>
        <v/>
      </c>
      <c r="I1022" s="153" t="str">
        <f>IF(E1022="","",HLOOKUP($B1022,Input!$C$13:$BT$14,2))</f>
        <v/>
      </c>
      <c r="J1022" s="154"/>
      <c r="K1022" s="155" t="str">
        <f>IF($E1022="","",Input!$C$57)</f>
        <v/>
      </c>
      <c r="L1022" s="155" t="str">
        <f t="shared" si="326"/>
        <v/>
      </c>
      <c r="M1022" s="147" t="str">
        <f>IF($E1022="","",VLOOKUP(IF($B1022&lt;=Input!$C$7,$B1022,26),'Mortality Tables'!$A$72:$CA$97,IF($B1022&lt;=Input!$C$7+1,Input!$C$4-16,$D1022-Input!$C$7-16),0)/1000)</f>
        <v/>
      </c>
      <c r="N1022" s="147" t="str">
        <f t="shared" si="315"/>
        <v/>
      </c>
      <c r="O1022" s="157" t="str">
        <f>IF($E1022="","",IF($C1022=12,IF($B1022&lt;Input!$C$9,Input!$C$54,IF($B1022=Input!$C$9,Input!$C$55,Input!$C$56)),0%))</f>
        <v/>
      </c>
      <c r="P1022" s="167" t="str">
        <f>IF($E1022="","",IF($B1022=1,Input!$C$59,IF($B1022&lt;6,Input!$C$60,0%)))</f>
        <v/>
      </c>
      <c r="Q1022" s="162" t="str">
        <f>IF($E1022="","",Input!$C$58)</f>
        <v/>
      </c>
      <c r="R1022" s="156" t="str">
        <f t="shared" si="327"/>
        <v/>
      </c>
      <c r="S1022" s="154" t="str">
        <f t="shared" si="316"/>
        <v/>
      </c>
      <c r="T1022" s="152"/>
      <c r="U1022" s="150" t="str">
        <f t="shared" si="328"/>
        <v/>
      </c>
      <c r="V1022" s="150" t="str">
        <f t="shared" si="329"/>
        <v/>
      </c>
      <c r="W1022" s="168" t="str">
        <f t="shared" si="330"/>
        <v/>
      </c>
      <c r="X1022" s="163" t="str">
        <f t="shared" si="317"/>
        <v/>
      </c>
      <c r="Y1022" s="152"/>
      <c r="Z1022" s="164" t="str">
        <f>IF(AND($C1021=12,$D1021=Input!$C$6),0,IF($E1022="","",V1022+Z1023/(1+L1022)*R1022))</f>
        <v/>
      </c>
      <c r="AA1022" s="164" t="str">
        <f>IF(OR($M1022=1,AND($C1021=12,$D1021=Input!$C$6)),0,IF($E1022="","",W1022+(X1022+AA1023*$R1022)/(1+$L1022)))</f>
        <v/>
      </c>
      <c r="AB1022" s="160" t="str">
        <f t="shared" si="318"/>
        <v/>
      </c>
      <c r="AC1022" s="164" t="str">
        <f t="shared" si="319"/>
        <v/>
      </c>
      <c r="AD1022" s="164" t="str">
        <f>IF(AND($C1021=12,$D1021=Input!$C$6),0,IF($E1022="","",$AC1022+AD1023/(1+$L1022)*$R1022))</f>
        <v/>
      </c>
      <c r="AE1022" s="152"/>
      <c r="AF1022" s="164" t="str">
        <f>IF(AND($C1021=12,$D1021=Input!$C$6),0,IF($E1022="","",IF($B1022&gt;Input!$C$9,$AC1022,0)+AF1023/(1+$L1022)*$R1022))</f>
        <v/>
      </c>
      <c r="AG1022" s="164" t="str">
        <f>IF(AND($C1021=12,$D1021=Input!$C$6),0,IF($E1022="","",(IF($B1022&gt;Input!$C$9,$X1022,0)+AG1023)/(1+$L1022)*$R1022))</f>
        <v/>
      </c>
      <c r="AH1022" s="160" t="str">
        <f t="shared" si="320"/>
        <v/>
      </c>
      <c r="AI1022" s="160" t="str">
        <f>IF($E1022="","",MIN(Input!$C$61/AH1022,1))</f>
        <v/>
      </c>
      <c r="AJ1022" s="152"/>
      <c r="AK1022" s="164" t="str">
        <f>IF(AND($C1021=12,$D1021=Input!$C$6),0,IF($E1022="","",IF($B1022&gt;Input!$C$9,$AC1022*AI1022,0)+AK1023/(1+$L1022)*$R1022))</f>
        <v/>
      </c>
      <c r="AL1022" s="164" t="str">
        <f>IF(AND($C1021=12,$D1021=Input!$C$6),0,IF($E1022="","",IF($B1022&gt;Input!$C$9,0,$AC1022)+AL1023/(1+$L1022)*$R1022))</f>
        <v/>
      </c>
      <c r="AM1022" s="160" t="str">
        <f t="shared" si="321"/>
        <v/>
      </c>
      <c r="AN1022" s="164" t="str">
        <f>IF($E1022="","",IF($B1022&gt;Input!$C$9,$AI1022*$AC1022,$AM1022*$AC1022))</f>
        <v/>
      </c>
      <c r="AO1022" s="164" t="str">
        <f>IF(AND($C1021=12,$D1021=Input!$C$6),0,IF($E1022="","",$AN1022+AO1023/(1+$L1022)*$R1022))</f>
        <v/>
      </c>
      <c r="AP1022" s="152"/>
      <c r="AQ1022" s="164" t="str">
        <f t="shared" si="322"/>
        <v/>
      </c>
      <c r="AR1022" s="164" t="str">
        <f t="shared" si="331"/>
        <v/>
      </c>
      <c r="AS1022" s="164" t="str">
        <f t="shared" si="332"/>
        <v/>
      </c>
      <c r="AT1022" s="164" t="str">
        <f t="shared" si="323"/>
        <v/>
      </c>
      <c r="AU1022" s="152"/>
      <c r="AV1022" s="147" t="str">
        <f>'Deterministic Reserve'!BC1022</f>
        <v/>
      </c>
      <c r="AW1022" s="164" t="str">
        <f t="shared" si="324"/>
        <v/>
      </c>
      <c r="AX1022" s="164" t="str">
        <f t="shared" si="325"/>
        <v/>
      </c>
      <c r="AY1022" s="152"/>
    </row>
    <row r="1023" spans="1:51" s="150" customFormat="1" x14ac:dyDescent="0.25">
      <c r="A1023" s="150" t="str">
        <f t="shared" si="333"/>
        <v/>
      </c>
      <c r="B1023" s="150" t="str">
        <f t="shared" si="334"/>
        <v/>
      </c>
      <c r="C1023" s="150" t="str">
        <f t="shared" si="335"/>
        <v/>
      </c>
      <c r="D1023" s="150" t="str">
        <f>IF(E1023="","",Input!$C$4+B1023-1)</f>
        <v/>
      </c>
      <c r="E1023" s="150" t="str">
        <f>IF(OR(AND(C1022=12,D1022=Input!$C$6),E1022=""),"",1)</f>
        <v/>
      </c>
      <c r="F1023" s="150" t="str">
        <f>IF(E1023="","",Input!$C$8+B1023-1)</f>
        <v/>
      </c>
      <c r="G1023" s="151" t="str">
        <f>IF(E1023="","",MAX(0,Input!$C$9-B1023))</f>
        <v/>
      </c>
      <c r="H1023" s="152" t="str">
        <f>IF(E1023="","",Input!$C$3)</f>
        <v/>
      </c>
      <c r="I1023" s="153" t="str">
        <f>IF(E1023="","",HLOOKUP($B1023,Input!$C$13:$BT$14,2))</f>
        <v/>
      </c>
      <c r="J1023" s="154"/>
      <c r="K1023" s="155" t="str">
        <f>IF($E1023="","",Input!$C$57)</f>
        <v/>
      </c>
      <c r="L1023" s="155" t="str">
        <f t="shared" si="326"/>
        <v/>
      </c>
      <c r="M1023" s="147" t="str">
        <f>IF($E1023="","",VLOOKUP(IF($B1023&lt;=Input!$C$7,$B1023,26),'Mortality Tables'!$A$72:$CA$97,IF($B1023&lt;=Input!$C$7+1,Input!$C$4-16,$D1023-Input!$C$7-16),0)/1000)</f>
        <v/>
      </c>
      <c r="N1023" s="147" t="str">
        <f t="shared" si="315"/>
        <v/>
      </c>
      <c r="O1023" s="157" t="str">
        <f>IF($E1023="","",IF($C1023=12,IF($B1023&lt;Input!$C$9,Input!$C$54,IF($B1023=Input!$C$9,Input!$C$55,Input!$C$56)),0%))</f>
        <v/>
      </c>
      <c r="P1023" s="167" t="str">
        <f>IF($E1023="","",IF($B1023=1,Input!$C$59,IF($B1023&lt;6,Input!$C$60,0%)))</f>
        <v/>
      </c>
      <c r="Q1023" s="162" t="str">
        <f>IF($E1023="","",Input!$C$58)</f>
        <v/>
      </c>
      <c r="R1023" s="156" t="str">
        <f t="shared" si="327"/>
        <v/>
      </c>
      <c r="S1023" s="154" t="str">
        <f t="shared" si="316"/>
        <v/>
      </c>
      <c r="T1023" s="152"/>
      <c r="U1023" s="150" t="str">
        <f t="shared" si="328"/>
        <v/>
      </c>
      <c r="V1023" s="150" t="str">
        <f t="shared" si="329"/>
        <v/>
      </c>
      <c r="W1023" s="168" t="str">
        <f t="shared" si="330"/>
        <v/>
      </c>
      <c r="X1023" s="163" t="str">
        <f t="shared" si="317"/>
        <v/>
      </c>
      <c r="Y1023" s="152"/>
      <c r="Z1023" s="164" t="str">
        <f>IF(AND($C1022=12,$D1022=Input!$C$6),0,IF($E1023="","",V1023+Z1024/(1+L1023)*R1023))</f>
        <v/>
      </c>
      <c r="AA1023" s="164" t="str">
        <f>IF(OR($M1023=1,AND($C1022=12,$D1022=Input!$C$6)),0,IF($E1023="","",W1023+(X1023+AA1024*$R1023)/(1+$L1023)))</f>
        <v/>
      </c>
      <c r="AB1023" s="160" t="str">
        <f t="shared" si="318"/>
        <v/>
      </c>
      <c r="AC1023" s="164" t="str">
        <f t="shared" si="319"/>
        <v/>
      </c>
      <c r="AD1023" s="164" t="str">
        <f>IF(AND($C1022=12,$D1022=Input!$C$6),0,IF($E1023="","",$AC1023+AD1024/(1+$L1023)*$R1023))</f>
        <v/>
      </c>
      <c r="AE1023" s="152"/>
      <c r="AF1023" s="164" t="str">
        <f>IF(AND($C1022=12,$D1022=Input!$C$6),0,IF($E1023="","",IF($B1023&gt;Input!$C$9,$AC1023,0)+AF1024/(1+$L1023)*$R1023))</f>
        <v/>
      </c>
      <c r="AG1023" s="164" t="str">
        <f>IF(AND($C1022=12,$D1022=Input!$C$6),0,IF($E1023="","",(IF($B1023&gt;Input!$C$9,$X1023,0)+AG1024)/(1+$L1023)*$R1023))</f>
        <v/>
      </c>
      <c r="AH1023" s="160" t="str">
        <f t="shared" si="320"/>
        <v/>
      </c>
      <c r="AI1023" s="160" t="str">
        <f>IF($E1023="","",MIN(Input!$C$61/AH1023,1))</f>
        <v/>
      </c>
      <c r="AJ1023" s="152"/>
      <c r="AK1023" s="164" t="str">
        <f>IF(AND($C1022=12,$D1022=Input!$C$6),0,IF($E1023="","",IF($B1023&gt;Input!$C$9,$AC1023*AI1023,0)+AK1024/(1+$L1023)*$R1023))</f>
        <v/>
      </c>
      <c r="AL1023" s="164" t="str">
        <f>IF(AND($C1022=12,$D1022=Input!$C$6),0,IF($E1023="","",IF($B1023&gt;Input!$C$9,0,$AC1023)+AL1024/(1+$L1023)*$R1023))</f>
        <v/>
      </c>
      <c r="AM1023" s="160" t="str">
        <f t="shared" si="321"/>
        <v/>
      </c>
      <c r="AN1023" s="164" t="str">
        <f>IF($E1023="","",IF($B1023&gt;Input!$C$9,$AI1023*$AC1023,$AM1023*$AC1023))</f>
        <v/>
      </c>
      <c r="AO1023" s="164" t="str">
        <f>IF(AND($C1022=12,$D1022=Input!$C$6),0,IF($E1023="","",$AN1023+AO1024/(1+$L1023)*$R1023))</f>
        <v/>
      </c>
      <c r="AP1023" s="152"/>
      <c r="AQ1023" s="164" t="str">
        <f t="shared" si="322"/>
        <v/>
      </c>
      <c r="AR1023" s="164" t="str">
        <f t="shared" si="331"/>
        <v/>
      </c>
      <c r="AS1023" s="164" t="str">
        <f t="shared" si="332"/>
        <v/>
      </c>
      <c r="AT1023" s="164" t="str">
        <f t="shared" si="323"/>
        <v/>
      </c>
      <c r="AU1023" s="152"/>
      <c r="AV1023" s="147" t="str">
        <f>'Deterministic Reserve'!BC1023</f>
        <v/>
      </c>
      <c r="AW1023" s="164" t="str">
        <f t="shared" si="324"/>
        <v/>
      </c>
      <c r="AX1023" s="164" t="str">
        <f t="shared" si="325"/>
        <v/>
      </c>
      <c r="AY1023" s="152"/>
    </row>
    <row r="1024" spans="1:51" s="150" customFormat="1" x14ac:dyDescent="0.25">
      <c r="A1024" s="150" t="str">
        <f t="shared" si="333"/>
        <v/>
      </c>
      <c r="B1024" s="150" t="str">
        <f t="shared" si="334"/>
        <v/>
      </c>
      <c r="C1024" s="150" t="str">
        <f t="shared" si="335"/>
        <v/>
      </c>
      <c r="D1024" s="150" t="str">
        <f>IF(E1024="","",Input!$C$4+B1024-1)</f>
        <v/>
      </c>
      <c r="E1024" s="150" t="str">
        <f>IF(OR(AND(C1023=12,D1023=Input!$C$6),E1023=""),"",1)</f>
        <v/>
      </c>
      <c r="F1024" s="150" t="str">
        <f>IF(E1024="","",Input!$C$8+B1024-1)</f>
        <v/>
      </c>
      <c r="G1024" s="151" t="str">
        <f>IF(E1024="","",MAX(0,Input!$C$9-B1024))</f>
        <v/>
      </c>
      <c r="H1024" s="152" t="str">
        <f>IF(E1024="","",Input!$C$3)</f>
        <v/>
      </c>
      <c r="I1024" s="153" t="str">
        <f>IF(E1024="","",HLOOKUP($B1024,Input!$C$13:$BT$14,2))</f>
        <v/>
      </c>
      <c r="J1024" s="154"/>
      <c r="K1024" s="155" t="str">
        <f>IF($E1024="","",Input!$C$57)</f>
        <v/>
      </c>
      <c r="L1024" s="155" t="str">
        <f t="shared" si="326"/>
        <v/>
      </c>
      <c r="M1024" s="147" t="str">
        <f>IF($E1024="","",VLOOKUP(IF($B1024&lt;=Input!$C$7,$B1024,26),'Mortality Tables'!$A$72:$CA$97,IF($B1024&lt;=Input!$C$7+1,Input!$C$4-16,$D1024-Input!$C$7-16),0)/1000)</f>
        <v/>
      </c>
      <c r="N1024" s="147" t="str">
        <f t="shared" si="315"/>
        <v/>
      </c>
      <c r="O1024" s="157" t="str">
        <f>IF($E1024="","",IF($C1024=12,IF($B1024&lt;Input!$C$9,Input!$C$54,IF($B1024=Input!$C$9,Input!$C$55,Input!$C$56)),0%))</f>
        <v/>
      </c>
      <c r="P1024" s="167" t="str">
        <f>IF($E1024="","",IF($B1024=1,Input!$C$59,IF($B1024&lt;6,Input!$C$60,0%)))</f>
        <v/>
      </c>
      <c r="Q1024" s="162" t="str">
        <f>IF($E1024="","",Input!$C$58)</f>
        <v/>
      </c>
      <c r="R1024" s="156" t="str">
        <f t="shared" si="327"/>
        <v/>
      </c>
      <c r="S1024" s="154" t="str">
        <f t="shared" si="316"/>
        <v/>
      </c>
      <c r="T1024" s="152"/>
      <c r="U1024" s="150" t="str">
        <f t="shared" si="328"/>
        <v/>
      </c>
      <c r="V1024" s="150" t="str">
        <f t="shared" si="329"/>
        <v/>
      </c>
      <c r="W1024" s="168" t="str">
        <f t="shared" si="330"/>
        <v/>
      </c>
      <c r="X1024" s="163" t="str">
        <f t="shared" si="317"/>
        <v/>
      </c>
      <c r="Y1024" s="152"/>
      <c r="Z1024" s="164" t="str">
        <f>IF(AND($C1023=12,$D1023=Input!$C$6),0,IF($E1024="","",V1024+Z1025/(1+L1024)*R1024))</f>
        <v/>
      </c>
      <c r="AA1024" s="164" t="str">
        <f>IF(OR($M1024=1,AND($C1023=12,$D1023=Input!$C$6)),0,IF($E1024="","",W1024+(X1024+AA1025*$R1024)/(1+$L1024)))</f>
        <v/>
      </c>
      <c r="AB1024" s="160" t="str">
        <f t="shared" si="318"/>
        <v/>
      </c>
      <c r="AC1024" s="164" t="str">
        <f t="shared" si="319"/>
        <v/>
      </c>
      <c r="AD1024" s="164" t="str">
        <f>IF(AND($C1023=12,$D1023=Input!$C$6),0,IF($E1024="","",$AC1024+AD1025/(1+$L1024)*$R1024))</f>
        <v/>
      </c>
      <c r="AE1024" s="152"/>
      <c r="AF1024" s="164" t="str">
        <f>IF(AND($C1023=12,$D1023=Input!$C$6),0,IF($E1024="","",IF($B1024&gt;Input!$C$9,$AC1024,0)+AF1025/(1+$L1024)*$R1024))</f>
        <v/>
      </c>
      <c r="AG1024" s="164" t="str">
        <f>IF(AND($C1023=12,$D1023=Input!$C$6),0,IF($E1024="","",(IF($B1024&gt;Input!$C$9,$X1024,0)+AG1025)/(1+$L1024)*$R1024))</f>
        <v/>
      </c>
      <c r="AH1024" s="160" t="str">
        <f t="shared" si="320"/>
        <v/>
      </c>
      <c r="AI1024" s="160" t="str">
        <f>IF($E1024="","",MIN(Input!$C$61/AH1024,1))</f>
        <v/>
      </c>
      <c r="AJ1024" s="152"/>
      <c r="AK1024" s="164" t="str">
        <f>IF(AND($C1023=12,$D1023=Input!$C$6),0,IF($E1024="","",IF($B1024&gt;Input!$C$9,$AC1024*AI1024,0)+AK1025/(1+$L1024)*$R1024))</f>
        <v/>
      </c>
      <c r="AL1024" s="164" t="str">
        <f>IF(AND($C1023=12,$D1023=Input!$C$6),0,IF($E1024="","",IF($B1024&gt;Input!$C$9,0,$AC1024)+AL1025/(1+$L1024)*$R1024))</f>
        <v/>
      </c>
      <c r="AM1024" s="160" t="str">
        <f t="shared" si="321"/>
        <v/>
      </c>
      <c r="AN1024" s="164" t="str">
        <f>IF($E1024="","",IF($B1024&gt;Input!$C$9,$AI1024*$AC1024,$AM1024*$AC1024))</f>
        <v/>
      </c>
      <c r="AO1024" s="164" t="str">
        <f>IF(AND($C1023=12,$D1023=Input!$C$6),0,IF($E1024="","",$AN1024+AO1025/(1+$L1024)*$R1024))</f>
        <v/>
      </c>
      <c r="AP1024" s="152"/>
      <c r="AQ1024" s="164" t="str">
        <f t="shared" si="322"/>
        <v/>
      </c>
      <c r="AR1024" s="164" t="str">
        <f t="shared" si="331"/>
        <v/>
      </c>
      <c r="AS1024" s="164" t="str">
        <f t="shared" si="332"/>
        <v/>
      </c>
      <c r="AT1024" s="164" t="str">
        <f t="shared" si="323"/>
        <v/>
      </c>
      <c r="AU1024" s="152"/>
      <c r="AV1024" s="147" t="str">
        <f>'Deterministic Reserve'!BC1024</f>
        <v/>
      </c>
      <c r="AW1024" s="164" t="str">
        <f t="shared" si="324"/>
        <v/>
      </c>
      <c r="AX1024" s="164" t="str">
        <f t="shared" si="325"/>
        <v/>
      </c>
      <c r="AY1024" s="152"/>
    </row>
    <row r="1025" spans="1:51" s="150" customFormat="1" x14ac:dyDescent="0.25">
      <c r="A1025" s="150" t="str">
        <f t="shared" si="333"/>
        <v/>
      </c>
      <c r="B1025" s="150" t="str">
        <f t="shared" si="334"/>
        <v/>
      </c>
      <c r="C1025" s="150" t="str">
        <f t="shared" si="335"/>
        <v/>
      </c>
      <c r="D1025" s="150" t="str">
        <f>IF(E1025="","",Input!$C$4+B1025-1)</f>
        <v/>
      </c>
      <c r="E1025" s="150" t="str">
        <f>IF(OR(AND(C1024=12,D1024=Input!$C$6),E1024=""),"",1)</f>
        <v/>
      </c>
      <c r="F1025" s="150" t="str">
        <f>IF(E1025="","",Input!$C$8+B1025-1)</f>
        <v/>
      </c>
      <c r="G1025" s="151" t="str">
        <f>IF(E1025="","",MAX(0,Input!$C$9-B1025))</f>
        <v/>
      </c>
      <c r="H1025" s="152" t="str">
        <f>IF(E1025="","",Input!$C$3)</f>
        <v/>
      </c>
      <c r="I1025" s="153" t="str">
        <f>IF(E1025="","",HLOOKUP($B1025,Input!$C$13:$BT$14,2))</f>
        <v/>
      </c>
      <c r="J1025" s="154"/>
      <c r="K1025" s="155" t="str">
        <f>IF($E1025="","",Input!$C$57)</f>
        <v/>
      </c>
      <c r="L1025" s="155" t="str">
        <f t="shared" si="326"/>
        <v/>
      </c>
      <c r="M1025" s="147" t="str">
        <f>IF($E1025="","",VLOOKUP(IF($B1025&lt;=Input!$C$7,$B1025,26),'Mortality Tables'!$A$72:$CA$97,IF($B1025&lt;=Input!$C$7+1,Input!$C$4-16,$D1025-Input!$C$7-16),0)/1000)</f>
        <v/>
      </c>
      <c r="N1025" s="147" t="str">
        <f t="shared" si="315"/>
        <v/>
      </c>
      <c r="O1025" s="157" t="str">
        <f>IF($E1025="","",IF($C1025=12,IF($B1025&lt;Input!$C$9,Input!$C$54,IF($B1025=Input!$C$9,Input!$C$55,Input!$C$56)),0%))</f>
        <v/>
      </c>
      <c r="P1025" s="167" t="str">
        <f>IF($E1025="","",IF($B1025=1,Input!$C$59,IF($B1025&lt;6,Input!$C$60,0%)))</f>
        <v/>
      </c>
      <c r="Q1025" s="162" t="str">
        <f>IF($E1025="","",Input!$C$58)</f>
        <v/>
      </c>
      <c r="R1025" s="156" t="str">
        <f t="shared" si="327"/>
        <v/>
      </c>
      <c r="S1025" s="154" t="str">
        <f t="shared" si="316"/>
        <v/>
      </c>
      <c r="T1025" s="152"/>
      <c r="U1025" s="150" t="str">
        <f t="shared" si="328"/>
        <v/>
      </c>
      <c r="V1025" s="150" t="str">
        <f t="shared" si="329"/>
        <v/>
      </c>
      <c r="W1025" s="168" t="str">
        <f t="shared" si="330"/>
        <v/>
      </c>
      <c r="X1025" s="163" t="str">
        <f t="shared" si="317"/>
        <v/>
      </c>
      <c r="Y1025" s="152"/>
      <c r="Z1025" s="164" t="str">
        <f>IF(AND($C1024=12,$D1024=Input!$C$6),0,IF($E1025="","",V1025+Z1026/(1+L1025)*R1025))</f>
        <v/>
      </c>
      <c r="AA1025" s="164" t="str">
        <f>IF(OR($M1025=1,AND($C1024=12,$D1024=Input!$C$6)),0,IF($E1025="","",W1025+(X1025+AA1026*$R1025)/(1+$L1025)))</f>
        <v/>
      </c>
      <c r="AB1025" s="160" t="str">
        <f t="shared" si="318"/>
        <v/>
      </c>
      <c r="AC1025" s="164" t="str">
        <f t="shared" si="319"/>
        <v/>
      </c>
      <c r="AD1025" s="164" t="str">
        <f>IF(AND($C1024=12,$D1024=Input!$C$6),0,IF($E1025="","",$AC1025+AD1026/(1+$L1025)*$R1025))</f>
        <v/>
      </c>
      <c r="AE1025" s="152"/>
      <c r="AF1025" s="164" t="str">
        <f>IF(AND($C1024=12,$D1024=Input!$C$6),0,IF($E1025="","",IF($B1025&gt;Input!$C$9,$AC1025,0)+AF1026/(1+$L1025)*$R1025))</f>
        <v/>
      </c>
      <c r="AG1025" s="164" t="str">
        <f>IF(AND($C1024=12,$D1024=Input!$C$6),0,IF($E1025="","",(IF($B1025&gt;Input!$C$9,$X1025,0)+AG1026)/(1+$L1025)*$R1025))</f>
        <v/>
      </c>
      <c r="AH1025" s="160" t="str">
        <f t="shared" si="320"/>
        <v/>
      </c>
      <c r="AI1025" s="160" t="str">
        <f>IF($E1025="","",MIN(Input!$C$61/AH1025,1))</f>
        <v/>
      </c>
      <c r="AJ1025" s="152"/>
      <c r="AK1025" s="164" t="str">
        <f>IF(AND($C1024=12,$D1024=Input!$C$6),0,IF($E1025="","",IF($B1025&gt;Input!$C$9,$AC1025*AI1025,0)+AK1026/(1+$L1025)*$R1025))</f>
        <v/>
      </c>
      <c r="AL1025" s="164" t="str">
        <f>IF(AND($C1024=12,$D1024=Input!$C$6),0,IF($E1025="","",IF($B1025&gt;Input!$C$9,0,$AC1025)+AL1026/(1+$L1025)*$R1025))</f>
        <v/>
      </c>
      <c r="AM1025" s="160" t="str">
        <f t="shared" si="321"/>
        <v/>
      </c>
      <c r="AN1025" s="164" t="str">
        <f>IF($E1025="","",IF($B1025&gt;Input!$C$9,$AI1025*$AC1025,$AM1025*$AC1025))</f>
        <v/>
      </c>
      <c r="AO1025" s="164" t="str">
        <f>IF(AND($C1024=12,$D1024=Input!$C$6),0,IF($E1025="","",$AN1025+AO1026/(1+$L1025)*$R1025))</f>
        <v/>
      </c>
      <c r="AP1025" s="152"/>
      <c r="AQ1025" s="164" t="str">
        <f t="shared" si="322"/>
        <v/>
      </c>
      <c r="AR1025" s="164" t="str">
        <f t="shared" si="331"/>
        <v/>
      </c>
      <c r="AS1025" s="164" t="str">
        <f t="shared" si="332"/>
        <v/>
      </c>
      <c r="AT1025" s="164" t="str">
        <f t="shared" si="323"/>
        <v/>
      </c>
      <c r="AU1025" s="152"/>
      <c r="AV1025" s="147" t="str">
        <f>'Deterministic Reserve'!BC1025</f>
        <v/>
      </c>
      <c r="AW1025" s="164" t="str">
        <f t="shared" si="324"/>
        <v/>
      </c>
      <c r="AX1025" s="164" t="str">
        <f t="shared" si="325"/>
        <v/>
      </c>
      <c r="AY1025" s="152"/>
    </row>
    <row r="1026" spans="1:51" s="150" customFormat="1" x14ac:dyDescent="0.25">
      <c r="A1026" s="150" t="str">
        <f t="shared" si="333"/>
        <v/>
      </c>
      <c r="B1026" s="150" t="str">
        <f t="shared" si="334"/>
        <v/>
      </c>
      <c r="C1026" s="150" t="str">
        <f t="shared" si="335"/>
        <v/>
      </c>
      <c r="D1026" s="150" t="str">
        <f>IF(E1026="","",Input!$C$4+B1026-1)</f>
        <v/>
      </c>
      <c r="E1026" s="150" t="str">
        <f>IF(OR(AND(C1025=12,D1025=Input!$C$6),E1025=""),"",1)</f>
        <v/>
      </c>
      <c r="F1026" s="150" t="str">
        <f>IF(E1026="","",Input!$C$8+B1026-1)</f>
        <v/>
      </c>
      <c r="G1026" s="151" t="str">
        <f>IF(E1026="","",MAX(0,Input!$C$9-B1026))</f>
        <v/>
      </c>
      <c r="H1026" s="152" t="str">
        <f>IF(E1026="","",Input!$C$3)</f>
        <v/>
      </c>
      <c r="I1026" s="153" t="str">
        <f>IF(E1026="","",HLOOKUP($B1026,Input!$C$13:$BT$14,2))</f>
        <v/>
      </c>
      <c r="J1026" s="154"/>
      <c r="K1026" s="155" t="str">
        <f>IF($E1026="","",Input!$C$57)</f>
        <v/>
      </c>
      <c r="L1026" s="155" t="str">
        <f t="shared" si="326"/>
        <v/>
      </c>
      <c r="M1026" s="147" t="str">
        <f>IF($E1026="","",VLOOKUP(IF($B1026&lt;=Input!$C$7,$B1026,26),'Mortality Tables'!$A$72:$CA$97,IF($B1026&lt;=Input!$C$7+1,Input!$C$4-16,$D1026-Input!$C$7-16),0)/1000)</f>
        <v/>
      </c>
      <c r="N1026" s="147" t="str">
        <f t="shared" si="315"/>
        <v/>
      </c>
      <c r="O1026" s="157" t="str">
        <f>IF($E1026="","",IF($C1026=12,IF($B1026&lt;Input!$C$9,Input!$C$54,IF($B1026=Input!$C$9,Input!$C$55,Input!$C$56)),0%))</f>
        <v/>
      </c>
      <c r="P1026" s="167" t="str">
        <f>IF($E1026="","",IF($B1026=1,Input!$C$59,IF($B1026&lt;6,Input!$C$60,0%)))</f>
        <v/>
      </c>
      <c r="Q1026" s="162" t="str">
        <f>IF($E1026="","",Input!$C$58)</f>
        <v/>
      </c>
      <c r="R1026" s="156" t="str">
        <f t="shared" si="327"/>
        <v/>
      </c>
      <c r="S1026" s="154" t="str">
        <f t="shared" si="316"/>
        <v/>
      </c>
      <c r="T1026" s="152"/>
      <c r="U1026" s="150" t="str">
        <f t="shared" si="328"/>
        <v/>
      </c>
      <c r="V1026" s="150" t="str">
        <f t="shared" si="329"/>
        <v/>
      </c>
      <c r="W1026" s="168" t="str">
        <f t="shared" si="330"/>
        <v/>
      </c>
      <c r="X1026" s="163" t="str">
        <f t="shared" si="317"/>
        <v/>
      </c>
      <c r="Y1026" s="152"/>
      <c r="Z1026" s="164" t="str">
        <f>IF(AND($C1025=12,$D1025=Input!$C$6),0,IF($E1026="","",V1026+Z1027/(1+L1026)*R1026))</f>
        <v/>
      </c>
      <c r="AA1026" s="164" t="str">
        <f>IF(OR($M1026=1,AND($C1025=12,$D1025=Input!$C$6)),0,IF($E1026="","",W1026+(X1026+AA1027*$R1026)/(1+$L1026)))</f>
        <v/>
      </c>
      <c r="AB1026" s="160" t="str">
        <f t="shared" si="318"/>
        <v/>
      </c>
      <c r="AC1026" s="164" t="str">
        <f t="shared" si="319"/>
        <v/>
      </c>
      <c r="AD1026" s="164" t="str">
        <f>IF(AND($C1025=12,$D1025=Input!$C$6),0,IF($E1026="","",$AC1026+AD1027/(1+$L1026)*$R1026))</f>
        <v/>
      </c>
      <c r="AE1026" s="152"/>
      <c r="AF1026" s="164" t="str">
        <f>IF(AND($C1025=12,$D1025=Input!$C$6),0,IF($E1026="","",IF($B1026&gt;Input!$C$9,$AC1026,0)+AF1027/(1+$L1026)*$R1026))</f>
        <v/>
      </c>
      <c r="AG1026" s="164" t="str">
        <f>IF(AND($C1025=12,$D1025=Input!$C$6),0,IF($E1026="","",(IF($B1026&gt;Input!$C$9,$X1026,0)+AG1027)/(1+$L1026)*$R1026))</f>
        <v/>
      </c>
      <c r="AH1026" s="160" t="str">
        <f t="shared" si="320"/>
        <v/>
      </c>
      <c r="AI1026" s="160" t="str">
        <f>IF($E1026="","",MIN(Input!$C$61/AH1026,1))</f>
        <v/>
      </c>
      <c r="AJ1026" s="152"/>
      <c r="AK1026" s="164" t="str">
        <f>IF(AND($C1025=12,$D1025=Input!$C$6),0,IF($E1026="","",IF($B1026&gt;Input!$C$9,$AC1026*AI1026,0)+AK1027/(1+$L1026)*$R1026))</f>
        <v/>
      </c>
      <c r="AL1026" s="164" t="str">
        <f>IF(AND($C1025=12,$D1025=Input!$C$6),0,IF($E1026="","",IF($B1026&gt;Input!$C$9,0,$AC1026)+AL1027/(1+$L1026)*$R1026))</f>
        <v/>
      </c>
      <c r="AM1026" s="160" t="str">
        <f t="shared" si="321"/>
        <v/>
      </c>
      <c r="AN1026" s="164" t="str">
        <f>IF($E1026="","",IF($B1026&gt;Input!$C$9,$AI1026*$AC1026,$AM1026*$AC1026))</f>
        <v/>
      </c>
      <c r="AO1026" s="164" t="str">
        <f>IF(AND($C1025=12,$D1025=Input!$C$6),0,IF($E1026="","",$AN1026+AO1027/(1+$L1026)*$R1026))</f>
        <v/>
      </c>
      <c r="AP1026" s="152"/>
      <c r="AQ1026" s="164" t="str">
        <f t="shared" si="322"/>
        <v/>
      </c>
      <c r="AR1026" s="164" t="str">
        <f t="shared" si="331"/>
        <v/>
      </c>
      <c r="AS1026" s="164" t="str">
        <f t="shared" si="332"/>
        <v/>
      </c>
      <c r="AT1026" s="164" t="str">
        <f t="shared" si="323"/>
        <v/>
      </c>
      <c r="AU1026" s="152"/>
      <c r="AV1026" s="147" t="str">
        <f>'Deterministic Reserve'!BC1026</f>
        <v/>
      </c>
      <c r="AW1026" s="164" t="str">
        <f t="shared" si="324"/>
        <v/>
      </c>
      <c r="AX1026" s="164" t="str">
        <f t="shared" si="325"/>
        <v/>
      </c>
      <c r="AY1026" s="152"/>
    </row>
    <row r="1027" spans="1:51" s="150" customFormat="1" x14ac:dyDescent="0.25">
      <c r="A1027" s="150" t="str">
        <f t="shared" si="333"/>
        <v/>
      </c>
      <c r="B1027" s="150" t="str">
        <f t="shared" si="334"/>
        <v/>
      </c>
      <c r="C1027" s="150" t="str">
        <f t="shared" si="335"/>
        <v/>
      </c>
      <c r="D1027" s="150" t="str">
        <f>IF(E1027="","",Input!$C$4+B1027-1)</f>
        <v/>
      </c>
      <c r="E1027" s="150" t="str">
        <f>IF(OR(AND(C1026=12,D1026=Input!$C$6),E1026=""),"",1)</f>
        <v/>
      </c>
      <c r="F1027" s="150" t="str">
        <f>IF(E1027="","",Input!$C$8+B1027-1)</f>
        <v/>
      </c>
      <c r="G1027" s="151" t="str">
        <f>IF(E1027="","",MAX(0,Input!$C$9-B1027))</f>
        <v/>
      </c>
      <c r="H1027" s="152" t="str">
        <f>IF(E1027="","",Input!$C$3)</f>
        <v/>
      </c>
      <c r="I1027" s="153" t="str">
        <f>IF(E1027="","",HLOOKUP($B1027,Input!$C$13:$BT$14,2))</f>
        <v/>
      </c>
      <c r="J1027" s="154"/>
      <c r="K1027" s="155" t="str">
        <f>IF($E1027="","",Input!$C$57)</f>
        <v/>
      </c>
      <c r="L1027" s="155" t="str">
        <f t="shared" si="326"/>
        <v/>
      </c>
      <c r="M1027" s="147" t="str">
        <f>IF($E1027="","",VLOOKUP(IF($B1027&lt;=Input!$C$7,$B1027,26),'Mortality Tables'!$A$72:$CA$97,IF($B1027&lt;=Input!$C$7+1,Input!$C$4-16,$D1027-Input!$C$7-16),0)/1000)</f>
        <v/>
      </c>
      <c r="N1027" s="147" t="str">
        <f t="shared" si="315"/>
        <v/>
      </c>
      <c r="O1027" s="157" t="str">
        <f>IF($E1027="","",IF($C1027=12,IF($B1027&lt;Input!$C$9,Input!$C$54,IF($B1027=Input!$C$9,Input!$C$55,Input!$C$56)),0%))</f>
        <v/>
      </c>
      <c r="P1027" s="167" t="str">
        <f>IF($E1027="","",IF($B1027=1,Input!$C$59,IF($B1027&lt;6,Input!$C$60,0%)))</f>
        <v/>
      </c>
      <c r="Q1027" s="162" t="str">
        <f>IF($E1027="","",Input!$C$58)</f>
        <v/>
      </c>
      <c r="R1027" s="156" t="str">
        <f t="shared" si="327"/>
        <v/>
      </c>
      <c r="S1027" s="154" t="str">
        <f t="shared" si="316"/>
        <v/>
      </c>
      <c r="T1027" s="152"/>
      <c r="U1027" s="150" t="str">
        <f t="shared" si="328"/>
        <v/>
      </c>
      <c r="V1027" s="150" t="str">
        <f t="shared" si="329"/>
        <v/>
      </c>
      <c r="W1027" s="168" t="str">
        <f t="shared" si="330"/>
        <v/>
      </c>
      <c r="X1027" s="163" t="str">
        <f t="shared" si="317"/>
        <v/>
      </c>
      <c r="Y1027" s="152"/>
      <c r="Z1027" s="164" t="str">
        <f>IF(AND($C1026=12,$D1026=Input!$C$6),0,IF($E1027="","",V1027+Z1028/(1+L1027)*R1027))</f>
        <v/>
      </c>
      <c r="AA1027" s="164" t="str">
        <f>IF(OR($M1027=1,AND($C1026=12,$D1026=Input!$C$6)),0,IF($E1027="","",W1027+(X1027+AA1028*$R1027)/(1+$L1027)))</f>
        <v/>
      </c>
      <c r="AB1027" s="160" t="str">
        <f t="shared" si="318"/>
        <v/>
      </c>
      <c r="AC1027" s="164" t="str">
        <f t="shared" si="319"/>
        <v/>
      </c>
      <c r="AD1027" s="164" t="str">
        <f>IF(AND($C1026=12,$D1026=Input!$C$6),0,IF($E1027="","",$AC1027+AD1028/(1+$L1027)*$R1027))</f>
        <v/>
      </c>
      <c r="AE1027" s="152"/>
      <c r="AF1027" s="164" t="str">
        <f>IF(AND($C1026=12,$D1026=Input!$C$6),0,IF($E1027="","",IF($B1027&gt;Input!$C$9,$AC1027,0)+AF1028/(1+$L1027)*$R1027))</f>
        <v/>
      </c>
      <c r="AG1027" s="164" t="str">
        <f>IF(AND($C1026=12,$D1026=Input!$C$6),0,IF($E1027="","",(IF($B1027&gt;Input!$C$9,$X1027,0)+AG1028)/(1+$L1027)*$R1027))</f>
        <v/>
      </c>
      <c r="AH1027" s="160" t="str">
        <f t="shared" si="320"/>
        <v/>
      </c>
      <c r="AI1027" s="160" t="str">
        <f>IF($E1027="","",MIN(Input!$C$61/AH1027,1))</f>
        <v/>
      </c>
      <c r="AJ1027" s="152"/>
      <c r="AK1027" s="164" t="str">
        <f>IF(AND($C1026=12,$D1026=Input!$C$6),0,IF($E1027="","",IF($B1027&gt;Input!$C$9,$AC1027*AI1027,0)+AK1028/(1+$L1027)*$R1027))</f>
        <v/>
      </c>
      <c r="AL1027" s="164" t="str">
        <f>IF(AND($C1026=12,$D1026=Input!$C$6),0,IF($E1027="","",IF($B1027&gt;Input!$C$9,0,$AC1027)+AL1028/(1+$L1027)*$R1027))</f>
        <v/>
      </c>
      <c r="AM1027" s="160" t="str">
        <f t="shared" si="321"/>
        <v/>
      </c>
      <c r="AN1027" s="164" t="str">
        <f>IF($E1027="","",IF($B1027&gt;Input!$C$9,$AI1027*$AC1027,$AM1027*$AC1027))</f>
        <v/>
      </c>
      <c r="AO1027" s="164" t="str">
        <f>IF(AND($C1026=12,$D1026=Input!$C$6),0,IF($E1027="","",$AN1027+AO1028/(1+$L1027)*$R1027))</f>
        <v/>
      </c>
      <c r="AP1027" s="152"/>
      <c r="AQ1027" s="164" t="str">
        <f t="shared" si="322"/>
        <v/>
      </c>
      <c r="AR1027" s="164" t="str">
        <f t="shared" si="331"/>
        <v/>
      </c>
      <c r="AS1027" s="164" t="str">
        <f t="shared" si="332"/>
        <v/>
      </c>
      <c r="AT1027" s="164" t="str">
        <f t="shared" si="323"/>
        <v/>
      </c>
      <c r="AU1027" s="152"/>
      <c r="AV1027" s="147" t="str">
        <f>'Deterministic Reserve'!BC1027</f>
        <v/>
      </c>
      <c r="AW1027" s="164" t="str">
        <f t="shared" si="324"/>
        <v/>
      </c>
      <c r="AX1027" s="164" t="str">
        <f t="shared" si="325"/>
        <v/>
      </c>
      <c r="AY1027" s="152"/>
    </row>
    <row r="1028" spans="1:51" s="150" customFormat="1" x14ac:dyDescent="0.25">
      <c r="A1028" s="150" t="str">
        <f t="shared" si="333"/>
        <v/>
      </c>
      <c r="B1028" s="150" t="str">
        <f t="shared" si="334"/>
        <v/>
      </c>
      <c r="C1028" s="150" t="str">
        <f t="shared" si="335"/>
        <v/>
      </c>
      <c r="D1028" s="150" t="str">
        <f>IF(E1028="","",Input!$C$4+B1028-1)</f>
        <v/>
      </c>
      <c r="E1028" s="150" t="str">
        <f>IF(OR(AND(C1027=12,D1027=Input!$C$6),E1027=""),"",1)</f>
        <v/>
      </c>
      <c r="F1028" s="150" t="str">
        <f>IF(E1028="","",Input!$C$8+B1028-1)</f>
        <v/>
      </c>
      <c r="G1028" s="151" t="str">
        <f>IF(E1028="","",MAX(0,Input!$C$9-B1028))</f>
        <v/>
      </c>
      <c r="H1028" s="152" t="str">
        <f>IF(E1028="","",Input!$C$3)</f>
        <v/>
      </c>
      <c r="I1028" s="153" t="str">
        <f>IF(E1028="","",HLOOKUP($B1028,Input!$C$13:$BT$14,2))</f>
        <v/>
      </c>
      <c r="J1028" s="154"/>
      <c r="K1028" s="155" t="str">
        <f>IF($E1028="","",Input!$C$57)</f>
        <v/>
      </c>
      <c r="L1028" s="155" t="str">
        <f t="shared" si="326"/>
        <v/>
      </c>
      <c r="M1028" s="147" t="str">
        <f>IF($E1028="","",VLOOKUP(IF($B1028&lt;=Input!$C$7,$B1028,26),'Mortality Tables'!$A$72:$CA$97,IF($B1028&lt;=Input!$C$7+1,Input!$C$4-16,$D1028-Input!$C$7-16),0)/1000)</f>
        <v/>
      </c>
      <c r="N1028" s="147" t="str">
        <f t="shared" si="315"/>
        <v/>
      </c>
      <c r="O1028" s="157" t="str">
        <f>IF($E1028="","",IF($C1028=12,IF($B1028&lt;Input!$C$9,Input!$C$54,IF($B1028=Input!$C$9,Input!$C$55,Input!$C$56)),0%))</f>
        <v/>
      </c>
      <c r="P1028" s="167" t="str">
        <f>IF($E1028="","",IF($B1028=1,Input!$C$59,IF($B1028&lt;6,Input!$C$60,0%)))</f>
        <v/>
      </c>
      <c r="Q1028" s="162" t="str">
        <f>IF($E1028="","",Input!$C$58)</f>
        <v/>
      </c>
      <c r="R1028" s="156" t="str">
        <f t="shared" si="327"/>
        <v/>
      </c>
      <c r="S1028" s="154" t="str">
        <f t="shared" si="316"/>
        <v/>
      </c>
      <c r="T1028" s="152"/>
      <c r="U1028" s="150" t="str">
        <f t="shared" si="328"/>
        <v/>
      </c>
      <c r="V1028" s="150" t="str">
        <f t="shared" si="329"/>
        <v/>
      </c>
      <c r="W1028" s="168" t="str">
        <f t="shared" si="330"/>
        <v/>
      </c>
      <c r="X1028" s="163" t="str">
        <f t="shared" si="317"/>
        <v/>
      </c>
      <c r="Y1028" s="152"/>
      <c r="Z1028" s="164" t="str">
        <f>IF(AND($C1027=12,$D1027=Input!$C$6),0,IF($E1028="","",V1028+Z1029/(1+L1028)*R1028))</f>
        <v/>
      </c>
      <c r="AA1028" s="164" t="str">
        <f>IF(OR($M1028=1,AND($C1027=12,$D1027=Input!$C$6)),0,IF($E1028="","",W1028+(X1028+AA1029*$R1028)/(1+$L1028)))</f>
        <v/>
      </c>
      <c r="AB1028" s="160" t="str">
        <f t="shared" si="318"/>
        <v/>
      </c>
      <c r="AC1028" s="164" t="str">
        <f t="shared" si="319"/>
        <v/>
      </c>
      <c r="AD1028" s="164" t="str">
        <f>IF(AND($C1027=12,$D1027=Input!$C$6),0,IF($E1028="","",$AC1028+AD1029/(1+$L1028)*$R1028))</f>
        <v/>
      </c>
      <c r="AE1028" s="152"/>
      <c r="AF1028" s="164" t="str">
        <f>IF(AND($C1027=12,$D1027=Input!$C$6),0,IF($E1028="","",IF($B1028&gt;Input!$C$9,$AC1028,0)+AF1029/(1+$L1028)*$R1028))</f>
        <v/>
      </c>
      <c r="AG1028" s="164" t="str">
        <f>IF(AND($C1027=12,$D1027=Input!$C$6),0,IF($E1028="","",(IF($B1028&gt;Input!$C$9,$X1028,0)+AG1029)/(1+$L1028)*$R1028))</f>
        <v/>
      </c>
      <c r="AH1028" s="160" t="str">
        <f t="shared" si="320"/>
        <v/>
      </c>
      <c r="AI1028" s="160" t="str">
        <f>IF($E1028="","",MIN(Input!$C$61/AH1028,1))</f>
        <v/>
      </c>
      <c r="AJ1028" s="152"/>
      <c r="AK1028" s="164" t="str">
        <f>IF(AND($C1027=12,$D1027=Input!$C$6),0,IF($E1028="","",IF($B1028&gt;Input!$C$9,$AC1028*AI1028,0)+AK1029/(1+$L1028)*$R1028))</f>
        <v/>
      </c>
      <c r="AL1028" s="164" t="str">
        <f>IF(AND($C1027=12,$D1027=Input!$C$6),0,IF($E1028="","",IF($B1028&gt;Input!$C$9,0,$AC1028)+AL1029/(1+$L1028)*$R1028))</f>
        <v/>
      </c>
      <c r="AM1028" s="160" t="str">
        <f t="shared" si="321"/>
        <v/>
      </c>
      <c r="AN1028" s="164" t="str">
        <f>IF($E1028="","",IF($B1028&gt;Input!$C$9,$AI1028*$AC1028,$AM1028*$AC1028))</f>
        <v/>
      </c>
      <c r="AO1028" s="164" t="str">
        <f>IF(AND($C1027=12,$D1027=Input!$C$6),0,IF($E1028="","",$AN1028+AO1029/(1+$L1028)*$R1028))</f>
        <v/>
      </c>
      <c r="AP1028" s="152"/>
      <c r="AQ1028" s="164" t="str">
        <f t="shared" si="322"/>
        <v/>
      </c>
      <c r="AR1028" s="164" t="str">
        <f t="shared" si="331"/>
        <v/>
      </c>
      <c r="AS1028" s="164" t="str">
        <f t="shared" si="332"/>
        <v/>
      </c>
      <c r="AT1028" s="164" t="str">
        <f t="shared" si="323"/>
        <v/>
      </c>
      <c r="AU1028" s="152"/>
      <c r="AV1028" s="147" t="str">
        <f>'Deterministic Reserve'!BC1028</f>
        <v/>
      </c>
      <c r="AW1028" s="164" t="str">
        <f t="shared" si="324"/>
        <v/>
      </c>
      <c r="AX1028" s="164" t="str">
        <f t="shared" si="325"/>
        <v/>
      </c>
      <c r="AY1028" s="152"/>
    </row>
    <row r="1029" spans="1:51" s="150" customFormat="1" x14ac:dyDescent="0.25">
      <c r="A1029" s="150" t="str">
        <f t="shared" si="333"/>
        <v/>
      </c>
      <c r="B1029" s="150" t="str">
        <f t="shared" si="334"/>
        <v/>
      </c>
      <c r="C1029" s="150" t="str">
        <f t="shared" si="335"/>
        <v/>
      </c>
      <c r="D1029" s="150" t="str">
        <f>IF(E1029="","",Input!$C$4+B1029-1)</f>
        <v/>
      </c>
      <c r="E1029" s="150" t="str">
        <f>IF(OR(AND(C1028=12,D1028=Input!$C$6),E1028=""),"",1)</f>
        <v/>
      </c>
      <c r="F1029" s="150" t="str">
        <f>IF(E1029="","",Input!$C$8+B1029-1)</f>
        <v/>
      </c>
      <c r="G1029" s="151" t="str">
        <f>IF(E1029="","",MAX(0,Input!$C$9-B1029))</f>
        <v/>
      </c>
      <c r="H1029" s="152" t="str">
        <f>IF(E1029="","",Input!$C$3)</f>
        <v/>
      </c>
      <c r="I1029" s="153" t="str">
        <f>IF(E1029="","",HLOOKUP($B1029,Input!$C$13:$BT$14,2))</f>
        <v/>
      </c>
      <c r="J1029" s="154"/>
      <c r="K1029" s="155" t="str">
        <f>IF($E1029="","",Input!$C$57)</f>
        <v/>
      </c>
      <c r="L1029" s="155" t="str">
        <f t="shared" si="326"/>
        <v/>
      </c>
      <c r="M1029" s="147" t="str">
        <f>IF($E1029="","",VLOOKUP(IF($B1029&lt;=Input!$C$7,$B1029,26),'Mortality Tables'!$A$72:$CA$97,IF($B1029&lt;=Input!$C$7+1,Input!$C$4-16,$D1029-Input!$C$7-16),0)/1000)</f>
        <v/>
      </c>
      <c r="N1029" s="147" t="str">
        <f t="shared" ref="N1029:N1092" si="336">IF($E1029="","",1-(1-M1029)^(1/12))</f>
        <v/>
      </c>
      <c r="O1029" s="157" t="str">
        <f>IF($E1029="","",IF($C1029=12,IF($B1029&lt;Input!$C$9,Input!$C$54,IF($B1029=Input!$C$9,Input!$C$55,Input!$C$56)),0%))</f>
        <v/>
      </c>
      <c r="P1029" s="167" t="str">
        <f>IF($E1029="","",IF($B1029=1,Input!$C$59,IF($B1029&lt;6,Input!$C$60,0%)))</f>
        <v/>
      </c>
      <c r="Q1029" s="162" t="str">
        <f>IF($E1029="","",Input!$C$58)</f>
        <v/>
      </c>
      <c r="R1029" s="156" t="str">
        <f t="shared" si="327"/>
        <v/>
      </c>
      <c r="S1029" s="154" t="str">
        <f t="shared" ref="S1029:S1092" si="337">IF($E1029="","",IF(AND($B1029=1,$C1029=1),1,S1028*R1029))</f>
        <v/>
      </c>
      <c r="T1029" s="152"/>
      <c r="U1029" s="150" t="str">
        <f t="shared" si="328"/>
        <v/>
      </c>
      <c r="V1029" s="150" t="str">
        <f t="shared" si="329"/>
        <v/>
      </c>
      <c r="W1029" s="168" t="str">
        <f t="shared" si="330"/>
        <v/>
      </c>
      <c r="X1029" s="163" t="str">
        <f t="shared" ref="X1029:X1092" si="338">IF($E1029="","",N1029*$H1029)</f>
        <v/>
      </c>
      <c r="Y1029" s="152"/>
      <c r="Z1029" s="164" t="str">
        <f>IF(AND($C1028=12,$D1028=Input!$C$6),0,IF($E1029="","",V1029+Z1030/(1+L1029)*R1029))</f>
        <v/>
      </c>
      <c r="AA1029" s="164" t="str">
        <f>IF(OR($M1029=1,AND($C1028=12,$D1028=Input!$C$6)),0,IF($E1029="","",W1029+(X1029+AA1030*$R1029)/(1+$L1029)))</f>
        <v/>
      </c>
      <c r="AB1029" s="160" t="str">
        <f t="shared" ref="AB1029:AB1092" si="339">IF($E1029="","",$AA$5/$Z$5)</f>
        <v/>
      </c>
      <c r="AC1029" s="164" t="str">
        <f t="shared" ref="AC1029:AC1092" si="340">IF($E1029="","",V1029*AB1029)</f>
        <v/>
      </c>
      <c r="AD1029" s="164" t="str">
        <f>IF(AND($C1028=12,$D1028=Input!$C$6),0,IF($E1029="","",$AC1029+AD1030/(1+$L1029)*$R1029))</f>
        <v/>
      </c>
      <c r="AE1029" s="152"/>
      <c r="AF1029" s="164" t="str">
        <f>IF(AND($C1028=12,$D1028=Input!$C$6),0,IF($E1029="","",IF($B1029&gt;Input!$C$9,$AC1029,0)+AF1030/(1+$L1029)*$R1029))</f>
        <v/>
      </c>
      <c r="AG1029" s="164" t="str">
        <f>IF(AND($C1028=12,$D1028=Input!$C$6),0,IF($E1029="","",(IF($B1029&gt;Input!$C$9,$X1029,0)+AG1030)/(1+$L1029)*$R1029))</f>
        <v/>
      </c>
      <c r="AH1029" s="160" t="str">
        <f t="shared" ref="AH1029:AH1092" si="341">IF($E1029="","",$AF$5/$AG$5)</f>
        <v/>
      </c>
      <c r="AI1029" s="160" t="str">
        <f>IF($E1029="","",MIN(Input!$C$61/AH1029,1))</f>
        <v/>
      </c>
      <c r="AJ1029" s="152"/>
      <c r="AK1029" s="164" t="str">
        <f>IF(AND($C1028=12,$D1028=Input!$C$6),0,IF($E1029="","",IF($B1029&gt;Input!$C$9,$AC1029*AI1029,0)+AK1030/(1+$L1029)*$R1029))</f>
        <v/>
      </c>
      <c r="AL1029" s="164" t="str">
        <f>IF(AND($C1028=12,$D1028=Input!$C$6),0,IF($E1029="","",IF($B1029&gt;Input!$C$9,0,$AC1029)+AL1030/(1+$L1029)*$R1029))</f>
        <v/>
      </c>
      <c r="AM1029" s="160" t="str">
        <f t="shared" ref="AM1029:AM1092" si="342">IF($E1029="","",($AD$5-$AK$5)/$AL$5)</f>
        <v/>
      </c>
      <c r="AN1029" s="164" t="str">
        <f>IF($E1029="","",IF($B1029&gt;Input!$C$9,$AI1029*$AC1029,$AM1029*$AC1029))</f>
        <v/>
      </c>
      <c r="AO1029" s="164" t="str">
        <f>IF(AND($C1028=12,$D1028=Input!$C$6),0,IF($E1029="","",$AN1029+AO1030/(1+$L1029)*$R1029))</f>
        <v/>
      </c>
      <c r="AP1029" s="152"/>
      <c r="AQ1029" s="164" t="str">
        <f t="shared" ref="AQ1029:AQ1092" si="343">IF($E1029="","",$AA1029-$AO1029)</f>
        <v/>
      </c>
      <c r="AR1029" s="164" t="str">
        <f t="shared" si="331"/>
        <v/>
      </c>
      <c r="AS1029" s="164" t="str">
        <f t="shared" si="332"/>
        <v/>
      </c>
      <c r="AT1029" s="164" t="str">
        <f t="shared" ref="AT1029:AT1092" si="344">IF($E1029="","",MAX($AR1029,$AS1029))</f>
        <v/>
      </c>
      <c r="AU1029" s="152"/>
      <c r="AV1029" s="147" t="str">
        <f>'Deterministic Reserve'!BC1029</f>
        <v/>
      </c>
      <c r="AW1029" s="164" t="str">
        <f t="shared" ref="AW1029:AW1092" si="345">IF($E1029="","",$AT1029)</f>
        <v/>
      </c>
      <c r="AX1029" s="164" t="str">
        <f t="shared" ref="AX1029:AX1092" si="346">IF($E1029="","",AV1029*AW1029)</f>
        <v/>
      </c>
      <c r="AY1029" s="152"/>
    </row>
    <row r="1030" spans="1:51" s="150" customFormat="1" x14ac:dyDescent="0.25">
      <c r="A1030" s="150" t="str">
        <f t="shared" si="333"/>
        <v/>
      </c>
      <c r="B1030" s="150" t="str">
        <f t="shared" si="334"/>
        <v/>
      </c>
      <c r="C1030" s="150" t="str">
        <f t="shared" si="335"/>
        <v/>
      </c>
      <c r="D1030" s="150" t="str">
        <f>IF(E1030="","",Input!$C$4+B1030-1)</f>
        <v/>
      </c>
      <c r="E1030" s="150" t="str">
        <f>IF(OR(AND(C1029=12,D1029=Input!$C$6),E1029=""),"",1)</f>
        <v/>
      </c>
      <c r="F1030" s="150" t="str">
        <f>IF(E1030="","",Input!$C$8+B1030-1)</f>
        <v/>
      </c>
      <c r="G1030" s="151" t="str">
        <f>IF(E1030="","",MAX(0,Input!$C$9-B1030))</f>
        <v/>
      </c>
      <c r="H1030" s="152" t="str">
        <f>IF(E1030="","",Input!$C$3)</f>
        <v/>
      </c>
      <c r="I1030" s="153" t="str">
        <f>IF(E1030="","",HLOOKUP($B1030,Input!$C$13:$BT$14,2))</f>
        <v/>
      </c>
      <c r="J1030" s="154"/>
      <c r="K1030" s="155" t="str">
        <f>IF($E1030="","",Input!$C$57)</f>
        <v/>
      </c>
      <c r="L1030" s="155" t="str">
        <f t="shared" ref="L1030:L1093" si="347">IF($E1030="","",(1+K1030)^(1/12)-1)</f>
        <v/>
      </c>
      <c r="M1030" s="147" t="str">
        <f>IF($E1030="","",VLOOKUP(IF($B1030&lt;=Input!$C$7,$B1030,26),'Mortality Tables'!$A$72:$CA$97,IF($B1030&lt;=Input!$C$7+1,Input!$C$4-16,$D1030-Input!$C$7-16),0)/1000)</f>
        <v/>
      </c>
      <c r="N1030" s="147" t="str">
        <f t="shared" si="336"/>
        <v/>
      </c>
      <c r="O1030" s="157" t="str">
        <f>IF($E1030="","",IF($C1030=12,IF($B1030&lt;Input!$C$9,Input!$C$54,IF($B1030=Input!$C$9,Input!$C$55,Input!$C$56)),0%))</f>
        <v/>
      </c>
      <c r="P1030" s="167" t="str">
        <f>IF($E1030="","",IF($B1030=1,Input!$C$59,IF($B1030&lt;6,Input!$C$60,0%)))</f>
        <v/>
      </c>
      <c r="Q1030" s="162" t="str">
        <f>IF($E1030="","",Input!$C$58)</f>
        <v/>
      </c>
      <c r="R1030" s="156" t="str">
        <f t="shared" ref="R1030:R1093" si="348">IF($E1030="","",MAX(1-N1030-O1030,0))</f>
        <v/>
      </c>
      <c r="S1030" s="154" t="str">
        <f t="shared" si="337"/>
        <v/>
      </c>
      <c r="T1030" s="152"/>
      <c r="U1030" s="150" t="str">
        <f t="shared" ref="U1030:U1093" si="349">IF($E1030="","",IF($C1030=1,$I1030*$H1030/1000,0))</f>
        <v/>
      </c>
      <c r="V1030" s="150" t="str">
        <f t="shared" ref="V1030:V1093" si="350">IF($E1030="","",U1030*(1-$P1030))</f>
        <v/>
      </c>
      <c r="W1030" s="168" t="str">
        <f t="shared" ref="W1030:W1093" si="351">IF($E1030="","",IF(AND($B1030=1,$C1030=1),$Q1030*$H1030/1000,0))</f>
        <v/>
      </c>
      <c r="X1030" s="163" t="str">
        <f t="shared" si="338"/>
        <v/>
      </c>
      <c r="Y1030" s="152"/>
      <c r="Z1030" s="164" t="str">
        <f>IF(AND($C1029=12,$D1029=Input!$C$6),0,IF($E1030="","",V1030+Z1031/(1+L1030)*R1030))</f>
        <v/>
      </c>
      <c r="AA1030" s="164" t="str">
        <f>IF(OR($M1030=1,AND($C1029=12,$D1029=Input!$C$6)),0,IF($E1030="","",W1030+(X1030+AA1031*$R1030)/(1+$L1030)))</f>
        <v/>
      </c>
      <c r="AB1030" s="160" t="str">
        <f t="shared" si="339"/>
        <v/>
      </c>
      <c r="AC1030" s="164" t="str">
        <f t="shared" si="340"/>
        <v/>
      </c>
      <c r="AD1030" s="164" t="str">
        <f>IF(AND($C1029=12,$D1029=Input!$C$6),0,IF($E1030="","",$AC1030+AD1031/(1+$L1030)*$R1030))</f>
        <v/>
      </c>
      <c r="AE1030" s="152"/>
      <c r="AF1030" s="164" t="str">
        <f>IF(AND($C1029=12,$D1029=Input!$C$6),0,IF($E1030="","",IF($B1030&gt;Input!$C$9,$AC1030,0)+AF1031/(1+$L1030)*$R1030))</f>
        <v/>
      </c>
      <c r="AG1030" s="164" t="str">
        <f>IF(AND($C1029=12,$D1029=Input!$C$6),0,IF($E1030="","",(IF($B1030&gt;Input!$C$9,$X1030,0)+AG1031)/(1+$L1030)*$R1030))</f>
        <v/>
      </c>
      <c r="AH1030" s="160" t="str">
        <f t="shared" si="341"/>
        <v/>
      </c>
      <c r="AI1030" s="160" t="str">
        <f>IF($E1030="","",MIN(Input!$C$61/AH1030,1))</f>
        <v/>
      </c>
      <c r="AJ1030" s="152"/>
      <c r="AK1030" s="164" t="str">
        <f>IF(AND($C1029=12,$D1029=Input!$C$6),0,IF($E1030="","",IF($B1030&gt;Input!$C$9,$AC1030*AI1030,0)+AK1031/(1+$L1030)*$R1030))</f>
        <v/>
      </c>
      <c r="AL1030" s="164" t="str">
        <f>IF(AND($C1029=12,$D1029=Input!$C$6),0,IF($E1030="","",IF($B1030&gt;Input!$C$9,0,$AC1030)+AL1031/(1+$L1030)*$R1030))</f>
        <v/>
      </c>
      <c r="AM1030" s="160" t="str">
        <f t="shared" si="342"/>
        <v/>
      </c>
      <c r="AN1030" s="164" t="str">
        <f>IF($E1030="","",IF($B1030&gt;Input!$C$9,$AI1030*$AC1030,$AM1030*$AC1030))</f>
        <v/>
      </c>
      <c r="AO1030" s="164" t="str">
        <f>IF(AND($C1029=12,$D1029=Input!$C$6),0,IF($E1030="","",$AN1030+AO1031/(1+$L1030)*$R1030))</f>
        <v/>
      </c>
      <c r="AP1030" s="152"/>
      <c r="AQ1030" s="164" t="str">
        <f t="shared" si="343"/>
        <v/>
      </c>
      <c r="AR1030" s="164" t="str">
        <f t="shared" ref="AR1030:AR1093" si="352">IF($E1030="","",IF($M1030=1,0,0.5*(IF($B1030=1,0,SUMIFS($AQ:$AQ,$B:$B,$B1030-1,$C:$C,12))+SUMIFS($AN:$AN,$B:$B,$B1030,$C:$C,1)+SUMIFS($AQ:$AQ,$B:$B,$B1030,$C:$C,12))))</f>
        <v/>
      </c>
      <c r="AS1030" s="164" t="str">
        <f t="shared" ref="AS1030:AS1093" si="353">IF($E1030="","",IF($M1030=1,0,0.5*$M1030*$H1030/(1+$K1030)))</f>
        <v/>
      </c>
      <c r="AT1030" s="164" t="str">
        <f t="shared" si="344"/>
        <v/>
      </c>
      <c r="AU1030" s="152"/>
      <c r="AV1030" s="147" t="str">
        <f>'Deterministic Reserve'!BC1030</f>
        <v/>
      </c>
      <c r="AW1030" s="164" t="str">
        <f t="shared" si="345"/>
        <v/>
      </c>
      <c r="AX1030" s="164" t="str">
        <f t="shared" si="346"/>
        <v/>
      </c>
      <c r="AY1030" s="152"/>
    </row>
    <row r="1031" spans="1:51" s="150" customFormat="1" x14ac:dyDescent="0.25">
      <c r="A1031" s="150" t="str">
        <f t="shared" ref="A1031:A1094" si="354">IF(E1031="","",A1030+1)</f>
        <v/>
      </c>
      <c r="B1031" s="150" t="str">
        <f t="shared" ref="B1031:B1094" si="355">IF(E1031="","",IF(C1030+1&gt;12,B1030+1,B1030))</f>
        <v/>
      </c>
      <c r="C1031" s="150" t="str">
        <f t="shared" ref="C1031:C1094" si="356">IF(E1031="","",IF(C1030+1&gt;12,1,C1030+1))</f>
        <v/>
      </c>
      <c r="D1031" s="150" t="str">
        <f>IF(E1031="","",Input!$C$4+B1031-1)</f>
        <v/>
      </c>
      <c r="E1031" s="150" t="str">
        <f>IF(OR(AND(C1030=12,D1030=Input!$C$6),E1030=""),"",1)</f>
        <v/>
      </c>
      <c r="F1031" s="150" t="str">
        <f>IF(E1031="","",Input!$C$8+B1031-1)</f>
        <v/>
      </c>
      <c r="G1031" s="151" t="str">
        <f>IF(E1031="","",MAX(0,Input!$C$9-B1031))</f>
        <v/>
      </c>
      <c r="H1031" s="152" t="str">
        <f>IF(E1031="","",Input!$C$3)</f>
        <v/>
      </c>
      <c r="I1031" s="153" t="str">
        <f>IF(E1031="","",HLOOKUP($B1031,Input!$C$13:$BT$14,2))</f>
        <v/>
      </c>
      <c r="J1031" s="154"/>
      <c r="K1031" s="155" t="str">
        <f>IF($E1031="","",Input!$C$57)</f>
        <v/>
      </c>
      <c r="L1031" s="155" t="str">
        <f t="shared" si="347"/>
        <v/>
      </c>
      <c r="M1031" s="147" t="str">
        <f>IF($E1031="","",VLOOKUP(IF($B1031&lt;=Input!$C$7,$B1031,26),'Mortality Tables'!$A$72:$CA$97,IF($B1031&lt;=Input!$C$7+1,Input!$C$4-16,$D1031-Input!$C$7-16),0)/1000)</f>
        <v/>
      </c>
      <c r="N1031" s="147" t="str">
        <f t="shared" si="336"/>
        <v/>
      </c>
      <c r="O1031" s="157" t="str">
        <f>IF($E1031="","",IF($C1031=12,IF($B1031&lt;Input!$C$9,Input!$C$54,IF($B1031=Input!$C$9,Input!$C$55,Input!$C$56)),0%))</f>
        <v/>
      </c>
      <c r="P1031" s="167" t="str">
        <f>IF($E1031="","",IF($B1031=1,Input!$C$59,IF($B1031&lt;6,Input!$C$60,0%)))</f>
        <v/>
      </c>
      <c r="Q1031" s="162" t="str">
        <f>IF($E1031="","",Input!$C$58)</f>
        <v/>
      </c>
      <c r="R1031" s="156" t="str">
        <f t="shared" si="348"/>
        <v/>
      </c>
      <c r="S1031" s="154" t="str">
        <f t="shared" si="337"/>
        <v/>
      </c>
      <c r="T1031" s="152"/>
      <c r="U1031" s="150" t="str">
        <f t="shared" si="349"/>
        <v/>
      </c>
      <c r="V1031" s="150" t="str">
        <f t="shared" si="350"/>
        <v/>
      </c>
      <c r="W1031" s="168" t="str">
        <f t="shared" si="351"/>
        <v/>
      </c>
      <c r="X1031" s="163" t="str">
        <f t="shared" si="338"/>
        <v/>
      </c>
      <c r="Y1031" s="152"/>
      <c r="Z1031" s="164" t="str">
        <f>IF(AND($C1030=12,$D1030=Input!$C$6),0,IF($E1031="","",V1031+Z1032/(1+L1031)*R1031))</f>
        <v/>
      </c>
      <c r="AA1031" s="164" t="str">
        <f>IF(OR($M1031=1,AND($C1030=12,$D1030=Input!$C$6)),0,IF($E1031="","",W1031+(X1031+AA1032*$R1031)/(1+$L1031)))</f>
        <v/>
      </c>
      <c r="AB1031" s="160" t="str">
        <f t="shared" si="339"/>
        <v/>
      </c>
      <c r="AC1031" s="164" t="str">
        <f t="shared" si="340"/>
        <v/>
      </c>
      <c r="AD1031" s="164" t="str">
        <f>IF(AND($C1030=12,$D1030=Input!$C$6),0,IF($E1031="","",$AC1031+AD1032/(1+$L1031)*$R1031))</f>
        <v/>
      </c>
      <c r="AE1031" s="152"/>
      <c r="AF1031" s="164" t="str">
        <f>IF(AND($C1030=12,$D1030=Input!$C$6),0,IF($E1031="","",IF($B1031&gt;Input!$C$9,$AC1031,0)+AF1032/(1+$L1031)*$R1031))</f>
        <v/>
      </c>
      <c r="AG1031" s="164" t="str">
        <f>IF(AND($C1030=12,$D1030=Input!$C$6),0,IF($E1031="","",(IF($B1031&gt;Input!$C$9,$X1031,0)+AG1032)/(1+$L1031)*$R1031))</f>
        <v/>
      </c>
      <c r="AH1031" s="160" t="str">
        <f t="shared" si="341"/>
        <v/>
      </c>
      <c r="AI1031" s="160" t="str">
        <f>IF($E1031="","",MIN(Input!$C$61/AH1031,1))</f>
        <v/>
      </c>
      <c r="AJ1031" s="152"/>
      <c r="AK1031" s="164" t="str">
        <f>IF(AND($C1030=12,$D1030=Input!$C$6),0,IF($E1031="","",IF($B1031&gt;Input!$C$9,$AC1031*AI1031,0)+AK1032/(1+$L1031)*$R1031))</f>
        <v/>
      </c>
      <c r="AL1031" s="164" t="str">
        <f>IF(AND($C1030=12,$D1030=Input!$C$6),0,IF($E1031="","",IF($B1031&gt;Input!$C$9,0,$AC1031)+AL1032/(1+$L1031)*$R1031))</f>
        <v/>
      </c>
      <c r="AM1031" s="160" t="str">
        <f t="shared" si="342"/>
        <v/>
      </c>
      <c r="AN1031" s="164" t="str">
        <f>IF($E1031="","",IF($B1031&gt;Input!$C$9,$AI1031*$AC1031,$AM1031*$AC1031))</f>
        <v/>
      </c>
      <c r="AO1031" s="164" t="str">
        <f>IF(AND($C1030=12,$D1030=Input!$C$6),0,IF($E1031="","",$AN1031+AO1032/(1+$L1031)*$R1031))</f>
        <v/>
      </c>
      <c r="AP1031" s="152"/>
      <c r="AQ1031" s="164" t="str">
        <f t="shared" si="343"/>
        <v/>
      </c>
      <c r="AR1031" s="164" t="str">
        <f t="shared" si="352"/>
        <v/>
      </c>
      <c r="AS1031" s="164" t="str">
        <f t="shared" si="353"/>
        <v/>
      </c>
      <c r="AT1031" s="164" t="str">
        <f t="shared" si="344"/>
        <v/>
      </c>
      <c r="AU1031" s="152"/>
      <c r="AV1031" s="147" t="str">
        <f>'Deterministic Reserve'!BC1031</f>
        <v/>
      </c>
      <c r="AW1031" s="164" t="str">
        <f t="shared" si="345"/>
        <v/>
      </c>
      <c r="AX1031" s="164" t="str">
        <f t="shared" si="346"/>
        <v/>
      </c>
      <c r="AY1031" s="152"/>
    </row>
    <row r="1032" spans="1:51" s="150" customFormat="1" x14ac:dyDescent="0.25">
      <c r="A1032" s="150" t="str">
        <f t="shared" si="354"/>
        <v/>
      </c>
      <c r="B1032" s="150" t="str">
        <f t="shared" si="355"/>
        <v/>
      </c>
      <c r="C1032" s="150" t="str">
        <f t="shared" si="356"/>
        <v/>
      </c>
      <c r="D1032" s="150" t="str">
        <f>IF(E1032="","",Input!$C$4+B1032-1)</f>
        <v/>
      </c>
      <c r="E1032" s="150" t="str">
        <f>IF(OR(AND(C1031=12,D1031=Input!$C$6),E1031=""),"",1)</f>
        <v/>
      </c>
      <c r="F1032" s="150" t="str">
        <f>IF(E1032="","",Input!$C$8+B1032-1)</f>
        <v/>
      </c>
      <c r="G1032" s="151" t="str">
        <f>IF(E1032="","",MAX(0,Input!$C$9-B1032))</f>
        <v/>
      </c>
      <c r="H1032" s="152" t="str">
        <f>IF(E1032="","",Input!$C$3)</f>
        <v/>
      </c>
      <c r="I1032" s="153" t="str">
        <f>IF(E1032="","",HLOOKUP($B1032,Input!$C$13:$BT$14,2))</f>
        <v/>
      </c>
      <c r="J1032" s="154"/>
      <c r="K1032" s="155" t="str">
        <f>IF($E1032="","",Input!$C$57)</f>
        <v/>
      </c>
      <c r="L1032" s="155" t="str">
        <f t="shared" si="347"/>
        <v/>
      </c>
      <c r="M1032" s="147" t="str">
        <f>IF($E1032="","",VLOOKUP(IF($B1032&lt;=Input!$C$7,$B1032,26),'Mortality Tables'!$A$72:$CA$97,IF($B1032&lt;=Input!$C$7+1,Input!$C$4-16,$D1032-Input!$C$7-16),0)/1000)</f>
        <v/>
      </c>
      <c r="N1032" s="147" t="str">
        <f t="shared" si="336"/>
        <v/>
      </c>
      <c r="O1032" s="157" t="str">
        <f>IF($E1032="","",IF($C1032=12,IF($B1032&lt;Input!$C$9,Input!$C$54,IF($B1032=Input!$C$9,Input!$C$55,Input!$C$56)),0%))</f>
        <v/>
      </c>
      <c r="P1032" s="167" t="str">
        <f>IF($E1032="","",IF($B1032=1,Input!$C$59,IF($B1032&lt;6,Input!$C$60,0%)))</f>
        <v/>
      </c>
      <c r="Q1032" s="162" t="str">
        <f>IF($E1032="","",Input!$C$58)</f>
        <v/>
      </c>
      <c r="R1032" s="156" t="str">
        <f t="shared" si="348"/>
        <v/>
      </c>
      <c r="S1032" s="154" t="str">
        <f t="shared" si="337"/>
        <v/>
      </c>
      <c r="T1032" s="152"/>
      <c r="U1032" s="150" t="str">
        <f t="shared" si="349"/>
        <v/>
      </c>
      <c r="V1032" s="150" t="str">
        <f t="shared" si="350"/>
        <v/>
      </c>
      <c r="W1032" s="168" t="str">
        <f t="shared" si="351"/>
        <v/>
      </c>
      <c r="X1032" s="163" t="str">
        <f t="shared" si="338"/>
        <v/>
      </c>
      <c r="Y1032" s="152"/>
      <c r="Z1032" s="164" t="str">
        <f>IF(AND($C1031=12,$D1031=Input!$C$6),0,IF($E1032="","",V1032+Z1033/(1+L1032)*R1032))</f>
        <v/>
      </c>
      <c r="AA1032" s="164" t="str">
        <f>IF(OR($M1032=1,AND($C1031=12,$D1031=Input!$C$6)),0,IF($E1032="","",W1032+(X1032+AA1033*$R1032)/(1+$L1032)))</f>
        <v/>
      </c>
      <c r="AB1032" s="160" t="str">
        <f t="shared" si="339"/>
        <v/>
      </c>
      <c r="AC1032" s="164" t="str">
        <f t="shared" si="340"/>
        <v/>
      </c>
      <c r="AD1032" s="164" t="str">
        <f>IF(AND($C1031=12,$D1031=Input!$C$6),0,IF($E1032="","",$AC1032+AD1033/(1+$L1032)*$R1032))</f>
        <v/>
      </c>
      <c r="AE1032" s="152"/>
      <c r="AF1032" s="164" t="str">
        <f>IF(AND($C1031=12,$D1031=Input!$C$6),0,IF($E1032="","",IF($B1032&gt;Input!$C$9,$AC1032,0)+AF1033/(1+$L1032)*$R1032))</f>
        <v/>
      </c>
      <c r="AG1032" s="164" t="str">
        <f>IF(AND($C1031=12,$D1031=Input!$C$6),0,IF($E1032="","",(IF($B1032&gt;Input!$C$9,$X1032,0)+AG1033)/(1+$L1032)*$R1032))</f>
        <v/>
      </c>
      <c r="AH1032" s="160" t="str">
        <f t="shared" si="341"/>
        <v/>
      </c>
      <c r="AI1032" s="160" t="str">
        <f>IF($E1032="","",MIN(Input!$C$61/AH1032,1))</f>
        <v/>
      </c>
      <c r="AJ1032" s="152"/>
      <c r="AK1032" s="164" t="str">
        <f>IF(AND($C1031=12,$D1031=Input!$C$6),0,IF($E1032="","",IF($B1032&gt;Input!$C$9,$AC1032*AI1032,0)+AK1033/(1+$L1032)*$R1032))</f>
        <v/>
      </c>
      <c r="AL1032" s="164" t="str">
        <f>IF(AND($C1031=12,$D1031=Input!$C$6),0,IF($E1032="","",IF($B1032&gt;Input!$C$9,0,$AC1032)+AL1033/(1+$L1032)*$R1032))</f>
        <v/>
      </c>
      <c r="AM1032" s="160" t="str">
        <f t="shared" si="342"/>
        <v/>
      </c>
      <c r="AN1032" s="164" t="str">
        <f>IF($E1032="","",IF($B1032&gt;Input!$C$9,$AI1032*$AC1032,$AM1032*$AC1032))</f>
        <v/>
      </c>
      <c r="AO1032" s="164" t="str">
        <f>IF(AND($C1031=12,$D1031=Input!$C$6),0,IF($E1032="","",$AN1032+AO1033/(1+$L1032)*$R1032))</f>
        <v/>
      </c>
      <c r="AP1032" s="152"/>
      <c r="AQ1032" s="164" t="str">
        <f t="shared" si="343"/>
        <v/>
      </c>
      <c r="AR1032" s="164" t="str">
        <f t="shared" si="352"/>
        <v/>
      </c>
      <c r="AS1032" s="164" t="str">
        <f t="shared" si="353"/>
        <v/>
      </c>
      <c r="AT1032" s="164" t="str">
        <f t="shared" si="344"/>
        <v/>
      </c>
      <c r="AU1032" s="152"/>
      <c r="AV1032" s="147" t="str">
        <f>'Deterministic Reserve'!BC1032</f>
        <v/>
      </c>
      <c r="AW1032" s="164" t="str">
        <f t="shared" si="345"/>
        <v/>
      </c>
      <c r="AX1032" s="164" t="str">
        <f t="shared" si="346"/>
        <v/>
      </c>
      <c r="AY1032" s="152"/>
    </row>
    <row r="1033" spans="1:51" s="150" customFormat="1" x14ac:dyDescent="0.25">
      <c r="A1033" s="150" t="str">
        <f t="shared" si="354"/>
        <v/>
      </c>
      <c r="B1033" s="150" t="str">
        <f t="shared" si="355"/>
        <v/>
      </c>
      <c r="C1033" s="150" t="str">
        <f t="shared" si="356"/>
        <v/>
      </c>
      <c r="D1033" s="150" t="str">
        <f>IF(E1033="","",Input!$C$4+B1033-1)</f>
        <v/>
      </c>
      <c r="E1033" s="150" t="str">
        <f>IF(OR(AND(C1032=12,D1032=Input!$C$6),E1032=""),"",1)</f>
        <v/>
      </c>
      <c r="F1033" s="150" t="str">
        <f>IF(E1033="","",Input!$C$8+B1033-1)</f>
        <v/>
      </c>
      <c r="G1033" s="151" t="str">
        <f>IF(E1033="","",MAX(0,Input!$C$9-B1033))</f>
        <v/>
      </c>
      <c r="H1033" s="152" t="str">
        <f>IF(E1033="","",Input!$C$3)</f>
        <v/>
      </c>
      <c r="I1033" s="153" t="str">
        <f>IF(E1033="","",HLOOKUP($B1033,Input!$C$13:$BT$14,2))</f>
        <v/>
      </c>
      <c r="J1033" s="154"/>
      <c r="K1033" s="155" t="str">
        <f>IF($E1033="","",Input!$C$57)</f>
        <v/>
      </c>
      <c r="L1033" s="155" t="str">
        <f t="shared" si="347"/>
        <v/>
      </c>
      <c r="M1033" s="147" t="str">
        <f>IF($E1033="","",VLOOKUP(IF($B1033&lt;=Input!$C$7,$B1033,26),'Mortality Tables'!$A$72:$CA$97,IF($B1033&lt;=Input!$C$7+1,Input!$C$4-16,$D1033-Input!$C$7-16),0)/1000)</f>
        <v/>
      </c>
      <c r="N1033" s="147" t="str">
        <f t="shared" si="336"/>
        <v/>
      </c>
      <c r="O1033" s="157" t="str">
        <f>IF($E1033="","",IF($C1033=12,IF($B1033&lt;Input!$C$9,Input!$C$54,IF($B1033=Input!$C$9,Input!$C$55,Input!$C$56)),0%))</f>
        <v/>
      </c>
      <c r="P1033" s="167" t="str">
        <f>IF($E1033="","",IF($B1033=1,Input!$C$59,IF($B1033&lt;6,Input!$C$60,0%)))</f>
        <v/>
      </c>
      <c r="Q1033" s="162" t="str">
        <f>IF($E1033="","",Input!$C$58)</f>
        <v/>
      </c>
      <c r="R1033" s="156" t="str">
        <f t="shared" si="348"/>
        <v/>
      </c>
      <c r="S1033" s="154" t="str">
        <f t="shared" si="337"/>
        <v/>
      </c>
      <c r="T1033" s="152"/>
      <c r="U1033" s="150" t="str">
        <f t="shared" si="349"/>
        <v/>
      </c>
      <c r="V1033" s="150" t="str">
        <f t="shared" si="350"/>
        <v/>
      </c>
      <c r="W1033" s="168" t="str">
        <f t="shared" si="351"/>
        <v/>
      </c>
      <c r="X1033" s="163" t="str">
        <f t="shared" si="338"/>
        <v/>
      </c>
      <c r="Y1033" s="152"/>
      <c r="Z1033" s="164" t="str">
        <f>IF(AND($C1032=12,$D1032=Input!$C$6),0,IF($E1033="","",V1033+Z1034/(1+L1033)*R1033))</f>
        <v/>
      </c>
      <c r="AA1033" s="164" t="str">
        <f>IF(OR($M1033=1,AND($C1032=12,$D1032=Input!$C$6)),0,IF($E1033="","",W1033+(X1033+AA1034*$R1033)/(1+$L1033)))</f>
        <v/>
      </c>
      <c r="AB1033" s="160" t="str">
        <f t="shared" si="339"/>
        <v/>
      </c>
      <c r="AC1033" s="164" t="str">
        <f t="shared" si="340"/>
        <v/>
      </c>
      <c r="AD1033" s="164" t="str">
        <f>IF(AND($C1032=12,$D1032=Input!$C$6),0,IF($E1033="","",$AC1033+AD1034/(1+$L1033)*$R1033))</f>
        <v/>
      </c>
      <c r="AE1033" s="152"/>
      <c r="AF1033" s="164" t="str">
        <f>IF(AND($C1032=12,$D1032=Input!$C$6),0,IF($E1033="","",IF($B1033&gt;Input!$C$9,$AC1033,0)+AF1034/(1+$L1033)*$R1033))</f>
        <v/>
      </c>
      <c r="AG1033" s="164" t="str">
        <f>IF(AND($C1032=12,$D1032=Input!$C$6),0,IF($E1033="","",(IF($B1033&gt;Input!$C$9,$X1033,0)+AG1034)/(1+$L1033)*$R1033))</f>
        <v/>
      </c>
      <c r="AH1033" s="160" t="str">
        <f t="shared" si="341"/>
        <v/>
      </c>
      <c r="AI1033" s="160" t="str">
        <f>IF($E1033="","",MIN(Input!$C$61/AH1033,1))</f>
        <v/>
      </c>
      <c r="AJ1033" s="152"/>
      <c r="AK1033" s="164" t="str">
        <f>IF(AND($C1032=12,$D1032=Input!$C$6),0,IF($E1033="","",IF($B1033&gt;Input!$C$9,$AC1033*AI1033,0)+AK1034/(1+$L1033)*$R1033))</f>
        <v/>
      </c>
      <c r="AL1033" s="164" t="str">
        <f>IF(AND($C1032=12,$D1032=Input!$C$6),0,IF($E1033="","",IF($B1033&gt;Input!$C$9,0,$AC1033)+AL1034/(1+$L1033)*$R1033))</f>
        <v/>
      </c>
      <c r="AM1033" s="160" t="str">
        <f t="shared" si="342"/>
        <v/>
      </c>
      <c r="AN1033" s="164" t="str">
        <f>IF($E1033="","",IF($B1033&gt;Input!$C$9,$AI1033*$AC1033,$AM1033*$AC1033))</f>
        <v/>
      </c>
      <c r="AO1033" s="164" t="str">
        <f>IF(AND($C1032=12,$D1032=Input!$C$6),0,IF($E1033="","",$AN1033+AO1034/(1+$L1033)*$R1033))</f>
        <v/>
      </c>
      <c r="AP1033" s="152"/>
      <c r="AQ1033" s="164" t="str">
        <f t="shared" si="343"/>
        <v/>
      </c>
      <c r="AR1033" s="164" t="str">
        <f t="shared" si="352"/>
        <v/>
      </c>
      <c r="AS1033" s="164" t="str">
        <f t="shared" si="353"/>
        <v/>
      </c>
      <c r="AT1033" s="164" t="str">
        <f t="shared" si="344"/>
        <v/>
      </c>
      <c r="AU1033" s="152"/>
      <c r="AV1033" s="147" t="str">
        <f>'Deterministic Reserve'!BC1033</f>
        <v/>
      </c>
      <c r="AW1033" s="164" t="str">
        <f t="shared" si="345"/>
        <v/>
      </c>
      <c r="AX1033" s="164" t="str">
        <f t="shared" si="346"/>
        <v/>
      </c>
      <c r="AY1033" s="152"/>
    </row>
    <row r="1034" spans="1:51" s="150" customFormat="1" x14ac:dyDescent="0.25">
      <c r="A1034" s="150" t="str">
        <f t="shared" si="354"/>
        <v/>
      </c>
      <c r="B1034" s="150" t="str">
        <f t="shared" si="355"/>
        <v/>
      </c>
      <c r="C1034" s="150" t="str">
        <f t="shared" si="356"/>
        <v/>
      </c>
      <c r="D1034" s="150" t="str">
        <f>IF(E1034="","",Input!$C$4+B1034-1)</f>
        <v/>
      </c>
      <c r="E1034" s="150" t="str">
        <f>IF(OR(AND(C1033=12,D1033=Input!$C$6),E1033=""),"",1)</f>
        <v/>
      </c>
      <c r="F1034" s="150" t="str">
        <f>IF(E1034="","",Input!$C$8+B1034-1)</f>
        <v/>
      </c>
      <c r="G1034" s="151" t="str">
        <f>IF(E1034="","",MAX(0,Input!$C$9-B1034))</f>
        <v/>
      </c>
      <c r="H1034" s="152" t="str">
        <f>IF(E1034="","",Input!$C$3)</f>
        <v/>
      </c>
      <c r="I1034" s="153" t="str">
        <f>IF(E1034="","",HLOOKUP($B1034,Input!$C$13:$BT$14,2))</f>
        <v/>
      </c>
      <c r="J1034" s="154"/>
      <c r="K1034" s="155" t="str">
        <f>IF($E1034="","",Input!$C$57)</f>
        <v/>
      </c>
      <c r="L1034" s="155" t="str">
        <f t="shared" si="347"/>
        <v/>
      </c>
      <c r="M1034" s="147" t="str">
        <f>IF($E1034="","",VLOOKUP(IF($B1034&lt;=Input!$C$7,$B1034,26),'Mortality Tables'!$A$72:$CA$97,IF($B1034&lt;=Input!$C$7+1,Input!$C$4-16,$D1034-Input!$C$7-16),0)/1000)</f>
        <v/>
      </c>
      <c r="N1034" s="147" t="str">
        <f t="shared" si="336"/>
        <v/>
      </c>
      <c r="O1034" s="157" t="str">
        <f>IF($E1034="","",IF($C1034=12,IF($B1034&lt;Input!$C$9,Input!$C$54,IF($B1034=Input!$C$9,Input!$C$55,Input!$C$56)),0%))</f>
        <v/>
      </c>
      <c r="P1034" s="167" t="str">
        <f>IF($E1034="","",IF($B1034=1,Input!$C$59,IF($B1034&lt;6,Input!$C$60,0%)))</f>
        <v/>
      </c>
      <c r="Q1034" s="162" t="str">
        <f>IF($E1034="","",Input!$C$58)</f>
        <v/>
      </c>
      <c r="R1034" s="156" t="str">
        <f t="shared" si="348"/>
        <v/>
      </c>
      <c r="S1034" s="154" t="str">
        <f t="shared" si="337"/>
        <v/>
      </c>
      <c r="T1034" s="152"/>
      <c r="U1034" s="150" t="str">
        <f t="shared" si="349"/>
        <v/>
      </c>
      <c r="V1034" s="150" t="str">
        <f t="shared" si="350"/>
        <v/>
      </c>
      <c r="W1034" s="168" t="str">
        <f t="shared" si="351"/>
        <v/>
      </c>
      <c r="X1034" s="163" t="str">
        <f t="shared" si="338"/>
        <v/>
      </c>
      <c r="Y1034" s="152"/>
      <c r="Z1034" s="164" t="str">
        <f>IF(AND($C1033=12,$D1033=Input!$C$6),0,IF($E1034="","",V1034+Z1035/(1+L1034)*R1034))</f>
        <v/>
      </c>
      <c r="AA1034" s="164" t="str">
        <f>IF(OR($M1034=1,AND($C1033=12,$D1033=Input!$C$6)),0,IF($E1034="","",W1034+(X1034+AA1035*$R1034)/(1+$L1034)))</f>
        <v/>
      </c>
      <c r="AB1034" s="160" t="str">
        <f t="shared" si="339"/>
        <v/>
      </c>
      <c r="AC1034" s="164" t="str">
        <f t="shared" si="340"/>
        <v/>
      </c>
      <c r="AD1034" s="164" t="str">
        <f>IF(AND($C1033=12,$D1033=Input!$C$6),0,IF($E1034="","",$AC1034+AD1035/(1+$L1034)*$R1034))</f>
        <v/>
      </c>
      <c r="AE1034" s="152"/>
      <c r="AF1034" s="164" t="str">
        <f>IF(AND($C1033=12,$D1033=Input!$C$6),0,IF($E1034="","",IF($B1034&gt;Input!$C$9,$AC1034,0)+AF1035/(1+$L1034)*$R1034))</f>
        <v/>
      </c>
      <c r="AG1034" s="164" t="str">
        <f>IF(AND($C1033=12,$D1033=Input!$C$6),0,IF($E1034="","",(IF($B1034&gt;Input!$C$9,$X1034,0)+AG1035)/(1+$L1034)*$R1034))</f>
        <v/>
      </c>
      <c r="AH1034" s="160" t="str">
        <f t="shared" si="341"/>
        <v/>
      </c>
      <c r="AI1034" s="160" t="str">
        <f>IF($E1034="","",MIN(Input!$C$61/AH1034,1))</f>
        <v/>
      </c>
      <c r="AJ1034" s="152"/>
      <c r="AK1034" s="164" t="str">
        <f>IF(AND($C1033=12,$D1033=Input!$C$6),0,IF($E1034="","",IF($B1034&gt;Input!$C$9,$AC1034*AI1034,0)+AK1035/(1+$L1034)*$R1034))</f>
        <v/>
      </c>
      <c r="AL1034" s="164" t="str">
        <f>IF(AND($C1033=12,$D1033=Input!$C$6),0,IF($E1034="","",IF($B1034&gt;Input!$C$9,0,$AC1034)+AL1035/(1+$L1034)*$R1034))</f>
        <v/>
      </c>
      <c r="AM1034" s="160" t="str">
        <f t="shared" si="342"/>
        <v/>
      </c>
      <c r="AN1034" s="164" t="str">
        <f>IF($E1034="","",IF($B1034&gt;Input!$C$9,$AI1034*$AC1034,$AM1034*$AC1034))</f>
        <v/>
      </c>
      <c r="AO1034" s="164" t="str">
        <f>IF(AND($C1033=12,$D1033=Input!$C$6),0,IF($E1034="","",$AN1034+AO1035/(1+$L1034)*$R1034))</f>
        <v/>
      </c>
      <c r="AP1034" s="152"/>
      <c r="AQ1034" s="164" t="str">
        <f t="shared" si="343"/>
        <v/>
      </c>
      <c r="AR1034" s="164" t="str">
        <f t="shared" si="352"/>
        <v/>
      </c>
      <c r="AS1034" s="164" t="str">
        <f t="shared" si="353"/>
        <v/>
      </c>
      <c r="AT1034" s="164" t="str">
        <f t="shared" si="344"/>
        <v/>
      </c>
      <c r="AU1034" s="152"/>
      <c r="AV1034" s="147" t="str">
        <f>'Deterministic Reserve'!BC1034</f>
        <v/>
      </c>
      <c r="AW1034" s="164" t="str">
        <f t="shared" si="345"/>
        <v/>
      </c>
      <c r="AX1034" s="164" t="str">
        <f t="shared" si="346"/>
        <v/>
      </c>
      <c r="AY1034" s="152"/>
    </row>
    <row r="1035" spans="1:51" s="150" customFormat="1" x14ac:dyDescent="0.25">
      <c r="A1035" s="150" t="str">
        <f t="shared" si="354"/>
        <v/>
      </c>
      <c r="B1035" s="150" t="str">
        <f t="shared" si="355"/>
        <v/>
      </c>
      <c r="C1035" s="150" t="str">
        <f t="shared" si="356"/>
        <v/>
      </c>
      <c r="D1035" s="150" t="str">
        <f>IF(E1035="","",Input!$C$4+B1035-1)</f>
        <v/>
      </c>
      <c r="E1035" s="150" t="str">
        <f>IF(OR(AND(C1034=12,D1034=Input!$C$6),E1034=""),"",1)</f>
        <v/>
      </c>
      <c r="F1035" s="150" t="str">
        <f>IF(E1035="","",Input!$C$8+B1035-1)</f>
        <v/>
      </c>
      <c r="G1035" s="151" t="str">
        <f>IF(E1035="","",MAX(0,Input!$C$9-B1035))</f>
        <v/>
      </c>
      <c r="H1035" s="152" t="str">
        <f>IF(E1035="","",Input!$C$3)</f>
        <v/>
      </c>
      <c r="I1035" s="153" t="str">
        <f>IF(E1035="","",HLOOKUP($B1035,Input!$C$13:$BT$14,2))</f>
        <v/>
      </c>
      <c r="J1035" s="154"/>
      <c r="K1035" s="155" t="str">
        <f>IF($E1035="","",Input!$C$57)</f>
        <v/>
      </c>
      <c r="L1035" s="155" t="str">
        <f t="shared" si="347"/>
        <v/>
      </c>
      <c r="M1035" s="147" t="str">
        <f>IF($E1035="","",VLOOKUP(IF($B1035&lt;=Input!$C$7,$B1035,26),'Mortality Tables'!$A$72:$CA$97,IF($B1035&lt;=Input!$C$7+1,Input!$C$4-16,$D1035-Input!$C$7-16),0)/1000)</f>
        <v/>
      </c>
      <c r="N1035" s="147" t="str">
        <f t="shared" si="336"/>
        <v/>
      </c>
      <c r="O1035" s="157" t="str">
        <f>IF($E1035="","",IF($C1035=12,IF($B1035&lt;Input!$C$9,Input!$C$54,IF($B1035=Input!$C$9,Input!$C$55,Input!$C$56)),0%))</f>
        <v/>
      </c>
      <c r="P1035" s="167" t="str">
        <f>IF($E1035="","",IF($B1035=1,Input!$C$59,IF($B1035&lt;6,Input!$C$60,0%)))</f>
        <v/>
      </c>
      <c r="Q1035" s="162" t="str">
        <f>IF($E1035="","",Input!$C$58)</f>
        <v/>
      </c>
      <c r="R1035" s="156" t="str">
        <f t="shared" si="348"/>
        <v/>
      </c>
      <c r="S1035" s="154" t="str">
        <f t="shared" si="337"/>
        <v/>
      </c>
      <c r="T1035" s="152"/>
      <c r="U1035" s="150" t="str">
        <f t="shared" si="349"/>
        <v/>
      </c>
      <c r="V1035" s="150" t="str">
        <f t="shared" si="350"/>
        <v/>
      </c>
      <c r="W1035" s="168" t="str">
        <f t="shared" si="351"/>
        <v/>
      </c>
      <c r="X1035" s="163" t="str">
        <f t="shared" si="338"/>
        <v/>
      </c>
      <c r="Y1035" s="152"/>
      <c r="Z1035" s="164" t="str">
        <f>IF(AND($C1034=12,$D1034=Input!$C$6),0,IF($E1035="","",V1035+Z1036/(1+L1035)*R1035))</f>
        <v/>
      </c>
      <c r="AA1035" s="164" t="str">
        <f>IF(OR($M1035=1,AND($C1034=12,$D1034=Input!$C$6)),0,IF($E1035="","",W1035+(X1035+AA1036*$R1035)/(1+$L1035)))</f>
        <v/>
      </c>
      <c r="AB1035" s="160" t="str">
        <f t="shared" si="339"/>
        <v/>
      </c>
      <c r="AC1035" s="164" t="str">
        <f t="shared" si="340"/>
        <v/>
      </c>
      <c r="AD1035" s="164" t="str">
        <f>IF(AND($C1034=12,$D1034=Input!$C$6),0,IF($E1035="","",$AC1035+AD1036/(1+$L1035)*$R1035))</f>
        <v/>
      </c>
      <c r="AE1035" s="152"/>
      <c r="AF1035" s="164" t="str">
        <f>IF(AND($C1034=12,$D1034=Input!$C$6),0,IF($E1035="","",IF($B1035&gt;Input!$C$9,$AC1035,0)+AF1036/(1+$L1035)*$R1035))</f>
        <v/>
      </c>
      <c r="AG1035" s="164" t="str">
        <f>IF(AND($C1034=12,$D1034=Input!$C$6),0,IF($E1035="","",(IF($B1035&gt;Input!$C$9,$X1035,0)+AG1036)/(1+$L1035)*$R1035))</f>
        <v/>
      </c>
      <c r="AH1035" s="160" t="str">
        <f t="shared" si="341"/>
        <v/>
      </c>
      <c r="AI1035" s="160" t="str">
        <f>IF($E1035="","",MIN(Input!$C$61/AH1035,1))</f>
        <v/>
      </c>
      <c r="AJ1035" s="152"/>
      <c r="AK1035" s="164" t="str">
        <f>IF(AND($C1034=12,$D1034=Input!$C$6),0,IF($E1035="","",IF($B1035&gt;Input!$C$9,$AC1035*AI1035,0)+AK1036/(1+$L1035)*$R1035))</f>
        <v/>
      </c>
      <c r="AL1035" s="164" t="str">
        <f>IF(AND($C1034=12,$D1034=Input!$C$6),0,IF($E1035="","",IF($B1035&gt;Input!$C$9,0,$AC1035)+AL1036/(1+$L1035)*$R1035))</f>
        <v/>
      </c>
      <c r="AM1035" s="160" t="str">
        <f t="shared" si="342"/>
        <v/>
      </c>
      <c r="AN1035" s="164" t="str">
        <f>IF($E1035="","",IF($B1035&gt;Input!$C$9,$AI1035*$AC1035,$AM1035*$AC1035))</f>
        <v/>
      </c>
      <c r="AO1035" s="164" t="str">
        <f>IF(AND($C1034=12,$D1034=Input!$C$6),0,IF($E1035="","",$AN1035+AO1036/(1+$L1035)*$R1035))</f>
        <v/>
      </c>
      <c r="AP1035" s="152"/>
      <c r="AQ1035" s="164" t="str">
        <f t="shared" si="343"/>
        <v/>
      </c>
      <c r="AR1035" s="164" t="str">
        <f t="shared" si="352"/>
        <v/>
      </c>
      <c r="AS1035" s="164" t="str">
        <f t="shared" si="353"/>
        <v/>
      </c>
      <c r="AT1035" s="164" t="str">
        <f t="shared" si="344"/>
        <v/>
      </c>
      <c r="AU1035" s="152"/>
      <c r="AV1035" s="147" t="str">
        <f>'Deterministic Reserve'!BC1035</f>
        <v/>
      </c>
      <c r="AW1035" s="164" t="str">
        <f t="shared" si="345"/>
        <v/>
      </c>
      <c r="AX1035" s="164" t="str">
        <f t="shared" si="346"/>
        <v/>
      </c>
      <c r="AY1035" s="152"/>
    </row>
    <row r="1036" spans="1:51" s="150" customFormat="1" x14ac:dyDescent="0.25">
      <c r="A1036" s="150" t="str">
        <f t="shared" si="354"/>
        <v/>
      </c>
      <c r="B1036" s="150" t="str">
        <f t="shared" si="355"/>
        <v/>
      </c>
      <c r="C1036" s="150" t="str">
        <f t="shared" si="356"/>
        <v/>
      </c>
      <c r="D1036" s="150" t="str">
        <f>IF(E1036="","",Input!$C$4+B1036-1)</f>
        <v/>
      </c>
      <c r="E1036" s="150" t="str">
        <f>IF(OR(AND(C1035=12,D1035=Input!$C$6),E1035=""),"",1)</f>
        <v/>
      </c>
      <c r="F1036" s="150" t="str">
        <f>IF(E1036="","",Input!$C$8+B1036-1)</f>
        <v/>
      </c>
      <c r="G1036" s="151" t="str">
        <f>IF(E1036="","",MAX(0,Input!$C$9-B1036))</f>
        <v/>
      </c>
      <c r="H1036" s="152" t="str">
        <f>IF(E1036="","",Input!$C$3)</f>
        <v/>
      </c>
      <c r="I1036" s="153" t="str">
        <f>IF(E1036="","",HLOOKUP($B1036,Input!$C$13:$BT$14,2))</f>
        <v/>
      </c>
      <c r="J1036" s="154"/>
      <c r="K1036" s="155" t="str">
        <f>IF($E1036="","",Input!$C$57)</f>
        <v/>
      </c>
      <c r="L1036" s="155" t="str">
        <f t="shared" si="347"/>
        <v/>
      </c>
      <c r="M1036" s="147" t="str">
        <f>IF($E1036="","",VLOOKUP(IF($B1036&lt;=Input!$C$7,$B1036,26),'Mortality Tables'!$A$72:$CA$97,IF($B1036&lt;=Input!$C$7+1,Input!$C$4-16,$D1036-Input!$C$7-16),0)/1000)</f>
        <v/>
      </c>
      <c r="N1036" s="147" t="str">
        <f t="shared" si="336"/>
        <v/>
      </c>
      <c r="O1036" s="157" t="str">
        <f>IF($E1036="","",IF($C1036=12,IF($B1036&lt;Input!$C$9,Input!$C$54,IF($B1036=Input!$C$9,Input!$C$55,Input!$C$56)),0%))</f>
        <v/>
      </c>
      <c r="P1036" s="167" t="str">
        <f>IF($E1036="","",IF($B1036=1,Input!$C$59,IF($B1036&lt;6,Input!$C$60,0%)))</f>
        <v/>
      </c>
      <c r="Q1036" s="162" t="str">
        <f>IF($E1036="","",Input!$C$58)</f>
        <v/>
      </c>
      <c r="R1036" s="156" t="str">
        <f t="shared" si="348"/>
        <v/>
      </c>
      <c r="S1036" s="154" t="str">
        <f t="shared" si="337"/>
        <v/>
      </c>
      <c r="T1036" s="152"/>
      <c r="U1036" s="150" t="str">
        <f t="shared" si="349"/>
        <v/>
      </c>
      <c r="V1036" s="150" t="str">
        <f t="shared" si="350"/>
        <v/>
      </c>
      <c r="W1036" s="168" t="str">
        <f t="shared" si="351"/>
        <v/>
      </c>
      <c r="X1036" s="163" t="str">
        <f t="shared" si="338"/>
        <v/>
      </c>
      <c r="Y1036" s="152"/>
      <c r="Z1036" s="164" t="str">
        <f>IF(AND($C1035=12,$D1035=Input!$C$6),0,IF($E1036="","",V1036+Z1037/(1+L1036)*R1036))</f>
        <v/>
      </c>
      <c r="AA1036" s="164" t="str">
        <f>IF(OR($M1036=1,AND($C1035=12,$D1035=Input!$C$6)),0,IF($E1036="","",W1036+(X1036+AA1037*$R1036)/(1+$L1036)))</f>
        <v/>
      </c>
      <c r="AB1036" s="160" t="str">
        <f t="shared" si="339"/>
        <v/>
      </c>
      <c r="AC1036" s="164" t="str">
        <f t="shared" si="340"/>
        <v/>
      </c>
      <c r="AD1036" s="164" t="str">
        <f>IF(AND($C1035=12,$D1035=Input!$C$6),0,IF($E1036="","",$AC1036+AD1037/(1+$L1036)*$R1036))</f>
        <v/>
      </c>
      <c r="AE1036" s="152"/>
      <c r="AF1036" s="164" t="str">
        <f>IF(AND($C1035=12,$D1035=Input!$C$6),0,IF($E1036="","",IF($B1036&gt;Input!$C$9,$AC1036,0)+AF1037/(1+$L1036)*$R1036))</f>
        <v/>
      </c>
      <c r="AG1036" s="164" t="str">
        <f>IF(AND($C1035=12,$D1035=Input!$C$6),0,IF($E1036="","",(IF($B1036&gt;Input!$C$9,$X1036,0)+AG1037)/(1+$L1036)*$R1036))</f>
        <v/>
      </c>
      <c r="AH1036" s="160" t="str">
        <f t="shared" si="341"/>
        <v/>
      </c>
      <c r="AI1036" s="160" t="str">
        <f>IF($E1036="","",MIN(Input!$C$61/AH1036,1))</f>
        <v/>
      </c>
      <c r="AJ1036" s="152"/>
      <c r="AK1036" s="164" t="str">
        <f>IF(AND($C1035=12,$D1035=Input!$C$6),0,IF($E1036="","",IF($B1036&gt;Input!$C$9,$AC1036*AI1036,0)+AK1037/(1+$L1036)*$R1036))</f>
        <v/>
      </c>
      <c r="AL1036" s="164" t="str">
        <f>IF(AND($C1035=12,$D1035=Input!$C$6),0,IF($E1036="","",IF($B1036&gt;Input!$C$9,0,$AC1036)+AL1037/(1+$L1036)*$R1036))</f>
        <v/>
      </c>
      <c r="AM1036" s="160" t="str">
        <f t="shared" si="342"/>
        <v/>
      </c>
      <c r="AN1036" s="164" t="str">
        <f>IF($E1036="","",IF($B1036&gt;Input!$C$9,$AI1036*$AC1036,$AM1036*$AC1036))</f>
        <v/>
      </c>
      <c r="AO1036" s="164" t="str">
        <f>IF(AND($C1035=12,$D1035=Input!$C$6),0,IF($E1036="","",$AN1036+AO1037/(1+$L1036)*$R1036))</f>
        <v/>
      </c>
      <c r="AP1036" s="152"/>
      <c r="AQ1036" s="164" t="str">
        <f t="shared" si="343"/>
        <v/>
      </c>
      <c r="AR1036" s="164" t="str">
        <f t="shared" si="352"/>
        <v/>
      </c>
      <c r="AS1036" s="164" t="str">
        <f t="shared" si="353"/>
        <v/>
      </c>
      <c r="AT1036" s="164" t="str">
        <f t="shared" si="344"/>
        <v/>
      </c>
      <c r="AU1036" s="152"/>
      <c r="AV1036" s="147" t="str">
        <f>'Deterministic Reserve'!BC1036</f>
        <v/>
      </c>
      <c r="AW1036" s="164" t="str">
        <f t="shared" si="345"/>
        <v/>
      </c>
      <c r="AX1036" s="164" t="str">
        <f t="shared" si="346"/>
        <v/>
      </c>
      <c r="AY1036" s="152"/>
    </row>
    <row r="1037" spans="1:51" s="150" customFormat="1" x14ac:dyDescent="0.25">
      <c r="A1037" s="150" t="str">
        <f t="shared" si="354"/>
        <v/>
      </c>
      <c r="B1037" s="150" t="str">
        <f t="shared" si="355"/>
        <v/>
      </c>
      <c r="C1037" s="150" t="str">
        <f t="shared" si="356"/>
        <v/>
      </c>
      <c r="D1037" s="150" t="str">
        <f>IF(E1037="","",Input!$C$4+B1037-1)</f>
        <v/>
      </c>
      <c r="E1037" s="150" t="str">
        <f>IF(OR(AND(C1036=12,D1036=Input!$C$6),E1036=""),"",1)</f>
        <v/>
      </c>
      <c r="F1037" s="150" t="str">
        <f>IF(E1037="","",Input!$C$8+B1037-1)</f>
        <v/>
      </c>
      <c r="G1037" s="151" t="str">
        <f>IF(E1037="","",MAX(0,Input!$C$9-B1037))</f>
        <v/>
      </c>
      <c r="H1037" s="152" t="str">
        <f>IF(E1037="","",Input!$C$3)</f>
        <v/>
      </c>
      <c r="I1037" s="153" t="str">
        <f>IF(E1037="","",HLOOKUP($B1037,Input!$C$13:$BT$14,2))</f>
        <v/>
      </c>
      <c r="J1037" s="154"/>
      <c r="K1037" s="155" t="str">
        <f>IF($E1037="","",Input!$C$57)</f>
        <v/>
      </c>
      <c r="L1037" s="155" t="str">
        <f t="shared" si="347"/>
        <v/>
      </c>
      <c r="M1037" s="147" t="str">
        <f>IF($E1037="","",VLOOKUP(IF($B1037&lt;=Input!$C$7,$B1037,26),'Mortality Tables'!$A$72:$CA$97,IF($B1037&lt;=Input!$C$7+1,Input!$C$4-16,$D1037-Input!$C$7-16),0)/1000)</f>
        <v/>
      </c>
      <c r="N1037" s="147" t="str">
        <f t="shared" si="336"/>
        <v/>
      </c>
      <c r="O1037" s="157" t="str">
        <f>IF($E1037="","",IF($C1037=12,IF($B1037&lt;Input!$C$9,Input!$C$54,IF($B1037=Input!$C$9,Input!$C$55,Input!$C$56)),0%))</f>
        <v/>
      </c>
      <c r="P1037" s="167" t="str">
        <f>IF($E1037="","",IF($B1037=1,Input!$C$59,IF($B1037&lt;6,Input!$C$60,0%)))</f>
        <v/>
      </c>
      <c r="Q1037" s="162" t="str">
        <f>IF($E1037="","",Input!$C$58)</f>
        <v/>
      </c>
      <c r="R1037" s="156" t="str">
        <f t="shared" si="348"/>
        <v/>
      </c>
      <c r="S1037" s="154" t="str">
        <f t="shared" si="337"/>
        <v/>
      </c>
      <c r="T1037" s="152"/>
      <c r="U1037" s="150" t="str">
        <f t="shared" si="349"/>
        <v/>
      </c>
      <c r="V1037" s="150" t="str">
        <f t="shared" si="350"/>
        <v/>
      </c>
      <c r="W1037" s="168" t="str">
        <f t="shared" si="351"/>
        <v/>
      </c>
      <c r="X1037" s="163" t="str">
        <f t="shared" si="338"/>
        <v/>
      </c>
      <c r="Y1037" s="152"/>
      <c r="Z1037" s="164" t="str">
        <f>IF(AND($C1036=12,$D1036=Input!$C$6),0,IF($E1037="","",V1037+Z1038/(1+L1037)*R1037))</f>
        <v/>
      </c>
      <c r="AA1037" s="164" t="str">
        <f>IF(OR($M1037=1,AND($C1036=12,$D1036=Input!$C$6)),0,IF($E1037="","",W1037+(X1037+AA1038*$R1037)/(1+$L1037)))</f>
        <v/>
      </c>
      <c r="AB1037" s="160" t="str">
        <f t="shared" si="339"/>
        <v/>
      </c>
      <c r="AC1037" s="164" t="str">
        <f t="shared" si="340"/>
        <v/>
      </c>
      <c r="AD1037" s="164" t="str">
        <f>IF(AND($C1036=12,$D1036=Input!$C$6),0,IF($E1037="","",$AC1037+AD1038/(1+$L1037)*$R1037))</f>
        <v/>
      </c>
      <c r="AE1037" s="152"/>
      <c r="AF1037" s="164" t="str">
        <f>IF(AND($C1036=12,$D1036=Input!$C$6),0,IF($E1037="","",IF($B1037&gt;Input!$C$9,$AC1037,0)+AF1038/(1+$L1037)*$R1037))</f>
        <v/>
      </c>
      <c r="AG1037" s="164" t="str">
        <f>IF(AND($C1036=12,$D1036=Input!$C$6),0,IF($E1037="","",(IF($B1037&gt;Input!$C$9,$X1037,0)+AG1038)/(1+$L1037)*$R1037))</f>
        <v/>
      </c>
      <c r="AH1037" s="160" t="str">
        <f t="shared" si="341"/>
        <v/>
      </c>
      <c r="AI1037" s="160" t="str">
        <f>IF($E1037="","",MIN(Input!$C$61/AH1037,1))</f>
        <v/>
      </c>
      <c r="AJ1037" s="152"/>
      <c r="AK1037" s="164" t="str">
        <f>IF(AND($C1036=12,$D1036=Input!$C$6),0,IF($E1037="","",IF($B1037&gt;Input!$C$9,$AC1037*AI1037,0)+AK1038/(1+$L1037)*$R1037))</f>
        <v/>
      </c>
      <c r="AL1037" s="164" t="str">
        <f>IF(AND($C1036=12,$D1036=Input!$C$6),0,IF($E1037="","",IF($B1037&gt;Input!$C$9,0,$AC1037)+AL1038/(1+$L1037)*$R1037))</f>
        <v/>
      </c>
      <c r="AM1037" s="160" t="str">
        <f t="shared" si="342"/>
        <v/>
      </c>
      <c r="AN1037" s="164" t="str">
        <f>IF($E1037="","",IF($B1037&gt;Input!$C$9,$AI1037*$AC1037,$AM1037*$AC1037))</f>
        <v/>
      </c>
      <c r="AO1037" s="164" t="str">
        <f>IF(AND($C1036=12,$D1036=Input!$C$6),0,IF($E1037="","",$AN1037+AO1038/(1+$L1037)*$R1037))</f>
        <v/>
      </c>
      <c r="AP1037" s="152"/>
      <c r="AQ1037" s="164" t="str">
        <f t="shared" si="343"/>
        <v/>
      </c>
      <c r="AR1037" s="164" t="str">
        <f t="shared" si="352"/>
        <v/>
      </c>
      <c r="AS1037" s="164" t="str">
        <f t="shared" si="353"/>
        <v/>
      </c>
      <c r="AT1037" s="164" t="str">
        <f t="shared" si="344"/>
        <v/>
      </c>
      <c r="AU1037" s="152"/>
      <c r="AV1037" s="147" t="str">
        <f>'Deterministic Reserve'!BC1037</f>
        <v/>
      </c>
      <c r="AW1037" s="164" t="str">
        <f t="shared" si="345"/>
        <v/>
      </c>
      <c r="AX1037" s="164" t="str">
        <f t="shared" si="346"/>
        <v/>
      </c>
      <c r="AY1037" s="152"/>
    </row>
    <row r="1038" spans="1:51" s="150" customFormat="1" x14ac:dyDescent="0.25">
      <c r="A1038" s="150" t="str">
        <f t="shared" si="354"/>
        <v/>
      </c>
      <c r="B1038" s="150" t="str">
        <f t="shared" si="355"/>
        <v/>
      </c>
      <c r="C1038" s="150" t="str">
        <f t="shared" si="356"/>
        <v/>
      </c>
      <c r="D1038" s="150" t="str">
        <f>IF(E1038="","",Input!$C$4+B1038-1)</f>
        <v/>
      </c>
      <c r="E1038" s="150" t="str">
        <f>IF(OR(AND(C1037=12,D1037=Input!$C$6),E1037=""),"",1)</f>
        <v/>
      </c>
      <c r="F1038" s="150" t="str">
        <f>IF(E1038="","",Input!$C$8+B1038-1)</f>
        <v/>
      </c>
      <c r="G1038" s="151" t="str">
        <f>IF(E1038="","",MAX(0,Input!$C$9-B1038))</f>
        <v/>
      </c>
      <c r="H1038" s="152" t="str">
        <f>IF(E1038="","",Input!$C$3)</f>
        <v/>
      </c>
      <c r="I1038" s="153" t="str">
        <f>IF(E1038="","",HLOOKUP($B1038,Input!$C$13:$BT$14,2))</f>
        <v/>
      </c>
      <c r="J1038" s="154"/>
      <c r="K1038" s="155" t="str">
        <f>IF($E1038="","",Input!$C$57)</f>
        <v/>
      </c>
      <c r="L1038" s="155" t="str">
        <f t="shared" si="347"/>
        <v/>
      </c>
      <c r="M1038" s="147" t="str">
        <f>IF($E1038="","",VLOOKUP(IF($B1038&lt;=Input!$C$7,$B1038,26),'Mortality Tables'!$A$72:$CA$97,IF($B1038&lt;=Input!$C$7+1,Input!$C$4-16,$D1038-Input!$C$7-16),0)/1000)</f>
        <v/>
      </c>
      <c r="N1038" s="147" t="str">
        <f t="shared" si="336"/>
        <v/>
      </c>
      <c r="O1038" s="157" t="str">
        <f>IF($E1038="","",IF($C1038=12,IF($B1038&lt;Input!$C$9,Input!$C$54,IF($B1038=Input!$C$9,Input!$C$55,Input!$C$56)),0%))</f>
        <v/>
      </c>
      <c r="P1038" s="167" t="str">
        <f>IF($E1038="","",IF($B1038=1,Input!$C$59,IF($B1038&lt;6,Input!$C$60,0%)))</f>
        <v/>
      </c>
      <c r="Q1038" s="162" t="str">
        <f>IF($E1038="","",Input!$C$58)</f>
        <v/>
      </c>
      <c r="R1038" s="156" t="str">
        <f t="shared" si="348"/>
        <v/>
      </c>
      <c r="S1038" s="154" t="str">
        <f t="shared" si="337"/>
        <v/>
      </c>
      <c r="T1038" s="152"/>
      <c r="U1038" s="150" t="str">
        <f t="shared" si="349"/>
        <v/>
      </c>
      <c r="V1038" s="150" t="str">
        <f t="shared" si="350"/>
        <v/>
      </c>
      <c r="W1038" s="168" t="str">
        <f t="shared" si="351"/>
        <v/>
      </c>
      <c r="X1038" s="163" t="str">
        <f t="shared" si="338"/>
        <v/>
      </c>
      <c r="Y1038" s="152"/>
      <c r="Z1038" s="164" t="str">
        <f>IF(AND($C1037=12,$D1037=Input!$C$6),0,IF($E1038="","",V1038+Z1039/(1+L1038)*R1038))</f>
        <v/>
      </c>
      <c r="AA1038" s="164" t="str">
        <f>IF(OR($M1038=1,AND($C1037=12,$D1037=Input!$C$6)),0,IF($E1038="","",W1038+(X1038+AA1039*$R1038)/(1+$L1038)))</f>
        <v/>
      </c>
      <c r="AB1038" s="160" t="str">
        <f t="shared" si="339"/>
        <v/>
      </c>
      <c r="AC1038" s="164" t="str">
        <f t="shared" si="340"/>
        <v/>
      </c>
      <c r="AD1038" s="164" t="str">
        <f>IF(AND($C1037=12,$D1037=Input!$C$6),0,IF($E1038="","",$AC1038+AD1039/(1+$L1038)*$R1038))</f>
        <v/>
      </c>
      <c r="AE1038" s="152"/>
      <c r="AF1038" s="164" t="str">
        <f>IF(AND($C1037=12,$D1037=Input!$C$6),0,IF($E1038="","",IF($B1038&gt;Input!$C$9,$AC1038,0)+AF1039/(1+$L1038)*$R1038))</f>
        <v/>
      </c>
      <c r="AG1038" s="164" t="str">
        <f>IF(AND($C1037=12,$D1037=Input!$C$6),0,IF($E1038="","",(IF($B1038&gt;Input!$C$9,$X1038,0)+AG1039)/(1+$L1038)*$R1038))</f>
        <v/>
      </c>
      <c r="AH1038" s="160" t="str">
        <f t="shared" si="341"/>
        <v/>
      </c>
      <c r="AI1038" s="160" t="str">
        <f>IF($E1038="","",MIN(Input!$C$61/AH1038,1))</f>
        <v/>
      </c>
      <c r="AJ1038" s="152"/>
      <c r="AK1038" s="164" t="str">
        <f>IF(AND($C1037=12,$D1037=Input!$C$6),0,IF($E1038="","",IF($B1038&gt;Input!$C$9,$AC1038*AI1038,0)+AK1039/(1+$L1038)*$R1038))</f>
        <v/>
      </c>
      <c r="AL1038" s="164" t="str">
        <f>IF(AND($C1037=12,$D1037=Input!$C$6),0,IF($E1038="","",IF($B1038&gt;Input!$C$9,0,$AC1038)+AL1039/(1+$L1038)*$R1038))</f>
        <v/>
      </c>
      <c r="AM1038" s="160" t="str">
        <f t="shared" si="342"/>
        <v/>
      </c>
      <c r="AN1038" s="164" t="str">
        <f>IF($E1038="","",IF($B1038&gt;Input!$C$9,$AI1038*$AC1038,$AM1038*$AC1038))</f>
        <v/>
      </c>
      <c r="AO1038" s="164" t="str">
        <f>IF(AND($C1037=12,$D1037=Input!$C$6),0,IF($E1038="","",$AN1038+AO1039/(1+$L1038)*$R1038))</f>
        <v/>
      </c>
      <c r="AP1038" s="152"/>
      <c r="AQ1038" s="164" t="str">
        <f t="shared" si="343"/>
        <v/>
      </c>
      <c r="AR1038" s="164" t="str">
        <f t="shared" si="352"/>
        <v/>
      </c>
      <c r="AS1038" s="164" t="str">
        <f t="shared" si="353"/>
        <v/>
      </c>
      <c r="AT1038" s="164" t="str">
        <f t="shared" si="344"/>
        <v/>
      </c>
      <c r="AU1038" s="152"/>
      <c r="AV1038" s="147" t="str">
        <f>'Deterministic Reserve'!BC1038</f>
        <v/>
      </c>
      <c r="AW1038" s="164" t="str">
        <f t="shared" si="345"/>
        <v/>
      </c>
      <c r="AX1038" s="164" t="str">
        <f t="shared" si="346"/>
        <v/>
      </c>
      <c r="AY1038" s="152"/>
    </row>
    <row r="1039" spans="1:51" s="150" customFormat="1" x14ac:dyDescent="0.25">
      <c r="A1039" s="150" t="str">
        <f t="shared" si="354"/>
        <v/>
      </c>
      <c r="B1039" s="150" t="str">
        <f t="shared" si="355"/>
        <v/>
      </c>
      <c r="C1039" s="150" t="str">
        <f t="shared" si="356"/>
        <v/>
      </c>
      <c r="D1039" s="150" t="str">
        <f>IF(E1039="","",Input!$C$4+B1039-1)</f>
        <v/>
      </c>
      <c r="E1039" s="150" t="str">
        <f>IF(OR(AND(C1038=12,D1038=Input!$C$6),E1038=""),"",1)</f>
        <v/>
      </c>
      <c r="F1039" s="150" t="str">
        <f>IF(E1039="","",Input!$C$8+B1039-1)</f>
        <v/>
      </c>
      <c r="G1039" s="151" t="str">
        <f>IF(E1039="","",MAX(0,Input!$C$9-B1039))</f>
        <v/>
      </c>
      <c r="H1039" s="152" t="str">
        <f>IF(E1039="","",Input!$C$3)</f>
        <v/>
      </c>
      <c r="I1039" s="153" t="str">
        <f>IF(E1039="","",HLOOKUP($B1039,Input!$C$13:$BT$14,2))</f>
        <v/>
      </c>
      <c r="J1039" s="154"/>
      <c r="K1039" s="155" t="str">
        <f>IF($E1039="","",Input!$C$57)</f>
        <v/>
      </c>
      <c r="L1039" s="155" t="str">
        <f t="shared" si="347"/>
        <v/>
      </c>
      <c r="M1039" s="147" t="str">
        <f>IF($E1039="","",VLOOKUP(IF($B1039&lt;=Input!$C$7,$B1039,26),'Mortality Tables'!$A$72:$CA$97,IF($B1039&lt;=Input!$C$7+1,Input!$C$4-16,$D1039-Input!$C$7-16),0)/1000)</f>
        <v/>
      </c>
      <c r="N1039" s="147" t="str">
        <f t="shared" si="336"/>
        <v/>
      </c>
      <c r="O1039" s="157" t="str">
        <f>IF($E1039="","",IF($C1039=12,IF($B1039&lt;Input!$C$9,Input!$C$54,IF($B1039=Input!$C$9,Input!$C$55,Input!$C$56)),0%))</f>
        <v/>
      </c>
      <c r="P1039" s="167" t="str">
        <f>IF($E1039="","",IF($B1039=1,Input!$C$59,IF($B1039&lt;6,Input!$C$60,0%)))</f>
        <v/>
      </c>
      <c r="Q1039" s="162" t="str">
        <f>IF($E1039="","",Input!$C$58)</f>
        <v/>
      </c>
      <c r="R1039" s="156" t="str">
        <f t="shared" si="348"/>
        <v/>
      </c>
      <c r="S1039" s="154" t="str">
        <f t="shared" si="337"/>
        <v/>
      </c>
      <c r="T1039" s="152"/>
      <c r="U1039" s="150" t="str">
        <f t="shared" si="349"/>
        <v/>
      </c>
      <c r="V1039" s="150" t="str">
        <f t="shared" si="350"/>
        <v/>
      </c>
      <c r="W1039" s="168" t="str">
        <f t="shared" si="351"/>
        <v/>
      </c>
      <c r="X1039" s="163" t="str">
        <f t="shared" si="338"/>
        <v/>
      </c>
      <c r="Y1039" s="152"/>
      <c r="Z1039" s="164" t="str">
        <f>IF(AND($C1038=12,$D1038=Input!$C$6),0,IF($E1039="","",V1039+Z1040/(1+L1039)*R1039))</f>
        <v/>
      </c>
      <c r="AA1039" s="164" t="str">
        <f>IF(OR($M1039=1,AND($C1038=12,$D1038=Input!$C$6)),0,IF($E1039="","",W1039+(X1039+AA1040*$R1039)/(1+$L1039)))</f>
        <v/>
      </c>
      <c r="AB1039" s="160" t="str">
        <f t="shared" si="339"/>
        <v/>
      </c>
      <c r="AC1039" s="164" t="str">
        <f t="shared" si="340"/>
        <v/>
      </c>
      <c r="AD1039" s="164" t="str">
        <f>IF(AND($C1038=12,$D1038=Input!$C$6),0,IF($E1039="","",$AC1039+AD1040/(1+$L1039)*$R1039))</f>
        <v/>
      </c>
      <c r="AE1039" s="152"/>
      <c r="AF1039" s="164" t="str">
        <f>IF(AND($C1038=12,$D1038=Input!$C$6),0,IF($E1039="","",IF($B1039&gt;Input!$C$9,$AC1039,0)+AF1040/(1+$L1039)*$R1039))</f>
        <v/>
      </c>
      <c r="AG1039" s="164" t="str">
        <f>IF(AND($C1038=12,$D1038=Input!$C$6),0,IF($E1039="","",(IF($B1039&gt;Input!$C$9,$X1039,0)+AG1040)/(1+$L1039)*$R1039))</f>
        <v/>
      </c>
      <c r="AH1039" s="160" t="str">
        <f t="shared" si="341"/>
        <v/>
      </c>
      <c r="AI1039" s="160" t="str">
        <f>IF($E1039="","",MIN(Input!$C$61/AH1039,1))</f>
        <v/>
      </c>
      <c r="AJ1039" s="152"/>
      <c r="AK1039" s="164" t="str">
        <f>IF(AND($C1038=12,$D1038=Input!$C$6),0,IF($E1039="","",IF($B1039&gt;Input!$C$9,$AC1039*AI1039,0)+AK1040/(1+$L1039)*$R1039))</f>
        <v/>
      </c>
      <c r="AL1039" s="164" t="str">
        <f>IF(AND($C1038=12,$D1038=Input!$C$6),0,IF($E1039="","",IF($B1039&gt;Input!$C$9,0,$AC1039)+AL1040/(1+$L1039)*$R1039))</f>
        <v/>
      </c>
      <c r="AM1039" s="160" t="str">
        <f t="shared" si="342"/>
        <v/>
      </c>
      <c r="AN1039" s="164" t="str">
        <f>IF($E1039="","",IF($B1039&gt;Input!$C$9,$AI1039*$AC1039,$AM1039*$AC1039))</f>
        <v/>
      </c>
      <c r="AO1039" s="164" t="str">
        <f>IF(AND($C1038=12,$D1038=Input!$C$6),0,IF($E1039="","",$AN1039+AO1040/(1+$L1039)*$R1039))</f>
        <v/>
      </c>
      <c r="AP1039" s="152"/>
      <c r="AQ1039" s="164" t="str">
        <f t="shared" si="343"/>
        <v/>
      </c>
      <c r="AR1039" s="164" t="str">
        <f t="shared" si="352"/>
        <v/>
      </c>
      <c r="AS1039" s="164" t="str">
        <f t="shared" si="353"/>
        <v/>
      </c>
      <c r="AT1039" s="164" t="str">
        <f t="shared" si="344"/>
        <v/>
      </c>
      <c r="AU1039" s="152"/>
      <c r="AV1039" s="147" t="str">
        <f>'Deterministic Reserve'!BC1039</f>
        <v/>
      </c>
      <c r="AW1039" s="164" t="str">
        <f t="shared" si="345"/>
        <v/>
      </c>
      <c r="AX1039" s="164" t="str">
        <f t="shared" si="346"/>
        <v/>
      </c>
      <c r="AY1039" s="152"/>
    </row>
    <row r="1040" spans="1:51" s="150" customFormat="1" x14ac:dyDescent="0.25">
      <c r="A1040" s="150" t="str">
        <f t="shared" si="354"/>
        <v/>
      </c>
      <c r="B1040" s="150" t="str">
        <f t="shared" si="355"/>
        <v/>
      </c>
      <c r="C1040" s="150" t="str">
        <f t="shared" si="356"/>
        <v/>
      </c>
      <c r="D1040" s="150" t="str">
        <f>IF(E1040="","",Input!$C$4+B1040-1)</f>
        <v/>
      </c>
      <c r="E1040" s="150" t="str">
        <f>IF(OR(AND(C1039=12,D1039=Input!$C$6),E1039=""),"",1)</f>
        <v/>
      </c>
      <c r="F1040" s="150" t="str">
        <f>IF(E1040="","",Input!$C$8+B1040-1)</f>
        <v/>
      </c>
      <c r="G1040" s="151" t="str">
        <f>IF(E1040="","",MAX(0,Input!$C$9-B1040))</f>
        <v/>
      </c>
      <c r="H1040" s="152" t="str">
        <f>IF(E1040="","",Input!$C$3)</f>
        <v/>
      </c>
      <c r="I1040" s="153" t="str">
        <f>IF(E1040="","",HLOOKUP($B1040,Input!$C$13:$BT$14,2))</f>
        <v/>
      </c>
      <c r="J1040" s="154"/>
      <c r="K1040" s="155" t="str">
        <f>IF($E1040="","",Input!$C$57)</f>
        <v/>
      </c>
      <c r="L1040" s="155" t="str">
        <f t="shared" si="347"/>
        <v/>
      </c>
      <c r="M1040" s="147" t="str">
        <f>IF($E1040="","",VLOOKUP(IF($B1040&lt;=Input!$C$7,$B1040,26),'Mortality Tables'!$A$72:$CA$97,IF($B1040&lt;=Input!$C$7+1,Input!$C$4-16,$D1040-Input!$C$7-16),0)/1000)</f>
        <v/>
      </c>
      <c r="N1040" s="147" t="str">
        <f t="shared" si="336"/>
        <v/>
      </c>
      <c r="O1040" s="157" t="str">
        <f>IF($E1040="","",IF($C1040=12,IF($B1040&lt;Input!$C$9,Input!$C$54,IF($B1040=Input!$C$9,Input!$C$55,Input!$C$56)),0%))</f>
        <v/>
      </c>
      <c r="P1040" s="167" t="str">
        <f>IF($E1040="","",IF($B1040=1,Input!$C$59,IF($B1040&lt;6,Input!$C$60,0%)))</f>
        <v/>
      </c>
      <c r="Q1040" s="162" t="str">
        <f>IF($E1040="","",Input!$C$58)</f>
        <v/>
      </c>
      <c r="R1040" s="156" t="str">
        <f t="shared" si="348"/>
        <v/>
      </c>
      <c r="S1040" s="154" t="str">
        <f t="shared" si="337"/>
        <v/>
      </c>
      <c r="T1040" s="152"/>
      <c r="U1040" s="150" t="str">
        <f t="shared" si="349"/>
        <v/>
      </c>
      <c r="V1040" s="150" t="str">
        <f t="shared" si="350"/>
        <v/>
      </c>
      <c r="W1040" s="168" t="str">
        <f t="shared" si="351"/>
        <v/>
      </c>
      <c r="X1040" s="163" t="str">
        <f t="shared" si="338"/>
        <v/>
      </c>
      <c r="Y1040" s="152"/>
      <c r="Z1040" s="164" t="str">
        <f>IF(AND($C1039=12,$D1039=Input!$C$6),0,IF($E1040="","",V1040+Z1041/(1+L1040)*R1040))</f>
        <v/>
      </c>
      <c r="AA1040" s="164" t="str">
        <f>IF(OR($M1040=1,AND($C1039=12,$D1039=Input!$C$6)),0,IF($E1040="","",W1040+(X1040+AA1041*$R1040)/(1+$L1040)))</f>
        <v/>
      </c>
      <c r="AB1040" s="160" t="str">
        <f t="shared" si="339"/>
        <v/>
      </c>
      <c r="AC1040" s="164" t="str">
        <f t="shared" si="340"/>
        <v/>
      </c>
      <c r="AD1040" s="164" t="str">
        <f>IF(AND($C1039=12,$D1039=Input!$C$6),0,IF($E1040="","",$AC1040+AD1041/(1+$L1040)*$R1040))</f>
        <v/>
      </c>
      <c r="AE1040" s="152"/>
      <c r="AF1040" s="164" t="str">
        <f>IF(AND($C1039=12,$D1039=Input!$C$6),0,IF($E1040="","",IF($B1040&gt;Input!$C$9,$AC1040,0)+AF1041/(1+$L1040)*$R1040))</f>
        <v/>
      </c>
      <c r="AG1040" s="164" t="str">
        <f>IF(AND($C1039=12,$D1039=Input!$C$6),0,IF($E1040="","",(IF($B1040&gt;Input!$C$9,$X1040,0)+AG1041)/(1+$L1040)*$R1040))</f>
        <v/>
      </c>
      <c r="AH1040" s="160" t="str">
        <f t="shared" si="341"/>
        <v/>
      </c>
      <c r="AI1040" s="160" t="str">
        <f>IF($E1040="","",MIN(Input!$C$61/AH1040,1))</f>
        <v/>
      </c>
      <c r="AJ1040" s="152"/>
      <c r="AK1040" s="164" t="str">
        <f>IF(AND($C1039=12,$D1039=Input!$C$6),0,IF($E1040="","",IF($B1040&gt;Input!$C$9,$AC1040*AI1040,0)+AK1041/(1+$L1040)*$R1040))</f>
        <v/>
      </c>
      <c r="AL1040" s="164" t="str">
        <f>IF(AND($C1039=12,$D1039=Input!$C$6),0,IF($E1040="","",IF($B1040&gt;Input!$C$9,0,$AC1040)+AL1041/(1+$L1040)*$R1040))</f>
        <v/>
      </c>
      <c r="AM1040" s="160" t="str">
        <f t="shared" si="342"/>
        <v/>
      </c>
      <c r="AN1040" s="164" t="str">
        <f>IF($E1040="","",IF($B1040&gt;Input!$C$9,$AI1040*$AC1040,$AM1040*$AC1040))</f>
        <v/>
      </c>
      <c r="AO1040" s="164" t="str">
        <f>IF(AND($C1039=12,$D1039=Input!$C$6),0,IF($E1040="","",$AN1040+AO1041/(1+$L1040)*$R1040))</f>
        <v/>
      </c>
      <c r="AP1040" s="152"/>
      <c r="AQ1040" s="164" t="str">
        <f t="shared" si="343"/>
        <v/>
      </c>
      <c r="AR1040" s="164" t="str">
        <f t="shared" si="352"/>
        <v/>
      </c>
      <c r="AS1040" s="164" t="str">
        <f t="shared" si="353"/>
        <v/>
      </c>
      <c r="AT1040" s="164" t="str">
        <f t="shared" si="344"/>
        <v/>
      </c>
      <c r="AU1040" s="152"/>
      <c r="AV1040" s="147" t="str">
        <f>'Deterministic Reserve'!BC1040</f>
        <v/>
      </c>
      <c r="AW1040" s="164" t="str">
        <f t="shared" si="345"/>
        <v/>
      </c>
      <c r="AX1040" s="164" t="str">
        <f t="shared" si="346"/>
        <v/>
      </c>
      <c r="AY1040" s="152"/>
    </row>
    <row r="1041" spans="1:51" s="150" customFormat="1" x14ac:dyDescent="0.25">
      <c r="A1041" s="150" t="str">
        <f t="shared" si="354"/>
        <v/>
      </c>
      <c r="B1041" s="150" t="str">
        <f t="shared" si="355"/>
        <v/>
      </c>
      <c r="C1041" s="150" t="str">
        <f t="shared" si="356"/>
        <v/>
      </c>
      <c r="D1041" s="150" t="str">
        <f>IF(E1041="","",Input!$C$4+B1041-1)</f>
        <v/>
      </c>
      <c r="E1041" s="150" t="str">
        <f>IF(OR(AND(C1040=12,D1040=Input!$C$6),E1040=""),"",1)</f>
        <v/>
      </c>
      <c r="F1041" s="150" t="str">
        <f>IF(E1041="","",Input!$C$8+B1041-1)</f>
        <v/>
      </c>
      <c r="G1041" s="151" t="str">
        <f>IF(E1041="","",MAX(0,Input!$C$9-B1041))</f>
        <v/>
      </c>
      <c r="H1041" s="152" t="str">
        <f>IF(E1041="","",Input!$C$3)</f>
        <v/>
      </c>
      <c r="I1041" s="153" t="str">
        <f>IF(E1041="","",HLOOKUP($B1041,Input!$C$13:$BT$14,2))</f>
        <v/>
      </c>
      <c r="J1041" s="154"/>
      <c r="K1041" s="155" t="str">
        <f>IF($E1041="","",Input!$C$57)</f>
        <v/>
      </c>
      <c r="L1041" s="155" t="str">
        <f t="shared" si="347"/>
        <v/>
      </c>
      <c r="M1041" s="147" t="str">
        <f>IF($E1041="","",VLOOKUP(IF($B1041&lt;=Input!$C$7,$B1041,26),'Mortality Tables'!$A$72:$CA$97,IF($B1041&lt;=Input!$C$7+1,Input!$C$4-16,$D1041-Input!$C$7-16),0)/1000)</f>
        <v/>
      </c>
      <c r="N1041" s="147" t="str">
        <f t="shared" si="336"/>
        <v/>
      </c>
      <c r="O1041" s="157" t="str">
        <f>IF($E1041="","",IF($C1041=12,IF($B1041&lt;Input!$C$9,Input!$C$54,IF($B1041=Input!$C$9,Input!$C$55,Input!$C$56)),0%))</f>
        <v/>
      </c>
      <c r="P1041" s="167" t="str">
        <f>IF($E1041="","",IF($B1041=1,Input!$C$59,IF($B1041&lt;6,Input!$C$60,0%)))</f>
        <v/>
      </c>
      <c r="Q1041" s="162" t="str">
        <f>IF($E1041="","",Input!$C$58)</f>
        <v/>
      </c>
      <c r="R1041" s="156" t="str">
        <f t="shared" si="348"/>
        <v/>
      </c>
      <c r="S1041" s="154" t="str">
        <f t="shared" si="337"/>
        <v/>
      </c>
      <c r="T1041" s="152"/>
      <c r="U1041" s="150" t="str">
        <f t="shared" si="349"/>
        <v/>
      </c>
      <c r="V1041" s="150" t="str">
        <f t="shared" si="350"/>
        <v/>
      </c>
      <c r="W1041" s="168" t="str">
        <f t="shared" si="351"/>
        <v/>
      </c>
      <c r="X1041" s="163" t="str">
        <f t="shared" si="338"/>
        <v/>
      </c>
      <c r="Y1041" s="152"/>
      <c r="Z1041" s="164" t="str">
        <f>IF(AND($C1040=12,$D1040=Input!$C$6),0,IF($E1041="","",V1041+Z1042/(1+L1041)*R1041))</f>
        <v/>
      </c>
      <c r="AA1041" s="164" t="str">
        <f>IF(OR($M1041=1,AND($C1040=12,$D1040=Input!$C$6)),0,IF($E1041="","",W1041+(X1041+AA1042*$R1041)/(1+$L1041)))</f>
        <v/>
      </c>
      <c r="AB1041" s="160" t="str">
        <f t="shared" si="339"/>
        <v/>
      </c>
      <c r="AC1041" s="164" t="str">
        <f t="shared" si="340"/>
        <v/>
      </c>
      <c r="AD1041" s="164" t="str">
        <f>IF(AND($C1040=12,$D1040=Input!$C$6),0,IF($E1041="","",$AC1041+AD1042/(1+$L1041)*$R1041))</f>
        <v/>
      </c>
      <c r="AE1041" s="152"/>
      <c r="AF1041" s="164" t="str">
        <f>IF(AND($C1040=12,$D1040=Input!$C$6),0,IF($E1041="","",IF($B1041&gt;Input!$C$9,$AC1041,0)+AF1042/(1+$L1041)*$R1041))</f>
        <v/>
      </c>
      <c r="AG1041" s="164" t="str">
        <f>IF(AND($C1040=12,$D1040=Input!$C$6),0,IF($E1041="","",(IF($B1041&gt;Input!$C$9,$X1041,0)+AG1042)/(1+$L1041)*$R1041))</f>
        <v/>
      </c>
      <c r="AH1041" s="160" t="str">
        <f t="shared" si="341"/>
        <v/>
      </c>
      <c r="AI1041" s="160" t="str">
        <f>IF($E1041="","",MIN(Input!$C$61/AH1041,1))</f>
        <v/>
      </c>
      <c r="AJ1041" s="152"/>
      <c r="AK1041" s="164" t="str">
        <f>IF(AND($C1040=12,$D1040=Input!$C$6),0,IF($E1041="","",IF($B1041&gt;Input!$C$9,$AC1041*AI1041,0)+AK1042/(1+$L1041)*$R1041))</f>
        <v/>
      </c>
      <c r="AL1041" s="164" t="str">
        <f>IF(AND($C1040=12,$D1040=Input!$C$6),0,IF($E1041="","",IF($B1041&gt;Input!$C$9,0,$AC1041)+AL1042/(1+$L1041)*$R1041))</f>
        <v/>
      </c>
      <c r="AM1041" s="160" t="str">
        <f t="shared" si="342"/>
        <v/>
      </c>
      <c r="AN1041" s="164" t="str">
        <f>IF($E1041="","",IF($B1041&gt;Input!$C$9,$AI1041*$AC1041,$AM1041*$AC1041))</f>
        <v/>
      </c>
      <c r="AO1041" s="164" t="str">
        <f>IF(AND($C1040=12,$D1040=Input!$C$6),0,IF($E1041="","",$AN1041+AO1042/(1+$L1041)*$R1041))</f>
        <v/>
      </c>
      <c r="AP1041" s="152"/>
      <c r="AQ1041" s="164" t="str">
        <f t="shared" si="343"/>
        <v/>
      </c>
      <c r="AR1041" s="164" t="str">
        <f t="shared" si="352"/>
        <v/>
      </c>
      <c r="AS1041" s="164" t="str">
        <f t="shared" si="353"/>
        <v/>
      </c>
      <c r="AT1041" s="164" t="str">
        <f t="shared" si="344"/>
        <v/>
      </c>
      <c r="AU1041" s="152"/>
      <c r="AV1041" s="147" t="str">
        <f>'Deterministic Reserve'!BC1041</f>
        <v/>
      </c>
      <c r="AW1041" s="164" t="str">
        <f t="shared" si="345"/>
        <v/>
      </c>
      <c r="AX1041" s="164" t="str">
        <f t="shared" si="346"/>
        <v/>
      </c>
      <c r="AY1041" s="152"/>
    </row>
    <row r="1042" spans="1:51" s="150" customFormat="1" x14ac:dyDescent="0.25">
      <c r="A1042" s="150" t="str">
        <f t="shared" si="354"/>
        <v/>
      </c>
      <c r="B1042" s="150" t="str">
        <f t="shared" si="355"/>
        <v/>
      </c>
      <c r="C1042" s="150" t="str">
        <f t="shared" si="356"/>
        <v/>
      </c>
      <c r="D1042" s="150" t="str">
        <f>IF(E1042="","",Input!$C$4+B1042-1)</f>
        <v/>
      </c>
      <c r="E1042" s="150" t="str">
        <f>IF(OR(AND(C1041=12,D1041=Input!$C$6),E1041=""),"",1)</f>
        <v/>
      </c>
      <c r="F1042" s="150" t="str">
        <f>IF(E1042="","",Input!$C$8+B1042-1)</f>
        <v/>
      </c>
      <c r="G1042" s="151" t="str">
        <f>IF(E1042="","",MAX(0,Input!$C$9-B1042))</f>
        <v/>
      </c>
      <c r="H1042" s="152" t="str">
        <f>IF(E1042="","",Input!$C$3)</f>
        <v/>
      </c>
      <c r="I1042" s="153" t="str">
        <f>IF(E1042="","",HLOOKUP($B1042,Input!$C$13:$BT$14,2))</f>
        <v/>
      </c>
      <c r="J1042" s="154"/>
      <c r="K1042" s="155" t="str">
        <f>IF($E1042="","",Input!$C$57)</f>
        <v/>
      </c>
      <c r="L1042" s="155" t="str">
        <f t="shared" si="347"/>
        <v/>
      </c>
      <c r="M1042" s="147" t="str">
        <f>IF($E1042="","",VLOOKUP(IF($B1042&lt;=Input!$C$7,$B1042,26),'Mortality Tables'!$A$72:$CA$97,IF($B1042&lt;=Input!$C$7+1,Input!$C$4-16,$D1042-Input!$C$7-16),0)/1000)</f>
        <v/>
      </c>
      <c r="N1042" s="147" t="str">
        <f t="shared" si="336"/>
        <v/>
      </c>
      <c r="O1042" s="157" t="str">
        <f>IF($E1042="","",IF($C1042=12,IF($B1042&lt;Input!$C$9,Input!$C$54,IF($B1042=Input!$C$9,Input!$C$55,Input!$C$56)),0%))</f>
        <v/>
      </c>
      <c r="P1042" s="167" t="str">
        <f>IF($E1042="","",IF($B1042=1,Input!$C$59,IF($B1042&lt;6,Input!$C$60,0%)))</f>
        <v/>
      </c>
      <c r="Q1042" s="162" t="str">
        <f>IF($E1042="","",Input!$C$58)</f>
        <v/>
      </c>
      <c r="R1042" s="156" t="str">
        <f t="shared" si="348"/>
        <v/>
      </c>
      <c r="S1042" s="154" t="str">
        <f t="shared" si="337"/>
        <v/>
      </c>
      <c r="T1042" s="152"/>
      <c r="U1042" s="150" t="str">
        <f t="shared" si="349"/>
        <v/>
      </c>
      <c r="V1042" s="150" t="str">
        <f t="shared" si="350"/>
        <v/>
      </c>
      <c r="W1042" s="168" t="str">
        <f t="shared" si="351"/>
        <v/>
      </c>
      <c r="X1042" s="163" t="str">
        <f t="shared" si="338"/>
        <v/>
      </c>
      <c r="Y1042" s="152"/>
      <c r="Z1042" s="164" t="str">
        <f>IF(AND($C1041=12,$D1041=Input!$C$6),0,IF($E1042="","",V1042+Z1043/(1+L1042)*R1042))</f>
        <v/>
      </c>
      <c r="AA1042" s="164" t="str">
        <f>IF(OR($M1042=1,AND($C1041=12,$D1041=Input!$C$6)),0,IF($E1042="","",W1042+(X1042+AA1043*$R1042)/(1+$L1042)))</f>
        <v/>
      </c>
      <c r="AB1042" s="160" t="str">
        <f t="shared" si="339"/>
        <v/>
      </c>
      <c r="AC1042" s="164" t="str">
        <f t="shared" si="340"/>
        <v/>
      </c>
      <c r="AD1042" s="164" t="str">
        <f>IF(AND($C1041=12,$D1041=Input!$C$6),0,IF($E1042="","",$AC1042+AD1043/(1+$L1042)*$R1042))</f>
        <v/>
      </c>
      <c r="AE1042" s="152"/>
      <c r="AF1042" s="164" t="str">
        <f>IF(AND($C1041=12,$D1041=Input!$C$6),0,IF($E1042="","",IF($B1042&gt;Input!$C$9,$AC1042,0)+AF1043/(1+$L1042)*$R1042))</f>
        <v/>
      </c>
      <c r="AG1042" s="164" t="str">
        <f>IF(AND($C1041=12,$D1041=Input!$C$6),0,IF($E1042="","",(IF($B1042&gt;Input!$C$9,$X1042,0)+AG1043)/(1+$L1042)*$R1042))</f>
        <v/>
      </c>
      <c r="AH1042" s="160" t="str">
        <f t="shared" si="341"/>
        <v/>
      </c>
      <c r="AI1042" s="160" t="str">
        <f>IF($E1042="","",MIN(Input!$C$61/AH1042,1))</f>
        <v/>
      </c>
      <c r="AJ1042" s="152"/>
      <c r="AK1042" s="164" t="str">
        <f>IF(AND($C1041=12,$D1041=Input!$C$6),0,IF($E1042="","",IF($B1042&gt;Input!$C$9,$AC1042*AI1042,0)+AK1043/(1+$L1042)*$R1042))</f>
        <v/>
      </c>
      <c r="AL1042" s="164" t="str">
        <f>IF(AND($C1041=12,$D1041=Input!$C$6),0,IF($E1042="","",IF($B1042&gt;Input!$C$9,0,$AC1042)+AL1043/(1+$L1042)*$R1042))</f>
        <v/>
      </c>
      <c r="AM1042" s="160" t="str">
        <f t="shared" si="342"/>
        <v/>
      </c>
      <c r="AN1042" s="164" t="str">
        <f>IF($E1042="","",IF($B1042&gt;Input!$C$9,$AI1042*$AC1042,$AM1042*$AC1042))</f>
        <v/>
      </c>
      <c r="AO1042" s="164" t="str">
        <f>IF(AND($C1041=12,$D1041=Input!$C$6),0,IF($E1042="","",$AN1042+AO1043/(1+$L1042)*$R1042))</f>
        <v/>
      </c>
      <c r="AP1042" s="152"/>
      <c r="AQ1042" s="164" t="str">
        <f t="shared" si="343"/>
        <v/>
      </c>
      <c r="AR1042" s="164" t="str">
        <f t="shared" si="352"/>
        <v/>
      </c>
      <c r="AS1042" s="164" t="str">
        <f t="shared" si="353"/>
        <v/>
      </c>
      <c r="AT1042" s="164" t="str">
        <f t="shared" si="344"/>
        <v/>
      </c>
      <c r="AU1042" s="152"/>
      <c r="AV1042" s="147" t="str">
        <f>'Deterministic Reserve'!BC1042</f>
        <v/>
      </c>
      <c r="AW1042" s="164" t="str">
        <f t="shared" si="345"/>
        <v/>
      </c>
      <c r="AX1042" s="164" t="str">
        <f t="shared" si="346"/>
        <v/>
      </c>
      <c r="AY1042" s="152"/>
    </row>
    <row r="1043" spans="1:51" s="150" customFormat="1" x14ac:dyDescent="0.25">
      <c r="A1043" s="150" t="str">
        <f t="shared" si="354"/>
        <v/>
      </c>
      <c r="B1043" s="150" t="str">
        <f t="shared" si="355"/>
        <v/>
      </c>
      <c r="C1043" s="150" t="str">
        <f t="shared" si="356"/>
        <v/>
      </c>
      <c r="D1043" s="150" t="str">
        <f>IF(E1043="","",Input!$C$4+B1043-1)</f>
        <v/>
      </c>
      <c r="E1043" s="150" t="str">
        <f>IF(OR(AND(C1042=12,D1042=Input!$C$6),E1042=""),"",1)</f>
        <v/>
      </c>
      <c r="F1043" s="150" t="str">
        <f>IF(E1043="","",Input!$C$8+B1043-1)</f>
        <v/>
      </c>
      <c r="G1043" s="151" t="str">
        <f>IF(E1043="","",MAX(0,Input!$C$9-B1043))</f>
        <v/>
      </c>
      <c r="H1043" s="152" t="str">
        <f>IF(E1043="","",Input!$C$3)</f>
        <v/>
      </c>
      <c r="I1043" s="153" t="str">
        <f>IF(E1043="","",HLOOKUP($B1043,Input!$C$13:$BT$14,2))</f>
        <v/>
      </c>
      <c r="J1043" s="154"/>
      <c r="K1043" s="155" t="str">
        <f>IF($E1043="","",Input!$C$57)</f>
        <v/>
      </c>
      <c r="L1043" s="155" t="str">
        <f t="shared" si="347"/>
        <v/>
      </c>
      <c r="M1043" s="147" t="str">
        <f>IF($E1043="","",VLOOKUP(IF($B1043&lt;=Input!$C$7,$B1043,26),'Mortality Tables'!$A$72:$CA$97,IF($B1043&lt;=Input!$C$7+1,Input!$C$4-16,$D1043-Input!$C$7-16),0)/1000)</f>
        <v/>
      </c>
      <c r="N1043" s="147" t="str">
        <f t="shared" si="336"/>
        <v/>
      </c>
      <c r="O1043" s="157" t="str">
        <f>IF($E1043="","",IF($C1043=12,IF($B1043&lt;Input!$C$9,Input!$C$54,IF($B1043=Input!$C$9,Input!$C$55,Input!$C$56)),0%))</f>
        <v/>
      </c>
      <c r="P1043" s="167" t="str">
        <f>IF($E1043="","",IF($B1043=1,Input!$C$59,IF($B1043&lt;6,Input!$C$60,0%)))</f>
        <v/>
      </c>
      <c r="Q1043" s="162" t="str">
        <f>IF($E1043="","",Input!$C$58)</f>
        <v/>
      </c>
      <c r="R1043" s="156" t="str">
        <f t="shared" si="348"/>
        <v/>
      </c>
      <c r="S1043" s="154" t="str">
        <f t="shared" si="337"/>
        <v/>
      </c>
      <c r="T1043" s="152"/>
      <c r="U1043" s="150" t="str">
        <f t="shared" si="349"/>
        <v/>
      </c>
      <c r="V1043" s="150" t="str">
        <f t="shared" si="350"/>
        <v/>
      </c>
      <c r="W1043" s="168" t="str">
        <f t="shared" si="351"/>
        <v/>
      </c>
      <c r="X1043" s="163" t="str">
        <f t="shared" si="338"/>
        <v/>
      </c>
      <c r="Y1043" s="152"/>
      <c r="Z1043" s="164" t="str">
        <f>IF(AND($C1042=12,$D1042=Input!$C$6),0,IF($E1043="","",V1043+Z1044/(1+L1043)*R1043))</f>
        <v/>
      </c>
      <c r="AA1043" s="164" t="str">
        <f>IF(OR($M1043=1,AND($C1042=12,$D1042=Input!$C$6)),0,IF($E1043="","",W1043+(X1043+AA1044*$R1043)/(1+$L1043)))</f>
        <v/>
      </c>
      <c r="AB1043" s="160" t="str">
        <f t="shared" si="339"/>
        <v/>
      </c>
      <c r="AC1043" s="164" t="str">
        <f t="shared" si="340"/>
        <v/>
      </c>
      <c r="AD1043" s="164" t="str">
        <f>IF(AND($C1042=12,$D1042=Input!$C$6),0,IF($E1043="","",$AC1043+AD1044/(1+$L1043)*$R1043))</f>
        <v/>
      </c>
      <c r="AE1043" s="152"/>
      <c r="AF1043" s="164" t="str">
        <f>IF(AND($C1042=12,$D1042=Input!$C$6),0,IF($E1043="","",IF($B1043&gt;Input!$C$9,$AC1043,0)+AF1044/(1+$L1043)*$R1043))</f>
        <v/>
      </c>
      <c r="AG1043" s="164" t="str">
        <f>IF(AND($C1042=12,$D1042=Input!$C$6),0,IF($E1043="","",(IF($B1043&gt;Input!$C$9,$X1043,0)+AG1044)/(1+$L1043)*$R1043))</f>
        <v/>
      </c>
      <c r="AH1043" s="160" t="str">
        <f t="shared" si="341"/>
        <v/>
      </c>
      <c r="AI1043" s="160" t="str">
        <f>IF($E1043="","",MIN(Input!$C$61/AH1043,1))</f>
        <v/>
      </c>
      <c r="AJ1043" s="152"/>
      <c r="AK1043" s="164" t="str">
        <f>IF(AND($C1042=12,$D1042=Input!$C$6),0,IF($E1043="","",IF($B1043&gt;Input!$C$9,$AC1043*AI1043,0)+AK1044/(1+$L1043)*$R1043))</f>
        <v/>
      </c>
      <c r="AL1043" s="164" t="str">
        <f>IF(AND($C1042=12,$D1042=Input!$C$6),0,IF($E1043="","",IF($B1043&gt;Input!$C$9,0,$AC1043)+AL1044/(1+$L1043)*$R1043))</f>
        <v/>
      </c>
      <c r="AM1043" s="160" t="str">
        <f t="shared" si="342"/>
        <v/>
      </c>
      <c r="AN1043" s="164" t="str">
        <f>IF($E1043="","",IF($B1043&gt;Input!$C$9,$AI1043*$AC1043,$AM1043*$AC1043))</f>
        <v/>
      </c>
      <c r="AO1043" s="164" t="str">
        <f>IF(AND($C1042=12,$D1042=Input!$C$6),0,IF($E1043="","",$AN1043+AO1044/(1+$L1043)*$R1043))</f>
        <v/>
      </c>
      <c r="AP1043" s="152"/>
      <c r="AQ1043" s="164" t="str">
        <f t="shared" si="343"/>
        <v/>
      </c>
      <c r="AR1043" s="164" t="str">
        <f t="shared" si="352"/>
        <v/>
      </c>
      <c r="AS1043" s="164" t="str">
        <f t="shared" si="353"/>
        <v/>
      </c>
      <c r="AT1043" s="164" t="str">
        <f t="shared" si="344"/>
        <v/>
      </c>
      <c r="AU1043" s="152"/>
      <c r="AV1043" s="147" t="str">
        <f>'Deterministic Reserve'!BC1043</f>
        <v/>
      </c>
      <c r="AW1043" s="164" t="str">
        <f t="shared" si="345"/>
        <v/>
      </c>
      <c r="AX1043" s="164" t="str">
        <f t="shared" si="346"/>
        <v/>
      </c>
      <c r="AY1043" s="152"/>
    </row>
    <row r="1044" spans="1:51" s="150" customFormat="1" x14ac:dyDescent="0.25">
      <c r="A1044" s="150" t="str">
        <f t="shared" si="354"/>
        <v/>
      </c>
      <c r="B1044" s="150" t="str">
        <f t="shared" si="355"/>
        <v/>
      </c>
      <c r="C1044" s="150" t="str">
        <f t="shared" si="356"/>
        <v/>
      </c>
      <c r="D1044" s="150" t="str">
        <f>IF(E1044="","",Input!$C$4+B1044-1)</f>
        <v/>
      </c>
      <c r="E1044" s="150" t="str">
        <f>IF(OR(AND(C1043=12,D1043=Input!$C$6),E1043=""),"",1)</f>
        <v/>
      </c>
      <c r="F1044" s="150" t="str">
        <f>IF(E1044="","",Input!$C$8+B1044-1)</f>
        <v/>
      </c>
      <c r="G1044" s="151" t="str">
        <f>IF(E1044="","",MAX(0,Input!$C$9-B1044))</f>
        <v/>
      </c>
      <c r="H1044" s="152" t="str">
        <f>IF(E1044="","",Input!$C$3)</f>
        <v/>
      </c>
      <c r="I1044" s="153" t="str">
        <f>IF(E1044="","",HLOOKUP($B1044,Input!$C$13:$BT$14,2))</f>
        <v/>
      </c>
      <c r="J1044" s="154"/>
      <c r="K1044" s="155" t="str">
        <f>IF($E1044="","",Input!$C$57)</f>
        <v/>
      </c>
      <c r="L1044" s="155" t="str">
        <f t="shared" si="347"/>
        <v/>
      </c>
      <c r="M1044" s="147" t="str">
        <f>IF($E1044="","",VLOOKUP(IF($B1044&lt;=Input!$C$7,$B1044,26),'Mortality Tables'!$A$72:$CA$97,IF($B1044&lt;=Input!$C$7+1,Input!$C$4-16,$D1044-Input!$C$7-16),0)/1000)</f>
        <v/>
      </c>
      <c r="N1044" s="147" t="str">
        <f t="shared" si="336"/>
        <v/>
      </c>
      <c r="O1044" s="157" t="str">
        <f>IF($E1044="","",IF($C1044=12,IF($B1044&lt;Input!$C$9,Input!$C$54,IF($B1044=Input!$C$9,Input!$C$55,Input!$C$56)),0%))</f>
        <v/>
      </c>
      <c r="P1044" s="167" t="str">
        <f>IF($E1044="","",IF($B1044=1,Input!$C$59,IF($B1044&lt;6,Input!$C$60,0%)))</f>
        <v/>
      </c>
      <c r="Q1044" s="162" t="str">
        <f>IF($E1044="","",Input!$C$58)</f>
        <v/>
      </c>
      <c r="R1044" s="156" t="str">
        <f t="shared" si="348"/>
        <v/>
      </c>
      <c r="S1044" s="154" t="str">
        <f t="shared" si="337"/>
        <v/>
      </c>
      <c r="T1044" s="152"/>
      <c r="U1044" s="150" t="str">
        <f t="shared" si="349"/>
        <v/>
      </c>
      <c r="V1044" s="150" t="str">
        <f t="shared" si="350"/>
        <v/>
      </c>
      <c r="W1044" s="168" t="str">
        <f t="shared" si="351"/>
        <v/>
      </c>
      <c r="X1044" s="163" t="str">
        <f t="shared" si="338"/>
        <v/>
      </c>
      <c r="Y1044" s="152"/>
      <c r="Z1044" s="164" t="str">
        <f>IF(AND($C1043=12,$D1043=Input!$C$6),0,IF($E1044="","",V1044+Z1045/(1+L1044)*R1044))</f>
        <v/>
      </c>
      <c r="AA1044" s="164" t="str">
        <f>IF(OR($M1044=1,AND($C1043=12,$D1043=Input!$C$6)),0,IF($E1044="","",W1044+(X1044+AA1045*$R1044)/(1+$L1044)))</f>
        <v/>
      </c>
      <c r="AB1044" s="160" t="str">
        <f t="shared" si="339"/>
        <v/>
      </c>
      <c r="AC1044" s="164" t="str">
        <f t="shared" si="340"/>
        <v/>
      </c>
      <c r="AD1044" s="164" t="str">
        <f>IF(AND($C1043=12,$D1043=Input!$C$6),0,IF($E1044="","",$AC1044+AD1045/(1+$L1044)*$R1044))</f>
        <v/>
      </c>
      <c r="AE1044" s="152"/>
      <c r="AF1044" s="164" t="str">
        <f>IF(AND($C1043=12,$D1043=Input!$C$6),0,IF($E1044="","",IF($B1044&gt;Input!$C$9,$AC1044,0)+AF1045/(1+$L1044)*$R1044))</f>
        <v/>
      </c>
      <c r="AG1044" s="164" t="str">
        <f>IF(AND($C1043=12,$D1043=Input!$C$6),0,IF($E1044="","",(IF($B1044&gt;Input!$C$9,$X1044,0)+AG1045)/(1+$L1044)*$R1044))</f>
        <v/>
      </c>
      <c r="AH1044" s="160" t="str">
        <f t="shared" si="341"/>
        <v/>
      </c>
      <c r="AI1044" s="160" t="str">
        <f>IF($E1044="","",MIN(Input!$C$61/AH1044,1))</f>
        <v/>
      </c>
      <c r="AJ1044" s="152"/>
      <c r="AK1044" s="164" t="str">
        <f>IF(AND($C1043=12,$D1043=Input!$C$6),0,IF($E1044="","",IF($B1044&gt;Input!$C$9,$AC1044*AI1044,0)+AK1045/(1+$L1044)*$R1044))</f>
        <v/>
      </c>
      <c r="AL1044" s="164" t="str">
        <f>IF(AND($C1043=12,$D1043=Input!$C$6),0,IF($E1044="","",IF($B1044&gt;Input!$C$9,0,$AC1044)+AL1045/(1+$L1044)*$R1044))</f>
        <v/>
      </c>
      <c r="AM1044" s="160" t="str">
        <f t="shared" si="342"/>
        <v/>
      </c>
      <c r="AN1044" s="164" t="str">
        <f>IF($E1044="","",IF($B1044&gt;Input!$C$9,$AI1044*$AC1044,$AM1044*$AC1044))</f>
        <v/>
      </c>
      <c r="AO1044" s="164" t="str">
        <f>IF(AND($C1043=12,$D1043=Input!$C$6),0,IF($E1044="","",$AN1044+AO1045/(1+$L1044)*$R1044))</f>
        <v/>
      </c>
      <c r="AP1044" s="152"/>
      <c r="AQ1044" s="164" t="str">
        <f t="shared" si="343"/>
        <v/>
      </c>
      <c r="AR1044" s="164" t="str">
        <f t="shared" si="352"/>
        <v/>
      </c>
      <c r="AS1044" s="164" t="str">
        <f t="shared" si="353"/>
        <v/>
      </c>
      <c r="AT1044" s="164" t="str">
        <f t="shared" si="344"/>
        <v/>
      </c>
      <c r="AU1044" s="152"/>
      <c r="AV1044" s="147" t="str">
        <f>'Deterministic Reserve'!BC1044</f>
        <v/>
      </c>
      <c r="AW1044" s="164" t="str">
        <f t="shared" si="345"/>
        <v/>
      </c>
      <c r="AX1044" s="164" t="str">
        <f t="shared" si="346"/>
        <v/>
      </c>
      <c r="AY1044" s="152"/>
    </row>
    <row r="1045" spans="1:51" s="150" customFormat="1" x14ac:dyDescent="0.25">
      <c r="A1045" s="150" t="str">
        <f t="shared" si="354"/>
        <v/>
      </c>
      <c r="B1045" s="150" t="str">
        <f t="shared" si="355"/>
        <v/>
      </c>
      <c r="C1045" s="150" t="str">
        <f t="shared" si="356"/>
        <v/>
      </c>
      <c r="D1045" s="150" t="str">
        <f>IF(E1045="","",Input!$C$4+B1045-1)</f>
        <v/>
      </c>
      <c r="E1045" s="150" t="str">
        <f>IF(OR(AND(C1044=12,D1044=Input!$C$6),E1044=""),"",1)</f>
        <v/>
      </c>
      <c r="F1045" s="150" t="str">
        <f>IF(E1045="","",Input!$C$8+B1045-1)</f>
        <v/>
      </c>
      <c r="G1045" s="151" t="str">
        <f>IF(E1045="","",MAX(0,Input!$C$9-B1045))</f>
        <v/>
      </c>
      <c r="H1045" s="152" t="str">
        <f>IF(E1045="","",Input!$C$3)</f>
        <v/>
      </c>
      <c r="I1045" s="153" t="str">
        <f>IF(E1045="","",HLOOKUP($B1045,Input!$C$13:$BT$14,2))</f>
        <v/>
      </c>
      <c r="J1045" s="154"/>
      <c r="K1045" s="155" t="str">
        <f>IF($E1045="","",Input!$C$57)</f>
        <v/>
      </c>
      <c r="L1045" s="155" t="str">
        <f t="shared" si="347"/>
        <v/>
      </c>
      <c r="M1045" s="147" t="str">
        <f>IF($E1045="","",VLOOKUP(IF($B1045&lt;=Input!$C$7,$B1045,26),'Mortality Tables'!$A$72:$CA$97,IF($B1045&lt;=Input!$C$7+1,Input!$C$4-16,$D1045-Input!$C$7-16),0)/1000)</f>
        <v/>
      </c>
      <c r="N1045" s="147" t="str">
        <f t="shared" si="336"/>
        <v/>
      </c>
      <c r="O1045" s="157" t="str">
        <f>IF($E1045="","",IF($C1045=12,IF($B1045&lt;Input!$C$9,Input!$C$54,IF($B1045=Input!$C$9,Input!$C$55,Input!$C$56)),0%))</f>
        <v/>
      </c>
      <c r="P1045" s="167" t="str">
        <f>IF($E1045="","",IF($B1045=1,Input!$C$59,IF($B1045&lt;6,Input!$C$60,0%)))</f>
        <v/>
      </c>
      <c r="Q1045" s="162" t="str">
        <f>IF($E1045="","",Input!$C$58)</f>
        <v/>
      </c>
      <c r="R1045" s="156" t="str">
        <f t="shared" si="348"/>
        <v/>
      </c>
      <c r="S1045" s="154" t="str">
        <f t="shared" si="337"/>
        <v/>
      </c>
      <c r="T1045" s="152"/>
      <c r="U1045" s="150" t="str">
        <f t="shared" si="349"/>
        <v/>
      </c>
      <c r="V1045" s="150" t="str">
        <f t="shared" si="350"/>
        <v/>
      </c>
      <c r="W1045" s="168" t="str">
        <f t="shared" si="351"/>
        <v/>
      </c>
      <c r="X1045" s="163" t="str">
        <f t="shared" si="338"/>
        <v/>
      </c>
      <c r="Y1045" s="152"/>
      <c r="Z1045" s="164" t="str">
        <f>IF(AND($C1044=12,$D1044=Input!$C$6),0,IF($E1045="","",V1045+Z1046/(1+L1045)*R1045))</f>
        <v/>
      </c>
      <c r="AA1045" s="164" t="str">
        <f>IF(OR($M1045=1,AND($C1044=12,$D1044=Input!$C$6)),0,IF($E1045="","",W1045+(X1045+AA1046*$R1045)/(1+$L1045)))</f>
        <v/>
      </c>
      <c r="AB1045" s="160" t="str">
        <f t="shared" si="339"/>
        <v/>
      </c>
      <c r="AC1045" s="164" t="str">
        <f t="shared" si="340"/>
        <v/>
      </c>
      <c r="AD1045" s="164" t="str">
        <f>IF(AND($C1044=12,$D1044=Input!$C$6),0,IF($E1045="","",$AC1045+AD1046/(1+$L1045)*$R1045))</f>
        <v/>
      </c>
      <c r="AE1045" s="152"/>
      <c r="AF1045" s="164" t="str">
        <f>IF(AND($C1044=12,$D1044=Input!$C$6),0,IF($E1045="","",IF($B1045&gt;Input!$C$9,$AC1045,0)+AF1046/(1+$L1045)*$R1045))</f>
        <v/>
      </c>
      <c r="AG1045" s="164" t="str">
        <f>IF(AND($C1044=12,$D1044=Input!$C$6),0,IF($E1045="","",(IF($B1045&gt;Input!$C$9,$X1045,0)+AG1046)/(1+$L1045)*$R1045))</f>
        <v/>
      </c>
      <c r="AH1045" s="160" t="str">
        <f t="shared" si="341"/>
        <v/>
      </c>
      <c r="AI1045" s="160" t="str">
        <f>IF($E1045="","",MIN(Input!$C$61/AH1045,1))</f>
        <v/>
      </c>
      <c r="AJ1045" s="152"/>
      <c r="AK1045" s="164" t="str">
        <f>IF(AND($C1044=12,$D1044=Input!$C$6),0,IF($E1045="","",IF($B1045&gt;Input!$C$9,$AC1045*AI1045,0)+AK1046/(1+$L1045)*$R1045))</f>
        <v/>
      </c>
      <c r="AL1045" s="164" t="str">
        <f>IF(AND($C1044=12,$D1044=Input!$C$6),0,IF($E1045="","",IF($B1045&gt;Input!$C$9,0,$AC1045)+AL1046/(1+$L1045)*$R1045))</f>
        <v/>
      </c>
      <c r="AM1045" s="160" t="str">
        <f t="shared" si="342"/>
        <v/>
      </c>
      <c r="AN1045" s="164" t="str">
        <f>IF($E1045="","",IF($B1045&gt;Input!$C$9,$AI1045*$AC1045,$AM1045*$AC1045))</f>
        <v/>
      </c>
      <c r="AO1045" s="164" t="str">
        <f>IF(AND($C1044=12,$D1044=Input!$C$6),0,IF($E1045="","",$AN1045+AO1046/(1+$L1045)*$R1045))</f>
        <v/>
      </c>
      <c r="AP1045" s="152"/>
      <c r="AQ1045" s="164" t="str">
        <f t="shared" si="343"/>
        <v/>
      </c>
      <c r="AR1045" s="164" t="str">
        <f t="shared" si="352"/>
        <v/>
      </c>
      <c r="AS1045" s="164" t="str">
        <f t="shared" si="353"/>
        <v/>
      </c>
      <c r="AT1045" s="164" t="str">
        <f t="shared" si="344"/>
        <v/>
      </c>
      <c r="AU1045" s="152"/>
      <c r="AV1045" s="147" t="str">
        <f>'Deterministic Reserve'!BC1045</f>
        <v/>
      </c>
      <c r="AW1045" s="164" t="str">
        <f t="shared" si="345"/>
        <v/>
      </c>
      <c r="AX1045" s="164" t="str">
        <f t="shared" si="346"/>
        <v/>
      </c>
      <c r="AY1045" s="152"/>
    </row>
    <row r="1046" spans="1:51" s="150" customFormat="1" x14ac:dyDescent="0.25">
      <c r="A1046" s="150" t="str">
        <f t="shared" si="354"/>
        <v/>
      </c>
      <c r="B1046" s="150" t="str">
        <f t="shared" si="355"/>
        <v/>
      </c>
      <c r="C1046" s="150" t="str">
        <f t="shared" si="356"/>
        <v/>
      </c>
      <c r="D1046" s="150" t="str">
        <f>IF(E1046="","",Input!$C$4+B1046-1)</f>
        <v/>
      </c>
      <c r="E1046" s="150" t="str">
        <f>IF(OR(AND(C1045=12,D1045=Input!$C$6),E1045=""),"",1)</f>
        <v/>
      </c>
      <c r="F1046" s="150" t="str">
        <f>IF(E1046="","",Input!$C$8+B1046-1)</f>
        <v/>
      </c>
      <c r="G1046" s="151" t="str">
        <f>IF(E1046="","",MAX(0,Input!$C$9-B1046))</f>
        <v/>
      </c>
      <c r="H1046" s="152" t="str">
        <f>IF(E1046="","",Input!$C$3)</f>
        <v/>
      </c>
      <c r="I1046" s="153" t="str">
        <f>IF(E1046="","",HLOOKUP($B1046,Input!$C$13:$BT$14,2))</f>
        <v/>
      </c>
      <c r="J1046" s="154"/>
      <c r="K1046" s="155" t="str">
        <f>IF($E1046="","",Input!$C$57)</f>
        <v/>
      </c>
      <c r="L1046" s="155" t="str">
        <f t="shared" si="347"/>
        <v/>
      </c>
      <c r="M1046" s="147" t="str">
        <f>IF($E1046="","",VLOOKUP(IF($B1046&lt;=Input!$C$7,$B1046,26),'Mortality Tables'!$A$72:$CA$97,IF($B1046&lt;=Input!$C$7+1,Input!$C$4-16,$D1046-Input!$C$7-16),0)/1000)</f>
        <v/>
      </c>
      <c r="N1046" s="147" t="str">
        <f t="shared" si="336"/>
        <v/>
      </c>
      <c r="O1046" s="157" t="str">
        <f>IF($E1046="","",IF($C1046=12,IF($B1046&lt;Input!$C$9,Input!$C$54,IF($B1046=Input!$C$9,Input!$C$55,Input!$C$56)),0%))</f>
        <v/>
      </c>
      <c r="P1046" s="167" t="str">
        <f>IF($E1046="","",IF($B1046=1,Input!$C$59,IF($B1046&lt;6,Input!$C$60,0%)))</f>
        <v/>
      </c>
      <c r="Q1046" s="162" t="str">
        <f>IF($E1046="","",Input!$C$58)</f>
        <v/>
      </c>
      <c r="R1046" s="156" t="str">
        <f t="shared" si="348"/>
        <v/>
      </c>
      <c r="S1046" s="154" t="str">
        <f t="shared" si="337"/>
        <v/>
      </c>
      <c r="T1046" s="152"/>
      <c r="U1046" s="150" t="str">
        <f t="shared" si="349"/>
        <v/>
      </c>
      <c r="V1046" s="150" t="str">
        <f t="shared" si="350"/>
        <v/>
      </c>
      <c r="W1046" s="168" t="str">
        <f t="shared" si="351"/>
        <v/>
      </c>
      <c r="X1046" s="163" t="str">
        <f t="shared" si="338"/>
        <v/>
      </c>
      <c r="Y1046" s="152"/>
      <c r="Z1046" s="164" t="str">
        <f>IF(AND($C1045=12,$D1045=Input!$C$6),0,IF($E1046="","",V1046+Z1047/(1+L1046)*R1046))</f>
        <v/>
      </c>
      <c r="AA1046" s="164" t="str">
        <f>IF(OR($M1046=1,AND($C1045=12,$D1045=Input!$C$6)),0,IF($E1046="","",W1046+(X1046+AA1047*$R1046)/(1+$L1046)))</f>
        <v/>
      </c>
      <c r="AB1046" s="160" t="str">
        <f t="shared" si="339"/>
        <v/>
      </c>
      <c r="AC1046" s="164" t="str">
        <f t="shared" si="340"/>
        <v/>
      </c>
      <c r="AD1046" s="164" t="str">
        <f>IF(AND($C1045=12,$D1045=Input!$C$6),0,IF($E1046="","",$AC1046+AD1047/(1+$L1046)*$R1046))</f>
        <v/>
      </c>
      <c r="AE1046" s="152"/>
      <c r="AF1046" s="164" t="str">
        <f>IF(AND($C1045=12,$D1045=Input!$C$6),0,IF($E1046="","",IF($B1046&gt;Input!$C$9,$AC1046,0)+AF1047/(1+$L1046)*$R1046))</f>
        <v/>
      </c>
      <c r="AG1046" s="164" t="str">
        <f>IF(AND($C1045=12,$D1045=Input!$C$6),0,IF($E1046="","",(IF($B1046&gt;Input!$C$9,$X1046,0)+AG1047)/(1+$L1046)*$R1046))</f>
        <v/>
      </c>
      <c r="AH1046" s="160" t="str">
        <f t="shared" si="341"/>
        <v/>
      </c>
      <c r="AI1046" s="160" t="str">
        <f>IF($E1046="","",MIN(Input!$C$61/AH1046,1))</f>
        <v/>
      </c>
      <c r="AJ1046" s="152"/>
      <c r="AK1046" s="164" t="str">
        <f>IF(AND($C1045=12,$D1045=Input!$C$6),0,IF($E1046="","",IF($B1046&gt;Input!$C$9,$AC1046*AI1046,0)+AK1047/(1+$L1046)*$R1046))</f>
        <v/>
      </c>
      <c r="AL1046" s="164" t="str">
        <f>IF(AND($C1045=12,$D1045=Input!$C$6),0,IF($E1046="","",IF($B1046&gt;Input!$C$9,0,$AC1046)+AL1047/(1+$L1046)*$R1046))</f>
        <v/>
      </c>
      <c r="AM1046" s="160" t="str">
        <f t="shared" si="342"/>
        <v/>
      </c>
      <c r="AN1046" s="164" t="str">
        <f>IF($E1046="","",IF($B1046&gt;Input!$C$9,$AI1046*$AC1046,$AM1046*$AC1046))</f>
        <v/>
      </c>
      <c r="AO1046" s="164" t="str">
        <f>IF(AND($C1045=12,$D1045=Input!$C$6),0,IF($E1046="","",$AN1046+AO1047/(1+$L1046)*$R1046))</f>
        <v/>
      </c>
      <c r="AP1046" s="152"/>
      <c r="AQ1046" s="164" t="str">
        <f t="shared" si="343"/>
        <v/>
      </c>
      <c r="AR1046" s="164" t="str">
        <f t="shared" si="352"/>
        <v/>
      </c>
      <c r="AS1046" s="164" t="str">
        <f t="shared" si="353"/>
        <v/>
      </c>
      <c r="AT1046" s="164" t="str">
        <f t="shared" si="344"/>
        <v/>
      </c>
      <c r="AU1046" s="152"/>
      <c r="AV1046" s="147" t="str">
        <f>'Deterministic Reserve'!BC1046</f>
        <v/>
      </c>
      <c r="AW1046" s="164" t="str">
        <f t="shared" si="345"/>
        <v/>
      </c>
      <c r="AX1046" s="164" t="str">
        <f t="shared" si="346"/>
        <v/>
      </c>
      <c r="AY1046" s="152"/>
    </row>
    <row r="1047" spans="1:51" s="150" customFormat="1" x14ac:dyDescent="0.25">
      <c r="A1047" s="150" t="str">
        <f t="shared" si="354"/>
        <v/>
      </c>
      <c r="B1047" s="150" t="str">
        <f t="shared" si="355"/>
        <v/>
      </c>
      <c r="C1047" s="150" t="str">
        <f t="shared" si="356"/>
        <v/>
      </c>
      <c r="D1047" s="150" t="str">
        <f>IF(E1047="","",Input!$C$4+B1047-1)</f>
        <v/>
      </c>
      <c r="E1047" s="150" t="str">
        <f>IF(OR(AND(C1046=12,D1046=Input!$C$6),E1046=""),"",1)</f>
        <v/>
      </c>
      <c r="F1047" s="150" t="str">
        <f>IF(E1047="","",Input!$C$8+B1047-1)</f>
        <v/>
      </c>
      <c r="G1047" s="151" t="str">
        <f>IF(E1047="","",MAX(0,Input!$C$9-B1047))</f>
        <v/>
      </c>
      <c r="H1047" s="152" t="str">
        <f>IF(E1047="","",Input!$C$3)</f>
        <v/>
      </c>
      <c r="I1047" s="153" t="str">
        <f>IF(E1047="","",HLOOKUP($B1047,Input!$C$13:$BT$14,2))</f>
        <v/>
      </c>
      <c r="J1047" s="154"/>
      <c r="K1047" s="155" t="str">
        <f>IF($E1047="","",Input!$C$57)</f>
        <v/>
      </c>
      <c r="L1047" s="155" t="str">
        <f t="shared" si="347"/>
        <v/>
      </c>
      <c r="M1047" s="147" t="str">
        <f>IF($E1047="","",VLOOKUP(IF($B1047&lt;=Input!$C$7,$B1047,26),'Mortality Tables'!$A$72:$CA$97,IF($B1047&lt;=Input!$C$7+1,Input!$C$4-16,$D1047-Input!$C$7-16),0)/1000)</f>
        <v/>
      </c>
      <c r="N1047" s="147" t="str">
        <f t="shared" si="336"/>
        <v/>
      </c>
      <c r="O1047" s="157" t="str">
        <f>IF($E1047="","",IF($C1047=12,IF($B1047&lt;Input!$C$9,Input!$C$54,IF($B1047=Input!$C$9,Input!$C$55,Input!$C$56)),0%))</f>
        <v/>
      </c>
      <c r="P1047" s="167" t="str">
        <f>IF($E1047="","",IF($B1047=1,Input!$C$59,IF($B1047&lt;6,Input!$C$60,0%)))</f>
        <v/>
      </c>
      <c r="Q1047" s="162" t="str">
        <f>IF($E1047="","",Input!$C$58)</f>
        <v/>
      </c>
      <c r="R1047" s="156" t="str">
        <f t="shared" si="348"/>
        <v/>
      </c>
      <c r="S1047" s="154" t="str">
        <f t="shared" si="337"/>
        <v/>
      </c>
      <c r="T1047" s="152"/>
      <c r="U1047" s="150" t="str">
        <f t="shared" si="349"/>
        <v/>
      </c>
      <c r="V1047" s="150" t="str">
        <f t="shared" si="350"/>
        <v/>
      </c>
      <c r="W1047" s="168" t="str">
        <f t="shared" si="351"/>
        <v/>
      </c>
      <c r="X1047" s="163" t="str">
        <f t="shared" si="338"/>
        <v/>
      </c>
      <c r="Y1047" s="152"/>
      <c r="Z1047" s="164" t="str">
        <f>IF(AND($C1046=12,$D1046=Input!$C$6),0,IF($E1047="","",V1047+Z1048/(1+L1047)*R1047))</f>
        <v/>
      </c>
      <c r="AA1047" s="164" t="str">
        <f>IF(OR($M1047=1,AND($C1046=12,$D1046=Input!$C$6)),0,IF($E1047="","",W1047+(X1047+AA1048*$R1047)/(1+$L1047)))</f>
        <v/>
      </c>
      <c r="AB1047" s="160" t="str">
        <f t="shared" si="339"/>
        <v/>
      </c>
      <c r="AC1047" s="164" t="str">
        <f t="shared" si="340"/>
        <v/>
      </c>
      <c r="AD1047" s="164" t="str">
        <f>IF(AND($C1046=12,$D1046=Input!$C$6),0,IF($E1047="","",$AC1047+AD1048/(1+$L1047)*$R1047))</f>
        <v/>
      </c>
      <c r="AE1047" s="152"/>
      <c r="AF1047" s="164" t="str">
        <f>IF(AND($C1046=12,$D1046=Input!$C$6),0,IF($E1047="","",IF($B1047&gt;Input!$C$9,$AC1047,0)+AF1048/(1+$L1047)*$R1047))</f>
        <v/>
      </c>
      <c r="AG1047" s="164" t="str">
        <f>IF(AND($C1046=12,$D1046=Input!$C$6),0,IF($E1047="","",(IF($B1047&gt;Input!$C$9,$X1047,0)+AG1048)/(1+$L1047)*$R1047))</f>
        <v/>
      </c>
      <c r="AH1047" s="160" t="str">
        <f t="shared" si="341"/>
        <v/>
      </c>
      <c r="AI1047" s="160" t="str">
        <f>IF($E1047="","",MIN(Input!$C$61/AH1047,1))</f>
        <v/>
      </c>
      <c r="AJ1047" s="152"/>
      <c r="AK1047" s="164" t="str">
        <f>IF(AND($C1046=12,$D1046=Input!$C$6),0,IF($E1047="","",IF($B1047&gt;Input!$C$9,$AC1047*AI1047,0)+AK1048/(1+$L1047)*$R1047))</f>
        <v/>
      </c>
      <c r="AL1047" s="164" t="str">
        <f>IF(AND($C1046=12,$D1046=Input!$C$6),0,IF($E1047="","",IF($B1047&gt;Input!$C$9,0,$AC1047)+AL1048/(1+$L1047)*$R1047))</f>
        <v/>
      </c>
      <c r="AM1047" s="160" t="str">
        <f t="shared" si="342"/>
        <v/>
      </c>
      <c r="AN1047" s="164" t="str">
        <f>IF($E1047="","",IF($B1047&gt;Input!$C$9,$AI1047*$AC1047,$AM1047*$AC1047))</f>
        <v/>
      </c>
      <c r="AO1047" s="164" t="str">
        <f>IF(AND($C1046=12,$D1046=Input!$C$6),0,IF($E1047="","",$AN1047+AO1048/(1+$L1047)*$R1047))</f>
        <v/>
      </c>
      <c r="AP1047" s="152"/>
      <c r="AQ1047" s="164" t="str">
        <f t="shared" si="343"/>
        <v/>
      </c>
      <c r="AR1047" s="164" t="str">
        <f t="shared" si="352"/>
        <v/>
      </c>
      <c r="AS1047" s="164" t="str">
        <f t="shared" si="353"/>
        <v/>
      </c>
      <c r="AT1047" s="164" t="str">
        <f t="shared" si="344"/>
        <v/>
      </c>
      <c r="AU1047" s="152"/>
      <c r="AV1047" s="147" t="str">
        <f>'Deterministic Reserve'!BC1047</f>
        <v/>
      </c>
      <c r="AW1047" s="164" t="str">
        <f t="shared" si="345"/>
        <v/>
      </c>
      <c r="AX1047" s="164" t="str">
        <f t="shared" si="346"/>
        <v/>
      </c>
      <c r="AY1047" s="152"/>
    </row>
    <row r="1048" spans="1:51" s="150" customFormat="1" x14ac:dyDescent="0.25">
      <c r="A1048" s="150" t="str">
        <f t="shared" si="354"/>
        <v/>
      </c>
      <c r="B1048" s="150" t="str">
        <f t="shared" si="355"/>
        <v/>
      </c>
      <c r="C1048" s="150" t="str">
        <f t="shared" si="356"/>
        <v/>
      </c>
      <c r="D1048" s="150" t="str">
        <f>IF(E1048="","",Input!$C$4+B1048-1)</f>
        <v/>
      </c>
      <c r="E1048" s="150" t="str">
        <f>IF(OR(AND(C1047=12,D1047=Input!$C$6),E1047=""),"",1)</f>
        <v/>
      </c>
      <c r="F1048" s="150" t="str">
        <f>IF(E1048="","",Input!$C$8+B1048-1)</f>
        <v/>
      </c>
      <c r="G1048" s="151" t="str">
        <f>IF(E1048="","",MAX(0,Input!$C$9-B1048))</f>
        <v/>
      </c>
      <c r="H1048" s="152" t="str">
        <f>IF(E1048="","",Input!$C$3)</f>
        <v/>
      </c>
      <c r="I1048" s="153" t="str">
        <f>IF(E1048="","",HLOOKUP($B1048,Input!$C$13:$BT$14,2))</f>
        <v/>
      </c>
      <c r="J1048" s="154"/>
      <c r="K1048" s="155" t="str">
        <f>IF($E1048="","",Input!$C$57)</f>
        <v/>
      </c>
      <c r="L1048" s="155" t="str">
        <f t="shared" si="347"/>
        <v/>
      </c>
      <c r="M1048" s="147" t="str">
        <f>IF($E1048="","",VLOOKUP(IF($B1048&lt;=Input!$C$7,$B1048,26),'Mortality Tables'!$A$72:$CA$97,IF($B1048&lt;=Input!$C$7+1,Input!$C$4-16,$D1048-Input!$C$7-16),0)/1000)</f>
        <v/>
      </c>
      <c r="N1048" s="147" t="str">
        <f t="shared" si="336"/>
        <v/>
      </c>
      <c r="O1048" s="157" t="str">
        <f>IF($E1048="","",IF($C1048=12,IF($B1048&lt;Input!$C$9,Input!$C$54,IF($B1048=Input!$C$9,Input!$C$55,Input!$C$56)),0%))</f>
        <v/>
      </c>
      <c r="P1048" s="167" t="str">
        <f>IF($E1048="","",IF($B1048=1,Input!$C$59,IF($B1048&lt;6,Input!$C$60,0%)))</f>
        <v/>
      </c>
      <c r="Q1048" s="162" t="str">
        <f>IF($E1048="","",Input!$C$58)</f>
        <v/>
      </c>
      <c r="R1048" s="156" t="str">
        <f t="shared" si="348"/>
        <v/>
      </c>
      <c r="S1048" s="154" t="str">
        <f t="shared" si="337"/>
        <v/>
      </c>
      <c r="T1048" s="152"/>
      <c r="U1048" s="150" t="str">
        <f t="shared" si="349"/>
        <v/>
      </c>
      <c r="V1048" s="150" t="str">
        <f t="shared" si="350"/>
        <v/>
      </c>
      <c r="W1048" s="168" t="str">
        <f t="shared" si="351"/>
        <v/>
      </c>
      <c r="X1048" s="163" t="str">
        <f t="shared" si="338"/>
        <v/>
      </c>
      <c r="Y1048" s="152"/>
      <c r="Z1048" s="164" t="str">
        <f>IF(AND($C1047=12,$D1047=Input!$C$6),0,IF($E1048="","",V1048+Z1049/(1+L1048)*R1048))</f>
        <v/>
      </c>
      <c r="AA1048" s="164" t="str">
        <f>IF(OR($M1048=1,AND($C1047=12,$D1047=Input!$C$6)),0,IF($E1048="","",W1048+(X1048+AA1049*$R1048)/(1+$L1048)))</f>
        <v/>
      </c>
      <c r="AB1048" s="160" t="str">
        <f t="shared" si="339"/>
        <v/>
      </c>
      <c r="AC1048" s="164" t="str">
        <f t="shared" si="340"/>
        <v/>
      </c>
      <c r="AD1048" s="164" t="str">
        <f>IF(AND($C1047=12,$D1047=Input!$C$6),0,IF($E1048="","",$AC1048+AD1049/(1+$L1048)*$R1048))</f>
        <v/>
      </c>
      <c r="AE1048" s="152"/>
      <c r="AF1048" s="164" t="str">
        <f>IF(AND($C1047=12,$D1047=Input!$C$6),0,IF($E1048="","",IF($B1048&gt;Input!$C$9,$AC1048,0)+AF1049/(1+$L1048)*$R1048))</f>
        <v/>
      </c>
      <c r="AG1048" s="164" t="str">
        <f>IF(AND($C1047=12,$D1047=Input!$C$6),0,IF($E1048="","",(IF($B1048&gt;Input!$C$9,$X1048,0)+AG1049)/(1+$L1048)*$R1048))</f>
        <v/>
      </c>
      <c r="AH1048" s="160" t="str">
        <f t="shared" si="341"/>
        <v/>
      </c>
      <c r="AI1048" s="160" t="str">
        <f>IF($E1048="","",MIN(Input!$C$61/AH1048,1))</f>
        <v/>
      </c>
      <c r="AJ1048" s="152"/>
      <c r="AK1048" s="164" t="str">
        <f>IF(AND($C1047=12,$D1047=Input!$C$6),0,IF($E1048="","",IF($B1048&gt;Input!$C$9,$AC1048*AI1048,0)+AK1049/(1+$L1048)*$R1048))</f>
        <v/>
      </c>
      <c r="AL1048" s="164" t="str">
        <f>IF(AND($C1047=12,$D1047=Input!$C$6),0,IF($E1048="","",IF($B1048&gt;Input!$C$9,0,$AC1048)+AL1049/(1+$L1048)*$R1048))</f>
        <v/>
      </c>
      <c r="AM1048" s="160" t="str">
        <f t="shared" si="342"/>
        <v/>
      </c>
      <c r="AN1048" s="164" t="str">
        <f>IF($E1048="","",IF($B1048&gt;Input!$C$9,$AI1048*$AC1048,$AM1048*$AC1048))</f>
        <v/>
      </c>
      <c r="AO1048" s="164" t="str">
        <f>IF(AND($C1047=12,$D1047=Input!$C$6),0,IF($E1048="","",$AN1048+AO1049/(1+$L1048)*$R1048))</f>
        <v/>
      </c>
      <c r="AP1048" s="152"/>
      <c r="AQ1048" s="164" t="str">
        <f t="shared" si="343"/>
        <v/>
      </c>
      <c r="AR1048" s="164" t="str">
        <f t="shared" si="352"/>
        <v/>
      </c>
      <c r="AS1048" s="164" t="str">
        <f t="shared" si="353"/>
        <v/>
      </c>
      <c r="AT1048" s="164" t="str">
        <f t="shared" si="344"/>
        <v/>
      </c>
      <c r="AU1048" s="152"/>
      <c r="AV1048" s="147" t="str">
        <f>'Deterministic Reserve'!BC1048</f>
        <v/>
      </c>
      <c r="AW1048" s="164" t="str">
        <f t="shared" si="345"/>
        <v/>
      </c>
      <c r="AX1048" s="164" t="str">
        <f t="shared" si="346"/>
        <v/>
      </c>
      <c r="AY1048" s="152"/>
    </row>
    <row r="1049" spans="1:51" s="150" customFormat="1" x14ac:dyDescent="0.25">
      <c r="A1049" s="150" t="str">
        <f t="shared" si="354"/>
        <v/>
      </c>
      <c r="B1049" s="150" t="str">
        <f t="shared" si="355"/>
        <v/>
      </c>
      <c r="C1049" s="150" t="str">
        <f t="shared" si="356"/>
        <v/>
      </c>
      <c r="D1049" s="150" t="str">
        <f>IF(E1049="","",Input!$C$4+B1049-1)</f>
        <v/>
      </c>
      <c r="E1049" s="150" t="str">
        <f>IF(OR(AND(C1048=12,D1048=Input!$C$6),E1048=""),"",1)</f>
        <v/>
      </c>
      <c r="F1049" s="150" t="str">
        <f>IF(E1049="","",Input!$C$8+B1049-1)</f>
        <v/>
      </c>
      <c r="G1049" s="151" t="str">
        <f>IF(E1049="","",MAX(0,Input!$C$9-B1049))</f>
        <v/>
      </c>
      <c r="H1049" s="152" t="str">
        <f>IF(E1049="","",Input!$C$3)</f>
        <v/>
      </c>
      <c r="I1049" s="153" t="str">
        <f>IF(E1049="","",HLOOKUP($B1049,Input!$C$13:$BT$14,2))</f>
        <v/>
      </c>
      <c r="J1049" s="154"/>
      <c r="K1049" s="155" t="str">
        <f>IF($E1049="","",Input!$C$57)</f>
        <v/>
      </c>
      <c r="L1049" s="155" t="str">
        <f t="shared" si="347"/>
        <v/>
      </c>
      <c r="M1049" s="147" t="str">
        <f>IF($E1049="","",VLOOKUP(IF($B1049&lt;=Input!$C$7,$B1049,26),'Mortality Tables'!$A$72:$CA$97,IF($B1049&lt;=Input!$C$7+1,Input!$C$4-16,$D1049-Input!$C$7-16),0)/1000)</f>
        <v/>
      </c>
      <c r="N1049" s="147" t="str">
        <f t="shared" si="336"/>
        <v/>
      </c>
      <c r="O1049" s="157" t="str">
        <f>IF($E1049="","",IF($C1049=12,IF($B1049&lt;Input!$C$9,Input!$C$54,IF($B1049=Input!$C$9,Input!$C$55,Input!$C$56)),0%))</f>
        <v/>
      </c>
      <c r="P1049" s="167" t="str">
        <f>IF($E1049="","",IF($B1049=1,Input!$C$59,IF($B1049&lt;6,Input!$C$60,0%)))</f>
        <v/>
      </c>
      <c r="Q1049" s="162" t="str">
        <f>IF($E1049="","",Input!$C$58)</f>
        <v/>
      </c>
      <c r="R1049" s="156" t="str">
        <f t="shared" si="348"/>
        <v/>
      </c>
      <c r="S1049" s="154" t="str">
        <f t="shared" si="337"/>
        <v/>
      </c>
      <c r="T1049" s="152"/>
      <c r="U1049" s="150" t="str">
        <f t="shared" si="349"/>
        <v/>
      </c>
      <c r="V1049" s="150" t="str">
        <f t="shared" si="350"/>
        <v/>
      </c>
      <c r="W1049" s="168" t="str">
        <f t="shared" si="351"/>
        <v/>
      </c>
      <c r="X1049" s="163" t="str">
        <f t="shared" si="338"/>
        <v/>
      </c>
      <c r="Y1049" s="152"/>
      <c r="Z1049" s="164" t="str">
        <f>IF(AND($C1048=12,$D1048=Input!$C$6),0,IF($E1049="","",V1049+Z1050/(1+L1049)*R1049))</f>
        <v/>
      </c>
      <c r="AA1049" s="164" t="str">
        <f>IF(OR($M1049=1,AND($C1048=12,$D1048=Input!$C$6)),0,IF($E1049="","",W1049+(X1049+AA1050*$R1049)/(1+$L1049)))</f>
        <v/>
      </c>
      <c r="AB1049" s="160" t="str">
        <f t="shared" si="339"/>
        <v/>
      </c>
      <c r="AC1049" s="164" t="str">
        <f t="shared" si="340"/>
        <v/>
      </c>
      <c r="AD1049" s="164" t="str">
        <f>IF(AND($C1048=12,$D1048=Input!$C$6),0,IF($E1049="","",$AC1049+AD1050/(1+$L1049)*$R1049))</f>
        <v/>
      </c>
      <c r="AE1049" s="152"/>
      <c r="AF1049" s="164" t="str">
        <f>IF(AND($C1048=12,$D1048=Input!$C$6),0,IF($E1049="","",IF($B1049&gt;Input!$C$9,$AC1049,0)+AF1050/(1+$L1049)*$R1049))</f>
        <v/>
      </c>
      <c r="AG1049" s="164" t="str">
        <f>IF(AND($C1048=12,$D1048=Input!$C$6),0,IF($E1049="","",(IF($B1049&gt;Input!$C$9,$X1049,0)+AG1050)/(1+$L1049)*$R1049))</f>
        <v/>
      </c>
      <c r="AH1049" s="160" t="str">
        <f t="shared" si="341"/>
        <v/>
      </c>
      <c r="AI1049" s="160" t="str">
        <f>IF($E1049="","",MIN(Input!$C$61/AH1049,1))</f>
        <v/>
      </c>
      <c r="AJ1049" s="152"/>
      <c r="AK1049" s="164" t="str">
        <f>IF(AND($C1048=12,$D1048=Input!$C$6),0,IF($E1049="","",IF($B1049&gt;Input!$C$9,$AC1049*AI1049,0)+AK1050/(1+$L1049)*$R1049))</f>
        <v/>
      </c>
      <c r="AL1049" s="164" t="str">
        <f>IF(AND($C1048=12,$D1048=Input!$C$6),0,IF($E1049="","",IF($B1049&gt;Input!$C$9,0,$AC1049)+AL1050/(1+$L1049)*$R1049))</f>
        <v/>
      </c>
      <c r="AM1049" s="160" t="str">
        <f t="shared" si="342"/>
        <v/>
      </c>
      <c r="AN1049" s="164" t="str">
        <f>IF($E1049="","",IF($B1049&gt;Input!$C$9,$AI1049*$AC1049,$AM1049*$AC1049))</f>
        <v/>
      </c>
      <c r="AO1049" s="164" t="str">
        <f>IF(AND($C1048=12,$D1048=Input!$C$6),0,IF($E1049="","",$AN1049+AO1050/(1+$L1049)*$R1049))</f>
        <v/>
      </c>
      <c r="AP1049" s="152"/>
      <c r="AQ1049" s="164" t="str">
        <f t="shared" si="343"/>
        <v/>
      </c>
      <c r="AR1049" s="164" t="str">
        <f t="shared" si="352"/>
        <v/>
      </c>
      <c r="AS1049" s="164" t="str">
        <f t="shared" si="353"/>
        <v/>
      </c>
      <c r="AT1049" s="164" t="str">
        <f t="shared" si="344"/>
        <v/>
      </c>
      <c r="AU1049" s="152"/>
      <c r="AV1049" s="147" t="str">
        <f>'Deterministic Reserve'!BC1049</f>
        <v/>
      </c>
      <c r="AW1049" s="164" t="str">
        <f t="shared" si="345"/>
        <v/>
      </c>
      <c r="AX1049" s="164" t="str">
        <f t="shared" si="346"/>
        <v/>
      </c>
      <c r="AY1049" s="152"/>
    </row>
    <row r="1050" spans="1:51" s="150" customFormat="1" x14ac:dyDescent="0.25">
      <c r="A1050" s="150" t="str">
        <f t="shared" si="354"/>
        <v/>
      </c>
      <c r="B1050" s="150" t="str">
        <f t="shared" si="355"/>
        <v/>
      </c>
      <c r="C1050" s="150" t="str">
        <f t="shared" si="356"/>
        <v/>
      </c>
      <c r="D1050" s="150" t="str">
        <f>IF(E1050="","",Input!$C$4+B1050-1)</f>
        <v/>
      </c>
      <c r="E1050" s="150" t="str">
        <f>IF(OR(AND(C1049=12,D1049=Input!$C$6),E1049=""),"",1)</f>
        <v/>
      </c>
      <c r="F1050" s="150" t="str">
        <f>IF(E1050="","",Input!$C$8+B1050-1)</f>
        <v/>
      </c>
      <c r="G1050" s="151" t="str">
        <f>IF(E1050="","",MAX(0,Input!$C$9-B1050))</f>
        <v/>
      </c>
      <c r="H1050" s="152" t="str">
        <f>IF(E1050="","",Input!$C$3)</f>
        <v/>
      </c>
      <c r="I1050" s="153" t="str">
        <f>IF(E1050="","",HLOOKUP($B1050,Input!$C$13:$BT$14,2))</f>
        <v/>
      </c>
      <c r="J1050" s="154"/>
      <c r="K1050" s="155" t="str">
        <f>IF($E1050="","",Input!$C$57)</f>
        <v/>
      </c>
      <c r="L1050" s="155" t="str">
        <f t="shared" si="347"/>
        <v/>
      </c>
      <c r="M1050" s="147" t="str">
        <f>IF($E1050="","",VLOOKUP(IF($B1050&lt;=Input!$C$7,$B1050,26),'Mortality Tables'!$A$72:$CA$97,IF($B1050&lt;=Input!$C$7+1,Input!$C$4-16,$D1050-Input!$C$7-16),0)/1000)</f>
        <v/>
      </c>
      <c r="N1050" s="147" t="str">
        <f t="shared" si="336"/>
        <v/>
      </c>
      <c r="O1050" s="157" t="str">
        <f>IF($E1050="","",IF($C1050=12,IF($B1050&lt;Input!$C$9,Input!$C$54,IF($B1050=Input!$C$9,Input!$C$55,Input!$C$56)),0%))</f>
        <v/>
      </c>
      <c r="P1050" s="167" t="str">
        <f>IF($E1050="","",IF($B1050=1,Input!$C$59,IF($B1050&lt;6,Input!$C$60,0%)))</f>
        <v/>
      </c>
      <c r="Q1050" s="162" t="str">
        <f>IF($E1050="","",Input!$C$58)</f>
        <v/>
      </c>
      <c r="R1050" s="156" t="str">
        <f t="shared" si="348"/>
        <v/>
      </c>
      <c r="S1050" s="154" t="str">
        <f t="shared" si="337"/>
        <v/>
      </c>
      <c r="T1050" s="152"/>
      <c r="U1050" s="150" t="str">
        <f t="shared" si="349"/>
        <v/>
      </c>
      <c r="V1050" s="150" t="str">
        <f t="shared" si="350"/>
        <v/>
      </c>
      <c r="W1050" s="168" t="str">
        <f t="shared" si="351"/>
        <v/>
      </c>
      <c r="X1050" s="163" t="str">
        <f t="shared" si="338"/>
        <v/>
      </c>
      <c r="Y1050" s="152"/>
      <c r="Z1050" s="164" t="str">
        <f>IF(AND($C1049=12,$D1049=Input!$C$6),0,IF($E1050="","",V1050+Z1051/(1+L1050)*R1050))</f>
        <v/>
      </c>
      <c r="AA1050" s="164" t="str">
        <f>IF(OR($M1050=1,AND($C1049=12,$D1049=Input!$C$6)),0,IF($E1050="","",W1050+(X1050+AA1051*$R1050)/(1+$L1050)))</f>
        <v/>
      </c>
      <c r="AB1050" s="160" t="str">
        <f t="shared" si="339"/>
        <v/>
      </c>
      <c r="AC1050" s="164" t="str">
        <f t="shared" si="340"/>
        <v/>
      </c>
      <c r="AD1050" s="164" t="str">
        <f>IF(AND($C1049=12,$D1049=Input!$C$6),0,IF($E1050="","",$AC1050+AD1051/(1+$L1050)*$R1050))</f>
        <v/>
      </c>
      <c r="AE1050" s="152"/>
      <c r="AF1050" s="164" t="str">
        <f>IF(AND($C1049=12,$D1049=Input!$C$6),0,IF($E1050="","",IF($B1050&gt;Input!$C$9,$AC1050,0)+AF1051/(1+$L1050)*$R1050))</f>
        <v/>
      </c>
      <c r="AG1050" s="164" t="str">
        <f>IF(AND($C1049=12,$D1049=Input!$C$6),0,IF($E1050="","",(IF($B1050&gt;Input!$C$9,$X1050,0)+AG1051)/(1+$L1050)*$R1050))</f>
        <v/>
      </c>
      <c r="AH1050" s="160" t="str">
        <f t="shared" si="341"/>
        <v/>
      </c>
      <c r="AI1050" s="160" t="str">
        <f>IF($E1050="","",MIN(Input!$C$61/AH1050,1))</f>
        <v/>
      </c>
      <c r="AJ1050" s="152"/>
      <c r="AK1050" s="164" t="str">
        <f>IF(AND($C1049=12,$D1049=Input!$C$6),0,IF($E1050="","",IF($B1050&gt;Input!$C$9,$AC1050*AI1050,0)+AK1051/(1+$L1050)*$R1050))</f>
        <v/>
      </c>
      <c r="AL1050" s="164" t="str">
        <f>IF(AND($C1049=12,$D1049=Input!$C$6),0,IF($E1050="","",IF($B1050&gt;Input!$C$9,0,$AC1050)+AL1051/(1+$L1050)*$R1050))</f>
        <v/>
      </c>
      <c r="AM1050" s="160" t="str">
        <f t="shared" si="342"/>
        <v/>
      </c>
      <c r="AN1050" s="164" t="str">
        <f>IF($E1050="","",IF($B1050&gt;Input!$C$9,$AI1050*$AC1050,$AM1050*$AC1050))</f>
        <v/>
      </c>
      <c r="AO1050" s="164" t="str">
        <f>IF(AND($C1049=12,$D1049=Input!$C$6),0,IF($E1050="","",$AN1050+AO1051/(1+$L1050)*$R1050))</f>
        <v/>
      </c>
      <c r="AP1050" s="152"/>
      <c r="AQ1050" s="164" t="str">
        <f t="shared" si="343"/>
        <v/>
      </c>
      <c r="AR1050" s="164" t="str">
        <f t="shared" si="352"/>
        <v/>
      </c>
      <c r="AS1050" s="164" t="str">
        <f t="shared" si="353"/>
        <v/>
      </c>
      <c r="AT1050" s="164" t="str">
        <f t="shared" si="344"/>
        <v/>
      </c>
      <c r="AU1050" s="152"/>
      <c r="AV1050" s="147" t="str">
        <f>'Deterministic Reserve'!BC1050</f>
        <v/>
      </c>
      <c r="AW1050" s="164" t="str">
        <f t="shared" si="345"/>
        <v/>
      </c>
      <c r="AX1050" s="164" t="str">
        <f t="shared" si="346"/>
        <v/>
      </c>
      <c r="AY1050" s="152"/>
    </row>
    <row r="1051" spans="1:51" s="150" customFormat="1" x14ac:dyDescent="0.25">
      <c r="A1051" s="150" t="str">
        <f t="shared" si="354"/>
        <v/>
      </c>
      <c r="B1051" s="150" t="str">
        <f t="shared" si="355"/>
        <v/>
      </c>
      <c r="C1051" s="150" t="str">
        <f t="shared" si="356"/>
        <v/>
      </c>
      <c r="D1051" s="150" t="str">
        <f>IF(E1051="","",Input!$C$4+B1051-1)</f>
        <v/>
      </c>
      <c r="E1051" s="150" t="str">
        <f>IF(OR(AND(C1050=12,D1050=Input!$C$6),E1050=""),"",1)</f>
        <v/>
      </c>
      <c r="F1051" s="150" t="str">
        <f>IF(E1051="","",Input!$C$8+B1051-1)</f>
        <v/>
      </c>
      <c r="G1051" s="151" t="str">
        <f>IF(E1051="","",MAX(0,Input!$C$9-B1051))</f>
        <v/>
      </c>
      <c r="H1051" s="152" t="str">
        <f>IF(E1051="","",Input!$C$3)</f>
        <v/>
      </c>
      <c r="I1051" s="153" t="str">
        <f>IF(E1051="","",HLOOKUP($B1051,Input!$C$13:$BT$14,2))</f>
        <v/>
      </c>
      <c r="J1051" s="154"/>
      <c r="K1051" s="155" t="str">
        <f>IF($E1051="","",Input!$C$57)</f>
        <v/>
      </c>
      <c r="L1051" s="155" t="str">
        <f t="shared" si="347"/>
        <v/>
      </c>
      <c r="M1051" s="147" t="str">
        <f>IF($E1051="","",VLOOKUP(IF($B1051&lt;=Input!$C$7,$B1051,26),'Mortality Tables'!$A$72:$CA$97,IF($B1051&lt;=Input!$C$7+1,Input!$C$4-16,$D1051-Input!$C$7-16),0)/1000)</f>
        <v/>
      </c>
      <c r="N1051" s="147" t="str">
        <f t="shared" si="336"/>
        <v/>
      </c>
      <c r="O1051" s="157" t="str">
        <f>IF($E1051="","",IF($C1051=12,IF($B1051&lt;Input!$C$9,Input!$C$54,IF($B1051=Input!$C$9,Input!$C$55,Input!$C$56)),0%))</f>
        <v/>
      </c>
      <c r="P1051" s="167" t="str">
        <f>IF($E1051="","",IF($B1051=1,Input!$C$59,IF($B1051&lt;6,Input!$C$60,0%)))</f>
        <v/>
      </c>
      <c r="Q1051" s="162" t="str">
        <f>IF($E1051="","",Input!$C$58)</f>
        <v/>
      </c>
      <c r="R1051" s="156" t="str">
        <f t="shared" si="348"/>
        <v/>
      </c>
      <c r="S1051" s="154" t="str">
        <f t="shared" si="337"/>
        <v/>
      </c>
      <c r="T1051" s="152"/>
      <c r="U1051" s="150" t="str">
        <f t="shared" si="349"/>
        <v/>
      </c>
      <c r="V1051" s="150" t="str">
        <f t="shared" si="350"/>
        <v/>
      </c>
      <c r="W1051" s="168" t="str">
        <f t="shared" si="351"/>
        <v/>
      </c>
      <c r="X1051" s="163" t="str">
        <f t="shared" si="338"/>
        <v/>
      </c>
      <c r="Y1051" s="152"/>
      <c r="Z1051" s="164" t="str">
        <f>IF(AND($C1050=12,$D1050=Input!$C$6),0,IF($E1051="","",V1051+Z1052/(1+L1051)*R1051))</f>
        <v/>
      </c>
      <c r="AA1051" s="164" t="str">
        <f>IF(OR($M1051=1,AND($C1050=12,$D1050=Input!$C$6)),0,IF($E1051="","",W1051+(X1051+AA1052*$R1051)/(1+$L1051)))</f>
        <v/>
      </c>
      <c r="AB1051" s="160" t="str">
        <f t="shared" si="339"/>
        <v/>
      </c>
      <c r="AC1051" s="164" t="str">
        <f t="shared" si="340"/>
        <v/>
      </c>
      <c r="AD1051" s="164" t="str">
        <f>IF(AND($C1050=12,$D1050=Input!$C$6),0,IF($E1051="","",$AC1051+AD1052/(1+$L1051)*$R1051))</f>
        <v/>
      </c>
      <c r="AE1051" s="152"/>
      <c r="AF1051" s="164" t="str">
        <f>IF(AND($C1050=12,$D1050=Input!$C$6),0,IF($E1051="","",IF($B1051&gt;Input!$C$9,$AC1051,0)+AF1052/(1+$L1051)*$R1051))</f>
        <v/>
      </c>
      <c r="AG1051" s="164" t="str">
        <f>IF(AND($C1050=12,$D1050=Input!$C$6),0,IF($E1051="","",(IF($B1051&gt;Input!$C$9,$X1051,0)+AG1052)/(1+$L1051)*$R1051))</f>
        <v/>
      </c>
      <c r="AH1051" s="160" t="str">
        <f t="shared" si="341"/>
        <v/>
      </c>
      <c r="AI1051" s="160" t="str">
        <f>IF($E1051="","",MIN(Input!$C$61/AH1051,1))</f>
        <v/>
      </c>
      <c r="AJ1051" s="152"/>
      <c r="AK1051" s="164" t="str">
        <f>IF(AND($C1050=12,$D1050=Input!$C$6),0,IF($E1051="","",IF($B1051&gt;Input!$C$9,$AC1051*AI1051,0)+AK1052/(1+$L1051)*$R1051))</f>
        <v/>
      </c>
      <c r="AL1051" s="164" t="str">
        <f>IF(AND($C1050=12,$D1050=Input!$C$6),0,IF($E1051="","",IF($B1051&gt;Input!$C$9,0,$AC1051)+AL1052/(1+$L1051)*$R1051))</f>
        <v/>
      </c>
      <c r="AM1051" s="160" t="str">
        <f t="shared" si="342"/>
        <v/>
      </c>
      <c r="AN1051" s="164" t="str">
        <f>IF($E1051="","",IF($B1051&gt;Input!$C$9,$AI1051*$AC1051,$AM1051*$AC1051))</f>
        <v/>
      </c>
      <c r="AO1051" s="164" t="str">
        <f>IF(AND($C1050=12,$D1050=Input!$C$6),0,IF($E1051="","",$AN1051+AO1052/(1+$L1051)*$R1051))</f>
        <v/>
      </c>
      <c r="AP1051" s="152"/>
      <c r="AQ1051" s="164" t="str">
        <f t="shared" si="343"/>
        <v/>
      </c>
      <c r="AR1051" s="164" t="str">
        <f t="shared" si="352"/>
        <v/>
      </c>
      <c r="AS1051" s="164" t="str">
        <f t="shared" si="353"/>
        <v/>
      </c>
      <c r="AT1051" s="164" t="str">
        <f t="shared" si="344"/>
        <v/>
      </c>
      <c r="AU1051" s="152"/>
      <c r="AV1051" s="147" t="str">
        <f>'Deterministic Reserve'!BC1051</f>
        <v/>
      </c>
      <c r="AW1051" s="164" t="str">
        <f t="shared" si="345"/>
        <v/>
      </c>
      <c r="AX1051" s="164" t="str">
        <f t="shared" si="346"/>
        <v/>
      </c>
      <c r="AY1051" s="152"/>
    </row>
    <row r="1052" spans="1:51" s="150" customFormat="1" x14ac:dyDescent="0.25">
      <c r="A1052" s="150" t="str">
        <f t="shared" si="354"/>
        <v/>
      </c>
      <c r="B1052" s="150" t="str">
        <f t="shared" si="355"/>
        <v/>
      </c>
      <c r="C1052" s="150" t="str">
        <f t="shared" si="356"/>
        <v/>
      </c>
      <c r="D1052" s="150" t="str">
        <f>IF(E1052="","",Input!$C$4+B1052-1)</f>
        <v/>
      </c>
      <c r="E1052" s="150" t="str">
        <f>IF(OR(AND(C1051=12,D1051=Input!$C$6),E1051=""),"",1)</f>
        <v/>
      </c>
      <c r="F1052" s="150" t="str">
        <f>IF(E1052="","",Input!$C$8+B1052-1)</f>
        <v/>
      </c>
      <c r="G1052" s="151" t="str">
        <f>IF(E1052="","",MAX(0,Input!$C$9-B1052))</f>
        <v/>
      </c>
      <c r="H1052" s="152" t="str">
        <f>IF(E1052="","",Input!$C$3)</f>
        <v/>
      </c>
      <c r="I1052" s="153" t="str">
        <f>IF(E1052="","",HLOOKUP($B1052,Input!$C$13:$BT$14,2))</f>
        <v/>
      </c>
      <c r="J1052" s="154"/>
      <c r="K1052" s="155" t="str">
        <f>IF($E1052="","",Input!$C$57)</f>
        <v/>
      </c>
      <c r="L1052" s="155" t="str">
        <f t="shared" si="347"/>
        <v/>
      </c>
      <c r="M1052" s="147" t="str">
        <f>IF($E1052="","",VLOOKUP(IF($B1052&lt;=Input!$C$7,$B1052,26),'Mortality Tables'!$A$72:$CA$97,IF($B1052&lt;=Input!$C$7+1,Input!$C$4-16,$D1052-Input!$C$7-16),0)/1000)</f>
        <v/>
      </c>
      <c r="N1052" s="147" t="str">
        <f t="shared" si="336"/>
        <v/>
      </c>
      <c r="O1052" s="157" t="str">
        <f>IF($E1052="","",IF($C1052=12,IF($B1052&lt;Input!$C$9,Input!$C$54,IF($B1052=Input!$C$9,Input!$C$55,Input!$C$56)),0%))</f>
        <v/>
      </c>
      <c r="P1052" s="167" t="str">
        <f>IF($E1052="","",IF($B1052=1,Input!$C$59,IF($B1052&lt;6,Input!$C$60,0%)))</f>
        <v/>
      </c>
      <c r="Q1052" s="162" t="str">
        <f>IF($E1052="","",Input!$C$58)</f>
        <v/>
      </c>
      <c r="R1052" s="156" t="str">
        <f t="shared" si="348"/>
        <v/>
      </c>
      <c r="S1052" s="154" t="str">
        <f t="shared" si="337"/>
        <v/>
      </c>
      <c r="T1052" s="152"/>
      <c r="U1052" s="150" t="str">
        <f t="shared" si="349"/>
        <v/>
      </c>
      <c r="V1052" s="150" t="str">
        <f t="shared" si="350"/>
        <v/>
      </c>
      <c r="W1052" s="168" t="str">
        <f t="shared" si="351"/>
        <v/>
      </c>
      <c r="X1052" s="163" t="str">
        <f t="shared" si="338"/>
        <v/>
      </c>
      <c r="Y1052" s="152"/>
      <c r="Z1052" s="164" t="str">
        <f>IF(AND($C1051=12,$D1051=Input!$C$6),0,IF($E1052="","",V1052+Z1053/(1+L1052)*R1052))</f>
        <v/>
      </c>
      <c r="AA1052" s="164" t="str">
        <f>IF(OR($M1052=1,AND($C1051=12,$D1051=Input!$C$6)),0,IF($E1052="","",W1052+(X1052+AA1053*$R1052)/(1+$L1052)))</f>
        <v/>
      </c>
      <c r="AB1052" s="160" t="str">
        <f t="shared" si="339"/>
        <v/>
      </c>
      <c r="AC1052" s="164" t="str">
        <f t="shared" si="340"/>
        <v/>
      </c>
      <c r="AD1052" s="164" t="str">
        <f>IF(AND($C1051=12,$D1051=Input!$C$6),0,IF($E1052="","",$AC1052+AD1053/(1+$L1052)*$R1052))</f>
        <v/>
      </c>
      <c r="AE1052" s="152"/>
      <c r="AF1052" s="164" t="str">
        <f>IF(AND($C1051=12,$D1051=Input!$C$6),0,IF($E1052="","",IF($B1052&gt;Input!$C$9,$AC1052,0)+AF1053/(1+$L1052)*$R1052))</f>
        <v/>
      </c>
      <c r="AG1052" s="164" t="str">
        <f>IF(AND($C1051=12,$D1051=Input!$C$6),0,IF($E1052="","",(IF($B1052&gt;Input!$C$9,$X1052,0)+AG1053)/(1+$L1052)*$R1052))</f>
        <v/>
      </c>
      <c r="AH1052" s="160" t="str">
        <f t="shared" si="341"/>
        <v/>
      </c>
      <c r="AI1052" s="160" t="str">
        <f>IF($E1052="","",MIN(Input!$C$61/AH1052,1))</f>
        <v/>
      </c>
      <c r="AJ1052" s="152"/>
      <c r="AK1052" s="164" t="str">
        <f>IF(AND($C1051=12,$D1051=Input!$C$6),0,IF($E1052="","",IF($B1052&gt;Input!$C$9,$AC1052*AI1052,0)+AK1053/(1+$L1052)*$R1052))</f>
        <v/>
      </c>
      <c r="AL1052" s="164" t="str">
        <f>IF(AND($C1051=12,$D1051=Input!$C$6),0,IF($E1052="","",IF($B1052&gt;Input!$C$9,0,$AC1052)+AL1053/(1+$L1052)*$R1052))</f>
        <v/>
      </c>
      <c r="AM1052" s="160" t="str">
        <f t="shared" si="342"/>
        <v/>
      </c>
      <c r="AN1052" s="164" t="str">
        <f>IF($E1052="","",IF($B1052&gt;Input!$C$9,$AI1052*$AC1052,$AM1052*$AC1052))</f>
        <v/>
      </c>
      <c r="AO1052" s="164" t="str">
        <f>IF(AND($C1051=12,$D1051=Input!$C$6),0,IF($E1052="","",$AN1052+AO1053/(1+$L1052)*$R1052))</f>
        <v/>
      </c>
      <c r="AP1052" s="152"/>
      <c r="AQ1052" s="164" t="str">
        <f t="shared" si="343"/>
        <v/>
      </c>
      <c r="AR1052" s="164" t="str">
        <f t="shared" si="352"/>
        <v/>
      </c>
      <c r="AS1052" s="164" t="str">
        <f t="shared" si="353"/>
        <v/>
      </c>
      <c r="AT1052" s="164" t="str">
        <f t="shared" si="344"/>
        <v/>
      </c>
      <c r="AU1052" s="152"/>
      <c r="AV1052" s="147" t="str">
        <f>'Deterministic Reserve'!BC1052</f>
        <v/>
      </c>
      <c r="AW1052" s="164" t="str">
        <f t="shared" si="345"/>
        <v/>
      </c>
      <c r="AX1052" s="164" t="str">
        <f t="shared" si="346"/>
        <v/>
      </c>
      <c r="AY1052" s="152"/>
    </row>
    <row r="1053" spans="1:51" s="150" customFormat="1" x14ac:dyDescent="0.25">
      <c r="A1053" s="150" t="str">
        <f t="shared" si="354"/>
        <v/>
      </c>
      <c r="B1053" s="150" t="str">
        <f t="shared" si="355"/>
        <v/>
      </c>
      <c r="C1053" s="150" t="str">
        <f t="shared" si="356"/>
        <v/>
      </c>
      <c r="D1053" s="150" t="str">
        <f>IF(E1053="","",Input!$C$4+B1053-1)</f>
        <v/>
      </c>
      <c r="E1053" s="150" t="str">
        <f>IF(OR(AND(C1052=12,D1052=Input!$C$6),E1052=""),"",1)</f>
        <v/>
      </c>
      <c r="F1053" s="150" t="str">
        <f>IF(E1053="","",Input!$C$8+B1053-1)</f>
        <v/>
      </c>
      <c r="G1053" s="151" t="str">
        <f>IF(E1053="","",MAX(0,Input!$C$9-B1053))</f>
        <v/>
      </c>
      <c r="H1053" s="152" t="str">
        <f>IF(E1053="","",Input!$C$3)</f>
        <v/>
      </c>
      <c r="I1053" s="153" t="str">
        <f>IF(E1053="","",HLOOKUP($B1053,Input!$C$13:$BT$14,2))</f>
        <v/>
      </c>
      <c r="J1053" s="154"/>
      <c r="K1053" s="155" t="str">
        <f>IF($E1053="","",Input!$C$57)</f>
        <v/>
      </c>
      <c r="L1053" s="155" t="str">
        <f t="shared" si="347"/>
        <v/>
      </c>
      <c r="M1053" s="147" t="str">
        <f>IF($E1053="","",VLOOKUP(IF($B1053&lt;=Input!$C$7,$B1053,26),'Mortality Tables'!$A$72:$CA$97,IF($B1053&lt;=Input!$C$7+1,Input!$C$4-16,$D1053-Input!$C$7-16),0)/1000)</f>
        <v/>
      </c>
      <c r="N1053" s="147" t="str">
        <f t="shared" si="336"/>
        <v/>
      </c>
      <c r="O1053" s="157" t="str">
        <f>IF($E1053="","",IF($C1053=12,IF($B1053&lt;Input!$C$9,Input!$C$54,IF($B1053=Input!$C$9,Input!$C$55,Input!$C$56)),0%))</f>
        <v/>
      </c>
      <c r="P1053" s="167" t="str">
        <f>IF($E1053="","",IF($B1053=1,Input!$C$59,IF($B1053&lt;6,Input!$C$60,0%)))</f>
        <v/>
      </c>
      <c r="Q1053" s="162" t="str">
        <f>IF($E1053="","",Input!$C$58)</f>
        <v/>
      </c>
      <c r="R1053" s="156" t="str">
        <f t="shared" si="348"/>
        <v/>
      </c>
      <c r="S1053" s="154" t="str">
        <f t="shared" si="337"/>
        <v/>
      </c>
      <c r="T1053" s="152"/>
      <c r="U1053" s="150" t="str">
        <f t="shared" si="349"/>
        <v/>
      </c>
      <c r="V1053" s="150" t="str">
        <f t="shared" si="350"/>
        <v/>
      </c>
      <c r="W1053" s="168" t="str">
        <f t="shared" si="351"/>
        <v/>
      </c>
      <c r="X1053" s="163" t="str">
        <f t="shared" si="338"/>
        <v/>
      </c>
      <c r="Y1053" s="152"/>
      <c r="Z1053" s="164" t="str">
        <f>IF(AND($C1052=12,$D1052=Input!$C$6),0,IF($E1053="","",V1053+Z1054/(1+L1053)*R1053))</f>
        <v/>
      </c>
      <c r="AA1053" s="164" t="str">
        <f>IF(OR($M1053=1,AND($C1052=12,$D1052=Input!$C$6)),0,IF($E1053="","",W1053+(X1053+AA1054*$R1053)/(1+$L1053)))</f>
        <v/>
      </c>
      <c r="AB1053" s="160" t="str">
        <f t="shared" si="339"/>
        <v/>
      </c>
      <c r="AC1053" s="164" t="str">
        <f t="shared" si="340"/>
        <v/>
      </c>
      <c r="AD1053" s="164" t="str">
        <f>IF(AND($C1052=12,$D1052=Input!$C$6),0,IF($E1053="","",$AC1053+AD1054/(1+$L1053)*$R1053))</f>
        <v/>
      </c>
      <c r="AE1053" s="152"/>
      <c r="AF1053" s="164" t="str">
        <f>IF(AND($C1052=12,$D1052=Input!$C$6),0,IF($E1053="","",IF($B1053&gt;Input!$C$9,$AC1053,0)+AF1054/(1+$L1053)*$R1053))</f>
        <v/>
      </c>
      <c r="AG1053" s="164" t="str">
        <f>IF(AND($C1052=12,$D1052=Input!$C$6),0,IF($E1053="","",(IF($B1053&gt;Input!$C$9,$X1053,0)+AG1054)/(1+$L1053)*$R1053))</f>
        <v/>
      </c>
      <c r="AH1053" s="160" t="str">
        <f t="shared" si="341"/>
        <v/>
      </c>
      <c r="AI1053" s="160" t="str">
        <f>IF($E1053="","",MIN(Input!$C$61/AH1053,1))</f>
        <v/>
      </c>
      <c r="AJ1053" s="152"/>
      <c r="AK1053" s="164" t="str">
        <f>IF(AND($C1052=12,$D1052=Input!$C$6),0,IF($E1053="","",IF($B1053&gt;Input!$C$9,$AC1053*AI1053,0)+AK1054/(1+$L1053)*$R1053))</f>
        <v/>
      </c>
      <c r="AL1053" s="164" t="str">
        <f>IF(AND($C1052=12,$D1052=Input!$C$6),0,IF($E1053="","",IF($B1053&gt;Input!$C$9,0,$AC1053)+AL1054/(1+$L1053)*$R1053))</f>
        <v/>
      </c>
      <c r="AM1053" s="160" t="str">
        <f t="shared" si="342"/>
        <v/>
      </c>
      <c r="AN1053" s="164" t="str">
        <f>IF($E1053="","",IF($B1053&gt;Input!$C$9,$AI1053*$AC1053,$AM1053*$AC1053))</f>
        <v/>
      </c>
      <c r="AO1053" s="164" t="str">
        <f>IF(AND($C1052=12,$D1052=Input!$C$6),0,IF($E1053="","",$AN1053+AO1054/(1+$L1053)*$R1053))</f>
        <v/>
      </c>
      <c r="AP1053" s="152"/>
      <c r="AQ1053" s="164" t="str">
        <f t="shared" si="343"/>
        <v/>
      </c>
      <c r="AR1053" s="164" t="str">
        <f t="shared" si="352"/>
        <v/>
      </c>
      <c r="AS1053" s="164" t="str">
        <f t="shared" si="353"/>
        <v/>
      </c>
      <c r="AT1053" s="164" t="str">
        <f t="shared" si="344"/>
        <v/>
      </c>
      <c r="AU1053" s="152"/>
      <c r="AV1053" s="147" t="str">
        <f>'Deterministic Reserve'!BC1053</f>
        <v/>
      </c>
      <c r="AW1053" s="164" t="str">
        <f t="shared" si="345"/>
        <v/>
      </c>
      <c r="AX1053" s="164" t="str">
        <f t="shared" si="346"/>
        <v/>
      </c>
      <c r="AY1053" s="152"/>
    </row>
    <row r="1054" spans="1:51" s="150" customFormat="1" x14ac:dyDescent="0.25">
      <c r="A1054" s="150" t="str">
        <f t="shared" si="354"/>
        <v/>
      </c>
      <c r="B1054" s="150" t="str">
        <f t="shared" si="355"/>
        <v/>
      </c>
      <c r="C1054" s="150" t="str">
        <f t="shared" si="356"/>
        <v/>
      </c>
      <c r="D1054" s="150" t="str">
        <f>IF(E1054="","",Input!$C$4+B1054-1)</f>
        <v/>
      </c>
      <c r="E1054" s="150" t="str">
        <f>IF(OR(AND(C1053=12,D1053=Input!$C$6),E1053=""),"",1)</f>
        <v/>
      </c>
      <c r="F1054" s="150" t="str">
        <f>IF(E1054="","",Input!$C$8+B1054-1)</f>
        <v/>
      </c>
      <c r="G1054" s="151" t="str">
        <f>IF(E1054="","",MAX(0,Input!$C$9-B1054))</f>
        <v/>
      </c>
      <c r="H1054" s="152" t="str">
        <f>IF(E1054="","",Input!$C$3)</f>
        <v/>
      </c>
      <c r="I1054" s="153" t="str">
        <f>IF(E1054="","",HLOOKUP($B1054,Input!$C$13:$BT$14,2))</f>
        <v/>
      </c>
      <c r="J1054" s="154"/>
      <c r="K1054" s="155" t="str">
        <f>IF($E1054="","",Input!$C$57)</f>
        <v/>
      </c>
      <c r="L1054" s="155" t="str">
        <f t="shared" si="347"/>
        <v/>
      </c>
      <c r="M1054" s="147" t="str">
        <f>IF($E1054="","",VLOOKUP(IF($B1054&lt;=Input!$C$7,$B1054,26),'Mortality Tables'!$A$72:$CA$97,IF($B1054&lt;=Input!$C$7+1,Input!$C$4-16,$D1054-Input!$C$7-16),0)/1000)</f>
        <v/>
      </c>
      <c r="N1054" s="147" t="str">
        <f t="shared" si="336"/>
        <v/>
      </c>
      <c r="O1054" s="157" t="str">
        <f>IF($E1054="","",IF($C1054=12,IF($B1054&lt;Input!$C$9,Input!$C$54,IF($B1054=Input!$C$9,Input!$C$55,Input!$C$56)),0%))</f>
        <v/>
      </c>
      <c r="P1054" s="167" t="str">
        <f>IF($E1054="","",IF($B1054=1,Input!$C$59,IF($B1054&lt;6,Input!$C$60,0%)))</f>
        <v/>
      </c>
      <c r="Q1054" s="162" t="str">
        <f>IF($E1054="","",Input!$C$58)</f>
        <v/>
      </c>
      <c r="R1054" s="156" t="str">
        <f t="shared" si="348"/>
        <v/>
      </c>
      <c r="S1054" s="154" t="str">
        <f t="shared" si="337"/>
        <v/>
      </c>
      <c r="T1054" s="152"/>
      <c r="U1054" s="150" t="str">
        <f t="shared" si="349"/>
        <v/>
      </c>
      <c r="V1054" s="150" t="str">
        <f t="shared" si="350"/>
        <v/>
      </c>
      <c r="W1054" s="168" t="str">
        <f t="shared" si="351"/>
        <v/>
      </c>
      <c r="X1054" s="163" t="str">
        <f t="shared" si="338"/>
        <v/>
      </c>
      <c r="Y1054" s="152"/>
      <c r="Z1054" s="164" t="str">
        <f>IF(AND($C1053=12,$D1053=Input!$C$6),0,IF($E1054="","",V1054+Z1055/(1+L1054)*R1054))</f>
        <v/>
      </c>
      <c r="AA1054" s="164" t="str">
        <f>IF(OR($M1054=1,AND($C1053=12,$D1053=Input!$C$6)),0,IF($E1054="","",W1054+(X1054+AA1055*$R1054)/(1+$L1054)))</f>
        <v/>
      </c>
      <c r="AB1054" s="160" t="str">
        <f t="shared" si="339"/>
        <v/>
      </c>
      <c r="AC1054" s="164" t="str">
        <f t="shared" si="340"/>
        <v/>
      </c>
      <c r="AD1054" s="164" t="str">
        <f>IF(AND($C1053=12,$D1053=Input!$C$6),0,IF($E1054="","",$AC1054+AD1055/(1+$L1054)*$R1054))</f>
        <v/>
      </c>
      <c r="AE1054" s="152"/>
      <c r="AF1054" s="164" t="str">
        <f>IF(AND($C1053=12,$D1053=Input!$C$6),0,IF($E1054="","",IF($B1054&gt;Input!$C$9,$AC1054,0)+AF1055/(1+$L1054)*$R1054))</f>
        <v/>
      </c>
      <c r="AG1054" s="164" t="str">
        <f>IF(AND($C1053=12,$D1053=Input!$C$6),0,IF($E1054="","",(IF($B1054&gt;Input!$C$9,$X1054,0)+AG1055)/(1+$L1054)*$R1054))</f>
        <v/>
      </c>
      <c r="AH1054" s="160" t="str">
        <f t="shared" si="341"/>
        <v/>
      </c>
      <c r="AI1054" s="160" t="str">
        <f>IF($E1054="","",MIN(Input!$C$61/AH1054,1))</f>
        <v/>
      </c>
      <c r="AJ1054" s="152"/>
      <c r="AK1054" s="164" t="str">
        <f>IF(AND($C1053=12,$D1053=Input!$C$6),0,IF($E1054="","",IF($B1054&gt;Input!$C$9,$AC1054*AI1054,0)+AK1055/(1+$L1054)*$R1054))</f>
        <v/>
      </c>
      <c r="AL1054" s="164" t="str">
        <f>IF(AND($C1053=12,$D1053=Input!$C$6),0,IF($E1054="","",IF($B1054&gt;Input!$C$9,0,$AC1054)+AL1055/(1+$L1054)*$R1054))</f>
        <v/>
      </c>
      <c r="AM1054" s="160" t="str">
        <f t="shared" si="342"/>
        <v/>
      </c>
      <c r="AN1054" s="164" t="str">
        <f>IF($E1054="","",IF($B1054&gt;Input!$C$9,$AI1054*$AC1054,$AM1054*$AC1054))</f>
        <v/>
      </c>
      <c r="AO1054" s="164" t="str">
        <f>IF(AND($C1053=12,$D1053=Input!$C$6),0,IF($E1054="","",$AN1054+AO1055/(1+$L1054)*$R1054))</f>
        <v/>
      </c>
      <c r="AP1054" s="152"/>
      <c r="AQ1054" s="164" t="str">
        <f t="shared" si="343"/>
        <v/>
      </c>
      <c r="AR1054" s="164" t="str">
        <f t="shared" si="352"/>
        <v/>
      </c>
      <c r="AS1054" s="164" t="str">
        <f t="shared" si="353"/>
        <v/>
      </c>
      <c r="AT1054" s="164" t="str">
        <f t="shared" si="344"/>
        <v/>
      </c>
      <c r="AU1054" s="152"/>
      <c r="AV1054" s="147" t="str">
        <f>'Deterministic Reserve'!BC1054</f>
        <v/>
      </c>
      <c r="AW1054" s="164" t="str">
        <f t="shared" si="345"/>
        <v/>
      </c>
      <c r="AX1054" s="164" t="str">
        <f t="shared" si="346"/>
        <v/>
      </c>
      <c r="AY1054" s="152"/>
    </row>
    <row r="1055" spans="1:51" s="150" customFormat="1" x14ac:dyDescent="0.25">
      <c r="A1055" s="150" t="str">
        <f t="shared" si="354"/>
        <v/>
      </c>
      <c r="B1055" s="150" t="str">
        <f t="shared" si="355"/>
        <v/>
      </c>
      <c r="C1055" s="150" t="str">
        <f t="shared" si="356"/>
        <v/>
      </c>
      <c r="D1055" s="150" t="str">
        <f>IF(E1055="","",Input!$C$4+B1055-1)</f>
        <v/>
      </c>
      <c r="E1055" s="150" t="str">
        <f>IF(OR(AND(C1054=12,D1054=Input!$C$6),E1054=""),"",1)</f>
        <v/>
      </c>
      <c r="F1055" s="150" t="str">
        <f>IF(E1055="","",Input!$C$8+B1055-1)</f>
        <v/>
      </c>
      <c r="G1055" s="151" t="str">
        <f>IF(E1055="","",MAX(0,Input!$C$9-B1055))</f>
        <v/>
      </c>
      <c r="H1055" s="152" t="str">
        <f>IF(E1055="","",Input!$C$3)</f>
        <v/>
      </c>
      <c r="I1055" s="153" t="str">
        <f>IF(E1055="","",HLOOKUP($B1055,Input!$C$13:$BT$14,2))</f>
        <v/>
      </c>
      <c r="J1055" s="154"/>
      <c r="K1055" s="155" t="str">
        <f>IF($E1055="","",Input!$C$57)</f>
        <v/>
      </c>
      <c r="L1055" s="155" t="str">
        <f t="shared" si="347"/>
        <v/>
      </c>
      <c r="M1055" s="147" t="str">
        <f>IF($E1055="","",VLOOKUP(IF($B1055&lt;=Input!$C$7,$B1055,26),'Mortality Tables'!$A$72:$CA$97,IF($B1055&lt;=Input!$C$7+1,Input!$C$4-16,$D1055-Input!$C$7-16),0)/1000)</f>
        <v/>
      </c>
      <c r="N1055" s="147" t="str">
        <f t="shared" si="336"/>
        <v/>
      </c>
      <c r="O1055" s="157" t="str">
        <f>IF($E1055="","",IF($C1055=12,IF($B1055&lt;Input!$C$9,Input!$C$54,IF($B1055=Input!$C$9,Input!$C$55,Input!$C$56)),0%))</f>
        <v/>
      </c>
      <c r="P1055" s="167" t="str">
        <f>IF($E1055="","",IF($B1055=1,Input!$C$59,IF($B1055&lt;6,Input!$C$60,0%)))</f>
        <v/>
      </c>
      <c r="Q1055" s="162" t="str">
        <f>IF($E1055="","",Input!$C$58)</f>
        <v/>
      </c>
      <c r="R1055" s="156" t="str">
        <f t="shared" si="348"/>
        <v/>
      </c>
      <c r="S1055" s="154" t="str">
        <f t="shared" si="337"/>
        <v/>
      </c>
      <c r="T1055" s="152"/>
      <c r="U1055" s="150" t="str">
        <f t="shared" si="349"/>
        <v/>
      </c>
      <c r="V1055" s="150" t="str">
        <f t="shared" si="350"/>
        <v/>
      </c>
      <c r="W1055" s="168" t="str">
        <f t="shared" si="351"/>
        <v/>
      </c>
      <c r="X1055" s="163" t="str">
        <f t="shared" si="338"/>
        <v/>
      </c>
      <c r="Y1055" s="152"/>
      <c r="Z1055" s="164" t="str">
        <f>IF(AND($C1054=12,$D1054=Input!$C$6),0,IF($E1055="","",V1055+Z1056/(1+L1055)*R1055))</f>
        <v/>
      </c>
      <c r="AA1055" s="164" t="str">
        <f>IF(OR($M1055=1,AND($C1054=12,$D1054=Input!$C$6)),0,IF($E1055="","",W1055+(X1055+AA1056*$R1055)/(1+$L1055)))</f>
        <v/>
      </c>
      <c r="AB1055" s="160" t="str">
        <f t="shared" si="339"/>
        <v/>
      </c>
      <c r="AC1055" s="164" t="str">
        <f t="shared" si="340"/>
        <v/>
      </c>
      <c r="AD1055" s="164" t="str">
        <f>IF(AND($C1054=12,$D1054=Input!$C$6),0,IF($E1055="","",$AC1055+AD1056/(1+$L1055)*$R1055))</f>
        <v/>
      </c>
      <c r="AE1055" s="152"/>
      <c r="AF1055" s="164" t="str">
        <f>IF(AND($C1054=12,$D1054=Input!$C$6),0,IF($E1055="","",IF($B1055&gt;Input!$C$9,$AC1055,0)+AF1056/(1+$L1055)*$R1055))</f>
        <v/>
      </c>
      <c r="AG1055" s="164" t="str">
        <f>IF(AND($C1054=12,$D1054=Input!$C$6),0,IF($E1055="","",(IF($B1055&gt;Input!$C$9,$X1055,0)+AG1056)/(1+$L1055)*$R1055))</f>
        <v/>
      </c>
      <c r="AH1055" s="160" t="str">
        <f t="shared" si="341"/>
        <v/>
      </c>
      <c r="AI1055" s="160" t="str">
        <f>IF($E1055="","",MIN(Input!$C$61/AH1055,1))</f>
        <v/>
      </c>
      <c r="AJ1055" s="152"/>
      <c r="AK1055" s="164" t="str">
        <f>IF(AND($C1054=12,$D1054=Input!$C$6),0,IF($E1055="","",IF($B1055&gt;Input!$C$9,$AC1055*AI1055,0)+AK1056/(1+$L1055)*$R1055))</f>
        <v/>
      </c>
      <c r="AL1055" s="164" t="str">
        <f>IF(AND($C1054=12,$D1054=Input!$C$6),0,IF($E1055="","",IF($B1055&gt;Input!$C$9,0,$AC1055)+AL1056/(1+$L1055)*$R1055))</f>
        <v/>
      </c>
      <c r="AM1055" s="160" t="str">
        <f t="shared" si="342"/>
        <v/>
      </c>
      <c r="AN1055" s="164" t="str">
        <f>IF($E1055="","",IF($B1055&gt;Input!$C$9,$AI1055*$AC1055,$AM1055*$AC1055))</f>
        <v/>
      </c>
      <c r="AO1055" s="164" t="str">
        <f>IF(AND($C1054=12,$D1054=Input!$C$6),0,IF($E1055="","",$AN1055+AO1056/(1+$L1055)*$R1055))</f>
        <v/>
      </c>
      <c r="AP1055" s="152"/>
      <c r="AQ1055" s="164" t="str">
        <f t="shared" si="343"/>
        <v/>
      </c>
      <c r="AR1055" s="164" t="str">
        <f t="shared" si="352"/>
        <v/>
      </c>
      <c r="AS1055" s="164" t="str">
        <f t="shared" si="353"/>
        <v/>
      </c>
      <c r="AT1055" s="164" t="str">
        <f t="shared" si="344"/>
        <v/>
      </c>
      <c r="AU1055" s="152"/>
      <c r="AV1055" s="147" t="str">
        <f>'Deterministic Reserve'!BC1055</f>
        <v/>
      </c>
      <c r="AW1055" s="164" t="str">
        <f t="shared" si="345"/>
        <v/>
      </c>
      <c r="AX1055" s="164" t="str">
        <f t="shared" si="346"/>
        <v/>
      </c>
      <c r="AY1055" s="152"/>
    </row>
    <row r="1056" spans="1:51" s="150" customFormat="1" x14ac:dyDescent="0.25">
      <c r="A1056" s="150" t="str">
        <f t="shared" si="354"/>
        <v/>
      </c>
      <c r="B1056" s="150" t="str">
        <f t="shared" si="355"/>
        <v/>
      </c>
      <c r="C1056" s="150" t="str">
        <f t="shared" si="356"/>
        <v/>
      </c>
      <c r="D1056" s="150" t="str">
        <f>IF(E1056="","",Input!$C$4+B1056-1)</f>
        <v/>
      </c>
      <c r="E1056" s="150" t="str">
        <f>IF(OR(AND(C1055=12,D1055=Input!$C$6),E1055=""),"",1)</f>
        <v/>
      </c>
      <c r="F1056" s="150" t="str">
        <f>IF(E1056="","",Input!$C$8+B1056-1)</f>
        <v/>
      </c>
      <c r="G1056" s="151" t="str">
        <f>IF(E1056="","",MAX(0,Input!$C$9-B1056))</f>
        <v/>
      </c>
      <c r="H1056" s="152" t="str">
        <f>IF(E1056="","",Input!$C$3)</f>
        <v/>
      </c>
      <c r="I1056" s="153" t="str">
        <f>IF(E1056="","",HLOOKUP($B1056,Input!$C$13:$BT$14,2))</f>
        <v/>
      </c>
      <c r="J1056" s="154"/>
      <c r="K1056" s="155" t="str">
        <f>IF($E1056="","",Input!$C$57)</f>
        <v/>
      </c>
      <c r="L1056" s="155" t="str">
        <f t="shared" si="347"/>
        <v/>
      </c>
      <c r="M1056" s="147" t="str">
        <f>IF($E1056="","",VLOOKUP(IF($B1056&lt;=Input!$C$7,$B1056,26),'Mortality Tables'!$A$72:$CA$97,IF($B1056&lt;=Input!$C$7+1,Input!$C$4-16,$D1056-Input!$C$7-16),0)/1000)</f>
        <v/>
      </c>
      <c r="N1056" s="147" t="str">
        <f t="shared" si="336"/>
        <v/>
      </c>
      <c r="O1056" s="157" t="str">
        <f>IF($E1056="","",IF($C1056=12,IF($B1056&lt;Input!$C$9,Input!$C$54,IF($B1056=Input!$C$9,Input!$C$55,Input!$C$56)),0%))</f>
        <v/>
      </c>
      <c r="P1056" s="167" t="str">
        <f>IF($E1056="","",IF($B1056=1,Input!$C$59,IF($B1056&lt;6,Input!$C$60,0%)))</f>
        <v/>
      </c>
      <c r="Q1056" s="162" t="str">
        <f>IF($E1056="","",Input!$C$58)</f>
        <v/>
      </c>
      <c r="R1056" s="156" t="str">
        <f t="shared" si="348"/>
        <v/>
      </c>
      <c r="S1056" s="154" t="str">
        <f t="shared" si="337"/>
        <v/>
      </c>
      <c r="T1056" s="152"/>
      <c r="U1056" s="150" t="str">
        <f t="shared" si="349"/>
        <v/>
      </c>
      <c r="V1056" s="150" t="str">
        <f t="shared" si="350"/>
        <v/>
      </c>
      <c r="W1056" s="168" t="str">
        <f t="shared" si="351"/>
        <v/>
      </c>
      <c r="X1056" s="163" t="str">
        <f t="shared" si="338"/>
        <v/>
      </c>
      <c r="Y1056" s="152"/>
      <c r="Z1056" s="164" t="str">
        <f>IF(AND($C1055=12,$D1055=Input!$C$6),0,IF($E1056="","",V1056+Z1057/(1+L1056)*R1056))</f>
        <v/>
      </c>
      <c r="AA1056" s="164" t="str">
        <f>IF(OR($M1056=1,AND($C1055=12,$D1055=Input!$C$6)),0,IF($E1056="","",W1056+(X1056+AA1057*$R1056)/(1+$L1056)))</f>
        <v/>
      </c>
      <c r="AB1056" s="160" t="str">
        <f t="shared" si="339"/>
        <v/>
      </c>
      <c r="AC1056" s="164" t="str">
        <f t="shared" si="340"/>
        <v/>
      </c>
      <c r="AD1056" s="164" t="str">
        <f>IF(AND($C1055=12,$D1055=Input!$C$6),0,IF($E1056="","",$AC1056+AD1057/(1+$L1056)*$R1056))</f>
        <v/>
      </c>
      <c r="AE1056" s="152"/>
      <c r="AF1056" s="164" t="str">
        <f>IF(AND($C1055=12,$D1055=Input!$C$6),0,IF($E1056="","",IF($B1056&gt;Input!$C$9,$AC1056,0)+AF1057/(1+$L1056)*$R1056))</f>
        <v/>
      </c>
      <c r="AG1056" s="164" t="str">
        <f>IF(AND($C1055=12,$D1055=Input!$C$6),0,IF($E1056="","",(IF($B1056&gt;Input!$C$9,$X1056,0)+AG1057)/(1+$L1056)*$R1056))</f>
        <v/>
      </c>
      <c r="AH1056" s="160" t="str">
        <f t="shared" si="341"/>
        <v/>
      </c>
      <c r="AI1056" s="160" t="str">
        <f>IF($E1056="","",MIN(Input!$C$61/AH1056,1))</f>
        <v/>
      </c>
      <c r="AJ1056" s="152"/>
      <c r="AK1056" s="164" t="str">
        <f>IF(AND($C1055=12,$D1055=Input!$C$6),0,IF($E1056="","",IF($B1056&gt;Input!$C$9,$AC1056*AI1056,0)+AK1057/(1+$L1056)*$R1056))</f>
        <v/>
      </c>
      <c r="AL1056" s="164" t="str">
        <f>IF(AND($C1055=12,$D1055=Input!$C$6),0,IF($E1056="","",IF($B1056&gt;Input!$C$9,0,$AC1056)+AL1057/(1+$L1056)*$R1056))</f>
        <v/>
      </c>
      <c r="AM1056" s="160" t="str">
        <f t="shared" si="342"/>
        <v/>
      </c>
      <c r="AN1056" s="164" t="str">
        <f>IF($E1056="","",IF($B1056&gt;Input!$C$9,$AI1056*$AC1056,$AM1056*$AC1056))</f>
        <v/>
      </c>
      <c r="AO1056" s="164" t="str">
        <f>IF(AND($C1055=12,$D1055=Input!$C$6),0,IF($E1056="","",$AN1056+AO1057/(1+$L1056)*$R1056))</f>
        <v/>
      </c>
      <c r="AP1056" s="152"/>
      <c r="AQ1056" s="164" t="str">
        <f t="shared" si="343"/>
        <v/>
      </c>
      <c r="AR1056" s="164" t="str">
        <f t="shared" si="352"/>
        <v/>
      </c>
      <c r="AS1056" s="164" t="str">
        <f t="shared" si="353"/>
        <v/>
      </c>
      <c r="AT1056" s="164" t="str">
        <f t="shared" si="344"/>
        <v/>
      </c>
      <c r="AU1056" s="152"/>
      <c r="AV1056" s="147" t="str">
        <f>'Deterministic Reserve'!BC1056</f>
        <v/>
      </c>
      <c r="AW1056" s="164" t="str">
        <f t="shared" si="345"/>
        <v/>
      </c>
      <c r="AX1056" s="164" t="str">
        <f t="shared" si="346"/>
        <v/>
      </c>
      <c r="AY1056" s="152"/>
    </row>
    <row r="1057" spans="1:51" s="150" customFormat="1" x14ac:dyDescent="0.25">
      <c r="A1057" s="150" t="str">
        <f t="shared" si="354"/>
        <v/>
      </c>
      <c r="B1057" s="150" t="str">
        <f t="shared" si="355"/>
        <v/>
      </c>
      <c r="C1057" s="150" t="str">
        <f t="shared" si="356"/>
        <v/>
      </c>
      <c r="D1057" s="150" t="str">
        <f>IF(E1057="","",Input!$C$4+B1057-1)</f>
        <v/>
      </c>
      <c r="E1057" s="150" t="str">
        <f>IF(OR(AND(C1056=12,D1056=Input!$C$6),E1056=""),"",1)</f>
        <v/>
      </c>
      <c r="F1057" s="150" t="str">
        <f>IF(E1057="","",Input!$C$8+B1057-1)</f>
        <v/>
      </c>
      <c r="G1057" s="151" t="str">
        <f>IF(E1057="","",MAX(0,Input!$C$9-B1057))</f>
        <v/>
      </c>
      <c r="H1057" s="152" t="str">
        <f>IF(E1057="","",Input!$C$3)</f>
        <v/>
      </c>
      <c r="I1057" s="153" t="str">
        <f>IF(E1057="","",HLOOKUP($B1057,Input!$C$13:$BT$14,2))</f>
        <v/>
      </c>
      <c r="J1057" s="154"/>
      <c r="K1057" s="155" t="str">
        <f>IF($E1057="","",Input!$C$57)</f>
        <v/>
      </c>
      <c r="L1057" s="155" t="str">
        <f t="shared" si="347"/>
        <v/>
      </c>
      <c r="M1057" s="147" t="str">
        <f>IF($E1057="","",VLOOKUP(IF($B1057&lt;=Input!$C$7,$B1057,26),'Mortality Tables'!$A$72:$CA$97,IF($B1057&lt;=Input!$C$7+1,Input!$C$4-16,$D1057-Input!$C$7-16),0)/1000)</f>
        <v/>
      </c>
      <c r="N1057" s="147" t="str">
        <f t="shared" si="336"/>
        <v/>
      </c>
      <c r="O1057" s="157" t="str">
        <f>IF($E1057="","",IF($C1057=12,IF($B1057&lt;Input!$C$9,Input!$C$54,IF($B1057=Input!$C$9,Input!$C$55,Input!$C$56)),0%))</f>
        <v/>
      </c>
      <c r="P1057" s="167" t="str">
        <f>IF($E1057="","",IF($B1057=1,Input!$C$59,IF($B1057&lt;6,Input!$C$60,0%)))</f>
        <v/>
      </c>
      <c r="Q1057" s="162" t="str">
        <f>IF($E1057="","",Input!$C$58)</f>
        <v/>
      </c>
      <c r="R1057" s="156" t="str">
        <f t="shared" si="348"/>
        <v/>
      </c>
      <c r="S1057" s="154" t="str">
        <f t="shared" si="337"/>
        <v/>
      </c>
      <c r="T1057" s="152"/>
      <c r="U1057" s="150" t="str">
        <f t="shared" si="349"/>
        <v/>
      </c>
      <c r="V1057" s="150" t="str">
        <f t="shared" si="350"/>
        <v/>
      </c>
      <c r="W1057" s="168" t="str">
        <f t="shared" si="351"/>
        <v/>
      </c>
      <c r="X1057" s="163" t="str">
        <f t="shared" si="338"/>
        <v/>
      </c>
      <c r="Y1057" s="152"/>
      <c r="Z1057" s="164" t="str">
        <f>IF(AND($C1056=12,$D1056=Input!$C$6),0,IF($E1057="","",V1057+Z1058/(1+L1057)*R1057))</f>
        <v/>
      </c>
      <c r="AA1057" s="164" t="str">
        <f>IF(OR($M1057=1,AND($C1056=12,$D1056=Input!$C$6)),0,IF($E1057="","",W1057+(X1057+AA1058*$R1057)/(1+$L1057)))</f>
        <v/>
      </c>
      <c r="AB1057" s="160" t="str">
        <f t="shared" si="339"/>
        <v/>
      </c>
      <c r="AC1057" s="164" t="str">
        <f t="shared" si="340"/>
        <v/>
      </c>
      <c r="AD1057" s="164" t="str">
        <f>IF(AND($C1056=12,$D1056=Input!$C$6),0,IF($E1057="","",$AC1057+AD1058/(1+$L1057)*$R1057))</f>
        <v/>
      </c>
      <c r="AE1057" s="152"/>
      <c r="AF1057" s="164" t="str">
        <f>IF(AND($C1056=12,$D1056=Input!$C$6),0,IF($E1057="","",IF($B1057&gt;Input!$C$9,$AC1057,0)+AF1058/(1+$L1057)*$R1057))</f>
        <v/>
      </c>
      <c r="AG1057" s="164" t="str">
        <f>IF(AND($C1056=12,$D1056=Input!$C$6),0,IF($E1057="","",(IF($B1057&gt;Input!$C$9,$X1057,0)+AG1058)/(1+$L1057)*$R1057))</f>
        <v/>
      </c>
      <c r="AH1057" s="160" t="str">
        <f t="shared" si="341"/>
        <v/>
      </c>
      <c r="AI1057" s="160" t="str">
        <f>IF($E1057="","",MIN(Input!$C$61/AH1057,1))</f>
        <v/>
      </c>
      <c r="AJ1057" s="152"/>
      <c r="AK1057" s="164" t="str">
        <f>IF(AND($C1056=12,$D1056=Input!$C$6),0,IF($E1057="","",IF($B1057&gt;Input!$C$9,$AC1057*AI1057,0)+AK1058/(1+$L1057)*$R1057))</f>
        <v/>
      </c>
      <c r="AL1057" s="164" t="str">
        <f>IF(AND($C1056=12,$D1056=Input!$C$6),0,IF($E1057="","",IF($B1057&gt;Input!$C$9,0,$AC1057)+AL1058/(1+$L1057)*$R1057))</f>
        <v/>
      </c>
      <c r="AM1057" s="160" t="str">
        <f t="shared" si="342"/>
        <v/>
      </c>
      <c r="AN1057" s="164" t="str">
        <f>IF($E1057="","",IF($B1057&gt;Input!$C$9,$AI1057*$AC1057,$AM1057*$AC1057))</f>
        <v/>
      </c>
      <c r="AO1057" s="164" t="str">
        <f>IF(AND($C1056=12,$D1056=Input!$C$6),0,IF($E1057="","",$AN1057+AO1058/(1+$L1057)*$R1057))</f>
        <v/>
      </c>
      <c r="AP1057" s="152"/>
      <c r="AQ1057" s="164" t="str">
        <f t="shared" si="343"/>
        <v/>
      </c>
      <c r="AR1057" s="164" t="str">
        <f t="shared" si="352"/>
        <v/>
      </c>
      <c r="AS1057" s="164" t="str">
        <f t="shared" si="353"/>
        <v/>
      </c>
      <c r="AT1057" s="164" t="str">
        <f t="shared" si="344"/>
        <v/>
      </c>
      <c r="AU1057" s="152"/>
      <c r="AV1057" s="147" t="str">
        <f>'Deterministic Reserve'!BC1057</f>
        <v/>
      </c>
      <c r="AW1057" s="164" t="str">
        <f t="shared" si="345"/>
        <v/>
      </c>
      <c r="AX1057" s="164" t="str">
        <f t="shared" si="346"/>
        <v/>
      </c>
      <c r="AY1057" s="152"/>
    </row>
    <row r="1058" spans="1:51" s="150" customFormat="1" x14ac:dyDescent="0.25">
      <c r="A1058" s="150" t="str">
        <f t="shared" si="354"/>
        <v/>
      </c>
      <c r="B1058" s="150" t="str">
        <f t="shared" si="355"/>
        <v/>
      </c>
      <c r="C1058" s="150" t="str">
        <f t="shared" si="356"/>
        <v/>
      </c>
      <c r="D1058" s="150" t="str">
        <f>IF(E1058="","",Input!$C$4+B1058-1)</f>
        <v/>
      </c>
      <c r="E1058" s="150" t="str">
        <f>IF(OR(AND(C1057=12,D1057=Input!$C$6),E1057=""),"",1)</f>
        <v/>
      </c>
      <c r="F1058" s="150" t="str">
        <f>IF(E1058="","",Input!$C$8+B1058-1)</f>
        <v/>
      </c>
      <c r="G1058" s="151" t="str">
        <f>IF(E1058="","",MAX(0,Input!$C$9-B1058))</f>
        <v/>
      </c>
      <c r="H1058" s="152" t="str">
        <f>IF(E1058="","",Input!$C$3)</f>
        <v/>
      </c>
      <c r="I1058" s="153" t="str">
        <f>IF(E1058="","",HLOOKUP($B1058,Input!$C$13:$BT$14,2))</f>
        <v/>
      </c>
      <c r="J1058" s="154"/>
      <c r="K1058" s="155" t="str">
        <f>IF($E1058="","",Input!$C$57)</f>
        <v/>
      </c>
      <c r="L1058" s="155" t="str">
        <f t="shared" si="347"/>
        <v/>
      </c>
      <c r="M1058" s="147" t="str">
        <f>IF($E1058="","",VLOOKUP(IF($B1058&lt;=Input!$C$7,$B1058,26),'Mortality Tables'!$A$72:$CA$97,IF($B1058&lt;=Input!$C$7+1,Input!$C$4-16,$D1058-Input!$C$7-16),0)/1000)</f>
        <v/>
      </c>
      <c r="N1058" s="147" t="str">
        <f t="shared" si="336"/>
        <v/>
      </c>
      <c r="O1058" s="157" t="str">
        <f>IF($E1058="","",IF($C1058=12,IF($B1058&lt;Input!$C$9,Input!$C$54,IF($B1058=Input!$C$9,Input!$C$55,Input!$C$56)),0%))</f>
        <v/>
      </c>
      <c r="P1058" s="167" t="str">
        <f>IF($E1058="","",IF($B1058=1,Input!$C$59,IF($B1058&lt;6,Input!$C$60,0%)))</f>
        <v/>
      </c>
      <c r="Q1058" s="162" t="str">
        <f>IF($E1058="","",Input!$C$58)</f>
        <v/>
      </c>
      <c r="R1058" s="156" t="str">
        <f t="shared" si="348"/>
        <v/>
      </c>
      <c r="S1058" s="154" t="str">
        <f t="shared" si="337"/>
        <v/>
      </c>
      <c r="T1058" s="152"/>
      <c r="U1058" s="150" t="str">
        <f t="shared" si="349"/>
        <v/>
      </c>
      <c r="V1058" s="150" t="str">
        <f t="shared" si="350"/>
        <v/>
      </c>
      <c r="W1058" s="168" t="str">
        <f t="shared" si="351"/>
        <v/>
      </c>
      <c r="X1058" s="163" t="str">
        <f t="shared" si="338"/>
        <v/>
      </c>
      <c r="Y1058" s="152"/>
      <c r="Z1058" s="164" t="str">
        <f>IF(AND($C1057=12,$D1057=Input!$C$6),0,IF($E1058="","",V1058+Z1059/(1+L1058)*R1058))</f>
        <v/>
      </c>
      <c r="AA1058" s="164" t="str">
        <f>IF(OR($M1058=1,AND($C1057=12,$D1057=Input!$C$6)),0,IF($E1058="","",W1058+(X1058+AA1059*$R1058)/(1+$L1058)))</f>
        <v/>
      </c>
      <c r="AB1058" s="160" t="str">
        <f t="shared" si="339"/>
        <v/>
      </c>
      <c r="AC1058" s="164" t="str">
        <f t="shared" si="340"/>
        <v/>
      </c>
      <c r="AD1058" s="164" t="str">
        <f>IF(AND($C1057=12,$D1057=Input!$C$6),0,IF($E1058="","",$AC1058+AD1059/(1+$L1058)*$R1058))</f>
        <v/>
      </c>
      <c r="AE1058" s="152"/>
      <c r="AF1058" s="164" t="str">
        <f>IF(AND($C1057=12,$D1057=Input!$C$6),0,IF($E1058="","",IF($B1058&gt;Input!$C$9,$AC1058,0)+AF1059/(1+$L1058)*$R1058))</f>
        <v/>
      </c>
      <c r="AG1058" s="164" t="str">
        <f>IF(AND($C1057=12,$D1057=Input!$C$6),0,IF($E1058="","",(IF($B1058&gt;Input!$C$9,$X1058,0)+AG1059)/(1+$L1058)*$R1058))</f>
        <v/>
      </c>
      <c r="AH1058" s="160" t="str">
        <f t="shared" si="341"/>
        <v/>
      </c>
      <c r="AI1058" s="160" t="str">
        <f>IF($E1058="","",MIN(Input!$C$61/AH1058,1))</f>
        <v/>
      </c>
      <c r="AJ1058" s="152"/>
      <c r="AK1058" s="164" t="str">
        <f>IF(AND($C1057=12,$D1057=Input!$C$6),0,IF($E1058="","",IF($B1058&gt;Input!$C$9,$AC1058*AI1058,0)+AK1059/(1+$L1058)*$R1058))</f>
        <v/>
      </c>
      <c r="AL1058" s="164" t="str">
        <f>IF(AND($C1057=12,$D1057=Input!$C$6),0,IF($E1058="","",IF($B1058&gt;Input!$C$9,0,$AC1058)+AL1059/(1+$L1058)*$R1058))</f>
        <v/>
      </c>
      <c r="AM1058" s="160" t="str">
        <f t="shared" si="342"/>
        <v/>
      </c>
      <c r="AN1058" s="164" t="str">
        <f>IF($E1058="","",IF($B1058&gt;Input!$C$9,$AI1058*$AC1058,$AM1058*$AC1058))</f>
        <v/>
      </c>
      <c r="AO1058" s="164" t="str">
        <f>IF(AND($C1057=12,$D1057=Input!$C$6),0,IF($E1058="","",$AN1058+AO1059/(1+$L1058)*$R1058))</f>
        <v/>
      </c>
      <c r="AP1058" s="152"/>
      <c r="AQ1058" s="164" t="str">
        <f t="shared" si="343"/>
        <v/>
      </c>
      <c r="AR1058" s="164" t="str">
        <f t="shared" si="352"/>
        <v/>
      </c>
      <c r="AS1058" s="164" t="str">
        <f t="shared" si="353"/>
        <v/>
      </c>
      <c r="AT1058" s="164" t="str">
        <f t="shared" si="344"/>
        <v/>
      </c>
      <c r="AU1058" s="152"/>
      <c r="AV1058" s="147" t="str">
        <f>'Deterministic Reserve'!BC1058</f>
        <v/>
      </c>
      <c r="AW1058" s="164" t="str">
        <f t="shared" si="345"/>
        <v/>
      </c>
      <c r="AX1058" s="164" t="str">
        <f t="shared" si="346"/>
        <v/>
      </c>
      <c r="AY1058" s="152"/>
    </row>
    <row r="1059" spans="1:51" s="150" customFormat="1" x14ac:dyDescent="0.25">
      <c r="A1059" s="150" t="str">
        <f t="shared" si="354"/>
        <v/>
      </c>
      <c r="B1059" s="150" t="str">
        <f t="shared" si="355"/>
        <v/>
      </c>
      <c r="C1059" s="150" t="str">
        <f t="shared" si="356"/>
        <v/>
      </c>
      <c r="D1059" s="150" t="str">
        <f>IF(E1059="","",Input!$C$4+B1059-1)</f>
        <v/>
      </c>
      <c r="E1059" s="150" t="str">
        <f>IF(OR(AND(C1058=12,D1058=Input!$C$6),E1058=""),"",1)</f>
        <v/>
      </c>
      <c r="F1059" s="150" t="str">
        <f>IF(E1059="","",Input!$C$8+B1059-1)</f>
        <v/>
      </c>
      <c r="G1059" s="151" t="str">
        <f>IF(E1059="","",MAX(0,Input!$C$9-B1059))</f>
        <v/>
      </c>
      <c r="H1059" s="152" t="str">
        <f>IF(E1059="","",Input!$C$3)</f>
        <v/>
      </c>
      <c r="I1059" s="153" t="str">
        <f>IF(E1059="","",HLOOKUP($B1059,Input!$C$13:$BT$14,2))</f>
        <v/>
      </c>
      <c r="J1059" s="154"/>
      <c r="K1059" s="155" t="str">
        <f>IF($E1059="","",Input!$C$57)</f>
        <v/>
      </c>
      <c r="L1059" s="155" t="str">
        <f t="shared" si="347"/>
        <v/>
      </c>
      <c r="M1059" s="147" t="str">
        <f>IF($E1059="","",VLOOKUP(IF($B1059&lt;=Input!$C$7,$B1059,26),'Mortality Tables'!$A$72:$CA$97,IF($B1059&lt;=Input!$C$7+1,Input!$C$4-16,$D1059-Input!$C$7-16),0)/1000)</f>
        <v/>
      </c>
      <c r="N1059" s="147" t="str">
        <f t="shared" si="336"/>
        <v/>
      </c>
      <c r="O1059" s="157" t="str">
        <f>IF($E1059="","",IF($C1059=12,IF($B1059&lt;Input!$C$9,Input!$C$54,IF($B1059=Input!$C$9,Input!$C$55,Input!$C$56)),0%))</f>
        <v/>
      </c>
      <c r="P1059" s="167" t="str">
        <f>IF($E1059="","",IF($B1059=1,Input!$C$59,IF($B1059&lt;6,Input!$C$60,0%)))</f>
        <v/>
      </c>
      <c r="Q1059" s="162" t="str">
        <f>IF($E1059="","",Input!$C$58)</f>
        <v/>
      </c>
      <c r="R1059" s="156" t="str">
        <f t="shared" si="348"/>
        <v/>
      </c>
      <c r="S1059" s="154" t="str">
        <f t="shared" si="337"/>
        <v/>
      </c>
      <c r="T1059" s="152"/>
      <c r="U1059" s="150" t="str">
        <f t="shared" si="349"/>
        <v/>
      </c>
      <c r="V1059" s="150" t="str">
        <f t="shared" si="350"/>
        <v/>
      </c>
      <c r="W1059" s="168" t="str">
        <f t="shared" si="351"/>
        <v/>
      </c>
      <c r="X1059" s="163" t="str">
        <f t="shared" si="338"/>
        <v/>
      </c>
      <c r="Y1059" s="152"/>
      <c r="Z1059" s="164" t="str">
        <f>IF(AND($C1058=12,$D1058=Input!$C$6),0,IF($E1059="","",V1059+Z1060/(1+L1059)*R1059))</f>
        <v/>
      </c>
      <c r="AA1059" s="164" t="str">
        <f>IF(OR($M1059=1,AND($C1058=12,$D1058=Input!$C$6)),0,IF($E1059="","",W1059+(X1059+AA1060*$R1059)/(1+$L1059)))</f>
        <v/>
      </c>
      <c r="AB1059" s="160" t="str">
        <f t="shared" si="339"/>
        <v/>
      </c>
      <c r="AC1059" s="164" t="str">
        <f t="shared" si="340"/>
        <v/>
      </c>
      <c r="AD1059" s="164" t="str">
        <f>IF(AND($C1058=12,$D1058=Input!$C$6),0,IF($E1059="","",$AC1059+AD1060/(1+$L1059)*$R1059))</f>
        <v/>
      </c>
      <c r="AE1059" s="152"/>
      <c r="AF1059" s="164" t="str">
        <f>IF(AND($C1058=12,$D1058=Input!$C$6),0,IF($E1059="","",IF($B1059&gt;Input!$C$9,$AC1059,0)+AF1060/(1+$L1059)*$R1059))</f>
        <v/>
      </c>
      <c r="AG1059" s="164" t="str">
        <f>IF(AND($C1058=12,$D1058=Input!$C$6),0,IF($E1059="","",(IF($B1059&gt;Input!$C$9,$X1059,0)+AG1060)/(1+$L1059)*$R1059))</f>
        <v/>
      </c>
      <c r="AH1059" s="160" t="str">
        <f t="shared" si="341"/>
        <v/>
      </c>
      <c r="AI1059" s="160" t="str">
        <f>IF($E1059="","",MIN(Input!$C$61/AH1059,1))</f>
        <v/>
      </c>
      <c r="AJ1059" s="152"/>
      <c r="AK1059" s="164" t="str">
        <f>IF(AND($C1058=12,$D1058=Input!$C$6),0,IF($E1059="","",IF($B1059&gt;Input!$C$9,$AC1059*AI1059,0)+AK1060/(1+$L1059)*$R1059))</f>
        <v/>
      </c>
      <c r="AL1059" s="164" t="str">
        <f>IF(AND($C1058=12,$D1058=Input!$C$6),0,IF($E1059="","",IF($B1059&gt;Input!$C$9,0,$AC1059)+AL1060/(1+$L1059)*$R1059))</f>
        <v/>
      </c>
      <c r="AM1059" s="160" t="str">
        <f t="shared" si="342"/>
        <v/>
      </c>
      <c r="AN1059" s="164" t="str">
        <f>IF($E1059="","",IF($B1059&gt;Input!$C$9,$AI1059*$AC1059,$AM1059*$AC1059))</f>
        <v/>
      </c>
      <c r="AO1059" s="164" t="str">
        <f>IF(AND($C1058=12,$D1058=Input!$C$6),0,IF($E1059="","",$AN1059+AO1060/(1+$L1059)*$R1059))</f>
        <v/>
      </c>
      <c r="AP1059" s="152"/>
      <c r="AQ1059" s="164" t="str">
        <f t="shared" si="343"/>
        <v/>
      </c>
      <c r="AR1059" s="164" t="str">
        <f t="shared" si="352"/>
        <v/>
      </c>
      <c r="AS1059" s="164" t="str">
        <f t="shared" si="353"/>
        <v/>
      </c>
      <c r="AT1059" s="164" t="str">
        <f t="shared" si="344"/>
        <v/>
      </c>
      <c r="AU1059" s="152"/>
      <c r="AV1059" s="147" t="str">
        <f>'Deterministic Reserve'!BC1059</f>
        <v/>
      </c>
      <c r="AW1059" s="164" t="str">
        <f t="shared" si="345"/>
        <v/>
      </c>
      <c r="AX1059" s="164" t="str">
        <f t="shared" si="346"/>
        <v/>
      </c>
      <c r="AY1059" s="152"/>
    </row>
    <row r="1060" spans="1:51" s="150" customFormat="1" x14ac:dyDescent="0.25">
      <c r="A1060" s="150" t="str">
        <f t="shared" si="354"/>
        <v/>
      </c>
      <c r="B1060" s="150" t="str">
        <f t="shared" si="355"/>
        <v/>
      </c>
      <c r="C1060" s="150" t="str">
        <f t="shared" si="356"/>
        <v/>
      </c>
      <c r="D1060" s="150" t="str">
        <f>IF(E1060="","",Input!$C$4+B1060-1)</f>
        <v/>
      </c>
      <c r="E1060" s="150" t="str">
        <f>IF(OR(AND(C1059=12,D1059=Input!$C$6),E1059=""),"",1)</f>
        <v/>
      </c>
      <c r="F1060" s="150" t="str">
        <f>IF(E1060="","",Input!$C$8+B1060-1)</f>
        <v/>
      </c>
      <c r="G1060" s="151" t="str">
        <f>IF(E1060="","",MAX(0,Input!$C$9-B1060))</f>
        <v/>
      </c>
      <c r="H1060" s="152" t="str">
        <f>IF(E1060="","",Input!$C$3)</f>
        <v/>
      </c>
      <c r="I1060" s="153" t="str">
        <f>IF(E1060="","",HLOOKUP($B1060,Input!$C$13:$BT$14,2))</f>
        <v/>
      </c>
      <c r="J1060" s="154"/>
      <c r="K1060" s="155" t="str">
        <f>IF($E1060="","",Input!$C$57)</f>
        <v/>
      </c>
      <c r="L1060" s="155" t="str">
        <f t="shared" si="347"/>
        <v/>
      </c>
      <c r="M1060" s="147" t="str">
        <f>IF($E1060="","",VLOOKUP(IF($B1060&lt;=Input!$C$7,$B1060,26),'Mortality Tables'!$A$72:$CA$97,IF($B1060&lt;=Input!$C$7+1,Input!$C$4-16,$D1060-Input!$C$7-16),0)/1000)</f>
        <v/>
      </c>
      <c r="N1060" s="147" t="str">
        <f t="shared" si="336"/>
        <v/>
      </c>
      <c r="O1060" s="157" t="str">
        <f>IF($E1060="","",IF($C1060=12,IF($B1060&lt;Input!$C$9,Input!$C$54,IF($B1060=Input!$C$9,Input!$C$55,Input!$C$56)),0%))</f>
        <v/>
      </c>
      <c r="P1060" s="167" t="str">
        <f>IF($E1060="","",IF($B1060=1,Input!$C$59,IF($B1060&lt;6,Input!$C$60,0%)))</f>
        <v/>
      </c>
      <c r="Q1060" s="162" t="str">
        <f>IF($E1060="","",Input!$C$58)</f>
        <v/>
      </c>
      <c r="R1060" s="156" t="str">
        <f t="shared" si="348"/>
        <v/>
      </c>
      <c r="S1060" s="154" t="str">
        <f t="shared" si="337"/>
        <v/>
      </c>
      <c r="T1060" s="152"/>
      <c r="U1060" s="150" t="str">
        <f t="shared" si="349"/>
        <v/>
      </c>
      <c r="V1060" s="150" t="str">
        <f t="shared" si="350"/>
        <v/>
      </c>
      <c r="W1060" s="168" t="str">
        <f t="shared" si="351"/>
        <v/>
      </c>
      <c r="X1060" s="163" t="str">
        <f t="shared" si="338"/>
        <v/>
      </c>
      <c r="Y1060" s="152"/>
      <c r="Z1060" s="164" t="str">
        <f>IF(AND($C1059=12,$D1059=Input!$C$6),0,IF($E1060="","",V1060+Z1061/(1+L1060)*R1060))</f>
        <v/>
      </c>
      <c r="AA1060" s="164" t="str">
        <f>IF(OR($M1060=1,AND($C1059=12,$D1059=Input!$C$6)),0,IF($E1060="","",W1060+(X1060+AA1061*$R1060)/(1+$L1060)))</f>
        <v/>
      </c>
      <c r="AB1060" s="160" t="str">
        <f t="shared" si="339"/>
        <v/>
      </c>
      <c r="AC1060" s="164" t="str">
        <f t="shared" si="340"/>
        <v/>
      </c>
      <c r="AD1060" s="164" t="str">
        <f>IF(AND($C1059=12,$D1059=Input!$C$6),0,IF($E1060="","",$AC1060+AD1061/(1+$L1060)*$R1060))</f>
        <v/>
      </c>
      <c r="AE1060" s="152"/>
      <c r="AF1060" s="164" t="str">
        <f>IF(AND($C1059=12,$D1059=Input!$C$6),0,IF($E1060="","",IF($B1060&gt;Input!$C$9,$AC1060,0)+AF1061/(1+$L1060)*$R1060))</f>
        <v/>
      </c>
      <c r="AG1060" s="164" t="str">
        <f>IF(AND($C1059=12,$D1059=Input!$C$6),0,IF($E1060="","",(IF($B1060&gt;Input!$C$9,$X1060,0)+AG1061)/(1+$L1060)*$R1060))</f>
        <v/>
      </c>
      <c r="AH1060" s="160" t="str">
        <f t="shared" si="341"/>
        <v/>
      </c>
      <c r="AI1060" s="160" t="str">
        <f>IF($E1060="","",MIN(Input!$C$61/AH1060,1))</f>
        <v/>
      </c>
      <c r="AJ1060" s="152"/>
      <c r="AK1060" s="164" t="str">
        <f>IF(AND($C1059=12,$D1059=Input!$C$6),0,IF($E1060="","",IF($B1060&gt;Input!$C$9,$AC1060*AI1060,0)+AK1061/(1+$L1060)*$R1060))</f>
        <v/>
      </c>
      <c r="AL1060" s="164" t="str">
        <f>IF(AND($C1059=12,$D1059=Input!$C$6),0,IF($E1060="","",IF($B1060&gt;Input!$C$9,0,$AC1060)+AL1061/(1+$L1060)*$R1060))</f>
        <v/>
      </c>
      <c r="AM1060" s="160" t="str">
        <f t="shared" si="342"/>
        <v/>
      </c>
      <c r="AN1060" s="164" t="str">
        <f>IF($E1060="","",IF($B1060&gt;Input!$C$9,$AI1060*$AC1060,$AM1060*$AC1060))</f>
        <v/>
      </c>
      <c r="AO1060" s="164" t="str">
        <f>IF(AND($C1059=12,$D1059=Input!$C$6),0,IF($E1060="","",$AN1060+AO1061/(1+$L1060)*$R1060))</f>
        <v/>
      </c>
      <c r="AP1060" s="152"/>
      <c r="AQ1060" s="164" t="str">
        <f t="shared" si="343"/>
        <v/>
      </c>
      <c r="AR1060" s="164" t="str">
        <f t="shared" si="352"/>
        <v/>
      </c>
      <c r="AS1060" s="164" t="str">
        <f t="shared" si="353"/>
        <v/>
      </c>
      <c r="AT1060" s="164" t="str">
        <f t="shared" si="344"/>
        <v/>
      </c>
      <c r="AU1060" s="152"/>
      <c r="AV1060" s="147" t="str">
        <f>'Deterministic Reserve'!BC1060</f>
        <v/>
      </c>
      <c r="AW1060" s="164" t="str">
        <f t="shared" si="345"/>
        <v/>
      </c>
      <c r="AX1060" s="164" t="str">
        <f t="shared" si="346"/>
        <v/>
      </c>
      <c r="AY1060" s="152"/>
    </row>
    <row r="1061" spans="1:51" s="150" customFormat="1" x14ac:dyDescent="0.25">
      <c r="A1061" s="150" t="str">
        <f t="shared" si="354"/>
        <v/>
      </c>
      <c r="B1061" s="150" t="str">
        <f t="shared" si="355"/>
        <v/>
      </c>
      <c r="C1061" s="150" t="str">
        <f t="shared" si="356"/>
        <v/>
      </c>
      <c r="D1061" s="150" t="str">
        <f>IF(E1061="","",Input!$C$4+B1061-1)</f>
        <v/>
      </c>
      <c r="E1061" s="150" t="str">
        <f>IF(OR(AND(C1060=12,D1060=Input!$C$6),E1060=""),"",1)</f>
        <v/>
      </c>
      <c r="F1061" s="150" t="str">
        <f>IF(E1061="","",Input!$C$8+B1061-1)</f>
        <v/>
      </c>
      <c r="G1061" s="151" t="str">
        <f>IF(E1061="","",MAX(0,Input!$C$9-B1061))</f>
        <v/>
      </c>
      <c r="H1061" s="152" t="str">
        <f>IF(E1061="","",Input!$C$3)</f>
        <v/>
      </c>
      <c r="I1061" s="153" t="str">
        <f>IF(E1061="","",HLOOKUP($B1061,Input!$C$13:$BT$14,2))</f>
        <v/>
      </c>
      <c r="J1061" s="154"/>
      <c r="K1061" s="155" t="str">
        <f>IF($E1061="","",Input!$C$57)</f>
        <v/>
      </c>
      <c r="L1061" s="155" t="str">
        <f t="shared" si="347"/>
        <v/>
      </c>
      <c r="M1061" s="147" t="str">
        <f>IF($E1061="","",VLOOKUP(IF($B1061&lt;=Input!$C$7,$B1061,26),'Mortality Tables'!$A$72:$CA$97,IF($B1061&lt;=Input!$C$7+1,Input!$C$4-16,$D1061-Input!$C$7-16),0)/1000)</f>
        <v/>
      </c>
      <c r="N1061" s="147" t="str">
        <f t="shared" si="336"/>
        <v/>
      </c>
      <c r="O1061" s="157" t="str">
        <f>IF($E1061="","",IF($C1061=12,IF($B1061&lt;Input!$C$9,Input!$C$54,IF($B1061=Input!$C$9,Input!$C$55,Input!$C$56)),0%))</f>
        <v/>
      </c>
      <c r="P1061" s="167" t="str">
        <f>IF($E1061="","",IF($B1061=1,Input!$C$59,IF($B1061&lt;6,Input!$C$60,0%)))</f>
        <v/>
      </c>
      <c r="Q1061" s="162" t="str">
        <f>IF($E1061="","",Input!$C$58)</f>
        <v/>
      </c>
      <c r="R1061" s="156" t="str">
        <f t="shared" si="348"/>
        <v/>
      </c>
      <c r="S1061" s="154" t="str">
        <f t="shared" si="337"/>
        <v/>
      </c>
      <c r="T1061" s="152"/>
      <c r="U1061" s="150" t="str">
        <f t="shared" si="349"/>
        <v/>
      </c>
      <c r="V1061" s="150" t="str">
        <f t="shared" si="350"/>
        <v/>
      </c>
      <c r="W1061" s="168" t="str">
        <f t="shared" si="351"/>
        <v/>
      </c>
      <c r="X1061" s="163" t="str">
        <f t="shared" si="338"/>
        <v/>
      </c>
      <c r="Y1061" s="152"/>
      <c r="Z1061" s="164" t="str">
        <f>IF(AND($C1060=12,$D1060=Input!$C$6),0,IF($E1061="","",V1061+Z1062/(1+L1061)*R1061))</f>
        <v/>
      </c>
      <c r="AA1061" s="164" t="str">
        <f>IF(OR($M1061=1,AND($C1060=12,$D1060=Input!$C$6)),0,IF($E1061="","",W1061+(X1061+AA1062*$R1061)/(1+$L1061)))</f>
        <v/>
      </c>
      <c r="AB1061" s="160" t="str">
        <f t="shared" si="339"/>
        <v/>
      </c>
      <c r="AC1061" s="164" t="str">
        <f t="shared" si="340"/>
        <v/>
      </c>
      <c r="AD1061" s="164" t="str">
        <f>IF(AND($C1060=12,$D1060=Input!$C$6),0,IF($E1061="","",$AC1061+AD1062/(1+$L1061)*$R1061))</f>
        <v/>
      </c>
      <c r="AE1061" s="152"/>
      <c r="AF1061" s="164" t="str">
        <f>IF(AND($C1060=12,$D1060=Input!$C$6),0,IF($E1061="","",IF($B1061&gt;Input!$C$9,$AC1061,0)+AF1062/(1+$L1061)*$R1061))</f>
        <v/>
      </c>
      <c r="AG1061" s="164" t="str">
        <f>IF(AND($C1060=12,$D1060=Input!$C$6),0,IF($E1061="","",(IF($B1061&gt;Input!$C$9,$X1061,0)+AG1062)/(1+$L1061)*$R1061))</f>
        <v/>
      </c>
      <c r="AH1061" s="160" t="str">
        <f t="shared" si="341"/>
        <v/>
      </c>
      <c r="AI1061" s="160" t="str">
        <f>IF($E1061="","",MIN(Input!$C$61/AH1061,1))</f>
        <v/>
      </c>
      <c r="AJ1061" s="152"/>
      <c r="AK1061" s="164" t="str">
        <f>IF(AND($C1060=12,$D1060=Input!$C$6),0,IF($E1061="","",IF($B1061&gt;Input!$C$9,$AC1061*AI1061,0)+AK1062/(1+$L1061)*$R1061))</f>
        <v/>
      </c>
      <c r="AL1061" s="164" t="str">
        <f>IF(AND($C1060=12,$D1060=Input!$C$6),0,IF($E1061="","",IF($B1061&gt;Input!$C$9,0,$AC1061)+AL1062/(1+$L1061)*$R1061))</f>
        <v/>
      </c>
      <c r="AM1061" s="160" t="str">
        <f t="shared" si="342"/>
        <v/>
      </c>
      <c r="AN1061" s="164" t="str">
        <f>IF($E1061="","",IF($B1061&gt;Input!$C$9,$AI1061*$AC1061,$AM1061*$AC1061))</f>
        <v/>
      </c>
      <c r="AO1061" s="164" t="str">
        <f>IF(AND($C1060=12,$D1060=Input!$C$6),0,IF($E1061="","",$AN1061+AO1062/(1+$L1061)*$R1061))</f>
        <v/>
      </c>
      <c r="AP1061" s="152"/>
      <c r="AQ1061" s="164" t="str">
        <f t="shared" si="343"/>
        <v/>
      </c>
      <c r="AR1061" s="164" t="str">
        <f t="shared" si="352"/>
        <v/>
      </c>
      <c r="AS1061" s="164" t="str">
        <f t="shared" si="353"/>
        <v/>
      </c>
      <c r="AT1061" s="164" t="str">
        <f t="shared" si="344"/>
        <v/>
      </c>
      <c r="AU1061" s="152"/>
      <c r="AV1061" s="147" t="str">
        <f>'Deterministic Reserve'!BC1061</f>
        <v/>
      </c>
      <c r="AW1061" s="164" t="str">
        <f t="shared" si="345"/>
        <v/>
      </c>
      <c r="AX1061" s="164" t="str">
        <f t="shared" si="346"/>
        <v/>
      </c>
      <c r="AY1061" s="152"/>
    </row>
    <row r="1062" spans="1:51" s="150" customFormat="1" x14ac:dyDescent="0.25">
      <c r="A1062" s="150" t="str">
        <f t="shared" si="354"/>
        <v/>
      </c>
      <c r="B1062" s="150" t="str">
        <f t="shared" si="355"/>
        <v/>
      </c>
      <c r="C1062" s="150" t="str">
        <f t="shared" si="356"/>
        <v/>
      </c>
      <c r="D1062" s="150" t="str">
        <f>IF(E1062="","",Input!$C$4+B1062-1)</f>
        <v/>
      </c>
      <c r="E1062" s="150" t="str">
        <f>IF(OR(AND(C1061=12,D1061=Input!$C$6),E1061=""),"",1)</f>
        <v/>
      </c>
      <c r="F1062" s="150" t="str">
        <f>IF(E1062="","",Input!$C$8+B1062-1)</f>
        <v/>
      </c>
      <c r="G1062" s="151" t="str">
        <f>IF(E1062="","",MAX(0,Input!$C$9-B1062))</f>
        <v/>
      </c>
      <c r="H1062" s="152" t="str">
        <f>IF(E1062="","",Input!$C$3)</f>
        <v/>
      </c>
      <c r="I1062" s="153" t="str">
        <f>IF(E1062="","",HLOOKUP($B1062,Input!$C$13:$BT$14,2))</f>
        <v/>
      </c>
      <c r="J1062" s="154"/>
      <c r="K1062" s="155" t="str">
        <f>IF($E1062="","",Input!$C$57)</f>
        <v/>
      </c>
      <c r="L1062" s="155" t="str">
        <f t="shared" si="347"/>
        <v/>
      </c>
      <c r="M1062" s="147" t="str">
        <f>IF($E1062="","",VLOOKUP(IF($B1062&lt;=Input!$C$7,$B1062,26),'Mortality Tables'!$A$72:$CA$97,IF($B1062&lt;=Input!$C$7+1,Input!$C$4-16,$D1062-Input!$C$7-16),0)/1000)</f>
        <v/>
      </c>
      <c r="N1062" s="147" t="str">
        <f t="shared" si="336"/>
        <v/>
      </c>
      <c r="O1062" s="157" t="str">
        <f>IF($E1062="","",IF($C1062=12,IF($B1062&lt;Input!$C$9,Input!$C$54,IF($B1062=Input!$C$9,Input!$C$55,Input!$C$56)),0%))</f>
        <v/>
      </c>
      <c r="P1062" s="167" t="str">
        <f>IF($E1062="","",IF($B1062=1,Input!$C$59,IF($B1062&lt;6,Input!$C$60,0%)))</f>
        <v/>
      </c>
      <c r="Q1062" s="162" t="str">
        <f>IF($E1062="","",Input!$C$58)</f>
        <v/>
      </c>
      <c r="R1062" s="156" t="str">
        <f t="shared" si="348"/>
        <v/>
      </c>
      <c r="S1062" s="154" t="str">
        <f t="shared" si="337"/>
        <v/>
      </c>
      <c r="T1062" s="152"/>
      <c r="U1062" s="150" t="str">
        <f t="shared" si="349"/>
        <v/>
      </c>
      <c r="V1062" s="150" t="str">
        <f t="shared" si="350"/>
        <v/>
      </c>
      <c r="W1062" s="168" t="str">
        <f t="shared" si="351"/>
        <v/>
      </c>
      <c r="X1062" s="163" t="str">
        <f t="shared" si="338"/>
        <v/>
      </c>
      <c r="Y1062" s="152"/>
      <c r="Z1062" s="164" t="str">
        <f>IF(AND($C1061=12,$D1061=Input!$C$6),0,IF($E1062="","",V1062+Z1063/(1+L1062)*R1062))</f>
        <v/>
      </c>
      <c r="AA1062" s="164" t="str">
        <f>IF(OR($M1062=1,AND($C1061=12,$D1061=Input!$C$6)),0,IF($E1062="","",W1062+(X1062+AA1063*$R1062)/(1+$L1062)))</f>
        <v/>
      </c>
      <c r="AB1062" s="160" t="str">
        <f t="shared" si="339"/>
        <v/>
      </c>
      <c r="AC1062" s="164" t="str">
        <f t="shared" si="340"/>
        <v/>
      </c>
      <c r="AD1062" s="164" t="str">
        <f>IF(AND($C1061=12,$D1061=Input!$C$6),0,IF($E1062="","",$AC1062+AD1063/(1+$L1062)*$R1062))</f>
        <v/>
      </c>
      <c r="AE1062" s="152"/>
      <c r="AF1062" s="164" t="str">
        <f>IF(AND($C1061=12,$D1061=Input!$C$6),0,IF($E1062="","",IF($B1062&gt;Input!$C$9,$AC1062,0)+AF1063/(1+$L1062)*$R1062))</f>
        <v/>
      </c>
      <c r="AG1062" s="164" t="str">
        <f>IF(AND($C1061=12,$D1061=Input!$C$6),0,IF($E1062="","",(IF($B1062&gt;Input!$C$9,$X1062,0)+AG1063)/(1+$L1062)*$R1062))</f>
        <v/>
      </c>
      <c r="AH1062" s="160" t="str">
        <f t="shared" si="341"/>
        <v/>
      </c>
      <c r="AI1062" s="160" t="str">
        <f>IF($E1062="","",MIN(Input!$C$61/AH1062,1))</f>
        <v/>
      </c>
      <c r="AJ1062" s="152"/>
      <c r="AK1062" s="164" t="str">
        <f>IF(AND($C1061=12,$D1061=Input!$C$6),0,IF($E1062="","",IF($B1062&gt;Input!$C$9,$AC1062*AI1062,0)+AK1063/(1+$L1062)*$R1062))</f>
        <v/>
      </c>
      <c r="AL1062" s="164" t="str">
        <f>IF(AND($C1061=12,$D1061=Input!$C$6),0,IF($E1062="","",IF($B1062&gt;Input!$C$9,0,$AC1062)+AL1063/(1+$L1062)*$R1062))</f>
        <v/>
      </c>
      <c r="AM1062" s="160" t="str">
        <f t="shared" si="342"/>
        <v/>
      </c>
      <c r="AN1062" s="164" t="str">
        <f>IF($E1062="","",IF($B1062&gt;Input!$C$9,$AI1062*$AC1062,$AM1062*$AC1062))</f>
        <v/>
      </c>
      <c r="AO1062" s="164" t="str">
        <f>IF(AND($C1061=12,$D1061=Input!$C$6),0,IF($E1062="","",$AN1062+AO1063/(1+$L1062)*$R1062))</f>
        <v/>
      </c>
      <c r="AP1062" s="152"/>
      <c r="AQ1062" s="164" t="str">
        <f t="shared" si="343"/>
        <v/>
      </c>
      <c r="AR1062" s="164" t="str">
        <f t="shared" si="352"/>
        <v/>
      </c>
      <c r="AS1062" s="164" t="str">
        <f t="shared" si="353"/>
        <v/>
      </c>
      <c r="AT1062" s="164" t="str">
        <f t="shared" si="344"/>
        <v/>
      </c>
      <c r="AU1062" s="152"/>
      <c r="AV1062" s="147" t="str">
        <f>'Deterministic Reserve'!BC1062</f>
        <v/>
      </c>
      <c r="AW1062" s="164" t="str">
        <f t="shared" si="345"/>
        <v/>
      </c>
      <c r="AX1062" s="164" t="str">
        <f t="shared" si="346"/>
        <v/>
      </c>
      <c r="AY1062" s="152"/>
    </row>
    <row r="1063" spans="1:51" s="150" customFormat="1" x14ac:dyDescent="0.25">
      <c r="A1063" s="150" t="str">
        <f t="shared" si="354"/>
        <v/>
      </c>
      <c r="B1063" s="150" t="str">
        <f t="shared" si="355"/>
        <v/>
      </c>
      <c r="C1063" s="150" t="str">
        <f t="shared" si="356"/>
        <v/>
      </c>
      <c r="D1063" s="150" t="str">
        <f>IF(E1063="","",Input!$C$4+B1063-1)</f>
        <v/>
      </c>
      <c r="E1063" s="150" t="str">
        <f>IF(OR(AND(C1062=12,D1062=Input!$C$6),E1062=""),"",1)</f>
        <v/>
      </c>
      <c r="F1063" s="150" t="str">
        <f>IF(E1063="","",Input!$C$8+B1063-1)</f>
        <v/>
      </c>
      <c r="G1063" s="151" t="str">
        <f>IF(E1063="","",MAX(0,Input!$C$9-B1063))</f>
        <v/>
      </c>
      <c r="H1063" s="152" t="str">
        <f>IF(E1063="","",Input!$C$3)</f>
        <v/>
      </c>
      <c r="I1063" s="153" t="str">
        <f>IF(E1063="","",HLOOKUP($B1063,Input!$C$13:$BT$14,2))</f>
        <v/>
      </c>
      <c r="J1063" s="154"/>
      <c r="K1063" s="155" t="str">
        <f>IF($E1063="","",Input!$C$57)</f>
        <v/>
      </c>
      <c r="L1063" s="155" t="str">
        <f t="shared" si="347"/>
        <v/>
      </c>
      <c r="M1063" s="147" t="str">
        <f>IF($E1063="","",VLOOKUP(IF($B1063&lt;=Input!$C$7,$B1063,26),'Mortality Tables'!$A$72:$CA$97,IF($B1063&lt;=Input!$C$7+1,Input!$C$4-16,$D1063-Input!$C$7-16),0)/1000)</f>
        <v/>
      </c>
      <c r="N1063" s="147" t="str">
        <f t="shared" si="336"/>
        <v/>
      </c>
      <c r="O1063" s="157" t="str">
        <f>IF($E1063="","",IF($C1063=12,IF($B1063&lt;Input!$C$9,Input!$C$54,IF($B1063=Input!$C$9,Input!$C$55,Input!$C$56)),0%))</f>
        <v/>
      </c>
      <c r="P1063" s="167" t="str">
        <f>IF($E1063="","",IF($B1063=1,Input!$C$59,IF($B1063&lt;6,Input!$C$60,0%)))</f>
        <v/>
      </c>
      <c r="Q1063" s="162" t="str">
        <f>IF($E1063="","",Input!$C$58)</f>
        <v/>
      </c>
      <c r="R1063" s="156" t="str">
        <f t="shared" si="348"/>
        <v/>
      </c>
      <c r="S1063" s="154" t="str">
        <f t="shared" si="337"/>
        <v/>
      </c>
      <c r="T1063" s="152"/>
      <c r="U1063" s="150" t="str">
        <f t="shared" si="349"/>
        <v/>
      </c>
      <c r="V1063" s="150" t="str">
        <f t="shared" si="350"/>
        <v/>
      </c>
      <c r="W1063" s="168" t="str">
        <f t="shared" si="351"/>
        <v/>
      </c>
      <c r="X1063" s="163" t="str">
        <f t="shared" si="338"/>
        <v/>
      </c>
      <c r="Y1063" s="152"/>
      <c r="Z1063" s="164" t="str">
        <f>IF(AND($C1062=12,$D1062=Input!$C$6),0,IF($E1063="","",V1063+Z1064/(1+L1063)*R1063))</f>
        <v/>
      </c>
      <c r="AA1063" s="164" t="str">
        <f>IF(OR($M1063=1,AND($C1062=12,$D1062=Input!$C$6)),0,IF($E1063="","",W1063+(X1063+AA1064*$R1063)/(1+$L1063)))</f>
        <v/>
      </c>
      <c r="AB1063" s="160" t="str">
        <f t="shared" si="339"/>
        <v/>
      </c>
      <c r="AC1063" s="164" t="str">
        <f t="shared" si="340"/>
        <v/>
      </c>
      <c r="AD1063" s="164" t="str">
        <f>IF(AND($C1062=12,$D1062=Input!$C$6),0,IF($E1063="","",$AC1063+AD1064/(1+$L1063)*$R1063))</f>
        <v/>
      </c>
      <c r="AE1063" s="152"/>
      <c r="AF1063" s="164" t="str">
        <f>IF(AND($C1062=12,$D1062=Input!$C$6),0,IF($E1063="","",IF($B1063&gt;Input!$C$9,$AC1063,0)+AF1064/(1+$L1063)*$R1063))</f>
        <v/>
      </c>
      <c r="AG1063" s="164" t="str">
        <f>IF(AND($C1062=12,$D1062=Input!$C$6),0,IF($E1063="","",(IF($B1063&gt;Input!$C$9,$X1063,0)+AG1064)/(1+$L1063)*$R1063))</f>
        <v/>
      </c>
      <c r="AH1063" s="160" t="str">
        <f t="shared" si="341"/>
        <v/>
      </c>
      <c r="AI1063" s="160" t="str">
        <f>IF($E1063="","",MIN(Input!$C$61/AH1063,1))</f>
        <v/>
      </c>
      <c r="AJ1063" s="152"/>
      <c r="AK1063" s="164" t="str">
        <f>IF(AND($C1062=12,$D1062=Input!$C$6),0,IF($E1063="","",IF($B1063&gt;Input!$C$9,$AC1063*AI1063,0)+AK1064/(1+$L1063)*$R1063))</f>
        <v/>
      </c>
      <c r="AL1063" s="164" t="str">
        <f>IF(AND($C1062=12,$D1062=Input!$C$6),0,IF($E1063="","",IF($B1063&gt;Input!$C$9,0,$AC1063)+AL1064/(1+$L1063)*$R1063))</f>
        <v/>
      </c>
      <c r="AM1063" s="160" t="str">
        <f t="shared" si="342"/>
        <v/>
      </c>
      <c r="AN1063" s="164" t="str">
        <f>IF($E1063="","",IF($B1063&gt;Input!$C$9,$AI1063*$AC1063,$AM1063*$AC1063))</f>
        <v/>
      </c>
      <c r="AO1063" s="164" t="str">
        <f>IF(AND($C1062=12,$D1062=Input!$C$6),0,IF($E1063="","",$AN1063+AO1064/(1+$L1063)*$R1063))</f>
        <v/>
      </c>
      <c r="AP1063" s="152"/>
      <c r="AQ1063" s="164" t="str">
        <f t="shared" si="343"/>
        <v/>
      </c>
      <c r="AR1063" s="164" t="str">
        <f t="shared" si="352"/>
        <v/>
      </c>
      <c r="AS1063" s="164" t="str">
        <f t="shared" si="353"/>
        <v/>
      </c>
      <c r="AT1063" s="164" t="str">
        <f t="shared" si="344"/>
        <v/>
      </c>
      <c r="AU1063" s="152"/>
      <c r="AV1063" s="147" t="str">
        <f>'Deterministic Reserve'!BC1063</f>
        <v/>
      </c>
      <c r="AW1063" s="164" t="str">
        <f t="shared" si="345"/>
        <v/>
      </c>
      <c r="AX1063" s="164" t="str">
        <f t="shared" si="346"/>
        <v/>
      </c>
      <c r="AY1063" s="152"/>
    </row>
    <row r="1064" spans="1:51" s="150" customFormat="1" x14ac:dyDescent="0.25">
      <c r="A1064" s="150" t="str">
        <f t="shared" si="354"/>
        <v/>
      </c>
      <c r="B1064" s="150" t="str">
        <f t="shared" si="355"/>
        <v/>
      </c>
      <c r="C1064" s="150" t="str">
        <f t="shared" si="356"/>
        <v/>
      </c>
      <c r="D1064" s="150" t="str">
        <f>IF(E1064="","",Input!$C$4+B1064-1)</f>
        <v/>
      </c>
      <c r="E1064" s="150" t="str">
        <f>IF(OR(AND(C1063=12,D1063=Input!$C$6),E1063=""),"",1)</f>
        <v/>
      </c>
      <c r="F1064" s="150" t="str">
        <f>IF(E1064="","",Input!$C$8+B1064-1)</f>
        <v/>
      </c>
      <c r="G1064" s="151" t="str">
        <f>IF(E1064="","",MAX(0,Input!$C$9-B1064))</f>
        <v/>
      </c>
      <c r="H1064" s="152" t="str">
        <f>IF(E1064="","",Input!$C$3)</f>
        <v/>
      </c>
      <c r="I1064" s="153" t="str">
        <f>IF(E1064="","",HLOOKUP($B1064,Input!$C$13:$BT$14,2))</f>
        <v/>
      </c>
      <c r="J1064" s="154"/>
      <c r="K1064" s="155" t="str">
        <f>IF($E1064="","",Input!$C$57)</f>
        <v/>
      </c>
      <c r="L1064" s="155" t="str">
        <f t="shared" si="347"/>
        <v/>
      </c>
      <c r="M1064" s="147" t="str">
        <f>IF($E1064="","",VLOOKUP(IF($B1064&lt;=Input!$C$7,$B1064,26),'Mortality Tables'!$A$72:$CA$97,IF($B1064&lt;=Input!$C$7+1,Input!$C$4-16,$D1064-Input!$C$7-16),0)/1000)</f>
        <v/>
      </c>
      <c r="N1064" s="147" t="str">
        <f t="shared" si="336"/>
        <v/>
      </c>
      <c r="O1064" s="157" t="str">
        <f>IF($E1064="","",IF($C1064=12,IF($B1064&lt;Input!$C$9,Input!$C$54,IF($B1064=Input!$C$9,Input!$C$55,Input!$C$56)),0%))</f>
        <v/>
      </c>
      <c r="P1064" s="167" t="str">
        <f>IF($E1064="","",IF($B1064=1,Input!$C$59,IF($B1064&lt;6,Input!$C$60,0%)))</f>
        <v/>
      </c>
      <c r="Q1064" s="162" t="str">
        <f>IF($E1064="","",Input!$C$58)</f>
        <v/>
      </c>
      <c r="R1064" s="156" t="str">
        <f t="shared" si="348"/>
        <v/>
      </c>
      <c r="S1064" s="154" t="str">
        <f t="shared" si="337"/>
        <v/>
      </c>
      <c r="T1064" s="152"/>
      <c r="U1064" s="150" t="str">
        <f t="shared" si="349"/>
        <v/>
      </c>
      <c r="V1064" s="150" t="str">
        <f t="shared" si="350"/>
        <v/>
      </c>
      <c r="W1064" s="168" t="str">
        <f t="shared" si="351"/>
        <v/>
      </c>
      <c r="X1064" s="163" t="str">
        <f t="shared" si="338"/>
        <v/>
      </c>
      <c r="Y1064" s="152"/>
      <c r="Z1064" s="164" t="str">
        <f>IF(AND($C1063=12,$D1063=Input!$C$6),0,IF($E1064="","",V1064+Z1065/(1+L1064)*R1064))</f>
        <v/>
      </c>
      <c r="AA1064" s="164" t="str">
        <f>IF(OR($M1064=1,AND($C1063=12,$D1063=Input!$C$6)),0,IF($E1064="","",W1064+(X1064+AA1065*$R1064)/(1+$L1064)))</f>
        <v/>
      </c>
      <c r="AB1064" s="160" t="str">
        <f t="shared" si="339"/>
        <v/>
      </c>
      <c r="AC1064" s="164" t="str">
        <f t="shared" si="340"/>
        <v/>
      </c>
      <c r="AD1064" s="164" t="str">
        <f>IF(AND($C1063=12,$D1063=Input!$C$6),0,IF($E1064="","",$AC1064+AD1065/(1+$L1064)*$R1064))</f>
        <v/>
      </c>
      <c r="AE1064" s="152"/>
      <c r="AF1064" s="164" t="str">
        <f>IF(AND($C1063=12,$D1063=Input!$C$6),0,IF($E1064="","",IF($B1064&gt;Input!$C$9,$AC1064,0)+AF1065/(1+$L1064)*$R1064))</f>
        <v/>
      </c>
      <c r="AG1064" s="164" t="str">
        <f>IF(AND($C1063=12,$D1063=Input!$C$6),0,IF($E1064="","",(IF($B1064&gt;Input!$C$9,$X1064,0)+AG1065)/(1+$L1064)*$R1064))</f>
        <v/>
      </c>
      <c r="AH1064" s="160" t="str">
        <f t="shared" si="341"/>
        <v/>
      </c>
      <c r="AI1064" s="160" t="str">
        <f>IF($E1064="","",MIN(Input!$C$61/AH1064,1))</f>
        <v/>
      </c>
      <c r="AJ1064" s="152"/>
      <c r="AK1064" s="164" t="str">
        <f>IF(AND($C1063=12,$D1063=Input!$C$6),0,IF($E1064="","",IF($B1064&gt;Input!$C$9,$AC1064*AI1064,0)+AK1065/(1+$L1064)*$R1064))</f>
        <v/>
      </c>
      <c r="AL1064" s="164" t="str">
        <f>IF(AND($C1063=12,$D1063=Input!$C$6),0,IF($E1064="","",IF($B1064&gt;Input!$C$9,0,$AC1064)+AL1065/(1+$L1064)*$R1064))</f>
        <v/>
      </c>
      <c r="AM1064" s="160" t="str">
        <f t="shared" si="342"/>
        <v/>
      </c>
      <c r="AN1064" s="164" t="str">
        <f>IF($E1064="","",IF($B1064&gt;Input!$C$9,$AI1064*$AC1064,$AM1064*$AC1064))</f>
        <v/>
      </c>
      <c r="AO1064" s="164" t="str">
        <f>IF(AND($C1063=12,$D1063=Input!$C$6),0,IF($E1064="","",$AN1064+AO1065/(1+$L1064)*$R1064))</f>
        <v/>
      </c>
      <c r="AP1064" s="152"/>
      <c r="AQ1064" s="164" t="str">
        <f t="shared" si="343"/>
        <v/>
      </c>
      <c r="AR1064" s="164" t="str">
        <f t="shared" si="352"/>
        <v/>
      </c>
      <c r="AS1064" s="164" t="str">
        <f t="shared" si="353"/>
        <v/>
      </c>
      <c r="AT1064" s="164" t="str">
        <f t="shared" si="344"/>
        <v/>
      </c>
      <c r="AU1064" s="152"/>
      <c r="AV1064" s="147" t="str">
        <f>'Deterministic Reserve'!BC1064</f>
        <v/>
      </c>
      <c r="AW1064" s="164" t="str">
        <f t="shared" si="345"/>
        <v/>
      </c>
      <c r="AX1064" s="164" t="str">
        <f t="shared" si="346"/>
        <v/>
      </c>
      <c r="AY1064" s="152"/>
    </row>
    <row r="1065" spans="1:51" s="150" customFormat="1" x14ac:dyDescent="0.25">
      <c r="A1065" s="150" t="str">
        <f t="shared" si="354"/>
        <v/>
      </c>
      <c r="B1065" s="150" t="str">
        <f t="shared" si="355"/>
        <v/>
      </c>
      <c r="C1065" s="150" t="str">
        <f t="shared" si="356"/>
        <v/>
      </c>
      <c r="D1065" s="150" t="str">
        <f>IF(E1065="","",Input!$C$4+B1065-1)</f>
        <v/>
      </c>
      <c r="E1065" s="150" t="str">
        <f>IF(OR(AND(C1064=12,D1064=Input!$C$6),E1064=""),"",1)</f>
        <v/>
      </c>
      <c r="F1065" s="150" t="str">
        <f>IF(E1065="","",Input!$C$8+B1065-1)</f>
        <v/>
      </c>
      <c r="G1065" s="151" t="str">
        <f>IF(E1065="","",MAX(0,Input!$C$9-B1065))</f>
        <v/>
      </c>
      <c r="H1065" s="152" t="str">
        <f>IF(E1065="","",Input!$C$3)</f>
        <v/>
      </c>
      <c r="I1065" s="153" t="str">
        <f>IF(E1065="","",HLOOKUP($B1065,Input!$C$13:$BT$14,2))</f>
        <v/>
      </c>
      <c r="J1065" s="154"/>
      <c r="K1065" s="155" t="str">
        <f>IF($E1065="","",Input!$C$57)</f>
        <v/>
      </c>
      <c r="L1065" s="155" t="str">
        <f t="shared" si="347"/>
        <v/>
      </c>
      <c r="M1065" s="147" t="str">
        <f>IF($E1065="","",VLOOKUP(IF($B1065&lt;=Input!$C$7,$B1065,26),'Mortality Tables'!$A$72:$CA$97,IF($B1065&lt;=Input!$C$7+1,Input!$C$4-16,$D1065-Input!$C$7-16),0)/1000)</f>
        <v/>
      </c>
      <c r="N1065" s="147" t="str">
        <f t="shared" si="336"/>
        <v/>
      </c>
      <c r="O1065" s="157" t="str">
        <f>IF($E1065="","",IF($C1065=12,IF($B1065&lt;Input!$C$9,Input!$C$54,IF($B1065=Input!$C$9,Input!$C$55,Input!$C$56)),0%))</f>
        <v/>
      </c>
      <c r="P1065" s="167" t="str">
        <f>IF($E1065="","",IF($B1065=1,Input!$C$59,IF($B1065&lt;6,Input!$C$60,0%)))</f>
        <v/>
      </c>
      <c r="Q1065" s="162" t="str">
        <f>IF($E1065="","",Input!$C$58)</f>
        <v/>
      </c>
      <c r="R1065" s="156" t="str">
        <f t="shared" si="348"/>
        <v/>
      </c>
      <c r="S1065" s="154" t="str">
        <f t="shared" si="337"/>
        <v/>
      </c>
      <c r="T1065" s="152"/>
      <c r="U1065" s="150" t="str">
        <f t="shared" si="349"/>
        <v/>
      </c>
      <c r="V1065" s="150" t="str">
        <f t="shared" si="350"/>
        <v/>
      </c>
      <c r="W1065" s="168" t="str">
        <f t="shared" si="351"/>
        <v/>
      </c>
      <c r="X1065" s="163" t="str">
        <f t="shared" si="338"/>
        <v/>
      </c>
      <c r="Y1065" s="152"/>
      <c r="Z1065" s="164" t="str">
        <f>IF(AND($C1064=12,$D1064=Input!$C$6),0,IF($E1065="","",V1065+Z1066/(1+L1065)*R1065))</f>
        <v/>
      </c>
      <c r="AA1065" s="164" t="str">
        <f>IF(OR($M1065=1,AND($C1064=12,$D1064=Input!$C$6)),0,IF($E1065="","",W1065+(X1065+AA1066*$R1065)/(1+$L1065)))</f>
        <v/>
      </c>
      <c r="AB1065" s="160" t="str">
        <f t="shared" si="339"/>
        <v/>
      </c>
      <c r="AC1065" s="164" t="str">
        <f t="shared" si="340"/>
        <v/>
      </c>
      <c r="AD1065" s="164" t="str">
        <f>IF(AND($C1064=12,$D1064=Input!$C$6),0,IF($E1065="","",$AC1065+AD1066/(1+$L1065)*$R1065))</f>
        <v/>
      </c>
      <c r="AE1065" s="152"/>
      <c r="AF1065" s="164" t="str">
        <f>IF(AND($C1064=12,$D1064=Input!$C$6),0,IF($E1065="","",IF($B1065&gt;Input!$C$9,$AC1065,0)+AF1066/(1+$L1065)*$R1065))</f>
        <v/>
      </c>
      <c r="AG1065" s="164" t="str">
        <f>IF(AND($C1064=12,$D1064=Input!$C$6),0,IF($E1065="","",(IF($B1065&gt;Input!$C$9,$X1065,0)+AG1066)/(1+$L1065)*$R1065))</f>
        <v/>
      </c>
      <c r="AH1065" s="160" t="str">
        <f t="shared" si="341"/>
        <v/>
      </c>
      <c r="AI1065" s="160" t="str">
        <f>IF($E1065="","",MIN(Input!$C$61/AH1065,1))</f>
        <v/>
      </c>
      <c r="AJ1065" s="152"/>
      <c r="AK1065" s="164" t="str">
        <f>IF(AND($C1064=12,$D1064=Input!$C$6),0,IF($E1065="","",IF($B1065&gt;Input!$C$9,$AC1065*AI1065,0)+AK1066/(1+$L1065)*$R1065))</f>
        <v/>
      </c>
      <c r="AL1065" s="164" t="str">
        <f>IF(AND($C1064=12,$D1064=Input!$C$6),0,IF($E1065="","",IF($B1065&gt;Input!$C$9,0,$AC1065)+AL1066/(1+$L1065)*$R1065))</f>
        <v/>
      </c>
      <c r="AM1065" s="160" t="str">
        <f t="shared" si="342"/>
        <v/>
      </c>
      <c r="AN1065" s="164" t="str">
        <f>IF($E1065="","",IF($B1065&gt;Input!$C$9,$AI1065*$AC1065,$AM1065*$AC1065))</f>
        <v/>
      </c>
      <c r="AO1065" s="164" t="str">
        <f>IF(AND($C1064=12,$D1064=Input!$C$6),0,IF($E1065="","",$AN1065+AO1066/(1+$L1065)*$R1065))</f>
        <v/>
      </c>
      <c r="AP1065" s="152"/>
      <c r="AQ1065" s="164" t="str">
        <f t="shared" si="343"/>
        <v/>
      </c>
      <c r="AR1065" s="164" t="str">
        <f t="shared" si="352"/>
        <v/>
      </c>
      <c r="AS1065" s="164" t="str">
        <f t="shared" si="353"/>
        <v/>
      </c>
      <c r="AT1065" s="164" t="str">
        <f t="shared" si="344"/>
        <v/>
      </c>
      <c r="AU1065" s="152"/>
      <c r="AV1065" s="147" t="str">
        <f>'Deterministic Reserve'!BC1065</f>
        <v/>
      </c>
      <c r="AW1065" s="164" t="str">
        <f t="shared" si="345"/>
        <v/>
      </c>
      <c r="AX1065" s="164" t="str">
        <f t="shared" si="346"/>
        <v/>
      </c>
      <c r="AY1065" s="152"/>
    </row>
    <row r="1066" spans="1:51" s="150" customFormat="1" x14ac:dyDescent="0.25">
      <c r="A1066" s="150" t="str">
        <f t="shared" si="354"/>
        <v/>
      </c>
      <c r="B1066" s="150" t="str">
        <f t="shared" si="355"/>
        <v/>
      </c>
      <c r="C1066" s="150" t="str">
        <f t="shared" si="356"/>
        <v/>
      </c>
      <c r="D1066" s="150" t="str">
        <f>IF(E1066="","",Input!$C$4+B1066-1)</f>
        <v/>
      </c>
      <c r="E1066" s="150" t="str">
        <f>IF(OR(AND(C1065=12,D1065=Input!$C$6),E1065=""),"",1)</f>
        <v/>
      </c>
      <c r="F1066" s="150" t="str">
        <f>IF(E1066="","",Input!$C$8+B1066-1)</f>
        <v/>
      </c>
      <c r="G1066" s="151" t="str">
        <f>IF(E1066="","",MAX(0,Input!$C$9-B1066))</f>
        <v/>
      </c>
      <c r="H1066" s="152" t="str">
        <f>IF(E1066="","",Input!$C$3)</f>
        <v/>
      </c>
      <c r="I1066" s="153" t="str">
        <f>IF(E1066="","",HLOOKUP($B1066,Input!$C$13:$BT$14,2))</f>
        <v/>
      </c>
      <c r="J1066" s="154"/>
      <c r="K1066" s="155" t="str">
        <f>IF($E1066="","",Input!$C$57)</f>
        <v/>
      </c>
      <c r="L1066" s="155" t="str">
        <f t="shared" si="347"/>
        <v/>
      </c>
      <c r="M1066" s="147" t="str">
        <f>IF($E1066="","",VLOOKUP(IF($B1066&lt;=Input!$C$7,$B1066,26),'Mortality Tables'!$A$72:$CA$97,IF($B1066&lt;=Input!$C$7+1,Input!$C$4-16,$D1066-Input!$C$7-16),0)/1000)</f>
        <v/>
      </c>
      <c r="N1066" s="147" t="str">
        <f t="shared" si="336"/>
        <v/>
      </c>
      <c r="O1066" s="157" t="str">
        <f>IF($E1066="","",IF($C1066=12,IF($B1066&lt;Input!$C$9,Input!$C$54,IF($B1066=Input!$C$9,Input!$C$55,Input!$C$56)),0%))</f>
        <v/>
      </c>
      <c r="P1066" s="167" t="str">
        <f>IF($E1066="","",IF($B1066=1,Input!$C$59,IF($B1066&lt;6,Input!$C$60,0%)))</f>
        <v/>
      </c>
      <c r="Q1066" s="162" t="str">
        <f>IF($E1066="","",Input!$C$58)</f>
        <v/>
      </c>
      <c r="R1066" s="156" t="str">
        <f t="shared" si="348"/>
        <v/>
      </c>
      <c r="S1066" s="154" t="str">
        <f t="shared" si="337"/>
        <v/>
      </c>
      <c r="T1066" s="152"/>
      <c r="U1066" s="150" t="str">
        <f t="shared" si="349"/>
        <v/>
      </c>
      <c r="V1066" s="150" t="str">
        <f t="shared" si="350"/>
        <v/>
      </c>
      <c r="W1066" s="168" t="str">
        <f t="shared" si="351"/>
        <v/>
      </c>
      <c r="X1066" s="163" t="str">
        <f t="shared" si="338"/>
        <v/>
      </c>
      <c r="Y1066" s="152"/>
      <c r="Z1066" s="164" t="str">
        <f>IF(AND($C1065=12,$D1065=Input!$C$6),0,IF($E1066="","",V1066+Z1067/(1+L1066)*R1066))</f>
        <v/>
      </c>
      <c r="AA1066" s="164" t="str">
        <f>IF(OR($M1066=1,AND($C1065=12,$D1065=Input!$C$6)),0,IF($E1066="","",W1066+(X1066+AA1067*$R1066)/(1+$L1066)))</f>
        <v/>
      </c>
      <c r="AB1066" s="160" t="str">
        <f t="shared" si="339"/>
        <v/>
      </c>
      <c r="AC1066" s="164" t="str">
        <f t="shared" si="340"/>
        <v/>
      </c>
      <c r="AD1066" s="164" t="str">
        <f>IF(AND($C1065=12,$D1065=Input!$C$6),0,IF($E1066="","",$AC1066+AD1067/(1+$L1066)*$R1066))</f>
        <v/>
      </c>
      <c r="AE1066" s="152"/>
      <c r="AF1066" s="164" t="str">
        <f>IF(AND($C1065=12,$D1065=Input!$C$6),0,IF($E1066="","",IF($B1066&gt;Input!$C$9,$AC1066,0)+AF1067/(1+$L1066)*$R1066))</f>
        <v/>
      </c>
      <c r="AG1066" s="164" t="str">
        <f>IF(AND($C1065=12,$D1065=Input!$C$6),0,IF($E1066="","",(IF($B1066&gt;Input!$C$9,$X1066,0)+AG1067)/(1+$L1066)*$R1066))</f>
        <v/>
      </c>
      <c r="AH1066" s="160" t="str">
        <f t="shared" si="341"/>
        <v/>
      </c>
      <c r="AI1066" s="160" t="str">
        <f>IF($E1066="","",MIN(Input!$C$61/AH1066,1))</f>
        <v/>
      </c>
      <c r="AJ1066" s="152"/>
      <c r="AK1066" s="164" t="str">
        <f>IF(AND($C1065=12,$D1065=Input!$C$6),0,IF($E1066="","",IF($B1066&gt;Input!$C$9,$AC1066*AI1066,0)+AK1067/(1+$L1066)*$R1066))</f>
        <v/>
      </c>
      <c r="AL1066" s="164" t="str">
        <f>IF(AND($C1065=12,$D1065=Input!$C$6),0,IF($E1066="","",IF($B1066&gt;Input!$C$9,0,$AC1066)+AL1067/(1+$L1066)*$R1066))</f>
        <v/>
      </c>
      <c r="AM1066" s="160" t="str">
        <f t="shared" si="342"/>
        <v/>
      </c>
      <c r="AN1066" s="164" t="str">
        <f>IF($E1066="","",IF($B1066&gt;Input!$C$9,$AI1066*$AC1066,$AM1066*$AC1066))</f>
        <v/>
      </c>
      <c r="AO1066" s="164" t="str">
        <f>IF(AND($C1065=12,$D1065=Input!$C$6),0,IF($E1066="","",$AN1066+AO1067/(1+$L1066)*$R1066))</f>
        <v/>
      </c>
      <c r="AP1066" s="152"/>
      <c r="AQ1066" s="164" t="str">
        <f t="shared" si="343"/>
        <v/>
      </c>
      <c r="AR1066" s="164" t="str">
        <f t="shared" si="352"/>
        <v/>
      </c>
      <c r="AS1066" s="164" t="str">
        <f t="shared" si="353"/>
        <v/>
      </c>
      <c r="AT1066" s="164" t="str">
        <f t="shared" si="344"/>
        <v/>
      </c>
      <c r="AU1066" s="152"/>
      <c r="AV1066" s="147" t="str">
        <f>'Deterministic Reserve'!BC1066</f>
        <v/>
      </c>
      <c r="AW1066" s="164" t="str">
        <f t="shared" si="345"/>
        <v/>
      </c>
      <c r="AX1066" s="164" t="str">
        <f t="shared" si="346"/>
        <v/>
      </c>
      <c r="AY1066" s="152"/>
    </row>
    <row r="1067" spans="1:51" s="150" customFormat="1" x14ac:dyDescent="0.25">
      <c r="A1067" s="150" t="str">
        <f t="shared" si="354"/>
        <v/>
      </c>
      <c r="B1067" s="150" t="str">
        <f t="shared" si="355"/>
        <v/>
      </c>
      <c r="C1067" s="150" t="str">
        <f t="shared" si="356"/>
        <v/>
      </c>
      <c r="D1067" s="150" t="str">
        <f>IF(E1067="","",Input!$C$4+B1067-1)</f>
        <v/>
      </c>
      <c r="E1067" s="150" t="str">
        <f>IF(OR(AND(C1066=12,D1066=Input!$C$6),E1066=""),"",1)</f>
        <v/>
      </c>
      <c r="F1067" s="150" t="str">
        <f>IF(E1067="","",Input!$C$8+B1067-1)</f>
        <v/>
      </c>
      <c r="G1067" s="151" t="str">
        <f>IF(E1067="","",MAX(0,Input!$C$9-B1067))</f>
        <v/>
      </c>
      <c r="H1067" s="152" t="str">
        <f>IF(E1067="","",Input!$C$3)</f>
        <v/>
      </c>
      <c r="I1067" s="153" t="str">
        <f>IF(E1067="","",HLOOKUP($B1067,Input!$C$13:$BT$14,2))</f>
        <v/>
      </c>
      <c r="J1067" s="154"/>
      <c r="K1067" s="155" t="str">
        <f>IF($E1067="","",Input!$C$57)</f>
        <v/>
      </c>
      <c r="L1067" s="155" t="str">
        <f t="shared" si="347"/>
        <v/>
      </c>
      <c r="M1067" s="147" t="str">
        <f>IF($E1067="","",VLOOKUP(IF($B1067&lt;=Input!$C$7,$B1067,26),'Mortality Tables'!$A$72:$CA$97,IF($B1067&lt;=Input!$C$7+1,Input!$C$4-16,$D1067-Input!$C$7-16),0)/1000)</f>
        <v/>
      </c>
      <c r="N1067" s="147" t="str">
        <f t="shared" si="336"/>
        <v/>
      </c>
      <c r="O1067" s="157" t="str">
        <f>IF($E1067="","",IF($C1067=12,IF($B1067&lt;Input!$C$9,Input!$C$54,IF($B1067=Input!$C$9,Input!$C$55,Input!$C$56)),0%))</f>
        <v/>
      </c>
      <c r="P1067" s="167" t="str">
        <f>IF($E1067="","",IF($B1067=1,Input!$C$59,IF($B1067&lt;6,Input!$C$60,0%)))</f>
        <v/>
      </c>
      <c r="Q1067" s="162" t="str">
        <f>IF($E1067="","",Input!$C$58)</f>
        <v/>
      </c>
      <c r="R1067" s="156" t="str">
        <f t="shared" si="348"/>
        <v/>
      </c>
      <c r="S1067" s="154" t="str">
        <f t="shared" si="337"/>
        <v/>
      </c>
      <c r="T1067" s="152"/>
      <c r="U1067" s="150" t="str">
        <f t="shared" si="349"/>
        <v/>
      </c>
      <c r="V1067" s="150" t="str">
        <f t="shared" si="350"/>
        <v/>
      </c>
      <c r="W1067" s="168" t="str">
        <f t="shared" si="351"/>
        <v/>
      </c>
      <c r="X1067" s="163" t="str">
        <f t="shared" si="338"/>
        <v/>
      </c>
      <c r="Y1067" s="152"/>
      <c r="Z1067" s="164" t="str">
        <f>IF(AND($C1066=12,$D1066=Input!$C$6),0,IF($E1067="","",V1067+Z1068/(1+L1067)*R1067))</f>
        <v/>
      </c>
      <c r="AA1067" s="164" t="str">
        <f>IF(OR($M1067=1,AND($C1066=12,$D1066=Input!$C$6)),0,IF($E1067="","",W1067+(X1067+AA1068*$R1067)/(1+$L1067)))</f>
        <v/>
      </c>
      <c r="AB1067" s="160" t="str">
        <f t="shared" si="339"/>
        <v/>
      </c>
      <c r="AC1067" s="164" t="str">
        <f t="shared" si="340"/>
        <v/>
      </c>
      <c r="AD1067" s="164" t="str">
        <f>IF(AND($C1066=12,$D1066=Input!$C$6),0,IF($E1067="","",$AC1067+AD1068/(1+$L1067)*$R1067))</f>
        <v/>
      </c>
      <c r="AE1067" s="152"/>
      <c r="AF1067" s="164" t="str">
        <f>IF(AND($C1066=12,$D1066=Input!$C$6),0,IF($E1067="","",IF($B1067&gt;Input!$C$9,$AC1067,0)+AF1068/(1+$L1067)*$R1067))</f>
        <v/>
      </c>
      <c r="AG1067" s="164" t="str">
        <f>IF(AND($C1066=12,$D1066=Input!$C$6),0,IF($E1067="","",(IF($B1067&gt;Input!$C$9,$X1067,0)+AG1068)/(1+$L1067)*$R1067))</f>
        <v/>
      </c>
      <c r="AH1067" s="160" t="str">
        <f t="shared" si="341"/>
        <v/>
      </c>
      <c r="AI1067" s="160" t="str">
        <f>IF($E1067="","",MIN(Input!$C$61/AH1067,1))</f>
        <v/>
      </c>
      <c r="AJ1067" s="152"/>
      <c r="AK1067" s="164" t="str">
        <f>IF(AND($C1066=12,$D1066=Input!$C$6),0,IF($E1067="","",IF($B1067&gt;Input!$C$9,$AC1067*AI1067,0)+AK1068/(1+$L1067)*$R1067))</f>
        <v/>
      </c>
      <c r="AL1067" s="164" t="str">
        <f>IF(AND($C1066=12,$D1066=Input!$C$6),0,IF($E1067="","",IF($B1067&gt;Input!$C$9,0,$AC1067)+AL1068/(1+$L1067)*$R1067))</f>
        <v/>
      </c>
      <c r="AM1067" s="160" t="str">
        <f t="shared" si="342"/>
        <v/>
      </c>
      <c r="AN1067" s="164" t="str">
        <f>IF($E1067="","",IF($B1067&gt;Input!$C$9,$AI1067*$AC1067,$AM1067*$AC1067))</f>
        <v/>
      </c>
      <c r="AO1067" s="164" t="str">
        <f>IF(AND($C1066=12,$D1066=Input!$C$6),0,IF($E1067="","",$AN1067+AO1068/(1+$L1067)*$R1067))</f>
        <v/>
      </c>
      <c r="AP1067" s="152"/>
      <c r="AQ1067" s="164" t="str">
        <f t="shared" si="343"/>
        <v/>
      </c>
      <c r="AR1067" s="164" t="str">
        <f t="shared" si="352"/>
        <v/>
      </c>
      <c r="AS1067" s="164" t="str">
        <f t="shared" si="353"/>
        <v/>
      </c>
      <c r="AT1067" s="164" t="str">
        <f t="shared" si="344"/>
        <v/>
      </c>
      <c r="AU1067" s="152"/>
      <c r="AV1067" s="147" t="str">
        <f>'Deterministic Reserve'!BC1067</f>
        <v/>
      </c>
      <c r="AW1067" s="164" t="str">
        <f t="shared" si="345"/>
        <v/>
      </c>
      <c r="AX1067" s="164" t="str">
        <f t="shared" si="346"/>
        <v/>
      </c>
      <c r="AY1067" s="152"/>
    </row>
    <row r="1068" spans="1:51" s="150" customFormat="1" x14ac:dyDescent="0.25">
      <c r="A1068" s="150" t="str">
        <f t="shared" si="354"/>
        <v/>
      </c>
      <c r="B1068" s="150" t="str">
        <f t="shared" si="355"/>
        <v/>
      </c>
      <c r="C1068" s="150" t="str">
        <f t="shared" si="356"/>
        <v/>
      </c>
      <c r="D1068" s="150" t="str">
        <f>IF(E1068="","",Input!$C$4+B1068-1)</f>
        <v/>
      </c>
      <c r="E1068" s="150" t="str">
        <f>IF(OR(AND(C1067=12,D1067=Input!$C$6),E1067=""),"",1)</f>
        <v/>
      </c>
      <c r="F1068" s="150" t="str">
        <f>IF(E1068="","",Input!$C$8+B1068-1)</f>
        <v/>
      </c>
      <c r="G1068" s="151" t="str">
        <f>IF(E1068="","",MAX(0,Input!$C$9-B1068))</f>
        <v/>
      </c>
      <c r="H1068" s="152" t="str">
        <f>IF(E1068="","",Input!$C$3)</f>
        <v/>
      </c>
      <c r="I1068" s="153" t="str">
        <f>IF(E1068="","",HLOOKUP($B1068,Input!$C$13:$BT$14,2))</f>
        <v/>
      </c>
      <c r="J1068" s="154"/>
      <c r="K1068" s="155" t="str">
        <f>IF($E1068="","",Input!$C$57)</f>
        <v/>
      </c>
      <c r="L1068" s="155" t="str">
        <f t="shared" si="347"/>
        <v/>
      </c>
      <c r="M1068" s="147" t="str">
        <f>IF($E1068="","",VLOOKUP(IF($B1068&lt;=Input!$C$7,$B1068,26),'Mortality Tables'!$A$72:$CA$97,IF($B1068&lt;=Input!$C$7+1,Input!$C$4-16,$D1068-Input!$C$7-16),0)/1000)</f>
        <v/>
      </c>
      <c r="N1068" s="147" t="str">
        <f t="shared" si="336"/>
        <v/>
      </c>
      <c r="O1068" s="157" t="str">
        <f>IF($E1068="","",IF($C1068=12,IF($B1068&lt;Input!$C$9,Input!$C$54,IF($B1068=Input!$C$9,Input!$C$55,Input!$C$56)),0%))</f>
        <v/>
      </c>
      <c r="P1068" s="167" t="str">
        <f>IF($E1068="","",IF($B1068=1,Input!$C$59,IF($B1068&lt;6,Input!$C$60,0%)))</f>
        <v/>
      </c>
      <c r="Q1068" s="162" t="str">
        <f>IF($E1068="","",Input!$C$58)</f>
        <v/>
      </c>
      <c r="R1068" s="156" t="str">
        <f t="shared" si="348"/>
        <v/>
      </c>
      <c r="S1068" s="154" t="str">
        <f t="shared" si="337"/>
        <v/>
      </c>
      <c r="T1068" s="152"/>
      <c r="U1068" s="150" t="str">
        <f t="shared" si="349"/>
        <v/>
      </c>
      <c r="V1068" s="150" t="str">
        <f t="shared" si="350"/>
        <v/>
      </c>
      <c r="W1068" s="168" t="str">
        <f t="shared" si="351"/>
        <v/>
      </c>
      <c r="X1068" s="163" t="str">
        <f t="shared" si="338"/>
        <v/>
      </c>
      <c r="Y1068" s="152"/>
      <c r="Z1068" s="164" t="str">
        <f>IF(AND($C1067=12,$D1067=Input!$C$6),0,IF($E1068="","",V1068+Z1069/(1+L1068)*R1068))</f>
        <v/>
      </c>
      <c r="AA1068" s="164" t="str">
        <f>IF(OR($M1068=1,AND($C1067=12,$D1067=Input!$C$6)),0,IF($E1068="","",W1068+(X1068+AA1069*$R1068)/(1+$L1068)))</f>
        <v/>
      </c>
      <c r="AB1068" s="160" t="str">
        <f t="shared" si="339"/>
        <v/>
      </c>
      <c r="AC1068" s="164" t="str">
        <f t="shared" si="340"/>
        <v/>
      </c>
      <c r="AD1068" s="164" t="str">
        <f>IF(AND($C1067=12,$D1067=Input!$C$6),0,IF($E1068="","",$AC1068+AD1069/(1+$L1068)*$R1068))</f>
        <v/>
      </c>
      <c r="AE1068" s="152"/>
      <c r="AF1068" s="164" t="str">
        <f>IF(AND($C1067=12,$D1067=Input!$C$6),0,IF($E1068="","",IF($B1068&gt;Input!$C$9,$AC1068,0)+AF1069/(1+$L1068)*$R1068))</f>
        <v/>
      </c>
      <c r="AG1068" s="164" t="str">
        <f>IF(AND($C1067=12,$D1067=Input!$C$6),0,IF($E1068="","",(IF($B1068&gt;Input!$C$9,$X1068,0)+AG1069)/(1+$L1068)*$R1068))</f>
        <v/>
      </c>
      <c r="AH1068" s="160" t="str">
        <f t="shared" si="341"/>
        <v/>
      </c>
      <c r="AI1068" s="160" t="str">
        <f>IF($E1068="","",MIN(Input!$C$61/AH1068,1))</f>
        <v/>
      </c>
      <c r="AJ1068" s="152"/>
      <c r="AK1068" s="164" t="str">
        <f>IF(AND($C1067=12,$D1067=Input!$C$6),0,IF($E1068="","",IF($B1068&gt;Input!$C$9,$AC1068*AI1068,0)+AK1069/(1+$L1068)*$R1068))</f>
        <v/>
      </c>
      <c r="AL1068" s="164" t="str">
        <f>IF(AND($C1067=12,$D1067=Input!$C$6),0,IF($E1068="","",IF($B1068&gt;Input!$C$9,0,$AC1068)+AL1069/(1+$L1068)*$R1068))</f>
        <v/>
      </c>
      <c r="AM1068" s="160" t="str">
        <f t="shared" si="342"/>
        <v/>
      </c>
      <c r="AN1068" s="164" t="str">
        <f>IF($E1068="","",IF($B1068&gt;Input!$C$9,$AI1068*$AC1068,$AM1068*$AC1068))</f>
        <v/>
      </c>
      <c r="AO1068" s="164" t="str">
        <f>IF(AND($C1067=12,$D1067=Input!$C$6),0,IF($E1068="","",$AN1068+AO1069/(1+$L1068)*$R1068))</f>
        <v/>
      </c>
      <c r="AP1068" s="152"/>
      <c r="AQ1068" s="164" t="str">
        <f t="shared" si="343"/>
        <v/>
      </c>
      <c r="AR1068" s="164" t="str">
        <f t="shared" si="352"/>
        <v/>
      </c>
      <c r="AS1068" s="164" t="str">
        <f t="shared" si="353"/>
        <v/>
      </c>
      <c r="AT1068" s="164" t="str">
        <f t="shared" si="344"/>
        <v/>
      </c>
      <c r="AU1068" s="152"/>
      <c r="AV1068" s="147" t="str">
        <f>'Deterministic Reserve'!BC1068</f>
        <v/>
      </c>
      <c r="AW1068" s="164" t="str">
        <f t="shared" si="345"/>
        <v/>
      </c>
      <c r="AX1068" s="164" t="str">
        <f t="shared" si="346"/>
        <v/>
      </c>
      <c r="AY1068" s="152"/>
    </row>
    <row r="1069" spans="1:51" s="150" customFormat="1" x14ac:dyDescent="0.25">
      <c r="A1069" s="150" t="str">
        <f t="shared" si="354"/>
        <v/>
      </c>
      <c r="B1069" s="150" t="str">
        <f t="shared" si="355"/>
        <v/>
      </c>
      <c r="C1069" s="150" t="str">
        <f t="shared" si="356"/>
        <v/>
      </c>
      <c r="D1069" s="150" t="str">
        <f>IF(E1069="","",Input!$C$4+B1069-1)</f>
        <v/>
      </c>
      <c r="E1069" s="150" t="str">
        <f>IF(OR(AND(C1068=12,D1068=Input!$C$6),E1068=""),"",1)</f>
        <v/>
      </c>
      <c r="F1069" s="150" t="str">
        <f>IF(E1069="","",Input!$C$8+B1069-1)</f>
        <v/>
      </c>
      <c r="G1069" s="151" t="str">
        <f>IF(E1069="","",MAX(0,Input!$C$9-B1069))</f>
        <v/>
      </c>
      <c r="H1069" s="152" t="str">
        <f>IF(E1069="","",Input!$C$3)</f>
        <v/>
      </c>
      <c r="I1069" s="153" t="str">
        <f>IF(E1069="","",HLOOKUP($B1069,Input!$C$13:$BT$14,2))</f>
        <v/>
      </c>
      <c r="J1069" s="154"/>
      <c r="K1069" s="155" t="str">
        <f>IF($E1069="","",Input!$C$57)</f>
        <v/>
      </c>
      <c r="L1069" s="155" t="str">
        <f t="shared" si="347"/>
        <v/>
      </c>
      <c r="M1069" s="147" t="str">
        <f>IF($E1069="","",VLOOKUP(IF($B1069&lt;=Input!$C$7,$B1069,26),'Mortality Tables'!$A$72:$CA$97,IF($B1069&lt;=Input!$C$7+1,Input!$C$4-16,$D1069-Input!$C$7-16),0)/1000)</f>
        <v/>
      </c>
      <c r="N1069" s="147" t="str">
        <f t="shared" si="336"/>
        <v/>
      </c>
      <c r="O1069" s="157" t="str">
        <f>IF($E1069="","",IF($C1069=12,IF($B1069&lt;Input!$C$9,Input!$C$54,IF($B1069=Input!$C$9,Input!$C$55,Input!$C$56)),0%))</f>
        <v/>
      </c>
      <c r="P1069" s="167" t="str">
        <f>IF($E1069="","",IF($B1069=1,Input!$C$59,IF($B1069&lt;6,Input!$C$60,0%)))</f>
        <v/>
      </c>
      <c r="Q1069" s="162" t="str">
        <f>IF($E1069="","",Input!$C$58)</f>
        <v/>
      </c>
      <c r="R1069" s="156" t="str">
        <f t="shared" si="348"/>
        <v/>
      </c>
      <c r="S1069" s="154" t="str">
        <f t="shared" si="337"/>
        <v/>
      </c>
      <c r="T1069" s="152"/>
      <c r="U1069" s="150" t="str">
        <f t="shared" si="349"/>
        <v/>
      </c>
      <c r="V1069" s="150" t="str">
        <f t="shared" si="350"/>
        <v/>
      </c>
      <c r="W1069" s="168" t="str">
        <f t="shared" si="351"/>
        <v/>
      </c>
      <c r="X1069" s="163" t="str">
        <f t="shared" si="338"/>
        <v/>
      </c>
      <c r="Y1069" s="152"/>
      <c r="Z1069" s="164" t="str">
        <f>IF(AND($C1068=12,$D1068=Input!$C$6),0,IF($E1069="","",V1069+Z1070/(1+L1069)*R1069))</f>
        <v/>
      </c>
      <c r="AA1069" s="164" t="str">
        <f>IF(OR($M1069=1,AND($C1068=12,$D1068=Input!$C$6)),0,IF($E1069="","",W1069+(X1069+AA1070*$R1069)/(1+$L1069)))</f>
        <v/>
      </c>
      <c r="AB1069" s="160" t="str">
        <f t="shared" si="339"/>
        <v/>
      </c>
      <c r="AC1069" s="164" t="str">
        <f t="shared" si="340"/>
        <v/>
      </c>
      <c r="AD1069" s="164" t="str">
        <f>IF(AND($C1068=12,$D1068=Input!$C$6),0,IF($E1069="","",$AC1069+AD1070/(1+$L1069)*$R1069))</f>
        <v/>
      </c>
      <c r="AE1069" s="152"/>
      <c r="AF1069" s="164" t="str">
        <f>IF(AND($C1068=12,$D1068=Input!$C$6),0,IF($E1069="","",IF($B1069&gt;Input!$C$9,$AC1069,0)+AF1070/(1+$L1069)*$R1069))</f>
        <v/>
      </c>
      <c r="AG1069" s="164" t="str">
        <f>IF(AND($C1068=12,$D1068=Input!$C$6),0,IF($E1069="","",(IF($B1069&gt;Input!$C$9,$X1069,0)+AG1070)/(1+$L1069)*$R1069))</f>
        <v/>
      </c>
      <c r="AH1069" s="160" t="str">
        <f t="shared" si="341"/>
        <v/>
      </c>
      <c r="AI1069" s="160" t="str">
        <f>IF($E1069="","",MIN(Input!$C$61/AH1069,1))</f>
        <v/>
      </c>
      <c r="AJ1069" s="152"/>
      <c r="AK1069" s="164" t="str">
        <f>IF(AND($C1068=12,$D1068=Input!$C$6),0,IF($E1069="","",IF($B1069&gt;Input!$C$9,$AC1069*AI1069,0)+AK1070/(1+$L1069)*$R1069))</f>
        <v/>
      </c>
      <c r="AL1069" s="164" t="str">
        <f>IF(AND($C1068=12,$D1068=Input!$C$6),0,IF($E1069="","",IF($B1069&gt;Input!$C$9,0,$AC1069)+AL1070/(1+$L1069)*$R1069))</f>
        <v/>
      </c>
      <c r="AM1069" s="160" t="str">
        <f t="shared" si="342"/>
        <v/>
      </c>
      <c r="AN1069" s="164" t="str">
        <f>IF($E1069="","",IF($B1069&gt;Input!$C$9,$AI1069*$AC1069,$AM1069*$AC1069))</f>
        <v/>
      </c>
      <c r="AO1069" s="164" t="str">
        <f>IF(AND($C1068=12,$D1068=Input!$C$6),0,IF($E1069="","",$AN1069+AO1070/(1+$L1069)*$R1069))</f>
        <v/>
      </c>
      <c r="AP1069" s="152"/>
      <c r="AQ1069" s="164" t="str">
        <f t="shared" si="343"/>
        <v/>
      </c>
      <c r="AR1069" s="164" t="str">
        <f t="shared" si="352"/>
        <v/>
      </c>
      <c r="AS1069" s="164" t="str">
        <f t="shared" si="353"/>
        <v/>
      </c>
      <c r="AT1069" s="164" t="str">
        <f t="shared" si="344"/>
        <v/>
      </c>
      <c r="AU1069" s="152"/>
      <c r="AV1069" s="147" t="str">
        <f>'Deterministic Reserve'!BC1069</f>
        <v/>
      </c>
      <c r="AW1069" s="164" t="str">
        <f t="shared" si="345"/>
        <v/>
      </c>
      <c r="AX1069" s="164" t="str">
        <f t="shared" si="346"/>
        <v/>
      </c>
      <c r="AY1069" s="152"/>
    </row>
    <row r="1070" spans="1:51" s="150" customFormat="1" x14ac:dyDescent="0.25">
      <c r="A1070" s="150" t="str">
        <f t="shared" si="354"/>
        <v/>
      </c>
      <c r="B1070" s="150" t="str">
        <f t="shared" si="355"/>
        <v/>
      </c>
      <c r="C1070" s="150" t="str">
        <f t="shared" si="356"/>
        <v/>
      </c>
      <c r="D1070" s="150" t="str">
        <f>IF(E1070="","",Input!$C$4+B1070-1)</f>
        <v/>
      </c>
      <c r="E1070" s="150" t="str">
        <f>IF(OR(AND(C1069=12,D1069=Input!$C$6),E1069=""),"",1)</f>
        <v/>
      </c>
      <c r="F1070" s="150" t="str">
        <f>IF(E1070="","",Input!$C$8+B1070-1)</f>
        <v/>
      </c>
      <c r="G1070" s="151" t="str">
        <f>IF(E1070="","",MAX(0,Input!$C$9-B1070))</f>
        <v/>
      </c>
      <c r="H1070" s="152" t="str">
        <f>IF(E1070="","",Input!$C$3)</f>
        <v/>
      </c>
      <c r="I1070" s="153" t="str">
        <f>IF(E1070="","",HLOOKUP($B1070,Input!$C$13:$BT$14,2))</f>
        <v/>
      </c>
      <c r="J1070" s="154"/>
      <c r="K1070" s="155" t="str">
        <f>IF($E1070="","",Input!$C$57)</f>
        <v/>
      </c>
      <c r="L1070" s="155" t="str">
        <f t="shared" si="347"/>
        <v/>
      </c>
      <c r="M1070" s="147" t="str">
        <f>IF($E1070="","",VLOOKUP(IF($B1070&lt;=Input!$C$7,$B1070,26),'Mortality Tables'!$A$72:$CA$97,IF($B1070&lt;=Input!$C$7+1,Input!$C$4-16,$D1070-Input!$C$7-16),0)/1000)</f>
        <v/>
      </c>
      <c r="N1070" s="147" t="str">
        <f t="shared" si="336"/>
        <v/>
      </c>
      <c r="O1070" s="157" t="str">
        <f>IF($E1070="","",IF($C1070=12,IF($B1070&lt;Input!$C$9,Input!$C$54,IF($B1070=Input!$C$9,Input!$C$55,Input!$C$56)),0%))</f>
        <v/>
      </c>
      <c r="P1070" s="167" t="str">
        <f>IF($E1070="","",IF($B1070=1,Input!$C$59,IF($B1070&lt;6,Input!$C$60,0%)))</f>
        <v/>
      </c>
      <c r="Q1070" s="162" t="str">
        <f>IF($E1070="","",Input!$C$58)</f>
        <v/>
      </c>
      <c r="R1070" s="156" t="str">
        <f t="shared" si="348"/>
        <v/>
      </c>
      <c r="S1070" s="154" t="str">
        <f t="shared" si="337"/>
        <v/>
      </c>
      <c r="T1070" s="152"/>
      <c r="U1070" s="150" t="str">
        <f t="shared" si="349"/>
        <v/>
      </c>
      <c r="V1070" s="150" t="str">
        <f t="shared" si="350"/>
        <v/>
      </c>
      <c r="W1070" s="168" t="str">
        <f t="shared" si="351"/>
        <v/>
      </c>
      <c r="X1070" s="163" t="str">
        <f t="shared" si="338"/>
        <v/>
      </c>
      <c r="Y1070" s="152"/>
      <c r="Z1070" s="164" t="str">
        <f>IF(AND($C1069=12,$D1069=Input!$C$6),0,IF($E1070="","",V1070+Z1071/(1+L1070)*R1070))</f>
        <v/>
      </c>
      <c r="AA1070" s="164" t="str">
        <f>IF(OR($M1070=1,AND($C1069=12,$D1069=Input!$C$6)),0,IF($E1070="","",W1070+(X1070+AA1071*$R1070)/(1+$L1070)))</f>
        <v/>
      </c>
      <c r="AB1070" s="160" t="str">
        <f t="shared" si="339"/>
        <v/>
      </c>
      <c r="AC1070" s="164" t="str">
        <f t="shared" si="340"/>
        <v/>
      </c>
      <c r="AD1070" s="164" t="str">
        <f>IF(AND($C1069=12,$D1069=Input!$C$6),0,IF($E1070="","",$AC1070+AD1071/(1+$L1070)*$R1070))</f>
        <v/>
      </c>
      <c r="AE1070" s="152"/>
      <c r="AF1070" s="164" t="str">
        <f>IF(AND($C1069=12,$D1069=Input!$C$6),0,IF($E1070="","",IF($B1070&gt;Input!$C$9,$AC1070,0)+AF1071/(1+$L1070)*$R1070))</f>
        <v/>
      </c>
      <c r="AG1070" s="164" t="str">
        <f>IF(AND($C1069=12,$D1069=Input!$C$6),0,IF($E1070="","",(IF($B1070&gt;Input!$C$9,$X1070,0)+AG1071)/(1+$L1070)*$R1070))</f>
        <v/>
      </c>
      <c r="AH1070" s="160" t="str">
        <f t="shared" si="341"/>
        <v/>
      </c>
      <c r="AI1070" s="160" t="str">
        <f>IF($E1070="","",MIN(Input!$C$61/AH1070,1))</f>
        <v/>
      </c>
      <c r="AJ1070" s="152"/>
      <c r="AK1070" s="164" t="str">
        <f>IF(AND($C1069=12,$D1069=Input!$C$6),0,IF($E1070="","",IF($B1070&gt;Input!$C$9,$AC1070*AI1070,0)+AK1071/(1+$L1070)*$R1070))</f>
        <v/>
      </c>
      <c r="AL1070" s="164" t="str">
        <f>IF(AND($C1069=12,$D1069=Input!$C$6),0,IF($E1070="","",IF($B1070&gt;Input!$C$9,0,$AC1070)+AL1071/(1+$L1070)*$R1070))</f>
        <v/>
      </c>
      <c r="AM1070" s="160" t="str">
        <f t="shared" si="342"/>
        <v/>
      </c>
      <c r="AN1070" s="164" t="str">
        <f>IF($E1070="","",IF($B1070&gt;Input!$C$9,$AI1070*$AC1070,$AM1070*$AC1070))</f>
        <v/>
      </c>
      <c r="AO1070" s="164" t="str">
        <f>IF(AND($C1069=12,$D1069=Input!$C$6),0,IF($E1070="","",$AN1070+AO1071/(1+$L1070)*$R1070))</f>
        <v/>
      </c>
      <c r="AP1070" s="152"/>
      <c r="AQ1070" s="164" t="str">
        <f t="shared" si="343"/>
        <v/>
      </c>
      <c r="AR1070" s="164" t="str">
        <f t="shared" si="352"/>
        <v/>
      </c>
      <c r="AS1070" s="164" t="str">
        <f t="shared" si="353"/>
        <v/>
      </c>
      <c r="AT1070" s="164" t="str">
        <f t="shared" si="344"/>
        <v/>
      </c>
      <c r="AU1070" s="152"/>
      <c r="AV1070" s="147" t="str">
        <f>'Deterministic Reserve'!BC1070</f>
        <v/>
      </c>
      <c r="AW1070" s="164" t="str">
        <f t="shared" si="345"/>
        <v/>
      </c>
      <c r="AX1070" s="164" t="str">
        <f t="shared" si="346"/>
        <v/>
      </c>
      <c r="AY1070" s="152"/>
    </row>
    <row r="1071" spans="1:51" s="150" customFormat="1" x14ac:dyDescent="0.25">
      <c r="A1071" s="150" t="str">
        <f t="shared" si="354"/>
        <v/>
      </c>
      <c r="B1071" s="150" t="str">
        <f t="shared" si="355"/>
        <v/>
      </c>
      <c r="C1071" s="150" t="str">
        <f t="shared" si="356"/>
        <v/>
      </c>
      <c r="D1071" s="150" t="str">
        <f>IF(E1071="","",Input!$C$4+B1071-1)</f>
        <v/>
      </c>
      <c r="E1071" s="150" t="str">
        <f>IF(OR(AND(C1070=12,D1070=Input!$C$6),E1070=""),"",1)</f>
        <v/>
      </c>
      <c r="F1071" s="150" t="str">
        <f>IF(E1071="","",Input!$C$8+B1071-1)</f>
        <v/>
      </c>
      <c r="G1071" s="151" t="str">
        <f>IF(E1071="","",MAX(0,Input!$C$9-B1071))</f>
        <v/>
      </c>
      <c r="H1071" s="152" t="str">
        <f>IF(E1071="","",Input!$C$3)</f>
        <v/>
      </c>
      <c r="I1071" s="153" t="str">
        <f>IF(E1071="","",HLOOKUP($B1071,Input!$C$13:$BT$14,2))</f>
        <v/>
      </c>
      <c r="J1071" s="154"/>
      <c r="K1071" s="155" t="str">
        <f>IF($E1071="","",Input!$C$57)</f>
        <v/>
      </c>
      <c r="L1071" s="155" t="str">
        <f t="shared" si="347"/>
        <v/>
      </c>
      <c r="M1071" s="147" t="str">
        <f>IF($E1071="","",VLOOKUP(IF($B1071&lt;=Input!$C$7,$B1071,26),'Mortality Tables'!$A$72:$CA$97,IF($B1071&lt;=Input!$C$7+1,Input!$C$4-16,$D1071-Input!$C$7-16),0)/1000)</f>
        <v/>
      </c>
      <c r="N1071" s="147" t="str">
        <f t="shared" si="336"/>
        <v/>
      </c>
      <c r="O1071" s="157" t="str">
        <f>IF($E1071="","",IF($C1071=12,IF($B1071&lt;Input!$C$9,Input!$C$54,IF($B1071=Input!$C$9,Input!$C$55,Input!$C$56)),0%))</f>
        <v/>
      </c>
      <c r="P1071" s="167" t="str">
        <f>IF($E1071="","",IF($B1071=1,Input!$C$59,IF($B1071&lt;6,Input!$C$60,0%)))</f>
        <v/>
      </c>
      <c r="Q1071" s="162" t="str">
        <f>IF($E1071="","",Input!$C$58)</f>
        <v/>
      </c>
      <c r="R1071" s="156" t="str">
        <f t="shared" si="348"/>
        <v/>
      </c>
      <c r="S1071" s="154" t="str">
        <f t="shared" si="337"/>
        <v/>
      </c>
      <c r="T1071" s="152"/>
      <c r="U1071" s="150" t="str">
        <f t="shared" si="349"/>
        <v/>
      </c>
      <c r="V1071" s="150" t="str">
        <f t="shared" si="350"/>
        <v/>
      </c>
      <c r="W1071" s="168" t="str">
        <f t="shared" si="351"/>
        <v/>
      </c>
      <c r="X1071" s="163" t="str">
        <f t="shared" si="338"/>
        <v/>
      </c>
      <c r="Y1071" s="152"/>
      <c r="Z1071" s="164" t="str">
        <f>IF(AND($C1070=12,$D1070=Input!$C$6),0,IF($E1071="","",V1071+Z1072/(1+L1071)*R1071))</f>
        <v/>
      </c>
      <c r="AA1071" s="164" t="str">
        <f>IF(OR($M1071=1,AND($C1070=12,$D1070=Input!$C$6)),0,IF($E1071="","",W1071+(X1071+AA1072*$R1071)/(1+$L1071)))</f>
        <v/>
      </c>
      <c r="AB1071" s="160" t="str">
        <f t="shared" si="339"/>
        <v/>
      </c>
      <c r="AC1071" s="164" t="str">
        <f t="shared" si="340"/>
        <v/>
      </c>
      <c r="AD1071" s="164" t="str">
        <f>IF(AND($C1070=12,$D1070=Input!$C$6),0,IF($E1071="","",$AC1071+AD1072/(1+$L1071)*$R1071))</f>
        <v/>
      </c>
      <c r="AE1071" s="152"/>
      <c r="AF1071" s="164" t="str">
        <f>IF(AND($C1070=12,$D1070=Input!$C$6),0,IF($E1071="","",IF($B1071&gt;Input!$C$9,$AC1071,0)+AF1072/(1+$L1071)*$R1071))</f>
        <v/>
      </c>
      <c r="AG1071" s="164" t="str">
        <f>IF(AND($C1070=12,$D1070=Input!$C$6),0,IF($E1071="","",(IF($B1071&gt;Input!$C$9,$X1071,0)+AG1072)/(1+$L1071)*$R1071))</f>
        <v/>
      </c>
      <c r="AH1071" s="160" t="str">
        <f t="shared" si="341"/>
        <v/>
      </c>
      <c r="AI1071" s="160" t="str">
        <f>IF($E1071="","",MIN(Input!$C$61/AH1071,1))</f>
        <v/>
      </c>
      <c r="AJ1071" s="152"/>
      <c r="AK1071" s="164" t="str">
        <f>IF(AND($C1070=12,$D1070=Input!$C$6),0,IF($E1071="","",IF($B1071&gt;Input!$C$9,$AC1071*AI1071,0)+AK1072/(1+$L1071)*$R1071))</f>
        <v/>
      </c>
      <c r="AL1071" s="164" t="str">
        <f>IF(AND($C1070=12,$D1070=Input!$C$6),0,IF($E1071="","",IF($B1071&gt;Input!$C$9,0,$AC1071)+AL1072/(1+$L1071)*$R1071))</f>
        <v/>
      </c>
      <c r="AM1071" s="160" t="str">
        <f t="shared" si="342"/>
        <v/>
      </c>
      <c r="AN1071" s="164" t="str">
        <f>IF($E1071="","",IF($B1071&gt;Input!$C$9,$AI1071*$AC1071,$AM1071*$AC1071))</f>
        <v/>
      </c>
      <c r="AO1071" s="164" t="str">
        <f>IF(AND($C1070=12,$D1070=Input!$C$6),0,IF($E1071="","",$AN1071+AO1072/(1+$L1071)*$R1071))</f>
        <v/>
      </c>
      <c r="AP1071" s="152"/>
      <c r="AQ1071" s="164" t="str">
        <f t="shared" si="343"/>
        <v/>
      </c>
      <c r="AR1071" s="164" t="str">
        <f t="shared" si="352"/>
        <v/>
      </c>
      <c r="AS1071" s="164" t="str">
        <f t="shared" si="353"/>
        <v/>
      </c>
      <c r="AT1071" s="164" t="str">
        <f t="shared" si="344"/>
        <v/>
      </c>
      <c r="AU1071" s="152"/>
      <c r="AV1071" s="147" t="str">
        <f>'Deterministic Reserve'!BC1071</f>
        <v/>
      </c>
      <c r="AW1071" s="164" t="str">
        <f t="shared" si="345"/>
        <v/>
      </c>
      <c r="AX1071" s="164" t="str">
        <f t="shared" si="346"/>
        <v/>
      </c>
      <c r="AY1071" s="152"/>
    </row>
    <row r="1072" spans="1:51" s="150" customFormat="1" x14ac:dyDescent="0.25">
      <c r="A1072" s="150" t="str">
        <f t="shared" si="354"/>
        <v/>
      </c>
      <c r="B1072" s="150" t="str">
        <f t="shared" si="355"/>
        <v/>
      </c>
      <c r="C1072" s="150" t="str">
        <f t="shared" si="356"/>
        <v/>
      </c>
      <c r="D1072" s="150" t="str">
        <f>IF(E1072="","",Input!$C$4+B1072-1)</f>
        <v/>
      </c>
      <c r="E1072" s="150" t="str">
        <f>IF(OR(AND(C1071=12,D1071=Input!$C$6),E1071=""),"",1)</f>
        <v/>
      </c>
      <c r="F1072" s="150" t="str">
        <f>IF(E1072="","",Input!$C$8+B1072-1)</f>
        <v/>
      </c>
      <c r="G1072" s="151" t="str">
        <f>IF(E1072="","",MAX(0,Input!$C$9-B1072))</f>
        <v/>
      </c>
      <c r="H1072" s="152" t="str">
        <f>IF(E1072="","",Input!$C$3)</f>
        <v/>
      </c>
      <c r="I1072" s="153" t="str">
        <f>IF(E1072="","",HLOOKUP($B1072,Input!$C$13:$BT$14,2))</f>
        <v/>
      </c>
      <c r="J1072" s="154"/>
      <c r="K1072" s="155" t="str">
        <f>IF($E1072="","",Input!$C$57)</f>
        <v/>
      </c>
      <c r="L1072" s="155" t="str">
        <f t="shared" si="347"/>
        <v/>
      </c>
      <c r="M1072" s="147" t="str">
        <f>IF($E1072="","",VLOOKUP(IF($B1072&lt;=Input!$C$7,$B1072,26),'Mortality Tables'!$A$72:$CA$97,IF($B1072&lt;=Input!$C$7+1,Input!$C$4-16,$D1072-Input!$C$7-16),0)/1000)</f>
        <v/>
      </c>
      <c r="N1072" s="147" t="str">
        <f t="shared" si="336"/>
        <v/>
      </c>
      <c r="O1072" s="157" t="str">
        <f>IF($E1072="","",IF($C1072=12,IF($B1072&lt;Input!$C$9,Input!$C$54,IF($B1072=Input!$C$9,Input!$C$55,Input!$C$56)),0%))</f>
        <v/>
      </c>
      <c r="P1072" s="167" t="str">
        <f>IF($E1072="","",IF($B1072=1,Input!$C$59,IF($B1072&lt;6,Input!$C$60,0%)))</f>
        <v/>
      </c>
      <c r="Q1072" s="162" t="str">
        <f>IF($E1072="","",Input!$C$58)</f>
        <v/>
      </c>
      <c r="R1072" s="156" t="str">
        <f t="shared" si="348"/>
        <v/>
      </c>
      <c r="S1072" s="154" t="str">
        <f t="shared" si="337"/>
        <v/>
      </c>
      <c r="T1072" s="152"/>
      <c r="U1072" s="150" t="str">
        <f t="shared" si="349"/>
        <v/>
      </c>
      <c r="V1072" s="150" t="str">
        <f t="shared" si="350"/>
        <v/>
      </c>
      <c r="W1072" s="168" t="str">
        <f t="shared" si="351"/>
        <v/>
      </c>
      <c r="X1072" s="163" t="str">
        <f t="shared" si="338"/>
        <v/>
      </c>
      <c r="Y1072" s="152"/>
      <c r="Z1072" s="164" t="str">
        <f>IF(AND($C1071=12,$D1071=Input!$C$6),0,IF($E1072="","",V1072+Z1073/(1+L1072)*R1072))</f>
        <v/>
      </c>
      <c r="AA1072" s="164" t="str">
        <f>IF(OR($M1072=1,AND($C1071=12,$D1071=Input!$C$6)),0,IF($E1072="","",W1072+(X1072+AA1073*$R1072)/(1+$L1072)))</f>
        <v/>
      </c>
      <c r="AB1072" s="160" t="str">
        <f t="shared" si="339"/>
        <v/>
      </c>
      <c r="AC1072" s="164" t="str">
        <f t="shared" si="340"/>
        <v/>
      </c>
      <c r="AD1072" s="164" t="str">
        <f>IF(AND($C1071=12,$D1071=Input!$C$6),0,IF($E1072="","",$AC1072+AD1073/(1+$L1072)*$R1072))</f>
        <v/>
      </c>
      <c r="AE1072" s="152"/>
      <c r="AF1072" s="164" t="str">
        <f>IF(AND($C1071=12,$D1071=Input!$C$6),0,IF($E1072="","",IF($B1072&gt;Input!$C$9,$AC1072,0)+AF1073/(1+$L1072)*$R1072))</f>
        <v/>
      </c>
      <c r="AG1072" s="164" t="str">
        <f>IF(AND($C1071=12,$D1071=Input!$C$6),0,IF($E1072="","",(IF($B1072&gt;Input!$C$9,$X1072,0)+AG1073)/(1+$L1072)*$R1072))</f>
        <v/>
      </c>
      <c r="AH1072" s="160" t="str">
        <f t="shared" si="341"/>
        <v/>
      </c>
      <c r="AI1072" s="160" t="str">
        <f>IF($E1072="","",MIN(Input!$C$61/AH1072,1))</f>
        <v/>
      </c>
      <c r="AJ1072" s="152"/>
      <c r="AK1072" s="164" t="str">
        <f>IF(AND($C1071=12,$D1071=Input!$C$6),0,IF($E1072="","",IF($B1072&gt;Input!$C$9,$AC1072*AI1072,0)+AK1073/(1+$L1072)*$R1072))</f>
        <v/>
      </c>
      <c r="AL1072" s="164" t="str">
        <f>IF(AND($C1071=12,$D1071=Input!$C$6),0,IF($E1072="","",IF($B1072&gt;Input!$C$9,0,$AC1072)+AL1073/(1+$L1072)*$R1072))</f>
        <v/>
      </c>
      <c r="AM1072" s="160" t="str">
        <f t="shared" si="342"/>
        <v/>
      </c>
      <c r="AN1072" s="164" t="str">
        <f>IF($E1072="","",IF($B1072&gt;Input!$C$9,$AI1072*$AC1072,$AM1072*$AC1072))</f>
        <v/>
      </c>
      <c r="AO1072" s="164" t="str">
        <f>IF(AND($C1071=12,$D1071=Input!$C$6),0,IF($E1072="","",$AN1072+AO1073/(1+$L1072)*$R1072))</f>
        <v/>
      </c>
      <c r="AP1072" s="152"/>
      <c r="AQ1072" s="164" t="str">
        <f t="shared" si="343"/>
        <v/>
      </c>
      <c r="AR1072" s="164" t="str">
        <f t="shared" si="352"/>
        <v/>
      </c>
      <c r="AS1072" s="164" t="str">
        <f t="shared" si="353"/>
        <v/>
      </c>
      <c r="AT1072" s="164" t="str">
        <f t="shared" si="344"/>
        <v/>
      </c>
      <c r="AU1072" s="152"/>
      <c r="AV1072" s="147" t="str">
        <f>'Deterministic Reserve'!BC1072</f>
        <v/>
      </c>
      <c r="AW1072" s="164" t="str">
        <f t="shared" si="345"/>
        <v/>
      </c>
      <c r="AX1072" s="164" t="str">
        <f t="shared" si="346"/>
        <v/>
      </c>
      <c r="AY1072" s="152"/>
    </row>
    <row r="1073" spans="1:51" s="150" customFormat="1" x14ac:dyDescent="0.25">
      <c r="A1073" s="150" t="str">
        <f t="shared" si="354"/>
        <v/>
      </c>
      <c r="B1073" s="150" t="str">
        <f t="shared" si="355"/>
        <v/>
      </c>
      <c r="C1073" s="150" t="str">
        <f t="shared" si="356"/>
        <v/>
      </c>
      <c r="D1073" s="150" t="str">
        <f>IF(E1073="","",Input!$C$4+B1073-1)</f>
        <v/>
      </c>
      <c r="E1073" s="150" t="str">
        <f>IF(OR(AND(C1072=12,D1072=Input!$C$6),E1072=""),"",1)</f>
        <v/>
      </c>
      <c r="F1073" s="150" t="str">
        <f>IF(E1073="","",Input!$C$8+B1073-1)</f>
        <v/>
      </c>
      <c r="G1073" s="151" t="str">
        <f>IF(E1073="","",MAX(0,Input!$C$9-B1073))</f>
        <v/>
      </c>
      <c r="H1073" s="152" t="str">
        <f>IF(E1073="","",Input!$C$3)</f>
        <v/>
      </c>
      <c r="I1073" s="153" t="str">
        <f>IF(E1073="","",HLOOKUP($B1073,Input!$C$13:$BT$14,2))</f>
        <v/>
      </c>
      <c r="J1073" s="154"/>
      <c r="K1073" s="155" t="str">
        <f>IF($E1073="","",Input!$C$57)</f>
        <v/>
      </c>
      <c r="L1073" s="155" t="str">
        <f t="shared" si="347"/>
        <v/>
      </c>
      <c r="M1073" s="147" t="str">
        <f>IF($E1073="","",VLOOKUP(IF($B1073&lt;=Input!$C$7,$B1073,26),'Mortality Tables'!$A$72:$CA$97,IF($B1073&lt;=Input!$C$7+1,Input!$C$4-16,$D1073-Input!$C$7-16),0)/1000)</f>
        <v/>
      </c>
      <c r="N1073" s="147" t="str">
        <f t="shared" si="336"/>
        <v/>
      </c>
      <c r="O1073" s="157" t="str">
        <f>IF($E1073="","",IF($C1073=12,IF($B1073&lt;Input!$C$9,Input!$C$54,IF($B1073=Input!$C$9,Input!$C$55,Input!$C$56)),0%))</f>
        <v/>
      </c>
      <c r="P1073" s="167" t="str">
        <f>IF($E1073="","",IF($B1073=1,Input!$C$59,IF($B1073&lt;6,Input!$C$60,0%)))</f>
        <v/>
      </c>
      <c r="Q1073" s="162" t="str">
        <f>IF($E1073="","",Input!$C$58)</f>
        <v/>
      </c>
      <c r="R1073" s="156" t="str">
        <f t="shared" si="348"/>
        <v/>
      </c>
      <c r="S1073" s="154" t="str">
        <f t="shared" si="337"/>
        <v/>
      </c>
      <c r="T1073" s="152"/>
      <c r="U1073" s="150" t="str">
        <f t="shared" si="349"/>
        <v/>
      </c>
      <c r="V1073" s="150" t="str">
        <f t="shared" si="350"/>
        <v/>
      </c>
      <c r="W1073" s="168" t="str">
        <f t="shared" si="351"/>
        <v/>
      </c>
      <c r="X1073" s="163" t="str">
        <f t="shared" si="338"/>
        <v/>
      </c>
      <c r="Y1073" s="152"/>
      <c r="Z1073" s="164" t="str">
        <f>IF(AND($C1072=12,$D1072=Input!$C$6),0,IF($E1073="","",V1073+Z1074/(1+L1073)*R1073))</f>
        <v/>
      </c>
      <c r="AA1073" s="164" t="str">
        <f>IF(OR($M1073=1,AND($C1072=12,$D1072=Input!$C$6)),0,IF($E1073="","",W1073+(X1073+AA1074*$R1073)/(1+$L1073)))</f>
        <v/>
      </c>
      <c r="AB1073" s="160" t="str">
        <f t="shared" si="339"/>
        <v/>
      </c>
      <c r="AC1073" s="164" t="str">
        <f t="shared" si="340"/>
        <v/>
      </c>
      <c r="AD1073" s="164" t="str">
        <f>IF(AND($C1072=12,$D1072=Input!$C$6),0,IF($E1073="","",$AC1073+AD1074/(1+$L1073)*$R1073))</f>
        <v/>
      </c>
      <c r="AE1073" s="152"/>
      <c r="AF1073" s="164" t="str">
        <f>IF(AND($C1072=12,$D1072=Input!$C$6),0,IF($E1073="","",IF($B1073&gt;Input!$C$9,$AC1073,0)+AF1074/(1+$L1073)*$R1073))</f>
        <v/>
      </c>
      <c r="AG1073" s="164" t="str">
        <f>IF(AND($C1072=12,$D1072=Input!$C$6),0,IF($E1073="","",(IF($B1073&gt;Input!$C$9,$X1073,0)+AG1074)/(1+$L1073)*$R1073))</f>
        <v/>
      </c>
      <c r="AH1073" s="160" t="str">
        <f t="shared" si="341"/>
        <v/>
      </c>
      <c r="AI1073" s="160" t="str">
        <f>IF($E1073="","",MIN(Input!$C$61/AH1073,1))</f>
        <v/>
      </c>
      <c r="AJ1073" s="152"/>
      <c r="AK1073" s="164" t="str">
        <f>IF(AND($C1072=12,$D1072=Input!$C$6),0,IF($E1073="","",IF($B1073&gt;Input!$C$9,$AC1073*AI1073,0)+AK1074/(1+$L1073)*$R1073))</f>
        <v/>
      </c>
      <c r="AL1073" s="164" t="str">
        <f>IF(AND($C1072=12,$D1072=Input!$C$6),0,IF($E1073="","",IF($B1073&gt;Input!$C$9,0,$AC1073)+AL1074/(1+$L1073)*$R1073))</f>
        <v/>
      </c>
      <c r="AM1073" s="160" t="str">
        <f t="shared" si="342"/>
        <v/>
      </c>
      <c r="AN1073" s="164" t="str">
        <f>IF($E1073="","",IF($B1073&gt;Input!$C$9,$AI1073*$AC1073,$AM1073*$AC1073))</f>
        <v/>
      </c>
      <c r="AO1073" s="164" t="str">
        <f>IF(AND($C1072=12,$D1072=Input!$C$6),0,IF($E1073="","",$AN1073+AO1074/(1+$L1073)*$R1073))</f>
        <v/>
      </c>
      <c r="AP1073" s="152"/>
      <c r="AQ1073" s="164" t="str">
        <f t="shared" si="343"/>
        <v/>
      </c>
      <c r="AR1073" s="164" t="str">
        <f t="shared" si="352"/>
        <v/>
      </c>
      <c r="AS1073" s="164" t="str">
        <f t="shared" si="353"/>
        <v/>
      </c>
      <c r="AT1073" s="164" t="str">
        <f t="shared" si="344"/>
        <v/>
      </c>
      <c r="AU1073" s="152"/>
      <c r="AV1073" s="147" t="str">
        <f>'Deterministic Reserve'!BC1073</f>
        <v/>
      </c>
      <c r="AW1073" s="164" t="str">
        <f t="shared" si="345"/>
        <v/>
      </c>
      <c r="AX1073" s="164" t="str">
        <f t="shared" si="346"/>
        <v/>
      </c>
      <c r="AY1073" s="152"/>
    </row>
    <row r="1074" spans="1:51" s="150" customFormat="1" x14ac:dyDescent="0.25">
      <c r="A1074" s="150" t="str">
        <f t="shared" si="354"/>
        <v/>
      </c>
      <c r="B1074" s="150" t="str">
        <f t="shared" si="355"/>
        <v/>
      </c>
      <c r="C1074" s="150" t="str">
        <f t="shared" si="356"/>
        <v/>
      </c>
      <c r="D1074" s="150" t="str">
        <f>IF(E1074="","",Input!$C$4+B1074-1)</f>
        <v/>
      </c>
      <c r="E1074" s="150" t="str">
        <f>IF(OR(AND(C1073=12,D1073=Input!$C$6),E1073=""),"",1)</f>
        <v/>
      </c>
      <c r="F1074" s="150" t="str">
        <f>IF(E1074="","",Input!$C$8+B1074-1)</f>
        <v/>
      </c>
      <c r="G1074" s="151" t="str">
        <f>IF(E1074="","",MAX(0,Input!$C$9-B1074))</f>
        <v/>
      </c>
      <c r="H1074" s="152" t="str">
        <f>IF(E1074="","",Input!$C$3)</f>
        <v/>
      </c>
      <c r="I1074" s="153" t="str">
        <f>IF(E1074="","",HLOOKUP($B1074,Input!$C$13:$BT$14,2))</f>
        <v/>
      </c>
      <c r="J1074" s="154"/>
      <c r="K1074" s="155" t="str">
        <f>IF($E1074="","",Input!$C$57)</f>
        <v/>
      </c>
      <c r="L1074" s="155" t="str">
        <f t="shared" si="347"/>
        <v/>
      </c>
      <c r="M1074" s="147" t="str">
        <f>IF($E1074="","",VLOOKUP(IF($B1074&lt;=Input!$C$7,$B1074,26),'Mortality Tables'!$A$72:$CA$97,IF($B1074&lt;=Input!$C$7+1,Input!$C$4-16,$D1074-Input!$C$7-16),0)/1000)</f>
        <v/>
      </c>
      <c r="N1074" s="147" t="str">
        <f t="shared" si="336"/>
        <v/>
      </c>
      <c r="O1074" s="157" t="str">
        <f>IF($E1074="","",IF($C1074=12,IF($B1074&lt;Input!$C$9,Input!$C$54,IF($B1074=Input!$C$9,Input!$C$55,Input!$C$56)),0%))</f>
        <v/>
      </c>
      <c r="P1074" s="167" t="str">
        <f>IF($E1074="","",IF($B1074=1,Input!$C$59,IF($B1074&lt;6,Input!$C$60,0%)))</f>
        <v/>
      </c>
      <c r="Q1074" s="162" t="str">
        <f>IF($E1074="","",Input!$C$58)</f>
        <v/>
      </c>
      <c r="R1074" s="156" t="str">
        <f t="shared" si="348"/>
        <v/>
      </c>
      <c r="S1074" s="154" t="str">
        <f t="shared" si="337"/>
        <v/>
      </c>
      <c r="T1074" s="152"/>
      <c r="U1074" s="150" t="str">
        <f t="shared" si="349"/>
        <v/>
      </c>
      <c r="V1074" s="150" t="str">
        <f t="shared" si="350"/>
        <v/>
      </c>
      <c r="W1074" s="168" t="str">
        <f t="shared" si="351"/>
        <v/>
      </c>
      <c r="X1074" s="163" t="str">
        <f t="shared" si="338"/>
        <v/>
      </c>
      <c r="Y1074" s="152"/>
      <c r="Z1074" s="164" t="str">
        <f>IF(AND($C1073=12,$D1073=Input!$C$6),0,IF($E1074="","",V1074+Z1075/(1+L1074)*R1074))</f>
        <v/>
      </c>
      <c r="AA1074" s="164" t="str">
        <f>IF(OR($M1074=1,AND($C1073=12,$D1073=Input!$C$6)),0,IF($E1074="","",W1074+(X1074+AA1075*$R1074)/(1+$L1074)))</f>
        <v/>
      </c>
      <c r="AB1074" s="160" t="str">
        <f t="shared" si="339"/>
        <v/>
      </c>
      <c r="AC1074" s="164" t="str">
        <f t="shared" si="340"/>
        <v/>
      </c>
      <c r="AD1074" s="164" t="str">
        <f>IF(AND($C1073=12,$D1073=Input!$C$6),0,IF($E1074="","",$AC1074+AD1075/(1+$L1074)*$R1074))</f>
        <v/>
      </c>
      <c r="AE1074" s="152"/>
      <c r="AF1074" s="164" t="str">
        <f>IF(AND($C1073=12,$D1073=Input!$C$6),0,IF($E1074="","",IF($B1074&gt;Input!$C$9,$AC1074,0)+AF1075/(1+$L1074)*$R1074))</f>
        <v/>
      </c>
      <c r="AG1074" s="164" t="str">
        <f>IF(AND($C1073=12,$D1073=Input!$C$6),0,IF($E1074="","",(IF($B1074&gt;Input!$C$9,$X1074,0)+AG1075)/(1+$L1074)*$R1074))</f>
        <v/>
      </c>
      <c r="AH1074" s="160" t="str">
        <f t="shared" si="341"/>
        <v/>
      </c>
      <c r="AI1074" s="160" t="str">
        <f>IF($E1074="","",MIN(Input!$C$61/AH1074,1))</f>
        <v/>
      </c>
      <c r="AJ1074" s="152"/>
      <c r="AK1074" s="164" t="str">
        <f>IF(AND($C1073=12,$D1073=Input!$C$6),0,IF($E1074="","",IF($B1074&gt;Input!$C$9,$AC1074*AI1074,0)+AK1075/(1+$L1074)*$R1074))</f>
        <v/>
      </c>
      <c r="AL1074" s="164" t="str">
        <f>IF(AND($C1073=12,$D1073=Input!$C$6),0,IF($E1074="","",IF($B1074&gt;Input!$C$9,0,$AC1074)+AL1075/(1+$L1074)*$R1074))</f>
        <v/>
      </c>
      <c r="AM1074" s="160" t="str">
        <f t="shared" si="342"/>
        <v/>
      </c>
      <c r="AN1074" s="164" t="str">
        <f>IF($E1074="","",IF($B1074&gt;Input!$C$9,$AI1074*$AC1074,$AM1074*$AC1074))</f>
        <v/>
      </c>
      <c r="AO1074" s="164" t="str">
        <f>IF(AND($C1073=12,$D1073=Input!$C$6),0,IF($E1074="","",$AN1074+AO1075/(1+$L1074)*$R1074))</f>
        <v/>
      </c>
      <c r="AP1074" s="152"/>
      <c r="AQ1074" s="164" t="str">
        <f t="shared" si="343"/>
        <v/>
      </c>
      <c r="AR1074" s="164" t="str">
        <f t="shared" si="352"/>
        <v/>
      </c>
      <c r="AS1074" s="164" t="str">
        <f t="shared" si="353"/>
        <v/>
      </c>
      <c r="AT1074" s="164" t="str">
        <f t="shared" si="344"/>
        <v/>
      </c>
      <c r="AU1074" s="152"/>
      <c r="AV1074" s="147" t="str">
        <f>'Deterministic Reserve'!BC1074</f>
        <v/>
      </c>
      <c r="AW1074" s="164" t="str">
        <f t="shared" si="345"/>
        <v/>
      </c>
      <c r="AX1074" s="164" t="str">
        <f t="shared" si="346"/>
        <v/>
      </c>
      <c r="AY1074" s="152"/>
    </row>
    <row r="1075" spans="1:51" s="150" customFormat="1" x14ac:dyDescent="0.25">
      <c r="A1075" s="150" t="str">
        <f t="shared" si="354"/>
        <v/>
      </c>
      <c r="B1075" s="150" t="str">
        <f t="shared" si="355"/>
        <v/>
      </c>
      <c r="C1075" s="150" t="str">
        <f t="shared" si="356"/>
        <v/>
      </c>
      <c r="D1075" s="150" t="str">
        <f>IF(E1075="","",Input!$C$4+B1075-1)</f>
        <v/>
      </c>
      <c r="E1075" s="150" t="str">
        <f>IF(OR(AND(C1074=12,D1074=Input!$C$6),E1074=""),"",1)</f>
        <v/>
      </c>
      <c r="F1075" s="150" t="str">
        <f>IF(E1075="","",Input!$C$8+B1075-1)</f>
        <v/>
      </c>
      <c r="G1075" s="151" t="str">
        <f>IF(E1075="","",MAX(0,Input!$C$9-B1075))</f>
        <v/>
      </c>
      <c r="H1075" s="152" t="str">
        <f>IF(E1075="","",Input!$C$3)</f>
        <v/>
      </c>
      <c r="I1075" s="153" t="str">
        <f>IF(E1075="","",HLOOKUP($B1075,Input!$C$13:$BT$14,2))</f>
        <v/>
      </c>
      <c r="J1075" s="154"/>
      <c r="K1075" s="155" t="str">
        <f>IF($E1075="","",Input!$C$57)</f>
        <v/>
      </c>
      <c r="L1075" s="155" t="str">
        <f t="shared" si="347"/>
        <v/>
      </c>
      <c r="M1075" s="147" t="str">
        <f>IF($E1075="","",VLOOKUP(IF($B1075&lt;=Input!$C$7,$B1075,26),'Mortality Tables'!$A$72:$CA$97,IF($B1075&lt;=Input!$C$7+1,Input!$C$4-16,$D1075-Input!$C$7-16),0)/1000)</f>
        <v/>
      </c>
      <c r="N1075" s="147" t="str">
        <f t="shared" si="336"/>
        <v/>
      </c>
      <c r="O1075" s="157" t="str">
        <f>IF($E1075="","",IF($C1075=12,IF($B1075&lt;Input!$C$9,Input!$C$54,IF($B1075=Input!$C$9,Input!$C$55,Input!$C$56)),0%))</f>
        <v/>
      </c>
      <c r="P1075" s="167" t="str">
        <f>IF($E1075="","",IF($B1075=1,Input!$C$59,IF($B1075&lt;6,Input!$C$60,0%)))</f>
        <v/>
      </c>
      <c r="Q1075" s="162" t="str">
        <f>IF($E1075="","",Input!$C$58)</f>
        <v/>
      </c>
      <c r="R1075" s="156" t="str">
        <f t="shared" si="348"/>
        <v/>
      </c>
      <c r="S1075" s="154" t="str">
        <f t="shared" si="337"/>
        <v/>
      </c>
      <c r="T1075" s="152"/>
      <c r="U1075" s="150" t="str">
        <f t="shared" si="349"/>
        <v/>
      </c>
      <c r="V1075" s="150" t="str">
        <f t="shared" si="350"/>
        <v/>
      </c>
      <c r="W1075" s="168" t="str">
        <f t="shared" si="351"/>
        <v/>
      </c>
      <c r="X1075" s="163" t="str">
        <f t="shared" si="338"/>
        <v/>
      </c>
      <c r="Y1075" s="152"/>
      <c r="Z1075" s="164" t="str">
        <f>IF(AND($C1074=12,$D1074=Input!$C$6),0,IF($E1075="","",V1075+Z1076/(1+L1075)*R1075))</f>
        <v/>
      </c>
      <c r="AA1075" s="164" t="str">
        <f>IF(OR($M1075=1,AND($C1074=12,$D1074=Input!$C$6)),0,IF($E1075="","",W1075+(X1075+AA1076*$R1075)/(1+$L1075)))</f>
        <v/>
      </c>
      <c r="AB1075" s="160" t="str">
        <f t="shared" si="339"/>
        <v/>
      </c>
      <c r="AC1075" s="164" t="str">
        <f t="shared" si="340"/>
        <v/>
      </c>
      <c r="AD1075" s="164" t="str">
        <f>IF(AND($C1074=12,$D1074=Input!$C$6),0,IF($E1075="","",$AC1075+AD1076/(1+$L1075)*$R1075))</f>
        <v/>
      </c>
      <c r="AE1075" s="152"/>
      <c r="AF1075" s="164" t="str">
        <f>IF(AND($C1074=12,$D1074=Input!$C$6),0,IF($E1075="","",IF($B1075&gt;Input!$C$9,$AC1075,0)+AF1076/(1+$L1075)*$R1075))</f>
        <v/>
      </c>
      <c r="AG1075" s="164" t="str">
        <f>IF(AND($C1074=12,$D1074=Input!$C$6),0,IF($E1075="","",(IF($B1075&gt;Input!$C$9,$X1075,0)+AG1076)/(1+$L1075)*$R1075))</f>
        <v/>
      </c>
      <c r="AH1075" s="160" t="str">
        <f t="shared" si="341"/>
        <v/>
      </c>
      <c r="AI1075" s="160" t="str">
        <f>IF($E1075="","",MIN(Input!$C$61/AH1075,1))</f>
        <v/>
      </c>
      <c r="AJ1075" s="152"/>
      <c r="AK1075" s="164" t="str">
        <f>IF(AND($C1074=12,$D1074=Input!$C$6),0,IF($E1075="","",IF($B1075&gt;Input!$C$9,$AC1075*AI1075,0)+AK1076/(1+$L1075)*$R1075))</f>
        <v/>
      </c>
      <c r="AL1075" s="164" t="str">
        <f>IF(AND($C1074=12,$D1074=Input!$C$6),0,IF($E1075="","",IF($B1075&gt;Input!$C$9,0,$AC1075)+AL1076/(1+$L1075)*$R1075))</f>
        <v/>
      </c>
      <c r="AM1075" s="160" t="str">
        <f t="shared" si="342"/>
        <v/>
      </c>
      <c r="AN1075" s="164" t="str">
        <f>IF($E1075="","",IF($B1075&gt;Input!$C$9,$AI1075*$AC1075,$AM1075*$AC1075))</f>
        <v/>
      </c>
      <c r="AO1075" s="164" t="str">
        <f>IF(AND($C1074=12,$D1074=Input!$C$6),0,IF($E1075="","",$AN1075+AO1076/(1+$L1075)*$R1075))</f>
        <v/>
      </c>
      <c r="AP1075" s="152"/>
      <c r="AQ1075" s="164" t="str">
        <f t="shared" si="343"/>
        <v/>
      </c>
      <c r="AR1075" s="164" t="str">
        <f t="shared" si="352"/>
        <v/>
      </c>
      <c r="AS1075" s="164" t="str">
        <f t="shared" si="353"/>
        <v/>
      </c>
      <c r="AT1075" s="164" t="str">
        <f t="shared" si="344"/>
        <v/>
      </c>
      <c r="AU1075" s="152"/>
      <c r="AV1075" s="147" t="str">
        <f>'Deterministic Reserve'!BC1075</f>
        <v/>
      </c>
      <c r="AW1075" s="164" t="str">
        <f t="shared" si="345"/>
        <v/>
      </c>
      <c r="AX1075" s="164" t="str">
        <f t="shared" si="346"/>
        <v/>
      </c>
      <c r="AY1075" s="152"/>
    </row>
    <row r="1076" spans="1:51" s="150" customFormat="1" x14ac:dyDescent="0.25">
      <c r="A1076" s="150" t="str">
        <f t="shared" si="354"/>
        <v/>
      </c>
      <c r="B1076" s="150" t="str">
        <f t="shared" si="355"/>
        <v/>
      </c>
      <c r="C1076" s="150" t="str">
        <f t="shared" si="356"/>
        <v/>
      </c>
      <c r="D1076" s="150" t="str">
        <f>IF(E1076="","",Input!$C$4+B1076-1)</f>
        <v/>
      </c>
      <c r="E1076" s="150" t="str">
        <f>IF(OR(AND(C1075=12,D1075=Input!$C$6),E1075=""),"",1)</f>
        <v/>
      </c>
      <c r="F1076" s="150" t="str">
        <f>IF(E1076="","",Input!$C$8+B1076-1)</f>
        <v/>
      </c>
      <c r="G1076" s="151" t="str">
        <f>IF(E1076="","",MAX(0,Input!$C$9-B1076))</f>
        <v/>
      </c>
      <c r="H1076" s="152" t="str">
        <f>IF(E1076="","",Input!$C$3)</f>
        <v/>
      </c>
      <c r="I1076" s="153" t="str">
        <f>IF(E1076="","",HLOOKUP($B1076,Input!$C$13:$BT$14,2))</f>
        <v/>
      </c>
      <c r="J1076" s="154"/>
      <c r="K1076" s="155" t="str">
        <f>IF($E1076="","",Input!$C$57)</f>
        <v/>
      </c>
      <c r="L1076" s="155" t="str">
        <f t="shared" si="347"/>
        <v/>
      </c>
      <c r="M1076" s="147" t="str">
        <f>IF($E1076="","",VLOOKUP(IF($B1076&lt;=Input!$C$7,$B1076,26),'Mortality Tables'!$A$72:$CA$97,IF($B1076&lt;=Input!$C$7+1,Input!$C$4-16,$D1076-Input!$C$7-16),0)/1000)</f>
        <v/>
      </c>
      <c r="N1076" s="147" t="str">
        <f t="shared" si="336"/>
        <v/>
      </c>
      <c r="O1076" s="157" t="str">
        <f>IF($E1076="","",IF($C1076=12,IF($B1076&lt;Input!$C$9,Input!$C$54,IF($B1076=Input!$C$9,Input!$C$55,Input!$C$56)),0%))</f>
        <v/>
      </c>
      <c r="P1076" s="167" t="str">
        <f>IF($E1076="","",IF($B1076=1,Input!$C$59,IF($B1076&lt;6,Input!$C$60,0%)))</f>
        <v/>
      </c>
      <c r="Q1076" s="162" t="str">
        <f>IF($E1076="","",Input!$C$58)</f>
        <v/>
      </c>
      <c r="R1076" s="156" t="str">
        <f t="shared" si="348"/>
        <v/>
      </c>
      <c r="S1076" s="154" t="str">
        <f t="shared" si="337"/>
        <v/>
      </c>
      <c r="T1076" s="152"/>
      <c r="U1076" s="150" t="str">
        <f t="shared" si="349"/>
        <v/>
      </c>
      <c r="V1076" s="150" t="str">
        <f t="shared" si="350"/>
        <v/>
      </c>
      <c r="W1076" s="168" t="str">
        <f t="shared" si="351"/>
        <v/>
      </c>
      <c r="X1076" s="163" t="str">
        <f t="shared" si="338"/>
        <v/>
      </c>
      <c r="Y1076" s="152"/>
      <c r="Z1076" s="164" t="str">
        <f>IF(AND($C1075=12,$D1075=Input!$C$6),0,IF($E1076="","",V1076+Z1077/(1+L1076)*R1076))</f>
        <v/>
      </c>
      <c r="AA1076" s="164" t="str">
        <f>IF(OR($M1076=1,AND($C1075=12,$D1075=Input!$C$6)),0,IF($E1076="","",W1076+(X1076+AA1077*$R1076)/(1+$L1076)))</f>
        <v/>
      </c>
      <c r="AB1076" s="160" t="str">
        <f t="shared" si="339"/>
        <v/>
      </c>
      <c r="AC1076" s="164" t="str">
        <f t="shared" si="340"/>
        <v/>
      </c>
      <c r="AD1076" s="164" t="str">
        <f>IF(AND($C1075=12,$D1075=Input!$C$6),0,IF($E1076="","",$AC1076+AD1077/(1+$L1076)*$R1076))</f>
        <v/>
      </c>
      <c r="AE1076" s="152"/>
      <c r="AF1076" s="164" t="str">
        <f>IF(AND($C1075=12,$D1075=Input!$C$6),0,IF($E1076="","",IF($B1076&gt;Input!$C$9,$AC1076,0)+AF1077/(1+$L1076)*$R1076))</f>
        <v/>
      </c>
      <c r="AG1076" s="164" t="str">
        <f>IF(AND($C1075=12,$D1075=Input!$C$6),0,IF($E1076="","",(IF($B1076&gt;Input!$C$9,$X1076,0)+AG1077)/(1+$L1076)*$R1076))</f>
        <v/>
      </c>
      <c r="AH1076" s="160" t="str">
        <f t="shared" si="341"/>
        <v/>
      </c>
      <c r="AI1076" s="160" t="str">
        <f>IF($E1076="","",MIN(Input!$C$61/AH1076,1))</f>
        <v/>
      </c>
      <c r="AJ1076" s="152"/>
      <c r="AK1076" s="164" t="str">
        <f>IF(AND($C1075=12,$D1075=Input!$C$6),0,IF($E1076="","",IF($B1076&gt;Input!$C$9,$AC1076*AI1076,0)+AK1077/(1+$L1076)*$R1076))</f>
        <v/>
      </c>
      <c r="AL1076" s="164" t="str">
        <f>IF(AND($C1075=12,$D1075=Input!$C$6),0,IF($E1076="","",IF($B1076&gt;Input!$C$9,0,$AC1076)+AL1077/(1+$L1076)*$R1076))</f>
        <v/>
      </c>
      <c r="AM1076" s="160" t="str">
        <f t="shared" si="342"/>
        <v/>
      </c>
      <c r="AN1076" s="164" t="str">
        <f>IF($E1076="","",IF($B1076&gt;Input!$C$9,$AI1076*$AC1076,$AM1076*$AC1076))</f>
        <v/>
      </c>
      <c r="AO1076" s="164" t="str">
        <f>IF(AND($C1075=12,$D1075=Input!$C$6),0,IF($E1076="","",$AN1076+AO1077/(1+$L1076)*$R1076))</f>
        <v/>
      </c>
      <c r="AP1076" s="152"/>
      <c r="AQ1076" s="164" t="str">
        <f t="shared" si="343"/>
        <v/>
      </c>
      <c r="AR1076" s="164" t="str">
        <f t="shared" si="352"/>
        <v/>
      </c>
      <c r="AS1076" s="164" t="str">
        <f t="shared" si="353"/>
        <v/>
      </c>
      <c r="AT1076" s="164" t="str">
        <f t="shared" si="344"/>
        <v/>
      </c>
      <c r="AU1076" s="152"/>
      <c r="AV1076" s="147" t="str">
        <f>'Deterministic Reserve'!BC1076</f>
        <v/>
      </c>
      <c r="AW1076" s="164" t="str">
        <f t="shared" si="345"/>
        <v/>
      </c>
      <c r="AX1076" s="164" t="str">
        <f t="shared" si="346"/>
        <v/>
      </c>
      <c r="AY1076" s="152"/>
    </row>
    <row r="1077" spans="1:51" s="150" customFormat="1" x14ac:dyDescent="0.25">
      <c r="A1077" s="150" t="str">
        <f t="shared" si="354"/>
        <v/>
      </c>
      <c r="B1077" s="150" t="str">
        <f t="shared" si="355"/>
        <v/>
      </c>
      <c r="C1077" s="150" t="str">
        <f t="shared" si="356"/>
        <v/>
      </c>
      <c r="D1077" s="150" t="str">
        <f>IF(E1077="","",Input!$C$4+B1077-1)</f>
        <v/>
      </c>
      <c r="E1077" s="150" t="str">
        <f>IF(OR(AND(C1076=12,D1076=Input!$C$6),E1076=""),"",1)</f>
        <v/>
      </c>
      <c r="F1077" s="150" t="str">
        <f>IF(E1077="","",Input!$C$8+B1077-1)</f>
        <v/>
      </c>
      <c r="G1077" s="151" t="str">
        <f>IF(E1077="","",MAX(0,Input!$C$9-B1077))</f>
        <v/>
      </c>
      <c r="H1077" s="152" t="str">
        <f>IF(E1077="","",Input!$C$3)</f>
        <v/>
      </c>
      <c r="I1077" s="153" t="str">
        <f>IF(E1077="","",HLOOKUP($B1077,Input!$C$13:$BT$14,2))</f>
        <v/>
      </c>
      <c r="J1077" s="154"/>
      <c r="K1077" s="155" t="str">
        <f>IF($E1077="","",Input!$C$57)</f>
        <v/>
      </c>
      <c r="L1077" s="155" t="str">
        <f t="shared" si="347"/>
        <v/>
      </c>
      <c r="M1077" s="147" t="str">
        <f>IF($E1077="","",VLOOKUP(IF($B1077&lt;=Input!$C$7,$B1077,26),'Mortality Tables'!$A$72:$CA$97,IF($B1077&lt;=Input!$C$7+1,Input!$C$4-16,$D1077-Input!$C$7-16),0)/1000)</f>
        <v/>
      </c>
      <c r="N1077" s="147" t="str">
        <f t="shared" si="336"/>
        <v/>
      </c>
      <c r="O1077" s="157" t="str">
        <f>IF($E1077="","",IF($C1077=12,IF($B1077&lt;Input!$C$9,Input!$C$54,IF($B1077=Input!$C$9,Input!$C$55,Input!$C$56)),0%))</f>
        <v/>
      </c>
      <c r="P1077" s="167" t="str">
        <f>IF($E1077="","",IF($B1077=1,Input!$C$59,IF($B1077&lt;6,Input!$C$60,0%)))</f>
        <v/>
      </c>
      <c r="Q1077" s="162" t="str">
        <f>IF($E1077="","",Input!$C$58)</f>
        <v/>
      </c>
      <c r="R1077" s="156" t="str">
        <f t="shared" si="348"/>
        <v/>
      </c>
      <c r="S1077" s="154" t="str">
        <f t="shared" si="337"/>
        <v/>
      </c>
      <c r="T1077" s="152"/>
      <c r="U1077" s="150" t="str">
        <f t="shared" si="349"/>
        <v/>
      </c>
      <c r="V1077" s="150" t="str">
        <f t="shared" si="350"/>
        <v/>
      </c>
      <c r="W1077" s="168" t="str">
        <f t="shared" si="351"/>
        <v/>
      </c>
      <c r="X1077" s="163" t="str">
        <f t="shared" si="338"/>
        <v/>
      </c>
      <c r="Y1077" s="152"/>
      <c r="Z1077" s="164" t="str">
        <f>IF(AND($C1076=12,$D1076=Input!$C$6),0,IF($E1077="","",V1077+Z1078/(1+L1077)*R1077))</f>
        <v/>
      </c>
      <c r="AA1077" s="164" t="str">
        <f>IF(OR($M1077=1,AND($C1076=12,$D1076=Input!$C$6)),0,IF($E1077="","",W1077+(X1077+AA1078*$R1077)/(1+$L1077)))</f>
        <v/>
      </c>
      <c r="AB1077" s="160" t="str">
        <f t="shared" si="339"/>
        <v/>
      </c>
      <c r="AC1077" s="164" t="str">
        <f t="shared" si="340"/>
        <v/>
      </c>
      <c r="AD1077" s="164" t="str">
        <f>IF(AND($C1076=12,$D1076=Input!$C$6),0,IF($E1077="","",$AC1077+AD1078/(1+$L1077)*$R1077))</f>
        <v/>
      </c>
      <c r="AE1077" s="152"/>
      <c r="AF1077" s="164" t="str">
        <f>IF(AND($C1076=12,$D1076=Input!$C$6),0,IF($E1077="","",IF($B1077&gt;Input!$C$9,$AC1077,0)+AF1078/(1+$L1077)*$R1077))</f>
        <v/>
      </c>
      <c r="AG1077" s="164" t="str">
        <f>IF(AND($C1076=12,$D1076=Input!$C$6),0,IF($E1077="","",(IF($B1077&gt;Input!$C$9,$X1077,0)+AG1078)/(1+$L1077)*$R1077))</f>
        <v/>
      </c>
      <c r="AH1077" s="160" t="str">
        <f t="shared" si="341"/>
        <v/>
      </c>
      <c r="AI1077" s="160" t="str">
        <f>IF($E1077="","",MIN(Input!$C$61/AH1077,1))</f>
        <v/>
      </c>
      <c r="AJ1077" s="152"/>
      <c r="AK1077" s="164" t="str">
        <f>IF(AND($C1076=12,$D1076=Input!$C$6),0,IF($E1077="","",IF($B1077&gt;Input!$C$9,$AC1077*AI1077,0)+AK1078/(1+$L1077)*$R1077))</f>
        <v/>
      </c>
      <c r="AL1077" s="164" t="str">
        <f>IF(AND($C1076=12,$D1076=Input!$C$6),0,IF($E1077="","",IF($B1077&gt;Input!$C$9,0,$AC1077)+AL1078/(1+$L1077)*$R1077))</f>
        <v/>
      </c>
      <c r="AM1077" s="160" t="str">
        <f t="shared" si="342"/>
        <v/>
      </c>
      <c r="AN1077" s="164" t="str">
        <f>IF($E1077="","",IF($B1077&gt;Input!$C$9,$AI1077*$AC1077,$AM1077*$AC1077))</f>
        <v/>
      </c>
      <c r="AO1077" s="164" t="str">
        <f>IF(AND($C1076=12,$D1076=Input!$C$6),0,IF($E1077="","",$AN1077+AO1078/(1+$L1077)*$R1077))</f>
        <v/>
      </c>
      <c r="AP1077" s="152"/>
      <c r="AQ1077" s="164" t="str">
        <f t="shared" si="343"/>
        <v/>
      </c>
      <c r="AR1077" s="164" t="str">
        <f t="shared" si="352"/>
        <v/>
      </c>
      <c r="AS1077" s="164" t="str">
        <f t="shared" si="353"/>
        <v/>
      </c>
      <c r="AT1077" s="164" t="str">
        <f t="shared" si="344"/>
        <v/>
      </c>
      <c r="AU1077" s="152"/>
      <c r="AV1077" s="147" t="str">
        <f>'Deterministic Reserve'!BC1077</f>
        <v/>
      </c>
      <c r="AW1077" s="164" t="str">
        <f t="shared" si="345"/>
        <v/>
      </c>
      <c r="AX1077" s="164" t="str">
        <f t="shared" si="346"/>
        <v/>
      </c>
      <c r="AY1077" s="152"/>
    </row>
    <row r="1078" spans="1:51" s="150" customFormat="1" x14ac:dyDescent="0.25">
      <c r="A1078" s="150" t="str">
        <f t="shared" si="354"/>
        <v/>
      </c>
      <c r="B1078" s="150" t="str">
        <f t="shared" si="355"/>
        <v/>
      </c>
      <c r="C1078" s="150" t="str">
        <f t="shared" si="356"/>
        <v/>
      </c>
      <c r="D1078" s="150" t="str">
        <f>IF(E1078="","",Input!$C$4+B1078-1)</f>
        <v/>
      </c>
      <c r="E1078" s="150" t="str">
        <f>IF(OR(AND(C1077=12,D1077=Input!$C$6),E1077=""),"",1)</f>
        <v/>
      </c>
      <c r="F1078" s="150" t="str">
        <f>IF(E1078="","",Input!$C$8+B1078-1)</f>
        <v/>
      </c>
      <c r="G1078" s="151" t="str">
        <f>IF(E1078="","",MAX(0,Input!$C$9-B1078))</f>
        <v/>
      </c>
      <c r="H1078" s="152" t="str">
        <f>IF(E1078="","",Input!$C$3)</f>
        <v/>
      </c>
      <c r="I1078" s="153" t="str">
        <f>IF(E1078="","",HLOOKUP($B1078,Input!$C$13:$BT$14,2))</f>
        <v/>
      </c>
      <c r="J1078" s="154"/>
      <c r="K1078" s="155" t="str">
        <f>IF($E1078="","",Input!$C$57)</f>
        <v/>
      </c>
      <c r="L1078" s="155" t="str">
        <f t="shared" si="347"/>
        <v/>
      </c>
      <c r="M1078" s="147" t="str">
        <f>IF($E1078="","",VLOOKUP(IF($B1078&lt;=Input!$C$7,$B1078,26),'Mortality Tables'!$A$72:$CA$97,IF($B1078&lt;=Input!$C$7+1,Input!$C$4-16,$D1078-Input!$C$7-16),0)/1000)</f>
        <v/>
      </c>
      <c r="N1078" s="147" t="str">
        <f t="shared" si="336"/>
        <v/>
      </c>
      <c r="O1078" s="157" t="str">
        <f>IF($E1078="","",IF($C1078=12,IF($B1078&lt;Input!$C$9,Input!$C$54,IF($B1078=Input!$C$9,Input!$C$55,Input!$C$56)),0%))</f>
        <v/>
      </c>
      <c r="P1078" s="167" t="str">
        <f>IF($E1078="","",IF($B1078=1,Input!$C$59,IF($B1078&lt;6,Input!$C$60,0%)))</f>
        <v/>
      </c>
      <c r="Q1078" s="162" t="str">
        <f>IF($E1078="","",Input!$C$58)</f>
        <v/>
      </c>
      <c r="R1078" s="156" t="str">
        <f t="shared" si="348"/>
        <v/>
      </c>
      <c r="S1078" s="154" t="str">
        <f t="shared" si="337"/>
        <v/>
      </c>
      <c r="T1078" s="152"/>
      <c r="U1078" s="150" t="str">
        <f t="shared" si="349"/>
        <v/>
      </c>
      <c r="V1078" s="150" t="str">
        <f t="shared" si="350"/>
        <v/>
      </c>
      <c r="W1078" s="168" t="str">
        <f t="shared" si="351"/>
        <v/>
      </c>
      <c r="X1078" s="163" t="str">
        <f t="shared" si="338"/>
        <v/>
      </c>
      <c r="Y1078" s="152"/>
      <c r="Z1078" s="164" t="str">
        <f>IF(AND($C1077=12,$D1077=Input!$C$6),0,IF($E1078="","",V1078+Z1079/(1+L1078)*R1078))</f>
        <v/>
      </c>
      <c r="AA1078" s="164" t="str">
        <f>IF(OR($M1078=1,AND($C1077=12,$D1077=Input!$C$6)),0,IF($E1078="","",W1078+(X1078+AA1079*$R1078)/(1+$L1078)))</f>
        <v/>
      </c>
      <c r="AB1078" s="160" t="str">
        <f t="shared" si="339"/>
        <v/>
      </c>
      <c r="AC1078" s="164" t="str">
        <f t="shared" si="340"/>
        <v/>
      </c>
      <c r="AD1078" s="164" t="str">
        <f>IF(AND($C1077=12,$D1077=Input!$C$6),0,IF($E1078="","",$AC1078+AD1079/(1+$L1078)*$R1078))</f>
        <v/>
      </c>
      <c r="AE1078" s="152"/>
      <c r="AF1078" s="164" t="str">
        <f>IF(AND($C1077=12,$D1077=Input!$C$6),0,IF($E1078="","",IF($B1078&gt;Input!$C$9,$AC1078,0)+AF1079/(1+$L1078)*$R1078))</f>
        <v/>
      </c>
      <c r="AG1078" s="164" t="str">
        <f>IF(AND($C1077=12,$D1077=Input!$C$6),0,IF($E1078="","",(IF($B1078&gt;Input!$C$9,$X1078,0)+AG1079)/(1+$L1078)*$R1078))</f>
        <v/>
      </c>
      <c r="AH1078" s="160" t="str">
        <f t="shared" si="341"/>
        <v/>
      </c>
      <c r="AI1078" s="160" t="str">
        <f>IF($E1078="","",MIN(Input!$C$61/AH1078,1))</f>
        <v/>
      </c>
      <c r="AJ1078" s="152"/>
      <c r="AK1078" s="164" t="str">
        <f>IF(AND($C1077=12,$D1077=Input!$C$6),0,IF($E1078="","",IF($B1078&gt;Input!$C$9,$AC1078*AI1078,0)+AK1079/(1+$L1078)*$R1078))</f>
        <v/>
      </c>
      <c r="AL1078" s="164" t="str">
        <f>IF(AND($C1077=12,$D1077=Input!$C$6),0,IF($E1078="","",IF($B1078&gt;Input!$C$9,0,$AC1078)+AL1079/(1+$L1078)*$R1078))</f>
        <v/>
      </c>
      <c r="AM1078" s="160" t="str">
        <f t="shared" si="342"/>
        <v/>
      </c>
      <c r="AN1078" s="164" t="str">
        <f>IF($E1078="","",IF($B1078&gt;Input!$C$9,$AI1078*$AC1078,$AM1078*$AC1078))</f>
        <v/>
      </c>
      <c r="AO1078" s="164" t="str">
        <f>IF(AND($C1077=12,$D1077=Input!$C$6),0,IF($E1078="","",$AN1078+AO1079/(1+$L1078)*$R1078))</f>
        <v/>
      </c>
      <c r="AP1078" s="152"/>
      <c r="AQ1078" s="164" t="str">
        <f t="shared" si="343"/>
        <v/>
      </c>
      <c r="AR1078" s="164" t="str">
        <f t="shared" si="352"/>
        <v/>
      </c>
      <c r="AS1078" s="164" t="str">
        <f t="shared" si="353"/>
        <v/>
      </c>
      <c r="AT1078" s="164" t="str">
        <f t="shared" si="344"/>
        <v/>
      </c>
      <c r="AU1078" s="152"/>
      <c r="AV1078" s="147" t="str">
        <f>'Deterministic Reserve'!BC1078</f>
        <v/>
      </c>
      <c r="AW1078" s="164" t="str">
        <f t="shared" si="345"/>
        <v/>
      </c>
      <c r="AX1078" s="164" t="str">
        <f t="shared" si="346"/>
        <v/>
      </c>
      <c r="AY1078" s="152"/>
    </row>
    <row r="1079" spans="1:51" s="150" customFormat="1" x14ac:dyDescent="0.25">
      <c r="A1079" s="150" t="str">
        <f t="shared" si="354"/>
        <v/>
      </c>
      <c r="B1079" s="150" t="str">
        <f t="shared" si="355"/>
        <v/>
      </c>
      <c r="C1079" s="150" t="str">
        <f t="shared" si="356"/>
        <v/>
      </c>
      <c r="D1079" s="150" t="str">
        <f>IF(E1079="","",Input!$C$4+B1079-1)</f>
        <v/>
      </c>
      <c r="E1079" s="150" t="str">
        <f>IF(OR(AND(C1078=12,D1078=Input!$C$6),E1078=""),"",1)</f>
        <v/>
      </c>
      <c r="F1079" s="150" t="str">
        <f>IF(E1079="","",Input!$C$8+B1079-1)</f>
        <v/>
      </c>
      <c r="G1079" s="151" t="str">
        <f>IF(E1079="","",MAX(0,Input!$C$9-B1079))</f>
        <v/>
      </c>
      <c r="H1079" s="152" t="str">
        <f>IF(E1079="","",Input!$C$3)</f>
        <v/>
      </c>
      <c r="I1079" s="153" t="str">
        <f>IF(E1079="","",HLOOKUP($B1079,Input!$C$13:$BT$14,2))</f>
        <v/>
      </c>
      <c r="J1079" s="154"/>
      <c r="K1079" s="155" t="str">
        <f>IF($E1079="","",Input!$C$57)</f>
        <v/>
      </c>
      <c r="L1079" s="155" t="str">
        <f t="shared" si="347"/>
        <v/>
      </c>
      <c r="M1079" s="147" t="str">
        <f>IF($E1079="","",VLOOKUP(IF($B1079&lt;=Input!$C$7,$B1079,26),'Mortality Tables'!$A$72:$CA$97,IF($B1079&lt;=Input!$C$7+1,Input!$C$4-16,$D1079-Input!$C$7-16),0)/1000)</f>
        <v/>
      </c>
      <c r="N1079" s="147" t="str">
        <f t="shared" si="336"/>
        <v/>
      </c>
      <c r="O1079" s="157" t="str">
        <f>IF($E1079="","",IF($C1079=12,IF($B1079&lt;Input!$C$9,Input!$C$54,IF($B1079=Input!$C$9,Input!$C$55,Input!$C$56)),0%))</f>
        <v/>
      </c>
      <c r="P1079" s="167" t="str">
        <f>IF($E1079="","",IF($B1079=1,Input!$C$59,IF($B1079&lt;6,Input!$C$60,0%)))</f>
        <v/>
      </c>
      <c r="Q1079" s="162" t="str">
        <f>IF($E1079="","",Input!$C$58)</f>
        <v/>
      </c>
      <c r="R1079" s="156" t="str">
        <f t="shared" si="348"/>
        <v/>
      </c>
      <c r="S1079" s="154" t="str">
        <f t="shared" si="337"/>
        <v/>
      </c>
      <c r="T1079" s="152"/>
      <c r="U1079" s="150" t="str">
        <f t="shared" si="349"/>
        <v/>
      </c>
      <c r="V1079" s="150" t="str">
        <f t="shared" si="350"/>
        <v/>
      </c>
      <c r="W1079" s="168" t="str">
        <f t="shared" si="351"/>
        <v/>
      </c>
      <c r="X1079" s="163" t="str">
        <f t="shared" si="338"/>
        <v/>
      </c>
      <c r="Y1079" s="152"/>
      <c r="Z1079" s="164" t="str">
        <f>IF(AND($C1078=12,$D1078=Input!$C$6),0,IF($E1079="","",V1079+Z1080/(1+L1079)*R1079))</f>
        <v/>
      </c>
      <c r="AA1079" s="164" t="str">
        <f>IF(OR($M1079=1,AND($C1078=12,$D1078=Input!$C$6)),0,IF($E1079="","",W1079+(X1079+AA1080*$R1079)/(1+$L1079)))</f>
        <v/>
      </c>
      <c r="AB1079" s="160" t="str">
        <f t="shared" si="339"/>
        <v/>
      </c>
      <c r="AC1079" s="164" t="str">
        <f t="shared" si="340"/>
        <v/>
      </c>
      <c r="AD1079" s="164" t="str">
        <f>IF(AND($C1078=12,$D1078=Input!$C$6),0,IF($E1079="","",$AC1079+AD1080/(1+$L1079)*$R1079))</f>
        <v/>
      </c>
      <c r="AE1079" s="152"/>
      <c r="AF1079" s="164" t="str">
        <f>IF(AND($C1078=12,$D1078=Input!$C$6),0,IF($E1079="","",IF($B1079&gt;Input!$C$9,$AC1079,0)+AF1080/(1+$L1079)*$R1079))</f>
        <v/>
      </c>
      <c r="AG1079" s="164" t="str">
        <f>IF(AND($C1078=12,$D1078=Input!$C$6),0,IF($E1079="","",(IF($B1079&gt;Input!$C$9,$X1079,0)+AG1080)/(1+$L1079)*$R1079))</f>
        <v/>
      </c>
      <c r="AH1079" s="160" t="str">
        <f t="shared" si="341"/>
        <v/>
      </c>
      <c r="AI1079" s="160" t="str">
        <f>IF($E1079="","",MIN(Input!$C$61/AH1079,1))</f>
        <v/>
      </c>
      <c r="AJ1079" s="152"/>
      <c r="AK1079" s="164" t="str">
        <f>IF(AND($C1078=12,$D1078=Input!$C$6),0,IF($E1079="","",IF($B1079&gt;Input!$C$9,$AC1079*AI1079,0)+AK1080/(1+$L1079)*$R1079))</f>
        <v/>
      </c>
      <c r="AL1079" s="164" t="str">
        <f>IF(AND($C1078=12,$D1078=Input!$C$6),0,IF($E1079="","",IF($B1079&gt;Input!$C$9,0,$AC1079)+AL1080/(1+$L1079)*$R1079))</f>
        <v/>
      </c>
      <c r="AM1079" s="160" t="str">
        <f t="shared" si="342"/>
        <v/>
      </c>
      <c r="AN1079" s="164" t="str">
        <f>IF($E1079="","",IF($B1079&gt;Input!$C$9,$AI1079*$AC1079,$AM1079*$AC1079))</f>
        <v/>
      </c>
      <c r="AO1079" s="164" t="str">
        <f>IF(AND($C1078=12,$D1078=Input!$C$6),0,IF($E1079="","",$AN1079+AO1080/(1+$L1079)*$R1079))</f>
        <v/>
      </c>
      <c r="AP1079" s="152"/>
      <c r="AQ1079" s="164" t="str">
        <f t="shared" si="343"/>
        <v/>
      </c>
      <c r="AR1079" s="164" t="str">
        <f t="shared" si="352"/>
        <v/>
      </c>
      <c r="AS1079" s="164" t="str">
        <f t="shared" si="353"/>
        <v/>
      </c>
      <c r="AT1079" s="164" t="str">
        <f t="shared" si="344"/>
        <v/>
      </c>
      <c r="AU1079" s="152"/>
      <c r="AV1079" s="147" t="str">
        <f>'Deterministic Reserve'!BC1079</f>
        <v/>
      </c>
      <c r="AW1079" s="164" t="str">
        <f t="shared" si="345"/>
        <v/>
      </c>
      <c r="AX1079" s="164" t="str">
        <f t="shared" si="346"/>
        <v/>
      </c>
      <c r="AY1079" s="152"/>
    </row>
    <row r="1080" spans="1:51" s="150" customFormat="1" x14ac:dyDescent="0.25">
      <c r="A1080" s="150" t="str">
        <f t="shared" si="354"/>
        <v/>
      </c>
      <c r="B1080" s="150" t="str">
        <f t="shared" si="355"/>
        <v/>
      </c>
      <c r="C1080" s="150" t="str">
        <f t="shared" si="356"/>
        <v/>
      </c>
      <c r="D1080" s="150" t="str">
        <f>IF(E1080="","",Input!$C$4+B1080-1)</f>
        <v/>
      </c>
      <c r="E1080" s="150" t="str">
        <f>IF(OR(AND(C1079=12,D1079=Input!$C$6),E1079=""),"",1)</f>
        <v/>
      </c>
      <c r="F1080" s="150" t="str">
        <f>IF(E1080="","",Input!$C$8+B1080-1)</f>
        <v/>
      </c>
      <c r="G1080" s="151" t="str">
        <f>IF(E1080="","",MAX(0,Input!$C$9-B1080))</f>
        <v/>
      </c>
      <c r="H1080" s="152" t="str">
        <f>IF(E1080="","",Input!$C$3)</f>
        <v/>
      </c>
      <c r="I1080" s="153" t="str">
        <f>IF(E1080="","",HLOOKUP($B1080,Input!$C$13:$BT$14,2))</f>
        <v/>
      </c>
      <c r="J1080" s="154"/>
      <c r="K1080" s="155" t="str">
        <f>IF($E1080="","",Input!$C$57)</f>
        <v/>
      </c>
      <c r="L1080" s="155" t="str">
        <f t="shared" si="347"/>
        <v/>
      </c>
      <c r="M1080" s="147" t="str">
        <f>IF($E1080="","",VLOOKUP(IF($B1080&lt;=Input!$C$7,$B1080,26),'Mortality Tables'!$A$72:$CA$97,IF($B1080&lt;=Input!$C$7+1,Input!$C$4-16,$D1080-Input!$C$7-16),0)/1000)</f>
        <v/>
      </c>
      <c r="N1080" s="147" t="str">
        <f t="shared" si="336"/>
        <v/>
      </c>
      <c r="O1080" s="157" t="str">
        <f>IF($E1080="","",IF($C1080=12,IF($B1080&lt;Input!$C$9,Input!$C$54,IF($B1080=Input!$C$9,Input!$C$55,Input!$C$56)),0%))</f>
        <v/>
      </c>
      <c r="P1080" s="167" t="str">
        <f>IF($E1080="","",IF($B1080=1,Input!$C$59,IF($B1080&lt;6,Input!$C$60,0%)))</f>
        <v/>
      </c>
      <c r="Q1080" s="162" t="str">
        <f>IF($E1080="","",Input!$C$58)</f>
        <v/>
      </c>
      <c r="R1080" s="156" t="str">
        <f t="shared" si="348"/>
        <v/>
      </c>
      <c r="S1080" s="154" t="str">
        <f t="shared" si="337"/>
        <v/>
      </c>
      <c r="T1080" s="152"/>
      <c r="U1080" s="150" t="str">
        <f t="shared" si="349"/>
        <v/>
      </c>
      <c r="V1080" s="150" t="str">
        <f t="shared" si="350"/>
        <v/>
      </c>
      <c r="W1080" s="168" t="str">
        <f t="shared" si="351"/>
        <v/>
      </c>
      <c r="X1080" s="163" t="str">
        <f t="shared" si="338"/>
        <v/>
      </c>
      <c r="Y1080" s="152"/>
      <c r="Z1080" s="164" t="str">
        <f>IF(AND($C1079=12,$D1079=Input!$C$6),0,IF($E1080="","",V1080+Z1081/(1+L1080)*R1080))</f>
        <v/>
      </c>
      <c r="AA1080" s="164" t="str">
        <f>IF(OR($M1080=1,AND($C1079=12,$D1079=Input!$C$6)),0,IF($E1080="","",W1080+(X1080+AA1081*$R1080)/(1+$L1080)))</f>
        <v/>
      </c>
      <c r="AB1080" s="160" t="str">
        <f t="shared" si="339"/>
        <v/>
      </c>
      <c r="AC1080" s="164" t="str">
        <f t="shared" si="340"/>
        <v/>
      </c>
      <c r="AD1080" s="164" t="str">
        <f>IF(AND($C1079=12,$D1079=Input!$C$6),0,IF($E1080="","",$AC1080+AD1081/(1+$L1080)*$R1080))</f>
        <v/>
      </c>
      <c r="AE1080" s="152"/>
      <c r="AF1080" s="164" t="str">
        <f>IF(AND($C1079=12,$D1079=Input!$C$6),0,IF($E1080="","",IF($B1080&gt;Input!$C$9,$AC1080,0)+AF1081/(1+$L1080)*$R1080))</f>
        <v/>
      </c>
      <c r="AG1080" s="164" t="str">
        <f>IF(AND($C1079=12,$D1079=Input!$C$6),0,IF($E1080="","",(IF($B1080&gt;Input!$C$9,$X1080,0)+AG1081)/(1+$L1080)*$R1080))</f>
        <v/>
      </c>
      <c r="AH1080" s="160" t="str">
        <f t="shared" si="341"/>
        <v/>
      </c>
      <c r="AI1080" s="160" t="str">
        <f>IF($E1080="","",MIN(Input!$C$61/AH1080,1))</f>
        <v/>
      </c>
      <c r="AJ1080" s="152"/>
      <c r="AK1080" s="164" t="str">
        <f>IF(AND($C1079=12,$D1079=Input!$C$6),0,IF($E1080="","",IF($B1080&gt;Input!$C$9,$AC1080*AI1080,0)+AK1081/(1+$L1080)*$R1080))</f>
        <v/>
      </c>
      <c r="AL1080" s="164" t="str">
        <f>IF(AND($C1079=12,$D1079=Input!$C$6),0,IF($E1080="","",IF($B1080&gt;Input!$C$9,0,$AC1080)+AL1081/(1+$L1080)*$R1080))</f>
        <v/>
      </c>
      <c r="AM1080" s="160" t="str">
        <f t="shared" si="342"/>
        <v/>
      </c>
      <c r="AN1080" s="164" t="str">
        <f>IF($E1080="","",IF($B1080&gt;Input!$C$9,$AI1080*$AC1080,$AM1080*$AC1080))</f>
        <v/>
      </c>
      <c r="AO1080" s="164" t="str">
        <f>IF(AND($C1079=12,$D1079=Input!$C$6),0,IF($E1080="","",$AN1080+AO1081/(1+$L1080)*$R1080))</f>
        <v/>
      </c>
      <c r="AP1080" s="152"/>
      <c r="AQ1080" s="164" t="str">
        <f t="shared" si="343"/>
        <v/>
      </c>
      <c r="AR1080" s="164" t="str">
        <f t="shared" si="352"/>
        <v/>
      </c>
      <c r="AS1080" s="164" t="str">
        <f t="shared" si="353"/>
        <v/>
      </c>
      <c r="AT1080" s="164" t="str">
        <f t="shared" si="344"/>
        <v/>
      </c>
      <c r="AU1080" s="152"/>
      <c r="AV1080" s="147" t="str">
        <f>'Deterministic Reserve'!BC1080</f>
        <v/>
      </c>
      <c r="AW1080" s="164" t="str">
        <f t="shared" si="345"/>
        <v/>
      </c>
      <c r="AX1080" s="164" t="str">
        <f t="shared" si="346"/>
        <v/>
      </c>
      <c r="AY1080" s="152"/>
    </row>
    <row r="1081" spans="1:51" s="150" customFormat="1" x14ac:dyDescent="0.25">
      <c r="A1081" s="150" t="str">
        <f t="shared" si="354"/>
        <v/>
      </c>
      <c r="B1081" s="150" t="str">
        <f t="shared" si="355"/>
        <v/>
      </c>
      <c r="C1081" s="150" t="str">
        <f t="shared" si="356"/>
        <v/>
      </c>
      <c r="D1081" s="150" t="str">
        <f>IF(E1081="","",Input!$C$4+B1081-1)</f>
        <v/>
      </c>
      <c r="E1081" s="150" t="str">
        <f>IF(OR(AND(C1080=12,D1080=Input!$C$6),E1080=""),"",1)</f>
        <v/>
      </c>
      <c r="F1081" s="150" t="str">
        <f>IF(E1081="","",Input!$C$8+B1081-1)</f>
        <v/>
      </c>
      <c r="G1081" s="151" t="str">
        <f>IF(E1081="","",MAX(0,Input!$C$9-B1081))</f>
        <v/>
      </c>
      <c r="H1081" s="152" t="str">
        <f>IF(E1081="","",Input!$C$3)</f>
        <v/>
      </c>
      <c r="I1081" s="153" t="str">
        <f>IF(E1081="","",HLOOKUP($B1081,Input!$C$13:$BT$14,2))</f>
        <v/>
      </c>
      <c r="J1081" s="154"/>
      <c r="K1081" s="155" t="str">
        <f>IF($E1081="","",Input!$C$57)</f>
        <v/>
      </c>
      <c r="L1081" s="155" t="str">
        <f t="shared" si="347"/>
        <v/>
      </c>
      <c r="M1081" s="147" t="str">
        <f>IF($E1081="","",VLOOKUP(IF($B1081&lt;=Input!$C$7,$B1081,26),'Mortality Tables'!$A$72:$CA$97,IF($B1081&lt;=Input!$C$7+1,Input!$C$4-16,$D1081-Input!$C$7-16),0)/1000)</f>
        <v/>
      </c>
      <c r="N1081" s="147" t="str">
        <f t="shared" si="336"/>
        <v/>
      </c>
      <c r="O1081" s="157" t="str">
        <f>IF($E1081="","",IF($C1081=12,IF($B1081&lt;Input!$C$9,Input!$C$54,IF($B1081=Input!$C$9,Input!$C$55,Input!$C$56)),0%))</f>
        <v/>
      </c>
      <c r="P1081" s="167" t="str">
        <f>IF($E1081="","",IF($B1081=1,Input!$C$59,IF($B1081&lt;6,Input!$C$60,0%)))</f>
        <v/>
      </c>
      <c r="Q1081" s="162" t="str">
        <f>IF($E1081="","",Input!$C$58)</f>
        <v/>
      </c>
      <c r="R1081" s="156" t="str">
        <f t="shared" si="348"/>
        <v/>
      </c>
      <c r="S1081" s="154" t="str">
        <f t="shared" si="337"/>
        <v/>
      </c>
      <c r="T1081" s="152"/>
      <c r="U1081" s="150" t="str">
        <f t="shared" si="349"/>
        <v/>
      </c>
      <c r="V1081" s="150" t="str">
        <f t="shared" si="350"/>
        <v/>
      </c>
      <c r="W1081" s="168" t="str">
        <f t="shared" si="351"/>
        <v/>
      </c>
      <c r="X1081" s="163" t="str">
        <f t="shared" si="338"/>
        <v/>
      </c>
      <c r="Y1081" s="152"/>
      <c r="Z1081" s="164" t="str">
        <f>IF(AND($C1080=12,$D1080=Input!$C$6),0,IF($E1081="","",V1081+Z1082/(1+L1081)*R1081))</f>
        <v/>
      </c>
      <c r="AA1081" s="164" t="str">
        <f>IF(OR($M1081=1,AND($C1080=12,$D1080=Input!$C$6)),0,IF($E1081="","",W1081+(X1081+AA1082*$R1081)/(1+$L1081)))</f>
        <v/>
      </c>
      <c r="AB1081" s="160" t="str">
        <f t="shared" si="339"/>
        <v/>
      </c>
      <c r="AC1081" s="164" t="str">
        <f t="shared" si="340"/>
        <v/>
      </c>
      <c r="AD1081" s="164" t="str">
        <f>IF(AND($C1080=12,$D1080=Input!$C$6),0,IF($E1081="","",$AC1081+AD1082/(1+$L1081)*$R1081))</f>
        <v/>
      </c>
      <c r="AE1081" s="152"/>
      <c r="AF1081" s="164" t="str">
        <f>IF(AND($C1080=12,$D1080=Input!$C$6),0,IF($E1081="","",IF($B1081&gt;Input!$C$9,$AC1081,0)+AF1082/(1+$L1081)*$R1081))</f>
        <v/>
      </c>
      <c r="AG1081" s="164" t="str">
        <f>IF(AND($C1080=12,$D1080=Input!$C$6),0,IF($E1081="","",(IF($B1081&gt;Input!$C$9,$X1081,0)+AG1082)/(1+$L1081)*$R1081))</f>
        <v/>
      </c>
      <c r="AH1081" s="160" t="str">
        <f t="shared" si="341"/>
        <v/>
      </c>
      <c r="AI1081" s="160" t="str">
        <f>IF($E1081="","",MIN(Input!$C$61/AH1081,1))</f>
        <v/>
      </c>
      <c r="AJ1081" s="152"/>
      <c r="AK1081" s="164" t="str">
        <f>IF(AND($C1080=12,$D1080=Input!$C$6),0,IF($E1081="","",IF($B1081&gt;Input!$C$9,$AC1081*AI1081,0)+AK1082/(1+$L1081)*$R1081))</f>
        <v/>
      </c>
      <c r="AL1081" s="164" t="str">
        <f>IF(AND($C1080=12,$D1080=Input!$C$6),0,IF($E1081="","",IF($B1081&gt;Input!$C$9,0,$AC1081)+AL1082/(1+$L1081)*$R1081))</f>
        <v/>
      </c>
      <c r="AM1081" s="160" t="str">
        <f t="shared" si="342"/>
        <v/>
      </c>
      <c r="AN1081" s="164" t="str">
        <f>IF($E1081="","",IF($B1081&gt;Input!$C$9,$AI1081*$AC1081,$AM1081*$AC1081))</f>
        <v/>
      </c>
      <c r="AO1081" s="164" t="str">
        <f>IF(AND($C1080=12,$D1080=Input!$C$6),0,IF($E1081="","",$AN1081+AO1082/(1+$L1081)*$R1081))</f>
        <v/>
      </c>
      <c r="AP1081" s="152"/>
      <c r="AQ1081" s="164" t="str">
        <f t="shared" si="343"/>
        <v/>
      </c>
      <c r="AR1081" s="164" t="str">
        <f t="shared" si="352"/>
        <v/>
      </c>
      <c r="AS1081" s="164" t="str">
        <f t="shared" si="353"/>
        <v/>
      </c>
      <c r="AT1081" s="164" t="str">
        <f t="shared" si="344"/>
        <v/>
      </c>
      <c r="AU1081" s="152"/>
      <c r="AV1081" s="147" t="str">
        <f>'Deterministic Reserve'!BC1081</f>
        <v/>
      </c>
      <c r="AW1081" s="164" t="str">
        <f t="shared" si="345"/>
        <v/>
      </c>
      <c r="AX1081" s="164" t="str">
        <f t="shared" si="346"/>
        <v/>
      </c>
      <c r="AY1081" s="152"/>
    </row>
    <row r="1082" spans="1:51" s="150" customFormat="1" x14ac:dyDescent="0.25">
      <c r="A1082" s="150" t="str">
        <f t="shared" si="354"/>
        <v/>
      </c>
      <c r="B1082" s="150" t="str">
        <f t="shared" si="355"/>
        <v/>
      </c>
      <c r="C1082" s="150" t="str">
        <f t="shared" si="356"/>
        <v/>
      </c>
      <c r="D1082" s="150" t="str">
        <f>IF(E1082="","",Input!$C$4+B1082-1)</f>
        <v/>
      </c>
      <c r="E1082" s="150" t="str">
        <f>IF(OR(AND(C1081=12,D1081=Input!$C$6),E1081=""),"",1)</f>
        <v/>
      </c>
      <c r="F1082" s="150" t="str">
        <f>IF(E1082="","",Input!$C$8+B1082-1)</f>
        <v/>
      </c>
      <c r="G1082" s="151" t="str">
        <f>IF(E1082="","",MAX(0,Input!$C$9-B1082))</f>
        <v/>
      </c>
      <c r="H1082" s="152" t="str">
        <f>IF(E1082="","",Input!$C$3)</f>
        <v/>
      </c>
      <c r="I1082" s="153" t="str">
        <f>IF(E1082="","",HLOOKUP($B1082,Input!$C$13:$BT$14,2))</f>
        <v/>
      </c>
      <c r="J1082" s="154"/>
      <c r="K1082" s="155" t="str">
        <f>IF($E1082="","",Input!$C$57)</f>
        <v/>
      </c>
      <c r="L1082" s="155" t="str">
        <f t="shared" si="347"/>
        <v/>
      </c>
      <c r="M1082" s="147" t="str">
        <f>IF($E1082="","",VLOOKUP(IF($B1082&lt;=Input!$C$7,$B1082,26),'Mortality Tables'!$A$72:$CA$97,IF($B1082&lt;=Input!$C$7+1,Input!$C$4-16,$D1082-Input!$C$7-16),0)/1000)</f>
        <v/>
      </c>
      <c r="N1082" s="147" t="str">
        <f t="shared" si="336"/>
        <v/>
      </c>
      <c r="O1082" s="157" t="str">
        <f>IF($E1082="","",IF($C1082=12,IF($B1082&lt;Input!$C$9,Input!$C$54,IF($B1082=Input!$C$9,Input!$C$55,Input!$C$56)),0%))</f>
        <v/>
      </c>
      <c r="P1082" s="167" t="str">
        <f>IF($E1082="","",IF($B1082=1,Input!$C$59,IF($B1082&lt;6,Input!$C$60,0%)))</f>
        <v/>
      </c>
      <c r="Q1082" s="162" t="str">
        <f>IF($E1082="","",Input!$C$58)</f>
        <v/>
      </c>
      <c r="R1082" s="156" t="str">
        <f t="shared" si="348"/>
        <v/>
      </c>
      <c r="S1082" s="154" t="str">
        <f t="shared" si="337"/>
        <v/>
      </c>
      <c r="T1082" s="152"/>
      <c r="U1082" s="150" t="str">
        <f t="shared" si="349"/>
        <v/>
      </c>
      <c r="V1082" s="150" t="str">
        <f t="shared" si="350"/>
        <v/>
      </c>
      <c r="W1082" s="168" t="str">
        <f t="shared" si="351"/>
        <v/>
      </c>
      <c r="X1082" s="163" t="str">
        <f t="shared" si="338"/>
        <v/>
      </c>
      <c r="Y1082" s="152"/>
      <c r="Z1082" s="164" t="str">
        <f>IF(AND($C1081=12,$D1081=Input!$C$6),0,IF($E1082="","",V1082+Z1083/(1+L1082)*R1082))</f>
        <v/>
      </c>
      <c r="AA1082" s="164" t="str">
        <f>IF(OR($M1082=1,AND($C1081=12,$D1081=Input!$C$6)),0,IF($E1082="","",W1082+(X1082+AA1083*$R1082)/(1+$L1082)))</f>
        <v/>
      </c>
      <c r="AB1082" s="160" t="str">
        <f t="shared" si="339"/>
        <v/>
      </c>
      <c r="AC1082" s="164" t="str">
        <f t="shared" si="340"/>
        <v/>
      </c>
      <c r="AD1082" s="164" t="str">
        <f>IF(AND($C1081=12,$D1081=Input!$C$6),0,IF($E1082="","",$AC1082+AD1083/(1+$L1082)*$R1082))</f>
        <v/>
      </c>
      <c r="AE1082" s="152"/>
      <c r="AF1082" s="164" t="str">
        <f>IF(AND($C1081=12,$D1081=Input!$C$6),0,IF($E1082="","",IF($B1082&gt;Input!$C$9,$AC1082,0)+AF1083/(1+$L1082)*$R1082))</f>
        <v/>
      </c>
      <c r="AG1082" s="164" t="str">
        <f>IF(AND($C1081=12,$D1081=Input!$C$6),0,IF($E1082="","",(IF($B1082&gt;Input!$C$9,$X1082,0)+AG1083)/(1+$L1082)*$R1082))</f>
        <v/>
      </c>
      <c r="AH1082" s="160" t="str">
        <f t="shared" si="341"/>
        <v/>
      </c>
      <c r="AI1082" s="160" t="str">
        <f>IF($E1082="","",MIN(Input!$C$61/AH1082,1))</f>
        <v/>
      </c>
      <c r="AJ1082" s="152"/>
      <c r="AK1082" s="164" t="str">
        <f>IF(AND($C1081=12,$D1081=Input!$C$6),0,IF($E1082="","",IF($B1082&gt;Input!$C$9,$AC1082*AI1082,0)+AK1083/(1+$L1082)*$R1082))</f>
        <v/>
      </c>
      <c r="AL1082" s="164" t="str">
        <f>IF(AND($C1081=12,$D1081=Input!$C$6),0,IF($E1082="","",IF($B1082&gt;Input!$C$9,0,$AC1082)+AL1083/(1+$L1082)*$R1082))</f>
        <v/>
      </c>
      <c r="AM1082" s="160" t="str">
        <f t="shared" si="342"/>
        <v/>
      </c>
      <c r="AN1082" s="164" t="str">
        <f>IF($E1082="","",IF($B1082&gt;Input!$C$9,$AI1082*$AC1082,$AM1082*$AC1082))</f>
        <v/>
      </c>
      <c r="AO1082" s="164" t="str">
        <f>IF(AND($C1081=12,$D1081=Input!$C$6),0,IF($E1082="","",$AN1082+AO1083/(1+$L1082)*$R1082))</f>
        <v/>
      </c>
      <c r="AP1082" s="152"/>
      <c r="AQ1082" s="164" t="str">
        <f t="shared" si="343"/>
        <v/>
      </c>
      <c r="AR1082" s="164" t="str">
        <f t="shared" si="352"/>
        <v/>
      </c>
      <c r="AS1082" s="164" t="str">
        <f t="shared" si="353"/>
        <v/>
      </c>
      <c r="AT1082" s="164" t="str">
        <f t="shared" si="344"/>
        <v/>
      </c>
      <c r="AU1082" s="152"/>
      <c r="AV1082" s="147" t="str">
        <f>'Deterministic Reserve'!BC1082</f>
        <v/>
      </c>
      <c r="AW1082" s="164" t="str">
        <f t="shared" si="345"/>
        <v/>
      </c>
      <c r="AX1082" s="164" t="str">
        <f t="shared" si="346"/>
        <v/>
      </c>
      <c r="AY1082" s="152"/>
    </row>
    <row r="1083" spans="1:51" s="150" customFormat="1" x14ac:dyDescent="0.25">
      <c r="A1083" s="150" t="str">
        <f t="shared" si="354"/>
        <v/>
      </c>
      <c r="B1083" s="150" t="str">
        <f t="shared" si="355"/>
        <v/>
      </c>
      <c r="C1083" s="150" t="str">
        <f t="shared" si="356"/>
        <v/>
      </c>
      <c r="D1083" s="150" t="str">
        <f>IF(E1083="","",Input!$C$4+B1083-1)</f>
        <v/>
      </c>
      <c r="E1083" s="150" t="str">
        <f>IF(OR(AND(C1082=12,D1082=Input!$C$6),E1082=""),"",1)</f>
        <v/>
      </c>
      <c r="F1083" s="150" t="str">
        <f>IF(E1083="","",Input!$C$8+B1083-1)</f>
        <v/>
      </c>
      <c r="G1083" s="151" t="str">
        <f>IF(E1083="","",MAX(0,Input!$C$9-B1083))</f>
        <v/>
      </c>
      <c r="H1083" s="152" t="str">
        <f>IF(E1083="","",Input!$C$3)</f>
        <v/>
      </c>
      <c r="I1083" s="153" t="str">
        <f>IF(E1083="","",HLOOKUP($B1083,Input!$C$13:$BT$14,2))</f>
        <v/>
      </c>
      <c r="J1083" s="154"/>
      <c r="K1083" s="155" t="str">
        <f>IF($E1083="","",Input!$C$57)</f>
        <v/>
      </c>
      <c r="L1083" s="155" t="str">
        <f t="shared" si="347"/>
        <v/>
      </c>
      <c r="M1083" s="147" t="str">
        <f>IF($E1083="","",VLOOKUP(IF($B1083&lt;=Input!$C$7,$B1083,26),'Mortality Tables'!$A$72:$CA$97,IF($B1083&lt;=Input!$C$7+1,Input!$C$4-16,$D1083-Input!$C$7-16),0)/1000)</f>
        <v/>
      </c>
      <c r="N1083" s="147" t="str">
        <f t="shared" si="336"/>
        <v/>
      </c>
      <c r="O1083" s="157" t="str">
        <f>IF($E1083="","",IF($C1083=12,IF($B1083&lt;Input!$C$9,Input!$C$54,IF($B1083=Input!$C$9,Input!$C$55,Input!$C$56)),0%))</f>
        <v/>
      </c>
      <c r="P1083" s="167" t="str">
        <f>IF($E1083="","",IF($B1083=1,Input!$C$59,IF($B1083&lt;6,Input!$C$60,0%)))</f>
        <v/>
      </c>
      <c r="Q1083" s="162" t="str">
        <f>IF($E1083="","",Input!$C$58)</f>
        <v/>
      </c>
      <c r="R1083" s="156" t="str">
        <f t="shared" si="348"/>
        <v/>
      </c>
      <c r="S1083" s="154" t="str">
        <f t="shared" si="337"/>
        <v/>
      </c>
      <c r="T1083" s="152"/>
      <c r="U1083" s="150" t="str">
        <f t="shared" si="349"/>
        <v/>
      </c>
      <c r="V1083" s="150" t="str">
        <f t="shared" si="350"/>
        <v/>
      </c>
      <c r="W1083" s="168" t="str">
        <f t="shared" si="351"/>
        <v/>
      </c>
      <c r="X1083" s="163" t="str">
        <f t="shared" si="338"/>
        <v/>
      </c>
      <c r="Y1083" s="152"/>
      <c r="Z1083" s="164" t="str">
        <f>IF(AND($C1082=12,$D1082=Input!$C$6),0,IF($E1083="","",V1083+Z1084/(1+L1083)*R1083))</f>
        <v/>
      </c>
      <c r="AA1083" s="164" t="str">
        <f>IF(OR($M1083=1,AND($C1082=12,$D1082=Input!$C$6)),0,IF($E1083="","",W1083+(X1083+AA1084*$R1083)/(1+$L1083)))</f>
        <v/>
      </c>
      <c r="AB1083" s="160" t="str">
        <f t="shared" si="339"/>
        <v/>
      </c>
      <c r="AC1083" s="164" t="str">
        <f t="shared" si="340"/>
        <v/>
      </c>
      <c r="AD1083" s="164" t="str">
        <f>IF(AND($C1082=12,$D1082=Input!$C$6),0,IF($E1083="","",$AC1083+AD1084/(1+$L1083)*$R1083))</f>
        <v/>
      </c>
      <c r="AE1083" s="152"/>
      <c r="AF1083" s="164" t="str">
        <f>IF(AND($C1082=12,$D1082=Input!$C$6),0,IF($E1083="","",IF($B1083&gt;Input!$C$9,$AC1083,0)+AF1084/(1+$L1083)*$R1083))</f>
        <v/>
      </c>
      <c r="AG1083" s="164" t="str">
        <f>IF(AND($C1082=12,$D1082=Input!$C$6),0,IF($E1083="","",(IF($B1083&gt;Input!$C$9,$X1083,0)+AG1084)/(1+$L1083)*$R1083))</f>
        <v/>
      </c>
      <c r="AH1083" s="160" t="str">
        <f t="shared" si="341"/>
        <v/>
      </c>
      <c r="AI1083" s="160" t="str">
        <f>IF($E1083="","",MIN(Input!$C$61/AH1083,1))</f>
        <v/>
      </c>
      <c r="AJ1083" s="152"/>
      <c r="AK1083" s="164" t="str">
        <f>IF(AND($C1082=12,$D1082=Input!$C$6),0,IF($E1083="","",IF($B1083&gt;Input!$C$9,$AC1083*AI1083,0)+AK1084/(1+$L1083)*$R1083))</f>
        <v/>
      </c>
      <c r="AL1083" s="164" t="str">
        <f>IF(AND($C1082=12,$D1082=Input!$C$6),0,IF($E1083="","",IF($B1083&gt;Input!$C$9,0,$AC1083)+AL1084/(1+$L1083)*$R1083))</f>
        <v/>
      </c>
      <c r="AM1083" s="160" t="str">
        <f t="shared" si="342"/>
        <v/>
      </c>
      <c r="AN1083" s="164" t="str">
        <f>IF($E1083="","",IF($B1083&gt;Input!$C$9,$AI1083*$AC1083,$AM1083*$AC1083))</f>
        <v/>
      </c>
      <c r="AO1083" s="164" t="str">
        <f>IF(AND($C1082=12,$D1082=Input!$C$6),0,IF($E1083="","",$AN1083+AO1084/(1+$L1083)*$R1083))</f>
        <v/>
      </c>
      <c r="AP1083" s="152"/>
      <c r="AQ1083" s="164" t="str">
        <f t="shared" si="343"/>
        <v/>
      </c>
      <c r="AR1083" s="164" t="str">
        <f t="shared" si="352"/>
        <v/>
      </c>
      <c r="AS1083" s="164" t="str">
        <f t="shared" si="353"/>
        <v/>
      </c>
      <c r="AT1083" s="164" t="str">
        <f t="shared" si="344"/>
        <v/>
      </c>
      <c r="AU1083" s="152"/>
      <c r="AV1083" s="147" t="str">
        <f>'Deterministic Reserve'!BC1083</f>
        <v/>
      </c>
      <c r="AW1083" s="164" t="str">
        <f t="shared" si="345"/>
        <v/>
      </c>
      <c r="AX1083" s="164" t="str">
        <f t="shared" si="346"/>
        <v/>
      </c>
      <c r="AY1083" s="152"/>
    </row>
    <row r="1084" spans="1:51" s="150" customFormat="1" x14ac:dyDescent="0.25">
      <c r="A1084" s="150" t="str">
        <f t="shared" si="354"/>
        <v/>
      </c>
      <c r="B1084" s="150" t="str">
        <f t="shared" si="355"/>
        <v/>
      </c>
      <c r="C1084" s="150" t="str">
        <f t="shared" si="356"/>
        <v/>
      </c>
      <c r="D1084" s="150" t="str">
        <f>IF(E1084="","",Input!$C$4+B1084-1)</f>
        <v/>
      </c>
      <c r="E1084" s="150" t="str">
        <f>IF(OR(AND(C1083=12,D1083=Input!$C$6),E1083=""),"",1)</f>
        <v/>
      </c>
      <c r="F1084" s="150" t="str">
        <f>IF(E1084="","",Input!$C$8+B1084-1)</f>
        <v/>
      </c>
      <c r="G1084" s="151" t="str">
        <f>IF(E1084="","",MAX(0,Input!$C$9-B1084))</f>
        <v/>
      </c>
      <c r="H1084" s="152" t="str">
        <f>IF(E1084="","",Input!$C$3)</f>
        <v/>
      </c>
      <c r="I1084" s="153" t="str">
        <f>IF(E1084="","",HLOOKUP($B1084,Input!$C$13:$BT$14,2))</f>
        <v/>
      </c>
      <c r="J1084" s="154"/>
      <c r="K1084" s="155" t="str">
        <f>IF($E1084="","",Input!$C$57)</f>
        <v/>
      </c>
      <c r="L1084" s="155" t="str">
        <f t="shared" si="347"/>
        <v/>
      </c>
      <c r="M1084" s="147" t="str">
        <f>IF($E1084="","",VLOOKUP(IF($B1084&lt;=Input!$C$7,$B1084,26),'Mortality Tables'!$A$72:$CA$97,IF($B1084&lt;=Input!$C$7+1,Input!$C$4-16,$D1084-Input!$C$7-16),0)/1000)</f>
        <v/>
      </c>
      <c r="N1084" s="147" t="str">
        <f t="shared" si="336"/>
        <v/>
      </c>
      <c r="O1084" s="157" t="str">
        <f>IF($E1084="","",IF($C1084=12,IF($B1084&lt;Input!$C$9,Input!$C$54,IF($B1084=Input!$C$9,Input!$C$55,Input!$C$56)),0%))</f>
        <v/>
      </c>
      <c r="P1084" s="167" t="str">
        <f>IF($E1084="","",IF($B1084=1,Input!$C$59,IF($B1084&lt;6,Input!$C$60,0%)))</f>
        <v/>
      </c>
      <c r="Q1084" s="162" t="str">
        <f>IF($E1084="","",Input!$C$58)</f>
        <v/>
      </c>
      <c r="R1084" s="156" t="str">
        <f t="shared" si="348"/>
        <v/>
      </c>
      <c r="S1084" s="154" t="str">
        <f t="shared" si="337"/>
        <v/>
      </c>
      <c r="T1084" s="152"/>
      <c r="U1084" s="150" t="str">
        <f t="shared" si="349"/>
        <v/>
      </c>
      <c r="V1084" s="150" t="str">
        <f t="shared" si="350"/>
        <v/>
      </c>
      <c r="W1084" s="168" t="str">
        <f t="shared" si="351"/>
        <v/>
      </c>
      <c r="X1084" s="163" t="str">
        <f t="shared" si="338"/>
        <v/>
      </c>
      <c r="Y1084" s="152"/>
      <c r="Z1084" s="164" t="str">
        <f>IF(AND($C1083=12,$D1083=Input!$C$6),0,IF($E1084="","",V1084+Z1085/(1+L1084)*R1084))</f>
        <v/>
      </c>
      <c r="AA1084" s="164" t="str">
        <f>IF(OR($M1084=1,AND($C1083=12,$D1083=Input!$C$6)),0,IF($E1084="","",W1084+(X1084+AA1085*$R1084)/(1+$L1084)))</f>
        <v/>
      </c>
      <c r="AB1084" s="160" t="str">
        <f t="shared" si="339"/>
        <v/>
      </c>
      <c r="AC1084" s="164" t="str">
        <f t="shared" si="340"/>
        <v/>
      </c>
      <c r="AD1084" s="164" t="str">
        <f>IF(AND($C1083=12,$D1083=Input!$C$6),0,IF($E1084="","",$AC1084+AD1085/(1+$L1084)*$R1084))</f>
        <v/>
      </c>
      <c r="AE1084" s="152"/>
      <c r="AF1084" s="164" t="str">
        <f>IF(AND($C1083=12,$D1083=Input!$C$6),0,IF($E1084="","",IF($B1084&gt;Input!$C$9,$AC1084,0)+AF1085/(1+$L1084)*$R1084))</f>
        <v/>
      </c>
      <c r="AG1084" s="164" t="str">
        <f>IF(AND($C1083=12,$D1083=Input!$C$6),0,IF($E1084="","",(IF($B1084&gt;Input!$C$9,$X1084,0)+AG1085)/(1+$L1084)*$R1084))</f>
        <v/>
      </c>
      <c r="AH1084" s="160" t="str">
        <f t="shared" si="341"/>
        <v/>
      </c>
      <c r="AI1084" s="160" t="str">
        <f>IF($E1084="","",MIN(Input!$C$61/AH1084,1))</f>
        <v/>
      </c>
      <c r="AJ1084" s="152"/>
      <c r="AK1084" s="164" t="str">
        <f>IF(AND($C1083=12,$D1083=Input!$C$6),0,IF($E1084="","",IF($B1084&gt;Input!$C$9,$AC1084*AI1084,0)+AK1085/(1+$L1084)*$R1084))</f>
        <v/>
      </c>
      <c r="AL1084" s="164" t="str">
        <f>IF(AND($C1083=12,$D1083=Input!$C$6),0,IF($E1084="","",IF($B1084&gt;Input!$C$9,0,$AC1084)+AL1085/(1+$L1084)*$R1084))</f>
        <v/>
      </c>
      <c r="AM1084" s="160" t="str">
        <f t="shared" si="342"/>
        <v/>
      </c>
      <c r="AN1084" s="164" t="str">
        <f>IF($E1084="","",IF($B1084&gt;Input!$C$9,$AI1084*$AC1084,$AM1084*$AC1084))</f>
        <v/>
      </c>
      <c r="AO1084" s="164" t="str">
        <f>IF(AND($C1083=12,$D1083=Input!$C$6),0,IF($E1084="","",$AN1084+AO1085/(1+$L1084)*$R1084))</f>
        <v/>
      </c>
      <c r="AP1084" s="152"/>
      <c r="AQ1084" s="164" t="str">
        <f t="shared" si="343"/>
        <v/>
      </c>
      <c r="AR1084" s="164" t="str">
        <f t="shared" si="352"/>
        <v/>
      </c>
      <c r="AS1084" s="164" t="str">
        <f t="shared" si="353"/>
        <v/>
      </c>
      <c r="AT1084" s="164" t="str">
        <f t="shared" si="344"/>
        <v/>
      </c>
      <c r="AU1084" s="152"/>
      <c r="AV1084" s="147" t="str">
        <f>'Deterministic Reserve'!BC1084</f>
        <v/>
      </c>
      <c r="AW1084" s="164" t="str">
        <f t="shared" si="345"/>
        <v/>
      </c>
      <c r="AX1084" s="164" t="str">
        <f t="shared" si="346"/>
        <v/>
      </c>
      <c r="AY1084" s="152"/>
    </row>
    <row r="1085" spans="1:51" s="150" customFormat="1" x14ac:dyDescent="0.25">
      <c r="A1085" s="150" t="str">
        <f t="shared" si="354"/>
        <v/>
      </c>
      <c r="B1085" s="150" t="str">
        <f t="shared" si="355"/>
        <v/>
      </c>
      <c r="C1085" s="150" t="str">
        <f t="shared" si="356"/>
        <v/>
      </c>
      <c r="D1085" s="150" t="str">
        <f>IF(E1085="","",Input!$C$4+B1085-1)</f>
        <v/>
      </c>
      <c r="E1085" s="150" t="str">
        <f>IF(OR(AND(C1084=12,D1084=Input!$C$6),E1084=""),"",1)</f>
        <v/>
      </c>
      <c r="F1085" s="150" t="str">
        <f>IF(E1085="","",Input!$C$8+B1085-1)</f>
        <v/>
      </c>
      <c r="G1085" s="151" t="str">
        <f>IF(E1085="","",MAX(0,Input!$C$9-B1085))</f>
        <v/>
      </c>
      <c r="H1085" s="152" t="str">
        <f>IF(E1085="","",Input!$C$3)</f>
        <v/>
      </c>
      <c r="I1085" s="153" t="str">
        <f>IF(E1085="","",HLOOKUP($B1085,Input!$C$13:$BT$14,2))</f>
        <v/>
      </c>
      <c r="J1085" s="154"/>
      <c r="K1085" s="155" t="str">
        <f>IF($E1085="","",Input!$C$57)</f>
        <v/>
      </c>
      <c r="L1085" s="155" t="str">
        <f t="shared" si="347"/>
        <v/>
      </c>
      <c r="M1085" s="147" t="str">
        <f>IF($E1085="","",VLOOKUP(IF($B1085&lt;=Input!$C$7,$B1085,26),'Mortality Tables'!$A$72:$CA$97,IF($B1085&lt;=Input!$C$7+1,Input!$C$4-16,$D1085-Input!$C$7-16),0)/1000)</f>
        <v/>
      </c>
      <c r="N1085" s="147" t="str">
        <f t="shared" si="336"/>
        <v/>
      </c>
      <c r="O1085" s="157" t="str">
        <f>IF($E1085="","",IF($C1085=12,IF($B1085&lt;Input!$C$9,Input!$C$54,IF($B1085=Input!$C$9,Input!$C$55,Input!$C$56)),0%))</f>
        <v/>
      </c>
      <c r="P1085" s="167" t="str">
        <f>IF($E1085="","",IF($B1085=1,Input!$C$59,IF($B1085&lt;6,Input!$C$60,0%)))</f>
        <v/>
      </c>
      <c r="Q1085" s="162" t="str">
        <f>IF($E1085="","",Input!$C$58)</f>
        <v/>
      </c>
      <c r="R1085" s="156" t="str">
        <f t="shared" si="348"/>
        <v/>
      </c>
      <c r="S1085" s="154" t="str">
        <f t="shared" si="337"/>
        <v/>
      </c>
      <c r="T1085" s="152"/>
      <c r="U1085" s="150" t="str">
        <f t="shared" si="349"/>
        <v/>
      </c>
      <c r="V1085" s="150" t="str">
        <f t="shared" si="350"/>
        <v/>
      </c>
      <c r="W1085" s="168" t="str">
        <f t="shared" si="351"/>
        <v/>
      </c>
      <c r="X1085" s="163" t="str">
        <f t="shared" si="338"/>
        <v/>
      </c>
      <c r="Y1085" s="152"/>
      <c r="Z1085" s="164" t="str">
        <f>IF(AND($C1084=12,$D1084=Input!$C$6),0,IF($E1085="","",V1085+Z1086/(1+L1085)*R1085))</f>
        <v/>
      </c>
      <c r="AA1085" s="164" t="str">
        <f>IF(OR($M1085=1,AND($C1084=12,$D1084=Input!$C$6)),0,IF($E1085="","",W1085+(X1085+AA1086*$R1085)/(1+$L1085)))</f>
        <v/>
      </c>
      <c r="AB1085" s="160" t="str">
        <f t="shared" si="339"/>
        <v/>
      </c>
      <c r="AC1085" s="164" t="str">
        <f t="shared" si="340"/>
        <v/>
      </c>
      <c r="AD1085" s="164" t="str">
        <f>IF(AND($C1084=12,$D1084=Input!$C$6),0,IF($E1085="","",$AC1085+AD1086/(1+$L1085)*$R1085))</f>
        <v/>
      </c>
      <c r="AE1085" s="152"/>
      <c r="AF1085" s="164" t="str">
        <f>IF(AND($C1084=12,$D1084=Input!$C$6),0,IF($E1085="","",IF($B1085&gt;Input!$C$9,$AC1085,0)+AF1086/(1+$L1085)*$R1085))</f>
        <v/>
      </c>
      <c r="AG1085" s="164" t="str">
        <f>IF(AND($C1084=12,$D1084=Input!$C$6),0,IF($E1085="","",(IF($B1085&gt;Input!$C$9,$X1085,0)+AG1086)/(1+$L1085)*$R1085))</f>
        <v/>
      </c>
      <c r="AH1085" s="160" t="str">
        <f t="shared" si="341"/>
        <v/>
      </c>
      <c r="AI1085" s="160" t="str">
        <f>IF($E1085="","",MIN(Input!$C$61/AH1085,1))</f>
        <v/>
      </c>
      <c r="AJ1085" s="152"/>
      <c r="AK1085" s="164" t="str">
        <f>IF(AND($C1084=12,$D1084=Input!$C$6),0,IF($E1085="","",IF($B1085&gt;Input!$C$9,$AC1085*AI1085,0)+AK1086/(1+$L1085)*$R1085))</f>
        <v/>
      </c>
      <c r="AL1085" s="164" t="str">
        <f>IF(AND($C1084=12,$D1084=Input!$C$6),0,IF($E1085="","",IF($B1085&gt;Input!$C$9,0,$AC1085)+AL1086/(1+$L1085)*$R1085))</f>
        <v/>
      </c>
      <c r="AM1085" s="160" t="str">
        <f t="shared" si="342"/>
        <v/>
      </c>
      <c r="AN1085" s="164" t="str">
        <f>IF($E1085="","",IF($B1085&gt;Input!$C$9,$AI1085*$AC1085,$AM1085*$AC1085))</f>
        <v/>
      </c>
      <c r="AO1085" s="164" t="str">
        <f>IF(AND($C1084=12,$D1084=Input!$C$6),0,IF($E1085="","",$AN1085+AO1086/(1+$L1085)*$R1085))</f>
        <v/>
      </c>
      <c r="AP1085" s="152"/>
      <c r="AQ1085" s="164" t="str">
        <f t="shared" si="343"/>
        <v/>
      </c>
      <c r="AR1085" s="164" t="str">
        <f t="shared" si="352"/>
        <v/>
      </c>
      <c r="AS1085" s="164" t="str">
        <f t="shared" si="353"/>
        <v/>
      </c>
      <c r="AT1085" s="164" t="str">
        <f t="shared" si="344"/>
        <v/>
      </c>
      <c r="AU1085" s="152"/>
      <c r="AV1085" s="147" t="str">
        <f>'Deterministic Reserve'!BC1085</f>
        <v/>
      </c>
      <c r="AW1085" s="164" t="str">
        <f t="shared" si="345"/>
        <v/>
      </c>
      <c r="AX1085" s="164" t="str">
        <f t="shared" si="346"/>
        <v/>
      </c>
      <c r="AY1085" s="152"/>
    </row>
    <row r="1086" spans="1:51" s="150" customFormat="1" x14ac:dyDescent="0.25">
      <c r="A1086" s="150" t="str">
        <f t="shared" si="354"/>
        <v/>
      </c>
      <c r="B1086" s="150" t="str">
        <f t="shared" si="355"/>
        <v/>
      </c>
      <c r="C1086" s="150" t="str">
        <f t="shared" si="356"/>
        <v/>
      </c>
      <c r="D1086" s="150" t="str">
        <f>IF(E1086="","",Input!$C$4+B1086-1)</f>
        <v/>
      </c>
      <c r="E1086" s="150" t="str">
        <f>IF(OR(AND(C1085=12,D1085=Input!$C$6),E1085=""),"",1)</f>
        <v/>
      </c>
      <c r="F1086" s="150" t="str">
        <f>IF(E1086="","",Input!$C$8+B1086-1)</f>
        <v/>
      </c>
      <c r="G1086" s="151" t="str">
        <f>IF(E1086="","",MAX(0,Input!$C$9-B1086))</f>
        <v/>
      </c>
      <c r="H1086" s="152" t="str">
        <f>IF(E1086="","",Input!$C$3)</f>
        <v/>
      </c>
      <c r="I1086" s="153" t="str">
        <f>IF(E1086="","",HLOOKUP($B1086,Input!$C$13:$BT$14,2))</f>
        <v/>
      </c>
      <c r="J1086" s="154"/>
      <c r="K1086" s="155" t="str">
        <f>IF($E1086="","",Input!$C$57)</f>
        <v/>
      </c>
      <c r="L1086" s="155" t="str">
        <f t="shared" si="347"/>
        <v/>
      </c>
      <c r="M1086" s="147" t="str">
        <f>IF($E1086="","",VLOOKUP(IF($B1086&lt;=Input!$C$7,$B1086,26),'Mortality Tables'!$A$72:$CA$97,IF($B1086&lt;=Input!$C$7+1,Input!$C$4-16,$D1086-Input!$C$7-16),0)/1000)</f>
        <v/>
      </c>
      <c r="N1086" s="147" t="str">
        <f t="shared" si="336"/>
        <v/>
      </c>
      <c r="O1086" s="157" t="str">
        <f>IF($E1086="","",IF($C1086=12,IF($B1086&lt;Input!$C$9,Input!$C$54,IF($B1086=Input!$C$9,Input!$C$55,Input!$C$56)),0%))</f>
        <v/>
      </c>
      <c r="P1086" s="167" t="str">
        <f>IF($E1086="","",IF($B1086=1,Input!$C$59,IF($B1086&lt;6,Input!$C$60,0%)))</f>
        <v/>
      </c>
      <c r="Q1086" s="162" t="str">
        <f>IF($E1086="","",Input!$C$58)</f>
        <v/>
      </c>
      <c r="R1086" s="156" t="str">
        <f t="shared" si="348"/>
        <v/>
      </c>
      <c r="S1086" s="154" t="str">
        <f t="shared" si="337"/>
        <v/>
      </c>
      <c r="T1086" s="152"/>
      <c r="U1086" s="150" t="str">
        <f t="shared" si="349"/>
        <v/>
      </c>
      <c r="V1086" s="150" t="str">
        <f t="shared" si="350"/>
        <v/>
      </c>
      <c r="W1086" s="168" t="str">
        <f t="shared" si="351"/>
        <v/>
      </c>
      <c r="X1086" s="163" t="str">
        <f t="shared" si="338"/>
        <v/>
      </c>
      <c r="Y1086" s="152"/>
      <c r="Z1086" s="164" t="str">
        <f>IF(AND($C1085=12,$D1085=Input!$C$6),0,IF($E1086="","",V1086+Z1087/(1+L1086)*R1086))</f>
        <v/>
      </c>
      <c r="AA1086" s="164" t="str">
        <f>IF(OR($M1086=1,AND($C1085=12,$D1085=Input!$C$6)),0,IF($E1086="","",W1086+(X1086+AA1087*$R1086)/(1+$L1086)))</f>
        <v/>
      </c>
      <c r="AB1086" s="160" t="str">
        <f t="shared" si="339"/>
        <v/>
      </c>
      <c r="AC1086" s="164" t="str">
        <f t="shared" si="340"/>
        <v/>
      </c>
      <c r="AD1086" s="164" t="str">
        <f>IF(AND($C1085=12,$D1085=Input!$C$6),0,IF($E1086="","",$AC1086+AD1087/(1+$L1086)*$R1086))</f>
        <v/>
      </c>
      <c r="AE1086" s="152"/>
      <c r="AF1086" s="164" t="str">
        <f>IF(AND($C1085=12,$D1085=Input!$C$6),0,IF($E1086="","",IF($B1086&gt;Input!$C$9,$AC1086,0)+AF1087/(1+$L1086)*$R1086))</f>
        <v/>
      </c>
      <c r="AG1086" s="164" t="str">
        <f>IF(AND($C1085=12,$D1085=Input!$C$6),0,IF($E1086="","",(IF($B1086&gt;Input!$C$9,$X1086,0)+AG1087)/(1+$L1086)*$R1086))</f>
        <v/>
      </c>
      <c r="AH1086" s="160" t="str">
        <f t="shared" si="341"/>
        <v/>
      </c>
      <c r="AI1086" s="160" t="str">
        <f>IF($E1086="","",MIN(Input!$C$61/AH1086,1))</f>
        <v/>
      </c>
      <c r="AJ1086" s="152"/>
      <c r="AK1086" s="164" t="str">
        <f>IF(AND($C1085=12,$D1085=Input!$C$6),0,IF($E1086="","",IF($B1086&gt;Input!$C$9,$AC1086*AI1086,0)+AK1087/(1+$L1086)*$R1086))</f>
        <v/>
      </c>
      <c r="AL1086" s="164" t="str">
        <f>IF(AND($C1085=12,$D1085=Input!$C$6),0,IF($E1086="","",IF($B1086&gt;Input!$C$9,0,$AC1086)+AL1087/(1+$L1086)*$R1086))</f>
        <v/>
      </c>
      <c r="AM1086" s="160" t="str">
        <f t="shared" si="342"/>
        <v/>
      </c>
      <c r="AN1086" s="164" t="str">
        <f>IF($E1086="","",IF($B1086&gt;Input!$C$9,$AI1086*$AC1086,$AM1086*$AC1086))</f>
        <v/>
      </c>
      <c r="AO1086" s="164" t="str">
        <f>IF(AND($C1085=12,$D1085=Input!$C$6),0,IF($E1086="","",$AN1086+AO1087/(1+$L1086)*$R1086))</f>
        <v/>
      </c>
      <c r="AP1086" s="152"/>
      <c r="AQ1086" s="164" t="str">
        <f t="shared" si="343"/>
        <v/>
      </c>
      <c r="AR1086" s="164" t="str">
        <f t="shared" si="352"/>
        <v/>
      </c>
      <c r="AS1086" s="164" t="str">
        <f t="shared" si="353"/>
        <v/>
      </c>
      <c r="AT1086" s="164" t="str">
        <f t="shared" si="344"/>
        <v/>
      </c>
      <c r="AU1086" s="152"/>
      <c r="AV1086" s="147" t="str">
        <f>'Deterministic Reserve'!BC1086</f>
        <v/>
      </c>
      <c r="AW1086" s="164" t="str">
        <f t="shared" si="345"/>
        <v/>
      </c>
      <c r="AX1086" s="164" t="str">
        <f t="shared" si="346"/>
        <v/>
      </c>
      <c r="AY1086" s="152"/>
    </row>
    <row r="1087" spans="1:51" s="150" customFormat="1" x14ac:dyDescent="0.25">
      <c r="A1087" s="150" t="str">
        <f t="shared" si="354"/>
        <v/>
      </c>
      <c r="B1087" s="150" t="str">
        <f t="shared" si="355"/>
        <v/>
      </c>
      <c r="C1087" s="150" t="str">
        <f t="shared" si="356"/>
        <v/>
      </c>
      <c r="D1087" s="150" t="str">
        <f>IF(E1087="","",Input!$C$4+B1087-1)</f>
        <v/>
      </c>
      <c r="E1087" s="150" t="str">
        <f>IF(OR(AND(C1086=12,D1086=Input!$C$6),E1086=""),"",1)</f>
        <v/>
      </c>
      <c r="F1087" s="150" t="str">
        <f>IF(E1087="","",Input!$C$8+B1087-1)</f>
        <v/>
      </c>
      <c r="G1087" s="151" t="str">
        <f>IF(E1087="","",MAX(0,Input!$C$9-B1087))</f>
        <v/>
      </c>
      <c r="H1087" s="152" t="str">
        <f>IF(E1087="","",Input!$C$3)</f>
        <v/>
      </c>
      <c r="I1087" s="153" t="str">
        <f>IF(E1087="","",HLOOKUP($B1087,Input!$C$13:$BT$14,2))</f>
        <v/>
      </c>
      <c r="J1087" s="154"/>
      <c r="K1087" s="155" t="str">
        <f>IF($E1087="","",Input!$C$57)</f>
        <v/>
      </c>
      <c r="L1087" s="155" t="str">
        <f t="shared" si="347"/>
        <v/>
      </c>
      <c r="M1087" s="147" t="str">
        <f>IF($E1087="","",VLOOKUP(IF($B1087&lt;=Input!$C$7,$B1087,26),'Mortality Tables'!$A$72:$CA$97,IF($B1087&lt;=Input!$C$7+1,Input!$C$4-16,$D1087-Input!$C$7-16),0)/1000)</f>
        <v/>
      </c>
      <c r="N1087" s="147" t="str">
        <f t="shared" si="336"/>
        <v/>
      </c>
      <c r="O1087" s="157" t="str">
        <f>IF($E1087="","",IF($C1087=12,IF($B1087&lt;Input!$C$9,Input!$C$54,IF($B1087=Input!$C$9,Input!$C$55,Input!$C$56)),0%))</f>
        <v/>
      </c>
      <c r="P1087" s="167" t="str">
        <f>IF($E1087="","",IF($B1087=1,Input!$C$59,IF($B1087&lt;6,Input!$C$60,0%)))</f>
        <v/>
      </c>
      <c r="Q1087" s="162" t="str">
        <f>IF($E1087="","",Input!$C$58)</f>
        <v/>
      </c>
      <c r="R1087" s="156" t="str">
        <f t="shared" si="348"/>
        <v/>
      </c>
      <c r="S1087" s="154" t="str">
        <f t="shared" si="337"/>
        <v/>
      </c>
      <c r="T1087" s="152"/>
      <c r="U1087" s="150" t="str">
        <f t="shared" si="349"/>
        <v/>
      </c>
      <c r="V1087" s="150" t="str">
        <f t="shared" si="350"/>
        <v/>
      </c>
      <c r="W1087" s="168" t="str">
        <f t="shared" si="351"/>
        <v/>
      </c>
      <c r="X1087" s="163" t="str">
        <f t="shared" si="338"/>
        <v/>
      </c>
      <c r="Y1087" s="152"/>
      <c r="Z1087" s="164" t="str">
        <f>IF(AND($C1086=12,$D1086=Input!$C$6),0,IF($E1087="","",V1087+Z1088/(1+L1087)*R1087))</f>
        <v/>
      </c>
      <c r="AA1087" s="164" t="str">
        <f>IF(OR($M1087=1,AND($C1086=12,$D1086=Input!$C$6)),0,IF($E1087="","",W1087+(X1087+AA1088*$R1087)/(1+$L1087)))</f>
        <v/>
      </c>
      <c r="AB1087" s="160" t="str">
        <f t="shared" si="339"/>
        <v/>
      </c>
      <c r="AC1087" s="164" t="str">
        <f t="shared" si="340"/>
        <v/>
      </c>
      <c r="AD1087" s="164" t="str">
        <f>IF(AND($C1086=12,$D1086=Input!$C$6),0,IF($E1087="","",$AC1087+AD1088/(1+$L1087)*$R1087))</f>
        <v/>
      </c>
      <c r="AE1087" s="152"/>
      <c r="AF1087" s="164" t="str">
        <f>IF(AND($C1086=12,$D1086=Input!$C$6),0,IF($E1087="","",IF($B1087&gt;Input!$C$9,$AC1087,0)+AF1088/(1+$L1087)*$R1087))</f>
        <v/>
      </c>
      <c r="AG1087" s="164" t="str">
        <f>IF(AND($C1086=12,$D1086=Input!$C$6),0,IF($E1087="","",(IF($B1087&gt;Input!$C$9,$X1087,0)+AG1088)/(1+$L1087)*$R1087))</f>
        <v/>
      </c>
      <c r="AH1087" s="160" t="str">
        <f t="shared" si="341"/>
        <v/>
      </c>
      <c r="AI1087" s="160" t="str">
        <f>IF($E1087="","",MIN(Input!$C$61/AH1087,1))</f>
        <v/>
      </c>
      <c r="AJ1087" s="152"/>
      <c r="AK1087" s="164" t="str">
        <f>IF(AND($C1086=12,$D1086=Input!$C$6),0,IF($E1087="","",IF($B1087&gt;Input!$C$9,$AC1087*AI1087,0)+AK1088/(1+$L1087)*$R1087))</f>
        <v/>
      </c>
      <c r="AL1087" s="164" t="str">
        <f>IF(AND($C1086=12,$D1086=Input!$C$6),0,IF($E1087="","",IF($B1087&gt;Input!$C$9,0,$AC1087)+AL1088/(1+$L1087)*$R1087))</f>
        <v/>
      </c>
      <c r="AM1087" s="160" t="str">
        <f t="shared" si="342"/>
        <v/>
      </c>
      <c r="AN1087" s="164" t="str">
        <f>IF($E1087="","",IF($B1087&gt;Input!$C$9,$AI1087*$AC1087,$AM1087*$AC1087))</f>
        <v/>
      </c>
      <c r="AO1087" s="164" t="str">
        <f>IF(AND($C1086=12,$D1086=Input!$C$6),0,IF($E1087="","",$AN1087+AO1088/(1+$L1087)*$R1087))</f>
        <v/>
      </c>
      <c r="AP1087" s="152"/>
      <c r="AQ1087" s="164" t="str">
        <f t="shared" si="343"/>
        <v/>
      </c>
      <c r="AR1087" s="164" t="str">
        <f t="shared" si="352"/>
        <v/>
      </c>
      <c r="AS1087" s="164" t="str">
        <f t="shared" si="353"/>
        <v/>
      </c>
      <c r="AT1087" s="164" t="str">
        <f t="shared" si="344"/>
        <v/>
      </c>
      <c r="AU1087" s="152"/>
      <c r="AV1087" s="147" t="str">
        <f>'Deterministic Reserve'!BC1087</f>
        <v/>
      </c>
      <c r="AW1087" s="164" t="str">
        <f t="shared" si="345"/>
        <v/>
      </c>
      <c r="AX1087" s="164" t="str">
        <f t="shared" si="346"/>
        <v/>
      </c>
      <c r="AY1087" s="152"/>
    </row>
    <row r="1088" spans="1:51" s="150" customFormat="1" x14ac:dyDescent="0.25">
      <c r="A1088" s="150" t="str">
        <f t="shared" si="354"/>
        <v/>
      </c>
      <c r="B1088" s="150" t="str">
        <f t="shared" si="355"/>
        <v/>
      </c>
      <c r="C1088" s="150" t="str">
        <f t="shared" si="356"/>
        <v/>
      </c>
      <c r="D1088" s="150" t="str">
        <f>IF(E1088="","",Input!$C$4+B1088-1)</f>
        <v/>
      </c>
      <c r="E1088" s="150" t="str">
        <f>IF(OR(AND(C1087=12,D1087=Input!$C$6),E1087=""),"",1)</f>
        <v/>
      </c>
      <c r="F1088" s="150" t="str">
        <f>IF(E1088="","",Input!$C$8+B1088-1)</f>
        <v/>
      </c>
      <c r="G1088" s="151" t="str">
        <f>IF(E1088="","",MAX(0,Input!$C$9-B1088))</f>
        <v/>
      </c>
      <c r="H1088" s="152" t="str">
        <f>IF(E1088="","",Input!$C$3)</f>
        <v/>
      </c>
      <c r="I1088" s="153" t="str">
        <f>IF(E1088="","",HLOOKUP($B1088,Input!$C$13:$BT$14,2))</f>
        <v/>
      </c>
      <c r="J1088" s="154"/>
      <c r="K1088" s="155" t="str">
        <f>IF($E1088="","",Input!$C$57)</f>
        <v/>
      </c>
      <c r="L1088" s="155" t="str">
        <f t="shared" si="347"/>
        <v/>
      </c>
      <c r="M1088" s="147" t="str">
        <f>IF($E1088="","",VLOOKUP(IF($B1088&lt;=Input!$C$7,$B1088,26),'Mortality Tables'!$A$72:$CA$97,IF($B1088&lt;=Input!$C$7+1,Input!$C$4-16,$D1088-Input!$C$7-16),0)/1000)</f>
        <v/>
      </c>
      <c r="N1088" s="147" t="str">
        <f t="shared" si="336"/>
        <v/>
      </c>
      <c r="O1088" s="157" t="str">
        <f>IF($E1088="","",IF($C1088=12,IF($B1088&lt;Input!$C$9,Input!$C$54,IF($B1088=Input!$C$9,Input!$C$55,Input!$C$56)),0%))</f>
        <v/>
      </c>
      <c r="P1088" s="167" t="str">
        <f>IF($E1088="","",IF($B1088=1,Input!$C$59,IF($B1088&lt;6,Input!$C$60,0%)))</f>
        <v/>
      </c>
      <c r="Q1088" s="162" t="str">
        <f>IF($E1088="","",Input!$C$58)</f>
        <v/>
      </c>
      <c r="R1088" s="156" t="str">
        <f t="shared" si="348"/>
        <v/>
      </c>
      <c r="S1088" s="154" t="str">
        <f t="shared" si="337"/>
        <v/>
      </c>
      <c r="T1088" s="152"/>
      <c r="U1088" s="150" t="str">
        <f t="shared" si="349"/>
        <v/>
      </c>
      <c r="V1088" s="150" t="str">
        <f t="shared" si="350"/>
        <v/>
      </c>
      <c r="W1088" s="168" t="str">
        <f t="shared" si="351"/>
        <v/>
      </c>
      <c r="X1088" s="163" t="str">
        <f t="shared" si="338"/>
        <v/>
      </c>
      <c r="Y1088" s="152"/>
      <c r="Z1088" s="164" t="str">
        <f>IF(AND($C1087=12,$D1087=Input!$C$6),0,IF($E1088="","",V1088+Z1089/(1+L1088)*R1088))</f>
        <v/>
      </c>
      <c r="AA1088" s="164" t="str">
        <f>IF(OR($M1088=1,AND($C1087=12,$D1087=Input!$C$6)),0,IF($E1088="","",W1088+(X1088+AA1089*$R1088)/(1+$L1088)))</f>
        <v/>
      </c>
      <c r="AB1088" s="160" t="str">
        <f t="shared" si="339"/>
        <v/>
      </c>
      <c r="AC1088" s="164" t="str">
        <f t="shared" si="340"/>
        <v/>
      </c>
      <c r="AD1088" s="164" t="str">
        <f>IF(AND($C1087=12,$D1087=Input!$C$6),0,IF($E1088="","",$AC1088+AD1089/(1+$L1088)*$R1088))</f>
        <v/>
      </c>
      <c r="AE1088" s="152"/>
      <c r="AF1088" s="164" t="str">
        <f>IF(AND($C1087=12,$D1087=Input!$C$6),0,IF($E1088="","",IF($B1088&gt;Input!$C$9,$AC1088,0)+AF1089/(1+$L1088)*$R1088))</f>
        <v/>
      </c>
      <c r="AG1088" s="164" t="str">
        <f>IF(AND($C1087=12,$D1087=Input!$C$6),0,IF($E1088="","",(IF($B1088&gt;Input!$C$9,$X1088,0)+AG1089)/(1+$L1088)*$R1088))</f>
        <v/>
      </c>
      <c r="AH1088" s="160" t="str">
        <f t="shared" si="341"/>
        <v/>
      </c>
      <c r="AI1088" s="160" t="str">
        <f>IF($E1088="","",MIN(Input!$C$61/AH1088,1))</f>
        <v/>
      </c>
      <c r="AJ1088" s="152"/>
      <c r="AK1088" s="164" t="str">
        <f>IF(AND($C1087=12,$D1087=Input!$C$6),0,IF($E1088="","",IF($B1088&gt;Input!$C$9,$AC1088*AI1088,0)+AK1089/(1+$L1088)*$R1088))</f>
        <v/>
      </c>
      <c r="AL1088" s="164" t="str">
        <f>IF(AND($C1087=12,$D1087=Input!$C$6),0,IF($E1088="","",IF($B1088&gt;Input!$C$9,0,$AC1088)+AL1089/(1+$L1088)*$R1088))</f>
        <v/>
      </c>
      <c r="AM1088" s="160" t="str">
        <f t="shared" si="342"/>
        <v/>
      </c>
      <c r="AN1088" s="164" t="str">
        <f>IF($E1088="","",IF($B1088&gt;Input!$C$9,$AI1088*$AC1088,$AM1088*$AC1088))</f>
        <v/>
      </c>
      <c r="AO1088" s="164" t="str">
        <f>IF(AND($C1087=12,$D1087=Input!$C$6),0,IF($E1088="","",$AN1088+AO1089/(1+$L1088)*$R1088))</f>
        <v/>
      </c>
      <c r="AP1088" s="152"/>
      <c r="AQ1088" s="164" t="str">
        <f t="shared" si="343"/>
        <v/>
      </c>
      <c r="AR1088" s="164" t="str">
        <f t="shared" si="352"/>
        <v/>
      </c>
      <c r="AS1088" s="164" t="str">
        <f t="shared" si="353"/>
        <v/>
      </c>
      <c r="AT1088" s="164" t="str">
        <f t="shared" si="344"/>
        <v/>
      </c>
      <c r="AU1088" s="152"/>
      <c r="AV1088" s="147" t="str">
        <f>'Deterministic Reserve'!BC1088</f>
        <v/>
      </c>
      <c r="AW1088" s="164" t="str">
        <f t="shared" si="345"/>
        <v/>
      </c>
      <c r="AX1088" s="164" t="str">
        <f t="shared" si="346"/>
        <v/>
      </c>
      <c r="AY1088" s="152"/>
    </row>
    <row r="1089" spans="1:51" s="150" customFormat="1" x14ac:dyDescent="0.25">
      <c r="A1089" s="150" t="str">
        <f t="shared" si="354"/>
        <v/>
      </c>
      <c r="B1089" s="150" t="str">
        <f t="shared" si="355"/>
        <v/>
      </c>
      <c r="C1089" s="150" t="str">
        <f t="shared" si="356"/>
        <v/>
      </c>
      <c r="D1089" s="150" t="str">
        <f>IF(E1089="","",Input!$C$4+B1089-1)</f>
        <v/>
      </c>
      <c r="E1089" s="150" t="str">
        <f>IF(OR(AND(C1088=12,D1088=Input!$C$6),E1088=""),"",1)</f>
        <v/>
      </c>
      <c r="F1089" s="150" t="str">
        <f>IF(E1089="","",Input!$C$8+B1089-1)</f>
        <v/>
      </c>
      <c r="G1089" s="151" t="str">
        <f>IF(E1089="","",MAX(0,Input!$C$9-B1089))</f>
        <v/>
      </c>
      <c r="H1089" s="152" t="str">
        <f>IF(E1089="","",Input!$C$3)</f>
        <v/>
      </c>
      <c r="I1089" s="153" t="str">
        <f>IF(E1089="","",HLOOKUP($B1089,Input!$C$13:$BT$14,2))</f>
        <v/>
      </c>
      <c r="J1089" s="154"/>
      <c r="K1089" s="155" t="str">
        <f>IF($E1089="","",Input!$C$57)</f>
        <v/>
      </c>
      <c r="L1089" s="155" t="str">
        <f t="shared" si="347"/>
        <v/>
      </c>
      <c r="M1089" s="147" t="str">
        <f>IF($E1089="","",VLOOKUP(IF($B1089&lt;=Input!$C$7,$B1089,26),'Mortality Tables'!$A$72:$CA$97,IF($B1089&lt;=Input!$C$7+1,Input!$C$4-16,$D1089-Input!$C$7-16),0)/1000)</f>
        <v/>
      </c>
      <c r="N1089" s="147" t="str">
        <f t="shared" si="336"/>
        <v/>
      </c>
      <c r="O1089" s="157" t="str">
        <f>IF($E1089="","",IF($C1089=12,IF($B1089&lt;Input!$C$9,Input!$C$54,IF($B1089=Input!$C$9,Input!$C$55,Input!$C$56)),0%))</f>
        <v/>
      </c>
      <c r="P1089" s="167" t="str">
        <f>IF($E1089="","",IF($B1089=1,Input!$C$59,IF($B1089&lt;6,Input!$C$60,0%)))</f>
        <v/>
      </c>
      <c r="Q1089" s="162" t="str">
        <f>IF($E1089="","",Input!$C$58)</f>
        <v/>
      </c>
      <c r="R1089" s="156" t="str">
        <f t="shared" si="348"/>
        <v/>
      </c>
      <c r="S1089" s="154" t="str">
        <f t="shared" si="337"/>
        <v/>
      </c>
      <c r="T1089" s="152"/>
      <c r="U1089" s="150" t="str">
        <f t="shared" si="349"/>
        <v/>
      </c>
      <c r="V1089" s="150" t="str">
        <f t="shared" si="350"/>
        <v/>
      </c>
      <c r="W1089" s="168" t="str">
        <f t="shared" si="351"/>
        <v/>
      </c>
      <c r="X1089" s="163" t="str">
        <f t="shared" si="338"/>
        <v/>
      </c>
      <c r="Y1089" s="152"/>
      <c r="Z1089" s="164" t="str">
        <f>IF(AND($C1088=12,$D1088=Input!$C$6),0,IF($E1089="","",V1089+Z1090/(1+L1089)*R1089))</f>
        <v/>
      </c>
      <c r="AA1089" s="164" t="str">
        <f>IF(OR($M1089=1,AND($C1088=12,$D1088=Input!$C$6)),0,IF($E1089="","",W1089+(X1089+AA1090*$R1089)/(1+$L1089)))</f>
        <v/>
      </c>
      <c r="AB1089" s="160" t="str">
        <f t="shared" si="339"/>
        <v/>
      </c>
      <c r="AC1089" s="164" t="str">
        <f t="shared" si="340"/>
        <v/>
      </c>
      <c r="AD1089" s="164" t="str">
        <f>IF(AND($C1088=12,$D1088=Input!$C$6),0,IF($E1089="","",$AC1089+AD1090/(1+$L1089)*$R1089))</f>
        <v/>
      </c>
      <c r="AE1089" s="152"/>
      <c r="AF1089" s="164" t="str">
        <f>IF(AND($C1088=12,$D1088=Input!$C$6),0,IF($E1089="","",IF($B1089&gt;Input!$C$9,$AC1089,0)+AF1090/(1+$L1089)*$R1089))</f>
        <v/>
      </c>
      <c r="AG1089" s="164" t="str">
        <f>IF(AND($C1088=12,$D1088=Input!$C$6),0,IF($E1089="","",(IF($B1089&gt;Input!$C$9,$X1089,0)+AG1090)/(1+$L1089)*$R1089))</f>
        <v/>
      </c>
      <c r="AH1089" s="160" t="str">
        <f t="shared" si="341"/>
        <v/>
      </c>
      <c r="AI1089" s="160" t="str">
        <f>IF($E1089="","",MIN(Input!$C$61/AH1089,1))</f>
        <v/>
      </c>
      <c r="AJ1089" s="152"/>
      <c r="AK1089" s="164" t="str">
        <f>IF(AND($C1088=12,$D1088=Input!$C$6),0,IF($E1089="","",IF($B1089&gt;Input!$C$9,$AC1089*AI1089,0)+AK1090/(1+$L1089)*$R1089))</f>
        <v/>
      </c>
      <c r="AL1089" s="164" t="str">
        <f>IF(AND($C1088=12,$D1088=Input!$C$6),0,IF($E1089="","",IF($B1089&gt;Input!$C$9,0,$AC1089)+AL1090/(1+$L1089)*$R1089))</f>
        <v/>
      </c>
      <c r="AM1089" s="160" t="str">
        <f t="shared" si="342"/>
        <v/>
      </c>
      <c r="AN1089" s="164" t="str">
        <f>IF($E1089="","",IF($B1089&gt;Input!$C$9,$AI1089*$AC1089,$AM1089*$AC1089))</f>
        <v/>
      </c>
      <c r="AO1089" s="164" t="str">
        <f>IF(AND($C1088=12,$D1088=Input!$C$6),0,IF($E1089="","",$AN1089+AO1090/(1+$L1089)*$R1089))</f>
        <v/>
      </c>
      <c r="AP1089" s="152"/>
      <c r="AQ1089" s="164" t="str">
        <f t="shared" si="343"/>
        <v/>
      </c>
      <c r="AR1089" s="164" t="str">
        <f t="shared" si="352"/>
        <v/>
      </c>
      <c r="AS1089" s="164" t="str">
        <f t="shared" si="353"/>
        <v/>
      </c>
      <c r="AT1089" s="164" t="str">
        <f t="shared" si="344"/>
        <v/>
      </c>
      <c r="AU1089" s="152"/>
      <c r="AV1089" s="147" t="str">
        <f>'Deterministic Reserve'!BC1089</f>
        <v/>
      </c>
      <c r="AW1089" s="164" t="str">
        <f t="shared" si="345"/>
        <v/>
      </c>
      <c r="AX1089" s="164" t="str">
        <f t="shared" si="346"/>
        <v/>
      </c>
      <c r="AY1089" s="152"/>
    </row>
    <row r="1090" spans="1:51" s="150" customFormat="1" x14ac:dyDescent="0.25">
      <c r="A1090" s="150" t="str">
        <f t="shared" si="354"/>
        <v/>
      </c>
      <c r="B1090" s="150" t="str">
        <f t="shared" si="355"/>
        <v/>
      </c>
      <c r="C1090" s="150" t="str">
        <f t="shared" si="356"/>
        <v/>
      </c>
      <c r="D1090" s="150" t="str">
        <f>IF(E1090="","",Input!$C$4+B1090-1)</f>
        <v/>
      </c>
      <c r="E1090" s="150" t="str">
        <f>IF(OR(AND(C1089=12,D1089=Input!$C$6),E1089=""),"",1)</f>
        <v/>
      </c>
      <c r="F1090" s="150" t="str">
        <f>IF(E1090="","",Input!$C$8+B1090-1)</f>
        <v/>
      </c>
      <c r="G1090" s="151" t="str">
        <f>IF(E1090="","",MAX(0,Input!$C$9-B1090))</f>
        <v/>
      </c>
      <c r="H1090" s="152" t="str">
        <f>IF(E1090="","",Input!$C$3)</f>
        <v/>
      </c>
      <c r="I1090" s="153" t="str">
        <f>IF(E1090="","",HLOOKUP($B1090,Input!$C$13:$BT$14,2))</f>
        <v/>
      </c>
      <c r="J1090" s="154"/>
      <c r="K1090" s="155" t="str">
        <f>IF($E1090="","",Input!$C$57)</f>
        <v/>
      </c>
      <c r="L1090" s="155" t="str">
        <f t="shared" si="347"/>
        <v/>
      </c>
      <c r="M1090" s="147" t="str">
        <f>IF($E1090="","",VLOOKUP(IF($B1090&lt;=Input!$C$7,$B1090,26),'Mortality Tables'!$A$72:$CA$97,IF($B1090&lt;=Input!$C$7+1,Input!$C$4-16,$D1090-Input!$C$7-16),0)/1000)</f>
        <v/>
      </c>
      <c r="N1090" s="147" t="str">
        <f t="shared" si="336"/>
        <v/>
      </c>
      <c r="O1090" s="157" t="str">
        <f>IF($E1090="","",IF($C1090=12,IF($B1090&lt;Input!$C$9,Input!$C$54,IF($B1090=Input!$C$9,Input!$C$55,Input!$C$56)),0%))</f>
        <v/>
      </c>
      <c r="P1090" s="167" t="str">
        <f>IF($E1090="","",IF($B1090=1,Input!$C$59,IF($B1090&lt;6,Input!$C$60,0%)))</f>
        <v/>
      </c>
      <c r="Q1090" s="162" t="str">
        <f>IF($E1090="","",Input!$C$58)</f>
        <v/>
      </c>
      <c r="R1090" s="156" t="str">
        <f t="shared" si="348"/>
        <v/>
      </c>
      <c r="S1090" s="154" t="str">
        <f t="shared" si="337"/>
        <v/>
      </c>
      <c r="T1090" s="152"/>
      <c r="U1090" s="150" t="str">
        <f t="shared" si="349"/>
        <v/>
      </c>
      <c r="V1090" s="150" t="str">
        <f t="shared" si="350"/>
        <v/>
      </c>
      <c r="W1090" s="168" t="str">
        <f t="shared" si="351"/>
        <v/>
      </c>
      <c r="X1090" s="163" t="str">
        <f t="shared" si="338"/>
        <v/>
      </c>
      <c r="Y1090" s="152"/>
      <c r="Z1090" s="164" t="str">
        <f>IF(AND($C1089=12,$D1089=Input!$C$6),0,IF($E1090="","",V1090+Z1091/(1+L1090)*R1090))</f>
        <v/>
      </c>
      <c r="AA1090" s="164" t="str">
        <f>IF(OR($M1090=1,AND($C1089=12,$D1089=Input!$C$6)),0,IF($E1090="","",W1090+(X1090+AA1091*$R1090)/(1+$L1090)))</f>
        <v/>
      </c>
      <c r="AB1090" s="160" t="str">
        <f t="shared" si="339"/>
        <v/>
      </c>
      <c r="AC1090" s="164" t="str">
        <f t="shared" si="340"/>
        <v/>
      </c>
      <c r="AD1090" s="164" t="str">
        <f>IF(AND($C1089=12,$D1089=Input!$C$6),0,IF($E1090="","",$AC1090+AD1091/(1+$L1090)*$R1090))</f>
        <v/>
      </c>
      <c r="AE1090" s="152"/>
      <c r="AF1090" s="164" t="str">
        <f>IF(AND($C1089=12,$D1089=Input!$C$6),0,IF($E1090="","",IF($B1090&gt;Input!$C$9,$AC1090,0)+AF1091/(1+$L1090)*$R1090))</f>
        <v/>
      </c>
      <c r="AG1090" s="164" t="str">
        <f>IF(AND($C1089=12,$D1089=Input!$C$6),0,IF($E1090="","",(IF($B1090&gt;Input!$C$9,$X1090,0)+AG1091)/(1+$L1090)*$R1090))</f>
        <v/>
      </c>
      <c r="AH1090" s="160" t="str">
        <f t="shared" si="341"/>
        <v/>
      </c>
      <c r="AI1090" s="160" t="str">
        <f>IF($E1090="","",MIN(Input!$C$61/AH1090,1))</f>
        <v/>
      </c>
      <c r="AJ1090" s="152"/>
      <c r="AK1090" s="164" t="str">
        <f>IF(AND($C1089=12,$D1089=Input!$C$6),0,IF($E1090="","",IF($B1090&gt;Input!$C$9,$AC1090*AI1090,0)+AK1091/(1+$L1090)*$R1090))</f>
        <v/>
      </c>
      <c r="AL1090" s="164" t="str">
        <f>IF(AND($C1089=12,$D1089=Input!$C$6),0,IF($E1090="","",IF($B1090&gt;Input!$C$9,0,$AC1090)+AL1091/(1+$L1090)*$R1090))</f>
        <v/>
      </c>
      <c r="AM1090" s="160" t="str">
        <f t="shared" si="342"/>
        <v/>
      </c>
      <c r="AN1090" s="164" t="str">
        <f>IF($E1090="","",IF($B1090&gt;Input!$C$9,$AI1090*$AC1090,$AM1090*$AC1090))</f>
        <v/>
      </c>
      <c r="AO1090" s="164" t="str">
        <f>IF(AND($C1089=12,$D1089=Input!$C$6),0,IF($E1090="","",$AN1090+AO1091/(1+$L1090)*$R1090))</f>
        <v/>
      </c>
      <c r="AP1090" s="152"/>
      <c r="AQ1090" s="164" t="str">
        <f t="shared" si="343"/>
        <v/>
      </c>
      <c r="AR1090" s="164" t="str">
        <f t="shared" si="352"/>
        <v/>
      </c>
      <c r="AS1090" s="164" t="str">
        <f t="shared" si="353"/>
        <v/>
      </c>
      <c r="AT1090" s="164" t="str">
        <f t="shared" si="344"/>
        <v/>
      </c>
      <c r="AU1090" s="152"/>
      <c r="AV1090" s="147" t="str">
        <f>'Deterministic Reserve'!BC1090</f>
        <v/>
      </c>
      <c r="AW1090" s="164" t="str">
        <f t="shared" si="345"/>
        <v/>
      </c>
      <c r="AX1090" s="164" t="str">
        <f t="shared" si="346"/>
        <v/>
      </c>
      <c r="AY1090" s="152"/>
    </row>
    <row r="1091" spans="1:51" s="150" customFormat="1" x14ac:dyDescent="0.25">
      <c r="A1091" s="150" t="str">
        <f t="shared" si="354"/>
        <v/>
      </c>
      <c r="B1091" s="150" t="str">
        <f t="shared" si="355"/>
        <v/>
      </c>
      <c r="C1091" s="150" t="str">
        <f t="shared" si="356"/>
        <v/>
      </c>
      <c r="D1091" s="150" t="str">
        <f>IF(E1091="","",Input!$C$4+B1091-1)</f>
        <v/>
      </c>
      <c r="E1091" s="150" t="str">
        <f>IF(OR(AND(C1090=12,D1090=Input!$C$6),E1090=""),"",1)</f>
        <v/>
      </c>
      <c r="F1091" s="150" t="str">
        <f>IF(E1091="","",Input!$C$8+B1091-1)</f>
        <v/>
      </c>
      <c r="G1091" s="151" t="str">
        <f>IF(E1091="","",MAX(0,Input!$C$9-B1091))</f>
        <v/>
      </c>
      <c r="H1091" s="152" t="str">
        <f>IF(E1091="","",Input!$C$3)</f>
        <v/>
      </c>
      <c r="I1091" s="153" t="str">
        <f>IF(E1091="","",HLOOKUP($B1091,Input!$C$13:$BT$14,2))</f>
        <v/>
      </c>
      <c r="J1091" s="154"/>
      <c r="K1091" s="155" t="str">
        <f>IF($E1091="","",Input!$C$57)</f>
        <v/>
      </c>
      <c r="L1091" s="155" t="str">
        <f t="shared" si="347"/>
        <v/>
      </c>
      <c r="M1091" s="147" t="str">
        <f>IF($E1091="","",VLOOKUP(IF($B1091&lt;=Input!$C$7,$B1091,26),'Mortality Tables'!$A$72:$CA$97,IF($B1091&lt;=Input!$C$7+1,Input!$C$4-16,$D1091-Input!$C$7-16),0)/1000)</f>
        <v/>
      </c>
      <c r="N1091" s="147" t="str">
        <f t="shared" si="336"/>
        <v/>
      </c>
      <c r="O1091" s="157" t="str">
        <f>IF($E1091="","",IF($C1091=12,IF($B1091&lt;Input!$C$9,Input!$C$54,IF($B1091=Input!$C$9,Input!$C$55,Input!$C$56)),0%))</f>
        <v/>
      </c>
      <c r="P1091" s="167" t="str">
        <f>IF($E1091="","",IF($B1091=1,Input!$C$59,IF($B1091&lt;6,Input!$C$60,0%)))</f>
        <v/>
      </c>
      <c r="Q1091" s="162" t="str">
        <f>IF($E1091="","",Input!$C$58)</f>
        <v/>
      </c>
      <c r="R1091" s="156" t="str">
        <f t="shared" si="348"/>
        <v/>
      </c>
      <c r="S1091" s="154" t="str">
        <f t="shared" si="337"/>
        <v/>
      </c>
      <c r="T1091" s="152"/>
      <c r="U1091" s="150" t="str">
        <f t="shared" si="349"/>
        <v/>
      </c>
      <c r="V1091" s="150" t="str">
        <f t="shared" si="350"/>
        <v/>
      </c>
      <c r="W1091" s="168" t="str">
        <f t="shared" si="351"/>
        <v/>
      </c>
      <c r="X1091" s="163" t="str">
        <f t="shared" si="338"/>
        <v/>
      </c>
      <c r="Y1091" s="152"/>
      <c r="Z1091" s="164" t="str">
        <f>IF(AND($C1090=12,$D1090=Input!$C$6),0,IF($E1091="","",V1091+Z1092/(1+L1091)*R1091))</f>
        <v/>
      </c>
      <c r="AA1091" s="164" t="str">
        <f>IF(OR($M1091=1,AND($C1090=12,$D1090=Input!$C$6)),0,IF($E1091="","",W1091+(X1091+AA1092*$R1091)/(1+$L1091)))</f>
        <v/>
      </c>
      <c r="AB1091" s="160" t="str">
        <f t="shared" si="339"/>
        <v/>
      </c>
      <c r="AC1091" s="164" t="str">
        <f t="shared" si="340"/>
        <v/>
      </c>
      <c r="AD1091" s="164" t="str">
        <f>IF(AND($C1090=12,$D1090=Input!$C$6),0,IF($E1091="","",$AC1091+AD1092/(1+$L1091)*$R1091))</f>
        <v/>
      </c>
      <c r="AE1091" s="152"/>
      <c r="AF1091" s="164" t="str">
        <f>IF(AND($C1090=12,$D1090=Input!$C$6),0,IF($E1091="","",IF($B1091&gt;Input!$C$9,$AC1091,0)+AF1092/(1+$L1091)*$R1091))</f>
        <v/>
      </c>
      <c r="AG1091" s="164" t="str">
        <f>IF(AND($C1090=12,$D1090=Input!$C$6),0,IF($E1091="","",(IF($B1091&gt;Input!$C$9,$X1091,0)+AG1092)/(1+$L1091)*$R1091))</f>
        <v/>
      </c>
      <c r="AH1091" s="160" t="str">
        <f t="shared" si="341"/>
        <v/>
      </c>
      <c r="AI1091" s="160" t="str">
        <f>IF($E1091="","",MIN(Input!$C$61/AH1091,1))</f>
        <v/>
      </c>
      <c r="AJ1091" s="152"/>
      <c r="AK1091" s="164" t="str">
        <f>IF(AND($C1090=12,$D1090=Input!$C$6),0,IF($E1091="","",IF($B1091&gt;Input!$C$9,$AC1091*AI1091,0)+AK1092/(1+$L1091)*$R1091))</f>
        <v/>
      </c>
      <c r="AL1091" s="164" t="str">
        <f>IF(AND($C1090=12,$D1090=Input!$C$6),0,IF($E1091="","",IF($B1091&gt;Input!$C$9,0,$AC1091)+AL1092/(1+$L1091)*$R1091))</f>
        <v/>
      </c>
      <c r="AM1091" s="160" t="str">
        <f t="shared" si="342"/>
        <v/>
      </c>
      <c r="AN1091" s="164" t="str">
        <f>IF($E1091="","",IF($B1091&gt;Input!$C$9,$AI1091*$AC1091,$AM1091*$AC1091))</f>
        <v/>
      </c>
      <c r="AO1091" s="164" t="str">
        <f>IF(AND($C1090=12,$D1090=Input!$C$6),0,IF($E1091="","",$AN1091+AO1092/(1+$L1091)*$R1091))</f>
        <v/>
      </c>
      <c r="AP1091" s="152"/>
      <c r="AQ1091" s="164" t="str">
        <f t="shared" si="343"/>
        <v/>
      </c>
      <c r="AR1091" s="164" t="str">
        <f t="shared" si="352"/>
        <v/>
      </c>
      <c r="AS1091" s="164" t="str">
        <f t="shared" si="353"/>
        <v/>
      </c>
      <c r="AT1091" s="164" t="str">
        <f t="shared" si="344"/>
        <v/>
      </c>
      <c r="AU1091" s="152"/>
      <c r="AV1091" s="147" t="str">
        <f>'Deterministic Reserve'!BC1091</f>
        <v/>
      </c>
      <c r="AW1091" s="164" t="str">
        <f t="shared" si="345"/>
        <v/>
      </c>
      <c r="AX1091" s="164" t="str">
        <f t="shared" si="346"/>
        <v/>
      </c>
      <c r="AY1091" s="152"/>
    </row>
    <row r="1092" spans="1:51" s="150" customFormat="1" x14ac:dyDescent="0.25">
      <c r="A1092" s="150" t="str">
        <f t="shared" si="354"/>
        <v/>
      </c>
      <c r="B1092" s="150" t="str">
        <f t="shared" si="355"/>
        <v/>
      </c>
      <c r="C1092" s="150" t="str">
        <f t="shared" si="356"/>
        <v/>
      </c>
      <c r="D1092" s="150" t="str">
        <f>IF(E1092="","",Input!$C$4+B1092-1)</f>
        <v/>
      </c>
      <c r="E1092" s="150" t="str">
        <f>IF(OR(AND(C1091=12,D1091=Input!$C$6),E1091=""),"",1)</f>
        <v/>
      </c>
      <c r="F1092" s="150" t="str">
        <f>IF(E1092="","",Input!$C$8+B1092-1)</f>
        <v/>
      </c>
      <c r="G1092" s="151" t="str">
        <f>IF(E1092="","",MAX(0,Input!$C$9-B1092))</f>
        <v/>
      </c>
      <c r="H1092" s="152" t="str">
        <f>IF(E1092="","",Input!$C$3)</f>
        <v/>
      </c>
      <c r="I1092" s="153" t="str">
        <f>IF(E1092="","",HLOOKUP($B1092,Input!$C$13:$BT$14,2))</f>
        <v/>
      </c>
      <c r="J1092" s="154"/>
      <c r="K1092" s="155" t="str">
        <f>IF($E1092="","",Input!$C$57)</f>
        <v/>
      </c>
      <c r="L1092" s="155" t="str">
        <f t="shared" si="347"/>
        <v/>
      </c>
      <c r="M1092" s="147" t="str">
        <f>IF($E1092="","",VLOOKUP(IF($B1092&lt;=Input!$C$7,$B1092,26),'Mortality Tables'!$A$72:$CA$97,IF($B1092&lt;=Input!$C$7+1,Input!$C$4-16,$D1092-Input!$C$7-16),0)/1000)</f>
        <v/>
      </c>
      <c r="N1092" s="147" t="str">
        <f t="shared" si="336"/>
        <v/>
      </c>
      <c r="O1092" s="157" t="str">
        <f>IF($E1092="","",IF($C1092=12,IF($B1092&lt;Input!$C$9,Input!$C$54,IF($B1092=Input!$C$9,Input!$C$55,Input!$C$56)),0%))</f>
        <v/>
      </c>
      <c r="P1092" s="167" t="str">
        <f>IF($E1092="","",IF($B1092=1,Input!$C$59,IF($B1092&lt;6,Input!$C$60,0%)))</f>
        <v/>
      </c>
      <c r="Q1092" s="162" t="str">
        <f>IF($E1092="","",Input!$C$58)</f>
        <v/>
      </c>
      <c r="R1092" s="156" t="str">
        <f t="shared" si="348"/>
        <v/>
      </c>
      <c r="S1092" s="154" t="str">
        <f t="shared" si="337"/>
        <v/>
      </c>
      <c r="T1092" s="152"/>
      <c r="U1092" s="150" t="str">
        <f t="shared" si="349"/>
        <v/>
      </c>
      <c r="V1092" s="150" t="str">
        <f t="shared" si="350"/>
        <v/>
      </c>
      <c r="W1092" s="168" t="str">
        <f t="shared" si="351"/>
        <v/>
      </c>
      <c r="X1092" s="163" t="str">
        <f t="shared" si="338"/>
        <v/>
      </c>
      <c r="Y1092" s="152"/>
      <c r="Z1092" s="164" t="str">
        <f>IF(AND($C1091=12,$D1091=Input!$C$6),0,IF($E1092="","",V1092+Z1093/(1+L1092)*R1092))</f>
        <v/>
      </c>
      <c r="AA1092" s="164" t="str">
        <f>IF(OR($M1092=1,AND($C1091=12,$D1091=Input!$C$6)),0,IF($E1092="","",W1092+(X1092+AA1093*$R1092)/(1+$L1092)))</f>
        <v/>
      </c>
      <c r="AB1092" s="160" t="str">
        <f t="shared" si="339"/>
        <v/>
      </c>
      <c r="AC1092" s="164" t="str">
        <f t="shared" si="340"/>
        <v/>
      </c>
      <c r="AD1092" s="164" t="str">
        <f>IF(AND($C1091=12,$D1091=Input!$C$6),0,IF($E1092="","",$AC1092+AD1093/(1+$L1092)*$R1092))</f>
        <v/>
      </c>
      <c r="AE1092" s="152"/>
      <c r="AF1092" s="164" t="str">
        <f>IF(AND($C1091=12,$D1091=Input!$C$6),0,IF($E1092="","",IF($B1092&gt;Input!$C$9,$AC1092,0)+AF1093/(1+$L1092)*$R1092))</f>
        <v/>
      </c>
      <c r="AG1092" s="164" t="str">
        <f>IF(AND($C1091=12,$D1091=Input!$C$6),0,IF($E1092="","",(IF($B1092&gt;Input!$C$9,$X1092,0)+AG1093)/(1+$L1092)*$R1092))</f>
        <v/>
      </c>
      <c r="AH1092" s="160" t="str">
        <f t="shared" si="341"/>
        <v/>
      </c>
      <c r="AI1092" s="160" t="str">
        <f>IF($E1092="","",MIN(Input!$C$61/AH1092,1))</f>
        <v/>
      </c>
      <c r="AJ1092" s="152"/>
      <c r="AK1092" s="164" t="str">
        <f>IF(AND($C1091=12,$D1091=Input!$C$6),0,IF($E1092="","",IF($B1092&gt;Input!$C$9,$AC1092*AI1092,0)+AK1093/(1+$L1092)*$R1092))</f>
        <v/>
      </c>
      <c r="AL1092" s="164" t="str">
        <f>IF(AND($C1091=12,$D1091=Input!$C$6),0,IF($E1092="","",IF($B1092&gt;Input!$C$9,0,$AC1092)+AL1093/(1+$L1092)*$R1092))</f>
        <v/>
      </c>
      <c r="AM1092" s="160" t="str">
        <f t="shared" si="342"/>
        <v/>
      </c>
      <c r="AN1092" s="164" t="str">
        <f>IF($E1092="","",IF($B1092&gt;Input!$C$9,$AI1092*$AC1092,$AM1092*$AC1092))</f>
        <v/>
      </c>
      <c r="AO1092" s="164" t="str">
        <f>IF(AND($C1091=12,$D1091=Input!$C$6),0,IF($E1092="","",$AN1092+AO1093/(1+$L1092)*$R1092))</f>
        <v/>
      </c>
      <c r="AP1092" s="152"/>
      <c r="AQ1092" s="164" t="str">
        <f t="shared" si="343"/>
        <v/>
      </c>
      <c r="AR1092" s="164" t="str">
        <f t="shared" si="352"/>
        <v/>
      </c>
      <c r="AS1092" s="164" t="str">
        <f t="shared" si="353"/>
        <v/>
      </c>
      <c r="AT1092" s="164" t="str">
        <f t="shared" si="344"/>
        <v/>
      </c>
      <c r="AU1092" s="152"/>
      <c r="AV1092" s="147" t="str">
        <f>'Deterministic Reserve'!BC1092</f>
        <v/>
      </c>
      <c r="AW1092" s="164" t="str">
        <f t="shared" si="345"/>
        <v/>
      </c>
      <c r="AX1092" s="164" t="str">
        <f t="shared" si="346"/>
        <v/>
      </c>
      <c r="AY1092" s="152"/>
    </row>
    <row r="1093" spans="1:51" s="150" customFormat="1" x14ac:dyDescent="0.25">
      <c r="A1093" s="150" t="str">
        <f t="shared" si="354"/>
        <v/>
      </c>
      <c r="B1093" s="150" t="str">
        <f t="shared" si="355"/>
        <v/>
      </c>
      <c r="C1093" s="150" t="str">
        <f t="shared" si="356"/>
        <v/>
      </c>
      <c r="D1093" s="150" t="str">
        <f>IF(E1093="","",Input!$C$4+B1093-1)</f>
        <v/>
      </c>
      <c r="E1093" s="150" t="str">
        <f>IF(OR(AND(C1092=12,D1092=Input!$C$6),E1092=""),"",1)</f>
        <v/>
      </c>
      <c r="F1093" s="150" t="str">
        <f>IF(E1093="","",Input!$C$8+B1093-1)</f>
        <v/>
      </c>
      <c r="G1093" s="151" t="str">
        <f>IF(E1093="","",MAX(0,Input!$C$9-B1093))</f>
        <v/>
      </c>
      <c r="H1093" s="152" t="str">
        <f>IF(E1093="","",Input!$C$3)</f>
        <v/>
      </c>
      <c r="I1093" s="153" t="str">
        <f>IF(E1093="","",HLOOKUP($B1093,Input!$C$13:$BT$14,2))</f>
        <v/>
      </c>
      <c r="J1093" s="154"/>
      <c r="K1093" s="155" t="str">
        <f>IF($E1093="","",Input!$C$57)</f>
        <v/>
      </c>
      <c r="L1093" s="155" t="str">
        <f t="shared" si="347"/>
        <v/>
      </c>
      <c r="M1093" s="147" t="str">
        <f>IF($E1093="","",VLOOKUP(IF($B1093&lt;=Input!$C$7,$B1093,26),'Mortality Tables'!$A$72:$CA$97,IF($B1093&lt;=Input!$C$7+1,Input!$C$4-16,$D1093-Input!$C$7-16),0)/1000)</f>
        <v/>
      </c>
      <c r="N1093" s="147" t="str">
        <f t="shared" ref="N1093:N1156" si="357">IF($E1093="","",1-(1-M1093)^(1/12))</f>
        <v/>
      </c>
      <c r="O1093" s="157" t="str">
        <f>IF($E1093="","",IF($C1093=12,IF($B1093&lt;Input!$C$9,Input!$C$54,IF($B1093=Input!$C$9,Input!$C$55,Input!$C$56)),0%))</f>
        <v/>
      </c>
      <c r="P1093" s="167" t="str">
        <f>IF($E1093="","",IF($B1093=1,Input!$C$59,IF($B1093&lt;6,Input!$C$60,0%)))</f>
        <v/>
      </c>
      <c r="Q1093" s="162" t="str">
        <f>IF($E1093="","",Input!$C$58)</f>
        <v/>
      </c>
      <c r="R1093" s="156" t="str">
        <f t="shared" si="348"/>
        <v/>
      </c>
      <c r="S1093" s="154" t="str">
        <f t="shared" ref="S1093:S1156" si="358">IF($E1093="","",IF(AND($B1093=1,$C1093=1),1,S1092*R1093))</f>
        <v/>
      </c>
      <c r="T1093" s="152"/>
      <c r="U1093" s="150" t="str">
        <f t="shared" si="349"/>
        <v/>
      </c>
      <c r="V1093" s="150" t="str">
        <f t="shared" si="350"/>
        <v/>
      </c>
      <c r="W1093" s="168" t="str">
        <f t="shared" si="351"/>
        <v/>
      </c>
      <c r="X1093" s="163" t="str">
        <f t="shared" ref="X1093:X1156" si="359">IF($E1093="","",N1093*$H1093)</f>
        <v/>
      </c>
      <c r="Y1093" s="152"/>
      <c r="Z1093" s="164" t="str">
        <f>IF(AND($C1092=12,$D1092=Input!$C$6),0,IF($E1093="","",V1093+Z1094/(1+L1093)*R1093))</f>
        <v/>
      </c>
      <c r="AA1093" s="164" t="str">
        <f>IF(OR($M1093=1,AND($C1092=12,$D1092=Input!$C$6)),0,IF($E1093="","",W1093+(X1093+AA1094*$R1093)/(1+$L1093)))</f>
        <v/>
      </c>
      <c r="AB1093" s="160" t="str">
        <f t="shared" ref="AB1093:AB1156" si="360">IF($E1093="","",$AA$5/$Z$5)</f>
        <v/>
      </c>
      <c r="AC1093" s="164" t="str">
        <f t="shared" ref="AC1093:AC1156" si="361">IF($E1093="","",V1093*AB1093)</f>
        <v/>
      </c>
      <c r="AD1093" s="164" t="str">
        <f>IF(AND($C1092=12,$D1092=Input!$C$6),0,IF($E1093="","",$AC1093+AD1094/(1+$L1093)*$R1093))</f>
        <v/>
      </c>
      <c r="AE1093" s="152"/>
      <c r="AF1093" s="164" t="str">
        <f>IF(AND($C1092=12,$D1092=Input!$C$6),0,IF($E1093="","",IF($B1093&gt;Input!$C$9,$AC1093,0)+AF1094/(1+$L1093)*$R1093))</f>
        <v/>
      </c>
      <c r="AG1093" s="164" t="str">
        <f>IF(AND($C1092=12,$D1092=Input!$C$6),0,IF($E1093="","",(IF($B1093&gt;Input!$C$9,$X1093,0)+AG1094)/(1+$L1093)*$R1093))</f>
        <v/>
      </c>
      <c r="AH1093" s="160" t="str">
        <f t="shared" ref="AH1093:AH1156" si="362">IF($E1093="","",$AF$5/$AG$5)</f>
        <v/>
      </c>
      <c r="AI1093" s="160" t="str">
        <f>IF($E1093="","",MIN(Input!$C$61/AH1093,1))</f>
        <v/>
      </c>
      <c r="AJ1093" s="152"/>
      <c r="AK1093" s="164" t="str">
        <f>IF(AND($C1092=12,$D1092=Input!$C$6),0,IF($E1093="","",IF($B1093&gt;Input!$C$9,$AC1093*AI1093,0)+AK1094/(1+$L1093)*$R1093))</f>
        <v/>
      </c>
      <c r="AL1093" s="164" t="str">
        <f>IF(AND($C1092=12,$D1092=Input!$C$6),0,IF($E1093="","",IF($B1093&gt;Input!$C$9,0,$AC1093)+AL1094/(1+$L1093)*$R1093))</f>
        <v/>
      </c>
      <c r="AM1093" s="160" t="str">
        <f t="shared" ref="AM1093:AM1156" si="363">IF($E1093="","",($AD$5-$AK$5)/$AL$5)</f>
        <v/>
      </c>
      <c r="AN1093" s="164" t="str">
        <f>IF($E1093="","",IF($B1093&gt;Input!$C$9,$AI1093*$AC1093,$AM1093*$AC1093))</f>
        <v/>
      </c>
      <c r="AO1093" s="164" t="str">
        <f>IF(AND($C1092=12,$D1092=Input!$C$6),0,IF($E1093="","",$AN1093+AO1094/(1+$L1093)*$R1093))</f>
        <v/>
      </c>
      <c r="AP1093" s="152"/>
      <c r="AQ1093" s="164" t="str">
        <f t="shared" ref="AQ1093:AQ1156" si="364">IF($E1093="","",$AA1093-$AO1093)</f>
        <v/>
      </c>
      <c r="AR1093" s="164" t="str">
        <f t="shared" si="352"/>
        <v/>
      </c>
      <c r="AS1093" s="164" t="str">
        <f t="shared" si="353"/>
        <v/>
      </c>
      <c r="AT1093" s="164" t="str">
        <f t="shared" ref="AT1093:AT1156" si="365">IF($E1093="","",MAX($AR1093,$AS1093))</f>
        <v/>
      </c>
      <c r="AU1093" s="152"/>
      <c r="AV1093" s="147" t="str">
        <f>'Deterministic Reserve'!BC1093</f>
        <v/>
      </c>
      <c r="AW1093" s="164" t="str">
        <f t="shared" ref="AW1093:AW1152" si="366">IF($E1093="","",$AT1093)</f>
        <v/>
      </c>
      <c r="AX1093" s="164" t="str">
        <f t="shared" ref="AX1093:AX1152" si="367">IF($E1093="","",AV1093*AW1093)</f>
        <v/>
      </c>
      <c r="AY1093" s="152"/>
    </row>
    <row r="1094" spans="1:51" s="150" customFormat="1" x14ac:dyDescent="0.25">
      <c r="A1094" s="150" t="str">
        <f t="shared" si="354"/>
        <v/>
      </c>
      <c r="B1094" s="150" t="str">
        <f t="shared" si="355"/>
        <v/>
      </c>
      <c r="C1094" s="150" t="str">
        <f t="shared" si="356"/>
        <v/>
      </c>
      <c r="D1094" s="150" t="str">
        <f>IF(E1094="","",Input!$C$4+B1094-1)</f>
        <v/>
      </c>
      <c r="E1094" s="150" t="str">
        <f>IF(OR(AND(C1093=12,D1093=Input!$C$6),E1093=""),"",1)</f>
        <v/>
      </c>
      <c r="F1094" s="150" t="str">
        <f>IF(E1094="","",Input!$C$8+B1094-1)</f>
        <v/>
      </c>
      <c r="G1094" s="151" t="str">
        <f>IF(E1094="","",MAX(0,Input!$C$9-B1094))</f>
        <v/>
      </c>
      <c r="H1094" s="152" t="str">
        <f>IF(E1094="","",Input!$C$3)</f>
        <v/>
      </c>
      <c r="I1094" s="153" t="str">
        <f>IF(E1094="","",HLOOKUP($B1094,Input!$C$13:$BT$14,2))</f>
        <v/>
      </c>
      <c r="J1094" s="154"/>
      <c r="K1094" s="155" t="str">
        <f>IF($E1094="","",Input!$C$57)</f>
        <v/>
      </c>
      <c r="L1094" s="155" t="str">
        <f t="shared" ref="L1094:L1157" si="368">IF($E1094="","",(1+K1094)^(1/12)-1)</f>
        <v/>
      </c>
      <c r="M1094" s="147" t="str">
        <f>IF($E1094="","",VLOOKUP(IF($B1094&lt;=Input!$C$7,$B1094,26),'Mortality Tables'!$A$72:$CA$97,IF($B1094&lt;=Input!$C$7+1,Input!$C$4-16,$D1094-Input!$C$7-16),0)/1000)</f>
        <v/>
      </c>
      <c r="N1094" s="147" t="str">
        <f t="shared" si="357"/>
        <v/>
      </c>
      <c r="O1094" s="157" t="str">
        <f>IF($E1094="","",IF($C1094=12,IF($B1094&lt;Input!$C$9,Input!$C$54,IF($B1094=Input!$C$9,Input!$C$55,Input!$C$56)),0%))</f>
        <v/>
      </c>
      <c r="P1094" s="167" t="str">
        <f>IF($E1094="","",IF($B1094=1,Input!$C$59,IF($B1094&lt;6,Input!$C$60,0%)))</f>
        <v/>
      </c>
      <c r="Q1094" s="162" t="str">
        <f>IF($E1094="","",Input!$C$58)</f>
        <v/>
      </c>
      <c r="R1094" s="156" t="str">
        <f t="shared" ref="R1094:R1157" si="369">IF($E1094="","",MAX(1-N1094-O1094,0))</f>
        <v/>
      </c>
      <c r="S1094" s="154" t="str">
        <f t="shared" si="358"/>
        <v/>
      </c>
      <c r="T1094" s="152"/>
      <c r="U1094" s="150" t="str">
        <f t="shared" ref="U1094:U1157" si="370">IF($E1094="","",IF($C1094=1,$I1094*$H1094/1000,0))</f>
        <v/>
      </c>
      <c r="V1094" s="150" t="str">
        <f t="shared" ref="V1094:V1157" si="371">IF($E1094="","",U1094*(1-$P1094))</f>
        <v/>
      </c>
      <c r="W1094" s="168" t="str">
        <f t="shared" ref="W1094:W1157" si="372">IF($E1094="","",IF(AND($B1094=1,$C1094=1),$Q1094*$H1094/1000,0))</f>
        <v/>
      </c>
      <c r="X1094" s="163" t="str">
        <f t="shared" si="359"/>
        <v/>
      </c>
      <c r="Y1094" s="152"/>
      <c r="Z1094" s="164" t="str">
        <f>IF(AND($C1093=12,$D1093=Input!$C$6),0,IF($E1094="","",V1094+Z1095/(1+L1094)*R1094))</f>
        <v/>
      </c>
      <c r="AA1094" s="164" t="str">
        <f>IF(OR($M1094=1,AND($C1093=12,$D1093=Input!$C$6)),0,IF($E1094="","",W1094+(X1094+AA1095*$R1094)/(1+$L1094)))</f>
        <v/>
      </c>
      <c r="AB1094" s="160" t="str">
        <f t="shared" si="360"/>
        <v/>
      </c>
      <c r="AC1094" s="164" t="str">
        <f t="shared" si="361"/>
        <v/>
      </c>
      <c r="AD1094" s="164" t="str">
        <f>IF(AND($C1093=12,$D1093=Input!$C$6),0,IF($E1094="","",$AC1094+AD1095/(1+$L1094)*$R1094))</f>
        <v/>
      </c>
      <c r="AE1094" s="152"/>
      <c r="AF1094" s="164" t="str">
        <f>IF(AND($C1093=12,$D1093=Input!$C$6),0,IF($E1094="","",IF($B1094&gt;Input!$C$9,$AC1094,0)+AF1095/(1+$L1094)*$R1094))</f>
        <v/>
      </c>
      <c r="AG1094" s="164" t="str">
        <f>IF(AND($C1093=12,$D1093=Input!$C$6),0,IF($E1094="","",(IF($B1094&gt;Input!$C$9,$X1094,0)+AG1095)/(1+$L1094)*$R1094))</f>
        <v/>
      </c>
      <c r="AH1094" s="160" t="str">
        <f t="shared" si="362"/>
        <v/>
      </c>
      <c r="AI1094" s="160" t="str">
        <f>IF($E1094="","",MIN(Input!$C$61/AH1094,1))</f>
        <v/>
      </c>
      <c r="AJ1094" s="152"/>
      <c r="AK1094" s="164" t="str">
        <f>IF(AND($C1093=12,$D1093=Input!$C$6),0,IF($E1094="","",IF($B1094&gt;Input!$C$9,$AC1094*AI1094,0)+AK1095/(1+$L1094)*$R1094))</f>
        <v/>
      </c>
      <c r="AL1094" s="164" t="str">
        <f>IF(AND($C1093=12,$D1093=Input!$C$6),0,IF($E1094="","",IF($B1094&gt;Input!$C$9,0,$AC1094)+AL1095/(1+$L1094)*$R1094))</f>
        <v/>
      </c>
      <c r="AM1094" s="160" t="str">
        <f t="shared" si="363"/>
        <v/>
      </c>
      <c r="AN1094" s="164" t="str">
        <f>IF($E1094="","",IF($B1094&gt;Input!$C$9,$AI1094*$AC1094,$AM1094*$AC1094))</f>
        <v/>
      </c>
      <c r="AO1094" s="164" t="str">
        <f>IF(AND($C1093=12,$D1093=Input!$C$6),0,IF($E1094="","",$AN1094+AO1095/(1+$L1094)*$R1094))</f>
        <v/>
      </c>
      <c r="AP1094" s="152"/>
      <c r="AQ1094" s="164" t="str">
        <f t="shared" si="364"/>
        <v/>
      </c>
      <c r="AR1094" s="164" t="str">
        <f t="shared" ref="AR1094:AR1157" si="373">IF($E1094="","",IF($M1094=1,0,0.5*(IF($B1094=1,0,SUMIFS($AQ:$AQ,$B:$B,$B1094-1,$C:$C,12))+SUMIFS($AN:$AN,$B:$B,$B1094,$C:$C,1)+SUMIFS($AQ:$AQ,$B:$B,$B1094,$C:$C,12))))</f>
        <v/>
      </c>
      <c r="AS1094" s="164" t="str">
        <f t="shared" ref="AS1094:AS1157" si="374">IF($E1094="","",IF($M1094=1,0,0.5*$M1094*$H1094/(1+$K1094)))</f>
        <v/>
      </c>
      <c r="AT1094" s="164" t="str">
        <f t="shared" si="365"/>
        <v/>
      </c>
      <c r="AU1094" s="152"/>
      <c r="AV1094" s="147" t="str">
        <f>'Deterministic Reserve'!BC1094</f>
        <v/>
      </c>
      <c r="AW1094" s="164" t="str">
        <f t="shared" si="366"/>
        <v/>
      </c>
      <c r="AX1094" s="164" t="str">
        <f t="shared" si="367"/>
        <v/>
      </c>
      <c r="AY1094" s="152"/>
    </row>
    <row r="1095" spans="1:51" s="150" customFormat="1" x14ac:dyDescent="0.25">
      <c r="A1095" s="150" t="str">
        <f t="shared" ref="A1095:A1158" si="375">IF(E1095="","",A1094+1)</f>
        <v/>
      </c>
      <c r="B1095" s="150" t="str">
        <f t="shared" ref="B1095:B1158" si="376">IF(E1095="","",IF(C1094+1&gt;12,B1094+1,B1094))</f>
        <v/>
      </c>
      <c r="C1095" s="150" t="str">
        <f t="shared" ref="C1095:C1158" si="377">IF(E1095="","",IF(C1094+1&gt;12,1,C1094+1))</f>
        <v/>
      </c>
      <c r="D1095" s="150" t="str">
        <f>IF(E1095="","",Input!$C$4+B1095-1)</f>
        <v/>
      </c>
      <c r="E1095" s="150" t="str">
        <f>IF(OR(AND(C1094=12,D1094=Input!$C$6),E1094=""),"",1)</f>
        <v/>
      </c>
      <c r="F1095" s="150" t="str">
        <f>IF(E1095="","",Input!$C$8+B1095-1)</f>
        <v/>
      </c>
      <c r="G1095" s="151" t="str">
        <f>IF(E1095="","",MAX(0,Input!$C$9-B1095))</f>
        <v/>
      </c>
      <c r="H1095" s="152" t="str">
        <f>IF(E1095="","",Input!$C$3)</f>
        <v/>
      </c>
      <c r="I1095" s="153" t="str">
        <f>IF(E1095="","",HLOOKUP($B1095,Input!$C$13:$BT$14,2))</f>
        <v/>
      </c>
      <c r="J1095" s="154"/>
      <c r="K1095" s="155" t="str">
        <f>IF($E1095="","",Input!$C$57)</f>
        <v/>
      </c>
      <c r="L1095" s="155" t="str">
        <f t="shared" si="368"/>
        <v/>
      </c>
      <c r="M1095" s="147" t="str">
        <f>IF($E1095="","",VLOOKUP(IF($B1095&lt;=Input!$C$7,$B1095,26),'Mortality Tables'!$A$72:$CA$97,IF($B1095&lt;=Input!$C$7+1,Input!$C$4-16,$D1095-Input!$C$7-16),0)/1000)</f>
        <v/>
      </c>
      <c r="N1095" s="147" t="str">
        <f t="shared" si="357"/>
        <v/>
      </c>
      <c r="O1095" s="157" t="str">
        <f>IF($E1095="","",IF($C1095=12,IF($B1095&lt;Input!$C$9,Input!$C$54,IF($B1095=Input!$C$9,Input!$C$55,Input!$C$56)),0%))</f>
        <v/>
      </c>
      <c r="P1095" s="167" t="str">
        <f>IF($E1095="","",IF($B1095=1,Input!$C$59,IF($B1095&lt;6,Input!$C$60,0%)))</f>
        <v/>
      </c>
      <c r="Q1095" s="162" t="str">
        <f>IF($E1095="","",Input!$C$58)</f>
        <v/>
      </c>
      <c r="R1095" s="156" t="str">
        <f t="shared" si="369"/>
        <v/>
      </c>
      <c r="S1095" s="154" t="str">
        <f t="shared" si="358"/>
        <v/>
      </c>
      <c r="T1095" s="152"/>
      <c r="U1095" s="150" t="str">
        <f t="shared" si="370"/>
        <v/>
      </c>
      <c r="V1095" s="150" t="str">
        <f t="shared" si="371"/>
        <v/>
      </c>
      <c r="W1095" s="168" t="str">
        <f t="shared" si="372"/>
        <v/>
      </c>
      <c r="X1095" s="163" t="str">
        <f t="shared" si="359"/>
        <v/>
      </c>
      <c r="Y1095" s="152"/>
      <c r="Z1095" s="164" t="str">
        <f>IF(AND($C1094=12,$D1094=Input!$C$6),0,IF($E1095="","",V1095+Z1096/(1+L1095)*R1095))</f>
        <v/>
      </c>
      <c r="AA1095" s="164" t="str">
        <f>IF(OR($M1095=1,AND($C1094=12,$D1094=Input!$C$6)),0,IF($E1095="","",W1095+(X1095+AA1096*$R1095)/(1+$L1095)))</f>
        <v/>
      </c>
      <c r="AB1095" s="160" t="str">
        <f t="shared" si="360"/>
        <v/>
      </c>
      <c r="AC1095" s="164" t="str">
        <f t="shared" si="361"/>
        <v/>
      </c>
      <c r="AD1095" s="164" t="str">
        <f>IF(AND($C1094=12,$D1094=Input!$C$6),0,IF($E1095="","",$AC1095+AD1096/(1+$L1095)*$R1095))</f>
        <v/>
      </c>
      <c r="AE1095" s="152"/>
      <c r="AF1095" s="164" t="str">
        <f>IF(AND($C1094=12,$D1094=Input!$C$6),0,IF($E1095="","",IF($B1095&gt;Input!$C$9,$AC1095,0)+AF1096/(1+$L1095)*$R1095))</f>
        <v/>
      </c>
      <c r="AG1095" s="164" t="str">
        <f>IF(AND($C1094=12,$D1094=Input!$C$6),0,IF($E1095="","",(IF($B1095&gt;Input!$C$9,$X1095,0)+AG1096)/(1+$L1095)*$R1095))</f>
        <v/>
      </c>
      <c r="AH1095" s="160" t="str">
        <f t="shared" si="362"/>
        <v/>
      </c>
      <c r="AI1095" s="160" t="str">
        <f>IF($E1095="","",MIN(Input!$C$61/AH1095,1))</f>
        <v/>
      </c>
      <c r="AJ1095" s="152"/>
      <c r="AK1095" s="164" t="str">
        <f>IF(AND($C1094=12,$D1094=Input!$C$6),0,IF($E1095="","",IF($B1095&gt;Input!$C$9,$AC1095*AI1095,0)+AK1096/(1+$L1095)*$R1095))</f>
        <v/>
      </c>
      <c r="AL1095" s="164" t="str">
        <f>IF(AND($C1094=12,$D1094=Input!$C$6),0,IF($E1095="","",IF($B1095&gt;Input!$C$9,0,$AC1095)+AL1096/(1+$L1095)*$R1095))</f>
        <v/>
      </c>
      <c r="AM1095" s="160" t="str">
        <f t="shared" si="363"/>
        <v/>
      </c>
      <c r="AN1095" s="164" t="str">
        <f>IF($E1095="","",IF($B1095&gt;Input!$C$9,$AI1095*$AC1095,$AM1095*$AC1095))</f>
        <v/>
      </c>
      <c r="AO1095" s="164" t="str">
        <f>IF(AND($C1094=12,$D1094=Input!$C$6),0,IF($E1095="","",$AN1095+AO1096/(1+$L1095)*$R1095))</f>
        <v/>
      </c>
      <c r="AP1095" s="152"/>
      <c r="AQ1095" s="164" t="str">
        <f t="shared" si="364"/>
        <v/>
      </c>
      <c r="AR1095" s="164" t="str">
        <f t="shared" si="373"/>
        <v/>
      </c>
      <c r="AS1095" s="164" t="str">
        <f t="shared" si="374"/>
        <v/>
      </c>
      <c r="AT1095" s="164" t="str">
        <f t="shared" si="365"/>
        <v/>
      </c>
      <c r="AU1095" s="152"/>
      <c r="AV1095" s="147" t="str">
        <f>'Deterministic Reserve'!BC1095</f>
        <v/>
      </c>
      <c r="AW1095" s="164" t="str">
        <f t="shared" si="366"/>
        <v/>
      </c>
      <c r="AX1095" s="164" t="str">
        <f t="shared" si="367"/>
        <v/>
      </c>
      <c r="AY1095" s="152"/>
    </row>
    <row r="1096" spans="1:51" s="150" customFormat="1" x14ac:dyDescent="0.25">
      <c r="A1096" s="150" t="str">
        <f t="shared" si="375"/>
        <v/>
      </c>
      <c r="B1096" s="150" t="str">
        <f t="shared" si="376"/>
        <v/>
      </c>
      <c r="C1096" s="150" t="str">
        <f t="shared" si="377"/>
        <v/>
      </c>
      <c r="D1096" s="150" t="str">
        <f>IF(E1096="","",Input!$C$4+B1096-1)</f>
        <v/>
      </c>
      <c r="E1096" s="150" t="str">
        <f>IF(OR(AND(C1095=12,D1095=Input!$C$6),E1095=""),"",1)</f>
        <v/>
      </c>
      <c r="F1096" s="150" t="str">
        <f>IF(E1096="","",Input!$C$8+B1096-1)</f>
        <v/>
      </c>
      <c r="G1096" s="151" t="str">
        <f>IF(E1096="","",MAX(0,Input!$C$9-B1096))</f>
        <v/>
      </c>
      <c r="H1096" s="152" t="str">
        <f>IF(E1096="","",Input!$C$3)</f>
        <v/>
      </c>
      <c r="I1096" s="153" t="str">
        <f>IF(E1096="","",HLOOKUP($B1096,Input!$C$13:$BT$14,2))</f>
        <v/>
      </c>
      <c r="J1096" s="154"/>
      <c r="K1096" s="155" t="str">
        <f>IF($E1096="","",Input!$C$57)</f>
        <v/>
      </c>
      <c r="L1096" s="155" t="str">
        <f t="shared" si="368"/>
        <v/>
      </c>
      <c r="M1096" s="147" t="str">
        <f>IF($E1096="","",VLOOKUP(IF($B1096&lt;=Input!$C$7,$B1096,26),'Mortality Tables'!$A$72:$CA$97,IF($B1096&lt;=Input!$C$7+1,Input!$C$4-16,$D1096-Input!$C$7-16),0)/1000)</f>
        <v/>
      </c>
      <c r="N1096" s="147" t="str">
        <f t="shared" si="357"/>
        <v/>
      </c>
      <c r="O1096" s="157" t="str">
        <f>IF($E1096="","",IF($C1096=12,IF($B1096&lt;Input!$C$9,Input!$C$54,IF($B1096=Input!$C$9,Input!$C$55,Input!$C$56)),0%))</f>
        <v/>
      </c>
      <c r="P1096" s="167" t="str">
        <f>IF($E1096="","",IF($B1096=1,Input!$C$59,IF($B1096&lt;6,Input!$C$60,0%)))</f>
        <v/>
      </c>
      <c r="Q1096" s="162" t="str">
        <f>IF($E1096="","",Input!$C$58)</f>
        <v/>
      </c>
      <c r="R1096" s="156" t="str">
        <f t="shared" si="369"/>
        <v/>
      </c>
      <c r="S1096" s="154" t="str">
        <f t="shared" si="358"/>
        <v/>
      </c>
      <c r="T1096" s="152"/>
      <c r="U1096" s="150" t="str">
        <f t="shared" si="370"/>
        <v/>
      </c>
      <c r="V1096" s="150" t="str">
        <f t="shared" si="371"/>
        <v/>
      </c>
      <c r="W1096" s="168" t="str">
        <f t="shared" si="372"/>
        <v/>
      </c>
      <c r="X1096" s="163" t="str">
        <f t="shared" si="359"/>
        <v/>
      </c>
      <c r="Y1096" s="152"/>
      <c r="Z1096" s="164" t="str">
        <f>IF(AND($C1095=12,$D1095=Input!$C$6),0,IF($E1096="","",V1096+Z1097/(1+L1096)*R1096))</f>
        <v/>
      </c>
      <c r="AA1096" s="164" t="str">
        <f>IF(OR($M1096=1,AND($C1095=12,$D1095=Input!$C$6)),0,IF($E1096="","",W1096+(X1096+AA1097*$R1096)/(1+$L1096)))</f>
        <v/>
      </c>
      <c r="AB1096" s="160" t="str">
        <f t="shared" si="360"/>
        <v/>
      </c>
      <c r="AC1096" s="164" t="str">
        <f t="shared" si="361"/>
        <v/>
      </c>
      <c r="AD1096" s="164" t="str">
        <f>IF(AND($C1095=12,$D1095=Input!$C$6),0,IF($E1096="","",$AC1096+AD1097/(1+$L1096)*$R1096))</f>
        <v/>
      </c>
      <c r="AE1096" s="152"/>
      <c r="AF1096" s="164" t="str">
        <f>IF(AND($C1095=12,$D1095=Input!$C$6),0,IF($E1096="","",IF($B1096&gt;Input!$C$9,$AC1096,0)+AF1097/(1+$L1096)*$R1096))</f>
        <v/>
      </c>
      <c r="AG1096" s="164" t="str">
        <f>IF(AND($C1095=12,$D1095=Input!$C$6),0,IF($E1096="","",(IF($B1096&gt;Input!$C$9,$X1096,0)+AG1097)/(1+$L1096)*$R1096))</f>
        <v/>
      </c>
      <c r="AH1096" s="160" t="str">
        <f t="shared" si="362"/>
        <v/>
      </c>
      <c r="AI1096" s="160" t="str">
        <f>IF($E1096="","",MIN(Input!$C$61/AH1096,1))</f>
        <v/>
      </c>
      <c r="AJ1096" s="152"/>
      <c r="AK1096" s="164" t="str">
        <f>IF(AND($C1095=12,$D1095=Input!$C$6),0,IF($E1096="","",IF($B1096&gt;Input!$C$9,$AC1096*AI1096,0)+AK1097/(1+$L1096)*$R1096))</f>
        <v/>
      </c>
      <c r="AL1096" s="164" t="str">
        <f>IF(AND($C1095=12,$D1095=Input!$C$6),0,IF($E1096="","",IF($B1096&gt;Input!$C$9,0,$AC1096)+AL1097/(1+$L1096)*$R1096))</f>
        <v/>
      </c>
      <c r="AM1096" s="160" t="str">
        <f t="shared" si="363"/>
        <v/>
      </c>
      <c r="AN1096" s="164" t="str">
        <f>IF($E1096="","",IF($B1096&gt;Input!$C$9,$AI1096*$AC1096,$AM1096*$AC1096))</f>
        <v/>
      </c>
      <c r="AO1096" s="164" t="str">
        <f>IF(AND($C1095=12,$D1095=Input!$C$6),0,IF($E1096="","",$AN1096+AO1097/(1+$L1096)*$R1096))</f>
        <v/>
      </c>
      <c r="AP1096" s="152"/>
      <c r="AQ1096" s="164" t="str">
        <f t="shared" si="364"/>
        <v/>
      </c>
      <c r="AR1096" s="164" t="str">
        <f t="shared" si="373"/>
        <v/>
      </c>
      <c r="AS1096" s="164" t="str">
        <f t="shared" si="374"/>
        <v/>
      </c>
      <c r="AT1096" s="164" t="str">
        <f t="shared" si="365"/>
        <v/>
      </c>
      <c r="AU1096" s="152"/>
      <c r="AV1096" s="147" t="str">
        <f>'Deterministic Reserve'!BC1096</f>
        <v/>
      </c>
      <c r="AW1096" s="164" t="str">
        <f t="shared" si="366"/>
        <v/>
      </c>
      <c r="AX1096" s="164" t="str">
        <f t="shared" si="367"/>
        <v/>
      </c>
      <c r="AY1096" s="152"/>
    </row>
    <row r="1097" spans="1:51" s="150" customFormat="1" x14ac:dyDescent="0.25">
      <c r="A1097" s="150" t="str">
        <f t="shared" si="375"/>
        <v/>
      </c>
      <c r="B1097" s="150" t="str">
        <f t="shared" si="376"/>
        <v/>
      </c>
      <c r="C1097" s="150" t="str">
        <f t="shared" si="377"/>
        <v/>
      </c>
      <c r="D1097" s="150" t="str">
        <f>IF(E1097="","",Input!$C$4+B1097-1)</f>
        <v/>
      </c>
      <c r="E1097" s="150" t="str">
        <f>IF(OR(AND(C1096=12,D1096=Input!$C$6),E1096=""),"",1)</f>
        <v/>
      </c>
      <c r="F1097" s="150" t="str">
        <f>IF(E1097="","",Input!$C$8+B1097-1)</f>
        <v/>
      </c>
      <c r="G1097" s="151" t="str">
        <f>IF(E1097="","",MAX(0,Input!$C$9-B1097))</f>
        <v/>
      </c>
      <c r="H1097" s="152" t="str">
        <f>IF(E1097="","",Input!$C$3)</f>
        <v/>
      </c>
      <c r="I1097" s="153" t="str">
        <f>IF(E1097="","",HLOOKUP($B1097,Input!$C$13:$BT$14,2))</f>
        <v/>
      </c>
      <c r="J1097" s="154"/>
      <c r="K1097" s="155" t="str">
        <f>IF($E1097="","",Input!$C$57)</f>
        <v/>
      </c>
      <c r="L1097" s="155" t="str">
        <f t="shared" si="368"/>
        <v/>
      </c>
      <c r="M1097" s="147" t="str">
        <f>IF($E1097="","",VLOOKUP(IF($B1097&lt;=Input!$C$7,$B1097,26),'Mortality Tables'!$A$72:$CA$97,IF($B1097&lt;=Input!$C$7+1,Input!$C$4-16,$D1097-Input!$C$7-16),0)/1000)</f>
        <v/>
      </c>
      <c r="N1097" s="147" t="str">
        <f t="shared" si="357"/>
        <v/>
      </c>
      <c r="O1097" s="157" t="str">
        <f>IF($E1097="","",IF($C1097=12,IF($B1097&lt;Input!$C$9,Input!$C$54,IF($B1097=Input!$C$9,Input!$C$55,Input!$C$56)),0%))</f>
        <v/>
      </c>
      <c r="P1097" s="167" t="str">
        <f>IF($E1097="","",IF($B1097=1,Input!$C$59,IF($B1097&lt;6,Input!$C$60,0%)))</f>
        <v/>
      </c>
      <c r="Q1097" s="162" t="str">
        <f>IF($E1097="","",Input!$C$58)</f>
        <v/>
      </c>
      <c r="R1097" s="156" t="str">
        <f t="shared" si="369"/>
        <v/>
      </c>
      <c r="S1097" s="154" t="str">
        <f t="shared" si="358"/>
        <v/>
      </c>
      <c r="T1097" s="152"/>
      <c r="U1097" s="150" t="str">
        <f t="shared" si="370"/>
        <v/>
      </c>
      <c r="V1097" s="150" t="str">
        <f t="shared" si="371"/>
        <v/>
      </c>
      <c r="W1097" s="168" t="str">
        <f t="shared" si="372"/>
        <v/>
      </c>
      <c r="X1097" s="163" t="str">
        <f t="shared" si="359"/>
        <v/>
      </c>
      <c r="Y1097" s="152"/>
      <c r="Z1097" s="164" t="str">
        <f>IF(AND($C1096=12,$D1096=Input!$C$6),0,IF($E1097="","",V1097+Z1098/(1+L1097)*R1097))</f>
        <v/>
      </c>
      <c r="AA1097" s="164" t="str">
        <f>IF(OR($M1097=1,AND($C1096=12,$D1096=Input!$C$6)),0,IF($E1097="","",W1097+(X1097+AA1098*$R1097)/(1+$L1097)))</f>
        <v/>
      </c>
      <c r="AB1097" s="160" t="str">
        <f t="shared" si="360"/>
        <v/>
      </c>
      <c r="AC1097" s="164" t="str">
        <f t="shared" si="361"/>
        <v/>
      </c>
      <c r="AD1097" s="164" t="str">
        <f>IF(AND($C1096=12,$D1096=Input!$C$6),0,IF($E1097="","",$AC1097+AD1098/(1+$L1097)*$R1097))</f>
        <v/>
      </c>
      <c r="AE1097" s="152"/>
      <c r="AF1097" s="164" t="str">
        <f>IF(AND($C1096=12,$D1096=Input!$C$6),0,IF($E1097="","",IF($B1097&gt;Input!$C$9,$AC1097,0)+AF1098/(1+$L1097)*$R1097))</f>
        <v/>
      </c>
      <c r="AG1097" s="164" t="str">
        <f>IF(AND($C1096=12,$D1096=Input!$C$6),0,IF($E1097="","",(IF($B1097&gt;Input!$C$9,$X1097,0)+AG1098)/(1+$L1097)*$R1097))</f>
        <v/>
      </c>
      <c r="AH1097" s="160" t="str">
        <f t="shared" si="362"/>
        <v/>
      </c>
      <c r="AI1097" s="160" t="str">
        <f>IF($E1097="","",MIN(Input!$C$61/AH1097,1))</f>
        <v/>
      </c>
      <c r="AJ1097" s="152"/>
      <c r="AK1097" s="164" t="str">
        <f>IF(AND($C1096=12,$D1096=Input!$C$6),0,IF($E1097="","",IF($B1097&gt;Input!$C$9,$AC1097*AI1097,0)+AK1098/(1+$L1097)*$R1097))</f>
        <v/>
      </c>
      <c r="AL1097" s="164" t="str">
        <f>IF(AND($C1096=12,$D1096=Input!$C$6),0,IF($E1097="","",IF($B1097&gt;Input!$C$9,0,$AC1097)+AL1098/(1+$L1097)*$R1097))</f>
        <v/>
      </c>
      <c r="AM1097" s="160" t="str">
        <f t="shared" si="363"/>
        <v/>
      </c>
      <c r="AN1097" s="164" t="str">
        <f>IF($E1097="","",IF($B1097&gt;Input!$C$9,$AI1097*$AC1097,$AM1097*$AC1097))</f>
        <v/>
      </c>
      <c r="AO1097" s="164" t="str">
        <f>IF(AND($C1096=12,$D1096=Input!$C$6),0,IF($E1097="","",$AN1097+AO1098/(1+$L1097)*$R1097))</f>
        <v/>
      </c>
      <c r="AP1097" s="152"/>
      <c r="AQ1097" s="164" t="str">
        <f t="shared" si="364"/>
        <v/>
      </c>
      <c r="AR1097" s="164" t="str">
        <f t="shared" si="373"/>
        <v/>
      </c>
      <c r="AS1097" s="164" t="str">
        <f t="shared" si="374"/>
        <v/>
      </c>
      <c r="AT1097" s="164" t="str">
        <f t="shared" si="365"/>
        <v/>
      </c>
      <c r="AU1097" s="152"/>
      <c r="AV1097" s="147" t="str">
        <f>'Deterministic Reserve'!BC1097</f>
        <v/>
      </c>
      <c r="AW1097" s="164" t="str">
        <f t="shared" si="366"/>
        <v/>
      </c>
      <c r="AX1097" s="164" t="str">
        <f t="shared" si="367"/>
        <v/>
      </c>
      <c r="AY1097" s="152"/>
    </row>
    <row r="1098" spans="1:51" s="150" customFormat="1" x14ac:dyDescent="0.25">
      <c r="A1098" s="150" t="str">
        <f t="shared" si="375"/>
        <v/>
      </c>
      <c r="B1098" s="150" t="str">
        <f t="shared" si="376"/>
        <v/>
      </c>
      <c r="C1098" s="150" t="str">
        <f t="shared" si="377"/>
        <v/>
      </c>
      <c r="D1098" s="150" t="str">
        <f>IF(E1098="","",Input!$C$4+B1098-1)</f>
        <v/>
      </c>
      <c r="E1098" s="150" t="str">
        <f>IF(OR(AND(C1097=12,D1097=Input!$C$6),E1097=""),"",1)</f>
        <v/>
      </c>
      <c r="F1098" s="150" t="str">
        <f>IF(E1098="","",Input!$C$8+B1098-1)</f>
        <v/>
      </c>
      <c r="G1098" s="151" t="str">
        <f>IF(E1098="","",MAX(0,Input!$C$9-B1098))</f>
        <v/>
      </c>
      <c r="H1098" s="152" t="str">
        <f>IF(E1098="","",Input!$C$3)</f>
        <v/>
      </c>
      <c r="I1098" s="153" t="str">
        <f>IF(E1098="","",HLOOKUP($B1098,Input!$C$13:$BT$14,2))</f>
        <v/>
      </c>
      <c r="J1098" s="154"/>
      <c r="K1098" s="155" t="str">
        <f>IF($E1098="","",Input!$C$57)</f>
        <v/>
      </c>
      <c r="L1098" s="155" t="str">
        <f t="shared" si="368"/>
        <v/>
      </c>
      <c r="M1098" s="147" t="str">
        <f>IF($E1098="","",VLOOKUP(IF($B1098&lt;=Input!$C$7,$B1098,26),'Mortality Tables'!$A$72:$CA$97,IF($B1098&lt;=Input!$C$7+1,Input!$C$4-16,$D1098-Input!$C$7-16),0)/1000)</f>
        <v/>
      </c>
      <c r="N1098" s="147" t="str">
        <f t="shared" si="357"/>
        <v/>
      </c>
      <c r="O1098" s="157" t="str">
        <f>IF($E1098="","",IF($C1098=12,IF($B1098&lt;Input!$C$9,Input!$C$54,IF($B1098=Input!$C$9,Input!$C$55,Input!$C$56)),0%))</f>
        <v/>
      </c>
      <c r="P1098" s="167" t="str">
        <f>IF($E1098="","",IF($B1098=1,Input!$C$59,IF($B1098&lt;6,Input!$C$60,0%)))</f>
        <v/>
      </c>
      <c r="Q1098" s="162" t="str">
        <f>IF($E1098="","",Input!$C$58)</f>
        <v/>
      </c>
      <c r="R1098" s="156" t="str">
        <f t="shared" si="369"/>
        <v/>
      </c>
      <c r="S1098" s="154" t="str">
        <f t="shared" si="358"/>
        <v/>
      </c>
      <c r="T1098" s="152"/>
      <c r="U1098" s="150" t="str">
        <f t="shared" si="370"/>
        <v/>
      </c>
      <c r="V1098" s="150" t="str">
        <f t="shared" si="371"/>
        <v/>
      </c>
      <c r="W1098" s="168" t="str">
        <f t="shared" si="372"/>
        <v/>
      </c>
      <c r="X1098" s="163" t="str">
        <f t="shared" si="359"/>
        <v/>
      </c>
      <c r="Y1098" s="152"/>
      <c r="Z1098" s="164" t="str">
        <f>IF(AND($C1097=12,$D1097=Input!$C$6),0,IF($E1098="","",V1098+Z1099/(1+L1098)*R1098))</f>
        <v/>
      </c>
      <c r="AA1098" s="164" t="str">
        <f>IF(OR($M1098=1,AND($C1097=12,$D1097=Input!$C$6)),0,IF($E1098="","",W1098+(X1098+AA1099*$R1098)/(1+$L1098)))</f>
        <v/>
      </c>
      <c r="AB1098" s="160" t="str">
        <f t="shared" si="360"/>
        <v/>
      </c>
      <c r="AC1098" s="164" t="str">
        <f t="shared" si="361"/>
        <v/>
      </c>
      <c r="AD1098" s="164" t="str">
        <f>IF(AND($C1097=12,$D1097=Input!$C$6),0,IF($E1098="","",$AC1098+AD1099/(1+$L1098)*$R1098))</f>
        <v/>
      </c>
      <c r="AE1098" s="152"/>
      <c r="AF1098" s="164" t="str">
        <f>IF(AND($C1097=12,$D1097=Input!$C$6),0,IF($E1098="","",IF($B1098&gt;Input!$C$9,$AC1098,0)+AF1099/(1+$L1098)*$R1098))</f>
        <v/>
      </c>
      <c r="AG1098" s="164" t="str">
        <f>IF(AND($C1097=12,$D1097=Input!$C$6),0,IF($E1098="","",(IF($B1098&gt;Input!$C$9,$X1098,0)+AG1099)/(1+$L1098)*$R1098))</f>
        <v/>
      </c>
      <c r="AH1098" s="160" t="str">
        <f t="shared" si="362"/>
        <v/>
      </c>
      <c r="AI1098" s="160" t="str">
        <f>IF($E1098="","",MIN(Input!$C$61/AH1098,1))</f>
        <v/>
      </c>
      <c r="AJ1098" s="152"/>
      <c r="AK1098" s="164" t="str">
        <f>IF(AND($C1097=12,$D1097=Input!$C$6),0,IF($E1098="","",IF($B1098&gt;Input!$C$9,$AC1098*AI1098,0)+AK1099/(1+$L1098)*$R1098))</f>
        <v/>
      </c>
      <c r="AL1098" s="164" t="str">
        <f>IF(AND($C1097=12,$D1097=Input!$C$6),0,IF($E1098="","",IF($B1098&gt;Input!$C$9,0,$AC1098)+AL1099/(1+$L1098)*$R1098))</f>
        <v/>
      </c>
      <c r="AM1098" s="160" t="str">
        <f t="shared" si="363"/>
        <v/>
      </c>
      <c r="AN1098" s="164" t="str">
        <f>IF($E1098="","",IF($B1098&gt;Input!$C$9,$AI1098*$AC1098,$AM1098*$AC1098))</f>
        <v/>
      </c>
      <c r="AO1098" s="164" t="str">
        <f>IF(AND($C1097=12,$D1097=Input!$C$6),0,IF($E1098="","",$AN1098+AO1099/(1+$L1098)*$R1098))</f>
        <v/>
      </c>
      <c r="AP1098" s="152"/>
      <c r="AQ1098" s="164" t="str">
        <f t="shared" si="364"/>
        <v/>
      </c>
      <c r="AR1098" s="164" t="str">
        <f t="shared" si="373"/>
        <v/>
      </c>
      <c r="AS1098" s="164" t="str">
        <f t="shared" si="374"/>
        <v/>
      </c>
      <c r="AT1098" s="164" t="str">
        <f t="shared" si="365"/>
        <v/>
      </c>
      <c r="AU1098" s="152"/>
      <c r="AV1098" s="147" t="str">
        <f>'Deterministic Reserve'!BC1098</f>
        <v/>
      </c>
      <c r="AW1098" s="164" t="str">
        <f t="shared" si="366"/>
        <v/>
      </c>
      <c r="AX1098" s="164" t="str">
        <f t="shared" si="367"/>
        <v/>
      </c>
      <c r="AY1098" s="152"/>
    </row>
    <row r="1099" spans="1:51" s="150" customFormat="1" x14ac:dyDescent="0.25">
      <c r="A1099" s="150" t="str">
        <f t="shared" si="375"/>
        <v/>
      </c>
      <c r="B1099" s="150" t="str">
        <f t="shared" si="376"/>
        <v/>
      </c>
      <c r="C1099" s="150" t="str">
        <f t="shared" si="377"/>
        <v/>
      </c>
      <c r="D1099" s="150" t="str">
        <f>IF(E1099="","",Input!$C$4+B1099-1)</f>
        <v/>
      </c>
      <c r="E1099" s="150" t="str">
        <f>IF(OR(AND(C1098=12,D1098=Input!$C$6),E1098=""),"",1)</f>
        <v/>
      </c>
      <c r="F1099" s="150" t="str">
        <f>IF(E1099="","",Input!$C$8+B1099-1)</f>
        <v/>
      </c>
      <c r="G1099" s="151" t="str">
        <f>IF(E1099="","",MAX(0,Input!$C$9-B1099))</f>
        <v/>
      </c>
      <c r="H1099" s="152" t="str">
        <f>IF(E1099="","",Input!$C$3)</f>
        <v/>
      </c>
      <c r="I1099" s="153" t="str">
        <f>IF(E1099="","",HLOOKUP($B1099,Input!$C$13:$BT$14,2))</f>
        <v/>
      </c>
      <c r="J1099" s="154"/>
      <c r="K1099" s="155" t="str">
        <f>IF($E1099="","",Input!$C$57)</f>
        <v/>
      </c>
      <c r="L1099" s="155" t="str">
        <f t="shared" si="368"/>
        <v/>
      </c>
      <c r="M1099" s="147" t="str">
        <f>IF($E1099="","",VLOOKUP(IF($B1099&lt;=Input!$C$7,$B1099,26),'Mortality Tables'!$A$72:$CA$97,IF($B1099&lt;=Input!$C$7+1,Input!$C$4-16,$D1099-Input!$C$7-16),0)/1000)</f>
        <v/>
      </c>
      <c r="N1099" s="147" t="str">
        <f t="shared" si="357"/>
        <v/>
      </c>
      <c r="O1099" s="157" t="str">
        <f>IF($E1099="","",IF($C1099=12,IF($B1099&lt;Input!$C$9,Input!$C$54,IF($B1099=Input!$C$9,Input!$C$55,Input!$C$56)),0%))</f>
        <v/>
      </c>
      <c r="P1099" s="167" t="str">
        <f>IF($E1099="","",IF($B1099=1,Input!$C$59,IF($B1099&lt;6,Input!$C$60,0%)))</f>
        <v/>
      </c>
      <c r="Q1099" s="162" t="str">
        <f>IF($E1099="","",Input!$C$58)</f>
        <v/>
      </c>
      <c r="R1099" s="156" t="str">
        <f t="shared" si="369"/>
        <v/>
      </c>
      <c r="S1099" s="154" t="str">
        <f t="shared" si="358"/>
        <v/>
      </c>
      <c r="T1099" s="152"/>
      <c r="U1099" s="150" t="str">
        <f t="shared" si="370"/>
        <v/>
      </c>
      <c r="V1099" s="150" t="str">
        <f t="shared" si="371"/>
        <v/>
      </c>
      <c r="W1099" s="168" t="str">
        <f t="shared" si="372"/>
        <v/>
      </c>
      <c r="X1099" s="163" t="str">
        <f t="shared" si="359"/>
        <v/>
      </c>
      <c r="Y1099" s="152"/>
      <c r="Z1099" s="164" t="str">
        <f>IF(AND($C1098=12,$D1098=Input!$C$6),0,IF($E1099="","",V1099+Z1100/(1+L1099)*R1099))</f>
        <v/>
      </c>
      <c r="AA1099" s="164" t="str">
        <f>IF(OR($M1099=1,AND($C1098=12,$D1098=Input!$C$6)),0,IF($E1099="","",W1099+(X1099+AA1100*$R1099)/(1+$L1099)))</f>
        <v/>
      </c>
      <c r="AB1099" s="160" t="str">
        <f t="shared" si="360"/>
        <v/>
      </c>
      <c r="AC1099" s="164" t="str">
        <f t="shared" si="361"/>
        <v/>
      </c>
      <c r="AD1099" s="164" t="str">
        <f>IF(AND($C1098=12,$D1098=Input!$C$6),0,IF($E1099="","",$AC1099+AD1100/(1+$L1099)*$R1099))</f>
        <v/>
      </c>
      <c r="AE1099" s="152"/>
      <c r="AF1099" s="164" t="str">
        <f>IF(AND($C1098=12,$D1098=Input!$C$6),0,IF($E1099="","",IF($B1099&gt;Input!$C$9,$AC1099,0)+AF1100/(1+$L1099)*$R1099))</f>
        <v/>
      </c>
      <c r="AG1099" s="164" t="str">
        <f>IF(AND($C1098=12,$D1098=Input!$C$6),0,IF($E1099="","",(IF($B1099&gt;Input!$C$9,$X1099,0)+AG1100)/(1+$L1099)*$R1099))</f>
        <v/>
      </c>
      <c r="AH1099" s="160" t="str">
        <f t="shared" si="362"/>
        <v/>
      </c>
      <c r="AI1099" s="160" t="str">
        <f>IF($E1099="","",MIN(Input!$C$61/AH1099,1))</f>
        <v/>
      </c>
      <c r="AJ1099" s="152"/>
      <c r="AK1099" s="164" t="str">
        <f>IF(AND($C1098=12,$D1098=Input!$C$6),0,IF($E1099="","",IF($B1099&gt;Input!$C$9,$AC1099*AI1099,0)+AK1100/(1+$L1099)*$R1099))</f>
        <v/>
      </c>
      <c r="AL1099" s="164" t="str">
        <f>IF(AND($C1098=12,$D1098=Input!$C$6),0,IF($E1099="","",IF($B1099&gt;Input!$C$9,0,$AC1099)+AL1100/(1+$L1099)*$R1099))</f>
        <v/>
      </c>
      <c r="AM1099" s="160" t="str">
        <f t="shared" si="363"/>
        <v/>
      </c>
      <c r="AN1099" s="164" t="str">
        <f>IF($E1099="","",IF($B1099&gt;Input!$C$9,$AI1099*$AC1099,$AM1099*$AC1099))</f>
        <v/>
      </c>
      <c r="AO1099" s="164" t="str">
        <f>IF(AND($C1098=12,$D1098=Input!$C$6),0,IF($E1099="","",$AN1099+AO1100/(1+$L1099)*$R1099))</f>
        <v/>
      </c>
      <c r="AP1099" s="152"/>
      <c r="AQ1099" s="164" t="str">
        <f t="shared" si="364"/>
        <v/>
      </c>
      <c r="AR1099" s="164" t="str">
        <f t="shared" si="373"/>
        <v/>
      </c>
      <c r="AS1099" s="164" t="str">
        <f t="shared" si="374"/>
        <v/>
      </c>
      <c r="AT1099" s="164" t="str">
        <f t="shared" si="365"/>
        <v/>
      </c>
      <c r="AU1099" s="152"/>
      <c r="AV1099" s="147" t="str">
        <f>'Deterministic Reserve'!BC1099</f>
        <v/>
      </c>
      <c r="AW1099" s="164" t="str">
        <f t="shared" si="366"/>
        <v/>
      </c>
      <c r="AX1099" s="164" t="str">
        <f t="shared" si="367"/>
        <v/>
      </c>
      <c r="AY1099" s="152"/>
    </row>
    <row r="1100" spans="1:51" s="150" customFormat="1" x14ac:dyDescent="0.25">
      <c r="A1100" s="150" t="str">
        <f t="shared" si="375"/>
        <v/>
      </c>
      <c r="B1100" s="150" t="str">
        <f t="shared" si="376"/>
        <v/>
      </c>
      <c r="C1100" s="150" t="str">
        <f t="shared" si="377"/>
        <v/>
      </c>
      <c r="D1100" s="150" t="str">
        <f>IF(E1100="","",Input!$C$4+B1100-1)</f>
        <v/>
      </c>
      <c r="E1100" s="150" t="str">
        <f>IF(OR(AND(C1099=12,D1099=Input!$C$6),E1099=""),"",1)</f>
        <v/>
      </c>
      <c r="F1100" s="150" t="str">
        <f>IF(E1100="","",Input!$C$8+B1100-1)</f>
        <v/>
      </c>
      <c r="G1100" s="151" t="str">
        <f>IF(E1100="","",MAX(0,Input!$C$9-B1100))</f>
        <v/>
      </c>
      <c r="H1100" s="152" t="str">
        <f>IF(E1100="","",Input!$C$3)</f>
        <v/>
      </c>
      <c r="I1100" s="153" t="str">
        <f>IF(E1100="","",HLOOKUP($B1100,Input!$C$13:$BT$14,2))</f>
        <v/>
      </c>
      <c r="J1100" s="154"/>
      <c r="K1100" s="155" t="str">
        <f>IF($E1100="","",Input!$C$57)</f>
        <v/>
      </c>
      <c r="L1100" s="155" t="str">
        <f t="shared" si="368"/>
        <v/>
      </c>
      <c r="M1100" s="147" t="str">
        <f>IF($E1100="","",VLOOKUP(IF($B1100&lt;=Input!$C$7,$B1100,26),'Mortality Tables'!$A$72:$CA$97,IF($B1100&lt;=Input!$C$7+1,Input!$C$4-16,$D1100-Input!$C$7-16),0)/1000)</f>
        <v/>
      </c>
      <c r="N1100" s="147" t="str">
        <f t="shared" si="357"/>
        <v/>
      </c>
      <c r="O1100" s="157" t="str">
        <f>IF($E1100="","",IF($C1100=12,IF($B1100&lt;Input!$C$9,Input!$C$54,IF($B1100=Input!$C$9,Input!$C$55,Input!$C$56)),0%))</f>
        <v/>
      </c>
      <c r="P1100" s="167" t="str">
        <f>IF($E1100="","",IF($B1100=1,Input!$C$59,IF($B1100&lt;6,Input!$C$60,0%)))</f>
        <v/>
      </c>
      <c r="Q1100" s="162" t="str">
        <f>IF($E1100="","",Input!$C$58)</f>
        <v/>
      </c>
      <c r="R1100" s="156" t="str">
        <f t="shared" si="369"/>
        <v/>
      </c>
      <c r="S1100" s="154" t="str">
        <f t="shared" si="358"/>
        <v/>
      </c>
      <c r="T1100" s="152"/>
      <c r="U1100" s="150" t="str">
        <f t="shared" si="370"/>
        <v/>
      </c>
      <c r="V1100" s="150" t="str">
        <f t="shared" si="371"/>
        <v/>
      </c>
      <c r="W1100" s="168" t="str">
        <f t="shared" si="372"/>
        <v/>
      </c>
      <c r="X1100" s="163" t="str">
        <f t="shared" si="359"/>
        <v/>
      </c>
      <c r="Y1100" s="152"/>
      <c r="Z1100" s="164" t="str">
        <f>IF(AND($C1099=12,$D1099=Input!$C$6),0,IF($E1100="","",V1100+Z1101/(1+L1100)*R1100))</f>
        <v/>
      </c>
      <c r="AA1100" s="164" t="str">
        <f>IF(OR($M1100=1,AND($C1099=12,$D1099=Input!$C$6)),0,IF($E1100="","",W1100+(X1100+AA1101*$R1100)/(1+$L1100)))</f>
        <v/>
      </c>
      <c r="AB1100" s="160" t="str">
        <f t="shared" si="360"/>
        <v/>
      </c>
      <c r="AC1100" s="164" t="str">
        <f t="shared" si="361"/>
        <v/>
      </c>
      <c r="AD1100" s="164" t="str">
        <f>IF(AND($C1099=12,$D1099=Input!$C$6),0,IF($E1100="","",$AC1100+AD1101/(1+$L1100)*$R1100))</f>
        <v/>
      </c>
      <c r="AE1100" s="152"/>
      <c r="AF1100" s="164" t="str">
        <f>IF(AND($C1099=12,$D1099=Input!$C$6),0,IF($E1100="","",IF($B1100&gt;Input!$C$9,$AC1100,0)+AF1101/(1+$L1100)*$R1100))</f>
        <v/>
      </c>
      <c r="AG1100" s="164" t="str">
        <f>IF(AND($C1099=12,$D1099=Input!$C$6),0,IF($E1100="","",(IF($B1100&gt;Input!$C$9,$X1100,0)+AG1101)/(1+$L1100)*$R1100))</f>
        <v/>
      </c>
      <c r="AH1100" s="160" t="str">
        <f t="shared" si="362"/>
        <v/>
      </c>
      <c r="AI1100" s="160" t="str">
        <f>IF($E1100="","",MIN(Input!$C$61/AH1100,1))</f>
        <v/>
      </c>
      <c r="AJ1100" s="152"/>
      <c r="AK1100" s="164" t="str">
        <f>IF(AND($C1099=12,$D1099=Input!$C$6),0,IF($E1100="","",IF($B1100&gt;Input!$C$9,$AC1100*AI1100,0)+AK1101/(1+$L1100)*$R1100))</f>
        <v/>
      </c>
      <c r="AL1100" s="164" t="str">
        <f>IF(AND($C1099=12,$D1099=Input!$C$6),0,IF($E1100="","",IF($B1100&gt;Input!$C$9,0,$AC1100)+AL1101/(1+$L1100)*$R1100))</f>
        <v/>
      </c>
      <c r="AM1100" s="160" t="str">
        <f t="shared" si="363"/>
        <v/>
      </c>
      <c r="AN1100" s="164" t="str">
        <f>IF($E1100="","",IF($B1100&gt;Input!$C$9,$AI1100*$AC1100,$AM1100*$AC1100))</f>
        <v/>
      </c>
      <c r="AO1100" s="164" t="str">
        <f>IF(AND($C1099=12,$D1099=Input!$C$6),0,IF($E1100="","",$AN1100+AO1101/(1+$L1100)*$R1100))</f>
        <v/>
      </c>
      <c r="AP1100" s="152"/>
      <c r="AQ1100" s="164" t="str">
        <f t="shared" si="364"/>
        <v/>
      </c>
      <c r="AR1100" s="164" t="str">
        <f t="shared" si="373"/>
        <v/>
      </c>
      <c r="AS1100" s="164" t="str">
        <f t="shared" si="374"/>
        <v/>
      </c>
      <c r="AT1100" s="164" t="str">
        <f t="shared" si="365"/>
        <v/>
      </c>
      <c r="AU1100" s="152"/>
      <c r="AV1100" s="147" t="str">
        <f>'Deterministic Reserve'!BC1100</f>
        <v/>
      </c>
      <c r="AW1100" s="164" t="str">
        <f t="shared" si="366"/>
        <v/>
      </c>
      <c r="AX1100" s="164" t="str">
        <f t="shared" si="367"/>
        <v/>
      </c>
      <c r="AY1100" s="152"/>
    </row>
    <row r="1101" spans="1:51" s="150" customFormat="1" x14ac:dyDescent="0.25">
      <c r="A1101" s="150" t="str">
        <f t="shared" si="375"/>
        <v/>
      </c>
      <c r="B1101" s="150" t="str">
        <f t="shared" si="376"/>
        <v/>
      </c>
      <c r="C1101" s="150" t="str">
        <f t="shared" si="377"/>
        <v/>
      </c>
      <c r="D1101" s="150" t="str">
        <f>IF(E1101="","",Input!$C$4+B1101-1)</f>
        <v/>
      </c>
      <c r="E1101" s="150" t="str">
        <f>IF(OR(AND(C1100=12,D1100=Input!$C$6),E1100=""),"",1)</f>
        <v/>
      </c>
      <c r="F1101" s="150" t="str">
        <f>IF(E1101="","",Input!$C$8+B1101-1)</f>
        <v/>
      </c>
      <c r="G1101" s="151" t="str">
        <f>IF(E1101="","",MAX(0,Input!$C$9-B1101))</f>
        <v/>
      </c>
      <c r="H1101" s="152" t="str">
        <f>IF(E1101="","",Input!$C$3)</f>
        <v/>
      </c>
      <c r="I1101" s="153" t="str">
        <f>IF(E1101="","",HLOOKUP($B1101,Input!$C$13:$BT$14,2))</f>
        <v/>
      </c>
      <c r="J1101" s="154"/>
      <c r="K1101" s="155" t="str">
        <f>IF($E1101="","",Input!$C$57)</f>
        <v/>
      </c>
      <c r="L1101" s="155" t="str">
        <f t="shared" si="368"/>
        <v/>
      </c>
      <c r="M1101" s="147" t="str">
        <f>IF($E1101="","",VLOOKUP(IF($B1101&lt;=Input!$C$7,$B1101,26),'Mortality Tables'!$A$72:$CA$97,IF($B1101&lt;=Input!$C$7+1,Input!$C$4-16,$D1101-Input!$C$7-16),0)/1000)</f>
        <v/>
      </c>
      <c r="N1101" s="147" t="str">
        <f t="shared" si="357"/>
        <v/>
      </c>
      <c r="O1101" s="157" t="str">
        <f>IF($E1101="","",IF($C1101=12,IF($B1101&lt;Input!$C$9,Input!$C$54,IF($B1101=Input!$C$9,Input!$C$55,Input!$C$56)),0%))</f>
        <v/>
      </c>
      <c r="P1101" s="167" t="str">
        <f>IF($E1101="","",IF($B1101=1,Input!$C$59,IF($B1101&lt;6,Input!$C$60,0%)))</f>
        <v/>
      </c>
      <c r="Q1101" s="162" t="str">
        <f>IF($E1101="","",Input!$C$58)</f>
        <v/>
      </c>
      <c r="R1101" s="156" t="str">
        <f t="shared" si="369"/>
        <v/>
      </c>
      <c r="S1101" s="154" t="str">
        <f t="shared" si="358"/>
        <v/>
      </c>
      <c r="T1101" s="152"/>
      <c r="U1101" s="150" t="str">
        <f t="shared" si="370"/>
        <v/>
      </c>
      <c r="V1101" s="150" t="str">
        <f t="shared" si="371"/>
        <v/>
      </c>
      <c r="W1101" s="168" t="str">
        <f t="shared" si="372"/>
        <v/>
      </c>
      <c r="X1101" s="163" t="str">
        <f t="shared" si="359"/>
        <v/>
      </c>
      <c r="Y1101" s="152"/>
      <c r="Z1101" s="164" t="str">
        <f>IF(AND($C1100=12,$D1100=Input!$C$6),0,IF($E1101="","",V1101+Z1102/(1+L1101)*R1101))</f>
        <v/>
      </c>
      <c r="AA1101" s="164" t="str">
        <f>IF(OR($M1101=1,AND($C1100=12,$D1100=Input!$C$6)),0,IF($E1101="","",W1101+(X1101+AA1102*$R1101)/(1+$L1101)))</f>
        <v/>
      </c>
      <c r="AB1101" s="160" t="str">
        <f t="shared" si="360"/>
        <v/>
      </c>
      <c r="AC1101" s="164" t="str">
        <f t="shared" si="361"/>
        <v/>
      </c>
      <c r="AD1101" s="164" t="str">
        <f>IF(AND($C1100=12,$D1100=Input!$C$6),0,IF($E1101="","",$AC1101+AD1102/(1+$L1101)*$R1101))</f>
        <v/>
      </c>
      <c r="AE1101" s="152"/>
      <c r="AF1101" s="164" t="str">
        <f>IF(AND($C1100=12,$D1100=Input!$C$6),0,IF($E1101="","",IF($B1101&gt;Input!$C$9,$AC1101,0)+AF1102/(1+$L1101)*$R1101))</f>
        <v/>
      </c>
      <c r="AG1101" s="164" t="str">
        <f>IF(AND($C1100=12,$D1100=Input!$C$6),0,IF($E1101="","",(IF($B1101&gt;Input!$C$9,$X1101,0)+AG1102)/(1+$L1101)*$R1101))</f>
        <v/>
      </c>
      <c r="AH1101" s="160" t="str">
        <f t="shared" si="362"/>
        <v/>
      </c>
      <c r="AI1101" s="160" t="str">
        <f>IF($E1101="","",MIN(Input!$C$61/AH1101,1))</f>
        <v/>
      </c>
      <c r="AJ1101" s="152"/>
      <c r="AK1101" s="164" t="str">
        <f>IF(AND($C1100=12,$D1100=Input!$C$6),0,IF($E1101="","",IF($B1101&gt;Input!$C$9,$AC1101*AI1101,0)+AK1102/(1+$L1101)*$R1101))</f>
        <v/>
      </c>
      <c r="AL1101" s="164" t="str">
        <f>IF(AND($C1100=12,$D1100=Input!$C$6),0,IF($E1101="","",IF($B1101&gt;Input!$C$9,0,$AC1101)+AL1102/(1+$L1101)*$R1101))</f>
        <v/>
      </c>
      <c r="AM1101" s="160" t="str">
        <f t="shared" si="363"/>
        <v/>
      </c>
      <c r="AN1101" s="164" t="str">
        <f>IF($E1101="","",IF($B1101&gt;Input!$C$9,$AI1101*$AC1101,$AM1101*$AC1101))</f>
        <v/>
      </c>
      <c r="AO1101" s="164" t="str">
        <f>IF(AND($C1100=12,$D1100=Input!$C$6),0,IF($E1101="","",$AN1101+AO1102/(1+$L1101)*$R1101))</f>
        <v/>
      </c>
      <c r="AP1101" s="152"/>
      <c r="AQ1101" s="164" t="str">
        <f t="shared" si="364"/>
        <v/>
      </c>
      <c r="AR1101" s="164" t="str">
        <f t="shared" si="373"/>
        <v/>
      </c>
      <c r="AS1101" s="164" t="str">
        <f t="shared" si="374"/>
        <v/>
      </c>
      <c r="AT1101" s="164" t="str">
        <f t="shared" si="365"/>
        <v/>
      </c>
      <c r="AU1101" s="152"/>
      <c r="AV1101" s="147" t="str">
        <f>'Deterministic Reserve'!BC1101</f>
        <v/>
      </c>
      <c r="AW1101" s="164" t="str">
        <f t="shared" si="366"/>
        <v/>
      </c>
      <c r="AX1101" s="164" t="str">
        <f t="shared" si="367"/>
        <v/>
      </c>
      <c r="AY1101" s="152"/>
    </row>
    <row r="1102" spans="1:51" s="150" customFormat="1" x14ac:dyDescent="0.25">
      <c r="A1102" s="150" t="str">
        <f t="shared" si="375"/>
        <v/>
      </c>
      <c r="B1102" s="150" t="str">
        <f t="shared" si="376"/>
        <v/>
      </c>
      <c r="C1102" s="150" t="str">
        <f t="shared" si="377"/>
        <v/>
      </c>
      <c r="D1102" s="150" t="str">
        <f>IF(E1102="","",Input!$C$4+B1102-1)</f>
        <v/>
      </c>
      <c r="E1102" s="150" t="str">
        <f>IF(OR(AND(C1101=12,D1101=Input!$C$6),E1101=""),"",1)</f>
        <v/>
      </c>
      <c r="F1102" s="150" t="str">
        <f>IF(E1102="","",Input!$C$8+B1102-1)</f>
        <v/>
      </c>
      <c r="G1102" s="151" t="str">
        <f>IF(E1102="","",MAX(0,Input!$C$9-B1102))</f>
        <v/>
      </c>
      <c r="H1102" s="152" t="str">
        <f>IF(E1102="","",Input!$C$3)</f>
        <v/>
      </c>
      <c r="I1102" s="153" t="str">
        <f>IF(E1102="","",HLOOKUP($B1102,Input!$C$13:$BT$14,2))</f>
        <v/>
      </c>
      <c r="J1102" s="154"/>
      <c r="K1102" s="155" t="str">
        <f>IF($E1102="","",Input!$C$57)</f>
        <v/>
      </c>
      <c r="L1102" s="155" t="str">
        <f t="shared" si="368"/>
        <v/>
      </c>
      <c r="M1102" s="147" t="str">
        <f>IF($E1102="","",VLOOKUP(IF($B1102&lt;=Input!$C$7,$B1102,26),'Mortality Tables'!$A$72:$CA$97,IF($B1102&lt;=Input!$C$7+1,Input!$C$4-16,$D1102-Input!$C$7-16),0)/1000)</f>
        <v/>
      </c>
      <c r="N1102" s="147" t="str">
        <f t="shared" si="357"/>
        <v/>
      </c>
      <c r="O1102" s="157" t="str">
        <f>IF($E1102="","",IF($C1102=12,IF($B1102&lt;Input!$C$9,Input!$C$54,IF($B1102=Input!$C$9,Input!$C$55,Input!$C$56)),0%))</f>
        <v/>
      </c>
      <c r="P1102" s="167" t="str">
        <f>IF($E1102="","",IF($B1102=1,Input!$C$59,IF($B1102&lt;6,Input!$C$60,0%)))</f>
        <v/>
      </c>
      <c r="Q1102" s="162" t="str">
        <f>IF($E1102="","",Input!$C$58)</f>
        <v/>
      </c>
      <c r="R1102" s="156" t="str">
        <f t="shared" si="369"/>
        <v/>
      </c>
      <c r="S1102" s="154" t="str">
        <f t="shared" si="358"/>
        <v/>
      </c>
      <c r="T1102" s="152"/>
      <c r="U1102" s="150" t="str">
        <f t="shared" si="370"/>
        <v/>
      </c>
      <c r="V1102" s="150" t="str">
        <f t="shared" si="371"/>
        <v/>
      </c>
      <c r="W1102" s="168" t="str">
        <f t="shared" si="372"/>
        <v/>
      </c>
      <c r="X1102" s="163" t="str">
        <f t="shared" si="359"/>
        <v/>
      </c>
      <c r="Y1102" s="152"/>
      <c r="Z1102" s="164" t="str">
        <f>IF(AND($C1101=12,$D1101=Input!$C$6),0,IF($E1102="","",V1102+Z1103/(1+L1102)*R1102))</f>
        <v/>
      </c>
      <c r="AA1102" s="164" t="str">
        <f>IF(OR($M1102=1,AND($C1101=12,$D1101=Input!$C$6)),0,IF($E1102="","",W1102+(X1102+AA1103*$R1102)/(1+$L1102)))</f>
        <v/>
      </c>
      <c r="AB1102" s="160" t="str">
        <f t="shared" si="360"/>
        <v/>
      </c>
      <c r="AC1102" s="164" t="str">
        <f t="shared" si="361"/>
        <v/>
      </c>
      <c r="AD1102" s="164" t="str">
        <f>IF(AND($C1101=12,$D1101=Input!$C$6),0,IF($E1102="","",$AC1102+AD1103/(1+$L1102)*$R1102))</f>
        <v/>
      </c>
      <c r="AE1102" s="152"/>
      <c r="AF1102" s="164" t="str">
        <f>IF(AND($C1101=12,$D1101=Input!$C$6),0,IF($E1102="","",IF($B1102&gt;Input!$C$9,$AC1102,0)+AF1103/(1+$L1102)*$R1102))</f>
        <v/>
      </c>
      <c r="AG1102" s="164" t="str">
        <f>IF(AND($C1101=12,$D1101=Input!$C$6),0,IF($E1102="","",(IF($B1102&gt;Input!$C$9,$X1102,0)+AG1103)/(1+$L1102)*$R1102))</f>
        <v/>
      </c>
      <c r="AH1102" s="160" t="str">
        <f t="shared" si="362"/>
        <v/>
      </c>
      <c r="AI1102" s="160" t="str">
        <f>IF($E1102="","",MIN(Input!$C$61/AH1102,1))</f>
        <v/>
      </c>
      <c r="AJ1102" s="152"/>
      <c r="AK1102" s="164" t="str">
        <f>IF(AND($C1101=12,$D1101=Input!$C$6),0,IF($E1102="","",IF($B1102&gt;Input!$C$9,$AC1102*AI1102,0)+AK1103/(1+$L1102)*$R1102))</f>
        <v/>
      </c>
      <c r="AL1102" s="164" t="str">
        <f>IF(AND($C1101=12,$D1101=Input!$C$6),0,IF($E1102="","",IF($B1102&gt;Input!$C$9,0,$AC1102)+AL1103/(1+$L1102)*$R1102))</f>
        <v/>
      </c>
      <c r="AM1102" s="160" t="str">
        <f t="shared" si="363"/>
        <v/>
      </c>
      <c r="AN1102" s="164" t="str">
        <f>IF($E1102="","",IF($B1102&gt;Input!$C$9,$AI1102*$AC1102,$AM1102*$AC1102))</f>
        <v/>
      </c>
      <c r="AO1102" s="164" t="str">
        <f>IF(AND($C1101=12,$D1101=Input!$C$6),0,IF($E1102="","",$AN1102+AO1103/(1+$L1102)*$R1102))</f>
        <v/>
      </c>
      <c r="AP1102" s="152"/>
      <c r="AQ1102" s="164" t="str">
        <f t="shared" si="364"/>
        <v/>
      </c>
      <c r="AR1102" s="164" t="str">
        <f t="shared" si="373"/>
        <v/>
      </c>
      <c r="AS1102" s="164" t="str">
        <f t="shared" si="374"/>
        <v/>
      </c>
      <c r="AT1102" s="164" t="str">
        <f t="shared" si="365"/>
        <v/>
      </c>
      <c r="AU1102" s="152"/>
      <c r="AV1102" s="147" t="str">
        <f>'Deterministic Reserve'!BC1102</f>
        <v/>
      </c>
      <c r="AW1102" s="164" t="str">
        <f t="shared" si="366"/>
        <v/>
      </c>
      <c r="AX1102" s="164" t="str">
        <f t="shared" si="367"/>
        <v/>
      </c>
      <c r="AY1102" s="152"/>
    </row>
    <row r="1103" spans="1:51" s="150" customFormat="1" x14ac:dyDescent="0.25">
      <c r="A1103" s="150" t="str">
        <f t="shared" si="375"/>
        <v/>
      </c>
      <c r="B1103" s="150" t="str">
        <f t="shared" si="376"/>
        <v/>
      </c>
      <c r="C1103" s="150" t="str">
        <f t="shared" si="377"/>
        <v/>
      </c>
      <c r="D1103" s="150" t="str">
        <f>IF(E1103="","",Input!$C$4+B1103-1)</f>
        <v/>
      </c>
      <c r="E1103" s="150" t="str">
        <f>IF(OR(AND(C1102=12,D1102=Input!$C$6),E1102=""),"",1)</f>
        <v/>
      </c>
      <c r="F1103" s="150" t="str">
        <f>IF(E1103="","",Input!$C$8+B1103-1)</f>
        <v/>
      </c>
      <c r="G1103" s="151" t="str">
        <f>IF(E1103="","",MAX(0,Input!$C$9-B1103))</f>
        <v/>
      </c>
      <c r="H1103" s="152" t="str">
        <f>IF(E1103="","",Input!$C$3)</f>
        <v/>
      </c>
      <c r="I1103" s="153" t="str">
        <f>IF(E1103="","",HLOOKUP($B1103,Input!$C$13:$BT$14,2))</f>
        <v/>
      </c>
      <c r="J1103" s="154"/>
      <c r="K1103" s="155" t="str">
        <f>IF($E1103="","",Input!$C$57)</f>
        <v/>
      </c>
      <c r="L1103" s="155" t="str">
        <f t="shared" si="368"/>
        <v/>
      </c>
      <c r="M1103" s="147" t="str">
        <f>IF($E1103="","",VLOOKUP(IF($B1103&lt;=Input!$C$7,$B1103,26),'Mortality Tables'!$A$72:$CA$97,IF($B1103&lt;=Input!$C$7+1,Input!$C$4-16,$D1103-Input!$C$7-16),0)/1000)</f>
        <v/>
      </c>
      <c r="N1103" s="147" t="str">
        <f t="shared" si="357"/>
        <v/>
      </c>
      <c r="O1103" s="157" t="str">
        <f>IF($E1103="","",IF($C1103=12,IF($B1103&lt;Input!$C$9,Input!$C$54,IF($B1103=Input!$C$9,Input!$C$55,Input!$C$56)),0%))</f>
        <v/>
      </c>
      <c r="P1103" s="167" t="str">
        <f>IF($E1103="","",IF($B1103=1,Input!$C$59,IF($B1103&lt;6,Input!$C$60,0%)))</f>
        <v/>
      </c>
      <c r="Q1103" s="162" t="str">
        <f>IF($E1103="","",Input!$C$58)</f>
        <v/>
      </c>
      <c r="R1103" s="156" t="str">
        <f t="shared" si="369"/>
        <v/>
      </c>
      <c r="S1103" s="154" t="str">
        <f t="shared" si="358"/>
        <v/>
      </c>
      <c r="T1103" s="152"/>
      <c r="U1103" s="150" t="str">
        <f t="shared" si="370"/>
        <v/>
      </c>
      <c r="V1103" s="150" t="str">
        <f t="shared" si="371"/>
        <v/>
      </c>
      <c r="W1103" s="168" t="str">
        <f t="shared" si="372"/>
        <v/>
      </c>
      <c r="X1103" s="163" t="str">
        <f t="shared" si="359"/>
        <v/>
      </c>
      <c r="Y1103" s="152"/>
      <c r="Z1103" s="164" t="str">
        <f>IF(AND($C1102=12,$D1102=Input!$C$6),0,IF($E1103="","",V1103+Z1104/(1+L1103)*R1103))</f>
        <v/>
      </c>
      <c r="AA1103" s="164" t="str">
        <f>IF(OR($M1103=1,AND($C1102=12,$D1102=Input!$C$6)),0,IF($E1103="","",W1103+(X1103+AA1104*$R1103)/(1+$L1103)))</f>
        <v/>
      </c>
      <c r="AB1103" s="160" t="str">
        <f t="shared" si="360"/>
        <v/>
      </c>
      <c r="AC1103" s="164" t="str">
        <f t="shared" si="361"/>
        <v/>
      </c>
      <c r="AD1103" s="164" t="str">
        <f>IF(AND($C1102=12,$D1102=Input!$C$6),0,IF($E1103="","",$AC1103+AD1104/(1+$L1103)*$R1103))</f>
        <v/>
      </c>
      <c r="AE1103" s="152"/>
      <c r="AF1103" s="164" t="str">
        <f>IF(AND($C1102=12,$D1102=Input!$C$6),0,IF($E1103="","",IF($B1103&gt;Input!$C$9,$AC1103,0)+AF1104/(1+$L1103)*$R1103))</f>
        <v/>
      </c>
      <c r="AG1103" s="164" t="str">
        <f>IF(AND($C1102=12,$D1102=Input!$C$6),0,IF($E1103="","",(IF($B1103&gt;Input!$C$9,$X1103,0)+AG1104)/(1+$L1103)*$R1103))</f>
        <v/>
      </c>
      <c r="AH1103" s="160" t="str">
        <f t="shared" si="362"/>
        <v/>
      </c>
      <c r="AI1103" s="160" t="str">
        <f>IF($E1103="","",MIN(Input!$C$61/AH1103,1))</f>
        <v/>
      </c>
      <c r="AJ1103" s="152"/>
      <c r="AK1103" s="164" t="str">
        <f>IF(AND($C1102=12,$D1102=Input!$C$6),0,IF($E1103="","",IF($B1103&gt;Input!$C$9,$AC1103*AI1103,0)+AK1104/(1+$L1103)*$R1103))</f>
        <v/>
      </c>
      <c r="AL1103" s="164" t="str">
        <f>IF(AND($C1102=12,$D1102=Input!$C$6),0,IF($E1103="","",IF($B1103&gt;Input!$C$9,0,$AC1103)+AL1104/(1+$L1103)*$R1103))</f>
        <v/>
      </c>
      <c r="AM1103" s="160" t="str">
        <f t="shared" si="363"/>
        <v/>
      </c>
      <c r="AN1103" s="164" t="str">
        <f>IF($E1103="","",IF($B1103&gt;Input!$C$9,$AI1103*$AC1103,$AM1103*$AC1103))</f>
        <v/>
      </c>
      <c r="AO1103" s="164" t="str">
        <f>IF(AND($C1102=12,$D1102=Input!$C$6),0,IF($E1103="","",$AN1103+AO1104/(1+$L1103)*$R1103))</f>
        <v/>
      </c>
      <c r="AP1103" s="152"/>
      <c r="AQ1103" s="164" t="str">
        <f t="shared" si="364"/>
        <v/>
      </c>
      <c r="AR1103" s="164" t="str">
        <f t="shared" si="373"/>
        <v/>
      </c>
      <c r="AS1103" s="164" t="str">
        <f t="shared" si="374"/>
        <v/>
      </c>
      <c r="AT1103" s="164" t="str">
        <f t="shared" si="365"/>
        <v/>
      </c>
      <c r="AU1103" s="152"/>
      <c r="AV1103" s="147" t="str">
        <f>'Deterministic Reserve'!BC1103</f>
        <v/>
      </c>
      <c r="AW1103" s="164" t="str">
        <f t="shared" si="366"/>
        <v/>
      </c>
      <c r="AX1103" s="164" t="str">
        <f t="shared" si="367"/>
        <v/>
      </c>
      <c r="AY1103" s="152"/>
    </row>
    <row r="1104" spans="1:51" s="150" customFormat="1" x14ac:dyDescent="0.25">
      <c r="A1104" s="150" t="str">
        <f t="shared" si="375"/>
        <v/>
      </c>
      <c r="B1104" s="150" t="str">
        <f t="shared" si="376"/>
        <v/>
      </c>
      <c r="C1104" s="150" t="str">
        <f t="shared" si="377"/>
        <v/>
      </c>
      <c r="D1104" s="150" t="str">
        <f>IF(E1104="","",Input!$C$4+B1104-1)</f>
        <v/>
      </c>
      <c r="E1104" s="150" t="str">
        <f>IF(OR(AND(C1103=12,D1103=Input!$C$6),E1103=""),"",1)</f>
        <v/>
      </c>
      <c r="F1104" s="150" t="str">
        <f>IF(E1104="","",Input!$C$8+B1104-1)</f>
        <v/>
      </c>
      <c r="G1104" s="151" t="str">
        <f>IF(E1104="","",MAX(0,Input!$C$9-B1104))</f>
        <v/>
      </c>
      <c r="H1104" s="152" t="str">
        <f>IF(E1104="","",Input!$C$3)</f>
        <v/>
      </c>
      <c r="I1104" s="153" t="str">
        <f>IF(E1104="","",HLOOKUP($B1104,Input!$C$13:$BT$14,2))</f>
        <v/>
      </c>
      <c r="J1104" s="154"/>
      <c r="K1104" s="155" t="str">
        <f>IF($E1104="","",Input!$C$57)</f>
        <v/>
      </c>
      <c r="L1104" s="155" t="str">
        <f t="shared" si="368"/>
        <v/>
      </c>
      <c r="M1104" s="147" t="str">
        <f>IF($E1104="","",VLOOKUP(IF($B1104&lt;=Input!$C$7,$B1104,26),'Mortality Tables'!$A$72:$CA$97,IF($B1104&lt;=Input!$C$7+1,Input!$C$4-16,$D1104-Input!$C$7-16),0)/1000)</f>
        <v/>
      </c>
      <c r="N1104" s="147" t="str">
        <f t="shared" si="357"/>
        <v/>
      </c>
      <c r="O1104" s="157" t="str">
        <f>IF($E1104="","",IF($C1104=12,IF($B1104&lt;Input!$C$9,Input!$C$54,IF($B1104=Input!$C$9,Input!$C$55,Input!$C$56)),0%))</f>
        <v/>
      </c>
      <c r="P1104" s="167" t="str">
        <f>IF($E1104="","",IF($B1104=1,Input!$C$59,IF($B1104&lt;6,Input!$C$60,0%)))</f>
        <v/>
      </c>
      <c r="Q1104" s="162" t="str">
        <f>IF($E1104="","",Input!$C$58)</f>
        <v/>
      </c>
      <c r="R1104" s="156" t="str">
        <f t="shared" si="369"/>
        <v/>
      </c>
      <c r="S1104" s="154" t="str">
        <f t="shared" si="358"/>
        <v/>
      </c>
      <c r="T1104" s="152"/>
      <c r="U1104" s="150" t="str">
        <f t="shared" si="370"/>
        <v/>
      </c>
      <c r="V1104" s="150" t="str">
        <f t="shared" si="371"/>
        <v/>
      </c>
      <c r="W1104" s="168" t="str">
        <f t="shared" si="372"/>
        <v/>
      </c>
      <c r="X1104" s="163" t="str">
        <f t="shared" si="359"/>
        <v/>
      </c>
      <c r="Y1104" s="152"/>
      <c r="Z1104" s="164" t="str">
        <f>IF(AND($C1103=12,$D1103=Input!$C$6),0,IF($E1104="","",V1104+Z1105/(1+L1104)*R1104))</f>
        <v/>
      </c>
      <c r="AA1104" s="164" t="str">
        <f>IF(OR($M1104=1,AND($C1103=12,$D1103=Input!$C$6)),0,IF($E1104="","",W1104+(X1104+AA1105*$R1104)/(1+$L1104)))</f>
        <v/>
      </c>
      <c r="AB1104" s="160" t="str">
        <f t="shared" si="360"/>
        <v/>
      </c>
      <c r="AC1104" s="164" t="str">
        <f t="shared" si="361"/>
        <v/>
      </c>
      <c r="AD1104" s="164" t="str">
        <f>IF(AND($C1103=12,$D1103=Input!$C$6),0,IF($E1104="","",$AC1104+AD1105/(1+$L1104)*$R1104))</f>
        <v/>
      </c>
      <c r="AE1104" s="152"/>
      <c r="AF1104" s="164" t="str">
        <f>IF(AND($C1103=12,$D1103=Input!$C$6),0,IF($E1104="","",IF($B1104&gt;Input!$C$9,$AC1104,0)+AF1105/(1+$L1104)*$R1104))</f>
        <v/>
      </c>
      <c r="AG1104" s="164" t="str">
        <f>IF(AND($C1103=12,$D1103=Input!$C$6),0,IF($E1104="","",(IF($B1104&gt;Input!$C$9,$X1104,0)+AG1105)/(1+$L1104)*$R1104))</f>
        <v/>
      </c>
      <c r="AH1104" s="160" t="str">
        <f t="shared" si="362"/>
        <v/>
      </c>
      <c r="AI1104" s="160" t="str">
        <f>IF($E1104="","",MIN(Input!$C$61/AH1104,1))</f>
        <v/>
      </c>
      <c r="AJ1104" s="152"/>
      <c r="AK1104" s="164" t="str">
        <f>IF(AND($C1103=12,$D1103=Input!$C$6),0,IF($E1104="","",IF($B1104&gt;Input!$C$9,$AC1104*AI1104,0)+AK1105/(1+$L1104)*$R1104))</f>
        <v/>
      </c>
      <c r="AL1104" s="164" t="str">
        <f>IF(AND($C1103=12,$D1103=Input!$C$6),0,IF($E1104="","",IF($B1104&gt;Input!$C$9,0,$AC1104)+AL1105/(1+$L1104)*$R1104))</f>
        <v/>
      </c>
      <c r="AM1104" s="160" t="str">
        <f t="shared" si="363"/>
        <v/>
      </c>
      <c r="AN1104" s="164" t="str">
        <f>IF($E1104="","",IF($B1104&gt;Input!$C$9,$AI1104*$AC1104,$AM1104*$AC1104))</f>
        <v/>
      </c>
      <c r="AO1104" s="164" t="str">
        <f>IF(AND($C1103=12,$D1103=Input!$C$6),0,IF($E1104="","",$AN1104+AO1105/(1+$L1104)*$R1104))</f>
        <v/>
      </c>
      <c r="AP1104" s="152"/>
      <c r="AQ1104" s="164" t="str">
        <f t="shared" si="364"/>
        <v/>
      </c>
      <c r="AR1104" s="164" t="str">
        <f t="shared" si="373"/>
        <v/>
      </c>
      <c r="AS1104" s="164" t="str">
        <f t="shared" si="374"/>
        <v/>
      </c>
      <c r="AT1104" s="164" t="str">
        <f t="shared" si="365"/>
        <v/>
      </c>
      <c r="AU1104" s="152"/>
      <c r="AV1104" s="147" t="str">
        <f>'Deterministic Reserve'!BC1104</f>
        <v/>
      </c>
      <c r="AW1104" s="164" t="str">
        <f t="shared" si="366"/>
        <v/>
      </c>
      <c r="AX1104" s="164" t="str">
        <f t="shared" si="367"/>
        <v/>
      </c>
      <c r="AY1104" s="152"/>
    </row>
    <row r="1105" spans="1:51" s="150" customFormat="1" x14ac:dyDescent="0.25">
      <c r="A1105" s="150" t="str">
        <f t="shared" si="375"/>
        <v/>
      </c>
      <c r="B1105" s="150" t="str">
        <f t="shared" si="376"/>
        <v/>
      </c>
      <c r="C1105" s="150" t="str">
        <f t="shared" si="377"/>
        <v/>
      </c>
      <c r="D1105" s="150" t="str">
        <f>IF(E1105="","",Input!$C$4+B1105-1)</f>
        <v/>
      </c>
      <c r="E1105" s="150" t="str">
        <f>IF(OR(AND(C1104=12,D1104=Input!$C$6),E1104=""),"",1)</f>
        <v/>
      </c>
      <c r="F1105" s="150" t="str">
        <f>IF(E1105="","",Input!$C$8+B1105-1)</f>
        <v/>
      </c>
      <c r="G1105" s="151" t="str">
        <f>IF(E1105="","",MAX(0,Input!$C$9-B1105))</f>
        <v/>
      </c>
      <c r="H1105" s="152" t="str">
        <f>IF(E1105="","",Input!$C$3)</f>
        <v/>
      </c>
      <c r="I1105" s="153" t="str">
        <f>IF(E1105="","",HLOOKUP($B1105,Input!$C$13:$BT$14,2))</f>
        <v/>
      </c>
      <c r="J1105" s="154"/>
      <c r="K1105" s="155" t="str">
        <f>IF($E1105="","",Input!$C$57)</f>
        <v/>
      </c>
      <c r="L1105" s="155" t="str">
        <f t="shared" si="368"/>
        <v/>
      </c>
      <c r="M1105" s="147" t="str">
        <f>IF($E1105="","",VLOOKUP(IF($B1105&lt;=Input!$C$7,$B1105,26),'Mortality Tables'!$A$72:$CA$97,IF($B1105&lt;=Input!$C$7+1,Input!$C$4-16,$D1105-Input!$C$7-16),0)/1000)</f>
        <v/>
      </c>
      <c r="N1105" s="147" t="str">
        <f t="shared" si="357"/>
        <v/>
      </c>
      <c r="O1105" s="157" t="str">
        <f>IF($E1105="","",IF($C1105=12,IF($B1105&lt;Input!$C$9,Input!$C$54,IF($B1105=Input!$C$9,Input!$C$55,Input!$C$56)),0%))</f>
        <v/>
      </c>
      <c r="P1105" s="167" t="str">
        <f>IF($E1105="","",IF($B1105=1,Input!$C$59,IF($B1105&lt;6,Input!$C$60,0%)))</f>
        <v/>
      </c>
      <c r="Q1105" s="162" t="str">
        <f>IF($E1105="","",Input!$C$58)</f>
        <v/>
      </c>
      <c r="R1105" s="156" t="str">
        <f t="shared" si="369"/>
        <v/>
      </c>
      <c r="S1105" s="154" t="str">
        <f t="shared" si="358"/>
        <v/>
      </c>
      <c r="T1105" s="152"/>
      <c r="U1105" s="150" t="str">
        <f t="shared" si="370"/>
        <v/>
      </c>
      <c r="V1105" s="150" t="str">
        <f t="shared" si="371"/>
        <v/>
      </c>
      <c r="W1105" s="168" t="str">
        <f t="shared" si="372"/>
        <v/>
      </c>
      <c r="X1105" s="163" t="str">
        <f t="shared" si="359"/>
        <v/>
      </c>
      <c r="Y1105" s="152"/>
      <c r="Z1105" s="164" t="str">
        <f>IF(AND($C1104=12,$D1104=Input!$C$6),0,IF($E1105="","",V1105+Z1106/(1+L1105)*R1105))</f>
        <v/>
      </c>
      <c r="AA1105" s="164" t="str">
        <f>IF(OR($M1105=1,AND($C1104=12,$D1104=Input!$C$6)),0,IF($E1105="","",W1105+(X1105+AA1106*$R1105)/(1+$L1105)))</f>
        <v/>
      </c>
      <c r="AB1105" s="160" t="str">
        <f t="shared" si="360"/>
        <v/>
      </c>
      <c r="AC1105" s="164" t="str">
        <f t="shared" si="361"/>
        <v/>
      </c>
      <c r="AD1105" s="164" t="str">
        <f>IF(AND($C1104=12,$D1104=Input!$C$6),0,IF($E1105="","",$AC1105+AD1106/(1+$L1105)*$R1105))</f>
        <v/>
      </c>
      <c r="AE1105" s="152"/>
      <c r="AF1105" s="164" t="str">
        <f>IF(AND($C1104=12,$D1104=Input!$C$6),0,IF($E1105="","",IF($B1105&gt;Input!$C$9,$AC1105,0)+AF1106/(1+$L1105)*$R1105))</f>
        <v/>
      </c>
      <c r="AG1105" s="164" t="str">
        <f>IF(AND($C1104=12,$D1104=Input!$C$6),0,IF($E1105="","",(IF($B1105&gt;Input!$C$9,$X1105,0)+AG1106)/(1+$L1105)*$R1105))</f>
        <v/>
      </c>
      <c r="AH1105" s="160" t="str">
        <f t="shared" si="362"/>
        <v/>
      </c>
      <c r="AI1105" s="160" t="str">
        <f>IF($E1105="","",MIN(Input!$C$61/AH1105,1))</f>
        <v/>
      </c>
      <c r="AJ1105" s="152"/>
      <c r="AK1105" s="164" t="str">
        <f>IF(AND($C1104=12,$D1104=Input!$C$6),0,IF($E1105="","",IF($B1105&gt;Input!$C$9,$AC1105*AI1105,0)+AK1106/(1+$L1105)*$R1105))</f>
        <v/>
      </c>
      <c r="AL1105" s="164" t="str">
        <f>IF(AND($C1104=12,$D1104=Input!$C$6),0,IF($E1105="","",IF($B1105&gt;Input!$C$9,0,$AC1105)+AL1106/(1+$L1105)*$R1105))</f>
        <v/>
      </c>
      <c r="AM1105" s="160" t="str">
        <f t="shared" si="363"/>
        <v/>
      </c>
      <c r="AN1105" s="164" t="str">
        <f>IF($E1105="","",IF($B1105&gt;Input!$C$9,$AI1105*$AC1105,$AM1105*$AC1105))</f>
        <v/>
      </c>
      <c r="AO1105" s="164" t="str">
        <f>IF(AND($C1104=12,$D1104=Input!$C$6),0,IF($E1105="","",$AN1105+AO1106/(1+$L1105)*$R1105))</f>
        <v/>
      </c>
      <c r="AP1105" s="152"/>
      <c r="AQ1105" s="164" t="str">
        <f t="shared" si="364"/>
        <v/>
      </c>
      <c r="AR1105" s="164" t="str">
        <f t="shared" si="373"/>
        <v/>
      </c>
      <c r="AS1105" s="164" t="str">
        <f t="shared" si="374"/>
        <v/>
      </c>
      <c r="AT1105" s="164" t="str">
        <f t="shared" si="365"/>
        <v/>
      </c>
      <c r="AU1105" s="152"/>
      <c r="AV1105" s="147" t="str">
        <f>'Deterministic Reserve'!BC1105</f>
        <v/>
      </c>
      <c r="AW1105" s="164" t="str">
        <f t="shared" si="366"/>
        <v/>
      </c>
      <c r="AX1105" s="164" t="str">
        <f t="shared" si="367"/>
        <v/>
      </c>
      <c r="AY1105" s="152"/>
    </row>
    <row r="1106" spans="1:51" s="150" customFormat="1" x14ac:dyDescent="0.25">
      <c r="A1106" s="150" t="str">
        <f t="shared" si="375"/>
        <v/>
      </c>
      <c r="B1106" s="150" t="str">
        <f t="shared" si="376"/>
        <v/>
      </c>
      <c r="C1106" s="150" t="str">
        <f t="shared" si="377"/>
        <v/>
      </c>
      <c r="D1106" s="150" t="str">
        <f>IF(E1106="","",Input!$C$4+B1106-1)</f>
        <v/>
      </c>
      <c r="E1106" s="150" t="str">
        <f>IF(OR(AND(C1105=12,D1105=Input!$C$6),E1105=""),"",1)</f>
        <v/>
      </c>
      <c r="F1106" s="150" t="str">
        <f>IF(E1106="","",Input!$C$8+B1106-1)</f>
        <v/>
      </c>
      <c r="G1106" s="151" t="str">
        <f>IF(E1106="","",MAX(0,Input!$C$9-B1106))</f>
        <v/>
      </c>
      <c r="H1106" s="152" t="str">
        <f>IF(E1106="","",Input!$C$3)</f>
        <v/>
      </c>
      <c r="I1106" s="153" t="str">
        <f>IF(E1106="","",HLOOKUP($B1106,Input!$C$13:$BT$14,2))</f>
        <v/>
      </c>
      <c r="J1106" s="154"/>
      <c r="K1106" s="155" t="str">
        <f>IF($E1106="","",Input!$C$57)</f>
        <v/>
      </c>
      <c r="L1106" s="155" t="str">
        <f t="shared" si="368"/>
        <v/>
      </c>
      <c r="M1106" s="147" t="str">
        <f>IF($E1106="","",VLOOKUP(IF($B1106&lt;=Input!$C$7,$B1106,26),'Mortality Tables'!$A$72:$CA$97,IF($B1106&lt;=Input!$C$7+1,Input!$C$4-16,$D1106-Input!$C$7-16),0)/1000)</f>
        <v/>
      </c>
      <c r="N1106" s="147" t="str">
        <f t="shared" si="357"/>
        <v/>
      </c>
      <c r="O1106" s="157" t="str">
        <f>IF($E1106="","",IF($C1106=12,IF($B1106&lt;Input!$C$9,Input!$C$54,IF($B1106=Input!$C$9,Input!$C$55,Input!$C$56)),0%))</f>
        <v/>
      </c>
      <c r="P1106" s="167" t="str">
        <f>IF($E1106="","",IF($B1106=1,Input!$C$59,IF($B1106&lt;6,Input!$C$60,0%)))</f>
        <v/>
      </c>
      <c r="Q1106" s="162" t="str">
        <f>IF($E1106="","",Input!$C$58)</f>
        <v/>
      </c>
      <c r="R1106" s="156" t="str">
        <f t="shared" si="369"/>
        <v/>
      </c>
      <c r="S1106" s="154" t="str">
        <f t="shared" si="358"/>
        <v/>
      </c>
      <c r="T1106" s="152"/>
      <c r="U1106" s="150" t="str">
        <f t="shared" si="370"/>
        <v/>
      </c>
      <c r="V1106" s="150" t="str">
        <f t="shared" si="371"/>
        <v/>
      </c>
      <c r="W1106" s="168" t="str">
        <f t="shared" si="372"/>
        <v/>
      </c>
      <c r="X1106" s="163" t="str">
        <f t="shared" si="359"/>
        <v/>
      </c>
      <c r="Y1106" s="152"/>
      <c r="Z1106" s="164" t="str">
        <f>IF(AND($C1105=12,$D1105=Input!$C$6),0,IF($E1106="","",V1106+Z1107/(1+L1106)*R1106))</f>
        <v/>
      </c>
      <c r="AA1106" s="164" t="str">
        <f>IF(OR($M1106=1,AND($C1105=12,$D1105=Input!$C$6)),0,IF($E1106="","",W1106+(X1106+AA1107*$R1106)/(1+$L1106)))</f>
        <v/>
      </c>
      <c r="AB1106" s="160" t="str">
        <f t="shared" si="360"/>
        <v/>
      </c>
      <c r="AC1106" s="164" t="str">
        <f t="shared" si="361"/>
        <v/>
      </c>
      <c r="AD1106" s="164" t="str">
        <f>IF(AND($C1105=12,$D1105=Input!$C$6),0,IF($E1106="","",$AC1106+AD1107/(1+$L1106)*$R1106))</f>
        <v/>
      </c>
      <c r="AE1106" s="152"/>
      <c r="AF1106" s="164" t="str">
        <f>IF(AND($C1105=12,$D1105=Input!$C$6),0,IF($E1106="","",IF($B1106&gt;Input!$C$9,$AC1106,0)+AF1107/(1+$L1106)*$R1106))</f>
        <v/>
      </c>
      <c r="AG1106" s="164" t="str">
        <f>IF(AND($C1105=12,$D1105=Input!$C$6),0,IF($E1106="","",(IF($B1106&gt;Input!$C$9,$X1106,0)+AG1107)/(1+$L1106)*$R1106))</f>
        <v/>
      </c>
      <c r="AH1106" s="160" t="str">
        <f t="shared" si="362"/>
        <v/>
      </c>
      <c r="AI1106" s="160" t="str">
        <f>IF($E1106="","",MIN(Input!$C$61/AH1106,1))</f>
        <v/>
      </c>
      <c r="AJ1106" s="152"/>
      <c r="AK1106" s="164" t="str">
        <f>IF(AND($C1105=12,$D1105=Input!$C$6),0,IF($E1106="","",IF($B1106&gt;Input!$C$9,$AC1106*AI1106,0)+AK1107/(1+$L1106)*$R1106))</f>
        <v/>
      </c>
      <c r="AL1106" s="164" t="str">
        <f>IF(AND($C1105=12,$D1105=Input!$C$6),0,IF($E1106="","",IF($B1106&gt;Input!$C$9,0,$AC1106)+AL1107/(1+$L1106)*$R1106))</f>
        <v/>
      </c>
      <c r="AM1106" s="160" t="str">
        <f t="shared" si="363"/>
        <v/>
      </c>
      <c r="AN1106" s="164" t="str">
        <f>IF($E1106="","",IF($B1106&gt;Input!$C$9,$AI1106*$AC1106,$AM1106*$AC1106))</f>
        <v/>
      </c>
      <c r="AO1106" s="164" t="str">
        <f>IF(AND($C1105=12,$D1105=Input!$C$6),0,IF($E1106="","",$AN1106+AO1107/(1+$L1106)*$R1106))</f>
        <v/>
      </c>
      <c r="AP1106" s="152"/>
      <c r="AQ1106" s="164" t="str">
        <f t="shared" si="364"/>
        <v/>
      </c>
      <c r="AR1106" s="164" t="str">
        <f t="shared" si="373"/>
        <v/>
      </c>
      <c r="AS1106" s="164" t="str">
        <f t="shared" si="374"/>
        <v/>
      </c>
      <c r="AT1106" s="164" t="str">
        <f t="shared" si="365"/>
        <v/>
      </c>
      <c r="AU1106" s="152"/>
      <c r="AV1106" s="147" t="str">
        <f>'Deterministic Reserve'!BC1106</f>
        <v/>
      </c>
      <c r="AW1106" s="164" t="str">
        <f t="shared" si="366"/>
        <v/>
      </c>
      <c r="AX1106" s="164" t="str">
        <f t="shared" si="367"/>
        <v/>
      </c>
      <c r="AY1106" s="152"/>
    </row>
    <row r="1107" spans="1:51" s="150" customFormat="1" x14ac:dyDescent="0.25">
      <c r="A1107" s="150" t="str">
        <f t="shared" si="375"/>
        <v/>
      </c>
      <c r="B1107" s="150" t="str">
        <f t="shared" si="376"/>
        <v/>
      </c>
      <c r="C1107" s="150" t="str">
        <f t="shared" si="377"/>
        <v/>
      </c>
      <c r="D1107" s="150" t="str">
        <f>IF(E1107="","",Input!$C$4+B1107-1)</f>
        <v/>
      </c>
      <c r="E1107" s="150" t="str">
        <f>IF(OR(AND(C1106=12,D1106=Input!$C$6),E1106=""),"",1)</f>
        <v/>
      </c>
      <c r="F1107" s="150" t="str">
        <f>IF(E1107="","",Input!$C$8+B1107-1)</f>
        <v/>
      </c>
      <c r="G1107" s="151" t="str">
        <f>IF(E1107="","",MAX(0,Input!$C$9-B1107))</f>
        <v/>
      </c>
      <c r="H1107" s="152" t="str">
        <f>IF(E1107="","",Input!$C$3)</f>
        <v/>
      </c>
      <c r="I1107" s="153" t="str">
        <f>IF(E1107="","",HLOOKUP($B1107,Input!$C$13:$BT$14,2))</f>
        <v/>
      </c>
      <c r="J1107" s="154"/>
      <c r="K1107" s="155" t="str">
        <f>IF($E1107="","",Input!$C$57)</f>
        <v/>
      </c>
      <c r="L1107" s="155" t="str">
        <f t="shared" si="368"/>
        <v/>
      </c>
      <c r="M1107" s="147" t="str">
        <f>IF($E1107="","",VLOOKUP(IF($B1107&lt;=Input!$C$7,$B1107,26),'Mortality Tables'!$A$72:$CA$97,IF($B1107&lt;=Input!$C$7+1,Input!$C$4-16,$D1107-Input!$C$7-16),0)/1000)</f>
        <v/>
      </c>
      <c r="N1107" s="147" t="str">
        <f t="shared" si="357"/>
        <v/>
      </c>
      <c r="O1107" s="157" t="str">
        <f>IF($E1107="","",IF($C1107=12,IF($B1107&lt;Input!$C$9,Input!$C$54,IF($B1107=Input!$C$9,Input!$C$55,Input!$C$56)),0%))</f>
        <v/>
      </c>
      <c r="P1107" s="167" t="str">
        <f>IF($E1107="","",IF($B1107=1,Input!$C$59,IF($B1107&lt;6,Input!$C$60,0%)))</f>
        <v/>
      </c>
      <c r="Q1107" s="162" t="str">
        <f>IF($E1107="","",Input!$C$58)</f>
        <v/>
      </c>
      <c r="R1107" s="156" t="str">
        <f t="shared" si="369"/>
        <v/>
      </c>
      <c r="S1107" s="154" t="str">
        <f t="shared" si="358"/>
        <v/>
      </c>
      <c r="T1107" s="152"/>
      <c r="U1107" s="150" t="str">
        <f t="shared" si="370"/>
        <v/>
      </c>
      <c r="V1107" s="150" t="str">
        <f t="shared" si="371"/>
        <v/>
      </c>
      <c r="W1107" s="168" t="str">
        <f t="shared" si="372"/>
        <v/>
      </c>
      <c r="X1107" s="163" t="str">
        <f t="shared" si="359"/>
        <v/>
      </c>
      <c r="Y1107" s="152"/>
      <c r="Z1107" s="164" t="str">
        <f>IF(AND($C1106=12,$D1106=Input!$C$6),0,IF($E1107="","",V1107+Z1108/(1+L1107)*R1107))</f>
        <v/>
      </c>
      <c r="AA1107" s="164" t="str">
        <f>IF(OR($M1107=1,AND($C1106=12,$D1106=Input!$C$6)),0,IF($E1107="","",W1107+(X1107+AA1108*$R1107)/(1+$L1107)))</f>
        <v/>
      </c>
      <c r="AB1107" s="160" t="str">
        <f t="shared" si="360"/>
        <v/>
      </c>
      <c r="AC1107" s="164" t="str">
        <f t="shared" si="361"/>
        <v/>
      </c>
      <c r="AD1107" s="164" t="str">
        <f>IF(AND($C1106=12,$D1106=Input!$C$6),0,IF($E1107="","",$AC1107+AD1108/(1+$L1107)*$R1107))</f>
        <v/>
      </c>
      <c r="AE1107" s="152"/>
      <c r="AF1107" s="164" t="str">
        <f>IF(AND($C1106=12,$D1106=Input!$C$6),0,IF($E1107="","",IF($B1107&gt;Input!$C$9,$AC1107,0)+AF1108/(1+$L1107)*$R1107))</f>
        <v/>
      </c>
      <c r="AG1107" s="164" t="str">
        <f>IF(AND($C1106=12,$D1106=Input!$C$6),0,IF($E1107="","",(IF($B1107&gt;Input!$C$9,$X1107,0)+AG1108)/(1+$L1107)*$R1107))</f>
        <v/>
      </c>
      <c r="AH1107" s="160" t="str">
        <f t="shared" si="362"/>
        <v/>
      </c>
      <c r="AI1107" s="160" t="str">
        <f>IF($E1107="","",MIN(Input!$C$61/AH1107,1))</f>
        <v/>
      </c>
      <c r="AJ1107" s="152"/>
      <c r="AK1107" s="164" t="str">
        <f>IF(AND($C1106=12,$D1106=Input!$C$6),0,IF($E1107="","",IF($B1107&gt;Input!$C$9,$AC1107*AI1107,0)+AK1108/(1+$L1107)*$R1107))</f>
        <v/>
      </c>
      <c r="AL1107" s="164" t="str">
        <f>IF(AND($C1106=12,$D1106=Input!$C$6),0,IF($E1107="","",IF($B1107&gt;Input!$C$9,0,$AC1107)+AL1108/(1+$L1107)*$R1107))</f>
        <v/>
      </c>
      <c r="AM1107" s="160" t="str">
        <f t="shared" si="363"/>
        <v/>
      </c>
      <c r="AN1107" s="164" t="str">
        <f>IF($E1107="","",IF($B1107&gt;Input!$C$9,$AI1107*$AC1107,$AM1107*$AC1107))</f>
        <v/>
      </c>
      <c r="AO1107" s="164" t="str">
        <f>IF(AND($C1106=12,$D1106=Input!$C$6),0,IF($E1107="","",$AN1107+AO1108/(1+$L1107)*$R1107))</f>
        <v/>
      </c>
      <c r="AP1107" s="152"/>
      <c r="AQ1107" s="164" t="str">
        <f t="shared" si="364"/>
        <v/>
      </c>
      <c r="AR1107" s="164" t="str">
        <f t="shared" si="373"/>
        <v/>
      </c>
      <c r="AS1107" s="164" t="str">
        <f t="shared" si="374"/>
        <v/>
      </c>
      <c r="AT1107" s="164" t="str">
        <f t="shared" si="365"/>
        <v/>
      </c>
      <c r="AU1107" s="152"/>
      <c r="AV1107" s="147" t="str">
        <f>'Deterministic Reserve'!BC1107</f>
        <v/>
      </c>
      <c r="AW1107" s="164" t="str">
        <f t="shared" si="366"/>
        <v/>
      </c>
      <c r="AX1107" s="164" t="str">
        <f t="shared" si="367"/>
        <v/>
      </c>
      <c r="AY1107" s="152"/>
    </row>
    <row r="1108" spans="1:51" s="150" customFormat="1" x14ac:dyDescent="0.25">
      <c r="A1108" s="150" t="str">
        <f t="shared" si="375"/>
        <v/>
      </c>
      <c r="B1108" s="150" t="str">
        <f t="shared" si="376"/>
        <v/>
      </c>
      <c r="C1108" s="150" t="str">
        <f t="shared" si="377"/>
        <v/>
      </c>
      <c r="D1108" s="150" t="str">
        <f>IF(E1108="","",Input!$C$4+B1108-1)</f>
        <v/>
      </c>
      <c r="E1108" s="150" t="str">
        <f>IF(OR(AND(C1107=12,D1107=Input!$C$6),E1107=""),"",1)</f>
        <v/>
      </c>
      <c r="F1108" s="150" t="str">
        <f>IF(E1108="","",Input!$C$8+B1108-1)</f>
        <v/>
      </c>
      <c r="G1108" s="151" t="str">
        <f>IF(E1108="","",MAX(0,Input!$C$9-B1108))</f>
        <v/>
      </c>
      <c r="H1108" s="152" t="str">
        <f>IF(E1108="","",Input!$C$3)</f>
        <v/>
      </c>
      <c r="I1108" s="153" t="str">
        <f>IF(E1108="","",HLOOKUP($B1108,Input!$C$13:$BT$14,2))</f>
        <v/>
      </c>
      <c r="J1108" s="154"/>
      <c r="K1108" s="155" t="str">
        <f>IF($E1108="","",Input!$C$57)</f>
        <v/>
      </c>
      <c r="L1108" s="155" t="str">
        <f t="shared" si="368"/>
        <v/>
      </c>
      <c r="M1108" s="147" t="str">
        <f>IF($E1108="","",VLOOKUP(IF($B1108&lt;=Input!$C$7,$B1108,26),'Mortality Tables'!$A$72:$CA$97,IF($B1108&lt;=Input!$C$7+1,Input!$C$4-16,$D1108-Input!$C$7-16),0)/1000)</f>
        <v/>
      </c>
      <c r="N1108" s="147" t="str">
        <f t="shared" si="357"/>
        <v/>
      </c>
      <c r="O1108" s="157" t="str">
        <f>IF($E1108="","",IF($C1108=12,IF($B1108&lt;Input!$C$9,Input!$C$54,IF($B1108=Input!$C$9,Input!$C$55,Input!$C$56)),0%))</f>
        <v/>
      </c>
      <c r="P1108" s="167" t="str">
        <f>IF($E1108="","",IF($B1108=1,Input!$C$59,IF($B1108&lt;6,Input!$C$60,0%)))</f>
        <v/>
      </c>
      <c r="Q1108" s="162" t="str">
        <f>IF($E1108="","",Input!$C$58)</f>
        <v/>
      </c>
      <c r="R1108" s="156" t="str">
        <f t="shared" si="369"/>
        <v/>
      </c>
      <c r="S1108" s="154" t="str">
        <f t="shared" si="358"/>
        <v/>
      </c>
      <c r="T1108" s="152"/>
      <c r="U1108" s="150" t="str">
        <f t="shared" si="370"/>
        <v/>
      </c>
      <c r="V1108" s="150" t="str">
        <f t="shared" si="371"/>
        <v/>
      </c>
      <c r="W1108" s="168" t="str">
        <f t="shared" si="372"/>
        <v/>
      </c>
      <c r="X1108" s="163" t="str">
        <f t="shared" si="359"/>
        <v/>
      </c>
      <c r="Y1108" s="152"/>
      <c r="Z1108" s="164" t="str">
        <f>IF(AND($C1107=12,$D1107=Input!$C$6),0,IF($E1108="","",V1108+Z1109/(1+L1108)*R1108))</f>
        <v/>
      </c>
      <c r="AA1108" s="164" t="str">
        <f>IF(OR($M1108=1,AND($C1107=12,$D1107=Input!$C$6)),0,IF($E1108="","",W1108+(X1108+AA1109*$R1108)/(1+$L1108)))</f>
        <v/>
      </c>
      <c r="AB1108" s="160" t="str">
        <f t="shared" si="360"/>
        <v/>
      </c>
      <c r="AC1108" s="164" t="str">
        <f t="shared" si="361"/>
        <v/>
      </c>
      <c r="AD1108" s="164" t="str">
        <f>IF(AND($C1107=12,$D1107=Input!$C$6),0,IF($E1108="","",$AC1108+AD1109/(1+$L1108)*$R1108))</f>
        <v/>
      </c>
      <c r="AE1108" s="152"/>
      <c r="AF1108" s="164" t="str">
        <f>IF(AND($C1107=12,$D1107=Input!$C$6),0,IF($E1108="","",IF($B1108&gt;Input!$C$9,$AC1108,0)+AF1109/(1+$L1108)*$R1108))</f>
        <v/>
      </c>
      <c r="AG1108" s="164" t="str">
        <f>IF(AND($C1107=12,$D1107=Input!$C$6),0,IF($E1108="","",(IF($B1108&gt;Input!$C$9,$X1108,0)+AG1109)/(1+$L1108)*$R1108))</f>
        <v/>
      </c>
      <c r="AH1108" s="160" t="str">
        <f t="shared" si="362"/>
        <v/>
      </c>
      <c r="AI1108" s="160" t="str">
        <f>IF($E1108="","",MIN(Input!$C$61/AH1108,1))</f>
        <v/>
      </c>
      <c r="AJ1108" s="152"/>
      <c r="AK1108" s="164" t="str">
        <f>IF(AND($C1107=12,$D1107=Input!$C$6),0,IF($E1108="","",IF($B1108&gt;Input!$C$9,$AC1108*AI1108,0)+AK1109/(1+$L1108)*$R1108))</f>
        <v/>
      </c>
      <c r="AL1108" s="164" t="str">
        <f>IF(AND($C1107=12,$D1107=Input!$C$6),0,IF($E1108="","",IF($B1108&gt;Input!$C$9,0,$AC1108)+AL1109/(1+$L1108)*$R1108))</f>
        <v/>
      </c>
      <c r="AM1108" s="160" t="str">
        <f t="shared" si="363"/>
        <v/>
      </c>
      <c r="AN1108" s="164" t="str">
        <f>IF($E1108="","",IF($B1108&gt;Input!$C$9,$AI1108*$AC1108,$AM1108*$AC1108))</f>
        <v/>
      </c>
      <c r="AO1108" s="164" t="str">
        <f>IF(AND($C1107=12,$D1107=Input!$C$6),0,IF($E1108="","",$AN1108+AO1109/(1+$L1108)*$R1108))</f>
        <v/>
      </c>
      <c r="AP1108" s="152"/>
      <c r="AQ1108" s="164" t="str">
        <f t="shared" si="364"/>
        <v/>
      </c>
      <c r="AR1108" s="164" t="str">
        <f t="shared" si="373"/>
        <v/>
      </c>
      <c r="AS1108" s="164" t="str">
        <f t="shared" si="374"/>
        <v/>
      </c>
      <c r="AT1108" s="164" t="str">
        <f t="shared" si="365"/>
        <v/>
      </c>
      <c r="AU1108" s="152"/>
      <c r="AV1108" s="147" t="str">
        <f>'Deterministic Reserve'!BC1108</f>
        <v/>
      </c>
      <c r="AW1108" s="164" t="str">
        <f t="shared" si="366"/>
        <v/>
      </c>
      <c r="AX1108" s="164" t="str">
        <f t="shared" si="367"/>
        <v/>
      </c>
      <c r="AY1108" s="152"/>
    </row>
    <row r="1109" spans="1:51" s="150" customFormat="1" x14ac:dyDescent="0.25">
      <c r="A1109" s="150" t="str">
        <f t="shared" si="375"/>
        <v/>
      </c>
      <c r="B1109" s="150" t="str">
        <f t="shared" si="376"/>
        <v/>
      </c>
      <c r="C1109" s="150" t="str">
        <f t="shared" si="377"/>
        <v/>
      </c>
      <c r="D1109" s="150" t="str">
        <f>IF(E1109="","",Input!$C$4+B1109-1)</f>
        <v/>
      </c>
      <c r="E1109" s="150" t="str">
        <f>IF(OR(AND(C1108=12,D1108=Input!$C$6),E1108=""),"",1)</f>
        <v/>
      </c>
      <c r="F1109" s="150" t="str">
        <f>IF(E1109="","",Input!$C$8+B1109-1)</f>
        <v/>
      </c>
      <c r="G1109" s="151" t="str">
        <f>IF(E1109="","",MAX(0,Input!$C$9-B1109))</f>
        <v/>
      </c>
      <c r="H1109" s="152" t="str">
        <f>IF(E1109="","",Input!$C$3)</f>
        <v/>
      </c>
      <c r="I1109" s="153" t="str">
        <f>IF(E1109="","",HLOOKUP($B1109,Input!$C$13:$BT$14,2))</f>
        <v/>
      </c>
      <c r="J1109" s="154"/>
      <c r="K1109" s="155" t="str">
        <f>IF($E1109="","",Input!$C$57)</f>
        <v/>
      </c>
      <c r="L1109" s="155" t="str">
        <f t="shared" si="368"/>
        <v/>
      </c>
      <c r="M1109" s="147" t="str">
        <f>IF($E1109="","",VLOOKUP(IF($B1109&lt;=Input!$C$7,$B1109,26),'Mortality Tables'!$A$72:$CA$97,IF($B1109&lt;=Input!$C$7+1,Input!$C$4-16,$D1109-Input!$C$7-16),0)/1000)</f>
        <v/>
      </c>
      <c r="N1109" s="147" t="str">
        <f t="shared" si="357"/>
        <v/>
      </c>
      <c r="O1109" s="157" t="str">
        <f>IF($E1109="","",IF($C1109=12,IF($B1109&lt;Input!$C$9,Input!$C$54,IF($B1109=Input!$C$9,Input!$C$55,Input!$C$56)),0%))</f>
        <v/>
      </c>
      <c r="P1109" s="167" t="str">
        <f>IF($E1109="","",IF($B1109=1,Input!$C$59,IF($B1109&lt;6,Input!$C$60,0%)))</f>
        <v/>
      </c>
      <c r="Q1109" s="162" t="str">
        <f>IF($E1109="","",Input!$C$58)</f>
        <v/>
      </c>
      <c r="R1109" s="156" t="str">
        <f t="shared" si="369"/>
        <v/>
      </c>
      <c r="S1109" s="154" t="str">
        <f t="shared" si="358"/>
        <v/>
      </c>
      <c r="T1109" s="152"/>
      <c r="U1109" s="150" t="str">
        <f t="shared" si="370"/>
        <v/>
      </c>
      <c r="V1109" s="150" t="str">
        <f t="shared" si="371"/>
        <v/>
      </c>
      <c r="W1109" s="168" t="str">
        <f t="shared" si="372"/>
        <v/>
      </c>
      <c r="X1109" s="163" t="str">
        <f t="shared" si="359"/>
        <v/>
      </c>
      <c r="Y1109" s="152"/>
      <c r="Z1109" s="164" t="str">
        <f>IF(AND($C1108=12,$D1108=Input!$C$6),0,IF($E1109="","",V1109+Z1110/(1+L1109)*R1109))</f>
        <v/>
      </c>
      <c r="AA1109" s="164" t="str">
        <f>IF(OR($M1109=1,AND($C1108=12,$D1108=Input!$C$6)),0,IF($E1109="","",W1109+(X1109+AA1110*$R1109)/(1+$L1109)))</f>
        <v/>
      </c>
      <c r="AB1109" s="160" t="str">
        <f t="shared" si="360"/>
        <v/>
      </c>
      <c r="AC1109" s="164" t="str">
        <f t="shared" si="361"/>
        <v/>
      </c>
      <c r="AD1109" s="164" t="str">
        <f>IF(AND($C1108=12,$D1108=Input!$C$6),0,IF($E1109="","",$AC1109+AD1110/(1+$L1109)*$R1109))</f>
        <v/>
      </c>
      <c r="AE1109" s="152"/>
      <c r="AF1109" s="164" t="str">
        <f>IF(AND($C1108=12,$D1108=Input!$C$6),0,IF($E1109="","",IF($B1109&gt;Input!$C$9,$AC1109,0)+AF1110/(1+$L1109)*$R1109))</f>
        <v/>
      </c>
      <c r="AG1109" s="164" t="str">
        <f>IF(AND($C1108=12,$D1108=Input!$C$6),0,IF($E1109="","",(IF($B1109&gt;Input!$C$9,$X1109,0)+AG1110)/(1+$L1109)*$R1109))</f>
        <v/>
      </c>
      <c r="AH1109" s="160" t="str">
        <f t="shared" si="362"/>
        <v/>
      </c>
      <c r="AI1109" s="160" t="str">
        <f>IF($E1109="","",MIN(Input!$C$61/AH1109,1))</f>
        <v/>
      </c>
      <c r="AJ1109" s="152"/>
      <c r="AK1109" s="164" t="str">
        <f>IF(AND($C1108=12,$D1108=Input!$C$6),0,IF($E1109="","",IF($B1109&gt;Input!$C$9,$AC1109*AI1109,0)+AK1110/(1+$L1109)*$R1109))</f>
        <v/>
      </c>
      <c r="AL1109" s="164" t="str">
        <f>IF(AND($C1108=12,$D1108=Input!$C$6),0,IF($E1109="","",IF($B1109&gt;Input!$C$9,0,$AC1109)+AL1110/(1+$L1109)*$R1109))</f>
        <v/>
      </c>
      <c r="AM1109" s="160" t="str">
        <f t="shared" si="363"/>
        <v/>
      </c>
      <c r="AN1109" s="164" t="str">
        <f>IF($E1109="","",IF($B1109&gt;Input!$C$9,$AI1109*$AC1109,$AM1109*$AC1109))</f>
        <v/>
      </c>
      <c r="AO1109" s="164" t="str">
        <f>IF(AND($C1108=12,$D1108=Input!$C$6),0,IF($E1109="","",$AN1109+AO1110/(1+$L1109)*$R1109))</f>
        <v/>
      </c>
      <c r="AP1109" s="152"/>
      <c r="AQ1109" s="164" t="str">
        <f t="shared" si="364"/>
        <v/>
      </c>
      <c r="AR1109" s="164" t="str">
        <f t="shared" si="373"/>
        <v/>
      </c>
      <c r="AS1109" s="164" t="str">
        <f t="shared" si="374"/>
        <v/>
      </c>
      <c r="AT1109" s="164" t="str">
        <f t="shared" si="365"/>
        <v/>
      </c>
      <c r="AU1109" s="152"/>
      <c r="AV1109" s="147" t="str">
        <f>'Deterministic Reserve'!BC1109</f>
        <v/>
      </c>
      <c r="AW1109" s="164" t="str">
        <f t="shared" si="366"/>
        <v/>
      </c>
      <c r="AX1109" s="164" t="str">
        <f t="shared" si="367"/>
        <v/>
      </c>
      <c r="AY1109" s="152"/>
    </row>
    <row r="1110" spans="1:51" s="150" customFormat="1" x14ac:dyDescent="0.25">
      <c r="A1110" s="150" t="str">
        <f t="shared" si="375"/>
        <v/>
      </c>
      <c r="B1110" s="150" t="str">
        <f t="shared" si="376"/>
        <v/>
      </c>
      <c r="C1110" s="150" t="str">
        <f t="shared" si="377"/>
        <v/>
      </c>
      <c r="D1110" s="150" t="str">
        <f>IF(E1110="","",Input!$C$4+B1110-1)</f>
        <v/>
      </c>
      <c r="E1110" s="150" t="str">
        <f>IF(OR(AND(C1109=12,D1109=Input!$C$6),E1109=""),"",1)</f>
        <v/>
      </c>
      <c r="F1110" s="150" t="str">
        <f>IF(E1110="","",Input!$C$8+B1110-1)</f>
        <v/>
      </c>
      <c r="G1110" s="151" t="str">
        <f>IF(E1110="","",MAX(0,Input!$C$9-B1110))</f>
        <v/>
      </c>
      <c r="H1110" s="152" t="str">
        <f>IF(E1110="","",Input!$C$3)</f>
        <v/>
      </c>
      <c r="I1110" s="153" t="str">
        <f>IF(E1110="","",HLOOKUP($B1110,Input!$C$13:$BT$14,2))</f>
        <v/>
      </c>
      <c r="J1110" s="154"/>
      <c r="K1110" s="155" t="str">
        <f>IF($E1110="","",Input!$C$57)</f>
        <v/>
      </c>
      <c r="L1110" s="155" t="str">
        <f t="shared" si="368"/>
        <v/>
      </c>
      <c r="M1110" s="147" t="str">
        <f>IF($E1110="","",VLOOKUP(IF($B1110&lt;=Input!$C$7,$B1110,26),'Mortality Tables'!$A$72:$CA$97,IF($B1110&lt;=Input!$C$7+1,Input!$C$4-16,$D1110-Input!$C$7-16),0)/1000)</f>
        <v/>
      </c>
      <c r="N1110" s="147" t="str">
        <f t="shared" si="357"/>
        <v/>
      </c>
      <c r="O1110" s="157" t="str">
        <f>IF($E1110="","",IF($C1110=12,IF($B1110&lt;Input!$C$9,Input!$C$54,IF($B1110=Input!$C$9,Input!$C$55,Input!$C$56)),0%))</f>
        <v/>
      </c>
      <c r="P1110" s="167" t="str">
        <f>IF($E1110="","",IF($B1110=1,Input!$C$59,IF($B1110&lt;6,Input!$C$60,0%)))</f>
        <v/>
      </c>
      <c r="Q1110" s="162" t="str">
        <f>IF($E1110="","",Input!$C$58)</f>
        <v/>
      </c>
      <c r="R1110" s="156" t="str">
        <f t="shared" si="369"/>
        <v/>
      </c>
      <c r="S1110" s="154" t="str">
        <f t="shared" si="358"/>
        <v/>
      </c>
      <c r="T1110" s="152"/>
      <c r="U1110" s="150" t="str">
        <f t="shared" si="370"/>
        <v/>
      </c>
      <c r="V1110" s="150" t="str">
        <f t="shared" si="371"/>
        <v/>
      </c>
      <c r="W1110" s="168" t="str">
        <f t="shared" si="372"/>
        <v/>
      </c>
      <c r="X1110" s="163" t="str">
        <f t="shared" si="359"/>
        <v/>
      </c>
      <c r="Y1110" s="152"/>
      <c r="Z1110" s="164" t="str">
        <f>IF(AND($C1109=12,$D1109=Input!$C$6),0,IF($E1110="","",V1110+Z1111/(1+L1110)*R1110))</f>
        <v/>
      </c>
      <c r="AA1110" s="164" t="str">
        <f>IF(OR($M1110=1,AND($C1109=12,$D1109=Input!$C$6)),0,IF($E1110="","",W1110+(X1110+AA1111*$R1110)/(1+$L1110)))</f>
        <v/>
      </c>
      <c r="AB1110" s="160" t="str">
        <f t="shared" si="360"/>
        <v/>
      </c>
      <c r="AC1110" s="164" t="str">
        <f t="shared" si="361"/>
        <v/>
      </c>
      <c r="AD1110" s="164" t="str">
        <f>IF(AND($C1109=12,$D1109=Input!$C$6),0,IF($E1110="","",$AC1110+AD1111/(1+$L1110)*$R1110))</f>
        <v/>
      </c>
      <c r="AE1110" s="152"/>
      <c r="AF1110" s="164" t="str">
        <f>IF(AND($C1109=12,$D1109=Input!$C$6),0,IF($E1110="","",IF($B1110&gt;Input!$C$9,$AC1110,0)+AF1111/(1+$L1110)*$R1110))</f>
        <v/>
      </c>
      <c r="AG1110" s="164" t="str">
        <f>IF(AND($C1109=12,$D1109=Input!$C$6),0,IF($E1110="","",(IF($B1110&gt;Input!$C$9,$X1110,0)+AG1111)/(1+$L1110)*$R1110))</f>
        <v/>
      </c>
      <c r="AH1110" s="160" t="str">
        <f t="shared" si="362"/>
        <v/>
      </c>
      <c r="AI1110" s="160" t="str">
        <f>IF($E1110="","",MIN(Input!$C$61/AH1110,1))</f>
        <v/>
      </c>
      <c r="AJ1110" s="152"/>
      <c r="AK1110" s="164" t="str">
        <f>IF(AND($C1109=12,$D1109=Input!$C$6),0,IF($E1110="","",IF($B1110&gt;Input!$C$9,$AC1110*AI1110,0)+AK1111/(1+$L1110)*$R1110))</f>
        <v/>
      </c>
      <c r="AL1110" s="164" t="str">
        <f>IF(AND($C1109=12,$D1109=Input!$C$6),0,IF($E1110="","",IF($B1110&gt;Input!$C$9,0,$AC1110)+AL1111/(1+$L1110)*$R1110))</f>
        <v/>
      </c>
      <c r="AM1110" s="160" t="str">
        <f t="shared" si="363"/>
        <v/>
      </c>
      <c r="AN1110" s="164" t="str">
        <f>IF($E1110="","",IF($B1110&gt;Input!$C$9,$AI1110*$AC1110,$AM1110*$AC1110))</f>
        <v/>
      </c>
      <c r="AO1110" s="164" t="str">
        <f>IF(AND($C1109=12,$D1109=Input!$C$6),0,IF($E1110="","",$AN1110+AO1111/(1+$L1110)*$R1110))</f>
        <v/>
      </c>
      <c r="AP1110" s="152"/>
      <c r="AQ1110" s="164" t="str">
        <f t="shared" si="364"/>
        <v/>
      </c>
      <c r="AR1110" s="164" t="str">
        <f t="shared" si="373"/>
        <v/>
      </c>
      <c r="AS1110" s="164" t="str">
        <f t="shared" si="374"/>
        <v/>
      </c>
      <c r="AT1110" s="164" t="str">
        <f t="shared" si="365"/>
        <v/>
      </c>
      <c r="AU1110" s="152"/>
      <c r="AV1110" s="147" t="str">
        <f>'Deterministic Reserve'!BC1110</f>
        <v/>
      </c>
      <c r="AW1110" s="164" t="str">
        <f t="shared" si="366"/>
        <v/>
      </c>
      <c r="AX1110" s="164" t="str">
        <f t="shared" si="367"/>
        <v/>
      </c>
      <c r="AY1110" s="152"/>
    </row>
    <row r="1111" spans="1:51" s="150" customFormat="1" x14ac:dyDescent="0.25">
      <c r="A1111" s="150" t="str">
        <f t="shared" si="375"/>
        <v/>
      </c>
      <c r="B1111" s="150" t="str">
        <f t="shared" si="376"/>
        <v/>
      </c>
      <c r="C1111" s="150" t="str">
        <f t="shared" si="377"/>
        <v/>
      </c>
      <c r="D1111" s="150" t="str">
        <f>IF(E1111="","",Input!$C$4+B1111-1)</f>
        <v/>
      </c>
      <c r="E1111" s="150" t="str">
        <f>IF(OR(AND(C1110=12,D1110=Input!$C$6),E1110=""),"",1)</f>
        <v/>
      </c>
      <c r="F1111" s="150" t="str">
        <f>IF(E1111="","",Input!$C$8+B1111-1)</f>
        <v/>
      </c>
      <c r="G1111" s="151" t="str">
        <f>IF(E1111="","",MAX(0,Input!$C$9-B1111))</f>
        <v/>
      </c>
      <c r="H1111" s="152" t="str">
        <f>IF(E1111="","",Input!$C$3)</f>
        <v/>
      </c>
      <c r="I1111" s="153" t="str">
        <f>IF(E1111="","",HLOOKUP($B1111,Input!$C$13:$BT$14,2))</f>
        <v/>
      </c>
      <c r="J1111" s="154"/>
      <c r="K1111" s="155" t="str">
        <f>IF($E1111="","",Input!$C$57)</f>
        <v/>
      </c>
      <c r="L1111" s="155" t="str">
        <f t="shared" si="368"/>
        <v/>
      </c>
      <c r="M1111" s="147" t="str">
        <f>IF($E1111="","",VLOOKUP(IF($B1111&lt;=Input!$C$7,$B1111,26),'Mortality Tables'!$A$72:$CA$97,IF($B1111&lt;=Input!$C$7+1,Input!$C$4-16,$D1111-Input!$C$7-16),0)/1000)</f>
        <v/>
      </c>
      <c r="N1111" s="147" t="str">
        <f t="shared" si="357"/>
        <v/>
      </c>
      <c r="O1111" s="157" t="str">
        <f>IF($E1111="","",IF($C1111=12,IF($B1111&lt;Input!$C$9,Input!$C$54,IF($B1111=Input!$C$9,Input!$C$55,Input!$C$56)),0%))</f>
        <v/>
      </c>
      <c r="P1111" s="167" t="str">
        <f>IF($E1111="","",IF($B1111=1,Input!$C$59,IF($B1111&lt;6,Input!$C$60,0%)))</f>
        <v/>
      </c>
      <c r="Q1111" s="162" t="str">
        <f>IF($E1111="","",Input!$C$58)</f>
        <v/>
      </c>
      <c r="R1111" s="156" t="str">
        <f t="shared" si="369"/>
        <v/>
      </c>
      <c r="S1111" s="154" t="str">
        <f t="shared" si="358"/>
        <v/>
      </c>
      <c r="T1111" s="152"/>
      <c r="U1111" s="150" t="str">
        <f t="shared" si="370"/>
        <v/>
      </c>
      <c r="V1111" s="150" t="str">
        <f t="shared" si="371"/>
        <v/>
      </c>
      <c r="W1111" s="168" t="str">
        <f t="shared" si="372"/>
        <v/>
      </c>
      <c r="X1111" s="163" t="str">
        <f t="shared" si="359"/>
        <v/>
      </c>
      <c r="Y1111" s="152"/>
      <c r="Z1111" s="164" t="str">
        <f>IF(AND($C1110=12,$D1110=Input!$C$6),0,IF($E1111="","",V1111+Z1112/(1+L1111)*R1111))</f>
        <v/>
      </c>
      <c r="AA1111" s="164" t="str">
        <f>IF(OR($M1111=1,AND($C1110=12,$D1110=Input!$C$6)),0,IF($E1111="","",W1111+(X1111+AA1112*$R1111)/(1+$L1111)))</f>
        <v/>
      </c>
      <c r="AB1111" s="160" t="str">
        <f t="shared" si="360"/>
        <v/>
      </c>
      <c r="AC1111" s="164" t="str">
        <f t="shared" si="361"/>
        <v/>
      </c>
      <c r="AD1111" s="164" t="str">
        <f>IF(AND($C1110=12,$D1110=Input!$C$6),0,IF($E1111="","",$AC1111+AD1112/(1+$L1111)*$R1111))</f>
        <v/>
      </c>
      <c r="AE1111" s="152"/>
      <c r="AF1111" s="164" t="str">
        <f>IF(AND($C1110=12,$D1110=Input!$C$6),0,IF($E1111="","",IF($B1111&gt;Input!$C$9,$AC1111,0)+AF1112/(1+$L1111)*$R1111))</f>
        <v/>
      </c>
      <c r="AG1111" s="164" t="str">
        <f>IF(AND($C1110=12,$D1110=Input!$C$6),0,IF($E1111="","",(IF($B1111&gt;Input!$C$9,$X1111,0)+AG1112)/(1+$L1111)*$R1111))</f>
        <v/>
      </c>
      <c r="AH1111" s="160" t="str">
        <f t="shared" si="362"/>
        <v/>
      </c>
      <c r="AI1111" s="160" t="str">
        <f>IF($E1111="","",MIN(Input!$C$61/AH1111,1))</f>
        <v/>
      </c>
      <c r="AJ1111" s="152"/>
      <c r="AK1111" s="164" t="str">
        <f>IF(AND($C1110=12,$D1110=Input!$C$6),0,IF($E1111="","",IF($B1111&gt;Input!$C$9,$AC1111*AI1111,0)+AK1112/(1+$L1111)*$R1111))</f>
        <v/>
      </c>
      <c r="AL1111" s="164" t="str">
        <f>IF(AND($C1110=12,$D1110=Input!$C$6),0,IF($E1111="","",IF($B1111&gt;Input!$C$9,0,$AC1111)+AL1112/(1+$L1111)*$R1111))</f>
        <v/>
      </c>
      <c r="AM1111" s="160" t="str">
        <f t="shared" si="363"/>
        <v/>
      </c>
      <c r="AN1111" s="164" t="str">
        <f>IF($E1111="","",IF($B1111&gt;Input!$C$9,$AI1111*$AC1111,$AM1111*$AC1111))</f>
        <v/>
      </c>
      <c r="AO1111" s="164" t="str">
        <f>IF(AND($C1110=12,$D1110=Input!$C$6),0,IF($E1111="","",$AN1111+AO1112/(1+$L1111)*$R1111))</f>
        <v/>
      </c>
      <c r="AP1111" s="152"/>
      <c r="AQ1111" s="164" t="str">
        <f t="shared" si="364"/>
        <v/>
      </c>
      <c r="AR1111" s="164" t="str">
        <f t="shared" si="373"/>
        <v/>
      </c>
      <c r="AS1111" s="164" t="str">
        <f t="shared" si="374"/>
        <v/>
      </c>
      <c r="AT1111" s="164" t="str">
        <f t="shared" si="365"/>
        <v/>
      </c>
      <c r="AU1111" s="152"/>
      <c r="AV1111" s="147" t="str">
        <f>'Deterministic Reserve'!BC1111</f>
        <v/>
      </c>
      <c r="AW1111" s="164" t="str">
        <f t="shared" si="366"/>
        <v/>
      </c>
      <c r="AX1111" s="164" t="str">
        <f t="shared" si="367"/>
        <v/>
      </c>
      <c r="AY1111" s="152"/>
    </row>
    <row r="1112" spans="1:51" s="150" customFormat="1" x14ac:dyDescent="0.25">
      <c r="A1112" s="150" t="str">
        <f t="shared" si="375"/>
        <v/>
      </c>
      <c r="B1112" s="150" t="str">
        <f t="shared" si="376"/>
        <v/>
      </c>
      <c r="C1112" s="150" t="str">
        <f t="shared" si="377"/>
        <v/>
      </c>
      <c r="D1112" s="150" t="str">
        <f>IF(E1112="","",Input!$C$4+B1112-1)</f>
        <v/>
      </c>
      <c r="E1112" s="150" t="str">
        <f>IF(OR(AND(C1111=12,D1111=Input!$C$6),E1111=""),"",1)</f>
        <v/>
      </c>
      <c r="F1112" s="150" t="str">
        <f>IF(E1112="","",Input!$C$8+B1112-1)</f>
        <v/>
      </c>
      <c r="G1112" s="151" t="str">
        <f>IF(E1112="","",MAX(0,Input!$C$9-B1112))</f>
        <v/>
      </c>
      <c r="H1112" s="152" t="str">
        <f>IF(E1112="","",Input!$C$3)</f>
        <v/>
      </c>
      <c r="I1112" s="153" t="str">
        <f>IF(E1112="","",HLOOKUP($B1112,Input!$C$13:$BT$14,2))</f>
        <v/>
      </c>
      <c r="J1112" s="154"/>
      <c r="K1112" s="155" t="str">
        <f>IF($E1112="","",Input!$C$57)</f>
        <v/>
      </c>
      <c r="L1112" s="155" t="str">
        <f t="shared" si="368"/>
        <v/>
      </c>
      <c r="M1112" s="147" t="str">
        <f>IF($E1112="","",VLOOKUP(IF($B1112&lt;=Input!$C$7,$B1112,26),'Mortality Tables'!$A$72:$CA$97,IF($B1112&lt;=Input!$C$7+1,Input!$C$4-16,$D1112-Input!$C$7-16),0)/1000)</f>
        <v/>
      </c>
      <c r="N1112" s="147" t="str">
        <f t="shared" si="357"/>
        <v/>
      </c>
      <c r="O1112" s="157" t="str">
        <f>IF($E1112="","",IF($C1112=12,IF($B1112&lt;Input!$C$9,Input!$C$54,IF($B1112=Input!$C$9,Input!$C$55,Input!$C$56)),0%))</f>
        <v/>
      </c>
      <c r="P1112" s="167" t="str">
        <f>IF($E1112="","",IF($B1112=1,Input!$C$59,IF($B1112&lt;6,Input!$C$60,0%)))</f>
        <v/>
      </c>
      <c r="Q1112" s="162" t="str">
        <f>IF($E1112="","",Input!$C$58)</f>
        <v/>
      </c>
      <c r="R1112" s="156" t="str">
        <f t="shared" si="369"/>
        <v/>
      </c>
      <c r="S1112" s="154" t="str">
        <f t="shared" si="358"/>
        <v/>
      </c>
      <c r="T1112" s="152"/>
      <c r="U1112" s="150" t="str">
        <f t="shared" si="370"/>
        <v/>
      </c>
      <c r="V1112" s="150" t="str">
        <f t="shared" si="371"/>
        <v/>
      </c>
      <c r="W1112" s="168" t="str">
        <f t="shared" si="372"/>
        <v/>
      </c>
      <c r="X1112" s="163" t="str">
        <f t="shared" si="359"/>
        <v/>
      </c>
      <c r="Y1112" s="152"/>
      <c r="Z1112" s="164" t="str">
        <f>IF(AND($C1111=12,$D1111=Input!$C$6),0,IF($E1112="","",V1112+Z1113/(1+L1112)*R1112))</f>
        <v/>
      </c>
      <c r="AA1112" s="164" t="str">
        <f>IF(OR($M1112=1,AND($C1111=12,$D1111=Input!$C$6)),0,IF($E1112="","",W1112+(X1112+AA1113*$R1112)/(1+$L1112)))</f>
        <v/>
      </c>
      <c r="AB1112" s="160" t="str">
        <f t="shared" si="360"/>
        <v/>
      </c>
      <c r="AC1112" s="164" t="str">
        <f t="shared" si="361"/>
        <v/>
      </c>
      <c r="AD1112" s="164" t="str">
        <f>IF(AND($C1111=12,$D1111=Input!$C$6),0,IF($E1112="","",$AC1112+AD1113/(1+$L1112)*$R1112))</f>
        <v/>
      </c>
      <c r="AE1112" s="152"/>
      <c r="AF1112" s="164" t="str">
        <f>IF(AND($C1111=12,$D1111=Input!$C$6),0,IF($E1112="","",IF($B1112&gt;Input!$C$9,$AC1112,0)+AF1113/(1+$L1112)*$R1112))</f>
        <v/>
      </c>
      <c r="AG1112" s="164" t="str">
        <f>IF(AND($C1111=12,$D1111=Input!$C$6),0,IF($E1112="","",(IF($B1112&gt;Input!$C$9,$X1112,0)+AG1113)/(1+$L1112)*$R1112))</f>
        <v/>
      </c>
      <c r="AH1112" s="160" t="str">
        <f t="shared" si="362"/>
        <v/>
      </c>
      <c r="AI1112" s="160" t="str">
        <f>IF($E1112="","",MIN(Input!$C$61/AH1112,1))</f>
        <v/>
      </c>
      <c r="AJ1112" s="152"/>
      <c r="AK1112" s="164" t="str">
        <f>IF(AND($C1111=12,$D1111=Input!$C$6),0,IF($E1112="","",IF($B1112&gt;Input!$C$9,$AC1112*AI1112,0)+AK1113/(1+$L1112)*$R1112))</f>
        <v/>
      </c>
      <c r="AL1112" s="164" t="str">
        <f>IF(AND($C1111=12,$D1111=Input!$C$6),0,IF($E1112="","",IF($B1112&gt;Input!$C$9,0,$AC1112)+AL1113/(1+$L1112)*$R1112))</f>
        <v/>
      </c>
      <c r="AM1112" s="160" t="str">
        <f t="shared" si="363"/>
        <v/>
      </c>
      <c r="AN1112" s="164" t="str">
        <f>IF($E1112="","",IF($B1112&gt;Input!$C$9,$AI1112*$AC1112,$AM1112*$AC1112))</f>
        <v/>
      </c>
      <c r="AO1112" s="164" t="str">
        <f>IF(AND($C1111=12,$D1111=Input!$C$6),0,IF($E1112="","",$AN1112+AO1113/(1+$L1112)*$R1112))</f>
        <v/>
      </c>
      <c r="AP1112" s="152"/>
      <c r="AQ1112" s="164" t="str">
        <f t="shared" si="364"/>
        <v/>
      </c>
      <c r="AR1112" s="164" t="str">
        <f t="shared" si="373"/>
        <v/>
      </c>
      <c r="AS1112" s="164" t="str">
        <f t="shared" si="374"/>
        <v/>
      </c>
      <c r="AT1112" s="164" t="str">
        <f t="shared" si="365"/>
        <v/>
      </c>
      <c r="AU1112" s="152"/>
      <c r="AV1112" s="147" t="str">
        <f>'Deterministic Reserve'!BC1112</f>
        <v/>
      </c>
      <c r="AW1112" s="164" t="str">
        <f t="shared" si="366"/>
        <v/>
      </c>
      <c r="AX1112" s="164" t="str">
        <f t="shared" si="367"/>
        <v/>
      </c>
      <c r="AY1112" s="152"/>
    </row>
    <row r="1113" spans="1:51" s="150" customFormat="1" x14ac:dyDescent="0.25">
      <c r="A1113" s="150" t="str">
        <f t="shared" si="375"/>
        <v/>
      </c>
      <c r="B1113" s="150" t="str">
        <f t="shared" si="376"/>
        <v/>
      </c>
      <c r="C1113" s="150" t="str">
        <f t="shared" si="377"/>
        <v/>
      </c>
      <c r="D1113" s="150" t="str">
        <f>IF(E1113="","",Input!$C$4+B1113-1)</f>
        <v/>
      </c>
      <c r="E1113" s="150" t="str">
        <f>IF(OR(AND(C1112=12,D1112=Input!$C$6),E1112=""),"",1)</f>
        <v/>
      </c>
      <c r="F1113" s="150" t="str">
        <f>IF(E1113="","",Input!$C$8+B1113-1)</f>
        <v/>
      </c>
      <c r="G1113" s="151" t="str">
        <f>IF(E1113="","",MAX(0,Input!$C$9-B1113))</f>
        <v/>
      </c>
      <c r="H1113" s="152" t="str">
        <f>IF(E1113="","",Input!$C$3)</f>
        <v/>
      </c>
      <c r="I1113" s="153" t="str">
        <f>IF(E1113="","",HLOOKUP($B1113,Input!$C$13:$BT$14,2))</f>
        <v/>
      </c>
      <c r="J1113" s="154"/>
      <c r="K1113" s="155" t="str">
        <f>IF($E1113="","",Input!$C$57)</f>
        <v/>
      </c>
      <c r="L1113" s="155" t="str">
        <f t="shared" si="368"/>
        <v/>
      </c>
      <c r="M1113" s="147" t="str">
        <f>IF($E1113="","",VLOOKUP(IF($B1113&lt;=Input!$C$7,$B1113,26),'Mortality Tables'!$A$72:$CA$97,IF($B1113&lt;=Input!$C$7+1,Input!$C$4-16,$D1113-Input!$C$7-16),0)/1000)</f>
        <v/>
      </c>
      <c r="N1113" s="147" t="str">
        <f t="shared" si="357"/>
        <v/>
      </c>
      <c r="O1113" s="157" t="str">
        <f>IF($E1113="","",IF($C1113=12,IF($B1113&lt;Input!$C$9,Input!$C$54,IF($B1113=Input!$C$9,Input!$C$55,Input!$C$56)),0%))</f>
        <v/>
      </c>
      <c r="P1113" s="167" t="str">
        <f>IF($E1113="","",IF($B1113=1,Input!$C$59,IF($B1113&lt;6,Input!$C$60,0%)))</f>
        <v/>
      </c>
      <c r="Q1113" s="162" t="str">
        <f>IF($E1113="","",Input!$C$58)</f>
        <v/>
      </c>
      <c r="R1113" s="156" t="str">
        <f t="shared" si="369"/>
        <v/>
      </c>
      <c r="S1113" s="154" t="str">
        <f t="shared" si="358"/>
        <v/>
      </c>
      <c r="T1113" s="152"/>
      <c r="U1113" s="150" t="str">
        <f t="shared" si="370"/>
        <v/>
      </c>
      <c r="V1113" s="150" t="str">
        <f t="shared" si="371"/>
        <v/>
      </c>
      <c r="W1113" s="168" t="str">
        <f t="shared" si="372"/>
        <v/>
      </c>
      <c r="X1113" s="163" t="str">
        <f t="shared" si="359"/>
        <v/>
      </c>
      <c r="Y1113" s="152"/>
      <c r="Z1113" s="164" t="str">
        <f>IF(AND($C1112=12,$D1112=Input!$C$6),0,IF($E1113="","",V1113+Z1114/(1+L1113)*R1113))</f>
        <v/>
      </c>
      <c r="AA1113" s="164" t="str">
        <f>IF(OR($M1113=1,AND($C1112=12,$D1112=Input!$C$6)),0,IF($E1113="","",W1113+(X1113+AA1114*$R1113)/(1+$L1113)))</f>
        <v/>
      </c>
      <c r="AB1113" s="160" t="str">
        <f t="shared" si="360"/>
        <v/>
      </c>
      <c r="AC1113" s="164" t="str">
        <f t="shared" si="361"/>
        <v/>
      </c>
      <c r="AD1113" s="164" t="str">
        <f>IF(AND($C1112=12,$D1112=Input!$C$6),0,IF($E1113="","",$AC1113+AD1114/(1+$L1113)*$R1113))</f>
        <v/>
      </c>
      <c r="AE1113" s="152"/>
      <c r="AF1113" s="164" t="str">
        <f>IF(AND($C1112=12,$D1112=Input!$C$6),0,IF($E1113="","",IF($B1113&gt;Input!$C$9,$AC1113,0)+AF1114/(1+$L1113)*$R1113))</f>
        <v/>
      </c>
      <c r="AG1113" s="164" t="str">
        <f>IF(AND($C1112=12,$D1112=Input!$C$6),0,IF($E1113="","",(IF($B1113&gt;Input!$C$9,$X1113,0)+AG1114)/(1+$L1113)*$R1113))</f>
        <v/>
      </c>
      <c r="AH1113" s="160" t="str">
        <f t="shared" si="362"/>
        <v/>
      </c>
      <c r="AI1113" s="160" t="str">
        <f>IF($E1113="","",MIN(Input!$C$61/AH1113,1))</f>
        <v/>
      </c>
      <c r="AJ1113" s="152"/>
      <c r="AK1113" s="164" t="str">
        <f>IF(AND($C1112=12,$D1112=Input!$C$6),0,IF($E1113="","",IF($B1113&gt;Input!$C$9,$AC1113*AI1113,0)+AK1114/(1+$L1113)*$R1113))</f>
        <v/>
      </c>
      <c r="AL1113" s="164" t="str">
        <f>IF(AND($C1112=12,$D1112=Input!$C$6),0,IF($E1113="","",IF($B1113&gt;Input!$C$9,0,$AC1113)+AL1114/(1+$L1113)*$R1113))</f>
        <v/>
      </c>
      <c r="AM1113" s="160" t="str">
        <f t="shared" si="363"/>
        <v/>
      </c>
      <c r="AN1113" s="164" t="str">
        <f>IF($E1113="","",IF($B1113&gt;Input!$C$9,$AI1113*$AC1113,$AM1113*$AC1113))</f>
        <v/>
      </c>
      <c r="AO1113" s="164" t="str">
        <f>IF(AND($C1112=12,$D1112=Input!$C$6),0,IF($E1113="","",$AN1113+AO1114/(1+$L1113)*$R1113))</f>
        <v/>
      </c>
      <c r="AP1113" s="152"/>
      <c r="AQ1113" s="164" t="str">
        <f t="shared" si="364"/>
        <v/>
      </c>
      <c r="AR1113" s="164" t="str">
        <f t="shared" si="373"/>
        <v/>
      </c>
      <c r="AS1113" s="164" t="str">
        <f t="shared" si="374"/>
        <v/>
      </c>
      <c r="AT1113" s="164" t="str">
        <f t="shared" si="365"/>
        <v/>
      </c>
      <c r="AU1113" s="152"/>
      <c r="AV1113" s="147" t="str">
        <f>'Deterministic Reserve'!BC1113</f>
        <v/>
      </c>
      <c r="AW1113" s="164" t="str">
        <f t="shared" si="366"/>
        <v/>
      </c>
      <c r="AX1113" s="164" t="str">
        <f t="shared" si="367"/>
        <v/>
      </c>
      <c r="AY1113" s="152"/>
    </row>
    <row r="1114" spans="1:51" s="150" customFormat="1" x14ac:dyDescent="0.25">
      <c r="A1114" s="150" t="str">
        <f t="shared" si="375"/>
        <v/>
      </c>
      <c r="B1114" s="150" t="str">
        <f t="shared" si="376"/>
        <v/>
      </c>
      <c r="C1114" s="150" t="str">
        <f t="shared" si="377"/>
        <v/>
      </c>
      <c r="D1114" s="150" t="str">
        <f>IF(E1114="","",Input!$C$4+B1114-1)</f>
        <v/>
      </c>
      <c r="E1114" s="150" t="str">
        <f>IF(OR(AND(C1113=12,D1113=Input!$C$6),E1113=""),"",1)</f>
        <v/>
      </c>
      <c r="F1114" s="150" t="str">
        <f>IF(E1114="","",Input!$C$8+B1114-1)</f>
        <v/>
      </c>
      <c r="G1114" s="151" t="str">
        <f>IF(E1114="","",MAX(0,Input!$C$9-B1114))</f>
        <v/>
      </c>
      <c r="H1114" s="152" t="str">
        <f>IF(E1114="","",Input!$C$3)</f>
        <v/>
      </c>
      <c r="I1114" s="153" t="str">
        <f>IF(E1114="","",HLOOKUP($B1114,Input!$C$13:$BT$14,2))</f>
        <v/>
      </c>
      <c r="J1114" s="154"/>
      <c r="K1114" s="155" t="str">
        <f>IF($E1114="","",Input!$C$57)</f>
        <v/>
      </c>
      <c r="L1114" s="155" t="str">
        <f t="shared" si="368"/>
        <v/>
      </c>
      <c r="M1114" s="147" t="str">
        <f>IF($E1114="","",VLOOKUP(IF($B1114&lt;=Input!$C$7,$B1114,26),'Mortality Tables'!$A$72:$CA$97,IF($B1114&lt;=Input!$C$7+1,Input!$C$4-16,$D1114-Input!$C$7-16),0)/1000)</f>
        <v/>
      </c>
      <c r="N1114" s="147" t="str">
        <f t="shared" si="357"/>
        <v/>
      </c>
      <c r="O1114" s="157" t="str">
        <f>IF($E1114="","",IF($C1114=12,IF($B1114&lt;Input!$C$9,Input!$C$54,IF($B1114=Input!$C$9,Input!$C$55,Input!$C$56)),0%))</f>
        <v/>
      </c>
      <c r="P1114" s="167" t="str">
        <f>IF($E1114="","",IF($B1114=1,Input!$C$59,IF($B1114&lt;6,Input!$C$60,0%)))</f>
        <v/>
      </c>
      <c r="Q1114" s="162" t="str">
        <f>IF($E1114="","",Input!$C$58)</f>
        <v/>
      </c>
      <c r="R1114" s="156" t="str">
        <f t="shared" si="369"/>
        <v/>
      </c>
      <c r="S1114" s="154" t="str">
        <f t="shared" si="358"/>
        <v/>
      </c>
      <c r="T1114" s="152"/>
      <c r="U1114" s="150" t="str">
        <f t="shared" si="370"/>
        <v/>
      </c>
      <c r="V1114" s="150" t="str">
        <f t="shared" si="371"/>
        <v/>
      </c>
      <c r="W1114" s="168" t="str">
        <f t="shared" si="372"/>
        <v/>
      </c>
      <c r="X1114" s="163" t="str">
        <f t="shared" si="359"/>
        <v/>
      </c>
      <c r="Y1114" s="152"/>
      <c r="Z1114" s="164" t="str">
        <f>IF(AND($C1113=12,$D1113=Input!$C$6),0,IF($E1114="","",V1114+Z1115/(1+L1114)*R1114))</f>
        <v/>
      </c>
      <c r="AA1114" s="164" t="str">
        <f>IF(OR($M1114=1,AND($C1113=12,$D1113=Input!$C$6)),0,IF($E1114="","",W1114+(X1114+AA1115*$R1114)/(1+$L1114)))</f>
        <v/>
      </c>
      <c r="AB1114" s="160" t="str">
        <f t="shared" si="360"/>
        <v/>
      </c>
      <c r="AC1114" s="164" t="str">
        <f t="shared" si="361"/>
        <v/>
      </c>
      <c r="AD1114" s="164" t="str">
        <f>IF(AND($C1113=12,$D1113=Input!$C$6),0,IF($E1114="","",$AC1114+AD1115/(1+$L1114)*$R1114))</f>
        <v/>
      </c>
      <c r="AE1114" s="152"/>
      <c r="AF1114" s="164" t="str">
        <f>IF(AND($C1113=12,$D1113=Input!$C$6),0,IF($E1114="","",IF($B1114&gt;Input!$C$9,$AC1114,0)+AF1115/(1+$L1114)*$R1114))</f>
        <v/>
      </c>
      <c r="AG1114" s="164" t="str">
        <f>IF(AND($C1113=12,$D1113=Input!$C$6),0,IF($E1114="","",(IF($B1114&gt;Input!$C$9,$X1114,0)+AG1115)/(1+$L1114)*$R1114))</f>
        <v/>
      </c>
      <c r="AH1114" s="160" t="str">
        <f t="shared" si="362"/>
        <v/>
      </c>
      <c r="AI1114" s="160" t="str">
        <f>IF($E1114="","",MIN(Input!$C$61/AH1114,1))</f>
        <v/>
      </c>
      <c r="AJ1114" s="152"/>
      <c r="AK1114" s="164" t="str">
        <f>IF(AND($C1113=12,$D1113=Input!$C$6),0,IF($E1114="","",IF($B1114&gt;Input!$C$9,$AC1114*AI1114,0)+AK1115/(1+$L1114)*$R1114))</f>
        <v/>
      </c>
      <c r="AL1114" s="164" t="str">
        <f>IF(AND($C1113=12,$D1113=Input!$C$6),0,IF($E1114="","",IF($B1114&gt;Input!$C$9,0,$AC1114)+AL1115/(1+$L1114)*$R1114))</f>
        <v/>
      </c>
      <c r="AM1114" s="160" t="str">
        <f t="shared" si="363"/>
        <v/>
      </c>
      <c r="AN1114" s="164" t="str">
        <f>IF($E1114="","",IF($B1114&gt;Input!$C$9,$AI1114*$AC1114,$AM1114*$AC1114))</f>
        <v/>
      </c>
      <c r="AO1114" s="164" t="str">
        <f>IF(AND($C1113=12,$D1113=Input!$C$6),0,IF($E1114="","",$AN1114+AO1115/(1+$L1114)*$R1114))</f>
        <v/>
      </c>
      <c r="AP1114" s="152"/>
      <c r="AQ1114" s="164" t="str">
        <f t="shared" si="364"/>
        <v/>
      </c>
      <c r="AR1114" s="164" t="str">
        <f t="shared" si="373"/>
        <v/>
      </c>
      <c r="AS1114" s="164" t="str">
        <f t="shared" si="374"/>
        <v/>
      </c>
      <c r="AT1114" s="164" t="str">
        <f t="shared" si="365"/>
        <v/>
      </c>
      <c r="AU1114" s="152"/>
      <c r="AV1114" s="147" t="str">
        <f>'Deterministic Reserve'!BC1114</f>
        <v/>
      </c>
      <c r="AW1114" s="164" t="str">
        <f t="shared" si="366"/>
        <v/>
      </c>
      <c r="AX1114" s="164" t="str">
        <f t="shared" si="367"/>
        <v/>
      </c>
      <c r="AY1114" s="152"/>
    </row>
    <row r="1115" spans="1:51" s="150" customFormat="1" x14ac:dyDescent="0.25">
      <c r="A1115" s="150" t="str">
        <f t="shared" si="375"/>
        <v/>
      </c>
      <c r="B1115" s="150" t="str">
        <f t="shared" si="376"/>
        <v/>
      </c>
      <c r="C1115" s="150" t="str">
        <f t="shared" si="377"/>
        <v/>
      </c>
      <c r="D1115" s="150" t="str">
        <f>IF(E1115="","",Input!$C$4+B1115-1)</f>
        <v/>
      </c>
      <c r="E1115" s="150" t="str">
        <f>IF(OR(AND(C1114=12,D1114=Input!$C$6),E1114=""),"",1)</f>
        <v/>
      </c>
      <c r="F1115" s="150" t="str">
        <f>IF(E1115="","",Input!$C$8+B1115-1)</f>
        <v/>
      </c>
      <c r="G1115" s="151" t="str">
        <f>IF(E1115="","",MAX(0,Input!$C$9-B1115))</f>
        <v/>
      </c>
      <c r="H1115" s="152" t="str">
        <f>IF(E1115="","",Input!$C$3)</f>
        <v/>
      </c>
      <c r="I1115" s="153" t="str">
        <f>IF(E1115="","",HLOOKUP($B1115,Input!$C$13:$BT$14,2))</f>
        <v/>
      </c>
      <c r="J1115" s="154"/>
      <c r="K1115" s="155" t="str">
        <f>IF($E1115="","",Input!$C$57)</f>
        <v/>
      </c>
      <c r="L1115" s="155" t="str">
        <f t="shared" si="368"/>
        <v/>
      </c>
      <c r="M1115" s="147" t="str">
        <f>IF($E1115="","",VLOOKUP(IF($B1115&lt;=Input!$C$7,$B1115,26),'Mortality Tables'!$A$72:$CA$97,IF($B1115&lt;=Input!$C$7+1,Input!$C$4-16,$D1115-Input!$C$7-16),0)/1000)</f>
        <v/>
      </c>
      <c r="N1115" s="147" t="str">
        <f t="shared" si="357"/>
        <v/>
      </c>
      <c r="O1115" s="157" t="str">
        <f>IF($E1115="","",IF($C1115=12,IF($B1115&lt;Input!$C$9,Input!$C$54,IF($B1115=Input!$C$9,Input!$C$55,Input!$C$56)),0%))</f>
        <v/>
      </c>
      <c r="P1115" s="167" t="str">
        <f>IF($E1115="","",IF($B1115=1,Input!$C$59,IF($B1115&lt;6,Input!$C$60,0%)))</f>
        <v/>
      </c>
      <c r="Q1115" s="162" t="str">
        <f>IF($E1115="","",Input!$C$58)</f>
        <v/>
      </c>
      <c r="R1115" s="156" t="str">
        <f t="shared" si="369"/>
        <v/>
      </c>
      <c r="S1115" s="154" t="str">
        <f t="shared" si="358"/>
        <v/>
      </c>
      <c r="T1115" s="152"/>
      <c r="U1115" s="150" t="str">
        <f t="shared" si="370"/>
        <v/>
      </c>
      <c r="V1115" s="150" t="str">
        <f t="shared" si="371"/>
        <v/>
      </c>
      <c r="W1115" s="168" t="str">
        <f t="shared" si="372"/>
        <v/>
      </c>
      <c r="X1115" s="163" t="str">
        <f t="shared" si="359"/>
        <v/>
      </c>
      <c r="Y1115" s="152"/>
      <c r="Z1115" s="164" t="str">
        <f>IF(AND($C1114=12,$D1114=Input!$C$6),0,IF($E1115="","",V1115+Z1116/(1+L1115)*R1115))</f>
        <v/>
      </c>
      <c r="AA1115" s="164" t="str">
        <f>IF(OR($M1115=1,AND($C1114=12,$D1114=Input!$C$6)),0,IF($E1115="","",W1115+(X1115+AA1116*$R1115)/(1+$L1115)))</f>
        <v/>
      </c>
      <c r="AB1115" s="160" t="str">
        <f t="shared" si="360"/>
        <v/>
      </c>
      <c r="AC1115" s="164" t="str">
        <f t="shared" si="361"/>
        <v/>
      </c>
      <c r="AD1115" s="164" t="str">
        <f>IF(AND($C1114=12,$D1114=Input!$C$6),0,IF($E1115="","",$AC1115+AD1116/(1+$L1115)*$R1115))</f>
        <v/>
      </c>
      <c r="AE1115" s="152"/>
      <c r="AF1115" s="164" t="str">
        <f>IF(AND($C1114=12,$D1114=Input!$C$6),0,IF($E1115="","",IF($B1115&gt;Input!$C$9,$AC1115,0)+AF1116/(1+$L1115)*$R1115))</f>
        <v/>
      </c>
      <c r="AG1115" s="164" t="str">
        <f>IF(AND($C1114=12,$D1114=Input!$C$6),0,IF($E1115="","",(IF($B1115&gt;Input!$C$9,$X1115,0)+AG1116)/(1+$L1115)*$R1115))</f>
        <v/>
      </c>
      <c r="AH1115" s="160" t="str">
        <f t="shared" si="362"/>
        <v/>
      </c>
      <c r="AI1115" s="160" t="str">
        <f>IF($E1115="","",MIN(Input!$C$61/AH1115,1))</f>
        <v/>
      </c>
      <c r="AJ1115" s="152"/>
      <c r="AK1115" s="164" t="str">
        <f>IF(AND($C1114=12,$D1114=Input!$C$6),0,IF($E1115="","",IF($B1115&gt;Input!$C$9,$AC1115*AI1115,0)+AK1116/(1+$L1115)*$R1115))</f>
        <v/>
      </c>
      <c r="AL1115" s="164" t="str">
        <f>IF(AND($C1114=12,$D1114=Input!$C$6),0,IF($E1115="","",IF($B1115&gt;Input!$C$9,0,$AC1115)+AL1116/(1+$L1115)*$R1115))</f>
        <v/>
      </c>
      <c r="AM1115" s="160" t="str">
        <f t="shared" si="363"/>
        <v/>
      </c>
      <c r="AN1115" s="164" t="str">
        <f>IF($E1115="","",IF($B1115&gt;Input!$C$9,$AI1115*$AC1115,$AM1115*$AC1115))</f>
        <v/>
      </c>
      <c r="AO1115" s="164" t="str">
        <f>IF(AND($C1114=12,$D1114=Input!$C$6),0,IF($E1115="","",$AN1115+AO1116/(1+$L1115)*$R1115))</f>
        <v/>
      </c>
      <c r="AP1115" s="152"/>
      <c r="AQ1115" s="164" t="str">
        <f t="shared" si="364"/>
        <v/>
      </c>
      <c r="AR1115" s="164" t="str">
        <f t="shared" si="373"/>
        <v/>
      </c>
      <c r="AS1115" s="164" t="str">
        <f t="shared" si="374"/>
        <v/>
      </c>
      <c r="AT1115" s="164" t="str">
        <f t="shared" si="365"/>
        <v/>
      </c>
      <c r="AU1115" s="152"/>
      <c r="AV1115" s="147" t="str">
        <f>'Deterministic Reserve'!BC1115</f>
        <v/>
      </c>
      <c r="AW1115" s="164" t="str">
        <f t="shared" si="366"/>
        <v/>
      </c>
      <c r="AX1115" s="164" t="str">
        <f t="shared" si="367"/>
        <v/>
      </c>
      <c r="AY1115" s="152"/>
    </row>
    <row r="1116" spans="1:51" s="150" customFormat="1" x14ac:dyDescent="0.25">
      <c r="A1116" s="150" t="str">
        <f t="shared" si="375"/>
        <v/>
      </c>
      <c r="B1116" s="150" t="str">
        <f t="shared" si="376"/>
        <v/>
      </c>
      <c r="C1116" s="150" t="str">
        <f t="shared" si="377"/>
        <v/>
      </c>
      <c r="D1116" s="150" t="str">
        <f>IF(E1116="","",Input!$C$4+B1116-1)</f>
        <v/>
      </c>
      <c r="E1116" s="150" t="str">
        <f>IF(OR(AND(C1115=12,D1115=Input!$C$6),E1115=""),"",1)</f>
        <v/>
      </c>
      <c r="F1116" s="150" t="str">
        <f>IF(E1116="","",Input!$C$8+B1116-1)</f>
        <v/>
      </c>
      <c r="G1116" s="151" t="str">
        <f>IF(E1116="","",MAX(0,Input!$C$9-B1116))</f>
        <v/>
      </c>
      <c r="H1116" s="152" t="str">
        <f>IF(E1116="","",Input!$C$3)</f>
        <v/>
      </c>
      <c r="I1116" s="153" t="str">
        <f>IF(E1116="","",HLOOKUP($B1116,Input!$C$13:$BT$14,2))</f>
        <v/>
      </c>
      <c r="J1116" s="154"/>
      <c r="K1116" s="155" t="str">
        <f>IF($E1116="","",Input!$C$57)</f>
        <v/>
      </c>
      <c r="L1116" s="155" t="str">
        <f t="shared" si="368"/>
        <v/>
      </c>
      <c r="M1116" s="147" t="str">
        <f>IF($E1116="","",VLOOKUP(IF($B1116&lt;=Input!$C$7,$B1116,26),'Mortality Tables'!$A$72:$CA$97,IF($B1116&lt;=Input!$C$7+1,Input!$C$4-16,$D1116-Input!$C$7-16),0)/1000)</f>
        <v/>
      </c>
      <c r="N1116" s="147" t="str">
        <f t="shared" si="357"/>
        <v/>
      </c>
      <c r="O1116" s="157" t="str">
        <f>IF($E1116="","",IF($C1116=12,IF($B1116&lt;Input!$C$9,Input!$C$54,IF($B1116=Input!$C$9,Input!$C$55,Input!$C$56)),0%))</f>
        <v/>
      </c>
      <c r="P1116" s="167" t="str">
        <f>IF($E1116="","",IF($B1116=1,Input!$C$59,IF($B1116&lt;6,Input!$C$60,0%)))</f>
        <v/>
      </c>
      <c r="Q1116" s="162" t="str">
        <f>IF($E1116="","",Input!$C$58)</f>
        <v/>
      </c>
      <c r="R1116" s="156" t="str">
        <f t="shared" si="369"/>
        <v/>
      </c>
      <c r="S1116" s="154" t="str">
        <f t="shared" si="358"/>
        <v/>
      </c>
      <c r="T1116" s="152"/>
      <c r="U1116" s="150" t="str">
        <f t="shared" si="370"/>
        <v/>
      </c>
      <c r="V1116" s="150" t="str">
        <f t="shared" si="371"/>
        <v/>
      </c>
      <c r="W1116" s="168" t="str">
        <f t="shared" si="372"/>
        <v/>
      </c>
      <c r="X1116" s="163" t="str">
        <f t="shared" si="359"/>
        <v/>
      </c>
      <c r="Y1116" s="152"/>
      <c r="Z1116" s="164" t="str">
        <f>IF(AND($C1115=12,$D1115=Input!$C$6),0,IF($E1116="","",V1116+Z1117/(1+L1116)*R1116))</f>
        <v/>
      </c>
      <c r="AA1116" s="164" t="str">
        <f>IF(OR($M1116=1,AND($C1115=12,$D1115=Input!$C$6)),0,IF($E1116="","",W1116+(X1116+AA1117*$R1116)/(1+$L1116)))</f>
        <v/>
      </c>
      <c r="AB1116" s="160" t="str">
        <f t="shared" si="360"/>
        <v/>
      </c>
      <c r="AC1116" s="164" t="str">
        <f t="shared" si="361"/>
        <v/>
      </c>
      <c r="AD1116" s="164" t="str">
        <f>IF(AND($C1115=12,$D1115=Input!$C$6),0,IF($E1116="","",$AC1116+AD1117/(1+$L1116)*$R1116))</f>
        <v/>
      </c>
      <c r="AE1116" s="152"/>
      <c r="AF1116" s="164" t="str">
        <f>IF(AND($C1115=12,$D1115=Input!$C$6),0,IF($E1116="","",IF($B1116&gt;Input!$C$9,$AC1116,0)+AF1117/(1+$L1116)*$R1116))</f>
        <v/>
      </c>
      <c r="AG1116" s="164" t="str">
        <f>IF(AND($C1115=12,$D1115=Input!$C$6),0,IF($E1116="","",(IF($B1116&gt;Input!$C$9,$X1116,0)+AG1117)/(1+$L1116)*$R1116))</f>
        <v/>
      </c>
      <c r="AH1116" s="160" t="str">
        <f t="shared" si="362"/>
        <v/>
      </c>
      <c r="AI1116" s="160" t="str">
        <f>IF($E1116="","",MIN(Input!$C$61/AH1116,1))</f>
        <v/>
      </c>
      <c r="AJ1116" s="152"/>
      <c r="AK1116" s="164" t="str">
        <f>IF(AND($C1115=12,$D1115=Input!$C$6),0,IF($E1116="","",IF($B1116&gt;Input!$C$9,$AC1116*AI1116,0)+AK1117/(1+$L1116)*$R1116))</f>
        <v/>
      </c>
      <c r="AL1116" s="164" t="str">
        <f>IF(AND($C1115=12,$D1115=Input!$C$6),0,IF($E1116="","",IF($B1116&gt;Input!$C$9,0,$AC1116)+AL1117/(1+$L1116)*$R1116))</f>
        <v/>
      </c>
      <c r="AM1116" s="160" t="str">
        <f t="shared" si="363"/>
        <v/>
      </c>
      <c r="AN1116" s="164" t="str">
        <f>IF($E1116="","",IF($B1116&gt;Input!$C$9,$AI1116*$AC1116,$AM1116*$AC1116))</f>
        <v/>
      </c>
      <c r="AO1116" s="164" t="str">
        <f>IF(AND($C1115=12,$D1115=Input!$C$6),0,IF($E1116="","",$AN1116+AO1117/(1+$L1116)*$R1116))</f>
        <v/>
      </c>
      <c r="AP1116" s="152"/>
      <c r="AQ1116" s="164" t="str">
        <f t="shared" si="364"/>
        <v/>
      </c>
      <c r="AR1116" s="164" t="str">
        <f t="shared" si="373"/>
        <v/>
      </c>
      <c r="AS1116" s="164" t="str">
        <f t="shared" si="374"/>
        <v/>
      </c>
      <c r="AT1116" s="164" t="str">
        <f t="shared" si="365"/>
        <v/>
      </c>
      <c r="AU1116" s="152"/>
      <c r="AV1116" s="147" t="str">
        <f>'Deterministic Reserve'!BC1116</f>
        <v/>
      </c>
      <c r="AW1116" s="164" t="str">
        <f t="shared" si="366"/>
        <v/>
      </c>
      <c r="AX1116" s="164" t="str">
        <f t="shared" si="367"/>
        <v/>
      </c>
      <c r="AY1116" s="152"/>
    </row>
    <row r="1117" spans="1:51" s="150" customFormat="1" x14ac:dyDescent="0.25">
      <c r="A1117" s="150" t="str">
        <f t="shared" si="375"/>
        <v/>
      </c>
      <c r="B1117" s="150" t="str">
        <f t="shared" si="376"/>
        <v/>
      </c>
      <c r="C1117" s="150" t="str">
        <f t="shared" si="377"/>
        <v/>
      </c>
      <c r="D1117" s="150" t="str">
        <f>IF(E1117="","",Input!$C$4+B1117-1)</f>
        <v/>
      </c>
      <c r="E1117" s="150" t="str">
        <f>IF(OR(AND(C1116=12,D1116=Input!$C$6),E1116=""),"",1)</f>
        <v/>
      </c>
      <c r="F1117" s="150" t="str">
        <f>IF(E1117="","",Input!$C$8+B1117-1)</f>
        <v/>
      </c>
      <c r="G1117" s="151" t="str">
        <f>IF(E1117="","",MAX(0,Input!$C$9-B1117))</f>
        <v/>
      </c>
      <c r="H1117" s="152" t="str">
        <f>IF(E1117="","",Input!$C$3)</f>
        <v/>
      </c>
      <c r="I1117" s="153" t="str">
        <f>IF(E1117="","",HLOOKUP($B1117,Input!$C$13:$BT$14,2))</f>
        <v/>
      </c>
      <c r="J1117" s="154"/>
      <c r="K1117" s="155" t="str">
        <f>IF($E1117="","",Input!$C$57)</f>
        <v/>
      </c>
      <c r="L1117" s="155" t="str">
        <f t="shared" si="368"/>
        <v/>
      </c>
      <c r="M1117" s="147" t="str">
        <f>IF($E1117="","",VLOOKUP(IF($B1117&lt;=Input!$C$7,$B1117,26),'Mortality Tables'!$A$72:$CA$97,IF($B1117&lt;=Input!$C$7+1,Input!$C$4-16,$D1117-Input!$C$7-16),0)/1000)</f>
        <v/>
      </c>
      <c r="N1117" s="147" t="str">
        <f t="shared" si="357"/>
        <v/>
      </c>
      <c r="O1117" s="157" t="str">
        <f>IF($E1117="","",IF($C1117=12,IF($B1117&lt;Input!$C$9,Input!$C$54,IF($B1117=Input!$C$9,Input!$C$55,Input!$C$56)),0%))</f>
        <v/>
      </c>
      <c r="P1117" s="167" t="str">
        <f>IF($E1117="","",IF($B1117=1,Input!$C$59,IF($B1117&lt;6,Input!$C$60,0%)))</f>
        <v/>
      </c>
      <c r="Q1117" s="162" t="str">
        <f>IF($E1117="","",Input!$C$58)</f>
        <v/>
      </c>
      <c r="R1117" s="156" t="str">
        <f t="shared" si="369"/>
        <v/>
      </c>
      <c r="S1117" s="154" t="str">
        <f t="shared" si="358"/>
        <v/>
      </c>
      <c r="T1117" s="152"/>
      <c r="U1117" s="150" t="str">
        <f t="shared" si="370"/>
        <v/>
      </c>
      <c r="V1117" s="150" t="str">
        <f t="shared" si="371"/>
        <v/>
      </c>
      <c r="W1117" s="168" t="str">
        <f t="shared" si="372"/>
        <v/>
      </c>
      <c r="X1117" s="163" t="str">
        <f t="shared" si="359"/>
        <v/>
      </c>
      <c r="Y1117" s="152"/>
      <c r="Z1117" s="164" t="str">
        <f>IF(AND($C1116=12,$D1116=Input!$C$6),0,IF($E1117="","",V1117+Z1118/(1+L1117)*R1117))</f>
        <v/>
      </c>
      <c r="AA1117" s="164" t="str">
        <f>IF(OR($M1117=1,AND($C1116=12,$D1116=Input!$C$6)),0,IF($E1117="","",W1117+(X1117+AA1118*$R1117)/(1+$L1117)))</f>
        <v/>
      </c>
      <c r="AB1117" s="160" t="str">
        <f t="shared" si="360"/>
        <v/>
      </c>
      <c r="AC1117" s="164" t="str">
        <f t="shared" si="361"/>
        <v/>
      </c>
      <c r="AD1117" s="164" t="str">
        <f>IF(AND($C1116=12,$D1116=Input!$C$6),0,IF($E1117="","",$AC1117+AD1118/(1+$L1117)*$R1117))</f>
        <v/>
      </c>
      <c r="AE1117" s="152"/>
      <c r="AF1117" s="164" t="str">
        <f>IF(AND($C1116=12,$D1116=Input!$C$6),0,IF($E1117="","",IF($B1117&gt;Input!$C$9,$AC1117,0)+AF1118/(1+$L1117)*$R1117))</f>
        <v/>
      </c>
      <c r="AG1117" s="164" t="str">
        <f>IF(AND($C1116=12,$D1116=Input!$C$6),0,IF($E1117="","",(IF($B1117&gt;Input!$C$9,$X1117,0)+AG1118)/(1+$L1117)*$R1117))</f>
        <v/>
      </c>
      <c r="AH1117" s="160" t="str">
        <f t="shared" si="362"/>
        <v/>
      </c>
      <c r="AI1117" s="160" t="str">
        <f>IF($E1117="","",MIN(Input!$C$61/AH1117,1))</f>
        <v/>
      </c>
      <c r="AJ1117" s="152"/>
      <c r="AK1117" s="164" t="str">
        <f>IF(AND($C1116=12,$D1116=Input!$C$6),0,IF($E1117="","",IF($B1117&gt;Input!$C$9,$AC1117*AI1117,0)+AK1118/(1+$L1117)*$R1117))</f>
        <v/>
      </c>
      <c r="AL1117" s="164" t="str">
        <f>IF(AND($C1116=12,$D1116=Input!$C$6),0,IF($E1117="","",IF($B1117&gt;Input!$C$9,0,$AC1117)+AL1118/(1+$L1117)*$R1117))</f>
        <v/>
      </c>
      <c r="AM1117" s="160" t="str">
        <f t="shared" si="363"/>
        <v/>
      </c>
      <c r="AN1117" s="164" t="str">
        <f>IF($E1117="","",IF($B1117&gt;Input!$C$9,$AI1117*$AC1117,$AM1117*$AC1117))</f>
        <v/>
      </c>
      <c r="AO1117" s="164" t="str">
        <f>IF(AND($C1116=12,$D1116=Input!$C$6),0,IF($E1117="","",$AN1117+AO1118/(1+$L1117)*$R1117))</f>
        <v/>
      </c>
      <c r="AP1117" s="152"/>
      <c r="AQ1117" s="164" t="str">
        <f t="shared" si="364"/>
        <v/>
      </c>
      <c r="AR1117" s="164" t="str">
        <f t="shared" si="373"/>
        <v/>
      </c>
      <c r="AS1117" s="164" t="str">
        <f t="shared" si="374"/>
        <v/>
      </c>
      <c r="AT1117" s="164" t="str">
        <f t="shared" si="365"/>
        <v/>
      </c>
      <c r="AU1117" s="152"/>
      <c r="AV1117" s="147" t="str">
        <f>'Deterministic Reserve'!BC1117</f>
        <v/>
      </c>
      <c r="AW1117" s="164" t="str">
        <f t="shared" si="366"/>
        <v/>
      </c>
      <c r="AX1117" s="164" t="str">
        <f t="shared" si="367"/>
        <v/>
      </c>
      <c r="AY1117" s="152"/>
    </row>
    <row r="1118" spans="1:51" s="150" customFormat="1" x14ac:dyDescent="0.25">
      <c r="A1118" s="150" t="str">
        <f t="shared" si="375"/>
        <v/>
      </c>
      <c r="B1118" s="150" t="str">
        <f t="shared" si="376"/>
        <v/>
      </c>
      <c r="C1118" s="150" t="str">
        <f t="shared" si="377"/>
        <v/>
      </c>
      <c r="D1118" s="150" t="str">
        <f>IF(E1118="","",Input!$C$4+B1118-1)</f>
        <v/>
      </c>
      <c r="E1118" s="150" t="str">
        <f>IF(OR(AND(C1117=12,D1117=Input!$C$6),E1117=""),"",1)</f>
        <v/>
      </c>
      <c r="F1118" s="150" t="str">
        <f>IF(E1118="","",Input!$C$8+B1118-1)</f>
        <v/>
      </c>
      <c r="G1118" s="151" t="str">
        <f>IF(E1118="","",MAX(0,Input!$C$9-B1118))</f>
        <v/>
      </c>
      <c r="H1118" s="152" t="str">
        <f>IF(E1118="","",Input!$C$3)</f>
        <v/>
      </c>
      <c r="I1118" s="153" t="str">
        <f>IF(E1118="","",HLOOKUP($B1118,Input!$C$13:$BT$14,2))</f>
        <v/>
      </c>
      <c r="J1118" s="154"/>
      <c r="K1118" s="155" t="str">
        <f>IF($E1118="","",Input!$C$57)</f>
        <v/>
      </c>
      <c r="L1118" s="155" t="str">
        <f t="shared" si="368"/>
        <v/>
      </c>
      <c r="M1118" s="147" t="str">
        <f>IF($E1118="","",VLOOKUP(IF($B1118&lt;=Input!$C$7,$B1118,26),'Mortality Tables'!$A$72:$CA$97,IF($B1118&lt;=Input!$C$7+1,Input!$C$4-16,$D1118-Input!$C$7-16),0)/1000)</f>
        <v/>
      </c>
      <c r="N1118" s="147" t="str">
        <f t="shared" si="357"/>
        <v/>
      </c>
      <c r="O1118" s="157" t="str">
        <f>IF($E1118="","",IF($C1118=12,IF($B1118&lt;Input!$C$9,Input!$C$54,IF($B1118=Input!$C$9,Input!$C$55,Input!$C$56)),0%))</f>
        <v/>
      </c>
      <c r="P1118" s="167" t="str">
        <f>IF($E1118="","",IF($B1118=1,Input!$C$59,IF($B1118&lt;6,Input!$C$60,0%)))</f>
        <v/>
      </c>
      <c r="Q1118" s="162" t="str">
        <f>IF($E1118="","",Input!$C$58)</f>
        <v/>
      </c>
      <c r="R1118" s="156" t="str">
        <f t="shared" si="369"/>
        <v/>
      </c>
      <c r="S1118" s="154" t="str">
        <f t="shared" si="358"/>
        <v/>
      </c>
      <c r="T1118" s="152"/>
      <c r="U1118" s="150" t="str">
        <f t="shared" si="370"/>
        <v/>
      </c>
      <c r="V1118" s="150" t="str">
        <f t="shared" si="371"/>
        <v/>
      </c>
      <c r="W1118" s="168" t="str">
        <f t="shared" si="372"/>
        <v/>
      </c>
      <c r="X1118" s="163" t="str">
        <f t="shared" si="359"/>
        <v/>
      </c>
      <c r="Y1118" s="152"/>
      <c r="Z1118" s="164" t="str">
        <f>IF(AND($C1117=12,$D1117=Input!$C$6),0,IF($E1118="","",V1118+Z1119/(1+L1118)*R1118))</f>
        <v/>
      </c>
      <c r="AA1118" s="164" t="str">
        <f>IF(OR($M1118=1,AND($C1117=12,$D1117=Input!$C$6)),0,IF($E1118="","",W1118+(X1118+AA1119*$R1118)/(1+$L1118)))</f>
        <v/>
      </c>
      <c r="AB1118" s="160" t="str">
        <f t="shared" si="360"/>
        <v/>
      </c>
      <c r="AC1118" s="164" t="str">
        <f t="shared" si="361"/>
        <v/>
      </c>
      <c r="AD1118" s="164" t="str">
        <f>IF(AND($C1117=12,$D1117=Input!$C$6),0,IF($E1118="","",$AC1118+AD1119/(1+$L1118)*$R1118))</f>
        <v/>
      </c>
      <c r="AE1118" s="152"/>
      <c r="AF1118" s="164" t="str">
        <f>IF(AND($C1117=12,$D1117=Input!$C$6),0,IF($E1118="","",IF($B1118&gt;Input!$C$9,$AC1118,0)+AF1119/(1+$L1118)*$R1118))</f>
        <v/>
      </c>
      <c r="AG1118" s="164" t="str">
        <f>IF(AND($C1117=12,$D1117=Input!$C$6),0,IF($E1118="","",(IF($B1118&gt;Input!$C$9,$X1118,0)+AG1119)/(1+$L1118)*$R1118))</f>
        <v/>
      </c>
      <c r="AH1118" s="160" t="str">
        <f t="shared" si="362"/>
        <v/>
      </c>
      <c r="AI1118" s="160" t="str">
        <f>IF($E1118="","",MIN(Input!$C$61/AH1118,1))</f>
        <v/>
      </c>
      <c r="AJ1118" s="152"/>
      <c r="AK1118" s="164" t="str">
        <f>IF(AND($C1117=12,$D1117=Input!$C$6),0,IF($E1118="","",IF($B1118&gt;Input!$C$9,$AC1118*AI1118,0)+AK1119/(1+$L1118)*$R1118))</f>
        <v/>
      </c>
      <c r="AL1118" s="164" t="str">
        <f>IF(AND($C1117=12,$D1117=Input!$C$6),0,IF($E1118="","",IF($B1118&gt;Input!$C$9,0,$AC1118)+AL1119/(1+$L1118)*$R1118))</f>
        <v/>
      </c>
      <c r="AM1118" s="160" t="str">
        <f t="shared" si="363"/>
        <v/>
      </c>
      <c r="AN1118" s="164" t="str">
        <f>IF($E1118="","",IF($B1118&gt;Input!$C$9,$AI1118*$AC1118,$AM1118*$AC1118))</f>
        <v/>
      </c>
      <c r="AO1118" s="164" t="str">
        <f>IF(AND($C1117=12,$D1117=Input!$C$6),0,IF($E1118="","",$AN1118+AO1119/(1+$L1118)*$R1118))</f>
        <v/>
      </c>
      <c r="AP1118" s="152"/>
      <c r="AQ1118" s="164" t="str">
        <f t="shared" si="364"/>
        <v/>
      </c>
      <c r="AR1118" s="164" t="str">
        <f t="shared" si="373"/>
        <v/>
      </c>
      <c r="AS1118" s="164" t="str">
        <f t="shared" si="374"/>
        <v/>
      </c>
      <c r="AT1118" s="164" t="str">
        <f t="shared" si="365"/>
        <v/>
      </c>
      <c r="AU1118" s="152"/>
      <c r="AV1118" s="147" t="str">
        <f>'Deterministic Reserve'!BC1118</f>
        <v/>
      </c>
      <c r="AW1118" s="164" t="str">
        <f t="shared" si="366"/>
        <v/>
      </c>
      <c r="AX1118" s="164" t="str">
        <f t="shared" si="367"/>
        <v/>
      </c>
      <c r="AY1118" s="152"/>
    </row>
    <row r="1119" spans="1:51" s="150" customFormat="1" x14ac:dyDescent="0.25">
      <c r="A1119" s="150" t="str">
        <f t="shared" si="375"/>
        <v/>
      </c>
      <c r="B1119" s="150" t="str">
        <f t="shared" si="376"/>
        <v/>
      </c>
      <c r="C1119" s="150" t="str">
        <f t="shared" si="377"/>
        <v/>
      </c>
      <c r="D1119" s="150" t="str">
        <f>IF(E1119="","",Input!$C$4+B1119-1)</f>
        <v/>
      </c>
      <c r="E1119" s="150" t="str">
        <f>IF(OR(AND(C1118=12,D1118=Input!$C$6),E1118=""),"",1)</f>
        <v/>
      </c>
      <c r="F1119" s="150" t="str">
        <f>IF(E1119="","",Input!$C$8+B1119-1)</f>
        <v/>
      </c>
      <c r="G1119" s="151" t="str">
        <f>IF(E1119="","",MAX(0,Input!$C$9-B1119))</f>
        <v/>
      </c>
      <c r="H1119" s="152" t="str">
        <f>IF(E1119="","",Input!$C$3)</f>
        <v/>
      </c>
      <c r="I1119" s="153" t="str">
        <f>IF(E1119="","",HLOOKUP($B1119,Input!$C$13:$BT$14,2))</f>
        <v/>
      </c>
      <c r="J1119" s="154"/>
      <c r="K1119" s="155" t="str">
        <f>IF($E1119="","",Input!$C$57)</f>
        <v/>
      </c>
      <c r="L1119" s="155" t="str">
        <f t="shared" si="368"/>
        <v/>
      </c>
      <c r="M1119" s="147" t="str">
        <f>IF($E1119="","",VLOOKUP(IF($B1119&lt;=Input!$C$7,$B1119,26),'Mortality Tables'!$A$72:$CA$97,IF($B1119&lt;=Input!$C$7+1,Input!$C$4-16,$D1119-Input!$C$7-16),0)/1000)</f>
        <v/>
      </c>
      <c r="N1119" s="147" t="str">
        <f t="shared" si="357"/>
        <v/>
      </c>
      <c r="O1119" s="157" t="str">
        <f>IF($E1119="","",IF($C1119=12,IF($B1119&lt;Input!$C$9,Input!$C$54,IF($B1119=Input!$C$9,Input!$C$55,Input!$C$56)),0%))</f>
        <v/>
      </c>
      <c r="P1119" s="167" t="str">
        <f>IF($E1119="","",IF($B1119=1,Input!$C$59,IF($B1119&lt;6,Input!$C$60,0%)))</f>
        <v/>
      </c>
      <c r="Q1119" s="162" t="str">
        <f>IF($E1119="","",Input!$C$58)</f>
        <v/>
      </c>
      <c r="R1119" s="156" t="str">
        <f t="shared" si="369"/>
        <v/>
      </c>
      <c r="S1119" s="154" t="str">
        <f t="shared" si="358"/>
        <v/>
      </c>
      <c r="T1119" s="152"/>
      <c r="U1119" s="150" t="str">
        <f t="shared" si="370"/>
        <v/>
      </c>
      <c r="V1119" s="150" t="str">
        <f t="shared" si="371"/>
        <v/>
      </c>
      <c r="W1119" s="168" t="str">
        <f t="shared" si="372"/>
        <v/>
      </c>
      <c r="X1119" s="163" t="str">
        <f t="shared" si="359"/>
        <v/>
      </c>
      <c r="Y1119" s="152"/>
      <c r="Z1119" s="164" t="str">
        <f>IF(AND($C1118=12,$D1118=Input!$C$6),0,IF($E1119="","",V1119+Z1120/(1+L1119)*R1119))</f>
        <v/>
      </c>
      <c r="AA1119" s="164" t="str">
        <f>IF(OR($M1119=1,AND($C1118=12,$D1118=Input!$C$6)),0,IF($E1119="","",W1119+(X1119+AA1120*$R1119)/(1+$L1119)))</f>
        <v/>
      </c>
      <c r="AB1119" s="160" t="str">
        <f t="shared" si="360"/>
        <v/>
      </c>
      <c r="AC1119" s="164" t="str">
        <f t="shared" si="361"/>
        <v/>
      </c>
      <c r="AD1119" s="164" t="str">
        <f>IF(AND($C1118=12,$D1118=Input!$C$6),0,IF($E1119="","",$AC1119+AD1120/(1+$L1119)*$R1119))</f>
        <v/>
      </c>
      <c r="AE1119" s="152"/>
      <c r="AF1119" s="164" t="str">
        <f>IF(AND($C1118=12,$D1118=Input!$C$6),0,IF($E1119="","",IF($B1119&gt;Input!$C$9,$AC1119,0)+AF1120/(1+$L1119)*$R1119))</f>
        <v/>
      </c>
      <c r="AG1119" s="164" t="str">
        <f>IF(AND($C1118=12,$D1118=Input!$C$6),0,IF($E1119="","",(IF($B1119&gt;Input!$C$9,$X1119,0)+AG1120)/(1+$L1119)*$R1119))</f>
        <v/>
      </c>
      <c r="AH1119" s="160" t="str">
        <f t="shared" si="362"/>
        <v/>
      </c>
      <c r="AI1119" s="160" t="str">
        <f>IF($E1119="","",MIN(Input!$C$61/AH1119,1))</f>
        <v/>
      </c>
      <c r="AJ1119" s="152"/>
      <c r="AK1119" s="164" t="str">
        <f>IF(AND($C1118=12,$D1118=Input!$C$6),0,IF($E1119="","",IF($B1119&gt;Input!$C$9,$AC1119*AI1119,0)+AK1120/(1+$L1119)*$R1119))</f>
        <v/>
      </c>
      <c r="AL1119" s="164" t="str">
        <f>IF(AND($C1118=12,$D1118=Input!$C$6),0,IF($E1119="","",IF($B1119&gt;Input!$C$9,0,$AC1119)+AL1120/(1+$L1119)*$R1119))</f>
        <v/>
      </c>
      <c r="AM1119" s="160" t="str">
        <f t="shared" si="363"/>
        <v/>
      </c>
      <c r="AN1119" s="164" t="str">
        <f>IF($E1119="","",IF($B1119&gt;Input!$C$9,$AI1119*$AC1119,$AM1119*$AC1119))</f>
        <v/>
      </c>
      <c r="AO1119" s="164" t="str">
        <f>IF(AND($C1118=12,$D1118=Input!$C$6),0,IF($E1119="","",$AN1119+AO1120/(1+$L1119)*$R1119))</f>
        <v/>
      </c>
      <c r="AP1119" s="152"/>
      <c r="AQ1119" s="164" t="str">
        <f t="shared" si="364"/>
        <v/>
      </c>
      <c r="AR1119" s="164" t="str">
        <f t="shared" si="373"/>
        <v/>
      </c>
      <c r="AS1119" s="164" t="str">
        <f t="shared" si="374"/>
        <v/>
      </c>
      <c r="AT1119" s="164" t="str">
        <f t="shared" si="365"/>
        <v/>
      </c>
      <c r="AU1119" s="152"/>
      <c r="AV1119" s="147" t="str">
        <f>'Deterministic Reserve'!BC1119</f>
        <v/>
      </c>
      <c r="AW1119" s="164" t="str">
        <f t="shared" si="366"/>
        <v/>
      </c>
      <c r="AX1119" s="164" t="str">
        <f t="shared" si="367"/>
        <v/>
      </c>
      <c r="AY1119" s="152"/>
    </row>
    <row r="1120" spans="1:51" s="150" customFormat="1" x14ac:dyDescent="0.25">
      <c r="A1120" s="150" t="str">
        <f t="shared" si="375"/>
        <v/>
      </c>
      <c r="B1120" s="150" t="str">
        <f t="shared" si="376"/>
        <v/>
      </c>
      <c r="C1120" s="150" t="str">
        <f t="shared" si="377"/>
        <v/>
      </c>
      <c r="D1120" s="150" t="str">
        <f>IF(E1120="","",Input!$C$4+B1120-1)</f>
        <v/>
      </c>
      <c r="E1120" s="150" t="str">
        <f>IF(OR(AND(C1119=12,D1119=Input!$C$6),E1119=""),"",1)</f>
        <v/>
      </c>
      <c r="F1120" s="150" t="str">
        <f>IF(E1120="","",Input!$C$8+B1120-1)</f>
        <v/>
      </c>
      <c r="G1120" s="151" t="str">
        <f>IF(E1120="","",MAX(0,Input!$C$9-B1120))</f>
        <v/>
      </c>
      <c r="H1120" s="152" t="str">
        <f>IF(E1120="","",Input!$C$3)</f>
        <v/>
      </c>
      <c r="I1120" s="153" t="str">
        <f>IF(E1120="","",HLOOKUP($B1120,Input!$C$13:$BT$14,2))</f>
        <v/>
      </c>
      <c r="J1120" s="154"/>
      <c r="K1120" s="155" t="str">
        <f>IF($E1120="","",Input!$C$57)</f>
        <v/>
      </c>
      <c r="L1120" s="155" t="str">
        <f t="shared" si="368"/>
        <v/>
      </c>
      <c r="M1120" s="147" t="str">
        <f>IF($E1120="","",VLOOKUP(IF($B1120&lt;=Input!$C$7,$B1120,26),'Mortality Tables'!$A$72:$CA$97,IF($B1120&lt;=Input!$C$7+1,Input!$C$4-16,$D1120-Input!$C$7-16),0)/1000)</f>
        <v/>
      </c>
      <c r="N1120" s="147" t="str">
        <f t="shared" si="357"/>
        <v/>
      </c>
      <c r="O1120" s="157" t="str">
        <f>IF($E1120="","",IF($C1120=12,IF($B1120&lt;Input!$C$9,Input!$C$54,IF($B1120=Input!$C$9,Input!$C$55,Input!$C$56)),0%))</f>
        <v/>
      </c>
      <c r="P1120" s="167" t="str">
        <f>IF($E1120="","",IF($B1120=1,Input!$C$59,IF($B1120&lt;6,Input!$C$60,0%)))</f>
        <v/>
      </c>
      <c r="Q1120" s="162" t="str">
        <f>IF($E1120="","",Input!$C$58)</f>
        <v/>
      </c>
      <c r="R1120" s="156" t="str">
        <f t="shared" si="369"/>
        <v/>
      </c>
      <c r="S1120" s="154" t="str">
        <f t="shared" si="358"/>
        <v/>
      </c>
      <c r="T1120" s="152"/>
      <c r="U1120" s="150" t="str">
        <f t="shared" si="370"/>
        <v/>
      </c>
      <c r="V1120" s="150" t="str">
        <f t="shared" si="371"/>
        <v/>
      </c>
      <c r="W1120" s="168" t="str">
        <f t="shared" si="372"/>
        <v/>
      </c>
      <c r="X1120" s="163" t="str">
        <f t="shared" si="359"/>
        <v/>
      </c>
      <c r="Y1120" s="152"/>
      <c r="Z1120" s="164" t="str">
        <f>IF(AND($C1119=12,$D1119=Input!$C$6),0,IF($E1120="","",V1120+Z1121/(1+L1120)*R1120))</f>
        <v/>
      </c>
      <c r="AA1120" s="164" t="str">
        <f>IF(OR($M1120=1,AND($C1119=12,$D1119=Input!$C$6)),0,IF($E1120="","",W1120+(X1120+AA1121*$R1120)/(1+$L1120)))</f>
        <v/>
      </c>
      <c r="AB1120" s="160" t="str">
        <f t="shared" si="360"/>
        <v/>
      </c>
      <c r="AC1120" s="164" t="str">
        <f t="shared" si="361"/>
        <v/>
      </c>
      <c r="AD1120" s="164" t="str">
        <f>IF(AND($C1119=12,$D1119=Input!$C$6),0,IF($E1120="","",$AC1120+AD1121/(1+$L1120)*$R1120))</f>
        <v/>
      </c>
      <c r="AE1120" s="152"/>
      <c r="AF1120" s="164" t="str">
        <f>IF(AND($C1119=12,$D1119=Input!$C$6),0,IF($E1120="","",IF($B1120&gt;Input!$C$9,$AC1120,0)+AF1121/(1+$L1120)*$R1120))</f>
        <v/>
      </c>
      <c r="AG1120" s="164" t="str">
        <f>IF(AND($C1119=12,$D1119=Input!$C$6),0,IF($E1120="","",(IF($B1120&gt;Input!$C$9,$X1120,0)+AG1121)/(1+$L1120)*$R1120))</f>
        <v/>
      </c>
      <c r="AH1120" s="160" t="str">
        <f t="shared" si="362"/>
        <v/>
      </c>
      <c r="AI1120" s="160" t="str">
        <f>IF($E1120="","",MIN(Input!$C$61/AH1120,1))</f>
        <v/>
      </c>
      <c r="AJ1120" s="152"/>
      <c r="AK1120" s="164" t="str">
        <f>IF(AND($C1119=12,$D1119=Input!$C$6),0,IF($E1120="","",IF($B1120&gt;Input!$C$9,$AC1120*AI1120,0)+AK1121/(1+$L1120)*$R1120))</f>
        <v/>
      </c>
      <c r="AL1120" s="164" t="str">
        <f>IF(AND($C1119=12,$D1119=Input!$C$6),0,IF($E1120="","",IF($B1120&gt;Input!$C$9,0,$AC1120)+AL1121/(1+$L1120)*$R1120))</f>
        <v/>
      </c>
      <c r="AM1120" s="160" t="str">
        <f t="shared" si="363"/>
        <v/>
      </c>
      <c r="AN1120" s="164" t="str">
        <f>IF($E1120="","",IF($B1120&gt;Input!$C$9,$AI1120*$AC1120,$AM1120*$AC1120))</f>
        <v/>
      </c>
      <c r="AO1120" s="164" t="str">
        <f>IF(AND($C1119=12,$D1119=Input!$C$6),0,IF($E1120="","",$AN1120+AO1121/(1+$L1120)*$R1120))</f>
        <v/>
      </c>
      <c r="AP1120" s="152"/>
      <c r="AQ1120" s="164" t="str">
        <f t="shared" si="364"/>
        <v/>
      </c>
      <c r="AR1120" s="164" t="str">
        <f t="shared" si="373"/>
        <v/>
      </c>
      <c r="AS1120" s="164" t="str">
        <f t="shared" si="374"/>
        <v/>
      </c>
      <c r="AT1120" s="164" t="str">
        <f t="shared" si="365"/>
        <v/>
      </c>
      <c r="AU1120" s="152"/>
      <c r="AV1120" s="147" t="str">
        <f>'Deterministic Reserve'!BC1120</f>
        <v/>
      </c>
      <c r="AW1120" s="164" t="str">
        <f t="shared" si="366"/>
        <v/>
      </c>
      <c r="AX1120" s="164" t="str">
        <f t="shared" si="367"/>
        <v/>
      </c>
      <c r="AY1120" s="152"/>
    </row>
    <row r="1121" spans="1:51" s="150" customFormat="1" x14ac:dyDescent="0.25">
      <c r="A1121" s="150" t="str">
        <f t="shared" si="375"/>
        <v/>
      </c>
      <c r="B1121" s="150" t="str">
        <f t="shared" si="376"/>
        <v/>
      </c>
      <c r="C1121" s="150" t="str">
        <f t="shared" si="377"/>
        <v/>
      </c>
      <c r="D1121" s="150" t="str">
        <f>IF(E1121="","",Input!$C$4+B1121-1)</f>
        <v/>
      </c>
      <c r="E1121" s="150" t="str">
        <f>IF(OR(AND(C1120=12,D1120=Input!$C$6),E1120=""),"",1)</f>
        <v/>
      </c>
      <c r="F1121" s="150" t="str">
        <f>IF(E1121="","",Input!$C$8+B1121-1)</f>
        <v/>
      </c>
      <c r="G1121" s="151" t="str">
        <f>IF(E1121="","",MAX(0,Input!$C$9-B1121))</f>
        <v/>
      </c>
      <c r="H1121" s="152" t="str">
        <f>IF(E1121="","",Input!$C$3)</f>
        <v/>
      </c>
      <c r="I1121" s="153" t="str">
        <f>IF(E1121="","",HLOOKUP($B1121,Input!$C$13:$BT$14,2))</f>
        <v/>
      </c>
      <c r="J1121" s="154"/>
      <c r="K1121" s="155" t="str">
        <f>IF($E1121="","",Input!$C$57)</f>
        <v/>
      </c>
      <c r="L1121" s="155" t="str">
        <f t="shared" si="368"/>
        <v/>
      </c>
      <c r="M1121" s="147" t="str">
        <f>IF($E1121="","",VLOOKUP(IF($B1121&lt;=Input!$C$7,$B1121,26),'Mortality Tables'!$A$72:$CA$97,IF($B1121&lt;=Input!$C$7+1,Input!$C$4-16,$D1121-Input!$C$7-16),0)/1000)</f>
        <v/>
      </c>
      <c r="N1121" s="147" t="str">
        <f t="shared" si="357"/>
        <v/>
      </c>
      <c r="O1121" s="157" t="str">
        <f>IF($E1121="","",IF($C1121=12,IF($B1121&lt;Input!$C$9,Input!$C$54,IF($B1121=Input!$C$9,Input!$C$55,Input!$C$56)),0%))</f>
        <v/>
      </c>
      <c r="P1121" s="167" t="str">
        <f>IF($E1121="","",IF($B1121=1,Input!$C$59,IF($B1121&lt;6,Input!$C$60,0%)))</f>
        <v/>
      </c>
      <c r="Q1121" s="162" t="str">
        <f>IF($E1121="","",Input!$C$58)</f>
        <v/>
      </c>
      <c r="R1121" s="156" t="str">
        <f t="shared" si="369"/>
        <v/>
      </c>
      <c r="S1121" s="154" t="str">
        <f t="shared" si="358"/>
        <v/>
      </c>
      <c r="T1121" s="152"/>
      <c r="U1121" s="150" t="str">
        <f t="shared" si="370"/>
        <v/>
      </c>
      <c r="V1121" s="150" t="str">
        <f t="shared" si="371"/>
        <v/>
      </c>
      <c r="W1121" s="168" t="str">
        <f t="shared" si="372"/>
        <v/>
      </c>
      <c r="X1121" s="163" t="str">
        <f t="shared" si="359"/>
        <v/>
      </c>
      <c r="Y1121" s="152"/>
      <c r="Z1121" s="164" t="str">
        <f>IF(AND($C1120=12,$D1120=Input!$C$6),0,IF($E1121="","",V1121+Z1122/(1+L1121)*R1121))</f>
        <v/>
      </c>
      <c r="AA1121" s="164" t="str">
        <f>IF(OR($M1121=1,AND($C1120=12,$D1120=Input!$C$6)),0,IF($E1121="","",W1121+(X1121+AA1122*$R1121)/(1+$L1121)))</f>
        <v/>
      </c>
      <c r="AB1121" s="160" t="str">
        <f t="shared" si="360"/>
        <v/>
      </c>
      <c r="AC1121" s="164" t="str">
        <f t="shared" si="361"/>
        <v/>
      </c>
      <c r="AD1121" s="164" t="str">
        <f>IF(AND($C1120=12,$D1120=Input!$C$6),0,IF($E1121="","",$AC1121+AD1122/(1+$L1121)*$R1121))</f>
        <v/>
      </c>
      <c r="AE1121" s="152"/>
      <c r="AF1121" s="164" t="str">
        <f>IF(AND($C1120=12,$D1120=Input!$C$6),0,IF($E1121="","",IF($B1121&gt;Input!$C$9,$AC1121,0)+AF1122/(1+$L1121)*$R1121))</f>
        <v/>
      </c>
      <c r="AG1121" s="164" t="str">
        <f>IF(AND($C1120=12,$D1120=Input!$C$6),0,IF($E1121="","",(IF($B1121&gt;Input!$C$9,$X1121,0)+AG1122)/(1+$L1121)*$R1121))</f>
        <v/>
      </c>
      <c r="AH1121" s="160" t="str">
        <f t="shared" si="362"/>
        <v/>
      </c>
      <c r="AI1121" s="160" t="str">
        <f>IF($E1121="","",MIN(Input!$C$61/AH1121,1))</f>
        <v/>
      </c>
      <c r="AJ1121" s="152"/>
      <c r="AK1121" s="164" t="str">
        <f>IF(AND($C1120=12,$D1120=Input!$C$6),0,IF($E1121="","",IF($B1121&gt;Input!$C$9,$AC1121*AI1121,0)+AK1122/(1+$L1121)*$R1121))</f>
        <v/>
      </c>
      <c r="AL1121" s="164" t="str">
        <f>IF(AND($C1120=12,$D1120=Input!$C$6),0,IF($E1121="","",IF($B1121&gt;Input!$C$9,0,$AC1121)+AL1122/(1+$L1121)*$R1121))</f>
        <v/>
      </c>
      <c r="AM1121" s="160" t="str">
        <f t="shared" si="363"/>
        <v/>
      </c>
      <c r="AN1121" s="164" t="str">
        <f>IF($E1121="","",IF($B1121&gt;Input!$C$9,$AI1121*$AC1121,$AM1121*$AC1121))</f>
        <v/>
      </c>
      <c r="AO1121" s="164" t="str">
        <f>IF(AND($C1120=12,$D1120=Input!$C$6),0,IF($E1121="","",$AN1121+AO1122/(1+$L1121)*$R1121))</f>
        <v/>
      </c>
      <c r="AP1121" s="152"/>
      <c r="AQ1121" s="164" t="str">
        <f t="shared" si="364"/>
        <v/>
      </c>
      <c r="AR1121" s="164" t="str">
        <f t="shared" si="373"/>
        <v/>
      </c>
      <c r="AS1121" s="164" t="str">
        <f t="shared" si="374"/>
        <v/>
      </c>
      <c r="AT1121" s="164" t="str">
        <f t="shared" si="365"/>
        <v/>
      </c>
      <c r="AU1121" s="152"/>
      <c r="AV1121" s="147" t="str">
        <f>'Deterministic Reserve'!BC1121</f>
        <v/>
      </c>
      <c r="AW1121" s="164" t="str">
        <f t="shared" si="366"/>
        <v/>
      </c>
      <c r="AX1121" s="164" t="str">
        <f t="shared" si="367"/>
        <v/>
      </c>
      <c r="AY1121" s="152"/>
    </row>
    <row r="1122" spans="1:51" s="150" customFormat="1" x14ac:dyDescent="0.25">
      <c r="A1122" s="150" t="str">
        <f t="shared" si="375"/>
        <v/>
      </c>
      <c r="B1122" s="150" t="str">
        <f t="shared" si="376"/>
        <v/>
      </c>
      <c r="C1122" s="150" t="str">
        <f t="shared" si="377"/>
        <v/>
      </c>
      <c r="D1122" s="150" t="str">
        <f>IF(E1122="","",Input!$C$4+B1122-1)</f>
        <v/>
      </c>
      <c r="E1122" s="150" t="str">
        <f>IF(OR(AND(C1121=12,D1121=Input!$C$6),E1121=""),"",1)</f>
        <v/>
      </c>
      <c r="F1122" s="150" t="str">
        <f>IF(E1122="","",Input!$C$8+B1122-1)</f>
        <v/>
      </c>
      <c r="G1122" s="151" t="str">
        <f>IF(E1122="","",MAX(0,Input!$C$9-B1122))</f>
        <v/>
      </c>
      <c r="H1122" s="152" t="str">
        <f>IF(E1122="","",Input!$C$3)</f>
        <v/>
      </c>
      <c r="I1122" s="153" t="str">
        <f>IF(E1122="","",HLOOKUP($B1122,Input!$C$13:$BT$14,2))</f>
        <v/>
      </c>
      <c r="J1122" s="154"/>
      <c r="K1122" s="155" t="str">
        <f>IF($E1122="","",Input!$C$57)</f>
        <v/>
      </c>
      <c r="L1122" s="155" t="str">
        <f t="shared" si="368"/>
        <v/>
      </c>
      <c r="M1122" s="147" t="str">
        <f>IF($E1122="","",VLOOKUP(IF($B1122&lt;=Input!$C$7,$B1122,26),'Mortality Tables'!$A$72:$CA$97,IF($B1122&lt;=Input!$C$7+1,Input!$C$4-16,$D1122-Input!$C$7-16),0)/1000)</f>
        <v/>
      </c>
      <c r="N1122" s="147" t="str">
        <f t="shared" si="357"/>
        <v/>
      </c>
      <c r="O1122" s="157" t="str">
        <f>IF($E1122="","",IF($C1122=12,IF($B1122&lt;Input!$C$9,Input!$C$54,IF($B1122=Input!$C$9,Input!$C$55,Input!$C$56)),0%))</f>
        <v/>
      </c>
      <c r="P1122" s="167" t="str">
        <f>IF($E1122="","",IF($B1122=1,Input!$C$59,IF($B1122&lt;6,Input!$C$60,0%)))</f>
        <v/>
      </c>
      <c r="Q1122" s="162" t="str">
        <f>IF($E1122="","",Input!$C$58)</f>
        <v/>
      </c>
      <c r="R1122" s="156" t="str">
        <f t="shared" si="369"/>
        <v/>
      </c>
      <c r="S1122" s="154" t="str">
        <f t="shared" si="358"/>
        <v/>
      </c>
      <c r="T1122" s="152"/>
      <c r="U1122" s="150" t="str">
        <f t="shared" si="370"/>
        <v/>
      </c>
      <c r="V1122" s="150" t="str">
        <f t="shared" si="371"/>
        <v/>
      </c>
      <c r="W1122" s="168" t="str">
        <f t="shared" si="372"/>
        <v/>
      </c>
      <c r="X1122" s="163" t="str">
        <f t="shared" si="359"/>
        <v/>
      </c>
      <c r="Y1122" s="152"/>
      <c r="Z1122" s="164" t="str">
        <f>IF(AND($C1121=12,$D1121=Input!$C$6),0,IF($E1122="","",V1122+Z1123/(1+L1122)*R1122))</f>
        <v/>
      </c>
      <c r="AA1122" s="164" t="str">
        <f>IF(OR($M1122=1,AND($C1121=12,$D1121=Input!$C$6)),0,IF($E1122="","",W1122+(X1122+AA1123*$R1122)/(1+$L1122)))</f>
        <v/>
      </c>
      <c r="AB1122" s="160" t="str">
        <f t="shared" si="360"/>
        <v/>
      </c>
      <c r="AC1122" s="164" t="str">
        <f t="shared" si="361"/>
        <v/>
      </c>
      <c r="AD1122" s="164" t="str">
        <f>IF(AND($C1121=12,$D1121=Input!$C$6),0,IF($E1122="","",$AC1122+AD1123/(1+$L1122)*$R1122))</f>
        <v/>
      </c>
      <c r="AE1122" s="152"/>
      <c r="AF1122" s="164" t="str">
        <f>IF(AND($C1121=12,$D1121=Input!$C$6),0,IF($E1122="","",IF($B1122&gt;Input!$C$9,$AC1122,0)+AF1123/(1+$L1122)*$R1122))</f>
        <v/>
      </c>
      <c r="AG1122" s="164" t="str">
        <f>IF(AND($C1121=12,$D1121=Input!$C$6),0,IF($E1122="","",(IF($B1122&gt;Input!$C$9,$X1122,0)+AG1123)/(1+$L1122)*$R1122))</f>
        <v/>
      </c>
      <c r="AH1122" s="160" t="str">
        <f t="shared" si="362"/>
        <v/>
      </c>
      <c r="AI1122" s="160" t="str">
        <f>IF($E1122="","",MIN(Input!$C$61/AH1122,1))</f>
        <v/>
      </c>
      <c r="AJ1122" s="152"/>
      <c r="AK1122" s="164" t="str">
        <f>IF(AND($C1121=12,$D1121=Input!$C$6),0,IF($E1122="","",IF($B1122&gt;Input!$C$9,$AC1122*AI1122,0)+AK1123/(1+$L1122)*$R1122))</f>
        <v/>
      </c>
      <c r="AL1122" s="164" t="str">
        <f>IF(AND($C1121=12,$D1121=Input!$C$6),0,IF($E1122="","",IF($B1122&gt;Input!$C$9,0,$AC1122)+AL1123/(1+$L1122)*$R1122))</f>
        <v/>
      </c>
      <c r="AM1122" s="160" t="str">
        <f t="shared" si="363"/>
        <v/>
      </c>
      <c r="AN1122" s="164" t="str">
        <f>IF($E1122="","",IF($B1122&gt;Input!$C$9,$AI1122*$AC1122,$AM1122*$AC1122))</f>
        <v/>
      </c>
      <c r="AO1122" s="164" t="str">
        <f>IF(AND($C1121=12,$D1121=Input!$C$6),0,IF($E1122="","",$AN1122+AO1123/(1+$L1122)*$R1122))</f>
        <v/>
      </c>
      <c r="AP1122" s="152"/>
      <c r="AQ1122" s="164" t="str">
        <f t="shared" si="364"/>
        <v/>
      </c>
      <c r="AR1122" s="164" t="str">
        <f t="shared" si="373"/>
        <v/>
      </c>
      <c r="AS1122" s="164" t="str">
        <f t="shared" si="374"/>
        <v/>
      </c>
      <c r="AT1122" s="164" t="str">
        <f t="shared" si="365"/>
        <v/>
      </c>
      <c r="AU1122" s="152"/>
      <c r="AV1122" s="147" t="str">
        <f>'Deterministic Reserve'!BC1122</f>
        <v/>
      </c>
      <c r="AW1122" s="164" t="str">
        <f t="shared" si="366"/>
        <v/>
      </c>
      <c r="AX1122" s="164" t="str">
        <f t="shared" si="367"/>
        <v/>
      </c>
      <c r="AY1122" s="152"/>
    </row>
    <row r="1123" spans="1:51" s="150" customFormat="1" x14ac:dyDescent="0.25">
      <c r="A1123" s="150" t="str">
        <f t="shared" si="375"/>
        <v/>
      </c>
      <c r="B1123" s="150" t="str">
        <f t="shared" si="376"/>
        <v/>
      </c>
      <c r="C1123" s="150" t="str">
        <f t="shared" si="377"/>
        <v/>
      </c>
      <c r="D1123" s="150" t="str">
        <f>IF(E1123="","",Input!$C$4+B1123-1)</f>
        <v/>
      </c>
      <c r="E1123" s="150" t="str">
        <f>IF(OR(AND(C1122=12,D1122=Input!$C$6),E1122=""),"",1)</f>
        <v/>
      </c>
      <c r="F1123" s="150" t="str">
        <f>IF(E1123="","",Input!$C$8+B1123-1)</f>
        <v/>
      </c>
      <c r="G1123" s="151" t="str">
        <f>IF(E1123="","",MAX(0,Input!$C$9-B1123))</f>
        <v/>
      </c>
      <c r="H1123" s="152" t="str">
        <f>IF(E1123="","",Input!$C$3)</f>
        <v/>
      </c>
      <c r="I1123" s="153" t="str">
        <f>IF(E1123="","",HLOOKUP($B1123,Input!$C$13:$BT$14,2))</f>
        <v/>
      </c>
      <c r="J1123" s="154"/>
      <c r="K1123" s="155" t="str">
        <f>IF($E1123="","",Input!$C$57)</f>
        <v/>
      </c>
      <c r="L1123" s="155" t="str">
        <f t="shared" si="368"/>
        <v/>
      </c>
      <c r="M1123" s="147" t="str">
        <f>IF($E1123="","",VLOOKUP(IF($B1123&lt;=Input!$C$7,$B1123,26),'Mortality Tables'!$A$72:$CA$97,IF($B1123&lt;=Input!$C$7+1,Input!$C$4-16,$D1123-Input!$C$7-16),0)/1000)</f>
        <v/>
      </c>
      <c r="N1123" s="147" t="str">
        <f t="shared" si="357"/>
        <v/>
      </c>
      <c r="O1123" s="157" t="str">
        <f>IF($E1123="","",IF($C1123=12,IF($B1123&lt;Input!$C$9,Input!$C$54,IF($B1123=Input!$C$9,Input!$C$55,Input!$C$56)),0%))</f>
        <v/>
      </c>
      <c r="P1123" s="167" t="str">
        <f>IF($E1123="","",IF($B1123=1,Input!$C$59,IF($B1123&lt;6,Input!$C$60,0%)))</f>
        <v/>
      </c>
      <c r="Q1123" s="162" t="str">
        <f>IF($E1123="","",Input!$C$58)</f>
        <v/>
      </c>
      <c r="R1123" s="156" t="str">
        <f t="shared" si="369"/>
        <v/>
      </c>
      <c r="S1123" s="154" t="str">
        <f t="shared" si="358"/>
        <v/>
      </c>
      <c r="T1123" s="152"/>
      <c r="U1123" s="150" t="str">
        <f t="shared" si="370"/>
        <v/>
      </c>
      <c r="V1123" s="150" t="str">
        <f t="shared" si="371"/>
        <v/>
      </c>
      <c r="W1123" s="168" t="str">
        <f t="shared" si="372"/>
        <v/>
      </c>
      <c r="X1123" s="163" t="str">
        <f t="shared" si="359"/>
        <v/>
      </c>
      <c r="Y1123" s="152"/>
      <c r="Z1123" s="164" t="str">
        <f>IF(AND($C1122=12,$D1122=Input!$C$6),0,IF($E1123="","",V1123+Z1124/(1+L1123)*R1123))</f>
        <v/>
      </c>
      <c r="AA1123" s="164" t="str">
        <f>IF(OR($M1123=1,AND($C1122=12,$D1122=Input!$C$6)),0,IF($E1123="","",W1123+(X1123+AA1124*$R1123)/(1+$L1123)))</f>
        <v/>
      </c>
      <c r="AB1123" s="160" t="str">
        <f t="shared" si="360"/>
        <v/>
      </c>
      <c r="AC1123" s="164" t="str">
        <f t="shared" si="361"/>
        <v/>
      </c>
      <c r="AD1123" s="164" t="str">
        <f>IF(AND($C1122=12,$D1122=Input!$C$6),0,IF($E1123="","",$AC1123+AD1124/(1+$L1123)*$R1123))</f>
        <v/>
      </c>
      <c r="AE1123" s="152"/>
      <c r="AF1123" s="164" t="str">
        <f>IF(AND($C1122=12,$D1122=Input!$C$6),0,IF($E1123="","",IF($B1123&gt;Input!$C$9,$AC1123,0)+AF1124/(1+$L1123)*$R1123))</f>
        <v/>
      </c>
      <c r="AG1123" s="164" t="str">
        <f>IF(AND($C1122=12,$D1122=Input!$C$6),0,IF($E1123="","",(IF($B1123&gt;Input!$C$9,$X1123,0)+AG1124)/(1+$L1123)*$R1123))</f>
        <v/>
      </c>
      <c r="AH1123" s="160" t="str">
        <f t="shared" si="362"/>
        <v/>
      </c>
      <c r="AI1123" s="160" t="str">
        <f>IF($E1123="","",MIN(Input!$C$61/AH1123,1))</f>
        <v/>
      </c>
      <c r="AJ1123" s="152"/>
      <c r="AK1123" s="164" t="str">
        <f>IF(AND($C1122=12,$D1122=Input!$C$6),0,IF($E1123="","",IF($B1123&gt;Input!$C$9,$AC1123*AI1123,0)+AK1124/(1+$L1123)*$R1123))</f>
        <v/>
      </c>
      <c r="AL1123" s="164" t="str">
        <f>IF(AND($C1122=12,$D1122=Input!$C$6),0,IF($E1123="","",IF($B1123&gt;Input!$C$9,0,$AC1123)+AL1124/(1+$L1123)*$R1123))</f>
        <v/>
      </c>
      <c r="AM1123" s="160" t="str">
        <f t="shared" si="363"/>
        <v/>
      </c>
      <c r="AN1123" s="164" t="str">
        <f>IF($E1123="","",IF($B1123&gt;Input!$C$9,$AI1123*$AC1123,$AM1123*$AC1123))</f>
        <v/>
      </c>
      <c r="AO1123" s="164" t="str">
        <f>IF(AND($C1122=12,$D1122=Input!$C$6),0,IF($E1123="","",$AN1123+AO1124/(1+$L1123)*$R1123))</f>
        <v/>
      </c>
      <c r="AP1123" s="152"/>
      <c r="AQ1123" s="164" t="str">
        <f t="shared" si="364"/>
        <v/>
      </c>
      <c r="AR1123" s="164" t="str">
        <f t="shared" si="373"/>
        <v/>
      </c>
      <c r="AS1123" s="164" t="str">
        <f t="shared" si="374"/>
        <v/>
      </c>
      <c r="AT1123" s="164" t="str">
        <f t="shared" si="365"/>
        <v/>
      </c>
      <c r="AU1123" s="152"/>
      <c r="AV1123" s="147" t="str">
        <f>'Deterministic Reserve'!BC1123</f>
        <v/>
      </c>
      <c r="AW1123" s="164" t="str">
        <f t="shared" si="366"/>
        <v/>
      </c>
      <c r="AX1123" s="164" t="str">
        <f t="shared" si="367"/>
        <v/>
      </c>
      <c r="AY1123" s="152"/>
    </row>
    <row r="1124" spans="1:51" s="150" customFormat="1" x14ac:dyDescent="0.25">
      <c r="A1124" s="150" t="str">
        <f t="shared" si="375"/>
        <v/>
      </c>
      <c r="B1124" s="150" t="str">
        <f t="shared" si="376"/>
        <v/>
      </c>
      <c r="C1124" s="150" t="str">
        <f t="shared" si="377"/>
        <v/>
      </c>
      <c r="D1124" s="150" t="str">
        <f>IF(E1124="","",Input!$C$4+B1124-1)</f>
        <v/>
      </c>
      <c r="E1124" s="150" t="str">
        <f>IF(OR(AND(C1123=12,D1123=Input!$C$6),E1123=""),"",1)</f>
        <v/>
      </c>
      <c r="F1124" s="150" t="str">
        <f>IF(E1124="","",Input!$C$8+B1124-1)</f>
        <v/>
      </c>
      <c r="G1124" s="151" t="str">
        <f>IF(E1124="","",MAX(0,Input!$C$9-B1124))</f>
        <v/>
      </c>
      <c r="H1124" s="152" t="str">
        <f>IF(E1124="","",Input!$C$3)</f>
        <v/>
      </c>
      <c r="I1124" s="153" t="str">
        <f>IF(E1124="","",HLOOKUP($B1124,Input!$C$13:$BT$14,2))</f>
        <v/>
      </c>
      <c r="J1124" s="154"/>
      <c r="K1124" s="155" t="str">
        <f>IF($E1124="","",Input!$C$57)</f>
        <v/>
      </c>
      <c r="L1124" s="155" t="str">
        <f t="shared" si="368"/>
        <v/>
      </c>
      <c r="M1124" s="147" t="str">
        <f>IF($E1124="","",VLOOKUP(IF($B1124&lt;=Input!$C$7,$B1124,26),'Mortality Tables'!$A$72:$CA$97,IF($B1124&lt;=Input!$C$7+1,Input!$C$4-16,$D1124-Input!$C$7-16),0)/1000)</f>
        <v/>
      </c>
      <c r="N1124" s="147" t="str">
        <f t="shared" si="357"/>
        <v/>
      </c>
      <c r="O1124" s="157" t="str">
        <f>IF($E1124="","",IF($C1124=12,IF($B1124&lt;Input!$C$9,Input!$C$54,IF($B1124=Input!$C$9,Input!$C$55,Input!$C$56)),0%))</f>
        <v/>
      </c>
      <c r="P1124" s="167" t="str">
        <f>IF($E1124="","",IF($B1124=1,Input!$C$59,IF($B1124&lt;6,Input!$C$60,0%)))</f>
        <v/>
      </c>
      <c r="Q1124" s="162" t="str">
        <f>IF($E1124="","",Input!$C$58)</f>
        <v/>
      </c>
      <c r="R1124" s="156" t="str">
        <f t="shared" si="369"/>
        <v/>
      </c>
      <c r="S1124" s="154" t="str">
        <f t="shared" si="358"/>
        <v/>
      </c>
      <c r="T1124" s="152"/>
      <c r="U1124" s="150" t="str">
        <f t="shared" si="370"/>
        <v/>
      </c>
      <c r="V1124" s="150" t="str">
        <f t="shared" si="371"/>
        <v/>
      </c>
      <c r="W1124" s="168" t="str">
        <f t="shared" si="372"/>
        <v/>
      </c>
      <c r="X1124" s="163" t="str">
        <f t="shared" si="359"/>
        <v/>
      </c>
      <c r="Y1124" s="152"/>
      <c r="Z1124" s="164" t="str">
        <f>IF(AND($C1123=12,$D1123=Input!$C$6),0,IF($E1124="","",V1124+Z1125/(1+L1124)*R1124))</f>
        <v/>
      </c>
      <c r="AA1124" s="164" t="str">
        <f>IF(OR($M1124=1,AND($C1123=12,$D1123=Input!$C$6)),0,IF($E1124="","",W1124+(X1124+AA1125*$R1124)/(1+$L1124)))</f>
        <v/>
      </c>
      <c r="AB1124" s="160" t="str">
        <f t="shared" si="360"/>
        <v/>
      </c>
      <c r="AC1124" s="164" t="str">
        <f t="shared" si="361"/>
        <v/>
      </c>
      <c r="AD1124" s="164" t="str">
        <f>IF(AND($C1123=12,$D1123=Input!$C$6),0,IF($E1124="","",$AC1124+AD1125/(1+$L1124)*$R1124))</f>
        <v/>
      </c>
      <c r="AE1124" s="152"/>
      <c r="AF1124" s="164" t="str">
        <f>IF(AND($C1123=12,$D1123=Input!$C$6),0,IF($E1124="","",IF($B1124&gt;Input!$C$9,$AC1124,0)+AF1125/(1+$L1124)*$R1124))</f>
        <v/>
      </c>
      <c r="AG1124" s="164" t="str">
        <f>IF(AND($C1123=12,$D1123=Input!$C$6),0,IF($E1124="","",(IF($B1124&gt;Input!$C$9,$X1124,0)+AG1125)/(1+$L1124)*$R1124))</f>
        <v/>
      </c>
      <c r="AH1124" s="160" t="str">
        <f t="shared" si="362"/>
        <v/>
      </c>
      <c r="AI1124" s="160" t="str">
        <f>IF($E1124="","",MIN(Input!$C$61/AH1124,1))</f>
        <v/>
      </c>
      <c r="AJ1124" s="152"/>
      <c r="AK1124" s="164" t="str">
        <f>IF(AND($C1123=12,$D1123=Input!$C$6),0,IF($E1124="","",IF($B1124&gt;Input!$C$9,$AC1124*AI1124,0)+AK1125/(1+$L1124)*$R1124))</f>
        <v/>
      </c>
      <c r="AL1124" s="164" t="str">
        <f>IF(AND($C1123=12,$D1123=Input!$C$6),0,IF($E1124="","",IF($B1124&gt;Input!$C$9,0,$AC1124)+AL1125/(1+$L1124)*$R1124))</f>
        <v/>
      </c>
      <c r="AM1124" s="160" t="str">
        <f t="shared" si="363"/>
        <v/>
      </c>
      <c r="AN1124" s="164" t="str">
        <f>IF($E1124="","",IF($B1124&gt;Input!$C$9,$AI1124*$AC1124,$AM1124*$AC1124))</f>
        <v/>
      </c>
      <c r="AO1124" s="164" t="str">
        <f>IF(AND($C1123=12,$D1123=Input!$C$6),0,IF($E1124="","",$AN1124+AO1125/(1+$L1124)*$R1124))</f>
        <v/>
      </c>
      <c r="AP1124" s="152"/>
      <c r="AQ1124" s="164" t="str">
        <f t="shared" si="364"/>
        <v/>
      </c>
      <c r="AR1124" s="164" t="str">
        <f t="shared" si="373"/>
        <v/>
      </c>
      <c r="AS1124" s="164" t="str">
        <f t="shared" si="374"/>
        <v/>
      </c>
      <c r="AT1124" s="164" t="str">
        <f t="shared" si="365"/>
        <v/>
      </c>
      <c r="AU1124" s="152"/>
      <c r="AV1124" s="147" t="str">
        <f>'Deterministic Reserve'!BC1124</f>
        <v/>
      </c>
      <c r="AW1124" s="164" t="str">
        <f t="shared" si="366"/>
        <v/>
      </c>
      <c r="AX1124" s="164" t="str">
        <f t="shared" si="367"/>
        <v/>
      </c>
      <c r="AY1124" s="152"/>
    </row>
    <row r="1125" spans="1:51" s="150" customFormat="1" x14ac:dyDescent="0.25">
      <c r="A1125" s="150" t="str">
        <f t="shared" si="375"/>
        <v/>
      </c>
      <c r="B1125" s="150" t="str">
        <f t="shared" si="376"/>
        <v/>
      </c>
      <c r="C1125" s="150" t="str">
        <f t="shared" si="377"/>
        <v/>
      </c>
      <c r="D1125" s="150" t="str">
        <f>IF(E1125="","",Input!$C$4+B1125-1)</f>
        <v/>
      </c>
      <c r="E1125" s="150" t="str">
        <f>IF(OR(AND(C1124=12,D1124=Input!$C$6),E1124=""),"",1)</f>
        <v/>
      </c>
      <c r="F1125" s="150" t="str">
        <f>IF(E1125="","",Input!$C$8+B1125-1)</f>
        <v/>
      </c>
      <c r="G1125" s="151" t="str">
        <f>IF(E1125="","",MAX(0,Input!$C$9-B1125))</f>
        <v/>
      </c>
      <c r="H1125" s="152" t="str">
        <f>IF(E1125="","",Input!$C$3)</f>
        <v/>
      </c>
      <c r="I1125" s="153" t="str">
        <f>IF(E1125="","",HLOOKUP($B1125,Input!$C$13:$BT$14,2))</f>
        <v/>
      </c>
      <c r="J1125" s="154"/>
      <c r="K1125" s="155" t="str">
        <f>IF($E1125="","",Input!$C$57)</f>
        <v/>
      </c>
      <c r="L1125" s="155" t="str">
        <f t="shared" si="368"/>
        <v/>
      </c>
      <c r="M1125" s="147" t="str">
        <f>IF($E1125="","",VLOOKUP(IF($B1125&lt;=Input!$C$7,$B1125,26),'Mortality Tables'!$A$72:$CA$97,IF($B1125&lt;=Input!$C$7+1,Input!$C$4-16,$D1125-Input!$C$7-16),0)/1000)</f>
        <v/>
      </c>
      <c r="N1125" s="147" t="str">
        <f t="shared" si="357"/>
        <v/>
      </c>
      <c r="O1125" s="157" t="str">
        <f>IF($E1125="","",IF($C1125=12,IF($B1125&lt;Input!$C$9,Input!$C$54,IF($B1125=Input!$C$9,Input!$C$55,Input!$C$56)),0%))</f>
        <v/>
      </c>
      <c r="P1125" s="167" t="str">
        <f>IF($E1125="","",IF($B1125=1,Input!$C$59,IF($B1125&lt;6,Input!$C$60,0%)))</f>
        <v/>
      </c>
      <c r="Q1125" s="162" t="str">
        <f>IF($E1125="","",Input!$C$58)</f>
        <v/>
      </c>
      <c r="R1125" s="156" t="str">
        <f t="shared" si="369"/>
        <v/>
      </c>
      <c r="S1125" s="154" t="str">
        <f t="shared" si="358"/>
        <v/>
      </c>
      <c r="T1125" s="152"/>
      <c r="U1125" s="150" t="str">
        <f t="shared" si="370"/>
        <v/>
      </c>
      <c r="V1125" s="150" t="str">
        <f t="shared" si="371"/>
        <v/>
      </c>
      <c r="W1125" s="168" t="str">
        <f t="shared" si="372"/>
        <v/>
      </c>
      <c r="X1125" s="163" t="str">
        <f t="shared" si="359"/>
        <v/>
      </c>
      <c r="Y1125" s="152"/>
      <c r="Z1125" s="164" t="str">
        <f>IF(AND($C1124=12,$D1124=Input!$C$6),0,IF($E1125="","",V1125+Z1126/(1+L1125)*R1125))</f>
        <v/>
      </c>
      <c r="AA1125" s="164" t="str">
        <f>IF(OR($M1125=1,AND($C1124=12,$D1124=Input!$C$6)),0,IF($E1125="","",W1125+(X1125+AA1126*$R1125)/(1+$L1125)))</f>
        <v/>
      </c>
      <c r="AB1125" s="160" t="str">
        <f t="shared" si="360"/>
        <v/>
      </c>
      <c r="AC1125" s="164" t="str">
        <f t="shared" si="361"/>
        <v/>
      </c>
      <c r="AD1125" s="164" t="str">
        <f>IF(AND($C1124=12,$D1124=Input!$C$6),0,IF($E1125="","",$AC1125+AD1126/(1+$L1125)*$R1125))</f>
        <v/>
      </c>
      <c r="AE1125" s="152"/>
      <c r="AF1125" s="164" t="str">
        <f>IF(AND($C1124=12,$D1124=Input!$C$6),0,IF($E1125="","",IF($B1125&gt;Input!$C$9,$AC1125,0)+AF1126/(1+$L1125)*$R1125))</f>
        <v/>
      </c>
      <c r="AG1125" s="164" t="str">
        <f>IF(AND($C1124=12,$D1124=Input!$C$6),0,IF($E1125="","",(IF($B1125&gt;Input!$C$9,$X1125,0)+AG1126)/(1+$L1125)*$R1125))</f>
        <v/>
      </c>
      <c r="AH1125" s="160" t="str">
        <f t="shared" si="362"/>
        <v/>
      </c>
      <c r="AI1125" s="160" t="str">
        <f>IF($E1125="","",MIN(Input!$C$61/AH1125,1))</f>
        <v/>
      </c>
      <c r="AJ1125" s="152"/>
      <c r="AK1125" s="164" t="str">
        <f>IF(AND($C1124=12,$D1124=Input!$C$6),0,IF($E1125="","",IF($B1125&gt;Input!$C$9,$AC1125*AI1125,0)+AK1126/(1+$L1125)*$R1125))</f>
        <v/>
      </c>
      <c r="AL1125" s="164" t="str">
        <f>IF(AND($C1124=12,$D1124=Input!$C$6),0,IF($E1125="","",IF($B1125&gt;Input!$C$9,0,$AC1125)+AL1126/(1+$L1125)*$R1125))</f>
        <v/>
      </c>
      <c r="AM1125" s="160" t="str">
        <f t="shared" si="363"/>
        <v/>
      </c>
      <c r="AN1125" s="164" t="str">
        <f>IF($E1125="","",IF($B1125&gt;Input!$C$9,$AI1125*$AC1125,$AM1125*$AC1125))</f>
        <v/>
      </c>
      <c r="AO1125" s="164" t="str">
        <f>IF(AND($C1124=12,$D1124=Input!$C$6),0,IF($E1125="","",$AN1125+AO1126/(1+$L1125)*$R1125))</f>
        <v/>
      </c>
      <c r="AP1125" s="152"/>
      <c r="AQ1125" s="164" t="str">
        <f t="shared" si="364"/>
        <v/>
      </c>
      <c r="AR1125" s="164" t="str">
        <f t="shared" si="373"/>
        <v/>
      </c>
      <c r="AS1125" s="164" t="str">
        <f t="shared" si="374"/>
        <v/>
      </c>
      <c r="AT1125" s="164" t="str">
        <f t="shared" si="365"/>
        <v/>
      </c>
      <c r="AU1125" s="152"/>
      <c r="AV1125" s="147" t="str">
        <f>'Deterministic Reserve'!BC1125</f>
        <v/>
      </c>
      <c r="AW1125" s="164" t="str">
        <f t="shared" si="366"/>
        <v/>
      </c>
      <c r="AX1125" s="164" t="str">
        <f t="shared" si="367"/>
        <v/>
      </c>
      <c r="AY1125" s="152"/>
    </row>
    <row r="1126" spans="1:51" s="150" customFormat="1" x14ac:dyDescent="0.25">
      <c r="A1126" s="150" t="str">
        <f t="shared" si="375"/>
        <v/>
      </c>
      <c r="B1126" s="150" t="str">
        <f t="shared" si="376"/>
        <v/>
      </c>
      <c r="C1126" s="150" t="str">
        <f t="shared" si="377"/>
        <v/>
      </c>
      <c r="D1126" s="150" t="str">
        <f>IF(E1126="","",Input!$C$4+B1126-1)</f>
        <v/>
      </c>
      <c r="E1126" s="150" t="str">
        <f>IF(OR(AND(C1125=12,D1125=Input!$C$6),E1125=""),"",1)</f>
        <v/>
      </c>
      <c r="F1126" s="150" t="str">
        <f>IF(E1126="","",Input!$C$8+B1126-1)</f>
        <v/>
      </c>
      <c r="G1126" s="151" t="str">
        <f>IF(E1126="","",MAX(0,Input!$C$9-B1126))</f>
        <v/>
      </c>
      <c r="H1126" s="152" t="str">
        <f>IF(E1126="","",Input!$C$3)</f>
        <v/>
      </c>
      <c r="I1126" s="153" t="str">
        <f>IF(E1126="","",HLOOKUP($B1126,Input!$C$13:$BT$14,2))</f>
        <v/>
      </c>
      <c r="J1126" s="154"/>
      <c r="K1126" s="155" t="str">
        <f>IF($E1126="","",Input!$C$57)</f>
        <v/>
      </c>
      <c r="L1126" s="155" t="str">
        <f t="shared" si="368"/>
        <v/>
      </c>
      <c r="M1126" s="147" t="str">
        <f>IF($E1126="","",VLOOKUP(IF($B1126&lt;=Input!$C$7,$B1126,26),'Mortality Tables'!$A$72:$CA$97,IF($B1126&lt;=Input!$C$7+1,Input!$C$4-16,$D1126-Input!$C$7-16),0)/1000)</f>
        <v/>
      </c>
      <c r="N1126" s="147" t="str">
        <f t="shared" si="357"/>
        <v/>
      </c>
      <c r="O1126" s="157" t="str">
        <f>IF($E1126="","",IF($C1126=12,IF($B1126&lt;Input!$C$9,Input!$C$54,IF($B1126=Input!$C$9,Input!$C$55,Input!$C$56)),0%))</f>
        <v/>
      </c>
      <c r="P1126" s="167" t="str">
        <f>IF($E1126="","",IF($B1126=1,Input!$C$59,IF($B1126&lt;6,Input!$C$60,0%)))</f>
        <v/>
      </c>
      <c r="Q1126" s="162" t="str">
        <f>IF($E1126="","",Input!$C$58)</f>
        <v/>
      </c>
      <c r="R1126" s="156" t="str">
        <f t="shared" si="369"/>
        <v/>
      </c>
      <c r="S1126" s="154" t="str">
        <f t="shared" si="358"/>
        <v/>
      </c>
      <c r="T1126" s="152"/>
      <c r="U1126" s="150" t="str">
        <f t="shared" si="370"/>
        <v/>
      </c>
      <c r="V1126" s="150" t="str">
        <f t="shared" si="371"/>
        <v/>
      </c>
      <c r="W1126" s="168" t="str">
        <f t="shared" si="372"/>
        <v/>
      </c>
      <c r="X1126" s="163" t="str">
        <f t="shared" si="359"/>
        <v/>
      </c>
      <c r="Y1126" s="152"/>
      <c r="Z1126" s="164" t="str">
        <f>IF(AND($C1125=12,$D1125=Input!$C$6),0,IF($E1126="","",V1126+Z1127/(1+L1126)*R1126))</f>
        <v/>
      </c>
      <c r="AA1126" s="164" t="str">
        <f>IF(OR($M1126=1,AND($C1125=12,$D1125=Input!$C$6)),0,IF($E1126="","",W1126+(X1126+AA1127*$R1126)/(1+$L1126)))</f>
        <v/>
      </c>
      <c r="AB1126" s="160" t="str">
        <f t="shared" si="360"/>
        <v/>
      </c>
      <c r="AC1126" s="164" t="str">
        <f t="shared" si="361"/>
        <v/>
      </c>
      <c r="AD1126" s="164" t="str">
        <f>IF(AND($C1125=12,$D1125=Input!$C$6),0,IF($E1126="","",$AC1126+AD1127/(1+$L1126)*$R1126))</f>
        <v/>
      </c>
      <c r="AE1126" s="152"/>
      <c r="AF1126" s="164" t="str">
        <f>IF(AND($C1125=12,$D1125=Input!$C$6),0,IF($E1126="","",IF($B1126&gt;Input!$C$9,$AC1126,0)+AF1127/(1+$L1126)*$R1126))</f>
        <v/>
      </c>
      <c r="AG1126" s="164" t="str">
        <f>IF(AND($C1125=12,$D1125=Input!$C$6),0,IF($E1126="","",(IF($B1126&gt;Input!$C$9,$X1126,0)+AG1127)/(1+$L1126)*$R1126))</f>
        <v/>
      </c>
      <c r="AH1126" s="160" t="str">
        <f t="shared" si="362"/>
        <v/>
      </c>
      <c r="AI1126" s="160" t="str">
        <f>IF($E1126="","",MIN(Input!$C$61/AH1126,1))</f>
        <v/>
      </c>
      <c r="AJ1126" s="152"/>
      <c r="AK1126" s="164" t="str">
        <f>IF(AND($C1125=12,$D1125=Input!$C$6),0,IF($E1126="","",IF($B1126&gt;Input!$C$9,$AC1126*AI1126,0)+AK1127/(1+$L1126)*$R1126))</f>
        <v/>
      </c>
      <c r="AL1126" s="164" t="str">
        <f>IF(AND($C1125=12,$D1125=Input!$C$6),0,IF($E1126="","",IF($B1126&gt;Input!$C$9,0,$AC1126)+AL1127/(1+$L1126)*$R1126))</f>
        <v/>
      </c>
      <c r="AM1126" s="160" t="str">
        <f t="shared" si="363"/>
        <v/>
      </c>
      <c r="AN1126" s="164" t="str">
        <f>IF($E1126="","",IF($B1126&gt;Input!$C$9,$AI1126*$AC1126,$AM1126*$AC1126))</f>
        <v/>
      </c>
      <c r="AO1126" s="164" t="str">
        <f>IF(AND($C1125=12,$D1125=Input!$C$6),0,IF($E1126="","",$AN1126+AO1127/(1+$L1126)*$R1126))</f>
        <v/>
      </c>
      <c r="AP1126" s="152"/>
      <c r="AQ1126" s="164" t="str">
        <f t="shared" si="364"/>
        <v/>
      </c>
      <c r="AR1126" s="164" t="str">
        <f t="shared" si="373"/>
        <v/>
      </c>
      <c r="AS1126" s="164" t="str">
        <f t="shared" si="374"/>
        <v/>
      </c>
      <c r="AT1126" s="164" t="str">
        <f t="shared" si="365"/>
        <v/>
      </c>
      <c r="AU1126" s="152"/>
      <c r="AV1126" s="147" t="str">
        <f>'Deterministic Reserve'!BC1126</f>
        <v/>
      </c>
      <c r="AW1126" s="164" t="str">
        <f t="shared" si="366"/>
        <v/>
      </c>
      <c r="AX1126" s="164" t="str">
        <f t="shared" si="367"/>
        <v/>
      </c>
      <c r="AY1126" s="152"/>
    </row>
    <row r="1127" spans="1:51" s="150" customFormat="1" x14ac:dyDescent="0.25">
      <c r="A1127" s="150" t="str">
        <f t="shared" si="375"/>
        <v/>
      </c>
      <c r="B1127" s="150" t="str">
        <f t="shared" si="376"/>
        <v/>
      </c>
      <c r="C1127" s="150" t="str">
        <f t="shared" si="377"/>
        <v/>
      </c>
      <c r="D1127" s="150" t="str">
        <f>IF(E1127="","",Input!$C$4+B1127-1)</f>
        <v/>
      </c>
      <c r="E1127" s="150" t="str">
        <f>IF(OR(AND(C1126=12,D1126=Input!$C$6),E1126=""),"",1)</f>
        <v/>
      </c>
      <c r="F1127" s="150" t="str">
        <f>IF(E1127="","",Input!$C$8+B1127-1)</f>
        <v/>
      </c>
      <c r="G1127" s="151" t="str">
        <f>IF(E1127="","",MAX(0,Input!$C$9-B1127))</f>
        <v/>
      </c>
      <c r="H1127" s="152" t="str">
        <f>IF(E1127="","",Input!$C$3)</f>
        <v/>
      </c>
      <c r="I1127" s="153" t="str">
        <f>IF(E1127="","",HLOOKUP($B1127,Input!$C$13:$BT$14,2))</f>
        <v/>
      </c>
      <c r="J1127" s="154"/>
      <c r="K1127" s="155" t="str">
        <f>IF($E1127="","",Input!$C$57)</f>
        <v/>
      </c>
      <c r="L1127" s="155" t="str">
        <f t="shared" si="368"/>
        <v/>
      </c>
      <c r="M1127" s="147" t="str">
        <f>IF($E1127="","",VLOOKUP(IF($B1127&lt;=Input!$C$7,$B1127,26),'Mortality Tables'!$A$72:$CA$97,IF($B1127&lt;=Input!$C$7+1,Input!$C$4-16,$D1127-Input!$C$7-16),0)/1000)</f>
        <v/>
      </c>
      <c r="N1127" s="147" t="str">
        <f t="shared" si="357"/>
        <v/>
      </c>
      <c r="O1127" s="157" t="str">
        <f>IF($E1127="","",IF($C1127=12,IF($B1127&lt;Input!$C$9,Input!$C$54,IF($B1127=Input!$C$9,Input!$C$55,Input!$C$56)),0%))</f>
        <v/>
      </c>
      <c r="P1127" s="167" t="str">
        <f>IF($E1127="","",IF($B1127=1,Input!$C$59,IF($B1127&lt;6,Input!$C$60,0%)))</f>
        <v/>
      </c>
      <c r="Q1127" s="162" t="str">
        <f>IF($E1127="","",Input!$C$58)</f>
        <v/>
      </c>
      <c r="R1127" s="156" t="str">
        <f t="shared" si="369"/>
        <v/>
      </c>
      <c r="S1127" s="154" t="str">
        <f t="shared" si="358"/>
        <v/>
      </c>
      <c r="T1127" s="152"/>
      <c r="U1127" s="150" t="str">
        <f t="shared" si="370"/>
        <v/>
      </c>
      <c r="V1127" s="150" t="str">
        <f t="shared" si="371"/>
        <v/>
      </c>
      <c r="W1127" s="168" t="str">
        <f t="shared" si="372"/>
        <v/>
      </c>
      <c r="X1127" s="163" t="str">
        <f t="shared" si="359"/>
        <v/>
      </c>
      <c r="Y1127" s="152"/>
      <c r="Z1127" s="164" t="str">
        <f>IF(AND($C1126=12,$D1126=Input!$C$6),0,IF($E1127="","",V1127+Z1128/(1+L1127)*R1127))</f>
        <v/>
      </c>
      <c r="AA1127" s="164" t="str">
        <f>IF(OR($M1127=1,AND($C1126=12,$D1126=Input!$C$6)),0,IF($E1127="","",W1127+(X1127+AA1128*$R1127)/(1+$L1127)))</f>
        <v/>
      </c>
      <c r="AB1127" s="160" t="str">
        <f t="shared" si="360"/>
        <v/>
      </c>
      <c r="AC1127" s="164" t="str">
        <f t="shared" si="361"/>
        <v/>
      </c>
      <c r="AD1127" s="164" t="str">
        <f>IF(AND($C1126=12,$D1126=Input!$C$6),0,IF($E1127="","",$AC1127+AD1128/(1+$L1127)*$R1127))</f>
        <v/>
      </c>
      <c r="AE1127" s="152"/>
      <c r="AF1127" s="164" t="str">
        <f>IF(AND($C1126=12,$D1126=Input!$C$6),0,IF($E1127="","",IF($B1127&gt;Input!$C$9,$AC1127,0)+AF1128/(1+$L1127)*$R1127))</f>
        <v/>
      </c>
      <c r="AG1127" s="164" t="str">
        <f>IF(AND($C1126=12,$D1126=Input!$C$6),0,IF($E1127="","",(IF($B1127&gt;Input!$C$9,$X1127,0)+AG1128)/(1+$L1127)*$R1127))</f>
        <v/>
      </c>
      <c r="AH1127" s="160" t="str">
        <f t="shared" si="362"/>
        <v/>
      </c>
      <c r="AI1127" s="160" t="str">
        <f>IF($E1127="","",MIN(Input!$C$61/AH1127,1))</f>
        <v/>
      </c>
      <c r="AJ1127" s="152"/>
      <c r="AK1127" s="164" t="str">
        <f>IF(AND($C1126=12,$D1126=Input!$C$6),0,IF($E1127="","",IF($B1127&gt;Input!$C$9,$AC1127*AI1127,0)+AK1128/(1+$L1127)*$R1127))</f>
        <v/>
      </c>
      <c r="AL1127" s="164" t="str">
        <f>IF(AND($C1126=12,$D1126=Input!$C$6),0,IF($E1127="","",IF($B1127&gt;Input!$C$9,0,$AC1127)+AL1128/(1+$L1127)*$R1127))</f>
        <v/>
      </c>
      <c r="AM1127" s="160" t="str">
        <f t="shared" si="363"/>
        <v/>
      </c>
      <c r="AN1127" s="164" t="str">
        <f>IF($E1127="","",IF($B1127&gt;Input!$C$9,$AI1127*$AC1127,$AM1127*$AC1127))</f>
        <v/>
      </c>
      <c r="AO1127" s="164" t="str">
        <f>IF(AND($C1126=12,$D1126=Input!$C$6),0,IF($E1127="","",$AN1127+AO1128/(1+$L1127)*$R1127))</f>
        <v/>
      </c>
      <c r="AP1127" s="152"/>
      <c r="AQ1127" s="164" t="str">
        <f t="shared" si="364"/>
        <v/>
      </c>
      <c r="AR1127" s="164" t="str">
        <f t="shared" si="373"/>
        <v/>
      </c>
      <c r="AS1127" s="164" t="str">
        <f t="shared" si="374"/>
        <v/>
      </c>
      <c r="AT1127" s="164" t="str">
        <f t="shared" si="365"/>
        <v/>
      </c>
      <c r="AU1127" s="152"/>
      <c r="AV1127" s="147" t="str">
        <f>'Deterministic Reserve'!BC1127</f>
        <v/>
      </c>
      <c r="AW1127" s="164" t="str">
        <f t="shared" si="366"/>
        <v/>
      </c>
      <c r="AX1127" s="164" t="str">
        <f t="shared" si="367"/>
        <v/>
      </c>
      <c r="AY1127" s="152"/>
    </row>
    <row r="1128" spans="1:51" s="150" customFormat="1" x14ac:dyDescent="0.25">
      <c r="A1128" s="150" t="str">
        <f t="shared" si="375"/>
        <v/>
      </c>
      <c r="B1128" s="150" t="str">
        <f t="shared" si="376"/>
        <v/>
      </c>
      <c r="C1128" s="150" t="str">
        <f t="shared" si="377"/>
        <v/>
      </c>
      <c r="D1128" s="150" t="str">
        <f>IF(E1128="","",Input!$C$4+B1128-1)</f>
        <v/>
      </c>
      <c r="E1128" s="150" t="str">
        <f>IF(OR(AND(C1127=12,D1127=Input!$C$6),E1127=""),"",1)</f>
        <v/>
      </c>
      <c r="F1128" s="150" t="str">
        <f>IF(E1128="","",Input!$C$8+B1128-1)</f>
        <v/>
      </c>
      <c r="G1128" s="151" t="str">
        <f>IF(E1128="","",MAX(0,Input!$C$9-B1128))</f>
        <v/>
      </c>
      <c r="H1128" s="152" t="str">
        <f>IF(E1128="","",Input!$C$3)</f>
        <v/>
      </c>
      <c r="I1128" s="153" t="str">
        <f>IF(E1128="","",HLOOKUP($B1128,Input!$C$13:$BT$14,2))</f>
        <v/>
      </c>
      <c r="J1128" s="154"/>
      <c r="K1128" s="155" t="str">
        <f>IF($E1128="","",Input!$C$57)</f>
        <v/>
      </c>
      <c r="L1128" s="155" t="str">
        <f t="shared" si="368"/>
        <v/>
      </c>
      <c r="M1128" s="147" t="str">
        <f>IF($E1128="","",VLOOKUP(IF($B1128&lt;=Input!$C$7,$B1128,26),'Mortality Tables'!$A$72:$CA$97,IF($B1128&lt;=Input!$C$7+1,Input!$C$4-16,$D1128-Input!$C$7-16),0)/1000)</f>
        <v/>
      </c>
      <c r="N1128" s="147" t="str">
        <f t="shared" si="357"/>
        <v/>
      </c>
      <c r="O1128" s="157" t="str">
        <f>IF($E1128="","",IF($C1128=12,IF($B1128&lt;Input!$C$9,Input!$C$54,IF($B1128=Input!$C$9,Input!$C$55,Input!$C$56)),0%))</f>
        <v/>
      </c>
      <c r="P1128" s="167" t="str">
        <f>IF($E1128="","",IF($B1128=1,Input!$C$59,IF($B1128&lt;6,Input!$C$60,0%)))</f>
        <v/>
      </c>
      <c r="Q1128" s="162" t="str">
        <f>IF($E1128="","",Input!$C$58)</f>
        <v/>
      </c>
      <c r="R1128" s="156" t="str">
        <f t="shared" si="369"/>
        <v/>
      </c>
      <c r="S1128" s="154" t="str">
        <f t="shared" si="358"/>
        <v/>
      </c>
      <c r="T1128" s="152"/>
      <c r="U1128" s="150" t="str">
        <f t="shared" si="370"/>
        <v/>
      </c>
      <c r="V1128" s="150" t="str">
        <f t="shared" si="371"/>
        <v/>
      </c>
      <c r="W1128" s="168" t="str">
        <f t="shared" si="372"/>
        <v/>
      </c>
      <c r="X1128" s="163" t="str">
        <f t="shared" si="359"/>
        <v/>
      </c>
      <c r="Y1128" s="152"/>
      <c r="Z1128" s="164" t="str">
        <f>IF(AND($C1127=12,$D1127=Input!$C$6),0,IF($E1128="","",V1128+Z1129/(1+L1128)*R1128))</f>
        <v/>
      </c>
      <c r="AA1128" s="164" t="str">
        <f>IF(OR($M1128=1,AND($C1127=12,$D1127=Input!$C$6)),0,IF($E1128="","",W1128+(X1128+AA1129*$R1128)/(1+$L1128)))</f>
        <v/>
      </c>
      <c r="AB1128" s="160" t="str">
        <f t="shared" si="360"/>
        <v/>
      </c>
      <c r="AC1128" s="164" t="str">
        <f t="shared" si="361"/>
        <v/>
      </c>
      <c r="AD1128" s="164" t="str">
        <f>IF(AND($C1127=12,$D1127=Input!$C$6),0,IF($E1128="","",$AC1128+AD1129/(1+$L1128)*$R1128))</f>
        <v/>
      </c>
      <c r="AE1128" s="152"/>
      <c r="AF1128" s="164" t="str">
        <f>IF(AND($C1127=12,$D1127=Input!$C$6),0,IF($E1128="","",IF($B1128&gt;Input!$C$9,$AC1128,0)+AF1129/(1+$L1128)*$R1128))</f>
        <v/>
      </c>
      <c r="AG1128" s="164" t="str">
        <f>IF(AND($C1127=12,$D1127=Input!$C$6),0,IF($E1128="","",(IF($B1128&gt;Input!$C$9,$X1128,0)+AG1129)/(1+$L1128)*$R1128))</f>
        <v/>
      </c>
      <c r="AH1128" s="160" t="str">
        <f t="shared" si="362"/>
        <v/>
      </c>
      <c r="AI1128" s="160" t="str">
        <f>IF($E1128="","",MIN(Input!$C$61/AH1128,1))</f>
        <v/>
      </c>
      <c r="AJ1128" s="152"/>
      <c r="AK1128" s="164" t="str">
        <f>IF(AND($C1127=12,$D1127=Input!$C$6),0,IF($E1128="","",IF($B1128&gt;Input!$C$9,$AC1128*AI1128,0)+AK1129/(1+$L1128)*$R1128))</f>
        <v/>
      </c>
      <c r="AL1128" s="164" t="str">
        <f>IF(AND($C1127=12,$D1127=Input!$C$6),0,IF($E1128="","",IF($B1128&gt;Input!$C$9,0,$AC1128)+AL1129/(1+$L1128)*$R1128))</f>
        <v/>
      </c>
      <c r="AM1128" s="160" t="str">
        <f t="shared" si="363"/>
        <v/>
      </c>
      <c r="AN1128" s="164" t="str">
        <f>IF($E1128="","",IF($B1128&gt;Input!$C$9,$AI1128*$AC1128,$AM1128*$AC1128))</f>
        <v/>
      </c>
      <c r="AO1128" s="164" t="str">
        <f>IF(AND($C1127=12,$D1127=Input!$C$6),0,IF($E1128="","",$AN1128+AO1129/(1+$L1128)*$R1128))</f>
        <v/>
      </c>
      <c r="AP1128" s="152"/>
      <c r="AQ1128" s="164" t="str">
        <f t="shared" si="364"/>
        <v/>
      </c>
      <c r="AR1128" s="164" t="str">
        <f t="shared" si="373"/>
        <v/>
      </c>
      <c r="AS1128" s="164" t="str">
        <f t="shared" si="374"/>
        <v/>
      </c>
      <c r="AT1128" s="164" t="str">
        <f t="shared" si="365"/>
        <v/>
      </c>
      <c r="AU1128" s="152"/>
      <c r="AV1128" s="147" t="str">
        <f>'Deterministic Reserve'!BC1128</f>
        <v/>
      </c>
      <c r="AW1128" s="164" t="str">
        <f t="shared" si="366"/>
        <v/>
      </c>
      <c r="AX1128" s="164" t="str">
        <f t="shared" si="367"/>
        <v/>
      </c>
      <c r="AY1128" s="152"/>
    </row>
    <row r="1129" spans="1:51" s="150" customFormat="1" x14ac:dyDescent="0.25">
      <c r="A1129" s="150" t="str">
        <f t="shared" si="375"/>
        <v/>
      </c>
      <c r="B1129" s="150" t="str">
        <f t="shared" si="376"/>
        <v/>
      </c>
      <c r="C1129" s="150" t="str">
        <f t="shared" si="377"/>
        <v/>
      </c>
      <c r="D1129" s="150" t="str">
        <f>IF(E1129="","",Input!$C$4+B1129-1)</f>
        <v/>
      </c>
      <c r="E1129" s="150" t="str">
        <f>IF(OR(AND(C1128=12,D1128=Input!$C$6),E1128=""),"",1)</f>
        <v/>
      </c>
      <c r="F1129" s="150" t="str">
        <f>IF(E1129="","",Input!$C$8+B1129-1)</f>
        <v/>
      </c>
      <c r="G1129" s="151" t="str">
        <f>IF(E1129="","",MAX(0,Input!$C$9-B1129))</f>
        <v/>
      </c>
      <c r="H1129" s="152" t="str">
        <f>IF(E1129="","",Input!$C$3)</f>
        <v/>
      </c>
      <c r="I1129" s="153" t="str">
        <f>IF(E1129="","",HLOOKUP($B1129,Input!$C$13:$BT$14,2))</f>
        <v/>
      </c>
      <c r="J1129" s="154"/>
      <c r="K1129" s="155" t="str">
        <f>IF($E1129="","",Input!$C$57)</f>
        <v/>
      </c>
      <c r="L1129" s="155" t="str">
        <f t="shared" si="368"/>
        <v/>
      </c>
      <c r="M1129" s="147" t="str">
        <f>IF($E1129="","",VLOOKUP(IF($B1129&lt;=Input!$C$7,$B1129,26),'Mortality Tables'!$A$72:$CA$97,IF($B1129&lt;=Input!$C$7+1,Input!$C$4-16,$D1129-Input!$C$7-16),0)/1000)</f>
        <v/>
      </c>
      <c r="N1129" s="147" t="str">
        <f t="shared" si="357"/>
        <v/>
      </c>
      <c r="O1129" s="157" t="str">
        <f>IF($E1129="","",IF($C1129=12,IF($B1129&lt;Input!$C$9,Input!$C$54,IF($B1129=Input!$C$9,Input!$C$55,Input!$C$56)),0%))</f>
        <v/>
      </c>
      <c r="P1129" s="167" t="str">
        <f>IF($E1129="","",IF($B1129=1,Input!$C$59,IF($B1129&lt;6,Input!$C$60,0%)))</f>
        <v/>
      </c>
      <c r="Q1129" s="162" t="str">
        <f>IF($E1129="","",Input!$C$58)</f>
        <v/>
      </c>
      <c r="R1129" s="156" t="str">
        <f t="shared" si="369"/>
        <v/>
      </c>
      <c r="S1129" s="154" t="str">
        <f t="shared" si="358"/>
        <v/>
      </c>
      <c r="T1129" s="152"/>
      <c r="U1129" s="150" t="str">
        <f t="shared" si="370"/>
        <v/>
      </c>
      <c r="V1129" s="150" t="str">
        <f t="shared" si="371"/>
        <v/>
      </c>
      <c r="W1129" s="168" t="str">
        <f t="shared" si="372"/>
        <v/>
      </c>
      <c r="X1129" s="163" t="str">
        <f t="shared" si="359"/>
        <v/>
      </c>
      <c r="Y1129" s="152"/>
      <c r="Z1129" s="164" t="str">
        <f>IF(AND($C1128=12,$D1128=Input!$C$6),0,IF($E1129="","",V1129+Z1130/(1+L1129)*R1129))</f>
        <v/>
      </c>
      <c r="AA1129" s="164" t="str">
        <f>IF(OR($M1129=1,AND($C1128=12,$D1128=Input!$C$6)),0,IF($E1129="","",W1129+(X1129+AA1130*$R1129)/(1+$L1129)))</f>
        <v/>
      </c>
      <c r="AB1129" s="160" t="str">
        <f t="shared" si="360"/>
        <v/>
      </c>
      <c r="AC1129" s="164" t="str">
        <f t="shared" si="361"/>
        <v/>
      </c>
      <c r="AD1129" s="164" t="str">
        <f>IF(AND($C1128=12,$D1128=Input!$C$6),0,IF($E1129="","",$AC1129+AD1130/(1+$L1129)*$R1129))</f>
        <v/>
      </c>
      <c r="AE1129" s="152"/>
      <c r="AF1129" s="164" t="str">
        <f>IF(AND($C1128=12,$D1128=Input!$C$6),0,IF($E1129="","",IF($B1129&gt;Input!$C$9,$AC1129,0)+AF1130/(1+$L1129)*$R1129))</f>
        <v/>
      </c>
      <c r="AG1129" s="164" t="str">
        <f>IF(AND($C1128=12,$D1128=Input!$C$6),0,IF($E1129="","",(IF($B1129&gt;Input!$C$9,$X1129,0)+AG1130)/(1+$L1129)*$R1129))</f>
        <v/>
      </c>
      <c r="AH1129" s="160" t="str">
        <f t="shared" si="362"/>
        <v/>
      </c>
      <c r="AI1129" s="160" t="str">
        <f>IF($E1129="","",MIN(Input!$C$61/AH1129,1))</f>
        <v/>
      </c>
      <c r="AJ1129" s="152"/>
      <c r="AK1129" s="164" t="str">
        <f>IF(AND($C1128=12,$D1128=Input!$C$6),0,IF($E1129="","",IF($B1129&gt;Input!$C$9,$AC1129*AI1129,0)+AK1130/(1+$L1129)*$R1129))</f>
        <v/>
      </c>
      <c r="AL1129" s="164" t="str">
        <f>IF(AND($C1128=12,$D1128=Input!$C$6),0,IF($E1129="","",IF($B1129&gt;Input!$C$9,0,$AC1129)+AL1130/(1+$L1129)*$R1129))</f>
        <v/>
      </c>
      <c r="AM1129" s="160" t="str">
        <f t="shared" si="363"/>
        <v/>
      </c>
      <c r="AN1129" s="164" t="str">
        <f>IF($E1129="","",IF($B1129&gt;Input!$C$9,$AI1129*$AC1129,$AM1129*$AC1129))</f>
        <v/>
      </c>
      <c r="AO1129" s="164" t="str">
        <f>IF(AND($C1128=12,$D1128=Input!$C$6),0,IF($E1129="","",$AN1129+AO1130/(1+$L1129)*$R1129))</f>
        <v/>
      </c>
      <c r="AP1129" s="152"/>
      <c r="AQ1129" s="164" t="str">
        <f t="shared" si="364"/>
        <v/>
      </c>
      <c r="AR1129" s="164" t="str">
        <f t="shared" si="373"/>
        <v/>
      </c>
      <c r="AS1129" s="164" t="str">
        <f t="shared" si="374"/>
        <v/>
      </c>
      <c r="AT1129" s="164" t="str">
        <f t="shared" si="365"/>
        <v/>
      </c>
      <c r="AU1129" s="152"/>
      <c r="AV1129" s="147" t="str">
        <f>'Deterministic Reserve'!BC1129</f>
        <v/>
      </c>
      <c r="AW1129" s="164" t="str">
        <f t="shared" si="366"/>
        <v/>
      </c>
      <c r="AX1129" s="164" t="str">
        <f t="shared" si="367"/>
        <v/>
      </c>
      <c r="AY1129" s="152"/>
    </row>
    <row r="1130" spans="1:51" s="150" customFormat="1" x14ac:dyDescent="0.25">
      <c r="A1130" s="150" t="str">
        <f t="shared" si="375"/>
        <v/>
      </c>
      <c r="B1130" s="150" t="str">
        <f t="shared" si="376"/>
        <v/>
      </c>
      <c r="C1130" s="150" t="str">
        <f t="shared" si="377"/>
        <v/>
      </c>
      <c r="D1130" s="150" t="str">
        <f>IF(E1130="","",Input!$C$4+B1130-1)</f>
        <v/>
      </c>
      <c r="E1130" s="150" t="str">
        <f>IF(OR(AND(C1129=12,D1129=Input!$C$6),E1129=""),"",1)</f>
        <v/>
      </c>
      <c r="F1130" s="150" t="str">
        <f>IF(E1130="","",Input!$C$8+B1130-1)</f>
        <v/>
      </c>
      <c r="G1130" s="151" t="str">
        <f>IF(E1130="","",MAX(0,Input!$C$9-B1130))</f>
        <v/>
      </c>
      <c r="H1130" s="152" t="str">
        <f>IF(E1130="","",Input!$C$3)</f>
        <v/>
      </c>
      <c r="I1130" s="153" t="str">
        <f>IF(E1130="","",HLOOKUP($B1130,Input!$C$13:$BT$14,2))</f>
        <v/>
      </c>
      <c r="J1130" s="154"/>
      <c r="K1130" s="155" t="str">
        <f>IF($E1130="","",Input!$C$57)</f>
        <v/>
      </c>
      <c r="L1130" s="155" t="str">
        <f t="shared" si="368"/>
        <v/>
      </c>
      <c r="M1130" s="147" t="str">
        <f>IF($E1130="","",VLOOKUP(IF($B1130&lt;=Input!$C$7,$B1130,26),'Mortality Tables'!$A$72:$CA$97,IF($B1130&lt;=Input!$C$7+1,Input!$C$4-16,$D1130-Input!$C$7-16),0)/1000)</f>
        <v/>
      </c>
      <c r="N1130" s="147" t="str">
        <f t="shared" si="357"/>
        <v/>
      </c>
      <c r="O1130" s="157" t="str">
        <f>IF($E1130="","",IF($C1130=12,IF($B1130&lt;Input!$C$9,Input!$C$54,IF($B1130=Input!$C$9,Input!$C$55,Input!$C$56)),0%))</f>
        <v/>
      </c>
      <c r="P1130" s="167" t="str">
        <f>IF($E1130="","",IF($B1130=1,Input!$C$59,IF($B1130&lt;6,Input!$C$60,0%)))</f>
        <v/>
      </c>
      <c r="Q1130" s="162" t="str">
        <f>IF($E1130="","",Input!$C$58)</f>
        <v/>
      </c>
      <c r="R1130" s="156" t="str">
        <f t="shared" si="369"/>
        <v/>
      </c>
      <c r="S1130" s="154" t="str">
        <f t="shared" si="358"/>
        <v/>
      </c>
      <c r="T1130" s="152"/>
      <c r="U1130" s="150" t="str">
        <f t="shared" si="370"/>
        <v/>
      </c>
      <c r="V1130" s="150" t="str">
        <f t="shared" si="371"/>
        <v/>
      </c>
      <c r="W1130" s="168" t="str">
        <f t="shared" si="372"/>
        <v/>
      </c>
      <c r="X1130" s="163" t="str">
        <f t="shared" si="359"/>
        <v/>
      </c>
      <c r="Y1130" s="152"/>
      <c r="Z1130" s="164" t="str">
        <f>IF(AND($C1129=12,$D1129=Input!$C$6),0,IF($E1130="","",V1130+Z1131/(1+L1130)*R1130))</f>
        <v/>
      </c>
      <c r="AA1130" s="164" t="str">
        <f>IF(OR($M1130=1,AND($C1129=12,$D1129=Input!$C$6)),0,IF($E1130="","",W1130+(X1130+AA1131*$R1130)/(1+$L1130)))</f>
        <v/>
      </c>
      <c r="AB1130" s="160" t="str">
        <f t="shared" si="360"/>
        <v/>
      </c>
      <c r="AC1130" s="164" t="str">
        <f t="shared" si="361"/>
        <v/>
      </c>
      <c r="AD1130" s="164" t="str">
        <f>IF(AND($C1129=12,$D1129=Input!$C$6),0,IF($E1130="","",$AC1130+AD1131/(1+$L1130)*$R1130))</f>
        <v/>
      </c>
      <c r="AE1130" s="152"/>
      <c r="AF1130" s="164" t="str">
        <f>IF(AND($C1129=12,$D1129=Input!$C$6),0,IF($E1130="","",IF($B1130&gt;Input!$C$9,$AC1130,0)+AF1131/(1+$L1130)*$R1130))</f>
        <v/>
      </c>
      <c r="AG1130" s="164" t="str">
        <f>IF(AND($C1129=12,$D1129=Input!$C$6),0,IF($E1130="","",(IF($B1130&gt;Input!$C$9,$X1130,0)+AG1131)/(1+$L1130)*$R1130))</f>
        <v/>
      </c>
      <c r="AH1130" s="160" t="str">
        <f t="shared" si="362"/>
        <v/>
      </c>
      <c r="AI1130" s="160" t="str">
        <f>IF($E1130="","",MIN(Input!$C$61/AH1130,1))</f>
        <v/>
      </c>
      <c r="AJ1130" s="152"/>
      <c r="AK1130" s="164" t="str">
        <f>IF(AND($C1129=12,$D1129=Input!$C$6),0,IF($E1130="","",IF($B1130&gt;Input!$C$9,$AC1130*AI1130,0)+AK1131/(1+$L1130)*$R1130))</f>
        <v/>
      </c>
      <c r="AL1130" s="164" t="str">
        <f>IF(AND($C1129=12,$D1129=Input!$C$6),0,IF($E1130="","",IF($B1130&gt;Input!$C$9,0,$AC1130)+AL1131/(1+$L1130)*$R1130))</f>
        <v/>
      </c>
      <c r="AM1130" s="160" t="str">
        <f t="shared" si="363"/>
        <v/>
      </c>
      <c r="AN1130" s="164" t="str">
        <f>IF($E1130="","",IF($B1130&gt;Input!$C$9,$AI1130*$AC1130,$AM1130*$AC1130))</f>
        <v/>
      </c>
      <c r="AO1130" s="164" t="str">
        <f>IF(AND($C1129=12,$D1129=Input!$C$6),0,IF($E1130="","",$AN1130+AO1131/(1+$L1130)*$R1130))</f>
        <v/>
      </c>
      <c r="AP1130" s="152"/>
      <c r="AQ1130" s="164" t="str">
        <f t="shared" si="364"/>
        <v/>
      </c>
      <c r="AR1130" s="164" t="str">
        <f t="shared" si="373"/>
        <v/>
      </c>
      <c r="AS1130" s="164" t="str">
        <f t="shared" si="374"/>
        <v/>
      </c>
      <c r="AT1130" s="164" t="str">
        <f t="shared" si="365"/>
        <v/>
      </c>
      <c r="AU1130" s="152"/>
      <c r="AV1130" s="147" t="str">
        <f>'Deterministic Reserve'!BC1130</f>
        <v/>
      </c>
      <c r="AW1130" s="164" t="str">
        <f t="shared" si="366"/>
        <v/>
      </c>
      <c r="AX1130" s="164" t="str">
        <f t="shared" si="367"/>
        <v/>
      </c>
      <c r="AY1130" s="152"/>
    </row>
    <row r="1131" spans="1:51" s="150" customFormat="1" x14ac:dyDescent="0.25">
      <c r="A1131" s="150" t="str">
        <f t="shared" si="375"/>
        <v/>
      </c>
      <c r="B1131" s="150" t="str">
        <f t="shared" si="376"/>
        <v/>
      </c>
      <c r="C1131" s="150" t="str">
        <f t="shared" si="377"/>
        <v/>
      </c>
      <c r="D1131" s="150" t="str">
        <f>IF(E1131="","",Input!$C$4+B1131-1)</f>
        <v/>
      </c>
      <c r="E1131" s="150" t="str">
        <f>IF(OR(AND(C1130=12,D1130=Input!$C$6),E1130=""),"",1)</f>
        <v/>
      </c>
      <c r="F1131" s="150" t="str">
        <f>IF(E1131="","",Input!$C$8+B1131-1)</f>
        <v/>
      </c>
      <c r="G1131" s="151" t="str">
        <f>IF(E1131="","",MAX(0,Input!$C$9-B1131))</f>
        <v/>
      </c>
      <c r="H1131" s="152" t="str">
        <f>IF(E1131="","",Input!$C$3)</f>
        <v/>
      </c>
      <c r="I1131" s="153" t="str">
        <f>IF(E1131="","",HLOOKUP($B1131,Input!$C$13:$BT$14,2))</f>
        <v/>
      </c>
      <c r="J1131" s="154"/>
      <c r="K1131" s="155" t="str">
        <f>IF($E1131="","",Input!$C$57)</f>
        <v/>
      </c>
      <c r="L1131" s="155" t="str">
        <f t="shared" si="368"/>
        <v/>
      </c>
      <c r="M1131" s="147" t="str">
        <f>IF($E1131="","",VLOOKUP(IF($B1131&lt;=Input!$C$7,$B1131,26),'Mortality Tables'!$A$72:$CA$97,IF($B1131&lt;=Input!$C$7+1,Input!$C$4-16,$D1131-Input!$C$7-16),0)/1000)</f>
        <v/>
      </c>
      <c r="N1131" s="147" t="str">
        <f t="shared" si="357"/>
        <v/>
      </c>
      <c r="O1131" s="157" t="str">
        <f>IF($E1131="","",IF($C1131=12,IF($B1131&lt;Input!$C$9,Input!$C$54,IF($B1131=Input!$C$9,Input!$C$55,Input!$C$56)),0%))</f>
        <v/>
      </c>
      <c r="P1131" s="167" t="str">
        <f>IF($E1131="","",IF($B1131=1,Input!$C$59,IF($B1131&lt;6,Input!$C$60,0%)))</f>
        <v/>
      </c>
      <c r="Q1131" s="162" t="str">
        <f>IF($E1131="","",Input!$C$58)</f>
        <v/>
      </c>
      <c r="R1131" s="156" t="str">
        <f t="shared" si="369"/>
        <v/>
      </c>
      <c r="S1131" s="154" t="str">
        <f t="shared" si="358"/>
        <v/>
      </c>
      <c r="T1131" s="152"/>
      <c r="U1131" s="150" t="str">
        <f t="shared" si="370"/>
        <v/>
      </c>
      <c r="V1131" s="150" t="str">
        <f t="shared" si="371"/>
        <v/>
      </c>
      <c r="W1131" s="168" t="str">
        <f t="shared" si="372"/>
        <v/>
      </c>
      <c r="X1131" s="163" t="str">
        <f t="shared" si="359"/>
        <v/>
      </c>
      <c r="Y1131" s="152"/>
      <c r="Z1131" s="164" t="str">
        <f>IF(AND($C1130=12,$D1130=Input!$C$6),0,IF($E1131="","",V1131+Z1132/(1+L1131)*R1131))</f>
        <v/>
      </c>
      <c r="AA1131" s="164" t="str">
        <f>IF(OR($M1131=1,AND($C1130=12,$D1130=Input!$C$6)),0,IF($E1131="","",W1131+(X1131+AA1132*$R1131)/(1+$L1131)))</f>
        <v/>
      </c>
      <c r="AB1131" s="160" t="str">
        <f t="shared" si="360"/>
        <v/>
      </c>
      <c r="AC1131" s="164" t="str">
        <f t="shared" si="361"/>
        <v/>
      </c>
      <c r="AD1131" s="164" t="str">
        <f>IF(AND($C1130=12,$D1130=Input!$C$6),0,IF($E1131="","",$AC1131+AD1132/(1+$L1131)*$R1131))</f>
        <v/>
      </c>
      <c r="AE1131" s="152"/>
      <c r="AF1131" s="164" t="str">
        <f>IF(AND($C1130=12,$D1130=Input!$C$6),0,IF($E1131="","",IF($B1131&gt;Input!$C$9,$AC1131,0)+AF1132/(1+$L1131)*$R1131))</f>
        <v/>
      </c>
      <c r="AG1131" s="164" t="str">
        <f>IF(AND($C1130=12,$D1130=Input!$C$6),0,IF($E1131="","",(IF($B1131&gt;Input!$C$9,$X1131,0)+AG1132)/(1+$L1131)*$R1131))</f>
        <v/>
      </c>
      <c r="AH1131" s="160" t="str">
        <f t="shared" si="362"/>
        <v/>
      </c>
      <c r="AI1131" s="160" t="str">
        <f>IF($E1131="","",MIN(Input!$C$61/AH1131,1))</f>
        <v/>
      </c>
      <c r="AJ1131" s="152"/>
      <c r="AK1131" s="164" t="str">
        <f>IF(AND($C1130=12,$D1130=Input!$C$6),0,IF($E1131="","",IF($B1131&gt;Input!$C$9,$AC1131*AI1131,0)+AK1132/(1+$L1131)*$R1131))</f>
        <v/>
      </c>
      <c r="AL1131" s="164" t="str">
        <f>IF(AND($C1130=12,$D1130=Input!$C$6),0,IF($E1131="","",IF($B1131&gt;Input!$C$9,0,$AC1131)+AL1132/(1+$L1131)*$R1131))</f>
        <v/>
      </c>
      <c r="AM1131" s="160" t="str">
        <f t="shared" si="363"/>
        <v/>
      </c>
      <c r="AN1131" s="164" t="str">
        <f>IF($E1131="","",IF($B1131&gt;Input!$C$9,$AI1131*$AC1131,$AM1131*$AC1131))</f>
        <v/>
      </c>
      <c r="AO1131" s="164" t="str">
        <f>IF(AND($C1130=12,$D1130=Input!$C$6),0,IF($E1131="","",$AN1131+AO1132/(1+$L1131)*$R1131))</f>
        <v/>
      </c>
      <c r="AP1131" s="152"/>
      <c r="AQ1131" s="164" t="str">
        <f t="shared" si="364"/>
        <v/>
      </c>
      <c r="AR1131" s="164" t="str">
        <f t="shared" si="373"/>
        <v/>
      </c>
      <c r="AS1131" s="164" t="str">
        <f t="shared" si="374"/>
        <v/>
      </c>
      <c r="AT1131" s="164" t="str">
        <f t="shared" si="365"/>
        <v/>
      </c>
      <c r="AU1131" s="152"/>
      <c r="AV1131" s="147" t="str">
        <f>'Deterministic Reserve'!BC1131</f>
        <v/>
      </c>
      <c r="AW1131" s="164" t="str">
        <f t="shared" si="366"/>
        <v/>
      </c>
      <c r="AX1131" s="164" t="str">
        <f t="shared" si="367"/>
        <v/>
      </c>
      <c r="AY1131" s="152"/>
    </row>
    <row r="1132" spans="1:51" s="150" customFormat="1" x14ac:dyDescent="0.25">
      <c r="A1132" s="150" t="str">
        <f t="shared" si="375"/>
        <v/>
      </c>
      <c r="B1132" s="150" t="str">
        <f t="shared" si="376"/>
        <v/>
      </c>
      <c r="C1132" s="150" t="str">
        <f t="shared" si="377"/>
        <v/>
      </c>
      <c r="D1132" s="150" t="str">
        <f>IF(E1132="","",Input!$C$4+B1132-1)</f>
        <v/>
      </c>
      <c r="E1132" s="150" t="str">
        <f>IF(OR(AND(C1131=12,D1131=Input!$C$6),E1131=""),"",1)</f>
        <v/>
      </c>
      <c r="F1132" s="150" t="str">
        <f>IF(E1132="","",Input!$C$8+B1132-1)</f>
        <v/>
      </c>
      <c r="G1132" s="151" t="str">
        <f>IF(E1132="","",MAX(0,Input!$C$9-B1132))</f>
        <v/>
      </c>
      <c r="H1132" s="152" t="str">
        <f>IF(E1132="","",Input!$C$3)</f>
        <v/>
      </c>
      <c r="I1132" s="153" t="str">
        <f>IF(E1132="","",HLOOKUP($B1132,Input!$C$13:$BT$14,2))</f>
        <v/>
      </c>
      <c r="J1132" s="154"/>
      <c r="K1132" s="155" t="str">
        <f>IF($E1132="","",Input!$C$57)</f>
        <v/>
      </c>
      <c r="L1132" s="155" t="str">
        <f t="shared" si="368"/>
        <v/>
      </c>
      <c r="M1132" s="147" t="str">
        <f>IF($E1132="","",VLOOKUP(IF($B1132&lt;=Input!$C$7,$B1132,26),'Mortality Tables'!$A$72:$CA$97,IF($B1132&lt;=Input!$C$7+1,Input!$C$4-16,$D1132-Input!$C$7-16),0)/1000)</f>
        <v/>
      </c>
      <c r="N1132" s="147" t="str">
        <f t="shared" si="357"/>
        <v/>
      </c>
      <c r="O1132" s="157" t="str">
        <f>IF($E1132="","",IF($C1132=12,IF($B1132&lt;Input!$C$9,Input!$C$54,IF($B1132=Input!$C$9,Input!$C$55,Input!$C$56)),0%))</f>
        <v/>
      </c>
      <c r="P1132" s="167" t="str">
        <f>IF($E1132="","",IF($B1132=1,Input!$C$59,IF($B1132&lt;6,Input!$C$60,0%)))</f>
        <v/>
      </c>
      <c r="Q1132" s="162" t="str">
        <f>IF($E1132="","",Input!$C$58)</f>
        <v/>
      </c>
      <c r="R1132" s="156" t="str">
        <f t="shared" si="369"/>
        <v/>
      </c>
      <c r="S1132" s="154" t="str">
        <f t="shared" si="358"/>
        <v/>
      </c>
      <c r="T1132" s="152"/>
      <c r="U1132" s="150" t="str">
        <f t="shared" si="370"/>
        <v/>
      </c>
      <c r="V1132" s="150" t="str">
        <f t="shared" si="371"/>
        <v/>
      </c>
      <c r="W1132" s="168" t="str">
        <f t="shared" si="372"/>
        <v/>
      </c>
      <c r="X1132" s="163" t="str">
        <f t="shared" si="359"/>
        <v/>
      </c>
      <c r="Y1132" s="152"/>
      <c r="Z1132" s="164" t="str">
        <f>IF(AND($C1131=12,$D1131=Input!$C$6),0,IF($E1132="","",V1132+Z1133/(1+L1132)*R1132))</f>
        <v/>
      </c>
      <c r="AA1132" s="164" t="str">
        <f>IF(OR($M1132=1,AND($C1131=12,$D1131=Input!$C$6)),0,IF($E1132="","",W1132+(X1132+AA1133*$R1132)/(1+$L1132)))</f>
        <v/>
      </c>
      <c r="AB1132" s="160" t="str">
        <f t="shared" si="360"/>
        <v/>
      </c>
      <c r="AC1132" s="164" t="str">
        <f t="shared" si="361"/>
        <v/>
      </c>
      <c r="AD1132" s="164" t="str">
        <f>IF(AND($C1131=12,$D1131=Input!$C$6),0,IF($E1132="","",$AC1132+AD1133/(1+$L1132)*$R1132))</f>
        <v/>
      </c>
      <c r="AE1132" s="152"/>
      <c r="AF1132" s="164" t="str">
        <f>IF(AND($C1131=12,$D1131=Input!$C$6),0,IF($E1132="","",IF($B1132&gt;Input!$C$9,$AC1132,0)+AF1133/(1+$L1132)*$R1132))</f>
        <v/>
      </c>
      <c r="AG1132" s="164" t="str">
        <f>IF(AND($C1131=12,$D1131=Input!$C$6),0,IF($E1132="","",(IF($B1132&gt;Input!$C$9,$X1132,0)+AG1133)/(1+$L1132)*$R1132))</f>
        <v/>
      </c>
      <c r="AH1132" s="160" t="str">
        <f t="shared" si="362"/>
        <v/>
      </c>
      <c r="AI1132" s="160" t="str">
        <f>IF($E1132="","",MIN(Input!$C$61/AH1132,1))</f>
        <v/>
      </c>
      <c r="AJ1132" s="152"/>
      <c r="AK1132" s="164" t="str">
        <f>IF(AND($C1131=12,$D1131=Input!$C$6),0,IF($E1132="","",IF($B1132&gt;Input!$C$9,$AC1132*AI1132,0)+AK1133/(1+$L1132)*$R1132))</f>
        <v/>
      </c>
      <c r="AL1132" s="164" t="str">
        <f>IF(AND($C1131=12,$D1131=Input!$C$6),0,IF($E1132="","",IF($B1132&gt;Input!$C$9,0,$AC1132)+AL1133/(1+$L1132)*$R1132))</f>
        <v/>
      </c>
      <c r="AM1132" s="160" t="str">
        <f t="shared" si="363"/>
        <v/>
      </c>
      <c r="AN1132" s="164" t="str">
        <f>IF($E1132="","",IF($B1132&gt;Input!$C$9,$AI1132*$AC1132,$AM1132*$AC1132))</f>
        <v/>
      </c>
      <c r="AO1132" s="164" t="str">
        <f>IF(AND($C1131=12,$D1131=Input!$C$6),0,IF($E1132="","",$AN1132+AO1133/(1+$L1132)*$R1132))</f>
        <v/>
      </c>
      <c r="AP1132" s="152"/>
      <c r="AQ1132" s="164" t="str">
        <f t="shared" si="364"/>
        <v/>
      </c>
      <c r="AR1132" s="164" t="str">
        <f t="shared" si="373"/>
        <v/>
      </c>
      <c r="AS1132" s="164" t="str">
        <f t="shared" si="374"/>
        <v/>
      </c>
      <c r="AT1132" s="164" t="str">
        <f t="shared" si="365"/>
        <v/>
      </c>
      <c r="AU1132" s="152"/>
      <c r="AV1132" s="147" t="str">
        <f>'Deterministic Reserve'!BC1132</f>
        <v/>
      </c>
      <c r="AW1132" s="164" t="str">
        <f t="shared" si="366"/>
        <v/>
      </c>
      <c r="AX1132" s="164" t="str">
        <f t="shared" si="367"/>
        <v/>
      </c>
      <c r="AY1132" s="152"/>
    </row>
    <row r="1133" spans="1:51" s="150" customFormat="1" x14ac:dyDescent="0.25">
      <c r="A1133" s="150" t="str">
        <f t="shared" si="375"/>
        <v/>
      </c>
      <c r="B1133" s="150" t="str">
        <f t="shared" si="376"/>
        <v/>
      </c>
      <c r="C1133" s="150" t="str">
        <f t="shared" si="377"/>
        <v/>
      </c>
      <c r="D1133" s="150" t="str">
        <f>IF(E1133="","",Input!$C$4+B1133-1)</f>
        <v/>
      </c>
      <c r="E1133" s="150" t="str">
        <f>IF(OR(AND(C1132=12,D1132=Input!$C$6),E1132=""),"",1)</f>
        <v/>
      </c>
      <c r="F1133" s="150" t="str">
        <f>IF(E1133="","",Input!$C$8+B1133-1)</f>
        <v/>
      </c>
      <c r="G1133" s="151" t="str">
        <f>IF(E1133="","",MAX(0,Input!$C$9-B1133))</f>
        <v/>
      </c>
      <c r="H1133" s="152" t="str">
        <f>IF(E1133="","",Input!$C$3)</f>
        <v/>
      </c>
      <c r="I1133" s="153" t="str">
        <f>IF(E1133="","",HLOOKUP($B1133,Input!$C$13:$BT$14,2))</f>
        <v/>
      </c>
      <c r="J1133" s="154"/>
      <c r="K1133" s="155" t="str">
        <f>IF($E1133="","",Input!$C$57)</f>
        <v/>
      </c>
      <c r="L1133" s="155" t="str">
        <f t="shared" si="368"/>
        <v/>
      </c>
      <c r="M1133" s="147" t="str">
        <f>IF($E1133="","",VLOOKUP(IF($B1133&lt;=Input!$C$7,$B1133,26),'Mortality Tables'!$A$72:$CA$97,IF($B1133&lt;=Input!$C$7+1,Input!$C$4-16,$D1133-Input!$C$7-16),0)/1000)</f>
        <v/>
      </c>
      <c r="N1133" s="147" t="str">
        <f t="shared" si="357"/>
        <v/>
      </c>
      <c r="O1133" s="157" t="str">
        <f>IF($E1133="","",IF($C1133=12,IF($B1133&lt;Input!$C$9,Input!$C$54,IF($B1133=Input!$C$9,Input!$C$55,Input!$C$56)),0%))</f>
        <v/>
      </c>
      <c r="P1133" s="167" t="str">
        <f>IF($E1133="","",IF($B1133=1,Input!$C$59,IF($B1133&lt;6,Input!$C$60,0%)))</f>
        <v/>
      </c>
      <c r="Q1133" s="162" t="str">
        <f>IF($E1133="","",Input!$C$58)</f>
        <v/>
      </c>
      <c r="R1133" s="156" t="str">
        <f t="shared" si="369"/>
        <v/>
      </c>
      <c r="S1133" s="154" t="str">
        <f t="shared" si="358"/>
        <v/>
      </c>
      <c r="T1133" s="152"/>
      <c r="U1133" s="150" t="str">
        <f t="shared" si="370"/>
        <v/>
      </c>
      <c r="V1133" s="150" t="str">
        <f t="shared" si="371"/>
        <v/>
      </c>
      <c r="W1133" s="168" t="str">
        <f t="shared" si="372"/>
        <v/>
      </c>
      <c r="X1133" s="163" t="str">
        <f t="shared" si="359"/>
        <v/>
      </c>
      <c r="Y1133" s="152"/>
      <c r="Z1133" s="164" t="str">
        <f>IF(AND($C1132=12,$D1132=Input!$C$6),0,IF($E1133="","",V1133+Z1134/(1+L1133)*R1133))</f>
        <v/>
      </c>
      <c r="AA1133" s="164" t="str">
        <f>IF(OR($M1133=1,AND($C1132=12,$D1132=Input!$C$6)),0,IF($E1133="","",W1133+(X1133+AA1134*$R1133)/(1+$L1133)))</f>
        <v/>
      </c>
      <c r="AB1133" s="160" t="str">
        <f t="shared" si="360"/>
        <v/>
      </c>
      <c r="AC1133" s="164" t="str">
        <f t="shared" si="361"/>
        <v/>
      </c>
      <c r="AD1133" s="164" t="str">
        <f>IF(AND($C1132=12,$D1132=Input!$C$6),0,IF($E1133="","",$AC1133+AD1134/(1+$L1133)*$R1133))</f>
        <v/>
      </c>
      <c r="AE1133" s="152"/>
      <c r="AF1133" s="164" t="str">
        <f>IF(AND($C1132=12,$D1132=Input!$C$6),0,IF($E1133="","",IF($B1133&gt;Input!$C$9,$AC1133,0)+AF1134/(1+$L1133)*$R1133))</f>
        <v/>
      </c>
      <c r="AG1133" s="164" t="str">
        <f>IF(AND($C1132=12,$D1132=Input!$C$6),0,IF($E1133="","",(IF($B1133&gt;Input!$C$9,$X1133,0)+AG1134)/(1+$L1133)*$R1133))</f>
        <v/>
      </c>
      <c r="AH1133" s="160" t="str">
        <f t="shared" si="362"/>
        <v/>
      </c>
      <c r="AI1133" s="160" t="str">
        <f>IF($E1133="","",MIN(Input!$C$61/AH1133,1))</f>
        <v/>
      </c>
      <c r="AJ1133" s="152"/>
      <c r="AK1133" s="164" t="str">
        <f>IF(AND($C1132=12,$D1132=Input!$C$6),0,IF($E1133="","",IF($B1133&gt;Input!$C$9,$AC1133*AI1133,0)+AK1134/(1+$L1133)*$R1133))</f>
        <v/>
      </c>
      <c r="AL1133" s="164" t="str">
        <f>IF(AND($C1132=12,$D1132=Input!$C$6),0,IF($E1133="","",IF($B1133&gt;Input!$C$9,0,$AC1133)+AL1134/(1+$L1133)*$R1133))</f>
        <v/>
      </c>
      <c r="AM1133" s="160" t="str">
        <f t="shared" si="363"/>
        <v/>
      </c>
      <c r="AN1133" s="164" t="str">
        <f>IF($E1133="","",IF($B1133&gt;Input!$C$9,$AI1133*$AC1133,$AM1133*$AC1133))</f>
        <v/>
      </c>
      <c r="AO1133" s="164" t="str">
        <f>IF(AND($C1132=12,$D1132=Input!$C$6),0,IF($E1133="","",$AN1133+AO1134/(1+$L1133)*$R1133))</f>
        <v/>
      </c>
      <c r="AP1133" s="152"/>
      <c r="AQ1133" s="164" t="str">
        <f t="shared" si="364"/>
        <v/>
      </c>
      <c r="AR1133" s="164" t="str">
        <f t="shared" si="373"/>
        <v/>
      </c>
      <c r="AS1133" s="164" t="str">
        <f t="shared" si="374"/>
        <v/>
      </c>
      <c r="AT1133" s="164" t="str">
        <f t="shared" si="365"/>
        <v/>
      </c>
      <c r="AU1133" s="152"/>
      <c r="AV1133" s="147" t="str">
        <f>'Deterministic Reserve'!BC1133</f>
        <v/>
      </c>
      <c r="AW1133" s="164" t="str">
        <f t="shared" si="366"/>
        <v/>
      </c>
      <c r="AX1133" s="164" t="str">
        <f t="shared" si="367"/>
        <v/>
      </c>
      <c r="AY1133" s="152"/>
    </row>
    <row r="1134" spans="1:51" s="150" customFormat="1" x14ac:dyDescent="0.25">
      <c r="A1134" s="150" t="str">
        <f t="shared" si="375"/>
        <v/>
      </c>
      <c r="B1134" s="150" t="str">
        <f t="shared" si="376"/>
        <v/>
      </c>
      <c r="C1134" s="150" t="str">
        <f t="shared" si="377"/>
        <v/>
      </c>
      <c r="D1134" s="150" t="str">
        <f>IF(E1134="","",Input!$C$4+B1134-1)</f>
        <v/>
      </c>
      <c r="E1134" s="150" t="str">
        <f>IF(OR(AND(C1133=12,D1133=Input!$C$6),E1133=""),"",1)</f>
        <v/>
      </c>
      <c r="F1134" s="150" t="str">
        <f>IF(E1134="","",Input!$C$8+B1134-1)</f>
        <v/>
      </c>
      <c r="G1134" s="151" t="str">
        <f>IF(E1134="","",MAX(0,Input!$C$9-B1134))</f>
        <v/>
      </c>
      <c r="H1134" s="152" t="str">
        <f>IF(E1134="","",Input!$C$3)</f>
        <v/>
      </c>
      <c r="I1134" s="153" t="str">
        <f>IF(E1134="","",HLOOKUP($B1134,Input!$C$13:$BT$14,2))</f>
        <v/>
      </c>
      <c r="J1134" s="154"/>
      <c r="K1134" s="155" t="str">
        <f>IF($E1134="","",Input!$C$57)</f>
        <v/>
      </c>
      <c r="L1134" s="155" t="str">
        <f t="shared" si="368"/>
        <v/>
      </c>
      <c r="M1134" s="147" t="str">
        <f>IF($E1134="","",VLOOKUP(IF($B1134&lt;=Input!$C$7,$B1134,26),'Mortality Tables'!$A$72:$CA$97,IF($B1134&lt;=Input!$C$7+1,Input!$C$4-16,$D1134-Input!$C$7-16),0)/1000)</f>
        <v/>
      </c>
      <c r="N1134" s="147" t="str">
        <f t="shared" si="357"/>
        <v/>
      </c>
      <c r="O1134" s="157" t="str">
        <f>IF($E1134="","",IF($C1134=12,IF($B1134&lt;Input!$C$9,Input!$C$54,IF($B1134=Input!$C$9,Input!$C$55,Input!$C$56)),0%))</f>
        <v/>
      </c>
      <c r="P1134" s="167" t="str">
        <f>IF($E1134="","",IF($B1134=1,Input!$C$59,IF($B1134&lt;6,Input!$C$60,0%)))</f>
        <v/>
      </c>
      <c r="Q1134" s="162" t="str">
        <f>IF($E1134="","",Input!$C$58)</f>
        <v/>
      </c>
      <c r="R1134" s="156" t="str">
        <f t="shared" si="369"/>
        <v/>
      </c>
      <c r="S1134" s="154" t="str">
        <f t="shared" si="358"/>
        <v/>
      </c>
      <c r="T1134" s="152"/>
      <c r="U1134" s="150" t="str">
        <f t="shared" si="370"/>
        <v/>
      </c>
      <c r="V1134" s="150" t="str">
        <f t="shared" si="371"/>
        <v/>
      </c>
      <c r="W1134" s="168" t="str">
        <f t="shared" si="372"/>
        <v/>
      </c>
      <c r="X1134" s="163" t="str">
        <f t="shared" si="359"/>
        <v/>
      </c>
      <c r="Y1134" s="152"/>
      <c r="Z1134" s="164" t="str">
        <f>IF(AND($C1133=12,$D1133=Input!$C$6),0,IF($E1134="","",V1134+Z1135/(1+L1134)*R1134))</f>
        <v/>
      </c>
      <c r="AA1134" s="164" t="str">
        <f>IF(OR($M1134=1,AND($C1133=12,$D1133=Input!$C$6)),0,IF($E1134="","",W1134+(X1134+AA1135*$R1134)/(1+$L1134)))</f>
        <v/>
      </c>
      <c r="AB1134" s="160" t="str">
        <f t="shared" si="360"/>
        <v/>
      </c>
      <c r="AC1134" s="164" t="str">
        <f t="shared" si="361"/>
        <v/>
      </c>
      <c r="AD1134" s="164" t="str">
        <f>IF(AND($C1133=12,$D1133=Input!$C$6),0,IF($E1134="","",$AC1134+AD1135/(1+$L1134)*$R1134))</f>
        <v/>
      </c>
      <c r="AE1134" s="152"/>
      <c r="AF1134" s="164" t="str">
        <f>IF(AND($C1133=12,$D1133=Input!$C$6),0,IF($E1134="","",IF($B1134&gt;Input!$C$9,$AC1134,0)+AF1135/(1+$L1134)*$R1134))</f>
        <v/>
      </c>
      <c r="AG1134" s="164" t="str">
        <f>IF(AND($C1133=12,$D1133=Input!$C$6),0,IF($E1134="","",(IF($B1134&gt;Input!$C$9,$X1134,0)+AG1135)/(1+$L1134)*$R1134))</f>
        <v/>
      </c>
      <c r="AH1134" s="160" t="str">
        <f t="shared" si="362"/>
        <v/>
      </c>
      <c r="AI1134" s="160" t="str">
        <f>IF($E1134="","",MIN(Input!$C$61/AH1134,1))</f>
        <v/>
      </c>
      <c r="AJ1134" s="152"/>
      <c r="AK1134" s="164" t="str">
        <f>IF(AND($C1133=12,$D1133=Input!$C$6),0,IF($E1134="","",IF($B1134&gt;Input!$C$9,$AC1134*AI1134,0)+AK1135/(1+$L1134)*$R1134))</f>
        <v/>
      </c>
      <c r="AL1134" s="164" t="str">
        <f>IF(AND($C1133=12,$D1133=Input!$C$6),0,IF($E1134="","",IF($B1134&gt;Input!$C$9,0,$AC1134)+AL1135/(1+$L1134)*$R1134))</f>
        <v/>
      </c>
      <c r="AM1134" s="160" t="str">
        <f t="shared" si="363"/>
        <v/>
      </c>
      <c r="AN1134" s="164" t="str">
        <f>IF($E1134="","",IF($B1134&gt;Input!$C$9,$AI1134*$AC1134,$AM1134*$AC1134))</f>
        <v/>
      </c>
      <c r="AO1134" s="164" t="str">
        <f>IF(AND($C1133=12,$D1133=Input!$C$6),0,IF($E1134="","",$AN1134+AO1135/(1+$L1134)*$R1134))</f>
        <v/>
      </c>
      <c r="AP1134" s="152"/>
      <c r="AQ1134" s="164" t="str">
        <f t="shared" si="364"/>
        <v/>
      </c>
      <c r="AR1134" s="164" t="str">
        <f t="shared" si="373"/>
        <v/>
      </c>
      <c r="AS1134" s="164" t="str">
        <f t="shared" si="374"/>
        <v/>
      </c>
      <c r="AT1134" s="164" t="str">
        <f t="shared" si="365"/>
        <v/>
      </c>
      <c r="AU1134" s="152"/>
      <c r="AV1134" s="147" t="str">
        <f>'Deterministic Reserve'!BC1134</f>
        <v/>
      </c>
      <c r="AW1134" s="164" t="str">
        <f t="shared" si="366"/>
        <v/>
      </c>
      <c r="AX1134" s="164" t="str">
        <f t="shared" si="367"/>
        <v/>
      </c>
      <c r="AY1134" s="152"/>
    </row>
    <row r="1135" spans="1:51" s="150" customFormat="1" x14ac:dyDescent="0.25">
      <c r="A1135" s="150" t="str">
        <f t="shared" si="375"/>
        <v/>
      </c>
      <c r="B1135" s="150" t="str">
        <f t="shared" si="376"/>
        <v/>
      </c>
      <c r="C1135" s="150" t="str">
        <f t="shared" si="377"/>
        <v/>
      </c>
      <c r="D1135" s="150" t="str">
        <f>IF(E1135="","",Input!$C$4+B1135-1)</f>
        <v/>
      </c>
      <c r="E1135" s="150" t="str">
        <f>IF(OR(AND(C1134=12,D1134=Input!$C$6),E1134=""),"",1)</f>
        <v/>
      </c>
      <c r="F1135" s="150" t="str">
        <f>IF(E1135="","",Input!$C$8+B1135-1)</f>
        <v/>
      </c>
      <c r="G1135" s="151" t="str">
        <f>IF(E1135="","",MAX(0,Input!$C$9-B1135))</f>
        <v/>
      </c>
      <c r="H1135" s="152" t="str">
        <f>IF(E1135="","",Input!$C$3)</f>
        <v/>
      </c>
      <c r="I1135" s="153" t="str">
        <f>IF(E1135="","",HLOOKUP($B1135,Input!$C$13:$BT$14,2))</f>
        <v/>
      </c>
      <c r="J1135" s="154"/>
      <c r="K1135" s="155" t="str">
        <f>IF($E1135="","",Input!$C$57)</f>
        <v/>
      </c>
      <c r="L1135" s="155" t="str">
        <f t="shared" si="368"/>
        <v/>
      </c>
      <c r="M1135" s="147" t="str">
        <f>IF($E1135="","",VLOOKUP(IF($B1135&lt;=Input!$C$7,$B1135,26),'Mortality Tables'!$A$72:$CA$97,IF($B1135&lt;=Input!$C$7+1,Input!$C$4-16,$D1135-Input!$C$7-16),0)/1000)</f>
        <v/>
      </c>
      <c r="N1135" s="147" t="str">
        <f t="shared" si="357"/>
        <v/>
      </c>
      <c r="O1135" s="157" t="str">
        <f>IF($E1135="","",IF($C1135=12,IF($B1135&lt;Input!$C$9,Input!$C$54,IF($B1135=Input!$C$9,Input!$C$55,Input!$C$56)),0%))</f>
        <v/>
      </c>
      <c r="P1135" s="167" t="str">
        <f>IF($E1135="","",IF($B1135=1,Input!$C$59,IF($B1135&lt;6,Input!$C$60,0%)))</f>
        <v/>
      </c>
      <c r="Q1135" s="162" t="str">
        <f>IF($E1135="","",Input!$C$58)</f>
        <v/>
      </c>
      <c r="R1135" s="156" t="str">
        <f t="shared" si="369"/>
        <v/>
      </c>
      <c r="S1135" s="154" t="str">
        <f t="shared" si="358"/>
        <v/>
      </c>
      <c r="T1135" s="152"/>
      <c r="U1135" s="150" t="str">
        <f t="shared" si="370"/>
        <v/>
      </c>
      <c r="V1135" s="150" t="str">
        <f t="shared" si="371"/>
        <v/>
      </c>
      <c r="W1135" s="168" t="str">
        <f t="shared" si="372"/>
        <v/>
      </c>
      <c r="X1135" s="163" t="str">
        <f t="shared" si="359"/>
        <v/>
      </c>
      <c r="Y1135" s="152"/>
      <c r="Z1135" s="164" t="str">
        <f>IF(AND($C1134=12,$D1134=Input!$C$6),0,IF($E1135="","",V1135+Z1136/(1+L1135)*R1135))</f>
        <v/>
      </c>
      <c r="AA1135" s="164" t="str">
        <f>IF(OR($M1135=1,AND($C1134=12,$D1134=Input!$C$6)),0,IF($E1135="","",W1135+(X1135+AA1136*$R1135)/(1+$L1135)))</f>
        <v/>
      </c>
      <c r="AB1135" s="160" t="str">
        <f t="shared" si="360"/>
        <v/>
      </c>
      <c r="AC1135" s="164" t="str">
        <f t="shared" si="361"/>
        <v/>
      </c>
      <c r="AD1135" s="164" t="str">
        <f>IF(AND($C1134=12,$D1134=Input!$C$6),0,IF($E1135="","",$AC1135+AD1136/(1+$L1135)*$R1135))</f>
        <v/>
      </c>
      <c r="AE1135" s="152"/>
      <c r="AF1135" s="164" t="str">
        <f>IF(AND($C1134=12,$D1134=Input!$C$6),0,IF($E1135="","",IF($B1135&gt;Input!$C$9,$AC1135,0)+AF1136/(1+$L1135)*$R1135))</f>
        <v/>
      </c>
      <c r="AG1135" s="164" t="str">
        <f>IF(AND($C1134=12,$D1134=Input!$C$6),0,IF($E1135="","",(IF($B1135&gt;Input!$C$9,$X1135,0)+AG1136)/(1+$L1135)*$R1135))</f>
        <v/>
      </c>
      <c r="AH1135" s="160" t="str">
        <f t="shared" si="362"/>
        <v/>
      </c>
      <c r="AI1135" s="160" t="str">
        <f>IF($E1135="","",MIN(Input!$C$61/AH1135,1))</f>
        <v/>
      </c>
      <c r="AJ1135" s="152"/>
      <c r="AK1135" s="164" t="str">
        <f>IF(AND($C1134=12,$D1134=Input!$C$6),0,IF($E1135="","",IF($B1135&gt;Input!$C$9,$AC1135*AI1135,0)+AK1136/(1+$L1135)*$R1135))</f>
        <v/>
      </c>
      <c r="AL1135" s="164" t="str">
        <f>IF(AND($C1134=12,$D1134=Input!$C$6),0,IF($E1135="","",IF($B1135&gt;Input!$C$9,0,$AC1135)+AL1136/(1+$L1135)*$R1135))</f>
        <v/>
      </c>
      <c r="AM1135" s="160" t="str">
        <f t="shared" si="363"/>
        <v/>
      </c>
      <c r="AN1135" s="164" t="str">
        <f>IF($E1135="","",IF($B1135&gt;Input!$C$9,$AI1135*$AC1135,$AM1135*$AC1135))</f>
        <v/>
      </c>
      <c r="AO1135" s="164" t="str">
        <f>IF(AND($C1134=12,$D1134=Input!$C$6),0,IF($E1135="","",$AN1135+AO1136/(1+$L1135)*$R1135))</f>
        <v/>
      </c>
      <c r="AP1135" s="152"/>
      <c r="AQ1135" s="164" t="str">
        <f t="shared" si="364"/>
        <v/>
      </c>
      <c r="AR1135" s="164" t="str">
        <f t="shared" si="373"/>
        <v/>
      </c>
      <c r="AS1135" s="164" t="str">
        <f t="shared" si="374"/>
        <v/>
      </c>
      <c r="AT1135" s="164" t="str">
        <f t="shared" si="365"/>
        <v/>
      </c>
      <c r="AU1135" s="152"/>
      <c r="AV1135" s="147" t="str">
        <f>'Deterministic Reserve'!BC1135</f>
        <v/>
      </c>
      <c r="AW1135" s="164" t="str">
        <f t="shared" si="366"/>
        <v/>
      </c>
      <c r="AX1135" s="164" t="str">
        <f t="shared" si="367"/>
        <v/>
      </c>
      <c r="AY1135" s="152"/>
    </row>
    <row r="1136" spans="1:51" s="150" customFormat="1" x14ac:dyDescent="0.25">
      <c r="A1136" s="150" t="str">
        <f t="shared" si="375"/>
        <v/>
      </c>
      <c r="B1136" s="150" t="str">
        <f t="shared" si="376"/>
        <v/>
      </c>
      <c r="C1136" s="150" t="str">
        <f t="shared" si="377"/>
        <v/>
      </c>
      <c r="D1136" s="150" t="str">
        <f>IF(E1136="","",Input!$C$4+B1136-1)</f>
        <v/>
      </c>
      <c r="E1136" s="150" t="str">
        <f>IF(OR(AND(C1135=12,D1135=Input!$C$6),E1135=""),"",1)</f>
        <v/>
      </c>
      <c r="F1136" s="150" t="str">
        <f>IF(E1136="","",Input!$C$8+B1136-1)</f>
        <v/>
      </c>
      <c r="G1136" s="151" t="str">
        <f>IF(E1136="","",MAX(0,Input!$C$9-B1136))</f>
        <v/>
      </c>
      <c r="H1136" s="152" t="str">
        <f>IF(E1136="","",Input!$C$3)</f>
        <v/>
      </c>
      <c r="I1136" s="153" t="str">
        <f>IF(E1136="","",HLOOKUP($B1136,Input!$C$13:$BT$14,2))</f>
        <v/>
      </c>
      <c r="J1136" s="154"/>
      <c r="K1136" s="155" t="str">
        <f>IF($E1136="","",Input!$C$57)</f>
        <v/>
      </c>
      <c r="L1136" s="155" t="str">
        <f t="shared" si="368"/>
        <v/>
      </c>
      <c r="M1136" s="147" t="str">
        <f>IF($E1136="","",VLOOKUP(IF($B1136&lt;=Input!$C$7,$B1136,26),'Mortality Tables'!$A$72:$CA$97,IF($B1136&lt;=Input!$C$7+1,Input!$C$4-16,$D1136-Input!$C$7-16),0)/1000)</f>
        <v/>
      </c>
      <c r="N1136" s="147" t="str">
        <f t="shared" si="357"/>
        <v/>
      </c>
      <c r="O1136" s="157" t="str">
        <f>IF($E1136="","",IF($C1136=12,IF($B1136&lt;Input!$C$9,Input!$C$54,IF($B1136=Input!$C$9,Input!$C$55,Input!$C$56)),0%))</f>
        <v/>
      </c>
      <c r="P1136" s="167" t="str">
        <f>IF($E1136="","",IF($B1136=1,Input!$C$59,IF($B1136&lt;6,Input!$C$60,0%)))</f>
        <v/>
      </c>
      <c r="Q1136" s="162" t="str">
        <f>IF($E1136="","",Input!$C$58)</f>
        <v/>
      </c>
      <c r="R1136" s="156" t="str">
        <f t="shared" si="369"/>
        <v/>
      </c>
      <c r="S1136" s="154" t="str">
        <f t="shared" si="358"/>
        <v/>
      </c>
      <c r="T1136" s="152"/>
      <c r="U1136" s="150" t="str">
        <f t="shared" si="370"/>
        <v/>
      </c>
      <c r="V1136" s="150" t="str">
        <f t="shared" si="371"/>
        <v/>
      </c>
      <c r="W1136" s="168" t="str">
        <f t="shared" si="372"/>
        <v/>
      </c>
      <c r="X1136" s="163" t="str">
        <f t="shared" si="359"/>
        <v/>
      </c>
      <c r="Y1136" s="152"/>
      <c r="Z1136" s="164" t="str">
        <f>IF(AND($C1135=12,$D1135=Input!$C$6),0,IF($E1136="","",V1136+Z1137/(1+L1136)*R1136))</f>
        <v/>
      </c>
      <c r="AA1136" s="164" t="str">
        <f>IF(OR($M1136=1,AND($C1135=12,$D1135=Input!$C$6)),0,IF($E1136="","",W1136+(X1136+AA1137*$R1136)/(1+$L1136)))</f>
        <v/>
      </c>
      <c r="AB1136" s="160" t="str">
        <f t="shared" si="360"/>
        <v/>
      </c>
      <c r="AC1136" s="164" t="str">
        <f t="shared" si="361"/>
        <v/>
      </c>
      <c r="AD1136" s="164" t="str">
        <f>IF(AND($C1135=12,$D1135=Input!$C$6),0,IF($E1136="","",$AC1136+AD1137/(1+$L1136)*$R1136))</f>
        <v/>
      </c>
      <c r="AE1136" s="152"/>
      <c r="AF1136" s="164" t="str">
        <f>IF(AND($C1135=12,$D1135=Input!$C$6),0,IF($E1136="","",IF($B1136&gt;Input!$C$9,$AC1136,0)+AF1137/(1+$L1136)*$R1136))</f>
        <v/>
      </c>
      <c r="AG1136" s="164" t="str">
        <f>IF(AND($C1135=12,$D1135=Input!$C$6),0,IF($E1136="","",(IF($B1136&gt;Input!$C$9,$X1136,0)+AG1137)/(1+$L1136)*$R1136))</f>
        <v/>
      </c>
      <c r="AH1136" s="160" t="str">
        <f t="shared" si="362"/>
        <v/>
      </c>
      <c r="AI1136" s="160" t="str">
        <f>IF($E1136="","",MIN(Input!$C$61/AH1136,1))</f>
        <v/>
      </c>
      <c r="AJ1136" s="152"/>
      <c r="AK1136" s="164" t="str">
        <f>IF(AND($C1135=12,$D1135=Input!$C$6),0,IF($E1136="","",IF($B1136&gt;Input!$C$9,$AC1136*AI1136,0)+AK1137/(1+$L1136)*$R1136))</f>
        <v/>
      </c>
      <c r="AL1136" s="164" t="str">
        <f>IF(AND($C1135=12,$D1135=Input!$C$6),0,IF($E1136="","",IF($B1136&gt;Input!$C$9,0,$AC1136)+AL1137/(1+$L1136)*$R1136))</f>
        <v/>
      </c>
      <c r="AM1136" s="160" t="str">
        <f t="shared" si="363"/>
        <v/>
      </c>
      <c r="AN1136" s="164" t="str">
        <f>IF($E1136="","",IF($B1136&gt;Input!$C$9,$AI1136*$AC1136,$AM1136*$AC1136))</f>
        <v/>
      </c>
      <c r="AO1136" s="164" t="str">
        <f>IF(AND($C1135=12,$D1135=Input!$C$6),0,IF($E1136="","",$AN1136+AO1137/(1+$L1136)*$R1136))</f>
        <v/>
      </c>
      <c r="AP1136" s="152"/>
      <c r="AQ1136" s="164" t="str">
        <f t="shared" si="364"/>
        <v/>
      </c>
      <c r="AR1136" s="164" t="str">
        <f t="shared" si="373"/>
        <v/>
      </c>
      <c r="AS1136" s="164" t="str">
        <f t="shared" si="374"/>
        <v/>
      </c>
      <c r="AT1136" s="164" t="str">
        <f t="shared" si="365"/>
        <v/>
      </c>
      <c r="AU1136" s="152"/>
      <c r="AV1136" s="147" t="str">
        <f>'Deterministic Reserve'!BC1136</f>
        <v/>
      </c>
      <c r="AW1136" s="164" t="str">
        <f t="shared" si="366"/>
        <v/>
      </c>
      <c r="AX1136" s="164" t="str">
        <f t="shared" si="367"/>
        <v/>
      </c>
      <c r="AY1136" s="152"/>
    </row>
    <row r="1137" spans="1:51" s="150" customFormat="1" x14ac:dyDescent="0.25">
      <c r="A1137" s="150" t="str">
        <f t="shared" si="375"/>
        <v/>
      </c>
      <c r="B1137" s="150" t="str">
        <f t="shared" si="376"/>
        <v/>
      </c>
      <c r="C1137" s="150" t="str">
        <f t="shared" si="377"/>
        <v/>
      </c>
      <c r="D1137" s="150" t="str">
        <f>IF(E1137="","",Input!$C$4+B1137-1)</f>
        <v/>
      </c>
      <c r="E1137" s="150" t="str">
        <f>IF(OR(AND(C1136=12,D1136=Input!$C$6),E1136=""),"",1)</f>
        <v/>
      </c>
      <c r="F1137" s="150" t="str">
        <f>IF(E1137="","",Input!$C$8+B1137-1)</f>
        <v/>
      </c>
      <c r="G1137" s="151" t="str">
        <f>IF(E1137="","",MAX(0,Input!$C$9-B1137))</f>
        <v/>
      </c>
      <c r="H1137" s="152" t="str">
        <f>IF(E1137="","",Input!$C$3)</f>
        <v/>
      </c>
      <c r="I1137" s="153" t="str">
        <f>IF(E1137="","",HLOOKUP($B1137,Input!$C$13:$BT$14,2))</f>
        <v/>
      </c>
      <c r="J1137" s="154"/>
      <c r="K1137" s="155" t="str">
        <f>IF($E1137="","",Input!$C$57)</f>
        <v/>
      </c>
      <c r="L1137" s="155" t="str">
        <f t="shared" si="368"/>
        <v/>
      </c>
      <c r="M1137" s="147" t="str">
        <f>IF($E1137="","",VLOOKUP(IF($B1137&lt;=Input!$C$7,$B1137,26),'Mortality Tables'!$A$72:$CA$97,IF($B1137&lt;=Input!$C$7+1,Input!$C$4-16,$D1137-Input!$C$7-16),0)/1000)</f>
        <v/>
      </c>
      <c r="N1137" s="147" t="str">
        <f t="shared" si="357"/>
        <v/>
      </c>
      <c r="O1137" s="157" t="str">
        <f>IF($E1137="","",IF($C1137=12,IF($B1137&lt;Input!$C$9,Input!$C$54,IF($B1137=Input!$C$9,Input!$C$55,Input!$C$56)),0%))</f>
        <v/>
      </c>
      <c r="P1137" s="167" t="str">
        <f>IF($E1137="","",IF($B1137=1,Input!$C$59,IF($B1137&lt;6,Input!$C$60,0%)))</f>
        <v/>
      </c>
      <c r="Q1137" s="162" t="str">
        <f>IF($E1137="","",Input!$C$58)</f>
        <v/>
      </c>
      <c r="R1137" s="156" t="str">
        <f t="shared" si="369"/>
        <v/>
      </c>
      <c r="S1137" s="154" t="str">
        <f t="shared" si="358"/>
        <v/>
      </c>
      <c r="T1137" s="152"/>
      <c r="U1137" s="150" t="str">
        <f t="shared" si="370"/>
        <v/>
      </c>
      <c r="V1137" s="150" t="str">
        <f t="shared" si="371"/>
        <v/>
      </c>
      <c r="W1137" s="168" t="str">
        <f t="shared" si="372"/>
        <v/>
      </c>
      <c r="X1137" s="163" t="str">
        <f t="shared" si="359"/>
        <v/>
      </c>
      <c r="Y1137" s="152"/>
      <c r="Z1137" s="164" t="str">
        <f>IF(AND($C1136=12,$D1136=Input!$C$6),0,IF($E1137="","",V1137+Z1138/(1+L1137)*R1137))</f>
        <v/>
      </c>
      <c r="AA1137" s="164" t="str">
        <f>IF(OR($M1137=1,AND($C1136=12,$D1136=Input!$C$6)),0,IF($E1137="","",W1137+(X1137+AA1138*$R1137)/(1+$L1137)))</f>
        <v/>
      </c>
      <c r="AB1137" s="160" t="str">
        <f t="shared" si="360"/>
        <v/>
      </c>
      <c r="AC1137" s="164" t="str">
        <f t="shared" si="361"/>
        <v/>
      </c>
      <c r="AD1137" s="164" t="str">
        <f>IF(AND($C1136=12,$D1136=Input!$C$6),0,IF($E1137="","",$AC1137+AD1138/(1+$L1137)*$R1137))</f>
        <v/>
      </c>
      <c r="AE1137" s="152"/>
      <c r="AF1137" s="164" t="str">
        <f>IF(AND($C1136=12,$D1136=Input!$C$6),0,IF($E1137="","",IF($B1137&gt;Input!$C$9,$AC1137,0)+AF1138/(1+$L1137)*$R1137))</f>
        <v/>
      </c>
      <c r="AG1137" s="164" t="str">
        <f>IF(AND($C1136=12,$D1136=Input!$C$6),0,IF($E1137="","",(IF($B1137&gt;Input!$C$9,$X1137,0)+AG1138)/(1+$L1137)*$R1137))</f>
        <v/>
      </c>
      <c r="AH1137" s="160" t="str">
        <f t="shared" si="362"/>
        <v/>
      </c>
      <c r="AI1137" s="160" t="str">
        <f>IF($E1137="","",MIN(Input!$C$61/AH1137,1))</f>
        <v/>
      </c>
      <c r="AJ1137" s="152"/>
      <c r="AK1137" s="164" t="str">
        <f>IF(AND($C1136=12,$D1136=Input!$C$6),0,IF($E1137="","",IF($B1137&gt;Input!$C$9,$AC1137*AI1137,0)+AK1138/(1+$L1137)*$R1137))</f>
        <v/>
      </c>
      <c r="AL1137" s="164" t="str">
        <f>IF(AND($C1136=12,$D1136=Input!$C$6),0,IF($E1137="","",IF($B1137&gt;Input!$C$9,0,$AC1137)+AL1138/(1+$L1137)*$R1137))</f>
        <v/>
      </c>
      <c r="AM1137" s="160" t="str">
        <f t="shared" si="363"/>
        <v/>
      </c>
      <c r="AN1137" s="164" t="str">
        <f>IF($E1137="","",IF($B1137&gt;Input!$C$9,$AI1137*$AC1137,$AM1137*$AC1137))</f>
        <v/>
      </c>
      <c r="AO1137" s="164" t="str">
        <f>IF(AND($C1136=12,$D1136=Input!$C$6),0,IF($E1137="","",$AN1137+AO1138/(1+$L1137)*$R1137))</f>
        <v/>
      </c>
      <c r="AP1137" s="152"/>
      <c r="AQ1137" s="164" t="str">
        <f t="shared" si="364"/>
        <v/>
      </c>
      <c r="AR1137" s="164" t="str">
        <f t="shared" si="373"/>
        <v/>
      </c>
      <c r="AS1137" s="164" t="str">
        <f t="shared" si="374"/>
        <v/>
      </c>
      <c r="AT1137" s="164" t="str">
        <f t="shared" si="365"/>
        <v/>
      </c>
      <c r="AU1137" s="152"/>
      <c r="AV1137" s="147" t="str">
        <f>'Deterministic Reserve'!BC1137</f>
        <v/>
      </c>
      <c r="AW1137" s="164" t="str">
        <f t="shared" si="366"/>
        <v/>
      </c>
      <c r="AX1137" s="164" t="str">
        <f t="shared" si="367"/>
        <v/>
      </c>
      <c r="AY1137" s="152"/>
    </row>
    <row r="1138" spans="1:51" s="150" customFormat="1" x14ac:dyDescent="0.25">
      <c r="A1138" s="150" t="str">
        <f t="shared" si="375"/>
        <v/>
      </c>
      <c r="B1138" s="150" t="str">
        <f t="shared" si="376"/>
        <v/>
      </c>
      <c r="C1138" s="150" t="str">
        <f t="shared" si="377"/>
        <v/>
      </c>
      <c r="D1138" s="150" t="str">
        <f>IF(E1138="","",Input!$C$4+B1138-1)</f>
        <v/>
      </c>
      <c r="E1138" s="150" t="str">
        <f>IF(OR(AND(C1137=12,D1137=Input!$C$6),E1137=""),"",1)</f>
        <v/>
      </c>
      <c r="F1138" s="150" t="str">
        <f>IF(E1138="","",Input!$C$8+B1138-1)</f>
        <v/>
      </c>
      <c r="G1138" s="151" t="str">
        <f>IF(E1138="","",MAX(0,Input!$C$9-B1138))</f>
        <v/>
      </c>
      <c r="H1138" s="152" t="str">
        <f>IF(E1138="","",Input!$C$3)</f>
        <v/>
      </c>
      <c r="I1138" s="153" t="str">
        <f>IF(E1138="","",HLOOKUP($B1138,Input!$C$13:$BT$14,2))</f>
        <v/>
      </c>
      <c r="J1138" s="154"/>
      <c r="K1138" s="155" t="str">
        <f>IF($E1138="","",Input!$C$57)</f>
        <v/>
      </c>
      <c r="L1138" s="155" t="str">
        <f t="shared" si="368"/>
        <v/>
      </c>
      <c r="M1138" s="147" t="str">
        <f>IF($E1138="","",VLOOKUP(IF($B1138&lt;=Input!$C$7,$B1138,26),'Mortality Tables'!$A$72:$CA$97,IF($B1138&lt;=Input!$C$7+1,Input!$C$4-16,$D1138-Input!$C$7-16),0)/1000)</f>
        <v/>
      </c>
      <c r="N1138" s="147" t="str">
        <f t="shared" si="357"/>
        <v/>
      </c>
      <c r="O1138" s="157" t="str">
        <f>IF($E1138="","",IF($C1138=12,IF($B1138&lt;Input!$C$9,Input!$C$54,IF($B1138=Input!$C$9,Input!$C$55,Input!$C$56)),0%))</f>
        <v/>
      </c>
      <c r="P1138" s="167" t="str">
        <f>IF($E1138="","",IF($B1138=1,Input!$C$59,IF($B1138&lt;6,Input!$C$60,0%)))</f>
        <v/>
      </c>
      <c r="Q1138" s="162" t="str">
        <f>IF($E1138="","",Input!$C$58)</f>
        <v/>
      </c>
      <c r="R1138" s="156" t="str">
        <f t="shared" si="369"/>
        <v/>
      </c>
      <c r="S1138" s="154" t="str">
        <f t="shared" si="358"/>
        <v/>
      </c>
      <c r="T1138" s="152"/>
      <c r="U1138" s="150" t="str">
        <f t="shared" si="370"/>
        <v/>
      </c>
      <c r="V1138" s="150" t="str">
        <f t="shared" si="371"/>
        <v/>
      </c>
      <c r="W1138" s="168" t="str">
        <f t="shared" si="372"/>
        <v/>
      </c>
      <c r="X1138" s="163" t="str">
        <f t="shared" si="359"/>
        <v/>
      </c>
      <c r="Y1138" s="152"/>
      <c r="Z1138" s="164" t="str">
        <f>IF(AND($C1137=12,$D1137=Input!$C$6),0,IF($E1138="","",V1138+Z1139/(1+L1138)*R1138))</f>
        <v/>
      </c>
      <c r="AA1138" s="164" t="str">
        <f>IF(OR($M1138=1,AND($C1137=12,$D1137=Input!$C$6)),0,IF($E1138="","",W1138+(X1138+AA1139*$R1138)/(1+$L1138)))</f>
        <v/>
      </c>
      <c r="AB1138" s="160" t="str">
        <f t="shared" si="360"/>
        <v/>
      </c>
      <c r="AC1138" s="164" t="str">
        <f t="shared" si="361"/>
        <v/>
      </c>
      <c r="AD1138" s="164" t="str">
        <f>IF(AND($C1137=12,$D1137=Input!$C$6),0,IF($E1138="","",$AC1138+AD1139/(1+$L1138)*$R1138))</f>
        <v/>
      </c>
      <c r="AE1138" s="152"/>
      <c r="AF1138" s="164" t="str">
        <f>IF(AND($C1137=12,$D1137=Input!$C$6),0,IF($E1138="","",IF($B1138&gt;Input!$C$9,$AC1138,0)+AF1139/(1+$L1138)*$R1138))</f>
        <v/>
      </c>
      <c r="AG1138" s="164" t="str">
        <f>IF(AND($C1137=12,$D1137=Input!$C$6),0,IF($E1138="","",(IF($B1138&gt;Input!$C$9,$X1138,0)+AG1139)/(1+$L1138)*$R1138))</f>
        <v/>
      </c>
      <c r="AH1138" s="160" t="str">
        <f t="shared" si="362"/>
        <v/>
      </c>
      <c r="AI1138" s="160" t="str">
        <f>IF($E1138="","",MIN(Input!$C$61/AH1138,1))</f>
        <v/>
      </c>
      <c r="AJ1138" s="152"/>
      <c r="AK1138" s="164" t="str">
        <f>IF(AND($C1137=12,$D1137=Input!$C$6),0,IF($E1138="","",IF($B1138&gt;Input!$C$9,$AC1138*AI1138,0)+AK1139/(1+$L1138)*$R1138))</f>
        <v/>
      </c>
      <c r="AL1138" s="164" t="str">
        <f>IF(AND($C1137=12,$D1137=Input!$C$6),0,IF($E1138="","",IF($B1138&gt;Input!$C$9,0,$AC1138)+AL1139/(1+$L1138)*$R1138))</f>
        <v/>
      </c>
      <c r="AM1138" s="160" t="str">
        <f t="shared" si="363"/>
        <v/>
      </c>
      <c r="AN1138" s="164" t="str">
        <f>IF($E1138="","",IF($B1138&gt;Input!$C$9,$AI1138*$AC1138,$AM1138*$AC1138))</f>
        <v/>
      </c>
      <c r="AO1138" s="164" t="str">
        <f>IF(AND($C1137=12,$D1137=Input!$C$6),0,IF($E1138="","",$AN1138+AO1139/(1+$L1138)*$R1138))</f>
        <v/>
      </c>
      <c r="AP1138" s="152"/>
      <c r="AQ1138" s="164" t="str">
        <f t="shared" si="364"/>
        <v/>
      </c>
      <c r="AR1138" s="164" t="str">
        <f t="shared" si="373"/>
        <v/>
      </c>
      <c r="AS1138" s="164" t="str">
        <f t="shared" si="374"/>
        <v/>
      </c>
      <c r="AT1138" s="164" t="str">
        <f t="shared" si="365"/>
        <v/>
      </c>
      <c r="AU1138" s="152"/>
      <c r="AV1138" s="147" t="str">
        <f>'Deterministic Reserve'!BC1138</f>
        <v/>
      </c>
      <c r="AW1138" s="164" t="str">
        <f t="shared" si="366"/>
        <v/>
      </c>
      <c r="AX1138" s="164" t="str">
        <f t="shared" si="367"/>
        <v/>
      </c>
      <c r="AY1138" s="152"/>
    </row>
    <row r="1139" spans="1:51" s="150" customFormat="1" x14ac:dyDescent="0.25">
      <c r="A1139" s="150" t="str">
        <f t="shared" si="375"/>
        <v/>
      </c>
      <c r="B1139" s="150" t="str">
        <f t="shared" si="376"/>
        <v/>
      </c>
      <c r="C1139" s="150" t="str">
        <f t="shared" si="377"/>
        <v/>
      </c>
      <c r="D1139" s="150" t="str">
        <f>IF(E1139="","",Input!$C$4+B1139-1)</f>
        <v/>
      </c>
      <c r="E1139" s="150" t="str">
        <f>IF(OR(AND(C1138=12,D1138=Input!$C$6),E1138=""),"",1)</f>
        <v/>
      </c>
      <c r="F1139" s="150" t="str">
        <f>IF(E1139="","",Input!$C$8+B1139-1)</f>
        <v/>
      </c>
      <c r="G1139" s="151" t="str">
        <f>IF(E1139="","",MAX(0,Input!$C$9-B1139))</f>
        <v/>
      </c>
      <c r="H1139" s="152" t="str">
        <f>IF(E1139="","",Input!$C$3)</f>
        <v/>
      </c>
      <c r="I1139" s="153" t="str">
        <f>IF(E1139="","",HLOOKUP($B1139,Input!$C$13:$BT$14,2))</f>
        <v/>
      </c>
      <c r="J1139" s="154"/>
      <c r="K1139" s="155" t="str">
        <f>IF($E1139="","",Input!$C$57)</f>
        <v/>
      </c>
      <c r="L1139" s="155" t="str">
        <f t="shared" si="368"/>
        <v/>
      </c>
      <c r="M1139" s="147" t="str">
        <f>IF($E1139="","",VLOOKUP(IF($B1139&lt;=Input!$C$7,$B1139,26),'Mortality Tables'!$A$72:$CA$97,IF($B1139&lt;=Input!$C$7+1,Input!$C$4-16,$D1139-Input!$C$7-16),0)/1000)</f>
        <v/>
      </c>
      <c r="N1139" s="147" t="str">
        <f t="shared" si="357"/>
        <v/>
      </c>
      <c r="O1139" s="157" t="str">
        <f>IF($E1139="","",IF($C1139=12,IF($B1139&lt;Input!$C$9,Input!$C$54,IF($B1139=Input!$C$9,Input!$C$55,Input!$C$56)),0%))</f>
        <v/>
      </c>
      <c r="P1139" s="167" t="str">
        <f>IF($E1139="","",IF($B1139=1,Input!$C$59,IF($B1139&lt;6,Input!$C$60,0%)))</f>
        <v/>
      </c>
      <c r="Q1139" s="162" t="str">
        <f>IF($E1139="","",Input!$C$58)</f>
        <v/>
      </c>
      <c r="R1139" s="156" t="str">
        <f t="shared" si="369"/>
        <v/>
      </c>
      <c r="S1139" s="154" t="str">
        <f t="shared" si="358"/>
        <v/>
      </c>
      <c r="T1139" s="152"/>
      <c r="U1139" s="150" t="str">
        <f t="shared" si="370"/>
        <v/>
      </c>
      <c r="V1139" s="150" t="str">
        <f t="shared" si="371"/>
        <v/>
      </c>
      <c r="W1139" s="168" t="str">
        <f t="shared" si="372"/>
        <v/>
      </c>
      <c r="X1139" s="163" t="str">
        <f t="shared" si="359"/>
        <v/>
      </c>
      <c r="Y1139" s="152"/>
      <c r="Z1139" s="164" t="str">
        <f>IF(AND($C1138=12,$D1138=Input!$C$6),0,IF($E1139="","",V1139+Z1140/(1+L1139)*R1139))</f>
        <v/>
      </c>
      <c r="AA1139" s="164" t="str">
        <f>IF(OR($M1139=1,AND($C1138=12,$D1138=Input!$C$6)),0,IF($E1139="","",W1139+(X1139+AA1140*$R1139)/(1+$L1139)))</f>
        <v/>
      </c>
      <c r="AB1139" s="160" t="str">
        <f t="shared" si="360"/>
        <v/>
      </c>
      <c r="AC1139" s="164" t="str">
        <f t="shared" si="361"/>
        <v/>
      </c>
      <c r="AD1139" s="164" t="str">
        <f>IF(AND($C1138=12,$D1138=Input!$C$6),0,IF($E1139="","",$AC1139+AD1140/(1+$L1139)*$R1139))</f>
        <v/>
      </c>
      <c r="AE1139" s="152"/>
      <c r="AF1139" s="164" t="str">
        <f>IF(AND($C1138=12,$D1138=Input!$C$6),0,IF($E1139="","",IF($B1139&gt;Input!$C$9,$AC1139,0)+AF1140/(1+$L1139)*$R1139))</f>
        <v/>
      </c>
      <c r="AG1139" s="164" t="str">
        <f>IF(AND($C1138=12,$D1138=Input!$C$6),0,IF($E1139="","",(IF($B1139&gt;Input!$C$9,$X1139,0)+AG1140)/(1+$L1139)*$R1139))</f>
        <v/>
      </c>
      <c r="AH1139" s="160" t="str">
        <f t="shared" si="362"/>
        <v/>
      </c>
      <c r="AI1139" s="160" t="str">
        <f>IF($E1139="","",MIN(Input!$C$61/AH1139,1))</f>
        <v/>
      </c>
      <c r="AJ1139" s="152"/>
      <c r="AK1139" s="164" t="str">
        <f>IF(AND($C1138=12,$D1138=Input!$C$6),0,IF($E1139="","",IF($B1139&gt;Input!$C$9,$AC1139*AI1139,0)+AK1140/(1+$L1139)*$R1139))</f>
        <v/>
      </c>
      <c r="AL1139" s="164" t="str">
        <f>IF(AND($C1138=12,$D1138=Input!$C$6),0,IF($E1139="","",IF($B1139&gt;Input!$C$9,0,$AC1139)+AL1140/(1+$L1139)*$R1139))</f>
        <v/>
      </c>
      <c r="AM1139" s="160" t="str">
        <f t="shared" si="363"/>
        <v/>
      </c>
      <c r="AN1139" s="164" t="str">
        <f>IF($E1139="","",IF($B1139&gt;Input!$C$9,$AI1139*$AC1139,$AM1139*$AC1139))</f>
        <v/>
      </c>
      <c r="AO1139" s="164" t="str">
        <f>IF(AND($C1138=12,$D1138=Input!$C$6),0,IF($E1139="","",$AN1139+AO1140/(1+$L1139)*$R1139))</f>
        <v/>
      </c>
      <c r="AP1139" s="152"/>
      <c r="AQ1139" s="164" t="str">
        <f t="shared" si="364"/>
        <v/>
      </c>
      <c r="AR1139" s="164" t="str">
        <f t="shared" si="373"/>
        <v/>
      </c>
      <c r="AS1139" s="164" t="str">
        <f t="shared" si="374"/>
        <v/>
      </c>
      <c r="AT1139" s="164" t="str">
        <f t="shared" si="365"/>
        <v/>
      </c>
      <c r="AU1139" s="152"/>
      <c r="AV1139" s="147" t="str">
        <f>'Deterministic Reserve'!BC1139</f>
        <v/>
      </c>
      <c r="AW1139" s="164" t="str">
        <f t="shared" si="366"/>
        <v/>
      </c>
      <c r="AX1139" s="164" t="str">
        <f t="shared" si="367"/>
        <v/>
      </c>
      <c r="AY1139" s="152"/>
    </row>
    <row r="1140" spans="1:51" s="150" customFormat="1" x14ac:dyDescent="0.25">
      <c r="A1140" s="150" t="str">
        <f t="shared" si="375"/>
        <v/>
      </c>
      <c r="B1140" s="150" t="str">
        <f t="shared" si="376"/>
        <v/>
      </c>
      <c r="C1140" s="150" t="str">
        <f t="shared" si="377"/>
        <v/>
      </c>
      <c r="D1140" s="150" t="str">
        <f>IF(E1140="","",Input!$C$4+B1140-1)</f>
        <v/>
      </c>
      <c r="E1140" s="150" t="str">
        <f>IF(OR(AND(C1139=12,D1139=Input!$C$6),E1139=""),"",1)</f>
        <v/>
      </c>
      <c r="F1140" s="150" t="str">
        <f>IF(E1140="","",Input!$C$8+B1140-1)</f>
        <v/>
      </c>
      <c r="G1140" s="151" t="str">
        <f>IF(E1140="","",MAX(0,Input!$C$9-B1140))</f>
        <v/>
      </c>
      <c r="H1140" s="152" t="str">
        <f>IF(E1140="","",Input!$C$3)</f>
        <v/>
      </c>
      <c r="I1140" s="153" t="str">
        <f>IF(E1140="","",HLOOKUP($B1140,Input!$C$13:$BT$14,2))</f>
        <v/>
      </c>
      <c r="J1140" s="154"/>
      <c r="K1140" s="155" t="str">
        <f>IF($E1140="","",Input!$C$57)</f>
        <v/>
      </c>
      <c r="L1140" s="155" t="str">
        <f t="shared" si="368"/>
        <v/>
      </c>
      <c r="M1140" s="147" t="str">
        <f>IF($E1140="","",VLOOKUP(IF($B1140&lt;=Input!$C$7,$B1140,26),'Mortality Tables'!$A$72:$CA$97,IF($B1140&lt;=Input!$C$7+1,Input!$C$4-16,$D1140-Input!$C$7-16),0)/1000)</f>
        <v/>
      </c>
      <c r="N1140" s="147" t="str">
        <f t="shared" si="357"/>
        <v/>
      </c>
      <c r="O1140" s="157" t="str">
        <f>IF($E1140="","",IF($C1140=12,IF($B1140&lt;Input!$C$9,Input!$C$54,IF($B1140=Input!$C$9,Input!$C$55,Input!$C$56)),0%))</f>
        <v/>
      </c>
      <c r="P1140" s="167" t="str">
        <f>IF($E1140="","",IF($B1140=1,Input!$C$59,IF($B1140&lt;6,Input!$C$60,0%)))</f>
        <v/>
      </c>
      <c r="Q1140" s="162" t="str">
        <f>IF($E1140="","",Input!$C$58)</f>
        <v/>
      </c>
      <c r="R1140" s="156" t="str">
        <f t="shared" si="369"/>
        <v/>
      </c>
      <c r="S1140" s="154" t="str">
        <f t="shared" si="358"/>
        <v/>
      </c>
      <c r="T1140" s="152"/>
      <c r="U1140" s="150" t="str">
        <f t="shared" si="370"/>
        <v/>
      </c>
      <c r="V1140" s="150" t="str">
        <f t="shared" si="371"/>
        <v/>
      </c>
      <c r="W1140" s="168" t="str">
        <f t="shared" si="372"/>
        <v/>
      </c>
      <c r="X1140" s="163" t="str">
        <f t="shared" si="359"/>
        <v/>
      </c>
      <c r="Y1140" s="152"/>
      <c r="Z1140" s="164" t="str">
        <f>IF(AND($C1139=12,$D1139=Input!$C$6),0,IF($E1140="","",V1140+Z1141/(1+L1140)*R1140))</f>
        <v/>
      </c>
      <c r="AA1140" s="164" t="str">
        <f>IF(OR($M1140=1,AND($C1139=12,$D1139=Input!$C$6)),0,IF($E1140="","",W1140+(X1140+AA1141*$R1140)/(1+$L1140)))</f>
        <v/>
      </c>
      <c r="AB1140" s="160" t="str">
        <f t="shared" si="360"/>
        <v/>
      </c>
      <c r="AC1140" s="164" t="str">
        <f t="shared" si="361"/>
        <v/>
      </c>
      <c r="AD1140" s="164" t="str">
        <f>IF(AND($C1139=12,$D1139=Input!$C$6),0,IF($E1140="","",$AC1140+AD1141/(1+$L1140)*$R1140))</f>
        <v/>
      </c>
      <c r="AE1140" s="152"/>
      <c r="AF1140" s="164" t="str">
        <f>IF(AND($C1139=12,$D1139=Input!$C$6),0,IF($E1140="","",IF($B1140&gt;Input!$C$9,$AC1140,0)+AF1141/(1+$L1140)*$R1140))</f>
        <v/>
      </c>
      <c r="AG1140" s="164" t="str">
        <f>IF(AND($C1139=12,$D1139=Input!$C$6),0,IF($E1140="","",(IF($B1140&gt;Input!$C$9,$X1140,0)+AG1141)/(1+$L1140)*$R1140))</f>
        <v/>
      </c>
      <c r="AH1140" s="160" t="str">
        <f t="shared" si="362"/>
        <v/>
      </c>
      <c r="AI1140" s="160" t="str">
        <f>IF($E1140="","",MIN(Input!$C$61/AH1140,1))</f>
        <v/>
      </c>
      <c r="AJ1140" s="152"/>
      <c r="AK1140" s="164" t="str">
        <f>IF(AND($C1139=12,$D1139=Input!$C$6),0,IF($E1140="","",IF($B1140&gt;Input!$C$9,$AC1140*AI1140,0)+AK1141/(1+$L1140)*$R1140))</f>
        <v/>
      </c>
      <c r="AL1140" s="164" t="str">
        <f>IF(AND($C1139=12,$D1139=Input!$C$6),0,IF($E1140="","",IF($B1140&gt;Input!$C$9,0,$AC1140)+AL1141/(1+$L1140)*$R1140))</f>
        <v/>
      </c>
      <c r="AM1140" s="160" t="str">
        <f t="shared" si="363"/>
        <v/>
      </c>
      <c r="AN1140" s="164" t="str">
        <f>IF($E1140="","",IF($B1140&gt;Input!$C$9,$AI1140*$AC1140,$AM1140*$AC1140))</f>
        <v/>
      </c>
      <c r="AO1140" s="164" t="str">
        <f>IF(AND($C1139=12,$D1139=Input!$C$6),0,IF($E1140="","",$AN1140+AO1141/(1+$L1140)*$R1140))</f>
        <v/>
      </c>
      <c r="AP1140" s="152"/>
      <c r="AQ1140" s="164" t="str">
        <f t="shared" si="364"/>
        <v/>
      </c>
      <c r="AR1140" s="164" t="str">
        <f t="shared" si="373"/>
        <v/>
      </c>
      <c r="AS1140" s="164" t="str">
        <f t="shared" si="374"/>
        <v/>
      </c>
      <c r="AT1140" s="164" t="str">
        <f t="shared" si="365"/>
        <v/>
      </c>
      <c r="AU1140" s="152"/>
      <c r="AV1140" s="147" t="str">
        <f>'Deterministic Reserve'!BC1140</f>
        <v/>
      </c>
      <c r="AW1140" s="164" t="str">
        <f t="shared" si="366"/>
        <v/>
      </c>
      <c r="AX1140" s="164" t="str">
        <f t="shared" si="367"/>
        <v/>
      </c>
      <c r="AY1140" s="152"/>
    </row>
    <row r="1141" spans="1:51" s="150" customFormat="1" x14ac:dyDescent="0.25">
      <c r="A1141" s="150" t="str">
        <f t="shared" si="375"/>
        <v/>
      </c>
      <c r="B1141" s="150" t="str">
        <f t="shared" si="376"/>
        <v/>
      </c>
      <c r="C1141" s="150" t="str">
        <f t="shared" si="377"/>
        <v/>
      </c>
      <c r="D1141" s="150" t="str">
        <f>IF(E1141="","",Input!$C$4+B1141-1)</f>
        <v/>
      </c>
      <c r="E1141" s="150" t="str">
        <f>IF(OR(AND(C1140=12,D1140=Input!$C$6),E1140=""),"",1)</f>
        <v/>
      </c>
      <c r="F1141" s="150" t="str">
        <f>IF(E1141="","",Input!$C$8+B1141-1)</f>
        <v/>
      </c>
      <c r="G1141" s="151" t="str">
        <f>IF(E1141="","",MAX(0,Input!$C$9-B1141))</f>
        <v/>
      </c>
      <c r="H1141" s="152" t="str">
        <f>IF(E1141="","",Input!$C$3)</f>
        <v/>
      </c>
      <c r="I1141" s="153" t="str">
        <f>IF(E1141="","",HLOOKUP($B1141,Input!$C$13:$BT$14,2))</f>
        <v/>
      </c>
      <c r="J1141" s="154"/>
      <c r="K1141" s="155" t="str">
        <f>IF($E1141="","",Input!$C$57)</f>
        <v/>
      </c>
      <c r="L1141" s="155" t="str">
        <f t="shared" si="368"/>
        <v/>
      </c>
      <c r="M1141" s="147" t="str">
        <f>IF($E1141="","",VLOOKUP(IF($B1141&lt;=Input!$C$7,$B1141,26),'Mortality Tables'!$A$72:$CA$97,IF($B1141&lt;=Input!$C$7+1,Input!$C$4-16,$D1141-Input!$C$7-16),0)/1000)</f>
        <v/>
      </c>
      <c r="N1141" s="147" t="str">
        <f t="shared" si="357"/>
        <v/>
      </c>
      <c r="O1141" s="157" t="str">
        <f>IF($E1141="","",IF($C1141=12,IF($B1141&lt;Input!$C$9,Input!$C$54,IF($B1141=Input!$C$9,Input!$C$55,Input!$C$56)),0%))</f>
        <v/>
      </c>
      <c r="P1141" s="167" t="str">
        <f>IF($E1141="","",IF($B1141=1,Input!$C$59,IF($B1141&lt;6,Input!$C$60,0%)))</f>
        <v/>
      </c>
      <c r="Q1141" s="162" t="str">
        <f>IF($E1141="","",Input!$C$58)</f>
        <v/>
      </c>
      <c r="R1141" s="156" t="str">
        <f t="shared" si="369"/>
        <v/>
      </c>
      <c r="S1141" s="154" t="str">
        <f t="shared" si="358"/>
        <v/>
      </c>
      <c r="T1141" s="152"/>
      <c r="U1141" s="150" t="str">
        <f t="shared" si="370"/>
        <v/>
      </c>
      <c r="V1141" s="150" t="str">
        <f t="shared" si="371"/>
        <v/>
      </c>
      <c r="W1141" s="168" t="str">
        <f t="shared" si="372"/>
        <v/>
      </c>
      <c r="X1141" s="163" t="str">
        <f t="shared" si="359"/>
        <v/>
      </c>
      <c r="Y1141" s="152"/>
      <c r="Z1141" s="164" t="str">
        <f>IF(AND($C1140=12,$D1140=Input!$C$6),0,IF($E1141="","",V1141+Z1142/(1+L1141)*R1141))</f>
        <v/>
      </c>
      <c r="AA1141" s="164" t="str">
        <f>IF(OR($M1141=1,AND($C1140=12,$D1140=Input!$C$6)),0,IF($E1141="","",W1141+(X1141+AA1142*$R1141)/(1+$L1141)))</f>
        <v/>
      </c>
      <c r="AB1141" s="160" t="str">
        <f t="shared" si="360"/>
        <v/>
      </c>
      <c r="AC1141" s="164" t="str">
        <f t="shared" si="361"/>
        <v/>
      </c>
      <c r="AD1141" s="164" t="str">
        <f>IF(AND($C1140=12,$D1140=Input!$C$6),0,IF($E1141="","",$AC1141+AD1142/(1+$L1141)*$R1141))</f>
        <v/>
      </c>
      <c r="AE1141" s="152"/>
      <c r="AF1141" s="164" t="str">
        <f>IF(AND($C1140=12,$D1140=Input!$C$6),0,IF($E1141="","",IF($B1141&gt;Input!$C$9,$AC1141,0)+AF1142/(1+$L1141)*$R1141))</f>
        <v/>
      </c>
      <c r="AG1141" s="164" t="str">
        <f>IF(AND($C1140=12,$D1140=Input!$C$6),0,IF($E1141="","",(IF($B1141&gt;Input!$C$9,$X1141,0)+AG1142)/(1+$L1141)*$R1141))</f>
        <v/>
      </c>
      <c r="AH1141" s="160" t="str">
        <f t="shared" si="362"/>
        <v/>
      </c>
      <c r="AI1141" s="160" t="str">
        <f>IF($E1141="","",MIN(Input!$C$61/AH1141,1))</f>
        <v/>
      </c>
      <c r="AJ1141" s="152"/>
      <c r="AK1141" s="164" t="str">
        <f>IF(AND($C1140=12,$D1140=Input!$C$6),0,IF($E1141="","",IF($B1141&gt;Input!$C$9,$AC1141*AI1141,0)+AK1142/(1+$L1141)*$R1141))</f>
        <v/>
      </c>
      <c r="AL1141" s="164" t="str">
        <f>IF(AND($C1140=12,$D1140=Input!$C$6),0,IF($E1141="","",IF($B1141&gt;Input!$C$9,0,$AC1141)+AL1142/(1+$L1141)*$R1141))</f>
        <v/>
      </c>
      <c r="AM1141" s="160" t="str">
        <f t="shared" si="363"/>
        <v/>
      </c>
      <c r="AN1141" s="164" t="str">
        <f>IF($E1141="","",IF($B1141&gt;Input!$C$9,$AI1141*$AC1141,$AM1141*$AC1141))</f>
        <v/>
      </c>
      <c r="AO1141" s="164" t="str">
        <f>IF(AND($C1140=12,$D1140=Input!$C$6),0,IF($E1141="","",$AN1141+AO1142/(1+$L1141)*$R1141))</f>
        <v/>
      </c>
      <c r="AP1141" s="152"/>
      <c r="AQ1141" s="164" t="str">
        <f t="shared" si="364"/>
        <v/>
      </c>
      <c r="AR1141" s="164" t="str">
        <f t="shared" si="373"/>
        <v/>
      </c>
      <c r="AS1141" s="164" t="str">
        <f t="shared" si="374"/>
        <v/>
      </c>
      <c r="AT1141" s="164" t="str">
        <f t="shared" si="365"/>
        <v/>
      </c>
      <c r="AU1141" s="152"/>
      <c r="AV1141" s="147" t="str">
        <f>'Deterministic Reserve'!BC1141</f>
        <v/>
      </c>
      <c r="AW1141" s="164" t="str">
        <f t="shared" si="366"/>
        <v/>
      </c>
      <c r="AX1141" s="164" t="str">
        <f t="shared" si="367"/>
        <v/>
      </c>
      <c r="AY1141" s="152"/>
    </row>
    <row r="1142" spans="1:51" s="150" customFormat="1" x14ac:dyDescent="0.25">
      <c r="A1142" s="150" t="str">
        <f t="shared" si="375"/>
        <v/>
      </c>
      <c r="B1142" s="150" t="str">
        <f t="shared" si="376"/>
        <v/>
      </c>
      <c r="C1142" s="150" t="str">
        <f t="shared" si="377"/>
        <v/>
      </c>
      <c r="D1142" s="150" t="str">
        <f>IF(E1142="","",Input!$C$4+B1142-1)</f>
        <v/>
      </c>
      <c r="E1142" s="150" t="str">
        <f>IF(OR(AND(C1141=12,D1141=Input!$C$6),E1141=""),"",1)</f>
        <v/>
      </c>
      <c r="F1142" s="150" t="str">
        <f>IF(E1142="","",Input!$C$8+B1142-1)</f>
        <v/>
      </c>
      <c r="G1142" s="151" t="str">
        <f>IF(E1142="","",MAX(0,Input!$C$9-B1142))</f>
        <v/>
      </c>
      <c r="H1142" s="152" t="str">
        <f>IF(E1142="","",Input!$C$3)</f>
        <v/>
      </c>
      <c r="I1142" s="153" t="str">
        <f>IF(E1142="","",HLOOKUP($B1142,Input!$C$13:$BT$14,2))</f>
        <v/>
      </c>
      <c r="J1142" s="154"/>
      <c r="K1142" s="155" t="str">
        <f>IF($E1142="","",Input!$C$57)</f>
        <v/>
      </c>
      <c r="L1142" s="155" t="str">
        <f t="shared" si="368"/>
        <v/>
      </c>
      <c r="M1142" s="147" t="str">
        <f>IF($E1142="","",VLOOKUP(IF($B1142&lt;=Input!$C$7,$B1142,26),'Mortality Tables'!$A$72:$CA$97,IF($B1142&lt;=Input!$C$7+1,Input!$C$4-16,$D1142-Input!$C$7-16),0)/1000)</f>
        <v/>
      </c>
      <c r="N1142" s="147" t="str">
        <f t="shared" si="357"/>
        <v/>
      </c>
      <c r="O1142" s="157" t="str">
        <f>IF($E1142="","",IF($C1142=12,IF($B1142&lt;Input!$C$9,Input!$C$54,IF($B1142=Input!$C$9,Input!$C$55,Input!$C$56)),0%))</f>
        <v/>
      </c>
      <c r="P1142" s="167" t="str">
        <f>IF($E1142="","",IF($B1142=1,Input!$C$59,IF($B1142&lt;6,Input!$C$60,0%)))</f>
        <v/>
      </c>
      <c r="Q1142" s="162" t="str">
        <f>IF($E1142="","",Input!$C$58)</f>
        <v/>
      </c>
      <c r="R1142" s="156" t="str">
        <f t="shared" si="369"/>
        <v/>
      </c>
      <c r="S1142" s="154" t="str">
        <f t="shared" si="358"/>
        <v/>
      </c>
      <c r="T1142" s="152"/>
      <c r="U1142" s="150" t="str">
        <f t="shared" si="370"/>
        <v/>
      </c>
      <c r="V1142" s="150" t="str">
        <f t="shared" si="371"/>
        <v/>
      </c>
      <c r="W1142" s="168" t="str">
        <f t="shared" si="372"/>
        <v/>
      </c>
      <c r="X1142" s="163" t="str">
        <f t="shared" si="359"/>
        <v/>
      </c>
      <c r="Y1142" s="152"/>
      <c r="Z1142" s="164" t="str">
        <f>IF(AND($C1141=12,$D1141=Input!$C$6),0,IF($E1142="","",V1142+Z1143/(1+L1142)*R1142))</f>
        <v/>
      </c>
      <c r="AA1142" s="164" t="str">
        <f>IF(OR($M1142=1,AND($C1141=12,$D1141=Input!$C$6)),0,IF($E1142="","",W1142+(X1142+AA1143*$R1142)/(1+$L1142)))</f>
        <v/>
      </c>
      <c r="AB1142" s="160" t="str">
        <f t="shared" si="360"/>
        <v/>
      </c>
      <c r="AC1142" s="164" t="str">
        <f t="shared" si="361"/>
        <v/>
      </c>
      <c r="AD1142" s="164" t="str">
        <f>IF(AND($C1141=12,$D1141=Input!$C$6),0,IF($E1142="","",$AC1142+AD1143/(1+$L1142)*$R1142))</f>
        <v/>
      </c>
      <c r="AE1142" s="152"/>
      <c r="AF1142" s="164" t="str">
        <f>IF(AND($C1141=12,$D1141=Input!$C$6),0,IF($E1142="","",IF($B1142&gt;Input!$C$9,$AC1142,0)+AF1143/(1+$L1142)*$R1142))</f>
        <v/>
      </c>
      <c r="AG1142" s="164" t="str">
        <f>IF(AND($C1141=12,$D1141=Input!$C$6),0,IF($E1142="","",(IF($B1142&gt;Input!$C$9,$X1142,0)+AG1143)/(1+$L1142)*$R1142))</f>
        <v/>
      </c>
      <c r="AH1142" s="160" t="str">
        <f t="shared" si="362"/>
        <v/>
      </c>
      <c r="AI1142" s="160" t="str">
        <f>IF($E1142="","",MIN(Input!$C$61/AH1142,1))</f>
        <v/>
      </c>
      <c r="AJ1142" s="152"/>
      <c r="AK1142" s="164" t="str">
        <f>IF(AND($C1141=12,$D1141=Input!$C$6),0,IF($E1142="","",IF($B1142&gt;Input!$C$9,$AC1142*AI1142,0)+AK1143/(1+$L1142)*$R1142))</f>
        <v/>
      </c>
      <c r="AL1142" s="164" t="str">
        <f>IF(AND($C1141=12,$D1141=Input!$C$6),0,IF($E1142="","",IF($B1142&gt;Input!$C$9,0,$AC1142)+AL1143/(1+$L1142)*$R1142))</f>
        <v/>
      </c>
      <c r="AM1142" s="160" t="str">
        <f t="shared" si="363"/>
        <v/>
      </c>
      <c r="AN1142" s="164" t="str">
        <f>IF($E1142="","",IF($B1142&gt;Input!$C$9,$AI1142*$AC1142,$AM1142*$AC1142))</f>
        <v/>
      </c>
      <c r="AO1142" s="164" t="str">
        <f>IF(AND($C1141=12,$D1141=Input!$C$6),0,IF($E1142="","",$AN1142+AO1143/(1+$L1142)*$R1142))</f>
        <v/>
      </c>
      <c r="AP1142" s="152"/>
      <c r="AQ1142" s="164" t="str">
        <f t="shared" si="364"/>
        <v/>
      </c>
      <c r="AR1142" s="164" t="str">
        <f t="shared" si="373"/>
        <v/>
      </c>
      <c r="AS1142" s="164" t="str">
        <f t="shared" si="374"/>
        <v/>
      </c>
      <c r="AT1142" s="164" t="str">
        <f t="shared" si="365"/>
        <v/>
      </c>
      <c r="AU1142" s="152"/>
      <c r="AV1142" s="147" t="str">
        <f>'Deterministic Reserve'!BC1142</f>
        <v/>
      </c>
      <c r="AW1142" s="164" t="str">
        <f t="shared" si="366"/>
        <v/>
      </c>
      <c r="AX1142" s="164" t="str">
        <f t="shared" si="367"/>
        <v/>
      </c>
      <c r="AY1142" s="152"/>
    </row>
    <row r="1143" spans="1:51" s="150" customFormat="1" x14ac:dyDescent="0.25">
      <c r="A1143" s="150" t="str">
        <f t="shared" si="375"/>
        <v/>
      </c>
      <c r="B1143" s="150" t="str">
        <f t="shared" si="376"/>
        <v/>
      </c>
      <c r="C1143" s="150" t="str">
        <f t="shared" si="377"/>
        <v/>
      </c>
      <c r="D1143" s="150" t="str">
        <f>IF(E1143="","",Input!$C$4+B1143-1)</f>
        <v/>
      </c>
      <c r="E1143" s="150" t="str">
        <f>IF(OR(AND(C1142=12,D1142=Input!$C$6),E1142=""),"",1)</f>
        <v/>
      </c>
      <c r="F1143" s="150" t="str">
        <f>IF(E1143="","",Input!$C$8+B1143-1)</f>
        <v/>
      </c>
      <c r="G1143" s="151" t="str">
        <f>IF(E1143="","",MAX(0,Input!$C$9-B1143))</f>
        <v/>
      </c>
      <c r="H1143" s="152" t="str">
        <f>IF(E1143="","",Input!$C$3)</f>
        <v/>
      </c>
      <c r="I1143" s="153" t="str">
        <f>IF(E1143="","",HLOOKUP($B1143,Input!$C$13:$BT$14,2))</f>
        <v/>
      </c>
      <c r="J1143" s="154"/>
      <c r="K1143" s="155" t="str">
        <f>IF($E1143="","",Input!$C$57)</f>
        <v/>
      </c>
      <c r="L1143" s="155" t="str">
        <f t="shared" si="368"/>
        <v/>
      </c>
      <c r="M1143" s="147" t="str">
        <f>IF($E1143="","",VLOOKUP(IF($B1143&lt;=Input!$C$7,$B1143,26),'Mortality Tables'!$A$72:$CA$97,IF($B1143&lt;=Input!$C$7+1,Input!$C$4-16,$D1143-Input!$C$7-16),0)/1000)</f>
        <v/>
      </c>
      <c r="N1143" s="147" t="str">
        <f t="shared" si="357"/>
        <v/>
      </c>
      <c r="O1143" s="157" t="str">
        <f>IF($E1143="","",IF($C1143=12,IF($B1143&lt;Input!$C$9,Input!$C$54,IF($B1143=Input!$C$9,Input!$C$55,Input!$C$56)),0%))</f>
        <v/>
      </c>
      <c r="P1143" s="167" t="str">
        <f>IF($E1143="","",IF($B1143=1,Input!$C$59,IF($B1143&lt;6,Input!$C$60,0%)))</f>
        <v/>
      </c>
      <c r="Q1143" s="162" t="str">
        <f>IF($E1143="","",Input!$C$58)</f>
        <v/>
      </c>
      <c r="R1143" s="156" t="str">
        <f t="shared" si="369"/>
        <v/>
      </c>
      <c r="S1143" s="154" t="str">
        <f t="shared" si="358"/>
        <v/>
      </c>
      <c r="T1143" s="152"/>
      <c r="U1143" s="150" t="str">
        <f t="shared" si="370"/>
        <v/>
      </c>
      <c r="V1143" s="150" t="str">
        <f t="shared" si="371"/>
        <v/>
      </c>
      <c r="W1143" s="168" t="str">
        <f t="shared" si="372"/>
        <v/>
      </c>
      <c r="X1143" s="163" t="str">
        <f t="shared" si="359"/>
        <v/>
      </c>
      <c r="Y1143" s="152"/>
      <c r="Z1143" s="164" t="str">
        <f>IF(AND($C1142=12,$D1142=Input!$C$6),0,IF($E1143="","",V1143+Z1144/(1+L1143)*R1143))</f>
        <v/>
      </c>
      <c r="AA1143" s="164" t="str">
        <f>IF(OR($M1143=1,AND($C1142=12,$D1142=Input!$C$6)),0,IF($E1143="","",W1143+(X1143+AA1144*$R1143)/(1+$L1143)))</f>
        <v/>
      </c>
      <c r="AB1143" s="160" t="str">
        <f t="shared" si="360"/>
        <v/>
      </c>
      <c r="AC1143" s="164" t="str">
        <f t="shared" si="361"/>
        <v/>
      </c>
      <c r="AD1143" s="164" t="str">
        <f>IF(AND($C1142=12,$D1142=Input!$C$6),0,IF($E1143="","",$AC1143+AD1144/(1+$L1143)*$R1143))</f>
        <v/>
      </c>
      <c r="AE1143" s="152"/>
      <c r="AF1143" s="164" t="str">
        <f>IF(AND($C1142=12,$D1142=Input!$C$6),0,IF($E1143="","",IF($B1143&gt;Input!$C$9,$AC1143,0)+AF1144/(1+$L1143)*$R1143))</f>
        <v/>
      </c>
      <c r="AG1143" s="164" t="str">
        <f>IF(AND($C1142=12,$D1142=Input!$C$6),0,IF($E1143="","",(IF($B1143&gt;Input!$C$9,$X1143,0)+AG1144)/(1+$L1143)*$R1143))</f>
        <v/>
      </c>
      <c r="AH1143" s="160" t="str">
        <f t="shared" si="362"/>
        <v/>
      </c>
      <c r="AI1143" s="160" t="str">
        <f>IF($E1143="","",MIN(Input!$C$61/AH1143,1))</f>
        <v/>
      </c>
      <c r="AJ1143" s="152"/>
      <c r="AK1143" s="164" t="str">
        <f>IF(AND($C1142=12,$D1142=Input!$C$6),0,IF($E1143="","",IF($B1143&gt;Input!$C$9,$AC1143*AI1143,0)+AK1144/(1+$L1143)*$R1143))</f>
        <v/>
      </c>
      <c r="AL1143" s="164" t="str">
        <f>IF(AND($C1142=12,$D1142=Input!$C$6),0,IF($E1143="","",IF($B1143&gt;Input!$C$9,0,$AC1143)+AL1144/(1+$L1143)*$R1143))</f>
        <v/>
      </c>
      <c r="AM1143" s="160" t="str">
        <f t="shared" si="363"/>
        <v/>
      </c>
      <c r="AN1143" s="164" t="str">
        <f>IF($E1143="","",IF($B1143&gt;Input!$C$9,$AI1143*$AC1143,$AM1143*$AC1143))</f>
        <v/>
      </c>
      <c r="AO1143" s="164" t="str">
        <f>IF(AND($C1142=12,$D1142=Input!$C$6),0,IF($E1143="","",$AN1143+AO1144/(1+$L1143)*$R1143))</f>
        <v/>
      </c>
      <c r="AP1143" s="152"/>
      <c r="AQ1143" s="164" t="str">
        <f t="shared" si="364"/>
        <v/>
      </c>
      <c r="AR1143" s="164" t="str">
        <f t="shared" si="373"/>
        <v/>
      </c>
      <c r="AS1143" s="164" t="str">
        <f t="shared" si="374"/>
        <v/>
      </c>
      <c r="AT1143" s="164" t="str">
        <f t="shared" si="365"/>
        <v/>
      </c>
      <c r="AU1143" s="152"/>
      <c r="AV1143" s="147" t="str">
        <f>'Deterministic Reserve'!BC1143</f>
        <v/>
      </c>
      <c r="AW1143" s="164" t="str">
        <f t="shared" si="366"/>
        <v/>
      </c>
      <c r="AX1143" s="164" t="str">
        <f t="shared" si="367"/>
        <v/>
      </c>
      <c r="AY1143" s="152"/>
    </row>
    <row r="1144" spans="1:51" s="150" customFormat="1" x14ac:dyDescent="0.25">
      <c r="A1144" s="150" t="str">
        <f t="shared" si="375"/>
        <v/>
      </c>
      <c r="B1144" s="150" t="str">
        <f t="shared" si="376"/>
        <v/>
      </c>
      <c r="C1144" s="150" t="str">
        <f t="shared" si="377"/>
        <v/>
      </c>
      <c r="D1144" s="150" t="str">
        <f>IF(E1144="","",Input!$C$4+B1144-1)</f>
        <v/>
      </c>
      <c r="E1144" s="150" t="str">
        <f>IF(OR(AND(C1143=12,D1143=Input!$C$6),E1143=""),"",1)</f>
        <v/>
      </c>
      <c r="F1144" s="150" t="str">
        <f>IF(E1144="","",Input!$C$8+B1144-1)</f>
        <v/>
      </c>
      <c r="G1144" s="151" t="str">
        <f>IF(E1144="","",MAX(0,Input!$C$9-B1144))</f>
        <v/>
      </c>
      <c r="H1144" s="152" t="str">
        <f>IF(E1144="","",Input!$C$3)</f>
        <v/>
      </c>
      <c r="I1144" s="153" t="str">
        <f>IF(E1144="","",HLOOKUP($B1144,Input!$C$13:$BT$14,2))</f>
        <v/>
      </c>
      <c r="J1144" s="154"/>
      <c r="K1144" s="155" t="str">
        <f>IF($E1144="","",Input!$C$57)</f>
        <v/>
      </c>
      <c r="L1144" s="155" t="str">
        <f t="shared" si="368"/>
        <v/>
      </c>
      <c r="M1144" s="147" t="str">
        <f>IF($E1144="","",VLOOKUP(IF($B1144&lt;=Input!$C$7,$B1144,26),'Mortality Tables'!$A$72:$CA$97,IF($B1144&lt;=Input!$C$7+1,Input!$C$4-16,$D1144-Input!$C$7-16),0)/1000)</f>
        <v/>
      </c>
      <c r="N1144" s="147" t="str">
        <f t="shared" si="357"/>
        <v/>
      </c>
      <c r="O1144" s="157" t="str">
        <f>IF($E1144="","",IF($C1144=12,IF($B1144&lt;Input!$C$9,Input!$C$54,IF($B1144=Input!$C$9,Input!$C$55,Input!$C$56)),0%))</f>
        <v/>
      </c>
      <c r="P1144" s="167" t="str">
        <f>IF($E1144="","",IF($B1144=1,Input!$C$59,IF($B1144&lt;6,Input!$C$60,0%)))</f>
        <v/>
      </c>
      <c r="Q1144" s="162" t="str">
        <f>IF($E1144="","",Input!$C$58)</f>
        <v/>
      </c>
      <c r="R1144" s="156" t="str">
        <f t="shared" si="369"/>
        <v/>
      </c>
      <c r="S1144" s="154" t="str">
        <f t="shared" si="358"/>
        <v/>
      </c>
      <c r="T1144" s="152"/>
      <c r="U1144" s="150" t="str">
        <f t="shared" si="370"/>
        <v/>
      </c>
      <c r="V1144" s="150" t="str">
        <f t="shared" si="371"/>
        <v/>
      </c>
      <c r="W1144" s="168" t="str">
        <f t="shared" si="372"/>
        <v/>
      </c>
      <c r="X1144" s="163" t="str">
        <f t="shared" si="359"/>
        <v/>
      </c>
      <c r="Y1144" s="152"/>
      <c r="Z1144" s="164" t="str">
        <f>IF(AND($C1143=12,$D1143=Input!$C$6),0,IF($E1144="","",V1144+Z1145/(1+L1144)*R1144))</f>
        <v/>
      </c>
      <c r="AA1144" s="164" t="str">
        <f>IF(OR($M1144=1,AND($C1143=12,$D1143=Input!$C$6)),0,IF($E1144="","",W1144+(X1144+AA1145*$R1144)/(1+$L1144)))</f>
        <v/>
      </c>
      <c r="AB1144" s="160" t="str">
        <f t="shared" si="360"/>
        <v/>
      </c>
      <c r="AC1144" s="164" t="str">
        <f t="shared" si="361"/>
        <v/>
      </c>
      <c r="AD1144" s="164" t="str">
        <f>IF(AND($C1143=12,$D1143=Input!$C$6),0,IF($E1144="","",$AC1144+AD1145/(1+$L1144)*$R1144))</f>
        <v/>
      </c>
      <c r="AE1144" s="152"/>
      <c r="AF1144" s="164" t="str">
        <f>IF(AND($C1143=12,$D1143=Input!$C$6),0,IF($E1144="","",IF($B1144&gt;Input!$C$9,$AC1144,0)+AF1145/(1+$L1144)*$R1144))</f>
        <v/>
      </c>
      <c r="AG1144" s="164" t="str">
        <f>IF(AND($C1143=12,$D1143=Input!$C$6),0,IF($E1144="","",(IF($B1144&gt;Input!$C$9,$X1144,0)+AG1145)/(1+$L1144)*$R1144))</f>
        <v/>
      </c>
      <c r="AH1144" s="160" t="str">
        <f t="shared" si="362"/>
        <v/>
      </c>
      <c r="AI1144" s="160" t="str">
        <f>IF($E1144="","",MIN(Input!$C$61/AH1144,1))</f>
        <v/>
      </c>
      <c r="AJ1144" s="152"/>
      <c r="AK1144" s="164" t="str">
        <f>IF(AND($C1143=12,$D1143=Input!$C$6),0,IF($E1144="","",IF($B1144&gt;Input!$C$9,$AC1144*AI1144,0)+AK1145/(1+$L1144)*$R1144))</f>
        <v/>
      </c>
      <c r="AL1144" s="164" t="str">
        <f>IF(AND($C1143=12,$D1143=Input!$C$6),0,IF($E1144="","",IF($B1144&gt;Input!$C$9,0,$AC1144)+AL1145/(1+$L1144)*$R1144))</f>
        <v/>
      </c>
      <c r="AM1144" s="160" t="str">
        <f t="shared" si="363"/>
        <v/>
      </c>
      <c r="AN1144" s="164" t="str">
        <f>IF($E1144="","",IF($B1144&gt;Input!$C$9,$AI1144*$AC1144,$AM1144*$AC1144))</f>
        <v/>
      </c>
      <c r="AO1144" s="164" t="str">
        <f>IF(AND($C1143=12,$D1143=Input!$C$6),0,IF($E1144="","",$AN1144+AO1145/(1+$L1144)*$R1144))</f>
        <v/>
      </c>
      <c r="AP1144" s="152"/>
      <c r="AQ1144" s="164" t="str">
        <f t="shared" si="364"/>
        <v/>
      </c>
      <c r="AR1144" s="164" t="str">
        <f t="shared" si="373"/>
        <v/>
      </c>
      <c r="AS1144" s="164" t="str">
        <f t="shared" si="374"/>
        <v/>
      </c>
      <c r="AT1144" s="164" t="str">
        <f t="shared" si="365"/>
        <v/>
      </c>
      <c r="AU1144" s="152"/>
      <c r="AV1144" s="147" t="str">
        <f>'Deterministic Reserve'!BC1144</f>
        <v/>
      </c>
      <c r="AW1144" s="164" t="str">
        <f t="shared" si="366"/>
        <v/>
      </c>
      <c r="AX1144" s="164" t="str">
        <f t="shared" si="367"/>
        <v/>
      </c>
      <c r="AY1144" s="152"/>
    </row>
    <row r="1145" spans="1:51" s="150" customFormat="1" x14ac:dyDescent="0.25">
      <c r="A1145" s="150" t="str">
        <f t="shared" si="375"/>
        <v/>
      </c>
      <c r="B1145" s="150" t="str">
        <f t="shared" si="376"/>
        <v/>
      </c>
      <c r="C1145" s="150" t="str">
        <f t="shared" si="377"/>
        <v/>
      </c>
      <c r="D1145" s="150" t="str">
        <f>IF(E1145="","",Input!$C$4+B1145-1)</f>
        <v/>
      </c>
      <c r="E1145" s="150" t="str">
        <f>IF(OR(AND(C1144=12,D1144=Input!$C$6),E1144=""),"",1)</f>
        <v/>
      </c>
      <c r="F1145" s="150" t="str">
        <f>IF(E1145="","",Input!$C$8+B1145-1)</f>
        <v/>
      </c>
      <c r="G1145" s="151" t="str">
        <f>IF(E1145="","",MAX(0,Input!$C$9-B1145))</f>
        <v/>
      </c>
      <c r="H1145" s="152" t="str">
        <f>IF(E1145="","",Input!$C$3)</f>
        <v/>
      </c>
      <c r="I1145" s="153" t="str">
        <f>IF(E1145="","",HLOOKUP($B1145,Input!$C$13:$BT$14,2))</f>
        <v/>
      </c>
      <c r="J1145" s="154"/>
      <c r="K1145" s="155" t="str">
        <f>IF($E1145="","",Input!$C$57)</f>
        <v/>
      </c>
      <c r="L1145" s="155" t="str">
        <f t="shared" si="368"/>
        <v/>
      </c>
      <c r="M1145" s="147" t="str">
        <f>IF($E1145="","",VLOOKUP(IF($B1145&lt;=Input!$C$7,$B1145,26),'Mortality Tables'!$A$72:$CA$97,IF($B1145&lt;=Input!$C$7+1,Input!$C$4-16,$D1145-Input!$C$7-16),0)/1000)</f>
        <v/>
      </c>
      <c r="N1145" s="147" t="str">
        <f t="shared" si="357"/>
        <v/>
      </c>
      <c r="O1145" s="157" t="str">
        <f>IF($E1145="","",IF($C1145=12,IF($B1145&lt;Input!$C$9,Input!$C$54,IF($B1145=Input!$C$9,Input!$C$55,Input!$C$56)),0%))</f>
        <v/>
      </c>
      <c r="P1145" s="167" t="str">
        <f>IF($E1145="","",IF($B1145=1,Input!$C$59,IF($B1145&lt;6,Input!$C$60,0%)))</f>
        <v/>
      </c>
      <c r="Q1145" s="162" t="str">
        <f>IF($E1145="","",Input!$C$58)</f>
        <v/>
      </c>
      <c r="R1145" s="156" t="str">
        <f t="shared" si="369"/>
        <v/>
      </c>
      <c r="S1145" s="154" t="str">
        <f t="shared" si="358"/>
        <v/>
      </c>
      <c r="T1145" s="152"/>
      <c r="U1145" s="150" t="str">
        <f t="shared" si="370"/>
        <v/>
      </c>
      <c r="V1145" s="150" t="str">
        <f t="shared" si="371"/>
        <v/>
      </c>
      <c r="W1145" s="168" t="str">
        <f t="shared" si="372"/>
        <v/>
      </c>
      <c r="X1145" s="163" t="str">
        <f t="shared" si="359"/>
        <v/>
      </c>
      <c r="Y1145" s="152"/>
      <c r="Z1145" s="164" t="str">
        <f>IF(AND($C1144=12,$D1144=Input!$C$6),0,IF($E1145="","",V1145+Z1146/(1+L1145)*R1145))</f>
        <v/>
      </c>
      <c r="AA1145" s="164" t="str">
        <f>IF(OR($M1145=1,AND($C1144=12,$D1144=Input!$C$6)),0,IF($E1145="","",W1145+(X1145+AA1146*$R1145)/(1+$L1145)))</f>
        <v/>
      </c>
      <c r="AB1145" s="160" t="str">
        <f t="shared" si="360"/>
        <v/>
      </c>
      <c r="AC1145" s="164" t="str">
        <f t="shared" si="361"/>
        <v/>
      </c>
      <c r="AD1145" s="164" t="str">
        <f>IF(AND($C1144=12,$D1144=Input!$C$6),0,IF($E1145="","",$AC1145+AD1146/(1+$L1145)*$R1145))</f>
        <v/>
      </c>
      <c r="AE1145" s="152"/>
      <c r="AF1145" s="164" t="str">
        <f>IF(AND($C1144=12,$D1144=Input!$C$6),0,IF($E1145="","",IF($B1145&gt;Input!$C$9,$AC1145,0)+AF1146/(1+$L1145)*$R1145))</f>
        <v/>
      </c>
      <c r="AG1145" s="164" t="str">
        <f>IF(AND($C1144=12,$D1144=Input!$C$6),0,IF($E1145="","",(IF($B1145&gt;Input!$C$9,$X1145,0)+AG1146)/(1+$L1145)*$R1145))</f>
        <v/>
      </c>
      <c r="AH1145" s="160" t="str">
        <f t="shared" si="362"/>
        <v/>
      </c>
      <c r="AI1145" s="160" t="str">
        <f>IF($E1145="","",MIN(Input!$C$61/AH1145,1))</f>
        <v/>
      </c>
      <c r="AJ1145" s="152"/>
      <c r="AK1145" s="164" t="str">
        <f>IF(AND($C1144=12,$D1144=Input!$C$6),0,IF($E1145="","",IF($B1145&gt;Input!$C$9,$AC1145*AI1145,0)+AK1146/(1+$L1145)*$R1145))</f>
        <v/>
      </c>
      <c r="AL1145" s="164" t="str">
        <f>IF(AND($C1144=12,$D1144=Input!$C$6),0,IF($E1145="","",IF($B1145&gt;Input!$C$9,0,$AC1145)+AL1146/(1+$L1145)*$R1145))</f>
        <v/>
      </c>
      <c r="AM1145" s="160" t="str">
        <f t="shared" si="363"/>
        <v/>
      </c>
      <c r="AN1145" s="164" t="str">
        <f>IF($E1145="","",IF($B1145&gt;Input!$C$9,$AI1145*$AC1145,$AM1145*$AC1145))</f>
        <v/>
      </c>
      <c r="AO1145" s="164" t="str">
        <f>IF(AND($C1144=12,$D1144=Input!$C$6),0,IF($E1145="","",$AN1145+AO1146/(1+$L1145)*$R1145))</f>
        <v/>
      </c>
      <c r="AP1145" s="152"/>
      <c r="AQ1145" s="164" t="str">
        <f t="shared" si="364"/>
        <v/>
      </c>
      <c r="AR1145" s="164" t="str">
        <f t="shared" si="373"/>
        <v/>
      </c>
      <c r="AS1145" s="164" t="str">
        <f t="shared" si="374"/>
        <v/>
      </c>
      <c r="AT1145" s="164" t="str">
        <f t="shared" si="365"/>
        <v/>
      </c>
      <c r="AU1145" s="152"/>
      <c r="AV1145" s="147" t="str">
        <f>'Deterministic Reserve'!BC1145</f>
        <v/>
      </c>
      <c r="AW1145" s="164" t="str">
        <f t="shared" si="366"/>
        <v/>
      </c>
      <c r="AX1145" s="164" t="str">
        <f t="shared" si="367"/>
        <v/>
      </c>
      <c r="AY1145" s="152"/>
    </row>
    <row r="1146" spans="1:51" s="150" customFormat="1" x14ac:dyDescent="0.25">
      <c r="A1146" s="150" t="str">
        <f t="shared" si="375"/>
        <v/>
      </c>
      <c r="B1146" s="150" t="str">
        <f t="shared" si="376"/>
        <v/>
      </c>
      <c r="C1146" s="150" t="str">
        <f t="shared" si="377"/>
        <v/>
      </c>
      <c r="D1146" s="150" t="str">
        <f>IF(E1146="","",Input!$C$4+B1146-1)</f>
        <v/>
      </c>
      <c r="E1146" s="150" t="str">
        <f>IF(OR(AND(C1145=12,D1145=Input!$C$6),E1145=""),"",1)</f>
        <v/>
      </c>
      <c r="F1146" s="150" t="str">
        <f>IF(E1146="","",Input!$C$8+B1146-1)</f>
        <v/>
      </c>
      <c r="G1146" s="151" t="str">
        <f>IF(E1146="","",MAX(0,Input!$C$9-B1146))</f>
        <v/>
      </c>
      <c r="H1146" s="152" t="str">
        <f>IF(E1146="","",Input!$C$3)</f>
        <v/>
      </c>
      <c r="I1146" s="153" t="str">
        <f>IF(E1146="","",HLOOKUP($B1146,Input!$C$13:$BT$14,2))</f>
        <v/>
      </c>
      <c r="J1146" s="154"/>
      <c r="K1146" s="155" t="str">
        <f>IF($E1146="","",Input!$C$57)</f>
        <v/>
      </c>
      <c r="L1146" s="155" t="str">
        <f t="shared" si="368"/>
        <v/>
      </c>
      <c r="M1146" s="147" t="str">
        <f>IF($E1146="","",VLOOKUP(IF($B1146&lt;=Input!$C$7,$B1146,26),'Mortality Tables'!$A$72:$CA$97,IF($B1146&lt;=Input!$C$7+1,Input!$C$4-16,$D1146-Input!$C$7-16),0)/1000)</f>
        <v/>
      </c>
      <c r="N1146" s="147" t="str">
        <f t="shared" si="357"/>
        <v/>
      </c>
      <c r="O1146" s="157" t="str">
        <f>IF($E1146="","",IF($C1146=12,IF($B1146&lt;Input!$C$9,Input!$C$54,IF($B1146=Input!$C$9,Input!$C$55,Input!$C$56)),0%))</f>
        <v/>
      </c>
      <c r="P1146" s="167" t="str">
        <f>IF($E1146="","",IF($B1146=1,Input!$C$59,IF($B1146&lt;6,Input!$C$60,0%)))</f>
        <v/>
      </c>
      <c r="Q1146" s="162" t="str">
        <f>IF($E1146="","",Input!$C$58)</f>
        <v/>
      </c>
      <c r="R1146" s="156" t="str">
        <f t="shared" si="369"/>
        <v/>
      </c>
      <c r="S1146" s="154" t="str">
        <f t="shared" si="358"/>
        <v/>
      </c>
      <c r="T1146" s="152"/>
      <c r="U1146" s="150" t="str">
        <f t="shared" si="370"/>
        <v/>
      </c>
      <c r="V1146" s="150" t="str">
        <f t="shared" si="371"/>
        <v/>
      </c>
      <c r="W1146" s="168" t="str">
        <f t="shared" si="372"/>
        <v/>
      </c>
      <c r="X1146" s="163" t="str">
        <f t="shared" si="359"/>
        <v/>
      </c>
      <c r="Y1146" s="152"/>
      <c r="Z1146" s="164" t="str">
        <f>IF(AND($C1145=12,$D1145=Input!$C$6),0,IF($E1146="","",V1146+Z1147/(1+L1146)*R1146))</f>
        <v/>
      </c>
      <c r="AA1146" s="164" t="str">
        <f>IF(OR($M1146=1,AND($C1145=12,$D1145=Input!$C$6)),0,IF($E1146="","",W1146+(X1146+AA1147*$R1146)/(1+$L1146)))</f>
        <v/>
      </c>
      <c r="AB1146" s="160" t="str">
        <f t="shared" si="360"/>
        <v/>
      </c>
      <c r="AC1146" s="164" t="str">
        <f t="shared" si="361"/>
        <v/>
      </c>
      <c r="AD1146" s="164" t="str">
        <f>IF(AND($C1145=12,$D1145=Input!$C$6),0,IF($E1146="","",$AC1146+AD1147/(1+$L1146)*$R1146))</f>
        <v/>
      </c>
      <c r="AE1146" s="152"/>
      <c r="AF1146" s="164" t="str">
        <f>IF(AND($C1145=12,$D1145=Input!$C$6),0,IF($E1146="","",IF($B1146&gt;Input!$C$9,$AC1146,0)+AF1147/(1+$L1146)*$R1146))</f>
        <v/>
      </c>
      <c r="AG1146" s="164" t="str">
        <f>IF(AND($C1145=12,$D1145=Input!$C$6),0,IF($E1146="","",(IF($B1146&gt;Input!$C$9,$X1146,0)+AG1147)/(1+$L1146)*$R1146))</f>
        <v/>
      </c>
      <c r="AH1146" s="160" t="str">
        <f t="shared" si="362"/>
        <v/>
      </c>
      <c r="AI1146" s="160" t="str">
        <f>IF($E1146="","",MIN(Input!$C$61/AH1146,1))</f>
        <v/>
      </c>
      <c r="AJ1146" s="152"/>
      <c r="AK1146" s="164" t="str">
        <f>IF(AND($C1145=12,$D1145=Input!$C$6),0,IF($E1146="","",IF($B1146&gt;Input!$C$9,$AC1146*AI1146,0)+AK1147/(1+$L1146)*$R1146))</f>
        <v/>
      </c>
      <c r="AL1146" s="164" t="str">
        <f>IF(AND($C1145=12,$D1145=Input!$C$6),0,IF($E1146="","",IF($B1146&gt;Input!$C$9,0,$AC1146)+AL1147/(1+$L1146)*$R1146))</f>
        <v/>
      </c>
      <c r="AM1146" s="160" t="str">
        <f t="shared" si="363"/>
        <v/>
      </c>
      <c r="AN1146" s="164" t="str">
        <f>IF($E1146="","",IF($B1146&gt;Input!$C$9,$AI1146*$AC1146,$AM1146*$AC1146))</f>
        <v/>
      </c>
      <c r="AO1146" s="164" t="str">
        <f>IF(AND($C1145=12,$D1145=Input!$C$6),0,IF($E1146="","",$AN1146+AO1147/(1+$L1146)*$R1146))</f>
        <v/>
      </c>
      <c r="AP1146" s="152"/>
      <c r="AQ1146" s="164" t="str">
        <f t="shared" si="364"/>
        <v/>
      </c>
      <c r="AR1146" s="164" t="str">
        <f t="shared" si="373"/>
        <v/>
      </c>
      <c r="AS1146" s="164" t="str">
        <f t="shared" si="374"/>
        <v/>
      </c>
      <c r="AT1146" s="164" t="str">
        <f t="shared" si="365"/>
        <v/>
      </c>
      <c r="AU1146" s="152"/>
      <c r="AV1146" s="147" t="str">
        <f>'Deterministic Reserve'!BC1146</f>
        <v/>
      </c>
      <c r="AW1146" s="164" t="str">
        <f t="shared" si="366"/>
        <v/>
      </c>
      <c r="AX1146" s="164" t="str">
        <f t="shared" si="367"/>
        <v/>
      </c>
      <c r="AY1146" s="152"/>
    </row>
    <row r="1147" spans="1:51" s="150" customFormat="1" x14ac:dyDescent="0.25">
      <c r="A1147" s="150" t="str">
        <f t="shared" si="375"/>
        <v/>
      </c>
      <c r="B1147" s="150" t="str">
        <f t="shared" si="376"/>
        <v/>
      </c>
      <c r="C1147" s="150" t="str">
        <f t="shared" si="377"/>
        <v/>
      </c>
      <c r="D1147" s="150" t="str">
        <f>IF(E1147="","",Input!$C$4+B1147-1)</f>
        <v/>
      </c>
      <c r="E1147" s="150" t="str">
        <f>IF(OR(AND(C1146=12,D1146=Input!$C$6),E1146=""),"",1)</f>
        <v/>
      </c>
      <c r="F1147" s="150" t="str">
        <f>IF(E1147="","",Input!$C$8+B1147-1)</f>
        <v/>
      </c>
      <c r="G1147" s="151" t="str">
        <f>IF(E1147="","",MAX(0,Input!$C$9-B1147))</f>
        <v/>
      </c>
      <c r="H1147" s="152" t="str">
        <f>IF(E1147="","",Input!$C$3)</f>
        <v/>
      </c>
      <c r="I1147" s="153" t="str">
        <f>IF(E1147="","",HLOOKUP($B1147,Input!$C$13:$BT$14,2))</f>
        <v/>
      </c>
      <c r="J1147" s="154"/>
      <c r="K1147" s="155" t="str">
        <f>IF($E1147="","",Input!$C$57)</f>
        <v/>
      </c>
      <c r="L1147" s="155" t="str">
        <f t="shared" si="368"/>
        <v/>
      </c>
      <c r="M1147" s="147" t="str">
        <f>IF($E1147="","",VLOOKUP(IF($B1147&lt;=Input!$C$7,$B1147,26),'Mortality Tables'!$A$72:$CA$97,IF($B1147&lt;=Input!$C$7+1,Input!$C$4-16,$D1147-Input!$C$7-16),0)/1000)</f>
        <v/>
      </c>
      <c r="N1147" s="147" t="str">
        <f t="shared" si="357"/>
        <v/>
      </c>
      <c r="O1147" s="157" t="str">
        <f>IF($E1147="","",IF($C1147=12,IF($B1147&lt;Input!$C$9,Input!$C$54,IF($B1147=Input!$C$9,Input!$C$55,Input!$C$56)),0%))</f>
        <v/>
      </c>
      <c r="P1147" s="167" t="str">
        <f>IF($E1147="","",IF($B1147=1,Input!$C$59,IF($B1147&lt;6,Input!$C$60,0%)))</f>
        <v/>
      </c>
      <c r="Q1147" s="162" t="str">
        <f>IF($E1147="","",Input!$C$58)</f>
        <v/>
      </c>
      <c r="R1147" s="156" t="str">
        <f t="shared" si="369"/>
        <v/>
      </c>
      <c r="S1147" s="154" t="str">
        <f t="shared" si="358"/>
        <v/>
      </c>
      <c r="T1147" s="152"/>
      <c r="U1147" s="150" t="str">
        <f t="shared" si="370"/>
        <v/>
      </c>
      <c r="V1147" s="150" t="str">
        <f t="shared" si="371"/>
        <v/>
      </c>
      <c r="W1147" s="168" t="str">
        <f t="shared" si="372"/>
        <v/>
      </c>
      <c r="X1147" s="163" t="str">
        <f t="shared" si="359"/>
        <v/>
      </c>
      <c r="Y1147" s="152"/>
      <c r="Z1147" s="164" t="str">
        <f>IF(AND($C1146=12,$D1146=Input!$C$6),0,IF($E1147="","",V1147+Z1148/(1+L1147)*R1147))</f>
        <v/>
      </c>
      <c r="AA1147" s="164" t="str">
        <f>IF(OR($M1147=1,AND($C1146=12,$D1146=Input!$C$6)),0,IF($E1147="","",W1147+(X1147+AA1148*$R1147)/(1+$L1147)))</f>
        <v/>
      </c>
      <c r="AB1147" s="160" t="str">
        <f t="shared" si="360"/>
        <v/>
      </c>
      <c r="AC1147" s="164" t="str">
        <f t="shared" si="361"/>
        <v/>
      </c>
      <c r="AD1147" s="164" t="str">
        <f>IF(AND($C1146=12,$D1146=Input!$C$6),0,IF($E1147="","",$AC1147+AD1148/(1+$L1147)*$R1147))</f>
        <v/>
      </c>
      <c r="AE1147" s="152"/>
      <c r="AF1147" s="164" t="str">
        <f>IF(AND($C1146=12,$D1146=Input!$C$6),0,IF($E1147="","",IF($B1147&gt;Input!$C$9,$AC1147,0)+AF1148/(1+$L1147)*$R1147))</f>
        <v/>
      </c>
      <c r="AG1147" s="164" t="str">
        <f>IF(AND($C1146=12,$D1146=Input!$C$6),0,IF($E1147="","",(IF($B1147&gt;Input!$C$9,$X1147,0)+AG1148)/(1+$L1147)*$R1147))</f>
        <v/>
      </c>
      <c r="AH1147" s="160" t="str">
        <f t="shared" si="362"/>
        <v/>
      </c>
      <c r="AI1147" s="160" t="str">
        <f>IF($E1147="","",MIN(Input!$C$61/AH1147,1))</f>
        <v/>
      </c>
      <c r="AJ1147" s="152"/>
      <c r="AK1147" s="164" t="str">
        <f>IF(AND($C1146=12,$D1146=Input!$C$6),0,IF($E1147="","",IF($B1147&gt;Input!$C$9,$AC1147*AI1147,0)+AK1148/(1+$L1147)*$R1147))</f>
        <v/>
      </c>
      <c r="AL1147" s="164" t="str">
        <f>IF(AND($C1146=12,$D1146=Input!$C$6),0,IF($E1147="","",IF($B1147&gt;Input!$C$9,0,$AC1147)+AL1148/(1+$L1147)*$R1147))</f>
        <v/>
      </c>
      <c r="AM1147" s="160" t="str">
        <f t="shared" si="363"/>
        <v/>
      </c>
      <c r="AN1147" s="164" t="str">
        <f>IF($E1147="","",IF($B1147&gt;Input!$C$9,$AI1147*$AC1147,$AM1147*$AC1147))</f>
        <v/>
      </c>
      <c r="AO1147" s="164" t="str">
        <f>IF(AND($C1146=12,$D1146=Input!$C$6),0,IF($E1147="","",$AN1147+AO1148/(1+$L1147)*$R1147))</f>
        <v/>
      </c>
      <c r="AP1147" s="152"/>
      <c r="AQ1147" s="164" t="str">
        <f t="shared" si="364"/>
        <v/>
      </c>
      <c r="AR1147" s="164" t="str">
        <f t="shared" si="373"/>
        <v/>
      </c>
      <c r="AS1147" s="164" t="str">
        <f t="shared" si="374"/>
        <v/>
      </c>
      <c r="AT1147" s="164" t="str">
        <f t="shared" si="365"/>
        <v/>
      </c>
      <c r="AU1147" s="152"/>
      <c r="AV1147" s="147" t="str">
        <f>'Deterministic Reserve'!BC1147</f>
        <v/>
      </c>
      <c r="AW1147" s="164" t="str">
        <f t="shared" si="366"/>
        <v/>
      </c>
      <c r="AX1147" s="164" t="str">
        <f t="shared" si="367"/>
        <v/>
      </c>
      <c r="AY1147" s="152"/>
    </row>
    <row r="1148" spans="1:51" s="150" customFormat="1" x14ac:dyDescent="0.25">
      <c r="A1148" s="150" t="str">
        <f t="shared" si="375"/>
        <v/>
      </c>
      <c r="B1148" s="150" t="str">
        <f t="shared" si="376"/>
        <v/>
      </c>
      <c r="C1148" s="150" t="str">
        <f t="shared" si="377"/>
        <v/>
      </c>
      <c r="D1148" s="150" t="str">
        <f>IF(E1148="","",Input!$C$4+B1148-1)</f>
        <v/>
      </c>
      <c r="E1148" s="150" t="str">
        <f>IF(OR(AND(C1147=12,D1147=Input!$C$6),E1147=""),"",1)</f>
        <v/>
      </c>
      <c r="F1148" s="150" t="str">
        <f>IF(E1148="","",Input!$C$8+B1148-1)</f>
        <v/>
      </c>
      <c r="G1148" s="151" t="str">
        <f>IF(E1148="","",MAX(0,Input!$C$9-B1148))</f>
        <v/>
      </c>
      <c r="H1148" s="152" t="str">
        <f>IF(E1148="","",Input!$C$3)</f>
        <v/>
      </c>
      <c r="I1148" s="153" t="str">
        <f>IF(E1148="","",HLOOKUP($B1148,Input!$C$13:$BT$14,2))</f>
        <v/>
      </c>
      <c r="J1148" s="154"/>
      <c r="K1148" s="155" t="str">
        <f>IF($E1148="","",Input!$C$57)</f>
        <v/>
      </c>
      <c r="L1148" s="155" t="str">
        <f t="shared" si="368"/>
        <v/>
      </c>
      <c r="M1148" s="147" t="str">
        <f>IF($E1148="","",VLOOKUP(IF($B1148&lt;=Input!$C$7,$B1148,26),'Mortality Tables'!$A$72:$CA$97,IF($B1148&lt;=Input!$C$7+1,Input!$C$4-16,$D1148-Input!$C$7-16),0)/1000)</f>
        <v/>
      </c>
      <c r="N1148" s="147" t="str">
        <f t="shared" si="357"/>
        <v/>
      </c>
      <c r="O1148" s="157" t="str">
        <f>IF($E1148="","",IF($C1148=12,IF($B1148&lt;Input!$C$9,Input!$C$54,IF($B1148=Input!$C$9,Input!$C$55,Input!$C$56)),0%))</f>
        <v/>
      </c>
      <c r="P1148" s="167" t="str">
        <f>IF($E1148="","",IF($B1148=1,Input!$C$59,IF($B1148&lt;6,Input!$C$60,0%)))</f>
        <v/>
      </c>
      <c r="Q1148" s="162" t="str">
        <f>IF($E1148="","",Input!$C$58)</f>
        <v/>
      </c>
      <c r="R1148" s="156" t="str">
        <f t="shared" si="369"/>
        <v/>
      </c>
      <c r="S1148" s="154" t="str">
        <f t="shared" si="358"/>
        <v/>
      </c>
      <c r="T1148" s="152"/>
      <c r="U1148" s="150" t="str">
        <f t="shared" si="370"/>
        <v/>
      </c>
      <c r="V1148" s="150" t="str">
        <f t="shared" si="371"/>
        <v/>
      </c>
      <c r="W1148" s="168" t="str">
        <f t="shared" si="372"/>
        <v/>
      </c>
      <c r="X1148" s="163" t="str">
        <f t="shared" si="359"/>
        <v/>
      </c>
      <c r="Y1148" s="152"/>
      <c r="Z1148" s="164" t="str">
        <f>IF(AND($C1147=12,$D1147=Input!$C$6),0,IF($E1148="","",V1148+Z1149/(1+L1148)*R1148))</f>
        <v/>
      </c>
      <c r="AA1148" s="164" t="str">
        <f>IF(OR($M1148=1,AND($C1147=12,$D1147=Input!$C$6)),0,IF($E1148="","",W1148+(X1148+AA1149*$R1148)/(1+$L1148)))</f>
        <v/>
      </c>
      <c r="AB1148" s="160" t="str">
        <f t="shared" si="360"/>
        <v/>
      </c>
      <c r="AC1148" s="164" t="str">
        <f t="shared" si="361"/>
        <v/>
      </c>
      <c r="AD1148" s="164" t="str">
        <f>IF(AND($C1147=12,$D1147=Input!$C$6),0,IF($E1148="","",$AC1148+AD1149/(1+$L1148)*$R1148))</f>
        <v/>
      </c>
      <c r="AE1148" s="152"/>
      <c r="AF1148" s="164" t="str">
        <f>IF(AND($C1147=12,$D1147=Input!$C$6),0,IF($E1148="","",IF($B1148&gt;Input!$C$9,$AC1148,0)+AF1149/(1+$L1148)*$R1148))</f>
        <v/>
      </c>
      <c r="AG1148" s="164" t="str">
        <f>IF(AND($C1147=12,$D1147=Input!$C$6),0,IF($E1148="","",(IF($B1148&gt;Input!$C$9,$X1148,0)+AG1149)/(1+$L1148)*$R1148))</f>
        <v/>
      </c>
      <c r="AH1148" s="160" t="str">
        <f t="shared" si="362"/>
        <v/>
      </c>
      <c r="AI1148" s="160" t="str">
        <f>IF($E1148="","",MIN(Input!$C$61/AH1148,1))</f>
        <v/>
      </c>
      <c r="AJ1148" s="152"/>
      <c r="AK1148" s="164" t="str">
        <f>IF(AND($C1147=12,$D1147=Input!$C$6),0,IF($E1148="","",IF($B1148&gt;Input!$C$9,$AC1148*AI1148,0)+AK1149/(1+$L1148)*$R1148))</f>
        <v/>
      </c>
      <c r="AL1148" s="164" t="str">
        <f>IF(AND($C1147=12,$D1147=Input!$C$6),0,IF($E1148="","",IF($B1148&gt;Input!$C$9,0,$AC1148)+AL1149/(1+$L1148)*$R1148))</f>
        <v/>
      </c>
      <c r="AM1148" s="160" t="str">
        <f t="shared" si="363"/>
        <v/>
      </c>
      <c r="AN1148" s="164" t="str">
        <f>IF($E1148="","",IF($B1148&gt;Input!$C$9,$AI1148*$AC1148,$AM1148*$AC1148))</f>
        <v/>
      </c>
      <c r="AO1148" s="164" t="str">
        <f>IF(AND($C1147=12,$D1147=Input!$C$6),0,IF($E1148="","",$AN1148+AO1149/(1+$L1148)*$R1148))</f>
        <v/>
      </c>
      <c r="AP1148" s="152"/>
      <c r="AQ1148" s="164" t="str">
        <f t="shared" si="364"/>
        <v/>
      </c>
      <c r="AR1148" s="164" t="str">
        <f t="shared" si="373"/>
        <v/>
      </c>
      <c r="AS1148" s="164" t="str">
        <f t="shared" si="374"/>
        <v/>
      </c>
      <c r="AT1148" s="164" t="str">
        <f t="shared" si="365"/>
        <v/>
      </c>
      <c r="AU1148" s="152"/>
      <c r="AV1148" s="147" t="str">
        <f>'Deterministic Reserve'!BC1148</f>
        <v/>
      </c>
      <c r="AW1148" s="164" t="str">
        <f t="shared" si="366"/>
        <v/>
      </c>
      <c r="AX1148" s="164" t="str">
        <f t="shared" si="367"/>
        <v/>
      </c>
      <c r="AY1148" s="152"/>
    </row>
    <row r="1149" spans="1:51" s="150" customFormat="1" x14ac:dyDescent="0.25">
      <c r="A1149" s="150" t="str">
        <f t="shared" si="375"/>
        <v/>
      </c>
      <c r="B1149" s="150" t="str">
        <f t="shared" si="376"/>
        <v/>
      </c>
      <c r="C1149" s="150" t="str">
        <f t="shared" si="377"/>
        <v/>
      </c>
      <c r="D1149" s="150" t="str">
        <f>IF(E1149="","",Input!$C$4+B1149-1)</f>
        <v/>
      </c>
      <c r="E1149" s="150" t="str">
        <f>IF(OR(AND(C1148=12,D1148=Input!$C$6),E1148=""),"",1)</f>
        <v/>
      </c>
      <c r="F1149" s="150" t="str">
        <f>IF(E1149="","",Input!$C$8+B1149-1)</f>
        <v/>
      </c>
      <c r="G1149" s="151" t="str">
        <f>IF(E1149="","",MAX(0,Input!$C$9-B1149))</f>
        <v/>
      </c>
      <c r="H1149" s="152" t="str">
        <f>IF(E1149="","",Input!$C$3)</f>
        <v/>
      </c>
      <c r="I1149" s="153" t="str">
        <f>IF(E1149="","",HLOOKUP($B1149,Input!$C$13:$BT$14,2))</f>
        <v/>
      </c>
      <c r="J1149" s="154"/>
      <c r="K1149" s="155" t="str">
        <f>IF($E1149="","",Input!$C$57)</f>
        <v/>
      </c>
      <c r="L1149" s="155" t="str">
        <f t="shared" si="368"/>
        <v/>
      </c>
      <c r="M1149" s="147" t="str">
        <f>IF($E1149="","",VLOOKUP(IF($B1149&lt;=Input!$C$7,$B1149,26),'Mortality Tables'!$A$72:$CA$97,IF($B1149&lt;=Input!$C$7+1,Input!$C$4-16,$D1149-Input!$C$7-16),0)/1000)</f>
        <v/>
      </c>
      <c r="N1149" s="147" t="str">
        <f t="shared" si="357"/>
        <v/>
      </c>
      <c r="O1149" s="157" t="str">
        <f>IF($E1149="","",IF($C1149=12,IF($B1149&lt;Input!$C$9,Input!$C$54,IF($B1149=Input!$C$9,Input!$C$55,Input!$C$56)),0%))</f>
        <v/>
      </c>
      <c r="P1149" s="167" t="str">
        <f>IF($E1149="","",IF($B1149=1,Input!$C$59,IF($B1149&lt;6,Input!$C$60,0%)))</f>
        <v/>
      </c>
      <c r="Q1149" s="162" t="str">
        <f>IF($E1149="","",Input!$C$58)</f>
        <v/>
      </c>
      <c r="R1149" s="156" t="str">
        <f t="shared" si="369"/>
        <v/>
      </c>
      <c r="S1149" s="154" t="str">
        <f t="shared" si="358"/>
        <v/>
      </c>
      <c r="T1149" s="152"/>
      <c r="U1149" s="150" t="str">
        <f t="shared" si="370"/>
        <v/>
      </c>
      <c r="V1149" s="150" t="str">
        <f t="shared" si="371"/>
        <v/>
      </c>
      <c r="W1149" s="168" t="str">
        <f t="shared" si="372"/>
        <v/>
      </c>
      <c r="X1149" s="163" t="str">
        <f t="shared" si="359"/>
        <v/>
      </c>
      <c r="Y1149" s="152"/>
      <c r="Z1149" s="164" t="str">
        <f>IF(AND($C1148=12,$D1148=Input!$C$6),0,IF($E1149="","",V1149+Z1150/(1+L1149)*R1149))</f>
        <v/>
      </c>
      <c r="AA1149" s="164" t="str">
        <f>IF(OR($M1149=1,AND($C1148=12,$D1148=Input!$C$6)),0,IF($E1149="","",W1149+(X1149+AA1150*$R1149)/(1+$L1149)))</f>
        <v/>
      </c>
      <c r="AB1149" s="160" t="str">
        <f t="shared" si="360"/>
        <v/>
      </c>
      <c r="AC1149" s="164" t="str">
        <f t="shared" si="361"/>
        <v/>
      </c>
      <c r="AD1149" s="164" t="str">
        <f>IF(AND($C1148=12,$D1148=Input!$C$6),0,IF($E1149="","",$AC1149+AD1150/(1+$L1149)*$R1149))</f>
        <v/>
      </c>
      <c r="AE1149" s="152"/>
      <c r="AF1149" s="164" t="str">
        <f>IF(AND($C1148=12,$D1148=Input!$C$6),0,IF($E1149="","",IF($B1149&gt;Input!$C$9,$AC1149,0)+AF1150/(1+$L1149)*$R1149))</f>
        <v/>
      </c>
      <c r="AG1149" s="164" t="str">
        <f>IF(AND($C1148=12,$D1148=Input!$C$6),0,IF($E1149="","",(IF($B1149&gt;Input!$C$9,$X1149,0)+AG1150)/(1+$L1149)*$R1149))</f>
        <v/>
      </c>
      <c r="AH1149" s="160" t="str">
        <f t="shared" si="362"/>
        <v/>
      </c>
      <c r="AI1149" s="160" t="str">
        <f>IF($E1149="","",MIN(Input!$C$61/AH1149,1))</f>
        <v/>
      </c>
      <c r="AJ1149" s="152"/>
      <c r="AK1149" s="164" t="str">
        <f>IF(AND($C1148=12,$D1148=Input!$C$6),0,IF($E1149="","",IF($B1149&gt;Input!$C$9,$AC1149*AI1149,0)+AK1150/(1+$L1149)*$R1149))</f>
        <v/>
      </c>
      <c r="AL1149" s="164" t="str">
        <f>IF(AND($C1148=12,$D1148=Input!$C$6),0,IF($E1149="","",IF($B1149&gt;Input!$C$9,0,$AC1149)+AL1150/(1+$L1149)*$R1149))</f>
        <v/>
      </c>
      <c r="AM1149" s="160" t="str">
        <f t="shared" si="363"/>
        <v/>
      </c>
      <c r="AN1149" s="164" t="str">
        <f>IF($E1149="","",IF($B1149&gt;Input!$C$9,$AI1149*$AC1149,$AM1149*$AC1149))</f>
        <v/>
      </c>
      <c r="AO1149" s="164" t="str">
        <f>IF(AND($C1148=12,$D1148=Input!$C$6),0,IF($E1149="","",$AN1149+AO1150/(1+$L1149)*$R1149))</f>
        <v/>
      </c>
      <c r="AP1149" s="152"/>
      <c r="AQ1149" s="164" t="str">
        <f t="shared" si="364"/>
        <v/>
      </c>
      <c r="AR1149" s="164" t="str">
        <f t="shared" si="373"/>
        <v/>
      </c>
      <c r="AS1149" s="164" t="str">
        <f t="shared" si="374"/>
        <v/>
      </c>
      <c r="AT1149" s="164" t="str">
        <f t="shared" si="365"/>
        <v/>
      </c>
      <c r="AU1149" s="152"/>
      <c r="AV1149" s="147" t="str">
        <f>'Deterministic Reserve'!BC1149</f>
        <v/>
      </c>
      <c r="AW1149" s="164" t="str">
        <f t="shared" si="366"/>
        <v/>
      </c>
      <c r="AX1149" s="164" t="str">
        <f t="shared" si="367"/>
        <v/>
      </c>
      <c r="AY1149" s="152"/>
    </row>
    <row r="1150" spans="1:51" s="150" customFormat="1" x14ac:dyDescent="0.25">
      <c r="A1150" s="150" t="str">
        <f t="shared" si="375"/>
        <v/>
      </c>
      <c r="B1150" s="150" t="str">
        <f t="shared" si="376"/>
        <v/>
      </c>
      <c r="C1150" s="150" t="str">
        <f t="shared" si="377"/>
        <v/>
      </c>
      <c r="D1150" s="150" t="str">
        <f>IF(E1150="","",Input!$C$4+B1150-1)</f>
        <v/>
      </c>
      <c r="E1150" s="150" t="str">
        <f>IF(OR(AND(C1149=12,D1149=Input!$C$6),E1149=""),"",1)</f>
        <v/>
      </c>
      <c r="F1150" s="150" t="str">
        <f>IF(E1150="","",Input!$C$8+B1150-1)</f>
        <v/>
      </c>
      <c r="G1150" s="151" t="str">
        <f>IF(E1150="","",MAX(0,Input!$C$9-B1150))</f>
        <v/>
      </c>
      <c r="H1150" s="152" t="str">
        <f>IF(E1150="","",Input!$C$3)</f>
        <v/>
      </c>
      <c r="I1150" s="153" t="str">
        <f>IF(E1150="","",HLOOKUP($B1150,Input!$C$13:$BT$14,2))</f>
        <v/>
      </c>
      <c r="J1150" s="154"/>
      <c r="K1150" s="155" t="str">
        <f>IF($E1150="","",Input!$C$57)</f>
        <v/>
      </c>
      <c r="L1150" s="155" t="str">
        <f t="shared" si="368"/>
        <v/>
      </c>
      <c r="M1150" s="147" t="str">
        <f>IF($E1150="","",VLOOKUP(IF($B1150&lt;=Input!$C$7,$B1150,26),'Mortality Tables'!$A$72:$CA$97,IF($B1150&lt;=Input!$C$7+1,Input!$C$4-16,$D1150-Input!$C$7-16),0)/1000)</f>
        <v/>
      </c>
      <c r="N1150" s="147" t="str">
        <f t="shared" si="357"/>
        <v/>
      </c>
      <c r="O1150" s="157" t="str">
        <f>IF($E1150="","",IF($C1150=12,IF($B1150&lt;Input!$C$9,Input!$C$54,IF($B1150=Input!$C$9,Input!$C$55,Input!$C$56)),0%))</f>
        <v/>
      </c>
      <c r="P1150" s="167" t="str">
        <f>IF($E1150="","",IF($B1150=1,Input!$C$59,IF($B1150&lt;6,Input!$C$60,0%)))</f>
        <v/>
      </c>
      <c r="Q1150" s="162" t="str">
        <f>IF($E1150="","",Input!$C$58)</f>
        <v/>
      </c>
      <c r="R1150" s="156" t="str">
        <f t="shared" si="369"/>
        <v/>
      </c>
      <c r="S1150" s="154" t="str">
        <f t="shared" si="358"/>
        <v/>
      </c>
      <c r="T1150" s="152"/>
      <c r="U1150" s="150" t="str">
        <f t="shared" si="370"/>
        <v/>
      </c>
      <c r="V1150" s="150" t="str">
        <f t="shared" si="371"/>
        <v/>
      </c>
      <c r="W1150" s="168" t="str">
        <f t="shared" si="372"/>
        <v/>
      </c>
      <c r="X1150" s="163" t="str">
        <f t="shared" si="359"/>
        <v/>
      </c>
      <c r="Y1150" s="152"/>
      <c r="Z1150" s="164" t="str">
        <f>IF(AND($C1149=12,$D1149=Input!$C$6),0,IF($E1150="","",V1150+Z1151/(1+L1150)*R1150))</f>
        <v/>
      </c>
      <c r="AA1150" s="164" t="str">
        <f>IF(OR($M1150=1,AND($C1149=12,$D1149=Input!$C$6)),0,IF($E1150="","",W1150+(X1150+AA1151*$R1150)/(1+$L1150)))</f>
        <v/>
      </c>
      <c r="AB1150" s="160" t="str">
        <f t="shared" si="360"/>
        <v/>
      </c>
      <c r="AC1150" s="164" t="str">
        <f t="shared" si="361"/>
        <v/>
      </c>
      <c r="AD1150" s="164" t="str">
        <f>IF(AND($C1149=12,$D1149=Input!$C$6),0,IF($E1150="","",$AC1150+AD1151/(1+$L1150)*$R1150))</f>
        <v/>
      </c>
      <c r="AE1150" s="152"/>
      <c r="AF1150" s="164" t="str">
        <f>IF(AND($C1149=12,$D1149=Input!$C$6),0,IF($E1150="","",IF($B1150&gt;Input!$C$9,$AC1150,0)+AF1151/(1+$L1150)*$R1150))</f>
        <v/>
      </c>
      <c r="AG1150" s="164" t="str">
        <f>IF(AND($C1149=12,$D1149=Input!$C$6),0,IF($E1150="","",(IF($B1150&gt;Input!$C$9,$X1150,0)+AG1151)/(1+$L1150)*$R1150))</f>
        <v/>
      </c>
      <c r="AH1150" s="160" t="str">
        <f t="shared" si="362"/>
        <v/>
      </c>
      <c r="AI1150" s="160" t="str">
        <f>IF($E1150="","",MIN(Input!$C$61/AH1150,1))</f>
        <v/>
      </c>
      <c r="AJ1150" s="152"/>
      <c r="AK1150" s="164" t="str">
        <f>IF(AND($C1149=12,$D1149=Input!$C$6),0,IF($E1150="","",IF($B1150&gt;Input!$C$9,$AC1150*AI1150,0)+AK1151/(1+$L1150)*$R1150))</f>
        <v/>
      </c>
      <c r="AL1150" s="164" t="str">
        <f>IF(AND($C1149=12,$D1149=Input!$C$6),0,IF($E1150="","",IF($B1150&gt;Input!$C$9,0,$AC1150)+AL1151/(1+$L1150)*$R1150))</f>
        <v/>
      </c>
      <c r="AM1150" s="160" t="str">
        <f t="shared" si="363"/>
        <v/>
      </c>
      <c r="AN1150" s="164" t="str">
        <f>IF($E1150="","",IF($B1150&gt;Input!$C$9,$AI1150*$AC1150,$AM1150*$AC1150))</f>
        <v/>
      </c>
      <c r="AO1150" s="164" t="str">
        <f>IF(AND($C1149=12,$D1149=Input!$C$6),0,IF($E1150="","",$AN1150+AO1151/(1+$L1150)*$R1150))</f>
        <v/>
      </c>
      <c r="AP1150" s="152"/>
      <c r="AQ1150" s="164" t="str">
        <f t="shared" si="364"/>
        <v/>
      </c>
      <c r="AR1150" s="164" t="str">
        <f t="shared" si="373"/>
        <v/>
      </c>
      <c r="AS1150" s="164" t="str">
        <f t="shared" si="374"/>
        <v/>
      </c>
      <c r="AT1150" s="164" t="str">
        <f t="shared" si="365"/>
        <v/>
      </c>
      <c r="AU1150" s="152"/>
      <c r="AV1150" s="147" t="str">
        <f>'Deterministic Reserve'!BC1150</f>
        <v/>
      </c>
      <c r="AW1150" s="164" t="str">
        <f t="shared" si="366"/>
        <v/>
      </c>
      <c r="AX1150" s="164" t="str">
        <f t="shared" si="367"/>
        <v/>
      </c>
      <c r="AY1150" s="152"/>
    </row>
    <row r="1151" spans="1:51" s="150" customFormat="1" x14ac:dyDescent="0.25">
      <c r="A1151" s="150" t="str">
        <f t="shared" si="375"/>
        <v/>
      </c>
      <c r="B1151" s="150" t="str">
        <f t="shared" si="376"/>
        <v/>
      </c>
      <c r="C1151" s="150" t="str">
        <f t="shared" si="377"/>
        <v/>
      </c>
      <c r="D1151" s="150" t="str">
        <f>IF(E1151="","",Input!$C$4+B1151-1)</f>
        <v/>
      </c>
      <c r="E1151" s="150" t="str">
        <f>IF(OR(AND(C1150=12,D1150=Input!$C$6),E1150=""),"",1)</f>
        <v/>
      </c>
      <c r="F1151" s="150" t="str">
        <f>IF(E1151="","",Input!$C$8+B1151-1)</f>
        <v/>
      </c>
      <c r="G1151" s="151" t="str">
        <f>IF(E1151="","",MAX(0,Input!$C$9-B1151))</f>
        <v/>
      </c>
      <c r="H1151" s="152" t="str">
        <f>IF(E1151="","",Input!$C$3)</f>
        <v/>
      </c>
      <c r="I1151" s="153" t="str">
        <f>IF(E1151="","",HLOOKUP($B1151,Input!$C$13:$BT$14,2))</f>
        <v/>
      </c>
      <c r="J1151" s="154"/>
      <c r="K1151" s="155" t="str">
        <f>IF($E1151="","",Input!$C$57)</f>
        <v/>
      </c>
      <c r="L1151" s="155" t="str">
        <f t="shared" si="368"/>
        <v/>
      </c>
      <c r="M1151" s="147" t="str">
        <f>IF($E1151="","",VLOOKUP(IF($B1151&lt;=Input!$C$7,$B1151,26),'Mortality Tables'!$A$72:$CA$97,IF($B1151&lt;=Input!$C$7+1,Input!$C$4-16,$D1151-Input!$C$7-16),0)/1000)</f>
        <v/>
      </c>
      <c r="N1151" s="147" t="str">
        <f t="shared" si="357"/>
        <v/>
      </c>
      <c r="O1151" s="157" t="str">
        <f>IF($E1151="","",IF($C1151=12,IF($B1151&lt;Input!$C$9,Input!$C$54,IF($B1151=Input!$C$9,Input!$C$55,Input!$C$56)),0%))</f>
        <v/>
      </c>
      <c r="P1151" s="167" t="str">
        <f>IF($E1151="","",IF($B1151=1,Input!$C$59,IF($B1151&lt;6,Input!$C$60,0%)))</f>
        <v/>
      </c>
      <c r="Q1151" s="162" t="str">
        <f>IF($E1151="","",Input!$C$58)</f>
        <v/>
      </c>
      <c r="R1151" s="156" t="str">
        <f t="shared" si="369"/>
        <v/>
      </c>
      <c r="S1151" s="154" t="str">
        <f t="shared" si="358"/>
        <v/>
      </c>
      <c r="T1151" s="152"/>
      <c r="U1151" s="150" t="str">
        <f t="shared" si="370"/>
        <v/>
      </c>
      <c r="V1151" s="150" t="str">
        <f t="shared" si="371"/>
        <v/>
      </c>
      <c r="W1151" s="168" t="str">
        <f t="shared" si="372"/>
        <v/>
      </c>
      <c r="X1151" s="163" t="str">
        <f t="shared" si="359"/>
        <v/>
      </c>
      <c r="Y1151" s="152"/>
      <c r="Z1151" s="164" t="str">
        <f>IF(AND($C1150=12,$D1150=Input!$C$6),0,IF($E1151="","",V1151+Z1152/(1+L1151)*R1151))</f>
        <v/>
      </c>
      <c r="AA1151" s="164" t="str">
        <f>IF(OR($M1151=1,AND($C1150=12,$D1150=Input!$C$6)),0,IF($E1151="","",W1151+(X1151+AA1152*$R1151)/(1+$L1151)))</f>
        <v/>
      </c>
      <c r="AB1151" s="160" t="str">
        <f t="shared" si="360"/>
        <v/>
      </c>
      <c r="AC1151" s="164" t="str">
        <f t="shared" si="361"/>
        <v/>
      </c>
      <c r="AD1151" s="164" t="str">
        <f>IF(AND($C1150=12,$D1150=Input!$C$6),0,IF($E1151="","",$AC1151+AD1152/(1+$L1151)*$R1151))</f>
        <v/>
      </c>
      <c r="AE1151" s="152"/>
      <c r="AF1151" s="164" t="str">
        <f>IF(AND($C1150=12,$D1150=Input!$C$6),0,IF($E1151="","",IF($B1151&gt;Input!$C$9,$AC1151,0)+AF1152/(1+$L1151)*$R1151))</f>
        <v/>
      </c>
      <c r="AG1151" s="164" t="str">
        <f>IF(AND($C1150=12,$D1150=Input!$C$6),0,IF($E1151="","",(IF($B1151&gt;Input!$C$9,$X1151,0)+AG1152)/(1+$L1151)*$R1151))</f>
        <v/>
      </c>
      <c r="AH1151" s="160" t="str">
        <f t="shared" si="362"/>
        <v/>
      </c>
      <c r="AI1151" s="160" t="str">
        <f>IF($E1151="","",MIN(Input!$C$61/AH1151,1))</f>
        <v/>
      </c>
      <c r="AJ1151" s="152"/>
      <c r="AK1151" s="164" t="str">
        <f>IF(AND($C1150=12,$D1150=Input!$C$6),0,IF($E1151="","",IF($B1151&gt;Input!$C$9,$AC1151*AI1151,0)+AK1152/(1+$L1151)*$R1151))</f>
        <v/>
      </c>
      <c r="AL1151" s="164" t="str">
        <f>IF(AND($C1150=12,$D1150=Input!$C$6),0,IF($E1151="","",IF($B1151&gt;Input!$C$9,0,$AC1151)+AL1152/(1+$L1151)*$R1151))</f>
        <v/>
      </c>
      <c r="AM1151" s="160" t="str">
        <f t="shared" si="363"/>
        <v/>
      </c>
      <c r="AN1151" s="164" t="str">
        <f>IF($E1151="","",IF($B1151&gt;Input!$C$9,$AI1151*$AC1151,$AM1151*$AC1151))</f>
        <v/>
      </c>
      <c r="AO1151" s="164" t="str">
        <f>IF(AND($C1150=12,$D1150=Input!$C$6),0,IF($E1151="","",$AN1151+AO1152/(1+$L1151)*$R1151))</f>
        <v/>
      </c>
      <c r="AP1151" s="152"/>
      <c r="AQ1151" s="164" t="str">
        <f t="shared" si="364"/>
        <v/>
      </c>
      <c r="AR1151" s="164" t="str">
        <f t="shared" si="373"/>
        <v/>
      </c>
      <c r="AS1151" s="164" t="str">
        <f t="shared" si="374"/>
        <v/>
      </c>
      <c r="AT1151" s="164" t="str">
        <f t="shared" si="365"/>
        <v/>
      </c>
      <c r="AU1151" s="152"/>
      <c r="AV1151" s="147" t="str">
        <f>'Deterministic Reserve'!BC1151</f>
        <v/>
      </c>
      <c r="AW1151" s="164" t="str">
        <f t="shared" si="366"/>
        <v/>
      </c>
      <c r="AX1151" s="164" t="str">
        <f t="shared" si="367"/>
        <v/>
      </c>
      <c r="AY1151" s="152"/>
    </row>
    <row r="1152" spans="1:51" s="150" customFormat="1" x14ac:dyDescent="0.25">
      <c r="A1152" s="150" t="str">
        <f t="shared" si="375"/>
        <v/>
      </c>
      <c r="B1152" s="150" t="str">
        <f t="shared" si="376"/>
        <v/>
      </c>
      <c r="C1152" s="150" t="str">
        <f t="shared" si="377"/>
        <v/>
      </c>
      <c r="D1152" s="150" t="str">
        <f>IF(E1152="","",Input!$C$4+B1152-1)</f>
        <v/>
      </c>
      <c r="E1152" s="150" t="str">
        <f>IF(OR(AND(C1151=12,D1151=Input!$C$6),E1151=""),"",1)</f>
        <v/>
      </c>
      <c r="F1152" s="150" t="str">
        <f>IF(E1152="","",Input!$C$8+B1152-1)</f>
        <v/>
      </c>
      <c r="G1152" s="151" t="str">
        <f>IF(E1152="","",MAX(0,Input!$C$9-B1152))</f>
        <v/>
      </c>
      <c r="H1152" s="152" t="str">
        <f>IF(E1152="","",Input!$C$3)</f>
        <v/>
      </c>
      <c r="I1152" s="153" t="str">
        <f>IF(E1152="","",HLOOKUP($B1152,Input!$C$13:$BT$14,2))</f>
        <v/>
      </c>
      <c r="J1152" s="154"/>
      <c r="K1152" s="155" t="str">
        <f>IF($E1152="","",Input!$C$57)</f>
        <v/>
      </c>
      <c r="L1152" s="155" t="str">
        <f t="shared" si="368"/>
        <v/>
      </c>
      <c r="M1152" s="147" t="str">
        <f>IF($E1152="","",VLOOKUP(IF($B1152&lt;=Input!$C$7,$B1152,26),'Mortality Tables'!$A$72:$CA$97,IF($B1152&lt;=Input!$C$7+1,Input!$C$4-16,$D1152-Input!$C$7-16),0)/1000)</f>
        <v/>
      </c>
      <c r="N1152" s="147" t="str">
        <f t="shared" si="357"/>
        <v/>
      </c>
      <c r="O1152" s="157" t="str">
        <f>IF($E1152="","",IF($C1152=12,IF($B1152&lt;Input!$C$9,Input!$C$54,IF($B1152=Input!$C$9,Input!$C$55,Input!$C$56)),0%))</f>
        <v/>
      </c>
      <c r="P1152" s="167" t="str">
        <f>IF($E1152="","",IF($B1152=1,Input!$C$59,IF($B1152&lt;6,Input!$C$60,0%)))</f>
        <v/>
      </c>
      <c r="Q1152" s="162" t="str">
        <f>IF($E1152="","",Input!$C$58)</f>
        <v/>
      </c>
      <c r="R1152" s="156" t="str">
        <f t="shared" si="369"/>
        <v/>
      </c>
      <c r="S1152" s="154" t="str">
        <f t="shared" si="358"/>
        <v/>
      </c>
      <c r="T1152" s="152"/>
      <c r="U1152" s="150" t="str">
        <f t="shared" si="370"/>
        <v/>
      </c>
      <c r="V1152" s="150" t="str">
        <f t="shared" si="371"/>
        <v/>
      </c>
      <c r="W1152" s="168" t="str">
        <f t="shared" si="372"/>
        <v/>
      </c>
      <c r="X1152" s="163" t="str">
        <f t="shared" si="359"/>
        <v/>
      </c>
      <c r="Y1152" s="152"/>
      <c r="Z1152" s="164" t="str">
        <f>IF(AND($C1151=12,$D1151=Input!$C$6),0,IF($E1152="","",V1152+Z1153/(1+L1152)*R1152))</f>
        <v/>
      </c>
      <c r="AA1152" s="164" t="str">
        <f>IF(OR($M1152=1,AND($C1151=12,$D1151=Input!$C$6)),0,IF($E1152="","",W1152+(X1152+AA1153*$R1152)/(1+$L1152)))</f>
        <v/>
      </c>
      <c r="AB1152" s="160" t="str">
        <f t="shared" si="360"/>
        <v/>
      </c>
      <c r="AC1152" s="164" t="str">
        <f t="shared" si="361"/>
        <v/>
      </c>
      <c r="AD1152" s="164" t="str">
        <f>IF(AND($C1151=12,$D1151=Input!$C$6),0,IF($E1152="","",$AC1152+AD1153/(1+$L1152)*$R1152))</f>
        <v/>
      </c>
      <c r="AE1152" s="152"/>
      <c r="AF1152" s="164" t="str">
        <f>IF(AND($C1151=12,$D1151=Input!$C$6),0,IF($E1152="","",IF($B1152&gt;Input!$C$9,$AC1152,0)+AF1153/(1+$L1152)*$R1152))</f>
        <v/>
      </c>
      <c r="AG1152" s="164" t="str">
        <f>IF(AND($C1151=12,$D1151=Input!$C$6),0,IF($E1152="","",(IF($B1152&gt;Input!$C$9,$X1152,0)+AG1153)/(1+$L1152)*$R1152))</f>
        <v/>
      </c>
      <c r="AH1152" s="160" t="str">
        <f t="shared" si="362"/>
        <v/>
      </c>
      <c r="AI1152" s="160" t="str">
        <f>IF($E1152="","",MIN(Input!$C$61/AH1152,1))</f>
        <v/>
      </c>
      <c r="AJ1152" s="152"/>
      <c r="AK1152" s="164" t="str">
        <f>IF(AND($C1151=12,$D1151=Input!$C$6),0,IF($E1152="","",IF($B1152&gt;Input!$C$9,$AC1152*AI1152,0)+AK1153/(1+$L1152)*$R1152))</f>
        <v/>
      </c>
      <c r="AL1152" s="164" t="str">
        <f>IF(AND($C1151=12,$D1151=Input!$C$6),0,IF($E1152="","",IF($B1152&gt;Input!$C$9,0,$AC1152)+AL1153/(1+$L1152)*$R1152))</f>
        <v/>
      </c>
      <c r="AM1152" s="160" t="str">
        <f t="shared" si="363"/>
        <v/>
      </c>
      <c r="AN1152" s="164" t="str">
        <f>IF($E1152="","",IF($B1152&gt;Input!$C$9,$AI1152*$AC1152,$AM1152*$AC1152))</f>
        <v/>
      </c>
      <c r="AO1152" s="164" t="str">
        <f>IF(AND($C1151=12,$D1151=Input!$C$6),0,IF($E1152="","",$AN1152+AO1153/(1+$L1152)*$R1152))</f>
        <v/>
      </c>
      <c r="AP1152" s="152"/>
      <c r="AQ1152" s="164" t="str">
        <f t="shared" si="364"/>
        <v/>
      </c>
      <c r="AR1152" s="164" t="str">
        <f t="shared" si="373"/>
        <v/>
      </c>
      <c r="AS1152" s="164" t="str">
        <f t="shared" si="374"/>
        <v/>
      </c>
      <c r="AT1152" s="164" t="str">
        <f t="shared" si="365"/>
        <v/>
      </c>
      <c r="AU1152" s="152"/>
      <c r="AV1152" s="147" t="str">
        <f>'Deterministic Reserve'!BC1152</f>
        <v/>
      </c>
      <c r="AW1152" s="164" t="str">
        <f t="shared" si="366"/>
        <v/>
      </c>
      <c r="AX1152" s="164" t="str">
        <f t="shared" si="367"/>
        <v/>
      </c>
      <c r="AY1152" s="152"/>
    </row>
    <row r="1153" spans="1:51" s="150" customFormat="1" x14ac:dyDescent="0.25">
      <c r="A1153" s="150" t="str">
        <f t="shared" si="375"/>
        <v/>
      </c>
      <c r="B1153" s="150" t="str">
        <f t="shared" si="376"/>
        <v/>
      </c>
      <c r="C1153" s="150" t="str">
        <f t="shared" si="377"/>
        <v/>
      </c>
      <c r="D1153" s="150" t="str">
        <f>IF(E1153="","",Input!$C$4+B1153-1)</f>
        <v/>
      </c>
      <c r="E1153" s="150" t="str">
        <f>IF(OR(AND(C1152=12,D1152=Input!$C$6),E1152=""),"",1)</f>
        <v/>
      </c>
      <c r="G1153" s="151" t="str">
        <f>IF(E1153="","",MAX(0,Input!$C$9-B1153))</f>
        <v/>
      </c>
      <c r="H1153" s="152" t="str">
        <f>IF(E1153="","",Input!$C$3)</f>
        <v/>
      </c>
      <c r="I1153" s="153" t="str">
        <f>IF(E1153="","",HLOOKUP($B1153,Input!$C$13:$BT$14,2))</f>
        <v/>
      </c>
      <c r="J1153" s="154"/>
      <c r="K1153" s="150" t="str">
        <f>IF($E1153="","",Input!$C$57)</f>
        <v/>
      </c>
      <c r="L1153" s="150" t="str">
        <f t="shared" si="368"/>
        <v/>
      </c>
      <c r="M1153" s="147" t="str">
        <f>IF($E1153="","",VLOOKUP(IF($B1153&lt;=Input!$C$7,$B1153,26),'Mortality Tables'!$A$72:$CA$97,IF($B1153&lt;=Input!$C$7+1,Input!$C$4-16,$D1153-Input!$C$7-16),0)/1000)</f>
        <v/>
      </c>
      <c r="N1153" s="147" t="str">
        <f t="shared" si="357"/>
        <v/>
      </c>
      <c r="O1153" s="157" t="str">
        <f>IF($E1153="","",IF($C1153=12,IF($B1153&lt;Input!$C$9,Input!$C$54,IF($B1153=Input!$C$9,Input!$C$55,Input!$C$56)),0%))</f>
        <v/>
      </c>
      <c r="P1153" s="167" t="str">
        <f>IF($E1153="","",IF($B1153=1,Input!$C$59,IF($B1153&lt;6,Input!$C$60,0%)))</f>
        <v/>
      </c>
      <c r="Q1153" s="162" t="str">
        <f>IF($E1153="","",Input!$C$58)</f>
        <v/>
      </c>
      <c r="R1153" s="156" t="str">
        <f t="shared" si="369"/>
        <v/>
      </c>
      <c r="S1153" s="154" t="str">
        <f t="shared" si="358"/>
        <v/>
      </c>
      <c r="T1153" s="152"/>
      <c r="U1153" s="150" t="str">
        <f t="shared" si="370"/>
        <v/>
      </c>
      <c r="V1153" s="150" t="str">
        <f t="shared" si="371"/>
        <v/>
      </c>
      <c r="W1153" s="168" t="str">
        <f t="shared" si="372"/>
        <v/>
      </c>
      <c r="X1153" s="163" t="str">
        <f t="shared" si="359"/>
        <v/>
      </c>
      <c r="Y1153" s="152"/>
      <c r="Z1153" s="164" t="str">
        <f>IF(AND($C1152=12,$D1152=Input!$C$6),0,IF($E1153="","",V1153+Z1154/(1+L1153)*R1153))</f>
        <v/>
      </c>
      <c r="AA1153" s="164" t="str">
        <f>IF(OR($M1153=1,AND($C1152=12,$D1152=Input!$C$6)),0,IF($E1153="","",W1153+(X1153+AA1154*$R1153)/(1+$L1153)))</f>
        <v/>
      </c>
      <c r="AB1153" s="160" t="str">
        <f t="shared" si="360"/>
        <v/>
      </c>
      <c r="AC1153" s="164" t="str">
        <f t="shared" si="361"/>
        <v/>
      </c>
      <c r="AD1153" s="164" t="str">
        <f>IF(AND($C1152=12,$D1152=Input!$C$6),0,IF($E1153="","",$AC1153+AD1154/(1+$L1153)*$R1153))</f>
        <v/>
      </c>
      <c r="AE1153" s="152"/>
      <c r="AF1153" s="164" t="str">
        <f>IF(AND($C1152=12,$D1152=Input!$C$6),0,IF($E1153="","",IF($B1153&gt;Input!$C$9,$AC1153,0)+AF1154/(1+$L1153)*$R1153))</f>
        <v/>
      </c>
      <c r="AG1153" s="164" t="str">
        <f>IF(AND($C1152=12,$D1152=Input!$C$6),0,IF($E1153="","",(IF($B1153&gt;Input!$C$9,$X1153,0)+AG1154)/(1+$L1153)*$R1153))</f>
        <v/>
      </c>
      <c r="AH1153" s="160" t="str">
        <f t="shared" si="362"/>
        <v/>
      </c>
      <c r="AI1153" s="160" t="str">
        <f>IF($E1153="","",MIN(Input!$C$61/AH1153,1))</f>
        <v/>
      </c>
      <c r="AJ1153" s="152"/>
      <c r="AK1153" s="164" t="str">
        <f>IF(AND($C1152=12,$D1152=Input!$C$6),0,IF($E1153="","",IF($B1153&gt;Input!$C$9,$AC1153*AI1153,0)+AK1154/(1+$L1153)*$R1153))</f>
        <v/>
      </c>
      <c r="AL1153" s="164" t="str">
        <f>IF(AND($C1152=12,$D1152=Input!$C$6),0,IF($E1153="","",IF($B1153&gt;Input!$C$9,0,$AC1153)+AL1154/(1+$L1153)*$R1153))</f>
        <v/>
      </c>
      <c r="AM1153" s="160" t="str">
        <f t="shared" si="363"/>
        <v/>
      </c>
      <c r="AN1153" s="164" t="str">
        <f>IF($E1153="","",IF($B1153&gt;Input!$C$9,$AI1153*$AC1153,$AM1153*$AC1153))</f>
        <v/>
      </c>
      <c r="AO1153" s="164" t="str">
        <f>IF(AND($C1152=12,$D1152=Input!$C$6),0,IF($E1153="","",$AN1153+AO1154/(1+$L1153)*$R1153))</f>
        <v/>
      </c>
      <c r="AP1153" s="152"/>
      <c r="AQ1153" s="150" t="str">
        <f t="shared" si="364"/>
        <v/>
      </c>
      <c r="AR1153" s="150" t="str">
        <f t="shared" si="373"/>
        <v/>
      </c>
      <c r="AS1153" s="150" t="str">
        <f t="shared" si="374"/>
        <v/>
      </c>
      <c r="AT1153" s="150" t="str">
        <f t="shared" si="365"/>
        <v/>
      </c>
      <c r="AU1153" s="152"/>
      <c r="AV1153" s="147" t="str">
        <f>'Deterministic Reserve'!BC1153</f>
        <v/>
      </c>
      <c r="AY1153" s="152"/>
    </row>
    <row r="1154" spans="1:51" s="150" customFormat="1" x14ac:dyDescent="0.25">
      <c r="A1154" s="150" t="str">
        <f t="shared" si="375"/>
        <v/>
      </c>
      <c r="B1154" s="150" t="str">
        <f t="shared" si="376"/>
        <v/>
      </c>
      <c r="C1154" s="150" t="str">
        <f t="shared" si="377"/>
        <v/>
      </c>
      <c r="D1154" s="150" t="str">
        <f>IF(E1154="","",Input!$C$4+B1154-1)</f>
        <v/>
      </c>
      <c r="E1154" s="150" t="str">
        <f>IF(OR(AND(C1153=12,D1153=Input!$C$6),E1153=""),"",1)</f>
        <v/>
      </c>
      <c r="G1154" s="151" t="str">
        <f>IF(E1154="","",MAX(0,Input!$C$9-B1154))</f>
        <v/>
      </c>
      <c r="H1154" s="152" t="str">
        <f>IF(E1154="","",Input!$C$3)</f>
        <v/>
      </c>
      <c r="I1154" s="153" t="str">
        <f>IF(E1154="","",HLOOKUP($B1154,Input!$C$13:$BT$14,2))</f>
        <v/>
      </c>
      <c r="J1154" s="154"/>
      <c r="K1154" s="150" t="str">
        <f>IF($E1154="","",Input!$C$57)</f>
        <v/>
      </c>
      <c r="L1154" s="150" t="str">
        <f t="shared" si="368"/>
        <v/>
      </c>
      <c r="M1154" s="147" t="str">
        <f>IF($E1154="","",VLOOKUP(IF($B1154&lt;=Input!$C$7,$B1154,26),'Mortality Tables'!$A$72:$CA$97,IF($B1154&lt;=Input!$C$7+1,Input!$C$4-16,$D1154-Input!$C$7-16),0)/1000)</f>
        <v/>
      </c>
      <c r="N1154" s="147" t="str">
        <f t="shared" si="357"/>
        <v/>
      </c>
      <c r="O1154" s="157" t="str">
        <f>IF($E1154="","",IF($C1154=12,IF($B1154&lt;Input!$C$9,Input!$C$54,IF($B1154=Input!$C$9,Input!$C$55,Input!$C$56)),0%))</f>
        <v/>
      </c>
      <c r="P1154" s="167" t="str">
        <f>IF($E1154="","",IF($B1154=1,Input!$C$59,IF($B1154&lt;6,Input!$C$60,0%)))</f>
        <v/>
      </c>
      <c r="Q1154" s="162" t="str">
        <f>IF($E1154="","",Input!$C$58)</f>
        <v/>
      </c>
      <c r="R1154" s="156" t="str">
        <f t="shared" si="369"/>
        <v/>
      </c>
      <c r="S1154" s="154" t="str">
        <f t="shared" si="358"/>
        <v/>
      </c>
      <c r="T1154" s="152"/>
      <c r="U1154" s="150" t="str">
        <f t="shared" si="370"/>
        <v/>
      </c>
      <c r="V1154" s="150" t="str">
        <f t="shared" si="371"/>
        <v/>
      </c>
      <c r="W1154" s="168" t="str">
        <f t="shared" si="372"/>
        <v/>
      </c>
      <c r="X1154" s="163" t="str">
        <f t="shared" si="359"/>
        <v/>
      </c>
      <c r="Y1154" s="152"/>
      <c r="Z1154" s="164" t="str">
        <f>IF(AND($C1153=12,$D1153=Input!$C$6),0,IF($E1154="","",V1154+Z1155/(1+L1154)*R1154))</f>
        <v/>
      </c>
      <c r="AA1154" s="164" t="str">
        <f>IF(OR($M1154=1,AND($C1153=12,$D1153=Input!$C$6)),0,IF($E1154="","",W1154+(X1154+AA1155*$R1154)/(1+$L1154)))</f>
        <v/>
      </c>
      <c r="AB1154" s="160" t="str">
        <f t="shared" si="360"/>
        <v/>
      </c>
      <c r="AC1154" s="164" t="str">
        <f t="shared" si="361"/>
        <v/>
      </c>
      <c r="AD1154" s="164" t="str">
        <f>IF(AND($C1153=12,$D1153=Input!$C$6),0,IF($E1154="","",$AC1154+AD1155/(1+$L1154)*$R1154))</f>
        <v/>
      </c>
      <c r="AE1154" s="152"/>
      <c r="AF1154" s="164" t="str">
        <f>IF(AND($C1153=12,$D1153=Input!$C$6),0,IF($E1154="","",IF($B1154&gt;Input!$C$9,$AC1154,0)+AF1155/(1+$L1154)*$R1154))</f>
        <v/>
      </c>
      <c r="AG1154" s="164" t="str">
        <f>IF(AND($C1153=12,$D1153=Input!$C$6),0,IF($E1154="","",(IF($B1154&gt;Input!$C$9,$X1154,0)+AG1155)/(1+$L1154)*$R1154))</f>
        <v/>
      </c>
      <c r="AH1154" s="160" t="str">
        <f t="shared" si="362"/>
        <v/>
      </c>
      <c r="AI1154" s="160" t="str">
        <f>IF($E1154="","",MIN(Input!$C$61/AH1154,1))</f>
        <v/>
      </c>
      <c r="AJ1154" s="152"/>
      <c r="AK1154" s="164" t="str">
        <f>IF(AND($C1153=12,$D1153=Input!$C$6),0,IF($E1154="","",IF($B1154&gt;Input!$C$9,$AC1154*AI1154,0)+AK1155/(1+$L1154)*$R1154))</f>
        <v/>
      </c>
      <c r="AL1154" s="164" t="str">
        <f>IF(AND($C1153=12,$D1153=Input!$C$6),0,IF($E1154="","",IF($B1154&gt;Input!$C$9,0,$AC1154)+AL1155/(1+$L1154)*$R1154))</f>
        <v/>
      </c>
      <c r="AM1154" s="160" t="str">
        <f t="shared" si="363"/>
        <v/>
      </c>
      <c r="AN1154" s="164" t="str">
        <f>IF($E1154="","",IF($B1154&gt;Input!$C$9,$AI1154*$AC1154,$AM1154*$AC1154))</f>
        <v/>
      </c>
      <c r="AO1154" s="164" t="str">
        <f>IF(AND($C1153=12,$D1153=Input!$C$6),0,IF($E1154="","",$AN1154+AO1155/(1+$L1154)*$R1154))</f>
        <v/>
      </c>
      <c r="AP1154" s="152"/>
      <c r="AQ1154" s="150" t="str">
        <f t="shared" si="364"/>
        <v/>
      </c>
      <c r="AR1154" s="150" t="str">
        <f t="shared" si="373"/>
        <v/>
      </c>
      <c r="AS1154" s="150" t="str">
        <f t="shared" si="374"/>
        <v/>
      </c>
      <c r="AT1154" s="150" t="str">
        <f t="shared" si="365"/>
        <v/>
      </c>
      <c r="AU1154" s="152"/>
      <c r="AV1154" s="147" t="str">
        <f>'Deterministic Reserve'!BC1154</f>
        <v/>
      </c>
      <c r="AY1154" s="152"/>
    </row>
    <row r="1155" spans="1:51" s="150" customFormat="1" x14ac:dyDescent="0.25">
      <c r="A1155" s="150" t="str">
        <f t="shared" si="375"/>
        <v/>
      </c>
      <c r="B1155" s="150" t="str">
        <f t="shared" si="376"/>
        <v/>
      </c>
      <c r="C1155" s="150" t="str">
        <f t="shared" si="377"/>
        <v/>
      </c>
      <c r="D1155" s="150" t="str">
        <f>IF(E1155="","",Input!$C$4+B1155-1)</f>
        <v/>
      </c>
      <c r="E1155" s="150" t="str">
        <f>IF(OR(AND(C1154=12,D1154=Input!$C$6),E1154=""),"",1)</f>
        <v/>
      </c>
      <c r="G1155" s="151" t="str">
        <f>IF(E1155="","",MAX(0,Input!$C$9-B1155))</f>
        <v/>
      </c>
      <c r="H1155" s="152" t="str">
        <f>IF(E1155="","",Input!$C$3)</f>
        <v/>
      </c>
      <c r="I1155" s="153" t="str">
        <f>IF(E1155="","",HLOOKUP($B1155,Input!$C$13:$BT$14,2))</f>
        <v/>
      </c>
      <c r="J1155" s="154"/>
      <c r="K1155" s="150" t="str">
        <f>IF($E1155="","",Input!$C$57)</f>
        <v/>
      </c>
      <c r="L1155" s="150" t="str">
        <f t="shared" si="368"/>
        <v/>
      </c>
      <c r="M1155" s="147" t="str">
        <f>IF($E1155="","",VLOOKUP(IF($B1155&lt;=Input!$C$7,$B1155,26),'Mortality Tables'!$A$72:$CA$97,IF($B1155&lt;=Input!$C$7+1,Input!$C$4-16,$D1155-Input!$C$7-16),0)/1000)</f>
        <v/>
      </c>
      <c r="N1155" s="147" t="str">
        <f t="shared" si="357"/>
        <v/>
      </c>
      <c r="O1155" s="157" t="str">
        <f>IF($E1155="","",IF($C1155=12,IF($B1155&lt;Input!$C$9,Input!$C$54,IF($B1155=Input!$C$9,Input!$C$55,Input!$C$56)),0%))</f>
        <v/>
      </c>
      <c r="P1155" s="167" t="str">
        <f>IF($E1155="","",IF($B1155=1,Input!$C$59,IF($B1155&lt;6,Input!$C$60,0%)))</f>
        <v/>
      </c>
      <c r="Q1155" s="162" t="str">
        <f>IF($E1155="","",Input!$C$58)</f>
        <v/>
      </c>
      <c r="R1155" s="156" t="str">
        <f t="shared" si="369"/>
        <v/>
      </c>
      <c r="S1155" s="154" t="str">
        <f t="shared" si="358"/>
        <v/>
      </c>
      <c r="T1155" s="152"/>
      <c r="U1155" s="150" t="str">
        <f t="shared" si="370"/>
        <v/>
      </c>
      <c r="V1155" s="150" t="str">
        <f t="shared" si="371"/>
        <v/>
      </c>
      <c r="W1155" s="168" t="str">
        <f t="shared" si="372"/>
        <v/>
      </c>
      <c r="X1155" s="163" t="str">
        <f t="shared" si="359"/>
        <v/>
      </c>
      <c r="Y1155" s="152"/>
      <c r="Z1155" s="164" t="str">
        <f>IF(AND($C1154=12,$D1154=Input!$C$6),0,IF($E1155="","",V1155+Z1156/(1+L1155)*R1155))</f>
        <v/>
      </c>
      <c r="AA1155" s="164" t="str">
        <f>IF(OR($M1155=1,AND($C1154=12,$D1154=Input!$C$6)),0,IF($E1155="","",W1155+(X1155+AA1156*$R1155)/(1+$L1155)))</f>
        <v/>
      </c>
      <c r="AB1155" s="160" t="str">
        <f t="shared" si="360"/>
        <v/>
      </c>
      <c r="AC1155" s="164" t="str">
        <f t="shared" si="361"/>
        <v/>
      </c>
      <c r="AD1155" s="164" t="str">
        <f>IF(AND($C1154=12,$D1154=Input!$C$6),0,IF($E1155="","",$AC1155+AD1156/(1+$L1155)*$R1155))</f>
        <v/>
      </c>
      <c r="AE1155" s="152"/>
      <c r="AF1155" s="164" t="str">
        <f>IF(AND($C1154=12,$D1154=Input!$C$6),0,IF($E1155="","",IF($B1155&gt;Input!$C$9,$AC1155,0)+AF1156/(1+$L1155)*$R1155))</f>
        <v/>
      </c>
      <c r="AG1155" s="164" t="str">
        <f>IF(AND($C1154=12,$D1154=Input!$C$6),0,IF($E1155="","",(IF($B1155&gt;Input!$C$9,$X1155,0)+AG1156)/(1+$L1155)*$R1155))</f>
        <v/>
      </c>
      <c r="AH1155" s="160" t="str">
        <f t="shared" si="362"/>
        <v/>
      </c>
      <c r="AI1155" s="160" t="str">
        <f>IF($E1155="","",MIN(Input!$C$61/AH1155,1))</f>
        <v/>
      </c>
      <c r="AJ1155" s="152"/>
      <c r="AK1155" s="164" t="str">
        <f>IF(AND($C1154=12,$D1154=Input!$C$6),0,IF($E1155="","",IF($B1155&gt;Input!$C$9,$AC1155*AI1155,0)+AK1156/(1+$L1155)*$R1155))</f>
        <v/>
      </c>
      <c r="AL1155" s="164" t="str">
        <f>IF(AND($C1154=12,$D1154=Input!$C$6),0,IF($E1155="","",IF($B1155&gt;Input!$C$9,0,$AC1155)+AL1156/(1+$L1155)*$R1155))</f>
        <v/>
      </c>
      <c r="AM1155" s="160" t="str">
        <f t="shared" si="363"/>
        <v/>
      </c>
      <c r="AN1155" s="164" t="str">
        <f>IF($E1155="","",IF($B1155&gt;Input!$C$9,$AI1155*$AC1155,$AM1155*$AC1155))</f>
        <v/>
      </c>
      <c r="AO1155" s="164" t="str">
        <f>IF(AND($C1154=12,$D1154=Input!$C$6),0,IF($E1155="","",$AN1155+AO1156/(1+$L1155)*$R1155))</f>
        <v/>
      </c>
      <c r="AP1155" s="152"/>
      <c r="AQ1155" s="150" t="str">
        <f t="shared" si="364"/>
        <v/>
      </c>
      <c r="AR1155" s="150" t="str">
        <f t="shared" si="373"/>
        <v/>
      </c>
      <c r="AS1155" s="150" t="str">
        <f t="shared" si="374"/>
        <v/>
      </c>
      <c r="AT1155" s="150" t="str">
        <f t="shared" si="365"/>
        <v/>
      </c>
      <c r="AU1155" s="152"/>
      <c r="AV1155" s="147" t="str">
        <f>'Deterministic Reserve'!BC1155</f>
        <v/>
      </c>
      <c r="AY1155" s="152"/>
    </row>
    <row r="1156" spans="1:51" s="150" customFormat="1" x14ac:dyDescent="0.25">
      <c r="A1156" s="150" t="str">
        <f t="shared" si="375"/>
        <v/>
      </c>
      <c r="B1156" s="150" t="str">
        <f t="shared" si="376"/>
        <v/>
      </c>
      <c r="C1156" s="150" t="str">
        <f t="shared" si="377"/>
        <v/>
      </c>
      <c r="D1156" s="150" t="str">
        <f>IF(E1156="","",Input!$C$4+B1156-1)</f>
        <v/>
      </c>
      <c r="E1156" s="150" t="str">
        <f>IF(OR(AND(C1155=12,D1155=Input!$C$6),E1155=""),"",1)</f>
        <v/>
      </c>
      <c r="G1156" s="151" t="str">
        <f>IF(E1156="","",MAX(0,Input!$C$9-B1156))</f>
        <v/>
      </c>
      <c r="H1156" s="152" t="str">
        <f>IF(E1156="","",Input!$C$3)</f>
        <v/>
      </c>
      <c r="I1156" s="153" t="str">
        <f>IF(E1156="","",HLOOKUP($B1156,Input!$C$13:$BT$14,2))</f>
        <v/>
      </c>
      <c r="J1156" s="154"/>
      <c r="K1156" s="150" t="str">
        <f>IF($E1156="","",Input!$C$57)</f>
        <v/>
      </c>
      <c r="L1156" s="150" t="str">
        <f t="shared" si="368"/>
        <v/>
      </c>
      <c r="M1156" s="147" t="str">
        <f>IF($E1156="","",VLOOKUP(IF($B1156&lt;=Input!$C$7,$B1156,26),'Mortality Tables'!$A$72:$CA$97,IF($B1156&lt;=Input!$C$7+1,Input!$C$4-16,$D1156-Input!$C$7-16),0)/1000)</f>
        <v/>
      </c>
      <c r="N1156" s="147" t="str">
        <f t="shared" si="357"/>
        <v/>
      </c>
      <c r="O1156" s="157" t="str">
        <f>IF($E1156="","",IF($C1156=12,IF($B1156&lt;Input!$C$9,Input!$C$54,IF($B1156=Input!$C$9,Input!$C$55,Input!$C$56)),0%))</f>
        <v/>
      </c>
      <c r="P1156" s="167" t="str">
        <f>IF($E1156="","",IF($B1156=1,Input!$C$59,IF($B1156&lt;6,Input!$C$60,0%)))</f>
        <v/>
      </c>
      <c r="Q1156" s="162" t="str">
        <f>IF($E1156="","",Input!$C$58)</f>
        <v/>
      </c>
      <c r="R1156" s="156" t="str">
        <f t="shared" si="369"/>
        <v/>
      </c>
      <c r="S1156" s="154" t="str">
        <f t="shared" si="358"/>
        <v/>
      </c>
      <c r="T1156" s="152"/>
      <c r="U1156" s="150" t="str">
        <f t="shared" si="370"/>
        <v/>
      </c>
      <c r="V1156" s="150" t="str">
        <f t="shared" si="371"/>
        <v/>
      </c>
      <c r="W1156" s="168" t="str">
        <f t="shared" si="372"/>
        <v/>
      </c>
      <c r="X1156" s="163" t="str">
        <f t="shared" si="359"/>
        <v/>
      </c>
      <c r="Y1156" s="152"/>
      <c r="Z1156" s="164" t="str">
        <f>IF(AND($C1155=12,$D1155=Input!$C$6),0,IF($E1156="","",V1156+Z1157/(1+L1156)*R1156))</f>
        <v/>
      </c>
      <c r="AA1156" s="164" t="str">
        <f>IF(OR($M1156=1,AND($C1155=12,$D1155=Input!$C$6)),0,IF($E1156="","",W1156+(X1156+AA1157*$R1156)/(1+$L1156)))</f>
        <v/>
      </c>
      <c r="AB1156" s="160" t="str">
        <f t="shared" si="360"/>
        <v/>
      </c>
      <c r="AC1156" s="164" t="str">
        <f t="shared" si="361"/>
        <v/>
      </c>
      <c r="AD1156" s="164" t="str">
        <f>IF(AND($C1155=12,$D1155=Input!$C$6),0,IF($E1156="","",$AC1156+AD1157/(1+$L1156)*$R1156))</f>
        <v/>
      </c>
      <c r="AE1156" s="152"/>
      <c r="AF1156" s="164" t="str">
        <f>IF(AND($C1155=12,$D1155=Input!$C$6),0,IF($E1156="","",IF($B1156&gt;Input!$C$9,$AC1156,0)+AF1157/(1+$L1156)*$R1156))</f>
        <v/>
      </c>
      <c r="AG1156" s="164" t="str">
        <f>IF(AND($C1155=12,$D1155=Input!$C$6),0,IF($E1156="","",(IF($B1156&gt;Input!$C$9,$X1156,0)+AG1157)/(1+$L1156)*$R1156))</f>
        <v/>
      </c>
      <c r="AH1156" s="160" t="str">
        <f t="shared" si="362"/>
        <v/>
      </c>
      <c r="AI1156" s="160" t="str">
        <f>IF($E1156="","",MIN(Input!$C$61/AH1156,1))</f>
        <v/>
      </c>
      <c r="AJ1156" s="152"/>
      <c r="AK1156" s="164" t="str">
        <f>IF(AND($C1155=12,$D1155=Input!$C$6),0,IF($E1156="","",IF($B1156&gt;Input!$C$9,$AC1156*AI1156,0)+AK1157/(1+$L1156)*$R1156))</f>
        <v/>
      </c>
      <c r="AL1156" s="164" t="str">
        <f>IF(AND($C1155=12,$D1155=Input!$C$6),0,IF($E1156="","",IF($B1156&gt;Input!$C$9,0,$AC1156)+AL1157/(1+$L1156)*$R1156))</f>
        <v/>
      </c>
      <c r="AM1156" s="160" t="str">
        <f t="shared" si="363"/>
        <v/>
      </c>
      <c r="AN1156" s="164" t="str">
        <f>IF($E1156="","",IF($B1156&gt;Input!$C$9,$AI1156*$AC1156,$AM1156*$AC1156))</f>
        <v/>
      </c>
      <c r="AO1156" s="164" t="str">
        <f>IF(AND($C1155=12,$D1155=Input!$C$6),0,IF($E1156="","",$AN1156+AO1157/(1+$L1156)*$R1156))</f>
        <v/>
      </c>
      <c r="AP1156" s="152"/>
      <c r="AQ1156" s="150" t="str">
        <f t="shared" si="364"/>
        <v/>
      </c>
      <c r="AR1156" s="150" t="str">
        <f t="shared" si="373"/>
        <v/>
      </c>
      <c r="AS1156" s="150" t="str">
        <f t="shared" si="374"/>
        <v/>
      </c>
      <c r="AT1156" s="150" t="str">
        <f t="shared" si="365"/>
        <v/>
      </c>
      <c r="AU1156" s="152"/>
      <c r="AV1156" s="147" t="str">
        <f>'Deterministic Reserve'!BC1156</f>
        <v/>
      </c>
      <c r="AY1156" s="152"/>
    </row>
    <row r="1157" spans="1:51" s="150" customFormat="1" x14ac:dyDescent="0.25">
      <c r="A1157" s="150" t="str">
        <f t="shared" si="375"/>
        <v/>
      </c>
      <c r="B1157" s="150" t="str">
        <f t="shared" si="376"/>
        <v/>
      </c>
      <c r="C1157" s="150" t="str">
        <f t="shared" si="377"/>
        <v/>
      </c>
      <c r="D1157" s="150" t="str">
        <f>IF(E1157="","",Input!$C$4+B1157-1)</f>
        <v/>
      </c>
      <c r="E1157" s="150" t="str">
        <f>IF(OR(AND(C1156=12,D1156=Input!$C$6),E1156=""),"",1)</f>
        <v/>
      </c>
      <c r="G1157" s="151" t="str">
        <f>IF(E1157="","",MAX(0,Input!$C$9-B1157))</f>
        <v/>
      </c>
      <c r="H1157" s="152" t="str">
        <f>IF(E1157="","",Input!$C$3)</f>
        <v/>
      </c>
      <c r="I1157" s="153" t="str">
        <f>IF(E1157="","",HLOOKUP($B1157,Input!$C$13:$BT$14,2))</f>
        <v/>
      </c>
      <c r="J1157" s="154"/>
      <c r="K1157" s="150" t="str">
        <f>IF($E1157="","",Input!$C$57)</f>
        <v/>
      </c>
      <c r="L1157" s="150" t="str">
        <f t="shared" si="368"/>
        <v/>
      </c>
      <c r="M1157" s="147" t="str">
        <f>IF($E1157="","",VLOOKUP(IF($B1157&lt;=Input!$C$7,$B1157,26),'Mortality Tables'!$A$72:$CA$97,IF($B1157&lt;=Input!$C$7+1,Input!$C$4-16,$D1157-Input!$C$7-16),0)/1000)</f>
        <v/>
      </c>
      <c r="N1157" s="147" t="str">
        <f t="shared" ref="N1157:N1220" si="378">IF($E1157="","",1-(1-M1157)^(1/12))</f>
        <v/>
      </c>
      <c r="O1157" s="157" t="str">
        <f>IF($E1157="","",IF($C1157=12,IF($B1157&lt;Input!$C$9,Input!$C$54,IF($B1157=Input!$C$9,Input!$C$55,Input!$C$56)),0%))</f>
        <v/>
      </c>
      <c r="P1157" s="167" t="str">
        <f>IF($E1157="","",IF($B1157=1,Input!$C$59,IF($B1157&lt;6,Input!$C$60,0%)))</f>
        <v/>
      </c>
      <c r="Q1157" s="162" t="str">
        <f>IF($E1157="","",Input!$C$58)</f>
        <v/>
      </c>
      <c r="R1157" s="156" t="str">
        <f t="shared" si="369"/>
        <v/>
      </c>
      <c r="S1157" s="154" t="str">
        <f t="shared" ref="S1157:S1220" si="379">IF($E1157="","",IF(AND($B1157=1,$C1157=1),1,S1156*R1157))</f>
        <v/>
      </c>
      <c r="T1157" s="152"/>
      <c r="U1157" s="150" t="str">
        <f t="shared" si="370"/>
        <v/>
      </c>
      <c r="V1157" s="150" t="str">
        <f t="shared" si="371"/>
        <v/>
      </c>
      <c r="W1157" s="168" t="str">
        <f t="shared" si="372"/>
        <v/>
      </c>
      <c r="X1157" s="163" t="str">
        <f t="shared" ref="X1157:X1220" si="380">IF($E1157="","",N1157*$H1157)</f>
        <v/>
      </c>
      <c r="Y1157" s="152"/>
      <c r="Z1157" s="164" t="str">
        <f>IF(AND($C1156=12,$D1156=Input!$C$6),0,IF($E1157="","",V1157+Z1158/(1+L1157)*R1157))</f>
        <v/>
      </c>
      <c r="AA1157" s="164" t="str">
        <f>IF(OR($M1157=1,AND($C1156=12,$D1156=Input!$C$6)),0,IF($E1157="","",W1157+(X1157+AA1158*$R1157)/(1+$L1157)))</f>
        <v/>
      </c>
      <c r="AB1157" s="160" t="str">
        <f t="shared" ref="AB1157:AB1220" si="381">IF($E1157="","",$AA$5/$Z$5)</f>
        <v/>
      </c>
      <c r="AC1157" s="164" t="str">
        <f t="shared" ref="AC1157:AC1220" si="382">IF($E1157="","",V1157*AB1157)</f>
        <v/>
      </c>
      <c r="AD1157" s="164" t="str">
        <f>IF(AND($C1156=12,$D1156=Input!$C$6),0,IF($E1157="","",$AC1157+AD1158/(1+$L1157)*$R1157))</f>
        <v/>
      </c>
      <c r="AE1157" s="152"/>
      <c r="AF1157" s="164" t="str">
        <f>IF(AND($C1156=12,$D1156=Input!$C$6),0,IF($E1157="","",IF($B1157&gt;Input!$C$9,$AC1157,0)+AF1158/(1+$L1157)*$R1157))</f>
        <v/>
      </c>
      <c r="AG1157" s="164" t="str">
        <f>IF(AND($C1156=12,$D1156=Input!$C$6),0,IF($E1157="","",(IF($B1157&gt;Input!$C$9,$X1157,0)+AG1158)/(1+$L1157)*$R1157))</f>
        <v/>
      </c>
      <c r="AH1157" s="160" t="str">
        <f t="shared" ref="AH1157:AH1220" si="383">IF($E1157="","",$AF$5/$AG$5)</f>
        <v/>
      </c>
      <c r="AI1157" s="160" t="str">
        <f>IF($E1157="","",MIN(Input!$C$61/AH1157,1))</f>
        <v/>
      </c>
      <c r="AJ1157" s="152"/>
      <c r="AK1157" s="164" t="str">
        <f>IF(AND($C1156=12,$D1156=Input!$C$6),0,IF($E1157="","",IF($B1157&gt;Input!$C$9,$AC1157*AI1157,0)+AK1158/(1+$L1157)*$R1157))</f>
        <v/>
      </c>
      <c r="AL1157" s="164" t="str">
        <f>IF(AND($C1156=12,$D1156=Input!$C$6),0,IF($E1157="","",IF($B1157&gt;Input!$C$9,0,$AC1157)+AL1158/(1+$L1157)*$R1157))</f>
        <v/>
      </c>
      <c r="AM1157" s="160" t="str">
        <f t="shared" ref="AM1157:AM1220" si="384">IF($E1157="","",($AD$5-$AK$5)/$AL$5)</f>
        <v/>
      </c>
      <c r="AN1157" s="164" t="str">
        <f>IF($E1157="","",IF($B1157&gt;Input!$C$9,$AI1157*$AC1157,$AM1157*$AC1157))</f>
        <v/>
      </c>
      <c r="AO1157" s="164" t="str">
        <f>IF(AND($C1156=12,$D1156=Input!$C$6),0,IF($E1157="","",$AN1157+AO1158/(1+$L1157)*$R1157))</f>
        <v/>
      </c>
      <c r="AP1157" s="152"/>
      <c r="AQ1157" s="150" t="str">
        <f t="shared" ref="AQ1157:AQ1220" si="385">IF($E1157="","",$AA1157-$AO1157)</f>
        <v/>
      </c>
      <c r="AR1157" s="150" t="str">
        <f t="shared" si="373"/>
        <v/>
      </c>
      <c r="AS1157" s="150" t="str">
        <f t="shared" si="374"/>
        <v/>
      </c>
      <c r="AT1157" s="150" t="str">
        <f t="shared" ref="AT1157:AT1220" si="386">IF($E1157="","",MAX($AR1157,$AS1157))</f>
        <v/>
      </c>
      <c r="AU1157" s="152"/>
      <c r="AV1157" s="147" t="str">
        <f>'Deterministic Reserve'!BC1157</f>
        <v/>
      </c>
      <c r="AY1157" s="152"/>
    </row>
    <row r="1158" spans="1:51" s="150" customFormat="1" x14ac:dyDescent="0.25">
      <c r="A1158" s="150" t="str">
        <f t="shared" si="375"/>
        <v/>
      </c>
      <c r="B1158" s="150" t="str">
        <f t="shared" si="376"/>
        <v/>
      </c>
      <c r="C1158" s="150" t="str">
        <f t="shared" si="377"/>
        <v/>
      </c>
      <c r="D1158" s="150" t="str">
        <f>IF(E1158="","",Input!$C$4+B1158-1)</f>
        <v/>
      </c>
      <c r="E1158" s="150" t="str">
        <f>IF(OR(AND(C1157=12,D1157=Input!$C$6),E1157=""),"",1)</f>
        <v/>
      </c>
      <c r="G1158" s="151" t="str">
        <f>IF(E1158="","",MAX(0,Input!$C$9-B1158))</f>
        <v/>
      </c>
      <c r="H1158" s="152" t="str">
        <f>IF(E1158="","",Input!$C$3)</f>
        <v/>
      </c>
      <c r="I1158" s="153" t="str">
        <f>IF(E1158="","",HLOOKUP($B1158,Input!$C$13:$BT$14,2))</f>
        <v/>
      </c>
      <c r="J1158" s="154"/>
      <c r="K1158" s="150" t="str">
        <f>IF($E1158="","",Input!$C$57)</f>
        <v/>
      </c>
      <c r="L1158" s="150" t="str">
        <f t="shared" ref="L1158:L1221" si="387">IF($E1158="","",(1+K1158)^(1/12)-1)</f>
        <v/>
      </c>
      <c r="M1158" s="147" t="str">
        <f>IF($E1158="","",VLOOKUP(IF($B1158&lt;=Input!$C$7,$B1158,26),'Mortality Tables'!$A$72:$CA$97,IF($B1158&lt;=Input!$C$7+1,Input!$C$4-16,$D1158-Input!$C$7-16),0)/1000)</f>
        <v/>
      </c>
      <c r="N1158" s="147" t="str">
        <f t="shared" si="378"/>
        <v/>
      </c>
      <c r="O1158" s="157" t="str">
        <f>IF($E1158="","",IF($C1158=12,IF($B1158&lt;Input!$C$9,Input!$C$54,IF($B1158=Input!$C$9,Input!$C$55,Input!$C$56)),0%))</f>
        <v/>
      </c>
      <c r="P1158" s="167" t="str">
        <f>IF($E1158="","",IF($B1158=1,Input!$C$59,IF($B1158&lt;6,Input!$C$60,0%)))</f>
        <v/>
      </c>
      <c r="Q1158" s="162" t="str">
        <f>IF($E1158="","",Input!$C$58)</f>
        <v/>
      </c>
      <c r="R1158" s="156" t="str">
        <f t="shared" ref="R1158:R1221" si="388">IF($E1158="","",MAX(1-N1158-O1158,0))</f>
        <v/>
      </c>
      <c r="S1158" s="154" t="str">
        <f t="shared" si="379"/>
        <v/>
      </c>
      <c r="T1158" s="152"/>
      <c r="U1158" s="150" t="str">
        <f t="shared" ref="U1158:U1221" si="389">IF($E1158="","",IF($C1158=1,$I1158*$H1158/1000,0))</f>
        <v/>
      </c>
      <c r="V1158" s="150" t="str">
        <f t="shared" ref="V1158:V1221" si="390">IF($E1158="","",U1158*(1-$P1158))</f>
        <v/>
      </c>
      <c r="W1158" s="168" t="str">
        <f t="shared" ref="W1158:W1221" si="391">IF($E1158="","",IF(AND($B1158=1,$C1158=1),$Q1158*$H1158/1000,0))</f>
        <v/>
      </c>
      <c r="X1158" s="163" t="str">
        <f t="shared" si="380"/>
        <v/>
      </c>
      <c r="Y1158" s="152"/>
      <c r="Z1158" s="164" t="str">
        <f>IF(AND($C1157=12,$D1157=Input!$C$6),0,IF($E1158="","",V1158+Z1159/(1+L1158)*R1158))</f>
        <v/>
      </c>
      <c r="AA1158" s="164" t="str">
        <f>IF(OR($M1158=1,AND($C1157=12,$D1157=Input!$C$6)),0,IF($E1158="","",W1158+(X1158+AA1159*$R1158)/(1+$L1158)))</f>
        <v/>
      </c>
      <c r="AB1158" s="160" t="str">
        <f t="shared" si="381"/>
        <v/>
      </c>
      <c r="AC1158" s="164" t="str">
        <f t="shared" si="382"/>
        <v/>
      </c>
      <c r="AD1158" s="164" t="str">
        <f>IF(AND($C1157=12,$D1157=Input!$C$6),0,IF($E1158="","",$AC1158+AD1159/(1+$L1158)*$R1158))</f>
        <v/>
      </c>
      <c r="AE1158" s="152"/>
      <c r="AF1158" s="164" t="str">
        <f>IF(AND($C1157=12,$D1157=Input!$C$6),0,IF($E1158="","",IF($B1158&gt;Input!$C$9,$AC1158,0)+AF1159/(1+$L1158)*$R1158))</f>
        <v/>
      </c>
      <c r="AG1158" s="164" t="str">
        <f>IF(AND($C1157=12,$D1157=Input!$C$6),0,IF($E1158="","",(IF($B1158&gt;Input!$C$9,$X1158,0)+AG1159)/(1+$L1158)*$R1158))</f>
        <v/>
      </c>
      <c r="AH1158" s="160" t="str">
        <f t="shared" si="383"/>
        <v/>
      </c>
      <c r="AI1158" s="160" t="str">
        <f>IF($E1158="","",MIN(Input!$C$61/AH1158,1))</f>
        <v/>
      </c>
      <c r="AJ1158" s="152"/>
      <c r="AK1158" s="164" t="str">
        <f>IF(AND($C1157=12,$D1157=Input!$C$6),0,IF($E1158="","",IF($B1158&gt;Input!$C$9,$AC1158*AI1158,0)+AK1159/(1+$L1158)*$R1158))</f>
        <v/>
      </c>
      <c r="AL1158" s="164" t="str">
        <f>IF(AND($C1157=12,$D1157=Input!$C$6),0,IF($E1158="","",IF($B1158&gt;Input!$C$9,0,$AC1158)+AL1159/(1+$L1158)*$R1158))</f>
        <v/>
      </c>
      <c r="AM1158" s="160" t="str">
        <f t="shared" si="384"/>
        <v/>
      </c>
      <c r="AN1158" s="164" t="str">
        <f>IF($E1158="","",IF($B1158&gt;Input!$C$9,$AI1158*$AC1158,$AM1158*$AC1158))</f>
        <v/>
      </c>
      <c r="AO1158" s="164" t="str">
        <f>IF(AND($C1157=12,$D1157=Input!$C$6),0,IF($E1158="","",$AN1158+AO1159/(1+$L1158)*$R1158))</f>
        <v/>
      </c>
      <c r="AP1158" s="152"/>
      <c r="AQ1158" s="150" t="str">
        <f t="shared" si="385"/>
        <v/>
      </c>
      <c r="AR1158" s="150" t="str">
        <f t="shared" ref="AR1158:AR1221" si="392">IF($E1158="","",IF($M1158=1,0,0.5*(IF($B1158=1,0,SUMIFS($AQ:$AQ,$B:$B,$B1158-1,$C:$C,12))+SUMIFS($AN:$AN,$B:$B,$B1158,$C:$C,1)+SUMIFS($AQ:$AQ,$B:$B,$B1158,$C:$C,12))))</f>
        <v/>
      </c>
      <c r="AS1158" s="150" t="str">
        <f t="shared" ref="AS1158:AS1221" si="393">IF($E1158="","",IF($M1158=1,0,0.5*$M1158*$H1158/(1+$K1158)))</f>
        <v/>
      </c>
      <c r="AT1158" s="150" t="str">
        <f t="shared" si="386"/>
        <v/>
      </c>
      <c r="AU1158" s="152"/>
      <c r="AV1158" s="147" t="str">
        <f>'Deterministic Reserve'!BC1158</f>
        <v/>
      </c>
      <c r="AY1158" s="152"/>
    </row>
    <row r="1159" spans="1:51" s="150" customFormat="1" x14ac:dyDescent="0.25">
      <c r="A1159" s="150" t="str">
        <f t="shared" ref="A1159:A1222" si="394">IF(E1159="","",A1158+1)</f>
        <v/>
      </c>
      <c r="B1159" s="150" t="str">
        <f t="shared" ref="B1159:B1222" si="395">IF(E1159="","",IF(C1158+1&gt;12,B1158+1,B1158))</f>
        <v/>
      </c>
      <c r="C1159" s="150" t="str">
        <f t="shared" ref="C1159:C1222" si="396">IF(E1159="","",IF(C1158+1&gt;12,1,C1158+1))</f>
        <v/>
      </c>
      <c r="D1159" s="150" t="str">
        <f>IF(E1159="","",Input!$C$4+B1159-1)</f>
        <v/>
      </c>
      <c r="E1159" s="150" t="str">
        <f>IF(OR(AND(C1158=12,D1158=Input!$C$6),E1158=""),"",1)</f>
        <v/>
      </c>
      <c r="G1159" s="151" t="str">
        <f>IF(E1159="","",MAX(0,Input!$C$9-B1159))</f>
        <v/>
      </c>
      <c r="H1159" s="152" t="str">
        <f>IF(E1159="","",Input!$C$3)</f>
        <v/>
      </c>
      <c r="I1159" s="153" t="str">
        <f>IF(E1159="","",HLOOKUP($B1159,Input!$C$13:$BT$14,2))</f>
        <v/>
      </c>
      <c r="J1159" s="154"/>
      <c r="K1159" s="150" t="str">
        <f>IF($E1159="","",Input!$C$57)</f>
        <v/>
      </c>
      <c r="L1159" s="150" t="str">
        <f t="shared" si="387"/>
        <v/>
      </c>
      <c r="M1159" s="147" t="str">
        <f>IF($E1159="","",VLOOKUP(IF($B1159&lt;=Input!$C$7,$B1159,26),'Mortality Tables'!$A$72:$CA$97,IF($B1159&lt;=Input!$C$7+1,Input!$C$4-16,$D1159-Input!$C$7-16),0)/1000)</f>
        <v/>
      </c>
      <c r="N1159" s="147" t="str">
        <f t="shared" si="378"/>
        <v/>
      </c>
      <c r="O1159" s="157" t="str">
        <f>IF($E1159="","",IF($C1159=12,IF($B1159&lt;Input!$C$9,Input!$C$54,IF($B1159=Input!$C$9,Input!$C$55,Input!$C$56)),0%))</f>
        <v/>
      </c>
      <c r="P1159" s="167" t="str">
        <f>IF($E1159="","",IF($B1159=1,Input!$C$59,IF($B1159&lt;6,Input!$C$60,0%)))</f>
        <v/>
      </c>
      <c r="Q1159" s="162" t="str">
        <f>IF($E1159="","",Input!$C$58)</f>
        <v/>
      </c>
      <c r="R1159" s="156" t="str">
        <f t="shared" si="388"/>
        <v/>
      </c>
      <c r="S1159" s="154" t="str">
        <f t="shared" si="379"/>
        <v/>
      </c>
      <c r="T1159" s="152"/>
      <c r="U1159" s="150" t="str">
        <f t="shared" si="389"/>
        <v/>
      </c>
      <c r="V1159" s="150" t="str">
        <f t="shared" si="390"/>
        <v/>
      </c>
      <c r="W1159" s="168" t="str">
        <f t="shared" si="391"/>
        <v/>
      </c>
      <c r="X1159" s="163" t="str">
        <f t="shared" si="380"/>
        <v/>
      </c>
      <c r="Y1159" s="152"/>
      <c r="Z1159" s="164" t="str">
        <f>IF(AND($C1158=12,$D1158=Input!$C$6),0,IF($E1159="","",V1159+Z1160/(1+L1159)*R1159))</f>
        <v/>
      </c>
      <c r="AA1159" s="164" t="str">
        <f>IF(OR($M1159=1,AND($C1158=12,$D1158=Input!$C$6)),0,IF($E1159="","",W1159+(X1159+AA1160*$R1159)/(1+$L1159)))</f>
        <v/>
      </c>
      <c r="AB1159" s="160" t="str">
        <f t="shared" si="381"/>
        <v/>
      </c>
      <c r="AC1159" s="164" t="str">
        <f t="shared" si="382"/>
        <v/>
      </c>
      <c r="AD1159" s="164" t="str">
        <f>IF(AND($C1158=12,$D1158=Input!$C$6),0,IF($E1159="","",$AC1159+AD1160/(1+$L1159)*$R1159))</f>
        <v/>
      </c>
      <c r="AE1159" s="152"/>
      <c r="AF1159" s="164" t="str">
        <f>IF(AND($C1158=12,$D1158=Input!$C$6),0,IF($E1159="","",IF($B1159&gt;Input!$C$9,$AC1159,0)+AF1160/(1+$L1159)*$R1159))</f>
        <v/>
      </c>
      <c r="AG1159" s="164" t="str">
        <f>IF(AND($C1158=12,$D1158=Input!$C$6),0,IF($E1159="","",(IF($B1159&gt;Input!$C$9,$X1159,0)+AG1160)/(1+$L1159)*$R1159))</f>
        <v/>
      </c>
      <c r="AH1159" s="160" t="str">
        <f t="shared" si="383"/>
        <v/>
      </c>
      <c r="AI1159" s="160" t="str">
        <f>IF($E1159="","",MIN(Input!$C$61/AH1159,1))</f>
        <v/>
      </c>
      <c r="AJ1159" s="152"/>
      <c r="AK1159" s="164" t="str">
        <f>IF(AND($C1158=12,$D1158=Input!$C$6),0,IF($E1159="","",IF($B1159&gt;Input!$C$9,$AC1159*AI1159,0)+AK1160/(1+$L1159)*$R1159))</f>
        <v/>
      </c>
      <c r="AL1159" s="164" t="str">
        <f>IF(AND($C1158=12,$D1158=Input!$C$6),0,IF($E1159="","",IF($B1159&gt;Input!$C$9,0,$AC1159)+AL1160/(1+$L1159)*$R1159))</f>
        <v/>
      </c>
      <c r="AM1159" s="160" t="str">
        <f t="shared" si="384"/>
        <v/>
      </c>
      <c r="AN1159" s="164" t="str">
        <f>IF($E1159="","",IF($B1159&gt;Input!$C$9,$AI1159*$AC1159,$AM1159*$AC1159))</f>
        <v/>
      </c>
      <c r="AO1159" s="164" t="str">
        <f>IF(AND($C1158=12,$D1158=Input!$C$6),0,IF($E1159="","",$AN1159+AO1160/(1+$L1159)*$R1159))</f>
        <v/>
      </c>
      <c r="AP1159" s="152"/>
      <c r="AQ1159" s="150" t="str">
        <f t="shared" si="385"/>
        <v/>
      </c>
      <c r="AR1159" s="150" t="str">
        <f t="shared" si="392"/>
        <v/>
      </c>
      <c r="AS1159" s="150" t="str">
        <f t="shared" si="393"/>
        <v/>
      </c>
      <c r="AT1159" s="150" t="str">
        <f t="shared" si="386"/>
        <v/>
      </c>
      <c r="AU1159" s="152"/>
      <c r="AV1159" s="147" t="str">
        <f>'Deterministic Reserve'!BC1159</f>
        <v/>
      </c>
      <c r="AY1159" s="152"/>
    </row>
    <row r="1160" spans="1:51" s="150" customFormat="1" x14ac:dyDescent="0.25">
      <c r="A1160" s="150" t="str">
        <f t="shared" si="394"/>
        <v/>
      </c>
      <c r="B1160" s="150" t="str">
        <f t="shared" si="395"/>
        <v/>
      </c>
      <c r="C1160" s="150" t="str">
        <f t="shared" si="396"/>
        <v/>
      </c>
      <c r="D1160" s="150" t="str">
        <f>IF(E1160="","",Input!$C$4+B1160-1)</f>
        <v/>
      </c>
      <c r="E1160" s="150" t="str">
        <f>IF(OR(AND(C1159=12,D1159=Input!$C$6),E1159=""),"",1)</f>
        <v/>
      </c>
      <c r="G1160" s="151" t="str">
        <f>IF(E1160="","",MAX(0,Input!$C$9-B1160))</f>
        <v/>
      </c>
      <c r="H1160" s="152" t="str">
        <f>IF(E1160="","",Input!$C$3)</f>
        <v/>
      </c>
      <c r="I1160" s="153" t="str">
        <f>IF(E1160="","",HLOOKUP($B1160,Input!$C$13:$BT$14,2))</f>
        <v/>
      </c>
      <c r="J1160" s="154"/>
      <c r="K1160" s="150" t="str">
        <f>IF($E1160="","",Input!$C$57)</f>
        <v/>
      </c>
      <c r="L1160" s="150" t="str">
        <f t="shared" si="387"/>
        <v/>
      </c>
      <c r="M1160" s="147" t="str">
        <f>IF($E1160="","",VLOOKUP(IF($B1160&lt;=Input!$C$7,$B1160,26),'Mortality Tables'!$A$72:$CA$97,IF($B1160&lt;=Input!$C$7+1,Input!$C$4-16,$D1160-Input!$C$7-16),0)/1000)</f>
        <v/>
      </c>
      <c r="N1160" s="147" t="str">
        <f t="shared" si="378"/>
        <v/>
      </c>
      <c r="O1160" s="157" t="str">
        <f>IF($E1160="","",IF($C1160=12,IF($B1160&lt;Input!$C$9,Input!$C$54,IF($B1160=Input!$C$9,Input!$C$55,Input!$C$56)),0%))</f>
        <v/>
      </c>
      <c r="P1160" s="167" t="str">
        <f>IF($E1160="","",IF($B1160=1,Input!$C$59,IF($B1160&lt;6,Input!$C$60,0%)))</f>
        <v/>
      </c>
      <c r="Q1160" s="162" t="str">
        <f>IF($E1160="","",Input!$C$58)</f>
        <v/>
      </c>
      <c r="R1160" s="156" t="str">
        <f t="shared" si="388"/>
        <v/>
      </c>
      <c r="S1160" s="154" t="str">
        <f t="shared" si="379"/>
        <v/>
      </c>
      <c r="T1160" s="152"/>
      <c r="U1160" s="150" t="str">
        <f t="shared" si="389"/>
        <v/>
      </c>
      <c r="V1160" s="150" t="str">
        <f t="shared" si="390"/>
        <v/>
      </c>
      <c r="W1160" s="168" t="str">
        <f t="shared" si="391"/>
        <v/>
      </c>
      <c r="X1160" s="163" t="str">
        <f t="shared" si="380"/>
        <v/>
      </c>
      <c r="Y1160" s="152"/>
      <c r="Z1160" s="164" t="str">
        <f>IF(AND($C1159=12,$D1159=Input!$C$6),0,IF($E1160="","",V1160+Z1161/(1+L1160)*R1160))</f>
        <v/>
      </c>
      <c r="AA1160" s="164" t="str">
        <f>IF(OR($M1160=1,AND($C1159=12,$D1159=Input!$C$6)),0,IF($E1160="","",W1160+(X1160+AA1161*$R1160)/(1+$L1160)))</f>
        <v/>
      </c>
      <c r="AB1160" s="160" t="str">
        <f t="shared" si="381"/>
        <v/>
      </c>
      <c r="AC1160" s="164" t="str">
        <f t="shared" si="382"/>
        <v/>
      </c>
      <c r="AD1160" s="164" t="str">
        <f>IF(AND($C1159=12,$D1159=Input!$C$6),0,IF($E1160="","",$AC1160+AD1161/(1+$L1160)*$R1160))</f>
        <v/>
      </c>
      <c r="AE1160" s="152"/>
      <c r="AF1160" s="164" t="str">
        <f>IF(AND($C1159=12,$D1159=Input!$C$6),0,IF($E1160="","",IF($B1160&gt;Input!$C$9,$AC1160,0)+AF1161/(1+$L1160)*$R1160))</f>
        <v/>
      </c>
      <c r="AG1160" s="164" t="str">
        <f>IF(AND($C1159=12,$D1159=Input!$C$6),0,IF($E1160="","",(IF($B1160&gt;Input!$C$9,$X1160,0)+AG1161)/(1+$L1160)*$R1160))</f>
        <v/>
      </c>
      <c r="AH1160" s="160" t="str">
        <f t="shared" si="383"/>
        <v/>
      </c>
      <c r="AI1160" s="160" t="str">
        <f>IF($E1160="","",MIN(Input!$C$61/AH1160,1))</f>
        <v/>
      </c>
      <c r="AJ1160" s="152"/>
      <c r="AK1160" s="164" t="str">
        <f>IF(AND($C1159=12,$D1159=Input!$C$6),0,IF($E1160="","",IF($B1160&gt;Input!$C$9,$AC1160*AI1160,0)+AK1161/(1+$L1160)*$R1160))</f>
        <v/>
      </c>
      <c r="AL1160" s="164" t="str">
        <f>IF(AND($C1159=12,$D1159=Input!$C$6),0,IF($E1160="","",IF($B1160&gt;Input!$C$9,0,$AC1160)+AL1161/(1+$L1160)*$R1160))</f>
        <v/>
      </c>
      <c r="AM1160" s="160" t="str">
        <f t="shared" si="384"/>
        <v/>
      </c>
      <c r="AN1160" s="164" t="str">
        <f>IF($E1160="","",IF($B1160&gt;Input!$C$9,$AI1160*$AC1160,$AM1160*$AC1160))</f>
        <v/>
      </c>
      <c r="AO1160" s="164" t="str">
        <f>IF(AND($C1159=12,$D1159=Input!$C$6),0,IF($E1160="","",$AN1160+AO1161/(1+$L1160)*$R1160))</f>
        <v/>
      </c>
      <c r="AP1160" s="152"/>
      <c r="AQ1160" s="150" t="str">
        <f t="shared" si="385"/>
        <v/>
      </c>
      <c r="AR1160" s="150" t="str">
        <f t="shared" si="392"/>
        <v/>
      </c>
      <c r="AS1160" s="150" t="str">
        <f t="shared" si="393"/>
        <v/>
      </c>
      <c r="AT1160" s="150" t="str">
        <f t="shared" si="386"/>
        <v/>
      </c>
      <c r="AU1160" s="152"/>
      <c r="AV1160" s="147" t="str">
        <f>'Deterministic Reserve'!BC1160</f>
        <v/>
      </c>
      <c r="AY1160" s="152"/>
    </row>
    <row r="1161" spans="1:51" s="150" customFormat="1" x14ac:dyDescent="0.25">
      <c r="A1161" s="150" t="str">
        <f t="shared" si="394"/>
        <v/>
      </c>
      <c r="B1161" s="150" t="str">
        <f t="shared" si="395"/>
        <v/>
      </c>
      <c r="C1161" s="150" t="str">
        <f t="shared" si="396"/>
        <v/>
      </c>
      <c r="D1161" s="150" t="str">
        <f>IF(E1161="","",Input!$C$4+B1161-1)</f>
        <v/>
      </c>
      <c r="E1161" s="150" t="str">
        <f>IF(OR(AND(C1160=12,D1160=Input!$C$6),E1160=""),"",1)</f>
        <v/>
      </c>
      <c r="G1161" s="151" t="str">
        <f>IF(E1161="","",MAX(0,Input!$C$9-B1161))</f>
        <v/>
      </c>
      <c r="H1161" s="152" t="str">
        <f>IF(E1161="","",Input!$C$3)</f>
        <v/>
      </c>
      <c r="I1161" s="153" t="str">
        <f>IF(E1161="","",HLOOKUP($B1161,Input!$C$13:$BT$14,2))</f>
        <v/>
      </c>
      <c r="J1161" s="154"/>
      <c r="K1161" s="150" t="str">
        <f>IF($E1161="","",Input!$C$57)</f>
        <v/>
      </c>
      <c r="L1161" s="150" t="str">
        <f t="shared" si="387"/>
        <v/>
      </c>
      <c r="M1161" s="147" t="str">
        <f>IF($E1161="","",VLOOKUP(IF($B1161&lt;=Input!$C$7,$B1161,26),'Mortality Tables'!$A$72:$CA$97,IF($B1161&lt;=Input!$C$7+1,Input!$C$4-16,$D1161-Input!$C$7-16),0)/1000)</f>
        <v/>
      </c>
      <c r="N1161" s="147" t="str">
        <f t="shared" si="378"/>
        <v/>
      </c>
      <c r="O1161" s="157" t="str">
        <f>IF($E1161="","",IF($C1161=12,IF($B1161&lt;Input!$C$9,Input!$C$54,IF($B1161=Input!$C$9,Input!$C$55,Input!$C$56)),0%))</f>
        <v/>
      </c>
      <c r="P1161" s="167" t="str">
        <f>IF($E1161="","",IF($B1161=1,Input!$C$59,IF($B1161&lt;6,Input!$C$60,0%)))</f>
        <v/>
      </c>
      <c r="Q1161" s="162" t="str">
        <f>IF($E1161="","",Input!$C$58)</f>
        <v/>
      </c>
      <c r="R1161" s="156" t="str">
        <f t="shared" si="388"/>
        <v/>
      </c>
      <c r="S1161" s="154" t="str">
        <f t="shared" si="379"/>
        <v/>
      </c>
      <c r="T1161" s="152"/>
      <c r="U1161" s="150" t="str">
        <f t="shared" si="389"/>
        <v/>
      </c>
      <c r="V1161" s="150" t="str">
        <f t="shared" si="390"/>
        <v/>
      </c>
      <c r="W1161" s="168" t="str">
        <f t="shared" si="391"/>
        <v/>
      </c>
      <c r="X1161" s="163" t="str">
        <f t="shared" si="380"/>
        <v/>
      </c>
      <c r="Y1161" s="152"/>
      <c r="Z1161" s="164" t="str">
        <f>IF(AND($C1160=12,$D1160=Input!$C$6),0,IF($E1161="","",V1161+Z1162/(1+L1161)*R1161))</f>
        <v/>
      </c>
      <c r="AA1161" s="164" t="str">
        <f>IF(OR($M1161=1,AND($C1160=12,$D1160=Input!$C$6)),0,IF($E1161="","",W1161+(X1161+AA1162*$R1161)/(1+$L1161)))</f>
        <v/>
      </c>
      <c r="AB1161" s="160" t="str">
        <f t="shared" si="381"/>
        <v/>
      </c>
      <c r="AC1161" s="164" t="str">
        <f t="shared" si="382"/>
        <v/>
      </c>
      <c r="AD1161" s="164" t="str">
        <f>IF(AND($C1160=12,$D1160=Input!$C$6),0,IF($E1161="","",$AC1161+AD1162/(1+$L1161)*$R1161))</f>
        <v/>
      </c>
      <c r="AE1161" s="152"/>
      <c r="AF1161" s="164" t="str">
        <f>IF(AND($C1160=12,$D1160=Input!$C$6),0,IF($E1161="","",IF($B1161&gt;Input!$C$9,$AC1161,0)+AF1162/(1+$L1161)*$R1161))</f>
        <v/>
      </c>
      <c r="AG1161" s="164" t="str">
        <f>IF(AND($C1160=12,$D1160=Input!$C$6),0,IF($E1161="","",(IF($B1161&gt;Input!$C$9,$X1161,0)+AG1162)/(1+$L1161)*$R1161))</f>
        <v/>
      </c>
      <c r="AH1161" s="160" t="str">
        <f t="shared" si="383"/>
        <v/>
      </c>
      <c r="AI1161" s="160" t="str">
        <f>IF($E1161="","",MIN(Input!$C$61/AH1161,1))</f>
        <v/>
      </c>
      <c r="AJ1161" s="152"/>
      <c r="AK1161" s="164" t="str">
        <f>IF(AND($C1160=12,$D1160=Input!$C$6),0,IF($E1161="","",IF($B1161&gt;Input!$C$9,$AC1161*AI1161,0)+AK1162/(1+$L1161)*$R1161))</f>
        <v/>
      </c>
      <c r="AL1161" s="164" t="str">
        <f>IF(AND($C1160=12,$D1160=Input!$C$6),0,IF($E1161="","",IF($B1161&gt;Input!$C$9,0,$AC1161)+AL1162/(1+$L1161)*$R1161))</f>
        <v/>
      </c>
      <c r="AM1161" s="160" t="str">
        <f t="shared" si="384"/>
        <v/>
      </c>
      <c r="AN1161" s="164" t="str">
        <f>IF($E1161="","",IF($B1161&gt;Input!$C$9,$AI1161*$AC1161,$AM1161*$AC1161))</f>
        <v/>
      </c>
      <c r="AO1161" s="164" t="str">
        <f>IF(AND($C1160=12,$D1160=Input!$C$6),0,IF($E1161="","",$AN1161+AO1162/(1+$L1161)*$R1161))</f>
        <v/>
      </c>
      <c r="AP1161" s="152"/>
      <c r="AQ1161" s="150" t="str">
        <f t="shared" si="385"/>
        <v/>
      </c>
      <c r="AR1161" s="150" t="str">
        <f t="shared" si="392"/>
        <v/>
      </c>
      <c r="AS1161" s="150" t="str">
        <f t="shared" si="393"/>
        <v/>
      </c>
      <c r="AT1161" s="150" t="str">
        <f t="shared" si="386"/>
        <v/>
      </c>
      <c r="AU1161" s="152"/>
      <c r="AV1161" s="147" t="str">
        <f>'Deterministic Reserve'!BC1161</f>
        <v/>
      </c>
      <c r="AY1161" s="152"/>
    </row>
    <row r="1162" spans="1:51" s="150" customFormat="1" x14ac:dyDescent="0.25">
      <c r="A1162" s="150" t="str">
        <f t="shared" si="394"/>
        <v/>
      </c>
      <c r="B1162" s="150" t="str">
        <f t="shared" si="395"/>
        <v/>
      </c>
      <c r="C1162" s="150" t="str">
        <f t="shared" si="396"/>
        <v/>
      </c>
      <c r="D1162" s="150" t="str">
        <f>IF(E1162="","",Input!$C$4+B1162-1)</f>
        <v/>
      </c>
      <c r="E1162" s="150" t="str">
        <f>IF(OR(AND(C1161=12,D1161=Input!$C$6),E1161=""),"",1)</f>
        <v/>
      </c>
      <c r="G1162" s="151" t="str">
        <f>IF(E1162="","",MAX(0,Input!$C$9-B1162))</f>
        <v/>
      </c>
      <c r="H1162" s="152" t="str">
        <f>IF(E1162="","",Input!$C$3)</f>
        <v/>
      </c>
      <c r="I1162" s="153" t="str">
        <f>IF(E1162="","",HLOOKUP($B1162,Input!$C$13:$BT$14,2))</f>
        <v/>
      </c>
      <c r="J1162" s="154"/>
      <c r="K1162" s="150" t="str">
        <f>IF($E1162="","",Input!$C$57)</f>
        <v/>
      </c>
      <c r="L1162" s="150" t="str">
        <f t="shared" si="387"/>
        <v/>
      </c>
      <c r="M1162" s="147" t="str">
        <f>IF($E1162="","",VLOOKUP(IF($B1162&lt;=Input!$C$7,$B1162,26),'Mortality Tables'!$A$72:$CA$97,IF($B1162&lt;=Input!$C$7+1,Input!$C$4-16,$D1162-Input!$C$7-16),0)/1000)</f>
        <v/>
      </c>
      <c r="N1162" s="147" t="str">
        <f t="shared" si="378"/>
        <v/>
      </c>
      <c r="O1162" s="157" t="str">
        <f>IF($E1162="","",IF($C1162=12,IF($B1162&lt;Input!$C$9,Input!$C$54,IF($B1162=Input!$C$9,Input!$C$55,Input!$C$56)),0%))</f>
        <v/>
      </c>
      <c r="P1162" s="167" t="str">
        <f>IF($E1162="","",IF($B1162=1,Input!$C$59,IF($B1162&lt;6,Input!$C$60,0%)))</f>
        <v/>
      </c>
      <c r="Q1162" s="162" t="str">
        <f>IF($E1162="","",Input!$C$58)</f>
        <v/>
      </c>
      <c r="R1162" s="156" t="str">
        <f t="shared" si="388"/>
        <v/>
      </c>
      <c r="S1162" s="154" t="str">
        <f t="shared" si="379"/>
        <v/>
      </c>
      <c r="T1162" s="152"/>
      <c r="U1162" s="150" t="str">
        <f t="shared" si="389"/>
        <v/>
      </c>
      <c r="V1162" s="150" t="str">
        <f t="shared" si="390"/>
        <v/>
      </c>
      <c r="W1162" s="168" t="str">
        <f t="shared" si="391"/>
        <v/>
      </c>
      <c r="X1162" s="163" t="str">
        <f t="shared" si="380"/>
        <v/>
      </c>
      <c r="Y1162" s="152"/>
      <c r="Z1162" s="164" t="str">
        <f>IF(AND($C1161=12,$D1161=Input!$C$6),0,IF($E1162="","",V1162+Z1163/(1+L1162)*R1162))</f>
        <v/>
      </c>
      <c r="AA1162" s="164" t="str">
        <f>IF(OR($M1162=1,AND($C1161=12,$D1161=Input!$C$6)),0,IF($E1162="","",W1162+(X1162+AA1163*$R1162)/(1+$L1162)))</f>
        <v/>
      </c>
      <c r="AB1162" s="160" t="str">
        <f t="shared" si="381"/>
        <v/>
      </c>
      <c r="AC1162" s="164" t="str">
        <f t="shared" si="382"/>
        <v/>
      </c>
      <c r="AD1162" s="164" t="str">
        <f>IF(AND($C1161=12,$D1161=Input!$C$6),0,IF($E1162="","",$AC1162+AD1163/(1+$L1162)*$R1162))</f>
        <v/>
      </c>
      <c r="AE1162" s="152"/>
      <c r="AF1162" s="164" t="str">
        <f>IF(AND($C1161=12,$D1161=Input!$C$6),0,IF($E1162="","",IF($B1162&gt;Input!$C$9,$AC1162,0)+AF1163/(1+$L1162)*$R1162))</f>
        <v/>
      </c>
      <c r="AG1162" s="164" t="str">
        <f>IF(AND($C1161=12,$D1161=Input!$C$6),0,IF($E1162="","",(IF($B1162&gt;Input!$C$9,$X1162,0)+AG1163)/(1+$L1162)*$R1162))</f>
        <v/>
      </c>
      <c r="AH1162" s="160" t="str">
        <f t="shared" si="383"/>
        <v/>
      </c>
      <c r="AI1162" s="160" t="str">
        <f>IF($E1162="","",MIN(Input!$C$61/AH1162,1))</f>
        <v/>
      </c>
      <c r="AJ1162" s="152"/>
      <c r="AK1162" s="164" t="str">
        <f>IF(AND($C1161=12,$D1161=Input!$C$6),0,IF($E1162="","",IF($B1162&gt;Input!$C$9,$AC1162*AI1162,0)+AK1163/(1+$L1162)*$R1162))</f>
        <v/>
      </c>
      <c r="AL1162" s="164" t="str">
        <f>IF(AND($C1161=12,$D1161=Input!$C$6),0,IF($E1162="","",IF($B1162&gt;Input!$C$9,0,$AC1162)+AL1163/(1+$L1162)*$R1162))</f>
        <v/>
      </c>
      <c r="AM1162" s="160" t="str">
        <f t="shared" si="384"/>
        <v/>
      </c>
      <c r="AN1162" s="164" t="str">
        <f>IF($E1162="","",IF($B1162&gt;Input!$C$9,$AI1162*$AC1162,$AM1162*$AC1162))</f>
        <v/>
      </c>
      <c r="AO1162" s="164" t="str">
        <f>IF(AND($C1161=12,$D1161=Input!$C$6),0,IF($E1162="","",$AN1162+AO1163/(1+$L1162)*$R1162))</f>
        <v/>
      </c>
      <c r="AP1162" s="152"/>
      <c r="AQ1162" s="150" t="str">
        <f t="shared" si="385"/>
        <v/>
      </c>
      <c r="AR1162" s="150" t="str">
        <f t="shared" si="392"/>
        <v/>
      </c>
      <c r="AS1162" s="150" t="str">
        <f t="shared" si="393"/>
        <v/>
      </c>
      <c r="AT1162" s="150" t="str">
        <f t="shared" si="386"/>
        <v/>
      </c>
      <c r="AU1162" s="152"/>
      <c r="AV1162" s="147" t="str">
        <f>'Deterministic Reserve'!BC1162</f>
        <v/>
      </c>
      <c r="AY1162" s="152"/>
    </row>
    <row r="1163" spans="1:51" s="150" customFormat="1" x14ac:dyDescent="0.25">
      <c r="A1163" s="150" t="str">
        <f t="shared" si="394"/>
        <v/>
      </c>
      <c r="B1163" s="150" t="str">
        <f t="shared" si="395"/>
        <v/>
      </c>
      <c r="C1163" s="150" t="str">
        <f t="shared" si="396"/>
        <v/>
      </c>
      <c r="D1163" s="150" t="str">
        <f>IF(E1163="","",Input!$C$4+B1163-1)</f>
        <v/>
      </c>
      <c r="E1163" s="150" t="str">
        <f>IF(OR(AND(C1162=12,D1162=Input!$C$6),E1162=""),"",1)</f>
        <v/>
      </c>
      <c r="G1163" s="151" t="str">
        <f>IF(E1163="","",MAX(0,Input!$C$9-B1163))</f>
        <v/>
      </c>
      <c r="H1163" s="152" t="str">
        <f>IF(E1163="","",Input!$C$3)</f>
        <v/>
      </c>
      <c r="I1163" s="153" t="str">
        <f>IF(E1163="","",HLOOKUP($B1163,Input!$C$13:$BT$14,2))</f>
        <v/>
      </c>
      <c r="J1163" s="154"/>
      <c r="K1163" s="150" t="str">
        <f>IF($E1163="","",Input!$C$57)</f>
        <v/>
      </c>
      <c r="L1163" s="150" t="str">
        <f t="shared" si="387"/>
        <v/>
      </c>
      <c r="M1163" s="147" t="str">
        <f>IF($E1163="","",VLOOKUP(IF($B1163&lt;=Input!$C$7,$B1163,26),'Mortality Tables'!$A$72:$CA$97,IF($B1163&lt;=Input!$C$7+1,Input!$C$4-16,$D1163-Input!$C$7-16),0)/1000)</f>
        <v/>
      </c>
      <c r="N1163" s="147" t="str">
        <f t="shared" si="378"/>
        <v/>
      </c>
      <c r="O1163" s="157" t="str">
        <f>IF($E1163="","",IF($C1163=12,IF($B1163&lt;Input!$C$9,Input!$C$54,IF($B1163=Input!$C$9,Input!$C$55,Input!$C$56)),0%))</f>
        <v/>
      </c>
      <c r="P1163" s="167" t="str">
        <f>IF($E1163="","",IF($B1163=1,Input!$C$59,IF($B1163&lt;6,Input!$C$60,0%)))</f>
        <v/>
      </c>
      <c r="Q1163" s="162" t="str">
        <f>IF($E1163="","",Input!$C$58)</f>
        <v/>
      </c>
      <c r="R1163" s="156" t="str">
        <f t="shared" si="388"/>
        <v/>
      </c>
      <c r="S1163" s="154" t="str">
        <f t="shared" si="379"/>
        <v/>
      </c>
      <c r="T1163" s="152"/>
      <c r="U1163" s="150" t="str">
        <f t="shared" si="389"/>
        <v/>
      </c>
      <c r="V1163" s="150" t="str">
        <f t="shared" si="390"/>
        <v/>
      </c>
      <c r="W1163" s="168" t="str">
        <f t="shared" si="391"/>
        <v/>
      </c>
      <c r="X1163" s="163" t="str">
        <f t="shared" si="380"/>
        <v/>
      </c>
      <c r="Y1163" s="152"/>
      <c r="Z1163" s="164" t="str">
        <f>IF(AND($C1162=12,$D1162=Input!$C$6),0,IF($E1163="","",V1163+Z1164/(1+L1163)*R1163))</f>
        <v/>
      </c>
      <c r="AA1163" s="164" t="str">
        <f>IF(OR($M1163=1,AND($C1162=12,$D1162=Input!$C$6)),0,IF($E1163="","",W1163+(X1163+AA1164*$R1163)/(1+$L1163)))</f>
        <v/>
      </c>
      <c r="AB1163" s="160" t="str">
        <f t="shared" si="381"/>
        <v/>
      </c>
      <c r="AC1163" s="164" t="str">
        <f t="shared" si="382"/>
        <v/>
      </c>
      <c r="AD1163" s="164" t="str">
        <f>IF(AND($C1162=12,$D1162=Input!$C$6),0,IF($E1163="","",$AC1163+AD1164/(1+$L1163)*$R1163))</f>
        <v/>
      </c>
      <c r="AE1163" s="152"/>
      <c r="AF1163" s="164" t="str">
        <f>IF(AND($C1162=12,$D1162=Input!$C$6),0,IF($E1163="","",IF($B1163&gt;Input!$C$9,$AC1163,0)+AF1164/(1+$L1163)*$R1163))</f>
        <v/>
      </c>
      <c r="AG1163" s="164" t="str">
        <f>IF(AND($C1162=12,$D1162=Input!$C$6),0,IF($E1163="","",(IF($B1163&gt;Input!$C$9,$X1163,0)+AG1164)/(1+$L1163)*$R1163))</f>
        <v/>
      </c>
      <c r="AH1163" s="160" t="str">
        <f t="shared" si="383"/>
        <v/>
      </c>
      <c r="AI1163" s="160" t="str">
        <f>IF($E1163="","",MIN(Input!$C$61/AH1163,1))</f>
        <v/>
      </c>
      <c r="AJ1163" s="152"/>
      <c r="AK1163" s="164" t="str">
        <f>IF(AND($C1162=12,$D1162=Input!$C$6),0,IF($E1163="","",IF($B1163&gt;Input!$C$9,$AC1163*AI1163,0)+AK1164/(1+$L1163)*$R1163))</f>
        <v/>
      </c>
      <c r="AL1163" s="164" t="str">
        <f>IF(AND($C1162=12,$D1162=Input!$C$6),0,IF($E1163="","",IF($B1163&gt;Input!$C$9,0,$AC1163)+AL1164/(1+$L1163)*$R1163))</f>
        <v/>
      </c>
      <c r="AM1163" s="160" t="str">
        <f t="shared" si="384"/>
        <v/>
      </c>
      <c r="AN1163" s="164" t="str">
        <f>IF($E1163="","",IF($B1163&gt;Input!$C$9,$AI1163*$AC1163,$AM1163*$AC1163))</f>
        <v/>
      </c>
      <c r="AO1163" s="164" t="str">
        <f>IF(AND($C1162=12,$D1162=Input!$C$6),0,IF($E1163="","",$AN1163+AO1164/(1+$L1163)*$R1163))</f>
        <v/>
      </c>
      <c r="AP1163" s="152"/>
      <c r="AQ1163" s="150" t="str">
        <f t="shared" si="385"/>
        <v/>
      </c>
      <c r="AR1163" s="150" t="str">
        <f t="shared" si="392"/>
        <v/>
      </c>
      <c r="AS1163" s="150" t="str">
        <f t="shared" si="393"/>
        <v/>
      </c>
      <c r="AT1163" s="150" t="str">
        <f t="shared" si="386"/>
        <v/>
      </c>
      <c r="AU1163" s="152"/>
      <c r="AV1163" s="147" t="str">
        <f>'Deterministic Reserve'!BC1163</f>
        <v/>
      </c>
      <c r="AY1163" s="152"/>
    </row>
    <row r="1164" spans="1:51" s="150" customFormat="1" x14ac:dyDescent="0.25">
      <c r="A1164" s="150" t="str">
        <f t="shared" si="394"/>
        <v/>
      </c>
      <c r="B1164" s="150" t="str">
        <f t="shared" si="395"/>
        <v/>
      </c>
      <c r="C1164" s="150" t="str">
        <f t="shared" si="396"/>
        <v/>
      </c>
      <c r="D1164" s="150" t="str">
        <f>IF(E1164="","",Input!$C$4+B1164-1)</f>
        <v/>
      </c>
      <c r="E1164" s="150" t="str">
        <f>IF(OR(AND(C1163=12,D1163=Input!$C$6),E1163=""),"",1)</f>
        <v/>
      </c>
      <c r="G1164" s="151" t="str">
        <f>IF(E1164="","",MAX(0,Input!$C$9-B1164))</f>
        <v/>
      </c>
      <c r="H1164" s="152" t="str">
        <f>IF(E1164="","",Input!$C$3)</f>
        <v/>
      </c>
      <c r="I1164" s="153" t="str">
        <f>IF(E1164="","",HLOOKUP($B1164,Input!$C$13:$BT$14,2))</f>
        <v/>
      </c>
      <c r="J1164" s="154"/>
      <c r="K1164" s="150" t="str">
        <f>IF($E1164="","",Input!$C$57)</f>
        <v/>
      </c>
      <c r="L1164" s="150" t="str">
        <f t="shared" si="387"/>
        <v/>
      </c>
      <c r="M1164" s="147" t="str">
        <f>IF($E1164="","",VLOOKUP(IF($B1164&lt;=Input!$C$7,$B1164,26),'Mortality Tables'!$A$72:$CA$97,IF($B1164&lt;=Input!$C$7+1,Input!$C$4-16,$D1164-Input!$C$7-16),0)/1000)</f>
        <v/>
      </c>
      <c r="N1164" s="147" t="str">
        <f t="shared" si="378"/>
        <v/>
      </c>
      <c r="O1164" s="157" t="str">
        <f>IF($E1164="","",IF($C1164=12,IF($B1164&lt;Input!$C$9,Input!$C$54,IF($B1164=Input!$C$9,Input!$C$55,Input!$C$56)),0%))</f>
        <v/>
      </c>
      <c r="P1164" s="167" t="str">
        <f>IF($E1164="","",IF($B1164=1,Input!$C$59,IF($B1164&lt;6,Input!$C$60,0%)))</f>
        <v/>
      </c>
      <c r="Q1164" s="162" t="str">
        <f>IF($E1164="","",Input!$C$58)</f>
        <v/>
      </c>
      <c r="R1164" s="156" t="str">
        <f t="shared" si="388"/>
        <v/>
      </c>
      <c r="S1164" s="154" t="str">
        <f t="shared" si="379"/>
        <v/>
      </c>
      <c r="T1164" s="152"/>
      <c r="U1164" s="150" t="str">
        <f t="shared" si="389"/>
        <v/>
      </c>
      <c r="V1164" s="150" t="str">
        <f t="shared" si="390"/>
        <v/>
      </c>
      <c r="W1164" s="168" t="str">
        <f t="shared" si="391"/>
        <v/>
      </c>
      <c r="X1164" s="163" t="str">
        <f t="shared" si="380"/>
        <v/>
      </c>
      <c r="Y1164" s="152"/>
      <c r="Z1164" s="164" t="str">
        <f>IF(AND($C1163=12,$D1163=Input!$C$6),0,IF($E1164="","",V1164+Z1165/(1+L1164)*R1164))</f>
        <v/>
      </c>
      <c r="AA1164" s="164" t="str">
        <f>IF(OR($M1164=1,AND($C1163=12,$D1163=Input!$C$6)),0,IF($E1164="","",W1164+(X1164+AA1165*$R1164)/(1+$L1164)))</f>
        <v/>
      </c>
      <c r="AB1164" s="160" t="str">
        <f t="shared" si="381"/>
        <v/>
      </c>
      <c r="AC1164" s="164" t="str">
        <f t="shared" si="382"/>
        <v/>
      </c>
      <c r="AD1164" s="164" t="str">
        <f>IF(AND($C1163=12,$D1163=Input!$C$6),0,IF($E1164="","",$AC1164+AD1165/(1+$L1164)*$R1164))</f>
        <v/>
      </c>
      <c r="AE1164" s="152"/>
      <c r="AF1164" s="164" t="str">
        <f>IF(AND($C1163=12,$D1163=Input!$C$6),0,IF($E1164="","",IF($B1164&gt;Input!$C$9,$AC1164,0)+AF1165/(1+$L1164)*$R1164))</f>
        <v/>
      </c>
      <c r="AG1164" s="164" t="str">
        <f>IF(AND($C1163=12,$D1163=Input!$C$6),0,IF($E1164="","",(IF($B1164&gt;Input!$C$9,$X1164,0)+AG1165)/(1+$L1164)*$R1164))</f>
        <v/>
      </c>
      <c r="AH1164" s="160" t="str">
        <f t="shared" si="383"/>
        <v/>
      </c>
      <c r="AI1164" s="160" t="str">
        <f>IF($E1164="","",MIN(Input!$C$61/AH1164,1))</f>
        <v/>
      </c>
      <c r="AJ1164" s="152"/>
      <c r="AK1164" s="164" t="str">
        <f>IF(AND($C1163=12,$D1163=Input!$C$6),0,IF($E1164="","",IF($B1164&gt;Input!$C$9,$AC1164*AI1164,0)+AK1165/(1+$L1164)*$R1164))</f>
        <v/>
      </c>
      <c r="AL1164" s="164" t="str">
        <f>IF(AND($C1163=12,$D1163=Input!$C$6),0,IF($E1164="","",IF($B1164&gt;Input!$C$9,0,$AC1164)+AL1165/(1+$L1164)*$R1164))</f>
        <v/>
      </c>
      <c r="AM1164" s="160" t="str">
        <f t="shared" si="384"/>
        <v/>
      </c>
      <c r="AN1164" s="164" t="str">
        <f>IF($E1164="","",IF($B1164&gt;Input!$C$9,$AI1164*$AC1164,$AM1164*$AC1164))</f>
        <v/>
      </c>
      <c r="AO1164" s="164" t="str">
        <f>IF(AND($C1163=12,$D1163=Input!$C$6),0,IF($E1164="","",$AN1164+AO1165/(1+$L1164)*$R1164))</f>
        <v/>
      </c>
      <c r="AP1164" s="152"/>
      <c r="AQ1164" s="150" t="str">
        <f t="shared" si="385"/>
        <v/>
      </c>
      <c r="AR1164" s="150" t="str">
        <f t="shared" si="392"/>
        <v/>
      </c>
      <c r="AS1164" s="150" t="str">
        <f t="shared" si="393"/>
        <v/>
      </c>
      <c r="AT1164" s="150" t="str">
        <f t="shared" si="386"/>
        <v/>
      </c>
      <c r="AU1164" s="152"/>
      <c r="AV1164" s="147" t="str">
        <f>'Deterministic Reserve'!BC1164</f>
        <v/>
      </c>
      <c r="AY1164" s="152"/>
    </row>
    <row r="1165" spans="1:51" s="150" customFormat="1" x14ac:dyDescent="0.25">
      <c r="A1165" s="150" t="str">
        <f t="shared" si="394"/>
        <v/>
      </c>
      <c r="B1165" s="150" t="str">
        <f t="shared" si="395"/>
        <v/>
      </c>
      <c r="C1165" s="150" t="str">
        <f t="shared" si="396"/>
        <v/>
      </c>
      <c r="D1165" s="150" t="str">
        <f>IF(E1165="","",Input!$C$4+B1165-1)</f>
        <v/>
      </c>
      <c r="E1165" s="150" t="str">
        <f>IF(OR(AND(C1164=12,D1164=Input!$C$6),E1164=""),"",1)</f>
        <v/>
      </c>
      <c r="G1165" s="151" t="str">
        <f>IF(E1165="","",MAX(0,Input!$C$9-B1165))</f>
        <v/>
      </c>
      <c r="H1165" s="152" t="str">
        <f>IF(E1165="","",Input!$C$3)</f>
        <v/>
      </c>
      <c r="I1165" s="153" t="str">
        <f>IF(E1165="","",HLOOKUP($B1165,Input!$C$13:$BT$14,2))</f>
        <v/>
      </c>
      <c r="J1165" s="154"/>
      <c r="K1165" s="150" t="str">
        <f>IF($E1165="","",Input!$C$57)</f>
        <v/>
      </c>
      <c r="L1165" s="150" t="str">
        <f t="shared" si="387"/>
        <v/>
      </c>
      <c r="M1165" s="147" t="str">
        <f>IF($E1165="","",VLOOKUP(IF($B1165&lt;=Input!$C$7,$B1165,26),'Mortality Tables'!$A$72:$CA$97,IF($B1165&lt;=Input!$C$7+1,Input!$C$4-16,$D1165-Input!$C$7-16),0)/1000)</f>
        <v/>
      </c>
      <c r="N1165" s="147" t="str">
        <f t="shared" si="378"/>
        <v/>
      </c>
      <c r="O1165" s="157" t="str">
        <f>IF($E1165="","",IF($C1165=12,IF($B1165&lt;Input!$C$9,Input!$C$54,IF($B1165=Input!$C$9,Input!$C$55,Input!$C$56)),0%))</f>
        <v/>
      </c>
      <c r="P1165" s="167" t="str">
        <f>IF($E1165="","",IF($B1165=1,Input!$C$59,IF($B1165&lt;6,Input!$C$60,0%)))</f>
        <v/>
      </c>
      <c r="Q1165" s="162" t="str">
        <f>IF($E1165="","",Input!$C$58)</f>
        <v/>
      </c>
      <c r="R1165" s="156" t="str">
        <f t="shared" si="388"/>
        <v/>
      </c>
      <c r="S1165" s="154" t="str">
        <f t="shared" si="379"/>
        <v/>
      </c>
      <c r="T1165" s="152"/>
      <c r="U1165" s="150" t="str">
        <f t="shared" si="389"/>
        <v/>
      </c>
      <c r="V1165" s="150" t="str">
        <f t="shared" si="390"/>
        <v/>
      </c>
      <c r="W1165" s="168" t="str">
        <f t="shared" si="391"/>
        <v/>
      </c>
      <c r="X1165" s="163" t="str">
        <f t="shared" si="380"/>
        <v/>
      </c>
      <c r="Y1165" s="152"/>
      <c r="Z1165" s="164" t="str">
        <f>IF(AND($C1164=12,$D1164=Input!$C$6),0,IF($E1165="","",V1165+Z1166/(1+L1165)*R1165))</f>
        <v/>
      </c>
      <c r="AA1165" s="164" t="str">
        <f>IF(OR($M1165=1,AND($C1164=12,$D1164=Input!$C$6)),0,IF($E1165="","",W1165+(X1165+AA1166*$R1165)/(1+$L1165)))</f>
        <v/>
      </c>
      <c r="AB1165" s="160" t="str">
        <f t="shared" si="381"/>
        <v/>
      </c>
      <c r="AC1165" s="164" t="str">
        <f t="shared" si="382"/>
        <v/>
      </c>
      <c r="AD1165" s="164" t="str">
        <f>IF(AND($C1164=12,$D1164=Input!$C$6),0,IF($E1165="","",$AC1165+AD1166/(1+$L1165)*$R1165))</f>
        <v/>
      </c>
      <c r="AE1165" s="152"/>
      <c r="AF1165" s="164" t="str">
        <f>IF(AND($C1164=12,$D1164=Input!$C$6),0,IF($E1165="","",IF($B1165&gt;Input!$C$9,$AC1165,0)+AF1166/(1+$L1165)*$R1165))</f>
        <v/>
      </c>
      <c r="AG1165" s="164" t="str">
        <f>IF(AND($C1164=12,$D1164=Input!$C$6),0,IF($E1165="","",(IF($B1165&gt;Input!$C$9,$X1165,0)+AG1166)/(1+$L1165)*$R1165))</f>
        <v/>
      </c>
      <c r="AH1165" s="160" t="str">
        <f t="shared" si="383"/>
        <v/>
      </c>
      <c r="AI1165" s="160" t="str">
        <f>IF($E1165="","",MIN(Input!$C$61/AH1165,1))</f>
        <v/>
      </c>
      <c r="AJ1165" s="152"/>
      <c r="AK1165" s="164" t="str">
        <f>IF(AND($C1164=12,$D1164=Input!$C$6),0,IF($E1165="","",IF($B1165&gt;Input!$C$9,$AC1165*AI1165,0)+AK1166/(1+$L1165)*$R1165))</f>
        <v/>
      </c>
      <c r="AL1165" s="164" t="str">
        <f>IF(AND($C1164=12,$D1164=Input!$C$6),0,IF($E1165="","",IF($B1165&gt;Input!$C$9,0,$AC1165)+AL1166/(1+$L1165)*$R1165))</f>
        <v/>
      </c>
      <c r="AM1165" s="160" t="str">
        <f t="shared" si="384"/>
        <v/>
      </c>
      <c r="AN1165" s="164" t="str">
        <f>IF($E1165="","",IF($B1165&gt;Input!$C$9,$AI1165*$AC1165,$AM1165*$AC1165))</f>
        <v/>
      </c>
      <c r="AO1165" s="164" t="str">
        <f>IF(AND($C1164=12,$D1164=Input!$C$6),0,IF($E1165="","",$AN1165+AO1166/(1+$L1165)*$R1165))</f>
        <v/>
      </c>
      <c r="AP1165" s="152"/>
      <c r="AQ1165" s="150" t="str">
        <f t="shared" si="385"/>
        <v/>
      </c>
      <c r="AR1165" s="150" t="str">
        <f t="shared" si="392"/>
        <v/>
      </c>
      <c r="AS1165" s="150" t="str">
        <f t="shared" si="393"/>
        <v/>
      </c>
      <c r="AT1165" s="150" t="str">
        <f t="shared" si="386"/>
        <v/>
      </c>
      <c r="AU1165" s="152"/>
      <c r="AV1165" s="147" t="str">
        <f>'Deterministic Reserve'!BC1165</f>
        <v/>
      </c>
      <c r="AY1165" s="152"/>
    </row>
    <row r="1166" spans="1:51" s="150" customFormat="1" x14ac:dyDescent="0.25">
      <c r="A1166" s="150" t="str">
        <f t="shared" si="394"/>
        <v/>
      </c>
      <c r="B1166" s="150" t="str">
        <f t="shared" si="395"/>
        <v/>
      </c>
      <c r="C1166" s="150" t="str">
        <f t="shared" si="396"/>
        <v/>
      </c>
      <c r="D1166" s="150" t="str">
        <f>IF(E1166="","",Input!$C$4+B1166-1)</f>
        <v/>
      </c>
      <c r="E1166" s="150" t="str">
        <f>IF(OR(AND(C1165=12,D1165=Input!$C$6),E1165=""),"",1)</f>
        <v/>
      </c>
      <c r="G1166" s="151" t="str">
        <f>IF(E1166="","",MAX(0,Input!$C$9-B1166))</f>
        <v/>
      </c>
      <c r="H1166" s="152" t="str">
        <f>IF(E1166="","",Input!$C$3)</f>
        <v/>
      </c>
      <c r="I1166" s="153" t="str">
        <f>IF(E1166="","",HLOOKUP($B1166,Input!$C$13:$BT$14,2))</f>
        <v/>
      </c>
      <c r="J1166" s="154"/>
      <c r="K1166" s="150" t="str">
        <f>IF($E1166="","",Input!$C$57)</f>
        <v/>
      </c>
      <c r="L1166" s="150" t="str">
        <f t="shared" si="387"/>
        <v/>
      </c>
      <c r="M1166" s="147" t="str">
        <f>IF($E1166="","",VLOOKUP(IF($B1166&lt;=Input!$C$7,$B1166,26),'Mortality Tables'!$A$72:$CA$97,IF($B1166&lt;=Input!$C$7+1,Input!$C$4-16,$D1166-Input!$C$7-16),0)/1000)</f>
        <v/>
      </c>
      <c r="N1166" s="147" t="str">
        <f t="shared" si="378"/>
        <v/>
      </c>
      <c r="O1166" s="157" t="str">
        <f>IF($E1166="","",IF($C1166=12,IF($B1166&lt;Input!$C$9,Input!$C$54,IF($B1166=Input!$C$9,Input!$C$55,Input!$C$56)),0%))</f>
        <v/>
      </c>
      <c r="P1166" s="167" t="str">
        <f>IF($E1166="","",IF($B1166=1,Input!$C$59,IF($B1166&lt;6,Input!$C$60,0%)))</f>
        <v/>
      </c>
      <c r="Q1166" s="162" t="str">
        <f>IF($E1166="","",Input!$C$58)</f>
        <v/>
      </c>
      <c r="R1166" s="156" t="str">
        <f t="shared" si="388"/>
        <v/>
      </c>
      <c r="S1166" s="154" t="str">
        <f t="shared" si="379"/>
        <v/>
      </c>
      <c r="T1166" s="152"/>
      <c r="U1166" s="150" t="str">
        <f t="shared" si="389"/>
        <v/>
      </c>
      <c r="V1166" s="150" t="str">
        <f t="shared" si="390"/>
        <v/>
      </c>
      <c r="W1166" s="168" t="str">
        <f t="shared" si="391"/>
        <v/>
      </c>
      <c r="X1166" s="163" t="str">
        <f t="shared" si="380"/>
        <v/>
      </c>
      <c r="Y1166" s="152"/>
      <c r="Z1166" s="164" t="str">
        <f>IF(AND($C1165=12,$D1165=Input!$C$6),0,IF($E1166="","",V1166+Z1167/(1+L1166)*R1166))</f>
        <v/>
      </c>
      <c r="AA1166" s="164" t="str">
        <f>IF(OR($M1166=1,AND($C1165=12,$D1165=Input!$C$6)),0,IF($E1166="","",W1166+(X1166+AA1167*$R1166)/(1+$L1166)))</f>
        <v/>
      </c>
      <c r="AB1166" s="160" t="str">
        <f t="shared" si="381"/>
        <v/>
      </c>
      <c r="AC1166" s="164" t="str">
        <f t="shared" si="382"/>
        <v/>
      </c>
      <c r="AD1166" s="164" t="str">
        <f>IF(AND($C1165=12,$D1165=Input!$C$6),0,IF($E1166="","",$AC1166+AD1167/(1+$L1166)*$R1166))</f>
        <v/>
      </c>
      <c r="AE1166" s="152"/>
      <c r="AF1166" s="164" t="str">
        <f>IF(AND($C1165=12,$D1165=Input!$C$6),0,IF($E1166="","",IF($B1166&gt;Input!$C$9,$AC1166,0)+AF1167/(1+$L1166)*$R1166))</f>
        <v/>
      </c>
      <c r="AG1166" s="164" t="str">
        <f>IF(AND($C1165=12,$D1165=Input!$C$6),0,IF($E1166="","",(IF($B1166&gt;Input!$C$9,$X1166,0)+AG1167)/(1+$L1166)*$R1166))</f>
        <v/>
      </c>
      <c r="AH1166" s="160" t="str">
        <f t="shared" si="383"/>
        <v/>
      </c>
      <c r="AI1166" s="160" t="str">
        <f>IF($E1166="","",MIN(Input!$C$61/AH1166,1))</f>
        <v/>
      </c>
      <c r="AJ1166" s="152"/>
      <c r="AK1166" s="164" t="str">
        <f>IF(AND($C1165=12,$D1165=Input!$C$6),0,IF($E1166="","",IF($B1166&gt;Input!$C$9,$AC1166*AI1166,0)+AK1167/(1+$L1166)*$R1166))</f>
        <v/>
      </c>
      <c r="AL1166" s="164" t="str">
        <f>IF(AND($C1165=12,$D1165=Input!$C$6),0,IF($E1166="","",IF($B1166&gt;Input!$C$9,0,$AC1166)+AL1167/(1+$L1166)*$R1166))</f>
        <v/>
      </c>
      <c r="AM1166" s="160" t="str">
        <f t="shared" si="384"/>
        <v/>
      </c>
      <c r="AN1166" s="164" t="str">
        <f>IF($E1166="","",IF($B1166&gt;Input!$C$9,$AI1166*$AC1166,$AM1166*$AC1166))</f>
        <v/>
      </c>
      <c r="AO1166" s="164" t="str">
        <f>IF(AND($C1165=12,$D1165=Input!$C$6),0,IF($E1166="","",$AN1166+AO1167/(1+$L1166)*$R1166))</f>
        <v/>
      </c>
      <c r="AP1166" s="152"/>
      <c r="AQ1166" s="150" t="str">
        <f t="shared" si="385"/>
        <v/>
      </c>
      <c r="AR1166" s="150" t="str">
        <f t="shared" si="392"/>
        <v/>
      </c>
      <c r="AS1166" s="150" t="str">
        <f t="shared" si="393"/>
        <v/>
      </c>
      <c r="AT1166" s="150" t="str">
        <f t="shared" si="386"/>
        <v/>
      </c>
      <c r="AU1166" s="152"/>
      <c r="AV1166" s="147" t="str">
        <f>'Deterministic Reserve'!BC1166</f>
        <v/>
      </c>
      <c r="AY1166" s="152"/>
    </row>
    <row r="1167" spans="1:51" s="150" customFormat="1" x14ac:dyDescent="0.25">
      <c r="A1167" s="150" t="str">
        <f t="shared" si="394"/>
        <v/>
      </c>
      <c r="B1167" s="150" t="str">
        <f t="shared" si="395"/>
        <v/>
      </c>
      <c r="C1167" s="150" t="str">
        <f t="shared" si="396"/>
        <v/>
      </c>
      <c r="D1167" s="150" t="str">
        <f>IF(E1167="","",Input!$C$4+B1167-1)</f>
        <v/>
      </c>
      <c r="E1167" s="150" t="str">
        <f>IF(OR(AND(C1166=12,D1166=Input!$C$6),E1166=""),"",1)</f>
        <v/>
      </c>
      <c r="G1167" s="151" t="str">
        <f>IF(E1167="","",MAX(0,Input!$C$9-B1167))</f>
        <v/>
      </c>
      <c r="H1167" s="152" t="str">
        <f>IF(E1167="","",Input!$C$3)</f>
        <v/>
      </c>
      <c r="I1167" s="153" t="str">
        <f>IF(E1167="","",HLOOKUP($B1167,Input!$C$13:$BT$14,2))</f>
        <v/>
      </c>
      <c r="J1167" s="154"/>
      <c r="K1167" s="150" t="str">
        <f>IF($E1167="","",Input!$C$57)</f>
        <v/>
      </c>
      <c r="L1167" s="150" t="str">
        <f t="shared" si="387"/>
        <v/>
      </c>
      <c r="M1167" s="147" t="str">
        <f>IF($E1167="","",VLOOKUP(IF($B1167&lt;=Input!$C$7,$B1167,26),'Mortality Tables'!$A$72:$CA$97,IF($B1167&lt;=Input!$C$7+1,Input!$C$4-16,$D1167-Input!$C$7-16),0)/1000)</f>
        <v/>
      </c>
      <c r="N1167" s="147" t="str">
        <f t="shared" si="378"/>
        <v/>
      </c>
      <c r="O1167" s="157" t="str">
        <f>IF($E1167="","",IF($C1167=12,IF($B1167&lt;Input!$C$9,Input!$C$54,IF($B1167=Input!$C$9,Input!$C$55,Input!$C$56)),0%))</f>
        <v/>
      </c>
      <c r="P1167" s="167" t="str">
        <f>IF($E1167="","",IF($B1167=1,Input!$C$59,IF($B1167&lt;6,Input!$C$60,0%)))</f>
        <v/>
      </c>
      <c r="Q1167" s="162" t="str">
        <f>IF($E1167="","",Input!$C$58)</f>
        <v/>
      </c>
      <c r="R1167" s="156" t="str">
        <f t="shared" si="388"/>
        <v/>
      </c>
      <c r="S1167" s="154" t="str">
        <f t="shared" si="379"/>
        <v/>
      </c>
      <c r="T1167" s="152"/>
      <c r="U1167" s="150" t="str">
        <f t="shared" si="389"/>
        <v/>
      </c>
      <c r="V1167" s="150" t="str">
        <f t="shared" si="390"/>
        <v/>
      </c>
      <c r="W1167" s="168" t="str">
        <f t="shared" si="391"/>
        <v/>
      </c>
      <c r="X1167" s="163" t="str">
        <f t="shared" si="380"/>
        <v/>
      </c>
      <c r="Y1167" s="152"/>
      <c r="Z1167" s="164" t="str">
        <f>IF(AND($C1166=12,$D1166=Input!$C$6),0,IF($E1167="","",V1167+Z1168/(1+L1167)*R1167))</f>
        <v/>
      </c>
      <c r="AA1167" s="164" t="str">
        <f>IF(OR($M1167=1,AND($C1166=12,$D1166=Input!$C$6)),0,IF($E1167="","",W1167+(X1167+AA1168*$R1167)/(1+$L1167)))</f>
        <v/>
      </c>
      <c r="AB1167" s="160" t="str">
        <f t="shared" si="381"/>
        <v/>
      </c>
      <c r="AC1167" s="164" t="str">
        <f t="shared" si="382"/>
        <v/>
      </c>
      <c r="AD1167" s="164" t="str">
        <f>IF(AND($C1166=12,$D1166=Input!$C$6),0,IF($E1167="","",$AC1167+AD1168/(1+$L1167)*$R1167))</f>
        <v/>
      </c>
      <c r="AE1167" s="152"/>
      <c r="AF1167" s="164" t="str">
        <f>IF(AND($C1166=12,$D1166=Input!$C$6),0,IF($E1167="","",IF($B1167&gt;Input!$C$9,$AC1167,0)+AF1168/(1+$L1167)*$R1167))</f>
        <v/>
      </c>
      <c r="AG1167" s="164" t="str">
        <f>IF(AND($C1166=12,$D1166=Input!$C$6),0,IF($E1167="","",(IF($B1167&gt;Input!$C$9,$X1167,0)+AG1168)/(1+$L1167)*$R1167))</f>
        <v/>
      </c>
      <c r="AH1167" s="160" t="str">
        <f t="shared" si="383"/>
        <v/>
      </c>
      <c r="AI1167" s="160" t="str">
        <f>IF($E1167="","",MIN(Input!$C$61/AH1167,1))</f>
        <v/>
      </c>
      <c r="AJ1167" s="152"/>
      <c r="AK1167" s="164" t="str">
        <f>IF(AND($C1166=12,$D1166=Input!$C$6),0,IF($E1167="","",IF($B1167&gt;Input!$C$9,$AC1167*AI1167,0)+AK1168/(1+$L1167)*$R1167))</f>
        <v/>
      </c>
      <c r="AL1167" s="164" t="str">
        <f>IF(AND($C1166=12,$D1166=Input!$C$6),0,IF($E1167="","",IF($B1167&gt;Input!$C$9,0,$AC1167)+AL1168/(1+$L1167)*$R1167))</f>
        <v/>
      </c>
      <c r="AM1167" s="160" t="str">
        <f t="shared" si="384"/>
        <v/>
      </c>
      <c r="AN1167" s="164" t="str">
        <f>IF($E1167="","",IF($B1167&gt;Input!$C$9,$AI1167*$AC1167,$AM1167*$AC1167))</f>
        <v/>
      </c>
      <c r="AO1167" s="164" t="str">
        <f>IF(AND($C1166=12,$D1166=Input!$C$6),0,IF($E1167="","",$AN1167+AO1168/(1+$L1167)*$R1167))</f>
        <v/>
      </c>
      <c r="AP1167" s="152"/>
      <c r="AQ1167" s="150" t="str">
        <f t="shared" si="385"/>
        <v/>
      </c>
      <c r="AR1167" s="150" t="str">
        <f t="shared" si="392"/>
        <v/>
      </c>
      <c r="AS1167" s="150" t="str">
        <f t="shared" si="393"/>
        <v/>
      </c>
      <c r="AT1167" s="150" t="str">
        <f t="shared" si="386"/>
        <v/>
      </c>
      <c r="AU1167" s="152"/>
      <c r="AV1167" s="147" t="str">
        <f>'Deterministic Reserve'!BC1167</f>
        <v/>
      </c>
      <c r="AY1167" s="152"/>
    </row>
    <row r="1168" spans="1:51" s="150" customFormat="1" x14ac:dyDescent="0.25">
      <c r="A1168" s="150" t="str">
        <f t="shared" si="394"/>
        <v/>
      </c>
      <c r="B1168" s="150" t="str">
        <f t="shared" si="395"/>
        <v/>
      </c>
      <c r="C1168" s="150" t="str">
        <f t="shared" si="396"/>
        <v/>
      </c>
      <c r="D1168" s="150" t="str">
        <f>IF(E1168="","",Input!$C$4+B1168-1)</f>
        <v/>
      </c>
      <c r="E1168" s="150" t="str">
        <f>IF(OR(AND(C1167=12,D1167=Input!$C$6),E1167=""),"",1)</f>
        <v/>
      </c>
      <c r="G1168" s="151" t="str">
        <f>IF(E1168="","",MAX(0,Input!$C$9-B1168))</f>
        <v/>
      </c>
      <c r="H1168" s="152" t="str">
        <f>IF(E1168="","",Input!$C$3)</f>
        <v/>
      </c>
      <c r="I1168" s="153" t="str">
        <f>IF(E1168="","",HLOOKUP($B1168,Input!$C$13:$BT$14,2))</f>
        <v/>
      </c>
      <c r="J1168" s="154"/>
      <c r="K1168" s="150" t="str">
        <f>IF($E1168="","",Input!$C$57)</f>
        <v/>
      </c>
      <c r="L1168" s="150" t="str">
        <f t="shared" si="387"/>
        <v/>
      </c>
      <c r="M1168" s="147" t="str">
        <f>IF($E1168="","",VLOOKUP(IF($B1168&lt;=Input!$C$7,$B1168,26),'Mortality Tables'!$A$72:$CA$97,IF($B1168&lt;=Input!$C$7+1,Input!$C$4-16,$D1168-Input!$C$7-16),0)/1000)</f>
        <v/>
      </c>
      <c r="N1168" s="147" t="str">
        <f t="shared" si="378"/>
        <v/>
      </c>
      <c r="O1168" s="157" t="str">
        <f>IF($E1168="","",IF($C1168=12,IF($B1168&lt;Input!$C$9,Input!$C$54,IF($B1168=Input!$C$9,Input!$C$55,Input!$C$56)),0%))</f>
        <v/>
      </c>
      <c r="P1168" s="167" t="str">
        <f>IF($E1168="","",IF($B1168=1,Input!$C$59,IF($B1168&lt;6,Input!$C$60,0%)))</f>
        <v/>
      </c>
      <c r="Q1168" s="162" t="str">
        <f>IF($E1168="","",Input!$C$58)</f>
        <v/>
      </c>
      <c r="R1168" s="156" t="str">
        <f t="shared" si="388"/>
        <v/>
      </c>
      <c r="S1168" s="154" t="str">
        <f t="shared" si="379"/>
        <v/>
      </c>
      <c r="T1168" s="152"/>
      <c r="U1168" s="150" t="str">
        <f t="shared" si="389"/>
        <v/>
      </c>
      <c r="V1168" s="150" t="str">
        <f t="shared" si="390"/>
        <v/>
      </c>
      <c r="W1168" s="168" t="str">
        <f t="shared" si="391"/>
        <v/>
      </c>
      <c r="X1168" s="163" t="str">
        <f t="shared" si="380"/>
        <v/>
      </c>
      <c r="Y1168" s="152"/>
      <c r="Z1168" s="164" t="str">
        <f>IF(AND($C1167=12,$D1167=Input!$C$6),0,IF($E1168="","",V1168+Z1169/(1+L1168)*R1168))</f>
        <v/>
      </c>
      <c r="AA1168" s="164" t="str">
        <f>IF(OR($M1168=1,AND($C1167=12,$D1167=Input!$C$6)),0,IF($E1168="","",W1168+(X1168+AA1169*$R1168)/(1+$L1168)))</f>
        <v/>
      </c>
      <c r="AB1168" s="160" t="str">
        <f t="shared" si="381"/>
        <v/>
      </c>
      <c r="AC1168" s="164" t="str">
        <f t="shared" si="382"/>
        <v/>
      </c>
      <c r="AD1168" s="164" t="str">
        <f>IF(AND($C1167=12,$D1167=Input!$C$6),0,IF($E1168="","",$AC1168+AD1169/(1+$L1168)*$R1168))</f>
        <v/>
      </c>
      <c r="AE1168" s="152"/>
      <c r="AF1168" s="164" t="str">
        <f>IF(AND($C1167=12,$D1167=Input!$C$6),0,IF($E1168="","",IF($B1168&gt;Input!$C$9,$AC1168,0)+AF1169/(1+$L1168)*$R1168))</f>
        <v/>
      </c>
      <c r="AG1168" s="164" t="str">
        <f>IF(AND($C1167=12,$D1167=Input!$C$6),0,IF($E1168="","",(IF($B1168&gt;Input!$C$9,$X1168,0)+AG1169)/(1+$L1168)*$R1168))</f>
        <v/>
      </c>
      <c r="AH1168" s="160" t="str">
        <f t="shared" si="383"/>
        <v/>
      </c>
      <c r="AI1168" s="160" t="str">
        <f>IF($E1168="","",MIN(Input!$C$61/AH1168,1))</f>
        <v/>
      </c>
      <c r="AJ1168" s="152"/>
      <c r="AK1168" s="164" t="str">
        <f>IF(AND($C1167=12,$D1167=Input!$C$6),0,IF($E1168="","",IF($B1168&gt;Input!$C$9,$AC1168*AI1168,0)+AK1169/(1+$L1168)*$R1168))</f>
        <v/>
      </c>
      <c r="AL1168" s="164" t="str">
        <f>IF(AND($C1167=12,$D1167=Input!$C$6),0,IF($E1168="","",IF($B1168&gt;Input!$C$9,0,$AC1168)+AL1169/(1+$L1168)*$R1168))</f>
        <v/>
      </c>
      <c r="AM1168" s="160" t="str">
        <f t="shared" si="384"/>
        <v/>
      </c>
      <c r="AN1168" s="164" t="str">
        <f>IF($E1168="","",IF($B1168&gt;Input!$C$9,$AI1168*$AC1168,$AM1168*$AC1168))</f>
        <v/>
      </c>
      <c r="AO1168" s="164" t="str">
        <f>IF(AND($C1167=12,$D1167=Input!$C$6),0,IF($E1168="","",$AN1168+AO1169/(1+$L1168)*$R1168))</f>
        <v/>
      </c>
      <c r="AP1168" s="152"/>
      <c r="AQ1168" s="150" t="str">
        <f t="shared" si="385"/>
        <v/>
      </c>
      <c r="AR1168" s="150" t="str">
        <f t="shared" si="392"/>
        <v/>
      </c>
      <c r="AS1168" s="150" t="str">
        <f t="shared" si="393"/>
        <v/>
      </c>
      <c r="AT1168" s="150" t="str">
        <f t="shared" si="386"/>
        <v/>
      </c>
      <c r="AU1168" s="152"/>
      <c r="AV1168" s="147" t="str">
        <f>'Deterministic Reserve'!BC1168</f>
        <v/>
      </c>
      <c r="AY1168" s="152"/>
    </row>
    <row r="1169" spans="1:51" s="150" customFormat="1" x14ac:dyDescent="0.25">
      <c r="A1169" s="150" t="str">
        <f t="shared" si="394"/>
        <v/>
      </c>
      <c r="B1169" s="150" t="str">
        <f t="shared" si="395"/>
        <v/>
      </c>
      <c r="C1169" s="150" t="str">
        <f t="shared" si="396"/>
        <v/>
      </c>
      <c r="D1169" s="150" t="str">
        <f>IF(E1169="","",Input!$C$4+B1169-1)</f>
        <v/>
      </c>
      <c r="E1169" s="150" t="str">
        <f>IF(OR(AND(C1168=12,D1168=Input!$C$6),E1168=""),"",1)</f>
        <v/>
      </c>
      <c r="G1169" s="151" t="str">
        <f>IF(E1169="","",MAX(0,Input!$C$9-B1169))</f>
        <v/>
      </c>
      <c r="H1169" s="152" t="str">
        <f>IF(E1169="","",Input!$C$3)</f>
        <v/>
      </c>
      <c r="I1169" s="153" t="str">
        <f>IF(E1169="","",HLOOKUP($B1169,Input!$C$13:$BT$14,2))</f>
        <v/>
      </c>
      <c r="J1169" s="154"/>
      <c r="K1169" s="150" t="str">
        <f>IF($E1169="","",Input!$C$57)</f>
        <v/>
      </c>
      <c r="L1169" s="150" t="str">
        <f t="shared" si="387"/>
        <v/>
      </c>
      <c r="M1169" s="147" t="str">
        <f>IF($E1169="","",VLOOKUP(IF($B1169&lt;=Input!$C$7,$B1169,26),'Mortality Tables'!$A$72:$CA$97,IF($B1169&lt;=Input!$C$7+1,Input!$C$4-16,$D1169-Input!$C$7-16),0)/1000)</f>
        <v/>
      </c>
      <c r="N1169" s="147" t="str">
        <f t="shared" si="378"/>
        <v/>
      </c>
      <c r="O1169" s="157" t="str">
        <f>IF($E1169="","",IF($C1169=12,IF($B1169&lt;Input!$C$9,Input!$C$54,IF($B1169=Input!$C$9,Input!$C$55,Input!$C$56)),0%))</f>
        <v/>
      </c>
      <c r="P1169" s="167" t="str">
        <f>IF($E1169="","",IF($B1169=1,Input!$C$59,IF($B1169&lt;6,Input!$C$60,0%)))</f>
        <v/>
      </c>
      <c r="Q1169" s="162" t="str">
        <f>IF($E1169="","",Input!$C$58)</f>
        <v/>
      </c>
      <c r="R1169" s="156" t="str">
        <f t="shared" si="388"/>
        <v/>
      </c>
      <c r="S1169" s="154" t="str">
        <f t="shared" si="379"/>
        <v/>
      </c>
      <c r="T1169" s="152"/>
      <c r="U1169" s="150" t="str">
        <f t="shared" si="389"/>
        <v/>
      </c>
      <c r="V1169" s="150" t="str">
        <f t="shared" si="390"/>
        <v/>
      </c>
      <c r="W1169" s="168" t="str">
        <f t="shared" si="391"/>
        <v/>
      </c>
      <c r="X1169" s="163" t="str">
        <f t="shared" si="380"/>
        <v/>
      </c>
      <c r="Y1169" s="152"/>
      <c r="Z1169" s="164" t="str">
        <f>IF(AND($C1168=12,$D1168=Input!$C$6),0,IF($E1169="","",V1169+Z1170/(1+L1169)*R1169))</f>
        <v/>
      </c>
      <c r="AA1169" s="164" t="str">
        <f>IF(OR($M1169=1,AND($C1168=12,$D1168=Input!$C$6)),0,IF($E1169="","",W1169+(X1169+AA1170*$R1169)/(1+$L1169)))</f>
        <v/>
      </c>
      <c r="AB1169" s="160" t="str">
        <f t="shared" si="381"/>
        <v/>
      </c>
      <c r="AC1169" s="164" t="str">
        <f t="shared" si="382"/>
        <v/>
      </c>
      <c r="AD1169" s="164" t="str">
        <f>IF(AND($C1168=12,$D1168=Input!$C$6),0,IF($E1169="","",$AC1169+AD1170/(1+$L1169)*$R1169))</f>
        <v/>
      </c>
      <c r="AE1169" s="152"/>
      <c r="AF1169" s="164" t="str">
        <f>IF(AND($C1168=12,$D1168=Input!$C$6),0,IF($E1169="","",IF($B1169&gt;Input!$C$9,$AC1169,0)+AF1170/(1+$L1169)*$R1169))</f>
        <v/>
      </c>
      <c r="AG1169" s="164" t="str">
        <f>IF(AND($C1168=12,$D1168=Input!$C$6),0,IF($E1169="","",(IF($B1169&gt;Input!$C$9,$X1169,0)+AG1170)/(1+$L1169)*$R1169))</f>
        <v/>
      </c>
      <c r="AH1169" s="160" t="str">
        <f t="shared" si="383"/>
        <v/>
      </c>
      <c r="AI1169" s="160" t="str">
        <f>IF($E1169="","",MIN(Input!$C$61/AH1169,1))</f>
        <v/>
      </c>
      <c r="AJ1169" s="152"/>
      <c r="AK1169" s="164" t="str">
        <f>IF(AND($C1168=12,$D1168=Input!$C$6),0,IF($E1169="","",IF($B1169&gt;Input!$C$9,$AC1169*AI1169,0)+AK1170/(1+$L1169)*$R1169))</f>
        <v/>
      </c>
      <c r="AL1169" s="164" t="str">
        <f>IF(AND($C1168=12,$D1168=Input!$C$6),0,IF($E1169="","",IF($B1169&gt;Input!$C$9,0,$AC1169)+AL1170/(1+$L1169)*$R1169))</f>
        <v/>
      </c>
      <c r="AM1169" s="160" t="str">
        <f t="shared" si="384"/>
        <v/>
      </c>
      <c r="AN1169" s="164" t="str">
        <f>IF($E1169="","",IF($B1169&gt;Input!$C$9,$AI1169*$AC1169,$AM1169*$AC1169))</f>
        <v/>
      </c>
      <c r="AO1169" s="164" t="str">
        <f>IF(AND($C1168=12,$D1168=Input!$C$6),0,IF($E1169="","",$AN1169+AO1170/(1+$L1169)*$R1169))</f>
        <v/>
      </c>
      <c r="AP1169" s="152"/>
      <c r="AQ1169" s="150" t="str">
        <f t="shared" si="385"/>
        <v/>
      </c>
      <c r="AR1169" s="150" t="str">
        <f t="shared" si="392"/>
        <v/>
      </c>
      <c r="AS1169" s="150" t="str">
        <f t="shared" si="393"/>
        <v/>
      </c>
      <c r="AT1169" s="150" t="str">
        <f t="shared" si="386"/>
        <v/>
      </c>
      <c r="AU1169" s="152"/>
      <c r="AV1169" s="147" t="str">
        <f>'Deterministic Reserve'!BC1169</f>
        <v/>
      </c>
      <c r="AY1169" s="152"/>
    </row>
    <row r="1170" spans="1:51" s="150" customFormat="1" x14ac:dyDescent="0.25">
      <c r="A1170" s="150" t="str">
        <f t="shared" si="394"/>
        <v/>
      </c>
      <c r="B1170" s="150" t="str">
        <f t="shared" si="395"/>
        <v/>
      </c>
      <c r="C1170" s="150" t="str">
        <f t="shared" si="396"/>
        <v/>
      </c>
      <c r="D1170" s="150" t="str">
        <f>IF(E1170="","",Input!$C$4+B1170-1)</f>
        <v/>
      </c>
      <c r="E1170" s="150" t="str">
        <f>IF(OR(AND(C1169=12,D1169=Input!$C$6),E1169=""),"",1)</f>
        <v/>
      </c>
      <c r="G1170" s="151" t="str">
        <f>IF(E1170="","",MAX(0,Input!$C$9-B1170))</f>
        <v/>
      </c>
      <c r="H1170" s="152" t="str">
        <f>IF(E1170="","",Input!$C$3)</f>
        <v/>
      </c>
      <c r="I1170" s="153" t="str">
        <f>IF(E1170="","",HLOOKUP($B1170,Input!$C$13:$BT$14,2))</f>
        <v/>
      </c>
      <c r="J1170" s="154"/>
      <c r="K1170" s="150" t="str">
        <f>IF($E1170="","",Input!$C$57)</f>
        <v/>
      </c>
      <c r="L1170" s="150" t="str">
        <f t="shared" si="387"/>
        <v/>
      </c>
      <c r="M1170" s="147" t="str">
        <f>IF($E1170="","",VLOOKUP(IF($B1170&lt;=Input!$C$7,$B1170,26),'Mortality Tables'!$A$72:$CA$97,IF($B1170&lt;=Input!$C$7+1,Input!$C$4-16,$D1170-Input!$C$7-16),0)/1000)</f>
        <v/>
      </c>
      <c r="N1170" s="147" t="str">
        <f t="shared" si="378"/>
        <v/>
      </c>
      <c r="O1170" s="157" t="str">
        <f>IF($E1170="","",IF($C1170=12,IF($B1170&lt;Input!$C$9,Input!$C$54,IF($B1170=Input!$C$9,Input!$C$55,Input!$C$56)),0%))</f>
        <v/>
      </c>
      <c r="P1170" s="167" t="str">
        <f>IF($E1170="","",IF($B1170=1,Input!$C$59,IF($B1170&lt;6,Input!$C$60,0%)))</f>
        <v/>
      </c>
      <c r="Q1170" s="162" t="str">
        <f>IF($E1170="","",Input!$C$58)</f>
        <v/>
      </c>
      <c r="R1170" s="156" t="str">
        <f t="shared" si="388"/>
        <v/>
      </c>
      <c r="S1170" s="154" t="str">
        <f t="shared" si="379"/>
        <v/>
      </c>
      <c r="T1170" s="152"/>
      <c r="U1170" s="150" t="str">
        <f t="shared" si="389"/>
        <v/>
      </c>
      <c r="V1170" s="150" t="str">
        <f t="shared" si="390"/>
        <v/>
      </c>
      <c r="W1170" s="168" t="str">
        <f t="shared" si="391"/>
        <v/>
      </c>
      <c r="X1170" s="163" t="str">
        <f t="shared" si="380"/>
        <v/>
      </c>
      <c r="Y1170" s="152"/>
      <c r="Z1170" s="164" t="str">
        <f>IF(AND($C1169=12,$D1169=Input!$C$6),0,IF($E1170="","",V1170+Z1171/(1+L1170)*R1170))</f>
        <v/>
      </c>
      <c r="AA1170" s="164" t="str">
        <f>IF(OR($M1170=1,AND($C1169=12,$D1169=Input!$C$6)),0,IF($E1170="","",W1170+(X1170+AA1171*$R1170)/(1+$L1170)))</f>
        <v/>
      </c>
      <c r="AB1170" s="160" t="str">
        <f t="shared" si="381"/>
        <v/>
      </c>
      <c r="AC1170" s="164" t="str">
        <f t="shared" si="382"/>
        <v/>
      </c>
      <c r="AD1170" s="164" t="str">
        <f>IF(AND($C1169=12,$D1169=Input!$C$6),0,IF($E1170="","",$AC1170+AD1171/(1+$L1170)*$R1170))</f>
        <v/>
      </c>
      <c r="AE1170" s="152"/>
      <c r="AF1170" s="164" t="str">
        <f>IF(AND($C1169=12,$D1169=Input!$C$6),0,IF($E1170="","",IF($B1170&gt;Input!$C$9,$AC1170,0)+AF1171/(1+$L1170)*$R1170))</f>
        <v/>
      </c>
      <c r="AG1170" s="164" t="str">
        <f>IF(AND($C1169=12,$D1169=Input!$C$6),0,IF($E1170="","",(IF($B1170&gt;Input!$C$9,$X1170,0)+AG1171)/(1+$L1170)*$R1170))</f>
        <v/>
      </c>
      <c r="AH1170" s="160" t="str">
        <f t="shared" si="383"/>
        <v/>
      </c>
      <c r="AI1170" s="160" t="str">
        <f>IF($E1170="","",MIN(Input!$C$61/AH1170,1))</f>
        <v/>
      </c>
      <c r="AJ1170" s="152"/>
      <c r="AK1170" s="164" t="str">
        <f>IF(AND($C1169=12,$D1169=Input!$C$6),0,IF($E1170="","",IF($B1170&gt;Input!$C$9,$AC1170*AI1170,0)+AK1171/(1+$L1170)*$R1170))</f>
        <v/>
      </c>
      <c r="AL1170" s="164" t="str">
        <f>IF(AND($C1169=12,$D1169=Input!$C$6),0,IF($E1170="","",IF($B1170&gt;Input!$C$9,0,$AC1170)+AL1171/(1+$L1170)*$R1170))</f>
        <v/>
      </c>
      <c r="AM1170" s="160" t="str">
        <f t="shared" si="384"/>
        <v/>
      </c>
      <c r="AN1170" s="164" t="str">
        <f>IF($E1170="","",IF($B1170&gt;Input!$C$9,$AI1170*$AC1170,$AM1170*$AC1170))</f>
        <v/>
      </c>
      <c r="AO1170" s="164" t="str">
        <f>IF(AND($C1169=12,$D1169=Input!$C$6),0,IF($E1170="","",$AN1170+AO1171/(1+$L1170)*$R1170))</f>
        <v/>
      </c>
      <c r="AP1170" s="152"/>
      <c r="AQ1170" s="150" t="str">
        <f t="shared" si="385"/>
        <v/>
      </c>
      <c r="AR1170" s="150" t="str">
        <f t="shared" si="392"/>
        <v/>
      </c>
      <c r="AS1170" s="150" t="str">
        <f t="shared" si="393"/>
        <v/>
      </c>
      <c r="AT1170" s="150" t="str">
        <f t="shared" si="386"/>
        <v/>
      </c>
      <c r="AU1170" s="152"/>
      <c r="AV1170" s="147" t="str">
        <f>'Deterministic Reserve'!BC1170</f>
        <v/>
      </c>
      <c r="AY1170" s="152"/>
    </row>
    <row r="1171" spans="1:51" s="150" customFormat="1" x14ac:dyDescent="0.25">
      <c r="A1171" s="150" t="str">
        <f t="shared" si="394"/>
        <v/>
      </c>
      <c r="B1171" s="150" t="str">
        <f t="shared" si="395"/>
        <v/>
      </c>
      <c r="C1171" s="150" t="str">
        <f t="shared" si="396"/>
        <v/>
      </c>
      <c r="D1171" s="150" t="str">
        <f>IF(E1171="","",Input!$C$4+B1171-1)</f>
        <v/>
      </c>
      <c r="E1171" s="150" t="str">
        <f>IF(OR(AND(C1170=12,D1170=Input!$C$6),E1170=""),"",1)</f>
        <v/>
      </c>
      <c r="G1171" s="151" t="str">
        <f>IF(E1171="","",MAX(0,Input!$C$9-B1171))</f>
        <v/>
      </c>
      <c r="H1171" s="152" t="str">
        <f>IF(E1171="","",Input!$C$3)</f>
        <v/>
      </c>
      <c r="I1171" s="153" t="str">
        <f>IF(E1171="","",HLOOKUP($B1171,Input!$C$13:$BT$14,2))</f>
        <v/>
      </c>
      <c r="J1171" s="154"/>
      <c r="K1171" s="150" t="str">
        <f>IF($E1171="","",Input!$C$57)</f>
        <v/>
      </c>
      <c r="L1171" s="150" t="str">
        <f t="shared" si="387"/>
        <v/>
      </c>
      <c r="M1171" s="147" t="str">
        <f>IF($E1171="","",VLOOKUP(IF($B1171&lt;=Input!$C$7,$B1171,26),'Mortality Tables'!$A$72:$CA$97,IF($B1171&lt;=Input!$C$7+1,Input!$C$4-16,$D1171-Input!$C$7-16),0)/1000)</f>
        <v/>
      </c>
      <c r="N1171" s="147" t="str">
        <f t="shared" si="378"/>
        <v/>
      </c>
      <c r="O1171" s="157" t="str">
        <f>IF($E1171="","",IF($C1171=12,IF($B1171&lt;Input!$C$9,Input!$C$54,IF($B1171=Input!$C$9,Input!$C$55,Input!$C$56)),0%))</f>
        <v/>
      </c>
      <c r="P1171" s="167" t="str">
        <f>IF($E1171="","",IF($B1171=1,Input!$C$59,IF($B1171&lt;6,Input!$C$60,0%)))</f>
        <v/>
      </c>
      <c r="Q1171" s="162" t="str">
        <f>IF($E1171="","",Input!$C$58)</f>
        <v/>
      </c>
      <c r="R1171" s="156" t="str">
        <f t="shared" si="388"/>
        <v/>
      </c>
      <c r="S1171" s="154" t="str">
        <f t="shared" si="379"/>
        <v/>
      </c>
      <c r="T1171" s="152"/>
      <c r="U1171" s="150" t="str">
        <f t="shared" si="389"/>
        <v/>
      </c>
      <c r="V1171" s="150" t="str">
        <f t="shared" si="390"/>
        <v/>
      </c>
      <c r="W1171" s="168" t="str">
        <f t="shared" si="391"/>
        <v/>
      </c>
      <c r="X1171" s="163" t="str">
        <f t="shared" si="380"/>
        <v/>
      </c>
      <c r="Y1171" s="152"/>
      <c r="Z1171" s="164" t="str">
        <f>IF(AND($C1170=12,$D1170=Input!$C$6),0,IF($E1171="","",V1171+Z1172/(1+L1171)*R1171))</f>
        <v/>
      </c>
      <c r="AA1171" s="164" t="str">
        <f>IF(OR($M1171=1,AND($C1170=12,$D1170=Input!$C$6)),0,IF($E1171="","",W1171+(X1171+AA1172*$R1171)/(1+$L1171)))</f>
        <v/>
      </c>
      <c r="AB1171" s="160" t="str">
        <f t="shared" si="381"/>
        <v/>
      </c>
      <c r="AC1171" s="164" t="str">
        <f t="shared" si="382"/>
        <v/>
      </c>
      <c r="AD1171" s="164" t="str">
        <f>IF(AND($C1170=12,$D1170=Input!$C$6),0,IF($E1171="","",$AC1171+AD1172/(1+$L1171)*$R1171))</f>
        <v/>
      </c>
      <c r="AE1171" s="152"/>
      <c r="AF1171" s="164" t="str">
        <f>IF(AND($C1170=12,$D1170=Input!$C$6),0,IF($E1171="","",IF($B1171&gt;Input!$C$9,$AC1171,0)+AF1172/(1+$L1171)*$R1171))</f>
        <v/>
      </c>
      <c r="AG1171" s="164" t="str">
        <f>IF(AND($C1170=12,$D1170=Input!$C$6),0,IF($E1171="","",(IF($B1171&gt;Input!$C$9,$X1171,0)+AG1172)/(1+$L1171)*$R1171))</f>
        <v/>
      </c>
      <c r="AH1171" s="160" t="str">
        <f t="shared" si="383"/>
        <v/>
      </c>
      <c r="AI1171" s="160" t="str">
        <f>IF($E1171="","",MIN(Input!$C$61/AH1171,1))</f>
        <v/>
      </c>
      <c r="AJ1171" s="152"/>
      <c r="AK1171" s="164" t="str">
        <f>IF(AND($C1170=12,$D1170=Input!$C$6),0,IF($E1171="","",IF($B1171&gt;Input!$C$9,$AC1171*AI1171,0)+AK1172/(1+$L1171)*$R1171))</f>
        <v/>
      </c>
      <c r="AL1171" s="164" t="str">
        <f>IF(AND($C1170=12,$D1170=Input!$C$6),0,IF($E1171="","",IF($B1171&gt;Input!$C$9,0,$AC1171)+AL1172/(1+$L1171)*$R1171))</f>
        <v/>
      </c>
      <c r="AM1171" s="160" t="str">
        <f t="shared" si="384"/>
        <v/>
      </c>
      <c r="AN1171" s="164" t="str">
        <f>IF($E1171="","",IF($B1171&gt;Input!$C$9,$AI1171*$AC1171,$AM1171*$AC1171))</f>
        <v/>
      </c>
      <c r="AO1171" s="164" t="str">
        <f>IF(AND($C1170=12,$D1170=Input!$C$6),0,IF($E1171="","",$AN1171+AO1172/(1+$L1171)*$R1171))</f>
        <v/>
      </c>
      <c r="AP1171" s="152"/>
      <c r="AQ1171" s="150" t="str">
        <f t="shared" si="385"/>
        <v/>
      </c>
      <c r="AR1171" s="150" t="str">
        <f t="shared" si="392"/>
        <v/>
      </c>
      <c r="AS1171" s="150" t="str">
        <f t="shared" si="393"/>
        <v/>
      </c>
      <c r="AT1171" s="150" t="str">
        <f t="shared" si="386"/>
        <v/>
      </c>
      <c r="AU1171" s="152"/>
      <c r="AV1171" s="147" t="str">
        <f>'Deterministic Reserve'!BC1171</f>
        <v/>
      </c>
      <c r="AY1171" s="152"/>
    </row>
    <row r="1172" spans="1:51" s="150" customFormat="1" x14ac:dyDescent="0.25">
      <c r="A1172" s="150" t="str">
        <f t="shared" si="394"/>
        <v/>
      </c>
      <c r="B1172" s="150" t="str">
        <f t="shared" si="395"/>
        <v/>
      </c>
      <c r="C1172" s="150" t="str">
        <f t="shared" si="396"/>
        <v/>
      </c>
      <c r="D1172" s="150" t="str">
        <f>IF(E1172="","",Input!$C$4+B1172-1)</f>
        <v/>
      </c>
      <c r="E1172" s="150" t="str">
        <f>IF(OR(AND(C1171=12,D1171=Input!$C$6),E1171=""),"",1)</f>
        <v/>
      </c>
      <c r="G1172" s="151" t="str">
        <f>IF(E1172="","",MAX(0,Input!$C$9-B1172))</f>
        <v/>
      </c>
      <c r="H1172" s="152" t="str">
        <f>IF(E1172="","",Input!$C$3)</f>
        <v/>
      </c>
      <c r="I1172" s="153" t="str">
        <f>IF(E1172="","",HLOOKUP($B1172,Input!$C$13:$BT$14,2))</f>
        <v/>
      </c>
      <c r="J1172" s="154"/>
      <c r="K1172" s="150" t="str">
        <f>IF($E1172="","",Input!$C$57)</f>
        <v/>
      </c>
      <c r="L1172" s="150" t="str">
        <f t="shared" si="387"/>
        <v/>
      </c>
      <c r="M1172" s="147" t="str">
        <f>IF($E1172="","",VLOOKUP(IF($B1172&lt;=Input!$C$7,$B1172,26),'Mortality Tables'!$A$72:$CA$97,IF($B1172&lt;=Input!$C$7+1,Input!$C$4-16,$D1172-Input!$C$7-16),0)/1000)</f>
        <v/>
      </c>
      <c r="N1172" s="147" t="str">
        <f t="shared" si="378"/>
        <v/>
      </c>
      <c r="O1172" s="157" t="str">
        <f>IF($E1172="","",IF($C1172=12,IF($B1172&lt;Input!$C$9,Input!$C$54,IF($B1172=Input!$C$9,Input!$C$55,Input!$C$56)),0%))</f>
        <v/>
      </c>
      <c r="P1172" s="167" t="str">
        <f>IF($E1172="","",IF($B1172=1,Input!$C$59,IF($B1172&lt;6,Input!$C$60,0%)))</f>
        <v/>
      </c>
      <c r="Q1172" s="162" t="str">
        <f>IF($E1172="","",Input!$C$58)</f>
        <v/>
      </c>
      <c r="R1172" s="156" t="str">
        <f t="shared" si="388"/>
        <v/>
      </c>
      <c r="S1172" s="154" t="str">
        <f t="shared" si="379"/>
        <v/>
      </c>
      <c r="T1172" s="152"/>
      <c r="U1172" s="150" t="str">
        <f t="shared" si="389"/>
        <v/>
      </c>
      <c r="V1172" s="150" t="str">
        <f t="shared" si="390"/>
        <v/>
      </c>
      <c r="W1172" s="168" t="str">
        <f t="shared" si="391"/>
        <v/>
      </c>
      <c r="X1172" s="163" t="str">
        <f t="shared" si="380"/>
        <v/>
      </c>
      <c r="Y1172" s="152"/>
      <c r="Z1172" s="164" t="str">
        <f>IF(AND($C1171=12,$D1171=Input!$C$6),0,IF($E1172="","",V1172+Z1173/(1+L1172)*R1172))</f>
        <v/>
      </c>
      <c r="AA1172" s="164" t="str">
        <f>IF(OR($M1172=1,AND($C1171=12,$D1171=Input!$C$6)),0,IF($E1172="","",W1172+(X1172+AA1173*$R1172)/(1+$L1172)))</f>
        <v/>
      </c>
      <c r="AB1172" s="160" t="str">
        <f t="shared" si="381"/>
        <v/>
      </c>
      <c r="AC1172" s="164" t="str">
        <f t="shared" si="382"/>
        <v/>
      </c>
      <c r="AD1172" s="164" t="str">
        <f>IF(AND($C1171=12,$D1171=Input!$C$6),0,IF($E1172="","",$AC1172+AD1173/(1+$L1172)*$R1172))</f>
        <v/>
      </c>
      <c r="AE1172" s="152"/>
      <c r="AF1172" s="164" t="str">
        <f>IF(AND($C1171=12,$D1171=Input!$C$6),0,IF($E1172="","",IF($B1172&gt;Input!$C$9,$AC1172,0)+AF1173/(1+$L1172)*$R1172))</f>
        <v/>
      </c>
      <c r="AG1172" s="164" t="str">
        <f>IF(AND($C1171=12,$D1171=Input!$C$6),0,IF($E1172="","",(IF($B1172&gt;Input!$C$9,$X1172,0)+AG1173)/(1+$L1172)*$R1172))</f>
        <v/>
      </c>
      <c r="AH1172" s="160" t="str">
        <f t="shared" si="383"/>
        <v/>
      </c>
      <c r="AI1172" s="160" t="str">
        <f>IF($E1172="","",MIN(Input!$C$61/AH1172,1))</f>
        <v/>
      </c>
      <c r="AJ1172" s="152"/>
      <c r="AK1172" s="164" t="str">
        <f>IF(AND($C1171=12,$D1171=Input!$C$6),0,IF($E1172="","",IF($B1172&gt;Input!$C$9,$AC1172*AI1172,0)+AK1173/(1+$L1172)*$R1172))</f>
        <v/>
      </c>
      <c r="AL1172" s="164" t="str">
        <f>IF(AND($C1171=12,$D1171=Input!$C$6),0,IF($E1172="","",IF($B1172&gt;Input!$C$9,0,$AC1172)+AL1173/(1+$L1172)*$R1172))</f>
        <v/>
      </c>
      <c r="AM1172" s="160" t="str">
        <f t="shared" si="384"/>
        <v/>
      </c>
      <c r="AN1172" s="164" t="str">
        <f>IF($E1172="","",IF($B1172&gt;Input!$C$9,$AI1172*$AC1172,$AM1172*$AC1172))</f>
        <v/>
      </c>
      <c r="AO1172" s="164" t="str">
        <f>IF(AND($C1171=12,$D1171=Input!$C$6),0,IF($E1172="","",$AN1172+AO1173/(1+$L1172)*$R1172))</f>
        <v/>
      </c>
      <c r="AP1172" s="152"/>
      <c r="AQ1172" s="150" t="str">
        <f t="shared" si="385"/>
        <v/>
      </c>
      <c r="AR1172" s="150" t="str">
        <f t="shared" si="392"/>
        <v/>
      </c>
      <c r="AS1172" s="150" t="str">
        <f t="shared" si="393"/>
        <v/>
      </c>
      <c r="AT1172" s="150" t="str">
        <f t="shared" si="386"/>
        <v/>
      </c>
      <c r="AU1172" s="152"/>
      <c r="AV1172" s="147" t="str">
        <f>'Deterministic Reserve'!BC1172</f>
        <v/>
      </c>
      <c r="AY1172" s="152"/>
    </row>
    <row r="1173" spans="1:51" s="150" customFormat="1" x14ac:dyDescent="0.25">
      <c r="A1173" s="150" t="str">
        <f t="shared" si="394"/>
        <v/>
      </c>
      <c r="B1173" s="150" t="str">
        <f t="shared" si="395"/>
        <v/>
      </c>
      <c r="C1173" s="150" t="str">
        <f t="shared" si="396"/>
        <v/>
      </c>
      <c r="D1173" s="150" t="str">
        <f>IF(E1173="","",Input!$C$4+B1173-1)</f>
        <v/>
      </c>
      <c r="E1173" s="150" t="str">
        <f>IF(OR(AND(C1172=12,D1172=Input!$C$6),E1172=""),"",1)</f>
        <v/>
      </c>
      <c r="G1173" s="151" t="str">
        <f>IF(E1173="","",MAX(0,Input!$C$9-B1173))</f>
        <v/>
      </c>
      <c r="H1173" s="152" t="str">
        <f>IF(E1173="","",Input!$C$3)</f>
        <v/>
      </c>
      <c r="I1173" s="153" t="str">
        <f>IF(E1173="","",HLOOKUP($B1173,Input!$C$13:$BT$14,2))</f>
        <v/>
      </c>
      <c r="J1173" s="154"/>
      <c r="K1173" s="150" t="str">
        <f>IF($E1173="","",Input!$C$57)</f>
        <v/>
      </c>
      <c r="L1173" s="150" t="str">
        <f t="shared" si="387"/>
        <v/>
      </c>
      <c r="M1173" s="147" t="str">
        <f>IF($E1173="","",VLOOKUP(IF($B1173&lt;=Input!$C$7,$B1173,26),'Mortality Tables'!$A$72:$CA$97,IF($B1173&lt;=Input!$C$7+1,Input!$C$4-16,$D1173-Input!$C$7-16),0)/1000)</f>
        <v/>
      </c>
      <c r="N1173" s="147" t="str">
        <f t="shared" si="378"/>
        <v/>
      </c>
      <c r="O1173" s="157" t="str">
        <f>IF($E1173="","",IF($C1173=12,IF($B1173&lt;Input!$C$9,Input!$C$54,IF($B1173=Input!$C$9,Input!$C$55,Input!$C$56)),0%))</f>
        <v/>
      </c>
      <c r="P1173" s="167" t="str">
        <f>IF($E1173="","",IF($B1173=1,Input!$C$59,IF($B1173&lt;6,Input!$C$60,0%)))</f>
        <v/>
      </c>
      <c r="Q1173" s="162" t="str">
        <f>IF($E1173="","",Input!$C$58)</f>
        <v/>
      </c>
      <c r="R1173" s="156" t="str">
        <f t="shared" si="388"/>
        <v/>
      </c>
      <c r="S1173" s="154" t="str">
        <f t="shared" si="379"/>
        <v/>
      </c>
      <c r="T1173" s="152"/>
      <c r="U1173" s="150" t="str">
        <f t="shared" si="389"/>
        <v/>
      </c>
      <c r="V1173" s="150" t="str">
        <f t="shared" si="390"/>
        <v/>
      </c>
      <c r="W1173" s="168" t="str">
        <f t="shared" si="391"/>
        <v/>
      </c>
      <c r="X1173" s="163" t="str">
        <f t="shared" si="380"/>
        <v/>
      </c>
      <c r="Y1173" s="152"/>
      <c r="Z1173" s="164" t="str">
        <f>IF(AND($C1172=12,$D1172=Input!$C$6),0,IF($E1173="","",V1173+Z1174/(1+L1173)*R1173))</f>
        <v/>
      </c>
      <c r="AA1173" s="164" t="str">
        <f>IF(OR($M1173=1,AND($C1172=12,$D1172=Input!$C$6)),0,IF($E1173="","",W1173+(X1173+AA1174*$R1173)/(1+$L1173)))</f>
        <v/>
      </c>
      <c r="AB1173" s="160" t="str">
        <f t="shared" si="381"/>
        <v/>
      </c>
      <c r="AC1173" s="164" t="str">
        <f t="shared" si="382"/>
        <v/>
      </c>
      <c r="AD1173" s="164" t="str">
        <f>IF(AND($C1172=12,$D1172=Input!$C$6),0,IF($E1173="","",$AC1173+AD1174/(1+$L1173)*$R1173))</f>
        <v/>
      </c>
      <c r="AE1173" s="152"/>
      <c r="AF1173" s="164" t="str">
        <f>IF(AND($C1172=12,$D1172=Input!$C$6),0,IF($E1173="","",IF($B1173&gt;Input!$C$9,$AC1173,0)+AF1174/(1+$L1173)*$R1173))</f>
        <v/>
      </c>
      <c r="AG1173" s="164" t="str">
        <f>IF(AND($C1172=12,$D1172=Input!$C$6),0,IF($E1173="","",(IF($B1173&gt;Input!$C$9,$X1173,0)+AG1174)/(1+$L1173)*$R1173))</f>
        <v/>
      </c>
      <c r="AH1173" s="160" t="str">
        <f t="shared" si="383"/>
        <v/>
      </c>
      <c r="AI1173" s="160" t="str">
        <f>IF($E1173="","",MIN(Input!$C$61/AH1173,1))</f>
        <v/>
      </c>
      <c r="AJ1173" s="152"/>
      <c r="AK1173" s="164" t="str">
        <f>IF(AND($C1172=12,$D1172=Input!$C$6),0,IF($E1173="","",IF($B1173&gt;Input!$C$9,$AC1173*AI1173,0)+AK1174/(1+$L1173)*$R1173))</f>
        <v/>
      </c>
      <c r="AL1173" s="164" t="str">
        <f>IF(AND($C1172=12,$D1172=Input!$C$6),0,IF($E1173="","",IF($B1173&gt;Input!$C$9,0,$AC1173)+AL1174/(1+$L1173)*$R1173))</f>
        <v/>
      </c>
      <c r="AM1173" s="160" t="str">
        <f t="shared" si="384"/>
        <v/>
      </c>
      <c r="AN1173" s="164" t="str">
        <f>IF($E1173="","",IF($B1173&gt;Input!$C$9,$AI1173*$AC1173,$AM1173*$AC1173))</f>
        <v/>
      </c>
      <c r="AO1173" s="164" t="str">
        <f>IF(AND($C1172=12,$D1172=Input!$C$6),0,IF($E1173="","",$AN1173+AO1174/(1+$L1173)*$R1173))</f>
        <v/>
      </c>
      <c r="AP1173" s="152"/>
      <c r="AQ1173" s="150" t="str">
        <f t="shared" si="385"/>
        <v/>
      </c>
      <c r="AR1173" s="150" t="str">
        <f t="shared" si="392"/>
        <v/>
      </c>
      <c r="AS1173" s="150" t="str">
        <f t="shared" si="393"/>
        <v/>
      </c>
      <c r="AT1173" s="150" t="str">
        <f t="shared" si="386"/>
        <v/>
      </c>
      <c r="AU1173" s="152"/>
      <c r="AV1173" s="147" t="str">
        <f>'Deterministic Reserve'!BC1173</f>
        <v/>
      </c>
      <c r="AY1173" s="152"/>
    </row>
    <row r="1174" spans="1:51" s="150" customFormat="1" x14ac:dyDescent="0.25">
      <c r="A1174" s="150" t="str">
        <f t="shared" si="394"/>
        <v/>
      </c>
      <c r="B1174" s="150" t="str">
        <f t="shared" si="395"/>
        <v/>
      </c>
      <c r="C1174" s="150" t="str">
        <f t="shared" si="396"/>
        <v/>
      </c>
      <c r="D1174" s="150" t="str">
        <f>IF(E1174="","",Input!$C$4+B1174-1)</f>
        <v/>
      </c>
      <c r="E1174" s="150" t="str">
        <f>IF(OR(AND(C1173=12,D1173=Input!$C$6),E1173=""),"",1)</f>
        <v/>
      </c>
      <c r="G1174" s="151" t="str">
        <f>IF(E1174="","",MAX(0,Input!$C$9-B1174))</f>
        <v/>
      </c>
      <c r="H1174" s="152" t="str">
        <f>IF(E1174="","",Input!$C$3)</f>
        <v/>
      </c>
      <c r="I1174" s="153" t="str">
        <f>IF(E1174="","",HLOOKUP($B1174,Input!$C$13:$BT$14,2))</f>
        <v/>
      </c>
      <c r="J1174" s="154"/>
      <c r="K1174" s="150" t="str">
        <f>IF($E1174="","",Input!$C$57)</f>
        <v/>
      </c>
      <c r="L1174" s="150" t="str">
        <f t="shared" si="387"/>
        <v/>
      </c>
      <c r="M1174" s="147" t="str">
        <f>IF($E1174="","",VLOOKUP(IF($B1174&lt;=Input!$C$7,$B1174,26),'Mortality Tables'!$A$72:$CA$97,IF($B1174&lt;=Input!$C$7+1,Input!$C$4-16,$D1174-Input!$C$7-16),0)/1000)</f>
        <v/>
      </c>
      <c r="N1174" s="147" t="str">
        <f t="shared" si="378"/>
        <v/>
      </c>
      <c r="O1174" s="157" t="str">
        <f>IF($E1174="","",IF($C1174=12,IF($B1174&lt;Input!$C$9,Input!$C$54,IF($B1174=Input!$C$9,Input!$C$55,Input!$C$56)),0%))</f>
        <v/>
      </c>
      <c r="P1174" s="167" t="str">
        <f>IF($E1174="","",IF($B1174=1,Input!$C$59,IF($B1174&lt;6,Input!$C$60,0%)))</f>
        <v/>
      </c>
      <c r="Q1174" s="162" t="str">
        <f>IF($E1174="","",Input!$C$58)</f>
        <v/>
      </c>
      <c r="R1174" s="156" t="str">
        <f t="shared" si="388"/>
        <v/>
      </c>
      <c r="S1174" s="154" t="str">
        <f t="shared" si="379"/>
        <v/>
      </c>
      <c r="T1174" s="152"/>
      <c r="U1174" s="150" t="str">
        <f t="shared" si="389"/>
        <v/>
      </c>
      <c r="V1174" s="150" t="str">
        <f t="shared" si="390"/>
        <v/>
      </c>
      <c r="W1174" s="168" t="str">
        <f t="shared" si="391"/>
        <v/>
      </c>
      <c r="X1174" s="163" t="str">
        <f t="shared" si="380"/>
        <v/>
      </c>
      <c r="Y1174" s="152"/>
      <c r="Z1174" s="164" t="str">
        <f>IF(AND($C1173=12,$D1173=Input!$C$6),0,IF($E1174="","",V1174+Z1175/(1+L1174)*R1174))</f>
        <v/>
      </c>
      <c r="AA1174" s="164" t="str">
        <f>IF(OR($M1174=1,AND($C1173=12,$D1173=Input!$C$6)),0,IF($E1174="","",W1174+(X1174+AA1175*$R1174)/(1+$L1174)))</f>
        <v/>
      </c>
      <c r="AB1174" s="160" t="str">
        <f t="shared" si="381"/>
        <v/>
      </c>
      <c r="AC1174" s="164" t="str">
        <f t="shared" si="382"/>
        <v/>
      </c>
      <c r="AD1174" s="164" t="str">
        <f>IF(AND($C1173=12,$D1173=Input!$C$6),0,IF($E1174="","",$AC1174+AD1175/(1+$L1174)*$R1174))</f>
        <v/>
      </c>
      <c r="AE1174" s="152"/>
      <c r="AF1174" s="164" t="str">
        <f>IF(AND($C1173=12,$D1173=Input!$C$6),0,IF($E1174="","",IF($B1174&gt;Input!$C$9,$AC1174,0)+AF1175/(1+$L1174)*$R1174))</f>
        <v/>
      </c>
      <c r="AG1174" s="164" t="str">
        <f>IF(AND($C1173=12,$D1173=Input!$C$6),0,IF($E1174="","",(IF($B1174&gt;Input!$C$9,$X1174,0)+AG1175)/(1+$L1174)*$R1174))</f>
        <v/>
      </c>
      <c r="AH1174" s="160" t="str">
        <f t="shared" si="383"/>
        <v/>
      </c>
      <c r="AI1174" s="160" t="str">
        <f>IF($E1174="","",MIN(Input!$C$61/AH1174,1))</f>
        <v/>
      </c>
      <c r="AJ1174" s="152"/>
      <c r="AK1174" s="164" t="str">
        <f>IF(AND($C1173=12,$D1173=Input!$C$6),0,IF($E1174="","",IF($B1174&gt;Input!$C$9,$AC1174*AI1174,0)+AK1175/(1+$L1174)*$R1174))</f>
        <v/>
      </c>
      <c r="AL1174" s="164" t="str">
        <f>IF(AND($C1173=12,$D1173=Input!$C$6),0,IF($E1174="","",IF($B1174&gt;Input!$C$9,0,$AC1174)+AL1175/(1+$L1174)*$R1174))</f>
        <v/>
      </c>
      <c r="AM1174" s="160" t="str">
        <f t="shared" si="384"/>
        <v/>
      </c>
      <c r="AN1174" s="164" t="str">
        <f>IF($E1174="","",IF($B1174&gt;Input!$C$9,$AI1174*$AC1174,$AM1174*$AC1174))</f>
        <v/>
      </c>
      <c r="AO1174" s="164" t="str">
        <f>IF(AND($C1173=12,$D1173=Input!$C$6),0,IF($E1174="","",$AN1174+AO1175/(1+$L1174)*$R1174))</f>
        <v/>
      </c>
      <c r="AP1174" s="152"/>
      <c r="AQ1174" s="150" t="str">
        <f t="shared" si="385"/>
        <v/>
      </c>
      <c r="AR1174" s="150" t="str">
        <f t="shared" si="392"/>
        <v/>
      </c>
      <c r="AS1174" s="150" t="str">
        <f t="shared" si="393"/>
        <v/>
      </c>
      <c r="AT1174" s="150" t="str">
        <f t="shared" si="386"/>
        <v/>
      </c>
      <c r="AU1174" s="152"/>
      <c r="AV1174" s="147" t="str">
        <f>'Deterministic Reserve'!BC1174</f>
        <v/>
      </c>
      <c r="AY1174" s="152"/>
    </row>
    <row r="1175" spans="1:51" s="150" customFormat="1" x14ac:dyDescent="0.25">
      <c r="A1175" s="150" t="str">
        <f t="shared" si="394"/>
        <v/>
      </c>
      <c r="B1175" s="150" t="str">
        <f t="shared" si="395"/>
        <v/>
      </c>
      <c r="C1175" s="150" t="str">
        <f t="shared" si="396"/>
        <v/>
      </c>
      <c r="D1175" s="150" t="str">
        <f>IF(E1175="","",Input!$C$4+B1175-1)</f>
        <v/>
      </c>
      <c r="E1175" s="150" t="str">
        <f>IF(OR(AND(C1174=12,D1174=Input!$C$6),E1174=""),"",1)</f>
        <v/>
      </c>
      <c r="G1175" s="151" t="str">
        <f>IF(E1175="","",MAX(0,Input!$C$9-B1175))</f>
        <v/>
      </c>
      <c r="H1175" s="152" t="str">
        <f>IF(E1175="","",Input!$C$3)</f>
        <v/>
      </c>
      <c r="I1175" s="153" t="str">
        <f>IF(E1175="","",HLOOKUP($B1175,Input!$C$13:$BT$14,2))</f>
        <v/>
      </c>
      <c r="J1175" s="154"/>
      <c r="K1175" s="150" t="str">
        <f>IF($E1175="","",Input!$C$57)</f>
        <v/>
      </c>
      <c r="L1175" s="150" t="str">
        <f t="shared" si="387"/>
        <v/>
      </c>
      <c r="M1175" s="147" t="str">
        <f>IF($E1175="","",VLOOKUP(IF($B1175&lt;=Input!$C$7,$B1175,26),'Mortality Tables'!$A$72:$CA$97,IF($B1175&lt;=Input!$C$7+1,Input!$C$4-16,$D1175-Input!$C$7-16),0)/1000)</f>
        <v/>
      </c>
      <c r="N1175" s="147" t="str">
        <f t="shared" si="378"/>
        <v/>
      </c>
      <c r="O1175" s="157" t="str">
        <f>IF($E1175="","",IF($C1175=12,IF($B1175&lt;Input!$C$9,Input!$C$54,IF($B1175=Input!$C$9,Input!$C$55,Input!$C$56)),0%))</f>
        <v/>
      </c>
      <c r="P1175" s="167" t="str">
        <f>IF($E1175="","",IF($B1175=1,Input!$C$59,IF($B1175&lt;6,Input!$C$60,0%)))</f>
        <v/>
      </c>
      <c r="Q1175" s="162" t="str">
        <f>IF($E1175="","",Input!$C$58)</f>
        <v/>
      </c>
      <c r="R1175" s="156" t="str">
        <f t="shared" si="388"/>
        <v/>
      </c>
      <c r="S1175" s="154" t="str">
        <f t="shared" si="379"/>
        <v/>
      </c>
      <c r="T1175" s="152"/>
      <c r="U1175" s="150" t="str">
        <f t="shared" si="389"/>
        <v/>
      </c>
      <c r="V1175" s="150" t="str">
        <f t="shared" si="390"/>
        <v/>
      </c>
      <c r="W1175" s="168" t="str">
        <f t="shared" si="391"/>
        <v/>
      </c>
      <c r="X1175" s="163" t="str">
        <f t="shared" si="380"/>
        <v/>
      </c>
      <c r="Y1175" s="152"/>
      <c r="Z1175" s="164" t="str">
        <f>IF(AND($C1174=12,$D1174=Input!$C$6),0,IF($E1175="","",V1175+Z1176/(1+L1175)*R1175))</f>
        <v/>
      </c>
      <c r="AA1175" s="164" t="str">
        <f>IF(OR($M1175=1,AND($C1174=12,$D1174=Input!$C$6)),0,IF($E1175="","",W1175+(X1175+AA1176*$R1175)/(1+$L1175)))</f>
        <v/>
      </c>
      <c r="AB1175" s="160" t="str">
        <f t="shared" si="381"/>
        <v/>
      </c>
      <c r="AC1175" s="164" t="str">
        <f t="shared" si="382"/>
        <v/>
      </c>
      <c r="AD1175" s="164" t="str">
        <f>IF(AND($C1174=12,$D1174=Input!$C$6),0,IF($E1175="","",$AC1175+AD1176/(1+$L1175)*$R1175))</f>
        <v/>
      </c>
      <c r="AE1175" s="152"/>
      <c r="AF1175" s="164" t="str">
        <f>IF(AND($C1174=12,$D1174=Input!$C$6),0,IF($E1175="","",IF($B1175&gt;Input!$C$9,$AC1175,0)+AF1176/(1+$L1175)*$R1175))</f>
        <v/>
      </c>
      <c r="AG1175" s="164" t="str">
        <f>IF(AND($C1174=12,$D1174=Input!$C$6),0,IF($E1175="","",(IF($B1175&gt;Input!$C$9,$X1175,0)+AG1176)/(1+$L1175)*$R1175))</f>
        <v/>
      </c>
      <c r="AH1175" s="160" t="str">
        <f t="shared" si="383"/>
        <v/>
      </c>
      <c r="AI1175" s="160" t="str">
        <f>IF($E1175="","",MIN(Input!$C$61/AH1175,1))</f>
        <v/>
      </c>
      <c r="AJ1175" s="152"/>
      <c r="AK1175" s="164" t="str">
        <f>IF(AND($C1174=12,$D1174=Input!$C$6),0,IF($E1175="","",IF($B1175&gt;Input!$C$9,$AC1175*AI1175,0)+AK1176/(1+$L1175)*$R1175))</f>
        <v/>
      </c>
      <c r="AL1175" s="164" t="str">
        <f>IF(AND($C1174=12,$D1174=Input!$C$6),0,IF($E1175="","",IF($B1175&gt;Input!$C$9,0,$AC1175)+AL1176/(1+$L1175)*$R1175))</f>
        <v/>
      </c>
      <c r="AM1175" s="160" t="str">
        <f t="shared" si="384"/>
        <v/>
      </c>
      <c r="AN1175" s="164" t="str">
        <f>IF($E1175="","",IF($B1175&gt;Input!$C$9,$AI1175*$AC1175,$AM1175*$AC1175))</f>
        <v/>
      </c>
      <c r="AO1175" s="164" t="str">
        <f>IF(AND($C1174=12,$D1174=Input!$C$6),0,IF($E1175="","",$AN1175+AO1176/(1+$L1175)*$R1175))</f>
        <v/>
      </c>
      <c r="AP1175" s="152"/>
      <c r="AQ1175" s="150" t="str">
        <f t="shared" si="385"/>
        <v/>
      </c>
      <c r="AR1175" s="150" t="str">
        <f t="shared" si="392"/>
        <v/>
      </c>
      <c r="AS1175" s="150" t="str">
        <f t="shared" si="393"/>
        <v/>
      </c>
      <c r="AT1175" s="150" t="str">
        <f t="shared" si="386"/>
        <v/>
      </c>
      <c r="AU1175" s="152"/>
      <c r="AV1175" s="147" t="str">
        <f>'Deterministic Reserve'!BC1175</f>
        <v/>
      </c>
      <c r="AY1175" s="152"/>
    </row>
    <row r="1176" spans="1:51" s="150" customFormat="1" x14ac:dyDescent="0.25">
      <c r="A1176" s="150" t="str">
        <f t="shared" si="394"/>
        <v/>
      </c>
      <c r="B1176" s="150" t="str">
        <f t="shared" si="395"/>
        <v/>
      </c>
      <c r="C1176" s="150" t="str">
        <f t="shared" si="396"/>
        <v/>
      </c>
      <c r="D1176" s="150" t="str">
        <f>IF(E1176="","",Input!$C$4+B1176-1)</f>
        <v/>
      </c>
      <c r="E1176" s="150" t="str">
        <f>IF(OR(AND(C1175=12,D1175=Input!$C$6),E1175=""),"",1)</f>
        <v/>
      </c>
      <c r="G1176" s="151" t="str">
        <f>IF(E1176="","",MAX(0,Input!$C$9-B1176))</f>
        <v/>
      </c>
      <c r="H1176" s="152" t="str">
        <f>IF(E1176="","",Input!$C$3)</f>
        <v/>
      </c>
      <c r="I1176" s="153" t="str">
        <f>IF(E1176="","",HLOOKUP($B1176,Input!$C$13:$BT$14,2))</f>
        <v/>
      </c>
      <c r="J1176" s="154"/>
      <c r="K1176" s="150" t="str">
        <f>IF($E1176="","",Input!$C$57)</f>
        <v/>
      </c>
      <c r="L1176" s="150" t="str">
        <f t="shared" si="387"/>
        <v/>
      </c>
      <c r="M1176" s="147" t="str">
        <f>IF($E1176="","",VLOOKUP(IF($B1176&lt;=Input!$C$7,$B1176,26),'Mortality Tables'!$A$72:$CA$97,IF($B1176&lt;=Input!$C$7+1,Input!$C$4-16,$D1176-Input!$C$7-16),0)/1000)</f>
        <v/>
      </c>
      <c r="N1176" s="147" t="str">
        <f t="shared" si="378"/>
        <v/>
      </c>
      <c r="O1176" s="157" t="str">
        <f>IF($E1176="","",IF($C1176=12,IF($B1176&lt;Input!$C$9,Input!$C$54,IF($B1176=Input!$C$9,Input!$C$55,Input!$C$56)),0%))</f>
        <v/>
      </c>
      <c r="P1176" s="167" t="str">
        <f>IF($E1176="","",IF($B1176=1,Input!$C$59,IF($B1176&lt;6,Input!$C$60,0%)))</f>
        <v/>
      </c>
      <c r="Q1176" s="162" t="str">
        <f>IF($E1176="","",Input!$C$58)</f>
        <v/>
      </c>
      <c r="R1176" s="156" t="str">
        <f t="shared" si="388"/>
        <v/>
      </c>
      <c r="S1176" s="154" t="str">
        <f t="shared" si="379"/>
        <v/>
      </c>
      <c r="T1176" s="152"/>
      <c r="U1176" s="150" t="str">
        <f t="shared" si="389"/>
        <v/>
      </c>
      <c r="V1176" s="150" t="str">
        <f t="shared" si="390"/>
        <v/>
      </c>
      <c r="W1176" s="168" t="str">
        <f t="shared" si="391"/>
        <v/>
      </c>
      <c r="X1176" s="163" t="str">
        <f t="shared" si="380"/>
        <v/>
      </c>
      <c r="Y1176" s="152"/>
      <c r="Z1176" s="164" t="str">
        <f>IF(AND($C1175=12,$D1175=Input!$C$6),0,IF($E1176="","",V1176+Z1177/(1+L1176)*R1176))</f>
        <v/>
      </c>
      <c r="AA1176" s="164" t="str">
        <f>IF(OR($M1176=1,AND($C1175=12,$D1175=Input!$C$6)),0,IF($E1176="","",W1176+(X1176+AA1177*$R1176)/(1+$L1176)))</f>
        <v/>
      </c>
      <c r="AB1176" s="160" t="str">
        <f t="shared" si="381"/>
        <v/>
      </c>
      <c r="AC1176" s="164" t="str">
        <f t="shared" si="382"/>
        <v/>
      </c>
      <c r="AD1176" s="164" t="str">
        <f>IF(AND($C1175=12,$D1175=Input!$C$6),0,IF($E1176="","",$AC1176+AD1177/(1+$L1176)*$R1176))</f>
        <v/>
      </c>
      <c r="AE1176" s="152"/>
      <c r="AF1176" s="164" t="str">
        <f>IF(AND($C1175=12,$D1175=Input!$C$6),0,IF($E1176="","",IF($B1176&gt;Input!$C$9,$AC1176,0)+AF1177/(1+$L1176)*$R1176))</f>
        <v/>
      </c>
      <c r="AG1176" s="164" t="str">
        <f>IF(AND($C1175=12,$D1175=Input!$C$6),0,IF($E1176="","",(IF($B1176&gt;Input!$C$9,$X1176,0)+AG1177)/(1+$L1176)*$R1176))</f>
        <v/>
      </c>
      <c r="AH1176" s="160" t="str">
        <f t="shared" si="383"/>
        <v/>
      </c>
      <c r="AI1176" s="160" t="str">
        <f>IF($E1176="","",MIN(Input!$C$61/AH1176,1))</f>
        <v/>
      </c>
      <c r="AJ1176" s="152"/>
      <c r="AK1176" s="164" t="str">
        <f>IF(AND($C1175=12,$D1175=Input!$C$6),0,IF($E1176="","",IF($B1176&gt;Input!$C$9,$AC1176*AI1176,0)+AK1177/(1+$L1176)*$R1176))</f>
        <v/>
      </c>
      <c r="AL1176" s="164" t="str">
        <f>IF(AND($C1175=12,$D1175=Input!$C$6),0,IF($E1176="","",IF($B1176&gt;Input!$C$9,0,$AC1176)+AL1177/(1+$L1176)*$R1176))</f>
        <v/>
      </c>
      <c r="AM1176" s="160" t="str">
        <f t="shared" si="384"/>
        <v/>
      </c>
      <c r="AN1176" s="164" t="str">
        <f>IF($E1176="","",IF($B1176&gt;Input!$C$9,$AI1176*$AC1176,$AM1176*$AC1176))</f>
        <v/>
      </c>
      <c r="AO1176" s="164" t="str">
        <f>IF(AND($C1175=12,$D1175=Input!$C$6),0,IF($E1176="","",$AN1176+AO1177/(1+$L1176)*$R1176))</f>
        <v/>
      </c>
      <c r="AP1176" s="152"/>
      <c r="AQ1176" s="150" t="str">
        <f t="shared" si="385"/>
        <v/>
      </c>
      <c r="AR1176" s="150" t="str">
        <f t="shared" si="392"/>
        <v/>
      </c>
      <c r="AS1176" s="150" t="str">
        <f t="shared" si="393"/>
        <v/>
      </c>
      <c r="AT1176" s="150" t="str">
        <f t="shared" si="386"/>
        <v/>
      </c>
      <c r="AU1176" s="152"/>
      <c r="AV1176" s="147" t="str">
        <f>'Deterministic Reserve'!BC1176</f>
        <v/>
      </c>
      <c r="AY1176" s="152"/>
    </row>
    <row r="1177" spans="1:51" s="150" customFormat="1" x14ac:dyDescent="0.25">
      <c r="A1177" s="150" t="str">
        <f t="shared" si="394"/>
        <v/>
      </c>
      <c r="B1177" s="150" t="str">
        <f t="shared" si="395"/>
        <v/>
      </c>
      <c r="C1177" s="150" t="str">
        <f t="shared" si="396"/>
        <v/>
      </c>
      <c r="D1177" s="150" t="str">
        <f>IF(E1177="","",Input!$C$4+B1177-1)</f>
        <v/>
      </c>
      <c r="E1177" s="150" t="str">
        <f>IF(OR(AND(C1176=12,D1176=Input!$C$6),E1176=""),"",1)</f>
        <v/>
      </c>
      <c r="G1177" s="151" t="str">
        <f>IF(E1177="","",MAX(0,Input!$C$9-B1177))</f>
        <v/>
      </c>
      <c r="H1177" s="152" t="str">
        <f>IF(E1177="","",Input!$C$3)</f>
        <v/>
      </c>
      <c r="I1177" s="153" t="str">
        <f>IF(E1177="","",HLOOKUP($B1177,Input!$C$13:$BT$14,2))</f>
        <v/>
      </c>
      <c r="J1177" s="154"/>
      <c r="K1177" s="150" t="str">
        <f>IF($E1177="","",Input!$C$57)</f>
        <v/>
      </c>
      <c r="L1177" s="150" t="str">
        <f t="shared" si="387"/>
        <v/>
      </c>
      <c r="M1177" s="147" t="str">
        <f>IF($E1177="","",VLOOKUP(IF($B1177&lt;=Input!$C$7,$B1177,26),'Mortality Tables'!$A$72:$CA$97,IF($B1177&lt;=Input!$C$7+1,Input!$C$4-16,$D1177-Input!$C$7-16),0)/1000)</f>
        <v/>
      </c>
      <c r="N1177" s="147" t="str">
        <f t="shared" si="378"/>
        <v/>
      </c>
      <c r="O1177" s="157" t="str">
        <f>IF($E1177="","",IF($C1177=12,IF($B1177&lt;Input!$C$9,Input!$C$54,IF($B1177=Input!$C$9,Input!$C$55,Input!$C$56)),0%))</f>
        <v/>
      </c>
      <c r="P1177" s="167" t="str">
        <f>IF($E1177="","",IF($B1177=1,Input!$C$59,IF($B1177&lt;6,Input!$C$60,0%)))</f>
        <v/>
      </c>
      <c r="Q1177" s="162" t="str">
        <f>IF($E1177="","",Input!$C$58)</f>
        <v/>
      </c>
      <c r="R1177" s="156" t="str">
        <f t="shared" si="388"/>
        <v/>
      </c>
      <c r="S1177" s="154" t="str">
        <f t="shared" si="379"/>
        <v/>
      </c>
      <c r="T1177" s="152"/>
      <c r="U1177" s="150" t="str">
        <f t="shared" si="389"/>
        <v/>
      </c>
      <c r="V1177" s="150" t="str">
        <f t="shared" si="390"/>
        <v/>
      </c>
      <c r="W1177" s="168" t="str">
        <f t="shared" si="391"/>
        <v/>
      </c>
      <c r="X1177" s="163" t="str">
        <f t="shared" si="380"/>
        <v/>
      </c>
      <c r="Y1177" s="152"/>
      <c r="Z1177" s="164" t="str">
        <f>IF(AND($C1176=12,$D1176=Input!$C$6),0,IF($E1177="","",V1177+Z1178/(1+L1177)*R1177))</f>
        <v/>
      </c>
      <c r="AA1177" s="164" t="str">
        <f>IF(OR($M1177=1,AND($C1176=12,$D1176=Input!$C$6)),0,IF($E1177="","",W1177+(X1177+AA1178*$R1177)/(1+$L1177)))</f>
        <v/>
      </c>
      <c r="AB1177" s="160" t="str">
        <f t="shared" si="381"/>
        <v/>
      </c>
      <c r="AC1177" s="164" t="str">
        <f t="shared" si="382"/>
        <v/>
      </c>
      <c r="AD1177" s="164" t="str">
        <f>IF(AND($C1176=12,$D1176=Input!$C$6),0,IF($E1177="","",$AC1177+AD1178/(1+$L1177)*$R1177))</f>
        <v/>
      </c>
      <c r="AE1177" s="152"/>
      <c r="AF1177" s="164" t="str">
        <f>IF(AND($C1176=12,$D1176=Input!$C$6),0,IF($E1177="","",IF($B1177&gt;Input!$C$9,$AC1177,0)+AF1178/(1+$L1177)*$R1177))</f>
        <v/>
      </c>
      <c r="AG1177" s="164" t="str">
        <f>IF(AND($C1176=12,$D1176=Input!$C$6),0,IF($E1177="","",(IF($B1177&gt;Input!$C$9,$X1177,0)+AG1178)/(1+$L1177)*$R1177))</f>
        <v/>
      </c>
      <c r="AH1177" s="160" t="str">
        <f t="shared" si="383"/>
        <v/>
      </c>
      <c r="AI1177" s="160" t="str">
        <f>IF($E1177="","",MIN(Input!$C$61/AH1177,1))</f>
        <v/>
      </c>
      <c r="AJ1177" s="152"/>
      <c r="AK1177" s="164" t="str">
        <f>IF(AND($C1176=12,$D1176=Input!$C$6),0,IF($E1177="","",IF($B1177&gt;Input!$C$9,$AC1177*AI1177,0)+AK1178/(1+$L1177)*$R1177))</f>
        <v/>
      </c>
      <c r="AL1177" s="164" t="str">
        <f>IF(AND($C1176=12,$D1176=Input!$C$6),0,IF($E1177="","",IF($B1177&gt;Input!$C$9,0,$AC1177)+AL1178/(1+$L1177)*$R1177))</f>
        <v/>
      </c>
      <c r="AM1177" s="160" t="str">
        <f t="shared" si="384"/>
        <v/>
      </c>
      <c r="AN1177" s="164" t="str">
        <f>IF($E1177="","",IF($B1177&gt;Input!$C$9,$AI1177*$AC1177,$AM1177*$AC1177))</f>
        <v/>
      </c>
      <c r="AO1177" s="164" t="str">
        <f>IF(AND($C1176=12,$D1176=Input!$C$6),0,IF($E1177="","",$AN1177+AO1178/(1+$L1177)*$R1177))</f>
        <v/>
      </c>
      <c r="AP1177" s="152"/>
      <c r="AQ1177" s="150" t="str">
        <f t="shared" si="385"/>
        <v/>
      </c>
      <c r="AR1177" s="150" t="str">
        <f t="shared" si="392"/>
        <v/>
      </c>
      <c r="AS1177" s="150" t="str">
        <f t="shared" si="393"/>
        <v/>
      </c>
      <c r="AT1177" s="150" t="str">
        <f t="shared" si="386"/>
        <v/>
      </c>
      <c r="AU1177" s="152"/>
      <c r="AV1177" s="147" t="str">
        <f>'Deterministic Reserve'!BC1177</f>
        <v/>
      </c>
      <c r="AY1177" s="152"/>
    </row>
    <row r="1178" spans="1:51" s="150" customFormat="1" x14ac:dyDescent="0.25">
      <c r="A1178" s="150" t="str">
        <f t="shared" si="394"/>
        <v/>
      </c>
      <c r="B1178" s="150" t="str">
        <f t="shared" si="395"/>
        <v/>
      </c>
      <c r="C1178" s="150" t="str">
        <f t="shared" si="396"/>
        <v/>
      </c>
      <c r="D1178" s="150" t="str">
        <f>IF(E1178="","",Input!$C$4+B1178-1)</f>
        <v/>
      </c>
      <c r="E1178" s="150" t="str">
        <f>IF(OR(AND(C1177=12,D1177=Input!$C$6),E1177=""),"",1)</f>
        <v/>
      </c>
      <c r="G1178" s="151" t="str">
        <f>IF(E1178="","",MAX(0,Input!$C$9-B1178))</f>
        <v/>
      </c>
      <c r="H1178" s="152" t="str">
        <f>IF(E1178="","",Input!$C$3)</f>
        <v/>
      </c>
      <c r="I1178" s="153" t="str">
        <f>IF(E1178="","",HLOOKUP($B1178,Input!$C$13:$BT$14,2))</f>
        <v/>
      </c>
      <c r="J1178" s="154"/>
      <c r="K1178" s="150" t="str">
        <f>IF($E1178="","",Input!$C$57)</f>
        <v/>
      </c>
      <c r="L1178" s="150" t="str">
        <f t="shared" si="387"/>
        <v/>
      </c>
      <c r="M1178" s="147" t="str">
        <f>IF($E1178="","",VLOOKUP(IF($B1178&lt;=Input!$C$7,$B1178,26),'Mortality Tables'!$A$72:$CA$97,IF($B1178&lt;=Input!$C$7+1,Input!$C$4-16,$D1178-Input!$C$7-16),0)/1000)</f>
        <v/>
      </c>
      <c r="N1178" s="147" t="str">
        <f t="shared" si="378"/>
        <v/>
      </c>
      <c r="O1178" s="157" t="str">
        <f>IF($E1178="","",IF($C1178=12,IF($B1178&lt;Input!$C$9,Input!$C$54,IF($B1178=Input!$C$9,Input!$C$55,Input!$C$56)),0%))</f>
        <v/>
      </c>
      <c r="P1178" s="167" t="str">
        <f>IF($E1178="","",IF($B1178=1,Input!$C$59,IF($B1178&lt;6,Input!$C$60,0%)))</f>
        <v/>
      </c>
      <c r="Q1178" s="162" t="str">
        <f>IF($E1178="","",Input!$C$58)</f>
        <v/>
      </c>
      <c r="R1178" s="156" t="str">
        <f t="shared" si="388"/>
        <v/>
      </c>
      <c r="S1178" s="154" t="str">
        <f t="shared" si="379"/>
        <v/>
      </c>
      <c r="T1178" s="152"/>
      <c r="U1178" s="150" t="str">
        <f t="shared" si="389"/>
        <v/>
      </c>
      <c r="V1178" s="150" t="str">
        <f t="shared" si="390"/>
        <v/>
      </c>
      <c r="W1178" s="168" t="str">
        <f t="shared" si="391"/>
        <v/>
      </c>
      <c r="X1178" s="163" t="str">
        <f t="shared" si="380"/>
        <v/>
      </c>
      <c r="Y1178" s="152"/>
      <c r="Z1178" s="164" t="str">
        <f>IF(AND($C1177=12,$D1177=Input!$C$6),0,IF($E1178="","",V1178+Z1179/(1+L1178)*R1178))</f>
        <v/>
      </c>
      <c r="AA1178" s="164" t="str">
        <f>IF(OR($M1178=1,AND($C1177=12,$D1177=Input!$C$6)),0,IF($E1178="","",W1178+(X1178+AA1179*$R1178)/(1+$L1178)))</f>
        <v/>
      </c>
      <c r="AB1178" s="160" t="str">
        <f t="shared" si="381"/>
        <v/>
      </c>
      <c r="AC1178" s="164" t="str">
        <f t="shared" si="382"/>
        <v/>
      </c>
      <c r="AD1178" s="164" t="str">
        <f>IF(AND($C1177=12,$D1177=Input!$C$6),0,IF($E1178="","",$AC1178+AD1179/(1+$L1178)*$R1178))</f>
        <v/>
      </c>
      <c r="AE1178" s="152"/>
      <c r="AF1178" s="164" t="str">
        <f>IF(AND($C1177=12,$D1177=Input!$C$6),0,IF($E1178="","",IF($B1178&gt;Input!$C$9,$AC1178,0)+AF1179/(1+$L1178)*$R1178))</f>
        <v/>
      </c>
      <c r="AG1178" s="164" t="str">
        <f>IF(AND($C1177=12,$D1177=Input!$C$6),0,IF($E1178="","",(IF($B1178&gt;Input!$C$9,$X1178,0)+AG1179)/(1+$L1178)*$R1178))</f>
        <v/>
      </c>
      <c r="AH1178" s="160" t="str">
        <f t="shared" si="383"/>
        <v/>
      </c>
      <c r="AI1178" s="160" t="str">
        <f>IF($E1178="","",MIN(Input!$C$61/AH1178,1))</f>
        <v/>
      </c>
      <c r="AJ1178" s="152"/>
      <c r="AK1178" s="164" t="str">
        <f>IF(AND($C1177=12,$D1177=Input!$C$6),0,IF($E1178="","",IF($B1178&gt;Input!$C$9,$AC1178*AI1178,0)+AK1179/(1+$L1178)*$R1178))</f>
        <v/>
      </c>
      <c r="AL1178" s="164" t="str">
        <f>IF(AND($C1177=12,$D1177=Input!$C$6),0,IF($E1178="","",IF($B1178&gt;Input!$C$9,0,$AC1178)+AL1179/(1+$L1178)*$R1178))</f>
        <v/>
      </c>
      <c r="AM1178" s="160" t="str">
        <f t="shared" si="384"/>
        <v/>
      </c>
      <c r="AN1178" s="164" t="str">
        <f>IF($E1178="","",IF($B1178&gt;Input!$C$9,$AI1178*$AC1178,$AM1178*$AC1178))</f>
        <v/>
      </c>
      <c r="AO1178" s="164" t="str">
        <f>IF(AND($C1177=12,$D1177=Input!$C$6),0,IF($E1178="","",$AN1178+AO1179/(1+$L1178)*$R1178))</f>
        <v/>
      </c>
      <c r="AP1178" s="152"/>
      <c r="AQ1178" s="150" t="str">
        <f t="shared" si="385"/>
        <v/>
      </c>
      <c r="AR1178" s="150" t="str">
        <f t="shared" si="392"/>
        <v/>
      </c>
      <c r="AS1178" s="150" t="str">
        <f t="shared" si="393"/>
        <v/>
      </c>
      <c r="AT1178" s="150" t="str">
        <f t="shared" si="386"/>
        <v/>
      </c>
      <c r="AU1178" s="152"/>
      <c r="AV1178" s="147" t="str">
        <f>'Deterministic Reserve'!BC1178</f>
        <v/>
      </c>
      <c r="AY1178" s="152"/>
    </row>
    <row r="1179" spans="1:51" s="150" customFormat="1" x14ac:dyDescent="0.25">
      <c r="A1179" s="150" t="str">
        <f t="shared" si="394"/>
        <v/>
      </c>
      <c r="B1179" s="150" t="str">
        <f t="shared" si="395"/>
        <v/>
      </c>
      <c r="C1179" s="150" t="str">
        <f t="shared" si="396"/>
        <v/>
      </c>
      <c r="D1179" s="150" t="str">
        <f>IF(E1179="","",Input!$C$4+B1179-1)</f>
        <v/>
      </c>
      <c r="E1179" s="150" t="str">
        <f>IF(OR(AND(C1178=12,D1178=Input!$C$6),E1178=""),"",1)</f>
        <v/>
      </c>
      <c r="G1179" s="151" t="str">
        <f>IF(E1179="","",MAX(0,Input!$C$9-B1179))</f>
        <v/>
      </c>
      <c r="H1179" s="152" t="str">
        <f>IF(E1179="","",Input!$C$3)</f>
        <v/>
      </c>
      <c r="I1179" s="153" t="str">
        <f>IF(E1179="","",HLOOKUP($B1179,Input!$C$13:$BT$14,2))</f>
        <v/>
      </c>
      <c r="J1179" s="154"/>
      <c r="K1179" s="150" t="str">
        <f>IF($E1179="","",Input!$C$57)</f>
        <v/>
      </c>
      <c r="L1179" s="150" t="str">
        <f t="shared" si="387"/>
        <v/>
      </c>
      <c r="M1179" s="147" t="str">
        <f>IF($E1179="","",VLOOKUP(IF($B1179&lt;=Input!$C$7,$B1179,26),'Mortality Tables'!$A$72:$CA$97,IF($B1179&lt;=Input!$C$7+1,Input!$C$4-16,$D1179-Input!$C$7-16),0)/1000)</f>
        <v/>
      </c>
      <c r="N1179" s="147" t="str">
        <f t="shared" si="378"/>
        <v/>
      </c>
      <c r="O1179" s="157" t="str">
        <f>IF($E1179="","",IF($C1179=12,IF($B1179&lt;Input!$C$9,Input!$C$54,IF($B1179=Input!$C$9,Input!$C$55,Input!$C$56)),0%))</f>
        <v/>
      </c>
      <c r="P1179" s="167" t="str">
        <f>IF($E1179="","",IF($B1179=1,Input!$C$59,IF($B1179&lt;6,Input!$C$60,0%)))</f>
        <v/>
      </c>
      <c r="Q1179" s="162" t="str">
        <f>IF($E1179="","",Input!$C$58)</f>
        <v/>
      </c>
      <c r="R1179" s="156" t="str">
        <f t="shared" si="388"/>
        <v/>
      </c>
      <c r="S1179" s="154" t="str">
        <f t="shared" si="379"/>
        <v/>
      </c>
      <c r="T1179" s="152"/>
      <c r="U1179" s="150" t="str">
        <f t="shared" si="389"/>
        <v/>
      </c>
      <c r="V1179" s="150" t="str">
        <f t="shared" si="390"/>
        <v/>
      </c>
      <c r="W1179" s="168" t="str">
        <f t="shared" si="391"/>
        <v/>
      </c>
      <c r="X1179" s="163" t="str">
        <f t="shared" si="380"/>
        <v/>
      </c>
      <c r="Y1179" s="152"/>
      <c r="Z1179" s="164" t="str">
        <f>IF(AND($C1178=12,$D1178=Input!$C$6),0,IF($E1179="","",V1179+Z1180/(1+L1179)*R1179))</f>
        <v/>
      </c>
      <c r="AA1179" s="164" t="str">
        <f>IF(OR($M1179=1,AND($C1178=12,$D1178=Input!$C$6)),0,IF($E1179="","",W1179+(X1179+AA1180*$R1179)/(1+$L1179)))</f>
        <v/>
      </c>
      <c r="AB1179" s="160" t="str">
        <f t="shared" si="381"/>
        <v/>
      </c>
      <c r="AC1179" s="164" t="str">
        <f t="shared" si="382"/>
        <v/>
      </c>
      <c r="AD1179" s="164" t="str">
        <f>IF(AND($C1178=12,$D1178=Input!$C$6),0,IF($E1179="","",$AC1179+AD1180/(1+$L1179)*$R1179))</f>
        <v/>
      </c>
      <c r="AE1179" s="152"/>
      <c r="AF1179" s="164" t="str">
        <f>IF(AND($C1178=12,$D1178=Input!$C$6),0,IF($E1179="","",IF($B1179&gt;Input!$C$9,$AC1179,0)+AF1180/(1+$L1179)*$R1179))</f>
        <v/>
      </c>
      <c r="AG1179" s="164" t="str">
        <f>IF(AND($C1178=12,$D1178=Input!$C$6),0,IF($E1179="","",(IF($B1179&gt;Input!$C$9,$X1179,0)+AG1180)/(1+$L1179)*$R1179))</f>
        <v/>
      </c>
      <c r="AH1179" s="160" t="str">
        <f t="shared" si="383"/>
        <v/>
      </c>
      <c r="AI1179" s="160" t="str">
        <f>IF($E1179="","",MIN(Input!$C$61/AH1179,1))</f>
        <v/>
      </c>
      <c r="AJ1179" s="152"/>
      <c r="AK1179" s="164" t="str">
        <f>IF(AND($C1178=12,$D1178=Input!$C$6),0,IF($E1179="","",IF($B1179&gt;Input!$C$9,$AC1179*AI1179,0)+AK1180/(1+$L1179)*$R1179))</f>
        <v/>
      </c>
      <c r="AL1179" s="164" t="str">
        <f>IF(AND($C1178=12,$D1178=Input!$C$6),0,IF($E1179="","",IF($B1179&gt;Input!$C$9,0,$AC1179)+AL1180/(1+$L1179)*$R1179))</f>
        <v/>
      </c>
      <c r="AM1179" s="160" t="str">
        <f t="shared" si="384"/>
        <v/>
      </c>
      <c r="AN1179" s="164" t="str">
        <f>IF($E1179="","",IF($B1179&gt;Input!$C$9,$AI1179*$AC1179,$AM1179*$AC1179))</f>
        <v/>
      </c>
      <c r="AO1179" s="164" t="str">
        <f>IF(AND($C1178=12,$D1178=Input!$C$6),0,IF($E1179="","",$AN1179+AO1180/(1+$L1179)*$R1179))</f>
        <v/>
      </c>
      <c r="AP1179" s="152"/>
      <c r="AQ1179" s="150" t="str">
        <f t="shared" si="385"/>
        <v/>
      </c>
      <c r="AR1179" s="150" t="str">
        <f t="shared" si="392"/>
        <v/>
      </c>
      <c r="AS1179" s="150" t="str">
        <f t="shared" si="393"/>
        <v/>
      </c>
      <c r="AT1179" s="150" t="str">
        <f t="shared" si="386"/>
        <v/>
      </c>
      <c r="AU1179" s="152"/>
      <c r="AV1179" s="147" t="str">
        <f>'Deterministic Reserve'!BC1179</f>
        <v/>
      </c>
      <c r="AY1179" s="152"/>
    </row>
    <row r="1180" spans="1:51" s="150" customFormat="1" x14ac:dyDescent="0.25">
      <c r="A1180" s="150" t="str">
        <f t="shared" si="394"/>
        <v/>
      </c>
      <c r="B1180" s="150" t="str">
        <f t="shared" si="395"/>
        <v/>
      </c>
      <c r="C1180" s="150" t="str">
        <f t="shared" si="396"/>
        <v/>
      </c>
      <c r="D1180" s="150" t="str">
        <f>IF(E1180="","",Input!$C$4+B1180-1)</f>
        <v/>
      </c>
      <c r="E1180" s="150" t="str">
        <f>IF(OR(AND(C1179=12,D1179=Input!$C$6),E1179=""),"",1)</f>
        <v/>
      </c>
      <c r="G1180" s="151" t="str">
        <f>IF(E1180="","",MAX(0,Input!$C$9-B1180))</f>
        <v/>
      </c>
      <c r="H1180" s="152" t="str">
        <f>IF(E1180="","",Input!$C$3)</f>
        <v/>
      </c>
      <c r="I1180" s="153" t="str">
        <f>IF(E1180="","",HLOOKUP($B1180,Input!$C$13:$BT$14,2))</f>
        <v/>
      </c>
      <c r="J1180" s="154"/>
      <c r="K1180" s="150" t="str">
        <f>IF($E1180="","",Input!$C$57)</f>
        <v/>
      </c>
      <c r="L1180" s="150" t="str">
        <f t="shared" si="387"/>
        <v/>
      </c>
      <c r="M1180" s="147" t="str">
        <f>IF($E1180="","",VLOOKUP(IF($B1180&lt;=Input!$C$7,$B1180,26),'Mortality Tables'!$A$72:$CA$97,IF($B1180&lt;=Input!$C$7+1,Input!$C$4-16,$D1180-Input!$C$7-16),0)/1000)</f>
        <v/>
      </c>
      <c r="N1180" s="147" t="str">
        <f t="shared" si="378"/>
        <v/>
      </c>
      <c r="O1180" s="157" t="str">
        <f>IF($E1180="","",IF($C1180=12,IF($B1180&lt;Input!$C$9,Input!$C$54,IF($B1180=Input!$C$9,Input!$C$55,Input!$C$56)),0%))</f>
        <v/>
      </c>
      <c r="P1180" s="167" t="str">
        <f>IF($E1180="","",IF($B1180=1,Input!$C$59,IF($B1180&lt;6,Input!$C$60,0%)))</f>
        <v/>
      </c>
      <c r="Q1180" s="162" t="str">
        <f>IF($E1180="","",Input!$C$58)</f>
        <v/>
      </c>
      <c r="R1180" s="156" t="str">
        <f t="shared" si="388"/>
        <v/>
      </c>
      <c r="S1180" s="154" t="str">
        <f t="shared" si="379"/>
        <v/>
      </c>
      <c r="T1180" s="152"/>
      <c r="U1180" s="150" t="str">
        <f t="shared" si="389"/>
        <v/>
      </c>
      <c r="V1180" s="150" t="str">
        <f t="shared" si="390"/>
        <v/>
      </c>
      <c r="W1180" s="168" t="str">
        <f t="shared" si="391"/>
        <v/>
      </c>
      <c r="X1180" s="163" t="str">
        <f t="shared" si="380"/>
        <v/>
      </c>
      <c r="Y1180" s="152"/>
      <c r="Z1180" s="164" t="str">
        <f>IF(AND($C1179=12,$D1179=Input!$C$6),0,IF($E1180="","",V1180+Z1181/(1+L1180)*R1180))</f>
        <v/>
      </c>
      <c r="AA1180" s="164" t="str">
        <f>IF(OR($M1180=1,AND($C1179=12,$D1179=Input!$C$6)),0,IF($E1180="","",W1180+(X1180+AA1181*$R1180)/(1+$L1180)))</f>
        <v/>
      </c>
      <c r="AB1180" s="160" t="str">
        <f t="shared" si="381"/>
        <v/>
      </c>
      <c r="AC1180" s="164" t="str">
        <f t="shared" si="382"/>
        <v/>
      </c>
      <c r="AD1180" s="164" t="str">
        <f>IF(AND($C1179=12,$D1179=Input!$C$6),0,IF($E1180="","",$AC1180+AD1181/(1+$L1180)*$R1180))</f>
        <v/>
      </c>
      <c r="AE1180" s="152"/>
      <c r="AF1180" s="164" t="str">
        <f>IF(AND($C1179=12,$D1179=Input!$C$6),0,IF($E1180="","",IF($B1180&gt;Input!$C$9,$AC1180,0)+AF1181/(1+$L1180)*$R1180))</f>
        <v/>
      </c>
      <c r="AG1180" s="164" t="str">
        <f>IF(AND($C1179=12,$D1179=Input!$C$6),0,IF($E1180="","",(IF($B1180&gt;Input!$C$9,$X1180,0)+AG1181)/(1+$L1180)*$R1180))</f>
        <v/>
      </c>
      <c r="AH1180" s="160" t="str">
        <f t="shared" si="383"/>
        <v/>
      </c>
      <c r="AI1180" s="160" t="str">
        <f>IF($E1180="","",MIN(Input!$C$61/AH1180,1))</f>
        <v/>
      </c>
      <c r="AJ1180" s="152"/>
      <c r="AK1180" s="164" t="str">
        <f>IF(AND($C1179=12,$D1179=Input!$C$6),0,IF($E1180="","",IF($B1180&gt;Input!$C$9,$AC1180*AI1180,0)+AK1181/(1+$L1180)*$R1180))</f>
        <v/>
      </c>
      <c r="AL1180" s="164" t="str">
        <f>IF(AND($C1179=12,$D1179=Input!$C$6),0,IF($E1180="","",IF($B1180&gt;Input!$C$9,0,$AC1180)+AL1181/(1+$L1180)*$R1180))</f>
        <v/>
      </c>
      <c r="AM1180" s="160" t="str">
        <f t="shared" si="384"/>
        <v/>
      </c>
      <c r="AN1180" s="164" t="str">
        <f>IF($E1180="","",IF($B1180&gt;Input!$C$9,$AI1180*$AC1180,$AM1180*$AC1180))</f>
        <v/>
      </c>
      <c r="AO1180" s="164" t="str">
        <f>IF(AND($C1179=12,$D1179=Input!$C$6),0,IF($E1180="","",$AN1180+AO1181/(1+$L1180)*$R1180))</f>
        <v/>
      </c>
      <c r="AP1180" s="152"/>
      <c r="AQ1180" s="150" t="str">
        <f t="shared" si="385"/>
        <v/>
      </c>
      <c r="AR1180" s="150" t="str">
        <f t="shared" si="392"/>
        <v/>
      </c>
      <c r="AS1180" s="150" t="str">
        <f t="shared" si="393"/>
        <v/>
      </c>
      <c r="AT1180" s="150" t="str">
        <f t="shared" si="386"/>
        <v/>
      </c>
      <c r="AU1180" s="152"/>
      <c r="AV1180" s="147" t="str">
        <f>'Deterministic Reserve'!BC1180</f>
        <v/>
      </c>
      <c r="AY1180" s="152"/>
    </row>
    <row r="1181" spans="1:51" s="150" customFormat="1" x14ac:dyDescent="0.25">
      <c r="A1181" s="150" t="str">
        <f t="shared" si="394"/>
        <v/>
      </c>
      <c r="B1181" s="150" t="str">
        <f t="shared" si="395"/>
        <v/>
      </c>
      <c r="C1181" s="150" t="str">
        <f t="shared" si="396"/>
        <v/>
      </c>
      <c r="D1181" s="150" t="str">
        <f>IF(E1181="","",Input!$C$4+B1181-1)</f>
        <v/>
      </c>
      <c r="E1181" s="150" t="str">
        <f>IF(OR(AND(C1180=12,D1180=Input!$C$6),E1180=""),"",1)</f>
        <v/>
      </c>
      <c r="G1181" s="151" t="str">
        <f>IF(E1181="","",MAX(0,Input!$C$9-B1181))</f>
        <v/>
      </c>
      <c r="H1181" s="152" t="str">
        <f>IF(E1181="","",Input!$C$3)</f>
        <v/>
      </c>
      <c r="I1181" s="153" t="str">
        <f>IF(E1181="","",HLOOKUP($B1181,Input!$C$13:$BT$14,2))</f>
        <v/>
      </c>
      <c r="J1181" s="154"/>
      <c r="K1181" s="150" t="str">
        <f>IF($E1181="","",Input!$C$57)</f>
        <v/>
      </c>
      <c r="L1181" s="150" t="str">
        <f t="shared" si="387"/>
        <v/>
      </c>
      <c r="M1181" s="147" t="str">
        <f>IF($E1181="","",VLOOKUP(IF($B1181&lt;=Input!$C$7,$B1181,26),'Mortality Tables'!$A$72:$CA$97,IF($B1181&lt;=Input!$C$7+1,Input!$C$4-16,$D1181-Input!$C$7-16),0)/1000)</f>
        <v/>
      </c>
      <c r="N1181" s="147" t="str">
        <f t="shared" si="378"/>
        <v/>
      </c>
      <c r="O1181" s="157" t="str">
        <f>IF($E1181="","",IF($C1181=12,IF($B1181&lt;Input!$C$9,Input!$C$54,IF($B1181=Input!$C$9,Input!$C$55,Input!$C$56)),0%))</f>
        <v/>
      </c>
      <c r="P1181" s="167" t="str">
        <f>IF($E1181="","",IF($B1181=1,Input!$C$59,IF($B1181&lt;6,Input!$C$60,0%)))</f>
        <v/>
      </c>
      <c r="Q1181" s="162" t="str">
        <f>IF($E1181="","",Input!$C$58)</f>
        <v/>
      </c>
      <c r="R1181" s="156" t="str">
        <f t="shared" si="388"/>
        <v/>
      </c>
      <c r="S1181" s="154" t="str">
        <f t="shared" si="379"/>
        <v/>
      </c>
      <c r="T1181" s="152"/>
      <c r="U1181" s="150" t="str">
        <f t="shared" si="389"/>
        <v/>
      </c>
      <c r="V1181" s="150" t="str">
        <f t="shared" si="390"/>
        <v/>
      </c>
      <c r="W1181" s="168" t="str">
        <f t="shared" si="391"/>
        <v/>
      </c>
      <c r="X1181" s="163" t="str">
        <f t="shared" si="380"/>
        <v/>
      </c>
      <c r="Y1181" s="152"/>
      <c r="Z1181" s="164" t="str">
        <f>IF(AND($C1180=12,$D1180=Input!$C$6),0,IF($E1181="","",V1181+Z1182/(1+L1181)*R1181))</f>
        <v/>
      </c>
      <c r="AA1181" s="164" t="str">
        <f>IF(OR($M1181=1,AND($C1180=12,$D1180=Input!$C$6)),0,IF($E1181="","",W1181+(X1181+AA1182*$R1181)/(1+$L1181)))</f>
        <v/>
      </c>
      <c r="AB1181" s="160" t="str">
        <f t="shared" si="381"/>
        <v/>
      </c>
      <c r="AC1181" s="164" t="str">
        <f t="shared" si="382"/>
        <v/>
      </c>
      <c r="AD1181" s="164" t="str">
        <f>IF(AND($C1180=12,$D1180=Input!$C$6),0,IF($E1181="","",$AC1181+AD1182/(1+$L1181)*$R1181))</f>
        <v/>
      </c>
      <c r="AE1181" s="152"/>
      <c r="AF1181" s="164" t="str">
        <f>IF(AND($C1180=12,$D1180=Input!$C$6),0,IF($E1181="","",IF($B1181&gt;Input!$C$9,$AC1181,0)+AF1182/(1+$L1181)*$R1181))</f>
        <v/>
      </c>
      <c r="AG1181" s="164" t="str">
        <f>IF(AND($C1180=12,$D1180=Input!$C$6),0,IF($E1181="","",(IF($B1181&gt;Input!$C$9,$X1181,0)+AG1182)/(1+$L1181)*$R1181))</f>
        <v/>
      </c>
      <c r="AH1181" s="160" t="str">
        <f t="shared" si="383"/>
        <v/>
      </c>
      <c r="AI1181" s="160" t="str">
        <f>IF($E1181="","",MIN(Input!$C$61/AH1181,1))</f>
        <v/>
      </c>
      <c r="AJ1181" s="152"/>
      <c r="AK1181" s="164" t="str">
        <f>IF(AND($C1180=12,$D1180=Input!$C$6),0,IF($E1181="","",IF($B1181&gt;Input!$C$9,$AC1181*AI1181,0)+AK1182/(1+$L1181)*$R1181))</f>
        <v/>
      </c>
      <c r="AL1181" s="164" t="str">
        <f>IF(AND($C1180=12,$D1180=Input!$C$6),0,IF($E1181="","",IF($B1181&gt;Input!$C$9,0,$AC1181)+AL1182/(1+$L1181)*$R1181))</f>
        <v/>
      </c>
      <c r="AM1181" s="160" t="str">
        <f t="shared" si="384"/>
        <v/>
      </c>
      <c r="AN1181" s="164" t="str">
        <f>IF($E1181="","",IF($B1181&gt;Input!$C$9,$AI1181*$AC1181,$AM1181*$AC1181))</f>
        <v/>
      </c>
      <c r="AO1181" s="164" t="str">
        <f>IF(AND($C1180=12,$D1180=Input!$C$6),0,IF($E1181="","",$AN1181+AO1182/(1+$L1181)*$R1181))</f>
        <v/>
      </c>
      <c r="AP1181" s="152"/>
      <c r="AQ1181" s="150" t="str">
        <f t="shared" si="385"/>
        <v/>
      </c>
      <c r="AR1181" s="150" t="str">
        <f t="shared" si="392"/>
        <v/>
      </c>
      <c r="AS1181" s="150" t="str">
        <f t="shared" si="393"/>
        <v/>
      </c>
      <c r="AT1181" s="150" t="str">
        <f t="shared" si="386"/>
        <v/>
      </c>
      <c r="AU1181" s="152"/>
      <c r="AV1181" s="147" t="str">
        <f>'Deterministic Reserve'!BC1181</f>
        <v/>
      </c>
      <c r="AY1181" s="152"/>
    </row>
    <row r="1182" spans="1:51" s="150" customFormat="1" x14ac:dyDescent="0.25">
      <c r="A1182" s="150" t="str">
        <f t="shared" si="394"/>
        <v/>
      </c>
      <c r="B1182" s="150" t="str">
        <f t="shared" si="395"/>
        <v/>
      </c>
      <c r="C1182" s="150" t="str">
        <f t="shared" si="396"/>
        <v/>
      </c>
      <c r="D1182" s="150" t="str">
        <f>IF(E1182="","",Input!$C$4+B1182-1)</f>
        <v/>
      </c>
      <c r="E1182" s="150" t="str">
        <f>IF(OR(AND(C1181=12,D1181=Input!$C$6),E1181=""),"",1)</f>
        <v/>
      </c>
      <c r="G1182" s="151" t="str">
        <f>IF(E1182="","",MAX(0,Input!$C$9-B1182))</f>
        <v/>
      </c>
      <c r="H1182" s="152" t="str">
        <f>IF(E1182="","",Input!$C$3)</f>
        <v/>
      </c>
      <c r="I1182" s="153" t="str">
        <f>IF(E1182="","",HLOOKUP($B1182,Input!$C$13:$BT$14,2))</f>
        <v/>
      </c>
      <c r="J1182" s="154"/>
      <c r="K1182" s="150" t="str">
        <f>IF($E1182="","",Input!$C$57)</f>
        <v/>
      </c>
      <c r="L1182" s="150" t="str">
        <f t="shared" si="387"/>
        <v/>
      </c>
      <c r="M1182" s="147" t="str">
        <f>IF($E1182="","",VLOOKUP(IF($B1182&lt;=Input!$C$7,$B1182,26),'Mortality Tables'!$A$72:$CA$97,IF($B1182&lt;=Input!$C$7+1,Input!$C$4-16,$D1182-Input!$C$7-16),0)/1000)</f>
        <v/>
      </c>
      <c r="N1182" s="147" t="str">
        <f t="shared" si="378"/>
        <v/>
      </c>
      <c r="O1182" s="157" t="str">
        <f>IF($E1182="","",IF($C1182=12,IF($B1182&lt;Input!$C$9,Input!$C$54,IF($B1182=Input!$C$9,Input!$C$55,Input!$C$56)),0%))</f>
        <v/>
      </c>
      <c r="P1182" s="167" t="str">
        <f>IF($E1182="","",IF($B1182=1,Input!$C$59,IF($B1182&lt;6,Input!$C$60,0%)))</f>
        <v/>
      </c>
      <c r="Q1182" s="162" t="str">
        <f>IF($E1182="","",Input!$C$58)</f>
        <v/>
      </c>
      <c r="R1182" s="156" t="str">
        <f t="shared" si="388"/>
        <v/>
      </c>
      <c r="S1182" s="154" t="str">
        <f t="shared" si="379"/>
        <v/>
      </c>
      <c r="T1182" s="152"/>
      <c r="U1182" s="150" t="str">
        <f t="shared" si="389"/>
        <v/>
      </c>
      <c r="V1182" s="150" t="str">
        <f t="shared" si="390"/>
        <v/>
      </c>
      <c r="W1182" s="168" t="str">
        <f t="shared" si="391"/>
        <v/>
      </c>
      <c r="X1182" s="163" t="str">
        <f t="shared" si="380"/>
        <v/>
      </c>
      <c r="Y1182" s="152"/>
      <c r="Z1182" s="164" t="str">
        <f>IF(AND($C1181=12,$D1181=Input!$C$6),0,IF($E1182="","",V1182+Z1183/(1+L1182)*R1182))</f>
        <v/>
      </c>
      <c r="AA1182" s="164" t="str">
        <f>IF(OR($M1182=1,AND($C1181=12,$D1181=Input!$C$6)),0,IF($E1182="","",W1182+(X1182+AA1183*$R1182)/(1+$L1182)))</f>
        <v/>
      </c>
      <c r="AB1182" s="160" t="str">
        <f t="shared" si="381"/>
        <v/>
      </c>
      <c r="AC1182" s="164" t="str">
        <f t="shared" si="382"/>
        <v/>
      </c>
      <c r="AD1182" s="164" t="str">
        <f>IF(AND($C1181=12,$D1181=Input!$C$6),0,IF($E1182="","",$AC1182+AD1183/(1+$L1182)*$R1182))</f>
        <v/>
      </c>
      <c r="AE1182" s="152"/>
      <c r="AF1182" s="164" t="str">
        <f>IF(AND($C1181=12,$D1181=Input!$C$6),0,IF($E1182="","",IF($B1182&gt;Input!$C$9,$AC1182,0)+AF1183/(1+$L1182)*$R1182))</f>
        <v/>
      </c>
      <c r="AG1182" s="164" t="str">
        <f>IF(AND($C1181=12,$D1181=Input!$C$6),0,IF($E1182="","",(IF($B1182&gt;Input!$C$9,$X1182,0)+AG1183)/(1+$L1182)*$R1182))</f>
        <v/>
      </c>
      <c r="AH1182" s="160" t="str">
        <f t="shared" si="383"/>
        <v/>
      </c>
      <c r="AI1182" s="160" t="str">
        <f>IF($E1182="","",MIN(Input!$C$61/AH1182,1))</f>
        <v/>
      </c>
      <c r="AJ1182" s="152"/>
      <c r="AK1182" s="164" t="str">
        <f>IF(AND($C1181=12,$D1181=Input!$C$6),0,IF($E1182="","",IF($B1182&gt;Input!$C$9,$AC1182*AI1182,0)+AK1183/(1+$L1182)*$R1182))</f>
        <v/>
      </c>
      <c r="AL1182" s="164" t="str">
        <f>IF(AND($C1181=12,$D1181=Input!$C$6),0,IF($E1182="","",IF($B1182&gt;Input!$C$9,0,$AC1182)+AL1183/(1+$L1182)*$R1182))</f>
        <v/>
      </c>
      <c r="AM1182" s="160" t="str">
        <f t="shared" si="384"/>
        <v/>
      </c>
      <c r="AN1182" s="164" t="str">
        <f>IF($E1182="","",IF($B1182&gt;Input!$C$9,$AI1182*$AC1182,$AM1182*$AC1182))</f>
        <v/>
      </c>
      <c r="AO1182" s="164" t="str">
        <f>IF(AND($C1181=12,$D1181=Input!$C$6),0,IF($E1182="","",$AN1182+AO1183/(1+$L1182)*$R1182))</f>
        <v/>
      </c>
      <c r="AP1182" s="152"/>
      <c r="AQ1182" s="150" t="str">
        <f t="shared" si="385"/>
        <v/>
      </c>
      <c r="AR1182" s="150" t="str">
        <f t="shared" si="392"/>
        <v/>
      </c>
      <c r="AS1182" s="150" t="str">
        <f t="shared" si="393"/>
        <v/>
      </c>
      <c r="AT1182" s="150" t="str">
        <f t="shared" si="386"/>
        <v/>
      </c>
      <c r="AU1182" s="152"/>
      <c r="AV1182" s="147" t="str">
        <f>'Deterministic Reserve'!BC1182</f>
        <v/>
      </c>
      <c r="AY1182" s="152"/>
    </row>
    <row r="1183" spans="1:51" s="150" customFormat="1" x14ac:dyDescent="0.25">
      <c r="A1183" s="150" t="str">
        <f t="shared" si="394"/>
        <v/>
      </c>
      <c r="B1183" s="150" t="str">
        <f t="shared" si="395"/>
        <v/>
      </c>
      <c r="C1183" s="150" t="str">
        <f t="shared" si="396"/>
        <v/>
      </c>
      <c r="D1183" s="150" t="str">
        <f>IF(E1183="","",Input!$C$4+B1183-1)</f>
        <v/>
      </c>
      <c r="E1183" s="150" t="str">
        <f>IF(OR(AND(C1182=12,D1182=Input!$C$6),E1182=""),"",1)</f>
        <v/>
      </c>
      <c r="G1183" s="151" t="str">
        <f>IF(E1183="","",MAX(0,Input!$C$9-B1183))</f>
        <v/>
      </c>
      <c r="H1183" s="152" t="str">
        <f>IF(E1183="","",Input!$C$3)</f>
        <v/>
      </c>
      <c r="I1183" s="153" t="str">
        <f>IF(E1183="","",HLOOKUP($B1183,Input!$C$13:$BT$14,2))</f>
        <v/>
      </c>
      <c r="J1183" s="154"/>
      <c r="K1183" s="150" t="str">
        <f>IF($E1183="","",Input!$C$57)</f>
        <v/>
      </c>
      <c r="L1183" s="150" t="str">
        <f t="shared" si="387"/>
        <v/>
      </c>
      <c r="M1183" s="147" t="str">
        <f>IF($E1183="","",VLOOKUP(IF($B1183&lt;=Input!$C$7,$B1183,26),'Mortality Tables'!$A$72:$CA$97,IF($B1183&lt;=Input!$C$7+1,Input!$C$4-16,$D1183-Input!$C$7-16),0)/1000)</f>
        <v/>
      </c>
      <c r="N1183" s="147" t="str">
        <f t="shared" si="378"/>
        <v/>
      </c>
      <c r="O1183" s="157" t="str">
        <f>IF($E1183="","",IF($C1183=12,IF($B1183&lt;Input!$C$9,Input!$C$54,IF($B1183=Input!$C$9,Input!$C$55,Input!$C$56)),0%))</f>
        <v/>
      </c>
      <c r="P1183" s="167" t="str">
        <f>IF($E1183="","",IF($B1183=1,Input!$C$59,IF($B1183&lt;6,Input!$C$60,0%)))</f>
        <v/>
      </c>
      <c r="Q1183" s="162" t="str">
        <f>IF($E1183="","",Input!$C$58)</f>
        <v/>
      </c>
      <c r="R1183" s="156" t="str">
        <f t="shared" si="388"/>
        <v/>
      </c>
      <c r="S1183" s="154" t="str">
        <f t="shared" si="379"/>
        <v/>
      </c>
      <c r="T1183" s="152"/>
      <c r="U1183" s="150" t="str">
        <f t="shared" si="389"/>
        <v/>
      </c>
      <c r="V1183" s="150" t="str">
        <f t="shared" si="390"/>
        <v/>
      </c>
      <c r="W1183" s="168" t="str">
        <f t="shared" si="391"/>
        <v/>
      </c>
      <c r="X1183" s="163" t="str">
        <f t="shared" si="380"/>
        <v/>
      </c>
      <c r="Y1183" s="152"/>
      <c r="Z1183" s="164" t="str">
        <f>IF(AND($C1182=12,$D1182=Input!$C$6),0,IF($E1183="","",V1183+Z1184/(1+L1183)*R1183))</f>
        <v/>
      </c>
      <c r="AA1183" s="164" t="str">
        <f>IF(OR($M1183=1,AND($C1182=12,$D1182=Input!$C$6)),0,IF($E1183="","",W1183+(X1183+AA1184*$R1183)/(1+$L1183)))</f>
        <v/>
      </c>
      <c r="AB1183" s="160" t="str">
        <f t="shared" si="381"/>
        <v/>
      </c>
      <c r="AC1183" s="164" t="str">
        <f t="shared" si="382"/>
        <v/>
      </c>
      <c r="AD1183" s="164" t="str">
        <f>IF(AND($C1182=12,$D1182=Input!$C$6),0,IF($E1183="","",$AC1183+AD1184/(1+$L1183)*$R1183))</f>
        <v/>
      </c>
      <c r="AE1183" s="152"/>
      <c r="AF1183" s="164" t="str">
        <f>IF(AND($C1182=12,$D1182=Input!$C$6),0,IF($E1183="","",IF($B1183&gt;Input!$C$9,$AC1183,0)+AF1184/(1+$L1183)*$R1183))</f>
        <v/>
      </c>
      <c r="AG1183" s="164" t="str">
        <f>IF(AND($C1182=12,$D1182=Input!$C$6),0,IF($E1183="","",(IF($B1183&gt;Input!$C$9,$X1183,0)+AG1184)/(1+$L1183)*$R1183))</f>
        <v/>
      </c>
      <c r="AH1183" s="160" t="str">
        <f t="shared" si="383"/>
        <v/>
      </c>
      <c r="AI1183" s="160" t="str">
        <f>IF($E1183="","",MIN(Input!$C$61/AH1183,1))</f>
        <v/>
      </c>
      <c r="AJ1183" s="152"/>
      <c r="AK1183" s="164" t="str">
        <f>IF(AND($C1182=12,$D1182=Input!$C$6),0,IF($E1183="","",IF($B1183&gt;Input!$C$9,$AC1183*AI1183,0)+AK1184/(1+$L1183)*$R1183))</f>
        <v/>
      </c>
      <c r="AL1183" s="164" t="str">
        <f>IF(AND($C1182=12,$D1182=Input!$C$6),0,IF($E1183="","",IF($B1183&gt;Input!$C$9,0,$AC1183)+AL1184/(1+$L1183)*$R1183))</f>
        <v/>
      </c>
      <c r="AM1183" s="160" t="str">
        <f t="shared" si="384"/>
        <v/>
      </c>
      <c r="AN1183" s="164" t="str">
        <f>IF($E1183="","",IF($B1183&gt;Input!$C$9,$AI1183*$AC1183,$AM1183*$AC1183))</f>
        <v/>
      </c>
      <c r="AO1183" s="164" t="str">
        <f>IF(AND($C1182=12,$D1182=Input!$C$6),0,IF($E1183="","",$AN1183+AO1184/(1+$L1183)*$R1183))</f>
        <v/>
      </c>
      <c r="AP1183" s="152"/>
      <c r="AQ1183" s="150" t="str">
        <f t="shared" si="385"/>
        <v/>
      </c>
      <c r="AR1183" s="150" t="str">
        <f t="shared" si="392"/>
        <v/>
      </c>
      <c r="AS1183" s="150" t="str">
        <f t="shared" si="393"/>
        <v/>
      </c>
      <c r="AT1183" s="150" t="str">
        <f t="shared" si="386"/>
        <v/>
      </c>
      <c r="AU1183" s="152"/>
      <c r="AV1183" s="147" t="str">
        <f>'Deterministic Reserve'!BC1183</f>
        <v/>
      </c>
      <c r="AY1183" s="152"/>
    </row>
    <row r="1184" spans="1:51" s="150" customFormat="1" x14ac:dyDescent="0.25">
      <c r="A1184" s="150" t="str">
        <f t="shared" si="394"/>
        <v/>
      </c>
      <c r="B1184" s="150" t="str">
        <f t="shared" si="395"/>
        <v/>
      </c>
      <c r="C1184" s="150" t="str">
        <f t="shared" si="396"/>
        <v/>
      </c>
      <c r="D1184" s="150" t="str">
        <f>IF(E1184="","",Input!$C$4+B1184-1)</f>
        <v/>
      </c>
      <c r="E1184" s="150" t="str">
        <f>IF(OR(AND(C1183=12,D1183=Input!$C$6),E1183=""),"",1)</f>
        <v/>
      </c>
      <c r="G1184" s="151" t="str">
        <f>IF(E1184="","",MAX(0,Input!$C$9-B1184))</f>
        <v/>
      </c>
      <c r="H1184" s="152" t="str">
        <f>IF(E1184="","",Input!$C$3)</f>
        <v/>
      </c>
      <c r="I1184" s="153" t="str">
        <f>IF(E1184="","",HLOOKUP($B1184,Input!$C$13:$BT$14,2))</f>
        <v/>
      </c>
      <c r="J1184" s="154"/>
      <c r="K1184" s="150" t="str">
        <f>IF($E1184="","",Input!$C$57)</f>
        <v/>
      </c>
      <c r="L1184" s="150" t="str">
        <f t="shared" si="387"/>
        <v/>
      </c>
      <c r="M1184" s="147" t="str">
        <f>IF($E1184="","",VLOOKUP(IF($B1184&lt;=Input!$C$7,$B1184,26),'Mortality Tables'!$A$72:$CA$97,IF($B1184&lt;=Input!$C$7+1,Input!$C$4-16,$D1184-Input!$C$7-16),0)/1000)</f>
        <v/>
      </c>
      <c r="N1184" s="147" t="str">
        <f t="shared" si="378"/>
        <v/>
      </c>
      <c r="O1184" s="157" t="str">
        <f>IF($E1184="","",IF($C1184=12,IF($B1184&lt;Input!$C$9,Input!$C$54,IF($B1184=Input!$C$9,Input!$C$55,Input!$C$56)),0%))</f>
        <v/>
      </c>
      <c r="P1184" s="167" t="str">
        <f>IF($E1184="","",IF($B1184=1,Input!$C$59,IF($B1184&lt;6,Input!$C$60,0%)))</f>
        <v/>
      </c>
      <c r="Q1184" s="162" t="str">
        <f>IF($E1184="","",Input!$C$58)</f>
        <v/>
      </c>
      <c r="R1184" s="156" t="str">
        <f t="shared" si="388"/>
        <v/>
      </c>
      <c r="S1184" s="154" t="str">
        <f t="shared" si="379"/>
        <v/>
      </c>
      <c r="T1184" s="152"/>
      <c r="U1184" s="150" t="str">
        <f t="shared" si="389"/>
        <v/>
      </c>
      <c r="V1184" s="150" t="str">
        <f t="shared" si="390"/>
        <v/>
      </c>
      <c r="W1184" s="168" t="str">
        <f t="shared" si="391"/>
        <v/>
      </c>
      <c r="X1184" s="163" t="str">
        <f t="shared" si="380"/>
        <v/>
      </c>
      <c r="Y1184" s="152"/>
      <c r="Z1184" s="164" t="str">
        <f>IF(AND($C1183=12,$D1183=Input!$C$6),0,IF($E1184="","",V1184+Z1185/(1+L1184)*R1184))</f>
        <v/>
      </c>
      <c r="AA1184" s="164" t="str">
        <f>IF(OR($M1184=1,AND($C1183=12,$D1183=Input!$C$6)),0,IF($E1184="","",W1184+(X1184+AA1185*$R1184)/(1+$L1184)))</f>
        <v/>
      </c>
      <c r="AB1184" s="160" t="str">
        <f t="shared" si="381"/>
        <v/>
      </c>
      <c r="AC1184" s="164" t="str">
        <f t="shared" si="382"/>
        <v/>
      </c>
      <c r="AD1184" s="164" t="str">
        <f>IF(AND($C1183=12,$D1183=Input!$C$6),0,IF($E1184="","",$AC1184+AD1185/(1+$L1184)*$R1184))</f>
        <v/>
      </c>
      <c r="AE1184" s="152"/>
      <c r="AF1184" s="164" t="str">
        <f>IF(AND($C1183=12,$D1183=Input!$C$6),0,IF($E1184="","",IF($B1184&gt;Input!$C$9,$AC1184,0)+AF1185/(1+$L1184)*$R1184))</f>
        <v/>
      </c>
      <c r="AG1184" s="164" t="str">
        <f>IF(AND($C1183=12,$D1183=Input!$C$6),0,IF($E1184="","",(IF($B1184&gt;Input!$C$9,$X1184,0)+AG1185)/(1+$L1184)*$R1184))</f>
        <v/>
      </c>
      <c r="AH1184" s="160" t="str">
        <f t="shared" si="383"/>
        <v/>
      </c>
      <c r="AI1184" s="160" t="str">
        <f>IF($E1184="","",MIN(Input!$C$61/AH1184,1))</f>
        <v/>
      </c>
      <c r="AJ1184" s="152"/>
      <c r="AK1184" s="164" t="str">
        <f>IF(AND($C1183=12,$D1183=Input!$C$6),0,IF($E1184="","",IF($B1184&gt;Input!$C$9,$AC1184*AI1184,0)+AK1185/(1+$L1184)*$R1184))</f>
        <v/>
      </c>
      <c r="AL1184" s="164" t="str">
        <f>IF(AND($C1183=12,$D1183=Input!$C$6),0,IF($E1184="","",IF($B1184&gt;Input!$C$9,0,$AC1184)+AL1185/(1+$L1184)*$R1184))</f>
        <v/>
      </c>
      <c r="AM1184" s="160" t="str">
        <f t="shared" si="384"/>
        <v/>
      </c>
      <c r="AN1184" s="164" t="str">
        <f>IF($E1184="","",IF($B1184&gt;Input!$C$9,$AI1184*$AC1184,$AM1184*$AC1184))</f>
        <v/>
      </c>
      <c r="AO1184" s="164" t="str">
        <f>IF(AND($C1183=12,$D1183=Input!$C$6),0,IF($E1184="","",$AN1184+AO1185/(1+$L1184)*$R1184))</f>
        <v/>
      </c>
      <c r="AP1184" s="152"/>
      <c r="AQ1184" s="150" t="str">
        <f t="shared" si="385"/>
        <v/>
      </c>
      <c r="AR1184" s="150" t="str">
        <f t="shared" si="392"/>
        <v/>
      </c>
      <c r="AS1184" s="150" t="str">
        <f t="shared" si="393"/>
        <v/>
      </c>
      <c r="AT1184" s="150" t="str">
        <f t="shared" si="386"/>
        <v/>
      </c>
      <c r="AU1184" s="152"/>
      <c r="AV1184" s="147" t="str">
        <f>'Deterministic Reserve'!BC1184</f>
        <v/>
      </c>
      <c r="AY1184" s="152"/>
    </row>
    <row r="1185" spans="1:51" s="150" customFormat="1" x14ac:dyDescent="0.25">
      <c r="A1185" s="150" t="str">
        <f t="shared" si="394"/>
        <v/>
      </c>
      <c r="B1185" s="150" t="str">
        <f t="shared" si="395"/>
        <v/>
      </c>
      <c r="C1185" s="150" t="str">
        <f t="shared" si="396"/>
        <v/>
      </c>
      <c r="D1185" s="150" t="str">
        <f>IF(E1185="","",Input!$C$4+B1185-1)</f>
        <v/>
      </c>
      <c r="E1185" s="150" t="str">
        <f>IF(OR(AND(C1184=12,D1184=Input!$C$6),E1184=""),"",1)</f>
        <v/>
      </c>
      <c r="G1185" s="151" t="str">
        <f>IF(E1185="","",MAX(0,Input!$C$9-B1185))</f>
        <v/>
      </c>
      <c r="H1185" s="152" t="str">
        <f>IF(E1185="","",Input!$C$3)</f>
        <v/>
      </c>
      <c r="I1185" s="153" t="str">
        <f>IF(E1185="","",HLOOKUP($B1185,Input!$C$13:$BT$14,2))</f>
        <v/>
      </c>
      <c r="J1185" s="154"/>
      <c r="K1185" s="150" t="str">
        <f>IF($E1185="","",Input!$C$57)</f>
        <v/>
      </c>
      <c r="L1185" s="150" t="str">
        <f t="shared" si="387"/>
        <v/>
      </c>
      <c r="M1185" s="147" t="str">
        <f>IF($E1185="","",VLOOKUP(IF($B1185&lt;=Input!$C$7,$B1185,26),'Mortality Tables'!$A$72:$CA$97,IF($B1185&lt;=Input!$C$7+1,Input!$C$4-16,$D1185-Input!$C$7-16),0)/1000)</f>
        <v/>
      </c>
      <c r="N1185" s="147" t="str">
        <f t="shared" si="378"/>
        <v/>
      </c>
      <c r="O1185" s="157" t="str">
        <f>IF($E1185="","",IF($C1185=12,IF($B1185&lt;Input!$C$9,Input!$C$54,IF($B1185=Input!$C$9,Input!$C$55,Input!$C$56)),0%))</f>
        <v/>
      </c>
      <c r="P1185" s="167" t="str">
        <f>IF($E1185="","",IF($B1185=1,Input!$C$59,IF($B1185&lt;6,Input!$C$60,0%)))</f>
        <v/>
      </c>
      <c r="Q1185" s="162" t="str">
        <f>IF($E1185="","",Input!$C$58)</f>
        <v/>
      </c>
      <c r="R1185" s="156" t="str">
        <f t="shared" si="388"/>
        <v/>
      </c>
      <c r="S1185" s="154" t="str">
        <f t="shared" si="379"/>
        <v/>
      </c>
      <c r="T1185" s="152"/>
      <c r="U1185" s="150" t="str">
        <f t="shared" si="389"/>
        <v/>
      </c>
      <c r="V1185" s="150" t="str">
        <f t="shared" si="390"/>
        <v/>
      </c>
      <c r="W1185" s="168" t="str">
        <f t="shared" si="391"/>
        <v/>
      </c>
      <c r="X1185" s="163" t="str">
        <f t="shared" si="380"/>
        <v/>
      </c>
      <c r="Y1185" s="152"/>
      <c r="Z1185" s="164" t="str">
        <f>IF(AND($C1184=12,$D1184=Input!$C$6),0,IF($E1185="","",V1185+Z1186/(1+L1185)*R1185))</f>
        <v/>
      </c>
      <c r="AA1185" s="164" t="str">
        <f>IF(OR($M1185=1,AND($C1184=12,$D1184=Input!$C$6)),0,IF($E1185="","",W1185+(X1185+AA1186*$R1185)/(1+$L1185)))</f>
        <v/>
      </c>
      <c r="AB1185" s="160" t="str">
        <f t="shared" si="381"/>
        <v/>
      </c>
      <c r="AC1185" s="164" t="str">
        <f t="shared" si="382"/>
        <v/>
      </c>
      <c r="AD1185" s="164" t="str">
        <f>IF(AND($C1184=12,$D1184=Input!$C$6),0,IF($E1185="","",$AC1185+AD1186/(1+$L1185)*$R1185))</f>
        <v/>
      </c>
      <c r="AE1185" s="152"/>
      <c r="AF1185" s="164" t="str">
        <f>IF(AND($C1184=12,$D1184=Input!$C$6),0,IF($E1185="","",IF($B1185&gt;Input!$C$9,$AC1185,0)+AF1186/(1+$L1185)*$R1185))</f>
        <v/>
      </c>
      <c r="AG1185" s="164" t="str">
        <f>IF(AND($C1184=12,$D1184=Input!$C$6),0,IF($E1185="","",(IF($B1185&gt;Input!$C$9,$X1185,0)+AG1186)/(1+$L1185)*$R1185))</f>
        <v/>
      </c>
      <c r="AH1185" s="160" t="str">
        <f t="shared" si="383"/>
        <v/>
      </c>
      <c r="AI1185" s="160" t="str">
        <f>IF($E1185="","",MIN(Input!$C$61/AH1185,1))</f>
        <v/>
      </c>
      <c r="AJ1185" s="152"/>
      <c r="AK1185" s="164" t="str">
        <f>IF(AND($C1184=12,$D1184=Input!$C$6),0,IF($E1185="","",IF($B1185&gt;Input!$C$9,$AC1185*AI1185,0)+AK1186/(1+$L1185)*$R1185))</f>
        <v/>
      </c>
      <c r="AL1185" s="164" t="str">
        <f>IF(AND($C1184=12,$D1184=Input!$C$6),0,IF($E1185="","",IF($B1185&gt;Input!$C$9,0,$AC1185)+AL1186/(1+$L1185)*$R1185))</f>
        <v/>
      </c>
      <c r="AM1185" s="160" t="str">
        <f t="shared" si="384"/>
        <v/>
      </c>
      <c r="AN1185" s="164" t="str">
        <f>IF($E1185="","",IF($B1185&gt;Input!$C$9,$AI1185*$AC1185,$AM1185*$AC1185))</f>
        <v/>
      </c>
      <c r="AO1185" s="164" t="str">
        <f>IF(AND($C1184=12,$D1184=Input!$C$6),0,IF($E1185="","",$AN1185+AO1186/(1+$L1185)*$R1185))</f>
        <v/>
      </c>
      <c r="AP1185" s="152"/>
      <c r="AQ1185" s="150" t="str">
        <f t="shared" si="385"/>
        <v/>
      </c>
      <c r="AR1185" s="150" t="str">
        <f t="shared" si="392"/>
        <v/>
      </c>
      <c r="AS1185" s="150" t="str">
        <f t="shared" si="393"/>
        <v/>
      </c>
      <c r="AT1185" s="150" t="str">
        <f t="shared" si="386"/>
        <v/>
      </c>
      <c r="AU1185" s="152"/>
      <c r="AV1185" s="147" t="str">
        <f>'Deterministic Reserve'!BC1185</f>
        <v/>
      </c>
      <c r="AY1185" s="152"/>
    </row>
    <row r="1186" spans="1:51" s="150" customFormat="1" x14ac:dyDescent="0.25">
      <c r="A1186" s="150" t="str">
        <f t="shared" si="394"/>
        <v/>
      </c>
      <c r="B1186" s="150" t="str">
        <f t="shared" si="395"/>
        <v/>
      </c>
      <c r="C1186" s="150" t="str">
        <f t="shared" si="396"/>
        <v/>
      </c>
      <c r="D1186" s="150" t="str">
        <f>IF(E1186="","",Input!$C$4+B1186-1)</f>
        <v/>
      </c>
      <c r="E1186" s="150" t="str">
        <f>IF(OR(AND(C1185=12,D1185=Input!$C$6),E1185=""),"",1)</f>
        <v/>
      </c>
      <c r="G1186" s="151" t="str">
        <f>IF(E1186="","",MAX(0,Input!$C$9-B1186))</f>
        <v/>
      </c>
      <c r="H1186" s="152" t="str">
        <f>IF(E1186="","",Input!$C$3)</f>
        <v/>
      </c>
      <c r="I1186" s="153" t="str">
        <f>IF(E1186="","",HLOOKUP($B1186,Input!$C$13:$BT$14,2))</f>
        <v/>
      </c>
      <c r="J1186" s="154"/>
      <c r="K1186" s="150" t="str">
        <f>IF($E1186="","",Input!$C$57)</f>
        <v/>
      </c>
      <c r="L1186" s="150" t="str">
        <f t="shared" si="387"/>
        <v/>
      </c>
      <c r="M1186" s="147" t="str">
        <f>IF($E1186="","",VLOOKUP(IF($B1186&lt;=Input!$C$7,$B1186,26),'Mortality Tables'!$A$72:$CA$97,IF($B1186&lt;=Input!$C$7+1,Input!$C$4-16,$D1186-Input!$C$7-16),0)/1000)</f>
        <v/>
      </c>
      <c r="N1186" s="147" t="str">
        <f t="shared" si="378"/>
        <v/>
      </c>
      <c r="O1186" s="157" t="str">
        <f>IF($E1186="","",IF($C1186=12,IF($B1186&lt;Input!$C$9,Input!$C$54,IF($B1186=Input!$C$9,Input!$C$55,Input!$C$56)),0%))</f>
        <v/>
      </c>
      <c r="P1186" s="167" t="str">
        <f>IF($E1186="","",IF($B1186=1,Input!$C$59,IF($B1186&lt;6,Input!$C$60,0%)))</f>
        <v/>
      </c>
      <c r="Q1186" s="162" t="str">
        <f>IF($E1186="","",Input!$C$58)</f>
        <v/>
      </c>
      <c r="R1186" s="156" t="str">
        <f t="shared" si="388"/>
        <v/>
      </c>
      <c r="S1186" s="154" t="str">
        <f t="shared" si="379"/>
        <v/>
      </c>
      <c r="T1186" s="152"/>
      <c r="U1186" s="150" t="str">
        <f t="shared" si="389"/>
        <v/>
      </c>
      <c r="V1186" s="150" t="str">
        <f t="shared" si="390"/>
        <v/>
      </c>
      <c r="W1186" s="168" t="str">
        <f t="shared" si="391"/>
        <v/>
      </c>
      <c r="X1186" s="163" t="str">
        <f t="shared" si="380"/>
        <v/>
      </c>
      <c r="Y1186" s="152"/>
      <c r="Z1186" s="164" t="str">
        <f>IF(AND($C1185=12,$D1185=Input!$C$6),0,IF($E1186="","",V1186+Z1187/(1+L1186)*R1186))</f>
        <v/>
      </c>
      <c r="AA1186" s="164" t="str">
        <f>IF(OR($M1186=1,AND($C1185=12,$D1185=Input!$C$6)),0,IF($E1186="","",W1186+(X1186+AA1187*$R1186)/(1+$L1186)))</f>
        <v/>
      </c>
      <c r="AB1186" s="160" t="str">
        <f t="shared" si="381"/>
        <v/>
      </c>
      <c r="AC1186" s="164" t="str">
        <f t="shared" si="382"/>
        <v/>
      </c>
      <c r="AD1186" s="164" t="str">
        <f>IF(AND($C1185=12,$D1185=Input!$C$6),0,IF($E1186="","",$AC1186+AD1187/(1+$L1186)*$R1186))</f>
        <v/>
      </c>
      <c r="AE1186" s="152"/>
      <c r="AF1186" s="164" t="str">
        <f>IF(AND($C1185=12,$D1185=Input!$C$6),0,IF($E1186="","",IF($B1186&gt;Input!$C$9,$AC1186,0)+AF1187/(1+$L1186)*$R1186))</f>
        <v/>
      </c>
      <c r="AG1186" s="164" t="str">
        <f>IF(AND($C1185=12,$D1185=Input!$C$6),0,IF($E1186="","",(IF($B1186&gt;Input!$C$9,$X1186,0)+AG1187)/(1+$L1186)*$R1186))</f>
        <v/>
      </c>
      <c r="AH1186" s="160" t="str">
        <f t="shared" si="383"/>
        <v/>
      </c>
      <c r="AI1186" s="160" t="str">
        <f>IF($E1186="","",MIN(Input!$C$61/AH1186,1))</f>
        <v/>
      </c>
      <c r="AJ1186" s="152"/>
      <c r="AK1186" s="164" t="str">
        <f>IF(AND($C1185=12,$D1185=Input!$C$6),0,IF($E1186="","",IF($B1186&gt;Input!$C$9,$AC1186*AI1186,0)+AK1187/(1+$L1186)*$R1186))</f>
        <v/>
      </c>
      <c r="AL1186" s="164" t="str">
        <f>IF(AND($C1185=12,$D1185=Input!$C$6),0,IF($E1186="","",IF($B1186&gt;Input!$C$9,0,$AC1186)+AL1187/(1+$L1186)*$R1186))</f>
        <v/>
      </c>
      <c r="AM1186" s="160" t="str">
        <f t="shared" si="384"/>
        <v/>
      </c>
      <c r="AN1186" s="164" t="str">
        <f>IF($E1186="","",IF($B1186&gt;Input!$C$9,$AI1186*$AC1186,$AM1186*$AC1186))</f>
        <v/>
      </c>
      <c r="AO1186" s="164" t="str">
        <f>IF(AND($C1185=12,$D1185=Input!$C$6),0,IF($E1186="","",$AN1186+AO1187/(1+$L1186)*$R1186))</f>
        <v/>
      </c>
      <c r="AP1186" s="152"/>
      <c r="AQ1186" s="150" t="str">
        <f t="shared" si="385"/>
        <v/>
      </c>
      <c r="AR1186" s="150" t="str">
        <f t="shared" si="392"/>
        <v/>
      </c>
      <c r="AS1186" s="150" t="str">
        <f t="shared" si="393"/>
        <v/>
      </c>
      <c r="AT1186" s="150" t="str">
        <f t="shared" si="386"/>
        <v/>
      </c>
      <c r="AU1186" s="152"/>
      <c r="AV1186" s="147" t="str">
        <f>'Deterministic Reserve'!BC1186</f>
        <v/>
      </c>
      <c r="AY1186" s="152"/>
    </row>
    <row r="1187" spans="1:51" s="150" customFormat="1" x14ac:dyDescent="0.25">
      <c r="A1187" s="150" t="str">
        <f t="shared" si="394"/>
        <v/>
      </c>
      <c r="B1187" s="150" t="str">
        <f t="shared" si="395"/>
        <v/>
      </c>
      <c r="C1187" s="150" t="str">
        <f t="shared" si="396"/>
        <v/>
      </c>
      <c r="D1187" s="150" t="str">
        <f>IF(E1187="","",Input!$C$4+B1187-1)</f>
        <v/>
      </c>
      <c r="E1187" s="150" t="str">
        <f>IF(OR(AND(C1186=12,D1186=Input!$C$6),E1186=""),"",1)</f>
        <v/>
      </c>
      <c r="G1187" s="151" t="str">
        <f>IF(E1187="","",MAX(0,Input!$C$9-B1187))</f>
        <v/>
      </c>
      <c r="H1187" s="152" t="str">
        <f>IF(E1187="","",Input!$C$3)</f>
        <v/>
      </c>
      <c r="I1187" s="153" t="str">
        <f>IF(E1187="","",HLOOKUP($B1187,Input!$C$13:$BT$14,2))</f>
        <v/>
      </c>
      <c r="J1187" s="154"/>
      <c r="K1187" s="150" t="str">
        <f>IF($E1187="","",Input!$C$57)</f>
        <v/>
      </c>
      <c r="L1187" s="150" t="str">
        <f t="shared" si="387"/>
        <v/>
      </c>
      <c r="M1187" s="147" t="str">
        <f>IF($E1187="","",VLOOKUP(IF($B1187&lt;=Input!$C$7,$B1187,26),'Mortality Tables'!$A$72:$CA$97,IF($B1187&lt;=Input!$C$7+1,Input!$C$4-16,$D1187-Input!$C$7-16),0)/1000)</f>
        <v/>
      </c>
      <c r="N1187" s="147" t="str">
        <f t="shared" si="378"/>
        <v/>
      </c>
      <c r="O1187" s="157" t="str">
        <f>IF($E1187="","",IF($C1187=12,IF($B1187&lt;Input!$C$9,Input!$C$54,IF($B1187=Input!$C$9,Input!$C$55,Input!$C$56)),0%))</f>
        <v/>
      </c>
      <c r="P1187" s="167" t="str">
        <f>IF($E1187="","",IF($B1187=1,Input!$C$59,IF($B1187&lt;6,Input!$C$60,0%)))</f>
        <v/>
      </c>
      <c r="Q1187" s="162" t="str">
        <f>IF($E1187="","",Input!$C$58)</f>
        <v/>
      </c>
      <c r="R1187" s="156" t="str">
        <f t="shared" si="388"/>
        <v/>
      </c>
      <c r="S1187" s="154" t="str">
        <f t="shared" si="379"/>
        <v/>
      </c>
      <c r="T1187" s="152"/>
      <c r="U1187" s="150" t="str">
        <f t="shared" si="389"/>
        <v/>
      </c>
      <c r="V1187" s="150" t="str">
        <f t="shared" si="390"/>
        <v/>
      </c>
      <c r="W1187" s="168" t="str">
        <f t="shared" si="391"/>
        <v/>
      </c>
      <c r="X1187" s="163" t="str">
        <f t="shared" si="380"/>
        <v/>
      </c>
      <c r="Y1187" s="152"/>
      <c r="Z1187" s="164" t="str">
        <f>IF(AND($C1186=12,$D1186=Input!$C$6),0,IF($E1187="","",V1187+Z1188/(1+L1187)*R1187))</f>
        <v/>
      </c>
      <c r="AA1187" s="164" t="str">
        <f>IF(OR($M1187=1,AND($C1186=12,$D1186=Input!$C$6)),0,IF($E1187="","",W1187+(X1187+AA1188*$R1187)/(1+$L1187)))</f>
        <v/>
      </c>
      <c r="AB1187" s="160" t="str">
        <f t="shared" si="381"/>
        <v/>
      </c>
      <c r="AC1187" s="164" t="str">
        <f t="shared" si="382"/>
        <v/>
      </c>
      <c r="AD1187" s="164" t="str">
        <f>IF(AND($C1186=12,$D1186=Input!$C$6),0,IF($E1187="","",$AC1187+AD1188/(1+$L1187)*$R1187))</f>
        <v/>
      </c>
      <c r="AE1187" s="152"/>
      <c r="AF1187" s="164" t="str">
        <f>IF(AND($C1186=12,$D1186=Input!$C$6),0,IF($E1187="","",IF($B1187&gt;Input!$C$9,$AC1187,0)+AF1188/(1+$L1187)*$R1187))</f>
        <v/>
      </c>
      <c r="AG1187" s="164" t="str">
        <f>IF(AND($C1186=12,$D1186=Input!$C$6),0,IF($E1187="","",(IF($B1187&gt;Input!$C$9,$X1187,0)+AG1188)/(1+$L1187)*$R1187))</f>
        <v/>
      </c>
      <c r="AH1187" s="160" t="str">
        <f t="shared" si="383"/>
        <v/>
      </c>
      <c r="AI1187" s="160" t="str">
        <f>IF($E1187="","",MIN(Input!$C$61/AH1187,1))</f>
        <v/>
      </c>
      <c r="AJ1187" s="152"/>
      <c r="AK1187" s="164" t="str">
        <f>IF(AND($C1186=12,$D1186=Input!$C$6),0,IF($E1187="","",IF($B1187&gt;Input!$C$9,$AC1187*AI1187,0)+AK1188/(1+$L1187)*$R1187))</f>
        <v/>
      </c>
      <c r="AL1187" s="164" t="str">
        <f>IF(AND($C1186=12,$D1186=Input!$C$6),0,IF($E1187="","",IF($B1187&gt;Input!$C$9,0,$AC1187)+AL1188/(1+$L1187)*$R1187))</f>
        <v/>
      </c>
      <c r="AM1187" s="160" t="str">
        <f t="shared" si="384"/>
        <v/>
      </c>
      <c r="AN1187" s="164" t="str">
        <f>IF($E1187="","",IF($B1187&gt;Input!$C$9,$AI1187*$AC1187,$AM1187*$AC1187))</f>
        <v/>
      </c>
      <c r="AO1187" s="164" t="str">
        <f>IF(AND($C1186=12,$D1186=Input!$C$6),0,IF($E1187="","",$AN1187+AO1188/(1+$L1187)*$R1187))</f>
        <v/>
      </c>
      <c r="AP1187" s="152"/>
      <c r="AQ1187" s="150" t="str">
        <f t="shared" si="385"/>
        <v/>
      </c>
      <c r="AR1187" s="150" t="str">
        <f t="shared" si="392"/>
        <v/>
      </c>
      <c r="AS1187" s="150" t="str">
        <f t="shared" si="393"/>
        <v/>
      </c>
      <c r="AT1187" s="150" t="str">
        <f t="shared" si="386"/>
        <v/>
      </c>
      <c r="AU1187" s="152"/>
      <c r="AV1187" s="147" t="str">
        <f>'Deterministic Reserve'!BC1187</f>
        <v/>
      </c>
      <c r="AY1187" s="152"/>
    </row>
    <row r="1188" spans="1:51" s="150" customFormat="1" x14ac:dyDescent="0.25">
      <c r="A1188" s="150" t="str">
        <f t="shared" si="394"/>
        <v/>
      </c>
      <c r="B1188" s="150" t="str">
        <f t="shared" si="395"/>
        <v/>
      </c>
      <c r="C1188" s="150" t="str">
        <f t="shared" si="396"/>
        <v/>
      </c>
      <c r="D1188" s="150" t="str">
        <f>IF(E1188="","",Input!$C$4+B1188-1)</f>
        <v/>
      </c>
      <c r="E1188" s="150" t="str">
        <f>IF(OR(AND(C1187=12,D1187=Input!$C$6),E1187=""),"",1)</f>
        <v/>
      </c>
      <c r="G1188" s="151" t="str">
        <f>IF(E1188="","",MAX(0,Input!$C$9-B1188))</f>
        <v/>
      </c>
      <c r="H1188" s="152" t="str">
        <f>IF(E1188="","",Input!$C$3)</f>
        <v/>
      </c>
      <c r="I1188" s="153" t="str">
        <f>IF(E1188="","",HLOOKUP($B1188,Input!$C$13:$BT$14,2))</f>
        <v/>
      </c>
      <c r="J1188" s="154"/>
      <c r="K1188" s="150" t="str">
        <f>IF($E1188="","",Input!$C$57)</f>
        <v/>
      </c>
      <c r="L1188" s="150" t="str">
        <f t="shared" si="387"/>
        <v/>
      </c>
      <c r="M1188" s="147" t="str">
        <f>IF($E1188="","",VLOOKUP(IF($B1188&lt;=Input!$C$7,$B1188,26),'Mortality Tables'!$A$72:$CA$97,IF($B1188&lt;=Input!$C$7+1,Input!$C$4-16,$D1188-Input!$C$7-16),0)/1000)</f>
        <v/>
      </c>
      <c r="N1188" s="147" t="str">
        <f t="shared" si="378"/>
        <v/>
      </c>
      <c r="O1188" s="157" t="str">
        <f>IF($E1188="","",IF($C1188=12,IF($B1188&lt;Input!$C$9,Input!$C$54,IF($B1188=Input!$C$9,Input!$C$55,Input!$C$56)),0%))</f>
        <v/>
      </c>
      <c r="P1188" s="167" t="str">
        <f>IF($E1188="","",IF($B1188=1,Input!$C$59,IF($B1188&lt;6,Input!$C$60,0%)))</f>
        <v/>
      </c>
      <c r="Q1188" s="162" t="str">
        <f>IF($E1188="","",Input!$C$58)</f>
        <v/>
      </c>
      <c r="R1188" s="156" t="str">
        <f t="shared" si="388"/>
        <v/>
      </c>
      <c r="S1188" s="154" t="str">
        <f t="shared" si="379"/>
        <v/>
      </c>
      <c r="T1188" s="152"/>
      <c r="U1188" s="150" t="str">
        <f t="shared" si="389"/>
        <v/>
      </c>
      <c r="V1188" s="150" t="str">
        <f t="shared" si="390"/>
        <v/>
      </c>
      <c r="W1188" s="168" t="str">
        <f t="shared" si="391"/>
        <v/>
      </c>
      <c r="X1188" s="163" t="str">
        <f t="shared" si="380"/>
        <v/>
      </c>
      <c r="Y1188" s="152"/>
      <c r="Z1188" s="164" t="str">
        <f>IF(AND($C1187=12,$D1187=Input!$C$6),0,IF($E1188="","",V1188+Z1189/(1+L1188)*R1188))</f>
        <v/>
      </c>
      <c r="AA1188" s="164" t="str">
        <f>IF(OR($M1188=1,AND($C1187=12,$D1187=Input!$C$6)),0,IF($E1188="","",W1188+(X1188+AA1189*$R1188)/(1+$L1188)))</f>
        <v/>
      </c>
      <c r="AB1188" s="160" t="str">
        <f t="shared" si="381"/>
        <v/>
      </c>
      <c r="AC1188" s="164" t="str">
        <f t="shared" si="382"/>
        <v/>
      </c>
      <c r="AD1188" s="164" t="str">
        <f>IF(AND($C1187=12,$D1187=Input!$C$6),0,IF($E1188="","",$AC1188+AD1189/(1+$L1188)*$R1188))</f>
        <v/>
      </c>
      <c r="AE1188" s="152"/>
      <c r="AF1188" s="164" t="str">
        <f>IF(AND($C1187=12,$D1187=Input!$C$6),0,IF($E1188="","",IF($B1188&gt;Input!$C$9,$AC1188,0)+AF1189/(1+$L1188)*$R1188))</f>
        <v/>
      </c>
      <c r="AG1188" s="164" t="str">
        <f>IF(AND($C1187=12,$D1187=Input!$C$6),0,IF($E1188="","",(IF($B1188&gt;Input!$C$9,$X1188,0)+AG1189)/(1+$L1188)*$R1188))</f>
        <v/>
      </c>
      <c r="AH1188" s="160" t="str">
        <f t="shared" si="383"/>
        <v/>
      </c>
      <c r="AI1188" s="160" t="str">
        <f>IF($E1188="","",MIN(Input!$C$61/AH1188,1))</f>
        <v/>
      </c>
      <c r="AJ1188" s="152"/>
      <c r="AK1188" s="164" t="str">
        <f>IF(AND($C1187=12,$D1187=Input!$C$6),0,IF($E1188="","",IF($B1188&gt;Input!$C$9,$AC1188*AI1188,0)+AK1189/(1+$L1188)*$R1188))</f>
        <v/>
      </c>
      <c r="AL1188" s="164" t="str">
        <f>IF(AND($C1187=12,$D1187=Input!$C$6),0,IF($E1188="","",IF($B1188&gt;Input!$C$9,0,$AC1188)+AL1189/(1+$L1188)*$R1188))</f>
        <v/>
      </c>
      <c r="AM1188" s="160" t="str">
        <f t="shared" si="384"/>
        <v/>
      </c>
      <c r="AN1188" s="164" t="str">
        <f>IF($E1188="","",IF($B1188&gt;Input!$C$9,$AI1188*$AC1188,$AM1188*$AC1188))</f>
        <v/>
      </c>
      <c r="AO1188" s="164" t="str">
        <f>IF(AND($C1187=12,$D1187=Input!$C$6),0,IF($E1188="","",$AN1188+AO1189/(1+$L1188)*$R1188))</f>
        <v/>
      </c>
      <c r="AP1188" s="152"/>
      <c r="AQ1188" s="150" t="str">
        <f t="shared" si="385"/>
        <v/>
      </c>
      <c r="AR1188" s="150" t="str">
        <f t="shared" si="392"/>
        <v/>
      </c>
      <c r="AS1188" s="150" t="str">
        <f t="shared" si="393"/>
        <v/>
      </c>
      <c r="AT1188" s="150" t="str">
        <f t="shared" si="386"/>
        <v/>
      </c>
      <c r="AU1188" s="152"/>
      <c r="AV1188" s="147" t="str">
        <f>'Deterministic Reserve'!BC1188</f>
        <v/>
      </c>
      <c r="AY1188" s="152"/>
    </row>
    <row r="1189" spans="1:51" s="150" customFormat="1" x14ac:dyDescent="0.25">
      <c r="A1189" s="150" t="str">
        <f t="shared" si="394"/>
        <v/>
      </c>
      <c r="B1189" s="150" t="str">
        <f t="shared" si="395"/>
        <v/>
      </c>
      <c r="C1189" s="150" t="str">
        <f t="shared" si="396"/>
        <v/>
      </c>
      <c r="D1189" s="150" t="str">
        <f>IF(E1189="","",Input!$C$4+B1189-1)</f>
        <v/>
      </c>
      <c r="E1189" s="150" t="str">
        <f>IF(OR(AND(C1188=12,D1188=Input!$C$6),E1188=""),"",1)</f>
        <v/>
      </c>
      <c r="G1189" s="151" t="str">
        <f>IF(E1189="","",MAX(0,Input!$C$9-B1189))</f>
        <v/>
      </c>
      <c r="H1189" s="152" t="str">
        <f>IF(E1189="","",Input!$C$3)</f>
        <v/>
      </c>
      <c r="I1189" s="153" t="str">
        <f>IF(E1189="","",HLOOKUP($B1189,Input!$C$13:$BT$14,2))</f>
        <v/>
      </c>
      <c r="J1189" s="154"/>
      <c r="K1189" s="150" t="str">
        <f>IF($E1189="","",Input!$C$57)</f>
        <v/>
      </c>
      <c r="L1189" s="150" t="str">
        <f t="shared" si="387"/>
        <v/>
      </c>
      <c r="M1189" s="147" t="str">
        <f>IF($E1189="","",VLOOKUP(IF($B1189&lt;=Input!$C$7,$B1189,26),'Mortality Tables'!$A$72:$CA$97,IF($B1189&lt;=Input!$C$7+1,Input!$C$4-16,$D1189-Input!$C$7-16),0)/1000)</f>
        <v/>
      </c>
      <c r="N1189" s="147" t="str">
        <f t="shared" si="378"/>
        <v/>
      </c>
      <c r="O1189" s="157" t="str">
        <f>IF($E1189="","",IF($C1189=12,IF($B1189&lt;Input!$C$9,Input!$C$54,IF($B1189=Input!$C$9,Input!$C$55,Input!$C$56)),0%))</f>
        <v/>
      </c>
      <c r="P1189" s="167" t="str">
        <f>IF($E1189="","",IF($B1189=1,Input!$C$59,IF($B1189&lt;6,Input!$C$60,0%)))</f>
        <v/>
      </c>
      <c r="Q1189" s="162" t="str">
        <f>IF($E1189="","",Input!$C$58)</f>
        <v/>
      </c>
      <c r="R1189" s="156" t="str">
        <f t="shared" si="388"/>
        <v/>
      </c>
      <c r="S1189" s="154" t="str">
        <f t="shared" si="379"/>
        <v/>
      </c>
      <c r="T1189" s="152"/>
      <c r="U1189" s="150" t="str">
        <f t="shared" si="389"/>
        <v/>
      </c>
      <c r="V1189" s="150" t="str">
        <f t="shared" si="390"/>
        <v/>
      </c>
      <c r="W1189" s="168" t="str">
        <f t="shared" si="391"/>
        <v/>
      </c>
      <c r="X1189" s="163" t="str">
        <f t="shared" si="380"/>
        <v/>
      </c>
      <c r="Y1189" s="152"/>
      <c r="Z1189" s="164" t="str">
        <f>IF(AND($C1188=12,$D1188=Input!$C$6),0,IF($E1189="","",V1189+Z1190/(1+L1189)*R1189))</f>
        <v/>
      </c>
      <c r="AA1189" s="164" t="str">
        <f>IF(OR($M1189=1,AND($C1188=12,$D1188=Input!$C$6)),0,IF($E1189="","",W1189+(X1189+AA1190*$R1189)/(1+$L1189)))</f>
        <v/>
      </c>
      <c r="AB1189" s="160" t="str">
        <f t="shared" si="381"/>
        <v/>
      </c>
      <c r="AC1189" s="164" t="str">
        <f t="shared" si="382"/>
        <v/>
      </c>
      <c r="AD1189" s="164" t="str">
        <f>IF(AND($C1188=12,$D1188=Input!$C$6),0,IF($E1189="","",$AC1189+AD1190/(1+$L1189)*$R1189))</f>
        <v/>
      </c>
      <c r="AE1189" s="152"/>
      <c r="AF1189" s="164" t="str">
        <f>IF(AND($C1188=12,$D1188=Input!$C$6),0,IF($E1189="","",IF($B1189&gt;Input!$C$9,$AC1189,0)+AF1190/(1+$L1189)*$R1189))</f>
        <v/>
      </c>
      <c r="AG1189" s="164" t="str">
        <f>IF(AND($C1188=12,$D1188=Input!$C$6),0,IF($E1189="","",(IF($B1189&gt;Input!$C$9,$X1189,0)+AG1190)/(1+$L1189)*$R1189))</f>
        <v/>
      </c>
      <c r="AH1189" s="160" t="str">
        <f t="shared" si="383"/>
        <v/>
      </c>
      <c r="AI1189" s="160" t="str">
        <f>IF($E1189="","",MIN(Input!$C$61/AH1189,1))</f>
        <v/>
      </c>
      <c r="AJ1189" s="152"/>
      <c r="AK1189" s="164" t="str">
        <f>IF(AND($C1188=12,$D1188=Input!$C$6),0,IF($E1189="","",IF($B1189&gt;Input!$C$9,$AC1189*AI1189,0)+AK1190/(1+$L1189)*$R1189))</f>
        <v/>
      </c>
      <c r="AL1189" s="164" t="str">
        <f>IF(AND($C1188=12,$D1188=Input!$C$6),0,IF($E1189="","",IF($B1189&gt;Input!$C$9,0,$AC1189)+AL1190/(1+$L1189)*$R1189))</f>
        <v/>
      </c>
      <c r="AM1189" s="160" t="str">
        <f t="shared" si="384"/>
        <v/>
      </c>
      <c r="AN1189" s="164" t="str">
        <f>IF($E1189="","",IF($B1189&gt;Input!$C$9,$AI1189*$AC1189,$AM1189*$AC1189))</f>
        <v/>
      </c>
      <c r="AO1189" s="164" t="str">
        <f>IF(AND($C1188=12,$D1188=Input!$C$6),0,IF($E1189="","",$AN1189+AO1190/(1+$L1189)*$R1189))</f>
        <v/>
      </c>
      <c r="AP1189" s="152"/>
      <c r="AQ1189" s="150" t="str">
        <f t="shared" si="385"/>
        <v/>
      </c>
      <c r="AR1189" s="150" t="str">
        <f t="shared" si="392"/>
        <v/>
      </c>
      <c r="AS1189" s="150" t="str">
        <f t="shared" si="393"/>
        <v/>
      </c>
      <c r="AT1189" s="150" t="str">
        <f t="shared" si="386"/>
        <v/>
      </c>
      <c r="AU1189" s="152"/>
      <c r="AV1189" s="147" t="str">
        <f>'Deterministic Reserve'!BC1189</f>
        <v/>
      </c>
      <c r="AY1189" s="152"/>
    </row>
    <row r="1190" spans="1:51" s="150" customFormat="1" x14ac:dyDescent="0.25">
      <c r="A1190" s="150" t="str">
        <f t="shared" si="394"/>
        <v/>
      </c>
      <c r="B1190" s="150" t="str">
        <f t="shared" si="395"/>
        <v/>
      </c>
      <c r="C1190" s="150" t="str">
        <f t="shared" si="396"/>
        <v/>
      </c>
      <c r="D1190" s="150" t="str">
        <f>IF(E1190="","",Input!$C$4+B1190-1)</f>
        <v/>
      </c>
      <c r="E1190" s="150" t="str">
        <f>IF(OR(AND(C1189=12,D1189=Input!$C$6),E1189=""),"",1)</f>
        <v/>
      </c>
      <c r="G1190" s="151" t="str">
        <f>IF(E1190="","",MAX(0,Input!$C$9-B1190))</f>
        <v/>
      </c>
      <c r="H1190" s="152" t="str">
        <f>IF(E1190="","",Input!$C$3)</f>
        <v/>
      </c>
      <c r="I1190" s="153" t="str">
        <f>IF(E1190="","",HLOOKUP($B1190,Input!$C$13:$BT$14,2))</f>
        <v/>
      </c>
      <c r="J1190" s="154"/>
      <c r="K1190" s="150" t="str">
        <f>IF($E1190="","",Input!$C$57)</f>
        <v/>
      </c>
      <c r="L1190" s="150" t="str">
        <f t="shared" si="387"/>
        <v/>
      </c>
      <c r="M1190" s="147" t="str">
        <f>IF($E1190="","",VLOOKUP(IF($B1190&lt;=Input!$C$7,$B1190,26),'Mortality Tables'!$A$72:$CA$97,IF($B1190&lt;=Input!$C$7+1,Input!$C$4-16,$D1190-Input!$C$7-16),0)/1000)</f>
        <v/>
      </c>
      <c r="N1190" s="147" t="str">
        <f t="shared" si="378"/>
        <v/>
      </c>
      <c r="O1190" s="157" t="str">
        <f>IF($E1190="","",IF($C1190=12,IF($B1190&lt;Input!$C$9,Input!$C$54,IF($B1190=Input!$C$9,Input!$C$55,Input!$C$56)),0%))</f>
        <v/>
      </c>
      <c r="P1190" s="167" t="str">
        <f>IF($E1190="","",IF($B1190=1,Input!$C$59,IF($B1190&lt;6,Input!$C$60,0%)))</f>
        <v/>
      </c>
      <c r="Q1190" s="162" t="str">
        <f>IF($E1190="","",Input!$C$58)</f>
        <v/>
      </c>
      <c r="R1190" s="156" t="str">
        <f t="shared" si="388"/>
        <v/>
      </c>
      <c r="S1190" s="154" t="str">
        <f t="shared" si="379"/>
        <v/>
      </c>
      <c r="T1190" s="152"/>
      <c r="U1190" s="150" t="str">
        <f t="shared" si="389"/>
        <v/>
      </c>
      <c r="V1190" s="150" t="str">
        <f t="shared" si="390"/>
        <v/>
      </c>
      <c r="W1190" s="168" t="str">
        <f t="shared" si="391"/>
        <v/>
      </c>
      <c r="X1190" s="163" t="str">
        <f t="shared" si="380"/>
        <v/>
      </c>
      <c r="Y1190" s="152"/>
      <c r="Z1190" s="164" t="str">
        <f>IF(AND($C1189=12,$D1189=Input!$C$6),0,IF($E1190="","",V1190+Z1191/(1+L1190)*R1190))</f>
        <v/>
      </c>
      <c r="AA1190" s="164" t="str">
        <f>IF(OR($M1190=1,AND($C1189=12,$D1189=Input!$C$6)),0,IF($E1190="","",W1190+(X1190+AA1191*$R1190)/(1+$L1190)))</f>
        <v/>
      </c>
      <c r="AB1190" s="160" t="str">
        <f t="shared" si="381"/>
        <v/>
      </c>
      <c r="AC1190" s="164" t="str">
        <f t="shared" si="382"/>
        <v/>
      </c>
      <c r="AD1190" s="164" t="str">
        <f>IF(AND($C1189=12,$D1189=Input!$C$6),0,IF($E1190="","",$AC1190+AD1191/(1+$L1190)*$R1190))</f>
        <v/>
      </c>
      <c r="AE1190" s="152"/>
      <c r="AF1190" s="164" t="str">
        <f>IF(AND($C1189=12,$D1189=Input!$C$6),0,IF($E1190="","",IF($B1190&gt;Input!$C$9,$AC1190,0)+AF1191/(1+$L1190)*$R1190))</f>
        <v/>
      </c>
      <c r="AG1190" s="164" t="str">
        <f>IF(AND($C1189=12,$D1189=Input!$C$6),0,IF($E1190="","",(IF($B1190&gt;Input!$C$9,$X1190,0)+AG1191)/(1+$L1190)*$R1190))</f>
        <v/>
      </c>
      <c r="AH1190" s="160" t="str">
        <f t="shared" si="383"/>
        <v/>
      </c>
      <c r="AI1190" s="160" t="str">
        <f>IF($E1190="","",MIN(Input!$C$61/AH1190,1))</f>
        <v/>
      </c>
      <c r="AJ1190" s="152"/>
      <c r="AK1190" s="164" t="str">
        <f>IF(AND($C1189=12,$D1189=Input!$C$6),0,IF($E1190="","",IF($B1190&gt;Input!$C$9,$AC1190*AI1190,0)+AK1191/(1+$L1190)*$R1190))</f>
        <v/>
      </c>
      <c r="AL1190" s="164" t="str">
        <f>IF(AND($C1189=12,$D1189=Input!$C$6),0,IF($E1190="","",IF($B1190&gt;Input!$C$9,0,$AC1190)+AL1191/(1+$L1190)*$R1190))</f>
        <v/>
      </c>
      <c r="AM1190" s="160" t="str">
        <f t="shared" si="384"/>
        <v/>
      </c>
      <c r="AN1190" s="164" t="str">
        <f>IF($E1190="","",IF($B1190&gt;Input!$C$9,$AI1190*$AC1190,$AM1190*$AC1190))</f>
        <v/>
      </c>
      <c r="AO1190" s="164" t="str">
        <f>IF(AND($C1189=12,$D1189=Input!$C$6),0,IF($E1190="","",$AN1190+AO1191/(1+$L1190)*$R1190))</f>
        <v/>
      </c>
      <c r="AP1190" s="152"/>
      <c r="AQ1190" s="150" t="str">
        <f t="shared" si="385"/>
        <v/>
      </c>
      <c r="AR1190" s="150" t="str">
        <f t="shared" si="392"/>
        <v/>
      </c>
      <c r="AS1190" s="150" t="str">
        <f t="shared" si="393"/>
        <v/>
      </c>
      <c r="AT1190" s="150" t="str">
        <f t="shared" si="386"/>
        <v/>
      </c>
      <c r="AU1190" s="152"/>
      <c r="AV1190" s="147" t="str">
        <f>'Deterministic Reserve'!BC1190</f>
        <v/>
      </c>
      <c r="AY1190" s="152"/>
    </row>
    <row r="1191" spans="1:51" s="150" customFormat="1" x14ac:dyDescent="0.25">
      <c r="A1191" s="150" t="str">
        <f t="shared" si="394"/>
        <v/>
      </c>
      <c r="B1191" s="150" t="str">
        <f t="shared" si="395"/>
        <v/>
      </c>
      <c r="C1191" s="150" t="str">
        <f t="shared" si="396"/>
        <v/>
      </c>
      <c r="D1191" s="150" t="str">
        <f>IF(E1191="","",Input!$C$4+B1191-1)</f>
        <v/>
      </c>
      <c r="E1191" s="150" t="str">
        <f>IF(OR(AND(C1190=12,D1190=Input!$C$6),E1190=""),"",1)</f>
        <v/>
      </c>
      <c r="G1191" s="151" t="str">
        <f>IF(E1191="","",MAX(0,Input!$C$9-B1191))</f>
        <v/>
      </c>
      <c r="H1191" s="152" t="str">
        <f>IF(E1191="","",Input!$C$3)</f>
        <v/>
      </c>
      <c r="I1191" s="153" t="str">
        <f>IF(E1191="","",HLOOKUP($B1191,Input!$C$13:$BT$14,2))</f>
        <v/>
      </c>
      <c r="J1191" s="154"/>
      <c r="K1191" s="150" t="str">
        <f>IF($E1191="","",Input!$C$57)</f>
        <v/>
      </c>
      <c r="L1191" s="150" t="str">
        <f t="shared" si="387"/>
        <v/>
      </c>
      <c r="M1191" s="147" t="str">
        <f>IF($E1191="","",VLOOKUP(IF($B1191&lt;=Input!$C$7,$B1191,26),'Mortality Tables'!$A$72:$CA$97,IF($B1191&lt;=Input!$C$7+1,Input!$C$4-16,$D1191-Input!$C$7-16),0)/1000)</f>
        <v/>
      </c>
      <c r="N1191" s="147" t="str">
        <f t="shared" si="378"/>
        <v/>
      </c>
      <c r="O1191" s="157" t="str">
        <f>IF($E1191="","",IF($C1191=12,IF($B1191&lt;Input!$C$9,Input!$C$54,IF($B1191=Input!$C$9,Input!$C$55,Input!$C$56)),0%))</f>
        <v/>
      </c>
      <c r="P1191" s="167" t="str">
        <f>IF($E1191="","",IF($B1191=1,Input!$C$59,IF($B1191&lt;6,Input!$C$60,0%)))</f>
        <v/>
      </c>
      <c r="Q1191" s="162" t="str">
        <f>IF($E1191="","",Input!$C$58)</f>
        <v/>
      </c>
      <c r="R1191" s="156" t="str">
        <f t="shared" si="388"/>
        <v/>
      </c>
      <c r="S1191" s="154" t="str">
        <f t="shared" si="379"/>
        <v/>
      </c>
      <c r="T1191" s="152"/>
      <c r="U1191" s="150" t="str">
        <f t="shared" si="389"/>
        <v/>
      </c>
      <c r="V1191" s="150" t="str">
        <f t="shared" si="390"/>
        <v/>
      </c>
      <c r="W1191" s="168" t="str">
        <f t="shared" si="391"/>
        <v/>
      </c>
      <c r="X1191" s="163" t="str">
        <f t="shared" si="380"/>
        <v/>
      </c>
      <c r="Y1191" s="152"/>
      <c r="Z1191" s="164" t="str">
        <f>IF(AND($C1190=12,$D1190=Input!$C$6),0,IF($E1191="","",V1191+Z1192/(1+L1191)*R1191))</f>
        <v/>
      </c>
      <c r="AA1191" s="164" t="str">
        <f>IF(OR($M1191=1,AND($C1190=12,$D1190=Input!$C$6)),0,IF($E1191="","",W1191+(X1191+AA1192*$R1191)/(1+$L1191)))</f>
        <v/>
      </c>
      <c r="AB1191" s="160" t="str">
        <f t="shared" si="381"/>
        <v/>
      </c>
      <c r="AC1191" s="164" t="str">
        <f t="shared" si="382"/>
        <v/>
      </c>
      <c r="AD1191" s="164" t="str">
        <f>IF(AND($C1190=12,$D1190=Input!$C$6),0,IF($E1191="","",$AC1191+AD1192/(1+$L1191)*$R1191))</f>
        <v/>
      </c>
      <c r="AE1191" s="152"/>
      <c r="AF1191" s="164" t="str">
        <f>IF(AND($C1190=12,$D1190=Input!$C$6),0,IF($E1191="","",IF($B1191&gt;Input!$C$9,$AC1191,0)+AF1192/(1+$L1191)*$R1191))</f>
        <v/>
      </c>
      <c r="AG1191" s="164" t="str">
        <f>IF(AND($C1190=12,$D1190=Input!$C$6),0,IF($E1191="","",(IF($B1191&gt;Input!$C$9,$X1191,0)+AG1192)/(1+$L1191)*$R1191))</f>
        <v/>
      </c>
      <c r="AH1191" s="160" t="str">
        <f t="shared" si="383"/>
        <v/>
      </c>
      <c r="AI1191" s="160" t="str">
        <f>IF($E1191="","",MIN(Input!$C$61/AH1191,1))</f>
        <v/>
      </c>
      <c r="AJ1191" s="152"/>
      <c r="AK1191" s="164" t="str">
        <f>IF(AND($C1190=12,$D1190=Input!$C$6),0,IF($E1191="","",IF($B1191&gt;Input!$C$9,$AC1191*AI1191,0)+AK1192/(1+$L1191)*$R1191))</f>
        <v/>
      </c>
      <c r="AL1191" s="164" t="str">
        <f>IF(AND($C1190=12,$D1190=Input!$C$6),0,IF($E1191="","",IF($B1191&gt;Input!$C$9,0,$AC1191)+AL1192/(1+$L1191)*$R1191))</f>
        <v/>
      </c>
      <c r="AM1191" s="160" t="str">
        <f t="shared" si="384"/>
        <v/>
      </c>
      <c r="AN1191" s="164" t="str">
        <f>IF($E1191="","",IF($B1191&gt;Input!$C$9,$AI1191*$AC1191,$AM1191*$AC1191))</f>
        <v/>
      </c>
      <c r="AO1191" s="164" t="str">
        <f>IF(AND($C1190=12,$D1190=Input!$C$6),0,IF($E1191="","",$AN1191+AO1192/(1+$L1191)*$R1191))</f>
        <v/>
      </c>
      <c r="AP1191" s="152"/>
      <c r="AQ1191" s="150" t="str">
        <f t="shared" si="385"/>
        <v/>
      </c>
      <c r="AR1191" s="150" t="str">
        <f t="shared" si="392"/>
        <v/>
      </c>
      <c r="AS1191" s="150" t="str">
        <f t="shared" si="393"/>
        <v/>
      </c>
      <c r="AT1191" s="150" t="str">
        <f t="shared" si="386"/>
        <v/>
      </c>
      <c r="AU1191" s="152"/>
      <c r="AV1191" s="147" t="str">
        <f>'Deterministic Reserve'!BC1191</f>
        <v/>
      </c>
      <c r="AY1191" s="152"/>
    </row>
    <row r="1192" spans="1:51" s="150" customFormat="1" x14ac:dyDescent="0.25">
      <c r="A1192" s="150" t="str">
        <f t="shared" si="394"/>
        <v/>
      </c>
      <c r="B1192" s="150" t="str">
        <f t="shared" si="395"/>
        <v/>
      </c>
      <c r="C1192" s="150" t="str">
        <f t="shared" si="396"/>
        <v/>
      </c>
      <c r="D1192" s="150" t="str">
        <f>IF(E1192="","",Input!$C$4+B1192-1)</f>
        <v/>
      </c>
      <c r="E1192" s="150" t="str">
        <f>IF(OR(AND(C1191=12,D1191=Input!$C$6),E1191=""),"",1)</f>
        <v/>
      </c>
      <c r="G1192" s="151" t="str">
        <f>IF(E1192="","",MAX(0,Input!$C$9-B1192))</f>
        <v/>
      </c>
      <c r="H1192" s="152" t="str">
        <f>IF(E1192="","",Input!$C$3)</f>
        <v/>
      </c>
      <c r="I1192" s="153" t="str">
        <f>IF(E1192="","",HLOOKUP($B1192,Input!$C$13:$BT$14,2))</f>
        <v/>
      </c>
      <c r="J1192" s="154"/>
      <c r="K1192" s="150" t="str">
        <f>IF($E1192="","",Input!$C$57)</f>
        <v/>
      </c>
      <c r="L1192" s="150" t="str">
        <f t="shared" si="387"/>
        <v/>
      </c>
      <c r="M1192" s="147" t="str">
        <f>IF($E1192="","",VLOOKUP(IF($B1192&lt;=Input!$C$7,$B1192,26),'Mortality Tables'!$A$72:$CA$97,IF($B1192&lt;=Input!$C$7+1,Input!$C$4-16,$D1192-Input!$C$7-16),0)/1000)</f>
        <v/>
      </c>
      <c r="N1192" s="147" t="str">
        <f t="shared" si="378"/>
        <v/>
      </c>
      <c r="O1192" s="157" t="str">
        <f>IF($E1192="","",IF($C1192=12,IF($B1192&lt;Input!$C$9,Input!$C$54,IF($B1192=Input!$C$9,Input!$C$55,Input!$C$56)),0%))</f>
        <v/>
      </c>
      <c r="P1192" s="167" t="str">
        <f>IF($E1192="","",IF($B1192=1,Input!$C$59,IF($B1192&lt;6,Input!$C$60,0%)))</f>
        <v/>
      </c>
      <c r="Q1192" s="162" t="str">
        <f>IF($E1192="","",Input!$C$58)</f>
        <v/>
      </c>
      <c r="R1192" s="156" t="str">
        <f t="shared" si="388"/>
        <v/>
      </c>
      <c r="S1192" s="154" t="str">
        <f t="shared" si="379"/>
        <v/>
      </c>
      <c r="T1192" s="152"/>
      <c r="U1192" s="150" t="str">
        <f t="shared" si="389"/>
        <v/>
      </c>
      <c r="V1192" s="150" t="str">
        <f t="shared" si="390"/>
        <v/>
      </c>
      <c r="W1192" s="168" t="str">
        <f t="shared" si="391"/>
        <v/>
      </c>
      <c r="X1192" s="163" t="str">
        <f t="shared" si="380"/>
        <v/>
      </c>
      <c r="Y1192" s="152"/>
      <c r="Z1192" s="164" t="str">
        <f>IF(AND($C1191=12,$D1191=Input!$C$6),0,IF($E1192="","",V1192+Z1193/(1+L1192)*R1192))</f>
        <v/>
      </c>
      <c r="AA1192" s="164" t="str">
        <f>IF(OR($M1192=1,AND($C1191=12,$D1191=Input!$C$6)),0,IF($E1192="","",W1192+(X1192+AA1193*$R1192)/(1+$L1192)))</f>
        <v/>
      </c>
      <c r="AB1192" s="160" t="str">
        <f t="shared" si="381"/>
        <v/>
      </c>
      <c r="AC1192" s="164" t="str">
        <f t="shared" si="382"/>
        <v/>
      </c>
      <c r="AD1192" s="164" t="str">
        <f>IF(AND($C1191=12,$D1191=Input!$C$6),0,IF($E1192="","",$AC1192+AD1193/(1+$L1192)*$R1192))</f>
        <v/>
      </c>
      <c r="AE1192" s="152"/>
      <c r="AF1192" s="164" t="str">
        <f>IF(AND($C1191=12,$D1191=Input!$C$6),0,IF($E1192="","",IF($B1192&gt;Input!$C$9,$AC1192,0)+AF1193/(1+$L1192)*$R1192))</f>
        <v/>
      </c>
      <c r="AG1192" s="164" t="str">
        <f>IF(AND($C1191=12,$D1191=Input!$C$6),0,IF($E1192="","",(IF($B1192&gt;Input!$C$9,$X1192,0)+AG1193)/(1+$L1192)*$R1192))</f>
        <v/>
      </c>
      <c r="AH1192" s="160" t="str">
        <f t="shared" si="383"/>
        <v/>
      </c>
      <c r="AI1192" s="160" t="str">
        <f>IF($E1192="","",MIN(Input!$C$61/AH1192,1))</f>
        <v/>
      </c>
      <c r="AJ1192" s="152"/>
      <c r="AK1192" s="164" t="str">
        <f>IF(AND($C1191=12,$D1191=Input!$C$6),0,IF($E1192="","",IF($B1192&gt;Input!$C$9,$AC1192*AI1192,0)+AK1193/(1+$L1192)*$R1192))</f>
        <v/>
      </c>
      <c r="AL1192" s="164" t="str">
        <f>IF(AND($C1191=12,$D1191=Input!$C$6),0,IF($E1192="","",IF($B1192&gt;Input!$C$9,0,$AC1192)+AL1193/(1+$L1192)*$R1192))</f>
        <v/>
      </c>
      <c r="AM1192" s="160" t="str">
        <f t="shared" si="384"/>
        <v/>
      </c>
      <c r="AN1192" s="164" t="str">
        <f>IF($E1192="","",IF($B1192&gt;Input!$C$9,$AI1192*$AC1192,$AM1192*$AC1192))</f>
        <v/>
      </c>
      <c r="AO1192" s="164" t="str">
        <f>IF(AND($C1191=12,$D1191=Input!$C$6),0,IF($E1192="","",$AN1192+AO1193/(1+$L1192)*$R1192))</f>
        <v/>
      </c>
      <c r="AP1192" s="152"/>
      <c r="AQ1192" s="150" t="str">
        <f t="shared" si="385"/>
        <v/>
      </c>
      <c r="AR1192" s="150" t="str">
        <f t="shared" si="392"/>
        <v/>
      </c>
      <c r="AS1192" s="150" t="str">
        <f t="shared" si="393"/>
        <v/>
      </c>
      <c r="AT1192" s="150" t="str">
        <f t="shared" si="386"/>
        <v/>
      </c>
      <c r="AU1192" s="152"/>
      <c r="AV1192" s="147" t="str">
        <f>'Deterministic Reserve'!BC1192</f>
        <v/>
      </c>
      <c r="AY1192" s="152"/>
    </row>
    <row r="1193" spans="1:51" s="150" customFormat="1" x14ac:dyDescent="0.25">
      <c r="A1193" s="150" t="str">
        <f t="shared" si="394"/>
        <v/>
      </c>
      <c r="B1193" s="150" t="str">
        <f t="shared" si="395"/>
        <v/>
      </c>
      <c r="C1193" s="150" t="str">
        <f t="shared" si="396"/>
        <v/>
      </c>
      <c r="D1193" s="150" t="str">
        <f>IF(E1193="","",Input!$C$4+B1193-1)</f>
        <v/>
      </c>
      <c r="E1193" s="150" t="str">
        <f>IF(OR(AND(C1192=12,D1192=Input!$C$6),E1192=""),"",1)</f>
        <v/>
      </c>
      <c r="G1193" s="151" t="str">
        <f>IF(E1193="","",MAX(0,Input!$C$9-B1193))</f>
        <v/>
      </c>
      <c r="H1193" s="152" t="str">
        <f>IF(E1193="","",Input!$C$3)</f>
        <v/>
      </c>
      <c r="I1193" s="153" t="str">
        <f>IF(E1193="","",HLOOKUP($B1193,Input!$C$13:$BT$14,2))</f>
        <v/>
      </c>
      <c r="J1193" s="154"/>
      <c r="K1193" s="150" t="str">
        <f>IF($E1193="","",Input!$C$57)</f>
        <v/>
      </c>
      <c r="L1193" s="150" t="str">
        <f t="shared" si="387"/>
        <v/>
      </c>
      <c r="M1193" s="147" t="str">
        <f>IF($E1193="","",VLOOKUP(IF($B1193&lt;=Input!$C$7,$B1193,26),'Mortality Tables'!$A$72:$CA$97,IF($B1193&lt;=Input!$C$7+1,Input!$C$4-16,$D1193-Input!$C$7-16),0)/1000)</f>
        <v/>
      </c>
      <c r="N1193" s="147" t="str">
        <f t="shared" si="378"/>
        <v/>
      </c>
      <c r="O1193" s="157" t="str">
        <f>IF($E1193="","",IF($C1193=12,IF($B1193&lt;Input!$C$9,Input!$C$54,IF($B1193=Input!$C$9,Input!$C$55,Input!$C$56)),0%))</f>
        <v/>
      </c>
      <c r="P1193" s="167" t="str">
        <f>IF($E1193="","",IF($B1193=1,Input!$C$59,IF($B1193&lt;6,Input!$C$60,0%)))</f>
        <v/>
      </c>
      <c r="Q1193" s="162" t="str">
        <f>IF($E1193="","",Input!$C$58)</f>
        <v/>
      </c>
      <c r="R1193" s="156" t="str">
        <f t="shared" si="388"/>
        <v/>
      </c>
      <c r="S1193" s="154" t="str">
        <f t="shared" si="379"/>
        <v/>
      </c>
      <c r="T1193" s="152"/>
      <c r="U1193" s="150" t="str">
        <f t="shared" si="389"/>
        <v/>
      </c>
      <c r="V1193" s="150" t="str">
        <f t="shared" si="390"/>
        <v/>
      </c>
      <c r="W1193" s="168" t="str">
        <f t="shared" si="391"/>
        <v/>
      </c>
      <c r="X1193" s="163" t="str">
        <f t="shared" si="380"/>
        <v/>
      </c>
      <c r="Y1193" s="152"/>
      <c r="Z1193" s="164" t="str">
        <f>IF(AND($C1192=12,$D1192=Input!$C$6),0,IF($E1193="","",V1193+Z1194/(1+L1193)*R1193))</f>
        <v/>
      </c>
      <c r="AA1193" s="164" t="str">
        <f>IF(OR($M1193=1,AND($C1192=12,$D1192=Input!$C$6)),0,IF($E1193="","",W1193+(X1193+AA1194*$R1193)/(1+$L1193)))</f>
        <v/>
      </c>
      <c r="AB1193" s="160" t="str">
        <f t="shared" si="381"/>
        <v/>
      </c>
      <c r="AC1193" s="164" t="str">
        <f t="shared" si="382"/>
        <v/>
      </c>
      <c r="AD1193" s="164" t="str">
        <f>IF(AND($C1192=12,$D1192=Input!$C$6),0,IF($E1193="","",$AC1193+AD1194/(1+$L1193)*$R1193))</f>
        <v/>
      </c>
      <c r="AE1193" s="152"/>
      <c r="AF1193" s="164" t="str">
        <f>IF(AND($C1192=12,$D1192=Input!$C$6),0,IF($E1193="","",IF($B1193&gt;Input!$C$9,$AC1193,0)+AF1194/(1+$L1193)*$R1193))</f>
        <v/>
      </c>
      <c r="AG1193" s="164" t="str">
        <f>IF(AND($C1192=12,$D1192=Input!$C$6),0,IF($E1193="","",(IF($B1193&gt;Input!$C$9,$X1193,0)+AG1194)/(1+$L1193)*$R1193))</f>
        <v/>
      </c>
      <c r="AH1193" s="160" t="str">
        <f t="shared" si="383"/>
        <v/>
      </c>
      <c r="AI1193" s="160" t="str">
        <f>IF($E1193="","",MIN(Input!$C$61/AH1193,1))</f>
        <v/>
      </c>
      <c r="AJ1193" s="152"/>
      <c r="AK1193" s="164" t="str">
        <f>IF(AND($C1192=12,$D1192=Input!$C$6),0,IF($E1193="","",IF($B1193&gt;Input!$C$9,$AC1193*AI1193,0)+AK1194/(1+$L1193)*$R1193))</f>
        <v/>
      </c>
      <c r="AL1193" s="164" t="str">
        <f>IF(AND($C1192=12,$D1192=Input!$C$6),0,IF($E1193="","",IF($B1193&gt;Input!$C$9,0,$AC1193)+AL1194/(1+$L1193)*$R1193))</f>
        <v/>
      </c>
      <c r="AM1193" s="160" t="str">
        <f t="shared" si="384"/>
        <v/>
      </c>
      <c r="AN1193" s="164" t="str">
        <f>IF($E1193="","",IF($B1193&gt;Input!$C$9,$AI1193*$AC1193,$AM1193*$AC1193))</f>
        <v/>
      </c>
      <c r="AO1193" s="164" t="str">
        <f>IF(AND($C1192=12,$D1192=Input!$C$6),0,IF($E1193="","",$AN1193+AO1194/(1+$L1193)*$R1193))</f>
        <v/>
      </c>
      <c r="AP1193" s="152"/>
      <c r="AQ1193" s="150" t="str">
        <f t="shared" si="385"/>
        <v/>
      </c>
      <c r="AR1193" s="150" t="str">
        <f t="shared" si="392"/>
        <v/>
      </c>
      <c r="AS1193" s="150" t="str">
        <f t="shared" si="393"/>
        <v/>
      </c>
      <c r="AT1193" s="150" t="str">
        <f t="shared" si="386"/>
        <v/>
      </c>
      <c r="AU1193" s="152"/>
      <c r="AV1193" s="147" t="str">
        <f>'Deterministic Reserve'!BC1193</f>
        <v/>
      </c>
      <c r="AY1193" s="152"/>
    </row>
    <row r="1194" spans="1:51" s="150" customFormat="1" x14ac:dyDescent="0.25">
      <c r="A1194" s="150" t="str">
        <f t="shared" si="394"/>
        <v/>
      </c>
      <c r="B1194" s="150" t="str">
        <f t="shared" si="395"/>
        <v/>
      </c>
      <c r="C1194" s="150" t="str">
        <f t="shared" si="396"/>
        <v/>
      </c>
      <c r="D1194" s="150" t="str">
        <f>IF(E1194="","",Input!$C$4+B1194-1)</f>
        <v/>
      </c>
      <c r="E1194" s="150" t="str">
        <f>IF(OR(AND(C1193=12,D1193=Input!$C$6),E1193=""),"",1)</f>
        <v/>
      </c>
      <c r="G1194" s="151" t="str">
        <f>IF(E1194="","",MAX(0,Input!$C$9-B1194))</f>
        <v/>
      </c>
      <c r="H1194" s="152" t="str">
        <f>IF(E1194="","",Input!$C$3)</f>
        <v/>
      </c>
      <c r="I1194" s="153" t="str">
        <f>IF(E1194="","",HLOOKUP($B1194,Input!$C$13:$BT$14,2))</f>
        <v/>
      </c>
      <c r="J1194" s="154"/>
      <c r="K1194" s="150" t="str">
        <f>IF($E1194="","",Input!$C$57)</f>
        <v/>
      </c>
      <c r="L1194" s="150" t="str">
        <f t="shared" si="387"/>
        <v/>
      </c>
      <c r="M1194" s="147" t="str">
        <f>IF($E1194="","",VLOOKUP(IF($B1194&lt;=Input!$C$7,$B1194,26),'Mortality Tables'!$A$72:$CA$97,IF($B1194&lt;=Input!$C$7+1,Input!$C$4-16,$D1194-Input!$C$7-16),0)/1000)</f>
        <v/>
      </c>
      <c r="N1194" s="147" t="str">
        <f t="shared" si="378"/>
        <v/>
      </c>
      <c r="O1194" s="157" t="str">
        <f>IF($E1194="","",IF($C1194=12,IF($B1194&lt;Input!$C$9,Input!$C$54,IF($B1194=Input!$C$9,Input!$C$55,Input!$C$56)),0%))</f>
        <v/>
      </c>
      <c r="P1194" s="167" t="str">
        <f>IF($E1194="","",IF($B1194=1,Input!$C$59,IF($B1194&lt;6,Input!$C$60,0%)))</f>
        <v/>
      </c>
      <c r="Q1194" s="162" t="str">
        <f>IF($E1194="","",Input!$C$58)</f>
        <v/>
      </c>
      <c r="R1194" s="156" t="str">
        <f t="shared" si="388"/>
        <v/>
      </c>
      <c r="S1194" s="154" t="str">
        <f t="shared" si="379"/>
        <v/>
      </c>
      <c r="T1194" s="152"/>
      <c r="U1194" s="150" t="str">
        <f t="shared" si="389"/>
        <v/>
      </c>
      <c r="V1194" s="150" t="str">
        <f t="shared" si="390"/>
        <v/>
      </c>
      <c r="W1194" s="168" t="str">
        <f t="shared" si="391"/>
        <v/>
      </c>
      <c r="X1194" s="163" t="str">
        <f t="shared" si="380"/>
        <v/>
      </c>
      <c r="Y1194" s="152"/>
      <c r="Z1194" s="164" t="str">
        <f>IF(AND($C1193=12,$D1193=Input!$C$6),0,IF($E1194="","",V1194+Z1195/(1+L1194)*R1194))</f>
        <v/>
      </c>
      <c r="AA1194" s="164" t="str">
        <f>IF(OR($M1194=1,AND($C1193=12,$D1193=Input!$C$6)),0,IF($E1194="","",W1194+(X1194+AA1195*$R1194)/(1+$L1194)))</f>
        <v/>
      </c>
      <c r="AB1194" s="160" t="str">
        <f t="shared" si="381"/>
        <v/>
      </c>
      <c r="AC1194" s="164" t="str">
        <f t="shared" si="382"/>
        <v/>
      </c>
      <c r="AD1194" s="164" t="str">
        <f>IF(AND($C1193=12,$D1193=Input!$C$6),0,IF($E1194="","",$AC1194+AD1195/(1+$L1194)*$R1194))</f>
        <v/>
      </c>
      <c r="AE1194" s="152"/>
      <c r="AF1194" s="164" t="str">
        <f>IF(AND($C1193=12,$D1193=Input!$C$6),0,IF($E1194="","",IF($B1194&gt;Input!$C$9,$AC1194,0)+AF1195/(1+$L1194)*$R1194))</f>
        <v/>
      </c>
      <c r="AG1194" s="164" t="str">
        <f>IF(AND($C1193=12,$D1193=Input!$C$6),0,IF($E1194="","",(IF($B1194&gt;Input!$C$9,$X1194,0)+AG1195)/(1+$L1194)*$R1194))</f>
        <v/>
      </c>
      <c r="AH1194" s="160" t="str">
        <f t="shared" si="383"/>
        <v/>
      </c>
      <c r="AI1194" s="160" t="str">
        <f>IF($E1194="","",MIN(Input!$C$61/AH1194,1))</f>
        <v/>
      </c>
      <c r="AJ1194" s="152"/>
      <c r="AK1194" s="164" t="str">
        <f>IF(AND($C1193=12,$D1193=Input!$C$6),0,IF($E1194="","",IF($B1194&gt;Input!$C$9,$AC1194*AI1194,0)+AK1195/(1+$L1194)*$R1194))</f>
        <v/>
      </c>
      <c r="AL1194" s="164" t="str">
        <f>IF(AND($C1193=12,$D1193=Input!$C$6),0,IF($E1194="","",IF($B1194&gt;Input!$C$9,0,$AC1194)+AL1195/(1+$L1194)*$R1194))</f>
        <v/>
      </c>
      <c r="AM1194" s="160" t="str">
        <f t="shared" si="384"/>
        <v/>
      </c>
      <c r="AN1194" s="164" t="str">
        <f>IF($E1194="","",IF($B1194&gt;Input!$C$9,$AI1194*$AC1194,$AM1194*$AC1194))</f>
        <v/>
      </c>
      <c r="AO1194" s="164" t="str">
        <f>IF(AND($C1193=12,$D1193=Input!$C$6),0,IF($E1194="","",$AN1194+AO1195/(1+$L1194)*$R1194))</f>
        <v/>
      </c>
      <c r="AP1194" s="152"/>
      <c r="AQ1194" s="150" t="str">
        <f t="shared" si="385"/>
        <v/>
      </c>
      <c r="AR1194" s="150" t="str">
        <f t="shared" si="392"/>
        <v/>
      </c>
      <c r="AS1194" s="150" t="str">
        <f t="shared" si="393"/>
        <v/>
      </c>
      <c r="AT1194" s="150" t="str">
        <f t="shared" si="386"/>
        <v/>
      </c>
      <c r="AU1194" s="152"/>
      <c r="AV1194" s="147" t="str">
        <f>'Deterministic Reserve'!BC1194</f>
        <v/>
      </c>
      <c r="AY1194" s="152"/>
    </row>
    <row r="1195" spans="1:51" s="150" customFormat="1" x14ac:dyDescent="0.25">
      <c r="A1195" s="150" t="str">
        <f t="shared" si="394"/>
        <v/>
      </c>
      <c r="B1195" s="150" t="str">
        <f t="shared" si="395"/>
        <v/>
      </c>
      <c r="C1195" s="150" t="str">
        <f t="shared" si="396"/>
        <v/>
      </c>
      <c r="D1195" s="150" t="str">
        <f>IF(E1195="","",Input!$C$4+B1195-1)</f>
        <v/>
      </c>
      <c r="E1195" s="150" t="str">
        <f>IF(OR(AND(C1194=12,D1194=Input!$C$6),E1194=""),"",1)</f>
        <v/>
      </c>
      <c r="G1195" s="151" t="str">
        <f>IF(E1195="","",MAX(0,Input!$C$9-B1195))</f>
        <v/>
      </c>
      <c r="H1195" s="152" t="str">
        <f>IF(E1195="","",Input!$C$3)</f>
        <v/>
      </c>
      <c r="I1195" s="153" t="str">
        <f>IF(E1195="","",HLOOKUP($B1195,Input!$C$13:$BT$14,2))</f>
        <v/>
      </c>
      <c r="J1195" s="154"/>
      <c r="K1195" s="150" t="str">
        <f>IF($E1195="","",Input!$C$57)</f>
        <v/>
      </c>
      <c r="L1195" s="150" t="str">
        <f t="shared" si="387"/>
        <v/>
      </c>
      <c r="M1195" s="147" t="str">
        <f>IF($E1195="","",VLOOKUP(IF($B1195&lt;=Input!$C$7,$B1195,26),'Mortality Tables'!$A$72:$CA$97,IF($B1195&lt;=Input!$C$7+1,Input!$C$4-16,$D1195-Input!$C$7-16),0)/1000)</f>
        <v/>
      </c>
      <c r="N1195" s="147" t="str">
        <f t="shared" si="378"/>
        <v/>
      </c>
      <c r="O1195" s="157" t="str">
        <f>IF($E1195="","",IF($C1195=12,IF($B1195&lt;Input!$C$9,Input!$C$54,IF($B1195=Input!$C$9,Input!$C$55,Input!$C$56)),0%))</f>
        <v/>
      </c>
      <c r="P1195" s="167" t="str">
        <f>IF($E1195="","",IF($B1195=1,Input!$C$59,IF($B1195&lt;6,Input!$C$60,0%)))</f>
        <v/>
      </c>
      <c r="Q1195" s="162" t="str">
        <f>IF($E1195="","",Input!$C$58)</f>
        <v/>
      </c>
      <c r="R1195" s="156" t="str">
        <f t="shared" si="388"/>
        <v/>
      </c>
      <c r="S1195" s="154" t="str">
        <f t="shared" si="379"/>
        <v/>
      </c>
      <c r="T1195" s="152"/>
      <c r="U1195" s="150" t="str">
        <f t="shared" si="389"/>
        <v/>
      </c>
      <c r="V1195" s="150" t="str">
        <f t="shared" si="390"/>
        <v/>
      </c>
      <c r="W1195" s="168" t="str">
        <f t="shared" si="391"/>
        <v/>
      </c>
      <c r="X1195" s="163" t="str">
        <f t="shared" si="380"/>
        <v/>
      </c>
      <c r="Y1195" s="152"/>
      <c r="Z1195" s="164" t="str">
        <f>IF(AND($C1194=12,$D1194=Input!$C$6),0,IF($E1195="","",V1195+Z1196/(1+L1195)*R1195))</f>
        <v/>
      </c>
      <c r="AA1195" s="164" t="str">
        <f>IF(OR($M1195=1,AND($C1194=12,$D1194=Input!$C$6)),0,IF($E1195="","",W1195+(X1195+AA1196*$R1195)/(1+$L1195)))</f>
        <v/>
      </c>
      <c r="AB1195" s="160" t="str">
        <f t="shared" si="381"/>
        <v/>
      </c>
      <c r="AC1195" s="164" t="str">
        <f t="shared" si="382"/>
        <v/>
      </c>
      <c r="AD1195" s="164" t="str">
        <f>IF(AND($C1194=12,$D1194=Input!$C$6),0,IF($E1195="","",$AC1195+AD1196/(1+$L1195)*$R1195))</f>
        <v/>
      </c>
      <c r="AE1195" s="152"/>
      <c r="AF1195" s="164" t="str">
        <f>IF(AND($C1194=12,$D1194=Input!$C$6),0,IF($E1195="","",IF($B1195&gt;Input!$C$9,$AC1195,0)+AF1196/(1+$L1195)*$R1195))</f>
        <v/>
      </c>
      <c r="AG1195" s="164" t="str">
        <f>IF(AND($C1194=12,$D1194=Input!$C$6),0,IF($E1195="","",(IF($B1195&gt;Input!$C$9,$X1195,0)+AG1196)/(1+$L1195)*$R1195))</f>
        <v/>
      </c>
      <c r="AH1195" s="160" t="str">
        <f t="shared" si="383"/>
        <v/>
      </c>
      <c r="AI1195" s="160" t="str">
        <f>IF($E1195="","",MIN(Input!$C$61/AH1195,1))</f>
        <v/>
      </c>
      <c r="AJ1195" s="152"/>
      <c r="AK1195" s="164" t="str">
        <f>IF(AND($C1194=12,$D1194=Input!$C$6),0,IF($E1195="","",IF($B1195&gt;Input!$C$9,$AC1195*AI1195,0)+AK1196/(1+$L1195)*$R1195))</f>
        <v/>
      </c>
      <c r="AL1195" s="164" t="str">
        <f>IF(AND($C1194=12,$D1194=Input!$C$6),0,IF($E1195="","",IF($B1195&gt;Input!$C$9,0,$AC1195)+AL1196/(1+$L1195)*$R1195))</f>
        <v/>
      </c>
      <c r="AM1195" s="160" t="str">
        <f t="shared" si="384"/>
        <v/>
      </c>
      <c r="AN1195" s="164" t="str">
        <f>IF($E1195="","",IF($B1195&gt;Input!$C$9,$AI1195*$AC1195,$AM1195*$AC1195))</f>
        <v/>
      </c>
      <c r="AO1195" s="164" t="str">
        <f>IF(AND($C1194=12,$D1194=Input!$C$6),0,IF($E1195="","",$AN1195+AO1196/(1+$L1195)*$R1195))</f>
        <v/>
      </c>
      <c r="AP1195" s="152"/>
      <c r="AQ1195" s="150" t="str">
        <f t="shared" si="385"/>
        <v/>
      </c>
      <c r="AR1195" s="150" t="str">
        <f t="shared" si="392"/>
        <v/>
      </c>
      <c r="AS1195" s="150" t="str">
        <f t="shared" si="393"/>
        <v/>
      </c>
      <c r="AT1195" s="150" t="str">
        <f t="shared" si="386"/>
        <v/>
      </c>
      <c r="AU1195" s="152"/>
      <c r="AV1195" s="147" t="str">
        <f>'Deterministic Reserve'!BC1195</f>
        <v/>
      </c>
      <c r="AY1195" s="152"/>
    </row>
    <row r="1196" spans="1:51" s="150" customFormat="1" x14ac:dyDescent="0.25">
      <c r="A1196" s="150" t="str">
        <f t="shared" si="394"/>
        <v/>
      </c>
      <c r="B1196" s="150" t="str">
        <f t="shared" si="395"/>
        <v/>
      </c>
      <c r="C1196" s="150" t="str">
        <f t="shared" si="396"/>
        <v/>
      </c>
      <c r="D1196" s="150" t="str">
        <f>IF(E1196="","",Input!$C$4+B1196-1)</f>
        <v/>
      </c>
      <c r="E1196" s="150" t="str">
        <f>IF(OR(AND(C1195=12,D1195=Input!$C$6),E1195=""),"",1)</f>
        <v/>
      </c>
      <c r="G1196" s="151" t="str">
        <f>IF(E1196="","",MAX(0,Input!$C$9-B1196))</f>
        <v/>
      </c>
      <c r="H1196" s="152" t="str">
        <f>IF(E1196="","",Input!$C$3)</f>
        <v/>
      </c>
      <c r="I1196" s="153" t="str">
        <f>IF(E1196="","",HLOOKUP($B1196,Input!$C$13:$BT$14,2))</f>
        <v/>
      </c>
      <c r="J1196" s="154"/>
      <c r="K1196" s="150" t="str">
        <f>IF($E1196="","",Input!$C$57)</f>
        <v/>
      </c>
      <c r="L1196" s="150" t="str">
        <f t="shared" si="387"/>
        <v/>
      </c>
      <c r="M1196" s="147" t="str">
        <f>IF($E1196="","",VLOOKUP(IF($B1196&lt;=Input!$C$7,$B1196,26),'Mortality Tables'!$A$72:$CA$97,IF($B1196&lt;=Input!$C$7+1,Input!$C$4-16,$D1196-Input!$C$7-16),0)/1000)</f>
        <v/>
      </c>
      <c r="N1196" s="147" t="str">
        <f t="shared" si="378"/>
        <v/>
      </c>
      <c r="O1196" s="157" t="str">
        <f>IF($E1196="","",IF($C1196=12,IF($B1196&lt;Input!$C$9,Input!$C$54,IF($B1196=Input!$C$9,Input!$C$55,Input!$C$56)),0%))</f>
        <v/>
      </c>
      <c r="P1196" s="167" t="str">
        <f>IF($E1196="","",IF($B1196=1,Input!$C$59,IF($B1196&lt;6,Input!$C$60,0%)))</f>
        <v/>
      </c>
      <c r="Q1196" s="162" t="str">
        <f>IF($E1196="","",Input!$C$58)</f>
        <v/>
      </c>
      <c r="R1196" s="156" t="str">
        <f t="shared" si="388"/>
        <v/>
      </c>
      <c r="S1196" s="154" t="str">
        <f t="shared" si="379"/>
        <v/>
      </c>
      <c r="T1196" s="152"/>
      <c r="U1196" s="150" t="str">
        <f t="shared" si="389"/>
        <v/>
      </c>
      <c r="V1196" s="150" t="str">
        <f t="shared" si="390"/>
        <v/>
      </c>
      <c r="W1196" s="168" t="str">
        <f t="shared" si="391"/>
        <v/>
      </c>
      <c r="X1196" s="163" t="str">
        <f t="shared" si="380"/>
        <v/>
      </c>
      <c r="Y1196" s="152"/>
      <c r="Z1196" s="164" t="str">
        <f>IF(AND($C1195=12,$D1195=Input!$C$6),0,IF($E1196="","",V1196+Z1197/(1+L1196)*R1196))</f>
        <v/>
      </c>
      <c r="AA1196" s="164" t="str">
        <f>IF(OR($M1196=1,AND($C1195=12,$D1195=Input!$C$6)),0,IF($E1196="","",W1196+(X1196+AA1197*$R1196)/(1+$L1196)))</f>
        <v/>
      </c>
      <c r="AB1196" s="160" t="str">
        <f t="shared" si="381"/>
        <v/>
      </c>
      <c r="AC1196" s="164" t="str">
        <f t="shared" si="382"/>
        <v/>
      </c>
      <c r="AD1196" s="164" t="str">
        <f>IF(AND($C1195=12,$D1195=Input!$C$6),0,IF($E1196="","",$AC1196+AD1197/(1+$L1196)*$R1196))</f>
        <v/>
      </c>
      <c r="AE1196" s="152"/>
      <c r="AF1196" s="164" t="str">
        <f>IF(AND($C1195=12,$D1195=Input!$C$6),0,IF($E1196="","",IF($B1196&gt;Input!$C$9,$AC1196,0)+AF1197/(1+$L1196)*$R1196))</f>
        <v/>
      </c>
      <c r="AG1196" s="164" t="str">
        <f>IF(AND($C1195=12,$D1195=Input!$C$6),0,IF($E1196="","",(IF($B1196&gt;Input!$C$9,$X1196,0)+AG1197)/(1+$L1196)*$R1196))</f>
        <v/>
      </c>
      <c r="AH1196" s="160" t="str">
        <f t="shared" si="383"/>
        <v/>
      </c>
      <c r="AI1196" s="160" t="str">
        <f>IF($E1196="","",MIN(Input!$C$61/AH1196,1))</f>
        <v/>
      </c>
      <c r="AJ1196" s="152"/>
      <c r="AK1196" s="164" t="str">
        <f>IF(AND($C1195=12,$D1195=Input!$C$6),0,IF($E1196="","",IF($B1196&gt;Input!$C$9,$AC1196*AI1196,0)+AK1197/(1+$L1196)*$R1196))</f>
        <v/>
      </c>
      <c r="AL1196" s="164" t="str">
        <f>IF(AND($C1195=12,$D1195=Input!$C$6),0,IF($E1196="","",IF($B1196&gt;Input!$C$9,0,$AC1196)+AL1197/(1+$L1196)*$R1196))</f>
        <v/>
      </c>
      <c r="AM1196" s="160" t="str">
        <f t="shared" si="384"/>
        <v/>
      </c>
      <c r="AN1196" s="164" t="str">
        <f>IF($E1196="","",IF($B1196&gt;Input!$C$9,$AI1196*$AC1196,$AM1196*$AC1196))</f>
        <v/>
      </c>
      <c r="AO1196" s="164" t="str">
        <f>IF(AND($C1195=12,$D1195=Input!$C$6),0,IF($E1196="","",$AN1196+AO1197/(1+$L1196)*$R1196))</f>
        <v/>
      </c>
      <c r="AP1196" s="152"/>
      <c r="AQ1196" s="150" t="str">
        <f t="shared" si="385"/>
        <v/>
      </c>
      <c r="AR1196" s="150" t="str">
        <f t="shared" si="392"/>
        <v/>
      </c>
      <c r="AS1196" s="150" t="str">
        <f t="shared" si="393"/>
        <v/>
      </c>
      <c r="AT1196" s="150" t="str">
        <f t="shared" si="386"/>
        <v/>
      </c>
      <c r="AU1196" s="152"/>
      <c r="AV1196" s="147" t="str">
        <f>'Deterministic Reserve'!BC1196</f>
        <v/>
      </c>
      <c r="AY1196" s="152"/>
    </row>
    <row r="1197" spans="1:51" s="150" customFormat="1" x14ac:dyDescent="0.25">
      <c r="A1197" s="150" t="str">
        <f t="shared" si="394"/>
        <v/>
      </c>
      <c r="B1197" s="150" t="str">
        <f t="shared" si="395"/>
        <v/>
      </c>
      <c r="C1197" s="150" t="str">
        <f t="shared" si="396"/>
        <v/>
      </c>
      <c r="D1197" s="150" t="str">
        <f>IF(E1197="","",Input!$C$4+B1197-1)</f>
        <v/>
      </c>
      <c r="E1197" s="150" t="str">
        <f>IF(OR(AND(C1196=12,D1196=Input!$C$6),E1196=""),"",1)</f>
        <v/>
      </c>
      <c r="G1197" s="151" t="str">
        <f>IF(E1197="","",MAX(0,Input!$C$9-B1197))</f>
        <v/>
      </c>
      <c r="H1197" s="152" t="str">
        <f>IF(E1197="","",Input!$C$3)</f>
        <v/>
      </c>
      <c r="I1197" s="153" t="str">
        <f>IF(E1197="","",HLOOKUP($B1197,Input!$C$13:$BT$14,2))</f>
        <v/>
      </c>
      <c r="J1197" s="154"/>
      <c r="K1197" s="150" t="str">
        <f>IF($E1197="","",Input!$C$57)</f>
        <v/>
      </c>
      <c r="L1197" s="150" t="str">
        <f t="shared" si="387"/>
        <v/>
      </c>
      <c r="M1197" s="147" t="str">
        <f>IF($E1197="","",VLOOKUP(IF($B1197&lt;=Input!$C$7,$B1197,26),'Mortality Tables'!$A$72:$CA$97,IF($B1197&lt;=Input!$C$7+1,Input!$C$4-16,$D1197-Input!$C$7-16),0)/1000)</f>
        <v/>
      </c>
      <c r="N1197" s="147" t="str">
        <f t="shared" si="378"/>
        <v/>
      </c>
      <c r="O1197" s="157" t="str">
        <f>IF($E1197="","",IF($C1197=12,IF($B1197&lt;Input!$C$9,Input!$C$54,IF($B1197=Input!$C$9,Input!$C$55,Input!$C$56)),0%))</f>
        <v/>
      </c>
      <c r="P1197" s="167" t="str">
        <f>IF($E1197="","",IF($B1197=1,Input!$C$59,IF($B1197&lt;6,Input!$C$60,0%)))</f>
        <v/>
      </c>
      <c r="Q1197" s="162" t="str">
        <f>IF($E1197="","",Input!$C$58)</f>
        <v/>
      </c>
      <c r="R1197" s="156" t="str">
        <f t="shared" si="388"/>
        <v/>
      </c>
      <c r="S1197" s="154" t="str">
        <f t="shared" si="379"/>
        <v/>
      </c>
      <c r="T1197" s="152"/>
      <c r="U1197" s="150" t="str">
        <f t="shared" si="389"/>
        <v/>
      </c>
      <c r="V1197" s="150" t="str">
        <f t="shared" si="390"/>
        <v/>
      </c>
      <c r="W1197" s="168" t="str">
        <f t="shared" si="391"/>
        <v/>
      </c>
      <c r="X1197" s="163" t="str">
        <f t="shared" si="380"/>
        <v/>
      </c>
      <c r="Y1197" s="152"/>
      <c r="Z1197" s="164" t="str">
        <f>IF(AND($C1196=12,$D1196=Input!$C$6),0,IF($E1197="","",V1197+Z1198/(1+L1197)*R1197))</f>
        <v/>
      </c>
      <c r="AA1197" s="164" t="str">
        <f>IF(OR($M1197=1,AND($C1196=12,$D1196=Input!$C$6)),0,IF($E1197="","",W1197+(X1197+AA1198*$R1197)/(1+$L1197)))</f>
        <v/>
      </c>
      <c r="AB1197" s="160" t="str">
        <f t="shared" si="381"/>
        <v/>
      </c>
      <c r="AC1197" s="164" t="str">
        <f t="shared" si="382"/>
        <v/>
      </c>
      <c r="AD1197" s="164" t="str">
        <f>IF(AND($C1196=12,$D1196=Input!$C$6),0,IF($E1197="","",$AC1197+AD1198/(1+$L1197)*$R1197))</f>
        <v/>
      </c>
      <c r="AE1197" s="152"/>
      <c r="AF1197" s="164" t="str">
        <f>IF(AND($C1196=12,$D1196=Input!$C$6),0,IF($E1197="","",IF($B1197&gt;Input!$C$9,$AC1197,0)+AF1198/(1+$L1197)*$R1197))</f>
        <v/>
      </c>
      <c r="AG1197" s="164" t="str">
        <f>IF(AND($C1196=12,$D1196=Input!$C$6),0,IF($E1197="","",(IF($B1197&gt;Input!$C$9,$X1197,0)+AG1198)/(1+$L1197)*$R1197))</f>
        <v/>
      </c>
      <c r="AH1197" s="160" t="str">
        <f t="shared" si="383"/>
        <v/>
      </c>
      <c r="AI1197" s="160" t="str">
        <f>IF($E1197="","",MIN(Input!$C$61/AH1197,1))</f>
        <v/>
      </c>
      <c r="AJ1197" s="152"/>
      <c r="AK1197" s="164" t="str">
        <f>IF(AND($C1196=12,$D1196=Input!$C$6),0,IF($E1197="","",IF($B1197&gt;Input!$C$9,$AC1197*AI1197,0)+AK1198/(1+$L1197)*$R1197))</f>
        <v/>
      </c>
      <c r="AL1197" s="164" t="str">
        <f>IF(AND($C1196=12,$D1196=Input!$C$6),0,IF($E1197="","",IF($B1197&gt;Input!$C$9,0,$AC1197)+AL1198/(1+$L1197)*$R1197))</f>
        <v/>
      </c>
      <c r="AM1197" s="160" t="str">
        <f t="shared" si="384"/>
        <v/>
      </c>
      <c r="AN1197" s="164" t="str">
        <f>IF($E1197="","",IF($B1197&gt;Input!$C$9,$AI1197*$AC1197,$AM1197*$AC1197))</f>
        <v/>
      </c>
      <c r="AO1197" s="164" t="str">
        <f>IF(AND($C1196=12,$D1196=Input!$C$6),0,IF($E1197="","",$AN1197+AO1198/(1+$L1197)*$R1197))</f>
        <v/>
      </c>
      <c r="AP1197" s="152"/>
      <c r="AQ1197" s="150" t="str">
        <f t="shared" si="385"/>
        <v/>
      </c>
      <c r="AR1197" s="150" t="str">
        <f t="shared" si="392"/>
        <v/>
      </c>
      <c r="AS1197" s="150" t="str">
        <f t="shared" si="393"/>
        <v/>
      </c>
      <c r="AT1197" s="150" t="str">
        <f t="shared" si="386"/>
        <v/>
      </c>
      <c r="AU1197" s="152"/>
      <c r="AV1197" s="147" t="str">
        <f>'Deterministic Reserve'!BC1197</f>
        <v/>
      </c>
      <c r="AY1197" s="152"/>
    </row>
    <row r="1198" spans="1:51" s="150" customFormat="1" x14ac:dyDescent="0.25">
      <c r="A1198" s="150" t="str">
        <f t="shared" si="394"/>
        <v/>
      </c>
      <c r="B1198" s="150" t="str">
        <f t="shared" si="395"/>
        <v/>
      </c>
      <c r="C1198" s="150" t="str">
        <f t="shared" si="396"/>
        <v/>
      </c>
      <c r="D1198" s="150" t="str">
        <f>IF(E1198="","",Input!$C$4+B1198-1)</f>
        <v/>
      </c>
      <c r="E1198" s="150" t="str">
        <f>IF(OR(AND(C1197=12,D1197=Input!$C$6),E1197=""),"",1)</f>
        <v/>
      </c>
      <c r="G1198" s="151" t="str">
        <f>IF(E1198="","",MAX(0,Input!$C$9-B1198))</f>
        <v/>
      </c>
      <c r="H1198" s="152" t="str">
        <f>IF(E1198="","",Input!$C$3)</f>
        <v/>
      </c>
      <c r="I1198" s="153" t="str">
        <f>IF(E1198="","",HLOOKUP($B1198,Input!$C$13:$BT$14,2))</f>
        <v/>
      </c>
      <c r="J1198" s="154"/>
      <c r="K1198" s="150" t="str">
        <f>IF($E1198="","",Input!$C$57)</f>
        <v/>
      </c>
      <c r="L1198" s="150" t="str">
        <f t="shared" si="387"/>
        <v/>
      </c>
      <c r="M1198" s="147" t="str">
        <f>IF($E1198="","",VLOOKUP(IF($B1198&lt;=Input!$C$7,$B1198,26),'Mortality Tables'!$A$72:$CA$97,IF($B1198&lt;=Input!$C$7+1,Input!$C$4-16,$D1198-Input!$C$7-16),0)/1000)</f>
        <v/>
      </c>
      <c r="N1198" s="147" t="str">
        <f t="shared" si="378"/>
        <v/>
      </c>
      <c r="O1198" s="157" t="str">
        <f>IF($E1198="","",IF($C1198=12,IF($B1198&lt;Input!$C$9,Input!$C$54,IF($B1198=Input!$C$9,Input!$C$55,Input!$C$56)),0%))</f>
        <v/>
      </c>
      <c r="P1198" s="167" t="str">
        <f>IF($E1198="","",IF($B1198=1,Input!$C$59,IF($B1198&lt;6,Input!$C$60,0%)))</f>
        <v/>
      </c>
      <c r="Q1198" s="162" t="str">
        <f>IF($E1198="","",Input!$C$58)</f>
        <v/>
      </c>
      <c r="R1198" s="156" t="str">
        <f t="shared" si="388"/>
        <v/>
      </c>
      <c r="S1198" s="154" t="str">
        <f t="shared" si="379"/>
        <v/>
      </c>
      <c r="T1198" s="152"/>
      <c r="U1198" s="150" t="str">
        <f t="shared" si="389"/>
        <v/>
      </c>
      <c r="V1198" s="150" t="str">
        <f t="shared" si="390"/>
        <v/>
      </c>
      <c r="W1198" s="168" t="str">
        <f t="shared" si="391"/>
        <v/>
      </c>
      <c r="X1198" s="163" t="str">
        <f t="shared" si="380"/>
        <v/>
      </c>
      <c r="Y1198" s="152"/>
      <c r="Z1198" s="164" t="str">
        <f>IF(AND($C1197=12,$D1197=Input!$C$6),0,IF($E1198="","",V1198+Z1199/(1+L1198)*R1198))</f>
        <v/>
      </c>
      <c r="AA1198" s="164" t="str">
        <f>IF(OR($M1198=1,AND($C1197=12,$D1197=Input!$C$6)),0,IF($E1198="","",W1198+(X1198+AA1199*$R1198)/(1+$L1198)))</f>
        <v/>
      </c>
      <c r="AB1198" s="160" t="str">
        <f t="shared" si="381"/>
        <v/>
      </c>
      <c r="AC1198" s="164" t="str">
        <f t="shared" si="382"/>
        <v/>
      </c>
      <c r="AD1198" s="164" t="str">
        <f>IF(AND($C1197=12,$D1197=Input!$C$6),0,IF($E1198="","",$AC1198+AD1199/(1+$L1198)*$R1198))</f>
        <v/>
      </c>
      <c r="AE1198" s="152"/>
      <c r="AF1198" s="164" t="str">
        <f>IF(AND($C1197=12,$D1197=Input!$C$6),0,IF($E1198="","",IF($B1198&gt;Input!$C$9,$AC1198,0)+AF1199/(1+$L1198)*$R1198))</f>
        <v/>
      </c>
      <c r="AG1198" s="164" t="str">
        <f>IF(AND($C1197=12,$D1197=Input!$C$6),0,IF($E1198="","",(IF($B1198&gt;Input!$C$9,$X1198,0)+AG1199)/(1+$L1198)*$R1198))</f>
        <v/>
      </c>
      <c r="AH1198" s="160" t="str">
        <f t="shared" si="383"/>
        <v/>
      </c>
      <c r="AI1198" s="160" t="str">
        <f>IF($E1198="","",MIN(Input!$C$61/AH1198,1))</f>
        <v/>
      </c>
      <c r="AJ1198" s="152"/>
      <c r="AK1198" s="164" t="str">
        <f>IF(AND($C1197=12,$D1197=Input!$C$6),0,IF($E1198="","",IF($B1198&gt;Input!$C$9,$AC1198*AI1198,0)+AK1199/(1+$L1198)*$R1198))</f>
        <v/>
      </c>
      <c r="AL1198" s="164" t="str">
        <f>IF(AND($C1197=12,$D1197=Input!$C$6),0,IF($E1198="","",IF($B1198&gt;Input!$C$9,0,$AC1198)+AL1199/(1+$L1198)*$R1198))</f>
        <v/>
      </c>
      <c r="AM1198" s="160" t="str">
        <f t="shared" si="384"/>
        <v/>
      </c>
      <c r="AN1198" s="164" t="str">
        <f>IF($E1198="","",IF($B1198&gt;Input!$C$9,$AI1198*$AC1198,$AM1198*$AC1198))</f>
        <v/>
      </c>
      <c r="AO1198" s="164" t="str">
        <f>IF(AND($C1197=12,$D1197=Input!$C$6),0,IF($E1198="","",$AN1198+AO1199/(1+$L1198)*$R1198))</f>
        <v/>
      </c>
      <c r="AP1198" s="152"/>
      <c r="AQ1198" s="150" t="str">
        <f t="shared" si="385"/>
        <v/>
      </c>
      <c r="AR1198" s="150" t="str">
        <f t="shared" si="392"/>
        <v/>
      </c>
      <c r="AS1198" s="150" t="str">
        <f t="shared" si="393"/>
        <v/>
      </c>
      <c r="AT1198" s="150" t="str">
        <f t="shared" si="386"/>
        <v/>
      </c>
      <c r="AU1198" s="152"/>
      <c r="AV1198" s="147" t="str">
        <f>'Deterministic Reserve'!BC1198</f>
        <v/>
      </c>
      <c r="AY1198" s="152"/>
    </row>
    <row r="1199" spans="1:51" s="150" customFormat="1" x14ac:dyDescent="0.25">
      <c r="A1199" s="150" t="str">
        <f t="shared" si="394"/>
        <v/>
      </c>
      <c r="B1199" s="150" t="str">
        <f t="shared" si="395"/>
        <v/>
      </c>
      <c r="C1199" s="150" t="str">
        <f t="shared" si="396"/>
        <v/>
      </c>
      <c r="D1199" s="150" t="str">
        <f>IF(E1199="","",Input!$C$4+B1199-1)</f>
        <v/>
      </c>
      <c r="E1199" s="150" t="str">
        <f>IF(OR(AND(C1198=12,D1198=Input!$C$6),E1198=""),"",1)</f>
        <v/>
      </c>
      <c r="G1199" s="151" t="str">
        <f>IF(E1199="","",MAX(0,Input!$C$9-B1199))</f>
        <v/>
      </c>
      <c r="H1199" s="152" t="str">
        <f>IF(E1199="","",Input!$C$3)</f>
        <v/>
      </c>
      <c r="I1199" s="153" t="str">
        <f>IF(E1199="","",HLOOKUP($B1199,Input!$C$13:$BT$14,2))</f>
        <v/>
      </c>
      <c r="J1199" s="154"/>
      <c r="K1199" s="150" t="str">
        <f>IF($E1199="","",Input!$C$57)</f>
        <v/>
      </c>
      <c r="L1199" s="150" t="str">
        <f t="shared" si="387"/>
        <v/>
      </c>
      <c r="M1199" s="147" t="str">
        <f>IF($E1199="","",VLOOKUP(IF($B1199&lt;=Input!$C$7,$B1199,26),'Mortality Tables'!$A$72:$CA$97,IF($B1199&lt;=Input!$C$7+1,Input!$C$4-16,$D1199-Input!$C$7-16),0)/1000)</f>
        <v/>
      </c>
      <c r="N1199" s="147" t="str">
        <f t="shared" si="378"/>
        <v/>
      </c>
      <c r="O1199" s="157" t="str">
        <f>IF($E1199="","",IF($C1199=12,IF($B1199&lt;Input!$C$9,Input!$C$54,IF($B1199=Input!$C$9,Input!$C$55,Input!$C$56)),0%))</f>
        <v/>
      </c>
      <c r="P1199" s="167" t="str">
        <f>IF($E1199="","",IF($B1199=1,Input!$C$59,IF($B1199&lt;6,Input!$C$60,0%)))</f>
        <v/>
      </c>
      <c r="Q1199" s="162" t="str">
        <f>IF($E1199="","",Input!$C$58)</f>
        <v/>
      </c>
      <c r="R1199" s="156" t="str">
        <f t="shared" si="388"/>
        <v/>
      </c>
      <c r="S1199" s="154" t="str">
        <f t="shared" si="379"/>
        <v/>
      </c>
      <c r="T1199" s="152"/>
      <c r="U1199" s="150" t="str">
        <f t="shared" si="389"/>
        <v/>
      </c>
      <c r="V1199" s="150" t="str">
        <f t="shared" si="390"/>
        <v/>
      </c>
      <c r="W1199" s="168" t="str">
        <f t="shared" si="391"/>
        <v/>
      </c>
      <c r="X1199" s="163" t="str">
        <f t="shared" si="380"/>
        <v/>
      </c>
      <c r="Y1199" s="152"/>
      <c r="Z1199" s="164" t="str">
        <f>IF(AND($C1198=12,$D1198=Input!$C$6),0,IF($E1199="","",V1199+Z1200/(1+L1199)*R1199))</f>
        <v/>
      </c>
      <c r="AA1199" s="164" t="str">
        <f>IF(OR($M1199=1,AND($C1198=12,$D1198=Input!$C$6)),0,IF($E1199="","",W1199+(X1199+AA1200*$R1199)/(1+$L1199)))</f>
        <v/>
      </c>
      <c r="AB1199" s="160" t="str">
        <f t="shared" si="381"/>
        <v/>
      </c>
      <c r="AC1199" s="164" t="str">
        <f t="shared" si="382"/>
        <v/>
      </c>
      <c r="AD1199" s="164" t="str">
        <f>IF(AND($C1198=12,$D1198=Input!$C$6),0,IF($E1199="","",$AC1199+AD1200/(1+$L1199)*$R1199))</f>
        <v/>
      </c>
      <c r="AE1199" s="152"/>
      <c r="AF1199" s="164" t="str">
        <f>IF(AND($C1198=12,$D1198=Input!$C$6),0,IF($E1199="","",IF($B1199&gt;Input!$C$9,$AC1199,0)+AF1200/(1+$L1199)*$R1199))</f>
        <v/>
      </c>
      <c r="AG1199" s="164" t="str">
        <f>IF(AND($C1198=12,$D1198=Input!$C$6),0,IF($E1199="","",(IF($B1199&gt;Input!$C$9,$X1199,0)+AG1200)/(1+$L1199)*$R1199))</f>
        <v/>
      </c>
      <c r="AH1199" s="160" t="str">
        <f t="shared" si="383"/>
        <v/>
      </c>
      <c r="AI1199" s="160" t="str">
        <f>IF($E1199="","",MIN(Input!$C$61/AH1199,1))</f>
        <v/>
      </c>
      <c r="AJ1199" s="152"/>
      <c r="AK1199" s="164" t="str">
        <f>IF(AND($C1198=12,$D1198=Input!$C$6),0,IF($E1199="","",IF($B1199&gt;Input!$C$9,$AC1199*AI1199,0)+AK1200/(1+$L1199)*$R1199))</f>
        <v/>
      </c>
      <c r="AL1199" s="164" t="str">
        <f>IF(AND($C1198=12,$D1198=Input!$C$6),0,IF($E1199="","",IF($B1199&gt;Input!$C$9,0,$AC1199)+AL1200/(1+$L1199)*$R1199))</f>
        <v/>
      </c>
      <c r="AM1199" s="160" t="str">
        <f t="shared" si="384"/>
        <v/>
      </c>
      <c r="AN1199" s="164" t="str">
        <f>IF($E1199="","",IF($B1199&gt;Input!$C$9,$AI1199*$AC1199,$AM1199*$AC1199))</f>
        <v/>
      </c>
      <c r="AO1199" s="164" t="str">
        <f>IF(AND($C1198=12,$D1198=Input!$C$6),0,IF($E1199="","",$AN1199+AO1200/(1+$L1199)*$R1199))</f>
        <v/>
      </c>
      <c r="AP1199" s="152"/>
      <c r="AQ1199" s="150" t="str">
        <f t="shared" si="385"/>
        <v/>
      </c>
      <c r="AR1199" s="150" t="str">
        <f t="shared" si="392"/>
        <v/>
      </c>
      <c r="AS1199" s="150" t="str">
        <f t="shared" si="393"/>
        <v/>
      </c>
      <c r="AT1199" s="150" t="str">
        <f t="shared" si="386"/>
        <v/>
      </c>
      <c r="AU1199" s="152"/>
      <c r="AV1199" s="147" t="str">
        <f>'Deterministic Reserve'!BC1199</f>
        <v/>
      </c>
      <c r="AY1199" s="152"/>
    </row>
    <row r="1200" spans="1:51" s="150" customFormat="1" x14ac:dyDescent="0.25">
      <c r="A1200" s="150" t="str">
        <f t="shared" si="394"/>
        <v/>
      </c>
      <c r="B1200" s="150" t="str">
        <f t="shared" si="395"/>
        <v/>
      </c>
      <c r="C1200" s="150" t="str">
        <f t="shared" si="396"/>
        <v/>
      </c>
      <c r="D1200" s="150" t="str">
        <f>IF(E1200="","",Input!$C$4+B1200-1)</f>
        <v/>
      </c>
      <c r="E1200" s="150" t="str">
        <f>IF(OR(AND(C1199=12,D1199=Input!$C$6),E1199=""),"",1)</f>
        <v/>
      </c>
      <c r="G1200" s="151" t="str">
        <f>IF(E1200="","",MAX(0,Input!$C$9-B1200))</f>
        <v/>
      </c>
      <c r="H1200" s="152" t="str">
        <f>IF(E1200="","",Input!$C$3)</f>
        <v/>
      </c>
      <c r="I1200" s="153" t="str">
        <f>IF(E1200="","",HLOOKUP($B1200,Input!$C$13:$BT$14,2))</f>
        <v/>
      </c>
      <c r="J1200" s="154"/>
      <c r="K1200" s="150" t="str">
        <f>IF($E1200="","",Input!$C$57)</f>
        <v/>
      </c>
      <c r="L1200" s="150" t="str">
        <f t="shared" si="387"/>
        <v/>
      </c>
      <c r="M1200" s="147" t="str">
        <f>IF($E1200="","",VLOOKUP(IF($B1200&lt;=Input!$C$7,$B1200,26),'Mortality Tables'!$A$72:$CA$97,IF($B1200&lt;=Input!$C$7+1,Input!$C$4-16,$D1200-Input!$C$7-16),0)/1000)</f>
        <v/>
      </c>
      <c r="N1200" s="147" t="str">
        <f t="shared" si="378"/>
        <v/>
      </c>
      <c r="O1200" s="157" t="str">
        <f>IF($E1200="","",IF($C1200=12,IF($B1200&lt;Input!$C$9,Input!$C$54,IF($B1200=Input!$C$9,Input!$C$55,Input!$C$56)),0%))</f>
        <v/>
      </c>
      <c r="P1200" s="167" t="str">
        <f>IF($E1200="","",IF($B1200=1,Input!$C$59,IF($B1200&lt;6,Input!$C$60,0%)))</f>
        <v/>
      </c>
      <c r="Q1200" s="162" t="str">
        <f>IF($E1200="","",Input!$C$58)</f>
        <v/>
      </c>
      <c r="R1200" s="156" t="str">
        <f t="shared" si="388"/>
        <v/>
      </c>
      <c r="S1200" s="154" t="str">
        <f t="shared" si="379"/>
        <v/>
      </c>
      <c r="T1200" s="152"/>
      <c r="U1200" s="150" t="str">
        <f t="shared" si="389"/>
        <v/>
      </c>
      <c r="V1200" s="150" t="str">
        <f t="shared" si="390"/>
        <v/>
      </c>
      <c r="W1200" s="168" t="str">
        <f t="shared" si="391"/>
        <v/>
      </c>
      <c r="X1200" s="163" t="str">
        <f t="shared" si="380"/>
        <v/>
      </c>
      <c r="Y1200" s="152"/>
      <c r="Z1200" s="164" t="str">
        <f>IF(AND($C1199=12,$D1199=Input!$C$6),0,IF($E1200="","",V1200+Z1201/(1+L1200)*R1200))</f>
        <v/>
      </c>
      <c r="AA1200" s="164" t="str">
        <f>IF(OR($M1200=1,AND($C1199=12,$D1199=Input!$C$6)),0,IF($E1200="","",W1200+(X1200+AA1201*$R1200)/(1+$L1200)))</f>
        <v/>
      </c>
      <c r="AB1200" s="160" t="str">
        <f t="shared" si="381"/>
        <v/>
      </c>
      <c r="AC1200" s="164" t="str">
        <f t="shared" si="382"/>
        <v/>
      </c>
      <c r="AD1200" s="164" t="str">
        <f>IF(AND($C1199=12,$D1199=Input!$C$6),0,IF($E1200="","",$AC1200+AD1201/(1+$L1200)*$R1200))</f>
        <v/>
      </c>
      <c r="AE1200" s="152"/>
      <c r="AF1200" s="164" t="str">
        <f>IF(AND($C1199=12,$D1199=Input!$C$6),0,IF($E1200="","",IF($B1200&gt;Input!$C$9,$AC1200,0)+AF1201/(1+$L1200)*$R1200))</f>
        <v/>
      </c>
      <c r="AG1200" s="164" t="str">
        <f>IF(AND($C1199=12,$D1199=Input!$C$6),0,IF($E1200="","",(IF($B1200&gt;Input!$C$9,$X1200,0)+AG1201)/(1+$L1200)*$R1200))</f>
        <v/>
      </c>
      <c r="AH1200" s="160" t="str">
        <f t="shared" si="383"/>
        <v/>
      </c>
      <c r="AI1200" s="160" t="str">
        <f>IF($E1200="","",MIN(Input!$C$61/AH1200,1))</f>
        <v/>
      </c>
      <c r="AJ1200" s="152"/>
      <c r="AK1200" s="164" t="str">
        <f>IF(AND($C1199=12,$D1199=Input!$C$6),0,IF($E1200="","",IF($B1200&gt;Input!$C$9,$AC1200*AI1200,0)+AK1201/(1+$L1200)*$R1200))</f>
        <v/>
      </c>
      <c r="AL1200" s="164" t="str">
        <f>IF(AND($C1199=12,$D1199=Input!$C$6),0,IF($E1200="","",IF($B1200&gt;Input!$C$9,0,$AC1200)+AL1201/(1+$L1200)*$R1200))</f>
        <v/>
      </c>
      <c r="AM1200" s="160" t="str">
        <f t="shared" si="384"/>
        <v/>
      </c>
      <c r="AN1200" s="164" t="str">
        <f>IF($E1200="","",IF($B1200&gt;Input!$C$9,$AI1200*$AC1200,$AM1200*$AC1200))</f>
        <v/>
      </c>
      <c r="AO1200" s="164" t="str">
        <f>IF(AND($C1199=12,$D1199=Input!$C$6),0,IF($E1200="","",$AN1200+AO1201/(1+$L1200)*$R1200))</f>
        <v/>
      </c>
      <c r="AP1200" s="152"/>
      <c r="AQ1200" s="150" t="str">
        <f t="shared" si="385"/>
        <v/>
      </c>
      <c r="AR1200" s="150" t="str">
        <f t="shared" si="392"/>
        <v/>
      </c>
      <c r="AS1200" s="150" t="str">
        <f t="shared" si="393"/>
        <v/>
      </c>
      <c r="AT1200" s="150" t="str">
        <f t="shared" si="386"/>
        <v/>
      </c>
      <c r="AU1200" s="152"/>
      <c r="AV1200" s="147" t="str">
        <f>'Deterministic Reserve'!BC1200</f>
        <v/>
      </c>
      <c r="AY1200" s="152"/>
    </row>
    <row r="1201" spans="1:51" s="150" customFormat="1" x14ac:dyDescent="0.25">
      <c r="A1201" s="150" t="str">
        <f t="shared" si="394"/>
        <v/>
      </c>
      <c r="B1201" s="150" t="str">
        <f t="shared" si="395"/>
        <v/>
      </c>
      <c r="C1201" s="150" t="str">
        <f t="shared" si="396"/>
        <v/>
      </c>
      <c r="D1201" s="150" t="str">
        <f>IF(E1201="","",Input!$C$4+B1201-1)</f>
        <v/>
      </c>
      <c r="E1201" s="150" t="str">
        <f>IF(OR(AND(C1200=12,D1200=Input!$C$6),E1200=""),"",1)</f>
        <v/>
      </c>
      <c r="G1201" s="151" t="str">
        <f>IF(E1201="","",MAX(0,Input!$C$9-B1201))</f>
        <v/>
      </c>
      <c r="H1201" s="152" t="str">
        <f>IF(E1201="","",Input!$C$3)</f>
        <v/>
      </c>
      <c r="I1201" s="153" t="str">
        <f>IF(E1201="","",HLOOKUP($B1201,Input!$C$13:$BT$14,2))</f>
        <v/>
      </c>
      <c r="J1201" s="154"/>
      <c r="K1201" s="150" t="str">
        <f>IF($E1201="","",Input!$C$57)</f>
        <v/>
      </c>
      <c r="L1201" s="150" t="str">
        <f t="shared" si="387"/>
        <v/>
      </c>
      <c r="M1201" s="147" t="str">
        <f>IF($E1201="","",VLOOKUP(IF($B1201&lt;=Input!$C$7,$B1201,26),'Mortality Tables'!$A$72:$CA$97,IF($B1201&lt;=Input!$C$7+1,Input!$C$4-16,$D1201-Input!$C$7-16),0)/1000)</f>
        <v/>
      </c>
      <c r="N1201" s="147" t="str">
        <f t="shared" si="378"/>
        <v/>
      </c>
      <c r="O1201" s="157" t="str">
        <f>IF($E1201="","",IF($C1201=12,IF($B1201&lt;Input!$C$9,Input!$C$54,IF($B1201=Input!$C$9,Input!$C$55,Input!$C$56)),0%))</f>
        <v/>
      </c>
      <c r="P1201" s="167" t="str">
        <f>IF($E1201="","",IF($B1201=1,Input!$C$59,IF($B1201&lt;6,Input!$C$60,0%)))</f>
        <v/>
      </c>
      <c r="Q1201" s="162" t="str">
        <f>IF($E1201="","",Input!$C$58)</f>
        <v/>
      </c>
      <c r="R1201" s="156" t="str">
        <f t="shared" si="388"/>
        <v/>
      </c>
      <c r="S1201" s="154" t="str">
        <f t="shared" si="379"/>
        <v/>
      </c>
      <c r="T1201" s="152"/>
      <c r="U1201" s="150" t="str">
        <f t="shared" si="389"/>
        <v/>
      </c>
      <c r="V1201" s="150" t="str">
        <f t="shared" si="390"/>
        <v/>
      </c>
      <c r="W1201" s="168" t="str">
        <f t="shared" si="391"/>
        <v/>
      </c>
      <c r="X1201" s="163" t="str">
        <f t="shared" si="380"/>
        <v/>
      </c>
      <c r="Y1201" s="152"/>
      <c r="Z1201" s="164" t="str">
        <f>IF(AND($C1200=12,$D1200=Input!$C$6),0,IF($E1201="","",V1201+Z1202/(1+L1201)*R1201))</f>
        <v/>
      </c>
      <c r="AA1201" s="164" t="str">
        <f>IF(OR($M1201=1,AND($C1200=12,$D1200=Input!$C$6)),0,IF($E1201="","",W1201+(X1201+AA1202*$R1201)/(1+$L1201)))</f>
        <v/>
      </c>
      <c r="AB1201" s="160" t="str">
        <f t="shared" si="381"/>
        <v/>
      </c>
      <c r="AC1201" s="164" t="str">
        <f t="shared" si="382"/>
        <v/>
      </c>
      <c r="AD1201" s="164" t="str">
        <f>IF(AND($C1200=12,$D1200=Input!$C$6),0,IF($E1201="","",$AC1201+AD1202/(1+$L1201)*$R1201))</f>
        <v/>
      </c>
      <c r="AE1201" s="152"/>
      <c r="AF1201" s="164" t="str">
        <f>IF(AND($C1200=12,$D1200=Input!$C$6),0,IF($E1201="","",IF($B1201&gt;Input!$C$9,$AC1201,0)+AF1202/(1+$L1201)*$R1201))</f>
        <v/>
      </c>
      <c r="AG1201" s="164" t="str">
        <f>IF(AND($C1200=12,$D1200=Input!$C$6),0,IF($E1201="","",(IF($B1201&gt;Input!$C$9,$X1201,0)+AG1202)/(1+$L1201)*$R1201))</f>
        <v/>
      </c>
      <c r="AH1201" s="160" t="str">
        <f t="shared" si="383"/>
        <v/>
      </c>
      <c r="AI1201" s="160" t="str">
        <f>IF($E1201="","",MIN(Input!$C$61/AH1201,1))</f>
        <v/>
      </c>
      <c r="AJ1201" s="152"/>
      <c r="AK1201" s="164" t="str">
        <f>IF(AND($C1200=12,$D1200=Input!$C$6),0,IF($E1201="","",IF($B1201&gt;Input!$C$9,$AC1201*AI1201,0)+AK1202/(1+$L1201)*$R1201))</f>
        <v/>
      </c>
      <c r="AL1201" s="164" t="str">
        <f>IF(AND($C1200=12,$D1200=Input!$C$6),0,IF($E1201="","",IF($B1201&gt;Input!$C$9,0,$AC1201)+AL1202/(1+$L1201)*$R1201))</f>
        <v/>
      </c>
      <c r="AM1201" s="160" t="str">
        <f t="shared" si="384"/>
        <v/>
      </c>
      <c r="AN1201" s="164" t="str">
        <f>IF($E1201="","",IF($B1201&gt;Input!$C$9,$AI1201*$AC1201,$AM1201*$AC1201))</f>
        <v/>
      </c>
      <c r="AO1201" s="164" t="str">
        <f>IF(AND($C1200=12,$D1200=Input!$C$6),0,IF($E1201="","",$AN1201+AO1202/(1+$L1201)*$R1201))</f>
        <v/>
      </c>
      <c r="AP1201" s="152"/>
      <c r="AQ1201" s="150" t="str">
        <f t="shared" si="385"/>
        <v/>
      </c>
      <c r="AR1201" s="150" t="str">
        <f t="shared" si="392"/>
        <v/>
      </c>
      <c r="AS1201" s="150" t="str">
        <f t="shared" si="393"/>
        <v/>
      </c>
      <c r="AT1201" s="150" t="str">
        <f t="shared" si="386"/>
        <v/>
      </c>
      <c r="AU1201" s="152"/>
      <c r="AV1201" s="147" t="str">
        <f>'Deterministic Reserve'!BC1201</f>
        <v/>
      </c>
      <c r="AY1201" s="152"/>
    </row>
    <row r="1202" spans="1:51" s="150" customFormat="1" x14ac:dyDescent="0.25">
      <c r="A1202" s="150" t="str">
        <f t="shared" si="394"/>
        <v/>
      </c>
      <c r="B1202" s="150" t="str">
        <f t="shared" si="395"/>
        <v/>
      </c>
      <c r="C1202" s="150" t="str">
        <f t="shared" si="396"/>
        <v/>
      </c>
      <c r="D1202" s="150" t="str">
        <f>IF(E1202="","",Input!$C$4+B1202-1)</f>
        <v/>
      </c>
      <c r="E1202" s="150" t="str">
        <f>IF(OR(AND(C1201=12,D1201=Input!$C$6),E1201=""),"",1)</f>
        <v/>
      </c>
      <c r="G1202" s="151" t="str">
        <f>IF(E1202="","",MAX(0,Input!$C$9-B1202))</f>
        <v/>
      </c>
      <c r="H1202" s="152" t="str">
        <f>IF(E1202="","",Input!$C$3)</f>
        <v/>
      </c>
      <c r="I1202" s="153" t="str">
        <f>IF(E1202="","",HLOOKUP($B1202,Input!$C$13:$BT$14,2))</f>
        <v/>
      </c>
      <c r="J1202" s="154"/>
      <c r="K1202" s="150" t="str">
        <f>IF($E1202="","",Input!$C$57)</f>
        <v/>
      </c>
      <c r="L1202" s="150" t="str">
        <f t="shared" si="387"/>
        <v/>
      </c>
      <c r="M1202" s="147" t="str">
        <f>IF($E1202="","",VLOOKUP(IF($B1202&lt;=Input!$C$7,$B1202,26),'Mortality Tables'!$A$72:$CA$97,IF($B1202&lt;=Input!$C$7+1,Input!$C$4-16,$D1202-Input!$C$7-16),0)/1000)</f>
        <v/>
      </c>
      <c r="N1202" s="147" t="str">
        <f t="shared" si="378"/>
        <v/>
      </c>
      <c r="O1202" s="157" t="str">
        <f>IF($E1202="","",IF($C1202=12,IF($B1202&lt;Input!$C$9,Input!$C$54,IF($B1202=Input!$C$9,Input!$C$55,Input!$C$56)),0%))</f>
        <v/>
      </c>
      <c r="P1202" s="167" t="str">
        <f>IF($E1202="","",IF($B1202=1,Input!$C$59,IF($B1202&lt;6,Input!$C$60,0%)))</f>
        <v/>
      </c>
      <c r="Q1202" s="162" t="str">
        <f>IF($E1202="","",Input!$C$58)</f>
        <v/>
      </c>
      <c r="R1202" s="156" t="str">
        <f t="shared" si="388"/>
        <v/>
      </c>
      <c r="S1202" s="154" t="str">
        <f t="shared" si="379"/>
        <v/>
      </c>
      <c r="T1202" s="152"/>
      <c r="U1202" s="150" t="str">
        <f t="shared" si="389"/>
        <v/>
      </c>
      <c r="V1202" s="150" t="str">
        <f t="shared" si="390"/>
        <v/>
      </c>
      <c r="W1202" s="168" t="str">
        <f t="shared" si="391"/>
        <v/>
      </c>
      <c r="X1202" s="163" t="str">
        <f t="shared" si="380"/>
        <v/>
      </c>
      <c r="Y1202" s="152"/>
      <c r="Z1202" s="164" t="str">
        <f>IF(AND($C1201=12,$D1201=Input!$C$6),0,IF($E1202="","",V1202+Z1203/(1+L1202)*R1202))</f>
        <v/>
      </c>
      <c r="AA1202" s="164" t="str">
        <f>IF(OR($M1202=1,AND($C1201=12,$D1201=Input!$C$6)),0,IF($E1202="","",W1202+(X1202+AA1203*$R1202)/(1+$L1202)))</f>
        <v/>
      </c>
      <c r="AB1202" s="160" t="str">
        <f t="shared" si="381"/>
        <v/>
      </c>
      <c r="AC1202" s="164" t="str">
        <f t="shared" si="382"/>
        <v/>
      </c>
      <c r="AD1202" s="164" t="str">
        <f>IF(AND($C1201=12,$D1201=Input!$C$6),0,IF($E1202="","",$AC1202+AD1203/(1+$L1202)*$R1202))</f>
        <v/>
      </c>
      <c r="AE1202" s="152"/>
      <c r="AF1202" s="164" t="str">
        <f>IF(AND($C1201=12,$D1201=Input!$C$6),0,IF($E1202="","",IF($B1202&gt;Input!$C$9,$AC1202,0)+AF1203/(1+$L1202)*$R1202))</f>
        <v/>
      </c>
      <c r="AG1202" s="164" t="str">
        <f>IF(AND($C1201=12,$D1201=Input!$C$6),0,IF($E1202="","",(IF($B1202&gt;Input!$C$9,$X1202,0)+AG1203)/(1+$L1202)*$R1202))</f>
        <v/>
      </c>
      <c r="AH1202" s="160" t="str">
        <f t="shared" si="383"/>
        <v/>
      </c>
      <c r="AI1202" s="160" t="str">
        <f>IF($E1202="","",MIN(Input!$C$61/AH1202,1))</f>
        <v/>
      </c>
      <c r="AJ1202" s="152"/>
      <c r="AK1202" s="164" t="str">
        <f>IF(AND($C1201=12,$D1201=Input!$C$6),0,IF($E1202="","",IF($B1202&gt;Input!$C$9,$AC1202*AI1202,0)+AK1203/(1+$L1202)*$R1202))</f>
        <v/>
      </c>
      <c r="AL1202" s="164" t="str">
        <f>IF(AND($C1201=12,$D1201=Input!$C$6),0,IF($E1202="","",IF($B1202&gt;Input!$C$9,0,$AC1202)+AL1203/(1+$L1202)*$R1202))</f>
        <v/>
      </c>
      <c r="AM1202" s="160" t="str">
        <f t="shared" si="384"/>
        <v/>
      </c>
      <c r="AN1202" s="164" t="str">
        <f>IF($E1202="","",IF($B1202&gt;Input!$C$9,$AI1202*$AC1202,$AM1202*$AC1202))</f>
        <v/>
      </c>
      <c r="AO1202" s="164" t="str">
        <f>IF(AND($C1201=12,$D1201=Input!$C$6),0,IF($E1202="","",$AN1202+AO1203/(1+$L1202)*$R1202))</f>
        <v/>
      </c>
      <c r="AP1202" s="152"/>
      <c r="AQ1202" s="150" t="str">
        <f t="shared" si="385"/>
        <v/>
      </c>
      <c r="AR1202" s="150" t="str">
        <f t="shared" si="392"/>
        <v/>
      </c>
      <c r="AS1202" s="150" t="str">
        <f t="shared" si="393"/>
        <v/>
      </c>
      <c r="AT1202" s="150" t="str">
        <f t="shared" si="386"/>
        <v/>
      </c>
      <c r="AU1202" s="152"/>
      <c r="AV1202" s="147" t="str">
        <f>'Deterministic Reserve'!BC1202</f>
        <v/>
      </c>
      <c r="AY1202" s="152"/>
    </row>
    <row r="1203" spans="1:51" s="150" customFormat="1" x14ac:dyDescent="0.25">
      <c r="A1203" s="150" t="str">
        <f t="shared" si="394"/>
        <v/>
      </c>
      <c r="B1203" s="150" t="str">
        <f t="shared" si="395"/>
        <v/>
      </c>
      <c r="C1203" s="150" t="str">
        <f t="shared" si="396"/>
        <v/>
      </c>
      <c r="D1203" s="150" t="str">
        <f>IF(E1203="","",Input!$C$4+B1203-1)</f>
        <v/>
      </c>
      <c r="E1203" s="150" t="str">
        <f>IF(OR(AND(C1202=12,D1202=Input!$C$6),E1202=""),"",1)</f>
        <v/>
      </c>
      <c r="G1203" s="151" t="str">
        <f>IF(E1203="","",MAX(0,Input!$C$9-B1203))</f>
        <v/>
      </c>
      <c r="H1203" s="152" t="str">
        <f>IF(E1203="","",Input!$C$3)</f>
        <v/>
      </c>
      <c r="I1203" s="153" t="str">
        <f>IF(E1203="","",HLOOKUP($B1203,Input!$C$13:$BT$14,2))</f>
        <v/>
      </c>
      <c r="J1203" s="154"/>
      <c r="K1203" s="150" t="str">
        <f>IF($E1203="","",Input!$C$57)</f>
        <v/>
      </c>
      <c r="L1203" s="150" t="str">
        <f t="shared" si="387"/>
        <v/>
      </c>
      <c r="M1203" s="147" t="str">
        <f>IF($E1203="","",VLOOKUP(IF($B1203&lt;=Input!$C$7,$B1203,26),'Mortality Tables'!$A$72:$CA$97,IF($B1203&lt;=Input!$C$7+1,Input!$C$4-16,$D1203-Input!$C$7-16),0)/1000)</f>
        <v/>
      </c>
      <c r="N1203" s="147" t="str">
        <f t="shared" si="378"/>
        <v/>
      </c>
      <c r="O1203" s="157" t="str">
        <f>IF($E1203="","",IF($C1203=12,IF($B1203&lt;Input!$C$9,Input!$C$54,IF($B1203=Input!$C$9,Input!$C$55,Input!$C$56)),0%))</f>
        <v/>
      </c>
      <c r="P1203" s="167" t="str">
        <f>IF($E1203="","",IF($B1203=1,Input!$C$59,IF($B1203&lt;6,Input!$C$60,0%)))</f>
        <v/>
      </c>
      <c r="Q1203" s="162" t="str">
        <f>IF($E1203="","",Input!$C$58)</f>
        <v/>
      </c>
      <c r="R1203" s="156" t="str">
        <f t="shared" si="388"/>
        <v/>
      </c>
      <c r="S1203" s="154" t="str">
        <f t="shared" si="379"/>
        <v/>
      </c>
      <c r="T1203" s="152"/>
      <c r="U1203" s="150" t="str">
        <f t="shared" si="389"/>
        <v/>
      </c>
      <c r="V1203" s="150" t="str">
        <f t="shared" si="390"/>
        <v/>
      </c>
      <c r="W1203" s="168" t="str">
        <f t="shared" si="391"/>
        <v/>
      </c>
      <c r="X1203" s="163" t="str">
        <f t="shared" si="380"/>
        <v/>
      </c>
      <c r="Y1203" s="152"/>
      <c r="Z1203" s="164" t="str">
        <f>IF(AND($C1202=12,$D1202=Input!$C$6),0,IF($E1203="","",V1203+Z1204/(1+L1203)*R1203))</f>
        <v/>
      </c>
      <c r="AA1203" s="164" t="str">
        <f>IF(OR($M1203=1,AND($C1202=12,$D1202=Input!$C$6)),0,IF($E1203="","",W1203+(X1203+AA1204*$R1203)/(1+$L1203)))</f>
        <v/>
      </c>
      <c r="AB1203" s="160" t="str">
        <f t="shared" si="381"/>
        <v/>
      </c>
      <c r="AC1203" s="164" t="str">
        <f t="shared" si="382"/>
        <v/>
      </c>
      <c r="AD1203" s="164" t="str">
        <f>IF(AND($C1202=12,$D1202=Input!$C$6),0,IF($E1203="","",$AC1203+AD1204/(1+$L1203)*$R1203))</f>
        <v/>
      </c>
      <c r="AE1203" s="152"/>
      <c r="AF1203" s="164" t="str">
        <f>IF(AND($C1202=12,$D1202=Input!$C$6),0,IF($E1203="","",IF($B1203&gt;Input!$C$9,$AC1203,0)+AF1204/(1+$L1203)*$R1203))</f>
        <v/>
      </c>
      <c r="AG1203" s="164" t="str">
        <f>IF(AND($C1202=12,$D1202=Input!$C$6),0,IF($E1203="","",(IF($B1203&gt;Input!$C$9,$X1203,0)+AG1204)/(1+$L1203)*$R1203))</f>
        <v/>
      </c>
      <c r="AH1203" s="160" t="str">
        <f t="shared" si="383"/>
        <v/>
      </c>
      <c r="AI1203" s="160" t="str">
        <f>IF($E1203="","",MIN(Input!$C$61/AH1203,1))</f>
        <v/>
      </c>
      <c r="AJ1203" s="152"/>
      <c r="AK1203" s="164" t="str">
        <f>IF(AND($C1202=12,$D1202=Input!$C$6),0,IF($E1203="","",IF($B1203&gt;Input!$C$9,$AC1203*AI1203,0)+AK1204/(1+$L1203)*$R1203))</f>
        <v/>
      </c>
      <c r="AL1203" s="164" t="str">
        <f>IF(AND($C1202=12,$D1202=Input!$C$6),0,IF($E1203="","",IF($B1203&gt;Input!$C$9,0,$AC1203)+AL1204/(1+$L1203)*$R1203))</f>
        <v/>
      </c>
      <c r="AM1203" s="160" t="str">
        <f t="shared" si="384"/>
        <v/>
      </c>
      <c r="AN1203" s="164" t="str">
        <f>IF($E1203="","",IF($B1203&gt;Input!$C$9,$AI1203*$AC1203,$AM1203*$AC1203))</f>
        <v/>
      </c>
      <c r="AO1203" s="164" t="str">
        <f>IF(AND($C1202=12,$D1202=Input!$C$6),0,IF($E1203="","",$AN1203+AO1204/(1+$L1203)*$R1203))</f>
        <v/>
      </c>
      <c r="AP1203" s="152"/>
      <c r="AQ1203" s="150" t="str">
        <f t="shared" si="385"/>
        <v/>
      </c>
      <c r="AR1203" s="150" t="str">
        <f t="shared" si="392"/>
        <v/>
      </c>
      <c r="AS1203" s="150" t="str">
        <f t="shared" si="393"/>
        <v/>
      </c>
      <c r="AT1203" s="150" t="str">
        <f t="shared" si="386"/>
        <v/>
      </c>
      <c r="AU1203" s="152"/>
      <c r="AV1203" s="147" t="str">
        <f>'Deterministic Reserve'!BC1203</f>
        <v/>
      </c>
      <c r="AY1203" s="152"/>
    </row>
    <row r="1204" spans="1:51" s="150" customFormat="1" x14ac:dyDescent="0.25">
      <c r="A1204" s="150" t="str">
        <f t="shared" si="394"/>
        <v/>
      </c>
      <c r="B1204" s="150" t="str">
        <f t="shared" si="395"/>
        <v/>
      </c>
      <c r="C1204" s="150" t="str">
        <f t="shared" si="396"/>
        <v/>
      </c>
      <c r="D1204" s="150" t="str">
        <f>IF(E1204="","",Input!$C$4+B1204-1)</f>
        <v/>
      </c>
      <c r="E1204" s="150" t="str">
        <f>IF(OR(AND(C1203=12,D1203=Input!$C$6),E1203=""),"",1)</f>
        <v/>
      </c>
      <c r="G1204" s="151" t="str">
        <f>IF(E1204="","",MAX(0,Input!$C$9-B1204))</f>
        <v/>
      </c>
      <c r="H1204" s="152" t="str">
        <f>IF(E1204="","",Input!$C$3)</f>
        <v/>
      </c>
      <c r="I1204" s="153" t="str">
        <f>IF(E1204="","",HLOOKUP($B1204,Input!$C$13:$BT$14,2))</f>
        <v/>
      </c>
      <c r="J1204" s="154"/>
      <c r="K1204" s="150" t="str">
        <f>IF($E1204="","",Input!$C$57)</f>
        <v/>
      </c>
      <c r="L1204" s="150" t="str">
        <f t="shared" si="387"/>
        <v/>
      </c>
      <c r="M1204" s="147" t="str">
        <f>IF($E1204="","",VLOOKUP(IF($B1204&lt;=Input!$C$7,$B1204,26),'Mortality Tables'!$A$72:$CA$97,IF($B1204&lt;=Input!$C$7+1,Input!$C$4-16,$D1204-Input!$C$7-16),0)/1000)</f>
        <v/>
      </c>
      <c r="N1204" s="147" t="str">
        <f t="shared" si="378"/>
        <v/>
      </c>
      <c r="O1204" s="157" t="str">
        <f>IF($E1204="","",IF($C1204=12,IF($B1204&lt;Input!$C$9,Input!$C$54,IF($B1204=Input!$C$9,Input!$C$55,Input!$C$56)),0%))</f>
        <v/>
      </c>
      <c r="P1204" s="167" t="str">
        <f>IF($E1204="","",IF($B1204=1,Input!$C$59,IF($B1204&lt;6,Input!$C$60,0%)))</f>
        <v/>
      </c>
      <c r="Q1204" s="162" t="str">
        <f>IF($E1204="","",Input!$C$58)</f>
        <v/>
      </c>
      <c r="R1204" s="156" t="str">
        <f t="shared" si="388"/>
        <v/>
      </c>
      <c r="S1204" s="154" t="str">
        <f t="shared" si="379"/>
        <v/>
      </c>
      <c r="T1204" s="152"/>
      <c r="U1204" s="150" t="str">
        <f t="shared" si="389"/>
        <v/>
      </c>
      <c r="V1204" s="150" t="str">
        <f t="shared" si="390"/>
        <v/>
      </c>
      <c r="W1204" s="168" t="str">
        <f t="shared" si="391"/>
        <v/>
      </c>
      <c r="X1204" s="163" t="str">
        <f t="shared" si="380"/>
        <v/>
      </c>
      <c r="Y1204" s="152"/>
      <c r="Z1204" s="164" t="str">
        <f>IF(AND($C1203=12,$D1203=Input!$C$6),0,IF($E1204="","",V1204+Z1205/(1+L1204)*R1204))</f>
        <v/>
      </c>
      <c r="AA1204" s="164" t="str">
        <f>IF(OR($M1204=1,AND($C1203=12,$D1203=Input!$C$6)),0,IF($E1204="","",W1204+(X1204+AA1205*$R1204)/(1+$L1204)))</f>
        <v/>
      </c>
      <c r="AB1204" s="160" t="str">
        <f t="shared" si="381"/>
        <v/>
      </c>
      <c r="AC1204" s="164" t="str">
        <f t="shared" si="382"/>
        <v/>
      </c>
      <c r="AD1204" s="164" t="str">
        <f>IF(AND($C1203=12,$D1203=Input!$C$6),0,IF($E1204="","",$AC1204+AD1205/(1+$L1204)*$R1204))</f>
        <v/>
      </c>
      <c r="AE1204" s="152"/>
      <c r="AF1204" s="164" t="str">
        <f>IF(AND($C1203=12,$D1203=Input!$C$6),0,IF($E1204="","",IF($B1204&gt;Input!$C$9,$AC1204,0)+AF1205/(1+$L1204)*$R1204))</f>
        <v/>
      </c>
      <c r="AG1204" s="164" t="str">
        <f>IF(AND($C1203=12,$D1203=Input!$C$6),0,IF($E1204="","",(IF($B1204&gt;Input!$C$9,$X1204,0)+AG1205)/(1+$L1204)*$R1204))</f>
        <v/>
      </c>
      <c r="AH1204" s="160" t="str">
        <f t="shared" si="383"/>
        <v/>
      </c>
      <c r="AI1204" s="160" t="str">
        <f>IF($E1204="","",MIN(Input!$C$61/AH1204,1))</f>
        <v/>
      </c>
      <c r="AJ1204" s="152"/>
      <c r="AK1204" s="164" t="str">
        <f>IF(AND($C1203=12,$D1203=Input!$C$6),0,IF($E1204="","",IF($B1204&gt;Input!$C$9,$AC1204*AI1204,0)+AK1205/(1+$L1204)*$R1204))</f>
        <v/>
      </c>
      <c r="AL1204" s="164" t="str">
        <f>IF(AND($C1203=12,$D1203=Input!$C$6),0,IF($E1204="","",IF($B1204&gt;Input!$C$9,0,$AC1204)+AL1205/(1+$L1204)*$R1204))</f>
        <v/>
      </c>
      <c r="AM1204" s="160" t="str">
        <f t="shared" si="384"/>
        <v/>
      </c>
      <c r="AN1204" s="164" t="str">
        <f>IF($E1204="","",IF($B1204&gt;Input!$C$9,$AI1204*$AC1204,$AM1204*$AC1204))</f>
        <v/>
      </c>
      <c r="AO1204" s="164" t="str">
        <f>IF(AND($C1203=12,$D1203=Input!$C$6),0,IF($E1204="","",$AN1204+AO1205/(1+$L1204)*$R1204))</f>
        <v/>
      </c>
      <c r="AP1204" s="152"/>
      <c r="AQ1204" s="150" t="str">
        <f t="shared" si="385"/>
        <v/>
      </c>
      <c r="AR1204" s="150" t="str">
        <f t="shared" si="392"/>
        <v/>
      </c>
      <c r="AS1204" s="150" t="str">
        <f t="shared" si="393"/>
        <v/>
      </c>
      <c r="AT1204" s="150" t="str">
        <f t="shared" si="386"/>
        <v/>
      </c>
      <c r="AU1204" s="152"/>
      <c r="AV1204" s="147" t="str">
        <f>'Deterministic Reserve'!BC1204</f>
        <v/>
      </c>
      <c r="AY1204" s="152"/>
    </row>
    <row r="1205" spans="1:51" s="150" customFormat="1" x14ac:dyDescent="0.25">
      <c r="A1205" s="150" t="str">
        <f t="shared" si="394"/>
        <v/>
      </c>
      <c r="B1205" s="150" t="str">
        <f t="shared" si="395"/>
        <v/>
      </c>
      <c r="C1205" s="150" t="str">
        <f t="shared" si="396"/>
        <v/>
      </c>
      <c r="D1205" s="150" t="str">
        <f>IF(E1205="","",Input!$C$4+B1205-1)</f>
        <v/>
      </c>
      <c r="E1205" s="150" t="str">
        <f>IF(OR(AND(C1204=12,D1204=Input!$C$6),E1204=""),"",1)</f>
        <v/>
      </c>
      <c r="G1205" s="151" t="str">
        <f>IF(E1205="","",MAX(0,Input!$C$9-B1205))</f>
        <v/>
      </c>
      <c r="H1205" s="152" t="str">
        <f>IF(E1205="","",Input!$C$3)</f>
        <v/>
      </c>
      <c r="I1205" s="153" t="str">
        <f>IF(E1205="","",HLOOKUP($B1205,Input!$C$13:$BT$14,2))</f>
        <v/>
      </c>
      <c r="J1205" s="154"/>
      <c r="K1205" s="150" t="str">
        <f>IF($E1205="","",Input!$C$57)</f>
        <v/>
      </c>
      <c r="L1205" s="150" t="str">
        <f t="shared" si="387"/>
        <v/>
      </c>
      <c r="M1205" s="147" t="str">
        <f>IF($E1205="","",VLOOKUP(IF($B1205&lt;=Input!$C$7,$B1205,26),'Mortality Tables'!$A$72:$CA$97,IF($B1205&lt;=Input!$C$7+1,Input!$C$4-16,$D1205-Input!$C$7-16),0)/1000)</f>
        <v/>
      </c>
      <c r="N1205" s="147" t="str">
        <f t="shared" si="378"/>
        <v/>
      </c>
      <c r="O1205" s="157" t="str">
        <f>IF($E1205="","",IF($C1205=12,IF($B1205&lt;Input!$C$9,Input!$C$54,IF($B1205=Input!$C$9,Input!$C$55,Input!$C$56)),0%))</f>
        <v/>
      </c>
      <c r="P1205" s="167" t="str">
        <f>IF($E1205="","",IF($B1205=1,Input!$C$59,IF($B1205&lt;6,Input!$C$60,0%)))</f>
        <v/>
      </c>
      <c r="Q1205" s="162" t="str">
        <f>IF($E1205="","",Input!$C$58)</f>
        <v/>
      </c>
      <c r="R1205" s="156" t="str">
        <f t="shared" si="388"/>
        <v/>
      </c>
      <c r="S1205" s="154" t="str">
        <f t="shared" si="379"/>
        <v/>
      </c>
      <c r="T1205" s="152"/>
      <c r="U1205" s="150" t="str">
        <f t="shared" si="389"/>
        <v/>
      </c>
      <c r="V1205" s="150" t="str">
        <f t="shared" si="390"/>
        <v/>
      </c>
      <c r="W1205" s="168" t="str">
        <f t="shared" si="391"/>
        <v/>
      </c>
      <c r="X1205" s="163" t="str">
        <f t="shared" si="380"/>
        <v/>
      </c>
      <c r="Y1205" s="152"/>
      <c r="Z1205" s="164" t="str">
        <f>IF(AND($C1204=12,$D1204=Input!$C$6),0,IF($E1205="","",V1205+Z1206/(1+L1205)*R1205))</f>
        <v/>
      </c>
      <c r="AA1205" s="164" t="str">
        <f>IF(OR($M1205=1,AND($C1204=12,$D1204=Input!$C$6)),0,IF($E1205="","",W1205+(X1205+AA1206*$R1205)/(1+$L1205)))</f>
        <v/>
      </c>
      <c r="AB1205" s="160" t="str">
        <f t="shared" si="381"/>
        <v/>
      </c>
      <c r="AC1205" s="164" t="str">
        <f t="shared" si="382"/>
        <v/>
      </c>
      <c r="AD1205" s="164" t="str">
        <f>IF(AND($C1204=12,$D1204=Input!$C$6),0,IF($E1205="","",$AC1205+AD1206/(1+$L1205)*$R1205))</f>
        <v/>
      </c>
      <c r="AE1205" s="152"/>
      <c r="AF1205" s="164" t="str">
        <f>IF(AND($C1204=12,$D1204=Input!$C$6),0,IF($E1205="","",IF($B1205&gt;Input!$C$9,$AC1205,0)+AF1206/(1+$L1205)*$R1205))</f>
        <v/>
      </c>
      <c r="AG1205" s="164" t="str">
        <f>IF(AND($C1204=12,$D1204=Input!$C$6),0,IF($E1205="","",(IF($B1205&gt;Input!$C$9,$X1205,0)+AG1206)/(1+$L1205)*$R1205))</f>
        <v/>
      </c>
      <c r="AH1205" s="160" t="str">
        <f t="shared" si="383"/>
        <v/>
      </c>
      <c r="AI1205" s="160" t="str">
        <f>IF($E1205="","",MIN(Input!$C$61/AH1205,1))</f>
        <v/>
      </c>
      <c r="AJ1205" s="152"/>
      <c r="AK1205" s="164" t="str">
        <f>IF(AND($C1204=12,$D1204=Input!$C$6),0,IF($E1205="","",IF($B1205&gt;Input!$C$9,$AC1205*AI1205,0)+AK1206/(1+$L1205)*$R1205))</f>
        <v/>
      </c>
      <c r="AL1205" s="164" t="str">
        <f>IF(AND($C1204=12,$D1204=Input!$C$6),0,IF($E1205="","",IF($B1205&gt;Input!$C$9,0,$AC1205)+AL1206/(1+$L1205)*$R1205))</f>
        <v/>
      </c>
      <c r="AM1205" s="160" t="str">
        <f t="shared" si="384"/>
        <v/>
      </c>
      <c r="AN1205" s="164" t="str">
        <f>IF($E1205="","",IF($B1205&gt;Input!$C$9,$AI1205*$AC1205,$AM1205*$AC1205))</f>
        <v/>
      </c>
      <c r="AO1205" s="164" t="str">
        <f>IF(AND($C1204=12,$D1204=Input!$C$6),0,IF($E1205="","",$AN1205+AO1206/(1+$L1205)*$R1205))</f>
        <v/>
      </c>
      <c r="AP1205" s="152"/>
      <c r="AQ1205" s="150" t="str">
        <f t="shared" si="385"/>
        <v/>
      </c>
      <c r="AR1205" s="150" t="str">
        <f t="shared" si="392"/>
        <v/>
      </c>
      <c r="AS1205" s="150" t="str">
        <f t="shared" si="393"/>
        <v/>
      </c>
      <c r="AT1205" s="150" t="str">
        <f t="shared" si="386"/>
        <v/>
      </c>
      <c r="AU1205" s="152"/>
      <c r="AV1205" s="147" t="str">
        <f>'Deterministic Reserve'!BC1205</f>
        <v/>
      </c>
      <c r="AY1205" s="152"/>
    </row>
    <row r="1206" spans="1:51" s="150" customFormat="1" x14ac:dyDescent="0.25">
      <c r="A1206" s="150" t="str">
        <f t="shared" si="394"/>
        <v/>
      </c>
      <c r="B1206" s="150" t="str">
        <f t="shared" si="395"/>
        <v/>
      </c>
      <c r="C1206" s="150" t="str">
        <f t="shared" si="396"/>
        <v/>
      </c>
      <c r="D1206" s="150" t="str">
        <f>IF(E1206="","",Input!$C$4+B1206-1)</f>
        <v/>
      </c>
      <c r="E1206" s="150" t="str">
        <f>IF(OR(AND(C1205=12,D1205=Input!$C$6),E1205=""),"",1)</f>
        <v/>
      </c>
      <c r="G1206" s="151" t="str">
        <f>IF(E1206="","",MAX(0,Input!$C$9-B1206))</f>
        <v/>
      </c>
      <c r="H1206" s="152" t="str">
        <f>IF(E1206="","",Input!$C$3)</f>
        <v/>
      </c>
      <c r="I1206" s="153" t="str">
        <f>IF(E1206="","",HLOOKUP($B1206,Input!$C$13:$BT$14,2))</f>
        <v/>
      </c>
      <c r="J1206" s="154"/>
      <c r="K1206" s="150" t="str">
        <f>IF($E1206="","",Input!$C$57)</f>
        <v/>
      </c>
      <c r="L1206" s="150" t="str">
        <f t="shared" si="387"/>
        <v/>
      </c>
      <c r="M1206" s="147" t="str">
        <f>IF($E1206="","",VLOOKUP(IF($B1206&lt;=Input!$C$7,$B1206,26),'Mortality Tables'!$A$72:$CA$97,IF($B1206&lt;=Input!$C$7+1,Input!$C$4-16,$D1206-Input!$C$7-16),0)/1000)</f>
        <v/>
      </c>
      <c r="N1206" s="147" t="str">
        <f t="shared" si="378"/>
        <v/>
      </c>
      <c r="O1206" s="157" t="str">
        <f>IF($E1206="","",IF($C1206=12,IF($B1206&lt;Input!$C$9,Input!$C$54,IF($B1206=Input!$C$9,Input!$C$55,Input!$C$56)),0%))</f>
        <v/>
      </c>
      <c r="P1206" s="167" t="str">
        <f>IF($E1206="","",IF($B1206=1,Input!$C$59,IF($B1206&lt;6,Input!$C$60,0%)))</f>
        <v/>
      </c>
      <c r="Q1206" s="162" t="str">
        <f>IF($E1206="","",Input!$C$58)</f>
        <v/>
      </c>
      <c r="R1206" s="156" t="str">
        <f t="shared" si="388"/>
        <v/>
      </c>
      <c r="S1206" s="154" t="str">
        <f t="shared" si="379"/>
        <v/>
      </c>
      <c r="T1206" s="152"/>
      <c r="U1206" s="150" t="str">
        <f t="shared" si="389"/>
        <v/>
      </c>
      <c r="V1206" s="150" t="str">
        <f t="shared" si="390"/>
        <v/>
      </c>
      <c r="W1206" s="168" t="str">
        <f t="shared" si="391"/>
        <v/>
      </c>
      <c r="X1206" s="163" t="str">
        <f t="shared" si="380"/>
        <v/>
      </c>
      <c r="Y1206" s="152"/>
      <c r="Z1206" s="164" t="str">
        <f>IF(AND($C1205=12,$D1205=Input!$C$6),0,IF($E1206="","",V1206+Z1207/(1+L1206)*R1206))</f>
        <v/>
      </c>
      <c r="AA1206" s="164" t="str">
        <f>IF(OR($M1206=1,AND($C1205=12,$D1205=Input!$C$6)),0,IF($E1206="","",W1206+(X1206+AA1207*$R1206)/(1+$L1206)))</f>
        <v/>
      </c>
      <c r="AB1206" s="160" t="str">
        <f t="shared" si="381"/>
        <v/>
      </c>
      <c r="AC1206" s="164" t="str">
        <f t="shared" si="382"/>
        <v/>
      </c>
      <c r="AD1206" s="164" t="str">
        <f>IF(AND($C1205=12,$D1205=Input!$C$6),0,IF($E1206="","",$AC1206+AD1207/(1+$L1206)*$R1206))</f>
        <v/>
      </c>
      <c r="AE1206" s="152"/>
      <c r="AF1206" s="164" t="str">
        <f>IF(AND($C1205=12,$D1205=Input!$C$6),0,IF($E1206="","",IF($B1206&gt;Input!$C$9,$AC1206,0)+AF1207/(1+$L1206)*$R1206))</f>
        <v/>
      </c>
      <c r="AG1206" s="164" t="str">
        <f>IF(AND($C1205=12,$D1205=Input!$C$6),0,IF($E1206="","",(IF($B1206&gt;Input!$C$9,$X1206,0)+AG1207)/(1+$L1206)*$R1206))</f>
        <v/>
      </c>
      <c r="AH1206" s="160" t="str">
        <f t="shared" si="383"/>
        <v/>
      </c>
      <c r="AI1206" s="160" t="str">
        <f>IF($E1206="","",MIN(Input!$C$61/AH1206,1))</f>
        <v/>
      </c>
      <c r="AJ1206" s="152"/>
      <c r="AK1206" s="164" t="str">
        <f>IF(AND($C1205=12,$D1205=Input!$C$6),0,IF($E1206="","",IF($B1206&gt;Input!$C$9,$AC1206*AI1206,0)+AK1207/(1+$L1206)*$R1206))</f>
        <v/>
      </c>
      <c r="AL1206" s="164" t="str">
        <f>IF(AND($C1205=12,$D1205=Input!$C$6),0,IF($E1206="","",IF($B1206&gt;Input!$C$9,0,$AC1206)+AL1207/(1+$L1206)*$R1206))</f>
        <v/>
      </c>
      <c r="AM1206" s="160" t="str">
        <f t="shared" si="384"/>
        <v/>
      </c>
      <c r="AN1206" s="164" t="str">
        <f>IF($E1206="","",IF($B1206&gt;Input!$C$9,$AI1206*$AC1206,$AM1206*$AC1206))</f>
        <v/>
      </c>
      <c r="AO1206" s="164" t="str">
        <f>IF(AND($C1205=12,$D1205=Input!$C$6),0,IF($E1206="","",$AN1206+AO1207/(1+$L1206)*$R1206))</f>
        <v/>
      </c>
      <c r="AP1206" s="152"/>
      <c r="AQ1206" s="150" t="str">
        <f t="shared" si="385"/>
        <v/>
      </c>
      <c r="AR1206" s="150" t="str">
        <f t="shared" si="392"/>
        <v/>
      </c>
      <c r="AS1206" s="150" t="str">
        <f t="shared" si="393"/>
        <v/>
      </c>
      <c r="AT1206" s="150" t="str">
        <f t="shared" si="386"/>
        <v/>
      </c>
      <c r="AU1206" s="152"/>
      <c r="AV1206" s="147" t="str">
        <f>'Deterministic Reserve'!BC1206</f>
        <v/>
      </c>
      <c r="AY1206" s="152"/>
    </row>
    <row r="1207" spans="1:51" s="150" customFormat="1" x14ac:dyDescent="0.25">
      <c r="A1207" s="150" t="str">
        <f t="shared" si="394"/>
        <v/>
      </c>
      <c r="B1207" s="150" t="str">
        <f t="shared" si="395"/>
        <v/>
      </c>
      <c r="C1207" s="150" t="str">
        <f t="shared" si="396"/>
        <v/>
      </c>
      <c r="D1207" s="150" t="str">
        <f>IF(E1207="","",Input!$C$4+B1207-1)</f>
        <v/>
      </c>
      <c r="E1207" s="150" t="str">
        <f>IF(OR(AND(C1206=12,D1206=Input!$C$6),E1206=""),"",1)</f>
        <v/>
      </c>
      <c r="G1207" s="151" t="str">
        <f>IF(E1207="","",MAX(0,Input!$C$9-B1207))</f>
        <v/>
      </c>
      <c r="H1207" s="152" t="str">
        <f>IF(E1207="","",Input!$C$3)</f>
        <v/>
      </c>
      <c r="I1207" s="153" t="str">
        <f>IF(E1207="","",HLOOKUP($B1207,Input!$C$13:$BT$14,2))</f>
        <v/>
      </c>
      <c r="J1207" s="154"/>
      <c r="K1207" s="150" t="str">
        <f>IF($E1207="","",Input!$C$57)</f>
        <v/>
      </c>
      <c r="L1207" s="150" t="str">
        <f t="shared" si="387"/>
        <v/>
      </c>
      <c r="M1207" s="147" t="str">
        <f>IF($E1207="","",VLOOKUP(IF($B1207&lt;=Input!$C$7,$B1207,26),'Mortality Tables'!$A$72:$CA$97,IF($B1207&lt;=Input!$C$7+1,Input!$C$4-16,$D1207-Input!$C$7-16),0)/1000)</f>
        <v/>
      </c>
      <c r="N1207" s="147" t="str">
        <f t="shared" si="378"/>
        <v/>
      </c>
      <c r="O1207" s="157" t="str">
        <f>IF($E1207="","",IF($C1207=12,IF($B1207&lt;Input!$C$9,Input!$C$54,IF($B1207=Input!$C$9,Input!$C$55,Input!$C$56)),0%))</f>
        <v/>
      </c>
      <c r="P1207" s="167" t="str">
        <f>IF($E1207="","",IF($B1207=1,Input!$C$59,IF($B1207&lt;6,Input!$C$60,0%)))</f>
        <v/>
      </c>
      <c r="Q1207" s="162" t="str">
        <f>IF($E1207="","",Input!$C$58)</f>
        <v/>
      </c>
      <c r="R1207" s="156" t="str">
        <f t="shared" si="388"/>
        <v/>
      </c>
      <c r="S1207" s="154" t="str">
        <f t="shared" si="379"/>
        <v/>
      </c>
      <c r="T1207" s="152"/>
      <c r="U1207" s="150" t="str">
        <f t="shared" si="389"/>
        <v/>
      </c>
      <c r="V1207" s="150" t="str">
        <f t="shared" si="390"/>
        <v/>
      </c>
      <c r="W1207" s="168" t="str">
        <f t="shared" si="391"/>
        <v/>
      </c>
      <c r="X1207" s="163" t="str">
        <f t="shared" si="380"/>
        <v/>
      </c>
      <c r="Y1207" s="152"/>
      <c r="Z1207" s="164" t="str">
        <f>IF(AND($C1206=12,$D1206=Input!$C$6),0,IF($E1207="","",V1207+Z1208/(1+L1207)*R1207))</f>
        <v/>
      </c>
      <c r="AA1207" s="164" t="str">
        <f>IF(OR($M1207=1,AND($C1206=12,$D1206=Input!$C$6)),0,IF($E1207="","",W1207+(X1207+AA1208*$R1207)/(1+$L1207)))</f>
        <v/>
      </c>
      <c r="AB1207" s="160" t="str">
        <f t="shared" si="381"/>
        <v/>
      </c>
      <c r="AC1207" s="164" t="str">
        <f t="shared" si="382"/>
        <v/>
      </c>
      <c r="AD1207" s="164" t="str">
        <f>IF(AND($C1206=12,$D1206=Input!$C$6),0,IF($E1207="","",$AC1207+AD1208/(1+$L1207)*$R1207))</f>
        <v/>
      </c>
      <c r="AE1207" s="152"/>
      <c r="AF1207" s="164" t="str">
        <f>IF(AND($C1206=12,$D1206=Input!$C$6),0,IF($E1207="","",IF($B1207&gt;Input!$C$9,$AC1207,0)+AF1208/(1+$L1207)*$R1207))</f>
        <v/>
      </c>
      <c r="AG1207" s="164" t="str">
        <f>IF(AND($C1206=12,$D1206=Input!$C$6),0,IF($E1207="","",(IF($B1207&gt;Input!$C$9,$X1207,0)+AG1208)/(1+$L1207)*$R1207))</f>
        <v/>
      </c>
      <c r="AH1207" s="160" t="str">
        <f t="shared" si="383"/>
        <v/>
      </c>
      <c r="AI1207" s="160" t="str">
        <f>IF($E1207="","",MIN(Input!$C$61/AH1207,1))</f>
        <v/>
      </c>
      <c r="AJ1207" s="152"/>
      <c r="AK1207" s="164" t="str">
        <f>IF(AND($C1206=12,$D1206=Input!$C$6),0,IF($E1207="","",IF($B1207&gt;Input!$C$9,$AC1207*AI1207,0)+AK1208/(1+$L1207)*$R1207))</f>
        <v/>
      </c>
      <c r="AL1207" s="164" t="str">
        <f>IF(AND($C1206=12,$D1206=Input!$C$6),0,IF($E1207="","",IF($B1207&gt;Input!$C$9,0,$AC1207)+AL1208/(1+$L1207)*$R1207))</f>
        <v/>
      </c>
      <c r="AM1207" s="160" t="str">
        <f t="shared" si="384"/>
        <v/>
      </c>
      <c r="AN1207" s="164" t="str">
        <f>IF($E1207="","",IF($B1207&gt;Input!$C$9,$AI1207*$AC1207,$AM1207*$AC1207))</f>
        <v/>
      </c>
      <c r="AO1207" s="164" t="str">
        <f>IF(AND($C1206=12,$D1206=Input!$C$6),0,IF($E1207="","",$AN1207+AO1208/(1+$L1207)*$R1207))</f>
        <v/>
      </c>
      <c r="AP1207" s="152"/>
      <c r="AQ1207" s="150" t="str">
        <f t="shared" si="385"/>
        <v/>
      </c>
      <c r="AR1207" s="150" t="str">
        <f t="shared" si="392"/>
        <v/>
      </c>
      <c r="AS1207" s="150" t="str">
        <f t="shared" si="393"/>
        <v/>
      </c>
      <c r="AT1207" s="150" t="str">
        <f t="shared" si="386"/>
        <v/>
      </c>
      <c r="AU1207" s="152"/>
      <c r="AV1207" s="147" t="str">
        <f>'Deterministic Reserve'!BC1207</f>
        <v/>
      </c>
      <c r="AY1207" s="152"/>
    </row>
    <row r="1208" spans="1:51" s="150" customFormat="1" x14ac:dyDescent="0.25">
      <c r="A1208" s="150" t="str">
        <f t="shared" si="394"/>
        <v/>
      </c>
      <c r="B1208" s="150" t="str">
        <f t="shared" si="395"/>
        <v/>
      </c>
      <c r="C1208" s="150" t="str">
        <f t="shared" si="396"/>
        <v/>
      </c>
      <c r="D1208" s="150" t="str">
        <f>IF(E1208="","",Input!$C$4+B1208-1)</f>
        <v/>
      </c>
      <c r="E1208" s="150" t="str">
        <f>IF(OR(AND(C1207=12,D1207=Input!$C$6),E1207=""),"",1)</f>
        <v/>
      </c>
      <c r="G1208" s="151" t="str">
        <f>IF(E1208="","",MAX(0,Input!$C$9-B1208))</f>
        <v/>
      </c>
      <c r="H1208" s="152" t="str">
        <f>IF(E1208="","",Input!$C$3)</f>
        <v/>
      </c>
      <c r="I1208" s="153" t="str">
        <f>IF(E1208="","",HLOOKUP($B1208,Input!$C$13:$BT$14,2))</f>
        <v/>
      </c>
      <c r="J1208" s="154"/>
      <c r="K1208" s="150" t="str">
        <f>IF($E1208="","",Input!$C$57)</f>
        <v/>
      </c>
      <c r="L1208" s="150" t="str">
        <f t="shared" si="387"/>
        <v/>
      </c>
      <c r="M1208" s="147" t="str">
        <f>IF($E1208="","",VLOOKUP(IF($B1208&lt;=Input!$C$7,$B1208,26),'Mortality Tables'!$A$72:$CA$97,IF($B1208&lt;=Input!$C$7+1,Input!$C$4-16,$D1208-Input!$C$7-16),0)/1000)</f>
        <v/>
      </c>
      <c r="N1208" s="147" t="str">
        <f t="shared" si="378"/>
        <v/>
      </c>
      <c r="O1208" s="157" t="str">
        <f>IF($E1208="","",IF($C1208=12,IF($B1208&lt;Input!$C$9,Input!$C$54,IF($B1208=Input!$C$9,Input!$C$55,Input!$C$56)),0%))</f>
        <v/>
      </c>
      <c r="P1208" s="167" t="str">
        <f>IF($E1208="","",IF($B1208=1,Input!$C$59,IF($B1208&lt;6,Input!$C$60,0%)))</f>
        <v/>
      </c>
      <c r="Q1208" s="162" t="str">
        <f>IF($E1208="","",Input!$C$58)</f>
        <v/>
      </c>
      <c r="R1208" s="156" t="str">
        <f t="shared" si="388"/>
        <v/>
      </c>
      <c r="S1208" s="154" t="str">
        <f t="shared" si="379"/>
        <v/>
      </c>
      <c r="T1208" s="152"/>
      <c r="U1208" s="150" t="str">
        <f t="shared" si="389"/>
        <v/>
      </c>
      <c r="V1208" s="150" t="str">
        <f t="shared" si="390"/>
        <v/>
      </c>
      <c r="W1208" s="168" t="str">
        <f t="shared" si="391"/>
        <v/>
      </c>
      <c r="X1208" s="163" t="str">
        <f t="shared" si="380"/>
        <v/>
      </c>
      <c r="Y1208" s="152"/>
      <c r="Z1208" s="164" t="str">
        <f>IF(AND($C1207=12,$D1207=Input!$C$6),0,IF($E1208="","",V1208+Z1209/(1+L1208)*R1208))</f>
        <v/>
      </c>
      <c r="AA1208" s="164" t="str">
        <f>IF(OR($M1208=1,AND($C1207=12,$D1207=Input!$C$6)),0,IF($E1208="","",W1208+(X1208+AA1209*$R1208)/(1+$L1208)))</f>
        <v/>
      </c>
      <c r="AB1208" s="160" t="str">
        <f t="shared" si="381"/>
        <v/>
      </c>
      <c r="AC1208" s="164" t="str">
        <f t="shared" si="382"/>
        <v/>
      </c>
      <c r="AD1208" s="164" t="str">
        <f>IF(AND($C1207=12,$D1207=Input!$C$6),0,IF($E1208="","",$AC1208+AD1209/(1+$L1208)*$R1208))</f>
        <v/>
      </c>
      <c r="AE1208" s="152"/>
      <c r="AF1208" s="164" t="str">
        <f>IF(AND($C1207=12,$D1207=Input!$C$6),0,IF($E1208="","",IF($B1208&gt;Input!$C$9,$AC1208,0)+AF1209/(1+$L1208)*$R1208))</f>
        <v/>
      </c>
      <c r="AG1208" s="164" t="str">
        <f>IF(AND($C1207=12,$D1207=Input!$C$6),0,IF($E1208="","",(IF($B1208&gt;Input!$C$9,$X1208,0)+AG1209)/(1+$L1208)*$R1208))</f>
        <v/>
      </c>
      <c r="AH1208" s="160" t="str">
        <f t="shared" si="383"/>
        <v/>
      </c>
      <c r="AI1208" s="160" t="str">
        <f>IF($E1208="","",MIN(Input!$C$61/AH1208,1))</f>
        <v/>
      </c>
      <c r="AJ1208" s="152"/>
      <c r="AK1208" s="164" t="str">
        <f>IF(AND($C1207=12,$D1207=Input!$C$6),0,IF($E1208="","",IF($B1208&gt;Input!$C$9,$AC1208*AI1208,0)+AK1209/(1+$L1208)*$R1208))</f>
        <v/>
      </c>
      <c r="AL1208" s="164" t="str">
        <f>IF(AND($C1207=12,$D1207=Input!$C$6),0,IF($E1208="","",IF($B1208&gt;Input!$C$9,0,$AC1208)+AL1209/(1+$L1208)*$R1208))</f>
        <v/>
      </c>
      <c r="AM1208" s="160" t="str">
        <f t="shared" si="384"/>
        <v/>
      </c>
      <c r="AN1208" s="164" t="str">
        <f>IF($E1208="","",IF($B1208&gt;Input!$C$9,$AI1208*$AC1208,$AM1208*$AC1208))</f>
        <v/>
      </c>
      <c r="AO1208" s="164" t="str">
        <f>IF(AND($C1207=12,$D1207=Input!$C$6),0,IF($E1208="","",$AN1208+AO1209/(1+$L1208)*$R1208))</f>
        <v/>
      </c>
      <c r="AP1208" s="152"/>
      <c r="AQ1208" s="150" t="str">
        <f t="shared" si="385"/>
        <v/>
      </c>
      <c r="AR1208" s="150" t="str">
        <f t="shared" si="392"/>
        <v/>
      </c>
      <c r="AS1208" s="150" t="str">
        <f t="shared" si="393"/>
        <v/>
      </c>
      <c r="AT1208" s="150" t="str">
        <f t="shared" si="386"/>
        <v/>
      </c>
      <c r="AU1208" s="152"/>
      <c r="AV1208" s="147" t="str">
        <f>'Deterministic Reserve'!BC1208</f>
        <v/>
      </c>
      <c r="AY1208" s="152"/>
    </row>
    <row r="1209" spans="1:51" s="150" customFormat="1" x14ac:dyDescent="0.25">
      <c r="A1209" s="150" t="str">
        <f t="shared" si="394"/>
        <v/>
      </c>
      <c r="B1209" s="150" t="str">
        <f t="shared" si="395"/>
        <v/>
      </c>
      <c r="C1209" s="150" t="str">
        <f t="shared" si="396"/>
        <v/>
      </c>
      <c r="D1209" s="150" t="str">
        <f>IF(E1209="","",Input!$C$4+B1209-1)</f>
        <v/>
      </c>
      <c r="E1209" s="150" t="str">
        <f>IF(OR(AND(C1208=12,D1208=Input!$C$6),E1208=""),"",1)</f>
        <v/>
      </c>
      <c r="G1209" s="151" t="str">
        <f>IF(E1209="","",MAX(0,Input!$C$9-B1209))</f>
        <v/>
      </c>
      <c r="H1209" s="152" t="str">
        <f>IF(E1209="","",Input!$C$3)</f>
        <v/>
      </c>
      <c r="I1209" s="153" t="str">
        <f>IF(E1209="","",HLOOKUP($B1209,Input!$C$13:$BT$14,2))</f>
        <v/>
      </c>
      <c r="J1209" s="154"/>
      <c r="K1209" s="150" t="str">
        <f>IF($E1209="","",Input!$C$57)</f>
        <v/>
      </c>
      <c r="L1209" s="150" t="str">
        <f t="shared" si="387"/>
        <v/>
      </c>
      <c r="M1209" s="147" t="str">
        <f>IF($E1209="","",VLOOKUP(IF($B1209&lt;=Input!$C$7,$B1209,26),'Mortality Tables'!$A$72:$CA$97,IF($B1209&lt;=Input!$C$7+1,Input!$C$4-16,$D1209-Input!$C$7-16),0)/1000)</f>
        <v/>
      </c>
      <c r="N1209" s="147" t="str">
        <f t="shared" si="378"/>
        <v/>
      </c>
      <c r="O1209" s="157" t="str">
        <f>IF($E1209="","",IF($C1209=12,IF($B1209&lt;Input!$C$9,Input!$C$54,IF($B1209=Input!$C$9,Input!$C$55,Input!$C$56)),0%))</f>
        <v/>
      </c>
      <c r="P1209" s="167" t="str">
        <f>IF($E1209="","",IF($B1209=1,Input!$C$59,IF($B1209&lt;6,Input!$C$60,0%)))</f>
        <v/>
      </c>
      <c r="Q1209" s="162" t="str">
        <f>IF($E1209="","",Input!$C$58)</f>
        <v/>
      </c>
      <c r="R1209" s="156" t="str">
        <f t="shared" si="388"/>
        <v/>
      </c>
      <c r="S1209" s="154" t="str">
        <f t="shared" si="379"/>
        <v/>
      </c>
      <c r="T1209" s="152"/>
      <c r="U1209" s="150" t="str">
        <f t="shared" si="389"/>
        <v/>
      </c>
      <c r="V1209" s="150" t="str">
        <f t="shared" si="390"/>
        <v/>
      </c>
      <c r="W1209" s="168" t="str">
        <f t="shared" si="391"/>
        <v/>
      </c>
      <c r="X1209" s="163" t="str">
        <f t="shared" si="380"/>
        <v/>
      </c>
      <c r="Y1209" s="152"/>
      <c r="Z1209" s="164" t="str">
        <f>IF(AND($C1208=12,$D1208=Input!$C$6),0,IF($E1209="","",V1209+Z1210/(1+L1209)*R1209))</f>
        <v/>
      </c>
      <c r="AA1209" s="164" t="str">
        <f>IF(OR($M1209=1,AND($C1208=12,$D1208=Input!$C$6)),0,IF($E1209="","",W1209+(X1209+AA1210*$R1209)/(1+$L1209)))</f>
        <v/>
      </c>
      <c r="AB1209" s="160" t="str">
        <f t="shared" si="381"/>
        <v/>
      </c>
      <c r="AC1209" s="164" t="str">
        <f t="shared" si="382"/>
        <v/>
      </c>
      <c r="AD1209" s="164" t="str">
        <f>IF(AND($C1208=12,$D1208=Input!$C$6),0,IF($E1209="","",$AC1209+AD1210/(1+$L1209)*$R1209))</f>
        <v/>
      </c>
      <c r="AE1209" s="152"/>
      <c r="AF1209" s="164" t="str">
        <f>IF(AND($C1208=12,$D1208=Input!$C$6),0,IF($E1209="","",IF($B1209&gt;Input!$C$9,$AC1209,0)+AF1210/(1+$L1209)*$R1209))</f>
        <v/>
      </c>
      <c r="AG1209" s="164" t="str">
        <f>IF(AND($C1208=12,$D1208=Input!$C$6),0,IF($E1209="","",(IF($B1209&gt;Input!$C$9,$X1209,0)+AG1210)/(1+$L1209)*$R1209))</f>
        <v/>
      </c>
      <c r="AH1209" s="160" t="str">
        <f t="shared" si="383"/>
        <v/>
      </c>
      <c r="AI1209" s="160" t="str">
        <f>IF($E1209="","",MIN(Input!$C$61/AH1209,1))</f>
        <v/>
      </c>
      <c r="AJ1209" s="152"/>
      <c r="AK1209" s="164" t="str">
        <f>IF(AND($C1208=12,$D1208=Input!$C$6),0,IF($E1209="","",IF($B1209&gt;Input!$C$9,$AC1209*AI1209,0)+AK1210/(1+$L1209)*$R1209))</f>
        <v/>
      </c>
      <c r="AL1209" s="164" t="str">
        <f>IF(AND($C1208=12,$D1208=Input!$C$6),0,IF($E1209="","",IF($B1209&gt;Input!$C$9,0,$AC1209)+AL1210/(1+$L1209)*$R1209))</f>
        <v/>
      </c>
      <c r="AM1209" s="160" t="str">
        <f t="shared" si="384"/>
        <v/>
      </c>
      <c r="AN1209" s="164" t="str">
        <f>IF($E1209="","",IF($B1209&gt;Input!$C$9,$AI1209*$AC1209,$AM1209*$AC1209))</f>
        <v/>
      </c>
      <c r="AO1209" s="164" t="str">
        <f>IF(AND($C1208=12,$D1208=Input!$C$6),0,IF($E1209="","",$AN1209+AO1210/(1+$L1209)*$R1209))</f>
        <v/>
      </c>
      <c r="AP1209" s="152"/>
      <c r="AQ1209" s="150" t="str">
        <f t="shared" si="385"/>
        <v/>
      </c>
      <c r="AR1209" s="150" t="str">
        <f t="shared" si="392"/>
        <v/>
      </c>
      <c r="AS1209" s="150" t="str">
        <f t="shared" si="393"/>
        <v/>
      </c>
      <c r="AT1209" s="150" t="str">
        <f t="shared" si="386"/>
        <v/>
      </c>
      <c r="AU1209" s="152"/>
      <c r="AV1209" s="147" t="str">
        <f>'Deterministic Reserve'!BC1209</f>
        <v/>
      </c>
      <c r="AY1209" s="152"/>
    </row>
    <row r="1210" spans="1:51" s="150" customFormat="1" x14ac:dyDescent="0.25">
      <c r="A1210" s="150" t="str">
        <f t="shared" si="394"/>
        <v/>
      </c>
      <c r="B1210" s="150" t="str">
        <f t="shared" si="395"/>
        <v/>
      </c>
      <c r="C1210" s="150" t="str">
        <f t="shared" si="396"/>
        <v/>
      </c>
      <c r="D1210" s="150" t="str">
        <f>IF(E1210="","",Input!$C$4+B1210-1)</f>
        <v/>
      </c>
      <c r="E1210" s="150" t="str">
        <f>IF(OR(AND(C1209=12,D1209=Input!$C$6),E1209=""),"",1)</f>
        <v/>
      </c>
      <c r="G1210" s="151" t="str">
        <f>IF(E1210="","",MAX(0,Input!$C$9-B1210))</f>
        <v/>
      </c>
      <c r="H1210" s="152" t="str">
        <f>IF(E1210="","",Input!$C$3)</f>
        <v/>
      </c>
      <c r="I1210" s="153" t="str">
        <f>IF(E1210="","",HLOOKUP($B1210,Input!$C$13:$BT$14,2))</f>
        <v/>
      </c>
      <c r="J1210" s="154"/>
      <c r="K1210" s="150" t="str">
        <f>IF($E1210="","",Input!$C$57)</f>
        <v/>
      </c>
      <c r="L1210" s="150" t="str">
        <f t="shared" si="387"/>
        <v/>
      </c>
      <c r="M1210" s="147" t="str">
        <f>IF($E1210="","",VLOOKUP(IF($B1210&lt;=Input!$C$7,$B1210,26),'Mortality Tables'!$A$72:$CA$97,IF($B1210&lt;=Input!$C$7+1,Input!$C$4-16,$D1210-Input!$C$7-16),0)/1000)</f>
        <v/>
      </c>
      <c r="N1210" s="147" t="str">
        <f t="shared" si="378"/>
        <v/>
      </c>
      <c r="O1210" s="157" t="str">
        <f>IF($E1210="","",IF($C1210=12,IF($B1210&lt;Input!$C$9,Input!$C$54,IF($B1210=Input!$C$9,Input!$C$55,Input!$C$56)),0%))</f>
        <v/>
      </c>
      <c r="P1210" s="167" t="str">
        <f>IF($E1210="","",IF($B1210=1,Input!$C$59,IF($B1210&lt;6,Input!$C$60,0%)))</f>
        <v/>
      </c>
      <c r="Q1210" s="162" t="str">
        <f>IF($E1210="","",Input!$C$58)</f>
        <v/>
      </c>
      <c r="R1210" s="156" t="str">
        <f t="shared" si="388"/>
        <v/>
      </c>
      <c r="S1210" s="154" t="str">
        <f t="shared" si="379"/>
        <v/>
      </c>
      <c r="T1210" s="152"/>
      <c r="U1210" s="150" t="str">
        <f t="shared" si="389"/>
        <v/>
      </c>
      <c r="V1210" s="150" t="str">
        <f t="shared" si="390"/>
        <v/>
      </c>
      <c r="W1210" s="168" t="str">
        <f t="shared" si="391"/>
        <v/>
      </c>
      <c r="X1210" s="163" t="str">
        <f t="shared" si="380"/>
        <v/>
      </c>
      <c r="Y1210" s="152"/>
      <c r="Z1210" s="164" t="str">
        <f>IF(AND($C1209=12,$D1209=Input!$C$6),0,IF($E1210="","",V1210+Z1211/(1+L1210)*R1210))</f>
        <v/>
      </c>
      <c r="AA1210" s="164" t="str">
        <f>IF(OR($M1210=1,AND($C1209=12,$D1209=Input!$C$6)),0,IF($E1210="","",W1210+(X1210+AA1211*$R1210)/(1+$L1210)))</f>
        <v/>
      </c>
      <c r="AB1210" s="160" t="str">
        <f t="shared" si="381"/>
        <v/>
      </c>
      <c r="AC1210" s="164" t="str">
        <f t="shared" si="382"/>
        <v/>
      </c>
      <c r="AD1210" s="164" t="str">
        <f>IF(AND($C1209=12,$D1209=Input!$C$6),0,IF($E1210="","",$AC1210+AD1211/(1+$L1210)*$R1210))</f>
        <v/>
      </c>
      <c r="AE1210" s="152"/>
      <c r="AF1210" s="164" t="str">
        <f>IF(AND($C1209=12,$D1209=Input!$C$6),0,IF($E1210="","",IF($B1210&gt;Input!$C$9,$AC1210,0)+AF1211/(1+$L1210)*$R1210))</f>
        <v/>
      </c>
      <c r="AG1210" s="164" t="str">
        <f>IF(AND($C1209=12,$D1209=Input!$C$6),0,IF($E1210="","",(IF($B1210&gt;Input!$C$9,$X1210,0)+AG1211)/(1+$L1210)*$R1210))</f>
        <v/>
      </c>
      <c r="AH1210" s="160" t="str">
        <f t="shared" si="383"/>
        <v/>
      </c>
      <c r="AI1210" s="160" t="str">
        <f>IF($E1210="","",MIN(Input!$C$61/AH1210,1))</f>
        <v/>
      </c>
      <c r="AJ1210" s="152"/>
      <c r="AK1210" s="164" t="str">
        <f>IF(AND($C1209=12,$D1209=Input!$C$6),0,IF($E1210="","",IF($B1210&gt;Input!$C$9,$AC1210*AI1210,0)+AK1211/(1+$L1210)*$R1210))</f>
        <v/>
      </c>
      <c r="AL1210" s="164" t="str">
        <f>IF(AND($C1209=12,$D1209=Input!$C$6),0,IF($E1210="","",IF($B1210&gt;Input!$C$9,0,$AC1210)+AL1211/(1+$L1210)*$R1210))</f>
        <v/>
      </c>
      <c r="AM1210" s="160" t="str">
        <f t="shared" si="384"/>
        <v/>
      </c>
      <c r="AN1210" s="164" t="str">
        <f>IF($E1210="","",IF($B1210&gt;Input!$C$9,$AI1210*$AC1210,$AM1210*$AC1210))</f>
        <v/>
      </c>
      <c r="AO1210" s="164" t="str">
        <f>IF(AND($C1209=12,$D1209=Input!$C$6),0,IF($E1210="","",$AN1210+AO1211/(1+$L1210)*$R1210))</f>
        <v/>
      </c>
      <c r="AP1210" s="152"/>
      <c r="AQ1210" s="150" t="str">
        <f t="shared" si="385"/>
        <v/>
      </c>
      <c r="AR1210" s="150" t="str">
        <f t="shared" si="392"/>
        <v/>
      </c>
      <c r="AS1210" s="150" t="str">
        <f t="shared" si="393"/>
        <v/>
      </c>
      <c r="AT1210" s="150" t="str">
        <f t="shared" si="386"/>
        <v/>
      </c>
      <c r="AU1210" s="152"/>
      <c r="AV1210" s="147" t="str">
        <f>'Deterministic Reserve'!BC1210</f>
        <v/>
      </c>
      <c r="AY1210" s="152"/>
    </row>
    <row r="1211" spans="1:51" s="150" customFormat="1" x14ac:dyDescent="0.25">
      <c r="A1211" s="150" t="str">
        <f t="shared" si="394"/>
        <v/>
      </c>
      <c r="B1211" s="150" t="str">
        <f t="shared" si="395"/>
        <v/>
      </c>
      <c r="C1211" s="150" t="str">
        <f t="shared" si="396"/>
        <v/>
      </c>
      <c r="D1211" s="150" t="str">
        <f>IF(E1211="","",Input!$C$4+B1211-1)</f>
        <v/>
      </c>
      <c r="E1211" s="150" t="str">
        <f>IF(OR(AND(C1210=12,D1210=Input!$C$6),E1210=""),"",1)</f>
        <v/>
      </c>
      <c r="G1211" s="151" t="str">
        <f>IF(E1211="","",MAX(0,Input!$C$9-B1211))</f>
        <v/>
      </c>
      <c r="H1211" s="152" t="str">
        <f>IF(E1211="","",Input!$C$3)</f>
        <v/>
      </c>
      <c r="I1211" s="153" t="str">
        <f>IF(E1211="","",HLOOKUP($B1211,Input!$C$13:$BT$14,2))</f>
        <v/>
      </c>
      <c r="J1211" s="154"/>
      <c r="K1211" s="150" t="str">
        <f>IF($E1211="","",Input!$C$57)</f>
        <v/>
      </c>
      <c r="L1211" s="150" t="str">
        <f t="shared" si="387"/>
        <v/>
      </c>
      <c r="M1211" s="147" t="str">
        <f>IF($E1211="","",VLOOKUP(IF($B1211&lt;=Input!$C$7,$B1211,26),'Mortality Tables'!$A$72:$CA$97,IF($B1211&lt;=Input!$C$7+1,Input!$C$4-16,$D1211-Input!$C$7-16),0)/1000)</f>
        <v/>
      </c>
      <c r="N1211" s="147" t="str">
        <f t="shared" si="378"/>
        <v/>
      </c>
      <c r="O1211" s="157" t="str">
        <f>IF($E1211="","",IF($C1211=12,IF($B1211&lt;Input!$C$9,Input!$C$54,IF($B1211=Input!$C$9,Input!$C$55,Input!$C$56)),0%))</f>
        <v/>
      </c>
      <c r="P1211" s="167" t="str">
        <f>IF($E1211="","",IF($B1211=1,Input!$C$59,IF($B1211&lt;6,Input!$C$60,0%)))</f>
        <v/>
      </c>
      <c r="Q1211" s="162" t="str">
        <f>IF($E1211="","",Input!$C$58)</f>
        <v/>
      </c>
      <c r="R1211" s="156" t="str">
        <f t="shared" si="388"/>
        <v/>
      </c>
      <c r="S1211" s="154" t="str">
        <f t="shared" si="379"/>
        <v/>
      </c>
      <c r="T1211" s="152"/>
      <c r="U1211" s="150" t="str">
        <f t="shared" si="389"/>
        <v/>
      </c>
      <c r="V1211" s="150" t="str">
        <f t="shared" si="390"/>
        <v/>
      </c>
      <c r="W1211" s="168" t="str">
        <f t="shared" si="391"/>
        <v/>
      </c>
      <c r="X1211" s="163" t="str">
        <f t="shared" si="380"/>
        <v/>
      </c>
      <c r="Y1211" s="152"/>
      <c r="Z1211" s="164" t="str">
        <f>IF(AND($C1210=12,$D1210=Input!$C$6),0,IF($E1211="","",V1211+Z1212/(1+L1211)*R1211))</f>
        <v/>
      </c>
      <c r="AA1211" s="164" t="str">
        <f>IF(OR($M1211=1,AND($C1210=12,$D1210=Input!$C$6)),0,IF($E1211="","",W1211+(X1211+AA1212*$R1211)/(1+$L1211)))</f>
        <v/>
      </c>
      <c r="AB1211" s="160" t="str">
        <f t="shared" si="381"/>
        <v/>
      </c>
      <c r="AC1211" s="164" t="str">
        <f t="shared" si="382"/>
        <v/>
      </c>
      <c r="AD1211" s="164" t="str">
        <f>IF(AND($C1210=12,$D1210=Input!$C$6),0,IF($E1211="","",$AC1211+AD1212/(1+$L1211)*$R1211))</f>
        <v/>
      </c>
      <c r="AE1211" s="152"/>
      <c r="AF1211" s="164" t="str">
        <f>IF(AND($C1210=12,$D1210=Input!$C$6),0,IF($E1211="","",IF($B1211&gt;Input!$C$9,$AC1211,0)+AF1212/(1+$L1211)*$R1211))</f>
        <v/>
      </c>
      <c r="AG1211" s="164" t="str">
        <f>IF(AND($C1210=12,$D1210=Input!$C$6),0,IF($E1211="","",(IF($B1211&gt;Input!$C$9,$X1211,0)+AG1212)/(1+$L1211)*$R1211))</f>
        <v/>
      </c>
      <c r="AH1211" s="160" t="str">
        <f t="shared" si="383"/>
        <v/>
      </c>
      <c r="AI1211" s="160" t="str">
        <f>IF($E1211="","",MIN(Input!$C$61/AH1211,1))</f>
        <v/>
      </c>
      <c r="AJ1211" s="152"/>
      <c r="AK1211" s="164" t="str">
        <f>IF(AND($C1210=12,$D1210=Input!$C$6),0,IF($E1211="","",IF($B1211&gt;Input!$C$9,$AC1211*AI1211,0)+AK1212/(1+$L1211)*$R1211))</f>
        <v/>
      </c>
      <c r="AL1211" s="164" t="str">
        <f>IF(AND($C1210=12,$D1210=Input!$C$6),0,IF($E1211="","",IF($B1211&gt;Input!$C$9,0,$AC1211)+AL1212/(1+$L1211)*$R1211))</f>
        <v/>
      </c>
      <c r="AM1211" s="160" t="str">
        <f t="shared" si="384"/>
        <v/>
      </c>
      <c r="AN1211" s="164" t="str">
        <f>IF($E1211="","",IF($B1211&gt;Input!$C$9,$AI1211*$AC1211,$AM1211*$AC1211))</f>
        <v/>
      </c>
      <c r="AO1211" s="164" t="str">
        <f>IF(AND($C1210=12,$D1210=Input!$C$6),0,IF($E1211="","",$AN1211+AO1212/(1+$L1211)*$R1211))</f>
        <v/>
      </c>
      <c r="AP1211" s="152"/>
      <c r="AQ1211" s="150" t="str">
        <f t="shared" si="385"/>
        <v/>
      </c>
      <c r="AR1211" s="150" t="str">
        <f t="shared" si="392"/>
        <v/>
      </c>
      <c r="AS1211" s="150" t="str">
        <f t="shared" si="393"/>
        <v/>
      </c>
      <c r="AT1211" s="150" t="str">
        <f t="shared" si="386"/>
        <v/>
      </c>
      <c r="AU1211" s="152"/>
      <c r="AV1211" s="147" t="str">
        <f>'Deterministic Reserve'!BC1211</f>
        <v/>
      </c>
      <c r="AY1211" s="152"/>
    </row>
    <row r="1212" spans="1:51" s="150" customFormat="1" x14ac:dyDescent="0.25">
      <c r="A1212" s="150" t="str">
        <f t="shared" si="394"/>
        <v/>
      </c>
      <c r="B1212" s="150" t="str">
        <f t="shared" si="395"/>
        <v/>
      </c>
      <c r="C1212" s="150" t="str">
        <f t="shared" si="396"/>
        <v/>
      </c>
      <c r="D1212" s="150" t="str">
        <f>IF(E1212="","",Input!$C$4+B1212-1)</f>
        <v/>
      </c>
      <c r="E1212" s="150" t="str">
        <f>IF(OR(AND(C1211=12,D1211=Input!$C$6),E1211=""),"",1)</f>
        <v/>
      </c>
      <c r="G1212" s="151" t="str">
        <f>IF(E1212="","",MAX(0,Input!$C$9-B1212))</f>
        <v/>
      </c>
      <c r="H1212" s="152" t="str">
        <f>IF(E1212="","",Input!$C$3)</f>
        <v/>
      </c>
      <c r="I1212" s="153" t="str">
        <f>IF(E1212="","",HLOOKUP($B1212,Input!$C$13:$BT$14,2))</f>
        <v/>
      </c>
      <c r="J1212" s="154"/>
      <c r="K1212" s="150" t="str">
        <f>IF($E1212="","",Input!$C$57)</f>
        <v/>
      </c>
      <c r="L1212" s="150" t="str">
        <f t="shared" si="387"/>
        <v/>
      </c>
      <c r="M1212" s="147" t="str">
        <f>IF($E1212="","",VLOOKUP(IF($B1212&lt;=Input!$C$7,$B1212,26),'Mortality Tables'!$A$72:$CA$97,IF($B1212&lt;=Input!$C$7+1,Input!$C$4-16,$D1212-Input!$C$7-16),0)/1000)</f>
        <v/>
      </c>
      <c r="N1212" s="147" t="str">
        <f t="shared" si="378"/>
        <v/>
      </c>
      <c r="O1212" s="157" t="str">
        <f>IF($E1212="","",IF($C1212=12,IF($B1212&lt;Input!$C$9,Input!$C$54,IF($B1212=Input!$C$9,Input!$C$55,Input!$C$56)),0%))</f>
        <v/>
      </c>
      <c r="P1212" s="167" t="str">
        <f>IF($E1212="","",IF($B1212=1,Input!$C$59,IF($B1212&lt;6,Input!$C$60,0%)))</f>
        <v/>
      </c>
      <c r="Q1212" s="162" t="str">
        <f>IF($E1212="","",Input!$C$58)</f>
        <v/>
      </c>
      <c r="R1212" s="156" t="str">
        <f t="shared" si="388"/>
        <v/>
      </c>
      <c r="S1212" s="154" t="str">
        <f t="shared" si="379"/>
        <v/>
      </c>
      <c r="T1212" s="152"/>
      <c r="U1212" s="150" t="str">
        <f t="shared" si="389"/>
        <v/>
      </c>
      <c r="V1212" s="150" t="str">
        <f t="shared" si="390"/>
        <v/>
      </c>
      <c r="W1212" s="168" t="str">
        <f t="shared" si="391"/>
        <v/>
      </c>
      <c r="X1212" s="163" t="str">
        <f t="shared" si="380"/>
        <v/>
      </c>
      <c r="Y1212" s="152"/>
      <c r="Z1212" s="164" t="str">
        <f>IF(AND($C1211=12,$D1211=Input!$C$6),0,IF($E1212="","",V1212+Z1213/(1+L1212)*R1212))</f>
        <v/>
      </c>
      <c r="AA1212" s="164" t="str">
        <f>IF(OR($M1212=1,AND($C1211=12,$D1211=Input!$C$6)),0,IF($E1212="","",W1212+(X1212+AA1213*$R1212)/(1+$L1212)))</f>
        <v/>
      </c>
      <c r="AB1212" s="160" t="str">
        <f t="shared" si="381"/>
        <v/>
      </c>
      <c r="AC1212" s="164" t="str">
        <f t="shared" si="382"/>
        <v/>
      </c>
      <c r="AD1212" s="164" t="str">
        <f>IF(AND($C1211=12,$D1211=Input!$C$6),0,IF($E1212="","",$AC1212+AD1213/(1+$L1212)*$R1212))</f>
        <v/>
      </c>
      <c r="AE1212" s="152"/>
      <c r="AF1212" s="164" t="str">
        <f>IF(AND($C1211=12,$D1211=Input!$C$6),0,IF($E1212="","",IF($B1212&gt;Input!$C$9,$AC1212,0)+AF1213/(1+$L1212)*$R1212))</f>
        <v/>
      </c>
      <c r="AG1212" s="164" t="str">
        <f>IF(AND($C1211=12,$D1211=Input!$C$6),0,IF($E1212="","",(IF($B1212&gt;Input!$C$9,$X1212,0)+AG1213)/(1+$L1212)*$R1212))</f>
        <v/>
      </c>
      <c r="AH1212" s="160" t="str">
        <f t="shared" si="383"/>
        <v/>
      </c>
      <c r="AI1212" s="160" t="str">
        <f>IF($E1212="","",MIN(Input!$C$61/AH1212,1))</f>
        <v/>
      </c>
      <c r="AJ1212" s="152"/>
      <c r="AK1212" s="164" t="str">
        <f>IF(AND($C1211=12,$D1211=Input!$C$6),0,IF($E1212="","",IF($B1212&gt;Input!$C$9,$AC1212*AI1212,0)+AK1213/(1+$L1212)*$R1212))</f>
        <v/>
      </c>
      <c r="AL1212" s="164" t="str">
        <f>IF(AND($C1211=12,$D1211=Input!$C$6),0,IF($E1212="","",IF($B1212&gt;Input!$C$9,0,$AC1212)+AL1213/(1+$L1212)*$R1212))</f>
        <v/>
      </c>
      <c r="AM1212" s="160" t="str">
        <f t="shared" si="384"/>
        <v/>
      </c>
      <c r="AN1212" s="164" t="str">
        <f>IF($E1212="","",IF($B1212&gt;Input!$C$9,$AI1212*$AC1212,$AM1212*$AC1212))</f>
        <v/>
      </c>
      <c r="AO1212" s="164" t="str">
        <f>IF(AND($C1211=12,$D1211=Input!$C$6),0,IF($E1212="","",$AN1212+AO1213/(1+$L1212)*$R1212))</f>
        <v/>
      </c>
      <c r="AP1212" s="152"/>
      <c r="AQ1212" s="150" t="str">
        <f t="shared" si="385"/>
        <v/>
      </c>
      <c r="AR1212" s="150" t="str">
        <f t="shared" si="392"/>
        <v/>
      </c>
      <c r="AS1212" s="150" t="str">
        <f t="shared" si="393"/>
        <v/>
      </c>
      <c r="AT1212" s="150" t="str">
        <f t="shared" si="386"/>
        <v/>
      </c>
      <c r="AU1212" s="152"/>
      <c r="AV1212" s="147" t="str">
        <f>'Deterministic Reserve'!BC1212</f>
        <v/>
      </c>
      <c r="AY1212" s="152"/>
    </row>
    <row r="1213" spans="1:51" s="150" customFormat="1" x14ac:dyDescent="0.25">
      <c r="A1213" s="150" t="str">
        <f t="shared" si="394"/>
        <v/>
      </c>
      <c r="B1213" s="150" t="str">
        <f t="shared" si="395"/>
        <v/>
      </c>
      <c r="C1213" s="150" t="str">
        <f t="shared" si="396"/>
        <v/>
      </c>
      <c r="D1213" s="150" t="str">
        <f>IF(E1213="","",Input!$C$4+B1213-1)</f>
        <v/>
      </c>
      <c r="E1213" s="150" t="str">
        <f>IF(OR(AND(C1212=12,D1212=Input!$C$6),E1212=""),"",1)</f>
        <v/>
      </c>
      <c r="G1213" s="151" t="str">
        <f>IF(E1213="","",MAX(0,Input!$C$9-B1213))</f>
        <v/>
      </c>
      <c r="H1213" s="152" t="str">
        <f>IF(E1213="","",Input!$C$3)</f>
        <v/>
      </c>
      <c r="I1213" s="153" t="str">
        <f>IF(E1213="","",HLOOKUP($B1213,Input!$C$13:$BT$14,2))</f>
        <v/>
      </c>
      <c r="J1213" s="154"/>
      <c r="K1213" s="150" t="str">
        <f>IF($E1213="","",Input!$C$57)</f>
        <v/>
      </c>
      <c r="L1213" s="150" t="str">
        <f t="shared" si="387"/>
        <v/>
      </c>
      <c r="M1213" s="147" t="str">
        <f>IF($E1213="","",VLOOKUP(IF($B1213&lt;=Input!$C$7,$B1213,26),'Mortality Tables'!$A$72:$CA$97,IF($B1213&lt;=Input!$C$7+1,Input!$C$4-16,$D1213-Input!$C$7-16),0)/1000)</f>
        <v/>
      </c>
      <c r="N1213" s="147" t="str">
        <f t="shared" si="378"/>
        <v/>
      </c>
      <c r="O1213" s="157" t="str">
        <f>IF($E1213="","",IF($C1213=12,IF($B1213&lt;Input!$C$9,Input!$C$54,IF($B1213=Input!$C$9,Input!$C$55,Input!$C$56)),0%))</f>
        <v/>
      </c>
      <c r="P1213" s="167" t="str">
        <f>IF($E1213="","",IF($B1213=1,Input!$C$59,IF($B1213&lt;6,Input!$C$60,0%)))</f>
        <v/>
      </c>
      <c r="Q1213" s="162" t="str">
        <f>IF($E1213="","",Input!$C$58)</f>
        <v/>
      </c>
      <c r="R1213" s="156" t="str">
        <f t="shared" si="388"/>
        <v/>
      </c>
      <c r="S1213" s="154" t="str">
        <f t="shared" si="379"/>
        <v/>
      </c>
      <c r="T1213" s="152"/>
      <c r="U1213" s="150" t="str">
        <f t="shared" si="389"/>
        <v/>
      </c>
      <c r="V1213" s="150" t="str">
        <f t="shared" si="390"/>
        <v/>
      </c>
      <c r="W1213" s="168" t="str">
        <f t="shared" si="391"/>
        <v/>
      </c>
      <c r="X1213" s="163" t="str">
        <f t="shared" si="380"/>
        <v/>
      </c>
      <c r="Y1213" s="152"/>
      <c r="Z1213" s="164" t="str">
        <f>IF(AND($C1212=12,$D1212=Input!$C$6),0,IF($E1213="","",V1213+Z1214/(1+L1213)*R1213))</f>
        <v/>
      </c>
      <c r="AA1213" s="164" t="str">
        <f>IF(OR($M1213=1,AND($C1212=12,$D1212=Input!$C$6)),0,IF($E1213="","",W1213+(X1213+AA1214*$R1213)/(1+$L1213)))</f>
        <v/>
      </c>
      <c r="AB1213" s="160" t="str">
        <f t="shared" si="381"/>
        <v/>
      </c>
      <c r="AC1213" s="164" t="str">
        <f t="shared" si="382"/>
        <v/>
      </c>
      <c r="AD1213" s="164" t="str">
        <f>IF(AND($C1212=12,$D1212=Input!$C$6),0,IF($E1213="","",$AC1213+AD1214/(1+$L1213)*$R1213))</f>
        <v/>
      </c>
      <c r="AE1213" s="152"/>
      <c r="AF1213" s="164" t="str">
        <f>IF(AND($C1212=12,$D1212=Input!$C$6),0,IF($E1213="","",IF($B1213&gt;Input!$C$9,$AC1213,0)+AF1214/(1+$L1213)*$R1213))</f>
        <v/>
      </c>
      <c r="AG1213" s="164" t="str">
        <f>IF(AND($C1212=12,$D1212=Input!$C$6),0,IF($E1213="","",(IF($B1213&gt;Input!$C$9,$X1213,0)+AG1214)/(1+$L1213)*$R1213))</f>
        <v/>
      </c>
      <c r="AH1213" s="160" t="str">
        <f t="shared" si="383"/>
        <v/>
      </c>
      <c r="AI1213" s="160" t="str">
        <f>IF($E1213="","",MIN(Input!$C$61/AH1213,1))</f>
        <v/>
      </c>
      <c r="AJ1213" s="152"/>
      <c r="AK1213" s="164" t="str">
        <f>IF(AND($C1212=12,$D1212=Input!$C$6),0,IF($E1213="","",IF($B1213&gt;Input!$C$9,$AC1213*AI1213,0)+AK1214/(1+$L1213)*$R1213))</f>
        <v/>
      </c>
      <c r="AL1213" s="164" t="str">
        <f>IF(AND($C1212=12,$D1212=Input!$C$6),0,IF($E1213="","",IF($B1213&gt;Input!$C$9,0,$AC1213)+AL1214/(1+$L1213)*$R1213))</f>
        <v/>
      </c>
      <c r="AM1213" s="160" t="str">
        <f t="shared" si="384"/>
        <v/>
      </c>
      <c r="AN1213" s="164" t="str">
        <f>IF($E1213="","",IF($B1213&gt;Input!$C$9,$AI1213*$AC1213,$AM1213*$AC1213))</f>
        <v/>
      </c>
      <c r="AO1213" s="164" t="str">
        <f>IF(AND($C1212=12,$D1212=Input!$C$6),0,IF($E1213="","",$AN1213+AO1214/(1+$L1213)*$R1213))</f>
        <v/>
      </c>
      <c r="AP1213" s="152"/>
      <c r="AQ1213" s="150" t="str">
        <f t="shared" si="385"/>
        <v/>
      </c>
      <c r="AR1213" s="150" t="str">
        <f t="shared" si="392"/>
        <v/>
      </c>
      <c r="AS1213" s="150" t="str">
        <f t="shared" si="393"/>
        <v/>
      </c>
      <c r="AT1213" s="150" t="str">
        <f t="shared" si="386"/>
        <v/>
      </c>
      <c r="AU1213" s="152"/>
      <c r="AV1213" s="147" t="str">
        <f>'Deterministic Reserve'!BC1213</f>
        <v/>
      </c>
      <c r="AY1213" s="152"/>
    </row>
    <row r="1214" spans="1:51" s="150" customFormat="1" x14ac:dyDescent="0.25">
      <c r="A1214" s="150" t="str">
        <f t="shared" si="394"/>
        <v/>
      </c>
      <c r="B1214" s="150" t="str">
        <f t="shared" si="395"/>
        <v/>
      </c>
      <c r="C1214" s="150" t="str">
        <f t="shared" si="396"/>
        <v/>
      </c>
      <c r="D1214" s="150" t="str">
        <f>IF(E1214="","",Input!$C$4+B1214-1)</f>
        <v/>
      </c>
      <c r="E1214" s="150" t="str">
        <f>IF(OR(AND(C1213=12,D1213=Input!$C$6),E1213=""),"",1)</f>
        <v/>
      </c>
      <c r="G1214" s="151" t="str">
        <f>IF(E1214="","",MAX(0,Input!$C$9-B1214))</f>
        <v/>
      </c>
      <c r="H1214" s="152" t="str">
        <f>IF(E1214="","",Input!$C$3)</f>
        <v/>
      </c>
      <c r="I1214" s="153" t="str">
        <f>IF(E1214="","",HLOOKUP($B1214,Input!$C$13:$BT$14,2))</f>
        <v/>
      </c>
      <c r="J1214" s="154"/>
      <c r="K1214" s="150" t="str">
        <f>IF($E1214="","",Input!$C$57)</f>
        <v/>
      </c>
      <c r="L1214" s="150" t="str">
        <f t="shared" si="387"/>
        <v/>
      </c>
      <c r="M1214" s="147" t="str">
        <f>IF($E1214="","",VLOOKUP(IF($B1214&lt;=Input!$C$7,$B1214,26),'Mortality Tables'!$A$72:$CA$97,IF($B1214&lt;=Input!$C$7+1,Input!$C$4-16,$D1214-Input!$C$7-16),0)/1000)</f>
        <v/>
      </c>
      <c r="N1214" s="147" t="str">
        <f t="shared" si="378"/>
        <v/>
      </c>
      <c r="O1214" s="157" t="str">
        <f>IF($E1214="","",IF($C1214=12,IF($B1214&lt;Input!$C$9,Input!$C$54,IF($B1214=Input!$C$9,Input!$C$55,Input!$C$56)),0%))</f>
        <v/>
      </c>
      <c r="P1214" s="167" t="str">
        <f>IF($E1214="","",IF($B1214=1,Input!$C$59,IF($B1214&lt;6,Input!$C$60,0%)))</f>
        <v/>
      </c>
      <c r="Q1214" s="162" t="str">
        <f>IF($E1214="","",Input!$C$58)</f>
        <v/>
      </c>
      <c r="R1214" s="156" t="str">
        <f t="shared" si="388"/>
        <v/>
      </c>
      <c r="S1214" s="154" t="str">
        <f t="shared" si="379"/>
        <v/>
      </c>
      <c r="T1214" s="152"/>
      <c r="U1214" s="150" t="str">
        <f t="shared" si="389"/>
        <v/>
      </c>
      <c r="V1214" s="150" t="str">
        <f t="shared" si="390"/>
        <v/>
      </c>
      <c r="W1214" s="168" t="str">
        <f t="shared" si="391"/>
        <v/>
      </c>
      <c r="X1214" s="163" t="str">
        <f t="shared" si="380"/>
        <v/>
      </c>
      <c r="Y1214" s="152"/>
      <c r="Z1214" s="164" t="str">
        <f>IF(AND($C1213=12,$D1213=Input!$C$6),0,IF($E1214="","",V1214+Z1215/(1+L1214)*R1214))</f>
        <v/>
      </c>
      <c r="AA1214" s="164" t="str">
        <f>IF(OR($M1214=1,AND($C1213=12,$D1213=Input!$C$6)),0,IF($E1214="","",W1214+(X1214+AA1215*$R1214)/(1+$L1214)))</f>
        <v/>
      </c>
      <c r="AB1214" s="160" t="str">
        <f t="shared" si="381"/>
        <v/>
      </c>
      <c r="AC1214" s="164" t="str">
        <f t="shared" si="382"/>
        <v/>
      </c>
      <c r="AD1214" s="164" t="str">
        <f>IF(AND($C1213=12,$D1213=Input!$C$6),0,IF($E1214="","",$AC1214+AD1215/(1+$L1214)*$R1214))</f>
        <v/>
      </c>
      <c r="AE1214" s="152"/>
      <c r="AF1214" s="164" t="str">
        <f>IF(AND($C1213=12,$D1213=Input!$C$6),0,IF($E1214="","",IF($B1214&gt;Input!$C$9,$AC1214,0)+AF1215/(1+$L1214)*$R1214))</f>
        <v/>
      </c>
      <c r="AG1214" s="164" t="str">
        <f>IF(AND($C1213=12,$D1213=Input!$C$6),0,IF($E1214="","",(IF($B1214&gt;Input!$C$9,$X1214,0)+AG1215)/(1+$L1214)*$R1214))</f>
        <v/>
      </c>
      <c r="AH1214" s="160" t="str">
        <f t="shared" si="383"/>
        <v/>
      </c>
      <c r="AI1214" s="160" t="str">
        <f>IF($E1214="","",MIN(Input!$C$61/AH1214,1))</f>
        <v/>
      </c>
      <c r="AJ1214" s="152"/>
      <c r="AK1214" s="164" t="str">
        <f>IF(AND($C1213=12,$D1213=Input!$C$6),0,IF($E1214="","",IF($B1214&gt;Input!$C$9,$AC1214*AI1214,0)+AK1215/(1+$L1214)*$R1214))</f>
        <v/>
      </c>
      <c r="AL1214" s="164" t="str">
        <f>IF(AND($C1213=12,$D1213=Input!$C$6),0,IF($E1214="","",IF($B1214&gt;Input!$C$9,0,$AC1214)+AL1215/(1+$L1214)*$R1214))</f>
        <v/>
      </c>
      <c r="AM1214" s="160" t="str">
        <f t="shared" si="384"/>
        <v/>
      </c>
      <c r="AN1214" s="164" t="str">
        <f>IF($E1214="","",IF($B1214&gt;Input!$C$9,$AI1214*$AC1214,$AM1214*$AC1214))</f>
        <v/>
      </c>
      <c r="AO1214" s="164" t="str">
        <f>IF(AND($C1213=12,$D1213=Input!$C$6),0,IF($E1214="","",$AN1214+AO1215/(1+$L1214)*$R1214))</f>
        <v/>
      </c>
      <c r="AP1214" s="152"/>
      <c r="AQ1214" s="150" t="str">
        <f t="shared" si="385"/>
        <v/>
      </c>
      <c r="AR1214" s="150" t="str">
        <f t="shared" si="392"/>
        <v/>
      </c>
      <c r="AS1214" s="150" t="str">
        <f t="shared" si="393"/>
        <v/>
      </c>
      <c r="AT1214" s="150" t="str">
        <f t="shared" si="386"/>
        <v/>
      </c>
      <c r="AU1214" s="152"/>
      <c r="AV1214" s="147" t="str">
        <f>'Deterministic Reserve'!BC1214</f>
        <v/>
      </c>
      <c r="AY1214" s="152"/>
    </row>
    <row r="1215" spans="1:51" s="150" customFormat="1" x14ac:dyDescent="0.25">
      <c r="A1215" s="150" t="str">
        <f t="shared" si="394"/>
        <v/>
      </c>
      <c r="B1215" s="150" t="str">
        <f t="shared" si="395"/>
        <v/>
      </c>
      <c r="C1215" s="150" t="str">
        <f t="shared" si="396"/>
        <v/>
      </c>
      <c r="D1215" s="150" t="str">
        <f>IF(E1215="","",Input!$C$4+B1215-1)</f>
        <v/>
      </c>
      <c r="E1215" s="150" t="str">
        <f>IF(OR(AND(C1214=12,D1214=Input!$C$6),E1214=""),"",1)</f>
        <v/>
      </c>
      <c r="G1215" s="151" t="str">
        <f>IF(E1215="","",MAX(0,Input!$C$9-B1215))</f>
        <v/>
      </c>
      <c r="H1215" s="152" t="str">
        <f>IF(E1215="","",Input!$C$3)</f>
        <v/>
      </c>
      <c r="I1215" s="153" t="str">
        <f>IF(E1215="","",HLOOKUP($B1215,Input!$C$13:$BT$14,2))</f>
        <v/>
      </c>
      <c r="J1215" s="154"/>
      <c r="K1215" s="150" t="str">
        <f>IF($E1215="","",Input!$C$57)</f>
        <v/>
      </c>
      <c r="L1215" s="150" t="str">
        <f t="shared" si="387"/>
        <v/>
      </c>
      <c r="M1215" s="147" t="str">
        <f>IF($E1215="","",VLOOKUP(IF($B1215&lt;=Input!$C$7,$B1215,26),'Mortality Tables'!$A$72:$CA$97,IF($B1215&lt;=Input!$C$7+1,Input!$C$4-16,$D1215-Input!$C$7-16),0)/1000)</f>
        <v/>
      </c>
      <c r="N1215" s="147" t="str">
        <f t="shared" si="378"/>
        <v/>
      </c>
      <c r="O1215" s="157" t="str">
        <f>IF($E1215="","",IF($C1215=12,IF($B1215&lt;Input!$C$9,Input!$C$54,IF($B1215=Input!$C$9,Input!$C$55,Input!$C$56)),0%))</f>
        <v/>
      </c>
      <c r="P1215" s="167" t="str">
        <f>IF($E1215="","",IF($B1215=1,Input!$C$59,IF($B1215&lt;6,Input!$C$60,0%)))</f>
        <v/>
      </c>
      <c r="Q1215" s="162" t="str">
        <f>IF($E1215="","",Input!$C$58)</f>
        <v/>
      </c>
      <c r="R1215" s="156" t="str">
        <f t="shared" si="388"/>
        <v/>
      </c>
      <c r="S1215" s="154" t="str">
        <f t="shared" si="379"/>
        <v/>
      </c>
      <c r="T1215" s="152"/>
      <c r="U1215" s="150" t="str">
        <f t="shared" si="389"/>
        <v/>
      </c>
      <c r="V1215" s="150" t="str">
        <f t="shared" si="390"/>
        <v/>
      </c>
      <c r="W1215" s="168" t="str">
        <f t="shared" si="391"/>
        <v/>
      </c>
      <c r="X1215" s="163" t="str">
        <f t="shared" si="380"/>
        <v/>
      </c>
      <c r="Y1215" s="152"/>
      <c r="Z1215" s="164" t="str">
        <f>IF(AND($C1214=12,$D1214=Input!$C$6),0,IF($E1215="","",V1215+Z1216/(1+L1215)*R1215))</f>
        <v/>
      </c>
      <c r="AA1215" s="164" t="str">
        <f>IF(OR($M1215=1,AND($C1214=12,$D1214=Input!$C$6)),0,IF($E1215="","",W1215+(X1215+AA1216*$R1215)/(1+$L1215)))</f>
        <v/>
      </c>
      <c r="AB1215" s="160" t="str">
        <f t="shared" si="381"/>
        <v/>
      </c>
      <c r="AC1215" s="164" t="str">
        <f t="shared" si="382"/>
        <v/>
      </c>
      <c r="AD1215" s="164" t="str">
        <f>IF(AND($C1214=12,$D1214=Input!$C$6),0,IF($E1215="","",$AC1215+AD1216/(1+$L1215)*$R1215))</f>
        <v/>
      </c>
      <c r="AE1215" s="152"/>
      <c r="AF1215" s="164" t="str">
        <f>IF(AND($C1214=12,$D1214=Input!$C$6),0,IF($E1215="","",IF($B1215&gt;Input!$C$9,$AC1215,0)+AF1216/(1+$L1215)*$R1215))</f>
        <v/>
      </c>
      <c r="AG1215" s="164" t="str">
        <f>IF(AND($C1214=12,$D1214=Input!$C$6),0,IF($E1215="","",(IF($B1215&gt;Input!$C$9,$X1215,0)+AG1216)/(1+$L1215)*$R1215))</f>
        <v/>
      </c>
      <c r="AH1215" s="160" t="str">
        <f t="shared" si="383"/>
        <v/>
      </c>
      <c r="AI1215" s="160" t="str">
        <f>IF($E1215="","",MIN(Input!$C$61/AH1215,1))</f>
        <v/>
      </c>
      <c r="AJ1215" s="152"/>
      <c r="AK1215" s="164" t="str">
        <f>IF(AND($C1214=12,$D1214=Input!$C$6),0,IF($E1215="","",IF($B1215&gt;Input!$C$9,$AC1215*AI1215,0)+AK1216/(1+$L1215)*$R1215))</f>
        <v/>
      </c>
      <c r="AL1215" s="164" t="str">
        <f>IF(AND($C1214=12,$D1214=Input!$C$6),0,IF($E1215="","",IF($B1215&gt;Input!$C$9,0,$AC1215)+AL1216/(1+$L1215)*$R1215))</f>
        <v/>
      </c>
      <c r="AM1215" s="160" t="str">
        <f t="shared" si="384"/>
        <v/>
      </c>
      <c r="AN1215" s="164" t="str">
        <f>IF($E1215="","",IF($B1215&gt;Input!$C$9,$AI1215*$AC1215,$AM1215*$AC1215))</f>
        <v/>
      </c>
      <c r="AO1215" s="164" t="str">
        <f>IF(AND($C1214=12,$D1214=Input!$C$6),0,IF($E1215="","",$AN1215+AO1216/(1+$L1215)*$R1215))</f>
        <v/>
      </c>
      <c r="AP1215" s="152"/>
      <c r="AQ1215" s="150" t="str">
        <f t="shared" si="385"/>
        <v/>
      </c>
      <c r="AR1215" s="150" t="str">
        <f t="shared" si="392"/>
        <v/>
      </c>
      <c r="AS1215" s="150" t="str">
        <f t="shared" si="393"/>
        <v/>
      </c>
      <c r="AT1215" s="150" t="str">
        <f t="shared" si="386"/>
        <v/>
      </c>
      <c r="AU1215" s="152"/>
      <c r="AV1215" s="147" t="str">
        <f>'Deterministic Reserve'!BC1215</f>
        <v/>
      </c>
      <c r="AY1215" s="152"/>
    </row>
    <row r="1216" spans="1:51" s="150" customFormat="1" x14ac:dyDescent="0.25">
      <c r="A1216" s="150" t="str">
        <f t="shared" si="394"/>
        <v/>
      </c>
      <c r="B1216" s="150" t="str">
        <f t="shared" si="395"/>
        <v/>
      </c>
      <c r="C1216" s="150" t="str">
        <f t="shared" si="396"/>
        <v/>
      </c>
      <c r="D1216" s="150" t="str">
        <f>IF(E1216="","",Input!$C$4+B1216-1)</f>
        <v/>
      </c>
      <c r="E1216" s="150" t="str">
        <f>IF(OR(AND(C1215=12,D1215=Input!$C$6),E1215=""),"",1)</f>
        <v/>
      </c>
      <c r="G1216" s="151" t="str">
        <f>IF(E1216="","",MAX(0,Input!$C$9-B1216))</f>
        <v/>
      </c>
      <c r="H1216" s="152" t="str">
        <f>IF(E1216="","",Input!$C$3)</f>
        <v/>
      </c>
      <c r="I1216" s="153" t="str">
        <f>IF(E1216="","",HLOOKUP($B1216,Input!$C$13:$BT$14,2))</f>
        <v/>
      </c>
      <c r="J1216" s="154"/>
      <c r="K1216" s="150" t="str">
        <f>IF($E1216="","",Input!$C$57)</f>
        <v/>
      </c>
      <c r="L1216" s="150" t="str">
        <f t="shared" si="387"/>
        <v/>
      </c>
      <c r="M1216" s="147" t="str">
        <f>IF($E1216="","",VLOOKUP(IF($B1216&lt;=Input!$C$7,$B1216,26),'Mortality Tables'!$A$72:$CA$97,IF($B1216&lt;=Input!$C$7+1,Input!$C$4-16,$D1216-Input!$C$7-16),0)/1000)</f>
        <v/>
      </c>
      <c r="N1216" s="147" t="str">
        <f t="shared" si="378"/>
        <v/>
      </c>
      <c r="O1216" s="157" t="str">
        <f>IF($E1216="","",IF($C1216=12,IF($B1216&lt;Input!$C$9,Input!$C$54,IF($B1216=Input!$C$9,Input!$C$55,Input!$C$56)),0%))</f>
        <v/>
      </c>
      <c r="P1216" s="167" t="str">
        <f>IF($E1216="","",IF($B1216=1,Input!$C$59,IF($B1216&lt;6,Input!$C$60,0%)))</f>
        <v/>
      </c>
      <c r="Q1216" s="162" t="str">
        <f>IF($E1216="","",Input!$C$58)</f>
        <v/>
      </c>
      <c r="R1216" s="156" t="str">
        <f t="shared" si="388"/>
        <v/>
      </c>
      <c r="S1216" s="154" t="str">
        <f t="shared" si="379"/>
        <v/>
      </c>
      <c r="T1216" s="152"/>
      <c r="U1216" s="150" t="str">
        <f t="shared" si="389"/>
        <v/>
      </c>
      <c r="V1216" s="150" t="str">
        <f t="shared" si="390"/>
        <v/>
      </c>
      <c r="W1216" s="168" t="str">
        <f t="shared" si="391"/>
        <v/>
      </c>
      <c r="X1216" s="163" t="str">
        <f t="shared" si="380"/>
        <v/>
      </c>
      <c r="Y1216" s="152"/>
      <c r="Z1216" s="164" t="str">
        <f>IF(AND($C1215=12,$D1215=Input!$C$6),0,IF($E1216="","",V1216+Z1217/(1+L1216)*R1216))</f>
        <v/>
      </c>
      <c r="AA1216" s="164" t="str">
        <f>IF(OR($M1216=1,AND($C1215=12,$D1215=Input!$C$6)),0,IF($E1216="","",W1216+(X1216+AA1217*$R1216)/(1+$L1216)))</f>
        <v/>
      </c>
      <c r="AB1216" s="160" t="str">
        <f t="shared" si="381"/>
        <v/>
      </c>
      <c r="AC1216" s="164" t="str">
        <f t="shared" si="382"/>
        <v/>
      </c>
      <c r="AD1216" s="164" t="str">
        <f>IF(AND($C1215=12,$D1215=Input!$C$6),0,IF($E1216="","",$AC1216+AD1217/(1+$L1216)*$R1216))</f>
        <v/>
      </c>
      <c r="AE1216" s="152"/>
      <c r="AF1216" s="164" t="str">
        <f>IF(AND($C1215=12,$D1215=Input!$C$6),0,IF($E1216="","",IF($B1216&gt;Input!$C$9,$AC1216,0)+AF1217/(1+$L1216)*$R1216))</f>
        <v/>
      </c>
      <c r="AG1216" s="164" t="str">
        <f>IF(AND($C1215=12,$D1215=Input!$C$6),0,IF($E1216="","",(IF($B1216&gt;Input!$C$9,$X1216,0)+AG1217)/(1+$L1216)*$R1216))</f>
        <v/>
      </c>
      <c r="AH1216" s="160" t="str">
        <f t="shared" si="383"/>
        <v/>
      </c>
      <c r="AI1216" s="160" t="str">
        <f>IF($E1216="","",MIN(Input!$C$61/AH1216,1))</f>
        <v/>
      </c>
      <c r="AJ1216" s="152"/>
      <c r="AK1216" s="164" t="str">
        <f>IF(AND($C1215=12,$D1215=Input!$C$6),0,IF($E1216="","",IF($B1216&gt;Input!$C$9,$AC1216*AI1216,0)+AK1217/(1+$L1216)*$R1216))</f>
        <v/>
      </c>
      <c r="AL1216" s="164" t="str">
        <f>IF(AND($C1215=12,$D1215=Input!$C$6),0,IF($E1216="","",IF($B1216&gt;Input!$C$9,0,$AC1216)+AL1217/(1+$L1216)*$R1216))</f>
        <v/>
      </c>
      <c r="AM1216" s="160" t="str">
        <f t="shared" si="384"/>
        <v/>
      </c>
      <c r="AN1216" s="164" t="str">
        <f>IF($E1216="","",IF($B1216&gt;Input!$C$9,$AI1216*$AC1216,$AM1216*$AC1216))</f>
        <v/>
      </c>
      <c r="AO1216" s="164" t="str">
        <f>IF(AND($C1215=12,$D1215=Input!$C$6),0,IF($E1216="","",$AN1216+AO1217/(1+$L1216)*$R1216))</f>
        <v/>
      </c>
      <c r="AP1216" s="152"/>
      <c r="AQ1216" s="150" t="str">
        <f t="shared" si="385"/>
        <v/>
      </c>
      <c r="AR1216" s="150" t="str">
        <f t="shared" si="392"/>
        <v/>
      </c>
      <c r="AS1216" s="150" t="str">
        <f t="shared" si="393"/>
        <v/>
      </c>
      <c r="AT1216" s="150" t="str">
        <f t="shared" si="386"/>
        <v/>
      </c>
      <c r="AU1216" s="152"/>
      <c r="AV1216" s="147" t="str">
        <f>'Deterministic Reserve'!BC1216</f>
        <v/>
      </c>
      <c r="AY1216" s="152"/>
    </row>
    <row r="1217" spans="1:51" s="150" customFormat="1" x14ac:dyDescent="0.25">
      <c r="A1217" s="150" t="str">
        <f t="shared" si="394"/>
        <v/>
      </c>
      <c r="B1217" s="150" t="str">
        <f t="shared" si="395"/>
        <v/>
      </c>
      <c r="C1217" s="150" t="str">
        <f t="shared" si="396"/>
        <v/>
      </c>
      <c r="D1217" s="150" t="str">
        <f>IF(E1217="","",Input!$C$4+B1217-1)</f>
        <v/>
      </c>
      <c r="E1217" s="150" t="str">
        <f>IF(OR(AND(C1216=12,D1216=Input!$C$6),E1216=""),"",1)</f>
        <v/>
      </c>
      <c r="G1217" s="151" t="str">
        <f>IF(E1217="","",MAX(0,Input!$C$9-B1217))</f>
        <v/>
      </c>
      <c r="H1217" s="152" t="str">
        <f>IF(E1217="","",Input!$C$3)</f>
        <v/>
      </c>
      <c r="I1217" s="153" t="str">
        <f>IF(E1217="","",HLOOKUP($B1217,Input!$C$13:$BT$14,2))</f>
        <v/>
      </c>
      <c r="J1217" s="154"/>
      <c r="K1217" s="150" t="str">
        <f>IF($E1217="","",Input!$C$57)</f>
        <v/>
      </c>
      <c r="L1217" s="150" t="str">
        <f t="shared" si="387"/>
        <v/>
      </c>
      <c r="M1217" s="147" t="str">
        <f>IF($E1217="","",VLOOKUP(IF($B1217&lt;=Input!$C$7,$B1217,26),'Mortality Tables'!$A$72:$CA$97,IF($B1217&lt;=Input!$C$7+1,Input!$C$4-16,$D1217-Input!$C$7-16),0)/1000)</f>
        <v/>
      </c>
      <c r="N1217" s="147" t="str">
        <f t="shared" si="378"/>
        <v/>
      </c>
      <c r="O1217" s="157" t="str">
        <f>IF($E1217="","",IF($C1217=12,IF($B1217&lt;Input!$C$9,Input!$C$54,IF($B1217=Input!$C$9,Input!$C$55,Input!$C$56)),0%))</f>
        <v/>
      </c>
      <c r="P1217" s="167" t="str">
        <f>IF($E1217="","",IF($B1217=1,Input!$C$59,IF($B1217&lt;6,Input!$C$60,0%)))</f>
        <v/>
      </c>
      <c r="Q1217" s="162" t="str">
        <f>IF($E1217="","",Input!$C$58)</f>
        <v/>
      </c>
      <c r="R1217" s="156" t="str">
        <f t="shared" si="388"/>
        <v/>
      </c>
      <c r="S1217" s="154" t="str">
        <f t="shared" si="379"/>
        <v/>
      </c>
      <c r="T1217" s="152"/>
      <c r="U1217" s="150" t="str">
        <f t="shared" si="389"/>
        <v/>
      </c>
      <c r="V1217" s="150" t="str">
        <f t="shared" si="390"/>
        <v/>
      </c>
      <c r="W1217" s="168" t="str">
        <f t="shared" si="391"/>
        <v/>
      </c>
      <c r="X1217" s="163" t="str">
        <f t="shared" si="380"/>
        <v/>
      </c>
      <c r="Y1217" s="152"/>
      <c r="Z1217" s="164" t="str">
        <f>IF(AND($C1216=12,$D1216=Input!$C$6),0,IF($E1217="","",V1217+Z1218/(1+L1217)*R1217))</f>
        <v/>
      </c>
      <c r="AA1217" s="164" t="str">
        <f>IF(OR($M1217=1,AND($C1216=12,$D1216=Input!$C$6)),0,IF($E1217="","",W1217+(X1217+AA1218*$R1217)/(1+$L1217)))</f>
        <v/>
      </c>
      <c r="AB1217" s="160" t="str">
        <f t="shared" si="381"/>
        <v/>
      </c>
      <c r="AC1217" s="164" t="str">
        <f t="shared" si="382"/>
        <v/>
      </c>
      <c r="AD1217" s="164" t="str">
        <f>IF(AND($C1216=12,$D1216=Input!$C$6),0,IF($E1217="","",$AC1217+AD1218/(1+$L1217)*$R1217))</f>
        <v/>
      </c>
      <c r="AE1217" s="152"/>
      <c r="AF1217" s="164" t="str">
        <f>IF(AND($C1216=12,$D1216=Input!$C$6),0,IF($E1217="","",IF($B1217&gt;Input!$C$9,$AC1217,0)+AF1218/(1+$L1217)*$R1217))</f>
        <v/>
      </c>
      <c r="AG1217" s="164" t="str">
        <f>IF(AND($C1216=12,$D1216=Input!$C$6),0,IF($E1217="","",(IF($B1217&gt;Input!$C$9,$X1217,0)+AG1218)/(1+$L1217)*$R1217))</f>
        <v/>
      </c>
      <c r="AH1217" s="160" t="str">
        <f t="shared" si="383"/>
        <v/>
      </c>
      <c r="AI1217" s="160" t="str">
        <f>IF($E1217="","",MIN(Input!$C$61/AH1217,1))</f>
        <v/>
      </c>
      <c r="AJ1217" s="152"/>
      <c r="AK1217" s="164" t="str">
        <f>IF(AND($C1216=12,$D1216=Input!$C$6),0,IF($E1217="","",IF($B1217&gt;Input!$C$9,$AC1217*AI1217,0)+AK1218/(1+$L1217)*$R1217))</f>
        <v/>
      </c>
      <c r="AL1217" s="164" t="str">
        <f>IF(AND($C1216=12,$D1216=Input!$C$6),0,IF($E1217="","",IF($B1217&gt;Input!$C$9,0,$AC1217)+AL1218/(1+$L1217)*$R1217))</f>
        <v/>
      </c>
      <c r="AM1217" s="160" t="str">
        <f t="shared" si="384"/>
        <v/>
      </c>
      <c r="AN1217" s="164" t="str">
        <f>IF($E1217="","",IF($B1217&gt;Input!$C$9,$AI1217*$AC1217,$AM1217*$AC1217))</f>
        <v/>
      </c>
      <c r="AO1217" s="164" t="str">
        <f>IF(AND($C1216=12,$D1216=Input!$C$6),0,IF($E1217="","",$AN1217+AO1218/(1+$L1217)*$R1217))</f>
        <v/>
      </c>
      <c r="AP1217" s="152"/>
      <c r="AQ1217" s="150" t="str">
        <f t="shared" si="385"/>
        <v/>
      </c>
      <c r="AR1217" s="150" t="str">
        <f t="shared" si="392"/>
        <v/>
      </c>
      <c r="AS1217" s="150" t="str">
        <f t="shared" si="393"/>
        <v/>
      </c>
      <c r="AT1217" s="150" t="str">
        <f t="shared" si="386"/>
        <v/>
      </c>
      <c r="AU1217" s="152"/>
      <c r="AV1217" s="147" t="str">
        <f>'Deterministic Reserve'!BC1217</f>
        <v/>
      </c>
      <c r="AY1217" s="152"/>
    </row>
    <row r="1218" spans="1:51" s="150" customFormat="1" x14ac:dyDescent="0.25">
      <c r="A1218" s="150" t="str">
        <f t="shared" si="394"/>
        <v/>
      </c>
      <c r="B1218" s="150" t="str">
        <f t="shared" si="395"/>
        <v/>
      </c>
      <c r="C1218" s="150" t="str">
        <f t="shared" si="396"/>
        <v/>
      </c>
      <c r="D1218" s="150" t="str">
        <f>IF(E1218="","",Input!$C$4+B1218-1)</f>
        <v/>
      </c>
      <c r="E1218" s="150" t="str">
        <f>IF(OR(AND(C1217=12,D1217=Input!$C$6),E1217=""),"",1)</f>
        <v/>
      </c>
      <c r="G1218" s="151" t="str">
        <f>IF(E1218="","",MAX(0,Input!$C$9-B1218))</f>
        <v/>
      </c>
      <c r="H1218" s="152" t="str">
        <f>IF(E1218="","",Input!$C$3)</f>
        <v/>
      </c>
      <c r="I1218" s="153" t="str">
        <f>IF(E1218="","",HLOOKUP($B1218,Input!$C$13:$BT$14,2))</f>
        <v/>
      </c>
      <c r="J1218" s="154"/>
      <c r="K1218" s="150" t="str">
        <f>IF($E1218="","",Input!$C$57)</f>
        <v/>
      </c>
      <c r="L1218" s="150" t="str">
        <f t="shared" si="387"/>
        <v/>
      </c>
      <c r="M1218" s="147" t="str">
        <f>IF($E1218="","",VLOOKUP(IF($B1218&lt;=Input!$C$7,$B1218,26),'Mortality Tables'!$A$72:$CA$97,IF($B1218&lt;=Input!$C$7+1,Input!$C$4-16,$D1218-Input!$C$7-16),0)/1000)</f>
        <v/>
      </c>
      <c r="N1218" s="147" t="str">
        <f t="shared" si="378"/>
        <v/>
      </c>
      <c r="O1218" s="157" t="str">
        <f>IF($E1218="","",IF($C1218=12,IF($B1218&lt;Input!$C$9,Input!$C$54,IF($B1218=Input!$C$9,Input!$C$55,Input!$C$56)),0%))</f>
        <v/>
      </c>
      <c r="P1218" s="167" t="str">
        <f>IF($E1218="","",IF($B1218=1,Input!$C$59,IF($B1218&lt;6,Input!$C$60,0%)))</f>
        <v/>
      </c>
      <c r="Q1218" s="162" t="str">
        <f>IF($E1218="","",Input!$C$58)</f>
        <v/>
      </c>
      <c r="R1218" s="156" t="str">
        <f t="shared" si="388"/>
        <v/>
      </c>
      <c r="S1218" s="154" t="str">
        <f t="shared" si="379"/>
        <v/>
      </c>
      <c r="T1218" s="152"/>
      <c r="U1218" s="150" t="str">
        <f t="shared" si="389"/>
        <v/>
      </c>
      <c r="V1218" s="150" t="str">
        <f t="shared" si="390"/>
        <v/>
      </c>
      <c r="W1218" s="168" t="str">
        <f t="shared" si="391"/>
        <v/>
      </c>
      <c r="X1218" s="163" t="str">
        <f t="shared" si="380"/>
        <v/>
      </c>
      <c r="Y1218" s="152"/>
      <c r="Z1218" s="164" t="str">
        <f>IF(AND($C1217=12,$D1217=Input!$C$6),0,IF($E1218="","",V1218+Z1219/(1+L1218)*R1218))</f>
        <v/>
      </c>
      <c r="AA1218" s="164" t="str">
        <f>IF(OR($M1218=1,AND($C1217=12,$D1217=Input!$C$6)),0,IF($E1218="","",W1218+(X1218+AA1219*$R1218)/(1+$L1218)))</f>
        <v/>
      </c>
      <c r="AB1218" s="160" t="str">
        <f t="shared" si="381"/>
        <v/>
      </c>
      <c r="AC1218" s="164" t="str">
        <f t="shared" si="382"/>
        <v/>
      </c>
      <c r="AD1218" s="164" t="str">
        <f>IF(AND($C1217=12,$D1217=Input!$C$6),0,IF($E1218="","",$AC1218+AD1219/(1+$L1218)*$R1218))</f>
        <v/>
      </c>
      <c r="AE1218" s="152"/>
      <c r="AF1218" s="164" t="str">
        <f>IF(AND($C1217=12,$D1217=Input!$C$6),0,IF($E1218="","",IF($B1218&gt;Input!$C$9,$AC1218,0)+AF1219/(1+$L1218)*$R1218))</f>
        <v/>
      </c>
      <c r="AG1218" s="164" t="str">
        <f>IF(AND($C1217=12,$D1217=Input!$C$6),0,IF($E1218="","",(IF($B1218&gt;Input!$C$9,$X1218,0)+AG1219)/(1+$L1218)*$R1218))</f>
        <v/>
      </c>
      <c r="AH1218" s="160" t="str">
        <f t="shared" si="383"/>
        <v/>
      </c>
      <c r="AI1218" s="160" t="str">
        <f>IF($E1218="","",MIN(Input!$C$61/AH1218,1))</f>
        <v/>
      </c>
      <c r="AJ1218" s="152"/>
      <c r="AK1218" s="164" t="str">
        <f>IF(AND($C1217=12,$D1217=Input!$C$6),0,IF($E1218="","",IF($B1218&gt;Input!$C$9,$AC1218*AI1218,0)+AK1219/(1+$L1218)*$R1218))</f>
        <v/>
      </c>
      <c r="AL1218" s="164" t="str">
        <f>IF(AND($C1217=12,$D1217=Input!$C$6),0,IF($E1218="","",IF($B1218&gt;Input!$C$9,0,$AC1218)+AL1219/(1+$L1218)*$R1218))</f>
        <v/>
      </c>
      <c r="AM1218" s="160" t="str">
        <f t="shared" si="384"/>
        <v/>
      </c>
      <c r="AN1218" s="164" t="str">
        <f>IF($E1218="","",IF($B1218&gt;Input!$C$9,$AI1218*$AC1218,$AM1218*$AC1218))</f>
        <v/>
      </c>
      <c r="AO1218" s="164" t="str">
        <f>IF(AND($C1217=12,$D1217=Input!$C$6),0,IF($E1218="","",$AN1218+AO1219/(1+$L1218)*$R1218))</f>
        <v/>
      </c>
      <c r="AP1218" s="152"/>
      <c r="AQ1218" s="150" t="str">
        <f t="shared" si="385"/>
        <v/>
      </c>
      <c r="AR1218" s="150" t="str">
        <f t="shared" si="392"/>
        <v/>
      </c>
      <c r="AS1218" s="150" t="str">
        <f t="shared" si="393"/>
        <v/>
      </c>
      <c r="AT1218" s="150" t="str">
        <f t="shared" si="386"/>
        <v/>
      </c>
      <c r="AU1218" s="152"/>
      <c r="AV1218" s="147" t="str">
        <f>'Deterministic Reserve'!BC1218</f>
        <v/>
      </c>
      <c r="AY1218" s="152"/>
    </row>
    <row r="1219" spans="1:51" s="150" customFormat="1" x14ac:dyDescent="0.25">
      <c r="A1219" s="150" t="str">
        <f t="shared" si="394"/>
        <v/>
      </c>
      <c r="B1219" s="150" t="str">
        <f t="shared" si="395"/>
        <v/>
      </c>
      <c r="C1219" s="150" t="str">
        <f t="shared" si="396"/>
        <v/>
      </c>
      <c r="D1219" s="150" t="str">
        <f>IF(E1219="","",Input!$C$4+B1219-1)</f>
        <v/>
      </c>
      <c r="E1219" s="150" t="str">
        <f>IF(OR(AND(C1218=12,D1218=Input!$C$6),E1218=""),"",1)</f>
        <v/>
      </c>
      <c r="G1219" s="151" t="str">
        <f>IF(E1219="","",MAX(0,Input!$C$9-B1219))</f>
        <v/>
      </c>
      <c r="H1219" s="152" t="str">
        <f>IF(E1219="","",Input!$C$3)</f>
        <v/>
      </c>
      <c r="I1219" s="153" t="str">
        <f>IF(E1219="","",HLOOKUP($B1219,Input!$C$13:$BT$14,2))</f>
        <v/>
      </c>
      <c r="J1219" s="154"/>
      <c r="K1219" s="150" t="str">
        <f>IF($E1219="","",Input!$C$57)</f>
        <v/>
      </c>
      <c r="L1219" s="150" t="str">
        <f t="shared" si="387"/>
        <v/>
      </c>
      <c r="M1219" s="147" t="str">
        <f>IF($E1219="","",VLOOKUP(IF($B1219&lt;=Input!$C$7,$B1219,26),'Mortality Tables'!$A$72:$CA$97,IF($B1219&lt;=Input!$C$7+1,Input!$C$4-16,$D1219-Input!$C$7-16),0)/1000)</f>
        <v/>
      </c>
      <c r="N1219" s="147" t="str">
        <f t="shared" si="378"/>
        <v/>
      </c>
      <c r="O1219" s="157" t="str">
        <f>IF($E1219="","",IF($C1219=12,IF($B1219&lt;Input!$C$9,Input!$C$54,IF($B1219=Input!$C$9,Input!$C$55,Input!$C$56)),0%))</f>
        <v/>
      </c>
      <c r="P1219" s="167" t="str">
        <f>IF($E1219="","",IF($B1219=1,Input!$C$59,IF($B1219&lt;6,Input!$C$60,0%)))</f>
        <v/>
      </c>
      <c r="Q1219" s="162" t="str">
        <f>IF($E1219="","",Input!$C$58)</f>
        <v/>
      </c>
      <c r="R1219" s="156" t="str">
        <f t="shared" si="388"/>
        <v/>
      </c>
      <c r="S1219" s="154" t="str">
        <f t="shared" si="379"/>
        <v/>
      </c>
      <c r="T1219" s="152"/>
      <c r="U1219" s="150" t="str">
        <f t="shared" si="389"/>
        <v/>
      </c>
      <c r="V1219" s="150" t="str">
        <f t="shared" si="390"/>
        <v/>
      </c>
      <c r="W1219" s="168" t="str">
        <f t="shared" si="391"/>
        <v/>
      </c>
      <c r="X1219" s="163" t="str">
        <f t="shared" si="380"/>
        <v/>
      </c>
      <c r="Y1219" s="152"/>
      <c r="Z1219" s="164" t="str">
        <f>IF(AND($C1218=12,$D1218=Input!$C$6),0,IF($E1219="","",V1219+Z1220/(1+L1219)*R1219))</f>
        <v/>
      </c>
      <c r="AA1219" s="164" t="str">
        <f>IF(OR($M1219=1,AND($C1218=12,$D1218=Input!$C$6)),0,IF($E1219="","",W1219+(X1219+AA1220*$R1219)/(1+$L1219)))</f>
        <v/>
      </c>
      <c r="AB1219" s="160" t="str">
        <f t="shared" si="381"/>
        <v/>
      </c>
      <c r="AC1219" s="164" t="str">
        <f t="shared" si="382"/>
        <v/>
      </c>
      <c r="AD1219" s="164" t="str">
        <f>IF(AND($C1218=12,$D1218=Input!$C$6),0,IF($E1219="","",$AC1219+AD1220/(1+$L1219)*$R1219))</f>
        <v/>
      </c>
      <c r="AE1219" s="152"/>
      <c r="AF1219" s="164" t="str">
        <f>IF(AND($C1218=12,$D1218=Input!$C$6),0,IF($E1219="","",IF($B1219&gt;Input!$C$9,$AC1219,0)+AF1220/(1+$L1219)*$R1219))</f>
        <v/>
      </c>
      <c r="AG1219" s="164" t="str">
        <f>IF(AND($C1218=12,$D1218=Input!$C$6),0,IF($E1219="","",(IF($B1219&gt;Input!$C$9,$X1219,0)+AG1220)/(1+$L1219)*$R1219))</f>
        <v/>
      </c>
      <c r="AH1219" s="160" t="str">
        <f t="shared" si="383"/>
        <v/>
      </c>
      <c r="AI1219" s="160" t="str">
        <f>IF($E1219="","",MIN(Input!$C$61/AH1219,1))</f>
        <v/>
      </c>
      <c r="AJ1219" s="152"/>
      <c r="AK1219" s="164" t="str">
        <f>IF(AND($C1218=12,$D1218=Input!$C$6),0,IF($E1219="","",IF($B1219&gt;Input!$C$9,$AC1219*AI1219,0)+AK1220/(1+$L1219)*$R1219))</f>
        <v/>
      </c>
      <c r="AL1219" s="164" t="str">
        <f>IF(AND($C1218=12,$D1218=Input!$C$6),0,IF($E1219="","",IF($B1219&gt;Input!$C$9,0,$AC1219)+AL1220/(1+$L1219)*$R1219))</f>
        <v/>
      </c>
      <c r="AM1219" s="160" t="str">
        <f t="shared" si="384"/>
        <v/>
      </c>
      <c r="AN1219" s="164" t="str">
        <f>IF($E1219="","",IF($B1219&gt;Input!$C$9,$AI1219*$AC1219,$AM1219*$AC1219))</f>
        <v/>
      </c>
      <c r="AO1219" s="164" t="str">
        <f>IF(AND($C1218=12,$D1218=Input!$C$6),0,IF($E1219="","",$AN1219+AO1220/(1+$L1219)*$R1219))</f>
        <v/>
      </c>
      <c r="AP1219" s="152"/>
      <c r="AQ1219" s="150" t="str">
        <f t="shared" si="385"/>
        <v/>
      </c>
      <c r="AR1219" s="150" t="str">
        <f t="shared" si="392"/>
        <v/>
      </c>
      <c r="AS1219" s="150" t="str">
        <f t="shared" si="393"/>
        <v/>
      </c>
      <c r="AT1219" s="150" t="str">
        <f t="shared" si="386"/>
        <v/>
      </c>
      <c r="AU1219" s="152"/>
      <c r="AV1219" s="147" t="str">
        <f>'Deterministic Reserve'!BC1219</f>
        <v/>
      </c>
      <c r="AY1219" s="152"/>
    </row>
    <row r="1220" spans="1:51" s="150" customFormat="1" x14ac:dyDescent="0.25">
      <c r="A1220" s="150" t="str">
        <f t="shared" si="394"/>
        <v/>
      </c>
      <c r="B1220" s="150" t="str">
        <f t="shared" si="395"/>
        <v/>
      </c>
      <c r="C1220" s="150" t="str">
        <f t="shared" si="396"/>
        <v/>
      </c>
      <c r="D1220" s="150" t="str">
        <f>IF(E1220="","",Input!$C$4+B1220-1)</f>
        <v/>
      </c>
      <c r="E1220" s="150" t="str">
        <f>IF(OR(AND(C1219=12,D1219=Input!$C$6),E1219=""),"",1)</f>
        <v/>
      </c>
      <c r="G1220" s="151" t="str">
        <f>IF(E1220="","",MAX(0,Input!$C$9-B1220))</f>
        <v/>
      </c>
      <c r="H1220" s="152" t="str">
        <f>IF(E1220="","",Input!$C$3)</f>
        <v/>
      </c>
      <c r="I1220" s="153" t="str">
        <f>IF(E1220="","",HLOOKUP($B1220,Input!$C$13:$BT$14,2))</f>
        <v/>
      </c>
      <c r="J1220" s="154"/>
      <c r="K1220" s="150" t="str">
        <f>IF($E1220="","",Input!$C$57)</f>
        <v/>
      </c>
      <c r="L1220" s="150" t="str">
        <f t="shared" si="387"/>
        <v/>
      </c>
      <c r="M1220" s="147" t="str">
        <f>IF($E1220="","",VLOOKUP(IF($B1220&lt;=Input!$C$7,$B1220,26),'Mortality Tables'!$A$72:$CA$97,IF($B1220&lt;=Input!$C$7+1,Input!$C$4-16,$D1220-Input!$C$7-16),0)/1000)</f>
        <v/>
      </c>
      <c r="N1220" s="147" t="str">
        <f t="shared" si="378"/>
        <v/>
      </c>
      <c r="O1220" s="157" t="str">
        <f>IF($E1220="","",IF($C1220=12,IF($B1220&lt;Input!$C$9,Input!$C$54,IF($B1220=Input!$C$9,Input!$C$55,Input!$C$56)),0%))</f>
        <v/>
      </c>
      <c r="P1220" s="167" t="str">
        <f>IF($E1220="","",IF($B1220=1,Input!$C$59,IF($B1220&lt;6,Input!$C$60,0%)))</f>
        <v/>
      </c>
      <c r="Q1220" s="162" t="str">
        <f>IF($E1220="","",Input!$C$58)</f>
        <v/>
      </c>
      <c r="R1220" s="156" t="str">
        <f t="shared" si="388"/>
        <v/>
      </c>
      <c r="S1220" s="154" t="str">
        <f t="shared" si="379"/>
        <v/>
      </c>
      <c r="T1220" s="152"/>
      <c r="U1220" s="150" t="str">
        <f t="shared" si="389"/>
        <v/>
      </c>
      <c r="V1220" s="150" t="str">
        <f t="shared" si="390"/>
        <v/>
      </c>
      <c r="W1220" s="168" t="str">
        <f t="shared" si="391"/>
        <v/>
      </c>
      <c r="X1220" s="163" t="str">
        <f t="shared" si="380"/>
        <v/>
      </c>
      <c r="Y1220" s="152"/>
      <c r="Z1220" s="164" t="str">
        <f>IF(AND($C1219=12,$D1219=Input!$C$6),0,IF($E1220="","",V1220+Z1221/(1+L1220)*R1220))</f>
        <v/>
      </c>
      <c r="AA1220" s="164" t="str">
        <f>IF(OR($M1220=1,AND($C1219=12,$D1219=Input!$C$6)),0,IF($E1220="","",W1220+(X1220+AA1221*$R1220)/(1+$L1220)))</f>
        <v/>
      </c>
      <c r="AB1220" s="160" t="str">
        <f t="shared" si="381"/>
        <v/>
      </c>
      <c r="AC1220" s="164" t="str">
        <f t="shared" si="382"/>
        <v/>
      </c>
      <c r="AD1220" s="164" t="str">
        <f>IF(AND($C1219=12,$D1219=Input!$C$6),0,IF($E1220="","",$AC1220+AD1221/(1+$L1220)*$R1220))</f>
        <v/>
      </c>
      <c r="AE1220" s="152"/>
      <c r="AF1220" s="164" t="str">
        <f>IF(AND($C1219=12,$D1219=Input!$C$6),0,IF($E1220="","",IF($B1220&gt;Input!$C$9,$AC1220,0)+AF1221/(1+$L1220)*$R1220))</f>
        <v/>
      </c>
      <c r="AG1220" s="164" t="str">
        <f>IF(AND($C1219=12,$D1219=Input!$C$6),0,IF($E1220="","",(IF($B1220&gt;Input!$C$9,$X1220,0)+AG1221)/(1+$L1220)*$R1220))</f>
        <v/>
      </c>
      <c r="AH1220" s="160" t="str">
        <f t="shared" si="383"/>
        <v/>
      </c>
      <c r="AI1220" s="160" t="str">
        <f>IF($E1220="","",MIN(Input!$C$61/AH1220,1))</f>
        <v/>
      </c>
      <c r="AJ1220" s="152"/>
      <c r="AK1220" s="164" t="str">
        <f>IF(AND($C1219=12,$D1219=Input!$C$6),0,IF($E1220="","",IF($B1220&gt;Input!$C$9,$AC1220*AI1220,0)+AK1221/(1+$L1220)*$R1220))</f>
        <v/>
      </c>
      <c r="AL1220" s="164" t="str">
        <f>IF(AND($C1219=12,$D1219=Input!$C$6),0,IF($E1220="","",IF($B1220&gt;Input!$C$9,0,$AC1220)+AL1221/(1+$L1220)*$R1220))</f>
        <v/>
      </c>
      <c r="AM1220" s="160" t="str">
        <f t="shared" si="384"/>
        <v/>
      </c>
      <c r="AN1220" s="164" t="str">
        <f>IF($E1220="","",IF($B1220&gt;Input!$C$9,$AI1220*$AC1220,$AM1220*$AC1220))</f>
        <v/>
      </c>
      <c r="AO1220" s="164" t="str">
        <f>IF(AND($C1219=12,$D1219=Input!$C$6),0,IF($E1220="","",$AN1220+AO1221/(1+$L1220)*$R1220))</f>
        <v/>
      </c>
      <c r="AP1220" s="152"/>
      <c r="AQ1220" s="150" t="str">
        <f t="shared" si="385"/>
        <v/>
      </c>
      <c r="AR1220" s="150" t="str">
        <f t="shared" si="392"/>
        <v/>
      </c>
      <c r="AS1220" s="150" t="str">
        <f t="shared" si="393"/>
        <v/>
      </c>
      <c r="AT1220" s="150" t="str">
        <f t="shared" si="386"/>
        <v/>
      </c>
      <c r="AU1220" s="152"/>
      <c r="AV1220" s="147" t="str">
        <f>'Deterministic Reserve'!BC1220</f>
        <v/>
      </c>
      <c r="AY1220" s="152"/>
    </row>
    <row r="1221" spans="1:51" s="150" customFormat="1" x14ac:dyDescent="0.25">
      <c r="A1221" s="150" t="str">
        <f t="shared" si="394"/>
        <v/>
      </c>
      <c r="B1221" s="150" t="str">
        <f t="shared" si="395"/>
        <v/>
      </c>
      <c r="C1221" s="150" t="str">
        <f t="shared" si="396"/>
        <v/>
      </c>
      <c r="D1221" s="150" t="str">
        <f>IF(E1221="","",Input!$C$4+B1221-1)</f>
        <v/>
      </c>
      <c r="E1221" s="150" t="str">
        <f>IF(OR(AND(C1220=12,D1220=Input!$C$6),E1220=""),"",1)</f>
        <v/>
      </c>
      <c r="G1221" s="151" t="str">
        <f>IF(E1221="","",MAX(0,Input!$C$9-B1221))</f>
        <v/>
      </c>
      <c r="H1221" s="152" t="str">
        <f>IF(E1221="","",Input!$C$3)</f>
        <v/>
      </c>
      <c r="I1221" s="153" t="str">
        <f>IF(E1221="","",HLOOKUP($B1221,Input!$C$13:$BT$14,2))</f>
        <v/>
      </c>
      <c r="J1221" s="154"/>
      <c r="K1221" s="150" t="str">
        <f>IF($E1221="","",Input!$C$57)</f>
        <v/>
      </c>
      <c r="L1221" s="150" t="str">
        <f t="shared" si="387"/>
        <v/>
      </c>
      <c r="M1221" s="147" t="str">
        <f>IF($E1221="","",VLOOKUP(IF($B1221&lt;=Input!$C$7,$B1221,26),'Mortality Tables'!$A$72:$CA$97,IF($B1221&lt;=Input!$C$7+1,Input!$C$4-16,$D1221-Input!$C$7-16),0)/1000)</f>
        <v/>
      </c>
      <c r="N1221" s="147" t="str">
        <f t="shared" ref="N1221:N1284" si="397">IF($E1221="","",1-(1-M1221)^(1/12))</f>
        <v/>
      </c>
      <c r="O1221" s="157" t="str">
        <f>IF($E1221="","",IF($C1221=12,IF($B1221&lt;Input!$C$9,Input!$C$54,IF($B1221=Input!$C$9,Input!$C$55,Input!$C$56)),0%))</f>
        <v/>
      </c>
      <c r="P1221" s="167" t="str">
        <f>IF($E1221="","",IF($B1221=1,Input!$C$59,IF($B1221&lt;6,Input!$C$60,0%)))</f>
        <v/>
      </c>
      <c r="Q1221" s="162" t="str">
        <f>IF($E1221="","",Input!$C$58)</f>
        <v/>
      </c>
      <c r="R1221" s="156" t="str">
        <f t="shared" si="388"/>
        <v/>
      </c>
      <c r="S1221" s="154" t="str">
        <f t="shared" ref="S1221:S1284" si="398">IF($E1221="","",IF(AND($B1221=1,$C1221=1),1,S1220*R1221))</f>
        <v/>
      </c>
      <c r="T1221" s="152"/>
      <c r="U1221" s="150" t="str">
        <f t="shared" si="389"/>
        <v/>
      </c>
      <c r="V1221" s="150" t="str">
        <f t="shared" si="390"/>
        <v/>
      </c>
      <c r="W1221" s="168" t="str">
        <f t="shared" si="391"/>
        <v/>
      </c>
      <c r="X1221" s="163" t="str">
        <f t="shared" ref="X1221:X1284" si="399">IF($E1221="","",N1221*$H1221)</f>
        <v/>
      </c>
      <c r="Y1221" s="152"/>
      <c r="Z1221" s="164" t="str">
        <f>IF(AND($C1220=12,$D1220=Input!$C$6),0,IF($E1221="","",V1221+Z1222/(1+L1221)*R1221))</f>
        <v/>
      </c>
      <c r="AA1221" s="164" t="str">
        <f>IF(OR($M1221=1,AND($C1220=12,$D1220=Input!$C$6)),0,IF($E1221="","",W1221+(X1221+AA1222*$R1221)/(1+$L1221)))</f>
        <v/>
      </c>
      <c r="AB1221" s="160" t="str">
        <f t="shared" ref="AB1221:AB1284" si="400">IF($E1221="","",$AA$5/$Z$5)</f>
        <v/>
      </c>
      <c r="AC1221" s="164" t="str">
        <f t="shared" ref="AC1221:AC1284" si="401">IF($E1221="","",V1221*AB1221)</f>
        <v/>
      </c>
      <c r="AD1221" s="164" t="str">
        <f>IF(AND($C1220=12,$D1220=Input!$C$6),0,IF($E1221="","",$AC1221+AD1222/(1+$L1221)*$R1221))</f>
        <v/>
      </c>
      <c r="AE1221" s="152"/>
      <c r="AF1221" s="164" t="str">
        <f>IF(AND($C1220=12,$D1220=Input!$C$6),0,IF($E1221="","",IF($B1221&gt;Input!$C$9,$AC1221,0)+AF1222/(1+$L1221)*$R1221))</f>
        <v/>
      </c>
      <c r="AG1221" s="164" t="str">
        <f>IF(AND($C1220=12,$D1220=Input!$C$6),0,IF($E1221="","",(IF($B1221&gt;Input!$C$9,$X1221,0)+AG1222)/(1+$L1221)*$R1221))</f>
        <v/>
      </c>
      <c r="AH1221" s="160" t="str">
        <f t="shared" ref="AH1221:AH1284" si="402">IF($E1221="","",$AF$5/$AG$5)</f>
        <v/>
      </c>
      <c r="AI1221" s="160" t="str">
        <f>IF($E1221="","",MIN(Input!$C$61/AH1221,1))</f>
        <v/>
      </c>
      <c r="AJ1221" s="152"/>
      <c r="AK1221" s="164" t="str">
        <f>IF(AND($C1220=12,$D1220=Input!$C$6),0,IF($E1221="","",IF($B1221&gt;Input!$C$9,$AC1221*AI1221,0)+AK1222/(1+$L1221)*$R1221))</f>
        <v/>
      </c>
      <c r="AL1221" s="164" t="str">
        <f>IF(AND($C1220=12,$D1220=Input!$C$6),0,IF($E1221="","",IF($B1221&gt;Input!$C$9,0,$AC1221)+AL1222/(1+$L1221)*$R1221))</f>
        <v/>
      </c>
      <c r="AM1221" s="160" t="str">
        <f t="shared" ref="AM1221:AM1284" si="403">IF($E1221="","",($AD$5-$AK$5)/$AL$5)</f>
        <v/>
      </c>
      <c r="AN1221" s="164" t="str">
        <f>IF($E1221="","",IF($B1221&gt;Input!$C$9,$AI1221*$AC1221,$AM1221*$AC1221))</f>
        <v/>
      </c>
      <c r="AO1221" s="164" t="str">
        <f>IF(AND($C1220=12,$D1220=Input!$C$6),0,IF($E1221="","",$AN1221+AO1222/(1+$L1221)*$R1221))</f>
        <v/>
      </c>
      <c r="AP1221" s="152"/>
      <c r="AQ1221" s="150" t="str">
        <f t="shared" ref="AQ1221:AQ1284" si="404">IF($E1221="","",$AA1221-$AO1221)</f>
        <v/>
      </c>
      <c r="AR1221" s="150" t="str">
        <f t="shared" si="392"/>
        <v/>
      </c>
      <c r="AS1221" s="150" t="str">
        <f t="shared" si="393"/>
        <v/>
      </c>
      <c r="AT1221" s="150" t="str">
        <f t="shared" ref="AT1221:AT1284" si="405">IF($E1221="","",MAX($AR1221,$AS1221))</f>
        <v/>
      </c>
      <c r="AU1221" s="152"/>
      <c r="AV1221" s="147" t="str">
        <f>'Deterministic Reserve'!BC1221</f>
        <v/>
      </c>
      <c r="AY1221" s="152"/>
    </row>
    <row r="1222" spans="1:51" s="150" customFormat="1" x14ac:dyDescent="0.25">
      <c r="A1222" s="150" t="str">
        <f t="shared" si="394"/>
        <v/>
      </c>
      <c r="B1222" s="150" t="str">
        <f t="shared" si="395"/>
        <v/>
      </c>
      <c r="C1222" s="150" t="str">
        <f t="shared" si="396"/>
        <v/>
      </c>
      <c r="D1222" s="150" t="str">
        <f>IF(E1222="","",Input!$C$4+B1222-1)</f>
        <v/>
      </c>
      <c r="E1222" s="150" t="str">
        <f>IF(OR(AND(C1221=12,D1221=Input!$C$6),E1221=""),"",1)</f>
        <v/>
      </c>
      <c r="G1222" s="151" t="str">
        <f>IF(E1222="","",MAX(0,Input!$C$9-B1222))</f>
        <v/>
      </c>
      <c r="H1222" s="152" t="str">
        <f>IF(E1222="","",Input!$C$3)</f>
        <v/>
      </c>
      <c r="I1222" s="153" t="str">
        <f>IF(E1222="","",HLOOKUP($B1222,Input!$C$13:$BT$14,2))</f>
        <v/>
      </c>
      <c r="J1222" s="154"/>
      <c r="K1222" s="150" t="str">
        <f>IF($E1222="","",Input!$C$57)</f>
        <v/>
      </c>
      <c r="L1222" s="150" t="str">
        <f t="shared" ref="L1222:L1285" si="406">IF($E1222="","",(1+K1222)^(1/12)-1)</f>
        <v/>
      </c>
      <c r="M1222" s="147" t="str">
        <f>IF($E1222="","",VLOOKUP(IF($B1222&lt;=Input!$C$7,$B1222,26),'Mortality Tables'!$A$72:$CA$97,IF($B1222&lt;=Input!$C$7+1,Input!$C$4-16,$D1222-Input!$C$7-16),0)/1000)</f>
        <v/>
      </c>
      <c r="N1222" s="147" t="str">
        <f t="shared" si="397"/>
        <v/>
      </c>
      <c r="O1222" s="157" t="str">
        <f>IF($E1222="","",IF($C1222=12,IF($B1222&lt;Input!$C$9,Input!$C$54,IF($B1222=Input!$C$9,Input!$C$55,Input!$C$56)),0%))</f>
        <v/>
      </c>
      <c r="P1222" s="167" t="str">
        <f>IF($E1222="","",IF($B1222=1,Input!$C$59,IF($B1222&lt;6,Input!$C$60,0%)))</f>
        <v/>
      </c>
      <c r="Q1222" s="162" t="str">
        <f>IF($E1222="","",Input!$C$58)</f>
        <v/>
      </c>
      <c r="R1222" s="156" t="str">
        <f t="shared" ref="R1222:R1285" si="407">IF($E1222="","",MAX(1-N1222-O1222,0))</f>
        <v/>
      </c>
      <c r="S1222" s="154" t="str">
        <f t="shared" si="398"/>
        <v/>
      </c>
      <c r="T1222" s="152"/>
      <c r="U1222" s="150" t="str">
        <f t="shared" ref="U1222:U1285" si="408">IF($E1222="","",IF($C1222=1,$I1222*$H1222/1000,0))</f>
        <v/>
      </c>
      <c r="V1222" s="150" t="str">
        <f t="shared" ref="V1222:V1285" si="409">IF($E1222="","",U1222*(1-$P1222))</f>
        <v/>
      </c>
      <c r="W1222" s="168" t="str">
        <f t="shared" ref="W1222:W1285" si="410">IF($E1222="","",IF(AND($B1222=1,$C1222=1),$Q1222*$H1222/1000,0))</f>
        <v/>
      </c>
      <c r="X1222" s="163" t="str">
        <f t="shared" si="399"/>
        <v/>
      </c>
      <c r="Y1222" s="152"/>
      <c r="Z1222" s="164" t="str">
        <f>IF(AND($C1221=12,$D1221=Input!$C$6),0,IF($E1222="","",V1222+Z1223/(1+L1222)*R1222))</f>
        <v/>
      </c>
      <c r="AA1222" s="164" t="str">
        <f>IF(OR($M1222=1,AND($C1221=12,$D1221=Input!$C$6)),0,IF($E1222="","",W1222+(X1222+AA1223*$R1222)/(1+$L1222)))</f>
        <v/>
      </c>
      <c r="AB1222" s="160" t="str">
        <f t="shared" si="400"/>
        <v/>
      </c>
      <c r="AC1222" s="164" t="str">
        <f t="shared" si="401"/>
        <v/>
      </c>
      <c r="AD1222" s="164" t="str">
        <f>IF(AND($C1221=12,$D1221=Input!$C$6),0,IF($E1222="","",$AC1222+AD1223/(1+$L1222)*$R1222))</f>
        <v/>
      </c>
      <c r="AE1222" s="152"/>
      <c r="AF1222" s="164" t="str">
        <f>IF(AND($C1221=12,$D1221=Input!$C$6),0,IF($E1222="","",IF($B1222&gt;Input!$C$9,$AC1222,0)+AF1223/(1+$L1222)*$R1222))</f>
        <v/>
      </c>
      <c r="AG1222" s="164" t="str">
        <f>IF(AND($C1221=12,$D1221=Input!$C$6),0,IF($E1222="","",(IF($B1222&gt;Input!$C$9,$X1222,0)+AG1223)/(1+$L1222)*$R1222))</f>
        <v/>
      </c>
      <c r="AH1222" s="160" t="str">
        <f t="shared" si="402"/>
        <v/>
      </c>
      <c r="AI1222" s="160" t="str">
        <f>IF($E1222="","",MIN(Input!$C$61/AH1222,1))</f>
        <v/>
      </c>
      <c r="AJ1222" s="152"/>
      <c r="AK1222" s="164" t="str">
        <f>IF(AND($C1221=12,$D1221=Input!$C$6),0,IF($E1222="","",IF($B1222&gt;Input!$C$9,$AC1222*AI1222,0)+AK1223/(1+$L1222)*$R1222))</f>
        <v/>
      </c>
      <c r="AL1222" s="164" t="str">
        <f>IF(AND($C1221=12,$D1221=Input!$C$6),0,IF($E1222="","",IF($B1222&gt;Input!$C$9,0,$AC1222)+AL1223/(1+$L1222)*$R1222))</f>
        <v/>
      </c>
      <c r="AM1222" s="160" t="str">
        <f t="shared" si="403"/>
        <v/>
      </c>
      <c r="AN1222" s="164" t="str">
        <f>IF($E1222="","",IF($B1222&gt;Input!$C$9,$AI1222*$AC1222,$AM1222*$AC1222))</f>
        <v/>
      </c>
      <c r="AO1222" s="164" t="str">
        <f>IF(AND($C1221=12,$D1221=Input!$C$6),0,IF($E1222="","",$AN1222+AO1223/(1+$L1222)*$R1222))</f>
        <v/>
      </c>
      <c r="AP1222" s="152"/>
      <c r="AQ1222" s="150" t="str">
        <f t="shared" si="404"/>
        <v/>
      </c>
      <c r="AR1222" s="150" t="str">
        <f t="shared" ref="AR1222:AR1285" si="411">IF($E1222="","",IF($M1222=1,0,0.5*(IF($B1222=1,0,SUMIFS($AQ:$AQ,$B:$B,$B1222-1,$C:$C,12))+SUMIFS($AN:$AN,$B:$B,$B1222,$C:$C,1)+SUMIFS($AQ:$AQ,$B:$B,$B1222,$C:$C,12))))</f>
        <v/>
      </c>
      <c r="AS1222" s="150" t="str">
        <f t="shared" ref="AS1222:AS1285" si="412">IF($E1222="","",IF($M1222=1,0,0.5*$M1222*$H1222/(1+$K1222)))</f>
        <v/>
      </c>
      <c r="AT1222" s="150" t="str">
        <f t="shared" si="405"/>
        <v/>
      </c>
      <c r="AU1222" s="152"/>
      <c r="AV1222" s="147" t="str">
        <f>'Deterministic Reserve'!BC1222</f>
        <v/>
      </c>
      <c r="AY1222" s="152"/>
    </row>
    <row r="1223" spans="1:51" s="150" customFormat="1" x14ac:dyDescent="0.25">
      <c r="A1223" s="150" t="str">
        <f t="shared" ref="A1223:A1286" si="413">IF(E1223="","",A1222+1)</f>
        <v/>
      </c>
      <c r="B1223" s="150" t="str">
        <f t="shared" ref="B1223:B1286" si="414">IF(E1223="","",IF(C1222+1&gt;12,B1222+1,B1222))</f>
        <v/>
      </c>
      <c r="C1223" s="150" t="str">
        <f t="shared" ref="C1223:C1286" si="415">IF(E1223="","",IF(C1222+1&gt;12,1,C1222+1))</f>
        <v/>
      </c>
      <c r="D1223" s="150" t="str">
        <f>IF(E1223="","",Input!$C$4+B1223-1)</f>
        <v/>
      </c>
      <c r="E1223" s="150" t="str">
        <f>IF(OR(AND(C1222=12,D1222=Input!$C$6),E1222=""),"",1)</f>
        <v/>
      </c>
      <c r="G1223" s="151" t="str">
        <f>IF(E1223="","",MAX(0,Input!$C$9-B1223))</f>
        <v/>
      </c>
      <c r="H1223" s="152" t="str">
        <f>IF(E1223="","",Input!$C$3)</f>
        <v/>
      </c>
      <c r="I1223" s="153" t="str">
        <f>IF(E1223="","",HLOOKUP($B1223,Input!$C$13:$BT$14,2))</f>
        <v/>
      </c>
      <c r="J1223" s="154"/>
      <c r="K1223" s="150" t="str">
        <f>IF($E1223="","",Input!$C$57)</f>
        <v/>
      </c>
      <c r="L1223" s="150" t="str">
        <f t="shared" si="406"/>
        <v/>
      </c>
      <c r="M1223" s="147" t="str">
        <f>IF($E1223="","",VLOOKUP(IF($B1223&lt;=Input!$C$7,$B1223,26),'Mortality Tables'!$A$72:$CA$97,IF($B1223&lt;=Input!$C$7+1,Input!$C$4-16,$D1223-Input!$C$7-16),0)/1000)</f>
        <v/>
      </c>
      <c r="N1223" s="147" t="str">
        <f t="shared" si="397"/>
        <v/>
      </c>
      <c r="O1223" s="157" t="str">
        <f>IF($E1223="","",IF($C1223=12,IF($B1223&lt;Input!$C$9,Input!$C$54,IF($B1223=Input!$C$9,Input!$C$55,Input!$C$56)),0%))</f>
        <v/>
      </c>
      <c r="P1223" s="167" t="str">
        <f>IF($E1223="","",IF($B1223=1,Input!$C$59,IF($B1223&lt;6,Input!$C$60,0%)))</f>
        <v/>
      </c>
      <c r="Q1223" s="162" t="str">
        <f>IF($E1223="","",Input!$C$58)</f>
        <v/>
      </c>
      <c r="R1223" s="156" t="str">
        <f t="shared" si="407"/>
        <v/>
      </c>
      <c r="S1223" s="154" t="str">
        <f t="shared" si="398"/>
        <v/>
      </c>
      <c r="T1223" s="152"/>
      <c r="U1223" s="150" t="str">
        <f t="shared" si="408"/>
        <v/>
      </c>
      <c r="V1223" s="150" t="str">
        <f t="shared" si="409"/>
        <v/>
      </c>
      <c r="W1223" s="168" t="str">
        <f t="shared" si="410"/>
        <v/>
      </c>
      <c r="X1223" s="163" t="str">
        <f t="shared" si="399"/>
        <v/>
      </c>
      <c r="Y1223" s="152"/>
      <c r="Z1223" s="164" t="str">
        <f>IF(AND($C1222=12,$D1222=Input!$C$6),0,IF($E1223="","",V1223+Z1224/(1+L1223)*R1223))</f>
        <v/>
      </c>
      <c r="AA1223" s="164" t="str">
        <f>IF(OR($M1223=1,AND($C1222=12,$D1222=Input!$C$6)),0,IF($E1223="","",W1223+(X1223+AA1224*$R1223)/(1+$L1223)))</f>
        <v/>
      </c>
      <c r="AB1223" s="160" t="str">
        <f t="shared" si="400"/>
        <v/>
      </c>
      <c r="AC1223" s="164" t="str">
        <f t="shared" si="401"/>
        <v/>
      </c>
      <c r="AD1223" s="164" t="str">
        <f>IF(AND($C1222=12,$D1222=Input!$C$6),0,IF($E1223="","",$AC1223+AD1224/(1+$L1223)*$R1223))</f>
        <v/>
      </c>
      <c r="AE1223" s="152"/>
      <c r="AF1223" s="164" t="str">
        <f>IF(AND($C1222=12,$D1222=Input!$C$6),0,IF($E1223="","",IF($B1223&gt;Input!$C$9,$AC1223,0)+AF1224/(1+$L1223)*$R1223))</f>
        <v/>
      </c>
      <c r="AG1223" s="164" t="str">
        <f>IF(AND($C1222=12,$D1222=Input!$C$6),0,IF($E1223="","",(IF($B1223&gt;Input!$C$9,$X1223,0)+AG1224)/(1+$L1223)*$R1223))</f>
        <v/>
      </c>
      <c r="AH1223" s="160" t="str">
        <f t="shared" si="402"/>
        <v/>
      </c>
      <c r="AI1223" s="160" t="str">
        <f>IF($E1223="","",MIN(Input!$C$61/AH1223,1))</f>
        <v/>
      </c>
      <c r="AJ1223" s="152"/>
      <c r="AK1223" s="164" t="str">
        <f>IF(AND($C1222=12,$D1222=Input!$C$6),0,IF($E1223="","",IF($B1223&gt;Input!$C$9,$AC1223*AI1223,0)+AK1224/(1+$L1223)*$R1223))</f>
        <v/>
      </c>
      <c r="AL1223" s="164" t="str">
        <f>IF(AND($C1222=12,$D1222=Input!$C$6),0,IF($E1223="","",IF($B1223&gt;Input!$C$9,0,$AC1223)+AL1224/(1+$L1223)*$R1223))</f>
        <v/>
      </c>
      <c r="AM1223" s="160" t="str">
        <f t="shared" si="403"/>
        <v/>
      </c>
      <c r="AN1223" s="164" t="str">
        <f>IF($E1223="","",IF($B1223&gt;Input!$C$9,$AI1223*$AC1223,$AM1223*$AC1223))</f>
        <v/>
      </c>
      <c r="AO1223" s="164" t="str">
        <f>IF(AND($C1222=12,$D1222=Input!$C$6),0,IF($E1223="","",$AN1223+AO1224/(1+$L1223)*$R1223))</f>
        <v/>
      </c>
      <c r="AP1223" s="152"/>
      <c r="AQ1223" s="150" t="str">
        <f t="shared" si="404"/>
        <v/>
      </c>
      <c r="AR1223" s="150" t="str">
        <f t="shared" si="411"/>
        <v/>
      </c>
      <c r="AS1223" s="150" t="str">
        <f t="shared" si="412"/>
        <v/>
      </c>
      <c r="AT1223" s="150" t="str">
        <f t="shared" si="405"/>
        <v/>
      </c>
      <c r="AU1223" s="152"/>
      <c r="AV1223" s="147" t="str">
        <f>'Deterministic Reserve'!BC1223</f>
        <v/>
      </c>
      <c r="AY1223" s="152"/>
    </row>
    <row r="1224" spans="1:51" s="150" customFormat="1" x14ac:dyDescent="0.25">
      <c r="A1224" s="150" t="str">
        <f t="shared" si="413"/>
        <v/>
      </c>
      <c r="B1224" s="150" t="str">
        <f t="shared" si="414"/>
        <v/>
      </c>
      <c r="C1224" s="150" t="str">
        <f t="shared" si="415"/>
        <v/>
      </c>
      <c r="D1224" s="150" t="str">
        <f>IF(E1224="","",Input!$C$4+B1224-1)</f>
        <v/>
      </c>
      <c r="E1224" s="150" t="str">
        <f>IF(OR(AND(C1223=12,D1223=Input!$C$6),E1223=""),"",1)</f>
        <v/>
      </c>
      <c r="G1224" s="151" t="str">
        <f>IF(E1224="","",MAX(0,Input!$C$9-B1224))</f>
        <v/>
      </c>
      <c r="H1224" s="152" t="str">
        <f>IF(E1224="","",Input!$C$3)</f>
        <v/>
      </c>
      <c r="I1224" s="153" t="str">
        <f>IF(E1224="","",HLOOKUP($B1224,Input!$C$13:$BT$14,2))</f>
        <v/>
      </c>
      <c r="J1224" s="154"/>
      <c r="K1224" s="150" t="str">
        <f>IF($E1224="","",Input!$C$57)</f>
        <v/>
      </c>
      <c r="L1224" s="150" t="str">
        <f t="shared" si="406"/>
        <v/>
      </c>
      <c r="M1224" s="147" t="str">
        <f>IF($E1224="","",VLOOKUP(IF($B1224&lt;=Input!$C$7,$B1224,26),'Mortality Tables'!$A$72:$CA$97,IF($B1224&lt;=Input!$C$7+1,Input!$C$4-16,$D1224-Input!$C$7-16),0)/1000)</f>
        <v/>
      </c>
      <c r="N1224" s="147" t="str">
        <f t="shared" si="397"/>
        <v/>
      </c>
      <c r="O1224" s="157" t="str">
        <f>IF($E1224="","",IF($C1224=12,IF($B1224&lt;Input!$C$9,Input!$C$54,IF($B1224=Input!$C$9,Input!$C$55,Input!$C$56)),0%))</f>
        <v/>
      </c>
      <c r="P1224" s="167" t="str">
        <f>IF($E1224="","",IF($B1224=1,Input!$C$59,IF($B1224&lt;6,Input!$C$60,0%)))</f>
        <v/>
      </c>
      <c r="Q1224" s="162" t="str">
        <f>IF($E1224="","",Input!$C$58)</f>
        <v/>
      </c>
      <c r="R1224" s="156" t="str">
        <f t="shared" si="407"/>
        <v/>
      </c>
      <c r="S1224" s="154" t="str">
        <f t="shared" si="398"/>
        <v/>
      </c>
      <c r="T1224" s="152"/>
      <c r="U1224" s="150" t="str">
        <f t="shared" si="408"/>
        <v/>
      </c>
      <c r="V1224" s="150" t="str">
        <f t="shared" si="409"/>
        <v/>
      </c>
      <c r="W1224" s="168" t="str">
        <f t="shared" si="410"/>
        <v/>
      </c>
      <c r="X1224" s="163" t="str">
        <f t="shared" si="399"/>
        <v/>
      </c>
      <c r="Y1224" s="152"/>
      <c r="Z1224" s="164" t="str">
        <f>IF(AND($C1223=12,$D1223=Input!$C$6),0,IF($E1224="","",V1224+Z1225/(1+L1224)*R1224))</f>
        <v/>
      </c>
      <c r="AA1224" s="164" t="str">
        <f>IF(OR($M1224=1,AND($C1223=12,$D1223=Input!$C$6)),0,IF($E1224="","",W1224+(X1224+AA1225*$R1224)/(1+$L1224)))</f>
        <v/>
      </c>
      <c r="AB1224" s="160" t="str">
        <f t="shared" si="400"/>
        <v/>
      </c>
      <c r="AC1224" s="164" t="str">
        <f t="shared" si="401"/>
        <v/>
      </c>
      <c r="AD1224" s="164" t="str">
        <f>IF(AND($C1223=12,$D1223=Input!$C$6),0,IF($E1224="","",$AC1224+AD1225/(1+$L1224)*$R1224))</f>
        <v/>
      </c>
      <c r="AE1224" s="152"/>
      <c r="AF1224" s="164" t="str">
        <f>IF(AND($C1223=12,$D1223=Input!$C$6),0,IF($E1224="","",IF($B1224&gt;Input!$C$9,$AC1224,0)+AF1225/(1+$L1224)*$R1224))</f>
        <v/>
      </c>
      <c r="AG1224" s="164" t="str">
        <f>IF(AND($C1223=12,$D1223=Input!$C$6),0,IF($E1224="","",(IF($B1224&gt;Input!$C$9,$X1224,0)+AG1225)/(1+$L1224)*$R1224))</f>
        <v/>
      </c>
      <c r="AH1224" s="160" t="str">
        <f t="shared" si="402"/>
        <v/>
      </c>
      <c r="AI1224" s="160" t="str">
        <f>IF($E1224="","",MIN(Input!$C$61/AH1224,1))</f>
        <v/>
      </c>
      <c r="AJ1224" s="152"/>
      <c r="AK1224" s="164" t="str">
        <f>IF(AND($C1223=12,$D1223=Input!$C$6),0,IF($E1224="","",IF($B1224&gt;Input!$C$9,$AC1224*AI1224,0)+AK1225/(1+$L1224)*$R1224))</f>
        <v/>
      </c>
      <c r="AL1224" s="164" t="str">
        <f>IF(AND($C1223=12,$D1223=Input!$C$6),0,IF($E1224="","",IF($B1224&gt;Input!$C$9,0,$AC1224)+AL1225/(1+$L1224)*$R1224))</f>
        <v/>
      </c>
      <c r="AM1224" s="160" t="str">
        <f t="shared" si="403"/>
        <v/>
      </c>
      <c r="AN1224" s="164" t="str">
        <f>IF($E1224="","",IF($B1224&gt;Input!$C$9,$AI1224*$AC1224,$AM1224*$AC1224))</f>
        <v/>
      </c>
      <c r="AO1224" s="164" t="str">
        <f>IF(AND($C1223=12,$D1223=Input!$C$6),0,IF($E1224="","",$AN1224+AO1225/(1+$L1224)*$R1224))</f>
        <v/>
      </c>
      <c r="AP1224" s="152"/>
      <c r="AQ1224" s="150" t="str">
        <f t="shared" si="404"/>
        <v/>
      </c>
      <c r="AR1224" s="150" t="str">
        <f t="shared" si="411"/>
        <v/>
      </c>
      <c r="AS1224" s="150" t="str">
        <f t="shared" si="412"/>
        <v/>
      </c>
      <c r="AT1224" s="150" t="str">
        <f t="shared" si="405"/>
        <v/>
      </c>
      <c r="AU1224" s="152"/>
      <c r="AV1224" s="147" t="str">
        <f>'Deterministic Reserve'!BC1224</f>
        <v/>
      </c>
      <c r="AY1224" s="152"/>
    </row>
    <row r="1225" spans="1:51" s="150" customFormat="1" x14ac:dyDescent="0.25">
      <c r="A1225" s="150" t="str">
        <f t="shared" si="413"/>
        <v/>
      </c>
      <c r="B1225" s="150" t="str">
        <f t="shared" si="414"/>
        <v/>
      </c>
      <c r="C1225" s="150" t="str">
        <f t="shared" si="415"/>
        <v/>
      </c>
      <c r="D1225" s="150" t="str">
        <f>IF(E1225="","",Input!$C$4+B1225-1)</f>
        <v/>
      </c>
      <c r="E1225" s="150" t="str">
        <f>IF(OR(AND(C1224=12,D1224=Input!$C$6),E1224=""),"",1)</f>
        <v/>
      </c>
      <c r="G1225" s="151" t="str">
        <f>IF(E1225="","",MAX(0,Input!$C$9-B1225))</f>
        <v/>
      </c>
      <c r="H1225" s="152" t="str">
        <f>IF(E1225="","",Input!$C$3)</f>
        <v/>
      </c>
      <c r="I1225" s="153" t="str">
        <f>IF(E1225="","",HLOOKUP($B1225,Input!$C$13:$BT$14,2))</f>
        <v/>
      </c>
      <c r="J1225" s="154"/>
      <c r="K1225" s="150" t="str">
        <f>IF($E1225="","",Input!$C$57)</f>
        <v/>
      </c>
      <c r="L1225" s="150" t="str">
        <f t="shared" si="406"/>
        <v/>
      </c>
      <c r="M1225" s="147" t="str">
        <f>IF($E1225="","",VLOOKUP(IF($B1225&lt;=Input!$C$7,$B1225,26),'Mortality Tables'!$A$72:$CA$97,IF($B1225&lt;=Input!$C$7+1,Input!$C$4-16,$D1225-Input!$C$7-16),0)/1000)</f>
        <v/>
      </c>
      <c r="N1225" s="147" t="str">
        <f t="shared" si="397"/>
        <v/>
      </c>
      <c r="O1225" s="157" t="str">
        <f>IF($E1225="","",IF($C1225=12,IF($B1225&lt;Input!$C$9,Input!$C$54,IF($B1225=Input!$C$9,Input!$C$55,Input!$C$56)),0%))</f>
        <v/>
      </c>
      <c r="P1225" s="167" t="str">
        <f>IF($E1225="","",IF($B1225=1,Input!$C$59,IF($B1225&lt;6,Input!$C$60,0%)))</f>
        <v/>
      </c>
      <c r="Q1225" s="162" t="str">
        <f>IF($E1225="","",Input!$C$58)</f>
        <v/>
      </c>
      <c r="R1225" s="156" t="str">
        <f t="shared" si="407"/>
        <v/>
      </c>
      <c r="S1225" s="154" t="str">
        <f t="shared" si="398"/>
        <v/>
      </c>
      <c r="T1225" s="152"/>
      <c r="U1225" s="150" t="str">
        <f t="shared" si="408"/>
        <v/>
      </c>
      <c r="V1225" s="150" t="str">
        <f t="shared" si="409"/>
        <v/>
      </c>
      <c r="W1225" s="168" t="str">
        <f t="shared" si="410"/>
        <v/>
      </c>
      <c r="X1225" s="163" t="str">
        <f t="shared" si="399"/>
        <v/>
      </c>
      <c r="Y1225" s="152"/>
      <c r="Z1225" s="164" t="str">
        <f>IF(AND($C1224=12,$D1224=Input!$C$6),0,IF($E1225="","",V1225+Z1226/(1+L1225)*R1225))</f>
        <v/>
      </c>
      <c r="AA1225" s="164" t="str">
        <f>IF(OR($M1225=1,AND($C1224=12,$D1224=Input!$C$6)),0,IF($E1225="","",W1225+(X1225+AA1226*$R1225)/(1+$L1225)))</f>
        <v/>
      </c>
      <c r="AB1225" s="160" t="str">
        <f t="shared" si="400"/>
        <v/>
      </c>
      <c r="AC1225" s="164" t="str">
        <f t="shared" si="401"/>
        <v/>
      </c>
      <c r="AD1225" s="164" t="str">
        <f>IF(AND($C1224=12,$D1224=Input!$C$6),0,IF($E1225="","",$AC1225+AD1226/(1+$L1225)*$R1225))</f>
        <v/>
      </c>
      <c r="AE1225" s="152"/>
      <c r="AF1225" s="164" t="str">
        <f>IF(AND($C1224=12,$D1224=Input!$C$6),0,IF($E1225="","",IF($B1225&gt;Input!$C$9,$AC1225,0)+AF1226/(1+$L1225)*$R1225))</f>
        <v/>
      </c>
      <c r="AG1225" s="164" t="str">
        <f>IF(AND($C1224=12,$D1224=Input!$C$6),0,IF($E1225="","",(IF($B1225&gt;Input!$C$9,$X1225,0)+AG1226)/(1+$L1225)*$R1225))</f>
        <v/>
      </c>
      <c r="AH1225" s="160" t="str">
        <f t="shared" si="402"/>
        <v/>
      </c>
      <c r="AI1225" s="160" t="str">
        <f>IF($E1225="","",MIN(Input!$C$61/AH1225,1))</f>
        <v/>
      </c>
      <c r="AJ1225" s="152"/>
      <c r="AK1225" s="164" t="str">
        <f>IF(AND($C1224=12,$D1224=Input!$C$6),0,IF($E1225="","",IF($B1225&gt;Input!$C$9,$AC1225*AI1225,0)+AK1226/(1+$L1225)*$R1225))</f>
        <v/>
      </c>
      <c r="AL1225" s="164" t="str">
        <f>IF(AND($C1224=12,$D1224=Input!$C$6),0,IF($E1225="","",IF($B1225&gt;Input!$C$9,0,$AC1225)+AL1226/(1+$L1225)*$R1225))</f>
        <v/>
      </c>
      <c r="AM1225" s="160" t="str">
        <f t="shared" si="403"/>
        <v/>
      </c>
      <c r="AN1225" s="164" t="str">
        <f>IF($E1225="","",IF($B1225&gt;Input!$C$9,$AI1225*$AC1225,$AM1225*$AC1225))</f>
        <v/>
      </c>
      <c r="AO1225" s="164" t="str">
        <f>IF(AND($C1224=12,$D1224=Input!$C$6),0,IF($E1225="","",$AN1225+AO1226/(1+$L1225)*$R1225))</f>
        <v/>
      </c>
      <c r="AP1225" s="152"/>
      <c r="AQ1225" s="150" t="str">
        <f t="shared" si="404"/>
        <v/>
      </c>
      <c r="AR1225" s="150" t="str">
        <f t="shared" si="411"/>
        <v/>
      </c>
      <c r="AS1225" s="150" t="str">
        <f t="shared" si="412"/>
        <v/>
      </c>
      <c r="AT1225" s="150" t="str">
        <f t="shared" si="405"/>
        <v/>
      </c>
      <c r="AU1225" s="152"/>
      <c r="AV1225" s="147" t="str">
        <f>'Deterministic Reserve'!BC1225</f>
        <v/>
      </c>
      <c r="AY1225" s="152"/>
    </row>
    <row r="1226" spans="1:51" s="150" customFormat="1" x14ac:dyDescent="0.25">
      <c r="A1226" s="150" t="str">
        <f t="shared" si="413"/>
        <v/>
      </c>
      <c r="B1226" s="150" t="str">
        <f t="shared" si="414"/>
        <v/>
      </c>
      <c r="C1226" s="150" t="str">
        <f t="shared" si="415"/>
        <v/>
      </c>
      <c r="D1226" s="150" t="str">
        <f>IF(E1226="","",Input!$C$4+B1226-1)</f>
        <v/>
      </c>
      <c r="E1226" s="150" t="str">
        <f>IF(OR(AND(C1225=12,D1225=Input!$C$6),E1225=""),"",1)</f>
        <v/>
      </c>
      <c r="G1226" s="151" t="str">
        <f>IF(E1226="","",MAX(0,Input!$C$9-B1226))</f>
        <v/>
      </c>
      <c r="H1226" s="152" t="str">
        <f>IF(E1226="","",Input!$C$3)</f>
        <v/>
      </c>
      <c r="I1226" s="153" t="str">
        <f>IF(E1226="","",HLOOKUP($B1226,Input!$C$13:$BT$14,2))</f>
        <v/>
      </c>
      <c r="J1226" s="154"/>
      <c r="K1226" s="150" t="str">
        <f>IF($E1226="","",Input!$C$57)</f>
        <v/>
      </c>
      <c r="L1226" s="150" t="str">
        <f t="shared" si="406"/>
        <v/>
      </c>
      <c r="M1226" s="147" t="str">
        <f>IF($E1226="","",VLOOKUP(IF($B1226&lt;=Input!$C$7,$B1226,26),'Mortality Tables'!$A$72:$CA$97,IF($B1226&lt;=Input!$C$7+1,Input!$C$4-16,$D1226-Input!$C$7-16),0)/1000)</f>
        <v/>
      </c>
      <c r="N1226" s="147" t="str">
        <f t="shared" si="397"/>
        <v/>
      </c>
      <c r="O1226" s="157" t="str">
        <f>IF($E1226="","",IF($C1226=12,IF($B1226&lt;Input!$C$9,Input!$C$54,IF($B1226=Input!$C$9,Input!$C$55,Input!$C$56)),0%))</f>
        <v/>
      </c>
      <c r="P1226" s="167" t="str">
        <f>IF($E1226="","",IF($B1226=1,Input!$C$59,IF($B1226&lt;6,Input!$C$60,0%)))</f>
        <v/>
      </c>
      <c r="Q1226" s="162" t="str">
        <f>IF($E1226="","",Input!$C$58)</f>
        <v/>
      </c>
      <c r="R1226" s="156" t="str">
        <f t="shared" si="407"/>
        <v/>
      </c>
      <c r="S1226" s="154" t="str">
        <f t="shared" si="398"/>
        <v/>
      </c>
      <c r="T1226" s="152"/>
      <c r="U1226" s="150" t="str">
        <f t="shared" si="408"/>
        <v/>
      </c>
      <c r="V1226" s="150" t="str">
        <f t="shared" si="409"/>
        <v/>
      </c>
      <c r="W1226" s="168" t="str">
        <f t="shared" si="410"/>
        <v/>
      </c>
      <c r="X1226" s="163" t="str">
        <f t="shared" si="399"/>
        <v/>
      </c>
      <c r="Y1226" s="152"/>
      <c r="Z1226" s="164" t="str">
        <f>IF(AND($C1225=12,$D1225=Input!$C$6),0,IF($E1226="","",V1226+Z1227/(1+L1226)*R1226))</f>
        <v/>
      </c>
      <c r="AA1226" s="164" t="str">
        <f>IF(OR($M1226=1,AND($C1225=12,$D1225=Input!$C$6)),0,IF($E1226="","",W1226+(X1226+AA1227*$R1226)/(1+$L1226)))</f>
        <v/>
      </c>
      <c r="AB1226" s="160" t="str">
        <f t="shared" si="400"/>
        <v/>
      </c>
      <c r="AC1226" s="164" t="str">
        <f t="shared" si="401"/>
        <v/>
      </c>
      <c r="AD1226" s="164" t="str">
        <f>IF(AND($C1225=12,$D1225=Input!$C$6),0,IF($E1226="","",$AC1226+AD1227/(1+$L1226)*$R1226))</f>
        <v/>
      </c>
      <c r="AE1226" s="152"/>
      <c r="AF1226" s="164" t="str">
        <f>IF(AND($C1225=12,$D1225=Input!$C$6),0,IF($E1226="","",IF($B1226&gt;Input!$C$9,$AC1226,0)+AF1227/(1+$L1226)*$R1226))</f>
        <v/>
      </c>
      <c r="AG1226" s="164" t="str">
        <f>IF(AND($C1225=12,$D1225=Input!$C$6),0,IF($E1226="","",(IF($B1226&gt;Input!$C$9,$X1226,0)+AG1227)/(1+$L1226)*$R1226))</f>
        <v/>
      </c>
      <c r="AH1226" s="160" t="str">
        <f t="shared" si="402"/>
        <v/>
      </c>
      <c r="AI1226" s="160" t="str">
        <f>IF($E1226="","",MIN(Input!$C$61/AH1226,1))</f>
        <v/>
      </c>
      <c r="AJ1226" s="152"/>
      <c r="AK1226" s="164" t="str">
        <f>IF(AND($C1225=12,$D1225=Input!$C$6),0,IF($E1226="","",IF($B1226&gt;Input!$C$9,$AC1226*AI1226,0)+AK1227/(1+$L1226)*$R1226))</f>
        <v/>
      </c>
      <c r="AL1226" s="164" t="str">
        <f>IF(AND($C1225=12,$D1225=Input!$C$6),0,IF($E1226="","",IF($B1226&gt;Input!$C$9,0,$AC1226)+AL1227/(1+$L1226)*$R1226))</f>
        <v/>
      </c>
      <c r="AM1226" s="160" t="str">
        <f t="shared" si="403"/>
        <v/>
      </c>
      <c r="AN1226" s="164" t="str">
        <f>IF($E1226="","",IF($B1226&gt;Input!$C$9,$AI1226*$AC1226,$AM1226*$AC1226))</f>
        <v/>
      </c>
      <c r="AO1226" s="164" t="str">
        <f>IF(AND($C1225=12,$D1225=Input!$C$6),0,IF($E1226="","",$AN1226+AO1227/(1+$L1226)*$R1226))</f>
        <v/>
      </c>
      <c r="AP1226" s="152"/>
      <c r="AQ1226" s="150" t="str">
        <f t="shared" si="404"/>
        <v/>
      </c>
      <c r="AR1226" s="150" t="str">
        <f t="shared" si="411"/>
        <v/>
      </c>
      <c r="AS1226" s="150" t="str">
        <f t="shared" si="412"/>
        <v/>
      </c>
      <c r="AT1226" s="150" t="str">
        <f t="shared" si="405"/>
        <v/>
      </c>
      <c r="AU1226" s="152"/>
      <c r="AV1226" s="147" t="str">
        <f>'Deterministic Reserve'!BC1226</f>
        <v/>
      </c>
      <c r="AY1226" s="152"/>
    </row>
    <row r="1227" spans="1:51" s="150" customFormat="1" x14ac:dyDescent="0.25">
      <c r="A1227" s="150" t="str">
        <f t="shared" si="413"/>
        <v/>
      </c>
      <c r="B1227" s="150" t="str">
        <f t="shared" si="414"/>
        <v/>
      </c>
      <c r="C1227" s="150" t="str">
        <f t="shared" si="415"/>
        <v/>
      </c>
      <c r="D1227" s="150" t="str">
        <f>IF(E1227="","",Input!$C$4+B1227-1)</f>
        <v/>
      </c>
      <c r="E1227" s="150" t="str">
        <f>IF(OR(AND(C1226=12,D1226=Input!$C$6),E1226=""),"",1)</f>
        <v/>
      </c>
      <c r="G1227" s="151" t="str">
        <f>IF(E1227="","",MAX(0,Input!$C$9-B1227))</f>
        <v/>
      </c>
      <c r="H1227" s="152" t="str">
        <f>IF(E1227="","",Input!$C$3)</f>
        <v/>
      </c>
      <c r="I1227" s="153" t="str">
        <f>IF(E1227="","",HLOOKUP($B1227,Input!$C$13:$BT$14,2))</f>
        <v/>
      </c>
      <c r="J1227" s="154"/>
      <c r="K1227" s="150" t="str">
        <f>IF($E1227="","",Input!$C$57)</f>
        <v/>
      </c>
      <c r="L1227" s="150" t="str">
        <f t="shared" si="406"/>
        <v/>
      </c>
      <c r="M1227" s="147" t="str">
        <f>IF($E1227="","",VLOOKUP(IF($B1227&lt;=Input!$C$7,$B1227,26),'Mortality Tables'!$A$72:$CA$97,IF($B1227&lt;=Input!$C$7+1,Input!$C$4-16,$D1227-Input!$C$7-16),0)/1000)</f>
        <v/>
      </c>
      <c r="N1227" s="147" t="str">
        <f t="shared" si="397"/>
        <v/>
      </c>
      <c r="O1227" s="157" t="str">
        <f>IF($E1227="","",IF($C1227=12,IF($B1227&lt;Input!$C$9,Input!$C$54,IF($B1227=Input!$C$9,Input!$C$55,Input!$C$56)),0%))</f>
        <v/>
      </c>
      <c r="P1227" s="167" t="str">
        <f>IF($E1227="","",IF($B1227=1,Input!$C$59,IF($B1227&lt;6,Input!$C$60,0%)))</f>
        <v/>
      </c>
      <c r="Q1227" s="162" t="str">
        <f>IF($E1227="","",Input!$C$58)</f>
        <v/>
      </c>
      <c r="R1227" s="156" t="str">
        <f t="shared" si="407"/>
        <v/>
      </c>
      <c r="S1227" s="154" t="str">
        <f t="shared" si="398"/>
        <v/>
      </c>
      <c r="T1227" s="152"/>
      <c r="U1227" s="150" t="str">
        <f t="shared" si="408"/>
        <v/>
      </c>
      <c r="V1227" s="150" t="str">
        <f t="shared" si="409"/>
        <v/>
      </c>
      <c r="W1227" s="168" t="str">
        <f t="shared" si="410"/>
        <v/>
      </c>
      <c r="X1227" s="163" t="str">
        <f t="shared" si="399"/>
        <v/>
      </c>
      <c r="Y1227" s="152"/>
      <c r="Z1227" s="164" t="str">
        <f>IF(AND($C1226=12,$D1226=Input!$C$6),0,IF($E1227="","",V1227+Z1228/(1+L1227)*R1227))</f>
        <v/>
      </c>
      <c r="AA1227" s="164" t="str">
        <f>IF(OR($M1227=1,AND($C1226=12,$D1226=Input!$C$6)),0,IF($E1227="","",W1227+(X1227+AA1228*$R1227)/(1+$L1227)))</f>
        <v/>
      </c>
      <c r="AB1227" s="160" t="str">
        <f t="shared" si="400"/>
        <v/>
      </c>
      <c r="AC1227" s="164" t="str">
        <f t="shared" si="401"/>
        <v/>
      </c>
      <c r="AD1227" s="164" t="str">
        <f>IF(AND($C1226=12,$D1226=Input!$C$6),0,IF($E1227="","",$AC1227+AD1228/(1+$L1227)*$R1227))</f>
        <v/>
      </c>
      <c r="AE1227" s="152"/>
      <c r="AF1227" s="164" t="str">
        <f>IF(AND($C1226=12,$D1226=Input!$C$6),0,IF($E1227="","",IF($B1227&gt;Input!$C$9,$AC1227,0)+AF1228/(1+$L1227)*$R1227))</f>
        <v/>
      </c>
      <c r="AG1227" s="164" t="str">
        <f>IF(AND($C1226=12,$D1226=Input!$C$6),0,IF($E1227="","",(IF($B1227&gt;Input!$C$9,$X1227,0)+AG1228)/(1+$L1227)*$R1227))</f>
        <v/>
      </c>
      <c r="AH1227" s="160" t="str">
        <f t="shared" si="402"/>
        <v/>
      </c>
      <c r="AI1227" s="160" t="str">
        <f>IF($E1227="","",MIN(Input!$C$61/AH1227,1))</f>
        <v/>
      </c>
      <c r="AJ1227" s="152"/>
      <c r="AK1227" s="164" t="str">
        <f>IF(AND($C1226=12,$D1226=Input!$C$6),0,IF($E1227="","",IF($B1227&gt;Input!$C$9,$AC1227*AI1227,0)+AK1228/(1+$L1227)*$R1227))</f>
        <v/>
      </c>
      <c r="AL1227" s="164" t="str">
        <f>IF(AND($C1226=12,$D1226=Input!$C$6),0,IF($E1227="","",IF($B1227&gt;Input!$C$9,0,$AC1227)+AL1228/(1+$L1227)*$R1227))</f>
        <v/>
      </c>
      <c r="AM1227" s="160" t="str">
        <f t="shared" si="403"/>
        <v/>
      </c>
      <c r="AN1227" s="164" t="str">
        <f>IF($E1227="","",IF($B1227&gt;Input!$C$9,$AI1227*$AC1227,$AM1227*$AC1227))</f>
        <v/>
      </c>
      <c r="AO1227" s="164" t="str">
        <f>IF(AND($C1226=12,$D1226=Input!$C$6),0,IF($E1227="","",$AN1227+AO1228/(1+$L1227)*$R1227))</f>
        <v/>
      </c>
      <c r="AP1227" s="152"/>
      <c r="AQ1227" s="150" t="str">
        <f t="shared" si="404"/>
        <v/>
      </c>
      <c r="AR1227" s="150" t="str">
        <f t="shared" si="411"/>
        <v/>
      </c>
      <c r="AS1227" s="150" t="str">
        <f t="shared" si="412"/>
        <v/>
      </c>
      <c r="AT1227" s="150" t="str">
        <f t="shared" si="405"/>
        <v/>
      </c>
      <c r="AU1227" s="152"/>
      <c r="AV1227" s="147" t="str">
        <f>'Deterministic Reserve'!BC1227</f>
        <v/>
      </c>
      <c r="AY1227" s="152"/>
    </row>
    <row r="1228" spans="1:51" s="150" customFormat="1" x14ac:dyDescent="0.25">
      <c r="A1228" s="150" t="str">
        <f t="shared" si="413"/>
        <v/>
      </c>
      <c r="B1228" s="150" t="str">
        <f t="shared" si="414"/>
        <v/>
      </c>
      <c r="C1228" s="150" t="str">
        <f t="shared" si="415"/>
        <v/>
      </c>
      <c r="D1228" s="150" t="str">
        <f>IF(E1228="","",Input!$C$4+B1228-1)</f>
        <v/>
      </c>
      <c r="E1228" s="150" t="str">
        <f>IF(OR(AND(C1227=12,D1227=Input!$C$6),E1227=""),"",1)</f>
        <v/>
      </c>
      <c r="G1228" s="151" t="str">
        <f>IF(E1228="","",MAX(0,Input!$C$9-B1228))</f>
        <v/>
      </c>
      <c r="H1228" s="152" t="str">
        <f>IF(E1228="","",Input!$C$3)</f>
        <v/>
      </c>
      <c r="I1228" s="153" t="str">
        <f>IF(E1228="","",HLOOKUP($B1228,Input!$C$13:$BT$14,2))</f>
        <v/>
      </c>
      <c r="J1228" s="154"/>
      <c r="K1228" s="150" t="str">
        <f>IF($E1228="","",Input!$C$57)</f>
        <v/>
      </c>
      <c r="L1228" s="150" t="str">
        <f t="shared" si="406"/>
        <v/>
      </c>
      <c r="M1228" s="147" t="str">
        <f>IF($E1228="","",VLOOKUP(IF($B1228&lt;=Input!$C$7,$B1228,26),'Mortality Tables'!$A$72:$CA$97,IF($B1228&lt;=Input!$C$7+1,Input!$C$4-16,$D1228-Input!$C$7-16),0)/1000)</f>
        <v/>
      </c>
      <c r="N1228" s="147" t="str">
        <f t="shared" si="397"/>
        <v/>
      </c>
      <c r="O1228" s="157" t="str">
        <f>IF($E1228="","",IF($C1228=12,IF($B1228&lt;Input!$C$9,Input!$C$54,IF($B1228=Input!$C$9,Input!$C$55,Input!$C$56)),0%))</f>
        <v/>
      </c>
      <c r="P1228" s="167" t="str">
        <f>IF($E1228="","",IF($B1228=1,Input!$C$59,IF($B1228&lt;6,Input!$C$60,0%)))</f>
        <v/>
      </c>
      <c r="Q1228" s="162" t="str">
        <f>IF($E1228="","",Input!$C$58)</f>
        <v/>
      </c>
      <c r="R1228" s="156" t="str">
        <f t="shared" si="407"/>
        <v/>
      </c>
      <c r="S1228" s="154" t="str">
        <f t="shared" si="398"/>
        <v/>
      </c>
      <c r="T1228" s="152"/>
      <c r="U1228" s="150" t="str">
        <f t="shared" si="408"/>
        <v/>
      </c>
      <c r="V1228" s="150" t="str">
        <f t="shared" si="409"/>
        <v/>
      </c>
      <c r="W1228" s="168" t="str">
        <f t="shared" si="410"/>
        <v/>
      </c>
      <c r="X1228" s="163" t="str">
        <f t="shared" si="399"/>
        <v/>
      </c>
      <c r="Y1228" s="152"/>
      <c r="Z1228" s="164" t="str">
        <f>IF(AND($C1227=12,$D1227=Input!$C$6),0,IF($E1228="","",V1228+Z1229/(1+L1228)*R1228))</f>
        <v/>
      </c>
      <c r="AA1228" s="164" t="str">
        <f>IF(OR($M1228=1,AND($C1227=12,$D1227=Input!$C$6)),0,IF($E1228="","",W1228+(X1228+AA1229*$R1228)/(1+$L1228)))</f>
        <v/>
      </c>
      <c r="AB1228" s="160" t="str">
        <f t="shared" si="400"/>
        <v/>
      </c>
      <c r="AC1228" s="164" t="str">
        <f t="shared" si="401"/>
        <v/>
      </c>
      <c r="AD1228" s="164" t="str">
        <f>IF(AND($C1227=12,$D1227=Input!$C$6),0,IF($E1228="","",$AC1228+AD1229/(1+$L1228)*$R1228))</f>
        <v/>
      </c>
      <c r="AE1228" s="152"/>
      <c r="AF1228" s="164" t="str">
        <f>IF(AND($C1227=12,$D1227=Input!$C$6),0,IF($E1228="","",IF($B1228&gt;Input!$C$9,$AC1228,0)+AF1229/(1+$L1228)*$R1228))</f>
        <v/>
      </c>
      <c r="AG1228" s="164" t="str">
        <f>IF(AND($C1227=12,$D1227=Input!$C$6),0,IF($E1228="","",(IF($B1228&gt;Input!$C$9,$X1228,0)+AG1229)/(1+$L1228)*$R1228))</f>
        <v/>
      </c>
      <c r="AH1228" s="160" t="str">
        <f t="shared" si="402"/>
        <v/>
      </c>
      <c r="AI1228" s="160" t="str">
        <f>IF($E1228="","",MIN(Input!$C$61/AH1228,1))</f>
        <v/>
      </c>
      <c r="AJ1228" s="152"/>
      <c r="AK1228" s="164" t="str">
        <f>IF(AND($C1227=12,$D1227=Input!$C$6),0,IF($E1228="","",IF($B1228&gt;Input!$C$9,$AC1228*AI1228,0)+AK1229/(1+$L1228)*$R1228))</f>
        <v/>
      </c>
      <c r="AL1228" s="164" t="str">
        <f>IF(AND($C1227=12,$D1227=Input!$C$6),0,IF($E1228="","",IF($B1228&gt;Input!$C$9,0,$AC1228)+AL1229/(1+$L1228)*$R1228))</f>
        <v/>
      </c>
      <c r="AM1228" s="160" t="str">
        <f t="shared" si="403"/>
        <v/>
      </c>
      <c r="AN1228" s="164" t="str">
        <f>IF($E1228="","",IF($B1228&gt;Input!$C$9,$AI1228*$AC1228,$AM1228*$AC1228))</f>
        <v/>
      </c>
      <c r="AO1228" s="164" t="str">
        <f>IF(AND($C1227=12,$D1227=Input!$C$6),0,IF($E1228="","",$AN1228+AO1229/(1+$L1228)*$R1228))</f>
        <v/>
      </c>
      <c r="AP1228" s="152"/>
      <c r="AQ1228" s="150" t="str">
        <f t="shared" si="404"/>
        <v/>
      </c>
      <c r="AR1228" s="150" t="str">
        <f t="shared" si="411"/>
        <v/>
      </c>
      <c r="AS1228" s="150" t="str">
        <f t="shared" si="412"/>
        <v/>
      </c>
      <c r="AT1228" s="150" t="str">
        <f t="shared" si="405"/>
        <v/>
      </c>
      <c r="AU1228" s="152"/>
      <c r="AV1228" s="147" t="str">
        <f>'Deterministic Reserve'!BC1228</f>
        <v/>
      </c>
      <c r="AY1228" s="152"/>
    </row>
    <row r="1229" spans="1:51" s="150" customFormat="1" x14ac:dyDescent="0.25">
      <c r="A1229" s="150" t="str">
        <f t="shared" si="413"/>
        <v/>
      </c>
      <c r="B1229" s="150" t="str">
        <f t="shared" si="414"/>
        <v/>
      </c>
      <c r="C1229" s="150" t="str">
        <f t="shared" si="415"/>
        <v/>
      </c>
      <c r="D1229" s="150" t="str">
        <f>IF(E1229="","",Input!$C$4+B1229-1)</f>
        <v/>
      </c>
      <c r="E1229" s="150" t="str">
        <f>IF(OR(AND(C1228=12,D1228=Input!$C$6),E1228=""),"",1)</f>
        <v/>
      </c>
      <c r="G1229" s="151" t="str">
        <f>IF(E1229="","",MAX(0,Input!$C$9-B1229))</f>
        <v/>
      </c>
      <c r="H1229" s="152" t="str">
        <f>IF(E1229="","",Input!$C$3)</f>
        <v/>
      </c>
      <c r="I1229" s="153" t="str">
        <f>IF(E1229="","",HLOOKUP($B1229,Input!$C$13:$BT$14,2))</f>
        <v/>
      </c>
      <c r="J1229" s="154"/>
      <c r="K1229" s="150" t="str">
        <f>IF($E1229="","",Input!$C$57)</f>
        <v/>
      </c>
      <c r="L1229" s="150" t="str">
        <f t="shared" si="406"/>
        <v/>
      </c>
      <c r="M1229" s="147" t="str">
        <f>IF($E1229="","",VLOOKUP(IF($B1229&lt;=Input!$C$7,$B1229,26),'Mortality Tables'!$A$72:$CA$97,IF($B1229&lt;=Input!$C$7+1,Input!$C$4-16,$D1229-Input!$C$7-16),0)/1000)</f>
        <v/>
      </c>
      <c r="N1229" s="147" t="str">
        <f t="shared" si="397"/>
        <v/>
      </c>
      <c r="O1229" s="157" t="str">
        <f>IF($E1229="","",IF($C1229=12,IF($B1229&lt;Input!$C$9,Input!$C$54,IF($B1229=Input!$C$9,Input!$C$55,Input!$C$56)),0%))</f>
        <v/>
      </c>
      <c r="P1229" s="167" t="str">
        <f>IF($E1229="","",IF($B1229=1,Input!$C$59,IF($B1229&lt;6,Input!$C$60,0%)))</f>
        <v/>
      </c>
      <c r="Q1229" s="162" t="str">
        <f>IF($E1229="","",Input!$C$58)</f>
        <v/>
      </c>
      <c r="R1229" s="156" t="str">
        <f t="shared" si="407"/>
        <v/>
      </c>
      <c r="S1229" s="154" t="str">
        <f t="shared" si="398"/>
        <v/>
      </c>
      <c r="T1229" s="152"/>
      <c r="U1229" s="150" t="str">
        <f t="shared" si="408"/>
        <v/>
      </c>
      <c r="V1229" s="150" t="str">
        <f t="shared" si="409"/>
        <v/>
      </c>
      <c r="W1229" s="168" t="str">
        <f t="shared" si="410"/>
        <v/>
      </c>
      <c r="X1229" s="163" t="str">
        <f t="shared" si="399"/>
        <v/>
      </c>
      <c r="Y1229" s="152"/>
      <c r="Z1229" s="164" t="str">
        <f>IF(AND($C1228=12,$D1228=Input!$C$6),0,IF($E1229="","",V1229+Z1230/(1+L1229)*R1229))</f>
        <v/>
      </c>
      <c r="AA1229" s="164" t="str">
        <f>IF(OR($M1229=1,AND($C1228=12,$D1228=Input!$C$6)),0,IF($E1229="","",W1229+(X1229+AA1230*$R1229)/(1+$L1229)))</f>
        <v/>
      </c>
      <c r="AB1229" s="160" t="str">
        <f t="shared" si="400"/>
        <v/>
      </c>
      <c r="AC1229" s="164" t="str">
        <f t="shared" si="401"/>
        <v/>
      </c>
      <c r="AD1229" s="164" t="str">
        <f>IF(AND($C1228=12,$D1228=Input!$C$6),0,IF($E1229="","",$AC1229+AD1230/(1+$L1229)*$R1229))</f>
        <v/>
      </c>
      <c r="AE1229" s="152"/>
      <c r="AF1229" s="164" t="str">
        <f>IF(AND($C1228=12,$D1228=Input!$C$6),0,IF($E1229="","",IF($B1229&gt;Input!$C$9,$AC1229,0)+AF1230/(1+$L1229)*$R1229))</f>
        <v/>
      </c>
      <c r="AG1229" s="164" t="str">
        <f>IF(AND($C1228=12,$D1228=Input!$C$6),0,IF($E1229="","",(IF($B1229&gt;Input!$C$9,$X1229,0)+AG1230)/(1+$L1229)*$R1229))</f>
        <v/>
      </c>
      <c r="AH1229" s="160" t="str">
        <f t="shared" si="402"/>
        <v/>
      </c>
      <c r="AI1229" s="160" t="str">
        <f>IF($E1229="","",MIN(Input!$C$61/AH1229,1))</f>
        <v/>
      </c>
      <c r="AJ1229" s="152"/>
      <c r="AK1229" s="164" t="str">
        <f>IF(AND($C1228=12,$D1228=Input!$C$6),0,IF($E1229="","",IF($B1229&gt;Input!$C$9,$AC1229*AI1229,0)+AK1230/(1+$L1229)*$R1229))</f>
        <v/>
      </c>
      <c r="AL1229" s="164" t="str">
        <f>IF(AND($C1228=12,$D1228=Input!$C$6),0,IF($E1229="","",IF($B1229&gt;Input!$C$9,0,$AC1229)+AL1230/(1+$L1229)*$R1229))</f>
        <v/>
      </c>
      <c r="AM1229" s="160" t="str">
        <f t="shared" si="403"/>
        <v/>
      </c>
      <c r="AN1229" s="164" t="str">
        <f>IF($E1229="","",IF($B1229&gt;Input!$C$9,$AI1229*$AC1229,$AM1229*$AC1229))</f>
        <v/>
      </c>
      <c r="AO1229" s="164" t="str">
        <f>IF(AND($C1228=12,$D1228=Input!$C$6),0,IF($E1229="","",$AN1229+AO1230/(1+$L1229)*$R1229))</f>
        <v/>
      </c>
      <c r="AP1229" s="152"/>
      <c r="AQ1229" s="150" t="str">
        <f t="shared" si="404"/>
        <v/>
      </c>
      <c r="AR1229" s="150" t="str">
        <f t="shared" si="411"/>
        <v/>
      </c>
      <c r="AS1229" s="150" t="str">
        <f t="shared" si="412"/>
        <v/>
      </c>
      <c r="AT1229" s="150" t="str">
        <f t="shared" si="405"/>
        <v/>
      </c>
      <c r="AU1229" s="152"/>
      <c r="AV1229" s="147" t="str">
        <f>'Deterministic Reserve'!BC1229</f>
        <v/>
      </c>
      <c r="AY1229" s="152"/>
    </row>
    <row r="1230" spans="1:51" s="150" customFormat="1" x14ac:dyDescent="0.25">
      <c r="A1230" s="150" t="str">
        <f t="shared" si="413"/>
        <v/>
      </c>
      <c r="B1230" s="150" t="str">
        <f t="shared" si="414"/>
        <v/>
      </c>
      <c r="C1230" s="150" t="str">
        <f t="shared" si="415"/>
        <v/>
      </c>
      <c r="D1230" s="150" t="str">
        <f>IF(E1230="","",Input!$C$4+B1230-1)</f>
        <v/>
      </c>
      <c r="E1230" s="150" t="str">
        <f>IF(OR(AND(C1229=12,D1229=Input!$C$6),E1229=""),"",1)</f>
        <v/>
      </c>
      <c r="G1230" s="151" t="str">
        <f>IF(E1230="","",MAX(0,Input!$C$9-B1230))</f>
        <v/>
      </c>
      <c r="H1230" s="152" t="str">
        <f>IF(E1230="","",Input!$C$3)</f>
        <v/>
      </c>
      <c r="I1230" s="153" t="str">
        <f>IF(E1230="","",HLOOKUP($B1230,Input!$C$13:$BT$14,2))</f>
        <v/>
      </c>
      <c r="J1230" s="154"/>
      <c r="K1230" s="150" t="str">
        <f>IF($E1230="","",Input!$C$57)</f>
        <v/>
      </c>
      <c r="L1230" s="150" t="str">
        <f t="shared" si="406"/>
        <v/>
      </c>
      <c r="M1230" s="147" t="str">
        <f>IF($E1230="","",VLOOKUP(IF($B1230&lt;=Input!$C$7,$B1230,26),'Mortality Tables'!$A$72:$CA$97,IF($B1230&lt;=Input!$C$7+1,Input!$C$4-16,$D1230-Input!$C$7-16),0)/1000)</f>
        <v/>
      </c>
      <c r="N1230" s="147" t="str">
        <f t="shared" si="397"/>
        <v/>
      </c>
      <c r="O1230" s="157" t="str">
        <f>IF($E1230="","",IF($C1230=12,IF($B1230&lt;Input!$C$9,Input!$C$54,IF($B1230=Input!$C$9,Input!$C$55,Input!$C$56)),0%))</f>
        <v/>
      </c>
      <c r="P1230" s="167" t="str">
        <f>IF($E1230="","",IF($B1230=1,Input!$C$59,IF($B1230&lt;6,Input!$C$60,0%)))</f>
        <v/>
      </c>
      <c r="Q1230" s="162" t="str">
        <f>IF($E1230="","",Input!$C$58)</f>
        <v/>
      </c>
      <c r="R1230" s="156" t="str">
        <f t="shared" si="407"/>
        <v/>
      </c>
      <c r="S1230" s="154" t="str">
        <f t="shared" si="398"/>
        <v/>
      </c>
      <c r="T1230" s="152"/>
      <c r="U1230" s="150" t="str">
        <f t="shared" si="408"/>
        <v/>
      </c>
      <c r="V1230" s="150" t="str">
        <f t="shared" si="409"/>
        <v/>
      </c>
      <c r="W1230" s="168" t="str">
        <f t="shared" si="410"/>
        <v/>
      </c>
      <c r="X1230" s="163" t="str">
        <f t="shared" si="399"/>
        <v/>
      </c>
      <c r="Y1230" s="152"/>
      <c r="Z1230" s="164" t="str">
        <f>IF(AND($C1229=12,$D1229=Input!$C$6),0,IF($E1230="","",V1230+Z1231/(1+L1230)*R1230))</f>
        <v/>
      </c>
      <c r="AA1230" s="164" t="str">
        <f>IF(OR($M1230=1,AND($C1229=12,$D1229=Input!$C$6)),0,IF($E1230="","",W1230+(X1230+AA1231*$R1230)/(1+$L1230)))</f>
        <v/>
      </c>
      <c r="AB1230" s="160" t="str">
        <f t="shared" si="400"/>
        <v/>
      </c>
      <c r="AC1230" s="164" t="str">
        <f t="shared" si="401"/>
        <v/>
      </c>
      <c r="AD1230" s="164" t="str">
        <f>IF(AND($C1229=12,$D1229=Input!$C$6),0,IF($E1230="","",$AC1230+AD1231/(1+$L1230)*$R1230))</f>
        <v/>
      </c>
      <c r="AE1230" s="152"/>
      <c r="AF1230" s="164" t="str">
        <f>IF(AND($C1229=12,$D1229=Input!$C$6),0,IF($E1230="","",IF($B1230&gt;Input!$C$9,$AC1230,0)+AF1231/(1+$L1230)*$R1230))</f>
        <v/>
      </c>
      <c r="AG1230" s="164" t="str">
        <f>IF(AND($C1229=12,$D1229=Input!$C$6),0,IF($E1230="","",(IF($B1230&gt;Input!$C$9,$X1230,0)+AG1231)/(1+$L1230)*$R1230))</f>
        <v/>
      </c>
      <c r="AH1230" s="160" t="str">
        <f t="shared" si="402"/>
        <v/>
      </c>
      <c r="AI1230" s="160" t="str">
        <f>IF($E1230="","",MIN(Input!$C$61/AH1230,1))</f>
        <v/>
      </c>
      <c r="AJ1230" s="152"/>
      <c r="AK1230" s="164" t="str">
        <f>IF(AND($C1229=12,$D1229=Input!$C$6),0,IF($E1230="","",IF($B1230&gt;Input!$C$9,$AC1230*AI1230,0)+AK1231/(1+$L1230)*$R1230))</f>
        <v/>
      </c>
      <c r="AL1230" s="164" t="str">
        <f>IF(AND($C1229=12,$D1229=Input!$C$6),0,IF($E1230="","",IF($B1230&gt;Input!$C$9,0,$AC1230)+AL1231/(1+$L1230)*$R1230))</f>
        <v/>
      </c>
      <c r="AM1230" s="160" t="str">
        <f t="shared" si="403"/>
        <v/>
      </c>
      <c r="AN1230" s="164" t="str">
        <f>IF($E1230="","",IF($B1230&gt;Input!$C$9,$AI1230*$AC1230,$AM1230*$AC1230))</f>
        <v/>
      </c>
      <c r="AO1230" s="164" t="str">
        <f>IF(AND($C1229=12,$D1229=Input!$C$6),0,IF($E1230="","",$AN1230+AO1231/(1+$L1230)*$R1230))</f>
        <v/>
      </c>
      <c r="AP1230" s="152"/>
      <c r="AQ1230" s="150" t="str">
        <f t="shared" si="404"/>
        <v/>
      </c>
      <c r="AR1230" s="150" t="str">
        <f t="shared" si="411"/>
        <v/>
      </c>
      <c r="AS1230" s="150" t="str">
        <f t="shared" si="412"/>
        <v/>
      </c>
      <c r="AT1230" s="150" t="str">
        <f t="shared" si="405"/>
        <v/>
      </c>
      <c r="AU1230" s="152"/>
      <c r="AV1230" s="147" t="str">
        <f>'Deterministic Reserve'!BC1230</f>
        <v/>
      </c>
      <c r="AY1230" s="152"/>
    </row>
    <row r="1231" spans="1:51" s="150" customFormat="1" x14ac:dyDescent="0.25">
      <c r="A1231" s="150" t="str">
        <f t="shared" si="413"/>
        <v/>
      </c>
      <c r="B1231" s="150" t="str">
        <f t="shared" si="414"/>
        <v/>
      </c>
      <c r="C1231" s="150" t="str">
        <f t="shared" si="415"/>
        <v/>
      </c>
      <c r="D1231" s="150" t="str">
        <f>IF(E1231="","",Input!$C$4+B1231-1)</f>
        <v/>
      </c>
      <c r="E1231" s="150" t="str">
        <f>IF(OR(AND(C1230=12,D1230=Input!$C$6),E1230=""),"",1)</f>
        <v/>
      </c>
      <c r="G1231" s="151" t="str">
        <f>IF(E1231="","",MAX(0,Input!$C$9-B1231))</f>
        <v/>
      </c>
      <c r="H1231" s="152" t="str">
        <f>IF(E1231="","",Input!$C$3)</f>
        <v/>
      </c>
      <c r="I1231" s="153" t="str">
        <f>IF(E1231="","",HLOOKUP($B1231,Input!$C$13:$BT$14,2))</f>
        <v/>
      </c>
      <c r="J1231" s="154"/>
      <c r="K1231" s="150" t="str">
        <f>IF($E1231="","",Input!$C$57)</f>
        <v/>
      </c>
      <c r="L1231" s="150" t="str">
        <f t="shared" si="406"/>
        <v/>
      </c>
      <c r="M1231" s="147" t="str">
        <f>IF($E1231="","",VLOOKUP(IF($B1231&lt;=Input!$C$7,$B1231,26),'Mortality Tables'!$A$72:$CA$97,IF($B1231&lt;=Input!$C$7+1,Input!$C$4-16,$D1231-Input!$C$7-16),0)/1000)</f>
        <v/>
      </c>
      <c r="N1231" s="147" t="str">
        <f t="shared" si="397"/>
        <v/>
      </c>
      <c r="O1231" s="157" t="str">
        <f>IF($E1231="","",IF($C1231=12,IF($B1231&lt;Input!$C$9,Input!$C$54,IF($B1231=Input!$C$9,Input!$C$55,Input!$C$56)),0%))</f>
        <v/>
      </c>
      <c r="P1231" s="167" t="str">
        <f>IF($E1231="","",IF($B1231=1,Input!$C$59,IF($B1231&lt;6,Input!$C$60,0%)))</f>
        <v/>
      </c>
      <c r="Q1231" s="162" t="str">
        <f>IF($E1231="","",Input!$C$58)</f>
        <v/>
      </c>
      <c r="R1231" s="156" t="str">
        <f t="shared" si="407"/>
        <v/>
      </c>
      <c r="S1231" s="154" t="str">
        <f t="shared" si="398"/>
        <v/>
      </c>
      <c r="T1231" s="152"/>
      <c r="U1231" s="150" t="str">
        <f t="shared" si="408"/>
        <v/>
      </c>
      <c r="V1231" s="150" t="str">
        <f t="shared" si="409"/>
        <v/>
      </c>
      <c r="W1231" s="168" t="str">
        <f t="shared" si="410"/>
        <v/>
      </c>
      <c r="X1231" s="163" t="str">
        <f t="shared" si="399"/>
        <v/>
      </c>
      <c r="Y1231" s="152"/>
      <c r="Z1231" s="164" t="str">
        <f>IF(AND($C1230=12,$D1230=Input!$C$6),0,IF($E1231="","",V1231+Z1232/(1+L1231)*R1231))</f>
        <v/>
      </c>
      <c r="AA1231" s="164" t="str">
        <f>IF(OR($M1231=1,AND($C1230=12,$D1230=Input!$C$6)),0,IF($E1231="","",W1231+(X1231+AA1232*$R1231)/(1+$L1231)))</f>
        <v/>
      </c>
      <c r="AB1231" s="160" t="str">
        <f t="shared" si="400"/>
        <v/>
      </c>
      <c r="AC1231" s="164" t="str">
        <f t="shared" si="401"/>
        <v/>
      </c>
      <c r="AD1231" s="164" t="str">
        <f>IF(AND($C1230=12,$D1230=Input!$C$6),0,IF($E1231="","",$AC1231+AD1232/(1+$L1231)*$R1231))</f>
        <v/>
      </c>
      <c r="AE1231" s="152"/>
      <c r="AF1231" s="164" t="str">
        <f>IF(AND($C1230=12,$D1230=Input!$C$6),0,IF($E1231="","",IF($B1231&gt;Input!$C$9,$AC1231,0)+AF1232/(1+$L1231)*$R1231))</f>
        <v/>
      </c>
      <c r="AG1231" s="164" t="str">
        <f>IF(AND($C1230=12,$D1230=Input!$C$6),0,IF($E1231="","",(IF($B1231&gt;Input!$C$9,$X1231,0)+AG1232)/(1+$L1231)*$R1231))</f>
        <v/>
      </c>
      <c r="AH1231" s="160" t="str">
        <f t="shared" si="402"/>
        <v/>
      </c>
      <c r="AI1231" s="160" t="str">
        <f>IF($E1231="","",MIN(Input!$C$61/AH1231,1))</f>
        <v/>
      </c>
      <c r="AJ1231" s="152"/>
      <c r="AK1231" s="164" t="str">
        <f>IF(AND($C1230=12,$D1230=Input!$C$6),0,IF($E1231="","",IF($B1231&gt;Input!$C$9,$AC1231*AI1231,0)+AK1232/(1+$L1231)*$R1231))</f>
        <v/>
      </c>
      <c r="AL1231" s="164" t="str">
        <f>IF(AND($C1230=12,$D1230=Input!$C$6),0,IF($E1231="","",IF($B1231&gt;Input!$C$9,0,$AC1231)+AL1232/(1+$L1231)*$R1231))</f>
        <v/>
      </c>
      <c r="AM1231" s="160" t="str">
        <f t="shared" si="403"/>
        <v/>
      </c>
      <c r="AN1231" s="164" t="str">
        <f>IF($E1231="","",IF($B1231&gt;Input!$C$9,$AI1231*$AC1231,$AM1231*$AC1231))</f>
        <v/>
      </c>
      <c r="AO1231" s="164" t="str">
        <f>IF(AND($C1230=12,$D1230=Input!$C$6),0,IF($E1231="","",$AN1231+AO1232/(1+$L1231)*$R1231))</f>
        <v/>
      </c>
      <c r="AP1231" s="152"/>
      <c r="AQ1231" s="150" t="str">
        <f t="shared" si="404"/>
        <v/>
      </c>
      <c r="AR1231" s="150" t="str">
        <f t="shared" si="411"/>
        <v/>
      </c>
      <c r="AS1231" s="150" t="str">
        <f t="shared" si="412"/>
        <v/>
      </c>
      <c r="AT1231" s="150" t="str">
        <f t="shared" si="405"/>
        <v/>
      </c>
      <c r="AU1231" s="152"/>
      <c r="AV1231" s="147" t="str">
        <f>'Deterministic Reserve'!BC1231</f>
        <v/>
      </c>
      <c r="AY1231" s="152"/>
    </row>
    <row r="1232" spans="1:51" s="150" customFormat="1" x14ac:dyDescent="0.25">
      <c r="A1232" s="150" t="str">
        <f t="shared" si="413"/>
        <v/>
      </c>
      <c r="B1232" s="150" t="str">
        <f t="shared" si="414"/>
        <v/>
      </c>
      <c r="C1232" s="150" t="str">
        <f t="shared" si="415"/>
        <v/>
      </c>
      <c r="D1232" s="150" t="str">
        <f>IF(E1232="","",Input!$C$4+B1232-1)</f>
        <v/>
      </c>
      <c r="E1232" s="150" t="str">
        <f>IF(OR(AND(C1231=12,D1231=Input!$C$6),E1231=""),"",1)</f>
        <v/>
      </c>
      <c r="G1232" s="151" t="str">
        <f>IF(E1232="","",MAX(0,Input!$C$9-B1232))</f>
        <v/>
      </c>
      <c r="H1232" s="152" t="str">
        <f>IF(E1232="","",Input!$C$3)</f>
        <v/>
      </c>
      <c r="I1232" s="153" t="str">
        <f>IF(E1232="","",HLOOKUP($B1232,Input!$C$13:$BT$14,2))</f>
        <v/>
      </c>
      <c r="J1232" s="154"/>
      <c r="K1232" s="150" t="str">
        <f>IF($E1232="","",Input!$C$57)</f>
        <v/>
      </c>
      <c r="L1232" s="150" t="str">
        <f t="shared" si="406"/>
        <v/>
      </c>
      <c r="M1232" s="147" t="str">
        <f>IF($E1232="","",VLOOKUP(IF($B1232&lt;=Input!$C$7,$B1232,26),'Mortality Tables'!$A$72:$CA$97,IF($B1232&lt;=Input!$C$7+1,Input!$C$4-16,$D1232-Input!$C$7-16),0)/1000)</f>
        <v/>
      </c>
      <c r="N1232" s="147" t="str">
        <f t="shared" si="397"/>
        <v/>
      </c>
      <c r="O1232" s="157" t="str">
        <f>IF($E1232="","",IF($C1232=12,IF($B1232&lt;Input!$C$9,Input!$C$54,IF($B1232=Input!$C$9,Input!$C$55,Input!$C$56)),0%))</f>
        <v/>
      </c>
      <c r="P1232" s="167" t="str">
        <f>IF($E1232="","",IF($B1232=1,Input!$C$59,IF($B1232&lt;6,Input!$C$60,0%)))</f>
        <v/>
      </c>
      <c r="Q1232" s="162" t="str">
        <f>IF($E1232="","",Input!$C$58)</f>
        <v/>
      </c>
      <c r="R1232" s="156" t="str">
        <f t="shared" si="407"/>
        <v/>
      </c>
      <c r="S1232" s="154" t="str">
        <f t="shared" si="398"/>
        <v/>
      </c>
      <c r="T1232" s="152"/>
      <c r="U1232" s="150" t="str">
        <f t="shared" si="408"/>
        <v/>
      </c>
      <c r="V1232" s="150" t="str">
        <f t="shared" si="409"/>
        <v/>
      </c>
      <c r="W1232" s="168" t="str">
        <f t="shared" si="410"/>
        <v/>
      </c>
      <c r="X1232" s="163" t="str">
        <f t="shared" si="399"/>
        <v/>
      </c>
      <c r="Y1232" s="152"/>
      <c r="Z1232" s="164" t="str">
        <f>IF(AND($C1231=12,$D1231=Input!$C$6),0,IF($E1232="","",V1232+Z1233/(1+L1232)*R1232))</f>
        <v/>
      </c>
      <c r="AA1232" s="164" t="str">
        <f>IF(OR($M1232=1,AND($C1231=12,$D1231=Input!$C$6)),0,IF($E1232="","",W1232+(X1232+AA1233*$R1232)/(1+$L1232)))</f>
        <v/>
      </c>
      <c r="AB1232" s="160" t="str">
        <f t="shared" si="400"/>
        <v/>
      </c>
      <c r="AC1232" s="164" t="str">
        <f t="shared" si="401"/>
        <v/>
      </c>
      <c r="AD1232" s="164" t="str">
        <f>IF(AND($C1231=12,$D1231=Input!$C$6),0,IF($E1232="","",$AC1232+AD1233/(1+$L1232)*$R1232))</f>
        <v/>
      </c>
      <c r="AE1232" s="152"/>
      <c r="AF1232" s="164" t="str">
        <f>IF(AND($C1231=12,$D1231=Input!$C$6),0,IF($E1232="","",IF($B1232&gt;Input!$C$9,$AC1232,0)+AF1233/(1+$L1232)*$R1232))</f>
        <v/>
      </c>
      <c r="AG1232" s="164" t="str">
        <f>IF(AND($C1231=12,$D1231=Input!$C$6),0,IF($E1232="","",(IF($B1232&gt;Input!$C$9,$X1232,0)+AG1233)/(1+$L1232)*$R1232))</f>
        <v/>
      </c>
      <c r="AH1232" s="160" t="str">
        <f t="shared" si="402"/>
        <v/>
      </c>
      <c r="AI1232" s="160" t="str">
        <f>IF($E1232="","",MIN(Input!$C$61/AH1232,1))</f>
        <v/>
      </c>
      <c r="AJ1232" s="152"/>
      <c r="AK1232" s="164" t="str">
        <f>IF(AND($C1231=12,$D1231=Input!$C$6),0,IF($E1232="","",IF($B1232&gt;Input!$C$9,$AC1232*AI1232,0)+AK1233/(1+$L1232)*$R1232))</f>
        <v/>
      </c>
      <c r="AL1232" s="164" t="str">
        <f>IF(AND($C1231=12,$D1231=Input!$C$6),0,IF($E1232="","",IF($B1232&gt;Input!$C$9,0,$AC1232)+AL1233/(1+$L1232)*$R1232))</f>
        <v/>
      </c>
      <c r="AM1232" s="160" t="str">
        <f t="shared" si="403"/>
        <v/>
      </c>
      <c r="AN1232" s="164" t="str">
        <f>IF($E1232="","",IF($B1232&gt;Input!$C$9,$AI1232*$AC1232,$AM1232*$AC1232))</f>
        <v/>
      </c>
      <c r="AO1232" s="164" t="str">
        <f>IF(AND($C1231=12,$D1231=Input!$C$6),0,IF($E1232="","",$AN1232+AO1233/(1+$L1232)*$R1232))</f>
        <v/>
      </c>
      <c r="AP1232" s="152"/>
      <c r="AQ1232" s="150" t="str">
        <f t="shared" si="404"/>
        <v/>
      </c>
      <c r="AR1232" s="150" t="str">
        <f t="shared" si="411"/>
        <v/>
      </c>
      <c r="AS1232" s="150" t="str">
        <f t="shared" si="412"/>
        <v/>
      </c>
      <c r="AT1232" s="150" t="str">
        <f t="shared" si="405"/>
        <v/>
      </c>
      <c r="AU1232" s="152"/>
      <c r="AV1232" s="147" t="str">
        <f>'Deterministic Reserve'!BC1232</f>
        <v/>
      </c>
      <c r="AY1232" s="152"/>
    </row>
    <row r="1233" spans="1:51" s="150" customFormat="1" x14ac:dyDescent="0.25">
      <c r="A1233" s="150" t="str">
        <f t="shared" si="413"/>
        <v/>
      </c>
      <c r="B1233" s="150" t="str">
        <f t="shared" si="414"/>
        <v/>
      </c>
      <c r="C1233" s="150" t="str">
        <f t="shared" si="415"/>
        <v/>
      </c>
      <c r="D1233" s="150" t="str">
        <f>IF(E1233="","",Input!$C$4+B1233-1)</f>
        <v/>
      </c>
      <c r="E1233" s="150" t="str">
        <f>IF(OR(AND(C1232=12,D1232=Input!$C$6),E1232=""),"",1)</f>
        <v/>
      </c>
      <c r="G1233" s="151" t="str">
        <f>IF(E1233="","",MAX(0,Input!$C$9-B1233))</f>
        <v/>
      </c>
      <c r="H1233" s="152" t="str">
        <f>IF(E1233="","",Input!$C$3)</f>
        <v/>
      </c>
      <c r="I1233" s="153" t="str">
        <f>IF(E1233="","",HLOOKUP($B1233,Input!$C$13:$BT$14,2))</f>
        <v/>
      </c>
      <c r="J1233" s="154"/>
      <c r="K1233" s="150" t="str">
        <f>IF($E1233="","",Input!$C$57)</f>
        <v/>
      </c>
      <c r="L1233" s="150" t="str">
        <f t="shared" si="406"/>
        <v/>
      </c>
      <c r="M1233" s="147" t="str">
        <f>IF($E1233="","",VLOOKUP(IF($B1233&lt;=Input!$C$7,$B1233,26),'Mortality Tables'!$A$72:$CA$97,IF($B1233&lt;=Input!$C$7+1,Input!$C$4-16,$D1233-Input!$C$7-16),0)/1000)</f>
        <v/>
      </c>
      <c r="N1233" s="147" t="str">
        <f t="shared" si="397"/>
        <v/>
      </c>
      <c r="O1233" s="157" t="str">
        <f>IF($E1233="","",IF($C1233=12,IF($B1233&lt;Input!$C$9,Input!$C$54,IF($B1233=Input!$C$9,Input!$C$55,Input!$C$56)),0%))</f>
        <v/>
      </c>
      <c r="P1233" s="167" t="str">
        <f>IF($E1233="","",IF($B1233=1,Input!$C$59,IF($B1233&lt;6,Input!$C$60,0%)))</f>
        <v/>
      </c>
      <c r="Q1233" s="162" t="str">
        <f>IF($E1233="","",Input!$C$58)</f>
        <v/>
      </c>
      <c r="R1233" s="156" t="str">
        <f t="shared" si="407"/>
        <v/>
      </c>
      <c r="S1233" s="154" t="str">
        <f t="shared" si="398"/>
        <v/>
      </c>
      <c r="T1233" s="152"/>
      <c r="U1233" s="150" t="str">
        <f t="shared" si="408"/>
        <v/>
      </c>
      <c r="V1233" s="150" t="str">
        <f t="shared" si="409"/>
        <v/>
      </c>
      <c r="W1233" s="168" t="str">
        <f t="shared" si="410"/>
        <v/>
      </c>
      <c r="X1233" s="163" t="str">
        <f t="shared" si="399"/>
        <v/>
      </c>
      <c r="Y1233" s="152"/>
      <c r="Z1233" s="164" t="str">
        <f>IF(AND($C1232=12,$D1232=Input!$C$6),0,IF($E1233="","",V1233+Z1234/(1+L1233)*R1233))</f>
        <v/>
      </c>
      <c r="AA1233" s="164" t="str">
        <f>IF(OR($M1233=1,AND($C1232=12,$D1232=Input!$C$6)),0,IF($E1233="","",W1233+(X1233+AA1234*$R1233)/(1+$L1233)))</f>
        <v/>
      </c>
      <c r="AB1233" s="160" t="str">
        <f t="shared" si="400"/>
        <v/>
      </c>
      <c r="AC1233" s="164" t="str">
        <f t="shared" si="401"/>
        <v/>
      </c>
      <c r="AD1233" s="164" t="str">
        <f>IF(AND($C1232=12,$D1232=Input!$C$6),0,IF($E1233="","",$AC1233+AD1234/(1+$L1233)*$R1233))</f>
        <v/>
      </c>
      <c r="AE1233" s="152"/>
      <c r="AF1233" s="164" t="str">
        <f>IF(AND($C1232=12,$D1232=Input!$C$6),0,IF($E1233="","",IF($B1233&gt;Input!$C$9,$AC1233,0)+AF1234/(1+$L1233)*$R1233))</f>
        <v/>
      </c>
      <c r="AG1233" s="164" t="str">
        <f>IF(AND($C1232=12,$D1232=Input!$C$6),0,IF($E1233="","",(IF($B1233&gt;Input!$C$9,$X1233,0)+AG1234)/(1+$L1233)*$R1233))</f>
        <v/>
      </c>
      <c r="AH1233" s="160" t="str">
        <f t="shared" si="402"/>
        <v/>
      </c>
      <c r="AI1233" s="160" t="str">
        <f>IF($E1233="","",MIN(Input!$C$61/AH1233,1))</f>
        <v/>
      </c>
      <c r="AJ1233" s="152"/>
      <c r="AK1233" s="164" t="str">
        <f>IF(AND($C1232=12,$D1232=Input!$C$6),0,IF($E1233="","",IF($B1233&gt;Input!$C$9,$AC1233*AI1233,0)+AK1234/(1+$L1233)*$R1233))</f>
        <v/>
      </c>
      <c r="AL1233" s="164" t="str">
        <f>IF(AND($C1232=12,$D1232=Input!$C$6),0,IF($E1233="","",IF($B1233&gt;Input!$C$9,0,$AC1233)+AL1234/(1+$L1233)*$R1233))</f>
        <v/>
      </c>
      <c r="AM1233" s="160" t="str">
        <f t="shared" si="403"/>
        <v/>
      </c>
      <c r="AN1233" s="164" t="str">
        <f>IF($E1233="","",IF($B1233&gt;Input!$C$9,$AI1233*$AC1233,$AM1233*$AC1233))</f>
        <v/>
      </c>
      <c r="AO1233" s="164" t="str">
        <f>IF(AND($C1232=12,$D1232=Input!$C$6),0,IF($E1233="","",$AN1233+AO1234/(1+$L1233)*$R1233))</f>
        <v/>
      </c>
      <c r="AP1233" s="152"/>
      <c r="AQ1233" s="150" t="str">
        <f t="shared" si="404"/>
        <v/>
      </c>
      <c r="AR1233" s="150" t="str">
        <f t="shared" si="411"/>
        <v/>
      </c>
      <c r="AS1233" s="150" t="str">
        <f t="shared" si="412"/>
        <v/>
      </c>
      <c r="AT1233" s="150" t="str">
        <f t="shared" si="405"/>
        <v/>
      </c>
      <c r="AU1233" s="152"/>
      <c r="AV1233" s="147" t="str">
        <f>'Deterministic Reserve'!BC1233</f>
        <v/>
      </c>
      <c r="AY1233" s="152"/>
    </row>
    <row r="1234" spans="1:51" s="150" customFormat="1" x14ac:dyDescent="0.25">
      <c r="A1234" s="150" t="str">
        <f t="shared" si="413"/>
        <v/>
      </c>
      <c r="B1234" s="150" t="str">
        <f t="shared" si="414"/>
        <v/>
      </c>
      <c r="C1234" s="150" t="str">
        <f t="shared" si="415"/>
        <v/>
      </c>
      <c r="D1234" s="150" t="str">
        <f>IF(E1234="","",Input!$C$4+B1234-1)</f>
        <v/>
      </c>
      <c r="E1234" s="150" t="str">
        <f>IF(OR(AND(C1233=12,D1233=Input!$C$6),E1233=""),"",1)</f>
        <v/>
      </c>
      <c r="G1234" s="151" t="str">
        <f>IF(E1234="","",MAX(0,Input!$C$9-B1234))</f>
        <v/>
      </c>
      <c r="H1234" s="152" t="str">
        <f>IF(E1234="","",Input!$C$3)</f>
        <v/>
      </c>
      <c r="I1234" s="153" t="str">
        <f>IF(E1234="","",HLOOKUP($B1234,Input!$C$13:$BT$14,2))</f>
        <v/>
      </c>
      <c r="J1234" s="154"/>
      <c r="K1234" s="150" t="str">
        <f>IF($E1234="","",Input!$C$57)</f>
        <v/>
      </c>
      <c r="L1234" s="150" t="str">
        <f t="shared" si="406"/>
        <v/>
      </c>
      <c r="M1234" s="147" t="str">
        <f>IF($E1234="","",VLOOKUP(IF($B1234&lt;=Input!$C$7,$B1234,26),'Mortality Tables'!$A$72:$CA$97,IF($B1234&lt;=Input!$C$7+1,Input!$C$4-16,$D1234-Input!$C$7-16),0)/1000)</f>
        <v/>
      </c>
      <c r="N1234" s="147" t="str">
        <f t="shared" si="397"/>
        <v/>
      </c>
      <c r="O1234" s="157" t="str">
        <f>IF($E1234="","",IF($C1234=12,IF($B1234&lt;Input!$C$9,Input!$C$54,IF($B1234=Input!$C$9,Input!$C$55,Input!$C$56)),0%))</f>
        <v/>
      </c>
      <c r="P1234" s="167" t="str">
        <f>IF($E1234="","",IF($B1234=1,Input!$C$59,IF($B1234&lt;6,Input!$C$60,0%)))</f>
        <v/>
      </c>
      <c r="Q1234" s="162" t="str">
        <f>IF($E1234="","",Input!$C$58)</f>
        <v/>
      </c>
      <c r="R1234" s="156" t="str">
        <f t="shared" si="407"/>
        <v/>
      </c>
      <c r="S1234" s="154" t="str">
        <f t="shared" si="398"/>
        <v/>
      </c>
      <c r="T1234" s="152"/>
      <c r="U1234" s="150" t="str">
        <f t="shared" si="408"/>
        <v/>
      </c>
      <c r="V1234" s="150" t="str">
        <f t="shared" si="409"/>
        <v/>
      </c>
      <c r="W1234" s="168" t="str">
        <f t="shared" si="410"/>
        <v/>
      </c>
      <c r="X1234" s="163" t="str">
        <f t="shared" si="399"/>
        <v/>
      </c>
      <c r="Y1234" s="152"/>
      <c r="Z1234" s="164" t="str">
        <f>IF(AND($C1233=12,$D1233=Input!$C$6),0,IF($E1234="","",V1234+Z1235/(1+L1234)*R1234))</f>
        <v/>
      </c>
      <c r="AA1234" s="164" t="str">
        <f>IF(OR($M1234=1,AND($C1233=12,$D1233=Input!$C$6)),0,IF($E1234="","",W1234+(X1234+AA1235*$R1234)/(1+$L1234)))</f>
        <v/>
      </c>
      <c r="AB1234" s="160" t="str">
        <f t="shared" si="400"/>
        <v/>
      </c>
      <c r="AC1234" s="164" t="str">
        <f t="shared" si="401"/>
        <v/>
      </c>
      <c r="AD1234" s="164" t="str">
        <f>IF(AND($C1233=12,$D1233=Input!$C$6),0,IF($E1234="","",$AC1234+AD1235/(1+$L1234)*$R1234))</f>
        <v/>
      </c>
      <c r="AE1234" s="152"/>
      <c r="AF1234" s="164" t="str">
        <f>IF(AND($C1233=12,$D1233=Input!$C$6),0,IF($E1234="","",IF($B1234&gt;Input!$C$9,$AC1234,0)+AF1235/(1+$L1234)*$R1234))</f>
        <v/>
      </c>
      <c r="AG1234" s="164" t="str">
        <f>IF(AND($C1233=12,$D1233=Input!$C$6),0,IF($E1234="","",(IF($B1234&gt;Input!$C$9,$X1234,0)+AG1235)/(1+$L1234)*$R1234))</f>
        <v/>
      </c>
      <c r="AH1234" s="160" t="str">
        <f t="shared" si="402"/>
        <v/>
      </c>
      <c r="AI1234" s="160" t="str">
        <f>IF($E1234="","",MIN(Input!$C$61/AH1234,1))</f>
        <v/>
      </c>
      <c r="AJ1234" s="152"/>
      <c r="AK1234" s="164" t="str">
        <f>IF(AND($C1233=12,$D1233=Input!$C$6),0,IF($E1234="","",IF($B1234&gt;Input!$C$9,$AC1234*AI1234,0)+AK1235/(1+$L1234)*$R1234))</f>
        <v/>
      </c>
      <c r="AL1234" s="164" t="str">
        <f>IF(AND($C1233=12,$D1233=Input!$C$6),0,IF($E1234="","",IF($B1234&gt;Input!$C$9,0,$AC1234)+AL1235/(1+$L1234)*$R1234))</f>
        <v/>
      </c>
      <c r="AM1234" s="160" t="str">
        <f t="shared" si="403"/>
        <v/>
      </c>
      <c r="AN1234" s="164" t="str">
        <f>IF($E1234="","",IF($B1234&gt;Input!$C$9,$AI1234*$AC1234,$AM1234*$AC1234))</f>
        <v/>
      </c>
      <c r="AO1234" s="164" t="str">
        <f>IF(AND($C1233=12,$D1233=Input!$C$6),0,IF($E1234="","",$AN1234+AO1235/(1+$L1234)*$R1234))</f>
        <v/>
      </c>
      <c r="AP1234" s="152"/>
      <c r="AQ1234" s="150" t="str">
        <f t="shared" si="404"/>
        <v/>
      </c>
      <c r="AR1234" s="150" t="str">
        <f t="shared" si="411"/>
        <v/>
      </c>
      <c r="AS1234" s="150" t="str">
        <f t="shared" si="412"/>
        <v/>
      </c>
      <c r="AT1234" s="150" t="str">
        <f t="shared" si="405"/>
        <v/>
      </c>
      <c r="AU1234" s="152"/>
      <c r="AV1234" s="147" t="str">
        <f>'Deterministic Reserve'!BC1234</f>
        <v/>
      </c>
      <c r="AY1234" s="152"/>
    </row>
    <row r="1235" spans="1:51" s="150" customFormat="1" x14ac:dyDescent="0.25">
      <c r="A1235" s="150" t="str">
        <f t="shared" si="413"/>
        <v/>
      </c>
      <c r="B1235" s="150" t="str">
        <f t="shared" si="414"/>
        <v/>
      </c>
      <c r="C1235" s="150" t="str">
        <f t="shared" si="415"/>
        <v/>
      </c>
      <c r="D1235" s="150" t="str">
        <f>IF(E1235="","",Input!$C$4+B1235-1)</f>
        <v/>
      </c>
      <c r="E1235" s="150" t="str">
        <f>IF(OR(AND(C1234=12,D1234=Input!$C$6),E1234=""),"",1)</f>
        <v/>
      </c>
      <c r="G1235" s="151" t="str">
        <f>IF(E1235="","",MAX(0,Input!$C$9-B1235))</f>
        <v/>
      </c>
      <c r="H1235" s="152" t="str">
        <f>IF(E1235="","",Input!$C$3)</f>
        <v/>
      </c>
      <c r="I1235" s="153" t="str">
        <f>IF(E1235="","",HLOOKUP($B1235,Input!$C$13:$BT$14,2))</f>
        <v/>
      </c>
      <c r="J1235" s="154"/>
      <c r="K1235" s="150" t="str">
        <f>IF($E1235="","",Input!$C$57)</f>
        <v/>
      </c>
      <c r="L1235" s="150" t="str">
        <f t="shared" si="406"/>
        <v/>
      </c>
      <c r="M1235" s="147" t="str">
        <f>IF($E1235="","",VLOOKUP(IF($B1235&lt;=Input!$C$7,$B1235,26),'Mortality Tables'!$A$72:$CA$97,IF($B1235&lt;=Input!$C$7+1,Input!$C$4-16,$D1235-Input!$C$7-16),0)/1000)</f>
        <v/>
      </c>
      <c r="N1235" s="147" t="str">
        <f t="shared" si="397"/>
        <v/>
      </c>
      <c r="O1235" s="157" t="str">
        <f>IF($E1235="","",IF($C1235=12,IF($B1235&lt;Input!$C$9,Input!$C$54,IF($B1235=Input!$C$9,Input!$C$55,Input!$C$56)),0%))</f>
        <v/>
      </c>
      <c r="P1235" s="167" t="str">
        <f>IF($E1235="","",IF($B1235=1,Input!$C$59,IF($B1235&lt;6,Input!$C$60,0%)))</f>
        <v/>
      </c>
      <c r="Q1235" s="162" t="str">
        <f>IF($E1235="","",Input!$C$58)</f>
        <v/>
      </c>
      <c r="R1235" s="156" t="str">
        <f t="shared" si="407"/>
        <v/>
      </c>
      <c r="S1235" s="154" t="str">
        <f t="shared" si="398"/>
        <v/>
      </c>
      <c r="T1235" s="152"/>
      <c r="U1235" s="150" t="str">
        <f t="shared" si="408"/>
        <v/>
      </c>
      <c r="V1235" s="150" t="str">
        <f t="shared" si="409"/>
        <v/>
      </c>
      <c r="W1235" s="168" t="str">
        <f t="shared" si="410"/>
        <v/>
      </c>
      <c r="X1235" s="163" t="str">
        <f t="shared" si="399"/>
        <v/>
      </c>
      <c r="Y1235" s="152"/>
      <c r="Z1235" s="164" t="str">
        <f>IF(AND($C1234=12,$D1234=Input!$C$6),0,IF($E1235="","",V1235+Z1236/(1+L1235)*R1235))</f>
        <v/>
      </c>
      <c r="AA1235" s="164" t="str">
        <f>IF(OR($M1235=1,AND($C1234=12,$D1234=Input!$C$6)),0,IF($E1235="","",W1235+(X1235+AA1236*$R1235)/(1+$L1235)))</f>
        <v/>
      </c>
      <c r="AB1235" s="160" t="str">
        <f t="shared" si="400"/>
        <v/>
      </c>
      <c r="AC1235" s="164" t="str">
        <f t="shared" si="401"/>
        <v/>
      </c>
      <c r="AD1235" s="164" t="str">
        <f>IF(AND($C1234=12,$D1234=Input!$C$6),0,IF($E1235="","",$AC1235+AD1236/(1+$L1235)*$R1235))</f>
        <v/>
      </c>
      <c r="AE1235" s="152"/>
      <c r="AF1235" s="164" t="str">
        <f>IF(AND($C1234=12,$D1234=Input!$C$6),0,IF($E1235="","",IF($B1235&gt;Input!$C$9,$AC1235,0)+AF1236/(1+$L1235)*$R1235))</f>
        <v/>
      </c>
      <c r="AG1235" s="164" t="str">
        <f>IF(AND($C1234=12,$D1234=Input!$C$6),0,IF($E1235="","",(IF($B1235&gt;Input!$C$9,$X1235,0)+AG1236)/(1+$L1235)*$R1235))</f>
        <v/>
      </c>
      <c r="AH1235" s="160" t="str">
        <f t="shared" si="402"/>
        <v/>
      </c>
      <c r="AI1235" s="160" t="str">
        <f>IF($E1235="","",MIN(Input!$C$61/AH1235,1))</f>
        <v/>
      </c>
      <c r="AJ1235" s="152"/>
      <c r="AK1235" s="164" t="str">
        <f>IF(AND($C1234=12,$D1234=Input!$C$6),0,IF($E1235="","",IF($B1235&gt;Input!$C$9,$AC1235*AI1235,0)+AK1236/(1+$L1235)*$R1235))</f>
        <v/>
      </c>
      <c r="AL1235" s="164" t="str">
        <f>IF(AND($C1234=12,$D1234=Input!$C$6),0,IF($E1235="","",IF($B1235&gt;Input!$C$9,0,$AC1235)+AL1236/(1+$L1235)*$R1235))</f>
        <v/>
      </c>
      <c r="AM1235" s="160" t="str">
        <f t="shared" si="403"/>
        <v/>
      </c>
      <c r="AN1235" s="164" t="str">
        <f>IF($E1235="","",IF($B1235&gt;Input!$C$9,$AI1235*$AC1235,$AM1235*$AC1235))</f>
        <v/>
      </c>
      <c r="AO1235" s="164" t="str">
        <f>IF(AND($C1234=12,$D1234=Input!$C$6),0,IF($E1235="","",$AN1235+AO1236/(1+$L1235)*$R1235))</f>
        <v/>
      </c>
      <c r="AP1235" s="152"/>
      <c r="AQ1235" s="150" t="str">
        <f t="shared" si="404"/>
        <v/>
      </c>
      <c r="AR1235" s="150" t="str">
        <f t="shared" si="411"/>
        <v/>
      </c>
      <c r="AS1235" s="150" t="str">
        <f t="shared" si="412"/>
        <v/>
      </c>
      <c r="AT1235" s="150" t="str">
        <f t="shared" si="405"/>
        <v/>
      </c>
      <c r="AU1235" s="152"/>
      <c r="AV1235" s="147" t="str">
        <f>'Deterministic Reserve'!BC1235</f>
        <v/>
      </c>
      <c r="AY1235" s="152"/>
    </row>
    <row r="1236" spans="1:51" s="150" customFormat="1" x14ac:dyDescent="0.25">
      <c r="A1236" s="150" t="str">
        <f t="shared" si="413"/>
        <v/>
      </c>
      <c r="B1236" s="150" t="str">
        <f t="shared" si="414"/>
        <v/>
      </c>
      <c r="C1236" s="150" t="str">
        <f t="shared" si="415"/>
        <v/>
      </c>
      <c r="D1236" s="150" t="str">
        <f>IF(E1236="","",Input!$C$4+B1236-1)</f>
        <v/>
      </c>
      <c r="E1236" s="150" t="str">
        <f>IF(OR(AND(C1235=12,D1235=Input!$C$6),E1235=""),"",1)</f>
        <v/>
      </c>
      <c r="G1236" s="151" t="str">
        <f>IF(E1236="","",MAX(0,Input!$C$9-B1236))</f>
        <v/>
      </c>
      <c r="H1236" s="152" t="str">
        <f>IF(E1236="","",Input!$C$3)</f>
        <v/>
      </c>
      <c r="I1236" s="153" t="str">
        <f>IF(E1236="","",HLOOKUP($B1236,Input!$C$13:$BT$14,2))</f>
        <v/>
      </c>
      <c r="J1236" s="154"/>
      <c r="K1236" s="150" t="str">
        <f>IF($E1236="","",Input!$C$57)</f>
        <v/>
      </c>
      <c r="L1236" s="150" t="str">
        <f t="shared" si="406"/>
        <v/>
      </c>
      <c r="M1236" s="147" t="str">
        <f>IF($E1236="","",VLOOKUP(IF($B1236&lt;=Input!$C$7,$B1236,26),'Mortality Tables'!$A$72:$CA$97,IF($B1236&lt;=Input!$C$7+1,Input!$C$4-16,$D1236-Input!$C$7-16),0)/1000)</f>
        <v/>
      </c>
      <c r="N1236" s="147" t="str">
        <f t="shared" si="397"/>
        <v/>
      </c>
      <c r="O1236" s="157" t="str">
        <f>IF($E1236="","",IF($C1236=12,IF($B1236&lt;Input!$C$9,Input!$C$54,IF($B1236=Input!$C$9,Input!$C$55,Input!$C$56)),0%))</f>
        <v/>
      </c>
      <c r="P1236" s="167" t="str">
        <f>IF($E1236="","",IF($B1236=1,Input!$C$59,IF($B1236&lt;6,Input!$C$60,0%)))</f>
        <v/>
      </c>
      <c r="Q1236" s="162" t="str">
        <f>IF($E1236="","",Input!$C$58)</f>
        <v/>
      </c>
      <c r="R1236" s="156" t="str">
        <f t="shared" si="407"/>
        <v/>
      </c>
      <c r="S1236" s="154" t="str">
        <f t="shared" si="398"/>
        <v/>
      </c>
      <c r="T1236" s="152"/>
      <c r="U1236" s="150" t="str">
        <f t="shared" si="408"/>
        <v/>
      </c>
      <c r="V1236" s="150" t="str">
        <f t="shared" si="409"/>
        <v/>
      </c>
      <c r="W1236" s="168" t="str">
        <f t="shared" si="410"/>
        <v/>
      </c>
      <c r="X1236" s="163" t="str">
        <f t="shared" si="399"/>
        <v/>
      </c>
      <c r="Y1236" s="152"/>
      <c r="Z1236" s="164" t="str">
        <f>IF(AND($C1235=12,$D1235=Input!$C$6),0,IF($E1236="","",V1236+Z1237/(1+L1236)*R1236))</f>
        <v/>
      </c>
      <c r="AA1236" s="164" t="str">
        <f>IF(OR($M1236=1,AND($C1235=12,$D1235=Input!$C$6)),0,IF($E1236="","",W1236+(X1236+AA1237*$R1236)/(1+$L1236)))</f>
        <v/>
      </c>
      <c r="AB1236" s="160" t="str">
        <f t="shared" si="400"/>
        <v/>
      </c>
      <c r="AC1236" s="164" t="str">
        <f t="shared" si="401"/>
        <v/>
      </c>
      <c r="AD1236" s="164" t="str">
        <f>IF(AND($C1235=12,$D1235=Input!$C$6),0,IF($E1236="","",$AC1236+AD1237/(1+$L1236)*$R1236))</f>
        <v/>
      </c>
      <c r="AE1236" s="152"/>
      <c r="AF1236" s="164" t="str">
        <f>IF(AND($C1235=12,$D1235=Input!$C$6),0,IF($E1236="","",IF($B1236&gt;Input!$C$9,$AC1236,0)+AF1237/(1+$L1236)*$R1236))</f>
        <v/>
      </c>
      <c r="AG1236" s="164" t="str">
        <f>IF(AND($C1235=12,$D1235=Input!$C$6),0,IF($E1236="","",(IF($B1236&gt;Input!$C$9,$X1236,0)+AG1237)/(1+$L1236)*$R1236))</f>
        <v/>
      </c>
      <c r="AH1236" s="160" t="str">
        <f t="shared" si="402"/>
        <v/>
      </c>
      <c r="AI1236" s="160" t="str">
        <f>IF($E1236="","",MIN(Input!$C$61/AH1236,1))</f>
        <v/>
      </c>
      <c r="AJ1236" s="152"/>
      <c r="AK1236" s="164" t="str">
        <f>IF(AND($C1235=12,$D1235=Input!$C$6),0,IF($E1236="","",IF($B1236&gt;Input!$C$9,$AC1236*AI1236,0)+AK1237/(1+$L1236)*$R1236))</f>
        <v/>
      </c>
      <c r="AL1236" s="164" t="str">
        <f>IF(AND($C1235=12,$D1235=Input!$C$6),0,IF($E1236="","",IF($B1236&gt;Input!$C$9,0,$AC1236)+AL1237/(1+$L1236)*$R1236))</f>
        <v/>
      </c>
      <c r="AM1236" s="160" t="str">
        <f t="shared" si="403"/>
        <v/>
      </c>
      <c r="AN1236" s="164" t="str">
        <f>IF($E1236="","",IF($B1236&gt;Input!$C$9,$AI1236*$AC1236,$AM1236*$AC1236))</f>
        <v/>
      </c>
      <c r="AO1236" s="164" t="str">
        <f>IF(AND($C1235=12,$D1235=Input!$C$6),0,IF($E1236="","",$AN1236+AO1237/(1+$L1236)*$R1236))</f>
        <v/>
      </c>
      <c r="AP1236" s="152"/>
      <c r="AQ1236" s="150" t="str">
        <f t="shared" si="404"/>
        <v/>
      </c>
      <c r="AR1236" s="150" t="str">
        <f t="shared" si="411"/>
        <v/>
      </c>
      <c r="AS1236" s="150" t="str">
        <f t="shared" si="412"/>
        <v/>
      </c>
      <c r="AT1236" s="150" t="str">
        <f t="shared" si="405"/>
        <v/>
      </c>
      <c r="AU1236" s="152"/>
      <c r="AV1236" s="147" t="str">
        <f>'Deterministic Reserve'!BC1236</f>
        <v/>
      </c>
      <c r="AY1236" s="152"/>
    </row>
    <row r="1237" spans="1:51" s="150" customFormat="1" x14ac:dyDescent="0.25">
      <c r="A1237" s="150" t="str">
        <f t="shared" si="413"/>
        <v/>
      </c>
      <c r="B1237" s="150" t="str">
        <f t="shared" si="414"/>
        <v/>
      </c>
      <c r="C1237" s="150" t="str">
        <f t="shared" si="415"/>
        <v/>
      </c>
      <c r="D1237" s="150" t="str">
        <f>IF(E1237="","",Input!$C$4+B1237-1)</f>
        <v/>
      </c>
      <c r="E1237" s="150" t="str">
        <f>IF(OR(AND(C1236=12,D1236=Input!$C$6),E1236=""),"",1)</f>
        <v/>
      </c>
      <c r="G1237" s="151" t="str">
        <f>IF(E1237="","",MAX(0,Input!$C$9-B1237))</f>
        <v/>
      </c>
      <c r="H1237" s="152" t="str">
        <f>IF(E1237="","",Input!$C$3)</f>
        <v/>
      </c>
      <c r="I1237" s="153" t="str">
        <f>IF(E1237="","",HLOOKUP($B1237,Input!$C$13:$BT$14,2))</f>
        <v/>
      </c>
      <c r="J1237" s="154"/>
      <c r="K1237" s="150" t="str">
        <f>IF($E1237="","",Input!$C$57)</f>
        <v/>
      </c>
      <c r="L1237" s="150" t="str">
        <f t="shared" si="406"/>
        <v/>
      </c>
      <c r="M1237" s="147" t="str">
        <f>IF($E1237="","",VLOOKUP(IF($B1237&lt;=Input!$C$7,$B1237,26),'Mortality Tables'!$A$72:$CA$97,IF($B1237&lt;=Input!$C$7+1,Input!$C$4-16,$D1237-Input!$C$7-16),0)/1000)</f>
        <v/>
      </c>
      <c r="N1237" s="147" t="str">
        <f t="shared" si="397"/>
        <v/>
      </c>
      <c r="O1237" s="157" t="str">
        <f>IF($E1237="","",IF($C1237=12,IF($B1237&lt;Input!$C$9,Input!$C$54,IF($B1237=Input!$C$9,Input!$C$55,Input!$C$56)),0%))</f>
        <v/>
      </c>
      <c r="P1237" s="167" t="str">
        <f>IF($E1237="","",IF($B1237=1,Input!$C$59,IF($B1237&lt;6,Input!$C$60,0%)))</f>
        <v/>
      </c>
      <c r="Q1237" s="162" t="str">
        <f>IF($E1237="","",Input!$C$58)</f>
        <v/>
      </c>
      <c r="R1237" s="156" t="str">
        <f t="shared" si="407"/>
        <v/>
      </c>
      <c r="S1237" s="154" t="str">
        <f t="shared" si="398"/>
        <v/>
      </c>
      <c r="T1237" s="152"/>
      <c r="U1237" s="150" t="str">
        <f t="shared" si="408"/>
        <v/>
      </c>
      <c r="V1237" s="150" t="str">
        <f t="shared" si="409"/>
        <v/>
      </c>
      <c r="W1237" s="168" t="str">
        <f t="shared" si="410"/>
        <v/>
      </c>
      <c r="X1237" s="163" t="str">
        <f t="shared" si="399"/>
        <v/>
      </c>
      <c r="Y1237" s="152"/>
      <c r="Z1237" s="164" t="str">
        <f>IF(AND($C1236=12,$D1236=Input!$C$6),0,IF($E1237="","",V1237+Z1238/(1+L1237)*R1237))</f>
        <v/>
      </c>
      <c r="AA1237" s="164" t="str">
        <f>IF(OR($M1237=1,AND($C1236=12,$D1236=Input!$C$6)),0,IF($E1237="","",W1237+(X1237+AA1238*$R1237)/(1+$L1237)))</f>
        <v/>
      </c>
      <c r="AB1237" s="160" t="str">
        <f t="shared" si="400"/>
        <v/>
      </c>
      <c r="AC1237" s="164" t="str">
        <f t="shared" si="401"/>
        <v/>
      </c>
      <c r="AD1237" s="164" t="str">
        <f>IF(AND($C1236=12,$D1236=Input!$C$6),0,IF($E1237="","",$AC1237+AD1238/(1+$L1237)*$R1237))</f>
        <v/>
      </c>
      <c r="AE1237" s="152"/>
      <c r="AF1237" s="164" t="str">
        <f>IF(AND($C1236=12,$D1236=Input!$C$6),0,IF($E1237="","",IF($B1237&gt;Input!$C$9,$AC1237,0)+AF1238/(1+$L1237)*$R1237))</f>
        <v/>
      </c>
      <c r="AG1237" s="164" t="str">
        <f>IF(AND($C1236=12,$D1236=Input!$C$6),0,IF($E1237="","",(IF($B1237&gt;Input!$C$9,$X1237,0)+AG1238)/(1+$L1237)*$R1237))</f>
        <v/>
      </c>
      <c r="AH1237" s="160" t="str">
        <f t="shared" si="402"/>
        <v/>
      </c>
      <c r="AI1237" s="160" t="str">
        <f>IF($E1237="","",MIN(Input!$C$61/AH1237,1))</f>
        <v/>
      </c>
      <c r="AJ1237" s="152"/>
      <c r="AK1237" s="164" t="str">
        <f>IF(AND($C1236=12,$D1236=Input!$C$6),0,IF($E1237="","",IF($B1237&gt;Input!$C$9,$AC1237*AI1237,0)+AK1238/(1+$L1237)*$R1237))</f>
        <v/>
      </c>
      <c r="AL1237" s="164" t="str">
        <f>IF(AND($C1236=12,$D1236=Input!$C$6),0,IF($E1237="","",IF($B1237&gt;Input!$C$9,0,$AC1237)+AL1238/(1+$L1237)*$R1237))</f>
        <v/>
      </c>
      <c r="AM1237" s="160" t="str">
        <f t="shared" si="403"/>
        <v/>
      </c>
      <c r="AN1237" s="164" t="str">
        <f>IF($E1237="","",IF($B1237&gt;Input!$C$9,$AI1237*$AC1237,$AM1237*$AC1237))</f>
        <v/>
      </c>
      <c r="AO1237" s="164" t="str">
        <f>IF(AND($C1236=12,$D1236=Input!$C$6),0,IF($E1237="","",$AN1237+AO1238/(1+$L1237)*$R1237))</f>
        <v/>
      </c>
      <c r="AP1237" s="152"/>
      <c r="AQ1237" s="150" t="str">
        <f t="shared" si="404"/>
        <v/>
      </c>
      <c r="AR1237" s="150" t="str">
        <f t="shared" si="411"/>
        <v/>
      </c>
      <c r="AS1237" s="150" t="str">
        <f t="shared" si="412"/>
        <v/>
      </c>
      <c r="AT1237" s="150" t="str">
        <f t="shared" si="405"/>
        <v/>
      </c>
      <c r="AU1237" s="152"/>
      <c r="AV1237" s="147" t="str">
        <f>'Deterministic Reserve'!BC1237</f>
        <v/>
      </c>
      <c r="AY1237" s="152"/>
    </row>
    <row r="1238" spans="1:51" s="150" customFormat="1" x14ac:dyDescent="0.25">
      <c r="A1238" s="150" t="str">
        <f t="shared" si="413"/>
        <v/>
      </c>
      <c r="B1238" s="150" t="str">
        <f t="shared" si="414"/>
        <v/>
      </c>
      <c r="C1238" s="150" t="str">
        <f t="shared" si="415"/>
        <v/>
      </c>
      <c r="D1238" s="150" t="str">
        <f>IF(E1238="","",Input!$C$4+B1238-1)</f>
        <v/>
      </c>
      <c r="E1238" s="150" t="str">
        <f>IF(OR(AND(C1237=12,D1237=Input!$C$6),E1237=""),"",1)</f>
        <v/>
      </c>
      <c r="G1238" s="151" t="str">
        <f>IF(E1238="","",MAX(0,Input!$C$9-B1238))</f>
        <v/>
      </c>
      <c r="H1238" s="152" t="str">
        <f>IF(E1238="","",Input!$C$3)</f>
        <v/>
      </c>
      <c r="I1238" s="153" t="str">
        <f>IF(E1238="","",HLOOKUP($B1238,Input!$C$13:$BT$14,2))</f>
        <v/>
      </c>
      <c r="J1238" s="154"/>
      <c r="K1238" s="150" t="str">
        <f>IF($E1238="","",Input!$C$57)</f>
        <v/>
      </c>
      <c r="L1238" s="150" t="str">
        <f t="shared" si="406"/>
        <v/>
      </c>
      <c r="M1238" s="147" t="str">
        <f>IF($E1238="","",VLOOKUP(IF($B1238&lt;=Input!$C$7,$B1238,26),'Mortality Tables'!$A$72:$CA$97,IF($B1238&lt;=Input!$C$7+1,Input!$C$4-16,$D1238-Input!$C$7-16),0)/1000)</f>
        <v/>
      </c>
      <c r="N1238" s="147" t="str">
        <f t="shared" si="397"/>
        <v/>
      </c>
      <c r="O1238" s="157" t="str">
        <f>IF($E1238="","",IF($C1238=12,IF($B1238&lt;Input!$C$9,Input!$C$54,IF($B1238=Input!$C$9,Input!$C$55,Input!$C$56)),0%))</f>
        <v/>
      </c>
      <c r="P1238" s="167" t="str">
        <f>IF($E1238="","",IF($B1238=1,Input!$C$59,IF($B1238&lt;6,Input!$C$60,0%)))</f>
        <v/>
      </c>
      <c r="Q1238" s="162" t="str">
        <f>IF($E1238="","",Input!$C$58)</f>
        <v/>
      </c>
      <c r="R1238" s="156" t="str">
        <f t="shared" si="407"/>
        <v/>
      </c>
      <c r="S1238" s="154" t="str">
        <f t="shared" si="398"/>
        <v/>
      </c>
      <c r="T1238" s="152"/>
      <c r="U1238" s="150" t="str">
        <f t="shared" si="408"/>
        <v/>
      </c>
      <c r="V1238" s="150" t="str">
        <f t="shared" si="409"/>
        <v/>
      </c>
      <c r="W1238" s="168" t="str">
        <f t="shared" si="410"/>
        <v/>
      </c>
      <c r="X1238" s="163" t="str">
        <f t="shared" si="399"/>
        <v/>
      </c>
      <c r="Y1238" s="152"/>
      <c r="Z1238" s="164" t="str">
        <f>IF(AND($C1237=12,$D1237=Input!$C$6),0,IF($E1238="","",V1238+Z1239/(1+L1238)*R1238))</f>
        <v/>
      </c>
      <c r="AA1238" s="164" t="str">
        <f>IF(OR($M1238=1,AND($C1237=12,$D1237=Input!$C$6)),0,IF($E1238="","",W1238+(X1238+AA1239*$R1238)/(1+$L1238)))</f>
        <v/>
      </c>
      <c r="AB1238" s="160" t="str">
        <f t="shared" si="400"/>
        <v/>
      </c>
      <c r="AC1238" s="164" t="str">
        <f t="shared" si="401"/>
        <v/>
      </c>
      <c r="AD1238" s="164" t="str">
        <f>IF(AND($C1237=12,$D1237=Input!$C$6),0,IF($E1238="","",$AC1238+AD1239/(1+$L1238)*$R1238))</f>
        <v/>
      </c>
      <c r="AE1238" s="152"/>
      <c r="AF1238" s="164" t="str">
        <f>IF(AND($C1237=12,$D1237=Input!$C$6),0,IF($E1238="","",IF($B1238&gt;Input!$C$9,$AC1238,0)+AF1239/(1+$L1238)*$R1238))</f>
        <v/>
      </c>
      <c r="AG1238" s="164" t="str">
        <f>IF(AND($C1237=12,$D1237=Input!$C$6),0,IF($E1238="","",(IF($B1238&gt;Input!$C$9,$X1238,0)+AG1239)/(1+$L1238)*$R1238))</f>
        <v/>
      </c>
      <c r="AH1238" s="160" t="str">
        <f t="shared" si="402"/>
        <v/>
      </c>
      <c r="AI1238" s="160" t="str">
        <f>IF($E1238="","",MIN(Input!$C$61/AH1238,1))</f>
        <v/>
      </c>
      <c r="AJ1238" s="152"/>
      <c r="AK1238" s="164" t="str">
        <f>IF(AND($C1237=12,$D1237=Input!$C$6),0,IF($E1238="","",IF($B1238&gt;Input!$C$9,$AC1238*AI1238,0)+AK1239/(1+$L1238)*$R1238))</f>
        <v/>
      </c>
      <c r="AL1238" s="164" t="str">
        <f>IF(AND($C1237=12,$D1237=Input!$C$6),0,IF($E1238="","",IF($B1238&gt;Input!$C$9,0,$AC1238)+AL1239/(1+$L1238)*$R1238))</f>
        <v/>
      </c>
      <c r="AM1238" s="160" t="str">
        <f t="shared" si="403"/>
        <v/>
      </c>
      <c r="AN1238" s="164" t="str">
        <f>IF($E1238="","",IF($B1238&gt;Input!$C$9,$AI1238*$AC1238,$AM1238*$AC1238))</f>
        <v/>
      </c>
      <c r="AO1238" s="164" t="str">
        <f>IF(AND($C1237=12,$D1237=Input!$C$6),0,IF($E1238="","",$AN1238+AO1239/(1+$L1238)*$R1238))</f>
        <v/>
      </c>
      <c r="AP1238" s="152"/>
      <c r="AQ1238" s="150" t="str">
        <f t="shared" si="404"/>
        <v/>
      </c>
      <c r="AR1238" s="150" t="str">
        <f t="shared" si="411"/>
        <v/>
      </c>
      <c r="AS1238" s="150" t="str">
        <f t="shared" si="412"/>
        <v/>
      </c>
      <c r="AT1238" s="150" t="str">
        <f t="shared" si="405"/>
        <v/>
      </c>
      <c r="AU1238" s="152"/>
      <c r="AV1238" s="147" t="str">
        <f>'Deterministic Reserve'!BC1238</f>
        <v/>
      </c>
      <c r="AY1238" s="152"/>
    </row>
    <row r="1239" spans="1:51" s="150" customFormat="1" x14ac:dyDescent="0.25">
      <c r="A1239" s="150" t="str">
        <f t="shared" si="413"/>
        <v/>
      </c>
      <c r="B1239" s="150" t="str">
        <f t="shared" si="414"/>
        <v/>
      </c>
      <c r="C1239" s="150" t="str">
        <f t="shared" si="415"/>
        <v/>
      </c>
      <c r="D1239" s="150" t="str">
        <f>IF(E1239="","",Input!$C$4+B1239-1)</f>
        <v/>
      </c>
      <c r="E1239" s="150" t="str">
        <f>IF(OR(AND(C1238=12,D1238=Input!$C$6),E1238=""),"",1)</f>
        <v/>
      </c>
      <c r="G1239" s="151" t="str">
        <f>IF(E1239="","",MAX(0,Input!$C$9-B1239))</f>
        <v/>
      </c>
      <c r="H1239" s="152" t="str">
        <f>IF(E1239="","",Input!$C$3)</f>
        <v/>
      </c>
      <c r="I1239" s="153" t="str">
        <f>IF(E1239="","",HLOOKUP($B1239,Input!$C$13:$BT$14,2))</f>
        <v/>
      </c>
      <c r="J1239" s="154"/>
      <c r="K1239" s="150" t="str">
        <f>IF($E1239="","",Input!$C$57)</f>
        <v/>
      </c>
      <c r="L1239" s="150" t="str">
        <f t="shared" si="406"/>
        <v/>
      </c>
      <c r="M1239" s="147" t="str">
        <f>IF($E1239="","",VLOOKUP(IF($B1239&lt;=Input!$C$7,$B1239,26),'Mortality Tables'!$A$72:$CA$97,IF($B1239&lt;=Input!$C$7+1,Input!$C$4-16,$D1239-Input!$C$7-16),0)/1000)</f>
        <v/>
      </c>
      <c r="N1239" s="147" t="str">
        <f t="shared" si="397"/>
        <v/>
      </c>
      <c r="O1239" s="157" t="str">
        <f>IF($E1239="","",IF($C1239=12,IF($B1239&lt;Input!$C$9,Input!$C$54,IF($B1239=Input!$C$9,Input!$C$55,Input!$C$56)),0%))</f>
        <v/>
      </c>
      <c r="P1239" s="167" t="str">
        <f>IF($E1239="","",IF($B1239=1,Input!$C$59,IF($B1239&lt;6,Input!$C$60,0%)))</f>
        <v/>
      </c>
      <c r="Q1239" s="162" t="str">
        <f>IF($E1239="","",Input!$C$58)</f>
        <v/>
      </c>
      <c r="R1239" s="156" t="str">
        <f t="shared" si="407"/>
        <v/>
      </c>
      <c r="S1239" s="154" t="str">
        <f t="shared" si="398"/>
        <v/>
      </c>
      <c r="T1239" s="152"/>
      <c r="U1239" s="150" t="str">
        <f t="shared" si="408"/>
        <v/>
      </c>
      <c r="V1239" s="150" t="str">
        <f t="shared" si="409"/>
        <v/>
      </c>
      <c r="W1239" s="168" t="str">
        <f t="shared" si="410"/>
        <v/>
      </c>
      <c r="X1239" s="163" t="str">
        <f t="shared" si="399"/>
        <v/>
      </c>
      <c r="Y1239" s="152"/>
      <c r="Z1239" s="164" t="str">
        <f>IF(AND($C1238=12,$D1238=Input!$C$6),0,IF($E1239="","",V1239+Z1240/(1+L1239)*R1239))</f>
        <v/>
      </c>
      <c r="AA1239" s="164" t="str">
        <f>IF(OR($M1239=1,AND($C1238=12,$D1238=Input!$C$6)),0,IF($E1239="","",W1239+(X1239+AA1240*$R1239)/(1+$L1239)))</f>
        <v/>
      </c>
      <c r="AB1239" s="160" t="str">
        <f t="shared" si="400"/>
        <v/>
      </c>
      <c r="AC1239" s="164" t="str">
        <f t="shared" si="401"/>
        <v/>
      </c>
      <c r="AD1239" s="164" t="str">
        <f>IF(AND($C1238=12,$D1238=Input!$C$6),0,IF($E1239="","",$AC1239+AD1240/(1+$L1239)*$R1239))</f>
        <v/>
      </c>
      <c r="AE1239" s="152"/>
      <c r="AF1239" s="164" t="str">
        <f>IF(AND($C1238=12,$D1238=Input!$C$6),0,IF($E1239="","",IF($B1239&gt;Input!$C$9,$AC1239,0)+AF1240/(1+$L1239)*$R1239))</f>
        <v/>
      </c>
      <c r="AG1239" s="164" t="str">
        <f>IF(AND($C1238=12,$D1238=Input!$C$6),0,IF($E1239="","",(IF($B1239&gt;Input!$C$9,$X1239,0)+AG1240)/(1+$L1239)*$R1239))</f>
        <v/>
      </c>
      <c r="AH1239" s="160" t="str">
        <f t="shared" si="402"/>
        <v/>
      </c>
      <c r="AI1239" s="160" t="str">
        <f>IF($E1239="","",MIN(Input!$C$61/AH1239,1))</f>
        <v/>
      </c>
      <c r="AJ1239" s="152"/>
      <c r="AK1239" s="164" t="str">
        <f>IF(AND($C1238=12,$D1238=Input!$C$6),0,IF($E1239="","",IF($B1239&gt;Input!$C$9,$AC1239*AI1239,0)+AK1240/(1+$L1239)*$R1239))</f>
        <v/>
      </c>
      <c r="AL1239" s="164" t="str">
        <f>IF(AND($C1238=12,$D1238=Input!$C$6),0,IF($E1239="","",IF($B1239&gt;Input!$C$9,0,$AC1239)+AL1240/(1+$L1239)*$R1239))</f>
        <v/>
      </c>
      <c r="AM1239" s="160" t="str">
        <f t="shared" si="403"/>
        <v/>
      </c>
      <c r="AN1239" s="164" t="str">
        <f>IF($E1239="","",IF($B1239&gt;Input!$C$9,$AI1239*$AC1239,$AM1239*$AC1239))</f>
        <v/>
      </c>
      <c r="AO1239" s="164" t="str">
        <f>IF(AND($C1238=12,$D1238=Input!$C$6),0,IF($E1239="","",$AN1239+AO1240/(1+$L1239)*$R1239))</f>
        <v/>
      </c>
      <c r="AP1239" s="152"/>
      <c r="AQ1239" s="150" t="str">
        <f t="shared" si="404"/>
        <v/>
      </c>
      <c r="AR1239" s="150" t="str">
        <f t="shared" si="411"/>
        <v/>
      </c>
      <c r="AS1239" s="150" t="str">
        <f t="shared" si="412"/>
        <v/>
      </c>
      <c r="AT1239" s="150" t="str">
        <f t="shared" si="405"/>
        <v/>
      </c>
      <c r="AU1239" s="152"/>
      <c r="AV1239" s="147" t="str">
        <f>'Deterministic Reserve'!BC1239</f>
        <v/>
      </c>
      <c r="AY1239" s="152"/>
    </row>
    <row r="1240" spans="1:51" s="150" customFormat="1" x14ac:dyDescent="0.25">
      <c r="A1240" s="150" t="str">
        <f t="shared" si="413"/>
        <v/>
      </c>
      <c r="B1240" s="150" t="str">
        <f t="shared" si="414"/>
        <v/>
      </c>
      <c r="C1240" s="150" t="str">
        <f t="shared" si="415"/>
        <v/>
      </c>
      <c r="D1240" s="150" t="str">
        <f>IF(E1240="","",Input!$C$4+B1240-1)</f>
        <v/>
      </c>
      <c r="E1240" s="150" t="str">
        <f>IF(OR(AND(C1239=12,D1239=Input!$C$6),E1239=""),"",1)</f>
        <v/>
      </c>
      <c r="G1240" s="151" t="str">
        <f>IF(E1240="","",MAX(0,Input!$C$9-B1240))</f>
        <v/>
      </c>
      <c r="H1240" s="152" t="str">
        <f>IF(E1240="","",Input!$C$3)</f>
        <v/>
      </c>
      <c r="I1240" s="153" t="str">
        <f>IF(E1240="","",HLOOKUP($B1240,Input!$C$13:$BT$14,2))</f>
        <v/>
      </c>
      <c r="J1240" s="154"/>
      <c r="K1240" s="150" t="str">
        <f>IF($E1240="","",Input!$C$57)</f>
        <v/>
      </c>
      <c r="L1240" s="150" t="str">
        <f t="shared" si="406"/>
        <v/>
      </c>
      <c r="M1240" s="147" t="str">
        <f>IF($E1240="","",VLOOKUP(IF($B1240&lt;=Input!$C$7,$B1240,26),'Mortality Tables'!$A$72:$CA$97,IF($B1240&lt;=Input!$C$7+1,Input!$C$4-16,$D1240-Input!$C$7-16),0)/1000)</f>
        <v/>
      </c>
      <c r="N1240" s="147" t="str">
        <f t="shared" si="397"/>
        <v/>
      </c>
      <c r="O1240" s="157" t="str">
        <f>IF($E1240="","",IF($C1240=12,IF($B1240&lt;Input!$C$9,Input!$C$54,IF($B1240=Input!$C$9,Input!$C$55,Input!$C$56)),0%))</f>
        <v/>
      </c>
      <c r="P1240" s="167" t="str">
        <f>IF($E1240="","",IF($B1240=1,Input!$C$59,IF($B1240&lt;6,Input!$C$60,0%)))</f>
        <v/>
      </c>
      <c r="Q1240" s="162" t="str">
        <f>IF($E1240="","",Input!$C$58)</f>
        <v/>
      </c>
      <c r="R1240" s="156" t="str">
        <f t="shared" si="407"/>
        <v/>
      </c>
      <c r="S1240" s="154" t="str">
        <f t="shared" si="398"/>
        <v/>
      </c>
      <c r="T1240" s="152"/>
      <c r="U1240" s="150" t="str">
        <f t="shared" si="408"/>
        <v/>
      </c>
      <c r="V1240" s="150" t="str">
        <f t="shared" si="409"/>
        <v/>
      </c>
      <c r="W1240" s="168" t="str">
        <f t="shared" si="410"/>
        <v/>
      </c>
      <c r="X1240" s="163" t="str">
        <f t="shared" si="399"/>
        <v/>
      </c>
      <c r="Y1240" s="152"/>
      <c r="Z1240" s="164" t="str">
        <f>IF(AND($C1239=12,$D1239=Input!$C$6),0,IF($E1240="","",V1240+Z1241/(1+L1240)*R1240))</f>
        <v/>
      </c>
      <c r="AA1240" s="164" t="str">
        <f>IF(OR($M1240=1,AND($C1239=12,$D1239=Input!$C$6)),0,IF($E1240="","",W1240+(X1240+AA1241*$R1240)/(1+$L1240)))</f>
        <v/>
      </c>
      <c r="AB1240" s="160" t="str">
        <f t="shared" si="400"/>
        <v/>
      </c>
      <c r="AC1240" s="164" t="str">
        <f t="shared" si="401"/>
        <v/>
      </c>
      <c r="AD1240" s="164" t="str">
        <f>IF(AND($C1239=12,$D1239=Input!$C$6),0,IF($E1240="","",$AC1240+AD1241/(1+$L1240)*$R1240))</f>
        <v/>
      </c>
      <c r="AE1240" s="152"/>
      <c r="AF1240" s="164" t="str">
        <f>IF(AND($C1239=12,$D1239=Input!$C$6),0,IF($E1240="","",IF($B1240&gt;Input!$C$9,$AC1240,0)+AF1241/(1+$L1240)*$R1240))</f>
        <v/>
      </c>
      <c r="AG1240" s="164" t="str">
        <f>IF(AND($C1239=12,$D1239=Input!$C$6),0,IF($E1240="","",(IF($B1240&gt;Input!$C$9,$X1240,0)+AG1241)/(1+$L1240)*$R1240))</f>
        <v/>
      </c>
      <c r="AH1240" s="160" t="str">
        <f t="shared" si="402"/>
        <v/>
      </c>
      <c r="AI1240" s="160" t="str">
        <f>IF($E1240="","",MIN(Input!$C$61/AH1240,1))</f>
        <v/>
      </c>
      <c r="AJ1240" s="152"/>
      <c r="AK1240" s="164" t="str">
        <f>IF(AND($C1239=12,$D1239=Input!$C$6),0,IF($E1240="","",IF($B1240&gt;Input!$C$9,$AC1240*AI1240,0)+AK1241/(1+$L1240)*$R1240))</f>
        <v/>
      </c>
      <c r="AL1240" s="164" t="str">
        <f>IF(AND($C1239=12,$D1239=Input!$C$6),0,IF($E1240="","",IF($B1240&gt;Input!$C$9,0,$AC1240)+AL1241/(1+$L1240)*$R1240))</f>
        <v/>
      </c>
      <c r="AM1240" s="160" t="str">
        <f t="shared" si="403"/>
        <v/>
      </c>
      <c r="AN1240" s="164" t="str">
        <f>IF($E1240="","",IF($B1240&gt;Input!$C$9,$AI1240*$AC1240,$AM1240*$AC1240))</f>
        <v/>
      </c>
      <c r="AO1240" s="164" t="str">
        <f>IF(AND($C1239=12,$D1239=Input!$C$6),0,IF($E1240="","",$AN1240+AO1241/(1+$L1240)*$R1240))</f>
        <v/>
      </c>
      <c r="AP1240" s="152"/>
      <c r="AQ1240" s="150" t="str">
        <f t="shared" si="404"/>
        <v/>
      </c>
      <c r="AR1240" s="150" t="str">
        <f t="shared" si="411"/>
        <v/>
      </c>
      <c r="AS1240" s="150" t="str">
        <f t="shared" si="412"/>
        <v/>
      </c>
      <c r="AT1240" s="150" t="str">
        <f t="shared" si="405"/>
        <v/>
      </c>
      <c r="AU1240" s="152"/>
      <c r="AV1240" s="147" t="str">
        <f>'Deterministic Reserve'!BC1240</f>
        <v/>
      </c>
      <c r="AY1240" s="152"/>
    </row>
    <row r="1241" spans="1:51" s="150" customFormat="1" x14ac:dyDescent="0.25">
      <c r="A1241" s="150" t="str">
        <f t="shared" si="413"/>
        <v/>
      </c>
      <c r="B1241" s="150" t="str">
        <f t="shared" si="414"/>
        <v/>
      </c>
      <c r="C1241" s="150" t="str">
        <f t="shared" si="415"/>
        <v/>
      </c>
      <c r="D1241" s="150" t="str">
        <f>IF(E1241="","",Input!$C$4+B1241-1)</f>
        <v/>
      </c>
      <c r="E1241" s="150" t="str">
        <f>IF(OR(AND(C1240=12,D1240=Input!$C$6),E1240=""),"",1)</f>
        <v/>
      </c>
      <c r="G1241" s="151" t="str">
        <f>IF(E1241="","",MAX(0,Input!$C$9-B1241))</f>
        <v/>
      </c>
      <c r="H1241" s="152" t="str">
        <f>IF(E1241="","",Input!$C$3)</f>
        <v/>
      </c>
      <c r="I1241" s="153" t="str">
        <f>IF(E1241="","",HLOOKUP($B1241,Input!$C$13:$BT$14,2))</f>
        <v/>
      </c>
      <c r="J1241" s="154"/>
      <c r="K1241" s="150" t="str">
        <f>IF($E1241="","",Input!$C$57)</f>
        <v/>
      </c>
      <c r="L1241" s="150" t="str">
        <f t="shared" si="406"/>
        <v/>
      </c>
      <c r="M1241" s="147" t="str">
        <f>IF($E1241="","",VLOOKUP(IF($B1241&lt;=Input!$C$7,$B1241,26),'Mortality Tables'!$A$72:$CA$97,IF($B1241&lt;=Input!$C$7+1,Input!$C$4-16,$D1241-Input!$C$7-16),0)/1000)</f>
        <v/>
      </c>
      <c r="N1241" s="147" t="str">
        <f t="shared" si="397"/>
        <v/>
      </c>
      <c r="O1241" s="157" t="str">
        <f>IF($E1241="","",IF($C1241=12,IF($B1241&lt;Input!$C$9,Input!$C$54,IF($B1241=Input!$C$9,Input!$C$55,Input!$C$56)),0%))</f>
        <v/>
      </c>
      <c r="P1241" s="167" t="str">
        <f>IF($E1241="","",IF($B1241=1,Input!$C$59,IF($B1241&lt;6,Input!$C$60,0%)))</f>
        <v/>
      </c>
      <c r="Q1241" s="162" t="str">
        <f>IF($E1241="","",Input!$C$58)</f>
        <v/>
      </c>
      <c r="R1241" s="156" t="str">
        <f t="shared" si="407"/>
        <v/>
      </c>
      <c r="S1241" s="154" t="str">
        <f t="shared" si="398"/>
        <v/>
      </c>
      <c r="T1241" s="152"/>
      <c r="U1241" s="150" t="str">
        <f t="shared" si="408"/>
        <v/>
      </c>
      <c r="V1241" s="150" t="str">
        <f t="shared" si="409"/>
        <v/>
      </c>
      <c r="W1241" s="168" t="str">
        <f t="shared" si="410"/>
        <v/>
      </c>
      <c r="X1241" s="163" t="str">
        <f t="shared" si="399"/>
        <v/>
      </c>
      <c r="Y1241" s="152"/>
      <c r="Z1241" s="164" t="str">
        <f>IF(AND($C1240=12,$D1240=Input!$C$6),0,IF($E1241="","",V1241+Z1242/(1+L1241)*R1241))</f>
        <v/>
      </c>
      <c r="AA1241" s="164" t="str">
        <f>IF(OR($M1241=1,AND($C1240=12,$D1240=Input!$C$6)),0,IF($E1241="","",W1241+(X1241+AA1242*$R1241)/(1+$L1241)))</f>
        <v/>
      </c>
      <c r="AB1241" s="160" t="str">
        <f t="shared" si="400"/>
        <v/>
      </c>
      <c r="AC1241" s="164" t="str">
        <f t="shared" si="401"/>
        <v/>
      </c>
      <c r="AD1241" s="164" t="str">
        <f>IF(AND($C1240=12,$D1240=Input!$C$6),0,IF($E1241="","",$AC1241+AD1242/(1+$L1241)*$R1241))</f>
        <v/>
      </c>
      <c r="AE1241" s="152"/>
      <c r="AF1241" s="164" t="str">
        <f>IF(AND($C1240=12,$D1240=Input!$C$6),0,IF($E1241="","",IF($B1241&gt;Input!$C$9,$AC1241,0)+AF1242/(1+$L1241)*$R1241))</f>
        <v/>
      </c>
      <c r="AG1241" s="164" t="str">
        <f>IF(AND($C1240=12,$D1240=Input!$C$6),0,IF($E1241="","",(IF($B1241&gt;Input!$C$9,$X1241,0)+AG1242)/(1+$L1241)*$R1241))</f>
        <v/>
      </c>
      <c r="AH1241" s="160" t="str">
        <f t="shared" si="402"/>
        <v/>
      </c>
      <c r="AI1241" s="160" t="str">
        <f>IF($E1241="","",MIN(Input!$C$61/AH1241,1))</f>
        <v/>
      </c>
      <c r="AJ1241" s="152"/>
      <c r="AK1241" s="164" t="str">
        <f>IF(AND($C1240=12,$D1240=Input!$C$6),0,IF($E1241="","",IF($B1241&gt;Input!$C$9,$AC1241*AI1241,0)+AK1242/(1+$L1241)*$R1241))</f>
        <v/>
      </c>
      <c r="AL1241" s="164" t="str">
        <f>IF(AND($C1240=12,$D1240=Input!$C$6),0,IF($E1241="","",IF($B1241&gt;Input!$C$9,0,$AC1241)+AL1242/(1+$L1241)*$R1241))</f>
        <v/>
      </c>
      <c r="AM1241" s="160" t="str">
        <f t="shared" si="403"/>
        <v/>
      </c>
      <c r="AN1241" s="164" t="str">
        <f>IF($E1241="","",IF($B1241&gt;Input!$C$9,$AI1241*$AC1241,$AM1241*$AC1241))</f>
        <v/>
      </c>
      <c r="AO1241" s="164" t="str">
        <f>IF(AND($C1240=12,$D1240=Input!$C$6),0,IF($E1241="","",$AN1241+AO1242/(1+$L1241)*$R1241))</f>
        <v/>
      </c>
      <c r="AP1241" s="152"/>
      <c r="AQ1241" s="150" t="str">
        <f t="shared" si="404"/>
        <v/>
      </c>
      <c r="AR1241" s="150" t="str">
        <f t="shared" si="411"/>
        <v/>
      </c>
      <c r="AS1241" s="150" t="str">
        <f t="shared" si="412"/>
        <v/>
      </c>
      <c r="AT1241" s="150" t="str">
        <f t="shared" si="405"/>
        <v/>
      </c>
      <c r="AU1241" s="152"/>
      <c r="AV1241" s="147" t="str">
        <f>'Deterministic Reserve'!BC1241</f>
        <v/>
      </c>
      <c r="AY1241" s="152"/>
    </row>
    <row r="1242" spans="1:51" s="150" customFormat="1" x14ac:dyDescent="0.25">
      <c r="A1242" s="150" t="str">
        <f t="shared" si="413"/>
        <v/>
      </c>
      <c r="B1242" s="150" t="str">
        <f t="shared" si="414"/>
        <v/>
      </c>
      <c r="C1242" s="150" t="str">
        <f t="shared" si="415"/>
        <v/>
      </c>
      <c r="D1242" s="150" t="str">
        <f>IF(E1242="","",Input!$C$4+B1242-1)</f>
        <v/>
      </c>
      <c r="E1242" s="150" t="str">
        <f>IF(OR(AND(C1241=12,D1241=Input!$C$6),E1241=""),"",1)</f>
        <v/>
      </c>
      <c r="G1242" s="151" t="str">
        <f>IF(E1242="","",MAX(0,Input!$C$9-B1242))</f>
        <v/>
      </c>
      <c r="H1242" s="152" t="str">
        <f>IF(E1242="","",Input!$C$3)</f>
        <v/>
      </c>
      <c r="I1242" s="153" t="str">
        <f>IF(E1242="","",HLOOKUP($B1242,Input!$C$13:$BT$14,2))</f>
        <v/>
      </c>
      <c r="J1242" s="154"/>
      <c r="K1242" s="150" t="str">
        <f>IF($E1242="","",Input!$C$57)</f>
        <v/>
      </c>
      <c r="L1242" s="150" t="str">
        <f t="shared" si="406"/>
        <v/>
      </c>
      <c r="M1242" s="147" t="str">
        <f>IF($E1242="","",VLOOKUP(IF($B1242&lt;=Input!$C$7,$B1242,26),'Mortality Tables'!$A$72:$CA$97,IF($B1242&lt;=Input!$C$7+1,Input!$C$4-16,$D1242-Input!$C$7-16),0)/1000)</f>
        <v/>
      </c>
      <c r="N1242" s="147" t="str">
        <f t="shared" si="397"/>
        <v/>
      </c>
      <c r="O1242" s="157" t="str">
        <f>IF($E1242="","",IF($C1242=12,IF($B1242&lt;Input!$C$9,Input!$C$54,IF($B1242=Input!$C$9,Input!$C$55,Input!$C$56)),0%))</f>
        <v/>
      </c>
      <c r="P1242" s="167" t="str">
        <f>IF($E1242="","",IF($B1242=1,Input!$C$59,IF($B1242&lt;6,Input!$C$60,0%)))</f>
        <v/>
      </c>
      <c r="Q1242" s="162" t="str">
        <f>IF($E1242="","",Input!$C$58)</f>
        <v/>
      </c>
      <c r="R1242" s="156" t="str">
        <f t="shared" si="407"/>
        <v/>
      </c>
      <c r="S1242" s="154" t="str">
        <f t="shared" si="398"/>
        <v/>
      </c>
      <c r="T1242" s="152"/>
      <c r="U1242" s="150" t="str">
        <f t="shared" si="408"/>
        <v/>
      </c>
      <c r="V1242" s="150" t="str">
        <f t="shared" si="409"/>
        <v/>
      </c>
      <c r="W1242" s="168" t="str">
        <f t="shared" si="410"/>
        <v/>
      </c>
      <c r="X1242" s="163" t="str">
        <f t="shared" si="399"/>
        <v/>
      </c>
      <c r="Y1242" s="152"/>
      <c r="Z1242" s="164" t="str">
        <f>IF(AND($C1241=12,$D1241=Input!$C$6),0,IF($E1242="","",V1242+Z1243/(1+L1242)*R1242))</f>
        <v/>
      </c>
      <c r="AA1242" s="164" t="str">
        <f>IF(OR($M1242=1,AND($C1241=12,$D1241=Input!$C$6)),0,IF($E1242="","",W1242+(X1242+AA1243*$R1242)/(1+$L1242)))</f>
        <v/>
      </c>
      <c r="AB1242" s="160" t="str">
        <f t="shared" si="400"/>
        <v/>
      </c>
      <c r="AC1242" s="164" t="str">
        <f t="shared" si="401"/>
        <v/>
      </c>
      <c r="AD1242" s="164" t="str">
        <f>IF(AND($C1241=12,$D1241=Input!$C$6),0,IF($E1242="","",$AC1242+AD1243/(1+$L1242)*$R1242))</f>
        <v/>
      </c>
      <c r="AE1242" s="152"/>
      <c r="AF1242" s="164" t="str">
        <f>IF(AND($C1241=12,$D1241=Input!$C$6),0,IF($E1242="","",IF($B1242&gt;Input!$C$9,$AC1242,0)+AF1243/(1+$L1242)*$R1242))</f>
        <v/>
      </c>
      <c r="AG1242" s="164" t="str">
        <f>IF(AND($C1241=12,$D1241=Input!$C$6),0,IF($E1242="","",(IF($B1242&gt;Input!$C$9,$X1242,0)+AG1243)/(1+$L1242)*$R1242))</f>
        <v/>
      </c>
      <c r="AH1242" s="160" t="str">
        <f t="shared" si="402"/>
        <v/>
      </c>
      <c r="AI1242" s="160" t="str">
        <f>IF($E1242="","",MIN(Input!$C$61/AH1242,1))</f>
        <v/>
      </c>
      <c r="AJ1242" s="152"/>
      <c r="AK1242" s="164" t="str">
        <f>IF(AND($C1241=12,$D1241=Input!$C$6),0,IF($E1242="","",IF($B1242&gt;Input!$C$9,$AC1242*AI1242,0)+AK1243/(1+$L1242)*$R1242))</f>
        <v/>
      </c>
      <c r="AL1242" s="164" t="str">
        <f>IF(AND($C1241=12,$D1241=Input!$C$6),0,IF($E1242="","",IF($B1242&gt;Input!$C$9,0,$AC1242)+AL1243/(1+$L1242)*$R1242))</f>
        <v/>
      </c>
      <c r="AM1242" s="160" t="str">
        <f t="shared" si="403"/>
        <v/>
      </c>
      <c r="AN1242" s="164" t="str">
        <f>IF($E1242="","",IF($B1242&gt;Input!$C$9,$AI1242*$AC1242,$AM1242*$AC1242))</f>
        <v/>
      </c>
      <c r="AO1242" s="164" t="str">
        <f>IF(AND($C1241=12,$D1241=Input!$C$6),0,IF($E1242="","",$AN1242+AO1243/(1+$L1242)*$R1242))</f>
        <v/>
      </c>
      <c r="AP1242" s="152"/>
      <c r="AQ1242" s="150" t="str">
        <f t="shared" si="404"/>
        <v/>
      </c>
      <c r="AR1242" s="150" t="str">
        <f t="shared" si="411"/>
        <v/>
      </c>
      <c r="AS1242" s="150" t="str">
        <f t="shared" si="412"/>
        <v/>
      </c>
      <c r="AT1242" s="150" t="str">
        <f t="shared" si="405"/>
        <v/>
      </c>
      <c r="AU1242" s="152"/>
      <c r="AV1242" s="147" t="str">
        <f>'Deterministic Reserve'!BC1242</f>
        <v/>
      </c>
      <c r="AY1242" s="152"/>
    </row>
    <row r="1243" spans="1:51" s="150" customFormat="1" x14ac:dyDescent="0.25">
      <c r="A1243" s="150" t="str">
        <f t="shared" si="413"/>
        <v/>
      </c>
      <c r="B1243" s="150" t="str">
        <f t="shared" si="414"/>
        <v/>
      </c>
      <c r="C1243" s="150" t="str">
        <f t="shared" si="415"/>
        <v/>
      </c>
      <c r="D1243" s="150" t="str">
        <f>IF(E1243="","",Input!$C$4+B1243-1)</f>
        <v/>
      </c>
      <c r="E1243" s="150" t="str">
        <f>IF(OR(AND(C1242=12,D1242=Input!$C$6),E1242=""),"",1)</f>
        <v/>
      </c>
      <c r="G1243" s="151" t="str">
        <f>IF(E1243="","",MAX(0,Input!$C$9-B1243))</f>
        <v/>
      </c>
      <c r="H1243" s="152" t="str">
        <f>IF(E1243="","",Input!$C$3)</f>
        <v/>
      </c>
      <c r="I1243" s="153" t="str">
        <f>IF(E1243="","",HLOOKUP($B1243,Input!$C$13:$BT$14,2))</f>
        <v/>
      </c>
      <c r="J1243" s="154"/>
      <c r="K1243" s="150" t="str">
        <f>IF($E1243="","",Input!$C$57)</f>
        <v/>
      </c>
      <c r="L1243" s="150" t="str">
        <f t="shared" si="406"/>
        <v/>
      </c>
      <c r="M1243" s="147" t="str">
        <f>IF($E1243="","",VLOOKUP(IF($B1243&lt;=Input!$C$7,$B1243,26),'Mortality Tables'!$A$72:$CA$97,IF($B1243&lt;=Input!$C$7+1,Input!$C$4-16,$D1243-Input!$C$7-16),0)/1000)</f>
        <v/>
      </c>
      <c r="N1243" s="147" t="str">
        <f t="shared" si="397"/>
        <v/>
      </c>
      <c r="O1243" s="157" t="str">
        <f>IF($E1243="","",IF($C1243=12,IF($B1243&lt;Input!$C$9,Input!$C$54,IF($B1243=Input!$C$9,Input!$C$55,Input!$C$56)),0%))</f>
        <v/>
      </c>
      <c r="P1243" s="167" t="str">
        <f>IF($E1243="","",IF($B1243=1,Input!$C$59,IF($B1243&lt;6,Input!$C$60,0%)))</f>
        <v/>
      </c>
      <c r="Q1243" s="162" t="str">
        <f>IF($E1243="","",Input!$C$58)</f>
        <v/>
      </c>
      <c r="R1243" s="156" t="str">
        <f t="shared" si="407"/>
        <v/>
      </c>
      <c r="S1243" s="154" t="str">
        <f t="shared" si="398"/>
        <v/>
      </c>
      <c r="T1243" s="152"/>
      <c r="U1243" s="150" t="str">
        <f t="shared" si="408"/>
        <v/>
      </c>
      <c r="V1243" s="150" t="str">
        <f t="shared" si="409"/>
        <v/>
      </c>
      <c r="W1243" s="168" t="str">
        <f t="shared" si="410"/>
        <v/>
      </c>
      <c r="X1243" s="163" t="str">
        <f t="shared" si="399"/>
        <v/>
      </c>
      <c r="Y1243" s="152"/>
      <c r="Z1243" s="164" t="str">
        <f>IF(AND($C1242=12,$D1242=Input!$C$6),0,IF($E1243="","",V1243+Z1244/(1+L1243)*R1243))</f>
        <v/>
      </c>
      <c r="AA1243" s="164" t="str">
        <f>IF(OR($M1243=1,AND($C1242=12,$D1242=Input!$C$6)),0,IF($E1243="","",W1243+(X1243+AA1244*$R1243)/(1+$L1243)))</f>
        <v/>
      </c>
      <c r="AB1243" s="160" t="str">
        <f t="shared" si="400"/>
        <v/>
      </c>
      <c r="AC1243" s="164" t="str">
        <f t="shared" si="401"/>
        <v/>
      </c>
      <c r="AD1243" s="164" t="str">
        <f>IF(AND($C1242=12,$D1242=Input!$C$6),0,IF($E1243="","",$AC1243+AD1244/(1+$L1243)*$R1243))</f>
        <v/>
      </c>
      <c r="AE1243" s="152"/>
      <c r="AF1243" s="164" t="str">
        <f>IF(AND($C1242=12,$D1242=Input!$C$6),0,IF($E1243="","",IF($B1243&gt;Input!$C$9,$AC1243,0)+AF1244/(1+$L1243)*$R1243))</f>
        <v/>
      </c>
      <c r="AG1243" s="164" t="str">
        <f>IF(AND($C1242=12,$D1242=Input!$C$6),0,IF($E1243="","",(IF($B1243&gt;Input!$C$9,$X1243,0)+AG1244)/(1+$L1243)*$R1243))</f>
        <v/>
      </c>
      <c r="AH1243" s="160" t="str">
        <f t="shared" si="402"/>
        <v/>
      </c>
      <c r="AI1243" s="160" t="str">
        <f>IF($E1243="","",MIN(Input!$C$61/AH1243,1))</f>
        <v/>
      </c>
      <c r="AJ1243" s="152"/>
      <c r="AK1243" s="164" t="str">
        <f>IF(AND($C1242=12,$D1242=Input!$C$6),0,IF($E1243="","",IF($B1243&gt;Input!$C$9,$AC1243*AI1243,0)+AK1244/(1+$L1243)*$R1243))</f>
        <v/>
      </c>
      <c r="AL1243" s="164" t="str">
        <f>IF(AND($C1242=12,$D1242=Input!$C$6),0,IF($E1243="","",IF($B1243&gt;Input!$C$9,0,$AC1243)+AL1244/(1+$L1243)*$R1243))</f>
        <v/>
      </c>
      <c r="AM1243" s="160" t="str">
        <f t="shared" si="403"/>
        <v/>
      </c>
      <c r="AN1243" s="164" t="str">
        <f>IF($E1243="","",IF($B1243&gt;Input!$C$9,$AI1243*$AC1243,$AM1243*$AC1243))</f>
        <v/>
      </c>
      <c r="AO1243" s="164" t="str">
        <f>IF(AND($C1242=12,$D1242=Input!$C$6),0,IF($E1243="","",$AN1243+AO1244/(1+$L1243)*$R1243))</f>
        <v/>
      </c>
      <c r="AP1243" s="152"/>
      <c r="AQ1243" s="150" t="str">
        <f t="shared" si="404"/>
        <v/>
      </c>
      <c r="AR1243" s="150" t="str">
        <f t="shared" si="411"/>
        <v/>
      </c>
      <c r="AS1243" s="150" t="str">
        <f t="shared" si="412"/>
        <v/>
      </c>
      <c r="AT1243" s="150" t="str">
        <f t="shared" si="405"/>
        <v/>
      </c>
      <c r="AU1243" s="152"/>
      <c r="AV1243" s="147" t="str">
        <f>'Deterministic Reserve'!BC1243</f>
        <v/>
      </c>
      <c r="AY1243" s="152"/>
    </row>
    <row r="1244" spans="1:51" s="150" customFormat="1" x14ac:dyDescent="0.25">
      <c r="A1244" s="150" t="str">
        <f t="shared" si="413"/>
        <v/>
      </c>
      <c r="B1244" s="150" t="str">
        <f t="shared" si="414"/>
        <v/>
      </c>
      <c r="C1244" s="150" t="str">
        <f t="shared" si="415"/>
        <v/>
      </c>
      <c r="D1244" s="150" t="str">
        <f>IF(E1244="","",Input!$C$4+B1244-1)</f>
        <v/>
      </c>
      <c r="E1244" s="150" t="str">
        <f>IF(OR(AND(C1243=12,D1243=Input!$C$6),E1243=""),"",1)</f>
        <v/>
      </c>
      <c r="G1244" s="151" t="str">
        <f>IF(E1244="","",MAX(0,Input!$C$9-B1244))</f>
        <v/>
      </c>
      <c r="H1244" s="152" t="str">
        <f>IF(E1244="","",Input!$C$3)</f>
        <v/>
      </c>
      <c r="I1244" s="153" t="str">
        <f>IF(E1244="","",HLOOKUP($B1244,Input!$C$13:$BT$14,2))</f>
        <v/>
      </c>
      <c r="J1244" s="154"/>
      <c r="K1244" s="150" t="str">
        <f>IF($E1244="","",Input!$C$57)</f>
        <v/>
      </c>
      <c r="L1244" s="150" t="str">
        <f t="shared" si="406"/>
        <v/>
      </c>
      <c r="M1244" s="147" t="str">
        <f>IF($E1244="","",VLOOKUP(IF($B1244&lt;=Input!$C$7,$B1244,26),'Mortality Tables'!$A$72:$CA$97,IF($B1244&lt;=Input!$C$7+1,Input!$C$4-16,$D1244-Input!$C$7-16),0)/1000)</f>
        <v/>
      </c>
      <c r="N1244" s="147" t="str">
        <f t="shared" si="397"/>
        <v/>
      </c>
      <c r="O1244" s="157" t="str">
        <f>IF($E1244="","",IF($C1244=12,IF($B1244&lt;Input!$C$9,Input!$C$54,IF($B1244=Input!$C$9,Input!$C$55,Input!$C$56)),0%))</f>
        <v/>
      </c>
      <c r="P1244" s="167" t="str">
        <f>IF($E1244="","",IF($B1244=1,Input!$C$59,IF($B1244&lt;6,Input!$C$60,0%)))</f>
        <v/>
      </c>
      <c r="Q1244" s="162" t="str">
        <f>IF($E1244="","",Input!$C$58)</f>
        <v/>
      </c>
      <c r="R1244" s="156" t="str">
        <f t="shared" si="407"/>
        <v/>
      </c>
      <c r="S1244" s="154" t="str">
        <f t="shared" si="398"/>
        <v/>
      </c>
      <c r="T1244" s="152"/>
      <c r="U1244" s="150" t="str">
        <f t="shared" si="408"/>
        <v/>
      </c>
      <c r="V1244" s="150" t="str">
        <f t="shared" si="409"/>
        <v/>
      </c>
      <c r="W1244" s="168" t="str">
        <f t="shared" si="410"/>
        <v/>
      </c>
      <c r="X1244" s="163" t="str">
        <f t="shared" si="399"/>
        <v/>
      </c>
      <c r="Y1244" s="152"/>
      <c r="Z1244" s="164" t="str">
        <f>IF(AND($C1243=12,$D1243=Input!$C$6),0,IF($E1244="","",V1244+Z1245/(1+L1244)*R1244))</f>
        <v/>
      </c>
      <c r="AA1244" s="164" t="str">
        <f>IF(OR($M1244=1,AND($C1243=12,$D1243=Input!$C$6)),0,IF($E1244="","",W1244+(X1244+AA1245*$R1244)/(1+$L1244)))</f>
        <v/>
      </c>
      <c r="AB1244" s="160" t="str">
        <f t="shared" si="400"/>
        <v/>
      </c>
      <c r="AC1244" s="164" t="str">
        <f t="shared" si="401"/>
        <v/>
      </c>
      <c r="AD1244" s="164" t="str">
        <f>IF(AND($C1243=12,$D1243=Input!$C$6),0,IF($E1244="","",$AC1244+AD1245/(1+$L1244)*$R1244))</f>
        <v/>
      </c>
      <c r="AE1244" s="152"/>
      <c r="AF1244" s="164" t="str">
        <f>IF(AND($C1243=12,$D1243=Input!$C$6),0,IF($E1244="","",IF($B1244&gt;Input!$C$9,$AC1244,0)+AF1245/(1+$L1244)*$R1244))</f>
        <v/>
      </c>
      <c r="AG1244" s="164" t="str">
        <f>IF(AND($C1243=12,$D1243=Input!$C$6),0,IF($E1244="","",(IF($B1244&gt;Input!$C$9,$X1244,0)+AG1245)/(1+$L1244)*$R1244))</f>
        <v/>
      </c>
      <c r="AH1244" s="160" t="str">
        <f t="shared" si="402"/>
        <v/>
      </c>
      <c r="AI1244" s="160" t="str">
        <f>IF($E1244="","",MIN(Input!$C$61/AH1244,1))</f>
        <v/>
      </c>
      <c r="AJ1244" s="152"/>
      <c r="AK1244" s="164" t="str">
        <f>IF(AND($C1243=12,$D1243=Input!$C$6),0,IF($E1244="","",IF($B1244&gt;Input!$C$9,$AC1244*AI1244,0)+AK1245/(1+$L1244)*$R1244))</f>
        <v/>
      </c>
      <c r="AL1244" s="164" t="str">
        <f>IF(AND($C1243=12,$D1243=Input!$C$6),0,IF($E1244="","",IF($B1244&gt;Input!$C$9,0,$AC1244)+AL1245/(1+$L1244)*$R1244))</f>
        <v/>
      </c>
      <c r="AM1244" s="160" t="str">
        <f t="shared" si="403"/>
        <v/>
      </c>
      <c r="AN1244" s="164" t="str">
        <f>IF($E1244="","",IF($B1244&gt;Input!$C$9,$AI1244*$AC1244,$AM1244*$AC1244))</f>
        <v/>
      </c>
      <c r="AO1244" s="164" t="str">
        <f>IF(AND($C1243=12,$D1243=Input!$C$6),0,IF($E1244="","",$AN1244+AO1245/(1+$L1244)*$R1244))</f>
        <v/>
      </c>
      <c r="AP1244" s="152"/>
      <c r="AQ1244" s="150" t="str">
        <f t="shared" si="404"/>
        <v/>
      </c>
      <c r="AR1244" s="150" t="str">
        <f t="shared" si="411"/>
        <v/>
      </c>
      <c r="AS1244" s="150" t="str">
        <f t="shared" si="412"/>
        <v/>
      </c>
      <c r="AT1244" s="150" t="str">
        <f t="shared" si="405"/>
        <v/>
      </c>
      <c r="AU1244" s="152"/>
      <c r="AV1244" s="147" t="str">
        <f>'Deterministic Reserve'!BC1244</f>
        <v/>
      </c>
      <c r="AY1244" s="152"/>
    </row>
    <row r="1245" spans="1:51" s="150" customFormat="1" x14ac:dyDescent="0.25">
      <c r="A1245" s="150" t="str">
        <f t="shared" si="413"/>
        <v/>
      </c>
      <c r="B1245" s="150" t="str">
        <f t="shared" si="414"/>
        <v/>
      </c>
      <c r="C1245" s="150" t="str">
        <f t="shared" si="415"/>
        <v/>
      </c>
      <c r="D1245" s="150" t="str">
        <f>IF(E1245="","",Input!$C$4+B1245-1)</f>
        <v/>
      </c>
      <c r="E1245" s="150" t="str">
        <f>IF(OR(AND(C1244=12,D1244=Input!$C$6),E1244=""),"",1)</f>
        <v/>
      </c>
      <c r="G1245" s="151" t="str">
        <f>IF(E1245="","",MAX(0,Input!$C$9-B1245))</f>
        <v/>
      </c>
      <c r="H1245" s="152" t="str">
        <f>IF(E1245="","",Input!$C$3)</f>
        <v/>
      </c>
      <c r="I1245" s="153" t="str">
        <f>IF(E1245="","",HLOOKUP($B1245,Input!$C$13:$BT$14,2))</f>
        <v/>
      </c>
      <c r="J1245" s="154"/>
      <c r="K1245" s="150" t="str">
        <f>IF($E1245="","",Input!$C$57)</f>
        <v/>
      </c>
      <c r="L1245" s="150" t="str">
        <f t="shared" si="406"/>
        <v/>
      </c>
      <c r="M1245" s="147" t="str">
        <f>IF($E1245="","",VLOOKUP(IF($B1245&lt;=Input!$C$7,$B1245,26),'Mortality Tables'!$A$72:$CA$97,IF($B1245&lt;=Input!$C$7+1,Input!$C$4-16,$D1245-Input!$C$7-16),0)/1000)</f>
        <v/>
      </c>
      <c r="N1245" s="147" t="str">
        <f t="shared" si="397"/>
        <v/>
      </c>
      <c r="O1245" s="157" t="str">
        <f>IF($E1245="","",IF($C1245=12,IF($B1245&lt;Input!$C$9,Input!$C$54,IF($B1245=Input!$C$9,Input!$C$55,Input!$C$56)),0%))</f>
        <v/>
      </c>
      <c r="P1245" s="167" t="str">
        <f>IF($E1245="","",IF($B1245=1,Input!$C$59,IF($B1245&lt;6,Input!$C$60,0%)))</f>
        <v/>
      </c>
      <c r="Q1245" s="162" t="str">
        <f>IF($E1245="","",Input!$C$58)</f>
        <v/>
      </c>
      <c r="R1245" s="156" t="str">
        <f t="shared" si="407"/>
        <v/>
      </c>
      <c r="S1245" s="154" t="str">
        <f t="shared" si="398"/>
        <v/>
      </c>
      <c r="T1245" s="152"/>
      <c r="U1245" s="150" t="str">
        <f t="shared" si="408"/>
        <v/>
      </c>
      <c r="V1245" s="150" t="str">
        <f t="shared" si="409"/>
        <v/>
      </c>
      <c r="W1245" s="168" t="str">
        <f t="shared" si="410"/>
        <v/>
      </c>
      <c r="X1245" s="163" t="str">
        <f t="shared" si="399"/>
        <v/>
      </c>
      <c r="Y1245" s="152"/>
      <c r="Z1245" s="164" t="str">
        <f>IF(AND($C1244=12,$D1244=Input!$C$6),0,IF($E1245="","",V1245+Z1246/(1+L1245)*R1245))</f>
        <v/>
      </c>
      <c r="AA1245" s="164" t="str">
        <f>IF(OR($M1245=1,AND($C1244=12,$D1244=Input!$C$6)),0,IF($E1245="","",W1245+(X1245+AA1246*$R1245)/(1+$L1245)))</f>
        <v/>
      </c>
      <c r="AB1245" s="160" t="str">
        <f t="shared" si="400"/>
        <v/>
      </c>
      <c r="AC1245" s="164" t="str">
        <f t="shared" si="401"/>
        <v/>
      </c>
      <c r="AD1245" s="164" t="str">
        <f>IF(AND($C1244=12,$D1244=Input!$C$6),0,IF($E1245="","",$AC1245+AD1246/(1+$L1245)*$R1245))</f>
        <v/>
      </c>
      <c r="AE1245" s="152"/>
      <c r="AF1245" s="164" t="str">
        <f>IF(AND($C1244=12,$D1244=Input!$C$6),0,IF($E1245="","",IF($B1245&gt;Input!$C$9,$AC1245,0)+AF1246/(1+$L1245)*$R1245))</f>
        <v/>
      </c>
      <c r="AG1245" s="164" t="str">
        <f>IF(AND($C1244=12,$D1244=Input!$C$6),0,IF($E1245="","",(IF($B1245&gt;Input!$C$9,$X1245,0)+AG1246)/(1+$L1245)*$R1245))</f>
        <v/>
      </c>
      <c r="AH1245" s="160" t="str">
        <f t="shared" si="402"/>
        <v/>
      </c>
      <c r="AI1245" s="160" t="str">
        <f>IF($E1245="","",MIN(Input!$C$61/AH1245,1))</f>
        <v/>
      </c>
      <c r="AJ1245" s="152"/>
      <c r="AK1245" s="164" t="str">
        <f>IF(AND($C1244=12,$D1244=Input!$C$6),0,IF($E1245="","",IF($B1245&gt;Input!$C$9,$AC1245*AI1245,0)+AK1246/(1+$L1245)*$R1245))</f>
        <v/>
      </c>
      <c r="AL1245" s="164" t="str">
        <f>IF(AND($C1244=12,$D1244=Input!$C$6),0,IF($E1245="","",IF($B1245&gt;Input!$C$9,0,$AC1245)+AL1246/(1+$L1245)*$R1245))</f>
        <v/>
      </c>
      <c r="AM1245" s="160" t="str">
        <f t="shared" si="403"/>
        <v/>
      </c>
      <c r="AN1245" s="164" t="str">
        <f>IF($E1245="","",IF($B1245&gt;Input!$C$9,$AI1245*$AC1245,$AM1245*$AC1245))</f>
        <v/>
      </c>
      <c r="AO1245" s="164" t="str">
        <f>IF(AND($C1244=12,$D1244=Input!$C$6),0,IF($E1245="","",$AN1245+AO1246/(1+$L1245)*$R1245))</f>
        <v/>
      </c>
      <c r="AP1245" s="152"/>
      <c r="AQ1245" s="150" t="str">
        <f t="shared" si="404"/>
        <v/>
      </c>
      <c r="AR1245" s="150" t="str">
        <f t="shared" si="411"/>
        <v/>
      </c>
      <c r="AS1245" s="150" t="str">
        <f t="shared" si="412"/>
        <v/>
      </c>
      <c r="AT1245" s="150" t="str">
        <f t="shared" si="405"/>
        <v/>
      </c>
      <c r="AU1245" s="152"/>
      <c r="AV1245" s="147" t="str">
        <f>'Deterministic Reserve'!BC1245</f>
        <v/>
      </c>
      <c r="AY1245" s="152"/>
    </row>
    <row r="1246" spans="1:51" s="150" customFormat="1" x14ac:dyDescent="0.25">
      <c r="A1246" s="150" t="str">
        <f t="shared" si="413"/>
        <v/>
      </c>
      <c r="B1246" s="150" t="str">
        <f t="shared" si="414"/>
        <v/>
      </c>
      <c r="C1246" s="150" t="str">
        <f t="shared" si="415"/>
        <v/>
      </c>
      <c r="D1246" s="150" t="str">
        <f>IF(E1246="","",Input!$C$4+B1246-1)</f>
        <v/>
      </c>
      <c r="E1246" s="150" t="str">
        <f>IF(OR(AND(C1245=12,D1245=Input!$C$6),E1245=""),"",1)</f>
        <v/>
      </c>
      <c r="G1246" s="151" t="str">
        <f>IF(E1246="","",MAX(0,Input!$C$9-B1246))</f>
        <v/>
      </c>
      <c r="H1246" s="152" t="str">
        <f>IF(E1246="","",Input!$C$3)</f>
        <v/>
      </c>
      <c r="I1246" s="153" t="str">
        <f>IF(E1246="","",HLOOKUP($B1246,Input!$C$13:$BT$14,2))</f>
        <v/>
      </c>
      <c r="J1246" s="154"/>
      <c r="K1246" s="150" t="str">
        <f>IF($E1246="","",Input!$C$57)</f>
        <v/>
      </c>
      <c r="L1246" s="150" t="str">
        <f t="shared" si="406"/>
        <v/>
      </c>
      <c r="M1246" s="147" t="str">
        <f>IF($E1246="","",VLOOKUP(IF($B1246&lt;=Input!$C$7,$B1246,26),'Mortality Tables'!$A$72:$CA$97,IF($B1246&lt;=Input!$C$7+1,Input!$C$4-16,$D1246-Input!$C$7-16),0)/1000)</f>
        <v/>
      </c>
      <c r="N1246" s="147" t="str">
        <f t="shared" si="397"/>
        <v/>
      </c>
      <c r="O1246" s="157" t="str">
        <f>IF($E1246="","",IF($C1246=12,IF($B1246&lt;Input!$C$9,Input!$C$54,IF($B1246=Input!$C$9,Input!$C$55,Input!$C$56)),0%))</f>
        <v/>
      </c>
      <c r="P1246" s="167" t="str">
        <f>IF($E1246="","",IF($B1246=1,Input!$C$59,IF($B1246&lt;6,Input!$C$60,0%)))</f>
        <v/>
      </c>
      <c r="Q1246" s="162" t="str">
        <f>IF($E1246="","",Input!$C$58)</f>
        <v/>
      </c>
      <c r="R1246" s="156" t="str">
        <f t="shared" si="407"/>
        <v/>
      </c>
      <c r="S1246" s="154" t="str">
        <f t="shared" si="398"/>
        <v/>
      </c>
      <c r="T1246" s="152"/>
      <c r="U1246" s="150" t="str">
        <f t="shared" si="408"/>
        <v/>
      </c>
      <c r="V1246" s="150" t="str">
        <f t="shared" si="409"/>
        <v/>
      </c>
      <c r="W1246" s="168" t="str">
        <f t="shared" si="410"/>
        <v/>
      </c>
      <c r="X1246" s="163" t="str">
        <f t="shared" si="399"/>
        <v/>
      </c>
      <c r="Y1246" s="152"/>
      <c r="Z1246" s="164" t="str">
        <f>IF(AND($C1245=12,$D1245=Input!$C$6),0,IF($E1246="","",V1246+Z1247/(1+L1246)*R1246))</f>
        <v/>
      </c>
      <c r="AA1246" s="164" t="str">
        <f>IF(OR($M1246=1,AND($C1245=12,$D1245=Input!$C$6)),0,IF($E1246="","",W1246+(X1246+AA1247*$R1246)/(1+$L1246)))</f>
        <v/>
      </c>
      <c r="AB1246" s="160" t="str">
        <f t="shared" si="400"/>
        <v/>
      </c>
      <c r="AC1246" s="164" t="str">
        <f t="shared" si="401"/>
        <v/>
      </c>
      <c r="AD1246" s="164" t="str">
        <f>IF(AND($C1245=12,$D1245=Input!$C$6),0,IF($E1246="","",$AC1246+AD1247/(1+$L1246)*$R1246))</f>
        <v/>
      </c>
      <c r="AE1246" s="152"/>
      <c r="AF1246" s="164" t="str">
        <f>IF(AND($C1245=12,$D1245=Input!$C$6),0,IF($E1246="","",IF($B1246&gt;Input!$C$9,$AC1246,0)+AF1247/(1+$L1246)*$R1246))</f>
        <v/>
      </c>
      <c r="AG1246" s="164" t="str">
        <f>IF(AND($C1245=12,$D1245=Input!$C$6),0,IF($E1246="","",(IF($B1246&gt;Input!$C$9,$X1246,0)+AG1247)/(1+$L1246)*$R1246))</f>
        <v/>
      </c>
      <c r="AH1246" s="160" t="str">
        <f t="shared" si="402"/>
        <v/>
      </c>
      <c r="AI1246" s="160" t="str">
        <f>IF($E1246="","",MIN(Input!$C$61/AH1246,1))</f>
        <v/>
      </c>
      <c r="AJ1246" s="152"/>
      <c r="AK1246" s="164" t="str">
        <f>IF(AND($C1245=12,$D1245=Input!$C$6),0,IF($E1246="","",IF($B1246&gt;Input!$C$9,$AC1246*AI1246,0)+AK1247/(1+$L1246)*$R1246))</f>
        <v/>
      </c>
      <c r="AL1246" s="164" t="str">
        <f>IF(AND($C1245=12,$D1245=Input!$C$6),0,IF($E1246="","",IF($B1246&gt;Input!$C$9,0,$AC1246)+AL1247/(1+$L1246)*$R1246))</f>
        <v/>
      </c>
      <c r="AM1246" s="160" t="str">
        <f t="shared" si="403"/>
        <v/>
      </c>
      <c r="AN1246" s="164" t="str">
        <f>IF($E1246="","",IF($B1246&gt;Input!$C$9,$AI1246*$AC1246,$AM1246*$AC1246))</f>
        <v/>
      </c>
      <c r="AO1246" s="164" t="str">
        <f>IF(AND($C1245=12,$D1245=Input!$C$6),0,IF($E1246="","",$AN1246+AO1247/(1+$L1246)*$R1246))</f>
        <v/>
      </c>
      <c r="AP1246" s="152"/>
      <c r="AQ1246" s="150" t="str">
        <f t="shared" si="404"/>
        <v/>
      </c>
      <c r="AR1246" s="150" t="str">
        <f t="shared" si="411"/>
        <v/>
      </c>
      <c r="AS1246" s="150" t="str">
        <f t="shared" si="412"/>
        <v/>
      </c>
      <c r="AT1246" s="150" t="str">
        <f t="shared" si="405"/>
        <v/>
      </c>
      <c r="AU1246" s="152"/>
      <c r="AV1246" s="147" t="str">
        <f>'Deterministic Reserve'!BC1246</f>
        <v/>
      </c>
      <c r="AY1246" s="152"/>
    </row>
    <row r="1247" spans="1:51" s="150" customFormat="1" x14ac:dyDescent="0.25">
      <c r="A1247" s="150" t="str">
        <f t="shared" si="413"/>
        <v/>
      </c>
      <c r="B1247" s="150" t="str">
        <f t="shared" si="414"/>
        <v/>
      </c>
      <c r="C1247" s="150" t="str">
        <f t="shared" si="415"/>
        <v/>
      </c>
      <c r="D1247" s="150" t="str">
        <f>IF(E1247="","",Input!$C$4+B1247-1)</f>
        <v/>
      </c>
      <c r="E1247" s="150" t="str">
        <f>IF(OR(AND(C1246=12,D1246=Input!$C$6),E1246=""),"",1)</f>
        <v/>
      </c>
      <c r="G1247" s="151" t="str">
        <f>IF(E1247="","",MAX(0,Input!$C$9-B1247))</f>
        <v/>
      </c>
      <c r="H1247" s="152" t="str">
        <f>IF(E1247="","",Input!$C$3)</f>
        <v/>
      </c>
      <c r="I1247" s="153" t="str">
        <f>IF(E1247="","",HLOOKUP($B1247,Input!$C$13:$BT$14,2))</f>
        <v/>
      </c>
      <c r="J1247" s="154"/>
      <c r="K1247" s="150" t="str">
        <f>IF($E1247="","",Input!$C$57)</f>
        <v/>
      </c>
      <c r="L1247" s="150" t="str">
        <f t="shared" si="406"/>
        <v/>
      </c>
      <c r="M1247" s="147" t="str">
        <f>IF($E1247="","",VLOOKUP(IF($B1247&lt;=Input!$C$7,$B1247,26),'Mortality Tables'!$A$72:$CA$97,IF($B1247&lt;=Input!$C$7+1,Input!$C$4-16,$D1247-Input!$C$7-16),0)/1000)</f>
        <v/>
      </c>
      <c r="N1247" s="147" t="str">
        <f t="shared" si="397"/>
        <v/>
      </c>
      <c r="O1247" s="157" t="str">
        <f>IF($E1247="","",IF($C1247=12,IF($B1247&lt;Input!$C$9,Input!$C$54,IF($B1247=Input!$C$9,Input!$C$55,Input!$C$56)),0%))</f>
        <v/>
      </c>
      <c r="P1247" s="167" t="str">
        <f>IF($E1247="","",IF($B1247=1,Input!$C$59,IF($B1247&lt;6,Input!$C$60,0%)))</f>
        <v/>
      </c>
      <c r="Q1247" s="162" t="str">
        <f>IF($E1247="","",Input!$C$58)</f>
        <v/>
      </c>
      <c r="R1247" s="156" t="str">
        <f t="shared" si="407"/>
        <v/>
      </c>
      <c r="S1247" s="154" t="str">
        <f t="shared" si="398"/>
        <v/>
      </c>
      <c r="T1247" s="152"/>
      <c r="U1247" s="150" t="str">
        <f t="shared" si="408"/>
        <v/>
      </c>
      <c r="V1247" s="150" t="str">
        <f t="shared" si="409"/>
        <v/>
      </c>
      <c r="W1247" s="168" t="str">
        <f t="shared" si="410"/>
        <v/>
      </c>
      <c r="X1247" s="163" t="str">
        <f t="shared" si="399"/>
        <v/>
      </c>
      <c r="Y1247" s="152"/>
      <c r="Z1247" s="164" t="str">
        <f>IF(AND($C1246=12,$D1246=Input!$C$6),0,IF($E1247="","",V1247+Z1248/(1+L1247)*R1247))</f>
        <v/>
      </c>
      <c r="AA1247" s="164" t="str">
        <f>IF(OR($M1247=1,AND($C1246=12,$D1246=Input!$C$6)),0,IF($E1247="","",W1247+(X1247+AA1248*$R1247)/(1+$L1247)))</f>
        <v/>
      </c>
      <c r="AB1247" s="160" t="str">
        <f t="shared" si="400"/>
        <v/>
      </c>
      <c r="AC1247" s="164" t="str">
        <f t="shared" si="401"/>
        <v/>
      </c>
      <c r="AD1247" s="164" t="str">
        <f>IF(AND($C1246=12,$D1246=Input!$C$6),0,IF($E1247="","",$AC1247+AD1248/(1+$L1247)*$R1247))</f>
        <v/>
      </c>
      <c r="AE1247" s="152"/>
      <c r="AF1247" s="164" t="str">
        <f>IF(AND($C1246=12,$D1246=Input!$C$6),0,IF($E1247="","",IF($B1247&gt;Input!$C$9,$AC1247,0)+AF1248/(1+$L1247)*$R1247))</f>
        <v/>
      </c>
      <c r="AG1247" s="164" t="str">
        <f>IF(AND($C1246=12,$D1246=Input!$C$6),0,IF($E1247="","",(IF($B1247&gt;Input!$C$9,$X1247,0)+AG1248)/(1+$L1247)*$R1247))</f>
        <v/>
      </c>
      <c r="AH1247" s="160" t="str">
        <f t="shared" si="402"/>
        <v/>
      </c>
      <c r="AI1247" s="160" t="str">
        <f>IF($E1247="","",MIN(Input!$C$61/AH1247,1))</f>
        <v/>
      </c>
      <c r="AJ1247" s="152"/>
      <c r="AK1247" s="164" t="str">
        <f>IF(AND($C1246=12,$D1246=Input!$C$6),0,IF($E1247="","",IF($B1247&gt;Input!$C$9,$AC1247*AI1247,0)+AK1248/(1+$L1247)*$R1247))</f>
        <v/>
      </c>
      <c r="AL1247" s="164" t="str">
        <f>IF(AND($C1246=12,$D1246=Input!$C$6),0,IF($E1247="","",IF($B1247&gt;Input!$C$9,0,$AC1247)+AL1248/(1+$L1247)*$R1247))</f>
        <v/>
      </c>
      <c r="AM1247" s="160" t="str">
        <f t="shared" si="403"/>
        <v/>
      </c>
      <c r="AN1247" s="164" t="str">
        <f>IF($E1247="","",IF($B1247&gt;Input!$C$9,$AI1247*$AC1247,$AM1247*$AC1247))</f>
        <v/>
      </c>
      <c r="AO1247" s="164" t="str">
        <f>IF(AND($C1246=12,$D1246=Input!$C$6),0,IF($E1247="","",$AN1247+AO1248/(1+$L1247)*$R1247))</f>
        <v/>
      </c>
      <c r="AP1247" s="152"/>
      <c r="AQ1247" s="150" t="str">
        <f t="shared" si="404"/>
        <v/>
      </c>
      <c r="AR1247" s="150" t="str">
        <f t="shared" si="411"/>
        <v/>
      </c>
      <c r="AS1247" s="150" t="str">
        <f t="shared" si="412"/>
        <v/>
      </c>
      <c r="AT1247" s="150" t="str">
        <f t="shared" si="405"/>
        <v/>
      </c>
      <c r="AU1247" s="152"/>
      <c r="AV1247" s="147" t="str">
        <f>'Deterministic Reserve'!BC1247</f>
        <v/>
      </c>
      <c r="AY1247" s="152"/>
    </row>
    <row r="1248" spans="1:51" s="150" customFormat="1" x14ac:dyDescent="0.25">
      <c r="A1248" s="150" t="str">
        <f t="shared" si="413"/>
        <v/>
      </c>
      <c r="B1248" s="150" t="str">
        <f t="shared" si="414"/>
        <v/>
      </c>
      <c r="C1248" s="150" t="str">
        <f t="shared" si="415"/>
        <v/>
      </c>
      <c r="D1248" s="150" t="str">
        <f>IF(E1248="","",Input!$C$4+B1248-1)</f>
        <v/>
      </c>
      <c r="E1248" s="150" t="str">
        <f>IF(OR(AND(C1247=12,D1247=Input!$C$6),E1247=""),"",1)</f>
        <v/>
      </c>
      <c r="G1248" s="151" t="str">
        <f>IF(E1248="","",MAX(0,Input!$C$9-B1248))</f>
        <v/>
      </c>
      <c r="H1248" s="152" t="str">
        <f>IF(E1248="","",Input!$C$3)</f>
        <v/>
      </c>
      <c r="I1248" s="153" t="str">
        <f>IF(E1248="","",HLOOKUP($B1248,Input!$C$13:$BT$14,2))</f>
        <v/>
      </c>
      <c r="J1248" s="154"/>
      <c r="K1248" s="150" t="str">
        <f>IF($E1248="","",Input!$C$57)</f>
        <v/>
      </c>
      <c r="L1248" s="150" t="str">
        <f t="shared" si="406"/>
        <v/>
      </c>
      <c r="M1248" s="147" t="str">
        <f>IF($E1248="","",VLOOKUP(IF($B1248&lt;=Input!$C$7,$B1248,26),'Mortality Tables'!$A$72:$CA$97,IF($B1248&lt;=Input!$C$7+1,Input!$C$4-16,$D1248-Input!$C$7-16),0)/1000)</f>
        <v/>
      </c>
      <c r="N1248" s="147" t="str">
        <f t="shared" si="397"/>
        <v/>
      </c>
      <c r="O1248" s="157" t="str">
        <f>IF($E1248="","",IF($C1248=12,IF($B1248&lt;Input!$C$9,Input!$C$54,IF($B1248=Input!$C$9,Input!$C$55,Input!$C$56)),0%))</f>
        <v/>
      </c>
      <c r="P1248" s="167" t="str">
        <f>IF($E1248="","",IF($B1248=1,Input!$C$59,IF($B1248&lt;6,Input!$C$60,0%)))</f>
        <v/>
      </c>
      <c r="Q1248" s="162" t="str">
        <f>IF($E1248="","",Input!$C$58)</f>
        <v/>
      </c>
      <c r="R1248" s="156" t="str">
        <f t="shared" si="407"/>
        <v/>
      </c>
      <c r="S1248" s="154" t="str">
        <f t="shared" si="398"/>
        <v/>
      </c>
      <c r="T1248" s="152"/>
      <c r="U1248" s="150" t="str">
        <f t="shared" si="408"/>
        <v/>
      </c>
      <c r="V1248" s="150" t="str">
        <f t="shared" si="409"/>
        <v/>
      </c>
      <c r="W1248" s="168" t="str">
        <f t="shared" si="410"/>
        <v/>
      </c>
      <c r="X1248" s="163" t="str">
        <f t="shared" si="399"/>
        <v/>
      </c>
      <c r="Y1248" s="152"/>
      <c r="Z1248" s="164" t="str">
        <f>IF(AND($C1247=12,$D1247=Input!$C$6),0,IF($E1248="","",V1248+Z1249/(1+L1248)*R1248))</f>
        <v/>
      </c>
      <c r="AA1248" s="164" t="str">
        <f>IF(OR($M1248=1,AND($C1247=12,$D1247=Input!$C$6)),0,IF($E1248="","",W1248+(X1248+AA1249*$R1248)/(1+$L1248)))</f>
        <v/>
      </c>
      <c r="AB1248" s="160" t="str">
        <f t="shared" si="400"/>
        <v/>
      </c>
      <c r="AC1248" s="164" t="str">
        <f t="shared" si="401"/>
        <v/>
      </c>
      <c r="AD1248" s="164" t="str">
        <f>IF(AND($C1247=12,$D1247=Input!$C$6),0,IF($E1248="","",$AC1248+AD1249/(1+$L1248)*$R1248))</f>
        <v/>
      </c>
      <c r="AE1248" s="152"/>
      <c r="AF1248" s="164" t="str">
        <f>IF(AND($C1247=12,$D1247=Input!$C$6),0,IF($E1248="","",IF($B1248&gt;Input!$C$9,$AC1248,0)+AF1249/(1+$L1248)*$R1248))</f>
        <v/>
      </c>
      <c r="AG1248" s="164" t="str">
        <f>IF(AND($C1247=12,$D1247=Input!$C$6),0,IF($E1248="","",(IF($B1248&gt;Input!$C$9,$X1248,0)+AG1249)/(1+$L1248)*$R1248))</f>
        <v/>
      </c>
      <c r="AH1248" s="160" t="str">
        <f t="shared" si="402"/>
        <v/>
      </c>
      <c r="AI1248" s="160" t="str">
        <f>IF($E1248="","",MIN(Input!$C$61/AH1248,1))</f>
        <v/>
      </c>
      <c r="AJ1248" s="152"/>
      <c r="AK1248" s="164" t="str">
        <f>IF(AND($C1247=12,$D1247=Input!$C$6),0,IF($E1248="","",IF($B1248&gt;Input!$C$9,$AC1248*AI1248,0)+AK1249/(1+$L1248)*$R1248))</f>
        <v/>
      </c>
      <c r="AL1248" s="164" t="str">
        <f>IF(AND($C1247=12,$D1247=Input!$C$6),0,IF($E1248="","",IF($B1248&gt;Input!$C$9,0,$AC1248)+AL1249/(1+$L1248)*$R1248))</f>
        <v/>
      </c>
      <c r="AM1248" s="160" t="str">
        <f t="shared" si="403"/>
        <v/>
      </c>
      <c r="AN1248" s="164" t="str">
        <f>IF($E1248="","",IF($B1248&gt;Input!$C$9,$AI1248*$AC1248,$AM1248*$AC1248))</f>
        <v/>
      </c>
      <c r="AO1248" s="164" t="str">
        <f>IF(AND($C1247=12,$D1247=Input!$C$6),0,IF($E1248="","",$AN1248+AO1249/(1+$L1248)*$R1248))</f>
        <v/>
      </c>
      <c r="AP1248" s="152"/>
      <c r="AQ1248" s="150" t="str">
        <f t="shared" si="404"/>
        <v/>
      </c>
      <c r="AR1248" s="150" t="str">
        <f t="shared" si="411"/>
        <v/>
      </c>
      <c r="AS1248" s="150" t="str">
        <f t="shared" si="412"/>
        <v/>
      </c>
      <c r="AT1248" s="150" t="str">
        <f t="shared" si="405"/>
        <v/>
      </c>
      <c r="AU1248" s="152"/>
      <c r="AV1248" s="147" t="str">
        <f>'Deterministic Reserve'!BC1248</f>
        <v/>
      </c>
      <c r="AY1248" s="152"/>
    </row>
    <row r="1249" spans="1:51" s="150" customFormat="1" x14ac:dyDescent="0.25">
      <c r="A1249" s="150" t="str">
        <f t="shared" si="413"/>
        <v/>
      </c>
      <c r="B1249" s="150" t="str">
        <f t="shared" si="414"/>
        <v/>
      </c>
      <c r="C1249" s="150" t="str">
        <f t="shared" si="415"/>
        <v/>
      </c>
      <c r="D1249" s="150" t="str">
        <f>IF(E1249="","",Input!$C$4+B1249-1)</f>
        <v/>
      </c>
      <c r="E1249" s="150" t="str">
        <f>IF(OR(AND(C1248=12,D1248=Input!$C$6),E1248=""),"",1)</f>
        <v/>
      </c>
      <c r="G1249" s="151" t="str">
        <f>IF(E1249="","",MAX(0,Input!$C$9-B1249))</f>
        <v/>
      </c>
      <c r="H1249" s="152" t="str">
        <f>IF(E1249="","",Input!$C$3)</f>
        <v/>
      </c>
      <c r="I1249" s="153" t="str">
        <f>IF(E1249="","",HLOOKUP($B1249,Input!$C$13:$BT$14,2))</f>
        <v/>
      </c>
      <c r="J1249" s="154"/>
      <c r="K1249" s="150" t="str">
        <f>IF($E1249="","",Input!$C$57)</f>
        <v/>
      </c>
      <c r="L1249" s="150" t="str">
        <f t="shared" si="406"/>
        <v/>
      </c>
      <c r="M1249" s="147" t="str">
        <f>IF($E1249="","",VLOOKUP(IF($B1249&lt;=Input!$C$7,$B1249,26),'Mortality Tables'!$A$72:$CA$97,IF($B1249&lt;=Input!$C$7+1,Input!$C$4-16,$D1249-Input!$C$7-16),0)/1000)</f>
        <v/>
      </c>
      <c r="N1249" s="147" t="str">
        <f t="shared" si="397"/>
        <v/>
      </c>
      <c r="O1249" s="157" t="str">
        <f>IF($E1249="","",IF($C1249=12,IF($B1249&lt;Input!$C$9,Input!$C$54,IF($B1249=Input!$C$9,Input!$C$55,Input!$C$56)),0%))</f>
        <v/>
      </c>
      <c r="P1249" s="167" t="str">
        <f>IF($E1249="","",IF($B1249=1,Input!$C$59,IF($B1249&lt;6,Input!$C$60,0%)))</f>
        <v/>
      </c>
      <c r="Q1249" s="162" t="str">
        <f>IF($E1249="","",Input!$C$58)</f>
        <v/>
      </c>
      <c r="R1249" s="156" t="str">
        <f t="shared" si="407"/>
        <v/>
      </c>
      <c r="S1249" s="154" t="str">
        <f t="shared" si="398"/>
        <v/>
      </c>
      <c r="T1249" s="152"/>
      <c r="U1249" s="150" t="str">
        <f t="shared" si="408"/>
        <v/>
      </c>
      <c r="V1249" s="150" t="str">
        <f t="shared" si="409"/>
        <v/>
      </c>
      <c r="W1249" s="168" t="str">
        <f t="shared" si="410"/>
        <v/>
      </c>
      <c r="X1249" s="163" t="str">
        <f t="shared" si="399"/>
        <v/>
      </c>
      <c r="Y1249" s="152"/>
      <c r="Z1249" s="164" t="str">
        <f>IF(AND($C1248=12,$D1248=Input!$C$6),0,IF($E1249="","",V1249+Z1250/(1+L1249)*R1249))</f>
        <v/>
      </c>
      <c r="AA1249" s="164" t="str">
        <f>IF(OR($M1249=1,AND($C1248=12,$D1248=Input!$C$6)),0,IF($E1249="","",W1249+(X1249+AA1250*$R1249)/(1+$L1249)))</f>
        <v/>
      </c>
      <c r="AB1249" s="160" t="str">
        <f t="shared" si="400"/>
        <v/>
      </c>
      <c r="AC1249" s="164" t="str">
        <f t="shared" si="401"/>
        <v/>
      </c>
      <c r="AD1249" s="164" t="str">
        <f>IF(AND($C1248=12,$D1248=Input!$C$6),0,IF($E1249="","",$AC1249+AD1250/(1+$L1249)*$R1249))</f>
        <v/>
      </c>
      <c r="AE1249" s="152"/>
      <c r="AF1249" s="164" t="str">
        <f>IF(AND($C1248=12,$D1248=Input!$C$6),0,IF($E1249="","",IF($B1249&gt;Input!$C$9,$AC1249,0)+AF1250/(1+$L1249)*$R1249))</f>
        <v/>
      </c>
      <c r="AG1249" s="164" t="str">
        <f>IF(AND($C1248=12,$D1248=Input!$C$6),0,IF($E1249="","",(IF($B1249&gt;Input!$C$9,$X1249,0)+AG1250)/(1+$L1249)*$R1249))</f>
        <v/>
      </c>
      <c r="AH1249" s="160" t="str">
        <f t="shared" si="402"/>
        <v/>
      </c>
      <c r="AI1249" s="160" t="str">
        <f>IF($E1249="","",MIN(Input!$C$61/AH1249,1))</f>
        <v/>
      </c>
      <c r="AJ1249" s="152"/>
      <c r="AK1249" s="164" t="str">
        <f>IF(AND($C1248=12,$D1248=Input!$C$6),0,IF($E1249="","",IF($B1249&gt;Input!$C$9,$AC1249*AI1249,0)+AK1250/(1+$L1249)*$R1249))</f>
        <v/>
      </c>
      <c r="AL1249" s="164" t="str">
        <f>IF(AND($C1248=12,$D1248=Input!$C$6),0,IF($E1249="","",IF($B1249&gt;Input!$C$9,0,$AC1249)+AL1250/(1+$L1249)*$R1249))</f>
        <v/>
      </c>
      <c r="AM1249" s="160" t="str">
        <f t="shared" si="403"/>
        <v/>
      </c>
      <c r="AN1249" s="164" t="str">
        <f>IF($E1249="","",IF($B1249&gt;Input!$C$9,$AI1249*$AC1249,$AM1249*$AC1249))</f>
        <v/>
      </c>
      <c r="AO1249" s="164" t="str">
        <f>IF(AND($C1248=12,$D1248=Input!$C$6),0,IF($E1249="","",$AN1249+AO1250/(1+$L1249)*$R1249))</f>
        <v/>
      </c>
      <c r="AP1249" s="152"/>
      <c r="AQ1249" s="150" t="str">
        <f t="shared" si="404"/>
        <v/>
      </c>
      <c r="AR1249" s="150" t="str">
        <f t="shared" si="411"/>
        <v/>
      </c>
      <c r="AS1249" s="150" t="str">
        <f t="shared" si="412"/>
        <v/>
      </c>
      <c r="AT1249" s="150" t="str">
        <f t="shared" si="405"/>
        <v/>
      </c>
      <c r="AU1249" s="152"/>
      <c r="AV1249" s="147" t="str">
        <f>'Deterministic Reserve'!BC1249</f>
        <v/>
      </c>
      <c r="AY1249" s="152"/>
    </row>
    <row r="1250" spans="1:51" s="150" customFormat="1" x14ac:dyDescent="0.25">
      <c r="A1250" s="150" t="str">
        <f t="shared" si="413"/>
        <v/>
      </c>
      <c r="B1250" s="150" t="str">
        <f t="shared" si="414"/>
        <v/>
      </c>
      <c r="C1250" s="150" t="str">
        <f t="shared" si="415"/>
        <v/>
      </c>
      <c r="D1250" s="150" t="str">
        <f>IF(E1250="","",Input!$C$4+B1250-1)</f>
        <v/>
      </c>
      <c r="E1250" s="150" t="str">
        <f>IF(OR(AND(C1249=12,D1249=Input!$C$6),E1249=""),"",1)</f>
        <v/>
      </c>
      <c r="G1250" s="151" t="str">
        <f>IF(E1250="","",MAX(0,Input!$C$9-B1250))</f>
        <v/>
      </c>
      <c r="H1250" s="152" t="str">
        <f>IF(E1250="","",Input!$C$3)</f>
        <v/>
      </c>
      <c r="I1250" s="153" t="str">
        <f>IF(E1250="","",HLOOKUP($B1250,Input!$C$13:$BT$14,2))</f>
        <v/>
      </c>
      <c r="J1250" s="154"/>
      <c r="K1250" s="150" t="str">
        <f>IF($E1250="","",Input!$C$57)</f>
        <v/>
      </c>
      <c r="L1250" s="150" t="str">
        <f t="shared" si="406"/>
        <v/>
      </c>
      <c r="M1250" s="147" t="str">
        <f>IF($E1250="","",VLOOKUP(IF($B1250&lt;=Input!$C$7,$B1250,26),'Mortality Tables'!$A$72:$CA$97,IF($B1250&lt;=Input!$C$7+1,Input!$C$4-16,$D1250-Input!$C$7-16),0)/1000)</f>
        <v/>
      </c>
      <c r="N1250" s="147" t="str">
        <f t="shared" si="397"/>
        <v/>
      </c>
      <c r="O1250" s="157" t="str">
        <f>IF($E1250="","",IF($C1250=12,IF($B1250&lt;Input!$C$9,Input!$C$54,IF($B1250=Input!$C$9,Input!$C$55,Input!$C$56)),0%))</f>
        <v/>
      </c>
      <c r="P1250" s="167" t="str">
        <f>IF($E1250="","",IF($B1250=1,Input!$C$59,IF($B1250&lt;6,Input!$C$60,0%)))</f>
        <v/>
      </c>
      <c r="Q1250" s="162" t="str">
        <f>IF($E1250="","",Input!$C$58)</f>
        <v/>
      </c>
      <c r="R1250" s="156" t="str">
        <f t="shared" si="407"/>
        <v/>
      </c>
      <c r="S1250" s="154" t="str">
        <f t="shared" si="398"/>
        <v/>
      </c>
      <c r="T1250" s="152"/>
      <c r="U1250" s="150" t="str">
        <f t="shared" si="408"/>
        <v/>
      </c>
      <c r="V1250" s="150" t="str">
        <f t="shared" si="409"/>
        <v/>
      </c>
      <c r="W1250" s="168" t="str">
        <f t="shared" si="410"/>
        <v/>
      </c>
      <c r="X1250" s="163" t="str">
        <f t="shared" si="399"/>
        <v/>
      </c>
      <c r="Y1250" s="152"/>
      <c r="Z1250" s="164" t="str">
        <f>IF(AND($C1249=12,$D1249=Input!$C$6),0,IF($E1250="","",V1250+Z1251/(1+L1250)*R1250))</f>
        <v/>
      </c>
      <c r="AA1250" s="164" t="str">
        <f>IF(OR($M1250=1,AND($C1249=12,$D1249=Input!$C$6)),0,IF($E1250="","",W1250+(X1250+AA1251*$R1250)/(1+$L1250)))</f>
        <v/>
      </c>
      <c r="AB1250" s="160" t="str">
        <f t="shared" si="400"/>
        <v/>
      </c>
      <c r="AC1250" s="164" t="str">
        <f t="shared" si="401"/>
        <v/>
      </c>
      <c r="AD1250" s="164" t="str">
        <f>IF(AND($C1249=12,$D1249=Input!$C$6),0,IF($E1250="","",$AC1250+AD1251/(1+$L1250)*$R1250))</f>
        <v/>
      </c>
      <c r="AE1250" s="152"/>
      <c r="AF1250" s="164" t="str">
        <f>IF(AND($C1249=12,$D1249=Input!$C$6),0,IF($E1250="","",IF($B1250&gt;Input!$C$9,$AC1250,0)+AF1251/(1+$L1250)*$R1250))</f>
        <v/>
      </c>
      <c r="AG1250" s="164" t="str">
        <f>IF(AND($C1249=12,$D1249=Input!$C$6),0,IF($E1250="","",(IF($B1250&gt;Input!$C$9,$X1250,0)+AG1251)/(1+$L1250)*$R1250))</f>
        <v/>
      </c>
      <c r="AH1250" s="160" t="str">
        <f t="shared" si="402"/>
        <v/>
      </c>
      <c r="AI1250" s="160" t="str">
        <f>IF($E1250="","",MIN(Input!$C$61/AH1250,1))</f>
        <v/>
      </c>
      <c r="AJ1250" s="152"/>
      <c r="AK1250" s="164" t="str">
        <f>IF(AND($C1249=12,$D1249=Input!$C$6),0,IF($E1250="","",IF($B1250&gt;Input!$C$9,$AC1250*AI1250,0)+AK1251/(1+$L1250)*$R1250))</f>
        <v/>
      </c>
      <c r="AL1250" s="164" t="str">
        <f>IF(AND($C1249=12,$D1249=Input!$C$6),0,IF($E1250="","",IF($B1250&gt;Input!$C$9,0,$AC1250)+AL1251/(1+$L1250)*$R1250))</f>
        <v/>
      </c>
      <c r="AM1250" s="160" t="str">
        <f t="shared" si="403"/>
        <v/>
      </c>
      <c r="AN1250" s="164" t="str">
        <f>IF($E1250="","",IF($B1250&gt;Input!$C$9,$AI1250*$AC1250,$AM1250*$AC1250))</f>
        <v/>
      </c>
      <c r="AO1250" s="164" t="str">
        <f>IF(AND($C1249=12,$D1249=Input!$C$6),0,IF($E1250="","",$AN1250+AO1251/(1+$L1250)*$R1250))</f>
        <v/>
      </c>
      <c r="AP1250" s="152"/>
      <c r="AQ1250" s="150" t="str">
        <f t="shared" si="404"/>
        <v/>
      </c>
      <c r="AR1250" s="150" t="str">
        <f t="shared" si="411"/>
        <v/>
      </c>
      <c r="AS1250" s="150" t="str">
        <f t="shared" si="412"/>
        <v/>
      </c>
      <c r="AT1250" s="150" t="str">
        <f t="shared" si="405"/>
        <v/>
      </c>
      <c r="AU1250" s="152"/>
      <c r="AV1250" s="147" t="str">
        <f>'Deterministic Reserve'!BC1250</f>
        <v/>
      </c>
      <c r="AY1250" s="152"/>
    </row>
    <row r="1251" spans="1:51" s="150" customFormat="1" x14ac:dyDescent="0.25">
      <c r="A1251" s="150" t="str">
        <f t="shared" si="413"/>
        <v/>
      </c>
      <c r="B1251" s="150" t="str">
        <f t="shared" si="414"/>
        <v/>
      </c>
      <c r="C1251" s="150" t="str">
        <f t="shared" si="415"/>
        <v/>
      </c>
      <c r="D1251" s="150" t="str">
        <f>IF(E1251="","",Input!$C$4+B1251-1)</f>
        <v/>
      </c>
      <c r="E1251" s="150" t="str">
        <f>IF(OR(AND(C1250=12,D1250=Input!$C$6),E1250=""),"",1)</f>
        <v/>
      </c>
      <c r="G1251" s="151" t="str">
        <f>IF(E1251="","",MAX(0,Input!$C$9-B1251))</f>
        <v/>
      </c>
      <c r="H1251" s="152" t="str">
        <f>IF(E1251="","",Input!$C$3)</f>
        <v/>
      </c>
      <c r="I1251" s="153" t="str">
        <f>IF(E1251="","",HLOOKUP($B1251,Input!$C$13:$BT$14,2))</f>
        <v/>
      </c>
      <c r="J1251" s="154"/>
      <c r="K1251" s="150" t="str">
        <f>IF($E1251="","",Input!$C$57)</f>
        <v/>
      </c>
      <c r="L1251" s="150" t="str">
        <f t="shared" si="406"/>
        <v/>
      </c>
      <c r="M1251" s="147" t="str">
        <f>IF($E1251="","",VLOOKUP(IF($B1251&lt;=Input!$C$7,$B1251,26),'Mortality Tables'!$A$72:$CA$97,IF($B1251&lt;=Input!$C$7+1,Input!$C$4-16,$D1251-Input!$C$7-16),0)/1000)</f>
        <v/>
      </c>
      <c r="N1251" s="147" t="str">
        <f t="shared" si="397"/>
        <v/>
      </c>
      <c r="O1251" s="157" t="str">
        <f>IF($E1251="","",IF($C1251=12,IF($B1251&lt;Input!$C$9,Input!$C$54,IF($B1251=Input!$C$9,Input!$C$55,Input!$C$56)),0%))</f>
        <v/>
      </c>
      <c r="P1251" s="167" t="str">
        <f>IF($E1251="","",IF($B1251=1,Input!$C$59,IF($B1251&lt;6,Input!$C$60,0%)))</f>
        <v/>
      </c>
      <c r="Q1251" s="162" t="str">
        <f>IF($E1251="","",Input!$C$58)</f>
        <v/>
      </c>
      <c r="R1251" s="156" t="str">
        <f t="shared" si="407"/>
        <v/>
      </c>
      <c r="S1251" s="154" t="str">
        <f t="shared" si="398"/>
        <v/>
      </c>
      <c r="T1251" s="152"/>
      <c r="U1251" s="150" t="str">
        <f t="shared" si="408"/>
        <v/>
      </c>
      <c r="V1251" s="150" t="str">
        <f t="shared" si="409"/>
        <v/>
      </c>
      <c r="W1251" s="168" t="str">
        <f t="shared" si="410"/>
        <v/>
      </c>
      <c r="X1251" s="163" t="str">
        <f t="shared" si="399"/>
        <v/>
      </c>
      <c r="Y1251" s="152"/>
      <c r="Z1251" s="164" t="str">
        <f>IF(AND($C1250=12,$D1250=Input!$C$6),0,IF($E1251="","",V1251+Z1252/(1+L1251)*R1251))</f>
        <v/>
      </c>
      <c r="AA1251" s="164" t="str">
        <f>IF(OR($M1251=1,AND($C1250=12,$D1250=Input!$C$6)),0,IF($E1251="","",W1251+(X1251+AA1252*$R1251)/(1+$L1251)))</f>
        <v/>
      </c>
      <c r="AB1251" s="160" t="str">
        <f t="shared" si="400"/>
        <v/>
      </c>
      <c r="AC1251" s="164" t="str">
        <f t="shared" si="401"/>
        <v/>
      </c>
      <c r="AD1251" s="164" t="str">
        <f>IF(AND($C1250=12,$D1250=Input!$C$6),0,IF($E1251="","",$AC1251+AD1252/(1+$L1251)*$R1251))</f>
        <v/>
      </c>
      <c r="AE1251" s="152"/>
      <c r="AF1251" s="164" t="str">
        <f>IF(AND($C1250=12,$D1250=Input!$C$6),0,IF($E1251="","",IF($B1251&gt;Input!$C$9,$AC1251,0)+AF1252/(1+$L1251)*$R1251))</f>
        <v/>
      </c>
      <c r="AG1251" s="164" t="str">
        <f>IF(AND($C1250=12,$D1250=Input!$C$6),0,IF($E1251="","",(IF($B1251&gt;Input!$C$9,$X1251,0)+AG1252)/(1+$L1251)*$R1251))</f>
        <v/>
      </c>
      <c r="AH1251" s="160" t="str">
        <f t="shared" si="402"/>
        <v/>
      </c>
      <c r="AI1251" s="160" t="str">
        <f>IF($E1251="","",MIN(Input!$C$61/AH1251,1))</f>
        <v/>
      </c>
      <c r="AJ1251" s="152"/>
      <c r="AK1251" s="164" t="str">
        <f>IF(AND($C1250=12,$D1250=Input!$C$6),0,IF($E1251="","",IF($B1251&gt;Input!$C$9,$AC1251*AI1251,0)+AK1252/(1+$L1251)*$R1251))</f>
        <v/>
      </c>
      <c r="AL1251" s="164" t="str">
        <f>IF(AND($C1250=12,$D1250=Input!$C$6),0,IF($E1251="","",IF($B1251&gt;Input!$C$9,0,$AC1251)+AL1252/(1+$L1251)*$R1251))</f>
        <v/>
      </c>
      <c r="AM1251" s="160" t="str">
        <f t="shared" si="403"/>
        <v/>
      </c>
      <c r="AN1251" s="164" t="str">
        <f>IF($E1251="","",IF($B1251&gt;Input!$C$9,$AI1251*$AC1251,$AM1251*$AC1251))</f>
        <v/>
      </c>
      <c r="AO1251" s="164" t="str">
        <f>IF(AND($C1250=12,$D1250=Input!$C$6),0,IF($E1251="","",$AN1251+AO1252/(1+$L1251)*$R1251))</f>
        <v/>
      </c>
      <c r="AP1251" s="152"/>
      <c r="AQ1251" s="150" t="str">
        <f t="shared" si="404"/>
        <v/>
      </c>
      <c r="AR1251" s="150" t="str">
        <f t="shared" si="411"/>
        <v/>
      </c>
      <c r="AS1251" s="150" t="str">
        <f t="shared" si="412"/>
        <v/>
      </c>
      <c r="AT1251" s="150" t="str">
        <f t="shared" si="405"/>
        <v/>
      </c>
      <c r="AU1251" s="152"/>
      <c r="AV1251" s="147" t="str">
        <f>'Deterministic Reserve'!BC1251</f>
        <v/>
      </c>
      <c r="AY1251" s="152"/>
    </row>
    <row r="1252" spans="1:51" s="150" customFormat="1" x14ac:dyDescent="0.25">
      <c r="A1252" s="150" t="str">
        <f t="shared" si="413"/>
        <v/>
      </c>
      <c r="B1252" s="150" t="str">
        <f t="shared" si="414"/>
        <v/>
      </c>
      <c r="C1252" s="150" t="str">
        <f t="shared" si="415"/>
        <v/>
      </c>
      <c r="D1252" s="150" t="str">
        <f>IF(E1252="","",Input!$C$4+B1252-1)</f>
        <v/>
      </c>
      <c r="E1252" s="150" t="str">
        <f>IF(OR(AND(C1251=12,D1251=Input!$C$6),E1251=""),"",1)</f>
        <v/>
      </c>
      <c r="G1252" s="151" t="str">
        <f>IF(E1252="","",MAX(0,Input!$C$9-B1252))</f>
        <v/>
      </c>
      <c r="H1252" s="152" t="str">
        <f>IF(E1252="","",Input!$C$3)</f>
        <v/>
      </c>
      <c r="I1252" s="153" t="str">
        <f>IF(E1252="","",HLOOKUP($B1252,Input!$C$13:$BT$14,2))</f>
        <v/>
      </c>
      <c r="J1252" s="154"/>
      <c r="K1252" s="150" t="str">
        <f>IF($E1252="","",Input!$C$57)</f>
        <v/>
      </c>
      <c r="L1252" s="150" t="str">
        <f t="shared" si="406"/>
        <v/>
      </c>
      <c r="M1252" s="147" t="str">
        <f>IF($E1252="","",VLOOKUP(IF($B1252&lt;=Input!$C$7,$B1252,26),'Mortality Tables'!$A$72:$CA$97,IF($B1252&lt;=Input!$C$7+1,Input!$C$4-16,$D1252-Input!$C$7-16),0)/1000)</f>
        <v/>
      </c>
      <c r="N1252" s="147" t="str">
        <f t="shared" si="397"/>
        <v/>
      </c>
      <c r="O1252" s="157" t="str">
        <f>IF($E1252="","",IF($C1252=12,IF($B1252&lt;Input!$C$9,Input!$C$54,IF($B1252=Input!$C$9,Input!$C$55,Input!$C$56)),0%))</f>
        <v/>
      </c>
      <c r="P1252" s="167" t="str">
        <f>IF($E1252="","",IF($B1252=1,Input!$C$59,IF($B1252&lt;6,Input!$C$60,0%)))</f>
        <v/>
      </c>
      <c r="Q1252" s="162" t="str">
        <f>IF($E1252="","",Input!$C$58)</f>
        <v/>
      </c>
      <c r="R1252" s="156" t="str">
        <f t="shared" si="407"/>
        <v/>
      </c>
      <c r="S1252" s="154" t="str">
        <f t="shared" si="398"/>
        <v/>
      </c>
      <c r="T1252" s="152"/>
      <c r="U1252" s="150" t="str">
        <f t="shared" si="408"/>
        <v/>
      </c>
      <c r="V1252" s="150" t="str">
        <f t="shared" si="409"/>
        <v/>
      </c>
      <c r="W1252" s="168" t="str">
        <f t="shared" si="410"/>
        <v/>
      </c>
      <c r="X1252" s="163" t="str">
        <f t="shared" si="399"/>
        <v/>
      </c>
      <c r="Y1252" s="152"/>
      <c r="Z1252" s="164" t="str">
        <f>IF(AND($C1251=12,$D1251=Input!$C$6),0,IF($E1252="","",V1252+Z1253/(1+L1252)*R1252))</f>
        <v/>
      </c>
      <c r="AA1252" s="164" t="str">
        <f>IF(OR($M1252=1,AND($C1251=12,$D1251=Input!$C$6)),0,IF($E1252="","",W1252+(X1252+AA1253*$R1252)/(1+$L1252)))</f>
        <v/>
      </c>
      <c r="AB1252" s="160" t="str">
        <f t="shared" si="400"/>
        <v/>
      </c>
      <c r="AC1252" s="164" t="str">
        <f t="shared" si="401"/>
        <v/>
      </c>
      <c r="AD1252" s="164" t="str">
        <f>IF(AND($C1251=12,$D1251=Input!$C$6),0,IF($E1252="","",$AC1252+AD1253/(1+$L1252)*$R1252))</f>
        <v/>
      </c>
      <c r="AE1252" s="152"/>
      <c r="AF1252" s="164" t="str">
        <f>IF(AND($C1251=12,$D1251=Input!$C$6),0,IF($E1252="","",IF($B1252&gt;Input!$C$9,$AC1252,0)+AF1253/(1+$L1252)*$R1252))</f>
        <v/>
      </c>
      <c r="AG1252" s="164" t="str">
        <f>IF(AND($C1251=12,$D1251=Input!$C$6),0,IF($E1252="","",(IF($B1252&gt;Input!$C$9,$X1252,0)+AG1253)/(1+$L1252)*$R1252))</f>
        <v/>
      </c>
      <c r="AH1252" s="160" t="str">
        <f t="shared" si="402"/>
        <v/>
      </c>
      <c r="AI1252" s="160" t="str">
        <f>IF($E1252="","",MIN(Input!$C$61/AH1252,1))</f>
        <v/>
      </c>
      <c r="AJ1252" s="152"/>
      <c r="AK1252" s="164" t="str">
        <f>IF(AND($C1251=12,$D1251=Input!$C$6),0,IF($E1252="","",IF($B1252&gt;Input!$C$9,$AC1252*AI1252,0)+AK1253/(1+$L1252)*$R1252))</f>
        <v/>
      </c>
      <c r="AL1252" s="164" t="str">
        <f>IF(AND($C1251=12,$D1251=Input!$C$6),0,IF($E1252="","",IF($B1252&gt;Input!$C$9,0,$AC1252)+AL1253/(1+$L1252)*$R1252))</f>
        <v/>
      </c>
      <c r="AM1252" s="160" t="str">
        <f t="shared" si="403"/>
        <v/>
      </c>
      <c r="AN1252" s="164" t="str">
        <f>IF($E1252="","",IF($B1252&gt;Input!$C$9,$AI1252*$AC1252,$AM1252*$AC1252))</f>
        <v/>
      </c>
      <c r="AO1252" s="164" t="str">
        <f>IF(AND($C1251=12,$D1251=Input!$C$6),0,IF($E1252="","",$AN1252+AO1253/(1+$L1252)*$R1252))</f>
        <v/>
      </c>
      <c r="AP1252" s="152"/>
      <c r="AQ1252" s="150" t="str">
        <f t="shared" si="404"/>
        <v/>
      </c>
      <c r="AR1252" s="150" t="str">
        <f t="shared" si="411"/>
        <v/>
      </c>
      <c r="AS1252" s="150" t="str">
        <f t="shared" si="412"/>
        <v/>
      </c>
      <c r="AT1252" s="150" t="str">
        <f t="shared" si="405"/>
        <v/>
      </c>
      <c r="AU1252" s="152"/>
      <c r="AV1252" s="147" t="str">
        <f>'Deterministic Reserve'!BC1252</f>
        <v/>
      </c>
      <c r="AY1252" s="152"/>
    </row>
    <row r="1253" spans="1:51" s="150" customFormat="1" x14ac:dyDescent="0.25">
      <c r="A1253" s="150" t="str">
        <f t="shared" si="413"/>
        <v/>
      </c>
      <c r="B1253" s="150" t="str">
        <f t="shared" si="414"/>
        <v/>
      </c>
      <c r="C1253" s="150" t="str">
        <f t="shared" si="415"/>
        <v/>
      </c>
      <c r="D1253" s="150" t="str">
        <f>IF(E1253="","",Input!$C$4+B1253-1)</f>
        <v/>
      </c>
      <c r="E1253" s="150" t="str">
        <f>IF(OR(AND(C1252=12,D1252=Input!$C$6),E1252=""),"",1)</f>
        <v/>
      </c>
      <c r="G1253" s="151" t="str">
        <f>IF(E1253="","",MAX(0,Input!$C$9-B1253))</f>
        <v/>
      </c>
      <c r="H1253" s="152" t="str">
        <f>IF(E1253="","",Input!$C$3)</f>
        <v/>
      </c>
      <c r="I1253" s="153" t="str">
        <f>IF(E1253="","",HLOOKUP($B1253,Input!$C$13:$BT$14,2))</f>
        <v/>
      </c>
      <c r="J1253" s="154"/>
      <c r="K1253" s="150" t="str">
        <f>IF($E1253="","",Input!$C$57)</f>
        <v/>
      </c>
      <c r="L1253" s="150" t="str">
        <f t="shared" si="406"/>
        <v/>
      </c>
      <c r="M1253" s="147" t="str">
        <f>IF($E1253="","",VLOOKUP(IF($B1253&lt;=Input!$C$7,$B1253,26),'Mortality Tables'!$A$72:$CA$97,IF($B1253&lt;=Input!$C$7+1,Input!$C$4-16,$D1253-Input!$C$7-16),0)/1000)</f>
        <v/>
      </c>
      <c r="N1253" s="147" t="str">
        <f t="shared" si="397"/>
        <v/>
      </c>
      <c r="O1253" s="157" t="str">
        <f>IF($E1253="","",IF($C1253=12,IF($B1253&lt;Input!$C$9,Input!$C$54,IF($B1253=Input!$C$9,Input!$C$55,Input!$C$56)),0%))</f>
        <v/>
      </c>
      <c r="P1253" s="167" t="str">
        <f>IF($E1253="","",IF($B1253=1,Input!$C$59,IF($B1253&lt;6,Input!$C$60,0%)))</f>
        <v/>
      </c>
      <c r="Q1253" s="162" t="str">
        <f>IF($E1253="","",Input!$C$58)</f>
        <v/>
      </c>
      <c r="R1253" s="156" t="str">
        <f t="shared" si="407"/>
        <v/>
      </c>
      <c r="S1253" s="154" t="str">
        <f t="shared" si="398"/>
        <v/>
      </c>
      <c r="T1253" s="152"/>
      <c r="U1253" s="150" t="str">
        <f t="shared" si="408"/>
        <v/>
      </c>
      <c r="V1253" s="150" t="str">
        <f t="shared" si="409"/>
        <v/>
      </c>
      <c r="W1253" s="168" t="str">
        <f t="shared" si="410"/>
        <v/>
      </c>
      <c r="X1253" s="163" t="str">
        <f t="shared" si="399"/>
        <v/>
      </c>
      <c r="Y1253" s="152"/>
      <c r="Z1253" s="164" t="str">
        <f>IF(AND($C1252=12,$D1252=Input!$C$6),0,IF($E1253="","",V1253+Z1254/(1+L1253)*R1253))</f>
        <v/>
      </c>
      <c r="AA1253" s="164" t="str">
        <f>IF(OR($M1253=1,AND($C1252=12,$D1252=Input!$C$6)),0,IF($E1253="","",W1253+(X1253+AA1254*$R1253)/(1+$L1253)))</f>
        <v/>
      </c>
      <c r="AB1253" s="160" t="str">
        <f t="shared" si="400"/>
        <v/>
      </c>
      <c r="AC1253" s="164" t="str">
        <f t="shared" si="401"/>
        <v/>
      </c>
      <c r="AD1253" s="164" t="str">
        <f>IF(AND($C1252=12,$D1252=Input!$C$6),0,IF($E1253="","",$AC1253+AD1254/(1+$L1253)*$R1253))</f>
        <v/>
      </c>
      <c r="AE1253" s="152"/>
      <c r="AF1253" s="164" t="str">
        <f>IF(AND($C1252=12,$D1252=Input!$C$6),0,IF($E1253="","",IF($B1253&gt;Input!$C$9,$AC1253,0)+AF1254/(1+$L1253)*$R1253))</f>
        <v/>
      </c>
      <c r="AG1253" s="164" t="str">
        <f>IF(AND($C1252=12,$D1252=Input!$C$6),0,IF($E1253="","",(IF($B1253&gt;Input!$C$9,$X1253,0)+AG1254)/(1+$L1253)*$R1253))</f>
        <v/>
      </c>
      <c r="AH1253" s="160" t="str">
        <f t="shared" si="402"/>
        <v/>
      </c>
      <c r="AI1253" s="160" t="str">
        <f>IF($E1253="","",MIN(Input!$C$61/AH1253,1))</f>
        <v/>
      </c>
      <c r="AJ1253" s="152"/>
      <c r="AK1253" s="164" t="str">
        <f>IF(AND($C1252=12,$D1252=Input!$C$6),0,IF($E1253="","",IF($B1253&gt;Input!$C$9,$AC1253*AI1253,0)+AK1254/(1+$L1253)*$R1253))</f>
        <v/>
      </c>
      <c r="AL1253" s="164" t="str">
        <f>IF(AND($C1252=12,$D1252=Input!$C$6),0,IF($E1253="","",IF($B1253&gt;Input!$C$9,0,$AC1253)+AL1254/(1+$L1253)*$R1253))</f>
        <v/>
      </c>
      <c r="AM1253" s="160" t="str">
        <f t="shared" si="403"/>
        <v/>
      </c>
      <c r="AN1253" s="164" t="str">
        <f>IF($E1253="","",IF($B1253&gt;Input!$C$9,$AI1253*$AC1253,$AM1253*$AC1253))</f>
        <v/>
      </c>
      <c r="AO1253" s="164" t="str">
        <f>IF(AND($C1252=12,$D1252=Input!$C$6),0,IF($E1253="","",$AN1253+AO1254/(1+$L1253)*$R1253))</f>
        <v/>
      </c>
      <c r="AP1253" s="152"/>
      <c r="AQ1253" s="150" t="str">
        <f t="shared" si="404"/>
        <v/>
      </c>
      <c r="AR1253" s="150" t="str">
        <f t="shared" si="411"/>
        <v/>
      </c>
      <c r="AS1253" s="150" t="str">
        <f t="shared" si="412"/>
        <v/>
      </c>
      <c r="AT1253" s="150" t="str">
        <f t="shared" si="405"/>
        <v/>
      </c>
      <c r="AU1253" s="152"/>
      <c r="AV1253" s="147" t="str">
        <f>'Deterministic Reserve'!BC1253</f>
        <v/>
      </c>
      <c r="AY1253" s="152"/>
    </row>
    <row r="1254" spans="1:51" s="150" customFormat="1" x14ac:dyDescent="0.25">
      <c r="A1254" s="150" t="str">
        <f t="shared" si="413"/>
        <v/>
      </c>
      <c r="B1254" s="150" t="str">
        <f t="shared" si="414"/>
        <v/>
      </c>
      <c r="C1254" s="150" t="str">
        <f t="shared" si="415"/>
        <v/>
      </c>
      <c r="D1254" s="150" t="str">
        <f>IF(E1254="","",Input!$C$4+B1254-1)</f>
        <v/>
      </c>
      <c r="E1254" s="150" t="str">
        <f>IF(OR(AND(C1253=12,D1253=Input!$C$6),E1253=""),"",1)</f>
        <v/>
      </c>
      <c r="G1254" s="151" t="str">
        <f>IF(E1254="","",MAX(0,Input!$C$9-B1254))</f>
        <v/>
      </c>
      <c r="H1254" s="152" t="str">
        <f>IF(E1254="","",Input!$C$3)</f>
        <v/>
      </c>
      <c r="I1254" s="153" t="str">
        <f>IF(E1254="","",HLOOKUP($B1254,Input!$C$13:$BT$14,2))</f>
        <v/>
      </c>
      <c r="J1254" s="154"/>
      <c r="K1254" s="150" t="str">
        <f>IF($E1254="","",Input!$C$57)</f>
        <v/>
      </c>
      <c r="L1254" s="150" t="str">
        <f t="shared" si="406"/>
        <v/>
      </c>
      <c r="M1254" s="147" t="str">
        <f>IF($E1254="","",VLOOKUP(IF($B1254&lt;=Input!$C$7,$B1254,26),'Mortality Tables'!$A$72:$CA$97,IF($B1254&lt;=Input!$C$7+1,Input!$C$4-16,$D1254-Input!$C$7-16),0)/1000)</f>
        <v/>
      </c>
      <c r="N1254" s="147" t="str">
        <f t="shared" si="397"/>
        <v/>
      </c>
      <c r="O1254" s="157" t="str">
        <f>IF($E1254="","",IF($C1254=12,IF($B1254&lt;Input!$C$9,Input!$C$54,IF($B1254=Input!$C$9,Input!$C$55,Input!$C$56)),0%))</f>
        <v/>
      </c>
      <c r="P1254" s="167" t="str">
        <f>IF($E1254="","",IF($B1254=1,Input!$C$59,IF($B1254&lt;6,Input!$C$60,0%)))</f>
        <v/>
      </c>
      <c r="Q1254" s="162" t="str">
        <f>IF($E1254="","",Input!$C$58)</f>
        <v/>
      </c>
      <c r="R1254" s="156" t="str">
        <f t="shared" si="407"/>
        <v/>
      </c>
      <c r="S1254" s="154" t="str">
        <f t="shared" si="398"/>
        <v/>
      </c>
      <c r="T1254" s="152"/>
      <c r="U1254" s="150" t="str">
        <f t="shared" si="408"/>
        <v/>
      </c>
      <c r="V1254" s="150" t="str">
        <f t="shared" si="409"/>
        <v/>
      </c>
      <c r="W1254" s="168" t="str">
        <f t="shared" si="410"/>
        <v/>
      </c>
      <c r="X1254" s="163" t="str">
        <f t="shared" si="399"/>
        <v/>
      </c>
      <c r="Y1254" s="152"/>
      <c r="Z1254" s="164" t="str">
        <f>IF(AND($C1253=12,$D1253=Input!$C$6),0,IF($E1254="","",V1254+Z1255/(1+L1254)*R1254))</f>
        <v/>
      </c>
      <c r="AA1254" s="164" t="str">
        <f>IF(OR($M1254=1,AND($C1253=12,$D1253=Input!$C$6)),0,IF($E1254="","",W1254+(X1254+AA1255*$R1254)/(1+$L1254)))</f>
        <v/>
      </c>
      <c r="AB1254" s="160" t="str">
        <f t="shared" si="400"/>
        <v/>
      </c>
      <c r="AC1254" s="164" t="str">
        <f t="shared" si="401"/>
        <v/>
      </c>
      <c r="AD1254" s="164" t="str">
        <f>IF(AND($C1253=12,$D1253=Input!$C$6),0,IF($E1254="","",$AC1254+AD1255/(1+$L1254)*$R1254))</f>
        <v/>
      </c>
      <c r="AE1254" s="152"/>
      <c r="AF1254" s="164" t="str">
        <f>IF(AND($C1253=12,$D1253=Input!$C$6),0,IF($E1254="","",IF($B1254&gt;Input!$C$9,$AC1254,0)+AF1255/(1+$L1254)*$R1254))</f>
        <v/>
      </c>
      <c r="AG1254" s="164" t="str">
        <f>IF(AND($C1253=12,$D1253=Input!$C$6),0,IF($E1254="","",(IF($B1254&gt;Input!$C$9,$X1254,0)+AG1255)/(1+$L1254)*$R1254))</f>
        <v/>
      </c>
      <c r="AH1254" s="160" t="str">
        <f t="shared" si="402"/>
        <v/>
      </c>
      <c r="AI1254" s="160" t="str">
        <f>IF($E1254="","",MIN(Input!$C$61/AH1254,1))</f>
        <v/>
      </c>
      <c r="AJ1254" s="152"/>
      <c r="AK1254" s="164" t="str">
        <f>IF(AND($C1253=12,$D1253=Input!$C$6),0,IF($E1254="","",IF($B1254&gt;Input!$C$9,$AC1254*AI1254,0)+AK1255/(1+$L1254)*$R1254))</f>
        <v/>
      </c>
      <c r="AL1254" s="164" t="str">
        <f>IF(AND($C1253=12,$D1253=Input!$C$6),0,IF($E1254="","",IF($B1254&gt;Input!$C$9,0,$AC1254)+AL1255/(1+$L1254)*$R1254))</f>
        <v/>
      </c>
      <c r="AM1254" s="160" t="str">
        <f t="shared" si="403"/>
        <v/>
      </c>
      <c r="AN1254" s="164" t="str">
        <f>IF($E1254="","",IF($B1254&gt;Input!$C$9,$AI1254*$AC1254,$AM1254*$AC1254))</f>
        <v/>
      </c>
      <c r="AO1254" s="164" t="str">
        <f>IF(AND($C1253=12,$D1253=Input!$C$6),0,IF($E1254="","",$AN1254+AO1255/(1+$L1254)*$R1254))</f>
        <v/>
      </c>
      <c r="AP1254" s="152"/>
      <c r="AQ1254" s="150" t="str">
        <f t="shared" si="404"/>
        <v/>
      </c>
      <c r="AR1254" s="150" t="str">
        <f t="shared" si="411"/>
        <v/>
      </c>
      <c r="AS1254" s="150" t="str">
        <f t="shared" si="412"/>
        <v/>
      </c>
      <c r="AT1254" s="150" t="str">
        <f t="shared" si="405"/>
        <v/>
      </c>
      <c r="AU1254" s="152"/>
      <c r="AV1254" s="147" t="str">
        <f>'Deterministic Reserve'!BC1254</f>
        <v/>
      </c>
      <c r="AY1254" s="152"/>
    </row>
    <row r="1255" spans="1:51" s="150" customFormat="1" x14ac:dyDescent="0.25">
      <c r="A1255" s="150" t="str">
        <f t="shared" si="413"/>
        <v/>
      </c>
      <c r="B1255" s="150" t="str">
        <f t="shared" si="414"/>
        <v/>
      </c>
      <c r="C1255" s="150" t="str">
        <f t="shared" si="415"/>
        <v/>
      </c>
      <c r="D1255" s="150" t="str">
        <f>IF(E1255="","",Input!$C$4+B1255-1)</f>
        <v/>
      </c>
      <c r="E1255" s="150" t="str">
        <f>IF(OR(AND(C1254=12,D1254=Input!$C$6),E1254=""),"",1)</f>
        <v/>
      </c>
      <c r="G1255" s="151" t="str">
        <f>IF(E1255="","",MAX(0,Input!$C$9-B1255))</f>
        <v/>
      </c>
      <c r="H1255" s="152" t="str">
        <f>IF(E1255="","",Input!$C$3)</f>
        <v/>
      </c>
      <c r="I1255" s="153" t="str">
        <f>IF(E1255="","",HLOOKUP($B1255,Input!$C$13:$BT$14,2))</f>
        <v/>
      </c>
      <c r="J1255" s="154"/>
      <c r="K1255" s="150" t="str">
        <f>IF($E1255="","",Input!$C$57)</f>
        <v/>
      </c>
      <c r="L1255" s="150" t="str">
        <f t="shared" si="406"/>
        <v/>
      </c>
      <c r="M1255" s="147" t="str">
        <f>IF($E1255="","",VLOOKUP(IF($B1255&lt;=Input!$C$7,$B1255,26),'Mortality Tables'!$A$72:$CA$97,IF($B1255&lt;=Input!$C$7+1,Input!$C$4-16,$D1255-Input!$C$7-16),0)/1000)</f>
        <v/>
      </c>
      <c r="N1255" s="147" t="str">
        <f t="shared" si="397"/>
        <v/>
      </c>
      <c r="O1255" s="157" t="str">
        <f>IF($E1255="","",IF($C1255=12,IF($B1255&lt;Input!$C$9,Input!$C$54,IF($B1255=Input!$C$9,Input!$C$55,Input!$C$56)),0%))</f>
        <v/>
      </c>
      <c r="P1255" s="167" t="str">
        <f>IF($E1255="","",IF($B1255=1,Input!$C$59,IF($B1255&lt;6,Input!$C$60,0%)))</f>
        <v/>
      </c>
      <c r="Q1255" s="162" t="str">
        <f>IF($E1255="","",Input!$C$58)</f>
        <v/>
      </c>
      <c r="R1255" s="156" t="str">
        <f t="shared" si="407"/>
        <v/>
      </c>
      <c r="S1255" s="154" t="str">
        <f t="shared" si="398"/>
        <v/>
      </c>
      <c r="T1255" s="152"/>
      <c r="U1255" s="150" t="str">
        <f t="shared" si="408"/>
        <v/>
      </c>
      <c r="V1255" s="150" t="str">
        <f t="shared" si="409"/>
        <v/>
      </c>
      <c r="W1255" s="168" t="str">
        <f t="shared" si="410"/>
        <v/>
      </c>
      <c r="X1255" s="163" t="str">
        <f t="shared" si="399"/>
        <v/>
      </c>
      <c r="Y1255" s="152"/>
      <c r="Z1255" s="164" t="str">
        <f>IF(AND($C1254=12,$D1254=Input!$C$6),0,IF($E1255="","",V1255+Z1256/(1+L1255)*R1255))</f>
        <v/>
      </c>
      <c r="AA1255" s="164" t="str">
        <f>IF(OR($M1255=1,AND($C1254=12,$D1254=Input!$C$6)),0,IF($E1255="","",W1255+(X1255+AA1256*$R1255)/(1+$L1255)))</f>
        <v/>
      </c>
      <c r="AB1255" s="160" t="str">
        <f t="shared" si="400"/>
        <v/>
      </c>
      <c r="AC1255" s="164" t="str">
        <f t="shared" si="401"/>
        <v/>
      </c>
      <c r="AD1255" s="164" t="str">
        <f>IF(AND($C1254=12,$D1254=Input!$C$6),0,IF($E1255="","",$AC1255+AD1256/(1+$L1255)*$R1255))</f>
        <v/>
      </c>
      <c r="AE1255" s="152"/>
      <c r="AF1255" s="164" t="str">
        <f>IF(AND($C1254=12,$D1254=Input!$C$6),0,IF($E1255="","",IF($B1255&gt;Input!$C$9,$AC1255,0)+AF1256/(1+$L1255)*$R1255))</f>
        <v/>
      </c>
      <c r="AG1255" s="164" t="str">
        <f>IF(AND($C1254=12,$D1254=Input!$C$6),0,IF($E1255="","",(IF($B1255&gt;Input!$C$9,$X1255,0)+AG1256)/(1+$L1255)*$R1255))</f>
        <v/>
      </c>
      <c r="AH1255" s="160" t="str">
        <f t="shared" si="402"/>
        <v/>
      </c>
      <c r="AI1255" s="160" t="str">
        <f>IF($E1255="","",MIN(Input!$C$61/AH1255,1))</f>
        <v/>
      </c>
      <c r="AJ1255" s="152"/>
      <c r="AK1255" s="164" t="str">
        <f>IF(AND($C1254=12,$D1254=Input!$C$6),0,IF($E1255="","",IF($B1255&gt;Input!$C$9,$AC1255*AI1255,0)+AK1256/(1+$L1255)*$R1255))</f>
        <v/>
      </c>
      <c r="AL1255" s="164" t="str">
        <f>IF(AND($C1254=12,$D1254=Input!$C$6),0,IF($E1255="","",IF($B1255&gt;Input!$C$9,0,$AC1255)+AL1256/(1+$L1255)*$R1255))</f>
        <v/>
      </c>
      <c r="AM1255" s="160" t="str">
        <f t="shared" si="403"/>
        <v/>
      </c>
      <c r="AN1255" s="164" t="str">
        <f>IF($E1255="","",IF($B1255&gt;Input!$C$9,$AI1255*$AC1255,$AM1255*$AC1255))</f>
        <v/>
      </c>
      <c r="AO1255" s="164" t="str">
        <f>IF(AND($C1254=12,$D1254=Input!$C$6),0,IF($E1255="","",$AN1255+AO1256/(1+$L1255)*$R1255))</f>
        <v/>
      </c>
      <c r="AP1255" s="152"/>
      <c r="AQ1255" s="150" t="str">
        <f t="shared" si="404"/>
        <v/>
      </c>
      <c r="AR1255" s="150" t="str">
        <f t="shared" si="411"/>
        <v/>
      </c>
      <c r="AS1255" s="150" t="str">
        <f t="shared" si="412"/>
        <v/>
      </c>
      <c r="AT1255" s="150" t="str">
        <f t="shared" si="405"/>
        <v/>
      </c>
      <c r="AU1255" s="152"/>
      <c r="AV1255" s="147" t="str">
        <f>'Deterministic Reserve'!BC1255</f>
        <v/>
      </c>
      <c r="AY1255" s="152"/>
    </row>
    <row r="1256" spans="1:51" s="150" customFormat="1" x14ac:dyDescent="0.25">
      <c r="A1256" s="150" t="str">
        <f t="shared" si="413"/>
        <v/>
      </c>
      <c r="B1256" s="150" t="str">
        <f t="shared" si="414"/>
        <v/>
      </c>
      <c r="C1256" s="150" t="str">
        <f t="shared" si="415"/>
        <v/>
      </c>
      <c r="D1256" s="150" t="str">
        <f>IF(E1256="","",Input!$C$4+B1256-1)</f>
        <v/>
      </c>
      <c r="E1256" s="150" t="str">
        <f>IF(OR(AND(C1255=12,D1255=Input!$C$6),E1255=""),"",1)</f>
        <v/>
      </c>
      <c r="G1256" s="151" t="str">
        <f>IF(E1256="","",MAX(0,Input!$C$9-B1256))</f>
        <v/>
      </c>
      <c r="H1256" s="152" t="str">
        <f>IF(E1256="","",Input!$C$3)</f>
        <v/>
      </c>
      <c r="I1256" s="153" t="str">
        <f>IF(E1256="","",HLOOKUP($B1256,Input!$C$13:$BT$14,2))</f>
        <v/>
      </c>
      <c r="J1256" s="154"/>
      <c r="K1256" s="150" t="str">
        <f>IF($E1256="","",Input!$C$57)</f>
        <v/>
      </c>
      <c r="L1256" s="150" t="str">
        <f t="shared" si="406"/>
        <v/>
      </c>
      <c r="M1256" s="147" t="str">
        <f>IF($E1256="","",VLOOKUP(IF($B1256&lt;=Input!$C$7,$B1256,26),'Mortality Tables'!$A$72:$CA$97,IF($B1256&lt;=Input!$C$7+1,Input!$C$4-16,$D1256-Input!$C$7-16),0)/1000)</f>
        <v/>
      </c>
      <c r="N1256" s="147" t="str">
        <f t="shared" si="397"/>
        <v/>
      </c>
      <c r="O1256" s="157" t="str">
        <f>IF($E1256="","",IF($C1256=12,IF($B1256&lt;Input!$C$9,Input!$C$54,IF($B1256=Input!$C$9,Input!$C$55,Input!$C$56)),0%))</f>
        <v/>
      </c>
      <c r="P1256" s="167" t="str">
        <f>IF($E1256="","",IF($B1256=1,Input!$C$59,IF($B1256&lt;6,Input!$C$60,0%)))</f>
        <v/>
      </c>
      <c r="Q1256" s="162" t="str">
        <f>IF($E1256="","",Input!$C$58)</f>
        <v/>
      </c>
      <c r="R1256" s="156" t="str">
        <f t="shared" si="407"/>
        <v/>
      </c>
      <c r="S1256" s="154" t="str">
        <f t="shared" si="398"/>
        <v/>
      </c>
      <c r="T1256" s="152"/>
      <c r="U1256" s="150" t="str">
        <f t="shared" si="408"/>
        <v/>
      </c>
      <c r="V1256" s="150" t="str">
        <f t="shared" si="409"/>
        <v/>
      </c>
      <c r="W1256" s="168" t="str">
        <f t="shared" si="410"/>
        <v/>
      </c>
      <c r="X1256" s="163" t="str">
        <f t="shared" si="399"/>
        <v/>
      </c>
      <c r="Y1256" s="152"/>
      <c r="Z1256" s="164" t="str">
        <f>IF(AND($C1255=12,$D1255=Input!$C$6),0,IF($E1256="","",V1256+Z1257/(1+L1256)*R1256))</f>
        <v/>
      </c>
      <c r="AA1256" s="164" t="str">
        <f>IF(OR($M1256=1,AND($C1255=12,$D1255=Input!$C$6)),0,IF($E1256="","",W1256+(X1256+AA1257*$R1256)/(1+$L1256)))</f>
        <v/>
      </c>
      <c r="AB1256" s="160" t="str">
        <f t="shared" si="400"/>
        <v/>
      </c>
      <c r="AC1256" s="164" t="str">
        <f t="shared" si="401"/>
        <v/>
      </c>
      <c r="AD1256" s="164" t="str">
        <f>IF(AND($C1255=12,$D1255=Input!$C$6),0,IF($E1256="","",$AC1256+AD1257/(1+$L1256)*$R1256))</f>
        <v/>
      </c>
      <c r="AE1256" s="152"/>
      <c r="AF1256" s="164" t="str">
        <f>IF(AND($C1255=12,$D1255=Input!$C$6),0,IF($E1256="","",IF($B1256&gt;Input!$C$9,$AC1256,0)+AF1257/(1+$L1256)*$R1256))</f>
        <v/>
      </c>
      <c r="AG1256" s="164" t="str">
        <f>IF(AND($C1255=12,$D1255=Input!$C$6),0,IF($E1256="","",(IF($B1256&gt;Input!$C$9,$X1256,0)+AG1257)/(1+$L1256)*$R1256))</f>
        <v/>
      </c>
      <c r="AH1256" s="160" t="str">
        <f t="shared" si="402"/>
        <v/>
      </c>
      <c r="AI1256" s="160" t="str">
        <f>IF($E1256="","",MIN(Input!$C$61/AH1256,1))</f>
        <v/>
      </c>
      <c r="AJ1256" s="152"/>
      <c r="AK1256" s="164" t="str">
        <f>IF(AND($C1255=12,$D1255=Input!$C$6),0,IF($E1256="","",IF($B1256&gt;Input!$C$9,$AC1256*AI1256,0)+AK1257/(1+$L1256)*$R1256))</f>
        <v/>
      </c>
      <c r="AL1256" s="164" t="str">
        <f>IF(AND($C1255=12,$D1255=Input!$C$6),0,IF($E1256="","",IF($B1256&gt;Input!$C$9,0,$AC1256)+AL1257/(1+$L1256)*$R1256))</f>
        <v/>
      </c>
      <c r="AM1256" s="160" t="str">
        <f t="shared" si="403"/>
        <v/>
      </c>
      <c r="AN1256" s="164" t="str">
        <f>IF($E1256="","",IF($B1256&gt;Input!$C$9,$AI1256*$AC1256,$AM1256*$AC1256))</f>
        <v/>
      </c>
      <c r="AO1256" s="164" t="str">
        <f>IF(AND($C1255=12,$D1255=Input!$C$6),0,IF($E1256="","",$AN1256+AO1257/(1+$L1256)*$R1256))</f>
        <v/>
      </c>
      <c r="AP1256" s="152"/>
      <c r="AQ1256" s="150" t="str">
        <f t="shared" si="404"/>
        <v/>
      </c>
      <c r="AR1256" s="150" t="str">
        <f t="shared" si="411"/>
        <v/>
      </c>
      <c r="AS1256" s="150" t="str">
        <f t="shared" si="412"/>
        <v/>
      </c>
      <c r="AT1256" s="150" t="str">
        <f t="shared" si="405"/>
        <v/>
      </c>
      <c r="AU1256" s="152"/>
      <c r="AV1256" s="147" t="str">
        <f>'Deterministic Reserve'!BC1256</f>
        <v/>
      </c>
      <c r="AY1256" s="152"/>
    </row>
    <row r="1257" spans="1:51" s="150" customFormat="1" x14ac:dyDescent="0.25">
      <c r="A1257" s="150" t="str">
        <f t="shared" si="413"/>
        <v/>
      </c>
      <c r="B1257" s="150" t="str">
        <f t="shared" si="414"/>
        <v/>
      </c>
      <c r="C1257" s="150" t="str">
        <f t="shared" si="415"/>
        <v/>
      </c>
      <c r="D1257" s="150" t="str">
        <f>IF(E1257="","",Input!$C$4+B1257-1)</f>
        <v/>
      </c>
      <c r="E1257" s="150" t="str">
        <f>IF(OR(AND(C1256=12,D1256=Input!$C$6),E1256=""),"",1)</f>
        <v/>
      </c>
      <c r="G1257" s="151" t="str">
        <f>IF(E1257="","",MAX(0,Input!$C$9-B1257))</f>
        <v/>
      </c>
      <c r="H1257" s="152" t="str">
        <f>IF(E1257="","",Input!$C$3)</f>
        <v/>
      </c>
      <c r="I1257" s="153" t="str">
        <f>IF(E1257="","",HLOOKUP($B1257,Input!$C$13:$BT$14,2))</f>
        <v/>
      </c>
      <c r="J1257" s="154"/>
      <c r="K1257" s="150" t="str">
        <f>IF($E1257="","",Input!$C$57)</f>
        <v/>
      </c>
      <c r="L1257" s="150" t="str">
        <f t="shared" si="406"/>
        <v/>
      </c>
      <c r="M1257" s="147" t="str">
        <f>IF($E1257="","",VLOOKUP(IF($B1257&lt;=Input!$C$7,$B1257,26),'Mortality Tables'!$A$72:$CA$97,IF($B1257&lt;=Input!$C$7+1,Input!$C$4-16,$D1257-Input!$C$7-16),0)/1000)</f>
        <v/>
      </c>
      <c r="N1257" s="147" t="str">
        <f t="shared" si="397"/>
        <v/>
      </c>
      <c r="O1257" s="157" t="str">
        <f>IF($E1257="","",IF($C1257=12,IF($B1257&lt;Input!$C$9,Input!$C$54,IF($B1257=Input!$C$9,Input!$C$55,Input!$C$56)),0%))</f>
        <v/>
      </c>
      <c r="P1257" s="167" t="str">
        <f>IF($E1257="","",IF($B1257=1,Input!$C$59,IF($B1257&lt;6,Input!$C$60,0%)))</f>
        <v/>
      </c>
      <c r="Q1257" s="162" t="str">
        <f>IF($E1257="","",Input!$C$58)</f>
        <v/>
      </c>
      <c r="R1257" s="156" t="str">
        <f t="shared" si="407"/>
        <v/>
      </c>
      <c r="S1257" s="154" t="str">
        <f t="shared" si="398"/>
        <v/>
      </c>
      <c r="T1257" s="152"/>
      <c r="U1257" s="150" t="str">
        <f t="shared" si="408"/>
        <v/>
      </c>
      <c r="V1257" s="150" t="str">
        <f t="shared" si="409"/>
        <v/>
      </c>
      <c r="W1257" s="168" t="str">
        <f t="shared" si="410"/>
        <v/>
      </c>
      <c r="X1257" s="163" t="str">
        <f t="shared" si="399"/>
        <v/>
      </c>
      <c r="Y1257" s="152"/>
      <c r="Z1257" s="164" t="str">
        <f>IF(AND($C1256=12,$D1256=Input!$C$6),0,IF($E1257="","",V1257+Z1258/(1+L1257)*R1257))</f>
        <v/>
      </c>
      <c r="AA1257" s="164" t="str">
        <f>IF(OR($M1257=1,AND($C1256=12,$D1256=Input!$C$6)),0,IF($E1257="","",W1257+(X1257+AA1258*$R1257)/(1+$L1257)))</f>
        <v/>
      </c>
      <c r="AB1257" s="160" t="str">
        <f t="shared" si="400"/>
        <v/>
      </c>
      <c r="AC1257" s="164" t="str">
        <f t="shared" si="401"/>
        <v/>
      </c>
      <c r="AD1257" s="164" t="str">
        <f>IF(AND($C1256=12,$D1256=Input!$C$6),0,IF($E1257="","",$AC1257+AD1258/(1+$L1257)*$R1257))</f>
        <v/>
      </c>
      <c r="AE1257" s="152"/>
      <c r="AF1257" s="164" t="str">
        <f>IF(AND($C1256=12,$D1256=Input!$C$6),0,IF($E1257="","",IF($B1257&gt;Input!$C$9,$AC1257,0)+AF1258/(1+$L1257)*$R1257))</f>
        <v/>
      </c>
      <c r="AG1257" s="164" t="str">
        <f>IF(AND($C1256=12,$D1256=Input!$C$6),0,IF($E1257="","",(IF($B1257&gt;Input!$C$9,$X1257,0)+AG1258)/(1+$L1257)*$R1257))</f>
        <v/>
      </c>
      <c r="AH1257" s="160" t="str">
        <f t="shared" si="402"/>
        <v/>
      </c>
      <c r="AI1257" s="160" t="str">
        <f>IF($E1257="","",MIN(Input!$C$61/AH1257,1))</f>
        <v/>
      </c>
      <c r="AJ1257" s="152"/>
      <c r="AK1257" s="164" t="str">
        <f>IF(AND($C1256=12,$D1256=Input!$C$6),0,IF($E1257="","",IF($B1257&gt;Input!$C$9,$AC1257*AI1257,0)+AK1258/(1+$L1257)*$R1257))</f>
        <v/>
      </c>
      <c r="AL1257" s="164" t="str">
        <f>IF(AND($C1256=12,$D1256=Input!$C$6),0,IF($E1257="","",IF($B1257&gt;Input!$C$9,0,$AC1257)+AL1258/(1+$L1257)*$R1257))</f>
        <v/>
      </c>
      <c r="AM1257" s="160" t="str">
        <f t="shared" si="403"/>
        <v/>
      </c>
      <c r="AN1257" s="164" t="str">
        <f>IF($E1257="","",IF($B1257&gt;Input!$C$9,$AI1257*$AC1257,$AM1257*$AC1257))</f>
        <v/>
      </c>
      <c r="AO1257" s="164" t="str">
        <f>IF(AND($C1256=12,$D1256=Input!$C$6),0,IF($E1257="","",$AN1257+AO1258/(1+$L1257)*$R1257))</f>
        <v/>
      </c>
      <c r="AP1257" s="152"/>
      <c r="AQ1257" s="150" t="str">
        <f t="shared" si="404"/>
        <v/>
      </c>
      <c r="AR1257" s="150" t="str">
        <f t="shared" si="411"/>
        <v/>
      </c>
      <c r="AS1257" s="150" t="str">
        <f t="shared" si="412"/>
        <v/>
      </c>
      <c r="AT1257" s="150" t="str">
        <f t="shared" si="405"/>
        <v/>
      </c>
      <c r="AU1257" s="152"/>
      <c r="AV1257" s="147" t="str">
        <f>'Deterministic Reserve'!BC1257</f>
        <v/>
      </c>
      <c r="AY1257" s="152"/>
    </row>
    <row r="1258" spans="1:51" s="150" customFormat="1" x14ac:dyDescent="0.25">
      <c r="A1258" s="150" t="str">
        <f t="shared" si="413"/>
        <v/>
      </c>
      <c r="B1258" s="150" t="str">
        <f t="shared" si="414"/>
        <v/>
      </c>
      <c r="C1258" s="150" t="str">
        <f t="shared" si="415"/>
        <v/>
      </c>
      <c r="D1258" s="150" t="str">
        <f>IF(E1258="","",Input!$C$4+B1258-1)</f>
        <v/>
      </c>
      <c r="E1258" s="150" t="str">
        <f>IF(OR(AND(C1257=12,D1257=Input!$C$6),E1257=""),"",1)</f>
        <v/>
      </c>
      <c r="G1258" s="151" t="str">
        <f>IF(E1258="","",MAX(0,Input!$C$9-B1258))</f>
        <v/>
      </c>
      <c r="H1258" s="152" t="str">
        <f>IF(E1258="","",Input!$C$3)</f>
        <v/>
      </c>
      <c r="I1258" s="153" t="str">
        <f>IF(E1258="","",HLOOKUP($B1258,Input!$C$13:$BT$14,2))</f>
        <v/>
      </c>
      <c r="J1258" s="154"/>
      <c r="K1258" s="150" t="str">
        <f>IF($E1258="","",Input!$C$57)</f>
        <v/>
      </c>
      <c r="L1258" s="150" t="str">
        <f t="shared" si="406"/>
        <v/>
      </c>
      <c r="M1258" s="147" t="str">
        <f>IF($E1258="","",VLOOKUP(IF($B1258&lt;=Input!$C$7,$B1258,26),'Mortality Tables'!$A$72:$CA$97,IF($B1258&lt;=Input!$C$7+1,Input!$C$4-16,$D1258-Input!$C$7-16),0)/1000)</f>
        <v/>
      </c>
      <c r="N1258" s="147" t="str">
        <f t="shared" si="397"/>
        <v/>
      </c>
      <c r="O1258" s="157" t="str">
        <f>IF($E1258="","",IF($C1258=12,IF($B1258&lt;Input!$C$9,Input!$C$54,IF($B1258=Input!$C$9,Input!$C$55,Input!$C$56)),0%))</f>
        <v/>
      </c>
      <c r="P1258" s="167" t="str">
        <f>IF($E1258="","",IF($B1258=1,Input!$C$59,IF($B1258&lt;6,Input!$C$60,0%)))</f>
        <v/>
      </c>
      <c r="Q1258" s="162" t="str">
        <f>IF($E1258="","",Input!$C$58)</f>
        <v/>
      </c>
      <c r="R1258" s="156" t="str">
        <f t="shared" si="407"/>
        <v/>
      </c>
      <c r="S1258" s="154" t="str">
        <f t="shared" si="398"/>
        <v/>
      </c>
      <c r="T1258" s="152"/>
      <c r="U1258" s="150" t="str">
        <f t="shared" si="408"/>
        <v/>
      </c>
      <c r="V1258" s="150" t="str">
        <f t="shared" si="409"/>
        <v/>
      </c>
      <c r="W1258" s="168" t="str">
        <f t="shared" si="410"/>
        <v/>
      </c>
      <c r="X1258" s="163" t="str">
        <f t="shared" si="399"/>
        <v/>
      </c>
      <c r="Y1258" s="152"/>
      <c r="Z1258" s="164" t="str">
        <f>IF(AND($C1257=12,$D1257=Input!$C$6),0,IF($E1258="","",V1258+Z1259/(1+L1258)*R1258))</f>
        <v/>
      </c>
      <c r="AA1258" s="164" t="str">
        <f>IF(OR($M1258=1,AND($C1257=12,$D1257=Input!$C$6)),0,IF($E1258="","",W1258+(X1258+AA1259*$R1258)/(1+$L1258)))</f>
        <v/>
      </c>
      <c r="AB1258" s="160" t="str">
        <f t="shared" si="400"/>
        <v/>
      </c>
      <c r="AC1258" s="164" t="str">
        <f t="shared" si="401"/>
        <v/>
      </c>
      <c r="AD1258" s="164" t="str">
        <f>IF(AND($C1257=12,$D1257=Input!$C$6),0,IF($E1258="","",$AC1258+AD1259/(1+$L1258)*$R1258))</f>
        <v/>
      </c>
      <c r="AE1258" s="152"/>
      <c r="AF1258" s="164" t="str">
        <f>IF(AND($C1257=12,$D1257=Input!$C$6),0,IF($E1258="","",IF($B1258&gt;Input!$C$9,$AC1258,0)+AF1259/(1+$L1258)*$R1258))</f>
        <v/>
      </c>
      <c r="AG1258" s="164" t="str">
        <f>IF(AND($C1257=12,$D1257=Input!$C$6),0,IF($E1258="","",(IF($B1258&gt;Input!$C$9,$X1258,0)+AG1259)/(1+$L1258)*$R1258))</f>
        <v/>
      </c>
      <c r="AH1258" s="160" t="str">
        <f t="shared" si="402"/>
        <v/>
      </c>
      <c r="AI1258" s="160" t="str">
        <f>IF($E1258="","",MIN(Input!$C$61/AH1258,1))</f>
        <v/>
      </c>
      <c r="AJ1258" s="152"/>
      <c r="AK1258" s="164" t="str">
        <f>IF(AND($C1257=12,$D1257=Input!$C$6),0,IF($E1258="","",IF($B1258&gt;Input!$C$9,$AC1258*AI1258,0)+AK1259/(1+$L1258)*$R1258))</f>
        <v/>
      </c>
      <c r="AL1258" s="164" t="str">
        <f>IF(AND($C1257=12,$D1257=Input!$C$6),0,IF($E1258="","",IF($B1258&gt;Input!$C$9,0,$AC1258)+AL1259/(1+$L1258)*$R1258))</f>
        <v/>
      </c>
      <c r="AM1258" s="160" t="str">
        <f t="shared" si="403"/>
        <v/>
      </c>
      <c r="AN1258" s="164" t="str">
        <f>IF($E1258="","",IF($B1258&gt;Input!$C$9,$AI1258*$AC1258,$AM1258*$AC1258))</f>
        <v/>
      </c>
      <c r="AO1258" s="164" t="str">
        <f>IF(AND($C1257=12,$D1257=Input!$C$6),0,IF($E1258="","",$AN1258+AO1259/(1+$L1258)*$R1258))</f>
        <v/>
      </c>
      <c r="AP1258" s="152"/>
      <c r="AQ1258" s="150" t="str">
        <f t="shared" si="404"/>
        <v/>
      </c>
      <c r="AR1258" s="150" t="str">
        <f t="shared" si="411"/>
        <v/>
      </c>
      <c r="AS1258" s="150" t="str">
        <f t="shared" si="412"/>
        <v/>
      </c>
      <c r="AT1258" s="150" t="str">
        <f t="shared" si="405"/>
        <v/>
      </c>
      <c r="AU1258" s="152"/>
      <c r="AV1258" s="147" t="str">
        <f>'Deterministic Reserve'!BC1258</f>
        <v/>
      </c>
      <c r="AY1258" s="152"/>
    </row>
    <row r="1259" spans="1:51" s="150" customFormat="1" x14ac:dyDescent="0.25">
      <c r="A1259" s="150" t="str">
        <f t="shared" si="413"/>
        <v/>
      </c>
      <c r="B1259" s="150" t="str">
        <f t="shared" si="414"/>
        <v/>
      </c>
      <c r="C1259" s="150" t="str">
        <f t="shared" si="415"/>
        <v/>
      </c>
      <c r="D1259" s="150" t="str">
        <f>IF(E1259="","",Input!$C$4+B1259-1)</f>
        <v/>
      </c>
      <c r="E1259" s="150" t="str">
        <f>IF(OR(AND(C1258=12,D1258=Input!$C$6),E1258=""),"",1)</f>
        <v/>
      </c>
      <c r="G1259" s="151" t="str">
        <f>IF(E1259="","",MAX(0,Input!$C$9-B1259))</f>
        <v/>
      </c>
      <c r="H1259" s="152" t="str">
        <f>IF(E1259="","",Input!$C$3)</f>
        <v/>
      </c>
      <c r="I1259" s="153" t="str">
        <f>IF(E1259="","",HLOOKUP($B1259,Input!$C$13:$BT$14,2))</f>
        <v/>
      </c>
      <c r="J1259" s="154"/>
      <c r="K1259" s="150" t="str">
        <f>IF($E1259="","",Input!$C$57)</f>
        <v/>
      </c>
      <c r="L1259" s="150" t="str">
        <f t="shared" si="406"/>
        <v/>
      </c>
      <c r="M1259" s="147" t="str">
        <f>IF($E1259="","",VLOOKUP(IF($B1259&lt;=Input!$C$7,$B1259,26),'Mortality Tables'!$A$72:$CA$97,IF($B1259&lt;=Input!$C$7+1,Input!$C$4-16,$D1259-Input!$C$7-16),0)/1000)</f>
        <v/>
      </c>
      <c r="N1259" s="147" t="str">
        <f t="shared" si="397"/>
        <v/>
      </c>
      <c r="O1259" s="157" t="str">
        <f>IF($E1259="","",IF($C1259=12,IF($B1259&lt;Input!$C$9,Input!$C$54,IF($B1259=Input!$C$9,Input!$C$55,Input!$C$56)),0%))</f>
        <v/>
      </c>
      <c r="P1259" s="167" t="str">
        <f>IF($E1259="","",IF($B1259=1,Input!$C$59,IF($B1259&lt;6,Input!$C$60,0%)))</f>
        <v/>
      </c>
      <c r="Q1259" s="162" t="str">
        <f>IF($E1259="","",Input!$C$58)</f>
        <v/>
      </c>
      <c r="R1259" s="156" t="str">
        <f t="shared" si="407"/>
        <v/>
      </c>
      <c r="S1259" s="154" t="str">
        <f t="shared" si="398"/>
        <v/>
      </c>
      <c r="T1259" s="152"/>
      <c r="U1259" s="150" t="str">
        <f t="shared" si="408"/>
        <v/>
      </c>
      <c r="V1259" s="150" t="str">
        <f t="shared" si="409"/>
        <v/>
      </c>
      <c r="W1259" s="168" t="str">
        <f t="shared" si="410"/>
        <v/>
      </c>
      <c r="X1259" s="163" t="str">
        <f t="shared" si="399"/>
        <v/>
      </c>
      <c r="Y1259" s="152"/>
      <c r="Z1259" s="164" t="str">
        <f>IF(AND($C1258=12,$D1258=Input!$C$6),0,IF($E1259="","",V1259+Z1260/(1+L1259)*R1259))</f>
        <v/>
      </c>
      <c r="AA1259" s="164" t="str">
        <f>IF(OR($M1259=1,AND($C1258=12,$D1258=Input!$C$6)),0,IF($E1259="","",W1259+(X1259+AA1260*$R1259)/(1+$L1259)))</f>
        <v/>
      </c>
      <c r="AB1259" s="160" t="str">
        <f t="shared" si="400"/>
        <v/>
      </c>
      <c r="AC1259" s="164" t="str">
        <f t="shared" si="401"/>
        <v/>
      </c>
      <c r="AD1259" s="164" t="str">
        <f>IF(AND($C1258=12,$D1258=Input!$C$6),0,IF($E1259="","",$AC1259+AD1260/(1+$L1259)*$R1259))</f>
        <v/>
      </c>
      <c r="AE1259" s="152"/>
      <c r="AF1259" s="164" t="str">
        <f>IF(AND($C1258=12,$D1258=Input!$C$6),0,IF($E1259="","",IF($B1259&gt;Input!$C$9,$AC1259,0)+AF1260/(1+$L1259)*$R1259))</f>
        <v/>
      </c>
      <c r="AG1259" s="164" t="str">
        <f>IF(AND($C1258=12,$D1258=Input!$C$6),0,IF($E1259="","",(IF($B1259&gt;Input!$C$9,$X1259,0)+AG1260)/(1+$L1259)*$R1259))</f>
        <v/>
      </c>
      <c r="AH1259" s="160" t="str">
        <f t="shared" si="402"/>
        <v/>
      </c>
      <c r="AI1259" s="160" t="str">
        <f>IF($E1259="","",MIN(Input!$C$61/AH1259,1))</f>
        <v/>
      </c>
      <c r="AJ1259" s="152"/>
      <c r="AK1259" s="164" t="str">
        <f>IF(AND($C1258=12,$D1258=Input!$C$6),0,IF($E1259="","",IF($B1259&gt;Input!$C$9,$AC1259*AI1259,0)+AK1260/(1+$L1259)*$R1259))</f>
        <v/>
      </c>
      <c r="AL1259" s="164" t="str">
        <f>IF(AND($C1258=12,$D1258=Input!$C$6),0,IF($E1259="","",IF($B1259&gt;Input!$C$9,0,$AC1259)+AL1260/(1+$L1259)*$R1259))</f>
        <v/>
      </c>
      <c r="AM1259" s="160" t="str">
        <f t="shared" si="403"/>
        <v/>
      </c>
      <c r="AN1259" s="164" t="str">
        <f>IF($E1259="","",IF($B1259&gt;Input!$C$9,$AI1259*$AC1259,$AM1259*$AC1259))</f>
        <v/>
      </c>
      <c r="AO1259" s="164" t="str">
        <f>IF(AND($C1258=12,$D1258=Input!$C$6),0,IF($E1259="","",$AN1259+AO1260/(1+$L1259)*$R1259))</f>
        <v/>
      </c>
      <c r="AP1259" s="152"/>
      <c r="AQ1259" s="150" t="str">
        <f t="shared" si="404"/>
        <v/>
      </c>
      <c r="AR1259" s="150" t="str">
        <f t="shared" si="411"/>
        <v/>
      </c>
      <c r="AS1259" s="150" t="str">
        <f t="shared" si="412"/>
        <v/>
      </c>
      <c r="AT1259" s="150" t="str">
        <f t="shared" si="405"/>
        <v/>
      </c>
      <c r="AU1259" s="152"/>
      <c r="AV1259" s="147" t="str">
        <f>'Deterministic Reserve'!BC1259</f>
        <v/>
      </c>
      <c r="AY1259" s="152"/>
    </row>
    <row r="1260" spans="1:51" s="150" customFormat="1" x14ac:dyDescent="0.25">
      <c r="A1260" s="150" t="str">
        <f t="shared" si="413"/>
        <v/>
      </c>
      <c r="B1260" s="150" t="str">
        <f t="shared" si="414"/>
        <v/>
      </c>
      <c r="C1260" s="150" t="str">
        <f t="shared" si="415"/>
        <v/>
      </c>
      <c r="D1260" s="150" t="str">
        <f>IF(E1260="","",Input!$C$4+B1260-1)</f>
        <v/>
      </c>
      <c r="E1260" s="150" t="str">
        <f>IF(OR(AND(C1259=12,D1259=Input!$C$6),E1259=""),"",1)</f>
        <v/>
      </c>
      <c r="G1260" s="151" t="str">
        <f>IF(E1260="","",MAX(0,Input!$C$9-B1260))</f>
        <v/>
      </c>
      <c r="H1260" s="152" t="str">
        <f>IF(E1260="","",Input!$C$3)</f>
        <v/>
      </c>
      <c r="I1260" s="153" t="str">
        <f>IF(E1260="","",HLOOKUP($B1260,Input!$C$13:$BT$14,2))</f>
        <v/>
      </c>
      <c r="J1260" s="154"/>
      <c r="K1260" s="150" t="str">
        <f>IF($E1260="","",Input!$C$57)</f>
        <v/>
      </c>
      <c r="L1260" s="150" t="str">
        <f t="shared" si="406"/>
        <v/>
      </c>
      <c r="M1260" s="147" t="str">
        <f>IF($E1260="","",VLOOKUP(IF($B1260&lt;=Input!$C$7,$B1260,26),'Mortality Tables'!$A$72:$CA$97,IF($B1260&lt;=Input!$C$7+1,Input!$C$4-16,$D1260-Input!$C$7-16),0)/1000)</f>
        <v/>
      </c>
      <c r="N1260" s="147" t="str">
        <f t="shared" si="397"/>
        <v/>
      </c>
      <c r="O1260" s="157" t="str">
        <f>IF($E1260="","",IF($C1260=12,IF($B1260&lt;Input!$C$9,Input!$C$54,IF($B1260=Input!$C$9,Input!$C$55,Input!$C$56)),0%))</f>
        <v/>
      </c>
      <c r="P1260" s="167" t="str">
        <f>IF($E1260="","",IF($B1260=1,Input!$C$59,IF($B1260&lt;6,Input!$C$60,0%)))</f>
        <v/>
      </c>
      <c r="Q1260" s="162" t="str">
        <f>IF($E1260="","",Input!$C$58)</f>
        <v/>
      </c>
      <c r="R1260" s="156" t="str">
        <f t="shared" si="407"/>
        <v/>
      </c>
      <c r="S1260" s="154" t="str">
        <f t="shared" si="398"/>
        <v/>
      </c>
      <c r="T1260" s="152"/>
      <c r="U1260" s="150" t="str">
        <f t="shared" si="408"/>
        <v/>
      </c>
      <c r="V1260" s="150" t="str">
        <f t="shared" si="409"/>
        <v/>
      </c>
      <c r="W1260" s="168" t="str">
        <f t="shared" si="410"/>
        <v/>
      </c>
      <c r="X1260" s="163" t="str">
        <f t="shared" si="399"/>
        <v/>
      </c>
      <c r="Y1260" s="152"/>
      <c r="Z1260" s="164" t="str">
        <f>IF(AND($C1259=12,$D1259=Input!$C$6),0,IF($E1260="","",V1260+Z1261/(1+L1260)*R1260))</f>
        <v/>
      </c>
      <c r="AA1260" s="164" t="str">
        <f>IF(OR($M1260=1,AND($C1259=12,$D1259=Input!$C$6)),0,IF($E1260="","",W1260+(X1260+AA1261*$R1260)/(1+$L1260)))</f>
        <v/>
      </c>
      <c r="AB1260" s="160" t="str">
        <f t="shared" si="400"/>
        <v/>
      </c>
      <c r="AC1260" s="164" t="str">
        <f t="shared" si="401"/>
        <v/>
      </c>
      <c r="AD1260" s="164" t="str">
        <f>IF(AND($C1259=12,$D1259=Input!$C$6),0,IF($E1260="","",$AC1260+AD1261/(1+$L1260)*$R1260))</f>
        <v/>
      </c>
      <c r="AE1260" s="152"/>
      <c r="AF1260" s="164" t="str">
        <f>IF(AND($C1259=12,$D1259=Input!$C$6),0,IF($E1260="","",IF($B1260&gt;Input!$C$9,$AC1260,0)+AF1261/(1+$L1260)*$R1260))</f>
        <v/>
      </c>
      <c r="AG1260" s="164" t="str">
        <f>IF(AND($C1259=12,$D1259=Input!$C$6),0,IF($E1260="","",(IF($B1260&gt;Input!$C$9,$X1260,0)+AG1261)/(1+$L1260)*$R1260))</f>
        <v/>
      </c>
      <c r="AH1260" s="160" t="str">
        <f t="shared" si="402"/>
        <v/>
      </c>
      <c r="AI1260" s="160" t="str">
        <f>IF($E1260="","",MIN(Input!$C$61/AH1260,1))</f>
        <v/>
      </c>
      <c r="AJ1260" s="152"/>
      <c r="AK1260" s="164" t="str">
        <f>IF(AND($C1259=12,$D1259=Input!$C$6),0,IF($E1260="","",IF($B1260&gt;Input!$C$9,$AC1260*AI1260,0)+AK1261/(1+$L1260)*$R1260))</f>
        <v/>
      </c>
      <c r="AL1260" s="164" t="str">
        <f>IF(AND($C1259=12,$D1259=Input!$C$6),0,IF($E1260="","",IF($B1260&gt;Input!$C$9,0,$AC1260)+AL1261/(1+$L1260)*$R1260))</f>
        <v/>
      </c>
      <c r="AM1260" s="160" t="str">
        <f t="shared" si="403"/>
        <v/>
      </c>
      <c r="AN1260" s="164" t="str">
        <f>IF($E1260="","",IF($B1260&gt;Input!$C$9,$AI1260*$AC1260,$AM1260*$AC1260))</f>
        <v/>
      </c>
      <c r="AO1260" s="164" t="str">
        <f>IF(AND($C1259=12,$D1259=Input!$C$6),0,IF($E1260="","",$AN1260+AO1261/(1+$L1260)*$R1260))</f>
        <v/>
      </c>
      <c r="AP1260" s="152"/>
      <c r="AQ1260" s="150" t="str">
        <f t="shared" si="404"/>
        <v/>
      </c>
      <c r="AR1260" s="150" t="str">
        <f t="shared" si="411"/>
        <v/>
      </c>
      <c r="AS1260" s="150" t="str">
        <f t="shared" si="412"/>
        <v/>
      </c>
      <c r="AT1260" s="150" t="str">
        <f t="shared" si="405"/>
        <v/>
      </c>
      <c r="AU1260" s="152"/>
      <c r="AV1260" s="147" t="str">
        <f>'Deterministic Reserve'!BC1260</f>
        <v/>
      </c>
      <c r="AY1260" s="152"/>
    </row>
    <row r="1261" spans="1:51" s="150" customFormat="1" x14ac:dyDescent="0.25">
      <c r="A1261" s="150" t="str">
        <f t="shared" si="413"/>
        <v/>
      </c>
      <c r="B1261" s="150" t="str">
        <f t="shared" si="414"/>
        <v/>
      </c>
      <c r="C1261" s="150" t="str">
        <f t="shared" si="415"/>
        <v/>
      </c>
      <c r="D1261" s="150" t="str">
        <f>IF(E1261="","",Input!$C$4+B1261-1)</f>
        <v/>
      </c>
      <c r="E1261" s="150" t="str">
        <f>IF(OR(AND(C1260=12,D1260=Input!$C$6),E1260=""),"",1)</f>
        <v/>
      </c>
      <c r="G1261" s="151" t="str">
        <f>IF(E1261="","",MAX(0,Input!$C$9-B1261))</f>
        <v/>
      </c>
      <c r="H1261" s="152" t="str">
        <f>IF(E1261="","",Input!$C$3)</f>
        <v/>
      </c>
      <c r="I1261" s="153" t="str">
        <f>IF(E1261="","",HLOOKUP($B1261,Input!$C$13:$BT$14,2))</f>
        <v/>
      </c>
      <c r="J1261" s="154"/>
      <c r="K1261" s="150" t="str">
        <f>IF($E1261="","",Input!$C$57)</f>
        <v/>
      </c>
      <c r="L1261" s="150" t="str">
        <f t="shared" si="406"/>
        <v/>
      </c>
      <c r="M1261" s="147" t="str">
        <f>IF($E1261="","",VLOOKUP(IF($B1261&lt;=Input!$C$7,$B1261,26),'Mortality Tables'!$A$72:$CA$97,IF($B1261&lt;=Input!$C$7+1,Input!$C$4-16,$D1261-Input!$C$7-16),0)/1000)</f>
        <v/>
      </c>
      <c r="N1261" s="147" t="str">
        <f t="shared" si="397"/>
        <v/>
      </c>
      <c r="O1261" s="157" t="str">
        <f>IF($E1261="","",IF($C1261=12,IF($B1261&lt;Input!$C$9,Input!$C$54,IF($B1261=Input!$C$9,Input!$C$55,Input!$C$56)),0%))</f>
        <v/>
      </c>
      <c r="P1261" s="167" t="str">
        <f>IF($E1261="","",IF($B1261=1,Input!$C$59,IF($B1261&lt;6,Input!$C$60,0%)))</f>
        <v/>
      </c>
      <c r="Q1261" s="162" t="str">
        <f>IF($E1261="","",Input!$C$58)</f>
        <v/>
      </c>
      <c r="R1261" s="156" t="str">
        <f t="shared" si="407"/>
        <v/>
      </c>
      <c r="S1261" s="154" t="str">
        <f t="shared" si="398"/>
        <v/>
      </c>
      <c r="T1261" s="152"/>
      <c r="U1261" s="150" t="str">
        <f t="shared" si="408"/>
        <v/>
      </c>
      <c r="V1261" s="150" t="str">
        <f t="shared" si="409"/>
        <v/>
      </c>
      <c r="W1261" s="168" t="str">
        <f t="shared" si="410"/>
        <v/>
      </c>
      <c r="X1261" s="163" t="str">
        <f t="shared" si="399"/>
        <v/>
      </c>
      <c r="Y1261" s="152"/>
      <c r="Z1261" s="164" t="str">
        <f>IF(AND($C1260=12,$D1260=Input!$C$6),0,IF($E1261="","",V1261+Z1262/(1+L1261)*R1261))</f>
        <v/>
      </c>
      <c r="AA1261" s="164" t="str">
        <f>IF(OR($M1261=1,AND($C1260=12,$D1260=Input!$C$6)),0,IF($E1261="","",W1261+(X1261+AA1262*$R1261)/(1+$L1261)))</f>
        <v/>
      </c>
      <c r="AB1261" s="160" t="str">
        <f t="shared" si="400"/>
        <v/>
      </c>
      <c r="AC1261" s="164" t="str">
        <f t="shared" si="401"/>
        <v/>
      </c>
      <c r="AD1261" s="164" t="str">
        <f>IF(AND($C1260=12,$D1260=Input!$C$6),0,IF($E1261="","",$AC1261+AD1262/(1+$L1261)*$R1261))</f>
        <v/>
      </c>
      <c r="AE1261" s="152"/>
      <c r="AF1261" s="164" t="str">
        <f>IF(AND($C1260=12,$D1260=Input!$C$6),0,IF($E1261="","",IF($B1261&gt;Input!$C$9,$AC1261,0)+AF1262/(1+$L1261)*$R1261))</f>
        <v/>
      </c>
      <c r="AG1261" s="164" t="str">
        <f>IF(AND($C1260=12,$D1260=Input!$C$6),0,IF($E1261="","",(IF($B1261&gt;Input!$C$9,$X1261,0)+AG1262)/(1+$L1261)*$R1261))</f>
        <v/>
      </c>
      <c r="AH1261" s="160" t="str">
        <f t="shared" si="402"/>
        <v/>
      </c>
      <c r="AI1261" s="160" t="str">
        <f>IF($E1261="","",MIN(Input!$C$61/AH1261,1))</f>
        <v/>
      </c>
      <c r="AJ1261" s="152"/>
      <c r="AK1261" s="164" t="str">
        <f>IF(AND($C1260=12,$D1260=Input!$C$6),0,IF($E1261="","",IF($B1261&gt;Input!$C$9,$AC1261*AI1261,0)+AK1262/(1+$L1261)*$R1261))</f>
        <v/>
      </c>
      <c r="AL1261" s="164" t="str">
        <f>IF(AND($C1260=12,$D1260=Input!$C$6),0,IF($E1261="","",IF($B1261&gt;Input!$C$9,0,$AC1261)+AL1262/(1+$L1261)*$R1261))</f>
        <v/>
      </c>
      <c r="AM1261" s="160" t="str">
        <f t="shared" si="403"/>
        <v/>
      </c>
      <c r="AN1261" s="164" t="str">
        <f>IF($E1261="","",IF($B1261&gt;Input!$C$9,$AI1261*$AC1261,$AM1261*$AC1261))</f>
        <v/>
      </c>
      <c r="AO1261" s="164" t="str">
        <f>IF(AND($C1260=12,$D1260=Input!$C$6),0,IF($E1261="","",$AN1261+AO1262/(1+$L1261)*$R1261))</f>
        <v/>
      </c>
      <c r="AP1261" s="152"/>
      <c r="AQ1261" s="150" t="str">
        <f t="shared" si="404"/>
        <v/>
      </c>
      <c r="AR1261" s="150" t="str">
        <f t="shared" si="411"/>
        <v/>
      </c>
      <c r="AS1261" s="150" t="str">
        <f t="shared" si="412"/>
        <v/>
      </c>
      <c r="AT1261" s="150" t="str">
        <f t="shared" si="405"/>
        <v/>
      </c>
      <c r="AU1261" s="152"/>
      <c r="AV1261" s="147" t="str">
        <f>'Deterministic Reserve'!BC1261</f>
        <v/>
      </c>
      <c r="AY1261" s="152"/>
    </row>
    <row r="1262" spans="1:51" s="150" customFormat="1" x14ac:dyDescent="0.25">
      <c r="A1262" s="150" t="str">
        <f t="shared" si="413"/>
        <v/>
      </c>
      <c r="B1262" s="150" t="str">
        <f t="shared" si="414"/>
        <v/>
      </c>
      <c r="C1262" s="150" t="str">
        <f t="shared" si="415"/>
        <v/>
      </c>
      <c r="D1262" s="150" t="str">
        <f>IF(E1262="","",Input!$C$4+B1262-1)</f>
        <v/>
      </c>
      <c r="E1262" s="150" t="str">
        <f>IF(OR(AND(C1261=12,D1261=Input!$C$6),E1261=""),"",1)</f>
        <v/>
      </c>
      <c r="G1262" s="151" t="str">
        <f>IF(E1262="","",MAX(0,Input!$C$9-B1262))</f>
        <v/>
      </c>
      <c r="H1262" s="152" t="str">
        <f>IF(E1262="","",Input!$C$3)</f>
        <v/>
      </c>
      <c r="I1262" s="153" t="str">
        <f>IF(E1262="","",HLOOKUP($B1262,Input!$C$13:$BT$14,2))</f>
        <v/>
      </c>
      <c r="J1262" s="154"/>
      <c r="K1262" s="150" t="str">
        <f>IF($E1262="","",Input!$C$57)</f>
        <v/>
      </c>
      <c r="L1262" s="150" t="str">
        <f t="shared" si="406"/>
        <v/>
      </c>
      <c r="M1262" s="147" t="str">
        <f>IF($E1262="","",VLOOKUP(IF($B1262&lt;=Input!$C$7,$B1262,26),'Mortality Tables'!$A$72:$CA$97,IF($B1262&lt;=Input!$C$7+1,Input!$C$4-16,$D1262-Input!$C$7-16),0)/1000)</f>
        <v/>
      </c>
      <c r="N1262" s="147" t="str">
        <f t="shared" si="397"/>
        <v/>
      </c>
      <c r="O1262" s="157" t="str">
        <f>IF($E1262="","",IF($C1262=12,IF($B1262&lt;Input!$C$9,Input!$C$54,IF($B1262=Input!$C$9,Input!$C$55,Input!$C$56)),0%))</f>
        <v/>
      </c>
      <c r="P1262" s="167" t="str">
        <f>IF($E1262="","",IF($B1262=1,Input!$C$59,IF($B1262&lt;6,Input!$C$60,0%)))</f>
        <v/>
      </c>
      <c r="Q1262" s="162" t="str">
        <f>IF($E1262="","",Input!$C$58)</f>
        <v/>
      </c>
      <c r="R1262" s="156" t="str">
        <f t="shared" si="407"/>
        <v/>
      </c>
      <c r="S1262" s="154" t="str">
        <f t="shared" si="398"/>
        <v/>
      </c>
      <c r="T1262" s="152"/>
      <c r="U1262" s="150" t="str">
        <f t="shared" si="408"/>
        <v/>
      </c>
      <c r="V1262" s="150" t="str">
        <f t="shared" si="409"/>
        <v/>
      </c>
      <c r="W1262" s="168" t="str">
        <f t="shared" si="410"/>
        <v/>
      </c>
      <c r="X1262" s="163" t="str">
        <f t="shared" si="399"/>
        <v/>
      </c>
      <c r="Y1262" s="152"/>
      <c r="Z1262" s="164" t="str">
        <f>IF(AND($C1261=12,$D1261=Input!$C$6),0,IF($E1262="","",V1262+Z1263/(1+L1262)*R1262))</f>
        <v/>
      </c>
      <c r="AA1262" s="164" t="str">
        <f>IF(OR($M1262=1,AND($C1261=12,$D1261=Input!$C$6)),0,IF($E1262="","",W1262+(X1262+AA1263*$R1262)/(1+$L1262)))</f>
        <v/>
      </c>
      <c r="AB1262" s="160" t="str">
        <f t="shared" si="400"/>
        <v/>
      </c>
      <c r="AC1262" s="164" t="str">
        <f t="shared" si="401"/>
        <v/>
      </c>
      <c r="AD1262" s="164" t="str">
        <f>IF(AND($C1261=12,$D1261=Input!$C$6),0,IF($E1262="","",$AC1262+AD1263/(1+$L1262)*$R1262))</f>
        <v/>
      </c>
      <c r="AE1262" s="152"/>
      <c r="AF1262" s="164" t="str">
        <f>IF(AND($C1261=12,$D1261=Input!$C$6),0,IF($E1262="","",IF($B1262&gt;Input!$C$9,$AC1262,0)+AF1263/(1+$L1262)*$R1262))</f>
        <v/>
      </c>
      <c r="AG1262" s="164" t="str">
        <f>IF(AND($C1261=12,$D1261=Input!$C$6),0,IF($E1262="","",(IF($B1262&gt;Input!$C$9,$X1262,0)+AG1263)/(1+$L1262)*$R1262))</f>
        <v/>
      </c>
      <c r="AH1262" s="160" t="str">
        <f t="shared" si="402"/>
        <v/>
      </c>
      <c r="AI1262" s="160" t="str">
        <f>IF($E1262="","",MIN(Input!$C$61/AH1262,1))</f>
        <v/>
      </c>
      <c r="AJ1262" s="152"/>
      <c r="AK1262" s="164" t="str">
        <f>IF(AND($C1261=12,$D1261=Input!$C$6),0,IF($E1262="","",IF($B1262&gt;Input!$C$9,$AC1262*AI1262,0)+AK1263/(1+$L1262)*$R1262))</f>
        <v/>
      </c>
      <c r="AL1262" s="164" t="str">
        <f>IF(AND($C1261=12,$D1261=Input!$C$6),0,IF($E1262="","",IF($B1262&gt;Input!$C$9,0,$AC1262)+AL1263/(1+$L1262)*$R1262))</f>
        <v/>
      </c>
      <c r="AM1262" s="160" t="str">
        <f t="shared" si="403"/>
        <v/>
      </c>
      <c r="AN1262" s="164" t="str">
        <f>IF($E1262="","",IF($B1262&gt;Input!$C$9,$AI1262*$AC1262,$AM1262*$AC1262))</f>
        <v/>
      </c>
      <c r="AO1262" s="164" t="str">
        <f>IF(AND($C1261=12,$D1261=Input!$C$6),0,IF($E1262="","",$AN1262+AO1263/(1+$L1262)*$R1262))</f>
        <v/>
      </c>
      <c r="AP1262" s="152"/>
      <c r="AQ1262" s="150" t="str">
        <f t="shared" si="404"/>
        <v/>
      </c>
      <c r="AR1262" s="150" t="str">
        <f t="shared" si="411"/>
        <v/>
      </c>
      <c r="AS1262" s="150" t="str">
        <f t="shared" si="412"/>
        <v/>
      </c>
      <c r="AT1262" s="150" t="str">
        <f t="shared" si="405"/>
        <v/>
      </c>
      <c r="AU1262" s="152"/>
      <c r="AV1262" s="147" t="str">
        <f>'Deterministic Reserve'!BC1262</f>
        <v/>
      </c>
      <c r="AY1262" s="152"/>
    </row>
    <row r="1263" spans="1:51" s="150" customFormat="1" x14ac:dyDescent="0.25">
      <c r="A1263" s="150" t="str">
        <f t="shared" si="413"/>
        <v/>
      </c>
      <c r="B1263" s="150" t="str">
        <f t="shared" si="414"/>
        <v/>
      </c>
      <c r="C1263" s="150" t="str">
        <f t="shared" si="415"/>
        <v/>
      </c>
      <c r="D1263" s="150" t="str">
        <f>IF(E1263="","",Input!$C$4+B1263-1)</f>
        <v/>
      </c>
      <c r="E1263" s="150" t="str">
        <f>IF(OR(AND(C1262=12,D1262=Input!$C$6),E1262=""),"",1)</f>
        <v/>
      </c>
      <c r="G1263" s="151" t="str">
        <f>IF(E1263="","",MAX(0,Input!$C$9-B1263))</f>
        <v/>
      </c>
      <c r="H1263" s="152" t="str">
        <f>IF(E1263="","",Input!$C$3)</f>
        <v/>
      </c>
      <c r="I1263" s="153" t="str">
        <f>IF(E1263="","",HLOOKUP($B1263,Input!$C$13:$BT$14,2))</f>
        <v/>
      </c>
      <c r="J1263" s="154"/>
      <c r="K1263" s="150" t="str">
        <f>IF($E1263="","",Input!$C$57)</f>
        <v/>
      </c>
      <c r="L1263" s="150" t="str">
        <f t="shared" si="406"/>
        <v/>
      </c>
      <c r="M1263" s="147" t="str">
        <f>IF($E1263="","",VLOOKUP(IF($B1263&lt;=Input!$C$7,$B1263,26),'Mortality Tables'!$A$72:$CA$97,IF($B1263&lt;=Input!$C$7+1,Input!$C$4-16,$D1263-Input!$C$7-16),0)/1000)</f>
        <v/>
      </c>
      <c r="N1263" s="147" t="str">
        <f t="shared" si="397"/>
        <v/>
      </c>
      <c r="O1263" s="157" t="str">
        <f>IF($E1263="","",IF($C1263=12,IF($B1263&lt;Input!$C$9,Input!$C$54,IF($B1263=Input!$C$9,Input!$C$55,Input!$C$56)),0%))</f>
        <v/>
      </c>
      <c r="P1263" s="167" t="str">
        <f>IF($E1263="","",IF($B1263=1,Input!$C$59,IF($B1263&lt;6,Input!$C$60,0%)))</f>
        <v/>
      </c>
      <c r="Q1263" s="162" t="str">
        <f>IF($E1263="","",Input!$C$58)</f>
        <v/>
      </c>
      <c r="R1263" s="156" t="str">
        <f t="shared" si="407"/>
        <v/>
      </c>
      <c r="S1263" s="154" t="str">
        <f t="shared" si="398"/>
        <v/>
      </c>
      <c r="T1263" s="152"/>
      <c r="U1263" s="150" t="str">
        <f t="shared" si="408"/>
        <v/>
      </c>
      <c r="V1263" s="150" t="str">
        <f t="shared" si="409"/>
        <v/>
      </c>
      <c r="W1263" s="168" t="str">
        <f t="shared" si="410"/>
        <v/>
      </c>
      <c r="X1263" s="163" t="str">
        <f t="shared" si="399"/>
        <v/>
      </c>
      <c r="Y1263" s="152"/>
      <c r="Z1263" s="164" t="str">
        <f>IF(AND($C1262=12,$D1262=Input!$C$6),0,IF($E1263="","",V1263+Z1264/(1+L1263)*R1263))</f>
        <v/>
      </c>
      <c r="AA1263" s="164" t="str">
        <f>IF(OR($M1263=1,AND($C1262=12,$D1262=Input!$C$6)),0,IF($E1263="","",W1263+(X1263+AA1264*$R1263)/(1+$L1263)))</f>
        <v/>
      </c>
      <c r="AB1263" s="160" t="str">
        <f t="shared" si="400"/>
        <v/>
      </c>
      <c r="AC1263" s="164" t="str">
        <f t="shared" si="401"/>
        <v/>
      </c>
      <c r="AD1263" s="164" t="str">
        <f>IF(AND($C1262=12,$D1262=Input!$C$6),0,IF($E1263="","",$AC1263+AD1264/(1+$L1263)*$R1263))</f>
        <v/>
      </c>
      <c r="AE1263" s="152"/>
      <c r="AF1263" s="164" t="str">
        <f>IF(AND($C1262=12,$D1262=Input!$C$6),0,IF($E1263="","",IF($B1263&gt;Input!$C$9,$AC1263,0)+AF1264/(1+$L1263)*$R1263))</f>
        <v/>
      </c>
      <c r="AG1263" s="164" t="str">
        <f>IF(AND($C1262=12,$D1262=Input!$C$6),0,IF($E1263="","",(IF($B1263&gt;Input!$C$9,$X1263,0)+AG1264)/(1+$L1263)*$R1263))</f>
        <v/>
      </c>
      <c r="AH1263" s="160" t="str">
        <f t="shared" si="402"/>
        <v/>
      </c>
      <c r="AI1263" s="160" t="str">
        <f>IF($E1263="","",MIN(Input!$C$61/AH1263,1))</f>
        <v/>
      </c>
      <c r="AJ1263" s="152"/>
      <c r="AK1263" s="164" t="str">
        <f>IF(AND($C1262=12,$D1262=Input!$C$6),0,IF($E1263="","",IF($B1263&gt;Input!$C$9,$AC1263*AI1263,0)+AK1264/(1+$L1263)*$R1263))</f>
        <v/>
      </c>
      <c r="AL1263" s="164" t="str">
        <f>IF(AND($C1262=12,$D1262=Input!$C$6),0,IF($E1263="","",IF($B1263&gt;Input!$C$9,0,$AC1263)+AL1264/(1+$L1263)*$R1263))</f>
        <v/>
      </c>
      <c r="AM1263" s="160" t="str">
        <f t="shared" si="403"/>
        <v/>
      </c>
      <c r="AN1263" s="164" t="str">
        <f>IF($E1263="","",IF($B1263&gt;Input!$C$9,$AI1263*$AC1263,$AM1263*$AC1263))</f>
        <v/>
      </c>
      <c r="AO1263" s="164" t="str">
        <f>IF(AND($C1262=12,$D1262=Input!$C$6),0,IF($E1263="","",$AN1263+AO1264/(1+$L1263)*$R1263))</f>
        <v/>
      </c>
      <c r="AP1263" s="152"/>
      <c r="AQ1263" s="150" t="str">
        <f t="shared" si="404"/>
        <v/>
      </c>
      <c r="AR1263" s="150" t="str">
        <f t="shared" si="411"/>
        <v/>
      </c>
      <c r="AS1263" s="150" t="str">
        <f t="shared" si="412"/>
        <v/>
      </c>
      <c r="AT1263" s="150" t="str">
        <f t="shared" si="405"/>
        <v/>
      </c>
      <c r="AU1263" s="152"/>
      <c r="AV1263" s="147" t="str">
        <f>'Deterministic Reserve'!BC1263</f>
        <v/>
      </c>
      <c r="AY1263" s="152"/>
    </row>
    <row r="1264" spans="1:51" s="150" customFormat="1" x14ac:dyDescent="0.25">
      <c r="A1264" s="150" t="str">
        <f t="shared" si="413"/>
        <v/>
      </c>
      <c r="B1264" s="150" t="str">
        <f t="shared" si="414"/>
        <v/>
      </c>
      <c r="C1264" s="150" t="str">
        <f t="shared" si="415"/>
        <v/>
      </c>
      <c r="D1264" s="150" t="str">
        <f>IF(E1264="","",Input!$C$4+B1264-1)</f>
        <v/>
      </c>
      <c r="E1264" s="150" t="str">
        <f>IF(OR(AND(C1263=12,D1263=Input!$C$6),E1263=""),"",1)</f>
        <v/>
      </c>
      <c r="G1264" s="151" t="str">
        <f>IF(E1264="","",MAX(0,Input!$C$9-B1264))</f>
        <v/>
      </c>
      <c r="H1264" s="152" t="str">
        <f>IF(E1264="","",Input!$C$3)</f>
        <v/>
      </c>
      <c r="I1264" s="153" t="str">
        <f>IF(E1264="","",HLOOKUP($B1264,Input!$C$13:$BT$14,2))</f>
        <v/>
      </c>
      <c r="J1264" s="154"/>
      <c r="K1264" s="150" t="str">
        <f>IF($E1264="","",Input!$C$57)</f>
        <v/>
      </c>
      <c r="L1264" s="150" t="str">
        <f t="shared" si="406"/>
        <v/>
      </c>
      <c r="M1264" s="147" t="str">
        <f>IF($E1264="","",VLOOKUP(IF($B1264&lt;=Input!$C$7,$B1264,26),'Mortality Tables'!$A$72:$CA$97,IF($B1264&lt;=Input!$C$7+1,Input!$C$4-16,$D1264-Input!$C$7-16),0)/1000)</f>
        <v/>
      </c>
      <c r="N1264" s="147" t="str">
        <f t="shared" si="397"/>
        <v/>
      </c>
      <c r="O1264" s="157" t="str">
        <f>IF($E1264="","",IF($C1264=12,IF($B1264&lt;Input!$C$9,Input!$C$54,IF($B1264=Input!$C$9,Input!$C$55,Input!$C$56)),0%))</f>
        <v/>
      </c>
      <c r="P1264" s="167" t="str">
        <f>IF($E1264="","",IF($B1264=1,Input!$C$59,IF($B1264&lt;6,Input!$C$60,0%)))</f>
        <v/>
      </c>
      <c r="Q1264" s="162" t="str">
        <f>IF($E1264="","",Input!$C$58)</f>
        <v/>
      </c>
      <c r="R1264" s="156" t="str">
        <f t="shared" si="407"/>
        <v/>
      </c>
      <c r="S1264" s="154" t="str">
        <f t="shared" si="398"/>
        <v/>
      </c>
      <c r="T1264" s="152"/>
      <c r="U1264" s="150" t="str">
        <f t="shared" si="408"/>
        <v/>
      </c>
      <c r="V1264" s="150" t="str">
        <f t="shared" si="409"/>
        <v/>
      </c>
      <c r="W1264" s="168" t="str">
        <f t="shared" si="410"/>
        <v/>
      </c>
      <c r="X1264" s="163" t="str">
        <f t="shared" si="399"/>
        <v/>
      </c>
      <c r="Y1264" s="152"/>
      <c r="Z1264" s="164" t="str">
        <f>IF(AND($C1263=12,$D1263=Input!$C$6),0,IF($E1264="","",V1264+Z1265/(1+L1264)*R1264))</f>
        <v/>
      </c>
      <c r="AA1264" s="164" t="str">
        <f>IF(OR($M1264=1,AND($C1263=12,$D1263=Input!$C$6)),0,IF($E1264="","",W1264+(X1264+AA1265*$R1264)/(1+$L1264)))</f>
        <v/>
      </c>
      <c r="AB1264" s="160" t="str">
        <f t="shared" si="400"/>
        <v/>
      </c>
      <c r="AC1264" s="164" t="str">
        <f t="shared" si="401"/>
        <v/>
      </c>
      <c r="AD1264" s="164" t="str">
        <f>IF(AND($C1263=12,$D1263=Input!$C$6),0,IF($E1264="","",$AC1264+AD1265/(1+$L1264)*$R1264))</f>
        <v/>
      </c>
      <c r="AE1264" s="152"/>
      <c r="AF1264" s="164" t="str">
        <f>IF(AND($C1263=12,$D1263=Input!$C$6),0,IF($E1264="","",IF($B1264&gt;Input!$C$9,$AC1264,0)+AF1265/(1+$L1264)*$R1264))</f>
        <v/>
      </c>
      <c r="AG1264" s="164" t="str">
        <f>IF(AND($C1263=12,$D1263=Input!$C$6),0,IF($E1264="","",(IF($B1264&gt;Input!$C$9,$X1264,0)+AG1265)/(1+$L1264)*$R1264))</f>
        <v/>
      </c>
      <c r="AH1264" s="160" t="str">
        <f t="shared" si="402"/>
        <v/>
      </c>
      <c r="AI1264" s="160" t="str">
        <f>IF($E1264="","",MIN(Input!$C$61/AH1264,1))</f>
        <v/>
      </c>
      <c r="AJ1264" s="152"/>
      <c r="AK1264" s="164" t="str">
        <f>IF(AND($C1263=12,$D1263=Input!$C$6),0,IF($E1264="","",IF($B1264&gt;Input!$C$9,$AC1264*AI1264,0)+AK1265/(1+$L1264)*$R1264))</f>
        <v/>
      </c>
      <c r="AL1264" s="164" t="str">
        <f>IF(AND($C1263=12,$D1263=Input!$C$6),0,IF($E1264="","",IF($B1264&gt;Input!$C$9,0,$AC1264)+AL1265/(1+$L1264)*$R1264))</f>
        <v/>
      </c>
      <c r="AM1264" s="160" t="str">
        <f t="shared" si="403"/>
        <v/>
      </c>
      <c r="AN1264" s="164" t="str">
        <f>IF($E1264="","",IF($B1264&gt;Input!$C$9,$AI1264*$AC1264,$AM1264*$AC1264))</f>
        <v/>
      </c>
      <c r="AO1264" s="164" t="str">
        <f>IF(AND($C1263=12,$D1263=Input!$C$6),0,IF($E1264="","",$AN1264+AO1265/(1+$L1264)*$R1264))</f>
        <v/>
      </c>
      <c r="AP1264" s="152"/>
      <c r="AQ1264" s="150" t="str">
        <f t="shared" si="404"/>
        <v/>
      </c>
      <c r="AR1264" s="150" t="str">
        <f t="shared" si="411"/>
        <v/>
      </c>
      <c r="AS1264" s="150" t="str">
        <f t="shared" si="412"/>
        <v/>
      </c>
      <c r="AT1264" s="150" t="str">
        <f t="shared" si="405"/>
        <v/>
      </c>
      <c r="AU1264" s="152"/>
      <c r="AV1264" s="147" t="str">
        <f>'Deterministic Reserve'!BC1264</f>
        <v/>
      </c>
      <c r="AY1264" s="152"/>
    </row>
    <row r="1265" spans="1:51" s="150" customFormat="1" x14ac:dyDescent="0.25">
      <c r="A1265" s="150" t="str">
        <f t="shared" si="413"/>
        <v/>
      </c>
      <c r="B1265" s="150" t="str">
        <f t="shared" si="414"/>
        <v/>
      </c>
      <c r="C1265" s="150" t="str">
        <f t="shared" si="415"/>
        <v/>
      </c>
      <c r="D1265" s="150" t="str">
        <f>IF(E1265="","",Input!$C$4+B1265-1)</f>
        <v/>
      </c>
      <c r="E1265" s="150" t="str">
        <f>IF(OR(AND(C1264=12,D1264=Input!$C$6),E1264=""),"",1)</f>
        <v/>
      </c>
      <c r="G1265" s="151" t="str">
        <f>IF(E1265="","",MAX(0,Input!$C$9-B1265))</f>
        <v/>
      </c>
      <c r="H1265" s="152" t="str">
        <f>IF(E1265="","",Input!$C$3)</f>
        <v/>
      </c>
      <c r="I1265" s="153" t="str">
        <f>IF(E1265="","",HLOOKUP($B1265,Input!$C$13:$BT$14,2))</f>
        <v/>
      </c>
      <c r="J1265" s="154"/>
      <c r="K1265" s="150" t="str">
        <f>IF($E1265="","",Input!$C$57)</f>
        <v/>
      </c>
      <c r="L1265" s="150" t="str">
        <f t="shared" si="406"/>
        <v/>
      </c>
      <c r="M1265" s="147" t="str">
        <f>IF($E1265="","",VLOOKUP(IF($B1265&lt;=Input!$C$7,$B1265,26),'Mortality Tables'!$A$72:$CA$97,IF($B1265&lt;=Input!$C$7+1,Input!$C$4-16,$D1265-Input!$C$7-16),0)/1000)</f>
        <v/>
      </c>
      <c r="N1265" s="147" t="str">
        <f t="shared" si="397"/>
        <v/>
      </c>
      <c r="O1265" s="157" t="str">
        <f>IF($E1265="","",IF($C1265=12,IF($B1265&lt;Input!$C$9,Input!$C$54,IF($B1265=Input!$C$9,Input!$C$55,Input!$C$56)),0%))</f>
        <v/>
      </c>
      <c r="P1265" s="167" t="str">
        <f>IF($E1265="","",IF($B1265=1,Input!$C$59,IF($B1265&lt;6,Input!$C$60,0%)))</f>
        <v/>
      </c>
      <c r="Q1265" s="162" t="str">
        <f>IF($E1265="","",Input!$C$58)</f>
        <v/>
      </c>
      <c r="R1265" s="156" t="str">
        <f t="shared" si="407"/>
        <v/>
      </c>
      <c r="S1265" s="154" t="str">
        <f t="shared" si="398"/>
        <v/>
      </c>
      <c r="T1265" s="152"/>
      <c r="U1265" s="150" t="str">
        <f t="shared" si="408"/>
        <v/>
      </c>
      <c r="V1265" s="150" t="str">
        <f t="shared" si="409"/>
        <v/>
      </c>
      <c r="W1265" s="168" t="str">
        <f t="shared" si="410"/>
        <v/>
      </c>
      <c r="X1265" s="163" t="str">
        <f t="shared" si="399"/>
        <v/>
      </c>
      <c r="Y1265" s="152"/>
      <c r="Z1265" s="164" t="str">
        <f>IF(AND($C1264=12,$D1264=Input!$C$6),0,IF($E1265="","",V1265+Z1266/(1+L1265)*R1265))</f>
        <v/>
      </c>
      <c r="AA1265" s="164" t="str">
        <f>IF(OR($M1265=1,AND($C1264=12,$D1264=Input!$C$6)),0,IF($E1265="","",W1265+(X1265+AA1266*$R1265)/(1+$L1265)))</f>
        <v/>
      </c>
      <c r="AB1265" s="160" t="str">
        <f t="shared" si="400"/>
        <v/>
      </c>
      <c r="AC1265" s="164" t="str">
        <f t="shared" si="401"/>
        <v/>
      </c>
      <c r="AD1265" s="164" t="str">
        <f>IF(AND($C1264=12,$D1264=Input!$C$6),0,IF($E1265="","",$AC1265+AD1266/(1+$L1265)*$R1265))</f>
        <v/>
      </c>
      <c r="AE1265" s="152"/>
      <c r="AF1265" s="164" t="str">
        <f>IF(AND($C1264=12,$D1264=Input!$C$6),0,IF($E1265="","",IF($B1265&gt;Input!$C$9,$AC1265,0)+AF1266/(1+$L1265)*$R1265))</f>
        <v/>
      </c>
      <c r="AG1265" s="164" t="str">
        <f>IF(AND($C1264=12,$D1264=Input!$C$6),0,IF($E1265="","",(IF($B1265&gt;Input!$C$9,$X1265,0)+AG1266)/(1+$L1265)*$R1265))</f>
        <v/>
      </c>
      <c r="AH1265" s="160" t="str">
        <f t="shared" si="402"/>
        <v/>
      </c>
      <c r="AI1265" s="160" t="str">
        <f>IF($E1265="","",MIN(Input!$C$61/AH1265,1))</f>
        <v/>
      </c>
      <c r="AJ1265" s="152"/>
      <c r="AK1265" s="164" t="str">
        <f>IF(AND($C1264=12,$D1264=Input!$C$6),0,IF($E1265="","",IF($B1265&gt;Input!$C$9,$AC1265*AI1265,0)+AK1266/(1+$L1265)*$R1265))</f>
        <v/>
      </c>
      <c r="AL1265" s="164" t="str">
        <f>IF(AND($C1264=12,$D1264=Input!$C$6),0,IF($E1265="","",IF($B1265&gt;Input!$C$9,0,$AC1265)+AL1266/(1+$L1265)*$R1265))</f>
        <v/>
      </c>
      <c r="AM1265" s="160" t="str">
        <f t="shared" si="403"/>
        <v/>
      </c>
      <c r="AN1265" s="164" t="str">
        <f>IF($E1265="","",IF($B1265&gt;Input!$C$9,$AI1265*$AC1265,$AM1265*$AC1265))</f>
        <v/>
      </c>
      <c r="AO1265" s="164" t="str">
        <f>IF(AND($C1264=12,$D1264=Input!$C$6),0,IF($E1265="","",$AN1265+AO1266/(1+$L1265)*$R1265))</f>
        <v/>
      </c>
      <c r="AP1265" s="152"/>
      <c r="AQ1265" s="150" t="str">
        <f t="shared" si="404"/>
        <v/>
      </c>
      <c r="AR1265" s="150" t="str">
        <f t="shared" si="411"/>
        <v/>
      </c>
      <c r="AS1265" s="150" t="str">
        <f t="shared" si="412"/>
        <v/>
      </c>
      <c r="AT1265" s="150" t="str">
        <f t="shared" si="405"/>
        <v/>
      </c>
      <c r="AU1265" s="152"/>
      <c r="AV1265" s="147" t="str">
        <f>'Deterministic Reserve'!BC1265</f>
        <v/>
      </c>
      <c r="AY1265" s="152"/>
    </row>
    <row r="1266" spans="1:51" s="150" customFormat="1" x14ac:dyDescent="0.25">
      <c r="A1266" s="150" t="str">
        <f t="shared" si="413"/>
        <v/>
      </c>
      <c r="B1266" s="150" t="str">
        <f t="shared" si="414"/>
        <v/>
      </c>
      <c r="C1266" s="150" t="str">
        <f t="shared" si="415"/>
        <v/>
      </c>
      <c r="D1266" s="150" t="str">
        <f>IF(E1266="","",Input!$C$4+B1266-1)</f>
        <v/>
      </c>
      <c r="E1266" s="150" t="str">
        <f>IF(OR(AND(C1265=12,D1265=Input!$C$6),E1265=""),"",1)</f>
        <v/>
      </c>
      <c r="G1266" s="151" t="str">
        <f>IF(E1266="","",MAX(0,Input!$C$9-B1266))</f>
        <v/>
      </c>
      <c r="H1266" s="152" t="str">
        <f>IF(E1266="","",Input!$C$3)</f>
        <v/>
      </c>
      <c r="I1266" s="153" t="str">
        <f>IF(E1266="","",HLOOKUP($B1266,Input!$C$13:$BT$14,2))</f>
        <v/>
      </c>
      <c r="J1266" s="154"/>
      <c r="K1266" s="150" t="str">
        <f>IF($E1266="","",Input!$C$57)</f>
        <v/>
      </c>
      <c r="L1266" s="150" t="str">
        <f t="shared" si="406"/>
        <v/>
      </c>
      <c r="M1266" s="147" t="str">
        <f>IF($E1266="","",VLOOKUP(IF($B1266&lt;=Input!$C$7,$B1266,26),'Mortality Tables'!$A$72:$CA$97,IF($B1266&lt;=Input!$C$7+1,Input!$C$4-16,$D1266-Input!$C$7-16),0)/1000)</f>
        <v/>
      </c>
      <c r="N1266" s="147" t="str">
        <f t="shared" si="397"/>
        <v/>
      </c>
      <c r="O1266" s="157" t="str">
        <f>IF($E1266="","",IF($C1266=12,IF($B1266&lt;Input!$C$9,Input!$C$54,IF($B1266=Input!$C$9,Input!$C$55,Input!$C$56)),0%))</f>
        <v/>
      </c>
      <c r="P1266" s="167" t="str">
        <f>IF($E1266="","",IF($B1266=1,Input!$C$59,IF($B1266&lt;6,Input!$C$60,0%)))</f>
        <v/>
      </c>
      <c r="Q1266" s="162" t="str">
        <f>IF($E1266="","",Input!$C$58)</f>
        <v/>
      </c>
      <c r="R1266" s="156" t="str">
        <f t="shared" si="407"/>
        <v/>
      </c>
      <c r="S1266" s="154" t="str">
        <f t="shared" si="398"/>
        <v/>
      </c>
      <c r="T1266" s="152"/>
      <c r="U1266" s="150" t="str">
        <f t="shared" si="408"/>
        <v/>
      </c>
      <c r="V1266" s="150" t="str">
        <f t="shared" si="409"/>
        <v/>
      </c>
      <c r="W1266" s="168" t="str">
        <f t="shared" si="410"/>
        <v/>
      </c>
      <c r="X1266" s="163" t="str">
        <f t="shared" si="399"/>
        <v/>
      </c>
      <c r="Y1266" s="152"/>
      <c r="Z1266" s="164" t="str">
        <f>IF(AND($C1265=12,$D1265=Input!$C$6),0,IF($E1266="","",V1266+Z1267/(1+L1266)*R1266))</f>
        <v/>
      </c>
      <c r="AA1266" s="164" t="str">
        <f>IF(OR($M1266=1,AND($C1265=12,$D1265=Input!$C$6)),0,IF($E1266="","",W1266+(X1266+AA1267*$R1266)/(1+$L1266)))</f>
        <v/>
      </c>
      <c r="AB1266" s="160" t="str">
        <f t="shared" si="400"/>
        <v/>
      </c>
      <c r="AC1266" s="164" t="str">
        <f t="shared" si="401"/>
        <v/>
      </c>
      <c r="AD1266" s="164" t="str">
        <f>IF(AND($C1265=12,$D1265=Input!$C$6),0,IF($E1266="","",$AC1266+AD1267/(1+$L1266)*$R1266))</f>
        <v/>
      </c>
      <c r="AE1266" s="152"/>
      <c r="AF1266" s="164" t="str">
        <f>IF(AND($C1265=12,$D1265=Input!$C$6),0,IF($E1266="","",IF($B1266&gt;Input!$C$9,$AC1266,0)+AF1267/(1+$L1266)*$R1266))</f>
        <v/>
      </c>
      <c r="AG1266" s="164" t="str">
        <f>IF(AND($C1265=12,$D1265=Input!$C$6),0,IF($E1266="","",(IF($B1266&gt;Input!$C$9,$X1266,0)+AG1267)/(1+$L1266)*$R1266))</f>
        <v/>
      </c>
      <c r="AH1266" s="160" t="str">
        <f t="shared" si="402"/>
        <v/>
      </c>
      <c r="AI1266" s="160" t="str">
        <f>IF($E1266="","",MIN(Input!$C$61/AH1266,1))</f>
        <v/>
      </c>
      <c r="AJ1266" s="152"/>
      <c r="AK1266" s="164" t="str">
        <f>IF(AND($C1265=12,$D1265=Input!$C$6),0,IF($E1266="","",IF($B1266&gt;Input!$C$9,$AC1266*AI1266,0)+AK1267/(1+$L1266)*$R1266))</f>
        <v/>
      </c>
      <c r="AL1266" s="164" t="str">
        <f>IF(AND($C1265=12,$D1265=Input!$C$6),0,IF($E1266="","",IF($B1266&gt;Input!$C$9,0,$AC1266)+AL1267/(1+$L1266)*$R1266))</f>
        <v/>
      </c>
      <c r="AM1266" s="160" t="str">
        <f t="shared" si="403"/>
        <v/>
      </c>
      <c r="AN1266" s="164" t="str">
        <f>IF($E1266="","",IF($B1266&gt;Input!$C$9,$AI1266*$AC1266,$AM1266*$AC1266))</f>
        <v/>
      </c>
      <c r="AO1266" s="164" t="str">
        <f>IF(AND($C1265=12,$D1265=Input!$C$6),0,IF($E1266="","",$AN1266+AO1267/(1+$L1266)*$R1266))</f>
        <v/>
      </c>
      <c r="AP1266" s="152"/>
      <c r="AQ1266" s="150" t="str">
        <f t="shared" si="404"/>
        <v/>
      </c>
      <c r="AR1266" s="150" t="str">
        <f t="shared" si="411"/>
        <v/>
      </c>
      <c r="AS1266" s="150" t="str">
        <f t="shared" si="412"/>
        <v/>
      </c>
      <c r="AT1266" s="150" t="str">
        <f t="shared" si="405"/>
        <v/>
      </c>
      <c r="AU1266" s="152"/>
      <c r="AV1266" s="147" t="str">
        <f>'Deterministic Reserve'!BC1266</f>
        <v/>
      </c>
      <c r="AY1266" s="152"/>
    </row>
    <row r="1267" spans="1:51" s="150" customFormat="1" x14ac:dyDescent="0.25">
      <c r="A1267" s="150" t="str">
        <f t="shared" si="413"/>
        <v/>
      </c>
      <c r="B1267" s="150" t="str">
        <f t="shared" si="414"/>
        <v/>
      </c>
      <c r="C1267" s="150" t="str">
        <f t="shared" si="415"/>
        <v/>
      </c>
      <c r="D1267" s="150" t="str">
        <f>IF(E1267="","",Input!$C$4+B1267-1)</f>
        <v/>
      </c>
      <c r="E1267" s="150" t="str">
        <f>IF(OR(AND(C1266=12,D1266=Input!$C$6),E1266=""),"",1)</f>
        <v/>
      </c>
      <c r="G1267" s="151" t="str">
        <f>IF(E1267="","",MAX(0,Input!$C$9-B1267))</f>
        <v/>
      </c>
      <c r="H1267" s="152" t="str">
        <f>IF(E1267="","",Input!$C$3)</f>
        <v/>
      </c>
      <c r="I1267" s="153" t="str">
        <f>IF(E1267="","",HLOOKUP($B1267,Input!$C$13:$BT$14,2))</f>
        <v/>
      </c>
      <c r="J1267" s="154"/>
      <c r="K1267" s="150" t="str">
        <f>IF($E1267="","",Input!$C$57)</f>
        <v/>
      </c>
      <c r="L1267" s="150" t="str">
        <f t="shared" si="406"/>
        <v/>
      </c>
      <c r="M1267" s="147" t="str">
        <f>IF($E1267="","",VLOOKUP(IF($B1267&lt;=Input!$C$7,$B1267,26),'Mortality Tables'!$A$72:$CA$97,IF($B1267&lt;=Input!$C$7+1,Input!$C$4-16,$D1267-Input!$C$7-16),0)/1000)</f>
        <v/>
      </c>
      <c r="N1267" s="147" t="str">
        <f t="shared" si="397"/>
        <v/>
      </c>
      <c r="O1267" s="157" t="str">
        <f>IF($E1267="","",IF($C1267=12,IF($B1267&lt;Input!$C$9,Input!$C$54,IF($B1267=Input!$C$9,Input!$C$55,Input!$C$56)),0%))</f>
        <v/>
      </c>
      <c r="P1267" s="167" t="str">
        <f>IF($E1267="","",IF($B1267=1,Input!$C$59,IF($B1267&lt;6,Input!$C$60,0%)))</f>
        <v/>
      </c>
      <c r="Q1267" s="162" t="str">
        <f>IF($E1267="","",Input!$C$58)</f>
        <v/>
      </c>
      <c r="R1267" s="156" t="str">
        <f t="shared" si="407"/>
        <v/>
      </c>
      <c r="S1267" s="154" t="str">
        <f t="shared" si="398"/>
        <v/>
      </c>
      <c r="T1267" s="152"/>
      <c r="U1267" s="150" t="str">
        <f t="shared" si="408"/>
        <v/>
      </c>
      <c r="V1267" s="150" t="str">
        <f t="shared" si="409"/>
        <v/>
      </c>
      <c r="W1267" s="168" t="str">
        <f t="shared" si="410"/>
        <v/>
      </c>
      <c r="X1267" s="163" t="str">
        <f t="shared" si="399"/>
        <v/>
      </c>
      <c r="Y1267" s="152"/>
      <c r="Z1267" s="164" t="str">
        <f>IF(AND($C1266=12,$D1266=Input!$C$6),0,IF($E1267="","",V1267+Z1268/(1+L1267)*R1267))</f>
        <v/>
      </c>
      <c r="AA1267" s="164" t="str">
        <f>IF(OR($M1267=1,AND($C1266=12,$D1266=Input!$C$6)),0,IF($E1267="","",W1267+(X1267+AA1268*$R1267)/(1+$L1267)))</f>
        <v/>
      </c>
      <c r="AB1267" s="160" t="str">
        <f t="shared" si="400"/>
        <v/>
      </c>
      <c r="AC1267" s="164" t="str">
        <f t="shared" si="401"/>
        <v/>
      </c>
      <c r="AD1267" s="164" t="str">
        <f>IF(AND($C1266=12,$D1266=Input!$C$6),0,IF($E1267="","",$AC1267+AD1268/(1+$L1267)*$R1267))</f>
        <v/>
      </c>
      <c r="AE1267" s="152"/>
      <c r="AF1267" s="164" t="str">
        <f>IF(AND($C1266=12,$D1266=Input!$C$6),0,IF($E1267="","",IF($B1267&gt;Input!$C$9,$AC1267,0)+AF1268/(1+$L1267)*$R1267))</f>
        <v/>
      </c>
      <c r="AG1267" s="164" t="str">
        <f>IF(AND($C1266=12,$D1266=Input!$C$6),0,IF($E1267="","",(IF($B1267&gt;Input!$C$9,$X1267,0)+AG1268)/(1+$L1267)*$R1267))</f>
        <v/>
      </c>
      <c r="AH1267" s="160" t="str">
        <f t="shared" si="402"/>
        <v/>
      </c>
      <c r="AI1267" s="160" t="str">
        <f>IF($E1267="","",MIN(Input!$C$61/AH1267,1))</f>
        <v/>
      </c>
      <c r="AJ1267" s="152"/>
      <c r="AK1267" s="164" t="str">
        <f>IF(AND($C1266=12,$D1266=Input!$C$6),0,IF($E1267="","",IF($B1267&gt;Input!$C$9,$AC1267*AI1267,0)+AK1268/(1+$L1267)*$R1267))</f>
        <v/>
      </c>
      <c r="AL1267" s="164" t="str">
        <f>IF(AND($C1266=12,$D1266=Input!$C$6),0,IF($E1267="","",IF($B1267&gt;Input!$C$9,0,$AC1267)+AL1268/(1+$L1267)*$R1267))</f>
        <v/>
      </c>
      <c r="AM1267" s="160" t="str">
        <f t="shared" si="403"/>
        <v/>
      </c>
      <c r="AN1267" s="164" t="str">
        <f>IF($E1267="","",IF($B1267&gt;Input!$C$9,$AI1267*$AC1267,$AM1267*$AC1267))</f>
        <v/>
      </c>
      <c r="AO1267" s="164" t="str">
        <f>IF(AND($C1266=12,$D1266=Input!$C$6),0,IF($E1267="","",$AN1267+AO1268/(1+$L1267)*$R1267))</f>
        <v/>
      </c>
      <c r="AP1267" s="152"/>
      <c r="AQ1267" s="150" t="str">
        <f t="shared" si="404"/>
        <v/>
      </c>
      <c r="AR1267" s="150" t="str">
        <f t="shared" si="411"/>
        <v/>
      </c>
      <c r="AS1267" s="150" t="str">
        <f t="shared" si="412"/>
        <v/>
      </c>
      <c r="AT1267" s="150" t="str">
        <f t="shared" si="405"/>
        <v/>
      </c>
      <c r="AU1267" s="152"/>
      <c r="AV1267" s="147" t="str">
        <f>'Deterministic Reserve'!BC1267</f>
        <v/>
      </c>
      <c r="AY1267" s="152"/>
    </row>
    <row r="1268" spans="1:51" s="150" customFormat="1" x14ac:dyDescent="0.25">
      <c r="A1268" s="150" t="str">
        <f t="shared" si="413"/>
        <v/>
      </c>
      <c r="B1268" s="150" t="str">
        <f t="shared" si="414"/>
        <v/>
      </c>
      <c r="C1268" s="150" t="str">
        <f t="shared" si="415"/>
        <v/>
      </c>
      <c r="D1268" s="150" t="str">
        <f>IF(E1268="","",Input!$C$4+B1268-1)</f>
        <v/>
      </c>
      <c r="E1268" s="150" t="str">
        <f>IF(OR(AND(C1267=12,D1267=Input!$C$6),E1267=""),"",1)</f>
        <v/>
      </c>
      <c r="G1268" s="151" t="str">
        <f>IF(E1268="","",MAX(0,Input!$C$9-B1268))</f>
        <v/>
      </c>
      <c r="H1268" s="152" t="str">
        <f>IF(E1268="","",Input!$C$3)</f>
        <v/>
      </c>
      <c r="I1268" s="153" t="str">
        <f>IF(E1268="","",HLOOKUP($B1268,Input!$C$13:$BT$14,2))</f>
        <v/>
      </c>
      <c r="J1268" s="154"/>
      <c r="K1268" s="150" t="str">
        <f>IF($E1268="","",Input!$C$57)</f>
        <v/>
      </c>
      <c r="L1268" s="150" t="str">
        <f t="shared" si="406"/>
        <v/>
      </c>
      <c r="M1268" s="147" t="str">
        <f>IF($E1268="","",VLOOKUP(IF($B1268&lt;=Input!$C$7,$B1268,26),'Mortality Tables'!$A$72:$CA$97,IF($B1268&lt;=Input!$C$7+1,Input!$C$4-16,$D1268-Input!$C$7-16),0)/1000)</f>
        <v/>
      </c>
      <c r="N1268" s="147" t="str">
        <f t="shared" si="397"/>
        <v/>
      </c>
      <c r="O1268" s="157" t="str">
        <f>IF($E1268="","",IF($C1268=12,IF($B1268&lt;Input!$C$9,Input!$C$54,IF($B1268=Input!$C$9,Input!$C$55,Input!$C$56)),0%))</f>
        <v/>
      </c>
      <c r="P1268" s="167" t="str">
        <f>IF($E1268="","",IF($B1268=1,Input!$C$59,IF($B1268&lt;6,Input!$C$60,0%)))</f>
        <v/>
      </c>
      <c r="Q1268" s="162" t="str">
        <f>IF($E1268="","",Input!$C$58)</f>
        <v/>
      </c>
      <c r="R1268" s="156" t="str">
        <f t="shared" si="407"/>
        <v/>
      </c>
      <c r="S1268" s="154" t="str">
        <f t="shared" si="398"/>
        <v/>
      </c>
      <c r="T1268" s="152"/>
      <c r="U1268" s="150" t="str">
        <f t="shared" si="408"/>
        <v/>
      </c>
      <c r="V1268" s="150" t="str">
        <f t="shared" si="409"/>
        <v/>
      </c>
      <c r="W1268" s="168" t="str">
        <f t="shared" si="410"/>
        <v/>
      </c>
      <c r="X1268" s="163" t="str">
        <f t="shared" si="399"/>
        <v/>
      </c>
      <c r="Y1268" s="152"/>
      <c r="Z1268" s="164" t="str">
        <f>IF(AND($C1267=12,$D1267=Input!$C$6),0,IF($E1268="","",V1268+Z1269/(1+L1268)*R1268))</f>
        <v/>
      </c>
      <c r="AA1268" s="164" t="str">
        <f>IF(OR($M1268=1,AND($C1267=12,$D1267=Input!$C$6)),0,IF($E1268="","",W1268+(X1268+AA1269*$R1268)/(1+$L1268)))</f>
        <v/>
      </c>
      <c r="AB1268" s="160" t="str">
        <f t="shared" si="400"/>
        <v/>
      </c>
      <c r="AC1268" s="164" t="str">
        <f t="shared" si="401"/>
        <v/>
      </c>
      <c r="AD1268" s="164" t="str">
        <f>IF(AND($C1267=12,$D1267=Input!$C$6),0,IF($E1268="","",$AC1268+AD1269/(1+$L1268)*$R1268))</f>
        <v/>
      </c>
      <c r="AE1268" s="152"/>
      <c r="AF1268" s="164" t="str">
        <f>IF(AND($C1267=12,$D1267=Input!$C$6),0,IF($E1268="","",IF($B1268&gt;Input!$C$9,$AC1268,0)+AF1269/(1+$L1268)*$R1268))</f>
        <v/>
      </c>
      <c r="AG1268" s="164" t="str">
        <f>IF(AND($C1267=12,$D1267=Input!$C$6),0,IF($E1268="","",(IF($B1268&gt;Input!$C$9,$X1268,0)+AG1269)/(1+$L1268)*$R1268))</f>
        <v/>
      </c>
      <c r="AH1268" s="160" t="str">
        <f t="shared" si="402"/>
        <v/>
      </c>
      <c r="AI1268" s="160" t="str">
        <f>IF($E1268="","",MIN(Input!$C$61/AH1268,1))</f>
        <v/>
      </c>
      <c r="AJ1268" s="152"/>
      <c r="AK1268" s="164" t="str">
        <f>IF(AND($C1267=12,$D1267=Input!$C$6),0,IF($E1268="","",IF($B1268&gt;Input!$C$9,$AC1268*AI1268,0)+AK1269/(1+$L1268)*$R1268))</f>
        <v/>
      </c>
      <c r="AL1268" s="164" t="str">
        <f>IF(AND($C1267=12,$D1267=Input!$C$6),0,IF($E1268="","",IF($B1268&gt;Input!$C$9,0,$AC1268)+AL1269/(1+$L1268)*$R1268))</f>
        <v/>
      </c>
      <c r="AM1268" s="160" t="str">
        <f t="shared" si="403"/>
        <v/>
      </c>
      <c r="AN1268" s="164" t="str">
        <f>IF($E1268="","",IF($B1268&gt;Input!$C$9,$AI1268*$AC1268,$AM1268*$AC1268))</f>
        <v/>
      </c>
      <c r="AO1268" s="164" t="str">
        <f>IF(AND($C1267=12,$D1267=Input!$C$6),0,IF($E1268="","",$AN1268+AO1269/(1+$L1268)*$R1268))</f>
        <v/>
      </c>
      <c r="AP1268" s="152"/>
      <c r="AQ1268" s="150" t="str">
        <f t="shared" si="404"/>
        <v/>
      </c>
      <c r="AR1268" s="150" t="str">
        <f t="shared" si="411"/>
        <v/>
      </c>
      <c r="AS1268" s="150" t="str">
        <f t="shared" si="412"/>
        <v/>
      </c>
      <c r="AT1268" s="150" t="str">
        <f t="shared" si="405"/>
        <v/>
      </c>
      <c r="AU1268" s="152"/>
      <c r="AV1268" s="147" t="str">
        <f>'Deterministic Reserve'!BC1268</f>
        <v/>
      </c>
      <c r="AY1268" s="152"/>
    </row>
    <row r="1269" spans="1:51" s="150" customFormat="1" x14ac:dyDescent="0.25">
      <c r="A1269" s="150" t="str">
        <f t="shared" si="413"/>
        <v/>
      </c>
      <c r="B1269" s="150" t="str">
        <f t="shared" si="414"/>
        <v/>
      </c>
      <c r="C1269" s="150" t="str">
        <f t="shared" si="415"/>
        <v/>
      </c>
      <c r="D1269" s="150" t="str">
        <f>IF(E1269="","",Input!$C$4+B1269-1)</f>
        <v/>
      </c>
      <c r="E1269" s="150" t="str">
        <f>IF(OR(AND(C1268=12,D1268=Input!$C$6),E1268=""),"",1)</f>
        <v/>
      </c>
      <c r="G1269" s="151" t="str">
        <f>IF(E1269="","",MAX(0,Input!$C$9-B1269))</f>
        <v/>
      </c>
      <c r="H1269" s="152" t="str">
        <f>IF(E1269="","",Input!$C$3)</f>
        <v/>
      </c>
      <c r="I1269" s="153" t="str">
        <f>IF(E1269="","",HLOOKUP($B1269,Input!$C$13:$BT$14,2))</f>
        <v/>
      </c>
      <c r="J1269" s="154"/>
      <c r="K1269" s="150" t="str">
        <f>IF($E1269="","",Input!$C$57)</f>
        <v/>
      </c>
      <c r="L1269" s="150" t="str">
        <f t="shared" si="406"/>
        <v/>
      </c>
      <c r="M1269" s="147" t="str">
        <f>IF($E1269="","",VLOOKUP(IF($B1269&lt;=Input!$C$7,$B1269,26),'Mortality Tables'!$A$72:$CA$97,IF($B1269&lt;=Input!$C$7+1,Input!$C$4-16,$D1269-Input!$C$7-16),0)/1000)</f>
        <v/>
      </c>
      <c r="N1269" s="147" t="str">
        <f t="shared" si="397"/>
        <v/>
      </c>
      <c r="O1269" s="157" t="str">
        <f>IF($E1269="","",IF($C1269=12,IF($B1269&lt;Input!$C$9,Input!$C$54,IF($B1269=Input!$C$9,Input!$C$55,Input!$C$56)),0%))</f>
        <v/>
      </c>
      <c r="P1269" s="167" t="str">
        <f>IF($E1269="","",IF($B1269=1,Input!$C$59,IF($B1269&lt;6,Input!$C$60,0%)))</f>
        <v/>
      </c>
      <c r="Q1269" s="162" t="str">
        <f>IF($E1269="","",Input!$C$58)</f>
        <v/>
      </c>
      <c r="R1269" s="156" t="str">
        <f t="shared" si="407"/>
        <v/>
      </c>
      <c r="S1269" s="154" t="str">
        <f t="shared" si="398"/>
        <v/>
      </c>
      <c r="T1269" s="152"/>
      <c r="U1269" s="150" t="str">
        <f t="shared" si="408"/>
        <v/>
      </c>
      <c r="V1269" s="150" t="str">
        <f t="shared" si="409"/>
        <v/>
      </c>
      <c r="W1269" s="168" t="str">
        <f t="shared" si="410"/>
        <v/>
      </c>
      <c r="X1269" s="163" t="str">
        <f t="shared" si="399"/>
        <v/>
      </c>
      <c r="Y1269" s="152"/>
      <c r="Z1269" s="164" t="str">
        <f>IF(AND($C1268=12,$D1268=Input!$C$6),0,IF($E1269="","",V1269+Z1270/(1+L1269)*R1269))</f>
        <v/>
      </c>
      <c r="AA1269" s="164" t="str">
        <f>IF(OR($M1269=1,AND($C1268=12,$D1268=Input!$C$6)),0,IF($E1269="","",W1269+(X1269+AA1270*$R1269)/(1+$L1269)))</f>
        <v/>
      </c>
      <c r="AB1269" s="160" t="str">
        <f t="shared" si="400"/>
        <v/>
      </c>
      <c r="AC1269" s="164" t="str">
        <f t="shared" si="401"/>
        <v/>
      </c>
      <c r="AD1269" s="164" t="str">
        <f>IF(AND($C1268=12,$D1268=Input!$C$6),0,IF($E1269="","",$AC1269+AD1270/(1+$L1269)*$R1269))</f>
        <v/>
      </c>
      <c r="AE1269" s="152"/>
      <c r="AF1269" s="164" t="str">
        <f>IF(AND($C1268=12,$D1268=Input!$C$6),0,IF($E1269="","",IF($B1269&gt;Input!$C$9,$AC1269,0)+AF1270/(1+$L1269)*$R1269))</f>
        <v/>
      </c>
      <c r="AG1269" s="164" t="str">
        <f>IF(AND($C1268=12,$D1268=Input!$C$6),0,IF($E1269="","",(IF($B1269&gt;Input!$C$9,$X1269,0)+AG1270)/(1+$L1269)*$R1269))</f>
        <v/>
      </c>
      <c r="AH1269" s="160" t="str">
        <f t="shared" si="402"/>
        <v/>
      </c>
      <c r="AI1269" s="160" t="str">
        <f>IF($E1269="","",MIN(Input!$C$61/AH1269,1))</f>
        <v/>
      </c>
      <c r="AJ1269" s="152"/>
      <c r="AK1269" s="164" t="str">
        <f>IF(AND($C1268=12,$D1268=Input!$C$6),0,IF($E1269="","",IF($B1269&gt;Input!$C$9,$AC1269*AI1269,0)+AK1270/(1+$L1269)*$R1269))</f>
        <v/>
      </c>
      <c r="AL1269" s="164" t="str">
        <f>IF(AND($C1268=12,$D1268=Input!$C$6),0,IF($E1269="","",IF($B1269&gt;Input!$C$9,0,$AC1269)+AL1270/(1+$L1269)*$R1269))</f>
        <v/>
      </c>
      <c r="AM1269" s="160" t="str">
        <f t="shared" si="403"/>
        <v/>
      </c>
      <c r="AN1269" s="164" t="str">
        <f>IF($E1269="","",IF($B1269&gt;Input!$C$9,$AI1269*$AC1269,$AM1269*$AC1269))</f>
        <v/>
      </c>
      <c r="AO1269" s="164" t="str">
        <f>IF(AND($C1268=12,$D1268=Input!$C$6),0,IF($E1269="","",$AN1269+AO1270/(1+$L1269)*$R1269))</f>
        <v/>
      </c>
      <c r="AP1269" s="152"/>
      <c r="AQ1269" s="150" t="str">
        <f t="shared" si="404"/>
        <v/>
      </c>
      <c r="AR1269" s="150" t="str">
        <f t="shared" si="411"/>
        <v/>
      </c>
      <c r="AS1269" s="150" t="str">
        <f t="shared" si="412"/>
        <v/>
      </c>
      <c r="AT1269" s="150" t="str">
        <f t="shared" si="405"/>
        <v/>
      </c>
      <c r="AU1269" s="152"/>
      <c r="AV1269" s="147" t="str">
        <f>'Deterministic Reserve'!BC1269</f>
        <v/>
      </c>
      <c r="AY1269" s="152"/>
    </row>
    <row r="1270" spans="1:51" s="150" customFormat="1" x14ac:dyDescent="0.25">
      <c r="A1270" s="150" t="str">
        <f t="shared" si="413"/>
        <v/>
      </c>
      <c r="B1270" s="150" t="str">
        <f t="shared" si="414"/>
        <v/>
      </c>
      <c r="C1270" s="150" t="str">
        <f t="shared" si="415"/>
        <v/>
      </c>
      <c r="D1270" s="150" t="str">
        <f>IF(E1270="","",Input!$C$4+B1270-1)</f>
        <v/>
      </c>
      <c r="E1270" s="150" t="str">
        <f>IF(OR(AND(C1269=12,D1269=Input!$C$6),E1269=""),"",1)</f>
        <v/>
      </c>
      <c r="G1270" s="151" t="str">
        <f>IF(E1270="","",MAX(0,Input!$C$9-B1270))</f>
        <v/>
      </c>
      <c r="H1270" s="152" t="str">
        <f>IF(E1270="","",Input!$C$3)</f>
        <v/>
      </c>
      <c r="I1270" s="153" t="str">
        <f>IF(E1270="","",HLOOKUP($B1270,Input!$C$13:$BT$14,2))</f>
        <v/>
      </c>
      <c r="J1270" s="154"/>
      <c r="K1270" s="150" t="str">
        <f>IF($E1270="","",Input!$C$57)</f>
        <v/>
      </c>
      <c r="L1270" s="150" t="str">
        <f t="shared" si="406"/>
        <v/>
      </c>
      <c r="M1270" s="147" t="str">
        <f>IF($E1270="","",VLOOKUP(IF($B1270&lt;=Input!$C$7,$B1270,26),'Mortality Tables'!$A$72:$CA$97,IF($B1270&lt;=Input!$C$7+1,Input!$C$4-16,$D1270-Input!$C$7-16),0)/1000)</f>
        <v/>
      </c>
      <c r="N1270" s="147" t="str">
        <f t="shared" si="397"/>
        <v/>
      </c>
      <c r="O1270" s="157" t="str">
        <f>IF($E1270="","",IF($C1270=12,IF($B1270&lt;Input!$C$9,Input!$C$54,IF($B1270=Input!$C$9,Input!$C$55,Input!$C$56)),0%))</f>
        <v/>
      </c>
      <c r="P1270" s="167" t="str">
        <f>IF($E1270="","",IF($B1270=1,Input!$C$59,IF($B1270&lt;6,Input!$C$60,0%)))</f>
        <v/>
      </c>
      <c r="Q1270" s="162" t="str">
        <f>IF($E1270="","",Input!$C$58)</f>
        <v/>
      </c>
      <c r="R1270" s="156" t="str">
        <f t="shared" si="407"/>
        <v/>
      </c>
      <c r="S1270" s="154" t="str">
        <f t="shared" si="398"/>
        <v/>
      </c>
      <c r="T1270" s="152"/>
      <c r="U1270" s="150" t="str">
        <f t="shared" si="408"/>
        <v/>
      </c>
      <c r="V1270" s="150" t="str">
        <f t="shared" si="409"/>
        <v/>
      </c>
      <c r="W1270" s="168" t="str">
        <f t="shared" si="410"/>
        <v/>
      </c>
      <c r="X1270" s="163" t="str">
        <f t="shared" si="399"/>
        <v/>
      </c>
      <c r="Y1270" s="152"/>
      <c r="Z1270" s="164" t="str">
        <f>IF(AND($C1269=12,$D1269=Input!$C$6),0,IF($E1270="","",V1270+Z1271/(1+L1270)*R1270))</f>
        <v/>
      </c>
      <c r="AA1270" s="164" t="str">
        <f>IF(OR($M1270=1,AND($C1269=12,$D1269=Input!$C$6)),0,IF($E1270="","",W1270+(X1270+AA1271*$R1270)/(1+$L1270)))</f>
        <v/>
      </c>
      <c r="AB1270" s="160" t="str">
        <f t="shared" si="400"/>
        <v/>
      </c>
      <c r="AC1270" s="164" t="str">
        <f t="shared" si="401"/>
        <v/>
      </c>
      <c r="AD1270" s="164" t="str">
        <f>IF(AND($C1269=12,$D1269=Input!$C$6),0,IF($E1270="","",$AC1270+AD1271/(1+$L1270)*$R1270))</f>
        <v/>
      </c>
      <c r="AE1270" s="152"/>
      <c r="AF1270" s="164" t="str">
        <f>IF(AND($C1269=12,$D1269=Input!$C$6),0,IF($E1270="","",IF($B1270&gt;Input!$C$9,$AC1270,0)+AF1271/(1+$L1270)*$R1270))</f>
        <v/>
      </c>
      <c r="AG1270" s="164" t="str">
        <f>IF(AND($C1269=12,$D1269=Input!$C$6),0,IF($E1270="","",(IF($B1270&gt;Input!$C$9,$X1270,0)+AG1271)/(1+$L1270)*$R1270))</f>
        <v/>
      </c>
      <c r="AH1270" s="160" t="str">
        <f t="shared" si="402"/>
        <v/>
      </c>
      <c r="AI1270" s="160" t="str">
        <f>IF($E1270="","",MIN(Input!$C$61/AH1270,1))</f>
        <v/>
      </c>
      <c r="AJ1270" s="152"/>
      <c r="AK1270" s="164" t="str">
        <f>IF(AND($C1269=12,$D1269=Input!$C$6),0,IF($E1270="","",IF($B1270&gt;Input!$C$9,$AC1270*AI1270,0)+AK1271/(1+$L1270)*$R1270))</f>
        <v/>
      </c>
      <c r="AL1270" s="164" t="str">
        <f>IF(AND($C1269=12,$D1269=Input!$C$6),0,IF($E1270="","",IF($B1270&gt;Input!$C$9,0,$AC1270)+AL1271/(1+$L1270)*$R1270))</f>
        <v/>
      </c>
      <c r="AM1270" s="160" t="str">
        <f t="shared" si="403"/>
        <v/>
      </c>
      <c r="AN1270" s="164" t="str">
        <f>IF($E1270="","",IF($B1270&gt;Input!$C$9,$AI1270*$AC1270,$AM1270*$AC1270))</f>
        <v/>
      </c>
      <c r="AO1270" s="164" t="str">
        <f>IF(AND($C1269=12,$D1269=Input!$C$6),0,IF($E1270="","",$AN1270+AO1271/(1+$L1270)*$R1270))</f>
        <v/>
      </c>
      <c r="AP1270" s="152"/>
      <c r="AQ1270" s="150" t="str">
        <f t="shared" si="404"/>
        <v/>
      </c>
      <c r="AR1270" s="150" t="str">
        <f t="shared" si="411"/>
        <v/>
      </c>
      <c r="AS1270" s="150" t="str">
        <f t="shared" si="412"/>
        <v/>
      </c>
      <c r="AT1270" s="150" t="str">
        <f t="shared" si="405"/>
        <v/>
      </c>
      <c r="AU1270" s="152"/>
      <c r="AV1270" s="147" t="str">
        <f>'Deterministic Reserve'!BC1270</f>
        <v/>
      </c>
      <c r="AY1270" s="152"/>
    </row>
    <row r="1271" spans="1:51" s="150" customFormat="1" x14ac:dyDescent="0.25">
      <c r="A1271" s="150" t="str">
        <f t="shared" si="413"/>
        <v/>
      </c>
      <c r="B1271" s="150" t="str">
        <f t="shared" si="414"/>
        <v/>
      </c>
      <c r="C1271" s="150" t="str">
        <f t="shared" si="415"/>
        <v/>
      </c>
      <c r="D1271" s="150" t="str">
        <f>IF(E1271="","",Input!$C$4+B1271-1)</f>
        <v/>
      </c>
      <c r="E1271" s="150" t="str">
        <f>IF(OR(AND(C1270=12,D1270=Input!$C$6),E1270=""),"",1)</f>
        <v/>
      </c>
      <c r="G1271" s="151" t="str">
        <f>IF(E1271="","",MAX(0,Input!$C$9-B1271))</f>
        <v/>
      </c>
      <c r="H1271" s="152" t="str">
        <f>IF(E1271="","",Input!$C$3)</f>
        <v/>
      </c>
      <c r="I1271" s="153" t="str">
        <f>IF(E1271="","",HLOOKUP($B1271,Input!$C$13:$BT$14,2))</f>
        <v/>
      </c>
      <c r="J1271" s="154"/>
      <c r="K1271" s="150" t="str">
        <f>IF($E1271="","",Input!$C$57)</f>
        <v/>
      </c>
      <c r="L1271" s="150" t="str">
        <f t="shared" si="406"/>
        <v/>
      </c>
      <c r="M1271" s="147" t="str">
        <f>IF($E1271="","",VLOOKUP(IF($B1271&lt;=Input!$C$7,$B1271,26),'Mortality Tables'!$A$72:$CA$97,IF($B1271&lt;=Input!$C$7+1,Input!$C$4-16,$D1271-Input!$C$7-16),0)/1000)</f>
        <v/>
      </c>
      <c r="N1271" s="147" t="str">
        <f t="shared" si="397"/>
        <v/>
      </c>
      <c r="O1271" s="157" t="str">
        <f>IF($E1271="","",IF($C1271=12,IF($B1271&lt;Input!$C$9,Input!$C$54,IF($B1271=Input!$C$9,Input!$C$55,Input!$C$56)),0%))</f>
        <v/>
      </c>
      <c r="P1271" s="167" t="str">
        <f>IF($E1271="","",IF($B1271=1,Input!$C$59,IF($B1271&lt;6,Input!$C$60,0%)))</f>
        <v/>
      </c>
      <c r="Q1271" s="162" t="str">
        <f>IF($E1271="","",Input!$C$58)</f>
        <v/>
      </c>
      <c r="R1271" s="156" t="str">
        <f t="shared" si="407"/>
        <v/>
      </c>
      <c r="S1271" s="154" t="str">
        <f t="shared" si="398"/>
        <v/>
      </c>
      <c r="T1271" s="152"/>
      <c r="U1271" s="150" t="str">
        <f t="shared" si="408"/>
        <v/>
      </c>
      <c r="V1271" s="150" t="str">
        <f t="shared" si="409"/>
        <v/>
      </c>
      <c r="W1271" s="168" t="str">
        <f t="shared" si="410"/>
        <v/>
      </c>
      <c r="X1271" s="163" t="str">
        <f t="shared" si="399"/>
        <v/>
      </c>
      <c r="Y1271" s="152"/>
      <c r="Z1271" s="164" t="str">
        <f>IF(AND($C1270=12,$D1270=Input!$C$6),0,IF($E1271="","",V1271+Z1272/(1+L1271)*R1271))</f>
        <v/>
      </c>
      <c r="AA1271" s="164" t="str">
        <f>IF(OR($M1271=1,AND($C1270=12,$D1270=Input!$C$6)),0,IF($E1271="","",W1271+(X1271+AA1272*$R1271)/(1+$L1271)))</f>
        <v/>
      </c>
      <c r="AB1271" s="160" t="str">
        <f t="shared" si="400"/>
        <v/>
      </c>
      <c r="AC1271" s="164" t="str">
        <f t="shared" si="401"/>
        <v/>
      </c>
      <c r="AD1271" s="164" t="str">
        <f>IF(AND($C1270=12,$D1270=Input!$C$6),0,IF($E1271="","",$AC1271+AD1272/(1+$L1271)*$R1271))</f>
        <v/>
      </c>
      <c r="AE1271" s="152"/>
      <c r="AF1271" s="164" t="str">
        <f>IF(AND($C1270=12,$D1270=Input!$C$6),0,IF($E1271="","",IF($B1271&gt;Input!$C$9,$AC1271,0)+AF1272/(1+$L1271)*$R1271))</f>
        <v/>
      </c>
      <c r="AG1271" s="164" t="str">
        <f>IF(AND($C1270=12,$D1270=Input!$C$6),0,IF($E1271="","",(IF($B1271&gt;Input!$C$9,$X1271,0)+AG1272)/(1+$L1271)*$R1271))</f>
        <v/>
      </c>
      <c r="AH1271" s="160" t="str">
        <f t="shared" si="402"/>
        <v/>
      </c>
      <c r="AI1271" s="160" t="str">
        <f>IF($E1271="","",MIN(Input!$C$61/AH1271,1))</f>
        <v/>
      </c>
      <c r="AJ1271" s="152"/>
      <c r="AK1271" s="164" t="str">
        <f>IF(AND($C1270=12,$D1270=Input!$C$6),0,IF($E1271="","",IF($B1271&gt;Input!$C$9,$AC1271*AI1271,0)+AK1272/(1+$L1271)*$R1271))</f>
        <v/>
      </c>
      <c r="AL1271" s="164" t="str">
        <f>IF(AND($C1270=12,$D1270=Input!$C$6),0,IF($E1271="","",IF($B1271&gt;Input!$C$9,0,$AC1271)+AL1272/(1+$L1271)*$R1271))</f>
        <v/>
      </c>
      <c r="AM1271" s="160" t="str">
        <f t="shared" si="403"/>
        <v/>
      </c>
      <c r="AN1271" s="164" t="str">
        <f>IF($E1271="","",IF($B1271&gt;Input!$C$9,$AI1271*$AC1271,$AM1271*$AC1271))</f>
        <v/>
      </c>
      <c r="AO1271" s="164" t="str">
        <f>IF(AND($C1270=12,$D1270=Input!$C$6),0,IF($E1271="","",$AN1271+AO1272/(1+$L1271)*$R1271))</f>
        <v/>
      </c>
      <c r="AP1271" s="152"/>
      <c r="AQ1271" s="150" t="str">
        <f t="shared" si="404"/>
        <v/>
      </c>
      <c r="AR1271" s="150" t="str">
        <f t="shared" si="411"/>
        <v/>
      </c>
      <c r="AS1271" s="150" t="str">
        <f t="shared" si="412"/>
        <v/>
      </c>
      <c r="AT1271" s="150" t="str">
        <f t="shared" si="405"/>
        <v/>
      </c>
      <c r="AU1271" s="152"/>
      <c r="AV1271" s="147" t="str">
        <f>'Deterministic Reserve'!BC1271</f>
        <v/>
      </c>
      <c r="AY1271" s="152"/>
    </row>
    <row r="1272" spans="1:51" s="150" customFormat="1" x14ac:dyDescent="0.25">
      <c r="A1272" s="150" t="str">
        <f t="shared" si="413"/>
        <v/>
      </c>
      <c r="B1272" s="150" t="str">
        <f t="shared" si="414"/>
        <v/>
      </c>
      <c r="C1272" s="150" t="str">
        <f t="shared" si="415"/>
        <v/>
      </c>
      <c r="D1272" s="150" t="str">
        <f>IF(E1272="","",Input!$C$4+B1272-1)</f>
        <v/>
      </c>
      <c r="E1272" s="150" t="str">
        <f>IF(OR(AND(C1271=12,D1271=Input!$C$6),E1271=""),"",1)</f>
        <v/>
      </c>
      <c r="G1272" s="151" t="str">
        <f>IF(E1272="","",MAX(0,Input!$C$9-B1272))</f>
        <v/>
      </c>
      <c r="H1272" s="152" t="str">
        <f>IF(E1272="","",Input!$C$3)</f>
        <v/>
      </c>
      <c r="I1272" s="153" t="str">
        <f>IF(E1272="","",HLOOKUP($B1272,Input!$C$13:$BT$14,2))</f>
        <v/>
      </c>
      <c r="J1272" s="154"/>
      <c r="K1272" s="150" t="str">
        <f>IF($E1272="","",Input!$C$57)</f>
        <v/>
      </c>
      <c r="L1272" s="150" t="str">
        <f t="shared" si="406"/>
        <v/>
      </c>
      <c r="M1272" s="147" t="str">
        <f>IF($E1272="","",VLOOKUP(IF($B1272&lt;=Input!$C$7,$B1272,26),'Mortality Tables'!$A$72:$CA$97,IF($B1272&lt;=Input!$C$7+1,Input!$C$4-16,$D1272-Input!$C$7-16),0)/1000)</f>
        <v/>
      </c>
      <c r="N1272" s="147" t="str">
        <f t="shared" si="397"/>
        <v/>
      </c>
      <c r="O1272" s="157" t="str">
        <f>IF($E1272="","",IF($C1272=12,IF($B1272&lt;Input!$C$9,Input!$C$54,IF($B1272=Input!$C$9,Input!$C$55,Input!$C$56)),0%))</f>
        <v/>
      </c>
      <c r="P1272" s="167" t="str">
        <f>IF($E1272="","",IF($B1272=1,Input!$C$59,IF($B1272&lt;6,Input!$C$60,0%)))</f>
        <v/>
      </c>
      <c r="Q1272" s="162" t="str">
        <f>IF($E1272="","",Input!$C$58)</f>
        <v/>
      </c>
      <c r="R1272" s="156" t="str">
        <f t="shared" si="407"/>
        <v/>
      </c>
      <c r="S1272" s="154" t="str">
        <f t="shared" si="398"/>
        <v/>
      </c>
      <c r="T1272" s="152"/>
      <c r="U1272" s="150" t="str">
        <f t="shared" si="408"/>
        <v/>
      </c>
      <c r="V1272" s="150" t="str">
        <f t="shared" si="409"/>
        <v/>
      </c>
      <c r="W1272" s="168" t="str">
        <f t="shared" si="410"/>
        <v/>
      </c>
      <c r="X1272" s="163" t="str">
        <f t="shared" si="399"/>
        <v/>
      </c>
      <c r="Y1272" s="152"/>
      <c r="Z1272" s="164" t="str">
        <f>IF(AND($C1271=12,$D1271=Input!$C$6),0,IF($E1272="","",V1272+Z1273/(1+L1272)*R1272))</f>
        <v/>
      </c>
      <c r="AA1272" s="164" t="str">
        <f>IF(OR($M1272=1,AND($C1271=12,$D1271=Input!$C$6)),0,IF($E1272="","",W1272+(X1272+AA1273*$R1272)/(1+$L1272)))</f>
        <v/>
      </c>
      <c r="AB1272" s="160" t="str">
        <f t="shared" si="400"/>
        <v/>
      </c>
      <c r="AC1272" s="164" t="str">
        <f t="shared" si="401"/>
        <v/>
      </c>
      <c r="AD1272" s="164" t="str">
        <f>IF(AND($C1271=12,$D1271=Input!$C$6),0,IF($E1272="","",$AC1272+AD1273/(1+$L1272)*$R1272))</f>
        <v/>
      </c>
      <c r="AE1272" s="152"/>
      <c r="AF1272" s="164" t="str">
        <f>IF(AND($C1271=12,$D1271=Input!$C$6),0,IF($E1272="","",IF($B1272&gt;Input!$C$9,$AC1272,0)+AF1273/(1+$L1272)*$R1272))</f>
        <v/>
      </c>
      <c r="AG1272" s="164" t="str">
        <f>IF(AND($C1271=12,$D1271=Input!$C$6),0,IF($E1272="","",(IF($B1272&gt;Input!$C$9,$X1272,0)+AG1273)/(1+$L1272)*$R1272))</f>
        <v/>
      </c>
      <c r="AH1272" s="160" t="str">
        <f t="shared" si="402"/>
        <v/>
      </c>
      <c r="AI1272" s="160" t="str">
        <f>IF($E1272="","",MIN(Input!$C$61/AH1272,1))</f>
        <v/>
      </c>
      <c r="AJ1272" s="152"/>
      <c r="AK1272" s="164" t="str">
        <f>IF(AND($C1271=12,$D1271=Input!$C$6),0,IF($E1272="","",IF($B1272&gt;Input!$C$9,$AC1272*AI1272,0)+AK1273/(1+$L1272)*$R1272))</f>
        <v/>
      </c>
      <c r="AL1272" s="164" t="str">
        <f>IF(AND($C1271=12,$D1271=Input!$C$6),0,IF($E1272="","",IF($B1272&gt;Input!$C$9,0,$AC1272)+AL1273/(1+$L1272)*$R1272))</f>
        <v/>
      </c>
      <c r="AM1272" s="160" t="str">
        <f t="shared" si="403"/>
        <v/>
      </c>
      <c r="AN1272" s="164" t="str">
        <f>IF($E1272="","",IF($B1272&gt;Input!$C$9,$AI1272*$AC1272,$AM1272*$AC1272))</f>
        <v/>
      </c>
      <c r="AO1272" s="164" t="str">
        <f>IF(AND($C1271=12,$D1271=Input!$C$6),0,IF($E1272="","",$AN1272+AO1273/(1+$L1272)*$R1272))</f>
        <v/>
      </c>
      <c r="AP1272" s="152"/>
      <c r="AQ1272" s="150" t="str">
        <f t="shared" si="404"/>
        <v/>
      </c>
      <c r="AR1272" s="150" t="str">
        <f t="shared" si="411"/>
        <v/>
      </c>
      <c r="AS1272" s="150" t="str">
        <f t="shared" si="412"/>
        <v/>
      </c>
      <c r="AT1272" s="150" t="str">
        <f t="shared" si="405"/>
        <v/>
      </c>
      <c r="AU1272" s="152"/>
      <c r="AV1272" s="147" t="str">
        <f>'Deterministic Reserve'!BC1272</f>
        <v/>
      </c>
      <c r="AY1272" s="152"/>
    </row>
    <row r="1273" spans="1:51" s="150" customFormat="1" x14ac:dyDescent="0.25">
      <c r="A1273" s="150" t="str">
        <f t="shared" si="413"/>
        <v/>
      </c>
      <c r="B1273" s="150" t="str">
        <f t="shared" si="414"/>
        <v/>
      </c>
      <c r="C1273" s="150" t="str">
        <f t="shared" si="415"/>
        <v/>
      </c>
      <c r="D1273" s="150" t="str">
        <f>IF(E1273="","",Input!$C$4+B1273-1)</f>
        <v/>
      </c>
      <c r="E1273" s="150" t="str">
        <f>IF(OR(AND(C1272=12,D1272=Input!$C$6),E1272=""),"",1)</f>
        <v/>
      </c>
      <c r="G1273" s="151" t="str">
        <f>IF(E1273="","",MAX(0,Input!$C$9-B1273))</f>
        <v/>
      </c>
      <c r="H1273" s="152" t="str">
        <f>IF(E1273="","",Input!$C$3)</f>
        <v/>
      </c>
      <c r="I1273" s="153" t="str">
        <f>IF(E1273="","",HLOOKUP($B1273,Input!$C$13:$BT$14,2))</f>
        <v/>
      </c>
      <c r="J1273" s="154"/>
      <c r="K1273" s="150" t="str">
        <f>IF($E1273="","",Input!$C$57)</f>
        <v/>
      </c>
      <c r="L1273" s="150" t="str">
        <f t="shared" si="406"/>
        <v/>
      </c>
      <c r="M1273" s="147" t="str">
        <f>IF($E1273="","",VLOOKUP(IF($B1273&lt;=Input!$C$7,$B1273,26),'Mortality Tables'!$A$72:$CA$97,IF($B1273&lt;=Input!$C$7+1,Input!$C$4-16,$D1273-Input!$C$7-16),0)/1000)</f>
        <v/>
      </c>
      <c r="N1273" s="147" t="str">
        <f t="shared" si="397"/>
        <v/>
      </c>
      <c r="O1273" s="157" t="str">
        <f>IF($E1273="","",IF($C1273=12,IF($B1273&lt;Input!$C$9,Input!$C$54,IF($B1273=Input!$C$9,Input!$C$55,Input!$C$56)),0%))</f>
        <v/>
      </c>
      <c r="P1273" s="167" t="str">
        <f>IF($E1273="","",IF($B1273=1,Input!$C$59,IF($B1273&lt;6,Input!$C$60,0%)))</f>
        <v/>
      </c>
      <c r="Q1273" s="162" t="str">
        <f>IF($E1273="","",Input!$C$58)</f>
        <v/>
      </c>
      <c r="R1273" s="156" t="str">
        <f t="shared" si="407"/>
        <v/>
      </c>
      <c r="S1273" s="154" t="str">
        <f t="shared" si="398"/>
        <v/>
      </c>
      <c r="T1273" s="152"/>
      <c r="U1273" s="150" t="str">
        <f t="shared" si="408"/>
        <v/>
      </c>
      <c r="V1273" s="150" t="str">
        <f t="shared" si="409"/>
        <v/>
      </c>
      <c r="W1273" s="168" t="str">
        <f t="shared" si="410"/>
        <v/>
      </c>
      <c r="X1273" s="163" t="str">
        <f t="shared" si="399"/>
        <v/>
      </c>
      <c r="Y1273" s="152"/>
      <c r="Z1273" s="164" t="str">
        <f>IF(AND($C1272=12,$D1272=Input!$C$6),0,IF($E1273="","",V1273+Z1274/(1+L1273)*R1273))</f>
        <v/>
      </c>
      <c r="AA1273" s="164" t="str">
        <f>IF(OR($M1273=1,AND($C1272=12,$D1272=Input!$C$6)),0,IF($E1273="","",W1273+(X1273+AA1274*$R1273)/(1+$L1273)))</f>
        <v/>
      </c>
      <c r="AB1273" s="160" t="str">
        <f t="shared" si="400"/>
        <v/>
      </c>
      <c r="AC1273" s="164" t="str">
        <f t="shared" si="401"/>
        <v/>
      </c>
      <c r="AD1273" s="164" t="str">
        <f>IF(AND($C1272=12,$D1272=Input!$C$6),0,IF($E1273="","",$AC1273+AD1274/(1+$L1273)*$R1273))</f>
        <v/>
      </c>
      <c r="AE1273" s="152"/>
      <c r="AF1273" s="164" t="str">
        <f>IF(AND($C1272=12,$D1272=Input!$C$6),0,IF($E1273="","",IF($B1273&gt;Input!$C$9,$AC1273,0)+AF1274/(1+$L1273)*$R1273))</f>
        <v/>
      </c>
      <c r="AG1273" s="164" t="str">
        <f>IF(AND($C1272=12,$D1272=Input!$C$6),0,IF($E1273="","",(IF($B1273&gt;Input!$C$9,$X1273,0)+AG1274)/(1+$L1273)*$R1273))</f>
        <v/>
      </c>
      <c r="AH1273" s="160" t="str">
        <f t="shared" si="402"/>
        <v/>
      </c>
      <c r="AI1273" s="160" t="str">
        <f>IF($E1273="","",MIN(Input!$C$61/AH1273,1))</f>
        <v/>
      </c>
      <c r="AJ1273" s="152"/>
      <c r="AK1273" s="164" t="str">
        <f>IF(AND($C1272=12,$D1272=Input!$C$6),0,IF($E1273="","",IF($B1273&gt;Input!$C$9,$AC1273*AI1273,0)+AK1274/(1+$L1273)*$R1273))</f>
        <v/>
      </c>
      <c r="AL1273" s="164" t="str">
        <f>IF(AND($C1272=12,$D1272=Input!$C$6),0,IF($E1273="","",IF($B1273&gt;Input!$C$9,0,$AC1273)+AL1274/(1+$L1273)*$R1273))</f>
        <v/>
      </c>
      <c r="AM1273" s="160" t="str">
        <f t="shared" si="403"/>
        <v/>
      </c>
      <c r="AN1273" s="164" t="str">
        <f>IF($E1273="","",IF($B1273&gt;Input!$C$9,$AI1273*$AC1273,$AM1273*$AC1273))</f>
        <v/>
      </c>
      <c r="AO1273" s="164" t="str">
        <f>IF(AND($C1272=12,$D1272=Input!$C$6),0,IF($E1273="","",$AN1273+AO1274/(1+$L1273)*$R1273))</f>
        <v/>
      </c>
      <c r="AP1273" s="152"/>
      <c r="AQ1273" s="150" t="str">
        <f t="shared" si="404"/>
        <v/>
      </c>
      <c r="AR1273" s="150" t="str">
        <f t="shared" si="411"/>
        <v/>
      </c>
      <c r="AS1273" s="150" t="str">
        <f t="shared" si="412"/>
        <v/>
      </c>
      <c r="AT1273" s="150" t="str">
        <f t="shared" si="405"/>
        <v/>
      </c>
      <c r="AU1273" s="152"/>
      <c r="AV1273" s="147" t="str">
        <f>'Deterministic Reserve'!BC1273</f>
        <v/>
      </c>
      <c r="AY1273" s="152"/>
    </row>
    <row r="1274" spans="1:51" s="150" customFormat="1" x14ac:dyDescent="0.25">
      <c r="A1274" s="150" t="str">
        <f t="shared" si="413"/>
        <v/>
      </c>
      <c r="B1274" s="150" t="str">
        <f t="shared" si="414"/>
        <v/>
      </c>
      <c r="C1274" s="150" t="str">
        <f t="shared" si="415"/>
        <v/>
      </c>
      <c r="D1274" s="150" t="str">
        <f>IF(E1274="","",Input!$C$4+B1274-1)</f>
        <v/>
      </c>
      <c r="E1274" s="150" t="str">
        <f>IF(OR(AND(C1273=12,D1273=Input!$C$6),E1273=""),"",1)</f>
        <v/>
      </c>
      <c r="G1274" s="151" t="str">
        <f>IF(E1274="","",MAX(0,Input!$C$9-B1274))</f>
        <v/>
      </c>
      <c r="H1274" s="152" t="str">
        <f>IF(E1274="","",Input!$C$3)</f>
        <v/>
      </c>
      <c r="I1274" s="153" t="str">
        <f>IF(E1274="","",HLOOKUP($B1274,Input!$C$13:$BT$14,2))</f>
        <v/>
      </c>
      <c r="J1274" s="154"/>
      <c r="K1274" s="150" t="str">
        <f>IF($E1274="","",Input!$C$57)</f>
        <v/>
      </c>
      <c r="L1274" s="150" t="str">
        <f t="shared" si="406"/>
        <v/>
      </c>
      <c r="M1274" s="147" t="str">
        <f>IF($E1274="","",VLOOKUP(IF($B1274&lt;=Input!$C$7,$B1274,26),'Mortality Tables'!$A$72:$CA$97,IF($B1274&lt;=Input!$C$7+1,Input!$C$4-16,$D1274-Input!$C$7-16),0)/1000)</f>
        <v/>
      </c>
      <c r="N1274" s="147" t="str">
        <f t="shared" si="397"/>
        <v/>
      </c>
      <c r="O1274" s="157" t="str">
        <f>IF($E1274="","",IF($C1274=12,IF($B1274&lt;Input!$C$9,Input!$C$54,IF($B1274=Input!$C$9,Input!$C$55,Input!$C$56)),0%))</f>
        <v/>
      </c>
      <c r="P1274" s="167" t="str">
        <f>IF($E1274="","",IF($B1274=1,Input!$C$59,IF($B1274&lt;6,Input!$C$60,0%)))</f>
        <v/>
      </c>
      <c r="Q1274" s="162" t="str">
        <f>IF($E1274="","",Input!$C$58)</f>
        <v/>
      </c>
      <c r="R1274" s="156" t="str">
        <f t="shared" si="407"/>
        <v/>
      </c>
      <c r="S1274" s="154" t="str">
        <f t="shared" si="398"/>
        <v/>
      </c>
      <c r="T1274" s="152"/>
      <c r="U1274" s="150" t="str">
        <f t="shared" si="408"/>
        <v/>
      </c>
      <c r="V1274" s="150" t="str">
        <f t="shared" si="409"/>
        <v/>
      </c>
      <c r="W1274" s="168" t="str">
        <f t="shared" si="410"/>
        <v/>
      </c>
      <c r="X1274" s="163" t="str">
        <f t="shared" si="399"/>
        <v/>
      </c>
      <c r="Y1274" s="152"/>
      <c r="Z1274" s="164" t="str">
        <f>IF(AND($C1273=12,$D1273=Input!$C$6),0,IF($E1274="","",V1274+Z1275/(1+L1274)*R1274))</f>
        <v/>
      </c>
      <c r="AA1274" s="164" t="str">
        <f>IF(OR($M1274=1,AND($C1273=12,$D1273=Input!$C$6)),0,IF($E1274="","",W1274+(X1274+AA1275*$R1274)/(1+$L1274)))</f>
        <v/>
      </c>
      <c r="AB1274" s="160" t="str">
        <f t="shared" si="400"/>
        <v/>
      </c>
      <c r="AC1274" s="164" t="str">
        <f t="shared" si="401"/>
        <v/>
      </c>
      <c r="AD1274" s="164" t="str">
        <f>IF(AND($C1273=12,$D1273=Input!$C$6),0,IF($E1274="","",$AC1274+AD1275/(1+$L1274)*$R1274))</f>
        <v/>
      </c>
      <c r="AE1274" s="152"/>
      <c r="AF1274" s="164" t="str">
        <f>IF(AND($C1273=12,$D1273=Input!$C$6),0,IF($E1274="","",IF($B1274&gt;Input!$C$9,$AC1274,0)+AF1275/(1+$L1274)*$R1274))</f>
        <v/>
      </c>
      <c r="AG1274" s="164" t="str">
        <f>IF(AND($C1273=12,$D1273=Input!$C$6),0,IF($E1274="","",(IF($B1274&gt;Input!$C$9,$X1274,0)+AG1275)/(1+$L1274)*$R1274))</f>
        <v/>
      </c>
      <c r="AH1274" s="160" t="str">
        <f t="shared" si="402"/>
        <v/>
      </c>
      <c r="AI1274" s="160" t="str">
        <f>IF($E1274="","",MIN(Input!$C$61/AH1274,1))</f>
        <v/>
      </c>
      <c r="AJ1274" s="152"/>
      <c r="AK1274" s="164" t="str">
        <f>IF(AND($C1273=12,$D1273=Input!$C$6),0,IF($E1274="","",IF($B1274&gt;Input!$C$9,$AC1274*AI1274,0)+AK1275/(1+$L1274)*$R1274))</f>
        <v/>
      </c>
      <c r="AL1274" s="164" t="str">
        <f>IF(AND($C1273=12,$D1273=Input!$C$6),0,IF($E1274="","",IF($B1274&gt;Input!$C$9,0,$AC1274)+AL1275/(1+$L1274)*$R1274))</f>
        <v/>
      </c>
      <c r="AM1274" s="160" t="str">
        <f t="shared" si="403"/>
        <v/>
      </c>
      <c r="AN1274" s="164" t="str">
        <f>IF($E1274="","",IF($B1274&gt;Input!$C$9,$AI1274*$AC1274,$AM1274*$AC1274))</f>
        <v/>
      </c>
      <c r="AO1274" s="164" t="str">
        <f>IF(AND($C1273=12,$D1273=Input!$C$6),0,IF($E1274="","",$AN1274+AO1275/(1+$L1274)*$R1274))</f>
        <v/>
      </c>
      <c r="AP1274" s="152"/>
      <c r="AQ1274" s="150" t="str">
        <f t="shared" si="404"/>
        <v/>
      </c>
      <c r="AR1274" s="150" t="str">
        <f t="shared" si="411"/>
        <v/>
      </c>
      <c r="AS1274" s="150" t="str">
        <f t="shared" si="412"/>
        <v/>
      </c>
      <c r="AT1274" s="150" t="str">
        <f t="shared" si="405"/>
        <v/>
      </c>
      <c r="AU1274" s="152"/>
      <c r="AV1274" s="147" t="str">
        <f>'Deterministic Reserve'!BC1274</f>
        <v/>
      </c>
      <c r="AY1274" s="152"/>
    </row>
    <row r="1275" spans="1:51" s="150" customFormat="1" x14ac:dyDescent="0.25">
      <c r="A1275" s="150" t="str">
        <f t="shared" si="413"/>
        <v/>
      </c>
      <c r="B1275" s="150" t="str">
        <f t="shared" si="414"/>
        <v/>
      </c>
      <c r="C1275" s="150" t="str">
        <f t="shared" si="415"/>
        <v/>
      </c>
      <c r="D1275" s="150" t="str">
        <f>IF(E1275="","",Input!$C$4+B1275-1)</f>
        <v/>
      </c>
      <c r="E1275" s="150" t="str">
        <f>IF(OR(AND(C1274=12,D1274=Input!$C$6),E1274=""),"",1)</f>
        <v/>
      </c>
      <c r="G1275" s="151" t="str">
        <f>IF(E1275="","",MAX(0,Input!$C$9-B1275))</f>
        <v/>
      </c>
      <c r="H1275" s="152" t="str">
        <f>IF(E1275="","",Input!$C$3)</f>
        <v/>
      </c>
      <c r="I1275" s="153" t="str">
        <f>IF(E1275="","",HLOOKUP($B1275,Input!$C$13:$BT$14,2))</f>
        <v/>
      </c>
      <c r="J1275" s="154"/>
      <c r="K1275" s="150" t="str">
        <f>IF($E1275="","",Input!$C$57)</f>
        <v/>
      </c>
      <c r="L1275" s="150" t="str">
        <f t="shared" si="406"/>
        <v/>
      </c>
      <c r="M1275" s="147" t="str">
        <f>IF($E1275="","",VLOOKUP(IF($B1275&lt;=Input!$C$7,$B1275,26),'Mortality Tables'!$A$72:$CA$97,IF($B1275&lt;=Input!$C$7+1,Input!$C$4-16,$D1275-Input!$C$7-16),0)/1000)</f>
        <v/>
      </c>
      <c r="N1275" s="147" t="str">
        <f t="shared" si="397"/>
        <v/>
      </c>
      <c r="O1275" s="157" t="str">
        <f>IF($E1275="","",IF($C1275=12,IF($B1275&lt;Input!$C$9,Input!$C$54,IF($B1275=Input!$C$9,Input!$C$55,Input!$C$56)),0%))</f>
        <v/>
      </c>
      <c r="P1275" s="167" t="str">
        <f>IF($E1275="","",IF($B1275=1,Input!$C$59,IF($B1275&lt;6,Input!$C$60,0%)))</f>
        <v/>
      </c>
      <c r="Q1275" s="162" t="str">
        <f>IF($E1275="","",Input!$C$58)</f>
        <v/>
      </c>
      <c r="R1275" s="156" t="str">
        <f t="shared" si="407"/>
        <v/>
      </c>
      <c r="S1275" s="154" t="str">
        <f t="shared" si="398"/>
        <v/>
      </c>
      <c r="T1275" s="152"/>
      <c r="U1275" s="150" t="str">
        <f t="shared" si="408"/>
        <v/>
      </c>
      <c r="V1275" s="150" t="str">
        <f t="shared" si="409"/>
        <v/>
      </c>
      <c r="W1275" s="168" t="str">
        <f t="shared" si="410"/>
        <v/>
      </c>
      <c r="X1275" s="163" t="str">
        <f t="shared" si="399"/>
        <v/>
      </c>
      <c r="Y1275" s="152"/>
      <c r="Z1275" s="164" t="str">
        <f>IF(AND($C1274=12,$D1274=Input!$C$6),0,IF($E1275="","",V1275+Z1276/(1+L1275)*R1275))</f>
        <v/>
      </c>
      <c r="AA1275" s="164" t="str">
        <f>IF(OR($M1275=1,AND($C1274=12,$D1274=Input!$C$6)),0,IF($E1275="","",W1275+(X1275+AA1276*$R1275)/(1+$L1275)))</f>
        <v/>
      </c>
      <c r="AB1275" s="160" t="str">
        <f t="shared" si="400"/>
        <v/>
      </c>
      <c r="AC1275" s="164" t="str">
        <f t="shared" si="401"/>
        <v/>
      </c>
      <c r="AD1275" s="164" t="str">
        <f>IF(AND($C1274=12,$D1274=Input!$C$6),0,IF($E1275="","",$AC1275+AD1276/(1+$L1275)*$R1275))</f>
        <v/>
      </c>
      <c r="AE1275" s="152"/>
      <c r="AF1275" s="164" t="str">
        <f>IF(AND($C1274=12,$D1274=Input!$C$6),0,IF($E1275="","",IF($B1275&gt;Input!$C$9,$AC1275,0)+AF1276/(1+$L1275)*$R1275))</f>
        <v/>
      </c>
      <c r="AG1275" s="164" t="str">
        <f>IF(AND($C1274=12,$D1274=Input!$C$6),0,IF($E1275="","",(IF($B1275&gt;Input!$C$9,$X1275,0)+AG1276)/(1+$L1275)*$R1275))</f>
        <v/>
      </c>
      <c r="AH1275" s="160" t="str">
        <f t="shared" si="402"/>
        <v/>
      </c>
      <c r="AI1275" s="160" t="str">
        <f>IF($E1275="","",MIN(Input!$C$61/AH1275,1))</f>
        <v/>
      </c>
      <c r="AJ1275" s="152"/>
      <c r="AK1275" s="164" t="str">
        <f>IF(AND($C1274=12,$D1274=Input!$C$6),0,IF($E1275="","",IF($B1275&gt;Input!$C$9,$AC1275*AI1275,0)+AK1276/(1+$L1275)*$R1275))</f>
        <v/>
      </c>
      <c r="AL1275" s="164" t="str">
        <f>IF(AND($C1274=12,$D1274=Input!$C$6),0,IF($E1275="","",IF($B1275&gt;Input!$C$9,0,$AC1275)+AL1276/(1+$L1275)*$R1275))</f>
        <v/>
      </c>
      <c r="AM1275" s="160" t="str">
        <f t="shared" si="403"/>
        <v/>
      </c>
      <c r="AN1275" s="164" t="str">
        <f>IF($E1275="","",IF($B1275&gt;Input!$C$9,$AI1275*$AC1275,$AM1275*$AC1275))</f>
        <v/>
      </c>
      <c r="AO1275" s="164" t="str">
        <f>IF(AND($C1274=12,$D1274=Input!$C$6),0,IF($E1275="","",$AN1275+AO1276/(1+$L1275)*$R1275))</f>
        <v/>
      </c>
      <c r="AP1275" s="152"/>
      <c r="AQ1275" s="150" t="str">
        <f t="shared" si="404"/>
        <v/>
      </c>
      <c r="AR1275" s="150" t="str">
        <f t="shared" si="411"/>
        <v/>
      </c>
      <c r="AS1275" s="150" t="str">
        <f t="shared" si="412"/>
        <v/>
      </c>
      <c r="AT1275" s="150" t="str">
        <f t="shared" si="405"/>
        <v/>
      </c>
      <c r="AU1275" s="152"/>
      <c r="AV1275" s="147" t="str">
        <f>'Deterministic Reserve'!BC1275</f>
        <v/>
      </c>
      <c r="AY1275" s="152"/>
    </row>
    <row r="1276" spans="1:51" s="150" customFormat="1" x14ac:dyDescent="0.25">
      <c r="A1276" s="150" t="str">
        <f t="shared" si="413"/>
        <v/>
      </c>
      <c r="B1276" s="150" t="str">
        <f t="shared" si="414"/>
        <v/>
      </c>
      <c r="C1276" s="150" t="str">
        <f t="shared" si="415"/>
        <v/>
      </c>
      <c r="D1276" s="150" t="str">
        <f>IF(E1276="","",Input!$C$4+B1276-1)</f>
        <v/>
      </c>
      <c r="E1276" s="150" t="str">
        <f>IF(OR(AND(C1275=12,D1275=Input!$C$6),E1275=""),"",1)</f>
        <v/>
      </c>
      <c r="G1276" s="151" t="str">
        <f>IF(E1276="","",MAX(0,Input!$C$9-B1276))</f>
        <v/>
      </c>
      <c r="H1276" s="152" t="str">
        <f>IF(E1276="","",Input!$C$3)</f>
        <v/>
      </c>
      <c r="I1276" s="153" t="str">
        <f>IF(E1276="","",HLOOKUP($B1276,Input!$C$13:$BT$14,2))</f>
        <v/>
      </c>
      <c r="J1276" s="154"/>
      <c r="K1276" s="150" t="str">
        <f>IF($E1276="","",Input!$C$57)</f>
        <v/>
      </c>
      <c r="L1276" s="150" t="str">
        <f t="shared" si="406"/>
        <v/>
      </c>
      <c r="M1276" s="147" t="str">
        <f>IF($E1276="","",VLOOKUP(IF($B1276&lt;=Input!$C$7,$B1276,26),'Mortality Tables'!$A$72:$CA$97,IF($B1276&lt;=Input!$C$7+1,Input!$C$4-16,$D1276-Input!$C$7-16),0)/1000)</f>
        <v/>
      </c>
      <c r="N1276" s="147" t="str">
        <f t="shared" si="397"/>
        <v/>
      </c>
      <c r="O1276" s="157" t="str">
        <f>IF($E1276="","",IF($C1276=12,IF($B1276&lt;Input!$C$9,Input!$C$54,IF($B1276=Input!$C$9,Input!$C$55,Input!$C$56)),0%))</f>
        <v/>
      </c>
      <c r="P1276" s="167" t="str">
        <f>IF($E1276="","",IF($B1276=1,Input!$C$59,IF($B1276&lt;6,Input!$C$60,0%)))</f>
        <v/>
      </c>
      <c r="Q1276" s="162" t="str">
        <f>IF($E1276="","",Input!$C$58)</f>
        <v/>
      </c>
      <c r="R1276" s="156" t="str">
        <f t="shared" si="407"/>
        <v/>
      </c>
      <c r="S1276" s="154" t="str">
        <f t="shared" si="398"/>
        <v/>
      </c>
      <c r="T1276" s="152"/>
      <c r="U1276" s="150" t="str">
        <f t="shared" si="408"/>
        <v/>
      </c>
      <c r="V1276" s="150" t="str">
        <f t="shared" si="409"/>
        <v/>
      </c>
      <c r="W1276" s="168" t="str">
        <f t="shared" si="410"/>
        <v/>
      </c>
      <c r="X1276" s="163" t="str">
        <f t="shared" si="399"/>
        <v/>
      </c>
      <c r="Y1276" s="152"/>
      <c r="Z1276" s="164" t="str">
        <f>IF(AND($C1275=12,$D1275=Input!$C$6),0,IF($E1276="","",V1276+Z1277/(1+L1276)*R1276))</f>
        <v/>
      </c>
      <c r="AA1276" s="164" t="str">
        <f>IF(OR($M1276=1,AND($C1275=12,$D1275=Input!$C$6)),0,IF($E1276="","",W1276+(X1276+AA1277*$R1276)/(1+$L1276)))</f>
        <v/>
      </c>
      <c r="AB1276" s="160" t="str">
        <f t="shared" si="400"/>
        <v/>
      </c>
      <c r="AC1276" s="164" t="str">
        <f t="shared" si="401"/>
        <v/>
      </c>
      <c r="AD1276" s="164" t="str">
        <f>IF(AND($C1275=12,$D1275=Input!$C$6),0,IF($E1276="","",$AC1276+AD1277/(1+$L1276)*$R1276))</f>
        <v/>
      </c>
      <c r="AE1276" s="152"/>
      <c r="AF1276" s="164" t="str">
        <f>IF(AND($C1275=12,$D1275=Input!$C$6),0,IF($E1276="","",IF($B1276&gt;Input!$C$9,$AC1276,0)+AF1277/(1+$L1276)*$R1276))</f>
        <v/>
      </c>
      <c r="AG1276" s="164" t="str">
        <f>IF(AND($C1275=12,$D1275=Input!$C$6),0,IF($E1276="","",(IF($B1276&gt;Input!$C$9,$X1276,0)+AG1277)/(1+$L1276)*$R1276))</f>
        <v/>
      </c>
      <c r="AH1276" s="160" t="str">
        <f t="shared" si="402"/>
        <v/>
      </c>
      <c r="AI1276" s="160" t="str">
        <f>IF($E1276="","",MIN(Input!$C$61/AH1276,1))</f>
        <v/>
      </c>
      <c r="AJ1276" s="152"/>
      <c r="AK1276" s="164" t="str">
        <f>IF(AND($C1275=12,$D1275=Input!$C$6),0,IF($E1276="","",IF($B1276&gt;Input!$C$9,$AC1276*AI1276,0)+AK1277/(1+$L1276)*$R1276))</f>
        <v/>
      </c>
      <c r="AL1276" s="164" t="str">
        <f>IF(AND($C1275=12,$D1275=Input!$C$6),0,IF($E1276="","",IF($B1276&gt;Input!$C$9,0,$AC1276)+AL1277/(1+$L1276)*$R1276))</f>
        <v/>
      </c>
      <c r="AM1276" s="160" t="str">
        <f t="shared" si="403"/>
        <v/>
      </c>
      <c r="AN1276" s="164" t="str">
        <f>IF($E1276="","",IF($B1276&gt;Input!$C$9,$AI1276*$AC1276,$AM1276*$AC1276))</f>
        <v/>
      </c>
      <c r="AO1276" s="164" t="str">
        <f>IF(AND($C1275=12,$D1275=Input!$C$6),0,IF($E1276="","",$AN1276+AO1277/(1+$L1276)*$R1276))</f>
        <v/>
      </c>
      <c r="AP1276" s="152"/>
      <c r="AQ1276" s="150" t="str">
        <f t="shared" si="404"/>
        <v/>
      </c>
      <c r="AR1276" s="150" t="str">
        <f t="shared" si="411"/>
        <v/>
      </c>
      <c r="AS1276" s="150" t="str">
        <f t="shared" si="412"/>
        <v/>
      </c>
      <c r="AT1276" s="150" t="str">
        <f t="shared" si="405"/>
        <v/>
      </c>
      <c r="AU1276" s="152"/>
      <c r="AV1276" s="147" t="str">
        <f>'Deterministic Reserve'!BC1276</f>
        <v/>
      </c>
      <c r="AY1276" s="152"/>
    </row>
    <row r="1277" spans="1:51" s="150" customFormat="1" x14ac:dyDescent="0.25">
      <c r="A1277" s="150" t="str">
        <f t="shared" si="413"/>
        <v/>
      </c>
      <c r="B1277" s="150" t="str">
        <f t="shared" si="414"/>
        <v/>
      </c>
      <c r="C1277" s="150" t="str">
        <f t="shared" si="415"/>
        <v/>
      </c>
      <c r="D1277" s="150" t="str">
        <f>IF(E1277="","",Input!$C$4+B1277-1)</f>
        <v/>
      </c>
      <c r="E1277" s="150" t="str">
        <f>IF(OR(AND(C1276=12,D1276=Input!$C$6),E1276=""),"",1)</f>
        <v/>
      </c>
      <c r="G1277" s="151" t="str">
        <f>IF(E1277="","",MAX(0,Input!$C$9-B1277))</f>
        <v/>
      </c>
      <c r="H1277" s="152" t="str">
        <f>IF(E1277="","",Input!$C$3)</f>
        <v/>
      </c>
      <c r="I1277" s="153" t="str">
        <f>IF(E1277="","",HLOOKUP($B1277,Input!$C$13:$BT$14,2))</f>
        <v/>
      </c>
      <c r="J1277" s="154"/>
      <c r="K1277" s="150" t="str">
        <f>IF($E1277="","",Input!$C$57)</f>
        <v/>
      </c>
      <c r="L1277" s="150" t="str">
        <f t="shared" si="406"/>
        <v/>
      </c>
      <c r="M1277" s="147" t="str">
        <f>IF($E1277="","",VLOOKUP(IF($B1277&lt;=Input!$C$7,$B1277,26),'Mortality Tables'!$A$72:$CA$97,IF($B1277&lt;=Input!$C$7+1,Input!$C$4-16,$D1277-Input!$C$7-16),0)/1000)</f>
        <v/>
      </c>
      <c r="N1277" s="147" t="str">
        <f t="shared" si="397"/>
        <v/>
      </c>
      <c r="O1277" s="157" t="str">
        <f>IF($E1277="","",IF($C1277=12,IF($B1277&lt;Input!$C$9,Input!$C$54,IF($B1277=Input!$C$9,Input!$C$55,Input!$C$56)),0%))</f>
        <v/>
      </c>
      <c r="P1277" s="167" t="str">
        <f>IF($E1277="","",IF($B1277=1,Input!$C$59,IF($B1277&lt;6,Input!$C$60,0%)))</f>
        <v/>
      </c>
      <c r="Q1277" s="162" t="str">
        <f>IF($E1277="","",Input!$C$58)</f>
        <v/>
      </c>
      <c r="R1277" s="156" t="str">
        <f t="shared" si="407"/>
        <v/>
      </c>
      <c r="S1277" s="154" t="str">
        <f t="shared" si="398"/>
        <v/>
      </c>
      <c r="T1277" s="152"/>
      <c r="U1277" s="150" t="str">
        <f t="shared" si="408"/>
        <v/>
      </c>
      <c r="V1277" s="150" t="str">
        <f t="shared" si="409"/>
        <v/>
      </c>
      <c r="W1277" s="168" t="str">
        <f t="shared" si="410"/>
        <v/>
      </c>
      <c r="X1277" s="163" t="str">
        <f t="shared" si="399"/>
        <v/>
      </c>
      <c r="Y1277" s="152"/>
      <c r="Z1277" s="164" t="str">
        <f>IF(AND($C1276=12,$D1276=Input!$C$6),0,IF($E1277="","",V1277+Z1278/(1+L1277)*R1277))</f>
        <v/>
      </c>
      <c r="AA1277" s="164" t="str">
        <f>IF(OR($M1277=1,AND($C1276=12,$D1276=Input!$C$6)),0,IF($E1277="","",W1277+(X1277+AA1278*$R1277)/(1+$L1277)))</f>
        <v/>
      </c>
      <c r="AB1277" s="160" t="str">
        <f t="shared" si="400"/>
        <v/>
      </c>
      <c r="AC1277" s="164" t="str">
        <f t="shared" si="401"/>
        <v/>
      </c>
      <c r="AD1277" s="164" t="str">
        <f>IF(AND($C1276=12,$D1276=Input!$C$6),0,IF($E1277="","",$AC1277+AD1278/(1+$L1277)*$R1277))</f>
        <v/>
      </c>
      <c r="AE1277" s="152"/>
      <c r="AF1277" s="164" t="str">
        <f>IF(AND($C1276=12,$D1276=Input!$C$6),0,IF($E1277="","",IF($B1277&gt;Input!$C$9,$AC1277,0)+AF1278/(1+$L1277)*$R1277))</f>
        <v/>
      </c>
      <c r="AG1277" s="164" t="str">
        <f>IF(AND($C1276=12,$D1276=Input!$C$6),0,IF($E1277="","",(IF($B1277&gt;Input!$C$9,$X1277,0)+AG1278)/(1+$L1277)*$R1277))</f>
        <v/>
      </c>
      <c r="AH1277" s="160" t="str">
        <f t="shared" si="402"/>
        <v/>
      </c>
      <c r="AI1277" s="160" t="str">
        <f>IF($E1277="","",MIN(Input!$C$61/AH1277,1))</f>
        <v/>
      </c>
      <c r="AJ1277" s="152"/>
      <c r="AK1277" s="164" t="str">
        <f>IF(AND($C1276=12,$D1276=Input!$C$6),0,IF($E1277="","",IF($B1277&gt;Input!$C$9,$AC1277*AI1277,0)+AK1278/(1+$L1277)*$R1277))</f>
        <v/>
      </c>
      <c r="AL1277" s="164" t="str">
        <f>IF(AND($C1276=12,$D1276=Input!$C$6),0,IF($E1277="","",IF($B1277&gt;Input!$C$9,0,$AC1277)+AL1278/(1+$L1277)*$R1277))</f>
        <v/>
      </c>
      <c r="AM1277" s="160" t="str">
        <f t="shared" si="403"/>
        <v/>
      </c>
      <c r="AN1277" s="164" t="str">
        <f>IF($E1277="","",IF($B1277&gt;Input!$C$9,$AI1277*$AC1277,$AM1277*$AC1277))</f>
        <v/>
      </c>
      <c r="AO1277" s="164" t="str">
        <f>IF(AND($C1276=12,$D1276=Input!$C$6),0,IF($E1277="","",$AN1277+AO1278/(1+$L1277)*$R1277))</f>
        <v/>
      </c>
      <c r="AP1277" s="152"/>
      <c r="AQ1277" s="150" t="str">
        <f t="shared" si="404"/>
        <v/>
      </c>
      <c r="AR1277" s="150" t="str">
        <f t="shared" si="411"/>
        <v/>
      </c>
      <c r="AS1277" s="150" t="str">
        <f t="shared" si="412"/>
        <v/>
      </c>
      <c r="AT1277" s="150" t="str">
        <f t="shared" si="405"/>
        <v/>
      </c>
      <c r="AU1277" s="152"/>
      <c r="AV1277" s="147" t="str">
        <f>'Deterministic Reserve'!BC1277</f>
        <v/>
      </c>
      <c r="AY1277" s="152"/>
    </row>
    <row r="1278" spans="1:51" s="150" customFormat="1" x14ac:dyDescent="0.25">
      <c r="A1278" s="150" t="str">
        <f t="shared" si="413"/>
        <v/>
      </c>
      <c r="B1278" s="150" t="str">
        <f t="shared" si="414"/>
        <v/>
      </c>
      <c r="C1278" s="150" t="str">
        <f t="shared" si="415"/>
        <v/>
      </c>
      <c r="D1278" s="150" t="str">
        <f>IF(E1278="","",Input!$C$4+B1278-1)</f>
        <v/>
      </c>
      <c r="E1278" s="150" t="str">
        <f>IF(OR(AND(C1277=12,D1277=Input!$C$6),E1277=""),"",1)</f>
        <v/>
      </c>
      <c r="G1278" s="151" t="str">
        <f>IF(E1278="","",MAX(0,Input!$C$9-B1278))</f>
        <v/>
      </c>
      <c r="H1278" s="152" t="str">
        <f>IF(E1278="","",Input!$C$3)</f>
        <v/>
      </c>
      <c r="I1278" s="153" t="str">
        <f>IF(E1278="","",HLOOKUP($B1278,Input!$C$13:$BT$14,2))</f>
        <v/>
      </c>
      <c r="J1278" s="154"/>
      <c r="K1278" s="150" t="str">
        <f>IF($E1278="","",Input!$C$57)</f>
        <v/>
      </c>
      <c r="L1278" s="150" t="str">
        <f t="shared" si="406"/>
        <v/>
      </c>
      <c r="M1278" s="147" t="str">
        <f>IF($E1278="","",VLOOKUP(IF($B1278&lt;=Input!$C$7,$B1278,26),'Mortality Tables'!$A$72:$CA$97,IF($B1278&lt;=Input!$C$7+1,Input!$C$4-16,$D1278-Input!$C$7-16),0)/1000)</f>
        <v/>
      </c>
      <c r="N1278" s="147" t="str">
        <f t="shared" si="397"/>
        <v/>
      </c>
      <c r="O1278" s="157" t="str">
        <f>IF($E1278="","",IF($C1278=12,IF($B1278&lt;Input!$C$9,Input!$C$54,IF($B1278=Input!$C$9,Input!$C$55,Input!$C$56)),0%))</f>
        <v/>
      </c>
      <c r="P1278" s="167" t="str">
        <f>IF($E1278="","",IF($B1278=1,Input!$C$59,IF($B1278&lt;6,Input!$C$60,0%)))</f>
        <v/>
      </c>
      <c r="Q1278" s="162" t="str">
        <f>IF($E1278="","",Input!$C$58)</f>
        <v/>
      </c>
      <c r="R1278" s="156" t="str">
        <f t="shared" si="407"/>
        <v/>
      </c>
      <c r="S1278" s="154" t="str">
        <f t="shared" si="398"/>
        <v/>
      </c>
      <c r="T1278" s="152"/>
      <c r="U1278" s="150" t="str">
        <f t="shared" si="408"/>
        <v/>
      </c>
      <c r="V1278" s="150" t="str">
        <f t="shared" si="409"/>
        <v/>
      </c>
      <c r="W1278" s="168" t="str">
        <f t="shared" si="410"/>
        <v/>
      </c>
      <c r="X1278" s="163" t="str">
        <f t="shared" si="399"/>
        <v/>
      </c>
      <c r="Y1278" s="152"/>
      <c r="Z1278" s="164" t="str">
        <f>IF(AND($C1277=12,$D1277=Input!$C$6),0,IF($E1278="","",V1278+Z1279/(1+L1278)*R1278))</f>
        <v/>
      </c>
      <c r="AA1278" s="164" t="str">
        <f>IF(OR($M1278=1,AND($C1277=12,$D1277=Input!$C$6)),0,IF($E1278="","",W1278+(X1278+AA1279*$R1278)/(1+$L1278)))</f>
        <v/>
      </c>
      <c r="AB1278" s="160" t="str">
        <f t="shared" si="400"/>
        <v/>
      </c>
      <c r="AC1278" s="164" t="str">
        <f t="shared" si="401"/>
        <v/>
      </c>
      <c r="AD1278" s="164" t="str">
        <f>IF(AND($C1277=12,$D1277=Input!$C$6),0,IF($E1278="","",$AC1278+AD1279/(1+$L1278)*$R1278))</f>
        <v/>
      </c>
      <c r="AE1278" s="152"/>
      <c r="AF1278" s="164" t="str">
        <f>IF(AND($C1277=12,$D1277=Input!$C$6),0,IF($E1278="","",IF($B1278&gt;Input!$C$9,$AC1278,0)+AF1279/(1+$L1278)*$R1278))</f>
        <v/>
      </c>
      <c r="AG1278" s="164" t="str">
        <f>IF(AND($C1277=12,$D1277=Input!$C$6),0,IF($E1278="","",(IF($B1278&gt;Input!$C$9,$X1278,0)+AG1279)/(1+$L1278)*$R1278))</f>
        <v/>
      </c>
      <c r="AH1278" s="160" t="str">
        <f t="shared" si="402"/>
        <v/>
      </c>
      <c r="AI1278" s="160" t="str">
        <f>IF($E1278="","",MIN(Input!$C$61/AH1278,1))</f>
        <v/>
      </c>
      <c r="AJ1278" s="152"/>
      <c r="AK1278" s="164" t="str">
        <f>IF(AND($C1277=12,$D1277=Input!$C$6),0,IF($E1278="","",IF($B1278&gt;Input!$C$9,$AC1278*AI1278,0)+AK1279/(1+$L1278)*$R1278))</f>
        <v/>
      </c>
      <c r="AL1278" s="164" t="str">
        <f>IF(AND($C1277=12,$D1277=Input!$C$6),0,IF($E1278="","",IF($B1278&gt;Input!$C$9,0,$AC1278)+AL1279/(1+$L1278)*$R1278))</f>
        <v/>
      </c>
      <c r="AM1278" s="160" t="str">
        <f t="shared" si="403"/>
        <v/>
      </c>
      <c r="AN1278" s="164" t="str">
        <f>IF($E1278="","",IF($B1278&gt;Input!$C$9,$AI1278*$AC1278,$AM1278*$AC1278))</f>
        <v/>
      </c>
      <c r="AO1278" s="164" t="str">
        <f>IF(AND($C1277=12,$D1277=Input!$C$6),0,IF($E1278="","",$AN1278+AO1279/(1+$L1278)*$R1278))</f>
        <v/>
      </c>
      <c r="AP1278" s="152"/>
      <c r="AQ1278" s="150" t="str">
        <f t="shared" si="404"/>
        <v/>
      </c>
      <c r="AR1278" s="150" t="str">
        <f t="shared" si="411"/>
        <v/>
      </c>
      <c r="AS1278" s="150" t="str">
        <f t="shared" si="412"/>
        <v/>
      </c>
      <c r="AT1278" s="150" t="str">
        <f t="shared" si="405"/>
        <v/>
      </c>
      <c r="AU1278" s="152"/>
      <c r="AV1278" s="147" t="str">
        <f>'Deterministic Reserve'!BC1278</f>
        <v/>
      </c>
      <c r="AY1278" s="152"/>
    </row>
    <row r="1279" spans="1:51" s="150" customFormat="1" x14ac:dyDescent="0.25">
      <c r="A1279" s="150" t="str">
        <f t="shared" si="413"/>
        <v/>
      </c>
      <c r="B1279" s="150" t="str">
        <f t="shared" si="414"/>
        <v/>
      </c>
      <c r="C1279" s="150" t="str">
        <f t="shared" si="415"/>
        <v/>
      </c>
      <c r="D1279" s="150" t="str">
        <f>IF(E1279="","",Input!$C$4+B1279-1)</f>
        <v/>
      </c>
      <c r="E1279" s="150" t="str">
        <f>IF(OR(AND(C1278=12,D1278=Input!$C$6),E1278=""),"",1)</f>
        <v/>
      </c>
      <c r="G1279" s="151" t="str">
        <f>IF(E1279="","",MAX(0,Input!$C$9-B1279))</f>
        <v/>
      </c>
      <c r="H1279" s="152" t="str">
        <f>IF(E1279="","",Input!$C$3)</f>
        <v/>
      </c>
      <c r="I1279" s="153" t="str">
        <f>IF(E1279="","",HLOOKUP($B1279,Input!$C$13:$BT$14,2))</f>
        <v/>
      </c>
      <c r="J1279" s="154"/>
      <c r="K1279" s="150" t="str">
        <f>IF($E1279="","",Input!$C$57)</f>
        <v/>
      </c>
      <c r="L1279" s="150" t="str">
        <f t="shared" si="406"/>
        <v/>
      </c>
      <c r="M1279" s="147" t="str">
        <f>IF($E1279="","",VLOOKUP(IF($B1279&lt;=Input!$C$7,$B1279,26),'Mortality Tables'!$A$72:$CA$97,IF($B1279&lt;=Input!$C$7+1,Input!$C$4-16,$D1279-Input!$C$7-16),0)/1000)</f>
        <v/>
      </c>
      <c r="N1279" s="147" t="str">
        <f t="shared" si="397"/>
        <v/>
      </c>
      <c r="O1279" s="157" t="str">
        <f>IF($E1279="","",IF($C1279=12,IF($B1279&lt;Input!$C$9,Input!$C$54,IF($B1279=Input!$C$9,Input!$C$55,Input!$C$56)),0%))</f>
        <v/>
      </c>
      <c r="P1279" s="167" t="str">
        <f>IF($E1279="","",IF($B1279=1,Input!$C$59,IF($B1279&lt;6,Input!$C$60,0%)))</f>
        <v/>
      </c>
      <c r="Q1279" s="162" t="str">
        <f>IF($E1279="","",Input!$C$58)</f>
        <v/>
      </c>
      <c r="R1279" s="156" t="str">
        <f t="shared" si="407"/>
        <v/>
      </c>
      <c r="S1279" s="154" t="str">
        <f t="shared" si="398"/>
        <v/>
      </c>
      <c r="T1279" s="152"/>
      <c r="U1279" s="150" t="str">
        <f t="shared" si="408"/>
        <v/>
      </c>
      <c r="V1279" s="150" t="str">
        <f t="shared" si="409"/>
        <v/>
      </c>
      <c r="W1279" s="168" t="str">
        <f t="shared" si="410"/>
        <v/>
      </c>
      <c r="X1279" s="163" t="str">
        <f t="shared" si="399"/>
        <v/>
      </c>
      <c r="Y1279" s="152"/>
      <c r="Z1279" s="164" t="str">
        <f>IF(AND($C1278=12,$D1278=Input!$C$6),0,IF($E1279="","",V1279+Z1280/(1+L1279)*R1279))</f>
        <v/>
      </c>
      <c r="AA1279" s="164" t="str">
        <f>IF(OR($M1279=1,AND($C1278=12,$D1278=Input!$C$6)),0,IF($E1279="","",W1279+(X1279+AA1280*$R1279)/(1+$L1279)))</f>
        <v/>
      </c>
      <c r="AB1279" s="160" t="str">
        <f t="shared" si="400"/>
        <v/>
      </c>
      <c r="AC1279" s="164" t="str">
        <f t="shared" si="401"/>
        <v/>
      </c>
      <c r="AD1279" s="164" t="str">
        <f>IF(AND($C1278=12,$D1278=Input!$C$6),0,IF($E1279="","",$AC1279+AD1280/(1+$L1279)*$R1279))</f>
        <v/>
      </c>
      <c r="AE1279" s="152"/>
      <c r="AF1279" s="164" t="str">
        <f>IF(AND($C1278=12,$D1278=Input!$C$6),0,IF($E1279="","",IF($B1279&gt;Input!$C$9,$AC1279,0)+AF1280/(1+$L1279)*$R1279))</f>
        <v/>
      </c>
      <c r="AG1279" s="164" t="str">
        <f>IF(AND($C1278=12,$D1278=Input!$C$6),0,IF($E1279="","",(IF($B1279&gt;Input!$C$9,$X1279,0)+AG1280)/(1+$L1279)*$R1279))</f>
        <v/>
      </c>
      <c r="AH1279" s="160" t="str">
        <f t="shared" si="402"/>
        <v/>
      </c>
      <c r="AI1279" s="160" t="str">
        <f>IF($E1279="","",MIN(Input!$C$61/AH1279,1))</f>
        <v/>
      </c>
      <c r="AJ1279" s="152"/>
      <c r="AK1279" s="164" t="str">
        <f>IF(AND($C1278=12,$D1278=Input!$C$6),0,IF($E1279="","",IF($B1279&gt;Input!$C$9,$AC1279*AI1279,0)+AK1280/(1+$L1279)*$R1279))</f>
        <v/>
      </c>
      <c r="AL1279" s="164" t="str">
        <f>IF(AND($C1278=12,$D1278=Input!$C$6),0,IF($E1279="","",IF($B1279&gt;Input!$C$9,0,$AC1279)+AL1280/(1+$L1279)*$R1279))</f>
        <v/>
      </c>
      <c r="AM1279" s="160" t="str">
        <f t="shared" si="403"/>
        <v/>
      </c>
      <c r="AN1279" s="164" t="str">
        <f>IF($E1279="","",IF($B1279&gt;Input!$C$9,$AI1279*$AC1279,$AM1279*$AC1279))</f>
        <v/>
      </c>
      <c r="AO1279" s="164" t="str">
        <f>IF(AND($C1278=12,$D1278=Input!$C$6),0,IF($E1279="","",$AN1279+AO1280/(1+$L1279)*$R1279))</f>
        <v/>
      </c>
      <c r="AP1279" s="152"/>
      <c r="AQ1279" s="150" t="str">
        <f t="shared" si="404"/>
        <v/>
      </c>
      <c r="AR1279" s="150" t="str">
        <f t="shared" si="411"/>
        <v/>
      </c>
      <c r="AS1279" s="150" t="str">
        <f t="shared" si="412"/>
        <v/>
      </c>
      <c r="AT1279" s="150" t="str">
        <f t="shared" si="405"/>
        <v/>
      </c>
      <c r="AU1279" s="152"/>
      <c r="AV1279" s="147" t="str">
        <f>'Deterministic Reserve'!BC1279</f>
        <v/>
      </c>
      <c r="AY1279" s="152"/>
    </row>
    <row r="1280" spans="1:51" s="150" customFormat="1" x14ac:dyDescent="0.25">
      <c r="A1280" s="150" t="str">
        <f t="shared" si="413"/>
        <v/>
      </c>
      <c r="B1280" s="150" t="str">
        <f t="shared" si="414"/>
        <v/>
      </c>
      <c r="C1280" s="150" t="str">
        <f t="shared" si="415"/>
        <v/>
      </c>
      <c r="D1280" s="150" t="str">
        <f>IF(E1280="","",Input!$C$4+B1280-1)</f>
        <v/>
      </c>
      <c r="E1280" s="150" t="str">
        <f>IF(OR(AND(C1279=12,D1279=Input!$C$6),E1279=""),"",1)</f>
        <v/>
      </c>
      <c r="G1280" s="151" t="str">
        <f>IF(E1280="","",MAX(0,Input!$C$9-B1280))</f>
        <v/>
      </c>
      <c r="H1280" s="152" t="str">
        <f>IF(E1280="","",Input!$C$3)</f>
        <v/>
      </c>
      <c r="I1280" s="153" t="str">
        <f>IF(E1280="","",HLOOKUP($B1280,Input!$C$13:$BT$14,2))</f>
        <v/>
      </c>
      <c r="J1280" s="154"/>
      <c r="K1280" s="150" t="str">
        <f>IF($E1280="","",Input!$C$57)</f>
        <v/>
      </c>
      <c r="L1280" s="150" t="str">
        <f t="shared" si="406"/>
        <v/>
      </c>
      <c r="M1280" s="147" t="str">
        <f>IF($E1280="","",VLOOKUP(IF($B1280&lt;=Input!$C$7,$B1280,26),'Mortality Tables'!$A$72:$CA$97,IF($B1280&lt;=Input!$C$7+1,Input!$C$4-16,$D1280-Input!$C$7-16),0)/1000)</f>
        <v/>
      </c>
      <c r="N1280" s="147" t="str">
        <f t="shared" si="397"/>
        <v/>
      </c>
      <c r="O1280" s="157" t="str">
        <f>IF($E1280="","",IF($C1280=12,IF($B1280&lt;Input!$C$9,Input!$C$54,IF($B1280=Input!$C$9,Input!$C$55,Input!$C$56)),0%))</f>
        <v/>
      </c>
      <c r="P1280" s="167" t="str">
        <f>IF($E1280="","",IF($B1280=1,Input!$C$59,IF($B1280&lt;6,Input!$C$60,0%)))</f>
        <v/>
      </c>
      <c r="Q1280" s="162" t="str">
        <f>IF($E1280="","",Input!$C$58)</f>
        <v/>
      </c>
      <c r="R1280" s="156" t="str">
        <f t="shared" si="407"/>
        <v/>
      </c>
      <c r="S1280" s="154" t="str">
        <f t="shared" si="398"/>
        <v/>
      </c>
      <c r="T1280" s="152"/>
      <c r="U1280" s="150" t="str">
        <f t="shared" si="408"/>
        <v/>
      </c>
      <c r="V1280" s="150" t="str">
        <f t="shared" si="409"/>
        <v/>
      </c>
      <c r="W1280" s="168" t="str">
        <f t="shared" si="410"/>
        <v/>
      </c>
      <c r="X1280" s="163" t="str">
        <f t="shared" si="399"/>
        <v/>
      </c>
      <c r="Y1280" s="152"/>
      <c r="Z1280" s="164" t="str">
        <f>IF(AND($C1279=12,$D1279=Input!$C$6),0,IF($E1280="","",V1280+Z1281/(1+L1280)*R1280))</f>
        <v/>
      </c>
      <c r="AA1280" s="164" t="str">
        <f>IF(OR($M1280=1,AND($C1279=12,$D1279=Input!$C$6)),0,IF($E1280="","",W1280+(X1280+AA1281*$R1280)/(1+$L1280)))</f>
        <v/>
      </c>
      <c r="AB1280" s="160" t="str">
        <f t="shared" si="400"/>
        <v/>
      </c>
      <c r="AC1280" s="164" t="str">
        <f t="shared" si="401"/>
        <v/>
      </c>
      <c r="AD1280" s="164" t="str">
        <f>IF(AND($C1279=12,$D1279=Input!$C$6),0,IF($E1280="","",$AC1280+AD1281/(1+$L1280)*$R1280))</f>
        <v/>
      </c>
      <c r="AE1280" s="152"/>
      <c r="AF1280" s="164" t="str">
        <f>IF(AND($C1279=12,$D1279=Input!$C$6),0,IF($E1280="","",IF($B1280&gt;Input!$C$9,$AC1280,0)+AF1281/(1+$L1280)*$R1280))</f>
        <v/>
      </c>
      <c r="AG1280" s="164" t="str">
        <f>IF(AND($C1279=12,$D1279=Input!$C$6),0,IF($E1280="","",(IF($B1280&gt;Input!$C$9,$X1280,0)+AG1281)/(1+$L1280)*$R1280))</f>
        <v/>
      </c>
      <c r="AH1280" s="160" t="str">
        <f t="shared" si="402"/>
        <v/>
      </c>
      <c r="AI1280" s="160" t="str">
        <f>IF($E1280="","",MIN(Input!$C$61/AH1280,1))</f>
        <v/>
      </c>
      <c r="AJ1280" s="152"/>
      <c r="AK1280" s="164" t="str">
        <f>IF(AND($C1279=12,$D1279=Input!$C$6),0,IF($E1280="","",IF($B1280&gt;Input!$C$9,$AC1280*AI1280,0)+AK1281/(1+$L1280)*$R1280))</f>
        <v/>
      </c>
      <c r="AL1280" s="164" t="str">
        <f>IF(AND($C1279=12,$D1279=Input!$C$6),0,IF($E1280="","",IF($B1280&gt;Input!$C$9,0,$AC1280)+AL1281/(1+$L1280)*$R1280))</f>
        <v/>
      </c>
      <c r="AM1280" s="160" t="str">
        <f t="shared" si="403"/>
        <v/>
      </c>
      <c r="AN1280" s="164" t="str">
        <f>IF($E1280="","",IF($B1280&gt;Input!$C$9,$AI1280*$AC1280,$AM1280*$AC1280))</f>
        <v/>
      </c>
      <c r="AO1280" s="164" t="str">
        <f>IF(AND($C1279=12,$D1279=Input!$C$6),0,IF($E1280="","",$AN1280+AO1281/(1+$L1280)*$R1280))</f>
        <v/>
      </c>
      <c r="AP1280" s="152"/>
      <c r="AQ1280" s="150" t="str">
        <f t="shared" si="404"/>
        <v/>
      </c>
      <c r="AR1280" s="150" t="str">
        <f t="shared" si="411"/>
        <v/>
      </c>
      <c r="AS1280" s="150" t="str">
        <f t="shared" si="412"/>
        <v/>
      </c>
      <c r="AT1280" s="150" t="str">
        <f t="shared" si="405"/>
        <v/>
      </c>
      <c r="AU1280" s="152"/>
      <c r="AV1280" s="147" t="str">
        <f>'Deterministic Reserve'!BC1280</f>
        <v/>
      </c>
      <c r="AY1280" s="152"/>
    </row>
    <row r="1281" spans="1:51" s="150" customFormat="1" x14ac:dyDescent="0.25">
      <c r="A1281" s="150" t="str">
        <f t="shared" si="413"/>
        <v/>
      </c>
      <c r="B1281" s="150" t="str">
        <f t="shared" si="414"/>
        <v/>
      </c>
      <c r="C1281" s="150" t="str">
        <f t="shared" si="415"/>
        <v/>
      </c>
      <c r="D1281" s="150" t="str">
        <f>IF(E1281="","",Input!$C$4+B1281-1)</f>
        <v/>
      </c>
      <c r="E1281" s="150" t="str">
        <f>IF(OR(AND(C1280=12,D1280=Input!$C$6),E1280=""),"",1)</f>
        <v/>
      </c>
      <c r="G1281" s="151" t="str">
        <f>IF(E1281="","",MAX(0,Input!$C$9-B1281))</f>
        <v/>
      </c>
      <c r="H1281" s="152" t="str">
        <f>IF(E1281="","",Input!$C$3)</f>
        <v/>
      </c>
      <c r="I1281" s="153" t="str">
        <f>IF(E1281="","",HLOOKUP($B1281,Input!$C$13:$BT$14,2))</f>
        <v/>
      </c>
      <c r="J1281" s="154"/>
      <c r="K1281" s="150" t="str">
        <f>IF($E1281="","",Input!$C$57)</f>
        <v/>
      </c>
      <c r="L1281" s="150" t="str">
        <f t="shared" si="406"/>
        <v/>
      </c>
      <c r="M1281" s="147" t="str">
        <f>IF($E1281="","",VLOOKUP(IF($B1281&lt;=Input!$C$7,$B1281,26),'Mortality Tables'!$A$72:$CA$97,IF($B1281&lt;=Input!$C$7+1,Input!$C$4-16,$D1281-Input!$C$7-16),0)/1000)</f>
        <v/>
      </c>
      <c r="N1281" s="147" t="str">
        <f t="shared" si="397"/>
        <v/>
      </c>
      <c r="O1281" s="157" t="str">
        <f>IF($E1281="","",IF($C1281=12,IF($B1281&lt;Input!$C$9,Input!$C$54,IF($B1281=Input!$C$9,Input!$C$55,Input!$C$56)),0%))</f>
        <v/>
      </c>
      <c r="P1281" s="167" t="str">
        <f>IF($E1281="","",IF($B1281=1,Input!$C$59,IF($B1281&lt;6,Input!$C$60,0%)))</f>
        <v/>
      </c>
      <c r="Q1281" s="162" t="str">
        <f>IF($E1281="","",Input!$C$58)</f>
        <v/>
      </c>
      <c r="R1281" s="156" t="str">
        <f t="shared" si="407"/>
        <v/>
      </c>
      <c r="S1281" s="154" t="str">
        <f t="shared" si="398"/>
        <v/>
      </c>
      <c r="T1281" s="152"/>
      <c r="U1281" s="150" t="str">
        <f t="shared" si="408"/>
        <v/>
      </c>
      <c r="V1281" s="150" t="str">
        <f t="shared" si="409"/>
        <v/>
      </c>
      <c r="W1281" s="168" t="str">
        <f t="shared" si="410"/>
        <v/>
      </c>
      <c r="X1281" s="163" t="str">
        <f t="shared" si="399"/>
        <v/>
      </c>
      <c r="Y1281" s="152"/>
      <c r="Z1281" s="164" t="str">
        <f>IF(AND($C1280=12,$D1280=Input!$C$6),0,IF($E1281="","",V1281+Z1282/(1+L1281)*R1281))</f>
        <v/>
      </c>
      <c r="AA1281" s="164" t="str">
        <f>IF(OR($M1281=1,AND($C1280=12,$D1280=Input!$C$6)),0,IF($E1281="","",W1281+(X1281+AA1282*$R1281)/(1+$L1281)))</f>
        <v/>
      </c>
      <c r="AB1281" s="160" t="str">
        <f t="shared" si="400"/>
        <v/>
      </c>
      <c r="AC1281" s="164" t="str">
        <f t="shared" si="401"/>
        <v/>
      </c>
      <c r="AD1281" s="164" t="str">
        <f>IF(AND($C1280=12,$D1280=Input!$C$6),0,IF($E1281="","",$AC1281+AD1282/(1+$L1281)*$R1281))</f>
        <v/>
      </c>
      <c r="AE1281" s="152"/>
      <c r="AF1281" s="164" t="str">
        <f>IF(AND($C1280=12,$D1280=Input!$C$6),0,IF($E1281="","",IF($B1281&gt;Input!$C$9,$AC1281,0)+AF1282/(1+$L1281)*$R1281))</f>
        <v/>
      </c>
      <c r="AG1281" s="164" t="str">
        <f>IF(AND($C1280=12,$D1280=Input!$C$6),0,IF($E1281="","",(IF($B1281&gt;Input!$C$9,$X1281,0)+AG1282)/(1+$L1281)*$R1281))</f>
        <v/>
      </c>
      <c r="AH1281" s="160" t="str">
        <f t="shared" si="402"/>
        <v/>
      </c>
      <c r="AI1281" s="160" t="str">
        <f>IF($E1281="","",MIN(Input!$C$61/AH1281,1))</f>
        <v/>
      </c>
      <c r="AJ1281" s="152"/>
      <c r="AK1281" s="164" t="str">
        <f>IF(AND($C1280=12,$D1280=Input!$C$6),0,IF($E1281="","",IF($B1281&gt;Input!$C$9,$AC1281*AI1281,0)+AK1282/(1+$L1281)*$R1281))</f>
        <v/>
      </c>
      <c r="AL1281" s="164" t="str">
        <f>IF(AND($C1280=12,$D1280=Input!$C$6),0,IF($E1281="","",IF($B1281&gt;Input!$C$9,0,$AC1281)+AL1282/(1+$L1281)*$R1281))</f>
        <v/>
      </c>
      <c r="AM1281" s="160" t="str">
        <f t="shared" si="403"/>
        <v/>
      </c>
      <c r="AN1281" s="164" t="str">
        <f>IF($E1281="","",IF($B1281&gt;Input!$C$9,$AI1281*$AC1281,$AM1281*$AC1281))</f>
        <v/>
      </c>
      <c r="AO1281" s="164" t="str">
        <f>IF(AND($C1280=12,$D1280=Input!$C$6),0,IF($E1281="","",$AN1281+AO1282/(1+$L1281)*$R1281))</f>
        <v/>
      </c>
      <c r="AP1281" s="152"/>
      <c r="AQ1281" s="150" t="str">
        <f t="shared" si="404"/>
        <v/>
      </c>
      <c r="AR1281" s="150" t="str">
        <f t="shared" si="411"/>
        <v/>
      </c>
      <c r="AS1281" s="150" t="str">
        <f t="shared" si="412"/>
        <v/>
      </c>
      <c r="AT1281" s="150" t="str">
        <f t="shared" si="405"/>
        <v/>
      </c>
      <c r="AU1281" s="152"/>
      <c r="AV1281" s="147" t="str">
        <f>'Deterministic Reserve'!BC1281</f>
        <v/>
      </c>
      <c r="AY1281" s="152"/>
    </row>
    <row r="1282" spans="1:51" s="150" customFormat="1" x14ac:dyDescent="0.25">
      <c r="A1282" s="150" t="str">
        <f t="shared" si="413"/>
        <v/>
      </c>
      <c r="B1282" s="150" t="str">
        <f t="shared" si="414"/>
        <v/>
      </c>
      <c r="C1282" s="150" t="str">
        <f t="shared" si="415"/>
        <v/>
      </c>
      <c r="D1282" s="150" t="str">
        <f>IF(E1282="","",Input!$C$4+B1282-1)</f>
        <v/>
      </c>
      <c r="E1282" s="150" t="str">
        <f>IF(OR(AND(C1281=12,D1281=Input!$C$6),E1281=""),"",1)</f>
        <v/>
      </c>
      <c r="G1282" s="151" t="str">
        <f>IF(E1282="","",MAX(0,Input!$C$9-B1282))</f>
        <v/>
      </c>
      <c r="H1282" s="152" t="str">
        <f>IF(E1282="","",Input!$C$3)</f>
        <v/>
      </c>
      <c r="I1282" s="153" t="str">
        <f>IF(E1282="","",HLOOKUP($B1282,Input!$C$13:$BT$14,2))</f>
        <v/>
      </c>
      <c r="J1282" s="154"/>
      <c r="K1282" s="150" t="str">
        <f>IF($E1282="","",Input!$C$57)</f>
        <v/>
      </c>
      <c r="L1282" s="150" t="str">
        <f t="shared" si="406"/>
        <v/>
      </c>
      <c r="M1282" s="147" t="str">
        <f>IF($E1282="","",VLOOKUP(IF($B1282&lt;=Input!$C$7,$B1282,26),'Mortality Tables'!$A$72:$CA$97,IF($B1282&lt;=Input!$C$7+1,Input!$C$4-16,$D1282-Input!$C$7-16),0)/1000)</f>
        <v/>
      </c>
      <c r="N1282" s="147" t="str">
        <f t="shared" si="397"/>
        <v/>
      </c>
      <c r="O1282" s="157" t="str">
        <f>IF($E1282="","",IF($C1282=12,IF($B1282&lt;Input!$C$9,Input!$C$54,IF($B1282=Input!$C$9,Input!$C$55,Input!$C$56)),0%))</f>
        <v/>
      </c>
      <c r="P1282" s="167" t="str">
        <f>IF($E1282="","",IF($B1282=1,Input!$C$59,IF($B1282&lt;6,Input!$C$60,0%)))</f>
        <v/>
      </c>
      <c r="Q1282" s="162" t="str">
        <f>IF($E1282="","",Input!$C$58)</f>
        <v/>
      </c>
      <c r="R1282" s="156" t="str">
        <f t="shared" si="407"/>
        <v/>
      </c>
      <c r="S1282" s="154" t="str">
        <f t="shared" si="398"/>
        <v/>
      </c>
      <c r="T1282" s="152"/>
      <c r="U1282" s="150" t="str">
        <f t="shared" si="408"/>
        <v/>
      </c>
      <c r="V1282" s="150" t="str">
        <f t="shared" si="409"/>
        <v/>
      </c>
      <c r="W1282" s="168" t="str">
        <f t="shared" si="410"/>
        <v/>
      </c>
      <c r="X1282" s="163" t="str">
        <f t="shared" si="399"/>
        <v/>
      </c>
      <c r="Y1282" s="152"/>
      <c r="Z1282" s="164" t="str">
        <f>IF(AND($C1281=12,$D1281=Input!$C$6),0,IF($E1282="","",V1282+Z1283/(1+L1282)*R1282))</f>
        <v/>
      </c>
      <c r="AA1282" s="164" t="str">
        <f>IF(OR($M1282=1,AND($C1281=12,$D1281=Input!$C$6)),0,IF($E1282="","",W1282+(X1282+AA1283*$R1282)/(1+$L1282)))</f>
        <v/>
      </c>
      <c r="AB1282" s="160" t="str">
        <f t="shared" si="400"/>
        <v/>
      </c>
      <c r="AC1282" s="164" t="str">
        <f t="shared" si="401"/>
        <v/>
      </c>
      <c r="AD1282" s="164" t="str">
        <f>IF(AND($C1281=12,$D1281=Input!$C$6),0,IF($E1282="","",$AC1282+AD1283/(1+$L1282)*$R1282))</f>
        <v/>
      </c>
      <c r="AE1282" s="152"/>
      <c r="AF1282" s="164" t="str">
        <f>IF(AND($C1281=12,$D1281=Input!$C$6),0,IF($E1282="","",IF($B1282&gt;Input!$C$9,$AC1282,0)+AF1283/(1+$L1282)*$R1282))</f>
        <v/>
      </c>
      <c r="AG1282" s="164" t="str">
        <f>IF(AND($C1281=12,$D1281=Input!$C$6),0,IF($E1282="","",(IF($B1282&gt;Input!$C$9,$X1282,0)+AG1283)/(1+$L1282)*$R1282))</f>
        <v/>
      </c>
      <c r="AH1282" s="160" t="str">
        <f t="shared" si="402"/>
        <v/>
      </c>
      <c r="AI1282" s="160" t="str">
        <f>IF($E1282="","",MIN(Input!$C$61/AH1282,1))</f>
        <v/>
      </c>
      <c r="AJ1282" s="152"/>
      <c r="AK1282" s="164" t="str">
        <f>IF(AND($C1281=12,$D1281=Input!$C$6),0,IF($E1282="","",IF($B1282&gt;Input!$C$9,$AC1282*AI1282,0)+AK1283/(1+$L1282)*$R1282))</f>
        <v/>
      </c>
      <c r="AL1282" s="164" t="str">
        <f>IF(AND($C1281=12,$D1281=Input!$C$6),0,IF($E1282="","",IF($B1282&gt;Input!$C$9,0,$AC1282)+AL1283/(1+$L1282)*$R1282))</f>
        <v/>
      </c>
      <c r="AM1282" s="160" t="str">
        <f t="shared" si="403"/>
        <v/>
      </c>
      <c r="AN1282" s="164" t="str">
        <f>IF($E1282="","",IF($B1282&gt;Input!$C$9,$AI1282*$AC1282,$AM1282*$AC1282))</f>
        <v/>
      </c>
      <c r="AO1282" s="164" t="str">
        <f>IF(AND($C1281=12,$D1281=Input!$C$6),0,IF($E1282="","",$AN1282+AO1283/(1+$L1282)*$R1282))</f>
        <v/>
      </c>
      <c r="AP1282" s="152"/>
      <c r="AQ1282" s="150" t="str">
        <f t="shared" si="404"/>
        <v/>
      </c>
      <c r="AR1282" s="150" t="str">
        <f t="shared" si="411"/>
        <v/>
      </c>
      <c r="AS1282" s="150" t="str">
        <f t="shared" si="412"/>
        <v/>
      </c>
      <c r="AT1282" s="150" t="str">
        <f t="shared" si="405"/>
        <v/>
      </c>
      <c r="AU1282" s="152"/>
      <c r="AV1282" s="147" t="str">
        <f>'Deterministic Reserve'!BC1282</f>
        <v/>
      </c>
      <c r="AY1282" s="152"/>
    </row>
    <row r="1283" spans="1:51" s="150" customFormat="1" x14ac:dyDescent="0.25">
      <c r="A1283" s="150" t="str">
        <f t="shared" si="413"/>
        <v/>
      </c>
      <c r="B1283" s="150" t="str">
        <f t="shared" si="414"/>
        <v/>
      </c>
      <c r="C1283" s="150" t="str">
        <f t="shared" si="415"/>
        <v/>
      </c>
      <c r="D1283" s="150" t="str">
        <f>IF(E1283="","",Input!$C$4+B1283-1)</f>
        <v/>
      </c>
      <c r="E1283" s="150" t="str">
        <f>IF(OR(AND(C1282=12,D1282=Input!$C$6),E1282=""),"",1)</f>
        <v/>
      </c>
      <c r="G1283" s="151" t="str">
        <f>IF(E1283="","",MAX(0,Input!$C$9-B1283))</f>
        <v/>
      </c>
      <c r="H1283" s="152" t="str">
        <f>IF(E1283="","",Input!$C$3)</f>
        <v/>
      </c>
      <c r="I1283" s="153" t="str">
        <f>IF(E1283="","",HLOOKUP($B1283,Input!$C$13:$BT$14,2))</f>
        <v/>
      </c>
      <c r="J1283" s="154"/>
      <c r="K1283" s="150" t="str">
        <f>IF($E1283="","",Input!$C$57)</f>
        <v/>
      </c>
      <c r="L1283" s="150" t="str">
        <f t="shared" si="406"/>
        <v/>
      </c>
      <c r="M1283" s="147" t="str">
        <f>IF($E1283="","",VLOOKUP(IF($B1283&lt;=Input!$C$7,$B1283,26),'Mortality Tables'!$A$72:$CA$97,IF($B1283&lt;=Input!$C$7+1,Input!$C$4-16,$D1283-Input!$C$7-16),0)/1000)</f>
        <v/>
      </c>
      <c r="N1283" s="147" t="str">
        <f t="shared" si="397"/>
        <v/>
      </c>
      <c r="O1283" s="157" t="str">
        <f>IF($E1283="","",IF($C1283=12,IF($B1283&lt;Input!$C$9,Input!$C$54,IF($B1283=Input!$C$9,Input!$C$55,Input!$C$56)),0%))</f>
        <v/>
      </c>
      <c r="P1283" s="167" t="str">
        <f>IF($E1283="","",IF($B1283=1,Input!$C$59,IF($B1283&lt;6,Input!$C$60,0%)))</f>
        <v/>
      </c>
      <c r="Q1283" s="162" t="str">
        <f>IF($E1283="","",Input!$C$58)</f>
        <v/>
      </c>
      <c r="R1283" s="156" t="str">
        <f t="shared" si="407"/>
        <v/>
      </c>
      <c r="S1283" s="154" t="str">
        <f t="shared" si="398"/>
        <v/>
      </c>
      <c r="T1283" s="152"/>
      <c r="U1283" s="150" t="str">
        <f t="shared" si="408"/>
        <v/>
      </c>
      <c r="V1283" s="150" t="str">
        <f t="shared" si="409"/>
        <v/>
      </c>
      <c r="W1283" s="168" t="str">
        <f t="shared" si="410"/>
        <v/>
      </c>
      <c r="X1283" s="163" t="str">
        <f t="shared" si="399"/>
        <v/>
      </c>
      <c r="Y1283" s="152"/>
      <c r="Z1283" s="164" t="str">
        <f>IF(AND($C1282=12,$D1282=Input!$C$6),0,IF($E1283="","",V1283+Z1284/(1+L1283)*R1283))</f>
        <v/>
      </c>
      <c r="AA1283" s="164" t="str">
        <f>IF(OR($M1283=1,AND($C1282=12,$D1282=Input!$C$6)),0,IF($E1283="","",W1283+(X1283+AA1284*$R1283)/(1+$L1283)))</f>
        <v/>
      </c>
      <c r="AB1283" s="160" t="str">
        <f t="shared" si="400"/>
        <v/>
      </c>
      <c r="AC1283" s="164" t="str">
        <f t="shared" si="401"/>
        <v/>
      </c>
      <c r="AD1283" s="164" t="str">
        <f>IF(AND($C1282=12,$D1282=Input!$C$6),0,IF($E1283="","",$AC1283+AD1284/(1+$L1283)*$R1283))</f>
        <v/>
      </c>
      <c r="AE1283" s="152"/>
      <c r="AF1283" s="164" t="str">
        <f>IF(AND($C1282=12,$D1282=Input!$C$6),0,IF($E1283="","",IF($B1283&gt;Input!$C$9,$AC1283,0)+AF1284/(1+$L1283)*$R1283))</f>
        <v/>
      </c>
      <c r="AG1283" s="164" t="str">
        <f>IF(AND($C1282=12,$D1282=Input!$C$6),0,IF($E1283="","",(IF($B1283&gt;Input!$C$9,$X1283,0)+AG1284)/(1+$L1283)*$R1283))</f>
        <v/>
      </c>
      <c r="AH1283" s="160" t="str">
        <f t="shared" si="402"/>
        <v/>
      </c>
      <c r="AI1283" s="160" t="str">
        <f>IF($E1283="","",MIN(Input!$C$61/AH1283,1))</f>
        <v/>
      </c>
      <c r="AJ1283" s="152"/>
      <c r="AK1283" s="164" t="str">
        <f>IF(AND($C1282=12,$D1282=Input!$C$6),0,IF($E1283="","",IF($B1283&gt;Input!$C$9,$AC1283*AI1283,0)+AK1284/(1+$L1283)*$R1283))</f>
        <v/>
      </c>
      <c r="AL1283" s="164" t="str">
        <f>IF(AND($C1282=12,$D1282=Input!$C$6),0,IF($E1283="","",IF($B1283&gt;Input!$C$9,0,$AC1283)+AL1284/(1+$L1283)*$R1283))</f>
        <v/>
      </c>
      <c r="AM1283" s="160" t="str">
        <f t="shared" si="403"/>
        <v/>
      </c>
      <c r="AN1283" s="164" t="str">
        <f>IF($E1283="","",IF($B1283&gt;Input!$C$9,$AI1283*$AC1283,$AM1283*$AC1283))</f>
        <v/>
      </c>
      <c r="AO1283" s="164" t="str">
        <f>IF(AND($C1282=12,$D1282=Input!$C$6),0,IF($E1283="","",$AN1283+AO1284/(1+$L1283)*$R1283))</f>
        <v/>
      </c>
      <c r="AP1283" s="152"/>
      <c r="AQ1283" s="150" t="str">
        <f t="shared" si="404"/>
        <v/>
      </c>
      <c r="AR1283" s="150" t="str">
        <f t="shared" si="411"/>
        <v/>
      </c>
      <c r="AS1283" s="150" t="str">
        <f t="shared" si="412"/>
        <v/>
      </c>
      <c r="AT1283" s="150" t="str">
        <f t="shared" si="405"/>
        <v/>
      </c>
      <c r="AU1283" s="152"/>
      <c r="AV1283" s="147" t="str">
        <f>'Deterministic Reserve'!BC1283</f>
        <v/>
      </c>
      <c r="AY1283" s="152"/>
    </row>
    <row r="1284" spans="1:51" s="150" customFormat="1" x14ac:dyDescent="0.25">
      <c r="A1284" s="150" t="str">
        <f t="shared" si="413"/>
        <v/>
      </c>
      <c r="B1284" s="150" t="str">
        <f t="shared" si="414"/>
        <v/>
      </c>
      <c r="C1284" s="150" t="str">
        <f t="shared" si="415"/>
        <v/>
      </c>
      <c r="D1284" s="150" t="str">
        <f>IF(E1284="","",Input!$C$4+B1284-1)</f>
        <v/>
      </c>
      <c r="E1284" s="150" t="str">
        <f>IF(OR(AND(C1283=12,D1283=Input!$C$6),E1283=""),"",1)</f>
        <v/>
      </c>
      <c r="G1284" s="151" t="str">
        <f>IF(E1284="","",MAX(0,Input!$C$9-B1284))</f>
        <v/>
      </c>
      <c r="H1284" s="152" t="str">
        <f>IF(E1284="","",Input!$C$3)</f>
        <v/>
      </c>
      <c r="I1284" s="153" t="str">
        <f>IF(E1284="","",HLOOKUP($B1284,Input!$C$13:$BT$14,2))</f>
        <v/>
      </c>
      <c r="J1284" s="154"/>
      <c r="K1284" s="150" t="str">
        <f>IF($E1284="","",Input!$C$57)</f>
        <v/>
      </c>
      <c r="L1284" s="150" t="str">
        <f t="shared" si="406"/>
        <v/>
      </c>
      <c r="M1284" s="147" t="str">
        <f>IF($E1284="","",VLOOKUP(IF($B1284&lt;=Input!$C$7,$B1284,26),'Mortality Tables'!$A$72:$CA$97,IF($B1284&lt;=Input!$C$7+1,Input!$C$4-16,$D1284-Input!$C$7-16),0)/1000)</f>
        <v/>
      </c>
      <c r="N1284" s="147" t="str">
        <f t="shared" si="397"/>
        <v/>
      </c>
      <c r="O1284" s="157" t="str">
        <f>IF($E1284="","",IF($C1284=12,IF($B1284&lt;Input!$C$9,Input!$C$54,IF($B1284=Input!$C$9,Input!$C$55,Input!$C$56)),0%))</f>
        <v/>
      </c>
      <c r="P1284" s="167" t="str">
        <f>IF($E1284="","",IF($B1284=1,Input!$C$59,IF($B1284&lt;6,Input!$C$60,0%)))</f>
        <v/>
      </c>
      <c r="Q1284" s="162" t="str">
        <f>IF($E1284="","",Input!$C$58)</f>
        <v/>
      </c>
      <c r="R1284" s="156" t="str">
        <f t="shared" si="407"/>
        <v/>
      </c>
      <c r="S1284" s="154" t="str">
        <f t="shared" si="398"/>
        <v/>
      </c>
      <c r="T1284" s="152"/>
      <c r="U1284" s="150" t="str">
        <f t="shared" si="408"/>
        <v/>
      </c>
      <c r="V1284" s="150" t="str">
        <f t="shared" si="409"/>
        <v/>
      </c>
      <c r="W1284" s="168" t="str">
        <f t="shared" si="410"/>
        <v/>
      </c>
      <c r="X1284" s="163" t="str">
        <f t="shared" si="399"/>
        <v/>
      </c>
      <c r="Y1284" s="152"/>
      <c r="Z1284" s="164" t="str">
        <f>IF(AND($C1283=12,$D1283=Input!$C$6),0,IF($E1284="","",V1284+Z1285/(1+L1284)*R1284))</f>
        <v/>
      </c>
      <c r="AA1284" s="164" t="str">
        <f>IF(OR($M1284=1,AND($C1283=12,$D1283=Input!$C$6)),0,IF($E1284="","",W1284+(X1284+AA1285*$R1284)/(1+$L1284)))</f>
        <v/>
      </c>
      <c r="AB1284" s="160" t="str">
        <f t="shared" si="400"/>
        <v/>
      </c>
      <c r="AC1284" s="164" t="str">
        <f t="shared" si="401"/>
        <v/>
      </c>
      <c r="AD1284" s="164" t="str">
        <f>IF(AND($C1283=12,$D1283=Input!$C$6),0,IF($E1284="","",$AC1284+AD1285/(1+$L1284)*$R1284))</f>
        <v/>
      </c>
      <c r="AE1284" s="152"/>
      <c r="AF1284" s="164" t="str">
        <f>IF(AND($C1283=12,$D1283=Input!$C$6),0,IF($E1284="","",IF($B1284&gt;Input!$C$9,$AC1284,0)+AF1285/(1+$L1284)*$R1284))</f>
        <v/>
      </c>
      <c r="AG1284" s="164" t="str">
        <f>IF(AND($C1283=12,$D1283=Input!$C$6),0,IF($E1284="","",(IF($B1284&gt;Input!$C$9,$X1284,0)+AG1285)/(1+$L1284)*$R1284))</f>
        <v/>
      </c>
      <c r="AH1284" s="160" t="str">
        <f t="shared" si="402"/>
        <v/>
      </c>
      <c r="AI1284" s="160" t="str">
        <f>IF($E1284="","",MIN(Input!$C$61/AH1284,1))</f>
        <v/>
      </c>
      <c r="AJ1284" s="152"/>
      <c r="AK1284" s="164" t="str">
        <f>IF(AND($C1283=12,$D1283=Input!$C$6),0,IF($E1284="","",IF($B1284&gt;Input!$C$9,$AC1284*AI1284,0)+AK1285/(1+$L1284)*$R1284))</f>
        <v/>
      </c>
      <c r="AL1284" s="164" t="str">
        <f>IF(AND($C1283=12,$D1283=Input!$C$6),0,IF($E1284="","",IF($B1284&gt;Input!$C$9,0,$AC1284)+AL1285/(1+$L1284)*$R1284))</f>
        <v/>
      </c>
      <c r="AM1284" s="160" t="str">
        <f t="shared" si="403"/>
        <v/>
      </c>
      <c r="AN1284" s="164" t="str">
        <f>IF($E1284="","",IF($B1284&gt;Input!$C$9,$AI1284*$AC1284,$AM1284*$AC1284))</f>
        <v/>
      </c>
      <c r="AO1284" s="164" t="str">
        <f>IF(AND($C1283=12,$D1283=Input!$C$6),0,IF($E1284="","",$AN1284+AO1285/(1+$L1284)*$R1284))</f>
        <v/>
      </c>
      <c r="AP1284" s="152"/>
      <c r="AQ1284" s="150" t="str">
        <f t="shared" si="404"/>
        <v/>
      </c>
      <c r="AR1284" s="150" t="str">
        <f t="shared" si="411"/>
        <v/>
      </c>
      <c r="AS1284" s="150" t="str">
        <f t="shared" si="412"/>
        <v/>
      </c>
      <c r="AT1284" s="150" t="str">
        <f t="shared" si="405"/>
        <v/>
      </c>
      <c r="AU1284" s="152"/>
      <c r="AV1284" s="147" t="str">
        <f>'Deterministic Reserve'!BC1284</f>
        <v/>
      </c>
      <c r="AY1284" s="152"/>
    </row>
    <row r="1285" spans="1:51" s="150" customFormat="1" x14ac:dyDescent="0.25">
      <c r="A1285" s="150" t="str">
        <f t="shared" si="413"/>
        <v/>
      </c>
      <c r="B1285" s="150" t="str">
        <f t="shared" si="414"/>
        <v/>
      </c>
      <c r="C1285" s="150" t="str">
        <f t="shared" si="415"/>
        <v/>
      </c>
      <c r="D1285" s="150" t="str">
        <f>IF(E1285="","",Input!$C$4+B1285-1)</f>
        <v/>
      </c>
      <c r="E1285" s="150" t="str">
        <f>IF(OR(AND(C1284=12,D1284=Input!$C$6),E1284=""),"",1)</f>
        <v/>
      </c>
      <c r="G1285" s="151" t="str">
        <f>IF(E1285="","",MAX(0,Input!$C$9-B1285))</f>
        <v/>
      </c>
      <c r="H1285" s="152" t="str">
        <f>IF(E1285="","",Input!$C$3)</f>
        <v/>
      </c>
      <c r="I1285" s="153" t="str">
        <f>IF(E1285="","",HLOOKUP($B1285,Input!$C$13:$BT$14,2))</f>
        <v/>
      </c>
      <c r="J1285" s="154"/>
      <c r="K1285" s="150" t="str">
        <f>IF($E1285="","",Input!$C$57)</f>
        <v/>
      </c>
      <c r="L1285" s="150" t="str">
        <f t="shared" si="406"/>
        <v/>
      </c>
      <c r="M1285" s="147" t="str">
        <f>IF($E1285="","",VLOOKUP(IF($B1285&lt;=Input!$C$7,$B1285,26),'Mortality Tables'!$A$72:$CA$97,IF($B1285&lt;=Input!$C$7+1,Input!$C$4-16,$D1285-Input!$C$7-16),0)/1000)</f>
        <v/>
      </c>
      <c r="N1285" s="147" t="str">
        <f t="shared" ref="N1285:N1348" si="416">IF($E1285="","",1-(1-M1285)^(1/12))</f>
        <v/>
      </c>
      <c r="O1285" s="157" t="str">
        <f>IF($E1285="","",IF($C1285=12,IF($B1285&lt;Input!$C$9,Input!$C$54,IF($B1285=Input!$C$9,Input!$C$55,Input!$C$56)),0%))</f>
        <v/>
      </c>
      <c r="P1285" s="167" t="str">
        <f>IF($E1285="","",IF($B1285=1,Input!$C$59,IF($B1285&lt;6,Input!$C$60,0%)))</f>
        <v/>
      </c>
      <c r="Q1285" s="162" t="str">
        <f>IF($E1285="","",Input!$C$58)</f>
        <v/>
      </c>
      <c r="R1285" s="156" t="str">
        <f t="shared" si="407"/>
        <v/>
      </c>
      <c r="S1285" s="154" t="str">
        <f t="shared" ref="S1285:S1348" si="417">IF($E1285="","",IF(AND($B1285=1,$C1285=1),1,S1284*R1285))</f>
        <v/>
      </c>
      <c r="T1285" s="152"/>
      <c r="U1285" s="150" t="str">
        <f t="shared" si="408"/>
        <v/>
      </c>
      <c r="V1285" s="150" t="str">
        <f t="shared" si="409"/>
        <v/>
      </c>
      <c r="W1285" s="168" t="str">
        <f t="shared" si="410"/>
        <v/>
      </c>
      <c r="X1285" s="163" t="str">
        <f t="shared" ref="X1285:X1348" si="418">IF($E1285="","",N1285*$H1285)</f>
        <v/>
      </c>
      <c r="Y1285" s="152"/>
      <c r="Z1285" s="164" t="str">
        <f>IF(AND($C1284=12,$D1284=Input!$C$6),0,IF($E1285="","",V1285+Z1286/(1+L1285)*R1285))</f>
        <v/>
      </c>
      <c r="AA1285" s="164" t="str">
        <f>IF(OR($M1285=1,AND($C1284=12,$D1284=Input!$C$6)),0,IF($E1285="","",W1285+(X1285+AA1286*$R1285)/(1+$L1285)))</f>
        <v/>
      </c>
      <c r="AB1285" s="160" t="str">
        <f t="shared" ref="AB1285:AB1348" si="419">IF($E1285="","",$AA$5/$Z$5)</f>
        <v/>
      </c>
      <c r="AC1285" s="164" t="str">
        <f t="shared" ref="AC1285:AC1348" si="420">IF($E1285="","",V1285*AB1285)</f>
        <v/>
      </c>
      <c r="AD1285" s="164" t="str">
        <f>IF(AND($C1284=12,$D1284=Input!$C$6),0,IF($E1285="","",$AC1285+AD1286/(1+$L1285)*$R1285))</f>
        <v/>
      </c>
      <c r="AE1285" s="152"/>
      <c r="AF1285" s="164" t="str">
        <f>IF(AND($C1284=12,$D1284=Input!$C$6),0,IF($E1285="","",IF($B1285&gt;Input!$C$9,$AC1285,0)+AF1286/(1+$L1285)*$R1285))</f>
        <v/>
      </c>
      <c r="AG1285" s="164" t="str">
        <f>IF(AND($C1284=12,$D1284=Input!$C$6),0,IF($E1285="","",(IF($B1285&gt;Input!$C$9,$X1285,0)+AG1286)/(1+$L1285)*$R1285))</f>
        <v/>
      </c>
      <c r="AH1285" s="160" t="str">
        <f t="shared" ref="AH1285:AH1348" si="421">IF($E1285="","",$AF$5/$AG$5)</f>
        <v/>
      </c>
      <c r="AI1285" s="160" t="str">
        <f>IF($E1285="","",MIN(Input!$C$61/AH1285,1))</f>
        <v/>
      </c>
      <c r="AJ1285" s="152"/>
      <c r="AK1285" s="164" t="str">
        <f>IF(AND($C1284=12,$D1284=Input!$C$6),0,IF($E1285="","",IF($B1285&gt;Input!$C$9,$AC1285*AI1285,0)+AK1286/(1+$L1285)*$R1285))</f>
        <v/>
      </c>
      <c r="AL1285" s="164" t="str">
        <f>IF(AND($C1284=12,$D1284=Input!$C$6),0,IF($E1285="","",IF($B1285&gt;Input!$C$9,0,$AC1285)+AL1286/(1+$L1285)*$R1285))</f>
        <v/>
      </c>
      <c r="AM1285" s="160" t="str">
        <f t="shared" ref="AM1285:AM1348" si="422">IF($E1285="","",($AD$5-$AK$5)/$AL$5)</f>
        <v/>
      </c>
      <c r="AN1285" s="164" t="str">
        <f>IF($E1285="","",IF($B1285&gt;Input!$C$9,$AI1285*$AC1285,$AM1285*$AC1285))</f>
        <v/>
      </c>
      <c r="AO1285" s="164" t="str">
        <f>IF(AND($C1284=12,$D1284=Input!$C$6),0,IF($E1285="","",$AN1285+AO1286/(1+$L1285)*$R1285))</f>
        <v/>
      </c>
      <c r="AP1285" s="152"/>
      <c r="AQ1285" s="150" t="str">
        <f t="shared" ref="AQ1285:AQ1348" si="423">IF($E1285="","",$AA1285-$AO1285)</f>
        <v/>
      </c>
      <c r="AR1285" s="150" t="str">
        <f t="shared" si="411"/>
        <v/>
      </c>
      <c r="AS1285" s="150" t="str">
        <f t="shared" si="412"/>
        <v/>
      </c>
      <c r="AT1285" s="150" t="str">
        <f t="shared" ref="AT1285:AT1348" si="424">IF($E1285="","",MAX($AR1285,$AS1285))</f>
        <v/>
      </c>
      <c r="AU1285" s="152"/>
      <c r="AV1285" s="147" t="str">
        <f>'Deterministic Reserve'!BC1285</f>
        <v/>
      </c>
      <c r="AY1285" s="152"/>
    </row>
    <row r="1286" spans="1:51" s="150" customFormat="1" x14ac:dyDescent="0.25">
      <c r="A1286" s="150" t="str">
        <f t="shared" si="413"/>
        <v/>
      </c>
      <c r="B1286" s="150" t="str">
        <f t="shared" si="414"/>
        <v/>
      </c>
      <c r="C1286" s="150" t="str">
        <f t="shared" si="415"/>
        <v/>
      </c>
      <c r="D1286" s="150" t="str">
        <f>IF(E1286="","",Input!$C$4+B1286-1)</f>
        <v/>
      </c>
      <c r="E1286" s="150" t="str">
        <f>IF(OR(AND(C1285=12,D1285=Input!$C$6),E1285=""),"",1)</f>
        <v/>
      </c>
      <c r="G1286" s="151" t="str">
        <f>IF(E1286="","",MAX(0,Input!$C$9-B1286))</f>
        <v/>
      </c>
      <c r="H1286" s="152" t="str">
        <f>IF(E1286="","",Input!$C$3)</f>
        <v/>
      </c>
      <c r="I1286" s="153" t="str">
        <f>IF(E1286="","",HLOOKUP($B1286,Input!$C$13:$BT$14,2))</f>
        <v/>
      </c>
      <c r="J1286" s="154"/>
      <c r="K1286" s="150" t="str">
        <f>IF($E1286="","",Input!$C$57)</f>
        <v/>
      </c>
      <c r="L1286" s="150" t="str">
        <f t="shared" ref="L1286:L1349" si="425">IF($E1286="","",(1+K1286)^(1/12)-1)</f>
        <v/>
      </c>
      <c r="M1286" s="147" t="str">
        <f>IF($E1286="","",VLOOKUP(IF($B1286&lt;=Input!$C$7,$B1286,26),'Mortality Tables'!$A$72:$CA$97,IF($B1286&lt;=Input!$C$7+1,Input!$C$4-16,$D1286-Input!$C$7-16),0)/1000)</f>
        <v/>
      </c>
      <c r="N1286" s="147" t="str">
        <f t="shared" si="416"/>
        <v/>
      </c>
      <c r="O1286" s="157" t="str">
        <f>IF($E1286="","",IF($C1286=12,IF($B1286&lt;Input!$C$9,Input!$C$54,IF($B1286=Input!$C$9,Input!$C$55,Input!$C$56)),0%))</f>
        <v/>
      </c>
      <c r="P1286" s="167" t="str">
        <f>IF($E1286="","",IF($B1286=1,Input!$C$59,IF($B1286&lt;6,Input!$C$60,0%)))</f>
        <v/>
      </c>
      <c r="Q1286" s="162" t="str">
        <f>IF($E1286="","",Input!$C$58)</f>
        <v/>
      </c>
      <c r="R1286" s="156" t="str">
        <f t="shared" ref="R1286:R1349" si="426">IF($E1286="","",MAX(1-N1286-O1286,0))</f>
        <v/>
      </c>
      <c r="S1286" s="154" t="str">
        <f t="shared" si="417"/>
        <v/>
      </c>
      <c r="T1286" s="152"/>
      <c r="U1286" s="150" t="str">
        <f t="shared" ref="U1286:U1349" si="427">IF($E1286="","",IF($C1286=1,$I1286*$H1286/1000,0))</f>
        <v/>
      </c>
      <c r="V1286" s="150" t="str">
        <f t="shared" ref="V1286:V1349" si="428">IF($E1286="","",U1286*(1-$P1286))</f>
        <v/>
      </c>
      <c r="W1286" s="168" t="str">
        <f t="shared" ref="W1286:W1349" si="429">IF($E1286="","",IF(AND($B1286=1,$C1286=1),$Q1286*$H1286/1000,0))</f>
        <v/>
      </c>
      <c r="X1286" s="163" t="str">
        <f t="shared" si="418"/>
        <v/>
      </c>
      <c r="Y1286" s="152"/>
      <c r="Z1286" s="164" t="str">
        <f>IF(AND($C1285=12,$D1285=Input!$C$6),0,IF($E1286="","",V1286+Z1287/(1+L1286)*R1286))</f>
        <v/>
      </c>
      <c r="AA1286" s="164" t="str">
        <f>IF(OR($M1286=1,AND($C1285=12,$D1285=Input!$C$6)),0,IF($E1286="","",W1286+(X1286+AA1287*$R1286)/(1+$L1286)))</f>
        <v/>
      </c>
      <c r="AB1286" s="160" t="str">
        <f t="shared" si="419"/>
        <v/>
      </c>
      <c r="AC1286" s="164" t="str">
        <f t="shared" si="420"/>
        <v/>
      </c>
      <c r="AD1286" s="164" t="str">
        <f>IF(AND($C1285=12,$D1285=Input!$C$6),0,IF($E1286="","",$AC1286+AD1287/(1+$L1286)*$R1286))</f>
        <v/>
      </c>
      <c r="AE1286" s="152"/>
      <c r="AF1286" s="164" t="str">
        <f>IF(AND($C1285=12,$D1285=Input!$C$6),0,IF($E1286="","",IF($B1286&gt;Input!$C$9,$AC1286,0)+AF1287/(1+$L1286)*$R1286))</f>
        <v/>
      </c>
      <c r="AG1286" s="164" t="str">
        <f>IF(AND($C1285=12,$D1285=Input!$C$6),0,IF($E1286="","",(IF($B1286&gt;Input!$C$9,$X1286,0)+AG1287)/(1+$L1286)*$R1286))</f>
        <v/>
      </c>
      <c r="AH1286" s="160" t="str">
        <f t="shared" si="421"/>
        <v/>
      </c>
      <c r="AI1286" s="160" t="str">
        <f>IF($E1286="","",MIN(Input!$C$61/AH1286,1))</f>
        <v/>
      </c>
      <c r="AJ1286" s="152"/>
      <c r="AK1286" s="164" t="str">
        <f>IF(AND($C1285=12,$D1285=Input!$C$6),0,IF($E1286="","",IF($B1286&gt;Input!$C$9,$AC1286*AI1286,0)+AK1287/(1+$L1286)*$R1286))</f>
        <v/>
      </c>
      <c r="AL1286" s="164" t="str">
        <f>IF(AND($C1285=12,$D1285=Input!$C$6),0,IF($E1286="","",IF($B1286&gt;Input!$C$9,0,$AC1286)+AL1287/(1+$L1286)*$R1286))</f>
        <v/>
      </c>
      <c r="AM1286" s="160" t="str">
        <f t="shared" si="422"/>
        <v/>
      </c>
      <c r="AN1286" s="164" t="str">
        <f>IF($E1286="","",IF($B1286&gt;Input!$C$9,$AI1286*$AC1286,$AM1286*$AC1286))</f>
        <v/>
      </c>
      <c r="AO1286" s="164" t="str">
        <f>IF(AND($C1285=12,$D1285=Input!$C$6),0,IF($E1286="","",$AN1286+AO1287/(1+$L1286)*$R1286))</f>
        <v/>
      </c>
      <c r="AP1286" s="152"/>
      <c r="AQ1286" s="150" t="str">
        <f t="shared" si="423"/>
        <v/>
      </c>
      <c r="AR1286" s="150" t="str">
        <f t="shared" ref="AR1286:AR1349" si="430">IF($E1286="","",IF($M1286=1,0,0.5*(IF($B1286=1,0,SUMIFS($AQ:$AQ,$B:$B,$B1286-1,$C:$C,12))+SUMIFS($AN:$AN,$B:$B,$B1286,$C:$C,1)+SUMIFS($AQ:$AQ,$B:$B,$B1286,$C:$C,12))))</f>
        <v/>
      </c>
      <c r="AS1286" s="150" t="str">
        <f t="shared" ref="AS1286:AS1349" si="431">IF($E1286="","",IF($M1286=1,0,0.5*$M1286*$H1286/(1+$K1286)))</f>
        <v/>
      </c>
      <c r="AT1286" s="150" t="str">
        <f t="shared" si="424"/>
        <v/>
      </c>
      <c r="AU1286" s="152"/>
      <c r="AV1286" s="147" t="str">
        <f>'Deterministic Reserve'!BC1286</f>
        <v/>
      </c>
      <c r="AY1286" s="152"/>
    </row>
    <row r="1287" spans="1:51" s="150" customFormat="1" x14ac:dyDescent="0.25">
      <c r="A1287" s="150" t="str">
        <f t="shared" ref="A1287:A1350" si="432">IF(E1287="","",A1286+1)</f>
        <v/>
      </c>
      <c r="B1287" s="150" t="str">
        <f t="shared" ref="B1287:B1350" si="433">IF(E1287="","",IF(C1286+1&gt;12,B1286+1,B1286))</f>
        <v/>
      </c>
      <c r="C1287" s="150" t="str">
        <f t="shared" ref="C1287:C1350" si="434">IF(E1287="","",IF(C1286+1&gt;12,1,C1286+1))</f>
        <v/>
      </c>
      <c r="D1287" s="150" t="str">
        <f>IF(E1287="","",Input!$C$4+B1287-1)</f>
        <v/>
      </c>
      <c r="E1287" s="150" t="str">
        <f>IF(OR(AND(C1286=12,D1286=Input!$C$6),E1286=""),"",1)</f>
        <v/>
      </c>
      <c r="G1287" s="151" t="str">
        <f>IF(E1287="","",MAX(0,Input!$C$9-B1287))</f>
        <v/>
      </c>
      <c r="H1287" s="152" t="str">
        <f>IF(E1287="","",Input!$C$3)</f>
        <v/>
      </c>
      <c r="I1287" s="153" t="str">
        <f>IF(E1287="","",HLOOKUP($B1287,Input!$C$13:$BT$14,2))</f>
        <v/>
      </c>
      <c r="J1287" s="154"/>
      <c r="K1287" s="150" t="str">
        <f>IF($E1287="","",Input!$C$57)</f>
        <v/>
      </c>
      <c r="L1287" s="150" t="str">
        <f t="shared" si="425"/>
        <v/>
      </c>
      <c r="M1287" s="147" t="str">
        <f>IF($E1287="","",VLOOKUP(IF($B1287&lt;=Input!$C$7,$B1287,26),'Mortality Tables'!$A$72:$CA$97,IF($B1287&lt;=Input!$C$7+1,Input!$C$4-16,$D1287-Input!$C$7-16),0)/1000)</f>
        <v/>
      </c>
      <c r="N1287" s="147" t="str">
        <f t="shared" si="416"/>
        <v/>
      </c>
      <c r="O1287" s="157" t="str">
        <f>IF($E1287="","",IF($C1287=12,IF($B1287&lt;Input!$C$9,Input!$C$54,IF($B1287=Input!$C$9,Input!$C$55,Input!$C$56)),0%))</f>
        <v/>
      </c>
      <c r="P1287" s="167" t="str">
        <f>IF($E1287="","",IF($B1287=1,Input!$C$59,IF($B1287&lt;6,Input!$C$60,0%)))</f>
        <v/>
      </c>
      <c r="Q1287" s="162" t="str">
        <f>IF($E1287="","",Input!$C$58)</f>
        <v/>
      </c>
      <c r="R1287" s="156" t="str">
        <f t="shared" si="426"/>
        <v/>
      </c>
      <c r="S1287" s="154" t="str">
        <f t="shared" si="417"/>
        <v/>
      </c>
      <c r="T1287" s="152"/>
      <c r="U1287" s="150" t="str">
        <f t="shared" si="427"/>
        <v/>
      </c>
      <c r="V1287" s="150" t="str">
        <f t="shared" si="428"/>
        <v/>
      </c>
      <c r="W1287" s="168" t="str">
        <f t="shared" si="429"/>
        <v/>
      </c>
      <c r="X1287" s="163" t="str">
        <f t="shared" si="418"/>
        <v/>
      </c>
      <c r="Y1287" s="152"/>
      <c r="Z1287" s="164" t="str">
        <f>IF(AND($C1286=12,$D1286=Input!$C$6),0,IF($E1287="","",V1287+Z1288/(1+L1287)*R1287))</f>
        <v/>
      </c>
      <c r="AA1287" s="164" t="str">
        <f>IF(OR($M1287=1,AND($C1286=12,$D1286=Input!$C$6)),0,IF($E1287="","",W1287+(X1287+AA1288*$R1287)/(1+$L1287)))</f>
        <v/>
      </c>
      <c r="AB1287" s="160" t="str">
        <f t="shared" si="419"/>
        <v/>
      </c>
      <c r="AC1287" s="164" t="str">
        <f t="shared" si="420"/>
        <v/>
      </c>
      <c r="AD1287" s="164" t="str">
        <f>IF(AND($C1286=12,$D1286=Input!$C$6),0,IF($E1287="","",$AC1287+AD1288/(1+$L1287)*$R1287))</f>
        <v/>
      </c>
      <c r="AE1287" s="152"/>
      <c r="AF1287" s="164" t="str">
        <f>IF(AND($C1286=12,$D1286=Input!$C$6),0,IF($E1287="","",IF($B1287&gt;Input!$C$9,$AC1287,0)+AF1288/(1+$L1287)*$R1287))</f>
        <v/>
      </c>
      <c r="AG1287" s="164" t="str">
        <f>IF(AND($C1286=12,$D1286=Input!$C$6),0,IF($E1287="","",(IF($B1287&gt;Input!$C$9,$X1287,0)+AG1288)/(1+$L1287)*$R1287))</f>
        <v/>
      </c>
      <c r="AH1287" s="160" t="str">
        <f t="shared" si="421"/>
        <v/>
      </c>
      <c r="AI1287" s="160" t="str">
        <f>IF($E1287="","",MIN(Input!$C$61/AH1287,1))</f>
        <v/>
      </c>
      <c r="AJ1287" s="152"/>
      <c r="AK1287" s="164" t="str">
        <f>IF(AND($C1286=12,$D1286=Input!$C$6),0,IF($E1287="","",IF($B1287&gt;Input!$C$9,$AC1287*AI1287,0)+AK1288/(1+$L1287)*$R1287))</f>
        <v/>
      </c>
      <c r="AL1287" s="164" t="str">
        <f>IF(AND($C1286=12,$D1286=Input!$C$6),0,IF($E1287="","",IF($B1287&gt;Input!$C$9,0,$AC1287)+AL1288/(1+$L1287)*$R1287))</f>
        <v/>
      </c>
      <c r="AM1287" s="160" t="str">
        <f t="shared" si="422"/>
        <v/>
      </c>
      <c r="AN1287" s="164" t="str">
        <f>IF($E1287="","",IF($B1287&gt;Input!$C$9,$AI1287*$AC1287,$AM1287*$AC1287))</f>
        <v/>
      </c>
      <c r="AO1287" s="164" t="str">
        <f>IF(AND($C1286=12,$D1286=Input!$C$6),0,IF($E1287="","",$AN1287+AO1288/(1+$L1287)*$R1287))</f>
        <v/>
      </c>
      <c r="AP1287" s="152"/>
      <c r="AQ1287" s="150" t="str">
        <f t="shared" si="423"/>
        <v/>
      </c>
      <c r="AR1287" s="150" t="str">
        <f t="shared" si="430"/>
        <v/>
      </c>
      <c r="AS1287" s="150" t="str">
        <f t="shared" si="431"/>
        <v/>
      </c>
      <c r="AT1287" s="150" t="str">
        <f t="shared" si="424"/>
        <v/>
      </c>
      <c r="AU1287" s="152"/>
      <c r="AV1287" s="147" t="str">
        <f>'Deterministic Reserve'!BC1287</f>
        <v/>
      </c>
      <c r="AY1287" s="152"/>
    </row>
    <row r="1288" spans="1:51" s="150" customFormat="1" x14ac:dyDescent="0.25">
      <c r="A1288" s="150" t="str">
        <f t="shared" si="432"/>
        <v/>
      </c>
      <c r="B1288" s="150" t="str">
        <f t="shared" si="433"/>
        <v/>
      </c>
      <c r="C1288" s="150" t="str">
        <f t="shared" si="434"/>
        <v/>
      </c>
      <c r="D1288" s="150" t="str">
        <f>IF(E1288="","",Input!$C$4+B1288-1)</f>
        <v/>
      </c>
      <c r="E1288" s="150" t="str">
        <f>IF(OR(AND(C1287=12,D1287=Input!$C$6),E1287=""),"",1)</f>
        <v/>
      </c>
      <c r="G1288" s="151" t="str">
        <f>IF(E1288="","",MAX(0,Input!$C$9-B1288))</f>
        <v/>
      </c>
      <c r="H1288" s="152" t="str">
        <f>IF(E1288="","",Input!$C$3)</f>
        <v/>
      </c>
      <c r="I1288" s="153" t="str">
        <f>IF(E1288="","",HLOOKUP($B1288,Input!$C$13:$BT$14,2))</f>
        <v/>
      </c>
      <c r="J1288" s="154"/>
      <c r="K1288" s="150" t="str">
        <f>IF($E1288="","",Input!$C$57)</f>
        <v/>
      </c>
      <c r="L1288" s="150" t="str">
        <f t="shared" si="425"/>
        <v/>
      </c>
      <c r="M1288" s="147" t="str">
        <f>IF($E1288="","",VLOOKUP(IF($B1288&lt;=Input!$C$7,$B1288,26),'Mortality Tables'!$A$72:$CA$97,IF($B1288&lt;=Input!$C$7+1,Input!$C$4-16,$D1288-Input!$C$7-16),0)/1000)</f>
        <v/>
      </c>
      <c r="N1288" s="147" t="str">
        <f t="shared" si="416"/>
        <v/>
      </c>
      <c r="O1288" s="157" t="str">
        <f>IF($E1288="","",IF($C1288=12,IF($B1288&lt;Input!$C$9,Input!$C$54,IF($B1288=Input!$C$9,Input!$C$55,Input!$C$56)),0%))</f>
        <v/>
      </c>
      <c r="P1288" s="167" t="str">
        <f>IF($E1288="","",IF($B1288=1,Input!$C$59,IF($B1288&lt;6,Input!$C$60,0%)))</f>
        <v/>
      </c>
      <c r="Q1288" s="162" t="str">
        <f>IF($E1288="","",Input!$C$58)</f>
        <v/>
      </c>
      <c r="R1288" s="156" t="str">
        <f t="shared" si="426"/>
        <v/>
      </c>
      <c r="S1288" s="154" t="str">
        <f t="shared" si="417"/>
        <v/>
      </c>
      <c r="T1288" s="152"/>
      <c r="U1288" s="150" t="str">
        <f t="shared" si="427"/>
        <v/>
      </c>
      <c r="V1288" s="150" t="str">
        <f t="shared" si="428"/>
        <v/>
      </c>
      <c r="W1288" s="168" t="str">
        <f t="shared" si="429"/>
        <v/>
      </c>
      <c r="X1288" s="163" t="str">
        <f t="shared" si="418"/>
        <v/>
      </c>
      <c r="Y1288" s="152"/>
      <c r="Z1288" s="164" t="str">
        <f>IF(AND($C1287=12,$D1287=Input!$C$6),0,IF($E1288="","",V1288+Z1289/(1+L1288)*R1288))</f>
        <v/>
      </c>
      <c r="AA1288" s="164" t="str">
        <f>IF(OR($M1288=1,AND($C1287=12,$D1287=Input!$C$6)),0,IF($E1288="","",W1288+(X1288+AA1289*$R1288)/(1+$L1288)))</f>
        <v/>
      </c>
      <c r="AB1288" s="160" t="str">
        <f t="shared" si="419"/>
        <v/>
      </c>
      <c r="AC1288" s="164" t="str">
        <f t="shared" si="420"/>
        <v/>
      </c>
      <c r="AD1288" s="164" t="str">
        <f>IF(AND($C1287=12,$D1287=Input!$C$6),0,IF($E1288="","",$AC1288+AD1289/(1+$L1288)*$R1288))</f>
        <v/>
      </c>
      <c r="AE1288" s="152"/>
      <c r="AF1288" s="164" t="str">
        <f>IF(AND($C1287=12,$D1287=Input!$C$6),0,IF($E1288="","",IF($B1288&gt;Input!$C$9,$AC1288,0)+AF1289/(1+$L1288)*$R1288))</f>
        <v/>
      </c>
      <c r="AG1288" s="164" t="str">
        <f>IF(AND($C1287=12,$D1287=Input!$C$6),0,IF($E1288="","",(IF($B1288&gt;Input!$C$9,$X1288,0)+AG1289)/(1+$L1288)*$R1288))</f>
        <v/>
      </c>
      <c r="AH1288" s="160" t="str">
        <f t="shared" si="421"/>
        <v/>
      </c>
      <c r="AI1288" s="160" t="str">
        <f>IF($E1288="","",MIN(Input!$C$61/AH1288,1))</f>
        <v/>
      </c>
      <c r="AJ1288" s="152"/>
      <c r="AK1288" s="164" t="str">
        <f>IF(AND($C1287=12,$D1287=Input!$C$6),0,IF($E1288="","",IF($B1288&gt;Input!$C$9,$AC1288*AI1288,0)+AK1289/(1+$L1288)*$R1288))</f>
        <v/>
      </c>
      <c r="AL1288" s="164" t="str">
        <f>IF(AND($C1287=12,$D1287=Input!$C$6),0,IF($E1288="","",IF($B1288&gt;Input!$C$9,0,$AC1288)+AL1289/(1+$L1288)*$R1288))</f>
        <v/>
      </c>
      <c r="AM1288" s="160" t="str">
        <f t="shared" si="422"/>
        <v/>
      </c>
      <c r="AN1288" s="164" t="str">
        <f>IF($E1288="","",IF($B1288&gt;Input!$C$9,$AI1288*$AC1288,$AM1288*$AC1288))</f>
        <v/>
      </c>
      <c r="AO1288" s="164" t="str">
        <f>IF(AND($C1287=12,$D1287=Input!$C$6),0,IF($E1288="","",$AN1288+AO1289/(1+$L1288)*$R1288))</f>
        <v/>
      </c>
      <c r="AP1288" s="152"/>
      <c r="AQ1288" s="150" t="str">
        <f t="shared" si="423"/>
        <v/>
      </c>
      <c r="AR1288" s="150" t="str">
        <f t="shared" si="430"/>
        <v/>
      </c>
      <c r="AS1288" s="150" t="str">
        <f t="shared" si="431"/>
        <v/>
      </c>
      <c r="AT1288" s="150" t="str">
        <f t="shared" si="424"/>
        <v/>
      </c>
      <c r="AU1288" s="152"/>
      <c r="AV1288" s="147" t="str">
        <f>'Deterministic Reserve'!BC1288</f>
        <v/>
      </c>
      <c r="AY1288" s="152"/>
    </row>
    <row r="1289" spans="1:51" s="150" customFormat="1" x14ac:dyDescent="0.25">
      <c r="A1289" s="150" t="str">
        <f t="shared" si="432"/>
        <v/>
      </c>
      <c r="B1289" s="150" t="str">
        <f t="shared" si="433"/>
        <v/>
      </c>
      <c r="C1289" s="150" t="str">
        <f t="shared" si="434"/>
        <v/>
      </c>
      <c r="D1289" s="150" t="str">
        <f>IF(E1289="","",Input!$C$4+B1289-1)</f>
        <v/>
      </c>
      <c r="E1289" s="150" t="str">
        <f>IF(OR(AND(C1288=12,D1288=Input!$C$6),E1288=""),"",1)</f>
        <v/>
      </c>
      <c r="G1289" s="151" t="str">
        <f>IF(E1289="","",MAX(0,Input!$C$9-B1289))</f>
        <v/>
      </c>
      <c r="H1289" s="152" t="str">
        <f>IF(E1289="","",Input!$C$3)</f>
        <v/>
      </c>
      <c r="I1289" s="153" t="str">
        <f>IF(E1289="","",HLOOKUP($B1289,Input!$C$13:$BT$14,2))</f>
        <v/>
      </c>
      <c r="J1289" s="154"/>
      <c r="K1289" s="150" t="str">
        <f>IF($E1289="","",Input!$C$57)</f>
        <v/>
      </c>
      <c r="L1289" s="150" t="str">
        <f t="shared" si="425"/>
        <v/>
      </c>
      <c r="M1289" s="147" t="str">
        <f>IF($E1289="","",VLOOKUP(IF($B1289&lt;=Input!$C$7,$B1289,26),'Mortality Tables'!$A$72:$CA$97,IF($B1289&lt;=Input!$C$7+1,Input!$C$4-16,$D1289-Input!$C$7-16),0)/1000)</f>
        <v/>
      </c>
      <c r="N1289" s="147" t="str">
        <f t="shared" si="416"/>
        <v/>
      </c>
      <c r="O1289" s="157" t="str">
        <f>IF($E1289="","",IF($C1289=12,IF($B1289&lt;Input!$C$9,Input!$C$54,IF($B1289=Input!$C$9,Input!$C$55,Input!$C$56)),0%))</f>
        <v/>
      </c>
      <c r="P1289" s="167" t="str">
        <f>IF($E1289="","",IF($B1289=1,Input!$C$59,IF($B1289&lt;6,Input!$C$60,0%)))</f>
        <v/>
      </c>
      <c r="Q1289" s="162" t="str">
        <f>IF($E1289="","",Input!$C$58)</f>
        <v/>
      </c>
      <c r="R1289" s="156" t="str">
        <f t="shared" si="426"/>
        <v/>
      </c>
      <c r="S1289" s="154" t="str">
        <f t="shared" si="417"/>
        <v/>
      </c>
      <c r="T1289" s="152"/>
      <c r="U1289" s="150" t="str">
        <f t="shared" si="427"/>
        <v/>
      </c>
      <c r="V1289" s="150" t="str">
        <f t="shared" si="428"/>
        <v/>
      </c>
      <c r="W1289" s="168" t="str">
        <f t="shared" si="429"/>
        <v/>
      </c>
      <c r="X1289" s="163" t="str">
        <f t="shared" si="418"/>
        <v/>
      </c>
      <c r="Y1289" s="152"/>
      <c r="Z1289" s="164" t="str">
        <f>IF(AND($C1288=12,$D1288=Input!$C$6),0,IF($E1289="","",V1289+Z1290/(1+L1289)*R1289))</f>
        <v/>
      </c>
      <c r="AA1289" s="164" t="str">
        <f>IF(OR($M1289=1,AND($C1288=12,$D1288=Input!$C$6)),0,IF($E1289="","",W1289+(X1289+AA1290*$R1289)/(1+$L1289)))</f>
        <v/>
      </c>
      <c r="AB1289" s="160" t="str">
        <f t="shared" si="419"/>
        <v/>
      </c>
      <c r="AC1289" s="164" t="str">
        <f t="shared" si="420"/>
        <v/>
      </c>
      <c r="AD1289" s="164" t="str">
        <f>IF(AND($C1288=12,$D1288=Input!$C$6),0,IF($E1289="","",$AC1289+AD1290/(1+$L1289)*$R1289))</f>
        <v/>
      </c>
      <c r="AE1289" s="152"/>
      <c r="AF1289" s="164" t="str">
        <f>IF(AND($C1288=12,$D1288=Input!$C$6),0,IF($E1289="","",IF($B1289&gt;Input!$C$9,$AC1289,0)+AF1290/(1+$L1289)*$R1289))</f>
        <v/>
      </c>
      <c r="AG1289" s="164" t="str">
        <f>IF(AND($C1288=12,$D1288=Input!$C$6),0,IF($E1289="","",(IF($B1289&gt;Input!$C$9,$X1289,0)+AG1290)/(1+$L1289)*$R1289))</f>
        <v/>
      </c>
      <c r="AH1289" s="160" t="str">
        <f t="shared" si="421"/>
        <v/>
      </c>
      <c r="AI1289" s="160" t="str">
        <f>IF($E1289="","",MIN(Input!$C$61/AH1289,1))</f>
        <v/>
      </c>
      <c r="AJ1289" s="152"/>
      <c r="AK1289" s="164" t="str">
        <f>IF(AND($C1288=12,$D1288=Input!$C$6),0,IF($E1289="","",IF($B1289&gt;Input!$C$9,$AC1289*AI1289,0)+AK1290/(1+$L1289)*$R1289))</f>
        <v/>
      </c>
      <c r="AL1289" s="164" t="str">
        <f>IF(AND($C1288=12,$D1288=Input!$C$6),0,IF($E1289="","",IF($B1289&gt;Input!$C$9,0,$AC1289)+AL1290/(1+$L1289)*$R1289))</f>
        <v/>
      </c>
      <c r="AM1289" s="160" t="str">
        <f t="shared" si="422"/>
        <v/>
      </c>
      <c r="AN1289" s="164" t="str">
        <f>IF($E1289="","",IF($B1289&gt;Input!$C$9,$AI1289*$AC1289,$AM1289*$AC1289))</f>
        <v/>
      </c>
      <c r="AO1289" s="164" t="str">
        <f>IF(AND($C1288=12,$D1288=Input!$C$6),0,IF($E1289="","",$AN1289+AO1290/(1+$L1289)*$R1289))</f>
        <v/>
      </c>
      <c r="AP1289" s="152"/>
      <c r="AQ1289" s="150" t="str">
        <f t="shared" si="423"/>
        <v/>
      </c>
      <c r="AR1289" s="150" t="str">
        <f t="shared" si="430"/>
        <v/>
      </c>
      <c r="AS1289" s="150" t="str">
        <f t="shared" si="431"/>
        <v/>
      </c>
      <c r="AT1289" s="150" t="str">
        <f t="shared" si="424"/>
        <v/>
      </c>
      <c r="AU1289" s="152"/>
      <c r="AV1289" s="147" t="str">
        <f>'Deterministic Reserve'!BC1289</f>
        <v/>
      </c>
      <c r="AY1289" s="152"/>
    </row>
    <row r="1290" spans="1:51" s="150" customFormat="1" x14ac:dyDescent="0.25">
      <c r="A1290" s="150" t="str">
        <f t="shared" si="432"/>
        <v/>
      </c>
      <c r="B1290" s="150" t="str">
        <f t="shared" si="433"/>
        <v/>
      </c>
      <c r="C1290" s="150" t="str">
        <f t="shared" si="434"/>
        <v/>
      </c>
      <c r="D1290" s="150" t="str">
        <f>IF(E1290="","",Input!$C$4+B1290-1)</f>
        <v/>
      </c>
      <c r="E1290" s="150" t="str">
        <f>IF(OR(AND(C1289=12,D1289=Input!$C$6),E1289=""),"",1)</f>
        <v/>
      </c>
      <c r="G1290" s="151" t="str">
        <f>IF(E1290="","",MAX(0,Input!$C$9-B1290))</f>
        <v/>
      </c>
      <c r="H1290" s="152" t="str">
        <f>IF(E1290="","",Input!$C$3)</f>
        <v/>
      </c>
      <c r="I1290" s="153" t="str">
        <f>IF(E1290="","",HLOOKUP($B1290,Input!$C$13:$BT$14,2))</f>
        <v/>
      </c>
      <c r="J1290" s="154"/>
      <c r="K1290" s="150" t="str">
        <f>IF($E1290="","",Input!$C$57)</f>
        <v/>
      </c>
      <c r="L1290" s="150" t="str">
        <f t="shared" si="425"/>
        <v/>
      </c>
      <c r="M1290" s="147" t="str">
        <f>IF($E1290="","",VLOOKUP(IF($B1290&lt;=Input!$C$7,$B1290,26),'Mortality Tables'!$A$72:$CA$97,IF($B1290&lt;=Input!$C$7+1,Input!$C$4-16,$D1290-Input!$C$7-16),0)/1000)</f>
        <v/>
      </c>
      <c r="N1290" s="147" t="str">
        <f t="shared" si="416"/>
        <v/>
      </c>
      <c r="O1290" s="157" t="str">
        <f>IF($E1290="","",IF($C1290=12,IF($B1290&lt;Input!$C$9,Input!$C$54,IF($B1290=Input!$C$9,Input!$C$55,Input!$C$56)),0%))</f>
        <v/>
      </c>
      <c r="P1290" s="167" t="str">
        <f>IF($E1290="","",IF($B1290=1,Input!$C$59,IF($B1290&lt;6,Input!$C$60,0%)))</f>
        <v/>
      </c>
      <c r="Q1290" s="162" t="str">
        <f>IF($E1290="","",Input!$C$58)</f>
        <v/>
      </c>
      <c r="R1290" s="156" t="str">
        <f t="shared" si="426"/>
        <v/>
      </c>
      <c r="S1290" s="154" t="str">
        <f t="shared" si="417"/>
        <v/>
      </c>
      <c r="T1290" s="152"/>
      <c r="U1290" s="150" t="str">
        <f t="shared" si="427"/>
        <v/>
      </c>
      <c r="V1290" s="150" t="str">
        <f t="shared" si="428"/>
        <v/>
      </c>
      <c r="W1290" s="168" t="str">
        <f t="shared" si="429"/>
        <v/>
      </c>
      <c r="X1290" s="163" t="str">
        <f t="shared" si="418"/>
        <v/>
      </c>
      <c r="Y1290" s="152"/>
      <c r="Z1290" s="164" t="str">
        <f>IF(AND($C1289=12,$D1289=Input!$C$6),0,IF($E1290="","",V1290+Z1291/(1+L1290)*R1290))</f>
        <v/>
      </c>
      <c r="AA1290" s="164" t="str">
        <f>IF(OR($M1290=1,AND($C1289=12,$D1289=Input!$C$6)),0,IF($E1290="","",W1290+(X1290+AA1291*$R1290)/(1+$L1290)))</f>
        <v/>
      </c>
      <c r="AB1290" s="160" t="str">
        <f t="shared" si="419"/>
        <v/>
      </c>
      <c r="AC1290" s="164" t="str">
        <f t="shared" si="420"/>
        <v/>
      </c>
      <c r="AD1290" s="164" t="str">
        <f>IF(AND($C1289=12,$D1289=Input!$C$6),0,IF($E1290="","",$AC1290+AD1291/(1+$L1290)*$R1290))</f>
        <v/>
      </c>
      <c r="AE1290" s="152"/>
      <c r="AF1290" s="164" t="str">
        <f>IF(AND($C1289=12,$D1289=Input!$C$6),0,IF($E1290="","",IF($B1290&gt;Input!$C$9,$AC1290,0)+AF1291/(1+$L1290)*$R1290))</f>
        <v/>
      </c>
      <c r="AG1290" s="164" t="str">
        <f>IF(AND($C1289=12,$D1289=Input!$C$6),0,IF($E1290="","",(IF($B1290&gt;Input!$C$9,$X1290,0)+AG1291)/(1+$L1290)*$R1290))</f>
        <v/>
      </c>
      <c r="AH1290" s="160" t="str">
        <f t="shared" si="421"/>
        <v/>
      </c>
      <c r="AI1290" s="160" t="str">
        <f>IF($E1290="","",MIN(Input!$C$61/AH1290,1))</f>
        <v/>
      </c>
      <c r="AJ1290" s="152"/>
      <c r="AK1290" s="164" t="str">
        <f>IF(AND($C1289=12,$D1289=Input!$C$6),0,IF($E1290="","",IF($B1290&gt;Input!$C$9,$AC1290*AI1290,0)+AK1291/(1+$L1290)*$R1290))</f>
        <v/>
      </c>
      <c r="AL1290" s="164" t="str">
        <f>IF(AND($C1289=12,$D1289=Input!$C$6),0,IF($E1290="","",IF($B1290&gt;Input!$C$9,0,$AC1290)+AL1291/(1+$L1290)*$R1290))</f>
        <v/>
      </c>
      <c r="AM1290" s="160" t="str">
        <f t="shared" si="422"/>
        <v/>
      </c>
      <c r="AN1290" s="164" t="str">
        <f>IF($E1290="","",IF($B1290&gt;Input!$C$9,$AI1290*$AC1290,$AM1290*$AC1290))</f>
        <v/>
      </c>
      <c r="AO1290" s="164" t="str">
        <f>IF(AND($C1289=12,$D1289=Input!$C$6),0,IF($E1290="","",$AN1290+AO1291/(1+$L1290)*$R1290))</f>
        <v/>
      </c>
      <c r="AP1290" s="152"/>
      <c r="AQ1290" s="150" t="str">
        <f t="shared" si="423"/>
        <v/>
      </c>
      <c r="AR1290" s="150" t="str">
        <f t="shared" si="430"/>
        <v/>
      </c>
      <c r="AS1290" s="150" t="str">
        <f t="shared" si="431"/>
        <v/>
      </c>
      <c r="AT1290" s="150" t="str">
        <f t="shared" si="424"/>
        <v/>
      </c>
      <c r="AU1290" s="152"/>
      <c r="AV1290" s="147" t="str">
        <f>'Deterministic Reserve'!BC1290</f>
        <v/>
      </c>
      <c r="AY1290" s="152"/>
    </row>
    <row r="1291" spans="1:51" s="150" customFormat="1" x14ac:dyDescent="0.25">
      <c r="A1291" s="150" t="str">
        <f t="shared" si="432"/>
        <v/>
      </c>
      <c r="B1291" s="150" t="str">
        <f t="shared" si="433"/>
        <v/>
      </c>
      <c r="C1291" s="150" t="str">
        <f t="shared" si="434"/>
        <v/>
      </c>
      <c r="D1291" s="150" t="str">
        <f>IF(E1291="","",Input!$C$4+B1291-1)</f>
        <v/>
      </c>
      <c r="E1291" s="150" t="str">
        <f>IF(OR(AND(C1290=12,D1290=Input!$C$6),E1290=""),"",1)</f>
        <v/>
      </c>
      <c r="G1291" s="151" t="str">
        <f>IF(E1291="","",MAX(0,Input!$C$9-B1291))</f>
        <v/>
      </c>
      <c r="H1291" s="152" t="str">
        <f>IF(E1291="","",Input!$C$3)</f>
        <v/>
      </c>
      <c r="I1291" s="153" t="str">
        <f>IF(E1291="","",HLOOKUP($B1291,Input!$C$13:$BT$14,2))</f>
        <v/>
      </c>
      <c r="J1291" s="154"/>
      <c r="K1291" s="150" t="str">
        <f>IF($E1291="","",Input!$C$57)</f>
        <v/>
      </c>
      <c r="L1291" s="150" t="str">
        <f t="shared" si="425"/>
        <v/>
      </c>
      <c r="M1291" s="147" t="str">
        <f>IF($E1291="","",VLOOKUP(IF($B1291&lt;=Input!$C$7,$B1291,26),'Mortality Tables'!$A$72:$CA$97,IF($B1291&lt;=Input!$C$7+1,Input!$C$4-16,$D1291-Input!$C$7-16),0)/1000)</f>
        <v/>
      </c>
      <c r="N1291" s="147" t="str">
        <f t="shared" si="416"/>
        <v/>
      </c>
      <c r="O1291" s="157" t="str">
        <f>IF($E1291="","",IF($C1291=12,IF($B1291&lt;Input!$C$9,Input!$C$54,IF($B1291=Input!$C$9,Input!$C$55,Input!$C$56)),0%))</f>
        <v/>
      </c>
      <c r="P1291" s="167" t="str">
        <f>IF($E1291="","",IF($B1291=1,Input!$C$59,IF($B1291&lt;6,Input!$C$60,0%)))</f>
        <v/>
      </c>
      <c r="Q1291" s="162" t="str">
        <f>IF($E1291="","",Input!$C$58)</f>
        <v/>
      </c>
      <c r="R1291" s="156" t="str">
        <f t="shared" si="426"/>
        <v/>
      </c>
      <c r="S1291" s="154" t="str">
        <f t="shared" si="417"/>
        <v/>
      </c>
      <c r="T1291" s="152"/>
      <c r="U1291" s="150" t="str">
        <f t="shared" si="427"/>
        <v/>
      </c>
      <c r="V1291" s="150" t="str">
        <f t="shared" si="428"/>
        <v/>
      </c>
      <c r="W1291" s="168" t="str">
        <f t="shared" si="429"/>
        <v/>
      </c>
      <c r="X1291" s="163" t="str">
        <f t="shared" si="418"/>
        <v/>
      </c>
      <c r="Y1291" s="152"/>
      <c r="Z1291" s="164" t="str">
        <f>IF(AND($C1290=12,$D1290=Input!$C$6),0,IF($E1291="","",V1291+Z1292/(1+L1291)*R1291))</f>
        <v/>
      </c>
      <c r="AA1291" s="164" t="str">
        <f>IF(OR($M1291=1,AND($C1290=12,$D1290=Input!$C$6)),0,IF($E1291="","",W1291+(X1291+AA1292*$R1291)/(1+$L1291)))</f>
        <v/>
      </c>
      <c r="AB1291" s="160" t="str">
        <f t="shared" si="419"/>
        <v/>
      </c>
      <c r="AC1291" s="164" t="str">
        <f t="shared" si="420"/>
        <v/>
      </c>
      <c r="AD1291" s="164" t="str">
        <f>IF(AND($C1290=12,$D1290=Input!$C$6),0,IF($E1291="","",$AC1291+AD1292/(1+$L1291)*$R1291))</f>
        <v/>
      </c>
      <c r="AE1291" s="152"/>
      <c r="AF1291" s="164" t="str">
        <f>IF(AND($C1290=12,$D1290=Input!$C$6),0,IF($E1291="","",IF($B1291&gt;Input!$C$9,$AC1291,0)+AF1292/(1+$L1291)*$R1291))</f>
        <v/>
      </c>
      <c r="AG1291" s="164" t="str">
        <f>IF(AND($C1290=12,$D1290=Input!$C$6),0,IF($E1291="","",(IF($B1291&gt;Input!$C$9,$X1291,0)+AG1292)/(1+$L1291)*$R1291))</f>
        <v/>
      </c>
      <c r="AH1291" s="160" t="str">
        <f t="shared" si="421"/>
        <v/>
      </c>
      <c r="AI1291" s="160" t="str">
        <f>IF($E1291="","",MIN(Input!$C$61/AH1291,1))</f>
        <v/>
      </c>
      <c r="AJ1291" s="152"/>
      <c r="AK1291" s="164" t="str">
        <f>IF(AND($C1290=12,$D1290=Input!$C$6),0,IF($E1291="","",IF($B1291&gt;Input!$C$9,$AC1291*AI1291,0)+AK1292/(1+$L1291)*$R1291))</f>
        <v/>
      </c>
      <c r="AL1291" s="164" t="str">
        <f>IF(AND($C1290=12,$D1290=Input!$C$6),0,IF($E1291="","",IF($B1291&gt;Input!$C$9,0,$AC1291)+AL1292/(1+$L1291)*$R1291))</f>
        <v/>
      </c>
      <c r="AM1291" s="160" t="str">
        <f t="shared" si="422"/>
        <v/>
      </c>
      <c r="AN1291" s="164" t="str">
        <f>IF($E1291="","",IF($B1291&gt;Input!$C$9,$AI1291*$AC1291,$AM1291*$AC1291))</f>
        <v/>
      </c>
      <c r="AO1291" s="164" t="str">
        <f>IF(AND($C1290=12,$D1290=Input!$C$6),0,IF($E1291="","",$AN1291+AO1292/(1+$L1291)*$R1291))</f>
        <v/>
      </c>
      <c r="AP1291" s="152"/>
      <c r="AQ1291" s="150" t="str">
        <f t="shared" si="423"/>
        <v/>
      </c>
      <c r="AR1291" s="150" t="str">
        <f t="shared" si="430"/>
        <v/>
      </c>
      <c r="AS1291" s="150" t="str">
        <f t="shared" si="431"/>
        <v/>
      </c>
      <c r="AT1291" s="150" t="str">
        <f t="shared" si="424"/>
        <v/>
      </c>
      <c r="AU1291" s="152"/>
      <c r="AV1291" s="147" t="str">
        <f>'Deterministic Reserve'!BC1291</f>
        <v/>
      </c>
      <c r="AY1291" s="152"/>
    </row>
    <row r="1292" spans="1:51" s="150" customFormat="1" x14ac:dyDescent="0.25">
      <c r="A1292" s="150" t="str">
        <f t="shared" si="432"/>
        <v/>
      </c>
      <c r="B1292" s="150" t="str">
        <f t="shared" si="433"/>
        <v/>
      </c>
      <c r="C1292" s="150" t="str">
        <f t="shared" si="434"/>
        <v/>
      </c>
      <c r="D1292" s="150" t="str">
        <f>IF(E1292="","",Input!$C$4+B1292-1)</f>
        <v/>
      </c>
      <c r="E1292" s="150" t="str">
        <f>IF(OR(AND(C1291=12,D1291=Input!$C$6),E1291=""),"",1)</f>
        <v/>
      </c>
      <c r="G1292" s="151" t="str">
        <f>IF(E1292="","",MAX(0,Input!$C$9-B1292))</f>
        <v/>
      </c>
      <c r="H1292" s="152" t="str">
        <f>IF(E1292="","",Input!$C$3)</f>
        <v/>
      </c>
      <c r="I1292" s="153" t="str">
        <f>IF(E1292="","",HLOOKUP($B1292,Input!$C$13:$BT$14,2))</f>
        <v/>
      </c>
      <c r="J1292" s="154"/>
      <c r="K1292" s="150" t="str">
        <f>IF($E1292="","",Input!$C$57)</f>
        <v/>
      </c>
      <c r="L1292" s="150" t="str">
        <f t="shared" si="425"/>
        <v/>
      </c>
      <c r="M1292" s="147" t="str">
        <f>IF($E1292="","",VLOOKUP(IF($B1292&lt;=Input!$C$7,$B1292,26),'Mortality Tables'!$A$72:$CA$97,IF($B1292&lt;=Input!$C$7+1,Input!$C$4-16,$D1292-Input!$C$7-16),0)/1000)</f>
        <v/>
      </c>
      <c r="N1292" s="147" t="str">
        <f t="shared" si="416"/>
        <v/>
      </c>
      <c r="O1292" s="157" t="str">
        <f>IF($E1292="","",IF($C1292=12,IF($B1292&lt;Input!$C$9,Input!$C$54,IF($B1292=Input!$C$9,Input!$C$55,Input!$C$56)),0%))</f>
        <v/>
      </c>
      <c r="P1292" s="167" t="str">
        <f>IF($E1292="","",IF($B1292=1,Input!$C$59,IF($B1292&lt;6,Input!$C$60,0%)))</f>
        <v/>
      </c>
      <c r="Q1292" s="162" t="str">
        <f>IF($E1292="","",Input!$C$58)</f>
        <v/>
      </c>
      <c r="R1292" s="156" t="str">
        <f t="shared" si="426"/>
        <v/>
      </c>
      <c r="S1292" s="154" t="str">
        <f t="shared" si="417"/>
        <v/>
      </c>
      <c r="T1292" s="152"/>
      <c r="U1292" s="150" t="str">
        <f t="shared" si="427"/>
        <v/>
      </c>
      <c r="V1292" s="150" t="str">
        <f t="shared" si="428"/>
        <v/>
      </c>
      <c r="W1292" s="168" t="str">
        <f t="shared" si="429"/>
        <v/>
      </c>
      <c r="X1292" s="163" t="str">
        <f t="shared" si="418"/>
        <v/>
      </c>
      <c r="Y1292" s="152"/>
      <c r="Z1292" s="164" t="str">
        <f>IF(AND($C1291=12,$D1291=Input!$C$6),0,IF($E1292="","",V1292+Z1293/(1+L1292)*R1292))</f>
        <v/>
      </c>
      <c r="AA1292" s="164" t="str">
        <f>IF(OR($M1292=1,AND($C1291=12,$D1291=Input!$C$6)),0,IF($E1292="","",W1292+(X1292+AA1293*$R1292)/(1+$L1292)))</f>
        <v/>
      </c>
      <c r="AB1292" s="160" t="str">
        <f t="shared" si="419"/>
        <v/>
      </c>
      <c r="AC1292" s="164" t="str">
        <f t="shared" si="420"/>
        <v/>
      </c>
      <c r="AD1292" s="164" t="str">
        <f>IF(AND($C1291=12,$D1291=Input!$C$6),0,IF($E1292="","",$AC1292+AD1293/(1+$L1292)*$R1292))</f>
        <v/>
      </c>
      <c r="AE1292" s="152"/>
      <c r="AF1292" s="164" t="str">
        <f>IF(AND($C1291=12,$D1291=Input!$C$6),0,IF($E1292="","",IF($B1292&gt;Input!$C$9,$AC1292,0)+AF1293/(1+$L1292)*$R1292))</f>
        <v/>
      </c>
      <c r="AG1292" s="164" t="str">
        <f>IF(AND($C1291=12,$D1291=Input!$C$6),0,IF($E1292="","",(IF($B1292&gt;Input!$C$9,$X1292,0)+AG1293)/(1+$L1292)*$R1292))</f>
        <v/>
      </c>
      <c r="AH1292" s="160" t="str">
        <f t="shared" si="421"/>
        <v/>
      </c>
      <c r="AI1292" s="160" t="str">
        <f>IF($E1292="","",MIN(Input!$C$61/AH1292,1))</f>
        <v/>
      </c>
      <c r="AJ1292" s="152"/>
      <c r="AK1292" s="164" t="str">
        <f>IF(AND($C1291=12,$D1291=Input!$C$6),0,IF($E1292="","",IF($B1292&gt;Input!$C$9,$AC1292*AI1292,0)+AK1293/(1+$L1292)*$R1292))</f>
        <v/>
      </c>
      <c r="AL1292" s="164" t="str">
        <f>IF(AND($C1291=12,$D1291=Input!$C$6),0,IF($E1292="","",IF($B1292&gt;Input!$C$9,0,$AC1292)+AL1293/(1+$L1292)*$R1292))</f>
        <v/>
      </c>
      <c r="AM1292" s="160" t="str">
        <f t="shared" si="422"/>
        <v/>
      </c>
      <c r="AN1292" s="164" t="str">
        <f>IF($E1292="","",IF($B1292&gt;Input!$C$9,$AI1292*$AC1292,$AM1292*$AC1292))</f>
        <v/>
      </c>
      <c r="AO1292" s="164" t="str">
        <f>IF(AND($C1291=12,$D1291=Input!$C$6),0,IF($E1292="","",$AN1292+AO1293/(1+$L1292)*$R1292))</f>
        <v/>
      </c>
      <c r="AP1292" s="152"/>
      <c r="AQ1292" s="150" t="str">
        <f t="shared" si="423"/>
        <v/>
      </c>
      <c r="AR1292" s="150" t="str">
        <f t="shared" si="430"/>
        <v/>
      </c>
      <c r="AS1292" s="150" t="str">
        <f t="shared" si="431"/>
        <v/>
      </c>
      <c r="AT1292" s="150" t="str">
        <f t="shared" si="424"/>
        <v/>
      </c>
      <c r="AU1292" s="152"/>
      <c r="AV1292" s="147" t="str">
        <f>'Deterministic Reserve'!BC1292</f>
        <v/>
      </c>
      <c r="AY1292" s="152"/>
    </row>
    <row r="1293" spans="1:51" s="150" customFormat="1" x14ac:dyDescent="0.25">
      <c r="A1293" s="150" t="str">
        <f t="shared" si="432"/>
        <v/>
      </c>
      <c r="B1293" s="150" t="str">
        <f t="shared" si="433"/>
        <v/>
      </c>
      <c r="C1293" s="150" t="str">
        <f t="shared" si="434"/>
        <v/>
      </c>
      <c r="D1293" s="150" t="str">
        <f>IF(E1293="","",Input!$C$4+B1293-1)</f>
        <v/>
      </c>
      <c r="E1293" s="150" t="str">
        <f>IF(OR(AND(C1292=12,D1292=Input!$C$6),E1292=""),"",1)</f>
        <v/>
      </c>
      <c r="G1293" s="151" t="str">
        <f>IF(E1293="","",MAX(0,Input!$C$9-B1293))</f>
        <v/>
      </c>
      <c r="H1293" s="152" t="str">
        <f>IF(E1293="","",Input!$C$3)</f>
        <v/>
      </c>
      <c r="I1293" s="153" t="str">
        <f>IF(E1293="","",HLOOKUP($B1293,Input!$C$13:$BT$14,2))</f>
        <v/>
      </c>
      <c r="J1293" s="154"/>
      <c r="K1293" s="150" t="str">
        <f>IF($E1293="","",Input!$C$57)</f>
        <v/>
      </c>
      <c r="L1293" s="150" t="str">
        <f t="shared" si="425"/>
        <v/>
      </c>
      <c r="M1293" s="147" t="str">
        <f>IF($E1293="","",VLOOKUP(IF($B1293&lt;=Input!$C$7,$B1293,26),'Mortality Tables'!$A$72:$CA$97,IF($B1293&lt;=Input!$C$7+1,Input!$C$4-16,$D1293-Input!$C$7-16),0)/1000)</f>
        <v/>
      </c>
      <c r="N1293" s="147" t="str">
        <f t="shared" si="416"/>
        <v/>
      </c>
      <c r="O1293" s="157" t="str">
        <f>IF($E1293="","",IF($C1293=12,IF($B1293&lt;Input!$C$9,Input!$C$54,IF($B1293=Input!$C$9,Input!$C$55,Input!$C$56)),0%))</f>
        <v/>
      </c>
      <c r="P1293" s="167" t="str">
        <f>IF($E1293="","",IF($B1293=1,Input!$C$59,IF($B1293&lt;6,Input!$C$60,0%)))</f>
        <v/>
      </c>
      <c r="Q1293" s="162" t="str">
        <f>IF($E1293="","",Input!$C$58)</f>
        <v/>
      </c>
      <c r="R1293" s="156" t="str">
        <f t="shared" si="426"/>
        <v/>
      </c>
      <c r="S1293" s="154" t="str">
        <f t="shared" si="417"/>
        <v/>
      </c>
      <c r="T1293" s="152"/>
      <c r="U1293" s="150" t="str">
        <f t="shared" si="427"/>
        <v/>
      </c>
      <c r="V1293" s="150" t="str">
        <f t="shared" si="428"/>
        <v/>
      </c>
      <c r="W1293" s="168" t="str">
        <f t="shared" si="429"/>
        <v/>
      </c>
      <c r="X1293" s="163" t="str">
        <f t="shared" si="418"/>
        <v/>
      </c>
      <c r="Y1293" s="152"/>
      <c r="Z1293" s="164" t="str">
        <f>IF(AND($C1292=12,$D1292=Input!$C$6),0,IF($E1293="","",V1293+Z1294/(1+L1293)*R1293))</f>
        <v/>
      </c>
      <c r="AA1293" s="164" t="str">
        <f>IF(OR($M1293=1,AND($C1292=12,$D1292=Input!$C$6)),0,IF($E1293="","",W1293+(X1293+AA1294*$R1293)/(1+$L1293)))</f>
        <v/>
      </c>
      <c r="AB1293" s="160" t="str">
        <f t="shared" si="419"/>
        <v/>
      </c>
      <c r="AC1293" s="164" t="str">
        <f t="shared" si="420"/>
        <v/>
      </c>
      <c r="AD1293" s="164" t="str">
        <f>IF(AND($C1292=12,$D1292=Input!$C$6),0,IF($E1293="","",$AC1293+AD1294/(1+$L1293)*$R1293))</f>
        <v/>
      </c>
      <c r="AE1293" s="152"/>
      <c r="AF1293" s="164" t="str">
        <f>IF(AND($C1292=12,$D1292=Input!$C$6),0,IF($E1293="","",IF($B1293&gt;Input!$C$9,$AC1293,0)+AF1294/(1+$L1293)*$R1293))</f>
        <v/>
      </c>
      <c r="AG1293" s="164" t="str">
        <f>IF(AND($C1292=12,$D1292=Input!$C$6),0,IF($E1293="","",(IF($B1293&gt;Input!$C$9,$X1293,0)+AG1294)/(1+$L1293)*$R1293))</f>
        <v/>
      </c>
      <c r="AH1293" s="160" t="str">
        <f t="shared" si="421"/>
        <v/>
      </c>
      <c r="AI1293" s="160" t="str">
        <f>IF($E1293="","",MIN(Input!$C$61/AH1293,1))</f>
        <v/>
      </c>
      <c r="AJ1293" s="152"/>
      <c r="AK1293" s="164" t="str">
        <f>IF(AND($C1292=12,$D1292=Input!$C$6),0,IF($E1293="","",IF($B1293&gt;Input!$C$9,$AC1293*AI1293,0)+AK1294/(1+$L1293)*$R1293))</f>
        <v/>
      </c>
      <c r="AL1293" s="164" t="str">
        <f>IF(AND($C1292=12,$D1292=Input!$C$6),0,IF($E1293="","",IF($B1293&gt;Input!$C$9,0,$AC1293)+AL1294/(1+$L1293)*$R1293))</f>
        <v/>
      </c>
      <c r="AM1293" s="160" t="str">
        <f t="shared" si="422"/>
        <v/>
      </c>
      <c r="AN1293" s="164" t="str">
        <f>IF($E1293="","",IF($B1293&gt;Input!$C$9,$AI1293*$AC1293,$AM1293*$AC1293))</f>
        <v/>
      </c>
      <c r="AO1293" s="164" t="str">
        <f>IF(AND($C1292=12,$D1292=Input!$C$6),0,IF($E1293="","",$AN1293+AO1294/(1+$L1293)*$R1293))</f>
        <v/>
      </c>
      <c r="AP1293" s="152"/>
      <c r="AQ1293" s="150" t="str">
        <f t="shared" si="423"/>
        <v/>
      </c>
      <c r="AR1293" s="150" t="str">
        <f t="shared" si="430"/>
        <v/>
      </c>
      <c r="AS1293" s="150" t="str">
        <f t="shared" si="431"/>
        <v/>
      </c>
      <c r="AT1293" s="150" t="str">
        <f t="shared" si="424"/>
        <v/>
      </c>
      <c r="AU1293" s="152"/>
      <c r="AV1293" s="147" t="str">
        <f>'Deterministic Reserve'!BC1293</f>
        <v/>
      </c>
      <c r="AY1293" s="152"/>
    </row>
    <row r="1294" spans="1:51" s="150" customFormat="1" x14ac:dyDescent="0.25">
      <c r="A1294" s="150" t="str">
        <f t="shared" si="432"/>
        <v/>
      </c>
      <c r="B1294" s="150" t="str">
        <f t="shared" si="433"/>
        <v/>
      </c>
      <c r="C1294" s="150" t="str">
        <f t="shared" si="434"/>
        <v/>
      </c>
      <c r="D1294" s="150" t="str">
        <f>IF(E1294="","",Input!$C$4+B1294-1)</f>
        <v/>
      </c>
      <c r="E1294" s="150" t="str">
        <f>IF(OR(AND(C1293=12,D1293=Input!$C$6),E1293=""),"",1)</f>
        <v/>
      </c>
      <c r="G1294" s="151" t="str">
        <f>IF(E1294="","",MAX(0,Input!$C$9-B1294))</f>
        <v/>
      </c>
      <c r="H1294" s="152" t="str">
        <f>IF(E1294="","",Input!$C$3)</f>
        <v/>
      </c>
      <c r="I1294" s="153" t="str">
        <f>IF(E1294="","",HLOOKUP($B1294,Input!$C$13:$BT$14,2))</f>
        <v/>
      </c>
      <c r="J1294" s="154"/>
      <c r="K1294" s="150" t="str">
        <f>IF($E1294="","",Input!$C$57)</f>
        <v/>
      </c>
      <c r="L1294" s="150" t="str">
        <f t="shared" si="425"/>
        <v/>
      </c>
      <c r="M1294" s="147" t="str">
        <f>IF($E1294="","",VLOOKUP(IF($B1294&lt;=Input!$C$7,$B1294,26),'Mortality Tables'!$A$72:$CA$97,IF($B1294&lt;=Input!$C$7+1,Input!$C$4-16,$D1294-Input!$C$7-16),0)/1000)</f>
        <v/>
      </c>
      <c r="N1294" s="147" t="str">
        <f t="shared" si="416"/>
        <v/>
      </c>
      <c r="O1294" s="157" t="str">
        <f>IF($E1294="","",IF($C1294=12,IF($B1294&lt;Input!$C$9,Input!$C$54,IF($B1294=Input!$C$9,Input!$C$55,Input!$C$56)),0%))</f>
        <v/>
      </c>
      <c r="P1294" s="167" t="str">
        <f>IF($E1294="","",IF($B1294=1,Input!$C$59,IF($B1294&lt;6,Input!$C$60,0%)))</f>
        <v/>
      </c>
      <c r="Q1294" s="162" t="str">
        <f>IF($E1294="","",Input!$C$58)</f>
        <v/>
      </c>
      <c r="R1294" s="156" t="str">
        <f t="shared" si="426"/>
        <v/>
      </c>
      <c r="S1294" s="154" t="str">
        <f t="shared" si="417"/>
        <v/>
      </c>
      <c r="T1294" s="152"/>
      <c r="U1294" s="150" t="str">
        <f t="shared" si="427"/>
        <v/>
      </c>
      <c r="V1294" s="150" t="str">
        <f t="shared" si="428"/>
        <v/>
      </c>
      <c r="W1294" s="168" t="str">
        <f t="shared" si="429"/>
        <v/>
      </c>
      <c r="X1294" s="163" t="str">
        <f t="shared" si="418"/>
        <v/>
      </c>
      <c r="Y1294" s="152"/>
      <c r="Z1294" s="164" t="str">
        <f>IF(AND($C1293=12,$D1293=Input!$C$6),0,IF($E1294="","",V1294+Z1295/(1+L1294)*R1294))</f>
        <v/>
      </c>
      <c r="AA1294" s="164" t="str">
        <f>IF(OR($M1294=1,AND($C1293=12,$D1293=Input!$C$6)),0,IF($E1294="","",W1294+(X1294+AA1295*$R1294)/(1+$L1294)))</f>
        <v/>
      </c>
      <c r="AB1294" s="160" t="str">
        <f t="shared" si="419"/>
        <v/>
      </c>
      <c r="AC1294" s="164" t="str">
        <f t="shared" si="420"/>
        <v/>
      </c>
      <c r="AD1294" s="164" t="str">
        <f>IF(AND($C1293=12,$D1293=Input!$C$6),0,IF($E1294="","",$AC1294+AD1295/(1+$L1294)*$R1294))</f>
        <v/>
      </c>
      <c r="AE1294" s="152"/>
      <c r="AF1294" s="164" t="str">
        <f>IF(AND($C1293=12,$D1293=Input!$C$6),0,IF($E1294="","",IF($B1294&gt;Input!$C$9,$AC1294,0)+AF1295/(1+$L1294)*$R1294))</f>
        <v/>
      </c>
      <c r="AG1294" s="164" t="str">
        <f>IF(AND($C1293=12,$D1293=Input!$C$6),0,IF($E1294="","",(IF($B1294&gt;Input!$C$9,$X1294,0)+AG1295)/(1+$L1294)*$R1294))</f>
        <v/>
      </c>
      <c r="AH1294" s="160" t="str">
        <f t="shared" si="421"/>
        <v/>
      </c>
      <c r="AI1294" s="160" t="str">
        <f>IF($E1294="","",MIN(Input!$C$61/AH1294,1))</f>
        <v/>
      </c>
      <c r="AJ1294" s="152"/>
      <c r="AK1294" s="164" t="str">
        <f>IF(AND($C1293=12,$D1293=Input!$C$6),0,IF($E1294="","",IF($B1294&gt;Input!$C$9,$AC1294*AI1294,0)+AK1295/(1+$L1294)*$R1294))</f>
        <v/>
      </c>
      <c r="AL1294" s="164" t="str">
        <f>IF(AND($C1293=12,$D1293=Input!$C$6),0,IF($E1294="","",IF($B1294&gt;Input!$C$9,0,$AC1294)+AL1295/(1+$L1294)*$R1294))</f>
        <v/>
      </c>
      <c r="AM1294" s="160" t="str">
        <f t="shared" si="422"/>
        <v/>
      </c>
      <c r="AN1294" s="164" t="str">
        <f>IF($E1294="","",IF($B1294&gt;Input!$C$9,$AI1294*$AC1294,$AM1294*$AC1294))</f>
        <v/>
      </c>
      <c r="AO1294" s="164" t="str">
        <f>IF(AND($C1293=12,$D1293=Input!$C$6),0,IF($E1294="","",$AN1294+AO1295/(1+$L1294)*$R1294))</f>
        <v/>
      </c>
      <c r="AP1294" s="152"/>
      <c r="AQ1294" s="150" t="str">
        <f t="shared" si="423"/>
        <v/>
      </c>
      <c r="AR1294" s="150" t="str">
        <f t="shared" si="430"/>
        <v/>
      </c>
      <c r="AS1294" s="150" t="str">
        <f t="shared" si="431"/>
        <v/>
      </c>
      <c r="AT1294" s="150" t="str">
        <f t="shared" si="424"/>
        <v/>
      </c>
      <c r="AU1294" s="152"/>
      <c r="AV1294" s="147" t="str">
        <f>'Deterministic Reserve'!BC1294</f>
        <v/>
      </c>
      <c r="AY1294" s="152"/>
    </row>
    <row r="1295" spans="1:51" s="150" customFormat="1" x14ac:dyDescent="0.25">
      <c r="A1295" s="150" t="str">
        <f t="shared" si="432"/>
        <v/>
      </c>
      <c r="B1295" s="150" t="str">
        <f t="shared" si="433"/>
        <v/>
      </c>
      <c r="C1295" s="150" t="str">
        <f t="shared" si="434"/>
        <v/>
      </c>
      <c r="D1295" s="150" t="str">
        <f>IF(E1295="","",Input!$C$4+B1295-1)</f>
        <v/>
      </c>
      <c r="E1295" s="150" t="str">
        <f>IF(OR(AND(C1294=12,D1294=Input!$C$6),E1294=""),"",1)</f>
        <v/>
      </c>
      <c r="G1295" s="151" t="str">
        <f>IF(E1295="","",MAX(0,Input!$C$9-B1295))</f>
        <v/>
      </c>
      <c r="H1295" s="152" t="str">
        <f>IF(E1295="","",Input!$C$3)</f>
        <v/>
      </c>
      <c r="I1295" s="153" t="str">
        <f>IF(E1295="","",HLOOKUP($B1295,Input!$C$13:$BT$14,2))</f>
        <v/>
      </c>
      <c r="J1295" s="154"/>
      <c r="K1295" s="150" t="str">
        <f>IF($E1295="","",Input!$C$57)</f>
        <v/>
      </c>
      <c r="L1295" s="150" t="str">
        <f t="shared" si="425"/>
        <v/>
      </c>
      <c r="M1295" s="147" t="str">
        <f>IF($E1295="","",VLOOKUP(IF($B1295&lt;=Input!$C$7,$B1295,26),'Mortality Tables'!$A$72:$CA$97,IF($B1295&lt;=Input!$C$7+1,Input!$C$4-16,$D1295-Input!$C$7-16),0)/1000)</f>
        <v/>
      </c>
      <c r="N1295" s="147" t="str">
        <f t="shared" si="416"/>
        <v/>
      </c>
      <c r="O1295" s="157" t="str">
        <f>IF($E1295="","",IF($C1295=12,IF($B1295&lt;Input!$C$9,Input!$C$54,IF($B1295=Input!$C$9,Input!$C$55,Input!$C$56)),0%))</f>
        <v/>
      </c>
      <c r="P1295" s="167" t="str">
        <f>IF($E1295="","",IF($B1295=1,Input!$C$59,IF($B1295&lt;6,Input!$C$60,0%)))</f>
        <v/>
      </c>
      <c r="Q1295" s="162" t="str">
        <f>IF($E1295="","",Input!$C$58)</f>
        <v/>
      </c>
      <c r="R1295" s="156" t="str">
        <f t="shared" si="426"/>
        <v/>
      </c>
      <c r="S1295" s="154" t="str">
        <f t="shared" si="417"/>
        <v/>
      </c>
      <c r="T1295" s="152"/>
      <c r="U1295" s="150" t="str">
        <f t="shared" si="427"/>
        <v/>
      </c>
      <c r="V1295" s="150" t="str">
        <f t="shared" si="428"/>
        <v/>
      </c>
      <c r="W1295" s="168" t="str">
        <f t="shared" si="429"/>
        <v/>
      </c>
      <c r="X1295" s="163" t="str">
        <f t="shared" si="418"/>
        <v/>
      </c>
      <c r="Y1295" s="152"/>
      <c r="Z1295" s="164" t="str">
        <f>IF(AND($C1294=12,$D1294=Input!$C$6),0,IF($E1295="","",V1295+Z1296/(1+L1295)*R1295))</f>
        <v/>
      </c>
      <c r="AA1295" s="164" t="str">
        <f>IF(OR($M1295=1,AND($C1294=12,$D1294=Input!$C$6)),0,IF($E1295="","",W1295+(X1295+AA1296*$R1295)/(1+$L1295)))</f>
        <v/>
      </c>
      <c r="AB1295" s="160" t="str">
        <f t="shared" si="419"/>
        <v/>
      </c>
      <c r="AC1295" s="164" t="str">
        <f t="shared" si="420"/>
        <v/>
      </c>
      <c r="AD1295" s="164" t="str">
        <f>IF(AND($C1294=12,$D1294=Input!$C$6),0,IF($E1295="","",$AC1295+AD1296/(1+$L1295)*$R1295))</f>
        <v/>
      </c>
      <c r="AE1295" s="152"/>
      <c r="AF1295" s="164" t="str">
        <f>IF(AND($C1294=12,$D1294=Input!$C$6),0,IF($E1295="","",IF($B1295&gt;Input!$C$9,$AC1295,0)+AF1296/(1+$L1295)*$R1295))</f>
        <v/>
      </c>
      <c r="AG1295" s="164" t="str">
        <f>IF(AND($C1294=12,$D1294=Input!$C$6),0,IF($E1295="","",(IF($B1295&gt;Input!$C$9,$X1295,0)+AG1296)/(1+$L1295)*$R1295))</f>
        <v/>
      </c>
      <c r="AH1295" s="160" t="str">
        <f t="shared" si="421"/>
        <v/>
      </c>
      <c r="AI1295" s="160" t="str">
        <f>IF($E1295="","",MIN(Input!$C$61/AH1295,1))</f>
        <v/>
      </c>
      <c r="AJ1295" s="152"/>
      <c r="AK1295" s="164" t="str">
        <f>IF(AND($C1294=12,$D1294=Input!$C$6),0,IF($E1295="","",IF($B1295&gt;Input!$C$9,$AC1295*AI1295,0)+AK1296/(1+$L1295)*$R1295))</f>
        <v/>
      </c>
      <c r="AL1295" s="164" t="str">
        <f>IF(AND($C1294=12,$D1294=Input!$C$6),0,IF($E1295="","",IF($B1295&gt;Input!$C$9,0,$AC1295)+AL1296/(1+$L1295)*$R1295))</f>
        <v/>
      </c>
      <c r="AM1295" s="160" t="str">
        <f t="shared" si="422"/>
        <v/>
      </c>
      <c r="AN1295" s="164" t="str">
        <f>IF($E1295="","",IF($B1295&gt;Input!$C$9,$AI1295*$AC1295,$AM1295*$AC1295))</f>
        <v/>
      </c>
      <c r="AO1295" s="164" t="str">
        <f>IF(AND($C1294=12,$D1294=Input!$C$6),0,IF($E1295="","",$AN1295+AO1296/(1+$L1295)*$R1295))</f>
        <v/>
      </c>
      <c r="AP1295" s="152"/>
      <c r="AQ1295" s="150" t="str">
        <f t="shared" si="423"/>
        <v/>
      </c>
      <c r="AR1295" s="150" t="str">
        <f t="shared" si="430"/>
        <v/>
      </c>
      <c r="AS1295" s="150" t="str">
        <f t="shared" si="431"/>
        <v/>
      </c>
      <c r="AT1295" s="150" t="str">
        <f t="shared" si="424"/>
        <v/>
      </c>
      <c r="AU1295" s="152"/>
      <c r="AV1295" s="147" t="str">
        <f>'Deterministic Reserve'!BC1295</f>
        <v/>
      </c>
      <c r="AY1295" s="152"/>
    </row>
    <row r="1296" spans="1:51" s="150" customFormat="1" x14ac:dyDescent="0.25">
      <c r="A1296" s="150" t="str">
        <f t="shared" si="432"/>
        <v/>
      </c>
      <c r="B1296" s="150" t="str">
        <f t="shared" si="433"/>
        <v/>
      </c>
      <c r="C1296" s="150" t="str">
        <f t="shared" si="434"/>
        <v/>
      </c>
      <c r="D1296" s="150" t="str">
        <f>IF(E1296="","",Input!$C$4+B1296-1)</f>
        <v/>
      </c>
      <c r="E1296" s="150" t="str">
        <f>IF(OR(AND(C1295=12,D1295=Input!$C$6),E1295=""),"",1)</f>
        <v/>
      </c>
      <c r="G1296" s="151" t="str">
        <f>IF(E1296="","",MAX(0,Input!$C$9-B1296))</f>
        <v/>
      </c>
      <c r="H1296" s="152" t="str">
        <f>IF(E1296="","",Input!$C$3)</f>
        <v/>
      </c>
      <c r="I1296" s="153" t="str">
        <f>IF(E1296="","",HLOOKUP($B1296,Input!$C$13:$BT$14,2))</f>
        <v/>
      </c>
      <c r="J1296" s="154"/>
      <c r="K1296" s="150" t="str">
        <f>IF($E1296="","",Input!$C$57)</f>
        <v/>
      </c>
      <c r="L1296" s="150" t="str">
        <f t="shared" si="425"/>
        <v/>
      </c>
      <c r="M1296" s="147" t="str">
        <f>IF($E1296="","",VLOOKUP(IF($B1296&lt;=Input!$C$7,$B1296,26),'Mortality Tables'!$A$72:$CA$97,IF($B1296&lt;=Input!$C$7+1,Input!$C$4-16,$D1296-Input!$C$7-16),0)/1000)</f>
        <v/>
      </c>
      <c r="N1296" s="147" t="str">
        <f t="shared" si="416"/>
        <v/>
      </c>
      <c r="O1296" s="157" t="str">
        <f>IF($E1296="","",IF($C1296=12,IF($B1296&lt;Input!$C$9,Input!$C$54,IF($B1296=Input!$C$9,Input!$C$55,Input!$C$56)),0%))</f>
        <v/>
      </c>
      <c r="P1296" s="167" t="str">
        <f>IF($E1296="","",IF($B1296=1,Input!$C$59,IF($B1296&lt;6,Input!$C$60,0%)))</f>
        <v/>
      </c>
      <c r="Q1296" s="162" t="str">
        <f>IF($E1296="","",Input!$C$58)</f>
        <v/>
      </c>
      <c r="R1296" s="156" t="str">
        <f t="shared" si="426"/>
        <v/>
      </c>
      <c r="S1296" s="154" t="str">
        <f t="shared" si="417"/>
        <v/>
      </c>
      <c r="T1296" s="152"/>
      <c r="U1296" s="150" t="str">
        <f t="shared" si="427"/>
        <v/>
      </c>
      <c r="V1296" s="150" t="str">
        <f t="shared" si="428"/>
        <v/>
      </c>
      <c r="W1296" s="168" t="str">
        <f t="shared" si="429"/>
        <v/>
      </c>
      <c r="X1296" s="163" t="str">
        <f t="shared" si="418"/>
        <v/>
      </c>
      <c r="Y1296" s="152"/>
      <c r="Z1296" s="164" t="str">
        <f>IF(AND($C1295=12,$D1295=Input!$C$6),0,IF($E1296="","",V1296+Z1297/(1+L1296)*R1296))</f>
        <v/>
      </c>
      <c r="AA1296" s="164" t="str">
        <f>IF(OR($M1296=1,AND($C1295=12,$D1295=Input!$C$6)),0,IF($E1296="","",W1296+(X1296+AA1297*$R1296)/(1+$L1296)))</f>
        <v/>
      </c>
      <c r="AB1296" s="160" t="str">
        <f t="shared" si="419"/>
        <v/>
      </c>
      <c r="AC1296" s="164" t="str">
        <f t="shared" si="420"/>
        <v/>
      </c>
      <c r="AD1296" s="164" t="str">
        <f>IF(AND($C1295=12,$D1295=Input!$C$6),0,IF($E1296="","",$AC1296+AD1297/(1+$L1296)*$R1296))</f>
        <v/>
      </c>
      <c r="AE1296" s="152"/>
      <c r="AF1296" s="164" t="str">
        <f>IF(AND($C1295=12,$D1295=Input!$C$6),0,IF($E1296="","",IF($B1296&gt;Input!$C$9,$AC1296,0)+AF1297/(1+$L1296)*$R1296))</f>
        <v/>
      </c>
      <c r="AG1296" s="164" t="str">
        <f>IF(AND($C1295=12,$D1295=Input!$C$6),0,IF($E1296="","",(IF($B1296&gt;Input!$C$9,$X1296,0)+AG1297)/(1+$L1296)*$R1296))</f>
        <v/>
      </c>
      <c r="AH1296" s="160" t="str">
        <f t="shared" si="421"/>
        <v/>
      </c>
      <c r="AI1296" s="160" t="str">
        <f>IF($E1296="","",MIN(Input!$C$61/AH1296,1))</f>
        <v/>
      </c>
      <c r="AJ1296" s="152"/>
      <c r="AK1296" s="164" t="str">
        <f>IF(AND($C1295=12,$D1295=Input!$C$6),0,IF($E1296="","",IF($B1296&gt;Input!$C$9,$AC1296*AI1296,0)+AK1297/(1+$L1296)*$R1296))</f>
        <v/>
      </c>
      <c r="AL1296" s="164" t="str">
        <f>IF(AND($C1295=12,$D1295=Input!$C$6),0,IF($E1296="","",IF($B1296&gt;Input!$C$9,0,$AC1296)+AL1297/(1+$L1296)*$R1296))</f>
        <v/>
      </c>
      <c r="AM1296" s="160" t="str">
        <f t="shared" si="422"/>
        <v/>
      </c>
      <c r="AN1296" s="164" t="str">
        <f>IF($E1296="","",IF($B1296&gt;Input!$C$9,$AI1296*$AC1296,$AM1296*$AC1296))</f>
        <v/>
      </c>
      <c r="AO1296" s="164" t="str">
        <f>IF(AND($C1295=12,$D1295=Input!$C$6),0,IF($E1296="","",$AN1296+AO1297/(1+$L1296)*$R1296))</f>
        <v/>
      </c>
      <c r="AP1296" s="152"/>
      <c r="AQ1296" s="150" t="str">
        <f t="shared" si="423"/>
        <v/>
      </c>
      <c r="AR1296" s="150" t="str">
        <f t="shared" si="430"/>
        <v/>
      </c>
      <c r="AS1296" s="150" t="str">
        <f t="shared" si="431"/>
        <v/>
      </c>
      <c r="AT1296" s="150" t="str">
        <f t="shared" si="424"/>
        <v/>
      </c>
      <c r="AU1296" s="152"/>
      <c r="AV1296" s="147" t="str">
        <f>'Deterministic Reserve'!BC1296</f>
        <v/>
      </c>
      <c r="AY1296" s="152"/>
    </row>
    <row r="1297" spans="1:51" s="150" customFormat="1" x14ac:dyDescent="0.25">
      <c r="A1297" s="150" t="str">
        <f t="shared" si="432"/>
        <v/>
      </c>
      <c r="B1297" s="150" t="str">
        <f t="shared" si="433"/>
        <v/>
      </c>
      <c r="C1297" s="150" t="str">
        <f t="shared" si="434"/>
        <v/>
      </c>
      <c r="D1297" s="150" t="str">
        <f>IF(E1297="","",Input!$C$4+B1297-1)</f>
        <v/>
      </c>
      <c r="E1297" s="150" t="str">
        <f>IF(OR(AND(C1296=12,D1296=Input!$C$6),E1296=""),"",1)</f>
        <v/>
      </c>
      <c r="G1297" s="151" t="str">
        <f>IF(E1297="","",MAX(0,Input!$C$9-B1297))</f>
        <v/>
      </c>
      <c r="H1297" s="152" t="str">
        <f>IF(E1297="","",Input!$C$3)</f>
        <v/>
      </c>
      <c r="I1297" s="153" t="str">
        <f>IF(E1297="","",HLOOKUP($B1297,Input!$C$13:$BT$14,2))</f>
        <v/>
      </c>
      <c r="J1297" s="154"/>
      <c r="K1297" s="150" t="str">
        <f>IF($E1297="","",Input!$C$57)</f>
        <v/>
      </c>
      <c r="L1297" s="150" t="str">
        <f t="shared" si="425"/>
        <v/>
      </c>
      <c r="M1297" s="147" t="str">
        <f>IF($E1297="","",VLOOKUP(IF($B1297&lt;=Input!$C$7,$B1297,26),'Mortality Tables'!$A$72:$CA$97,IF($B1297&lt;=Input!$C$7+1,Input!$C$4-16,$D1297-Input!$C$7-16),0)/1000)</f>
        <v/>
      </c>
      <c r="N1297" s="147" t="str">
        <f t="shared" si="416"/>
        <v/>
      </c>
      <c r="O1297" s="157" t="str">
        <f>IF($E1297="","",IF($C1297=12,IF($B1297&lt;Input!$C$9,Input!$C$54,IF($B1297=Input!$C$9,Input!$C$55,Input!$C$56)),0%))</f>
        <v/>
      </c>
      <c r="P1297" s="167" t="str">
        <f>IF($E1297="","",IF($B1297=1,Input!$C$59,IF($B1297&lt;6,Input!$C$60,0%)))</f>
        <v/>
      </c>
      <c r="Q1297" s="162" t="str">
        <f>IF($E1297="","",Input!$C$58)</f>
        <v/>
      </c>
      <c r="R1297" s="156" t="str">
        <f t="shared" si="426"/>
        <v/>
      </c>
      <c r="S1297" s="154" t="str">
        <f t="shared" si="417"/>
        <v/>
      </c>
      <c r="T1297" s="152"/>
      <c r="U1297" s="150" t="str">
        <f t="shared" si="427"/>
        <v/>
      </c>
      <c r="V1297" s="150" t="str">
        <f t="shared" si="428"/>
        <v/>
      </c>
      <c r="W1297" s="168" t="str">
        <f t="shared" si="429"/>
        <v/>
      </c>
      <c r="X1297" s="163" t="str">
        <f t="shared" si="418"/>
        <v/>
      </c>
      <c r="Y1297" s="152"/>
      <c r="Z1297" s="164" t="str">
        <f>IF(AND($C1296=12,$D1296=Input!$C$6),0,IF($E1297="","",V1297+Z1298/(1+L1297)*R1297))</f>
        <v/>
      </c>
      <c r="AA1297" s="164" t="str">
        <f>IF(OR($M1297=1,AND($C1296=12,$D1296=Input!$C$6)),0,IF($E1297="","",W1297+(X1297+AA1298*$R1297)/(1+$L1297)))</f>
        <v/>
      </c>
      <c r="AB1297" s="160" t="str">
        <f t="shared" si="419"/>
        <v/>
      </c>
      <c r="AC1297" s="164" t="str">
        <f t="shared" si="420"/>
        <v/>
      </c>
      <c r="AD1297" s="164" t="str">
        <f>IF(AND($C1296=12,$D1296=Input!$C$6),0,IF($E1297="","",$AC1297+AD1298/(1+$L1297)*$R1297))</f>
        <v/>
      </c>
      <c r="AE1297" s="152"/>
      <c r="AF1297" s="164" t="str">
        <f>IF(AND($C1296=12,$D1296=Input!$C$6),0,IF($E1297="","",IF($B1297&gt;Input!$C$9,$AC1297,0)+AF1298/(1+$L1297)*$R1297))</f>
        <v/>
      </c>
      <c r="AG1297" s="164" t="str">
        <f>IF(AND($C1296=12,$D1296=Input!$C$6),0,IF($E1297="","",(IF($B1297&gt;Input!$C$9,$X1297,0)+AG1298)/(1+$L1297)*$R1297))</f>
        <v/>
      </c>
      <c r="AH1297" s="160" t="str">
        <f t="shared" si="421"/>
        <v/>
      </c>
      <c r="AI1297" s="160" t="str">
        <f>IF($E1297="","",MIN(Input!$C$61/AH1297,1))</f>
        <v/>
      </c>
      <c r="AJ1297" s="152"/>
      <c r="AK1297" s="164" t="str">
        <f>IF(AND($C1296=12,$D1296=Input!$C$6),0,IF($E1297="","",IF($B1297&gt;Input!$C$9,$AC1297*AI1297,0)+AK1298/(1+$L1297)*$R1297))</f>
        <v/>
      </c>
      <c r="AL1297" s="164" t="str">
        <f>IF(AND($C1296=12,$D1296=Input!$C$6),0,IF($E1297="","",IF($B1297&gt;Input!$C$9,0,$AC1297)+AL1298/(1+$L1297)*$R1297))</f>
        <v/>
      </c>
      <c r="AM1297" s="160" t="str">
        <f t="shared" si="422"/>
        <v/>
      </c>
      <c r="AN1297" s="164" t="str">
        <f>IF($E1297="","",IF($B1297&gt;Input!$C$9,$AI1297*$AC1297,$AM1297*$AC1297))</f>
        <v/>
      </c>
      <c r="AO1297" s="164" t="str">
        <f>IF(AND($C1296=12,$D1296=Input!$C$6),0,IF($E1297="","",$AN1297+AO1298/(1+$L1297)*$R1297))</f>
        <v/>
      </c>
      <c r="AP1297" s="152"/>
      <c r="AQ1297" s="150" t="str">
        <f t="shared" si="423"/>
        <v/>
      </c>
      <c r="AR1297" s="150" t="str">
        <f t="shared" si="430"/>
        <v/>
      </c>
      <c r="AS1297" s="150" t="str">
        <f t="shared" si="431"/>
        <v/>
      </c>
      <c r="AT1297" s="150" t="str">
        <f t="shared" si="424"/>
        <v/>
      </c>
      <c r="AU1297" s="152"/>
      <c r="AV1297" s="147" t="str">
        <f>'Deterministic Reserve'!BC1297</f>
        <v/>
      </c>
      <c r="AY1297" s="152"/>
    </row>
    <row r="1298" spans="1:51" s="150" customFormat="1" x14ac:dyDescent="0.25">
      <c r="A1298" s="150" t="str">
        <f t="shared" si="432"/>
        <v/>
      </c>
      <c r="B1298" s="150" t="str">
        <f t="shared" si="433"/>
        <v/>
      </c>
      <c r="C1298" s="150" t="str">
        <f t="shared" si="434"/>
        <v/>
      </c>
      <c r="D1298" s="150" t="str">
        <f>IF(E1298="","",Input!$C$4+B1298-1)</f>
        <v/>
      </c>
      <c r="E1298" s="150" t="str">
        <f>IF(OR(AND(C1297=12,D1297=Input!$C$6),E1297=""),"",1)</f>
        <v/>
      </c>
      <c r="G1298" s="151" t="str">
        <f>IF(E1298="","",MAX(0,Input!$C$9-B1298))</f>
        <v/>
      </c>
      <c r="H1298" s="152" t="str">
        <f>IF(E1298="","",Input!$C$3)</f>
        <v/>
      </c>
      <c r="I1298" s="153" t="str">
        <f>IF(E1298="","",HLOOKUP($B1298,Input!$C$13:$BT$14,2))</f>
        <v/>
      </c>
      <c r="J1298" s="154"/>
      <c r="K1298" s="150" t="str">
        <f>IF($E1298="","",Input!$C$57)</f>
        <v/>
      </c>
      <c r="L1298" s="150" t="str">
        <f t="shared" si="425"/>
        <v/>
      </c>
      <c r="M1298" s="147" t="str">
        <f>IF($E1298="","",VLOOKUP(IF($B1298&lt;=Input!$C$7,$B1298,26),'Mortality Tables'!$A$72:$CA$97,IF($B1298&lt;=Input!$C$7+1,Input!$C$4-16,$D1298-Input!$C$7-16),0)/1000)</f>
        <v/>
      </c>
      <c r="N1298" s="147" t="str">
        <f t="shared" si="416"/>
        <v/>
      </c>
      <c r="O1298" s="157" t="str">
        <f>IF($E1298="","",IF($C1298=12,IF($B1298&lt;Input!$C$9,Input!$C$54,IF($B1298=Input!$C$9,Input!$C$55,Input!$C$56)),0%))</f>
        <v/>
      </c>
      <c r="P1298" s="167" t="str">
        <f>IF($E1298="","",IF($B1298=1,Input!$C$59,IF($B1298&lt;6,Input!$C$60,0%)))</f>
        <v/>
      </c>
      <c r="Q1298" s="162" t="str">
        <f>IF($E1298="","",Input!$C$58)</f>
        <v/>
      </c>
      <c r="R1298" s="156" t="str">
        <f t="shared" si="426"/>
        <v/>
      </c>
      <c r="S1298" s="154" t="str">
        <f t="shared" si="417"/>
        <v/>
      </c>
      <c r="T1298" s="152"/>
      <c r="U1298" s="150" t="str">
        <f t="shared" si="427"/>
        <v/>
      </c>
      <c r="V1298" s="150" t="str">
        <f t="shared" si="428"/>
        <v/>
      </c>
      <c r="W1298" s="168" t="str">
        <f t="shared" si="429"/>
        <v/>
      </c>
      <c r="X1298" s="163" t="str">
        <f t="shared" si="418"/>
        <v/>
      </c>
      <c r="Y1298" s="152"/>
      <c r="Z1298" s="164" t="str">
        <f>IF(AND($C1297=12,$D1297=Input!$C$6),0,IF($E1298="","",V1298+Z1299/(1+L1298)*R1298))</f>
        <v/>
      </c>
      <c r="AA1298" s="164" t="str">
        <f>IF(OR($M1298=1,AND($C1297=12,$D1297=Input!$C$6)),0,IF($E1298="","",W1298+(X1298+AA1299*$R1298)/(1+$L1298)))</f>
        <v/>
      </c>
      <c r="AB1298" s="160" t="str">
        <f t="shared" si="419"/>
        <v/>
      </c>
      <c r="AC1298" s="164" t="str">
        <f t="shared" si="420"/>
        <v/>
      </c>
      <c r="AD1298" s="164" t="str">
        <f>IF(AND($C1297=12,$D1297=Input!$C$6),0,IF($E1298="","",$AC1298+AD1299/(1+$L1298)*$R1298))</f>
        <v/>
      </c>
      <c r="AE1298" s="152"/>
      <c r="AF1298" s="164" t="str">
        <f>IF(AND($C1297=12,$D1297=Input!$C$6),0,IF($E1298="","",IF($B1298&gt;Input!$C$9,$AC1298,0)+AF1299/(1+$L1298)*$R1298))</f>
        <v/>
      </c>
      <c r="AG1298" s="164" t="str">
        <f>IF(AND($C1297=12,$D1297=Input!$C$6),0,IF($E1298="","",(IF($B1298&gt;Input!$C$9,$X1298,0)+AG1299)/(1+$L1298)*$R1298))</f>
        <v/>
      </c>
      <c r="AH1298" s="160" t="str">
        <f t="shared" si="421"/>
        <v/>
      </c>
      <c r="AI1298" s="160" t="str">
        <f>IF($E1298="","",MIN(Input!$C$61/AH1298,1))</f>
        <v/>
      </c>
      <c r="AJ1298" s="152"/>
      <c r="AK1298" s="164" t="str">
        <f>IF(AND($C1297=12,$D1297=Input!$C$6),0,IF($E1298="","",IF($B1298&gt;Input!$C$9,$AC1298*AI1298,0)+AK1299/(1+$L1298)*$R1298))</f>
        <v/>
      </c>
      <c r="AL1298" s="164" t="str">
        <f>IF(AND($C1297=12,$D1297=Input!$C$6),0,IF($E1298="","",IF($B1298&gt;Input!$C$9,0,$AC1298)+AL1299/(1+$L1298)*$R1298))</f>
        <v/>
      </c>
      <c r="AM1298" s="160" t="str">
        <f t="shared" si="422"/>
        <v/>
      </c>
      <c r="AN1298" s="164" t="str">
        <f>IF($E1298="","",IF($B1298&gt;Input!$C$9,$AI1298*$AC1298,$AM1298*$AC1298))</f>
        <v/>
      </c>
      <c r="AO1298" s="164" t="str">
        <f>IF(AND($C1297=12,$D1297=Input!$C$6),0,IF($E1298="","",$AN1298+AO1299/(1+$L1298)*$R1298))</f>
        <v/>
      </c>
      <c r="AP1298" s="152"/>
      <c r="AQ1298" s="150" t="str">
        <f t="shared" si="423"/>
        <v/>
      </c>
      <c r="AR1298" s="150" t="str">
        <f t="shared" si="430"/>
        <v/>
      </c>
      <c r="AS1298" s="150" t="str">
        <f t="shared" si="431"/>
        <v/>
      </c>
      <c r="AT1298" s="150" t="str">
        <f t="shared" si="424"/>
        <v/>
      </c>
      <c r="AU1298" s="152"/>
      <c r="AV1298" s="147" t="str">
        <f>'Deterministic Reserve'!BC1298</f>
        <v/>
      </c>
      <c r="AY1298" s="152"/>
    </row>
    <row r="1299" spans="1:51" s="150" customFormat="1" x14ac:dyDescent="0.25">
      <c r="A1299" s="150" t="str">
        <f t="shared" si="432"/>
        <v/>
      </c>
      <c r="B1299" s="150" t="str">
        <f t="shared" si="433"/>
        <v/>
      </c>
      <c r="C1299" s="150" t="str">
        <f t="shared" si="434"/>
        <v/>
      </c>
      <c r="D1299" s="150" t="str">
        <f>IF(E1299="","",Input!$C$4+B1299-1)</f>
        <v/>
      </c>
      <c r="E1299" s="150" t="str">
        <f>IF(OR(AND(C1298=12,D1298=Input!$C$6),E1298=""),"",1)</f>
        <v/>
      </c>
      <c r="G1299" s="151" t="str">
        <f>IF(E1299="","",MAX(0,Input!$C$9-B1299))</f>
        <v/>
      </c>
      <c r="H1299" s="152" t="str">
        <f>IF(E1299="","",Input!$C$3)</f>
        <v/>
      </c>
      <c r="I1299" s="153" t="str">
        <f>IF(E1299="","",HLOOKUP($B1299,Input!$C$13:$BT$14,2))</f>
        <v/>
      </c>
      <c r="J1299" s="154"/>
      <c r="K1299" s="150" t="str">
        <f>IF($E1299="","",Input!$C$57)</f>
        <v/>
      </c>
      <c r="L1299" s="150" t="str">
        <f t="shared" si="425"/>
        <v/>
      </c>
      <c r="M1299" s="147" t="str">
        <f>IF($E1299="","",VLOOKUP(IF($B1299&lt;=Input!$C$7,$B1299,26),'Mortality Tables'!$A$72:$CA$97,IF($B1299&lt;=Input!$C$7+1,Input!$C$4-16,$D1299-Input!$C$7-16),0)/1000)</f>
        <v/>
      </c>
      <c r="N1299" s="147" t="str">
        <f t="shared" si="416"/>
        <v/>
      </c>
      <c r="O1299" s="157" t="str">
        <f>IF($E1299="","",IF($C1299=12,IF($B1299&lt;Input!$C$9,Input!$C$54,IF($B1299=Input!$C$9,Input!$C$55,Input!$C$56)),0%))</f>
        <v/>
      </c>
      <c r="P1299" s="167" t="str">
        <f>IF($E1299="","",IF($B1299=1,Input!$C$59,IF($B1299&lt;6,Input!$C$60,0%)))</f>
        <v/>
      </c>
      <c r="Q1299" s="162" t="str">
        <f>IF($E1299="","",Input!$C$58)</f>
        <v/>
      </c>
      <c r="R1299" s="156" t="str">
        <f t="shared" si="426"/>
        <v/>
      </c>
      <c r="S1299" s="154" t="str">
        <f t="shared" si="417"/>
        <v/>
      </c>
      <c r="T1299" s="152"/>
      <c r="U1299" s="150" t="str">
        <f t="shared" si="427"/>
        <v/>
      </c>
      <c r="V1299" s="150" t="str">
        <f t="shared" si="428"/>
        <v/>
      </c>
      <c r="W1299" s="168" t="str">
        <f t="shared" si="429"/>
        <v/>
      </c>
      <c r="X1299" s="163" t="str">
        <f t="shared" si="418"/>
        <v/>
      </c>
      <c r="Y1299" s="152"/>
      <c r="Z1299" s="164" t="str">
        <f>IF(AND($C1298=12,$D1298=Input!$C$6),0,IF($E1299="","",V1299+Z1300/(1+L1299)*R1299))</f>
        <v/>
      </c>
      <c r="AA1299" s="164" t="str">
        <f>IF(OR($M1299=1,AND($C1298=12,$D1298=Input!$C$6)),0,IF($E1299="","",W1299+(X1299+AA1300*$R1299)/(1+$L1299)))</f>
        <v/>
      </c>
      <c r="AB1299" s="160" t="str">
        <f t="shared" si="419"/>
        <v/>
      </c>
      <c r="AC1299" s="164" t="str">
        <f t="shared" si="420"/>
        <v/>
      </c>
      <c r="AD1299" s="164" t="str">
        <f>IF(AND($C1298=12,$D1298=Input!$C$6),0,IF($E1299="","",$AC1299+AD1300/(1+$L1299)*$R1299))</f>
        <v/>
      </c>
      <c r="AE1299" s="152"/>
      <c r="AF1299" s="164" t="str">
        <f>IF(AND($C1298=12,$D1298=Input!$C$6),0,IF($E1299="","",IF($B1299&gt;Input!$C$9,$AC1299,0)+AF1300/(1+$L1299)*$R1299))</f>
        <v/>
      </c>
      <c r="AG1299" s="164" t="str">
        <f>IF(AND($C1298=12,$D1298=Input!$C$6),0,IF($E1299="","",(IF($B1299&gt;Input!$C$9,$X1299,0)+AG1300)/(1+$L1299)*$R1299))</f>
        <v/>
      </c>
      <c r="AH1299" s="160" t="str">
        <f t="shared" si="421"/>
        <v/>
      </c>
      <c r="AI1299" s="160" t="str">
        <f>IF($E1299="","",MIN(Input!$C$61/AH1299,1))</f>
        <v/>
      </c>
      <c r="AJ1299" s="152"/>
      <c r="AK1299" s="164" t="str">
        <f>IF(AND($C1298=12,$D1298=Input!$C$6),0,IF($E1299="","",IF($B1299&gt;Input!$C$9,$AC1299*AI1299,0)+AK1300/(1+$L1299)*$R1299))</f>
        <v/>
      </c>
      <c r="AL1299" s="164" t="str">
        <f>IF(AND($C1298=12,$D1298=Input!$C$6),0,IF($E1299="","",IF($B1299&gt;Input!$C$9,0,$AC1299)+AL1300/(1+$L1299)*$R1299))</f>
        <v/>
      </c>
      <c r="AM1299" s="160" t="str">
        <f t="shared" si="422"/>
        <v/>
      </c>
      <c r="AN1299" s="164" t="str">
        <f>IF($E1299="","",IF($B1299&gt;Input!$C$9,$AI1299*$AC1299,$AM1299*$AC1299))</f>
        <v/>
      </c>
      <c r="AO1299" s="164" t="str">
        <f>IF(AND($C1298=12,$D1298=Input!$C$6),0,IF($E1299="","",$AN1299+AO1300/(1+$L1299)*$R1299))</f>
        <v/>
      </c>
      <c r="AP1299" s="152"/>
      <c r="AQ1299" s="150" t="str">
        <f t="shared" si="423"/>
        <v/>
      </c>
      <c r="AR1299" s="150" t="str">
        <f t="shared" si="430"/>
        <v/>
      </c>
      <c r="AS1299" s="150" t="str">
        <f t="shared" si="431"/>
        <v/>
      </c>
      <c r="AT1299" s="150" t="str">
        <f t="shared" si="424"/>
        <v/>
      </c>
      <c r="AU1299" s="152"/>
      <c r="AV1299" s="147" t="str">
        <f>'Deterministic Reserve'!BC1299</f>
        <v/>
      </c>
      <c r="AY1299" s="152"/>
    </row>
    <row r="1300" spans="1:51" s="150" customFormat="1" x14ac:dyDescent="0.25">
      <c r="A1300" s="150" t="str">
        <f t="shared" si="432"/>
        <v/>
      </c>
      <c r="B1300" s="150" t="str">
        <f t="shared" si="433"/>
        <v/>
      </c>
      <c r="C1300" s="150" t="str">
        <f t="shared" si="434"/>
        <v/>
      </c>
      <c r="D1300" s="150" t="str">
        <f>IF(E1300="","",Input!$C$4+B1300-1)</f>
        <v/>
      </c>
      <c r="E1300" s="150" t="str">
        <f>IF(OR(AND(C1299=12,D1299=Input!$C$6),E1299=""),"",1)</f>
        <v/>
      </c>
      <c r="G1300" s="151" t="str">
        <f>IF(E1300="","",MAX(0,Input!$C$9-B1300))</f>
        <v/>
      </c>
      <c r="H1300" s="152" t="str">
        <f>IF(E1300="","",Input!$C$3)</f>
        <v/>
      </c>
      <c r="I1300" s="153" t="str">
        <f>IF(E1300="","",HLOOKUP($B1300,Input!$C$13:$BT$14,2))</f>
        <v/>
      </c>
      <c r="J1300" s="154"/>
      <c r="K1300" s="150" t="str">
        <f>IF($E1300="","",Input!$C$57)</f>
        <v/>
      </c>
      <c r="L1300" s="150" t="str">
        <f t="shared" si="425"/>
        <v/>
      </c>
      <c r="M1300" s="147" t="str">
        <f>IF($E1300="","",VLOOKUP(IF($B1300&lt;=Input!$C$7,$B1300,26),'Mortality Tables'!$A$72:$CA$97,IF($B1300&lt;=Input!$C$7+1,Input!$C$4-16,$D1300-Input!$C$7-16),0)/1000)</f>
        <v/>
      </c>
      <c r="N1300" s="147" t="str">
        <f t="shared" si="416"/>
        <v/>
      </c>
      <c r="O1300" s="157" t="str">
        <f>IF($E1300="","",IF($C1300=12,IF($B1300&lt;Input!$C$9,Input!$C$54,IF($B1300=Input!$C$9,Input!$C$55,Input!$C$56)),0%))</f>
        <v/>
      </c>
      <c r="P1300" s="167" t="str">
        <f>IF($E1300="","",IF($B1300=1,Input!$C$59,IF($B1300&lt;6,Input!$C$60,0%)))</f>
        <v/>
      </c>
      <c r="Q1300" s="162" t="str">
        <f>IF($E1300="","",Input!$C$58)</f>
        <v/>
      </c>
      <c r="R1300" s="156" t="str">
        <f t="shared" si="426"/>
        <v/>
      </c>
      <c r="S1300" s="154" t="str">
        <f t="shared" si="417"/>
        <v/>
      </c>
      <c r="T1300" s="152"/>
      <c r="U1300" s="150" t="str">
        <f t="shared" si="427"/>
        <v/>
      </c>
      <c r="V1300" s="150" t="str">
        <f t="shared" si="428"/>
        <v/>
      </c>
      <c r="W1300" s="168" t="str">
        <f t="shared" si="429"/>
        <v/>
      </c>
      <c r="X1300" s="163" t="str">
        <f t="shared" si="418"/>
        <v/>
      </c>
      <c r="Y1300" s="152"/>
      <c r="Z1300" s="164" t="str">
        <f>IF(AND($C1299=12,$D1299=Input!$C$6),0,IF($E1300="","",V1300+Z1301/(1+L1300)*R1300))</f>
        <v/>
      </c>
      <c r="AA1300" s="164" t="str">
        <f>IF(OR($M1300=1,AND($C1299=12,$D1299=Input!$C$6)),0,IF($E1300="","",W1300+(X1300+AA1301*$R1300)/(1+$L1300)))</f>
        <v/>
      </c>
      <c r="AB1300" s="160" t="str">
        <f t="shared" si="419"/>
        <v/>
      </c>
      <c r="AC1300" s="164" t="str">
        <f t="shared" si="420"/>
        <v/>
      </c>
      <c r="AD1300" s="164" t="str">
        <f>IF(AND($C1299=12,$D1299=Input!$C$6),0,IF($E1300="","",$AC1300+AD1301/(1+$L1300)*$R1300))</f>
        <v/>
      </c>
      <c r="AE1300" s="152"/>
      <c r="AF1300" s="164" t="str">
        <f>IF(AND($C1299=12,$D1299=Input!$C$6),0,IF($E1300="","",IF($B1300&gt;Input!$C$9,$AC1300,0)+AF1301/(1+$L1300)*$R1300))</f>
        <v/>
      </c>
      <c r="AG1300" s="164" t="str">
        <f>IF(AND($C1299=12,$D1299=Input!$C$6),0,IF($E1300="","",(IF($B1300&gt;Input!$C$9,$X1300,0)+AG1301)/(1+$L1300)*$R1300))</f>
        <v/>
      </c>
      <c r="AH1300" s="160" t="str">
        <f t="shared" si="421"/>
        <v/>
      </c>
      <c r="AI1300" s="160" t="str">
        <f>IF($E1300="","",MIN(Input!$C$61/AH1300,1))</f>
        <v/>
      </c>
      <c r="AJ1300" s="152"/>
      <c r="AK1300" s="164" t="str">
        <f>IF(AND($C1299=12,$D1299=Input!$C$6),0,IF($E1300="","",IF($B1300&gt;Input!$C$9,$AC1300*AI1300,0)+AK1301/(1+$L1300)*$R1300))</f>
        <v/>
      </c>
      <c r="AL1300" s="164" t="str">
        <f>IF(AND($C1299=12,$D1299=Input!$C$6),0,IF($E1300="","",IF($B1300&gt;Input!$C$9,0,$AC1300)+AL1301/(1+$L1300)*$R1300))</f>
        <v/>
      </c>
      <c r="AM1300" s="160" t="str">
        <f t="shared" si="422"/>
        <v/>
      </c>
      <c r="AN1300" s="164" t="str">
        <f>IF($E1300="","",IF($B1300&gt;Input!$C$9,$AI1300*$AC1300,$AM1300*$AC1300))</f>
        <v/>
      </c>
      <c r="AO1300" s="164" t="str">
        <f>IF(AND($C1299=12,$D1299=Input!$C$6),0,IF($E1300="","",$AN1300+AO1301/(1+$L1300)*$R1300))</f>
        <v/>
      </c>
      <c r="AP1300" s="152"/>
      <c r="AQ1300" s="150" t="str">
        <f t="shared" si="423"/>
        <v/>
      </c>
      <c r="AR1300" s="150" t="str">
        <f t="shared" si="430"/>
        <v/>
      </c>
      <c r="AS1300" s="150" t="str">
        <f t="shared" si="431"/>
        <v/>
      </c>
      <c r="AT1300" s="150" t="str">
        <f t="shared" si="424"/>
        <v/>
      </c>
      <c r="AU1300" s="152"/>
      <c r="AV1300" s="147" t="str">
        <f>'Deterministic Reserve'!BC1300</f>
        <v/>
      </c>
      <c r="AY1300" s="152"/>
    </row>
    <row r="1301" spans="1:51" s="150" customFormat="1" x14ac:dyDescent="0.25">
      <c r="A1301" s="150" t="str">
        <f t="shared" si="432"/>
        <v/>
      </c>
      <c r="B1301" s="150" t="str">
        <f t="shared" si="433"/>
        <v/>
      </c>
      <c r="C1301" s="150" t="str">
        <f t="shared" si="434"/>
        <v/>
      </c>
      <c r="D1301" s="150" t="str">
        <f>IF(E1301="","",Input!$C$4+B1301-1)</f>
        <v/>
      </c>
      <c r="E1301" s="150" t="str">
        <f>IF(OR(AND(C1300=12,D1300=Input!$C$6),E1300=""),"",1)</f>
        <v/>
      </c>
      <c r="G1301" s="151" t="str">
        <f>IF(E1301="","",MAX(0,Input!$C$9-B1301))</f>
        <v/>
      </c>
      <c r="H1301" s="152" t="str">
        <f>IF(E1301="","",Input!$C$3)</f>
        <v/>
      </c>
      <c r="I1301" s="153" t="str">
        <f>IF(E1301="","",HLOOKUP($B1301,Input!$C$13:$BT$14,2))</f>
        <v/>
      </c>
      <c r="J1301" s="154"/>
      <c r="K1301" s="150" t="str">
        <f>IF($E1301="","",Input!$C$57)</f>
        <v/>
      </c>
      <c r="L1301" s="150" t="str">
        <f t="shared" si="425"/>
        <v/>
      </c>
      <c r="M1301" s="147" t="str">
        <f>IF($E1301="","",VLOOKUP(IF($B1301&lt;=Input!$C$7,$B1301,26),'Mortality Tables'!$A$72:$CA$97,IF($B1301&lt;=Input!$C$7+1,Input!$C$4-16,$D1301-Input!$C$7-16),0)/1000)</f>
        <v/>
      </c>
      <c r="N1301" s="147" t="str">
        <f t="shared" si="416"/>
        <v/>
      </c>
      <c r="O1301" s="157" t="str">
        <f>IF($E1301="","",IF($C1301=12,IF($B1301&lt;Input!$C$9,Input!$C$54,IF($B1301=Input!$C$9,Input!$C$55,Input!$C$56)),0%))</f>
        <v/>
      </c>
      <c r="P1301" s="167" t="str">
        <f>IF($E1301="","",IF($B1301=1,Input!$C$59,IF($B1301&lt;6,Input!$C$60,0%)))</f>
        <v/>
      </c>
      <c r="Q1301" s="162" t="str">
        <f>IF($E1301="","",Input!$C$58)</f>
        <v/>
      </c>
      <c r="R1301" s="156" t="str">
        <f t="shared" si="426"/>
        <v/>
      </c>
      <c r="S1301" s="154" t="str">
        <f t="shared" si="417"/>
        <v/>
      </c>
      <c r="T1301" s="152"/>
      <c r="U1301" s="150" t="str">
        <f t="shared" si="427"/>
        <v/>
      </c>
      <c r="V1301" s="150" t="str">
        <f t="shared" si="428"/>
        <v/>
      </c>
      <c r="W1301" s="168" t="str">
        <f t="shared" si="429"/>
        <v/>
      </c>
      <c r="X1301" s="163" t="str">
        <f t="shared" si="418"/>
        <v/>
      </c>
      <c r="Y1301" s="152"/>
      <c r="Z1301" s="164" t="str">
        <f>IF(AND($C1300=12,$D1300=Input!$C$6),0,IF($E1301="","",V1301+Z1302/(1+L1301)*R1301))</f>
        <v/>
      </c>
      <c r="AA1301" s="164" t="str">
        <f>IF(OR($M1301=1,AND($C1300=12,$D1300=Input!$C$6)),0,IF($E1301="","",W1301+(X1301+AA1302*$R1301)/(1+$L1301)))</f>
        <v/>
      </c>
      <c r="AB1301" s="160" t="str">
        <f t="shared" si="419"/>
        <v/>
      </c>
      <c r="AC1301" s="164" t="str">
        <f t="shared" si="420"/>
        <v/>
      </c>
      <c r="AD1301" s="164" t="str">
        <f>IF(AND($C1300=12,$D1300=Input!$C$6),0,IF($E1301="","",$AC1301+AD1302/(1+$L1301)*$R1301))</f>
        <v/>
      </c>
      <c r="AE1301" s="152"/>
      <c r="AF1301" s="164" t="str">
        <f>IF(AND($C1300=12,$D1300=Input!$C$6),0,IF($E1301="","",IF($B1301&gt;Input!$C$9,$AC1301,0)+AF1302/(1+$L1301)*$R1301))</f>
        <v/>
      </c>
      <c r="AG1301" s="164" t="str">
        <f>IF(AND($C1300=12,$D1300=Input!$C$6),0,IF($E1301="","",(IF($B1301&gt;Input!$C$9,$X1301,0)+AG1302)/(1+$L1301)*$R1301))</f>
        <v/>
      </c>
      <c r="AH1301" s="160" t="str">
        <f t="shared" si="421"/>
        <v/>
      </c>
      <c r="AI1301" s="160" t="str">
        <f>IF($E1301="","",MIN(Input!$C$61/AH1301,1))</f>
        <v/>
      </c>
      <c r="AJ1301" s="152"/>
      <c r="AK1301" s="164" t="str">
        <f>IF(AND($C1300=12,$D1300=Input!$C$6),0,IF($E1301="","",IF($B1301&gt;Input!$C$9,$AC1301*AI1301,0)+AK1302/(1+$L1301)*$R1301))</f>
        <v/>
      </c>
      <c r="AL1301" s="164" t="str">
        <f>IF(AND($C1300=12,$D1300=Input!$C$6),0,IF($E1301="","",IF($B1301&gt;Input!$C$9,0,$AC1301)+AL1302/(1+$L1301)*$R1301))</f>
        <v/>
      </c>
      <c r="AM1301" s="160" t="str">
        <f t="shared" si="422"/>
        <v/>
      </c>
      <c r="AN1301" s="164" t="str">
        <f>IF($E1301="","",IF($B1301&gt;Input!$C$9,$AI1301*$AC1301,$AM1301*$AC1301))</f>
        <v/>
      </c>
      <c r="AO1301" s="164" t="str">
        <f>IF(AND($C1300=12,$D1300=Input!$C$6),0,IF($E1301="","",$AN1301+AO1302/(1+$L1301)*$R1301))</f>
        <v/>
      </c>
      <c r="AP1301" s="152"/>
      <c r="AQ1301" s="150" t="str">
        <f t="shared" si="423"/>
        <v/>
      </c>
      <c r="AR1301" s="150" t="str">
        <f t="shared" si="430"/>
        <v/>
      </c>
      <c r="AS1301" s="150" t="str">
        <f t="shared" si="431"/>
        <v/>
      </c>
      <c r="AT1301" s="150" t="str">
        <f t="shared" si="424"/>
        <v/>
      </c>
      <c r="AU1301" s="152"/>
      <c r="AV1301" s="147" t="str">
        <f>'Deterministic Reserve'!BC1301</f>
        <v/>
      </c>
      <c r="AY1301" s="152"/>
    </row>
    <row r="1302" spans="1:51" s="150" customFormat="1" x14ac:dyDescent="0.25">
      <c r="A1302" s="150" t="str">
        <f t="shared" si="432"/>
        <v/>
      </c>
      <c r="B1302" s="150" t="str">
        <f t="shared" si="433"/>
        <v/>
      </c>
      <c r="C1302" s="150" t="str">
        <f t="shared" si="434"/>
        <v/>
      </c>
      <c r="D1302" s="150" t="str">
        <f>IF(E1302="","",Input!$C$4+B1302-1)</f>
        <v/>
      </c>
      <c r="E1302" s="150" t="str">
        <f>IF(OR(AND(C1301=12,D1301=Input!$C$6),E1301=""),"",1)</f>
        <v/>
      </c>
      <c r="G1302" s="151" t="str">
        <f>IF(E1302="","",MAX(0,Input!$C$9-B1302))</f>
        <v/>
      </c>
      <c r="H1302" s="152" t="str">
        <f>IF(E1302="","",Input!$C$3)</f>
        <v/>
      </c>
      <c r="I1302" s="153" t="str">
        <f>IF(E1302="","",HLOOKUP($B1302,Input!$C$13:$BT$14,2))</f>
        <v/>
      </c>
      <c r="J1302" s="154"/>
      <c r="K1302" s="150" t="str">
        <f>IF($E1302="","",Input!$C$57)</f>
        <v/>
      </c>
      <c r="L1302" s="150" t="str">
        <f t="shared" si="425"/>
        <v/>
      </c>
      <c r="M1302" s="147" t="str">
        <f>IF($E1302="","",VLOOKUP(IF($B1302&lt;=Input!$C$7,$B1302,26),'Mortality Tables'!$A$72:$CA$97,IF($B1302&lt;=Input!$C$7+1,Input!$C$4-16,$D1302-Input!$C$7-16),0)/1000)</f>
        <v/>
      </c>
      <c r="N1302" s="147" t="str">
        <f t="shared" si="416"/>
        <v/>
      </c>
      <c r="O1302" s="157" t="str">
        <f>IF($E1302="","",IF($C1302=12,IF($B1302&lt;Input!$C$9,Input!$C$54,IF($B1302=Input!$C$9,Input!$C$55,Input!$C$56)),0%))</f>
        <v/>
      </c>
      <c r="P1302" s="167" t="str">
        <f>IF($E1302="","",IF($B1302=1,Input!$C$59,IF($B1302&lt;6,Input!$C$60,0%)))</f>
        <v/>
      </c>
      <c r="Q1302" s="162" t="str">
        <f>IF($E1302="","",Input!$C$58)</f>
        <v/>
      </c>
      <c r="R1302" s="156" t="str">
        <f t="shared" si="426"/>
        <v/>
      </c>
      <c r="S1302" s="154" t="str">
        <f t="shared" si="417"/>
        <v/>
      </c>
      <c r="T1302" s="152"/>
      <c r="U1302" s="150" t="str">
        <f t="shared" si="427"/>
        <v/>
      </c>
      <c r="V1302" s="150" t="str">
        <f t="shared" si="428"/>
        <v/>
      </c>
      <c r="W1302" s="168" t="str">
        <f t="shared" si="429"/>
        <v/>
      </c>
      <c r="X1302" s="163" t="str">
        <f t="shared" si="418"/>
        <v/>
      </c>
      <c r="Y1302" s="152"/>
      <c r="Z1302" s="164" t="str">
        <f>IF(AND($C1301=12,$D1301=Input!$C$6),0,IF($E1302="","",V1302+Z1303/(1+L1302)*R1302))</f>
        <v/>
      </c>
      <c r="AA1302" s="164" t="str">
        <f>IF(OR($M1302=1,AND($C1301=12,$D1301=Input!$C$6)),0,IF($E1302="","",W1302+(X1302+AA1303*$R1302)/(1+$L1302)))</f>
        <v/>
      </c>
      <c r="AB1302" s="160" t="str">
        <f t="shared" si="419"/>
        <v/>
      </c>
      <c r="AC1302" s="164" t="str">
        <f t="shared" si="420"/>
        <v/>
      </c>
      <c r="AD1302" s="164" t="str">
        <f>IF(AND($C1301=12,$D1301=Input!$C$6),0,IF($E1302="","",$AC1302+AD1303/(1+$L1302)*$R1302))</f>
        <v/>
      </c>
      <c r="AE1302" s="152"/>
      <c r="AF1302" s="164" t="str">
        <f>IF(AND($C1301=12,$D1301=Input!$C$6),0,IF($E1302="","",IF($B1302&gt;Input!$C$9,$AC1302,0)+AF1303/(1+$L1302)*$R1302))</f>
        <v/>
      </c>
      <c r="AG1302" s="164" t="str">
        <f>IF(AND($C1301=12,$D1301=Input!$C$6),0,IF($E1302="","",(IF($B1302&gt;Input!$C$9,$X1302,0)+AG1303)/(1+$L1302)*$R1302))</f>
        <v/>
      </c>
      <c r="AH1302" s="160" t="str">
        <f t="shared" si="421"/>
        <v/>
      </c>
      <c r="AI1302" s="160" t="str">
        <f>IF($E1302="","",MIN(Input!$C$61/AH1302,1))</f>
        <v/>
      </c>
      <c r="AJ1302" s="152"/>
      <c r="AK1302" s="164" t="str">
        <f>IF(AND($C1301=12,$D1301=Input!$C$6),0,IF($E1302="","",IF($B1302&gt;Input!$C$9,$AC1302*AI1302,0)+AK1303/(1+$L1302)*$R1302))</f>
        <v/>
      </c>
      <c r="AL1302" s="164" t="str">
        <f>IF(AND($C1301=12,$D1301=Input!$C$6),0,IF($E1302="","",IF($B1302&gt;Input!$C$9,0,$AC1302)+AL1303/(1+$L1302)*$R1302))</f>
        <v/>
      </c>
      <c r="AM1302" s="160" t="str">
        <f t="shared" si="422"/>
        <v/>
      </c>
      <c r="AN1302" s="164" t="str">
        <f>IF($E1302="","",IF($B1302&gt;Input!$C$9,$AI1302*$AC1302,$AM1302*$AC1302))</f>
        <v/>
      </c>
      <c r="AO1302" s="164" t="str">
        <f>IF(AND($C1301=12,$D1301=Input!$C$6),0,IF($E1302="","",$AN1302+AO1303/(1+$L1302)*$R1302))</f>
        <v/>
      </c>
      <c r="AP1302" s="152"/>
      <c r="AQ1302" s="150" t="str">
        <f t="shared" si="423"/>
        <v/>
      </c>
      <c r="AR1302" s="150" t="str">
        <f t="shared" si="430"/>
        <v/>
      </c>
      <c r="AS1302" s="150" t="str">
        <f t="shared" si="431"/>
        <v/>
      </c>
      <c r="AT1302" s="150" t="str">
        <f t="shared" si="424"/>
        <v/>
      </c>
      <c r="AU1302" s="152"/>
      <c r="AV1302" s="147" t="str">
        <f>'Deterministic Reserve'!BC1302</f>
        <v/>
      </c>
      <c r="AY1302" s="152"/>
    </row>
    <row r="1303" spans="1:51" s="150" customFormat="1" x14ac:dyDescent="0.25">
      <c r="A1303" s="150" t="str">
        <f t="shared" si="432"/>
        <v/>
      </c>
      <c r="B1303" s="150" t="str">
        <f t="shared" si="433"/>
        <v/>
      </c>
      <c r="C1303" s="150" t="str">
        <f t="shared" si="434"/>
        <v/>
      </c>
      <c r="D1303" s="150" t="str">
        <f>IF(E1303="","",Input!$C$4+B1303-1)</f>
        <v/>
      </c>
      <c r="E1303" s="150" t="str">
        <f>IF(OR(AND(C1302=12,D1302=Input!$C$6),E1302=""),"",1)</f>
        <v/>
      </c>
      <c r="G1303" s="151" t="str">
        <f>IF(E1303="","",MAX(0,Input!$C$9-B1303))</f>
        <v/>
      </c>
      <c r="H1303" s="152" t="str">
        <f>IF(E1303="","",Input!$C$3)</f>
        <v/>
      </c>
      <c r="I1303" s="153" t="str">
        <f>IF(E1303="","",HLOOKUP($B1303,Input!$C$13:$BT$14,2))</f>
        <v/>
      </c>
      <c r="J1303" s="154"/>
      <c r="K1303" s="150" t="str">
        <f>IF($E1303="","",Input!$C$57)</f>
        <v/>
      </c>
      <c r="L1303" s="150" t="str">
        <f t="shared" si="425"/>
        <v/>
      </c>
      <c r="M1303" s="147" t="str">
        <f>IF($E1303="","",VLOOKUP(IF($B1303&lt;=Input!$C$7,$B1303,26),'Mortality Tables'!$A$72:$CA$97,IF($B1303&lt;=Input!$C$7+1,Input!$C$4-16,$D1303-Input!$C$7-16),0)/1000)</f>
        <v/>
      </c>
      <c r="N1303" s="147" t="str">
        <f t="shared" si="416"/>
        <v/>
      </c>
      <c r="O1303" s="157" t="str">
        <f>IF($E1303="","",IF($C1303=12,IF($B1303&lt;Input!$C$9,Input!$C$54,IF($B1303=Input!$C$9,Input!$C$55,Input!$C$56)),0%))</f>
        <v/>
      </c>
      <c r="P1303" s="167" t="str">
        <f>IF($E1303="","",IF($B1303=1,Input!$C$59,IF($B1303&lt;6,Input!$C$60,0%)))</f>
        <v/>
      </c>
      <c r="Q1303" s="162" t="str">
        <f>IF($E1303="","",Input!$C$58)</f>
        <v/>
      </c>
      <c r="R1303" s="156" t="str">
        <f t="shared" si="426"/>
        <v/>
      </c>
      <c r="S1303" s="154" t="str">
        <f t="shared" si="417"/>
        <v/>
      </c>
      <c r="T1303" s="152"/>
      <c r="U1303" s="150" t="str">
        <f t="shared" si="427"/>
        <v/>
      </c>
      <c r="V1303" s="150" t="str">
        <f t="shared" si="428"/>
        <v/>
      </c>
      <c r="W1303" s="168" t="str">
        <f t="shared" si="429"/>
        <v/>
      </c>
      <c r="X1303" s="163" t="str">
        <f t="shared" si="418"/>
        <v/>
      </c>
      <c r="Y1303" s="152"/>
      <c r="Z1303" s="164" t="str">
        <f>IF(AND($C1302=12,$D1302=Input!$C$6),0,IF($E1303="","",V1303+Z1304/(1+L1303)*R1303))</f>
        <v/>
      </c>
      <c r="AA1303" s="164" t="str">
        <f>IF(OR($M1303=1,AND($C1302=12,$D1302=Input!$C$6)),0,IF($E1303="","",W1303+(X1303+AA1304*$R1303)/(1+$L1303)))</f>
        <v/>
      </c>
      <c r="AB1303" s="160" t="str">
        <f t="shared" si="419"/>
        <v/>
      </c>
      <c r="AC1303" s="164" t="str">
        <f t="shared" si="420"/>
        <v/>
      </c>
      <c r="AD1303" s="164" t="str">
        <f>IF(AND($C1302=12,$D1302=Input!$C$6),0,IF($E1303="","",$AC1303+AD1304/(1+$L1303)*$R1303))</f>
        <v/>
      </c>
      <c r="AE1303" s="152"/>
      <c r="AF1303" s="164" t="str">
        <f>IF(AND($C1302=12,$D1302=Input!$C$6),0,IF($E1303="","",IF($B1303&gt;Input!$C$9,$AC1303,0)+AF1304/(1+$L1303)*$R1303))</f>
        <v/>
      </c>
      <c r="AG1303" s="164" t="str">
        <f>IF(AND($C1302=12,$D1302=Input!$C$6),0,IF($E1303="","",(IF($B1303&gt;Input!$C$9,$X1303,0)+AG1304)/(1+$L1303)*$R1303))</f>
        <v/>
      </c>
      <c r="AH1303" s="160" t="str">
        <f t="shared" si="421"/>
        <v/>
      </c>
      <c r="AI1303" s="160" t="str">
        <f>IF($E1303="","",MIN(Input!$C$61/AH1303,1))</f>
        <v/>
      </c>
      <c r="AJ1303" s="152"/>
      <c r="AK1303" s="164" t="str">
        <f>IF(AND($C1302=12,$D1302=Input!$C$6),0,IF($E1303="","",IF($B1303&gt;Input!$C$9,$AC1303*AI1303,0)+AK1304/(1+$L1303)*$R1303))</f>
        <v/>
      </c>
      <c r="AL1303" s="164" t="str">
        <f>IF(AND($C1302=12,$D1302=Input!$C$6),0,IF($E1303="","",IF($B1303&gt;Input!$C$9,0,$AC1303)+AL1304/(1+$L1303)*$R1303))</f>
        <v/>
      </c>
      <c r="AM1303" s="160" t="str">
        <f t="shared" si="422"/>
        <v/>
      </c>
      <c r="AN1303" s="164" t="str">
        <f>IF($E1303="","",IF($B1303&gt;Input!$C$9,$AI1303*$AC1303,$AM1303*$AC1303))</f>
        <v/>
      </c>
      <c r="AO1303" s="164" t="str">
        <f>IF(AND($C1302=12,$D1302=Input!$C$6),0,IF($E1303="","",$AN1303+AO1304/(1+$L1303)*$R1303))</f>
        <v/>
      </c>
      <c r="AP1303" s="152"/>
      <c r="AQ1303" s="150" t="str">
        <f t="shared" si="423"/>
        <v/>
      </c>
      <c r="AR1303" s="150" t="str">
        <f t="shared" si="430"/>
        <v/>
      </c>
      <c r="AS1303" s="150" t="str">
        <f t="shared" si="431"/>
        <v/>
      </c>
      <c r="AT1303" s="150" t="str">
        <f t="shared" si="424"/>
        <v/>
      </c>
      <c r="AU1303" s="152"/>
      <c r="AV1303" s="147" t="str">
        <f>'Deterministic Reserve'!BC1303</f>
        <v/>
      </c>
      <c r="AY1303" s="152"/>
    </row>
    <row r="1304" spans="1:51" s="150" customFormat="1" x14ac:dyDescent="0.25">
      <c r="A1304" s="150" t="str">
        <f t="shared" si="432"/>
        <v/>
      </c>
      <c r="B1304" s="150" t="str">
        <f t="shared" si="433"/>
        <v/>
      </c>
      <c r="C1304" s="150" t="str">
        <f t="shared" si="434"/>
        <v/>
      </c>
      <c r="D1304" s="150" t="str">
        <f>IF(E1304="","",Input!$C$4+B1304-1)</f>
        <v/>
      </c>
      <c r="E1304" s="150" t="str">
        <f>IF(OR(AND(C1303=12,D1303=Input!$C$6),E1303=""),"",1)</f>
        <v/>
      </c>
      <c r="G1304" s="151" t="str">
        <f>IF(E1304="","",MAX(0,Input!$C$9-B1304))</f>
        <v/>
      </c>
      <c r="H1304" s="152" t="str">
        <f>IF(E1304="","",Input!$C$3)</f>
        <v/>
      </c>
      <c r="I1304" s="153" t="str">
        <f>IF(E1304="","",HLOOKUP($B1304,Input!$C$13:$BT$14,2))</f>
        <v/>
      </c>
      <c r="J1304" s="154"/>
      <c r="K1304" s="150" t="str">
        <f>IF($E1304="","",Input!$C$57)</f>
        <v/>
      </c>
      <c r="L1304" s="150" t="str">
        <f t="shared" si="425"/>
        <v/>
      </c>
      <c r="M1304" s="147" t="str">
        <f>IF($E1304="","",VLOOKUP(IF($B1304&lt;=Input!$C$7,$B1304,26),'Mortality Tables'!$A$72:$CA$97,IF($B1304&lt;=Input!$C$7+1,Input!$C$4-16,$D1304-Input!$C$7-16),0)/1000)</f>
        <v/>
      </c>
      <c r="N1304" s="147" t="str">
        <f t="shared" si="416"/>
        <v/>
      </c>
      <c r="O1304" s="157" t="str">
        <f>IF($E1304="","",IF($C1304=12,IF($B1304&lt;Input!$C$9,Input!$C$54,IF($B1304=Input!$C$9,Input!$C$55,Input!$C$56)),0%))</f>
        <v/>
      </c>
      <c r="P1304" s="167" t="str">
        <f>IF($E1304="","",IF($B1304=1,Input!$C$59,IF($B1304&lt;6,Input!$C$60,0%)))</f>
        <v/>
      </c>
      <c r="Q1304" s="162" t="str">
        <f>IF($E1304="","",Input!$C$58)</f>
        <v/>
      </c>
      <c r="R1304" s="156" t="str">
        <f t="shared" si="426"/>
        <v/>
      </c>
      <c r="S1304" s="154" t="str">
        <f t="shared" si="417"/>
        <v/>
      </c>
      <c r="T1304" s="152"/>
      <c r="U1304" s="150" t="str">
        <f t="shared" si="427"/>
        <v/>
      </c>
      <c r="V1304" s="150" t="str">
        <f t="shared" si="428"/>
        <v/>
      </c>
      <c r="W1304" s="168" t="str">
        <f t="shared" si="429"/>
        <v/>
      </c>
      <c r="X1304" s="163" t="str">
        <f t="shared" si="418"/>
        <v/>
      </c>
      <c r="Y1304" s="152"/>
      <c r="Z1304" s="164" t="str">
        <f>IF(AND($C1303=12,$D1303=Input!$C$6),0,IF($E1304="","",V1304+Z1305/(1+L1304)*R1304))</f>
        <v/>
      </c>
      <c r="AA1304" s="164" t="str">
        <f>IF(OR($M1304=1,AND($C1303=12,$D1303=Input!$C$6)),0,IF($E1304="","",W1304+(X1304+AA1305*$R1304)/(1+$L1304)))</f>
        <v/>
      </c>
      <c r="AB1304" s="160" t="str">
        <f t="shared" si="419"/>
        <v/>
      </c>
      <c r="AC1304" s="164" t="str">
        <f t="shared" si="420"/>
        <v/>
      </c>
      <c r="AD1304" s="164" t="str">
        <f>IF(AND($C1303=12,$D1303=Input!$C$6),0,IF($E1304="","",$AC1304+AD1305/(1+$L1304)*$R1304))</f>
        <v/>
      </c>
      <c r="AE1304" s="152"/>
      <c r="AF1304" s="164" t="str">
        <f>IF(AND($C1303=12,$D1303=Input!$C$6),0,IF($E1304="","",IF($B1304&gt;Input!$C$9,$AC1304,0)+AF1305/(1+$L1304)*$R1304))</f>
        <v/>
      </c>
      <c r="AG1304" s="164" t="str">
        <f>IF(AND($C1303=12,$D1303=Input!$C$6),0,IF($E1304="","",(IF($B1304&gt;Input!$C$9,$X1304,0)+AG1305)/(1+$L1304)*$R1304))</f>
        <v/>
      </c>
      <c r="AH1304" s="160" t="str">
        <f t="shared" si="421"/>
        <v/>
      </c>
      <c r="AI1304" s="160" t="str">
        <f>IF($E1304="","",MIN(Input!$C$61/AH1304,1))</f>
        <v/>
      </c>
      <c r="AJ1304" s="152"/>
      <c r="AK1304" s="164" t="str">
        <f>IF(AND($C1303=12,$D1303=Input!$C$6),0,IF($E1304="","",IF($B1304&gt;Input!$C$9,$AC1304*AI1304,0)+AK1305/(1+$L1304)*$R1304))</f>
        <v/>
      </c>
      <c r="AL1304" s="164" t="str">
        <f>IF(AND($C1303=12,$D1303=Input!$C$6),0,IF($E1304="","",IF($B1304&gt;Input!$C$9,0,$AC1304)+AL1305/(1+$L1304)*$R1304))</f>
        <v/>
      </c>
      <c r="AM1304" s="160" t="str">
        <f t="shared" si="422"/>
        <v/>
      </c>
      <c r="AN1304" s="164" t="str">
        <f>IF($E1304="","",IF($B1304&gt;Input!$C$9,$AI1304*$AC1304,$AM1304*$AC1304))</f>
        <v/>
      </c>
      <c r="AO1304" s="164" t="str">
        <f>IF(AND($C1303=12,$D1303=Input!$C$6),0,IF($E1304="","",$AN1304+AO1305/(1+$L1304)*$R1304))</f>
        <v/>
      </c>
      <c r="AP1304" s="152"/>
      <c r="AQ1304" s="150" t="str">
        <f t="shared" si="423"/>
        <v/>
      </c>
      <c r="AR1304" s="150" t="str">
        <f t="shared" si="430"/>
        <v/>
      </c>
      <c r="AS1304" s="150" t="str">
        <f t="shared" si="431"/>
        <v/>
      </c>
      <c r="AT1304" s="150" t="str">
        <f t="shared" si="424"/>
        <v/>
      </c>
      <c r="AU1304" s="152"/>
      <c r="AV1304" s="147" t="str">
        <f>'Deterministic Reserve'!BC1304</f>
        <v/>
      </c>
      <c r="AY1304" s="152"/>
    </row>
    <row r="1305" spans="1:51" s="150" customFormat="1" x14ac:dyDescent="0.25">
      <c r="A1305" s="150" t="str">
        <f t="shared" si="432"/>
        <v/>
      </c>
      <c r="B1305" s="150" t="str">
        <f t="shared" si="433"/>
        <v/>
      </c>
      <c r="C1305" s="150" t="str">
        <f t="shared" si="434"/>
        <v/>
      </c>
      <c r="D1305" s="150" t="str">
        <f>IF(E1305="","",Input!$C$4+B1305-1)</f>
        <v/>
      </c>
      <c r="E1305" s="150" t="str">
        <f>IF(OR(AND(C1304=12,D1304=Input!$C$6),E1304=""),"",1)</f>
        <v/>
      </c>
      <c r="G1305" s="151" t="str">
        <f>IF(E1305="","",MAX(0,Input!$C$9-B1305))</f>
        <v/>
      </c>
      <c r="H1305" s="152" t="str">
        <f>IF(E1305="","",Input!$C$3)</f>
        <v/>
      </c>
      <c r="I1305" s="153" t="str">
        <f>IF(E1305="","",HLOOKUP($B1305,Input!$C$13:$BT$14,2))</f>
        <v/>
      </c>
      <c r="J1305" s="154"/>
      <c r="K1305" s="150" t="str">
        <f>IF($E1305="","",Input!$C$57)</f>
        <v/>
      </c>
      <c r="L1305" s="150" t="str">
        <f t="shared" si="425"/>
        <v/>
      </c>
      <c r="M1305" s="147" t="str">
        <f>IF($E1305="","",VLOOKUP(IF($B1305&lt;=Input!$C$7,$B1305,26),'Mortality Tables'!$A$72:$CA$97,IF($B1305&lt;=Input!$C$7+1,Input!$C$4-16,$D1305-Input!$C$7-16),0)/1000)</f>
        <v/>
      </c>
      <c r="N1305" s="147" t="str">
        <f t="shared" si="416"/>
        <v/>
      </c>
      <c r="O1305" s="157" t="str">
        <f>IF($E1305="","",IF($C1305=12,IF($B1305&lt;Input!$C$9,Input!$C$54,IF($B1305=Input!$C$9,Input!$C$55,Input!$C$56)),0%))</f>
        <v/>
      </c>
      <c r="P1305" s="167" t="str">
        <f>IF($E1305="","",IF($B1305=1,Input!$C$59,IF($B1305&lt;6,Input!$C$60,0%)))</f>
        <v/>
      </c>
      <c r="Q1305" s="162" t="str">
        <f>IF($E1305="","",Input!$C$58)</f>
        <v/>
      </c>
      <c r="R1305" s="156" t="str">
        <f t="shared" si="426"/>
        <v/>
      </c>
      <c r="S1305" s="154" t="str">
        <f t="shared" si="417"/>
        <v/>
      </c>
      <c r="T1305" s="152"/>
      <c r="U1305" s="150" t="str">
        <f t="shared" si="427"/>
        <v/>
      </c>
      <c r="V1305" s="150" t="str">
        <f t="shared" si="428"/>
        <v/>
      </c>
      <c r="W1305" s="168" t="str">
        <f t="shared" si="429"/>
        <v/>
      </c>
      <c r="X1305" s="163" t="str">
        <f t="shared" si="418"/>
        <v/>
      </c>
      <c r="Y1305" s="152"/>
      <c r="Z1305" s="164" t="str">
        <f>IF(AND($C1304=12,$D1304=Input!$C$6),0,IF($E1305="","",V1305+Z1306/(1+L1305)*R1305))</f>
        <v/>
      </c>
      <c r="AA1305" s="164" t="str">
        <f>IF(OR($M1305=1,AND($C1304=12,$D1304=Input!$C$6)),0,IF($E1305="","",W1305+(X1305+AA1306*$R1305)/(1+$L1305)))</f>
        <v/>
      </c>
      <c r="AB1305" s="160" t="str">
        <f t="shared" si="419"/>
        <v/>
      </c>
      <c r="AC1305" s="164" t="str">
        <f t="shared" si="420"/>
        <v/>
      </c>
      <c r="AD1305" s="164" t="str">
        <f>IF(AND($C1304=12,$D1304=Input!$C$6),0,IF($E1305="","",$AC1305+AD1306/(1+$L1305)*$R1305))</f>
        <v/>
      </c>
      <c r="AE1305" s="152"/>
      <c r="AF1305" s="164" t="str">
        <f>IF(AND($C1304=12,$D1304=Input!$C$6),0,IF($E1305="","",IF($B1305&gt;Input!$C$9,$AC1305,0)+AF1306/(1+$L1305)*$R1305))</f>
        <v/>
      </c>
      <c r="AG1305" s="164" t="str">
        <f>IF(AND($C1304=12,$D1304=Input!$C$6),0,IF($E1305="","",(IF($B1305&gt;Input!$C$9,$X1305,0)+AG1306)/(1+$L1305)*$R1305))</f>
        <v/>
      </c>
      <c r="AH1305" s="160" t="str">
        <f t="shared" si="421"/>
        <v/>
      </c>
      <c r="AI1305" s="160" t="str">
        <f>IF($E1305="","",MIN(Input!$C$61/AH1305,1))</f>
        <v/>
      </c>
      <c r="AJ1305" s="152"/>
      <c r="AK1305" s="164" t="str">
        <f>IF(AND($C1304=12,$D1304=Input!$C$6),0,IF($E1305="","",IF($B1305&gt;Input!$C$9,$AC1305*AI1305,0)+AK1306/(1+$L1305)*$R1305))</f>
        <v/>
      </c>
      <c r="AL1305" s="164" t="str">
        <f>IF(AND($C1304=12,$D1304=Input!$C$6),0,IF($E1305="","",IF($B1305&gt;Input!$C$9,0,$AC1305)+AL1306/(1+$L1305)*$R1305))</f>
        <v/>
      </c>
      <c r="AM1305" s="160" t="str">
        <f t="shared" si="422"/>
        <v/>
      </c>
      <c r="AN1305" s="164" t="str">
        <f>IF($E1305="","",IF($B1305&gt;Input!$C$9,$AI1305*$AC1305,$AM1305*$AC1305))</f>
        <v/>
      </c>
      <c r="AO1305" s="164" t="str">
        <f>IF(AND($C1304=12,$D1304=Input!$C$6),0,IF($E1305="","",$AN1305+AO1306/(1+$L1305)*$R1305))</f>
        <v/>
      </c>
      <c r="AP1305" s="152"/>
      <c r="AQ1305" s="150" t="str">
        <f t="shared" si="423"/>
        <v/>
      </c>
      <c r="AR1305" s="150" t="str">
        <f t="shared" si="430"/>
        <v/>
      </c>
      <c r="AS1305" s="150" t="str">
        <f t="shared" si="431"/>
        <v/>
      </c>
      <c r="AT1305" s="150" t="str">
        <f t="shared" si="424"/>
        <v/>
      </c>
      <c r="AU1305" s="152"/>
      <c r="AV1305" s="147" t="str">
        <f>'Deterministic Reserve'!BC1305</f>
        <v/>
      </c>
      <c r="AY1305" s="152"/>
    </row>
    <row r="1306" spans="1:51" s="150" customFormat="1" x14ac:dyDescent="0.25">
      <c r="A1306" s="150" t="str">
        <f t="shared" si="432"/>
        <v/>
      </c>
      <c r="B1306" s="150" t="str">
        <f t="shared" si="433"/>
        <v/>
      </c>
      <c r="C1306" s="150" t="str">
        <f t="shared" si="434"/>
        <v/>
      </c>
      <c r="D1306" s="150" t="str">
        <f>IF(E1306="","",Input!$C$4+B1306-1)</f>
        <v/>
      </c>
      <c r="E1306" s="150" t="str">
        <f>IF(OR(AND(C1305=12,D1305=Input!$C$6),E1305=""),"",1)</f>
        <v/>
      </c>
      <c r="G1306" s="151" t="str">
        <f>IF(E1306="","",MAX(0,Input!$C$9-B1306))</f>
        <v/>
      </c>
      <c r="H1306" s="152" t="str">
        <f>IF(E1306="","",Input!$C$3)</f>
        <v/>
      </c>
      <c r="I1306" s="153" t="str">
        <f>IF(E1306="","",HLOOKUP($B1306,Input!$C$13:$BT$14,2))</f>
        <v/>
      </c>
      <c r="J1306" s="154"/>
      <c r="K1306" s="150" t="str">
        <f>IF($E1306="","",Input!$C$57)</f>
        <v/>
      </c>
      <c r="L1306" s="150" t="str">
        <f t="shared" si="425"/>
        <v/>
      </c>
      <c r="M1306" s="147" t="str">
        <f>IF($E1306="","",VLOOKUP(IF($B1306&lt;=Input!$C$7,$B1306,26),'Mortality Tables'!$A$72:$CA$97,IF($B1306&lt;=Input!$C$7+1,Input!$C$4-16,$D1306-Input!$C$7-16),0)/1000)</f>
        <v/>
      </c>
      <c r="N1306" s="147" t="str">
        <f t="shared" si="416"/>
        <v/>
      </c>
      <c r="O1306" s="157" t="str">
        <f>IF($E1306="","",IF($C1306=12,IF($B1306&lt;Input!$C$9,Input!$C$54,IF($B1306=Input!$C$9,Input!$C$55,Input!$C$56)),0%))</f>
        <v/>
      </c>
      <c r="P1306" s="167" t="str">
        <f>IF($E1306="","",IF($B1306=1,Input!$C$59,IF($B1306&lt;6,Input!$C$60,0%)))</f>
        <v/>
      </c>
      <c r="Q1306" s="162" t="str">
        <f>IF($E1306="","",Input!$C$58)</f>
        <v/>
      </c>
      <c r="R1306" s="156" t="str">
        <f t="shared" si="426"/>
        <v/>
      </c>
      <c r="S1306" s="154" t="str">
        <f t="shared" si="417"/>
        <v/>
      </c>
      <c r="T1306" s="152"/>
      <c r="U1306" s="150" t="str">
        <f t="shared" si="427"/>
        <v/>
      </c>
      <c r="V1306" s="150" t="str">
        <f t="shared" si="428"/>
        <v/>
      </c>
      <c r="W1306" s="168" t="str">
        <f t="shared" si="429"/>
        <v/>
      </c>
      <c r="X1306" s="163" t="str">
        <f t="shared" si="418"/>
        <v/>
      </c>
      <c r="Y1306" s="152"/>
      <c r="Z1306" s="164" t="str">
        <f>IF(AND($C1305=12,$D1305=Input!$C$6),0,IF($E1306="","",V1306+Z1307/(1+L1306)*R1306))</f>
        <v/>
      </c>
      <c r="AA1306" s="164" t="str">
        <f>IF(OR($M1306=1,AND($C1305=12,$D1305=Input!$C$6)),0,IF($E1306="","",W1306+(X1306+AA1307*$R1306)/(1+$L1306)))</f>
        <v/>
      </c>
      <c r="AB1306" s="160" t="str">
        <f t="shared" si="419"/>
        <v/>
      </c>
      <c r="AC1306" s="164" t="str">
        <f t="shared" si="420"/>
        <v/>
      </c>
      <c r="AD1306" s="164" t="str">
        <f>IF(AND($C1305=12,$D1305=Input!$C$6),0,IF($E1306="","",$AC1306+AD1307/(1+$L1306)*$R1306))</f>
        <v/>
      </c>
      <c r="AE1306" s="152"/>
      <c r="AF1306" s="164" t="str">
        <f>IF(AND($C1305=12,$D1305=Input!$C$6),0,IF($E1306="","",IF($B1306&gt;Input!$C$9,$AC1306,0)+AF1307/(1+$L1306)*$R1306))</f>
        <v/>
      </c>
      <c r="AG1306" s="164" t="str">
        <f>IF(AND($C1305=12,$D1305=Input!$C$6),0,IF($E1306="","",(IF($B1306&gt;Input!$C$9,$X1306,0)+AG1307)/(1+$L1306)*$R1306))</f>
        <v/>
      </c>
      <c r="AH1306" s="160" t="str">
        <f t="shared" si="421"/>
        <v/>
      </c>
      <c r="AI1306" s="160" t="str">
        <f>IF($E1306="","",MIN(Input!$C$61/AH1306,1))</f>
        <v/>
      </c>
      <c r="AJ1306" s="152"/>
      <c r="AK1306" s="164" t="str">
        <f>IF(AND($C1305=12,$D1305=Input!$C$6),0,IF($E1306="","",IF($B1306&gt;Input!$C$9,$AC1306*AI1306,0)+AK1307/(1+$L1306)*$R1306))</f>
        <v/>
      </c>
      <c r="AL1306" s="164" t="str">
        <f>IF(AND($C1305=12,$D1305=Input!$C$6),0,IF($E1306="","",IF($B1306&gt;Input!$C$9,0,$AC1306)+AL1307/(1+$L1306)*$R1306))</f>
        <v/>
      </c>
      <c r="AM1306" s="160" t="str">
        <f t="shared" si="422"/>
        <v/>
      </c>
      <c r="AN1306" s="164" t="str">
        <f>IF($E1306="","",IF($B1306&gt;Input!$C$9,$AI1306*$AC1306,$AM1306*$AC1306))</f>
        <v/>
      </c>
      <c r="AO1306" s="164" t="str">
        <f>IF(AND($C1305=12,$D1305=Input!$C$6),0,IF($E1306="","",$AN1306+AO1307/(1+$L1306)*$R1306))</f>
        <v/>
      </c>
      <c r="AP1306" s="152"/>
      <c r="AQ1306" s="150" t="str">
        <f t="shared" si="423"/>
        <v/>
      </c>
      <c r="AR1306" s="150" t="str">
        <f t="shared" si="430"/>
        <v/>
      </c>
      <c r="AS1306" s="150" t="str">
        <f t="shared" si="431"/>
        <v/>
      </c>
      <c r="AT1306" s="150" t="str">
        <f t="shared" si="424"/>
        <v/>
      </c>
      <c r="AU1306" s="152"/>
      <c r="AV1306" s="147" t="str">
        <f>'Deterministic Reserve'!BC1306</f>
        <v/>
      </c>
      <c r="AY1306" s="152"/>
    </row>
    <row r="1307" spans="1:51" s="150" customFormat="1" x14ac:dyDescent="0.25">
      <c r="A1307" s="150" t="str">
        <f t="shared" si="432"/>
        <v/>
      </c>
      <c r="B1307" s="150" t="str">
        <f t="shared" si="433"/>
        <v/>
      </c>
      <c r="C1307" s="150" t="str">
        <f t="shared" si="434"/>
        <v/>
      </c>
      <c r="D1307" s="150" t="str">
        <f>IF(E1307="","",Input!$C$4+B1307-1)</f>
        <v/>
      </c>
      <c r="E1307" s="150" t="str">
        <f>IF(OR(AND(C1306=12,D1306=Input!$C$6),E1306=""),"",1)</f>
        <v/>
      </c>
      <c r="G1307" s="151" t="str">
        <f>IF(E1307="","",MAX(0,Input!$C$9-B1307))</f>
        <v/>
      </c>
      <c r="H1307" s="152" t="str">
        <f>IF(E1307="","",Input!$C$3)</f>
        <v/>
      </c>
      <c r="I1307" s="153" t="str">
        <f>IF(E1307="","",HLOOKUP($B1307,Input!$C$13:$BT$14,2))</f>
        <v/>
      </c>
      <c r="J1307" s="154"/>
      <c r="K1307" s="150" t="str">
        <f>IF($E1307="","",Input!$C$57)</f>
        <v/>
      </c>
      <c r="L1307" s="150" t="str">
        <f t="shared" si="425"/>
        <v/>
      </c>
      <c r="M1307" s="147" t="str">
        <f>IF($E1307="","",VLOOKUP(IF($B1307&lt;=Input!$C$7,$B1307,26),'Mortality Tables'!$A$72:$CA$97,IF($B1307&lt;=Input!$C$7+1,Input!$C$4-16,$D1307-Input!$C$7-16),0)/1000)</f>
        <v/>
      </c>
      <c r="N1307" s="147" t="str">
        <f t="shared" si="416"/>
        <v/>
      </c>
      <c r="O1307" s="157" t="str">
        <f>IF($E1307="","",IF($C1307=12,IF($B1307&lt;Input!$C$9,Input!$C$54,IF($B1307=Input!$C$9,Input!$C$55,Input!$C$56)),0%))</f>
        <v/>
      </c>
      <c r="P1307" s="167" t="str">
        <f>IF($E1307="","",IF($B1307=1,Input!$C$59,IF($B1307&lt;6,Input!$C$60,0%)))</f>
        <v/>
      </c>
      <c r="Q1307" s="162" t="str">
        <f>IF($E1307="","",Input!$C$58)</f>
        <v/>
      </c>
      <c r="R1307" s="156" t="str">
        <f t="shared" si="426"/>
        <v/>
      </c>
      <c r="S1307" s="154" t="str">
        <f t="shared" si="417"/>
        <v/>
      </c>
      <c r="T1307" s="152"/>
      <c r="U1307" s="150" t="str">
        <f t="shared" si="427"/>
        <v/>
      </c>
      <c r="V1307" s="150" t="str">
        <f t="shared" si="428"/>
        <v/>
      </c>
      <c r="W1307" s="168" t="str">
        <f t="shared" si="429"/>
        <v/>
      </c>
      <c r="X1307" s="163" t="str">
        <f t="shared" si="418"/>
        <v/>
      </c>
      <c r="Y1307" s="152"/>
      <c r="Z1307" s="164" t="str">
        <f>IF(AND($C1306=12,$D1306=Input!$C$6),0,IF($E1307="","",V1307+Z1308/(1+L1307)*R1307))</f>
        <v/>
      </c>
      <c r="AA1307" s="164" t="str">
        <f>IF(OR($M1307=1,AND($C1306=12,$D1306=Input!$C$6)),0,IF($E1307="","",W1307+(X1307+AA1308*$R1307)/(1+$L1307)))</f>
        <v/>
      </c>
      <c r="AB1307" s="160" t="str">
        <f t="shared" si="419"/>
        <v/>
      </c>
      <c r="AC1307" s="164" t="str">
        <f t="shared" si="420"/>
        <v/>
      </c>
      <c r="AD1307" s="164" t="str">
        <f>IF(AND($C1306=12,$D1306=Input!$C$6),0,IF($E1307="","",$AC1307+AD1308/(1+$L1307)*$R1307))</f>
        <v/>
      </c>
      <c r="AE1307" s="152"/>
      <c r="AF1307" s="164" t="str">
        <f>IF(AND($C1306=12,$D1306=Input!$C$6),0,IF($E1307="","",IF($B1307&gt;Input!$C$9,$AC1307,0)+AF1308/(1+$L1307)*$R1307))</f>
        <v/>
      </c>
      <c r="AG1307" s="164" t="str">
        <f>IF(AND($C1306=12,$D1306=Input!$C$6),0,IF($E1307="","",(IF($B1307&gt;Input!$C$9,$X1307,0)+AG1308)/(1+$L1307)*$R1307))</f>
        <v/>
      </c>
      <c r="AH1307" s="160" t="str">
        <f t="shared" si="421"/>
        <v/>
      </c>
      <c r="AI1307" s="160" t="str">
        <f>IF($E1307="","",MIN(Input!$C$61/AH1307,1))</f>
        <v/>
      </c>
      <c r="AJ1307" s="152"/>
      <c r="AK1307" s="164" t="str">
        <f>IF(AND($C1306=12,$D1306=Input!$C$6),0,IF($E1307="","",IF($B1307&gt;Input!$C$9,$AC1307*AI1307,0)+AK1308/(1+$L1307)*$R1307))</f>
        <v/>
      </c>
      <c r="AL1307" s="164" t="str">
        <f>IF(AND($C1306=12,$D1306=Input!$C$6),0,IF($E1307="","",IF($B1307&gt;Input!$C$9,0,$AC1307)+AL1308/(1+$L1307)*$R1307))</f>
        <v/>
      </c>
      <c r="AM1307" s="160" t="str">
        <f t="shared" si="422"/>
        <v/>
      </c>
      <c r="AN1307" s="164" t="str">
        <f>IF($E1307="","",IF($B1307&gt;Input!$C$9,$AI1307*$AC1307,$AM1307*$AC1307))</f>
        <v/>
      </c>
      <c r="AO1307" s="164" t="str">
        <f>IF(AND($C1306=12,$D1306=Input!$C$6),0,IF($E1307="","",$AN1307+AO1308/(1+$L1307)*$R1307))</f>
        <v/>
      </c>
      <c r="AP1307" s="152"/>
      <c r="AQ1307" s="150" t="str">
        <f t="shared" si="423"/>
        <v/>
      </c>
      <c r="AR1307" s="150" t="str">
        <f t="shared" si="430"/>
        <v/>
      </c>
      <c r="AS1307" s="150" t="str">
        <f t="shared" si="431"/>
        <v/>
      </c>
      <c r="AT1307" s="150" t="str">
        <f t="shared" si="424"/>
        <v/>
      </c>
      <c r="AU1307" s="152"/>
      <c r="AV1307" s="147" t="str">
        <f>'Deterministic Reserve'!BC1307</f>
        <v/>
      </c>
      <c r="AY1307" s="152"/>
    </row>
    <row r="1308" spans="1:51" s="150" customFormat="1" x14ac:dyDescent="0.25">
      <c r="A1308" s="150" t="str">
        <f t="shared" si="432"/>
        <v/>
      </c>
      <c r="B1308" s="150" t="str">
        <f t="shared" si="433"/>
        <v/>
      </c>
      <c r="C1308" s="150" t="str">
        <f t="shared" si="434"/>
        <v/>
      </c>
      <c r="D1308" s="150" t="str">
        <f>IF(E1308="","",Input!$C$4+B1308-1)</f>
        <v/>
      </c>
      <c r="E1308" s="150" t="str">
        <f>IF(OR(AND(C1307=12,D1307=Input!$C$6),E1307=""),"",1)</f>
        <v/>
      </c>
      <c r="G1308" s="151" t="str">
        <f>IF(E1308="","",MAX(0,Input!$C$9-B1308))</f>
        <v/>
      </c>
      <c r="H1308" s="152" t="str">
        <f>IF(E1308="","",Input!$C$3)</f>
        <v/>
      </c>
      <c r="I1308" s="153" t="str">
        <f>IF(E1308="","",HLOOKUP($B1308,Input!$C$13:$BT$14,2))</f>
        <v/>
      </c>
      <c r="J1308" s="154"/>
      <c r="K1308" s="150" t="str">
        <f>IF($E1308="","",Input!$C$57)</f>
        <v/>
      </c>
      <c r="L1308" s="150" t="str">
        <f t="shared" si="425"/>
        <v/>
      </c>
      <c r="M1308" s="147" t="str">
        <f>IF($E1308="","",VLOOKUP(IF($B1308&lt;=Input!$C$7,$B1308,26),'Mortality Tables'!$A$72:$CA$97,IF($B1308&lt;=Input!$C$7+1,Input!$C$4-16,$D1308-Input!$C$7-16),0)/1000)</f>
        <v/>
      </c>
      <c r="N1308" s="147" t="str">
        <f t="shared" si="416"/>
        <v/>
      </c>
      <c r="O1308" s="157" t="str">
        <f>IF($E1308="","",IF($C1308=12,IF($B1308&lt;Input!$C$9,Input!$C$54,IF($B1308=Input!$C$9,Input!$C$55,Input!$C$56)),0%))</f>
        <v/>
      </c>
      <c r="P1308" s="167" t="str">
        <f>IF($E1308="","",IF($B1308=1,Input!$C$59,IF($B1308&lt;6,Input!$C$60,0%)))</f>
        <v/>
      </c>
      <c r="Q1308" s="162" t="str">
        <f>IF($E1308="","",Input!$C$58)</f>
        <v/>
      </c>
      <c r="R1308" s="156" t="str">
        <f t="shared" si="426"/>
        <v/>
      </c>
      <c r="S1308" s="154" t="str">
        <f t="shared" si="417"/>
        <v/>
      </c>
      <c r="T1308" s="152"/>
      <c r="U1308" s="150" t="str">
        <f t="shared" si="427"/>
        <v/>
      </c>
      <c r="V1308" s="150" t="str">
        <f t="shared" si="428"/>
        <v/>
      </c>
      <c r="W1308" s="168" t="str">
        <f t="shared" si="429"/>
        <v/>
      </c>
      <c r="X1308" s="163" t="str">
        <f t="shared" si="418"/>
        <v/>
      </c>
      <c r="Y1308" s="152"/>
      <c r="Z1308" s="164" t="str">
        <f>IF(AND($C1307=12,$D1307=Input!$C$6),0,IF($E1308="","",V1308+Z1309/(1+L1308)*R1308))</f>
        <v/>
      </c>
      <c r="AA1308" s="164" t="str">
        <f>IF(OR($M1308=1,AND($C1307=12,$D1307=Input!$C$6)),0,IF($E1308="","",W1308+(X1308+AA1309*$R1308)/(1+$L1308)))</f>
        <v/>
      </c>
      <c r="AB1308" s="160" t="str">
        <f t="shared" si="419"/>
        <v/>
      </c>
      <c r="AC1308" s="164" t="str">
        <f t="shared" si="420"/>
        <v/>
      </c>
      <c r="AD1308" s="164" t="str">
        <f>IF(AND($C1307=12,$D1307=Input!$C$6),0,IF($E1308="","",$AC1308+AD1309/(1+$L1308)*$R1308))</f>
        <v/>
      </c>
      <c r="AE1308" s="152"/>
      <c r="AF1308" s="164" t="str">
        <f>IF(AND($C1307=12,$D1307=Input!$C$6),0,IF($E1308="","",IF($B1308&gt;Input!$C$9,$AC1308,0)+AF1309/(1+$L1308)*$R1308))</f>
        <v/>
      </c>
      <c r="AG1308" s="164" t="str">
        <f>IF(AND($C1307=12,$D1307=Input!$C$6),0,IF($E1308="","",(IF($B1308&gt;Input!$C$9,$X1308,0)+AG1309)/(1+$L1308)*$R1308))</f>
        <v/>
      </c>
      <c r="AH1308" s="160" t="str">
        <f t="shared" si="421"/>
        <v/>
      </c>
      <c r="AI1308" s="160" t="str">
        <f>IF($E1308="","",MIN(Input!$C$61/AH1308,1))</f>
        <v/>
      </c>
      <c r="AJ1308" s="152"/>
      <c r="AK1308" s="164" t="str">
        <f>IF(AND($C1307=12,$D1307=Input!$C$6),0,IF($E1308="","",IF($B1308&gt;Input!$C$9,$AC1308*AI1308,0)+AK1309/(1+$L1308)*$R1308))</f>
        <v/>
      </c>
      <c r="AL1308" s="164" t="str">
        <f>IF(AND($C1307=12,$D1307=Input!$C$6),0,IF($E1308="","",IF($B1308&gt;Input!$C$9,0,$AC1308)+AL1309/(1+$L1308)*$R1308))</f>
        <v/>
      </c>
      <c r="AM1308" s="160" t="str">
        <f t="shared" si="422"/>
        <v/>
      </c>
      <c r="AN1308" s="164" t="str">
        <f>IF($E1308="","",IF($B1308&gt;Input!$C$9,$AI1308*$AC1308,$AM1308*$AC1308))</f>
        <v/>
      </c>
      <c r="AO1308" s="164" t="str">
        <f>IF(AND($C1307=12,$D1307=Input!$C$6),0,IF($E1308="","",$AN1308+AO1309/(1+$L1308)*$R1308))</f>
        <v/>
      </c>
      <c r="AP1308" s="152"/>
      <c r="AQ1308" s="150" t="str">
        <f t="shared" si="423"/>
        <v/>
      </c>
      <c r="AR1308" s="150" t="str">
        <f t="shared" si="430"/>
        <v/>
      </c>
      <c r="AS1308" s="150" t="str">
        <f t="shared" si="431"/>
        <v/>
      </c>
      <c r="AT1308" s="150" t="str">
        <f t="shared" si="424"/>
        <v/>
      </c>
      <c r="AU1308" s="152"/>
      <c r="AV1308" s="147" t="str">
        <f>'Deterministic Reserve'!BC1308</f>
        <v/>
      </c>
      <c r="AY1308" s="152"/>
    </row>
    <row r="1309" spans="1:51" s="150" customFormat="1" x14ac:dyDescent="0.25">
      <c r="A1309" s="150" t="str">
        <f t="shared" si="432"/>
        <v/>
      </c>
      <c r="B1309" s="150" t="str">
        <f t="shared" si="433"/>
        <v/>
      </c>
      <c r="C1309" s="150" t="str">
        <f t="shared" si="434"/>
        <v/>
      </c>
      <c r="D1309" s="150" t="str">
        <f>IF(E1309="","",Input!$C$4+B1309-1)</f>
        <v/>
      </c>
      <c r="E1309" s="150" t="str">
        <f>IF(OR(AND(C1308=12,D1308=Input!$C$6),E1308=""),"",1)</f>
        <v/>
      </c>
      <c r="G1309" s="151" t="str">
        <f>IF(E1309="","",MAX(0,Input!$C$9-B1309))</f>
        <v/>
      </c>
      <c r="H1309" s="152" t="str">
        <f>IF(E1309="","",Input!$C$3)</f>
        <v/>
      </c>
      <c r="I1309" s="153" t="str">
        <f>IF(E1309="","",HLOOKUP($B1309,Input!$C$13:$BT$14,2))</f>
        <v/>
      </c>
      <c r="J1309" s="154"/>
      <c r="K1309" s="150" t="str">
        <f>IF($E1309="","",Input!$C$57)</f>
        <v/>
      </c>
      <c r="L1309" s="150" t="str">
        <f t="shared" si="425"/>
        <v/>
      </c>
      <c r="M1309" s="147" t="str">
        <f>IF($E1309="","",VLOOKUP(IF($B1309&lt;=Input!$C$7,$B1309,26),'Mortality Tables'!$A$72:$CA$97,IF($B1309&lt;=Input!$C$7+1,Input!$C$4-16,$D1309-Input!$C$7-16),0)/1000)</f>
        <v/>
      </c>
      <c r="N1309" s="147" t="str">
        <f t="shared" si="416"/>
        <v/>
      </c>
      <c r="O1309" s="157" t="str">
        <f>IF($E1309="","",IF($C1309=12,IF($B1309&lt;Input!$C$9,Input!$C$54,IF($B1309=Input!$C$9,Input!$C$55,Input!$C$56)),0%))</f>
        <v/>
      </c>
      <c r="P1309" s="167" t="str">
        <f>IF($E1309="","",IF($B1309=1,Input!$C$59,IF($B1309&lt;6,Input!$C$60,0%)))</f>
        <v/>
      </c>
      <c r="Q1309" s="162" t="str">
        <f>IF($E1309="","",Input!$C$58)</f>
        <v/>
      </c>
      <c r="R1309" s="156" t="str">
        <f t="shared" si="426"/>
        <v/>
      </c>
      <c r="S1309" s="154" t="str">
        <f t="shared" si="417"/>
        <v/>
      </c>
      <c r="T1309" s="152"/>
      <c r="U1309" s="150" t="str">
        <f t="shared" si="427"/>
        <v/>
      </c>
      <c r="V1309" s="150" t="str">
        <f t="shared" si="428"/>
        <v/>
      </c>
      <c r="W1309" s="168" t="str">
        <f t="shared" si="429"/>
        <v/>
      </c>
      <c r="X1309" s="163" t="str">
        <f t="shared" si="418"/>
        <v/>
      </c>
      <c r="Y1309" s="152"/>
      <c r="Z1309" s="164" t="str">
        <f>IF(AND($C1308=12,$D1308=Input!$C$6),0,IF($E1309="","",V1309+Z1310/(1+L1309)*R1309))</f>
        <v/>
      </c>
      <c r="AA1309" s="164" t="str">
        <f>IF(OR($M1309=1,AND($C1308=12,$D1308=Input!$C$6)),0,IF($E1309="","",W1309+(X1309+AA1310*$R1309)/(1+$L1309)))</f>
        <v/>
      </c>
      <c r="AB1309" s="160" t="str">
        <f t="shared" si="419"/>
        <v/>
      </c>
      <c r="AC1309" s="164" t="str">
        <f t="shared" si="420"/>
        <v/>
      </c>
      <c r="AD1309" s="164" t="str">
        <f>IF(AND($C1308=12,$D1308=Input!$C$6),0,IF($E1309="","",$AC1309+AD1310/(1+$L1309)*$R1309))</f>
        <v/>
      </c>
      <c r="AE1309" s="152"/>
      <c r="AF1309" s="164" t="str">
        <f>IF(AND($C1308=12,$D1308=Input!$C$6),0,IF($E1309="","",IF($B1309&gt;Input!$C$9,$AC1309,0)+AF1310/(1+$L1309)*$R1309))</f>
        <v/>
      </c>
      <c r="AG1309" s="164" t="str">
        <f>IF(AND($C1308=12,$D1308=Input!$C$6),0,IF($E1309="","",(IF($B1309&gt;Input!$C$9,$X1309,0)+AG1310)/(1+$L1309)*$R1309))</f>
        <v/>
      </c>
      <c r="AH1309" s="160" t="str">
        <f t="shared" si="421"/>
        <v/>
      </c>
      <c r="AI1309" s="160" t="str">
        <f>IF($E1309="","",MIN(Input!$C$61/AH1309,1))</f>
        <v/>
      </c>
      <c r="AJ1309" s="152"/>
      <c r="AK1309" s="164" t="str">
        <f>IF(AND($C1308=12,$D1308=Input!$C$6),0,IF($E1309="","",IF($B1309&gt;Input!$C$9,$AC1309*AI1309,0)+AK1310/(1+$L1309)*$R1309))</f>
        <v/>
      </c>
      <c r="AL1309" s="164" t="str">
        <f>IF(AND($C1308=12,$D1308=Input!$C$6),0,IF($E1309="","",IF($B1309&gt;Input!$C$9,0,$AC1309)+AL1310/(1+$L1309)*$R1309))</f>
        <v/>
      </c>
      <c r="AM1309" s="160" t="str">
        <f t="shared" si="422"/>
        <v/>
      </c>
      <c r="AN1309" s="164" t="str">
        <f>IF($E1309="","",IF($B1309&gt;Input!$C$9,$AI1309*$AC1309,$AM1309*$AC1309))</f>
        <v/>
      </c>
      <c r="AO1309" s="164" t="str">
        <f>IF(AND($C1308=12,$D1308=Input!$C$6),0,IF($E1309="","",$AN1309+AO1310/(1+$L1309)*$R1309))</f>
        <v/>
      </c>
      <c r="AP1309" s="152"/>
      <c r="AQ1309" s="150" t="str">
        <f t="shared" si="423"/>
        <v/>
      </c>
      <c r="AR1309" s="150" t="str">
        <f t="shared" si="430"/>
        <v/>
      </c>
      <c r="AS1309" s="150" t="str">
        <f t="shared" si="431"/>
        <v/>
      </c>
      <c r="AT1309" s="150" t="str">
        <f t="shared" si="424"/>
        <v/>
      </c>
      <c r="AU1309" s="152"/>
      <c r="AV1309" s="147" t="str">
        <f>'Deterministic Reserve'!BC1309</f>
        <v/>
      </c>
      <c r="AY1309" s="152"/>
    </row>
    <row r="1310" spans="1:51" s="150" customFormat="1" x14ac:dyDescent="0.25">
      <c r="A1310" s="150" t="str">
        <f t="shared" si="432"/>
        <v/>
      </c>
      <c r="B1310" s="150" t="str">
        <f t="shared" si="433"/>
        <v/>
      </c>
      <c r="C1310" s="150" t="str">
        <f t="shared" si="434"/>
        <v/>
      </c>
      <c r="D1310" s="150" t="str">
        <f>IF(E1310="","",Input!$C$4+B1310-1)</f>
        <v/>
      </c>
      <c r="E1310" s="150" t="str">
        <f>IF(OR(AND(C1309=12,D1309=Input!$C$6),E1309=""),"",1)</f>
        <v/>
      </c>
      <c r="G1310" s="151" t="str">
        <f>IF(E1310="","",MAX(0,Input!$C$9-B1310))</f>
        <v/>
      </c>
      <c r="H1310" s="152" t="str">
        <f>IF(E1310="","",Input!$C$3)</f>
        <v/>
      </c>
      <c r="I1310" s="153" t="str">
        <f>IF(E1310="","",HLOOKUP($B1310,Input!$C$13:$BT$14,2))</f>
        <v/>
      </c>
      <c r="J1310" s="154"/>
      <c r="K1310" s="150" t="str">
        <f>IF($E1310="","",Input!$C$57)</f>
        <v/>
      </c>
      <c r="L1310" s="150" t="str">
        <f t="shared" si="425"/>
        <v/>
      </c>
      <c r="M1310" s="147" t="str">
        <f>IF($E1310="","",VLOOKUP(IF($B1310&lt;=Input!$C$7,$B1310,26),'Mortality Tables'!$A$72:$CA$97,IF($B1310&lt;=Input!$C$7+1,Input!$C$4-16,$D1310-Input!$C$7-16),0)/1000)</f>
        <v/>
      </c>
      <c r="N1310" s="147" t="str">
        <f t="shared" si="416"/>
        <v/>
      </c>
      <c r="O1310" s="157" t="str">
        <f>IF($E1310="","",IF($C1310=12,IF($B1310&lt;Input!$C$9,Input!$C$54,IF($B1310=Input!$C$9,Input!$C$55,Input!$C$56)),0%))</f>
        <v/>
      </c>
      <c r="P1310" s="167" t="str">
        <f>IF($E1310="","",IF($B1310=1,Input!$C$59,IF($B1310&lt;6,Input!$C$60,0%)))</f>
        <v/>
      </c>
      <c r="Q1310" s="162" t="str">
        <f>IF($E1310="","",Input!$C$58)</f>
        <v/>
      </c>
      <c r="R1310" s="156" t="str">
        <f t="shared" si="426"/>
        <v/>
      </c>
      <c r="S1310" s="154" t="str">
        <f t="shared" si="417"/>
        <v/>
      </c>
      <c r="T1310" s="152"/>
      <c r="U1310" s="150" t="str">
        <f t="shared" si="427"/>
        <v/>
      </c>
      <c r="V1310" s="150" t="str">
        <f t="shared" si="428"/>
        <v/>
      </c>
      <c r="W1310" s="168" t="str">
        <f t="shared" si="429"/>
        <v/>
      </c>
      <c r="X1310" s="163" t="str">
        <f t="shared" si="418"/>
        <v/>
      </c>
      <c r="Y1310" s="152"/>
      <c r="Z1310" s="164" t="str">
        <f>IF(AND($C1309=12,$D1309=Input!$C$6),0,IF($E1310="","",V1310+Z1311/(1+L1310)*R1310))</f>
        <v/>
      </c>
      <c r="AA1310" s="164" t="str">
        <f>IF(OR($M1310=1,AND($C1309=12,$D1309=Input!$C$6)),0,IF($E1310="","",W1310+(X1310+AA1311*$R1310)/(1+$L1310)))</f>
        <v/>
      </c>
      <c r="AB1310" s="160" t="str">
        <f t="shared" si="419"/>
        <v/>
      </c>
      <c r="AC1310" s="164" t="str">
        <f t="shared" si="420"/>
        <v/>
      </c>
      <c r="AD1310" s="164" t="str">
        <f>IF(AND($C1309=12,$D1309=Input!$C$6),0,IF($E1310="","",$AC1310+AD1311/(1+$L1310)*$R1310))</f>
        <v/>
      </c>
      <c r="AE1310" s="152"/>
      <c r="AF1310" s="164" t="str">
        <f>IF(AND($C1309=12,$D1309=Input!$C$6),0,IF($E1310="","",IF($B1310&gt;Input!$C$9,$AC1310,0)+AF1311/(1+$L1310)*$R1310))</f>
        <v/>
      </c>
      <c r="AG1310" s="164" t="str">
        <f>IF(AND($C1309=12,$D1309=Input!$C$6),0,IF($E1310="","",(IF($B1310&gt;Input!$C$9,$X1310,0)+AG1311)/(1+$L1310)*$R1310))</f>
        <v/>
      </c>
      <c r="AH1310" s="160" t="str">
        <f t="shared" si="421"/>
        <v/>
      </c>
      <c r="AI1310" s="160" t="str">
        <f>IF($E1310="","",MIN(Input!$C$61/AH1310,1))</f>
        <v/>
      </c>
      <c r="AJ1310" s="152"/>
      <c r="AK1310" s="164" t="str">
        <f>IF(AND($C1309=12,$D1309=Input!$C$6),0,IF($E1310="","",IF($B1310&gt;Input!$C$9,$AC1310*AI1310,0)+AK1311/(1+$L1310)*$R1310))</f>
        <v/>
      </c>
      <c r="AL1310" s="164" t="str">
        <f>IF(AND($C1309=12,$D1309=Input!$C$6),0,IF($E1310="","",IF($B1310&gt;Input!$C$9,0,$AC1310)+AL1311/(1+$L1310)*$R1310))</f>
        <v/>
      </c>
      <c r="AM1310" s="160" t="str">
        <f t="shared" si="422"/>
        <v/>
      </c>
      <c r="AN1310" s="164" t="str">
        <f>IF($E1310="","",IF($B1310&gt;Input!$C$9,$AI1310*$AC1310,$AM1310*$AC1310))</f>
        <v/>
      </c>
      <c r="AO1310" s="164" t="str">
        <f>IF(AND($C1309=12,$D1309=Input!$C$6),0,IF($E1310="","",$AN1310+AO1311/(1+$L1310)*$R1310))</f>
        <v/>
      </c>
      <c r="AP1310" s="152"/>
      <c r="AQ1310" s="150" t="str">
        <f t="shared" si="423"/>
        <v/>
      </c>
      <c r="AR1310" s="150" t="str">
        <f t="shared" si="430"/>
        <v/>
      </c>
      <c r="AS1310" s="150" t="str">
        <f t="shared" si="431"/>
        <v/>
      </c>
      <c r="AT1310" s="150" t="str">
        <f t="shared" si="424"/>
        <v/>
      </c>
      <c r="AU1310" s="152"/>
      <c r="AV1310" s="147" t="str">
        <f>'Deterministic Reserve'!BC1310</f>
        <v/>
      </c>
      <c r="AY1310" s="152"/>
    </row>
    <row r="1311" spans="1:51" s="150" customFormat="1" x14ac:dyDescent="0.25">
      <c r="A1311" s="150" t="str">
        <f t="shared" si="432"/>
        <v/>
      </c>
      <c r="B1311" s="150" t="str">
        <f t="shared" si="433"/>
        <v/>
      </c>
      <c r="C1311" s="150" t="str">
        <f t="shared" si="434"/>
        <v/>
      </c>
      <c r="D1311" s="150" t="str">
        <f>IF(E1311="","",Input!$C$4+B1311-1)</f>
        <v/>
      </c>
      <c r="E1311" s="150" t="str">
        <f>IF(OR(AND(C1310=12,D1310=Input!$C$6),E1310=""),"",1)</f>
        <v/>
      </c>
      <c r="G1311" s="151" t="str">
        <f>IF(E1311="","",MAX(0,Input!$C$9-B1311))</f>
        <v/>
      </c>
      <c r="H1311" s="152" t="str">
        <f>IF(E1311="","",Input!$C$3)</f>
        <v/>
      </c>
      <c r="I1311" s="153" t="str">
        <f>IF(E1311="","",HLOOKUP($B1311,Input!$C$13:$BT$14,2))</f>
        <v/>
      </c>
      <c r="J1311" s="154"/>
      <c r="K1311" s="150" t="str">
        <f>IF($E1311="","",Input!$C$57)</f>
        <v/>
      </c>
      <c r="L1311" s="150" t="str">
        <f t="shared" si="425"/>
        <v/>
      </c>
      <c r="M1311" s="147" t="str">
        <f>IF($E1311="","",VLOOKUP(IF($B1311&lt;=Input!$C$7,$B1311,26),'Mortality Tables'!$A$72:$CA$97,IF($B1311&lt;=Input!$C$7+1,Input!$C$4-16,$D1311-Input!$C$7-16),0)/1000)</f>
        <v/>
      </c>
      <c r="N1311" s="147" t="str">
        <f t="shared" si="416"/>
        <v/>
      </c>
      <c r="O1311" s="157" t="str">
        <f>IF($E1311="","",IF($C1311=12,IF($B1311&lt;Input!$C$9,Input!$C$54,IF($B1311=Input!$C$9,Input!$C$55,Input!$C$56)),0%))</f>
        <v/>
      </c>
      <c r="P1311" s="167" t="str">
        <f>IF($E1311="","",IF($B1311=1,Input!$C$59,IF($B1311&lt;6,Input!$C$60,0%)))</f>
        <v/>
      </c>
      <c r="Q1311" s="162" t="str">
        <f>IF($E1311="","",Input!$C$58)</f>
        <v/>
      </c>
      <c r="R1311" s="156" t="str">
        <f t="shared" si="426"/>
        <v/>
      </c>
      <c r="S1311" s="154" t="str">
        <f t="shared" si="417"/>
        <v/>
      </c>
      <c r="T1311" s="152"/>
      <c r="U1311" s="150" t="str">
        <f t="shared" si="427"/>
        <v/>
      </c>
      <c r="V1311" s="150" t="str">
        <f t="shared" si="428"/>
        <v/>
      </c>
      <c r="W1311" s="168" t="str">
        <f t="shared" si="429"/>
        <v/>
      </c>
      <c r="X1311" s="163" t="str">
        <f t="shared" si="418"/>
        <v/>
      </c>
      <c r="Y1311" s="152"/>
      <c r="Z1311" s="164" t="str">
        <f>IF(AND($C1310=12,$D1310=Input!$C$6),0,IF($E1311="","",V1311+Z1312/(1+L1311)*R1311))</f>
        <v/>
      </c>
      <c r="AA1311" s="164" t="str">
        <f>IF(OR($M1311=1,AND($C1310=12,$D1310=Input!$C$6)),0,IF($E1311="","",W1311+(X1311+AA1312*$R1311)/(1+$L1311)))</f>
        <v/>
      </c>
      <c r="AB1311" s="160" t="str">
        <f t="shared" si="419"/>
        <v/>
      </c>
      <c r="AC1311" s="164" t="str">
        <f t="shared" si="420"/>
        <v/>
      </c>
      <c r="AD1311" s="164" t="str">
        <f>IF(AND($C1310=12,$D1310=Input!$C$6),0,IF($E1311="","",$AC1311+AD1312/(1+$L1311)*$R1311))</f>
        <v/>
      </c>
      <c r="AE1311" s="152"/>
      <c r="AF1311" s="164" t="str">
        <f>IF(AND($C1310=12,$D1310=Input!$C$6),0,IF($E1311="","",IF($B1311&gt;Input!$C$9,$AC1311,0)+AF1312/(1+$L1311)*$R1311))</f>
        <v/>
      </c>
      <c r="AG1311" s="164" t="str">
        <f>IF(AND($C1310=12,$D1310=Input!$C$6),0,IF($E1311="","",(IF($B1311&gt;Input!$C$9,$X1311,0)+AG1312)/(1+$L1311)*$R1311))</f>
        <v/>
      </c>
      <c r="AH1311" s="160" t="str">
        <f t="shared" si="421"/>
        <v/>
      </c>
      <c r="AI1311" s="160" t="str">
        <f>IF($E1311="","",MIN(Input!$C$61/AH1311,1))</f>
        <v/>
      </c>
      <c r="AJ1311" s="152"/>
      <c r="AK1311" s="164" t="str">
        <f>IF(AND($C1310=12,$D1310=Input!$C$6),0,IF($E1311="","",IF($B1311&gt;Input!$C$9,$AC1311*AI1311,0)+AK1312/(1+$L1311)*$R1311))</f>
        <v/>
      </c>
      <c r="AL1311" s="164" t="str">
        <f>IF(AND($C1310=12,$D1310=Input!$C$6),0,IF($E1311="","",IF($B1311&gt;Input!$C$9,0,$AC1311)+AL1312/(1+$L1311)*$R1311))</f>
        <v/>
      </c>
      <c r="AM1311" s="160" t="str">
        <f t="shared" si="422"/>
        <v/>
      </c>
      <c r="AN1311" s="164" t="str">
        <f>IF($E1311="","",IF($B1311&gt;Input!$C$9,$AI1311*$AC1311,$AM1311*$AC1311))</f>
        <v/>
      </c>
      <c r="AO1311" s="164" t="str">
        <f>IF(AND($C1310=12,$D1310=Input!$C$6),0,IF($E1311="","",$AN1311+AO1312/(1+$L1311)*$R1311))</f>
        <v/>
      </c>
      <c r="AP1311" s="152"/>
      <c r="AQ1311" s="150" t="str">
        <f t="shared" si="423"/>
        <v/>
      </c>
      <c r="AR1311" s="150" t="str">
        <f t="shared" si="430"/>
        <v/>
      </c>
      <c r="AS1311" s="150" t="str">
        <f t="shared" si="431"/>
        <v/>
      </c>
      <c r="AT1311" s="150" t="str">
        <f t="shared" si="424"/>
        <v/>
      </c>
      <c r="AU1311" s="152"/>
      <c r="AV1311" s="147" t="str">
        <f>'Deterministic Reserve'!BC1311</f>
        <v/>
      </c>
      <c r="AY1311" s="152"/>
    </row>
    <row r="1312" spans="1:51" s="150" customFormat="1" x14ac:dyDescent="0.25">
      <c r="A1312" s="150" t="str">
        <f t="shared" si="432"/>
        <v/>
      </c>
      <c r="B1312" s="150" t="str">
        <f t="shared" si="433"/>
        <v/>
      </c>
      <c r="C1312" s="150" t="str">
        <f t="shared" si="434"/>
        <v/>
      </c>
      <c r="D1312" s="150" t="str">
        <f>IF(E1312="","",Input!$C$4+B1312-1)</f>
        <v/>
      </c>
      <c r="E1312" s="150" t="str">
        <f>IF(OR(AND(C1311=12,D1311=Input!$C$6),E1311=""),"",1)</f>
        <v/>
      </c>
      <c r="G1312" s="151" t="str">
        <f>IF(E1312="","",MAX(0,Input!$C$9-B1312))</f>
        <v/>
      </c>
      <c r="H1312" s="152" t="str">
        <f>IF(E1312="","",Input!$C$3)</f>
        <v/>
      </c>
      <c r="I1312" s="153" t="str">
        <f>IF(E1312="","",HLOOKUP($B1312,Input!$C$13:$BT$14,2))</f>
        <v/>
      </c>
      <c r="J1312" s="154"/>
      <c r="K1312" s="150" t="str">
        <f>IF($E1312="","",Input!$C$57)</f>
        <v/>
      </c>
      <c r="L1312" s="150" t="str">
        <f t="shared" si="425"/>
        <v/>
      </c>
      <c r="M1312" s="147" t="str">
        <f>IF($E1312="","",VLOOKUP(IF($B1312&lt;=Input!$C$7,$B1312,26),'Mortality Tables'!$A$72:$CA$97,IF($B1312&lt;=Input!$C$7+1,Input!$C$4-16,$D1312-Input!$C$7-16),0)/1000)</f>
        <v/>
      </c>
      <c r="N1312" s="147" t="str">
        <f t="shared" si="416"/>
        <v/>
      </c>
      <c r="O1312" s="157" t="str">
        <f>IF($E1312="","",IF($C1312=12,IF($B1312&lt;Input!$C$9,Input!$C$54,IF($B1312=Input!$C$9,Input!$C$55,Input!$C$56)),0%))</f>
        <v/>
      </c>
      <c r="P1312" s="167" t="str">
        <f>IF($E1312="","",IF($B1312=1,Input!$C$59,IF($B1312&lt;6,Input!$C$60,0%)))</f>
        <v/>
      </c>
      <c r="Q1312" s="162" t="str">
        <f>IF($E1312="","",Input!$C$58)</f>
        <v/>
      </c>
      <c r="R1312" s="156" t="str">
        <f t="shared" si="426"/>
        <v/>
      </c>
      <c r="S1312" s="154" t="str">
        <f t="shared" si="417"/>
        <v/>
      </c>
      <c r="T1312" s="152"/>
      <c r="U1312" s="150" t="str">
        <f t="shared" si="427"/>
        <v/>
      </c>
      <c r="V1312" s="150" t="str">
        <f t="shared" si="428"/>
        <v/>
      </c>
      <c r="W1312" s="168" t="str">
        <f t="shared" si="429"/>
        <v/>
      </c>
      <c r="X1312" s="163" t="str">
        <f t="shared" si="418"/>
        <v/>
      </c>
      <c r="Y1312" s="152"/>
      <c r="Z1312" s="164" t="str">
        <f>IF(AND($C1311=12,$D1311=Input!$C$6),0,IF($E1312="","",V1312+Z1313/(1+L1312)*R1312))</f>
        <v/>
      </c>
      <c r="AA1312" s="164" t="str">
        <f>IF(OR($M1312=1,AND($C1311=12,$D1311=Input!$C$6)),0,IF($E1312="","",W1312+(X1312+AA1313*$R1312)/(1+$L1312)))</f>
        <v/>
      </c>
      <c r="AB1312" s="160" t="str">
        <f t="shared" si="419"/>
        <v/>
      </c>
      <c r="AC1312" s="164" t="str">
        <f t="shared" si="420"/>
        <v/>
      </c>
      <c r="AD1312" s="164" t="str">
        <f>IF(AND($C1311=12,$D1311=Input!$C$6),0,IF($E1312="","",$AC1312+AD1313/(1+$L1312)*$R1312))</f>
        <v/>
      </c>
      <c r="AE1312" s="152"/>
      <c r="AF1312" s="164" t="str">
        <f>IF(AND($C1311=12,$D1311=Input!$C$6),0,IF($E1312="","",IF($B1312&gt;Input!$C$9,$AC1312,0)+AF1313/(1+$L1312)*$R1312))</f>
        <v/>
      </c>
      <c r="AG1312" s="164" t="str">
        <f>IF(AND($C1311=12,$D1311=Input!$C$6),0,IF($E1312="","",(IF($B1312&gt;Input!$C$9,$X1312,0)+AG1313)/(1+$L1312)*$R1312))</f>
        <v/>
      </c>
      <c r="AH1312" s="160" t="str">
        <f t="shared" si="421"/>
        <v/>
      </c>
      <c r="AI1312" s="160" t="str">
        <f>IF($E1312="","",MIN(Input!$C$61/AH1312,1))</f>
        <v/>
      </c>
      <c r="AJ1312" s="152"/>
      <c r="AK1312" s="164" t="str">
        <f>IF(AND($C1311=12,$D1311=Input!$C$6),0,IF($E1312="","",IF($B1312&gt;Input!$C$9,$AC1312*AI1312,0)+AK1313/(1+$L1312)*$R1312))</f>
        <v/>
      </c>
      <c r="AL1312" s="164" t="str">
        <f>IF(AND($C1311=12,$D1311=Input!$C$6),0,IF($E1312="","",IF($B1312&gt;Input!$C$9,0,$AC1312)+AL1313/(1+$L1312)*$R1312))</f>
        <v/>
      </c>
      <c r="AM1312" s="160" t="str">
        <f t="shared" si="422"/>
        <v/>
      </c>
      <c r="AN1312" s="164" t="str">
        <f>IF($E1312="","",IF($B1312&gt;Input!$C$9,$AI1312*$AC1312,$AM1312*$AC1312))</f>
        <v/>
      </c>
      <c r="AO1312" s="164" t="str">
        <f>IF(AND($C1311=12,$D1311=Input!$C$6),0,IF($E1312="","",$AN1312+AO1313/(1+$L1312)*$R1312))</f>
        <v/>
      </c>
      <c r="AP1312" s="152"/>
      <c r="AQ1312" s="150" t="str">
        <f t="shared" si="423"/>
        <v/>
      </c>
      <c r="AR1312" s="150" t="str">
        <f t="shared" si="430"/>
        <v/>
      </c>
      <c r="AS1312" s="150" t="str">
        <f t="shared" si="431"/>
        <v/>
      </c>
      <c r="AT1312" s="150" t="str">
        <f t="shared" si="424"/>
        <v/>
      </c>
      <c r="AU1312" s="152"/>
      <c r="AV1312" s="147" t="str">
        <f>'Deterministic Reserve'!BC1312</f>
        <v/>
      </c>
      <c r="AY1312" s="152"/>
    </row>
    <row r="1313" spans="1:51" s="150" customFormat="1" x14ac:dyDescent="0.25">
      <c r="A1313" s="150" t="str">
        <f t="shared" si="432"/>
        <v/>
      </c>
      <c r="B1313" s="150" t="str">
        <f t="shared" si="433"/>
        <v/>
      </c>
      <c r="C1313" s="150" t="str">
        <f t="shared" si="434"/>
        <v/>
      </c>
      <c r="D1313" s="150" t="str">
        <f>IF(E1313="","",Input!$C$4+B1313-1)</f>
        <v/>
      </c>
      <c r="E1313" s="150" t="str">
        <f>IF(OR(AND(C1312=12,D1312=Input!$C$6),E1312=""),"",1)</f>
        <v/>
      </c>
      <c r="G1313" s="151" t="str">
        <f>IF(E1313="","",MAX(0,Input!$C$9-B1313))</f>
        <v/>
      </c>
      <c r="H1313" s="152" t="str">
        <f>IF(E1313="","",Input!$C$3)</f>
        <v/>
      </c>
      <c r="I1313" s="153" t="str">
        <f>IF(E1313="","",HLOOKUP($B1313,Input!$C$13:$BT$14,2))</f>
        <v/>
      </c>
      <c r="J1313" s="154"/>
      <c r="K1313" s="150" t="str">
        <f>IF($E1313="","",Input!$C$57)</f>
        <v/>
      </c>
      <c r="L1313" s="150" t="str">
        <f t="shared" si="425"/>
        <v/>
      </c>
      <c r="M1313" s="147" t="str">
        <f>IF($E1313="","",VLOOKUP(IF($B1313&lt;=Input!$C$7,$B1313,26),'Mortality Tables'!$A$72:$CA$97,IF($B1313&lt;=Input!$C$7+1,Input!$C$4-16,$D1313-Input!$C$7-16),0)/1000)</f>
        <v/>
      </c>
      <c r="N1313" s="147" t="str">
        <f t="shared" si="416"/>
        <v/>
      </c>
      <c r="O1313" s="157" t="str">
        <f>IF($E1313="","",IF($C1313=12,IF($B1313&lt;Input!$C$9,Input!$C$54,IF($B1313=Input!$C$9,Input!$C$55,Input!$C$56)),0%))</f>
        <v/>
      </c>
      <c r="P1313" s="167" t="str">
        <f>IF($E1313="","",IF($B1313=1,Input!$C$59,IF($B1313&lt;6,Input!$C$60,0%)))</f>
        <v/>
      </c>
      <c r="Q1313" s="162" t="str">
        <f>IF($E1313="","",Input!$C$58)</f>
        <v/>
      </c>
      <c r="R1313" s="156" t="str">
        <f t="shared" si="426"/>
        <v/>
      </c>
      <c r="S1313" s="154" t="str">
        <f t="shared" si="417"/>
        <v/>
      </c>
      <c r="T1313" s="152"/>
      <c r="U1313" s="150" t="str">
        <f t="shared" si="427"/>
        <v/>
      </c>
      <c r="V1313" s="150" t="str">
        <f t="shared" si="428"/>
        <v/>
      </c>
      <c r="W1313" s="168" t="str">
        <f t="shared" si="429"/>
        <v/>
      </c>
      <c r="X1313" s="163" t="str">
        <f t="shared" si="418"/>
        <v/>
      </c>
      <c r="Y1313" s="152"/>
      <c r="Z1313" s="164" t="str">
        <f>IF(AND($C1312=12,$D1312=Input!$C$6),0,IF($E1313="","",V1313+Z1314/(1+L1313)*R1313))</f>
        <v/>
      </c>
      <c r="AA1313" s="164" t="str">
        <f>IF(OR($M1313=1,AND($C1312=12,$D1312=Input!$C$6)),0,IF($E1313="","",W1313+(X1313+AA1314*$R1313)/(1+$L1313)))</f>
        <v/>
      </c>
      <c r="AB1313" s="160" t="str">
        <f t="shared" si="419"/>
        <v/>
      </c>
      <c r="AC1313" s="164" t="str">
        <f t="shared" si="420"/>
        <v/>
      </c>
      <c r="AD1313" s="164" t="str">
        <f>IF(AND($C1312=12,$D1312=Input!$C$6),0,IF($E1313="","",$AC1313+AD1314/(1+$L1313)*$R1313))</f>
        <v/>
      </c>
      <c r="AE1313" s="152"/>
      <c r="AF1313" s="164" t="str">
        <f>IF(AND($C1312=12,$D1312=Input!$C$6),0,IF($E1313="","",IF($B1313&gt;Input!$C$9,$AC1313,0)+AF1314/(1+$L1313)*$R1313))</f>
        <v/>
      </c>
      <c r="AG1313" s="164" t="str">
        <f>IF(AND($C1312=12,$D1312=Input!$C$6),0,IF($E1313="","",(IF($B1313&gt;Input!$C$9,$X1313,0)+AG1314)/(1+$L1313)*$R1313))</f>
        <v/>
      </c>
      <c r="AH1313" s="160" t="str">
        <f t="shared" si="421"/>
        <v/>
      </c>
      <c r="AI1313" s="160" t="str">
        <f>IF($E1313="","",MIN(Input!$C$61/AH1313,1))</f>
        <v/>
      </c>
      <c r="AJ1313" s="152"/>
      <c r="AK1313" s="164" t="str">
        <f>IF(AND($C1312=12,$D1312=Input!$C$6),0,IF($E1313="","",IF($B1313&gt;Input!$C$9,$AC1313*AI1313,0)+AK1314/(1+$L1313)*$R1313))</f>
        <v/>
      </c>
      <c r="AL1313" s="164" t="str">
        <f>IF(AND($C1312=12,$D1312=Input!$C$6),0,IF($E1313="","",IF($B1313&gt;Input!$C$9,0,$AC1313)+AL1314/(1+$L1313)*$R1313))</f>
        <v/>
      </c>
      <c r="AM1313" s="160" t="str">
        <f t="shared" si="422"/>
        <v/>
      </c>
      <c r="AN1313" s="164" t="str">
        <f>IF($E1313="","",IF($B1313&gt;Input!$C$9,$AI1313*$AC1313,$AM1313*$AC1313))</f>
        <v/>
      </c>
      <c r="AO1313" s="164" t="str">
        <f>IF(AND($C1312=12,$D1312=Input!$C$6),0,IF($E1313="","",$AN1313+AO1314/(1+$L1313)*$R1313))</f>
        <v/>
      </c>
      <c r="AP1313" s="152"/>
      <c r="AQ1313" s="150" t="str">
        <f t="shared" si="423"/>
        <v/>
      </c>
      <c r="AR1313" s="150" t="str">
        <f t="shared" si="430"/>
        <v/>
      </c>
      <c r="AS1313" s="150" t="str">
        <f t="shared" si="431"/>
        <v/>
      </c>
      <c r="AT1313" s="150" t="str">
        <f t="shared" si="424"/>
        <v/>
      </c>
      <c r="AU1313" s="152"/>
      <c r="AV1313" s="147" t="str">
        <f>'Deterministic Reserve'!BC1313</f>
        <v/>
      </c>
      <c r="AY1313" s="152"/>
    </row>
    <row r="1314" spans="1:51" s="150" customFormat="1" x14ac:dyDescent="0.25">
      <c r="A1314" s="150" t="str">
        <f t="shared" si="432"/>
        <v/>
      </c>
      <c r="B1314" s="150" t="str">
        <f t="shared" si="433"/>
        <v/>
      </c>
      <c r="C1314" s="150" t="str">
        <f t="shared" si="434"/>
        <v/>
      </c>
      <c r="D1314" s="150" t="str">
        <f>IF(E1314="","",Input!$C$4+B1314-1)</f>
        <v/>
      </c>
      <c r="E1314" s="150" t="str">
        <f>IF(OR(AND(C1313=12,D1313=Input!$C$6),E1313=""),"",1)</f>
        <v/>
      </c>
      <c r="G1314" s="151" t="str">
        <f>IF(E1314="","",MAX(0,Input!$C$9-B1314))</f>
        <v/>
      </c>
      <c r="H1314" s="152" t="str">
        <f>IF(E1314="","",Input!$C$3)</f>
        <v/>
      </c>
      <c r="I1314" s="153" t="str">
        <f>IF(E1314="","",HLOOKUP($B1314,Input!$C$13:$BT$14,2))</f>
        <v/>
      </c>
      <c r="J1314" s="154"/>
      <c r="K1314" s="150" t="str">
        <f>IF($E1314="","",Input!$C$57)</f>
        <v/>
      </c>
      <c r="L1314" s="150" t="str">
        <f t="shared" si="425"/>
        <v/>
      </c>
      <c r="M1314" s="147" t="str">
        <f>IF($E1314="","",VLOOKUP(IF($B1314&lt;=Input!$C$7,$B1314,26),'Mortality Tables'!$A$72:$CA$97,IF($B1314&lt;=Input!$C$7+1,Input!$C$4-16,$D1314-Input!$C$7-16),0)/1000)</f>
        <v/>
      </c>
      <c r="N1314" s="147" t="str">
        <f t="shared" si="416"/>
        <v/>
      </c>
      <c r="O1314" s="157" t="str">
        <f>IF($E1314="","",IF($C1314=12,IF($B1314&lt;Input!$C$9,Input!$C$54,IF($B1314=Input!$C$9,Input!$C$55,Input!$C$56)),0%))</f>
        <v/>
      </c>
      <c r="P1314" s="167" t="str">
        <f>IF($E1314="","",IF($B1314=1,Input!$C$59,IF($B1314&lt;6,Input!$C$60,0%)))</f>
        <v/>
      </c>
      <c r="Q1314" s="162" t="str">
        <f>IF($E1314="","",Input!$C$58)</f>
        <v/>
      </c>
      <c r="R1314" s="156" t="str">
        <f t="shared" si="426"/>
        <v/>
      </c>
      <c r="S1314" s="154" t="str">
        <f t="shared" si="417"/>
        <v/>
      </c>
      <c r="T1314" s="152"/>
      <c r="U1314" s="150" t="str">
        <f t="shared" si="427"/>
        <v/>
      </c>
      <c r="V1314" s="150" t="str">
        <f t="shared" si="428"/>
        <v/>
      </c>
      <c r="W1314" s="168" t="str">
        <f t="shared" si="429"/>
        <v/>
      </c>
      <c r="X1314" s="163" t="str">
        <f t="shared" si="418"/>
        <v/>
      </c>
      <c r="Y1314" s="152"/>
      <c r="Z1314" s="164" t="str">
        <f>IF(AND($C1313=12,$D1313=Input!$C$6),0,IF($E1314="","",V1314+Z1315/(1+L1314)*R1314))</f>
        <v/>
      </c>
      <c r="AA1314" s="164" t="str">
        <f>IF(OR($M1314=1,AND($C1313=12,$D1313=Input!$C$6)),0,IF($E1314="","",W1314+(X1314+AA1315*$R1314)/(1+$L1314)))</f>
        <v/>
      </c>
      <c r="AB1314" s="160" t="str">
        <f t="shared" si="419"/>
        <v/>
      </c>
      <c r="AC1314" s="164" t="str">
        <f t="shared" si="420"/>
        <v/>
      </c>
      <c r="AD1314" s="164" t="str">
        <f>IF(AND($C1313=12,$D1313=Input!$C$6),0,IF($E1314="","",$AC1314+AD1315/(1+$L1314)*$R1314))</f>
        <v/>
      </c>
      <c r="AE1314" s="152"/>
      <c r="AF1314" s="164" t="str">
        <f>IF(AND($C1313=12,$D1313=Input!$C$6),0,IF($E1314="","",IF($B1314&gt;Input!$C$9,$AC1314,0)+AF1315/(1+$L1314)*$R1314))</f>
        <v/>
      </c>
      <c r="AG1314" s="164" t="str">
        <f>IF(AND($C1313=12,$D1313=Input!$C$6),0,IF($E1314="","",(IF($B1314&gt;Input!$C$9,$X1314,0)+AG1315)/(1+$L1314)*$R1314))</f>
        <v/>
      </c>
      <c r="AH1314" s="160" t="str">
        <f t="shared" si="421"/>
        <v/>
      </c>
      <c r="AI1314" s="160" t="str">
        <f>IF($E1314="","",MIN(Input!$C$61/AH1314,1))</f>
        <v/>
      </c>
      <c r="AJ1314" s="152"/>
      <c r="AK1314" s="164" t="str">
        <f>IF(AND($C1313=12,$D1313=Input!$C$6),0,IF($E1314="","",IF($B1314&gt;Input!$C$9,$AC1314*AI1314,0)+AK1315/(1+$L1314)*$R1314))</f>
        <v/>
      </c>
      <c r="AL1314" s="164" t="str">
        <f>IF(AND($C1313=12,$D1313=Input!$C$6),0,IF($E1314="","",IF($B1314&gt;Input!$C$9,0,$AC1314)+AL1315/(1+$L1314)*$R1314))</f>
        <v/>
      </c>
      <c r="AM1314" s="160" t="str">
        <f t="shared" si="422"/>
        <v/>
      </c>
      <c r="AN1314" s="164" t="str">
        <f>IF($E1314="","",IF($B1314&gt;Input!$C$9,$AI1314*$AC1314,$AM1314*$AC1314))</f>
        <v/>
      </c>
      <c r="AO1314" s="164" t="str">
        <f>IF(AND($C1313=12,$D1313=Input!$C$6),0,IF($E1314="","",$AN1314+AO1315/(1+$L1314)*$R1314))</f>
        <v/>
      </c>
      <c r="AP1314" s="152"/>
      <c r="AQ1314" s="150" t="str">
        <f t="shared" si="423"/>
        <v/>
      </c>
      <c r="AR1314" s="150" t="str">
        <f t="shared" si="430"/>
        <v/>
      </c>
      <c r="AS1314" s="150" t="str">
        <f t="shared" si="431"/>
        <v/>
      </c>
      <c r="AT1314" s="150" t="str">
        <f t="shared" si="424"/>
        <v/>
      </c>
      <c r="AU1314" s="152"/>
      <c r="AV1314" s="147" t="str">
        <f>'Deterministic Reserve'!BC1314</f>
        <v/>
      </c>
      <c r="AY1314" s="152"/>
    </row>
    <row r="1315" spans="1:51" s="150" customFormat="1" x14ac:dyDescent="0.25">
      <c r="A1315" s="150" t="str">
        <f t="shared" si="432"/>
        <v/>
      </c>
      <c r="B1315" s="150" t="str">
        <f t="shared" si="433"/>
        <v/>
      </c>
      <c r="C1315" s="150" t="str">
        <f t="shared" si="434"/>
        <v/>
      </c>
      <c r="D1315" s="150" t="str">
        <f>IF(E1315="","",Input!$C$4+B1315-1)</f>
        <v/>
      </c>
      <c r="E1315" s="150" t="str">
        <f>IF(OR(AND(C1314=12,D1314=Input!$C$6),E1314=""),"",1)</f>
        <v/>
      </c>
      <c r="G1315" s="151" t="str">
        <f>IF(E1315="","",MAX(0,Input!$C$9-B1315))</f>
        <v/>
      </c>
      <c r="H1315" s="152" t="str">
        <f>IF(E1315="","",Input!$C$3)</f>
        <v/>
      </c>
      <c r="I1315" s="153" t="str">
        <f>IF(E1315="","",HLOOKUP($B1315,Input!$C$13:$BT$14,2))</f>
        <v/>
      </c>
      <c r="J1315" s="154"/>
      <c r="K1315" s="150" t="str">
        <f>IF($E1315="","",Input!$C$57)</f>
        <v/>
      </c>
      <c r="L1315" s="150" t="str">
        <f t="shared" si="425"/>
        <v/>
      </c>
      <c r="M1315" s="147" t="str">
        <f>IF($E1315="","",VLOOKUP(IF($B1315&lt;=Input!$C$7,$B1315,26),'Mortality Tables'!$A$72:$CA$97,IF($B1315&lt;=Input!$C$7+1,Input!$C$4-16,$D1315-Input!$C$7-16),0)/1000)</f>
        <v/>
      </c>
      <c r="N1315" s="147" t="str">
        <f t="shared" si="416"/>
        <v/>
      </c>
      <c r="O1315" s="157" t="str">
        <f>IF($E1315="","",IF($C1315=12,IF($B1315&lt;Input!$C$9,Input!$C$54,IF($B1315=Input!$C$9,Input!$C$55,Input!$C$56)),0%))</f>
        <v/>
      </c>
      <c r="P1315" s="167" t="str">
        <f>IF($E1315="","",IF($B1315=1,Input!$C$59,IF($B1315&lt;6,Input!$C$60,0%)))</f>
        <v/>
      </c>
      <c r="Q1315" s="162" t="str">
        <f>IF($E1315="","",Input!$C$58)</f>
        <v/>
      </c>
      <c r="R1315" s="156" t="str">
        <f t="shared" si="426"/>
        <v/>
      </c>
      <c r="S1315" s="154" t="str">
        <f t="shared" si="417"/>
        <v/>
      </c>
      <c r="T1315" s="152"/>
      <c r="U1315" s="150" t="str">
        <f t="shared" si="427"/>
        <v/>
      </c>
      <c r="V1315" s="150" t="str">
        <f t="shared" si="428"/>
        <v/>
      </c>
      <c r="W1315" s="168" t="str">
        <f t="shared" si="429"/>
        <v/>
      </c>
      <c r="X1315" s="163" t="str">
        <f t="shared" si="418"/>
        <v/>
      </c>
      <c r="Y1315" s="152"/>
      <c r="Z1315" s="164" t="str">
        <f>IF(AND($C1314=12,$D1314=Input!$C$6),0,IF($E1315="","",V1315+Z1316/(1+L1315)*R1315))</f>
        <v/>
      </c>
      <c r="AA1315" s="164" t="str">
        <f>IF(OR($M1315=1,AND($C1314=12,$D1314=Input!$C$6)),0,IF($E1315="","",W1315+(X1315+AA1316*$R1315)/(1+$L1315)))</f>
        <v/>
      </c>
      <c r="AB1315" s="160" t="str">
        <f t="shared" si="419"/>
        <v/>
      </c>
      <c r="AC1315" s="164" t="str">
        <f t="shared" si="420"/>
        <v/>
      </c>
      <c r="AD1315" s="164" t="str">
        <f>IF(AND($C1314=12,$D1314=Input!$C$6),0,IF($E1315="","",$AC1315+AD1316/(1+$L1315)*$R1315))</f>
        <v/>
      </c>
      <c r="AE1315" s="152"/>
      <c r="AF1315" s="164" t="str">
        <f>IF(AND($C1314=12,$D1314=Input!$C$6),0,IF($E1315="","",IF($B1315&gt;Input!$C$9,$AC1315,0)+AF1316/(1+$L1315)*$R1315))</f>
        <v/>
      </c>
      <c r="AG1315" s="164" t="str">
        <f>IF(AND($C1314=12,$D1314=Input!$C$6),0,IF($E1315="","",(IF($B1315&gt;Input!$C$9,$X1315,0)+AG1316)/(1+$L1315)*$R1315))</f>
        <v/>
      </c>
      <c r="AH1315" s="160" t="str">
        <f t="shared" si="421"/>
        <v/>
      </c>
      <c r="AI1315" s="160" t="str">
        <f>IF($E1315="","",MIN(Input!$C$61/AH1315,1))</f>
        <v/>
      </c>
      <c r="AJ1315" s="152"/>
      <c r="AK1315" s="164" t="str">
        <f>IF(AND($C1314=12,$D1314=Input!$C$6),0,IF($E1315="","",IF($B1315&gt;Input!$C$9,$AC1315*AI1315,0)+AK1316/(1+$L1315)*$R1315))</f>
        <v/>
      </c>
      <c r="AL1315" s="164" t="str">
        <f>IF(AND($C1314=12,$D1314=Input!$C$6),0,IF($E1315="","",IF($B1315&gt;Input!$C$9,0,$AC1315)+AL1316/(1+$L1315)*$R1315))</f>
        <v/>
      </c>
      <c r="AM1315" s="160" t="str">
        <f t="shared" si="422"/>
        <v/>
      </c>
      <c r="AN1315" s="164" t="str">
        <f>IF($E1315="","",IF($B1315&gt;Input!$C$9,$AI1315*$AC1315,$AM1315*$AC1315))</f>
        <v/>
      </c>
      <c r="AO1315" s="164" t="str">
        <f>IF(AND($C1314=12,$D1314=Input!$C$6),0,IF($E1315="","",$AN1315+AO1316/(1+$L1315)*$R1315))</f>
        <v/>
      </c>
      <c r="AP1315" s="152"/>
      <c r="AQ1315" s="150" t="str">
        <f t="shared" si="423"/>
        <v/>
      </c>
      <c r="AR1315" s="150" t="str">
        <f t="shared" si="430"/>
        <v/>
      </c>
      <c r="AS1315" s="150" t="str">
        <f t="shared" si="431"/>
        <v/>
      </c>
      <c r="AT1315" s="150" t="str">
        <f t="shared" si="424"/>
        <v/>
      </c>
      <c r="AU1315" s="152"/>
      <c r="AV1315" s="147" t="str">
        <f>'Deterministic Reserve'!BC1315</f>
        <v/>
      </c>
      <c r="AY1315" s="152"/>
    </row>
    <row r="1316" spans="1:51" s="150" customFormat="1" x14ac:dyDescent="0.25">
      <c r="A1316" s="150" t="str">
        <f t="shared" si="432"/>
        <v/>
      </c>
      <c r="B1316" s="150" t="str">
        <f t="shared" si="433"/>
        <v/>
      </c>
      <c r="C1316" s="150" t="str">
        <f t="shared" si="434"/>
        <v/>
      </c>
      <c r="D1316" s="150" t="str">
        <f>IF(E1316="","",Input!$C$4+B1316-1)</f>
        <v/>
      </c>
      <c r="E1316" s="150" t="str">
        <f>IF(OR(AND(C1315=12,D1315=Input!$C$6),E1315=""),"",1)</f>
        <v/>
      </c>
      <c r="G1316" s="151" t="str">
        <f>IF(E1316="","",MAX(0,Input!$C$9-B1316))</f>
        <v/>
      </c>
      <c r="H1316" s="152" t="str">
        <f>IF(E1316="","",Input!$C$3)</f>
        <v/>
      </c>
      <c r="I1316" s="153" t="str">
        <f>IF(E1316="","",HLOOKUP($B1316,Input!$C$13:$BT$14,2))</f>
        <v/>
      </c>
      <c r="J1316" s="154"/>
      <c r="K1316" s="150" t="str">
        <f>IF($E1316="","",Input!$C$57)</f>
        <v/>
      </c>
      <c r="L1316" s="150" t="str">
        <f t="shared" si="425"/>
        <v/>
      </c>
      <c r="M1316" s="147" t="str">
        <f>IF($E1316="","",VLOOKUP(IF($B1316&lt;=Input!$C$7,$B1316,26),'Mortality Tables'!$A$72:$CA$97,IF($B1316&lt;=Input!$C$7+1,Input!$C$4-16,$D1316-Input!$C$7-16),0)/1000)</f>
        <v/>
      </c>
      <c r="N1316" s="147" t="str">
        <f t="shared" si="416"/>
        <v/>
      </c>
      <c r="O1316" s="157" t="str">
        <f>IF($E1316="","",IF($C1316=12,IF($B1316&lt;Input!$C$9,Input!$C$54,IF($B1316=Input!$C$9,Input!$C$55,Input!$C$56)),0%))</f>
        <v/>
      </c>
      <c r="P1316" s="167" t="str">
        <f>IF($E1316="","",IF($B1316=1,Input!$C$59,IF($B1316&lt;6,Input!$C$60,0%)))</f>
        <v/>
      </c>
      <c r="Q1316" s="162" t="str">
        <f>IF($E1316="","",Input!$C$58)</f>
        <v/>
      </c>
      <c r="R1316" s="156" t="str">
        <f t="shared" si="426"/>
        <v/>
      </c>
      <c r="S1316" s="154" t="str">
        <f t="shared" si="417"/>
        <v/>
      </c>
      <c r="T1316" s="152"/>
      <c r="U1316" s="150" t="str">
        <f t="shared" si="427"/>
        <v/>
      </c>
      <c r="V1316" s="150" t="str">
        <f t="shared" si="428"/>
        <v/>
      </c>
      <c r="W1316" s="168" t="str">
        <f t="shared" si="429"/>
        <v/>
      </c>
      <c r="X1316" s="163" t="str">
        <f t="shared" si="418"/>
        <v/>
      </c>
      <c r="Y1316" s="152"/>
      <c r="Z1316" s="164" t="str">
        <f>IF(AND($C1315=12,$D1315=Input!$C$6),0,IF($E1316="","",V1316+Z1317/(1+L1316)*R1316))</f>
        <v/>
      </c>
      <c r="AA1316" s="164" t="str">
        <f>IF(OR($M1316=1,AND($C1315=12,$D1315=Input!$C$6)),0,IF($E1316="","",W1316+(X1316+AA1317*$R1316)/(1+$L1316)))</f>
        <v/>
      </c>
      <c r="AB1316" s="160" t="str">
        <f t="shared" si="419"/>
        <v/>
      </c>
      <c r="AC1316" s="164" t="str">
        <f t="shared" si="420"/>
        <v/>
      </c>
      <c r="AD1316" s="164" t="str">
        <f>IF(AND($C1315=12,$D1315=Input!$C$6),0,IF($E1316="","",$AC1316+AD1317/(1+$L1316)*$R1316))</f>
        <v/>
      </c>
      <c r="AE1316" s="152"/>
      <c r="AF1316" s="164" t="str">
        <f>IF(AND($C1315=12,$D1315=Input!$C$6),0,IF($E1316="","",IF($B1316&gt;Input!$C$9,$AC1316,0)+AF1317/(1+$L1316)*$R1316))</f>
        <v/>
      </c>
      <c r="AG1316" s="164" t="str">
        <f>IF(AND($C1315=12,$D1315=Input!$C$6),0,IF($E1316="","",(IF($B1316&gt;Input!$C$9,$X1316,0)+AG1317)/(1+$L1316)*$R1316))</f>
        <v/>
      </c>
      <c r="AH1316" s="160" t="str">
        <f t="shared" si="421"/>
        <v/>
      </c>
      <c r="AI1316" s="160" t="str">
        <f>IF($E1316="","",MIN(Input!$C$61/AH1316,1))</f>
        <v/>
      </c>
      <c r="AJ1316" s="152"/>
      <c r="AK1316" s="164" t="str">
        <f>IF(AND($C1315=12,$D1315=Input!$C$6),0,IF($E1316="","",IF($B1316&gt;Input!$C$9,$AC1316*AI1316,0)+AK1317/(1+$L1316)*$R1316))</f>
        <v/>
      </c>
      <c r="AL1316" s="164" t="str">
        <f>IF(AND($C1315=12,$D1315=Input!$C$6),0,IF($E1316="","",IF($B1316&gt;Input!$C$9,0,$AC1316)+AL1317/(1+$L1316)*$R1316))</f>
        <v/>
      </c>
      <c r="AM1316" s="160" t="str">
        <f t="shared" si="422"/>
        <v/>
      </c>
      <c r="AN1316" s="164" t="str">
        <f>IF($E1316="","",IF($B1316&gt;Input!$C$9,$AI1316*$AC1316,$AM1316*$AC1316))</f>
        <v/>
      </c>
      <c r="AO1316" s="164" t="str">
        <f>IF(AND($C1315=12,$D1315=Input!$C$6),0,IF($E1316="","",$AN1316+AO1317/(1+$L1316)*$R1316))</f>
        <v/>
      </c>
      <c r="AP1316" s="152"/>
      <c r="AQ1316" s="150" t="str">
        <f t="shared" si="423"/>
        <v/>
      </c>
      <c r="AR1316" s="150" t="str">
        <f t="shared" si="430"/>
        <v/>
      </c>
      <c r="AS1316" s="150" t="str">
        <f t="shared" si="431"/>
        <v/>
      </c>
      <c r="AT1316" s="150" t="str">
        <f t="shared" si="424"/>
        <v/>
      </c>
      <c r="AU1316" s="152"/>
      <c r="AV1316" s="147" t="str">
        <f>'Deterministic Reserve'!BC1316</f>
        <v/>
      </c>
      <c r="AY1316" s="152"/>
    </row>
    <row r="1317" spans="1:51" s="150" customFormat="1" x14ac:dyDescent="0.25">
      <c r="A1317" s="150" t="str">
        <f t="shared" si="432"/>
        <v/>
      </c>
      <c r="B1317" s="150" t="str">
        <f t="shared" si="433"/>
        <v/>
      </c>
      <c r="C1317" s="150" t="str">
        <f t="shared" si="434"/>
        <v/>
      </c>
      <c r="D1317" s="150" t="str">
        <f>IF(E1317="","",Input!$C$4+B1317-1)</f>
        <v/>
      </c>
      <c r="E1317" s="150" t="str">
        <f>IF(OR(AND(C1316=12,D1316=Input!$C$6),E1316=""),"",1)</f>
        <v/>
      </c>
      <c r="G1317" s="151" t="str">
        <f>IF(E1317="","",MAX(0,Input!$C$9-B1317))</f>
        <v/>
      </c>
      <c r="H1317" s="152" t="str">
        <f>IF(E1317="","",Input!$C$3)</f>
        <v/>
      </c>
      <c r="I1317" s="153" t="str">
        <f>IF(E1317="","",HLOOKUP($B1317,Input!$C$13:$BT$14,2))</f>
        <v/>
      </c>
      <c r="J1317" s="154"/>
      <c r="K1317" s="150" t="str">
        <f>IF($E1317="","",Input!$C$57)</f>
        <v/>
      </c>
      <c r="L1317" s="150" t="str">
        <f t="shared" si="425"/>
        <v/>
      </c>
      <c r="M1317" s="147" t="str">
        <f>IF($E1317="","",VLOOKUP(IF($B1317&lt;=Input!$C$7,$B1317,26),'Mortality Tables'!$A$72:$CA$97,IF($B1317&lt;=Input!$C$7+1,Input!$C$4-16,$D1317-Input!$C$7-16),0)/1000)</f>
        <v/>
      </c>
      <c r="N1317" s="147" t="str">
        <f t="shared" si="416"/>
        <v/>
      </c>
      <c r="O1317" s="157" t="str">
        <f>IF($E1317="","",IF($C1317=12,IF($B1317&lt;Input!$C$9,Input!$C$54,IF($B1317=Input!$C$9,Input!$C$55,Input!$C$56)),0%))</f>
        <v/>
      </c>
      <c r="P1317" s="167" t="str">
        <f>IF($E1317="","",IF($B1317=1,Input!$C$59,IF($B1317&lt;6,Input!$C$60,0%)))</f>
        <v/>
      </c>
      <c r="Q1317" s="162" t="str">
        <f>IF($E1317="","",Input!$C$58)</f>
        <v/>
      </c>
      <c r="R1317" s="156" t="str">
        <f t="shared" si="426"/>
        <v/>
      </c>
      <c r="S1317" s="154" t="str">
        <f t="shared" si="417"/>
        <v/>
      </c>
      <c r="T1317" s="152"/>
      <c r="U1317" s="150" t="str">
        <f t="shared" si="427"/>
        <v/>
      </c>
      <c r="V1317" s="150" t="str">
        <f t="shared" si="428"/>
        <v/>
      </c>
      <c r="W1317" s="168" t="str">
        <f t="shared" si="429"/>
        <v/>
      </c>
      <c r="X1317" s="163" t="str">
        <f t="shared" si="418"/>
        <v/>
      </c>
      <c r="Y1317" s="152"/>
      <c r="Z1317" s="164" t="str">
        <f>IF(AND($C1316=12,$D1316=Input!$C$6),0,IF($E1317="","",V1317+Z1318/(1+L1317)*R1317))</f>
        <v/>
      </c>
      <c r="AA1317" s="164" t="str">
        <f>IF(OR($M1317=1,AND($C1316=12,$D1316=Input!$C$6)),0,IF($E1317="","",W1317+(X1317+AA1318*$R1317)/(1+$L1317)))</f>
        <v/>
      </c>
      <c r="AB1317" s="160" t="str">
        <f t="shared" si="419"/>
        <v/>
      </c>
      <c r="AC1317" s="164" t="str">
        <f t="shared" si="420"/>
        <v/>
      </c>
      <c r="AD1317" s="164" t="str">
        <f>IF(AND($C1316=12,$D1316=Input!$C$6),0,IF($E1317="","",$AC1317+AD1318/(1+$L1317)*$R1317))</f>
        <v/>
      </c>
      <c r="AE1317" s="152"/>
      <c r="AF1317" s="164" t="str">
        <f>IF(AND($C1316=12,$D1316=Input!$C$6),0,IF($E1317="","",IF($B1317&gt;Input!$C$9,$AC1317,0)+AF1318/(1+$L1317)*$R1317))</f>
        <v/>
      </c>
      <c r="AG1317" s="164" t="str">
        <f>IF(AND($C1316=12,$D1316=Input!$C$6),0,IF($E1317="","",(IF($B1317&gt;Input!$C$9,$X1317,0)+AG1318)/(1+$L1317)*$R1317))</f>
        <v/>
      </c>
      <c r="AH1317" s="160" t="str">
        <f t="shared" si="421"/>
        <v/>
      </c>
      <c r="AI1317" s="160" t="str">
        <f>IF($E1317="","",MIN(Input!$C$61/AH1317,1))</f>
        <v/>
      </c>
      <c r="AJ1317" s="152"/>
      <c r="AK1317" s="164" t="str">
        <f>IF(AND($C1316=12,$D1316=Input!$C$6),0,IF($E1317="","",IF($B1317&gt;Input!$C$9,$AC1317*AI1317,0)+AK1318/(1+$L1317)*$R1317))</f>
        <v/>
      </c>
      <c r="AL1317" s="164" t="str">
        <f>IF(AND($C1316=12,$D1316=Input!$C$6),0,IF($E1317="","",IF($B1317&gt;Input!$C$9,0,$AC1317)+AL1318/(1+$L1317)*$R1317))</f>
        <v/>
      </c>
      <c r="AM1317" s="160" t="str">
        <f t="shared" si="422"/>
        <v/>
      </c>
      <c r="AN1317" s="164" t="str">
        <f>IF($E1317="","",IF($B1317&gt;Input!$C$9,$AI1317*$AC1317,$AM1317*$AC1317))</f>
        <v/>
      </c>
      <c r="AO1317" s="164" t="str">
        <f>IF(AND($C1316=12,$D1316=Input!$C$6),0,IF($E1317="","",$AN1317+AO1318/(1+$L1317)*$R1317))</f>
        <v/>
      </c>
      <c r="AP1317" s="152"/>
      <c r="AQ1317" s="150" t="str">
        <f t="shared" si="423"/>
        <v/>
      </c>
      <c r="AR1317" s="150" t="str">
        <f t="shared" si="430"/>
        <v/>
      </c>
      <c r="AS1317" s="150" t="str">
        <f t="shared" si="431"/>
        <v/>
      </c>
      <c r="AT1317" s="150" t="str">
        <f t="shared" si="424"/>
        <v/>
      </c>
      <c r="AU1317" s="152"/>
      <c r="AV1317" s="147" t="str">
        <f>'Deterministic Reserve'!BC1317</f>
        <v/>
      </c>
      <c r="AY1317" s="152"/>
    </row>
    <row r="1318" spans="1:51" s="150" customFormat="1" x14ac:dyDescent="0.25">
      <c r="A1318" s="150" t="str">
        <f t="shared" si="432"/>
        <v/>
      </c>
      <c r="B1318" s="150" t="str">
        <f t="shared" si="433"/>
        <v/>
      </c>
      <c r="C1318" s="150" t="str">
        <f t="shared" si="434"/>
        <v/>
      </c>
      <c r="D1318" s="150" t="str">
        <f>IF(E1318="","",Input!$C$4+B1318-1)</f>
        <v/>
      </c>
      <c r="E1318" s="150" t="str">
        <f>IF(OR(AND(C1317=12,D1317=Input!$C$6),E1317=""),"",1)</f>
        <v/>
      </c>
      <c r="G1318" s="151" t="str">
        <f>IF(E1318="","",MAX(0,Input!$C$9-B1318))</f>
        <v/>
      </c>
      <c r="H1318" s="152" t="str">
        <f>IF(E1318="","",Input!$C$3)</f>
        <v/>
      </c>
      <c r="I1318" s="153" t="str">
        <f>IF(E1318="","",HLOOKUP($B1318,Input!$C$13:$BT$14,2))</f>
        <v/>
      </c>
      <c r="J1318" s="154"/>
      <c r="K1318" s="150" t="str">
        <f>IF($E1318="","",Input!$C$57)</f>
        <v/>
      </c>
      <c r="L1318" s="150" t="str">
        <f t="shared" si="425"/>
        <v/>
      </c>
      <c r="M1318" s="147" t="str">
        <f>IF($E1318="","",VLOOKUP(IF($B1318&lt;=Input!$C$7,$B1318,26),'Mortality Tables'!$A$72:$CA$97,IF($B1318&lt;=Input!$C$7+1,Input!$C$4-16,$D1318-Input!$C$7-16),0)/1000)</f>
        <v/>
      </c>
      <c r="N1318" s="147" t="str">
        <f t="shared" si="416"/>
        <v/>
      </c>
      <c r="O1318" s="157" t="str">
        <f>IF($E1318="","",IF($C1318=12,IF($B1318&lt;Input!$C$9,Input!$C$54,IF($B1318=Input!$C$9,Input!$C$55,Input!$C$56)),0%))</f>
        <v/>
      </c>
      <c r="P1318" s="167" t="str">
        <f>IF($E1318="","",IF($B1318=1,Input!$C$59,IF($B1318&lt;6,Input!$C$60,0%)))</f>
        <v/>
      </c>
      <c r="Q1318" s="162" t="str">
        <f>IF($E1318="","",Input!$C$58)</f>
        <v/>
      </c>
      <c r="R1318" s="156" t="str">
        <f t="shared" si="426"/>
        <v/>
      </c>
      <c r="S1318" s="154" t="str">
        <f t="shared" si="417"/>
        <v/>
      </c>
      <c r="T1318" s="152"/>
      <c r="U1318" s="150" t="str">
        <f t="shared" si="427"/>
        <v/>
      </c>
      <c r="V1318" s="150" t="str">
        <f t="shared" si="428"/>
        <v/>
      </c>
      <c r="W1318" s="168" t="str">
        <f t="shared" si="429"/>
        <v/>
      </c>
      <c r="X1318" s="163" t="str">
        <f t="shared" si="418"/>
        <v/>
      </c>
      <c r="Y1318" s="152"/>
      <c r="Z1318" s="164" t="str">
        <f>IF(AND($C1317=12,$D1317=Input!$C$6),0,IF($E1318="","",V1318+Z1319/(1+L1318)*R1318))</f>
        <v/>
      </c>
      <c r="AA1318" s="164" t="str">
        <f>IF(OR($M1318=1,AND($C1317=12,$D1317=Input!$C$6)),0,IF($E1318="","",W1318+(X1318+AA1319*$R1318)/(1+$L1318)))</f>
        <v/>
      </c>
      <c r="AB1318" s="160" t="str">
        <f t="shared" si="419"/>
        <v/>
      </c>
      <c r="AC1318" s="164" t="str">
        <f t="shared" si="420"/>
        <v/>
      </c>
      <c r="AD1318" s="164" t="str">
        <f>IF(AND($C1317=12,$D1317=Input!$C$6),0,IF($E1318="","",$AC1318+AD1319/(1+$L1318)*$R1318))</f>
        <v/>
      </c>
      <c r="AE1318" s="152"/>
      <c r="AF1318" s="164" t="str">
        <f>IF(AND($C1317=12,$D1317=Input!$C$6),0,IF($E1318="","",IF($B1318&gt;Input!$C$9,$AC1318,0)+AF1319/(1+$L1318)*$R1318))</f>
        <v/>
      </c>
      <c r="AG1318" s="164" t="str">
        <f>IF(AND($C1317=12,$D1317=Input!$C$6),0,IF($E1318="","",(IF($B1318&gt;Input!$C$9,$X1318,0)+AG1319)/(1+$L1318)*$R1318))</f>
        <v/>
      </c>
      <c r="AH1318" s="160" t="str">
        <f t="shared" si="421"/>
        <v/>
      </c>
      <c r="AI1318" s="160" t="str">
        <f>IF($E1318="","",MIN(Input!$C$61/AH1318,1))</f>
        <v/>
      </c>
      <c r="AJ1318" s="152"/>
      <c r="AK1318" s="164" t="str">
        <f>IF(AND($C1317=12,$D1317=Input!$C$6),0,IF($E1318="","",IF($B1318&gt;Input!$C$9,$AC1318*AI1318,0)+AK1319/(1+$L1318)*$R1318))</f>
        <v/>
      </c>
      <c r="AL1318" s="164" t="str">
        <f>IF(AND($C1317=12,$D1317=Input!$C$6),0,IF($E1318="","",IF($B1318&gt;Input!$C$9,0,$AC1318)+AL1319/(1+$L1318)*$R1318))</f>
        <v/>
      </c>
      <c r="AM1318" s="160" t="str">
        <f t="shared" si="422"/>
        <v/>
      </c>
      <c r="AN1318" s="164" t="str">
        <f>IF($E1318="","",IF($B1318&gt;Input!$C$9,$AI1318*$AC1318,$AM1318*$AC1318))</f>
        <v/>
      </c>
      <c r="AO1318" s="164" t="str">
        <f>IF(AND($C1317=12,$D1317=Input!$C$6),0,IF($E1318="","",$AN1318+AO1319/(1+$L1318)*$R1318))</f>
        <v/>
      </c>
      <c r="AP1318" s="152"/>
      <c r="AQ1318" s="150" t="str">
        <f t="shared" si="423"/>
        <v/>
      </c>
      <c r="AR1318" s="150" t="str">
        <f t="shared" si="430"/>
        <v/>
      </c>
      <c r="AS1318" s="150" t="str">
        <f t="shared" si="431"/>
        <v/>
      </c>
      <c r="AT1318" s="150" t="str">
        <f t="shared" si="424"/>
        <v/>
      </c>
      <c r="AU1318" s="152"/>
      <c r="AV1318" s="147" t="str">
        <f>'Deterministic Reserve'!BC1318</f>
        <v/>
      </c>
      <c r="AY1318" s="152"/>
    </row>
    <row r="1319" spans="1:51" s="150" customFormat="1" x14ac:dyDescent="0.25">
      <c r="A1319" s="150" t="str">
        <f t="shared" si="432"/>
        <v/>
      </c>
      <c r="B1319" s="150" t="str">
        <f t="shared" si="433"/>
        <v/>
      </c>
      <c r="C1319" s="150" t="str">
        <f t="shared" si="434"/>
        <v/>
      </c>
      <c r="D1319" s="150" t="str">
        <f>IF(E1319="","",Input!$C$4+B1319-1)</f>
        <v/>
      </c>
      <c r="E1319" s="150" t="str">
        <f>IF(OR(AND(C1318=12,D1318=Input!$C$6),E1318=""),"",1)</f>
        <v/>
      </c>
      <c r="G1319" s="151" t="str">
        <f>IF(E1319="","",MAX(0,Input!$C$9-B1319))</f>
        <v/>
      </c>
      <c r="H1319" s="152" t="str">
        <f>IF(E1319="","",Input!$C$3)</f>
        <v/>
      </c>
      <c r="I1319" s="153" t="str">
        <f>IF(E1319="","",HLOOKUP($B1319,Input!$C$13:$BT$14,2))</f>
        <v/>
      </c>
      <c r="J1319" s="154"/>
      <c r="K1319" s="150" t="str">
        <f>IF($E1319="","",Input!$C$57)</f>
        <v/>
      </c>
      <c r="L1319" s="150" t="str">
        <f t="shared" si="425"/>
        <v/>
      </c>
      <c r="M1319" s="147" t="str">
        <f>IF($E1319="","",VLOOKUP(IF($B1319&lt;=Input!$C$7,$B1319,26),'Mortality Tables'!$A$72:$CA$97,IF($B1319&lt;=Input!$C$7+1,Input!$C$4-16,$D1319-Input!$C$7-16),0)/1000)</f>
        <v/>
      </c>
      <c r="N1319" s="147" t="str">
        <f t="shared" si="416"/>
        <v/>
      </c>
      <c r="O1319" s="157" t="str">
        <f>IF($E1319="","",IF($C1319=12,IF($B1319&lt;Input!$C$9,Input!$C$54,IF($B1319=Input!$C$9,Input!$C$55,Input!$C$56)),0%))</f>
        <v/>
      </c>
      <c r="P1319" s="167" t="str">
        <f>IF($E1319="","",IF($B1319=1,Input!$C$59,IF($B1319&lt;6,Input!$C$60,0%)))</f>
        <v/>
      </c>
      <c r="Q1319" s="162" t="str">
        <f>IF($E1319="","",Input!$C$58)</f>
        <v/>
      </c>
      <c r="R1319" s="156" t="str">
        <f t="shared" si="426"/>
        <v/>
      </c>
      <c r="S1319" s="154" t="str">
        <f t="shared" si="417"/>
        <v/>
      </c>
      <c r="T1319" s="152"/>
      <c r="U1319" s="150" t="str">
        <f t="shared" si="427"/>
        <v/>
      </c>
      <c r="V1319" s="150" t="str">
        <f t="shared" si="428"/>
        <v/>
      </c>
      <c r="W1319" s="168" t="str">
        <f t="shared" si="429"/>
        <v/>
      </c>
      <c r="X1319" s="163" t="str">
        <f t="shared" si="418"/>
        <v/>
      </c>
      <c r="Y1319" s="152"/>
      <c r="Z1319" s="164" t="str">
        <f>IF(AND($C1318=12,$D1318=Input!$C$6),0,IF($E1319="","",V1319+Z1320/(1+L1319)*R1319))</f>
        <v/>
      </c>
      <c r="AA1319" s="164" t="str">
        <f>IF(OR($M1319=1,AND($C1318=12,$D1318=Input!$C$6)),0,IF($E1319="","",W1319+(X1319+AA1320*$R1319)/(1+$L1319)))</f>
        <v/>
      </c>
      <c r="AB1319" s="160" t="str">
        <f t="shared" si="419"/>
        <v/>
      </c>
      <c r="AC1319" s="164" t="str">
        <f t="shared" si="420"/>
        <v/>
      </c>
      <c r="AD1319" s="164" t="str">
        <f>IF(AND($C1318=12,$D1318=Input!$C$6),0,IF($E1319="","",$AC1319+AD1320/(1+$L1319)*$R1319))</f>
        <v/>
      </c>
      <c r="AE1319" s="152"/>
      <c r="AF1319" s="164" t="str">
        <f>IF(AND($C1318=12,$D1318=Input!$C$6),0,IF($E1319="","",IF($B1319&gt;Input!$C$9,$AC1319,0)+AF1320/(1+$L1319)*$R1319))</f>
        <v/>
      </c>
      <c r="AG1319" s="164" t="str">
        <f>IF(AND($C1318=12,$D1318=Input!$C$6),0,IF($E1319="","",(IF($B1319&gt;Input!$C$9,$X1319,0)+AG1320)/(1+$L1319)*$R1319))</f>
        <v/>
      </c>
      <c r="AH1319" s="160" t="str">
        <f t="shared" si="421"/>
        <v/>
      </c>
      <c r="AI1319" s="160" t="str">
        <f>IF($E1319="","",MIN(Input!$C$61/AH1319,1))</f>
        <v/>
      </c>
      <c r="AJ1319" s="152"/>
      <c r="AK1319" s="164" t="str">
        <f>IF(AND($C1318=12,$D1318=Input!$C$6),0,IF($E1319="","",IF($B1319&gt;Input!$C$9,$AC1319*AI1319,0)+AK1320/(1+$L1319)*$R1319))</f>
        <v/>
      </c>
      <c r="AL1319" s="164" t="str">
        <f>IF(AND($C1318=12,$D1318=Input!$C$6),0,IF($E1319="","",IF($B1319&gt;Input!$C$9,0,$AC1319)+AL1320/(1+$L1319)*$R1319))</f>
        <v/>
      </c>
      <c r="AM1319" s="160" t="str">
        <f t="shared" si="422"/>
        <v/>
      </c>
      <c r="AN1319" s="164" t="str">
        <f>IF($E1319="","",IF($B1319&gt;Input!$C$9,$AI1319*$AC1319,$AM1319*$AC1319))</f>
        <v/>
      </c>
      <c r="AO1319" s="164" t="str">
        <f>IF(AND($C1318=12,$D1318=Input!$C$6),0,IF($E1319="","",$AN1319+AO1320/(1+$L1319)*$R1319))</f>
        <v/>
      </c>
      <c r="AP1319" s="152"/>
      <c r="AQ1319" s="150" t="str">
        <f t="shared" si="423"/>
        <v/>
      </c>
      <c r="AR1319" s="150" t="str">
        <f t="shared" si="430"/>
        <v/>
      </c>
      <c r="AS1319" s="150" t="str">
        <f t="shared" si="431"/>
        <v/>
      </c>
      <c r="AT1319" s="150" t="str">
        <f t="shared" si="424"/>
        <v/>
      </c>
      <c r="AU1319" s="152"/>
      <c r="AV1319" s="147" t="str">
        <f>'Deterministic Reserve'!BC1319</f>
        <v/>
      </c>
      <c r="AY1319" s="152"/>
    </row>
    <row r="1320" spans="1:51" s="150" customFormat="1" x14ac:dyDescent="0.25">
      <c r="A1320" s="150" t="str">
        <f t="shared" si="432"/>
        <v/>
      </c>
      <c r="B1320" s="150" t="str">
        <f t="shared" si="433"/>
        <v/>
      </c>
      <c r="C1320" s="150" t="str">
        <f t="shared" si="434"/>
        <v/>
      </c>
      <c r="D1320" s="150" t="str">
        <f>IF(E1320="","",Input!$C$4+B1320-1)</f>
        <v/>
      </c>
      <c r="E1320" s="150" t="str">
        <f>IF(OR(AND(C1319=12,D1319=Input!$C$6),E1319=""),"",1)</f>
        <v/>
      </c>
      <c r="G1320" s="151" t="str">
        <f>IF(E1320="","",MAX(0,Input!$C$9-B1320))</f>
        <v/>
      </c>
      <c r="H1320" s="152" t="str">
        <f>IF(E1320="","",Input!$C$3)</f>
        <v/>
      </c>
      <c r="I1320" s="153" t="str">
        <f>IF(E1320="","",HLOOKUP($B1320,Input!$C$13:$BT$14,2))</f>
        <v/>
      </c>
      <c r="J1320" s="154"/>
      <c r="K1320" s="150" t="str">
        <f>IF($E1320="","",Input!$C$57)</f>
        <v/>
      </c>
      <c r="L1320" s="150" t="str">
        <f t="shared" si="425"/>
        <v/>
      </c>
      <c r="M1320" s="147" t="str">
        <f>IF($E1320="","",VLOOKUP(IF($B1320&lt;=Input!$C$7,$B1320,26),'Mortality Tables'!$A$72:$CA$97,IF($B1320&lt;=Input!$C$7+1,Input!$C$4-16,$D1320-Input!$C$7-16),0)/1000)</f>
        <v/>
      </c>
      <c r="N1320" s="147" t="str">
        <f t="shared" si="416"/>
        <v/>
      </c>
      <c r="O1320" s="157" t="str">
        <f>IF($E1320="","",IF($C1320=12,IF($B1320&lt;Input!$C$9,Input!$C$54,IF($B1320=Input!$C$9,Input!$C$55,Input!$C$56)),0%))</f>
        <v/>
      </c>
      <c r="P1320" s="167" t="str">
        <f>IF($E1320="","",IF($B1320=1,Input!$C$59,IF($B1320&lt;6,Input!$C$60,0%)))</f>
        <v/>
      </c>
      <c r="Q1320" s="162" t="str">
        <f>IF($E1320="","",Input!$C$58)</f>
        <v/>
      </c>
      <c r="R1320" s="156" t="str">
        <f t="shared" si="426"/>
        <v/>
      </c>
      <c r="S1320" s="154" t="str">
        <f t="shared" si="417"/>
        <v/>
      </c>
      <c r="T1320" s="152"/>
      <c r="U1320" s="150" t="str">
        <f t="shared" si="427"/>
        <v/>
      </c>
      <c r="V1320" s="150" t="str">
        <f t="shared" si="428"/>
        <v/>
      </c>
      <c r="W1320" s="168" t="str">
        <f t="shared" si="429"/>
        <v/>
      </c>
      <c r="X1320" s="163" t="str">
        <f t="shared" si="418"/>
        <v/>
      </c>
      <c r="Y1320" s="152"/>
      <c r="Z1320" s="164" t="str">
        <f>IF(AND($C1319=12,$D1319=Input!$C$6),0,IF($E1320="","",V1320+Z1321/(1+L1320)*R1320))</f>
        <v/>
      </c>
      <c r="AA1320" s="164" t="str">
        <f>IF(OR($M1320=1,AND($C1319=12,$D1319=Input!$C$6)),0,IF($E1320="","",W1320+(X1320+AA1321*$R1320)/(1+$L1320)))</f>
        <v/>
      </c>
      <c r="AB1320" s="160" t="str">
        <f t="shared" si="419"/>
        <v/>
      </c>
      <c r="AC1320" s="164" t="str">
        <f t="shared" si="420"/>
        <v/>
      </c>
      <c r="AD1320" s="164" t="str">
        <f>IF(AND($C1319=12,$D1319=Input!$C$6),0,IF($E1320="","",$AC1320+AD1321/(1+$L1320)*$R1320))</f>
        <v/>
      </c>
      <c r="AE1320" s="152"/>
      <c r="AF1320" s="164" t="str">
        <f>IF(AND($C1319=12,$D1319=Input!$C$6),0,IF($E1320="","",IF($B1320&gt;Input!$C$9,$AC1320,0)+AF1321/(1+$L1320)*$R1320))</f>
        <v/>
      </c>
      <c r="AG1320" s="164" t="str">
        <f>IF(AND($C1319=12,$D1319=Input!$C$6),0,IF($E1320="","",(IF($B1320&gt;Input!$C$9,$X1320,0)+AG1321)/(1+$L1320)*$R1320))</f>
        <v/>
      </c>
      <c r="AH1320" s="160" t="str">
        <f t="shared" si="421"/>
        <v/>
      </c>
      <c r="AI1320" s="160" t="str">
        <f>IF($E1320="","",MIN(Input!$C$61/AH1320,1))</f>
        <v/>
      </c>
      <c r="AJ1320" s="152"/>
      <c r="AK1320" s="164" t="str">
        <f>IF(AND($C1319=12,$D1319=Input!$C$6),0,IF($E1320="","",IF($B1320&gt;Input!$C$9,$AC1320*AI1320,0)+AK1321/(1+$L1320)*$R1320))</f>
        <v/>
      </c>
      <c r="AL1320" s="164" t="str">
        <f>IF(AND($C1319=12,$D1319=Input!$C$6),0,IF($E1320="","",IF($B1320&gt;Input!$C$9,0,$AC1320)+AL1321/(1+$L1320)*$R1320))</f>
        <v/>
      </c>
      <c r="AM1320" s="160" t="str">
        <f t="shared" si="422"/>
        <v/>
      </c>
      <c r="AN1320" s="164" t="str">
        <f>IF($E1320="","",IF($B1320&gt;Input!$C$9,$AI1320*$AC1320,$AM1320*$AC1320))</f>
        <v/>
      </c>
      <c r="AO1320" s="164" t="str">
        <f>IF(AND($C1319=12,$D1319=Input!$C$6),0,IF($E1320="","",$AN1320+AO1321/(1+$L1320)*$R1320))</f>
        <v/>
      </c>
      <c r="AP1320" s="152"/>
      <c r="AQ1320" s="150" t="str">
        <f t="shared" si="423"/>
        <v/>
      </c>
      <c r="AR1320" s="150" t="str">
        <f t="shared" si="430"/>
        <v/>
      </c>
      <c r="AS1320" s="150" t="str">
        <f t="shared" si="431"/>
        <v/>
      </c>
      <c r="AT1320" s="150" t="str">
        <f t="shared" si="424"/>
        <v/>
      </c>
      <c r="AU1320" s="152"/>
      <c r="AV1320" s="147" t="str">
        <f>'Deterministic Reserve'!BC1320</f>
        <v/>
      </c>
      <c r="AY1320" s="152"/>
    </row>
    <row r="1321" spans="1:51" s="150" customFormat="1" x14ac:dyDescent="0.25">
      <c r="A1321" s="150" t="str">
        <f t="shared" si="432"/>
        <v/>
      </c>
      <c r="B1321" s="150" t="str">
        <f t="shared" si="433"/>
        <v/>
      </c>
      <c r="C1321" s="150" t="str">
        <f t="shared" si="434"/>
        <v/>
      </c>
      <c r="D1321" s="150" t="str">
        <f>IF(E1321="","",Input!$C$4+B1321-1)</f>
        <v/>
      </c>
      <c r="E1321" s="150" t="str">
        <f>IF(OR(AND(C1320=12,D1320=Input!$C$6),E1320=""),"",1)</f>
        <v/>
      </c>
      <c r="G1321" s="151" t="str">
        <f>IF(E1321="","",MAX(0,Input!$C$9-B1321))</f>
        <v/>
      </c>
      <c r="H1321" s="152" t="str">
        <f>IF(E1321="","",Input!$C$3)</f>
        <v/>
      </c>
      <c r="I1321" s="153" t="str">
        <f>IF(E1321="","",HLOOKUP($B1321,Input!$C$13:$BT$14,2))</f>
        <v/>
      </c>
      <c r="J1321" s="154"/>
      <c r="K1321" s="150" t="str">
        <f>IF($E1321="","",Input!$C$57)</f>
        <v/>
      </c>
      <c r="L1321" s="150" t="str">
        <f t="shared" si="425"/>
        <v/>
      </c>
      <c r="M1321" s="147" t="str">
        <f>IF($E1321="","",VLOOKUP(IF($B1321&lt;=Input!$C$7,$B1321,26),'Mortality Tables'!$A$72:$CA$97,IF($B1321&lt;=Input!$C$7+1,Input!$C$4-16,$D1321-Input!$C$7-16),0)/1000)</f>
        <v/>
      </c>
      <c r="N1321" s="147" t="str">
        <f t="shared" si="416"/>
        <v/>
      </c>
      <c r="O1321" s="157" t="str">
        <f>IF($E1321="","",IF($C1321=12,IF($B1321&lt;Input!$C$9,Input!$C$54,IF($B1321=Input!$C$9,Input!$C$55,Input!$C$56)),0%))</f>
        <v/>
      </c>
      <c r="P1321" s="167" t="str">
        <f>IF($E1321="","",IF($B1321=1,Input!$C$59,IF($B1321&lt;6,Input!$C$60,0%)))</f>
        <v/>
      </c>
      <c r="Q1321" s="162" t="str">
        <f>IF($E1321="","",Input!$C$58)</f>
        <v/>
      </c>
      <c r="R1321" s="156" t="str">
        <f t="shared" si="426"/>
        <v/>
      </c>
      <c r="S1321" s="154" t="str">
        <f t="shared" si="417"/>
        <v/>
      </c>
      <c r="T1321" s="152"/>
      <c r="U1321" s="150" t="str">
        <f t="shared" si="427"/>
        <v/>
      </c>
      <c r="V1321" s="150" t="str">
        <f t="shared" si="428"/>
        <v/>
      </c>
      <c r="W1321" s="168" t="str">
        <f t="shared" si="429"/>
        <v/>
      </c>
      <c r="X1321" s="163" t="str">
        <f t="shared" si="418"/>
        <v/>
      </c>
      <c r="Y1321" s="152"/>
      <c r="Z1321" s="164" t="str">
        <f>IF(AND($C1320=12,$D1320=Input!$C$6),0,IF($E1321="","",V1321+Z1322/(1+L1321)*R1321))</f>
        <v/>
      </c>
      <c r="AA1321" s="164" t="str">
        <f>IF(OR($M1321=1,AND($C1320=12,$D1320=Input!$C$6)),0,IF($E1321="","",W1321+(X1321+AA1322*$R1321)/(1+$L1321)))</f>
        <v/>
      </c>
      <c r="AB1321" s="160" t="str">
        <f t="shared" si="419"/>
        <v/>
      </c>
      <c r="AC1321" s="164" t="str">
        <f t="shared" si="420"/>
        <v/>
      </c>
      <c r="AD1321" s="164" t="str">
        <f>IF(AND($C1320=12,$D1320=Input!$C$6),0,IF($E1321="","",$AC1321+AD1322/(1+$L1321)*$R1321))</f>
        <v/>
      </c>
      <c r="AE1321" s="152"/>
      <c r="AF1321" s="164" t="str">
        <f>IF(AND($C1320=12,$D1320=Input!$C$6),0,IF($E1321="","",IF($B1321&gt;Input!$C$9,$AC1321,0)+AF1322/(1+$L1321)*$R1321))</f>
        <v/>
      </c>
      <c r="AG1321" s="164" t="str">
        <f>IF(AND($C1320=12,$D1320=Input!$C$6),0,IF($E1321="","",(IF($B1321&gt;Input!$C$9,$X1321,0)+AG1322)/(1+$L1321)*$R1321))</f>
        <v/>
      </c>
      <c r="AH1321" s="160" t="str">
        <f t="shared" si="421"/>
        <v/>
      </c>
      <c r="AI1321" s="160" t="str">
        <f>IF($E1321="","",MIN(Input!$C$61/AH1321,1))</f>
        <v/>
      </c>
      <c r="AJ1321" s="152"/>
      <c r="AK1321" s="164" t="str">
        <f>IF(AND($C1320=12,$D1320=Input!$C$6),0,IF($E1321="","",IF($B1321&gt;Input!$C$9,$AC1321*AI1321,0)+AK1322/(1+$L1321)*$R1321))</f>
        <v/>
      </c>
      <c r="AL1321" s="164" t="str">
        <f>IF(AND($C1320=12,$D1320=Input!$C$6),0,IF($E1321="","",IF($B1321&gt;Input!$C$9,0,$AC1321)+AL1322/(1+$L1321)*$R1321))</f>
        <v/>
      </c>
      <c r="AM1321" s="160" t="str">
        <f t="shared" si="422"/>
        <v/>
      </c>
      <c r="AN1321" s="164" t="str">
        <f>IF($E1321="","",IF($B1321&gt;Input!$C$9,$AI1321*$AC1321,$AM1321*$AC1321))</f>
        <v/>
      </c>
      <c r="AO1321" s="164" t="str">
        <f>IF(AND($C1320=12,$D1320=Input!$C$6),0,IF($E1321="","",$AN1321+AO1322/(1+$L1321)*$R1321))</f>
        <v/>
      </c>
      <c r="AP1321" s="152"/>
      <c r="AQ1321" s="150" t="str">
        <f t="shared" si="423"/>
        <v/>
      </c>
      <c r="AR1321" s="150" t="str">
        <f t="shared" si="430"/>
        <v/>
      </c>
      <c r="AS1321" s="150" t="str">
        <f t="shared" si="431"/>
        <v/>
      </c>
      <c r="AT1321" s="150" t="str">
        <f t="shared" si="424"/>
        <v/>
      </c>
      <c r="AU1321" s="152"/>
      <c r="AV1321" s="147" t="str">
        <f>'Deterministic Reserve'!BC1321</f>
        <v/>
      </c>
      <c r="AY1321" s="152"/>
    </row>
    <row r="1322" spans="1:51" s="150" customFormat="1" x14ac:dyDescent="0.25">
      <c r="A1322" s="150" t="str">
        <f t="shared" si="432"/>
        <v/>
      </c>
      <c r="B1322" s="150" t="str">
        <f t="shared" si="433"/>
        <v/>
      </c>
      <c r="C1322" s="150" t="str">
        <f t="shared" si="434"/>
        <v/>
      </c>
      <c r="D1322" s="150" t="str">
        <f>IF(E1322="","",Input!$C$4+B1322-1)</f>
        <v/>
      </c>
      <c r="E1322" s="150" t="str">
        <f>IF(OR(AND(C1321=12,D1321=Input!$C$6),E1321=""),"",1)</f>
        <v/>
      </c>
      <c r="G1322" s="151" t="str">
        <f>IF(E1322="","",MAX(0,Input!$C$9-B1322))</f>
        <v/>
      </c>
      <c r="H1322" s="152" t="str">
        <f>IF(E1322="","",Input!$C$3)</f>
        <v/>
      </c>
      <c r="I1322" s="153" t="str">
        <f>IF(E1322="","",HLOOKUP($B1322,Input!$C$13:$BT$14,2))</f>
        <v/>
      </c>
      <c r="J1322" s="154"/>
      <c r="K1322" s="150" t="str">
        <f>IF($E1322="","",Input!$C$57)</f>
        <v/>
      </c>
      <c r="L1322" s="150" t="str">
        <f t="shared" si="425"/>
        <v/>
      </c>
      <c r="M1322" s="147" t="str">
        <f>IF($E1322="","",VLOOKUP(IF($B1322&lt;=Input!$C$7,$B1322,26),'Mortality Tables'!$A$72:$CA$97,IF($B1322&lt;=Input!$C$7+1,Input!$C$4-16,$D1322-Input!$C$7-16),0)/1000)</f>
        <v/>
      </c>
      <c r="N1322" s="147" t="str">
        <f t="shared" si="416"/>
        <v/>
      </c>
      <c r="O1322" s="157" t="str">
        <f>IF($E1322="","",IF($C1322=12,IF($B1322&lt;Input!$C$9,Input!$C$54,IF($B1322=Input!$C$9,Input!$C$55,Input!$C$56)),0%))</f>
        <v/>
      </c>
      <c r="P1322" s="167" t="str">
        <f>IF($E1322="","",IF($B1322=1,Input!$C$59,IF($B1322&lt;6,Input!$C$60,0%)))</f>
        <v/>
      </c>
      <c r="Q1322" s="162" t="str">
        <f>IF($E1322="","",Input!$C$58)</f>
        <v/>
      </c>
      <c r="R1322" s="156" t="str">
        <f t="shared" si="426"/>
        <v/>
      </c>
      <c r="S1322" s="154" t="str">
        <f t="shared" si="417"/>
        <v/>
      </c>
      <c r="T1322" s="152"/>
      <c r="U1322" s="150" t="str">
        <f t="shared" si="427"/>
        <v/>
      </c>
      <c r="V1322" s="150" t="str">
        <f t="shared" si="428"/>
        <v/>
      </c>
      <c r="W1322" s="168" t="str">
        <f t="shared" si="429"/>
        <v/>
      </c>
      <c r="X1322" s="163" t="str">
        <f t="shared" si="418"/>
        <v/>
      </c>
      <c r="Y1322" s="152"/>
      <c r="Z1322" s="164" t="str">
        <f>IF(AND($C1321=12,$D1321=Input!$C$6),0,IF($E1322="","",V1322+Z1323/(1+L1322)*R1322))</f>
        <v/>
      </c>
      <c r="AA1322" s="164" t="str">
        <f>IF(OR($M1322=1,AND($C1321=12,$D1321=Input!$C$6)),0,IF($E1322="","",W1322+(X1322+AA1323*$R1322)/(1+$L1322)))</f>
        <v/>
      </c>
      <c r="AB1322" s="160" t="str">
        <f t="shared" si="419"/>
        <v/>
      </c>
      <c r="AC1322" s="164" t="str">
        <f t="shared" si="420"/>
        <v/>
      </c>
      <c r="AD1322" s="164" t="str">
        <f>IF(AND($C1321=12,$D1321=Input!$C$6),0,IF($E1322="","",$AC1322+AD1323/(1+$L1322)*$R1322))</f>
        <v/>
      </c>
      <c r="AE1322" s="152"/>
      <c r="AF1322" s="164" t="str">
        <f>IF(AND($C1321=12,$D1321=Input!$C$6),0,IF($E1322="","",IF($B1322&gt;Input!$C$9,$AC1322,0)+AF1323/(1+$L1322)*$R1322))</f>
        <v/>
      </c>
      <c r="AG1322" s="164" t="str">
        <f>IF(AND($C1321=12,$D1321=Input!$C$6),0,IF($E1322="","",(IF($B1322&gt;Input!$C$9,$X1322,0)+AG1323)/(1+$L1322)*$R1322))</f>
        <v/>
      </c>
      <c r="AH1322" s="160" t="str">
        <f t="shared" si="421"/>
        <v/>
      </c>
      <c r="AI1322" s="160" t="str">
        <f>IF($E1322="","",MIN(Input!$C$61/AH1322,1))</f>
        <v/>
      </c>
      <c r="AJ1322" s="152"/>
      <c r="AK1322" s="164" t="str">
        <f>IF(AND($C1321=12,$D1321=Input!$C$6),0,IF($E1322="","",IF($B1322&gt;Input!$C$9,$AC1322*AI1322,0)+AK1323/(1+$L1322)*$R1322))</f>
        <v/>
      </c>
      <c r="AL1322" s="164" t="str">
        <f>IF(AND($C1321=12,$D1321=Input!$C$6),0,IF($E1322="","",IF($B1322&gt;Input!$C$9,0,$AC1322)+AL1323/(1+$L1322)*$R1322))</f>
        <v/>
      </c>
      <c r="AM1322" s="160" t="str">
        <f t="shared" si="422"/>
        <v/>
      </c>
      <c r="AN1322" s="164" t="str">
        <f>IF($E1322="","",IF($B1322&gt;Input!$C$9,$AI1322*$AC1322,$AM1322*$AC1322))</f>
        <v/>
      </c>
      <c r="AO1322" s="164" t="str">
        <f>IF(AND($C1321=12,$D1321=Input!$C$6),0,IF($E1322="","",$AN1322+AO1323/(1+$L1322)*$R1322))</f>
        <v/>
      </c>
      <c r="AP1322" s="152"/>
      <c r="AQ1322" s="150" t="str">
        <f t="shared" si="423"/>
        <v/>
      </c>
      <c r="AR1322" s="150" t="str">
        <f t="shared" si="430"/>
        <v/>
      </c>
      <c r="AS1322" s="150" t="str">
        <f t="shared" si="431"/>
        <v/>
      </c>
      <c r="AT1322" s="150" t="str">
        <f t="shared" si="424"/>
        <v/>
      </c>
      <c r="AU1322" s="152"/>
      <c r="AV1322" s="147" t="str">
        <f>'Deterministic Reserve'!BC1322</f>
        <v/>
      </c>
      <c r="AY1322" s="152"/>
    </row>
    <row r="1323" spans="1:51" s="150" customFormat="1" x14ac:dyDescent="0.25">
      <c r="A1323" s="150" t="str">
        <f t="shared" si="432"/>
        <v/>
      </c>
      <c r="B1323" s="150" t="str">
        <f t="shared" si="433"/>
        <v/>
      </c>
      <c r="C1323" s="150" t="str">
        <f t="shared" si="434"/>
        <v/>
      </c>
      <c r="D1323" s="150" t="str">
        <f>IF(E1323="","",Input!$C$4+B1323-1)</f>
        <v/>
      </c>
      <c r="E1323" s="150" t="str">
        <f>IF(OR(AND(C1322=12,D1322=Input!$C$6),E1322=""),"",1)</f>
        <v/>
      </c>
      <c r="G1323" s="151" t="str">
        <f>IF(E1323="","",MAX(0,Input!$C$9-B1323))</f>
        <v/>
      </c>
      <c r="H1323" s="152" t="str">
        <f>IF(E1323="","",Input!$C$3)</f>
        <v/>
      </c>
      <c r="I1323" s="153" t="str">
        <f>IF(E1323="","",HLOOKUP($B1323,Input!$C$13:$BT$14,2))</f>
        <v/>
      </c>
      <c r="J1323" s="154"/>
      <c r="K1323" s="150" t="str">
        <f>IF($E1323="","",Input!$C$57)</f>
        <v/>
      </c>
      <c r="L1323" s="150" t="str">
        <f t="shared" si="425"/>
        <v/>
      </c>
      <c r="M1323" s="147" t="str">
        <f>IF($E1323="","",VLOOKUP(IF($B1323&lt;=Input!$C$7,$B1323,26),'Mortality Tables'!$A$72:$CA$97,IF($B1323&lt;=Input!$C$7+1,Input!$C$4-16,$D1323-Input!$C$7-16),0)/1000)</f>
        <v/>
      </c>
      <c r="N1323" s="147" t="str">
        <f t="shared" si="416"/>
        <v/>
      </c>
      <c r="O1323" s="157" t="str">
        <f>IF($E1323="","",IF($C1323=12,IF($B1323&lt;Input!$C$9,Input!$C$54,IF($B1323=Input!$C$9,Input!$C$55,Input!$C$56)),0%))</f>
        <v/>
      </c>
      <c r="P1323" s="167" t="str">
        <f>IF($E1323="","",IF($B1323=1,Input!$C$59,IF($B1323&lt;6,Input!$C$60,0%)))</f>
        <v/>
      </c>
      <c r="Q1323" s="162" t="str">
        <f>IF($E1323="","",Input!$C$58)</f>
        <v/>
      </c>
      <c r="R1323" s="156" t="str">
        <f t="shared" si="426"/>
        <v/>
      </c>
      <c r="S1323" s="154" t="str">
        <f t="shared" si="417"/>
        <v/>
      </c>
      <c r="T1323" s="152"/>
      <c r="U1323" s="150" t="str">
        <f t="shared" si="427"/>
        <v/>
      </c>
      <c r="V1323" s="150" t="str">
        <f t="shared" si="428"/>
        <v/>
      </c>
      <c r="W1323" s="168" t="str">
        <f t="shared" si="429"/>
        <v/>
      </c>
      <c r="X1323" s="163" t="str">
        <f t="shared" si="418"/>
        <v/>
      </c>
      <c r="Y1323" s="152"/>
      <c r="Z1323" s="164" t="str">
        <f>IF(AND($C1322=12,$D1322=Input!$C$6),0,IF($E1323="","",V1323+Z1324/(1+L1323)*R1323))</f>
        <v/>
      </c>
      <c r="AA1323" s="164" t="str">
        <f>IF(OR($M1323=1,AND($C1322=12,$D1322=Input!$C$6)),0,IF($E1323="","",W1323+(X1323+AA1324*$R1323)/(1+$L1323)))</f>
        <v/>
      </c>
      <c r="AB1323" s="160" t="str">
        <f t="shared" si="419"/>
        <v/>
      </c>
      <c r="AC1323" s="164" t="str">
        <f t="shared" si="420"/>
        <v/>
      </c>
      <c r="AD1323" s="164" t="str">
        <f>IF(AND($C1322=12,$D1322=Input!$C$6),0,IF($E1323="","",$AC1323+AD1324/(1+$L1323)*$R1323))</f>
        <v/>
      </c>
      <c r="AE1323" s="152"/>
      <c r="AF1323" s="164" t="str">
        <f>IF(AND($C1322=12,$D1322=Input!$C$6),0,IF($E1323="","",IF($B1323&gt;Input!$C$9,$AC1323,0)+AF1324/(1+$L1323)*$R1323))</f>
        <v/>
      </c>
      <c r="AG1323" s="164" t="str">
        <f>IF(AND($C1322=12,$D1322=Input!$C$6),0,IF($E1323="","",(IF($B1323&gt;Input!$C$9,$X1323,0)+AG1324)/(1+$L1323)*$R1323))</f>
        <v/>
      </c>
      <c r="AH1323" s="160" t="str">
        <f t="shared" si="421"/>
        <v/>
      </c>
      <c r="AI1323" s="160" t="str">
        <f>IF($E1323="","",MIN(Input!$C$61/AH1323,1))</f>
        <v/>
      </c>
      <c r="AJ1323" s="152"/>
      <c r="AK1323" s="164" t="str">
        <f>IF(AND($C1322=12,$D1322=Input!$C$6),0,IF($E1323="","",IF($B1323&gt;Input!$C$9,$AC1323*AI1323,0)+AK1324/(1+$L1323)*$R1323))</f>
        <v/>
      </c>
      <c r="AL1323" s="164" t="str">
        <f>IF(AND($C1322=12,$D1322=Input!$C$6),0,IF($E1323="","",IF($B1323&gt;Input!$C$9,0,$AC1323)+AL1324/(1+$L1323)*$R1323))</f>
        <v/>
      </c>
      <c r="AM1323" s="160" t="str">
        <f t="shared" si="422"/>
        <v/>
      </c>
      <c r="AN1323" s="164" t="str">
        <f>IF($E1323="","",IF($B1323&gt;Input!$C$9,$AI1323*$AC1323,$AM1323*$AC1323))</f>
        <v/>
      </c>
      <c r="AO1323" s="164" t="str">
        <f>IF(AND($C1322=12,$D1322=Input!$C$6),0,IF($E1323="","",$AN1323+AO1324/(1+$L1323)*$R1323))</f>
        <v/>
      </c>
      <c r="AP1323" s="152"/>
      <c r="AQ1323" s="150" t="str">
        <f t="shared" si="423"/>
        <v/>
      </c>
      <c r="AR1323" s="150" t="str">
        <f t="shared" si="430"/>
        <v/>
      </c>
      <c r="AS1323" s="150" t="str">
        <f t="shared" si="431"/>
        <v/>
      </c>
      <c r="AT1323" s="150" t="str">
        <f t="shared" si="424"/>
        <v/>
      </c>
      <c r="AU1323" s="152"/>
      <c r="AV1323" s="147" t="str">
        <f>'Deterministic Reserve'!BC1323</f>
        <v/>
      </c>
      <c r="AY1323" s="152"/>
    </row>
    <row r="1324" spans="1:51" s="150" customFormat="1" x14ac:dyDescent="0.25">
      <c r="A1324" s="150" t="str">
        <f t="shared" si="432"/>
        <v/>
      </c>
      <c r="B1324" s="150" t="str">
        <f t="shared" si="433"/>
        <v/>
      </c>
      <c r="C1324" s="150" t="str">
        <f t="shared" si="434"/>
        <v/>
      </c>
      <c r="D1324" s="150" t="str">
        <f>IF(E1324="","",Input!$C$4+B1324-1)</f>
        <v/>
      </c>
      <c r="E1324" s="150" t="str">
        <f>IF(OR(AND(C1323=12,D1323=Input!$C$6),E1323=""),"",1)</f>
        <v/>
      </c>
      <c r="G1324" s="151" t="str">
        <f>IF(E1324="","",MAX(0,Input!$C$9-B1324))</f>
        <v/>
      </c>
      <c r="H1324" s="152" t="str">
        <f>IF(E1324="","",Input!$C$3)</f>
        <v/>
      </c>
      <c r="I1324" s="153" t="str">
        <f>IF(E1324="","",HLOOKUP($B1324,Input!$C$13:$BT$14,2))</f>
        <v/>
      </c>
      <c r="J1324" s="154"/>
      <c r="K1324" s="150" t="str">
        <f>IF($E1324="","",Input!$C$57)</f>
        <v/>
      </c>
      <c r="L1324" s="150" t="str">
        <f t="shared" si="425"/>
        <v/>
      </c>
      <c r="M1324" s="147" t="str">
        <f>IF($E1324="","",VLOOKUP(IF($B1324&lt;=Input!$C$7,$B1324,26),'Mortality Tables'!$A$72:$CA$97,IF($B1324&lt;=Input!$C$7+1,Input!$C$4-16,$D1324-Input!$C$7-16),0)/1000)</f>
        <v/>
      </c>
      <c r="N1324" s="147" t="str">
        <f t="shared" si="416"/>
        <v/>
      </c>
      <c r="O1324" s="157" t="str">
        <f>IF($E1324="","",IF($C1324=12,IF($B1324&lt;Input!$C$9,Input!$C$54,IF($B1324=Input!$C$9,Input!$C$55,Input!$C$56)),0%))</f>
        <v/>
      </c>
      <c r="P1324" s="167" t="str">
        <f>IF($E1324="","",IF($B1324=1,Input!$C$59,IF($B1324&lt;6,Input!$C$60,0%)))</f>
        <v/>
      </c>
      <c r="Q1324" s="162" t="str">
        <f>IF($E1324="","",Input!$C$58)</f>
        <v/>
      </c>
      <c r="R1324" s="156" t="str">
        <f t="shared" si="426"/>
        <v/>
      </c>
      <c r="S1324" s="154" t="str">
        <f t="shared" si="417"/>
        <v/>
      </c>
      <c r="T1324" s="152"/>
      <c r="U1324" s="150" t="str">
        <f t="shared" si="427"/>
        <v/>
      </c>
      <c r="V1324" s="150" t="str">
        <f t="shared" si="428"/>
        <v/>
      </c>
      <c r="W1324" s="168" t="str">
        <f t="shared" si="429"/>
        <v/>
      </c>
      <c r="X1324" s="163" t="str">
        <f t="shared" si="418"/>
        <v/>
      </c>
      <c r="Y1324" s="152"/>
      <c r="Z1324" s="164" t="str">
        <f>IF(AND($C1323=12,$D1323=Input!$C$6),0,IF($E1324="","",V1324+Z1325/(1+L1324)*R1324))</f>
        <v/>
      </c>
      <c r="AA1324" s="164" t="str">
        <f>IF(OR($M1324=1,AND($C1323=12,$D1323=Input!$C$6)),0,IF($E1324="","",W1324+(X1324+AA1325*$R1324)/(1+$L1324)))</f>
        <v/>
      </c>
      <c r="AB1324" s="160" t="str">
        <f t="shared" si="419"/>
        <v/>
      </c>
      <c r="AC1324" s="164" t="str">
        <f t="shared" si="420"/>
        <v/>
      </c>
      <c r="AD1324" s="164" t="str">
        <f>IF(AND($C1323=12,$D1323=Input!$C$6),0,IF($E1324="","",$AC1324+AD1325/(1+$L1324)*$R1324))</f>
        <v/>
      </c>
      <c r="AE1324" s="152"/>
      <c r="AF1324" s="164" t="str">
        <f>IF(AND($C1323=12,$D1323=Input!$C$6),0,IF($E1324="","",IF($B1324&gt;Input!$C$9,$AC1324,0)+AF1325/(1+$L1324)*$R1324))</f>
        <v/>
      </c>
      <c r="AG1324" s="164" t="str">
        <f>IF(AND($C1323=12,$D1323=Input!$C$6),0,IF($E1324="","",(IF($B1324&gt;Input!$C$9,$X1324,0)+AG1325)/(1+$L1324)*$R1324))</f>
        <v/>
      </c>
      <c r="AH1324" s="160" t="str">
        <f t="shared" si="421"/>
        <v/>
      </c>
      <c r="AI1324" s="160" t="str">
        <f>IF($E1324="","",MIN(Input!$C$61/AH1324,1))</f>
        <v/>
      </c>
      <c r="AJ1324" s="152"/>
      <c r="AK1324" s="164" t="str">
        <f>IF(AND($C1323=12,$D1323=Input!$C$6),0,IF($E1324="","",IF($B1324&gt;Input!$C$9,$AC1324*AI1324,0)+AK1325/(1+$L1324)*$R1324))</f>
        <v/>
      </c>
      <c r="AL1324" s="164" t="str">
        <f>IF(AND($C1323=12,$D1323=Input!$C$6),0,IF($E1324="","",IF($B1324&gt;Input!$C$9,0,$AC1324)+AL1325/(1+$L1324)*$R1324))</f>
        <v/>
      </c>
      <c r="AM1324" s="160" t="str">
        <f t="shared" si="422"/>
        <v/>
      </c>
      <c r="AN1324" s="164" t="str">
        <f>IF($E1324="","",IF($B1324&gt;Input!$C$9,$AI1324*$AC1324,$AM1324*$AC1324))</f>
        <v/>
      </c>
      <c r="AO1324" s="164" t="str">
        <f>IF(AND($C1323=12,$D1323=Input!$C$6),0,IF($E1324="","",$AN1324+AO1325/(1+$L1324)*$R1324))</f>
        <v/>
      </c>
      <c r="AP1324" s="152"/>
      <c r="AQ1324" s="150" t="str">
        <f t="shared" si="423"/>
        <v/>
      </c>
      <c r="AR1324" s="150" t="str">
        <f t="shared" si="430"/>
        <v/>
      </c>
      <c r="AS1324" s="150" t="str">
        <f t="shared" si="431"/>
        <v/>
      </c>
      <c r="AT1324" s="150" t="str">
        <f t="shared" si="424"/>
        <v/>
      </c>
      <c r="AU1324" s="152"/>
      <c r="AV1324" s="147" t="str">
        <f>'Deterministic Reserve'!BC1324</f>
        <v/>
      </c>
      <c r="AY1324" s="152"/>
    </row>
    <row r="1325" spans="1:51" s="150" customFormat="1" x14ac:dyDescent="0.25">
      <c r="A1325" s="150" t="str">
        <f t="shared" si="432"/>
        <v/>
      </c>
      <c r="B1325" s="150" t="str">
        <f t="shared" si="433"/>
        <v/>
      </c>
      <c r="C1325" s="150" t="str">
        <f t="shared" si="434"/>
        <v/>
      </c>
      <c r="D1325" s="150" t="str">
        <f>IF(E1325="","",Input!$C$4+B1325-1)</f>
        <v/>
      </c>
      <c r="E1325" s="150" t="str">
        <f>IF(OR(AND(C1324=12,D1324=Input!$C$6),E1324=""),"",1)</f>
        <v/>
      </c>
      <c r="G1325" s="151" t="str">
        <f>IF(E1325="","",MAX(0,Input!$C$9-B1325))</f>
        <v/>
      </c>
      <c r="H1325" s="152" t="str">
        <f>IF(E1325="","",Input!$C$3)</f>
        <v/>
      </c>
      <c r="I1325" s="153" t="str">
        <f>IF(E1325="","",HLOOKUP($B1325,Input!$C$13:$BT$14,2))</f>
        <v/>
      </c>
      <c r="J1325" s="154"/>
      <c r="K1325" s="150" t="str">
        <f>IF($E1325="","",Input!$C$57)</f>
        <v/>
      </c>
      <c r="L1325" s="150" t="str">
        <f t="shared" si="425"/>
        <v/>
      </c>
      <c r="M1325" s="147" t="str">
        <f>IF($E1325="","",VLOOKUP(IF($B1325&lt;=Input!$C$7,$B1325,26),'Mortality Tables'!$A$72:$CA$97,IF($B1325&lt;=Input!$C$7+1,Input!$C$4-16,$D1325-Input!$C$7-16),0)/1000)</f>
        <v/>
      </c>
      <c r="N1325" s="147" t="str">
        <f t="shared" si="416"/>
        <v/>
      </c>
      <c r="O1325" s="157" t="str">
        <f>IF($E1325="","",IF($C1325=12,IF($B1325&lt;Input!$C$9,Input!$C$54,IF($B1325=Input!$C$9,Input!$C$55,Input!$C$56)),0%))</f>
        <v/>
      </c>
      <c r="P1325" s="167" t="str">
        <f>IF($E1325="","",IF($B1325=1,Input!$C$59,IF($B1325&lt;6,Input!$C$60,0%)))</f>
        <v/>
      </c>
      <c r="Q1325" s="162" t="str">
        <f>IF($E1325="","",Input!$C$58)</f>
        <v/>
      </c>
      <c r="R1325" s="156" t="str">
        <f t="shared" si="426"/>
        <v/>
      </c>
      <c r="S1325" s="154" t="str">
        <f t="shared" si="417"/>
        <v/>
      </c>
      <c r="T1325" s="152"/>
      <c r="U1325" s="150" t="str">
        <f t="shared" si="427"/>
        <v/>
      </c>
      <c r="V1325" s="150" t="str">
        <f t="shared" si="428"/>
        <v/>
      </c>
      <c r="W1325" s="168" t="str">
        <f t="shared" si="429"/>
        <v/>
      </c>
      <c r="X1325" s="163" t="str">
        <f t="shared" si="418"/>
        <v/>
      </c>
      <c r="Y1325" s="152"/>
      <c r="Z1325" s="164" t="str">
        <f>IF(AND($C1324=12,$D1324=Input!$C$6),0,IF($E1325="","",V1325+Z1326/(1+L1325)*R1325))</f>
        <v/>
      </c>
      <c r="AA1325" s="164" t="str">
        <f>IF(OR($M1325=1,AND($C1324=12,$D1324=Input!$C$6)),0,IF($E1325="","",W1325+(X1325+AA1326*$R1325)/(1+$L1325)))</f>
        <v/>
      </c>
      <c r="AB1325" s="160" t="str">
        <f t="shared" si="419"/>
        <v/>
      </c>
      <c r="AC1325" s="164" t="str">
        <f t="shared" si="420"/>
        <v/>
      </c>
      <c r="AD1325" s="164" t="str">
        <f>IF(AND($C1324=12,$D1324=Input!$C$6),0,IF($E1325="","",$AC1325+AD1326/(1+$L1325)*$R1325))</f>
        <v/>
      </c>
      <c r="AE1325" s="152"/>
      <c r="AF1325" s="164" t="str">
        <f>IF(AND($C1324=12,$D1324=Input!$C$6),0,IF($E1325="","",IF($B1325&gt;Input!$C$9,$AC1325,0)+AF1326/(1+$L1325)*$R1325))</f>
        <v/>
      </c>
      <c r="AG1325" s="164" t="str">
        <f>IF(AND($C1324=12,$D1324=Input!$C$6),0,IF($E1325="","",(IF($B1325&gt;Input!$C$9,$X1325,0)+AG1326)/(1+$L1325)*$R1325))</f>
        <v/>
      </c>
      <c r="AH1325" s="160" t="str">
        <f t="shared" si="421"/>
        <v/>
      </c>
      <c r="AI1325" s="160" t="str">
        <f>IF($E1325="","",MIN(Input!$C$61/AH1325,1))</f>
        <v/>
      </c>
      <c r="AJ1325" s="152"/>
      <c r="AK1325" s="164" t="str">
        <f>IF(AND($C1324=12,$D1324=Input!$C$6),0,IF($E1325="","",IF($B1325&gt;Input!$C$9,$AC1325*AI1325,0)+AK1326/(1+$L1325)*$R1325))</f>
        <v/>
      </c>
      <c r="AL1325" s="164" t="str">
        <f>IF(AND($C1324=12,$D1324=Input!$C$6),0,IF($E1325="","",IF($B1325&gt;Input!$C$9,0,$AC1325)+AL1326/(1+$L1325)*$R1325))</f>
        <v/>
      </c>
      <c r="AM1325" s="160" t="str">
        <f t="shared" si="422"/>
        <v/>
      </c>
      <c r="AN1325" s="164" t="str">
        <f>IF($E1325="","",IF($B1325&gt;Input!$C$9,$AI1325*$AC1325,$AM1325*$AC1325))</f>
        <v/>
      </c>
      <c r="AO1325" s="164" t="str">
        <f>IF(AND($C1324=12,$D1324=Input!$C$6),0,IF($E1325="","",$AN1325+AO1326/(1+$L1325)*$R1325))</f>
        <v/>
      </c>
      <c r="AP1325" s="152"/>
      <c r="AQ1325" s="150" t="str">
        <f t="shared" si="423"/>
        <v/>
      </c>
      <c r="AR1325" s="150" t="str">
        <f t="shared" si="430"/>
        <v/>
      </c>
      <c r="AS1325" s="150" t="str">
        <f t="shared" si="431"/>
        <v/>
      </c>
      <c r="AT1325" s="150" t="str">
        <f t="shared" si="424"/>
        <v/>
      </c>
      <c r="AU1325" s="152"/>
      <c r="AV1325" s="147" t="str">
        <f>'Deterministic Reserve'!BC1325</f>
        <v/>
      </c>
      <c r="AY1325" s="152"/>
    </row>
    <row r="1326" spans="1:51" s="150" customFormat="1" x14ac:dyDescent="0.25">
      <c r="A1326" s="150" t="str">
        <f t="shared" si="432"/>
        <v/>
      </c>
      <c r="B1326" s="150" t="str">
        <f t="shared" si="433"/>
        <v/>
      </c>
      <c r="C1326" s="150" t="str">
        <f t="shared" si="434"/>
        <v/>
      </c>
      <c r="D1326" s="150" t="str">
        <f>IF(E1326="","",Input!$C$4+B1326-1)</f>
        <v/>
      </c>
      <c r="E1326" s="150" t="str">
        <f>IF(OR(AND(C1325=12,D1325=Input!$C$6),E1325=""),"",1)</f>
        <v/>
      </c>
      <c r="G1326" s="151" t="str">
        <f>IF(E1326="","",MAX(0,Input!$C$9-B1326))</f>
        <v/>
      </c>
      <c r="H1326" s="152" t="str">
        <f>IF(E1326="","",Input!$C$3)</f>
        <v/>
      </c>
      <c r="I1326" s="153" t="str">
        <f>IF(E1326="","",HLOOKUP($B1326,Input!$C$13:$BT$14,2))</f>
        <v/>
      </c>
      <c r="J1326" s="154"/>
      <c r="K1326" s="150" t="str">
        <f>IF($E1326="","",Input!$C$57)</f>
        <v/>
      </c>
      <c r="L1326" s="150" t="str">
        <f t="shared" si="425"/>
        <v/>
      </c>
      <c r="M1326" s="147" t="str">
        <f>IF($E1326="","",VLOOKUP(IF($B1326&lt;=Input!$C$7,$B1326,26),'Mortality Tables'!$A$72:$CA$97,IF($B1326&lt;=Input!$C$7+1,Input!$C$4-16,$D1326-Input!$C$7-16),0)/1000)</f>
        <v/>
      </c>
      <c r="N1326" s="147" t="str">
        <f t="shared" si="416"/>
        <v/>
      </c>
      <c r="O1326" s="157" t="str">
        <f>IF($E1326="","",IF($C1326=12,IF($B1326&lt;Input!$C$9,Input!$C$54,IF($B1326=Input!$C$9,Input!$C$55,Input!$C$56)),0%))</f>
        <v/>
      </c>
      <c r="P1326" s="167" t="str">
        <f>IF($E1326="","",IF($B1326=1,Input!$C$59,IF($B1326&lt;6,Input!$C$60,0%)))</f>
        <v/>
      </c>
      <c r="Q1326" s="162" t="str">
        <f>IF($E1326="","",Input!$C$58)</f>
        <v/>
      </c>
      <c r="R1326" s="156" t="str">
        <f t="shared" si="426"/>
        <v/>
      </c>
      <c r="S1326" s="154" t="str">
        <f t="shared" si="417"/>
        <v/>
      </c>
      <c r="T1326" s="152"/>
      <c r="U1326" s="150" t="str">
        <f t="shared" si="427"/>
        <v/>
      </c>
      <c r="V1326" s="150" t="str">
        <f t="shared" si="428"/>
        <v/>
      </c>
      <c r="W1326" s="168" t="str">
        <f t="shared" si="429"/>
        <v/>
      </c>
      <c r="X1326" s="163" t="str">
        <f t="shared" si="418"/>
        <v/>
      </c>
      <c r="Y1326" s="152"/>
      <c r="Z1326" s="164" t="str">
        <f>IF(AND($C1325=12,$D1325=Input!$C$6),0,IF($E1326="","",V1326+Z1327/(1+L1326)*R1326))</f>
        <v/>
      </c>
      <c r="AA1326" s="164" t="str">
        <f>IF(OR($M1326=1,AND($C1325=12,$D1325=Input!$C$6)),0,IF($E1326="","",W1326+(X1326+AA1327*$R1326)/(1+$L1326)))</f>
        <v/>
      </c>
      <c r="AB1326" s="160" t="str">
        <f t="shared" si="419"/>
        <v/>
      </c>
      <c r="AC1326" s="164" t="str">
        <f t="shared" si="420"/>
        <v/>
      </c>
      <c r="AD1326" s="164" t="str">
        <f>IF(AND($C1325=12,$D1325=Input!$C$6),0,IF($E1326="","",$AC1326+AD1327/(1+$L1326)*$R1326))</f>
        <v/>
      </c>
      <c r="AE1326" s="152"/>
      <c r="AF1326" s="164" t="str">
        <f>IF(AND($C1325=12,$D1325=Input!$C$6),0,IF($E1326="","",IF($B1326&gt;Input!$C$9,$AC1326,0)+AF1327/(1+$L1326)*$R1326))</f>
        <v/>
      </c>
      <c r="AG1326" s="164" t="str">
        <f>IF(AND($C1325=12,$D1325=Input!$C$6),0,IF($E1326="","",(IF($B1326&gt;Input!$C$9,$X1326,0)+AG1327)/(1+$L1326)*$R1326))</f>
        <v/>
      </c>
      <c r="AH1326" s="160" t="str">
        <f t="shared" si="421"/>
        <v/>
      </c>
      <c r="AI1326" s="160" t="str">
        <f>IF($E1326="","",MIN(Input!$C$61/AH1326,1))</f>
        <v/>
      </c>
      <c r="AJ1326" s="152"/>
      <c r="AK1326" s="164" t="str">
        <f>IF(AND($C1325=12,$D1325=Input!$C$6),0,IF($E1326="","",IF($B1326&gt;Input!$C$9,$AC1326*AI1326,0)+AK1327/(1+$L1326)*$R1326))</f>
        <v/>
      </c>
      <c r="AL1326" s="164" t="str">
        <f>IF(AND($C1325=12,$D1325=Input!$C$6),0,IF($E1326="","",IF($B1326&gt;Input!$C$9,0,$AC1326)+AL1327/(1+$L1326)*$R1326))</f>
        <v/>
      </c>
      <c r="AM1326" s="160" t="str">
        <f t="shared" si="422"/>
        <v/>
      </c>
      <c r="AN1326" s="164" t="str">
        <f>IF($E1326="","",IF($B1326&gt;Input!$C$9,$AI1326*$AC1326,$AM1326*$AC1326))</f>
        <v/>
      </c>
      <c r="AO1326" s="164" t="str">
        <f>IF(AND($C1325=12,$D1325=Input!$C$6),0,IF($E1326="","",$AN1326+AO1327/(1+$L1326)*$R1326))</f>
        <v/>
      </c>
      <c r="AP1326" s="152"/>
      <c r="AQ1326" s="150" t="str">
        <f t="shared" si="423"/>
        <v/>
      </c>
      <c r="AR1326" s="150" t="str">
        <f t="shared" si="430"/>
        <v/>
      </c>
      <c r="AS1326" s="150" t="str">
        <f t="shared" si="431"/>
        <v/>
      </c>
      <c r="AT1326" s="150" t="str">
        <f t="shared" si="424"/>
        <v/>
      </c>
      <c r="AU1326" s="152"/>
      <c r="AV1326" s="147" t="str">
        <f>'Deterministic Reserve'!BC1326</f>
        <v/>
      </c>
      <c r="AY1326" s="152"/>
    </row>
    <row r="1327" spans="1:51" s="150" customFormat="1" x14ac:dyDescent="0.25">
      <c r="A1327" s="150" t="str">
        <f t="shared" si="432"/>
        <v/>
      </c>
      <c r="B1327" s="150" t="str">
        <f t="shared" si="433"/>
        <v/>
      </c>
      <c r="C1327" s="150" t="str">
        <f t="shared" si="434"/>
        <v/>
      </c>
      <c r="D1327" s="150" t="str">
        <f>IF(E1327="","",Input!$C$4+B1327-1)</f>
        <v/>
      </c>
      <c r="E1327" s="150" t="str">
        <f>IF(OR(AND(C1326=12,D1326=Input!$C$6),E1326=""),"",1)</f>
        <v/>
      </c>
      <c r="G1327" s="151" t="str">
        <f>IF(E1327="","",MAX(0,Input!$C$9-B1327))</f>
        <v/>
      </c>
      <c r="H1327" s="152" t="str">
        <f>IF(E1327="","",Input!$C$3)</f>
        <v/>
      </c>
      <c r="I1327" s="153" t="str">
        <f>IF(E1327="","",HLOOKUP($B1327,Input!$C$13:$BT$14,2))</f>
        <v/>
      </c>
      <c r="J1327" s="154"/>
      <c r="K1327" s="150" t="str">
        <f>IF($E1327="","",Input!$C$57)</f>
        <v/>
      </c>
      <c r="L1327" s="150" t="str">
        <f t="shared" si="425"/>
        <v/>
      </c>
      <c r="M1327" s="147" t="str">
        <f>IF($E1327="","",VLOOKUP(IF($B1327&lt;=Input!$C$7,$B1327,26),'Mortality Tables'!$A$72:$CA$97,IF($B1327&lt;=Input!$C$7+1,Input!$C$4-16,$D1327-Input!$C$7-16),0)/1000)</f>
        <v/>
      </c>
      <c r="N1327" s="147" t="str">
        <f t="shared" si="416"/>
        <v/>
      </c>
      <c r="O1327" s="157" t="str">
        <f>IF($E1327="","",IF($C1327=12,IF($B1327&lt;Input!$C$9,Input!$C$54,IF($B1327=Input!$C$9,Input!$C$55,Input!$C$56)),0%))</f>
        <v/>
      </c>
      <c r="P1327" s="167" t="str">
        <f>IF($E1327="","",IF($B1327=1,Input!$C$59,IF($B1327&lt;6,Input!$C$60,0%)))</f>
        <v/>
      </c>
      <c r="Q1327" s="162" t="str">
        <f>IF($E1327="","",Input!$C$58)</f>
        <v/>
      </c>
      <c r="R1327" s="156" t="str">
        <f t="shared" si="426"/>
        <v/>
      </c>
      <c r="S1327" s="154" t="str">
        <f t="shared" si="417"/>
        <v/>
      </c>
      <c r="T1327" s="152"/>
      <c r="U1327" s="150" t="str">
        <f t="shared" si="427"/>
        <v/>
      </c>
      <c r="V1327" s="150" t="str">
        <f t="shared" si="428"/>
        <v/>
      </c>
      <c r="W1327" s="168" t="str">
        <f t="shared" si="429"/>
        <v/>
      </c>
      <c r="X1327" s="163" t="str">
        <f t="shared" si="418"/>
        <v/>
      </c>
      <c r="Y1327" s="152"/>
      <c r="Z1327" s="164" t="str">
        <f>IF(AND($C1326=12,$D1326=Input!$C$6),0,IF($E1327="","",V1327+Z1328/(1+L1327)*R1327))</f>
        <v/>
      </c>
      <c r="AA1327" s="164" t="str">
        <f>IF(OR($M1327=1,AND($C1326=12,$D1326=Input!$C$6)),0,IF($E1327="","",W1327+(X1327+AA1328*$R1327)/(1+$L1327)))</f>
        <v/>
      </c>
      <c r="AB1327" s="160" t="str">
        <f t="shared" si="419"/>
        <v/>
      </c>
      <c r="AC1327" s="164" t="str">
        <f t="shared" si="420"/>
        <v/>
      </c>
      <c r="AD1327" s="164" t="str">
        <f>IF(AND($C1326=12,$D1326=Input!$C$6),0,IF($E1327="","",$AC1327+AD1328/(1+$L1327)*$R1327))</f>
        <v/>
      </c>
      <c r="AE1327" s="152"/>
      <c r="AF1327" s="164" t="str">
        <f>IF(AND($C1326=12,$D1326=Input!$C$6),0,IF($E1327="","",IF($B1327&gt;Input!$C$9,$AC1327,0)+AF1328/(1+$L1327)*$R1327))</f>
        <v/>
      </c>
      <c r="AG1327" s="164" t="str">
        <f>IF(AND($C1326=12,$D1326=Input!$C$6),0,IF($E1327="","",(IF($B1327&gt;Input!$C$9,$X1327,0)+AG1328)/(1+$L1327)*$R1327))</f>
        <v/>
      </c>
      <c r="AH1327" s="160" t="str">
        <f t="shared" si="421"/>
        <v/>
      </c>
      <c r="AI1327" s="160" t="str">
        <f>IF($E1327="","",MIN(Input!$C$61/AH1327,1))</f>
        <v/>
      </c>
      <c r="AJ1327" s="152"/>
      <c r="AK1327" s="164" t="str">
        <f>IF(AND($C1326=12,$D1326=Input!$C$6),0,IF($E1327="","",IF($B1327&gt;Input!$C$9,$AC1327*AI1327,0)+AK1328/(1+$L1327)*$R1327))</f>
        <v/>
      </c>
      <c r="AL1327" s="164" t="str">
        <f>IF(AND($C1326=12,$D1326=Input!$C$6),0,IF($E1327="","",IF($B1327&gt;Input!$C$9,0,$AC1327)+AL1328/(1+$L1327)*$R1327))</f>
        <v/>
      </c>
      <c r="AM1327" s="160" t="str">
        <f t="shared" si="422"/>
        <v/>
      </c>
      <c r="AN1327" s="164" t="str">
        <f>IF($E1327="","",IF($B1327&gt;Input!$C$9,$AI1327*$AC1327,$AM1327*$AC1327))</f>
        <v/>
      </c>
      <c r="AO1327" s="164" t="str">
        <f>IF(AND($C1326=12,$D1326=Input!$C$6),0,IF($E1327="","",$AN1327+AO1328/(1+$L1327)*$R1327))</f>
        <v/>
      </c>
      <c r="AP1327" s="152"/>
      <c r="AQ1327" s="150" t="str">
        <f t="shared" si="423"/>
        <v/>
      </c>
      <c r="AR1327" s="150" t="str">
        <f t="shared" si="430"/>
        <v/>
      </c>
      <c r="AS1327" s="150" t="str">
        <f t="shared" si="431"/>
        <v/>
      </c>
      <c r="AT1327" s="150" t="str">
        <f t="shared" si="424"/>
        <v/>
      </c>
      <c r="AU1327" s="152"/>
      <c r="AV1327" s="147" t="str">
        <f>'Deterministic Reserve'!BC1327</f>
        <v/>
      </c>
      <c r="AY1327" s="152"/>
    </row>
    <row r="1328" spans="1:51" s="150" customFormat="1" x14ac:dyDescent="0.25">
      <c r="A1328" s="150" t="str">
        <f t="shared" si="432"/>
        <v/>
      </c>
      <c r="B1328" s="150" t="str">
        <f t="shared" si="433"/>
        <v/>
      </c>
      <c r="C1328" s="150" t="str">
        <f t="shared" si="434"/>
        <v/>
      </c>
      <c r="D1328" s="150" t="str">
        <f>IF(E1328="","",Input!$C$4+B1328-1)</f>
        <v/>
      </c>
      <c r="E1328" s="150" t="str">
        <f>IF(OR(AND(C1327=12,D1327=Input!$C$6),E1327=""),"",1)</f>
        <v/>
      </c>
      <c r="G1328" s="151" t="str">
        <f>IF(E1328="","",MAX(0,Input!$C$9-B1328))</f>
        <v/>
      </c>
      <c r="H1328" s="152" t="str">
        <f>IF(E1328="","",Input!$C$3)</f>
        <v/>
      </c>
      <c r="I1328" s="153" t="str">
        <f>IF(E1328="","",HLOOKUP($B1328,Input!$C$13:$BT$14,2))</f>
        <v/>
      </c>
      <c r="J1328" s="154"/>
      <c r="K1328" s="150" t="str">
        <f>IF($E1328="","",Input!$C$57)</f>
        <v/>
      </c>
      <c r="L1328" s="150" t="str">
        <f t="shared" si="425"/>
        <v/>
      </c>
      <c r="M1328" s="147" t="str">
        <f>IF($E1328="","",VLOOKUP(IF($B1328&lt;=Input!$C$7,$B1328,26),'Mortality Tables'!$A$72:$CA$97,IF($B1328&lt;=Input!$C$7+1,Input!$C$4-16,$D1328-Input!$C$7-16),0)/1000)</f>
        <v/>
      </c>
      <c r="N1328" s="147" t="str">
        <f t="shared" si="416"/>
        <v/>
      </c>
      <c r="O1328" s="157" t="str">
        <f>IF($E1328="","",IF($C1328=12,IF($B1328&lt;Input!$C$9,Input!$C$54,IF($B1328=Input!$C$9,Input!$C$55,Input!$C$56)),0%))</f>
        <v/>
      </c>
      <c r="P1328" s="167" t="str">
        <f>IF($E1328="","",IF($B1328=1,Input!$C$59,IF($B1328&lt;6,Input!$C$60,0%)))</f>
        <v/>
      </c>
      <c r="Q1328" s="162" t="str">
        <f>IF($E1328="","",Input!$C$58)</f>
        <v/>
      </c>
      <c r="R1328" s="156" t="str">
        <f t="shared" si="426"/>
        <v/>
      </c>
      <c r="S1328" s="154" t="str">
        <f t="shared" si="417"/>
        <v/>
      </c>
      <c r="T1328" s="152"/>
      <c r="U1328" s="150" t="str">
        <f t="shared" si="427"/>
        <v/>
      </c>
      <c r="V1328" s="150" t="str">
        <f t="shared" si="428"/>
        <v/>
      </c>
      <c r="W1328" s="168" t="str">
        <f t="shared" si="429"/>
        <v/>
      </c>
      <c r="X1328" s="163" t="str">
        <f t="shared" si="418"/>
        <v/>
      </c>
      <c r="Y1328" s="152"/>
      <c r="Z1328" s="164" t="str">
        <f>IF(AND($C1327=12,$D1327=Input!$C$6),0,IF($E1328="","",V1328+Z1329/(1+L1328)*R1328))</f>
        <v/>
      </c>
      <c r="AA1328" s="164" t="str">
        <f>IF(OR($M1328=1,AND($C1327=12,$D1327=Input!$C$6)),0,IF($E1328="","",W1328+(X1328+AA1329*$R1328)/(1+$L1328)))</f>
        <v/>
      </c>
      <c r="AB1328" s="160" t="str">
        <f t="shared" si="419"/>
        <v/>
      </c>
      <c r="AC1328" s="164" t="str">
        <f t="shared" si="420"/>
        <v/>
      </c>
      <c r="AD1328" s="164" t="str">
        <f>IF(AND($C1327=12,$D1327=Input!$C$6),0,IF($E1328="","",$AC1328+AD1329/(1+$L1328)*$R1328))</f>
        <v/>
      </c>
      <c r="AE1328" s="152"/>
      <c r="AF1328" s="164" t="str">
        <f>IF(AND($C1327=12,$D1327=Input!$C$6),0,IF($E1328="","",IF($B1328&gt;Input!$C$9,$AC1328,0)+AF1329/(1+$L1328)*$R1328))</f>
        <v/>
      </c>
      <c r="AG1328" s="164" t="str">
        <f>IF(AND($C1327=12,$D1327=Input!$C$6),0,IF($E1328="","",(IF($B1328&gt;Input!$C$9,$X1328,0)+AG1329)/(1+$L1328)*$R1328))</f>
        <v/>
      </c>
      <c r="AH1328" s="160" t="str">
        <f t="shared" si="421"/>
        <v/>
      </c>
      <c r="AI1328" s="160" t="str">
        <f>IF($E1328="","",MIN(Input!$C$61/AH1328,1))</f>
        <v/>
      </c>
      <c r="AJ1328" s="152"/>
      <c r="AK1328" s="164" t="str">
        <f>IF(AND($C1327=12,$D1327=Input!$C$6),0,IF($E1328="","",IF($B1328&gt;Input!$C$9,$AC1328*AI1328,0)+AK1329/(1+$L1328)*$R1328))</f>
        <v/>
      </c>
      <c r="AL1328" s="164" t="str">
        <f>IF(AND($C1327=12,$D1327=Input!$C$6),0,IF($E1328="","",IF($B1328&gt;Input!$C$9,0,$AC1328)+AL1329/(1+$L1328)*$R1328))</f>
        <v/>
      </c>
      <c r="AM1328" s="160" t="str">
        <f t="shared" si="422"/>
        <v/>
      </c>
      <c r="AN1328" s="164" t="str">
        <f>IF($E1328="","",IF($B1328&gt;Input!$C$9,$AI1328*$AC1328,$AM1328*$AC1328))</f>
        <v/>
      </c>
      <c r="AO1328" s="164" t="str">
        <f>IF(AND($C1327=12,$D1327=Input!$C$6),0,IF($E1328="","",$AN1328+AO1329/(1+$L1328)*$R1328))</f>
        <v/>
      </c>
      <c r="AP1328" s="152"/>
      <c r="AQ1328" s="150" t="str">
        <f t="shared" si="423"/>
        <v/>
      </c>
      <c r="AR1328" s="150" t="str">
        <f t="shared" si="430"/>
        <v/>
      </c>
      <c r="AS1328" s="150" t="str">
        <f t="shared" si="431"/>
        <v/>
      </c>
      <c r="AT1328" s="150" t="str">
        <f t="shared" si="424"/>
        <v/>
      </c>
      <c r="AU1328" s="152"/>
      <c r="AV1328" s="147" t="str">
        <f>'Deterministic Reserve'!BC1328</f>
        <v/>
      </c>
      <c r="AY1328" s="152"/>
    </row>
    <row r="1329" spans="1:51" s="150" customFormat="1" x14ac:dyDescent="0.25">
      <c r="A1329" s="150" t="str">
        <f t="shared" si="432"/>
        <v/>
      </c>
      <c r="B1329" s="150" t="str">
        <f t="shared" si="433"/>
        <v/>
      </c>
      <c r="C1329" s="150" t="str">
        <f t="shared" si="434"/>
        <v/>
      </c>
      <c r="D1329" s="150" t="str">
        <f>IF(E1329="","",Input!$C$4+B1329-1)</f>
        <v/>
      </c>
      <c r="E1329" s="150" t="str">
        <f>IF(OR(AND(C1328=12,D1328=Input!$C$6),E1328=""),"",1)</f>
        <v/>
      </c>
      <c r="G1329" s="151" t="str">
        <f>IF(E1329="","",MAX(0,Input!$C$9-B1329))</f>
        <v/>
      </c>
      <c r="H1329" s="152" t="str">
        <f>IF(E1329="","",Input!$C$3)</f>
        <v/>
      </c>
      <c r="I1329" s="153" t="str">
        <f>IF(E1329="","",HLOOKUP($B1329,Input!$C$13:$BT$14,2))</f>
        <v/>
      </c>
      <c r="J1329" s="154"/>
      <c r="K1329" s="150" t="str">
        <f>IF($E1329="","",Input!$C$57)</f>
        <v/>
      </c>
      <c r="L1329" s="150" t="str">
        <f t="shared" si="425"/>
        <v/>
      </c>
      <c r="M1329" s="147" t="str">
        <f>IF($E1329="","",VLOOKUP(IF($B1329&lt;=Input!$C$7,$B1329,26),'Mortality Tables'!$A$72:$CA$97,IF($B1329&lt;=Input!$C$7+1,Input!$C$4-16,$D1329-Input!$C$7-16),0)/1000)</f>
        <v/>
      </c>
      <c r="N1329" s="147" t="str">
        <f t="shared" si="416"/>
        <v/>
      </c>
      <c r="O1329" s="157" t="str">
        <f>IF($E1329="","",IF($C1329=12,IF($B1329&lt;Input!$C$9,Input!$C$54,IF($B1329=Input!$C$9,Input!$C$55,Input!$C$56)),0%))</f>
        <v/>
      </c>
      <c r="P1329" s="167" t="str">
        <f>IF($E1329="","",IF($B1329=1,Input!$C$59,IF($B1329&lt;6,Input!$C$60,0%)))</f>
        <v/>
      </c>
      <c r="Q1329" s="162" t="str">
        <f>IF($E1329="","",Input!$C$58)</f>
        <v/>
      </c>
      <c r="R1329" s="156" t="str">
        <f t="shared" si="426"/>
        <v/>
      </c>
      <c r="S1329" s="154" t="str">
        <f t="shared" si="417"/>
        <v/>
      </c>
      <c r="T1329" s="152"/>
      <c r="U1329" s="150" t="str">
        <f t="shared" si="427"/>
        <v/>
      </c>
      <c r="V1329" s="150" t="str">
        <f t="shared" si="428"/>
        <v/>
      </c>
      <c r="W1329" s="168" t="str">
        <f t="shared" si="429"/>
        <v/>
      </c>
      <c r="X1329" s="163" t="str">
        <f t="shared" si="418"/>
        <v/>
      </c>
      <c r="Y1329" s="152"/>
      <c r="Z1329" s="164" t="str">
        <f>IF(AND($C1328=12,$D1328=Input!$C$6),0,IF($E1329="","",V1329+Z1330/(1+L1329)*R1329))</f>
        <v/>
      </c>
      <c r="AA1329" s="164" t="str">
        <f>IF(OR($M1329=1,AND($C1328=12,$D1328=Input!$C$6)),0,IF($E1329="","",W1329+(X1329+AA1330*$R1329)/(1+$L1329)))</f>
        <v/>
      </c>
      <c r="AB1329" s="160" t="str">
        <f t="shared" si="419"/>
        <v/>
      </c>
      <c r="AC1329" s="164" t="str">
        <f t="shared" si="420"/>
        <v/>
      </c>
      <c r="AD1329" s="164" t="str">
        <f>IF(AND($C1328=12,$D1328=Input!$C$6),0,IF($E1329="","",$AC1329+AD1330/(1+$L1329)*$R1329))</f>
        <v/>
      </c>
      <c r="AE1329" s="152"/>
      <c r="AF1329" s="164" t="str">
        <f>IF(AND($C1328=12,$D1328=Input!$C$6),0,IF($E1329="","",IF($B1329&gt;Input!$C$9,$AC1329,0)+AF1330/(1+$L1329)*$R1329))</f>
        <v/>
      </c>
      <c r="AG1329" s="164" t="str">
        <f>IF(AND($C1328=12,$D1328=Input!$C$6),0,IF($E1329="","",(IF($B1329&gt;Input!$C$9,$X1329,0)+AG1330)/(1+$L1329)*$R1329))</f>
        <v/>
      </c>
      <c r="AH1329" s="160" t="str">
        <f t="shared" si="421"/>
        <v/>
      </c>
      <c r="AI1329" s="160" t="str">
        <f>IF($E1329="","",MIN(Input!$C$61/AH1329,1))</f>
        <v/>
      </c>
      <c r="AJ1329" s="152"/>
      <c r="AK1329" s="164" t="str">
        <f>IF(AND($C1328=12,$D1328=Input!$C$6),0,IF($E1329="","",IF($B1329&gt;Input!$C$9,$AC1329*AI1329,0)+AK1330/(1+$L1329)*$R1329))</f>
        <v/>
      </c>
      <c r="AL1329" s="164" t="str">
        <f>IF(AND($C1328=12,$D1328=Input!$C$6),0,IF($E1329="","",IF($B1329&gt;Input!$C$9,0,$AC1329)+AL1330/(1+$L1329)*$R1329))</f>
        <v/>
      </c>
      <c r="AM1329" s="160" t="str">
        <f t="shared" si="422"/>
        <v/>
      </c>
      <c r="AN1329" s="164" t="str">
        <f>IF($E1329="","",IF($B1329&gt;Input!$C$9,$AI1329*$AC1329,$AM1329*$AC1329))</f>
        <v/>
      </c>
      <c r="AO1329" s="164" t="str">
        <f>IF(AND($C1328=12,$D1328=Input!$C$6),0,IF($E1329="","",$AN1329+AO1330/(1+$L1329)*$R1329))</f>
        <v/>
      </c>
      <c r="AP1329" s="152"/>
      <c r="AQ1329" s="150" t="str">
        <f t="shared" si="423"/>
        <v/>
      </c>
      <c r="AR1329" s="150" t="str">
        <f t="shared" si="430"/>
        <v/>
      </c>
      <c r="AS1329" s="150" t="str">
        <f t="shared" si="431"/>
        <v/>
      </c>
      <c r="AT1329" s="150" t="str">
        <f t="shared" si="424"/>
        <v/>
      </c>
      <c r="AU1329" s="152"/>
      <c r="AV1329" s="147" t="str">
        <f>'Deterministic Reserve'!BC1329</f>
        <v/>
      </c>
      <c r="AY1329" s="152"/>
    </row>
    <row r="1330" spans="1:51" s="150" customFormat="1" x14ac:dyDescent="0.25">
      <c r="A1330" s="150" t="str">
        <f t="shared" si="432"/>
        <v/>
      </c>
      <c r="B1330" s="150" t="str">
        <f t="shared" si="433"/>
        <v/>
      </c>
      <c r="C1330" s="150" t="str">
        <f t="shared" si="434"/>
        <v/>
      </c>
      <c r="D1330" s="150" t="str">
        <f>IF(E1330="","",Input!$C$4+B1330-1)</f>
        <v/>
      </c>
      <c r="E1330" s="150" t="str">
        <f>IF(OR(AND(C1329=12,D1329=Input!$C$6),E1329=""),"",1)</f>
        <v/>
      </c>
      <c r="G1330" s="151" t="str">
        <f>IF(E1330="","",MAX(0,Input!$C$9-B1330))</f>
        <v/>
      </c>
      <c r="H1330" s="152" t="str">
        <f>IF(E1330="","",Input!$C$3)</f>
        <v/>
      </c>
      <c r="I1330" s="153" t="str">
        <f>IF(E1330="","",HLOOKUP($B1330,Input!$C$13:$BT$14,2))</f>
        <v/>
      </c>
      <c r="J1330" s="154"/>
      <c r="K1330" s="150" t="str">
        <f>IF($E1330="","",Input!$C$57)</f>
        <v/>
      </c>
      <c r="L1330" s="150" t="str">
        <f t="shared" si="425"/>
        <v/>
      </c>
      <c r="M1330" s="147" t="str">
        <f>IF($E1330="","",VLOOKUP(IF($B1330&lt;=Input!$C$7,$B1330,26),'Mortality Tables'!$A$72:$CA$97,IF($B1330&lt;=Input!$C$7+1,Input!$C$4-16,$D1330-Input!$C$7-16),0)/1000)</f>
        <v/>
      </c>
      <c r="N1330" s="147" t="str">
        <f t="shared" si="416"/>
        <v/>
      </c>
      <c r="O1330" s="157" t="str">
        <f>IF($E1330="","",IF($C1330=12,IF($B1330&lt;Input!$C$9,Input!$C$54,IF($B1330=Input!$C$9,Input!$C$55,Input!$C$56)),0%))</f>
        <v/>
      </c>
      <c r="P1330" s="167" t="str">
        <f>IF($E1330="","",IF($B1330=1,Input!$C$59,IF($B1330&lt;6,Input!$C$60,0%)))</f>
        <v/>
      </c>
      <c r="Q1330" s="162" t="str">
        <f>IF($E1330="","",Input!$C$58)</f>
        <v/>
      </c>
      <c r="R1330" s="156" t="str">
        <f t="shared" si="426"/>
        <v/>
      </c>
      <c r="S1330" s="154" t="str">
        <f t="shared" si="417"/>
        <v/>
      </c>
      <c r="T1330" s="152"/>
      <c r="U1330" s="150" t="str">
        <f t="shared" si="427"/>
        <v/>
      </c>
      <c r="V1330" s="150" t="str">
        <f t="shared" si="428"/>
        <v/>
      </c>
      <c r="W1330" s="168" t="str">
        <f t="shared" si="429"/>
        <v/>
      </c>
      <c r="X1330" s="163" t="str">
        <f t="shared" si="418"/>
        <v/>
      </c>
      <c r="Y1330" s="152"/>
      <c r="Z1330" s="164" t="str">
        <f>IF(AND($C1329=12,$D1329=Input!$C$6),0,IF($E1330="","",V1330+Z1331/(1+L1330)*R1330))</f>
        <v/>
      </c>
      <c r="AA1330" s="164" t="str">
        <f>IF(OR($M1330=1,AND($C1329=12,$D1329=Input!$C$6)),0,IF($E1330="","",W1330+(X1330+AA1331*$R1330)/(1+$L1330)))</f>
        <v/>
      </c>
      <c r="AB1330" s="160" t="str">
        <f t="shared" si="419"/>
        <v/>
      </c>
      <c r="AC1330" s="164" t="str">
        <f t="shared" si="420"/>
        <v/>
      </c>
      <c r="AD1330" s="164" t="str">
        <f>IF(AND($C1329=12,$D1329=Input!$C$6),0,IF($E1330="","",$AC1330+AD1331/(1+$L1330)*$R1330))</f>
        <v/>
      </c>
      <c r="AE1330" s="152"/>
      <c r="AF1330" s="164" t="str">
        <f>IF(AND($C1329=12,$D1329=Input!$C$6),0,IF($E1330="","",IF($B1330&gt;Input!$C$9,$AC1330,0)+AF1331/(1+$L1330)*$R1330))</f>
        <v/>
      </c>
      <c r="AG1330" s="164" t="str">
        <f>IF(AND($C1329=12,$D1329=Input!$C$6),0,IF($E1330="","",(IF($B1330&gt;Input!$C$9,$X1330,0)+AG1331)/(1+$L1330)*$R1330))</f>
        <v/>
      </c>
      <c r="AH1330" s="160" t="str">
        <f t="shared" si="421"/>
        <v/>
      </c>
      <c r="AI1330" s="160" t="str">
        <f>IF($E1330="","",MIN(Input!$C$61/AH1330,1))</f>
        <v/>
      </c>
      <c r="AJ1330" s="152"/>
      <c r="AK1330" s="164" t="str">
        <f>IF(AND($C1329=12,$D1329=Input!$C$6),0,IF($E1330="","",IF($B1330&gt;Input!$C$9,$AC1330*AI1330,0)+AK1331/(1+$L1330)*$R1330))</f>
        <v/>
      </c>
      <c r="AL1330" s="164" t="str">
        <f>IF(AND($C1329=12,$D1329=Input!$C$6),0,IF($E1330="","",IF($B1330&gt;Input!$C$9,0,$AC1330)+AL1331/(1+$L1330)*$R1330))</f>
        <v/>
      </c>
      <c r="AM1330" s="160" t="str">
        <f t="shared" si="422"/>
        <v/>
      </c>
      <c r="AN1330" s="164" t="str">
        <f>IF($E1330="","",IF($B1330&gt;Input!$C$9,$AI1330*$AC1330,$AM1330*$AC1330))</f>
        <v/>
      </c>
      <c r="AO1330" s="164" t="str">
        <f>IF(AND($C1329=12,$D1329=Input!$C$6),0,IF($E1330="","",$AN1330+AO1331/(1+$L1330)*$R1330))</f>
        <v/>
      </c>
      <c r="AP1330" s="152"/>
      <c r="AQ1330" s="150" t="str">
        <f t="shared" si="423"/>
        <v/>
      </c>
      <c r="AR1330" s="150" t="str">
        <f t="shared" si="430"/>
        <v/>
      </c>
      <c r="AS1330" s="150" t="str">
        <f t="shared" si="431"/>
        <v/>
      </c>
      <c r="AT1330" s="150" t="str">
        <f t="shared" si="424"/>
        <v/>
      </c>
      <c r="AU1330" s="152"/>
      <c r="AV1330" s="147" t="str">
        <f>'Deterministic Reserve'!BC1330</f>
        <v/>
      </c>
      <c r="AY1330" s="152"/>
    </row>
    <row r="1331" spans="1:51" s="150" customFormat="1" x14ac:dyDescent="0.25">
      <c r="A1331" s="150" t="str">
        <f t="shared" si="432"/>
        <v/>
      </c>
      <c r="B1331" s="150" t="str">
        <f t="shared" si="433"/>
        <v/>
      </c>
      <c r="C1331" s="150" t="str">
        <f t="shared" si="434"/>
        <v/>
      </c>
      <c r="D1331" s="150" t="str">
        <f>IF(E1331="","",Input!$C$4+B1331-1)</f>
        <v/>
      </c>
      <c r="E1331" s="150" t="str">
        <f>IF(OR(AND(C1330=12,D1330=Input!$C$6),E1330=""),"",1)</f>
        <v/>
      </c>
      <c r="G1331" s="151" t="str">
        <f>IF(E1331="","",MAX(0,Input!$C$9-B1331))</f>
        <v/>
      </c>
      <c r="H1331" s="152" t="str">
        <f>IF(E1331="","",Input!$C$3)</f>
        <v/>
      </c>
      <c r="I1331" s="153" t="str">
        <f>IF(E1331="","",HLOOKUP($B1331,Input!$C$13:$BT$14,2))</f>
        <v/>
      </c>
      <c r="J1331" s="154"/>
      <c r="K1331" s="150" t="str">
        <f>IF($E1331="","",Input!$C$57)</f>
        <v/>
      </c>
      <c r="L1331" s="150" t="str">
        <f t="shared" si="425"/>
        <v/>
      </c>
      <c r="M1331" s="147" t="str">
        <f>IF($E1331="","",VLOOKUP(IF($B1331&lt;=Input!$C$7,$B1331,26),'Mortality Tables'!$A$72:$CA$97,IF($B1331&lt;=Input!$C$7+1,Input!$C$4-16,$D1331-Input!$C$7-16),0)/1000)</f>
        <v/>
      </c>
      <c r="N1331" s="147" t="str">
        <f t="shared" si="416"/>
        <v/>
      </c>
      <c r="O1331" s="157" t="str">
        <f>IF($E1331="","",IF($C1331=12,IF($B1331&lt;Input!$C$9,Input!$C$54,IF($B1331=Input!$C$9,Input!$C$55,Input!$C$56)),0%))</f>
        <v/>
      </c>
      <c r="P1331" s="167" t="str">
        <f>IF($E1331="","",IF($B1331=1,Input!$C$59,IF($B1331&lt;6,Input!$C$60,0%)))</f>
        <v/>
      </c>
      <c r="Q1331" s="162" t="str">
        <f>IF($E1331="","",Input!$C$58)</f>
        <v/>
      </c>
      <c r="R1331" s="156" t="str">
        <f t="shared" si="426"/>
        <v/>
      </c>
      <c r="S1331" s="154" t="str">
        <f t="shared" si="417"/>
        <v/>
      </c>
      <c r="T1331" s="152"/>
      <c r="U1331" s="150" t="str">
        <f t="shared" si="427"/>
        <v/>
      </c>
      <c r="V1331" s="150" t="str">
        <f t="shared" si="428"/>
        <v/>
      </c>
      <c r="W1331" s="168" t="str">
        <f t="shared" si="429"/>
        <v/>
      </c>
      <c r="X1331" s="163" t="str">
        <f t="shared" si="418"/>
        <v/>
      </c>
      <c r="Y1331" s="152"/>
      <c r="Z1331" s="164" t="str">
        <f>IF(AND($C1330=12,$D1330=Input!$C$6),0,IF($E1331="","",V1331+Z1332/(1+L1331)*R1331))</f>
        <v/>
      </c>
      <c r="AA1331" s="164" t="str">
        <f>IF(OR($M1331=1,AND($C1330=12,$D1330=Input!$C$6)),0,IF($E1331="","",W1331+(X1331+AA1332*$R1331)/(1+$L1331)))</f>
        <v/>
      </c>
      <c r="AB1331" s="160" t="str">
        <f t="shared" si="419"/>
        <v/>
      </c>
      <c r="AC1331" s="164" t="str">
        <f t="shared" si="420"/>
        <v/>
      </c>
      <c r="AD1331" s="164" t="str">
        <f>IF(AND($C1330=12,$D1330=Input!$C$6),0,IF($E1331="","",$AC1331+AD1332/(1+$L1331)*$R1331))</f>
        <v/>
      </c>
      <c r="AE1331" s="152"/>
      <c r="AF1331" s="164" t="str">
        <f>IF(AND($C1330=12,$D1330=Input!$C$6),0,IF($E1331="","",IF($B1331&gt;Input!$C$9,$AC1331,0)+AF1332/(1+$L1331)*$R1331))</f>
        <v/>
      </c>
      <c r="AG1331" s="164" t="str">
        <f>IF(AND($C1330=12,$D1330=Input!$C$6),0,IF($E1331="","",(IF($B1331&gt;Input!$C$9,$X1331,0)+AG1332)/(1+$L1331)*$R1331))</f>
        <v/>
      </c>
      <c r="AH1331" s="160" t="str">
        <f t="shared" si="421"/>
        <v/>
      </c>
      <c r="AI1331" s="160" t="str">
        <f>IF($E1331="","",MIN(Input!$C$61/AH1331,1))</f>
        <v/>
      </c>
      <c r="AJ1331" s="152"/>
      <c r="AK1331" s="164" t="str">
        <f>IF(AND($C1330=12,$D1330=Input!$C$6),0,IF($E1331="","",IF($B1331&gt;Input!$C$9,$AC1331*AI1331,0)+AK1332/(1+$L1331)*$R1331))</f>
        <v/>
      </c>
      <c r="AL1331" s="164" t="str">
        <f>IF(AND($C1330=12,$D1330=Input!$C$6),0,IF($E1331="","",IF($B1331&gt;Input!$C$9,0,$AC1331)+AL1332/(1+$L1331)*$R1331))</f>
        <v/>
      </c>
      <c r="AM1331" s="160" t="str">
        <f t="shared" si="422"/>
        <v/>
      </c>
      <c r="AN1331" s="164" t="str">
        <f>IF($E1331="","",IF($B1331&gt;Input!$C$9,$AI1331*$AC1331,$AM1331*$AC1331))</f>
        <v/>
      </c>
      <c r="AO1331" s="164" t="str">
        <f>IF(AND($C1330=12,$D1330=Input!$C$6),0,IF($E1331="","",$AN1331+AO1332/(1+$L1331)*$R1331))</f>
        <v/>
      </c>
      <c r="AP1331" s="152"/>
      <c r="AQ1331" s="150" t="str">
        <f t="shared" si="423"/>
        <v/>
      </c>
      <c r="AR1331" s="150" t="str">
        <f t="shared" si="430"/>
        <v/>
      </c>
      <c r="AS1331" s="150" t="str">
        <f t="shared" si="431"/>
        <v/>
      </c>
      <c r="AT1331" s="150" t="str">
        <f t="shared" si="424"/>
        <v/>
      </c>
      <c r="AU1331" s="152"/>
      <c r="AV1331" s="147" t="str">
        <f>'Deterministic Reserve'!BC1331</f>
        <v/>
      </c>
      <c r="AY1331" s="152"/>
    </row>
    <row r="1332" spans="1:51" s="150" customFormat="1" x14ac:dyDescent="0.25">
      <c r="A1332" s="150" t="str">
        <f t="shared" si="432"/>
        <v/>
      </c>
      <c r="B1332" s="150" t="str">
        <f t="shared" si="433"/>
        <v/>
      </c>
      <c r="C1332" s="150" t="str">
        <f t="shared" si="434"/>
        <v/>
      </c>
      <c r="D1332" s="150" t="str">
        <f>IF(E1332="","",Input!$C$4+B1332-1)</f>
        <v/>
      </c>
      <c r="E1332" s="150" t="str">
        <f>IF(OR(AND(C1331=12,D1331=Input!$C$6),E1331=""),"",1)</f>
        <v/>
      </c>
      <c r="G1332" s="151" t="str">
        <f>IF(E1332="","",MAX(0,Input!$C$9-B1332))</f>
        <v/>
      </c>
      <c r="H1332" s="152" t="str">
        <f>IF(E1332="","",Input!$C$3)</f>
        <v/>
      </c>
      <c r="I1332" s="153" t="str">
        <f>IF(E1332="","",HLOOKUP($B1332,Input!$C$13:$BT$14,2))</f>
        <v/>
      </c>
      <c r="J1332" s="154"/>
      <c r="K1332" s="150" t="str">
        <f>IF($E1332="","",Input!$C$57)</f>
        <v/>
      </c>
      <c r="L1332" s="150" t="str">
        <f t="shared" si="425"/>
        <v/>
      </c>
      <c r="M1332" s="147" t="str">
        <f>IF($E1332="","",VLOOKUP(IF($B1332&lt;=Input!$C$7,$B1332,26),'Mortality Tables'!$A$72:$CA$97,IF($B1332&lt;=Input!$C$7+1,Input!$C$4-16,$D1332-Input!$C$7-16),0)/1000)</f>
        <v/>
      </c>
      <c r="N1332" s="147" t="str">
        <f t="shared" si="416"/>
        <v/>
      </c>
      <c r="O1332" s="157" t="str">
        <f>IF($E1332="","",IF($C1332=12,IF($B1332&lt;Input!$C$9,Input!$C$54,IF($B1332=Input!$C$9,Input!$C$55,Input!$C$56)),0%))</f>
        <v/>
      </c>
      <c r="P1332" s="167" t="str">
        <f>IF($E1332="","",IF($B1332=1,Input!$C$59,IF($B1332&lt;6,Input!$C$60,0%)))</f>
        <v/>
      </c>
      <c r="Q1332" s="162" t="str">
        <f>IF($E1332="","",Input!$C$58)</f>
        <v/>
      </c>
      <c r="R1332" s="156" t="str">
        <f t="shared" si="426"/>
        <v/>
      </c>
      <c r="S1332" s="154" t="str">
        <f t="shared" si="417"/>
        <v/>
      </c>
      <c r="T1332" s="152"/>
      <c r="U1332" s="150" t="str">
        <f t="shared" si="427"/>
        <v/>
      </c>
      <c r="V1332" s="150" t="str">
        <f t="shared" si="428"/>
        <v/>
      </c>
      <c r="W1332" s="168" t="str">
        <f t="shared" si="429"/>
        <v/>
      </c>
      <c r="X1332" s="163" t="str">
        <f t="shared" si="418"/>
        <v/>
      </c>
      <c r="Y1332" s="152"/>
      <c r="Z1332" s="164" t="str">
        <f>IF(AND($C1331=12,$D1331=Input!$C$6),0,IF($E1332="","",V1332+Z1333/(1+L1332)*R1332))</f>
        <v/>
      </c>
      <c r="AA1332" s="164" t="str">
        <f>IF(OR($M1332=1,AND($C1331=12,$D1331=Input!$C$6)),0,IF($E1332="","",W1332+(X1332+AA1333*$R1332)/(1+$L1332)))</f>
        <v/>
      </c>
      <c r="AB1332" s="160" t="str">
        <f t="shared" si="419"/>
        <v/>
      </c>
      <c r="AC1332" s="164" t="str">
        <f t="shared" si="420"/>
        <v/>
      </c>
      <c r="AD1332" s="164" t="str">
        <f>IF(AND($C1331=12,$D1331=Input!$C$6),0,IF($E1332="","",$AC1332+AD1333/(1+$L1332)*$R1332))</f>
        <v/>
      </c>
      <c r="AE1332" s="152"/>
      <c r="AF1332" s="164" t="str">
        <f>IF(AND($C1331=12,$D1331=Input!$C$6),0,IF($E1332="","",IF($B1332&gt;Input!$C$9,$AC1332,0)+AF1333/(1+$L1332)*$R1332))</f>
        <v/>
      </c>
      <c r="AG1332" s="164" t="str">
        <f>IF(AND($C1331=12,$D1331=Input!$C$6),0,IF($E1332="","",(IF($B1332&gt;Input!$C$9,$X1332,0)+AG1333)/(1+$L1332)*$R1332))</f>
        <v/>
      </c>
      <c r="AH1332" s="160" t="str">
        <f t="shared" si="421"/>
        <v/>
      </c>
      <c r="AI1332" s="160" t="str">
        <f>IF($E1332="","",MIN(Input!$C$61/AH1332,1))</f>
        <v/>
      </c>
      <c r="AJ1332" s="152"/>
      <c r="AK1332" s="164" t="str">
        <f>IF(AND($C1331=12,$D1331=Input!$C$6),0,IF($E1332="","",IF($B1332&gt;Input!$C$9,$AC1332*AI1332,0)+AK1333/(1+$L1332)*$R1332))</f>
        <v/>
      </c>
      <c r="AL1332" s="164" t="str">
        <f>IF(AND($C1331=12,$D1331=Input!$C$6),0,IF($E1332="","",IF($B1332&gt;Input!$C$9,0,$AC1332)+AL1333/(1+$L1332)*$R1332))</f>
        <v/>
      </c>
      <c r="AM1332" s="160" t="str">
        <f t="shared" si="422"/>
        <v/>
      </c>
      <c r="AN1332" s="164" t="str">
        <f>IF($E1332="","",IF($B1332&gt;Input!$C$9,$AI1332*$AC1332,$AM1332*$AC1332))</f>
        <v/>
      </c>
      <c r="AO1332" s="164" t="str">
        <f>IF(AND($C1331=12,$D1331=Input!$C$6),0,IF($E1332="","",$AN1332+AO1333/(1+$L1332)*$R1332))</f>
        <v/>
      </c>
      <c r="AP1332" s="152"/>
      <c r="AQ1332" s="150" t="str">
        <f t="shared" si="423"/>
        <v/>
      </c>
      <c r="AR1332" s="150" t="str">
        <f t="shared" si="430"/>
        <v/>
      </c>
      <c r="AS1332" s="150" t="str">
        <f t="shared" si="431"/>
        <v/>
      </c>
      <c r="AT1332" s="150" t="str">
        <f t="shared" si="424"/>
        <v/>
      </c>
      <c r="AU1332" s="152"/>
      <c r="AV1332" s="147" t="str">
        <f>'Deterministic Reserve'!BC1332</f>
        <v/>
      </c>
      <c r="AY1332" s="152"/>
    </row>
    <row r="1333" spans="1:51" s="150" customFormat="1" x14ac:dyDescent="0.25">
      <c r="A1333" s="150" t="str">
        <f t="shared" si="432"/>
        <v/>
      </c>
      <c r="B1333" s="150" t="str">
        <f t="shared" si="433"/>
        <v/>
      </c>
      <c r="C1333" s="150" t="str">
        <f t="shared" si="434"/>
        <v/>
      </c>
      <c r="D1333" s="150" t="str">
        <f>IF(E1333="","",Input!$C$4+B1333-1)</f>
        <v/>
      </c>
      <c r="E1333" s="150" t="str">
        <f>IF(OR(AND(C1332=12,D1332=Input!$C$6),E1332=""),"",1)</f>
        <v/>
      </c>
      <c r="G1333" s="151" t="str">
        <f>IF(E1333="","",MAX(0,Input!$C$9-B1333))</f>
        <v/>
      </c>
      <c r="H1333" s="152" t="str">
        <f>IF(E1333="","",Input!$C$3)</f>
        <v/>
      </c>
      <c r="I1333" s="153" t="str">
        <f>IF(E1333="","",HLOOKUP($B1333,Input!$C$13:$BT$14,2))</f>
        <v/>
      </c>
      <c r="J1333" s="154"/>
      <c r="K1333" s="150" t="str">
        <f>IF($E1333="","",Input!$C$57)</f>
        <v/>
      </c>
      <c r="L1333" s="150" t="str">
        <f t="shared" si="425"/>
        <v/>
      </c>
      <c r="M1333" s="147" t="str">
        <f>IF($E1333="","",VLOOKUP(IF($B1333&lt;=Input!$C$7,$B1333,26),'Mortality Tables'!$A$72:$CA$97,IF($B1333&lt;=Input!$C$7+1,Input!$C$4-16,$D1333-Input!$C$7-16),0)/1000)</f>
        <v/>
      </c>
      <c r="N1333" s="147" t="str">
        <f t="shared" si="416"/>
        <v/>
      </c>
      <c r="O1333" s="157" t="str">
        <f>IF($E1333="","",IF($C1333=12,IF($B1333&lt;Input!$C$9,Input!$C$54,IF($B1333=Input!$C$9,Input!$C$55,Input!$C$56)),0%))</f>
        <v/>
      </c>
      <c r="P1333" s="167" t="str">
        <f>IF($E1333="","",IF($B1333=1,Input!$C$59,IF($B1333&lt;6,Input!$C$60,0%)))</f>
        <v/>
      </c>
      <c r="Q1333" s="162" t="str">
        <f>IF($E1333="","",Input!$C$58)</f>
        <v/>
      </c>
      <c r="R1333" s="156" t="str">
        <f t="shared" si="426"/>
        <v/>
      </c>
      <c r="S1333" s="154" t="str">
        <f t="shared" si="417"/>
        <v/>
      </c>
      <c r="T1333" s="152"/>
      <c r="U1333" s="150" t="str">
        <f t="shared" si="427"/>
        <v/>
      </c>
      <c r="V1333" s="150" t="str">
        <f t="shared" si="428"/>
        <v/>
      </c>
      <c r="W1333" s="168" t="str">
        <f t="shared" si="429"/>
        <v/>
      </c>
      <c r="X1333" s="163" t="str">
        <f t="shared" si="418"/>
        <v/>
      </c>
      <c r="Y1333" s="152"/>
      <c r="Z1333" s="164" t="str">
        <f>IF(AND($C1332=12,$D1332=Input!$C$6),0,IF($E1333="","",V1333+Z1334/(1+L1333)*R1333))</f>
        <v/>
      </c>
      <c r="AA1333" s="164" t="str">
        <f>IF(OR($M1333=1,AND($C1332=12,$D1332=Input!$C$6)),0,IF($E1333="","",W1333+(X1333+AA1334*$R1333)/(1+$L1333)))</f>
        <v/>
      </c>
      <c r="AB1333" s="160" t="str">
        <f t="shared" si="419"/>
        <v/>
      </c>
      <c r="AC1333" s="164" t="str">
        <f t="shared" si="420"/>
        <v/>
      </c>
      <c r="AD1333" s="164" t="str">
        <f>IF(AND($C1332=12,$D1332=Input!$C$6),0,IF($E1333="","",$AC1333+AD1334/(1+$L1333)*$R1333))</f>
        <v/>
      </c>
      <c r="AE1333" s="152"/>
      <c r="AF1333" s="164" t="str">
        <f>IF(AND($C1332=12,$D1332=Input!$C$6),0,IF($E1333="","",IF($B1333&gt;Input!$C$9,$AC1333,0)+AF1334/(1+$L1333)*$R1333))</f>
        <v/>
      </c>
      <c r="AG1333" s="164" t="str">
        <f>IF(AND($C1332=12,$D1332=Input!$C$6),0,IF($E1333="","",(IF($B1333&gt;Input!$C$9,$X1333,0)+AG1334)/(1+$L1333)*$R1333))</f>
        <v/>
      </c>
      <c r="AH1333" s="160" t="str">
        <f t="shared" si="421"/>
        <v/>
      </c>
      <c r="AI1333" s="160" t="str">
        <f>IF($E1333="","",MIN(Input!$C$61/AH1333,1))</f>
        <v/>
      </c>
      <c r="AJ1333" s="152"/>
      <c r="AK1333" s="164" t="str">
        <f>IF(AND($C1332=12,$D1332=Input!$C$6),0,IF($E1333="","",IF($B1333&gt;Input!$C$9,$AC1333*AI1333,0)+AK1334/(1+$L1333)*$R1333))</f>
        <v/>
      </c>
      <c r="AL1333" s="164" t="str">
        <f>IF(AND($C1332=12,$D1332=Input!$C$6),0,IF($E1333="","",IF($B1333&gt;Input!$C$9,0,$AC1333)+AL1334/(1+$L1333)*$R1333))</f>
        <v/>
      </c>
      <c r="AM1333" s="160" t="str">
        <f t="shared" si="422"/>
        <v/>
      </c>
      <c r="AN1333" s="164" t="str">
        <f>IF($E1333="","",IF($B1333&gt;Input!$C$9,$AI1333*$AC1333,$AM1333*$AC1333))</f>
        <v/>
      </c>
      <c r="AO1333" s="164" t="str">
        <f>IF(AND($C1332=12,$D1332=Input!$C$6),0,IF($E1333="","",$AN1333+AO1334/(1+$L1333)*$R1333))</f>
        <v/>
      </c>
      <c r="AP1333" s="152"/>
      <c r="AQ1333" s="150" t="str">
        <f t="shared" si="423"/>
        <v/>
      </c>
      <c r="AR1333" s="150" t="str">
        <f t="shared" si="430"/>
        <v/>
      </c>
      <c r="AS1333" s="150" t="str">
        <f t="shared" si="431"/>
        <v/>
      </c>
      <c r="AT1333" s="150" t="str">
        <f t="shared" si="424"/>
        <v/>
      </c>
      <c r="AU1333" s="152"/>
      <c r="AV1333" s="147" t="str">
        <f>'Deterministic Reserve'!BC1333</f>
        <v/>
      </c>
      <c r="AY1333" s="152"/>
    </row>
    <row r="1334" spans="1:51" s="150" customFormat="1" x14ac:dyDescent="0.25">
      <c r="A1334" s="150" t="str">
        <f t="shared" si="432"/>
        <v/>
      </c>
      <c r="B1334" s="150" t="str">
        <f t="shared" si="433"/>
        <v/>
      </c>
      <c r="C1334" s="150" t="str">
        <f t="shared" si="434"/>
        <v/>
      </c>
      <c r="D1334" s="150" t="str">
        <f>IF(E1334="","",Input!$C$4+B1334-1)</f>
        <v/>
      </c>
      <c r="E1334" s="150" t="str">
        <f>IF(OR(AND(C1333=12,D1333=Input!$C$6),E1333=""),"",1)</f>
        <v/>
      </c>
      <c r="G1334" s="151" t="str">
        <f>IF(E1334="","",MAX(0,Input!$C$9-B1334))</f>
        <v/>
      </c>
      <c r="H1334" s="152" t="str">
        <f>IF(E1334="","",Input!$C$3)</f>
        <v/>
      </c>
      <c r="I1334" s="153" t="str">
        <f>IF(E1334="","",HLOOKUP($B1334,Input!$C$13:$BT$14,2))</f>
        <v/>
      </c>
      <c r="J1334" s="154"/>
      <c r="K1334" s="150" t="str">
        <f>IF($E1334="","",Input!$C$57)</f>
        <v/>
      </c>
      <c r="L1334" s="150" t="str">
        <f t="shared" si="425"/>
        <v/>
      </c>
      <c r="M1334" s="147" t="str">
        <f>IF($E1334="","",VLOOKUP(IF($B1334&lt;=Input!$C$7,$B1334,26),'Mortality Tables'!$A$72:$CA$97,IF($B1334&lt;=Input!$C$7+1,Input!$C$4-16,$D1334-Input!$C$7-16),0)/1000)</f>
        <v/>
      </c>
      <c r="N1334" s="147" t="str">
        <f t="shared" si="416"/>
        <v/>
      </c>
      <c r="O1334" s="157" t="str">
        <f>IF($E1334="","",IF($C1334=12,IF($B1334&lt;Input!$C$9,Input!$C$54,IF($B1334=Input!$C$9,Input!$C$55,Input!$C$56)),0%))</f>
        <v/>
      </c>
      <c r="P1334" s="167" t="str">
        <f>IF($E1334="","",IF($B1334=1,Input!$C$59,IF($B1334&lt;6,Input!$C$60,0%)))</f>
        <v/>
      </c>
      <c r="Q1334" s="162" t="str">
        <f>IF($E1334="","",Input!$C$58)</f>
        <v/>
      </c>
      <c r="R1334" s="156" t="str">
        <f t="shared" si="426"/>
        <v/>
      </c>
      <c r="S1334" s="154" t="str">
        <f t="shared" si="417"/>
        <v/>
      </c>
      <c r="T1334" s="152"/>
      <c r="U1334" s="150" t="str">
        <f t="shared" si="427"/>
        <v/>
      </c>
      <c r="V1334" s="150" t="str">
        <f t="shared" si="428"/>
        <v/>
      </c>
      <c r="W1334" s="168" t="str">
        <f t="shared" si="429"/>
        <v/>
      </c>
      <c r="X1334" s="163" t="str">
        <f t="shared" si="418"/>
        <v/>
      </c>
      <c r="Y1334" s="152"/>
      <c r="Z1334" s="164" t="str">
        <f>IF(AND($C1333=12,$D1333=Input!$C$6),0,IF($E1334="","",V1334+Z1335/(1+L1334)*R1334))</f>
        <v/>
      </c>
      <c r="AA1334" s="164" t="str">
        <f>IF(OR($M1334=1,AND($C1333=12,$D1333=Input!$C$6)),0,IF($E1334="","",W1334+(X1334+AA1335*$R1334)/(1+$L1334)))</f>
        <v/>
      </c>
      <c r="AB1334" s="160" t="str">
        <f t="shared" si="419"/>
        <v/>
      </c>
      <c r="AC1334" s="164" t="str">
        <f t="shared" si="420"/>
        <v/>
      </c>
      <c r="AD1334" s="164" t="str">
        <f>IF(AND($C1333=12,$D1333=Input!$C$6),0,IF($E1334="","",$AC1334+AD1335/(1+$L1334)*$R1334))</f>
        <v/>
      </c>
      <c r="AE1334" s="152"/>
      <c r="AF1334" s="164" t="str">
        <f>IF(AND($C1333=12,$D1333=Input!$C$6),0,IF($E1334="","",IF($B1334&gt;Input!$C$9,$AC1334,0)+AF1335/(1+$L1334)*$R1334))</f>
        <v/>
      </c>
      <c r="AG1334" s="164" t="str">
        <f>IF(AND($C1333=12,$D1333=Input!$C$6),0,IF($E1334="","",(IF($B1334&gt;Input!$C$9,$X1334,0)+AG1335)/(1+$L1334)*$R1334))</f>
        <v/>
      </c>
      <c r="AH1334" s="160" t="str">
        <f t="shared" si="421"/>
        <v/>
      </c>
      <c r="AI1334" s="160" t="str">
        <f>IF($E1334="","",MIN(Input!$C$61/AH1334,1))</f>
        <v/>
      </c>
      <c r="AJ1334" s="152"/>
      <c r="AK1334" s="164" t="str">
        <f>IF(AND($C1333=12,$D1333=Input!$C$6),0,IF($E1334="","",IF($B1334&gt;Input!$C$9,$AC1334*AI1334,0)+AK1335/(1+$L1334)*$R1334))</f>
        <v/>
      </c>
      <c r="AL1334" s="164" t="str">
        <f>IF(AND($C1333=12,$D1333=Input!$C$6),0,IF($E1334="","",IF($B1334&gt;Input!$C$9,0,$AC1334)+AL1335/(1+$L1334)*$R1334))</f>
        <v/>
      </c>
      <c r="AM1334" s="160" t="str">
        <f t="shared" si="422"/>
        <v/>
      </c>
      <c r="AN1334" s="164" t="str">
        <f>IF($E1334="","",IF($B1334&gt;Input!$C$9,$AI1334*$AC1334,$AM1334*$AC1334))</f>
        <v/>
      </c>
      <c r="AO1334" s="164" t="str">
        <f>IF(AND($C1333=12,$D1333=Input!$C$6),0,IF($E1334="","",$AN1334+AO1335/(1+$L1334)*$R1334))</f>
        <v/>
      </c>
      <c r="AP1334" s="152"/>
      <c r="AQ1334" s="150" t="str">
        <f t="shared" si="423"/>
        <v/>
      </c>
      <c r="AR1334" s="150" t="str">
        <f t="shared" si="430"/>
        <v/>
      </c>
      <c r="AS1334" s="150" t="str">
        <f t="shared" si="431"/>
        <v/>
      </c>
      <c r="AT1334" s="150" t="str">
        <f t="shared" si="424"/>
        <v/>
      </c>
      <c r="AU1334" s="152"/>
      <c r="AV1334" s="147" t="str">
        <f>'Deterministic Reserve'!BC1334</f>
        <v/>
      </c>
      <c r="AY1334" s="152"/>
    </row>
    <row r="1335" spans="1:51" s="150" customFormat="1" x14ac:dyDescent="0.25">
      <c r="A1335" s="150" t="str">
        <f t="shared" si="432"/>
        <v/>
      </c>
      <c r="B1335" s="150" t="str">
        <f t="shared" si="433"/>
        <v/>
      </c>
      <c r="C1335" s="150" t="str">
        <f t="shared" si="434"/>
        <v/>
      </c>
      <c r="D1335" s="150" t="str">
        <f>IF(E1335="","",Input!$C$4+B1335-1)</f>
        <v/>
      </c>
      <c r="E1335" s="150" t="str">
        <f>IF(OR(AND(C1334=12,D1334=Input!$C$6),E1334=""),"",1)</f>
        <v/>
      </c>
      <c r="G1335" s="151" t="str">
        <f>IF(E1335="","",MAX(0,Input!$C$9-B1335))</f>
        <v/>
      </c>
      <c r="H1335" s="152" t="str">
        <f>IF(E1335="","",Input!$C$3)</f>
        <v/>
      </c>
      <c r="I1335" s="153" t="str">
        <f>IF(E1335="","",HLOOKUP($B1335,Input!$C$13:$BT$14,2))</f>
        <v/>
      </c>
      <c r="J1335" s="154"/>
      <c r="K1335" s="150" t="str">
        <f>IF($E1335="","",Input!$C$57)</f>
        <v/>
      </c>
      <c r="L1335" s="150" t="str">
        <f t="shared" si="425"/>
        <v/>
      </c>
      <c r="M1335" s="147" t="str">
        <f>IF($E1335="","",VLOOKUP(IF($B1335&lt;=Input!$C$7,$B1335,26),'Mortality Tables'!$A$72:$CA$97,IF($B1335&lt;=Input!$C$7+1,Input!$C$4-16,$D1335-Input!$C$7-16),0)/1000)</f>
        <v/>
      </c>
      <c r="N1335" s="147" t="str">
        <f t="shared" si="416"/>
        <v/>
      </c>
      <c r="O1335" s="157" t="str">
        <f>IF($E1335="","",IF($C1335=12,IF($B1335&lt;Input!$C$9,Input!$C$54,IF($B1335=Input!$C$9,Input!$C$55,Input!$C$56)),0%))</f>
        <v/>
      </c>
      <c r="P1335" s="167" t="str">
        <f>IF($E1335="","",IF($B1335=1,Input!$C$59,IF($B1335&lt;6,Input!$C$60,0%)))</f>
        <v/>
      </c>
      <c r="Q1335" s="162" t="str">
        <f>IF($E1335="","",Input!$C$58)</f>
        <v/>
      </c>
      <c r="R1335" s="156" t="str">
        <f t="shared" si="426"/>
        <v/>
      </c>
      <c r="S1335" s="154" t="str">
        <f t="shared" si="417"/>
        <v/>
      </c>
      <c r="T1335" s="152"/>
      <c r="U1335" s="150" t="str">
        <f t="shared" si="427"/>
        <v/>
      </c>
      <c r="V1335" s="150" t="str">
        <f t="shared" si="428"/>
        <v/>
      </c>
      <c r="W1335" s="168" t="str">
        <f t="shared" si="429"/>
        <v/>
      </c>
      <c r="X1335" s="163" t="str">
        <f t="shared" si="418"/>
        <v/>
      </c>
      <c r="Y1335" s="152"/>
      <c r="Z1335" s="164" t="str">
        <f>IF(AND($C1334=12,$D1334=Input!$C$6),0,IF($E1335="","",V1335+Z1336/(1+L1335)*R1335))</f>
        <v/>
      </c>
      <c r="AA1335" s="164" t="str">
        <f>IF(OR($M1335=1,AND($C1334=12,$D1334=Input!$C$6)),0,IF($E1335="","",W1335+(X1335+AA1336*$R1335)/(1+$L1335)))</f>
        <v/>
      </c>
      <c r="AB1335" s="160" t="str">
        <f t="shared" si="419"/>
        <v/>
      </c>
      <c r="AC1335" s="164" t="str">
        <f t="shared" si="420"/>
        <v/>
      </c>
      <c r="AD1335" s="164" t="str">
        <f>IF(AND($C1334=12,$D1334=Input!$C$6),0,IF($E1335="","",$AC1335+AD1336/(1+$L1335)*$R1335))</f>
        <v/>
      </c>
      <c r="AE1335" s="152"/>
      <c r="AF1335" s="164" t="str">
        <f>IF(AND($C1334=12,$D1334=Input!$C$6),0,IF($E1335="","",IF($B1335&gt;Input!$C$9,$AC1335,0)+AF1336/(1+$L1335)*$R1335))</f>
        <v/>
      </c>
      <c r="AG1335" s="164" t="str">
        <f>IF(AND($C1334=12,$D1334=Input!$C$6),0,IF($E1335="","",(IF($B1335&gt;Input!$C$9,$X1335,0)+AG1336)/(1+$L1335)*$R1335))</f>
        <v/>
      </c>
      <c r="AH1335" s="160" t="str">
        <f t="shared" si="421"/>
        <v/>
      </c>
      <c r="AI1335" s="160" t="str">
        <f>IF($E1335="","",MIN(Input!$C$61/AH1335,1))</f>
        <v/>
      </c>
      <c r="AJ1335" s="152"/>
      <c r="AK1335" s="164" t="str">
        <f>IF(AND($C1334=12,$D1334=Input!$C$6),0,IF($E1335="","",IF($B1335&gt;Input!$C$9,$AC1335*AI1335,0)+AK1336/(1+$L1335)*$R1335))</f>
        <v/>
      </c>
      <c r="AL1335" s="164" t="str">
        <f>IF(AND($C1334=12,$D1334=Input!$C$6),0,IF($E1335="","",IF($B1335&gt;Input!$C$9,0,$AC1335)+AL1336/(1+$L1335)*$R1335))</f>
        <v/>
      </c>
      <c r="AM1335" s="160" t="str">
        <f t="shared" si="422"/>
        <v/>
      </c>
      <c r="AN1335" s="164" t="str">
        <f>IF($E1335="","",IF($B1335&gt;Input!$C$9,$AI1335*$AC1335,$AM1335*$AC1335))</f>
        <v/>
      </c>
      <c r="AO1335" s="164" t="str">
        <f>IF(AND($C1334=12,$D1334=Input!$C$6),0,IF($E1335="","",$AN1335+AO1336/(1+$L1335)*$R1335))</f>
        <v/>
      </c>
      <c r="AP1335" s="152"/>
      <c r="AQ1335" s="150" t="str">
        <f t="shared" si="423"/>
        <v/>
      </c>
      <c r="AR1335" s="150" t="str">
        <f t="shared" si="430"/>
        <v/>
      </c>
      <c r="AS1335" s="150" t="str">
        <f t="shared" si="431"/>
        <v/>
      </c>
      <c r="AT1335" s="150" t="str">
        <f t="shared" si="424"/>
        <v/>
      </c>
      <c r="AU1335" s="152"/>
      <c r="AV1335" s="147" t="str">
        <f>'Deterministic Reserve'!BC1335</f>
        <v/>
      </c>
      <c r="AY1335" s="152"/>
    </row>
    <row r="1336" spans="1:51" s="150" customFormat="1" x14ac:dyDescent="0.25">
      <c r="A1336" s="150" t="str">
        <f t="shared" si="432"/>
        <v/>
      </c>
      <c r="B1336" s="150" t="str">
        <f t="shared" si="433"/>
        <v/>
      </c>
      <c r="C1336" s="150" t="str">
        <f t="shared" si="434"/>
        <v/>
      </c>
      <c r="D1336" s="150" t="str">
        <f>IF(E1336="","",Input!$C$4+B1336-1)</f>
        <v/>
      </c>
      <c r="E1336" s="150" t="str">
        <f>IF(OR(AND(C1335=12,D1335=Input!$C$6),E1335=""),"",1)</f>
        <v/>
      </c>
      <c r="G1336" s="151" t="str">
        <f>IF(E1336="","",MAX(0,Input!$C$9-B1336))</f>
        <v/>
      </c>
      <c r="H1336" s="152" t="str">
        <f>IF(E1336="","",Input!$C$3)</f>
        <v/>
      </c>
      <c r="I1336" s="153" t="str">
        <f>IF(E1336="","",HLOOKUP($B1336,Input!$C$13:$BT$14,2))</f>
        <v/>
      </c>
      <c r="J1336" s="154"/>
      <c r="K1336" s="150" t="str">
        <f>IF($E1336="","",Input!$C$57)</f>
        <v/>
      </c>
      <c r="L1336" s="150" t="str">
        <f t="shared" si="425"/>
        <v/>
      </c>
      <c r="M1336" s="147" t="str">
        <f>IF($E1336="","",VLOOKUP(IF($B1336&lt;=Input!$C$7,$B1336,26),'Mortality Tables'!$A$72:$CA$97,IF($B1336&lt;=Input!$C$7+1,Input!$C$4-16,$D1336-Input!$C$7-16),0)/1000)</f>
        <v/>
      </c>
      <c r="N1336" s="147" t="str">
        <f t="shared" si="416"/>
        <v/>
      </c>
      <c r="O1336" s="157" t="str">
        <f>IF($E1336="","",IF($C1336=12,IF($B1336&lt;Input!$C$9,Input!$C$54,IF($B1336=Input!$C$9,Input!$C$55,Input!$C$56)),0%))</f>
        <v/>
      </c>
      <c r="P1336" s="167" t="str">
        <f>IF($E1336="","",IF($B1336=1,Input!$C$59,IF($B1336&lt;6,Input!$C$60,0%)))</f>
        <v/>
      </c>
      <c r="Q1336" s="162" t="str">
        <f>IF($E1336="","",Input!$C$58)</f>
        <v/>
      </c>
      <c r="R1336" s="156" t="str">
        <f t="shared" si="426"/>
        <v/>
      </c>
      <c r="S1336" s="154" t="str">
        <f t="shared" si="417"/>
        <v/>
      </c>
      <c r="T1336" s="152"/>
      <c r="U1336" s="150" t="str">
        <f t="shared" si="427"/>
        <v/>
      </c>
      <c r="V1336" s="150" t="str">
        <f t="shared" si="428"/>
        <v/>
      </c>
      <c r="W1336" s="168" t="str">
        <f t="shared" si="429"/>
        <v/>
      </c>
      <c r="X1336" s="163" t="str">
        <f t="shared" si="418"/>
        <v/>
      </c>
      <c r="Y1336" s="152"/>
      <c r="Z1336" s="164" t="str">
        <f>IF(AND($C1335=12,$D1335=Input!$C$6),0,IF($E1336="","",V1336+Z1337/(1+L1336)*R1336))</f>
        <v/>
      </c>
      <c r="AA1336" s="164" t="str">
        <f>IF(OR($M1336=1,AND($C1335=12,$D1335=Input!$C$6)),0,IF($E1336="","",W1336+(X1336+AA1337*$R1336)/(1+$L1336)))</f>
        <v/>
      </c>
      <c r="AB1336" s="160" t="str">
        <f t="shared" si="419"/>
        <v/>
      </c>
      <c r="AC1336" s="164" t="str">
        <f t="shared" si="420"/>
        <v/>
      </c>
      <c r="AD1336" s="164" t="str">
        <f>IF(AND($C1335=12,$D1335=Input!$C$6),0,IF($E1336="","",$AC1336+AD1337/(1+$L1336)*$R1336))</f>
        <v/>
      </c>
      <c r="AE1336" s="152"/>
      <c r="AF1336" s="164" t="str">
        <f>IF(AND($C1335=12,$D1335=Input!$C$6),0,IF($E1336="","",IF($B1336&gt;Input!$C$9,$AC1336,0)+AF1337/(1+$L1336)*$R1336))</f>
        <v/>
      </c>
      <c r="AG1336" s="164" t="str">
        <f>IF(AND($C1335=12,$D1335=Input!$C$6),0,IF($E1336="","",(IF($B1336&gt;Input!$C$9,$X1336,0)+AG1337)/(1+$L1336)*$R1336))</f>
        <v/>
      </c>
      <c r="AH1336" s="160" t="str">
        <f t="shared" si="421"/>
        <v/>
      </c>
      <c r="AI1336" s="160" t="str">
        <f>IF($E1336="","",MIN(Input!$C$61/AH1336,1))</f>
        <v/>
      </c>
      <c r="AJ1336" s="152"/>
      <c r="AK1336" s="164" t="str">
        <f>IF(AND($C1335=12,$D1335=Input!$C$6),0,IF($E1336="","",IF($B1336&gt;Input!$C$9,$AC1336*AI1336,0)+AK1337/(1+$L1336)*$R1336))</f>
        <v/>
      </c>
      <c r="AL1336" s="164" t="str">
        <f>IF(AND($C1335=12,$D1335=Input!$C$6),0,IF($E1336="","",IF($B1336&gt;Input!$C$9,0,$AC1336)+AL1337/(1+$L1336)*$R1336))</f>
        <v/>
      </c>
      <c r="AM1336" s="160" t="str">
        <f t="shared" si="422"/>
        <v/>
      </c>
      <c r="AN1336" s="164" t="str">
        <f>IF($E1336="","",IF($B1336&gt;Input!$C$9,$AI1336*$AC1336,$AM1336*$AC1336))</f>
        <v/>
      </c>
      <c r="AO1336" s="164" t="str">
        <f>IF(AND($C1335=12,$D1335=Input!$C$6),0,IF($E1336="","",$AN1336+AO1337/(1+$L1336)*$R1336))</f>
        <v/>
      </c>
      <c r="AP1336" s="152"/>
      <c r="AQ1336" s="150" t="str">
        <f t="shared" si="423"/>
        <v/>
      </c>
      <c r="AR1336" s="150" t="str">
        <f t="shared" si="430"/>
        <v/>
      </c>
      <c r="AS1336" s="150" t="str">
        <f t="shared" si="431"/>
        <v/>
      </c>
      <c r="AT1336" s="150" t="str">
        <f t="shared" si="424"/>
        <v/>
      </c>
      <c r="AU1336" s="152"/>
      <c r="AV1336" s="147" t="str">
        <f>'Deterministic Reserve'!BC1336</f>
        <v/>
      </c>
      <c r="AY1336" s="152"/>
    </row>
    <row r="1337" spans="1:51" s="150" customFormat="1" x14ac:dyDescent="0.25">
      <c r="A1337" s="150" t="str">
        <f t="shared" si="432"/>
        <v/>
      </c>
      <c r="B1337" s="150" t="str">
        <f t="shared" si="433"/>
        <v/>
      </c>
      <c r="C1337" s="150" t="str">
        <f t="shared" si="434"/>
        <v/>
      </c>
      <c r="D1337" s="150" t="str">
        <f>IF(E1337="","",Input!$C$4+B1337-1)</f>
        <v/>
      </c>
      <c r="E1337" s="150" t="str">
        <f>IF(OR(AND(C1336=12,D1336=Input!$C$6),E1336=""),"",1)</f>
        <v/>
      </c>
      <c r="G1337" s="151" t="str">
        <f>IF(E1337="","",MAX(0,Input!$C$9-B1337))</f>
        <v/>
      </c>
      <c r="H1337" s="152" t="str">
        <f>IF(E1337="","",Input!$C$3)</f>
        <v/>
      </c>
      <c r="I1337" s="153" t="str">
        <f>IF(E1337="","",HLOOKUP($B1337,Input!$C$13:$BT$14,2))</f>
        <v/>
      </c>
      <c r="J1337" s="154"/>
      <c r="K1337" s="150" t="str">
        <f>IF($E1337="","",Input!$C$57)</f>
        <v/>
      </c>
      <c r="L1337" s="150" t="str">
        <f t="shared" si="425"/>
        <v/>
      </c>
      <c r="M1337" s="147" t="str">
        <f>IF($E1337="","",VLOOKUP(IF($B1337&lt;=Input!$C$7,$B1337,26),'Mortality Tables'!$A$72:$CA$97,IF($B1337&lt;=Input!$C$7+1,Input!$C$4-16,$D1337-Input!$C$7-16),0)/1000)</f>
        <v/>
      </c>
      <c r="N1337" s="147" t="str">
        <f t="shared" si="416"/>
        <v/>
      </c>
      <c r="O1337" s="157" t="str">
        <f>IF($E1337="","",IF($C1337=12,IF($B1337&lt;Input!$C$9,Input!$C$54,IF($B1337=Input!$C$9,Input!$C$55,Input!$C$56)),0%))</f>
        <v/>
      </c>
      <c r="P1337" s="167" t="str">
        <f>IF($E1337="","",IF($B1337=1,Input!$C$59,IF($B1337&lt;6,Input!$C$60,0%)))</f>
        <v/>
      </c>
      <c r="Q1337" s="162" t="str">
        <f>IF($E1337="","",Input!$C$58)</f>
        <v/>
      </c>
      <c r="R1337" s="156" t="str">
        <f t="shared" si="426"/>
        <v/>
      </c>
      <c r="S1337" s="154" t="str">
        <f t="shared" si="417"/>
        <v/>
      </c>
      <c r="T1337" s="152"/>
      <c r="U1337" s="150" t="str">
        <f t="shared" si="427"/>
        <v/>
      </c>
      <c r="V1337" s="150" t="str">
        <f t="shared" si="428"/>
        <v/>
      </c>
      <c r="W1337" s="168" t="str">
        <f t="shared" si="429"/>
        <v/>
      </c>
      <c r="X1337" s="163" t="str">
        <f t="shared" si="418"/>
        <v/>
      </c>
      <c r="Y1337" s="152"/>
      <c r="Z1337" s="164" t="str">
        <f>IF(AND($C1336=12,$D1336=Input!$C$6),0,IF($E1337="","",V1337+Z1338/(1+L1337)*R1337))</f>
        <v/>
      </c>
      <c r="AA1337" s="164" t="str">
        <f>IF(OR($M1337=1,AND($C1336=12,$D1336=Input!$C$6)),0,IF($E1337="","",W1337+(X1337+AA1338*$R1337)/(1+$L1337)))</f>
        <v/>
      </c>
      <c r="AB1337" s="160" t="str">
        <f t="shared" si="419"/>
        <v/>
      </c>
      <c r="AC1337" s="164" t="str">
        <f t="shared" si="420"/>
        <v/>
      </c>
      <c r="AD1337" s="164" t="str">
        <f>IF(AND($C1336=12,$D1336=Input!$C$6),0,IF($E1337="","",$AC1337+AD1338/(1+$L1337)*$R1337))</f>
        <v/>
      </c>
      <c r="AE1337" s="152"/>
      <c r="AF1337" s="164" t="str">
        <f>IF(AND($C1336=12,$D1336=Input!$C$6),0,IF($E1337="","",IF($B1337&gt;Input!$C$9,$AC1337,0)+AF1338/(1+$L1337)*$R1337))</f>
        <v/>
      </c>
      <c r="AG1337" s="164" t="str">
        <f>IF(AND($C1336=12,$D1336=Input!$C$6),0,IF($E1337="","",(IF($B1337&gt;Input!$C$9,$X1337,0)+AG1338)/(1+$L1337)*$R1337))</f>
        <v/>
      </c>
      <c r="AH1337" s="160" t="str">
        <f t="shared" si="421"/>
        <v/>
      </c>
      <c r="AI1337" s="160" t="str">
        <f>IF($E1337="","",MIN(Input!$C$61/AH1337,1))</f>
        <v/>
      </c>
      <c r="AJ1337" s="152"/>
      <c r="AK1337" s="164" t="str">
        <f>IF(AND($C1336=12,$D1336=Input!$C$6),0,IF($E1337="","",IF($B1337&gt;Input!$C$9,$AC1337*AI1337,0)+AK1338/(1+$L1337)*$R1337))</f>
        <v/>
      </c>
      <c r="AL1337" s="164" t="str">
        <f>IF(AND($C1336=12,$D1336=Input!$C$6),0,IF($E1337="","",IF($B1337&gt;Input!$C$9,0,$AC1337)+AL1338/(1+$L1337)*$R1337))</f>
        <v/>
      </c>
      <c r="AM1337" s="160" t="str">
        <f t="shared" si="422"/>
        <v/>
      </c>
      <c r="AN1337" s="164" t="str">
        <f>IF($E1337="","",IF($B1337&gt;Input!$C$9,$AI1337*$AC1337,$AM1337*$AC1337))</f>
        <v/>
      </c>
      <c r="AO1337" s="164" t="str">
        <f>IF(AND($C1336=12,$D1336=Input!$C$6),0,IF($E1337="","",$AN1337+AO1338/(1+$L1337)*$R1337))</f>
        <v/>
      </c>
      <c r="AP1337" s="152"/>
      <c r="AQ1337" s="150" t="str">
        <f t="shared" si="423"/>
        <v/>
      </c>
      <c r="AR1337" s="150" t="str">
        <f t="shared" si="430"/>
        <v/>
      </c>
      <c r="AS1337" s="150" t="str">
        <f t="shared" si="431"/>
        <v/>
      </c>
      <c r="AT1337" s="150" t="str">
        <f t="shared" si="424"/>
        <v/>
      </c>
      <c r="AU1337" s="152"/>
      <c r="AV1337" s="147" t="str">
        <f>'Deterministic Reserve'!BC1337</f>
        <v/>
      </c>
      <c r="AY1337" s="152"/>
    </row>
    <row r="1338" spans="1:51" s="150" customFormat="1" x14ac:dyDescent="0.25">
      <c r="A1338" s="150" t="str">
        <f t="shared" si="432"/>
        <v/>
      </c>
      <c r="B1338" s="150" t="str">
        <f t="shared" si="433"/>
        <v/>
      </c>
      <c r="C1338" s="150" t="str">
        <f t="shared" si="434"/>
        <v/>
      </c>
      <c r="D1338" s="150" t="str">
        <f>IF(E1338="","",Input!$C$4+B1338-1)</f>
        <v/>
      </c>
      <c r="E1338" s="150" t="str">
        <f>IF(OR(AND(C1337=12,D1337=Input!$C$6),E1337=""),"",1)</f>
        <v/>
      </c>
      <c r="G1338" s="151" t="str">
        <f>IF(E1338="","",MAX(0,Input!$C$9-B1338))</f>
        <v/>
      </c>
      <c r="H1338" s="152" t="str">
        <f>IF(E1338="","",Input!$C$3)</f>
        <v/>
      </c>
      <c r="I1338" s="153" t="str">
        <f>IF(E1338="","",HLOOKUP($B1338,Input!$C$13:$BT$14,2))</f>
        <v/>
      </c>
      <c r="J1338" s="154"/>
      <c r="K1338" s="150" t="str">
        <f>IF($E1338="","",Input!$C$57)</f>
        <v/>
      </c>
      <c r="L1338" s="150" t="str">
        <f t="shared" si="425"/>
        <v/>
      </c>
      <c r="M1338" s="147" t="str">
        <f>IF($E1338="","",VLOOKUP(IF($B1338&lt;=Input!$C$7,$B1338,26),'Mortality Tables'!$A$72:$CA$97,IF($B1338&lt;=Input!$C$7+1,Input!$C$4-16,$D1338-Input!$C$7-16),0)/1000)</f>
        <v/>
      </c>
      <c r="N1338" s="147" t="str">
        <f t="shared" si="416"/>
        <v/>
      </c>
      <c r="O1338" s="157" t="str">
        <f>IF($E1338="","",IF($C1338=12,IF($B1338&lt;Input!$C$9,Input!$C$54,IF($B1338=Input!$C$9,Input!$C$55,Input!$C$56)),0%))</f>
        <v/>
      </c>
      <c r="P1338" s="167" t="str">
        <f>IF($E1338="","",IF($B1338=1,Input!$C$59,IF($B1338&lt;6,Input!$C$60,0%)))</f>
        <v/>
      </c>
      <c r="Q1338" s="162" t="str">
        <f>IF($E1338="","",Input!$C$58)</f>
        <v/>
      </c>
      <c r="R1338" s="156" t="str">
        <f t="shared" si="426"/>
        <v/>
      </c>
      <c r="S1338" s="154" t="str">
        <f t="shared" si="417"/>
        <v/>
      </c>
      <c r="T1338" s="152"/>
      <c r="U1338" s="150" t="str">
        <f t="shared" si="427"/>
        <v/>
      </c>
      <c r="V1338" s="150" t="str">
        <f t="shared" si="428"/>
        <v/>
      </c>
      <c r="W1338" s="168" t="str">
        <f t="shared" si="429"/>
        <v/>
      </c>
      <c r="X1338" s="163" t="str">
        <f t="shared" si="418"/>
        <v/>
      </c>
      <c r="Y1338" s="152"/>
      <c r="Z1338" s="164" t="str">
        <f>IF(AND($C1337=12,$D1337=Input!$C$6),0,IF($E1338="","",V1338+Z1339/(1+L1338)*R1338))</f>
        <v/>
      </c>
      <c r="AA1338" s="164" t="str">
        <f>IF(OR($M1338=1,AND($C1337=12,$D1337=Input!$C$6)),0,IF($E1338="","",W1338+(X1338+AA1339*$R1338)/(1+$L1338)))</f>
        <v/>
      </c>
      <c r="AB1338" s="160" t="str">
        <f t="shared" si="419"/>
        <v/>
      </c>
      <c r="AC1338" s="164" t="str">
        <f t="shared" si="420"/>
        <v/>
      </c>
      <c r="AD1338" s="164" t="str">
        <f>IF(AND($C1337=12,$D1337=Input!$C$6),0,IF($E1338="","",$AC1338+AD1339/(1+$L1338)*$R1338))</f>
        <v/>
      </c>
      <c r="AE1338" s="152"/>
      <c r="AF1338" s="164" t="str">
        <f>IF(AND($C1337=12,$D1337=Input!$C$6),0,IF($E1338="","",IF($B1338&gt;Input!$C$9,$AC1338,0)+AF1339/(1+$L1338)*$R1338))</f>
        <v/>
      </c>
      <c r="AG1338" s="164" t="str">
        <f>IF(AND($C1337=12,$D1337=Input!$C$6),0,IF($E1338="","",(IF($B1338&gt;Input!$C$9,$X1338,0)+AG1339)/(1+$L1338)*$R1338))</f>
        <v/>
      </c>
      <c r="AH1338" s="160" t="str">
        <f t="shared" si="421"/>
        <v/>
      </c>
      <c r="AI1338" s="160" t="str">
        <f>IF($E1338="","",MIN(Input!$C$61/AH1338,1))</f>
        <v/>
      </c>
      <c r="AJ1338" s="152"/>
      <c r="AK1338" s="164" t="str">
        <f>IF(AND($C1337=12,$D1337=Input!$C$6),0,IF($E1338="","",IF($B1338&gt;Input!$C$9,$AC1338*AI1338,0)+AK1339/(1+$L1338)*$R1338))</f>
        <v/>
      </c>
      <c r="AL1338" s="164" t="str">
        <f>IF(AND($C1337=12,$D1337=Input!$C$6),0,IF($E1338="","",IF($B1338&gt;Input!$C$9,0,$AC1338)+AL1339/(1+$L1338)*$R1338))</f>
        <v/>
      </c>
      <c r="AM1338" s="160" t="str">
        <f t="shared" si="422"/>
        <v/>
      </c>
      <c r="AN1338" s="164" t="str">
        <f>IF($E1338="","",IF($B1338&gt;Input!$C$9,$AI1338*$AC1338,$AM1338*$AC1338))</f>
        <v/>
      </c>
      <c r="AO1338" s="164" t="str">
        <f>IF(AND($C1337=12,$D1337=Input!$C$6),0,IF($E1338="","",$AN1338+AO1339/(1+$L1338)*$R1338))</f>
        <v/>
      </c>
      <c r="AP1338" s="152"/>
      <c r="AQ1338" s="150" t="str">
        <f t="shared" si="423"/>
        <v/>
      </c>
      <c r="AR1338" s="150" t="str">
        <f t="shared" si="430"/>
        <v/>
      </c>
      <c r="AS1338" s="150" t="str">
        <f t="shared" si="431"/>
        <v/>
      </c>
      <c r="AT1338" s="150" t="str">
        <f t="shared" si="424"/>
        <v/>
      </c>
      <c r="AU1338" s="152"/>
      <c r="AV1338" s="147" t="str">
        <f>'Deterministic Reserve'!BC1338</f>
        <v/>
      </c>
      <c r="AY1338" s="152"/>
    </row>
    <row r="1339" spans="1:51" s="150" customFormat="1" x14ac:dyDescent="0.25">
      <c r="A1339" s="150" t="str">
        <f t="shared" si="432"/>
        <v/>
      </c>
      <c r="B1339" s="150" t="str">
        <f t="shared" si="433"/>
        <v/>
      </c>
      <c r="C1339" s="150" t="str">
        <f t="shared" si="434"/>
        <v/>
      </c>
      <c r="D1339" s="150" t="str">
        <f>IF(E1339="","",Input!$C$4+B1339-1)</f>
        <v/>
      </c>
      <c r="E1339" s="150" t="str">
        <f>IF(OR(AND(C1338=12,D1338=Input!$C$6),E1338=""),"",1)</f>
        <v/>
      </c>
      <c r="G1339" s="151" t="str">
        <f>IF(E1339="","",MAX(0,Input!$C$9-B1339))</f>
        <v/>
      </c>
      <c r="H1339" s="152" t="str">
        <f>IF(E1339="","",Input!$C$3)</f>
        <v/>
      </c>
      <c r="I1339" s="153" t="str">
        <f>IF(E1339="","",HLOOKUP($B1339,Input!$C$13:$BT$14,2))</f>
        <v/>
      </c>
      <c r="J1339" s="154"/>
      <c r="K1339" s="150" t="str">
        <f>IF($E1339="","",Input!$C$57)</f>
        <v/>
      </c>
      <c r="L1339" s="150" t="str">
        <f t="shared" si="425"/>
        <v/>
      </c>
      <c r="M1339" s="147" t="str">
        <f>IF($E1339="","",VLOOKUP(IF($B1339&lt;=Input!$C$7,$B1339,26),'Mortality Tables'!$A$72:$CA$97,IF($B1339&lt;=Input!$C$7+1,Input!$C$4-16,$D1339-Input!$C$7-16),0)/1000)</f>
        <v/>
      </c>
      <c r="N1339" s="147" t="str">
        <f t="shared" si="416"/>
        <v/>
      </c>
      <c r="O1339" s="157" t="str">
        <f>IF($E1339="","",IF($C1339=12,IF($B1339&lt;Input!$C$9,Input!$C$54,IF($B1339=Input!$C$9,Input!$C$55,Input!$C$56)),0%))</f>
        <v/>
      </c>
      <c r="P1339" s="167" t="str">
        <f>IF($E1339="","",IF($B1339=1,Input!$C$59,IF($B1339&lt;6,Input!$C$60,0%)))</f>
        <v/>
      </c>
      <c r="Q1339" s="162" t="str">
        <f>IF($E1339="","",Input!$C$58)</f>
        <v/>
      </c>
      <c r="R1339" s="156" t="str">
        <f t="shared" si="426"/>
        <v/>
      </c>
      <c r="S1339" s="154" t="str">
        <f t="shared" si="417"/>
        <v/>
      </c>
      <c r="T1339" s="152"/>
      <c r="U1339" s="150" t="str">
        <f t="shared" si="427"/>
        <v/>
      </c>
      <c r="V1339" s="150" t="str">
        <f t="shared" si="428"/>
        <v/>
      </c>
      <c r="W1339" s="168" t="str">
        <f t="shared" si="429"/>
        <v/>
      </c>
      <c r="X1339" s="163" t="str">
        <f t="shared" si="418"/>
        <v/>
      </c>
      <c r="Y1339" s="152"/>
      <c r="Z1339" s="164" t="str">
        <f>IF(AND($C1338=12,$D1338=Input!$C$6),0,IF($E1339="","",V1339+Z1340/(1+L1339)*R1339))</f>
        <v/>
      </c>
      <c r="AA1339" s="164" t="str">
        <f>IF(OR($M1339=1,AND($C1338=12,$D1338=Input!$C$6)),0,IF($E1339="","",W1339+(X1339+AA1340*$R1339)/(1+$L1339)))</f>
        <v/>
      </c>
      <c r="AB1339" s="160" t="str">
        <f t="shared" si="419"/>
        <v/>
      </c>
      <c r="AC1339" s="164" t="str">
        <f t="shared" si="420"/>
        <v/>
      </c>
      <c r="AD1339" s="164" t="str">
        <f>IF(AND($C1338=12,$D1338=Input!$C$6),0,IF($E1339="","",$AC1339+AD1340/(1+$L1339)*$R1339))</f>
        <v/>
      </c>
      <c r="AE1339" s="152"/>
      <c r="AF1339" s="164" t="str">
        <f>IF(AND($C1338=12,$D1338=Input!$C$6),0,IF($E1339="","",IF($B1339&gt;Input!$C$9,$AC1339,0)+AF1340/(1+$L1339)*$R1339))</f>
        <v/>
      </c>
      <c r="AG1339" s="164" t="str">
        <f>IF(AND($C1338=12,$D1338=Input!$C$6),0,IF($E1339="","",(IF($B1339&gt;Input!$C$9,$X1339,0)+AG1340)/(1+$L1339)*$R1339))</f>
        <v/>
      </c>
      <c r="AH1339" s="160" t="str">
        <f t="shared" si="421"/>
        <v/>
      </c>
      <c r="AI1339" s="160" t="str">
        <f>IF($E1339="","",MIN(Input!$C$61/AH1339,1))</f>
        <v/>
      </c>
      <c r="AJ1339" s="152"/>
      <c r="AK1339" s="164" t="str">
        <f>IF(AND($C1338=12,$D1338=Input!$C$6),0,IF($E1339="","",IF($B1339&gt;Input!$C$9,$AC1339*AI1339,0)+AK1340/(1+$L1339)*$R1339))</f>
        <v/>
      </c>
      <c r="AL1339" s="164" t="str">
        <f>IF(AND($C1338=12,$D1338=Input!$C$6),0,IF($E1339="","",IF($B1339&gt;Input!$C$9,0,$AC1339)+AL1340/(1+$L1339)*$R1339))</f>
        <v/>
      </c>
      <c r="AM1339" s="160" t="str">
        <f t="shared" si="422"/>
        <v/>
      </c>
      <c r="AN1339" s="164" t="str">
        <f>IF($E1339="","",IF($B1339&gt;Input!$C$9,$AI1339*$AC1339,$AM1339*$AC1339))</f>
        <v/>
      </c>
      <c r="AO1339" s="164" t="str">
        <f>IF(AND($C1338=12,$D1338=Input!$C$6),0,IF($E1339="","",$AN1339+AO1340/(1+$L1339)*$R1339))</f>
        <v/>
      </c>
      <c r="AP1339" s="152"/>
      <c r="AQ1339" s="150" t="str">
        <f t="shared" si="423"/>
        <v/>
      </c>
      <c r="AR1339" s="150" t="str">
        <f t="shared" si="430"/>
        <v/>
      </c>
      <c r="AS1339" s="150" t="str">
        <f t="shared" si="431"/>
        <v/>
      </c>
      <c r="AT1339" s="150" t="str">
        <f t="shared" si="424"/>
        <v/>
      </c>
      <c r="AU1339" s="152"/>
      <c r="AV1339" s="147" t="str">
        <f>'Deterministic Reserve'!BC1339</f>
        <v/>
      </c>
      <c r="AY1339" s="152"/>
    </row>
    <row r="1340" spans="1:51" s="150" customFormat="1" x14ac:dyDescent="0.25">
      <c r="A1340" s="150" t="str">
        <f t="shared" si="432"/>
        <v/>
      </c>
      <c r="B1340" s="150" t="str">
        <f t="shared" si="433"/>
        <v/>
      </c>
      <c r="C1340" s="150" t="str">
        <f t="shared" si="434"/>
        <v/>
      </c>
      <c r="D1340" s="150" t="str">
        <f>IF(E1340="","",Input!$C$4+B1340-1)</f>
        <v/>
      </c>
      <c r="E1340" s="150" t="str">
        <f>IF(OR(AND(C1339=12,D1339=Input!$C$6),E1339=""),"",1)</f>
        <v/>
      </c>
      <c r="G1340" s="151" t="str">
        <f>IF(E1340="","",MAX(0,Input!$C$9-B1340))</f>
        <v/>
      </c>
      <c r="H1340" s="152" t="str">
        <f>IF(E1340="","",Input!$C$3)</f>
        <v/>
      </c>
      <c r="I1340" s="153" t="str">
        <f>IF(E1340="","",HLOOKUP($B1340,Input!$C$13:$BT$14,2))</f>
        <v/>
      </c>
      <c r="J1340" s="154"/>
      <c r="K1340" s="150" t="str">
        <f>IF($E1340="","",Input!$C$57)</f>
        <v/>
      </c>
      <c r="L1340" s="150" t="str">
        <f t="shared" si="425"/>
        <v/>
      </c>
      <c r="M1340" s="147" t="str">
        <f>IF($E1340="","",VLOOKUP(IF($B1340&lt;=Input!$C$7,$B1340,26),'Mortality Tables'!$A$72:$CA$97,IF($B1340&lt;=Input!$C$7+1,Input!$C$4-16,$D1340-Input!$C$7-16),0)/1000)</f>
        <v/>
      </c>
      <c r="N1340" s="147" t="str">
        <f t="shared" si="416"/>
        <v/>
      </c>
      <c r="O1340" s="157" t="str">
        <f>IF($E1340="","",IF($C1340=12,IF($B1340&lt;Input!$C$9,Input!$C$54,IF($B1340=Input!$C$9,Input!$C$55,Input!$C$56)),0%))</f>
        <v/>
      </c>
      <c r="P1340" s="167" t="str">
        <f>IF($E1340="","",IF($B1340=1,Input!$C$59,IF($B1340&lt;6,Input!$C$60,0%)))</f>
        <v/>
      </c>
      <c r="Q1340" s="162" t="str">
        <f>IF($E1340="","",Input!$C$58)</f>
        <v/>
      </c>
      <c r="R1340" s="156" t="str">
        <f t="shared" si="426"/>
        <v/>
      </c>
      <c r="S1340" s="154" t="str">
        <f t="shared" si="417"/>
        <v/>
      </c>
      <c r="T1340" s="152"/>
      <c r="U1340" s="150" t="str">
        <f t="shared" si="427"/>
        <v/>
      </c>
      <c r="V1340" s="150" t="str">
        <f t="shared" si="428"/>
        <v/>
      </c>
      <c r="W1340" s="168" t="str">
        <f t="shared" si="429"/>
        <v/>
      </c>
      <c r="X1340" s="163" t="str">
        <f t="shared" si="418"/>
        <v/>
      </c>
      <c r="Y1340" s="152"/>
      <c r="Z1340" s="164" t="str">
        <f>IF(AND($C1339=12,$D1339=Input!$C$6),0,IF($E1340="","",V1340+Z1341/(1+L1340)*R1340))</f>
        <v/>
      </c>
      <c r="AA1340" s="164" t="str">
        <f>IF(OR($M1340=1,AND($C1339=12,$D1339=Input!$C$6)),0,IF($E1340="","",W1340+(X1340+AA1341*$R1340)/(1+$L1340)))</f>
        <v/>
      </c>
      <c r="AB1340" s="160" t="str">
        <f t="shared" si="419"/>
        <v/>
      </c>
      <c r="AC1340" s="164" t="str">
        <f t="shared" si="420"/>
        <v/>
      </c>
      <c r="AD1340" s="164" t="str">
        <f>IF(AND($C1339=12,$D1339=Input!$C$6),0,IF($E1340="","",$AC1340+AD1341/(1+$L1340)*$R1340))</f>
        <v/>
      </c>
      <c r="AE1340" s="152"/>
      <c r="AF1340" s="164" t="str">
        <f>IF(AND($C1339=12,$D1339=Input!$C$6),0,IF($E1340="","",IF($B1340&gt;Input!$C$9,$AC1340,0)+AF1341/(1+$L1340)*$R1340))</f>
        <v/>
      </c>
      <c r="AG1340" s="164" t="str">
        <f>IF(AND($C1339=12,$D1339=Input!$C$6),0,IF($E1340="","",(IF($B1340&gt;Input!$C$9,$X1340,0)+AG1341)/(1+$L1340)*$R1340))</f>
        <v/>
      </c>
      <c r="AH1340" s="160" t="str">
        <f t="shared" si="421"/>
        <v/>
      </c>
      <c r="AI1340" s="160" t="str">
        <f>IF($E1340="","",MIN(Input!$C$61/AH1340,1))</f>
        <v/>
      </c>
      <c r="AJ1340" s="152"/>
      <c r="AK1340" s="164" t="str">
        <f>IF(AND($C1339=12,$D1339=Input!$C$6),0,IF($E1340="","",IF($B1340&gt;Input!$C$9,$AC1340*AI1340,0)+AK1341/(1+$L1340)*$R1340))</f>
        <v/>
      </c>
      <c r="AL1340" s="164" t="str">
        <f>IF(AND($C1339=12,$D1339=Input!$C$6),0,IF($E1340="","",IF($B1340&gt;Input!$C$9,0,$AC1340)+AL1341/(1+$L1340)*$R1340))</f>
        <v/>
      </c>
      <c r="AM1340" s="160" t="str">
        <f t="shared" si="422"/>
        <v/>
      </c>
      <c r="AN1340" s="164" t="str">
        <f>IF($E1340="","",IF($B1340&gt;Input!$C$9,$AI1340*$AC1340,$AM1340*$AC1340))</f>
        <v/>
      </c>
      <c r="AO1340" s="164" t="str">
        <f>IF(AND($C1339=12,$D1339=Input!$C$6),0,IF($E1340="","",$AN1340+AO1341/(1+$L1340)*$R1340))</f>
        <v/>
      </c>
      <c r="AP1340" s="152"/>
      <c r="AQ1340" s="150" t="str">
        <f t="shared" si="423"/>
        <v/>
      </c>
      <c r="AR1340" s="150" t="str">
        <f t="shared" si="430"/>
        <v/>
      </c>
      <c r="AS1340" s="150" t="str">
        <f t="shared" si="431"/>
        <v/>
      </c>
      <c r="AT1340" s="150" t="str">
        <f t="shared" si="424"/>
        <v/>
      </c>
      <c r="AU1340" s="152"/>
      <c r="AV1340" s="147" t="str">
        <f>'Deterministic Reserve'!BC1340</f>
        <v/>
      </c>
      <c r="AY1340" s="152"/>
    </row>
    <row r="1341" spans="1:51" s="150" customFormat="1" x14ac:dyDescent="0.25">
      <c r="A1341" s="150" t="str">
        <f t="shared" si="432"/>
        <v/>
      </c>
      <c r="B1341" s="150" t="str">
        <f t="shared" si="433"/>
        <v/>
      </c>
      <c r="C1341" s="150" t="str">
        <f t="shared" si="434"/>
        <v/>
      </c>
      <c r="D1341" s="150" t="str">
        <f>IF(E1341="","",Input!$C$4+B1341-1)</f>
        <v/>
      </c>
      <c r="E1341" s="150" t="str">
        <f>IF(OR(AND(C1340=12,D1340=Input!$C$6),E1340=""),"",1)</f>
        <v/>
      </c>
      <c r="G1341" s="151" t="str">
        <f>IF(E1341="","",MAX(0,Input!$C$9-B1341))</f>
        <v/>
      </c>
      <c r="H1341" s="152" t="str">
        <f>IF(E1341="","",Input!$C$3)</f>
        <v/>
      </c>
      <c r="I1341" s="153" t="str">
        <f>IF(E1341="","",HLOOKUP($B1341,Input!$C$13:$BT$14,2))</f>
        <v/>
      </c>
      <c r="J1341" s="154"/>
      <c r="K1341" s="150" t="str">
        <f>IF($E1341="","",Input!$C$57)</f>
        <v/>
      </c>
      <c r="L1341" s="150" t="str">
        <f t="shared" si="425"/>
        <v/>
      </c>
      <c r="M1341" s="147" t="str">
        <f>IF($E1341="","",VLOOKUP(IF($B1341&lt;=Input!$C$7,$B1341,26),'Mortality Tables'!$A$72:$CA$97,IF($B1341&lt;=Input!$C$7+1,Input!$C$4-16,$D1341-Input!$C$7-16),0)/1000)</f>
        <v/>
      </c>
      <c r="N1341" s="147" t="str">
        <f t="shared" si="416"/>
        <v/>
      </c>
      <c r="O1341" s="157" t="str">
        <f>IF($E1341="","",IF($C1341=12,IF($B1341&lt;Input!$C$9,Input!$C$54,IF($B1341=Input!$C$9,Input!$C$55,Input!$C$56)),0%))</f>
        <v/>
      </c>
      <c r="P1341" s="167" t="str">
        <f>IF($E1341="","",IF($B1341=1,Input!$C$59,IF($B1341&lt;6,Input!$C$60,0%)))</f>
        <v/>
      </c>
      <c r="Q1341" s="162" t="str">
        <f>IF($E1341="","",Input!$C$58)</f>
        <v/>
      </c>
      <c r="R1341" s="156" t="str">
        <f t="shared" si="426"/>
        <v/>
      </c>
      <c r="S1341" s="154" t="str">
        <f t="shared" si="417"/>
        <v/>
      </c>
      <c r="T1341" s="152"/>
      <c r="U1341" s="150" t="str">
        <f t="shared" si="427"/>
        <v/>
      </c>
      <c r="V1341" s="150" t="str">
        <f t="shared" si="428"/>
        <v/>
      </c>
      <c r="W1341" s="168" t="str">
        <f t="shared" si="429"/>
        <v/>
      </c>
      <c r="X1341" s="163" t="str">
        <f t="shared" si="418"/>
        <v/>
      </c>
      <c r="Y1341" s="152"/>
      <c r="Z1341" s="164" t="str">
        <f>IF(AND($C1340=12,$D1340=Input!$C$6),0,IF($E1341="","",V1341+Z1342/(1+L1341)*R1341))</f>
        <v/>
      </c>
      <c r="AA1341" s="164" t="str">
        <f>IF(OR($M1341=1,AND($C1340=12,$D1340=Input!$C$6)),0,IF($E1341="","",W1341+(X1341+AA1342*$R1341)/(1+$L1341)))</f>
        <v/>
      </c>
      <c r="AB1341" s="160" t="str">
        <f t="shared" si="419"/>
        <v/>
      </c>
      <c r="AC1341" s="164" t="str">
        <f t="shared" si="420"/>
        <v/>
      </c>
      <c r="AD1341" s="164" t="str">
        <f>IF(AND($C1340=12,$D1340=Input!$C$6),0,IF($E1341="","",$AC1341+AD1342/(1+$L1341)*$R1341))</f>
        <v/>
      </c>
      <c r="AE1341" s="152"/>
      <c r="AF1341" s="164" t="str">
        <f>IF(AND($C1340=12,$D1340=Input!$C$6),0,IF($E1341="","",IF($B1341&gt;Input!$C$9,$AC1341,0)+AF1342/(1+$L1341)*$R1341))</f>
        <v/>
      </c>
      <c r="AG1341" s="164" t="str">
        <f>IF(AND($C1340=12,$D1340=Input!$C$6),0,IF($E1341="","",(IF($B1341&gt;Input!$C$9,$X1341,0)+AG1342)/(1+$L1341)*$R1341))</f>
        <v/>
      </c>
      <c r="AH1341" s="160" t="str">
        <f t="shared" si="421"/>
        <v/>
      </c>
      <c r="AI1341" s="160" t="str">
        <f>IF($E1341="","",MIN(Input!$C$61/AH1341,1))</f>
        <v/>
      </c>
      <c r="AJ1341" s="152"/>
      <c r="AK1341" s="164" t="str">
        <f>IF(AND($C1340=12,$D1340=Input!$C$6),0,IF($E1341="","",IF($B1341&gt;Input!$C$9,$AC1341*AI1341,0)+AK1342/(1+$L1341)*$R1341))</f>
        <v/>
      </c>
      <c r="AL1341" s="164" t="str">
        <f>IF(AND($C1340=12,$D1340=Input!$C$6),0,IF($E1341="","",IF($B1341&gt;Input!$C$9,0,$AC1341)+AL1342/(1+$L1341)*$R1341))</f>
        <v/>
      </c>
      <c r="AM1341" s="160" t="str">
        <f t="shared" si="422"/>
        <v/>
      </c>
      <c r="AN1341" s="164" t="str">
        <f>IF($E1341="","",IF($B1341&gt;Input!$C$9,$AI1341*$AC1341,$AM1341*$AC1341))</f>
        <v/>
      </c>
      <c r="AO1341" s="164" t="str">
        <f>IF(AND($C1340=12,$D1340=Input!$C$6),0,IF($E1341="","",$AN1341+AO1342/(1+$L1341)*$R1341))</f>
        <v/>
      </c>
      <c r="AP1341" s="152"/>
      <c r="AQ1341" s="150" t="str">
        <f t="shared" si="423"/>
        <v/>
      </c>
      <c r="AR1341" s="150" t="str">
        <f t="shared" si="430"/>
        <v/>
      </c>
      <c r="AS1341" s="150" t="str">
        <f t="shared" si="431"/>
        <v/>
      </c>
      <c r="AT1341" s="150" t="str">
        <f t="shared" si="424"/>
        <v/>
      </c>
      <c r="AU1341" s="152"/>
      <c r="AV1341" s="147" t="str">
        <f>'Deterministic Reserve'!BC1341</f>
        <v/>
      </c>
      <c r="AY1341" s="152"/>
    </row>
    <row r="1342" spans="1:51" s="150" customFormat="1" x14ac:dyDescent="0.25">
      <c r="A1342" s="150" t="str">
        <f t="shared" si="432"/>
        <v/>
      </c>
      <c r="B1342" s="150" t="str">
        <f t="shared" si="433"/>
        <v/>
      </c>
      <c r="C1342" s="150" t="str">
        <f t="shared" si="434"/>
        <v/>
      </c>
      <c r="D1342" s="150" t="str">
        <f>IF(E1342="","",Input!$C$4+B1342-1)</f>
        <v/>
      </c>
      <c r="E1342" s="150" t="str">
        <f>IF(OR(AND(C1341=12,D1341=Input!$C$6),E1341=""),"",1)</f>
        <v/>
      </c>
      <c r="G1342" s="151" t="str">
        <f>IF(E1342="","",MAX(0,Input!$C$9-B1342))</f>
        <v/>
      </c>
      <c r="H1342" s="152" t="str">
        <f>IF(E1342="","",Input!$C$3)</f>
        <v/>
      </c>
      <c r="I1342" s="153" t="str">
        <f>IF(E1342="","",HLOOKUP($B1342,Input!$C$13:$BT$14,2))</f>
        <v/>
      </c>
      <c r="J1342" s="154"/>
      <c r="K1342" s="150" t="str">
        <f>IF($E1342="","",Input!$C$57)</f>
        <v/>
      </c>
      <c r="L1342" s="150" t="str">
        <f t="shared" si="425"/>
        <v/>
      </c>
      <c r="M1342" s="147" t="str">
        <f>IF($E1342="","",VLOOKUP(IF($B1342&lt;=Input!$C$7,$B1342,26),'Mortality Tables'!$A$72:$CA$97,IF($B1342&lt;=Input!$C$7+1,Input!$C$4-16,$D1342-Input!$C$7-16),0)/1000)</f>
        <v/>
      </c>
      <c r="N1342" s="147" t="str">
        <f t="shared" si="416"/>
        <v/>
      </c>
      <c r="O1342" s="157" t="str">
        <f>IF($E1342="","",IF($C1342=12,IF($B1342&lt;Input!$C$9,Input!$C$54,IF($B1342=Input!$C$9,Input!$C$55,Input!$C$56)),0%))</f>
        <v/>
      </c>
      <c r="P1342" s="167" t="str">
        <f>IF($E1342="","",IF($B1342=1,Input!$C$59,IF($B1342&lt;6,Input!$C$60,0%)))</f>
        <v/>
      </c>
      <c r="Q1342" s="162" t="str">
        <f>IF($E1342="","",Input!$C$58)</f>
        <v/>
      </c>
      <c r="R1342" s="156" t="str">
        <f t="shared" si="426"/>
        <v/>
      </c>
      <c r="S1342" s="154" t="str">
        <f t="shared" si="417"/>
        <v/>
      </c>
      <c r="T1342" s="152"/>
      <c r="U1342" s="150" t="str">
        <f t="shared" si="427"/>
        <v/>
      </c>
      <c r="V1342" s="150" t="str">
        <f t="shared" si="428"/>
        <v/>
      </c>
      <c r="W1342" s="168" t="str">
        <f t="shared" si="429"/>
        <v/>
      </c>
      <c r="X1342" s="163" t="str">
        <f t="shared" si="418"/>
        <v/>
      </c>
      <c r="Y1342" s="152"/>
      <c r="Z1342" s="164" t="str">
        <f>IF(AND($C1341=12,$D1341=Input!$C$6),0,IF($E1342="","",V1342+Z1343/(1+L1342)*R1342))</f>
        <v/>
      </c>
      <c r="AA1342" s="164" t="str">
        <f>IF(OR($M1342=1,AND($C1341=12,$D1341=Input!$C$6)),0,IF($E1342="","",W1342+(X1342+AA1343*$R1342)/(1+$L1342)))</f>
        <v/>
      </c>
      <c r="AB1342" s="160" t="str">
        <f t="shared" si="419"/>
        <v/>
      </c>
      <c r="AC1342" s="164" t="str">
        <f t="shared" si="420"/>
        <v/>
      </c>
      <c r="AD1342" s="164" t="str">
        <f>IF(AND($C1341=12,$D1341=Input!$C$6),0,IF($E1342="","",$AC1342+AD1343/(1+$L1342)*$R1342))</f>
        <v/>
      </c>
      <c r="AE1342" s="152"/>
      <c r="AF1342" s="164" t="str">
        <f>IF(AND($C1341=12,$D1341=Input!$C$6),0,IF($E1342="","",IF($B1342&gt;Input!$C$9,$AC1342,0)+AF1343/(1+$L1342)*$R1342))</f>
        <v/>
      </c>
      <c r="AG1342" s="164" t="str">
        <f>IF(AND($C1341=12,$D1341=Input!$C$6),0,IF($E1342="","",(IF($B1342&gt;Input!$C$9,$X1342,0)+AG1343)/(1+$L1342)*$R1342))</f>
        <v/>
      </c>
      <c r="AH1342" s="160" t="str">
        <f t="shared" si="421"/>
        <v/>
      </c>
      <c r="AI1342" s="160" t="str">
        <f>IF($E1342="","",MIN(Input!$C$61/AH1342,1))</f>
        <v/>
      </c>
      <c r="AJ1342" s="152"/>
      <c r="AK1342" s="164" t="str">
        <f>IF(AND($C1341=12,$D1341=Input!$C$6),0,IF($E1342="","",IF($B1342&gt;Input!$C$9,$AC1342*AI1342,0)+AK1343/(1+$L1342)*$R1342))</f>
        <v/>
      </c>
      <c r="AL1342" s="164" t="str">
        <f>IF(AND($C1341=12,$D1341=Input!$C$6),0,IF($E1342="","",IF($B1342&gt;Input!$C$9,0,$AC1342)+AL1343/(1+$L1342)*$R1342))</f>
        <v/>
      </c>
      <c r="AM1342" s="160" t="str">
        <f t="shared" si="422"/>
        <v/>
      </c>
      <c r="AN1342" s="164" t="str">
        <f>IF($E1342="","",IF($B1342&gt;Input!$C$9,$AI1342*$AC1342,$AM1342*$AC1342))</f>
        <v/>
      </c>
      <c r="AO1342" s="164" t="str">
        <f>IF(AND($C1341=12,$D1341=Input!$C$6),0,IF($E1342="","",$AN1342+AO1343/(1+$L1342)*$R1342))</f>
        <v/>
      </c>
      <c r="AP1342" s="152"/>
      <c r="AQ1342" s="150" t="str">
        <f t="shared" si="423"/>
        <v/>
      </c>
      <c r="AR1342" s="150" t="str">
        <f t="shared" si="430"/>
        <v/>
      </c>
      <c r="AS1342" s="150" t="str">
        <f t="shared" si="431"/>
        <v/>
      </c>
      <c r="AT1342" s="150" t="str">
        <f t="shared" si="424"/>
        <v/>
      </c>
      <c r="AU1342" s="152"/>
      <c r="AV1342" s="147" t="str">
        <f>'Deterministic Reserve'!BC1342</f>
        <v/>
      </c>
      <c r="AY1342" s="152"/>
    </row>
    <row r="1343" spans="1:51" s="150" customFormat="1" x14ac:dyDescent="0.25">
      <c r="A1343" s="150" t="str">
        <f t="shared" si="432"/>
        <v/>
      </c>
      <c r="B1343" s="150" t="str">
        <f t="shared" si="433"/>
        <v/>
      </c>
      <c r="C1343" s="150" t="str">
        <f t="shared" si="434"/>
        <v/>
      </c>
      <c r="D1343" s="150" t="str">
        <f>IF(E1343="","",Input!$C$4+B1343-1)</f>
        <v/>
      </c>
      <c r="E1343" s="150" t="str">
        <f>IF(OR(AND(C1342=12,D1342=Input!$C$6),E1342=""),"",1)</f>
        <v/>
      </c>
      <c r="G1343" s="151" t="str">
        <f>IF(E1343="","",MAX(0,Input!$C$9-B1343))</f>
        <v/>
      </c>
      <c r="H1343" s="152" t="str">
        <f>IF(E1343="","",Input!$C$3)</f>
        <v/>
      </c>
      <c r="I1343" s="153" t="str">
        <f>IF(E1343="","",HLOOKUP($B1343,Input!$C$13:$BT$14,2))</f>
        <v/>
      </c>
      <c r="J1343" s="154"/>
      <c r="K1343" s="150" t="str">
        <f>IF($E1343="","",Input!$C$57)</f>
        <v/>
      </c>
      <c r="L1343" s="150" t="str">
        <f t="shared" si="425"/>
        <v/>
      </c>
      <c r="M1343" s="147" t="str">
        <f>IF($E1343="","",VLOOKUP(IF($B1343&lt;=Input!$C$7,$B1343,26),'Mortality Tables'!$A$72:$CA$97,IF($B1343&lt;=Input!$C$7+1,Input!$C$4-16,$D1343-Input!$C$7-16),0)/1000)</f>
        <v/>
      </c>
      <c r="N1343" s="147" t="str">
        <f t="shared" si="416"/>
        <v/>
      </c>
      <c r="O1343" s="157" t="str">
        <f>IF($E1343="","",IF($C1343=12,IF($B1343&lt;Input!$C$9,Input!$C$54,IF($B1343=Input!$C$9,Input!$C$55,Input!$C$56)),0%))</f>
        <v/>
      </c>
      <c r="P1343" s="167" t="str">
        <f>IF($E1343="","",IF($B1343=1,Input!$C$59,IF($B1343&lt;6,Input!$C$60,0%)))</f>
        <v/>
      </c>
      <c r="Q1343" s="162" t="str">
        <f>IF($E1343="","",Input!$C$58)</f>
        <v/>
      </c>
      <c r="R1343" s="156" t="str">
        <f t="shared" si="426"/>
        <v/>
      </c>
      <c r="S1343" s="154" t="str">
        <f t="shared" si="417"/>
        <v/>
      </c>
      <c r="T1343" s="152"/>
      <c r="U1343" s="150" t="str">
        <f t="shared" si="427"/>
        <v/>
      </c>
      <c r="V1343" s="150" t="str">
        <f t="shared" si="428"/>
        <v/>
      </c>
      <c r="W1343" s="168" t="str">
        <f t="shared" si="429"/>
        <v/>
      </c>
      <c r="X1343" s="163" t="str">
        <f t="shared" si="418"/>
        <v/>
      </c>
      <c r="Y1343" s="152"/>
      <c r="Z1343" s="164" t="str">
        <f>IF(AND($C1342=12,$D1342=Input!$C$6),0,IF($E1343="","",V1343+Z1344/(1+L1343)*R1343))</f>
        <v/>
      </c>
      <c r="AA1343" s="164" t="str">
        <f>IF(OR($M1343=1,AND($C1342=12,$D1342=Input!$C$6)),0,IF($E1343="","",W1343+(X1343+AA1344*$R1343)/(1+$L1343)))</f>
        <v/>
      </c>
      <c r="AB1343" s="160" t="str">
        <f t="shared" si="419"/>
        <v/>
      </c>
      <c r="AC1343" s="164" t="str">
        <f t="shared" si="420"/>
        <v/>
      </c>
      <c r="AD1343" s="164" t="str">
        <f>IF(AND($C1342=12,$D1342=Input!$C$6),0,IF($E1343="","",$AC1343+AD1344/(1+$L1343)*$R1343))</f>
        <v/>
      </c>
      <c r="AE1343" s="152"/>
      <c r="AF1343" s="164" t="str">
        <f>IF(AND($C1342=12,$D1342=Input!$C$6),0,IF($E1343="","",IF($B1343&gt;Input!$C$9,$AC1343,0)+AF1344/(1+$L1343)*$R1343))</f>
        <v/>
      </c>
      <c r="AG1343" s="164" t="str">
        <f>IF(AND($C1342=12,$D1342=Input!$C$6),0,IF($E1343="","",(IF($B1343&gt;Input!$C$9,$X1343,0)+AG1344)/(1+$L1343)*$R1343))</f>
        <v/>
      </c>
      <c r="AH1343" s="160" t="str">
        <f t="shared" si="421"/>
        <v/>
      </c>
      <c r="AI1343" s="160" t="str">
        <f>IF($E1343="","",MIN(Input!$C$61/AH1343,1))</f>
        <v/>
      </c>
      <c r="AJ1343" s="152"/>
      <c r="AK1343" s="164" t="str">
        <f>IF(AND($C1342=12,$D1342=Input!$C$6),0,IF($E1343="","",IF($B1343&gt;Input!$C$9,$AC1343*AI1343,0)+AK1344/(1+$L1343)*$R1343))</f>
        <v/>
      </c>
      <c r="AL1343" s="164" t="str">
        <f>IF(AND($C1342=12,$D1342=Input!$C$6),0,IF($E1343="","",IF($B1343&gt;Input!$C$9,0,$AC1343)+AL1344/(1+$L1343)*$R1343))</f>
        <v/>
      </c>
      <c r="AM1343" s="160" t="str">
        <f t="shared" si="422"/>
        <v/>
      </c>
      <c r="AN1343" s="164" t="str">
        <f>IF($E1343="","",IF($B1343&gt;Input!$C$9,$AI1343*$AC1343,$AM1343*$AC1343))</f>
        <v/>
      </c>
      <c r="AO1343" s="164" t="str">
        <f>IF(AND($C1342=12,$D1342=Input!$C$6),0,IF($E1343="","",$AN1343+AO1344/(1+$L1343)*$R1343))</f>
        <v/>
      </c>
      <c r="AP1343" s="152"/>
      <c r="AQ1343" s="150" t="str">
        <f t="shared" si="423"/>
        <v/>
      </c>
      <c r="AR1343" s="150" t="str">
        <f t="shared" si="430"/>
        <v/>
      </c>
      <c r="AS1343" s="150" t="str">
        <f t="shared" si="431"/>
        <v/>
      </c>
      <c r="AT1343" s="150" t="str">
        <f t="shared" si="424"/>
        <v/>
      </c>
      <c r="AU1343" s="152"/>
      <c r="AV1343" s="147" t="str">
        <f>'Deterministic Reserve'!BC1343</f>
        <v/>
      </c>
      <c r="AY1343" s="152"/>
    </row>
    <row r="1344" spans="1:51" s="150" customFormat="1" x14ac:dyDescent="0.25">
      <c r="A1344" s="150" t="str">
        <f t="shared" si="432"/>
        <v/>
      </c>
      <c r="B1344" s="150" t="str">
        <f t="shared" si="433"/>
        <v/>
      </c>
      <c r="C1344" s="150" t="str">
        <f t="shared" si="434"/>
        <v/>
      </c>
      <c r="D1344" s="150" t="str">
        <f>IF(E1344="","",Input!$C$4+B1344-1)</f>
        <v/>
      </c>
      <c r="E1344" s="150" t="str">
        <f>IF(OR(AND(C1343=12,D1343=Input!$C$6),E1343=""),"",1)</f>
        <v/>
      </c>
      <c r="G1344" s="151" t="str">
        <f>IF(E1344="","",MAX(0,Input!$C$9-B1344))</f>
        <v/>
      </c>
      <c r="H1344" s="152" t="str">
        <f>IF(E1344="","",Input!$C$3)</f>
        <v/>
      </c>
      <c r="I1344" s="153" t="str">
        <f>IF(E1344="","",HLOOKUP($B1344,Input!$C$13:$BT$14,2))</f>
        <v/>
      </c>
      <c r="J1344" s="154"/>
      <c r="K1344" s="150" t="str">
        <f>IF($E1344="","",Input!$C$57)</f>
        <v/>
      </c>
      <c r="L1344" s="150" t="str">
        <f t="shared" si="425"/>
        <v/>
      </c>
      <c r="M1344" s="147" t="str">
        <f>IF($E1344="","",VLOOKUP(IF($B1344&lt;=Input!$C$7,$B1344,26),'Mortality Tables'!$A$72:$CA$97,IF($B1344&lt;=Input!$C$7+1,Input!$C$4-16,$D1344-Input!$C$7-16),0)/1000)</f>
        <v/>
      </c>
      <c r="N1344" s="147" t="str">
        <f t="shared" si="416"/>
        <v/>
      </c>
      <c r="O1344" s="157" t="str">
        <f>IF($E1344="","",IF($C1344=12,IF($B1344&lt;Input!$C$9,Input!$C$54,IF($B1344=Input!$C$9,Input!$C$55,Input!$C$56)),0%))</f>
        <v/>
      </c>
      <c r="P1344" s="167" t="str">
        <f>IF($E1344="","",IF($B1344=1,Input!$C$59,IF($B1344&lt;6,Input!$C$60,0%)))</f>
        <v/>
      </c>
      <c r="Q1344" s="162" t="str">
        <f>IF($E1344="","",Input!$C$58)</f>
        <v/>
      </c>
      <c r="R1344" s="156" t="str">
        <f t="shared" si="426"/>
        <v/>
      </c>
      <c r="S1344" s="154" t="str">
        <f t="shared" si="417"/>
        <v/>
      </c>
      <c r="T1344" s="152"/>
      <c r="U1344" s="150" t="str">
        <f t="shared" si="427"/>
        <v/>
      </c>
      <c r="V1344" s="150" t="str">
        <f t="shared" si="428"/>
        <v/>
      </c>
      <c r="W1344" s="168" t="str">
        <f t="shared" si="429"/>
        <v/>
      </c>
      <c r="X1344" s="163" t="str">
        <f t="shared" si="418"/>
        <v/>
      </c>
      <c r="Y1344" s="152"/>
      <c r="Z1344" s="164" t="str">
        <f>IF(AND($C1343=12,$D1343=Input!$C$6),0,IF($E1344="","",V1344+Z1345/(1+L1344)*R1344))</f>
        <v/>
      </c>
      <c r="AA1344" s="164" t="str">
        <f>IF(OR($M1344=1,AND($C1343=12,$D1343=Input!$C$6)),0,IF($E1344="","",W1344+(X1344+AA1345*$R1344)/(1+$L1344)))</f>
        <v/>
      </c>
      <c r="AB1344" s="160" t="str">
        <f t="shared" si="419"/>
        <v/>
      </c>
      <c r="AC1344" s="164" t="str">
        <f t="shared" si="420"/>
        <v/>
      </c>
      <c r="AD1344" s="164" t="str">
        <f>IF(AND($C1343=12,$D1343=Input!$C$6),0,IF($E1344="","",$AC1344+AD1345/(1+$L1344)*$R1344))</f>
        <v/>
      </c>
      <c r="AE1344" s="152"/>
      <c r="AF1344" s="164" t="str">
        <f>IF(AND($C1343=12,$D1343=Input!$C$6),0,IF($E1344="","",IF($B1344&gt;Input!$C$9,$AC1344,0)+AF1345/(1+$L1344)*$R1344))</f>
        <v/>
      </c>
      <c r="AG1344" s="164" t="str">
        <f>IF(AND($C1343=12,$D1343=Input!$C$6),0,IF($E1344="","",(IF($B1344&gt;Input!$C$9,$X1344,0)+AG1345)/(1+$L1344)*$R1344))</f>
        <v/>
      </c>
      <c r="AH1344" s="160" t="str">
        <f t="shared" si="421"/>
        <v/>
      </c>
      <c r="AI1344" s="160" t="str">
        <f>IF($E1344="","",MIN(Input!$C$61/AH1344,1))</f>
        <v/>
      </c>
      <c r="AJ1344" s="152"/>
      <c r="AK1344" s="164" t="str">
        <f>IF(AND($C1343=12,$D1343=Input!$C$6),0,IF($E1344="","",IF($B1344&gt;Input!$C$9,$AC1344*AI1344,0)+AK1345/(1+$L1344)*$R1344))</f>
        <v/>
      </c>
      <c r="AL1344" s="164" t="str">
        <f>IF(AND($C1343=12,$D1343=Input!$C$6),0,IF($E1344="","",IF($B1344&gt;Input!$C$9,0,$AC1344)+AL1345/(1+$L1344)*$R1344))</f>
        <v/>
      </c>
      <c r="AM1344" s="160" t="str">
        <f t="shared" si="422"/>
        <v/>
      </c>
      <c r="AN1344" s="164" t="str">
        <f>IF($E1344="","",IF($B1344&gt;Input!$C$9,$AI1344*$AC1344,$AM1344*$AC1344))</f>
        <v/>
      </c>
      <c r="AO1344" s="164" t="str">
        <f>IF(AND($C1343=12,$D1343=Input!$C$6),0,IF($E1344="","",$AN1344+AO1345/(1+$L1344)*$R1344))</f>
        <v/>
      </c>
      <c r="AP1344" s="152"/>
      <c r="AQ1344" s="150" t="str">
        <f t="shared" si="423"/>
        <v/>
      </c>
      <c r="AR1344" s="150" t="str">
        <f t="shared" si="430"/>
        <v/>
      </c>
      <c r="AS1344" s="150" t="str">
        <f t="shared" si="431"/>
        <v/>
      </c>
      <c r="AT1344" s="150" t="str">
        <f t="shared" si="424"/>
        <v/>
      </c>
      <c r="AU1344" s="152"/>
      <c r="AV1344" s="147" t="str">
        <f>'Deterministic Reserve'!BC1344</f>
        <v/>
      </c>
      <c r="AY1344" s="152"/>
    </row>
    <row r="1345" spans="1:51" s="150" customFormat="1" x14ac:dyDescent="0.25">
      <c r="A1345" s="150" t="str">
        <f t="shared" si="432"/>
        <v/>
      </c>
      <c r="B1345" s="150" t="str">
        <f t="shared" si="433"/>
        <v/>
      </c>
      <c r="C1345" s="150" t="str">
        <f t="shared" si="434"/>
        <v/>
      </c>
      <c r="D1345" s="150" t="str">
        <f>IF(E1345="","",Input!$C$4+B1345-1)</f>
        <v/>
      </c>
      <c r="E1345" s="150" t="str">
        <f>IF(OR(AND(C1344=12,D1344=Input!$C$6),E1344=""),"",1)</f>
        <v/>
      </c>
      <c r="G1345" s="151" t="str">
        <f>IF(E1345="","",MAX(0,Input!$C$9-B1345))</f>
        <v/>
      </c>
      <c r="H1345" s="152" t="str">
        <f>IF(E1345="","",Input!$C$3)</f>
        <v/>
      </c>
      <c r="I1345" s="153" t="str">
        <f>IF(E1345="","",HLOOKUP($B1345,Input!$C$13:$BT$14,2))</f>
        <v/>
      </c>
      <c r="J1345" s="154"/>
      <c r="K1345" s="150" t="str">
        <f>IF($E1345="","",Input!$C$57)</f>
        <v/>
      </c>
      <c r="L1345" s="150" t="str">
        <f t="shared" si="425"/>
        <v/>
      </c>
      <c r="M1345" s="147" t="str">
        <f>IF($E1345="","",VLOOKUP(IF($B1345&lt;=Input!$C$7,$B1345,26),'Mortality Tables'!$A$72:$CA$97,IF($B1345&lt;=Input!$C$7+1,Input!$C$4-16,$D1345-Input!$C$7-16),0)/1000)</f>
        <v/>
      </c>
      <c r="N1345" s="147" t="str">
        <f t="shared" si="416"/>
        <v/>
      </c>
      <c r="O1345" s="157" t="str">
        <f>IF($E1345="","",IF($C1345=12,IF($B1345&lt;Input!$C$9,Input!$C$54,IF($B1345=Input!$C$9,Input!$C$55,Input!$C$56)),0%))</f>
        <v/>
      </c>
      <c r="P1345" s="167" t="str">
        <f>IF($E1345="","",IF($B1345=1,Input!$C$59,IF($B1345&lt;6,Input!$C$60,0%)))</f>
        <v/>
      </c>
      <c r="Q1345" s="162" t="str">
        <f>IF($E1345="","",Input!$C$58)</f>
        <v/>
      </c>
      <c r="R1345" s="156" t="str">
        <f t="shared" si="426"/>
        <v/>
      </c>
      <c r="S1345" s="154" t="str">
        <f t="shared" si="417"/>
        <v/>
      </c>
      <c r="T1345" s="152"/>
      <c r="U1345" s="150" t="str">
        <f t="shared" si="427"/>
        <v/>
      </c>
      <c r="V1345" s="150" t="str">
        <f t="shared" si="428"/>
        <v/>
      </c>
      <c r="W1345" s="168" t="str">
        <f t="shared" si="429"/>
        <v/>
      </c>
      <c r="X1345" s="163" t="str">
        <f t="shared" si="418"/>
        <v/>
      </c>
      <c r="Y1345" s="152"/>
      <c r="Z1345" s="164" t="str">
        <f>IF(AND($C1344=12,$D1344=Input!$C$6),0,IF($E1345="","",V1345+Z1346/(1+L1345)*R1345))</f>
        <v/>
      </c>
      <c r="AA1345" s="164" t="str">
        <f>IF(OR($M1345=1,AND($C1344=12,$D1344=Input!$C$6)),0,IF($E1345="","",W1345+(X1345+AA1346*$R1345)/(1+$L1345)))</f>
        <v/>
      </c>
      <c r="AB1345" s="160" t="str">
        <f t="shared" si="419"/>
        <v/>
      </c>
      <c r="AC1345" s="164" t="str">
        <f t="shared" si="420"/>
        <v/>
      </c>
      <c r="AD1345" s="164" t="str">
        <f>IF(AND($C1344=12,$D1344=Input!$C$6),0,IF($E1345="","",$AC1345+AD1346/(1+$L1345)*$R1345))</f>
        <v/>
      </c>
      <c r="AE1345" s="152"/>
      <c r="AF1345" s="164" t="str">
        <f>IF(AND($C1344=12,$D1344=Input!$C$6),0,IF($E1345="","",IF($B1345&gt;Input!$C$9,$AC1345,0)+AF1346/(1+$L1345)*$R1345))</f>
        <v/>
      </c>
      <c r="AG1345" s="164" t="str">
        <f>IF(AND($C1344=12,$D1344=Input!$C$6),0,IF($E1345="","",(IF($B1345&gt;Input!$C$9,$X1345,0)+AG1346)/(1+$L1345)*$R1345))</f>
        <v/>
      </c>
      <c r="AH1345" s="160" t="str">
        <f t="shared" si="421"/>
        <v/>
      </c>
      <c r="AI1345" s="160" t="str">
        <f>IF($E1345="","",MIN(Input!$C$61/AH1345,1))</f>
        <v/>
      </c>
      <c r="AJ1345" s="152"/>
      <c r="AK1345" s="164" t="str">
        <f>IF(AND($C1344=12,$D1344=Input!$C$6),0,IF($E1345="","",IF($B1345&gt;Input!$C$9,$AC1345*AI1345,0)+AK1346/(1+$L1345)*$R1345))</f>
        <v/>
      </c>
      <c r="AL1345" s="164" t="str">
        <f>IF(AND($C1344=12,$D1344=Input!$C$6),0,IF($E1345="","",IF($B1345&gt;Input!$C$9,0,$AC1345)+AL1346/(1+$L1345)*$R1345))</f>
        <v/>
      </c>
      <c r="AM1345" s="160" t="str">
        <f t="shared" si="422"/>
        <v/>
      </c>
      <c r="AN1345" s="164" t="str">
        <f>IF($E1345="","",IF($B1345&gt;Input!$C$9,$AI1345*$AC1345,$AM1345*$AC1345))</f>
        <v/>
      </c>
      <c r="AO1345" s="164" t="str">
        <f>IF(AND($C1344=12,$D1344=Input!$C$6),0,IF($E1345="","",$AN1345+AO1346/(1+$L1345)*$R1345))</f>
        <v/>
      </c>
      <c r="AP1345" s="152"/>
      <c r="AQ1345" s="150" t="str">
        <f t="shared" si="423"/>
        <v/>
      </c>
      <c r="AR1345" s="150" t="str">
        <f t="shared" si="430"/>
        <v/>
      </c>
      <c r="AS1345" s="150" t="str">
        <f t="shared" si="431"/>
        <v/>
      </c>
      <c r="AT1345" s="150" t="str">
        <f t="shared" si="424"/>
        <v/>
      </c>
      <c r="AU1345" s="152"/>
      <c r="AV1345" s="147" t="str">
        <f>'Deterministic Reserve'!BC1345</f>
        <v/>
      </c>
      <c r="AY1345" s="152"/>
    </row>
    <row r="1346" spans="1:51" s="150" customFormat="1" x14ac:dyDescent="0.25">
      <c r="A1346" s="150" t="str">
        <f t="shared" si="432"/>
        <v/>
      </c>
      <c r="B1346" s="150" t="str">
        <f t="shared" si="433"/>
        <v/>
      </c>
      <c r="C1346" s="150" t="str">
        <f t="shared" si="434"/>
        <v/>
      </c>
      <c r="D1346" s="150" t="str">
        <f>IF(E1346="","",Input!$C$4+B1346-1)</f>
        <v/>
      </c>
      <c r="E1346" s="150" t="str">
        <f>IF(OR(AND(C1345=12,D1345=Input!$C$6),E1345=""),"",1)</f>
        <v/>
      </c>
      <c r="G1346" s="151" t="str">
        <f>IF(E1346="","",MAX(0,Input!$C$9-B1346))</f>
        <v/>
      </c>
      <c r="H1346" s="152" t="str">
        <f>IF(E1346="","",Input!$C$3)</f>
        <v/>
      </c>
      <c r="I1346" s="153" t="str">
        <f>IF(E1346="","",HLOOKUP($B1346,Input!$C$13:$BT$14,2))</f>
        <v/>
      </c>
      <c r="J1346" s="154"/>
      <c r="K1346" s="150" t="str">
        <f>IF($E1346="","",Input!$C$57)</f>
        <v/>
      </c>
      <c r="L1346" s="150" t="str">
        <f t="shared" si="425"/>
        <v/>
      </c>
      <c r="M1346" s="147" t="str">
        <f>IF($E1346="","",VLOOKUP(IF($B1346&lt;=Input!$C$7,$B1346,26),'Mortality Tables'!$A$72:$CA$97,IF($B1346&lt;=Input!$C$7+1,Input!$C$4-16,$D1346-Input!$C$7-16),0)/1000)</f>
        <v/>
      </c>
      <c r="N1346" s="147" t="str">
        <f t="shared" si="416"/>
        <v/>
      </c>
      <c r="O1346" s="157" t="str">
        <f>IF($E1346="","",IF($C1346=12,IF($B1346&lt;Input!$C$9,Input!$C$54,IF($B1346=Input!$C$9,Input!$C$55,Input!$C$56)),0%))</f>
        <v/>
      </c>
      <c r="P1346" s="167" t="str">
        <f>IF($E1346="","",IF($B1346=1,Input!$C$59,IF($B1346&lt;6,Input!$C$60,0%)))</f>
        <v/>
      </c>
      <c r="Q1346" s="162" t="str">
        <f>IF($E1346="","",Input!$C$58)</f>
        <v/>
      </c>
      <c r="R1346" s="156" t="str">
        <f t="shared" si="426"/>
        <v/>
      </c>
      <c r="S1346" s="154" t="str">
        <f t="shared" si="417"/>
        <v/>
      </c>
      <c r="T1346" s="152"/>
      <c r="U1346" s="150" t="str">
        <f t="shared" si="427"/>
        <v/>
      </c>
      <c r="V1346" s="150" t="str">
        <f t="shared" si="428"/>
        <v/>
      </c>
      <c r="W1346" s="168" t="str">
        <f t="shared" si="429"/>
        <v/>
      </c>
      <c r="X1346" s="163" t="str">
        <f t="shared" si="418"/>
        <v/>
      </c>
      <c r="Y1346" s="152"/>
      <c r="Z1346" s="164" t="str">
        <f>IF(AND($C1345=12,$D1345=Input!$C$6),0,IF($E1346="","",V1346+Z1347/(1+L1346)*R1346))</f>
        <v/>
      </c>
      <c r="AA1346" s="164" t="str">
        <f>IF(OR($M1346=1,AND($C1345=12,$D1345=Input!$C$6)),0,IF($E1346="","",W1346+(X1346+AA1347*$R1346)/(1+$L1346)))</f>
        <v/>
      </c>
      <c r="AB1346" s="160" t="str">
        <f t="shared" si="419"/>
        <v/>
      </c>
      <c r="AC1346" s="164" t="str">
        <f t="shared" si="420"/>
        <v/>
      </c>
      <c r="AD1346" s="164" t="str">
        <f>IF(AND($C1345=12,$D1345=Input!$C$6),0,IF($E1346="","",$AC1346+AD1347/(1+$L1346)*$R1346))</f>
        <v/>
      </c>
      <c r="AE1346" s="152"/>
      <c r="AF1346" s="164" t="str">
        <f>IF(AND($C1345=12,$D1345=Input!$C$6),0,IF($E1346="","",IF($B1346&gt;Input!$C$9,$AC1346,0)+AF1347/(1+$L1346)*$R1346))</f>
        <v/>
      </c>
      <c r="AG1346" s="164" t="str">
        <f>IF(AND($C1345=12,$D1345=Input!$C$6),0,IF($E1346="","",(IF($B1346&gt;Input!$C$9,$X1346,0)+AG1347)/(1+$L1346)*$R1346))</f>
        <v/>
      </c>
      <c r="AH1346" s="160" t="str">
        <f t="shared" si="421"/>
        <v/>
      </c>
      <c r="AI1346" s="160" t="str">
        <f>IF($E1346="","",MIN(Input!$C$61/AH1346,1))</f>
        <v/>
      </c>
      <c r="AJ1346" s="152"/>
      <c r="AK1346" s="164" t="str">
        <f>IF(AND($C1345=12,$D1345=Input!$C$6),0,IF($E1346="","",IF($B1346&gt;Input!$C$9,$AC1346*AI1346,0)+AK1347/(1+$L1346)*$R1346))</f>
        <v/>
      </c>
      <c r="AL1346" s="164" t="str">
        <f>IF(AND($C1345=12,$D1345=Input!$C$6),0,IF($E1346="","",IF($B1346&gt;Input!$C$9,0,$AC1346)+AL1347/(1+$L1346)*$R1346))</f>
        <v/>
      </c>
      <c r="AM1346" s="160" t="str">
        <f t="shared" si="422"/>
        <v/>
      </c>
      <c r="AN1346" s="164" t="str">
        <f>IF($E1346="","",IF($B1346&gt;Input!$C$9,$AI1346*$AC1346,$AM1346*$AC1346))</f>
        <v/>
      </c>
      <c r="AO1346" s="164" t="str">
        <f>IF(AND($C1345=12,$D1345=Input!$C$6),0,IF($E1346="","",$AN1346+AO1347/(1+$L1346)*$R1346))</f>
        <v/>
      </c>
      <c r="AP1346" s="152"/>
      <c r="AQ1346" s="150" t="str">
        <f t="shared" si="423"/>
        <v/>
      </c>
      <c r="AR1346" s="150" t="str">
        <f t="shared" si="430"/>
        <v/>
      </c>
      <c r="AS1346" s="150" t="str">
        <f t="shared" si="431"/>
        <v/>
      </c>
      <c r="AT1346" s="150" t="str">
        <f t="shared" si="424"/>
        <v/>
      </c>
      <c r="AU1346" s="152"/>
      <c r="AV1346" s="147" t="str">
        <f>'Deterministic Reserve'!BC1346</f>
        <v/>
      </c>
      <c r="AY1346" s="152"/>
    </row>
    <row r="1347" spans="1:51" s="150" customFormat="1" x14ac:dyDescent="0.25">
      <c r="A1347" s="150" t="str">
        <f t="shared" si="432"/>
        <v/>
      </c>
      <c r="B1347" s="150" t="str">
        <f t="shared" si="433"/>
        <v/>
      </c>
      <c r="C1347" s="150" t="str">
        <f t="shared" si="434"/>
        <v/>
      </c>
      <c r="D1347" s="150" t="str">
        <f>IF(E1347="","",Input!$C$4+B1347-1)</f>
        <v/>
      </c>
      <c r="E1347" s="150" t="str">
        <f>IF(OR(AND(C1346=12,D1346=Input!$C$6),E1346=""),"",1)</f>
        <v/>
      </c>
      <c r="G1347" s="151" t="str">
        <f>IF(E1347="","",MAX(0,Input!$C$9-B1347))</f>
        <v/>
      </c>
      <c r="H1347" s="152" t="str">
        <f>IF(E1347="","",Input!$C$3)</f>
        <v/>
      </c>
      <c r="I1347" s="153" t="str">
        <f>IF(E1347="","",HLOOKUP($B1347,Input!$C$13:$BT$14,2))</f>
        <v/>
      </c>
      <c r="J1347" s="154"/>
      <c r="K1347" s="150" t="str">
        <f>IF($E1347="","",Input!$C$57)</f>
        <v/>
      </c>
      <c r="L1347" s="150" t="str">
        <f t="shared" si="425"/>
        <v/>
      </c>
      <c r="M1347" s="147" t="str">
        <f>IF($E1347="","",VLOOKUP(IF($B1347&lt;=Input!$C$7,$B1347,26),'Mortality Tables'!$A$72:$CA$97,IF($B1347&lt;=Input!$C$7+1,Input!$C$4-16,$D1347-Input!$C$7-16),0)/1000)</f>
        <v/>
      </c>
      <c r="N1347" s="147" t="str">
        <f t="shared" si="416"/>
        <v/>
      </c>
      <c r="O1347" s="157" t="str">
        <f>IF($E1347="","",IF($C1347=12,IF($B1347&lt;Input!$C$9,Input!$C$54,IF($B1347=Input!$C$9,Input!$C$55,Input!$C$56)),0%))</f>
        <v/>
      </c>
      <c r="P1347" s="167" t="str">
        <f>IF($E1347="","",IF($B1347=1,Input!$C$59,IF($B1347&lt;6,Input!$C$60,0%)))</f>
        <v/>
      </c>
      <c r="Q1347" s="162" t="str">
        <f>IF($E1347="","",Input!$C$58)</f>
        <v/>
      </c>
      <c r="R1347" s="156" t="str">
        <f t="shared" si="426"/>
        <v/>
      </c>
      <c r="S1347" s="154" t="str">
        <f t="shared" si="417"/>
        <v/>
      </c>
      <c r="T1347" s="152"/>
      <c r="U1347" s="150" t="str">
        <f t="shared" si="427"/>
        <v/>
      </c>
      <c r="V1347" s="150" t="str">
        <f t="shared" si="428"/>
        <v/>
      </c>
      <c r="W1347" s="168" t="str">
        <f t="shared" si="429"/>
        <v/>
      </c>
      <c r="X1347" s="163" t="str">
        <f t="shared" si="418"/>
        <v/>
      </c>
      <c r="Y1347" s="152"/>
      <c r="Z1347" s="164" t="str">
        <f>IF(AND($C1346=12,$D1346=Input!$C$6),0,IF($E1347="","",V1347+Z1348/(1+L1347)*R1347))</f>
        <v/>
      </c>
      <c r="AA1347" s="164" t="str">
        <f>IF(OR($M1347=1,AND($C1346=12,$D1346=Input!$C$6)),0,IF($E1347="","",W1347+(X1347+AA1348*$R1347)/(1+$L1347)))</f>
        <v/>
      </c>
      <c r="AB1347" s="160" t="str">
        <f t="shared" si="419"/>
        <v/>
      </c>
      <c r="AC1347" s="164" t="str">
        <f t="shared" si="420"/>
        <v/>
      </c>
      <c r="AD1347" s="164" t="str">
        <f>IF(AND($C1346=12,$D1346=Input!$C$6),0,IF($E1347="","",$AC1347+AD1348/(1+$L1347)*$R1347))</f>
        <v/>
      </c>
      <c r="AE1347" s="152"/>
      <c r="AF1347" s="164" t="str">
        <f>IF(AND($C1346=12,$D1346=Input!$C$6),0,IF($E1347="","",IF($B1347&gt;Input!$C$9,$AC1347,0)+AF1348/(1+$L1347)*$R1347))</f>
        <v/>
      </c>
      <c r="AG1347" s="164" t="str">
        <f>IF(AND($C1346=12,$D1346=Input!$C$6),0,IF($E1347="","",(IF($B1347&gt;Input!$C$9,$X1347,0)+AG1348)/(1+$L1347)*$R1347))</f>
        <v/>
      </c>
      <c r="AH1347" s="160" t="str">
        <f t="shared" si="421"/>
        <v/>
      </c>
      <c r="AI1347" s="160" t="str">
        <f>IF($E1347="","",MIN(Input!$C$61/AH1347,1))</f>
        <v/>
      </c>
      <c r="AJ1347" s="152"/>
      <c r="AK1347" s="164" t="str">
        <f>IF(AND($C1346=12,$D1346=Input!$C$6),0,IF($E1347="","",IF($B1347&gt;Input!$C$9,$AC1347*AI1347,0)+AK1348/(1+$L1347)*$R1347))</f>
        <v/>
      </c>
      <c r="AL1347" s="164" t="str">
        <f>IF(AND($C1346=12,$D1346=Input!$C$6),0,IF($E1347="","",IF($B1347&gt;Input!$C$9,0,$AC1347)+AL1348/(1+$L1347)*$R1347))</f>
        <v/>
      </c>
      <c r="AM1347" s="160" t="str">
        <f t="shared" si="422"/>
        <v/>
      </c>
      <c r="AN1347" s="164" t="str">
        <f>IF($E1347="","",IF($B1347&gt;Input!$C$9,$AI1347*$AC1347,$AM1347*$AC1347))</f>
        <v/>
      </c>
      <c r="AO1347" s="164" t="str">
        <f>IF(AND($C1346=12,$D1346=Input!$C$6),0,IF($E1347="","",$AN1347+AO1348/(1+$L1347)*$R1347))</f>
        <v/>
      </c>
      <c r="AP1347" s="152"/>
      <c r="AQ1347" s="150" t="str">
        <f t="shared" si="423"/>
        <v/>
      </c>
      <c r="AR1347" s="150" t="str">
        <f t="shared" si="430"/>
        <v/>
      </c>
      <c r="AS1347" s="150" t="str">
        <f t="shared" si="431"/>
        <v/>
      </c>
      <c r="AT1347" s="150" t="str">
        <f t="shared" si="424"/>
        <v/>
      </c>
      <c r="AU1347" s="152"/>
      <c r="AV1347" s="147" t="str">
        <f>'Deterministic Reserve'!BC1347</f>
        <v/>
      </c>
      <c r="AY1347" s="152"/>
    </row>
    <row r="1348" spans="1:51" s="150" customFormat="1" x14ac:dyDescent="0.25">
      <c r="A1348" s="150" t="str">
        <f t="shared" si="432"/>
        <v/>
      </c>
      <c r="B1348" s="150" t="str">
        <f t="shared" si="433"/>
        <v/>
      </c>
      <c r="C1348" s="150" t="str">
        <f t="shared" si="434"/>
        <v/>
      </c>
      <c r="D1348" s="150" t="str">
        <f>IF(E1348="","",Input!$C$4+B1348-1)</f>
        <v/>
      </c>
      <c r="E1348" s="150" t="str">
        <f>IF(OR(AND(C1347=12,D1347=Input!$C$6),E1347=""),"",1)</f>
        <v/>
      </c>
      <c r="G1348" s="151" t="str">
        <f>IF(E1348="","",MAX(0,Input!$C$9-B1348))</f>
        <v/>
      </c>
      <c r="H1348" s="152" t="str">
        <f>IF(E1348="","",Input!$C$3)</f>
        <v/>
      </c>
      <c r="I1348" s="153" t="str">
        <f>IF(E1348="","",HLOOKUP($B1348,Input!$C$13:$BT$14,2))</f>
        <v/>
      </c>
      <c r="J1348" s="154"/>
      <c r="K1348" s="150" t="str">
        <f>IF($E1348="","",Input!$C$57)</f>
        <v/>
      </c>
      <c r="L1348" s="150" t="str">
        <f t="shared" si="425"/>
        <v/>
      </c>
      <c r="M1348" s="147" t="str">
        <f>IF($E1348="","",VLOOKUP(IF($B1348&lt;=Input!$C$7,$B1348,26),'Mortality Tables'!$A$72:$CA$97,IF($B1348&lt;=Input!$C$7+1,Input!$C$4-16,$D1348-Input!$C$7-16),0)/1000)</f>
        <v/>
      </c>
      <c r="N1348" s="147" t="str">
        <f t="shared" si="416"/>
        <v/>
      </c>
      <c r="O1348" s="157" t="str">
        <f>IF($E1348="","",IF($C1348=12,IF($B1348&lt;Input!$C$9,Input!$C$54,IF($B1348=Input!$C$9,Input!$C$55,Input!$C$56)),0%))</f>
        <v/>
      </c>
      <c r="P1348" s="167" t="str">
        <f>IF($E1348="","",IF($B1348=1,Input!$C$59,IF($B1348&lt;6,Input!$C$60,0%)))</f>
        <v/>
      </c>
      <c r="Q1348" s="162" t="str">
        <f>IF($E1348="","",Input!$C$58)</f>
        <v/>
      </c>
      <c r="R1348" s="156" t="str">
        <f t="shared" si="426"/>
        <v/>
      </c>
      <c r="S1348" s="154" t="str">
        <f t="shared" si="417"/>
        <v/>
      </c>
      <c r="T1348" s="152"/>
      <c r="U1348" s="150" t="str">
        <f t="shared" si="427"/>
        <v/>
      </c>
      <c r="V1348" s="150" t="str">
        <f t="shared" si="428"/>
        <v/>
      </c>
      <c r="W1348" s="168" t="str">
        <f t="shared" si="429"/>
        <v/>
      </c>
      <c r="X1348" s="163" t="str">
        <f t="shared" si="418"/>
        <v/>
      </c>
      <c r="Y1348" s="152"/>
      <c r="Z1348" s="164" t="str">
        <f>IF(AND($C1347=12,$D1347=Input!$C$6),0,IF($E1348="","",V1348+Z1349/(1+L1348)*R1348))</f>
        <v/>
      </c>
      <c r="AA1348" s="164" t="str">
        <f>IF(OR($M1348=1,AND($C1347=12,$D1347=Input!$C$6)),0,IF($E1348="","",W1348+(X1348+AA1349*$R1348)/(1+$L1348)))</f>
        <v/>
      </c>
      <c r="AB1348" s="160" t="str">
        <f t="shared" si="419"/>
        <v/>
      </c>
      <c r="AC1348" s="164" t="str">
        <f t="shared" si="420"/>
        <v/>
      </c>
      <c r="AD1348" s="164" t="str">
        <f>IF(AND($C1347=12,$D1347=Input!$C$6),0,IF($E1348="","",$AC1348+AD1349/(1+$L1348)*$R1348))</f>
        <v/>
      </c>
      <c r="AE1348" s="152"/>
      <c r="AF1348" s="164" t="str">
        <f>IF(AND($C1347=12,$D1347=Input!$C$6),0,IF($E1348="","",IF($B1348&gt;Input!$C$9,$AC1348,0)+AF1349/(1+$L1348)*$R1348))</f>
        <v/>
      </c>
      <c r="AG1348" s="164" t="str">
        <f>IF(AND($C1347=12,$D1347=Input!$C$6),0,IF($E1348="","",(IF($B1348&gt;Input!$C$9,$X1348,0)+AG1349)/(1+$L1348)*$R1348))</f>
        <v/>
      </c>
      <c r="AH1348" s="160" t="str">
        <f t="shared" si="421"/>
        <v/>
      </c>
      <c r="AI1348" s="160" t="str">
        <f>IF($E1348="","",MIN(Input!$C$61/AH1348,1))</f>
        <v/>
      </c>
      <c r="AJ1348" s="152"/>
      <c r="AK1348" s="164" t="str">
        <f>IF(AND($C1347=12,$D1347=Input!$C$6),0,IF($E1348="","",IF($B1348&gt;Input!$C$9,$AC1348*AI1348,0)+AK1349/(1+$L1348)*$R1348))</f>
        <v/>
      </c>
      <c r="AL1348" s="164" t="str">
        <f>IF(AND($C1347=12,$D1347=Input!$C$6),0,IF($E1348="","",IF($B1348&gt;Input!$C$9,0,$AC1348)+AL1349/(1+$L1348)*$R1348))</f>
        <v/>
      </c>
      <c r="AM1348" s="160" t="str">
        <f t="shared" si="422"/>
        <v/>
      </c>
      <c r="AN1348" s="164" t="str">
        <f>IF($E1348="","",IF($B1348&gt;Input!$C$9,$AI1348*$AC1348,$AM1348*$AC1348))</f>
        <v/>
      </c>
      <c r="AO1348" s="164" t="str">
        <f>IF(AND($C1347=12,$D1347=Input!$C$6),0,IF($E1348="","",$AN1348+AO1349/(1+$L1348)*$R1348))</f>
        <v/>
      </c>
      <c r="AP1348" s="152"/>
      <c r="AQ1348" s="150" t="str">
        <f t="shared" si="423"/>
        <v/>
      </c>
      <c r="AR1348" s="150" t="str">
        <f t="shared" si="430"/>
        <v/>
      </c>
      <c r="AS1348" s="150" t="str">
        <f t="shared" si="431"/>
        <v/>
      </c>
      <c r="AT1348" s="150" t="str">
        <f t="shared" si="424"/>
        <v/>
      </c>
      <c r="AU1348" s="152"/>
      <c r="AV1348" s="147" t="str">
        <f>'Deterministic Reserve'!BC1348</f>
        <v/>
      </c>
      <c r="AY1348" s="152"/>
    </row>
    <row r="1349" spans="1:51" s="150" customFormat="1" x14ac:dyDescent="0.25">
      <c r="A1349" s="150" t="str">
        <f t="shared" si="432"/>
        <v/>
      </c>
      <c r="B1349" s="150" t="str">
        <f t="shared" si="433"/>
        <v/>
      </c>
      <c r="C1349" s="150" t="str">
        <f t="shared" si="434"/>
        <v/>
      </c>
      <c r="D1349" s="150" t="str">
        <f>IF(E1349="","",Input!$C$4+B1349-1)</f>
        <v/>
      </c>
      <c r="E1349" s="150" t="str">
        <f>IF(OR(AND(C1348=12,D1348=Input!$C$6),E1348=""),"",1)</f>
        <v/>
      </c>
      <c r="G1349" s="151" t="str">
        <f>IF(E1349="","",MAX(0,Input!$C$9-B1349))</f>
        <v/>
      </c>
      <c r="H1349" s="152" t="str">
        <f>IF(E1349="","",Input!$C$3)</f>
        <v/>
      </c>
      <c r="I1349" s="153" t="str">
        <f>IF(E1349="","",HLOOKUP($B1349,Input!$C$13:$BT$14,2))</f>
        <v/>
      </c>
      <c r="J1349" s="154"/>
      <c r="K1349" s="150" t="str">
        <f>IF($E1349="","",Input!$C$57)</f>
        <v/>
      </c>
      <c r="L1349" s="150" t="str">
        <f t="shared" si="425"/>
        <v/>
      </c>
      <c r="M1349" s="147" t="str">
        <f>IF($E1349="","",VLOOKUP(IF($B1349&lt;=Input!$C$7,$B1349,26),'Mortality Tables'!$A$72:$CA$97,IF($B1349&lt;=Input!$C$7+1,Input!$C$4-16,$D1349-Input!$C$7-16),0)/1000)</f>
        <v/>
      </c>
      <c r="N1349" s="147" t="str">
        <f t="shared" ref="N1349:N1412" si="435">IF($E1349="","",1-(1-M1349)^(1/12))</f>
        <v/>
      </c>
      <c r="O1349" s="157" t="str">
        <f>IF($E1349="","",IF($C1349=12,IF($B1349&lt;Input!$C$9,Input!$C$54,IF($B1349=Input!$C$9,Input!$C$55,Input!$C$56)),0%))</f>
        <v/>
      </c>
      <c r="P1349" s="167" t="str">
        <f>IF($E1349="","",IF($B1349=1,Input!$C$59,IF($B1349&lt;6,Input!$C$60,0%)))</f>
        <v/>
      </c>
      <c r="Q1349" s="162" t="str">
        <f>IF($E1349="","",Input!$C$58)</f>
        <v/>
      </c>
      <c r="R1349" s="156" t="str">
        <f t="shared" si="426"/>
        <v/>
      </c>
      <c r="S1349" s="154" t="str">
        <f t="shared" ref="S1349:S1412" si="436">IF($E1349="","",IF(AND($B1349=1,$C1349=1),1,S1348*R1349))</f>
        <v/>
      </c>
      <c r="T1349" s="152"/>
      <c r="U1349" s="150" t="str">
        <f t="shared" si="427"/>
        <v/>
      </c>
      <c r="V1349" s="150" t="str">
        <f t="shared" si="428"/>
        <v/>
      </c>
      <c r="W1349" s="168" t="str">
        <f t="shared" si="429"/>
        <v/>
      </c>
      <c r="X1349" s="163" t="str">
        <f t="shared" ref="X1349:X1412" si="437">IF($E1349="","",N1349*$H1349)</f>
        <v/>
      </c>
      <c r="Y1349" s="152"/>
      <c r="Z1349" s="164" t="str">
        <f>IF(AND($C1348=12,$D1348=Input!$C$6),0,IF($E1349="","",V1349+Z1350/(1+L1349)*R1349))</f>
        <v/>
      </c>
      <c r="AA1349" s="164" t="str">
        <f>IF(OR($M1349=1,AND($C1348=12,$D1348=Input!$C$6)),0,IF($E1349="","",W1349+(X1349+AA1350*$R1349)/(1+$L1349)))</f>
        <v/>
      </c>
      <c r="AB1349" s="160" t="str">
        <f t="shared" ref="AB1349:AB1412" si="438">IF($E1349="","",$AA$5/$Z$5)</f>
        <v/>
      </c>
      <c r="AC1349" s="164" t="str">
        <f t="shared" ref="AC1349:AC1412" si="439">IF($E1349="","",V1349*AB1349)</f>
        <v/>
      </c>
      <c r="AD1349" s="164" t="str">
        <f>IF(AND($C1348=12,$D1348=Input!$C$6),0,IF($E1349="","",$AC1349+AD1350/(1+$L1349)*$R1349))</f>
        <v/>
      </c>
      <c r="AE1349" s="152"/>
      <c r="AF1349" s="164" t="str">
        <f>IF(AND($C1348=12,$D1348=Input!$C$6),0,IF($E1349="","",IF($B1349&gt;Input!$C$9,$AC1349,0)+AF1350/(1+$L1349)*$R1349))</f>
        <v/>
      </c>
      <c r="AG1349" s="164" t="str">
        <f>IF(AND($C1348=12,$D1348=Input!$C$6),0,IF($E1349="","",(IF($B1349&gt;Input!$C$9,$X1349,0)+AG1350)/(1+$L1349)*$R1349))</f>
        <v/>
      </c>
      <c r="AH1349" s="160" t="str">
        <f t="shared" ref="AH1349:AH1412" si="440">IF($E1349="","",$AF$5/$AG$5)</f>
        <v/>
      </c>
      <c r="AI1349" s="160" t="str">
        <f>IF($E1349="","",MIN(Input!$C$61/AH1349,1))</f>
        <v/>
      </c>
      <c r="AJ1349" s="152"/>
      <c r="AK1349" s="164" t="str">
        <f>IF(AND($C1348=12,$D1348=Input!$C$6),0,IF($E1349="","",IF($B1349&gt;Input!$C$9,$AC1349*AI1349,0)+AK1350/(1+$L1349)*$R1349))</f>
        <v/>
      </c>
      <c r="AL1349" s="164" t="str">
        <f>IF(AND($C1348=12,$D1348=Input!$C$6),0,IF($E1349="","",IF($B1349&gt;Input!$C$9,0,$AC1349)+AL1350/(1+$L1349)*$R1349))</f>
        <v/>
      </c>
      <c r="AM1349" s="160" t="str">
        <f t="shared" ref="AM1349:AM1412" si="441">IF($E1349="","",($AD$5-$AK$5)/$AL$5)</f>
        <v/>
      </c>
      <c r="AN1349" s="164" t="str">
        <f>IF($E1349="","",IF($B1349&gt;Input!$C$9,$AI1349*$AC1349,$AM1349*$AC1349))</f>
        <v/>
      </c>
      <c r="AO1349" s="164" t="str">
        <f>IF(AND($C1348=12,$D1348=Input!$C$6),0,IF($E1349="","",$AN1349+AO1350/(1+$L1349)*$R1349))</f>
        <v/>
      </c>
      <c r="AP1349" s="152"/>
      <c r="AQ1349" s="150" t="str">
        <f t="shared" ref="AQ1349:AQ1412" si="442">IF($E1349="","",$AA1349-$AO1349)</f>
        <v/>
      </c>
      <c r="AR1349" s="150" t="str">
        <f t="shared" si="430"/>
        <v/>
      </c>
      <c r="AS1349" s="150" t="str">
        <f t="shared" si="431"/>
        <v/>
      </c>
      <c r="AT1349" s="150" t="str">
        <f t="shared" ref="AT1349:AT1412" si="443">IF($E1349="","",MAX($AR1349,$AS1349))</f>
        <v/>
      </c>
      <c r="AU1349" s="152"/>
      <c r="AV1349" s="147" t="str">
        <f>'Deterministic Reserve'!BC1349</f>
        <v/>
      </c>
      <c r="AY1349" s="152"/>
    </row>
    <row r="1350" spans="1:51" s="150" customFormat="1" x14ac:dyDescent="0.25">
      <c r="A1350" s="150" t="str">
        <f t="shared" si="432"/>
        <v/>
      </c>
      <c r="B1350" s="150" t="str">
        <f t="shared" si="433"/>
        <v/>
      </c>
      <c r="C1350" s="150" t="str">
        <f t="shared" si="434"/>
        <v/>
      </c>
      <c r="D1350" s="150" t="str">
        <f>IF(E1350="","",Input!$C$4+B1350-1)</f>
        <v/>
      </c>
      <c r="E1350" s="150" t="str">
        <f>IF(OR(AND(C1349=12,D1349=Input!$C$6),E1349=""),"",1)</f>
        <v/>
      </c>
      <c r="G1350" s="151" t="str">
        <f>IF(E1350="","",MAX(0,Input!$C$9-B1350))</f>
        <v/>
      </c>
      <c r="H1350" s="152" t="str">
        <f>IF(E1350="","",Input!$C$3)</f>
        <v/>
      </c>
      <c r="I1350" s="153" t="str">
        <f>IF(E1350="","",HLOOKUP($B1350,Input!$C$13:$BT$14,2))</f>
        <v/>
      </c>
      <c r="J1350" s="154"/>
      <c r="K1350" s="150" t="str">
        <f>IF($E1350="","",Input!$C$57)</f>
        <v/>
      </c>
      <c r="L1350" s="150" t="str">
        <f t="shared" ref="L1350:L1413" si="444">IF($E1350="","",(1+K1350)^(1/12)-1)</f>
        <v/>
      </c>
      <c r="M1350" s="147" t="str">
        <f>IF($E1350="","",VLOOKUP(IF($B1350&lt;=Input!$C$7,$B1350,26),'Mortality Tables'!$A$72:$CA$97,IF($B1350&lt;=Input!$C$7+1,Input!$C$4-16,$D1350-Input!$C$7-16),0)/1000)</f>
        <v/>
      </c>
      <c r="N1350" s="147" t="str">
        <f t="shared" si="435"/>
        <v/>
      </c>
      <c r="O1350" s="157" t="str">
        <f>IF($E1350="","",IF($C1350=12,IF($B1350&lt;Input!$C$9,Input!$C$54,IF($B1350=Input!$C$9,Input!$C$55,Input!$C$56)),0%))</f>
        <v/>
      </c>
      <c r="P1350" s="167" t="str">
        <f>IF($E1350="","",IF($B1350=1,Input!$C$59,IF($B1350&lt;6,Input!$C$60,0%)))</f>
        <v/>
      </c>
      <c r="Q1350" s="162" t="str">
        <f>IF($E1350="","",Input!$C$58)</f>
        <v/>
      </c>
      <c r="R1350" s="156" t="str">
        <f t="shared" ref="R1350:R1413" si="445">IF($E1350="","",MAX(1-N1350-O1350,0))</f>
        <v/>
      </c>
      <c r="S1350" s="154" t="str">
        <f t="shared" si="436"/>
        <v/>
      </c>
      <c r="T1350" s="152"/>
      <c r="U1350" s="150" t="str">
        <f t="shared" ref="U1350:U1413" si="446">IF($E1350="","",IF($C1350=1,$I1350*$H1350/1000,0))</f>
        <v/>
      </c>
      <c r="V1350" s="150" t="str">
        <f t="shared" ref="V1350:V1413" si="447">IF($E1350="","",U1350*(1-$P1350))</f>
        <v/>
      </c>
      <c r="W1350" s="168" t="str">
        <f t="shared" ref="W1350:W1413" si="448">IF($E1350="","",IF(AND($B1350=1,$C1350=1),$Q1350*$H1350/1000,0))</f>
        <v/>
      </c>
      <c r="X1350" s="163" t="str">
        <f t="shared" si="437"/>
        <v/>
      </c>
      <c r="Y1350" s="152"/>
      <c r="Z1350" s="164" t="str">
        <f>IF(AND($C1349=12,$D1349=Input!$C$6),0,IF($E1350="","",V1350+Z1351/(1+L1350)*R1350))</f>
        <v/>
      </c>
      <c r="AA1350" s="164" t="str">
        <f>IF(OR($M1350=1,AND($C1349=12,$D1349=Input!$C$6)),0,IF($E1350="","",W1350+(X1350+AA1351*$R1350)/(1+$L1350)))</f>
        <v/>
      </c>
      <c r="AB1350" s="160" t="str">
        <f t="shared" si="438"/>
        <v/>
      </c>
      <c r="AC1350" s="164" t="str">
        <f t="shared" si="439"/>
        <v/>
      </c>
      <c r="AD1350" s="164" t="str">
        <f>IF(AND($C1349=12,$D1349=Input!$C$6),0,IF($E1350="","",$AC1350+AD1351/(1+$L1350)*$R1350))</f>
        <v/>
      </c>
      <c r="AE1350" s="152"/>
      <c r="AF1350" s="164" t="str">
        <f>IF(AND($C1349=12,$D1349=Input!$C$6),0,IF($E1350="","",IF($B1350&gt;Input!$C$9,$AC1350,0)+AF1351/(1+$L1350)*$R1350))</f>
        <v/>
      </c>
      <c r="AG1350" s="164" t="str">
        <f>IF(AND($C1349=12,$D1349=Input!$C$6),0,IF($E1350="","",(IF($B1350&gt;Input!$C$9,$X1350,0)+AG1351)/(1+$L1350)*$R1350))</f>
        <v/>
      </c>
      <c r="AH1350" s="160" t="str">
        <f t="shared" si="440"/>
        <v/>
      </c>
      <c r="AI1350" s="160" t="str">
        <f>IF($E1350="","",MIN(Input!$C$61/AH1350,1))</f>
        <v/>
      </c>
      <c r="AJ1350" s="152"/>
      <c r="AK1350" s="164" t="str">
        <f>IF(AND($C1349=12,$D1349=Input!$C$6),0,IF($E1350="","",IF($B1350&gt;Input!$C$9,$AC1350*AI1350,0)+AK1351/(1+$L1350)*$R1350))</f>
        <v/>
      </c>
      <c r="AL1350" s="164" t="str">
        <f>IF(AND($C1349=12,$D1349=Input!$C$6),0,IF($E1350="","",IF($B1350&gt;Input!$C$9,0,$AC1350)+AL1351/(1+$L1350)*$R1350))</f>
        <v/>
      </c>
      <c r="AM1350" s="160" t="str">
        <f t="shared" si="441"/>
        <v/>
      </c>
      <c r="AN1350" s="164" t="str">
        <f>IF($E1350="","",IF($B1350&gt;Input!$C$9,$AI1350*$AC1350,$AM1350*$AC1350))</f>
        <v/>
      </c>
      <c r="AO1350" s="164" t="str">
        <f>IF(AND($C1349=12,$D1349=Input!$C$6),0,IF($E1350="","",$AN1350+AO1351/(1+$L1350)*$R1350))</f>
        <v/>
      </c>
      <c r="AP1350" s="152"/>
      <c r="AQ1350" s="150" t="str">
        <f t="shared" si="442"/>
        <v/>
      </c>
      <c r="AR1350" s="150" t="str">
        <f t="shared" ref="AR1350:AR1413" si="449">IF($E1350="","",IF($M1350=1,0,0.5*(IF($B1350=1,0,SUMIFS($AQ:$AQ,$B:$B,$B1350-1,$C:$C,12))+SUMIFS($AN:$AN,$B:$B,$B1350,$C:$C,1)+SUMIFS($AQ:$AQ,$B:$B,$B1350,$C:$C,12))))</f>
        <v/>
      </c>
      <c r="AS1350" s="150" t="str">
        <f t="shared" ref="AS1350:AS1413" si="450">IF($E1350="","",IF($M1350=1,0,0.5*$M1350*$H1350/(1+$K1350)))</f>
        <v/>
      </c>
      <c r="AT1350" s="150" t="str">
        <f t="shared" si="443"/>
        <v/>
      </c>
      <c r="AU1350" s="152"/>
      <c r="AV1350" s="147" t="str">
        <f>'Deterministic Reserve'!BC1350</f>
        <v/>
      </c>
      <c r="AY1350" s="152"/>
    </row>
    <row r="1351" spans="1:51" s="150" customFormat="1" x14ac:dyDescent="0.25">
      <c r="A1351" s="150" t="str">
        <f t="shared" ref="A1351:A1414" si="451">IF(E1351="","",A1350+1)</f>
        <v/>
      </c>
      <c r="B1351" s="150" t="str">
        <f t="shared" ref="B1351:B1414" si="452">IF(E1351="","",IF(C1350+1&gt;12,B1350+1,B1350))</f>
        <v/>
      </c>
      <c r="C1351" s="150" t="str">
        <f t="shared" ref="C1351:C1414" si="453">IF(E1351="","",IF(C1350+1&gt;12,1,C1350+1))</f>
        <v/>
      </c>
      <c r="D1351" s="150" t="str">
        <f>IF(E1351="","",Input!$C$4+B1351-1)</f>
        <v/>
      </c>
      <c r="E1351" s="150" t="str">
        <f>IF(OR(AND(C1350=12,D1350=Input!$C$6),E1350=""),"",1)</f>
        <v/>
      </c>
      <c r="G1351" s="151" t="str">
        <f>IF(E1351="","",MAX(0,Input!$C$9-B1351))</f>
        <v/>
      </c>
      <c r="H1351" s="152" t="str">
        <f>IF(E1351="","",Input!$C$3)</f>
        <v/>
      </c>
      <c r="I1351" s="153" t="str">
        <f>IF(E1351="","",HLOOKUP($B1351,Input!$C$13:$BT$14,2))</f>
        <v/>
      </c>
      <c r="J1351" s="154"/>
      <c r="K1351" s="150" t="str">
        <f>IF($E1351="","",Input!$C$57)</f>
        <v/>
      </c>
      <c r="L1351" s="150" t="str">
        <f t="shared" si="444"/>
        <v/>
      </c>
      <c r="M1351" s="147" t="str">
        <f>IF($E1351="","",VLOOKUP(IF($B1351&lt;=Input!$C$7,$B1351,26),'Mortality Tables'!$A$72:$CA$97,IF($B1351&lt;=Input!$C$7+1,Input!$C$4-16,$D1351-Input!$C$7-16),0)/1000)</f>
        <v/>
      </c>
      <c r="N1351" s="147" t="str">
        <f t="shared" si="435"/>
        <v/>
      </c>
      <c r="O1351" s="157" t="str">
        <f>IF($E1351="","",IF($C1351=12,IF($B1351&lt;Input!$C$9,Input!$C$54,IF($B1351=Input!$C$9,Input!$C$55,Input!$C$56)),0%))</f>
        <v/>
      </c>
      <c r="P1351" s="167" t="str">
        <f>IF($E1351="","",IF($B1351=1,Input!$C$59,IF($B1351&lt;6,Input!$C$60,0%)))</f>
        <v/>
      </c>
      <c r="Q1351" s="162" t="str">
        <f>IF($E1351="","",Input!$C$58)</f>
        <v/>
      </c>
      <c r="R1351" s="156" t="str">
        <f t="shared" si="445"/>
        <v/>
      </c>
      <c r="S1351" s="154" t="str">
        <f t="shared" si="436"/>
        <v/>
      </c>
      <c r="T1351" s="152"/>
      <c r="U1351" s="150" t="str">
        <f t="shared" si="446"/>
        <v/>
      </c>
      <c r="V1351" s="150" t="str">
        <f t="shared" si="447"/>
        <v/>
      </c>
      <c r="W1351" s="168" t="str">
        <f t="shared" si="448"/>
        <v/>
      </c>
      <c r="X1351" s="163" t="str">
        <f t="shared" si="437"/>
        <v/>
      </c>
      <c r="Y1351" s="152"/>
      <c r="Z1351" s="164" t="str">
        <f>IF(AND($C1350=12,$D1350=Input!$C$6),0,IF($E1351="","",V1351+Z1352/(1+L1351)*R1351))</f>
        <v/>
      </c>
      <c r="AA1351" s="164" t="str">
        <f>IF(OR($M1351=1,AND($C1350=12,$D1350=Input!$C$6)),0,IF($E1351="","",W1351+(X1351+AA1352*$R1351)/(1+$L1351)))</f>
        <v/>
      </c>
      <c r="AB1351" s="160" t="str">
        <f t="shared" si="438"/>
        <v/>
      </c>
      <c r="AC1351" s="164" t="str">
        <f t="shared" si="439"/>
        <v/>
      </c>
      <c r="AD1351" s="164" t="str">
        <f>IF(AND($C1350=12,$D1350=Input!$C$6),0,IF($E1351="","",$AC1351+AD1352/(1+$L1351)*$R1351))</f>
        <v/>
      </c>
      <c r="AE1351" s="152"/>
      <c r="AF1351" s="164" t="str">
        <f>IF(AND($C1350=12,$D1350=Input!$C$6),0,IF($E1351="","",IF($B1351&gt;Input!$C$9,$AC1351,0)+AF1352/(1+$L1351)*$R1351))</f>
        <v/>
      </c>
      <c r="AG1351" s="164" t="str">
        <f>IF(AND($C1350=12,$D1350=Input!$C$6),0,IF($E1351="","",(IF($B1351&gt;Input!$C$9,$X1351,0)+AG1352)/(1+$L1351)*$R1351))</f>
        <v/>
      </c>
      <c r="AH1351" s="160" t="str">
        <f t="shared" si="440"/>
        <v/>
      </c>
      <c r="AI1351" s="160" t="str">
        <f>IF($E1351="","",MIN(Input!$C$61/AH1351,1))</f>
        <v/>
      </c>
      <c r="AJ1351" s="152"/>
      <c r="AK1351" s="164" t="str">
        <f>IF(AND($C1350=12,$D1350=Input!$C$6),0,IF($E1351="","",IF($B1351&gt;Input!$C$9,$AC1351*AI1351,0)+AK1352/(1+$L1351)*$R1351))</f>
        <v/>
      </c>
      <c r="AL1351" s="164" t="str">
        <f>IF(AND($C1350=12,$D1350=Input!$C$6),0,IF($E1351="","",IF($B1351&gt;Input!$C$9,0,$AC1351)+AL1352/(1+$L1351)*$R1351))</f>
        <v/>
      </c>
      <c r="AM1351" s="160" t="str">
        <f t="shared" si="441"/>
        <v/>
      </c>
      <c r="AN1351" s="164" t="str">
        <f>IF($E1351="","",IF($B1351&gt;Input!$C$9,$AI1351*$AC1351,$AM1351*$AC1351))</f>
        <v/>
      </c>
      <c r="AO1351" s="164" t="str">
        <f>IF(AND($C1350=12,$D1350=Input!$C$6),0,IF($E1351="","",$AN1351+AO1352/(1+$L1351)*$R1351))</f>
        <v/>
      </c>
      <c r="AP1351" s="152"/>
      <c r="AQ1351" s="150" t="str">
        <f t="shared" si="442"/>
        <v/>
      </c>
      <c r="AR1351" s="150" t="str">
        <f t="shared" si="449"/>
        <v/>
      </c>
      <c r="AS1351" s="150" t="str">
        <f t="shared" si="450"/>
        <v/>
      </c>
      <c r="AT1351" s="150" t="str">
        <f t="shared" si="443"/>
        <v/>
      </c>
      <c r="AU1351" s="152"/>
      <c r="AV1351" s="147" t="str">
        <f>'Deterministic Reserve'!BC1351</f>
        <v/>
      </c>
      <c r="AY1351" s="152"/>
    </row>
    <row r="1352" spans="1:51" s="150" customFormat="1" x14ac:dyDescent="0.25">
      <c r="A1352" s="150" t="str">
        <f t="shared" si="451"/>
        <v/>
      </c>
      <c r="B1352" s="150" t="str">
        <f t="shared" si="452"/>
        <v/>
      </c>
      <c r="C1352" s="150" t="str">
        <f t="shared" si="453"/>
        <v/>
      </c>
      <c r="D1352" s="150" t="str">
        <f>IF(E1352="","",Input!$C$4+B1352-1)</f>
        <v/>
      </c>
      <c r="E1352" s="150" t="str">
        <f>IF(OR(AND(C1351=12,D1351=Input!$C$6),E1351=""),"",1)</f>
        <v/>
      </c>
      <c r="G1352" s="151" t="str">
        <f>IF(E1352="","",MAX(0,Input!$C$9-B1352))</f>
        <v/>
      </c>
      <c r="H1352" s="152" t="str">
        <f>IF(E1352="","",Input!$C$3)</f>
        <v/>
      </c>
      <c r="I1352" s="153" t="str">
        <f>IF(E1352="","",HLOOKUP($B1352,Input!$C$13:$BT$14,2))</f>
        <v/>
      </c>
      <c r="J1352" s="154"/>
      <c r="K1352" s="150" t="str">
        <f>IF($E1352="","",Input!$C$57)</f>
        <v/>
      </c>
      <c r="L1352" s="150" t="str">
        <f t="shared" si="444"/>
        <v/>
      </c>
      <c r="M1352" s="147" t="str">
        <f>IF($E1352="","",VLOOKUP(IF($B1352&lt;=Input!$C$7,$B1352,26),'Mortality Tables'!$A$72:$CA$97,IF($B1352&lt;=Input!$C$7+1,Input!$C$4-16,$D1352-Input!$C$7-16),0)/1000)</f>
        <v/>
      </c>
      <c r="N1352" s="147" t="str">
        <f t="shared" si="435"/>
        <v/>
      </c>
      <c r="O1352" s="157" t="str">
        <f>IF($E1352="","",IF($C1352=12,IF($B1352&lt;Input!$C$9,Input!$C$54,IF($B1352=Input!$C$9,Input!$C$55,Input!$C$56)),0%))</f>
        <v/>
      </c>
      <c r="P1352" s="167" t="str">
        <f>IF($E1352="","",IF($B1352=1,Input!$C$59,IF($B1352&lt;6,Input!$C$60,0%)))</f>
        <v/>
      </c>
      <c r="Q1352" s="162" t="str">
        <f>IF($E1352="","",Input!$C$58)</f>
        <v/>
      </c>
      <c r="R1352" s="156" t="str">
        <f t="shared" si="445"/>
        <v/>
      </c>
      <c r="S1352" s="154" t="str">
        <f t="shared" si="436"/>
        <v/>
      </c>
      <c r="T1352" s="152"/>
      <c r="U1352" s="150" t="str">
        <f t="shared" si="446"/>
        <v/>
      </c>
      <c r="V1352" s="150" t="str">
        <f t="shared" si="447"/>
        <v/>
      </c>
      <c r="W1352" s="168" t="str">
        <f t="shared" si="448"/>
        <v/>
      </c>
      <c r="X1352" s="163" t="str">
        <f t="shared" si="437"/>
        <v/>
      </c>
      <c r="Y1352" s="152"/>
      <c r="Z1352" s="164" t="str">
        <f>IF(AND($C1351=12,$D1351=Input!$C$6),0,IF($E1352="","",V1352+Z1353/(1+L1352)*R1352))</f>
        <v/>
      </c>
      <c r="AA1352" s="164" t="str">
        <f>IF(OR($M1352=1,AND($C1351=12,$D1351=Input!$C$6)),0,IF($E1352="","",W1352+(X1352+AA1353*$R1352)/(1+$L1352)))</f>
        <v/>
      </c>
      <c r="AB1352" s="160" t="str">
        <f t="shared" si="438"/>
        <v/>
      </c>
      <c r="AC1352" s="164" t="str">
        <f t="shared" si="439"/>
        <v/>
      </c>
      <c r="AD1352" s="164" t="str">
        <f>IF(AND($C1351=12,$D1351=Input!$C$6),0,IF($E1352="","",$AC1352+AD1353/(1+$L1352)*$R1352))</f>
        <v/>
      </c>
      <c r="AE1352" s="152"/>
      <c r="AF1352" s="164" t="str">
        <f>IF(AND($C1351=12,$D1351=Input!$C$6),0,IF($E1352="","",IF($B1352&gt;Input!$C$9,$AC1352,0)+AF1353/(1+$L1352)*$R1352))</f>
        <v/>
      </c>
      <c r="AG1352" s="164" t="str">
        <f>IF(AND($C1351=12,$D1351=Input!$C$6),0,IF($E1352="","",(IF($B1352&gt;Input!$C$9,$X1352,0)+AG1353)/(1+$L1352)*$R1352))</f>
        <v/>
      </c>
      <c r="AH1352" s="160" t="str">
        <f t="shared" si="440"/>
        <v/>
      </c>
      <c r="AI1352" s="160" t="str">
        <f>IF($E1352="","",MIN(Input!$C$61/AH1352,1))</f>
        <v/>
      </c>
      <c r="AJ1352" s="152"/>
      <c r="AK1352" s="164" t="str">
        <f>IF(AND($C1351=12,$D1351=Input!$C$6),0,IF($E1352="","",IF($B1352&gt;Input!$C$9,$AC1352*AI1352,0)+AK1353/(1+$L1352)*$R1352))</f>
        <v/>
      </c>
      <c r="AL1352" s="164" t="str">
        <f>IF(AND($C1351=12,$D1351=Input!$C$6),0,IF($E1352="","",IF($B1352&gt;Input!$C$9,0,$AC1352)+AL1353/(1+$L1352)*$R1352))</f>
        <v/>
      </c>
      <c r="AM1352" s="160" t="str">
        <f t="shared" si="441"/>
        <v/>
      </c>
      <c r="AN1352" s="164" t="str">
        <f>IF($E1352="","",IF($B1352&gt;Input!$C$9,$AI1352*$AC1352,$AM1352*$AC1352))</f>
        <v/>
      </c>
      <c r="AO1352" s="164" t="str">
        <f>IF(AND($C1351=12,$D1351=Input!$C$6),0,IF($E1352="","",$AN1352+AO1353/(1+$L1352)*$R1352))</f>
        <v/>
      </c>
      <c r="AP1352" s="152"/>
      <c r="AQ1352" s="150" t="str">
        <f t="shared" si="442"/>
        <v/>
      </c>
      <c r="AR1352" s="150" t="str">
        <f t="shared" si="449"/>
        <v/>
      </c>
      <c r="AS1352" s="150" t="str">
        <f t="shared" si="450"/>
        <v/>
      </c>
      <c r="AT1352" s="150" t="str">
        <f t="shared" si="443"/>
        <v/>
      </c>
      <c r="AU1352" s="152"/>
      <c r="AV1352" s="147" t="str">
        <f>'Deterministic Reserve'!BC1352</f>
        <v/>
      </c>
      <c r="AY1352" s="152"/>
    </row>
    <row r="1353" spans="1:51" s="150" customFormat="1" x14ac:dyDescent="0.25">
      <c r="A1353" s="150" t="str">
        <f t="shared" si="451"/>
        <v/>
      </c>
      <c r="B1353" s="150" t="str">
        <f t="shared" si="452"/>
        <v/>
      </c>
      <c r="C1353" s="150" t="str">
        <f t="shared" si="453"/>
        <v/>
      </c>
      <c r="D1353" s="150" t="str">
        <f>IF(E1353="","",Input!$C$4+B1353-1)</f>
        <v/>
      </c>
      <c r="E1353" s="150" t="str">
        <f>IF(OR(AND(C1352=12,D1352=Input!$C$6),E1352=""),"",1)</f>
        <v/>
      </c>
      <c r="G1353" s="151" t="str">
        <f>IF(E1353="","",MAX(0,Input!$C$9-B1353))</f>
        <v/>
      </c>
      <c r="H1353" s="152" t="str">
        <f>IF(E1353="","",Input!$C$3)</f>
        <v/>
      </c>
      <c r="I1353" s="153" t="str">
        <f>IF(E1353="","",HLOOKUP($B1353,Input!$C$13:$BT$14,2))</f>
        <v/>
      </c>
      <c r="J1353" s="154"/>
      <c r="K1353" s="150" t="str">
        <f>IF($E1353="","",Input!$C$57)</f>
        <v/>
      </c>
      <c r="L1353" s="150" t="str">
        <f t="shared" si="444"/>
        <v/>
      </c>
      <c r="M1353" s="147" t="str">
        <f>IF($E1353="","",VLOOKUP(IF($B1353&lt;=Input!$C$7,$B1353,26),'Mortality Tables'!$A$72:$CA$97,IF($B1353&lt;=Input!$C$7+1,Input!$C$4-16,$D1353-Input!$C$7-16),0)/1000)</f>
        <v/>
      </c>
      <c r="N1353" s="147" t="str">
        <f t="shared" si="435"/>
        <v/>
      </c>
      <c r="O1353" s="157" t="str">
        <f>IF($E1353="","",IF($C1353=12,IF($B1353&lt;Input!$C$9,Input!$C$54,IF($B1353=Input!$C$9,Input!$C$55,Input!$C$56)),0%))</f>
        <v/>
      </c>
      <c r="P1353" s="167" t="str">
        <f>IF($E1353="","",IF($B1353=1,Input!$C$59,IF($B1353&lt;6,Input!$C$60,0%)))</f>
        <v/>
      </c>
      <c r="Q1353" s="162" t="str">
        <f>IF($E1353="","",Input!$C$58)</f>
        <v/>
      </c>
      <c r="R1353" s="156" t="str">
        <f t="shared" si="445"/>
        <v/>
      </c>
      <c r="S1353" s="154" t="str">
        <f t="shared" si="436"/>
        <v/>
      </c>
      <c r="T1353" s="152"/>
      <c r="U1353" s="150" t="str">
        <f t="shared" si="446"/>
        <v/>
      </c>
      <c r="V1353" s="150" t="str">
        <f t="shared" si="447"/>
        <v/>
      </c>
      <c r="W1353" s="168" t="str">
        <f t="shared" si="448"/>
        <v/>
      </c>
      <c r="X1353" s="163" t="str">
        <f t="shared" si="437"/>
        <v/>
      </c>
      <c r="Y1353" s="152"/>
      <c r="Z1353" s="164" t="str">
        <f>IF(AND($C1352=12,$D1352=Input!$C$6),0,IF($E1353="","",V1353+Z1354/(1+L1353)*R1353))</f>
        <v/>
      </c>
      <c r="AA1353" s="164" t="str">
        <f>IF(OR($M1353=1,AND($C1352=12,$D1352=Input!$C$6)),0,IF($E1353="","",W1353+(X1353+AA1354*$R1353)/(1+$L1353)))</f>
        <v/>
      </c>
      <c r="AB1353" s="160" t="str">
        <f t="shared" si="438"/>
        <v/>
      </c>
      <c r="AC1353" s="164" t="str">
        <f t="shared" si="439"/>
        <v/>
      </c>
      <c r="AD1353" s="164" t="str">
        <f>IF(AND($C1352=12,$D1352=Input!$C$6),0,IF($E1353="","",$AC1353+AD1354/(1+$L1353)*$R1353))</f>
        <v/>
      </c>
      <c r="AE1353" s="152"/>
      <c r="AF1353" s="164" t="str">
        <f>IF(AND($C1352=12,$D1352=Input!$C$6),0,IF($E1353="","",IF($B1353&gt;Input!$C$9,$AC1353,0)+AF1354/(1+$L1353)*$R1353))</f>
        <v/>
      </c>
      <c r="AG1353" s="164" t="str">
        <f>IF(AND($C1352=12,$D1352=Input!$C$6),0,IF($E1353="","",(IF($B1353&gt;Input!$C$9,$X1353,0)+AG1354)/(1+$L1353)*$R1353))</f>
        <v/>
      </c>
      <c r="AH1353" s="160" t="str">
        <f t="shared" si="440"/>
        <v/>
      </c>
      <c r="AI1353" s="160" t="str">
        <f>IF($E1353="","",MIN(Input!$C$61/AH1353,1))</f>
        <v/>
      </c>
      <c r="AJ1353" s="152"/>
      <c r="AK1353" s="164" t="str">
        <f>IF(AND($C1352=12,$D1352=Input!$C$6),0,IF($E1353="","",IF($B1353&gt;Input!$C$9,$AC1353*AI1353,0)+AK1354/(1+$L1353)*$R1353))</f>
        <v/>
      </c>
      <c r="AL1353" s="164" t="str">
        <f>IF(AND($C1352=12,$D1352=Input!$C$6),0,IF($E1353="","",IF($B1353&gt;Input!$C$9,0,$AC1353)+AL1354/(1+$L1353)*$R1353))</f>
        <v/>
      </c>
      <c r="AM1353" s="160" t="str">
        <f t="shared" si="441"/>
        <v/>
      </c>
      <c r="AN1353" s="164" t="str">
        <f>IF($E1353="","",IF($B1353&gt;Input!$C$9,$AI1353*$AC1353,$AM1353*$AC1353))</f>
        <v/>
      </c>
      <c r="AO1353" s="164" t="str">
        <f>IF(AND($C1352=12,$D1352=Input!$C$6),0,IF($E1353="","",$AN1353+AO1354/(1+$L1353)*$R1353))</f>
        <v/>
      </c>
      <c r="AP1353" s="152"/>
      <c r="AQ1353" s="150" t="str">
        <f t="shared" si="442"/>
        <v/>
      </c>
      <c r="AR1353" s="150" t="str">
        <f t="shared" si="449"/>
        <v/>
      </c>
      <c r="AS1353" s="150" t="str">
        <f t="shared" si="450"/>
        <v/>
      </c>
      <c r="AT1353" s="150" t="str">
        <f t="shared" si="443"/>
        <v/>
      </c>
      <c r="AU1353" s="152"/>
      <c r="AV1353" s="147" t="str">
        <f>'Deterministic Reserve'!BC1353</f>
        <v/>
      </c>
      <c r="AY1353" s="152"/>
    </row>
    <row r="1354" spans="1:51" s="150" customFormat="1" x14ac:dyDescent="0.25">
      <c r="A1354" s="150" t="str">
        <f t="shared" si="451"/>
        <v/>
      </c>
      <c r="B1354" s="150" t="str">
        <f t="shared" si="452"/>
        <v/>
      </c>
      <c r="C1354" s="150" t="str">
        <f t="shared" si="453"/>
        <v/>
      </c>
      <c r="D1354" s="150" t="str">
        <f>IF(E1354="","",Input!$C$4+B1354-1)</f>
        <v/>
      </c>
      <c r="E1354" s="150" t="str">
        <f>IF(OR(AND(C1353=12,D1353=Input!$C$6),E1353=""),"",1)</f>
        <v/>
      </c>
      <c r="G1354" s="151" t="str">
        <f>IF(E1354="","",MAX(0,Input!$C$9-B1354))</f>
        <v/>
      </c>
      <c r="H1354" s="152" t="str">
        <f>IF(E1354="","",Input!$C$3)</f>
        <v/>
      </c>
      <c r="I1354" s="153" t="str">
        <f>IF(E1354="","",HLOOKUP($B1354,Input!$C$13:$BT$14,2))</f>
        <v/>
      </c>
      <c r="J1354" s="154"/>
      <c r="K1354" s="150" t="str">
        <f>IF($E1354="","",Input!$C$57)</f>
        <v/>
      </c>
      <c r="L1354" s="150" t="str">
        <f t="shared" si="444"/>
        <v/>
      </c>
      <c r="M1354" s="147" t="str">
        <f>IF($E1354="","",VLOOKUP(IF($B1354&lt;=Input!$C$7,$B1354,26),'Mortality Tables'!$A$72:$CA$97,IF($B1354&lt;=Input!$C$7+1,Input!$C$4-16,$D1354-Input!$C$7-16),0)/1000)</f>
        <v/>
      </c>
      <c r="N1354" s="147" t="str">
        <f t="shared" si="435"/>
        <v/>
      </c>
      <c r="O1354" s="157" t="str">
        <f>IF($E1354="","",IF($C1354=12,IF($B1354&lt;Input!$C$9,Input!$C$54,IF($B1354=Input!$C$9,Input!$C$55,Input!$C$56)),0%))</f>
        <v/>
      </c>
      <c r="P1354" s="167" t="str">
        <f>IF($E1354="","",IF($B1354=1,Input!$C$59,IF($B1354&lt;6,Input!$C$60,0%)))</f>
        <v/>
      </c>
      <c r="Q1354" s="162" t="str">
        <f>IF($E1354="","",Input!$C$58)</f>
        <v/>
      </c>
      <c r="R1354" s="156" t="str">
        <f t="shared" si="445"/>
        <v/>
      </c>
      <c r="S1354" s="154" t="str">
        <f t="shared" si="436"/>
        <v/>
      </c>
      <c r="T1354" s="152"/>
      <c r="U1354" s="150" t="str">
        <f t="shared" si="446"/>
        <v/>
      </c>
      <c r="V1354" s="150" t="str">
        <f t="shared" si="447"/>
        <v/>
      </c>
      <c r="W1354" s="168" t="str">
        <f t="shared" si="448"/>
        <v/>
      </c>
      <c r="X1354" s="163" t="str">
        <f t="shared" si="437"/>
        <v/>
      </c>
      <c r="Y1354" s="152"/>
      <c r="Z1354" s="164" t="str">
        <f>IF(AND($C1353=12,$D1353=Input!$C$6),0,IF($E1354="","",V1354+Z1355/(1+L1354)*R1354))</f>
        <v/>
      </c>
      <c r="AA1354" s="164" t="str">
        <f>IF(OR($M1354=1,AND($C1353=12,$D1353=Input!$C$6)),0,IF($E1354="","",W1354+(X1354+AA1355*$R1354)/(1+$L1354)))</f>
        <v/>
      </c>
      <c r="AB1354" s="160" t="str">
        <f t="shared" si="438"/>
        <v/>
      </c>
      <c r="AC1354" s="164" t="str">
        <f t="shared" si="439"/>
        <v/>
      </c>
      <c r="AD1354" s="164" t="str">
        <f>IF(AND($C1353=12,$D1353=Input!$C$6),0,IF($E1354="","",$AC1354+AD1355/(1+$L1354)*$R1354))</f>
        <v/>
      </c>
      <c r="AE1354" s="152"/>
      <c r="AF1354" s="164" t="str">
        <f>IF(AND($C1353=12,$D1353=Input!$C$6),0,IF($E1354="","",IF($B1354&gt;Input!$C$9,$AC1354,0)+AF1355/(1+$L1354)*$R1354))</f>
        <v/>
      </c>
      <c r="AG1354" s="164" t="str">
        <f>IF(AND($C1353=12,$D1353=Input!$C$6),0,IF($E1354="","",(IF($B1354&gt;Input!$C$9,$X1354,0)+AG1355)/(1+$L1354)*$R1354))</f>
        <v/>
      </c>
      <c r="AH1354" s="160" t="str">
        <f t="shared" si="440"/>
        <v/>
      </c>
      <c r="AI1354" s="160" t="str">
        <f>IF($E1354="","",MIN(Input!$C$61/AH1354,1))</f>
        <v/>
      </c>
      <c r="AJ1354" s="152"/>
      <c r="AK1354" s="164" t="str">
        <f>IF(AND($C1353=12,$D1353=Input!$C$6),0,IF($E1354="","",IF($B1354&gt;Input!$C$9,$AC1354*AI1354,0)+AK1355/(1+$L1354)*$R1354))</f>
        <v/>
      </c>
      <c r="AL1354" s="164" t="str">
        <f>IF(AND($C1353=12,$D1353=Input!$C$6),0,IF($E1354="","",IF($B1354&gt;Input!$C$9,0,$AC1354)+AL1355/(1+$L1354)*$R1354))</f>
        <v/>
      </c>
      <c r="AM1354" s="160" t="str">
        <f t="shared" si="441"/>
        <v/>
      </c>
      <c r="AN1354" s="164" t="str">
        <f>IF($E1354="","",IF($B1354&gt;Input!$C$9,$AI1354*$AC1354,$AM1354*$AC1354))</f>
        <v/>
      </c>
      <c r="AO1354" s="164" t="str">
        <f>IF(AND($C1353=12,$D1353=Input!$C$6),0,IF($E1354="","",$AN1354+AO1355/(1+$L1354)*$R1354))</f>
        <v/>
      </c>
      <c r="AP1354" s="152"/>
      <c r="AQ1354" s="150" t="str">
        <f t="shared" si="442"/>
        <v/>
      </c>
      <c r="AR1354" s="150" t="str">
        <f t="shared" si="449"/>
        <v/>
      </c>
      <c r="AS1354" s="150" t="str">
        <f t="shared" si="450"/>
        <v/>
      </c>
      <c r="AT1354" s="150" t="str">
        <f t="shared" si="443"/>
        <v/>
      </c>
      <c r="AU1354" s="152"/>
      <c r="AV1354" s="147" t="str">
        <f>'Deterministic Reserve'!BC1354</f>
        <v/>
      </c>
      <c r="AY1354" s="152"/>
    </row>
    <row r="1355" spans="1:51" s="150" customFormat="1" x14ac:dyDescent="0.25">
      <c r="A1355" s="150" t="str">
        <f t="shared" si="451"/>
        <v/>
      </c>
      <c r="B1355" s="150" t="str">
        <f t="shared" si="452"/>
        <v/>
      </c>
      <c r="C1355" s="150" t="str">
        <f t="shared" si="453"/>
        <v/>
      </c>
      <c r="D1355" s="150" t="str">
        <f>IF(E1355="","",Input!$C$4+B1355-1)</f>
        <v/>
      </c>
      <c r="E1355" s="150" t="str">
        <f>IF(OR(AND(C1354=12,D1354=Input!$C$6),E1354=""),"",1)</f>
        <v/>
      </c>
      <c r="G1355" s="151" t="str">
        <f>IF(E1355="","",MAX(0,Input!$C$9-B1355))</f>
        <v/>
      </c>
      <c r="H1355" s="152" t="str">
        <f>IF(E1355="","",Input!$C$3)</f>
        <v/>
      </c>
      <c r="I1355" s="153" t="str">
        <f>IF(E1355="","",HLOOKUP($B1355,Input!$C$13:$BT$14,2))</f>
        <v/>
      </c>
      <c r="J1355" s="154"/>
      <c r="K1355" s="150" t="str">
        <f>IF($E1355="","",Input!$C$57)</f>
        <v/>
      </c>
      <c r="L1355" s="150" t="str">
        <f t="shared" si="444"/>
        <v/>
      </c>
      <c r="M1355" s="147" t="str">
        <f>IF($E1355="","",VLOOKUP(IF($B1355&lt;=Input!$C$7,$B1355,26),'Mortality Tables'!$A$72:$CA$97,IF($B1355&lt;=Input!$C$7+1,Input!$C$4-16,$D1355-Input!$C$7-16),0)/1000)</f>
        <v/>
      </c>
      <c r="N1355" s="147" t="str">
        <f t="shared" si="435"/>
        <v/>
      </c>
      <c r="O1355" s="157" t="str">
        <f>IF($E1355="","",IF($C1355=12,IF($B1355&lt;Input!$C$9,Input!$C$54,IF($B1355=Input!$C$9,Input!$C$55,Input!$C$56)),0%))</f>
        <v/>
      </c>
      <c r="P1355" s="167" t="str">
        <f>IF($E1355="","",IF($B1355=1,Input!$C$59,IF($B1355&lt;6,Input!$C$60,0%)))</f>
        <v/>
      </c>
      <c r="Q1355" s="162" t="str">
        <f>IF($E1355="","",Input!$C$58)</f>
        <v/>
      </c>
      <c r="R1355" s="156" t="str">
        <f t="shared" si="445"/>
        <v/>
      </c>
      <c r="S1355" s="154" t="str">
        <f t="shared" si="436"/>
        <v/>
      </c>
      <c r="T1355" s="152"/>
      <c r="U1355" s="150" t="str">
        <f t="shared" si="446"/>
        <v/>
      </c>
      <c r="V1355" s="150" t="str">
        <f t="shared" si="447"/>
        <v/>
      </c>
      <c r="W1355" s="168" t="str">
        <f t="shared" si="448"/>
        <v/>
      </c>
      <c r="X1355" s="163" t="str">
        <f t="shared" si="437"/>
        <v/>
      </c>
      <c r="Y1355" s="152"/>
      <c r="Z1355" s="164" t="str">
        <f>IF(AND($C1354=12,$D1354=Input!$C$6),0,IF($E1355="","",V1355+Z1356/(1+L1355)*R1355))</f>
        <v/>
      </c>
      <c r="AA1355" s="164" t="str">
        <f>IF(OR($M1355=1,AND($C1354=12,$D1354=Input!$C$6)),0,IF($E1355="","",W1355+(X1355+AA1356*$R1355)/(1+$L1355)))</f>
        <v/>
      </c>
      <c r="AB1355" s="160" t="str">
        <f t="shared" si="438"/>
        <v/>
      </c>
      <c r="AC1355" s="164" t="str">
        <f t="shared" si="439"/>
        <v/>
      </c>
      <c r="AD1355" s="164" t="str">
        <f>IF(AND($C1354=12,$D1354=Input!$C$6),0,IF($E1355="","",$AC1355+AD1356/(1+$L1355)*$R1355))</f>
        <v/>
      </c>
      <c r="AE1355" s="152"/>
      <c r="AF1355" s="164" t="str">
        <f>IF(AND($C1354=12,$D1354=Input!$C$6),0,IF($E1355="","",IF($B1355&gt;Input!$C$9,$AC1355,0)+AF1356/(1+$L1355)*$R1355))</f>
        <v/>
      </c>
      <c r="AG1355" s="164" t="str">
        <f>IF(AND($C1354=12,$D1354=Input!$C$6),0,IF($E1355="","",(IF($B1355&gt;Input!$C$9,$X1355,0)+AG1356)/(1+$L1355)*$R1355))</f>
        <v/>
      </c>
      <c r="AH1355" s="160" t="str">
        <f t="shared" si="440"/>
        <v/>
      </c>
      <c r="AI1355" s="160" t="str">
        <f>IF($E1355="","",MIN(Input!$C$61/AH1355,1))</f>
        <v/>
      </c>
      <c r="AJ1355" s="152"/>
      <c r="AK1355" s="164" t="str">
        <f>IF(AND($C1354=12,$D1354=Input!$C$6),0,IF($E1355="","",IF($B1355&gt;Input!$C$9,$AC1355*AI1355,0)+AK1356/(1+$L1355)*$R1355))</f>
        <v/>
      </c>
      <c r="AL1355" s="164" t="str">
        <f>IF(AND($C1354=12,$D1354=Input!$C$6),0,IF($E1355="","",IF($B1355&gt;Input!$C$9,0,$AC1355)+AL1356/(1+$L1355)*$R1355))</f>
        <v/>
      </c>
      <c r="AM1355" s="160" t="str">
        <f t="shared" si="441"/>
        <v/>
      </c>
      <c r="AN1355" s="164" t="str">
        <f>IF($E1355="","",IF($B1355&gt;Input!$C$9,$AI1355*$AC1355,$AM1355*$AC1355))</f>
        <v/>
      </c>
      <c r="AO1355" s="164" t="str">
        <f>IF(AND($C1354=12,$D1354=Input!$C$6),0,IF($E1355="","",$AN1355+AO1356/(1+$L1355)*$R1355))</f>
        <v/>
      </c>
      <c r="AP1355" s="152"/>
      <c r="AQ1355" s="150" t="str">
        <f t="shared" si="442"/>
        <v/>
      </c>
      <c r="AR1355" s="150" t="str">
        <f t="shared" si="449"/>
        <v/>
      </c>
      <c r="AS1355" s="150" t="str">
        <f t="shared" si="450"/>
        <v/>
      </c>
      <c r="AT1355" s="150" t="str">
        <f t="shared" si="443"/>
        <v/>
      </c>
      <c r="AU1355" s="152"/>
      <c r="AV1355" s="147" t="str">
        <f>'Deterministic Reserve'!BC1355</f>
        <v/>
      </c>
      <c r="AY1355" s="152"/>
    </row>
    <row r="1356" spans="1:51" s="150" customFormat="1" x14ac:dyDescent="0.25">
      <c r="A1356" s="150" t="str">
        <f t="shared" si="451"/>
        <v/>
      </c>
      <c r="B1356" s="150" t="str">
        <f t="shared" si="452"/>
        <v/>
      </c>
      <c r="C1356" s="150" t="str">
        <f t="shared" si="453"/>
        <v/>
      </c>
      <c r="D1356" s="150" t="str">
        <f>IF(E1356="","",Input!$C$4+B1356-1)</f>
        <v/>
      </c>
      <c r="E1356" s="150" t="str">
        <f>IF(OR(AND(C1355=12,D1355=Input!$C$6),E1355=""),"",1)</f>
        <v/>
      </c>
      <c r="G1356" s="151" t="str">
        <f>IF(E1356="","",MAX(0,Input!$C$9-B1356))</f>
        <v/>
      </c>
      <c r="H1356" s="152" t="str">
        <f>IF(E1356="","",Input!$C$3)</f>
        <v/>
      </c>
      <c r="I1356" s="153" t="str">
        <f>IF(E1356="","",HLOOKUP($B1356,Input!$C$13:$BT$14,2))</f>
        <v/>
      </c>
      <c r="J1356" s="154"/>
      <c r="K1356" s="150" t="str">
        <f>IF($E1356="","",Input!$C$57)</f>
        <v/>
      </c>
      <c r="L1356" s="150" t="str">
        <f t="shared" si="444"/>
        <v/>
      </c>
      <c r="M1356" s="147" t="str">
        <f>IF($E1356="","",VLOOKUP(IF($B1356&lt;=Input!$C$7,$B1356,26),'Mortality Tables'!$A$72:$CA$97,IF($B1356&lt;=Input!$C$7+1,Input!$C$4-16,$D1356-Input!$C$7-16),0)/1000)</f>
        <v/>
      </c>
      <c r="N1356" s="147" t="str">
        <f t="shared" si="435"/>
        <v/>
      </c>
      <c r="O1356" s="157" t="str">
        <f>IF($E1356="","",IF($C1356=12,IF($B1356&lt;Input!$C$9,Input!$C$54,IF($B1356=Input!$C$9,Input!$C$55,Input!$C$56)),0%))</f>
        <v/>
      </c>
      <c r="P1356" s="167" t="str">
        <f>IF($E1356="","",IF($B1356=1,Input!$C$59,IF($B1356&lt;6,Input!$C$60,0%)))</f>
        <v/>
      </c>
      <c r="Q1356" s="162" t="str">
        <f>IF($E1356="","",Input!$C$58)</f>
        <v/>
      </c>
      <c r="R1356" s="156" t="str">
        <f t="shared" si="445"/>
        <v/>
      </c>
      <c r="S1356" s="154" t="str">
        <f t="shared" si="436"/>
        <v/>
      </c>
      <c r="T1356" s="152"/>
      <c r="U1356" s="150" t="str">
        <f t="shared" si="446"/>
        <v/>
      </c>
      <c r="V1356" s="150" t="str">
        <f t="shared" si="447"/>
        <v/>
      </c>
      <c r="W1356" s="168" t="str">
        <f t="shared" si="448"/>
        <v/>
      </c>
      <c r="X1356" s="163" t="str">
        <f t="shared" si="437"/>
        <v/>
      </c>
      <c r="Y1356" s="152"/>
      <c r="Z1356" s="164" t="str">
        <f>IF(AND($C1355=12,$D1355=Input!$C$6),0,IF($E1356="","",V1356+Z1357/(1+L1356)*R1356))</f>
        <v/>
      </c>
      <c r="AA1356" s="164" t="str">
        <f>IF(OR($M1356=1,AND($C1355=12,$D1355=Input!$C$6)),0,IF($E1356="","",W1356+(X1356+AA1357*$R1356)/(1+$L1356)))</f>
        <v/>
      </c>
      <c r="AB1356" s="160" t="str">
        <f t="shared" si="438"/>
        <v/>
      </c>
      <c r="AC1356" s="164" t="str">
        <f t="shared" si="439"/>
        <v/>
      </c>
      <c r="AD1356" s="164" t="str">
        <f>IF(AND($C1355=12,$D1355=Input!$C$6),0,IF($E1356="","",$AC1356+AD1357/(1+$L1356)*$R1356))</f>
        <v/>
      </c>
      <c r="AE1356" s="152"/>
      <c r="AF1356" s="164" t="str">
        <f>IF(AND($C1355=12,$D1355=Input!$C$6),0,IF($E1356="","",IF($B1356&gt;Input!$C$9,$AC1356,0)+AF1357/(1+$L1356)*$R1356))</f>
        <v/>
      </c>
      <c r="AG1356" s="164" t="str">
        <f>IF(AND($C1355=12,$D1355=Input!$C$6),0,IF($E1356="","",(IF($B1356&gt;Input!$C$9,$X1356,0)+AG1357)/(1+$L1356)*$R1356))</f>
        <v/>
      </c>
      <c r="AH1356" s="160" t="str">
        <f t="shared" si="440"/>
        <v/>
      </c>
      <c r="AI1356" s="160" t="str">
        <f>IF($E1356="","",MIN(Input!$C$61/AH1356,1))</f>
        <v/>
      </c>
      <c r="AJ1356" s="152"/>
      <c r="AK1356" s="164" t="str">
        <f>IF(AND($C1355=12,$D1355=Input!$C$6),0,IF($E1356="","",IF($B1356&gt;Input!$C$9,$AC1356*AI1356,0)+AK1357/(1+$L1356)*$R1356))</f>
        <v/>
      </c>
      <c r="AL1356" s="164" t="str">
        <f>IF(AND($C1355=12,$D1355=Input!$C$6),0,IF($E1356="","",IF($B1356&gt;Input!$C$9,0,$AC1356)+AL1357/(1+$L1356)*$R1356))</f>
        <v/>
      </c>
      <c r="AM1356" s="160" t="str">
        <f t="shared" si="441"/>
        <v/>
      </c>
      <c r="AN1356" s="164" t="str">
        <f>IF($E1356="","",IF($B1356&gt;Input!$C$9,$AI1356*$AC1356,$AM1356*$AC1356))</f>
        <v/>
      </c>
      <c r="AO1356" s="164" t="str">
        <f>IF(AND($C1355=12,$D1355=Input!$C$6),0,IF($E1356="","",$AN1356+AO1357/(1+$L1356)*$R1356))</f>
        <v/>
      </c>
      <c r="AP1356" s="152"/>
      <c r="AQ1356" s="150" t="str">
        <f t="shared" si="442"/>
        <v/>
      </c>
      <c r="AR1356" s="150" t="str">
        <f t="shared" si="449"/>
        <v/>
      </c>
      <c r="AS1356" s="150" t="str">
        <f t="shared" si="450"/>
        <v/>
      </c>
      <c r="AT1356" s="150" t="str">
        <f t="shared" si="443"/>
        <v/>
      </c>
      <c r="AU1356" s="152"/>
      <c r="AV1356" s="147" t="str">
        <f>'Deterministic Reserve'!BC1356</f>
        <v/>
      </c>
      <c r="AY1356" s="152"/>
    </row>
    <row r="1357" spans="1:51" s="150" customFormat="1" x14ac:dyDescent="0.25">
      <c r="A1357" s="150" t="str">
        <f t="shared" si="451"/>
        <v/>
      </c>
      <c r="B1357" s="150" t="str">
        <f t="shared" si="452"/>
        <v/>
      </c>
      <c r="C1357" s="150" t="str">
        <f t="shared" si="453"/>
        <v/>
      </c>
      <c r="D1357" s="150" t="str">
        <f>IF(E1357="","",Input!$C$4+B1357-1)</f>
        <v/>
      </c>
      <c r="E1357" s="150" t="str">
        <f>IF(OR(AND(C1356=12,D1356=Input!$C$6),E1356=""),"",1)</f>
        <v/>
      </c>
      <c r="G1357" s="151" t="str">
        <f>IF(E1357="","",MAX(0,Input!$C$9-B1357))</f>
        <v/>
      </c>
      <c r="H1357" s="152" t="str">
        <f>IF(E1357="","",Input!$C$3)</f>
        <v/>
      </c>
      <c r="I1357" s="153" t="str">
        <f>IF(E1357="","",HLOOKUP($B1357,Input!$C$13:$BT$14,2))</f>
        <v/>
      </c>
      <c r="J1357" s="154"/>
      <c r="K1357" s="150" t="str">
        <f>IF($E1357="","",Input!$C$57)</f>
        <v/>
      </c>
      <c r="L1357" s="150" t="str">
        <f t="shared" si="444"/>
        <v/>
      </c>
      <c r="M1357" s="147" t="str">
        <f>IF($E1357="","",VLOOKUP(IF($B1357&lt;=Input!$C$7,$B1357,26),'Mortality Tables'!$A$72:$CA$97,IF($B1357&lt;=Input!$C$7+1,Input!$C$4-16,$D1357-Input!$C$7-16),0)/1000)</f>
        <v/>
      </c>
      <c r="N1357" s="147" t="str">
        <f t="shared" si="435"/>
        <v/>
      </c>
      <c r="O1357" s="157" t="str">
        <f>IF($E1357="","",IF($C1357=12,IF($B1357&lt;Input!$C$9,Input!$C$54,IF($B1357=Input!$C$9,Input!$C$55,Input!$C$56)),0%))</f>
        <v/>
      </c>
      <c r="P1357" s="167" t="str">
        <f>IF($E1357="","",IF($B1357=1,Input!$C$59,IF($B1357&lt;6,Input!$C$60,0%)))</f>
        <v/>
      </c>
      <c r="Q1357" s="162" t="str">
        <f>IF($E1357="","",Input!$C$58)</f>
        <v/>
      </c>
      <c r="R1357" s="156" t="str">
        <f t="shared" si="445"/>
        <v/>
      </c>
      <c r="S1357" s="154" t="str">
        <f t="shared" si="436"/>
        <v/>
      </c>
      <c r="T1357" s="152"/>
      <c r="U1357" s="150" t="str">
        <f t="shared" si="446"/>
        <v/>
      </c>
      <c r="V1357" s="150" t="str">
        <f t="shared" si="447"/>
        <v/>
      </c>
      <c r="W1357" s="168" t="str">
        <f t="shared" si="448"/>
        <v/>
      </c>
      <c r="X1357" s="163" t="str">
        <f t="shared" si="437"/>
        <v/>
      </c>
      <c r="Y1357" s="152"/>
      <c r="Z1357" s="164" t="str">
        <f>IF(AND($C1356=12,$D1356=Input!$C$6),0,IF($E1357="","",V1357+Z1358/(1+L1357)*R1357))</f>
        <v/>
      </c>
      <c r="AA1357" s="164" t="str">
        <f>IF(OR($M1357=1,AND($C1356=12,$D1356=Input!$C$6)),0,IF($E1357="","",W1357+(X1357+AA1358*$R1357)/(1+$L1357)))</f>
        <v/>
      </c>
      <c r="AB1357" s="160" t="str">
        <f t="shared" si="438"/>
        <v/>
      </c>
      <c r="AC1357" s="164" t="str">
        <f t="shared" si="439"/>
        <v/>
      </c>
      <c r="AD1357" s="164" t="str">
        <f>IF(AND($C1356=12,$D1356=Input!$C$6),0,IF($E1357="","",$AC1357+AD1358/(1+$L1357)*$R1357))</f>
        <v/>
      </c>
      <c r="AE1357" s="152"/>
      <c r="AF1357" s="164" t="str">
        <f>IF(AND($C1356=12,$D1356=Input!$C$6),0,IF($E1357="","",IF($B1357&gt;Input!$C$9,$AC1357,0)+AF1358/(1+$L1357)*$R1357))</f>
        <v/>
      </c>
      <c r="AG1357" s="164" t="str">
        <f>IF(AND($C1356=12,$D1356=Input!$C$6),0,IF($E1357="","",(IF($B1357&gt;Input!$C$9,$X1357,0)+AG1358)/(1+$L1357)*$R1357))</f>
        <v/>
      </c>
      <c r="AH1357" s="160" t="str">
        <f t="shared" si="440"/>
        <v/>
      </c>
      <c r="AI1357" s="160" t="str">
        <f>IF($E1357="","",MIN(Input!$C$61/AH1357,1))</f>
        <v/>
      </c>
      <c r="AJ1357" s="152"/>
      <c r="AK1357" s="164" t="str">
        <f>IF(AND($C1356=12,$D1356=Input!$C$6),0,IF($E1357="","",IF($B1357&gt;Input!$C$9,$AC1357*AI1357,0)+AK1358/(1+$L1357)*$R1357))</f>
        <v/>
      </c>
      <c r="AL1357" s="164" t="str">
        <f>IF(AND($C1356=12,$D1356=Input!$C$6),0,IF($E1357="","",IF($B1357&gt;Input!$C$9,0,$AC1357)+AL1358/(1+$L1357)*$R1357))</f>
        <v/>
      </c>
      <c r="AM1357" s="160" t="str">
        <f t="shared" si="441"/>
        <v/>
      </c>
      <c r="AN1357" s="164" t="str">
        <f>IF($E1357="","",IF($B1357&gt;Input!$C$9,$AI1357*$AC1357,$AM1357*$AC1357))</f>
        <v/>
      </c>
      <c r="AO1357" s="164" t="str">
        <f>IF(AND($C1356=12,$D1356=Input!$C$6),0,IF($E1357="","",$AN1357+AO1358/(1+$L1357)*$R1357))</f>
        <v/>
      </c>
      <c r="AP1357" s="152"/>
      <c r="AQ1357" s="150" t="str">
        <f t="shared" si="442"/>
        <v/>
      </c>
      <c r="AR1357" s="150" t="str">
        <f t="shared" si="449"/>
        <v/>
      </c>
      <c r="AS1357" s="150" t="str">
        <f t="shared" si="450"/>
        <v/>
      </c>
      <c r="AT1357" s="150" t="str">
        <f t="shared" si="443"/>
        <v/>
      </c>
      <c r="AU1357" s="152"/>
      <c r="AV1357" s="147" t="str">
        <f>'Deterministic Reserve'!BC1357</f>
        <v/>
      </c>
      <c r="AY1357" s="152"/>
    </row>
    <row r="1358" spans="1:51" s="150" customFormat="1" x14ac:dyDescent="0.25">
      <c r="A1358" s="150" t="str">
        <f t="shared" si="451"/>
        <v/>
      </c>
      <c r="B1358" s="150" t="str">
        <f t="shared" si="452"/>
        <v/>
      </c>
      <c r="C1358" s="150" t="str">
        <f t="shared" si="453"/>
        <v/>
      </c>
      <c r="D1358" s="150" t="str">
        <f>IF(E1358="","",Input!$C$4+B1358-1)</f>
        <v/>
      </c>
      <c r="E1358" s="150" t="str">
        <f>IF(OR(AND(C1357=12,D1357=Input!$C$6),E1357=""),"",1)</f>
        <v/>
      </c>
      <c r="G1358" s="151" t="str">
        <f>IF(E1358="","",MAX(0,Input!$C$9-B1358))</f>
        <v/>
      </c>
      <c r="H1358" s="152" t="str">
        <f>IF(E1358="","",Input!$C$3)</f>
        <v/>
      </c>
      <c r="I1358" s="153" t="str">
        <f>IF(E1358="","",HLOOKUP($B1358,Input!$C$13:$BT$14,2))</f>
        <v/>
      </c>
      <c r="J1358" s="154"/>
      <c r="K1358" s="150" t="str">
        <f>IF($E1358="","",Input!$C$57)</f>
        <v/>
      </c>
      <c r="L1358" s="150" t="str">
        <f t="shared" si="444"/>
        <v/>
      </c>
      <c r="M1358" s="147" t="str">
        <f>IF($E1358="","",VLOOKUP(IF($B1358&lt;=Input!$C$7,$B1358,26),'Mortality Tables'!$A$72:$CA$97,IF($B1358&lt;=Input!$C$7+1,Input!$C$4-16,$D1358-Input!$C$7-16),0)/1000)</f>
        <v/>
      </c>
      <c r="N1358" s="147" t="str">
        <f t="shared" si="435"/>
        <v/>
      </c>
      <c r="O1358" s="157" t="str">
        <f>IF($E1358="","",IF($C1358=12,IF($B1358&lt;Input!$C$9,Input!$C$54,IF($B1358=Input!$C$9,Input!$C$55,Input!$C$56)),0%))</f>
        <v/>
      </c>
      <c r="P1358" s="167" t="str">
        <f>IF($E1358="","",IF($B1358=1,Input!$C$59,IF($B1358&lt;6,Input!$C$60,0%)))</f>
        <v/>
      </c>
      <c r="Q1358" s="162" t="str">
        <f>IF($E1358="","",Input!$C$58)</f>
        <v/>
      </c>
      <c r="R1358" s="156" t="str">
        <f t="shared" si="445"/>
        <v/>
      </c>
      <c r="S1358" s="154" t="str">
        <f t="shared" si="436"/>
        <v/>
      </c>
      <c r="T1358" s="152"/>
      <c r="U1358" s="150" t="str">
        <f t="shared" si="446"/>
        <v/>
      </c>
      <c r="V1358" s="150" t="str">
        <f t="shared" si="447"/>
        <v/>
      </c>
      <c r="W1358" s="168" t="str">
        <f t="shared" si="448"/>
        <v/>
      </c>
      <c r="X1358" s="163" t="str">
        <f t="shared" si="437"/>
        <v/>
      </c>
      <c r="Y1358" s="152"/>
      <c r="Z1358" s="164" t="str">
        <f>IF(AND($C1357=12,$D1357=Input!$C$6),0,IF($E1358="","",V1358+Z1359/(1+L1358)*R1358))</f>
        <v/>
      </c>
      <c r="AA1358" s="164" t="str">
        <f>IF(OR($M1358=1,AND($C1357=12,$D1357=Input!$C$6)),0,IF($E1358="","",W1358+(X1358+AA1359*$R1358)/(1+$L1358)))</f>
        <v/>
      </c>
      <c r="AB1358" s="160" t="str">
        <f t="shared" si="438"/>
        <v/>
      </c>
      <c r="AC1358" s="164" t="str">
        <f t="shared" si="439"/>
        <v/>
      </c>
      <c r="AD1358" s="164" t="str">
        <f>IF(AND($C1357=12,$D1357=Input!$C$6),0,IF($E1358="","",$AC1358+AD1359/(1+$L1358)*$R1358))</f>
        <v/>
      </c>
      <c r="AE1358" s="152"/>
      <c r="AF1358" s="164" t="str">
        <f>IF(AND($C1357=12,$D1357=Input!$C$6),0,IF($E1358="","",IF($B1358&gt;Input!$C$9,$AC1358,0)+AF1359/(1+$L1358)*$R1358))</f>
        <v/>
      </c>
      <c r="AG1358" s="164" t="str">
        <f>IF(AND($C1357=12,$D1357=Input!$C$6),0,IF($E1358="","",(IF($B1358&gt;Input!$C$9,$X1358,0)+AG1359)/(1+$L1358)*$R1358))</f>
        <v/>
      </c>
      <c r="AH1358" s="160" t="str">
        <f t="shared" si="440"/>
        <v/>
      </c>
      <c r="AI1358" s="160" t="str">
        <f>IF($E1358="","",MIN(Input!$C$61/AH1358,1))</f>
        <v/>
      </c>
      <c r="AJ1358" s="152"/>
      <c r="AK1358" s="164" t="str">
        <f>IF(AND($C1357=12,$D1357=Input!$C$6),0,IF($E1358="","",IF($B1358&gt;Input!$C$9,$AC1358*AI1358,0)+AK1359/(1+$L1358)*$R1358))</f>
        <v/>
      </c>
      <c r="AL1358" s="164" t="str">
        <f>IF(AND($C1357=12,$D1357=Input!$C$6),0,IF($E1358="","",IF($B1358&gt;Input!$C$9,0,$AC1358)+AL1359/(1+$L1358)*$R1358))</f>
        <v/>
      </c>
      <c r="AM1358" s="160" t="str">
        <f t="shared" si="441"/>
        <v/>
      </c>
      <c r="AN1358" s="164" t="str">
        <f>IF($E1358="","",IF($B1358&gt;Input!$C$9,$AI1358*$AC1358,$AM1358*$AC1358))</f>
        <v/>
      </c>
      <c r="AO1358" s="164" t="str">
        <f>IF(AND($C1357=12,$D1357=Input!$C$6),0,IF($E1358="","",$AN1358+AO1359/(1+$L1358)*$R1358))</f>
        <v/>
      </c>
      <c r="AP1358" s="152"/>
      <c r="AQ1358" s="150" t="str">
        <f t="shared" si="442"/>
        <v/>
      </c>
      <c r="AR1358" s="150" t="str">
        <f t="shared" si="449"/>
        <v/>
      </c>
      <c r="AS1358" s="150" t="str">
        <f t="shared" si="450"/>
        <v/>
      </c>
      <c r="AT1358" s="150" t="str">
        <f t="shared" si="443"/>
        <v/>
      </c>
      <c r="AU1358" s="152"/>
      <c r="AV1358" s="147" t="str">
        <f>'Deterministic Reserve'!BC1358</f>
        <v/>
      </c>
      <c r="AY1358" s="152"/>
    </row>
    <row r="1359" spans="1:51" s="150" customFormat="1" x14ac:dyDescent="0.25">
      <c r="A1359" s="150" t="str">
        <f t="shared" si="451"/>
        <v/>
      </c>
      <c r="B1359" s="150" t="str">
        <f t="shared" si="452"/>
        <v/>
      </c>
      <c r="C1359" s="150" t="str">
        <f t="shared" si="453"/>
        <v/>
      </c>
      <c r="D1359" s="150" t="str">
        <f>IF(E1359="","",Input!$C$4+B1359-1)</f>
        <v/>
      </c>
      <c r="E1359" s="150" t="str">
        <f>IF(OR(AND(C1358=12,D1358=Input!$C$6),E1358=""),"",1)</f>
        <v/>
      </c>
      <c r="G1359" s="151" t="str">
        <f>IF(E1359="","",MAX(0,Input!$C$9-B1359))</f>
        <v/>
      </c>
      <c r="H1359" s="152" t="str">
        <f>IF(E1359="","",Input!$C$3)</f>
        <v/>
      </c>
      <c r="I1359" s="153" t="str">
        <f>IF(E1359="","",HLOOKUP($B1359,Input!$C$13:$BT$14,2))</f>
        <v/>
      </c>
      <c r="J1359" s="154"/>
      <c r="K1359" s="150" t="str">
        <f>IF($E1359="","",Input!$C$57)</f>
        <v/>
      </c>
      <c r="L1359" s="150" t="str">
        <f t="shared" si="444"/>
        <v/>
      </c>
      <c r="M1359" s="147" t="str">
        <f>IF($E1359="","",VLOOKUP(IF($B1359&lt;=Input!$C$7,$B1359,26),'Mortality Tables'!$A$72:$CA$97,IF($B1359&lt;=Input!$C$7+1,Input!$C$4-16,$D1359-Input!$C$7-16),0)/1000)</f>
        <v/>
      </c>
      <c r="N1359" s="147" t="str">
        <f t="shared" si="435"/>
        <v/>
      </c>
      <c r="O1359" s="157" t="str">
        <f>IF($E1359="","",IF($C1359=12,IF($B1359&lt;Input!$C$9,Input!$C$54,IF($B1359=Input!$C$9,Input!$C$55,Input!$C$56)),0%))</f>
        <v/>
      </c>
      <c r="P1359" s="167" t="str">
        <f>IF($E1359="","",IF($B1359=1,Input!$C$59,IF($B1359&lt;6,Input!$C$60,0%)))</f>
        <v/>
      </c>
      <c r="Q1359" s="162" t="str">
        <f>IF($E1359="","",Input!$C$58)</f>
        <v/>
      </c>
      <c r="R1359" s="156" t="str">
        <f t="shared" si="445"/>
        <v/>
      </c>
      <c r="S1359" s="154" t="str">
        <f t="shared" si="436"/>
        <v/>
      </c>
      <c r="T1359" s="152"/>
      <c r="U1359" s="150" t="str">
        <f t="shared" si="446"/>
        <v/>
      </c>
      <c r="V1359" s="150" t="str">
        <f t="shared" si="447"/>
        <v/>
      </c>
      <c r="W1359" s="168" t="str">
        <f t="shared" si="448"/>
        <v/>
      </c>
      <c r="X1359" s="163" t="str">
        <f t="shared" si="437"/>
        <v/>
      </c>
      <c r="Y1359" s="152"/>
      <c r="Z1359" s="164" t="str">
        <f>IF(AND($C1358=12,$D1358=Input!$C$6),0,IF($E1359="","",V1359+Z1360/(1+L1359)*R1359))</f>
        <v/>
      </c>
      <c r="AA1359" s="164" t="str">
        <f>IF(OR($M1359=1,AND($C1358=12,$D1358=Input!$C$6)),0,IF($E1359="","",W1359+(X1359+AA1360*$R1359)/(1+$L1359)))</f>
        <v/>
      </c>
      <c r="AB1359" s="160" t="str">
        <f t="shared" si="438"/>
        <v/>
      </c>
      <c r="AC1359" s="164" t="str">
        <f t="shared" si="439"/>
        <v/>
      </c>
      <c r="AD1359" s="164" t="str">
        <f>IF(AND($C1358=12,$D1358=Input!$C$6),0,IF($E1359="","",$AC1359+AD1360/(1+$L1359)*$R1359))</f>
        <v/>
      </c>
      <c r="AE1359" s="152"/>
      <c r="AF1359" s="164" t="str">
        <f>IF(AND($C1358=12,$D1358=Input!$C$6),0,IF($E1359="","",IF($B1359&gt;Input!$C$9,$AC1359,0)+AF1360/(1+$L1359)*$R1359))</f>
        <v/>
      </c>
      <c r="AG1359" s="164" t="str">
        <f>IF(AND($C1358=12,$D1358=Input!$C$6),0,IF($E1359="","",(IF($B1359&gt;Input!$C$9,$X1359,0)+AG1360)/(1+$L1359)*$R1359))</f>
        <v/>
      </c>
      <c r="AH1359" s="160" t="str">
        <f t="shared" si="440"/>
        <v/>
      </c>
      <c r="AI1359" s="160" t="str">
        <f>IF($E1359="","",MIN(Input!$C$61/AH1359,1))</f>
        <v/>
      </c>
      <c r="AJ1359" s="152"/>
      <c r="AK1359" s="164" t="str">
        <f>IF(AND($C1358=12,$D1358=Input!$C$6),0,IF($E1359="","",IF($B1359&gt;Input!$C$9,$AC1359*AI1359,0)+AK1360/(1+$L1359)*$R1359))</f>
        <v/>
      </c>
      <c r="AL1359" s="164" t="str">
        <f>IF(AND($C1358=12,$D1358=Input!$C$6),0,IF($E1359="","",IF($B1359&gt;Input!$C$9,0,$AC1359)+AL1360/(1+$L1359)*$R1359))</f>
        <v/>
      </c>
      <c r="AM1359" s="160" t="str">
        <f t="shared" si="441"/>
        <v/>
      </c>
      <c r="AN1359" s="164" t="str">
        <f>IF($E1359="","",IF($B1359&gt;Input!$C$9,$AI1359*$AC1359,$AM1359*$AC1359))</f>
        <v/>
      </c>
      <c r="AO1359" s="164" t="str">
        <f>IF(AND($C1358=12,$D1358=Input!$C$6),0,IF($E1359="","",$AN1359+AO1360/(1+$L1359)*$R1359))</f>
        <v/>
      </c>
      <c r="AP1359" s="152"/>
      <c r="AQ1359" s="150" t="str">
        <f t="shared" si="442"/>
        <v/>
      </c>
      <c r="AR1359" s="150" t="str">
        <f t="shared" si="449"/>
        <v/>
      </c>
      <c r="AS1359" s="150" t="str">
        <f t="shared" si="450"/>
        <v/>
      </c>
      <c r="AT1359" s="150" t="str">
        <f t="shared" si="443"/>
        <v/>
      </c>
      <c r="AU1359" s="152"/>
      <c r="AV1359" s="147" t="str">
        <f>'Deterministic Reserve'!BC1359</f>
        <v/>
      </c>
      <c r="AY1359" s="152"/>
    </row>
    <row r="1360" spans="1:51" s="150" customFormat="1" x14ac:dyDescent="0.25">
      <c r="A1360" s="150" t="str">
        <f t="shared" si="451"/>
        <v/>
      </c>
      <c r="B1360" s="150" t="str">
        <f t="shared" si="452"/>
        <v/>
      </c>
      <c r="C1360" s="150" t="str">
        <f t="shared" si="453"/>
        <v/>
      </c>
      <c r="D1360" s="150" t="str">
        <f>IF(E1360="","",Input!$C$4+B1360-1)</f>
        <v/>
      </c>
      <c r="E1360" s="150" t="str">
        <f>IF(OR(AND(C1359=12,D1359=Input!$C$6),E1359=""),"",1)</f>
        <v/>
      </c>
      <c r="G1360" s="151" t="str">
        <f>IF(E1360="","",MAX(0,Input!$C$9-B1360))</f>
        <v/>
      </c>
      <c r="H1360" s="152" t="str">
        <f>IF(E1360="","",Input!$C$3)</f>
        <v/>
      </c>
      <c r="I1360" s="153" t="str">
        <f>IF(E1360="","",HLOOKUP($B1360,Input!$C$13:$BT$14,2))</f>
        <v/>
      </c>
      <c r="J1360" s="154"/>
      <c r="K1360" s="150" t="str">
        <f>IF($E1360="","",Input!$C$57)</f>
        <v/>
      </c>
      <c r="L1360" s="150" t="str">
        <f t="shared" si="444"/>
        <v/>
      </c>
      <c r="M1360" s="147" t="str">
        <f>IF($E1360="","",VLOOKUP(IF($B1360&lt;=Input!$C$7,$B1360,26),'Mortality Tables'!$A$72:$CA$97,IF($B1360&lt;=Input!$C$7+1,Input!$C$4-16,$D1360-Input!$C$7-16),0)/1000)</f>
        <v/>
      </c>
      <c r="N1360" s="147" t="str">
        <f t="shared" si="435"/>
        <v/>
      </c>
      <c r="O1360" s="157" t="str">
        <f>IF($E1360="","",IF($C1360=12,IF($B1360&lt;Input!$C$9,Input!$C$54,IF($B1360=Input!$C$9,Input!$C$55,Input!$C$56)),0%))</f>
        <v/>
      </c>
      <c r="P1360" s="167" t="str">
        <f>IF($E1360="","",IF($B1360=1,Input!$C$59,IF($B1360&lt;6,Input!$C$60,0%)))</f>
        <v/>
      </c>
      <c r="Q1360" s="162" t="str">
        <f>IF($E1360="","",Input!$C$58)</f>
        <v/>
      </c>
      <c r="R1360" s="156" t="str">
        <f t="shared" si="445"/>
        <v/>
      </c>
      <c r="S1360" s="154" t="str">
        <f t="shared" si="436"/>
        <v/>
      </c>
      <c r="T1360" s="152"/>
      <c r="U1360" s="150" t="str">
        <f t="shared" si="446"/>
        <v/>
      </c>
      <c r="V1360" s="150" t="str">
        <f t="shared" si="447"/>
        <v/>
      </c>
      <c r="W1360" s="168" t="str">
        <f t="shared" si="448"/>
        <v/>
      </c>
      <c r="X1360" s="163" t="str">
        <f t="shared" si="437"/>
        <v/>
      </c>
      <c r="Y1360" s="152"/>
      <c r="Z1360" s="164" t="str">
        <f>IF(AND($C1359=12,$D1359=Input!$C$6),0,IF($E1360="","",V1360+Z1361/(1+L1360)*R1360))</f>
        <v/>
      </c>
      <c r="AA1360" s="164" t="str">
        <f>IF(OR($M1360=1,AND($C1359=12,$D1359=Input!$C$6)),0,IF($E1360="","",W1360+(X1360+AA1361*$R1360)/(1+$L1360)))</f>
        <v/>
      </c>
      <c r="AB1360" s="160" t="str">
        <f t="shared" si="438"/>
        <v/>
      </c>
      <c r="AC1360" s="164" t="str">
        <f t="shared" si="439"/>
        <v/>
      </c>
      <c r="AD1360" s="164" t="str">
        <f>IF(AND($C1359=12,$D1359=Input!$C$6),0,IF($E1360="","",$AC1360+AD1361/(1+$L1360)*$R1360))</f>
        <v/>
      </c>
      <c r="AE1360" s="152"/>
      <c r="AF1360" s="164" t="str">
        <f>IF(AND($C1359=12,$D1359=Input!$C$6),0,IF($E1360="","",IF($B1360&gt;Input!$C$9,$AC1360,0)+AF1361/(1+$L1360)*$R1360))</f>
        <v/>
      </c>
      <c r="AG1360" s="164" t="str">
        <f>IF(AND($C1359=12,$D1359=Input!$C$6),0,IF($E1360="","",(IF($B1360&gt;Input!$C$9,$X1360,0)+AG1361)/(1+$L1360)*$R1360))</f>
        <v/>
      </c>
      <c r="AH1360" s="160" t="str">
        <f t="shared" si="440"/>
        <v/>
      </c>
      <c r="AI1360" s="160" t="str">
        <f>IF($E1360="","",MIN(Input!$C$61/AH1360,1))</f>
        <v/>
      </c>
      <c r="AJ1360" s="152"/>
      <c r="AK1360" s="164" t="str">
        <f>IF(AND($C1359=12,$D1359=Input!$C$6),0,IF($E1360="","",IF($B1360&gt;Input!$C$9,$AC1360*AI1360,0)+AK1361/(1+$L1360)*$R1360))</f>
        <v/>
      </c>
      <c r="AL1360" s="164" t="str">
        <f>IF(AND($C1359=12,$D1359=Input!$C$6),0,IF($E1360="","",IF($B1360&gt;Input!$C$9,0,$AC1360)+AL1361/(1+$L1360)*$R1360))</f>
        <v/>
      </c>
      <c r="AM1360" s="160" t="str">
        <f t="shared" si="441"/>
        <v/>
      </c>
      <c r="AN1360" s="164" t="str">
        <f>IF($E1360="","",IF($B1360&gt;Input!$C$9,$AI1360*$AC1360,$AM1360*$AC1360))</f>
        <v/>
      </c>
      <c r="AO1360" s="164" t="str">
        <f>IF(AND($C1359=12,$D1359=Input!$C$6),0,IF($E1360="","",$AN1360+AO1361/(1+$L1360)*$R1360))</f>
        <v/>
      </c>
      <c r="AP1360" s="152"/>
      <c r="AQ1360" s="150" t="str">
        <f t="shared" si="442"/>
        <v/>
      </c>
      <c r="AR1360" s="150" t="str">
        <f t="shared" si="449"/>
        <v/>
      </c>
      <c r="AS1360" s="150" t="str">
        <f t="shared" si="450"/>
        <v/>
      </c>
      <c r="AT1360" s="150" t="str">
        <f t="shared" si="443"/>
        <v/>
      </c>
      <c r="AU1360" s="152"/>
      <c r="AV1360" s="147" t="str">
        <f>'Deterministic Reserve'!BC1360</f>
        <v/>
      </c>
      <c r="AY1360" s="152"/>
    </row>
    <row r="1361" spans="1:51" s="150" customFormat="1" x14ac:dyDescent="0.25">
      <c r="A1361" s="150" t="str">
        <f t="shared" si="451"/>
        <v/>
      </c>
      <c r="B1361" s="150" t="str">
        <f t="shared" si="452"/>
        <v/>
      </c>
      <c r="C1361" s="150" t="str">
        <f t="shared" si="453"/>
        <v/>
      </c>
      <c r="D1361" s="150" t="str">
        <f>IF(E1361="","",Input!$C$4+B1361-1)</f>
        <v/>
      </c>
      <c r="E1361" s="150" t="str">
        <f>IF(OR(AND(C1360=12,D1360=Input!$C$6),E1360=""),"",1)</f>
        <v/>
      </c>
      <c r="G1361" s="151" t="str">
        <f>IF(E1361="","",MAX(0,Input!$C$9-B1361))</f>
        <v/>
      </c>
      <c r="H1361" s="152" t="str">
        <f>IF(E1361="","",Input!$C$3)</f>
        <v/>
      </c>
      <c r="I1361" s="153" t="str">
        <f>IF(E1361="","",HLOOKUP($B1361,Input!$C$13:$BT$14,2))</f>
        <v/>
      </c>
      <c r="J1361" s="154"/>
      <c r="K1361" s="150" t="str">
        <f>IF($E1361="","",Input!$C$57)</f>
        <v/>
      </c>
      <c r="L1361" s="150" t="str">
        <f t="shared" si="444"/>
        <v/>
      </c>
      <c r="M1361" s="147" t="str">
        <f>IF($E1361="","",VLOOKUP(IF($B1361&lt;=Input!$C$7,$B1361,26),'Mortality Tables'!$A$72:$CA$97,IF($B1361&lt;=Input!$C$7+1,Input!$C$4-16,$D1361-Input!$C$7-16),0)/1000)</f>
        <v/>
      </c>
      <c r="N1361" s="147" t="str">
        <f t="shared" si="435"/>
        <v/>
      </c>
      <c r="O1361" s="157" t="str">
        <f>IF($E1361="","",IF($C1361=12,IF($B1361&lt;Input!$C$9,Input!$C$54,IF($B1361=Input!$C$9,Input!$C$55,Input!$C$56)),0%))</f>
        <v/>
      </c>
      <c r="P1361" s="167" t="str">
        <f>IF($E1361="","",IF($B1361=1,Input!$C$59,IF($B1361&lt;6,Input!$C$60,0%)))</f>
        <v/>
      </c>
      <c r="Q1361" s="162" t="str">
        <f>IF($E1361="","",Input!$C$58)</f>
        <v/>
      </c>
      <c r="R1361" s="156" t="str">
        <f t="shared" si="445"/>
        <v/>
      </c>
      <c r="S1361" s="154" t="str">
        <f t="shared" si="436"/>
        <v/>
      </c>
      <c r="T1361" s="152"/>
      <c r="U1361" s="150" t="str">
        <f t="shared" si="446"/>
        <v/>
      </c>
      <c r="V1361" s="150" t="str">
        <f t="shared" si="447"/>
        <v/>
      </c>
      <c r="W1361" s="168" t="str">
        <f t="shared" si="448"/>
        <v/>
      </c>
      <c r="X1361" s="163" t="str">
        <f t="shared" si="437"/>
        <v/>
      </c>
      <c r="Y1361" s="152"/>
      <c r="Z1361" s="164" t="str">
        <f>IF(AND($C1360=12,$D1360=Input!$C$6),0,IF($E1361="","",V1361+Z1362/(1+L1361)*R1361))</f>
        <v/>
      </c>
      <c r="AA1361" s="164" t="str">
        <f>IF(OR($M1361=1,AND($C1360=12,$D1360=Input!$C$6)),0,IF($E1361="","",W1361+(X1361+AA1362*$R1361)/(1+$L1361)))</f>
        <v/>
      </c>
      <c r="AB1361" s="160" t="str">
        <f t="shared" si="438"/>
        <v/>
      </c>
      <c r="AC1361" s="164" t="str">
        <f t="shared" si="439"/>
        <v/>
      </c>
      <c r="AD1361" s="164" t="str">
        <f>IF(AND($C1360=12,$D1360=Input!$C$6),0,IF($E1361="","",$AC1361+AD1362/(1+$L1361)*$R1361))</f>
        <v/>
      </c>
      <c r="AE1361" s="152"/>
      <c r="AF1361" s="164" t="str">
        <f>IF(AND($C1360=12,$D1360=Input!$C$6),0,IF($E1361="","",IF($B1361&gt;Input!$C$9,$AC1361,0)+AF1362/(1+$L1361)*$R1361))</f>
        <v/>
      </c>
      <c r="AG1361" s="164" t="str">
        <f>IF(AND($C1360=12,$D1360=Input!$C$6),0,IF($E1361="","",(IF($B1361&gt;Input!$C$9,$X1361,0)+AG1362)/(1+$L1361)*$R1361))</f>
        <v/>
      </c>
      <c r="AH1361" s="160" t="str">
        <f t="shared" si="440"/>
        <v/>
      </c>
      <c r="AI1361" s="160" t="str">
        <f>IF($E1361="","",MIN(Input!$C$61/AH1361,1))</f>
        <v/>
      </c>
      <c r="AJ1361" s="152"/>
      <c r="AK1361" s="164" t="str">
        <f>IF(AND($C1360=12,$D1360=Input!$C$6),0,IF($E1361="","",IF($B1361&gt;Input!$C$9,$AC1361*AI1361,0)+AK1362/(1+$L1361)*$R1361))</f>
        <v/>
      </c>
      <c r="AL1361" s="164" t="str">
        <f>IF(AND($C1360=12,$D1360=Input!$C$6),0,IF($E1361="","",IF($B1361&gt;Input!$C$9,0,$AC1361)+AL1362/(1+$L1361)*$R1361))</f>
        <v/>
      </c>
      <c r="AM1361" s="160" t="str">
        <f t="shared" si="441"/>
        <v/>
      </c>
      <c r="AN1361" s="164" t="str">
        <f>IF($E1361="","",IF($B1361&gt;Input!$C$9,$AI1361*$AC1361,$AM1361*$AC1361))</f>
        <v/>
      </c>
      <c r="AO1361" s="164" t="str">
        <f>IF(AND($C1360=12,$D1360=Input!$C$6),0,IF($E1361="","",$AN1361+AO1362/(1+$L1361)*$R1361))</f>
        <v/>
      </c>
      <c r="AP1361" s="152"/>
      <c r="AQ1361" s="150" t="str">
        <f t="shared" si="442"/>
        <v/>
      </c>
      <c r="AR1361" s="150" t="str">
        <f t="shared" si="449"/>
        <v/>
      </c>
      <c r="AS1361" s="150" t="str">
        <f t="shared" si="450"/>
        <v/>
      </c>
      <c r="AT1361" s="150" t="str">
        <f t="shared" si="443"/>
        <v/>
      </c>
      <c r="AU1361" s="152"/>
      <c r="AV1361" s="147" t="str">
        <f>'Deterministic Reserve'!BC1361</f>
        <v/>
      </c>
      <c r="AY1361" s="152"/>
    </row>
    <row r="1362" spans="1:51" s="150" customFormat="1" x14ac:dyDescent="0.25">
      <c r="A1362" s="150" t="str">
        <f t="shared" si="451"/>
        <v/>
      </c>
      <c r="B1362" s="150" t="str">
        <f t="shared" si="452"/>
        <v/>
      </c>
      <c r="C1362" s="150" t="str">
        <f t="shared" si="453"/>
        <v/>
      </c>
      <c r="D1362" s="150" t="str">
        <f>IF(E1362="","",Input!$C$4+B1362-1)</f>
        <v/>
      </c>
      <c r="E1362" s="150" t="str">
        <f>IF(OR(AND(C1361=12,D1361=Input!$C$6),E1361=""),"",1)</f>
        <v/>
      </c>
      <c r="G1362" s="151" t="str">
        <f>IF(E1362="","",MAX(0,Input!$C$9-B1362))</f>
        <v/>
      </c>
      <c r="H1362" s="152" t="str">
        <f>IF(E1362="","",Input!$C$3)</f>
        <v/>
      </c>
      <c r="I1362" s="153" t="str">
        <f>IF(E1362="","",HLOOKUP($B1362,Input!$C$13:$BT$14,2))</f>
        <v/>
      </c>
      <c r="J1362" s="154"/>
      <c r="K1362" s="150" t="str">
        <f>IF($E1362="","",Input!$C$57)</f>
        <v/>
      </c>
      <c r="L1362" s="150" t="str">
        <f t="shared" si="444"/>
        <v/>
      </c>
      <c r="M1362" s="147" t="str">
        <f>IF($E1362="","",VLOOKUP(IF($B1362&lt;=Input!$C$7,$B1362,26),'Mortality Tables'!$A$72:$CA$97,IF($B1362&lt;=Input!$C$7+1,Input!$C$4-16,$D1362-Input!$C$7-16),0)/1000)</f>
        <v/>
      </c>
      <c r="N1362" s="147" t="str">
        <f t="shared" si="435"/>
        <v/>
      </c>
      <c r="O1362" s="157" t="str">
        <f>IF($E1362="","",IF($C1362=12,IF($B1362&lt;Input!$C$9,Input!$C$54,IF($B1362=Input!$C$9,Input!$C$55,Input!$C$56)),0%))</f>
        <v/>
      </c>
      <c r="P1362" s="167" t="str">
        <f>IF($E1362="","",IF($B1362=1,Input!$C$59,IF($B1362&lt;6,Input!$C$60,0%)))</f>
        <v/>
      </c>
      <c r="Q1362" s="162" t="str">
        <f>IF($E1362="","",Input!$C$58)</f>
        <v/>
      </c>
      <c r="R1362" s="156" t="str">
        <f t="shared" si="445"/>
        <v/>
      </c>
      <c r="S1362" s="154" t="str">
        <f t="shared" si="436"/>
        <v/>
      </c>
      <c r="T1362" s="152"/>
      <c r="U1362" s="150" t="str">
        <f t="shared" si="446"/>
        <v/>
      </c>
      <c r="V1362" s="150" t="str">
        <f t="shared" si="447"/>
        <v/>
      </c>
      <c r="W1362" s="168" t="str">
        <f t="shared" si="448"/>
        <v/>
      </c>
      <c r="X1362" s="163" t="str">
        <f t="shared" si="437"/>
        <v/>
      </c>
      <c r="Y1362" s="152"/>
      <c r="Z1362" s="164" t="str">
        <f>IF(AND($C1361=12,$D1361=Input!$C$6),0,IF($E1362="","",V1362+Z1363/(1+L1362)*R1362))</f>
        <v/>
      </c>
      <c r="AA1362" s="164" t="str">
        <f>IF(OR($M1362=1,AND($C1361=12,$D1361=Input!$C$6)),0,IF($E1362="","",W1362+(X1362+AA1363*$R1362)/(1+$L1362)))</f>
        <v/>
      </c>
      <c r="AB1362" s="160" t="str">
        <f t="shared" si="438"/>
        <v/>
      </c>
      <c r="AC1362" s="164" t="str">
        <f t="shared" si="439"/>
        <v/>
      </c>
      <c r="AD1362" s="164" t="str">
        <f>IF(AND($C1361=12,$D1361=Input!$C$6),0,IF($E1362="","",$AC1362+AD1363/(1+$L1362)*$R1362))</f>
        <v/>
      </c>
      <c r="AE1362" s="152"/>
      <c r="AF1362" s="164" t="str">
        <f>IF(AND($C1361=12,$D1361=Input!$C$6),0,IF($E1362="","",IF($B1362&gt;Input!$C$9,$AC1362,0)+AF1363/(1+$L1362)*$R1362))</f>
        <v/>
      </c>
      <c r="AG1362" s="164" t="str">
        <f>IF(AND($C1361=12,$D1361=Input!$C$6),0,IF($E1362="","",(IF($B1362&gt;Input!$C$9,$X1362,0)+AG1363)/(1+$L1362)*$R1362))</f>
        <v/>
      </c>
      <c r="AH1362" s="160" t="str">
        <f t="shared" si="440"/>
        <v/>
      </c>
      <c r="AI1362" s="160" t="str">
        <f>IF($E1362="","",MIN(Input!$C$61/AH1362,1))</f>
        <v/>
      </c>
      <c r="AJ1362" s="152"/>
      <c r="AK1362" s="164" t="str">
        <f>IF(AND($C1361=12,$D1361=Input!$C$6),0,IF($E1362="","",IF($B1362&gt;Input!$C$9,$AC1362*AI1362,0)+AK1363/(1+$L1362)*$R1362))</f>
        <v/>
      </c>
      <c r="AL1362" s="164" t="str">
        <f>IF(AND($C1361=12,$D1361=Input!$C$6),0,IF($E1362="","",IF($B1362&gt;Input!$C$9,0,$AC1362)+AL1363/(1+$L1362)*$R1362))</f>
        <v/>
      </c>
      <c r="AM1362" s="160" t="str">
        <f t="shared" si="441"/>
        <v/>
      </c>
      <c r="AN1362" s="164" t="str">
        <f>IF($E1362="","",IF($B1362&gt;Input!$C$9,$AI1362*$AC1362,$AM1362*$AC1362))</f>
        <v/>
      </c>
      <c r="AO1362" s="164" t="str">
        <f>IF(AND($C1361=12,$D1361=Input!$C$6),0,IF($E1362="","",$AN1362+AO1363/(1+$L1362)*$R1362))</f>
        <v/>
      </c>
      <c r="AP1362" s="152"/>
      <c r="AQ1362" s="150" t="str">
        <f t="shared" si="442"/>
        <v/>
      </c>
      <c r="AR1362" s="150" t="str">
        <f t="shared" si="449"/>
        <v/>
      </c>
      <c r="AS1362" s="150" t="str">
        <f t="shared" si="450"/>
        <v/>
      </c>
      <c r="AT1362" s="150" t="str">
        <f t="shared" si="443"/>
        <v/>
      </c>
      <c r="AU1362" s="152"/>
      <c r="AV1362" s="147" t="str">
        <f>'Deterministic Reserve'!BC1362</f>
        <v/>
      </c>
      <c r="AY1362" s="152"/>
    </row>
    <row r="1363" spans="1:51" s="150" customFormat="1" x14ac:dyDescent="0.25">
      <c r="A1363" s="150" t="str">
        <f t="shared" si="451"/>
        <v/>
      </c>
      <c r="B1363" s="150" t="str">
        <f t="shared" si="452"/>
        <v/>
      </c>
      <c r="C1363" s="150" t="str">
        <f t="shared" si="453"/>
        <v/>
      </c>
      <c r="D1363" s="150" t="str">
        <f>IF(E1363="","",Input!$C$4+B1363-1)</f>
        <v/>
      </c>
      <c r="E1363" s="150" t="str">
        <f>IF(OR(AND(C1362=12,D1362=Input!$C$6),E1362=""),"",1)</f>
        <v/>
      </c>
      <c r="G1363" s="151" t="str">
        <f>IF(E1363="","",MAX(0,Input!$C$9-B1363))</f>
        <v/>
      </c>
      <c r="H1363" s="152" t="str">
        <f>IF(E1363="","",Input!$C$3)</f>
        <v/>
      </c>
      <c r="I1363" s="153" t="str">
        <f>IF(E1363="","",HLOOKUP($B1363,Input!$C$13:$BT$14,2))</f>
        <v/>
      </c>
      <c r="J1363" s="154"/>
      <c r="K1363" s="150" t="str">
        <f>IF($E1363="","",Input!$C$57)</f>
        <v/>
      </c>
      <c r="L1363" s="150" t="str">
        <f t="shared" si="444"/>
        <v/>
      </c>
      <c r="M1363" s="147" t="str">
        <f>IF($E1363="","",VLOOKUP(IF($B1363&lt;=Input!$C$7,$B1363,26),'Mortality Tables'!$A$72:$CA$97,IF($B1363&lt;=Input!$C$7+1,Input!$C$4-16,$D1363-Input!$C$7-16),0)/1000)</f>
        <v/>
      </c>
      <c r="N1363" s="147" t="str">
        <f t="shared" si="435"/>
        <v/>
      </c>
      <c r="O1363" s="157" t="str">
        <f>IF($E1363="","",IF($C1363=12,IF($B1363&lt;Input!$C$9,Input!$C$54,IF($B1363=Input!$C$9,Input!$C$55,Input!$C$56)),0%))</f>
        <v/>
      </c>
      <c r="P1363" s="167" t="str">
        <f>IF($E1363="","",IF($B1363=1,Input!$C$59,IF($B1363&lt;6,Input!$C$60,0%)))</f>
        <v/>
      </c>
      <c r="Q1363" s="162" t="str">
        <f>IF($E1363="","",Input!$C$58)</f>
        <v/>
      </c>
      <c r="R1363" s="156" t="str">
        <f t="shared" si="445"/>
        <v/>
      </c>
      <c r="S1363" s="154" t="str">
        <f t="shared" si="436"/>
        <v/>
      </c>
      <c r="T1363" s="152"/>
      <c r="U1363" s="150" t="str">
        <f t="shared" si="446"/>
        <v/>
      </c>
      <c r="V1363" s="150" t="str">
        <f t="shared" si="447"/>
        <v/>
      </c>
      <c r="W1363" s="168" t="str">
        <f t="shared" si="448"/>
        <v/>
      </c>
      <c r="X1363" s="163" t="str">
        <f t="shared" si="437"/>
        <v/>
      </c>
      <c r="Y1363" s="152"/>
      <c r="Z1363" s="164" t="str">
        <f>IF(AND($C1362=12,$D1362=Input!$C$6),0,IF($E1363="","",V1363+Z1364/(1+L1363)*R1363))</f>
        <v/>
      </c>
      <c r="AA1363" s="164" t="str">
        <f>IF(OR($M1363=1,AND($C1362=12,$D1362=Input!$C$6)),0,IF($E1363="","",W1363+(X1363+AA1364*$R1363)/(1+$L1363)))</f>
        <v/>
      </c>
      <c r="AB1363" s="160" t="str">
        <f t="shared" si="438"/>
        <v/>
      </c>
      <c r="AC1363" s="164" t="str">
        <f t="shared" si="439"/>
        <v/>
      </c>
      <c r="AD1363" s="164" t="str">
        <f>IF(AND($C1362=12,$D1362=Input!$C$6),0,IF($E1363="","",$AC1363+AD1364/(1+$L1363)*$R1363))</f>
        <v/>
      </c>
      <c r="AE1363" s="152"/>
      <c r="AF1363" s="164" t="str">
        <f>IF(AND($C1362=12,$D1362=Input!$C$6),0,IF($E1363="","",IF($B1363&gt;Input!$C$9,$AC1363,0)+AF1364/(1+$L1363)*$R1363))</f>
        <v/>
      </c>
      <c r="AG1363" s="164" t="str">
        <f>IF(AND($C1362=12,$D1362=Input!$C$6),0,IF($E1363="","",(IF($B1363&gt;Input!$C$9,$X1363,0)+AG1364)/(1+$L1363)*$R1363))</f>
        <v/>
      </c>
      <c r="AH1363" s="160" t="str">
        <f t="shared" si="440"/>
        <v/>
      </c>
      <c r="AI1363" s="160" t="str">
        <f>IF($E1363="","",MIN(Input!$C$61/AH1363,1))</f>
        <v/>
      </c>
      <c r="AJ1363" s="152"/>
      <c r="AK1363" s="164" t="str">
        <f>IF(AND($C1362=12,$D1362=Input!$C$6),0,IF($E1363="","",IF($B1363&gt;Input!$C$9,$AC1363*AI1363,0)+AK1364/(1+$L1363)*$R1363))</f>
        <v/>
      </c>
      <c r="AL1363" s="164" t="str">
        <f>IF(AND($C1362=12,$D1362=Input!$C$6),0,IF($E1363="","",IF($B1363&gt;Input!$C$9,0,$AC1363)+AL1364/(1+$L1363)*$R1363))</f>
        <v/>
      </c>
      <c r="AM1363" s="160" t="str">
        <f t="shared" si="441"/>
        <v/>
      </c>
      <c r="AN1363" s="164" t="str">
        <f>IF($E1363="","",IF($B1363&gt;Input!$C$9,$AI1363*$AC1363,$AM1363*$AC1363))</f>
        <v/>
      </c>
      <c r="AO1363" s="164" t="str">
        <f>IF(AND($C1362=12,$D1362=Input!$C$6),0,IF($E1363="","",$AN1363+AO1364/(1+$L1363)*$R1363))</f>
        <v/>
      </c>
      <c r="AP1363" s="152"/>
      <c r="AQ1363" s="150" t="str">
        <f t="shared" si="442"/>
        <v/>
      </c>
      <c r="AR1363" s="150" t="str">
        <f t="shared" si="449"/>
        <v/>
      </c>
      <c r="AS1363" s="150" t="str">
        <f t="shared" si="450"/>
        <v/>
      </c>
      <c r="AT1363" s="150" t="str">
        <f t="shared" si="443"/>
        <v/>
      </c>
      <c r="AU1363" s="152"/>
      <c r="AV1363" s="147" t="str">
        <f>'Deterministic Reserve'!BC1363</f>
        <v/>
      </c>
      <c r="AY1363" s="152"/>
    </row>
    <row r="1364" spans="1:51" s="150" customFormat="1" x14ac:dyDescent="0.25">
      <c r="A1364" s="150" t="str">
        <f t="shared" si="451"/>
        <v/>
      </c>
      <c r="B1364" s="150" t="str">
        <f t="shared" si="452"/>
        <v/>
      </c>
      <c r="C1364" s="150" t="str">
        <f t="shared" si="453"/>
        <v/>
      </c>
      <c r="D1364" s="150" t="str">
        <f>IF(E1364="","",Input!$C$4+B1364-1)</f>
        <v/>
      </c>
      <c r="E1364" s="150" t="str">
        <f>IF(OR(AND(C1363=12,D1363=Input!$C$6),E1363=""),"",1)</f>
        <v/>
      </c>
      <c r="G1364" s="151" t="str">
        <f>IF(E1364="","",MAX(0,Input!$C$9-B1364))</f>
        <v/>
      </c>
      <c r="H1364" s="152" t="str">
        <f>IF(E1364="","",Input!$C$3)</f>
        <v/>
      </c>
      <c r="I1364" s="153" t="str">
        <f>IF(E1364="","",HLOOKUP($B1364,Input!$C$13:$BT$14,2))</f>
        <v/>
      </c>
      <c r="J1364" s="154"/>
      <c r="K1364" s="150" t="str">
        <f>IF($E1364="","",Input!$C$57)</f>
        <v/>
      </c>
      <c r="L1364" s="150" t="str">
        <f t="shared" si="444"/>
        <v/>
      </c>
      <c r="M1364" s="147" t="str">
        <f>IF($E1364="","",VLOOKUP(IF($B1364&lt;=Input!$C$7,$B1364,26),'Mortality Tables'!$A$72:$CA$97,IF($B1364&lt;=Input!$C$7+1,Input!$C$4-16,$D1364-Input!$C$7-16),0)/1000)</f>
        <v/>
      </c>
      <c r="N1364" s="147" t="str">
        <f t="shared" si="435"/>
        <v/>
      </c>
      <c r="O1364" s="157" t="str">
        <f>IF($E1364="","",IF($C1364=12,IF($B1364&lt;Input!$C$9,Input!$C$54,IF($B1364=Input!$C$9,Input!$C$55,Input!$C$56)),0%))</f>
        <v/>
      </c>
      <c r="P1364" s="167" t="str">
        <f>IF($E1364="","",IF($B1364=1,Input!$C$59,IF($B1364&lt;6,Input!$C$60,0%)))</f>
        <v/>
      </c>
      <c r="Q1364" s="162" t="str">
        <f>IF($E1364="","",Input!$C$58)</f>
        <v/>
      </c>
      <c r="R1364" s="156" t="str">
        <f t="shared" si="445"/>
        <v/>
      </c>
      <c r="S1364" s="154" t="str">
        <f t="shared" si="436"/>
        <v/>
      </c>
      <c r="T1364" s="152"/>
      <c r="U1364" s="150" t="str">
        <f t="shared" si="446"/>
        <v/>
      </c>
      <c r="V1364" s="150" t="str">
        <f t="shared" si="447"/>
        <v/>
      </c>
      <c r="W1364" s="168" t="str">
        <f t="shared" si="448"/>
        <v/>
      </c>
      <c r="X1364" s="163" t="str">
        <f t="shared" si="437"/>
        <v/>
      </c>
      <c r="Y1364" s="152"/>
      <c r="Z1364" s="164" t="str">
        <f>IF(AND($C1363=12,$D1363=Input!$C$6),0,IF($E1364="","",V1364+Z1365/(1+L1364)*R1364))</f>
        <v/>
      </c>
      <c r="AA1364" s="164" t="str">
        <f>IF(OR($M1364=1,AND($C1363=12,$D1363=Input!$C$6)),0,IF($E1364="","",W1364+(X1364+AA1365*$R1364)/(1+$L1364)))</f>
        <v/>
      </c>
      <c r="AB1364" s="160" t="str">
        <f t="shared" si="438"/>
        <v/>
      </c>
      <c r="AC1364" s="164" t="str">
        <f t="shared" si="439"/>
        <v/>
      </c>
      <c r="AD1364" s="164" t="str">
        <f>IF(AND($C1363=12,$D1363=Input!$C$6),0,IF($E1364="","",$AC1364+AD1365/(1+$L1364)*$R1364))</f>
        <v/>
      </c>
      <c r="AE1364" s="152"/>
      <c r="AF1364" s="164" t="str">
        <f>IF(AND($C1363=12,$D1363=Input!$C$6),0,IF($E1364="","",IF($B1364&gt;Input!$C$9,$AC1364,0)+AF1365/(1+$L1364)*$R1364))</f>
        <v/>
      </c>
      <c r="AG1364" s="164" t="str">
        <f>IF(AND($C1363=12,$D1363=Input!$C$6),0,IF($E1364="","",(IF($B1364&gt;Input!$C$9,$X1364,0)+AG1365)/(1+$L1364)*$R1364))</f>
        <v/>
      </c>
      <c r="AH1364" s="160" t="str">
        <f t="shared" si="440"/>
        <v/>
      </c>
      <c r="AI1364" s="160" t="str">
        <f>IF($E1364="","",MIN(Input!$C$61/AH1364,1))</f>
        <v/>
      </c>
      <c r="AJ1364" s="152"/>
      <c r="AK1364" s="164" t="str">
        <f>IF(AND($C1363=12,$D1363=Input!$C$6),0,IF($E1364="","",IF($B1364&gt;Input!$C$9,$AC1364*AI1364,0)+AK1365/(1+$L1364)*$R1364))</f>
        <v/>
      </c>
      <c r="AL1364" s="164" t="str">
        <f>IF(AND($C1363=12,$D1363=Input!$C$6),0,IF($E1364="","",IF($B1364&gt;Input!$C$9,0,$AC1364)+AL1365/(1+$L1364)*$R1364))</f>
        <v/>
      </c>
      <c r="AM1364" s="160" t="str">
        <f t="shared" si="441"/>
        <v/>
      </c>
      <c r="AN1364" s="164" t="str">
        <f>IF($E1364="","",IF($B1364&gt;Input!$C$9,$AI1364*$AC1364,$AM1364*$AC1364))</f>
        <v/>
      </c>
      <c r="AO1364" s="164" t="str">
        <f>IF(AND($C1363=12,$D1363=Input!$C$6),0,IF($E1364="","",$AN1364+AO1365/(1+$L1364)*$R1364))</f>
        <v/>
      </c>
      <c r="AP1364" s="152"/>
      <c r="AQ1364" s="150" t="str">
        <f t="shared" si="442"/>
        <v/>
      </c>
      <c r="AR1364" s="150" t="str">
        <f t="shared" si="449"/>
        <v/>
      </c>
      <c r="AS1364" s="150" t="str">
        <f t="shared" si="450"/>
        <v/>
      </c>
      <c r="AT1364" s="150" t="str">
        <f t="shared" si="443"/>
        <v/>
      </c>
      <c r="AU1364" s="152"/>
      <c r="AV1364" s="147" t="str">
        <f>'Deterministic Reserve'!BC1364</f>
        <v/>
      </c>
      <c r="AY1364" s="152"/>
    </row>
    <row r="1365" spans="1:51" s="150" customFormat="1" x14ac:dyDescent="0.25">
      <c r="A1365" s="150" t="str">
        <f t="shared" si="451"/>
        <v/>
      </c>
      <c r="B1365" s="150" t="str">
        <f t="shared" si="452"/>
        <v/>
      </c>
      <c r="C1365" s="150" t="str">
        <f t="shared" si="453"/>
        <v/>
      </c>
      <c r="D1365" s="150" t="str">
        <f>IF(E1365="","",Input!$C$4+B1365-1)</f>
        <v/>
      </c>
      <c r="E1365" s="150" t="str">
        <f>IF(OR(AND(C1364=12,D1364=Input!$C$6),E1364=""),"",1)</f>
        <v/>
      </c>
      <c r="G1365" s="151" t="str">
        <f>IF(E1365="","",MAX(0,Input!$C$9-B1365))</f>
        <v/>
      </c>
      <c r="H1365" s="152" t="str">
        <f>IF(E1365="","",Input!$C$3)</f>
        <v/>
      </c>
      <c r="I1365" s="153" t="str">
        <f>IF(E1365="","",HLOOKUP($B1365,Input!$C$13:$BT$14,2))</f>
        <v/>
      </c>
      <c r="J1365" s="154"/>
      <c r="K1365" s="150" t="str">
        <f>IF($E1365="","",Input!$C$57)</f>
        <v/>
      </c>
      <c r="L1365" s="150" t="str">
        <f t="shared" si="444"/>
        <v/>
      </c>
      <c r="M1365" s="147" t="str">
        <f>IF($E1365="","",VLOOKUP(IF($B1365&lt;=Input!$C$7,$B1365,26),'Mortality Tables'!$A$72:$CA$97,IF($B1365&lt;=Input!$C$7+1,Input!$C$4-16,$D1365-Input!$C$7-16),0)/1000)</f>
        <v/>
      </c>
      <c r="N1365" s="147" t="str">
        <f t="shared" si="435"/>
        <v/>
      </c>
      <c r="O1365" s="157" t="str">
        <f>IF($E1365="","",IF($C1365=12,IF($B1365&lt;Input!$C$9,Input!$C$54,IF($B1365=Input!$C$9,Input!$C$55,Input!$C$56)),0%))</f>
        <v/>
      </c>
      <c r="P1365" s="167" t="str">
        <f>IF($E1365="","",IF($B1365=1,Input!$C$59,IF($B1365&lt;6,Input!$C$60,0%)))</f>
        <v/>
      </c>
      <c r="Q1365" s="162" t="str">
        <f>IF($E1365="","",Input!$C$58)</f>
        <v/>
      </c>
      <c r="R1365" s="156" t="str">
        <f t="shared" si="445"/>
        <v/>
      </c>
      <c r="S1365" s="154" t="str">
        <f t="shared" si="436"/>
        <v/>
      </c>
      <c r="T1365" s="152"/>
      <c r="U1365" s="150" t="str">
        <f t="shared" si="446"/>
        <v/>
      </c>
      <c r="V1365" s="150" t="str">
        <f t="shared" si="447"/>
        <v/>
      </c>
      <c r="W1365" s="168" t="str">
        <f t="shared" si="448"/>
        <v/>
      </c>
      <c r="X1365" s="163" t="str">
        <f t="shared" si="437"/>
        <v/>
      </c>
      <c r="Y1365" s="152"/>
      <c r="Z1365" s="164" t="str">
        <f>IF(AND($C1364=12,$D1364=Input!$C$6),0,IF($E1365="","",V1365+Z1366/(1+L1365)*R1365))</f>
        <v/>
      </c>
      <c r="AA1365" s="164" t="str">
        <f>IF(OR($M1365=1,AND($C1364=12,$D1364=Input!$C$6)),0,IF($E1365="","",W1365+(X1365+AA1366*$R1365)/(1+$L1365)))</f>
        <v/>
      </c>
      <c r="AB1365" s="160" t="str">
        <f t="shared" si="438"/>
        <v/>
      </c>
      <c r="AC1365" s="164" t="str">
        <f t="shared" si="439"/>
        <v/>
      </c>
      <c r="AD1365" s="164" t="str">
        <f>IF(AND($C1364=12,$D1364=Input!$C$6),0,IF($E1365="","",$AC1365+AD1366/(1+$L1365)*$R1365))</f>
        <v/>
      </c>
      <c r="AE1365" s="152"/>
      <c r="AF1365" s="164" t="str">
        <f>IF(AND($C1364=12,$D1364=Input!$C$6),0,IF($E1365="","",IF($B1365&gt;Input!$C$9,$AC1365,0)+AF1366/(1+$L1365)*$R1365))</f>
        <v/>
      </c>
      <c r="AG1365" s="164" t="str">
        <f>IF(AND($C1364=12,$D1364=Input!$C$6),0,IF($E1365="","",(IF($B1365&gt;Input!$C$9,$X1365,0)+AG1366)/(1+$L1365)*$R1365))</f>
        <v/>
      </c>
      <c r="AH1365" s="160" t="str">
        <f t="shared" si="440"/>
        <v/>
      </c>
      <c r="AI1365" s="160" t="str">
        <f>IF($E1365="","",MIN(Input!$C$61/AH1365,1))</f>
        <v/>
      </c>
      <c r="AJ1365" s="152"/>
      <c r="AK1365" s="164" t="str">
        <f>IF(AND($C1364=12,$D1364=Input!$C$6),0,IF($E1365="","",IF($B1365&gt;Input!$C$9,$AC1365*AI1365,0)+AK1366/(1+$L1365)*$R1365))</f>
        <v/>
      </c>
      <c r="AL1365" s="164" t="str">
        <f>IF(AND($C1364=12,$D1364=Input!$C$6),0,IF($E1365="","",IF($B1365&gt;Input!$C$9,0,$AC1365)+AL1366/(1+$L1365)*$R1365))</f>
        <v/>
      </c>
      <c r="AM1365" s="160" t="str">
        <f t="shared" si="441"/>
        <v/>
      </c>
      <c r="AN1365" s="164" t="str">
        <f>IF($E1365="","",IF($B1365&gt;Input!$C$9,$AI1365*$AC1365,$AM1365*$AC1365))</f>
        <v/>
      </c>
      <c r="AO1365" s="164" t="str">
        <f>IF(AND($C1364=12,$D1364=Input!$C$6),0,IF($E1365="","",$AN1365+AO1366/(1+$L1365)*$R1365))</f>
        <v/>
      </c>
      <c r="AP1365" s="152"/>
      <c r="AQ1365" s="150" t="str">
        <f t="shared" si="442"/>
        <v/>
      </c>
      <c r="AR1365" s="150" t="str">
        <f t="shared" si="449"/>
        <v/>
      </c>
      <c r="AS1365" s="150" t="str">
        <f t="shared" si="450"/>
        <v/>
      </c>
      <c r="AT1365" s="150" t="str">
        <f t="shared" si="443"/>
        <v/>
      </c>
      <c r="AU1365" s="152"/>
      <c r="AV1365" s="147" t="str">
        <f>'Deterministic Reserve'!BC1365</f>
        <v/>
      </c>
      <c r="AY1365" s="152"/>
    </row>
    <row r="1366" spans="1:51" s="150" customFormat="1" x14ac:dyDescent="0.25">
      <c r="A1366" s="150" t="str">
        <f t="shared" si="451"/>
        <v/>
      </c>
      <c r="B1366" s="150" t="str">
        <f t="shared" si="452"/>
        <v/>
      </c>
      <c r="C1366" s="150" t="str">
        <f t="shared" si="453"/>
        <v/>
      </c>
      <c r="D1366" s="150" t="str">
        <f>IF(E1366="","",Input!$C$4+B1366-1)</f>
        <v/>
      </c>
      <c r="E1366" s="150" t="str">
        <f>IF(OR(AND(C1365=12,D1365=Input!$C$6),E1365=""),"",1)</f>
        <v/>
      </c>
      <c r="G1366" s="151" t="str">
        <f>IF(E1366="","",MAX(0,Input!$C$9-B1366))</f>
        <v/>
      </c>
      <c r="H1366" s="152" t="str">
        <f>IF(E1366="","",Input!$C$3)</f>
        <v/>
      </c>
      <c r="I1366" s="153" t="str">
        <f>IF(E1366="","",HLOOKUP($B1366,Input!$C$13:$BT$14,2))</f>
        <v/>
      </c>
      <c r="J1366" s="154"/>
      <c r="K1366" s="150" t="str">
        <f>IF($E1366="","",Input!$C$57)</f>
        <v/>
      </c>
      <c r="L1366" s="150" t="str">
        <f t="shared" si="444"/>
        <v/>
      </c>
      <c r="M1366" s="147" t="str">
        <f>IF($E1366="","",VLOOKUP(IF($B1366&lt;=Input!$C$7,$B1366,26),'Mortality Tables'!$A$72:$CA$97,IF($B1366&lt;=Input!$C$7+1,Input!$C$4-16,$D1366-Input!$C$7-16),0)/1000)</f>
        <v/>
      </c>
      <c r="N1366" s="147" t="str">
        <f t="shared" si="435"/>
        <v/>
      </c>
      <c r="O1366" s="157" t="str">
        <f>IF($E1366="","",IF($C1366=12,IF($B1366&lt;Input!$C$9,Input!$C$54,IF($B1366=Input!$C$9,Input!$C$55,Input!$C$56)),0%))</f>
        <v/>
      </c>
      <c r="P1366" s="167" t="str">
        <f>IF($E1366="","",IF($B1366=1,Input!$C$59,IF($B1366&lt;6,Input!$C$60,0%)))</f>
        <v/>
      </c>
      <c r="Q1366" s="162" t="str">
        <f>IF($E1366="","",Input!$C$58)</f>
        <v/>
      </c>
      <c r="R1366" s="156" t="str">
        <f t="shared" si="445"/>
        <v/>
      </c>
      <c r="S1366" s="154" t="str">
        <f t="shared" si="436"/>
        <v/>
      </c>
      <c r="T1366" s="152"/>
      <c r="U1366" s="150" t="str">
        <f t="shared" si="446"/>
        <v/>
      </c>
      <c r="V1366" s="150" t="str">
        <f t="shared" si="447"/>
        <v/>
      </c>
      <c r="W1366" s="168" t="str">
        <f t="shared" si="448"/>
        <v/>
      </c>
      <c r="X1366" s="163" t="str">
        <f t="shared" si="437"/>
        <v/>
      </c>
      <c r="Y1366" s="152"/>
      <c r="Z1366" s="164" t="str">
        <f>IF(AND($C1365=12,$D1365=Input!$C$6),0,IF($E1366="","",V1366+Z1367/(1+L1366)*R1366))</f>
        <v/>
      </c>
      <c r="AA1366" s="164" t="str">
        <f>IF(OR($M1366=1,AND($C1365=12,$D1365=Input!$C$6)),0,IF($E1366="","",W1366+(X1366+AA1367*$R1366)/(1+$L1366)))</f>
        <v/>
      </c>
      <c r="AB1366" s="160" t="str">
        <f t="shared" si="438"/>
        <v/>
      </c>
      <c r="AC1366" s="164" t="str">
        <f t="shared" si="439"/>
        <v/>
      </c>
      <c r="AD1366" s="164" t="str">
        <f>IF(AND($C1365=12,$D1365=Input!$C$6),0,IF($E1366="","",$AC1366+AD1367/(1+$L1366)*$R1366))</f>
        <v/>
      </c>
      <c r="AE1366" s="152"/>
      <c r="AF1366" s="164" t="str">
        <f>IF(AND($C1365=12,$D1365=Input!$C$6),0,IF($E1366="","",IF($B1366&gt;Input!$C$9,$AC1366,0)+AF1367/(1+$L1366)*$R1366))</f>
        <v/>
      </c>
      <c r="AG1366" s="164" t="str">
        <f>IF(AND($C1365=12,$D1365=Input!$C$6),0,IF($E1366="","",(IF($B1366&gt;Input!$C$9,$X1366,0)+AG1367)/(1+$L1366)*$R1366))</f>
        <v/>
      </c>
      <c r="AH1366" s="160" t="str">
        <f t="shared" si="440"/>
        <v/>
      </c>
      <c r="AI1366" s="160" t="str">
        <f>IF($E1366="","",MIN(Input!$C$61/AH1366,1))</f>
        <v/>
      </c>
      <c r="AJ1366" s="152"/>
      <c r="AK1366" s="164" t="str">
        <f>IF(AND($C1365=12,$D1365=Input!$C$6),0,IF($E1366="","",IF($B1366&gt;Input!$C$9,$AC1366*AI1366,0)+AK1367/(1+$L1366)*$R1366))</f>
        <v/>
      </c>
      <c r="AL1366" s="164" t="str">
        <f>IF(AND($C1365=12,$D1365=Input!$C$6),0,IF($E1366="","",IF($B1366&gt;Input!$C$9,0,$AC1366)+AL1367/(1+$L1366)*$R1366))</f>
        <v/>
      </c>
      <c r="AM1366" s="160" t="str">
        <f t="shared" si="441"/>
        <v/>
      </c>
      <c r="AN1366" s="164" t="str">
        <f>IF($E1366="","",IF($B1366&gt;Input!$C$9,$AI1366*$AC1366,$AM1366*$AC1366))</f>
        <v/>
      </c>
      <c r="AO1366" s="164" t="str">
        <f>IF(AND($C1365=12,$D1365=Input!$C$6),0,IF($E1366="","",$AN1366+AO1367/(1+$L1366)*$R1366))</f>
        <v/>
      </c>
      <c r="AP1366" s="152"/>
      <c r="AQ1366" s="150" t="str">
        <f t="shared" si="442"/>
        <v/>
      </c>
      <c r="AR1366" s="150" t="str">
        <f t="shared" si="449"/>
        <v/>
      </c>
      <c r="AS1366" s="150" t="str">
        <f t="shared" si="450"/>
        <v/>
      </c>
      <c r="AT1366" s="150" t="str">
        <f t="shared" si="443"/>
        <v/>
      </c>
      <c r="AU1366" s="152"/>
      <c r="AV1366" s="147" t="str">
        <f>'Deterministic Reserve'!BC1366</f>
        <v/>
      </c>
      <c r="AY1366" s="152"/>
    </row>
    <row r="1367" spans="1:51" s="150" customFormat="1" x14ac:dyDescent="0.25">
      <c r="A1367" s="150" t="str">
        <f t="shared" si="451"/>
        <v/>
      </c>
      <c r="B1367" s="150" t="str">
        <f t="shared" si="452"/>
        <v/>
      </c>
      <c r="C1367" s="150" t="str">
        <f t="shared" si="453"/>
        <v/>
      </c>
      <c r="D1367" s="150" t="str">
        <f>IF(E1367="","",Input!$C$4+B1367-1)</f>
        <v/>
      </c>
      <c r="E1367" s="150" t="str">
        <f>IF(OR(AND(C1366=12,D1366=Input!$C$6),E1366=""),"",1)</f>
        <v/>
      </c>
      <c r="G1367" s="151" t="str">
        <f>IF(E1367="","",MAX(0,Input!$C$9-B1367))</f>
        <v/>
      </c>
      <c r="H1367" s="152" t="str">
        <f>IF(E1367="","",Input!$C$3)</f>
        <v/>
      </c>
      <c r="I1367" s="153" t="str">
        <f>IF(E1367="","",HLOOKUP($B1367,Input!$C$13:$BT$14,2))</f>
        <v/>
      </c>
      <c r="J1367" s="154"/>
      <c r="K1367" s="150" t="str">
        <f>IF($E1367="","",Input!$C$57)</f>
        <v/>
      </c>
      <c r="L1367" s="150" t="str">
        <f t="shared" si="444"/>
        <v/>
      </c>
      <c r="M1367" s="147" t="str">
        <f>IF($E1367="","",VLOOKUP(IF($B1367&lt;=Input!$C$7,$B1367,26),'Mortality Tables'!$A$72:$CA$97,IF($B1367&lt;=Input!$C$7+1,Input!$C$4-16,$D1367-Input!$C$7-16),0)/1000)</f>
        <v/>
      </c>
      <c r="N1367" s="147" t="str">
        <f t="shared" si="435"/>
        <v/>
      </c>
      <c r="O1367" s="157" t="str">
        <f>IF($E1367="","",IF($C1367=12,IF($B1367&lt;Input!$C$9,Input!$C$54,IF($B1367=Input!$C$9,Input!$C$55,Input!$C$56)),0%))</f>
        <v/>
      </c>
      <c r="P1367" s="167" t="str">
        <f>IF($E1367="","",IF($B1367=1,Input!$C$59,IF($B1367&lt;6,Input!$C$60,0%)))</f>
        <v/>
      </c>
      <c r="Q1367" s="162" t="str">
        <f>IF($E1367="","",Input!$C$58)</f>
        <v/>
      </c>
      <c r="R1367" s="156" t="str">
        <f t="shared" si="445"/>
        <v/>
      </c>
      <c r="S1367" s="154" t="str">
        <f t="shared" si="436"/>
        <v/>
      </c>
      <c r="T1367" s="152"/>
      <c r="U1367" s="150" t="str">
        <f t="shared" si="446"/>
        <v/>
      </c>
      <c r="V1367" s="150" t="str">
        <f t="shared" si="447"/>
        <v/>
      </c>
      <c r="W1367" s="168" t="str">
        <f t="shared" si="448"/>
        <v/>
      </c>
      <c r="X1367" s="163" t="str">
        <f t="shared" si="437"/>
        <v/>
      </c>
      <c r="Y1367" s="152"/>
      <c r="Z1367" s="164" t="str">
        <f>IF(AND($C1366=12,$D1366=Input!$C$6),0,IF($E1367="","",V1367+Z1368/(1+L1367)*R1367))</f>
        <v/>
      </c>
      <c r="AA1367" s="164" t="str">
        <f>IF(OR($M1367=1,AND($C1366=12,$D1366=Input!$C$6)),0,IF($E1367="","",W1367+(X1367+AA1368*$R1367)/(1+$L1367)))</f>
        <v/>
      </c>
      <c r="AB1367" s="160" t="str">
        <f t="shared" si="438"/>
        <v/>
      </c>
      <c r="AC1367" s="164" t="str">
        <f t="shared" si="439"/>
        <v/>
      </c>
      <c r="AD1367" s="164" t="str">
        <f>IF(AND($C1366=12,$D1366=Input!$C$6),0,IF($E1367="","",$AC1367+AD1368/(1+$L1367)*$R1367))</f>
        <v/>
      </c>
      <c r="AE1367" s="152"/>
      <c r="AF1367" s="164" t="str">
        <f>IF(AND($C1366=12,$D1366=Input!$C$6),0,IF($E1367="","",IF($B1367&gt;Input!$C$9,$AC1367,0)+AF1368/(1+$L1367)*$R1367))</f>
        <v/>
      </c>
      <c r="AG1367" s="164" t="str">
        <f>IF(AND($C1366=12,$D1366=Input!$C$6),0,IF($E1367="","",(IF($B1367&gt;Input!$C$9,$X1367,0)+AG1368)/(1+$L1367)*$R1367))</f>
        <v/>
      </c>
      <c r="AH1367" s="160" t="str">
        <f t="shared" si="440"/>
        <v/>
      </c>
      <c r="AI1367" s="160" t="str">
        <f>IF($E1367="","",MIN(Input!$C$61/AH1367,1))</f>
        <v/>
      </c>
      <c r="AJ1367" s="152"/>
      <c r="AK1367" s="164" t="str">
        <f>IF(AND($C1366=12,$D1366=Input!$C$6),0,IF($E1367="","",IF($B1367&gt;Input!$C$9,$AC1367*AI1367,0)+AK1368/(1+$L1367)*$R1367))</f>
        <v/>
      </c>
      <c r="AL1367" s="164" t="str">
        <f>IF(AND($C1366=12,$D1366=Input!$C$6),0,IF($E1367="","",IF($B1367&gt;Input!$C$9,0,$AC1367)+AL1368/(1+$L1367)*$R1367))</f>
        <v/>
      </c>
      <c r="AM1367" s="160" t="str">
        <f t="shared" si="441"/>
        <v/>
      </c>
      <c r="AN1367" s="164" t="str">
        <f>IF($E1367="","",IF($B1367&gt;Input!$C$9,$AI1367*$AC1367,$AM1367*$AC1367))</f>
        <v/>
      </c>
      <c r="AO1367" s="164" t="str">
        <f>IF(AND($C1366=12,$D1366=Input!$C$6),0,IF($E1367="","",$AN1367+AO1368/(1+$L1367)*$R1367))</f>
        <v/>
      </c>
      <c r="AP1367" s="152"/>
      <c r="AQ1367" s="150" t="str">
        <f t="shared" si="442"/>
        <v/>
      </c>
      <c r="AR1367" s="150" t="str">
        <f t="shared" si="449"/>
        <v/>
      </c>
      <c r="AS1367" s="150" t="str">
        <f t="shared" si="450"/>
        <v/>
      </c>
      <c r="AT1367" s="150" t="str">
        <f t="shared" si="443"/>
        <v/>
      </c>
      <c r="AU1367" s="152"/>
      <c r="AV1367" s="147" t="str">
        <f>'Deterministic Reserve'!BC1367</f>
        <v/>
      </c>
      <c r="AY1367" s="152"/>
    </row>
    <row r="1368" spans="1:51" s="150" customFormat="1" x14ac:dyDescent="0.25">
      <c r="A1368" s="150" t="str">
        <f t="shared" si="451"/>
        <v/>
      </c>
      <c r="B1368" s="150" t="str">
        <f t="shared" si="452"/>
        <v/>
      </c>
      <c r="C1368" s="150" t="str">
        <f t="shared" si="453"/>
        <v/>
      </c>
      <c r="D1368" s="150" t="str">
        <f>IF(E1368="","",Input!$C$4+B1368-1)</f>
        <v/>
      </c>
      <c r="E1368" s="150" t="str">
        <f>IF(OR(AND(C1367=12,D1367=Input!$C$6),E1367=""),"",1)</f>
        <v/>
      </c>
      <c r="G1368" s="151" t="str">
        <f>IF(E1368="","",MAX(0,Input!$C$9-B1368))</f>
        <v/>
      </c>
      <c r="H1368" s="152" t="str">
        <f>IF(E1368="","",Input!$C$3)</f>
        <v/>
      </c>
      <c r="I1368" s="153" t="str">
        <f>IF(E1368="","",HLOOKUP($B1368,Input!$C$13:$BT$14,2))</f>
        <v/>
      </c>
      <c r="J1368" s="154"/>
      <c r="K1368" s="150" t="str">
        <f>IF($E1368="","",Input!$C$57)</f>
        <v/>
      </c>
      <c r="L1368" s="150" t="str">
        <f t="shared" si="444"/>
        <v/>
      </c>
      <c r="M1368" s="147" t="str">
        <f>IF($E1368="","",VLOOKUP(IF($B1368&lt;=Input!$C$7,$B1368,26),'Mortality Tables'!$A$72:$CA$97,IF($B1368&lt;=Input!$C$7+1,Input!$C$4-16,$D1368-Input!$C$7-16),0)/1000)</f>
        <v/>
      </c>
      <c r="N1368" s="147" t="str">
        <f t="shared" si="435"/>
        <v/>
      </c>
      <c r="O1368" s="157" t="str">
        <f>IF($E1368="","",IF($C1368=12,IF($B1368&lt;Input!$C$9,Input!$C$54,IF($B1368=Input!$C$9,Input!$C$55,Input!$C$56)),0%))</f>
        <v/>
      </c>
      <c r="P1368" s="167" t="str">
        <f>IF($E1368="","",IF($B1368=1,Input!$C$59,IF($B1368&lt;6,Input!$C$60,0%)))</f>
        <v/>
      </c>
      <c r="Q1368" s="162" t="str">
        <f>IF($E1368="","",Input!$C$58)</f>
        <v/>
      </c>
      <c r="R1368" s="156" t="str">
        <f t="shared" si="445"/>
        <v/>
      </c>
      <c r="S1368" s="154" t="str">
        <f t="shared" si="436"/>
        <v/>
      </c>
      <c r="T1368" s="152"/>
      <c r="U1368" s="150" t="str">
        <f t="shared" si="446"/>
        <v/>
      </c>
      <c r="V1368" s="150" t="str">
        <f t="shared" si="447"/>
        <v/>
      </c>
      <c r="W1368" s="168" t="str">
        <f t="shared" si="448"/>
        <v/>
      </c>
      <c r="X1368" s="163" t="str">
        <f t="shared" si="437"/>
        <v/>
      </c>
      <c r="Y1368" s="152"/>
      <c r="Z1368" s="164" t="str">
        <f>IF(AND($C1367=12,$D1367=Input!$C$6),0,IF($E1368="","",V1368+Z1369/(1+L1368)*R1368))</f>
        <v/>
      </c>
      <c r="AA1368" s="164" t="str">
        <f>IF(OR($M1368=1,AND($C1367=12,$D1367=Input!$C$6)),0,IF($E1368="","",W1368+(X1368+AA1369*$R1368)/(1+$L1368)))</f>
        <v/>
      </c>
      <c r="AB1368" s="160" t="str">
        <f t="shared" si="438"/>
        <v/>
      </c>
      <c r="AC1368" s="164" t="str">
        <f t="shared" si="439"/>
        <v/>
      </c>
      <c r="AD1368" s="164" t="str">
        <f>IF(AND($C1367=12,$D1367=Input!$C$6),0,IF($E1368="","",$AC1368+AD1369/(1+$L1368)*$R1368))</f>
        <v/>
      </c>
      <c r="AE1368" s="152"/>
      <c r="AF1368" s="164" t="str">
        <f>IF(AND($C1367=12,$D1367=Input!$C$6),0,IF($E1368="","",IF($B1368&gt;Input!$C$9,$AC1368,0)+AF1369/(1+$L1368)*$R1368))</f>
        <v/>
      </c>
      <c r="AG1368" s="164" t="str">
        <f>IF(AND($C1367=12,$D1367=Input!$C$6),0,IF($E1368="","",(IF($B1368&gt;Input!$C$9,$X1368,0)+AG1369)/(1+$L1368)*$R1368))</f>
        <v/>
      </c>
      <c r="AH1368" s="160" t="str">
        <f t="shared" si="440"/>
        <v/>
      </c>
      <c r="AI1368" s="160" t="str">
        <f>IF($E1368="","",MIN(Input!$C$61/AH1368,1))</f>
        <v/>
      </c>
      <c r="AJ1368" s="152"/>
      <c r="AK1368" s="164" t="str">
        <f>IF(AND($C1367=12,$D1367=Input!$C$6),0,IF($E1368="","",IF($B1368&gt;Input!$C$9,$AC1368*AI1368,0)+AK1369/(1+$L1368)*$R1368))</f>
        <v/>
      </c>
      <c r="AL1368" s="164" t="str">
        <f>IF(AND($C1367=12,$D1367=Input!$C$6),0,IF($E1368="","",IF($B1368&gt;Input!$C$9,0,$AC1368)+AL1369/(1+$L1368)*$R1368))</f>
        <v/>
      </c>
      <c r="AM1368" s="160" t="str">
        <f t="shared" si="441"/>
        <v/>
      </c>
      <c r="AN1368" s="164" t="str">
        <f>IF($E1368="","",IF($B1368&gt;Input!$C$9,$AI1368*$AC1368,$AM1368*$AC1368))</f>
        <v/>
      </c>
      <c r="AO1368" s="164" t="str">
        <f>IF(AND($C1367=12,$D1367=Input!$C$6),0,IF($E1368="","",$AN1368+AO1369/(1+$L1368)*$R1368))</f>
        <v/>
      </c>
      <c r="AP1368" s="152"/>
      <c r="AQ1368" s="150" t="str">
        <f t="shared" si="442"/>
        <v/>
      </c>
      <c r="AR1368" s="150" t="str">
        <f t="shared" si="449"/>
        <v/>
      </c>
      <c r="AS1368" s="150" t="str">
        <f t="shared" si="450"/>
        <v/>
      </c>
      <c r="AT1368" s="150" t="str">
        <f t="shared" si="443"/>
        <v/>
      </c>
      <c r="AU1368" s="152"/>
      <c r="AV1368" s="147" t="str">
        <f>'Deterministic Reserve'!BC1368</f>
        <v/>
      </c>
      <c r="AY1368" s="152"/>
    </row>
    <row r="1369" spans="1:51" s="150" customFormat="1" x14ac:dyDescent="0.25">
      <c r="A1369" s="150" t="str">
        <f t="shared" si="451"/>
        <v/>
      </c>
      <c r="B1369" s="150" t="str">
        <f t="shared" si="452"/>
        <v/>
      </c>
      <c r="C1369" s="150" t="str">
        <f t="shared" si="453"/>
        <v/>
      </c>
      <c r="D1369" s="150" t="str">
        <f>IF(E1369="","",Input!$C$4+B1369-1)</f>
        <v/>
      </c>
      <c r="E1369" s="150" t="str">
        <f>IF(OR(AND(C1368=12,D1368=Input!$C$6),E1368=""),"",1)</f>
        <v/>
      </c>
      <c r="G1369" s="151" t="str">
        <f>IF(E1369="","",MAX(0,Input!$C$9-B1369))</f>
        <v/>
      </c>
      <c r="H1369" s="152" t="str">
        <f>IF(E1369="","",Input!$C$3)</f>
        <v/>
      </c>
      <c r="I1369" s="153" t="str">
        <f>IF(E1369="","",HLOOKUP($B1369,Input!$C$13:$BT$14,2))</f>
        <v/>
      </c>
      <c r="J1369" s="154"/>
      <c r="K1369" s="150" t="str">
        <f>IF($E1369="","",Input!$C$57)</f>
        <v/>
      </c>
      <c r="L1369" s="150" t="str">
        <f t="shared" si="444"/>
        <v/>
      </c>
      <c r="M1369" s="147" t="str">
        <f>IF($E1369="","",VLOOKUP(IF($B1369&lt;=Input!$C$7,$B1369,26),'Mortality Tables'!$A$72:$CA$97,IF($B1369&lt;=Input!$C$7+1,Input!$C$4-16,$D1369-Input!$C$7-16),0)/1000)</f>
        <v/>
      </c>
      <c r="N1369" s="147" t="str">
        <f t="shared" si="435"/>
        <v/>
      </c>
      <c r="O1369" s="157" t="str">
        <f>IF($E1369="","",IF($C1369=12,IF($B1369&lt;Input!$C$9,Input!$C$54,IF($B1369=Input!$C$9,Input!$C$55,Input!$C$56)),0%))</f>
        <v/>
      </c>
      <c r="P1369" s="167" t="str">
        <f>IF($E1369="","",IF($B1369=1,Input!$C$59,IF($B1369&lt;6,Input!$C$60,0%)))</f>
        <v/>
      </c>
      <c r="Q1369" s="162" t="str">
        <f>IF($E1369="","",Input!$C$58)</f>
        <v/>
      </c>
      <c r="R1369" s="156" t="str">
        <f t="shared" si="445"/>
        <v/>
      </c>
      <c r="S1369" s="154" t="str">
        <f t="shared" si="436"/>
        <v/>
      </c>
      <c r="T1369" s="152"/>
      <c r="U1369" s="150" t="str">
        <f t="shared" si="446"/>
        <v/>
      </c>
      <c r="V1369" s="150" t="str">
        <f t="shared" si="447"/>
        <v/>
      </c>
      <c r="W1369" s="168" t="str">
        <f t="shared" si="448"/>
        <v/>
      </c>
      <c r="X1369" s="163" t="str">
        <f t="shared" si="437"/>
        <v/>
      </c>
      <c r="Y1369" s="152"/>
      <c r="Z1369" s="164" t="str">
        <f>IF(AND($C1368=12,$D1368=Input!$C$6),0,IF($E1369="","",V1369+Z1370/(1+L1369)*R1369))</f>
        <v/>
      </c>
      <c r="AA1369" s="164" t="str">
        <f>IF(OR($M1369=1,AND($C1368=12,$D1368=Input!$C$6)),0,IF($E1369="","",W1369+(X1369+AA1370*$R1369)/(1+$L1369)))</f>
        <v/>
      </c>
      <c r="AB1369" s="160" t="str">
        <f t="shared" si="438"/>
        <v/>
      </c>
      <c r="AC1369" s="164" t="str">
        <f t="shared" si="439"/>
        <v/>
      </c>
      <c r="AD1369" s="164" t="str">
        <f>IF(AND($C1368=12,$D1368=Input!$C$6),0,IF($E1369="","",$AC1369+AD1370/(1+$L1369)*$R1369))</f>
        <v/>
      </c>
      <c r="AE1369" s="152"/>
      <c r="AF1369" s="164" t="str">
        <f>IF(AND($C1368=12,$D1368=Input!$C$6),0,IF($E1369="","",IF($B1369&gt;Input!$C$9,$AC1369,0)+AF1370/(1+$L1369)*$R1369))</f>
        <v/>
      </c>
      <c r="AG1369" s="164" t="str">
        <f>IF(AND($C1368=12,$D1368=Input!$C$6),0,IF($E1369="","",(IF($B1369&gt;Input!$C$9,$X1369,0)+AG1370)/(1+$L1369)*$R1369))</f>
        <v/>
      </c>
      <c r="AH1369" s="160" t="str">
        <f t="shared" si="440"/>
        <v/>
      </c>
      <c r="AI1369" s="160" t="str">
        <f>IF($E1369="","",MIN(Input!$C$61/AH1369,1))</f>
        <v/>
      </c>
      <c r="AJ1369" s="152"/>
      <c r="AK1369" s="164" t="str">
        <f>IF(AND($C1368=12,$D1368=Input!$C$6),0,IF($E1369="","",IF($B1369&gt;Input!$C$9,$AC1369*AI1369,0)+AK1370/(1+$L1369)*$R1369))</f>
        <v/>
      </c>
      <c r="AL1369" s="164" t="str">
        <f>IF(AND($C1368=12,$D1368=Input!$C$6),0,IF($E1369="","",IF($B1369&gt;Input!$C$9,0,$AC1369)+AL1370/(1+$L1369)*$R1369))</f>
        <v/>
      </c>
      <c r="AM1369" s="160" t="str">
        <f t="shared" si="441"/>
        <v/>
      </c>
      <c r="AN1369" s="164" t="str">
        <f>IF($E1369="","",IF($B1369&gt;Input!$C$9,$AI1369*$AC1369,$AM1369*$AC1369))</f>
        <v/>
      </c>
      <c r="AO1369" s="164" t="str">
        <f>IF(AND($C1368=12,$D1368=Input!$C$6),0,IF($E1369="","",$AN1369+AO1370/(1+$L1369)*$R1369))</f>
        <v/>
      </c>
      <c r="AP1369" s="152"/>
      <c r="AQ1369" s="150" t="str">
        <f t="shared" si="442"/>
        <v/>
      </c>
      <c r="AR1369" s="150" t="str">
        <f t="shared" si="449"/>
        <v/>
      </c>
      <c r="AS1369" s="150" t="str">
        <f t="shared" si="450"/>
        <v/>
      </c>
      <c r="AT1369" s="150" t="str">
        <f t="shared" si="443"/>
        <v/>
      </c>
      <c r="AU1369" s="152"/>
      <c r="AV1369" s="147" t="str">
        <f>'Deterministic Reserve'!BC1369</f>
        <v/>
      </c>
      <c r="AY1369" s="152"/>
    </row>
    <row r="1370" spans="1:51" s="150" customFormat="1" x14ac:dyDescent="0.25">
      <c r="A1370" s="150" t="str">
        <f t="shared" si="451"/>
        <v/>
      </c>
      <c r="B1370" s="150" t="str">
        <f t="shared" si="452"/>
        <v/>
      </c>
      <c r="C1370" s="150" t="str">
        <f t="shared" si="453"/>
        <v/>
      </c>
      <c r="D1370" s="150" t="str">
        <f>IF(E1370="","",Input!$C$4+B1370-1)</f>
        <v/>
      </c>
      <c r="E1370" s="150" t="str">
        <f>IF(OR(AND(C1369=12,D1369=Input!$C$6),E1369=""),"",1)</f>
        <v/>
      </c>
      <c r="G1370" s="151" t="str">
        <f>IF(E1370="","",MAX(0,Input!$C$9-B1370))</f>
        <v/>
      </c>
      <c r="H1370" s="152" t="str">
        <f>IF(E1370="","",Input!$C$3)</f>
        <v/>
      </c>
      <c r="I1370" s="153" t="str">
        <f>IF(E1370="","",HLOOKUP($B1370,Input!$C$13:$BT$14,2))</f>
        <v/>
      </c>
      <c r="J1370" s="154"/>
      <c r="K1370" s="150" t="str">
        <f>IF($E1370="","",Input!$C$57)</f>
        <v/>
      </c>
      <c r="L1370" s="150" t="str">
        <f t="shared" si="444"/>
        <v/>
      </c>
      <c r="M1370" s="147" t="str">
        <f>IF($E1370="","",VLOOKUP(IF($B1370&lt;=Input!$C$7,$B1370,26),'Mortality Tables'!$A$72:$CA$97,IF($B1370&lt;=Input!$C$7+1,Input!$C$4-16,$D1370-Input!$C$7-16),0)/1000)</f>
        <v/>
      </c>
      <c r="N1370" s="147" t="str">
        <f t="shared" si="435"/>
        <v/>
      </c>
      <c r="O1370" s="157" t="str">
        <f>IF($E1370="","",IF($C1370=12,IF($B1370&lt;Input!$C$9,Input!$C$54,IF($B1370=Input!$C$9,Input!$C$55,Input!$C$56)),0%))</f>
        <v/>
      </c>
      <c r="P1370" s="167" t="str">
        <f>IF($E1370="","",IF($B1370=1,Input!$C$59,IF($B1370&lt;6,Input!$C$60,0%)))</f>
        <v/>
      </c>
      <c r="Q1370" s="162" t="str">
        <f>IF($E1370="","",Input!$C$58)</f>
        <v/>
      </c>
      <c r="R1370" s="156" t="str">
        <f t="shared" si="445"/>
        <v/>
      </c>
      <c r="S1370" s="154" t="str">
        <f t="shared" si="436"/>
        <v/>
      </c>
      <c r="T1370" s="152"/>
      <c r="U1370" s="150" t="str">
        <f t="shared" si="446"/>
        <v/>
      </c>
      <c r="V1370" s="150" t="str">
        <f t="shared" si="447"/>
        <v/>
      </c>
      <c r="W1370" s="168" t="str">
        <f t="shared" si="448"/>
        <v/>
      </c>
      <c r="X1370" s="163" t="str">
        <f t="shared" si="437"/>
        <v/>
      </c>
      <c r="Y1370" s="152"/>
      <c r="Z1370" s="164" t="str">
        <f>IF(AND($C1369=12,$D1369=Input!$C$6),0,IF($E1370="","",V1370+Z1371/(1+L1370)*R1370))</f>
        <v/>
      </c>
      <c r="AA1370" s="164" t="str">
        <f>IF(OR($M1370=1,AND($C1369=12,$D1369=Input!$C$6)),0,IF($E1370="","",W1370+(X1370+AA1371*$R1370)/(1+$L1370)))</f>
        <v/>
      </c>
      <c r="AB1370" s="160" t="str">
        <f t="shared" si="438"/>
        <v/>
      </c>
      <c r="AC1370" s="164" t="str">
        <f t="shared" si="439"/>
        <v/>
      </c>
      <c r="AD1370" s="164" t="str">
        <f>IF(AND($C1369=12,$D1369=Input!$C$6),0,IF($E1370="","",$AC1370+AD1371/(1+$L1370)*$R1370))</f>
        <v/>
      </c>
      <c r="AE1370" s="152"/>
      <c r="AF1370" s="164" t="str">
        <f>IF(AND($C1369=12,$D1369=Input!$C$6),0,IF($E1370="","",IF($B1370&gt;Input!$C$9,$AC1370,0)+AF1371/(1+$L1370)*$R1370))</f>
        <v/>
      </c>
      <c r="AG1370" s="164" t="str">
        <f>IF(AND($C1369=12,$D1369=Input!$C$6),0,IF($E1370="","",(IF($B1370&gt;Input!$C$9,$X1370,0)+AG1371)/(1+$L1370)*$R1370))</f>
        <v/>
      </c>
      <c r="AH1370" s="160" t="str">
        <f t="shared" si="440"/>
        <v/>
      </c>
      <c r="AI1370" s="160" t="str">
        <f>IF($E1370="","",MIN(Input!$C$61/AH1370,1))</f>
        <v/>
      </c>
      <c r="AJ1370" s="152"/>
      <c r="AK1370" s="164" t="str">
        <f>IF(AND($C1369=12,$D1369=Input!$C$6),0,IF($E1370="","",IF($B1370&gt;Input!$C$9,$AC1370*AI1370,0)+AK1371/(1+$L1370)*$R1370))</f>
        <v/>
      </c>
      <c r="AL1370" s="164" t="str">
        <f>IF(AND($C1369=12,$D1369=Input!$C$6),0,IF($E1370="","",IF($B1370&gt;Input!$C$9,0,$AC1370)+AL1371/(1+$L1370)*$R1370))</f>
        <v/>
      </c>
      <c r="AM1370" s="160" t="str">
        <f t="shared" si="441"/>
        <v/>
      </c>
      <c r="AN1370" s="164" t="str">
        <f>IF($E1370="","",IF($B1370&gt;Input!$C$9,$AI1370*$AC1370,$AM1370*$AC1370))</f>
        <v/>
      </c>
      <c r="AO1370" s="164" t="str">
        <f>IF(AND($C1369=12,$D1369=Input!$C$6),0,IF($E1370="","",$AN1370+AO1371/(1+$L1370)*$R1370))</f>
        <v/>
      </c>
      <c r="AP1370" s="152"/>
      <c r="AQ1370" s="150" t="str">
        <f t="shared" si="442"/>
        <v/>
      </c>
      <c r="AR1370" s="150" t="str">
        <f t="shared" si="449"/>
        <v/>
      </c>
      <c r="AS1370" s="150" t="str">
        <f t="shared" si="450"/>
        <v/>
      </c>
      <c r="AT1370" s="150" t="str">
        <f t="shared" si="443"/>
        <v/>
      </c>
      <c r="AU1370" s="152"/>
      <c r="AV1370" s="147" t="str">
        <f>'Deterministic Reserve'!BC1370</f>
        <v/>
      </c>
      <c r="AY1370" s="152"/>
    </row>
    <row r="1371" spans="1:51" s="150" customFormat="1" x14ac:dyDescent="0.25">
      <c r="A1371" s="150" t="str">
        <f t="shared" si="451"/>
        <v/>
      </c>
      <c r="B1371" s="150" t="str">
        <f t="shared" si="452"/>
        <v/>
      </c>
      <c r="C1371" s="150" t="str">
        <f t="shared" si="453"/>
        <v/>
      </c>
      <c r="D1371" s="150" t="str">
        <f>IF(E1371="","",Input!$C$4+B1371-1)</f>
        <v/>
      </c>
      <c r="E1371" s="150" t="str">
        <f>IF(OR(AND(C1370=12,D1370=Input!$C$6),E1370=""),"",1)</f>
        <v/>
      </c>
      <c r="G1371" s="151" t="str">
        <f>IF(E1371="","",MAX(0,Input!$C$9-B1371))</f>
        <v/>
      </c>
      <c r="H1371" s="152" t="str">
        <f>IF(E1371="","",Input!$C$3)</f>
        <v/>
      </c>
      <c r="I1371" s="153" t="str">
        <f>IF(E1371="","",HLOOKUP($B1371,Input!$C$13:$BT$14,2))</f>
        <v/>
      </c>
      <c r="J1371" s="154"/>
      <c r="K1371" s="150" t="str">
        <f>IF($E1371="","",Input!$C$57)</f>
        <v/>
      </c>
      <c r="L1371" s="150" t="str">
        <f t="shared" si="444"/>
        <v/>
      </c>
      <c r="M1371" s="147" t="str">
        <f>IF($E1371="","",VLOOKUP(IF($B1371&lt;=Input!$C$7,$B1371,26),'Mortality Tables'!$A$72:$CA$97,IF($B1371&lt;=Input!$C$7+1,Input!$C$4-16,$D1371-Input!$C$7-16),0)/1000)</f>
        <v/>
      </c>
      <c r="N1371" s="147" t="str">
        <f t="shared" si="435"/>
        <v/>
      </c>
      <c r="O1371" s="157" t="str">
        <f>IF($E1371="","",IF($C1371=12,IF($B1371&lt;Input!$C$9,Input!$C$54,IF($B1371=Input!$C$9,Input!$C$55,Input!$C$56)),0%))</f>
        <v/>
      </c>
      <c r="P1371" s="167" t="str">
        <f>IF($E1371="","",IF($B1371=1,Input!$C$59,IF($B1371&lt;6,Input!$C$60,0%)))</f>
        <v/>
      </c>
      <c r="Q1371" s="162" t="str">
        <f>IF($E1371="","",Input!$C$58)</f>
        <v/>
      </c>
      <c r="R1371" s="156" t="str">
        <f t="shared" si="445"/>
        <v/>
      </c>
      <c r="S1371" s="154" t="str">
        <f t="shared" si="436"/>
        <v/>
      </c>
      <c r="T1371" s="152"/>
      <c r="U1371" s="150" t="str">
        <f t="shared" si="446"/>
        <v/>
      </c>
      <c r="V1371" s="150" t="str">
        <f t="shared" si="447"/>
        <v/>
      </c>
      <c r="W1371" s="168" t="str">
        <f t="shared" si="448"/>
        <v/>
      </c>
      <c r="X1371" s="163" t="str">
        <f t="shared" si="437"/>
        <v/>
      </c>
      <c r="Y1371" s="152"/>
      <c r="Z1371" s="164" t="str">
        <f>IF(AND($C1370=12,$D1370=Input!$C$6),0,IF($E1371="","",V1371+Z1372/(1+L1371)*R1371))</f>
        <v/>
      </c>
      <c r="AA1371" s="164" t="str">
        <f>IF(OR($M1371=1,AND($C1370=12,$D1370=Input!$C$6)),0,IF($E1371="","",W1371+(X1371+AA1372*$R1371)/(1+$L1371)))</f>
        <v/>
      </c>
      <c r="AB1371" s="160" t="str">
        <f t="shared" si="438"/>
        <v/>
      </c>
      <c r="AC1371" s="164" t="str">
        <f t="shared" si="439"/>
        <v/>
      </c>
      <c r="AD1371" s="164" t="str">
        <f>IF(AND($C1370=12,$D1370=Input!$C$6),0,IF($E1371="","",$AC1371+AD1372/(1+$L1371)*$R1371))</f>
        <v/>
      </c>
      <c r="AE1371" s="152"/>
      <c r="AF1371" s="164" t="str">
        <f>IF(AND($C1370=12,$D1370=Input!$C$6),0,IF($E1371="","",IF($B1371&gt;Input!$C$9,$AC1371,0)+AF1372/(1+$L1371)*$R1371))</f>
        <v/>
      </c>
      <c r="AG1371" s="164" t="str">
        <f>IF(AND($C1370=12,$D1370=Input!$C$6),0,IF($E1371="","",(IF($B1371&gt;Input!$C$9,$X1371,0)+AG1372)/(1+$L1371)*$R1371))</f>
        <v/>
      </c>
      <c r="AH1371" s="160" t="str">
        <f t="shared" si="440"/>
        <v/>
      </c>
      <c r="AI1371" s="160" t="str">
        <f>IF($E1371="","",MIN(Input!$C$61/AH1371,1))</f>
        <v/>
      </c>
      <c r="AJ1371" s="152"/>
      <c r="AK1371" s="164" t="str">
        <f>IF(AND($C1370=12,$D1370=Input!$C$6),0,IF($E1371="","",IF($B1371&gt;Input!$C$9,$AC1371*AI1371,0)+AK1372/(1+$L1371)*$R1371))</f>
        <v/>
      </c>
      <c r="AL1371" s="164" t="str">
        <f>IF(AND($C1370=12,$D1370=Input!$C$6),0,IF($E1371="","",IF($B1371&gt;Input!$C$9,0,$AC1371)+AL1372/(1+$L1371)*$R1371))</f>
        <v/>
      </c>
      <c r="AM1371" s="160" t="str">
        <f t="shared" si="441"/>
        <v/>
      </c>
      <c r="AN1371" s="164" t="str">
        <f>IF($E1371="","",IF($B1371&gt;Input!$C$9,$AI1371*$AC1371,$AM1371*$AC1371))</f>
        <v/>
      </c>
      <c r="AO1371" s="164" t="str">
        <f>IF(AND($C1370=12,$D1370=Input!$C$6),0,IF($E1371="","",$AN1371+AO1372/(1+$L1371)*$R1371))</f>
        <v/>
      </c>
      <c r="AP1371" s="152"/>
      <c r="AQ1371" s="150" t="str">
        <f t="shared" si="442"/>
        <v/>
      </c>
      <c r="AR1371" s="150" t="str">
        <f t="shared" si="449"/>
        <v/>
      </c>
      <c r="AS1371" s="150" t="str">
        <f t="shared" si="450"/>
        <v/>
      </c>
      <c r="AT1371" s="150" t="str">
        <f t="shared" si="443"/>
        <v/>
      </c>
      <c r="AU1371" s="152"/>
      <c r="AV1371" s="147" t="str">
        <f>'Deterministic Reserve'!BC1371</f>
        <v/>
      </c>
      <c r="AY1371" s="152"/>
    </row>
    <row r="1372" spans="1:51" s="150" customFormat="1" x14ac:dyDescent="0.25">
      <c r="A1372" s="150" t="str">
        <f t="shared" si="451"/>
        <v/>
      </c>
      <c r="B1372" s="150" t="str">
        <f t="shared" si="452"/>
        <v/>
      </c>
      <c r="C1372" s="150" t="str">
        <f t="shared" si="453"/>
        <v/>
      </c>
      <c r="D1372" s="150" t="str">
        <f>IF(E1372="","",Input!$C$4+B1372-1)</f>
        <v/>
      </c>
      <c r="E1372" s="150" t="str">
        <f>IF(OR(AND(C1371=12,D1371=Input!$C$6),E1371=""),"",1)</f>
        <v/>
      </c>
      <c r="G1372" s="151" t="str">
        <f>IF(E1372="","",MAX(0,Input!$C$9-B1372))</f>
        <v/>
      </c>
      <c r="H1372" s="152" t="str">
        <f>IF(E1372="","",Input!$C$3)</f>
        <v/>
      </c>
      <c r="I1372" s="153" t="str">
        <f>IF(E1372="","",HLOOKUP($B1372,Input!$C$13:$BT$14,2))</f>
        <v/>
      </c>
      <c r="J1372" s="154"/>
      <c r="K1372" s="150" t="str">
        <f>IF($E1372="","",Input!$C$57)</f>
        <v/>
      </c>
      <c r="L1372" s="150" t="str">
        <f t="shared" si="444"/>
        <v/>
      </c>
      <c r="M1372" s="147" t="str">
        <f>IF($E1372="","",VLOOKUP(IF($B1372&lt;=Input!$C$7,$B1372,26),'Mortality Tables'!$A$72:$CA$97,IF($B1372&lt;=Input!$C$7+1,Input!$C$4-16,$D1372-Input!$C$7-16),0)/1000)</f>
        <v/>
      </c>
      <c r="N1372" s="147" t="str">
        <f t="shared" si="435"/>
        <v/>
      </c>
      <c r="O1372" s="157" t="str">
        <f>IF($E1372="","",IF($C1372=12,IF($B1372&lt;Input!$C$9,Input!$C$54,IF($B1372=Input!$C$9,Input!$C$55,Input!$C$56)),0%))</f>
        <v/>
      </c>
      <c r="P1372" s="167" t="str">
        <f>IF($E1372="","",IF($B1372=1,Input!$C$59,IF($B1372&lt;6,Input!$C$60,0%)))</f>
        <v/>
      </c>
      <c r="Q1372" s="162" t="str">
        <f>IF($E1372="","",Input!$C$58)</f>
        <v/>
      </c>
      <c r="R1372" s="156" t="str">
        <f t="shared" si="445"/>
        <v/>
      </c>
      <c r="S1372" s="154" t="str">
        <f t="shared" si="436"/>
        <v/>
      </c>
      <c r="T1372" s="152"/>
      <c r="U1372" s="150" t="str">
        <f t="shared" si="446"/>
        <v/>
      </c>
      <c r="V1372" s="150" t="str">
        <f t="shared" si="447"/>
        <v/>
      </c>
      <c r="W1372" s="168" t="str">
        <f t="shared" si="448"/>
        <v/>
      </c>
      <c r="X1372" s="163" t="str">
        <f t="shared" si="437"/>
        <v/>
      </c>
      <c r="Y1372" s="152"/>
      <c r="Z1372" s="164" t="str">
        <f>IF(AND($C1371=12,$D1371=Input!$C$6),0,IF($E1372="","",V1372+Z1373/(1+L1372)*R1372))</f>
        <v/>
      </c>
      <c r="AA1372" s="164" t="str">
        <f>IF(OR($M1372=1,AND($C1371=12,$D1371=Input!$C$6)),0,IF($E1372="","",W1372+(X1372+AA1373*$R1372)/(1+$L1372)))</f>
        <v/>
      </c>
      <c r="AB1372" s="160" t="str">
        <f t="shared" si="438"/>
        <v/>
      </c>
      <c r="AC1372" s="164" t="str">
        <f t="shared" si="439"/>
        <v/>
      </c>
      <c r="AD1372" s="164" t="str">
        <f>IF(AND($C1371=12,$D1371=Input!$C$6),0,IF($E1372="","",$AC1372+AD1373/(1+$L1372)*$R1372))</f>
        <v/>
      </c>
      <c r="AE1372" s="152"/>
      <c r="AF1372" s="164" t="str">
        <f>IF(AND($C1371=12,$D1371=Input!$C$6),0,IF($E1372="","",IF($B1372&gt;Input!$C$9,$AC1372,0)+AF1373/(1+$L1372)*$R1372))</f>
        <v/>
      </c>
      <c r="AG1372" s="164" t="str">
        <f>IF(AND($C1371=12,$D1371=Input!$C$6),0,IF($E1372="","",(IF($B1372&gt;Input!$C$9,$X1372,0)+AG1373)/(1+$L1372)*$R1372))</f>
        <v/>
      </c>
      <c r="AH1372" s="160" t="str">
        <f t="shared" si="440"/>
        <v/>
      </c>
      <c r="AI1372" s="160" t="str">
        <f>IF($E1372="","",MIN(Input!$C$61/AH1372,1))</f>
        <v/>
      </c>
      <c r="AJ1372" s="152"/>
      <c r="AK1372" s="164" t="str">
        <f>IF(AND($C1371=12,$D1371=Input!$C$6),0,IF($E1372="","",IF($B1372&gt;Input!$C$9,$AC1372*AI1372,0)+AK1373/(1+$L1372)*$R1372))</f>
        <v/>
      </c>
      <c r="AL1372" s="164" t="str">
        <f>IF(AND($C1371=12,$D1371=Input!$C$6),0,IF($E1372="","",IF($B1372&gt;Input!$C$9,0,$AC1372)+AL1373/(1+$L1372)*$R1372))</f>
        <v/>
      </c>
      <c r="AM1372" s="160" t="str">
        <f t="shared" si="441"/>
        <v/>
      </c>
      <c r="AN1372" s="164" t="str">
        <f>IF($E1372="","",IF($B1372&gt;Input!$C$9,$AI1372*$AC1372,$AM1372*$AC1372))</f>
        <v/>
      </c>
      <c r="AO1372" s="164" t="str">
        <f>IF(AND($C1371=12,$D1371=Input!$C$6),0,IF($E1372="","",$AN1372+AO1373/(1+$L1372)*$R1372))</f>
        <v/>
      </c>
      <c r="AP1372" s="152"/>
      <c r="AQ1372" s="150" t="str">
        <f t="shared" si="442"/>
        <v/>
      </c>
      <c r="AR1372" s="150" t="str">
        <f t="shared" si="449"/>
        <v/>
      </c>
      <c r="AS1372" s="150" t="str">
        <f t="shared" si="450"/>
        <v/>
      </c>
      <c r="AT1372" s="150" t="str">
        <f t="shared" si="443"/>
        <v/>
      </c>
      <c r="AU1372" s="152"/>
      <c r="AV1372" s="147" t="str">
        <f>'Deterministic Reserve'!BC1372</f>
        <v/>
      </c>
      <c r="AY1372" s="152"/>
    </row>
    <row r="1373" spans="1:51" s="150" customFormat="1" x14ac:dyDescent="0.25">
      <c r="A1373" s="150" t="str">
        <f t="shared" si="451"/>
        <v/>
      </c>
      <c r="B1373" s="150" t="str">
        <f t="shared" si="452"/>
        <v/>
      </c>
      <c r="C1373" s="150" t="str">
        <f t="shared" si="453"/>
        <v/>
      </c>
      <c r="D1373" s="150" t="str">
        <f>IF(E1373="","",Input!$C$4+B1373-1)</f>
        <v/>
      </c>
      <c r="E1373" s="150" t="str">
        <f>IF(OR(AND(C1372=12,D1372=Input!$C$6),E1372=""),"",1)</f>
        <v/>
      </c>
      <c r="G1373" s="151" t="str">
        <f>IF(E1373="","",MAX(0,Input!$C$9-B1373))</f>
        <v/>
      </c>
      <c r="H1373" s="152" t="str">
        <f>IF(E1373="","",Input!$C$3)</f>
        <v/>
      </c>
      <c r="I1373" s="153" t="str">
        <f>IF(E1373="","",HLOOKUP($B1373,Input!$C$13:$BT$14,2))</f>
        <v/>
      </c>
      <c r="J1373" s="154"/>
      <c r="K1373" s="150" t="str">
        <f>IF($E1373="","",Input!$C$57)</f>
        <v/>
      </c>
      <c r="L1373" s="150" t="str">
        <f t="shared" si="444"/>
        <v/>
      </c>
      <c r="M1373" s="147" t="str">
        <f>IF($E1373="","",VLOOKUP(IF($B1373&lt;=Input!$C$7,$B1373,26),'Mortality Tables'!$A$72:$CA$97,IF($B1373&lt;=Input!$C$7+1,Input!$C$4-16,$D1373-Input!$C$7-16),0)/1000)</f>
        <v/>
      </c>
      <c r="N1373" s="147" t="str">
        <f t="shared" si="435"/>
        <v/>
      </c>
      <c r="O1373" s="157" t="str">
        <f>IF($E1373="","",IF($C1373=12,IF($B1373&lt;Input!$C$9,Input!$C$54,IF($B1373=Input!$C$9,Input!$C$55,Input!$C$56)),0%))</f>
        <v/>
      </c>
      <c r="P1373" s="167" t="str">
        <f>IF($E1373="","",IF($B1373=1,Input!$C$59,IF($B1373&lt;6,Input!$C$60,0%)))</f>
        <v/>
      </c>
      <c r="Q1373" s="162" t="str">
        <f>IF($E1373="","",Input!$C$58)</f>
        <v/>
      </c>
      <c r="R1373" s="156" t="str">
        <f t="shared" si="445"/>
        <v/>
      </c>
      <c r="S1373" s="154" t="str">
        <f t="shared" si="436"/>
        <v/>
      </c>
      <c r="T1373" s="152"/>
      <c r="U1373" s="150" t="str">
        <f t="shared" si="446"/>
        <v/>
      </c>
      <c r="V1373" s="150" t="str">
        <f t="shared" si="447"/>
        <v/>
      </c>
      <c r="W1373" s="168" t="str">
        <f t="shared" si="448"/>
        <v/>
      </c>
      <c r="X1373" s="163" t="str">
        <f t="shared" si="437"/>
        <v/>
      </c>
      <c r="Y1373" s="152"/>
      <c r="Z1373" s="164" t="str">
        <f>IF(AND($C1372=12,$D1372=Input!$C$6),0,IF($E1373="","",V1373+Z1374/(1+L1373)*R1373))</f>
        <v/>
      </c>
      <c r="AA1373" s="164" t="str">
        <f>IF(OR($M1373=1,AND($C1372=12,$D1372=Input!$C$6)),0,IF($E1373="","",W1373+(X1373+AA1374*$R1373)/(1+$L1373)))</f>
        <v/>
      </c>
      <c r="AB1373" s="160" t="str">
        <f t="shared" si="438"/>
        <v/>
      </c>
      <c r="AC1373" s="164" t="str">
        <f t="shared" si="439"/>
        <v/>
      </c>
      <c r="AD1373" s="164" t="str">
        <f>IF(AND($C1372=12,$D1372=Input!$C$6),0,IF($E1373="","",$AC1373+AD1374/(1+$L1373)*$R1373))</f>
        <v/>
      </c>
      <c r="AE1373" s="152"/>
      <c r="AF1373" s="164" t="str">
        <f>IF(AND($C1372=12,$D1372=Input!$C$6),0,IF($E1373="","",IF($B1373&gt;Input!$C$9,$AC1373,0)+AF1374/(1+$L1373)*$R1373))</f>
        <v/>
      </c>
      <c r="AG1373" s="164" t="str">
        <f>IF(AND($C1372=12,$D1372=Input!$C$6),0,IF($E1373="","",(IF($B1373&gt;Input!$C$9,$X1373,0)+AG1374)/(1+$L1373)*$R1373))</f>
        <v/>
      </c>
      <c r="AH1373" s="160" t="str">
        <f t="shared" si="440"/>
        <v/>
      </c>
      <c r="AI1373" s="160" t="str">
        <f>IF($E1373="","",MIN(Input!$C$61/AH1373,1))</f>
        <v/>
      </c>
      <c r="AJ1373" s="152"/>
      <c r="AK1373" s="164" t="str">
        <f>IF(AND($C1372=12,$D1372=Input!$C$6),0,IF($E1373="","",IF($B1373&gt;Input!$C$9,$AC1373*AI1373,0)+AK1374/(1+$L1373)*$R1373))</f>
        <v/>
      </c>
      <c r="AL1373" s="164" t="str">
        <f>IF(AND($C1372=12,$D1372=Input!$C$6),0,IF($E1373="","",IF($B1373&gt;Input!$C$9,0,$AC1373)+AL1374/(1+$L1373)*$R1373))</f>
        <v/>
      </c>
      <c r="AM1373" s="160" t="str">
        <f t="shared" si="441"/>
        <v/>
      </c>
      <c r="AN1373" s="164" t="str">
        <f>IF($E1373="","",IF($B1373&gt;Input!$C$9,$AI1373*$AC1373,$AM1373*$AC1373))</f>
        <v/>
      </c>
      <c r="AO1373" s="164" t="str">
        <f>IF(AND($C1372=12,$D1372=Input!$C$6),0,IF($E1373="","",$AN1373+AO1374/(1+$L1373)*$R1373))</f>
        <v/>
      </c>
      <c r="AP1373" s="152"/>
      <c r="AQ1373" s="150" t="str">
        <f t="shared" si="442"/>
        <v/>
      </c>
      <c r="AR1373" s="150" t="str">
        <f t="shared" si="449"/>
        <v/>
      </c>
      <c r="AS1373" s="150" t="str">
        <f t="shared" si="450"/>
        <v/>
      </c>
      <c r="AT1373" s="150" t="str">
        <f t="shared" si="443"/>
        <v/>
      </c>
      <c r="AU1373" s="152"/>
      <c r="AV1373" s="147" t="str">
        <f>'Deterministic Reserve'!BC1373</f>
        <v/>
      </c>
      <c r="AY1373" s="152"/>
    </row>
    <row r="1374" spans="1:51" s="150" customFormat="1" x14ac:dyDescent="0.25">
      <c r="A1374" s="150" t="str">
        <f t="shared" si="451"/>
        <v/>
      </c>
      <c r="B1374" s="150" t="str">
        <f t="shared" si="452"/>
        <v/>
      </c>
      <c r="C1374" s="150" t="str">
        <f t="shared" si="453"/>
        <v/>
      </c>
      <c r="D1374" s="150" t="str">
        <f>IF(E1374="","",Input!$C$4+B1374-1)</f>
        <v/>
      </c>
      <c r="E1374" s="150" t="str">
        <f>IF(OR(AND(C1373=12,D1373=Input!$C$6),E1373=""),"",1)</f>
        <v/>
      </c>
      <c r="G1374" s="151" t="str">
        <f>IF(E1374="","",MAX(0,Input!$C$9-B1374))</f>
        <v/>
      </c>
      <c r="H1374" s="152" t="str">
        <f>IF(E1374="","",Input!$C$3)</f>
        <v/>
      </c>
      <c r="I1374" s="153" t="str">
        <f>IF(E1374="","",HLOOKUP($B1374,Input!$C$13:$BT$14,2))</f>
        <v/>
      </c>
      <c r="J1374" s="154"/>
      <c r="K1374" s="150" t="str">
        <f>IF($E1374="","",Input!$C$57)</f>
        <v/>
      </c>
      <c r="L1374" s="150" t="str">
        <f t="shared" si="444"/>
        <v/>
      </c>
      <c r="M1374" s="147" t="str">
        <f>IF($E1374="","",VLOOKUP(IF($B1374&lt;=Input!$C$7,$B1374,26),'Mortality Tables'!$A$72:$CA$97,IF($B1374&lt;=Input!$C$7+1,Input!$C$4-16,$D1374-Input!$C$7-16),0)/1000)</f>
        <v/>
      </c>
      <c r="N1374" s="147" t="str">
        <f t="shared" si="435"/>
        <v/>
      </c>
      <c r="O1374" s="157" t="str">
        <f>IF($E1374="","",IF($C1374=12,IF($B1374&lt;Input!$C$9,Input!$C$54,IF($B1374=Input!$C$9,Input!$C$55,Input!$C$56)),0%))</f>
        <v/>
      </c>
      <c r="P1374" s="167" t="str">
        <f>IF($E1374="","",IF($B1374=1,Input!$C$59,IF($B1374&lt;6,Input!$C$60,0%)))</f>
        <v/>
      </c>
      <c r="Q1374" s="162" t="str">
        <f>IF($E1374="","",Input!$C$58)</f>
        <v/>
      </c>
      <c r="R1374" s="156" t="str">
        <f t="shared" si="445"/>
        <v/>
      </c>
      <c r="S1374" s="154" t="str">
        <f t="shared" si="436"/>
        <v/>
      </c>
      <c r="T1374" s="152"/>
      <c r="U1374" s="150" t="str">
        <f t="shared" si="446"/>
        <v/>
      </c>
      <c r="V1374" s="150" t="str">
        <f t="shared" si="447"/>
        <v/>
      </c>
      <c r="W1374" s="168" t="str">
        <f t="shared" si="448"/>
        <v/>
      </c>
      <c r="X1374" s="163" t="str">
        <f t="shared" si="437"/>
        <v/>
      </c>
      <c r="Y1374" s="152"/>
      <c r="Z1374" s="164" t="str">
        <f>IF(AND($C1373=12,$D1373=Input!$C$6),0,IF($E1374="","",V1374+Z1375/(1+L1374)*R1374))</f>
        <v/>
      </c>
      <c r="AA1374" s="164" t="str">
        <f>IF(OR($M1374=1,AND($C1373=12,$D1373=Input!$C$6)),0,IF($E1374="","",W1374+(X1374+AA1375*$R1374)/(1+$L1374)))</f>
        <v/>
      </c>
      <c r="AB1374" s="160" t="str">
        <f t="shared" si="438"/>
        <v/>
      </c>
      <c r="AC1374" s="164" t="str">
        <f t="shared" si="439"/>
        <v/>
      </c>
      <c r="AD1374" s="164" t="str">
        <f>IF(AND($C1373=12,$D1373=Input!$C$6),0,IF($E1374="","",$AC1374+AD1375/(1+$L1374)*$R1374))</f>
        <v/>
      </c>
      <c r="AE1374" s="152"/>
      <c r="AF1374" s="164" t="str">
        <f>IF(AND($C1373=12,$D1373=Input!$C$6),0,IF($E1374="","",IF($B1374&gt;Input!$C$9,$AC1374,0)+AF1375/(1+$L1374)*$R1374))</f>
        <v/>
      </c>
      <c r="AG1374" s="164" t="str">
        <f>IF(AND($C1373=12,$D1373=Input!$C$6),0,IF($E1374="","",(IF($B1374&gt;Input!$C$9,$X1374,0)+AG1375)/(1+$L1374)*$R1374))</f>
        <v/>
      </c>
      <c r="AH1374" s="160" t="str">
        <f t="shared" si="440"/>
        <v/>
      </c>
      <c r="AI1374" s="160" t="str">
        <f>IF($E1374="","",MIN(Input!$C$61/AH1374,1))</f>
        <v/>
      </c>
      <c r="AJ1374" s="152"/>
      <c r="AK1374" s="164" t="str">
        <f>IF(AND($C1373=12,$D1373=Input!$C$6),0,IF($E1374="","",IF($B1374&gt;Input!$C$9,$AC1374*AI1374,0)+AK1375/(1+$L1374)*$R1374))</f>
        <v/>
      </c>
      <c r="AL1374" s="164" t="str">
        <f>IF(AND($C1373=12,$D1373=Input!$C$6),0,IF($E1374="","",IF($B1374&gt;Input!$C$9,0,$AC1374)+AL1375/(1+$L1374)*$R1374))</f>
        <v/>
      </c>
      <c r="AM1374" s="160" t="str">
        <f t="shared" si="441"/>
        <v/>
      </c>
      <c r="AN1374" s="164" t="str">
        <f>IF($E1374="","",IF($B1374&gt;Input!$C$9,$AI1374*$AC1374,$AM1374*$AC1374))</f>
        <v/>
      </c>
      <c r="AO1374" s="164" t="str">
        <f>IF(AND($C1373=12,$D1373=Input!$C$6),0,IF($E1374="","",$AN1374+AO1375/(1+$L1374)*$R1374))</f>
        <v/>
      </c>
      <c r="AP1374" s="152"/>
      <c r="AQ1374" s="150" t="str">
        <f t="shared" si="442"/>
        <v/>
      </c>
      <c r="AR1374" s="150" t="str">
        <f t="shared" si="449"/>
        <v/>
      </c>
      <c r="AS1374" s="150" t="str">
        <f t="shared" si="450"/>
        <v/>
      </c>
      <c r="AT1374" s="150" t="str">
        <f t="shared" si="443"/>
        <v/>
      </c>
      <c r="AU1374" s="152"/>
      <c r="AV1374" s="147" t="str">
        <f>'Deterministic Reserve'!BC1374</f>
        <v/>
      </c>
      <c r="AY1374" s="152"/>
    </row>
    <row r="1375" spans="1:51" s="150" customFormat="1" x14ac:dyDescent="0.25">
      <c r="A1375" s="150" t="str">
        <f t="shared" si="451"/>
        <v/>
      </c>
      <c r="B1375" s="150" t="str">
        <f t="shared" si="452"/>
        <v/>
      </c>
      <c r="C1375" s="150" t="str">
        <f t="shared" si="453"/>
        <v/>
      </c>
      <c r="D1375" s="150" t="str">
        <f>IF(E1375="","",Input!$C$4+B1375-1)</f>
        <v/>
      </c>
      <c r="E1375" s="150" t="str">
        <f>IF(OR(AND(C1374=12,D1374=Input!$C$6),E1374=""),"",1)</f>
        <v/>
      </c>
      <c r="G1375" s="151" t="str">
        <f>IF(E1375="","",MAX(0,Input!$C$9-B1375))</f>
        <v/>
      </c>
      <c r="H1375" s="152" t="str">
        <f>IF(E1375="","",Input!$C$3)</f>
        <v/>
      </c>
      <c r="I1375" s="153" t="str">
        <f>IF(E1375="","",HLOOKUP($B1375,Input!$C$13:$BT$14,2))</f>
        <v/>
      </c>
      <c r="J1375" s="154"/>
      <c r="K1375" s="150" t="str">
        <f>IF($E1375="","",Input!$C$57)</f>
        <v/>
      </c>
      <c r="L1375" s="150" t="str">
        <f t="shared" si="444"/>
        <v/>
      </c>
      <c r="M1375" s="147" t="str">
        <f>IF($E1375="","",VLOOKUP(IF($B1375&lt;=Input!$C$7,$B1375,26),'Mortality Tables'!$A$72:$CA$97,IF($B1375&lt;=Input!$C$7+1,Input!$C$4-16,$D1375-Input!$C$7-16),0)/1000)</f>
        <v/>
      </c>
      <c r="N1375" s="147" t="str">
        <f t="shared" si="435"/>
        <v/>
      </c>
      <c r="O1375" s="157" t="str">
        <f>IF($E1375="","",IF($C1375=12,IF($B1375&lt;Input!$C$9,Input!$C$54,IF($B1375=Input!$C$9,Input!$C$55,Input!$C$56)),0%))</f>
        <v/>
      </c>
      <c r="P1375" s="167" t="str">
        <f>IF($E1375="","",IF($B1375=1,Input!$C$59,IF($B1375&lt;6,Input!$C$60,0%)))</f>
        <v/>
      </c>
      <c r="Q1375" s="162" t="str">
        <f>IF($E1375="","",Input!$C$58)</f>
        <v/>
      </c>
      <c r="R1375" s="156" t="str">
        <f t="shared" si="445"/>
        <v/>
      </c>
      <c r="S1375" s="154" t="str">
        <f t="shared" si="436"/>
        <v/>
      </c>
      <c r="T1375" s="152"/>
      <c r="U1375" s="150" t="str">
        <f t="shared" si="446"/>
        <v/>
      </c>
      <c r="V1375" s="150" t="str">
        <f t="shared" si="447"/>
        <v/>
      </c>
      <c r="W1375" s="168" t="str">
        <f t="shared" si="448"/>
        <v/>
      </c>
      <c r="X1375" s="163" t="str">
        <f t="shared" si="437"/>
        <v/>
      </c>
      <c r="Y1375" s="152"/>
      <c r="Z1375" s="164" t="str">
        <f>IF(AND($C1374=12,$D1374=Input!$C$6),0,IF($E1375="","",V1375+Z1376/(1+L1375)*R1375))</f>
        <v/>
      </c>
      <c r="AA1375" s="164" t="str">
        <f>IF(OR($M1375=1,AND($C1374=12,$D1374=Input!$C$6)),0,IF($E1375="","",W1375+(X1375+AA1376*$R1375)/(1+$L1375)))</f>
        <v/>
      </c>
      <c r="AB1375" s="160" t="str">
        <f t="shared" si="438"/>
        <v/>
      </c>
      <c r="AC1375" s="164" t="str">
        <f t="shared" si="439"/>
        <v/>
      </c>
      <c r="AD1375" s="164" t="str">
        <f>IF(AND($C1374=12,$D1374=Input!$C$6),0,IF($E1375="","",$AC1375+AD1376/(1+$L1375)*$R1375))</f>
        <v/>
      </c>
      <c r="AE1375" s="152"/>
      <c r="AF1375" s="164" t="str">
        <f>IF(AND($C1374=12,$D1374=Input!$C$6),0,IF($E1375="","",IF($B1375&gt;Input!$C$9,$AC1375,0)+AF1376/(1+$L1375)*$R1375))</f>
        <v/>
      </c>
      <c r="AG1375" s="164" t="str">
        <f>IF(AND($C1374=12,$D1374=Input!$C$6),0,IF($E1375="","",(IF($B1375&gt;Input!$C$9,$X1375,0)+AG1376)/(1+$L1375)*$R1375))</f>
        <v/>
      </c>
      <c r="AH1375" s="160" t="str">
        <f t="shared" si="440"/>
        <v/>
      </c>
      <c r="AI1375" s="160" t="str">
        <f>IF($E1375="","",MIN(Input!$C$61/AH1375,1))</f>
        <v/>
      </c>
      <c r="AJ1375" s="152"/>
      <c r="AK1375" s="164" t="str">
        <f>IF(AND($C1374=12,$D1374=Input!$C$6),0,IF($E1375="","",IF($B1375&gt;Input!$C$9,$AC1375*AI1375,0)+AK1376/(1+$L1375)*$R1375))</f>
        <v/>
      </c>
      <c r="AL1375" s="164" t="str">
        <f>IF(AND($C1374=12,$D1374=Input!$C$6),0,IF($E1375="","",IF($B1375&gt;Input!$C$9,0,$AC1375)+AL1376/(1+$L1375)*$R1375))</f>
        <v/>
      </c>
      <c r="AM1375" s="160" t="str">
        <f t="shared" si="441"/>
        <v/>
      </c>
      <c r="AN1375" s="164" t="str">
        <f>IF($E1375="","",IF($B1375&gt;Input!$C$9,$AI1375*$AC1375,$AM1375*$AC1375))</f>
        <v/>
      </c>
      <c r="AO1375" s="164" t="str">
        <f>IF(AND($C1374=12,$D1374=Input!$C$6),0,IF($E1375="","",$AN1375+AO1376/(1+$L1375)*$R1375))</f>
        <v/>
      </c>
      <c r="AP1375" s="152"/>
      <c r="AQ1375" s="150" t="str">
        <f t="shared" si="442"/>
        <v/>
      </c>
      <c r="AR1375" s="150" t="str">
        <f t="shared" si="449"/>
        <v/>
      </c>
      <c r="AS1375" s="150" t="str">
        <f t="shared" si="450"/>
        <v/>
      </c>
      <c r="AT1375" s="150" t="str">
        <f t="shared" si="443"/>
        <v/>
      </c>
      <c r="AU1375" s="152"/>
      <c r="AV1375" s="147" t="str">
        <f>'Deterministic Reserve'!BC1375</f>
        <v/>
      </c>
      <c r="AY1375" s="152"/>
    </row>
    <row r="1376" spans="1:51" s="150" customFormat="1" x14ac:dyDescent="0.25">
      <c r="A1376" s="150" t="str">
        <f t="shared" si="451"/>
        <v/>
      </c>
      <c r="B1376" s="150" t="str">
        <f t="shared" si="452"/>
        <v/>
      </c>
      <c r="C1376" s="150" t="str">
        <f t="shared" si="453"/>
        <v/>
      </c>
      <c r="D1376" s="150" t="str">
        <f>IF(E1376="","",Input!$C$4+B1376-1)</f>
        <v/>
      </c>
      <c r="E1376" s="150" t="str">
        <f>IF(OR(AND(C1375=12,D1375=Input!$C$6),E1375=""),"",1)</f>
        <v/>
      </c>
      <c r="G1376" s="151" t="str">
        <f>IF(E1376="","",MAX(0,Input!$C$9-B1376))</f>
        <v/>
      </c>
      <c r="H1376" s="152" t="str">
        <f>IF(E1376="","",Input!$C$3)</f>
        <v/>
      </c>
      <c r="I1376" s="153" t="str">
        <f>IF(E1376="","",HLOOKUP($B1376,Input!$C$13:$BT$14,2))</f>
        <v/>
      </c>
      <c r="J1376" s="154"/>
      <c r="K1376" s="150" t="str">
        <f>IF($E1376="","",Input!$C$57)</f>
        <v/>
      </c>
      <c r="L1376" s="150" t="str">
        <f t="shared" si="444"/>
        <v/>
      </c>
      <c r="M1376" s="147" t="str">
        <f>IF($E1376="","",VLOOKUP(IF($B1376&lt;=Input!$C$7,$B1376,26),'Mortality Tables'!$A$72:$CA$97,IF($B1376&lt;=Input!$C$7+1,Input!$C$4-16,$D1376-Input!$C$7-16),0)/1000)</f>
        <v/>
      </c>
      <c r="N1376" s="147" t="str">
        <f t="shared" si="435"/>
        <v/>
      </c>
      <c r="O1376" s="157" t="str">
        <f>IF($E1376="","",IF($C1376=12,IF($B1376&lt;Input!$C$9,Input!$C$54,IF($B1376=Input!$C$9,Input!$C$55,Input!$C$56)),0%))</f>
        <v/>
      </c>
      <c r="P1376" s="167" t="str">
        <f>IF($E1376="","",IF($B1376=1,Input!$C$59,IF($B1376&lt;6,Input!$C$60,0%)))</f>
        <v/>
      </c>
      <c r="Q1376" s="162" t="str">
        <f>IF($E1376="","",Input!$C$58)</f>
        <v/>
      </c>
      <c r="R1376" s="156" t="str">
        <f t="shared" si="445"/>
        <v/>
      </c>
      <c r="S1376" s="154" t="str">
        <f t="shared" si="436"/>
        <v/>
      </c>
      <c r="T1376" s="152"/>
      <c r="U1376" s="150" t="str">
        <f t="shared" si="446"/>
        <v/>
      </c>
      <c r="V1376" s="150" t="str">
        <f t="shared" si="447"/>
        <v/>
      </c>
      <c r="W1376" s="168" t="str">
        <f t="shared" si="448"/>
        <v/>
      </c>
      <c r="X1376" s="163" t="str">
        <f t="shared" si="437"/>
        <v/>
      </c>
      <c r="Y1376" s="152"/>
      <c r="Z1376" s="164" t="str">
        <f>IF(AND($C1375=12,$D1375=Input!$C$6),0,IF($E1376="","",V1376+Z1377/(1+L1376)*R1376))</f>
        <v/>
      </c>
      <c r="AA1376" s="164" t="str">
        <f>IF(OR($M1376=1,AND($C1375=12,$D1375=Input!$C$6)),0,IF($E1376="","",W1376+(X1376+AA1377*$R1376)/(1+$L1376)))</f>
        <v/>
      </c>
      <c r="AB1376" s="160" t="str">
        <f t="shared" si="438"/>
        <v/>
      </c>
      <c r="AC1376" s="164" t="str">
        <f t="shared" si="439"/>
        <v/>
      </c>
      <c r="AD1376" s="164" t="str">
        <f>IF(AND($C1375=12,$D1375=Input!$C$6),0,IF($E1376="","",$AC1376+AD1377/(1+$L1376)*$R1376))</f>
        <v/>
      </c>
      <c r="AE1376" s="152"/>
      <c r="AF1376" s="164" t="str">
        <f>IF(AND($C1375=12,$D1375=Input!$C$6),0,IF($E1376="","",IF($B1376&gt;Input!$C$9,$AC1376,0)+AF1377/(1+$L1376)*$R1376))</f>
        <v/>
      </c>
      <c r="AG1376" s="164" t="str">
        <f>IF(AND($C1375=12,$D1375=Input!$C$6),0,IF($E1376="","",(IF($B1376&gt;Input!$C$9,$X1376,0)+AG1377)/(1+$L1376)*$R1376))</f>
        <v/>
      </c>
      <c r="AH1376" s="160" t="str">
        <f t="shared" si="440"/>
        <v/>
      </c>
      <c r="AI1376" s="160" t="str">
        <f>IF($E1376="","",MIN(Input!$C$61/AH1376,1))</f>
        <v/>
      </c>
      <c r="AJ1376" s="152"/>
      <c r="AK1376" s="164" t="str">
        <f>IF(AND($C1375=12,$D1375=Input!$C$6),0,IF($E1376="","",IF($B1376&gt;Input!$C$9,$AC1376*AI1376,0)+AK1377/(1+$L1376)*$R1376))</f>
        <v/>
      </c>
      <c r="AL1376" s="164" t="str">
        <f>IF(AND($C1375=12,$D1375=Input!$C$6),0,IF($E1376="","",IF($B1376&gt;Input!$C$9,0,$AC1376)+AL1377/(1+$L1376)*$R1376))</f>
        <v/>
      </c>
      <c r="AM1376" s="160" t="str">
        <f t="shared" si="441"/>
        <v/>
      </c>
      <c r="AN1376" s="164" t="str">
        <f>IF($E1376="","",IF($B1376&gt;Input!$C$9,$AI1376*$AC1376,$AM1376*$AC1376))</f>
        <v/>
      </c>
      <c r="AO1376" s="164" t="str">
        <f>IF(AND($C1375=12,$D1375=Input!$C$6),0,IF($E1376="","",$AN1376+AO1377/(1+$L1376)*$R1376))</f>
        <v/>
      </c>
      <c r="AP1376" s="152"/>
      <c r="AQ1376" s="150" t="str">
        <f t="shared" si="442"/>
        <v/>
      </c>
      <c r="AR1376" s="150" t="str">
        <f t="shared" si="449"/>
        <v/>
      </c>
      <c r="AS1376" s="150" t="str">
        <f t="shared" si="450"/>
        <v/>
      </c>
      <c r="AT1376" s="150" t="str">
        <f t="shared" si="443"/>
        <v/>
      </c>
      <c r="AU1376" s="152"/>
      <c r="AV1376" s="147" t="str">
        <f>'Deterministic Reserve'!BC1376</f>
        <v/>
      </c>
      <c r="AY1376" s="152"/>
    </row>
    <row r="1377" spans="1:51" s="150" customFormat="1" x14ac:dyDescent="0.25">
      <c r="A1377" s="150" t="str">
        <f t="shared" si="451"/>
        <v/>
      </c>
      <c r="B1377" s="150" t="str">
        <f t="shared" si="452"/>
        <v/>
      </c>
      <c r="C1377" s="150" t="str">
        <f t="shared" si="453"/>
        <v/>
      </c>
      <c r="D1377" s="150" t="str">
        <f>IF(E1377="","",Input!$C$4+B1377-1)</f>
        <v/>
      </c>
      <c r="E1377" s="150" t="str">
        <f>IF(OR(AND(C1376=12,D1376=Input!$C$6),E1376=""),"",1)</f>
        <v/>
      </c>
      <c r="G1377" s="151" t="str">
        <f>IF(E1377="","",MAX(0,Input!$C$9-B1377))</f>
        <v/>
      </c>
      <c r="H1377" s="152" t="str">
        <f>IF(E1377="","",Input!$C$3)</f>
        <v/>
      </c>
      <c r="I1377" s="153" t="str">
        <f>IF(E1377="","",HLOOKUP($B1377,Input!$C$13:$BT$14,2))</f>
        <v/>
      </c>
      <c r="J1377" s="154"/>
      <c r="K1377" s="150" t="str">
        <f>IF($E1377="","",Input!$C$57)</f>
        <v/>
      </c>
      <c r="L1377" s="150" t="str">
        <f t="shared" si="444"/>
        <v/>
      </c>
      <c r="M1377" s="147" t="str">
        <f>IF($E1377="","",VLOOKUP(IF($B1377&lt;=Input!$C$7,$B1377,26),'Mortality Tables'!$A$72:$CA$97,IF($B1377&lt;=Input!$C$7+1,Input!$C$4-16,$D1377-Input!$C$7-16),0)/1000)</f>
        <v/>
      </c>
      <c r="N1377" s="147" t="str">
        <f t="shared" si="435"/>
        <v/>
      </c>
      <c r="O1377" s="157" t="str">
        <f>IF($E1377="","",IF($C1377=12,IF($B1377&lt;Input!$C$9,Input!$C$54,IF($B1377=Input!$C$9,Input!$C$55,Input!$C$56)),0%))</f>
        <v/>
      </c>
      <c r="P1377" s="167" t="str">
        <f>IF($E1377="","",IF($B1377=1,Input!$C$59,IF($B1377&lt;6,Input!$C$60,0%)))</f>
        <v/>
      </c>
      <c r="Q1377" s="162" t="str">
        <f>IF($E1377="","",Input!$C$58)</f>
        <v/>
      </c>
      <c r="R1377" s="156" t="str">
        <f t="shared" si="445"/>
        <v/>
      </c>
      <c r="S1377" s="154" t="str">
        <f t="shared" si="436"/>
        <v/>
      </c>
      <c r="T1377" s="152"/>
      <c r="U1377" s="150" t="str">
        <f t="shared" si="446"/>
        <v/>
      </c>
      <c r="V1377" s="150" t="str">
        <f t="shared" si="447"/>
        <v/>
      </c>
      <c r="W1377" s="168" t="str">
        <f t="shared" si="448"/>
        <v/>
      </c>
      <c r="X1377" s="163" t="str">
        <f t="shared" si="437"/>
        <v/>
      </c>
      <c r="Y1377" s="152"/>
      <c r="Z1377" s="164" t="str">
        <f>IF(AND($C1376=12,$D1376=Input!$C$6),0,IF($E1377="","",V1377+Z1378/(1+L1377)*R1377))</f>
        <v/>
      </c>
      <c r="AA1377" s="164" t="str">
        <f>IF(OR($M1377=1,AND($C1376=12,$D1376=Input!$C$6)),0,IF($E1377="","",W1377+(X1377+AA1378*$R1377)/(1+$L1377)))</f>
        <v/>
      </c>
      <c r="AB1377" s="160" t="str">
        <f t="shared" si="438"/>
        <v/>
      </c>
      <c r="AC1377" s="164" t="str">
        <f t="shared" si="439"/>
        <v/>
      </c>
      <c r="AD1377" s="164" t="str">
        <f>IF(AND($C1376=12,$D1376=Input!$C$6),0,IF($E1377="","",$AC1377+AD1378/(1+$L1377)*$R1377))</f>
        <v/>
      </c>
      <c r="AE1377" s="152"/>
      <c r="AF1377" s="164" t="str">
        <f>IF(AND($C1376=12,$D1376=Input!$C$6),0,IF($E1377="","",IF($B1377&gt;Input!$C$9,$AC1377,0)+AF1378/(1+$L1377)*$R1377))</f>
        <v/>
      </c>
      <c r="AG1377" s="164" t="str">
        <f>IF(AND($C1376=12,$D1376=Input!$C$6),0,IF($E1377="","",(IF($B1377&gt;Input!$C$9,$X1377,0)+AG1378)/(1+$L1377)*$R1377))</f>
        <v/>
      </c>
      <c r="AH1377" s="160" t="str">
        <f t="shared" si="440"/>
        <v/>
      </c>
      <c r="AI1377" s="160" t="str">
        <f>IF($E1377="","",MIN(Input!$C$61/AH1377,1))</f>
        <v/>
      </c>
      <c r="AJ1377" s="152"/>
      <c r="AK1377" s="164" t="str">
        <f>IF(AND($C1376=12,$D1376=Input!$C$6),0,IF($E1377="","",IF($B1377&gt;Input!$C$9,$AC1377*AI1377,0)+AK1378/(1+$L1377)*$R1377))</f>
        <v/>
      </c>
      <c r="AL1377" s="164" t="str">
        <f>IF(AND($C1376=12,$D1376=Input!$C$6),0,IF($E1377="","",IF($B1377&gt;Input!$C$9,0,$AC1377)+AL1378/(1+$L1377)*$R1377))</f>
        <v/>
      </c>
      <c r="AM1377" s="160" t="str">
        <f t="shared" si="441"/>
        <v/>
      </c>
      <c r="AN1377" s="164" t="str">
        <f>IF($E1377="","",IF($B1377&gt;Input!$C$9,$AI1377*$AC1377,$AM1377*$AC1377))</f>
        <v/>
      </c>
      <c r="AO1377" s="164" t="str">
        <f>IF(AND($C1376=12,$D1376=Input!$C$6),0,IF($E1377="","",$AN1377+AO1378/(1+$L1377)*$R1377))</f>
        <v/>
      </c>
      <c r="AP1377" s="152"/>
      <c r="AQ1377" s="150" t="str">
        <f t="shared" si="442"/>
        <v/>
      </c>
      <c r="AR1377" s="150" t="str">
        <f t="shared" si="449"/>
        <v/>
      </c>
      <c r="AS1377" s="150" t="str">
        <f t="shared" si="450"/>
        <v/>
      </c>
      <c r="AT1377" s="150" t="str">
        <f t="shared" si="443"/>
        <v/>
      </c>
      <c r="AU1377" s="152"/>
      <c r="AV1377" s="147" t="str">
        <f>'Deterministic Reserve'!BC1377</f>
        <v/>
      </c>
      <c r="AY1377" s="152"/>
    </row>
    <row r="1378" spans="1:51" s="150" customFormat="1" x14ac:dyDescent="0.25">
      <c r="A1378" s="150" t="str">
        <f t="shared" si="451"/>
        <v/>
      </c>
      <c r="B1378" s="150" t="str">
        <f t="shared" si="452"/>
        <v/>
      </c>
      <c r="C1378" s="150" t="str">
        <f t="shared" si="453"/>
        <v/>
      </c>
      <c r="D1378" s="150" t="str">
        <f>IF(E1378="","",Input!$C$4+B1378-1)</f>
        <v/>
      </c>
      <c r="E1378" s="150" t="str">
        <f>IF(OR(AND(C1377=12,D1377=Input!$C$6),E1377=""),"",1)</f>
        <v/>
      </c>
      <c r="G1378" s="151" t="str">
        <f>IF(E1378="","",MAX(0,Input!$C$9-B1378))</f>
        <v/>
      </c>
      <c r="H1378" s="152" t="str">
        <f>IF(E1378="","",Input!$C$3)</f>
        <v/>
      </c>
      <c r="I1378" s="153" t="str">
        <f>IF(E1378="","",HLOOKUP($B1378,Input!$C$13:$BT$14,2))</f>
        <v/>
      </c>
      <c r="J1378" s="154"/>
      <c r="K1378" s="150" t="str">
        <f>IF($E1378="","",Input!$C$57)</f>
        <v/>
      </c>
      <c r="L1378" s="150" t="str">
        <f t="shared" si="444"/>
        <v/>
      </c>
      <c r="M1378" s="147" t="str">
        <f>IF($E1378="","",VLOOKUP(IF($B1378&lt;=Input!$C$7,$B1378,26),'Mortality Tables'!$A$72:$CA$97,IF($B1378&lt;=Input!$C$7+1,Input!$C$4-16,$D1378-Input!$C$7-16),0)/1000)</f>
        <v/>
      </c>
      <c r="N1378" s="147" t="str">
        <f t="shared" si="435"/>
        <v/>
      </c>
      <c r="O1378" s="157" t="str">
        <f>IF($E1378="","",IF($C1378=12,IF($B1378&lt;Input!$C$9,Input!$C$54,IF($B1378=Input!$C$9,Input!$C$55,Input!$C$56)),0%))</f>
        <v/>
      </c>
      <c r="P1378" s="167" t="str">
        <f>IF($E1378="","",IF($B1378=1,Input!$C$59,IF($B1378&lt;6,Input!$C$60,0%)))</f>
        <v/>
      </c>
      <c r="Q1378" s="162" t="str">
        <f>IF($E1378="","",Input!$C$58)</f>
        <v/>
      </c>
      <c r="R1378" s="156" t="str">
        <f t="shared" si="445"/>
        <v/>
      </c>
      <c r="S1378" s="154" t="str">
        <f t="shared" si="436"/>
        <v/>
      </c>
      <c r="T1378" s="152"/>
      <c r="U1378" s="150" t="str">
        <f t="shared" si="446"/>
        <v/>
      </c>
      <c r="V1378" s="150" t="str">
        <f t="shared" si="447"/>
        <v/>
      </c>
      <c r="W1378" s="168" t="str">
        <f t="shared" si="448"/>
        <v/>
      </c>
      <c r="X1378" s="163" t="str">
        <f t="shared" si="437"/>
        <v/>
      </c>
      <c r="Y1378" s="152"/>
      <c r="Z1378" s="164" t="str">
        <f>IF(AND($C1377=12,$D1377=Input!$C$6),0,IF($E1378="","",V1378+Z1379/(1+L1378)*R1378))</f>
        <v/>
      </c>
      <c r="AA1378" s="164" t="str">
        <f>IF(OR($M1378=1,AND($C1377=12,$D1377=Input!$C$6)),0,IF($E1378="","",W1378+(X1378+AA1379*$R1378)/(1+$L1378)))</f>
        <v/>
      </c>
      <c r="AB1378" s="160" t="str">
        <f t="shared" si="438"/>
        <v/>
      </c>
      <c r="AC1378" s="164" t="str">
        <f t="shared" si="439"/>
        <v/>
      </c>
      <c r="AD1378" s="164" t="str">
        <f>IF(AND($C1377=12,$D1377=Input!$C$6),0,IF($E1378="","",$AC1378+AD1379/(1+$L1378)*$R1378))</f>
        <v/>
      </c>
      <c r="AE1378" s="152"/>
      <c r="AF1378" s="164" t="str">
        <f>IF(AND($C1377=12,$D1377=Input!$C$6),0,IF($E1378="","",IF($B1378&gt;Input!$C$9,$AC1378,0)+AF1379/(1+$L1378)*$R1378))</f>
        <v/>
      </c>
      <c r="AG1378" s="164" t="str">
        <f>IF(AND($C1377=12,$D1377=Input!$C$6),0,IF($E1378="","",(IF($B1378&gt;Input!$C$9,$X1378,0)+AG1379)/(1+$L1378)*$R1378))</f>
        <v/>
      </c>
      <c r="AH1378" s="160" t="str">
        <f t="shared" si="440"/>
        <v/>
      </c>
      <c r="AI1378" s="160" t="str">
        <f>IF($E1378="","",MIN(Input!$C$61/AH1378,1))</f>
        <v/>
      </c>
      <c r="AJ1378" s="152"/>
      <c r="AK1378" s="164" t="str">
        <f>IF(AND($C1377=12,$D1377=Input!$C$6),0,IF($E1378="","",IF($B1378&gt;Input!$C$9,$AC1378*AI1378,0)+AK1379/(1+$L1378)*$R1378))</f>
        <v/>
      </c>
      <c r="AL1378" s="164" t="str">
        <f>IF(AND($C1377=12,$D1377=Input!$C$6),0,IF($E1378="","",IF($B1378&gt;Input!$C$9,0,$AC1378)+AL1379/(1+$L1378)*$R1378))</f>
        <v/>
      </c>
      <c r="AM1378" s="160" t="str">
        <f t="shared" si="441"/>
        <v/>
      </c>
      <c r="AN1378" s="164" t="str">
        <f>IF($E1378="","",IF($B1378&gt;Input!$C$9,$AI1378*$AC1378,$AM1378*$AC1378))</f>
        <v/>
      </c>
      <c r="AO1378" s="164" t="str">
        <f>IF(AND($C1377=12,$D1377=Input!$C$6),0,IF($E1378="","",$AN1378+AO1379/(1+$L1378)*$R1378))</f>
        <v/>
      </c>
      <c r="AP1378" s="152"/>
      <c r="AQ1378" s="150" t="str">
        <f t="shared" si="442"/>
        <v/>
      </c>
      <c r="AR1378" s="150" t="str">
        <f t="shared" si="449"/>
        <v/>
      </c>
      <c r="AS1378" s="150" t="str">
        <f t="shared" si="450"/>
        <v/>
      </c>
      <c r="AT1378" s="150" t="str">
        <f t="shared" si="443"/>
        <v/>
      </c>
      <c r="AU1378" s="152"/>
      <c r="AV1378" s="147" t="str">
        <f>'Deterministic Reserve'!BC1378</f>
        <v/>
      </c>
      <c r="AY1378" s="152"/>
    </row>
    <row r="1379" spans="1:51" s="150" customFormat="1" x14ac:dyDescent="0.25">
      <c r="A1379" s="150" t="str">
        <f t="shared" si="451"/>
        <v/>
      </c>
      <c r="B1379" s="150" t="str">
        <f t="shared" si="452"/>
        <v/>
      </c>
      <c r="C1379" s="150" t="str">
        <f t="shared" si="453"/>
        <v/>
      </c>
      <c r="D1379" s="150" t="str">
        <f>IF(E1379="","",Input!$C$4+B1379-1)</f>
        <v/>
      </c>
      <c r="E1379" s="150" t="str">
        <f>IF(OR(AND(C1378=12,D1378=Input!$C$6),E1378=""),"",1)</f>
        <v/>
      </c>
      <c r="G1379" s="151" t="str">
        <f>IF(E1379="","",MAX(0,Input!$C$9-B1379))</f>
        <v/>
      </c>
      <c r="H1379" s="152" t="str">
        <f>IF(E1379="","",Input!$C$3)</f>
        <v/>
      </c>
      <c r="I1379" s="153" t="str">
        <f>IF(E1379="","",HLOOKUP($B1379,Input!$C$13:$BT$14,2))</f>
        <v/>
      </c>
      <c r="J1379" s="154"/>
      <c r="K1379" s="150" t="str">
        <f>IF($E1379="","",Input!$C$57)</f>
        <v/>
      </c>
      <c r="L1379" s="150" t="str">
        <f t="shared" si="444"/>
        <v/>
      </c>
      <c r="M1379" s="147" t="str">
        <f>IF($E1379="","",VLOOKUP(IF($B1379&lt;=Input!$C$7,$B1379,26),'Mortality Tables'!$A$72:$CA$97,IF($B1379&lt;=Input!$C$7+1,Input!$C$4-16,$D1379-Input!$C$7-16),0)/1000)</f>
        <v/>
      </c>
      <c r="N1379" s="147" t="str">
        <f t="shared" si="435"/>
        <v/>
      </c>
      <c r="O1379" s="157" t="str">
        <f>IF($E1379="","",IF($C1379=12,IF($B1379&lt;Input!$C$9,Input!$C$54,IF($B1379=Input!$C$9,Input!$C$55,Input!$C$56)),0%))</f>
        <v/>
      </c>
      <c r="P1379" s="167" t="str">
        <f>IF($E1379="","",IF($B1379=1,Input!$C$59,IF($B1379&lt;6,Input!$C$60,0%)))</f>
        <v/>
      </c>
      <c r="Q1379" s="162" t="str">
        <f>IF($E1379="","",Input!$C$58)</f>
        <v/>
      </c>
      <c r="R1379" s="156" t="str">
        <f t="shared" si="445"/>
        <v/>
      </c>
      <c r="S1379" s="154" t="str">
        <f t="shared" si="436"/>
        <v/>
      </c>
      <c r="T1379" s="152"/>
      <c r="U1379" s="150" t="str">
        <f t="shared" si="446"/>
        <v/>
      </c>
      <c r="V1379" s="150" t="str">
        <f t="shared" si="447"/>
        <v/>
      </c>
      <c r="W1379" s="168" t="str">
        <f t="shared" si="448"/>
        <v/>
      </c>
      <c r="X1379" s="163" t="str">
        <f t="shared" si="437"/>
        <v/>
      </c>
      <c r="Y1379" s="152"/>
      <c r="Z1379" s="164" t="str">
        <f>IF(AND($C1378=12,$D1378=Input!$C$6),0,IF($E1379="","",V1379+Z1380/(1+L1379)*R1379))</f>
        <v/>
      </c>
      <c r="AA1379" s="164" t="str">
        <f>IF(OR($M1379=1,AND($C1378=12,$D1378=Input!$C$6)),0,IF($E1379="","",W1379+(X1379+AA1380*$R1379)/(1+$L1379)))</f>
        <v/>
      </c>
      <c r="AB1379" s="160" t="str">
        <f t="shared" si="438"/>
        <v/>
      </c>
      <c r="AC1379" s="164" t="str">
        <f t="shared" si="439"/>
        <v/>
      </c>
      <c r="AD1379" s="164" t="str">
        <f>IF(AND($C1378=12,$D1378=Input!$C$6),0,IF($E1379="","",$AC1379+AD1380/(1+$L1379)*$R1379))</f>
        <v/>
      </c>
      <c r="AE1379" s="152"/>
      <c r="AF1379" s="164" t="str">
        <f>IF(AND($C1378=12,$D1378=Input!$C$6),0,IF($E1379="","",IF($B1379&gt;Input!$C$9,$AC1379,0)+AF1380/(1+$L1379)*$R1379))</f>
        <v/>
      </c>
      <c r="AG1379" s="164" t="str">
        <f>IF(AND($C1378=12,$D1378=Input!$C$6),0,IF($E1379="","",(IF($B1379&gt;Input!$C$9,$X1379,0)+AG1380)/(1+$L1379)*$R1379))</f>
        <v/>
      </c>
      <c r="AH1379" s="160" t="str">
        <f t="shared" si="440"/>
        <v/>
      </c>
      <c r="AI1379" s="160" t="str">
        <f>IF($E1379="","",MIN(Input!$C$61/AH1379,1))</f>
        <v/>
      </c>
      <c r="AJ1379" s="152"/>
      <c r="AK1379" s="164" t="str">
        <f>IF(AND($C1378=12,$D1378=Input!$C$6),0,IF($E1379="","",IF($B1379&gt;Input!$C$9,$AC1379*AI1379,0)+AK1380/(1+$L1379)*$R1379))</f>
        <v/>
      </c>
      <c r="AL1379" s="164" t="str">
        <f>IF(AND($C1378=12,$D1378=Input!$C$6),0,IF($E1379="","",IF($B1379&gt;Input!$C$9,0,$AC1379)+AL1380/(1+$L1379)*$R1379))</f>
        <v/>
      </c>
      <c r="AM1379" s="160" t="str">
        <f t="shared" si="441"/>
        <v/>
      </c>
      <c r="AN1379" s="164" t="str">
        <f>IF($E1379="","",IF($B1379&gt;Input!$C$9,$AI1379*$AC1379,$AM1379*$AC1379))</f>
        <v/>
      </c>
      <c r="AO1379" s="164" t="str">
        <f>IF(AND($C1378=12,$D1378=Input!$C$6),0,IF($E1379="","",$AN1379+AO1380/(1+$L1379)*$R1379))</f>
        <v/>
      </c>
      <c r="AP1379" s="152"/>
      <c r="AQ1379" s="150" t="str">
        <f t="shared" si="442"/>
        <v/>
      </c>
      <c r="AR1379" s="150" t="str">
        <f t="shared" si="449"/>
        <v/>
      </c>
      <c r="AS1379" s="150" t="str">
        <f t="shared" si="450"/>
        <v/>
      </c>
      <c r="AT1379" s="150" t="str">
        <f t="shared" si="443"/>
        <v/>
      </c>
      <c r="AU1379" s="152"/>
      <c r="AV1379" s="147" t="str">
        <f>'Deterministic Reserve'!BC1379</f>
        <v/>
      </c>
      <c r="AY1379" s="152"/>
    </row>
    <row r="1380" spans="1:51" s="150" customFormat="1" x14ac:dyDescent="0.25">
      <c r="A1380" s="150" t="str">
        <f t="shared" si="451"/>
        <v/>
      </c>
      <c r="B1380" s="150" t="str">
        <f t="shared" si="452"/>
        <v/>
      </c>
      <c r="C1380" s="150" t="str">
        <f t="shared" si="453"/>
        <v/>
      </c>
      <c r="D1380" s="150" t="str">
        <f>IF(E1380="","",Input!$C$4+B1380-1)</f>
        <v/>
      </c>
      <c r="E1380" s="150" t="str">
        <f>IF(OR(AND(C1379=12,D1379=Input!$C$6),E1379=""),"",1)</f>
        <v/>
      </c>
      <c r="G1380" s="151" t="str">
        <f>IF(E1380="","",MAX(0,Input!$C$9-B1380))</f>
        <v/>
      </c>
      <c r="H1380" s="152" t="str">
        <f>IF(E1380="","",Input!$C$3)</f>
        <v/>
      </c>
      <c r="I1380" s="153" t="str">
        <f>IF(E1380="","",HLOOKUP($B1380,Input!$C$13:$BT$14,2))</f>
        <v/>
      </c>
      <c r="J1380" s="154"/>
      <c r="K1380" s="150" t="str">
        <f>IF($E1380="","",Input!$C$57)</f>
        <v/>
      </c>
      <c r="L1380" s="150" t="str">
        <f t="shared" si="444"/>
        <v/>
      </c>
      <c r="M1380" s="147" t="str">
        <f>IF($E1380="","",VLOOKUP(IF($B1380&lt;=Input!$C$7,$B1380,26),'Mortality Tables'!$A$72:$CA$97,IF($B1380&lt;=Input!$C$7+1,Input!$C$4-16,$D1380-Input!$C$7-16),0)/1000)</f>
        <v/>
      </c>
      <c r="N1380" s="147" t="str">
        <f t="shared" si="435"/>
        <v/>
      </c>
      <c r="O1380" s="157" t="str">
        <f>IF($E1380="","",IF($C1380=12,IF($B1380&lt;Input!$C$9,Input!$C$54,IF($B1380=Input!$C$9,Input!$C$55,Input!$C$56)),0%))</f>
        <v/>
      </c>
      <c r="P1380" s="167" t="str">
        <f>IF($E1380="","",IF($B1380=1,Input!$C$59,IF($B1380&lt;6,Input!$C$60,0%)))</f>
        <v/>
      </c>
      <c r="Q1380" s="162" t="str">
        <f>IF($E1380="","",Input!$C$58)</f>
        <v/>
      </c>
      <c r="R1380" s="156" t="str">
        <f t="shared" si="445"/>
        <v/>
      </c>
      <c r="S1380" s="154" t="str">
        <f t="shared" si="436"/>
        <v/>
      </c>
      <c r="T1380" s="152"/>
      <c r="U1380" s="150" t="str">
        <f t="shared" si="446"/>
        <v/>
      </c>
      <c r="V1380" s="150" t="str">
        <f t="shared" si="447"/>
        <v/>
      </c>
      <c r="W1380" s="168" t="str">
        <f t="shared" si="448"/>
        <v/>
      </c>
      <c r="X1380" s="163" t="str">
        <f t="shared" si="437"/>
        <v/>
      </c>
      <c r="Y1380" s="152"/>
      <c r="Z1380" s="164" t="str">
        <f>IF(AND($C1379=12,$D1379=Input!$C$6),0,IF($E1380="","",V1380+Z1381/(1+L1380)*R1380))</f>
        <v/>
      </c>
      <c r="AA1380" s="164" t="str">
        <f>IF(OR($M1380=1,AND($C1379=12,$D1379=Input!$C$6)),0,IF($E1380="","",W1380+(X1380+AA1381*$R1380)/(1+$L1380)))</f>
        <v/>
      </c>
      <c r="AB1380" s="160" t="str">
        <f t="shared" si="438"/>
        <v/>
      </c>
      <c r="AC1380" s="164" t="str">
        <f t="shared" si="439"/>
        <v/>
      </c>
      <c r="AD1380" s="164" t="str">
        <f>IF(AND($C1379=12,$D1379=Input!$C$6),0,IF($E1380="","",$AC1380+AD1381/(1+$L1380)*$R1380))</f>
        <v/>
      </c>
      <c r="AE1380" s="152"/>
      <c r="AF1380" s="164" t="str">
        <f>IF(AND($C1379=12,$D1379=Input!$C$6),0,IF($E1380="","",IF($B1380&gt;Input!$C$9,$AC1380,0)+AF1381/(1+$L1380)*$R1380))</f>
        <v/>
      </c>
      <c r="AG1380" s="164" t="str">
        <f>IF(AND($C1379=12,$D1379=Input!$C$6),0,IF($E1380="","",(IF($B1380&gt;Input!$C$9,$X1380,0)+AG1381)/(1+$L1380)*$R1380))</f>
        <v/>
      </c>
      <c r="AH1380" s="160" t="str">
        <f t="shared" si="440"/>
        <v/>
      </c>
      <c r="AI1380" s="160" t="str">
        <f>IF($E1380="","",MIN(Input!$C$61/AH1380,1))</f>
        <v/>
      </c>
      <c r="AJ1380" s="152"/>
      <c r="AK1380" s="164" t="str">
        <f>IF(AND($C1379=12,$D1379=Input!$C$6),0,IF($E1380="","",IF($B1380&gt;Input!$C$9,$AC1380*AI1380,0)+AK1381/(1+$L1380)*$R1380))</f>
        <v/>
      </c>
      <c r="AL1380" s="164" t="str">
        <f>IF(AND($C1379=12,$D1379=Input!$C$6),0,IF($E1380="","",IF($B1380&gt;Input!$C$9,0,$AC1380)+AL1381/(1+$L1380)*$R1380))</f>
        <v/>
      </c>
      <c r="AM1380" s="160" t="str">
        <f t="shared" si="441"/>
        <v/>
      </c>
      <c r="AN1380" s="164" t="str">
        <f>IF($E1380="","",IF($B1380&gt;Input!$C$9,$AI1380*$AC1380,$AM1380*$AC1380))</f>
        <v/>
      </c>
      <c r="AO1380" s="164" t="str">
        <f>IF(AND($C1379=12,$D1379=Input!$C$6),0,IF($E1380="","",$AN1380+AO1381/(1+$L1380)*$R1380))</f>
        <v/>
      </c>
      <c r="AP1380" s="152"/>
      <c r="AQ1380" s="150" t="str">
        <f t="shared" si="442"/>
        <v/>
      </c>
      <c r="AR1380" s="150" t="str">
        <f t="shared" si="449"/>
        <v/>
      </c>
      <c r="AS1380" s="150" t="str">
        <f t="shared" si="450"/>
        <v/>
      </c>
      <c r="AT1380" s="150" t="str">
        <f t="shared" si="443"/>
        <v/>
      </c>
      <c r="AU1380" s="152"/>
      <c r="AV1380" s="147" t="str">
        <f>'Deterministic Reserve'!BC1380</f>
        <v/>
      </c>
      <c r="AY1380" s="152"/>
    </row>
    <row r="1381" spans="1:51" s="150" customFormat="1" x14ac:dyDescent="0.25">
      <c r="A1381" s="150" t="str">
        <f t="shared" si="451"/>
        <v/>
      </c>
      <c r="B1381" s="150" t="str">
        <f t="shared" si="452"/>
        <v/>
      </c>
      <c r="C1381" s="150" t="str">
        <f t="shared" si="453"/>
        <v/>
      </c>
      <c r="D1381" s="150" t="str">
        <f>IF(E1381="","",Input!$C$4+B1381-1)</f>
        <v/>
      </c>
      <c r="E1381" s="150" t="str">
        <f>IF(OR(AND(C1380=12,D1380=Input!$C$6),E1380=""),"",1)</f>
        <v/>
      </c>
      <c r="G1381" s="151" t="str">
        <f>IF(E1381="","",MAX(0,Input!$C$9-B1381))</f>
        <v/>
      </c>
      <c r="H1381" s="152" t="str">
        <f>IF(E1381="","",Input!$C$3)</f>
        <v/>
      </c>
      <c r="I1381" s="153" t="str">
        <f>IF(E1381="","",HLOOKUP($B1381,Input!$C$13:$BT$14,2))</f>
        <v/>
      </c>
      <c r="J1381" s="154"/>
      <c r="K1381" s="150" t="str">
        <f>IF($E1381="","",Input!$C$57)</f>
        <v/>
      </c>
      <c r="L1381" s="150" t="str">
        <f t="shared" si="444"/>
        <v/>
      </c>
      <c r="M1381" s="147" t="str">
        <f>IF($E1381="","",VLOOKUP(IF($B1381&lt;=Input!$C$7,$B1381,26),'Mortality Tables'!$A$72:$CA$97,IF($B1381&lt;=Input!$C$7+1,Input!$C$4-16,$D1381-Input!$C$7-16),0)/1000)</f>
        <v/>
      </c>
      <c r="N1381" s="147" t="str">
        <f t="shared" si="435"/>
        <v/>
      </c>
      <c r="O1381" s="157" t="str">
        <f>IF($E1381="","",IF($C1381=12,IF($B1381&lt;Input!$C$9,Input!$C$54,IF($B1381=Input!$C$9,Input!$C$55,Input!$C$56)),0%))</f>
        <v/>
      </c>
      <c r="P1381" s="167" t="str">
        <f>IF($E1381="","",IF($B1381=1,Input!$C$59,IF($B1381&lt;6,Input!$C$60,0%)))</f>
        <v/>
      </c>
      <c r="Q1381" s="162" t="str">
        <f>IF($E1381="","",Input!$C$58)</f>
        <v/>
      </c>
      <c r="R1381" s="156" t="str">
        <f t="shared" si="445"/>
        <v/>
      </c>
      <c r="S1381" s="154" t="str">
        <f t="shared" si="436"/>
        <v/>
      </c>
      <c r="T1381" s="152"/>
      <c r="U1381" s="150" t="str">
        <f t="shared" si="446"/>
        <v/>
      </c>
      <c r="V1381" s="150" t="str">
        <f t="shared" si="447"/>
        <v/>
      </c>
      <c r="W1381" s="168" t="str">
        <f t="shared" si="448"/>
        <v/>
      </c>
      <c r="X1381" s="163" t="str">
        <f t="shared" si="437"/>
        <v/>
      </c>
      <c r="Y1381" s="152"/>
      <c r="Z1381" s="164" t="str">
        <f>IF(AND($C1380=12,$D1380=Input!$C$6),0,IF($E1381="","",V1381+Z1382/(1+L1381)*R1381))</f>
        <v/>
      </c>
      <c r="AA1381" s="164" t="str">
        <f>IF(OR($M1381=1,AND($C1380=12,$D1380=Input!$C$6)),0,IF($E1381="","",W1381+(X1381+AA1382*$R1381)/(1+$L1381)))</f>
        <v/>
      </c>
      <c r="AB1381" s="160" t="str">
        <f t="shared" si="438"/>
        <v/>
      </c>
      <c r="AC1381" s="164" t="str">
        <f t="shared" si="439"/>
        <v/>
      </c>
      <c r="AD1381" s="164" t="str">
        <f>IF(AND($C1380=12,$D1380=Input!$C$6),0,IF($E1381="","",$AC1381+AD1382/(1+$L1381)*$R1381))</f>
        <v/>
      </c>
      <c r="AE1381" s="152"/>
      <c r="AF1381" s="164" t="str">
        <f>IF(AND($C1380=12,$D1380=Input!$C$6),0,IF($E1381="","",IF($B1381&gt;Input!$C$9,$AC1381,0)+AF1382/(1+$L1381)*$R1381))</f>
        <v/>
      </c>
      <c r="AG1381" s="164" t="str">
        <f>IF(AND($C1380=12,$D1380=Input!$C$6),0,IF($E1381="","",(IF($B1381&gt;Input!$C$9,$X1381,0)+AG1382)/(1+$L1381)*$R1381))</f>
        <v/>
      </c>
      <c r="AH1381" s="160" t="str">
        <f t="shared" si="440"/>
        <v/>
      </c>
      <c r="AI1381" s="160" t="str">
        <f>IF($E1381="","",MIN(Input!$C$61/AH1381,1))</f>
        <v/>
      </c>
      <c r="AJ1381" s="152"/>
      <c r="AK1381" s="164" t="str">
        <f>IF(AND($C1380=12,$D1380=Input!$C$6),0,IF($E1381="","",IF($B1381&gt;Input!$C$9,$AC1381*AI1381,0)+AK1382/(1+$L1381)*$R1381))</f>
        <v/>
      </c>
      <c r="AL1381" s="164" t="str">
        <f>IF(AND($C1380=12,$D1380=Input!$C$6),0,IF($E1381="","",IF($B1381&gt;Input!$C$9,0,$AC1381)+AL1382/(1+$L1381)*$R1381))</f>
        <v/>
      </c>
      <c r="AM1381" s="160" t="str">
        <f t="shared" si="441"/>
        <v/>
      </c>
      <c r="AN1381" s="164" t="str">
        <f>IF($E1381="","",IF($B1381&gt;Input!$C$9,$AI1381*$AC1381,$AM1381*$AC1381))</f>
        <v/>
      </c>
      <c r="AO1381" s="164" t="str">
        <f>IF(AND($C1380=12,$D1380=Input!$C$6),0,IF($E1381="","",$AN1381+AO1382/(1+$L1381)*$R1381))</f>
        <v/>
      </c>
      <c r="AP1381" s="152"/>
      <c r="AQ1381" s="150" t="str">
        <f t="shared" si="442"/>
        <v/>
      </c>
      <c r="AR1381" s="150" t="str">
        <f t="shared" si="449"/>
        <v/>
      </c>
      <c r="AS1381" s="150" t="str">
        <f t="shared" si="450"/>
        <v/>
      </c>
      <c r="AT1381" s="150" t="str">
        <f t="shared" si="443"/>
        <v/>
      </c>
      <c r="AU1381" s="152"/>
      <c r="AV1381" s="147" t="str">
        <f>'Deterministic Reserve'!BC1381</f>
        <v/>
      </c>
      <c r="AY1381" s="152"/>
    </row>
    <row r="1382" spans="1:51" s="150" customFormat="1" x14ac:dyDescent="0.25">
      <c r="A1382" s="150" t="str">
        <f t="shared" si="451"/>
        <v/>
      </c>
      <c r="B1382" s="150" t="str">
        <f t="shared" si="452"/>
        <v/>
      </c>
      <c r="C1382" s="150" t="str">
        <f t="shared" si="453"/>
        <v/>
      </c>
      <c r="D1382" s="150" t="str">
        <f>IF(E1382="","",Input!$C$4+B1382-1)</f>
        <v/>
      </c>
      <c r="E1382" s="150" t="str">
        <f>IF(OR(AND(C1381=12,D1381=Input!$C$6),E1381=""),"",1)</f>
        <v/>
      </c>
      <c r="G1382" s="151" t="str">
        <f>IF(E1382="","",MAX(0,Input!$C$9-B1382))</f>
        <v/>
      </c>
      <c r="H1382" s="152" t="str">
        <f>IF(E1382="","",Input!$C$3)</f>
        <v/>
      </c>
      <c r="I1382" s="153" t="str">
        <f>IF(E1382="","",HLOOKUP($B1382,Input!$C$13:$BT$14,2))</f>
        <v/>
      </c>
      <c r="J1382" s="154"/>
      <c r="K1382" s="150" t="str">
        <f>IF($E1382="","",Input!$C$57)</f>
        <v/>
      </c>
      <c r="L1382" s="150" t="str">
        <f t="shared" si="444"/>
        <v/>
      </c>
      <c r="M1382" s="147" t="str">
        <f>IF($E1382="","",VLOOKUP(IF($B1382&lt;=Input!$C$7,$B1382,26),'Mortality Tables'!$A$72:$CA$97,IF($B1382&lt;=Input!$C$7+1,Input!$C$4-16,$D1382-Input!$C$7-16),0)/1000)</f>
        <v/>
      </c>
      <c r="N1382" s="147" t="str">
        <f t="shared" si="435"/>
        <v/>
      </c>
      <c r="O1382" s="157" t="str">
        <f>IF($E1382="","",IF($C1382=12,IF($B1382&lt;Input!$C$9,Input!$C$54,IF($B1382=Input!$C$9,Input!$C$55,Input!$C$56)),0%))</f>
        <v/>
      </c>
      <c r="P1382" s="167" t="str">
        <f>IF($E1382="","",IF($B1382=1,Input!$C$59,IF($B1382&lt;6,Input!$C$60,0%)))</f>
        <v/>
      </c>
      <c r="Q1382" s="162" t="str">
        <f>IF($E1382="","",Input!$C$58)</f>
        <v/>
      </c>
      <c r="R1382" s="156" t="str">
        <f t="shared" si="445"/>
        <v/>
      </c>
      <c r="S1382" s="154" t="str">
        <f t="shared" si="436"/>
        <v/>
      </c>
      <c r="T1382" s="152"/>
      <c r="U1382" s="150" t="str">
        <f t="shared" si="446"/>
        <v/>
      </c>
      <c r="V1382" s="150" t="str">
        <f t="shared" si="447"/>
        <v/>
      </c>
      <c r="W1382" s="168" t="str">
        <f t="shared" si="448"/>
        <v/>
      </c>
      <c r="X1382" s="163" t="str">
        <f t="shared" si="437"/>
        <v/>
      </c>
      <c r="Y1382" s="152"/>
      <c r="Z1382" s="164" t="str">
        <f>IF(AND($C1381=12,$D1381=Input!$C$6),0,IF($E1382="","",V1382+Z1383/(1+L1382)*R1382))</f>
        <v/>
      </c>
      <c r="AA1382" s="164" t="str">
        <f>IF(OR($M1382=1,AND($C1381=12,$D1381=Input!$C$6)),0,IF($E1382="","",W1382+(X1382+AA1383*$R1382)/(1+$L1382)))</f>
        <v/>
      </c>
      <c r="AB1382" s="160" t="str">
        <f t="shared" si="438"/>
        <v/>
      </c>
      <c r="AC1382" s="164" t="str">
        <f t="shared" si="439"/>
        <v/>
      </c>
      <c r="AD1382" s="164" t="str">
        <f>IF(AND($C1381=12,$D1381=Input!$C$6),0,IF($E1382="","",$AC1382+AD1383/(1+$L1382)*$R1382))</f>
        <v/>
      </c>
      <c r="AE1382" s="152"/>
      <c r="AF1382" s="164" t="str">
        <f>IF(AND($C1381=12,$D1381=Input!$C$6),0,IF($E1382="","",IF($B1382&gt;Input!$C$9,$AC1382,0)+AF1383/(1+$L1382)*$R1382))</f>
        <v/>
      </c>
      <c r="AG1382" s="164" t="str">
        <f>IF(AND($C1381=12,$D1381=Input!$C$6),0,IF($E1382="","",(IF($B1382&gt;Input!$C$9,$X1382,0)+AG1383)/(1+$L1382)*$R1382))</f>
        <v/>
      </c>
      <c r="AH1382" s="160" t="str">
        <f t="shared" si="440"/>
        <v/>
      </c>
      <c r="AI1382" s="160" t="str">
        <f>IF($E1382="","",MIN(Input!$C$61/AH1382,1))</f>
        <v/>
      </c>
      <c r="AJ1382" s="152"/>
      <c r="AK1382" s="164" t="str">
        <f>IF(AND($C1381=12,$D1381=Input!$C$6),0,IF($E1382="","",IF($B1382&gt;Input!$C$9,$AC1382*AI1382,0)+AK1383/(1+$L1382)*$R1382))</f>
        <v/>
      </c>
      <c r="AL1382" s="164" t="str">
        <f>IF(AND($C1381=12,$D1381=Input!$C$6),0,IF($E1382="","",IF($B1382&gt;Input!$C$9,0,$AC1382)+AL1383/(1+$L1382)*$R1382))</f>
        <v/>
      </c>
      <c r="AM1382" s="160" t="str">
        <f t="shared" si="441"/>
        <v/>
      </c>
      <c r="AN1382" s="164" t="str">
        <f>IF($E1382="","",IF($B1382&gt;Input!$C$9,$AI1382*$AC1382,$AM1382*$AC1382))</f>
        <v/>
      </c>
      <c r="AO1382" s="164" t="str">
        <f>IF(AND($C1381=12,$D1381=Input!$C$6),0,IF($E1382="","",$AN1382+AO1383/(1+$L1382)*$R1382))</f>
        <v/>
      </c>
      <c r="AP1382" s="152"/>
      <c r="AQ1382" s="150" t="str">
        <f t="shared" si="442"/>
        <v/>
      </c>
      <c r="AR1382" s="150" t="str">
        <f t="shared" si="449"/>
        <v/>
      </c>
      <c r="AS1382" s="150" t="str">
        <f t="shared" si="450"/>
        <v/>
      </c>
      <c r="AT1382" s="150" t="str">
        <f t="shared" si="443"/>
        <v/>
      </c>
      <c r="AU1382" s="152"/>
      <c r="AV1382" s="147" t="str">
        <f>'Deterministic Reserve'!BC1382</f>
        <v/>
      </c>
      <c r="AY1382" s="152"/>
    </row>
    <row r="1383" spans="1:51" s="150" customFormat="1" x14ac:dyDescent="0.25">
      <c r="A1383" s="150" t="str">
        <f t="shared" si="451"/>
        <v/>
      </c>
      <c r="B1383" s="150" t="str">
        <f t="shared" si="452"/>
        <v/>
      </c>
      <c r="C1383" s="150" t="str">
        <f t="shared" si="453"/>
        <v/>
      </c>
      <c r="D1383" s="150" t="str">
        <f>IF(E1383="","",Input!$C$4+B1383-1)</f>
        <v/>
      </c>
      <c r="E1383" s="150" t="str">
        <f>IF(OR(AND(C1382=12,D1382=Input!$C$6),E1382=""),"",1)</f>
        <v/>
      </c>
      <c r="G1383" s="151" t="str">
        <f>IF(E1383="","",MAX(0,Input!$C$9-B1383))</f>
        <v/>
      </c>
      <c r="H1383" s="152" t="str">
        <f>IF(E1383="","",Input!$C$3)</f>
        <v/>
      </c>
      <c r="I1383" s="153" t="str">
        <f>IF(E1383="","",HLOOKUP($B1383,Input!$C$13:$BT$14,2))</f>
        <v/>
      </c>
      <c r="J1383" s="154"/>
      <c r="K1383" s="150" t="str">
        <f>IF($E1383="","",Input!$C$57)</f>
        <v/>
      </c>
      <c r="L1383" s="150" t="str">
        <f t="shared" si="444"/>
        <v/>
      </c>
      <c r="M1383" s="147" t="str">
        <f>IF($E1383="","",VLOOKUP(IF($B1383&lt;=Input!$C$7,$B1383,26),'Mortality Tables'!$A$72:$CA$97,IF($B1383&lt;=Input!$C$7+1,Input!$C$4-16,$D1383-Input!$C$7-16),0)/1000)</f>
        <v/>
      </c>
      <c r="N1383" s="147" t="str">
        <f t="shared" si="435"/>
        <v/>
      </c>
      <c r="O1383" s="157" t="str">
        <f>IF($E1383="","",IF($C1383=12,IF($B1383&lt;Input!$C$9,Input!$C$54,IF($B1383=Input!$C$9,Input!$C$55,Input!$C$56)),0%))</f>
        <v/>
      </c>
      <c r="P1383" s="167" t="str">
        <f>IF($E1383="","",IF($B1383=1,Input!$C$59,IF($B1383&lt;6,Input!$C$60,0%)))</f>
        <v/>
      </c>
      <c r="Q1383" s="162" t="str">
        <f>IF($E1383="","",Input!$C$58)</f>
        <v/>
      </c>
      <c r="R1383" s="156" t="str">
        <f t="shared" si="445"/>
        <v/>
      </c>
      <c r="S1383" s="154" t="str">
        <f t="shared" si="436"/>
        <v/>
      </c>
      <c r="T1383" s="152"/>
      <c r="U1383" s="150" t="str">
        <f t="shared" si="446"/>
        <v/>
      </c>
      <c r="V1383" s="150" t="str">
        <f t="shared" si="447"/>
        <v/>
      </c>
      <c r="W1383" s="168" t="str">
        <f t="shared" si="448"/>
        <v/>
      </c>
      <c r="X1383" s="163" t="str">
        <f t="shared" si="437"/>
        <v/>
      </c>
      <c r="Y1383" s="152"/>
      <c r="Z1383" s="164" t="str">
        <f>IF(AND($C1382=12,$D1382=Input!$C$6),0,IF($E1383="","",V1383+Z1384/(1+L1383)*R1383))</f>
        <v/>
      </c>
      <c r="AA1383" s="164" t="str">
        <f>IF(OR($M1383=1,AND($C1382=12,$D1382=Input!$C$6)),0,IF($E1383="","",W1383+(X1383+AA1384*$R1383)/(1+$L1383)))</f>
        <v/>
      </c>
      <c r="AB1383" s="160" t="str">
        <f t="shared" si="438"/>
        <v/>
      </c>
      <c r="AC1383" s="164" t="str">
        <f t="shared" si="439"/>
        <v/>
      </c>
      <c r="AD1383" s="164" t="str">
        <f>IF(AND($C1382=12,$D1382=Input!$C$6),0,IF($E1383="","",$AC1383+AD1384/(1+$L1383)*$R1383))</f>
        <v/>
      </c>
      <c r="AE1383" s="152"/>
      <c r="AF1383" s="164" t="str">
        <f>IF(AND($C1382=12,$D1382=Input!$C$6),0,IF($E1383="","",IF($B1383&gt;Input!$C$9,$AC1383,0)+AF1384/(1+$L1383)*$R1383))</f>
        <v/>
      </c>
      <c r="AG1383" s="164" t="str">
        <f>IF(AND($C1382=12,$D1382=Input!$C$6),0,IF($E1383="","",(IF($B1383&gt;Input!$C$9,$X1383,0)+AG1384)/(1+$L1383)*$R1383))</f>
        <v/>
      </c>
      <c r="AH1383" s="160" t="str">
        <f t="shared" si="440"/>
        <v/>
      </c>
      <c r="AI1383" s="160" t="str">
        <f>IF($E1383="","",MIN(Input!$C$61/AH1383,1))</f>
        <v/>
      </c>
      <c r="AJ1383" s="152"/>
      <c r="AK1383" s="164" t="str">
        <f>IF(AND($C1382=12,$D1382=Input!$C$6),0,IF($E1383="","",IF($B1383&gt;Input!$C$9,$AC1383*AI1383,0)+AK1384/(1+$L1383)*$R1383))</f>
        <v/>
      </c>
      <c r="AL1383" s="164" t="str">
        <f>IF(AND($C1382=12,$D1382=Input!$C$6),0,IF($E1383="","",IF($B1383&gt;Input!$C$9,0,$AC1383)+AL1384/(1+$L1383)*$R1383))</f>
        <v/>
      </c>
      <c r="AM1383" s="160" t="str">
        <f t="shared" si="441"/>
        <v/>
      </c>
      <c r="AN1383" s="164" t="str">
        <f>IF($E1383="","",IF($B1383&gt;Input!$C$9,$AI1383*$AC1383,$AM1383*$AC1383))</f>
        <v/>
      </c>
      <c r="AO1383" s="164" t="str">
        <f>IF(AND($C1382=12,$D1382=Input!$C$6),0,IF($E1383="","",$AN1383+AO1384/(1+$L1383)*$R1383))</f>
        <v/>
      </c>
      <c r="AP1383" s="152"/>
      <c r="AQ1383" s="150" t="str">
        <f t="shared" si="442"/>
        <v/>
      </c>
      <c r="AR1383" s="150" t="str">
        <f t="shared" si="449"/>
        <v/>
      </c>
      <c r="AS1383" s="150" t="str">
        <f t="shared" si="450"/>
        <v/>
      </c>
      <c r="AT1383" s="150" t="str">
        <f t="shared" si="443"/>
        <v/>
      </c>
      <c r="AU1383" s="152"/>
      <c r="AV1383" s="147" t="str">
        <f>'Deterministic Reserve'!BC1383</f>
        <v/>
      </c>
      <c r="AY1383" s="152"/>
    </row>
    <row r="1384" spans="1:51" s="150" customFormat="1" x14ac:dyDescent="0.25">
      <c r="A1384" s="150" t="str">
        <f t="shared" si="451"/>
        <v/>
      </c>
      <c r="B1384" s="150" t="str">
        <f t="shared" si="452"/>
        <v/>
      </c>
      <c r="C1384" s="150" t="str">
        <f t="shared" si="453"/>
        <v/>
      </c>
      <c r="D1384" s="150" t="str">
        <f>IF(E1384="","",Input!$C$4+B1384-1)</f>
        <v/>
      </c>
      <c r="E1384" s="150" t="str">
        <f>IF(OR(AND(C1383=12,D1383=Input!$C$6),E1383=""),"",1)</f>
        <v/>
      </c>
      <c r="G1384" s="151" t="str">
        <f>IF(E1384="","",MAX(0,Input!$C$9-B1384))</f>
        <v/>
      </c>
      <c r="H1384" s="152" t="str">
        <f>IF(E1384="","",Input!$C$3)</f>
        <v/>
      </c>
      <c r="I1384" s="153" t="str">
        <f>IF(E1384="","",HLOOKUP($B1384,Input!$C$13:$BT$14,2))</f>
        <v/>
      </c>
      <c r="J1384" s="154"/>
      <c r="K1384" s="150" t="str">
        <f>IF($E1384="","",Input!$C$57)</f>
        <v/>
      </c>
      <c r="L1384" s="150" t="str">
        <f t="shared" si="444"/>
        <v/>
      </c>
      <c r="M1384" s="147" t="str">
        <f>IF($E1384="","",VLOOKUP(IF($B1384&lt;=Input!$C$7,$B1384,26),'Mortality Tables'!$A$72:$CA$97,IF($B1384&lt;=Input!$C$7+1,Input!$C$4-16,$D1384-Input!$C$7-16),0)/1000)</f>
        <v/>
      </c>
      <c r="N1384" s="147" t="str">
        <f t="shared" si="435"/>
        <v/>
      </c>
      <c r="O1384" s="157" t="str">
        <f>IF($E1384="","",IF($C1384=12,IF($B1384&lt;Input!$C$9,Input!$C$54,IF($B1384=Input!$C$9,Input!$C$55,Input!$C$56)),0%))</f>
        <v/>
      </c>
      <c r="P1384" s="167" t="str">
        <f>IF($E1384="","",IF($B1384=1,Input!$C$59,IF($B1384&lt;6,Input!$C$60,0%)))</f>
        <v/>
      </c>
      <c r="Q1384" s="162" t="str">
        <f>IF($E1384="","",Input!$C$58)</f>
        <v/>
      </c>
      <c r="R1384" s="156" t="str">
        <f t="shared" si="445"/>
        <v/>
      </c>
      <c r="S1384" s="154" t="str">
        <f t="shared" si="436"/>
        <v/>
      </c>
      <c r="T1384" s="152"/>
      <c r="U1384" s="150" t="str">
        <f t="shared" si="446"/>
        <v/>
      </c>
      <c r="V1384" s="150" t="str">
        <f t="shared" si="447"/>
        <v/>
      </c>
      <c r="W1384" s="168" t="str">
        <f t="shared" si="448"/>
        <v/>
      </c>
      <c r="X1384" s="163" t="str">
        <f t="shared" si="437"/>
        <v/>
      </c>
      <c r="Y1384" s="152"/>
      <c r="Z1384" s="164" t="str">
        <f>IF(AND($C1383=12,$D1383=Input!$C$6),0,IF($E1384="","",V1384+Z1385/(1+L1384)*R1384))</f>
        <v/>
      </c>
      <c r="AA1384" s="164" t="str">
        <f>IF(OR($M1384=1,AND($C1383=12,$D1383=Input!$C$6)),0,IF($E1384="","",W1384+(X1384+AA1385*$R1384)/(1+$L1384)))</f>
        <v/>
      </c>
      <c r="AB1384" s="160" t="str">
        <f t="shared" si="438"/>
        <v/>
      </c>
      <c r="AC1384" s="164" t="str">
        <f t="shared" si="439"/>
        <v/>
      </c>
      <c r="AD1384" s="164" t="str">
        <f>IF(AND($C1383=12,$D1383=Input!$C$6),0,IF($E1384="","",$AC1384+AD1385/(1+$L1384)*$R1384))</f>
        <v/>
      </c>
      <c r="AE1384" s="152"/>
      <c r="AF1384" s="164" t="str">
        <f>IF(AND($C1383=12,$D1383=Input!$C$6),0,IF($E1384="","",IF($B1384&gt;Input!$C$9,$AC1384,0)+AF1385/(1+$L1384)*$R1384))</f>
        <v/>
      </c>
      <c r="AG1384" s="164" t="str">
        <f>IF(AND($C1383=12,$D1383=Input!$C$6),0,IF($E1384="","",(IF($B1384&gt;Input!$C$9,$X1384,0)+AG1385)/(1+$L1384)*$R1384))</f>
        <v/>
      </c>
      <c r="AH1384" s="160" t="str">
        <f t="shared" si="440"/>
        <v/>
      </c>
      <c r="AI1384" s="160" t="str">
        <f>IF($E1384="","",MIN(Input!$C$61/AH1384,1))</f>
        <v/>
      </c>
      <c r="AJ1384" s="152"/>
      <c r="AK1384" s="164" t="str">
        <f>IF(AND($C1383=12,$D1383=Input!$C$6),0,IF($E1384="","",IF($B1384&gt;Input!$C$9,$AC1384*AI1384,0)+AK1385/(1+$L1384)*$R1384))</f>
        <v/>
      </c>
      <c r="AL1384" s="164" t="str">
        <f>IF(AND($C1383=12,$D1383=Input!$C$6),0,IF($E1384="","",IF($B1384&gt;Input!$C$9,0,$AC1384)+AL1385/(1+$L1384)*$R1384))</f>
        <v/>
      </c>
      <c r="AM1384" s="160" t="str">
        <f t="shared" si="441"/>
        <v/>
      </c>
      <c r="AN1384" s="164" t="str">
        <f>IF($E1384="","",IF($B1384&gt;Input!$C$9,$AI1384*$AC1384,$AM1384*$AC1384))</f>
        <v/>
      </c>
      <c r="AO1384" s="164" t="str">
        <f>IF(AND($C1383=12,$D1383=Input!$C$6),0,IF($E1384="","",$AN1384+AO1385/(1+$L1384)*$R1384))</f>
        <v/>
      </c>
      <c r="AP1384" s="152"/>
      <c r="AQ1384" s="150" t="str">
        <f t="shared" si="442"/>
        <v/>
      </c>
      <c r="AR1384" s="150" t="str">
        <f t="shared" si="449"/>
        <v/>
      </c>
      <c r="AS1384" s="150" t="str">
        <f t="shared" si="450"/>
        <v/>
      </c>
      <c r="AT1384" s="150" t="str">
        <f t="shared" si="443"/>
        <v/>
      </c>
      <c r="AU1384" s="152"/>
      <c r="AV1384" s="147" t="str">
        <f>'Deterministic Reserve'!BC1384</f>
        <v/>
      </c>
      <c r="AY1384" s="152"/>
    </row>
    <row r="1385" spans="1:51" s="150" customFormat="1" x14ac:dyDescent="0.25">
      <c r="A1385" s="150" t="str">
        <f t="shared" si="451"/>
        <v/>
      </c>
      <c r="B1385" s="150" t="str">
        <f t="shared" si="452"/>
        <v/>
      </c>
      <c r="C1385" s="150" t="str">
        <f t="shared" si="453"/>
        <v/>
      </c>
      <c r="D1385" s="150" t="str">
        <f>IF(E1385="","",Input!$C$4+B1385-1)</f>
        <v/>
      </c>
      <c r="E1385" s="150" t="str">
        <f>IF(OR(AND(C1384=12,D1384=Input!$C$6),E1384=""),"",1)</f>
        <v/>
      </c>
      <c r="G1385" s="151" t="str">
        <f>IF(E1385="","",MAX(0,Input!$C$9-B1385))</f>
        <v/>
      </c>
      <c r="H1385" s="152" t="str">
        <f>IF(E1385="","",Input!$C$3)</f>
        <v/>
      </c>
      <c r="I1385" s="153" t="str">
        <f>IF(E1385="","",HLOOKUP($B1385,Input!$C$13:$BT$14,2))</f>
        <v/>
      </c>
      <c r="J1385" s="154"/>
      <c r="K1385" s="150" t="str">
        <f>IF($E1385="","",Input!$C$57)</f>
        <v/>
      </c>
      <c r="L1385" s="150" t="str">
        <f t="shared" si="444"/>
        <v/>
      </c>
      <c r="M1385" s="147" t="str">
        <f>IF($E1385="","",VLOOKUP(IF($B1385&lt;=Input!$C$7,$B1385,26),'Mortality Tables'!$A$72:$CA$97,IF($B1385&lt;=Input!$C$7+1,Input!$C$4-16,$D1385-Input!$C$7-16),0)/1000)</f>
        <v/>
      </c>
      <c r="N1385" s="147" t="str">
        <f t="shared" si="435"/>
        <v/>
      </c>
      <c r="O1385" s="157" t="str">
        <f>IF($E1385="","",IF($C1385=12,IF($B1385&lt;Input!$C$9,Input!$C$54,IF($B1385=Input!$C$9,Input!$C$55,Input!$C$56)),0%))</f>
        <v/>
      </c>
      <c r="P1385" s="167" t="str">
        <f>IF($E1385="","",IF($B1385=1,Input!$C$59,IF($B1385&lt;6,Input!$C$60,0%)))</f>
        <v/>
      </c>
      <c r="Q1385" s="162" t="str">
        <f>IF($E1385="","",Input!$C$58)</f>
        <v/>
      </c>
      <c r="R1385" s="156" t="str">
        <f t="shared" si="445"/>
        <v/>
      </c>
      <c r="S1385" s="154" t="str">
        <f t="shared" si="436"/>
        <v/>
      </c>
      <c r="T1385" s="152"/>
      <c r="U1385" s="150" t="str">
        <f t="shared" si="446"/>
        <v/>
      </c>
      <c r="V1385" s="150" t="str">
        <f t="shared" si="447"/>
        <v/>
      </c>
      <c r="W1385" s="168" t="str">
        <f t="shared" si="448"/>
        <v/>
      </c>
      <c r="X1385" s="163" t="str">
        <f t="shared" si="437"/>
        <v/>
      </c>
      <c r="Y1385" s="152"/>
      <c r="Z1385" s="164" t="str">
        <f>IF(AND($C1384=12,$D1384=Input!$C$6),0,IF($E1385="","",V1385+Z1386/(1+L1385)*R1385))</f>
        <v/>
      </c>
      <c r="AA1385" s="164" t="str">
        <f>IF(OR($M1385=1,AND($C1384=12,$D1384=Input!$C$6)),0,IF($E1385="","",W1385+(X1385+AA1386*$R1385)/(1+$L1385)))</f>
        <v/>
      </c>
      <c r="AB1385" s="160" t="str">
        <f t="shared" si="438"/>
        <v/>
      </c>
      <c r="AC1385" s="164" t="str">
        <f t="shared" si="439"/>
        <v/>
      </c>
      <c r="AD1385" s="164" t="str">
        <f>IF(AND($C1384=12,$D1384=Input!$C$6),0,IF($E1385="","",$AC1385+AD1386/(1+$L1385)*$R1385))</f>
        <v/>
      </c>
      <c r="AE1385" s="152"/>
      <c r="AF1385" s="164" t="str">
        <f>IF(AND($C1384=12,$D1384=Input!$C$6),0,IF($E1385="","",IF($B1385&gt;Input!$C$9,$AC1385,0)+AF1386/(1+$L1385)*$R1385))</f>
        <v/>
      </c>
      <c r="AG1385" s="164" t="str">
        <f>IF(AND($C1384=12,$D1384=Input!$C$6),0,IF($E1385="","",(IF($B1385&gt;Input!$C$9,$X1385,0)+AG1386)/(1+$L1385)*$R1385))</f>
        <v/>
      </c>
      <c r="AH1385" s="160" t="str">
        <f t="shared" si="440"/>
        <v/>
      </c>
      <c r="AI1385" s="160" t="str">
        <f>IF($E1385="","",MIN(Input!$C$61/AH1385,1))</f>
        <v/>
      </c>
      <c r="AJ1385" s="152"/>
      <c r="AK1385" s="164" t="str">
        <f>IF(AND($C1384=12,$D1384=Input!$C$6),0,IF($E1385="","",IF($B1385&gt;Input!$C$9,$AC1385*AI1385,0)+AK1386/(1+$L1385)*$R1385))</f>
        <v/>
      </c>
      <c r="AL1385" s="164" t="str">
        <f>IF(AND($C1384=12,$D1384=Input!$C$6),0,IF($E1385="","",IF($B1385&gt;Input!$C$9,0,$AC1385)+AL1386/(1+$L1385)*$R1385))</f>
        <v/>
      </c>
      <c r="AM1385" s="160" t="str">
        <f t="shared" si="441"/>
        <v/>
      </c>
      <c r="AN1385" s="164" t="str">
        <f>IF($E1385="","",IF($B1385&gt;Input!$C$9,$AI1385*$AC1385,$AM1385*$AC1385))</f>
        <v/>
      </c>
      <c r="AO1385" s="164" t="str">
        <f>IF(AND($C1384=12,$D1384=Input!$C$6),0,IF($E1385="","",$AN1385+AO1386/(1+$L1385)*$R1385))</f>
        <v/>
      </c>
      <c r="AP1385" s="152"/>
      <c r="AQ1385" s="150" t="str">
        <f t="shared" si="442"/>
        <v/>
      </c>
      <c r="AR1385" s="150" t="str">
        <f t="shared" si="449"/>
        <v/>
      </c>
      <c r="AS1385" s="150" t="str">
        <f t="shared" si="450"/>
        <v/>
      </c>
      <c r="AT1385" s="150" t="str">
        <f t="shared" si="443"/>
        <v/>
      </c>
      <c r="AU1385" s="152"/>
      <c r="AV1385" s="147" t="str">
        <f>'Deterministic Reserve'!BC1385</f>
        <v/>
      </c>
      <c r="AY1385" s="152"/>
    </row>
    <row r="1386" spans="1:51" s="150" customFormat="1" x14ac:dyDescent="0.25">
      <c r="A1386" s="150" t="str">
        <f t="shared" si="451"/>
        <v/>
      </c>
      <c r="B1386" s="150" t="str">
        <f t="shared" si="452"/>
        <v/>
      </c>
      <c r="C1386" s="150" t="str">
        <f t="shared" si="453"/>
        <v/>
      </c>
      <c r="D1386" s="150" t="str">
        <f>IF(E1386="","",Input!$C$4+B1386-1)</f>
        <v/>
      </c>
      <c r="E1386" s="150" t="str">
        <f>IF(OR(AND(C1385=12,D1385=Input!$C$6),E1385=""),"",1)</f>
        <v/>
      </c>
      <c r="G1386" s="151" t="str">
        <f>IF(E1386="","",MAX(0,Input!$C$9-B1386))</f>
        <v/>
      </c>
      <c r="H1386" s="152" t="str">
        <f>IF(E1386="","",Input!$C$3)</f>
        <v/>
      </c>
      <c r="I1386" s="153" t="str">
        <f>IF(E1386="","",HLOOKUP($B1386,Input!$C$13:$BT$14,2))</f>
        <v/>
      </c>
      <c r="J1386" s="154"/>
      <c r="K1386" s="150" t="str">
        <f>IF($E1386="","",Input!$C$57)</f>
        <v/>
      </c>
      <c r="L1386" s="150" t="str">
        <f t="shared" si="444"/>
        <v/>
      </c>
      <c r="M1386" s="147" t="str">
        <f>IF($E1386="","",VLOOKUP(IF($B1386&lt;=Input!$C$7,$B1386,26),'Mortality Tables'!$A$72:$CA$97,IF($B1386&lt;=Input!$C$7+1,Input!$C$4-16,$D1386-Input!$C$7-16),0)/1000)</f>
        <v/>
      </c>
      <c r="N1386" s="147" t="str">
        <f t="shared" si="435"/>
        <v/>
      </c>
      <c r="O1386" s="157" t="str">
        <f>IF($E1386="","",IF($C1386=12,IF($B1386&lt;Input!$C$9,Input!$C$54,IF($B1386=Input!$C$9,Input!$C$55,Input!$C$56)),0%))</f>
        <v/>
      </c>
      <c r="P1386" s="167" t="str">
        <f>IF($E1386="","",IF($B1386=1,Input!$C$59,IF($B1386&lt;6,Input!$C$60,0%)))</f>
        <v/>
      </c>
      <c r="Q1386" s="162" t="str">
        <f>IF($E1386="","",Input!$C$58)</f>
        <v/>
      </c>
      <c r="R1386" s="156" t="str">
        <f t="shared" si="445"/>
        <v/>
      </c>
      <c r="S1386" s="154" t="str">
        <f t="shared" si="436"/>
        <v/>
      </c>
      <c r="T1386" s="152"/>
      <c r="U1386" s="150" t="str">
        <f t="shared" si="446"/>
        <v/>
      </c>
      <c r="V1386" s="150" t="str">
        <f t="shared" si="447"/>
        <v/>
      </c>
      <c r="W1386" s="168" t="str">
        <f t="shared" si="448"/>
        <v/>
      </c>
      <c r="X1386" s="163" t="str">
        <f t="shared" si="437"/>
        <v/>
      </c>
      <c r="Y1386" s="152"/>
      <c r="Z1386" s="164" t="str">
        <f>IF(AND($C1385=12,$D1385=Input!$C$6),0,IF($E1386="","",V1386+Z1387/(1+L1386)*R1386))</f>
        <v/>
      </c>
      <c r="AA1386" s="164" t="str">
        <f>IF(OR($M1386=1,AND($C1385=12,$D1385=Input!$C$6)),0,IF($E1386="","",W1386+(X1386+AA1387*$R1386)/(1+$L1386)))</f>
        <v/>
      </c>
      <c r="AB1386" s="160" t="str">
        <f t="shared" si="438"/>
        <v/>
      </c>
      <c r="AC1386" s="164" t="str">
        <f t="shared" si="439"/>
        <v/>
      </c>
      <c r="AD1386" s="164" t="str">
        <f>IF(AND($C1385=12,$D1385=Input!$C$6),0,IF($E1386="","",$AC1386+AD1387/(1+$L1386)*$R1386))</f>
        <v/>
      </c>
      <c r="AE1386" s="152"/>
      <c r="AF1386" s="164" t="str">
        <f>IF(AND($C1385=12,$D1385=Input!$C$6),0,IF($E1386="","",IF($B1386&gt;Input!$C$9,$AC1386,0)+AF1387/(1+$L1386)*$R1386))</f>
        <v/>
      </c>
      <c r="AG1386" s="164" t="str">
        <f>IF(AND($C1385=12,$D1385=Input!$C$6),0,IF($E1386="","",(IF($B1386&gt;Input!$C$9,$X1386,0)+AG1387)/(1+$L1386)*$R1386))</f>
        <v/>
      </c>
      <c r="AH1386" s="160" t="str">
        <f t="shared" si="440"/>
        <v/>
      </c>
      <c r="AI1386" s="160" t="str">
        <f>IF($E1386="","",MIN(Input!$C$61/AH1386,1))</f>
        <v/>
      </c>
      <c r="AJ1386" s="152"/>
      <c r="AK1386" s="164" t="str">
        <f>IF(AND($C1385=12,$D1385=Input!$C$6),0,IF($E1386="","",IF($B1386&gt;Input!$C$9,$AC1386*AI1386,0)+AK1387/(1+$L1386)*$R1386))</f>
        <v/>
      </c>
      <c r="AL1386" s="164" t="str">
        <f>IF(AND($C1385=12,$D1385=Input!$C$6),0,IF($E1386="","",IF($B1386&gt;Input!$C$9,0,$AC1386)+AL1387/(1+$L1386)*$R1386))</f>
        <v/>
      </c>
      <c r="AM1386" s="160" t="str">
        <f t="shared" si="441"/>
        <v/>
      </c>
      <c r="AN1386" s="164" t="str">
        <f>IF($E1386="","",IF($B1386&gt;Input!$C$9,$AI1386*$AC1386,$AM1386*$AC1386))</f>
        <v/>
      </c>
      <c r="AO1386" s="164" t="str">
        <f>IF(AND($C1385=12,$D1385=Input!$C$6),0,IF($E1386="","",$AN1386+AO1387/(1+$L1386)*$R1386))</f>
        <v/>
      </c>
      <c r="AP1386" s="152"/>
      <c r="AQ1386" s="150" t="str">
        <f t="shared" si="442"/>
        <v/>
      </c>
      <c r="AR1386" s="150" t="str">
        <f t="shared" si="449"/>
        <v/>
      </c>
      <c r="AS1386" s="150" t="str">
        <f t="shared" si="450"/>
        <v/>
      </c>
      <c r="AT1386" s="150" t="str">
        <f t="shared" si="443"/>
        <v/>
      </c>
      <c r="AU1386" s="152"/>
      <c r="AV1386" s="147" t="str">
        <f>'Deterministic Reserve'!BC1386</f>
        <v/>
      </c>
      <c r="AY1386" s="152"/>
    </row>
    <row r="1387" spans="1:51" s="150" customFormat="1" x14ac:dyDescent="0.25">
      <c r="A1387" s="150" t="str">
        <f t="shared" si="451"/>
        <v/>
      </c>
      <c r="B1387" s="150" t="str">
        <f t="shared" si="452"/>
        <v/>
      </c>
      <c r="C1387" s="150" t="str">
        <f t="shared" si="453"/>
        <v/>
      </c>
      <c r="D1387" s="150" t="str">
        <f>IF(E1387="","",Input!$C$4+B1387-1)</f>
        <v/>
      </c>
      <c r="E1387" s="150" t="str">
        <f>IF(OR(AND(C1386=12,D1386=Input!$C$6),E1386=""),"",1)</f>
        <v/>
      </c>
      <c r="G1387" s="151" t="str">
        <f>IF(E1387="","",MAX(0,Input!$C$9-B1387))</f>
        <v/>
      </c>
      <c r="H1387" s="152" t="str">
        <f>IF(E1387="","",Input!$C$3)</f>
        <v/>
      </c>
      <c r="I1387" s="153" t="str">
        <f>IF(E1387="","",HLOOKUP($B1387,Input!$C$13:$BT$14,2))</f>
        <v/>
      </c>
      <c r="J1387" s="154"/>
      <c r="K1387" s="150" t="str">
        <f>IF($E1387="","",Input!$C$57)</f>
        <v/>
      </c>
      <c r="L1387" s="150" t="str">
        <f t="shared" si="444"/>
        <v/>
      </c>
      <c r="M1387" s="147" t="str">
        <f>IF($E1387="","",VLOOKUP(IF($B1387&lt;=Input!$C$7,$B1387,26),'Mortality Tables'!$A$72:$CA$97,IF($B1387&lt;=Input!$C$7+1,Input!$C$4-16,$D1387-Input!$C$7-16),0)/1000)</f>
        <v/>
      </c>
      <c r="N1387" s="147" t="str">
        <f t="shared" si="435"/>
        <v/>
      </c>
      <c r="O1387" s="157" t="str">
        <f>IF($E1387="","",IF($C1387=12,IF($B1387&lt;Input!$C$9,Input!$C$54,IF($B1387=Input!$C$9,Input!$C$55,Input!$C$56)),0%))</f>
        <v/>
      </c>
      <c r="P1387" s="167" t="str">
        <f>IF($E1387="","",IF($B1387=1,Input!$C$59,IF($B1387&lt;6,Input!$C$60,0%)))</f>
        <v/>
      </c>
      <c r="Q1387" s="162" t="str">
        <f>IF($E1387="","",Input!$C$58)</f>
        <v/>
      </c>
      <c r="R1387" s="156" t="str">
        <f t="shared" si="445"/>
        <v/>
      </c>
      <c r="S1387" s="154" t="str">
        <f t="shared" si="436"/>
        <v/>
      </c>
      <c r="T1387" s="152"/>
      <c r="U1387" s="150" t="str">
        <f t="shared" si="446"/>
        <v/>
      </c>
      <c r="V1387" s="150" t="str">
        <f t="shared" si="447"/>
        <v/>
      </c>
      <c r="W1387" s="168" t="str">
        <f t="shared" si="448"/>
        <v/>
      </c>
      <c r="X1387" s="163" t="str">
        <f t="shared" si="437"/>
        <v/>
      </c>
      <c r="Y1387" s="152"/>
      <c r="Z1387" s="164" t="str">
        <f>IF(AND($C1386=12,$D1386=Input!$C$6),0,IF($E1387="","",V1387+Z1388/(1+L1387)*R1387))</f>
        <v/>
      </c>
      <c r="AA1387" s="164" t="str">
        <f>IF(OR($M1387=1,AND($C1386=12,$D1386=Input!$C$6)),0,IF($E1387="","",W1387+(X1387+AA1388*$R1387)/(1+$L1387)))</f>
        <v/>
      </c>
      <c r="AB1387" s="160" t="str">
        <f t="shared" si="438"/>
        <v/>
      </c>
      <c r="AC1387" s="164" t="str">
        <f t="shared" si="439"/>
        <v/>
      </c>
      <c r="AD1387" s="164" t="str">
        <f>IF(AND($C1386=12,$D1386=Input!$C$6),0,IF($E1387="","",$AC1387+AD1388/(1+$L1387)*$R1387))</f>
        <v/>
      </c>
      <c r="AE1387" s="152"/>
      <c r="AF1387" s="164" t="str">
        <f>IF(AND($C1386=12,$D1386=Input!$C$6),0,IF($E1387="","",IF($B1387&gt;Input!$C$9,$AC1387,0)+AF1388/(1+$L1387)*$R1387))</f>
        <v/>
      </c>
      <c r="AG1387" s="164" t="str">
        <f>IF(AND($C1386=12,$D1386=Input!$C$6),0,IF($E1387="","",(IF($B1387&gt;Input!$C$9,$X1387,0)+AG1388)/(1+$L1387)*$R1387))</f>
        <v/>
      </c>
      <c r="AH1387" s="160" t="str">
        <f t="shared" si="440"/>
        <v/>
      </c>
      <c r="AI1387" s="160" t="str">
        <f>IF($E1387="","",MIN(Input!$C$61/AH1387,1))</f>
        <v/>
      </c>
      <c r="AJ1387" s="152"/>
      <c r="AK1387" s="164" t="str">
        <f>IF(AND($C1386=12,$D1386=Input!$C$6),0,IF($E1387="","",IF($B1387&gt;Input!$C$9,$AC1387*AI1387,0)+AK1388/(1+$L1387)*$R1387))</f>
        <v/>
      </c>
      <c r="AL1387" s="164" t="str">
        <f>IF(AND($C1386=12,$D1386=Input!$C$6),0,IF($E1387="","",IF($B1387&gt;Input!$C$9,0,$AC1387)+AL1388/(1+$L1387)*$R1387))</f>
        <v/>
      </c>
      <c r="AM1387" s="160" t="str">
        <f t="shared" si="441"/>
        <v/>
      </c>
      <c r="AN1387" s="164" t="str">
        <f>IF($E1387="","",IF($B1387&gt;Input!$C$9,$AI1387*$AC1387,$AM1387*$AC1387))</f>
        <v/>
      </c>
      <c r="AO1387" s="164" t="str">
        <f>IF(AND($C1386=12,$D1386=Input!$C$6),0,IF($E1387="","",$AN1387+AO1388/(1+$L1387)*$R1387))</f>
        <v/>
      </c>
      <c r="AP1387" s="152"/>
      <c r="AQ1387" s="150" t="str">
        <f t="shared" si="442"/>
        <v/>
      </c>
      <c r="AR1387" s="150" t="str">
        <f t="shared" si="449"/>
        <v/>
      </c>
      <c r="AS1387" s="150" t="str">
        <f t="shared" si="450"/>
        <v/>
      </c>
      <c r="AT1387" s="150" t="str">
        <f t="shared" si="443"/>
        <v/>
      </c>
      <c r="AU1387" s="152"/>
      <c r="AV1387" s="147" t="str">
        <f>'Deterministic Reserve'!BC1387</f>
        <v/>
      </c>
      <c r="AY1387" s="152"/>
    </row>
    <row r="1388" spans="1:51" s="150" customFormat="1" x14ac:dyDescent="0.25">
      <c r="A1388" s="150" t="str">
        <f t="shared" si="451"/>
        <v/>
      </c>
      <c r="B1388" s="150" t="str">
        <f t="shared" si="452"/>
        <v/>
      </c>
      <c r="C1388" s="150" t="str">
        <f t="shared" si="453"/>
        <v/>
      </c>
      <c r="D1388" s="150" t="str">
        <f>IF(E1388="","",Input!$C$4+B1388-1)</f>
        <v/>
      </c>
      <c r="E1388" s="150" t="str">
        <f>IF(OR(AND(C1387=12,D1387=Input!$C$6),E1387=""),"",1)</f>
        <v/>
      </c>
      <c r="G1388" s="151" t="str">
        <f>IF(E1388="","",MAX(0,Input!$C$9-B1388))</f>
        <v/>
      </c>
      <c r="H1388" s="152" t="str">
        <f>IF(E1388="","",Input!$C$3)</f>
        <v/>
      </c>
      <c r="I1388" s="153" t="str">
        <f>IF(E1388="","",HLOOKUP($B1388,Input!$C$13:$BT$14,2))</f>
        <v/>
      </c>
      <c r="J1388" s="154"/>
      <c r="K1388" s="150" t="str">
        <f>IF($E1388="","",Input!$C$57)</f>
        <v/>
      </c>
      <c r="L1388" s="150" t="str">
        <f t="shared" si="444"/>
        <v/>
      </c>
      <c r="M1388" s="147" t="str">
        <f>IF($E1388="","",VLOOKUP(IF($B1388&lt;=Input!$C$7,$B1388,26),'Mortality Tables'!$A$72:$CA$97,IF($B1388&lt;=Input!$C$7+1,Input!$C$4-16,$D1388-Input!$C$7-16),0)/1000)</f>
        <v/>
      </c>
      <c r="N1388" s="147" t="str">
        <f t="shared" si="435"/>
        <v/>
      </c>
      <c r="O1388" s="157" t="str">
        <f>IF($E1388="","",IF($C1388=12,IF($B1388&lt;Input!$C$9,Input!$C$54,IF($B1388=Input!$C$9,Input!$C$55,Input!$C$56)),0%))</f>
        <v/>
      </c>
      <c r="P1388" s="167" t="str">
        <f>IF($E1388="","",IF($B1388=1,Input!$C$59,IF($B1388&lt;6,Input!$C$60,0%)))</f>
        <v/>
      </c>
      <c r="Q1388" s="162" t="str">
        <f>IF($E1388="","",Input!$C$58)</f>
        <v/>
      </c>
      <c r="R1388" s="156" t="str">
        <f t="shared" si="445"/>
        <v/>
      </c>
      <c r="S1388" s="154" t="str">
        <f t="shared" si="436"/>
        <v/>
      </c>
      <c r="T1388" s="152"/>
      <c r="U1388" s="150" t="str">
        <f t="shared" si="446"/>
        <v/>
      </c>
      <c r="V1388" s="150" t="str">
        <f t="shared" si="447"/>
        <v/>
      </c>
      <c r="W1388" s="168" t="str">
        <f t="shared" si="448"/>
        <v/>
      </c>
      <c r="X1388" s="163" t="str">
        <f t="shared" si="437"/>
        <v/>
      </c>
      <c r="Y1388" s="152"/>
      <c r="Z1388" s="164" t="str">
        <f>IF(AND($C1387=12,$D1387=Input!$C$6),0,IF($E1388="","",V1388+Z1389/(1+L1388)*R1388))</f>
        <v/>
      </c>
      <c r="AA1388" s="164" t="str">
        <f>IF(OR($M1388=1,AND($C1387=12,$D1387=Input!$C$6)),0,IF($E1388="","",W1388+(X1388+AA1389*$R1388)/(1+$L1388)))</f>
        <v/>
      </c>
      <c r="AB1388" s="160" t="str">
        <f t="shared" si="438"/>
        <v/>
      </c>
      <c r="AC1388" s="164" t="str">
        <f t="shared" si="439"/>
        <v/>
      </c>
      <c r="AD1388" s="164" t="str">
        <f>IF(AND($C1387=12,$D1387=Input!$C$6),0,IF($E1388="","",$AC1388+AD1389/(1+$L1388)*$R1388))</f>
        <v/>
      </c>
      <c r="AE1388" s="152"/>
      <c r="AF1388" s="164" t="str">
        <f>IF(AND($C1387=12,$D1387=Input!$C$6),0,IF($E1388="","",IF($B1388&gt;Input!$C$9,$AC1388,0)+AF1389/(1+$L1388)*$R1388))</f>
        <v/>
      </c>
      <c r="AG1388" s="164" t="str">
        <f>IF(AND($C1387=12,$D1387=Input!$C$6),0,IF($E1388="","",(IF($B1388&gt;Input!$C$9,$X1388,0)+AG1389)/(1+$L1388)*$R1388))</f>
        <v/>
      </c>
      <c r="AH1388" s="160" t="str">
        <f t="shared" si="440"/>
        <v/>
      </c>
      <c r="AI1388" s="160" t="str">
        <f>IF($E1388="","",MIN(Input!$C$61/AH1388,1))</f>
        <v/>
      </c>
      <c r="AJ1388" s="152"/>
      <c r="AK1388" s="164" t="str">
        <f>IF(AND($C1387=12,$D1387=Input!$C$6),0,IF($E1388="","",IF($B1388&gt;Input!$C$9,$AC1388*AI1388,0)+AK1389/(1+$L1388)*$R1388))</f>
        <v/>
      </c>
      <c r="AL1388" s="164" t="str">
        <f>IF(AND($C1387=12,$D1387=Input!$C$6),0,IF($E1388="","",IF($B1388&gt;Input!$C$9,0,$AC1388)+AL1389/(1+$L1388)*$R1388))</f>
        <v/>
      </c>
      <c r="AM1388" s="160" t="str">
        <f t="shared" si="441"/>
        <v/>
      </c>
      <c r="AN1388" s="164" t="str">
        <f>IF($E1388="","",IF($B1388&gt;Input!$C$9,$AI1388*$AC1388,$AM1388*$AC1388))</f>
        <v/>
      </c>
      <c r="AO1388" s="164" t="str">
        <f>IF(AND($C1387=12,$D1387=Input!$C$6),0,IF($E1388="","",$AN1388+AO1389/(1+$L1388)*$R1388))</f>
        <v/>
      </c>
      <c r="AP1388" s="152"/>
      <c r="AQ1388" s="150" t="str">
        <f t="shared" si="442"/>
        <v/>
      </c>
      <c r="AR1388" s="150" t="str">
        <f t="shared" si="449"/>
        <v/>
      </c>
      <c r="AS1388" s="150" t="str">
        <f t="shared" si="450"/>
        <v/>
      </c>
      <c r="AT1388" s="150" t="str">
        <f t="shared" si="443"/>
        <v/>
      </c>
      <c r="AU1388" s="152"/>
      <c r="AV1388" s="147" t="str">
        <f>'Deterministic Reserve'!BC1388</f>
        <v/>
      </c>
      <c r="AY1388" s="152"/>
    </row>
    <row r="1389" spans="1:51" s="150" customFormat="1" x14ac:dyDescent="0.25">
      <c r="A1389" s="150" t="str">
        <f t="shared" si="451"/>
        <v/>
      </c>
      <c r="B1389" s="150" t="str">
        <f t="shared" si="452"/>
        <v/>
      </c>
      <c r="C1389" s="150" t="str">
        <f t="shared" si="453"/>
        <v/>
      </c>
      <c r="D1389" s="150" t="str">
        <f>IF(E1389="","",Input!$C$4+B1389-1)</f>
        <v/>
      </c>
      <c r="E1389" s="150" t="str">
        <f>IF(OR(AND(C1388=12,D1388=Input!$C$6),E1388=""),"",1)</f>
        <v/>
      </c>
      <c r="G1389" s="151" t="str">
        <f>IF(E1389="","",MAX(0,Input!$C$9-B1389))</f>
        <v/>
      </c>
      <c r="H1389" s="152" t="str">
        <f>IF(E1389="","",Input!$C$3)</f>
        <v/>
      </c>
      <c r="I1389" s="153" t="str">
        <f>IF(E1389="","",HLOOKUP($B1389,Input!$C$13:$BT$14,2))</f>
        <v/>
      </c>
      <c r="J1389" s="154"/>
      <c r="K1389" s="150" t="str">
        <f>IF($E1389="","",Input!$C$57)</f>
        <v/>
      </c>
      <c r="L1389" s="150" t="str">
        <f t="shared" si="444"/>
        <v/>
      </c>
      <c r="M1389" s="147" t="str">
        <f>IF($E1389="","",VLOOKUP(IF($B1389&lt;=Input!$C$7,$B1389,26),'Mortality Tables'!$A$72:$CA$97,IF($B1389&lt;=Input!$C$7+1,Input!$C$4-16,$D1389-Input!$C$7-16),0)/1000)</f>
        <v/>
      </c>
      <c r="N1389" s="147" t="str">
        <f t="shared" si="435"/>
        <v/>
      </c>
      <c r="O1389" s="157" t="str">
        <f>IF($E1389="","",IF($C1389=12,IF($B1389&lt;Input!$C$9,Input!$C$54,IF($B1389=Input!$C$9,Input!$C$55,Input!$C$56)),0%))</f>
        <v/>
      </c>
      <c r="P1389" s="167" t="str">
        <f>IF($E1389="","",IF($B1389=1,Input!$C$59,IF($B1389&lt;6,Input!$C$60,0%)))</f>
        <v/>
      </c>
      <c r="Q1389" s="162" t="str">
        <f>IF($E1389="","",Input!$C$58)</f>
        <v/>
      </c>
      <c r="R1389" s="156" t="str">
        <f t="shared" si="445"/>
        <v/>
      </c>
      <c r="S1389" s="154" t="str">
        <f t="shared" si="436"/>
        <v/>
      </c>
      <c r="T1389" s="152"/>
      <c r="U1389" s="150" t="str">
        <f t="shared" si="446"/>
        <v/>
      </c>
      <c r="V1389" s="150" t="str">
        <f t="shared" si="447"/>
        <v/>
      </c>
      <c r="W1389" s="168" t="str">
        <f t="shared" si="448"/>
        <v/>
      </c>
      <c r="X1389" s="163" t="str">
        <f t="shared" si="437"/>
        <v/>
      </c>
      <c r="Y1389" s="152"/>
      <c r="Z1389" s="164" t="str">
        <f>IF(AND($C1388=12,$D1388=Input!$C$6),0,IF($E1389="","",V1389+Z1390/(1+L1389)*R1389))</f>
        <v/>
      </c>
      <c r="AA1389" s="164" t="str">
        <f>IF(OR($M1389=1,AND($C1388=12,$D1388=Input!$C$6)),0,IF($E1389="","",W1389+(X1389+AA1390*$R1389)/(1+$L1389)))</f>
        <v/>
      </c>
      <c r="AB1389" s="160" t="str">
        <f t="shared" si="438"/>
        <v/>
      </c>
      <c r="AC1389" s="164" t="str">
        <f t="shared" si="439"/>
        <v/>
      </c>
      <c r="AD1389" s="164" t="str">
        <f>IF(AND($C1388=12,$D1388=Input!$C$6),0,IF($E1389="","",$AC1389+AD1390/(1+$L1389)*$R1389))</f>
        <v/>
      </c>
      <c r="AE1389" s="152"/>
      <c r="AF1389" s="164" t="str">
        <f>IF(AND($C1388=12,$D1388=Input!$C$6),0,IF($E1389="","",IF($B1389&gt;Input!$C$9,$AC1389,0)+AF1390/(1+$L1389)*$R1389))</f>
        <v/>
      </c>
      <c r="AG1389" s="164" t="str">
        <f>IF(AND($C1388=12,$D1388=Input!$C$6),0,IF($E1389="","",(IF($B1389&gt;Input!$C$9,$X1389,0)+AG1390)/(1+$L1389)*$R1389))</f>
        <v/>
      </c>
      <c r="AH1389" s="160" t="str">
        <f t="shared" si="440"/>
        <v/>
      </c>
      <c r="AI1389" s="160" t="str">
        <f>IF($E1389="","",MIN(Input!$C$61/AH1389,1))</f>
        <v/>
      </c>
      <c r="AJ1389" s="152"/>
      <c r="AK1389" s="164" t="str">
        <f>IF(AND($C1388=12,$D1388=Input!$C$6),0,IF($E1389="","",IF($B1389&gt;Input!$C$9,$AC1389*AI1389,0)+AK1390/(1+$L1389)*$R1389))</f>
        <v/>
      </c>
      <c r="AL1389" s="164" t="str">
        <f>IF(AND($C1388=12,$D1388=Input!$C$6),0,IF($E1389="","",IF($B1389&gt;Input!$C$9,0,$AC1389)+AL1390/(1+$L1389)*$R1389))</f>
        <v/>
      </c>
      <c r="AM1389" s="160" t="str">
        <f t="shared" si="441"/>
        <v/>
      </c>
      <c r="AN1389" s="164" t="str">
        <f>IF($E1389="","",IF($B1389&gt;Input!$C$9,$AI1389*$AC1389,$AM1389*$AC1389))</f>
        <v/>
      </c>
      <c r="AO1389" s="164" t="str">
        <f>IF(AND($C1388=12,$D1388=Input!$C$6),0,IF($E1389="","",$AN1389+AO1390/(1+$L1389)*$R1389))</f>
        <v/>
      </c>
      <c r="AP1389" s="152"/>
      <c r="AQ1389" s="150" t="str">
        <f t="shared" si="442"/>
        <v/>
      </c>
      <c r="AR1389" s="150" t="str">
        <f t="shared" si="449"/>
        <v/>
      </c>
      <c r="AS1389" s="150" t="str">
        <f t="shared" si="450"/>
        <v/>
      </c>
      <c r="AT1389" s="150" t="str">
        <f t="shared" si="443"/>
        <v/>
      </c>
      <c r="AU1389" s="152"/>
      <c r="AV1389" s="147" t="str">
        <f>'Deterministic Reserve'!BC1389</f>
        <v/>
      </c>
      <c r="AY1389" s="152"/>
    </row>
    <row r="1390" spans="1:51" s="150" customFormat="1" x14ac:dyDescent="0.25">
      <c r="A1390" s="150" t="str">
        <f t="shared" si="451"/>
        <v/>
      </c>
      <c r="B1390" s="150" t="str">
        <f t="shared" si="452"/>
        <v/>
      </c>
      <c r="C1390" s="150" t="str">
        <f t="shared" si="453"/>
        <v/>
      </c>
      <c r="D1390" s="150" t="str">
        <f>IF(E1390="","",Input!$C$4+B1390-1)</f>
        <v/>
      </c>
      <c r="E1390" s="150" t="str">
        <f>IF(OR(AND(C1389=12,D1389=Input!$C$6),E1389=""),"",1)</f>
        <v/>
      </c>
      <c r="G1390" s="151" t="str">
        <f>IF(E1390="","",MAX(0,Input!$C$9-B1390))</f>
        <v/>
      </c>
      <c r="H1390" s="152" t="str">
        <f>IF(E1390="","",Input!$C$3)</f>
        <v/>
      </c>
      <c r="I1390" s="153" t="str">
        <f>IF(E1390="","",HLOOKUP($B1390,Input!$C$13:$BT$14,2))</f>
        <v/>
      </c>
      <c r="J1390" s="154"/>
      <c r="K1390" s="150" t="str">
        <f>IF($E1390="","",Input!$C$57)</f>
        <v/>
      </c>
      <c r="L1390" s="150" t="str">
        <f t="shared" si="444"/>
        <v/>
      </c>
      <c r="M1390" s="147" t="str">
        <f>IF($E1390="","",VLOOKUP(IF($B1390&lt;=Input!$C$7,$B1390,26),'Mortality Tables'!$A$72:$CA$97,IF($B1390&lt;=Input!$C$7+1,Input!$C$4-16,$D1390-Input!$C$7-16),0)/1000)</f>
        <v/>
      </c>
      <c r="N1390" s="147" t="str">
        <f t="shared" si="435"/>
        <v/>
      </c>
      <c r="O1390" s="157" t="str">
        <f>IF($E1390="","",IF($C1390=12,IF($B1390&lt;Input!$C$9,Input!$C$54,IF($B1390=Input!$C$9,Input!$C$55,Input!$C$56)),0%))</f>
        <v/>
      </c>
      <c r="P1390" s="167" t="str">
        <f>IF($E1390="","",IF($B1390=1,Input!$C$59,IF($B1390&lt;6,Input!$C$60,0%)))</f>
        <v/>
      </c>
      <c r="Q1390" s="162" t="str">
        <f>IF($E1390="","",Input!$C$58)</f>
        <v/>
      </c>
      <c r="R1390" s="156" t="str">
        <f t="shared" si="445"/>
        <v/>
      </c>
      <c r="S1390" s="154" t="str">
        <f t="shared" si="436"/>
        <v/>
      </c>
      <c r="T1390" s="152"/>
      <c r="U1390" s="150" t="str">
        <f t="shared" si="446"/>
        <v/>
      </c>
      <c r="V1390" s="150" t="str">
        <f t="shared" si="447"/>
        <v/>
      </c>
      <c r="W1390" s="168" t="str">
        <f t="shared" si="448"/>
        <v/>
      </c>
      <c r="X1390" s="163" t="str">
        <f t="shared" si="437"/>
        <v/>
      </c>
      <c r="Y1390" s="152"/>
      <c r="Z1390" s="164" t="str">
        <f>IF(AND($C1389=12,$D1389=Input!$C$6),0,IF($E1390="","",V1390+Z1391/(1+L1390)*R1390))</f>
        <v/>
      </c>
      <c r="AA1390" s="164" t="str">
        <f>IF(OR($M1390=1,AND($C1389=12,$D1389=Input!$C$6)),0,IF($E1390="","",W1390+(X1390+AA1391*$R1390)/(1+$L1390)))</f>
        <v/>
      </c>
      <c r="AB1390" s="160" t="str">
        <f t="shared" si="438"/>
        <v/>
      </c>
      <c r="AC1390" s="164" t="str">
        <f t="shared" si="439"/>
        <v/>
      </c>
      <c r="AD1390" s="164" t="str">
        <f>IF(AND($C1389=12,$D1389=Input!$C$6),0,IF($E1390="","",$AC1390+AD1391/(1+$L1390)*$R1390))</f>
        <v/>
      </c>
      <c r="AE1390" s="152"/>
      <c r="AF1390" s="164" t="str">
        <f>IF(AND($C1389=12,$D1389=Input!$C$6),0,IF($E1390="","",IF($B1390&gt;Input!$C$9,$AC1390,0)+AF1391/(1+$L1390)*$R1390))</f>
        <v/>
      </c>
      <c r="AG1390" s="164" t="str">
        <f>IF(AND($C1389=12,$D1389=Input!$C$6),0,IF($E1390="","",(IF($B1390&gt;Input!$C$9,$X1390,0)+AG1391)/(1+$L1390)*$R1390))</f>
        <v/>
      </c>
      <c r="AH1390" s="160" t="str">
        <f t="shared" si="440"/>
        <v/>
      </c>
      <c r="AI1390" s="160" t="str">
        <f>IF($E1390="","",MIN(Input!$C$61/AH1390,1))</f>
        <v/>
      </c>
      <c r="AJ1390" s="152"/>
      <c r="AK1390" s="164" t="str">
        <f>IF(AND($C1389=12,$D1389=Input!$C$6),0,IF($E1390="","",IF($B1390&gt;Input!$C$9,$AC1390*AI1390,0)+AK1391/(1+$L1390)*$R1390))</f>
        <v/>
      </c>
      <c r="AL1390" s="164" t="str">
        <f>IF(AND($C1389=12,$D1389=Input!$C$6),0,IF($E1390="","",IF($B1390&gt;Input!$C$9,0,$AC1390)+AL1391/(1+$L1390)*$R1390))</f>
        <v/>
      </c>
      <c r="AM1390" s="160" t="str">
        <f t="shared" si="441"/>
        <v/>
      </c>
      <c r="AN1390" s="164" t="str">
        <f>IF($E1390="","",IF($B1390&gt;Input!$C$9,$AI1390*$AC1390,$AM1390*$AC1390))</f>
        <v/>
      </c>
      <c r="AO1390" s="164" t="str">
        <f>IF(AND($C1389=12,$D1389=Input!$C$6),0,IF($E1390="","",$AN1390+AO1391/(1+$L1390)*$R1390))</f>
        <v/>
      </c>
      <c r="AP1390" s="152"/>
      <c r="AQ1390" s="150" t="str">
        <f t="shared" si="442"/>
        <v/>
      </c>
      <c r="AR1390" s="150" t="str">
        <f t="shared" si="449"/>
        <v/>
      </c>
      <c r="AS1390" s="150" t="str">
        <f t="shared" si="450"/>
        <v/>
      </c>
      <c r="AT1390" s="150" t="str">
        <f t="shared" si="443"/>
        <v/>
      </c>
      <c r="AU1390" s="152"/>
      <c r="AV1390" s="147" t="str">
        <f>'Deterministic Reserve'!BC1390</f>
        <v/>
      </c>
      <c r="AY1390" s="152"/>
    </row>
    <row r="1391" spans="1:51" s="150" customFormat="1" x14ac:dyDescent="0.25">
      <c r="A1391" s="150" t="str">
        <f t="shared" si="451"/>
        <v/>
      </c>
      <c r="B1391" s="150" t="str">
        <f t="shared" si="452"/>
        <v/>
      </c>
      <c r="C1391" s="150" t="str">
        <f t="shared" si="453"/>
        <v/>
      </c>
      <c r="D1391" s="150" t="str">
        <f>IF(E1391="","",Input!$C$4+B1391-1)</f>
        <v/>
      </c>
      <c r="E1391" s="150" t="str">
        <f>IF(OR(AND(C1390=12,D1390=Input!$C$6),E1390=""),"",1)</f>
        <v/>
      </c>
      <c r="G1391" s="151" t="str">
        <f>IF(E1391="","",MAX(0,Input!$C$9-B1391))</f>
        <v/>
      </c>
      <c r="H1391" s="152" t="str">
        <f>IF(E1391="","",Input!$C$3)</f>
        <v/>
      </c>
      <c r="I1391" s="153" t="str">
        <f>IF(E1391="","",HLOOKUP($B1391,Input!$C$13:$BT$14,2))</f>
        <v/>
      </c>
      <c r="J1391" s="154"/>
      <c r="K1391" s="150" t="str">
        <f>IF($E1391="","",Input!$C$57)</f>
        <v/>
      </c>
      <c r="L1391" s="150" t="str">
        <f t="shared" si="444"/>
        <v/>
      </c>
      <c r="M1391" s="147" t="str">
        <f>IF($E1391="","",VLOOKUP(IF($B1391&lt;=Input!$C$7,$B1391,26),'Mortality Tables'!$A$72:$CA$97,IF($B1391&lt;=Input!$C$7+1,Input!$C$4-16,$D1391-Input!$C$7-16),0)/1000)</f>
        <v/>
      </c>
      <c r="N1391" s="147" t="str">
        <f t="shared" si="435"/>
        <v/>
      </c>
      <c r="O1391" s="157" t="str">
        <f>IF($E1391="","",IF($C1391=12,IF($B1391&lt;Input!$C$9,Input!$C$54,IF($B1391=Input!$C$9,Input!$C$55,Input!$C$56)),0%))</f>
        <v/>
      </c>
      <c r="P1391" s="167" t="str">
        <f>IF($E1391="","",IF($B1391=1,Input!$C$59,IF($B1391&lt;6,Input!$C$60,0%)))</f>
        <v/>
      </c>
      <c r="Q1391" s="162" t="str">
        <f>IF($E1391="","",Input!$C$58)</f>
        <v/>
      </c>
      <c r="R1391" s="156" t="str">
        <f t="shared" si="445"/>
        <v/>
      </c>
      <c r="S1391" s="154" t="str">
        <f t="shared" si="436"/>
        <v/>
      </c>
      <c r="T1391" s="152"/>
      <c r="U1391" s="150" t="str">
        <f t="shared" si="446"/>
        <v/>
      </c>
      <c r="V1391" s="150" t="str">
        <f t="shared" si="447"/>
        <v/>
      </c>
      <c r="W1391" s="168" t="str">
        <f t="shared" si="448"/>
        <v/>
      </c>
      <c r="X1391" s="163" t="str">
        <f t="shared" si="437"/>
        <v/>
      </c>
      <c r="Y1391" s="152"/>
      <c r="Z1391" s="164" t="str">
        <f>IF(AND($C1390=12,$D1390=Input!$C$6),0,IF($E1391="","",V1391+Z1392/(1+L1391)*R1391))</f>
        <v/>
      </c>
      <c r="AA1391" s="164" t="str">
        <f>IF(OR($M1391=1,AND($C1390=12,$D1390=Input!$C$6)),0,IF($E1391="","",W1391+(X1391+AA1392*$R1391)/(1+$L1391)))</f>
        <v/>
      </c>
      <c r="AB1391" s="160" t="str">
        <f t="shared" si="438"/>
        <v/>
      </c>
      <c r="AC1391" s="164" t="str">
        <f t="shared" si="439"/>
        <v/>
      </c>
      <c r="AD1391" s="164" t="str">
        <f>IF(AND($C1390=12,$D1390=Input!$C$6),0,IF($E1391="","",$AC1391+AD1392/(1+$L1391)*$R1391))</f>
        <v/>
      </c>
      <c r="AE1391" s="152"/>
      <c r="AF1391" s="164" t="str">
        <f>IF(AND($C1390=12,$D1390=Input!$C$6),0,IF($E1391="","",IF($B1391&gt;Input!$C$9,$AC1391,0)+AF1392/(1+$L1391)*$R1391))</f>
        <v/>
      </c>
      <c r="AG1391" s="164" t="str">
        <f>IF(AND($C1390=12,$D1390=Input!$C$6),0,IF($E1391="","",(IF($B1391&gt;Input!$C$9,$X1391,0)+AG1392)/(1+$L1391)*$R1391))</f>
        <v/>
      </c>
      <c r="AH1391" s="160" t="str">
        <f t="shared" si="440"/>
        <v/>
      </c>
      <c r="AI1391" s="160" t="str">
        <f>IF($E1391="","",MIN(Input!$C$61/AH1391,1))</f>
        <v/>
      </c>
      <c r="AJ1391" s="152"/>
      <c r="AK1391" s="164" t="str">
        <f>IF(AND($C1390=12,$D1390=Input!$C$6),0,IF($E1391="","",IF($B1391&gt;Input!$C$9,$AC1391*AI1391,0)+AK1392/(1+$L1391)*$R1391))</f>
        <v/>
      </c>
      <c r="AL1391" s="164" t="str">
        <f>IF(AND($C1390=12,$D1390=Input!$C$6),0,IF($E1391="","",IF($B1391&gt;Input!$C$9,0,$AC1391)+AL1392/(1+$L1391)*$R1391))</f>
        <v/>
      </c>
      <c r="AM1391" s="160" t="str">
        <f t="shared" si="441"/>
        <v/>
      </c>
      <c r="AN1391" s="164" t="str">
        <f>IF($E1391="","",IF($B1391&gt;Input!$C$9,$AI1391*$AC1391,$AM1391*$AC1391))</f>
        <v/>
      </c>
      <c r="AO1391" s="164" t="str">
        <f>IF(AND($C1390=12,$D1390=Input!$C$6),0,IF($E1391="","",$AN1391+AO1392/(1+$L1391)*$R1391))</f>
        <v/>
      </c>
      <c r="AP1391" s="152"/>
      <c r="AQ1391" s="150" t="str">
        <f t="shared" si="442"/>
        <v/>
      </c>
      <c r="AR1391" s="150" t="str">
        <f t="shared" si="449"/>
        <v/>
      </c>
      <c r="AS1391" s="150" t="str">
        <f t="shared" si="450"/>
        <v/>
      </c>
      <c r="AT1391" s="150" t="str">
        <f t="shared" si="443"/>
        <v/>
      </c>
      <c r="AU1391" s="152"/>
      <c r="AV1391" s="147" t="str">
        <f>'Deterministic Reserve'!BC1391</f>
        <v/>
      </c>
      <c r="AY1391" s="152"/>
    </row>
    <row r="1392" spans="1:51" s="150" customFormat="1" x14ac:dyDescent="0.25">
      <c r="A1392" s="150" t="str">
        <f t="shared" si="451"/>
        <v/>
      </c>
      <c r="B1392" s="150" t="str">
        <f t="shared" si="452"/>
        <v/>
      </c>
      <c r="C1392" s="150" t="str">
        <f t="shared" si="453"/>
        <v/>
      </c>
      <c r="D1392" s="150" t="str">
        <f>IF(E1392="","",Input!$C$4+B1392-1)</f>
        <v/>
      </c>
      <c r="E1392" s="150" t="str">
        <f>IF(OR(AND(C1391=12,D1391=Input!$C$6),E1391=""),"",1)</f>
        <v/>
      </c>
      <c r="G1392" s="151" t="str">
        <f>IF(E1392="","",MAX(0,Input!$C$9-B1392))</f>
        <v/>
      </c>
      <c r="H1392" s="152" t="str">
        <f>IF(E1392="","",Input!$C$3)</f>
        <v/>
      </c>
      <c r="I1392" s="153" t="str">
        <f>IF(E1392="","",HLOOKUP($B1392,Input!$C$13:$BT$14,2))</f>
        <v/>
      </c>
      <c r="J1392" s="154"/>
      <c r="K1392" s="150" t="str">
        <f>IF($E1392="","",Input!$C$57)</f>
        <v/>
      </c>
      <c r="L1392" s="150" t="str">
        <f t="shared" si="444"/>
        <v/>
      </c>
      <c r="M1392" s="147" t="str">
        <f>IF($E1392="","",VLOOKUP(IF($B1392&lt;=Input!$C$7,$B1392,26),'Mortality Tables'!$A$72:$CA$97,IF($B1392&lt;=Input!$C$7+1,Input!$C$4-16,$D1392-Input!$C$7-16),0)/1000)</f>
        <v/>
      </c>
      <c r="N1392" s="147" t="str">
        <f t="shared" si="435"/>
        <v/>
      </c>
      <c r="O1392" s="157" t="str">
        <f>IF($E1392="","",IF($C1392=12,IF($B1392&lt;Input!$C$9,Input!$C$54,IF($B1392=Input!$C$9,Input!$C$55,Input!$C$56)),0%))</f>
        <v/>
      </c>
      <c r="P1392" s="167" t="str">
        <f>IF($E1392="","",IF($B1392=1,Input!$C$59,IF($B1392&lt;6,Input!$C$60,0%)))</f>
        <v/>
      </c>
      <c r="Q1392" s="162" t="str">
        <f>IF($E1392="","",Input!$C$58)</f>
        <v/>
      </c>
      <c r="R1392" s="156" t="str">
        <f t="shared" si="445"/>
        <v/>
      </c>
      <c r="S1392" s="154" t="str">
        <f t="shared" si="436"/>
        <v/>
      </c>
      <c r="T1392" s="152"/>
      <c r="U1392" s="150" t="str">
        <f t="shared" si="446"/>
        <v/>
      </c>
      <c r="V1392" s="150" t="str">
        <f t="shared" si="447"/>
        <v/>
      </c>
      <c r="W1392" s="168" t="str">
        <f t="shared" si="448"/>
        <v/>
      </c>
      <c r="X1392" s="163" t="str">
        <f t="shared" si="437"/>
        <v/>
      </c>
      <c r="Y1392" s="152"/>
      <c r="Z1392" s="164" t="str">
        <f>IF(AND($C1391=12,$D1391=Input!$C$6),0,IF($E1392="","",V1392+Z1393/(1+L1392)*R1392))</f>
        <v/>
      </c>
      <c r="AA1392" s="164" t="str">
        <f>IF(OR($M1392=1,AND($C1391=12,$D1391=Input!$C$6)),0,IF($E1392="","",W1392+(X1392+AA1393*$R1392)/(1+$L1392)))</f>
        <v/>
      </c>
      <c r="AB1392" s="160" t="str">
        <f t="shared" si="438"/>
        <v/>
      </c>
      <c r="AC1392" s="164" t="str">
        <f t="shared" si="439"/>
        <v/>
      </c>
      <c r="AD1392" s="164" t="str">
        <f>IF(AND($C1391=12,$D1391=Input!$C$6),0,IF($E1392="","",$AC1392+AD1393/(1+$L1392)*$R1392))</f>
        <v/>
      </c>
      <c r="AE1392" s="152"/>
      <c r="AF1392" s="164" t="str">
        <f>IF(AND($C1391=12,$D1391=Input!$C$6),0,IF($E1392="","",IF($B1392&gt;Input!$C$9,$AC1392,0)+AF1393/(1+$L1392)*$R1392))</f>
        <v/>
      </c>
      <c r="AG1392" s="164" t="str">
        <f>IF(AND($C1391=12,$D1391=Input!$C$6),0,IF($E1392="","",(IF($B1392&gt;Input!$C$9,$X1392,0)+AG1393)/(1+$L1392)*$R1392))</f>
        <v/>
      </c>
      <c r="AH1392" s="160" t="str">
        <f t="shared" si="440"/>
        <v/>
      </c>
      <c r="AI1392" s="160" t="str">
        <f>IF($E1392="","",MIN(Input!$C$61/AH1392,1))</f>
        <v/>
      </c>
      <c r="AJ1392" s="152"/>
      <c r="AK1392" s="164" t="str">
        <f>IF(AND($C1391=12,$D1391=Input!$C$6),0,IF($E1392="","",IF($B1392&gt;Input!$C$9,$AC1392*AI1392,0)+AK1393/(1+$L1392)*$R1392))</f>
        <v/>
      </c>
      <c r="AL1392" s="164" t="str">
        <f>IF(AND($C1391=12,$D1391=Input!$C$6),0,IF($E1392="","",IF($B1392&gt;Input!$C$9,0,$AC1392)+AL1393/(1+$L1392)*$R1392))</f>
        <v/>
      </c>
      <c r="AM1392" s="160" t="str">
        <f t="shared" si="441"/>
        <v/>
      </c>
      <c r="AN1392" s="164" t="str">
        <f>IF($E1392="","",IF($B1392&gt;Input!$C$9,$AI1392*$AC1392,$AM1392*$AC1392))</f>
        <v/>
      </c>
      <c r="AO1392" s="164" t="str">
        <f>IF(AND($C1391=12,$D1391=Input!$C$6),0,IF($E1392="","",$AN1392+AO1393/(1+$L1392)*$R1392))</f>
        <v/>
      </c>
      <c r="AP1392" s="152"/>
      <c r="AQ1392" s="150" t="str">
        <f t="shared" si="442"/>
        <v/>
      </c>
      <c r="AR1392" s="150" t="str">
        <f t="shared" si="449"/>
        <v/>
      </c>
      <c r="AS1392" s="150" t="str">
        <f t="shared" si="450"/>
        <v/>
      </c>
      <c r="AT1392" s="150" t="str">
        <f t="shared" si="443"/>
        <v/>
      </c>
      <c r="AU1392" s="152"/>
      <c r="AV1392" s="147" t="str">
        <f>'Deterministic Reserve'!BC1392</f>
        <v/>
      </c>
      <c r="AY1392" s="152"/>
    </row>
    <row r="1393" spans="1:51" s="150" customFormat="1" x14ac:dyDescent="0.25">
      <c r="A1393" s="150" t="str">
        <f t="shared" si="451"/>
        <v/>
      </c>
      <c r="B1393" s="150" t="str">
        <f t="shared" si="452"/>
        <v/>
      </c>
      <c r="C1393" s="150" t="str">
        <f t="shared" si="453"/>
        <v/>
      </c>
      <c r="D1393" s="150" t="str">
        <f>IF(E1393="","",Input!$C$4+B1393-1)</f>
        <v/>
      </c>
      <c r="E1393" s="150" t="str">
        <f>IF(OR(AND(C1392=12,D1392=Input!$C$6),E1392=""),"",1)</f>
        <v/>
      </c>
      <c r="G1393" s="151" t="str">
        <f>IF(E1393="","",MAX(0,Input!$C$9-B1393))</f>
        <v/>
      </c>
      <c r="H1393" s="152" t="str">
        <f>IF(E1393="","",Input!$C$3)</f>
        <v/>
      </c>
      <c r="I1393" s="153" t="str">
        <f>IF(E1393="","",HLOOKUP($B1393,Input!$C$13:$BT$14,2))</f>
        <v/>
      </c>
      <c r="J1393" s="154"/>
      <c r="K1393" s="150" t="str">
        <f>IF($E1393="","",Input!$C$57)</f>
        <v/>
      </c>
      <c r="L1393" s="150" t="str">
        <f t="shared" si="444"/>
        <v/>
      </c>
      <c r="M1393" s="147" t="str">
        <f>IF($E1393="","",VLOOKUP(IF($B1393&lt;=Input!$C$7,$B1393,26),'Mortality Tables'!$A$72:$CA$97,IF($B1393&lt;=Input!$C$7+1,Input!$C$4-16,$D1393-Input!$C$7-16),0)/1000)</f>
        <v/>
      </c>
      <c r="N1393" s="147" t="str">
        <f t="shared" si="435"/>
        <v/>
      </c>
      <c r="O1393" s="157" t="str">
        <f>IF($E1393="","",IF($C1393=12,IF($B1393&lt;Input!$C$9,Input!$C$54,IF($B1393=Input!$C$9,Input!$C$55,Input!$C$56)),0%))</f>
        <v/>
      </c>
      <c r="P1393" s="167" t="str">
        <f>IF($E1393="","",IF($B1393=1,Input!$C$59,IF($B1393&lt;6,Input!$C$60,0%)))</f>
        <v/>
      </c>
      <c r="Q1393" s="162" t="str">
        <f>IF($E1393="","",Input!$C$58)</f>
        <v/>
      </c>
      <c r="R1393" s="156" t="str">
        <f t="shared" si="445"/>
        <v/>
      </c>
      <c r="S1393" s="154" t="str">
        <f t="shared" si="436"/>
        <v/>
      </c>
      <c r="T1393" s="152"/>
      <c r="U1393" s="150" t="str">
        <f t="shared" si="446"/>
        <v/>
      </c>
      <c r="V1393" s="150" t="str">
        <f t="shared" si="447"/>
        <v/>
      </c>
      <c r="W1393" s="168" t="str">
        <f t="shared" si="448"/>
        <v/>
      </c>
      <c r="X1393" s="163" t="str">
        <f t="shared" si="437"/>
        <v/>
      </c>
      <c r="Y1393" s="152"/>
      <c r="Z1393" s="164" t="str">
        <f>IF(AND($C1392=12,$D1392=Input!$C$6),0,IF($E1393="","",V1393+Z1394/(1+L1393)*R1393))</f>
        <v/>
      </c>
      <c r="AA1393" s="164" t="str">
        <f>IF(OR($M1393=1,AND($C1392=12,$D1392=Input!$C$6)),0,IF($E1393="","",W1393+(X1393+AA1394*$R1393)/(1+$L1393)))</f>
        <v/>
      </c>
      <c r="AB1393" s="160" t="str">
        <f t="shared" si="438"/>
        <v/>
      </c>
      <c r="AC1393" s="164" t="str">
        <f t="shared" si="439"/>
        <v/>
      </c>
      <c r="AD1393" s="164" t="str">
        <f>IF(AND($C1392=12,$D1392=Input!$C$6),0,IF($E1393="","",$AC1393+AD1394/(1+$L1393)*$R1393))</f>
        <v/>
      </c>
      <c r="AE1393" s="152"/>
      <c r="AF1393" s="164" t="str">
        <f>IF(AND($C1392=12,$D1392=Input!$C$6),0,IF($E1393="","",IF($B1393&gt;Input!$C$9,$AC1393,0)+AF1394/(1+$L1393)*$R1393))</f>
        <v/>
      </c>
      <c r="AG1393" s="164" t="str">
        <f>IF(AND($C1392=12,$D1392=Input!$C$6),0,IF($E1393="","",(IF($B1393&gt;Input!$C$9,$X1393,0)+AG1394)/(1+$L1393)*$R1393))</f>
        <v/>
      </c>
      <c r="AH1393" s="160" t="str">
        <f t="shared" si="440"/>
        <v/>
      </c>
      <c r="AI1393" s="160" t="str">
        <f>IF($E1393="","",MIN(Input!$C$61/AH1393,1))</f>
        <v/>
      </c>
      <c r="AJ1393" s="152"/>
      <c r="AK1393" s="164" t="str">
        <f>IF(AND($C1392=12,$D1392=Input!$C$6),0,IF($E1393="","",IF($B1393&gt;Input!$C$9,$AC1393*AI1393,0)+AK1394/(1+$L1393)*$R1393))</f>
        <v/>
      </c>
      <c r="AL1393" s="164" t="str">
        <f>IF(AND($C1392=12,$D1392=Input!$C$6),0,IF($E1393="","",IF($B1393&gt;Input!$C$9,0,$AC1393)+AL1394/(1+$L1393)*$R1393))</f>
        <v/>
      </c>
      <c r="AM1393" s="160" t="str">
        <f t="shared" si="441"/>
        <v/>
      </c>
      <c r="AN1393" s="164" t="str">
        <f>IF($E1393="","",IF($B1393&gt;Input!$C$9,$AI1393*$AC1393,$AM1393*$AC1393))</f>
        <v/>
      </c>
      <c r="AO1393" s="164" t="str">
        <f>IF(AND($C1392=12,$D1392=Input!$C$6),0,IF($E1393="","",$AN1393+AO1394/(1+$L1393)*$R1393))</f>
        <v/>
      </c>
      <c r="AP1393" s="152"/>
      <c r="AQ1393" s="150" t="str">
        <f t="shared" si="442"/>
        <v/>
      </c>
      <c r="AR1393" s="150" t="str">
        <f t="shared" si="449"/>
        <v/>
      </c>
      <c r="AS1393" s="150" t="str">
        <f t="shared" si="450"/>
        <v/>
      </c>
      <c r="AT1393" s="150" t="str">
        <f t="shared" si="443"/>
        <v/>
      </c>
      <c r="AU1393" s="152"/>
      <c r="AV1393" s="147" t="str">
        <f>'Deterministic Reserve'!BC1393</f>
        <v/>
      </c>
      <c r="AY1393" s="152"/>
    </row>
    <row r="1394" spans="1:51" s="150" customFormat="1" x14ac:dyDescent="0.25">
      <c r="A1394" s="150" t="str">
        <f t="shared" si="451"/>
        <v/>
      </c>
      <c r="B1394" s="150" t="str">
        <f t="shared" si="452"/>
        <v/>
      </c>
      <c r="C1394" s="150" t="str">
        <f t="shared" si="453"/>
        <v/>
      </c>
      <c r="D1394" s="150" t="str">
        <f>IF(E1394="","",Input!$C$4+B1394-1)</f>
        <v/>
      </c>
      <c r="E1394" s="150" t="str">
        <f>IF(OR(AND(C1393=12,D1393=Input!$C$6),E1393=""),"",1)</f>
        <v/>
      </c>
      <c r="G1394" s="151" t="str">
        <f>IF(E1394="","",MAX(0,Input!$C$9-B1394))</f>
        <v/>
      </c>
      <c r="H1394" s="152" t="str">
        <f>IF(E1394="","",Input!$C$3)</f>
        <v/>
      </c>
      <c r="I1394" s="153" t="str">
        <f>IF(E1394="","",HLOOKUP($B1394,Input!$C$13:$BT$14,2))</f>
        <v/>
      </c>
      <c r="J1394" s="154"/>
      <c r="K1394" s="150" t="str">
        <f>IF($E1394="","",Input!$C$57)</f>
        <v/>
      </c>
      <c r="L1394" s="150" t="str">
        <f t="shared" si="444"/>
        <v/>
      </c>
      <c r="M1394" s="147" t="str">
        <f>IF($E1394="","",VLOOKUP(IF($B1394&lt;=Input!$C$7,$B1394,26),'Mortality Tables'!$A$72:$CA$97,IF($B1394&lt;=Input!$C$7+1,Input!$C$4-16,$D1394-Input!$C$7-16),0)/1000)</f>
        <v/>
      </c>
      <c r="N1394" s="147" t="str">
        <f t="shared" si="435"/>
        <v/>
      </c>
      <c r="O1394" s="157" t="str">
        <f>IF($E1394="","",IF($C1394=12,IF($B1394&lt;Input!$C$9,Input!$C$54,IF($B1394=Input!$C$9,Input!$C$55,Input!$C$56)),0%))</f>
        <v/>
      </c>
      <c r="P1394" s="167" t="str">
        <f>IF($E1394="","",IF($B1394=1,Input!$C$59,IF($B1394&lt;6,Input!$C$60,0%)))</f>
        <v/>
      </c>
      <c r="Q1394" s="162" t="str">
        <f>IF($E1394="","",Input!$C$58)</f>
        <v/>
      </c>
      <c r="R1394" s="156" t="str">
        <f t="shared" si="445"/>
        <v/>
      </c>
      <c r="S1394" s="154" t="str">
        <f t="shared" si="436"/>
        <v/>
      </c>
      <c r="T1394" s="152"/>
      <c r="U1394" s="150" t="str">
        <f t="shared" si="446"/>
        <v/>
      </c>
      <c r="V1394" s="150" t="str">
        <f t="shared" si="447"/>
        <v/>
      </c>
      <c r="W1394" s="168" t="str">
        <f t="shared" si="448"/>
        <v/>
      </c>
      <c r="X1394" s="163" t="str">
        <f t="shared" si="437"/>
        <v/>
      </c>
      <c r="Y1394" s="152"/>
      <c r="Z1394" s="164" t="str">
        <f>IF(AND($C1393=12,$D1393=Input!$C$6),0,IF($E1394="","",V1394+Z1395/(1+L1394)*R1394))</f>
        <v/>
      </c>
      <c r="AA1394" s="164" t="str">
        <f>IF(OR($M1394=1,AND($C1393=12,$D1393=Input!$C$6)),0,IF($E1394="","",W1394+(X1394+AA1395*$R1394)/(1+$L1394)))</f>
        <v/>
      </c>
      <c r="AB1394" s="160" t="str">
        <f t="shared" si="438"/>
        <v/>
      </c>
      <c r="AC1394" s="164" t="str">
        <f t="shared" si="439"/>
        <v/>
      </c>
      <c r="AD1394" s="164" t="str">
        <f>IF(AND($C1393=12,$D1393=Input!$C$6),0,IF($E1394="","",$AC1394+AD1395/(1+$L1394)*$R1394))</f>
        <v/>
      </c>
      <c r="AE1394" s="152"/>
      <c r="AF1394" s="164" t="str">
        <f>IF(AND($C1393=12,$D1393=Input!$C$6),0,IF($E1394="","",IF($B1394&gt;Input!$C$9,$AC1394,0)+AF1395/(1+$L1394)*$R1394))</f>
        <v/>
      </c>
      <c r="AG1394" s="164" t="str">
        <f>IF(AND($C1393=12,$D1393=Input!$C$6),0,IF($E1394="","",(IF($B1394&gt;Input!$C$9,$X1394,0)+AG1395)/(1+$L1394)*$R1394))</f>
        <v/>
      </c>
      <c r="AH1394" s="160" t="str">
        <f t="shared" si="440"/>
        <v/>
      </c>
      <c r="AI1394" s="160" t="str">
        <f>IF($E1394="","",MIN(Input!$C$61/AH1394,1))</f>
        <v/>
      </c>
      <c r="AJ1394" s="152"/>
      <c r="AK1394" s="164" t="str">
        <f>IF(AND($C1393=12,$D1393=Input!$C$6),0,IF($E1394="","",IF($B1394&gt;Input!$C$9,$AC1394*AI1394,0)+AK1395/(1+$L1394)*$R1394))</f>
        <v/>
      </c>
      <c r="AL1394" s="164" t="str">
        <f>IF(AND($C1393=12,$D1393=Input!$C$6),0,IF($E1394="","",IF($B1394&gt;Input!$C$9,0,$AC1394)+AL1395/(1+$L1394)*$R1394))</f>
        <v/>
      </c>
      <c r="AM1394" s="160" t="str">
        <f t="shared" si="441"/>
        <v/>
      </c>
      <c r="AN1394" s="164" t="str">
        <f>IF($E1394="","",IF($B1394&gt;Input!$C$9,$AI1394*$AC1394,$AM1394*$AC1394))</f>
        <v/>
      </c>
      <c r="AO1394" s="164" t="str">
        <f>IF(AND($C1393=12,$D1393=Input!$C$6),0,IF($E1394="","",$AN1394+AO1395/(1+$L1394)*$R1394))</f>
        <v/>
      </c>
      <c r="AP1394" s="152"/>
      <c r="AQ1394" s="150" t="str">
        <f t="shared" si="442"/>
        <v/>
      </c>
      <c r="AR1394" s="150" t="str">
        <f t="shared" si="449"/>
        <v/>
      </c>
      <c r="AS1394" s="150" t="str">
        <f t="shared" si="450"/>
        <v/>
      </c>
      <c r="AT1394" s="150" t="str">
        <f t="shared" si="443"/>
        <v/>
      </c>
      <c r="AU1394" s="152"/>
      <c r="AV1394" s="147" t="str">
        <f>'Deterministic Reserve'!BC1394</f>
        <v/>
      </c>
      <c r="AY1394" s="152"/>
    </row>
    <row r="1395" spans="1:51" s="150" customFormat="1" x14ac:dyDescent="0.25">
      <c r="A1395" s="150" t="str">
        <f t="shared" si="451"/>
        <v/>
      </c>
      <c r="B1395" s="150" t="str">
        <f t="shared" si="452"/>
        <v/>
      </c>
      <c r="C1395" s="150" t="str">
        <f t="shared" si="453"/>
        <v/>
      </c>
      <c r="D1395" s="150" t="str">
        <f>IF(E1395="","",Input!$C$4+B1395-1)</f>
        <v/>
      </c>
      <c r="E1395" s="150" t="str">
        <f>IF(OR(AND(C1394=12,D1394=Input!$C$6),E1394=""),"",1)</f>
        <v/>
      </c>
      <c r="G1395" s="151" t="str">
        <f>IF(E1395="","",MAX(0,Input!$C$9-B1395))</f>
        <v/>
      </c>
      <c r="H1395" s="152" t="str">
        <f>IF(E1395="","",Input!$C$3)</f>
        <v/>
      </c>
      <c r="I1395" s="153" t="str">
        <f>IF(E1395="","",HLOOKUP($B1395,Input!$C$13:$BT$14,2))</f>
        <v/>
      </c>
      <c r="J1395" s="154"/>
      <c r="K1395" s="150" t="str">
        <f>IF($E1395="","",Input!$C$57)</f>
        <v/>
      </c>
      <c r="L1395" s="150" t="str">
        <f t="shared" si="444"/>
        <v/>
      </c>
      <c r="M1395" s="147" t="str">
        <f>IF($E1395="","",VLOOKUP(IF($B1395&lt;=Input!$C$7,$B1395,26),'Mortality Tables'!$A$72:$CA$97,IF($B1395&lt;=Input!$C$7+1,Input!$C$4-16,$D1395-Input!$C$7-16),0)/1000)</f>
        <v/>
      </c>
      <c r="N1395" s="147" t="str">
        <f t="shared" si="435"/>
        <v/>
      </c>
      <c r="O1395" s="157" t="str">
        <f>IF($E1395="","",IF($C1395=12,IF($B1395&lt;Input!$C$9,Input!$C$54,IF($B1395=Input!$C$9,Input!$C$55,Input!$C$56)),0%))</f>
        <v/>
      </c>
      <c r="P1395" s="167" t="str">
        <f>IF($E1395="","",IF($B1395=1,Input!$C$59,IF($B1395&lt;6,Input!$C$60,0%)))</f>
        <v/>
      </c>
      <c r="Q1395" s="162" t="str">
        <f>IF($E1395="","",Input!$C$58)</f>
        <v/>
      </c>
      <c r="R1395" s="156" t="str">
        <f t="shared" si="445"/>
        <v/>
      </c>
      <c r="S1395" s="154" t="str">
        <f t="shared" si="436"/>
        <v/>
      </c>
      <c r="T1395" s="152"/>
      <c r="U1395" s="150" t="str">
        <f t="shared" si="446"/>
        <v/>
      </c>
      <c r="V1395" s="150" t="str">
        <f t="shared" si="447"/>
        <v/>
      </c>
      <c r="W1395" s="168" t="str">
        <f t="shared" si="448"/>
        <v/>
      </c>
      <c r="X1395" s="163" t="str">
        <f t="shared" si="437"/>
        <v/>
      </c>
      <c r="Y1395" s="152"/>
      <c r="Z1395" s="164" t="str">
        <f>IF(AND($C1394=12,$D1394=Input!$C$6),0,IF($E1395="","",V1395+Z1396/(1+L1395)*R1395))</f>
        <v/>
      </c>
      <c r="AA1395" s="164" t="str">
        <f>IF(OR($M1395=1,AND($C1394=12,$D1394=Input!$C$6)),0,IF($E1395="","",W1395+(X1395+AA1396*$R1395)/(1+$L1395)))</f>
        <v/>
      </c>
      <c r="AB1395" s="160" t="str">
        <f t="shared" si="438"/>
        <v/>
      </c>
      <c r="AC1395" s="164" t="str">
        <f t="shared" si="439"/>
        <v/>
      </c>
      <c r="AD1395" s="164" t="str">
        <f>IF(AND($C1394=12,$D1394=Input!$C$6),0,IF($E1395="","",$AC1395+AD1396/(1+$L1395)*$R1395))</f>
        <v/>
      </c>
      <c r="AE1395" s="152"/>
      <c r="AF1395" s="164" t="str">
        <f>IF(AND($C1394=12,$D1394=Input!$C$6),0,IF($E1395="","",IF($B1395&gt;Input!$C$9,$AC1395,0)+AF1396/(1+$L1395)*$R1395))</f>
        <v/>
      </c>
      <c r="AG1395" s="164" t="str">
        <f>IF(AND($C1394=12,$D1394=Input!$C$6),0,IF($E1395="","",(IF($B1395&gt;Input!$C$9,$X1395,0)+AG1396)/(1+$L1395)*$R1395))</f>
        <v/>
      </c>
      <c r="AH1395" s="160" t="str">
        <f t="shared" si="440"/>
        <v/>
      </c>
      <c r="AI1395" s="160" t="str">
        <f>IF($E1395="","",MIN(Input!$C$61/AH1395,1))</f>
        <v/>
      </c>
      <c r="AJ1395" s="152"/>
      <c r="AK1395" s="164" t="str">
        <f>IF(AND($C1394=12,$D1394=Input!$C$6),0,IF($E1395="","",IF($B1395&gt;Input!$C$9,$AC1395*AI1395,0)+AK1396/(1+$L1395)*$R1395))</f>
        <v/>
      </c>
      <c r="AL1395" s="164" t="str">
        <f>IF(AND($C1394=12,$D1394=Input!$C$6),0,IF($E1395="","",IF($B1395&gt;Input!$C$9,0,$AC1395)+AL1396/(1+$L1395)*$R1395))</f>
        <v/>
      </c>
      <c r="AM1395" s="160" t="str">
        <f t="shared" si="441"/>
        <v/>
      </c>
      <c r="AN1395" s="164" t="str">
        <f>IF($E1395="","",IF($B1395&gt;Input!$C$9,$AI1395*$AC1395,$AM1395*$AC1395))</f>
        <v/>
      </c>
      <c r="AO1395" s="164" t="str">
        <f>IF(AND($C1394=12,$D1394=Input!$C$6),0,IF($E1395="","",$AN1395+AO1396/(1+$L1395)*$R1395))</f>
        <v/>
      </c>
      <c r="AP1395" s="152"/>
      <c r="AQ1395" s="150" t="str">
        <f t="shared" si="442"/>
        <v/>
      </c>
      <c r="AR1395" s="150" t="str">
        <f t="shared" si="449"/>
        <v/>
      </c>
      <c r="AS1395" s="150" t="str">
        <f t="shared" si="450"/>
        <v/>
      </c>
      <c r="AT1395" s="150" t="str">
        <f t="shared" si="443"/>
        <v/>
      </c>
      <c r="AU1395" s="152"/>
      <c r="AV1395" s="147" t="str">
        <f>'Deterministic Reserve'!BC1395</f>
        <v/>
      </c>
      <c r="AY1395" s="152"/>
    </row>
    <row r="1396" spans="1:51" s="150" customFormat="1" x14ac:dyDescent="0.25">
      <c r="A1396" s="150" t="str">
        <f t="shared" si="451"/>
        <v/>
      </c>
      <c r="B1396" s="150" t="str">
        <f t="shared" si="452"/>
        <v/>
      </c>
      <c r="C1396" s="150" t="str">
        <f t="shared" si="453"/>
        <v/>
      </c>
      <c r="D1396" s="150" t="str">
        <f>IF(E1396="","",Input!$C$4+B1396-1)</f>
        <v/>
      </c>
      <c r="E1396" s="150" t="str">
        <f>IF(OR(AND(C1395=12,D1395=Input!$C$6),E1395=""),"",1)</f>
        <v/>
      </c>
      <c r="G1396" s="151" t="str">
        <f>IF(E1396="","",MAX(0,Input!$C$9-B1396))</f>
        <v/>
      </c>
      <c r="H1396" s="152" t="str">
        <f>IF(E1396="","",Input!$C$3)</f>
        <v/>
      </c>
      <c r="I1396" s="153" t="str">
        <f>IF(E1396="","",HLOOKUP($B1396,Input!$C$13:$BT$14,2))</f>
        <v/>
      </c>
      <c r="J1396" s="154"/>
      <c r="K1396" s="150" t="str">
        <f>IF($E1396="","",Input!$C$57)</f>
        <v/>
      </c>
      <c r="L1396" s="150" t="str">
        <f t="shared" si="444"/>
        <v/>
      </c>
      <c r="M1396" s="147" t="str">
        <f>IF($E1396="","",VLOOKUP(IF($B1396&lt;=Input!$C$7,$B1396,26),'Mortality Tables'!$A$72:$CA$97,IF($B1396&lt;=Input!$C$7+1,Input!$C$4-16,$D1396-Input!$C$7-16),0)/1000)</f>
        <v/>
      </c>
      <c r="N1396" s="147" t="str">
        <f t="shared" si="435"/>
        <v/>
      </c>
      <c r="O1396" s="157" t="str">
        <f>IF($E1396="","",IF($C1396=12,IF($B1396&lt;Input!$C$9,Input!$C$54,IF($B1396=Input!$C$9,Input!$C$55,Input!$C$56)),0%))</f>
        <v/>
      </c>
      <c r="P1396" s="167" t="str">
        <f>IF($E1396="","",IF($B1396=1,Input!$C$59,IF($B1396&lt;6,Input!$C$60,0%)))</f>
        <v/>
      </c>
      <c r="Q1396" s="162" t="str">
        <f>IF($E1396="","",Input!$C$58)</f>
        <v/>
      </c>
      <c r="R1396" s="156" t="str">
        <f t="shared" si="445"/>
        <v/>
      </c>
      <c r="S1396" s="154" t="str">
        <f t="shared" si="436"/>
        <v/>
      </c>
      <c r="T1396" s="152"/>
      <c r="U1396" s="150" t="str">
        <f t="shared" si="446"/>
        <v/>
      </c>
      <c r="V1396" s="150" t="str">
        <f t="shared" si="447"/>
        <v/>
      </c>
      <c r="W1396" s="168" t="str">
        <f t="shared" si="448"/>
        <v/>
      </c>
      <c r="X1396" s="163" t="str">
        <f t="shared" si="437"/>
        <v/>
      </c>
      <c r="Y1396" s="152"/>
      <c r="Z1396" s="164" t="str">
        <f>IF(AND($C1395=12,$D1395=Input!$C$6),0,IF($E1396="","",V1396+Z1397/(1+L1396)*R1396))</f>
        <v/>
      </c>
      <c r="AA1396" s="164" t="str">
        <f>IF(OR($M1396=1,AND($C1395=12,$D1395=Input!$C$6)),0,IF($E1396="","",W1396+(X1396+AA1397*$R1396)/(1+$L1396)))</f>
        <v/>
      </c>
      <c r="AB1396" s="160" t="str">
        <f t="shared" si="438"/>
        <v/>
      </c>
      <c r="AC1396" s="164" t="str">
        <f t="shared" si="439"/>
        <v/>
      </c>
      <c r="AD1396" s="164" t="str">
        <f>IF(AND($C1395=12,$D1395=Input!$C$6),0,IF($E1396="","",$AC1396+AD1397/(1+$L1396)*$R1396))</f>
        <v/>
      </c>
      <c r="AE1396" s="152"/>
      <c r="AF1396" s="164" t="str">
        <f>IF(AND($C1395=12,$D1395=Input!$C$6),0,IF($E1396="","",IF($B1396&gt;Input!$C$9,$AC1396,0)+AF1397/(1+$L1396)*$R1396))</f>
        <v/>
      </c>
      <c r="AG1396" s="164" t="str">
        <f>IF(AND($C1395=12,$D1395=Input!$C$6),0,IF($E1396="","",(IF($B1396&gt;Input!$C$9,$X1396,0)+AG1397)/(1+$L1396)*$R1396))</f>
        <v/>
      </c>
      <c r="AH1396" s="160" t="str">
        <f t="shared" si="440"/>
        <v/>
      </c>
      <c r="AI1396" s="160" t="str">
        <f>IF($E1396="","",MIN(Input!$C$61/AH1396,1))</f>
        <v/>
      </c>
      <c r="AJ1396" s="152"/>
      <c r="AK1396" s="164" t="str">
        <f>IF(AND($C1395=12,$D1395=Input!$C$6),0,IF($E1396="","",IF($B1396&gt;Input!$C$9,$AC1396*AI1396,0)+AK1397/(1+$L1396)*$R1396))</f>
        <v/>
      </c>
      <c r="AL1396" s="164" t="str">
        <f>IF(AND($C1395=12,$D1395=Input!$C$6),0,IF($E1396="","",IF($B1396&gt;Input!$C$9,0,$AC1396)+AL1397/(1+$L1396)*$R1396))</f>
        <v/>
      </c>
      <c r="AM1396" s="160" t="str">
        <f t="shared" si="441"/>
        <v/>
      </c>
      <c r="AN1396" s="164" t="str">
        <f>IF($E1396="","",IF($B1396&gt;Input!$C$9,$AI1396*$AC1396,$AM1396*$AC1396))</f>
        <v/>
      </c>
      <c r="AO1396" s="164" t="str">
        <f>IF(AND($C1395=12,$D1395=Input!$C$6),0,IF($E1396="","",$AN1396+AO1397/(1+$L1396)*$R1396))</f>
        <v/>
      </c>
      <c r="AP1396" s="152"/>
      <c r="AQ1396" s="150" t="str">
        <f t="shared" si="442"/>
        <v/>
      </c>
      <c r="AR1396" s="150" t="str">
        <f t="shared" si="449"/>
        <v/>
      </c>
      <c r="AS1396" s="150" t="str">
        <f t="shared" si="450"/>
        <v/>
      </c>
      <c r="AT1396" s="150" t="str">
        <f t="shared" si="443"/>
        <v/>
      </c>
      <c r="AU1396" s="152"/>
      <c r="AV1396" s="147" t="str">
        <f>'Deterministic Reserve'!BC1396</f>
        <v/>
      </c>
      <c r="AY1396" s="152"/>
    </row>
    <row r="1397" spans="1:51" s="150" customFormat="1" x14ac:dyDescent="0.25">
      <c r="A1397" s="150" t="str">
        <f t="shared" si="451"/>
        <v/>
      </c>
      <c r="B1397" s="150" t="str">
        <f t="shared" si="452"/>
        <v/>
      </c>
      <c r="C1397" s="150" t="str">
        <f t="shared" si="453"/>
        <v/>
      </c>
      <c r="D1397" s="150" t="str">
        <f>IF(E1397="","",Input!$C$4+B1397-1)</f>
        <v/>
      </c>
      <c r="E1397" s="150" t="str">
        <f>IF(OR(AND(C1396=12,D1396=Input!$C$6),E1396=""),"",1)</f>
        <v/>
      </c>
      <c r="G1397" s="151" t="str">
        <f>IF(E1397="","",MAX(0,Input!$C$9-B1397))</f>
        <v/>
      </c>
      <c r="H1397" s="152" t="str">
        <f>IF(E1397="","",Input!$C$3)</f>
        <v/>
      </c>
      <c r="I1397" s="153" t="str">
        <f>IF(E1397="","",HLOOKUP($B1397,Input!$C$13:$BT$14,2))</f>
        <v/>
      </c>
      <c r="J1397" s="154"/>
      <c r="K1397" s="150" t="str">
        <f>IF($E1397="","",Input!$C$57)</f>
        <v/>
      </c>
      <c r="L1397" s="150" t="str">
        <f t="shared" si="444"/>
        <v/>
      </c>
      <c r="M1397" s="147" t="str">
        <f>IF($E1397="","",VLOOKUP(IF($B1397&lt;=Input!$C$7,$B1397,26),'Mortality Tables'!$A$72:$CA$97,IF($B1397&lt;=Input!$C$7+1,Input!$C$4-16,$D1397-Input!$C$7-16),0)/1000)</f>
        <v/>
      </c>
      <c r="N1397" s="147" t="str">
        <f t="shared" si="435"/>
        <v/>
      </c>
      <c r="O1397" s="157" t="str">
        <f>IF($E1397="","",IF($C1397=12,IF($B1397&lt;Input!$C$9,Input!$C$54,IF($B1397=Input!$C$9,Input!$C$55,Input!$C$56)),0%))</f>
        <v/>
      </c>
      <c r="P1397" s="167" t="str">
        <f>IF($E1397="","",IF($B1397=1,Input!$C$59,IF($B1397&lt;6,Input!$C$60,0%)))</f>
        <v/>
      </c>
      <c r="Q1397" s="162" t="str">
        <f>IF($E1397="","",Input!$C$58)</f>
        <v/>
      </c>
      <c r="R1397" s="156" t="str">
        <f t="shared" si="445"/>
        <v/>
      </c>
      <c r="S1397" s="154" t="str">
        <f t="shared" si="436"/>
        <v/>
      </c>
      <c r="T1397" s="152"/>
      <c r="U1397" s="150" t="str">
        <f t="shared" si="446"/>
        <v/>
      </c>
      <c r="V1397" s="150" t="str">
        <f t="shared" si="447"/>
        <v/>
      </c>
      <c r="W1397" s="168" t="str">
        <f t="shared" si="448"/>
        <v/>
      </c>
      <c r="X1397" s="163" t="str">
        <f t="shared" si="437"/>
        <v/>
      </c>
      <c r="Y1397" s="152"/>
      <c r="Z1397" s="164" t="str">
        <f>IF(AND($C1396=12,$D1396=Input!$C$6),0,IF($E1397="","",V1397+Z1398/(1+L1397)*R1397))</f>
        <v/>
      </c>
      <c r="AA1397" s="164" t="str">
        <f>IF(OR($M1397=1,AND($C1396=12,$D1396=Input!$C$6)),0,IF($E1397="","",W1397+(X1397+AA1398*$R1397)/(1+$L1397)))</f>
        <v/>
      </c>
      <c r="AB1397" s="160" t="str">
        <f t="shared" si="438"/>
        <v/>
      </c>
      <c r="AC1397" s="164" t="str">
        <f t="shared" si="439"/>
        <v/>
      </c>
      <c r="AD1397" s="164" t="str">
        <f>IF(AND($C1396=12,$D1396=Input!$C$6),0,IF($E1397="","",$AC1397+AD1398/(1+$L1397)*$R1397))</f>
        <v/>
      </c>
      <c r="AE1397" s="152"/>
      <c r="AF1397" s="164" t="str">
        <f>IF(AND($C1396=12,$D1396=Input!$C$6),0,IF($E1397="","",IF($B1397&gt;Input!$C$9,$AC1397,0)+AF1398/(1+$L1397)*$R1397))</f>
        <v/>
      </c>
      <c r="AG1397" s="164" t="str">
        <f>IF(AND($C1396=12,$D1396=Input!$C$6),0,IF($E1397="","",(IF($B1397&gt;Input!$C$9,$X1397,0)+AG1398)/(1+$L1397)*$R1397))</f>
        <v/>
      </c>
      <c r="AH1397" s="160" t="str">
        <f t="shared" si="440"/>
        <v/>
      </c>
      <c r="AI1397" s="160" t="str">
        <f>IF($E1397="","",MIN(Input!$C$61/AH1397,1))</f>
        <v/>
      </c>
      <c r="AJ1397" s="152"/>
      <c r="AK1397" s="164" t="str">
        <f>IF(AND($C1396=12,$D1396=Input!$C$6),0,IF($E1397="","",IF($B1397&gt;Input!$C$9,$AC1397*AI1397,0)+AK1398/(1+$L1397)*$R1397))</f>
        <v/>
      </c>
      <c r="AL1397" s="164" t="str">
        <f>IF(AND($C1396=12,$D1396=Input!$C$6),0,IF($E1397="","",IF($B1397&gt;Input!$C$9,0,$AC1397)+AL1398/(1+$L1397)*$R1397))</f>
        <v/>
      </c>
      <c r="AM1397" s="160" t="str">
        <f t="shared" si="441"/>
        <v/>
      </c>
      <c r="AN1397" s="164" t="str">
        <f>IF($E1397="","",IF($B1397&gt;Input!$C$9,$AI1397*$AC1397,$AM1397*$AC1397))</f>
        <v/>
      </c>
      <c r="AO1397" s="164" t="str">
        <f>IF(AND($C1396=12,$D1396=Input!$C$6),0,IF($E1397="","",$AN1397+AO1398/(1+$L1397)*$R1397))</f>
        <v/>
      </c>
      <c r="AP1397" s="152"/>
      <c r="AQ1397" s="150" t="str">
        <f t="shared" si="442"/>
        <v/>
      </c>
      <c r="AR1397" s="150" t="str">
        <f t="shared" si="449"/>
        <v/>
      </c>
      <c r="AS1397" s="150" t="str">
        <f t="shared" si="450"/>
        <v/>
      </c>
      <c r="AT1397" s="150" t="str">
        <f t="shared" si="443"/>
        <v/>
      </c>
      <c r="AU1397" s="152"/>
      <c r="AV1397" s="147" t="str">
        <f>'Deterministic Reserve'!BC1397</f>
        <v/>
      </c>
      <c r="AY1397" s="152"/>
    </row>
    <row r="1398" spans="1:51" s="150" customFormat="1" x14ac:dyDescent="0.25">
      <c r="A1398" s="150" t="str">
        <f t="shared" si="451"/>
        <v/>
      </c>
      <c r="B1398" s="150" t="str">
        <f t="shared" si="452"/>
        <v/>
      </c>
      <c r="C1398" s="150" t="str">
        <f t="shared" si="453"/>
        <v/>
      </c>
      <c r="D1398" s="150" t="str">
        <f>IF(E1398="","",Input!$C$4+B1398-1)</f>
        <v/>
      </c>
      <c r="E1398" s="150" t="str">
        <f>IF(OR(AND(C1397=12,D1397=Input!$C$6),E1397=""),"",1)</f>
        <v/>
      </c>
      <c r="G1398" s="151" t="str">
        <f>IF(E1398="","",MAX(0,Input!$C$9-B1398))</f>
        <v/>
      </c>
      <c r="H1398" s="152" t="str">
        <f>IF(E1398="","",Input!$C$3)</f>
        <v/>
      </c>
      <c r="I1398" s="153" t="str">
        <f>IF(E1398="","",HLOOKUP($B1398,Input!$C$13:$BT$14,2))</f>
        <v/>
      </c>
      <c r="J1398" s="154"/>
      <c r="K1398" s="150" t="str">
        <f>IF($E1398="","",Input!$C$57)</f>
        <v/>
      </c>
      <c r="L1398" s="150" t="str">
        <f t="shared" si="444"/>
        <v/>
      </c>
      <c r="M1398" s="147" t="str">
        <f>IF($E1398="","",VLOOKUP(IF($B1398&lt;=Input!$C$7,$B1398,26),'Mortality Tables'!$A$72:$CA$97,IF($B1398&lt;=Input!$C$7+1,Input!$C$4-16,$D1398-Input!$C$7-16),0)/1000)</f>
        <v/>
      </c>
      <c r="N1398" s="147" t="str">
        <f t="shared" si="435"/>
        <v/>
      </c>
      <c r="O1398" s="157" t="str">
        <f>IF($E1398="","",IF($C1398=12,IF($B1398&lt;Input!$C$9,Input!$C$54,IF($B1398=Input!$C$9,Input!$C$55,Input!$C$56)),0%))</f>
        <v/>
      </c>
      <c r="P1398" s="167" t="str">
        <f>IF($E1398="","",IF($B1398=1,Input!$C$59,IF($B1398&lt;6,Input!$C$60,0%)))</f>
        <v/>
      </c>
      <c r="Q1398" s="162" t="str">
        <f>IF($E1398="","",Input!$C$58)</f>
        <v/>
      </c>
      <c r="R1398" s="156" t="str">
        <f t="shared" si="445"/>
        <v/>
      </c>
      <c r="S1398" s="154" t="str">
        <f t="shared" si="436"/>
        <v/>
      </c>
      <c r="T1398" s="152"/>
      <c r="U1398" s="150" t="str">
        <f t="shared" si="446"/>
        <v/>
      </c>
      <c r="V1398" s="150" t="str">
        <f t="shared" si="447"/>
        <v/>
      </c>
      <c r="W1398" s="168" t="str">
        <f t="shared" si="448"/>
        <v/>
      </c>
      <c r="X1398" s="163" t="str">
        <f t="shared" si="437"/>
        <v/>
      </c>
      <c r="Y1398" s="152"/>
      <c r="Z1398" s="164" t="str">
        <f>IF(AND($C1397=12,$D1397=Input!$C$6),0,IF($E1398="","",V1398+Z1399/(1+L1398)*R1398))</f>
        <v/>
      </c>
      <c r="AA1398" s="164" t="str">
        <f>IF(OR($M1398=1,AND($C1397=12,$D1397=Input!$C$6)),0,IF($E1398="","",W1398+(X1398+AA1399*$R1398)/(1+$L1398)))</f>
        <v/>
      </c>
      <c r="AB1398" s="160" t="str">
        <f t="shared" si="438"/>
        <v/>
      </c>
      <c r="AC1398" s="164" t="str">
        <f t="shared" si="439"/>
        <v/>
      </c>
      <c r="AD1398" s="164" t="str">
        <f>IF(AND($C1397=12,$D1397=Input!$C$6),0,IF($E1398="","",$AC1398+AD1399/(1+$L1398)*$R1398))</f>
        <v/>
      </c>
      <c r="AE1398" s="152"/>
      <c r="AF1398" s="164" t="str">
        <f>IF(AND($C1397=12,$D1397=Input!$C$6),0,IF($E1398="","",IF($B1398&gt;Input!$C$9,$AC1398,0)+AF1399/(1+$L1398)*$R1398))</f>
        <v/>
      </c>
      <c r="AG1398" s="164" t="str">
        <f>IF(AND($C1397=12,$D1397=Input!$C$6),0,IF($E1398="","",(IF($B1398&gt;Input!$C$9,$X1398,0)+AG1399)/(1+$L1398)*$R1398))</f>
        <v/>
      </c>
      <c r="AH1398" s="160" t="str">
        <f t="shared" si="440"/>
        <v/>
      </c>
      <c r="AI1398" s="160" t="str">
        <f>IF($E1398="","",MIN(Input!$C$61/AH1398,1))</f>
        <v/>
      </c>
      <c r="AJ1398" s="152"/>
      <c r="AK1398" s="164" t="str">
        <f>IF(AND($C1397=12,$D1397=Input!$C$6),0,IF($E1398="","",IF($B1398&gt;Input!$C$9,$AC1398*AI1398,0)+AK1399/(1+$L1398)*$R1398))</f>
        <v/>
      </c>
      <c r="AL1398" s="164" t="str">
        <f>IF(AND($C1397=12,$D1397=Input!$C$6),0,IF($E1398="","",IF($B1398&gt;Input!$C$9,0,$AC1398)+AL1399/(1+$L1398)*$R1398))</f>
        <v/>
      </c>
      <c r="AM1398" s="160" t="str">
        <f t="shared" si="441"/>
        <v/>
      </c>
      <c r="AN1398" s="164" t="str">
        <f>IF($E1398="","",IF($B1398&gt;Input!$C$9,$AI1398*$AC1398,$AM1398*$AC1398))</f>
        <v/>
      </c>
      <c r="AO1398" s="164" t="str">
        <f>IF(AND($C1397=12,$D1397=Input!$C$6),0,IF($E1398="","",$AN1398+AO1399/(1+$L1398)*$R1398))</f>
        <v/>
      </c>
      <c r="AP1398" s="152"/>
      <c r="AQ1398" s="150" t="str">
        <f t="shared" si="442"/>
        <v/>
      </c>
      <c r="AR1398" s="150" t="str">
        <f t="shared" si="449"/>
        <v/>
      </c>
      <c r="AS1398" s="150" t="str">
        <f t="shared" si="450"/>
        <v/>
      </c>
      <c r="AT1398" s="150" t="str">
        <f t="shared" si="443"/>
        <v/>
      </c>
      <c r="AU1398" s="152"/>
      <c r="AV1398" s="147" t="str">
        <f>'Deterministic Reserve'!BC1398</f>
        <v/>
      </c>
      <c r="AY1398" s="152"/>
    </row>
    <row r="1399" spans="1:51" s="150" customFormat="1" x14ac:dyDescent="0.25">
      <c r="A1399" s="150" t="str">
        <f t="shared" si="451"/>
        <v/>
      </c>
      <c r="B1399" s="150" t="str">
        <f t="shared" si="452"/>
        <v/>
      </c>
      <c r="C1399" s="150" t="str">
        <f t="shared" si="453"/>
        <v/>
      </c>
      <c r="D1399" s="150" t="str">
        <f>IF(E1399="","",Input!$C$4+B1399-1)</f>
        <v/>
      </c>
      <c r="E1399" s="150" t="str">
        <f>IF(OR(AND(C1398=12,D1398=Input!$C$6),E1398=""),"",1)</f>
        <v/>
      </c>
      <c r="G1399" s="151" t="str">
        <f>IF(E1399="","",MAX(0,Input!$C$9-B1399))</f>
        <v/>
      </c>
      <c r="H1399" s="152" t="str">
        <f>IF(E1399="","",Input!$C$3)</f>
        <v/>
      </c>
      <c r="I1399" s="153" t="str">
        <f>IF(E1399="","",HLOOKUP($B1399,Input!$C$13:$BT$14,2))</f>
        <v/>
      </c>
      <c r="J1399" s="154"/>
      <c r="K1399" s="150" t="str">
        <f>IF($E1399="","",Input!$C$57)</f>
        <v/>
      </c>
      <c r="L1399" s="150" t="str">
        <f t="shared" si="444"/>
        <v/>
      </c>
      <c r="M1399" s="147" t="str">
        <f>IF($E1399="","",VLOOKUP(IF($B1399&lt;=Input!$C$7,$B1399,26),'Mortality Tables'!$A$72:$CA$97,IF($B1399&lt;=Input!$C$7+1,Input!$C$4-16,$D1399-Input!$C$7-16),0)/1000)</f>
        <v/>
      </c>
      <c r="N1399" s="147" t="str">
        <f t="shared" si="435"/>
        <v/>
      </c>
      <c r="O1399" s="157" t="str">
        <f>IF($E1399="","",IF($C1399=12,IF($B1399&lt;Input!$C$9,Input!$C$54,IF($B1399=Input!$C$9,Input!$C$55,Input!$C$56)),0%))</f>
        <v/>
      </c>
      <c r="P1399" s="167" t="str">
        <f>IF($E1399="","",IF($B1399=1,Input!$C$59,IF($B1399&lt;6,Input!$C$60,0%)))</f>
        <v/>
      </c>
      <c r="Q1399" s="162" t="str">
        <f>IF($E1399="","",Input!$C$58)</f>
        <v/>
      </c>
      <c r="R1399" s="156" t="str">
        <f t="shared" si="445"/>
        <v/>
      </c>
      <c r="S1399" s="154" t="str">
        <f t="shared" si="436"/>
        <v/>
      </c>
      <c r="T1399" s="152"/>
      <c r="U1399" s="150" t="str">
        <f t="shared" si="446"/>
        <v/>
      </c>
      <c r="V1399" s="150" t="str">
        <f t="shared" si="447"/>
        <v/>
      </c>
      <c r="W1399" s="168" t="str">
        <f t="shared" si="448"/>
        <v/>
      </c>
      <c r="X1399" s="163" t="str">
        <f t="shared" si="437"/>
        <v/>
      </c>
      <c r="Y1399" s="152"/>
      <c r="Z1399" s="164" t="str">
        <f>IF(AND($C1398=12,$D1398=Input!$C$6),0,IF($E1399="","",V1399+Z1400/(1+L1399)*R1399))</f>
        <v/>
      </c>
      <c r="AA1399" s="164" t="str">
        <f>IF(OR($M1399=1,AND($C1398=12,$D1398=Input!$C$6)),0,IF($E1399="","",W1399+(X1399+AA1400*$R1399)/(1+$L1399)))</f>
        <v/>
      </c>
      <c r="AB1399" s="160" t="str">
        <f t="shared" si="438"/>
        <v/>
      </c>
      <c r="AC1399" s="164" t="str">
        <f t="shared" si="439"/>
        <v/>
      </c>
      <c r="AD1399" s="164" t="str">
        <f>IF(AND($C1398=12,$D1398=Input!$C$6),0,IF($E1399="","",$AC1399+AD1400/(1+$L1399)*$R1399))</f>
        <v/>
      </c>
      <c r="AE1399" s="152"/>
      <c r="AF1399" s="164" t="str">
        <f>IF(AND($C1398=12,$D1398=Input!$C$6),0,IF($E1399="","",IF($B1399&gt;Input!$C$9,$AC1399,0)+AF1400/(1+$L1399)*$R1399))</f>
        <v/>
      </c>
      <c r="AG1399" s="164" t="str">
        <f>IF(AND($C1398=12,$D1398=Input!$C$6),0,IF($E1399="","",(IF($B1399&gt;Input!$C$9,$X1399,0)+AG1400)/(1+$L1399)*$R1399))</f>
        <v/>
      </c>
      <c r="AH1399" s="160" t="str">
        <f t="shared" si="440"/>
        <v/>
      </c>
      <c r="AI1399" s="160" t="str">
        <f>IF($E1399="","",MIN(Input!$C$61/AH1399,1))</f>
        <v/>
      </c>
      <c r="AJ1399" s="152"/>
      <c r="AK1399" s="164" t="str">
        <f>IF(AND($C1398=12,$D1398=Input!$C$6),0,IF($E1399="","",IF($B1399&gt;Input!$C$9,$AC1399*AI1399,0)+AK1400/(1+$L1399)*$R1399))</f>
        <v/>
      </c>
      <c r="AL1399" s="164" t="str">
        <f>IF(AND($C1398=12,$D1398=Input!$C$6),0,IF($E1399="","",IF($B1399&gt;Input!$C$9,0,$AC1399)+AL1400/(1+$L1399)*$R1399))</f>
        <v/>
      </c>
      <c r="AM1399" s="160" t="str">
        <f t="shared" si="441"/>
        <v/>
      </c>
      <c r="AN1399" s="164" t="str">
        <f>IF($E1399="","",IF($B1399&gt;Input!$C$9,$AI1399*$AC1399,$AM1399*$AC1399))</f>
        <v/>
      </c>
      <c r="AO1399" s="164" t="str">
        <f>IF(AND($C1398=12,$D1398=Input!$C$6),0,IF($E1399="","",$AN1399+AO1400/(1+$L1399)*$R1399))</f>
        <v/>
      </c>
      <c r="AP1399" s="152"/>
      <c r="AQ1399" s="150" t="str">
        <f t="shared" si="442"/>
        <v/>
      </c>
      <c r="AR1399" s="150" t="str">
        <f t="shared" si="449"/>
        <v/>
      </c>
      <c r="AS1399" s="150" t="str">
        <f t="shared" si="450"/>
        <v/>
      </c>
      <c r="AT1399" s="150" t="str">
        <f t="shared" si="443"/>
        <v/>
      </c>
      <c r="AU1399" s="152"/>
      <c r="AV1399" s="147" t="str">
        <f>'Deterministic Reserve'!BC1399</f>
        <v/>
      </c>
      <c r="AY1399" s="152"/>
    </row>
    <row r="1400" spans="1:51" s="150" customFormat="1" x14ac:dyDescent="0.25">
      <c r="A1400" s="150" t="str">
        <f t="shared" si="451"/>
        <v/>
      </c>
      <c r="B1400" s="150" t="str">
        <f t="shared" si="452"/>
        <v/>
      </c>
      <c r="C1400" s="150" t="str">
        <f t="shared" si="453"/>
        <v/>
      </c>
      <c r="D1400" s="150" t="str">
        <f>IF(E1400="","",Input!$C$4+B1400-1)</f>
        <v/>
      </c>
      <c r="E1400" s="150" t="str">
        <f>IF(OR(AND(C1399=12,D1399=Input!$C$6),E1399=""),"",1)</f>
        <v/>
      </c>
      <c r="G1400" s="151" t="str">
        <f>IF(E1400="","",MAX(0,Input!$C$9-B1400))</f>
        <v/>
      </c>
      <c r="H1400" s="152" t="str">
        <f>IF(E1400="","",Input!$C$3)</f>
        <v/>
      </c>
      <c r="I1400" s="153" t="str">
        <f>IF(E1400="","",HLOOKUP($B1400,Input!$C$13:$BT$14,2))</f>
        <v/>
      </c>
      <c r="J1400" s="154"/>
      <c r="K1400" s="150" t="str">
        <f>IF($E1400="","",Input!$C$57)</f>
        <v/>
      </c>
      <c r="L1400" s="150" t="str">
        <f t="shared" si="444"/>
        <v/>
      </c>
      <c r="M1400" s="147" t="str">
        <f>IF($E1400="","",VLOOKUP(IF($B1400&lt;=Input!$C$7,$B1400,26),'Mortality Tables'!$A$72:$CA$97,IF($B1400&lt;=Input!$C$7+1,Input!$C$4-16,$D1400-Input!$C$7-16),0)/1000)</f>
        <v/>
      </c>
      <c r="N1400" s="147" t="str">
        <f t="shared" si="435"/>
        <v/>
      </c>
      <c r="O1400" s="157" t="str">
        <f>IF($E1400="","",IF($C1400=12,IF($B1400&lt;Input!$C$9,Input!$C$54,IF($B1400=Input!$C$9,Input!$C$55,Input!$C$56)),0%))</f>
        <v/>
      </c>
      <c r="P1400" s="167" t="str">
        <f>IF($E1400="","",IF($B1400=1,Input!$C$59,IF($B1400&lt;6,Input!$C$60,0%)))</f>
        <v/>
      </c>
      <c r="Q1400" s="162" t="str">
        <f>IF($E1400="","",Input!$C$58)</f>
        <v/>
      </c>
      <c r="R1400" s="156" t="str">
        <f t="shared" si="445"/>
        <v/>
      </c>
      <c r="S1400" s="154" t="str">
        <f t="shared" si="436"/>
        <v/>
      </c>
      <c r="T1400" s="152"/>
      <c r="U1400" s="150" t="str">
        <f t="shared" si="446"/>
        <v/>
      </c>
      <c r="V1400" s="150" t="str">
        <f t="shared" si="447"/>
        <v/>
      </c>
      <c r="W1400" s="168" t="str">
        <f t="shared" si="448"/>
        <v/>
      </c>
      <c r="X1400" s="163" t="str">
        <f t="shared" si="437"/>
        <v/>
      </c>
      <c r="Y1400" s="152"/>
      <c r="Z1400" s="164" t="str">
        <f>IF(AND($C1399=12,$D1399=Input!$C$6),0,IF($E1400="","",V1400+Z1401/(1+L1400)*R1400))</f>
        <v/>
      </c>
      <c r="AA1400" s="164" t="str">
        <f>IF(OR($M1400=1,AND($C1399=12,$D1399=Input!$C$6)),0,IF($E1400="","",W1400+(X1400+AA1401*$R1400)/(1+$L1400)))</f>
        <v/>
      </c>
      <c r="AB1400" s="160" t="str">
        <f t="shared" si="438"/>
        <v/>
      </c>
      <c r="AC1400" s="164" t="str">
        <f t="shared" si="439"/>
        <v/>
      </c>
      <c r="AD1400" s="164" t="str">
        <f>IF(AND($C1399=12,$D1399=Input!$C$6),0,IF($E1400="","",$AC1400+AD1401/(1+$L1400)*$R1400))</f>
        <v/>
      </c>
      <c r="AE1400" s="152"/>
      <c r="AF1400" s="164" t="str">
        <f>IF(AND($C1399=12,$D1399=Input!$C$6),0,IF($E1400="","",IF($B1400&gt;Input!$C$9,$AC1400,0)+AF1401/(1+$L1400)*$R1400))</f>
        <v/>
      </c>
      <c r="AG1400" s="164" t="str">
        <f>IF(AND($C1399=12,$D1399=Input!$C$6),0,IF($E1400="","",(IF($B1400&gt;Input!$C$9,$X1400,0)+AG1401)/(1+$L1400)*$R1400))</f>
        <v/>
      </c>
      <c r="AH1400" s="160" t="str">
        <f t="shared" si="440"/>
        <v/>
      </c>
      <c r="AI1400" s="160" t="str">
        <f>IF($E1400="","",MIN(Input!$C$61/AH1400,1))</f>
        <v/>
      </c>
      <c r="AJ1400" s="152"/>
      <c r="AK1400" s="164" t="str">
        <f>IF(AND($C1399=12,$D1399=Input!$C$6),0,IF($E1400="","",IF($B1400&gt;Input!$C$9,$AC1400*AI1400,0)+AK1401/(1+$L1400)*$R1400))</f>
        <v/>
      </c>
      <c r="AL1400" s="164" t="str">
        <f>IF(AND($C1399=12,$D1399=Input!$C$6),0,IF($E1400="","",IF($B1400&gt;Input!$C$9,0,$AC1400)+AL1401/(1+$L1400)*$R1400))</f>
        <v/>
      </c>
      <c r="AM1400" s="160" t="str">
        <f t="shared" si="441"/>
        <v/>
      </c>
      <c r="AN1400" s="164" t="str">
        <f>IF($E1400="","",IF($B1400&gt;Input!$C$9,$AI1400*$AC1400,$AM1400*$AC1400))</f>
        <v/>
      </c>
      <c r="AO1400" s="164" t="str">
        <f>IF(AND($C1399=12,$D1399=Input!$C$6),0,IF($E1400="","",$AN1400+AO1401/(1+$L1400)*$R1400))</f>
        <v/>
      </c>
      <c r="AP1400" s="152"/>
      <c r="AQ1400" s="150" t="str">
        <f t="shared" si="442"/>
        <v/>
      </c>
      <c r="AR1400" s="150" t="str">
        <f t="shared" si="449"/>
        <v/>
      </c>
      <c r="AS1400" s="150" t="str">
        <f t="shared" si="450"/>
        <v/>
      </c>
      <c r="AT1400" s="150" t="str">
        <f t="shared" si="443"/>
        <v/>
      </c>
      <c r="AU1400" s="152"/>
      <c r="AV1400" s="147" t="str">
        <f>'Deterministic Reserve'!BC1400</f>
        <v/>
      </c>
      <c r="AY1400" s="152"/>
    </row>
    <row r="1401" spans="1:51" s="150" customFormat="1" x14ac:dyDescent="0.25">
      <c r="A1401" s="150" t="str">
        <f t="shared" si="451"/>
        <v/>
      </c>
      <c r="B1401" s="150" t="str">
        <f t="shared" si="452"/>
        <v/>
      </c>
      <c r="C1401" s="150" t="str">
        <f t="shared" si="453"/>
        <v/>
      </c>
      <c r="D1401" s="150" t="str">
        <f>IF(E1401="","",Input!$C$4+B1401-1)</f>
        <v/>
      </c>
      <c r="E1401" s="150" t="str">
        <f>IF(OR(AND(C1400=12,D1400=Input!$C$6),E1400=""),"",1)</f>
        <v/>
      </c>
      <c r="G1401" s="151" t="str">
        <f>IF(E1401="","",MAX(0,Input!$C$9-B1401))</f>
        <v/>
      </c>
      <c r="H1401" s="152" t="str">
        <f>IF(E1401="","",Input!$C$3)</f>
        <v/>
      </c>
      <c r="I1401" s="153" t="str">
        <f>IF(E1401="","",HLOOKUP($B1401,Input!$C$13:$BT$14,2))</f>
        <v/>
      </c>
      <c r="J1401" s="154"/>
      <c r="K1401" s="150" t="str">
        <f>IF($E1401="","",Input!$C$57)</f>
        <v/>
      </c>
      <c r="L1401" s="150" t="str">
        <f t="shared" si="444"/>
        <v/>
      </c>
      <c r="M1401" s="147" t="str">
        <f>IF($E1401="","",VLOOKUP(IF($B1401&lt;=Input!$C$7,$B1401,26),'Mortality Tables'!$A$72:$CA$97,IF($B1401&lt;=Input!$C$7+1,Input!$C$4-16,$D1401-Input!$C$7-16),0)/1000)</f>
        <v/>
      </c>
      <c r="N1401" s="147" t="str">
        <f t="shared" si="435"/>
        <v/>
      </c>
      <c r="O1401" s="157" t="str">
        <f>IF($E1401="","",IF($C1401=12,IF($B1401&lt;Input!$C$9,Input!$C$54,IF($B1401=Input!$C$9,Input!$C$55,Input!$C$56)),0%))</f>
        <v/>
      </c>
      <c r="P1401" s="167" t="str">
        <f>IF($E1401="","",IF($B1401=1,Input!$C$59,IF($B1401&lt;6,Input!$C$60,0%)))</f>
        <v/>
      </c>
      <c r="Q1401" s="162" t="str">
        <f>IF($E1401="","",Input!$C$58)</f>
        <v/>
      </c>
      <c r="R1401" s="156" t="str">
        <f t="shared" si="445"/>
        <v/>
      </c>
      <c r="S1401" s="154" t="str">
        <f t="shared" si="436"/>
        <v/>
      </c>
      <c r="T1401" s="152"/>
      <c r="U1401" s="150" t="str">
        <f t="shared" si="446"/>
        <v/>
      </c>
      <c r="V1401" s="150" t="str">
        <f t="shared" si="447"/>
        <v/>
      </c>
      <c r="W1401" s="168" t="str">
        <f t="shared" si="448"/>
        <v/>
      </c>
      <c r="X1401" s="163" t="str">
        <f t="shared" si="437"/>
        <v/>
      </c>
      <c r="Y1401" s="152"/>
      <c r="Z1401" s="164" t="str">
        <f>IF(AND($C1400=12,$D1400=Input!$C$6),0,IF($E1401="","",V1401+Z1402/(1+L1401)*R1401))</f>
        <v/>
      </c>
      <c r="AA1401" s="164" t="str">
        <f>IF(OR($M1401=1,AND($C1400=12,$D1400=Input!$C$6)),0,IF($E1401="","",W1401+(X1401+AA1402*$R1401)/(1+$L1401)))</f>
        <v/>
      </c>
      <c r="AB1401" s="160" t="str">
        <f t="shared" si="438"/>
        <v/>
      </c>
      <c r="AC1401" s="164" t="str">
        <f t="shared" si="439"/>
        <v/>
      </c>
      <c r="AD1401" s="164" t="str">
        <f>IF(AND($C1400=12,$D1400=Input!$C$6),0,IF($E1401="","",$AC1401+AD1402/(1+$L1401)*$R1401))</f>
        <v/>
      </c>
      <c r="AE1401" s="152"/>
      <c r="AF1401" s="164" t="str">
        <f>IF(AND($C1400=12,$D1400=Input!$C$6),0,IF($E1401="","",IF($B1401&gt;Input!$C$9,$AC1401,0)+AF1402/(1+$L1401)*$R1401))</f>
        <v/>
      </c>
      <c r="AG1401" s="164" t="str">
        <f>IF(AND($C1400=12,$D1400=Input!$C$6),0,IF($E1401="","",(IF($B1401&gt;Input!$C$9,$X1401,0)+AG1402)/(1+$L1401)*$R1401))</f>
        <v/>
      </c>
      <c r="AH1401" s="160" t="str">
        <f t="shared" si="440"/>
        <v/>
      </c>
      <c r="AI1401" s="160" t="str">
        <f>IF($E1401="","",MIN(Input!$C$61/AH1401,1))</f>
        <v/>
      </c>
      <c r="AJ1401" s="152"/>
      <c r="AK1401" s="164" t="str">
        <f>IF(AND($C1400=12,$D1400=Input!$C$6),0,IF($E1401="","",IF($B1401&gt;Input!$C$9,$AC1401*AI1401,0)+AK1402/(1+$L1401)*$R1401))</f>
        <v/>
      </c>
      <c r="AL1401" s="164" t="str">
        <f>IF(AND($C1400=12,$D1400=Input!$C$6),0,IF($E1401="","",IF($B1401&gt;Input!$C$9,0,$AC1401)+AL1402/(1+$L1401)*$R1401))</f>
        <v/>
      </c>
      <c r="AM1401" s="160" t="str">
        <f t="shared" si="441"/>
        <v/>
      </c>
      <c r="AN1401" s="164" t="str">
        <f>IF($E1401="","",IF($B1401&gt;Input!$C$9,$AI1401*$AC1401,$AM1401*$AC1401))</f>
        <v/>
      </c>
      <c r="AO1401" s="164" t="str">
        <f>IF(AND($C1400=12,$D1400=Input!$C$6),0,IF($E1401="","",$AN1401+AO1402/(1+$L1401)*$R1401))</f>
        <v/>
      </c>
      <c r="AP1401" s="152"/>
      <c r="AQ1401" s="150" t="str">
        <f t="shared" si="442"/>
        <v/>
      </c>
      <c r="AR1401" s="150" t="str">
        <f t="shared" si="449"/>
        <v/>
      </c>
      <c r="AS1401" s="150" t="str">
        <f t="shared" si="450"/>
        <v/>
      </c>
      <c r="AT1401" s="150" t="str">
        <f t="shared" si="443"/>
        <v/>
      </c>
      <c r="AU1401" s="152"/>
      <c r="AV1401" s="147" t="str">
        <f>'Deterministic Reserve'!BC1401</f>
        <v/>
      </c>
      <c r="AY1401" s="152"/>
    </row>
    <row r="1402" spans="1:51" s="150" customFormat="1" x14ac:dyDescent="0.25">
      <c r="A1402" s="150" t="str">
        <f t="shared" si="451"/>
        <v/>
      </c>
      <c r="B1402" s="150" t="str">
        <f t="shared" si="452"/>
        <v/>
      </c>
      <c r="C1402" s="150" t="str">
        <f t="shared" si="453"/>
        <v/>
      </c>
      <c r="D1402" s="150" t="str">
        <f>IF(E1402="","",Input!$C$4+B1402-1)</f>
        <v/>
      </c>
      <c r="E1402" s="150" t="str">
        <f>IF(OR(AND(C1401=12,D1401=Input!$C$6),E1401=""),"",1)</f>
        <v/>
      </c>
      <c r="G1402" s="151" t="str">
        <f>IF(E1402="","",MAX(0,Input!$C$9-B1402))</f>
        <v/>
      </c>
      <c r="H1402" s="152" t="str">
        <f>IF(E1402="","",Input!$C$3)</f>
        <v/>
      </c>
      <c r="I1402" s="153" t="str">
        <f>IF(E1402="","",HLOOKUP($B1402,Input!$C$13:$BT$14,2))</f>
        <v/>
      </c>
      <c r="J1402" s="154"/>
      <c r="K1402" s="150" t="str">
        <f>IF($E1402="","",Input!$C$57)</f>
        <v/>
      </c>
      <c r="L1402" s="150" t="str">
        <f t="shared" si="444"/>
        <v/>
      </c>
      <c r="M1402" s="147" t="str">
        <f>IF($E1402="","",VLOOKUP(IF($B1402&lt;=Input!$C$7,$B1402,26),'Mortality Tables'!$A$72:$CA$97,IF($B1402&lt;=Input!$C$7+1,Input!$C$4-16,$D1402-Input!$C$7-16),0)/1000)</f>
        <v/>
      </c>
      <c r="N1402" s="147" t="str">
        <f t="shared" si="435"/>
        <v/>
      </c>
      <c r="O1402" s="157" t="str">
        <f>IF($E1402="","",IF($C1402=12,IF($B1402&lt;Input!$C$9,Input!$C$54,IF($B1402=Input!$C$9,Input!$C$55,Input!$C$56)),0%))</f>
        <v/>
      </c>
      <c r="P1402" s="167" t="str">
        <f>IF($E1402="","",IF($B1402=1,Input!$C$59,IF($B1402&lt;6,Input!$C$60,0%)))</f>
        <v/>
      </c>
      <c r="Q1402" s="162" t="str">
        <f>IF($E1402="","",Input!$C$58)</f>
        <v/>
      </c>
      <c r="R1402" s="156" t="str">
        <f t="shared" si="445"/>
        <v/>
      </c>
      <c r="S1402" s="154" t="str">
        <f t="shared" si="436"/>
        <v/>
      </c>
      <c r="T1402" s="152"/>
      <c r="U1402" s="150" t="str">
        <f t="shared" si="446"/>
        <v/>
      </c>
      <c r="V1402" s="150" t="str">
        <f t="shared" si="447"/>
        <v/>
      </c>
      <c r="W1402" s="168" t="str">
        <f t="shared" si="448"/>
        <v/>
      </c>
      <c r="X1402" s="163" t="str">
        <f t="shared" si="437"/>
        <v/>
      </c>
      <c r="Y1402" s="152"/>
      <c r="Z1402" s="164" t="str">
        <f>IF(AND($C1401=12,$D1401=Input!$C$6),0,IF($E1402="","",V1402+Z1403/(1+L1402)*R1402))</f>
        <v/>
      </c>
      <c r="AA1402" s="164" t="str">
        <f>IF(OR($M1402=1,AND($C1401=12,$D1401=Input!$C$6)),0,IF($E1402="","",W1402+(X1402+AA1403*$R1402)/(1+$L1402)))</f>
        <v/>
      </c>
      <c r="AB1402" s="160" t="str">
        <f t="shared" si="438"/>
        <v/>
      </c>
      <c r="AC1402" s="164" t="str">
        <f t="shared" si="439"/>
        <v/>
      </c>
      <c r="AD1402" s="164" t="str">
        <f>IF(AND($C1401=12,$D1401=Input!$C$6),0,IF($E1402="","",$AC1402+AD1403/(1+$L1402)*$R1402))</f>
        <v/>
      </c>
      <c r="AE1402" s="152"/>
      <c r="AF1402" s="164" t="str">
        <f>IF(AND($C1401=12,$D1401=Input!$C$6),0,IF($E1402="","",IF($B1402&gt;Input!$C$9,$AC1402,0)+AF1403/(1+$L1402)*$R1402))</f>
        <v/>
      </c>
      <c r="AG1402" s="164" t="str">
        <f>IF(AND($C1401=12,$D1401=Input!$C$6),0,IF($E1402="","",(IF($B1402&gt;Input!$C$9,$X1402,0)+AG1403)/(1+$L1402)*$R1402))</f>
        <v/>
      </c>
      <c r="AH1402" s="160" t="str">
        <f t="shared" si="440"/>
        <v/>
      </c>
      <c r="AI1402" s="160" t="str">
        <f>IF($E1402="","",MIN(Input!$C$61/AH1402,1))</f>
        <v/>
      </c>
      <c r="AJ1402" s="152"/>
      <c r="AK1402" s="164" t="str">
        <f>IF(AND($C1401=12,$D1401=Input!$C$6),0,IF($E1402="","",IF($B1402&gt;Input!$C$9,$AC1402*AI1402,0)+AK1403/(1+$L1402)*$R1402))</f>
        <v/>
      </c>
      <c r="AL1402" s="164" t="str">
        <f>IF(AND($C1401=12,$D1401=Input!$C$6),0,IF($E1402="","",IF($B1402&gt;Input!$C$9,0,$AC1402)+AL1403/(1+$L1402)*$R1402))</f>
        <v/>
      </c>
      <c r="AM1402" s="160" t="str">
        <f t="shared" si="441"/>
        <v/>
      </c>
      <c r="AN1402" s="164" t="str">
        <f>IF($E1402="","",IF($B1402&gt;Input!$C$9,$AI1402*$AC1402,$AM1402*$AC1402))</f>
        <v/>
      </c>
      <c r="AO1402" s="164" t="str">
        <f>IF(AND($C1401=12,$D1401=Input!$C$6),0,IF($E1402="","",$AN1402+AO1403/(1+$L1402)*$R1402))</f>
        <v/>
      </c>
      <c r="AP1402" s="152"/>
      <c r="AQ1402" s="150" t="str">
        <f t="shared" si="442"/>
        <v/>
      </c>
      <c r="AR1402" s="150" t="str">
        <f t="shared" si="449"/>
        <v/>
      </c>
      <c r="AS1402" s="150" t="str">
        <f t="shared" si="450"/>
        <v/>
      </c>
      <c r="AT1402" s="150" t="str">
        <f t="shared" si="443"/>
        <v/>
      </c>
      <c r="AU1402" s="152"/>
      <c r="AV1402" s="147" t="str">
        <f>'Deterministic Reserve'!BC1402</f>
        <v/>
      </c>
      <c r="AY1402" s="152"/>
    </row>
    <row r="1403" spans="1:51" s="150" customFormat="1" x14ac:dyDescent="0.25">
      <c r="A1403" s="150" t="str">
        <f t="shared" si="451"/>
        <v/>
      </c>
      <c r="B1403" s="150" t="str">
        <f t="shared" si="452"/>
        <v/>
      </c>
      <c r="C1403" s="150" t="str">
        <f t="shared" si="453"/>
        <v/>
      </c>
      <c r="D1403" s="150" t="str">
        <f>IF(E1403="","",Input!$C$4+B1403-1)</f>
        <v/>
      </c>
      <c r="E1403" s="150" t="str">
        <f>IF(OR(AND(C1402=12,D1402=Input!$C$6),E1402=""),"",1)</f>
        <v/>
      </c>
      <c r="G1403" s="151" t="str">
        <f>IF(E1403="","",MAX(0,Input!$C$9-B1403))</f>
        <v/>
      </c>
      <c r="H1403" s="152" t="str">
        <f>IF(E1403="","",Input!$C$3)</f>
        <v/>
      </c>
      <c r="I1403" s="153" t="str">
        <f>IF(E1403="","",HLOOKUP($B1403,Input!$C$13:$BT$14,2))</f>
        <v/>
      </c>
      <c r="J1403" s="154"/>
      <c r="K1403" s="150" t="str">
        <f>IF($E1403="","",Input!$C$57)</f>
        <v/>
      </c>
      <c r="L1403" s="150" t="str">
        <f t="shared" si="444"/>
        <v/>
      </c>
      <c r="M1403" s="147" t="str">
        <f>IF($E1403="","",VLOOKUP(IF($B1403&lt;=Input!$C$7,$B1403,26),'Mortality Tables'!$A$72:$CA$97,IF($B1403&lt;=Input!$C$7+1,Input!$C$4-16,$D1403-Input!$C$7-16),0)/1000)</f>
        <v/>
      </c>
      <c r="N1403" s="147" t="str">
        <f t="shared" si="435"/>
        <v/>
      </c>
      <c r="O1403" s="157" t="str">
        <f>IF($E1403="","",IF($C1403=12,IF($B1403&lt;Input!$C$9,Input!$C$54,IF($B1403=Input!$C$9,Input!$C$55,Input!$C$56)),0%))</f>
        <v/>
      </c>
      <c r="P1403" s="167" t="str">
        <f>IF($E1403="","",IF($B1403=1,Input!$C$59,IF($B1403&lt;6,Input!$C$60,0%)))</f>
        <v/>
      </c>
      <c r="Q1403" s="162" t="str">
        <f>IF($E1403="","",Input!$C$58)</f>
        <v/>
      </c>
      <c r="R1403" s="156" t="str">
        <f t="shared" si="445"/>
        <v/>
      </c>
      <c r="S1403" s="154" t="str">
        <f t="shared" si="436"/>
        <v/>
      </c>
      <c r="T1403" s="152"/>
      <c r="U1403" s="150" t="str">
        <f t="shared" si="446"/>
        <v/>
      </c>
      <c r="V1403" s="150" t="str">
        <f t="shared" si="447"/>
        <v/>
      </c>
      <c r="W1403" s="168" t="str">
        <f t="shared" si="448"/>
        <v/>
      </c>
      <c r="X1403" s="163" t="str">
        <f t="shared" si="437"/>
        <v/>
      </c>
      <c r="Y1403" s="152"/>
      <c r="Z1403" s="164" t="str">
        <f>IF(AND($C1402=12,$D1402=Input!$C$6),0,IF($E1403="","",V1403+Z1404/(1+L1403)*R1403))</f>
        <v/>
      </c>
      <c r="AA1403" s="164" t="str">
        <f>IF(OR($M1403=1,AND($C1402=12,$D1402=Input!$C$6)),0,IF($E1403="","",W1403+(X1403+AA1404*$R1403)/(1+$L1403)))</f>
        <v/>
      </c>
      <c r="AB1403" s="160" t="str">
        <f t="shared" si="438"/>
        <v/>
      </c>
      <c r="AC1403" s="164" t="str">
        <f t="shared" si="439"/>
        <v/>
      </c>
      <c r="AD1403" s="164" t="str">
        <f>IF(AND($C1402=12,$D1402=Input!$C$6),0,IF($E1403="","",$AC1403+AD1404/(1+$L1403)*$R1403))</f>
        <v/>
      </c>
      <c r="AE1403" s="152"/>
      <c r="AF1403" s="164" t="str">
        <f>IF(AND($C1402=12,$D1402=Input!$C$6),0,IF($E1403="","",IF($B1403&gt;Input!$C$9,$AC1403,0)+AF1404/(1+$L1403)*$R1403))</f>
        <v/>
      </c>
      <c r="AG1403" s="164" t="str">
        <f>IF(AND($C1402=12,$D1402=Input!$C$6),0,IF($E1403="","",(IF($B1403&gt;Input!$C$9,$X1403,0)+AG1404)/(1+$L1403)*$R1403))</f>
        <v/>
      </c>
      <c r="AH1403" s="160" t="str">
        <f t="shared" si="440"/>
        <v/>
      </c>
      <c r="AI1403" s="160" t="str">
        <f>IF($E1403="","",MIN(Input!$C$61/AH1403,1))</f>
        <v/>
      </c>
      <c r="AJ1403" s="152"/>
      <c r="AK1403" s="164" t="str">
        <f>IF(AND($C1402=12,$D1402=Input!$C$6),0,IF($E1403="","",IF($B1403&gt;Input!$C$9,$AC1403*AI1403,0)+AK1404/(1+$L1403)*$R1403))</f>
        <v/>
      </c>
      <c r="AL1403" s="164" t="str">
        <f>IF(AND($C1402=12,$D1402=Input!$C$6),0,IF($E1403="","",IF($B1403&gt;Input!$C$9,0,$AC1403)+AL1404/(1+$L1403)*$R1403))</f>
        <v/>
      </c>
      <c r="AM1403" s="160" t="str">
        <f t="shared" si="441"/>
        <v/>
      </c>
      <c r="AN1403" s="164" t="str">
        <f>IF($E1403="","",IF($B1403&gt;Input!$C$9,$AI1403*$AC1403,$AM1403*$AC1403))</f>
        <v/>
      </c>
      <c r="AO1403" s="164" t="str">
        <f>IF(AND($C1402=12,$D1402=Input!$C$6),0,IF($E1403="","",$AN1403+AO1404/(1+$L1403)*$R1403))</f>
        <v/>
      </c>
      <c r="AP1403" s="152"/>
      <c r="AQ1403" s="150" t="str">
        <f t="shared" si="442"/>
        <v/>
      </c>
      <c r="AR1403" s="150" t="str">
        <f t="shared" si="449"/>
        <v/>
      </c>
      <c r="AS1403" s="150" t="str">
        <f t="shared" si="450"/>
        <v/>
      </c>
      <c r="AT1403" s="150" t="str">
        <f t="shared" si="443"/>
        <v/>
      </c>
      <c r="AU1403" s="152"/>
      <c r="AV1403" s="147" t="str">
        <f>'Deterministic Reserve'!BC1403</f>
        <v/>
      </c>
      <c r="AY1403" s="152"/>
    </row>
    <row r="1404" spans="1:51" s="150" customFormat="1" x14ac:dyDescent="0.25">
      <c r="A1404" s="150" t="str">
        <f t="shared" si="451"/>
        <v/>
      </c>
      <c r="B1404" s="150" t="str">
        <f t="shared" si="452"/>
        <v/>
      </c>
      <c r="C1404" s="150" t="str">
        <f t="shared" si="453"/>
        <v/>
      </c>
      <c r="D1404" s="150" t="str">
        <f>IF(E1404="","",Input!$C$4+B1404-1)</f>
        <v/>
      </c>
      <c r="E1404" s="150" t="str">
        <f>IF(OR(AND(C1403=12,D1403=Input!$C$6),E1403=""),"",1)</f>
        <v/>
      </c>
      <c r="G1404" s="151" t="str">
        <f>IF(E1404="","",MAX(0,Input!$C$9-B1404))</f>
        <v/>
      </c>
      <c r="H1404" s="152" t="str">
        <f>IF(E1404="","",Input!$C$3)</f>
        <v/>
      </c>
      <c r="I1404" s="153" t="str">
        <f>IF(E1404="","",HLOOKUP($B1404,Input!$C$13:$BT$14,2))</f>
        <v/>
      </c>
      <c r="J1404" s="154"/>
      <c r="K1404" s="150" t="str">
        <f>IF($E1404="","",Input!$C$57)</f>
        <v/>
      </c>
      <c r="L1404" s="150" t="str">
        <f t="shared" si="444"/>
        <v/>
      </c>
      <c r="M1404" s="147" t="str">
        <f>IF($E1404="","",VLOOKUP(IF($B1404&lt;=Input!$C$7,$B1404,26),'Mortality Tables'!$A$72:$CA$97,IF($B1404&lt;=Input!$C$7+1,Input!$C$4-16,$D1404-Input!$C$7-16),0)/1000)</f>
        <v/>
      </c>
      <c r="N1404" s="147" t="str">
        <f t="shared" si="435"/>
        <v/>
      </c>
      <c r="O1404" s="157" t="str">
        <f>IF($E1404="","",IF($C1404=12,IF($B1404&lt;Input!$C$9,Input!$C$54,IF($B1404=Input!$C$9,Input!$C$55,Input!$C$56)),0%))</f>
        <v/>
      </c>
      <c r="P1404" s="167" t="str">
        <f>IF($E1404="","",IF($B1404=1,Input!$C$59,IF($B1404&lt;6,Input!$C$60,0%)))</f>
        <v/>
      </c>
      <c r="Q1404" s="162" t="str">
        <f>IF($E1404="","",Input!$C$58)</f>
        <v/>
      </c>
      <c r="R1404" s="156" t="str">
        <f t="shared" si="445"/>
        <v/>
      </c>
      <c r="S1404" s="154" t="str">
        <f t="shared" si="436"/>
        <v/>
      </c>
      <c r="T1404" s="152"/>
      <c r="U1404" s="150" t="str">
        <f t="shared" si="446"/>
        <v/>
      </c>
      <c r="V1404" s="150" t="str">
        <f t="shared" si="447"/>
        <v/>
      </c>
      <c r="W1404" s="168" t="str">
        <f t="shared" si="448"/>
        <v/>
      </c>
      <c r="X1404" s="163" t="str">
        <f t="shared" si="437"/>
        <v/>
      </c>
      <c r="Y1404" s="152"/>
      <c r="Z1404" s="164" t="str">
        <f>IF(AND($C1403=12,$D1403=Input!$C$6),0,IF($E1404="","",V1404+Z1405/(1+L1404)*R1404))</f>
        <v/>
      </c>
      <c r="AA1404" s="164" t="str">
        <f>IF(OR($M1404=1,AND($C1403=12,$D1403=Input!$C$6)),0,IF($E1404="","",W1404+(X1404+AA1405*$R1404)/(1+$L1404)))</f>
        <v/>
      </c>
      <c r="AB1404" s="160" t="str">
        <f t="shared" si="438"/>
        <v/>
      </c>
      <c r="AC1404" s="164" t="str">
        <f t="shared" si="439"/>
        <v/>
      </c>
      <c r="AD1404" s="164" t="str">
        <f>IF(AND($C1403=12,$D1403=Input!$C$6),0,IF($E1404="","",$AC1404+AD1405/(1+$L1404)*$R1404))</f>
        <v/>
      </c>
      <c r="AE1404" s="152"/>
      <c r="AF1404" s="164" t="str">
        <f>IF(AND($C1403=12,$D1403=Input!$C$6),0,IF($E1404="","",IF($B1404&gt;Input!$C$9,$AC1404,0)+AF1405/(1+$L1404)*$R1404))</f>
        <v/>
      </c>
      <c r="AG1404" s="164" t="str">
        <f>IF(AND($C1403=12,$D1403=Input!$C$6),0,IF($E1404="","",(IF($B1404&gt;Input!$C$9,$X1404,0)+AG1405)/(1+$L1404)*$R1404))</f>
        <v/>
      </c>
      <c r="AH1404" s="160" t="str">
        <f t="shared" si="440"/>
        <v/>
      </c>
      <c r="AI1404" s="160" t="str">
        <f>IF($E1404="","",MIN(Input!$C$61/AH1404,1))</f>
        <v/>
      </c>
      <c r="AJ1404" s="152"/>
      <c r="AK1404" s="164" t="str">
        <f>IF(AND($C1403=12,$D1403=Input!$C$6),0,IF($E1404="","",IF($B1404&gt;Input!$C$9,$AC1404*AI1404,0)+AK1405/(1+$L1404)*$R1404))</f>
        <v/>
      </c>
      <c r="AL1404" s="164" t="str">
        <f>IF(AND($C1403=12,$D1403=Input!$C$6),0,IF($E1404="","",IF($B1404&gt;Input!$C$9,0,$AC1404)+AL1405/(1+$L1404)*$R1404))</f>
        <v/>
      </c>
      <c r="AM1404" s="160" t="str">
        <f t="shared" si="441"/>
        <v/>
      </c>
      <c r="AN1404" s="164" t="str">
        <f>IF($E1404="","",IF($B1404&gt;Input!$C$9,$AI1404*$AC1404,$AM1404*$AC1404))</f>
        <v/>
      </c>
      <c r="AO1404" s="164" t="str">
        <f>IF(AND($C1403=12,$D1403=Input!$C$6),0,IF($E1404="","",$AN1404+AO1405/(1+$L1404)*$R1404))</f>
        <v/>
      </c>
      <c r="AP1404" s="152"/>
      <c r="AQ1404" s="150" t="str">
        <f t="shared" si="442"/>
        <v/>
      </c>
      <c r="AR1404" s="150" t="str">
        <f t="shared" si="449"/>
        <v/>
      </c>
      <c r="AS1404" s="150" t="str">
        <f t="shared" si="450"/>
        <v/>
      </c>
      <c r="AT1404" s="150" t="str">
        <f t="shared" si="443"/>
        <v/>
      </c>
      <c r="AU1404" s="152"/>
      <c r="AV1404" s="147" t="str">
        <f>'Deterministic Reserve'!BC1404</f>
        <v/>
      </c>
      <c r="AY1404" s="152"/>
    </row>
    <row r="1405" spans="1:51" s="150" customFormat="1" x14ac:dyDescent="0.25">
      <c r="A1405" s="150" t="str">
        <f t="shared" si="451"/>
        <v/>
      </c>
      <c r="B1405" s="150" t="str">
        <f t="shared" si="452"/>
        <v/>
      </c>
      <c r="C1405" s="150" t="str">
        <f t="shared" si="453"/>
        <v/>
      </c>
      <c r="D1405" s="150" t="str">
        <f>IF(E1405="","",Input!$C$4+B1405-1)</f>
        <v/>
      </c>
      <c r="E1405" s="150" t="str">
        <f>IF(OR(AND(C1404=12,D1404=Input!$C$6),E1404=""),"",1)</f>
        <v/>
      </c>
      <c r="G1405" s="151" t="str">
        <f>IF(E1405="","",MAX(0,Input!$C$9-B1405))</f>
        <v/>
      </c>
      <c r="H1405" s="152" t="str">
        <f>IF(E1405="","",Input!$C$3)</f>
        <v/>
      </c>
      <c r="I1405" s="153" t="str">
        <f>IF(E1405="","",HLOOKUP($B1405,Input!$C$13:$BT$14,2))</f>
        <v/>
      </c>
      <c r="J1405" s="154"/>
      <c r="K1405" s="150" t="str">
        <f>IF($E1405="","",Input!$C$57)</f>
        <v/>
      </c>
      <c r="L1405" s="150" t="str">
        <f t="shared" si="444"/>
        <v/>
      </c>
      <c r="M1405" s="147" t="str">
        <f>IF($E1405="","",VLOOKUP(IF($B1405&lt;=Input!$C$7,$B1405,26),'Mortality Tables'!$A$72:$CA$97,IF($B1405&lt;=Input!$C$7+1,Input!$C$4-16,$D1405-Input!$C$7-16),0)/1000)</f>
        <v/>
      </c>
      <c r="N1405" s="147" t="str">
        <f t="shared" si="435"/>
        <v/>
      </c>
      <c r="O1405" s="157" t="str">
        <f>IF($E1405="","",IF($C1405=12,IF($B1405&lt;Input!$C$9,Input!$C$54,IF($B1405=Input!$C$9,Input!$C$55,Input!$C$56)),0%))</f>
        <v/>
      </c>
      <c r="P1405" s="167" t="str">
        <f>IF($E1405="","",IF($B1405=1,Input!$C$59,IF($B1405&lt;6,Input!$C$60,0%)))</f>
        <v/>
      </c>
      <c r="Q1405" s="162" t="str">
        <f>IF($E1405="","",Input!$C$58)</f>
        <v/>
      </c>
      <c r="R1405" s="156" t="str">
        <f t="shared" si="445"/>
        <v/>
      </c>
      <c r="S1405" s="154" t="str">
        <f t="shared" si="436"/>
        <v/>
      </c>
      <c r="T1405" s="152"/>
      <c r="U1405" s="150" t="str">
        <f t="shared" si="446"/>
        <v/>
      </c>
      <c r="V1405" s="150" t="str">
        <f t="shared" si="447"/>
        <v/>
      </c>
      <c r="W1405" s="168" t="str">
        <f t="shared" si="448"/>
        <v/>
      </c>
      <c r="X1405" s="163" t="str">
        <f t="shared" si="437"/>
        <v/>
      </c>
      <c r="Y1405" s="152"/>
      <c r="Z1405" s="164" t="str">
        <f>IF(AND($C1404=12,$D1404=Input!$C$6),0,IF($E1405="","",V1405+Z1406/(1+L1405)*R1405))</f>
        <v/>
      </c>
      <c r="AA1405" s="164" t="str">
        <f>IF(OR($M1405=1,AND($C1404=12,$D1404=Input!$C$6)),0,IF($E1405="","",W1405+(X1405+AA1406*$R1405)/(1+$L1405)))</f>
        <v/>
      </c>
      <c r="AB1405" s="160" t="str">
        <f t="shared" si="438"/>
        <v/>
      </c>
      <c r="AC1405" s="164" t="str">
        <f t="shared" si="439"/>
        <v/>
      </c>
      <c r="AD1405" s="164" t="str">
        <f>IF(AND($C1404=12,$D1404=Input!$C$6),0,IF($E1405="","",$AC1405+AD1406/(1+$L1405)*$R1405))</f>
        <v/>
      </c>
      <c r="AE1405" s="152"/>
      <c r="AF1405" s="164" t="str">
        <f>IF(AND($C1404=12,$D1404=Input!$C$6),0,IF($E1405="","",IF($B1405&gt;Input!$C$9,$AC1405,0)+AF1406/(1+$L1405)*$R1405))</f>
        <v/>
      </c>
      <c r="AG1405" s="164" t="str">
        <f>IF(AND($C1404=12,$D1404=Input!$C$6),0,IF($E1405="","",(IF($B1405&gt;Input!$C$9,$X1405,0)+AG1406)/(1+$L1405)*$R1405))</f>
        <v/>
      </c>
      <c r="AH1405" s="160" t="str">
        <f t="shared" si="440"/>
        <v/>
      </c>
      <c r="AI1405" s="160" t="str">
        <f>IF($E1405="","",MIN(Input!$C$61/AH1405,1))</f>
        <v/>
      </c>
      <c r="AJ1405" s="152"/>
      <c r="AK1405" s="164" t="str">
        <f>IF(AND($C1404=12,$D1404=Input!$C$6),0,IF($E1405="","",IF($B1405&gt;Input!$C$9,$AC1405*AI1405,0)+AK1406/(1+$L1405)*$R1405))</f>
        <v/>
      </c>
      <c r="AL1405" s="164" t="str">
        <f>IF(AND($C1404=12,$D1404=Input!$C$6),0,IF($E1405="","",IF($B1405&gt;Input!$C$9,0,$AC1405)+AL1406/(1+$L1405)*$R1405))</f>
        <v/>
      </c>
      <c r="AM1405" s="160" t="str">
        <f t="shared" si="441"/>
        <v/>
      </c>
      <c r="AN1405" s="164" t="str">
        <f>IF($E1405="","",IF($B1405&gt;Input!$C$9,$AI1405*$AC1405,$AM1405*$AC1405))</f>
        <v/>
      </c>
      <c r="AO1405" s="164" t="str">
        <f>IF(AND($C1404=12,$D1404=Input!$C$6),0,IF($E1405="","",$AN1405+AO1406/(1+$L1405)*$R1405))</f>
        <v/>
      </c>
      <c r="AP1405" s="152"/>
      <c r="AQ1405" s="150" t="str">
        <f t="shared" si="442"/>
        <v/>
      </c>
      <c r="AR1405" s="150" t="str">
        <f t="shared" si="449"/>
        <v/>
      </c>
      <c r="AS1405" s="150" t="str">
        <f t="shared" si="450"/>
        <v/>
      </c>
      <c r="AT1405" s="150" t="str">
        <f t="shared" si="443"/>
        <v/>
      </c>
      <c r="AU1405" s="152"/>
      <c r="AV1405" s="147" t="str">
        <f>'Deterministic Reserve'!BC1405</f>
        <v/>
      </c>
      <c r="AY1405" s="152"/>
    </row>
    <row r="1406" spans="1:51" s="150" customFormat="1" x14ac:dyDescent="0.25">
      <c r="A1406" s="150" t="str">
        <f t="shared" si="451"/>
        <v/>
      </c>
      <c r="B1406" s="150" t="str">
        <f t="shared" si="452"/>
        <v/>
      </c>
      <c r="C1406" s="150" t="str">
        <f t="shared" si="453"/>
        <v/>
      </c>
      <c r="D1406" s="150" t="str">
        <f>IF(E1406="","",Input!$C$4+B1406-1)</f>
        <v/>
      </c>
      <c r="E1406" s="150" t="str">
        <f>IF(OR(AND(C1405=12,D1405=Input!$C$6),E1405=""),"",1)</f>
        <v/>
      </c>
      <c r="G1406" s="151" t="str">
        <f>IF(E1406="","",MAX(0,Input!$C$9-B1406))</f>
        <v/>
      </c>
      <c r="H1406" s="152" t="str">
        <f>IF(E1406="","",Input!$C$3)</f>
        <v/>
      </c>
      <c r="I1406" s="153" t="str">
        <f>IF(E1406="","",HLOOKUP($B1406,Input!$C$13:$BT$14,2))</f>
        <v/>
      </c>
      <c r="J1406" s="154"/>
      <c r="K1406" s="150" t="str">
        <f>IF($E1406="","",Input!$C$57)</f>
        <v/>
      </c>
      <c r="L1406" s="150" t="str">
        <f t="shared" si="444"/>
        <v/>
      </c>
      <c r="M1406" s="147" t="str">
        <f>IF($E1406="","",VLOOKUP(IF($B1406&lt;=Input!$C$7,$B1406,26),'Mortality Tables'!$A$72:$CA$97,IF($B1406&lt;=Input!$C$7+1,Input!$C$4-16,$D1406-Input!$C$7-16),0)/1000)</f>
        <v/>
      </c>
      <c r="N1406" s="147" t="str">
        <f t="shared" si="435"/>
        <v/>
      </c>
      <c r="O1406" s="157" t="str">
        <f>IF($E1406="","",IF($C1406=12,IF($B1406&lt;Input!$C$9,Input!$C$54,IF($B1406=Input!$C$9,Input!$C$55,Input!$C$56)),0%))</f>
        <v/>
      </c>
      <c r="P1406" s="167" t="str">
        <f>IF($E1406="","",IF($B1406=1,Input!$C$59,IF($B1406&lt;6,Input!$C$60,0%)))</f>
        <v/>
      </c>
      <c r="Q1406" s="162" t="str">
        <f>IF($E1406="","",Input!$C$58)</f>
        <v/>
      </c>
      <c r="R1406" s="156" t="str">
        <f t="shared" si="445"/>
        <v/>
      </c>
      <c r="S1406" s="154" t="str">
        <f t="shared" si="436"/>
        <v/>
      </c>
      <c r="T1406" s="152"/>
      <c r="U1406" s="150" t="str">
        <f t="shared" si="446"/>
        <v/>
      </c>
      <c r="V1406" s="150" t="str">
        <f t="shared" si="447"/>
        <v/>
      </c>
      <c r="W1406" s="168" t="str">
        <f t="shared" si="448"/>
        <v/>
      </c>
      <c r="X1406" s="163" t="str">
        <f t="shared" si="437"/>
        <v/>
      </c>
      <c r="Y1406" s="152"/>
      <c r="Z1406" s="164" t="str">
        <f>IF(AND($C1405=12,$D1405=Input!$C$6),0,IF($E1406="","",V1406+Z1407/(1+L1406)*R1406))</f>
        <v/>
      </c>
      <c r="AA1406" s="164" t="str">
        <f>IF(OR($M1406=1,AND($C1405=12,$D1405=Input!$C$6)),0,IF($E1406="","",W1406+(X1406+AA1407*$R1406)/(1+$L1406)))</f>
        <v/>
      </c>
      <c r="AB1406" s="160" t="str">
        <f t="shared" si="438"/>
        <v/>
      </c>
      <c r="AC1406" s="164" t="str">
        <f t="shared" si="439"/>
        <v/>
      </c>
      <c r="AD1406" s="164" t="str">
        <f>IF(AND($C1405=12,$D1405=Input!$C$6),0,IF($E1406="","",$AC1406+AD1407/(1+$L1406)*$R1406))</f>
        <v/>
      </c>
      <c r="AE1406" s="152"/>
      <c r="AF1406" s="164" t="str">
        <f>IF(AND($C1405=12,$D1405=Input!$C$6),0,IF($E1406="","",IF($B1406&gt;Input!$C$9,$AC1406,0)+AF1407/(1+$L1406)*$R1406))</f>
        <v/>
      </c>
      <c r="AG1406" s="164" t="str">
        <f>IF(AND($C1405=12,$D1405=Input!$C$6),0,IF($E1406="","",(IF($B1406&gt;Input!$C$9,$X1406,0)+AG1407)/(1+$L1406)*$R1406))</f>
        <v/>
      </c>
      <c r="AH1406" s="160" t="str">
        <f t="shared" si="440"/>
        <v/>
      </c>
      <c r="AI1406" s="160" t="str">
        <f>IF($E1406="","",MIN(Input!$C$61/AH1406,1))</f>
        <v/>
      </c>
      <c r="AJ1406" s="152"/>
      <c r="AK1406" s="164" t="str">
        <f>IF(AND($C1405=12,$D1405=Input!$C$6),0,IF($E1406="","",IF($B1406&gt;Input!$C$9,$AC1406*AI1406,0)+AK1407/(1+$L1406)*$R1406))</f>
        <v/>
      </c>
      <c r="AL1406" s="164" t="str">
        <f>IF(AND($C1405=12,$D1405=Input!$C$6),0,IF($E1406="","",IF($B1406&gt;Input!$C$9,0,$AC1406)+AL1407/(1+$L1406)*$R1406))</f>
        <v/>
      </c>
      <c r="AM1406" s="160" t="str">
        <f t="shared" si="441"/>
        <v/>
      </c>
      <c r="AN1406" s="164" t="str">
        <f>IF($E1406="","",IF($B1406&gt;Input!$C$9,$AI1406*$AC1406,$AM1406*$AC1406))</f>
        <v/>
      </c>
      <c r="AO1406" s="164" t="str">
        <f>IF(AND($C1405=12,$D1405=Input!$C$6),0,IF($E1406="","",$AN1406+AO1407/(1+$L1406)*$R1406))</f>
        <v/>
      </c>
      <c r="AP1406" s="152"/>
      <c r="AQ1406" s="150" t="str">
        <f t="shared" si="442"/>
        <v/>
      </c>
      <c r="AR1406" s="150" t="str">
        <f t="shared" si="449"/>
        <v/>
      </c>
      <c r="AS1406" s="150" t="str">
        <f t="shared" si="450"/>
        <v/>
      </c>
      <c r="AT1406" s="150" t="str">
        <f t="shared" si="443"/>
        <v/>
      </c>
      <c r="AU1406" s="152"/>
      <c r="AV1406" s="147" t="str">
        <f>'Deterministic Reserve'!BC1406</f>
        <v/>
      </c>
      <c r="AY1406" s="152"/>
    </row>
    <row r="1407" spans="1:51" s="150" customFormat="1" x14ac:dyDescent="0.25">
      <c r="A1407" s="150" t="str">
        <f t="shared" si="451"/>
        <v/>
      </c>
      <c r="B1407" s="150" t="str">
        <f t="shared" si="452"/>
        <v/>
      </c>
      <c r="C1407" s="150" t="str">
        <f t="shared" si="453"/>
        <v/>
      </c>
      <c r="D1407" s="150" t="str">
        <f>IF(E1407="","",Input!$C$4+B1407-1)</f>
        <v/>
      </c>
      <c r="E1407" s="150" t="str">
        <f>IF(OR(AND(C1406=12,D1406=Input!$C$6),E1406=""),"",1)</f>
        <v/>
      </c>
      <c r="G1407" s="151" t="str">
        <f>IF(E1407="","",MAX(0,Input!$C$9-B1407))</f>
        <v/>
      </c>
      <c r="H1407" s="152" t="str">
        <f>IF(E1407="","",Input!$C$3)</f>
        <v/>
      </c>
      <c r="I1407" s="153" t="str">
        <f>IF(E1407="","",HLOOKUP($B1407,Input!$C$13:$BT$14,2))</f>
        <v/>
      </c>
      <c r="J1407" s="154"/>
      <c r="K1407" s="150" t="str">
        <f>IF($E1407="","",Input!$C$57)</f>
        <v/>
      </c>
      <c r="L1407" s="150" t="str">
        <f t="shared" si="444"/>
        <v/>
      </c>
      <c r="M1407" s="147" t="str">
        <f>IF($E1407="","",VLOOKUP(IF($B1407&lt;=Input!$C$7,$B1407,26),'Mortality Tables'!$A$72:$CA$97,IF($B1407&lt;=Input!$C$7+1,Input!$C$4-16,$D1407-Input!$C$7-16),0)/1000)</f>
        <v/>
      </c>
      <c r="N1407" s="147" t="str">
        <f t="shared" si="435"/>
        <v/>
      </c>
      <c r="O1407" s="157" t="str">
        <f>IF($E1407="","",IF($C1407=12,IF($B1407&lt;Input!$C$9,Input!$C$54,IF($B1407=Input!$C$9,Input!$C$55,Input!$C$56)),0%))</f>
        <v/>
      </c>
      <c r="P1407" s="167" t="str">
        <f>IF($E1407="","",IF($B1407=1,Input!$C$59,IF($B1407&lt;6,Input!$C$60,0%)))</f>
        <v/>
      </c>
      <c r="Q1407" s="162" t="str">
        <f>IF($E1407="","",Input!$C$58)</f>
        <v/>
      </c>
      <c r="R1407" s="156" t="str">
        <f t="shared" si="445"/>
        <v/>
      </c>
      <c r="S1407" s="154" t="str">
        <f t="shared" si="436"/>
        <v/>
      </c>
      <c r="T1407" s="152"/>
      <c r="U1407" s="150" t="str">
        <f t="shared" si="446"/>
        <v/>
      </c>
      <c r="V1407" s="150" t="str">
        <f t="shared" si="447"/>
        <v/>
      </c>
      <c r="W1407" s="168" t="str">
        <f t="shared" si="448"/>
        <v/>
      </c>
      <c r="X1407" s="163" t="str">
        <f t="shared" si="437"/>
        <v/>
      </c>
      <c r="Y1407" s="152"/>
      <c r="Z1407" s="164" t="str">
        <f>IF(AND($C1406=12,$D1406=Input!$C$6),0,IF($E1407="","",V1407+Z1408/(1+L1407)*R1407))</f>
        <v/>
      </c>
      <c r="AA1407" s="164" t="str">
        <f>IF(OR($M1407=1,AND($C1406=12,$D1406=Input!$C$6)),0,IF($E1407="","",W1407+(X1407+AA1408*$R1407)/(1+$L1407)))</f>
        <v/>
      </c>
      <c r="AB1407" s="160" t="str">
        <f t="shared" si="438"/>
        <v/>
      </c>
      <c r="AC1407" s="164" t="str">
        <f t="shared" si="439"/>
        <v/>
      </c>
      <c r="AD1407" s="164" t="str">
        <f>IF(AND($C1406=12,$D1406=Input!$C$6),0,IF($E1407="","",$AC1407+AD1408/(1+$L1407)*$R1407))</f>
        <v/>
      </c>
      <c r="AE1407" s="152"/>
      <c r="AF1407" s="164" t="str">
        <f>IF(AND($C1406=12,$D1406=Input!$C$6),0,IF($E1407="","",IF($B1407&gt;Input!$C$9,$AC1407,0)+AF1408/(1+$L1407)*$R1407))</f>
        <v/>
      </c>
      <c r="AG1407" s="164" t="str">
        <f>IF(AND($C1406=12,$D1406=Input!$C$6),0,IF($E1407="","",(IF($B1407&gt;Input!$C$9,$X1407,0)+AG1408)/(1+$L1407)*$R1407))</f>
        <v/>
      </c>
      <c r="AH1407" s="160" t="str">
        <f t="shared" si="440"/>
        <v/>
      </c>
      <c r="AI1407" s="160" t="str">
        <f>IF($E1407="","",MIN(Input!$C$61/AH1407,1))</f>
        <v/>
      </c>
      <c r="AJ1407" s="152"/>
      <c r="AK1407" s="164" t="str">
        <f>IF(AND($C1406=12,$D1406=Input!$C$6),0,IF($E1407="","",IF($B1407&gt;Input!$C$9,$AC1407*AI1407,0)+AK1408/(1+$L1407)*$R1407))</f>
        <v/>
      </c>
      <c r="AL1407" s="164" t="str">
        <f>IF(AND($C1406=12,$D1406=Input!$C$6),0,IF($E1407="","",IF($B1407&gt;Input!$C$9,0,$AC1407)+AL1408/(1+$L1407)*$R1407))</f>
        <v/>
      </c>
      <c r="AM1407" s="160" t="str">
        <f t="shared" si="441"/>
        <v/>
      </c>
      <c r="AN1407" s="164" t="str">
        <f>IF($E1407="","",IF($B1407&gt;Input!$C$9,$AI1407*$AC1407,$AM1407*$AC1407))</f>
        <v/>
      </c>
      <c r="AO1407" s="164" t="str">
        <f>IF(AND($C1406=12,$D1406=Input!$C$6),0,IF($E1407="","",$AN1407+AO1408/(1+$L1407)*$R1407))</f>
        <v/>
      </c>
      <c r="AP1407" s="152"/>
      <c r="AQ1407" s="150" t="str">
        <f t="shared" si="442"/>
        <v/>
      </c>
      <c r="AR1407" s="150" t="str">
        <f t="shared" si="449"/>
        <v/>
      </c>
      <c r="AS1407" s="150" t="str">
        <f t="shared" si="450"/>
        <v/>
      </c>
      <c r="AT1407" s="150" t="str">
        <f t="shared" si="443"/>
        <v/>
      </c>
      <c r="AU1407" s="152"/>
      <c r="AV1407" s="147" t="str">
        <f>'Deterministic Reserve'!BC1407</f>
        <v/>
      </c>
      <c r="AY1407" s="152"/>
    </row>
    <row r="1408" spans="1:51" s="150" customFormat="1" x14ac:dyDescent="0.25">
      <c r="A1408" s="150" t="str">
        <f t="shared" si="451"/>
        <v/>
      </c>
      <c r="B1408" s="150" t="str">
        <f t="shared" si="452"/>
        <v/>
      </c>
      <c r="C1408" s="150" t="str">
        <f t="shared" si="453"/>
        <v/>
      </c>
      <c r="D1408" s="150" t="str">
        <f>IF(E1408="","",Input!$C$4+B1408-1)</f>
        <v/>
      </c>
      <c r="E1408" s="150" t="str">
        <f>IF(OR(AND(C1407=12,D1407=Input!$C$6),E1407=""),"",1)</f>
        <v/>
      </c>
      <c r="G1408" s="151" t="str">
        <f>IF(E1408="","",MAX(0,Input!$C$9-B1408))</f>
        <v/>
      </c>
      <c r="H1408" s="152" t="str">
        <f>IF(E1408="","",Input!$C$3)</f>
        <v/>
      </c>
      <c r="I1408" s="153" t="str">
        <f>IF(E1408="","",HLOOKUP($B1408,Input!$C$13:$BT$14,2))</f>
        <v/>
      </c>
      <c r="J1408" s="154"/>
      <c r="K1408" s="150" t="str">
        <f>IF($E1408="","",Input!$C$57)</f>
        <v/>
      </c>
      <c r="L1408" s="150" t="str">
        <f t="shared" si="444"/>
        <v/>
      </c>
      <c r="M1408" s="147" t="str">
        <f>IF($E1408="","",VLOOKUP(IF($B1408&lt;=Input!$C$7,$B1408,26),'Mortality Tables'!$A$72:$CA$97,IF($B1408&lt;=Input!$C$7+1,Input!$C$4-16,$D1408-Input!$C$7-16),0)/1000)</f>
        <v/>
      </c>
      <c r="N1408" s="147" t="str">
        <f t="shared" si="435"/>
        <v/>
      </c>
      <c r="O1408" s="157" t="str">
        <f>IF($E1408="","",IF($C1408=12,IF($B1408&lt;Input!$C$9,Input!$C$54,IF($B1408=Input!$C$9,Input!$C$55,Input!$C$56)),0%))</f>
        <v/>
      </c>
      <c r="P1408" s="167" t="str">
        <f>IF($E1408="","",IF($B1408=1,Input!$C$59,IF($B1408&lt;6,Input!$C$60,0%)))</f>
        <v/>
      </c>
      <c r="Q1408" s="162" t="str">
        <f>IF($E1408="","",Input!$C$58)</f>
        <v/>
      </c>
      <c r="R1408" s="156" t="str">
        <f t="shared" si="445"/>
        <v/>
      </c>
      <c r="S1408" s="154" t="str">
        <f t="shared" si="436"/>
        <v/>
      </c>
      <c r="T1408" s="152"/>
      <c r="U1408" s="150" t="str">
        <f t="shared" si="446"/>
        <v/>
      </c>
      <c r="V1408" s="150" t="str">
        <f t="shared" si="447"/>
        <v/>
      </c>
      <c r="W1408" s="168" t="str">
        <f t="shared" si="448"/>
        <v/>
      </c>
      <c r="X1408" s="163" t="str">
        <f t="shared" si="437"/>
        <v/>
      </c>
      <c r="Y1408" s="152"/>
      <c r="Z1408" s="164" t="str">
        <f>IF(AND($C1407=12,$D1407=Input!$C$6),0,IF($E1408="","",V1408+Z1409/(1+L1408)*R1408))</f>
        <v/>
      </c>
      <c r="AA1408" s="164" t="str">
        <f>IF(OR($M1408=1,AND($C1407=12,$D1407=Input!$C$6)),0,IF($E1408="","",W1408+(X1408+AA1409*$R1408)/(1+$L1408)))</f>
        <v/>
      </c>
      <c r="AB1408" s="160" t="str">
        <f t="shared" si="438"/>
        <v/>
      </c>
      <c r="AC1408" s="164" t="str">
        <f t="shared" si="439"/>
        <v/>
      </c>
      <c r="AD1408" s="164" t="str">
        <f>IF(AND($C1407=12,$D1407=Input!$C$6),0,IF($E1408="","",$AC1408+AD1409/(1+$L1408)*$R1408))</f>
        <v/>
      </c>
      <c r="AE1408" s="152"/>
      <c r="AF1408" s="164" t="str">
        <f>IF(AND($C1407=12,$D1407=Input!$C$6),0,IF($E1408="","",IF($B1408&gt;Input!$C$9,$AC1408,0)+AF1409/(1+$L1408)*$R1408))</f>
        <v/>
      </c>
      <c r="AG1408" s="164" t="str">
        <f>IF(AND($C1407=12,$D1407=Input!$C$6),0,IF($E1408="","",(IF($B1408&gt;Input!$C$9,$X1408,0)+AG1409)/(1+$L1408)*$R1408))</f>
        <v/>
      </c>
      <c r="AH1408" s="160" t="str">
        <f t="shared" si="440"/>
        <v/>
      </c>
      <c r="AI1408" s="160" t="str">
        <f>IF($E1408="","",MIN(Input!$C$61/AH1408,1))</f>
        <v/>
      </c>
      <c r="AJ1408" s="152"/>
      <c r="AK1408" s="164" t="str">
        <f>IF(AND($C1407=12,$D1407=Input!$C$6),0,IF($E1408="","",IF($B1408&gt;Input!$C$9,$AC1408*AI1408,0)+AK1409/(1+$L1408)*$R1408))</f>
        <v/>
      </c>
      <c r="AL1408" s="164" t="str">
        <f>IF(AND($C1407=12,$D1407=Input!$C$6),0,IF($E1408="","",IF($B1408&gt;Input!$C$9,0,$AC1408)+AL1409/(1+$L1408)*$R1408))</f>
        <v/>
      </c>
      <c r="AM1408" s="160" t="str">
        <f t="shared" si="441"/>
        <v/>
      </c>
      <c r="AN1408" s="164" t="str">
        <f>IF($E1408="","",IF($B1408&gt;Input!$C$9,$AI1408*$AC1408,$AM1408*$AC1408))</f>
        <v/>
      </c>
      <c r="AO1408" s="164" t="str">
        <f>IF(AND($C1407=12,$D1407=Input!$C$6),0,IF($E1408="","",$AN1408+AO1409/(1+$L1408)*$R1408))</f>
        <v/>
      </c>
      <c r="AP1408" s="152"/>
      <c r="AQ1408" s="150" t="str">
        <f t="shared" si="442"/>
        <v/>
      </c>
      <c r="AR1408" s="150" t="str">
        <f t="shared" si="449"/>
        <v/>
      </c>
      <c r="AS1408" s="150" t="str">
        <f t="shared" si="450"/>
        <v/>
      </c>
      <c r="AT1408" s="150" t="str">
        <f t="shared" si="443"/>
        <v/>
      </c>
      <c r="AU1408" s="152"/>
      <c r="AV1408" s="147" t="str">
        <f>'Deterministic Reserve'!BC1408</f>
        <v/>
      </c>
      <c r="AY1408" s="152"/>
    </row>
    <row r="1409" spans="1:51" s="150" customFormat="1" x14ac:dyDescent="0.25">
      <c r="A1409" s="150" t="str">
        <f t="shared" si="451"/>
        <v/>
      </c>
      <c r="B1409" s="150" t="str">
        <f t="shared" si="452"/>
        <v/>
      </c>
      <c r="C1409" s="150" t="str">
        <f t="shared" si="453"/>
        <v/>
      </c>
      <c r="D1409" s="150" t="str">
        <f>IF(E1409="","",Input!$C$4+B1409-1)</f>
        <v/>
      </c>
      <c r="E1409" s="150" t="str">
        <f>IF(OR(AND(C1408=12,D1408=Input!$C$6),E1408=""),"",1)</f>
        <v/>
      </c>
      <c r="G1409" s="151" t="str">
        <f>IF(E1409="","",MAX(0,Input!$C$9-B1409))</f>
        <v/>
      </c>
      <c r="H1409" s="152" t="str">
        <f>IF(E1409="","",Input!$C$3)</f>
        <v/>
      </c>
      <c r="I1409" s="153" t="str">
        <f>IF(E1409="","",HLOOKUP($B1409,Input!$C$13:$BT$14,2))</f>
        <v/>
      </c>
      <c r="J1409" s="154"/>
      <c r="K1409" s="150" t="str">
        <f>IF($E1409="","",Input!$C$57)</f>
        <v/>
      </c>
      <c r="L1409" s="150" t="str">
        <f t="shared" si="444"/>
        <v/>
      </c>
      <c r="M1409" s="147" t="str">
        <f>IF($E1409="","",VLOOKUP(IF($B1409&lt;=Input!$C$7,$B1409,26),'Mortality Tables'!$A$72:$CA$97,IF($B1409&lt;=Input!$C$7+1,Input!$C$4-16,$D1409-Input!$C$7-16),0)/1000)</f>
        <v/>
      </c>
      <c r="N1409" s="147" t="str">
        <f t="shared" si="435"/>
        <v/>
      </c>
      <c r="O1409" s="157" t="str">
        <f>IF($E1409="","",IF($C1409=12,IF($B1409&lt;Input!$C$9,Input!$C$54,IF($B1409=Input!$C$9,Input!$C$55,Input!$C$56)),0%))</f>
        <v/>
      </c>
      <c r="P1409" s="167" t="str">
        <f>IF($E1409="","",IF($B1409=1,Input!$C$59,IF($B1409&lt;6,Input!$C$60,0%)))</f>
        <v/>
      </c>
      <c r="Q1409" s="162" t="str">
        <f>IF($E1409="","",Input!$C$58)</f>
        <v/>
      </c>
      <c r="R1409" s="156" t="str">
        <f t="shared" si="445"/>
        <v/>
      </c>
      <c r="S1409" s="154" t="str">
        <f t="shared" si="436"/>
        <v/>
      </c>
      <c r="T1409" s="152"/>
      <c r="U1409" s="150" t="str">
        <f t="shared" si="446"/>
        <v/>
      </c>
      <c r="V1409" s="150" t="str">
        <f t="shared" si="447"/>
        <v/>
      </c>
      <c r="W1409" s="168" t="str">
        <f t="shared" si="448"/>
        <v/>
      </c>
      <c r="X1409" s="163" t="str">
        <f t="shared" si="437"/>
        <v/>
      </c>
      <c r="Y1409" s="152"/>
      <c r="Z1409" s="164" t="str">
        <f>IF(AND($C1408=12,$D1408=Input!$C$6),0,IF($E1409="","",V1409+Z1410/(1+L1409)*R1409))</f>
        <v/>
      </c>
      <c r="AA1409" s="164" t="str">
        <f>IF(OR($M1409=1,AND($C1408=12,$D1408=Input!$C$6)),0,IF($E1409="","",W1409+(X1409+AA1410*$R1409)/(1+$L1409)))</f>
        <v/>
      </c>
      <c r="AB1409" s="160" t="str">
        <f t="shared" si="438"/>
        <v/>
      </c>
      <c r="AC1409" s="164" t="str">
        <f t="shared" si="439"/>
        <v/>
      </c>
      <c r="AD1409" s="164" t="str">
        <f>IF(AND($C1408=12,$D1408=Input!$C$6),0,IF($E1409="","",$AC1409+AD1410/(1+$L1409)*$R1409))</f>
        <v/>
      </c>
      <c r="AE1409" s="152"/>
      <c r="AF1409" s="164" t="str">
        <f>IF(AND($C1408=12,$D1408=Input!$C$6),0,IF($E1409="","",IF($B1409&gt;Input!$C$9,$AC1409,0)+AF1410/(1+$L1409)*$R1409))</f>
        <v/>
      </c>
      <c r="AG1409" s="164" t="str">
        <f>IF(AND($C1408=12,$D1408=Input!$C$6),0,IF($E1409="","",(IF($B1409&gt;Input!$C$9,$X1409,0)+AG1410)/(1+$L1409)*$R1409))</f>
        <v/>
      </c>
      <c r="AH1409" s="160" t="str">
        <f t="shared" si="440"/>
        <v/>
      </c>
      <c r="AI1409" s="160" t="str">
        <f>IF($E1409="","",MIN(Input!$C$61/AH1409,1))</f>
        <v/>
      </c>
      <c r="AJ1409" s="152"/>
      <c r="AK1409" s="164" t="str">
        <f>IF(AND($C1408=12,$D1408=Input!$C$6),0,IF($E1409="","",IF($B1409&gt;Input!$C$9,$AC1409*AI1409,0)+AK1410/(1+$L1409)*$R1409))</f>
        <v/>
      </c>
      <c r="AL1409" s="164" t="str">
        <f>IF(AND($C1408=12,$D1408=Input!$C$6),0,IF($E1409="","",IF($B1409&gt;Input!$C$9,0,$AC1409)+AL1410/(1+$L1409)*$R1409))</f>
        <v/>
      </c>
      <c r="AM1409" s="160" t="str">
        <f t="shared" si="441"/>
        <v/>
      </c>
      <c r="AN1409" s="164" t="str">
        <f>IF($E1409="","",IF($B1409&gt;Input!$C$9,$AI1409*$AC1409,$AM1409*$AC1409))</f>
        <v/>
      </c>
      <c r="AO1409" s="164" t="str">
        <f>IF(AND($C1408=12,$D1408=Input!$C$6),0,IF($E1409="","",$AN1409+AO1410/(1+$L1409)*$R1409))</f>
        <v/>
      </c>
      <c r="AP1409" s="152"/>
      <c r="AQ1409" s="150" t="str">
        <f t="shared" si="442"/>
        <v/>
      </c>
      <c r="AR1409" s="150" t="str">
        <f t="shared" si="449"/>
        <v/>
      </c>
      <c r="AS1409" s="150" t="str">
        <f t="shared" si="450"/>
        <v/>
      </c>
      <c r="AT1409" s="150" t="str">
        <f t="shared" si="443"/>
        <v/>
      </c>
      <c r="AU1409" s="152"/>
      <c r="AV1409" s="147" t="str">
        <f>'Deterministic Reserve'!BC1409</f>
        <v/>
      </c>
      <c r="AY1409" s="152"/>
    </row>
    <row r="1410" spans="1:51" s="150" customFormat="1" x14ac:dyDescent="0.25">
      <c r="A1410" s="150" t="str">
        <f t="shared" si="451"/>
        <v/>
      </c>
      <c r="B1410" s="150" t="str">
        <f t="shared" si="452"/>
        <v/>
      </c>
      <c r="C1410" s="150" t="str">
        <f t="shared" si="453"/>
        <v/>
      </c>
      <c r="D1410" s="150" t="str">
        <f>IF(E1410="","",Input!$C$4+B1410-1)</f>
        <v/>
      </c>
      <c r="E1410" s="150" t="str">
        <f>IF(OR(AND(C1409=12,D1409=Input!$C$6),E1409=""),"",1)</f>
        <v/>
      </c>
      <c r="G1410" s="151" t="str">
        <f>IF(E1410="","",MAX(0,Input!$C$9-B1410))</f>
        <v/>
      </c>
      <c r="H1410" s="152" t="str">
        <f>IF(E1410="","",Input!$C$3)</f>
        <v/>
      </c>
      <c r="I1410" s="153" t="str">
        <f>IF(E1410="","",HLOOKUP($B1410,Input!$C$13:$BT$14,2))</f>
        <v/>
      </c>
      <c r="J1410" s="154"/>
      <c r="K1410" s="150" t="str">
        <f>IF($E1410="","",Input!$C$57)</f>
        <v/>
      </c>
      <c r="L1410" s="150" t="str">
        <f t="shared" si="444"/>
        <v/>
      </c>
      <c r="M1410" s="147" t="str">
        <f>IF($E1410="","",VLOOKUP(IF($B1410&lt;=Input!$C$7,$B1410,26),'Mortality Tables'!$A$72:$CA$97,IF($B1410&lt;=Input!$C$7+1,Input!$C$4-16,$D1410-Input!$C$7-16),0)/1000)</f>
        <v/>
      </c>
      <c r="N1410" s="147" t="str">
        <f t="shared" si="435"/>
        <v/>
      </c>
      <c r="O1410" s="157" t="str">
        <f>IF($E1410="","",IF($C1410=12,IF($B1410&lt;Input!$C$9,Input!$C$54,IF($B1410=Input!$C$9,Input!$C$55,Input!$C$56)),0%))</f>
        <v/>
      </c>
      <c r="P1410" s="167" t="str">
        <f>IF($E1410="","",IF($B1410=1,Input!$C$59,IF($B1410&lt;6,Input!$C$60,0%)))</f>
        <v/>
      </c>
      <c r="Q1410" s="162" t="str">
        <f>IF($E1410="","",Input!$C$58)</f>
        <v/>
      </c>
      <c r="R1410" s="156" t="str">
        <f t="shared" si="445"/>
        <v/>
      </c>
      <c r="S1410" s="154" t="str">
        <f t="shared" si="436"/>
        <v/>
      </c>
      <c r="T1410" s="152"/>
      <c r="U1410" s="150" t="str">
        <f t="shared" si="446"/>
        <v/>
      </c>
      <c r="V1410" s="150" t="str">
        <f t="shared" si="447"/>
        <v/>
      </c>
      <c r="W1410" s="168" t="str">
        <f t="shared" si="448"/>
        <v/>
      </c>
      <c r="X1410" s="163" t="str">
        <f t="shared" si="437"/>
        <v/>
      </c>
      <c r="Y1410" s="152"/>
      <c r="Z1410" s="164" t="str">
        <f>IF(AND($C1409=12,$D1409=Input!$C$6),0,IF($E1410="","",V1410+Z1411/(1+L1410)*R1410))</f>
        <v/>
      </c>
      <c r="AA1410" s="164" t="str">
        <f>IF(OR($M1410=1,AND($C1409=12,$D1409=Input!$C$6)),0,IF($E1410="","",W1410+(X1410+AA1411*$R1410)/(1+$L1410)))</f>
        <v/>
      </c>
      <c r="AB1410" s="160" t="str">
        <f t="shared" si="438"/>
        <v/>
      </c>
      <c r="AC1410" s="164" t="str">
        <f t="shared" si="439"/>
        <v/>
      </c>
      <c r="AD1410" s="164" t="str">
        <f>IF(AND($C1409=12,$D1409=Input!$C$6),0,IF($E1410="","",$AC1410+AD1411/(1+$L1410)*$R1410))</f>
        <v/>
      </c>
      <c r="AE1410" s="152"/>
      <c r="AF1410" s="164" t="str">
        <f>IF(AND($C1409=12,$D1409=Input!$C$6),0,IF($E1410="","",IF($B1410&gt;Input!$C$9,$AC1410,0)+AF1411/(1+$L1410)*$R1410))</f>
        <v/>
      </c>
      <c r="AG1410" s="164" t="str">
        <f>IF(AND($C1409=12,$D1409=Input!$C$6),0,IF($E1410="","",(IF($B1410&gt;Input!$C$9,$X1410,0)+AG1411)/(1+$L1410)*$R1410))</f>
        <v/>
      </c>
      <c r="AH1410" s="160" t="str">
        <f t="shared" si="440"/>
        <v/>
      </c>
      <c r="AI1410" s="160" t="str">
        <f>IF($E1410="","",MIN(Input!$C$61/AH1410,1))</f>
        <v/>
      </c>
      <c r="AJ1410" s="152"/>
      <c r="AK1410" s="164" t="str">
        <f>IF(AND($C1409=12,$D1409=Input!$C$6),0,IF($E1410="","",IF($B1410&gt;Input!$C$9,$AC1410*AI1410,0)+AK1411/(1+$L1410)*$R1410))</f>
        <v/>
      </c>
      <c r="AL1410" s="164" t="str">
        <f>IF(AND($C1409=12,$D1409=Input!$C$6),0,IF($E1410="","",IF($B1410&gt;Input!$C$9,0,$AC1410)+AL1411/(1+$L1410)*$R1410))</f>
        <v/>
      </c>
      <c r="AM1410" s="160" t="str">
        <f t="shared" si="441"/>
        <v/>
      </c>
      <c r="AN1410" s="164" t="str">
        <f>IF($E1410="","",IF($B1410&gt;Input!$C$9,$AI1410*$AC1410,$AM1410*$AC1410))</f>
        <v/>
      </c>
      <c r="AO1410" s="164" t="str">
        <f>IF(AND($C1409=12,$D1409=Input!$C$6),0,IF($E1410="","",$AN1410+AO1411/(1+$L1410)*$R1410))</f>
        <v/>
      </c>
      <c r="AP1410" s="152"/>
      <c r="AQ1410" s="150" t="str">
        <f t="shared" si="442"/>
        <v/>
      </c>
      <c r="AR1410" s="150" t="str">
        <f t="shared" si="449"/>
        <v/>
      </c>
      <c r="AS1410" s="150" t="str">
        <f t="shared" si="450"/>
        <v/>
      </c>
      <c r="AT1410" s="150" t="str">
        <f t="shared" si="443"/>
        <v/>
      </c>
      <c r="AU1410" s="152"/>
      <c r="AV1410" s="147" t="str">
        <f>'Deterministic Reserve'!BC1410</f>
        <v/>
      </c>
      <c r="AY1410" s="152"/>
    </row>
    <row r="1411" spans="1:51" s="150" customFormat="1" x14ac:dyDescent="0.25">
      <c r="A1411" s="150" t="str">
        <f t="shared" si="451"/>
        <v/>
      </c>
      <c r="B1411" s="150" t="str">
        <f t="shared" si="452"/>
        <v/>
      </c>
      <c r="C1411" s="150" t="str">
        <f t="shared" si="453"/>
        <v/>
      </c>
      <c r="D1411" s="150" t="str">
        <f>IF(E1411="","",Input!$C$4+B1411-1)</f>
        <v/>
      </c>
      <c r="E1411" s="150" t="str">
        <f>IF(OR(AND(C1410=12,D1410=Input!$C$6),E1410=""),"",1)</f>
        <v/>
      </c>
      <c r="G1411" s="151" t="str">
        <f>IF(E1411="","",MAX(0,Input!$C$9-B1411))</f>
        <v/>
      </c>
      <c r="H1411" s="152" t="str">
        <f>IF(E1411="","",Input!$C$3)</f>
        <v/>
      </c>
      <c r="I1411" s="153" t="str">
        <f>IF(E1411="","",HLOOKUP($B1411,Input!$C$13:$BT$14,2))</f>
        <v/>
      </c>
      <c r="J1411" s="154"/>
      <c r="K1411" s="150" t="str">
        <f>IF($E1411="","",Input!$C$57)</f>
        <v/>
      </c>
      <c r="L1411" s="150" t="str">
        <f t="shared" si="444"/>
        <v/>
      </c>
      <c r="M1411" s="147" t="str">
        <f>IF($E1411="","",VLOOKUP(IF($B1411&lt;=Input!$C$7,$B1411,26),'Mortality Tables'!$A$72:$CA$97,IF($B1411&lt;=Input!$C$7+1,Input!$C$4-16,$D1411-Input!$C$7-16),0)/1000)</f>
        <v/>
      </c>
      <c r="N1411" s="147" t="str">
        <f t="shared" si="435"/>
        <v/>
      </c>
      <c r="O1411" s="157" t="str">
        <f>IF($E1411="","",IF($C1411=12,IF($B1411&lt;Input!$C$9,Input!$C$54,IF($B1411=Input!$C$9,Input!$C$55,Input!$C$56)),0%))</f>
        <v/>
      </c>
      <c r="P1411" s="167" t="str">
        <f>IF($E1411="","",IF($B1411=1,Input!$C$59,IF($B1411&lt;6,Input!$C$60,0%)))</f>
        <v/>
      </c>
      <c r="Q1411" s="162" t="str">
        <f>IF($E1411="","",Input!$C$58)</f>
        <v/>
      </c>
      <c r="R1411" s="156" t="str">
        <f t="shared" si="445"/>
        <v/>
      </c>
      <c r="S1411" s="154" t="str">
        <f t="shared" si="436"/>
        <v/>
      </c>
      <c r="T1411" s="152"/>
      <c r="U1411" s="150" t="str">
        <f t="shared" si="446"/>
        <v/>
      </c>
      <c r="V1411" s="150" t="str">
        <f t="shared" si="447"/>
        <v/>
      </c>
      <c r="W1411" s="168" t="str">
        <f t="shared" si="448"/>
        <v/>
      </c>
      <c r="X1411" s="163" t="str">
        <f t="shared" si="437"/>
        <v/>
      </c>
      <c r="Y1411" s="152"/>
      <c r="Z1411" s="164" t="str">
        <f>IF(AND($C1410=12,$D1410=Input!$C$6),0,IF($E1411="","",V1411+Z1412/(1+L1411)*R1411))</f>
        <v/>
      </c>
      <c r="AA1411" s="164" t="str">
        <f>IF(OR($M1411=1,AND($C1410=12,$D1410=Input!$C$6)),0,IF($E1411="","",W1411+(X1411+AA1412*$R1411)/(1+$L1411)))</f>
        <v/>
      </c>
      <c r="AB1411" s="160" t="str">
        <f t="shared" si="438"/>
        <v/>
      </c>
      <c r="AC1411" s="164" t="str">
        <f t="shared" si="439"/>
        <v/>
      </c>
      <c r="AD1411" s="164" t="str">
        <f>IF(AND($C1410=12,$D1410=Input!$C$6),0,IF($E1411="","",$AC1411+AD1412/(1+$L1411)*$R1411))</f>
        <v/>
      </c>
      <c r="AE1411" s="152"/>
      <c r="AF1411" s="164" t="str">
        <f>IF(AND($C1410=12,$D1410=Input!$C$6),0,IF($E1411="","",IF($B1411&gt;Input!$C$9,$AC1411,0)+AF1412/(1+$L1411)*$R1411))</f>
        <v/>
      </c>
      <c r="AG1411" s="164" t="str">
        <f>IF(AND($C1410=12,$D1410=Input!$C$6),0,IF($E1411="","",(IF($B1411&gt;Input!$C$9,$X1411,0)+AG1412)/(1+$L1411)*$R1411))</f>
        <v/>
      </c>
      <c r="AH1411" s="160" t="str">
        <f t="shared" si="440"/>
        <v/>
      </c>
      <c r="AI1411" s="160" t="str">
        <f>IF($E1411="","",MIN(Input!$C$61/AH1411,1))</f>
        <v/>
      </c>
      <c r="AJ1411" s="152"/>
      <c r="AK1411" s="164" t="str">
        <f>IF(AND($C1410=12,$D1410=Input!$C$6),0,IF($E1411="","",IF($B1411&gt;Input!$C$9,$AC1411*AI1411,0)+AK1412/(1+$L1411)*$R1411))</f>
        <v/>
      </c>
      <c r="AL1411" s="164" t="str">
        <f>IF(AND($C1410=12,$D1410=Input!$C$6),0,IF($E1411="","",IF($B1411&gt;Input!$C$9,0,$AC1411)+AL1412/(1+$L1411)*$R1411))</f>
        <v/>
      </c>
      <c r="AM1411" s="160" t="str">
        <f t="shared" si="441"/>
        <v/>
      </c>
      <c r="AN1411" s="164" t="str">
        <f>IF($E1411="","",IF($B1411&gt;Input!$C$9,$AI1411*$AC1411,$AM1411*$AC1411))</f>
        <v/>
      </c>
      <c r="AO1411" s="164" t="str">
        <f>IF(AND($C1410=12,$D1410=Input!$C$6),0,IF($E1411="","",$AN1411+AO1412/(1+$L1411)*$R1411))</f>
        <v/>
      </c>
      <c r="AP1411" s="152"/>
      <c r="AQ1411" s="150" t="str">
        <f t="shared" si="442"/>
        <v/>
      </c>
      <c r="AR1411" s="150" t="str">
        <f t="shared" si="449"/>
        <v/>
      </c>
      <c r="AS1411" s="150" t="str">
        <f t="shared" si="450"/>
        <v/>
      </c>
      <c r="AT1411" s="150" t="str">
        <f t="shared" si="443"/>
        <v/>
      </c>
      <c r="AU1411" s="152"/>
      <c r="AV1411" s="147" t="str">
        <f>'Deterministic Reserve'!BC1411</f>
        <v/>
      </c>
      <c r="AY1411" s="152"/>
    </row>
    <row r="1412" spans="1:51" s="150" customFormat="1" x14ac:dyDescent="0.25">
      <c r="A1412" s="150" t="str">
        <f t="shared" si="451"/>
        <v/>
      </c>
      <c r="B1412" s="150" t="str">
        <f t="shared" si="452"/>
        <v/>
      </c>
      <c r="C1412" s="150" t="str">
        <f t="shared" si="453"/>
        <v/>
      </c>
      <c r="D1412" s="150" t="str">
        <f>IF(E1412="","",Input!$C$4+B1412-1)</f>
        <v/>
      </c>
      <c r="E1412" s="150" t="str">
        <f>IF(OR(AND(C1411=12,D1411=Input!$C$6),E1411=""),"",1)</f>
        <v/>
      </c>
      <c r="G1412" s="151" t="str">
        <f>IF(E1412="","",MAX(0,Input!$C$9-B1412))</f>
        <v/>
      </c>
      <c r="H1412" s="152" t="str">
        <f>IF(E1412="","",Input!$C$3)</f>
        <v/>
      </c>
      <c r="I1412" s="153" t="str">
        <f>IF(E1412="","",HLOOKUP($B1412,Input!$C$13:$BT$14,2))</f>
        <v/>
      </c>
      <c r="J1412" s="154"/>
      <c r="K1412" s="150" t="str">
        <f>IF($E1412="","",Input!$C$57)</f>
        <v/>
      </c>
      <c r="L1412" s="150" t="str">
        <f t="shared" si="444"/>
        <v/>
      </c>
      <c r="M1412" s="147" t="str">
        <f>IF($E1412="","",VLOOKUP(IF($B1412&lt;=Input!$C$7,$B1412,26),'Mortality Tables'!$A$72:$CA$97,IF($B1412&lt;=Input!$C$7+1,Input!$C$4-16,$D1412-Input!$C$7-16),0)/1000)</f>
        <v/>
      </c>
      <c r="N1412" s="147" t="str">
        <f t="shared" si="435"/>
        <v/>
      </c>
      <c r="O1412" s="157" t="str">
        <f>IF($E1412="","",IF($C1412=12,IF($B1412&lt;Input!$C$9,Input!$C$54,IF($B1412=Input!$C$9,Input!$C$55,Input!$C$56)),0%))</f>
        <v/>
      </c>
      <c r="P1412" s="167" t="str">
        <f>IF($E1412="","",IF($B1412=1,Input!$C$59,IF($B1412&lt;6,Input!$C$60,0%)))</f>
        <v/>
      </c>
      <c r="Q1412" s="162" t="str">
        <f>IF($E1412="","",Input!$C$58)</f>
        <v/>
      </c>
      <c r="R1412" s="156" t="str">
        <f t="shared" si="445"/>
        <v/>
      </c>
      <c r="S1412" s="154" t="str">
        <f t="shared" si="436"/>
        <v/>
      </c>
      <c r="T1412" s="152"/>
      <c r="U1412" s="150" t="str">
        <f t="shared" si="446"/>
        <v/>
      </c>
      <c r="V1412" s="150" t="str">
        <f t="shared" si="447"/>
        <v/>
      </c>
      <c r="W1412" s="168" t="str">
        <f t="shared" si="448"/>
        <v/>
      </c>
      <c r="X1412" s="163" t="str">
        <f t="shared" si="437"/>
        <v/>
      </c>
      <c r="Y1412" s="152"/>
      <c r="Z1412" s="164" t="str">
        <f>IF(AND($C1411=12,$D1411=Input!$C$6),0,IF($E1412="","",V1412+Z1413/(1+L1412)*R1412))</f>
        <v/>
      </c>
      <c r="AA1412" s="164" t="str">
        <f>IF(OR($M1412=1,AND($C1411=12,$D1411=Input!$C$6)),0,IF($E1412="","",W1412+(X1412+AA1413*$R1412)/(1+$L1412)))</f>
        <v/>
      </c>
      <c r="AB1412" s="160" t="str">
        <f t="shared" si="438"/>
        <v/>
      </c>
      <c r="AC1412" s="164" t="str">
        <f t="shared" si="439"/>
        <v/>
      </c>
      <c r="AD1412" s="164" t="str">
        <f>IF(AND($C1411=12,$D1411=Input!$C$6),0,IF($E1412="","",$AC1412+AD1413/(1+$L1412)*$R1412))</f>
        <v/>
      </c>
      <c r="AE1412" s="152"/>
      <c r="AF1412" s="164" t="str">
        <f>IF(AND($C1411=12,$D1411=Input!$C$6),0,IF($E1412="","",IF($B1412&gt;Input!$C$9,$AC1412,0)+AF1413/(1+$L1412)*$R1412))</f>
        <v/>
      </c>
      <c r="AG1412" s="164" t="str">
        <f>IF(AND($C1411=12,$D1411=Input!$C$6),0,IF($E1412="","",(IF($B1412&gt;Input!$C$9,$X1412,0)+AG1413)/(1+$L1412)*$R1412))</f>
        <v/>
      </c>
      <c r="AH1412" s="160" t="str">
        <f t="shared" si="440"/>
        <v/>
      </c>
      <c r="AI1412" s="160" t="str">
        <f>IF($E1412="","",MIN(Input!$C$61/AH1412,1))</f>
        <v/>
      </c>
      <c r="AJ1412" s="152"/>
      <c r="AK1412" s="164" t="str">
        <f>IF(AND($C1411=12,$D1411=Input!$C$6),0,IF($E1412="","",IF($B1412&gt;Input!$C$9,$AC1412*AI1412,0)+AK1413/(1+$L1412)*$R1412))</f>
        <v/>
      </c>
      <c r="AL1412" s="164" t="str">
        <f>IF(AND($C1411=12,$D1411=Input!$C$6),0,IF($E1412="","",IF($B1412&gt;Input!$C$9,0,$AC1412)+AL1413/(1+$L1412)*$R1412))</f>
        <v/>
      </c>
      <c r="AM1412" s="160" t="str">
        <f t="shared" si="441"/>
        <v/>
      </c>
      <c r="AN1412" s="164" t="str">
        <f>IF($E1412="","",IF($B1412&gt;Input!$C$9,$AI1412*$AC1412,$AM1412*$AC1412))</f>
        <v/>
      </c>
      <c r="AO1412" s="164" t="str">
        <f>IF(AND($C1411=12,$D1411=Input!$C$6),0,IF($E1412="","",$AN1412+AO1413/(1+$L1412)*$R1412))</f>
        <v/>
      </c>
      <c r="AP1412" s="152"/>
      <c r="AQ1412" s="150" t="str">
        <f t="shared" si="442"/>
        <v/>
      </c>
      <c r="AR1412" s="150" t="str">
        <f t="shared" si="449"/>
        <v/>
      </c>
      <c r="AS1412" s="150" t="str">
        <f t="shared" si="450"/>
        <v/>
      </c>
      <c r="AT1412" s="150" t="str">
        <f t="shared" si="443"/>
        <v/>
      </c>
      <c r="AU1412" s="152"/>
      <c r="AV1412" s="147" t="str">
        <f>'Deterministic Reserve'!BC1412</f>
        <v/>
      </c>
      <c r="AY1412" s="152"/>
    </row>
    <row r="1413" spans="1:51" s="150" customFormat="1" x14ac:dyDescent="0.25">
      <c r="A1413" s="150" t="str">
        <f t="shared" si="451"/>
        <v/>
      </c>
      <c r="B1413" s="150" t="str">
        <f t="shared" si="452"/>
        <v/>
      </c>
      <c r="C1413" s="150" t="str">
        <f t="shared" si="453"/>
        <v/>
      </c>
      <c r="D1413" s="150" t="str">
        <f>IF(E1413="","",Input!$C$4+B1413-1)</f>
        <v/>
      </c>
      <c r="E1413" s="150" t="str">
        <f>IF(OR(AND(C1412=12,D1412=Input!$C$6),E1412=""),"",1)</f>
        <v/>
      </c>
      <c r="G1413" s="151" t="str">
        <f>IF(E1413="","",MAX(0,Input!$C$9-B1413))</f>
        <v/>
      </c>
      <c r="H1413" s="152" t="str">
        <f>IF(E1413="","",Input!$C$3)</f>
        <v/>
      </c>
      <c r="I1413" s="153" t="str">
        <f>IF(E1413="","",HLOOKUP($B1413,Input!$C$13:$BT$14,2))</f>
        <v/>
      </c>
      <c r="J1413" s="154"/>
      <c r="K1413" s="150" t="str">
        <f>IF($E1413="","",Input!$C$57)</f>
        <v/>
      </c>
      <c r="L1413" s="150" t="str">
        <f t="shared" si="444"/>
        <v/>
      </c>
      <c r="M1413" s="147" t="str">
        <f>IF($E1413="","",VLOOKUP(IF($B1413&lt;=Input!$C$7,$B1413,26),'Mortality Tables'!$A$72:$CA$97,IF($B1413&lt;=Input!$C$7+1,Input!$C$4-16,$D1413-Input!$C$7-16),0)/1000)</f>
        <v/>
      </c>
      <c r="N1413" s="147" t="str">
        <f t="shared" ref="N1413:N1444" si="454">IF($E1413="","",1-(1-M1413)^(1/12))</f>
        <v/>
      </c>
      <c r="O1413" s="157" t="str">
        <f>IF($E1413="","",IF($C1413=12,IF($B1413&lt;Input!$C$9,Input!$C$54,IF($B1413=Input!$C$9,Input!$C$55,Input!$C$56)),0%))</f>
        <v/>
      </c>
      <c r="P1413" s="167" t="str">
        <f>IF($E1413="","",IF($B1413=1,Input!$C$59,IF($B1413&lt;6,Input!$C$60,0%)))</f>
        <v/>
      </c>
      <c r="Q1413" s="162" t="str">
        <f>IF($E1413="","",Input!$C$58)</f>
        <v/>
      </c>
      <c r="R1413" s="156" t="str">
        <f t="shared" si="445"/>
        <v/>
      </c>
      <c r="S1413" s="154" t="str">
        <f t="shared" ref="S1413:S1444" si="455">IF($E1413="","",IF(AND($B1413=1,$C1413=1),1,S1412*R1413))</f>
        <v/>
      </c>
      <c r="T1413" s="152"/>
      <c r="U1413" s="150" t="str">
        <f t="shared" si="446"/>
        <v/>
      </c>
      <c r="V1413" s="150" t="str">
        <f t="shared" si="447"/>
        <v/>
      </c>
      <c r="W1413" s="168" t="str">
        <f t="shared" si="448"/>
        <v/>
      </c>
      <c r="X1413" s="163" t="str">
        <f t="shared" ref="X1413:X1444" si="456">IF($E1413="","",N1413*$H1413)</f>
        <v/>
      </c>
      <c r="Y1413" s="152"/>
      <c r="Z1413" s="164" t="str">
        <f>IF(AND($C1412=12,$D1412=Input!$C$6),0,IF($E1413="","",V1413+Z1414/(1+L1413)*R1413))</f>
        <v/>
      </c>
      <c r="AA1413" s="164" t="str">
        <f>IF(OR($M1413=1,AND($C1412=12,$D1412=Input!$C$6)),0,IF($E1413="","",W1413+(X1413+AA1414*$R1413)/(1+$L1413)))</f>
        <v/>
      </c>
      <c r="AB1413" s="160" t="str">
        <f t="shared" ref="AB1413:AB1444" si="457">IF($E1413="","",$AA$5/$Z$5)</f>
        <v/>
      </c>
      <c r="AC1413" s="164" t="str">
        <f t="shared" ref="AC1413:AC1444" si="458">IF($E1413="","",V1413*AB1413)</f>
        <v/>
      </c>
      <c r="AD1413" s="164" t="str">
        <f>IF(AND($C1412=12,$D1412=Input!$C$6),0,IF($E1413="","",$AC1413+AD1414/(1+$L1413)*$R1413))</f>
        <v/>
      </c>
      <c r="AE1413" s="152"/>
      <c r="AF1413" s="164" t="str">
        <f>IF(AND($C1412=12,$D1412=Input!$C$6),0,IF($E1413="","",IF($B1413&gt;Input!$C$9,$AC1413,0)+AF1414/(1+$L1413)*$R1413))</f>
        <v/>
      </c>
      <c r="AG1413" s="164" t="str">
        <f>IF(AND($C1412=12,$D1412=Input!$C$6),0,IF($E1413="","",(IF($B1413&gt;Input!$C$9,$X1413,0)+AG1414)/(1+$L1413)*$R1413))</f>
        <v/>
      </c>
      <c r="AH1413" s="160" t="str">
        <f t="shared" ref="AH1413:AH1444" si="459">IF($E1413="","",$AF$5/$AG$5)</f>
        <v/>
      </c>
      <c r="AI1413" s="160" t="str">
        <f>IF($E1413="","",MIN(Input!$C$61/AH1413,1))</f>
        <v/>
      </c>
      <c r="AJ1413" s="152"/>
      <c r="AK1413" s="164" t="str">
        <f>IF(AND($C1412=12,$D1412=Input!$C$6),0,IF($E1413="","",IF($B1413&gt;Input!$C$9,$AC1413*AI1413,0)+AK1414/(1+$L1413)*$R1413))</f>
        <v/>
      </c>
      <c r="AL1413" s="164" t="str">
        <f>IF(AND($C1412=12,$D1412=Input!$C$6),0,IF($E1413="","",IF($B1413&gt;Input!$C$9,0,$AC1413)+AL1414/(1+$L1413)*$R1413))</f>
        <v/>
      </c>
      <c r="AM1413" s="160" t="str">
        <f t="shared" ref="AM1413:AM1444" si="460">IF($E1413="","",($AD$5-$AK$5)/$AL$5)</f>
        <v/>
      </c>
      <c r="AN1413" s="164" t="str">
        <f>IF($E1413="","",IF($B1413&gt;Input!$C$9,$AI1413*$AC1413,$AM1413*$AC1413))</f>
        <v/>
      </c>
      <c r="AO1413" s="164" t="str">
        <f>IF(AND($C1412=12,$D1412=Input!$C$6),0,IF($E1413="","",$AN1413+AO1414/(1+$L1413)*$R1413))</f>
        <v/>
      </c>
      <c r="AP1413" s="152"/>
      <c r="AQ1413" s="150" t="str">
        <f t="shared" ref="AQ1413:AQ1444" si="461">IF($E1413="","",$AA1413-$AO1413)</f>
        <v/>
      </c>
      <c r="AR1413" s="150" t="str">
        <f t="shared" si="449"/>
        <v/>
      </c>
      <c r="AS1413" s="150" t="str">
        <f t="shared" si="450"/>
        <v/>
      </c>
      <c r="AT1413" s="150" t="str">
        <f t="shared" ref="AT1413:AT1444" si="462">IF($E1413="","",MAX($AR1413,$AS1413))</f>
        <v/>
      </c>
      <c r="AU1413" s="152"/>
      <c r="AV1413" s="147" t="str">
        <f>'Deterministic Reserve'!BC1413</f>
        <v/>
      </c>
      <c r="AY1413" s="152"/>
    </row>
    <row r="1414" spans="1:51" s="150" customFormat="1" x14ac:dyDescent="0.25">
      <c r="A1414" s="150" t="str">
        <f t="shared" si="451"/>
        <v/>
      </c>
      <c r="B1414" s="150" t="str">
        <f t="shared" si="452"/>
        <v/>
      </c>
      <c r="C1414" s="150" t="str">
        <f t="shared" si="453"/>
        <v/>
      </c>
      <c r="D1414" s="150" t="str">
        <f>IF(E1414="","",Input!$C$4+B1414-1)</f>
        <v/>
      </c>
      <c r="E1414" s="150" t="str">
        <f>IF(OR(AND(C1413=12,D1413=Input!$C$6),E1413=""),"",1)</f>
        <v/>
      </c>
      <c r="G1414" s="151" t="str">
        <f>IF(E1414="","",MAX(0,Input!$C$9-B1414))</f>
        <v/>
      </c>
      <c r="H1414" s="152" t="str">
        <f>IF(E1414="","",Input!$C$3)</f>
        <v/>
      </c>
      <c r="I1414" s="153" t="str">
        <f>IF(E1414="","",HLOOKUP($B1414,Input!$C$13:$BT$14,2))</f>
        <v/>
      </c>
      <c r="J1414" s="154"/>
      <c r="K1414" s="150" t="str">
        <f>IF($E1414="","",Input!$C$57)</f>
        <v/>
      </c>
      <c r="L1414" s="150" t="str">
        <f t="shared" ref="L1414:L1444" si="463">IF($E1414="","",(1+K1414)^(1/12)-1)</f>
        <v/>
      </c>
      <c r="M1414" s="147" t="str">
        <f>IF($E1414="","",VLOOKUP(IF($B1414&lt;=Input!$C$7,$B1414,26),'Mortality Tables'!$A$72:$CA$97,IF($B1414&lt;=Input!$C$7+1,Input!$C$4-16,$D1414-Input!$C$7-16),0)/1000)</f>
        <v/>
      </c>
      <c r="N1414" s="147" t="str">
        <f t="shared" si="454"/>
        <v/>
      </c>
      <c r="O1414" s="157" t="str">
        <f>IF($E1414="","",IF($C1414=12,IF($B1414&lt;Input!$C$9,Input!$C$54,IF($B1414=Input!$C$9,Input!$C$55,Input!$C$56)),0%))</f>
        <v/>
      </c>
      <c r="P1414" s="167" t="str">
        <f>IF($E1414="","",IF($B1414=1,Input!$C$59,IF($B1414&lt;6,Input!$C$60,0%)))</f>
        <v/>
      </c>
      <c r="Q1414" s="162" t="str">
        <f>IF($E1414="","",Input!$C$58)</f>
        <v/>
      </c>
      <c r="R1414" s="156" t="str">
        <f t="shared" ref="R1414:R1444" si="464">IF($E1414="","",MAX(1-N1414-O1414,0))</f>
        <v/>
      </c>
      <c r="S1414" s="154" t="str">
        <f t="shared" si="455"/>
        <v/>
      </c>
      <c r="T1414" s="152"/>
      <c r="U1414" s="150" t="str">
        <f t="shared" ref="U1414:U1444" si="465">IF($E1414="","",IF($C1414=1,$I1414*$H1414/1000,0))</f>
        <v/>
      </c>
      <c r="V1414" s="150" t="str">
        <f t="shared" ref="V1414:V1444" si="466">IF($E1414="","",U1414*(1-$P1414))</f>
        <v/>
      </c>
      <c r="W1414" s="168" t="str">
        <f t="shared" ref="W1414:W1444" si="467">IF($E1414="","",IF(AND($B1414=1,$C1414=1),$Q1414*$H1414/1000,0))</f>
        <v/>
      </c>
      <c r="X1414" s="163" t="str">
        <f t="shared" si="456"/>
        <v/>
      </c>
      <c r="Y1414" s="152"/>
      <c r="Z1414" s="164" t="str">
        <f>IF(AND($C1413=12,$D1413=Input!$C$6),0,IF($E1414="","",V1414+Z1415/(1+L1414)*R1414))</f>
        <v/>
      </c>
      <c r="AA1414" s="164" t="str">
        <f>IF(OR($M1414=1,AND($C1413=12,$D1413=Input!$C$6)),0,IF($E1414="","",W1414+(X1414+AA1415*$R1414)/(1+$L1414)))</f>
        <v/>
      </c>
      <c r="AB1414" s="160" t="str">
        <f t="shared" si="457"/>
        <v/>
      </c>
      <c r="AC1414" s="164" t="str">
        <f t="shared" si="458"/>
        <v/>
      </c>
      <c r="AD1414" s="164" t="str">
        <f>IF(AND($C1413=12,$D1413=Input!$C$6),0,IF($E1414="","",$AC1414+AD1415/(1+$L1414)*$R1414))</f>
        <v/>
      </c>
      <c r="AE1414" s="152"/>
      <c r="AF1414" s="164" t="str">
        <f>IF(AND($C1413=12,$D1413=Input!$C$6),0,IF($E1414="","",IF($B1414&gt;Input!$C$9,$AC1414,0)+AF1415/(1+$L1414)*$R1414))</f>
        <v/>
      </c>
      <c r="AG1414" s="164" t="str">
        <f>IF(AND($C1413=12,$D1413=Input!$C$6),0,IF($E1414="","",(IF($B1414&gt;Input!$C$9,$X1414,0)+AG1415)/(1+$L1414)*$R1414))</f>
        <v/>
      </c>
      <c r="AH1414" s="160" t="str">
        <f t="shared" si="459"/>
        <v/>
      </c>
      <c r="AI1414" s="160" t="str">
        <f>IF($E1414="","",MIN(Input!$C$61/AH1414,1))</f>
        <v/>
      </c>
      <c r="AJ1414" s="152"/>
      <c r="AK1414" s="164" t="str">
        <f>IF(AND($C1413=12,$D1413=Input!$C$6),0,IF($E1414="","",IF($B1414&gt;Input!$C$9,$AC1414*AI1414,0)+AK1415/(1+$L1414)*$R1414))</f>
        <v/>
      </c>
      <c r="AL1414" s="164" t="str">
        <f>IF(AND($C1413=12,$D1413=Input!$C$6),0,IF($E1414="","",IF($B1414&gt;Input!$C$9,0,$AC1414)+AL1415/(1+$L1414)*$R1414))</f>
        <v/>
      </c>
      <c r="AM1414" s="160" t="str">
        <f t="shared" si="460"/>
        <v/>
      </c>
      <c r="AN1414" s="164" t="str">
        <f>IF($E1414="","",IF($B1414&gt;Input!$C$9,$AI1414*$AC1414,$AM1414*$AC1414))</f>
        <v/>
      </c>
      <c r="AO1414" s="164" t="str">
        <f>IF(AND($C1413=12,$D1413=Input!$C$6),0,IF($E1414="","",$AN1414+AO1415/(1+$L1414)*$R1414))</f>
        <v/>
      </c>
      <c r="AP1414" s="152"/>
      <c r="AQ1414" s="150" t="str">
        <f t="shared" si="461"/>
        <v/>
      </c>
      <c r="AR1414" s="150" t="str">
        <f t="shared" ref="AR1414:AR1444" si="468">IF($E1414="","",IF($M1414=1,0,0.5*(IF($B1414=1,0,SUMIFS($AQ:$AQ,$B:$B,$B1414-1,$C:$C,12))+SUMIFS($AN:$AN,$B:$B,$B1414,$C:$C,1)+SUMIFS($AQ:$AQ,$B:$B,$B1414,$C:$C,12))))</f>
        <v/>
      </c>
      <c r="AS1414" s="150" t="str">
        <f t="shared" ref="AS1414:AS1444" si="469">IF($E1414="","",IF($M1414=1,0,0.5*$M1414*$H1414/(1+$K1414)))</f>
        <v/>
      </c>
      <c r="AT1414" s="150" t="str">
        <f t="shared" si="462"/>
        <v/>
      </c>
      <c r="AU1414" s="152"/>
      <c r="AV1414" s="147" t="str">
        <f>'Deterministic Reserve'!BC1414</f>
        <v/>
      </c>
      <c r="AY1414" s="152"/>
    </row>
    <row r="1415" spans="1:51" s="150" customFormat="1" x14ac:dyDescent="0.25">
      <c r="A1415" s="150" t="str">
        <f t="shared" ref="A1415:A1444" si="470">IF(E1415="","",A1414+1)</f>
        <v/>
      </c>
      <c r="B1415" s="150" t="str">
        <f t="shared" ref="B1415:B1444" si="471">IF(E1415="","",IF(C1414+1&gt;12,B1414+1,B1414))</f>
        <v/>
      </c>
      <c r="C1415" s="150" t="str">
        <f t="shared" ref="C1415:C1444" si="472">IF(E1415="","",IF(C1414+1&gt;12,1,C1414+1))</f>
        <v/>
      </c>
      <c r="D1415" s="150" t="str">
        <f>IF(E1415="","",Input!$C$4+B1415-1)</f>
        <v/>
      </c>
      <c r="E1415" s="150" t="str">
        <f>IF(OR(AND(C1414=12,D1414=Input!$C$6),E1414=""),"",1)</f>
        <v/>
      </c>
      <c r="G1415" s="151" t="str">
        <f>IF(E1415="","",MAX(0,Input!$C$9-B1415))</f>
        <v/>
      </c>
      <c r="H1415" s="152" t="str">
        <f>IF(E1415="","",Input!$C$3)</f>
        <v/>
      </c>
      <c r="I1415" s="153" t="str">
        <f>IF(E1415="","",HLOOKUP($B1415,Input!$C$13:$BT$14,2))</f>
        <v/>
      </c>
      <c r="J1415" s="154"/>
      <c r="K1415" s="150" t="str">
        <f>IF($E1415="","",Input!$C$57)</f>
        <v/>
      </c>
      <c r="L1415" s="150" t="str">
        <f t="shared" si="463"/>
        <v/>
      </c>
      <c r="M1415" s="147" t="str">
        <f>IF($E1415="","",VLOOKUP(IF($B1415&lt;=Input!$C$7,$B1415,26),'Mortality Tables'!$A$72:$CA$97,IF($B1415&lt;=Input!$C$7+1,Input!$C$4-16,$D1415-Input!$C$7-16),0)/1000)</f>
        <v/>
      </c>
      <c r="N1415" s="147" t="str">
        <f t="shared" si="454"/>
        <v/>
      </c>
      <c r="O1415" s="157" t="str">
        <f>IF($E1415="","",IF($C1415=12,IF($B1415&lt;Input!$C$9,Input!$C$54,IF($B1415=Input!$C$9,Input!$C$55,Input!$C$56)),0%))</f>
        <v/>
      </c>
      <c r="P1415" s="167" t="str">
        <f>IF($E1415="","",IF($B1415=1,Input!$C$59,IF($B1415&lt;6,Input!$C$60,0%)))</f>
        <v/>
      </c>
      <c r="Q1415" s="162" t="str">
        <f>IF($E1415="","",Input!$C$58)</f>
        <v/>
      </c>
      <c r="R1415" s="156" t="str">
        <f t="shared" si="464"/>
        <v/>
      </c>
      <c r="S1415" s="154" t="str">
        <f t="shared" si="455"/>
        <v/>
      </c>
      <c r="T1415" s="152"/>
      <c r="U1415" s="150" t="str">
        <f t="shared" si="465"/>
        <v/>
      </c>
      <c r="V1415" s="150" t="str">
        <f t="shared" si="466"/>
        <v/>
      </c>
      <c r="W1415" s="168" t="str">
        <f t="shared" si="467"/>
        <v/>
      </c>
      <c r="X1415" s="163" t="str">
        <f t="shared" si="456"/>
        <v/>
      </c>
      <c r="Y1415" s="152"/>
      <c r="Z1415" s="164" t="str">
        <f>IF(AND($C1414=12,$D1414=Input!$C$6),0,IF($E1415="","",V1415+Z1416/(1+L1415)*R1415))</f>
        <v/>
      </c>
      <c r="AA1415" s="164" t="str">
        <f>IF(OR($M1415=1,AND($C1414=12,$D1414=Input!$C$6)),0,IF($E1415="","",W1415+(X1415+AA1416*$R1415)/(1+$L1415)))</f>
        <v/>
      </c>
      <c r="AB1415" s="160" t="str">
        <f t="shared" si="457"/>
        <v/>
      </c>
      <c r="AC1415" s="164" t="str">
        <f t="shared" si="458"/>
        <v/>
      </c>
      <c r="AD1415" s="164" t="str">
        <f>IF(AND($C1414=12,$D1414=Input!$C$6),0,IF($E1415="","",$AC1415+AD1416/(1+$L1415)*$R1415))</f>
        <v/>
      </c>
      <c r="AE1415" s="152"/>
      <c r="AF1415" s="164" t="str">
        <f>IF(AND($C1414=12,$D1414=Input!$C$6),0,IF($E1415="","",IF($B1415&gt;Input!$C$9,$AC1415,0)+AF1416/(1+$L1415)*$R1415))</f>
        <v/>
      </c>
      <c r="AG1415" s="164" t="str">
        <f>IF(AND($C1414=12,$D1414=Input!$C$6),0,IF($E1415="","",(IF($B1415&gt;Input!$C$9,$X1415,0)+AG1416)/(1+$L1415)*$R1415))</f>
        <v/>
      </c>
      <c r="AH1415" s="160" t="str">
        <f t="shared" si="459"/>
        <v/>
      </c>
      <c r="AI1415" s="160" t="str">
        <f>IF($E1415="","",MIN(Input!$C$61/AH1415,1))</f>
        <v/>
      </c>
      <c r="AJ1415" s="152"/>
      <c r="AK1415" s="164" t="str">
        <f>IF(AND($C1414=12,$D1414=Input!$C$6),0,IF($E1415="","",IF($B1415&gt;Input!$C$9,$AC1415*AI1415,0)+AK1416/(1+$L1415)*$R1415))</f>
        <v/>
      </c>
      <c r="AL1415" s="164" t="str">
        <f>IF(AND($C1414=12,$D1414=Input!$C$6),0,IF($E1415="","",IF($B1415&gt;Input!$C$9,0,$AC1415)+AL1416/(1+$L1415)*$R1415))</f>
        <v/>
      </c>
      <c r="AM1415" s="160" t="str">
        <f t="shared" si="460"/>
        <v/>
      </c>
      <c r="AN1415" s="164" t="str">
        <f>IF($E1415="","",IF($B1415&gt;Input!$C$9,$AI1415*$AC1415,$AM1415*$AC1415))</f>
        <v/>
      </c>
      <c r="AO1415" s="164" t="str">
        <f>IF(AND($C1414=12,$D1414=Input!$C$6),0,IF($E1415="","",$AN1415+AO1416/(1+$L1415)*$R1415))</f>
        <v/>
      </c>
      <c r="AP1415" s="152"/>
      <c r="AQ1415" s="150" t="str">
        <f t="shared" si="461"/>
        <v/>
      </c>
      <c r="AR1415" s="150" t="str">
        <f t="shared" si="468"/>
        <v/>
      </c>
      <c r="AS1415" s="150" t="str">
        <f t="shared" si="469"/>
        <v/>
      </c>
      <c r="AT1415" s="150" t="str">
        <f t="shared" si="462"/>
        <v/>
      </c>
      <c r="AU1415" s="152"/>
      <c r="AV1415" s="147" t="str">
        <f>'Deterministic Reserve'!BC1415</f>
        <v/>
      </c>
      <c r="AY1415" s="152"/>
    </row>
    <row r="1416" spans="1:51" s="150" customFormat="1" x14ac:dyDescent="0.25">
      <c r="A1416" s="150" t="str">
        <f t="shared" si="470"/>
        <v/>
      </c>
      <c r="B1416" s="150" t="str">
        <f t="shared" si="471"/>
        <v/>
      </c>
      <c r="C1416" s="150" t="str">
        <f t="shared" si="472"/>
        <v/>
      </c>
      <c r="D1416" s="150" t="str">
        <f>IF(E1416="","",Input!$C$4+B1416-1)</f>
        <v/>
      </c>
      <c r="E1416" s="150" t="str">
        <f>IF(OR(AND(C1415=12,D1415=Input!$C$6),E1415=""),"",1)</f>
        <v/>
      </c>
      <c r="G1416" s="151" t="str">
        <f>IF(E1416="","",MAX(0,Input!$C$9-B1416))</f>
        <v/>
      </c>
      <c r="H1416" s="152" t="str">
        <f>IF(E1416="","",Input!$C$3)</f>
        <v/>
      </c>
      <c r="I1416" s="153" t="str">
        <f>IF(E1416="","",HLOOKUP($B1416,Input!$C$13:$BT$14,2))</f>
        <v/>
      </c>
      <c r="J1416" s="154"/>
      <c r="K1416" s="150" t="str">
        <f>IF($E1416="","",Input!$C$57)</f>
        <v/>
      </c>
      <c r="L1416" s="150" t="str">
        <f t="shared" si="463"/>
        <v/>
      </c>
      <c r="M1416" s="147" t="str">
        <f>IF($E1416="","",VLOOKUP(IF($B1416&lt;=Input!$C$7,$B1416,26),'Mortality Tables'!$A$72:$CA$97,IF($B1416&lt;=Input!$C$7+1,Input!$C$4-16,$D1416-Input!$C$7-16),0)/1000)</f>
        <v/>
      </c>
      <c r="N1416" s="147" t="str">
        <f t="shared" si="454"/>
        <v/>
      </c>
      <c r="O1416" s="157" t="str">
        <f>IF($E1416="","",IF($C1416=12,IF($B1416&lt;Input!$C$9,Input!$C$54,IF($B1416=Input!$C$9,Input!$C$55,Input!$C$56)),0%))</f>
        <v/>
      </c>
      <c r="P1416" s="167" t="str">
        <f>IF($E1416="","",IF($B1416=1,Input!$C$59,IF($B1416&lt;6,Input!$C$60,0%)))</f>
        <v/>
      </c>
      <c r="Q1416" s="162" t="str">
        <f>IF($E1416="","",Input!$C$58)</f>
        <v/>
      </c>
      <c r="R1416" s="156" t="str">
        <f t="shared" si="464"/>
        <v/>
      </c>
      <c r="S1416" s="154" t="str">
        <f t="shared" si="455"/>
        <v/>
      </c>
      <c r="T1416" s="152"/>
      <c r="U1416" s="150" t="str">
        <f t="shared" si="465"/>
        <v/>
      </c>
      <c r="V1416" s="150" t="str">
        <f t="shared" si="466"/>
        <v/>
      </c>
      <c r="W1416" s="168" t="str">
        <f t="shared" si="467"/>
        <v/>
      </c>
      <c r="X1416" s="163" t="str">
        <f t="shared" si="456"/>
        <v/>
      </c>
      <c r="Y1416" s="152"/>
      <c r="Z1416" s="164" t="str">
        <f>IF(AND($C1415=12,$D1415=Input!$C$6),0,IF($E1416="","",V1416+Z1417/(1+L1416)*R1416))</f>
        <v/>
      </c>
      <c r="AA1416" s="164" t="str">
        <f>IF(OR($M1416=1,AND($C1415=12,$D1415=Input!$C$6)),0,IF($E1416="","",W1416+(X1416+AA1417*$R1416)/(1+$L1416)))</f>
        <v/>
      </c>
      <c r="AB1416" s="160" t="str">
        <f t="shared" si="457"/>
        <v/>
      </c>
      <c r="AC1416" s="164" t="str">
        <f t="shared" si="458"/>
        <v/>
      </c>
      <c r="AD1416" s="164" t="str">
        <f>IF(AND($C1415=12,$D1415=Input!$C$6),0,IF($E1416="","",$AC1416+AD1417/(1+$L1416)*$R1416))</f>
        <v/>
      </c>
      <c r="AE1416" s="152"/>
      <c r="AF1416" s="164" t="str">
        <f>IF(AND($C1415=12,$D1415=Input!$C$6),0,IF($E1416="","",IF($B1416&gt;Input!$C$9,$AC1416,0)+AF1417/(1+$L1416)*$R1416))</f>
        <v/>
      </c>
      <c r="AG1416" s="164" t="str">
        <f>IF(AND($C1415=12,$D1415=Input!$C$6),0,IF($E1416="","",(IF($B1416&gt;Input!$C$9,$X1416,0)+AG1417)/(1+$L1416)*$R1416))</f>
        <v/>
      </c>
      <c r="AH1416" s="160" t="str">
        <f t="shared" si="459"/>
        <v/>
      </c>
      <c r="AI1416" s="160" t="str">
        <f>IF($E1416="","",MIN(Input!$C$61/AH1416,1))</f>
        <v/>
      </c>
      <c r="AJ1416" s="152"/>
      <c r="AK1416" s="164" t="str">
        <f>IF(AND($C1415=12,$D1415=Input!$C$6),0,IF($E1416="","",IF($B1416&gt;Input!$C$9,$AC1416*AI1416,0)+AK1417/(1+$L1416)*$R1416))</f>
        <v/>
      </c>
      <c r="AL1416" s="164" t="str">
        <f>IF(AND($C1415=12,$D1415=Input!$C$6),0,IF($E1416="","",IF($B1416&gt;Input!$C$9,0,$AC1416)+AL1417/(1+$L1416)*$R1416))</f>
        <v/>
      </c>
      <c r="AM1416" s="160" t="str">
        <f t="shared" si="460"/>
        <v/>
      </c>
      <c r="AN1416" s="164" t="str">
        <f>IF($E1416="","",IF($B1416&gt;Input!$C$9,$AI1416*$AC1416,$AM1416*$AC1416))</f>
        <v/>
      </c>
      <c r="AO1416" s="164" t="str">
        <f>IF(AND($C1415=12,$D1415=Input!$C$6),0,IF($E1416="","",$AN1416+AO1417/(1+$L1416)*$R1416))</f>
        <v/>
      </c>
      <c r="AP1416" s="152"/>
      <c r="AQ1416" s="150" t="str">
        <f t="shared" si="461"/>
        <v/>
      </c>
      <c r="AR1416" s="150" t="str">
        <f t="shared" si="468"/>
        <v/>
      </c>
      <c r="AS1416" s="150" t="str">
        <f t="shared" si="469"/>
        <v/>
      </c>
      <c r="AT1416" s="150" t="str">
        <f t="shared" si="462"/>
        <v/>
      </c>
      <c r="AU1416" s="152"/>
      <c r="AV1416" s="147" t="str">
        <f>'Deterministic Reserve'!BC1416</f>
        <v/>
      </c>
      <c r="AY1416" s="152"/>
    </row>
    <row r="1417" spans="1:51" s="150" customFormat="1" x14ac:dyDescent="0.25">
      <c r="A1417" s="150" t="str">
        <f t="shared" si="470"/>
        <v/>
      </c>
      <c r="B1417" s="150" t="str">
        <f t="shared" si="471"/>
        <v/>
      </c>
      <c r="C1417" s="150" t="str">
        <f t="shared" si="472"/>
        <v/>
      </c>
      <c r="D1417" s="150" t="str">
        <f>IF(E1417="","",Input!$C$4+B1417-1)</f>
        <v/>
      </c>
      <c r="E1417" s="150" t="str">
        <f>IF(OR(AND(C1416=12,D1416=Input!$C$6),E1416=""),"",1)</f>
        <v/>
      </c>
      <c r="G1417" s="151" t="str">
        <f>IF(E1417="","",MAX(0,Input!$C$9-B1417))</f>
        <v/>
      </c>
      <c r="H1417" s="152" t="str">
        <f>IF(E1417="","",Input!$C$3)</f>
        <v/>
      </c>
      <c r="I1417" s="153" t="str">
        <f>IF(E1417="","",HLOOKUP($B1417,Input!$C$13:$BT$14,2))</f>
        <v/>
      </c>
      <c r="J1417" s="154"/>
      <c r="K1417" s="150" t="str">
        <f>IF($E1417="","",Input!$C$57)</f>
        <v/>
      </c>
      <c r="L1417" s="150" t="str">
        <f t="shared" si="463"/>
        <v/>
      </c>
      <c r="M1417" s="147" t="str">
        <f>IF($E1417="","",VLOOKUP(IF($B1417&lt;=Input!$C$7,$B1417,26),'Mortality Tables'!$A$72:$CA$97,IF($B1417&lt;=Input!$C$7+1,Input!$C$4-16,$D1417-Input!$C$7-16),0)/1000)</f>
        <v/>
      </c>
      <c r="N1417" s="147" t="str">
        <f t="shared" si="454"/>
        <v/>
      </c>
      <c r="O1417" s="157" t="str">
        <f>IF($E1417="","",IF($C1417=12,IF($B1417&lt;Input!$C$9,Input!$C$54,IF($B1417=Input!$C$9,Input!$C$55,Input!$C$56)),0%))</f>
        <v/>
      </c>
      <c r="P1417" s="167" t="str">
        <f>IF($E1417="","",IF($B1417=1,Input!$C$59,IF($B1417&lt;6,Input!$C$60,0%)))</f>
        <v/>
      </c>
      <c r="Q1417" s="162" t="str">
        <f>IF($E1417="","",Input!$C$58)</f>
        <v/>
      </c>
      <c r="R1417" s="156" t="str">
        <f t="shared" si="464"/>
        <v/>
      </c>
      <c r="S1417" s="154" t="str">
        <f t="shared" si="455"/>
        <v/>
      </c>
      <c r="T1417" s="152"/>
      <c r="U1417" s="150" t="str">
        <f t="shared" si="465"/>
        <v/>
      </c>
      <c r="V1417" s="150" t="str">
        <f t="shared" si="466"/>
        <v/>
      </c>
      <c r="W1417" s="168" t="str">
        <f t="shared" si="467"/>
        <v/>
      </c>
      <c r="X1417" s="163" t="str">
        <f t="shared" si="456"/>
        <v/>
      </c>
      <c r="Y1417" s="152"/>
      <c r="Z1417" s="164" t="str">
        <f>IF(AND($C1416=12,$D1416=Input!$C$6),0,IF($E1417="","",V1417+Z1418/(1+L1417)*R1417))</f>
        <v/>
      </c>
      <c r="AA1417" s="164" t="str">
        <f>IF(OR($M1417=1,AND($C1416=12,$D1416=Input!$C$6)),0,IF($E1417="","",W1417+(X1417+AA1418*$R1417)/(1+$L1417)))</f>
        <v/>
      </c>
      <c r="AB1417" s="160" t="str">
        <f t="shared" si="457"/>
        <v/>
      </c>
      <c r="AC1417" s="164" t="str">
        <f t="shared" si="458"/>
        <v/>
      </c>
      <c r="AD1417" s="164" t="str">
        <f>IF(AND($C1416=12,$D1416=Input!$C$6),0,IF($E1417="","",$AC1417+AD1418/(1+$L1417)*$R1417))</f>
        <v/>
      </c>
      <c r="AE1417" s="152"/>
      <c r="AF1417" s="164" t="str">
        <f>IF(AND($C1416=12,$D1416=Input!$C$6),0,IF($E1417="","",IF($B1417&gt;Input!$C$9,$AC1417,0)+AF1418/(1+$L1417)*$R1417))</f>
        <v/>
      </c>
      <c r="AG1417" s="164" t="str">
        <f>IF(AND($C1416=12,$D1416=Input!$C$6),0,IF($E1417="","",(IF($B1417&gt;Input!$C$9,$X1417,0)+AG1418)/(1+$L1417)*$R1417))</f>
        <v/>
      </c>
      <c r="AH1417" s="160" t="str">
        <f t="shared" si="459"/>
        <v/>
      </c>
      <c r="AI1417" s="160" t="str">
        <f>IF($E1417="","",MIN(Input!$C$61/AH1417,1))</f>
        <v/>
      </c>
      <c r="AJ1417" s="152"/>
      <c r="AK1417" s="164" t="str">
        <f>IF(AND($C1416=12,$D1416=Input!$C$6),0,IF($E1417="","",IF($B1417&gt;Input!$C$9,$AC1417*AI1417,0)+AK1418/(1+$L1417)*$R1417))</f>
        <v/>
      </c>
      <c r="AL1417" s="164" t="str">
        <f>IF(AND($C1416=12,$D1416=Input!$C$6),0,IF($E1417="","",IF($B1417&gt;Input!$C$9,0,$AC1417)+AL1418/(1+$L1417)*$R1417))</f>
        <v/>
      </c>
      <c r="AM1417" s="160" t="str">
        <f t="shared" si="460"/>
        <v/>
      </c>
      <c r="AN1417" s="164" t="str">
        <f>IF($E1417="","",IF($B1417&gt;Input!$C$9,$AI1417*$AC1417,$AM1417*$AC1417))</f>
        <v/>
      </c>
      <c r="AO1417" s="164" t="str">
        <f>IF(AND($C1416=12,$D1416=Input!$C$6),0,IF($E1417="","",$AN1417+AO1418/(1+$L1417)*$R1417))</f>
        <v/>
      </c>
      <c r="AP1417" s="152"/>
      <c r="AQ1417" s="150" t="str">
        <f t="shared" si="461"/>
        <v/>
      </c>
      <c r="AR1417" s="150" t="str">
        <f t="shared" si="468"/>
        <v/>
      </c>
      <c r="AS1417" s="150" t="str">
        <f t="shared" si="469"/>
        <v/>
      </c>
      <c r="AT1417" s="150" t="str">
        <f t="shared" si="462"/>
        <v/>
      </c>
      <c r="AU1417" s="152"/>
      <c r="AV1417" s="147" t="str">
        <f>'Deterministic Reserve'!BC1417</f>
        <v/>
      </c>
      <c r="AY1417" s="152"/>
    </row>
    <row r="1418" spans="1:51" s="150" customFormat="1" x14ac:dyDescent="0.25">
      <c r="A1418" s="150" t="str">
        <f t="shared" si="470"/>
        <v/>
      </c>
      <c r="B1418" s="150" t="str">
        <f t="shared" si="471"/>
        <v/>
      </c>
      <c r="C1418" s="150" t="str">
        <f t="shared" si="472"/>
        <v/>
      </c>
      <c r="D1418" s="150" t="str">
        <f>IF(E1418="","",Input!$C$4+B1418-1)</f>
        <v/>
      </c>
      <c r="E1418" s="150" t="str">
        <f>IF(OR(AND(C1417=12,D1417=Input!$C$6),E1417=""),"",1)</f>
        <v/>
      </c>
      <c r="G1418" s="151" t="str">
        <f>IF(E1418="","",MAX(0,Input!$C$9-B1418))</f>
        <v/>
      </c>
      <c r="H1418" s="152" t="str">
        <f>IF(E1418="","",Input!$C$3)</f>
        <v/>
      </c>
      <c r="I1418" s="153" t="str">
        <f>IF(E1418="","",HLOOKUP($B1418,Input!$C$13:$BT$14,2))</f>
        <v/>
      </c>
      <c r="J1418" s="154"/>
      <c r="K1418" s="150" t="str">
        <f>IF($E1418="","",Input!$C$57)</f>
        <v/>
      </c>
      <c r="L1418" s="150" t="str">
        <f t="shared" si="463"/>
        <v/>
      </c>
      <c r="M1418" s="147" t="str">
        <f>IF($E1418="","",VLOOKUP(IF($B1418&lt;=Input!$C$7,$B1418,26),'Mortality Tables'!$A$72:$CA$97,IF($B1418&lt;=Input!$C$7+1,Input!$C$4-16,$D1418-Input!$C$7-16),0)/1000)</f>
        <v/>
      </c>
      <c r="N1418" s="147" t="str">
        <f t="shared" si="454"/>
        <v/>
      </c>
      <c r="O1418" s="157" t="str">
        <f>IF($E1418="","",IF($C1418=12,IF($B1418&lt;Input!$C$9,Input!$C$54,IF($B1418=Input!$C$9,Input!$C$55,Input!$C$56)),0%))</f>
        <v/>
      </c>
      <c r="P1418" s="167" t="str">
        <f>IF($E1418="","",IF($B1418=1,Input!$C$59,IF($B1418&lt;6,Input!$C$60,0%)))</f>
        <v/>
      </c>
      <c r="Q1418" s="162" t="str">
        <f>IF($E1418="","",Input!$C$58)</f>
        <v/>
      </c>
      <c r="R1418" s="156" t="str">
        <f t="shared" si="464"/>
        <v/>
      </c>
      <c r="S1418" s="154" t="str">
        <f t="shared" si="455"/>
        <v/>
      </c>
      <c r="T1418" s="152"/>
      <c r="U1418" s="150" t="str">
        <f t="shared" si="465"/>
        <v/>
      </c>
      <c r="V1418" s="150" t="str">
        <f t="shared" si="466"/>
        <v/>
      </c>
      <c r="W1418" s="168" t="str">
        <f t="shared" si="467"/>
        <v/>
      </c>
      <c r="X1418" s="163" t="str">
        <f t="shared" si="456"/>
        <v/>
      </c>
      <c r="Y1418" s="152"/>
      <c r="Z1418" s="164" t="str">
        <f>IF(AND($C1417=12,$D1417=Input!$C$6),0,IF($E1418="","",V1418+Z1419/(1+L1418)*R1418))</f>
        <v/>
      </c>
      <c r="AA1418" s="164" t="str">
        <f>IF(OR($M1418=1,AND($C1417=12,$D1417=Input!$C$6)),0,IF($E1418="","",W1418+(X1418+AA1419*$R1418)/(1+$L1418)))</f>
        <v/>
      </c>
      <c r="AB1418" s="160" t="str">
        <f t="shared" si="457"/>
        <v/>
      </c>
      <c r="AC1418" s="164" t="str">
        <f t="shared" si="458"/>
        <v/>
      </c>
      <c r="AD1418" s="164" t="str">
        <f>IF(AND($C1417=12,$D1417=Input!$C$6),0,IF($E1418="","",$AC1418+AD1419/(1+$L1418)*$R1418))</f>
        <v/>
      </c>
      <c r="AE1418" s="152"/>
      <c r="AF1418" s="164" t="str">
        <f>IF(AND($C1417=12,$D1417=Input!$C$6),0,IF($E1418="","",IF($B1418&gt;Input!$C$9,$AC1418,0)+AF1419/(1+$L1418)*$R1418))</f>
        <v/>
      </c>
      <c r="AG1418" s="164" t="str">
        <f>IF(AND($C1417=12,$D1417=Input!$C$6),0,IF($E1418="","",(IF($B1418&gt;Input!$C$9,$X1418,0)+AG1419)/(1+$L1418)*$R1418))</f>
        <v/>
      </c>
      <c r="AH1418" s="160" t="str">
        <f t="shared" si="459"/>
        <v/>
      </c>
      <c r="AI1418" s="160" t="str">
        <f>IF($E1418="","",MIN(Input!$C$61/AH1418,1))</f>
        <v/>
      </c>
      <c r="AJ1418" s="152"/>
      <c r="AK1418" s="164" t="str">
        <f>IF(AND($C1417=12,$D1417=Input!$C$6),0,IF($E1418="","",IF($B1418&gt;Input!$C$9,$AC1418*AI1418,0)+AK1419/(1+$L1418)*$R1418))</f>
        <v/>
      </c>
      <c r="AL1418" s="164" t="str">
        <f>IF(AND($C1417=12,$D1417=Input!$C$6),0,IF($E1418="","",IF($B1418&gt;Input!$C$9,0,$AC1418)+AL1419/(1+$L1418)*$R1418))</f>
        <v/>
      </c>
      <c r="AM1418" s="160" t="str">
        <f t="shared" si="460"/>
        <v/>
      </c>
      <c r="AN1418" s="164" t="str">
        <f>IF($E1418="","",IF($B1418&gt;Input!$C$9,$AI1418*$AC1418,$AM1418*$AC1418))</f>
        <v/>
      </c>
      <c r="AO1418" s="164" t="str">
        <f>IF(AND($C1417=12,$D1417=Input!$C$6),0,IF($E1418="","",$AN1418+AO1419/(1+$L1418)*$R1418))</f>
        <v/>
      </c>
      <c r="AP1418" s="152"/>
      <c r="AQ1418" s="150" t="str">
        <f t="shared" si="461"/>
        <v/>
      </c>
      <c r="AR1418" s="150" t="str">
        <f t="shared" si="468"/>
        <v/>
      </c>
      <c r="AS1418" s="150" t="str">
        <f t="shared" si="469"/>
        <v/>
      </c>
      <c r="AT1418" s="150" t="str">
        <f t="shared" si="462"/>
        <v/>
      </c>
      <c r="AU1418" s="152"/>
      <c r="AV1418" s="147" t="str">
        <f>'Deterministic Reserve'!BC1418</f>
        <v/>
      </c>
      <c r="AY1418" s="152"/>
    </row>
    <row r="1419" spans="1:51" s="150" customFormat="1" x14ac:dyDescent="0.25">
      <c r="A1419" s="150" t="str">
        <f t="shared" si="470"/>
        <v/>
      </c>
      <c r="B1419" s="150" t="str">
        <f t="shared" si="471"/>
        <v/>
      </c>
      <c r="C1419" s="150" t="str">
        <f t="shared" si="472"/>
        <v/>
      </c>
      <c r="D1419" s="150" t="str">
        <f>IF(E1419="","",Input!$C$4+B1419-1)</f>
        <v/>
      </c>
      <c r="E1419" s="150" t="str">
        <f>IF(OR(AND(C1418=12,D1418=Input!$C$6),E1418=""),"",1)</f>
        <v/>
      </c>
      <c r="G1419" s="151" t="str">
        <f>IF(E1419="","",MAX(0,Input!$C$9-B1419))</f>
        <v/>
      </c>
      <c r="H1419" s="152" t="str">
        <f>IF(E1419="","",Input!$C$3)</f>
        <v/>
      </c>
      <c r="I1419" s="153" t="str">
        <f>IF(E1419="","",HLOOKUP($B1419,Input!$C$13:$BT$14,2))</f>
        <v/>
      </c>
      <c r="J1419" s="154"/>
      <c r="K1419" s="150" t="str">
        <f>IF($E1419="","",Input!$C$57)</f>
        <v/>
      </c>
      <c r="L1419" s="150" t="str">
        <f t="shared" si="463"/>
        <v/>
      </c>
      <c r="M1419" s="147" t="str">
        <f>IF($E1419="","",VLOOKUP(IF($B1419&lt;=Input!$C$7,$B1419,26),'Mortality Tables'!$A$72:$CA$97,IF($B1419&lt;=Input!$C$7+1,Input!$C$4-16,$D1419-Input!$C$7-16),0)/1000)</f>
        <v/>
      </c>
      <c r="N1419" s="147" t="str">
        <f t="shared" si="454"/>
        <v/>
      </c>
      <c r="O1419" s="157" t="str">
        <f>IF($E1419="","",IF($C1419=12,IF($B1419&lt;Input!$C$9,Input!$C$54,IF($B1419=Input!$C$9,Input!$C$55,Input!$C$56)),0%))</f>
        <v/>
      </c>
      <c r="P1419" s="167" t="str">
        <f>IF($E1419="","",IF($B1419=1,Input!$C$59,IF($B1419&lt;6,Input!$C$60,0%)))</f>
        <v/>
      </c>
      <c r="Q1419" s="162" t="str">
        <f>IF($E1419="","",Input!$C$58)</f>
        <v/>
      </c>
      <c r="R1419" s="156" t="str">
        <f t="shared" si="464"/>
        <v/>
      </c>
      <c r="S1419" s="154" t="str">
        <f t="shared" si="455"/>
        <v/>
      </c>
      <c r="T1419" s="152"/>
      <c r="U1419" s="150" t="str">
        <f t="shared" si="465"/>
        <v/>
      </c>
      <c r="V1419" s="150" t="str">
        <f t="shared" si="466"/>
        <v/>
      </c>
      <c r="W1419" s="168" t="str">
        <f t="shared" si="467"/>
        <v/>
      </c>
      <c r="X1419" s="163" t="str">
        <f t="shared" si="456"/>
        <v/>
      </c>
      <c r="Y1419" s="152"/>
      <c r="Z1419" s="164" t="str">
        <f>IF(AND($C1418=12,$D1418=Input!$C$6),0,IF($E1419="","",V1419+Z1420/(1+L1419)*R1419))</f>
        <v/>
      </c>
      <c r="AA1419" s="164" t="str">
        <f>IF(OR($M1419=1,AND($C1418=12,$D1418=Input!$C$6)),0,IF($E1419="","",W1419+(X1419+AA1420*$R1419)/(1+$L1419)))</f>
        <v/>
      </c>
      <c r="AB1419" s="160" t="str">
        <f t="shared" si="457"/>
        <v/>
      </c>
      <c r="AC1419" s="164" t="str">
        <f t="shared" si="458"/>
        <v/>
      </c>
      <c r="AD1419" s="164" t="str">
        <f>IF(AND($C1418=12,$D1418=Input!$C$6),0,IF($E1419="","",$AC1419+AD1420/(1+$L1419)*$R1419))</f>
        <v/>
      </c>
      <c r="AE1419" s="152"/>
      <c r="AF1419" s="164" t="str">
        <f>IF(AND($C1418=12,$D1418=Input!$C$6),0,IF($E1419="","",IF($B1419&gt;Input!$C$9,$AC1419,0)+AF1420/(1+$L1419)*$R1419))</f>
        <v/>
      </c>
      <c r="AG1419" s="164" t="str">
        <f>IF(AND($C1418=12,$D1418=Input!$C$6),0,IF($E1419="","",(IF($B1419&gt;Input!$C$9,$X1419,0)+AG1420)/(1+$L1419)*$R1419))</f>
        <v/>
      </c>
      <c r="AH1419" s="160" t="str">
        <f t="shared" si="459"/>
        <v/>
      </c>
      <c r="AI1419" s="160" t="str">
        <f>IF($E1419="","",MIN(Input!$C$61/AH1419,1))</f>
        <v/>
      </c>
      <c r="AJ1419" s="152"/>
      <c r="AK1419" s="164" t="str">
        <f>IF(AND($C1418=12,$D1418=Input!$C$6),0,IF($E1419="","",IF($B1419&gt;Input!$C$9,$AC1419*AI1419,0)+AK1420/(1+$L1419)*$R1419))</f>
        <v/>
      </c>
      <c r="AL1419" s="164" t="str">
        <f>IF(AND($C1418=12,$D1418=Input!$C$6),0,IF($E1419="","",IF($B1419&gt;Input!$C$9,0,$AC1419)+AL1420/(1+$L1419)*$R1419))</f>
        <v/>
      </c>
      <c r="AM1419" s="160" t="str">
        <f t="shared" si="460"/>
        <v/>
      </c>
      <c r="AN1419" s="164" t="str">
        <f>IF($E1419="","",IF($B1419&gt;Input!$C$9,$AI1419*$AC1419,$AM1419*$AC1419))</f>
        <v/>
      </c>
      <c r="AO1419" s="164" t="str">
        <f>IF(AND($C1418=12,$D1418=Input!$C$6),0,IF($E1419="","",$AN1419+AO1420/(1+$L1419)*$R1419))</f>
        <v/>
      </c>
      <c r="AP1419" s="152"/>
      <c r="AQ1419" s="150" t="str">
        <f t="shared" si="461"/>
        <v/>
      </c>
      <c r="AR1419" s="150" t="str">
        <f t="shared" si="468"/>
        <v/>
      </c>
      <c r="AS1419" s="150" t="str">
        <f t="shared" si="469"/>
        <v/>
      </c>
      <c r="AT1419" s="150" t="str">
        <f t="shared" si="462"/>
        <v/>
      </c>
      <c r="AU1419" s="152"/>
      <c r="AV1419" s="147" t="str">
        <f>'Deterministic Reserve'!BC1419</f>
        <v/>
      </c>
      <c r="AY1419" s="152"/>
    </row>
    <row r="1420" spans="1:51" s="150" customFormat="1" x14ac:dyDescent="0.25">
      <c r="A1420" s="150" t="str">
        <f t="shared" si="470"/>
        <v/>
      </c>
      <c r="B1420" s="150" t="str">
        <f t="shared" si="471"/>
        <v/>
      </c>
      <c r="C1420" s="150" t="str">
        <f t="shared" si="472"/>
        <v/>
      </c>
      <c r="D1420" s="150" t="str">
        <f>IF(E1420="","",Input!$C$4+B1420-1)</f>
        <v/>
      </c>
      <c r="E1420" s="150" t="str">
        <f>IF(OR(AND(C1419=12,D1419=Input!$C$6),E1419=""),"",1)</f>
        <v/>
      </c>
      <c r="G1420" s="151" t="str">
        <f>IF(E1420="","",MAX(0,Input!$C$9-B1420))</f>
        <v/>
      </c>
      <c r="H1420" s="152" t="str">
        <f>IF(E1420="","",Input!$C$3)</f>
        <v/>
      </c>
      <c r="I1420" s="153" t="str">
        <f>IF(E1420="","",HLOOKUP($B1420,Input!$C$13:$BT$14,2))</f>
        <v/>
      </c>
      <c r="J1420" s="154"/>
      <c r="K1420" s="150" t="str">
        <f>IF($E1420="","",Input!$C$57)</f>
        <v/>
      </c>
      <c r="L1420" s="150" t="str">
        <f t="shared" si="463"/>
        <v/>
      </c>
      <c r="M1420" s="147" t="str">
        <f>IF($E1420="","",VLOOKUP(IF($B1420&lt;=Input!$C$7,$B1420,26),'Mortality Tables'!$A$72:$CA$97,IF($B1420&lt;=Input!$C$7+1,Input!$C$4-16,$D1420-Input!$C$7-16),0)/1000)</f>
        <v/>
      </c>
      <c r="N1420" s="147" t="str">
        <f t="shared" si="454"/>
        <v/>
      </c>
      <c r="O1420" s="157" t="str">
        <f>IF($E1420="","",IF($C1420=12,IF($B1420&lt;Input!$C$9,Input!$C$54,IF($B1420=Input!$C$9,Input!$C$55,Input!$C$56)),0%))</f>
        <v/>
      </c>
      <c r="P1420" s="167" t="str">
        <f>IF($E1420="","",IF($B1420=1,Input!$C$59,IF($B1420&lt;6,Input!$C$60,0%)))</f>
        <v/>
      </c>
      <c r="Q1420" s="162" t="str">
        <f>IF($E1420="","",Input!$C$58)</f>
        <v/>
      </c>
      <c r="R1420" s="156" t="str">
        <f t="shared" si="464"/>
        <v/>
      </c>
      <c r="S1420" s="154" t="str">
        <f t="shared" si="455"/>
        <v/>
      </c>
      <c r="T1420" s="152"/>
      <c r="U1420" s="150" t="str">
        <f t="shared" si="465"/>
        <v/>
      </c>
      <c r="V1420" s="150" t="str">
        <f t="shared" si="466"/>
        <v/>
      </c>
      <c r="W1420" s="168" t="str">
        <f t="shared" si="467"/>
        <v/>
      </c>
      <c r="X1420" s="163" t="str">
        <f t="shared" si="456"/>
        <v/>
      </c>
      <c r="Y1420" s="152"/>
      <c r="Z1420" s="164" t="str">
        <f>IF(AND($C1419=12,$D1419=Input!$C$6),0,IF($E1420="","",V1420+Z1421/(1+L1420)*R1420))</f>
        <v/>
      </c>
      <c r="AA1420" s="164" t="str">
        <f>IF(OR($M1420=1,AND($C1419=12,$D1419=Input!$C$6)),0,IF($E1420="","",W1420+(X1420+AA1421*$R1420)/(1+$L1420)))</f>
        <v/>
      </c>
      <c r="AB1420" s="160" t="str">
        <f t="shared" si="457"/>
        <v/>
      </c>
      <c r="AC1420" s="164" t="str">
        <f t="shared" si="458"/>
        <v/>
      </c>
      <c r="AD1420" s="164" t="str">
        <f>IF(AND($C1419=12,$D1419=Input!$C$6),0,IF($E1420="","",$AC1420+AD1421/(1+$L1420)*$R1420))</f>
        <v/>
      </c>
      <c r="AE1420" s="152"/>
      <c r="AF1420" s="164" t="str">
        <f>IF(AND($C1419=12,$D1419=Input!$C$6),0,IF($E1420="","",IF($B1420&gt;Input!$C$9,$AC1420,0)+AF1421/(1+$L1420)*$R1420))</f>
        <v/>
      </c>
      <c r="AG1420" s="164" t="str">
        <f>IF(AND($C1419=12,$D1419=Input!$C$6),0,IF($E1420="","",(IF($B1420&gt;Input!$C$9,$X1420,0)+AG1421)/(1+$L1420)*$R1420))</f>
        <v/>
      </c>
      <c r="AH1420" s="160" t="str">
        <f t="shared" si="459"/>
        <v/>
      </c>
      <c r="AI1420" s="160" t="str">
        <f>IF($E1420="","",MIN(Input!$C$61/AH1420,1))</f>
        <v/>
      </c>
      <c r="AJ1420" s="152"/>
      <c r="AK1420" s="164" t="str">
        <f>IF(AND($C1419=12,$D1419=Input!$C$6),0,IF($E1420="","",IF($B1420&gt;Input!$C$9,$AC1420*AI1420,0)+AK1421/(1+$L1420)*$R1420))</f>
        <v/>
      </c>
      <c r="AL1420" s="164" t="str">
        <f>IF(AND($C1419=12,$D1419=Input!$C$6),0,IF($E1420="","",IF($B1420&gt;Input!$C$9,0,$AC1420)+AL1421/(1+$L1420)*$R1420))</f>
        <v/>
      </c>
      <c r="AM1420" s="160" t="str">
        <f t="shared" si="460"/>
        <v/>
      </c>
      <c r="AN1420" s="164" t="str">
        <f>IF($E1420="","",IF($B1420&gt;Input!$C$9,$AI1420*$AC1420,$AM1420*$AC1420))</f>
        <v/>
      </c>
      <c r="AO1420" s="164" t="str">
        <f>IF(AND($C1419=12,$D1419=Input!$C$6),0,IF($E1420="","",$AN1420+AO1421/(1+$L1420)*$R1420))</f>
        <v/>
      </c>
      <c r="AP1420" s="152"/>
      <c r="AQ1420" s="150" t="str">
        <f t="shared" si="461"/>
        <v/>
      </c>
      <c r="AR1420" s="150" t="str">
        <f t="shared" si="468"/>
        <v/>
      </c>
      <c r="AS1420" s="150" t="str">
        <f t="shared" si="469"/>
        <v/>
      </c>
      <c r="AT1420" s="150" t="str">
        <f t="shared" si="462"/>
        <v/>
      </c>
      <c r="AU1420" s="152"/>
      <c r="AV1420" s="147" t="str">
        <f>'Deterministic Reserve'!BC1420</f>
        <v/>
      </c>
      <c r="AY1420" s="152"/>
    </row>
    <row r="1421" spans="1:51" s="150" customFormat="1" x14ac:dyDescent="0.25">
      <c r="A1421" s="150" t="str">
        <f t="shared" si="470"/>
        <v/>
      </c>
      <c r="B1421" s="150" t="str">
        <f t="shared" si="471"/>
        <v/>
      </c>
      <c r="C1421" s="150" t="str">
        <f t="shared" si="472"/>
        <v/>
      </c>
      <c r="D1421" s="150" t="str">
        <f>IF(E1421="","",Input!$C$4+B1421-1)</f>
        <v/>
      </c>
      <c r="E1421" s="150" t="str">
        <f>IF(OR(AND(C1420=12,D1420=Input!$C$6),E1420=""),"",1)</f>
        <v/>
      </c>
      <c r="G1421" s="151" t="str">
        <f>IF(E1421="","",MAX(0,Input!$C$9-B1421))</f>
        <v/>
      </c>
      <c r="H1421" s="152" t="str">
        <f>IF(E1421="","",Input!$C$3)</f>
        <v/>
      </c>
      <c r="I1421" s="153" t="str">
        <f>IF(E1421="","",HLOOKUP($B1421,Input!$C$13:$BT$14,2))</f>
        <v/>
      </c>
      <c r="J1421" s="154"/>
      <c r="K1421" s="150" t="str">
        <f>IF($E1421="","",Input!$C$57)</f>
        <v/>
      </c>
      <c r="L1421" s="150" t="str">
        <f t="shared" si="463"/>
        <v/>
      </c>
      <c r="M1421" s="147" t="str">
        <f>IF($E1421="","",VLOOKUP(IF($B1421&lt;=Input!$C$7,$B1421,26),'Mortality Tables'!$A$72:$CA$97,IF($B1421&lt;=Input!$C$7+1,Input!$C$4-16,$D1421-Input!$C$7-16),0)/1000)</f>
        <v/>
      </c>
      <c r="N1421" s="147" t="str">
        <f t="shared" si="454"/>
        <v/>
      </c>
      <c r="O1421" s="157" t="str">
        <f>IF($E1421="","",IF($C1421=12,IF($B1421&lt;Input!$C$9,Input!$C$54,IF($B1421=Input!$C$9,Input!$C$55,Input!$C$56)),0%))</f>
        <v/>
      </c>
      <c r="P1421" s="167" t="str">
        <f>IF($E1421="","",IF($B1421=1,Input!$C$59,IF($B1421&lt;6,Input!$C$60,0%)))</f>
        <v/>
      </c>
      <c r="Q1421" s="162" t="str">
        <f>IF($E1421="","",Input!$C$58)</f>
        <v/>
      </c>
      <c r="R1421" s="156" t="str">
        <f t="shared" si="464"/>
        <v/>
      </c>
      <c r="S1421" s="154" t="str">
        <f t="shared" si="455"/>
        <v/>
      </c>
      <c r="T1421" s="152"/>
      <c r="U1421" s="150" t="str">
        <f t="shared" si="465"/>
        <v/>
      </c>
      <c r="V1421" s="150" t="str">
        <f t="shared" si="466"/>
        <v/>
      </c>
      <c r="W1421" s="168" t="str">
        <f t="shared" si="467"/>
        <v/>
      </c>
      <c r="X1421" s="163" t="str">
        <f t="shared" si="456"/>
        <v/>
      </c>
      <c r="Y1421" s="152"/>
      <c r="Z1421" s="164" t="str">
        <f>IF(AND($C1420=12,$D1420=Input!$C$6),0,IF($E1421="","",V1421+Z1422/(1+L1421)*R1421))</f>
        <v/>
      </c>
      <c r="AA1421" s="164" t="str">
        <f>IF(OR($M1421=1,AND($C1420=12,$D1420=Input!$C$6)),0,IF($E1421="","",W1421+(X1421+AA1422*$R1421)/(1+$L1421)))</f>
        <v/>
      </c>
      <c r="AB1421" s="160" t="str">
        <f t="shared" si="457"/>
        <v/>
      </c>
      <c r="AC1421" s="164" t="str">
        <f t="shared" si="458"/>
        <v/>
      </c>
      <c r="AD1421" s="164" t="str">
        <f>IF(AND($C1420=12,$D1420=Input!$C$6),0,IF($E1421="","",$AC1421+AD1422/(1+$L1421)*$R1421))</f>
        <v/>
      </c>
      <c r="AE1421" s="152"/>
      <c r="AF1421" s="164" t="str">
        <f>IF(AND($C1420=12,$D1420=Input!$C$6),0,IF($E1421="","",IF($B1421&gt;Input!$C$9,$AC1421,0)+AF1422/(1+$L1421)*$R1421))</f>
        <v/>
      </c>
      <c r="AG1421" s="164" t="str">
        <f>IF(AND($C1420=12,$D1420=Input!$C$6),0,IF($E1421="","",(IF($B1421&gt;Input!$C$9,$X1421,0)+AG1422)/(1+$L1421)*$R1421))</f>
        <v/>
      </c>
      <c r="AH1421" s="160" t="str">
        <f t="shared" si="459"/>
        <v/>
      </c>
      <c r="AI1421" s="160" t="str">
        <f>IF($E1421="","",MIN(Input!$C$61/AH1421,1))</f>
        <v/>
      </c>
      <c r="AJ1421" s="152"/>
      <c r="AK1421" s="164" t="str">
        <f>IF(AND($C1420=12,$D1420=Input!$C$6),0,IF($E1421="","",IF($B1421&gt;Input!$C$9,$AC1421*AI1421,0)+AK1422/(1+$L1421)*$R1421))</f>
        <v/>
      </c>
      <c r="AL1421" s="164" t="str">
        <f>IF(AND($C1420=12,$D1420=Input!$C$6),0,IF($E1421="","",IF($B1421&gt;Input!$C$9,0,$AC1421)+AL1422/(1+$L1421)*$R1421))</f>
        <v/>
      </c>
      <c r="AM1421" s="160" t="str">
        <f t="shared" si="460"/>
        <v/>
      </c>
      <c r="AN1421" s="164" t="str">
        <f>IF($E1421="","",IF($B1421&gt;Input!$C$9,$AI1421*$AC1421,$AM1421*$AC1421))</f>
        <v/>
      </c>
      <c r="AO1421" s="164" t="str">
        <f>IF(AND($C1420=12,$D1420=Input!$C$6),0,IF($E1421="","",$AN1421+AO1422/(1+$L1421)*$R1421))</f>
        <v/>
      </c>
      <c r="AP1421" s="152"/>
      <c r="AQ1421" s="150" t="str">
        <f t="shared" si="461"/>
        <v/>
      </c>
      <c r="AR1421" s="150" t="str">
        <f t="shared" si="468"/>
        <v/>
      </c>
      <c r="AS1421" s="150" t="str">
        <f t="shared" si="469"/>
        <v/>
      </c>
      <c r="AT1421" s="150" t="str">
        <f t="shared" si="462"/>
        <v/>
      </c>
      <c r="AU1421" s="152"/>
      <c r="AV1421" s="147" t="str">
        <f>'Deterministic Reserve'!BC1421</f>
        <v/>
      </c>
      <c r="AY1421" s="152"/>
    </row>
    <row r="1422" spans="1:51" s="150" customFormat="1" x14ac:dyDescent="0.25">
      <c r="A1422" s="150" t="str">
        <f t="shared" si="470"/>
        <v/>
      </c>
      <c r="B1422" s="150" t="str">
        <f t="shared" si="471"/>
        <v/>
      </c>
      <c r="C1422" s="150" t="str">
        <f t="shared" si="472"/>
        <v/>
      </c>
      <c r="D1422" s="150" t="str">
        <f>IF(E1422="","",Input!$C$4+B1422-1)</f>
        <v/>
      </c>
      <c r="E1422" s="150" t="str">
        <f>IF(OR(AND(C1421=12,D1421=Input!$C$6),E1421=""),"",1)</f>
        <v/>
      </c>
      <c r="G1422" s="151" t="str">
        <f>IF(E1422="","",MAX(0,Input!$C$9-B1422))</f>
        <v/>
      </c>
      <c r="H1422" s="152" t="str">
        <f>IF(E1422="","",Input!$C$3)</f>
        <v/>
      </c>
      <c r="I1422" s="153" t="str">
        <f>IF(E1422="","",HLOOKUP($B1422,Input!$C$13:$BT$14,2))</f>
        <v/>
      </c>
      <c r="J1422" s="154"/>
      <c r="K1422" s="150" t="str">
        <f>IF($E1422="","",Input!$C$57)</f>
        <v/>
      </c>
      <c r="L1422" s="150" t="str">
        <f t="shared" si="463"/>
        <v/>
      </c>
      <c r="M1422" s="147" t="str">
        <f>IF($E1422="","",VLOOKUP(IF($B1422&lt;=Input!$C$7,$B1422,26),'Mortality Tables'!$A$72:$CA$97,IF($B1422&lt;=Input!$C$7+1,Input!$C$4-16,$D1422-Input!$C$7-16),0)/1000)</f>
        <v/>
      </c>
      <c r="N1422" s="147" t="str">
        <f t="shared" si="454"/>
        <v/>
      </c>
      <c r="O1422" s="157" t="str">
        <f>IF($E1422="","",IF($C1422=12,IF($B1422&lt;Input!$C$9,Input!$C$54,IF($B1422=Input!$C$9,Input!$C$55,Input!$C$56)),0%))</f>
        <v/>
      </c>
      <c r="P1422" s="167" t="str">
        <f>IF($E1422="","",IF($B1422=1,Input!$C$59,IF($B1422&lt;6,Input!$C$60,0%)))</f>
        <v/>
      </c>
      <c r="Q1422" s="162" t="str">
        <f>IF($E1422="","",Input!$C$58)</f>
        <v/>
      </c>
      <c r="R1422" s="156" t="str">
        <f t="shared" si="464"/>
        <v/>
      </c>
      <c r="S1422" s="154" t="str">
        <f t="shared" si="455"/>
        <v/>
      </c>
      <c r="T1422" s="152"/>
      <c r="U1422" s="150" t="str">
        <f t="shared" si="465"/>
        <v/>
      </c>
      <c r="V1422" s="150" t="str">
        <f t="shared" si="466"/>
        <v/>
      </c>
      <c r="W1422" s="168" t="str">
        <f t="shared" si="467"/>
        <v/>
      </c>
      <c r="X1422" s="163" t="str">
        <f t="shared" si="456"/>
        <v/>
      </c>
      <c r="Y1422" s="152"/>
      <c r="Z1422" s="164" t="str">
        <f>IF(AND($C1421=12,$D1421=Input!$C$6),0,IF($E1422="","",V1422+Z1423/(1+L1422)*R1422))</f>
        <v/>
      </c>
      <c r="AA1422" s="164" t="str">
        <f>IF(OR($M1422=1,AND($C1421=12,$D1421=Input!$C$6)),0,IF($E1422="","",W1422+(X1422+AA1423*$R1422)/(1+$L1422)))</f>
        <v/>
      </c>
      <c r="AB1422" s="160" t="str">
        <f t="shared" si="457"/>
        <v/>
      </c>
      <c r="AC1422" s="164" t="str">
        <f t="shared" si="458"/>
        <v/>
      </c>
      <c r="AD1422" s="164" t="str">
        <f>IF(AND($C1421=12,$D1421=Input!$C$6),0,IF($E1422="","",$AC1422+AD1423/(1+$L1422)*$R1422))</f>
        <v/>
      </c>
      <c r="AE1422" s="152"/>
      <c r="AF1422" s="164" t="str">
        <f>IF(AND($C1421=12,$D1421=Input!$C$6),0,IF($E1422="","",IF($B1422&gt;Input!$C$9,$AC1422,0)+AF1423/(1+$L1422)*$R1422))</f>
        <v/>
      </c>
      <c r="AG1422" s="164" t="str">
        <f>IF(AND($C1421=12,$D1421=Input!$C$6),0,IF($E1422="","",(IF($B1422&gt;Input!$C$9,$X1422,0)+AG1423)/(1+$L1422)*$R1422))</f>
        <v/>
      </c>
      <c r="AH1422" s="160" t="str">
        <f t="shared" si="459"/>
        <v/>
      </c>
      <c r="AI1422" s="160" t="str">
        <f>IF($E1422="","",MIN(Input!$C$61/AH1422,1))</f>
        <v/>
      </c>
      <c r="AJ1422" s="152"/>
      <c r="AK1422" s="164" t="str">
        <f>IF(AND($C1421=12,$D1421=Input!$C$6),0,IF($E1422="","",IF($B1422&gt;Input!$C$9,$AC1422*AI1422,0)+AK1423/(1+$L1422)*$R1422))</f>
        <v/>
      </c>
      <c r="AL1422" s="164" t="str">
        <f>IF(AND($C1421=12,$D1421=Input!$C$6),0,IF($E1422="","",IF($B1422&gt;Input!$C$9,0,$AC1422)+AL1423/(1+$L1422)*$R1422))</f>
        <v/>
      </c>
      <c r="AM1422" s="160" t="str">
        <f t="shared" si="460"/>
        <v/>
      </c>
      <c r="AN1422" s="164" t="str">
        <f>IF($E1422="","",IF($B1422&gt;Input!$C$9,$AI1422*$AC1422,$AM1422*$AC1422))</f>
        <v/>
      </c>
      <c r="AO1422" s="164" t="str">
        <f>IF(AND($C1421=12,$D1421=Input!$C$6),0,IF($E1422="","",$AN1422+AO1423/(1+$L1422)*$R1422))</f>
        <v/>
      </c>
      <c r="AP1422" s="152"/>
      <c r="AQ1422" s="150" t="str">
        <f t="shared" si="461"/>
        <v/>
      </c>
      <c r="AR1422" s="150" t="str">
        <f t="shared" si="468"/>
        <v/>
      </c>
      <c r="AS1422" s="150" t="str">
        <f t="shared" si="469"/>
        <v/>
      </c>
      <c r="AT1422" s="150" t="str">
        <f t="shared" si="462"/>
        <v/>
      </c>
      <c r="AU1422" s="152"/>
      <c r="AV1422" s="147" t="str">
        <f>'Deterministic Reserve'!BC1422</f>
        <v/>
      </c>
      <c r="AY1422" s="152"/>
    </row>
    <row r="1423" spans="1:51" s="150" customFormat="1" x14ac:dyDescent="0.25">
      <c r="A1423" s="150" t="str">
        <f t="shared" si="470"/>
        <v/>
      </c>
      <c r="B1423" s="150" t="str">
        <f t="shared" si="471"/>
        <v/>
      </c>
      <c r="C1423" s="150" t="str">
        <f t="shared" si="472"/>
        <v/>
      </c>
      <c r="D1423" s="150" t="str">
        <f>IF(E1423="","",Input!$C$4+B1423-1)</f>
        <v/>
      </c>
      <c r="E1423" s="150" t="str">
        <f>IF(OR(AND(C1422=12,D1422=Input!$C$6),E1422=""),"",1)</f>
        <v/>
      </c>
      <c r="G1423" s="151" t="str">
        <f>IF(E1423="","",MAX(0,Input!$C$9-B1423))</f>
        <v/>
      </c>
      <c r="H1423" s="152" t="str">
        <f>IF(E1423="","",Input!$C$3)</f>
        <v/>
      </c>
      <c r="I1423" s="153" t="str">
        <f>IF(E1423="","",HLOOKUP($B1423,Input!$C$13:$BT$14,2))</f>
        <v/>
      </c>
      <c r="J1423" s="154"/>
      <c r="K1423" s="150" t="str">
        <f>IF($E1423="","",Input!$C$57)</f>
        <v/>
      </c>
      <c r="L1423" s="150" t="str">
        <f t="shared" si="463"/>
        <v/>
      </c>
      <c r="M1423" s="147" t="str">
        <f>IF($E1423="","",VLOOKUP(IF($B1423&lt;=Input!$C$7,$B1423,26),'Mortality Tables'!$A$72:$CA$97,IF($B1423&lt;=Input!$C$7+1,Input!$C$4-16,$D1423-Input!$C$7-16),0)/1000)</f>
        <v/>
      </c>
      <c r="N1423" s="147" t="str">
        <f t="shared" si="454"/>
        <v/>
      </c>
      <c r="O1423" s="157" t="str">
        <f>IF($E1423="","",IF($C1423=12,IF($B1423&lt;Input!$C$9,Input!$C$54,IF($B1423=Input!$C$9,Input!$C$55,Input!$C$56)),0%))</f>
        <v/>
      </c>
      <c r="P1423" s="167" t="str">
        <f>IF($E1423="","",IF($B1423=1,Input!$C$59,IF($B1423&lt;6,Input!$C$60,0%)))</f>
        <v/>
      </c>
      <c r="Q1423" s="162" t="str">
        <f>IF($E1423="","",Input!$C$58)</f>
        <v/>
      </c>
      <c r="R1423" s="156" t="str">
        <f t="shared" si="464"/>
        <v/>
      </c>
      <c r="S1423" s="154" t="str">
        <f t="shared" si="455"/>
        <v/>
      </c>
      <c r="T1423" s="152"/>
      <c r="U1423" s="150" t="str">
        <f t="shared" si="465"/>
        <v/>
      </c>
      <c r="V1423" s="150" t="str">
        <f t="shared" si="466"/>
        <v/>
      </c>
      <c r="W1423" s="168" t="str">
        <f t="shared" si="467"/>
        <v/>
      </c>
      <c r="X1423" s="163" t="str">
        <f t="shared" si="456"/>
        <v/>
      </c>
      <c r="Y1423" s="152"/>
      <c r="Z1423" s="164" t="str">
        <f>IF(AND($C1422=12,$D1422=Input!$C$6),0,IF($E1423="","",V1423+Z1424/(1+L1423)*R1423))</f>
        <v/>
      </c>
      <c r="AA1423" s="164" t="str">
        <f>IF(OR($M1423=1,AND($C1422=12,$D1422=Input!$C$6)),0,IF($E1423="","",W1423+(X1423+AA1424*$R1423)/(1+$L1423)))</f>
        <v/>
      </c>
      <c r="AB1423" s="160" t="str">
        <f t="shared" si="457"/>
        <v/>
      </c>
      <c r="AC1423" s="164" t="str">
        <f t="shared" si="458"/>
        <v/>
      </c>
      <c r="AD1423" s="164" t="str">
        <f>IF(AND($C1422=12,$D1422=Input!$C$6),0,IF($E1423="","",$AC1423+AD1424/(1+$L1423)*$R1423))</f>
        <v/>
      </c>
      <c r="AE1423" s="152"/>
      <c r="AF1423" s="164" t="str">
        <f>IF(AND($C1422=12,$D1422=Input!$C$6),0,IF($E1423="","",IF($B1423&gt;Input!$C$9,$AC1423,0)+AF1424/(1+$L1423)*$R1423))</f>
        <v/>
      </c>
      <c r="AG1423" s="164" t="str">
        <f>IF(AND($C1422=12,$D1422=Input!$C$6),0,IF($E1423="","",(IF($B1423&gt;Input!$C$9,$X1423,0)+AG1424)/(1+$L1423)*$R1423))</f>
        <v/>
      </c>
      <c r="AH1423" s="160" t="str">
        <f t="shared" si="459"/>
        <v/>
      </c>
      <c r="AI1423" s="160" t="str">
        <f>IF($E1423="","",MIN(Input!$C$61/AH1423,1))</f>
        <v/>
      </c>
      <c r="AJ1423" s="152"/>
      <c r="AK1423" s="164" t="str">
        <f>IF(AND($C1422=12,$D1422=Input!$C$6),0,IF($E1423="","",IF($B1423&gt;Input!$C$9,$AC1423*AI1423,0)+AK1424/(1+$L1423)*$R1423))</f>
        <v/>
      </c>
      <c r="AL1423" s="164" t="str">
        <f>IF(AND($C1422=12,$D1422=Input!$C$6),0,IF($E1423="","",IF($B1423&gt;Input!$C$9,0,$AC1423)+AL1424/(1+$L1423)*$R1423))</f>
        <v/>
      </c>
      <c r="AM1423" s="160" t="str">
        <f t="shared" si="460"/>
        <v/>
      </c>
      <c r="AN1423" s="164" t="str">
        <f>IF($E1423="","",IF($B1423&gt;Input!$C$9,$AI1423*$AC1423,$AM1423*$AC1423))</f>
        <v/>
      </c>
      <c r="AO1423" s="164" t="str">
        <f>IF(AND($C1422=12,$D1422=Input!$C$6),0,IF($E1423="","",$AN1423+AO1424/(1+$L1423)*$R1423))</f>
        <v/>
      </c>
      <c r="AP1423" s="152"/>
      <c r="AQ1423" s="150" t="str">
        <f t="shared" si="461"/>
        <v/>
      </c>
      <c r="AR1423" s="150" t="str">
        <f t="shared" si="468"/>
        <v/>
      </c>
      <c r="AS1423" s="150" t="str">
        <f t="shared" si="469"/>
        <v/>
      </c>
      <c r="AT1423" s="150" t="str">
        <f t="shared" si="462"/>
        <v/>
      </c>
      <c r="AU1423" s="152"/>
      <c r="AV1423" s="147" t="str">
        <f>'Deterministic Reserve'!BC1423</f>
        <v/>
      </c>
      <c r="AY1423" s="152"/>
    </row>
    <row r="1424" spans="1:51" s="150" customFormat="1" x14ac:dyDescent="0.25">
      <c r="A1424" s="150" t="str">
        <f t="shared" si="470"/>
        <v/>
      </c>
      <c r="B1424" s="150" t="str">
        <f t="shared" si="471"/>
        <v/>
      </c>
      <c r="C1424" s="150" t="str">
        <f t="shared" si="472"/>
        <v/>
      </c>
      <c r="D1424" s="150" t="str">
        <f>IF(E1424="","",Input!$C$4+B1424-1)</f>
        <v/>
      </c>
      <c r="E1424" s="150" t="str">
        <f>IF(OR(AND(C1423=12,D1423=Input!$C$6),E1423=""),"",1)</f>
        <v/>
      </c>
      <c r="G1424" s="151" t="str">
        <f>IF(E1424="","",MAX(0,Input!$C$9-B1424))</f>
        <v/>
      </c>
      <c r="H1424" s="152" t="str">
        <f>IF(E1424="","",Input!$C$3)</f>
        <v/>
      </c>
      <c r="I1424" s="153" t="str">
        <f>IF(E1424="","",HLOOKUP($B1424,Input!$C$13:$BT$14,2))</f>
        <v/>
      </c>
      <c r="J1424" s="154"/>
      <c r="K1424" s="150" t="str">
        <f>IF($E1424="","",Input!$C$57)</f>
        <v/>
      </c>
      <c r="L1424" s="150" t="str">
        <f t="shared" si="463"/>
        <v/>
      </c>
      <c r="M1424" s="147" t="str">
        <f>IF($E1424="","",VLOOKUP(IF($B1424&lt;=Input!$C$7,$B1424,26),'Mortality Tables'!$A$72:$CA$97,IF($B1424&lt;=Input!$C$7+1,Input!$C$4-16,$D1424-Input!$C$7-16),0)/1000)</f>
        <v/>
      </c>
      <c r="N1424" s="147" t="str">
        <f t="shared" si="454"/>
        <v/>
      </c>
      <c r="O1424" s="157" t="str">
        <f>IF($E1424="","",IF($C1424=12,IF($B1424&lt;Input!$C$9,Input!$C$54,IF($B1424=Input!$C$9,Input!$C$55,Input!$C$56)),0%))</f>
        <v/>
      </c>
      <c r="P1424" s="167" t="str">
        <f>IF($E1424="","",IF($B1424=1,Input!$C$59,IF($B1424&lt;6,Input!$C$60,0%)))</f>
        <v/>
      </c>
      <c r="Q1424" s="162" t="str">
        <f>IF($E1424="","",Input!$C$58)</f>
        <v/>
      </c>
      <c r="R1424" s="156" t="str">
        <f t="shared" si="464"/>
        <v/>
      </c>
      <c r="S1424" s="154" t="str">
        <f t="shared" si="455"/>
        <v/>
      </c>
      <c r="T1424" s="152"/>
      <c r="U1424" s="150" t="str">
        <f t="shared" si="465"/>
        <v/>
      </c>
      <c r="V1424" s="150" t="str">
        <f t="shared" si="466"/>
        <v/>
      </c>
      <c r="W1424" s="168" t="str">
        <f t="shared" si="467"/>
        <v/>
      </c>
      <c r="X1424" s="163" t="str">
        <f t="shared" si="456"/>
        <v/>
      </c>
      <c r="Y1424" s="152"/>
      <c r="Z1424" s="164" t="str">
        <f>IF(AND($C1423=12,$D1423=Input!$C$6),0,IF($E1424="","",V1424+Z1425/(1+L1424)*R1424))</f>
        <v/>
      </c>
      <c r="AA1424" s="164" t="str">
        <f>IF(OR($M1424=1,AND($C1423=12,$D1423=Input!$C$6)),0,IF($E1424="","",W1424+(X1424+AA1425*$R1424)/(1+$L1424)))</f>
        <v/>
      </c>
      <c r="AB1424" s="160" t="str">
        <f t="shared" si="457"/>
        <v/>
      </c>
      <c r="AC1424" s="164" t="str">
        <f t="shared" si="458"/>
        <v/>
      </c>
      <c r="AD1424" s="164" t="str">
        <f>IF(AND($C1423=12,$D1423=Input!$C$6),0,IF($E1424="","",$AC1424+AD1425/(1+$L1424)*$R1424))</f>
        <v/>
      </c>
      <c r="AE1424" s="152"/>
      <c r="AF1424" s="164" t="str">
        <f>IF(AND($C1423=12,$D1423=Input!$C$6),0,IF($E1424="","",IF($B1424&gt;Input!$C$9,$AC1424,0)+AF1425/(1+$L1424)*$R1424))</f>
        <v/>
      </c>
      <c r="AG1424" s="164" t="str">
        <f>IF(AND($C1423=12,$D1423=Input!$C$6),0,IF($E1424="","",(IF($B1424&gt;Input!$C$9,$X1424,0)+AG1425)/(1+$L1424)*$R1424))</f>
        <v/>
      </c>
      <c r="AH1424" s="160" t="str">
        <f t="shared" si="459"/>
        <v/>
      </c>
      <c r="AI1424" s="160" t="str">
        <f>IF($E1424="","",MIN(Input!$C$61/AH1424,1))</f>
        <v/>
      </c>
      <c r="AJ1424" s="152"/>
      <c r="AK1424" s="164" t="str">
        <f>IF(AND($C1423=12,$D1423=Input!$C$6),0,IF($E1424="","",IF($B1424&gt;Input!$C$9,$AC1424*AI1424,0)+AK1425/(1+$L1424)*$R1424))</f>
        <v/>
      </c>
      <c r="AL1424" s="164" t="str">
        <f>IF(AND($C1423=12,$D1423=Input!$C$6),0,IF($E1424="","",IF($B1424&gt;Input!$C$9,0,$AC1424)+AL1425/(1+$L1424)*$R1424))</f>
        <v/>
      </c>
      <c r="AM1424" s="160" t="str">
        <f t="shared" si="460"/>
        <v/>
      </c>
      <c r="AN1424" s="164" t="str">
        <f>IF($E1424="","",IF($B1424&gt;Input!$C$9,$AI1424*$AC1424,$AM1424*$AC1424))</f>
        <v/>
      </c>
      <c r="AO1424" s="164" t="str">
        <f>IF(AND($C1423=12,$D1423=Input!$C$6),0,IF($E1424="","",$AN1424+AO1425/(1+$L1424)*$R1424))</f>
        <v/>
      </c>
      <c r="AP1424" s="152"/>
      <c r="AQ1424" s="150" t="str">
        <f t="shared" si="461"/>
        <v/>
      </c>
      <c r="AR1424" s="150" t="str">
        <f t="shared" si="468"/>
        <v/>
      </c>
      <c r="AS1424" s="150" t="str">
        <f t="shared" si="469"/>
        <v/>
      </c>
      <c r="AT1424" s="150" t="str">
        <f t="shared" si="462"/>
        <v/>
      </c>
      <c r="AU1424" s="152"/>
      <c r="AV1424" s="147" t="str">
        <f>'Deterministic Reserve'!BC1424</f>
        <v/>
      </c>
      <c r="AY1424" s="152"/>
    </row>
    <row r="1425" spans="1:51" s="150" customFormat="1" x14ac:dyDescent="0.25">
      <c r="A1425" s="150" t="str">
        <f t="shared" si="470"/>
        <v/>
      </c>
      <c r="B1425" s="150" t="str">
        <f t="shared" si="471"/>
        <v/>
      </c>
      <c r="C1425" s="150" t="str">
        <f t="shared" si="472"/>
        <v/>
      </c>
      <c r="D1425" s="150" t="str">
        <f>IF(E1425="","",Input!$C$4+B1425-1)</f>
        <v/>
      </c>
      <c r="E1425" s="150" t="str">
        <f>IF(OR(AND(C1424=12,D1424=Input!$C$6),E1424=""),"",1)</f>
        <v/>
      </c>
      <c r="G1425" s="151" t="str">
        <f>IF(E1425="","",MAX(0,Input!$C$9-B1425))</f>
        <v/>
      </c>
      <c r="H1425" s="152" t="str">
        <f>IF(E1425="","",Input!$C$3)</f>
        <v/>
      </c>
      <c r="I1425" s="153" t="str">
        <f>IF(E1425="","",HLOOKUP($B1425,Input!$C$13:$BT$14,2))</f>
        <v/>
      </c>
      <c r="J1425" s="154"/>
      <c r="K1425" s="150" t="str">
        <f>IF($E1425="","",Input!$C$57)</f>
        <v/>
      </c>
      <c r="L1425" s="150" t="str">
        <f t="shared" si="463"/>
        <v/>
      </c>
      <c r="M1425" s="147" t="str">
        <f>IF($E1425="","",VLOOKUP(IF($B1425&lt;=Input!$C$7,$B1425,26),'Mortality Tables'!$A$72:$CA$97,IF($B1425&lt;=Input!$C$7+1,Input!$C$4-16,$D1425-Input!$C$7-16),0)/1000)</f>
        <v/>
      </c>
      <c r="N1425" s="147" t="str">
        <f t="shared" si="454"/>
        <v/>
      </c>
      <c r="O1425" s="157" t="str">
        <f>IF($E1425="","",IF($C1425=12,IF($B1425&lt;Input!$C$9,Input!$C$54,IF($B1425=Input!$C$9,Input!$C$55,Input!$C$56)),0%))</f>
        <v/>
      </c>
      <c r="P1425" s="167" t="str">
        <f>IF($E1425="","",IF($B1425=1,Input!$C$59,IF($B1425&lt;6,Input!$C$60,0%)))</f>
        <v/>
      </c>
      <c r="Q1425" s="162" t="str">
        <f>IF($E1425="","",Input!$C$58)</f>
        <v/>
      </c>
      <c r="R1425" s="156" t="str">
        <f t="shared" si="464"/>
        <v/>
      </c>
      <c r="S1425" s="154" t="str">
        <f t="shared" si="455"/>
        <v/>
      </c>
      <c r="T1425" s="152"/>
      <c r="U1425" s="150" t="str">
        <f t="shared" si="465"/>
        <v/>
      </c>
      <c r="V1425" s="150" t="str">
        <f t="shared" si="466"/>
        <v/>
      </c>
      <c r="W1425" s="168" t="str">
        <f t="shared" si="467"/>
        <v/>
      </c>
      <c r="X1425" s="163" t="str">
        <f t="shared" si="456"/>
        <v/>
      </c>
      <c r="Y1425" s="152"/>
      <c r="Z1425" s="164" t="str">
        <f>IF(AND($C1424=12,$D1424=Input!$C$6),0,IF($E1425="","",V1425+Z1426/(1+L1425)*R1425))</f>
        <v/>
      </c>
      <c r="AA1425" s="164" t="str">
        <f>IF(OR($M1425=1,AND($C1424=12,$D1424=Input!$C$6)),0,IF($E1425="","",W1425+(X1425+AA1426*$R1425)/(1+$L1425)))</f>
        <v/>
      </c>
      <c r="AB1425" s="160" t="str">
        <f t="shared" si="457"/>
        <v/>
      </c>
      <c r="AC1425" s="164" t="str">
        <f t="shared" si="458"/>
        <v/>
      </c>
      <c r="AD1425" s="164" t="str">
        <f>IF(AND($C1424=12,$D1424=Input!$C$6),0,IF($E1425="","",$AC1425+AD1426/(1+$L1425)*$R1425))</f>
        <v/>
      </c>
      <c r="AE1425" s="152"/>
      <c r="AF1425" s="164" t="str">
        <f>IF(AND($C1424=12,$D1424=Input!$C$6),0,IF($E1425="","",IF($B1425&gt;Input!$C$9,$AC1425,0)+AF1426/(1+$L1425)*$R1425))</f>
        <v/>
      </c>
      <c r="AG1425" s="164" t="str">
        <f>IF(AND($C1424=12,$D1424=Input!$C$6),0,IF($E1425="","",(IF($B1425&gt;Input!$C$9,$X1425,0)+AG1426)/(1+$L1425)*$R1425))</f>
        <v/>
      </c>
      <c r="AH1425" s="160" t="str">
        <f t="shared" si="459"/>
        <v/>
      </c>
      <c r="AI1425" s="160" t="str">
        <f>IF($E1425="","",MIN(Input!$C$61/AH1425,1))</f>
        <v/>
      </c>
      <c r="AJ1425" s="152"/>
      <c r="AK1425" s="164" t="str">
        <f>IF(AND($C1424=12,$D1424=Input!$C$6),0,IF($E1425="","",IF($B1425&gt;Input!$C$9,$AC1425*AI1425,0)+AK1426/(1+$L1425)*$R1425))</f>
        <v/>
      </c>
      <c r="AL1425" s="164" t="str">
        <f>IF(AND($C1424=12,$D1424=Input!$C$6),0,IF($E1425="","",IF($B1425&gt;Input!$C$9,0,$AC1425)+AL1426/(1+$L1425)*$R1425))</f>
        <v/>
      </c>
      <c r="AM1425" s="160" t="str">
        <f t="shared" si="460"/>
        <v/>
      </c>
      <c r="AN1425" s="164" t="str">
        <f>IF($E1425="","",IF($B1425&gt;Input!$C$9,$AI1425*$AC1425,$AM1425*$AC1425))</f>
        <v/>
      </c>
      <c r="AO1425" s="164" t="str">
        <f>IF(AND($C1424=12,$D1424=Input!$C$6),0,IF($E1425="","",$AN1425+AO1426/(1+$L1425)*$R1425))</f>
        <v/>
      </c>
      <c r="AP1425" s="152"/>
      <c r="AQ1425" s="150" t="str">
        <f t="shared" si="461"/>
        <v/>
      </c>
      <c r="AR1425" s="150" t="str">
        <f t="shared" si="468"/>
        <v/>
      </c>
      <c r="AS1425" s="150" t="str">
        <f t="shared" si="469"/>
        <v/>
      </c>
      <c r="AT1425" s="150" t="str">
        <f t="shared" si="462"/>
        <v/>
      </c>
      <c r="AU1425" s="152"/>
      <c r="AV1425" s="147" t="str">
        <f>'Deterministic Reserve'!BC1425</f>
        <v/>
      </c>
      <c r="AY1425" s="152"/>
    </row>
    <row r="1426" spans="1:51" s="150" customFormat="1" x14ac:dyDescent="0.25">
      <c r="A1426" s="150" t="str">
        <f t="shared" si="470"/>
        <v/>
      </c>
      <c r="B1426" s="150" t="str">
        <f t="shared" si="471"/>
        <v/>
      </c>
      <c r="C1426" s="150" t="str">
        <f t="shared" si="472"/>
        <v/>
      </c>
      <c r="D1426" s="150" t="str">
        <f>IF(E1426="","",Input!$C$4+B1426-1)</f>
        <v/>
      </c>
      <c r="E1426" s="150" t="str">
        <f>IF(OR(AND(C1425=12,D1425=Input!$C$6),E1425=""),"",1)</f>
        <v/>
      </c>
      <c r="G1426" s="151" t="str">
        <f>IF(E1426="","",MAX(0,Input!$C$9-B1426))</f>
        <v/>
      </c>
      <c r="H1426" s="152" t="str">
        <f>IF(E1426="","",Input!$C$3)</f>
        <v/>
      </c>
      <c r="I1426" s="153" t="str">
        <f>IF(E1426="","",HLOOKUP($B1426,Input!$C$13:$BT$14,2))</f>
        <v/>
      </c>
      <c r="J1426" s="154"/>
      <c r="K1426" s="150" t="str">
        <f>IF($E1426="","",Input!$C$57)</f>
        <v/>
      </c>
      <c r="L1426" s="150" t="str">
        <f t="shared" si="463"/>
        <v/>
      </c>
      <c r="M1426" s="147" t="str">
        <f>IF($E1426="","",VLOOKUP(IF($B1426&lt;=Input!$C$7,$B1426,26),'Mortality Tables'!$A$72:$CA$97,IF($B1426&lt;=Input!$C$7+1,Input!$C$4-16,$D1426-Input!$C$7-16),0)/1000)</f>
        <v/>
      </c>
      <c r="N1426" s="147" t="str">
        <f t="shared" si="454"/>
        <v/>
      </c>
      <c r="O1426" s="157" t="str">
        <f>IF($E1426="","",IF($C1426=12,IF($B1426&lt;Input!$C$9,Input!$C$54,IF($B1426=Input!$C$9,Input!$C$55,Input!$C$56)),0%))</f>
        <v/>
      </c>
      <c r="P1426" s="167" t="str">
        <f>IF($E1426="","",IF($B1426=1,Input!$C$59,IF($B1426&lt;6,Input!$C$60,0%)))</f>
        <v/>
      </c>
      <c r="Q1426" s="162" t="str">
        <f>IF($E1426="","",Input!$C$58)</f>
        <v/>
      </c>
      <c r="R1426" s="156" t="str">
        <f t="shared" si="464"/>
        <v/>
      </c>
      <c r="S1426" s="154" t="str">
        <f t="shared" si="455"/>
        <v/>
      </c>
      <c r="T1426" s="152"/>
      <c r="U1426" s="150" t="str">
        <f t="shared" si="465"/>
        <v/>
      </c>
      <c r="V1426" s="150" t="str">
        <f t="shared" si="466"/>
        <v/>
      </c>
      <c r="W1426" s="168" t="str">
        <f t="shared" si="467"/>
        <v/>
      </c>
      <c r="X1426" s="163" t="str">
        <f t="shared" si="456"/>
        <v/>
      </c>
      <c r="Y1426" s="152"/>
      <c r="Z1426" s="164" t="str">
        <f>IF(AND($C1425=12,$D1425=Input!$C$6),0,IF($E1426="","",V1426+Z1427/(1+L1426)*R1426))</f>
        <v/>
      </c>
      <c r="AA1426" s="164" t="str">
        <f>IF(OR($M1426=1,AND($C1425=12,$D1425=Input!$C$6)),0,IF($E1426="","",W1426+(X1426+AA1427*$R1426)/(1+$L1426)))</f>
        <v/>
      </c>
      <c r="AB1426" s="160" t="str">
        <f t="shared" si="457"/>
        <v/>
      </c>
      <c r="AC1426" s="164" t="str">
        <f t="shared" si="458"/>
        <v/>
      </c>
      <c r="AD1426" s="164" t="str">
        <f>IF(AND($C1425=12,$D1425=Input!$C$6),0,IF($E1426="","",$AC1426+AD1427/(1+$L1426)*$R1426))</f>
        <v/>
      </c>
      <c r="AE1426" s="152"/>
      <c r="AF1426" s="164" t="str">
        <f>IF(AND($C1425=12,$D1425=Input!$C$6),0,IF($E1426="","",IF($B1426&gt;Input!$C$9,$AC1426,0)+AF1427/(1+$L1426)*$R1426))</f>
        <v/>
      </c>
      <c r="AG1426" s="164" t="str">
        <f>IF(AND($C1425=12,$D1425=Input!$C$6),0,IF($E1426="","",(IF($B1426&gt;Input!$C$9,$X1426,0)+AG1427)/(1+$L1426)*$R1426))</f>
        <v/>
      </c>
      <c r="AH1426" s="160" t="str">
        <f t="shared" si="459"/>
        <v/>
      </c>
      <c r="AI1426" s="160" t="str">
        <f>IF($E1426="","",MIN(Input!$C$61/AH1426,1))</f>
        <v/>
      </c>
      <c r="AJ1426" s="152"/>
      <c r="AK1426" s="164" t="str">
        <f>IF(AND($C1425=12,$D1425=Input!$C$6),0,IF($E1426="","",IF($B1426&gt;Input!$C$9,$AC1426*AI1426,0)+AK1427/(1+$L1426)*$R1426))</f>
        <v/>
      </c>
      <c r="AL1426" s="164" t="str">
        <f>IF(AND($C1425=12,$D1425=Input!$C$6),0,IF($E1426="","",IF($B1426&gt;Input!$C$9,0,$AC1426)+AL1427/(1+$L1426)*$R1426))</f>
        <v/>
      </c>
      <c r="AM1426" s="160" t="str">
        <f t="shared" si="460"/>
        <v/>
      </c>
      <c r="AN1426" s="164" t="str">
        <f>IF($E1426="","",IF($B1426&gt;Input!$C$9,$AI1426*$AC1426,$AM1426*$AC1426))</f>
        <v/>
      </c>
      <c r="AO1426" s="164" t="str">
        <f>IF(AND($C1425=12,$D1425=Input!$C$6),0,IF($E1426="","",$AN1426+AO1427/(1+$L1426)*$R1426))</f>
        <v/>
      </c>
      <c r="AP1426" s="152"/>
      <c r="AQ1426" s="150" t="str">
        <f t="shared" si="461"/>
        <v/>
      </c>
      <c r="AR1426" s="150" t="str">
        <f t="shared" si="468"/>
        <v/>
      </c>
      <c r="AS1426" s="150" t="str">
        <f t="shared" si="469"/>
        <v/>
      </c>
      <c r="AT1426" s="150" t="str">
        <f t="shared" si="462"/>
        <v/>
      </c>
      <c r="AU1426" s="152"/>
      <c r="AV1426" s="147" t="str">
        <f>'Deterministic Reserve'!BC1426</f>
        <v/>
      </c>
      <c r="AY1426" s="152"/>
    </row>
    <row r="1427" spans="1:51" s="150" customFormat="1" x14ac:dyDescent="0.25">
      <c r="A1427" s="150" t="str">
        <f t="shared" si="470"/>
        <v/>
      </c>
      <c r="B1427" s="150" t="str">
        <f t="shared" si="471"/>
        <v/>
      </c>
      <c r="C1427" s="150" t="str">
        <f t="shared" si="472"/>
        <v/>
      </c>
      <c r="D1427" s="150" t="str">
        <f>IF(E1427="","",Input!$C$4+B1427-1)</f>
        <v/>
      </c>
      <c r="E1427" s="150" t="str">
        <f>IF(OR(AND(C1426=12,D1426=Input!$C$6),E1426=""),"",1)</f>
        <v/>
      </c>
      <c r="G1427" s="151" t="str">
        <f>IF(E1427="","",MAX(0,Input!$C$9-B1427))</f>
        <v/>
      </c>
      <c r="H1427" s="152" t="str">
        <f>IF(E1427="","",Input!$C$3)</f>
        <v/>
      </c>
      <c r="I1427" s="153" t="str">
        <f>IF(E1427="","",HLOOKUP($B1427,Input!$C$13:$BT$14,2))</f>
        <v/>
      </c>
      <c r="J1427" s="154"/>
      <c r="K1427" s="150" t="str">
        <f>IF($E1427="","",Input!$C$57)</f>
        <v/>
      </c>
      <c r="L1427" s="150" t="str">
        <f t="shared" si="463"/>
        <v/>
      </c>
      <c r="M1427" s="147" t="str">
        <f>IF($E1427="","",VLOOKUP(IF($B1427&lt;=Input!$C$7,$B1427,26),'Mortality Tables'!$A$72:$CA$97,IF($B1427&lt;=Input!$C$7+1,Input!$C$4-16,$D1427-Input!$C$7-16),0)/1000)</f>
        <v/>
      </c>
      <c r="N1427" s="147" t="str">
        <f t="shared" si="454"/>
        <v/>
      </c>
      <c r="O1427" s="157" t="str">
        <f>IF($E1427="","",IF($C1427=12,IF($B1427&lt;Input!$C$9,Input!$C$54,IF($B1427=Input!$C$9,Input!$C$55,Input!$C$56)),0%))</f>
        <v/>
      </c>
      <c r="P1427" s="167" t="str">
        <f>IF($E1427="","",IF($B1427=1,Input!$C$59,IF($B1427&lt;6,Input!$C$60,0%)))</f>
        <v/>
      </c>
      <c r="Q1427" s="162" t="str">
        <f>IF($E1427="","",Input!$C$58)</f>
        <v/>
      </c>
      <c r="R1427" s="156" t="str">
        <f t="shared" si="464"/>
        <v/>
      </c>
      <c r="S1427" s="154" t="str">
        <f t="shared" si="455"/>
        <v/>
      </c>
      <c r="T1427" s="152"/>
      <c r="U1427" s="150" t="str">
        <f t="shared" si="465"/>
        <v/>
      </c>
      <c r="V1427" s="150" t="str">
        <f t="shared" si="466"/>
        <v/>
      </c>
      <c r="W1427" s="168" t="str">
        <f t="shared" si="467"/>
        <v/>
      </c>
      <c r="X1427" s="163" t="str">
        <f t="shared" si="456"/>
        <v/>
      </c>
      <c r="Y1427" s="152"/>
      <c r="Z1427" s="164" t="str">
        <f>IF(AND($C1426=12,$D1426=Input!$C$6),0,IF($E1427="","",V1427+Z1428/(1+L1427)*R1427))</f>
        <v/>
      </c>
      <c r="AA1427" s="164" t="str">
        <f>IF(OR($M1427=1,AND($C1426=12,$D1426=Input!$C$6)),0,IF($E1427="","",W1427+(X1427+AA1428*$R1427)/(1+$L1427)))</f>
        <v/>
      </c>
      <c r="AB1427" s="160" t="str">
        <f t="shared" si="457"/>
        <v/>
      </c>
      <c r="AC1427" s="164" t="str">
        <f t="shared" si="458"/>
        <v/>
      </c>
      <c r="AD1427" s="164" t="str">
        <f>IF(AND($C1426=12,$D1426=Input!$C$6),0,IF($E1427="","",$AC1427+AD1428/(1+$L1427)*$R1427))</f>
        <v/>
      </c>
      <c r="AE1427" s="152"/>
      <c r="AF1427" s="164" t="str">
        <f>IF(AND($C1426=12,$D1426=Input!$C$6),0,IF($E1427="","",IF($B1427&gt;Input!$C$9,$AC1427,0)+AF1428/(1+$L1427)*$R1427))</f>
        <v/>
      </c>
      <c r="AG1427" s="164" t="str">
        <f>IF(AND($C1426=12,$D1426=Input!$C$6),0,IF($E1427="","",(IF($B1427&gt;Input!$C$9,$X1427,0)+AG1428)/(1+$L1427)*$R1427))</f>
        <v/>
      </c>
      <c r="AH1427" s="160" t="str">
        <f t="shared" si="459"/>
        <v/>
      </c>
      <c r="AI1427" s="160" t="str">
        <f>IF($E1427="","",MIN(Input!$C$61/AH1427,1))</f>
        <v/>
      </c>
      <c r="AJ1427" s="152"/>
      <c r="AK1427" s="164" t="str">
        <f>IF(AND($C1426=12,$D1426=Input!$C$6),0,IF($E1427="","",IF($B1427&gt;Input!$C$9,$AC1427*AI1427,0)+AK1428/(1+$L1427)*$R1427))</f>
        <v/>
      </c>
      <c r="AL1427" s="164" t="str">
        <f>IF(AND($C1426=12,$D1426=Input!$C$6),0,IF($E1427="","",IF($B1427&gt;Input!$C$9,0,$AC1427)+AL1428/(1+$L1427)*$R1427))</f>
        <v/>
      </c>
      <c r="AM1427" s="160" t="str">
        <f t="shared" si="460"/>
        <v/>
      </c>
      <c r="AN1427" s="164" t="str">
        <f>IF($E1427="","",IF($B1427&gt;Input!$C$9,$AI1427*$AC1427,$AM1427*$AC1427))</f>
        <v/>
      </c>
      <c r="AO1427" s="164" t="str">
        <f>IF(AND($C1426=12,$D1426=Input!$C$6),0,IF($E1427="","",$AN1427+AO1428/(1+$L1427)*$R1427))</f>
        <v/>
      </c>
      <c r="AP1427" s="152"/>
      <c r="AQ1427" s="150" t="str">
        <f t="shared" si="461"/>
        <v/>
      </c>
      <c r="AR1427" s="150" t="str">
        <f t="shared" si="468"/>
        <v/>
      </c>
      <c r="AS1427" s="150" t="str">
        <f t="shared" si="469"/>
        <v/>
      </c>
      <c r="AT1427" s="150" t="str">
        <f t="shared" si="462"/>
        <v/>
      </c>
      <c r="AU1427" s="152"/>
      <c r="AV1427" s="147" t="str">
        <f>'Deterministic Reserve'!BC1427</f>
        <v/>
      </c>
      <c r="AY1427" s="152"/>
    </row>
    <row r="1428" spans="1:51" s="150" customFormat="1" x14ac:dyDescent="0.25">
      <c r="A1428" s="150" t="str">
        <f t="shared" si="470"/>
        <v/>
      </c>
      <c r="B1428" s="150" t="str">
        <f t="shared" si="471"/>
        <v/>
      </c>
      <c r="C1428" s="150" t="str">
        <f t="shared" si="472"/>
        <v/>
      </c>
      <c r="D1428" s="150" t="str">
        <f>IF(E1428="","",Input!$C$4+B1428-1)</f>
        <v/>
      </c>
      <c r="E1428" s="150" t="str">
        <f>IF(OR(AND(C1427=12,D1427=Input!$C$6),E1427=""),"",1)</f>
        <v/>
      </c>
      <c r="G1428" s="151" t="str">
        <f>IF(E1428="","",MAX(0,Input!$C$9-B1428))</f>
        <v/>
      </c>
      <c r="H1428" s="152" t="str">
        <f>IF(E1428="","",Input!$C$3)</f>
        <v/>
      </c>
      <c r="I1428" s="153" t="str">
        <f>IF(E1428="","",HLOOKUP($B1428,Input!$C$13:$BT$14,2))</f>
        <v/>
      </c>
      <c r="J1428" s="154"/>
      <c r="K1428" s="150" t="str">
        <f>IF($E1428="","",Input!$C$57)</f>
        <v/>
      </c>
      <c r="L1428" s="150" t="str">
        <f t="shared" si="463"/>
        <v/>
      </c>
      <c r="M1428" s="147" t="str">
        <f>IF($E1428="","",VLOOKUP(IF($B1428&lt;=Input!$C$7,$B1428,26),'Mortality Tables'!$A$72:$CA$97,IF($B1428&lt;=Input!$C$7+1,Input!$C$4-16,$D1428-Input!$C$7-16),0)/1000)</f>
        <v/>
      </c>
      <c r="N1428" s="147" t="str">
        <f t="shared" si="454"/>
        <v/>
      </c>
      <c r="O1428" s="157" t="str">
        <f>IF($E1428="","",IF($C1428=12,IF($B1428&lt;Input!$C$9,Input!$C$54,IF($B1428=Input!$C$9,Input!$C$55,Input!$C$56)),0%))</f>
        <v/>
      </c>
      <c r="P1428" s="167" t="str">
        <f>IF($E1428="","",IF($B1428=1,Input!$C$59,IF($B1428&lt;6,Input!$C$60,0%)))</f>
        <v/>
      </c>
      <c r="Q1428" s="162" t="str">
        <f>IF($E1428="","",Input!$C$58)</f>
        <v/>
      </c>
      <c r="R1428" s="156" t="str">
        <f t="shared" si="464"/>
        <v/>
      </c>
      <c r="S1428" s="154" t="str">
        <f t="shared" si="455"/>
        <v/>
      </c>
      <c r="T1428" s="152"/>
      <c r="U1428" s="150" t="str">
        <f t="shared" si="465"/>
        <v/>
      </c>
      <c r="V1428" s="150" t="str">
        <f t="shared" si="466"/>
        <v/>
      </c>
      <c r="W1428" s="168" t="str">
        <f t="shared" si="467"/>
        <v/>
      </c>
      <c r="X1428" s="163" t="str">
        <f t="shared" si="456"/>
        <v/>
      </c>
      <c r="Y1428" s="152"/>
      <c r="Z1428" s="164" t="str">
        <f>IF(AND($C1427=12,$D1427=Input!$C$6),0,IF($E1428="","",V1428+Z1429/(1+L1428)*R1428))</f>
        <v/>
      </c>
      <c r="AA1428" s="164" t="str">
        <f>IF(OR($M1428=1,AND($C1427=12,$D1427=Input!$C$6)),0,IF($E1428="","",W1428+(X1428+AA1429*$R1428)/(1+$L1428)))</f>
        <v/>
      </c>
      <c r="AB1428" s="160" t="str">
        <f t="shared" si="457"/>
        <v/>
      </c>
      <c r="AC1428" s="164" t="str">
        <f t="shared" si="458"/>
        <v/>
      </c>
      <c r="AD1428" s="164" t="str">
        <f>IF(AND($C1427=12,$D1427=Input!$C$6),0,IF($E1428="","",$AC1428+AD1429/(1+$L1428)*$R1428))</f>
        <v/>
      </c>
      <c r="AE1428" s="152"/>
      <c r="AF1428" s="164" t="str">
        <f>IF(AND($C1427=12,$D1427=Input!$C$6),0,IF($E1428="","",IF($B1428&gt;Input!$C$9,$AC1428,0)+AF1429/(1+$L1428)*$R1428))</f>
        <v/>
      </c>
      <c r="AG1428" s="164" t="str">
        <f>IF(AND($C1427=12,$D1427=Input!$C$6),0,IF($E1428="","",(IF($B1428&gt;Input!$C$9,$X1428,0)+AG1429)/(1+$L1428)*$R1428))</f>
        <v/>
      </c>
      <c r="AH1428" s="160" t="str">
        <f t="shared" si="459"/>
        <v/>
      </c>
      <c r="AI1428" s="160" t="str">
        <f>IF($E1428="","",MIN(Input!$C$61/AH1428,1))</f>
        <v/>
      </c>
      <c r="AJ1428" s="152"/>
      <c r="AK1428" s="164" t="str">
        <f>IF(AND($C1427=12,$D1427=Input!$C$6),0,IF($E1428="","",IF($B1428&gt;Input!$C$9,$AC1428*AI1428,0)+AK1429/(1+$L1428)*$R1428))</f>
        <v/>
      </c>
      <c r="AL1428" s="164" t="str">
        <f>IF(AND($C1427=12,$D1427=Input!$C$6),0,IF($E1428="","",IF($B1428&gt;Input!$C$9,0,$AC1428)+AL1429/(1+$L1428)*$R1428))</f>
        <v/>
      </c>
      <c r="AM1428" s="160" t="str">
        <f t="shared" si="460"/>
        <v/>
      </c>
      <c r="AN1428" s="164" t="str">
        <f>IF($E1428="","",IF($B1428&gt;Input!$C$9,$AI1428*$AC1428,$AM1428*$AC1428))</f>
        <v/>
      </c>
      <c r="AO1428" s="164" t="str">
        <f>IF(AND($C1427=12,$D1427=Input!$C$6),0,IF($E1428="","",$AN1428+AO1429/(1+$L1428)*$R1428))</f>
        <v/>
      </c>
      <c r="AP1428" s="152"/>
      <c r="AQ1428" s="150" t="str">
        <f t="shared" si="461"/>
        <v/>
      </c>
      <c r="AR1428" s="150" t="str">
        <f t="shared" si="468"/>
        <v/>
      </c>
      <c r="AS1428" s="150" t="str">
        <f t="shared" si="469"/>
        <v/>
      </c>
      <c r="AT1428" s="150" t="str">
        <f t="shared" si="462"/>
        <v/>
      </c>
      <c r="AU1428" s="152"/>
      <c r="AV1428" s="147" t="str">
        <f>'Deterministic Reserve'!BC1428</f>
        <v/>
      </c>
      <c r="AY1428" s="152"/>
    </row>
    <row r="1429" spans="1:51" s="150" customFormat="1" x14ac:dyDescent="0.25">
      <c r="A1429" s="150" t="str">
        <f t="shared" si="470"/>
        <v/>
      </c>
      <c r="B1429" s="150" t="str">
        <f t="shared" si="471"/>
        <v/>
      </c>
      <c r="C1429" s="150" t="str">
        <f t="shared" si="472"/>
        <v/>
      </c>
      <c r="D1429" s="150" t="str">
        <f>IF(E1429="","",Input!$C$4+B1429-1)</f>
        <v/>
      </c>
      <c r="E1429" s="150" t="str">
        <f>IF(OR(AND(C1428=12,D1428=Input!$C$6),E1428=""),"",1)</f>
        <v/>
      </c>
      <c r="G1429" s="151" t="str">
        <f>IF(E1429="","",MAX(0,Input!$C$9-B1429))</f>
        <v/>
      </c>
      <c r="H1429" s="152" t="str">
        <f>IF(E1429="","",Input!$C$3)</f>
        <v/>
      </c>
      <c r="I1429" s="153" t="str">
        <f>IF(E1429="","",HLOOKUP($B1429,Input!$C$13:$BT$14,2))</f>
        <v/>
      </c>
      <c r="J1429" s="154"/>
      <c r="K1429" s="150" t="str">
        <f>IF($E1429="","",Input!$C$57)</f>
        <v/>
      </c>
      <c r="L1429" s="150" t="str">
        <f t="shared" si="463"/>
        <v/>
      </c>
      <c r="M1429" s="147" t="str">
        <f>IF($E1429="","",VLOOKUP(IF($B1429&lt;=Input!$C$7,$B1429,26),'Mortality Tables'!$A$72:$CA$97,IF($B1429&lt;=Input!$C$7+1,Input!$C$4-16,$D1429-Input!$C$7-16),0)/1000)</f>
        <v/>
      </c>
      <c r="N1429" s="147" t="str">
        <f t="shared" si="454"/>
        <v/>
      </c>
      <c r="O1429" s="157" t="str">
        <f>IF($E1429="","",IF($C1429=12,IF($B1429&lt;Input!$C$9,Input!$C$54,IF($B1429=Input!$C$9,Input!$C$55,Input!$C$56)),0%))</f>
        <v/>
      </c>
      <c r="P1429" s="167" t="str">
        <f>IF($E1429="","",IF($B1429=1,Input!$C$59,IF($B1429&lt;6,Input!$C$60,0%)))</f>
        <v/>
      </c>
      <c r="Q1429" s="162" t="str">
        <f>IF($E1429="","",Input!$C$58)</f>
        <v/>
      </c>
      <c r="R1429" s="156" t="str">
        <f t="shared" si="464"/>
        <v/>
      </c>
      <c r="S1429" s="154" t="str">
        <f t="shared" si="455"/>
        <v/>
      </c>
      <c r="T1429" s="152"/>
      <c r="U1429" s="150" t="str">
        <f t="shared" si="465"/>
        <v/>
      </c>
      <c r="V1429" s="150" t="str">
        <f t="shared" si="466"/>
        <v/>
      </c>
      <c r="W1429" s="168" t="str">
        <f t="shared" si="467"/>
        <v/>
      </c>
      <c r="X1429" s="163" t="str">
        <f t="shared" si="456"/>
        <v/>
      </c>
      <c r="Y1429" s="152"/>
      <c r="Z1429" s="164" t="str">
        <f>IF(AND($C1428=12,$D1428=Input!$C$6),0,IF($E1429="","",V1429+Z1430/(1+L1429)*R1429))</f>
        <v/>
      </c>
      <c r="AA1429" s="164" t="str">
        <f>IF(OR($M1429=1,AND($C1428=12,$D1428=Input!$C$6)),0,IF($E1429="","",W1429+(X1429+AA1430*$R1429)/(1+$L1429)))</f>
        <v/>
      </c>
      <c r="AB1429" s="160" t="str">
        <f t="shared" si="457"/>
        <v/>
      </c>
      <c r="AC1429" s="164" t="str">
        <f t="shared" si="458"/>
        <v/>
      </c>
      <c r="AD1429" s="164" t="str">
        <f>IF(AND($C1428=12,$D1428=Input!$C$6),0,IF($E1429="","",$AC1429+AD1430/(1+$L1429)*$R1429))</f>
        <v/>
      </c>
      <c r="AE1429" s="152"/>
      <c r="AF1429" s="164" t="str">
        <f>IF(AND($C1428=12,$D1428=Input!$C$6),0,IF($E1429="","",IF($B1429&gt;Input!$C$9,$AC1429,0)+AF1430/(1+$L1429)*$R1429))</f>
        <v/>
      </c>
      <c r="AG1429" s="164" t="str">
        <f>IF(AND($C1428=12,$D1428=Input!$C$6),0,IF($E1429="","",(IF($B1429&gt;Input!$C$9,$X1429,0)+AG1430)/(1+$L1429)*$R1429))</f>
        <v/>
      </c>
      <c r="AH1429" s="160" t="str">
        <f t="shared" si="459"/>
        <v/>
      </c>
      <c r="AI1429" s="160" t="str">
        <f>IF($E1429="","",MIN(Input!$C$61/AH1429,1))</f>
        <v/>
      </c>
      <c r="AJ1429" s="152"/>
      <c r="AK1429" s="164" t="str">
        <f>IF(AND($C1428=12,$D1428=Input!$C$6),0,IF($E1429="","",IF($B1429&gt;Input!$C$9,$AC1429*AI1429,0)+AK1430/(1+$L1429)*$R1429))</f>
        <v/>
      </c>
      <c r="AL1429" s="164" t="str">
        <f>IF(AND($C1428=12,$D1428=Input!$C$6),0,IF($E1429="","",IF($B1429&gt;Input!$C$9,0,$AC1429)+AL1430/(1+$L1429)*$R1429))</f>
        <v/>
      </c>
      <c r="AM1429" s="160" t="str">
        <f t="shared" si="460"/>
        <v/>
      </c>
      <c r="AN1429" s="164" t="str">
        <f>IF($E1429="","",IF($B1429&gt;Input!$C$9,$AI1429*$AC1429,$AM1429*$AC1429))</f>
        <v/>
      </c>
      <c r="AO1429" s="164" t="str">
        <f>IF(AND($C1428=12,$D1428=Input!$C$6),0,IF($E1429="","",$AN1429+AO1430/(1+$L1429)*$R1429))</f>
        <v/>
      </c>
      <c r="AP1429" s="152"/>
      <c r="AQ1429" s="150" t="str">
        <f t="shared" si="461"/>
        <v/>
      </c>
      <c r="AR1429" s="150" t="str">
        <f t="shared" si="468"/>
        <v/>
      </c>
      <c r="AS1429" s="150" t="str">
        <f t="shared" si="469"/>
        <v/>
      </c>
      <c r="AT1429" s="150" t="str">
        <f t="shared" si="462"/>
        <v/>
      </c>
      <c r="AU1429" s="152"/>
      <c r="AV1429" s="147" t="str">
        <f>'Deterministic Reserve'!BC1429</f>
        <v/>
      </c>
      <c r="AY1429" s="152"/>
    </row>
    <row r="1430" spans="1:51" s="150" customFormat="1" x14ac:dyDescent="0.25">
      <c r="A1430" s="150" t="str">
        <f t="shared" si="470"/>
        <v/>
      </c>
      <c r="B1430" s="150" t="str">
        <f t="shared" si="471"/>
        <v/>
      </c>
      <c r="C1430" s="150" t="str">
        <f t="shared" si="472"/>
        <v/>
      </c>
      <c r="D1430" s="150" t="str">
        <f>IF(E1430="","",Input!$C$4+B1430-1)</f>
        <v/>
      </c>
      <c r="E1430" s="150" t="str">
        <f>IF(OR(AND(C1429=12,D1429=Input!$C$6),E1429=""),"",1)</f>
        <v/>
      </c>
      <c r="G1430" s="151" t="str">
        <f>IF(E1430="","",MAX(0,Input!$C$9-B1430))</f>
        <v/>
      </c>
      <c r="H1430" s="152" t="str">
        <f>IF(E1430="","",Input!$C$3)</f>
        <v/>
      </c>
      <c r="I1430" s="153" t="str">
        <f>IF(E1430="","",HLOOKUP($B1430,Input!$C$13:$BT$14,2))</f>
        <v/>
      </c>
      <c r="J1430" s="154"/>
      <c r="K1430" s="150" t="str">
        <f>IF($E1430="","",Input!$C$57)</f>
        <v/>
      </c>
      <c r="L1430" s="150" t="str">
        <f t="shared" si="463"/>
        <v/>
      </c>
      <c r="M1430" s="147" t="str">
        <f>IF($E1430="","",VLOOKUP(IF($B1430&lt;=Input!$C$7,$B1430,26),'Mortality Tables'!$A$72:$CA$97,IF($B1430&lt;=Input!$C$7+1,Input!$C$4-16,$D1430-Input!$C$7-16),0)/1000)</f>
        <v/>
      </c>
      <c r="N1430" s="147" t="str">
        <f t="shared" si="454"/>
        <v/>
      </c>
      <c r="O1430" s="157" t="str">
        <f>IF($E1430="","",IF($C1430=12,IF($B1430&lt;Input!$C$9,Input!$C$54,IF($B1430=Input!$C$9,Input!$C$55,Input!$C$56)),0%))</f>
        <v/>
      </c>
      <c r="P1430" s="167" t="str">
        <f>IF($E1430="","",IF($B1430=1,Input!$C$59,IF($B1430&lt;6,Input!$C$60,0%)))</f>
        <v/>
      </c>
      <c r="Q1430" s="162" t="str">
        <f>IF($E1430="","",Input!$C$58)</f>
        <v/>
      </c>
      <c r="R1430" s="156" t="str">
        <f t="shared" si="464"/>
        <v/>
      </c>
      <c r="S1430" s="154" t="str">
        <f t="shared" si="455"/>
        <v/>
      </c>
      <c r="T1430" s="152"/>
      <c r="U1430" s="150" t="str">
        <f t="shared" si="465"/>
        <v/>
      </c>
      <c r="V1430" s="150" t="str">
        <f t="shared" si="466"/>
        <v/>
      </c>
      <c r="W1430" s="168" t="str">
        <f t="shared" si="467"/>
        <v/>
      </c>
      <c r="X1430" s="163" t="str">
        <f t="shared" si="456"/>
        <v/>
      </c>
      <c r="Y1430" s="152"/>
      <c r="Z1430" s="164" t="str">
        <f>IF(AND($C1429=12,$D1429=Input!$C$6),0,IF($E1430="","",V1430+Z1431/(1+L1430)*R1430))</f>
        <v/>
      </c>
      <c r="AA1430" s="164" t="str">
        <f>IF(OR($M1430=1,AND($C1429=12,$D1429=Input!$C$6)),0,IF($E1430="","",W1430+(X1430+AA1431*$R1430)/(1+$L1430)))</f>
        <v/>
      </c>
      <c r="AB1430" s="160" t="str">
        <f t="shared" si="457"/>
        <v/>
      </c>
      <c r="AC1430" s="164" t="str">
        <f t="shared" si="458"/>
        <v/>
      </c>
      <c r="AD1430" s="164" t="str">
        <f>IF(AND($C1429=12,$D1429=Input!$C$6),0,IF($E1430="","",$AC1430+AD1431/(1+$L1430)*$R1430))</f>
        <v/>
      </c>
      <c r="AE1430" s="152"/>
      <c r="AF1430" s="164" t="str">
        <f>IF(AND($C1429=12,$D1429=Input!$C$6),0,IF($E1430="","",IF($B1430&gt;Input!$C$9,$AC1430,0)+AF1431/(1+$L1430)*$R1430))</f>
        <v/>
      </c>
      <c r="AG1430" s="164" t="str">
        <f>IF(AND($C1429=12,$D1429=Input!$C$6),0,IF($E1430="","",(IF($B1430&gt;Input!$C$9,$X1430,0)+AG1431)/(1+$L1430)*$R1430))</f>
        <v/>
      </c>
      <c r="AH1430" s="160" t="str">
        <f t="shared" si="459"/>
        <v/>
      </c>
      <c r="AI1430" s="160" t="str">
        <f>IF($E1430="","",MIN(Input!$C$61/AH1430,1))</f>
        <v/>
      </c>
      <c r="AJ1430" s="152"/>
      <c r="AK1430" s="164" t="str">
        <f>IF(AND($C1429=12,$D1429=Input!$C$6),0,IF($E1430="","",IF($B1430&gt;Input!$C$9,$AC1430*AI1430,0)+AK1431/(1+$L1430)*$R1430))</f>
        <v/>
      </c>
      <c r="AL1430" s="164" t="str">
        <f>IF(AND($C1429=12,$D1429=Input!$C$6),0,IF($E1430="","",IF($B1430&gt;Input!$C$9,0,$AC1430)+AL1431/(1+$L1430)*$R1430))</f>
        <v/>
      </c>
      <c r="AM1430" s="160" t="str">
        <f t="shared" si="460"/>
        <v/>
      </c>
      <c r="AN1430" s="164" t="str">
        <f>IF($E1430="","",IF($B1430&gt;Input!$C$9,$AI1430*$AC1430,$AM1430*$AC1430))</f>
        <v/>
      </c>
      <c r="AO1430" s="164" t="str">
        <f>IF(AND($C1429=12,$D1429=Input!$C$6),0,IF($E1430="","",$AN1430+AO1431/(1+$L1430)*$R1430))</f>
        <v/>
      </c>
      <c r="AP1430" s="152"/>
      <c r="AQ1430" s="150" t="str">
        <f t="shared" si="461"/>
        <v/>
      </c>
      <c r="AR1430" s="150" t="str">
        <f t="shared" si="468"/>
        <v/>
      </c>
      <c r="AS1430" s="150" t="str">
        <f t="shared" si="469"/>
        <v/>
      </c>
      <c r="AT1430" s="150" t="str">
        <f t="shared" si="462"/>
        <v/>
      </c>
      <c r="AU1430" s="152"/>
      <c r="AV1430" s="147" t="str">
        <f>'Deterministic Reserve'!BC1430</f>
        <v/>
      </c>
      <c r="AY1430" s="152"/>
    </row>
    <row r="1431" spans="1:51" s="150" customFormat="1" x14ac:dyDescent="0.25">
      <c r="A1431" s="150" t="str">
        <f t="shared" si="470"/>
        <v/>
      </c>
      <c r="B1431" s="150" t="str">
        <f t="shared" si="471"/>
        <v/>
      </c>
      <c r="C1431" s="150" t="str">
        <f t="shared" si="472"/>
        <v/>
      </c>
      <c r="D1431" s="150" t="str">
        <f>IF(E1431="","",Input!$C$4+B1431-1)</f>
        <v/>
      </c>
      <c r="E1431" s="150" t="str">
        <f>IF(OR(AND(C1430=12,D1430=Input!$C$6),E1430=""),"",1)</f>
        <v/>
      </c>
      <c r="G1431" s="151" t="str">
        <f>IF(E1431="","",MAX(0,Input!$C$9-B1431))</f>
        <v/>
      </c>
      <c r="H1431" s="152" t="str">
        <f>IF(E1431="","",Input!$C$3)</f>
        <v/>
      </c>
      <c r="I1431" s="153" t="str">
        <f>IF(E1431="","",HLOOKUP($B1431,Input!$C$13:$BT$14,2))</f>
        <v/>
      </c>
      <c r="J1431" s="154"/>
      <c r="K1431" s="150" t="str">
        <f>IF($E1431="","",Input!$C$57)</f>
        <v/>
      </c>
      <c r="L1431" s="150" t="str">
        <f t="shared" si="463"/>
        <v/>
      </c>
      <c r="M1431" s="147" t="str">
        <f>IF($E1431="","",VLOOKUP(IF($B1431&lt;=Input!$C$7,$B1431,26),'Mortality Tables'!$A$72:$CA$97,IF($B1431&lt;=Input!$C$7+1,Input!$C$4-16,$D1431-Input!$C$7-16),0)/1000)</f>
        <v/>
      </c>
      <c r="N1431" s="147" t="str">
        <f t="shared" si="454"/>
        <v/>
      </c>
      <c r="O1431" s="157" t="str">
        <f>IF($E1431="","",IF($C1431=12,IF($B1431&lt;Input!$C$9,Input!$C$54,IF($B1431=Input!$C$9,Input!$C$55,Input!$C$56)),0%))</f>
        <v/>
      </c>
      <c r="P1431" s="167" t="str">
        <f>IF($E1431="","",IF($B1431=1,Input!$C$59,IF($B1431&lt;6,Input!$C$60,0%)))</f>
        <v/>
      </c>
      <c r="Q1431" s="162" t="str">
        <f>IF($E1431="","",Input!$C$58)</f>
        <v/>
      </c>
      <c r="R1431" s="156" t="str">
        <f t="shared" si="464"/>
        <v/>
      </c>
      <c r="S1431" s="154" t="str">
        <f t="shared" si="455"/>
        <v/>
      </c>
      <c r="T1431" s="152"/>
      <c r="U1431" s="150" t="str">
        <f t="shared" si="465"/>
        <v/>
      </c>
      <c r="V1431" s="150" t="str">
        <f t="shared" si="466"/>
        <v/>
      </c>
      <c r="W1431" s="168" t="str">
        <f t="shared" si="467"/>
        <v/>
      </c>
      <c r="X1431" s="163" t="str">
        <f t="shared" si="456"/>
        <v/>
      </c>
      <c r="Y1431" s="152"/>
      <c r="Z1431" s="164" t="str">
        <f>IF(AND($C1430=12,$D1430=Input!$C$6),0,IF($E1431="","",V1431+Z1432/(1+L1431)*R1431))</f>
        <v/>
      </c>
      <c r="AA1431" s="164" t="str">
        <f>IF(OR($M1431=1,AND($C1430=12,$D1430=Input!$C$6)),0,IF($E1431="","",W1431+(X1431+AA1432*$R1431)/(1+$L1431)))</f>
        <v/>
      </c>
      <c r="AB1431" s="160" t="str">
        <f t="shared" si="457"/>
        <v/>
      </c>
      <c r="AC1431" s="164" t="str">
        <f t="shared" si="458"/>
        <v/>
      </c>
      <c r="AD1431" s="164" t="str">
        <f>IF(AND($C1430=12,$D1430=Input!$C$6),0,IF($E1431="","",$AC1431+AD1432/(1+$L1431)*$R1431))</f>
        <v/>
      </c>
      <c r="AE1431" s="152"/>
      <c r="AF1431" s="164" t="str">
        <f>IF(AND($C1430=12,$D1430=Input!$C$6),0,IF($E1431="","",IF($B1431&gt;Input!$C$9,$AC1431,0)+AF1432/(1+$L1431)*$R1431))</f>
        <v/>
      </c>
      <c r="AG1431" s="164" t="str">
        <f>IF(AND($C1430=12,$D1430=Input!$C$6),0,IF($E1431="","",(IF($B1431&gt;Input!$C$9,$X1431,0)+AG1432)/(1+$L1431)*$R1431))</f>
        <v/>
      </c>
      <c r="AH1431" s="160" t="str">
        <f t="shared" si="459"/>
        <v/>
      </c>
      <c r="AI1431" s="160" t="str">
        <f>IF($E1431="","",MIN(Input!$C$61/AH1431,1))</f>
        <v/>
      </c>
      <c r="AJ1431" s="152"/>
      <c r="AK1431" s="164" t="str">
        <f>IF(AND($C1430=12,$D1430=Input!$C$6),0,IF($E1431="","",IF($B1431&gt;Input!$C$9,$AC1431*AI1431,0)+AK1432/(1+$L1431)*$R1431))</f>
        <v/>
      </c>
      <c r="AL1431" s="164" t="str">
        <f>IF(AND($C1430=12,$D1430=Input!$C$6),0,IF($E1431="","",IF($B1431&gt;Input!$C$9,0,$AC1431)+AL1432/(1+$L1431)*$R1431))</f>
        <v/>
      </c>
      <c r="AM1431" s="160" t="str">
        <f t="shared" si="460"/>
        <v/>
      </c>
      <c r="AN1431" s="164" t="str">
        <f>IF($E1431="","",IF($B1431&gt;Input!$C$9,$AI1431*$AC1431,$AM1431*$AC1431))</f>
        <v/>
      </c>
      <c r="AO1431" s="164" t="str">
        <f>IF(AND($C1430=12,$D1430=Input!$C$6),0,IF($E1431="","",$AN1431+AO1432/(1+$L1431)*$R1431))</f>
        <v/>
      </c>
      <c r="AP1431" s="152"/>
      <c r="AQ1431" s="150" t="str">
        <f t="shared" si="461"/>
        <v/>
      </c>
      <c r="AR1431" s="150" t="str">
        <f t="shared" si="468"/>
        <v/>
      </c>
      <c r="AS1431" s="150" t="str">
        <f t="shared" si="469"/>
        <v/>
      </c>
      <c r="AT1431" s="150" t="str">
        <f t="shared" si="462"/>
        <v/>
      </c>
      <c r="AU1431" s="152"/>
      <c r="AV1431" s="147" t="str">
        <f>'Deterministic Reserve'!BC1431</f>
        <v/>
      </c>
      <c r="AY1431" s="152"/>
    </row>
    <row r="1432" spans="1:51" s="150" customFormat="1" x14ac:dyDescent="0.25">
      <c r="A1432" s="150" t="str">
        <f t="shared" si="470"/>
        <v/>
      </c>
      <c r="B1432" s="150" t="str">
        <f t="shared" si="471"/>
        <v/>
      </c>
      <c r="C1432" s="150" t="str">
        <f t="shared" si="472"/>
        <v/>
      </c>
      <c r="D1432" s="150" t="str">
        <f>IF(E1432="","",Input!$C$4+B1432-1)</f>
        <v/>
      </c>
      <c r="E1432" s="150" t="str">
        <f>IF(OR(AND(C1431=12,D1431=Input!$C$6),E1431=""),"",1)</f>
        <v/>
      </c>
      <c r="G1432" s="151" t="str">
        <f>IF(E1432="","",MAX(0,Input!$C$9-B1432))</f>
        <v/>
      </c>
      <c r="H1432" s="152" t="str">
        <f>IF(E1432="","",Input!$C$3)</f>
        <v/>
      </c>
      <c r="I1432" s="153" t="str">
        <f>IF(E1432="","",HLOOKUP($B1432,Input!$C$13:$BT$14,2))</f>
        <v/>
      </c>
      <c r="J1432" s="154"/>
      <c r="K1432" s="150" t="str">
        <f>IF($E1432="","",Input!$C$57)</f>
        <v/>
      </c>
      <c r="L1432" s="150" t="str">
        <f t="shared" si="463"/>
        <v/>
      </c>
      <c r="M1432" s="147" t="str">
        <f>IF($E1432="","",VLOOKUP(IF($B1432&lt;=Input!$C$7,$B1432,26),'Mortality Tables'!$A$72:$CA$97,IF($B1432&lt;=Input!$C$7+1,Input!$C$4-16,$D1432-Input!$C$7-16),0)/1000)</f>
        <v/>
      </c>
      <c r="N1432" s="147" t="str">
        <f t="shared" si="454"/>
        <v/>
      </c>
      <c r="O1432" s="157" t="str">
        <f>IF($E1432="","",IF($C1432=12,IF($B1432&lt;Input!$C$9,Input!$C$54,IF($B1432=Input!$C$9,Input!$C$55,Input!$C$56)),0%))</f>
        <v/>
      </c>
      <c r="P1432" s="167" t="str">
        <f>IF($E1432="","",IF($B1432=1,Input!$C$59,IF($B1432&lt;6,Input!$C$60,0%)))</f>
        <v/>
      </c>
      <c r="Q1432" s="162" t="str">
        <f>IF($E1432="","",Input!$C$58)</f>
        <v/>
      </c>
      <c r="R1432" s="156" t="str">
        <f t="shared" si="464"/>
        <v/>
      </c>
      <c r="S1432" s="154" t="str">
        <f t="shared" si="455"/>
        <v/>
      </c>
      <c r="T1432" s="152"/>
      <c r="U1432" s="150" t="str">
        <f t="shared" si="465"/>
        <v/>
      </c>
      <c r="V1432" s="150" t="str">
        <f t="shared" si="466"/>
        <v/>
      </c>
      <c r="W1432" s="168" t="str">
        <f t="shared" si="467"/>
        <v/>
      </c>
      <c r="X1432" s="163" t="str">
        <f t="shared" si="456"/>
        <v/>
      </c>
      <c r="Y1432" s="152"/>
      <c r="Z1432" s="164" t="str">
        <f>IF(AND($C1431=12,$D1431=Input!$C$6),0,IF($E1432="","",V1432+Z1433/(1+L1432)*R1432))</f>
        <v/>
      </c>
      <c r="AA1432" s="164" t="str">
        <f>IF(OR($M1432=1,AND($C1431=12,$D1431=Input!$C$6)),0,IF($E1432="","",W1432+(X1432+AA1433*$R1432)/(1+$L1432)))</f>
        <v/>
      </c>
      <c r="AB1432" s="160" t="str">
        <f t="shared" si="457"/>
        <v/>
      </c>
      <c r="AC1432" s="164" t="str">
        <f t="shared" si="458"/>
        <v/>
      </c>
      <c r="AD1432" s="164" t="str">
        <f>IF(AND($C1431=12,$D1431=Input!$C$6),0,IF($E1432="","",$AC1432+AD1433/(1+$L1432)*$R1432))</f>
        <v/>
      </c>
      <c r="AE1432" s="152"/>
      <c r="AF1432" s="164" t="str">
        <f>IF(AND($C1431=12,$D1431=Input!$C$6),0,IF($E1432="","",IF($B1432&gt;Input!$C$9,$AC1432,0)+AF1433/(1+$L1432)*$R1432))</f>
        <v/>
      </c>
      <c r="AG1432" s="164" t="str">
        <f>IF(AND($C1431=12,$D1431=Input!$C$6),0,IF($E1432="","",(IF($B1432&gt;Input!$C$9,$X1432,0)+AG1433)/(1+$L1432)*$R1432))</f>
        <v/>
      </c>
      <c r="AH1432" s="160" t="str">
        <f t="shared" si="459"/>
        <v/>
      </c>
      <c r="AI1432" s="160" t="str">
        <f>IF($E1432="","",MIN(Input!$C$61/AH1432,1))</f>
        <v/>
      </c>
      <c r="AJ1432" s="152"/>
      <c r="AK1432" s="164" t="str">
        <f>IF(AND($C1431=12,$D1431=Input!$C$6),0,IF($E1432="","",IF($B1432&gt;Input!$C$9,$AC1432*AI1432,0)+AK1433/(1+$L1432)*$R1432))</f>
        <v/>
      </c>
      <c r="AL1432" s="164" t="str">
        <f>IF(AND($C1431=12,$D1431=Input!$C$6),0,IF($E1432="","",IF($B1432&gt;Input!$C$9,0,$AC1432)+AL1433/(1+$L1432)*$R1432))</f>
        <v/>
      </c>
      <c r="AM1432" s="160" t="str">
        <f t="shared" si="460"/>
        <v/>
      </c>
      <c r="AN1432" s="164" t="str">
        <f>IF($E1432="","",IF($B1432&gt;Input!$C$9,$AI1432*$AC1432,$AM1432*$AC1432))</f>
        <v/>
      </c>
      <c r="AO1432" s="164" t="str">
        <f>IF(AND($C1431=12,$D1431=Input!$C$6),0,IF($E1432="","",$AN1432+AO1433/(1+$L1432)*$R1432))</f>
        <v/>
      </c>
      <c r="AP1432" s="152"/>
      <c r="AQ1432" s="150" t="str">
        <f t="shared" si="461"/>
        <v/>
      </c>
      <c r="AR1432" s="150" t="str">
        <f t="shared" si="468"/>
        <v/>
      </c>
      <c r="AS1432" s="150" t="str">
        <f t="shared" si="469"/>
        <v/>
      </c>
      <c r="AT1432" s="150" t="str">
        <f t="shared" si="462"/>
        <v/>
      </c>
      <c r="AU1432" s="152"/>
      <c r="AV1432" s="147" t="str">
        <f>'Deterministic Reserve'!BC1432</f>
        <v/>
      </c>
      <c r="AY1432" s="152"/>
    </row>
    <row r="1433" spans="1:51" s="150" customFormat="1" x14ac:dyDescent="0.25">
      <c r="A1433" s="150" t="str">
        <f t="shared" si="470"/>
        <v/>
      </c>
      <c r="B1433" s="150" t="str">
        <f t="shared" si="471"/>
        <v/>
      </c>
      <c r="C1433" s="150" t="str">
        <f t="shared" si="472"/>
        <v/>
      </c>
      <c r="D1433" s="150" t="str">
        <f>IF(E1433="","",Input!$C$4+B1433-1)</f>
        <v/>
      </c>
      <c r="E1433" s="150" t="str">
        <f>IF(OR(AND(C1432=12,D1432=Input!$C$6),E1432=""),"",1)</f>
        <v/>
      </c>
      <c r="G1433" s="151" t="str">
        <f>IF(E1433="","",MAX(0,Input!$C$9-B1433))</f>
        <v/>
      </c>
      <c r="H1433" s="152" t="str">
        <f>IF(E1433="","",Input!$C$3)</f>
        <v/>
      </c>
      <c r="I1433" s="153" t="str">
        <f>IF(E1433="","",HLOOKUP($B1433,Input!$C$13:$BT$14,2))</f>
        <v/>
      </c>
      <c r="J1433" s="154"/>
      <c r="K1433" s="150" t="str">
        <f>IF($E1433="","",Input!$C$57)</f>
        <v/>
      </c>
      <c r="L1433" s="150" t="str">
        <f t="shared" si="463"/>
        <v/>
      </c>
      <c r="M1433" s="147" t="str">
        <f>IF($E1433="","",VLOOKUP(IF($B1433&lt;=Input!$C$7,$B1433,26),'Mortality Tables'!$A$72:$CA$97,IF($B1433&lt;=Input!$C$7+1,Input!$C$4-16,$D1433-Input!$C$7-16),0)/1000)</f>
        <v/>
      </c>
      <c r="N1433" s="147" t="str">
        <f t="shared" si="454"/>
        <v/>
      </c>
      <c r="O1433" s="157" t="str">
        <f>IF($E1433="","",IF($C1433=12,IF($B1433&lt;Input!$C$9,Input!$C$54,IF($B1433=Input!$C$9,Input!$C$55,Input!$C$56)),0%))</f>
        <v/>
      </c>
      <c r="P1433" s="167" t="str">
        <f>IF($E1433="","",IF($B1433=1,Input!$C$59,IF($B1433&lt;6,Input!$C$60,0%)))</f>
        <v/>
      </c>
      <c r="Q1433" s="162" t="str">
        <f>IF($E1433="","",Input!$C$58)</f>
        <v/>
      </c>
      <c r="R1433" s="156" t="str">
        <f t="shared" si="464"/>
        <v/>
      </c>
      <c r="S1433" s="154" t="str">
        <f t="shared" si="455"/>
        <v/>
      </c>
      <c r="T1433" s="152"/>
      <c r="U1433" s="150" t="str">
        <f t="shared" si="465"/>
        <v/>
      </c>
      <c r="V1433" s="150" t="str">
        <f t="shared" si="466"/>
        <v/>
      </c>
      <c r="W1433" s="168" t="str">
        <f t="shared" si="467"/>
        <v/>
      </c>
      <c r="X1433" s="163" t="str">
        <f t="shared" si="456"/>
        <v/>
      </c>
      <c r="Y1433" s="152"/>
      <c r="Z1433" s="164" t="str">
        <f>IF(AND($C1432=12,$D1432=Input!$C$6),0,IF($E1433="","",V1433+Z1434/(1+L1433)*R1433))</f>
        <v/>
      </c>
      <c r="AA1433" s="164" t="str">
        <f>IF(OR($M1433=1,AND($C1432=12,$D1432=Input!$C$6)),0,IF($E1433="","",W1433+(X1433+AA1434*$R1433)/(1+$L1433)))</f>
        <v/>
      </c>
      <c r="AB1433" s="160" t="str">
        <f t="shared" si="457"/>
        <v/>
      </c>
      <c r="AC1433" s="164" t="str">
        <f t="shared" si="458"/>
        <v/>
      </c>
      <c r="AD1433" s="164" t="str">
        <f>IF(AND($C1432=12,$D1432=Input!$C$6),0,IF($E1433="","",$AC1433+AD1434/(1+$L1433)*$R1433))</f>
        <v/>
      </c>
      <c r="AE1433" s="152"/>
      <c r="AF1433" s="164" t="str">
        <f>IF(AND($C1432=12,$D1432=Input!$C$6),0,IF($E1433="","",IF($B1433&gt;Input!$C$9,$AC1433,0)+AF1434/(1+$L1433)*$R1433))</f>
        <v/>
      </c>
      <c r="AG1433" s="164" t="str">
        <f>IF(AND($C1432=12,$D1432=Input!$C$6),0,IF($E1433="","",(IF($B1433&gt;Input!$C$9,$X1433,0)+AG1434)/(1+$L1433)*$R1433))</f>
        <v/>
      </c>
      <c r="AH1433" s="160" t="str">
        <f t="shared" si="459"/>
        <v/>
      </c>
      <c r="AI1433" s="160" t="str">
        <f>IF($E1433="","",MIN(Input!$C$61/AH1433,1))</f>
        <v/>
      </c>
      <c r="AJ1433" s="152"/>
      <c r="AK1433" s="164" t="str">
        <f>IF(AND($C1432=12,$D1432=Input!$C$6),0,IF($E1433="","",IF($B1433&gt;Input!$C$9,$AC1433*AI1433,0)+AK1434/(1+$L1433)*$R1433))</f>
        <v/>
      </c>
      <c r="AL1433" s="164" t="str">
        <f>IF(AND($C1432=12,$D1432=Input!$C$6),0,IF($E1433="","",IF($B1433&gt;Input!$C$9,0,$AC1433)+AL1434/(1+$L1433)*$R1433))</f>
        <v/>
      </c>
      <c r="AM1433" s="160" t="str">
        <f t="shared" si="460"/>
        <v/>
      </c>
      <c r="AN1433" s="164" t="str">
        <f>IF($E1433="","",IF($B1433&gt;Input!$C$9,$AI1433*$AC1433,$AM1433*$AC1433))</f>
        <v/>
      </c>
      <c r="AO1433" s="164" t="str">
        <f>IF(AND($C1432=12,$D1432=Input!$C$6),0,IF($E1433="","",$AN1433+AO1434/(1+$L1433)*$R1433))</f>
        <v/>
      </c>
      <c r="AP1433" s="152"/>
      <c r="AQ1433" s="150" t="str">
        <f t="shared" si="461"/>
        <v/>
      </c>
      <c r="AR1433" s="150" t="str">
        <f t="shared" si="468"/>
        <v/>
      </c>
      <c r="AS1433" s="150" t="str">
        <f t="shared" si="469"/>
        <v/>
      </c>
      <c r="AT1433" s="150" t="str">
        <f t="shared" si="462"/>
        <v/>
      </c>
      <c r="AU1433" s="152"/>
      <c r="AV1433" s="147" t="str">
        <f>'Deterministic Reserve'!BC1433</f>
        <v/>
      </c>
      <c r="AY1433" s="152"/>
    </row>
    <row r="1434" spans="1:51" s="150" customFormat="1" x14ac:dyDescent="0.25">
      <c r="A1434" s="150" t="str">
        <f t="shared" si="470"/>
        <v/>
      </c>
      <c r="B1434" s="150" t="str">
        <f t="shared" si="471"/>
        <v/>
      </c>
      <c r="C1434" s="150" t="str">
        <f t="shared" si="472"/>
        <v/>
      </c>
      <c r="D1434" s="150" t="str">
        <f>IF(E1434="","",Input!$C$4+B1434-1)</f>
        <v/>
      </c>
      <c r="E1434" s="150" t="str">
        <f>IF(OR(AND(C1433=12,D1433=Input!$C$6),E1433=""),"",1)</f>
        <v/>
      </c>
      <c r="G1434" s="151" t="str">
        <f>IF(E1434="","",MAX(0,Input!$C$9-B1434))</f>
        <v/>
      </c>
      <c r="H1434" s="152" t="str">
        <f>IF(E1434="","",Input!$C$3)</f>
        <v/>
      </c>
      <c r="I1434" s="153" t="str">
        <f>IF(E1434="","",HLOOKUP($B1434,Input!$C$13:$BT$14,2))</f>
        <v/>
      </c>
      <c r="J1434" s="154"/>
      <c r="K1434" s="150" t="str">
        <f>IF($E1434="","",Input!$C$57)</f>
        <v/>
      </c>
      <c r="L1434" s="150" t="str">
        <f t="shared" si="463"/>
        <v/>
      </c>
      <c r="M1434" s="147" t="str">
        <f>IF($E1434="","",VLOOKUP(IF($B1434&lt;=Input!$C$7,$B1434,26),'Mortality Tables'!$A$72:$CA$97,IF($B1434&lt;=Input!$C$7+1,Input!$C$4-16,$D1434-Input!$C$7-16),0)/1000)</f>
        <v/>
      </c>
      <c r="N1434" s="147" t="str">
        <f t="shared" si="454"/>
        <v/>
      </c>
      <c r="O1434" s="157" t="str">
        <f>IF($E1434="","",IF($C1434=12,IF($B1434&lt;Input!$C$9,Input!$C$54,IF($B1434=Input!$C$9,Input!$C$55,Input!$C$56)),0%))</f>
        <v/>
      </c>
      <c r="P1434" s="167" t="str">
        <f>IF($E1434="","",IF($B1434=1,Input!$C$59,IF($B1434&lt;6,Input!$C$60,0%)))</f>
        <v/>
      </c>
      <c r="Q1434" s="162" t="str">
        <f>IF($E1434="","",Input!$C$58)</f>
        <v/>
      </c>
      <c r="R1434" s="156" t="str">
        <f t="shared" si="464"/>
        <v/>
      </c>
      <c r="S1434" s="154" t="str">
        <f t="shared" si="455"/>
        <v/>
      </c>
      <c r="T1434" s="152"/>
      <c r="U1434" s="150" t="str">
        <f t="shared" si="465"/>
        <v/>
      </c>
      <c r="V1434" s="150" t="str">
        <f t="shared" si="466"/>
        <v/>
      </c>
      <c r="W1434" s="168" t="str">
        <f t="shared" si="467"/>
        <v/>
      </c>
      <c r="X1434" s="163" t="str">
        <f t="shared" si="456"/>
        <v/>
      </c>
      <c r="Y1434" s="152"/>
      <c r="Z1434" s="164" t="str">
        <f>IF(AND($C1433=12,$D1433=Input!$C$6),0,IF($E1434="","",V1434+Z1435/(1+L1434)*R1434))</f>
        <v/>
      </c>
      <c r="AA1434" s="164" t="str">
        <f>IF(OR($M1434=1,AND($C1433=12,$D1433=Input!$C$6)),0,IF($E1434="","",W1434+(X1434+AA1435*$R1434)/(1+$L1434)))</f>
        <v/>
      </c>
      <c r="AB1434" s="160" t="str">
        <f t="shared" si="457"/>
        <v/>
      </c>
      <c r="AC1434" s="164" t="str">
        <f t="shared" si="458"/>
        <v/>
      </c>
      <c r="AD1434" s="164" t="str">
        <f>IF(AND($C1433=12,$D1433=Input!$C$6),0,IF($E1434="","",$AC1434+AD1435/(1+$L1434)*$R1434))</f>
        <v/>
      </c>
      <c r="AE1434" s="152"/>
      <c r="AF1434" s="164" t="str">
        <f>IF(AND($C1433=12,$D1433=Input!$C$6),0,IF($E1434="","",IF($B1434&gt;Input!$C$9,$AC1434,0)+AF1435/(1+$L1434)*$R1434))</f>
        <v/>
      </c>
      <c r="AG1434" s="164" t="str">
        <f>IF(AND($C1433=12,$D1433=Input!$C$6),0,IF($E1434="","",(IF($B1434&gt;Input!$C$9,$X1434,0)+AG1435)/(1+$L1434)*$R1434))</f>
        <v/>
      </c>
      <c r="AH1434" s="160" t="str">
        <f t="shared" si="459"/>
        <v/>
      </c>
      <c r="AI1434" s="160" t="str">
        <f>IF($E1434="","",MIN(Input!$C$61/AH1434,1))</f>
        <v/>
      </c>
      <c r="AJ1434" s="152"/>
      <c r="AK1434" s="164" t="str">
        <f>IF(AND($C1433=12,$D1433=Input!$C$6),0,IF($E1434="","",IF($B1434&gt;Input!$C$9,$AC1434*AI1434,0)+AK1435/(1+$L1434)*$R1434))</f>
        <v/>
      </c>
      <c r="AL1434" s="164" t="str">
        <f>IF(AND($C1433=12,$D1433=Input!$C$6),0,IF($E1434="","",IF($B1434&gt;Input!$C$9,0,$AC1434)+AL1435/(1+$L1434)*$R1434))</f>
        <v/>
      </c>
      <c r="AM1434" s="160" t="str">
        <f t="shared" si="460"/>
        <v/>
      </c>
      <c r="AN1434" s="164" t="str">
        <f>IF($E1434="","",IF($B1434&gt;Input!$C$9,$AI1434*$AC1434,$AM1434*$AC1434))</f>
        <v/>
      </c>
      <c r="AO1434" s="164" t="str">
        <f>IF(AND($C1433=12,$D1433=Input!$C$6),0,IF($E1434="","",$AN1434+AO1435/(1+$L1434)*$R1434))</f>
        <v/>
      </c>
      <c r="AP1434" s="152"/>
      <c r="AQ1434" s="150" t="str">
        <f t="shared" si="461"/>
        <v/>
      </c>
      <c r="AR1434" s="150" t="str">
        <f t="shared" si="468"/>
        <v/>
      </c>
      <c r="AS1434" s="150" t="str">
        <f t="shared" si="469"/>
        <v/>
      </c>
      <c r="AT1434" s="150" t="str">
        <f t="shared" si="462"/>
        <v/>
      </c>
      <c r="AU1434" s="152"/>
      <c r="AV1434" s="147" t="str">
        <f>'Deterministic Reserve'!BC1434</f>
        <v/>
      </c>
      <c r="AY1434" s="152"/>
    </row>
    <row r="1435" spans="1:51" s="150" customFormat="1" x14ac:dyDescent="0.25">
      <c r="A1435" s="150" t="str">
        <f t="shared" si="470"/>
        <v/>
      </c>
      <c r="B1435" s="150" t="str">
        <f t="shared" si="471"/>
        <v/>
      </c>
      <c r="C1435" s="150" t="str">
        <f t="shared" si="472"/>
        <v/>
      </c>
      <c r="D1435" s="150" t="str">
        <f>IF(E1435="","",Input!$C$4+B1435-1)</f>
        <v/>
      </c>
      <c r="E1435" s="150" t="str">
        <f>IF(OR(AND(C1434=12,D1434=Input!$C$6),E1434=""),"",1)</f>
        <v/>
      </c>
      <c r="G1435" s="151" t="str">
        <f>IF(E1435="","",MAX(0,Input!$C$9-B1435))</f>
        <v/>
      </c>
      <c r="H1435" s="152" t="str">
        <f>IF(E1435="","",Input!$C$3)</f>
        <v/>
      </c>
      <c r="I1435" s="153" t="str">
        <f>IF(E1435="","",HLOOKUP($B1435,Input!$C$13:$BT$14,2))</f>
        <v/>
      </c>
      <c r="J1435" s="154"/>
      <c r="K1435" s="150" t="str">
        <f>IF($E1435="","",Input!$C$57)</f>
        <v/>
      </c>
      <c r="L1435" s="150" t="str">
        <f t="shared" si="463"/>
        <v/>
      </c>
      <c r="M1435" s="147" t="str">
        <f>IF($E1435="","",VLOOKUP(IF($B1435&lt;=Input!$C$7,$B1435,26),'Mortality Tables'!$A$72:$CA$97,IF($B1435&lt;=Input!$C$7+1,Input!$C$4-16,$D1435-Input!$C$7-16),0)/1000)</f>
        <v/>
      </c>
      <c r="N1435" s="147" t="str">
        <f t="shared" si="454"/>
        <v/>
      </c>
      <c r="O1435" s="157" t="str">
        <f>IF($E1435="","",IF($C1435=12,IF($B1435&lt;Input!$C$9,Input!$C$54,IF($B1435=Input!$C$9,Input!$C$55,Input!$C$56)),0%))</f>
        <v/>
      </c>
      <c r="P1435" s="167" t="str">
        <f>IF($E1435="","",IF($B1435=1,Input!$C$59,IF($B1435&lt;6,Input!$C$60,0%)))</f>
        <v/>
      </c>
      <c r="Q1435" s="162" t="str">
        <f>IF($E1435="","",Input!$C$58)</f>
        <v/>
      </c>
      <c r="R1435" s="156" t="str">
        <f t="shared" si="464"/>
        <v/>
      </c>
      <c r="S1435" s="154" t="str">
        <f t="shared" si="455"/>
        <v/>
      </c>
      <c r="T1435" s="152"/>
      <c r="U1435" s="150" t="str">
        <f t="shared" si="465"/>
        <v/>
      </c>
      <c r="V1435" s="150" t="str">
        <f t="shared" si="466"/>
        <v/>
      </c>
      <c r="W1435" s="168" t="str">
        <f t="shared" si="467"/>
        <v/>
      </c>
      <c r="X1435" s="163" t="str">
        <f t="shared" si="456"/>
        <v/>
      </c>
      <c r="Y1435" s="152"/>
      <c r="Z1435" s="164" t="str">
        <f>IF(AND($C1434=12,$D1434=Input!$C$6),0,IF($E1435="","",V1435+Z1436/(1+L1435)*R1435))</f>
        <v/>
      </c>
      <c r="AA1435" s="164" t="str">
        <f>IF(OR($M1435=1,AND($C1434=12,$D1434=Input!$C$6)),0,IF($E1435="","",W1435+(X1435+AA1436*$R1435)/(1+$L1435)))</f>
        <v/>
      </c>
      <c r="AB1435" s="160" t="str">
        <f t="shared" si="457"/>
        <v/>
      </c>
      <c r="AC1435" s="164" t="str">
        <f t="shared" si="458"/>
        <v/>
      </c>
      <c r="AD1435" s="164" t="str">
        <f>IF(AND($C1434=12,$D1434=Input!$C$6),0,IF($E1435="","",$AC1435+AD1436/(1+$L1435)*$R1435))</f>
        <v/>
      </c>
      <c r="AE1435" s="152"/>
      <c r="AF1435" s="164" t="str">
        <f>IF(AND($C1434=12,$D1434=Input!$C$6),0,IF($E1435="","",IF($B1435&gt;Input!$C$9,$AC1435,0)+AF1436/(1+$L1435)*$R1435))</f>
        <v/>
      </c>
      <c r="AG1435" s="164" t="str">
        <f>IF(AND($C1434=12,$D1434=Input!$C$6),0,IF($E1435="","",(IF($B1435&gt;Input!$C$9,$X1435,0)+AG1436)/(1+$L1435)*$R1435))</f>
        <v/>
      </c>
      <c r="AH1435" s="160" t="str">
        <f t="shared" si="459"/>
        <v/>
      </c>
      <c r="AI1435" s="160" t="str">
        <f>IF($E1435="","",MIN(Input!$C$61/AH1435,1))</f>
        <v/>
      </c>
      <c r="AJ1435" s="152"/>
      <c r="AK1435" s="164" t="str">
        <f>IF(AND($C1434=12,$D1434=Input!$C$6),0,IF($E1435="","",IF($B1435&gt;Input!$C$9,$AC1435*AI1435,0)+AK1436/(1+$L1435)*$R1435))</f>
        <v/>
      </c>
      <c r="AL1435" s="164" t="str">
        <f>IF(AND($C1434=12,$D1434=Input!$C$6),0,IF($E1435="","",IF($B1435&gt;Input!$C$9,0,$AC1435)+AL1436/(1+$L1435)*$R1435))</f>
        <v/>
      </c>
      <c r="AM1435" s="160" t="str">
        <f t="shared" si="460"/>
        <v/>
      </c>
      <c r="AN1435" s="164" t="str">
        <f>IF($E1435="","",IF($B1435&gt;Input!$C$9,$AI1435*$AC1435,$AM1435*$AC1435))</f>
        <v/>
      </c>
      <c r="AO1435" s="164" t="str">
        <f>IF(AND($C1434=12,$D1434=Input!$C$6),0,IF($E1435="","",$AN1435+AO1436/(1+$L1435)*$R1435))</f>
        <v/>
      </c>
      <c r="AP1435" s="152"/>
      <c r="AQ1435" s="150" t="str">
        <f t="shared" si="461"/>
        <v/>
      </c>
      <c r="AR1435" s="150" t="str">
        <f t="shared" si="468"/>
        <v/>
      </c>
      <c r="AS1435" s="150" t="str">
        <f t="shared" si="469"/>
        <v/>
      </c>
      <c r="AT1435" s="150" t="str">
        <f t="shared" si="462"/>
        <v/>
      </c>
      <c r="AU1435" s="152"/>
      <c r="AV1435" s="147" t="str">
        <f>'Deterministic Reserve'!BC1435</f>
        <v/>
      </c>
      <c r="AY1435" s="152"/>
    </row>
    <row r="1436" spans="1:51" s="150" customFormat="1" x14ac:dyDescent="0.25">
      <c r="A1436" s="150" t="str">
        <f t="shared" si="470"/>
        <v/>
      </c>
      <c r="B1436" s="150" t="str">
        <f t="shared" si="471"/>
        <v/>
      </c>
      <c r="C1436" s="150" t="str">
        <f t="shared" si="472"/>
        <v/>
      </c>
      <c r="D1436" s="150" t="str">
        <f>IF(E1436="","",Input!$C$4+B1436-1)</f>
        <v/>
      </c>
      <c r="E1436" s="150" t="str">
        <f>IF(OR(AND(C1435=12,D1435=Input!$C$6),E1435=""),"",1)</f>
        <v/>
      </c>
      <c r="G1436" s="151" t="str">
        <f>IF(E1436="","",MAX(0,Input!$C$9-B1436))</f>
        <v/>
      </c>
      <c r="H1436" s="152" t="str">
        <f>IF(E1436="","",Input!$C$3)</f>
        <v/>
      </c>
      <c r="I1436" s="153" t="str">
        <f>IF(E1436="","",HLOOKUP($B1436,Input!$C$13:$BT$14,2))</f>
        <v/>
      </c>
      <c r="J1436" s="154"/>
      <c r="K1436" s="150" t="str">
        <f>IF($E1436="","",Input!$C$57)</f>
        <v/>
      </c>
      <c r="L1436" s="150" t="str">
        <f t="shared" si="463"/>
        <v/>
      </c>
      <c r="M1436" s="147" t="str">
        <f>IF($E1436="","",VLOOKUP(IF($B1436&lt;=Input!$C$7,$B1436,26),'Mortality Tables'!$A$72:$CA$97,IF($B1436&lt;=Input!$C$7+1,Input!$C$4-16,$D1436-Input!$C$7-16),0)/1000)</f>
        <v/>
      </c>
      <c r="N1436" s="147" t="str">
        <f t="shared" si="454"/>
        <v/>
      </c>
      <c r="O1436" s="157" t="str">
        <f>IF($E1436="","",IF($C1436=12,IF($B1436&lt;Input!$C$9,Input!$C$54,IF($B1436=Input!$C$9,Input!$C$55,Input!$C$56)),0%))</f>
        <v/>
      </c>
      <c r="P1436" s="167" t="str">
        <f>IF($E1436="","",IF($B1436=1,Input!$C$59,IF($B1436&lt;6,Input!$C$60,0%)))</f>
        <v/>
      </c>
      <c r="Q1436" s="162" t="str">
        <f>IF($E1436="","",Input!$C$58)</f>
        <v/>
      </c>
      <c r="R1436" s="156" t="str">
        <f t="shared" si="464"/>
        <v/>
      </c>
      <c r="S1436" s="154" t="str">
        <f t="shared" si="455"/>
        <v/>
      </c>
      <c r="T1436" s="152"/>
      <c r="U1436" s="150" t="str">
        <f t="shared" si="465"/>
        <v/>
      </c>
      <c r="V1436" s="150" t="str">
        <f t="shared" si="466"/>
        <v/>
      </c>
      <c r="W1436" s="168" t="str">
        <f t="shared" si="467"/>
        <v/>
      </c>
      <c r="X1436" s="163" t="str">
        <f t="shared" si="456"/>
        <v/>
      </c>
      <c r="Y1436" s="152"/>
      <c r="Z1436" s="164" t="str">
        <f>IF(AND($C1435=12,$D1435=Input!$C$6),0,IF($E1436="","",V1436+Z1437/(1+L1436)*R1436))</f>
        <v/>
      </c>
      <c r="AA1436" s="164" t="str">
        <f>IF(OR($M1436=1,AND($C1435=12,$D1435=Input!$C$6)),0,IF($E1436="","",W1436+(X1436+AA1437*$R1436)/(1+$L1436)))</f>
        <v/>
      </c>
      <c r="AB1436" s="160" t="str">
        <f t="shared" si="457"/>
        <v/>
      </c>
      <c r="AC1436" s="164" t="str">
        <f t="shared" si="458"/>
        <v/>
      </c>
      <c r="AD1436" s="164" t="str">
        <f>IF(AND($C1435=12,$D1435=Input!$C$6),0,IF($E1436="","",$AC1436+AD1437/(1+$L1436)*$R1436))</f>
        <v/>
      </c>
      <c r="AE1436" s="152"/>
      <c r="AF1436" s="164" t="str">
        <f>IF(AND($C1435=12,$D1435=Input!$C$6),0,IF($E1436="","",IF($B1436&gt;Input!$C$9,$AC1436,0)+AF1437/(1+$L1436)*$R1436))</f>
        <v/>
      </c>
      <c r="AG1436" s="164" t="str">
        <f>IF(AND($C1435=12,$D1435=Input!$C$6),0,IF($E1436="","",(IF($B1436&gt;Input!$C$9,$X1436,0)+AG1437)/(1+$L1436)*$R1436))</f>
        <v/>
      </c>
      <c r="AH1436" s="160" t="str">
        <f t="shared" si="459"/>
        <v/>
      </c>
      <c r="AI1436" s="160" t="str">
        <f>IF($E1436="","",MIN(Input!$C$61/AH1436,1))</f>
        <v/>
      </c>
      <c r="AJ1436" s="152"/>
      <c r="AK1436" s="164" t="str">
        <f>IF(AND($C1435=12,$D1435=Input!$C$6),0,IF($E1436="","",IF($B1436&gt;Input!$C$9,$AC1436*AI1436,0)+AK1437/(1+$L1436)*$R1436))</f>
        <v/>
      </c>
      <c r="AL1436" s="164" t="str">
        <f>IF(AND($C1435=12,$D1435=Input!$C$6),0,IF($E1436="","",IF($B1436&gt;Input!$C$9,0,$AC1436)+AL1437/(1+$L1436)*$R1436))</f>
        <v/>
      </c>
      <c r="AM1436" s="160" t="str">
        <f t="shared" si="460"/>
        <v/>
      </c>
      <c r="AN1436" s="164" t="str">
        <f>IF($E1436="","",IF($B1436&gt;Input!$C$9,$AI1436*$AC1436,$AM1436*$AC1436))</f>
        <v/>
      </c>
      <c r="AO1436" s="164" t="str">
        <f>IF(AND($C1435=12,$D1435=Input!$C$6),0,IF($E1436="","",$AN1436+AO1437/(1+$L1436)*$R1436))</f>
        <v/>
      </c>
      <c r="AP1436" s="152"/>
      <c r="AQ1436" s="150" t="str">
        <f t="shared" si="461"/>
        <v/>
      </c>
      <c r="AR1436" s="150" t="str">
        <f t="shared" si="468"/>
        <v/>
      </c>
      <c r="AS1436" s="150" t="str">
        <f t="shared" si="469"/>
        <v/>
      </c>
      <c r="AT1436" s="150" t="str">
        <f t="shared" si="462"/>
        <v/>
      </c>
      <c r="AU1436" s="152"/>
      <c r="AV1436" s="147" t="str">
        <f>'Deterministic Reserve'!BC1436</f>
        <v/>
      </c>
      <c r="AY1436" s="152"/>
    </row>
    <row r="1437" spans="1:51" s="150" customFormat="1" x14ac:dyDescent="0.25">
      <c r="A1437" s="150" t="str">
        <f t="shared" si="470"/>
        <v/>
      </c>
      <c r="B1437" s="150" t="str">
        <f t="shared" si="471"/>
        <v/>
      </c>
      <c r="C1437" s="150" t="str">
        <f t="shared" si="472"/>
        <v/>
      </c>
      <c r="D1437" s="150" t="str">
        <f>IF(E1437="","",Input!$C$4+B1437-1)</f>
        <v/>
      </c>
      <c r="E1437" s="150" t="str">
        <f>IF(OR(AND(C1436=12,D1436=Input!$C$6),E1436=""),"",1)</f>
        <v/>
      </c>
      <c r="G1437" s="151" t="str">
        <f>IF(E1437="","",MAX(0,Input!$C$9-B1437))</f>
        <v/>
      </c>
      <c r="H1437" s="152" t="str">
        <f>IF(E1437="","",Input!$C$3)</f>
        <v/>
      </c>
      <c r="I1437" s="153" t="str">
        <f>IF(E1437="","",HLOOKUP($B1437,Input!$C$13:$BT$14,2))</f>
        <v/>
      </c>
      <c r="J1437" s="154"/>
      <c r="K1437" s="150" t="str">
        <f>IF($E1437="","",Input!$C$57)</f>
        <v/>
      </c>
      <c r="L1437" s="150" t="str">
        <f t="shared" si="463"/>
        <v/>
      </c>
      <c r="M1437" s="147" t="str">
        <f>IF($E1437="","",VLOOKUP(IF($B1437&lt;=Input!$C$7,$B1437,26),'Mortality Tables'!$A$72:$CA$97,IF($B1437&lt;=Input!$C$7+1,Input!$C$4-16,$D1437-Input!$C$7-16),0)/1000)</f>
        <v/>
      </c>
      <c r="N1437" s="147" t="str">
        <f t="shared" si="454"/>
        <v/>
      </c>
      <c r="O1437" s="157" t="str">
        <f>IF($E1437="","",IF($C1437=12,IF($B1437&lt;Input!$C$9,Input!$C$54,IF($B1437=Input!$C$9,Input!$C$55,Input!$C$56)),0%))</f>
        <v/>
      </c>
      <c r="P1437" s="167" t="str">
        <f>IF($E1437="","",IF($B1437=1,Input!$C$59,IF($B1437&lt;6,Input!$C$60,0%)))</f>
        <v/>
      </c>
      <c r="Q1437" s="162" t="str">
        <f>IF($E1437="","",Input!$C$58)</f>
        <v/>
      </c>
      <c r="R1437" s="156" t="str">
        <f t="shared" si="464"/>
        <v/>
      </c>
      <c r="S1437" s="154" t="str">
        <f t="shared" si="455"/>
        <v/>
      </c>
      <c r="T1437" s="152"/>
      <c r="U1437" s="150" t="str">
        <f t="shared" si="465"/>
        <v/>
      </c>
      <c r="V1437" s="150" t="str">
        <f t="shared" si="466"/>
        <v/>
      </c>
      <c r="W1437" s="168" t="str">
        <f t="shared" si="467"/>
        <v/>
      </c>
      <c r="X1437" s="163" t="str">
        <f t="shared" si="456"/>
        <v/>
      </c>
      <c r="Y1437" s="152"/>
      <c r="Z1437" s="164" t="str">
        <f>IF(AND($C1436=12,$D1436=Input!$C$6),0,IF($E1437="","",V1437+Z1438/(1+L1437)*R1437))</f>
        <v/>
      </c>
      <c r="AA1437" s="164" t="str">
        <f>IF(OR($M1437=1,AND($C1436=12,$D1436=Input!$C$6)),0,IF($E1437="","",W1437+(X1437+AA1438*$R1437)/(1+$L1437)))</f>
        <v/>
      </c>
      <c r="AB1437" s="160" t="str">
        <f t="shared" si="457"/>
        <v/>
      </c>
      <c r="AC1437" s="164" t="str">
        <f t="shared" si="458"/>
        <v/>
      </c>
      <c r="AD1437" s="164" t="str">
        <f>IF(AND($C1436=12,$D1436=Input!$C$6),0,IF($E1437="","",$AC1437+AD1438/(1+$L1437)*$R1437))</f>
        <v/>
      </c>
      <c r="AE1437" s="152"/>
      <c r="AF1437" s="164" t="str">
        <f>IF(AND($C1436=12,$D1436=Input!$C$6),0,IF($E1437="","",IF($B1437&gt;Input!$C$9,$AC1437,0)+AF1438/(1+$L1437)*$R1437))</f>
        <v/>
      </c>
      <c r="AG1437" s="164" t="str">
        <f>IF(AND($C1436=12,$D1436=Input!$C$6),0,IF($E1437="","",(IF($B1437&gt;Input!$C$9,$X1437,0)+AG1438)/(1+$L1437)*$R1437))</f>
        <v/>
      </c>
      <c r="AH1437" s="160" t="str">
        <f t="shared" si="459"/>
        <v/>
      </c>
      <c r="AI1437" s="160" t="str">
        <f>IF($E1437="","",MIN(Input!$C$61/AH1437,1))</f>
        <v/>
      </c>
      <c r="AJ1437" s="152"/>
      <c r="AK1437" s="164" t="str">
        <f>IF(AND($C1436=12,$D1436=Input!$C$6),0,IF($E1437="","",IF($B1437&gt;Input!$C$9,$AC1437*AI1437,0)+AK1438/(1+$L1437)*$R1437))</f>
        <v/>
      </c>
      <c r="AL1437" s="164" t="str">
        <f>IF(AND($C1436=12,$D1436=Input!$C$6),0,IF($E1437="","",IF($B1437&gt;Input!$C$9,0,$AC1437)+AL1438/(1+$L1437)*$R1437))</f>
        <v/>
      </c>
      <c r="AM1437" s="160" t="str">
        <f t="shared" si="460"/>
        <v/>
      </c>
      <c r="AN1437" s="164" t="str">
        <f>IF($E1437="","",IF($B1437&gt;Input!$C$9,$AI1437*$AC1437,$AM1437*$AC1437))</f>
        <v/>
      </c>
      <c r="AO1437" s="164" t="str">
        <f>IF(AND($C1436=12,$D1436=Input!$C$6),0,IF($E1437="","",$AN1437+AO1438/(1+$L1437)*$R1437))</f>
        <v/>
      </c>
      <c r="AP1437" s="152"/>
      <c r="AQ1437" s="150" t="str">
        <f t="shared" si="461"/>
        <v/>
      </c>
      <c r="AR1437" s="150" t="str">
        <f t="shared" si="468"/>
        <v/>
      </c>
      <c r="AS1437" s="150" t="str">
        <f t="shared" si="469"/>
        <v/>
      </c>
      <c r="AT1437" s="150" t="str">
        <f t="shared" si="462"/>
        <v/>
      </c>
      <c r="AU1437" s="152"/>
      <c r="AV1437" s="147" t="str">
        <f>'Deterministic Reserve'!BC1437</f>
        <v/>
      </c>
      <c r="AY1437" s="152"/>
    </row>
    <row r="1438" spans="1:51" s="150" customFormat="1" x14ac:dyDescent="0.25">
      <c r="A1438" s="150" t="str">
        <f t="shared" si="470"/>
        <v/>
      </c>
      <c r="B1438" s="150" t="str">
        <f t="shared" si="471"/>
        <v/>
      </c>
      <c r="C1438" s="150" t="str">
        <f t="shared" si="472"/>
        <v/>
      </c>
      <c r="D1438" s="150" t="str">
        <f>IF(E1438="","",Input!$C$4+B1438-1)</f>
        <v/>
      </c>
      <c r="E1438" s="150" t="str">
        <f>IF(OR(AND(C1437=12,D1437=Input!$C$6),E1437=""),"",1)</f>
        <v/>
      </c>
      <c r="G1438" s="151" t="str">
        <f>IF(E1438="","",MAX(0,Input!$C$9-B1438))</f>
        <v/>
      </c>
      <c r="H1438" s="152" t="str">
        <f>IF(E1438="","",Input!$C$3)</f>
        <v/>
      </c>
      <c r="I1438" s="153" t="str">
        <f>IF(E1438="","",HLOOKUP($B1438,Input!$C$13:$BT$14,2))</f>
        <v/>
      </c>
      <c r="J1438" s="154"/>
      <c r="K1438" s="150" t="str">
        <f>IF($E1438="","",Input!$C$57)</f>
        <v/>
      </c>
      <c r="L1438" s="150" t="str">
        <f t="shared" si="463"/>
        <v/>
      </c>
      <c r="M1438" s="147" t="str">
        <f>IF($E1438="","",VLOOKUP(IF($B1438&lt;=Input!$C$7,$B1438,26),'Mortality Tables'!$A$72:$CA$97,IF($B1438&lt;=Input!$C$7+1,Input!$C$4-16,$D1438-Input!$C$7-16),0)/1000)</f>
        <v/>
      </c>
      <c r="N1438" s="147" t="str">
        <f t="shared" si="454"/>
        <v/>
      </c>
      <c r="O1438" s="157" t="str">
        <f>IF($E1438="","",IF($C1438=12,IF($B1438&lt;Input!$C$9,Input!$C$54,IF($B1438=Input!$C$9,Input!$C$55,Input!$C$56)),0%))</f>
        <v/>
      </c>
      <c r="P1438" s="167" t="str">
        <f>IF($E1438="","",IF($B1438=1,Input!$C$59,IF($B1438&lt;6,Input!$C$60,0%)))</f>
        <v/>
      </c>
      <c r="Q1438" s="162" t="str">
        <f>IF($E1438="","",Input!$C$58)</f>
        <v/>
      </c>
      <c r="R1438" s="156" t="str">
        <f t="shared" si="464"/>
        <v/>
      </c>
      <c r="S1438" s="154" t="str">
        <f t="shared" si="455"/>
        <v/>
      </c>
      <c r="T1438" s="152"/>
      <c r="U1438" s="150" t="str">
        <f t="shared" si="465"/>
        <v/>
      </c>
      <c r="V1438" s="150" t="str">
        <f t="shared" si="466"/>
        <v/>
      </c>
      <c r="W1438" s="168" t="str">
        <f t="shared" si="467"/>
        <v/>
      </c>
      <c r="X1438" s="163" t="str">
        <f t="shared" si="456"/>
        <v/>
      </c>
      <c r="Y1438" s="152"/>
      <c r="Z1438" s="164" t="str">
        <f>IF(AND($C1437=12,$D1437=Input!$C$6),0,IF($E1438="","",V1438+Z1439/(1+L1438)*R1438))</f>
        <v/>
      </c>
      <c r="AA1438" s="164" t="str">
        <f>IF(OR($M1438=1,AND($C1437=12,$D1437=Input!$C$6)),0,IF($E1438="","",W1438+(X1438+AA1439*$R1438)/(1+$L1438)))</f>
        <v/>
      </c>
      <c r="AB1438" s="160" t="str">
        <f t="shared" si="457"/>
        <v/>
      </c>
      <c r="AC1438" s="164" t="str">
        <f t="shared" si="458"/>
        <v/>
      </c>
      <c r="AD1438" s="164" t="str">
        <f>IF(AND($C1437=12,$D1437=Input!$C$6),0,IF($E1438="","",$AC1438+AD1439/(1+$L1438)*$R1438))</f>
        <v/>
      </c>
      <c r="AE1438" s="152"/>
      <c r="AF1438" s="164" t="str">
        <f>IF(AND($C1437=12,$D1437=Input!$C$6),0,IF($E1438="","",IF($B1438&gt;Input!$C$9,$AC1438,0)+AF1439/(1+$L1438)*$R1438))</f>
        <v/>
      </c>
      <c r="AG1438" s="164" t="str">
        <f>IF(AND($C1437=12,$D1437=Input!$C$6),0,IF($E1438="","",(IF($B1438&gt;Input!$C$9,$X1438,0)+AG1439)/(1+$L1438)*$R1438))</f>
        <v/>
      </c>
      <c r="AH1438" s="160" t="str">
        <f t="shared" si="459"/>
        <v/>
      </c>
      <c r="AI1438" s="160" t="str">
        <f>IF($E1438="","",MIN(Input!$C$61/AH1438,1))</f>
        <v/>
      </c>
      <c r="AJ1438" s="152"/>
      <c r="AK1438" s="164" t="str">
        <f>IF(AND($C1437=12,$D1437=Input!$C$6),0,IF($E1438="","",IF($B1438&gt;Input!$C$9,$AC1438*AI1438,0)+AK1439/(1+$L1438)*$R1438))</f>
        <v/>
      </c>
      <c r="AL1438" s="164" t="str">
        <f>IF(AND($C1437=12,$D1437=Input!$C$6),0,IF($E1438="","",IF($B1438&gt;Input!$C$9,0,$AC1438)+AL1439/(1+$L1438)*$R1438))</f>
        <v/>
      </c>
      <c r="AM1438" s="160" t="str">
        <f t="shared" si="460"/>
        <v/>
      </c>
      <c r="AN1438" s="164" t="str">
        <f>IF($E1438="","",IF($B1438&gt;Input!$C$9,$AI1438*$AC1438,$AM1438*$AC1438))</f>
        <v/>
      </c>
      <c r="AO1438" s="164" t="str">
        <f>IF(AND($C1437=12,$D1437=Input!$C$6),0,IF($E1438="","",$AN1438+AO1439/(1+$L1438)*$R1438))</f>
        <v/>
      </c>
      <c r="AP1438" s="152"/>
      <c r="AQ1438" s="150" t="str">
        <f t="shared" si="461"/>
        <v/>
      </c>
      <c r="AR1438" s="150" t="str">
        <f t="shared" si="468"/>
        <v/>
      </c>
      <c r="AS1438" s="150" t="str">
        <f t="shared" si="469"/>
        <v/>
      </c>
      <c r="AT1438" s="150" t="str">
        <f t="shared" si="462"/>
        <v/>
      </c>
      <c r="AU1438" s="152"/>
      <c r="AV1438" s="147" t="str">
        <f>'Deterministic Reserve'!BC1438</f>
        <v/>
      </c>
      <c r="AY1438" s="152"/>
    </row>
    <row r="1439" spans="1:51" s="150" customFormat="1" x14ac:dyDescent="0.25">
      <c r="A1439" s="150" t="str">
        <f t="shared" si="470"/>
        <v/>
      </c>
      <c r="B1439" s="150" t="str">
        <f t="shared" si="471"/>
        <v/>
      </c>
      <c r="C1439" s="150" t="str">
        <f t="shared" si="472"/>
        <v/>
      </c>
      <c r="D1439" s="150" t="str">
        <f>IF(E1439="","",Input!$C$4+B1439-1)</f>
        <v/>
      </c>
      <c r="E1439" s="150" t="str">
        <f>IF(OR(AND(C1438=12,D1438=Input!$C$6),E1438=""),"",1)</f>
        <v/>
      </c>
      <c r="G1439" s="151" t="str">
        <f>IF(E1439="","",MAX(0,Input!$C$9-B1439))</f>
        <v/>
      </c>
      <c r="H1439" s="152" t="str">
        <f>IF(E1439="","",Input!$C$3)</f>
        <v/>
      </c>
      <c r="I1439" s="153" t="str">
        <f>IF(E1439="","",HLOOKUP($B1439,Input!$C$13:$BT$14,2))</f>
        <v/>
      </c>
      <c r="J1439" s="154"/>
      <c r="K1439" s="150" t="str">
        <f>IF($E1439="","",Input!$C$57)</f>
        <v/>
      </c>
      <c r="L1439" s="150" t="str">
        <f t="shared" si="463"/>
        <v/>
      </c>
      <c r="M1439" s="147" t="str">
        <f>IF($E1439="","",VLOOKUP(IF($B1439&lt;=Input!$C$7,$B1439,26),'Mortality Tables'!$A$72:$CA$97,IF($B1439&lt;=Input!$C$7+1,Input!$C$4-16,$D1439-Input!$C$7-16),0)/1000)</f>
        <v/>
      </c>
      <c r="N1439" s="147" t="str">
        <f t="shared" si="454"/>
        <v/>
      </c>
      <c r="O1439" s="157" t="str">
        <f>IF($E1439="","",IF($C1439=12,IF($B1439&lt;Input!$C$9,Input!$C$54,IF($B1439=Input!$C$9,Input!$C$55,Input!$C$56)),0%))</f>
        <v/>
      </c>
      <c r="P1439" s="167" t="str">
        <f>IF($E1439="","",IF($B1439=1,Input!$C$59,IF($B1439&lt;6,Input!$C$60,0%)))</f>
        <v/>
      </c>
      <c r="Q1439" s="162" t="str">
        <f>IF($E1439="","",Input!$C$58)</f>
        <v/>
      </c>
      <c r="R1439" s="156" t="str">
        <f t="shared" si="464"/>
        <v/>
      </c>
      <c r="S1439" s="154" t="str">
        <f t="shared" si="455"/>
        <v/>
      </c>
      <c r="T1439" s="152"/>
      <c r="U1439" s="150" t="str">
        <f t="shared" si="465"/>
        <v/>
      </c>
      <c r="V1439" s="150" t="str">
        <f t="shared" si="466"/>
        <v/>
      </c>
      <c r="W1439" s="168" t="str">
        <f t="shared" si="467"/>
        <v/>
      </c>
      <c r="X1439" s="163" t="str">
        <f t="shared" si="456"/>
        <v/>
      </c>
      <c r="Y1439" s="152"/>
      <c r="Z1439" s="164" t="str">
        <f>IF(AND($C1438=12,$D1438=Input!$C$6),0,IF($E1439="","",V1439+Z1440/(1+L1439)*R1439))</f>
        <v/>
      </c>
      <c r="AA1439" s="164" t="str">
        <f>IF(OR($M1439=1,AND($C1438=12,$D1438=Input!$C$6)),0,IF($E1439="","",W1439+(X1439+AA1440*$R1439)/(1+$L1439)))</f>
        <v/>
      </c>
      <c r="AB1439" s="160" t="str">
        <f t="shared" si="457"/>
        <v/>
      </c>
      <c r="AC1439" s="164" t="str">
        <f t="shared" si="458"/>
        <v/>
      </c>
      <c r="AD1439" s="164" t="str">
        <f>IF(AND($C1438=12,$D1438=Input!$C$6),0,IF($E1439="","",$AC1439+AD1440/(1+$L1439)*$R1439))</f>
        <v/>
      </c>
      <c r="AE1439" s="152"/>
      <c r="AF1439" s="164" t="str">
        <f>IF(AND($C1438=12,$D1438=Input!$C$6),0,IF($E1439="","",IF($B1439&gt;Input!$C$9,$AC1439,0)+AF1440/(1+$L1439)*$R1439))</f>
        <v/>
      </c>
      <c r="AG1439" s="164" t="str">
        <f>IF(AND($C1438=12,$D1438=Input!$C$6),0,IF($E1439="","",(IF($B1439&gt;Input!$C$9,$X1439,0)+AG1440)/(1+$L1439)*$R1439))</f>
        <v/>
      </c>
      <c r="AH1439" s="160" t="str">
        <f t="shared" si="459"/>
        <v/>
      </c>
      <c r="AI1439" s="160" t="str">
        <f>IF($E1439="","",MIN(Input!$C$61/AH1439,1))</f>
        <v/>
      </c>
      <c r="AJ1439" s="152"/>
      <c r="AK1439" s="164" t="str">
        <f>IF(AND($C1438=12,$D1438=Input!$C$6),0,IF($E1439="","",IF($B1439&gt;Input!$C$9,$AC1439*AI1439,0)+AK1440/(1+$L1439)*$R1439))</f>
        <v/>
      </c>
      <c r="AL1439" s="164" t="str">
        <f>IF(AND($C1438=12,$D1438=Input!$C$6),0,IF($E1439="","",IF($B1439&gt;Input!$C$9,0,$AC1439)+AL1440/(1+$L1439)*$R1439))</f>
        <v/>
      </c>
      <c r="AM1439" s="160" t="str">
        <f t="shared" si="460"/>
        <v/>
      </c>
      <c r="AN1439" s="164" t="str">
        <f>IF($E1439="","",IF($B1439&gt;Input!$C$9,$AI1439*$AC1439,$AM1439*$AC1439))</f>
        <v/>
      </c>
      <c r="AO1439" s="164" t="str">
        <f>IF(AND($C1438=12,$D1438=Input!$C$6),0,IF($E1439="","",$AN1439+AO1440/(1+$L1439)*$R1439))</f>
        <v/>
      </c>
      <c r="AP1439" s="152"/>
      <c r="AQ1439" s="150" t="str">
        <f t="shared" si="461"/>
        <v/>
      </c>
      <c r="AR1439" s="150" t="str">
        <f t="shared" si="468"/>
        <v/>
      </c>
      <c r="AS1439" s="150" t="str">
        <f t="shared" si="469"/>
        <v/>
      </c>
      <c r="AT1439" s="150" t="str">
        <f t="shared" si="462"/>
        <v/>
      </c>
      <c r="AU1439" s="152"/>
      <c r="AV1439" s="147" t="str">
        <f>'Deterministic Reserve'!BC1439</f>
        <v/>
      </c>
      <c r="AY1439" s="152"/>
    </row>
    <row r="1440" spans="1:51" s="150" customFormat="1" x14ac:dyDescent="0.25">
      <c r="A1440" s="150" t="str">
        <f t="shared" si="470"/>
        <v/>
      </c>
      <c r="B1440" s="150" t="str">
        <f t="shared" si="471"/>
        <v/>
      </c>
      <c r="C1440" s="150" t="str">
        <f t="shared" si="472"/>
        <v/>
      </c>
      <c r="D1440" s="150" t="str">
        <f>IF(E1440="","",Input!$C$4+B1440-1)</f>
        <v/>
      </c>
      <c r="E1440" s="150" t="str">
        <f>IF(OR(AND(C1439=12,D1439=Input!$C$6),E1439=""),"",1)</f>
        <v/>
      </c>
      <c r="G1440" s="151" t="str">
        <f>IF(E1440="","",MAX(0,Input!$C$9-B1440))</f>
        <v/>
      </c>
      <c r="H1440" s="152" t="str">
        <f>IF(E1440="","",Input!$C$3)</f>
        <v/>
      </c>
      <c r="I1440" s="153" t="str">
        <f>IF(E1440="","",HLOOKUP($B1440,Input!$C$13:$BT$14,2))</f>
        <v/>
      </c>
      <c r="J1440" s="154"/>
      <c r="K1440" s="150" t="str">
        <f>IF($E1440="","",Input!$C$57)</f>
        <v/>
      </c>
      <c r="L1440" s="150" t="str">
        <f t="shared" si="463"/>
        <v/>
      </c>
      <c r="M1440" s="147" t="str">
        <f>IF($E1440="","",VLOOKUP(IF($B1440&lt;=Input!$C$7,$B1440,26),'Mortality Tables'!$A$72:$CA$97,IF($B1440&lt;=Input!$C$7+1,Input!$C$4-16,$D1440-Input!$C$7-16),0)/1000)</f>
        <v/>
      </c>
      <c r="N1440" s="147" t="str">
        <f t="shared" si="454"/>
        <v/>
      </c>
      <c r="O1440" s="157" t="str">
        <f>IF($E1440="","",IF($C1440=12,IF($B1440&lt;Input!$C$9,Input!$C$54,IF($B1440=Input!$C$9,Input!$C$55,Input!$C$56)),0%))</f>
        <v/>
      </c>
      <c r="P1440" s="167" t="str">
        <f>IF($E1440="","",IF($B1440=1,Input!$C$59,IF($B1440&lt;6,Input!$C$60,0%)))</f>
        <v/>
      </c>
      <c r="Q1440" s="162" t="str">
        <f>IF($E1440="","",Input!$C$58)</f>
        <v/>
      </c>
      <c r="R1440" s="156" t="str">
        <f t="shared" si="464"/>
        <v/>
      </c>
      <c r="S1440" s="154" t="str">
        <f t="shared" si="455"/>
        <v/>
      </c>
      <c r="T1440" s="152"/>
      <c r="U1440" s="150" t="str">
        <f t="shared" si="465"/>
        <v/>
      </c>
      <c r="V1440" s="150" t="str">
        <f t="shared" si="466"/>
        <v/>
      </c>
      <c r="W1440" s="168" t="str">
        <f t="shared" si="467"/>
        <v/>
      </c>
      <c r="X1440" s="163" t="str">
        <f t="shared" si="456"/>
        <v/>
      </c>
      <c r="Y1440" s="152"/>
      <c r="Z1440" s="164" t="str">
        <f>IF(AND($C1439=12,$D1439=Input!$C$6),0,IF($E1440="","",V1440+Z1441/(1+L1440)*R1440))</f>
        <v/>
      </c>
      <c r="AA1440" s="164" t="str">
        <f>IF(OR($M1440=1,AND($C1439=12,$D1439=Input!$C$6)),0,IF($E1440="","",W1440+(X1440+AA1441*$R1440)/(1+$L1440)))</f>
        <v/>
      </c>
      <c r="AB1440" s="160" t="str">
        <f t="shared" si="457"/>
        <v/>
      </c>
      <c r="AC1440" s="164" t="str">
        <f t="shared" si="458"/>
        <v/>
      </c>
      <c r="AD1440" s="164" t="str">
        <f>IF(AND($C1439=12,$D1439=Input!$C$6),0,IF($E1440="","",$AC1440+AD1441/(1+$L1440)*$R1440))</f>
        <v/>
      </c>
      <c r="AE1440" s="152"/>
      <c r="AF1440" s="164" t="str">
        <f>IF(AND($C1439=12,$D1439=Input!$C$6),0,IF($E1440="","",IF($B1440&gt;Input!$C$9,$AC1440,0)+AF1441/(1+$L1440)*$R1440))</f>
        <v/>
      </c>
      <c r="AG1440" s="164" t="str">
        <f>IF(AND($C1439=12,$D1439=Input!$C$6),0,IF($E1440="","",(IF($B1440&gt;Input!$C$9,$X1440,0)+AG1441)/(1+$L1440)*$R1440))</f>
        <v/>
      </c>
      <c r="AH1440" s="160" t="str">
        <f t="shared" si="459"/>
        <v/>
      </c>
      <c r="AI1440" s="160" t="str">
        <f>IF($E1440="","",MIN(Input!$C$61/AH1440,1))</f>
        <v/>
      </c>
      <c r="AJ1440" s="152"/>
      <c r="AK1440" s="164" t="str">
        <f>IF(AND($C1439=12,$D1439=Input!$C$6),0,IF($E1440="","",IF($B1440&gt;Input!$C$9,$AC1440*AI1440,0)+AK1441/(1+$L1440)*$R1440))</f>
        <v/>
      </c>
      <c r="AL1440" s="164" t="str">
        <f>IF(AND($C1439=12,$D1439=Input!$C$6),0,IF($E1440="","",IF($B1440&gt;Input!$C$9,0,$AC1440)+AL1441/(1+$L1440)*$R1440))</f>
        <v/>
      </c>
      <c r="AM1440" s="160" t="str">
        <f t="shared" si="460"/>
        <v/>
      </c>
      <c r="AN1440" s="164" t="str">
        <f>IF($E1440="","",IF($B1440&gt;Input!$C$9,$AI1440*$AC1440,$AM1440*$AC1440))</f>
        <v/>
      </c>
      <c r="AO1440" s="164" t="str">
        <f>IF(AND($C1439=12,$D1439=Input!$C$6),0,IF($E1440="","",$AN1440+AO1441/(1+$L1440)*$R1440))</f>
        <v/>
      </c>
      <c r="AP1440" s="152"/>
      <c r="AQ1440" s="150" t="str">
        <f t="shared" si="461"/>
        <v/>
      </c>
      <c r="AR1440" s="150" t="str">
        <f t="shared" si="468"/>
        <v/>
      </c>
      <c r="AS1440" s="150" t="str">
        <f t="shared" si="469"/>
        <v/>
      </c>
      <c r="AT1440" s="150" t="str">
        <f t="shared" si="462"/>
        <v/>
      </c>
      <c r="AU1440" s="152"/>
      <c r="AV1440" s="147" t="str">
        <f>'Deterministic Reserve'!BC1440</f>
        <v/>
      </c>
      <c r="AY1440" s="152"/>
    </row>
    <row r="1441" spans="1:51" s="150" customFormat="1" x14ac:dyDescent="0.25">
      <c r="A1441" s="150" t="str">
        <f t="shared" si="470"/>
        <v/>
      </c>
      <c r="B1441" s="150" t="str">
        <f t="shared" si="471"/>
        <v/>
      </c>
      <c r="C1441" s="150" t="str">
        <f t="shared" si="472"/>
        <v/>
      </c>
      <c r="D1441" s="150" t="str">
        <f>IF(E1441="","",Input!$C$4+B1441-1)</f>
        <v/>
      </c>
      <c r="E1441" s="150" t="str">
        <f>IF(OR(AND(C1440=12,D1440=Input!$C$6),E1440=""),"",1)</f>
        <v/>
      </c>
      <c r="G1441" s="151" t="str">
        <f>IF(E1441="","",MAX(0,Input!$C$9-B1441))</f>
        <v/>
      </c>
      <c r="H1441" s="152" t="str">
        <f>IF(E1441="","",Input!$C$3)</f>
        <v/>
      </c>
      <c r="I1441" s="153" t="str">
        <f>IF(E1441="","",HLOOKUP($B1441,Input!$C$13:$BT$14,2))</f>
        <v/>
      </c>
      <c r="J1441" s="154"/>
      <c r="K1441" s="150" t="str">
        <f>IF($E1441="","",Input!$C$57)</f>
        <v/>
      </c>
      <c r="L1441" s="150" t="str">
        <f t="shared" si="463"/>
        <v/>
      </c>
      <c r="M1441" s="147" t="str">
        <f>IF($E1441="","",VLOOKUP(IF($B1441&lt;=Input!$C$7,$B1441,26),'Mortality Tables'!$A$72:$CA$97,IF($B1441&lt;=Input!$C$7+1,Input!$C$4-16,$D1441-Input!$C$7-16),0)/1000)</f>
        <v/>
      </c>
      <c r="N1441" s="147" t="str">
        <f t="shared" si="454"/>
        <v/>
      </c>
      <c r="O1441" s="157" t="str">
        <f>IF($E1441="","",IF($C1441=12,IF($B1441&lt;Input!$C$9,Input!$C$54,IF($B1441=Input!$C$9,Input!$C$55,Input!$C$56)),0%))</f>
        <v/>
      </c>
      <c r="P1441" s="167" t="str">
        <f>IF($E1441="","",IF($B1441=1,Input!$C$59,IF($B1441&lt;6,Input!$C$60,0%)))</f>
        <v/>
      </c>
      <c r="Q1441" s="162" t="str">
        <f>IF($E1441="","",Input!$C$58)</f>
        <v/>
      </c>
      <c r="R1441" s="156" t="str">
        <f t="shared" si="464"/>
        <v/>
      </c>
      <c r="S1441" s="154" t="str">
        <f t="shared" si="455"/>
        <v/>
      </c>
      <c r="T1441" s="152"/>
      <c r="U1441" s="150" t="str">
        <f t="shared" si="465"/>
        <v/>
      </c>
      <c r="V1441" s="150" t="str">
        <f t="shared" si="466"/>
        <v/>
      </c>
      <c r="W1441" s="168" t="str">
        <f t="shared" si="467"/>
        <v/>
      </c>
      <c r="X1441" s="163" t="str">
        <f t="shared" si="456"/>
        <v/>
      </c>
      <c r="Y1441" s="152"/>
      <c r="Z1441" s="164" t="str">
        <f>IF(AND($C1440=12,$D1440=Input!$C$6),0,IF($E1441="","",V1441+Z1442/(1+L1441)*R1441))</f>
        <v/>
      </c>
      <c r="AA1441" s="164" t="str">
        <f>IF(OR($M1441=1,AND($C1440=12,$D1440=Input!$C$6)),0,IF($E1441="","",W1441+(X1441+AA1442*$R1441)/(1+$L1441)))</f>
        <v/>
      </c>
      <c r="AB1441" s="160" t="str">
        <f t="shared" si="457"/>
        <v/>
      </c>
      <c r="AC1441" s="164" t="str">
        <f t="shared" si="458"/>
        <v/>
      </c>
      <c r="AD1441" s="164" t="str">
        <f>IF(AND($C1440=12,$D1440=Input!$C$6),0,IF($E1441="","",$AC1441+AD1442/(1+$L1441)*$R1441))</f>
        <v/>
      </c>
      <c r="AE1441" s="152"/>
      <c r="AF1441" s="164" t="str">
        <f>IF(AND($C1440=12,$D1440=Input!$C$6),0,IF($E1441="","",IF($B1441&gt;Input!$C$9,$AC1441,0)+AF1442/(1+$L1441)*$R1441))</f>
        <v/>
      </c>
      <c r="AG1441" s="164" t="str">
        <f>IF(AND($C1440=12,$D1440=Input!$C$6),0,IF($E1441="","",(IF($B1441&gt;Input!$C$9,$X1441,0)+AG1442)/(1+$L1441)*$R1441))</f>
        <v/>
      </c>
      <c r="AH1441" s="160" t="str">
        <f t="shared" si="459"/>
        <v/>
      </c>
      <c r="AI1441" s="160" t="str">
        <f>IF($E1441="","",MIN(Input!$C$61/AH1441,1))</f>
        <v/>
      </c>
      <c r="AJ1441" s="152"/>
      <c r="AK1441" s="164" t="str">
        <f>IF(AND($C1440=12,$D1440=Input!$C$6),0,IF($E1441="","",IF($B1441&gt;Input!$C$9,$AC1441*AI1441,0)+AK1442/(1+$L1441)*$R1441))</f>
        <v/>
      </c>
      <c r="AL1441" s="164" t="str">
        <f>IF(AND($C1440=12,$D1440=Input!$C$6),0,IF($E1441="","",IF($B1441&gt;Input!$C$9,0,$AC1441)+AL1442/(1+$L1441)*$R1441))</f>
        <v/>
      </c>
      <c r="AM1441" s="160" t="str">
        <f t="shared" si="460"/>
        <v/>
      </c>
      <c r="AN1441" s="164" t="str">
        <f>IF($E1441="","",IF($B1441&gt;Input!$C$9,$AI1441*$AC1441,$AM1441*$AC1441))</f>
        <v/>
      </c>
      <c r="AO1441" s="164" t="str">
        <f>IF(AND($C1440=12,$D1440=Input!$C$6),0,IF($E1441="","",$AN1441+AO1442/(1+$L1441)*$R1441))</f>
        <v/>
      </c>
      <c r="AP1441" s="152"/>
      <c r="AQ1441" s="150" t="str">
        <f t="shared" si="461"/>
        <v/>
      </c>
      <c r="AR1441" s="150" t="str">
        <f t="shared" si="468"/>
        <v/>
      </c>
      <c r="AS1441" s="150" t="str">
        <f t="shared" si="469"/>
        <v/>
      </c>
      <c r="AT1441" s="150" t="str">
        <f t="shared" si="462"/>
        <v/>
      </c>
      <c r="AU1441" s="152"/>
      <c r="AV1441" s="147" t="str">
        <f>'Deterministic Reserve'!BC1441</f>
        <v/>
      </c>
      <c r="AY1441" s="152"/>
    </row>
    <row r="1442" spans="1:51" s="150" customFormat="1" x14ac:dyDescent="0.25">
      <c r="A1442" s="150" t="str">
        <f t="shared" si="470"/>
        <v/>
      </c>
      <c r="B1442" s="150" t="str">
        <f t="shared" si="471"/>
        <v/>
      </c>
      <c r="C1442" s="150" t="str">
        <f t="shared" si="472"/>
        <v/>
      </c>
      <c r="D1442" s="150" t="str">
        <f>IF(E1442="","",Input!$C$4+B1442-1)</f>
        <v/>
      </c>
      <c r="E1442" s="150" t="str">
        <f>IF(OR(AND(C1441=12,D1441=Input!$C$6),E1441=""),"",1)</f>
        <v/>
      </c>
      <c r="G1442" s="151" t="str">
        <f>IF(E1442="","",MAX(0,Input!$C$9-B1442))</f>
        <v/>
      </c>
      <c r="H1442" s="152" t="str">
        <f>IF(E1442="","",Input!$C$3)</f>
        <v/>
      </c>
      <c r="I1442" s="153" t="str">
        <f>IF(E1442="","",HLOOKUP($B1442,Input!$C$13:$BT$14,2))</f>
        <v/>
      </c>
      <c r="J1442" s="154"/>
      <c r="K1442" s="150" t="str">
        <f>IF($E1442="","",Input!$C$57)</f>
        <v/>
      </c>
      <c r="L1442" s="150" t="str">
        <f t="shared" si="463"/>
        <v/>
      </c>
      <c r="M1442" s="147" t="str">
        <f>IF($E1442="","",VLOOKUP(IF($B1442&lt;=Input!$C$7,$B1442,26),'Mortality Tables'!$A$72:$CA$97,IF($B1442&lt;=Input!$C$7+1,Input!$C$4-16,$D1442-Input!$C$7-16),0)/1000)</f>
        <v/>
      </c>
      <c r="N1442" s="147" t="str">
        <f t="shared" si="454"/>
        <v/>
      </c>
      <c r="O1442" s="157" t="str">
        <f>IF($E1442="","",IF($C1442=12,IF($B1442&lt;Input!$C$9,Input!$C$54,IF($B1442=Input!$C$9,Input!$C$55,Input!$C$56)),0%))</f>
        <v/>
      </c>
      <c r="P1442" s="167" t="str">
        <f>IF($E1442="","",IF($B1442=1,Input!$C$59,IF($B1442&lt;6,Input!$C$60,0%)))</f>
        <v/>
      </c>
      <c r="Q1442" s="162" t="str">
        <f>IF($E1442="","",Input!$C$58)</f>
        <v/>
      </c>
      <c r="R1442" s="156" t="str">
        <f t="shared" si="464"/>
        <v/>
      </c>
      <c r="S1442" s="154" t="str">
        <f t="shared" si="455"/>
        <v/>
      </c>
      <c r="T1442" s="152"/>
      <c r="U1442" s="150" t="str">
        <f t="shared" si="465"/>
        <v/>
      </c>
      <c r="V1442" s="150" t="str">
        <f t="shared" si="466"/>
        <v/>
      </c>
      <c r="W1442" s="168" t="str">
        <f t="shared" si="467"/>
        <v/>
      </c>
      <c r="X1442" s="163" t="str">
        <f t="shared" si="456"/>
        <v/>
      </c>
      <c r="Y1442" s="152"/>
      <c r="Z1442" s="164" t="str">
        <f>IF(AND($C1441=12,$D1441=Input!$C$6),0,IF($E1442="","",V1442+Z1443/(1+L1442)*R1442))</f>
        <v/>
      </c>
      <c r="AA1442" s="164" t="str">
        <f>IF(OR($M1442=1,AND($C1441=12,$D1441=Input!$C$6)),0,IF($E1442="","",W1442+(X1442+AA1443*$R1442)/(1+$L1442)))</f>
        <v/>
      </c>
      <c r="AB1442" s="160" t="str">
        <f t="shared" si="457"/>
        <v/>
      </c>
      <c r="AC1442" s="164" t="str">
        <f t="shared" si="458"/>
        <v/>
      </c>
      <c r="AD1442" s="164" t="str">
        <f>IF(AND($C1441=12,$D1441=Input!$C$6),0,IF($E1442="","",$AC1442+AD1443/(1+$L1442)*$R1442))</f>
        <v/>
      </c>
      <c r="AE1442" s="152"/>
      <c r="AF1442" s="164" t="str">
        <f>IF(AND($C1441=12,$D1441=Input!$C$6),0,IF($E1442="","",IF($B1442&gt;Input!$C$9,$AC1442,0)+AF1443/(1+$L1442)*$R1442))</f>
        <v/>
      </c>
      <c r="AG1442" s="164" t="str">
        <f>IF(AND($C1441=12,$D1441=Input!$C$6),0,IF($E1442="","",(IF($B1442&gt;Input!$C$9,$X1442,0)+AG1443)/(1+$L1442)*$R1442))</f>
        <v/>
      </c>
      <c r="AH1442" s="160" t="str">
        <f t="shared" si="459"/>
        <v/>
      </c>
      <c r="AI1442" s="160" t="str">
        <f>IF($E1442="","",MIN(Input!$C$61/AH1442,1))</f>
        <v/>
      </c>
      <c r="AJ1442" s="152"/>
      <c r="AK1442" s="164" t="str">
        <f>IF(AND($C1441=12,$D1441=Input!$C$6),0,IF($E1442="","",IF($B1442&gt;Input!$C$9,$AC1442*AI1442,0)+AK1443/(1+$L1442)*$R1442))</f>
        <v/>
      </c>
      <c r="AL1442" s="164" t="str">
        <f>IF(AND($C1441=12,$D1441=Input!$C$6),0,IF($E1442="","",IF($B1442&gt;Input!$C$9,0,$AC1442)+AL1443/(1+$L1442)*$R1442))</f>
        <v/>
      </c>
      <c r="AM1442" s="160" t="str">
        <f t="shared" si="460"/>
        <v/>
      </c>
      <c r="AN1442" s="164" t="str">
        <f>IF($E1442="","",IF($B1442&gt;Input!$C$9,$AI1442*$AC1442,$AM1442*$AC1442))</f>
        <v/>
      </c>
      <c r="AO1442" s="164" t="str">
        <f>IF(AND($C1441=12,$D1441=Input!$C$6),0,IF($E1442="","",$AN1442+AO1443/(1+$L1442)*$R1442))</f>
        <v/>
      </c>
      <c r="AP1442" s="152"/>
      <c r="AQ1442" s="150" t="str">
        <f t="shared" si="461"/>
        <v/>
      </c>
      <c r="AR1442" s="150" t="str">
        <f t="shared" si="468"/>
        <v/>
      </c>
      <c r="AS1442" s="150" t="str">
        <f t="shared" si="469"/>
        <v/>
      </c>
      <c r="AT1442" s="150" t="str">
        <f t="shared" si="462"/>
        <v/>
      </c>
      <c r="AU1442" s="152"/>
      <c r="AV1442" s="147" t="str">
        <f>'Deterministic Reserve'!BC1442</f>
        <v/>
      </c>
      <c r="AY1442" s="152"/>
    </row>
    <row r="1443" spans="1:51" s="150" customFormat="1" x14ac:dyDescent="0.25">
      <c r="A1443" s="150" t="str">
        <f t="shared" si="470"/>
        <v/>
      </c>
      <c r="B1443" s="150" t="str">
        <f t="shared" si="471"/>
        <v/>
      </c>
      <c r="C1443" s="150" t="str">
        <f t="shared" si="472"/>
        <v/>
      </c>
      <c r="D1443" s="150" t="str">
        <f>IF(E1443="","",Input!$C$4+B1443-1)</f>
        <v/>
      </c>
      <c r="E1443" s="150" t="str">
        <f>IF(OR(AND(C1442=12,D1442=Input!$C$6),E1442=""),"",1)</f>
        <v/>
      </c>
      <c r="G1443" s="151" t="str">
        <f>IF(E1443="","",MAX(0,Input!$C$9-B1443))</f>
        <v/>
      </c>
      <c r="H1443" s="152" t="str">
        <f>IF(E1443="","",Input!$C$3)</f>
        <v/>
      </c>
      <c r="I1443" s="153" t="str">
        <f>IF(E1443="","",HLOOKUP($B1443,Input!$C$13:$BT$14,2))</f>
        <v/>
      </c>
      <c r="J1443" s="154"/>
      <c r="K1443" s="150" t="str">
        <f>IF($E1443="","",Input!$C$57)</f>
        <v/>
      </c>
      <c r="L1443" s="150" t="str">
        <f t="shared" si="463"/>
        <v/>
      </c>
      <c r="M1443" s="147" t="str">
        <f>IF($E1443="","",VLOOKUP(IF($B1443&lt;=Input!$C$7,$B1443,26),'Mortality Tables'!$A$72:$CA$97,IF($B1443&lt;=Input!$C$7+1,Input!$C$4-16,$D1443-Input!$C$7-16),0)/1000)</f>
        <v/>
      </c>
      <c r="N1443" s="147" t="str">
        <f t="shared" si="454"/>
        <v/>
      </c>
      <c r="O1443" s="157" t="str">
        <f>IF($E1443="","",IF($C1443=12,IF($B1443&lt;Input!$C$9,Input!$C$54,IF($B1443=Input!$C$9,Input!$C$55,Input!$C$56)),0%))</f>
        <v/>
      </c>
      <c r="P1443" s="167" t="str">
        <f>IF($E1443="","",IF($B1443=1,Input!$C$59,IF($B1443&lt;6,Input!$C$60,0%)))</f>
        <v/>
      </c>
      <c r="Q1443" s="162" t="str">
        <f>IF($E1443="","",Input!$C$58)</f>
        <v/>
      </c>
      <c r="R1443" s="156" t="str">
        <f t="shared" si="464"/>
        <v/>
      </c>
      <c r="S1443" s="154" t="str">
        <f t="shared" si="455"/>
        <v/>
      </c>
      <c r="T1443" s="152"/>
      <c r="U1443" s="150" t="str">
        <f t="shared" si="465"/>
        <v/>
      </c>
      <c r="V1443" s="150" t="str">
        <f t="shared" si="466"/>
        <v/>
      </c>
      <c r="W1443" s="168" t="str">
        <f t="shared" si="467"/>
        <v/>
      </c>
      <c r="X1443" s="163" t="str">
        <f t="shared" si="456"/>
        <v/>
      </c>
      <c r="Y1443" s="152"/>
      <c r="Z1443" s="164" t="str">
        <f>IF(AND($C1442=12,$D1442=Input!$C$6),0,IF($E1443="","",V1443+Z1444/(1+L1443)*R1443))</f>
        <v/>
      </c>
      <c r="AA1443" s="164" t="str">
        <f>IF(OR($M1443=1,AND($C1442=12,$D1442=Input!$C$6)),0,IF($E1443="","",W1443+(X1443+AA1444*$R1443)/(1+$L1443)))</f>
        <v/>
      </c>
      <c r="AB1443" s="160" t="str">
        <f t="shared" si="457"/>
        <v/>
      </c>
      <c r="AC1443" s="164" t="str">
        <f t="shared" si="458"/>
        <v/>
      </c>
      <c r="AD1443" s="164" t="str">
        <f>IF(AND($C1442=12,$D1442=Input!$C$6),0,IF($E1443="","",$AC1443+AD1444/(1+$L1443)*$R1443))</f>
        <v/>
      </c>
      <c r="AE1443" s="152"/>
      <c r="AF1443" s="164" t="str">
        <f>IF(AND($C1442=12,$D1442=Input!$C$6),0,IF($E1443="","",IF($B1443&gt;Input!$C$9,$AC1443,0)+AF1444/(1+$L1443)*$R1443))</f>
        <v/>
      </c>
      <c r="AG1443" s="164" t="str">
        <f>IF(AND($C1442=12,$D1442=Input!$C$6),0,IF($E1443="","",(IF($B1443&gt;Input!$C$9,$X1443,0)+AG1444)/(1+$L1443)*$R1443))</f>
        <v/>
      </c>
      <c r="AH1443" s="160" t="str">
        <f t="shared" si="459"/>
        <v/>
      </c>
      <c r="AI1443" s="160" t="str">
        <f>IF($E1443="","",MIN(Input!$C$61/AH1443,1))</f>
        <v/>
      </c>
      <c r="AJ1443" s="152"/>
      <c r="AK1443" s="164" t="str">
        <f>IF(AND($C1442=12,$D1442=Input!$C$6),0,IF($E1443="","",IF($B1443&gt;Input!$C$9,$AC1443*AI1443,0)+AK1444/(1+$L1443)*$R1443))</f>
        <v/>
      </c>
      <c r="AL1443" s="164" t="str">
        <f>IF(AND($C1442=12,$D1442=Input!$C$6),0,IF($E1443="","",IF($B1443&gt;Input!$C$9,0,$AC1443)+AL1444/(1+$L1443)*$R1443))</f>
        <v/>
      </c>
      <c r="AM1443" s="160" t="str">
        <f t="shared" si="460"/>
        <v/>
      </c>
      <c r="AN1443" s="164" t="str">
        <f>IF($E1443="","",IF($B1443&gt;Input!$C$9,$AI1443*$AC1443,$AM1443*$AC1443))</f>
        <v/>
      </c>
      <c r="AO1443" s="164" t="str">
        <f>IF(AND($C1442=12,$D1442=Input!$C$6),0,IF($E1443="","",$AN1443+AO1444/(1+$L1443)*$R1443))</f>
        <v/>
      </c>
      <c r="AP1443" s="152"/>
      <c r="AQ1443" s="150" t="str">
        <f t="shared" si="461"/>
        <v/>
      </c>
      <c r="AR1443" s="150" t="str">
        <f t="shared" si="468"/>
        <v/>
      </c>
      <c r="AS1443" s="150" t="str">
        <f t="shared" si="469"/>
        <v/>
      </c>
      <c r="AT1443" s="150" t="str">
        <f t="shared" si="462"/>
        <v/>
      </c>
      <c r="AU1443" s="152"/>
      <c r="AV1443" s="147" t="str">
        <f>'Deterministic Reserve'!BC1443</f>
        <v/>
      </c>
      <c r="AY1443" s="152"/>
    </row>
    <row r="1444" spans="1:51" s="150" customFormat="1" x14ac:dyDescent="0.25">
      <c r="A1444" s="150" t="str">
        <f t="shared" si="470"/>
        <v/>
      </c>
      <c r="B1444" s="150" t="str">
        <f t="shared" si="471"/>
        <v/>
      </c>
      <c r="C1444" s="150" t="str">
        <f t="shared" si="472"/>
        <v/>
      </c>
      <c r="D1444" s="150" t="str">
        <f>IF(E1444="","",Input!$C$4+B1444-1)</f>
        <v/>
      </c>
      <c r="E1444" s="150" t="str">
        <f>IF(OR(AND(C1443=12,D1443=Input!$C$6),E1443=""),"",1)</f>
        <v/>
      </c>
      <c r="G1444" s="151" t="str">
        <f>IF(E1444="","",MAX(0,Input!$C$9-B1444))</f>
        <v/>
      </c>
      <c r="H1444" s="152" t="str">
        <f>IF(E1444="","",Input!$C$3)</f>
        <v/>
      </c>
      <c r="I1444" s="153" t="str">
        <f>IF(E1444="","",HLOOKUP($B1444,Input!$C$13:$BT$14,2))</f>
        <v/>
      </c>
      <c r="J1444" s="154"/>
      <c r="K1444" s="150" t="str">
        <f>IF($E1444="","",Input!$C$57)</f>
        <v/>
      </c>
      <c r="L1444" s="150" t="str">
        <f t="shared" si="463"/>
        <v/>
      </c>
      <c r="M1444" s="147" t="str">
        <f>IF($E1444="","",VLOOKUP(IF($B1444&lt;=Input!$C$7,$B1444,26),'Mortality Tables'!$A$72:$CA$97,IF($B1444&lt;=Input!$C$7+1,Input!$C$4-16,$D1444-Input!$C$7-16),0)/1000)</f>
        <v/>
      </c>
      <c r="N1444" s="147" t="str">
        <f t="shared" si="454"/>
        <v/>
      </c>
      <c r="O1444" s="157" t="str">
        <f>IF($E1444="","",IF($C1444=12,IF($B1444&lt;Input!$C$9,Input!$C$54,IF($B1444=Input!$C$9,Input!$C$55,Input!$C$56)),0%))</f>
        <v/>
      </c>
      <c r="P1444" s="167" t="str">
        <f>IF($E1444="","",IF($B1444=1,Input!$C$59,IF($B1444&lt;6,Input!$C$60,0%)))</f>
        <v/>
      </c>
      <c r="Q1444" s="162" t="str">
        <f>IF($E1444="","",Input!$C$58)</f>
        <v/>
      </c>
      <c r="R1444" s="156" t="str">
        <f t="shared" si="464"/>
        <v/>
      </c>
      <c r="S1444" s="154" t="str">
        <f t="shared" si="455"/>
        <v/>
      </c>
      <c r="T1444" s="152"/>
      <c r="U1444" s="150" t="str">
        <f t="shared" si="465"/>
        <v/>
      </c>
      <c r="V1444" s="150" t="str">
        <f t="shared" si="466"/>
        <v/>
      </c>
      <c r="W1444" s="168" t="str">
        <f t="shared" si="467"/>
        <v/>
      </c>
      <c r="X1444" s="163" t="str">
        <f t="shared" si="456"/>
        <v/>
      </c>
      <c r="Y1444" s="152"/>
      <c r="Z1444" s="164" t="str">
        <f>IF(AND($C1443=12,$D1443=Input!$C$6),0,IF($E1444="","",V1444+Z1445/(1+L1444)*R1444))</f>
        <v/>
      </c>
      <c r="AA1444" s="164" t="str">
        <f>IF(OR($M1444=1,AND($C1443=12,$D1443=Input!$C$6)),0,IF($E1444="","",W1444+(X1444+AA1445*$R1444)/(1+$L1444)))</f>
        <v/>
      </c>
      <c r="AB1444" s="160" t="str">
        <f t="shared" si="457"/>
        <v/>
      </c>
      <c r="AC1444" s="164" t="str">
        <f t="shared" si="458"/>
        <v/>
      </c>
      <c r="AD1444" s="164" t="str">
        <f>IF(AND($C1443=12,$D1443=Input!$C$6),0,IF($E1444="","",$AC1444+AD1445/(1+$L1444)*$R1444))</f>
        <v/>
      </c>
      <c r="AE1444" s="152"/>
      <c r="AF1444" s="164" t="str">
        <f>IF(AND($C1443=12,$D1443=Input!$C$6),0,IF($E1444="","",IF($B1444&gt;Input!$C$9,$AC1444,0)+AF1445/(1+$L1444)*$R1444))</f>
        <v/>
      </c>
      <c r="AG1444" s="164" t="str">
        <f>IF(AND($C1443=12,$D1443=Input!$C$6),0,IF($E1444="","",(IF($B1444&gt;Input!$C$9,$X1444,0)+AG1445)/(1+$L1444)*$R1444))</f>
        <v/>
      </c>
      <c r="AH1444" s="160" t="str">
        <f t="shared" si="459"/>
        <v/>
      </c>
      <c r="AI1444" s="160" t="str">
        <f>IF($E1444="","",MIN(Input!$C$61/AH1444,1))</f>
        <v/>
      </c>
      <c r="AJ1444" s="152"/>
      <c r="AK1444" s="164" t="str">
        <f>IF(AND($C1443=12,$D1443=Input!$C$6),0,IF($E1444="","",IF($B1444&gt;Input!$C$9,$AC1444*AI1444,0)+AK1445/(1+$L1444)*$R1444))</f>
        <v/>
      </c>
      <c r="AL1444" s="164" t="str">
        <f>IF(AND($C1443=12,$D1443=Input!$C$6),0,IF($E1444="","",IF($B1444&gt;Input!$C$9,0,$AC1444)+AL1445/(1+$L1444)*$R1444))</f>
        <v/>
      </c>
      <c r="AM1444" s="160" t="str">
        <f t="shared" si="460"/>
        <v/>
      </c>
      <c r="AN1444" s="164" t="str">
        <f>IF($E1444="","",IF($B1444&gt;Input!$C$9,$AI1444*$AC1444,$AM1444*$AC1444))</f>
        <v/>
      </c>
      <c r="AO1444" s="164" t="str">
        <f>IF(AND($C1443=12,$D1443=Input!$C$6),0,IF($E1444="","",$AN1444+AO1445/(1+$L1444)*$R1444))</f>
        <v/>
      </c>
      <c r="AP1444" s="152"/>
      <c r="AQ1444" s="150" t="str">
        <f t="shared" si="461"/>
        <v/>
      </c>
      <c r="AR1444" s="150" t="str">
        <f t="shared" si="468"/>
        <v/>
      </c>
      <c r="AS1444" s="150" t="str">
        <f t="shared" si="469"/>
        <v/>
      </c>
      <c r="AT1444" s="150" t="str">
        <f t="shared" si="462"/>
        <v/>
      </c>
      <c r="AU1444" s="152"/>
      <c r="AV1444" s="147" t="str">
        <f>'Deterministic Reserve'!BC1444</f>
        <v/>
      </c>
      <c r="AY1444" s="152"/>
    </row>
    <row r="1445" spans="1:51" s="150" customFormat="1" x14ac:dyDescent="0.25">
      <c r="G1445" s="151"/>
      <c r="H1445" s="152"/>
      <c r="I1445" s="153"/>
      <c r="J1445" s="154"/>
      <c r="M1445" s="147"/>
      <c r="N1445" s="147"/>
      <c r="O1445" s="157"/>
      <c r="Q1445" s="156"/>
      <c r="R1445" s="163"/>
      <c r="S1445" s="163"/>
      <c r="T1445" s="152"/>
      <c r="W1445" s="163"/>
      <c r="X1445" s="163"/>
      <c r="Y1445" s="152"/>
      <c r="Z1445" s="163"/>
      <c r="AD1445" s="163"/>
      <c r="AE1445" s="152"/>
      <c r="AF1445" s="163"/>
      <c r="AJ1445" s="152"/>
      <c r="AP1445" s="152"/>
      <c r="AU1445" s="152"/>
      <c r="AV1445" s="147"/>
      <c r="AY1445" s="152"/>
    </row>
    <row r="1446" spans="1:51" s="150" customFormat="1" x14ac:dyDescent="0.25">
      <c r="G1446" s="151"/>
      <c r="H1446" s="152"/>
      <c r="I1446" s="153"/>
      <c r="J1446" s="154"/>
      <c r="M1446" s="147"/>
      <c r="N1446" s="147"/>
      <c r="O1446" s="157"/>
      <c r="Q1446" s="156"/>
      <c r="R1446" s="163"/>
      <c r="S1446" s="163"/>
      <c r="T1446" s="152"/>
      <c r="W1446" s="163"/>
      <c r="X1446" s="163"/>
      <c r="Y1446" s="152"/>
      <c r="Z1446" s="163"/>
      <c r="AD1446" s="163"/>
      <c r="AE1446" s="152"/>
      <c r="AF1446" s="163"/>
      <c r="AJ1446" s="152"/>
      <c r="AP1446" s="152"/>
      <c r="AU1446" s="152"/>
      <c r="AV1446" s="147"/>
      <c r="AY1446" s="152"/>
    </row>
    <row r="1447" spans="1:51" s="150" customFormat="1" x14ac:dyDescent="0.25">
      <c r="G1447" s="151"/>
      <c r="H1447" s="152"/>
      <c r="I1447" s="153"/>
      <c r="J1447" s="154"/>
      <c r="M1447" s="147"/>
      <c r="N1447" s="147"/>
      <c r="O1447" s="157"/>
      <c r="Q1447" s="156"/>
      <c r="R1447" s="163"/>
      <c r="S1447" s="163"/>
      <c r="T1447" s="152"/>
      <c r="W1447" s="163"/>
      <c r="X1447" s="163"/>
      <c r="Y1447" s="152"/>
      <c r="Z1447" s="163"/>
      <c r="AD1447" s="163"/>
      <c r="AE1447" s="152"/>
      <c r="AF1447" s="163"/>
      <c r="AJ1447" s="152"/>
      <c r="AP1447" s="152"/>
      <c r="AU1447" s="152"/>
      <c r="AV1447" s="147"/>
      <c r="AY1447" s="152"/>
    </row>
    <row r="1448" spans="1:51" s="150" customFormat="1" x14ac:dyDescent="0.25">
      <c r="G1448" s="151"/>
      <c r="H1448" s="152"/>
      <c r="I1448" s="153"/>
      <c r="J1448" s="154"/>
      <c r="M1448" s="147"/>
      <c r="N1448" s="147"/>
      <c r="O1448" s="157"/>
      <c r="Q1448" s="156"/>
      <c r="R1448" s="163"/>
      <c r="S1448" s="163"/>
      <c r="T1448" s="152"/>
      <c r="W1448" s="163"/>
      <c r="X1448" s="163"/>
      <c r="Y1448" s="152"/>
      <c r="Z1448" s="163"/>
      <c r="AD1448" s="163"/>
      <c r="AE1448" s="152"/>
      <c r="AF1448" s="163"/>
      <c r="AJ1448" s="152"/>
      <c r="AP1448" s="152"/>
      <c r="AU1448" s="152"/>
      <c r="AV1448" s="147"/>
      <c r="AY1448" s="152"/>
    </row>
    <row r="1449" spans="1:51" s="150" customFormat="1" x14ac:dyDescent="0.25">
      <c r="G1449" s="151"/>
      <c r="H1449" s="152"/>
      <c r="I1449" s="153"/>
      <c r="J1449" s="154"/>
      <c r="M1449" s="147"/>
      <c r="N1449" s="147"/>
      <c r="O1449" s="157"/>
      <c r="Q1449" s="156"/>
      <c r="R1449" s="163"/>
      <c r="S1449" s="163"/>
      <c r="T1449" s="152"/>
      <c r="W1449" s="163"/>
      <c r="X1449" s="163"/>
      <c r="Y1449" s="152"/>
      <c r="Z1449" s="163"/>
      <c r="AD1449" s="163"/>
      <c r="AE1449" s="152"/>
      <c r="AF1449" s="163"/>
      <c r="AJ1449" s="152"/>
      <c r="AP1449" s="152"/>
      <c r="AU1449" s="152"/>
      <c r="AV1449" s="147"/>
      <c r="AY1449" s="152"/>
    </row>
    <row r="1450" spans="1:51" s="150" customFormat="1" x14ac:dyDescent="0.25">
      <c r="G1450" s="151"/>
      <c r="H1450" s="152"/>
      <c r="I1450" s="153"/>
      <c r="J1450" s="154"/>
      <c r="M1450" s="147"/>
      <c r="N1450" s="147"/>
      <c r="O1450" s="157"/>
      <c r="Q1450" s="156"/>
      <c r="R1450" s="163"/>
      <c r="S1450" s="163"/>
      <c r="T1450" s="152"/>
      <c r="W1450" s="163"/>
      <c r="X1450" s="163"/>
      <c r="Y1450" s="152"/>
      <c r="Z1450" s="163"/>
      <c r="AD1450" s="163"/>
      <c r="AE1450" s="152"/>
      <c r="AF1450" s="163"/>
      <c r="AJ1450" s="152"/>
      <c r="AP1450" s="152"/>
      <c r="AU1450" s="152"/>
      <c r="AV1450" s="147"/>
      <c r="AY1450" s="152"/>
    </row>
    <row r="1451" spans="1:51" s="150" customFormat="1" x14ac:dyDescent="0.25">
      <c r="G1451" s="151"/>
      <c r="H1451" s="152"/>
      <c r="I1451" s="153"/>
      <c r="J1451" s="154"/>
      <c r="M1451" s="147"/>
      <c r="N1451" s="147"/>
      <c r="O1451" s="157"/>
      <c r="Q1451" s="156"/>
      <c r="R1451" s="163"/>
      <c r="S1451" s="163"/>
      <c r="T1451" s="152"/>
      <c r="W1451" s="163"/>
      <c r="X1451" s="163"/>
      <c r="Y1451" s="152"/>
      <c r="Z1451" s="163"/>
      <c r="AD1451" s="163"/>
      <c r="AE1451" s="152"/>
      <c r="AF1451" s="163"/>
      <c r="AJ1451" s="152"/>
      <c r="AP1451" s="152"/>
      <c r="AU1451" s="152"/>
      <c r="AV1451" s="147"/>
      <c r="AY1451" s="152"/>
    </row>
    <row r="1452" spans="1:51" s="150" customFormat="1" x14ac:dyDescent="0.25">
      <c r="G1452" s="151"/>
      <c r="H1452" s="152"/>
      <c r="I1452" s="153"/>
      <c r="J1452" s="154"/>
      <c r="M1452" s="147"/>
      <c r="N1452" s="147"/>
      <c r="O1452" s="157"/>
      <c r="Q1452" s="156"/>
      <c r="R1452" s="163"/>
      <c r="S1452" s="163"/>
      <c r="T1452" s="152"/>
      <c r="W1452" s="163"/>
      <c r="X1452" s="163"/>
      <c r="Y1452" s="152"/>
      <c r="Z1452" s="163"/>
      <c r="AD1452" s="163"/>
      <c r="AE1452" s="152"/>
      <c r="AF1452" s="163"/>
      <c r="AJ1452" s="152"/>
      <c r="AP1452" s="152"/>
      <c r="AU1452" s="152"/>
      <c r="AV1452" s="147"/>
      <c r="AY1452" s="152"/>
    </row>
  </sheetData>
  <conditionalFormatting sqref="A4:M1452 AQ4:AQ1452 W4:X1452 O4:U1452 Z4:AA1452 AV4:XFD1452">
    <cfRule type="expression" dxfId="57" priority="55">
      <formula>MOD(ROW(),2)=0</formula>
    </cfRule>
    <cfRule type="expression" dxfId="56" priority="56">
      <formula>MOD(ROW(),2)=1</formula>
    </cfRule>
  </conditionalFormatting>
  <conditionalFormatting sqref="V4:V1452">
    <cfRule type="expression" dxfId="55" priority="51">
      <formula>MOD(ROW(),2)=0</formula>
    </cfRule>
    <cfRule type="expression" dxfId="54" priority="52">
      <formula>MOD(ROW(),2)=1</formula>
    </cfRule>
  </conditionalFormatting>
  <conditionalFormatting sqref="N4:N1452">
    <cfRule type="expression" dxfId="53" priority="49">
      <formula>MOD(ROW(),2)=0</formula>
    </cfRule>
    <cfRule type="expression" dxfId="52" priority="50">
      <formula>MOD(ROW(),2)=1</formula>
    </cfRule>
  </conditionalFormatting>
  <conditionalFormatting sqref="AB4:AB1452">
    <cfRule type="expression" dxfId="51" priority="47">
      <formula>MOD(ROW(),2)=0</formula>
    </cfRule>
    <cfRule type="expression" dxfId="50" priority="48">
      <formula>MOD(ROW(),2)=1</formula>
    </cfRule>
  </conditionalFormatting>
  <conditionalFormatting sqref="AC4 AC1445:AC1452">
    <cfRule type="expression" dxfId="49" priority="45">
      <formula>MOD(ROW(),2)=0</formula>
    </cfRule>
    <cfRule type="expression" dxfId="48" priority="46">
      <formula>MOD(ROW(),2)=1</formula>
    </cfRule>
  </conditionalFormatting>
  <conditionalFormatting sqref="AC5:AC1444">
    <cfRule type="expression" dxfId="47" priority="43">
      <formula>MOD(ROW(),2)=0</formula>
    </cfRule>
    <cfRule type="expression" dxfId="46" priority="44">
      <formula>MOD(ROW(),2)=1</formula>
    </cfRule>
  </conditionalFormatting>
  <conditionalFormatting sqref="AF4:AG1452">
    <cfRule type="expression" dxfId="45" priority="41">
      <formula>MOD(ROW(),2)=0</formula>
    </cfRule>
    <cfRule type="expression" dxfId="44" priority="42">
      <formula>MOD(ROW(),2)=1</formula>
    </cfRule>
  </conditionalFormatting>
  <conditionalFormatting sqref="AH4:AH1452">
    <cfRule type="expression" dxfId="43" priority="39">
      <formula>MOD(ROW(),2)=0</formula>
    </cfRule>
    <cfRule type="expression" dxfId="42" priority="40">
      <formula>MOD(ROW(),2)=1</formula>
    </cfRule>
  </conditionalFormatting>
  <conditionalFormatting sqref="AK4:AK1452">
    <cfRule type="expression" dxfId="41" priority="37">
      <formula>MOD(ROW(),2)=0</formula>
    </cfRule>
    <cfRule type="expression" dxfId="40" priority="38">
      <formula>MOD(ROW(),2)=1</formula>
    </cfRule>
  </conditionalFormatting>
  <conditionalFormatting sqref="AL4:AL1452">
    <cfRule type="expression" dxfId="39" priority="35">
      <formula>MOD(ROW(),2)=0</formula>
    </cfRule>
    <cfRule type="expression" dxfId="38" priority="36">
      <formula>MOD(ROW(),2)=1</formula>
    </cfRule>
  </conditionalFormatting>
  <conditionalFormatting sqref="AI4:AI1452">
    <cfRule type="expression" dxfId="37" priority="33">
      <formula>MOD(ROW(),2)=0</formula>
    </cfRule>
    <cfRule type="expression" dxfId="36" priority="34">
      <formula>MOD(ROW(),2)=1</formula>
    </cfRule>
  </conditionalFormatting>
  <conditionalFormatting sqref="AM4:AM1452">
    <cfRule type="expression" dxfId="35" priority="31">
      <formula>MOD(ROW(),2)=0</formula>
    </cfRule>
    <cfRule type="expression" dxfId="34" priority="32">
      <formula>MOD(ROW(),2)=1</formula>
    </cfRule>
  </conditionalFormatting>
  <conditionalFormatting sqref="AD4:AE1452">
    <cfRule type="expression" dxfId="33" priority="29">
      <formula>MOD(ROW(),2)=0</formula>
    </cfRule>
    <cfRule type="expression" dxfId="32" priority="30">
      <formula>MOD(ROW(),2)=1</formula>
    </cfRule>
  </conditionalFormatting>
  <conditionalFormatting sqref="AO4:AO1452">
    <cfRule type="expression" dxfId="31" priority="27">
      <formula>MOD(ROW(),2)=0</formula>
    </cfRule>
    <cfRule type="expression" dxfId="30" priority="28">
      <formula>MOD(ROW(),2)=1</formula>
    </cfRule>
  </conditionalFormatting>
  <conditionalFormatting sqref="AN4 AN1445:AN1452">
    <cfRule type="expression" dxfId="29" priority="25">
      <formula>MOD(ROW(),2)=0</formula>
    </cfRule>
    <cfRule type="expression" dxfId="28" priority="26">
      <formula>MOD(ROW(),2)=1</formula>
    </cfRule>
  </conditionalFormatting>
  <conditionalFormatting sqref="AN5:AN1444">
    <cfRule type="expression" dxfId="27" priority="23">
      <formula>MOD(ROW(),2)=0</formula>
    </cfRule>
    <cfRule type="expression" dxfId="26" priority="24">
      <formula>MOD(ROW(),2)=1</formula>
    </cfRule>
  </conditionalFormatting>
  <conditionalFormatting sqref="AR4:AR1452">
    <cfRule type="expression" dxfId="25" priority="21">
      <formula>MOD(ROW(),2)=0</formula>
    </cfRule>
    <cfRule type="expression" dxfId="24" priority="22">
      <formula>MOD(ROW(),2)=1</formula>
    </cfRule>
  </conditionalFormatting>
  <conditionalFormatting sqref="AS4:AS1452">
    <cfRule type="expression" dxfId="23" priority="19">
      <formula>MOD(ROW(),2)=0</formula>
    </cfRule>
    <cfRule type="expression" dxfId="22" priority="20">
      <formula>MOD(ROW(),2)=1</formula>
    </cfRule>
  </conditionalFormatting>
  <conditionalFormatting sqref="AT4:AT1452">
    <cfRule type="expression" dxfId="21" priority="17">
      <formula>MOD(ROW(),2)=0</formula>
    </cfRule>
    <cfRule type="expression" dxfId="20" priority="18">
      <formula>MOD(ROW(),2)=1</formula>
    </cfRule>
  </conditionalFormatting>
  <conditionalFormatting sqref="Y4:Y1452">
    <cfRule type="expression" dxfId="19" priority="15">
      <formula>MOD(ROW(),2)=0</formula>
    </cfRule>
    <cfRule type="expression" dxfId="18" priority="16">
      <formula>MOD(ROW(),2)=1</formula>
    </cfRule>
  </conditionalFormatting>
  <conditionalFormatting sqref="AE4:AE1452">
    <cfRule type="expression" dxfId="17" priority="13">
      <formula>MOD(ROW(),2)=0</formula>
    </cfRule>
    <cfRule type="expression" dxfId="16" priority="14">
      <formula>MOD(ROW(),2)=1</formula>
    </cfRule>
  </conditionalFormatting>
  <conditionalFormatting sqref="AJ4:AJ1452">
    <cfRule type="expression" dxfId="15" priority="11">
      <formula>MOD(ROW(),2)=0</formula>
    </cfRule>
    <cfRule type="expression" dxfId="14" priority="12">
      <formula>MOD(ROW(),2)=1</formula>
    </cfRule>
  </conditionalFormatting>
  <conditionalFormatting sqref="AJ4:AJ1452">
    <cfRule type="expression" dxfId="13" priority="9">
      <formula>MOD(ROW(),2)=0</formula>
    </cfRule>
    <cfRule type="expression" dxfId="12" priority="10">
      <formula>MOD(ROW(),2)=1</formula>
    </cfRule>
  </conditionalFormatting>
  <conditionalFormatting sqref="AP4:AP1452">
    <cfRule type="expression" dxfId="11" priority="7">
      <formula>MOD(ROW(),2)=0</formula>
    </cfRule>
    <cfRule type="expression" dxfId="10" priority="8">
      <formula>MOD(ROW(),2)=1</formula>
    </cfRule>
  </conditionalFormatting>
  <conditionalFormatting sqref="AP4:AP1452">
    <cfRule type="expression" dxfId="9" priority="5">
      <formula>MOD(ROW(),2)=0</formula>
    </cfRule>
    <cfRule type="expression" dxfId="8" priority="6">
      <formula>MOD(ROW(),2)=1</formula>
    </cfRule>
  </conditionalFormatting>
  <conditionalFormatting sqref="AU4:AU1452">
    <cfRule type="expression" dxfId="7" priority="3">
      <formula>MOD(ROW(),2)=0</formula>
    </cfRule>
    <cfRule type="expression" dxfId="6" priority="4">
      <formula>MOD(ROW(),2)=1</formula>
    </cfRule>
  </conditionalFormatting>
  <conditionalFormatting sqref="AU4:AU1452">
    <cfRule type="expression" dxfId="5" priority="1">
      <formula>MOD(ROW(),2)=0</formula>
    </cfRule>
    <cfRule type="expression" dxfId="4" priority="2">
      <formula>MOD(ROW(),2)=1</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DR165"/>
  <sheetViews>
    <sheetView showGridLines="0" zoomScale="85" zoomScaleNormal="85" workbookViewId="0">
      <selection activeCell="J11" sqref="J11"/>
    </sheetView>
  </sheetViews>
  <sheetFormatPr defaultRowHeight="15" x14ac:dyDescent="0.25"/>
  <cols>
    <col min="1" max="1" width="0.85546875" customWidth="1"/>
    <col min="2" max="2" width="49.42578125" customWidth="1"/>
    <col min="3" max="94" width="9.7109375" customWidth="1"/>
  </cols>
  <sheetData>
    <row r="1" spans="2:122" ht="18.75" x14ac:dyDescent="0.3">
      <c r="B1" s="22" t="s">
        <v>356</v>
      </c>
    </row>
    <row r="2" spans="2:122" ht="10.5" customHeight="1" x14ac:dyDescent="0.25"/>
    <row r="3" spans="2:122" ht="15.75" x14ac:dyDescent="0.25">
      <c r="B3" s="68" t="s">
        <v>7</v>
      </c>
      <c r="C3" s="63">
        <v>100000</v>
      </c>
      <c r="E3" s="184" t="s">
        <v>357</v>
      </c>
      <c r="F3" s="179"/>
      <c r="G3" s="179"/>
      <c r="H3" s="179"/>
      <c r="I3" s="179"/>
      <c r="J3" s="181"/>
      <c r="K3" s="182"/>
      <c r="L3" s="183"/>
      <c r="M3" s="179"/>
      <c r="N3" s="179"/>
      <c r="O3" s="179"/>
      <c r="P3" s="179"/>
      <c r="Q3" s="179"/>
      <c r="R3" s="180"/>
    </row>
    <row r="4" spans="2:122" x14ac:dyDescent="0.25">
      <c r="B4" s="68" t="s">
        <v>9</v>
      </c>
      <c r="C4" s="60">
        <v>45</v>
      </c>
      <c r="E4" s="255" t="s">
        <v>355</v>
      </c>
      <c r="F4" s="256"/>
      <c r="G4" s="256"/>
      <c r="H4" s="256"/>
      <c r="I4" s="256"/>
      <c r="J4" s="256"/>
      <c r="K4" s="256"/>
      <c r="L4" s="256"/>
      <c r="M4" s="256"/>
      <c r="N4" s="256"/>
      <c r="O4" s="257"/>
      <c r="P4" s="257"/>
      <c r="Q4" s="257"/>
      <c r="R4" s="258"/>
    </row>
    <row r="5" spans="2:122" x14ac:dyDescent="0.25">
      <c r="B5" s="68" t="s">
        <v>425</v>
      </c>
      <c r="C5" s="100" t="s">
        <v>152</v>
      </c>
      <c r="D5" s="99" t="s">
        <v>152</v>
      </c>
      <c r="E5" s="255"/>
      <c r="F5" s="256"/>
      <c r="G5" s="256"/>
      <c r="H5" s="256"/>
      <c r="I5" s="256"/>
      <c r="J5" s="256"/>
      <c r="K5" s="256"/>
      <c r="L5" s="256"/>
      <c r="M5" s="256"/>
      <c r="N5" s="256"/>
      <c r="O5" s="257"/>
      <c r="P5" s="257"/>
      <c r="Q5" s="257"/>
      <c r="R5" s="258"/>
    </row>
    <row r="6" spans="2:122" x14ac:dyDescent="0.25">
      <c r="B6" s="68" t="s">
        <v>200</v>
      </c>
      <c r="C6" s="60">
        <v>120</v>
      </c>
      <c r="E6" s="255"/>
      <c r="F6" s="256"/>
      <c r="G6" s="256"/>
      <c r="H6" s="256"/>
      <c r="I6" s="256"/>
      <c r="J6" s="256"/>
      <c r="K6" s="256"/>
      <c r="L6" s="256"/>
      <c r="M6" s="256"/>
      <c r="N6" s="256"/>
      <c r="O6" s="257"/>
      <c r="P6" s="257"/>
      <c r="Q6" s="257"/>
      <c r="R6" s="258"/>
    </row>
    <row r="7" spans="2:122" x14ac:dyDescent="0.25">
      <c r="B7" s="68" t="s">
        <v>10</v>
      </c>
      <c r="C7" s="60">
        <v>25</v>
      </c>
      <c r="E7" s="255"/>
      <c r="F7" s="256"/>
      <c r="G7" s="256"/>
      <c r="H7" s="256"/>
      <c r="I7" s="256"/>
      <c r="J7" s="256"/>
      <c r="K7" s="256"/>
      <c r="L7" s="256"/>
      <c r="M7" s="256"/>
      <c r="N7" s="256"/>
      <c r="O7" s="257"/>
      <c r="P7" s="257"/>
      <c r="Q7" s="257"/>
      <c r="R7" s="258"/>
    </row>
    <row r="8" spans="2:122" x14ac:dyDescent="0.25">
      <c r="B8" s="68" t="s">
        <v>109</v>
      </c>
      <c r="C8" s="60">
        <v>2018</v>
      </c>
      <c r="E8" s="259"/>
      <c r="F8" s="260"/>
      <c r="G8" s="260"/>
      <c r="H8" s="260"/>
      <c r="I8" s="260"/>
      <c r="J8" s="260"/>
      <c r="K8" s="260"/>
      <c r="L8" s="260"/>
      <c r="M8" s="260"/>
      <c r="N8" s="260"/>
      <c r="O8" s="261"/>
      <c r="P8" s="261"/>
      <c r="Q8" s="261"/>
      <c r="R8" s="262"/>
    </row>
    <row r="9" spans="2:122" s="2" customFormat="1" x14ac:dyDescent="0.25">
      <c r="B9" s="69" t="s">
        <v>123</v>
      </c>
      <c r="C9" s="60">
        <v>20</v>
      </c>
      <c r="D9" s="33"/>
      <c r="E9" s="33"/>
      <c r="F9" s="33"/>
      <c r="G9" s="33"/>
      <c r="H9" s="33"/>
      <c r="I9" s="33"/>
      <c r="J9" s="33"/>
      <c r="K9" s="33"/>
      <c r="L9" s="33"/>
      <c r="M9" s="33"/>
      <c r="N9" s="33"/>
      <c r="O9" s="33"/>
      <c r="P9" s="33"/>
      <c r="Q9" s="33"/>
    </row>
    <row r="10" spans="2:122" x14ac:dyDescent="0.25">
      <c r="B10" s="12"/>
      <c r="C10" s="12"/>
      <c r="J10" s="51"/>
      <c r="K10" s="9"/>
      <c r="L10" s="14"/>
    </row>
    <row r="11" spans="2:122" ht="18.75" x14ac:dyDescent="0.3">
      <c r="B11" s="22" t="s">
        <v>471</v>
      </c>
      <c r="C11" s="9"/>
      <c r="D11" s="9"/>
      <c r="E11" s="9"/>
      <c r="F11" s="9"/>
      <c r="L11" s="5"/>
    </row>
    <row r="12" spans="2:122" s="2" customFormat="1" ht="10.5" customHeight="1" x14ac:dyDescent="0.25">
      <c r="B12" s="32"/>
      <c r="C12" s="33"/>
      <c r="D12" s="33"/>
      <c r="E12" s="33"/>
      <c r="F12" s="33"/>
      <c r="G12" s="33"/>
      <c r="H12" s="33"/>
      <c r="I12" s="33"/>
      <c r="L12" s="33"/>
      <c r="M12" s="33"/>
      <c r="N12" s="33"/>
      <c r="O12" s="33"/>
      <c r="P12" s="33"/>
      <c r="Q12" s="33"/>
    </row>
    <row r="13" spans="2:122" s="2" customFormat="1" x14ac:dyDescent="0.25">
      <c r="B13" s="69" t="s">
        <v>59</v>
      </c>
      <c r="C13" s="71">
        <v>1</v>
      </c>
      <c r="D13" s="71">
        <f t="shared" ref="D13:AI13" si="0">C13+1</f>
        <v>2</v>
      </c>
      <c r="E13" s="71">
        <f t="shared" si="0"/>
        <v>3</v>
      </c>
      <c r="F13" s="71">
        <f t="shared" si="0"/>
        <v>4</v>
      </c>
      <c r="G13" s="71">
        <f t="shared" si="0"/>
        <v>5</v>
      </c>
      <c r="H13" s="71">
        <f t="shared" si="0"/>
        <v>6</v>
      </c>
      <c r="I13" s="71">
        <f t="shared" si="0"/>
        <v>7</v>
      </c>
      <c r="J13" s="71">
        <f t="shared" si="0"/>
        <v>8</v>
      </c>
      <c r="K13" s="71">
        <f t="shared" si="0"/>
        <v>9</v>
      </c>
      <c r="L13" s="71">
        <f t="shared" si="0"/>
        <v>10</v>
      </c>
      <c r="M13" s="71">
        <f t="shared" si="0"/>
        <v>11</v>
      </c>
      <c r="N13" s="71">
        <f t="shared" si="0"/>
        <v>12</v>
      </c>
      <c r="O13" s="71">
        <f t="shared" si="0"/>
        <v>13</v>
      </c>
      <c r="P13" s="71">
        <f t="shared" si="0"/>
        <v>14</v>
      </c>
      <c r="Q13" s="71">
        <f t="shared" si="0"/>
        <v>15</v>
      </c>
      <c r="R13" s="71">
        <f t="shared" si="0"/>
        <v>16</v>
      </c>
      <c r="S13" s="71">
        <f t="shared" si="0"/>
        <v>17</v>
      </c>
      <c r="T13" s="71">
        <f t="shared" si="0"/>
        <v>18</v>
      </c>
      <c r="U13" s="71">
        <f t="shared" si="0"/>
        <v>19</v>
      </c>
      <c r="V13" s="71">
        <f t="shared" si="0"/>
        <v>20</v>
      </c>
      <c r="W13" s="71">
        <f t="shared" si="0"/>
        <v>21</v>
      </c>
      <c r="X13" s="71">
        <f t="shared" si="0"/>
        <v>22</v>
      </c>
      <c r="Y13" s="71">
        <f t="shared" si="0"/>
        <v>23</v>
      </c>
      <c r="Z13" s="71">
        <f t="shared" si="0"/>
        <v>24</v>
      </c>
      <c r="AA13" s="71">
        <f t="shared" si="0"/>
        <v>25</v>
      </c>
      <c r="AB13" s="71">
        <f t="shared" si="0"/>
        <v>26</v>
      </c>
      <c r="AC13" s="71">
        <f t="shared" si="0"/>
        <v>27</v>
      </c>
      <c r="AD13" s="71">
        <f t="shared" si="0"/>
        <v>28</v>
      </c>
      <c r="AE13" s="71">
        <f t="shared" si="0"/>
        <v>29</v>
      </c>
      <c r="AF13" s="71">
        <f t="shared" si="0"/>
        <v>30</v>
      </c>
      <c r="AG13" s="71">
        <f t="shared" si="0"/>
        <v>31</v>
      </c>
      <c r="AH13" s="71">
        <f t="shared" si="0"/>
        <v>32</v>
      </c>
      <c r="AI13" s="71">
        <f t="shared" si="0"/>
        <v>33</v>
      </c>
      <c r="AJ13" s="71">
        <f t="shared" ref="AJ13:BP13" si="1">AI13+1</f>
        <v>34</v>
      </c>
      <c r="AK13" s="71">
        <f t="shared" si="1"/>
        <v>35</v>
      </c>
      <c r="AL13" s="71">
        <f t="shared" si="1"/>
        <v>36</v>
      </c>
      <c r="AM13" s="71">
        <f t="shared" si="1"/>
        <v>37</v>
      </c>
      <c r="AN13" s="71">
        <f t="shared" si="1"/>
        <v>38</v>
      </c>
      <c r="AO13" s="71">
        <f t="shared" si="1"/>
        <v>39</v>
      </c>
      <c r="AP13" s="71">
        <f t="shared" si="1"/>
        <v>40</v>
      </c>
      <c r="AQ13" s="71">
        <f t="shared" si="1"/>
        <v>41</v>
      </c>
      <c r="AR13" s="71">
        <f t="shared" si="1"/>
        <v>42</v>
      </c>
      <c r="AS13" s="71">
        <f t="shared" si="1"/>
        <v>43</v>
      </c>
      <c r="AT13" s="71">
        <f t="shared" si="1"/>
        <v>44</v>
      </c>
      <c r="AU13" s="71">
        <f t="shared" si="1"/>
        <v>45</v>
      </c>
      <c r="AV13" s="71">
        <f t="shared" si="1"/>
        <v>46</v>
      </c>
      <c r="AW13" s="71">
        <f t="shared" si="1"/>
        <v>47</v>
      </c>
      <c r="AX13" s="71">
        <f t="shared" si="1"/>
        <v>48</v>
      </c>
      <c r="AY13" s="71">
        <f t="shared" si="1"/>
        <v>49</v>
      </c>
      <c r="AZ13" s="71">
        <f t="shared" si="1"/>
        <v>50</v>
      </c>
      <c r="BA13" s="71">
        <f t="shared" si="1"/>
        <v>51</v>
      </c>
      <c r="BB13" s="71">
        <f t="shared" si="1"/>
        <v>52</v>
      </c>
      <c r="BC13" s="71">
        <f t="shared" si="1"/>
        <v>53</v>
      </c>
      <c r="BD13" s="71">
        <f t="shared" si="1"/>
        <v>54</v>
      </c>
      <c r="BE13" s="71">
        <f t="shared" si="1"/>
        <v>55</v>
      </c>
      <c r="BF13" s="71">
        <f t="shared" si="1"/>
        <v>56</v>
      </c>
      <c r="BG13" s="71">
        <f t="shared" si="1"/>
        <v>57</v>
      </c>
      <c r="BH13" s="71">
        <f t="shared" si="1"/>
        <v>58</v>
      </c>
      <c r="BI13" s="71">
        <f t="shared" si="1"/>
        <v>59</v>
      </c>
      <c r="BJ13" s="71">
        <f t="shared" si="1"/>
        <v>60</v>
      </c>
      <c r="BK13" s="71">
        <f t="shared" si="1"/>
        <v>61</v>
      </c>
      <c r="BL13" s="71">
        <f t="shared" si="1"/>
        <v>62</v>
      </c>
      <c r="BM13" s="71">
        <f t="shared" si="1"/>
        <v>63</v>
      </c>
      <c r="BN13" s="71">
        <f t="shared" si="1"/>
        <v>64</v>
      </c>
      <c r="BO13" s="71">
        <f t="shared" si="1"/>
        <v>65</v>
      </c>
      <c r="BP13" s="71">
        <f t="shared" si="1"/>
        <v>66</v>
      </c>
      <c r="BQ13" s="71">
        <f t="shared" ref="BQ13:BT13" si="2">BP13+1</f>
        <v>67</v>
      </c>
      <c r="BR13" s="71">
        <f t="shared" si="2"/>
        <v>68</v>
      </c>
      <c r="BS13" s="71">
        <f t="shared" si="2"/>
        <v>69</v>
      </c>
      <c r="BT13" s="71">
        <f t="shared" si="2"/>
        <v>70</v>
      </c>
      <c r="BU13" s="71">
        <f t="shared" ref="BU13" si="3">BT13+1</f>
        <v>71</v>
      </c>
      <c r="BV13" s="71">
        <f t="shared" ref="BV13" si="4">BU13+1</f>
        <v>72</v>
      </c>
      <c r="BW13" s="71">
        <f t="shared" ref="BW13" si="5">BV13+1</f>
        <v>73</v>
      </c>
      <c r="BX13" s="71">
        <f t="shared" ref="BX13" si="6">BW13+1</f>
        <v>74</v>
      </c>
      <c r="BY13" s="71">
        <f t="shared" ref="BY13" si="7">BX13+1</f>
        <v>75</v>
      </c>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row>
    <row r="14" spans="2:122" s="2" customFormat="1" x14ac:dyDescent="0.25">
      <c r="B14" s="69" t="s">
        <v>201</v>
      </c>
      <c r="C14" s="178">
        <f>MIN(IF(C$13&gt;$C$9,VLOOKUP(C$13,'Net Premium Reserve'!$B:$BA,MATCH('Net Premium Reserve'!$M$3,'Net Premium Reserve'!$B$3:$BA$3,0),0)*1000*$C$25,$C$24),1000)</f>
        <v>2.2999999999999998</v>
      </c>
      <c r="D14" s="178">
        <f>MIN(IF(D$13&gt;$C$9,VLOOKUP(D$13,'Net Premium Reserve'!$B:$BA,MATCH('Net Premium Reserve'!$M$3,'Net Premium Reserve'!$B$3:$BA$3,0),0)*1000*$C$25,$C$24),1000)</f>
        <v>2.2999999999999998</v>
      </c>
      <c r="E14" s="178">
        <f>MIN(IF(E$13&gt;$C$9,VLOOKUP(E$13,'Net Premium Reserve'!$B:$BA,MATCH('Net Premium Reserve'!$M$3,'Net Premium Reserve'!$B$3:$BA$3,0),0)*1000*$C$25,$C$24),1000)</f>
        <v>2.2999999999999998</v>
      </c>
      <c r="F14" s="178">
        <f>MIN(IF(F$13&gt;$C$9,VLOOKUP(F$13,'Net Premium Reserve'!$B:$BA,MATCH('Net Premium Reserve'!$M$3,'Net Premium Reserve'!$B$3:$BA$3,0),0)*1000*$C$25,$C$24),1000)</f>
        <v>2.2999999999999998</v>
      </c>
      <c r="G14" s="178">
        <f>MIN(IF(G$13&gt;$C$9,VLOOKUP(G$13,'Net Premium Reserve'!$B:$BA,MATCH('Net Premium Reserve'!$M$3,'Net Premium Reserve'!$B$3:$BA$3,0),0)*1000*$C$25,$C$24),1000)</f>
        <v>2.2999999999999998</v>
      </c>
      <c r="H14" s="178">
        <f>MIN(IF(H$13&gt;$C$9,VLOOKUP(H$13,'Net Premium Reserve'!$B:$BA,MATCH('Net Premium Reserve'!$M$3,'Net Premium Reserve'!$B$3:$BA$3,0),0)*1000*$C$25,$C$24),1000)</f>
        <v>2.2999999999999998</v>
      </c>
      <c r="I14" s="178">
        <f>MIN(IF(I$13&gt;$C$9,VLOOKUP(I$13,'Net Premium Reserve'!$B:$BA,MATCH('Net Premium Reserve'!$M$3,'Net Premium Reserve'!$B$3:$BA$3,0),0)*1000*$C$25,$C$24),1000)</f>
        <v>2.2999999999999998</v>
      </c>
      <c r="J14" s="178">
        <f>MIN(IF(J$13&gt;$C$9,VLOOKUP(J$13,'Net Premium Reserve'!$B:$BA,MATCH('Net Premium Reserve'!$M$3,'Net Premium Reserve'!$B$3:$BA$3,0),0)*1000*$C$25,$C$24),1000)</f>
        <v>2.2999999999999998</v>
      </c>
      <c r="K14" s="178">
        <f>MIN(IF(K$13&gt;$C$9,VLOOKUP(K$13,'Net Premium Reserve'!$B:$BA,MATCH('Net Premium Reserve'!$M$3,'Net Premium Reserve'!$B$3:$BA$3,0),0)*1000*$C$25,$C$24),1000)</f>
        <v>2.2999999999999998</v>
      </c>
      <c r="L14" s="178">
        <f>MIN(IF(L$13&gt;$C$9,VLOOKUP(L$13,'Net Premium Reserve'!$B:$BA,MATCH('Net Premium Reserve'!$M$3,'Net Premium Reserve'!$B$3:$BA$3,0),0)*1000*$C$25,$C$24),1000)</f>
        <v>2.2999999999999998</v>
      </c>
      <c r="M14" s="178">
        <f>MIN(IF(M$13&gt;$C$9,VLOOKUP(M$13,'Net Premium Reserve'!$B:$BA,MATCH('Net Premium Reserve'!$M$3,'Net Premium Reserve'!$B$3:$BA$3,0),0)*1000*$C$25,$C$24),1000)</f>
        <v>2.2999999999999998</v>
      </c>
      <c r="N14" s="178">
        <f>MIN(IF(N$13&gt;$C$9,VLOOKUP(N$13,'Net Premium Reserve'!$B:$BA,MATCH('Net Premium Reserve'!$M$3,'Net Premium Reserve'!$B$3:$BA$3,0),0)*1000*$C$25,$C$24),1000)</f>
        <v>2.2999999999999998</v>
      </c>
      <c r="O14" s="178">
        <f>MIN(IF(O$13&gt;$C$9,VLOOKUP(O$13,'Net Premium Reserve'!$B:$BA,MATCH('Net Premium Reserve'!$M$3,'Net Premium Reserve'!$B$3:$BA$3,0),0)*1000*$C$25,$C$24),1000)</f>
        <v>2.2999999999999998</v>
      </c>
      <c r="P14" s="178">
        <f>MIN(IF(P$13&gt;$C$9,VLOOKUP(P$13,'Net Premium Reserve'!$B:$BA,MATCH('Net Premium Reserve'!$M$3,'Net Premium Reserve'!$B$3:$BA$3,0),0)*1000*$C$25,$C$24),1000)</f>
        <v>2.2999999999999998</v>
      </c>
      <c r="Q14" s="178">
        <f>MIN(IF(Q$13&gt;$C$9,VLOOKUP(Q$13,'Net Premium Reserve'!$B:$BA,MATCH('Net Premium Reserve'!$M$3,'Net Premium Reserve'!$B$3:$BA$3,0),0)*1000*$C$25,$C$24),1000)</f>
        <v>2.2999999999999998</v>
      </c>
      <c r="R14" s="178">
        <f>MIN(IF(R$13&gt;$C$9,VLOOKUP(R$13,'Net Premium Reserve'!$B:$BA,MATCH('Net Premium Reserve'!$M$3,'Net Premium Reserve'!$B$3:$BA$3,0),0)*1000*$C$25,$C$24),1000)</f>
        <v>2.2999999999999998</v>
      </c>
      <c r="S14" s="178">
        <f>MIN(IF(S$13&gt;$C$9,VLOOKUP(S$13,'Net Premium Reserve'!$B:$BA,MATCH('Net Premium Reserve'!$M$3,'Net Premium Reserve'!$B$3:$BA$3,0),0)*1000*$C$25,$C$24),1000)</f>
        <v>2.2999999999999998</v>
      </c>
      <c r="T14" s="178">
        <f>MIN(IF(T$13&gt;$C$9,VLOOKUP(T$13,'Net Premium Reserve'!$B:$BA,MATCH('Net Premium Reserve'!$M$3,'Net Premium Reserve'!$B$3:$BA$3,0),0)*1000*$C$25,$C$24),1000)</f>
        <v>2.2999999999999998</v>
      </c>
      <c r="U14" s="178">
        <f>MIN(IF(U$13&gt;$C$9,VLOOKUP(U$13,'Net Premium Reserve'!$B:$BA,MATCH('Net Premium Reserve'!$M$3,'Net Premium Reserve'!$B$3:$BA$3,0),0)*1000*$C$25,$C$24),1000)</f>
        <v>2.2999999999999998</v>
      </c>
      <c r="V14" s="178">
        <f>MIN(IF(V$13&gt;$C$9,VLOOKUP(V$13,'Net Premium Reserve'!$B:$BA,MATCH('Net Premium Reserve'!$M$3,'Net Premium Reserve'!$B$3:$BA$3,0),0)*1000*$C$25,$C$24),1000)</f>
        <v>2.2999999999999998</v>
      </c>
      <c r="W14" s="178">
        <f>MIN(IF(W$13&gt;$C$9,VLOOKUP(W$13,'Net Premium Reserve'!$B:$BA,MATCH('Net Premium Reserve'!$M$3,'Net Premium Reserve'!$B$3:$BA$3,0),0)*1000*$C$25,$C$24),1000)</f>
        <v>17.786999999999999</v>
      </c>
      <c r="X14" s="178">
        <f>MIN(IF(X$13&gt;$C$9,VLOOKUP(X$13,'Net Premium Reserve'!$B:$BA,MATCH('Net Premium Reserve'!$M$3,'Net Premium Reserve'!$B$3:$BA$3,0),0)*1000*$C$25,$C$24),1000)</f>
        <v>20.237000000000002</v>
      </c>
      <c r="Y14" s="178">
        <f>MIN(IF(Y$13&gt;$C$9,VLOOKUP(Y$13,'Net Premium Reserve'!$B:$BA,MATCH('Net Premium Reserve'!$M$3,'Net Premium Reserve'!$B$3:$BA$3,0),0)*1000*$C$25,$C$24),1000)</f>
        <v>22.956499999999998</v>
      </c>
      <c r="Z14" s="178">
        <f>MIN(IF(Z$13&gt;$C$9,VLOOKUP(Z$13,'Net Premium Reserve'!$B:$BA,MATCH('Net Premium Reserve'!$M$3,'Net Premium Reserve'!$B$3:$BA$3,0),0)*1000*$C$25,$C$24),1000)</f>
        <v>25.798500000000001</v>
      </c>
      <c r="AA14" s="178">
        <f>MIN(IF(AA$13&gt;$C$9,VLOOKUP(AA$13,'Net Premium Reserve'!$B:$BA,MATCH('Net Premium Reserve'!$M$3,'Net Premium Reserve'!$B$3:$BA$3,0),0)*1000*$C$25,$C$24),1000)</f>
        <v>28.836500000000001</v>
      </c>
      <c r="AB14" s="178">
        <f>MIN(IF(AB$13&gt;$C$9,VLOOKUP(AB$13,'Net Premium Reserve'!$B:$BA,MATCH('Net Premium Reserve'!$M$3,'Net Premium Reserve'!$B$3:$BA$3,0),0)*1000*$C$25,$C$24),1000)</f>
        <v>32.364500000000007</v>
      </c>
      <c r="AC14" s="178">
        <f>MIN(IF(AC$13&gt;$C$9,VLOOKUP(AC$13,'Net Premium Reserve'!$B:$BA,MATCH('Net Premium Reserve'!$M$3,'Net Premium Reserve'!$B$3:$BA$3,0),0)*1000*$C$25,$C$24),1000)</f>
        <v>36.260000000000005</v>
      </c>
      <c r="AD14" s="178">
        <f>MIN(IF(AD$13&gt;$C$9,VLOOKUP(AD$13,'Net Premium Reserve'!$B:$BA,MATCH('Net Premium Reserve'!$M$3,'Net Premium Reserve'!$B$3:$BA$3,0),0)*1000*$C$25,$C$24),1000)</f>
        <v>40.914999999999999</v>
      </c>
      <c r="AE14" s="178">
        <f>MIN(IF(AE$13&gt;$C$9,VLOOKUP(AE$13,'Net Premium Reserve'!$B:$BA,MATCH('Net Premium Reserve'!$M$3,'Net Premium Reserve'!$B$3:$BA$3,0),0)*1000*$C$25,$C$24),1000)</f>
        <v>46.329500000000003</v>
      </c>
      <c r="AF14" s="178">
        <f>MIN(IF(AF$13&gt;$C$9,VLOOKUP(AF$13,'Net Premium Reserve'!$B:$BA,MATCH('Net Premium Reserve'!$M$3,'Net Premium Reserve'!$B$3:$BA$3,0),0)*1000*$C$25,$C$24),1000)</f>
        <v>52.503500000000003</v>
      </c>
      <c r="AG14" s="178">
        <f>MIN(IF(AG$13&gt;$C$9,VLOOKUP(AG$13,'Net Premium Reserve'!$B:$BA,MATCH('Net Premium Reserve'!$M$3,'Net Premium Reserve'!$B$3:$BA$3,0),0)*1000*$C$25,$C$24),1000)</f>
        <v>59.387999999999998</v>
      </c>
      <c r="AH14" s="178">
        <f>MIN(IF(AH$13&gt;$C$9,VLOOKUP(AH$13,'Net Premium Reserve'!$B:$BA,MATCH('Net Premium Reserve'!$M$3,'Net Premium Reserve'!$B$3:$BA$3,0),0)*1000*$C$25,$C$24),1000)</f>
        <v>66.934000000000012</v>
      </c>
      <c r="AI14" s="178">
        <f>MIN(IF(AI$13&gt;$C$9,VLOOKUP(AI$13,'Net Premium Reserve'!$B:$BA,MATCH('Net Premium Reserve'!$M$3,'Net Premium Reserve'!$B$3:$BA$3,0),0)*1000*$C$25,$C$24),1000)</f>
        <v>75.239500000000007</v>
      </c>
      <c r="AJ14" s="178">
        <f>MIN(IF(AJ$13&gt;$C$9,VLOOKUP(AJ$13,'Net Premium Reserve'!$B:$BA,MATCH('Net Premium Reserve'!$M$3,'Net Premium Reserve'!$B$3:$BA$3,0),0)*1000*$C$25,$C$24),1000)</f>
        <v>84.427000000000007</v>
      </c>
      <c r="AK14" s="178">
        <f>MIN(IF(AK$13&gt;$C$9,VLOOKUP(AK$13,'Net Premium Reserve'!$B:$BA,MATCH('Net Premium Reserve'!$M$3,'Net Premium Reserve'!$B$3:$BA$3,0),0)*1000*$C$25,$C$24),1000)</f>
        <v>94.913000000000011</v>
      </c>
      <c r="AL14" s="178">
        <f>MIN(IF(AL$13&gt;$C$9,VLOOKUP(AL$13,'Net Premium Reserve'!$B:$BA,MATCH('Net Premium Reserve'!$M$3,'Net Premium Reserve'!$B$3:$BA$3,0),0)*1000*$C$25,$C$24),1000)</f>
        <v>107.01600000000001</v>
      </c>
      <c r="AM14" s="178">
        <f>MIN(IF(AM$13&gt;$C$9,VLOOKUP(AM$13,'Net Premium Reserve'!$B:$BA,MATCH('Net Premium Reserve'!$M$3,'Net Premium Reserve'!$B$3:$BA$3,0),0)*1000*$C$25,$C$24),1000)</f>
        <v>121.17700000000001</v>
      </c>
      <c r="AN14" s="178">
        <f>MIN(IF(AN$13&gt;$C$9,VLOOKUP(AN$13,'Net Premium Reserve'!$B:$BA,MATCH('Net Premium Reserve'!$M$3,'Net Premium Reserve'!$B$3:$BA$3,0),0)*1000*$C$25,$C$24),1000)</f>
        <v>137.02850000000001</v>
      </c>
      <c r="AO14" s="178">
        <f>MIN(IF(AO$13&gt;$C$9,VLOOKUP(AO$13,'Net Premium Reserve'!$B:$BA,MATCH('Net Premium Reserve'!$M$3,'Net Premium Reserve'!$B$3:$BA$3,0),0)*1000*$C$25,$C$24),1000)</f>
        <v>155.477</v>
      </c>
      <c r="AP14" s="178">
        <f>MIN(IF(AP$13&gt;$C$9,VLOOKUP(AP$13,'Net Premium Reserve'!$B:$BA,MATCH('Net Premium Reserve'!$M$3,'Net Premium Reserve'!$B$3:$BA$3,0),0)*1000*$C$25,$C$24),1000)</f>
        <v>176.8655</v>
      </c>
      <c r="AQ14" s="178">
        <f>MIN(IF(AQ$13&gt;$C$9,VLOOKUP(AQ$13,'Net Premium Reserve'!$B:$BA,MATCH('Net Premium Reserve'!$M$3,'Net Premium Reserve'!$B$3:$BA$3,0),0)*1000*$C$25,$C$24),1000)</f>
        <v>201.73300000000003</v>
      </c>
      <c r="AR14" s="178">
        <f>MIN(IF(AR$13&gt;$C$9,VLOOKUP(AR$13,'Net Premium Reserve'!$B:$BA,MATCH('Net Premium Reserve'!$M$3,'Net Premium Reserve'!$B$3:$BA$3,0),0)*1000*$C$25,$C$24),1000)</f>
        <v>230.52050000000003</v>
      </c>
      <c r="AS14" s="178">
        <f>MIN(IF(AS$13&gt;$C$9,VLOOKUP(AS$13,'Net Premium Reserve'!$B:$BA,MATCH('Net Premium Reserve'!$M$3,'Net Premium Reserve'!$B$3:$BA$3,0),0)*1000*$C$25,$C$24),1000)</f>
        <v>263.64449999999999</v>
      </c>
      <c r="AT14" s="178">
        <f>MIN(IF(AT$13&gt;$C$9,VLOOKUP(AT$13,'Net Premium Reserve'!$B:$BA,MATCH('Net Premium Reserve'!$M$3,'Net Premium Reserve'!$B$3:$BA$3,0),0)*1000*$C$25,$C$24),1000)</f>
        <v>301.10500000000002</v>
      </c>
      <c r="AU14" s="178">
        <f>MIN(IF(AU$13&gt;$C$9,VLOOKUP(AU$13,'Net Premium Reserve'!$B:$BA,MATCH('Net Premium Reserve'!$M$3,'Net Premium Reserve'!$B$3:$BA$3,0),0)*1000*$C$25,$C$24),1000)</f>
        <v>341.75050000000005</v>
      </c>
      <c r="AV14" s="178">
        <f>MIN(IF(AV$13&gt;$C$9,VLOOKUP(AV$13,'Net Premium Reserve'!$B:$BA,MATCH('Net Premium Reserve'!$M$3,'Net Premium Reserve'!$B$3:$BA$3,0),0)*1000*$C$25,$C$24),1000)</f>
        <v>385.09100000000007</v>
      </c>
      <c r="AW14" s="178">
        <f>MIN(IF(AW$13&gt;$C$9,VLOOKUP(AW$13,'Net Premium Reserve'!$B:$BA,MATCH('Net Premium Reserve'!$M$3,'Net Premium Reserve'!$B$3:$BA$3,0),0)*1000*$C$25,$C$24),1000)</f>
        <v>429.60750000000002</v>
      </c>
      <c r="AX14" s="178">
        <f>MIN(IF(AX$13&gt;$C$9,VLOOKUP(AX$13,'Net Premium Reserve'!$B:$BA,MATCH('Net Premium Reserve'!$M$3,'Net Premium Reserve'!$B$3:$BA$3,0),0)*1000*$C$25,$C$24),1000)</f>
        <v>474.12400000000008</v>
      </c>
      <c r="AY14" s="178">
        <f>MIN(IF(AY$13&gt;$C$9,VLOOKUP(AY$13,'Net Premium Reserve'!$B:$BA,MATCH('Net Premium Reserve'!$M$3,'Net Premium Reserve'!$B$3:$BA$3,0),0)*1000*$C$25,$C$24),1000)</f>
        <v>518.15050000000008</v>
      </c>
      <c r="AZ14" s="178">
        <f>MIN(IF(AZ$13&gt;$C$9,VLOOKUP(AZ$13,'Net Premium Reserve'!$B:$BA,MATCH('Net Premium Reserve'!$M$3,'Net Premium Reserve'!$B$3:$BA$3,0),0)*1000*$C$25,$C$24),1000)</f>
        <v>559.48200000000008</v>
      </c>
      <c r="BA14" s="178">
        <f>MIN(IF(BA$13&gt;$C$9,VLOOKUP(BA$13,'Net Premium Reserve'!$B:$BA,MATCH('Net Premium Reserve'!$M$3,'Net Premium Reserve'!$B$3:$BA$3,0),0)*1000*$C$25,$C$24),1000)</f>
        <v>596.33000000000004</v>
      </c>
      <c r="BB14" s="178">
        <f>MIN(IF(BB$13&gt;$C$9,VLOOKUP(BB$13,'Net Premium Reserve'!$B:$BA,MATCH('Net Premium Reserve'!$M$3,'Net Premium Reserve'!$B$3:$BA$3,0),0)*1000*$C$25,$C$24),1000)</f>
        <v>642.95350000000008</v>
      </c>
      <c r="BC14" s="178">
        <f>MIN(IF(BC$13&gt;$C$9,VLOOKUP(BC$13,'Net Premium Reserve'!$B:$BA,MATCH('Net Premium Reserve'!$M$3,'Net Premium Reserve'!$B$3:$BA$3,0),0)*1000*$C$25,$C$24),1000)</f>
        <v>692.59050000000002</v>
      </c>
      <c r="BD14" s="178">
        <f>MIN(IF(BD$13&gt;$C$9,VLOOKUP(BD$13,'Net Premium Reserve'!$B:$BA,MATCH('Net Premium Reserve'!$M$3,'Net Premium Reserve'!$B$3:$BA$3,0),0)*1000*$C$25,$C$24),1000)</f>
        <v>746.53949999999998</v>
      </c>
      <c r="BE14" s="178">
        <f>MIN(IF(BE$13&gt;$C$9,VLOOKUP(BE$13,'Net Premium Reserve'!$B:$BA,MATCH('Net Premium Reserve'!$M$3,'Net Premium Reserve'!$B$3:$BA$3,0),0)*1000*$C$25,$C$24),1000)</f>
        <v>803.6</v>
      </c>
      <c r="BF14" s="178">
        <f>MIN(IF(BF$13&gt;$C$9,VLOOKUP(BF$13,'Net Premium Reserve'!$B:$BA,MATCH('Net Premium Reserve'!$M$3,'Net Premium Reserve'!$B$3:$BA$3,0),0)*1000*$C$25,$C$24),1000)</f>
        <v>862.62049999999999</v>
      </c>
      <c r="BG14" s="178">
        <f>MIN(IF(BG$13&gt;$C$9,VLOOKUP(BG$13,'Net Premium Reserve'!$B:$BA,MATCH('Net Premium Reserve'!$M$3,'Net Premium Reserve'!$B$3:$BA$3,0),0)*1000*$C$25,$C$24),1000)</f>
        <v>917.45150000000012</v>
      </c>
      <c r="BH14" s="178">
        <f>MIN(IF(BH$13&gt;$C$9,VLOOKUP(BH$13,'Net Premium Reserve'!$B:$BA,MATCH('Net Premium Reserve'!$M$3,'Net Premium Reserve'!$B$3:$BA$3,0),0)*1000*$C$25,$C$24),1000)</f>
        <v>972.16000000000008</v>
      </c>
      <c r="BI14" s="178">
        <f>MIN(IF(BI$13&gt;$C$9,VLOOKUP(BI$13,'Net Premium Reserve'!$B:$BA,MATCH('Net Premium Reserve'!$M$3,'Net Premium Reserve'!$B$3:$BA$3,0),0)*1000*$C$25,$C$24),1000)</f>
        <v>1000</v>
      </c>
      <c r="BJ14" s="178">
        <f>MIN(IF(BJ$13&gt;$C$9,VLOOKUP(BJ$13,'Net Premium Reserve'!$B:$BA,MATCH('Net Premium Reserve'!$M$3,'Net Premium Reserve'!$B$3:$BA$3,0),0)*1000*$C$25,$C$24),1000)</f>
        <v>1000</v>
      </c>
      <c r="BK14" s="178">
        <f>MIN(IF(BK$13&gt;$C$9,VLOOKUP(BK$13,'Net Premium Reserve'!$B:$BA,MATCH('Net Premium Reserve'!$M$3,'Net Premium Reserve'!$B$3:$BA$3,0),0)*1000*$C$25,$C$24),1000)</f>
        <v>1000</v>
      </c>
      <c r="BL14" s="178">
        <f>MIN(IF(BL$13&gt;$C$9,VLOOKUP(BL$13,'Net Premium Reserve'!$B:$BA,MATCH('Net Premium Reserve'!$M$3,'Net Premium Reserve'!$B$3:$BA$3,0),0)*1000*$C$25,$C$24),1000)</f>
        <v>1000</v>
      </c>
      <c r="BM14" s="178">
        <f>MIN(IF(BM$13&gt;$C$9,VLOOKUP(BM$13,'Net Premium Reserve'!$B:$BA,MATCH('Net Premium Reserve'!$M$3,'Net Premium Reserve'!$B$3:$BA$3,0),0)*1000*$C$25,$C$24),1000)</f>
        <v>1000</v>
      </c>
      <c r="BN14" s="178">
        <f>MIN(IF(BN$13&gt;$C$9,VLOOKUP(BN$13,'Net Premium Reserve'!$B:$BA,MATCH('Net Premium Reserve'!$M$3,'Net Premium Reserve'!$B$3:$BA$3,0),0)*1000*$C$25,$C$24),1000)</f>
        <v>1000</v>
      </c>
      <c r="BO14" s="178">
        <f>MIN(IF(BO$13&gt;$C$9,VLOOKUP(BO$13,'Net Premium Reserve'!$B:$BA,MATCH('Net Premium Reserve'!$M$3,'Net Premium Reserve'!$B$3:$BA$3,0),0)*1000*$C$25,$C$24),1000)</f>
        <v>1000</v>
      </c>
      <c r="BP14" s="178">
        <f>MIN(IF(BP$13&gt;$C$9,VLOOKUP(BP$13,'Net Premium Reserve'!$B:$BA,MATCH('Net Premium Reserve'!$M$3,'Net Premium Reserve'!$B$3:$BA$3,0),0)*1000*$C$25,$C$24),1000)</f>
        <v>1000</v>
      </c>
      <c r="BQ14" s="178">
        <f>MIN(IF(BQ$13&gt;$C$9,VLOOKUP(BQ$13,'Net Premium Reserve'!$B:$BA,MATCH('Net Premium Reserve'!$M$3,'Net Premium Reserve'!$B$3:$BA$3,0),0)*1000*$C$25,$C$24),1000)</f>
        <v>1000</v>
      </c>
      <c r="BR14" s="178">
        <f>MIN(IF(BR$13&gt;$C$9,VLOOKUP(BR$13,'Net Premium Reserve'!$B:$BA,MATCH('Net Premium Reserve'!$M$3,'Net Premium Reserve'!$B$3:$BA$3,0),0)*1000*$C$25,$C$24),1000)</f>
        <v>1000</v>
      </c>
      <c r="BS14" s="178">
        <f>MIN(IF(BS$13&gt;$C$9,VLOOKUP(BS$13,'Net Premium Reserve'!$B:$BA,MATCH('Net Premium Reserve'!$M$3,'Net Premium Reserve'!$B$3:$BA$3,0),0)*1000*$C$25,$C$24),1000)</f>
        <v>1000</v>
      </c>
      <c r="BT14" s="178">
        <f>MIN(IF(BT$13&gt;$C$9,VLOOKUP(BT$13,'Net Premium Reserve'!$B:$BA,MATCH('Net Premium Reserve'!$M$3,'Net Premium Reserve'!$B$3:$BA$3,0),0)*1000*$C$25,$C$24),1000)</f>
        <v>1000</v>
      </c>
      <c r="BU14" s="178">
        <f>MIN(IF(BU$13&gt;$C$9,VLOOKUP(BU$13,'Net Premium Reserve'!$B:$BA,MATCH('Net Premium Reserve'!$M$3,'Net Premium Reserve'!$B$3:$BA$3,0),0)*1000*$C$25,$C$24),1000)</f>
        <v>1000</v>
      </c>
      <c r="BV14" s="178">
        <f>MIN(IF(BV$13&gt;$C$9,VLOOKUP(BV$13,'Net Premium Reserve'!$B:$BA,MATCH('Net Premium Reserve'!$M$3,'Net Premium Reserve'!$B$3:$BA$3,0),0)*1000*$C$25,$C$24),1000)</f>
        <v>1000</v>
      </c>
      <c r="BW14" s="178">
        <f>MIN(IF(BW$13&gt;$C$9,VLOOKUP(BW$13,'Net Premium Reserve'!$B:$BA,MATCH('Net Premium Reserve'!$M$3,'Net Premium Reserve'!$B$3:$BA$3,0),0)*1000*$C$25,$C$24),1000)</f>
        <v>1000</v>
      </c>
      <c r="BX14" s="178">
        <f>MIN(IF(BX$13&gt;$C$9,VLOOKUP(BX$13,'Net Premium Reserve'!$B:$BA,MATCH('Net Premium Reserve'!$M$3,'Net Premium Reserve'!$B$3:$BA$3,0),0)*1000*$C$25,$C$24),1000)</f>
        <v>1000</v>
      </c>
      <c r="BY14" s="178">
        <f>MIN(IF(BY$13&gt;$C$9,VLOOKUP(BY$13,'Net Premium Reserve'!$B:$BA,MATCH('Net Premium Reserve'!$M$3,'Net Premium Reserve'!$B$3:$BA$3,0),0)*1000*$C$25,$C$24),1000)</f>
        <v>1000</v>
      </c>
      <c r="BZ14" s="58"/>
      <c r="CA14" s="58"/>
      <c r="CB14" s="58"/>
      <c r="CC14" s="58"/>
      <c r="CD14" s="58"/>
      <c r="CE14" s="58"/>
      <c r="CF14" s="58"/>
      <c r="CG14" s="58"/>
      <c r="CH14" s="58"/>
      <c r="CI14" s="58"/>
      <c r="CJ14" s="58"/>
      <c r="CK14" s="58"/>
      <c r="CL14" s="58"/>
      <c r="CM14" s="58"/>
      <c r="CN14" s="58"/>
      <c r="CO14" s="58"/>
      <c r="CP14" s="58"/>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row>
    <row r="15" spans="2:122" x14ac:dyDescent="0.25">
      <c r="B15" s="68" t="s">
        <v>181</v>
      </c>
      <c r="C15" s="121">
        <f t="shared" ref="C15:AH15" si="8">IF(C$13=1,$C$27,IF(C$13&gt;$C$9,$C$31,IF(C$13=$C$9,$C$30,IF(C$13&gt;10,$C$29,$C$28))))</f>
        <v>0.1</v>
      </c>
      <c r="D15" s="121">
        <f t="shared" si="8"/>
        <v>0.05</v>
      </c>
      <c r="E15" s="121">
        <f t="shared" si="8"/>
        <v>0.05</v>
      </c>
      <c r="F15" s="121">
        <f t="shared" si="8"/>
        <v>0.05</v>
      </c>
      <c r="G15" s="121">
        <f t="shared" si="8"/>
        <v>0.05</v>
      </c>
      <c r="H15" s="121">
        <f t="shared" si="8"/>
        <v>0.05</v>
      </c>
      <c r="I15" s="121">
        <f t="shared" si="8"/>
        <v>0.05</v>
      </c>
      <c r="J15" s="121">
        <f t="shared" si="8"/>
        <v>0.05</v>
      </c>
      <c r="K15" s="121">
        <f t="shared" si="8"/>
        <v>0.05</v>
      </c>
      <c r="L15" s="121">
        <f t="shared" si="8"/>
        <v>0.05</v>
      </c>
      <c r="M15" s="121">
        <f t="shared" si="8"/>
        <v>0.02</v>
      </c>
      <c r="N15" s="121">
        <f t="shared" si="8"/>
        <v>0.02</v>
      </c>
      <c r="O15" s="121">
        <f t="shared" si="8"/>
        <v>0.02</v>
      </c>
      <c r="P15" s="121">
        <f t="shared" si="8"/>
        <v>0.02</v>
      </c>
      <c r="Q15" s="121">
        <f t="shared" si="8"/>
        <v>0.02</v>
      </c>
      <c r="R15" s="121">
        <f t="shared" si="8"/>
        <v>0.02</v>
      </c>
      <c r="S15" s="121">
        <f t="shared" si="8"/>
        <v>0.02</v>
      </c>
      <c r="T15" s="121">
        <f t="shared" si="8"/>
        <v>0.02</v>
      </c>
      <c r="U15" s="121">
        <f t="shared" si="8"/>
        <v>0.02</v>
      </c>
      <c r="V15" s="121">
        <f t="shared" si="8"/>
        <v>0.8</v>
      </c>
      <c r="W15" s="121">
        <f t="shared" si="8"/>
        <v>0.1</v>
      </c>
      <c r="X15" s="121">
        <f t="shared" si="8"/>
        <v>0.1</v>
      </c>
      <c r="Y15" s="121">
        <f t="shared" si="8"/>
        <v>0.1</v>
      </c>
      <c r="Z15" s="121">
        <f t="shared" si="8"/>
        <v>0.1</v>
      </c>
      <c r="AA15" s="121">
        <f t="shared" si="8"/>
        <v>0.1</v>
      </c>
      <c r="AB15" s="121">
        <f t="shared" si="8"/>
        <v>0.1</v>
      </c>
      <c r="AC15" s="121">
        <f t="shared" si="8"/>
        <v>0.1</v>
      </c>
      <c r="AD15" s="121">
        <f t="shared" si="8"/>
        <v>0.1</v>
      </c>
      <c r="AE15" s="121">
        <f t="shared" si="8"/>
        <v>0.1</v>
      </c>
      <c r="AF15" s="121">
        <f t="shared" si="8"/>
        <v>0.1</v>
      </c>
      <c r="AG15" s="121">
        <f t="shared" si="8"/>
        <v>0.1</v>
      </c>
      <c r="AH15" s="121">
        <f t="shared" si="8"/>
        <v>0.1</v>
      </c>
      <c r="AI15" s="121">
        <f t="shared" ref="AI15:BN15" si="9">IF(AI$13=1,$C$27,IF(AI$13&gt;$C$9,$C$31,IF(AI$13=$C$9,$C$30,IF(AI$13&gt;10,$C$29,$C$28))))</f>
        <v>0.1</v>
      </c>
      <c r="AJ15" s="121">
        <f t="shared" si="9"/>
        <v>0.1</v>
      </c>
      <c r="AK15" s="121">
        <f t="shared" si="9"/>
        <v>0.1</v>
      </c>
      <c r="AL15" s="121">
        <f t="shared" si="9"/>
        <v>0.1</v>
      </c>
      <c r="AM15" s="121">
        <f t="shared" si="9"/>
        <v>0.1</v>
      </c>
      <c r="AN15" s="121">
        <f t="shared" si="9"/>
        <v>0.1</v>
      </c>
      <c r="AO15" s="121">
        <f t="shared" si="9"/>
        <v>0.1</v>
      </c>
      <c r="AP15" s="121">
        <f t="shared" si="9"/>
        <v>0.1</v>
      </c>
      <c r="AQ15" s="121">
        <f t="shared" si="9"/>
        <v>0.1</v>
      </c>
      <c r="AR15" s="121">
        <f t="shared" si="9"/>
        <v>0.1</v>
      </c>
      <c r="AS15" s="121">
        <f t="shared" si="9"/>
        <v>0.1</v>
      </c>
      <c r="AT15" s="121">
        <f t="shared" si="9"/>
        <v>0.1</v>
      </c>
      <c r="AU15" s="121">
        <f t="shared" si="9"/>
        <v>0.1</v>
      </c>
      <c r="AV15" s="121">
        <f t="shared" si="9"/>
        <v>0.1</v>
      </c>
      <c r="AW15" s="121">
        <f t="shared" si="9"/>
        <v>0.1</v>
      </c>
      <c r="AX15" s="121">
        <f t="shared" si="9"/>
        <v>0.1</v>
      </c>
      <c r="AY15" s="121">
        <f t="shared" si="9"/>
        <v>0.1</v>
      </c>
      <c r="AZ15" s="121">
        <f t="shared" si="9"/>
        <v>0.1</v>
      </c>
      <c r="BA15" s="121">
        <f t="shared" si="9"/>
        <v>0.1</v>
      </c>
      <c r="BB15" s="121">
        <f t="shared" si="9"/>
        <v>0.1</v>
      </c>
      <c r="BC15" s="121">
        <f t="shared" si="9"/>
        <v>0.1</v>
      </c>
      <c r="BD15" s="121">
        <f t="shared" si="9"/>
        <v>0.1</v>
      </c>
      <c r="BE15" s="121">
        <f t="shared" si="9"/>
        <v>0.1</v>
      </c>
      <c r="BF15" s="121">
        <f t="shared" si="9"/>
        <v>0.1</v>
      </c>
      <c r="BG15" s="121">
        <f t="shared" si="9"/>
        <v>0.1</v>
      </c>
      <c r="BH15" s="121">
        <f t="shared" si="9"/>
        <v>0.1</v>
      </c>
      <c r="BI15" s="121">
        <f t="shared" si="9"/>
        <v>0.1</v>
      </c>
      <c r="BJ15" s="121">
        <f t="shared" si="9"/>
        <v>0.1</v>
      </c>
      <c r="BK15" s="121">
        <f t="shared" si="9"/>
        <v>0.1</v>
      </c>
      <c r="BL15" s="121">
        <f t="shared" si="9"/>
        <v>0.1</v>
      </c>
      <c r="BM15" s="121">
        <f t="shared" si="9"/>
        <v>0.1</v>
      </c>
      <c r="BN15" s="121">
        <f t="shared" si="9"/>
        <v>0.1</v>
      </c>
      <c r="BO15" s="121">
        <f t="shared" ref="BO15:BY15" si="10">IF(BO$13=1,$C$27,IF(BO$13&gt;$C$9,$C$31,IF(BO$13=$C$9,$C$30,IF(BO$13&gt;10,$C$29,$C$28))))</f>
        <v>0.1</v>
      </c>
      <c r="BP15" s="121">
        <f t="shared" si="10"/>
        <v>0.1</v>
      </c>
      <c r="BQ15" s="121">
        <f t="shared" si="10"/>
        <v>0.1</v>
      </c>
      <c r="BR15" s="121">
        <f t="shared" si="10"/>
        <v>0.1</v>
      </c>
      <c r="BS15" s="121">
        <f t="shared" si="10"/>
        <v>0.1</v>
      </c>
      <c r="BT15" s="121">
        <f t="shared" si="10"/>
        <v>0.1</v>
      </c>
      <c r="BU15" s="121">
        <f t="shared" si="10"/>
        <v>0.1</v>
      </c>
      <c r="BV15" s="121">
        <f t="shared" si="10"/>
        <v>0.1</v>
      </c>
      <c r="BW15" s="121">
        <f t="shared" si="10"/>
        <v>0.1</v>
      </c>
      <c r="BX15" s="121">
        <f t="shared" si="10"/>
        <v>0.1</v>
      </c>
      <c r="BY15" s="121">
        <f t="shared" si="10"/>
        <v>0.1</v>
      </c>
      <c r="BZ15" s="58"/>
      <c r="CA15" s="58"/>
      <c r="CB15" s="58"/>
      <c r="CC15" s="58"/>
      <c r="CD15" s="58"/>
      <c r="CE15" s="58"/>
      <c r="CF15" s="58"/>
      <c r="CG15" s="58"/>
      <c r="CH15" s="58"/>
      <c r="CI15" s="58"/>
      <c r="CJ15" s="58"/>
      <c r="CK15" s="58"/>
      <c r="CL15" s="58"/>
      <c r="CM15" s="58"/>
      <c r="CN15" s="58"/>
      <c r="CO15" s="58"/>
      <c r="CP15" s="58"/>
    </row>
    <row r="16" spans="2:122" x14ac:dyDescent="0.25">
      <c r="B16" s="70" t="s">
        <v>177</v>
      </c>
      <c r="C16" s="121">
        <f t="shared" ref="C16:AH16" si="11">VLOOKUP(IF($C$38="Baseline",9,IF($C$38="DR",12,$C$38)),$A$66:$BY$81,MATCH(C$13,$A$65:$BY$65,0),0)</f>
        <v>2.9399999999999999E-2</v>
      </c>
      <c r="D16" s="121">
        <f t="shared" si="11"/>
        <v>2.8989999999999998E-2</v>
      </c>
      <c r="E16" s="121">
        <f t="shared" si="11"/>
        <v>2.8539999999999999E-2</v>
      </c>
      <c r="F16" s="121">
        <f t="shared" si="11"/>
        <v>2.8080000000000001E-2</v>
      </c>
      <c r="G16" s="121">
        <f t="shared" si="11"/>
        <v>2.76E-2</v>
      </c>
      <c r="H16" s="121">
        <f t="shared" si="11"/>
        <v>2.7150000000000001E-2</v>
      </c>
      <c r="I16" s="121">
        <f t="shared" si="11"/>
        <v>2.6710000000000001E-2</v>
      </c>
      <c r="J16" s="121">
        <f t="shared" si="11"/>
        <v>2.63E-2</v>
      </c>
      <c r="K16" s="121">
        <f t="shared" si="11"/>
        <v>2.5930000000000002E-2</v>
      </c>
      <c r="L16" s="121">
        <f t="shared" si="11"/>
        <v>2.5579999999999999E-2</v>
      </c>
      <c r="M16" s="121">
        <f t="shared" si="11"/>
        <v>2.5270000000000001E-2</v>
      </c>
      <c r="N16" s="121">
        <f t="shared" si="11"/>
        <v>2.4979999999999999E-2</v>
      </c>
      <c r="O16" s="121">
        <f t="shared" si="11"/>
        <v>2.4719999999999999E-2</v>
      </c>
      <c r="P16" s="121">
        <f t="shared" si="11"/>
        <v>2.4490000000000001E-2</v>
      </c>
      <c r="Q16" s="121">
        <f t="shared" si="11"/>
        <v>2.4279999999999999E-2</v>
      </c>
      <c r="R16" s="121">
        <f t="shared" si="11"/>
        <v>2.409E-2</v>
      </c>
      <c r="S16" s="121">
        <f t="shared" si="11"/>
        <v>2.393E-2</v>
      </c>
      <c r="T16" s="121">
        <f t="shared" si="11"/>
        <v>2.3779999999999999E-2</v>
      </c>
      <c r="U16" s="121">
        <f t="shared" si="11"/>
        <v>2.3640000000000001E-2</v>
      </c>
      <c r="V16" s="121">
        <f t="shared" si="11"/>
        <v>2.3519999999999999E-2</v>
      </c>
      <c r="W16" s="121">
        <f t="shared" si="11"/>
        <v>2.341E-2</v>
      </c>
      <c r="X16" s="121">
        <f t="shared" si="11"/>
        <v>2.4029999999999999E-2</v>
      </c>
      <c r="Y16" s="121">
        <f t="shared" si="11"/>
        <v>2.4639999999999999E-2</v>
      </c>
      <c r="Z16" s="121">
        <f t="shared" si="11"/>
        <v>2.5229999999999999E-2</v>
      </c>
      <c r="AA16" s="121">
        <f t="shared" si="11"/>
        <v>2.579E-2</v>
      </c>
      <c r="AB16" s="121">
        <f t="shared" si="11"/>
        <v>2.6339999999999999E-2</v>
      </c>
      <c r="AC16" s="121">
        <f t="shared" si="11"/>
        <v>2.6849999999999999E-2</v>
      </c>
      <c r="AD16" s="121">
        <f t="shared" si="11"/>
        <v>2.734E-2</v>
      </c>
      <c r="AE16" s="121">
        <f t="shared" si="11"/>
        <v>2.7799999999999998E-2</v>
      </c>
      <c r="AF16" s="121">
        <f t="shared" si="11"/>
        <v>2.8230000000000002E-2</v>
      </c>
      <c r="AG16" s="121">
        <f t="shared" si="11"/>
        <v>2.8629999999999999E-2</v>
      </c>
      <c r="AH16" s="121">
        <f t="shared" si="11"/>
        <v>2.9000000000000001E-2</v>
      </c>
      <c r="AI16" s="121">
        <f t="shared" ref="AI16:BN16" si="12">VLOOKUP(IF($C$38="Baseline",9,IF($C$38="DR",12,$C$38)),$A$66:$BY$81,MATCH(AI$13,$A$65:$BY$65,0),0)</f>
        <v>2.9350000000000001E-2</v>
      </c>
      <c r="AJ16" s="121">
        <f t="shared" si="12"/>
        <v>2.9669999999999998E-2</v>
      </c>
      <c r="AK16" s="121">
        <f t="shared" si="12"/>
        <v>2.997E-2</v>
      </c>
      <c r="AL16" s="121">
        <f t="shared" si="12"/>
        <v>3.0249999999999999E-2</v>
      </c>
      <c r="AM16" s="121">
        <f t="shared" si="12"/>
        <v>3.0499999999999999E-2</v>
      </c>
      <c r="AN16" s="121">
        <f t="shared" si="12"/>
        <v>3.074E-2</v>
      </c>
      <c r="AO16" s="121">
        <f t="shared" si="12"/>
        <v>3.0949999999999998E-2</v>
      </c>
      <c r="AP16" s="121">
        <f t="shared" si="12"/>
        <v>3.1150000000000001E-2</v>
      </c>
      <c r="AQ16" s="121">
        <f t="shared" si="12"/>
        <v>3.1329999999999997E-2</v>
      </c>
      <c r="AR16" s="121">
        <f t="shared" si="12"/>
        <v>3.15E-2</v>
      </c>
      <c r="AS16" s="121">
        <f t="shared" si="12"/>
        <v>3.1649999999999998E-2</v>
      </c>
      <c r="AT16" s="121">
        <f t="shared" si="12"/>
        <v>3.1789999999999999E-2</v>
      </c>
      <c r="AU16" s="121">
        <f t="shared" si="12"/>
        <v>3.1919999999999997E-2</v>
      </c>
      <c r="AV16" s="121">
        <f t="shared" si="12"/>
        <v>3.2039999999999999E-2</v>
      </c>
      <c r="AW16" s="121">
        <f t="shared" si="12"/>
        <v>3.2149999999999998E-2</v>
      </c>
      <c r="AX16" s="121">
        <f t="shared" si="12"/>
        <v>3.2250000000000001E-2</v>
      </c>
      <c r="AY16" s="121">
        <f t="shared" si="12"/>
        <v>3.2340000000000001E-2</v>
      </c>
      <c r="AZ16" s="121">
        <f t="shared" si="12"/>
        <v>3.2419999999999997E-2</v>
      </c>
      <c r="BA16" s="121">
        <f t="shared" si="12"/>
        <v>3.2489999999999998E-2</v>
      </c>
      <c r="BB16" s="121">
        <f t="shared" si="12"/>
        <v>3.2559999999999999E-2</v>
      </c>
      <c r="BC16" s="121">
        <f t="shared" si="12"/>
        <v>3.2629999999999999E-2</v>
      </c>
      <c r="BD16" s="121">
        <f t="shared" si="12"/>
        <v>3.2680000000000001E-2</v>
      </c>
      <c r="BE16" s="121">
        <f t="shared" si="12"/>
        <v>3.2739999999999998E-2</v>
      </c>
      <c r="BF16" s="121">
        <f t="shared" si="12"/>
        <v>3.2779999999999997E-2</v>
      </c>
      <c r="BG16" s="121">
        <f t="shared" si="12"/>
        <v>3.2829999999999998E-2</v>
      </c>
      <c r="BH16" s="121">
        <f t="shared" si="12"/>
        <v>3.2870000000000003E-2</v>
      </c>
      <c r="BI16" s="121">
        <f t="shared" si="12"/>
        <v>3.2899999999999999E-2</v>
      </c>
      <c r="BJ16" s="121">
        <f t="shared" si="12"/>
        <v>3.2939999999999997E-2</v>
      </c>
      <c r="BK16" s="121">
        <f t="shared" si="12"/>
        <v>3.2969999999999999E-2</v>
      </c>
      <c r="BL16" s="121">
        <f t="shared" si="12"/>
        <v>3.2989999999999998E-2</v>
      </c>
      <c r="BM16" s="121">
        <f t="shared" si="12"/>
        <v>3.3020000000000001E-2</v>
      </c>
      <c r="BN16" s="121">
        <f t="shared" si="12"/>
        <v>3.304E-2</v>
      </c>
      <c r="BO16" s="121">
        <f t="shared" ref="BO16:BY16" si="13">VLOOKUP(IF($C$38="Baseline",9,IF($C$38="DR",12,$C$38)),$A$66:$BY$81,MATCH(BO$13,$A$65:$BY$65,0),0)</f>
        <v>3.3059999999999999E-2</v>
      </c>
      <c r="BP16" s="121">
        <f t="shared" si="13"/>
        <v>3.3079999999999998E-2</v>
      </c>
      <c r="BQ16" s="121">
        <f t="shared" si="13"/>
        <v>3.3099999999999997E-2</v>
      </c>
      <c r="BR16" s="121">
        <f t="shared" si="13"/>
        <v>3.3110000000000001E-2</v>
      </c>
      <c r="BS16" s="121">
        <f t="shared" si="13"/>
        <v>3.313E-2</v>
      </c>
      <c r="BT16" s="121">
        <f t="shared" si="13"/>
        <v>3.3140000000000003E-2</v>
      </c>
      <c r="BU16" s="121">
        <f t="shared" si="13"/>
        <v>3.3140000000000003E-2</v>
      </c>
      <c r="BV16" s="121">
        <f t="shared" si="13"/>
        <v>3.3140000000000003E-2</v>
      </c>
      <c r="BW16" s="121">
        <f t="shared" si="13"/>
        <v>3.3140000000000003E-2</v>
      </c>
      <c r="BX16" s="121">
        <f t="shared" si="13"/>
        <v>3.3140000000000003E-2</v>
      </c>
      <c r="BY16" s="121">
        <f t="shared" si="13"/>
        <v>3.3140000000000003E-2</v>
      </c>
      <c r="BZ16" s="58"/>
      <c r="CA16" s="58"/>
      <c r="CB16" s="58"/>
      <c r="CC16" s="58"/>
      <c r="CD16" s="58"/>
      <c r="CE16" s="58"/>
      <c r="CF16" s="58"/>
      <c r="CG16" s="58"/>
      <c r="CH16" s="58"/>
      <c r="CI16" s="58"/>
      <c r="CJ16" s="58"/>
      <c r="CK16" s="58"/>
      <c r="CL16" s="58"/>
      <c r="CM16" s="58"/>
      <c r="CN16" s="58"/>
      <c r="CO16" s="58"/>
      <c r="CP16" s="58"/>
    </row>
    <row r="17" spans="2:94" s="36" customFormat="1" ht="8.25" customHeight="1" x14ac:dyDescent="0.25">
      <c r="B17" s="65"/>
      <c r="C17" s="66"/>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row>
    <row r="18" spans="2:94" x14ac:dyDescent="0.25">
      <c r="B18" s="68" t="s">
        <v>286</v>
      </c>
      <c r="C18" s="263" t="s">
        <v>58</v>
      </c>
      <c r="D18" s="264"/>
      <c r="E18" s="264"/>
      <c r="F18" s="264"/>
      <c r="G18" s="265"/>
    </row>
    <row r="19" spans="2:94" x14ac:dyDescent="0.25">
      <c r="B19" s="68" t="s">
        <v>293</v>
      </c>
      <c r="C19" s="67">
        <v>0.8</v>
      </c>
      <c r="D19" s="146"/>
      <c r="E19" s="146"/>
      <c r="F19" s="146"/>
      <c r="G19" s="146"/>
    </row>
    <row r="20" spans="2:94" ht="15.75" x14ac:dyDescent="0.25">
      <c r="B20" s="68" t="s">
        <v>180</v>
      </c>
      <c r="C20" s="101">
        <v>2018</v>
      </c>
      <c r="E20" s="184" t="s">
        <v>354</v>
      </c>
      <c r="F20" s="179"/>
      <c r="G20" s="179"/>
      <c r="H20" s="179"/>
      <c r="I20" s="179"/>
      <c r="J20" s="179"/>
      <c r="K20" s="179"/>
      <c r="L20" s="179"/>
      <c r="M20" s="179"/>
      <c r="N20" s="179"/>
      <c r="O20" s="179"/>
      <c r="P20" s="179"/>
      <c r="Q20" s="179"/>
      <c r="R20" s="180"/>
    </row>
    <row r="21" spans="2:94" x14ac:dyDescent="0.25">
      <c r="B21" s="68" t="s">
        <v>148</v>
      </c>
      <c r="C21" s="59">
        <v>5.0000000000000001E-3</v>
      </c>
      <c r="D21" s="62"/>
      <c r="E21" s="268" t="s">
        <v>472</v>
      </c>
      <c r="F21" s="269"/>
      <c r="G21" s="269"/>
      <c r="H21" s="269"/>
      <c r="I21" s="269"/>
      <c r="J21" s="269"/>
      <c r="K21" s="269"/>
      <c r="L21" s="269"/>
      <c r="M21" s="269"/>
      <c r="N21" s="269"/>
      <c r="O21" s="257"/>
      <c r="P21" s="257"/>
      <c r="Q21" s="257"/>
      <c r="R21" s="258"/>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row>
    <row r="22" spans="2:94" x14ac:dyDescent="0.25">
      <c r="B22" s="68" t="s">
        <v>316</v>
      </c>
      <c r="C22" s="166">
        <v>3.95</v>
      </c>
      <c r="D22" s="62"/>
      <c r="E22" s="268"/>
      <c r="F22" s="269"/>
      <c r="G22" s="269"/>
      <c r="H22" s="269"/>
      <c r="I22" s="269"/>
      <c r="J22" s="269"/>
      <c r="K22" s="269"/>
      <c r="L22" s="269"/>
      <c r="M22" s="269"/>
      <c r="N22" s="269"/>
      <c r="O22" s="257"/>
      <c r="P22" s="257"/>
      <c r="Q22" s="257"/>
      <c r="R22" s="258"/>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row>
    <row r="23" spans="2:94" s="36" customFormat="1" ht="8.25" customHeight="1" x14ac:dyDescent="0.25">
      <c r="B23" s="65"/>
      <c r="C23" s="66"/>
      <c r="D23" s="64"/>
      <c r="E23" s="268"/>
      <c r="F23" s="269"/>
      <c r="G23" s="269"/>
      <c r="H23" s="269"/>
      <c r="I23" s="269"/>
      <c r="J23" s="269"/>
      <c r="K23" s="269"/>
      <c r="L23" s="269"/>
      <c r="M23" s="269"/>
      <c r="N23" s="269"/>
      <c r="O23" s="257"/>
      <c r="P23" s="257"/>
      <c r="Q23" s="257"/>
      <c r="R23" s="258"/>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row>
    <row r="24" spans="2:94" x14ac:dyDescent="0.25">
      <c r="B24" s="68" t="s">
        <v>347</v>
      </c>
      <c r="C24" s="57">
        <v>2.2999999999999998</v>
      </c>
      <c r="E24" s="268"/>
      <c r="F24" s="269"/>
      <c r="G24" s="269"/>
      <c r="H24" s="269"/>
      <c r="I24" s="269"/>
      <c r="J24" s="269"/>
      <c r="K24" s="269"/>
      <c r="L24" s="269"/>
      <c r="M24" s="269"/>
      <c r="N24" s="269"/>
      <c r="O24" s="257"/>
      <c r="P24" s="257"/>
      <c r="Q24" s="257"/>
      <c r="R24" s="258"/>
    </row>
    <row r="25" spans="2:94" x14ac:dyDescent="0.25">
      <c r="B25" s="68" t="s">
        <v>348</v>
      </c>
      <c r="C25" s="166">
        <v>2.4500000000000002</v>
      </c>
      <c r="D25" s="62"/>
      <c r="E25" s="268"/>
      <c r="F25" s="269"/>
      <c r="G25" s="269"/>
      <c r="H25" s="269"/>
      <c r="I25" s="269"/>
      <c r="J25" s="269"/>
      <c r="K25" s="269"/>
      <c r="L25" s="269"/>
      <c r="M25" s="269"/>
      <c r="N25" s="269"/>
      <c r="O25" s="257"/>
      <c r="P25" s="257"/>
      <c r="Q25" s="257"/>
      <c r="R25" s="258"/>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row>
    <row r="26" spans="2:94" s="36" customFormat="1" ht="8.25" customHeight="1" x14ac:dyDescent="0.25">
      <c r="B26" s="65"/>
      <c r="C26" s="66"/>
      <c r="D26" s="64"/>
      <c r="E26" s="270"/>
      <c r="F26" s="271"/>
      <c r="G26" s="271"/>
      <c r="H26" s="271"/>
      <c r="I26" s="271"/>
      <c r="J26" s="271"/>
      <c r="K26" s="271"/>
      <c r="L26" s="271"/>
      <c r="M26" s="271"/>
      <c r="N26" s="271"/>
      <c r="O26" s="257"/>
      <c r="P26" s="257"/>
      <c r="Q26" s="257"/>
      <c r="R26" s="258"/>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row>
    <row r="27" spans="2:94" x14ac:dyDescent="0.25">
      <c r="B27" s="68" t="s">
        <v>349</v>
      </c>
      <c r="C27" s="59">
        <v>0.1</v>
      </c>
      <c r="D27" s="62"/>
      <c r="E27" s="270"/>
      <c r="F27" s="271"/>
      <c r="G27" s="271"/>
      <c r="H27" s="271"/>
      <c r="I27" s="271"/>
      <c r="J27" s="271"/>
      <c r="K27" s="271"/>
      <c r="L27" s="271"/>
      <c r="M27" s="271"/>
      <c r="N27" s="271"/>
      <c r="O27" s="257"/>
      <c r="P27" s="257"/>
      <c r="Q27" s="257"/>
      <c r="R27" s="258"/>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row>
    <row r="28" spans="2:94" x14ac:dyDescent="0.25">
      <c r="B28" s="68" t="s">
        <v>350</v>
      </c>
      <c r="C28" s="59">
        <v>0.05</v>
      </c>
      <c r="D28" s="62"/>
      <c r="E28" s="270"/>
      <c r="F28" s="271"/>
      <c r="G28" s="271"/>
      <c r="H28" s="271"/>
      <c r="I28" s="271"/>
      <c r="J28" s="271"/>
      <c r="K28" s="271"/>
      <c r="L28" s="271"/>
      <c r="M28" s="271"/>
      <c r="N28" s="271"/>
      <c r="O28" s="257"/>
      <c r="P28" s="257"/>
      <c r="Q28" s="257"/>
      <c r="R28" s="258"/>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row>
    <row r="29" spans="2:94" x14ac:dyDescent="0.25">
      <c r="B29" s="68" t="s">
        <v>351</v>
      </c>
      <c r="C29" s="61">
        <v>0.02</v>
      </c>
      <c r="D29" s="62"/>
      <c r="E29" s="270"/>
      <c r="F29" s="271"/>
      <c r="G29" s="271"/>
      <c r="H29" s="271"/>
      <c r="I29" s="271"/>
      <c r="J29" s="271"/>
      <c r="K29" s="271"/>
      <c r="L29" s="271"/>
      <c r="M29" s="271"/>
      <c r="N29" s="271"/>
      <c r="O29" s="257"/>
      <c r="P29" s="257"/>
      <c r="Q29" s="257"/>
      <c r="R29" s="258"/>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row>
    <row r="30" spans="2:94" x14ac:dyDescent="0.25">
      <c r="B30" s="68" t="s">
        <v>352</v>
      </c>
      <c r="C30" s="59">
        <v>0.8</v>
      </c>
      <c r="D30" s="62"/>
      <c r="E30" s="270"/>
      <c r="F30" s="271"/>
      <c r="G30" s="271"/>
      <c r="H30" s="271"/>
      <c r="I30" s="271"/>
      <c r="J30" s="271"/>
      <c r="K30" s="271"/>
      <c r="L30" s="271"/>
      <c r="M30" s="271"/>
      <c r="N30" s="271"/>
      <c r="O30" s="257"/>
      <c r="P30" s="257"/>
      <c r="Q30" s="257"/>
      <c r="R30" s="258"/>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row>
    <row r="31" spans="2:94" x14ac:dyDescent="0.25">
      <c r="B31" s="68" t="s">
        <v>353</v>
      </c>
      <c r="C31" s="61">
        <v>0.1</v>
      </c>
      <c r="D31" s="62"/>
      <c r="E31" s="270"/>
      <c r="F31" s="271"/>
      <c r="G31" s="271"/>
      <c r="H31" s="271"/>
      <c r="I31" s="271"/>
      <c r="J31" s="271"/>
      <c r="K31" s="271"/>
      <c r="L31" s="271"/>
      <c r="M31" s="271"/>
      <c r="N31" s="271"/>
      <c r="O31" s="257"/>
      <c r="P31" s="257"/>
      <c r="Q31" s="257"/>
      <c r="R31" s="258"/>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row>
    <row r="32" spans="2:94" s="36" customFormat="1" ht="8.25" customHeight="1" x14ac:dyDescent="0.25">
      <c r="B32" s="65"/>
      <c r="C32" s="66"/>
      <c r="D32" s="64"/>
      <c r="E32" s="270"/>
      <c r="F32" s="271"/>
      <c r="G32" s="271"/>
      <c r="H32" s="271"/>
      <c r="I32" s="271"/>
      <c r="J32" s="271"/>
      <c r="K32" s="271"/>
      <c r="L32" s="271"/>
      <c r="M32" s="271"/>
      <c r="N32" s="271"/>
      <c r="O32" s="257"/>
      <c r="P32" s="257"/>
      <c r="Q32" s="257"/>
      <c r="R32" s="258"/>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row>
    <row r="33" spans="2:94" x14ac:dyDescent="0.25">
      <c r="B33" s="68" t="s">
        <v>345</v>
      </c>
      <c r="C33" s="60">
        <v>200</v>
      </c>
      <c r="D33" s="62"/>
      <c r="E33" s="270"/>
      <c r="F33" s="271"/>
      <c r="G33" s="271"/>
      <c r="H33" s="271"/>
      <c r="I33" s="271"/>
      <c r="J33" s="271"/>
      <c r="K33" s="271"/>
      <c r="L33" s="271"/>
      <c r="M33" s="271"/>
      <c r="N33" s="271"/>
      <c r="O33" s="257"/>
      <c r="P33" s="257"/>
      <c r="Q33" s="257"/>
      <c r="R33" s="258"/>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row>
    <row r="34" spans="2:94" x14ac:dyDescent="0.25">
      <c r="B34" s="68" t="s">
        <v>346</v>
      </c>
      <c r="C34" s="60">
        <v>50</v>
      </c>
      <c r="D34" s="62"/>
      <c r="E34" s="270"/>
      <c r="F34" s="271"/>
      <c r="G34" s="271"/>
      <c r="H34" s="271"/>
      <c r="I34" s="271"/>
      <c r="J34" s="271"/>
      <c r="K34" s="271"/>
      <c r="L34" s="271"/>
      <c r="M34" s="271"/>
      <c r="N34" s="271"/>
      <c r="O34" s="257"/>
      <c r="P34" s="257"/>
      <c r="Q34" s="257"/>
      <c r="R34" s="258"/>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row>
    <row r="35" spans="2:94" x14ac:dyDescent="0.25">
      <c r="B35" s="68" t="s">
        <v>202</v>
      </c>
      <c r="C35" s="61">
        <v>0.02</v>
      </c>
      <c r="D35" s="62"/>
      <c r="E35" s="270"/>
      <c r="F35" s="271"/>
      <c r="G35" s="271"/>
      <c r="H35" s="271"/>
      <c r="I35" s="271"/>
      <c r="J35" s="271"/>
      <c r="K35" s="271"/>
      <c r="L35" s="271"/>
      <c r="M35" s="271"/>
      <c r="N35" s="271"/>
      <c r="O35" s="257"/>
      <c r="P35" s="257"/>
      <c r="Q35" s="257"/>
      <c r="R35" s="258"/>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row>
    <row r="36" spans="2:94" s="36" customFormat="1" ht="8.25" customHeight="1" x14ac:dyDescent="0.25">
      <c r="B36" s="65"/>
      <c r="C36" s="66"/>
      <c r="D36" s="64"/>
      <c r="E36" s="270"/>
      <c r="F36" s="271"/>
      <c r="G36" s="271"/>
      <c r="H36" s="271"/>
      <c r="I36" s="271"/>
      <c r="J36" s="271"/>
      <c r="K36" s="271"/>
      <c r="L36" s="271"/>
      <c r="M36" s="271"/>
      <c r="N36" s="271"/>
      <c r="O36" s="257"/>
      <c r="P36" s="257"/>
      <c r="Q36" s="257"/>
      <c r="R36" s="258"/>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row>
    <row r="37" spans="2:94" x14ac:dyDescent="0.25">
      <c r="B37" s="68" t="s">
        <v>179</v>
      </c>
      <c r="C37" s="59">
        <v>1.4999999999999999E-2</v>
      </c>
      <c r="D37" s="62"/>
      <c r="E37" s="270"/>
      <c r="F37" s="271"/>
      <c r="G37" s="271"/>
      <c r="H37" s="271"/>
      <c r="I37" s="271"/>
      <c r="J37" s="271"/>
      <c r="K37" s="271"/>
      <c r="L37" s="271"/>
      <c r="M37" s="271"/>
      <c r="N37" s="271"/>
      <c r="O37" s="257"/>
      <c r="P37" s="257"/>
      <c r="Q37" s="257"/>
      <c r="R37" s="258"/>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row>
    <row r="38" spans="2:94" x14ac:dyDescent="0.25">
      <c r="B38" s="68" t="s">
        <v>178</v>
      </c>
      <c r="C38" s="120" t="s">
        <v>470</v>
      </c>
      <c r="D38" s="62"/>
      <c r="E38" s="270"/>
      <c r="F38" s="271"/>
      <c r="G38" s="271"/>
      <c r="H38" s="271"/>
      <c r="I38" s="271"/>
      <c r="J38" s="271"/>
      <c r="K38" s="271"/>
      <c r="L38" s="271"/>
      <c r="M38" s="271"/>
      <c r="N38" s="271"/>
      <c r="O38" s="257"/>
      <c r="P38" s="257"/>
      <c r="Q38" s="257"/>
      <c r="R38" s="258"/>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row>
    <row r="39" spans="2:94" x14ac:dyDescent="0.25">
      <c r="D39" s="30"/>
      <c r="E39" s="272"/>
      <c r="F39" s="257"/>
      <c r="G39" s="257"/>
      <c r="H39" s="257"/>
      <c r="I39" s="257"/>
      <c r="J39" s="257"/>
      <c r="K39" s="257"/>
      <c r="L39" s="257"/>
      <c r="M39" s="257"/>
      <c r="N39" s="257"/>
      <c r="O39" s="257"/>
      <c r="P39" s="257"/>
      <c r="Q39" s="257"/>
      <c r="R39" s="258"/>
    </row>
    <row r="40" spans="2:94" x14ac:dyDescent="0.25">
      <c r="D40" s="30"/>
      <c r="E40" s="272"/>
      <c r="F40" s="257"/>
      <c r="G40" s="257"/>
      <c r="H40" s="257"/>
      <c r="I40" s="257"/>
      <c r="J40" s="257"/>
      <c r="K40" s="257"/>
      <c r="L40" s="257"/>
      <c r="M40" s="257"/>
      <c r="N40" s="257"/>
      <c r="O40" s="257"/>
      <c r="P40" s="257"/>
      <c r="Q40" s="257"/>
      <c r="R40" s="258"/>
    </row>
    <row r="41" spans="2:94" ht="28.5" customHeight="1" x14ac:dyDescent="0.3">
      <c r="B41" s="23" t="s">
        <v>383</v>
      </c>
      <c r="E41" s="273"/>
      <c r="F41" s="261"/>
      <c r="G41" s="261"/>
      <c r="H41" s="261"/>
      <c r="I41" s="261"/>
      <c r="J41" s="261"/>
      <c r="K41" s="261"/>
      <c r="L41" s="261"/>
      <c r="M41" s="261"/>
      <c r="N41" s="261"/>
      <c r="O41" s="261"/>
      <c r="P41" s="261"/>
      <c r="Q41" s="261"/>
      <c r="R41" s="262"/>
    </row>
    <row r="42" spans="2:94" ht="10.5" customHeight="1" x14ac:dyDescent="0.3">
      <c r="B42" s="23"/>
      <c r="J42" s="51"/>
      <c r="K42" s="9"/>
      <c r="L42" s="14"/>
    </row>
    <row r="43" spans="2:94" ht="15.75" x14ac:dyDescent="0.25">
      <c r="B43" s="72" t="s">
        <v>390</v>
      </c>
      <c r="C43" s="67">
        <v>0.95</v>
      </c>
      <c r="E43" s="184" t="s">
        <v>386</v>
      </c>
      <c r="F43" s="179"/>
      <c r="G43" s="179"/>
      <c r="H43" s="179"/>
      <c r="I43" s="179"/>
      <c r="J43" s="181"/>
      <c r="K43" s="182"/>
      <c r="L43" s="183"/>
      <c r="M43" s="179"/>
      <c r="N43" s="179"/>
      <c r="O43" s="179"/>
      <c r="P43" s="179"/>
      <c r="Q43" s="179"/>
      <c r="R43" s="180"/>
    </row>
    <row r="44" spans="2:94" x14ac:dyDescent="0.25">
      <c r="B44" s="72" t="s">
        <v>396</v>
      </c>
      <c r="C44" s="145">
        <v>20</v>
      </c>
      <c r="E44" s="276" t="s">
        <v>474</v>
      </c>
      <c r="F44" s="277"/>
      <c r="G44" s="277"/>
      <c r="H44" s="277"/>
      <c r="I44" s="277"/>
      <c r="J44" s="277"/>
      <c r="K44" s="277"/>
      <c r="L44" s="277"/>
      <c r="M44" s="277"/>
      <c r="N44" s="277"/>
      <c r="O44" s="278"/>
      <c r="P44" s="278"/>
      <c r="Q44" s="278"/>
      <c r="R44" s="279"/>
    </row>
    <row r="45" spans="2:94" x14ac:dyDescent="0.25">
      <c r="B45" s="72" t="s">
        <v>50</v>
      </c>
      <c r="C45" s="67">
        <v>-0.1</v>
      </c>
      <c r="E45" s="276"/>
      <c r="F45" s="277"/>
      <c r="G45" s="277"/>
      <c r="H45" s="277"/>
      <c r="I45" s="277"/>
      <c r="J45" s="277"/>
      <c r="K45" s="277"/>
      <c r="L45" s="277"/>
      <c r="M45" s="277"/>
      <c r="N45" s="277"/>
      <c r="O45" s="278"/>
      <c r="P45" s="278"/>
      <c r="Q45" s="278"/>
      <c r="R45" s="279"/>
    </row>
    <row r="46" spans="2:94" x14ac:dyDescent="0.25">
      <c r="B46" s="72" t="s">
        <v>397</v>
      </c>
      <c r="C46" s="59">
        <v>0.02</v>
      </c>
      <c r="E46" s="276"/>
      <c r="F46" s="277"/>
      <c r="G46" s="277"/>
      <c r="H46" s="277"/>
      <c r="I46" s="277"/>
      <c r="J46" s="277"/>
      <c r="K46" s="277"/>
      <c r="L46" s="277"/>
      <c r="M46" s="277"/>
      <c r="N46" s="277"/>
      <c r="O46" s="278"/>
      <c r="P46" s="278"/>
      <c r="Q46" s="278"/>
      <c r="R46" s="279"/>
    </row>
    <row r="47" spans="2:94" x14ac:dyDescent="0.25">
      <c r="B47" s="72" t="s">
        <v>398</v>
      </c>
      <c r="C47" s="59">
        <v>2.5000000000000001E-3</v>
      </c>
      <c r="E47" s="276"/>
      <c r="F47" s="277"/>
      <c r="G47" s="277"/>
      <c r="H47" s="277"/>
      <c r="I47" s="277"/>
      <c r="J47" s="277"/>
      <c r="K47" s="277"/>
      <c r="L47" s="277"/>
      <c r="M47" s="277"/>
      <c r="N47" s="277"/>
      <c r="O47" s="278"/>
      <c r="P47" s="278"/>
      <c r="Q47" s="278"/>
      <c r="R47" s="279"/>
    </row>
    <row r="48" spans="2:94" x14ac:dyDescent="0.25">
      <c r="B48" s="72" t="s">
        <v>399</v>
      </c>
      <c r="C48" s="59">
        <v>-4.4999999999999997E-3</v>
      </c>
      <c r="E48" s="276"/>
      <c r="F48" s="277"/>
      <c r="G48" s="277"/>
      <c r="H48" s="277"/>
      <c r="I48" s="277"/>
      <c r="J48" s="277"/>
      <c r="K48" s="277"/>
      <c r="L48" s="277"/>
      <c r="M48" s="277"/>
      <c r="N48" s="277"/>
      <c r="O48" s="278"/>
      <c r="P48" s="278"/>
      <c r="Q48" s="278"/>
      <c r="R48" s="279"/>
    </row>
    <row r="49" spans="1:18" ht="35.25" customHeight="1" x14ac:dyDescent="0.25">
      <c r="C49" s="222"/>
      <c r="E49" s="280"/>
      <c r="F49" s="281"/>
      <c r="G49" s="281"/>
      <c r="H49" s="281"/>
      <c r="I49" s="281"/>
      <c r="J49" s="281"/>
      <c r="K49" s="281"/>
      <c r="L49" s="281"/>
      <c r="M49" s="281"/>
      <c r="N49" s="281"/>
      <c r="O49" s="281"/>
      <c r="P49" s="281"/>
      <c r="Q49" s="281"/>
      <c r="R49" s="282"/>
    </row>
    <row r="51" spans="1:18" ht="18.75" x14ac:dyDescent="0.3">
      <c r="B51" s="23" t="s">
        <v>384</v>
      </c>
      <c r="E51" s="184" t="s">
        <v>385</v>
      </c>
      <c r="F51" s="179"/>
      <c r="G51" s="179"/>
      <c r="H51" s="179"/>
      <c r="I51" s="179"/>
      <c r="J51" s="179"/>
      <c r="K51" s="179"/>
      <c r="L51" s="179"/>
      <c r="M51" s="179"/>
      <c r="N51" s="179"/>
      <c r="O51" s="179"/>
      <c r="P51" s="179"/>
      <c r="Q51" s="179"/>
      <c r="R51" s="180"/>
    </row>
    <row r="52" spans="1:18" ht="10.5" customHeight="1" x14ac:dyDescent="0.3">
      <c r="B52" s="23"/>
      <c r="E52" s="274" t="s">
        <v>515</v>
      </c>
      <c r="F52" s="271"/>
      <c r="G52" s="271"/>
      <c r="H52" s="271"/>
      <c r="I52" s="271"/>
      <c r="J52" s="271"/>
      <c r="K52" s="271"/>
      <c r="L52" s="271"/>
      <c r="M52" s="271"/>
      <c r="N52" s="271"/>
      <c r="O52" s="271"/>
      <c r="P52" s="271"/>
      <c r="Q52" s="271"/>
      <c r="R52" s="275"/>
    </row>
    <row r="53" spans="1:18" ht="15" customHeight="1" x14ac:dyDescent="0.25">
      <c r="B53" s="72" t="s">
        <v>473</v>
      </c>
      <c r="C53" s="194" t="s">
        <v>387</v>
      </c>
      <c r="E53" s="270"/>
      <c r="F53" s="271"/>
      <c r="G53" s="271"/>
      <c r="H53" s="271"/>
      <c r="I53" s="271"/>
      <c r="J53" s="271"/>
      <c r="K53" s="271"/>
      <c r="L53" s="271"/>
      <c r="M53" s="271"/>
      <c r="N53" s="271"/>
      <c r="O53" s="271"/>
      <c r="P53" s="271"/>
      <c r="Q53" s="271"/>
      <c r="R53" s="275"/>
    </row>
    <row r="54" spans="1:18" ht="15" customHeight="1" x14ac:dyDescent="0.25">
      <c r="B54" s="72" t="s">
        <v>389</v>
      </c>
      <c r="C54" s="195">
        <v>0.06</v>
      </c>
      <c r="E54" s="270"/>
      <c r="F54" s="271"/>
      <c r="G54" s="271"/>
      <c r="H54" s="271"/>
      <c r="I54" s="271"/>
      <c r="J54" s="271"/>
      <c r="K54" s="271"/>
      <c r="L54" s="271"/>
      <c r="M54" s="271"/>
      <c r="N54" s="271"/>
      <c r="O54" s="271"/>
      <c r="P54" s="271"/>
      <c r="Q54" s="271"/>
      <c r="R54" s="275"/>
    </row>
    <row r="55" spans="1:18" ht="15" customHeight="1" x14ac:dyDescent="0.25">
      <c r="B55" s="72" t="s">
        <v>388</v>
      </c>
      <c r="C55" s="195">
        <v>0.8</v>
      </c>
      <c r="E55" s="270"/>
      <c r="F55" s="271"/>
      <c r="G55" s="271"/>
      <c r="H55" s="271"/>
      <c r="I55" s="271"/>
      <c r="J55" s="271"/>
      <c r="K55" s="271"/>
      <c r="L55" s="271"/>
      <c r="M55" s="271"/>
      <c r="N55" s="271"/>
      <c r="O55" s="271"/>
      <c r="P55" s="271"/>
      <c r="Q55" s="271"/>
      <c r="R55" s="275"/>
    </row>
    <row r="56" spans="1:18" ht="15" customHeight="1" x14ac:dyDescent="0.25">
      <c r="B56" s="72" t="s">
        <v>400</v>
      </c>
      <c r="C56" s="195">
        <v>0.1</v>
      </c>
      <c r="E56" s="270"/>
      <c r="F56" s="271"/>
      <c r="G56" s="271"/>
      <c r="H56" s="271"/>
      <c r="I56" s="271"/>
      <c r="J56" s="271"/>
      <c r="K56" s="271"/>
      <c r="L56" s="271"/>
      <c r="M56" s="271"/>
      <c r="N56" s="271"/>
      <c r="O56" s="271"/>
      <c r="P56" s="271"/>
      <c r="Q56" s="271"/>
      <c r="R56" s="275"/>
    </row>
    <row r="57" spans="1:18" ht="15" customHeight="1" x14ac:dyDescent="0.25">
      <c r="B57" s="72" t="s">
        <v>392</v>
      </c>
      <c r="C57" s="196">
        <v>4.4999999999999998E-2</v>
      </c>
      <c r="E57" s="270"/>
      <c r="F57" s="271"/>
      <c r="G57" s="271"/>
      <c r="H57" s="271"/>
      <c r="I57" s="271"/>
      <c r="J57" s="271"/>
      <c r="K57" s="271"/>
      <c r="L57" s="271"/>
      <c r="M57" s="271"/>
      <c r="N57" s="271"/>
      <c r="O57" s="271"/>
      <c r="P57" s="271"/>
      <c r="Q57" s="271"/>
      <c r="R57" s="275"/>
    </row>
    <row r="58" spans="1:18" ht="15" customHeight="1" x14ac:dyDescent="0.25">
      <c r="B58" s="72" t="s">
        <v>393</v>
      </c>
      <c r="C58" s="197">
        <v>2.5</v>
      </c>
      <c r="E58" s="270"/>
      <c r="F58" s="271"/>
      <c r="G58" s="271"/>
      <c r="H58" s="271"/>
      <c r="I58" s="271"/>
      <c r="J58" s="271"/>
      <c r="K58" s="271"/>
      <c r="L58" s="271"/>
      <c r="M58" s="271"/>
      <c r="N58" s="271"/>
      <c r="O58" s="271"/>
      <c r="P58" s="271"/>
      <c r="Q58" s="271"/>
      <c r="R58" s="275"/>
    </row>
    <row r="59" spans="1:18" ht="15" customHeight="1" x14ac:dyDescent="0.25">
      <c r="B59" s="72" t="s">
        <v>391</v>
      </c>
      <c r="C59" s="166">
        <v>1</v>
      </c>
      <c r="E59" s="270"/>
      <c r="F59" s="271"/>
      <c r="G59" s="271"/>
      <c r="H59" s="271"/>
      <c r="I59" s="271"/>
      <c r="J59" s="271"/>
      <c r="K59" s="271"/>
      <c r="L59" s="271"/>
      <c r="M59" s="271"/>
      <c r="N59" s="271"/>
      <c r="O59" s="271"/>
      <c r="P59" s="271"/>
      <c r="Q59" s="271"/>
      <c r="R59" s="275"/>
    </row>
    <row r="60" spans="1:18" ht="15" customHeight="1" x14ac:dyDescent="0.25">
      <c r="B60" s="72" t="s">
        <v>394</v>
      </c>
      <c r="C60" s="166">
        <v>0.1</v>
      </c>
      <c r="E60" s="270"/>
      <c r="F60" s="271"/>
      <c r="G60" s="271"/>
      <c r="H60" s="271"/>
      <c r="I60" s="271"/>
      <c r="J60" s="271"/>
      <c r="K60" s="271"/>
      <c r="L60" s="271"/>
      <c r="M60" s="271"/>
      <c r="N60" s="271"/>
      <c r="O60" s="271"/>
      <c r="P60" s="271"/>
      <c r="Q60" s="271"/>
      <c r="R60" s="275"/>
    </row>
    <row r="61" spans="1:18" ht="15" customHeight="1" x14ac:dyDescent="0.25">
      <c r="B61" s="72" t="s">
        <v>395</v>
      </c>
      <c r="C61" s="166">
        <v>1.35</v>
      </c>
      <c r="E61" s="270"/>
      <c r="F61" s="271"/>
      <c r="G61" s="271"/>
      <c r="H61" s="271"/>
      <c r="I61" s="271"/>
      <c r="J61" s="271"/>
      <c r="K61" s="271"/>
      <c r="L61" s="271"/>
      <c r="M61" s="271"/>
      <c r="N61" s="271"/>
      <c r="O61" s="271"/>
      <c r="P61" s="271"/>
      <c r="Q61" s="271"/>
      <c r="R61" s="275"/>
    </row>
    <row r="62" spans="1:18" ht="21.75" customHeight="1" x14ac:dyDescent="0.25">
      <c r="E62" s="273"/>
      <c r="F62" s="261"/>
      <c r="G62" s="261"/>
      <c r="H62" s="261"/>
      <c r="I62" s="261"/>
      <c r="J62" s="261"/>
      <c r="K62" s="261"/>
      <c r="L62" s="261"/>
      <c r="M62" s="261"/>
      <c r="N62" s="261"/>
      <c r="O62" s="261"/>
      <c r="P62" s="261"/>
      <c r="Q62" s="261"/>
      <c r="R62" s="262"/>
    </row>
    <row r="63" spans="1:18" ht="18.75" x14ac:dyDescent="0.3">
      <c r="B63" s="23" t="s">
        <v>182</v>
      </c>
      <c r="J63" s="51"/>
      <c r="K63" s="9"/>
      <c r="L63" s="14"/>
    </row>
    <row r="64" spans="1:18" s="2" customFormat="1" ht="10.5" customHeight="1" x14ac:dyDescent="0.25">
      <c r="A64" s="119" t="s">
        <v>470</v>
      </c>
      <c r="B64" s="32"/>
      <c r="C64" s="33"/>
      <c r="D64" s="33"/>
      <c r="E64" s="33"/>
      <c r="F64" s="33"/>
      <c r="G64" s="33"/>
      <c r="H64" s="33"/>
      <c r="I64" s="33"/>
      <c r="L64" s="33"/>
      <c r="M64" s="33"/>
      <c r="N64" s="33"/>
      <c r="O64" s="33"/>
      <c r="P64" s="33"/>
      <c r="Q64" s="33"/>
    </row>
    <row r="65" spans="1:122" s="2" customFormat="1" x14ac:dyDescent="0.25">
      <c r="A65" s="119" t="s">
        <v>183</v>
      </c>
      <c r="B65" s="69" t="s">
        <v>59</v>
      </c>
      <c r="C65" s="118">
        <v>1</v>
      </c>
      <c r="D65" s="118">
        <f t="shared" ref="D65" si="14">C65+1</f>
        <v>2</v>
      </c>
      <c r="E65" s="118">
        <f t="shared" ref="E65" si="15">D65+1</f>
        <v>3</v>
      </c>
      <c r="F65" s="118">
        <f t="shared" ref="F65" si="16">E65+1</f>
        <v>4</v>
      </c>
      <c r="G65" s="118">
        <f t="shared" ref="G65" si="17">F65+1</f>
        <v>5</v>
      </c>
      <c r="H65" s="118">
        <f t="shared" ref="H65" si="18">G65+1</f>
        <v>6</v>
      </c>
      <c r="I65" s="118">
        <f t="shared" ref="I65" si="19">H65+1</f>
        <v>7</v>
      </c>
      <c r="J65" s="118">
        <f t="shared" ref="J65" si="20">I65+1</f>
        <v>8</v>
      </c>
      <c r="K65" s="118">
        <f t="shared" ref="K65" si="21">J65+1</f>
        <v>9</v>
      </c>
      <c r="L65" s="118">
        <f t="shared" ref="L65" si="22">K65+1</f>
        <v>10</v>
      </c>
      <c r="M65" s="118">
        <f t="shared" ref="M65" si="23">L65+1</f>
        <v>11</v>
      </c>
      <c r="N65" s="118">
        <f t="shared" ref="N65" si="24">M65+1</f>
        <v>12</v>
      </c>
      <c r="O65" s="118">
        <f t="shared" ref="O65" si="25">N65+1</f>
        <v>13</v>
      </c>
      <c r="P65" s="118">
        <f t="shared" ref="P65" si="26">O65+1</f>
        <v>14</v>
      </c>
      <c r="Q65" s="118">
        <f t="shared" ref="Q65" si="27">P65+1</f>
        <v>15</v>
      </c>
      <c r="R65" s="118">
        <f t="shared" ref="R65" si="28">Q65+1</f>
        <v>16</v>
      </c>
      <c r="S65" s="118">
        <f t="shared" ref="S65" si="29">R65+1</f>
        <v>17</v>
      </c>
      <c r="T65" s="118">
        <f t="shared" ref="T65" si="30">S65+1</f>
        <v>18</v>
      </c>
      <c r="U65" s="118">
        <f t="shared" ref="U65" si="31">T65+1</f>
        <v>19</v>
      </c>
      <c r="V65" s="118">
        <f t="shared" ref="V65" si="32">U65+1</f>
        <v>20</v>
      </c>
      <c r="W65" s="118">
        <f t="shared" ref="W65" si="33">V65+1</f>
        <v>21</v>
      </c>
      <c r="X65" s="118">
        <f t="shared" ref="X65" si="34">W65+1</f>
        <v>22</v>
      </c>
      <c r="Y65" s="118">
        <f t="shared" ref="Y65" si="35">X65+1</f>
        <v>23</v>
      </c>
      <c r="Z65" s="118">
        <f t="shared" ref="Z65" si="36">Y65+1</f>
        <v>24</v>
      </c>
      <c r="AA65" s="118">
        <f t="shared" ref="AA65" si="37">Z65+1</f>
        <v>25</v>
      </c>
      <c r="AB65" s="118">
        <f t="shared" ref="AB65" si="38">AA65+1</f>
        <v>26</v>
      </c>
      <c r="AC65" s="118">
        <f t="shared" ref="AC65" si="39">AB65+1</f>
        <v>27</v>
      </c>
      <c r="AD65" s="118">
        <f t="shared" ref="AD65" si="40">AC65+1</f>
        <v>28</v>
      </c>
      <c r="AE65" s="118">
        <f t="shared" ref="AE65" si="41">AD65+1</f>
        <v>29</v>
      </c>
      <c r="AF65" s="118">
        <f t="shared" ref="AF65" si="42">AE65+1</f>
        <v>30</v>
      </c>
      <c r="AG65" s="118">
        <f t="shared" ref="AG65" si="43">AF65+1</f>
        <v>31</v>
      </c>
      <c r="AH65" s="118">
        <f t="shared" ref="AH65" si="44">AG65+1</f>
        <v>32</v>
      </c>
      <c r="AI65" s="118">
        <f t="shared" ref="AI65" si="45">AH65+1</f>
        <v>33</v>
      </c>
      <c r="AJ65" s="118">
        <f t="shared" ref="AJ65" si="46">AI65+1</f>
        <v>34</v>
      </c>
      <c r="AK65" s="118">
        <f t="shared" ref="AK65" si="47">AJ65+1</f>
        <v>35</v>
      </c>
      <c r="AL65" s="118">
        <f t="shared" ref="AL65" si="48">AK65+1</f>
        <v>36</v>
      </c>
      <c r="AM65" s="118">
        <f t="shared" ref="AM65" si="49">AL65+1</f>
        <v>37</v>
      </c>
      <c r="AN65" s="118">
        <f t="shared" ref="AN65" si="50">AM65+1</f>
        <v>38</v>
      </c>
      <c r="AO65" s="118">
        <f t="shared" ref="AO65" si="51">AN65+1</f>
        <v>39</v>
      </c>
      <c r="AP65" s="118">
        <f t="shared" ref="AP65" si="52">AO65+1</f>
        <v>40</v>
      </c>
      <c r="AQ65" s="118">
        <f t="shared" ref="AQ65" si="53">AP65+1</f>
        <v>41</v>
      </c>
      <c r="AR65" s="118">
        <f t="shared" ref="AR65" si="54">AQ65+1</f>
        <v>42</v>
      </c>
      <c r="AS65" s="118">
        <f t="shared" ref="AS65" si="55">AR65+1</f>
        <v>43</v>
      </c>
      <c r="AT65" s="118">
        <f t="shared" ref="AT65" si="56">AS65+1</f>
        <v>44</v>
      </c>
      <c r="AU65" s="118">
        <f t="shared" ref="AU65" si="57">AT65+1</f>
        <v>45</v>
      </c>
      <c r="AV65" s="118">
        <f t="shared" ref="AV65" si="58">AU65+1</f>
        <v>46</v>
      </c>
      <c r="AW65" s="118">
        <f t="shared" ref="AW65" si="59">AV65+1</f>
        <v>47</v>
      </c>
      <c r="AX65" s="118">
        <f t="shared" ref="AX65" si="60">AW65+1</f>
        <v>48</v>
      </c>
      <c r="AY65" s="118">
        <f t="shared" ref="AY65" si="61">AX65+1</f>
        <v>49</v>
      </c>
      <c r="AZ65" s="118">
        <f t="shared" ref="AZ65" si="62">AY65+1</f>
        <v>50</v>
      </c>
      <c r="BA65" s="118">
        <f t="shared" ref="BA65" si="63">AZ65+1</f>
        <v>51</v>
      </c>
      <c r="BB65" s="118">
        <f t="shared" ref="BB65" si="64">BA65+1</f>
        <v>52</v>
      </c>
      <c r="BC65" s="118">
        <f t="shared" ref="BC65" si="65">BB65+1</f>
        <v>53</v>
      </c>
      <c r="BD65" s="118">
        <f t="shared" ref="BD65" si="66">BC65+1</f>
        <v>54</v>
      </c>
      <c r="BE65" s="118">
        <f t="shared" ref="BE65" si="67">BD65+1</f>
        <v>55</v>
      </c>
      <c r="BF65" s="118">
        <f t="shared" ref="BF65" si="68">BE65+1</f>
        <v>56</v>
      </c>
      <c r="BG65" s="118">
        <f t="shared" ref="BG65" si="69">BF65+1</f>
        <v>57</v>
      </c>
      <c r="BH65" s="118">
        <f t="shared" ref="BH65" si="70">BG65+1</f>
        <v>58</v>
      </c>
      <c r="BI65" s="118">
        <f t="shared" ref="BI65" si="71">BH65+1</f>
        <v>59</v>
      </c>
      <c r="BJ65" s="118">
        <f t="shared" ref="BJ65" si="72">BI65+1</f>
        <v>60</v>
      </c>
      <c r="BK65" s="118">
        <f t="shared" ref="BK65" si="73">BJ65+1</f>
        <v>61</v>
      </c>
      <c r="BL65" s="118">
        <f t="shared" ref="BL65" si="74">BK65+1</f>
        <v>62</v>
      </c>
      <c r="BM65" s="118">
        <f t="shared" ref="BM65" si="75">BL65+1</f>
        <v>63</v>
      </c>
      <c r="BN65" s="118">
        <f t="shared" ref="BN65" si="76">BM65+1</f>
        <v>64</v>
      </c>
      <c r="BO65" s="118">
        <f t="shared" ref="BO65" si="77">BN65+1</f>
        <v>65</v>
      </c>
      <c r="BP65" s="118">
        <f t="shared" ref="BP65" si="78">BO65+1</f>
        <v>66</v>
      </c>
      <c r="BQ65" s="118">
        <f t="shared" ref="BQ65" si="79">BP65+1</f>
        <v>67</v>
      </c>
      <c r="BR65" s="118">
        <f t="shared" ref="BR65" si="80">BQ65+1</f>
        <v>68</v>
      </c>
      <c r="BS65" s="118">
        <f t="shared" ref="BS65" si="81">BR65+1</f>
        <v>69</v>
      </c>
      <c r="BT65" s="118">
        <f t="shared" ref="BT65" si="82">BS65+1</f>
        <v>70</v>
      </c>
      <c r="BU65" s="118">
        <f t="shared" ref="BU65" si="83">BT65+1</f>
        <v>71</v>
      </c>
      <c r="BV65" s="118">
        <f t="shared" ref="BV65" si="84">BU65+1</f>
        <v>72</v>
      </c>
      <c r="BW65" s="118">
        <f t="shared" ref="BW65" si="85">BV65+1</f>
        <v>73</v>
      </c>
      <c r="BX65" s="118">
        <f t="shared" ref="BX65" si="86">BW65+1</f>
        <v>74</v>
      </c>
      <c r="BY65" s="118">
        <f t="shared" ref="BY65" si="87">BX65+1</f>
        <v>75</v>
      </c>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row>
    <row r="66" spans="1:122" x14ac:dyDescent="0.25">
      <c r="A66">
        <v>1</v>
      </c>
      <c r="B66" s="72" t="s">
        <v>184</v>
      </c>
      <c r="C66" s="122">
        <v>2.9399999999999999E-2</v>
      </c>
      <c r="D66" s="122">
        <v>3.5229999999999997E-2</v>
      </c>
      <c r="E66" s="122">
        <v>3.8150000000000003E-2</v>
      </c>
      <c r="F66" s="122">
        <v>4.0480000000000002E-2</v>
      </c>
      <c r="G66" s="122">
        <v>4.2419999999999999E-2</v>
      </c>
      <c r="H66" s="122">
        <v>4.4040000000000003E-2</v>
      </c>
      <c r="I66" s="122">
        <v>4.5379999999999997E-2</v>
      </c>
      <c r="J66" s="122">
        <v>4.6489999999999997E-2</v>
      </c>
      <c r="K66" s="122">
        <v>4.7390000000000002E-2</v>
      </c>
      <c r="L66" s="122">
        <v>4.811E-2</v>
      </c>
      <c r="M66" s="122">
        <v>4.8660000000000002E-2</v>
      </c>
      <c r="N66" s="122">
        <v>4.9070000000000003E-2</v>
      </c>
      <c r="O66" s="122">
        <v>4.9369999999999997E-2</v>
      </c>
      <c r="P66" s="122">
        <v>4.9549999999999997E-2</v>
      </c>
      <c r="Q66" s="122">
        <v>4.965E-2</v>
      </c>
      <c r="R66" s="122">
        <v>4.9680000000000002E-2</v>
      </c>
      <c r="S66" s="122">
        <v>4.9639999999999997E-2</v>
      </c>
      <c r="T66" s="122">
        <v>4.9549999999999997E-2</v>
      </c>
      <c r="U66" s="122">
        <v>4.9410000000000003E-2</v>
      </c>
      <c r="V66" s="122">
        <v>4.9239999999999999E-2</v>
      </c>
      <c r="W66" s="122">
        <v>4.904E-2</v>
      </c>
      <c r="X66" s="122">
        <v>4.8820000000000002E-2</v>
      </c>
      <c r="Y66" s="122">
        <v>4.8579999999999998E-2</v>
      </c>
      <c r="Z66" s="122">
        <v>4.8329999999999998E-2</v>
      </c>
      <c r="AA66" s="122">
        <v>4.8059999999999999E-2</v>
      </c>
      <c r="AB66" s="122">
        <v>4.7789999999999999E-2</v>
      </c>
      <c r="AC66" s="122">
        <v>4.7509999999999997E-2</v>
      </c>
      <c r="AD66" s="122">
        <v>4.7230000000000001E-2</v>
      </c>
      <c r="AE66" s="122">
        <v>4.6949999999999999E-2</v>
      </c>
      <c r="AF66" s="122">
        <v>4.6679999999999999E-2</v>
      </c>
      <c r="AG66" s="122">
        <v>4.6399999999999997E-2</v>
      </c>
      <c r="AH66" s="122">
        <v>4.6129999999999997E-2</v>
      </c>
      <c r="AI66" s="122">
        <v>4.5870000000000001E-2</v>
      </c>
      <c r="AJ66" s="122">
        <v>4.5600000000000002E-2</v>
      </c>
      <c r="AK66" s="122">
        <v>4.5350000000000001E-2</v>
      </c>
      <c r="AL66" s="122">
        <v>4.5100000000000001E-2</v>
      </c>
      <c r="AM66" s="122">
        <v>4.4859999999999997E-2</v>
      </c>
      <c r="AN66" s="122">
        <v>4.462E-2</v>
      </c>
      <c r="AO66" s="122">
        <v>4.4389999999999999E-2</v>
      </c>
      <c r="AP66" s="122">
        <v>4.4170000000000001E-2</v>
      </c>
      <c r="AQ66" s="122">
        <v>4.3950000000000003E-2</v>
      </c>
      <c r="AR66" s="122">
        <v>4.3740000000000001E-2</v>
      </c>
      <c r="AS66" s="122">
        <v>4.3540000000000002E-2</v>
      </c>
      <c r="AT66" s="122">
        <v>4.3339999999999997E-2</v>
      </c>
      <c r="AU66" s="122">
        <v>4.3150000000000001E-2</v>
      </c>
      <c r="AV66" s="122">
        <v>4.2970000000000001E-2</v>
      </c>
      <c r="AW66" s="122">
        <v>4.2790000000000002E-2</v>
      </c>
      <c r="AX66" s="122">
        <v>4.2619999999999998E-2</v>
      </c>
      <c r="AY66" s="122">
        <v>4.2459999999999998E-2</v>
      </c>
      <c r="AZ66" s="122">
        <v>4.2299999999999997E-2</v>
      </c>
      <c r="BA66" s="122">
        <v>4.215E-2</v>
      </c>
      <c r="BB66" s="122">
        <v>4.2000000000000003E-2</v>
      </c>
      <c r="BC66" s="122">
        <v>4.1849999999999998E-2</v>
      </c>
      <c r="BD66" s="122">
        <v>4.172E-2</v>
      </c>
      <c r="BE66" s="122">
        <v>4.1579999999999999E-2</v>
      </c>
      <c r="BF66" s="122">
        <v>4.1450000000000001E-2</v>
      </c>
      <c r="BG66" s="122">
        <v>4.1329999999999999E-2</v>
      </c>
      <c r="BH66" s="122">
        <v>4.1209999999999997E-2</v>
      </c>
      <c r="BI66" s="122">
        <v>4.1090000000000002E-2</v>
      </c>
      <c r="BJ66" s="122">
        <v>4.0980000000000003E-2</v>
      </c>
      <c r="BK66" s="122">
        <v>4.0869999999999997E-2</v>
      </c>
      <c r="BL66" s="122">
        <v>4.0770000000000001E-2</v>
      </c>
      <c r="BM66" s="122">
        <v>4.0669999999999998E-2</v>
      </c>
      <c r="BN66" s="122">
        <v>4.0570000000000002E-2</v>
      </c>
      <c r="BO66" s="122">
        <v>4.0480000000000002E-2</v>
      </c>
      <c r="BP66" s="122">
        <v>4.0390000000000002E-2</v>
      </c>
      <c r="BQ66" s="122">
        <v>4.0300000000000002E-2</v>
      </c>
      <c r="BR66" s="122">
        <v>4.0210000000000003E-2</v>
      </c>
      <c r="BS66" s="122">
        <v>4.0129999999999999E-2</v>
      </c>
      <c r="BT66" s="122">
        <v>4.0050000000000002E-2</v>
      </c>
      <c r="BU66" s="122">
        <v>4.0050000000000002E-2</v>
      </c>
      <c r="BV66" s="122">
        <v>4.0050000000000002E-2</v>
      </c>
      <c r="BW66" s="122">
        <v>4.0050000000000002E-2</v>
      </c>
      <c r="BX66" s="122">
        <v>4.0050000000000002E-2</v>
      </c>
      <c r="BY66" s="122">
        <v>4.0050000000000002E-2</v>
      </c>
    </row>
    <row r="67" spans="1:122" x14ac:dyDescent="0.25">
      <c r="A67">
        <f>A66+1</f>
        <v>2</v>
      </c>
      <c r="B67" s="72" t="s">
        <v>185</v>
      </c>
      <c r="C67" s="122">
        <v>2.9399999999999999E-2</v>
      </c>
      <c r="D67" s="122">
        <v>3.5229999999999997E-2</v>
      </c>
      <c r="E67" s="122">
        <v>3.8150000000000003E-2</v>
      </c>
      <c r="F67" s="122">
        <v>4.0480000000000002E-2</v>
      </c>
      <c r="G67" s="122">
        <v>4.2419999999999999E-2</v>
      </c>
      <c r="H67" s="122">
        <v>4.4040000000000003E-2</v>
      </c>
      <c r="I67" s="122">
        <v>4.5379999999999997E-2</v>
      </c>
      <c r="J67" s="122">
        <v>4.6489999999999997E-2</v>
      </c>
      <c r="K67" s="122">
        <v>4.7390000000000002E-2</v>
      </c>
      <c r="L67" s="122">
        <v>4.811E-2</v>
      </c>
      <c r="M67" s="122">
        <v>4.8660000000000002E-2</v>
      </c>
      <c r="N67" s="122">
        <v>4.9070000000000003E-2</v>
      </c>
      <c r="O67" s="122">
        <v>4.9369999999999997E-2</v>
      </c>
      <c r="P67" s="122">
        <v>4.9549999999999997E-2</v>
      </c>
      <c r="Q67" s="122">
        <v>4.965E-2</v>
      </c>
      <c r="R67" s="122">
        <v>4.9680000000000002E-2</v>
      </c>
      <c r="S67" s="122">
        <v>4.9639999999999997E-2</v>
      </c>
      <c r="T67" s="122">
        <v>4.9549999999999997E-2</v>
      </c>
      <c r="U67" s="122">
        <v>4.9410000000000003E-2</v>
      </c>
      <c r="V67" s="122">
        <v>4.9239999999999999E-2</v>
      </c>
      <c r="W67" s="122">
        <v>4.904E-2</v>
      </c>
      <c r="X67" s="122">
        <v>4.8820000000000002E-2</v>
      </c>
      <c r="Y67" s="122">
        <v>4.8579999999999998E-2</v>
      </c>
      <c r="Z67" s="122">
        <v>4.8329999999999998E-2</v>
      </c>
      <c r="AA67" s="122">
        <v>4.8059999999999999E-2</v>
      </c>
      <c r="AB67" s="122">
        <v>4.7789999999999999E-2</v>
      </c>
      <c r="AC67" s="122">
        <v>4.7509999999999997E-2</v>
      </c>
      <c r="AD67" s="122">
        <v>4.7230000000000001E-2</v>
      </c>
      <c r="AE67" s="122">
        <v>4.6949999999999999E-2</v>
      </c>
      <c r="AF67" s="122">
        <v>4.6679999999999999E-2</v>
      </c>
      <c r="AG67" s="122">
        <v>4.6399999999999997E-2</v>
      </c>
      <c r="AH67" s="122">
        <v>4.6129999999999997E-2</v>
      </c>
      <c r="AI67" s="122">
        <v>4.5870000000000001E-2</v>
      </c>
      <c r="AJ67" s="122">
        <v>4.5600000000000002E-2</v>
      </c>
      <c r="AK67" s="122">
        <v>4.5350000000000001E-2</v>
      </c>
      <c r="AL67" s="122">
        <v>4.5100000000000001E-2</v>
      </c>
      <c r="AM67" s="122">
        <v>4.4859999999999997E-2</v>
      </c>
      <c r="AN67" s="122">
        <v>4.462E-2</v>
      </c>
      <c r="AO67" s="122">
        <v>4.4389999999999999E-2</v>
      </c>
      <c r="AP67" s="122">
        <v>4.4170000000000001E-2</v>
      </c>
      <c r="AQ67" s="122">
        <v>4.3950000000000003E-2</v>
      </c>
      <c r="AR67" s="122">
        <v>4.3740000000000001E-2</v>
      </c>
      <c r="AS67" s="122">
        <v>4.3540000000000002E-2</v>
      </c>
      <c r="AT67" s="122">
        <v>4.3339999999999997E-2</v>
      </c>
      <c r="AU67" s="122">
        <v>4.3150000000000001E-2</v>
      </c>
      <c r="AV67" s="122">
        <v>4.2970000000000001E-2</v>
      </c>
      <c r="AW67" s="122">
        <v>4.2790000000000002E-2</v>
      </c>
      <c r="AX67" s="122">
        <v>4.2619999999999998E-2</v>
      </c>
      <c r="AY67" s="122">
        <v>4.2459999999999998E-2</v>
      </c>
      <c r="AZ67" s="122">
        <v>4.2299999999999997E-2</v>
      </c>
      <c r="BA67" s="122">
        <v>4.215E-2</v>
      </c>
      <c r="BB67" s="122">
        <v>4.2000000000000003E-2</v>
      </c>
      <c r="BC67" s="122">
        <v>4.1849999999999998E-2</v>
      </c>
      <c r="BD67" s="122">
        <v>4.172E-2</v>
      </c>
      <c r="BE67" s="122">
        <v>4.1579999999999999E-2</v>
      </c>
      <c r="BF67" s="122">
        <v>4.1450000000000001E-2</v>
      </c>
      <c r="BG67" s="122">
        <v>4.1329999999999999E-2</v>
      </c>
      <c r="BH67" s="122">
        <v>4.1209999999999997E-2</v>
      </c>
      <c r="BI67" s="122">
        <v>4.1090000000000002E-2</v>
      </c>
      <c r="BJ67" s="122">
        <v>4.0980000000000003E-2</v>
      </c>
      <c r="BK67" s="122">
        <v>4.0869999999999997E-2</v>
      </c>
      <c r="BL67" s="122">
        <v>4.0770000000000001E-2</v>
      </c>
      <c r="BM67" s="122">
        <v>4.0669999999999998E-2</v>
      </c>
      <c r="BN67" s="122">
        <v>4.0570000000000002E-2</v>
      </c>
      <c r="BO67" s="122">
        <v>4.0480000000000002E-2</v>
      </c>
      <c r="BP67" s="122">
        <v>4.0390000000000002E-2</v>
      </c>
      <c r="BQ67" s="122">
        <v>4.0300000000000002E-2</v>
      </c>
      <c r="BR67" s="122">
        <v>4.0210000000000003E-2</v>
      </c>
      <c r="BS67" s="122">
        <v>4.0129999999999999E-2</v>
      </c>
      <c r="BT67" s="122">
        <v>4.0050000000000002E-2</v>
      </c>
      <c r="BU67" s="122">
        <v>4.0050000000000002E-2</v>
      </c>
      <c r="BV67" s="122">
        <v>4.0050000000000002E-2</v>
      </c>
      <c r="BW67" s="122">
        <v>4.0050000000000002E-2</v>
      </c>
      <c r="BX67" s="122">
        <v>4.0050000000000002E-2</v>
      </c>
      <c r="BY67" s="122">
        <v>4.0050000000000002E-2</v>
      </c>
    </row>
    <row r="68" spans="1:122" x14ac:dyDescent="0.25">
      <c r="A68">
        <f t="shared" ref="A68:A81" si="88">A67+1</f>
        <v>3</v>
      </c>
      <c r="B68" s="72" t="s">
        <v>186</v>
      </c>
      <c r="C68" s="122">
        <v>2.9399999999999999E-2</v>
      </c>
      <c r="D68" s="122">
        <v>2.5170000000000001E-2</v>
      </c>
      <c r="E68" s="122">
        <v>2.3879999999999998E-2</v>
      </c>
      <c r="F68" s="122">
        <v>2.3109999999999999E-2</v>
      </c>
      <c r="G68" s="122">
        <v>2.2620000000000001E-2</v>
      </c>
      <c r="H68" s="122">
        <v>2.23E-2</v>
      </c>
      <c r="I68" s="122">
        <v>2.2110000000000001E-2</v>
      </c>
      <c r="J68" s="122">
        <v>2.2020000000000001E-2</v>
      </c>
      <c r="K68" s="122">
        <v>2.1989999999999999E-2</v>
      </c>
      <c r="L68" s="122">
        <v>2.2020000000000001E-2</v>
      </c>
      <c r="M68" s="122">
        <v>2.2089999999999999E-2</v>
      </c>
      <c r="N68" s="122">
        <v>2.2190000000000001E-2</v>
      </c>
      <c r="O68" s="122">
        <v>2.232E-2</v>
      </c>
      <c r="P68" s="122">
        <v>2.2460000000000001E-2</v>
      </c>
      <c r="Q68" s="122">
        <v>2.2620000000000001E-2</v>
      </c>
      <c r="R68" s="122">
        <v>2.2790000000000001E-2</v>
      </c>
      <c r="S68" s="122">
        <v>2.2960000000000001E-2</v>
      </c>
      <c r="T68" s="122">
        <v>2.3140000000000001E-2</v>
      </c>
      <c r="U68" s="122">
        <v>2.332E-2</v>
      </c>
      <c r="V68" s="122">
        <v>2.35E-2</v>
      </c>
      <c r="W68" s="122">
        <v>2.368E-2</v>
      </c>
      <c r="X68" s="122">
        <v>2.3859999999999999E-2</v>
      </c>
      <c r="Y68" s="122">
        <v>2.4029999999999999E-2</v>
      </c>
      <c r="Z68" s="122">
        <v>2.4209999999999999E-2</v>
      </c>
      <c r="AA68" s="122">
        <v>2.4379999999999999E-2</v>
      </c>
      <c r="AB68" s="122">
        <v>2.4539999999999999E-2</v>
      </c>
      <c r="AC68" s="122">
        <v>2.4709999999999999E-2</v>
      </c>
      <c r="AD68" s="122">
        <v>2.486E-2</v>
      </c>
      <c r="AE68" s="122">
        <v>2.5020000000000001E-2</v>
      </c>
      <c r="AF68" s="122">
        <v>2.5159999999999998E-2</v>
      </c>
      <c r="AG68" s="122">
        <v>2.5309999999999999E-2</v>
      </c>
      <c r="AH68" s="122">
        <v>2.545E-2</v>
      </c>
      <c r="AI68" s="122">
        <v>2.5579999999999999E-2</v>
      </c>
      <c r="AJ68" s="122">
        <v>2.571E-2</v>
      </c>
      <c r="AK68" s="122">
        <v>2.5839999999999998E-2</v>
      </c>
      <c r="AL68" s="122">
        <v>2.596E-2</v>
      </c>
      <c r="AM68" s="122">
        <v>2.6079999999999999E-2</v>
      </c>
      <c r="AN68" s="122">
        <v>2.6190000000000001E-2</v>
      </c>
      <c r="AO68" s="122">
        <v>2.63E-2</v>
      </c>
      <c r="AP68" s="122">
        <v>2.64E-2</v>
      </c>
      <c r="AQ68" s="122">
        <v>2.6499999999999999E-2</v>
      </c>
      <c r="AR68" s="122">
        <v>2.6599999999999999E-2</v>
      </c>
      <c r="AS68" s="122">
        <v>2.6700000000000002E-2</v>
      </c>
      <c r="AT68" s="122">
        <v>2.6790000000000001E-2</v>
      </c>
      <c r="AU68" s="122">
        <v>2.6880000000000001E-2</v>
      </c>
      <c r="AV68" s="122">
        <v>2.6960000000000001E-2</v>
      </c>
      <c r="AW68" s="122">
        <v>2.7040000000000002E-2</v>
      </c>
      <c r="AX68" s="122">
        <v>2.7119999999999998E-2</v>
      </c>
      <c r="AY68" s="122">
        <v>2.7199999999999998E-2</v>
      </c>
      <c r="AZ68" s="122">
        <v>2.7269999999999999E-2</v>
      </c>
      <c r="BA68" s="122">
        <v>2.734E-2</v>
      </c>
      <c r="BB68" s="122">
        <v>2.741E-2</v>
      </c>
      <c r="BC68" s="122">
        <v>2.7480000000000001E-2</v>
      </c>
      <c r="BD68" s="122">
        <v>2.7539999999999999E-2</v>
      </c>
      <c r="BE68" s="122">
        <v>2.7609999999999999E-2</v>
      </c>
      <c r="BF68" s="122">
        <v>2.767E-2</v>
      </c>
      <c r="BG68" s="122">
        <v>2.7720000000000002E-2</v>
      </c>
      <c r="BH68" s="122">
        <v>2.7779999999999999E-2</v>
      </c>
      <c r="BI68" s="122">
        <v>2.784E-2</v>
      </c>
      <c r="BJ68" s="122">
        <v>2.7890000000000002E-2</v>
      </c>
      <c r="BK68" s="122">
        <v>2.794E-2</v>
      </c>
      <c r="BL68" s="122">
        <v>2.7990000000000001E-2</v>
      </c>
      <c r="BM68" s="122">
        <v>2.8039999999999999E-2</v>
      </c>
      <c r="BN68" s="122">
        <v>2.809E-2</v>
      </c>
      <c r="BO68" s="122">
        <v>2.8139999999999998E-2</v>
      </c>
      <c r="BP68" s="122">
        <v>2.818E-2</v>
      </c>
      <c r="BQ68" s="122">
        <v>2.8219999999999999E-2</v>
      </c>
      <c r="BR68" s="122">
        <v>2.827E-2</v>
      </c>
      <c r="BS68" s="122">
        <v>2.8309999999999998E-2</v>
      </c>
      <c r="BT68" s="122">
        <v>2.835E-2</v>
      </c>
      <c r="BU68" s="122">
        <v>2.835E-2</v>
      </c>
      <c r="BV68" s="122">
        <v>2.835E-2</v>
      </c>
      <c r="BW68" s="122">
        <v>2.835E-2</v>
      </c>
      <c r="BX68" s="122">
        <v>2.835E-2</v>
      </c>
      <c r="BY68" s="122">
        <v>2.835E-2</v>
      </c>
    </row>
    <row r="69" spans="1:122" x14ac:dyDescent="0.25">
      <c r="A69">
        <f t="shared" si="88"/>
        <v>4</v>
      </c>
      <c r="B69" s="72" t="s">
        <v>187</v>
      </c>
      <c r="C69" s="122">
        <v>2.9399999999999999E-2</v>
      </c>
      <c r="D69" s="122">
        <v>2.5170000000000001E-2</v>
      </c>
      <c r="E69" s="122">
        <v>2.3879999999999998E-2</v>
      </c>
      <c r="F69" s="122">
        <v>2.3109999999999999E-2</v>
      </c>
      <c r="G69" s="122">
        <v>2.2620000000000001E-2</v>
      </c>
      <c r="H69" s="122">
        <v>2.23E-2</v>
      </c>
      <c r="I69" s="122">
        <v>2.2110000000000001E-2</v>
      </c>
      <c r="J69" s="122">
        <v>2.2020000000000001E-2</v>
      </c>
      <c r="K69" s="122">
        <v>2.1989999999999999E-2</v>
      </c>
      <c r="L69" s="122">
        <v>2.2020000000000001E-2</v>
      </c>
      <c r="M69" s="122">
        <v>2.2089999999999999E-2</v>
      </c>
      <c r="N69" s="122">
        <v>2.2190000000000001E-2</v>
      </c>
      <c r="O69" s="122">
        <v>2.232E-2</v>
      </c>
      <c r="P69" s="122">
        <v>2.2460000000000001E-2</v>
      </c>
      <c r="Q69" s="122">
        <v>2.2620000000000001E-2</v>
      </c>
      <c r="R69" s="122">
        <v>2.2790000000000001E-2</v>
      </c>
      <c r="S69" s="122">
        <v>2.2960000000000001E-2</v>
      </c>
      <c r="T69" s="122">
        <v>2.3140000000000001E-2</v>
      </c>
      <c r="U69" s="122">
        <v>2.332E-2</v>
      </c>
      <c r="V69" s="122">
        <v>2.35E-2</v>
      </c>
      <c r="W69" s="122">
        <v>2.368E-2</v>
      </c>
      <c r="X69" s="122">
        <v>2.3859999999999999E-2</v>
      </c>
      <c r="Y69" s="122">
        <v>2.4029999999999999E-2</v>
      </c>
      <c r="Z69" s="122">
        <v>2.4209999999999999E-2</v>
      </c>
      <c r="AA69" s="122">
        <v>2.4379999999999999E-2</v>
      </c>
      <c r="AB69" s="122">
        <v>2.4539999999999999E-2</v>
      </c>
      <c r="AC69" s="122">
        <v>2.4709999999999999E-2</v>
      </c>
      <c r="AD69" s="122">
        <v>2.486E-2</v>
      </c>
      <c r="AE69" s="122">
        <v>2.5020000000000001E-2</v>
      </c>
      <c r="AF69" s="122">
        <v>2.5159999999999998E-2</v>
      </c>
      <c r="AG69" s="122">
        <v>2.5309999999999999E-2</v>
      </c>
      <c r="AH69" s="122">
        <v>2.545E-2</v>
      </c>
      <c r="AI69" s="122">
        <v>2.5579999999999999E-2</v>
      </c>
      <c r="AJ69" s="122">
        <v>2.571E-2</v>
      </c>
      <c r="AK69" s="122">
        <v>2.5839999999999998E-2</v>
      </c>
      <c r="AL69" s="122">
        <v>2.596E-2</v>
      </c>
      <c r="AM69" s="122">
        <v>2.6079999999999999E-2</v>
      </c>
      <c r="AN69" s="122">
        <v>2.6190000000000001E-2</v>
      </c>
      <c r="AO69" s="122">
        <v>2.63E-2</v>
      </c>
      <c r="AP69" s="122">
        <v>2.64E-2</v>
      </c>
      <c r="AQ69" s="122">
        <v>2.6499999999999999E-2</v>
      </c>
      <c r="AR69" s="122">
        <v>2.6599999999999999E-2</v>
      </c>
      <c r="AS69" s="122">
        <v>2.6700000000000002E-2</v>
      </c>
      <c r="AT69" s="122">
        <v>2.6790000000000001E-2</v>
      </c>
      <c r="AU69" s="122">
        <v>2.6880000000000001E-2</v>
      </c>
      <c r="AV69" s="122">
        <v>2.6960000000000001E-2</v>
      </c>
      <c r="AW69" s="122">
        <v>2.7040000000000002E-2</v>
      </c>
      <c r="AX69" s="122">
        <v>2.7119999999999998E-2</v>
      </c>
      <c r="AY69" s="122">
        <v>2.7199999999999998E-2</v>
      </c>
      <c r="AZ69" s="122">
        <v>2.7269999999999999E-2</v>
      </c>
      <c r="BA69" s="122">
        <v>2.734E-2</v>
      </c>
      <c r="BB69" s="122">
        <v>2.741E-2</v>
      </c>
      <c r="BC69" s="122">
        <v>2.7480000000000001E-2</v>
      </c>
      <c r="BD69" s="122">
        <v>2.7539999999999999E-2</v>
      </c>
      <c r="BE69" s="122">
        <v>2.7609999999999999E-2</v>
      </c>
      <c r="BF69" s="122">
        <v>2.767E-2</v>
      </c>
      <c r="BG69" s="122">
        <v>2.7720000000000002E-2</v>
      </c>
      <c r="BH69" s="122">
        <v>2.7779999999999999E-2</v>
      </c>
      <c r="BI69" s="122">
        <v>2.784E-2</v>
      </c>
      <c r="BJ69" s="122">
        <v>2.7890000000000002E-2</v>
      </c>
      <c r="BK69" s="122">
        <v>2.794E-2</v>
      </c>
      <c r="BL69" s="122">
        <v>2.7990000000000001E-2</v>
      </c>
      <c r="BM69" s="122">
        <v>2.8039999999999999E-2</v>
      </c>
      <c r="BN69" s="122">
        <v>2.809E-2</v>
      </c>
      <c r="BO69" s="122">
        <v>2.8139999999999998E-2</v>
      </c>
      <c r="BP69" s="122">
        <v>2.818E-2</v>
      </c>
      <c r="BQ69" s="122">
        <v>2.8219999999999999E-2</v>
      </c>
      <c r="BR69" s="122">
        <v>2.827E-2</v>
      </c>
      <c r="BS69" s="122">
        <v>2.8309999999999998E-2</v>
      </c>
      <c r="BT69" s="122">
        <v>2.835E-2</v>
      </c>
      <c r="BU69" s="122">
        <v>2.835E-2</v>
      </c>
      <c r="BV69" s="122">
        <v>2.835E-2</v>
      </c>
      <c r="BW69" s="122">
        <v>2.835E-2</v>
      </c>
      <c r="BX69" s="122">
        <v>2.835E-2</v>
      </c>
      <c r="BY69" s="122">
        <v>2.835E-2</v>
      </c>
    </row>
    <row r="70" spans="1:122" x14ac:dyDescent="0.25">
      <c r="A70">
        <f t="shared" si="88"/>
        <v>5</v>
      </c>
      <c r="B70" s="72" t="s">
        <v>189</v>
      </c>
      <c r="C70" s="122">
        <v>2.9399999999999999E-2</v>
      </c>
      <c r="D70" s="122">
        <v>3.218E-2</v>
      </c>
      <c r="E70" s="122">
        <v>3.5099999999999999E-2</v>
      </c>
      <c r="F70" s="122">
        <v>3.8129999999999997E-2</v>
      </c>
      <c r="G70" s="122">
        <v>4.1279999999999997E-2</v>
      </c>
      <c r="H70" s="122">
        <v>4.453E-2</v>
      </c>
      <c r="I70" s="122">
        <v>4.1149999999999999E-2</v>
      </c>
      <c r="J70" s="122">
        <v>3.7699999999999997E-2</v>
      </c>
      <c r="K70" s="122">
        <v>3.4430000000000002E-2</v>
      </c>
      <c r="L70" s="122">
        <v>3.1469999999999998E-2</v>
      </c>
      <c r="M70" s="122">
        <v>2.887E-2</v>
      </c>
      <c r="N70" s="122">
        <v>3.124E-2</v>
      </c>
      <c r="O70" s="122">
        <v>3.3799999999999997E-2</v>
      </c>
      <c r="P70" s="122">
        <v>3.6519999999999997E-2</v>
      </c>
      <c r="Q70" s="122">
        <v>3.9390000000000001E-2</v>
      </c>
      <c r="R70" s="122">
        <v>4.2410000000000003E-2</v>
      </c>
      <c r="S70" s="122">
        <v>3.9109999999999999E-2</v>
      </c>
      <c r="T70" s="122">
        <v>3.585E-2</v>
      </c>
      <c r="U70" s="122">
        <v>3.2809999999999999E-2</v>
      </c>
      <c r="V70" s="122">
        <v>3.007E-2</v>
      </c>
      <c r="W70" s="122">
        <v>2.768E-2</v>
      </c>
      <c r="X70" s="122">
        <v>3.007E-2</v>
      </c>
      <c r="Y70" s="122">
        <v>3.2629999999999999E-2</v>
      </c>
      <c r="Z70" s="122">
        <v>3.5340000000000003E-2</v>
      </c>
      <c r="AA70" s="122">
        <v>3.8199999999999998E-2</v>
      </c>
      <c r="AB70" s="122">
        <v>4.1189999999999997E-2</v>
      </c>
      <c r="AC70" s="122">
        <v>3.8059999999999997E-2</v>
      </c>
      <c r="AD70" s="122">
        <v>3.4959999999999998E-2</v>
      </c>
      <c r="AE70" s="122">
        <v>3.2070000000000001E-2</v>
      </c>
      <c r="AF70" s="122">
        <v>2.947E-2</v>
      </c>
      <c r="AG70" s="122">
        <v>2.7189999999999999E-2</v>
      </c>
      <c r="AH70" s="122">
        <v>2.9590000000000002E-2</v>
      </c>
      <c r="AI70" s="122">
        <v>3.2149999999999998E-2</v>
      </c>
      <c r="AJ70" s="122">
        <v>3.4860000000000002E-2</v>
      </c>
      <c r="AK70" s="122">
        <v>3.7719999999999997E-2</v>
      </c>
      <c r="AL70" s="122">
        <v>4.0710000000000003E-2</v>
      </c>
      <c r="AM70" s="122">
        <v>3.7650000000000003E-2</v>
      </c>
      <c r="AN70" s="122">
        <v>3.4610000000000002E-2</v>
      </c>
      <c r="AO70" s="122">
        <v>3.1780000000000003E-2</v>
      </c>
      <c r="AP70" s="122">
        <v>2.9229999999999999E-2</v>
      </c>
      <c r="AQ70" s="122">
        <v>2.699E-2</v>
      </c>
      <c r="AR70" s="122">
        <v>2.9399999999999999E-2</v>
      </c>
      <c r="AS70" s="122">
        <v>3.1960000000000002E-2</v>
      </c>
      <c r="AT70" s="122">
        <v>3.4680000000000002E-2</v>
      </c>
      <c r="AU70" s="122">
        <v>3.7530000000000001E-2</v>
      </c>
      <c r="AV70" s="122">
        <v>4.0529999999999997E-2</v>
      </c>
      <c r="AW70" s="122">
        <v>3.7490000000000002E-2</v>
      </c>
      <c r="AX70" s="122">
        <v>3.4479999999999997E-2</v>
      </c>
      <c r="AY70" s="122">
        <v>3.1669999999999997E-2</v>
      </c>
      <c r="AZ70" s="122">
        <v>2.9139999999999999E-2</v>
      </c>
      <c r="BA70" s="122">
        <v>2.6919999999999999E-2</v>
      </c>
      <c r="BB70" s="122">
        <v>2.9329999999999998E-2</v>
      </c>
      <c r="BC70" s="122">
        <v>3.1890000000000002E-2</v>
      </c>
      <c r="BD70" s="122">
        <v>3.4610000000000002E-2</v>
      </c>
      <c r="BE70" s="122">
        <v>3.746E-2</v>
      </c>
      <c r="BF70" s="122">
        <v>4.045E-2</v>
      </c>
      <c r="BG70" s="122">
        <v>3.7420000000000002E-2</v>
      </c>
      <c r="BH70" s="122">
        <v>3.4430000000000002E-2</v>
      </c>
      <c r="BI70" s="122">
        <v>3.1620000000000002E-2</v>
      </c>
      <c r="BJ70" s="122">
        <v>2.9100000000000001E-2</v>
      </c>
      <c r="BK70" s="122">
        <v>2.6890000000000001E-2</v>
      </c>
      <c r="BL70" s="122">
        <v>2.93E-2</v>
      </c>
      <c r="BM70" s="122">
        <v>3.1859999999999999E-2</v>
      </c>
      <c r="BN70" s="122">
        <v>3.458E-2</v>
      </c>
      <c r="BO70" s="122">
        <v>3.7429999999999998E-2</v>
      </c>
      <c r="BP70" s="122">
        <v>4.0430000000000001E-2</v>
      </c>
      <c r="BQ70" s="122">
        <v>3.7400000000000003E-2</v>
      </c>
      <c r="BR70" s="122">
        <v>3.4410000000000003E-2</v>
      </c>
      <c r="BS70" s="122">
        <v>3.1609999999999999E-2</v>
      </c>
      <c r="BT70" s="122">
        <v>2.9090000000000001E-2</v>
      </c>
      <c r="BU70" s="122">
        <v>2.9090000000000001E-2</v>
      </c>
      <c r="BV70" s="122">
        <v>2.9090000000000001E-2</v>
      </c>
      <c r="BW70" s="122">
        <v>2.9090000000000001E-2</v>
      </c>
      <c r="BX70" s="122">
        <v>2.9090000000000001E-2</v>
      </c>
      <c r="BY70" s="122">
        <v>2.9090000000000001E-2</v>
      </c>
    </row>
    <row r="71" spans="1:122" x14ac:dyDescent="0.25">
      <c r="A71">
        <f t="shared" si="88"/>
        <v>6</v>
      </c>
      <c r="B71" s="72" t="s">
        <v>188</v>
      </c>
      <c r="C71" s="122">
        <v>2.9399999999999999E-2</v>
      </c>
      <c r="D71" s="122">
        <v>3.218E-2</v>
      </c>
      <c r="E71" s="122">
        <v>3.5099999999999999E-2</v>
      </c>
      <c r="F71" s="122">
        <v>3.8129999999999997E-2</v>
      </c>
      <c r="G71" s="122">
        <v>4.1279999999999997E-2</v>
      </c>
      <c r="H71" s="122">
        <v>4.453E-2</v>
      </c>
      <c r="I71" s="122">
        <v>4.1149999999999999E-2</v>
      </c>
      <c r="J71" s="122">
        <v>3.7699999999999997E-2</v>
      </c>
      <c r="K71" s="122">
        <v>3.4430000000000002E-2</v>
      </c>
      <c r="L71" s="122">
        <v>3.1469999999999998E-2</v>
      </c>
      <c r="M71" s="122">
        <v>2.887E-2</v>
      </c>
      <c r="N71" s="122">
        <v>3.124E-2</v>
      </c>
      <c r="O71" s="122">
        <v>3.3799999999999997E-2</v>
      </c>
      <c r="P71" s="122">
        <v>3.6519999999999997E-2</v>
      </c>
      <c r="Q71" s="122">
        <v>3.9390000000000001E-2</v>
      </c>
      <c r="R71" s="122">
        <v>4.2410000000000003E-2</v>
      </c>
      <c r="S71" s="122">
        <v>3.9109999999999999E-2</v>
      </c>
      <c r="T71" s="122">
        <v>3.585E-2</v>
      </c>
      <c r="U71" s="122">
        <v>3.2809999999999999E-2</v>
      </c>
      <c r="V71" s="122">
        <v>3.007E-2</v>
      </c>
      <c r="W71" s="122">
        <v>2.768E-2</v>
      </c>
      <c r="X71" s="122">
        <v>3.007E-2</v>
      </c>
      <c r="Y71" s="122">
        <v>3.2629999999999999E-2</v>
      </c>
      <c r="Z71" s="122">
        <v>3.5340000000000003E-2</v>
      </c>
      <c r="AA71" s="122">
        <v>3.8199999999999998E-2</v>
      </c>
      <c r="AB71" s="122">
        <v>4.1189999999999997E-2</v>
      </c>
      <c r="AC71" s="122">
        <v>3.8059999999999997E-2</v>
      </c>
      <c r="AD71" s="122">
        <v>3.4959999999999998E-2</v>
      </c>
      <c r="AE71" s="122">
        <v>3.2070000000000001E-2</v>
      </c>
      <c r="AF71" s="122">
        <v>2.947E-2</v>
      </c>
      <c r="AG71" s="122">
        <v>2.7189999999999999E-2</v>
      </c>
      <c r="AH71" s="122">
        <v>2.9590000000000002E-2</v>
      </c>
      <c r="AI71" s="122">
        <v>3.2149999999999998E-2</v>
      </c>
      <c r="AJ71" s="122">
        <v>3.4860000000000002E-2</v>
      </c>
      <c r="AK71" s="122">
        <v>3.7719999999999997E-2</v>
      </c>
      <c r="AL71" s="122">
        <v>4.0710000000000003E-2</v>
      </c>
      <c r="AM71" s="122">
        <v>3.7650000000000003E-2</v>
      </c>
      <c r="AN71" s="122">
        <v>3.4610000000000002E-2</v>
      </c>
      <c r="AO71" s="122">
        <v>3.1780000000000003E-2</v>
      </c>
      <c r="AP71" s="122">
        <v>2.9229999999999999E-2</v>
      </c>
      <c r="AQ71" s="122">
        <v>2.699E-2</v>
      </c>
      <c r="AR71" s="122">
        <v>2.9399999999999999E-2</v>
      </c>
      <c r="AS71" s="122">
        <v>3.1960000000000002E-2</v>
      </c>
      <c r="AT71" s="122">
        <v>3.4680000000000002E-2</v>
      </c>
      <c r="AU71" s="122">
        <v>3.7530000000000001E-2</v>
      </c>
      <c r="AV71" s="122">
        <v>4.0529999999999997E-2</v>
      </c>
      <c r="AW71" s="122">
        <v>3.7490000000000002E-2</v>
      </c>
      <c r="AX71" s="122">
        <v>3.4479999999999997E-2</v>
      </c>
      <c r="AY71" s="122">
        <v>3.1669999999999997E-2</v>
      </c>
      <c r="AZ71" s="122">
        <v>2.9139999999999999E-2</v>
      </c>
      <c r="BA71" s="122">
        <v>2.6919999999999999E-2</v>
      </c>
      <c r="BB71" s="122">
        <v>2.9329999999999998E-2</v>
      </c>
      <c r="BC71" s="122">
        <v>3.1890000000000002E-2</v>
      </c>
      <c r="BD71" s="122">
        <v>3.4610000000000002E-2</v>
      </c>
      <c r="BE71" s="122">
        <v>3.746E-2</v>
      </c>
      <c r="BF71" s="122">
        <v>4.045E-2</v>
      </c>
      <c r="BG71" s="122">
        <v>3.7420000000000002E-2</v>
      </c>
      <c r="BH71" s="122">
        <v>3.4430000000000002E-2</v>
      </c>
      <c r="BI71" s="122">
        <v>3.1620000000000002E-2</v>
      </c>
      <c r="BJ71" s="122">
        <v>2.9100000000000001E-2</v>
      </c>
      <c r="BK71" s="122">
        <v>2.6890000000000001E-2</v>
      </c>
      <c r="BL71" s="122">
        <v>2.93E-2</v>
      </c>
      <c r="BM71" s="122">
        <v>3.1859999999999999E-2</v>
      </c>
      <c r="BN71" s="122">
        <v>3.458E-2</v>
      </c>
      <c r="BO71" s="122">
        <v>3.7429999999999998E-2</v>
      </c>
      <c r="BP71" s="122">
        <v>4.0430000000000001E-2</v>
      </c>
      <c r="BQ71" s="122">
        <v>3.7400000000000003E-2</v>
      </c>
      <c r="BR71" s="122">
        <v>3.4410000000000003E-2</v>
      </c>
      <c r="BS71" s="122">
        <v>3.1609999999999999E-2</v>
      </c>
      <c r="BT71" s="122">
        <v>2.9090000000000001E-2</v>
      </c>
      <c r="BU71" s="122">
        <v>2.9090000000000001E-2</v>
      </c>
      <c r="BV71" s="122">
        <v>2.9090000000000001E-2</v>
      </c>
      <c r="BW71" s="122">
        <v>2.9090000000000001E-2</v>
      </c>
      <c r="BX71" s="122">
        <v>2.9090000000000001E-2</v>
      </c>
      <c r="BY71" s="122">
        <v>2.9090000000000001E-2</v>
      </c>
    </row>
    <row r="72" spans="1:122" x14ac:dyDescent="0.25">
      <c r="A72">
        <f t="shared" si="88"/>
        <v>7</v>
      </c>
      <c r="B72" s="72" t="s">
        <v>191</v>
      </c>
      <c r="C72" s="122">
        <v>2.9399999999999999E-2</v>
      </c>
      <c r="D72" s="122">
        <v>2.767E-2</v>
      </c>
      <c r="E72" s="122">
        <v>2.6020000000000001E-2</v>
      </c>
      <c r="F72" s="122">
        <v>2.4490000000000001E-2</v>
      </c>
      <c r="G72" s="122">
        <v>2.3099999999999999E-2</v>
      </c>
      <c r="H72" s="122">
        <v>2.1870000000000001E-2</v>
      </c>
      <c r="I72" s="122">
        <v>2.4330000000000001E-2</v>
      </c>
      <c r="J72" s="122">
        <v>2.69E-2</v>
      </c>
      <c r="K72" s="122">
        <v>2.9579999999999999E-2</v>
      </c>
      <c r="L72" s="122">
        <v>3.2379999999999999E-2</v>
      </c>
      <c r="M72" s="122">
        <v>3.5299999999999998E-2</v>
      </c>
      <c r="N72" s="122">
        <v>3.2969999999999999E-2</v>
      </c>
      <c r="O72" s="122">
        <v>3.066E-2</v>
      </c>
      <c r="P72" s="122">
        <v>2.8479999999999998E-2</v>
      </c>
      <c r="Q72" s="122">
        <v>2.6499999999999999E-2</v>
      </c>
      <c r="R72" s="122">
        <v>2.4740000000000002E-2</v>
      </c>
      <c r="S72" s="122">
        <v>2.7199999999999998E-2</v>
      </c>
      <c r="T72" s="122">
        <v>2.9780000000000001E-2</v>
      </c>
      <c r="U72" s="122">
        <v>3.2500000000000001E-2</v>
      </c>
      <c r="V72" s="122">
        <v>3.5340000000000003E-2</v>
      </c>
      <c r="W72" s="122">
        <v>3.8309999999999997E-2</v>
      </c>
      <c r="X72" s="122">
        <v>3.5580000000000001E-2</v>
      </c>
      <c r="Y72" s="122">
        <v>3.2870000000000003E-2</v>
      </c>
      <c r="Z72" s="122">
        <v>3.0329999999999999E-2</v>
      </c>
      <c r="AA72" s="122">
        <v>2.8039999999999999E-2</v>
      </c>
      <c r="AB72" s="122">
        <v>2.6020000000000001E-2</v>
      </c>
      <c r="AC72" s="122">
        <v>2.845E-2</v>
      </c>
      <c r="AD72" s="122">
        <v>3.1019999999999999E-2</v>
      </c>
      <c r="AE72" s="122">
        <v>3.3739999999999999E-2</v>
      </c>
      <c r="AF72" s="122">
        <v>3.6589999999999998E-2</v>
      </c>
      <c r="AG72" s="122">
        <v>3.9579999999999997E-2</v>
      </c>
      <c r="AH72" s="122">
        <v>3.6670000000000001E-2</v>
      </c>
      <c r="AI72" s="122">
        <v>3.3790000000000001E-2</v>
      </c>
      <c r="AJ72" s="122">
        <v>3.1099999999999999E-2</v>
      </c>
      <c r="AK72" s="122">
        <v>2.8670000000000001E-2</v>
      </c>
      <c r="AL72" s="122">
        <v>2.6540000000000001E-2</v>
      </c>
      <c r="AM72" s="122">
        <v>2.895E-2</v>
      </c>
      <c r="AN72" s="122">
        <v>3.1519999999999999E-2</v>
      </c>
      <c r="AO72" s="122">
        <v>3.424E-2</v>
      </c>
      <c r="AP72" s="122">
        <v>3.7100000000000001E-2</v>
      </c>
      <c r="AQ72" s="122">
        <v>4.0079999999999998E-2</v>
      </c>
      <c r="AR72" s="122">
        <v>3.7109999999999997E-2</v>
      </c>
      <c r="AS72" s="122">
        <v>3.4160000000000003E-2</v>
      </c>
      <c r="AT72" s="122">
        <v>3.1399999999999997E-2</v>
      </c>
      <c r="AU72" s="122">
        <v>2.8920000000000001E-2</v>
      </c>
      <c r="AV72" s="122">
        <v>2.674E-2</v>
      </c>
      <c r="AW72" s="122">
        <v>2.9149999999999999E-2</v>
      </c>
      <c r="AX72" s="122">
        <v>3.1719999999999998E-2</v>
      </c>
      <c r="AY72" s="122">
        <v>3.4439999999999998E-2</v>
      </c>
      <c r="AZ72" s="122">
        <v>3.7289999999999997E-2</v>
      </c>
      <c r="BA72" s="122">
        <v>4.0280000000000003E-2</v>
      </c>
      <c r="BB72" s="122">
        <v>3.7280000000000001E-2</v>
      </c>
      <c r="BC72" s="122">
        <v>3.4299999999999997E-2</v>
      </c>
      <c r="BD72" s="122">
        <v>3.1519999999999999E-2</v>
      </c>
      <c r="BE72" s="122">
        <v>2.9020000000000001E-2</v>
      </c>
      <c r="BF72" s="122">
        <v>2.682E-2</v>
      </c>
      <c r="BG72" s="122">
        <v>2.9229999999999999E-2</v>
      </c>
      <c r="BH72" s="122">
        <v>3.1800000000000002E-2</v>
      </c>
      <c r="BI72" s="122">
        <v>3.4509999999999999E-2</v>
      </c>
      <c r="BJ72" s="122">
        <v>3.737E-2</v>
      </c>
      <c r="BK72" s="122">
        <v>4.036E-2</v>
      </c>
      <c r="BL72" s="122">
        <v>3.7339999999999998E-2</v>
      </c>
      <c r="BM72" s="122">
        <v>3.4360000000000002E-2</v>
      </c>
      <c r="BN72" s="122">
        <v>3.1570000000000001E-2</v>
      </c>
      <c r="BO72" s="122">
        <v>2.9059999999999999E-2</v>
      </c>
      <c r="BP72" s="122">
        <v>2.6849999999999999E-2</v>
      </c>
      <c r="BQ72" s="122">
        <v>2.9260000000000001E-2</v>
      </c>
      <c r="BR72" s="122">
        <v>3.1829999999999997E-2</v>
      </c>
      <c r="BS72" s="122">
        <v>3.4540000000000001E-2</v>
      </c>
      <c r="BT72" s="122">
        <v>3.7400000000000003E-2</v>
      </c>
      <c r="BU72" s="122">
        <v>3.7400000000000003E-2</v>
      </c>
      <c r="BV72" s="122">
        <v>3.7400000000000003E-2</v>
      </c>
      <c r="BW72" s="122">
        <v>3.7400000000000003E-2</v>
      </c>
      <c r="BX72" s="122">
        <v>3.7400000000000003E-2</v>
      </c>
      <c r="BY72" s="122">
        <v>3.7400000000000003E-2</v>
      </c>
    </row>
    <row r="73" spans="1:122" x14ac:dyDescent="0.25">
      <c r="A73">
        <f t="shared" si="88"/>
        <v>8</v>
      </c>
      <c r="B73" s="72" t="s">
        <v>190</v>
      </c>
      <c r="C73" s="122">
        <v>2.9399999999999999E-2</v>
      </c>
      <c r="D73" s="122">
        <v>2.767E-2</v>
      </c>
      <c r="E73" s="122">
        <v>2.6020000000000001E-2</v>
      </c>
      <c r="F73" s="122">
        <v>2.4490000000000001E-2</v>
      </c>
      <c r="G73" s="122">
        <v>2.3099999999999999E-2</v>
      </c>
      <c r="H73" s="122">
        <v>2.1870000000000001E-2</v>
      </c>
      <c r="I73" s="122">
        <v>2.4330000000000001E-2</v>
      </c>
      <c r="J73" s="122">
        <v>2.69E-2</v>
      </c>
      <c r="K73" s="122">
        <v>2.9579999999999999E-2</v>
      </c>
      <c r="L73" s="122">
        <v>3.2379999999999999E-2</v>
      </c>
      <c r="M73" s="122">
        <v>3.5299999999999998E-2</v>
      </c>
      <c r="N73" s="122">
        <v>3.2969999999999999E-2</v>
      </c>
      <c r="O73" s="122">
        <v>3.066E-2</v>
      </c>
      <c r="P73" s="122">
        <v>2.8479999999999998E-2</v>
      </c>
      <c r="Q73" s="122">
        <v>2.6499999999999999E-2</v>
      </c>
      <c r="R73" s="122">
        <v>2.4740000000000002E-2</v>
      </c>
      <c r="S73" s="122">
        <v>2.7199999999999998E-2</v>
      </c>
      <c r="T73" s="122">
        <v>2.9780000000000001E-2</v>
      </c>
      <c r="U73" s="122">
        <v>3.2500000000000001E-2</v>
      </c>
      <c r="V73" s="122">
        <v>3.5340000000000003E-2</v>
      </c>
      <c r="W73" s="122">
        <v>3.8309999999999997E-2</v>
      </c>
      <c r="X73" s="122">
        <v>3.5580000000000001E-2</v>
      </c>
      <c r="Y73" s="122">
        <v>3.2870000000000003E-2</v>
      </c>
      <c r="Z73" s="122">
        <v>3.0329999999999999E-2</v>
      </c>
      <c r="AA73" s="122">
        <v>2.8039999999999999E-2</v>
      </c>
      <c r="AB73" s="122">
        <v>2.6020000000000001E-2</v>
      </c>
      <c r="AC73" s="122">
        <v>2.845E-2</v>
      </c>
      <c r="AD73" s="122">
        <v>3.1019999999999999E-2</v>
      </c>
      <c r="AE73" s="122">
        <v>3.3739999999999999E-2</v>
      </c>
      <c r="AF73" s="122">
        <v>3.6589999999999998E-2</v>
      </c>
      <c r="AG73" s="122">
        <v>3.9579999999999997E-2</v>
      </c>
      <c r="AH73" s="122">
        <v>3.6670000000000001E-2</v>
      </c>
      <c r="AI73" s="122">
        <v>3.3790000000000001E-2</v>
      </c>
      <c r="AJ73" s="122">
        <v>3.1099999999999999E-2</v>
      </c>
      <c r="AK73" s="122">
        <v>2.8670000000000001E-2</v>
      </c>
      <c r="AL73" s="122">
        <v>2.6540000000000001E-2</v>
      </c>
      <c r="AM73" s="122">
        <v>2.895E-2</v>
      </c>
      <c r="AN73" s="122">
        <v>3.1519999999999999E-2</v>
      </c>
      <c r="AO73" s="122">
        <v>3.424E-2</v>
      </c>
      <c r="AP73" s="122">
        <v>3.7100000000000001E-2</v>
      </c>
      <c r="AQ73" s="122">
        <v>4.0079999999999998E-2</v>
      </c>
      <c r="AR73" s="122">
        <v>3.7109999999999997E-2</v>
      </c>
      <c r="AS73" s="122">
        <v>3.4160000000000003E-2</v>
      </c>
      <c r="AT73" s="122">
        <v>3.1399999999999997E-2</v>
      </c>
      <c r="AU73" s="122">
        <v>2.8920000000000001E-2</v>
      </c>
      <c r="AV73" s="122">
        <v>2.674E-2</v>
      </c>
      <c r="AW73" s="122">
        <v>2.9149999999999999E-2</v>
      </c>
      <c r="AX73" s="122">
        <v>3.1719999999999998E-2</v>
      </c>
      <c r="AY73" s="122">
        <v>3.4439999999999998E-2</v>
      </c>
      <c r="AZ73" s="122">
        <v>3.7289999999999997E-2</v>
      </c>
      <c r="BA73" s="122">
        <v>4.0280000000000003E-2</v>
      </c>
      <c r="BB73" s="122">
        <v>3.7280000000000001E-2</v>
      </c>
      <c r="BC73" s="122">
        <v>3.4299999999999997E-2</v>
      </c>
      <c r="BD73" s="122">
        <v>3.1519999999999999E-2</v>
      </c>
      <c r="BE73" s="122">
        <v>2.9020000000000001E-2</v>
      </c>
      <c r="BF73" s="122">
        <v>2.682E-2</v>
      </c>
      <c r="BG73" s="122">
        <v>2.9229999999999999E-2</v>
      </c>
      <c r="BH73" s="122">
        <v>3.1800000000000002E-2</v>
      </c>
      <c r="BI73" s="122">
        <v>3.4509999999999999E-2</v>
      </c>
      <c r="BJ73" s="122">
        <v>3.737E-2</v>
      </c>
      <c r="BK73" s="122">
        <v>4.036E-2</v>
      </c>
      <c r="BL73" s="122">
        <v>3.7339999999999998E-2</v>
      </c>
      <c r="BM73" s="122">
        <v>3.4360000000000002E-2</v>
      </c>
      <c r="BN73" s="122">
        <v>3.1570000000000001E-2</v>
      </c>
      <c r="BO73" s="122">
        <v>2.9059999999999999E-2</v>
      </c>
      <c r="BP73" s="122">
        <v>2.6849999999999999E-2</v>
      </c>
      <c r="BQ73" s="122">
        <v>2.9260000000000001E-2</v>
      </c>
      <c r="BR73" s="122">
        <v>3.1829999999999997E-2</v>
      </c>
      <c r="BS73" s="122">
        <v>3.4540000000000001E-2</v>
      </c>
      <c r="BT73" s="122">
        <v>3.7400000000000003E-2</v>
      </c>
      <c r="BU73" s="122">
        <v>3.7400000000000003E-2</v>
      </c>
      <c r="BV73" s="122">
        <v>3.7400000000000003E-2</v>
      </c>
      <c r="BW73" s="122">
        <v>3.7400000000000003E-2</v>
      </c>
      <c r="BX73" s="122">
        <v>3.7400000000000003E-2</v>
      </c>
      <c r="BY73" s="122">
        <v>3.7400000000000003E-2</v>
      </c>
    </row>
    <row r="74" spans="1:122" x14ac:dyDescent="0.25">
      <c r="A74">
        <f t="shared" si="88"/>
        <v>9</v>
      </c>
      <c r="B74" s="72" t="s">
        <v>192</v>
      </c>
      <c r="C74" s="122">
        <v>2.9399999999999999E-2</v>
      </c>
      <c r="D74" s="122">
        <v>2.9860000000000001E-2</v>
      </c>
      <c r="E74" s="122">
        <v>3.0259999999999999E-2</v>
      </c>
      <c r="F74" s="122">
        <v>3.0609999999999998E-2</v>
      </c>
      <c r="G74" s="122">
        <v>3.091E-2</v>
      </c>
      <c r="H74" s="122">
        <v>3.117E-2</v>
      </c>
      <c r="I74" s="122">
        <v>3.1390000000000001E-2</v>
      </c>
      <c r="J74" s="122">
        <v>3.159E-2</v>
      </c>
      <c r="K74" s="122">
        <v>3.1759999999999997E-2</v>
      </c>
      <c r="L74" s="122">
        <v>3.1910000000000001E-2</v>
      </c>
      <c r="M74" s="122">
        <v>3.2039999999999999E-2</v>
      </c>
      <c r="N74" s="122">
        <v>3.2160000000000001E-2</v>
      </c>
      <c r="O74" s="122">
        <v>3.2259999999999997E-2</v>
      </c>
      <c r="P74" s="122">
        <v>3.236E-2</v>
      </c>
      <c r="Q74" s="122">
        <v>3.2439999999999997E-2</v>
      </c>
      <c r="R74" s="122">
        <v>3.252E-2</v>
      </c>
      <c r="S74" s="122">
        <v>3.2590000000000001E-2</v>
      </c>
      <c r="T74" s="122">
        <v>3.2649999999999998E-2</v>
      </c>
      <c r="U74" s="122">
        <v>3.2710000000000003E-2</v>
      </c>
      <c r="V74" s="122">
        <v>3.2759999999999997E-2</v>
      </c>
      <c r="W74" s="122">
        <v>3.2800000000000003E-2</v>
      </c>
      <c r="X74" s="122">
        <v>3.2849999999999997E-2</v>
      </c>
      <c r="Y74" s="122">
        <v>3.288E-2</v>
      </c>
      <c r="Z74" s="122">
        <v>3.2919999999999998E-2</v>
      </c>
      <c r="AA74" s="122">
        <v>3.295E-2</v>
      </c>
      <c r="AB74" s="122">
        <v>3.2980000000000002E-2</v>
      </c>
      <c r="AC74" s="122">
        <v>3.3009999999999998E-2</v>
      </c>
      <c r="AD74" s="122">
        <v>3.3029999999999997E-2</v>
      </c>
      <c r="AE74" s="122">
        <v>3.3050000000000003E-2</v>
      </c>
      <c r="AF74" s="122">
        <v>3.3070000000000002E-2</v>
      </c>
      <c r="AG74" s="122">
        <v>3.3090000000000001E-2</v>
      </c>
      <c r="AH74" s="122">
        <v>3.3110000000000001E-2</v>
      </c>
      <c r="AI74" s="122">
        <v>3.3119999999999997E-2</v>
      </c>
      <c r="AJ74" s="122">
        <v>3.3140000000000003E-2</v>
      </c>
      <c r="AK74" s="122">
        <v>3.3149999999999999E-2</v>
      </c>
      <c r="AL74" s="122">
        <v>3.3160000000000002E-2</v>
      </c>
      <c r="AM74" s="122">
        <v>3.3169999999999998E-2</v>
      </c>
      <c r="AN74" s="122">
        <v>3.3180000000000001E-2</v>
      </c>
      <c r="AO74" s="122">
        <v>3.3189999999999997E-2</v>
      </c>
      <c r="AP74" s="122">
        <v>3.32E-2</v>
      </c>
      <c r="AQ74" s="122">
        <v>3.32E-2</v>
      </c>
      <c r="AR74" s="122">
        <v>3.3210000000000003E-2</v>
      </c>
      <c r="AS74" s="122">
        <v>3.322E-2</v>
      </c>
      <c r="AT74" s="122">
        <v>3.322E-2</v>
      </c>
      <c r="AU74" s="122">
        <v>3.3230000000000003E-2</v>
      </c>
      <c r="AV74" s="122">
        <v>3.3230000000000003E-2</v>
      </c>
      <c r="AW74" s="122">
        <v>3.3239999999999999E-2</v>
      </c>
      <c r="AX74" s="122">
        <v>3.3239999999999999E-2</v>
      </c>
      <c r="AY74" s="122">
        <v>3.3239999999999999E-2</v>
      </c>
      <c r="AZ74" s="122">
        <v>3.3250000000000002E-2</v>
      </c>
      <c r="BA74" s="122">
        <v>3.3250000000000002E-2</v>
      </c>
      <c r="BB74" s="122">
        <v>3.3250000000000002E-2</v>
      </c>
      <c r="BC74" s="122">
        <v>3.3250000000000002E-2</v>
      </c>
      <c r="BD74" s="122">
        <v>3.3259999999999998E-2</v>
      </c>
      <c r="BE74" s="122">
        <v>3.3259999999999998E-2</v>
      </c>
      <c r="BF74" s="122">
        <v>3.3259999999999998E-2</v>
      </c>
      <c r="BG74" s="122">
        <v>3.3259999999999998E-2</v>
      </c>
      <c r="BH74" s="122">
        <v>3.3259999999999998E-2</v>
      </c>
      <c r="BI74" s="122">
        <v>3.3259999999999998E-2</v>
      </c>
      <c r="BJ74" s="122">
        <v>3.3259999999999998E-2</v>
      </c>
      <c r="BK74" s="122">
        <v>3.3270000000000001E-2</v>
      </c>
      <c r="BL74" s="122">
        <v>3.3270000000000001E-2</v>
      </c>
      <c r="BM74" s="122">
        <v>3.3270000000000001E-2</v>
      </c>
      <c r="BN74" s="122">
        <v>3.3270000000000001E-2</v>
      </c>
      <c r="BO74" s="122">
        <v>3.3270000000000001E-2</v>
      </c>
      <c r="BP74" s="122">
        <v>3.3270000000000001E-2</v>
      </c>
      <c r="BQ74" s="122">
        <v>3.3270000000000001E-2</v>
      </c>
      <c r="BR74" s="122">
        <v>3.3270000000000001E-2</v>
      </c>
      <c r="BS74" s="122">
        <v>3.3270000000000001E-2</v>
      </c>
      <c r="BT74" s="122">
        <v>3.3270000000000001E-2</v>
      </c>
      <c r="BU74" s="122">
        <v>3.3270000000000001E-2</v>
      </c>
      <c r="BV74" s="122">
        <v>3.3270000000000001E-2</v>
      </c>
      <c r="BW74" s="122">
        <v>3.3270000000000001E-2</v>
      </c>
      <c r="BX74" s="122">
        <v>3.3270000000000001E-2</v>
      </c>
      <c r="BY74" s="122">
        <v>3.3270000000000001E-2</v>
      </c>
    </row>
    <row r="75" spans="1:122" x14ac:dyDescent="0.25">
      <c r="A75">
        <f t="shared" si="88"/>
        <v>10</v>
      </c>
      <c r="B75" s="72" t="s">
        <v>193</v>
      </c>
      <c r="C75" s="122">
        <v>2.9399999999999999E-2</v>
      </c>
      <c r="D75" s="122">
        <v>3.1E-2</v>
      </c>
      <c r="E75" s="122">
        <v>3.2759999999999997E-2</v>
      </c>
      <c r="F75" s="122">
        <v>3.4630000000000001E-2</v>
      </c>
      <c r="G75" s="122">
        <v>3.397E-2</v>
      </c>
      <c r="H75" s="122">
        <v>3.2829999999999998E-2</v>
      </c>
      <c r="I75" s="122">
        <v>3.1390000000000001E-2</v>
      </c>
      <c r="J75" s="122">
        <v>3.2439999999999997E-2</v>
      </c>
      <c r="K75" s="122">
        <v>3.3820000000000003E-2</v>
      </c>
      <c r="L75" s="122">
        <v>3.5439999999999999E-2</v>
      </c>
      <c r="M75" s="122">
        <v>3.4470000000000001E-2</v>
      </c>
      <c r="N75" s="122">
        <v>3.3070000000000002E-2</v>
      </c>
      <c r="O75" s="122">
        <v>3.1449999999999999E-2</v>
      </c>
      <c r="P75" s="122">
        <v>3.2390000000000002E-2</v>
      </c>
      <c r="Q75" s="122">
        <v>3.3709999999999997E-2</v>
      </c>
      <c r="R75" s="122">
        <v>3.5279999999999999E-2</v>
      </c>
      <c r="S75" s="122">
        <v>3.4290000000000001E-2</v>
      </c>
      <c r="T75" s="122">
        <v>3.288E-2</v>
      </c>
      <c r="U75" s="122">
        <v>3.1260000000000003E-2</v>
      </c>
      <c r="V75" s="122">
        <v>3.2199999999999999E-2</v>
      </c>
      <c r="W75" s="122">
        <v>3.3509999999999998E-2</v>
      </c>
      <c r="X75" s="122">
        <v>3.508E-2</v>
      </c>
      <c r="Y75" s="122">
        <v>3.4099999999999998E-2</v>
      </c>
      <c r="Z75" s="122">
        <v>3.2710000000000003E-2</v>
      </c>
      <c r="AA75" s="122">
        <v>3.1109999999999999E-2</v>
      </c>
      <c r="AB75" s="122">
        <v>3.2059999999999998E-2</v>
      </c>
      <c r="AC75" s="122">
        <v>3.338E-2</v>
      </c>
      <c r="AD75" s="122">
        <v>3.4959999999999998E-2</v>
      </c>
      <c r="AE75" s="122">
        <v>3.3989999999999999E-2</v>
      </c>
      <c r="AF75" s="122">
        <v>3.261E-2</v>
      </c>
      <c r="AG75" s="122">
        <v>3.1029999999999999E-2</v>
      </c>
      <c r="AH75" s="122">
        <v>3.1980000000000001E-2</v>
      </c>
      <c r="AI75" s="122">
        <v>3.3309999999999999E-2</v>
      </c>
      <c r="AJ75" s="122">
        <v>3.4880000000000001E-2</v>
      </c>
      <c r="AK75" s="122">
        <v>3.3919999999999999E-2</v>
      </c>
      <c r="AL75" s="122">
        <v>3.2550000000000003E-2</v>
      </c>
      <c r="AM75" s="122">
        <v>3.0980000000000001E-2</v>
      </c>
      <c r="AN75" s="122">
        <v>3.1940000000000003E-2</v>
      </c>
      <c r="AO75" s="122">
        <v>3.3259999999999998E-2</v>
      </c>
      <c r="AP75" s="122">
        <v>3.4840000000000003E-2</v>
      </c>
      <c r="AQ75" s="122">
        <v>3.388E-2</v>
      </c>
      <c r="AR75" s="122">
        <v>3.252E-2</v>
      </c>
      <c r="AS75" s="122">
        <v>3.0949999999999998E-2</v>
      </c>
      <c r="AT75" s="122">
        <v>3.1910000000000001E-2</v>
      </c>
      <c r="AU75" s="122">
        <v>3.3239999999999999E-2</v>
      </c>
      <c r="AV75" s="122">
        <v>3.4810000000000001E-2</v>
      </c>
      <c r="AW75" s="122">
        <v>3.3860000000000001E-2</v>
      </c>
      <c r="AX75" s="122">
        <v>3.2500000000000001E-2</v>
      </c>
      <c r="AY75" s="122">
        <v>3.0929999999999999E-2</v>
      </c>
      <c r="AZ75" s="122">
        <v>3.1899999999999998E-2</v>
      </c>
      <c r="BA75" s="122">
        <v>3.322E-2</v>
      </c>
      <c r="BB75" s="122">
        <v>3.4799999999999998E-2</v>
      </c>
      <c r="BC75" s="122">
        <v>3.3849999999999998E-2</v>
      </c>
      <c r="BD75" s="122">
        <v>3.2489999999999998E-2</v>
      </c>
      <c r="BE75" s="122">
        <v>3.092E-2</v>
      </c>
      <c r="BF75" s="122">
        <v>3.1890000000000002E-2</v>
      </c>
      <c r="BG75" s="122">
        <v>3.322E-2</v>
      </c>
      <c r="BH75" s="122">
        <v>3.4790000000000001E-2</v>
      </c>
      <c r="BI75" s="122">
        <v>3.3840000000000002E-2</v>
      </c>
      <c r="BJ75" s="122">
        <v>3.2480000000000002E-2</v>
      </c>
      <c r="BK75" s="122">
        <v>3.092E-2</v>
      </c>
      <c r="BL75" s="122">
        <v>3.1879999999999999E-2</v>
      </c>
      <c r="BM75" s="122">
        <v>3.3210000000000003E-2</v>
      </c>
      <c r="BN75" s="122">
        <v>3.4790000000000001E-2</v>
      </c>
      <c r="BO75" s="122">
        <v>3.3829999999999999E-2</v>
      </c>
      <c r="BP75" s="122">
        <v>3.2480000000000002E-2</v>
      </c>
      <c r="BQ75" s="122">
        <v>3.091E-2</v>
      </c>
      <c r="BR75" s="122">
        <v>3.1879999999999999E-2</v>
      </c>
      <c r="BS75" s="122">
        <v>3.3210000000000003E-2</v>
      </c>
      <c r="BT75" s="122">
        <v>3.4790000000000001E-2</v>
      </c>
      <c r="BU75" s="122">
        <v>3.4790000000000001E-2</v>
      </c>
      <c r="BV75" s="122">
        <v>3.4790000000000001E-2</v>
      </c>
      <c r="BW75" s="122">
        <v>3.4790000000000001E-2</v>
      </c>
      <c r="BX75" s="122">
        <v>3.4790000000000001E-2</v>
      </c>
      <c r="BY75" s="122">
        <v>3.4790000000000001E-2</v>
      </c>
    </row>
    <row r="76" spans="1:122" x14ac:dyDescent="0.25">
      <c r="A76">
        <f t="shared" si="88"/>
        <v>11</v>
      </c>
      <c r="B76" s="72" t="s">
        <v>194</v>
      </c>
      <c r="C76" s="122">
        <v>2.9399999999999999E-2</v>
      </c>
      <c r="D76" s="122">
        <v>2.9860000000000001E-2</v>
      </c>
      <c r="E76" s="122">
        <v>3.0259999999999999E-2</v>
      </c>
      <c r="F76" s="122">
        <v>3.0609999999999998E-2</v>
      </c>
      <c r="G76" s="122">
        <v>3.091E-2</v>
      </c>
      <c r="H76" s="122">
        <v>3.117E-2</v>
      </c>
      <c r="I76" s="122">
        <v>3.1390000000000001E-2</v>
      </c>
      <c r="J76" s="122">
        <v>3.159E-2</v>
      </c>
      <c r="K76" s="122">
        <v>3.1759999999999997E-2</v>
      </c>
      <c r="L76" s="122">
        <v>3.1910000000000001E-2</v>
      </c>
      <c r="M76" s="122">
        <v>3.2039999999999999E-2</v>
      </c>
      <c r="N76" s="122">
        <v>3.2160000000000001E-2</v>
      </c>
      <c r="O76" s="122">
        <v>3.2259999999999997E-2</v>
      </c>
      <c r="P76" s="122">
        <v>3.236E-2</v>
      </c>
      <c r="Q76" s="122">
        <v>3.2439999999999997E-2</v>
      </c>
      <c r="R76" s="122">
        <v>3.252E-2</v>
      </c>
      <c r="S76" s="122">
        <v>3.2590000000000001E-2</v>
      </c>
      <c r="T76" s="122">
        <v>3.2649999999999998E-2</v>
      </c>
      <c r="U76" s="122">
        <v>3.2710000000000003E-2</v>
      </c>
      <c r="V76" s="122">
        <v>3.2759999999999997E-2</v>
      </c>
      <c r="W76" s="122">
        <v>3.2800000000000003E-2</v>
      </c>
      <c r="X76" s="122">
        <v>3.2849999999999997E-2</v>
      </c>
      <c r="Y76" s="122">
        <v>3.288E-2</v>
      </c>
      <c r="Z76" s="122">
        <v>3.2919999999999998E-2</v>
      </c>
      <c r="AA76" s="122">
        <v>3.295E-2</v>
      </c>
      <c r="AB76" s="122">
        <v>3.2980000000000002E-2</v>
      </c>
      <c r="AC76" s="122">
        <v>3.3009999999999998E-2</v>
      </c>
      <c r="AD76" s="122">
        <v>3.3029999999999997E-2</v>
      </c>
      <c r="AE76" s="122">
        <v>3.3050000000000003E-2</v>
      </c>
      <c r="AF76" s="122">
        <v>3.3070000000000002E-2</v>
      </c>
      <c r="AG76" s="122">
        <v>3.3090000000000001E-2</v>
      </c>
      <c r="AH76" s="122">
        <v>3.3110000000000001E-2</v>
      </c>
      <c r="AI76" s="122">
        <v>3.3119999999999997E-2</v>
      </c>
      <c r="AJ76" s="122">
        <v>3.3140000000000003E-2</v>
      </c>
      <c r="AK76" s="122">
        <v>3.3149999999999999E-2</v>
      </c>
      <c r="AL76" s="122">
        <v>3.3160000000000002E-2</v>
      </c>
      <c r="AM76" s="122">
        <v>3.3169999999999998E-2</v>
      </c>
      <c r="AN76" s="122">
        <v>3.3180000000000001E-2</v>
      </c>
      <c r="AO76" s="122">
        <v>3.3189999999999997E-2</v>
      </c>
      <c r="AP76" s="122">
        <v>3.32E-2</v>
      </c>
      <c r="AQ76" s="122">
        <v>3.32E-2</v>
      </c>
      <c r="AR76" s="122">
        <v>3.3210000000000003E-2</v>
      </c>
      <c r="AS76" s="122">
        <v>3.322E-2</v>
      </c>
      <c r="AT76" s="122">
        <v>3.322E-2</v>
      </c>
      <c r="AU76" s="122">
        <v>3.3230000000000003E-2</v>
      </c>
      <c r="AV76" s="122">
        <v>3.3230000000000003E-2</v>
      </c>
      <c r="AW76" s="122">
        <v>3.3239999999999999E-2</v>
      </c>
      <c r="AX76" s="122">
        <v>3.3239999999999999E-2</v>
      </c>
      <c r="AY76" s="122">
        <v>3.3239999999999999E-2</v>
      </c>
      <c r="AZ76" s="122">
        <v>3.3250000000000002E-2</v>
      </c>
      <c r="BA76" s="122">
        <v>3.3250000000000002E-2</v>
      </c>
      <c r="BB76" s="122">
        <v>3.3250000000000002E-2</v>
      </c>
      <c r="BC76" s="122">
        <v>3.3250000000000002E-2</v>
      </c>
      <c r="BD76" s="122">
        <v>3.3259999999999998E-2</v>
      </c>
      <c r="BE76" s="122">
        <v>3.3259999999999998E-2</v>
      </c>
      <c r="BF76" s="122">
        <v>3.3259999999999998E-2</v>
      </c>
      <c r="BG76" s="122">
        <v>3.3259999999999998E-2</v>
      </c>
      <c r="BH76" s="122">
        <v>3.3259999999999998E-2</v>
      </c>
      <c r="BI76" s="122">
        <v>3.3259999999999998E-2</v>
      </c>
      <c r="BJ76" s="122">
        <v>3.3259999999999998E-2</v>
      </c>
      <c r="BK76" s="122">
        <v>3.3270000000000001E-2</v>
      </c>
      <c r="BL76" s="122">
        <v>3.3270000000000001E-2</v>
      </c>
      <c r="BM76" s="122">
        <v>3.3270000000000001E-2</v>
      </c>
      <c r="BN76" s="122">
        <v>3.3270000000000001E-2</v>
      </c>
      <c r="BO76" s="122">
        <v>3.3270000000000001E-2</v>
      </c>
      <c r="BP76" s="122">
        <v>3.3270000000000001E-2</v>
      </c>
      <c r="BQ76" s="122">
        <v>3.3270000000000001E-2</v>
      </c>
      <c r="BR76" s="122">
        <v>3.3270000000000001E-2</v>
      </c>
      <c r="BS76" s="122">
        <v>3.3270000000000001E-2</v>
      </c>
      <c r="BT76" s="122">
        <v>3.3270000000000001E-2</v>
      </c>
      <c r="BU76" s="122">
        <v>3.3270000000000001E-2</v>
      </c>
      <c r="BV76" s="122">
        <v>3.3270000000000001E-2</v>
      </c>
      <c r="BW76" s="122">
        <v>3.3270000000000001E-2</v>
      </c>
      <c r="BX76" s="122">
        <v>3.3270000000000001E-2</v>
      </c>
      <c r="BY76" s="122">
        <v>3.3270000000000001E-2</v>
      </c>
    </row>
    <row r="77" spans="1:122" x14ac:dyDescent="0.25">
      <c r="A77">
        <f t="shared" si="88"/>
        <v>12</v>
      </c>
      <c r="B77" s="72" t="s">
        <v>195</v>
      </c>
      <c r="C77" s="122">
        <v>2.9399999999999999E-2</v>
      </c>
      <c r="D77" s="122">
        <v>2.8989999999999998E-2</v>
      </c>
      <c r="E77" s="122">
        <v>2.8539999999999999E-2</v>
      </c>
      <c r="F77" s="122">
        <v>2.8080000000000001E-2</v>
      </c>
      <c r="G77" s="122">
        <v>2.76E-2</v>
      </c>
      <c r="H77" s="122">
        <v>2.7150000000000001E-2</v>
      </c>
      <c r="I77" s="122">
        <v>2.6710000000000001E-2</v>
      </c>
      <c r="J77" s="122">
        <v>2.63E-2</v>
      </c>
      <c r="K77" s="122">
        <v>2.5930000000000002E-2</v>
      </c>
      <c r="L77" s="122">
        <v>2.5579999999999999E-2</v>
      </c>
      <c r="M77" s="122">
        <v>2.5270000000000001E-2</v>
      </c>
      <c r="N77" s="122">
        <v>2.4979999999999999E-2</v>
      </c>
      <c r="O77" s="122">
        <v>2.4719999999999999E-2</v>
      </c>
      <c r="P77" s="122">
        <v>2.4490000000000001E-2</v>
      </c>
      <c r="Q77" s="122">
        <v>2.4279999999999999E-2</v>
      </c>
      <c r="R77" s="122">
        <v>2.409E-2</v>
      </c>
      <c r="S77" s="122">
        <v>2.393E-2</v>
      </c>
      <c r="T77" s="122">
        <v>2.3779999999999999E-2</v>
      </c>
      <c r="U77" s="122">
        <v>2.3640000000000001E-2</v>
      </c>
      <c r="V77" s="122">
        <v>2.3519999999999999E-2</v>
      </c>
      <c r="W77" s="122">
        <v>2.341E-2</v>
      </c>
      <c r="X77" s="122">
        <v>2.4029999999999999E-2</v>
      </c>
      <c r="Y77" s="122">
        <v>2.4639999999999999E-2</v>
      </c>
      <c r="Z77" s="122">
        <v>2.5229999999999999E-2</v>
      </c>
      <c r="AA77" s="122">
        <v>2.579E-2</v>
      </c>
      <c r="AB77" s="122">
        <v>2.6339999999999999E-2</v>
      </c>
      <c r="AC77" s="122">
        <v>2.6849999999999999E-2</v>
      </c>
      <c r="AD77" s="122">
        <v>2.734E-2</v>
      </c>
      <c r="AE77" s="122">
        <v>2.7799999999999998E-2</v>
      </c>
      <c r="AF77" s="122">
        <v>2.8230000000000002E-2</v>
      </c>
      <c r="AG77" s="122">
        <v>2.8629999999999999E-2</v>
      </c>
      <c r="AH77" s="122">
        <v>2.9000000000000001E-2</v>
      </c>
      <c r="AI77" s="122">
        <v>2.9350000000000001E-2</v>
      </c>
      <c r="AJ77" s="122">
        <v>2.9669999999999998E-2</v>
      </c>
      <c r="AK77" s="122">
        <v>2.997E-2</v>
      </c>
      <c r="AL77" s="122">
        <v>3.0249999999999999E-2</v>
      </c>
      <c r="AM77" s="122">
        <v>3.0499999999999999E-2</v>
      </c>
      <c r="AN77" s="122">
        <v>3.074E-2</v>
      </c>
      <c r="AO77" s="122">
        <v>3.0949999999999998E-2</v>
      </c>
      <c r="AP77" s="122">
        <v>3.1150000000000001E-2</v>
      </c>
      <c r="AQ77" s="122">
        <v>3.1329999999999997E-2</v>
      </c>
      <c r="AR77" s="122">
        <v>3.15E-2</v>
      </c>
      <c r="AS77" s="122">
        <v>3.1649999999999998E-2</v>
      </c>
      <c r="AT77" s="122">
        <v>3.1789999999999999E-2</v>
      </c>
      <c r="AU77" s="122">
        <v>3.1919999999999997E-2</v>
      </c>
      <c r="AV77" s="122">
        <v>3.2039999999999999E-2</v>
      </c>
      <c r="AW77" s="122">
        <v>3.2149999999999998E-2</v>
      </c>
      <c r="AX77" s="122">
        <v>3.2250000000000001E-2</v>
      </c>
      <c r="AY77" s="122">
        <v>3.2340000000000001E-2</v>
      </c>
      <c r="AZ77" s="122">
        <v>3.2419999999999997E-2</v>
      </c>
      <c r="BA77" s="122">
        <v>3.2489999999999998E-2</v>
      </c>
      <c r="BB77" s="122">
        <v>3.2559999999999999E-2</v>
      </c>
      <c r="BC77" s="122">
        <v>3.2629999999999999E-2</v>
      </c>
      <c r="BD77" s="122">
        <v>3.2680000000000001E-2</v>
      </c>
      <c r="BE77" s="122">
        <v>3.2739999999999998E-2</v>
      </c>
      <c r="BF77" s="122">
        <v>3.2779999999999997E-2</v>
      </c>
      <c r="BG77" s="122">
        <v>3.2829999999999998E-2</v>
      </c>
      <c r="BH77" s="122">
        <v>3.2870000000000003E-2</v>
      </c>
      <c r="BI77" s="122">
        <v>3.2899999999999999E-2</v>
      </c>
      <c r="BJ77" s="122">
        <v>3.2939999999999997E-2</v>
      </c>
      <c r="BK77" s="122">
        <v>3.2969999999999999E-2</v>
      </c>
      <c r="BL77" s="122">
        <v>3.2989999999999998E-2</v>
      </c>
      <c r="BM77" s="122">
        <v>3.3020000000000001E-2</v>
      </c>
      <c r="BN77" s="122">
        <v>3.304E-2</v>
      </c>
      <c r="BO77" s="122">
        <v>3.3059999999999999E-2</v>
      </c>
      <c r="BP77" s="122">
        <v>3.3079999999999998E-2</v>
      </c>
      <c r="BQ77" s="122">
        <v>3.3099999999999997E-2</v>
      </c>
      <c r="BR77" s="122">
        <v>3.3110000000000001E-2</v>
      </c>
      <c r="BS77" s="122">
        <v>3.313E-2</v>
      </c>
      <c r="BT77" s="122">
        <v>3.3140000000000003E-2</v>
      </c>
      <c r="BU77" s="122">
        <v>3.3140000000000003E-2</v>
      </c>
      <c r="BV77" s="122">
        <v>3.3140000000000003E-2</v>
      </c>
      <c r="BW77" s="122">
        <v>3.3140000000000003E-2</v>
      </c>
      <c r="BX77" s="122">
        <v>3.3140000000000003E-2</v>
      </c>
      <c r="BY77" s="122">
        <v>3.3140000000000003E-2</v>
      </c>
    </row>
    <row r="78" spans="1:122" x14ac:dyDescent="0.25">
      <c r="A78">
        <f t="shared" si="88"/>
        <v>13</v>
      </c>
      <c r="B78" s="72" t="s">
        <v>196</v>
      </c>
      <c r="C78" s="122">
        <v>2.9399999999999999E-2</v>
      </c>
      <c r="D78" s="122">
        <v>2.9860000000000001E-2</v>
      </c>
      <c r="E78" s="122">
        <v>3.0259999999999999E-2</v>
      </c>
      <c r="F78" s="122">
        <v>3.0609999999999998E-2</v>
      </c>
      <c r="G78" s="122">
        <v>3.091E-2</v>
      </c>
      <c r="H78" s="122">
        <v>3.117E-2</v>
      </c>
      <c r="I78" s="122">
        <v>3.1390000000000001E-2</v>
      </c>
      <c r="J78" s="122">
        <v>3.159E-2</v>
      </c>
      <c r="K78" s="122">
        <v>3.1759999999999997E-2</v>
      </c>
      <c r="L78" s="122">
        <v>3.1910000000000001E-2</v>
      </c>
      <c r="M78" s="122">
        <v>3.2039999999999999E-2</v>
      </c>
      <c r="N78" s="122">
        <v>4.0820000000000002E-2</v>
      </c>
      <c r="O78" s="122">
        <v>4.5109999999999997E-2</v>
      </c>
      <c r="P78" s="122">
        <v>4.8590000000000001E-2</v>
      </c>
      <c r="Q78" s="122">
        <v>5.1540000000000002E-2</v>
      </c>
      <c r="R78" s="122">
        <v>5.4059999999999997E-2</v>
      </c>
      <c r="S78" s="122">
        <v>5.6189999999999997E-2</v>
      </c>
      <c r="T78" s="122">
        <v>5.7979999999999997E-2</v>
      </c>
      <c r="U78" s="122">
        <v>5.944E-2</v>
      </c>
      <c r="V78" s="122">
        <v>6.0609999999999997E-2</v>
      </c>
      <c r="W78" s="122">
        <v>6.1519999999999998E-2</v>
      </c>
      <c r="X78" s="122">
        <v>6.1030000000000001E-2</v>
      </c>
      <c r="Y78" s="122">
        <v>6.0330000000000002E-2</v>
      </c>
      <c r="Z78" s="122">
        <v>5.9499999999999997E-2</v>
      </c>
      <c r="AA78" s="122">
        <v>5.8590000000000003E-2</v>
      </c>
      <c r="AB78" s="122">
        <v>5.7639999999999997E-2</v>
      </c>
      <c r="AC78" s="122">
        <v>5.6680000000000001E-2</v>
      </c>
      <c r="AD78" s="122">
        <v>5.5739999999999998E-2</v>
      </c>
      <c r="AE78" s="122">
        <v>5.4820000000000001E-2</v>
      </c>
      <c r="AF78" s="122">
        <v>5.3929999999999999E-2</v>
      </c>
      <c r="AG78" s="122">
        <v>5.3089999999999998E-2</v>
      </c>
      <c r="AH78" s="122">
        <v>5.228E-2</v>
      </c>
      <c r="AI78" s="122">
        <v>5.1520000000000003E-2</v>
      </c>
      <c r="AJ78" s="122">
        <v>5.0790000000000002E-2</v>
      </c>
      <c r="AK78" s="122">
        <v>5.0110000000000002E-2</v>
      </c>
      <c r="AL78" s="122">
        <v>4.947E-2</v>
      </c>
      <c r="AM78" s="122">
        <v>4.8860000000000001E-2</v>
      </c>
      <c r="AN78" s="122">
        <v>4.829E-2</v>
      </c>
      <c r="AO78" s="122">
        <v>4.7750000000000001E-2</v>
      </c>
      <c r="AP78" s="122">
        <v>4.725E-2</v>
      </c>
      <c r="AQ78" s="122">
        <v>4.6780000000000002E-2</v>
      </c>
      <c r="AR78" s="122">
        <v>4.6330000000000003E-2</v>
      </c>
      <c r="AS78" s="122">
        <v>4.5909999999999999E-2</v>
      </c>
      <c r="AT78" s="122">
        <v>4.5519999999999998E-2</v>
      </c>
      <c r="AU78" s="122">
        <v>4.5150000000000003E-2</v>
      </c>
      <c r="AV78" s="122">
        <v>4.48E-2</v>
      </c>
      <c r="AW78" s="122">
        <v>4.4470000000000003E-2</v>
      </c>
      <c r="AX78" s="122">
        <v>4.4159999999999998E-2</v>
      </c>
      <c r="AY78" s="122">
        <v>4.3860000000000003E-2</v>
      </c>
      <c r="AZ78" s="122">
        <v>4.3589999999999997E-2</v>
      </c>
      <c r="BA78" s="122">
        <v>4.333E-2</v>
      </c>
      <c r="BB78" s="122">
        <v>4.308E-2</v>
      </c>
      <c r="BC78" s="122">
        <v>4.2849999999999999E-2</v>
      </c>
      <c r="BD78" s="122">
        <v>4.2630000000000001E-2</v>
      </c>
      <c r="BE78" s="122">
        <v>4.2419999999999999E-2</v>
      </c>
      <c r="BF78" s="122">
        <v>4.2220000000000001E-2</v>
      </c>
      <c r="BG78" s="122">
        <v>4.2029999999999998E-2</v>
      </c>
      <c r="BH78" s="122">
        <v>4.1849999999999998E-2</v>
      </c>
      <c r="BI78" s="122">
        <v>4.1680000000000002E-2</v>
      </c>
      <c r="BJ78" s="122">
        <v>4.1520000000000001E-2</v>
      </c>
      <c r="BK78" s="122">
        <v>4.1369999999999997E-2</v>
      </c>
      <c r="BL78" s="122">
        <v>4.122E-2</v>
      </c>
      <c r="BM78" s="122">
        <v>4.1090000000000002E-2</v>
      </c>
      <c r="BN78" s="122">
        <v>4.095E-2</v>
      </c>
      <c r="BO78" s="122">
        <v>4.0829999999999998E-2</v>
      </c>
      <c r="BP78" s="122">
        <v>4.0710000000000003E-2</v>
      </c>
      <c r="BQ78" s="122">
        <v>4.0590000000000001E-2</v>
      </c>
      <c r="BR78" s="122">
        <v>4.0480000000000002E-2</v>
      </c>
      <c r="BS78" s="122">
        <v>4.0379999999999999E-2</v>
      </c>
      <c r="BT78" s="122">
        <v>4.0280000000000003E-2</v>
      </c>
      <c r="BU78" s="122">
        <v>4.0280000000000003E-2</v>
      </c>
      <c r="BV78" s="122">
        <v>4.0280000000000003E-2</v>
      </c>
      <c r="BW78" s="122">
        <v>4.0280000000000003E-2</v>
      </c>
      <c r="BX78" s="122">
        <v>4.0280000000000003E-2</v>
      </c>
      <c r="BY78" s="122">
        <v>4.0280000000000003E-2</v>
      </c>
    </row>
    <row r="79" spans="1:122" x14ac:dyDescent="0.25">
      <c r="A79">
        <f t="shared" si="88"/>
        <v>14</v>
      </c>
      <c r="B79" s="72" t="s">
        <v>197</v>
      </c>
      <c r="C79" s="122">
        <v>2.9399999999999999E-2</v>
      </c>
      <c r="D79" s="122">
        <v>2.9860000000000001E-2</v>
      </c>
      <c r="E79" s="122">
        <v>3.0259999999999999E-2</v>
      </c>
      <c r="F79" s="122">
        <v>3.0609999999999998E-2</v>
      </c>
      <c r="G79" s="122">
        <v>3.091E-2</v>
      </c>
      <c r="H79" s="122">
        <v>3.117E-2</v>
      </c>
      <c r="I79" s="122">
        <v>3.1390000000000001E-2</v>
      </c>
      <c r="J79" s="122">
        <v>3.159E-2</v>
      </c>
      <c r="K79" s="122">
        <v>3.1759999999999997E-2</v>
      </c>
      <c r="L79" s="122">
        <v>3.1910000000000001E-2</v>
      </c>
      <c r="M79" s="122">
        <v>3.2039999999999999E-2</v>
      </c>
      <c r="N79" s="122">
        <v>4.0820000000000002E-2</v>
      </c>
      <c r="O79" s="122">
        <v>4.5109999999999997E-2</v>
      </c>
      <c r="P79" s="122">
        <v>4.8590000000000001E-2</v>
      </c>
      <c r="Q79" s="122">
        <v>5.1540000000000002E-2</v>
      </c>
      <c r="R79" s="122">
        <v>5.4059999999999997E-2</v>
      </c>
      <c r="S79" s="122">
        <v>5.6189999999999997E-2</v>
      </c>
      <c r="T79" s="122">
        <v>5.7979999999999997E-2</v>
      </c>
      <c r="U79" s="122">
        <v>5.944E-2</v>
      </c>
      <c r="V79" s="122">
        <v>6.0609999999999997E-2</v>
      </c>
      <c r="W79" s="122">
        <v>6.1519999999999998E-2</v>
      </c>
      <c r="X79" s="122">
        <v>6.1030000000000001E-2</v>
      </c>
      <c r="Y79" s="122">
        <v>6.0330000000000002E-2</v>
      </c>
      <c r="Z79" s="122">
        <v>5.9499999999999997E-2</v>
      </c>
      <c r="AA79" s="122">
        <v>5.8590000000000003E-2</v>
      </c>
      <c r="AB79" s="122">
        <v>5.7639999999999997E-2</v>
      </c>
      <c r="AC79" s="122">
        <v>5.6680000000000001E-2</v>
      </c>
      <c r="AD79" s="122">
        <v>5.5739999999999998E-2</v>
      </c>
      <c r="AE79" s="122">
        <v>5.4820000000000001E-2</v>
      </c>
      <c r="AF79" s="122">
        <v>5.3929999999999999E-2</v>
      </c>
      <c r="AG79" s="122">
        <v>5.3089999999999998E-2</v>
      </c>
      <c r="AH79" s="122">
        <v>5.228E-2</v>
      </c>
      <c r="AI79" s="122">
        <v>5.1520000000000003E-2</v>
      </c>
      <c r="AJ79" s="122">
        <v>5.0790000000000002E-2</v>
      </c>
      <c r="AK79" s="122">
        <v>5.0110000000000002E-2</v>
      </c>
      <c r="AL79" s="122">
        <v>4.947E-2</v>
      </c>
      <c r="AM79" s="122">
        <v>4.8860000000000001E-2</v>
      </c>
      <c r="AN79" s="122">
        <v>4.829E-2</v>
      </c>
      <c r="AO79" s="122">
        <v>4.7750000000000001E-2</v>
      </c>
      <c r="AP79" s="122">
        <v>4.725E-2</v>
      </c>
      <c r="AQ79" s="122">
        <v>4.6780000000000002E-2</v>
      </c>
      <c r="AR79" s="122">
        <v>4.6330000000000003E-2</v>
      </c>
      <c r="AS79" s="122">
        <v>4.5909999999999999E-2</v>
      </c>
      <c r="AT79" s="122">
        <v>4.5519999999999998E-2</v>
      </c>
      <c r="AU79" s="122">
        <v>4.5150000000000003E-2</v>
      </c>
      <c r="AV79" s="122">
        <v>4.48E-2</v>
      </c>
      <c r="AW79" s="122">
        <v>4.4470000000000003E-2</v>
      </c>
      <c r="AX79" s="122">
        <v>4.4159999999999998E-2</v>
      </c>
      <c r="AY79" s="122">
        <v>4.3860000000000003E-2</v>
      </c>
      <c r="AZ79" s="122">
        <v>4.3589999999999997E-2</v>
      </c>
      <c r="BA79" s="122">
        <v>4.333E-2</v>
      </c>
      <c r="BB79" s="122">
        <v>4.308E-2</v>
      </c>
      <c r="BC79" s="122">
        <v>4.2849999999999999E-2</v>
      </c>
      <c r="BD79" s="122">
        <v>4.2630000000000001E-2</v>
      </c>
      <c r="BE79" s="122">
        <v>4.2419999999999999E-2</v>
      </c>
      <c r="BF79" s="122">
        <v>4.2220000000000001E-2</v>
      </c>
      <c r="BG79" s="122">
        <v>4.2029999999999998E-2</v>
      </c>
      <c r="BH79" s="122">
        <v>4.1849999999999998E-2</v>
      </c>
      <c r="BI79" s="122">
        <v>4.1680000000000002E-2</v>
      </c>
      <c r="BJ79" s="122">
        <v>4.1520000000000001E-2</v>
      </c>
      <c r="BK79" s="122">
        <v>4.1369999999999997E-2</v>
      </c>
      <c r="BL79" s="122">
        <v>4.122E-2</v>
      </c>
      <c r="BM79" s="122">
        <v>4.1090000000000002E-2</v>
      </c>
      <c r="BN79" s="122">
        <v>4.095E-2</v>
      </c>
      <c r="BO79" s="122">
        <v>4.0829999999999998E-2</v>
      </c>
      <c r="BP79" s="122">
        <v>4.0710000000000003E-2</v>
      </c>
      <c r="BQ79" s="122">
        <v>4.0590000000000001E-2</v>
      </c>
      <c r="BR79" s="122">
        <v>4.0480000000000002E-2</v>
      </c>
      <c r="BS79" s="122">
        <v>4.0379999999999999E-2</v>
      </c>
      <c r="BT79" s="122">
        <v>4.0280000000000003E-2</v>
      </c>
      <c r="BU79" s="122">
        <v>4.0280000000000003E-2</v>
      </c>
      <c r="BV79" s="122">
        <v>4.0280000000000003E-2</v>
      </c>
      <c r="BW79" s="122">
        <v>4.0280000000000003E-2</v>
      </c>
      <c r="BX79" s="122">
        <v>4.0280000000000003E-2</v>
      </c>
      <c r="BY79" s="122">
        <v>4.0280000000000003E-2</v>
      </c>
    </row>
    <row r="80" spans="1:122" x14ac:dyDescent="0.25">
      <c r="A80">
        <f t="shared" si="88"/>
        <v>15</v>
      </c>
      <c r="B80" s="72" t="s">
        <v>198</v>
      </c>
      <c r="C80" s="122">
        <v>2.9399999999999999E-2</v>
      </c>
      <c r="D80" s="122">
        <v>2.9860000000000001E-2</v>
      </c>
      <c r="E80" s="122">
        <v>3.0259999999999999E-2</v>
      </c>
      <c r="F80" s="122">
        <v>3.0609999999999998E-2</v>
      </c>
      <c r="G80" s="122">
        <v>3.091E-2</v>
      </c>
      <c r="H80" s="122">
        <v>3.117E-2</v>
      </c>
      <c r="I80" s="122">
        <v>3.1390000000000001E-2</v>
      </c>
      <c r="J80" s="122">
        <v>3.159E-2</v>
      </c>
      <c r="K80" s="122">
        <v>3.1759999999999997E-2</v>
      </c>
      <c r="L80" s="122">
        <v>3.1910000000000001E-2</v>
      </c>
      <c r="M80" s="122">
        <v>3.2039999999999999E-2</v>
      </c>
      <c r="N80" s="122">
        <v>2.503E-2</v>
      </c>
      <c r="O80" s="122">
        <v>2.2790000000000001E-2</v>
      </c>
      <c r="P80" s="122">
        <v>2.1440000000000001E-2</v>
      </c>
      <c r="Q80" s="122">
        <v>2.0570000000000001E-2</v>
      </c>
      <c r="R80" s="122">
        <v>2.001E-2</v>
      </c>
      <c r="S80" s="122">
        <v>1.9650000000000001E-2</v>
      </c>
      <c r="T80" s="122">
        <v>1.9439999999999999E-2</v>
      </c>
      <c r="U80" s="122">
        <v>1.934E-2</v>
      </c>
      <c r="V80" s="122">
        <v>1.932E-2</v>
      </c>
      <c r="W80" s="122">
        <v>1.9359999999999999E-2</v>
      </c>
      <c r="X80" s="122">
        <v>1.9820000000000001E-2</v>
      </c>
      <c r="Y80" s="122">
        <v>2.026E-2</v>
      </c>
      <c r="Z80" s="122">
        <v>2.07E-2</v>
      </c>
      <c r="AA80" s="122">
        <v>2.1129999999999999E-2</v>
      </c>
      <c r="AB80" s="122">
        <v>2.1530000000000001E-2</v>
      </c>
      <c r="AC80" s="122">
        <v>2.1930000000000002E-2</v>
      </c>
      <c r="AD80" s="122">
        <v>2.23E-2</v>
      </c>
      <c r="AE80" s="122">
        <v>2.266E-2</v>
      </c>
      <c r="AF80" s="122">
        <v>2.3E-2</v>
      </c>
      <c r="AG80" s="122">
        <v>2.332E-2</v>
      </c>
      <c r="AH80" s="122">
        <v>2.3630000000000002E-2</v>
      </c>
      <c r="AI80" s="122">
        <v>2.392E-2</v>
      </c>
      <c r="AJ80" s="122">
        <v>2.419E-2</v>
      </c>
      <c r="AK80" s="122">
        <v>2.445E-2</v>
      </c>
      <c r="AL80" s="122">
        <v>2.469E-2</v>
      </c>
      <c r="AM80" s="122">
        <v>2.4920000000000001E-2</v>
      </c>
      <c r="AN80" s="122">
        <v>2.5139999999999999E-2</v>
      </c>
      <c r="AO80" s="122">
        <v>2.5340000000000001E-2</v>
      </c>
      <c r="AP80" s="122">
        <v>2.5530000000000001E-2</v>
      </c>
      <c r="AQ80" s="122">
        <v>2.571E-2</v>
      </c>
      <c r="AR80" s="122">
        <v>2.588E-2</v>
      </c>
      <c r="AS80" s="122">
        <v>2.6040000000000001E-2</v>
      </c>
      <c r="AT80" s="122">
        <v>2.6190000000000001E-2</v>
      </c>
      <c r="AU80" s="122">
        <v>2.6329999999999999E-2</v>
      </c>
      <c r="AV80" s="122">
        <v>2.647E-2</v>
      </c>
      <c r="AW80" s="122">
        <v>2.6589999999999999E-2</v>
      </c>
      <c r="AX80" s="122">
        <v>2.6710000000000001E-2</v>
      </c>
      <c r="AY80" s="122">
        <v>2.683E-2</v>
      </c>
      <c r="AZ80" s="122">
        <v>2.6939999999999999E-2</v>
      </c>
      <c r="BA80" s="122">
        <v>2.7040000000000002E-2</v>
      </c>
      <c r="BB80" s="122">
        <v>2.7130000000000001E-2</v>
      </c>
      <c r="BC80" s="122">
        <v>2.7230000000000001E-2</v>
      </c>
      <c r="BD80" s="122">
        <v>2.7310000000000001E-2</v>
      </c>
      <c r="BE80" s="122">
        <v>2.7400000000000001E-2</v>
      </c>
      <c r="BF80" s="122">
        <v>2.7480000000000001E-2</v>
      </c>
      <c r="BG80" s="122">
        <v>2.7550000000000002E-2</v>
      </c>
      <c r="BH80" s="122">
        <v>2.7629999999999998E-2</v>
      </c>
      <c r="BI80" s="122">
        <v>2.7699999999999999E-2</v>
      </c>
      <c r="BJ80" s="122">
        <v>2.776E-2</v>
      </c>
      <c r="BK80" s="122">
        <v>2.7830000000000001E-2</v>
      </c>
      <c r="BL80" s="122">
        <v>2.7890000000000002E-2</v>
      </c>
      <c r="BM80" s="122">
        <v>2.7949999999999999E-2</v>
      </c>
      <c r="BN80" s="122">
        <v>2.8000000000000001E-2</v>
      </c>
      <c r="BO80" s="122">
        <v>2.8060000000000002E-2</v>
      </c>
      <c r="BP80" s="122">
        <v>2.811E-2</v>
      </c>
      <c r="BQ80" s="122">
        <v>2.8160000000000001E-2</v>
      </c>
      <c r="BR80" s="122">
        <v>2.8209999999999999E-2</v>
      </c>
      <c r="BS80" s="122">
        <v>2.826E-2</v>
      </c>
      <c r="BT80" s="122">
        <v>2.8299999999999999E-2</v>
      </c>
      <c r="BU80" s="122">
        <v>2.8299999999999999E-2</v>
      </c>
      <c r="BV80" s="122">
        <v>2.8299999999999999E-2</v>
      </c>
      <c r="BW80" s="122">
        <v>2.8299999999999999E-2</v>
      </c>
      <c r="BX80" s="122">
        <v>2.8299999999999999E-2</v>
      </c>
      <c r="BY80" s="122">
        <v>2.8299999999999999E-2</v>
      </c>
    </row>
    <row r="81" spans="1:77" x14ac:dyDescent="0.25">
      <c r="A81">
        <f t="shared" si="88"/>
        <v>16</v>
      </c>
      <c r="B81" s="72" t="s">
        <v>199</v>
      </c>
      <c r="C81" s="122">
        <v>2.9399999999999999E-2</v>
      </c>
      <c r="D81" s="122">
        <v>2.9860000000000001E-2</v>
      </c>
      <c r="E81" s="122">
        <v>3.0259999999999999E-2</v>
      </c>
      <c r="F81" s="122">
        <v>3.0609999999999998E-2</v>
      </c>
      <c r="G81" s="122">
        <v>3.091E-2</v>
      </c>
      <c r="H81" s="122">
        <v>3.117E-2</v>
      </c>
      <c r="I81" s="122">
        <v>3.1390000000000001E-2</v>
      </c>
      <c r="J81" s="122">
        <v>3.159E-2</v>
      </c>
      <c r="K81" s="122">
        <v>3.1759999999999997E-2</v>
      </c>
      <c r="L81" s="122">
        <v>3.1910000000000001E-2</v>
      </c>
      <c r="M81" s="122">
        <v>3.2039999999999999E-2</v>
      </c>
      <c r="N81" s="122">
        <v>2.503E-2</v>
      </c>
      <c r="O81" s="122">
        <v>2.2790000000000001E-2</v>
      </c>
      <c r="P81" s="122">
        <v>2.1440000000000001E-2</v>
      </c>
      <c r="Q81" s="122">
        <v>2.0570000000000001E-2</v>
      </c>
      <c r="R81" s="122">
        <v>2.001E-2</v>
      </c>
      <c r="S81" s="122">
        <v>1.9650000000000001E-2</v>
      </c>
      <c r="T81" s="122">
        <v>1.9439999999999999E-2</v>
      </c>
      <c r="U81" s="122">
        <v>1.934E-2</v>
      </c>
      <c r="V81" s="122">
        <v>1.932E-2</v>
      </c>
      <c r="W81" s="122">
        <v>1.9359999999999999E-2</v>
      </c>
      <c r="X81" s="122">
        <v>1.9820000000000001E-2</v>
      </c>
      <c r="Y81" s="122">
        <v>2.026E-2</v>
      </c>
      <c r="Z81" s="122">
        <v>2.07E-2</v>
      </c>
      <c r="AA81" s="122">
        <v>2.1129999999999999E-2</v>
      </c>
      <c r="AB81" s="122">
        <v>2.1530000000000001E-2</v>
      </c>
      <c r="AC81" s="122">
        <v>2.1930000000000002E-2</v>
      </c>
      <c r="AD81" s="122">
        <v>2.23E-2</v>
      </c>
      <c r="AE81" s="122">
        <v>2.266E-2</v>
      </c>
      <c r="AF81" s="122">
        <v>2.3E-2</v>
      </c>
      <c r="AG81" s="122">
        <v>2.332E-2</v>
      </c>
      <c r="AH81" s="122">
        <v>2.3630000000000002E-2</v>
      </c>
      <c r="AI81" s="122">
        <v>2.392E-2</v>
      </c>
      <c r="AJ81" s="122">
        <v>2.419E-2</v>
      </c>
      <c r="AK81" s="122">
        <v>2.445E-2</v>
      </c>
      <c r="AL81" s="122">
        <v>2.469E-2</v>
      </c>
      <c r="AM81" s="122">
        <v>2.4920000000000001E-2</v>
      </c>
      <c r="AN81" s="122">
        <v>2.5139999999999999E-2</v>
      </c>
      <c r="AO81" s="122">
        <v>2.5340000000000001E-2</v>
      </c>
      <c r="AP81" s="122">
        <v>2.5530000000000001E-2</v>
      </c>
      <c r="AQ81" s="122">
        <v>2.571E-2</v>
      </c>
      <c r="AR81" s="122">
        <v>2.588E-2</v>
      </c>
      <c r="AS81" s="122">
        <v>2.6040000000000001E-2</v>
      </c>
      <c r="AT81" s="122">
        <v>2.6190000000000001E-2</v>
      </c>
      <c r="AU81" s="122">
        <v>2.6329999999999999E-2</v>
      </c>
      <c r="AV81" s="122">
        <v>2.647E-2</v>
      </c>
      <c r="AW81" s="122">
        <v>2.6589999999999999E-2</v>
      </c>
      <c r="AX81" s="122">
        <v>2.6710000000000001E-2</v>
      </c>
      <c r="AY81" s="122">
        <v>2.683E-2</v>
      </c>
      <c r="AZ81" s="122">
        <v>2.6939999999999999E-2</v>
      </c>
      <c r="BA81" s="122">
        <v>2.7040000000000002E-2</v>
      </c>
      <c r="BB81" s="122">
        <v>2.7130000000000001E-2</v>
      </c>
      <c r="BC81" s="122">
        <v>2.7230000000000001E-2</v>
      </c>
      <c r="BD81" s="122">
        <v>2.7310000000000001E-2</v>
      </c>
      <c r="BE81" s="122">
        <v>2.7400000000000001E-2</v>
      </c>
      <c r="BF81" s="122">
        <v>2.7480000000000001E-2</v>
      </c>
      <c r="BG81" s="122">
        <v>2.7550000000000002E-2</v>
      </c>
      <c r="BH81" s="122">
        <v>2.7629999999999998E-2</v>
      </c>
      <c r="BI81" s="122">
        <v>2.7699999999999999E-2</v>
      </c>
      <c r="BJ81" s="122">
        <v>2.776E-2</v>
      </c>
      <c r="BK81" s="122">
        <v>2.7830000000000001E-2</v>
      </c>
      <c r="BL81" s="122">
        <v>2.7890000000000002E-2</v>
      </c>
      <c r="BM81" s="122">
        <v>2.7949999999999999E-2</v>
      </c>
      <c r="BN81" s="122">
        <v>2.8000000000000001E-2</v>
      </c>
      <c r="BO81" s="122">
        <v>2.8060000000000002E-2</v>
      </c>
      <c r="BP81" s="122">
        <v>2.811E-2</v>
      </c>
      <c r="BQ81" s="122">
        <v>2.8160000000000001E-2</v>
      </c>
      <c r="BR81" s="122">
        <v>2.8209999999999999E-2</v>
      </c>
      <c r="BS81" s="122">
        <v>2.826E-2</v>
      </c>
      <c r="BT81" s="122">
        <v>2.8299999999999999E-2</v>
      </c>
      <c r="BU81" s="122">
        <v>2.8299999999999999E-2</v>
      </c>
      <c r="BV81" s="122">
        <v>2.8299999999999999E-2</v>
      </c>
      <c r="BW81" s="122">
        <v>2.8299999999999999E-2</v>
      </c>
      <c r="BX81" s="122">
        <v>2.8299999999999999E-2</v>
      </c>
      <c r="BY81" s="122">
        <v>2.8299999999999999E-2</v>
      </c>
    </row>
    <row r="83" spans="1:77" ht="15.75" x14ac:dyDescent="0.25">
      <c r="B83" s="138" t="s">
        <v>314</v>
      </c>
    </row>
    <row r="84" spans="1:77" x14ac:dyDescent="0.25">
      <c r="B84" s="266" t="s">
        <v>368</v>
      </c>
      <c r="C84" s="251"/>
      <c r="D84" s="251"/>
      <c r="E84" s="251"/>
      <c r="F84" s="251"/>
      <c r="G84" s="251"/>
      <c r="H84" s="251"/>
      <c r="I84" s="251"/>
      <c r="J84" s="251"/>
      <c r="K84" s="267"/>
      <c r="L84" s="267"/>
      <c r="M84" s="267"/>
    </row>
    <row r="85" spans="1:77" x14ac:dyDescent="0.25">
      <c r="B85" s="251"/>
      <c r="C85" s="251"/>
      <c r="D85" s="251"/>
      <c r="E85" s="251"/>
      <c r="F85" s="251"/>
      <c r="G85" s="251"/>
      <c r="H85" s="251"/>
      <c r="I85" s="251"/>
      <c r="J85" s="251"/>
      <c r="K85" s="267"/>
      <c r="L85" s="267"/>
      <c r="M85" s="267"/>
    </row>
    <row r="86" spans="1:77" x14ac:dyDescent="0.25">
      <c r="B86" s="251"/>
      <c r="C86" s="251"/>
      <c r="D86" s="251"/>
      <c r="E86" s="251"/>
      <c r="F86" s="251"/>
      <c r="G86" s="251"/>
      <c r="H86" s="251"/>
      <c r="I86" s="251"/>
      <c r="J86" s="251"/>
      <c r="K86" s="267"/>
      <c r="L86" s="267"/>
      <c r="M86" s="267"/>
    </row>
    <row r="87" spans="1:77" x14ac:dyDescent="0.25">
      <c r="B87" s="251"/>
      <c r="C87" s="251"/>
      <c r="D87" s="251"/>
      <c r="E87" s="251"/>
      <c r="F87" s="251"/>
      <c r="G87" s="251"/>
      <c r="H87" s="251"/>
      <c r="I87" s="251"/>
      <c r="J87" s="251"/>
      <c r="K87" s="267"/>
      <c r="L87" s="267"/>
      <c r="M87" s="267"/>
    </row>
    <row r="88" spans="1:77" x14ac:dyDescent="0.25">
      <c r="B88" s="251"/>
      <c r="C88" s="251"/>
      <c r="D88" s="251"/>
      <c r="E88" s="251"/>
      <c r="F88" s="251"/>
      <c r="G88" s="251"/>
      <c r="H88" s="251"/>
      <c r="I88" s="251"/>
      <c r="J88" s="251"/>
      <c r="K88" s="267"/>
      <c r="L88" s="267"/>
      <c r="M88" s="267"/>
    </row>
    <row r="89" spans="1:77" x14ac:dyDescent="0.25">
      <c r="B89" s="251"/>
      <c r="C89" s="251"/>
      <c r="D89" s="251"/>
      <c r="E89" s="251"/>
      <c r="F89" s="251"/>
      <c r="G89" s="251"/>
      <c r="H89" s="251"/>
      <c r="I89" s="251"/>
      <c r="J89" s="251"/>
      <c r="K89" s="267"/>
      <c r="L89" s="267"/>
      <c r="M89" s="267"/>
    </row>
    <row r="90" spans="1:77" x14ac:dyDescent="0.25">
      <c r="B90" s="251"/>
      <c r="C90" s="251"/>
      <c r="D90" s="251"/>
      <c r="E90" s="251"/>
      <c r="F90" s="251"/>
      <c r="G90" s="251"/>
      <c r="H90" s="251"/>
      <c r="I90" s="251"/>
      <c r="J90" s="251"/>
      <c r="K90" s="267"/>
      <c r="L90" s="267"/>
      <c r="M90" s="267"/>
    </row>
    <row r="91" spans="1:77" x14ac:dyDescent="0.25">
      <c r="B91" s="251"/>
      <c r="C91" s="251"/>
      <c r="D91" s="251"/>
      <c r="E91" s="251"/>
      <c r="F91" s="251"/>
      <c r="G91" s="251"/>
      <c r="H91" s="251"/>
      <c r="I91" s="251"/>
      <c r="J91" s="251"/>
      <c r="K91" s="267"/>
      <c r="L91" s="267"/>
      <c r="M91" s="267"/>
    </row>
    <row r="92" spans="1:77" x14ac:dyDescent="0.25">
      <c r="B92" s="251"/>
      <c r="C92" s="251"/>
      <c r="D92" s="251"/>
      <c r="E92" s="251"/>
      <c r="F92" s="251"/>
      <c r="G92" s="251"/>
      <c r="H92" s="251"/>
      <c r="I92" s="251"/>
      <c r="J92" s="251"/>
      <c r="K92" s="267"/>
      <c r="L92" s="267"/>
      <c r="M92" s="267"/>
    </row>
    <row r="93" spans="1:77" x14ac:dyDescent="0.25">
      <c r="B93" s="251"/>
      <c r="C93" s="251"/>
      <c r="D93" s="251"/>
      <c r="E93" s="251"/>
      <c r="F93" s="251"/>
      <c r="G93" s="251"/>
      <c r="H93" s="251"/>
      <c r="I93" s="251"/>
      <c r="J93" s="251"/>
      <c r="K93" s="267"/>
      <c r="L93" s="267"/>
      <c r="M93" s="267"/>
    </row>
    <row r="94" spans="1:77" x14ac:dyDescent="0.25">
      <c r="B94" s="251"/>
      <c r="C94" s="251"/>
      <c r="D94" s="251"/>
      <c r="E94" s="251"/>
      <c r="F94" s="251"/>
      <c r="G94" s="251"/>
      <c r="H94" s="251"/>
      <c r="I94" s="251"/>
      <c r="J94" s="251"/>
      <c r="K94" s="267"/>
      <c r="L94" s="267"/>
      <c r="M94" s="267"/>
    </row>
    <row r="95" spans="1:77" x14ac:dyDescent="0.25">
      <c r="B95" s="251"/>
      <c r="C95" s="251"/>
      <c r="D95" s="251"/>
      <c r="E95" s="251"/>
      <c r="F95" s="251"/>
      <c r="G95" s="251"/>
      <c r="H95" s="251"/>
      <c r="I95" s="251"/>
      <c r="J95" s="251"/>
      <c r="K95" s="267"/>
      <c r="L95" s="267"/>
      <c r="M95" s="267"/>
    </row>
    <row r="96" spans="1:77" x14ac:dyDescent="0.25">
      <c r="B96" s="251"/>
      <c r="C96" s="251"/>
      <c r="D96" s="251"/>
      <c r="E96" s="251"/>
      <c r="F96" s="251"/>
      <c r="G96" s="251"/>
      <c r="H96" s="251"/>
      <c r="I96" s="251"/>
      <c r="J96" s="251"/>
      <c r="K96" s="267"/>
      <c r="L96" s="267"/>
      <c r="M96" s="267"/>
    </row>
    <row r="97" spans="2:13" x14ac:dyDescent="0.25">
      <c r="B97" s="267"/>
      <c r="C97" s="267"/>
      <c r="D97" s="267"/>
      <c r="E97" s="267"/>
      <c r="F97" s="267"/>
      <c r="G97" s="267"/>
      <c r="H97" s="267"/>
      <c r="I97" s="267"/>
      <c r="J97" s="267"/>
      <c r="K97" s="267"/>
      <c r="L97" s="267"/>
      <c r="M97" s="267"/>
    </row>
    <row r="98" spans="2:13" x14ac:dyDescent="0.25">
      <c r="B98" s="267"/>
      <c r="C98" s="267"/>
      <c r="D98" s="267"/>
      <c r="E98" s="267"/>
      <c r="F98" s="267"/>
      <c r="G98" s="267"/>
      <c r="H98" s="267"/>
      <c r="I98" s="267"/>
      <c r="J98" s="267"/>
      <c r="K98" s="267"/>
      <c r="L98" s="267"/>
      <c r="M98" s="267"/>
    </row>
    <row r="99" spans="2:13" x14ac:dyDescent="0.25">
      <c r="B99" s="267"/>
      <c r="C99" s="267"/>
      <c r="D99" s="267"/>
      <c r="E99" s="267"/>
      <c r="F99" s="267"/>
      <c r="G99" s="267"/>
      <c r="H99" s="267"/>
      <c r="I99" s="267"/>
      <c r="J99" s="267"/>
      <c r="K99" s="267"/>
      <c r="L99" s="267"/>
      <c r="M99" s="267"/>
    </row>
    <row r="100" spans="2:13" x14ac:dyDescent="0.25">
      <c r="B100" s="267"/>
      <c r="C100" s="267"/>
      <c r="D100" s="267"/>
      <c r="E100" s="267"/>
      <c r="F100" s="267"/>
      <c r="G100" s="267"/>
      <c r="H100" s="267"/>
      <c r="I100" s="267"/>
      <c r="J100" s="267"/>
      <c r="K100" s="267"/>
      <c r="L100" s="267"/>
      <c r="M100" s="267"/>
    </row>
    <row r="101" spans="2:13" x14ac:dyDescent="0.25">
      <c r="B101" s="267"/>
      <c r="C101" s="267"/>
      <c r="D101" s="267"/>
      <c r="E101" s="267"/>
      <c r="F101" s="267"/>
      <c r="G101" s="267"/>
      <c r="H101" s="267"/>
      <c r="I101" s="267"/>
      <c r="J101" s="267"/>
      <c r="K101" s="267"/>
      <c r="L101" s="267"/>
      <c r="M101" s="267"/>
    </row>
    <row r="102" spans="2:13" x14ac:dyDescent="0.25">
      <c r="B102" s="267"/>
      <c r="C102" s="267"/>
      <c r="D102" s="267"/>
      <c r="E102" s="267"/>
      <c r="F102" s="267"/>
      <c r="G102" s="267"/>
      <c r="H102" s="267"/>
      <c r="I102" s="267"/>
      <c r="J102" s="267"/>
      <c r="K102" s="267"/>
      <c r="L102" s="267"/>
      <c r="M102" s="267"/>
    </row>
    <row r="103" spans="2:13" x14ac:dyDescent="0.25">
      <c r="B103" s="267"/>
      <c r="C103" s="267"/>
      <c r="D103" s="267"/>
      <c r="E103" s="267"/>
      <c r="F103" s="267"/>
      <c r="G103" s="267"/>
      <c r="H103" s="267"/>
      <c r="I103" s="267"/>
      <c r="J103" s="267"/>
      <c r="K103" s="267"/>
      <c r="L103" s="267"/>
      <c r="M103" s="267"/>
    </row>
    <row r="104" spans="2:13" x14ac:dyDescent="0.25">
      <c r="B104" s="267"/>
      <c r="C104" s="267"/>
      <c r="D104" s="267"/>
      <c r="E104" s="267"/>
      <c r="F104" s="267"/>
      <c r="G104" s="267"/>
      <c r="H104" s="267"/>
      <c r="I104" s="267"/>
      <c r="J104" s="267"/>
      <c r="K104" s="267"/>
      <c r="L104" s="267"/>
      <c r="M104" s="267"/>
    </row>
    <row r="105" spans="2:13" x14ac:dyDescent="0.25">
      <c r="B105" s="267"/>
      <c r="C105" s="267"/>
      <c r="D105" s="267"/>
      <c r="E105" s="267"/>
      <c r="F105" s="267"/>
      <c r="G105" s="267"/>
      <c r="H105" s="267"/>
      <c r="I105" s="267"/>
      <c r="J105" s="267"/>
      <c r="K105" s="267"/>
      <c r="L105" s="267"/>
      <c r="M105" s="267"/>
    </row>
    <row r="106" spans="2:13" x14ac:dyDescent="0.25">
      <c r="B106" s="267"/>
      <c r="C106" s="267"/>
      <c r="D106" s="267"/>
      <c r="E106" s="267"/>
      <c r="F106" s="267"/>
      <c r="G106" s="267"/>
      <c r="H106" s="267"/>
      <c r="I106" s="267"/>
      <c r="J106" s="267"/>
      <c r="K106" s="267"/>
      <c r="L106" s="267"/>
      <c r="M106" s="267"/>
    </row>
    <row r="107" spans="2:13" x14ac:dyDescent="0.25">
      <c r="B107" s="267"/>
      <c r="C107" s="267"/>
      <c r="D107" s="267"/>
      <c r="E107" s="267"/>
      <c r="F107" s="267"/>
      <c r="G107" s="267"/>
      <c r="H107" s="267"/>
      <c r="I107" s="267"/>
      <c r="J107" s="267"/>
      <c r="K107" s="267"/>
      <c r="L107" s="267"/>
      <c r="M107" s="267"/>
    </row>
    <row r="108" spans="2:13" x14ac:dyDescent="0.25">
      <c r="B108" s="267"/>
      <c r="C108" s="267"/>
      <c r="D108" s="267"/>
      <c r="E108" s="267"/>
      <c r="F108" s="267"/>
      <c r="G108" s="267"/>
      <c r="H108" s="267"/>
      <c r="I108" s="267"/>
      <c r="J108" s="267"/>
      <c r="K108" s="267"/>
      <c r="L108" s="267"/>
      <c r="M108" s="267"/>
    </row>
    <row r="109" spans="2:13" x14ac:dyDescent="0.25">
      <c r="B109" s="267"/>
      <c r="C109" s="267"/>
      <c r="D109" s="267"/>
      <c r="E109" s="267"/>
      <c r="F109" s="267"/>
      <c r="G109" s="267"/>
      <c r="H109" s="267"/>
      <c r="I109" s="267"/>
      <c r="J109" s="267"/>
      <c r="K109" s="267"/>
      <c r="L109" s="267"/>
      <c r="M109" s="267"/>
    </row>
    <row r="110" spans="2:13" x14ac:dyDescent="0.25">
      <c r="B110" s="267"/>
      <c r="C110" s="267"/>
      <c r="D110" s="267"/>
      <c r="E110" s="267"/>
      <c r="F110" s="267"/>
      <c r="G110" s="267"/>
      <c r="H110" s="267"/>
      <c r="I110" s="267"/>
      <c r="J110" s="267"/>
      <c r="K110" s="267"/>
      <c r="L110" s="267"/>
      <c r="M110" s="267"/>
    </row>
    <row r="111" spans="2:13" x14ac:dyDescent="0.25">
      <c r="B111" s="267"/>
      <c r="C111" s="267"/>
      <c r="D111" s="267"/>
      <c r="E111" s="267"/>
      <c r="F111" s="267"/>
      <c r="G111" s="267"/>
      <c r="H111" s="267"/>
      <c r="I111" s="267"/>
      <c r="J111" s="267"/>
      <c r="K111" s="267"/>
      <c r="L111" s="267"/>
      <c r="M111" s="267"/>
    </row>
    <row r="112" spans="2:13" x14ac:dyDescent="0.25">
      <c r="B112" s="267"/>
      <c r="C112" s="267"/>
      <c r="D112" s="267"/>
      <c r="E112" s="267"/>
      <c r="F112" s="267"/>
      <c r="G112" s="267"/>
      <c r="H112" s="267"/>
      <c r="I112" s="267"/>
      <c r="J112" s="267"/>
      <c r="K112" s="267"/>
      <c r="L112" s="267"/>
      <c r="M112" s="267"/>
    </row>
    <row r="113" spans="2:13" x14ac:dyDescent="0.25">
      <c r="B113" s="267"/>
      <c r="C113" s="267"/>
      <c r="D113" s="267"/>
      <c r="E113" s="267"/>
      <c r="F113" s="267"/>
      <c r="G113" s="267"/>
      <c r="H113" s="267"/>
      <c r="I113" s="267"/>
      <c r="J113" s="267"/>
      <c r="K113" s="267"/>
      <c r="L113" s="267"/>
      <c r="M113" s="267"/>
    </row>
    <row r="114" spans="2:13" x14ac:dyDescent="0.25">
      <c r="B114" s="267"/>
      <c r="C114" s="267"/>
      <c r="D114" s="267"/>
      <c r="E114" s="267"/>
      <c r="F114" s="267"/>
      <c r="G114" s="267"/>
      <c r="H114" s="267"/>
      <c r="I114" s="267"/>
      <c r="J114" s="267"/>
      <c r="K114" s="267"/>
      <c r="L114" s="267"/>
      <c r="M114" s="267"/>
    </row>
    <row r="115" spans="2:13" x14ac:dyDescent="0.25">
      <c r="B115" s="267"/>
      <c r="C115" s="267"/>
      <c r="D115" s="267"/>
      <c r="E115" s="267"/>
      <c r="F115" s="267"/>
      <c r="G115" s="267"/>
      <c r="H115" s="267"/>
      <c r="I115" s="267"/>
      <c r="J115" s="267"/>
      <c r="K115" s="267"/>
      <c r="L115" s="267"/>
      <c r="M115" s="267"/>
    </row>
    <row r="116" spans="2:13" x14ac:dyDescent="0.25">
      <c r="B116" s="267"/>
      <c r="C116" s="267"/>
      <c r="D116" s="267"/>
      <c r="E116" s="267"/>
      <c r="F116" s="267"/>
      <c r="G116" s="267"/>
      <c r="H116" s="267"/>
      <c r="I116" s="267"/>
      <c r="J116" s="267"/>
      <c r="K116" s="267"/>
      <c r="L116" s="267"/>
      <c r="M116" s="267"/>
    </row>
    <row r="117" spans="2:13" x14ac:dyDescent="0.25">
      <c r="B117" s="267"/>
      <c r="C117" s="267"/>
      <c r="D117" s="267"/>
      <c r="E117" s="267"/>
      <c r="F117" s="267"/>
      <c r="G117" s="267"/>
      <c r="H117" s="267"/>
      <c r="I117" s="267"/>
      <c r="J117" s="267"/>
      <c r="K117" s="267"/>
      <c r="L117" s="267"/>
      <c r="M117" s="267"/>
    </row>
    <row r="118" spans="2:13" x14ac:dyDescent="0.25">
      <c r="B118" s="267"/>
      <c r="C118" s="267"/>
      <c r="D118" s="267"/>
      <c r="E118" s="267"/>
      <c r="F118" s="267"/>
      <c r="G118" s="267"/>
      <c r="H118" s="267"/>
      <c r="I118" s="267"/>
      <c r="J118" s="267"/>
      <c r="K118" s="267"/>
      <c r="L118" s="267"/>
      <c r="M118" s="267"/>
    </row>
    <row r="119" spans="2:13" x14ac:dyDescent="0.25">
      <c r="B119" s="267"/>
      <c r="C119" s="267"/>
      <c r="D119" s="267"/>
      <c r="E119" s="267"/>
      <c r="F119" s="267"/>
      <c r="G119" s="267"/>
      <c r="H119" s="267"/>
      <c r="I119" s="267"/>
      <c r="J119" s="267"/>
      <c r="K119" s="267"/>
      <c r="L119" s="267"/>
      <c r="M119" s="267"/>
    </row>
    <row r="120" spans="2:13" x14ac:dyDescent="0.25">
      <c r="B120" s="267"/>
      <c r="C120" s="267"/>
      <c r="D120" s="267"/>
      <c r="E120" s="267"/>
      <c r="F120" s="267"/>
      <c r="G120" s="267"/>
      <c r="H120" s="267"/>
      <c r="I120" s="267"/>
      <c r="J120" s="267"/>
      <c r="K120" s="267"/>
      <c r="L120" s="267"/>
      <c r="M120" s="267"/>
    </row>
    <row r="121" spans="2:13" x14ac:dyDescent="0.25">
      <c r="B121" s="267"/>
      <c r="C121" s="267"/>
      <c r="D121" s="267"/>
      <c r="E121" s="267"/>
      <c r="F121" s="267"/>
      <c r="G121" s="267"/>
      <c r="H121" s="267"/>
      <c r="I121" s="267"/>
      <c r="J121" s="267"/>
      <c r="K121" s="267"/>
      <c r="L121" s="267"/>
      <c r="M121" s="267"/>
    </row>
    <row r="122" spans="2:13" x14ac:dyDescent="0.25">
      <c r="B122" s="267"/>
      <c r="C122" s="267"/>
      <c r="D122" s="267"/>
      <c r="E122" s="267"/>
      <c r="F122" s="267"/>
      <c r="G122" s="267"/>
      <c r="H122" s="267"/>
      <c r="I122" s="267"/>
      <c r="J122" s="267"/>
      <c r="K122" s="267"/>
      <c r="L122" s="267"/>
      <c r="M122" s="267"/>
    </row>
    <row r="123" spans="2:13" x14ac:dyDescent="0.25">
      <c r="B123" s="267"/>
      <c r="C123" s="267"/>
      <c r="D123" s="267"/>
      <c r="E123" s="267"/>
      <c r="F123" s="267"/>
      <c r="G123" s="267"/>
      <c r="H123" s="267"/>
      <c r="I123" s="267"/>
      <c r="J123" s="267"/>
      <c r="K123" s="267"/>
      <c r="L123" s="267"/>
      <c r="M123" s="267"/>
    </row>
    <row r="124" spans="2:13" x14ac:dyDescent="0.25">
      <c r="B124" s="267"/>
      <c r="C124" s="267"/>
      <c r="D124" s="267"/>
      <c r="E124" s="267"/>
      <c r="F124" s="267"/>
      <c r="G124" s="267"/>
      <c r="H124" s="267"/>
      <c r="I124" s="267"/>
      <c r="J124" s="267"/>
      <c r="K124" s="267"/>
      <c r="L124" s="267"/>
      <c r="M124" s="267"/>
    </row>
    <row r="125" spans="2:13" x14ac:dyDescent="0.25">
      <c r="B125" s="267"/>
      <c r="C125" s="267"/>
      <c r="D125" s="267"/>
      <c r="E125" s="267"/>
      <c r="F125" s="267"/>
      <c r="G125" s="267"/>
      <c r="H125" s="267"/>
      <c r="I125" s="267"/>
      <c r="J125" s="267"/>
      <c r="K125" s="267"/>
      <c r="L125" s="267"/>
      <c r="M125" s="267"/>
    </row>
    <row r="126" spans="2:13" x14ac:dyDescent="0.25">
      <c r="B126" s="267"/>
      <c r="C126" s="267"/>
      <c r="D126" s="267"/>
      <c r="E126" s="267"/>
      <c r="F126" s="267"/>
      <c r="G126" s="267"/>
      <c r="H126" s="267"/>
      <c r="I126" s="267"/>
      <c r="J126" s="267"/>
      <c r="K126" s="267"/>
      <c r="L126" s="267"/>
      <c r="M126" s="267"/>
    </row>
    <row r="127" spans="2:13" x14ac:dyDescent="0.25">
      <c r="B127" s="267"/>
      <c r="C127" s="267"/>
      <c r="D127" s="267"/>
      <c r="E127" s="267"/>
      <c r="F127" s="267"/>
      <c r="G127" s="267"/>
      <c r="H127" s="267"/>
      <c r="I127" s="267"/>
      <c r="J127" s="267"/>
      <c r="K127" s="267"/>
      <c r="L127" s="267"/>
      <c r="M127" s="267"/>
    </row>
    <row r="128" spans="2:13" x14ac:dyDescent="0.25">
      <c r="B128" s="267"/>
      <c r="C128" s="267"/>
      <c r="D128" s="267"/>
      <c r="E128" s="267"/>
      <c r="F128" s="267"/>
      <c r="G128" s="267"/>
      <c r="H128" s="267"/>
      <c r="I128" s="267"/>
      <c r="J128" s="267"/>
      <c r="K128" s="267"/>
      <c r="L128" s="267"/>
      <c r="M128" s="267"/>
    </row>
    <row r="129" spans="2:13" x14ac:dyDescent="0.25">
      <c r="B129" s="267"/>
      <c r="C129" s="267"/>
      <c r="D129" s="267"/>
      <c r="E129" s="267"/>
      <c r="F129" s="267"/>
      <c r="G129" s="267"/>
      <c r="H129" s="267"/>
      <c r="I129" s="267"/>
      <c r="J129" s="267"/>
      <c r="K129" s="267"/>
      <c r="L129" s="267"/>
      <c r="M129" s="267"/>
    </row>
    <row r="130" spans="2:13" x14ac:dyDescent="0.25">
      <c r="B130" s="267"/>
      <c r="C130" s="267"/>
      <c r="D130" s="267"/>
      <c r="E130" s="267"/>
      <c r="F130" s="267"/>
      <c r="G130" s="267"/>
      <c r="H130" s="267"/>
      <c r="I130" s="267"/>
      <c r="J130" s="267"/>
      <c r="K130" s="267"/>
      <c r="L130" s="267"/>
      <c r="M130" s="267"/>
    </row>
    <row r="131" spans="2:13" x14ac:dyDescent="0.25">
      <c r="B131" s="267"/>
      <c r="C131" s="267"/>
      <c r="D131" s="267"/>
      <c r="E131" s="267"/>
      <c r="F131" s="267"/>
      <c r="G131" s="267"/>
      <c r="H131" s="267"/>
      <c r="I131" s="267"/>
      <c r="J131" s="267"/>
      <c r="K131" s="267"/>
      <c r="L131" s="267"/>
      <c r="M131" s="267"/>
    </row>
    <row r="132" spans="2:13" x14ac:dyDescent="0.25">
      <c r="B132" s="267"/>
      <c r="C132" s="267"/>
      <c r="D132" s="267"/>
      <c r="E132" s="267"/>
      <c r="F132" s="267"/>
      <c r="G132" s="267"/>
      <c r="H132" s="267"/>
      <c r="I132" s="267"/>
      <c r="J132" s="267"/>
      <c r="K132" s="267"/>
      <c r="L132" s="267"/>
      <c r="M132" s="267"/>
    </row>
    <row r="133" spans="2:13" x14ac:dyDescent="0.25">
      <c r="B133" s="267"/>
      <c r="C133" s="267"/>
      <c r="D133" s="267"/>
      <c r="E133" s="267"/>
      <c r="F133" s="267"/>
      <c r="G133" s="267"/>
      <c r="H133" s="267"/>
      <c r="I133" s="267"/>
      <c r="J133" s="267"/>
      <c r="K133" s="267"/>
      <c r="L133" s="267"/>
      <c r="M133" s="267"/>
    </row>
    <row r="134" spans="2:13" x14ac:dyDescent="0.25">
      <c r="B134" s="267"/>
      <c r="C134" s="267"/>
      <c r="D134" s="267"/>
      <c r="E134" s="267"/>
      <c r="F134" s="267"/>
      <c r="G134" s="267"/>
      <c r="H134" s="267"/>
      <c r="I134" s="267"/>
      <c r="J134" s="267"/>
      <c r="K134" s="267"/>
      <c r="L134" s="267"/>
      <c r="M134" s="267"/>
    </row>
    <row r="135" spans="2:13" x14ac:dyDescent="0.25">
      <c r="B135" s="267"/>
      <c r="C135" s="267"/>
      <c r="D135" s="267"/>
      <c r="E135" s="267"/>
      <c r="F135" s="267"/>
      <c r="G135" s="267"/>
      <c r="H135" s="267"/>
      <c r="I135" s="267"/>
      <c r="J135" s="267"/>
      <c r="K135" s="267"/>
      <c r="L135" s="267"/>
      <c r="M135" s="267"/>
    </row>
    <row r="136" spans="2:13" x14ac:dyDescent="0.25">
      <c r="B136" s="267"/>
      <c r="C136" s="267"/>
      <c r="D136" s="267"/>
      <c r="E136" s="267"/>
      <c r="F136" s="267"/>
      <c r="G136" s="267"/>
      <c r="H136" s="267"/>
      <c r="I136" s="267"/>
      <c r="J136" s="267"/>
      <c r="K136" s="267"/>
      <c r="L136" s="267"/>
      <c r="M136" s="267"/>
    </row>
    <row r="137" spans="2:13" x14ac:dyDescent="0.25">
      <c r="B137" s="267"/>
      <c r="C137" s="267"/>
      <c r="D137" s="267"/>
      <c r="E137" s="267"/>
      <c r="F137" s="267"/>
      <c r="G137" s="267"/>
      <c r="H137" s="267"/>
      <c r="I137" s="267"/>
      <c r="J137" s="267"/>
      <c r="K137" s="267"/>
      <c r="L137" s="267"/>
      <c r="M137" s="267"/>
    </row>
    <row r="138" spans="2:13" x14ac:dyDescent="0.25">
      <c r="B138" s="267"/>
      <c r="C138" s="267"/>
      <c r="D138" s="267"/>
      <c r="E138" s="267"/>
      <c r="F138" s="267"/>
      <c r="G138" s="267"/>
      <c r="H138" s="267"/>
      <c r="I138" s="267"/>
      <c r="J138" s="267"/>
      <c r="K138" s="267"/>
      <c r="L138" s="267"/>
      <c r="M138" s="267"/>
    </row>
    <row r="139" spans="2:13" x14ac:dyDescent="0.25">
      <c r="B139" s="267"/>
      <c r="C139" s="267"/>
      <c r="D139" s="267"/>
      <c r="E139" s="267"/>
      <c r="F139" s="267"/>
      <c r="G139" s="267"/>
      <c r="H139" s="267"/>
      <c r="I139" s="267"/>
      <c r="J139" s="267"/>
      <c r="K139" s="267"/>
      <c r="L139" s="267"/>
      <c r="M139" s="267"/>
    </row>
    <row r="140" spans="2:13" x14ac:dyDescent="0.25">
      <c r="B140" s="267"/>
      <c r="C140" s="267"/>
      <c r="D140" s="267"/>
      <c r="E140" s="267"/>
      <c r="F140" s="267"/>
      <c r="G140" s="267"/>
      <c r="H140" s="267"/>
      <c r="I140" s="267"/>
      <c r="J140" s="267"/>
      <c r="K140" s="267"/>
      <c r="L140" s="267"/>
      <c r="M140" s="267"/>
    </row>
    <row r="141" spans="2:13" x14ac:dyDescent="0.25">
      <c r="B141" s="267"/>
      <c r="C141" s="267"/>
      <c r="D141" s="267"/>
      <c r="E141" s="267"/>
      <c r="F141" s="267"/>
      <c r="G141" s="267"/>
      <c r="H141" s="267"/>
      <c r="I141" s="267"/>
      <c r="J141" s="267"/>
      <c r="K141" s="267"/>
      <c r="L141" s="267"/>
      <c r="M141" s="267"/>
    </row>
    <row r="142" spans="2:13" x14ac:dyDescent="0.25">
      <c r="B142" s="267"/>
      <c r="C142" s="267"/>
      <c r="D142" s="267"/>
      <c r="E142" s="267"/>
      <c r="F142" s="267"/>
      <c r="G142" s="267"/>
      <c r="H142" s="267"/>
      <c r="I142" s="267"/>
      <c r="J142" s="267"/>
      <c r="K142" s="267"/>
      <c r="L142" s="267"/>
      <c r="M142" s="267"/>
    </row>
    <row r="143" spans="2:13" x14ac:dyDescent="0.25">
      <c r="B143" s="267"/>
      <c r="C143" s="267"/>
      <c r="D143" s="267"/>
      <c r="E143" s="267"/>
      <c r="F143" s="267"/>
      <c r="G143" s="267"/>
      <c r="H143" s="267"/>
      <c r="I143" s="267"/>
      <c r="J143" s="267"/>
      <c r="K143" s="267"/>
      <c r="L143" s="267"/>
      <c r="M143" s="267"/>
    </row>
    <row r="144" spans="2:13" x14ac:dyDescent="0.25">
      <c r="B144" s="267"/>
      <c r="C144" s="267"/>
      <c r="D144" s="267"/>
      <c r="E144" s="267"/>
      <c r="F144" s="267"/>
      <c r="G144" s="267"/>
      <c r="H144" s="267"/>
      <c r="I144" s="267"/>
      <c r="J144" s="267"/>
      <c r="K144" s="267"/>
      <c r="L144" s="267"/>
      <c r="M144" s="267"/>
    </row>
    <row r="145" spans="2:13" x14ac:dyDescent="0.25">
      <c r="B145" s="267"/>
      <c r="C145" s="267"/>
      <c r="D145" s="267"/>
      <c r="E145" s="267"/>
      <c r="F145" s="267"/>
      <c r="G145" s="267"/>
      <c r="H145" s="267"/>
      <c r="I145" s="267"/>
      <c r="J145" s="267"/>
      <c r="K145" s="267"/>
      <c r="L145" s="267"/>
      <c r="M145" s="267"/>
    </row>
    <row r="146" spans="2:13" x14ac:dyDescent="0.25">
      <c r="B146" s="267"/>
      <c r="C146" s="267"/>
      <c r="D146" s="267"/>
      <c r="E146" s="267"/>
      <c r="F146" s="267"/>
      <c r="G146" s="267"/>
      <c r="H146" s="267"/>
      <c r="I146" s="267"/>
      <c r="J146" s="267"/>
      <c r="K146" s="267"/>
      <c r="L146" s="267"/>
      <c r="M146" s="267"/>
    </row>
    <row r="147" spans="2:13" x14ac:dyDescent="0.25">
      <c r="B147" s="267"/>
      <c r="C147" s="267"/>
      <c r="D147" s="267"/>
      <c r="E147" s="267"/>
      <c r="F147" s="267"/>
      <c r="G147" s="267"/>
      <c r="H147" s="267"/>
      <c r="I147" s="267"/>
      <c r="J147" s="267"/>
      <c r="K147" s="267"/>
      <c r="L147" s="267"/>
      <c r="M147" s="267"/>
    </row>
    <row r="148" spans="2:13" x14ac:dyDescent="0.25">
      <c r="B148" s="267"/>
      <c r="C148" s="267"/>
      <c r="D148" s="267"/>
      <c r="E148" s="267"/>
      <c r="F148" s="267"/>
      <c r="G148" s="267"/>
      <c r="H148" s="267"/>
      <c r="I148" s="267"/>
      <c r="J148" s="267"/>
      <c r="K148" s="267"/>
      <c r="L148" s="267"/>
      <c r="M148" s="267"/>
    </row>
    <row r="149" spans="2:13" x14ac:dyDescent="0.25">
      <c r="B149" s="267"/>
      <c r="C149" s="267"/>
      <c r="D149" s="267"/>
      <c r="E149" s="267"/>
      <c r="F149" s="267"/>
      <c r="G149" s="267"/>
      <c r="H149" s="267"/>
      <c r="I149" s="267"/>
      <c r="J149" s="267"/>
      <c r="K149" s="267"/>
      <c r="L149" s="267"/>
      <c r="M149" s="267"/>
    </row>
    <row r="150" spans="2:13" x14ac:dyDescent="0.25">
      <c r="B150" s="267"/>
      <c r="C150" s="267"/>
      <c r="D150" s="267"/>
      <c r="E150" s="267"/>
      <c r="F150" s="267"/>
      <c r="G150" s="267"/>
      <c r="H150" s="267"/>
      <c r="I150" s="267"/>
      <c r="J150" s="267"/>
      <c r="K150" s="267"/>
      <c r="L150" s="267"/>
      <c r="M150" s="267"/>
    </row>
    <row r="151" spans="2:13" x14ac:dyDescent="0.25">
      <c r="B151" s="267"/>
      <c r="C151" s="267"/>
      <c r="D151" s="267"/>
      <c r="E151" s="267"/>
      <c r="F151" s="267"/>
      <c r="G151" s="267"/>
      <c r="H151" s="267"/>
      <c r="I151" s="267"/>
      <c r="J151" s="267"/>
      <c r="K151" s="267"/>
      <c r="L151" s="267"/>
      <c r="M151" s="267"/>
    </row>
    <row r="152" spans="2:13" x14ac:dyDescent="0.25">
      <c r="B152" s="267"/>
      <c r="C152" s="267"/>
      <c r="D152" s="267"/>
      <c r="E152" s="267"/>
      <c r="F152" s="267"/>
      <c r="G152" s="267"/>
      <c r="H152" s="267"/>
      <c r="I152" s="267"/>
      <c r="J152" s="267"/>
      <c r="K152" s="267"/>
      <c r="L152" s="267"/>
      <c r="M152" s="267"/>
    </row>
    <row r="153" spans="2:13" x14ac:dyDescent="0.25">
      <c r="B153" s="267"/>
      <c r="C153" s="267"/>
      <c r="D153" s="267"/>
      <c r="E153" s="267"/>
      <c r="F153" s="267"/>
      <c r="G153" s="267"/>
      <c r="H153" s="267"/>
      <c r="I153" s="267"/>
      <c r="J153" s="267"/>
      <c r="K153" s="267"/>
      <c r="L153" s="267"/>
      <c r="M153" s="267"/>
    </row>
    <row r="154" spans="2:13" x14ac:dyDescent="0.25">
      <c r="B154" s="267"/>
      <c r="C154" s="267"/>
      <c r="D154" s="267"/>
      <c r="E154" s="267"/>
      <c r="F154" s="267"/>
      <c r="G154" s="267"/>
      <c r="H154" s="267"/>
      <c r="I154" s="267"/>
      <c r="J154" s="267"/>
      <c r="K154" s="267"/>
      <c r="L154" s="267"/>
      <c r="M154" s="267"/>
    </row>
    <row r="155" spans="2:13" x14ac:dyDescent="0.25">
      <c r="B155" s="267"/>
      <c r="C155" s="267"/>
      <c r="D155" s="267"/>
      <c r="E155" s="267"/>
      <c r="F155" s="267"/>
      <c r="G155" s="267"/>
      <c r="H155" s="267"/>
      <c r="I155" s="267"/>
      <c r="J155" s="267"/>
      <c r="K155" s="267"/>
      <c r="L155" s="267"/>
      <c r="M155" s="267"/>
    </row>
    <row r="156" spans="2:13" x14ac:dyDescent="0.25">
      <c r="B156" s="267"/>
      <c r="C156" s="267"/>
      <c r="D156" s="267"/>
      <c r="E156" s="267"/>
      <c r="F156" s="267"/>
      <c r="G156" s="267"/>
      <c r="H156" s="267"/>
      <c r="I156" s="267"/>
      <c r="J156" s="267"/>
      <c r="K156" s="267"/>
      <c r="L156" s="267"/>
      <c r="M156" s="267"/>
    </row>
    <row r="157" spans="2:13" x14ac:dyDescent="0.25">
      <c r="B157" s="267"/>
      <c r="C157" s="267"/>
      <c r="D157" s="267"/>
      <c r="E157" s="267"/>
      <c r="F157" s="267"/>
      <c r="G157" s="267"/>
      <c r="H157" s="267"/>
      <c r="I157" s="267"/>
      <c r="J157" s="267"/>
      <c r="K157" s="267"/>
      <c r="L157" s="267"/>
      <c r="M157" s="267"/>
    </row>
    <row r="158" spans="2:13" x14ac:dyDescent="0.25">
      <c r="B158" s="267"/>
      <c r="C158" s="267"/>
      <c r="D158" s="267"/>
      <c r="E158" s="267"/>
      <c r="F158" s="267"/>
      <c r="G158" s="267"/>
      <c r="H158" s="267"/>
      <c r="I158" s="267"/>
      <c r="J158" s="267"/>
      <c r="K158" s="267"/>
      <c r="L158" s="267"/>
      <c r="M158" s="267"/>
    </row>
    <row r="159" spans="2:13" x14ac:dyDescent="0.25">
      <c r="B159" s="267"/>
      <c r="C159" s="267"/>
      <c r="D159" s="267"/>
      <c r="E159" s="267"/>
      <c r="F159" s="267"/>
      <c r="G159" s="267"/>
      <c r="H159" s="267"/>
      <c r="I159" s="267"/>
      <c r="J159" s="267"/>
      <c r="K159" s="267"/>
      <c r="L159" s="267"/>
      <c r="M159" s="267"/>
    </row>
    <row r="160" spans="2:13" x14ac:dyDescent="0.25">
      <c r="B160" s="267"/>
      <c r="C160" s="267"/>
      <c r="D160" s="267"/>
      <c r="E160" s="267"/>
      <c r="F160" s="267"/>
      <c r="G160" s="267"/>
      <c r="H160" s="267"/>
      <c r="I160" s="267"/>
      <c r="J160" s="267"/>
      <c r="K160" s="267"/>
      <c r="L160" s="267"/>
      <c r="M160" s="267"/>
    </row>
    <row r="161" spans="2:13" x14ac:dyDescent="0.25">
      <c r="B161" s="267"/>
      <c r="C161" s="267"/>
      <c r="D161" s="267"/>
      <c r="E161" s="267"/>
      <c r="F161" s="267"/>
      <c r="G161" s="267"/>
      <c r="H161" s="267"/>
      <c r="I161" s="267"/>
      <c r="J161" s="267"/>
      <c r="K161" s="267"/>
      <c r="L161" s="267"/>
      <c r="M161" s="267"/>
    </row>
    <row r="162" spans="2:13" x14ac:dyDescent="0.25">
      <c r="B162" s="267"/>
      <c r="C162" s="267"/>
      <c r="D162" s="267"/>
      <c r="E162" s="267"/>
      <c r="F162" s="267"/>
      <c r="G162" s="267"/>
      <c r="H162" s="267"/>
      <c r="I162" s="267"/>
      <c r="J162" s="267"/>
      <c r="K162" s="267"/>
      <c r="L162" s="267"/>
      <c r="M162" s="267"/>
    </row>
    <row r="163" spans="2:13" x14ac:dyDescent="0.25">
      <c r="B163" s="267"/>
      <c r="C163" s="267"/>
      <c r="D163" s="267"/>
      <c r="E163" s="267"/>
      <c r="F163" s="267"/>
      <c r="G163" s="267"/>
      <c r="H163" s="267"/>
      <c r="I163" s="267"/>
      <c r="J163" s="267"/>
      <c r="K163" s="267"/>
      <c r="L163" s="267"/>
      <c r="M163" s="267"/>
    </row>
    <row r="164" spans="2:13" x14ac:dyDescent="0.25">
      <c r="B164" s="267"/>
      <c r="C164" s="267"/>
      <c r="D164" s="267"/>
      <c r="E164" s="267"/>
      <c r="F164" s="267"/>
      <c r="G164" s="267"/>
      <c r="H164" s="267"/>
      <c r="I164" s="267"/>
      <c r="J164" s="267"/>
      <c r="K164" s="267"/>
      <c r="L164" s="267"/>
      <c r="M164" s="267"/>
    </row>
    <row r="165" spans="2:13" x14ac:dyDescent="0.25">
      <c r="B165" s="267"/>
      <c r="C165" s="267"/>
      <c r="D165" s="267"/>
      <c r="E165" s="267"/>
      <c r="F165" s="267"/>
      <c r="G165" s="267"/>
      <c r="H165" s="267"/>
      <c r="I165" s="267"/>
      <c r="J165" s="267"/>
      <c r="K165" s="267"/>
      <c r="L165" s="267"/>
      <c r="M165" s="267"/>
    </row>
  </sheetData>
  <mergeCells count="6">
    <mergeCell ref="E4:R8"/>
    <mergeCell ref="C18:G18"/>
    <mergeCell ref="B84:M165"/>
    <mergeCell ref="E21:R41"/>
    <mergeCell ref="E52:R62"/>
    <mergeCell ref="E44:R49"/>
  </mergeCells>
  <dataValidations count="2">
    <dataValidation type="list" allowBlank="1" showInputMessage="1" showErrorMessage="1" sqref="C5" xr:uid="{00000000-0002-0000-0400-000000000000}">
      <formula1>$D$5:$E$5</formula1>
    </dataValidation>
    <dataValidation type="list" allowBlank="1" showInputMessage="1" showErrorMessage="1" sqref="C38" xr:uid="{00000000-0002-0000-0400-000001000000}">
      <formula1>$A$64:$A$81</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CW1489"/>
  <sheetViews>
    <sheetView showGridLines="0" workbookViewId="0">
      <selection activeCell="A8" sqref="A8"/>
    </sheetView>
  </sheetViews>
  <sheetFormatPr defaultRowHeight="15" x14ac:dyDescent="0.25"/>
  <sheetData>
    <row r="1" spans="1:101" ht="18.75" x14ac:dyDescent="0.3">
      <c r="A1" s="190" t="s">
        <v>382</v>
      </c>
    </row>
    <row r="2" spans="1:101" ht="6.75" customHeight="1" x14ac:dyDescent="0.25"/>
    <row r="3" spans="1:101" x14ac:dyDescent="0.25">
      <c r="A3" s="283" t="s">
        <v>426</v>
      </c>
      <c r="B3" s="283"/>
      <c r="C3" s="283"/>
      <c r="D3" s="283"/>
      <c r="E3" s="283"/>
      <c r="F3" s="283"/>
      <c r="G3" s="283"/>
      <c r="H3" s="283"/>
      <c r="I3" s="283"/>
      <c r="J3" s="283"/>
      <c r="K3" s="283"/>
      <c r="L3" s="283"/>
      <c r="M3" s="283"/>
      <c r="N3" s="283"/>
      <c r="O3" s="283"/>
      <c r="P3" s="283"/>
      <c r="Q3" s="283"/>
      <c r="R3" s="283"/>
    </row>
    <row r="4" spans="1:101" x14ac:dyDescent="0.25">
      <c r="A4" s="283"/>
      <c r="B4" s="283"/>
      <c r="C4" s="283"/>
      <c r="D4" s="283"/>
      <c r="E4" s="283"/>
      <c r="F4" s="283"/>
      <c r="G4" s="283"/>
      <c r="H4" s="283"/>
      <c r="I4" s="283"/>
      <c r="J4" s="283"/>
      <c r="K4" s="283"/>
      <c r="L4" s="283"/>
      <c r="M4" s="283"/>
      <c r="N4" s="283"/>
      <c r="O4" s="283"/>
      <c r="P4" s="283"/>
      <c r="Q4" s="283"/>
      <c r="R4" s="283"/>
    </row>
    <row r="5" spans="1:101" x14ac:dyDescent="0.25">
      <c r="A5" s="283"/>
      <c r="B5" s="283"/>
      <c r="C5" s="283"/>
      <c r="D5" s="283"/>
      <c r="E5" s="283"/>
      <c r="F5" s="283"/>
      <c r="G5" s="283"/>
      <c r="H5" s="283"/>
      <c r="I5" s="283"/>
      <c r="J5" s="283"/>
      <c r="K5" s="283"/>
      <c r="L5" s="283"/>
      <c r="M5" s="283"/>
      <c r="N5" s="283"/>
      <c r="O5" s="283"/>
      <c r="P5" s="283"/>
      <c r="Q5" s="283"/>
      <c r="R5" s="283"/>
    </row>
    <row r="6" spans="1:101" x14ac:dyDescent="0.25">
      <c r="A6" s="283"/>
      <c r="B6" s="283"/>
      <c r="C6" s="283"/>
      <c r="D6" s="283"/>
      <c r="E6" s="283"/>
      <c r="F6" s="283"/>
      <c r="G6" s="283"/>
      <c r="H6" s="283"/>
      <c r="I6" s="283"/>
      <c r="J6" s="283"/>
      <c r="K6" s="283"/>
      <c r="L6" s="283"/>
      <c r="M6" s="283"/>
      <c r="N6" s="283"/>
      <c r="O6" s="283"/>
      <c r="P6" s="283"/>
      <c r="Q6" s="283"/>
      <c r="R6" s="283"/>
    </row>
    <row r="7" spans="1:101" x14ac:dyDescent="0.25">
      <c r="A7" s="283"/>
      <c r="B7" s="283"/>
      <c r="C7" s="283"/>
      <c r="D7" s="283"/>
      <c r="E7" s="283"/>
      <c r="F7" s="283"/>
      <c r="G7" s="283"/>
      <c r="H7" s="283"/>
      <c r="I7" s="283"/>
      <c r="J7" s="283"/>
      <c r="K7" s="283"/>
      <c r="L7" s="283"/>
      <c r="M7" s="283"/>
      <c r="N7" s="283"/>
      <c r="O7" s="283"/>
      <c r="P7" s="283"/>
      <c r="Q7" s="283"/>
      <c r="R7" s="283"/>
    </row>
    <row r="8" spans="1:101" ht="22.5" customHeight="1" x14ac:dyDescent="0.25"/>
    <row r="9" spans="1:101" s="53" customFormat="1" ht="15.75" x14ac:dyDescent="0.25">
      <c r="A9" s="148" t="s">
        <v>309</v>
      </c>
    </row>
    <row r="10" spans="1:101" s="53" customFormat="1" ht="7.5" customHeight="1" x14ac:dyDescent="0.25"/>
    <row r="11" spans="1:101" x14ac:dyDescent="0.25">
      <c r="A11" s="192" t="s">
        <v>8</v>
      </c>
      <c r="B11" s="192">
        <v>0</v>
      </c>
      <c r="C11" s="192">
        <f>B11+1</f>
        <v>1</v>
      </c>
      <c r="D11" s="192">
        <f t="shared" ref="D11:BO11" si="0">C11+1</f>
        <v>2</v>
      </c>
      <c r="E11" s="192">
        <f t="shared" si="0"/>
        <v>3</v>
      </c>
      <c r="F11" s="192">
        <f t="shared" si="0"/>
        <v>4</v>
      </c>
      <c r="G11" s="192">
        <f t="shared" si="0"/>
        <v>5</v>
      </c>
      <c r="H11" s="192">
        <f t="shared" si="0"/>
        <v>6</v>
      </c>
      <c r="I11" s="192">
        <f t="shared" si="0"/>
        <v>7</v>
      </c>
      <c r="J11" s="192">
        <f t="shared" si="0"/>
        <v>8</v>
      </c>
      <c r="K11" s="192">
        <f t="shared" si="0"/>
        <v>9</v>
      </c>
      <c r="L11" s="192">
        <f t="shared" si="0"/>
        <v>10</v>
      </c>
      <c r="M11" s="192">
        <f t="shared" si="0"/>
        <v>11</v>
      </c>
      <c r="N11" s="192">
        <f t="shared" si="0"/>
        <v>12</v>
      </c>
      <c r="O11" s="192">
        <f t="shared" si="0"/>
        <v>13</v>
      </c>
      <c r="P11" s="192">
        <f t="shared" si="0"/>
        <v>14</v>
      </c>
      <c r="Q11" s="192">
        <f t="shared" si="0"/>
        <v>15</v>
      </c>
      <c r="R11" s="192">
        <f t="shared" si="0"/>
        <v>16</v>
      </c>
      <c r="S11" s="192">
        <f t="shared" si="0"/>
        <v>17</v>
      </c>
      <c r="T11" s="192">
        <f t="shared" si="0"/>
        <v>18</v>
      </c>
      <c r="U11" s="192">
        <f t="shared" si="0"/>
        <v>19</v>
      </c>
      <c r="V11" s="192">
        <f t="shared" si="0"/>
        <v>20</v>
      </c>
      <c r="W11" s="192">
        <f t="shared" si="0"/>
        <v>21</v>
      </c>
      <c r="X11" s="192">
        <f t="shared" si="0"/>
        <v>22</v>
      </c>
      <c r="Y11" s="192">
        <f t="shared" si="0"/>
        <v>23</v>
      </c>
      <c r="Z11" s="192">
        <f t="shared" si="0"/>
        <v>24</v>
      </c>
      <c r="AA11" s="192">
        <f t="shared" si="0"/>
        <v>25</v>
      </c>
      <c r="AB11" s="192">
        <f t="shared" si="0"/>
        <v>26</v>
      </c>
      <c r="AC11" s="192">
        <f t="shared" si="0"/>
        <v>27</v>
      </c>
      <c r="AD11" s="192">
        <f t="shared" si="0"/>
        <v>28</v>
      </c>
      <c r="AE11" s="192">
        <f t="shared" si="0"/>
        <v>29</v>
      </c>
      <c r="AF11" s="192">
        <f t="shared" si="0"/>
        <v>30</v>
      </c>
      <c r="AG11" s="192">
        <f t="shared" si="0"/>
        <v>31</v>
      </c>
      <c r="AH11" s="192">
        <f t="shared" si="0"/>
        <v>32</v>
      </c>
      <c r="AI11" s="192">
        <f t="shared" si="0"/>
        <v>33</v>
      </c>
      <c r="AJ11" s="192">
        <f t="shared" si="0"/>
        <v>34</v>
      </c>
      <c r="AK11" s="192">
        <f t="shared" si="0"/>
        <v>35</v>
      </c>
      <c r="AL11" s="192">
        <f t="shared" si="0"/>
        <v>36</v>
      </c>
      <c r="AM11" s="192">
        <f t="shared" si="0"/>
        <v>37</v>
      </c>
      <c r="AN11" s="192">
        <f t="shared" si="0"/>
        <v>38</v>
      </c>
      <c r="AO11" s="192">
        <f t="shared" si="0"/>
        <v>39</v>
      </c>
      <c r="AP11" s="192">
        <f t="shared" si="0"/>
        <v>40</v>
      </c>
      <c r="AQ11" s="192">
        <f t="shared" si="0"/>
        <v>41</v>
      </c>
      <c r="AR11" s="192">
        <f t="shared" si="0"/>
        <v>42</v>
      </c>
      <c r="AS11" s="192">
        <f t="shared" si="0"/>
        <v>43</v>
      </c>
      <c r="AT11" s="192">
        <f t="shared" si="0"/>
        <v>44</v>
      </c>
      <c r="AU11" s="192">
        <f t="shared" si="0"/>
        <v>45</v>
      </c>
      <c r="AV11" s="192">
        <f t="shared" si="0"/>
        <v>46</v>
      </c>
      <c r="AW11" s="192">
        <f t="shared" si="0"/>
        <v>47</v>
      </c>
      <c r="AX11" s="192">
        <f t="shared" si="0"/>
        <v>48</v>
      </c>
      <c r="AY11" s="192">
        <f t="shared" si="0"/>
        <v>49</v>
      </c>
      <c r="AZ11" s="192">
        <f t="shared" si="0"/>
        <v>50</v>
      </c>
      <c r="BA11" s="192">
        <f t="shared" si="0"/>
        <v>51</v>
      </c>
      <c r="BB11" s="192">
        <f t="shared" si="0"/>
        <v>52</v>
      </c>
      <c r="BC11" s="192">
        <f t="shared" si="0"/>
        <v>53</v>
      </c>
      <c r="BD11" s="192">
        <f t="shared" si="0"/>
        <v>54</v>
      </c>
      <c r="BE11" s="192">
        <f t="shared" si="0"/>
        <v>55</v>
      </c>
      <c r="BF11" s="192">
        <f t="shared" si="0"/>
        <v>56</v>
      </c>
      <c r="BG11" s="192">
        <f t="shared" si="0"/>
        <v>57</v>
      </c>
      <c r="BH11" s="192">
        <f t="shared" si="0"/>
        <v>58</v>
      </c>
      <c r="BI11" s="192">
        <f t="shared" si="0"/>
        <v>59</v>
      </c>
      <c r="BJ11" s="192">
        <f t="shared" si="0"/>
        <v>60</v>
      </c>
      <c r="BK11" s="192">
        <f t="shared" si="0"/>
        <v>61</v>
      </c>
      <c r="BL11" s="192">
        <f t="shared" si="0"/>
        <v>62</v>
      </c>
      <c r="BM11" s="192">
        <f t="shared" si="0"/>
        <v>63</v>
      </c>
      <c r="BN11" s="192">
        <f t="shared" si="0"/>
        <v>64</v>
      </c>
      <c r="BO11" s="192">
        <f t="shared" si="0"/>
        <v>65</v>
      </c>
      <c r="BP11" s="192">
        <f t="shared" ref="BP11:CW11" si="1">BO11+1</f>
        <v>66</v>
      </c>
      <c r="BQ11" s="192">
        <f t="shared" si="1"/>
        <v>67</v>
      </c>
      <c r="BR11" s="192">
        <f t="shared" si="1"/>
        <v>68</v>
      </c>
      <c r="BS11" s="192">
        <f t="shared" si="1"/>
        <v>69</v>
      </c>
      <c r="BT11" s="192">
        <f t="shared" si="1"/>
        <v>70</v>
      </c>
      <c r="BU11" s="192">
        <f t="shared" si="1"/>
        <v>71</v>
      </c>
      <c r="BV11" s="192">
        <f t="shared" si="1"/>
        <v>72</v>
      </c>
      <c r="BW11" s="192">
        <f t="shared" si="1"/>
        <v>73</v>
      </c>
      <c r="BX11" s="192">
        <f t="shared" si="1"/>
        <v>74</v>
      </c>
      <c r="BY11" s="192">
        <f t="shared" si="1"/>
        <v>75</v>
      </c>
      <c r="BZ11" s="192">
        <f t="shared" si="1"/>
        <v>76</v>
      </c>
      <c r="CA11" s="192">
        <f t="shared" si="1"/>
        <v>77</v>
      </c>
      <c r="CB11" s="192">
        <f t="shared" si="1"/>
        <v>78</v>
      </c>
      <c r="CC11" s="192">
        <f t="shared" si="1"/>
        <v>79</v>
      </c>
      <c r="CD11" s="192">
        <f t="shared" si="1"/>
        <v>80</v>
      </c>
      <c r="CE11" s="192">
        <f t="shared" si="1"/>
        <v>81</v>
      </c>
      <c r="CF11" s="192">
        <f t="shared" si="1"/>
        <v>82</v>
      </c>
      <c r="CG11" s="192">
        <f t="shared" si="1"/>
        <v>83</v>
      </c>
      <c r="CH11" s="192">
        <f t="shared" si="1"/>
        <v>84</v>
      </c>
      <c r="CI11" s="192">
        <f t="shared" si="1"/>
        <v>85</v>
      </c>
      <c r="CJ11" s="192">
        <f t="shared" si="1"/>
        <v>86</v>
      </c>
      <c r="CK11" s="192">
        <f t="shared" si="1"/>
        <v>87</v>
      </c>
      <c r="CL11" s="192">
        <f t="shared" si="1"/>
        <v>88</v>
      </c>
      <c r="CM11" s="192">
        <f t="shared" si="1"/>
        <v>89</v>
      </c>
      <c r="CN11" s="192">
        <f t="shared" si="1"/>
        <v>90</v>
      </c>
      <c r="CO11" s="192">
        <f t="shared" si="1"/>
        <v>91</v>
      </c>
      <c r="CP11" s="192">
        <f t="shared" si="1"/>
        <v>92</v>
      </c>
      <c r="CQ11" s="192">
        <f t="shared" si="1"/>
        <v>93</v>
      </c>
      <c r="CR11" s="192">
        <f t="shared" si="1"/>
        <v>94</v>
      </c>
      <c r="CS11" s="192">
        <f t="shared" si="1"/>
        <v>95</v>
      </c>
      <c r="CT11" s="192">
        <f t="shared" si="1"/>
        <v>96</v>
      </c>
      <c r="CU11" s="192">
        <f t="shared" si="1"/>
        <v>97</v>
      </c>
      <c r="CV11" s="192">
        <f t="shared" si="1"/>
        <v>98</v>
      </c>
      <c r="CW11" s="192">
        <f t="shared" si="1"/>
        <v>99</v>
      </c>
    </row>
    <row r="12" spans="1:101" x14ac:dyDescent="0.25">
      <c r="A12" s="192">
        <v>1</v>
      </c>
      <c r="B12" s="191">
        <v>0.24</v>
      </c>
      <c r="C12" s="191">
        <v>0.14000000000000001</v>
      </c>
      <c r="D12" s="191">
        <v>0.12</v>
      </c>
      <c r="E12" s="191">
        <v>0.1</v>
      </c>
      <c r="F12" s="191">
        <v>0.09</v>
      </c>
      <c r="G12" s="191">
        <v>0.09</v>
      </c>
      <c r="H12" s="191">
        <v>0.08</v>
      </c>
      <c r="I12" s="191">
        <v>0.08</v>
      </c>
      <c r="J12" s="191">
        <v>0.08</v>
      </c>
      <c r="K12" s="191">
        <v>0.08</v>
      </c>
      <c r="L12" s="191">
        <v>0.08</v>
      </c>
      <c r="M12" s="191">
        <v>0.08</v>
      </c>
      <c r="N12" s="191">
        <v>0.1</v>
      </c>
      <c r="O12" s="191">
        <v>0.13</v>
      </c>
      <c r="P12" s="191">
        <v>0.19</v>
      </c>
      <c r="Q12" s="191">
        <v>0.28999999999999998</v>
      </c>
      <c r="R12" s="191">
        <v>0.42</v>
      </c>
      <c r="S12" s="191">
        <v>0.56999999999999995</v>
      </c>
      <c r="T12" s="191">
        <v>0.69</v>
      </c>
      <c r="U12" s="191">
        <v>0.64</v>
      </c>
      <c r="V12" s="191">
        <v>0.55000000000000004</v>
      </c>
      <c r="W12" s="191">
        <v>0.46</v>
      </c>
      <c r="X12" s="191">
        <v>0.45</v>
      </c>
      <c r="Y12" s="191">
        <v>0.38</v>
      </c>
      <c r="Z12" s="191">
        <v>0.32</v>
      </c>
      <c r="AA12" s="191">
        <v>0.27</v>
      </c>
      <c r="AB12" s="191">
        <v>0.24</v>
      </c>
      <c r="AC12" s="191">
        <v>0.21</v>
      </c>
      <c r="AD12" s="191">
        <v>0.18</v>
      </c>
      <c r="AE12" s="191">
        <v>0.17</v>
      </c>
      <c r="AF12" s="191">
        <v>0.16</v>
      </c>
      <c r="AG12" s="191">
        <v>0.13</v>
      </c>
      <c r="AH12" s="191">
        <v>0.14000000000000001</v>
      </c>
      <c r="AI12" s="191">
        <v>0.14000000000000001</v>
      </c>
      <c r="AJ12" s="191">
        <v>0.15</v>
      </c>
      <c r="AK12" s="191">
        <v>0.15</v>
      </c>
      <c r="AL12" s="191">
        <v>0.15</v>
      </c>
      <c r="AM12" s="191">
        <v>0.15</v>
      </c>
      <c r="AN12" s="191">
        <v>0.15</v>
      </c>
      <c r="AO12" s="191">
        <v>0.16</v>
      </c>
      <c r="AP12" s="191">
        <v>0.17</v>
      </c>
      <c r="AQ12" s="191">
        <v>0.19</v>
      </c>
      <c r="AR12" s="191">
        <v>0.22</v>
      </c>
      <c r="AS12" s="191">
        <v>0.26</v>
      </c>
      <c r="AT12" s="191">
        <v>0.31</v>
      </c>
      <c r="AU12" s="191">
        <v>0.35</v>
      </c>
      <c r="AV12" s="191">
        <v>0.41</v>
      </c>
      <c r="AW12" s="191">
        <v>0.45</v>
      </c>
      <c r="AX12" s="191">
        <v>0.49</v>
      </c>
      <c r="AY12" s="191">
        <v>0.51</v>
      </c>
      <c r="AZ12" s="191">
        <v>0.52</v>
      </c>
      <c r="BA12" s="191">
        <v>0.53</v>
      </c>
      <c r="BB12" s="191">
        <v>0.53</v>
      </c>
      <c r="BC12" s="191">
        <v>0.53</v>
      </c>
      <c r="BD12" s="191">
        <v>0.54</v>
      </c>
      <c r="BE12" s="191">
        <v>0.55000000000000004</v>
      </c>
      <c r="BF12" s="191">
        <v>0.63</v>
      </c>
      <c r="BG12" s="191">
        <v>0.77</v>
      </c>
      <c r="BH12" s="191">
        <v>0.94</v>
      </c>
      <c r="BI12" s="191">
        <v>1.1499999999999999</v>
      </c>
      <c r="BJ12" s="191">
        <v>1.36</v>
      </c>
      <c r="BK12" s="191">
        <v>1.51</v>
      </c>
      <c r="BL12" s="191">
        <v>1.6</v>
      </c>
      <c r="BM12" s="191">
        <v>1.66</v>
      </c>
      <c r="BN12" s="191">
        <v>1.72</v>
      </c>
      <c r="BO12" s="191">
        <v>1.79</v>
      </c>
      <c r="BP12" s="191">
        <v>1.88</v>
      </c>
      <c r="BQ12" s="191">
        <v>1.99</v>
      </c>
      <c r="BR12" s="191">
        <v>2.14</v>
      </c>
      <c r="BS12" s="191">
        <v>2.33</v>
      </c>
      <c r="BT12" s="191">
        <v>2.5</v>
      </c>
      <c r="BU12" s="191">
        <v>2.68</v>
      </c>
      <c r="BV12" s="191">
        <v>2.88</v>
      </c>
      <c r="BW12" s="191">
        <v>3.13</v>
      </c>
      <c r="BX12" s="191">
        <v>3.48</v>
      </c>
      <c r="BY12" s="191">
        <v>3.82</v>
      </c>
      <c r="BZ12" s="191">
        <v>4.16</v>
      </c>
      <c r="CA12" s="191">
        <v>4.32</v>
      </c>
      <c r="CB12" s="191">
        <v>4.53</v>
      </c>
      <c r="CC12" s="191">
        <v>4.7</v>
      </c>
      <c r="CD12" s="191">
        <v>4.87</v>
      </c>
      <c r="CE12" s="191">
        <v>5.28</v>
      </c>
      <c r="CF12" s="191">
        <v>5.81</v>
      </c>
      <c r="CG12" s="191">
        <v>6.68</v>
      </c>
      <c r="CH12" s="191">
        <v>7.86</v>
      </c>
      <c r="CI12" s="191">
        <v>9.2899999999999991</v>
      </c>
      <c r="CJ12" s="191">
        <v>11.21</v>
      </c>
      <c r="CK12" s="191">
        <v>13.43</v>
      </c>
      <c r="CL12" s="191">
        <v>15.68</v>
      </c>
      <c r="CM12" s="191">
        <v>18.010000000000002</v>
      </c>
      <c r="CN12" s="191">
        <v>20.69</v>
      </c>
      <c r="CO12" s="191">
        <v>26.11</v>
      </c>
      <c r="CP12" s="191">
        <v>37.21</v>
      </c>
      <c r="CQ12" s="191">
        <v>55.33</v>
      </c>
      <c r="CR12" s="191">
        <v>81.489999999999995</v>
      </c>
      <c r="CS12" s="191">
        <v>116.33</v>
      </c>
      <c r="CT12" s="191">
        <v>227.79</v>
      </c>
      <c r="CU12" s="191">
        <v>245.59</v>
      </c>
      <c r="CV12" s="191">
        <v>264.95</v>
      </c>
      <c r="CW12" s="191">
        <v>285.45999999999998</v>
      </c>
    </row>
    <row r="13" spans="1:101" s="53" customFormat="1" x14ac:dyDescent="0.25">
      <c r="A13" s="192">
        <f>A12+1</f>
        <v>2</v>
      </c>
      <c r="B13" s="191">
        <v>0.14000000000000001</v>
      </c>
      <c r="C13" s="191">
        <v>0.12</v>
      </c>
      <c r="D13" s="191">
        <v>0.1</v>
      </c>
      <c r="E13" s="191">
        <v>0.09</v>
      </c>
      <c r="F13" s="191">
        <v>0.09</v>
      </c>
      <c r="G13" s="191">
        <v>0.08</v>
      </c>
      <c r="H13" s="191">
        <v>0.08</v>
      </c>
      <c r="I13" s="191">
        <v>0.08</v>
      </c>
      <c r="J13" s="191">
        <v>0.08</v>
      </c>
      <c r="K13" s="191">
        <v>0.08</v>
      </c>
      <c r="L13" s="191">
        <v>0.08</v>
      </c>
      <c r="M13" s="191">
        <v>0.1</v>
      </c>
      <c r="N13" s="191">
        <v>0.13</v>
      </c>
      <c r="O13" s="191">
        <v>0.19</v>
      </c>
      <c r="P13" s="191">
        <v>0.28999999999999998</v>
      </c>
      <c r="Q13" s="191">
        <v>0.42</v>
      </c>
      <c r="R13" s="191">
        <v>0.56999999999999995</v>
      </c>
      <c r="S13" s="191">
        <v>0.69</v>
      </c>
      <c r="T13" s="191">
        <v>0.72</v>
      </c>
      <c r="U13" s="191">
        <v>0.67</v>
      </c>
      <c r="V13" s="191">
        <v>0.56999999999999995</v>
      </c>
      <c r="W13" s="191">
        <v>0.56999999999999995</v>
      </c>
      <c r="X13" s="191">
        <v>0.47</v>
      </c>
      <c r="Y13" s="191">
        <v>0.39</v>
      </c>
      <c r="Z13" s="191">
        <v>0.33</v>
      </c>
      <c r="AA13" s="191">
        <v>0.28999999999999998</v>
      </c>
      <c r="AB13" s="191">
        <v>0.25</v>
      </c>
      <c r="AC13" s="191">
        <v>0.23</v>
      </c>
      <c r="AD13" s="191">
        <v>0.2</v>
      </c>
      <c r="AE13" s="191">
        <v>0.19</v>
      </c>
      <c r="AF13" s="191">
        <v>0.17</v>
      </c>
      <c r="AG13" s="191">
        <v>0.15</v>
      </c>
      <c r="AH13" s="191">
        <v>0.15</v>
      </c>
      <c r="AI13" s="191">
        <v>0.16</v>
      </c>
      <c r="AJ13" s="191">
        <v>0.17</v>
      </c>
      <c r="AK13" s="191">
        <v>0.17</v>
      </c>
      <c r="AL13" s="191">
        <v>0.19</v>
      </c>
      <c r="AM13" s="191">
        <v>0.2</v>
      </c>
      <c r="AN13" s="191">
        <v>0.23</v>
      </c>
      <c r="AO13" s="191">
        <v>0.26</v>
      </c>
      <c r="AP13" s="191">
        <v>0.3</v>
      </c>
      <c r="AQ13" s="191">
        <v>0.35</v>
      </c>
      <c r="AR13" s="191">
        <v>0.39</v>
      </c>
      <c r="AS13" s="191">
        <v>0.43</v>
      </c>
      <c r="AT13" s="191">
        <v>0.46</v>
      </c>
      <c r="AU13" s="191">
        <v>0.49</v>
      </c>
      <c r="AV13" s="191">
        <v>0.51</v>
      </c>
      <c r="AW13" s="191">
        <v>0.53</v>
      </c>
      <c r="AX13" s="191">
        <v>0.56000000000000005</v>
      </c>
      <c r="AY13" s="191">
        <v>0.61</v>
      </c>
      <c r="AZ13" s="191">
        <v>0.68</v>
      </c>
      <c r="BA13" s="191">
        <v>0.77</v>
      </c>
      <c r="BB13" s="191">
        <v>0.88</v>
      </c>
      <c r="BC13" s="191">
        <v>0.99</v>
      </c>
      <c r="BD13" s="191">
        <v>1.0900000000000001</v>
      </c>
      <c r="BE13" s="191">
        <v>1.17</v>
      </c>
      <c r="BF13" s="191">
        <v>1.22</v>
      </c>
      <c r="BG13" s="191">
        <v>1.26</v>
      </c>
      <c r="BH13" s="191">
        <v>1.31</v>
      </c>
      <c r="BI13" s="191">
        <v>1.39</v>
      </c>
      <c r="BJ13" s="191">
        <v>1.53</v>
      </c>
      <c r="BK13" s="191">
        <v>1.72</v>
      </c>
      <c r="BL13" s="191">
        <v>1.97</v>
      </c>
      <c r="BM13" s="191">
        <v>2.27</v>
      </c>
      <c r="BN13" s="191">
        <v>2.56</v>
      </c>
      <c r="BO13" s="191">
        <v>2.89</v>
      </c>
      <c r="BP13" s="191">
        <v>3.21</v>
      </c>
      <c r="BQ13" s="191">
        <v>3.49</v>
      </c>
      <c r="BR13" s="191">
        <v>3.77</v>
      </c>
      <c r="BS13" s="191">
        <v>4.07</v>
      </c>
      <c r="BT13" s="191">
        <v>4.3099999999999996</v>
      </c>
      <c r="BU13" s="191">
        <v>4.51</v>
      </c>
      <c r="BV13" s="191">
        <v>4.74</v>
      </c>
      <c r="BW13" s="191">
        <v>5.0599999999999996</v>
      </c>
      <c r="BX13" s="191">
        <v>5.57</v>
      </c>
      <c r="BY13" s="191">
        <v>6.16</v>
      </c>
      <c r="BZ13" s="191">
        <v>6.7</v>
      </c>
      <c r="CA13" s="191">
        <v>6.96</v>
      </c>
      <c r="CB13" s="191">
        <v>7.31</v>
      </c>
      <c r="CC13" s="191">
        <v>7.62</v>
      </c>
      <c r="CD13" s="191">
        <v>7.97</v>
      </c>
      <c r="CE13" s="191">
        <v>8.7200000000000006</v>
      </c>
      <c r="CF13" s="191">
        <v>9.7100000000000009</v>
      </c>
      <c r="CG13" s="191">
        <v>11.3</v>
      </c>
      <c r="CH13" s="191">
        <v>13.71</v>
      </c>
      <c r="CI13" s="191">
        <v>16.54</v>
      </c>
      <c r="CJ13" s="191">
        <v>20.34</v>
      </c>
      <c r="CK13" s="191">
        <v>24.96</v>
      </c>
      <c r="CL13" s="191">
        <v>30.11</v>
      </c>
      <c r="CM13" s="191">
        <v>35.21</v>
      </c>
      <c r="CN13" s="191">
        <v>41.16</v>
      </c>
      <c r="CO13" s="191">
        <v>64.28</v>
      </c>
      <c r="CP13" s="191">
        <v>96.57</v>
      </c>
      <c r="CQ13" s="191">
        <v>139.86000000000001</v>
      </c>
      <c r="CR13" s="191">
        <v>163.69999999999999</v>
      </c>
      <c r="CS13" s="191">
        <v>227.79</v>
      </c>
      <c r="CT13" s="191">
        <v>245.59</v>
      </c>
      <c r="CU13" s="191">
        <v>264.95</v>
      </c>
      <c r="CV13" s="191">
        <v>285.45999999999998</v>
      </c>
      <c r="CW13" s="191">
        <v>306.7</v>
      </c>
    </row>
    <row r="14" spans="1:101" s="53" customFormat="1" x14ac:dyDescent="0.25">
      <c r="A14" s="192">
        <f t="shared" ref="A14:A36" si="2">A13+1</f>
        <v>3</v>
      </c>
      <c r="B14" s="191">
        <v>0.12</v>
      </c>
      <c r="C14" s="191">
        <v>0.1</v>
      </c>
      <c r="D14" s="191">
        <v>0.09</v>
      </c>
      <c r="E14" s="191">
        <v>0.09</v>
      </c>
      <c r="F14" s="191">
        <v>0.08</v>
      </c>
      <c r="G14" s="191">
        <v>0.08</v>
      </c>
      <c r="H14" s="191">
        <v>0.08</v>
      </c>
      <c r="I14" s="191">
        <v>0.08</v>
      </c>
      <c r="J14" s="191">
        <v>0.08</v>
      </c>
      <c r="K14" s="191">
        <v>0.08</v>
      </c>
      <c r="L14" s="191">
        <v>0.1</v>
      </c>
      <c r="M14" s="191">
        <v>0.13</v>
      </c>
      <c r="N14" s="191">
        <v>0.19</v>
      </c>
      <c r="O14" s="191">
        <v>0.28999999999999998</v>
      </c>
      <c r="P14" s="191">
        <v>0.42</v>
      </c>
      <c r="Q14" s="191">
        <v>0.56999999999999995</v>
      </c>
      <c r="R14" s="191">
        <v>0.69</v>
      </c>
      <c r="S14" s="191">
        <v>0.72</v>
      </c>
      <c r="T14" s="191">
        <v>0.74</v>
      </c>
      <c r="U14" s="191">
        <v>0.68</v>
      </c>
      <c r="V14" s="191">
        <v>0.63</v>
      </c>
      <c r="W14" s="191">
        <v>0.51</v>
      </c>
      <c r="X14" s="191">
        <v>0.42</v>
      </c>
      <c r="Y14" s="191">
        <v>0.35</v>
      </c>
      <c r="Z14" s="191">
        <v>0.3</v>
      </c>
      <c r="AA14" s="191">
        <v>0.26</v>
      </c>
      <c r="AB14" s="191">
        <v>0.24</v>
      </c>
      <c r="AC14" s="191">
        <v>0.22</v>
      </c>
      <c r="AD14" s="191">
        <v>0.21</v>
      </c>
      <c r="AE14" s="191">
        <v>0.22</v>
      </c>
      <c r="AF14" s="191">
        <v>0.22</v>
      </c>
      <c r="AG14" s="191">
        <v>0.22</v>
      </c>
      <c r="AH14" s="191">
        <v>0.23</v>
      </c>
      <c r="AI14" s="191">
        <v>0.24</v>
      </c>
      <c r="AJ14" s="191">
        <v>0.26</v>
      </c>
      <c r="AK14" s="191">
        <v>0.28000000000000003</v>
      </c>
      <c r="AL14" s="191">
        <v>0.3</v>
      </c>
      <c r="AM14" s="191">
        <v>0.32</v>
      </c>
      <c r="AN14" s="191">
        <v>0.36</v>
      </c>
      <c r="AO14" s="191">
        <v>0.39</v>
      </c>
      <c r="AP14" s="191">
        <v>0.43</v>
      </c>
      <c r="AQ14" s="191">
        <v>0.47</v>
      </c>
      <c r="AR14" s="191">
        <v>0.51</v>
      </c>
      <c r="AS14" s="191">
        <v>0.54</v>
      </c>
      <c r="AT14" s="191">
        <v>0.57999999999999996</v>
      </c>
      <c r="AU14" s="191">
        <v>0.63</v>
      </c>
      <c r="AV14" s="191">
        <v>0.68</v>
      </c>
      <c r="AW14" s="191">
        <v>0.73</v>
      </c>
      <c r="AX14" s="191">
        <v>0.8</v>
      </c>
      <c r="AY14" s="191">
        <v>0.87</v>
      </c>
      <c r="AZ14" s="191">
        <v>0.96</v>
      </c>
      <c r="BA14" s="191">
        <v>1.06</v>
      </c>
      <c r="BB14" s="191">
        <v>1.18</v>
      </c>
      <c r="BC14" s="191">
        <v>1.31</v>
      </c>
      <c r="BD14" s="191">
        <v>1.46</v>
      </c>
      <c r="BE14" s="191">
        <v>1.63</v>
      </c>
      <c r="BF14" s="191">
        <v>1.8</v>
      </c>
      <c r="BG14" s="191">
        <v>1.97</v>
      </c>
      <c r="BH14" s="191">
        <v>2.11</v>
      </c>
      <c r="BI14" s="191">
        <v>2.23</v>
      </c>
      <c r="BJ14" s="191">
        <v>2.3199999999999998</v>
      </c>
      <c r="BK14" s="191">
        <v>2.4300000000000002</v>
      </c>
      <c r="BL14" s="191">
        <v>2.57</v>
      </c>
      <c r="BM14" s="191">
        <v>2.79</v>
      </c>
      <c r="BN14" s="191">
        <v>3.1</v>
      </c>
      <c r="BO14" s="191">
        <v>3.49</v>
      </c>
      <c r="BP14" s="191">
        <v>3.94</v>
      </c>
      <c r="BQ14" s="191">
        <v>4.4400000000000004</v>
      </c>
      <c r="BR14" s="191">
        <v>4.9800000000000004</v>
      </c>
      <c r="BS14" s="191">
        <v>5.57</v>
      </c>
      <c r="BT14" s="191">
        <v>6.12</v>
      </c>
      <c r="BU14" s="191">
        <v>6.64</v>
      </c>
      <c r="BV14" s="191">
        <v>7.21</v>
      </c>
      <c r="BW14" s="191">
        <v>7.9</v>
      </c>
      <c r="BX14" s="191">
        <v>8.84</v>
      </c>
      <c r="BY14" s="191">
        <v>9.91</v>
      </c>
      <c r="BZ14" s="191">
        <v>10.98</v>
      </c>
      <c r="CA14" s="191">
        <v>11.54</v>
      </c>
      <c r="CB14" s="191">
        <v>12.29</v>
      </c>
      <c r="CC14" s="191">
        <v>13.05</v>
      </c>
      <c r="CD14" s="191">
        <v>13.86</v>
      </c>
      <c r="CE14" s="191">
        <v>15.59</v>
      </c>
      <c r="CF14" s="191">
        <v>17.78</v>
      </c>
      <c r="CG14" s="191">
        <v>21.17</v>
      </c>
      <c r="CH14" s="191">
        <v>26.52</v>
      </c>
      <c r="CI14" s="191">
        <v>32.64</v>
      </c>
      <c r="CJ14" s="191">
        <v>41.06</v>
      </c>
      <c r="CK14" s="191">
        <v>51.42</v>
      </c>
      <c r="CL14" s="191">
        <v>63.26</v>
      </c>
      <c r="CM14" s="191">
        <v>76.25</v>
      </c>
      <c r="CN14" s="191">
        <v>91.34</v>
      </c>
      <c r="CO14" s="191">
        <v>137.80000000000001</v>
      </c>
      <c r="CP14" s="191">
        <v>198.22</v>
      </c>
      <c r="CQ14" s="191">
        <v>211.08</v>
      </c>
      <c r="CR14" s="191">
        <v>227.79</v>
      </c>
      <c r="CS14" s="191">
        <v>245.59</v>
      </c>
      <c r="CT14" s="191">
        <v>264.95</v>
      </c>
      <c r="CU14" s="191">
        <v>285.45999999999998</v>
      </c>
      <c r="CV14" s="191">
        <v>306.7</v>
      </c>
      <c r="CW14" s="191">
        <v>328.25</v>
      </c>
    </row>
    <row r="15" spans="1:101" s="53" customFormat="1" x14ac:dyDescent="0.25">
      <c r="A15" s="192">
        <f t="shared" si="2"/>
        <v>4</v>
      </c>
      <c r="B15" s="191">
        <v>0.1</v>
      </c>
      <c r="C15" s="191">
        <v>0.09</v>
      </c>
      <c r="D15" s="191">
        <v>0.09</v>
      </c>
      <c r="E15" s="191">
        <v>0.08</v>
      </c>
      <c r="F15" s="191">
        <v>0.08</v>
      </c>
      <c r="G15" s="191">
        <v>0.08</v>
      </c>
      <c r="H15" s="191">
        <v>0.08</v>
      </c>
      <c r="I15" s="191">
        <v>0.08</v>
      </c>
      <c r="J15" s="191">
        <v>0.08</v>
      </c>
      <c r="K15" s="191">
        <v>0.1</v>
      </c>
      <c r="L15" s="191">
        <v>0.13</v>
      </c>
      <c r="M15" s="191">
        <v>0.19</v>
      </c>
      <c r="N15" s="191">
        <v>0.28999999999999998</v>
      </c>
      <c r="O15" s="191">
        <v>0.42</v>
      </c>
      <c r="P15" s="191">
        <v>0.56999999999999995</v>
      </c>
      <c r="Q15" s="191">
        <v>0.69</v>
      </c>
      <c r="R15" s="191">
        <v>0.72</v>
      </c>
      <c r="S15" s="191">
        <v>0.74</v>
      </c>
      <c r="T15" s="191">
        <v>0.77</v>
      </c>
      <c r="U15" s="191">
        <v>0.65</v>
      </c>
      <c r="V15" s="191">
        <v>0.61</v>
      </c>
      <c r="W15" s="191">
        <v>0.49</v>
      </c>
      <c r="X15" s="191">
        <v>0.4</v>
      </c>
      <c r="Y15" s="191">
        <v>0.34</v>
      </c>
      <c r="Z15" s="191">
        <v>0.28999999999999998</v>
      </c>
      <c r="AA15" s="191">
        <v>0.25</v>
      </c>
      <c r="AB15" s="191">
        <v>0.24</v>
      </c>
      <c r="AC15" s="191">
        <v>0.23</v>
      </c>
      <c r="AD15" s="191">
        <v>0.24</v>
      </c>
      <c r="AE15" s="191">
        <v>0.25</v>
      </c>
      <c r="AF15" s="191">
        <v>0.26</v>
      </c>
      <c r="AG15" s="191">
        <v>0.26</v>
      </c>
      <c r="AH15" s="191">
        <v>0.27</v>
      </c>
      <c r="AI15" s="191">
        <v>0.28999999999999998</v>
      </c>
      <c r="AJ15" s="191">
        <v>0.3</v>
      </c>
      <c r="AK15" s="191">
        <v>0.33</v>
      </c>
      <c r="AL15" s="191">
        <v>0.36</v>
      </c>
      <c r="AM15" s="191">
        <v>0.4</v>
      </c>
      <c r="AN15" s="191">
        <v>0.42</v>
      </c>
      <c r="AO15" s="191">
        <v>0.46</v>
      </c>
      <c r="AP15" s="191">
        <v>0.51</v>
      </c>
      <c r="AQ15" s="191">
        <v>0.55000000000000004</v>
      </c>
      <c r="AR15" s="191">
        <v>0.59</v>
      </c>
      <c r="AS15" s="191">
        <v>0.65</v>
      </c>
      <c r="AT15" s="191">
        <v>0.71</v>
      </c>
      <c r="AU15" s="191">
        <v>0.77</v>
      </c>
      <c r="AV15" s="191">
        <v>0.83</v>
      </c>
      <c r="AW15" s="191">
        <v>0.9</v>
      </c>
      <c r="AX15" s="191">
        <v>0.97</v>
      </c>
      <c r="AY15" s="191">
        <v>1.06</v>
      </c>
      <c r="AZ15" s="191">
        <v>1.1599999999999999</v>
      </c>
      <c r="BA15" s="191">
        <v>1.28</v>
      </c>
      <c r="BB15" s="191">
        <v>1.42</v>
      </c>
      <c r="BC15" s="191">
        <v>1.6</v>
      </c>
      <c r="BD15" s="191">
        <v>1.81</v>
      </c>
      <c r="BE15" s="191">
        <v>1.96</v>
      </c>
      <c r="BF15" s="191">
        <v>2.11</v>
      </c>
      <c r="BG15" s="191">
        <v>2.27</v>
      </c>
      <c r="BH15" s="191">
        <v>2.4700000000000002</v>
      </c>
      <c r="BI15" s="191">
        <v>2.68</v>
      </c>
      <c r="BJ15" s="191">
        <v>2.76</v>
      </c>
      <c r="BK15" s="191">
        <v>2.88</v>
      </c>
      <c r="BL15" s="191">
        <v>3.08</v>
      </c>
      <c r="BM15" s="191">
        <v>3.41</v>
      </c>
      <c r="BN15" s="191">
        <v>3.84</v>
      </c>
      <c r="BO15" s="191">
        <v>4.34</v>
      </c>
      <c r="BP15" s="191">
        <v>4.9000000000000004</v>
      </c>
      <c r="BQ15" s="191">
        <v>5.54</v>
      </c>
      <c r="BR15" s="191">
        <v>6.26</v>
      </c>
      <c r="BS15" s="191">
        <v>7.07</v>
      </c>
      <c r="BT15" s="191">
        <v>7.84</v>
      </c>
      <c r="BU15" s="191">
        <v>8.59</v>
      </c>
      <c r="BV15" s="191">
        <v>9.4</v>
      </c>
      <c r="BW15" s="191">
        <v>10.39</v>
      </c>
      <c r="BX15" s="191">
        <v>11.74</v>
      </c>
      <c r="BY15" s="191">
        <v>13.27</v>
      </c>
      <c r="BZ15" s="191">
        <v>15.08</v>
      </c>
      <c r="CA15" s="191">
        <v>16.21</v>
      </c>
      <c r="CB15" s="191">
        <v>17.62</v>
      </c>
      <c r="CC15" s="191">
        <v>18.96</v>
      </c>
      <c r="CD15" s="191">
        <v>20.54</v>
      </c>
      <c r="CE15" s="191">
        <v>23.29</v>
      </c>
      <c r="CF15" s="191">
        <v>26.79</v>
      </c>
      <c r="CG15" s="191">
        <v>31.9</v>
      </c>
      <c r="CH15" s="191">
        <v>40.24</v>
      </c>
      <c r="CI15" s="191">
        <v>49.6</v>
      </c>
      <c r="CJ15" s="191">
        <v>63.08</v>
      </c>
      <c r="CK15" s="191">
        <v>80.59</v>
      </c>
      <c r="CL15" s="191">
        <v>100.74</v>
      </c>
      <c r="CM15" s="191">
        <v>123.29</v>
      </c>
      <c r="CN15" s="191">
        <v>150.97</v>
      </c>
      <c r="CO15" s="191">
        <v>198.22</v>
      </c>
      <c r="CP15" s="191">
        <v>211.08</v>
      </c>
      <c r="CQ15" s="191">
        <v>227.79</v>
      </c>
      <c r="CR15" s="191">
        <v>245.59</v>
      </c>
      <c r="CS15" s="191">
        <v>264.95</v>
      </c>
      <c r="CT15" s="191">
        <v>285.45999999999998</v>
      </c>
      <c r="CU15" s="191">
        <v>306.7</v>
      </c>
      <c r="CV15" s="191">
        <v>328.25</v>
      </c>
      <c r="CW15" s="191">
        <v>350.02</v>
      </c>
    </row>
    <row r="16" spans="1:101" s="53" customFormat="1" x14ac:dyDescent="0.25">
      <c r="A16" s="192">
        <f t="shared" si="2"/>
        <v>5</v>
      </c>
      <c r="B16" s="191">
        <v>0.09</v>
      </c>
      <c r="C16" s="191">
        <v>0.09</v>
      </c>
      <c r="D16" s="191">
        <v>0.08</v>
      </c>
      <c r="E16" s="191">
        <v>0.08</v>
      </c>
      <c r="F16" s="191">
        <v>0.08</v>
      </c>
      <c r="G16" s="191">
        <v>0.08</v>
      </c>
      <c r="H16" s="191">
        <v>0.08</v>
      </c>
      <c r="I16" s="191">
        <v>0.08</v>
      </c>
      <c r="J16" s="191">
        <v>0.1</v>
      </c>
      <c r="K16" s="191">
        <v>0.13</v>
      </c>
      <c r="L16" s="191">
        <v>0.19</v>
      </c>
      <c r="M16" s="191">
        <v>0.28999999999999998</v>
      </c>
      <c r="N16" s="191">
        <v>0.42</v>
      </c>
      <c r="O16" s="191">
        <v>0.56999999999999995</v>
      </c>
      <c r="P16" s="191">
        <v>0.69</v>
      </c>
      <c r="Q16" s="191">
        <v>0.72</v>
      </c>
      <c r="R16" s="191">
        <v>0.74</v>
      </c>
      <c r="S16" s="191">
        <v>0.77</v>
      </c>
      <c r="T16" s="191">
        <v>0.75</v>
      </c>
      <c r="U16" s="191">
        <v>0.64</v>
      </c>
      <c r="V16" s="191">
        <v>0.59</v>
      </c>
      <c r="W16" s="191">
        <v>0.47</v>
      </c>
      <c r="X16" s="191">
        <v>0.39</v>
      </c>
      <c r="Y16" s="191">
        <v>0.33</v>
      </c>
      <c r="Z16" s="191">
        <v>0.28999999999999998</v>
      </c>
      <c r="AA16" s="191">
        <v>0.26</v>
      </c>
      <c r="AB16" s="191">
        <v>0.24</v>
      </c>
      <c r="AC16" s="191">
        <v>0.25</v>
      </c>
      <c r="AD16" s="191">
        <v>0.26</v>
      </c>
      <c r="AE16" s="191">
        <v>0.28000000000000003</v>
      </c>
      <c r="AF16" s="191">
        <v>0.28000000000000003</v>
      </c>
      <c r="AG16" s="191">
        <v>0.28000000000000003</v>
      </c>
      <c r="AH16" s="191">
        <v>0.3</v>
      </c>
      <c r="AI16" s="191">
        <v>0.31</v>
      </c>
      <c r="AJ16" s="191">
        <v>0.34</v>
      </c>
      <c r="AK16" s="191">
        <v>0.38</v>
      </c>
      <c r="AL16" s="191">
        <v>0.42</v>
      </c>
      <c r="AM16" s="191">
        <v>0.46</v>
      </c>
      <c r="AN16" s="191">
        <v>0.49</v>
      </c>
      <c r="AO16" s="191">
        <v>0.53</v>
      </c>
      <c r="AP16" s="191">
        <v>0.59</v>
      </c>
      <c r="AQ16" s="191">
        <v>0.64</v>
      </c>
      <c r="AR16" s="191">
        <v>0.69</v>
      </c>
      <c r="AS16" s="191">
        <v>0.74</v>
      </c>
      <c r="AT16" s="191">
        <v>0.79</v>
      </c>
      <c r="AU16" s="191">
        <v>0.84</v>
      </c>
      <c r="AV16" s="191">
        <v>0.91</v>
      </c>
      <c r="AW16" s="191">
        <v>1</v>
      </c>
      <c r="AX16" s="191">
        <v>1.1100000000000001</v>
      </c>
      <c r="AY16" s="191">
        <v>1.25</v>
      </c>
      <c r="AZ16" s="191">
        <v>1.4</v>
      </c>
      <c r="BA16" s="191">
        <v>1.55</v>
      </c>
      <c r="BB16" s="191">
        <v>1.7</v>
      </c>
      <c r="BC16" s="191">
        <v>1.85</v>
      </c>
      <c r="BD16" s="191">
        <v>1.99</v>
      </c>
      <c r="BE16" s="191">
        <v>2.14</v>
      </c>
      <c r="BF16" s="191">
        <v>2.29</v>
      </c>
      <c r="BG16" s="191">
        <v>2.5099999999999998</v>
      </c>
      <c r="BH16" s="191">
        <v>2.76</v>
      </c>
      <c r="BI16" s="191">
        <v>2.98</v>
      </c>
      <c r="BJ16" s="191">
        <v>3.28</v>
      </c>
      <c r="BK16" s="191">
        <v>3.63</v>
      </c>
      <c r="BL16" s="191">
        <v>4.0199999999999996</v>
      </c>
      <c r="BM16" s="191">
        <v>4.46</v>
      </c>
      <c r="BN16" s="191">
        <v>4.97</v>
      </c>
      <c r="BO16" s="191">
        <v>5.55</v>
      </c>
      <c r="BP16" s="191">
        <v>6.22</v>
      </c>
      <c r="BQ16" s="191">
        <v>6.98</v>
      </c>
      <c r="BR16" s="191">
        <v>7.61</v>
      </c>
      <c r="BS16" s="191">
        <v>8.5299999999999994</v>
      </c>
      <c r="BT16" s="191">
        <v>9.34</v>
      </c>
      <c r="BU16" s="191">
        <v>10.050000000000001</v>
      </c>
      <c r="BV16" s="191">
        <v>10.96</v>
      </c>
      <c r="BW16" s="191">
        <v>12.56</v>
      </c>
      <c r="BX16" s="191">
        <v>14.23</v>
      </c>
      <c r="BY16" s="191">
        <v>16.22</v>
      </c>
      <c r="BZ16" s="191">
        <v>18.649999999999999</v>
      </c>
      <c r="CA16" s="191">
        <v>20.54</v>
      </c>
      <c r="CB16" s="191">
        <v>22.4</v>
      </c>
      <c r="CC16" s="191">
        <v>24.49</v>
      </c>
      <c r="CD16" s="191">
        <v>26.58</v>
      </c>
      <c r="CE16" s="191">
        <v>30.13</v>
      </c>
      <c r="CF16" s="191">
        <v>34.78</v>
      </c>
      <c r="CG16" s="191">
        <v>41.78</v>
      </c>
      <c r="CH16" s="191">
        <v>52.82</v>
      </c>
      <c r="CI16" s="191">
        <v>66.239999999999995</v>
      </c>
      <c r="CJ16" s="191">
        <v>85.73</v>
      </c>
      <c r="CK16" s="191">
        <v>110.7</v>
      </c>
      <c r="CL16" s="191">
        <v>139.6</v>
      </c>
      <c r="CM16" s="191">
        <v>170.18</v>
      </c>
      <c r="CN16" s="191">
        <v>198.22</v>
      </c>
      <c r="CO16" s="191">
        <v>211.08</v>
      </c>
      <c r="CP16" s="191">
        <v>227.79</v>
      </c>
      <c r="CQ16" s="191">
        <v>245.59</v>
      </c>
      <c r="CR16" s="191">
        <v>264.95</v>
      </c>
      <c r="CS16" s="191">
        <v>285.45999999999998</v>
      </c>
      <c r="CT16" s="191">
        <v>306.7</v>
      </c>
      <c r="CU16" s="191">
        <v>328.25</v>
      </c>
      <c r="CV16" s="191">
        <v>350.02</v>
      </c>
      <c r="CW16" s="191">
        <v>371.65</v>
      </c>
    </row>
    <row r="17" spans="1:101" s="53" customFormat="1" x14ac:dyDescent="0.25">
      <c r="A17" s="192">
        <f t="shared" si="2"/>
        <v>6</v>
      </c>
      <c r="B17" s="191">
        <v>0.09</v>
      </c>
      <c r="C17" s="191">
        <v>0.08</v>
      </c>
      <c r="D17" s="191">
        <v>0.08</v>
      </c>
      <c r="E17" s="191">
        <v>0.08</v>
      </c>
      <c r="F17" s="191">
        <v>0.08</v>
      </c>
      <c r="G17" s="191">
        <v>0.08</v>
      </c>
      <c r="H17" s="191">
        <v>0.08</v>
      </c>
      <c r="I17" s="191">
        <v>0.1</v>
      </c>
      <c r="J17" s="191">
        <v>0.13</v>
      </c>
      <c r="K17" s="191">
        <v>0.19</v>
      </c>
      <c r="L17" s="191">
        <v>0.28999999999999998</v>
      </c>
      <c r="M17" s="191">
        <v>0.42</v>
      </c>
      <c r="N17" s="191">
        <v>0.56999999999999995</v>
      </c>
      <c r="O17" s="191">
        <v>0.69</v>
      </c>
      <c r="P17" s="191">
        <v>0.72</v>
      </c>
      <c r="Q17" s="191">
        <v>0.74</v>
      </c>
      <c r="R17" s="191">
        <v>0.77</v>
      </c>
      <c r="S17" s="191">
        <v>0.75</v>
      </c>
      <c r="T17" s="191">
        <v>0.72</v>
      </c>
      <c r="U17" s="191">
        <v>0.65</v>
      </c>
      <c r="V17" s="191">
        <v>0.56999999999999995</v>
      </c>
      <c r="W17" s="191">
        <v>0.47</v>
      </c>
      <c r="X17" s="191">
        <v>0.39</v>
      </c>
      <c r="Y17" s="191">
        <v>0.33</v>
      </c>
      <c r="Z17" s="191">
        <v>0.28000000000000003</v>
      </c>
      <c r="AA17" s="191">
        <v>0.26</v>
      </c>
      <c r="AB17" s="191">
        <v>0.25</v>
      </c>
      <c r="AC17" s="191">
        <v>0.26</v>
      </c>
      <c r="AD17" s="191">
        <v>0.28000000000000003</v>
      </c>
      <c r="AE17" s="191">
        <v>0.31</v>
      </c>
      <c r="AF17" s="191">
        <v>0.31</v>
      </c>
      <c r="AG17" s="191">
        <v>0.31</v>
      </c>
      <c r="AH17" s="191">
        <v>0.32</v>
      </c>
      <c r="AI17" s="191">
        <v>0.35</v>
      </c>
      <c r="AJ17" s="191">
        <v>0.4</v>
      </c>
      <c r="AK17" s="191">
        <v>0.43</v>
      </c>
      <c r="AL17" s="191">
        <v>0.48</v>
      </c>
      <c r="AM17" s="191">
        <v>0.51</v>
      </c>
      <c r="AN17" s="191">
        <v>0.56999999999999995</v>
      </c>
      <c r="AO17" s="191">
        <v>0.63</v>
      </c>
      <c r="AP17" s="191">
        <v>0.68</v>
      </c>
      <c r="AQ17" s="191">
        <v>0.73</v>
      </c>
      <c r="AR17" s="191">
        <v>0.77</v>
      </c>
      <c r="AS17" s="191">
        <v>0.82</v>
      </c>
      <c r="AT17" s="191">
        <v>0.87</v>
      </c>
      <c r="AU17" s="191">
        <v>0.94</v>
      </c>
      <c r="AV17" s="191">
        <v>1.03</v>
      </c>
      <c r="AW17" s="191">
        <v>1.1599999999999999</v>
      </c>
      <c r="AX17" s="191">
        <v>1.32</v>
      </c>
      <c r="AY17" s="191">
        <v>1.48</v>
      </c>
      <c r="AZ17" s="191">
        <v>1.64</v>
      </c>
      <c r="BA17" s="191">
        <v>1.77</v>
      </c>
      <c r="BB17" s="191">
        <v>1.88</v>
      </c>
      <c r="BC17" s="191">
        <v>2</v>
      </c>
      <c r="BD17" s="191">
        <v>2.17</v>
      </c>
      <c r="BE17" s="191">
        <v>2.3199999999999998</v>
      </c>
      <c r="BF17" s="191">
        <v>2.56</v>
      </c>
      <c r="BG17" s="191">
        <v>2.84</v>
      </c>
      <c r="BH17" s="191">
        <v>3.22</v>
      </c>
      <c r="BI17" s="191">
        <v>3.67</v>
      </c>
      <c r="BJ17" s="191">
        <v>4.13</v>
      </c>
      <c r="BK17" s="191">
        <v>4.57</v>
      </c>
      <c r="BL17" s="191">
        <v>5</v>
      </c>
      <c r="BM17" s="191">
        <v>5.44</v>
      </c>
      <c r="BN17" s="191">
        <v>5.91</v>
      </c>
      <c r="BO17" s="191">
        <v>6.45</v>
      </c>
      <c r="BP17" s="191">
        <v>7.11</v>
      </c>
      <c r="BQ17" s="191">
        <v>7.89</v>
      </c>
      <c r="BR17" s="191">
        <v>8.81</v>
      </c>
      <c r="BS17" s="191">
        <v>9.83</v>
      </c>
      <c r="BT17" s="191">
        <v>10.73</v>
      </c>
      <c r="BU17" s="191">
        <v>11.75</v>
      </c>
      <c r="BV17" s="191">
        <v>13.38</v>
      </c>
      <c r="BW17" s="191">
        <v>15.19</v>
      </c>
      <c r="BX17" s="191">
        <v>17.350000000000001</v>
      </c>
      <c r="BY17" s="191">
        <v>19.989999999999998</v>
      </c>
      <c r="BZ17" s="191">
        <v>23.09</v>
      </c>
      <c r="CA17" s="191">
        <v>25.49</v>
      </c>
      <c r="CB17" s="191">
        <v>28.65</v>
      </c>
      <c r="CC17" s="191">
        <v>31.33</v>
      </c>
      <c r="CD17" s="191">
        <v>33.909999999999997</v>
      </c>
      <c r="CE17" s="191">
        <v>38.630000000000003</v>
      </c>
      <c r="CF17" s="191">
        <v>44.28</v>
      </c>
      <c r="CG17" s="191">
        <v>53.53</v>
      </c>
      <c r="CH17" s="191">
        <v>68.98</v>
      </c>
      <c r="CI17" s="191">
        <v>87.96</v>
      </c>
      <c r="CJ17" s="191">
        <v>115.25</v>
      </c>
      <c r="CK17" s="191">
        <v>146.02000000000001</v>
      </c>
      <c r="CL17" s="191">
        <v>183.74</v>
      </c>
      <c r="CM17" s="191">
        <v>198.22</v>
      </c>
      <c r="CN17" s="191">
        <v>211.08</v>
      </c>
      <c r="CO17" s="191">
        <v>227.79</v>
      </c>
      <c r="CP17" s="191">
        <v>245.59</v>
      </c>
      <c r="CQ17" s="191">
        <v>264.95</v>
      </c>
      <c r="CR17" s="191">
        <v>285.45999999999998</v>
      </c>
      <c r="CS17" s="191">
        <v>306.7</v>
      </c>
      <c r="CT17" s="191">
        <v>328.25</v>
      </c>
      <c r="CU17" s="191">
        <v>350.02</v>
      </c>
      <c r="CV17" s="191">
        <v>371.65</v>
      </c>
      <c r="CW17" s="191">
        <v>392.79</v>
      </c>
    </row>
    <row r="18" spans="1:101" s="53" customFormat="1" x14ac:dyDescent="0.25">
      <c r="A18" s="192">
        <f t="shared" si="2"/>
        <v>7</v>
      </c>
      <c r="B18" s="191">
        <v>0.08</v>
      </c>
      <c r="C18" s="191">
        <v>0.08</v>
      </c>
      <c r="D18" s="191">
        <v>0.08</v>
      </c>
      <c r="E18" s="191">
        <v>0.08</v>
      </c>
      <c r="F18" s="191">
        <v>0.08</v>
      </c>
      <c r="G18" s="191">
        <v>0.08</v>
      </c>
      <c r="H18" s="191">
        <v>0.1</v>
      </c>
      <c r="I18" s="191">
        <v>0.13</v>
      </c>
      <c r="J18" s="191">
        <v>0.19</v>
      </c>
      <c r="K18" s="191">
        <v>0.28999999999999998</v>
      </c>
      <c r="L18" s="191">
        <v>0.42</v>
      </c>
      <c r="M18" s="191">
        <v>0.56999999999999995</v>
      </c>
      <c r="N18" s="191">
        <v>0.69</v>
      </c>
      <c r="O18" s="191">
        <v>0.72</v>
      </c>
      <c r="P18" s="191">
        <v>0.74</v>
      </c>
      <c r="Q18" s="191">
        <v>0.77</v>
      </c>
      <c r="R18" s="191">
        <v>0.75</v>
      </c>
      <c r="S18" s="191">
        <v>0.72</v>
      </c>
      <c r="T18" s="191">
        <v>0.71</v>
      </c>
      <c r="U18" s="191">
        <v>0.65</v>
      </c>
      <c r="V18" s="191">
        <v>0.56000000000000005</v>
      </c>
      <c r="W18" s="191">
        <v>0.46</v>
      </c>
      <c r="X18" s="191">
        <v>0.38</v>
      </c>
      <c r="Y18" s="191">
        <v>0.33</v>
      </c>
      <c r="Z18" s="191">
        <v>0.28999999999999998</v>
      </c>
      <c r="AA18" s="191">
        <v>0.28000000000000003</v>
      </c>
      <c r="AB18" s="191">
        <v>0.28999999999999998</v>
      </c>
      <c r="AC18" s="191">
        <v>0.3</v>
      </c>
      <c r="AD18" s="191">
        <v>0.32</v>
      </c>
      <c r="AE18" s="191">
        <v>0.34</v>
      </c>
      <c r="AF18" s="191">
        <v>0.34</v>
      </c>
      <c r="AG18" s="191">
        <v>0.34</v>
      </c>
      <c r="AH18" s="191">
        <v>0.38</v>
      </c>
      <c r="AI18" s="191">
        <v>0.41</v>
      </c>
      <c r="AJ18" s="191">
        <v>0.46</v>
      </c>
      <c r="AK18" s="191">
        <v>0.48</v>
      </c>
      <c r="AL18" s="191">
        <v>0.54</v>
      </c>
      <c r="AM18" s="191">
        <v>0.6</v>
      </c>
      <c r="AN18" s="191">
        <v>0.66</v>
      </c>
      <c r="AO18" s="191">
        <v>0.71</v>
      </c>
      <c r="AP18" s="191">
        <v>0.76</v>
      </c>
      <c r="AQ18" s="191">
        <v>0.81</v>
      </c>
      <c r="AR18" s="191">
        <v>0.86</v>
      </c>
      <c r="AS18" s="191">
        <v>0.92</v>
      </c>
      <c r="AT18" s="191">
        <v>1</v>
      </c>
      <c r="AU18" s="191">
        <v>1.1000000000000001</v>
      </c>
      <c r="AV18" s="191">
        <v>1.22</v>
      </c>
      <c r="AW18" s="191">
        <v>1.37</v>
      </c>
      <c r="AX18" s="191">
        <v>1.52</v>
      </c>
      <c r="AY18" s="191">
        <v>1.67</v>
      </c>
      <c r="AZ18" s="191">
        <v>1.81</v>
      </c>
      <c r="BA18" s="191">
        <v>1.93</v>
      </c>
      <c r="BB18" s="191">
        <v>2.06</v>
      </c>
      <c r="BC18" s="191">
        <v>2.2400000000000002</v>
      </c>
      <c r="BD18" s="191">
        <v>2.4700000000000002</v>
      </c>
      <c r="BE18" s="191">
        <v>2.69</v>
      </c>
      <c r="BF18" s="191">
        <v>3.06</v>
      </c>
      <c r="BG18" s="191">
        <v>3.5</v>
      </c>
      <c r="BH18" s="191">
        <v>4</v>
      </c>
      <c r="BI18" s="191">
        <v>4.5</v>
      </c>
      <c r="BJ18" s="191">
        <v>4.9800000000000004</v>
      </c>
      <c r="BK18" s="191">
        <v>5.43</v>
      </c>
      <c r="BL18" s="191">
        <v>5.86</v>
      </c>
      <c r="BM18" s="191">
        <v>6.33</v>
      </c>
      <c r="BN18" s="191">
        <v>6.87</v>
      </c>
      <c r="BO18" s="191">
        <v>7.52</v>
      </c>
      <c r="BP18" s="191">
        <v>8.31</v>
      </c>
      <c r="BQ18" s="191">
        <v>9.24</v>
      </c>
      <c r="BR18" s="191">
        <v>10.31</v>
      </c>
      <c r="BS18" s="191">
        <v>11.52</v>
      </c>
      <c r="BT18" s="191">
        <v>12.72</v>
      </c>
      <c r="BU18" s="191">
        <v>14.5</v>
      </c>
      <c r="BV18" s="191">
        <v>16.329999999999998</v>
      </c>
      <c r="BW18" s="191">
        <v>18.489999999999998</v>
      </c>
      <c r="BX18" s="191">
        <v>21.33</v>
      </c>
      <c r="BY18" s="191">
        <v>24.68</v>
      </c>
      <c r="BZ18" s="191">
        <v>28.57</v>
      </c>
      <c r="CA18" s="191">
        <v>31.84</v>
      </c>
      <c r="CB18" s="191">
        <v>35.729999999999997</v>
      </c>
      <c r="CC18" s="191">
        <v>39.9</v>
      </c>
      <c r="CD18" s="191">
        <v>44.14</v>
      </c>
      <c r="CE18" s="191">
        <v>50.93</v>
      </c>
      <c r="CF18" s="191">
        <v>59.39</v>
      </c>
      <c r="CG18" s="191">
        <v>72.39</v>
      </c>
      <c r="CH18" s="191">
        <v>92.98</v>
      </c>
      <c r="CI18" s="191">
        <v>119.9</v>
      </c>
      <c r="CJ18" s="191">
        <v>149.84</v>
      </c>
      <c r="CK18" s="191">
        <v>183.74</v>
      </c>
      <c r="CL18" s="191">
        <v>198.22</v>
      </c>
      <c r="CM18" s="191">
        <v>211.08</v>
      </c>
      <c r="CN18" s="191">
        <v>227.79</v>
      </c>
      <c r="CO18" s="191">
        <v>245.59</v>
      </c>
      <c r="CP18" s="191">
        <v>264.95</v>
      </c>
      <c r="CQ18" s="191">
        <v>285.45999999999998</v>
      </c>
      <c r="CR18" s="191">
        <v>306.7</v>
      </c>
      <c r="CS18" s="191">
        <v>328.25</v>
      </c>
      <c r="CT18" s="191">
        <v>350.02</v>
      </c>
      <c r="CU18" s="191">
        <v>371.65</v>
      </c>
      <c r="CV18" s="191">
        <v>392.79</v>
      </c>
      <c r="CW18" s="191">
        <v>413.05</v>
      </c>
    </row>
    <row r="19" spans="1:101" s="53" customFormat="1" x14ac:dyDescent="0.25">
      <c r="A19" s="192">
        <f t="shared" si="2"/>
        <v>8</v>
      </c>
      <c r="B19" s="191">
        <v>0.08</v>
      </c>
      <c r="C19" s="191">
        <v>0.08</v>
      </c>
      <c r="D19" s="191">
        <v>0.08</v>
      </c>
      <c r="E19" s="191">
        <v>0.08</v>
      </c>
      <c r="F19" s="191">
        <v>0.08</v>
      </c>
      <c r="G19" s="191">
        <v>0.1</v>
      </c>
      <c r="H19" s="191">
        <v>0.13</v>
      </c>
      <c r="I19" s="191">
        <v>0.19</v>
      </c>
      <c r="J19" s="191">
        <v>0.28999999999999998</v>
      </c>
      <c r="K19" s="191">
        <v>0.42</v>
      </c>
      <c r="L19" s="191">
        <v>0.56999999999999995</v>
      </c>
      <c r="M19" s="191">
        <v>0.69</v>
      </c>
      <c r="N19" s="191">
        <v>0.72</v>
      </c>
      <c r="O19" s="191">
        <v>0.74</v>
      </c>
      <c r="P19" s="191">
        <v>0.77</v>
      </c>
      <c r="Q19" s="191">
        <v>0.75</v>
      </c>
      <c r="R19" s="191">
        <v>0.72</v>
      </c>
      <c r="S19" s="191">
        <v>0.71</v>
      </c>
      <c r="T19" s="191">
        <v>0.71</v>
      </c>
      <c r="U19" s="191">
        <v>0.61</v>
      </c>
      <c r="V19" s="191">
        <v>0.51</v>
      </c>
      <c r="W19" s="191">
        <v>0.43</v>
      </c>
      <c r="X19" s="191">
        <v>0.37</v>
      </c>
      <c r="Y19" s="191">
        <v>0.33</v>
      </c>
      <c r="Z19" s="191">
        <v>0.32</v>
      </c>
      <c r="AA19" s="191">
        <v>0.32</v>
      </c>
      <c r="AB19" s="191">
        <v>0.33</v>
      </c>
      <c r="AC19" s="191">
        <v>0.34</v>
      </c>
      <c r="AD19" s="191">
        <v>0.36</v>
      </c>
      <c r="AE19" s="191">
        <v>0.39</v>
      </c>
      <c r="AF19" s="191">
        <v>0.39</v>
      </c>
      <c r="AG19" s="191">
        <v>0.41</v>
      </c>
      <c r="AH19" s="191">
        <v>0.44</v>
      </c>
      <c r="AI19" s="191">
        <v>0.49</v>
      </c>
      <c r="AJ19" s="191">
        <v>0.54</v>
      </c>
      <c r="AK19" s="191">
        <v>0.59</v>
      </c>
      <c r="AL19" s="191">
        <v>0.64</v>
      </c>
      <c r="AM19" s="191">
        <v>0.69</v>
      </c>
      <c r="AN19" s="191">
        <v>0.73</v>
      </c>
      <c r="AO19" s="191">
        <v>0.79</v>
      </c>
      <c r="AP19" s="191">
        <v>0.85</v>
      </c>
      <c r="AQ19" s="191">
        <v>0.92</v>
      </c>
      <c r="AR19" s="191">
        <v>0.99</v>
      </c>
      <c r="AS19" s="191">
        <v>1.08</v>
      </c>
      <c r="AT19" s="191">
        <v>1.18</v>
      </c>
      <c r="AU19" s="191">
        <v>1.29</v>
      </c>
      <c r="AV19" s="191">
        <v>1.42</v>
      </c>
      <c r="AW19" s="191">
        <v>1.55</v>
      </c>
      <c r="AX19" s="191">
        <v>1.69</v>
      </c>
      <c r="AY19" s="191">
        <v>1.84</v>
      </c>
      <c r="AZ19" s="191">
        <v>2.0099999999999998</v>
      </c>
      <c r="BA19" s="191">
        <v>2.1800000000000002</v>
      </c>
      <c r="BB19" s="191">
        <v>2.39</v>
      </c>
      <c r="BC19" s="191">
        <v>2.65</v>
      </c>
      <c r="BD19" s="191">
        <v>2.96</v>
      </c>
      <c r="BE19" s="191">
        <v>3.34</v>
      </c>
      <c r="BF19" s="191">
        <v>3.77</v>
      </c>
      <c r="BG19" s="191">
        <v>4.25</v>
      </c>
      <c r="BH19" s="191">
        <v>4.75</v>
      </c>
      <c r="BI19" s="191">
        <v>5.24</v>
      </c>
      <c r="BJ19" s="191">
        <v>5.74</v>
      </c>
      <c r="BK19" s="191">
        <v>6.25</v>
      </c>
      <c r="BL19" s="191">
        <v>6.79</v>
      </c>
      <c r="BM19" s="191">
        <v>7.41</v>
      </c>
      <c r="BN19" s="191">
        <v>8.1300000000000008</v>
      </c>
      <c r="BO19" s="191">
        <v>8.9700000000000006</v>
      </c>
      <c r="BP19" s="191">
        <v>9.9600000000000009</v>
      </c>
      <c r="BQ19" s="191">
        <v>11.09</v>
      </c>
      <c r="BR19" s="191">
        <v>12.42</v>
      </c>
      <c r="BS19" s="191">
        <v>13.95</v>
      </c>
      <c r="BT19" s="191">
        <v>16.13</v>
      </c>
      <c r="BU19" s="191">
        <v>18.04</v>
      </c>
      <c r="BV19" s="191">
        <v>20.07</v>
      </c>
      <c r="BW19" s="191">
        <v>22.67</v>
      </c>
      <c r="BX19" s="191">
        <v>26.27</v>
      </c>
      <c r="BY19" s="191">
        <v>30.47</v>
      </c>
      <c r="BZ19" s="191">
        <v>35.58</v>
      </c>
      <c r="CA19" s="191">
        <v>41.39</v>
      </c>
      <c r="CB19" s="191">
        <v>47.86</v>
      </c>
      <c r="CC19" s="191">
        <v>52.9</v>
      </c>
      <c r="CD19" s="191">
        <v>57.83</v>
      </c>
      <c r="CE19" s="191">
        <v>65.81</v>
      </c>
      <c r="CF19" s="191">
        <v>79.209999999999994</v>
      </c>
      <c r="CG19" s="191">
        <v>98.07</v>
      </c>
      <c r="CH19" s="191">
        <v>129.72</v>
      </c>
      <c r="CI19" s="191">
        <v>153.78</v>
      </c>
      <c r="CJ19" s="191">
        <v>183.74</v>
      </c>
      <c r="CK19" s="191">
        <v>198.22</v>
      </c>
      <c r="CL19" s="191">
        <v>211.08</v>
      </c>
      <c r="CM19" s="191">
        <v>227.79</v>
      </c>
      <c r="CN19" s="191">
        <v>245.59</v>
      </c>
      <c r="CO19" s="191">
        <v>264.95</v>
      </c>
      <c r="CP19" s="191">
        <v>285.45999999999998</v>
      </c>
      <c r="CQ19" s="191">
        <v>306.7</v>
      </c>
      <c r="CR19" s="191">
        <v>328.25</v>
      </c>
      <c r="CS19" s="191">
        <v>350.02</v>
      </c>
      <c r="CT19" s="191">
        <v>371.65</v>
      </c>
      <c r="CU19" s="191">
        <v>392.79</v>
      </c>
      <c r="CV19" s="191">
        <v>413.05</v>
      </c>
      <c r="CW19" s="191">
        <v>432.08</v>
      </c>
    </row>
    <row r="20" spans="1:101" s="53" customFormat="1" x14ac:dyDescent="0.25">
      <c r="A20" s="192">
        <f t="shared" si="2"/>
        <v>9</v>
      </c>
      <c r="B20" s="191">
        <v>0.08</v>
      </c>
      <c r="C20" s="191">
        <v>0.08</v>
      </c>
      <c r="D20" s="191">
        <v>0.08</v>
      </c>
      <c r="E20" s="191">
        <v>0.08</v>
      </c>
      <c r="F20" s="191">
        <v>0.1</v>
      </c>
      <c r="G20" s="191">
        <v>0.13</v>
      </c>
      <c r="H20" s="191">
        <v>0.19</v>
      </c>
      <c r="I20" s="191">
        <v>0.28999999999999998</v>
      </c>
      <c r="J20" s="191">
        <v>0.42</v>
      </c>
      <c r="K20" s="191">
        <v>0.56999999999999995</v>
      </c>
      <c r="L20" s="191">
        <v>0.69</v>
      </c>
      <c r="M20" s="191">
        <v>0.72</v>
      </c>
      <c r="N20" s="191">
        <v>0.74</v>
      </c>
      <c r="O20" s="191">
        <v>0.77</v>
      </c>
      <c r="P20" s="191">
        <v>0.75</v>
      </c>
      <c r="Q20" s="191">
        <v>0.72</v>
      </c>
      <c r="R20" s="191">
        <v>0.71</v>
      </c>
      <c r="S20" s="191">
        <v>0.71</v>
      </c>
      <c r="T20" s="191">
        <v>0.61</v>
      </c>
      <c r="U20" s="191">
        <v>0.53</v>
      </c>
      <c r="V20" s="191">
        <v>0.46</v>
      </c>
      <c r="W20" s="191">
        <v>0.4</v>
      </c>
      <c r="X20" s="191">
        <v>0.36</v>
      </c>
      <c r="Y20" s="191">
        <v>0.34</v>
      </c>
      <c r="Z20" s="191">
        <v>0.34</v>
      </c>
      <c r="AA20" s="191">
        <v>0.34</v>
      </c>
      <c r="AB20" s="191">
        <v>0.36</v>
      </c>
      <c r="AC20" s="191">
        <v>0.37</v>
      </c>
      <c r="AD20" s="191">
        <v>0.4</v>
      </c>
      <c r="AE20" s="191">
        <v>0.44</v>
      </c>
      <c r="AF20" s="191">
        <v>0.45</v>
      </c>
      <c r="AG20" s="191">
        <v>0.49</v>
      </c>
      <c r="AH20" s="191">
        <v>0.54</v>
      </c>
      <c r="AI20" s="191">
        <v>0.59</v>
      </c>
      <c r="AJ20" s="191">
        <v>0.64</v>
      </c>
      <c r="AK20" s="191">
        <v>0.68</v>
      </c>
      <c r="AL20" s="191">
        <v>0.72</v>
      </c>
      <c r="AM20" s="191">
        <v>0.75</v>
      </c>
      <c r="AN20" s="191">
        <v>0.81</v>
      </c>
      <c r="AO20" s="191">
        <v>0.89</v>
      </c>
      <c r="AP20" s="191">
        <v>0.97</v>
      </c>
      <c r="AQ20" s="191">
        <v>1.06</v>
      </c>
      <c r="AR20" s="191">
        <v>1.1599999999999999</v>
      </c>
      <c r="AS20" s="191">
        <v>1.26</v>
      </c>
      <c r="AT20" s="191">
        <v>1.36</v>
      </c>
      <c r="AU20" s="191">
        <v>1.47</v>
      </c>
      <c r="AV20" s="191">
        <v>1.59</v>
      </c>
      <c r="AW20" s="191">
        <v>1.73</v>
      </c>
      <c r="AX20" s="191">
        <v>1.9</v>
      </c>
      <c r="AY20" s="191">
        <v>2.1</v>
      </c>
      <c r="AZ20" s="191">
        <v>2.34</v>
      </c>
      <c r="BA20" s="191">
        <v>2.61</v>
      </c>
      <c r="BB20" s="191">
        <v>2.91</v>
      </c>
      <c r="BC20" s="191">
        <v>3.24</v>
      </c>
      <c r="BD20" s="191">
        <v>3.6</v>
      </c>
      <c r="BE20" s="191">
        <v>4</v>
      </c>
      <c r="BF20" s="191">
        <v>4.43</v>
      </c>
      <c r="BG20" s="191">
        <v>4.91</v>
      </c>
      <c r="BH20" s="191">
        <v>5.43</v>
      </c>
      <c r="BI20" s="191">
        <v>6</v>
      </c>
      <c r="BJ20" s="191">
        <v>6.62</v>
      </c>
      <c r="BK20" s="191">
        <v>7.31</v>
      </c>
      <c r="BL20" s="191">
        <v>8.0500000000000007</v>
      </c>
      <c r="BM20" s="191">
        <v>8.8800000000000008</v>
      </c>
      <c r="BN20" s="191">
        <v>9.7899999999999991</v>
      </c>
      <c r="BO20" s="191">
        <v>10.83</v>
      </c>
      <c r="BP20" s="191">
        <v>12.04</v>
      </c>
      <c r="BQ20" s="191">
        <v>13.45</v>
      </c>
      <c r="BR20" s="191">
        <v>15.16</v>
      </c>
      <c r="BS20" s="191">
        <v>17.5</v>
      </c>
      <c r="BT20" s="191">
        <v>19.61</v>
      </c>
      <c r="BU20" s="191">
        <v>21.89</v>
      </c>
      <c r="BV20" s="191">
        <v>24.82</v>
      </c>
      <c r="BW20" s="191">
        <v>28.79</v>
      </c>
      <c r="BX20" s="191">
        <v>33.44</v>
      </c>
      <c r="BY20" s="191">
        <v>39.1</v>
      </c>
      <c r="BZ20" s="191">
        <v>45.51</v>
      </c>
      <c r="CA20" s="191">
        <v>52.59</v>
      </c>
      <c r="CB20" s="191">
        <v>60.1</v>
      </c>
      <c r="CC20" s="191">
        <v>66.599999999999994</v>
      </c>
      <c r="CD20" s="191">
        <v>73.819999999999993</v>
      </c>
      <c r="CE20" s="191">
        <v>86.76</v>
      </c>
      <c r="CF20" s="191">
        <v>103.71</v>
      </c>
      <c r="CG20" s="191">
        <v>131.91999999999999</v>
      </c>
      <c r="CH20" s="191">
        <v>168.28</v>
      </c>
      <c r="CI20" s="191">
        <v>183.74</v>
      </c>
      <c r="CJ20" s="191">
        <v>198.22</v>
      </c>
      <c r="CK20" s="191">
        <v>211.08</v>
      </c>
      <c r="CL20" s="191">
        <v>227.79</v>
      </c>
      <c r="CM20" s="191">
        <v>245.59</v>
      </c>
      <c r="CN20" s="191">
        <v>264.95</v>
      </c>
      <c r="CO20" s="191">
        <v>285.45999999999998</v>
      </c>
      <c r="CP20" s="191">
        <v>306.7</v>
      </c>
      <c r="CQ20" s="191">
        <v>328.25</v>
      </c>
      <c r="CR20" s="191">
        <v>350.02</v>
      </c>
      <c r="CS20" s="191">
        <v>371.65</v>
      </c>
      <c r="CT20" s="191">
        <v>392.79</v>
      </c>
      <c r="CU20" s="191">
        <v>413.05</v>
      </c>
      <c r="CV20" s="191">
        <v>432.08</v>
      </c>
      <c r="CW20" s="191">
        <v>449.51</v>
      </c>
    </row>
    <row r="21" spans="1:101" s="53" customFormat="1" x14ac:dyDescent="0.25">
      <c r="A21" s="192">
        <f t="shared" si="2"/>
        <v>10</v>
      </c>
      <c r="B21" s="191">
        <v>0.08</v>
      </c>
      <c r="C21" s="191">
        <v>0.08</v>
      </c>
      <c r="D21" s="191">
        <v>0.08</v>
      </c>
      <c r="E21" s="191">
        <v>0.1</v>
      </c>
      <c r="F21" s="191">
        <v>0.13</v>
      </c>
      <c r="G21" s="191">
        <v>0.19</v>
      </c>
      <c r="H21" s="191">
        <v>0.28999999999999998</v>
      </c>
      <c r="I21" s="191">
        <v>0.42</v>
      </c>
      <c r="J21" s="191">
        <v>0.56999999999999995</v>
      </c>
      <c r="K21" s="191">
        <v>0.69</v>
      </c>
      <c r="L21" s="191">
        <v>0.72</v>
      </c>
      <c r="M21" s="191">
        <v>0.74</v>
      </c>
      <c r="N21" s="191">
        <v>0.77</v>
      </c>
      <c r="O21" s="191">
        <v>0.75</v>
      </c>
      <c r="P21" s="191">
        <v>0.72</v>
      </c>
      <c r="Q21" s="191">
        <v>0.71</v>
      </c>
      <c r="R21" s="191">
        <v>0.71</v>
      </c>
      <c r="S21" s="191">
        <v>0.61</v>
      </c>
      <c r="T21" s="191">
        <v>0.57999999999999996</v>
      </c>
      <c r="U21" s="191">
        <v>0.46</v>
      </c>
      <c r="V21" s="191">
        <v>0.46</v>
      </c>
      <c r="W21" s="191">
        <v>0.42</v>
      </c>
      <c r="X21" s="191">
        <v>0.41</v>
      </c>
      <c r="Y21" s="191">
        <v>0.4</v>
      </c>
      <c r="Z21" s="191">
        <v>0.4</v>
      </c>
      <c r="AA21" s="191">
        <v>0.41</v>
      </c>
      <c r="AB21" s="191">
        <v>0.43</v>
      </c>
      <c r="AC21" s="191">
        <v>0.46</v>
      </c>
      <c r="AD21" s="191">
        <v>0.5</v>
      </c>
      <c r="AE21" s="191">
        <v>0.55000000000000004</v>
      </c>
      <c r="AF21" s="191">
        <v>0.56000000000000005</v>
      </c>
      <c r="AG21" s="191">
        <v>0.59</v>
      </c>
      <c r="AH21" s="191">
        <v>0.64</v>
      </c>
      <c r="AI21" s="191">
        <v>0.68</v>
      </c>
      <c r="AJ21" s="191">
        <v>0.72</v>
      </c>
      <c r="AK21" s="191">
        <v>0.75</v>
      </c>
      <c r="AL21" s="191">
        <v>0.78</v>
      </c>
      <c r="AM21" s="191">
        <v>0.84</v>
      </c>
      <c r="AN21" s="191">
        <v>0.92</v>
      </c>
      <c r="AO21" s="191">
        <v>1.01</v>
      </c>
      <c r="AP21" s="191">
        <v>1.1200000000000001</v>
      </c>
      <c r="AQ21" s="191">
        <v>1.22</v>
      </c>
      <c r="AR21" s="191">
        <v>1.32</v>
      </c>
      <c r="AS21" s="191">
        <v>1.43</v>
      </c>
      <c r="AT21" s="191">
        <v>1.53</v>
      </c>
      <c r="AU21" s="191">
        <v>1.65</v>
      </c>
      <c r="AV21" s="191">
        <v>1.8</v>
      </c>
      <c r="AW21" s="191">
        <v>1.99</v>
      </c>
      <c r="AX21" s="191">
        <v>2.21</v>
      </c>
      <c r="AY21" s="191">
        <v>2.48</v>
      </c>
      <c r="AZ21" s="191">
        <v>2.78</v>
      </c>
      <c r="BA21" s="191">
        <v>3.1</v>
      </c>
      <c r="BB21" s="191">
        <v>3.43</v>
      </c>
      <c r="BC21" s="191">
        <v>3.77</v>
      </c>
      <c r="BD21" s="191">
        <v>4.1399999999999997</v>
      </c>
      <c r="BE21" s="191">
        <v>4.55</v>
      </c>
      <c r="BF21" s="191">
        <v>5.0199999999999996</v>
      </c>
      <c r="BG21" s="191">
        <v>5.59</v>
      </c>
      <c r="BH21" s="191">
        <v>6.25</v>
      </c>
      <c r="BI21" s="191">
        <v>7.01</v>
      </c>
      <c r="BJ21" s="191">
        <v>7.84</v>
      </c>
      <c r="BK21" s="191">
        <v>8.73</v>
      </c>
      <c r="BL21" s="191">
        <v>9.65</v>
      </c>
      <c r="BM21" s="191">
        <v>10.63</v>
      </c>
      <c r="BN21" s="191">
        <v>11.71</v>
      </c>
      <c r="BO21" s="191">
        <v>12.93</v>
      </c>
      <c r="BP21" s="191">
        <v>14.38</v>
      </c>
      <c r="BQ21" s="191">
        <v>16.149999999999999</v>
      </c>
      <c r="BR21" s="191">
        <v>18.350000000000001</v>
      </c>
      <c r="BS21" s="191">
        <v>21.02</v>
      </c>
      <c r="BT21" s="191">
        <v>23.76</v>
      </c>
      <c r="BU21" s="191">
        <v>26.71</v>
      </c>
      <c r="BV21" s="191">
        <v>31.1</v>
      </c>
      <c r="BW21" s="191">
        <v>36.159999999999997</v>
      </c>
      <c r="BX21" s="191">
        <v>42.33</v>
      </c>
      <c r="BY21" s="191">
        <v>49.29</v>
      </c>
      <c r="BZ21" s="191">
        <v>56.93</v>
      </c>
      <c r="CA21" s="191">
        <v>64.94</v>
      </c>
      <c r="CB21" s="191">
        <v>74</v>
      </c>
      <c r="CC21" s="191">
        <v>84.26</v>
      </c>
      <c r="CD21" s="191">
        <v>95.86</v>
      </c>
      <c r="CE21" s="191">
        <v>113.39</v>
      </c>
      <c r="CF21" s="191">
        <v>138.82</v>
      </c>
      <c r="CG21" s="191">
        <v>168.28</v>
      </c>
      <c r="CH21" s="191">
        <v>183.74</v>
      </c>
      <c r="CI21" s="191">
        <v>198.22</v>
      </c>
      <c r="CJ21" s="191">
        <v>211.08</v>
      </c>
      <c r="CK21" s="191">
        <v>227.79</v>
      </c>
      <c r="CL21" s="191">
        <v>245.59</v>
      </c>
      <c r="CM21" s="191">
        <v>264.95</v>
      </c>
      <c r="CN21" s="191">
        <v>285.45999999999998</v>
      </c>
      <c r="CO21" s="191">
        <v>306.7</v>
      </c>
      <c r="CP21" s="191">
        <v>328.25</v>
      </c>
      <c r="CQ21" s="191">
        <v>350.02</v>
      </c>
      <c r="CR21" s="191">
        <v>371.65</v>
      </c>
      <c r="CS21" s="191">
        <v>392.79</v>
      </c>
      <c r="CT21" s="191">
        <v>413.05</v>
      </c>
      <c r="CU21" s="191">
        <v>432.08</v>
      </c>
      <c r="CV21" s="191">
        <v>449.51</v>
      </c>
      <c r="CW21" s="191">
        <v>464.98</v>
      </c>
    </row>
    <row r="22" spans="1:101" s="53" customFormat="1" x14ac:dyDescent="0.25">
      <c r="A22" s="192">
        <f t="shared" si="2"/>
        <v>11</v>
      </c>
      <c r="B22" s="191">
        <v>0.08</v>
      </c>
      <c r="C22" s="191">
        <v>0.08</v>
      </c>
      <c r="D22" s="191">
        <v>0.1</v>
      </c>
      <c r="E22" s="191">
        <v>0.13</v>
      </c>
      <c r="F22" s="191">
        <v>0.19</v>
      </c>
      <c r="G22" s="191">
        <v>0.28999999999999998</v>
      </c>
      <c r="H22" s="191">
        <v>0.42</v>
      </c>
      <c r="I22" s="191">
        <v>0.56999999999999995</v>
      </c>
      <c r="J22" s="191">
        <v>0.69</v>
      </c>
      <c r="K22" s="191">
        <v>0.72</v>
      </c>
      <c r="L22" s="191">
        <v>0.74</v>
      </c>
      <c r="M22" s="191">
        <v>0.77</v>
      </c>
      <c r="N22" s="191">
        <v>0.75</v>
      </c>
      <c r="O22" s="191">
        <v>0.72</v>
      </c>
      <c r="P22" s="191">
        <v>0.71</v>
      </c>
      <c r="Q22" s="191">
        <v>0.71</v>
      </c>
      <c r="R22" s="191">
        <v>0.61</v>
      </c>
      <c r="S22" s="191">
        <v>0.57999999999999996</v>
      </c>
      <c r="T22" s="191">
        <v>0.52</v>
      </c>
      <c r="U22" s="191">
        <v>0.48</v>
      </c>
      <c r="V22" s="191">
        <v>0.45</v>
      </c>
      <c r="W22" s="191">
        <v>0.43</v>
      </c>
      <c r="X22" s="191">
        <v>0.43</v>
      </c>
      <c r="Y22" s="191">
        <v>0.43</v>
      </c>
      <c r="Z22" s="191">
        <v>0.44</v>
      </c>
      <c r="AA22" s="191">
        <v>0.45</v>
      </c>
      <c r="AB22" s="191">
        <v>0.49</v>
      </c>
      <c r="AC22" s="191">
        <v>0.53</v>
      </c>
      <c r="AD22" s="191">
        <v>0.56999999999999995</v>
      </c>
      <c r="AE22" s="191">
        <v>0.62</v>
      </c>
      <c r="AF22" s="191">
        <v>0.64</v>
      </c>
      <c r="AG22" s="191">
        <v>0.65</v>
      </c>
      <c r="AH22" s="191">
        <v>0.7</v>
      </c>
      <c r="AI22" s="191">
        <v>0.73</v>
      </c>
      <c r="AJ22" s="191">
        <v>0.76</v>
      </c>
      <c r="AK22" s="191">
        <v>0.79</v>
      </c>
      <c r="AL22" s="191">
        <v>0.86</v>
      </c>
      <c r="AM22" s="191">
        <v>0.94</v>
      </c>
      <c r="AN22" s="191">
        <v>1.03</v>
      </c>
      <c r="AO22" s="191">
        <v>1.1399999999999999</v>
      </c>
      <c r="AP22" s="191">
        <v>1.25</v>
      </c>
      <c r="AQ22" s="191">
        <v>1.36</v>
      </c>
      <c r="AR22" s="191">
        <v>1.47</v>
      </c>
      <c r="AS22" s="191">
        <v>1.59</v>
      </c>
      <c r="AT22" s="191">
        <v>1.72</v>
      </c>
      <c r="AU22" s="191">
        <v>1.88</v>
      </c>
      <c r="AV22" s="191">
        <v>2.0699999999999998</v>
      </c>
      <c r="AW22" s="191">
        <v>2.2999999999999998</v>
      </c>
      <c r="AX22" s="191">
        <v>2.57</v>
      </c>
      <c r="AY22" s="191">
        <v>2.86</v>
      </c>
      <c r="AZ22" s="191">
        <v>3.16</v>
      </c>
      <c r="BA22" s="191">
        <v>3.46</v>
      </c>
      <c r="BB22" s="191">
        <v>3.78</v>
      </c>
      <c r="BC22" s="191">
        <v>4.16</v>
      </c>
      <c r="BD22" s="191">
        <v>4.55</v>
      </c>
      <c r="BE22" s="191">
        <v>5.0599999999999996</v>
      </c>
      <c r="BF22" s="191">
        <v>5.69</v>
      </c>
      <c r="BG22" s="191">
        <v>6.44</v>
      </c>
      <c r="BH22" s="191">
        <v>7.31</v>
      </c>
      <c r="BI22" s="191">
        <v>8.26</v>
      </c>
      <c r="BJ22" s="191">
        <v>9.31</v>
      </c>
      <c r="BK22" s="191">
        <v>10.33</v>
      </c>
      <c r="BL22" s="191">
        <v>11.36</v>
      </c>
      <c r="BM22" s="191">
        <v>12.44</v>
      </c>
      <c r="BN22" s="191">
        <v>13.57</v>
      </c>
      <c r="BO22" s="191">
        <v>14.91</v>
      </c>
      <c r="BP22" s="191">
        <v>16.57</v>
      </c>
      <c r="BQ22" s="191">
        <v>18.72</v>
      </c>
      <c r="BR22" s="191">
        <v>21.4</v>
      </c>
      <c r="BS22" s="191">
        <v>24.81</v>
      </c>
      <c r="BT22" s="191">
        <v>28.66</v>
      </c>
      <c r="BU22" s="191">
        <v>32.92</v>
      </c>
      <c r="BV22" s="191">
        <v>38.82</v>
      </c>
      <c r="BW22" s="191">
        <v>45.52</v>
      </c>
      <c r="BX22" s="191">
        <v>54.06</v>
      </c>
      <c r="BY22" s="191">
        <v>62.56</v>
      </c>
      <c r="BZ22" s="191">
        <v>71.41</v>
      </c>
      <c r="CA22" s="191">
        <v>81.89</v>
      </c>
      <c r="CB22" s="191">
        <v>95.8</v>
      </c>
      <c r="CC22" s="191">
        <v>109.98</v>
      </c>
      <c r="CD22" s="191">
        <v>127.11</v>
      </c>
      <c r="CE22" s="191">
        <v>144.84</v>
      </c>
      <c r="CF22" s="191">
        <v>168.28</v>
      </c>
      <c r="CG22" s="191">
        <v>183.74</v>
      </c>
      <c r="CH22" s="191">
        <v>198.22</v>
      </c>
      <c r="CI22" s="191">
        <v>211.08</v>
      </c>
      <c r="CJ22" s="191">
        <v>227.79</v>
      </c>
      <c r="CK22" s="191">
        <v>245.59</v>
      </c>
      <c r="CL22" s="191">
        <v>264.95</v>
      </c>
      <c r="CM22" s="191">
        <v>285.45999999999998</v>
      </c>
      <c r="CN22" s="191">
        <v>306.7</v>
      </c>
      <c r="CO22" s="191">
        <v>328.25</v>
      </c>
      <c r="CP22" s="191">
        <v>350.02</v>
      </c>
      <c r="CQ22" s="191">
        <v>371.65</v>
      </c>
      <c r="CR22" s="191">
        <v>392.79</v>
      </c>
      <c r="CS22" s="191">
        <v>413.05</v>
      </c>
      <c r="CT22" s="191">
        <v>432.08</v>
      </c>
      <c r="CU22" s="191">
        <v>449.51</v>
      </c>
      <c r="CV22" s="191">
        <v>464.98</v>
      </c>
      <c r="CW22" s="191">
        <v>478.12</v>
      </c>
    </row>
    <row r="23" spans="1:101" s="53" customFormat="1" x14ac:dyDescent="0.25">
      <c r="A23" s="192">
        <f t="shared" si="2"/>
        <v>12</v>
      </c>
      <c r="B23" s="191">
        <v>0.08</v>
      </c>
      <c r="C23" s="191">
        <v>0.1</v>
      </c>
      <c r="D23" s="191">
        <v>0.13</v>
      </c>
      <c r="E23" s="191">
        <v>0.19</v>
      </c>
      <c r="F23" s="191">
        <v>0.28999999999999998</v>
      </c>
      <c r="G23" s="191">
        <v>0.42</v>
      </c>
      <c r="H23" s="191">
        <v>0.56999999999999995</v>
      </c>
      <c r="I23" s="191">
        <v>0.69</v>
      </c>
      <c r="J23" s="191">
        <v>0.72</v>
      </c>
      <c r="K23" s="191">
        <v>0.74</v>
      </c>
      <c r="L23" s="191">
        <v>0.77</v>
      </c>
      <c r="M23" s="191">
        <v>0.75</v>
      </c>
      <c r="N23" s="191">
        <v>0.72</v>
      </c>
      <c r="O23" s="191">
        <v>0.71</v>
      </c>
      <c r="P23" s="191">
        <v>0.71</v>
      </c>
      <c r="Q23" s="191">
        <v>0.61</v>
      </c>
      <c r="R23" s="191">
        <v>0.57999999999999996</v>
      </c>
      <c r="S23" s="191">
        <v>0.52</v>
      </c>
      <c r="T23" s="191">
        <v>0.48</v>
      </c>
      <c r="U23" s="191">
        <v>0.46</v>
      </c>
      <c r="V23" s="191">
        <v>0.45</v>
      </c>
      <c r="W23" s="191">
        <v>0.45</v>
      </c>
      <c r="X23" s="191">
        <v>0.45</v>
      </c>
      <c r="Y23" s="191">
        <v>0.47</v>
      </c>
      <c r="Z23" s="191">
        <v>0.48</v>
      </c>
      <c r="AA23" s="191">
        <v>0.51</v>
      </c>
      <c r="AB23" s="191">
        <v>0.55000000000000004</v>
      </c>
      <c r="AC23" s="191">
        <v>0.59</v>
      </c>
      <c r="AD23" s="191">
        <v>0.64</v>
      </c>
      <c r="AE23" s="191">
        <v>0.69</v>
      </c>
      <c r="AF23" s="191">
        <v>0.7</v>
      </c>
      <c r="AG23" s="191">
        <v>0.71</v>
      </c>
      <c r="AH23" s="191">
        <v>0.75</v>
      </c>
      <c r="AI23" s="191">
        <v>0.78</v>
      </c>
      <c r="AJ23" s="191">
        <v>0.81</v>
      </c>
      <c r="AK23" s="191">
        <v>0.88</v>
      </c>
      <c r="AL23" s="191">
        <v>0.96</v>
      </c>
      <c r="AM23" s="191">
        <v>1.05</v>
      </c>
      <c r="AN23" s="191">
        <v>1.1499999999999999</v>
      </c>
      <c r="AO23" s="191">
        <v>1.26</v>
      </c>
      <c r="AP23" s="191">
        <v>1.38</v>
      </c>
      <c r="AQ23" s="191">
        <v>1.51</v>
      </c>
      <c r="AR23" s="191">
        <v>1.64</v>
      </c>
      <c r="AS23" s="191">
        <v>1.79</v>
      </c>
      <c r="AT23" s="191">
        <v>1.96</v>
      </c>
      <c r="AU23" s="191">
        <v>2.16</v>
      </c>
      <c r="AV23" s="191">
        <v>2.39</v>
      </c>
      <c r="AW23" s="191">
        <v>2.65</v>
      </c>
      <c r="AX23" s="191">
        <v>2.92</v>
      </c>
      <c r="AY23" s="191">
        <v>3.2</v>
      </c>
      <c r="AZ23" s="191">
        <v>3.48</v>
      </c>
      <c r="BA23" s="191">
        <v>3.83</v>
      </c>
      <c r="BB23" s="191">
        <v>4.1900000000000004</v>
      </c>
      <c r="BC23" s="191">
        <v>4.59</v>
      </c>
      <c r="BD23" s="191">
        <v>5.0599999999999996</v>
      </c>
      <c r="BE23" s="191">
        <v>5.76</v>
      </c>
      <c r="BF23" s="191">
        <v>6.61</v>
      </c>
      <c r="BG23" s="191">
        <v>7.56</v>
      </c>
      <c r="BH23" s="191">
        <v>8.6199999999999992</v>
      </c>
      <c r="BI23" s="191">
        <v>9.65</v>
      </c>
      <c r="BJ23" s="191">
        <v>10.87</v>
      </c>
      <c r="BK23" s="191">
        <v>11.97</v>
      </c>
      <c r="BL23" s="191">
        <v>13.07</v>
      </c>
      <c r="BM23" s="191">
        <v>14.29</v>
      </c>
      <c r="BN23" s="191">
        <v>15.53</v>
      </c>
      <c r="BO23" s="191">
        <v>17.059999999999999</v>
      </c>
      <c r="BP23" s="191">
        <v>18.940000000000001</v>
      </c>
      <c r="BQ23" s="191">
        <v>21.49</v>
      </c>
      <c r="BR23" s="191">
        <v>24.97</v>
      </c>
      <c r="BS23" s="191">
        <v>28.81</v>
      </c>
      <c r="BT23" s="191">
        <v>33.24</v>
      </c>
      <c r="BU23" s="191">
        <v>39.47</v>
      </c>
      <c r="BV23" s="191">
        <v>45.77</v>
      </c>
      <c r="BW23" s="191">
        <v>54.32</v>
      </c>
      <c r="BX23" s="191">
        <v>62.62</v>
      </c>
      <c r="BY23" s="191">
        <v>71.94</v>
      </c>
      <c r="BZ23" s="191">
        <v>82.74</v>
      </c>
      <c r="CA23" s="191">
        <v>97.9</v>
      </c>
      <c r="CB23" s="191">
        <v>114.79</v>
      </c>
      <c r="CC23" s="191">
        <v>132.16999999999999</v>
      </c>
      <c r="CD23" s="191">
        <v>152.6</v>
      </c>
      <c r="CE23" s="191">
        <v>168.28</v>
      </c>
      <c r="CF23" s="191">
        <v>183.74</v>
      </c>
      <c r="CG23" s="191">
        <v>198.22</v>
      </c>
      <c r="CH23" s="191">
        <v>211.08</v>
      </c>
      <c r="CI23" s="191">
        <v>227.79</v>
      </c>
      <c r="CJ23" s="191">
        <v>245.59</v>
      </c>
      <c r="CK23" s="191">
        <v>264.95</v>
      </c>
      <c r="CL23" s="191">
        <v>285.45999999999998</v>
      </c>
      <c r="CM23" s="191">
        <v>306.7</v>
      </c>
      <c r="CN23" s="191">
        <v>328.25</v>
      </c>
      <c r="CO23" s="191">
        <v>350.02</v>
      </c>
      <c r="CP23" s="191">
        <v>371.65</v>
      </c>
      <c r="CQ23" s="191">
        <v>392.79</v>
      </c>
      <c r="CR23" s="191">
        <v>413.05</v>
      </c>
      <c r="CS23" s="191">
        <v>432.08</v>
      </c>
      <c r="CT23" s="191">
        <v>449.51</v>
      </c>
      <c r="CU23" s="191">
        <v>464.98</v>
      </c>
      <c r="CV23" s="191">
        <v>478.12</v>
      </c>
      <c r="CW23" s="191">
        <v>488.57</v>
      </c>
    </row>
    <row r="24" spans="1:101" s="53" customFormat="1" x14ac:dyDescent="0.25">
      <c r="A24" s="192">
        <f t="shared" si="2"/>
        <v>13</v>
      </c>
      <c r="B24" s="191">
        <v>0.1</v>
      </c>
      <c r="C24" s="191">
        <v>0.13</v>
      </c>
      <c r="D24" s="191">
        <v>0.19</v>
      </c>
      <c r="E24" s="191">
        <v>0.28999999999999998</v>
      </c>
      <c r="F24" s="191">
        <v>0.42</v>
      </c>
      <c r="G24" s="191">
        <v>0.56999999999999995</v>
      </c>
      <c r="H24" s="191">
        <v>0.69</v>
      </c>
      <c r="I24" s="191">
        <v>0.72</v>
      </c>
      <c r="J24" s="191">
        <v>0.74</v>
      </c>
      <c r="K24" s="191">
        <v>0.77</v>
      </c>
      <c r="L24" s="191">
        <v>0.75</v>
      </c>
      <c r="M24" s="191">
        <v>0.72</v>
      </c>
      <c r="N24" s="191">
        <v>0.71</v>
      </c>
      <c r="O24" s="191">
        <v>0.71</v>
      </c>
      <c r="P24" s="191">
        <v>0.61</v>
      </c>
      <c r="Q24" s="191">
        <v>0.57999999999999996</v>
      </c>
      <c r="R24" s="191">
        <v>0.52</v>
      </c>
      <c r="S24" s="191">
        <v>0.48</v>
      </c>
      <c r="T24" s="191">
        <v>0.46</v>
      </c>
      <c r="U24" s="191">
        <v>0.45</v>
      </c>
      <c r="V24" s="191">
        <v>0.46</v>
      </c>
      <c r="W24" s="191">
        <v>0.47</v>
      </c>
      <c r="X24" s="191">
        <v>0.48</v>
      </c>
      <c r="Y24" s="191">
        <v>0.5</v>
      </c>
      <c r="Z24" s="191">
        <v>0.53</v>
      </c>
      <c r="AA24" s="191">
        <v>0.56000000000000005</v>
      </c>
      <c r="AB24" s="191">
        <v>0.6</v>
      </c>
      <c r="AC24" s="191">
        <v>0.64</v>
      </c>
      <c r="AD24" s="191">
        <v>0.69</v>
      </c>
      <c r="AE24" s="191">
        <v>0.75</v>
      </c>
      <c r="AF24" s="191">
        <v>0.75</v>
      </c>
      <c r="AG24" s="191">
        <v>0.78</v>
      </c>
      <c r="AH24" s="191">
        <v>0.82</v>
      </c>
      <c r="AI24" s="191">
        <v>0.86</v>
      </c>
      <c r="AJ24" s="191">
        <v>0.92</v>
      </c>
      <c r="AK24" s="191">
        <v>1</v>
      </c>
      <c r="AL24" s="191">
        <v>1.08</v>
      </c>
      <c r="AM24" s="191">
        <v>1.18</v>
      </c>
      <c r="AN24" s="191">
        <v>1.29</v>
      </c>
      <c r="AO24" s="191">
        <v>1.41</v>
      </c>
      <c r="AP24" s="191">
        <v>1.55</v>
      </c>
      <c r="AQ24" s="191">
        <v>1.7</v>
      </c>
      <c r="AR24" s="191">
        <v>1.86</v>
      </c>
      <c r="AS24" s="191">
        <v>2.0499999999999998</v>
      </c>
      <c r="AT24" s="191">
        <v>2.2599999999999998</v>
      </c>
      <c r="AU24" s="191">
        <v>2.4900000000000002</v>
      </c>
      <c r="AV24" s="191">
        <v>2.74</v>
      </c>
      <c r="AW24" s="191">
        <v>3.01</v>
      </c>
      <c r="AX24" s="191">
        <v>3.3</v>
      </c>
      <c r="AY24" s="191">
        <v>3.58</v>
      </c>
      <c r="AZ24" s="191">
        <v>3.88</v>
      </c>
      <c r="BA24" s="191">
        <v>4.22</v>
      </c>
      <c r="BB24" s="191">
        <v>4.6399999999999997</v>
      </c>
      <c r="BC24" s="191">
        <v>5.17</v>
      </c>
      <c r="BD24" s="191">
        <v>5.88</v>
      </c>
      <c r="BE24" s="191">
        <v>6.76</v>
      </c>
      <c r="BF24" s="191">
        <v>7.74</v>
      </c>
      <c r="BG24" s="191">
        <v>8.83</v>
      </c>
      <c r="BH24" s="191">
        <v>9.92</v>
      </c>
      <c r="BI24" s="191">
        <v>11.09</v>
      </c>
      <c r="BJ24" s="191">
        <v>12.4</v>
      </c>
      <c r="BK24" s="191">
        <v>13.61</v>
      </c>
      <c r="BL24" s="191">
        <v>14.89</v>
      </c>
      <c r="BM24" s="191">
        <v>16.37</v>
      </c>
      <c r="BN24" s="191">
        <v>17.940000000000001</v>
      </c>
      <c r="BO24" s="191">
        <v>19.84</v>
      </c>
      <c r="BP24" s="191">
        <v>22.11</v>
      </c>
      <c r="BQ24" s="191">
        <v>25.13</v>
      </c>
      <c r="BR24" s="191">
        <v>28.83</v>
      </c>
      <c r="BS24" s="191">
        <v>33.549999999999997</v>
      </c>
      <c r="BT24" s="191">
        <v>39.47</v>
      </c>
      <c r="BU24" s="191">
        <v>46.01</v>
      </c>
      <c r="BV24" s="191">
        <v>54.4</v>
      </c>
      <c r="BW24" s="191">
        <v>62.68</v>
      </c>
      <c r="BX24" s="191">
        <v>72.03</v>
      </c>
      <c r="BY24" s="191">
        <v>83.46</v>
      </c>
      <c r="BZ24" s="191">
        <v>99.04</v>
      </c>
      <c r="CA24" s="191">
        <v>116.51</v>
      </c>
      <c r="CB24" s="191">
        <v>135.61000000000001</v>
      </c>
      <c r="CC24" s="191">
        <v>152.6</v>
      </c>
      <c r="CD24" s="191">
        <v>168.28</v>
      </c>
      <c r="CE24" s="191">
        <v>183.74</v>
      </c>
      <c r="CF24" s="191">
        <v>198.22</v>
      </c>
      <c r="CG24" s="191">
        <v>211.08</v>
      </c>
      <c r="CH24" s="191">
        <v>227.79</v>
      </c>
      <c r="CI24" s="191">
        <v>245.59</v>
      </c>
      <c r="CJ24" s="191">
        <v>264.95</v>
      </c>
      <c r="CK24" s="191">
        <v>285.45999999999998</v>
      </c>
      <c r="CL24" s="191">
        <v>306.7</v>
      </c>
      <c r="CM24" s="191">
        <v>328.25</v>
      </c>
      <c r="CN24" s="191">
        <v>350.02</v>
      </c>
      <c r="CO24" s="191">
        <v>371.65</v>
      </c>
      <c r="CP24" s="191">
        <v>392.79</v>
      </c>
      <c r="CQ24" s="191">
        <v>413.05</v>
      </c>
      <c r="CR24" s="191">
        <v>432.08</v>
      </c>
      <c r="CS24" s="191">
        <v>449.51</v>
      </c>
      <c r="CT24" s="191">
        <v>464.98</v>
      </c>
      <c r="CU24" s="191">
        <v>478.12</v>
      </c>
      <c r="CV24" s="191">
        <v>488.57</v>
      </c>
      <c r="CW24" s="191">
        <v>495.95</v>
      </c>
    </row>
    <row r="25" spans="1:101" s="53" customFormat="1" x14ac:dyDescent="0.25">
      <c r="A25" s="192">
        <f t="shared" si="2"/>
        <v>14</v>
      </c>
      <c r="B25" s="191">
        <v>0.13</v>
      </c>
      <c r="C25" s="191">
        <v>0.19</v>
      </c>
      <c r="D25" s="191">
        <v>0.28999999999999998</v>
      </c>
      <c r="E25" s="191">
        <v>0.42</v>
      </c>
      <c r="F25" s="191">
        <v>0.56999999999999995</v>
      </c>
      <c r="G25" s="191">
        <v>0.69</v>
      </c>
      <c r="H25" s="191">
        <v>0.72</v>
      </c>
      <c r="I25" s="191">
        <v>0.74</v>
      </c>
      <c r="J25" s="191">
        <v>0.77</v>
      </c>
      <c r="K25" s="191">
        <v>0.75</v>
      </c>
      <c r="L25" s="191">
        <v>0.72</v>
      </c>
      <c r="M25" s="191">
        <v>0.71</v>
      </c>
      <c r="N25" s="191">
        <v>0.71</v>
      </c>
      <c r="O25" s="191">
        <v>0.61</v>
      </c>
      <c r="P25" s="191">
        <v>0.57999999999999996</v>
      </c>
      <c r="Q25" s="191">
        <v>0.52</v>
      </c>
      <c r="R25" s="191">
        <v>0.48</v>
      </c>
      <c r="S25" s="191">
        <v>0.46</v>
      </c>
      <c r="T25" s="191">
        <v>0.48</v>
      </c>
      <c r="U25" s="191">
        <v>0.49</v>
      </c>
      <c r="V25" s="191">
        <v>0.5</v>
      </c>
      <c r="W25" s="191">
        <v>0.52</v>
      </c>
      <c r="X25" s="191">
        <v>0.54</v>
      </c>
      <c r="Y25" s="191">
        <v>0.56999999999999995</v>
      </c>
      <c r="Z25" s="191">
        <v>0.6</v>
      </c>
      <c r="AA25" s="191">
        <v>0.63</v>
      </c>
      <c r="AB25" s="191">
        <v>0.67</v>
      </c>
      <c r="AC25" s="191">
        <v>0.72</v>
      </c>
      <c r="AD25" s="191">
        <v>0.78</v>
      </c>
      <c r="AE25" s="191">
        <v>0.84</v>
      </c>
      <c r="AF25" s="191">
        <v>0.85</v>
      </c>
      <c r="AG25" s="191">
        <v>0.87</v>
      </c>
      <c r="AH25" s="191">
        <v>0.91</v>
      </c>
      <c r="AI25" s="191">
        <v>0.97</v>
      </c>
      <c r="AJ25" s="191">
        <v>1.05</v>
      </c>
      <c r="AK25" s="191">
        <v>1.1299999999999999</v>
      </c>
      <c r="AL25" s="191">
        <v>1.22</v>
      </c>
      <c r="AM25" s="191">
        <v>1.32</v>
      </c>
      <c r="AN25" s="191">
        <v>1.44</v>
      </c>
      <c r="AO25" s="191">
        <v>1.57</v>
      </c>
      <c r="AP25" s="191">
        <v>1.73</v>
      </c>
      <c r="AQ25" s="191">
        <v>1.9</v>
      </c>
      <c r="AR25" s="191">
        <v>2.09</v>
      </c>
      <c r="AS25" s="191">
        <v>2.31</v>
      </c>
      <c r="AT25" s="191">
        <v>2.56</v>
      </c>
      <c r="AU25" s="191">
        <v>2.82</v>
      </c>
      <c r="AV25" s="191">
        <v>3.11</v>
      </c>
      <c r="AW25" s="191">
        <v>3.42</v>
      </c>
      <c r="AX25" s="191">
        <v>3.74</v>
      </c>
      <c r="AY25" s="191">
        <v>4.0599999999999996</v>
      </c>
      <c r="AZ25" s="191">
        <v>4.42</v>
      </c>
      <c r="BA25" s="191">
        <v>4.83</v>
      </c>
      <c r="BB25" s="191">
        <v>5.37</v>
      </c>
      <c r="BC25" s="191">
        <v>6.03</v>
      </c>
      <c r="BD25" s="191">
        <v>6.87</v>
      </c>
      <c r="BE25" s="191">
        <v>7.87</v>
      </c>
      <c r="BF25" s="191">
        <v>8.86</v>
      </c>
      <c r="BG25" s="191">
        <v>9.9700000000000006</v>
      </c>
      <c r="BH25" s="191">
        <v>11.15</v>
      </c>
      <c r="BI25" s="191">
        <v>12.57</v>
      </c>
      <c r="BJ25" s="191">
        <v>13.97</v>
      </c>
      <c r="BK25" s="191">
        <v>15.45</v>
      </c>
      <c r="BL25" s="191">
        <v>17.079999999999998</v>
      </c>
      <c r="BM25" s="191">
        <v>18.989999999999998</v>
      </c>
      <c r="BN25" s="191">
        <v>20.98</v>
      </c>
      <c r="BO25" s="191">
        <v>23.31</v>
      </c>
      <c r="BP25" s="191">
        <v>26.04</v>
      </c>
      <c r="BQ25" s="191">
        <v>29.58</v>
      </c>
      <c r="BR25" s="191">
        <v>33.86</v>
      </c>
      <c r="BS25" s="191">
        <v>39.6</v>
      </c>
      <c r="BT25" s="191">
        <v>46.26</v>
      </c>
      <c r="BU25" s="191">
        <v>54.99</v>
      </c>
      <c r="BV25" s="191">
        <v>62.74</v>
      </c>
      <c r="BW25" s="191">
        <v>72.12</v>
      </c>
      <c r="BX25" s="191">
        <v>84.33</v>
      </c>
      <c r="BY25" s="191">
        <v>99.64</v>
      </c>
      <c r="BZ25" s="191">
        <v>116.96</v>
      </c>
      <c r="CA25" s="191">
        <v>136.9</v>
      </c>
      <c r="CB25" s="191">
        <v>152.6</v>
      </c>
      <c r="CC25" s="191">
        <v>168.28</v>
      </c>
      <c r="CD25" s="191">
        <v>183.74</v>
      </c>
      <c r="CE25" s="191">
        <v>198.22</v>
      </c>
      <c r="CF25" s="191">
        <v>211.08</v>
      </c>
      <c r="CG25" s="191">
        <v>227.79</v>
      </c>
      <c r="CH25" s="191">
        <v>245.59</v>
      </c>
      <c r="CI25" s="191">
        <v>264.95</v>
      </c>
      <c r="CJ25" s="191">
        <v>285.45999999999998</v>
      </c>
      <c r="CK25" s="191">
        <v>306.7</v>
      </c>
      <c r="CL25" s="191">
        <v>328.25</v>
      </c>
      <c r="CM25" s="191">
        <v>350.02</v>
      </c>
      <c r="CN25" s="191">
        <v>371.65</v>
      </c>
      <c r="CO25" s="191">
        <v>392.79</v>
      </c>
      <c r="CP25" s="191">
        <v>413.05</v>
      </c>
      <c r="CQ25" s="191">
        <v>432.08</v>
      </c>
      <c r="CR25" s="191">
        <v>449.51</v>
      </c>
      <c r="CS25" s="191">
        <v>464.98</v>
      </c>
      <c r="CT25" s="191">
        <v>478.12</v>
      </c>
      <c r="CU25" s="191">
        <v>488.57</v>
      </c>
      <c r="CV25" s="191">
        <v>495.95</v>
      </c>
      <c r="CW25" s="191">
        <v>500</v>
      </c>
    </row>
    <row r="26" spans="1:101" s="53" customFormat="1" x14ac:dyDescent="0.25">
      <c r="A26" s="192">
        <f t="shared" si="2"/>
        <v>15</v>
      </c>
      <c r="B26" s="191">
        <v>0.19</v>
      </c>
      <c r="C26" s="191">
        <v>0.28999999999999998</v>
      </c>
      <c r="D26" s="191">
        <v>0.42</v>
      </c>
      <c r="E26" s="191">
        <v>0.56999999999999995</v>
      </c>
      <c r="F26" s="191">
        <v>0.69</v>
      </c>
      <c r="G26" s="191">
        <v>0.72</v>
      </c>
      <c r="H26" s="191">
        <v>0.74</v>
      </c>
      <c r="I26" s="191">
        <v>0.77</v>
      </c>
      <c r="J26" s="191">
        <v>0.75</v>
      </c>
      <c r="K26" s="191">
        <v>0.72</v>
      </c>
      <c r="L26" s="191">
        <v>0.71</v>
      </c>
      <c r="M26" s="191">
        <v>0.71</v>
      </c>
      <c r="N26" s="191">
        <v>0.61</v>
      </c>
      <c r="O26" s="191">
        <v>0.57999999999999996</v>
      </c>
      <c r="P26" s="191">
        <v>0.52</v>
      </c>
      <c r="Q26" s="191">
        <v>0.48</v>
      </c>
      <c r="R26" s="191">
        <v>0.46</v>
      </c>
      <c r="S26" s="191">
        <v>0.48</v>
      </c>
      <c r="T26" s="191">
        <v>0.5</v>
      </c>
      <c r="U26" s="191">
        <v>0.54</v>
      </c>
      <c r="V26" s="191">
        <v>0.56000000000000005</v>
      </c>
      <c r="W26" s="191">
        <v>0.57999999999999996</v>
      </c>
      <c r="X26" s="191">
        <v>0.61</v>
      </c>
      <c r="Y26" s="191">
        <v>0.63</v>
      </c>
      <c r="Z26" s="191">
        <v>0.66</v>
      </c>
      <c r="AA26" s="191">
        <v>0.69</v>
      </c>
      <c r="AB26" s="191">
        <v>0.74</v>
      </c>
      <c r="AC26" s="191">
        <v>0.8</v>
      </c>
      <c r="AD26" s="191">
        <v>0.87</v>
      </c>
      <c r="AE26" s="191">
        <v>0.92</v>
      </c>
      <c r="AF26" s="191">
        <v>0.93</v>
      </c>
      <c r="AG26" s="191">
        <v>0.96</v>
      </c>
      <c r="AH26" s="191">
        <v>1.03</v>
      </c>
      <c r="AI26" s="191">
        <v>1.1000000000000001</v>
      </c>
      <c r="AJ26" s="191">
        <v>1.18</v>
      </c>
      <c r="AK26" s="191">
        <v>1.27</v>
      </c>
      <c r="AL26" s="191">
        <v>1.36</v>
      </c>
      <c r="AM26" s="191">
        <v>1.47</v>
      </c>
      <c r="AN26" s="191">
        <v>1.59</v>
      </c>
      <c r="AO26" s="191">
        <v>1.74</v>
      </c>
      <c r="AP26" s="191">
        <v>1.91</v>
      </c>
      <c r="AQ26" s="191">
        <v>2.11</v>
      </c>
      <c r="AR26" s="191">
        <v>2.34</v>
      </c>
      <c r="AS26" s="191">
        <v>2.6</v>
      </c>
      <c r="AT26" s="191">
        <v>2.9</v>
      </c>
      <c r="AU26" s="191">
        <v>3.22</v>
      </c>
      <c r="AV26" s="191">
        <v>3.57</v>
      </c>
      <c r="AW26" s="191">
        <v>3.92</v>
      </c>
      <c r="AX26" s="191">
        <v>4.29</v>
      </c>
      <c r="AY26" s="191">
        <v>4.67</v>
      </c>
      <c r="AZ26" s="191">
        <v>5.0999999999999996</v>
      </c>
      <c r="BA26" s="191">
        <v>5.59</v>
      </c>
      <c r="BB26" s="191">
        <v>6.21</v>
      </c>
      <c r="BC26" s="191">
        <v>6.95</v>
      </c>
      <c r="BD26" s="191">
        <v>7.89</v>
      </c>
      <c r="BE26" s="191">
        <v>8.8699999999999992</v>
      </c>
      <c r="BF26" s="191">
        <v>9.99</v>
      </c>
      <c r="BG26" s="191">
        <v>11.16</v>
      </c>
      <c r="BH26" s="191">
        <v>12.59</v>
      </c>
      <c r="BI26" s="191">
        <v>14.18</v>
      </c>
      <c r="BJ26" s="191">
        <v>15.88</v>
      </c>
      <c r="BK26" s="191">
        <v>17.8</v>
      </c>
      <c r="BL26" s="191">
        <v>19.91</v>
      </c>
      <c r="BM26" s="191">
        <v>22.31</v>
      </c>
      <c r="BN26" s="191">
        <v>24.75</v>
      </c>
      <c r="BO26" s="191">
        <v>27.54</v>
      </c>
      <c r="BP26" s="191">
        <v>30.74</v>
      </c>
      <c r="BQ26" s="191">
        <v>34.85</v>
      </c>
      <c r="BR26" s="191">
        <v>39.72</v>
      </c>
      <c r="BS26" s="191">
        <v>46.33</v>
      </c>
      <c r="BT26" s="191">
        <v>55.57</v>
      </c>
      <c r="BU26" s="191">
        <v>62.96</v>
      </c>
      <c r="BV26" s="191">
        <v>72.209999999999994</v>
      </c>
      <c r="BW26" s="191">
        <v>86.69</v>
      </c>
      <c r="BX26" s="191">
        <v>100.77</v>
      </c>
      <c r="BY26" s="191">
        <v>117.67</v>
      </c>
      <c r="BZ26" s="191">
        <v>136.9</v>
      </c>
      <c r="CA26" s="191">
        <v>152.6</v>
      </c>
      <c r="CB26" s="191">
        <v>168.28</v>
      </c>
      <c r="CC26" s="191">
        <v>183.74</v>
      </c>
      <c r="CD26" s="191">
        <v>198.22</v>
      </c>
      <c r="CE26" s="191">
        <v>211.08</v>
      </c>
      <c r="CF26" s="191">
        <v>227.79</v>
      </c>
      <c r="CG26" s="191">
        <v>245.59</v>
      </c>
      <c r="CH26" s="191">
        <v>264.95</v>
      </c>
      <c r="CI26" s="191">
        <v>285.45999999999998</v>
      </c>
      <c r="CJ26" s="191">
        <v>306.7</v>
      </c>
      <c r="CK26" s="191">
        <v>328.25</v>
      </c>
      <c r="CL26" s="191">
        <v>350.02</v>
      </c>
      <c r="CM26" s="191">
        <v>371.65</v>
      </c>
      <c r="CN26" s="191">
        <v>392.79</v>
      </c>
      <c r="CO26" s="191">
        <v>413.05</v>
      </c>
      <c r="CP26" s="191">
        <v>432.08</v>
      </c>
      <c r="CQ26" s="191">
        <v>449.51</v>
      </c>
      <c r="CR26" s="191">
        <v>464.98</v>
      </c>
      <c r="CS26" s="191">
        <v>478.12</v>
      </c>
      <c r="CT26" s="191">
        <v>488.57</v>
      </c>
      <c r="CU26" s="191">
        <v>495.95</v>
      </c>
      <c r="CV26" s="191">
        <v>500</v>
      </c>
      <c r="CW26" s="191">
        <v>500</v>
      </c>
    </row>
    <row r="27" spans="1:101" s="53" customFormat="1" x14ac:dyDescent="0.25">
      <c r="A27" s="192">
        <f t="shared" si="2"/>
        <v>16</v>
      </c>
      <c r="B27" s="191">
        <v>0.28999999999999998</v>
      </c>
      <c r="C27" s="191">
        <v>0.42</v>
      </c>
      <c r="D27" s="191">
        <v>0.56999999999999995</v>
      </c>
      <c r="E27" s="191">
        <v>0.69</v>
      </c>
      <c r="F27" s="191">
        <v>0.72</v>
      </c>
      <c r="G27" s="191">
        <v>0.74</v>
      </c>
      <c r="H27" s="191">
        <v>0.77</v>
      </c>
      <c r="I27" s="191">
        <v>0.75</v>
      </c>
      <c r="J27" s="191">
        <v>0.72</v>
      </c>
      <c r="K27" s="191">
        <v>0.71</v>
      </c>
      <c r="L27" s="191">
        <v>0.71</v>
      </c>
      <c r="M27" s="191">
        <v>0.61</v>
      </c>
      <c r="N27" s="191">
        <v>0.57999999999999996</v>
      </c>
      <c r="O27" s="191">
        <v>0.52</v>
      </c>
      <c r="P27" s="191">
        <v>0.48</v>
      </c>
      <c r="Q27" s="191">
        <v>0.46</v>
      </c>
      <c r="R27" s="191">
        <v>0.48</v>
      </c>
      <c r="S27" s="191">
        <v>0.5</v>
      </c>
      <c r="T27" s="191">
        <v>0.56999999999999995</v>
      </c>
      <c r="U27" s="191">
        <v>0.59</v>
      </c>
      <c r="V27" s="191">
        <v>0.6</v>
      </c>
      <c r="W27" s="191">
        <v>0.63</v>
      </c>
      <c r="X27" s="191">
        <v>0.65</v>
      </c>
      <c r="Y27" s="191">
        <v>0.68</v>
      </c>
      <c r="Z27" s="191">
        <v>0.71</v>
      </c>
      <c r="AA27" s="191">
        <v>0.75</v>
      </c>
      <c r="AB27" s="191">
        <v>0.81</v>
      </c>
      <c r="AC27" s="191">
        <v>0.88</v>
      </c>
      <c r="AD27" s="191">
        <v>0.94</v>
      </c>
      <c r="AE27" s="191">
        <v>0.99</v>
      </c>
      <c r="AF27" s="191">
        <v>1.03</v>
      </c>
      <c r="AG27" s="191">
        <v>1.1000000000000001</v>
      </c>
      <c r="AH27" s="191">
        <v>1.17</v>
      </c>
      <c r="AI27" s="191">
        <v>1.24</v>
      </c>
      <c r="AJ27" s="191">
        <v>1.33</v>
      </c>
      <c r="AK27" s="191">
        <v>1.42</v>
      </c>
      <c r="AL27" s="191">
        <v>1.52</v>
      </c>
      <c r="AM27" s="191">
        <v>1.63</v>
      </c>
      <c r="AN27" s="191">
        <v>1.77</v>
      </c>
      <c r="AO27" s="191">
        <v>1.93</v>
      </c>
      <c r="AP27" s="191">
        <v>2.13</v>
      </c>
      <c r="AQ27" s="191">
        <v>2.38</v>
      </c>
      <c r="AR27" s="191">
        <v>2.67</v>
      </c>
      <c r="AS27" s="191">
        <v>3</v>
      </c>
      <c r="AT27" s="191">
        <v>3.36</v>
      </c>
      <c r="AU27" s="191">
        <v>3.74</v>
      </c>
      <c r="AV27" s="191">
        <v>4.13</v>
      </c>
      <c r="AW27" s="191">
        <v>4.53</v>
      </c>
      <c r="AX27" s="191">
        <v>4.96</v>
      </c>
      <c r="AY27" s="191">
        <v>5.39</v>
      </c>
      <c r="AZ27" s="191">
        <v>5.87</v>
      </c>
      <c r="BA27" s="191">
        <v>6.42</v>
      </c>
      <c r="BB27" s="191">
        <v>7.09</v>
      </c>
      <c r="BC27" s="191">
        <v>7.91</v>
      </c>
      <c r="BD27" s="191">
        <v>8.8800000000000008</v>
      </c>
      <c r="BE27" s="191">
        <v>10.029999999999999</v>
      </c>
      <c r="BF27" s="191">
        <v>11.26</v>
      </c>
      <c r="BG27" s="191">
        <v>12.71</v>
      </c>
      <c r="BH27" s="191">
        <v>14.37</v>
      </c>
      <c r="BI27" s="191">
        <v>16.29</v>
      </c>
      <c r="BJ27" s="191">
        <v>18.440000000000001</v>
      </c>
      <c r="BK27" s="191">
        <v>20.83</v>
      </c>
      <c r="BL27" s="191">
        <v>23.42</v>
      </c>
      <c r="BM27" s="191">
        <v>26.3</v>
      </c>
      <c r="BN27" s="191">
        <v>29.39</v>
      </c>
      <c r="BO27" s="191">
        <v>32.9</v>
      </c>
      <c r="BP27" s="191">
        <v>37.369999999999997</v>
      </c>
      <c r="BQ27" s="191">
        <v>42.31</v>
      </c>
      <c r="BR27" s="191">
        <v>48.47</v>
      </c>
      <c r="BS27" s="191">
        <v>56.16</v>
      </c>
      <c r="BT27" s="191">
        <v>66</v>
      </c>
      <c r="BU27" s="191">
        <v>76.069999999999993</v>
      </c>
      <c r="BV27" s="191">
        <v>87.29</v>
      </c>
      <c r="BW27" s="191">
        <v>104.62</v>
      </c>
      <c r="BX27" s="191">
        <v>120.09</v>
      </c>
      <c r="BY27" s="191">
        <v>136.9</v>
      </c>
      <c r="BZ27" s="191">
        <v>152.6</v>
      </c>
      <c r="CA27" s="191">
        <v>168.28</v>
      </c>
      <c r="CB27" s="191">
        <v>183.74</v>
      </c>
      <c r="CC27" s="191">
        <v>198.22</v>
      </c>
      <c r="CD27" s="191">
        <v>211.08</v>
      </c>
      <c r="CE27" s="191">
        <v>227.79</v>
      </c>
      <c r="CF27" s="191">
        <v>245.59</v>
      </c>
      <c r="CG27" s="191">
        <v>264.95</v>
      </c>
      <c r="CH27" s="191">
        <v>285.45999999999998</v>
      </c>
      <c r="CI27" s="191">
        <v>306.7</v>
      </c>
      <c r="CJ27" s="191">
        <v>328.25</v>
      </c>
      <c r="CK27" s="191">
        <v>350.02</v>
      </c>
      <c r="CL27" s="191">
        <v>371.65</v>
      </c>
      <c r="CM27" s="191">
        <v>392.79</v>
      </c>
      <c r="CN27" s="191">
        <v>413.05</v>
      </c>
      <c r="CO27" s="191">
        <v>432.08</v>
      </c>
      <c r="CP27" s="191">
        <v>449.51</v>
      </c>
      <c r="CQ27" s="191">
        <v>464.98</v>
      </c>
      <c r="CR27" s="191">
        <v>478.12</v>
      </c>
      <c r="CS27" s="191">
        <v>488.57</v>
      </c>
      <c r="CT27" s="191">
        <v>495.95</v>
      </c>
      <c r="CU27" s="191">
        <v>500</v>
      </c>
      <c r="CV27" s="191">
        <v>500</v>
      </c>
      <c r="CW27" s="191">
        <v>500</v>
      </c>
    </row>
    <row r="28" spans="1:101" s="53" customFormat="1" x14ac:dyDescent="0.25">
      <c r="A28" s="192">
        <f t="shared" si="2"/>
        <v>17</v>
      </c>
      <c r="B28" s="191">
        <v>0.42</v>
      </c>
      <c r="C28" s="191">
        <v>0.56999999999999995</v>
      </c>
      <c r="D28" s="191">
        <v>0.69</v>
      </c>
      <c r="E28" s="191">
        <v>0.72</v>
      </c>
      <c r="F28" s="191">
        <v>0.74</v>
      </c>
      <c r="G28" s="191">
        <v>0.77</v>
      </c>
      <c r="H28" s="191">
        <v>0.75</v>
      </c>
      <c r="I28" s="191">
        <v>0.72</v>
      </c>
      <c r="J28" s="191">
        <v>0.71</v>
      </c>
      <c r="K28" s="191">
        <v>0.71</v>
      </c>
      <c r="L28" s="191">
        <v>0.61</v>
      </c>
      <c r="M28" s="191">
        <v>0.57999999999999996</v>
      </c>
      <c r="N28" s="191">
        <v>0.52</v>
      </c>
      <c r="O28" s="191">
        <v>0.48</v>
      </c>
      <c r="P28" s="191">
        <v>0.46</v>
      </c>
      <c r="Q28" s="191">
        <v>0.48</v>
      </c>
      <c r="R28" s="191">
        <v>0.5</v>
      </c>
      <c r="S28" s="191">
        <v>0.56999999999999995</v>
      </c>
      <c r="T28" s="191">
        <v>0.65</v>
      </c>
      <c r="U28" s="191">
        <v>0.67</v>
      </c>
      <c r="V28" s="191">
        <v>0.7</v>
      </c>
      <c r="W28" s="191">
        <v>0.72</v>
      </c>
      <c r="X28" s="191">
        <v>0.74</v>
      </c>
      <c r="Y28" s="191">
        <v>0.77</v>
      </c>
      <c r="Z28" s="191">
        <v>0.82</v>
      </c>
      <c r="AA28" s="191">
        <v>0.87</v>
      </c>
      <c r="AB28" s="191">
        <v>0.94</v>
      </c>
      <c r="AC28" s="191">
        <v>1</v>
      </c>
      <c r="AD28" s="191">
        <v>1.05</v>
      </c>
      <c r="AE28" s="191">
        <v>1.0900000000000001</v>
      </c>
      <c r="AF28" s="191">
        <v>1.1599999999999999</v>
      </c>
      <c r="AG28" s="191">
        <v>1.23</v>
      </c>
      <c r="AH28" s="191">
        <v>1.3</v>
      </c>
      <c r="AI28" s="191">
        <v>1.39</v>
      </c>
      <c r="AJ28" s="191">
        <v>1.48</v>
      </c>
      <c r="AK28" s="191">
        <v>1.58</v>
      </c>
      <c r="AL28" s="191">
        <v>1.69</v>
      </c>
      <c r="AM28" s="191">
        <v>1.82</v>
      </c>
      <c r="AN28" s="191">
        <v>1.98</v>
      </c>
      <c r="AO28" s="191">
        <v>2.1800000000000002</v>
      </c>
      <c r="AP28" s="191">
        <v>2.4300000000000002</v>
      </c>
      <c r="AQ28" s="191">
        <v>2.74</v>
      </c>
      <c r="AR28" s="191">
        <v>3.1</v>
      </c>
      <c r="AS28" s="191">
        <v>3.5</v>
      </c>
      <c r="AT28" s="191">
        <v>3.91</v>
      </c>
      <c r="AU28" s="191">
        <v>4.33</v>
      </c>
      <c r="AV28" s="191">
        <v>4.74</v>
      </c>
      <c r="AW28" s="191">
        <v>5.16</v>
      </c>
      <c r="AX28" s="191">
        <v>5.62</v>
      </c>
      <c r="AY28" s="191">
        <v>6.09</v>
      </c>
      <c r="AZ28" s="191">
        <v>6.61</v>
      </c>
      <c r="BA28" s="191">
        <v>7.2</v>
      </c>
      <c r="BB28" s="191">
        <v>7.93</v>
      </c>
      <c r="BC28" s="191">
        <v>8.8800000000000008</v>
      </c>
      <c r="BD28" s="191">
        <v>10.08</v>
      </c>
      <c r="BE28" s="191">
        <v>11.3</v>
      </c>
      <c r="BF28" s="191">
        <v>12.81</v>
      </c>
      <c r="BG28" s="191">
        <v>14.59</v>
      </c>
      <c r="BH28" s="191">
        <v>16.649999999999999</v>
      </c>
      <c r="BI28" s="191">
        <v>18.98</v>
      </c>
      <c r="BJ28" s="191">
        <v>21.55</v>
      </c>
      <c r="BK28" s="191">
        <v>24.36</v>
      </c>
      <c r="BL28" s="191">
        <v>27.43</v>
      </c>
      <c r="BM28" s="191">
        <v>30.83</v>
      </c>
      <c r="BN28" s="191">
        <v>34.880000000000003</v>
      </c>
      <c r="BO28" s="191">
        <v>39.31</v>
      </c>
      <c r="BP28" s="191">
        <v>45.63</v>
      </c>
      <c r="BQ28" s="191">
        <v>51.98</v>
      </c>
      <c r="BR28" s="191">
        <v>59.59</v>
      </c>
      <c r="BS28" s="191">
        <v>68.3</v>
      </c>
      <c r="BT28" s="191">
        <v>80.25</v>
      </c>
      <c r="BU28" s="191">
        <v>91.82</v>
      </c>
      <c r="BV28" s="191">
        <v>105.03</v>
      </c>
      <c r="BW28" s="191">
        <v>121.61</v>
      </c>
      <c r="BX28" s="191">
        <v>136.9</v>
      </c>
      <c r="BY28" s="191">
        <v>152.6</v>
      </c>
      <c r="BZ28" s="191">
        <v>168.28</v>
      </c>
      <c r="CA28" s="191">
        <v>183.74</v>
      </c>
      <c r="CB28" s="191">
        <v>198.22</v>
      </c>
      <c r="CC28" s="191">
        <v>211.08</v>
      </c>
      <c r="CD28" s="191">
        <v>227.79</v>
      </c>
      <c r="CE28" s="191">
        <v>245.59</v>
      </c>
      <c r="CF28" s="191">
        <v>264.95</v>
      </c>
      <c r="CG28" s="191">
        <v>285.45999999999998</v>
      </c>
      <c r="CH28" s="191">
        <v>306.7</v>
      </c>
      <c r="CI28" s="191">
        <v>328.25</v>
      </c>
      <c r="CJ28" s="191">
        <v>350.02</v>
      </c>
      <c r="CK28" s="191">
        <v>371.65</v>
      </c>
      <c r="CL28" s="191">
        <v>392.79</v>
      </c>
      <c r="CM28" s="191">
        <v>413.05</v>
      </c>
      <c r="CN28" s="191">
        <v>432.08</v>
      </c>
      <c r="CO28" s="191">
        <v>449.51</v>
      </c>
      <c r="CP28" s="191">
        <v>464.98</v>
      </c>
      <c r="CQ28" s="191">
        <v>478.12</v>
      </c>
      <c r="CR28" s="191">
        <v>488.57</v>
      </c>
      <c r="CS28" s="191">
        <v>495.95</v>
      </c>
      <c r="CT28" s="191">
        <v>500</v>
      </c>
      <c r="CU28" s="191">
        <v>500</v>
      </c>
      <c r="CV28" s="191">
        <v>500</v>
      </c>
      <c r="CW28" s="191">
        <v>500</v>
      </c>
    </row>
    <row r="29" spans="1:101" s="53" customFormat="1" x14ac:dyDescent="0.25">
      <c r="A29" s="192">
        <f t="shared" si="2"/>
        <v>18</v>
      </c>
      <c r="B29" s="191">
        <v>0.56999999999999995</v>
      </c>
      <c r="C29" s="191">
        <v>0.69</v>
      </c>
      <c r="D29" s="191">
        <v>0.72</v>
      </c>
      <c r="E29" s="191">
        <v>0.74</v>
      </c>
      <c r="F29" s="191">
        <v>0.77</v>
      </c>
      <c r="G29" s="191">
        <v>0.75</v>
      </c>
      <c r="H29" s="191">
        <v>0.72</v>
      </c>
      <c r="I29" s="191">
        <v>0.71</v>
      </c>
      <c r="J29" s="191">
        <v>0.71</v>
      </c>
      <c r="K29" s="191">
        <v>0.61</v>
      </c>
      <c r="L29" s="191">
        <v>0.57999999999999996</v>
      </c>
      <c r="M29" s="191">
        <v>0.52</v>
      </c>
      <c r="N29" s="191">
        <v>0.48</v>
      </c>
      <c r="O29" s="191">
        <v>0.46</v>
      </c>
      <c r="P29" s="191">
        <v>0.48</v>
      </c>
      <c r="Q29" s="191">
        <v>0.5</v>
      </c>
      <c r="R29" s="191">
        <v>0.56999999999999995</v>
      </c>
      <c r="S29" s="191">
        <v>0.65</v>
      </c>
      <c r="T29" s="191">
        <v>0.76</v>
      </c>
      <c r="U29" s="191">
        <v>0.79</v>
      </c>
      <c r="V29" s="191">
        <v>0.81</v>
      </c>
      <c r="W29" s="191">
        <v>0.83</v>
      </c>
      <c r="X29" s="191">
        <v>0.86</v>
      </c>
      <c r="Y29" s="191">
        <v>0.9</v>
      </c>
      <c r="Z29" s="191">
        <v>0.95</v>
      </c>
      <c r="AA29" s="191">
        <v>0.99</v>
      </c>
      <c r="AB29" s="191">
        <v>1.04</v>
      </c>
      <c r="AC29" s="191">
        <v>1.08</v>
      </c>
      <c r="AD29" s="191">
        <v>1.1100000000000001</v>
      </c>
      <c r="AE29" s="191">
        <v>1.18</v>
      </c>
      <c r="AF29" s="191">
        <v>1.25</v>
      </c>
      <c r="AG29" s="191">
        <v>1.33</v>
      </c>
      <c r="AH29" s="191">
        <v>1.42</v>
      </c>
      <c r="AI29" s="191">
        <v>1.52</v>
      </c>
      <c r="AJ29" s="191">
        <v>1.62</v>
      </c>
      <c r="AK29" s="191">
        <v>1.74</v>
      </c>
      <c r="AL29" s="191">
        <v>1.87</v>
      </c>
      <c r="AM29" s="191">
        <v>2.0299999999999998</v>
      </c>
      <c r="AN29" s="191">
        <v>2.23</v>
      </c>
      <c r="AO29" s="191">
        <v>2.4900000000000002</v>
      </c>
      <c r="AP29" s="191">
        <v>2.8</v>
      </c>
      <c r="AQ29" s="191">
        <v>3.17</v>
      </c>
      <c r="AR29" s="191">
        <v>3.58</v>
      </c>
      <c r="AS29" s="191">
        <v>4.01</v>
      </c>
      <c r="AT29" s="191">
        <v>4.43</v>
      </c>
      <c r="AU29" s="191">
        <v>4.84</v>
      </c>
      <c r="AV29" s="191">
        <v>5.23</v>
      </c>
      <c r="AW29" s="191">
        <v>5.7</v>
      </c>
      <c r="AX29" s="191">
        <v>6.18</v>
      </c>
      <c r="AY29" s="191">
        <v>6.71</v>
      </c>
      <c r="AZ29" s="191">
        <v>7.3</v>
      </c>
      <c r="BA29" s="191">
        <v>8.01</v>
      </c>
      <c r="BB29" s="191">
        <v>8.8800000000000008</v>
      </c>
      <c r="BC29" s="191">
        <v>10.119999999999999</v>
      </c>
      <c r="BD29" s="191">
        <v>11.37</v>
      </c>
      <c r="BE29" s="191">
        <v>12.88</v>
      </c>
      <c r="BF29" s="191">
        <v>14.71</v>
      </c>
      <c r="BG29" s="191">
        <v>16.77</v>
      </c>
      <c r="BH29" s="191">
        <v>19.190000000000001</v>
      </c>
      <c r="BI29" s="191">
        <v>21.84</v>
      </c>
      <c r="BJ29" s="191">
        <v>24.81</v>
      </c>
      <c r="BK29" s="191">
        <v>28.07</v>
      </c>
      <c r="BL29" s="191">
        <v>31.78</v>
      </c>
      <c r="BM29" s="191">
        <v>35.76</v>
      </c>
      <c r="BN29" s="191">
        <v>41.11</v>
      </c>
      <c r="BO29" s="191">
        <v>46.32</v>
      </c>
      <c r="BP29" s="191">
        <v>54.15</v>
      </c>
      <c r="BQ29" s="191">
        <v>61.62</v>
      </c>
      <c r="BR29" s="191">
        <v>70.540000000000006</v>
      </c>
      <c r="BS29" s="191">
        <v>80.66</v>
      </c>
      <c r="BT29" s="191">
        <v>93.99</v>
      </c>
      <c r="BU29" s="191">
        <v>107.25</v>
      </c>
      <c r="BV29" s="191">
        <v>121.61</v>
      </c>
      <c r="BW29" s="191">
        <v>136.9</v>
      </c>
      <c r="BX29" s="191">
        <v>152.6</v>
      </c>
      <c r="BY29" s="191">
        <v>168.28</v>
      </c>
      <c r="BZ29" s="191">
        <v>183.74</v>
      </c>
      <c r="CA29" s="191">
        <v>198.22</v>
      </c>
      <c r="CB29" s="191">
        <v>211.08</v>
      </c>
      <c r="CC29" s="191">
        <v>227.79</v>
      </c>
      <c r="CD29" s="191">
        <v>245.59</v>
      </c>
      <c r="CE29" s="191">
        <v>264.95</v>
      </c>
      <c r="CF29" s="191">
        <v>285.45999999999998</v>
      </c>
      <c r="CG29" s="191">
        <v>306.7</v>
      </c>
      <c r="CH29" s="191">
        <v>328.25</v>
      </c>
      <c r="CI29" s="191">
        <v>350.02</v>
      </c>
      <c r="CJ29" s="191">
        <v>371.65</v>
      </c>
      <c r="CK29" s="191">
        <v>392.79</v>
      </c>
      <c r="CL29" s="191">
        <v>413.05</v>
      </c>
      <c r="CM29" s="191">
        <v>432.08</v>
      </c>
      <c r="CN29" s="191">
        <v>449.51</v>
      </c>
      <c r="CO29" s="191">
        <v>464.98</v>
      </c>
      <c r="CP29" s="191">
        <v>478.12</v>
      </c>
      <c r="CQ29" s="191">
        <v>488.57</v>
      </c>
      <c r="CR29" s="191">
        <v>495.95</v>
      </c>
      <c r="CS29" s="191">
        <v>500</v>
      </c>
      <c r="CT29" s="191">
        <v>500</v>
      </c>
      <c r="CU29" s="191">
        <v>500</v>
      </c>
      <c r="CV29" s="191">
        <v>500</v>
      </c>
      <c r="CW29" s="191">
        <v>500</v>
      </c>
    </row>
    <row r="30" spans="1:101" s="53" customFormat="1" x14ac:dyDescent="0.25">
      <c r="A30" s="192">
        <f t="shared" si="2"/>
        <v>19</v>
      </c>
      <c r="B30" s="191">
        <v>0.69</v>
      </c>
      <c r="C30" s="191">
        <v>0.72</v>
      </c>
      <c r="D30" s="191">
        <v>0.74</v>
      </c>
      <c r="E30" s="191">
        <v>0.77</v>
      </c>
      <c r="F30" s="191">
        <v>0.75</v>
      </c>
      <c r="G30" s="191">
        <v>0.72</v>
      </c>
      <c r="H30" s="191">
        <v>0.71</v>
      </c>
      <c r="I30" s="191">
        <v>0.71</v>
      </c>
      <c r="J30" s="191">
        <v>0.61</v>
      </c>
      <c r="K30" s="191">
        <v>0.57999999999999996</v>
      </c>
      <c r="L30" s="191">
        <v>0.52</v>
      </c>
      <c r="M30" s="191">
        <v>0.48</v>
      </c>
      <c r="N30" s="191">
        <v>0.46</v>
      </c>
      <c r="O30" s="191">
        <v>0.48</v>
      </c>
      <c r="P30" s="191">
        <v>0.5</v>
      </c>
      <c r="Q30" s="191">
        <v>0.56999999999999995</v>
      </c>
      <c r="R30" s="191">
        <v>0.65</v>
      </c>
      <c r="S30" s="191">
        <v>0.76</v>
      </c>
      <c r="T30" s="191">
        <v>0.88</v>
      </c>
      <c r="U30" s="191">
        <v>0.91</v>
      </c>
      <c r="V30" s="191">
        <v>0.93</v>
      </c>
      <c r="W30" s="191">
        <v>0.96</v>
      </c>
      <c r="X30" s="191">
        <v>0.99</v>
      </c>
      <c r="Y30" s="191">
        <v>1.02</v>
      </c>
      <c r="Z30" s="191">
        <v>1.06</v>
      </c>
      <c r="AA30" s="191">
        <v>1.08</v>
      </c>
      <c r="AB30" s="191">
        <v>1.1000000000000001</v>
      </c>
      <c r="AC30" s="191">
        <v>1.1200000000000001</v>
      </c>
      <c r="AD30" s="191">
        <v>1.18</v>
      </c>
      <c r="AE30" s="191">
        <v>1.26</v>
      </c>
      <c r="AF30" s="191">
        <v>1.34</v>
      </c>
      <c r="AG30" s="191">
        <v>1.44</v>
      </c>
      <c r="AH30" s="191">
        <v>1.56</v>
      </c>
      <c r="AI30" s="191">
        <v>1.67</v>
      </c>
      <c r="AJ30" s="191">
        <v>1.8</v>
      </c>
      <c r="AK30" s="191">
        <v>1.94</v>
      </c>
      <c r="AL30" s="191">
        <v>2.1</v>
      </c>
      <c r="AM30" s="191">
        <v>2.31</v>
      </c>
      <c r="AN30" s="191">
        <v>2.57</v>
      </c>
      <c r="AO30" s="191">
        <v>2.88</v>
      </c>
      <c r="AP30" s="191">
        <v>3.24</v>
      </c>
      <c r="AQ30" s="191">
        <v>3.64</v>
      </c>
      <c r="AR30" s="191">
        <v>4.0599999999999996</v>
      </c>
      <c r="AS30" s="191">
        <v>4.4800000000000004</v>
      </c>
      <c r="AT30" s="191">
        <v>4.8499999999999996</v>
      </c>
      <c r="AU30" s="191">
        <v>5.25</v>
      </c>
      <c r="AV30" s="191">
        <v>5.71</v>
      </c>
      <c r="AW30" s="191">
        <v>6.19</v>
      </c>
      <c r="AX30" s="191">
        <v>6.77</v>
      </c>
      <c r="AY30" s="191">
        <v>7.42</v>
      </c>
      <c r="AZ30" s="191">
        <v>8.17</v>
      </c>
      <c r="BA30" s="191">
        <v>9.07</v>
      </c>
      <c r="BB30" s="191">
        <v>10.16</v>
      </c>
      <c r="BC30" s="191">
        <v>11.45</v>
      </c>
      <c r="BD30" s="191">
        <v>13.04</v>
      </c>
      <c r="BE30" s="191">
        <v>14.84</v>
      </c>
      <c r="BF30" s="191">
        <v>17</v>
      </c>
      <c r="BG30" s="191">
        <v>19.309999999999999</v>
      </c>
      <c r="BH30" s="191">
        <v>22.04</v>
      </c>
      <c r="BI30" s="191">
        <v>24.93</v>
      </c>
      <c r="BJ30" s="191">
        <v>28.42</v>
      </c>
      <c r="BK30" s="191">
        <v>32.229999999999997</v>
      </c>
      <c r="BL30" s="191">
        <v>36.89</v>
      </c>
      <c r="BM30" s="191">
        <v>41.57</v>
      </c>
      <c r="BN30" s="191">
        <v>47.99</v>
      </c>
      <c r="BO30" s="191">
        <v>54.53</v>
      </c>
      <c r="BP30" s="191">
        <v>63.22</v>
      </c>
      <c r="BQ30" s="191">
        <v>72.040000000000006</v>
      </c>
      <c r="BR30" s="191">
        <v>82.26</v>
      </c>
      <c r="BS30" s="191">
        <v>93.99</v>
      </c>
      <c r="BT30" s="191">
        <v>107.25</v>
      </c>
      <c r="BU30" s="191">
        <v>121.61</v>
      </c>
      <c r="BV30" s="191">
        <v>136.9</v>
      </c>
      <c r="BW30" s="191">
        <v>152.6</v>
      </c>
      <c r="BX30" s="191">
        <v>168.28</v>
      </c>
      <c r="BY30" s="191">
        <v>183.74</v>
      </c>
      <c r="BZ30" s="191">
        <v>198.22</v>
      </c>
      <c r="CA30" s="191">
        <v>211.08</v>
      </c>
      <c r="CB30" s="191">
        <v>227.79</v>
      </c>
      <c r="CC30" s="191">
        <v>245.59</v>
      </c>
      <c r="CD30" s="191">
        <v>264.95</v>
      </c>
      <c r="CE30" s="191">
        <v>285.45999999999998</v>
      </c>
      <c r="CF30" s="191">
        <v>306.7</v>
      </c>
      <c r="CG30" s="191">
        <v>328.25</v>
      </c>
      <c r="CH30" s="191">
        <v>350.02</v>
      </c>
      <c r="CI30" s="191">
        <v>371.65</v>
      </c>
      <c r="CJ30" s="191">
        <v>392.79</v>
      </c>
      <c r="CK30" s="191">
        <v>413.05</v>
      </c>
      <c r="CL30" s="191">
        <v>432.08</v>
      </c>
      <c r="CM30" s="191">
        <v>449.51</v>
      </c>
      <c r="CN30" s="191">
        <v>464.98</v>
      </c>
      <c r="CO30" s="191">
        <v>478.12</v>
      </c>
      <c r="CP30" s="191">
        <v>488.57</v>
      </c>
      <c r="CQ30" s="191">
        <v>495.95</v>
      </c>
      <c r="CR30" s="191">
        <v>500</v>
      </c>
      <c r="CS30" s="191">
        <v>500</v>
      </c>
      <c r="CT30" s="191">
        <v>500</v>
      </c>
      <c r="CU30" s="191">
        <v>500</v>
      </c>
      <c r="CV30" s="191">
        <v>500</v>
      </c>
      <c r="CW30" s="191">
        <v>500</v>
      </c>
    </row>
    <row r="31" spans="1:101" s="53" customFormat="1" x14ac:dyDescent="0.25">
      <c r="A31" s="192">
        <f t="shared" si="2"/>
        <v>20</v>
      </c>
      <c r="B31" s="191">
        <v>0.72</v>
      </c>
      <c r="C31" s="191">
        <v>0.74</v>
      </c>
      <c r="D31" s="191">
        <v>0.77</v>
      </c>
      <c r="E31" s="191">
        <v>0.75</v>
      </c>
      <c r="F31" s="191">
        <v>0.72</v>
      </c>
      <c r="G31" s="191">
        <v>0.71</v>
      </c>
      <c r="H31" s="191">
        <v>0.71</v>
      </c>
      <c r="I31" s="191">
        <v>0.61</v>
      </c>
      <c r="J31" s="191">
        <v>0.57999999999999996</v>
      </c>
      <c r="K31" s="191">
        <v>0.52</v>
      </c>
      <c r="L31" s="191">
        <v>0.48</v>
      </c>
      <c r="M31" s="191">
        <v>0.46</v>
      </c>
      <c r="N31" s="191">
        <v>0.48</v>
      </c>
      <c r="O31" s="191">
        <v>0.5</v>
      </c>
      <c r="P31" s="191">
        <v>0.56999999999999995</v>
      </c>
      <c r="Q31" s="191">
        <v>0.65</v>
      </c>
      <c r="R31" s="191">
        <v>0.76</v>
      </c>
      <c r="S31" s="191">
        <v>0.88</v>
      </c>
      <c r="T31" s="191">
        <v>1</v>
      </c>
      <c r="U31" s="191">
        <v>1.02</v>
      </c>
      <c r="V31" s="191">
        <v>1.05</v>
      </c>
      <c r="W31" s="191">
        <v>1.08</v>
      </c>
      <c r="X31" s="191">
        <v>1.1000000000000001</v>
      </c>
      <c r="Y31" s="191">
        <v>1.1200000000000001</v>
      </c>
      <c r="Z31" s="191">
        <v>1.1200000000000001</v>
      </c>
      <c r="AA31" s="191">
        <v>1.1200000000000001</v>
      </c>
      <c r="AB31" s="191">
        <v>1.1299999999999999</v>
      </c>
      <c r="AC31" s="191">
        <v>1.18</v>
      </c>
      <c r="AD31" s="191">
        <v>1.26</v>
      </c>
      <c r="AE31" s="191">
        <v>1.36</v>
      </c>
      <c r="AF31" s="191">
        <v>1.47</v>
      </c>
      <c r="AG31" s="191">
        <v>1.6</v>
      </c>
      <c r="AH31" s="191">
        <v>1.73</v>
      </c>
      <c r="AI31" s="191">
        <v>1.87</v>
      </c>
      <c r="AJ31" s="191">
        <v>2.02</v>
      </c>
      <c r="AK31" s="191">
        <v>2.2000000000000002</v>
      </c>
      <c r="AL31" s="191">
        <v>2.41</v>
      </c>
      <c r="AM31" s="191">
        <v>2.66</v>
      </c>
      <c r="AN31" s="191">
        <v>2.97</v>
      </c>
      <c r="AO31" s="191">
        <v>3.31</v>
      </c>
      <c r="AP31" s="191">
        <v>3.69</v>
      </c>
      <c r="AQ31" s="191">
        <v>4.08</v>
      </c>
      <c r="AR31" s="191">
        <v>4.4800000000000004</v>
      </c>
      <c r="AS31" s="191">
        <v>4.8600000000000003</v>
      </c>
      <c r="AT31" s="191">
        <v>5.25</v>
      </c>
      <c r="AU31" s="191">
        <v>5.72</v>
      </c>
      <c r="AV31" s="191">
        <v>6.23</v>
      </c>
      <c r="AW31" s="191">
        <v>6.81</v>
      </c>
      <c r="AX31" s="191">
        <v>7.55</v>
      </c>
      <c r="AY31" s="191">
        <v>8.39</v>
      </c>
      <c r="AZ31" s="191">
        <v>9.36</v>
      </c>
      <c r="BA31" s="191">
        <v>10.46</v>
      </c>
      <c r="BB31" s="191">
        <v>11.77</v>
      </c>
      <c r="BC31" s="191">
        <v>13.22</v>
      </c>
      <c r="BD31" s="191">
        <v>14.98</v>
      </c>
      <c r="BE31" s="191">
        <v>17.079999999999998</v>
      </c>
      <c r="BF31" s="191">
        <v>19.48</v>
      </c>
      <c r="BG31" s="191">
        <v>22.16</v>
      </c>
      <c r="BH31" s="191">
        <v>25.22</v>
      </c>
      <c r="BI31" s="191">
        <v>28.46</v>
      </c>
      <c r="BJ31" s="191">
        <v>32.71</v>
      </c>
      <c r="BK31" s="191">
        <v>37.1</v>
      </c>
      <c r="BL31" s="191">
        <v>42.62</v>
      </c>
      <c r="BM31" s="191">
        <v>48.05</v>
      </c>
      <c r="BN31" s="191">
        <v>55.63</v>
      </c>
      <c r="BO31" s="191">
        <v>63.22</v>
      </c>
      <c r="BP31" s="191">
        <v>72.040000000000006</v>
      </c>
      <c r="BQ31" s="191">
        <v>82.26</v>
      </c>
      <c r="BR31" s="191">
        <v>93.99</v>
      </c>
      <c r="BS31" s="191">
        <v>107.25</v>
      </c>
      <c r="BT31" s="191">
        <v>121.61</v>
      </c>
      <c r="BU31" s="191">
        <v>136.9</v>
      </c>
      <c r="BV31" s="191">
        <v>152.6</v>
      </c>
      <c r="BW31" s="191">
        <v>168.28</v>
      </c>
      <c r="BX31" s="191">
        <v>183.74</v>
      </c>
      <c r="BY31" s="191">
        <v>198.22</v>
      </c>
      <c r="BZ31" s="191">
        <v>211.08</v>
      </c>
      <c r="CA31" s="191">
        <v>227.79</v>
      </c>
      <c r="CB31" s="191">
        <v>245.59</v>
      </c>
      <c r="CC31" s="191">
        <v>264.95</v>
      </c>
      <c r="CD31" s="191">
        <v>285.45999999999998</v>
      </c>
      <c r="CE31" s="191">
        <v>306.7</v>
      </c>
      <c r="CF31" s="191">
        <v>328.25</v>
      </c>
      <c r="CG31" s="191">
        <v>350.02</v>
      </c>
      <c r="CH31" s="191">
        <v>371.65</v>
      </c>
      <c r="CI31" s="191">
        <v>392.79</v>
      </c>
      <c r="CJ31" s="191">
        <v>413.05</v>
      </c>
      <c r="CK31" s="191">
        <v>432.08</v>
      </c>
      <c r="CL31" s="191">
        <v>449.51</v>
      </c>
      <c r="CM31" s="191">
        <v>464.98</v>
      </c>
      <c r="CN31" s="191">
        <v>478.12</v>
      </c>
      <c r="CO31" s="191">
        <v>488.57</v>
      </c>
      <c r="CP31" s="191">
        <v>495.95</v>
      </c>
      <c r="CQ31" s="191">
        <v>500</v>
      </c>
      <c r="CR31" s="191">
        <v>500</v>
      </c>
      <c r="CS31" s="191">
        <v>500</v>
      </c>
      <c r="CT31" s="191">
        <v>500</v>
      </c>
      <c r="CU31" s="191">
        <v>500</v>
      </c>
      <c r="CV31" s="191">
        <v>500</v>
      </c>
      <c r="CW31" s="191">
        <v>500</v>
      </c>
    </row>
    <row r="32" spans="1:101" s="53" customFormat="1" x14ac:dyDescent="0.25">
      <c r="A32" s="192">
        <f t="shared" si="2"/>
        <v>21</v>
      </c>
      <c r="B32" s="191">
        <v>0.74</v>
      </c>
      <c r="C32" s="191">
        <v>0.77</v>
      </c>
      <c r="D32" s="191">
        <v>0.75</v>
      </c>
      <c r="E32" s="191">
        <v>0.72</v>
      </c>
      <c r="F32" s="191">
        <v>0.71</v>
      </c>
      <c r="G32" s="191">
        <v>0.71</v>
      </c>
      <c r="H32" s="191">
        <v>0.61</v>
      </c>
      <c r="I32" s="191">
        <v>0.57999999999999996</v>
      </c>
      <c r="J32" s="191">
        <v>0.52</v>
      </c>
      <c r="K32" s="191">
        <v>0.48</v>
      </c>
      <c r="L32" s="191">
        <v>0.46</v>
      </c>
      <c r="M32" s="191">
        <v>0.48</v>
      </c>
      <c r="N32" s="191">
        <v>0.5</v>
      </c>
      <c r="O32" s="191">
        <v>0.56999999999999995</v>
      </c>
      <c r="P32" s="191">
        <v>0.65</v>
      </c>
      <c r="Q32" s="191">
        <v>0.76</v>
      </c>
      <c r="R32" s="191">
        <v>0.88</v>
      </c>
      <c r="S32" s="191">
        <v>1</v>
      </c>
      <c r="T32" s="191">
        <v>1.1000000000000001</v>
      </c>
      <c r="U32" s="191">
        <v>1.1299999999999999</v>
      </c>
      <c r="V32" s="191">
        <v>1.1599999999999999</v>
      </c>
      <c r="W32" s="191">
        <v>1.1599999999999999</v>
      </c>
      <c r="X32" s="191">
        <v>1.17</v>
      </c>
      <c r="Y32" s="191">
        <v>1.18</v>
      </c>
      <c r="Z32" s="191">
        <v>1.18</v>
      </c>
      <c r="AA32" s="191">
        <v>1.19</v>
      </c>
      <c r="AB32" s="191">
        <v>1.2</v>
      </c>
      <c r="AC32" s="191">
        <v>1.28</v>
      </c>
      <c r="AD32" s="191">
        <v>1.39</v>
      </c>
      <c r="AE32" s="191">
        <v>1.51</v>
      </c>
      <c r="AF32" s="191">
        <v>1.65</v>
      </c>
      <c r="AG32" s="191">
        <v>1.79</v>
      </c>
      <c r="AH32" s="191">
        <v>1.95</v>
      </c>
      <c r="AI32" s="191">
        <v>2.11</v>
      </c>
      <c r="AJ32" s="191">
        <v>2.2999999999999998</v>
      </c>
      <c r="AK32" s="191">
        <v>2.5099999999999998</v>
      </c>
      <c r="AL32" s="191">
        <v>2.76</v>
      </c>
      <c r="AM32" s="191">
        <v>3.05</v>
      </c>
      <c r="AN32" s="191">
        <v>3.37</v>
      </c>
      <c r="AO32" s="191">
        <v>3.72</v>
      </c>
      <c r="AP32" s="191">
        <v>4.08</v>
      </c>
      <c r="AQ32" s="191">
        <v>4.4800000000000004</v>
      </c>
      <c r="AR32" s="191">
        <v>4.8600000000000003</v>
      </c>
      <c r="AS32" s="191">
        <v>5.27</v>
      </c>
      <c r="AT32" s="191">
        <v>5.73</v>
      </c>
      <c r="AU32" s="191">
        <v>6.27</v>
      </c>
      <c r="AV32" s="191">
        <v>6.94</v>
      </c>
      <c r="AW32" s="191">
        <v>7.74</v>
      </c>
      <c r="AX32" s="191">
        <v>8.6999999999999993</v>
      </c>
      <c r="AY32" s="191">
        <v>9.77</v>
      </c>
      <c r="AZ32" s="191">
        <v>10.95</v>
      </c>
      <c r="BA32" s="191">
        <v>12.18</v>
      </c>
      <c r="BB32" s="191">
        <v>13.65</v>
      </c>
      <c r="BC32" s="191">
        <v>15.25</v>
      </c>
      <c r="BD32" s="191">
        <v>17.16</v>
      </c>
      <c r="BE32" s="191">
        <v>19.53</v>
      </c>
      <c r="BF32" s="191">
        <v>22.41</v>
      </c>
      <c r="BG32" s="191">
        <v>25.38</v>
      </c>
      <c r="BH32" s="191">
        <v>29.15</v>
      </c>
      <c r="BI32" s="191">
        <v>32.83</v>
      </c>
      <c r="BJ32" s="191">
        <v>37.76</v>
      </c>
      <c r="BK32" s="191">
        <v>42.81</v>
      </c>
      <c r="BL32" s="191">
        <v>49.07</v>
      </c>
      <c r="BM32" s="191">
        <v>55.63</v>
      </c>
      <c r="BN32" s="191">
        <v>63.22</v>
      </c>
      <c r="BO32" s="191">
        <v>72.040000000000006</v>
      </c>
      <c r="BP32" s="191">
        <v>82.26</v>
      </c>
      <c r="BQ32" s="191">
        <v>93.99</v>
      </c>
      <c r="BR32" s="191">
        <v>107.25</v>
      </c>
      <c r="BS32" s="191">
        <v>121.61</v>
      </c>
      <c r="BT32" s="191">
        <v>136.9</v>
      </c>
      <c r="BU32" s="191">
        <v>152.6</v>
      </c>
      <c r="BV32" s="191">
        <v>168.28</v>
      </c>
      <c r="BW32" s="191">
        <v>183.74</v>
      </c>
      <c r="BX32" s="191">
        <v>198.22</v>
      </c>
      <c r="BY32" s="191">
        <v>211.08</v>
      </c>
      <c r="BZ32" s="191">
        <v>227.79</v>
      </c>
      <c r="CA32" s="191">
        <v>245.59</v>
      </c>
      <c r="CB32" s="191">
        <v>264.95</v>
      </c>
      <c r="CC32" s="191">
        <v>285.45999999999998</v>
      </c>
      <c r="CD32" s="191">
        <v>306.7</v>
      </c>
      <c r="CE32" s="191">
        <v>328.25</v>
      </c>
      <c r="CF32" s="191">
        <v>350.02</v>
      </c>
      <c r="CG32" s="191">
        <v>371.65</v>
      </c>
      <c r="CH32" s="191">
        <v>392.79</v>
      </c>
      <c r="CI32" s="191">
        <v>413.05</v>
      </c>
      <c r="CJ32" s="191">
        <v>432.08</v>
      </c>
      <c r="CK32" s="191">
        <v>449.51</v>
      </c>
      <c r="CL32" s="191">
        <v>464.98</v>
      </c>
      <c r="CM32" s="191">
        <v>478.12</v>
      </c>
      <c r="CN32" s="191">
        <v>488.57</v>
      </c>
      <c r="CO32" s="191">
        <v>495.95</v>
      </c>
      <c r="CP32" s="191">
        <v>500</v>
      </c>
      <c r="CQ32" s="191">
        <v>500</v>
      </c>
      <c r="CR32" s="191">
        <v>500</v>
      </c>
      <c r="CS32" s="191">
        <v>500</v>
      </c>
      <c r="CT32" s="191">
        <v>500</v>
      </c>
      <c r="CU32" s="191">
        <v>500</v>
      </c>
      <c r="CV32" s="191">
        <v>500</v>
      </c>
      <c r="CW32" s="191">
        <v>500</v>
      </c>
    </row>
    <row r="33" spans="1:101" s="53" customFormat="1" x14ac:dyDescent="0.25">
      <c r="A33" s="192">
        <f t="shared" si="2"/>
        <v>22</v>
      </c>
      <c r="B33" s="191">
        <v>0.77</v>
      </c>
      <c r="C33" s="191">
        <v>0.75</v>
      </c>
      <c r="D33" s="191">
        <v>0.72</v>
      </c>
      <c r="E33" s="191">
        <v>0.71</v>
      </c>
      <c r="F33" s="191">
        <v>0.71</v>
      </c>
      <c r="G33" s="191">
        <v>0.61</v>
      </c>
      <c r="H33" s="191">
        <v>0.57999999999999996</v>
      </c>
      <c r="I33" s="191">
        <v>0.52</v>
      </c>
      <c r="J33" s="191">
        <v>0.48</v>
      </c>
      <c r="K33" s="191">
        <v>0.46</v>
      </c>
      <c r="L33" s="191">
        <v>0.48</v>
      </c>
      <c r="M33" s="191">
        <v>0.5</v>
      </c>
      <c r="N33" s="191">
        <v>0.56999999999999995</v>
      </c>
      <c r="O33" s="191">
        <v>0.65</v>
      </c>
      <c r="P33" s="191">
        <v>0.76</v>
      </c>
      <c r="Q33" s="191">
        <v>0.88</v>
      </c>
      <c r="R33" s="191">
        <v>1</v>
      </c>
      <c r="S33" s="191">
        <v>1.1000000000000001</v>
      </c>
      <c r="T33" s="191">
        <v>1.1599999999999999</v>
      </c>
      <c r="U33" s="191">
        <v>1.19</v>
      </c>
      <c r="V33" s="191">
        <v>1.22</v>
      </c>
      <c r="W33" s="191">
        <v>1.22</v>
      </c>
      <c r="X33" s="191">
        <v>1.23</v>
      </c>
      <c r="Y33" s="191">
        <v>1.23</v>
      </c>
      <c r="Z33" s="191">
        <v>1.23</v>
      </c>
      <c r="AA33" s="191">
        <v>1.24</v>
      </c>
      <c r="AB33" s="191">
        <v>1.32</v>
      </c>
      <c r="AC33" s="191">
        <v>1.43</v>
      </c>
      <c r="AD33" s="191">
        <v>1.56</v>
      </c>
      <c r="AE33" s="191">
        <v>1.7</v>
      </c>
      <c r="AF33" s="191">
        <v>1.86</v>
      </c>
      <c r="AG33" s="191">
        <v>2.0299999999999998</v>
      </c>
      <c r="AH33" s="191">
        <v>2.21</v>
      </c>
      <c r="AI33" s="191">
        <v>2.4</v>
      </c>
      <c r="AJ33" s="191">
        <v>2.62</v>
      </c>
      <c r="AK33" s="191">
        <v>2.86</v>
      </c>
      <c r="AL33" s="191">
        <v>3.13</v>
      </c>
      <c r="AM33" s="191">
        <v>3.42</v>
      </c>
      <c r="AN33" s="191">
        <v>3.75</v>
      </c>
      <c r="AO33" s="191">
        <v>4.08</v>
      </c>
      <c r="AP33" s="191">
        <v>4.4800000000000004</v>
      </c>
      <c r="AQ33" s="191">
        <v>4.87</v>
      </c>
      <c r="AR33" s="191">
        <v>5.31</v>
      </c>
      <c r="AS33" s="191">
        <v>5.82</v>
      </c>
      <c r="AT33" s="191">
        <v>6.42</v>
      </c>
      <c r="AU33" s="191">
        <v>7.15</v>
      </c>
      <c r="AV33" s="191">
        <v>8.01</v>
      </c>
      <c r="AW33" s="191">
        <v>9</v>
      </c>
      <c r="AX33" s="191">
        <v>10.130000000000001</v>
      </c>
      <c r="AY33" s="191">
        <v>11.36</v>
      </c>
      <c r="AZ33" s="191">
        <v>12.63</v>
      </c>
      <c r="BA33" s="191">
        <v>13.98</v>
      </c>
      <c r="BB33" s="191">
        <v>15.58</v>
      </c>
      <c r="BC33" s="191">
        <v>17.440000000000001</v>
      </c>
      <c r="BD33" s="191">
        <v>19.84</v>
      </c>
      <c r="BE33" s="191">
        <v>22.63</v>
      </c>
      <c r="BF33" s="191">
        <v>25.85</v>
      </c>
      <c r="BG33" s="191">
        <v>29.19</v>
      </c>
      <c r="BH33" s="191">
        <v>33.61</v>
      </c>
      <c r="BI33" s="191">
        <v>37.9</v>
      </c>
      <c r="BJ33" s="191">
        <v>43.36</v>
      </c>
      <c r="BK33" s="191">
        <v>49.07</v>
      </c>
      <c r="BL33" s="191">
        <v>55.63</v>
      </c>
      <c r="BM33" s="191">
        <v>63.22</v>
      </c>
      <c r="BN33" s="191">
        <v>72.040000000000006</v>
      </c>
      <c r="BO33" s="191">
        <v>82.26</v>
      </c>
      <c r="BP33" s="191">
        <v>93.99</v>
      </c>
      <c r="BQ33" s="191">
        <v>107.25</v>
      </c>
      <c r="BR33" s="191">
        <v>121.61</v>
      </c>
      <c r="BS33" s="191">
        <v>136.9</v>
      </c>
      <c r="BT33" s="191">
        <v>152.6</v>
      </c>
      <c r="BU33" s="191">
        <v>168.28</v>
      </c>
      <c r="BV33" s="191">
        <v>183.74</v>
      </c>
      <c r="BW33" s="191">
        <v>198.22</v>
      </c>
      <c r="BX33" s="191">
        <v>211.08</v>
      </c>
      <c r="BY33" s="191">
        <v>227.79</v>
      </c>
      <c r="BZ33" s="191">
        <v>245.59</v>
      </c>
      <c r="CA33" s="191">
        <v>264.95</v>
      </c>
      <c r="CB33" s="191">
        <v>285.45999999999998</v>
      </c>
      <c r="CC33" s="191">
        <v>306.7</v>
      </c>
      <c r="CD33" s="191">
        <v>328.25</v>
      </c>
      <c r="CE33" s="191">
        <v>350.02</v>
      </c>
      <c r="CF33" s="191">
        <v>371.65</v>
      </c>
      <c r="CG33" s="191">
        <v>392.79</v>
      </c>
      <c r="CH33" s="191">
        <v>413.05</v>
      </c>
      <c r="CI33" s="191">
        <v>432.08</v>
      </c>
      <c r="CJ33" s="191">
        <v>449.51</v>
      </c>
      <c r="CK33" s="191">
        <v>464.98</v>
      </c>
      <c r="CL33" s="191">
        <v>478.12</v>
      </c>
      <c r="CM33" s="191">
        <v>488.57</v>
      </c>
      <c r="CN33" s="191">
        <v>495.95</v>
      </c>
      <c r="CO33" s="191">
        <v>500</v>
      </c>
      <c r="CP33" s="191">
        <v>500</v>
      </c>
      <c r="CQ33" s="191">
        <v>500</v>
      </c>
      <c r="CR33" s="191">
        <v>500</v>
      </c>
      <c r="CS33" s="191">
        <v>500</v>
      </c>
      <c r="CT33" s="191">
        <v>500</v>
      </c>
      <c r="CU33" s="191">
        <v>500</v>
      </c>
      <c r="CV33" s="191">
        <v>500</v>
      </c>
      <c r="CW33" s="191">
        <v>500</v>
      </c>
    </row>
    <row r="34" spans="1:101" s="53" customFormat="1" x14ac:dyDescent="0.25">
      <c r="A34" s="192">
        <f t="shared" si="2"/>
        <v>23</v>
      </c>
      <c r="B34" s="191">
        <v>0.75</v>
      </c>
      <c r="C34" s="191">
        <v>0.72</v>
      </c>
      <c r="D34" s="191">
        <v>0.71</v>
      </c>
      <c r="E34" s="191">
        <v>0.71</v>
      </c>
      <c r="F34" s="191">
        <v>0.61</v>
      </c>
      <c r="G34" s="191">
        <v>0.57999999999999996</v>
      </c>
      <c r="H34" s="191">
        <v>0.52</v>
      </c>
      <c r="I34" s="191">
        <v>0.48</v>
      </c>
      <c r="J34" s="191">
        <v>0.46</v>
      </c>
      <c r="K34" s="191">
        <v>0.48</v>
      </c>
      <c r="L34" s="191">
        <v>0.5</v>
      </c>
      <c r="M34" s="191">
        <v>0.56999999999999995</v>
      </c>
      <c r="N34" s="191">
        <v>0.65</v>
      </c>
      <c r="O34" s="191">
        <v>0.76</v>
      </c>
      <c r="P34" s="191">
        <v>0.88</v>
      </c>
      <c r="Q34" s="191">
        <v>1</v>
      </c>
      <c r="R34" s="191">
        <v>1.1000000000000001</v>
      </c>
      <c r="S34" s="191">
        <v>1.1599999999999999</v>
      </c>
      <c r="T34" s="191">
        <v>1.21</v>
      </c>
      <c r="U34" s="191">
        <v>1.26</v>
      </c>
      <c r="V34" s="191">
        <v>1.28</v>
      </c>
      <c r="W34" s="191">
        <v>1.3</v>
      </c>
      <c r="X34" s="191">
        <v>1.3</v>
      </c>
      <c r="Y34" s="191">
        <v>1.3</v>
      </c>
      <c r="Z34" s="191">
        <v>1.31</v>
      </c>
      <c r="AA34" s="191">
        <v>1.38</v>
      </c>
      <c r="AB34" s="191">
        <v>1.49</v>
      </c>
      <c r="AC34" s="191">
        <v>1.61</v>
      </c>
      <c r="AD34" s="191">
        <v>1.76</v>
      </c>
      <c r="AE34" s="191">
        <v>1.92</v>
      </c>
      <c r="AF34" s="191">
        <v>2.09</v>
      </c>
      <c r="AG34" s="191">
        <v>2.2799999999999998</v>
      </c>
      <c r="AH34" s="191">
        <v>2.4900000000000002</v>
      </c>
      <c r="AI34" s="191">
        <v>2.71</v>
      </c>
      <c r="AJ34" s="191">
        <v>2.94</v>
      </c>
      <c r="AK34" s="191">
        <v>3.19</v>
      </c>
      <c r="AL34" s="191">
        <v>3.46</v>
      </c>
      <c r="AM34" s="191">
        <v>3.75</v>
      </c>
      <c r="AN34" s="191">
        <v>4.08</v>
      </c>
      <c r="AO34" s="191">
        <v>4.4800000000000004</v>
      </c>
      <c r="AP34" s="191">
        <v>4.88</v>
      </c>
      <c r="AQ34" s="191">
        <v>5.37</v>
      </c>
      <c r="AR34" s="191">
        <v>5.91</v>
      </c>
      <c r="AS34" s="191">
        <v>6.53</v>
      </c>
      <c r="AT34" s="191">
        <v>7.25</v>
      </c>
      <c r="AU34" s="191">
        <v>8.11</v>
      </c>
      <c r="AV34" s="191">
        <v>9.06</v>
      </c>
      <c r="AW34" s="191">
        <v>10.15</v>
      </c>
      <c r="AX34" s="191">
        <v>11.4</v>
      </c>
      <c r="AY34" s="191">
        <v>12.8</v>
      </c>
      <c r="AZ34" s="191">
        <v>14.33</v>
      </c>
      <c r="BA34" s="191">
        <v>15.96</v>
      </c>
      <c r="BB34" s="191">
        <v>17.78</v>
      </c>
      <c r="BC34" s="191">
        <v>19.95</v>
      </c>
      <c r="BD34" s="191">
        <v>22.88</v>
      </c>
      <c r="BE34" s="191">
        <v>26.01</v>
      </c>
      <c r="BF34" s="191">
        <v>29.66</v>
      </c>
      <c r="BG34" s="191">
        <v>33.76</v>
      </c>
      <c r="BH34" s="191">
        <v>38.26</v>
      </c>
      <c r="BI34" s="191">
        <v>43.36</v>
      </c>
      <c r="BJ34" s="191">
        <v>49.07</v>
      </c>
      <c r="BK34" s="191">
        <v>55.63</v>
      </c>
      <c r="BL34" s="191">
        <v>63.22</v>
      </c>
      <c r="BM34" s="191">
        <v>72.040000000000006</v>
      </c>
      <c r="BN34" s="191">
        <v>82.26</v>
      </c>
      <c r="BO34" s="191">
        <v>93.99</v>
      </c>
      <c r="BP34" s="191">
        <v>107.25</v>
      </c>
      <c r="BQ34" s="191">
        <v>121.61</v>
      </c>
      <c r="BR34" s="191">
        <v>136.9</v>
      </c>
      <c r="BS34" s="191">
        <v>152.6</v>
      </c>
      <c r="BT34" s="191">
        <v>168.28</v>
      </c>
      <c r="BU34" s="191">
        <v>183.74</v>
      </c>
      <c r="BV34" s="191">
        <v>198.22</v>
      </c>
      <c r="BW34" s="191">
        <v>211.08</v>
      </c>
      <c r="BX34" s="191">
        <v>227.79</v>
      </c>
      <c r="BY34" s="191">
        <v>245.59</v>
      </c>
      <c r="BZ34" s="191">
        <v>264.95</v>
      </c>
      <c r="CA34" s="191">
        <v>285.45999999999998</v>
      </c>
      <c r="CB34" s="191">
        <v>306.7</v>
      </c>
      <c r="CC34" s="191">
        <v>328.25</v>
      </c>
      <c r="CD34" s="191">
        <v>350.02</v>
      </c>
      <c r="CE34" s="191">
        <v>371.65</v>
      </c>
      <c r="CF34" s="191">
        <v>392.79</v>
      </c>
      <c r="CG34" s="191">
        <v>413.05</v>
      </c>
      <c r="CH34" s="191">
        <v>432.08</v>
      </c>
      <c r="CI34" s="191">
        <v>449.51</v>
      </c>
      <c r="CJ34" s="191">
        <v>464.98</v>
      </c>
      <c r="CK34" s="191">
        <v>478.12</v>
      </c>
      <c r="CL34" s="191">
        <v>488.57</v>
      </c>
      <c r="CM34" s="191">
        <v>495.95</v>
      </c>
      <c r="CN34" s="191">
        <v>500</v>
      </c>
      <c r="CO34" s="191">
        <v>500</v>
      </c>
      <c r="CP34" s="191">
        <v>500</v>
      </c>
      <c r="CQ34" s="191">
        <v>500</v>
      </c>
      <c r="CR34" s="191">
        <v>500</v>
      </c>
      <c r="CS34" s="191">
        <v>500</v>
      </c>
      <c r="CT34" s="191">
        <v>500</v>
      </c>
      <c r="CU34" s="191">
        <v>500</v>
      </c>
      <c r="CV34" s="191">
        <v>500</v>
      </c>
      <c r="CW34" s="191">
        <v>500</v>
      </c>
    </row>
    <row r="35" spans="1:101" s="53" customFormat="1" x14ac:dyDescent="0.25">
      <c r="A35" s="192">
        <f t="shared" si="2"/>
        <v>24</v>
      </c>
      <c r="B35" s="191">
        <v>0.72</v>
      </c>
      <c r="C35" s="191">
        <v>0.71</v>
      </c>
      <c r="D35" s="191">
        <v>0.71</v>
      </c>
      <c r="E35" s="191">
        <v>0.61</v>
      </c>
      <c r="F35" s="191">
        <v>0.57999999999999996</v>
      </c>
      <c r="G35" s="191">
        <v>0.52</v>
      </c>
      <c r="H35" s="191">
        <v>0.48</v>
      </c>
      <c r="I35" s="191">
        <v>0.46</v>
      </c>
      <c r="J35" s="191">
        <v>0.48</v>
      </c>
      <c r="K35" s="191">
        <v>0.5</v>
      </c>
      <c r="L35" s="191">
        <v>0.56999999999999995</v>
      </c>
      <c r="M35" s="191">
        <v>0.65</v>
      </c>
      <c r="N35" s="191">
        <v>0.76</v>
      </c>
      <c r="O35" s="191">
        <v>0.88</v>
      </c>
      <c r="P35" s="191">
        <v>1</v>
      </c>
      <c r="Q35" s="191">
        <v>1.1000000000000001</v>
      </c>
      <c r="R35" s="191">
        <v>1.1599999999999999</v>
      </c>
      <c r="S35" s="191">
        <v>1.21</v>
      </c>
      <c r="T35" s="191">
        <v>1.28</v>
      </c>
      <c r="U35" s="191">
        <v>1.34</v>
      </c>
      <c r="V35" s="191">
        <v>1.37</v>
      </c>
      <c r="W35" s="191">
        <v>1.4</v>
      </c>
      <c r="X35" s="191">
        <v>1.42</v>
      </c>
      <c r="Y35" s="191">
        <v>1.44</v>
      </c>
      <c r="Z35" s="191">
        <v>1.47</v>
      </c>
      <c r="AA35" s="191">
        <v>1.56</v>
      </c>
      <c r="AB35" s="191">
        <v>1.67</v>
      </c>
      <c r="AC35" s="191">
        <v>1.81</v>
      </c>
      <c r="AD35" s="191">
        <v>1.97</v>
      </c>
      <c r="AE35" s="191">
        <v>2.15</v>
      </c>
      <c r="AF35" s="191">
        <v>2.35</v>
      </c>
      <c r="AG35" s="191">
        <v>2.57</v>
      </c>
      <c r="AH35" s="191">
        <v>2.79</v>
      </c>
      <c r="AI35" s="191">
        <v>3.01</v>
      </c>
      <c r="AJ35" s="191">
        <v>3.24</v>
      </c>
      <c r="AK35" s="191">
        <v>3.49</v>
      </c>
      <c r="AL35" s="191">
        <v>3.76</v>
      </c>
      <c r="AM35" s="191">
        <v>4.08</v>
      </c>
      <c r="AN35" s="191">
        <v>4.4800000000000004</v>
      </c>
      <c r="AO35" s="191">
        <v>4.91</v>
      </c>
      <c r="AP35" s="191">
        <v>5.45</v>
      </c>
      <c r="AQ35" s="191">
        <v>6.08</v>
      </c>
      <c r="AR35" s="191">
        <v>6.65</v>
      </c>
      <c r="AS35" s="191">
        <v>7.36</v>
      </c>
      <c r="AT35" s="191">
        <v>8.17</v>
      </c>
      <c r="AU35" s="191">
        <v>9.1300000000000008</v>
      </c>
      <c r="AV35" s="191">
        <v>10.17</v>
      </c>
      <c r="AW35" s="191">
        <v>11.42</v>
      </c>
      <c r="AX35" s="191">
        <v>12.82</v>
      </c>
      <c r="AY35" s="191">
        <v>14.43</v>
      </c>
      <c r="AZ35" s="191">
        <v>16.32</v>
      </c>
      <c r="BA35" s="191">
        <v>18.28</v>
      </c>
      <c r="BB35" s="191">
        <v>20.440000000000001</v>
      </c>
      <c r="BC35" s="191">
        <v>22.95</v>
      </c>
      <c r="BD35" s="191">
        <v>26.26</v>
      </c>
      <c r="BE35" s="191">
        <v>29.7</v>
      </c>
      <c r="BF35" s="191">
        <v>33.9</v>
      </c>
      <c r="BG35" s="191">
        <v>38.26</v>
      </c>
      <c r="BH35" s="191">
        <v>43.36</v>
      </c>
      <c r="BI35" s="191">
        <v>49.07</v>
      </c>
      <c r="BJ35" s="191">
        <v>55.63</v>
      </c>
      <c r="BK35" s="191">
        <v>63.22</v>
      </c>
      <c r="BL35" s="191">
        <v>72.040000000000006</v>
      </c>
      <c r="BM35" s="191">
        <v>82.26</v>
      </c>
      <c r="BN35" s="191">
        <v>93.99</v>
      </c>
      <c r="BO35" s="191">
        <v>107.25</v>
      </c>
      <c r="BP35" s="191">
        <v>121.61</v>
      </c>
      <c r="BQ35" s="191">
        <v>136.9</v>
      </c>
      <c r="BR35" s="191">
        <v>152.6</v>
      </c>
      <c r="BS35" s="191">
        <v>168.28</v>
      </c>
      <c r="BT35" s="191">
        <v>183.74</v>
      </c>
      <c r="BU35" s="191">
        <v>198.22</v>
      </c>
      <c r="BV35" s="191">
        <v>211.08</v>
      </c>
      <c r="BW35" s="191">
        <v>227.79</v>
      </c>
      <c r="BX35" s="191">
        <v>245.59</v>
      </c>
      <c r="BY35" s="191">
        <v>264.95</v>
      </c>
      <c r="BZ35" s="191">
        <v>285.45999999999998</v>
      </c>
      <c r="CA35" s="191">
        <v>306.7</v>
      </c>
      <c r="CB35" s="191">
        <v>328.25</v>
      </c>
      <c r="CC35" s="191">
        <v>350.02</v>
      </c>
      <c r="CD35" s="191">
        <v>371.65</v>
      </c>
      <c r="CE35" s="191">
        <v>392.79</v>
      </c>
      <c r="CF35" s="191">
        <v>413.05</v>
      </c>
      <c r="CG35" s="191">
        <v>432.08</v>
      </c>
      <c r="CH35" s="191">
        <v>449.51</v>
      </c>
      <c r="CI35" s="191">
        <v>464.98</v>
      </c>
      <c r="CJ35" s="191">
        <v>478.12</v>
      </c>
      <c r="CK35" s="191">
        <v>488.57</v>
      </c>
      <c r="CL35" s="191">
        <v>495.95</v>
      </c>
      <c r="CM35" s="191">
        <v>500</v>
      </c>
      <c r="CN35" s="191">
        <v>500</v>
      </c>
      <c r="CO35" s="191">
        <v>500</v>
      </c>
      <c r="CP35" s="191">
        <v>500</v>
      </c>
      <c r="CQ35" s="191">
        <v>500</v>
      </c>
      <c r="CR35" s="191">
        <v>500</v>
      </c>
      <c r="CS35" s="191">
        <v>500</v>
      </c>
      <c r="CT35" s="191">
        <v>500</v>
      </c>
      <c r="CU35" s="191">
        <v>500</v>
      </c>
      <c r="CV35" s="191">
        <v>500</v>
      </c>
      <c r="CW35" s="191">
        <v>500</v>
      </c>
    </row>
    <row r="36" spans="1:101" s="53" customFormat="1" x14ac:dyDescent="0.25">
      <c r="A36" s="192">
        <f t="shared" si="2"/>
        <v>25</v>
      </c>
      <c r="B36" s="191">
        <v>0.71</v>
      </c>
      <c r="C36" s="191">
        <v>0.71</v>
      </c>
      <c r="D36" s="191">
        <v>0.61</v>
      </c>
      <c r="E36" s="191">
        <v>0.57999999999999996</v>
      </c>
      <c r="F36" s="191">
        <v>0.52</v>
      </c>
      <c r="G36" s="191">
        <v>0.48</v>
      </c>
      <c r="H36" s="191">
        <v>0.46</v>
      </c>
      <c r="I36" s="191">
        <v>0.48</v>
      </c>
      <c r="J36" s="191">
        <v>0.5</v>
      </c>
      <c r="K36" s="191">
        <v>0.56999999999999995</v>
      </c>
      <c r="L36" s="191">
        <v>0.65</v>
      </c>
      <c r="M36" s="191">
        <v>0.76</v>
      </c>
      <c r="N36" s="191">
        <v>0.88</v>
      </c>
      <c r="O36" s="191">
        <v>1</v>
      </c>
      <c r="P36" s="191">
        <v>1.1000000000000001</v>
      </c>
      <c r="Q36" s="191">
        <v>1.1599999999999999</v>
      </c>
      <c r="R36" s="191">
        <v>1.21</v>
      </c>
      <c r="S36" s="191">
        <v>1.28</v>
      </c>
      <c r="T36" s="191">
        <v>1.36</v>
      </c>
      <c r="U36" s="191">
        <v>1.43</v>
      </c>
      <c r="V36" s="191">
        <v>1.46</v>
      </c>
      <c r="W36" s="191">
        <v>1.51</v>
      </c>
      <c r="X36" s="191">
        <v>1.55</v>
      </c>
      <c r="Y36" s="191">
        <v>1.6</v>
      </c>
      <c r="Z36" s="191">
        <v>1.65</v>
      </c>
      <c r="AA36" s="191">
        <v>1.74</v>
      </c>
      <c r="AB36" s="191">
        <v>1.87</v>
      </c>
      <c r="AC36" s="191">
        <v>2.02</v>
      </c>
      <c r="AD36" s="191">
        <v>2.21</v>
      </c>
      <c r="AE36" s="191">
        <v>2.42</v>
      </c>
      <c r="AF36" s="191">
        <v>2.64</v>
      </c>
      <c r="AG36" s="191">
        <v>2.87</v>
      </c>
      <c r="AH36" s="191">
        <v>3.08</v>
      </c>
      <c r="AI36" s="191">
        <v>3.29</v>
      </c>
      <c r="AJ36" s="191">
        <v>3.51</v>
      </c>
      <c r="AK36" s="191">
        <v>3.76</v>
      </c>
      <c r="AL36" s="191">
        <v>4.08</v>
      </c>
      <c r="AM36" s="191">
        <v>4.4800000000000004</v>
      </c>
      <c r="AN36" s="191">
        <v>4.95</v>
      </c>
      <c r="AO36" s="191">
        <v>5.53</v>
      </c>
      <c r="AP36" s="191">
        <v>6.16</v>
      </c>
      <c r="AQ36" s="191">
        <v>6.81</v>
      </c>
      <c r="AR36" s="191">
        <v>7.49</v>
      </c>
      <c r="AS36" s="191">
        <v>8.2799999999999994</v>
      </c>
      <c r="AT36" s="191">
        <v>9.17</v>
      </c>
      <c r="AU36" s="191">
        <v>10.210000000000001</v>
      </c>
      <c r="AV36" s="191">
        <v>11.44</v>
      </c>
      <c r="AW36" s="191">
        <v>12.84</v>
      </c>
      <c r="AX36" s="191">
        <v>14.47</v>
      </c>
      <c r="AY36" s="191">
        <v>16.34</v>
      </c>
      <c r="AZ36" s="191">
        <v>18.55</v>
      </c>
      <c r="BA36" s="191">
        <v>20.91</v>
      </c>
      <c r="BB36" s="191">
        <v>23.47</v>
      </c>
      <c r="BC36" s="191">
        <v>26.34</v>
      </c>
      <c r="BD36" s="191">
        <v>29.78</v>
      </c>
      <c r="BE36" s="191">
        <v>33.9</v>
      </c>
      <c r="BF36" s="191">
        <v>38.26</v>
      </c>
      <c r="BG36" s="191">
        <v>43.36</v>
      </c>
      <c r="BH36" s="191">
        <v>49.07</v>
      </c>
      <c r="BI36" s="191">
        <v>55.63</v>
      </c>
      <c r="BJ36" s="191">
        <v>63.22</v>
      </c>
      <c r="BK36" s="191">
        <v>72.040000000000006</v>
      </c>
      <c r="BL36" s="191">
        <v>82.26</v>
      </c>
      <c r="BM36" s="191">
        <v>93.99</v>
      </c>
      <c r="BN36" s="191">
        <v>107.25</v>
      </c>
      <c r="BO36" s="191">
        <v>121.61</v>
      </c>
      <c r="BP36" s="191">
        <v>136.9</v>
      </c>
      <c r="BQ36" s="191">
        <v>152.6</v>
      </c>
      <c r="BR36" s="191">
        <v>168.28</v>
      </c>
      <c r="BS36" s="191">
        <v>183.74</v>
      </c>
      <c r="BT36" s="191">
        <v>198.22</v>
      </c>
      <c r="BU36" s="191">
        <v>211.08</v>
      </c>
      <c r="BV36" s="191">
        <v>227.79</v>
      </c>
      <c r="BW36" s="191">
        <v>245.59</v>
      </c>
      <c r="BX36" s="191">
        <v>264.95</v>
      </c>
      <c r="BY36" s="191">
        <v>285.45999999999998</v>
      </c>
      <c r="BZ36" s="191">
        <v>306.7</v>
      </c>
      <c r="CA36" s="191">
        <v>328.25</v>
      </c>
      <c r="CB36" s="191">
        <v>350.02</v>
      </c>
      <c r="CC36" s="191">
        <v>371.65</v>
      </c>
      <c r="CD36" s="191">
        <v>392.79</v>
      </c>
      <c r="CE36" s="191">
        <v>413.05</v>
      </c>
      <c r="CF36" s="191">
        <v>432.08</v>
      </c>
      <c r="CG36" s="191">
        <v>449.51</v>
      </c>
      <c r="CH36" s="191">
        <v>464.98</v>
      </c>
      <c r="CI36" s="191">
        <v>478.12</v>
      </c>
      <c r="CJ36" s="191">
        <v>488.57</v>
      </c>
      <c r="CK36" s="191">
        <v>495.95</v>
      </c>
      <c r="CL36" s="191">
        <v>500</v>
      </c>
      <c r="CM36" s="191">
        <v>500</v>
      </c>
      <c r="CN36" s="191">
        <v>500</v>
      </c>
      <c r="CO36" s="191">
        <v>500</v>
      </c>
      <c r="CP36" s="191">
        <v>500</v>
      </c>
      <c r="CQ36" s="191">
        <v>500</v>
      </c>
      <c r="CR36" s="191">
        <v>500</v>
      </c>
      <c r="CS36" s="191">
        <v>500</v>
      </c>
      <c r="CT36" s="191">
        <v>500</v>
      </c>
      <c r="CU36" s="191">
        <v>500</v>
      </c>
      <c r="CV36" s="191">
        <v>500</v>
      </c>
      <c r="CW36" s="191">
        <v>500</v>
      </c>
    </row>
    <row r="37" spans="1:101" s="53" customFormat="1" x14ac:dyDescent="0.25">
      <c r="A37" s="192">
        <v>26</v>
      </c>
      <c r="B37" s="191">
        <v>0.71</v>
      </c>
      <c r="C37" s="191">
        <v>0.61</v>
      </c>
      <c r="D37" s="191">
        <v>0.57999999999999996</v>
      </c>
      <c r="E37" s="191">
        <v>0.52</v>
      </c>
      <c r="F37" s="191">
        <v>0.48</v>
      </c>
      <c r="G37" s="191">
        <v>0.46</v>
      </c>
      <c r="H37" s="191">
        <v>0.48</v>
      </c>
      <c r="I37" s="191">
        <v>0.5</v>
      </c>
      <c r="J37" s="191">
        <v>0.56999999999999995</v>
      </c>
      <c r="K37" s="191">
        <v>0.65</v>
      </c>
      <c r="L37" s="191">
        <v>0.76</v>
      </c>
      <c r="M37" s="191">
        <v>0.88</v>
      </c>
      <c r="N37" s="191">
        <v>1</v>
      </c>
      <c r="O37" s="191">
        <v>1.1000000000000001</v>
      </c>
      <c r="P37" s="191">
        <v>1.1599999999999999</v>
      </c>
      <c r="Q37" s="191">
        <v>1.21</v>
      </c>
      <c r="R37" s="191">
        <v>1.28</v>
      </c>
      <c r="S37" s="191">
        <v>1.36</v>
      </c>
      <c r="T37" s="191">
        <v>1.45</v>
      </c>
      <c r="U37" s="191">
        <v>1.52</v>
      </c>
      <c r="V37" s="191">
        <v>1.56</v>
      </c>
      <c r="W37" s="191">
        <v>1.62</v>
      </c>
      <c r="X37" s="191">
        <v>1.68</v>
      </c>
      <c r="Y37" s="191">
        <v>1.75</v>
      </c>
      <c r="Z37" s="191">
        <v>1.83</v>
      </c>
      <c r="AA37" s="191">
        <v>1.92</v>
      </c>
      <c r="AB37" s="191">
        <v>2.06</v>
      </c>
      <c r="AC37" s="191">
        <v>2.25</v>
      </c>
      <c r="AD37" s="191">
        <v>2.46</v>
      </c>
      <c r="AE37" s="191">
        <v>2.69</v>
      </c>
      <c r="AF37" s="191">
        <v>2.91</v>
      </c>
      <c r="AG37" s="191">
        <v>3.12</v>
      </c>
      <c r="AH37" s="191">
        <v>3.32</v>
      </c>
      <c r="AI37" s="191">
        <v>3.53</v>
      </c>
      <c r="AJ37" s="191">
        <v>3.78</v>
      </c>
      <c r="AK37" s="191">
        <v>4.08</v>
      </c>
      <c r="AL37" s="191">
        <v>4.4800000000000004</v>
      </c>
      <c r="AM37" s="191">
        <v>4.99</v>
      </c>
      <c r="AN37" s="191">
        <v>5.56</v>
      </c>
      <c r="AO37" s="191">
        <v>6.2</v>
      </c>
      <c r="AP37" s="191">
        <v>6.88</v>
      </c>
      <c r="AQ37" s="191">
        <v>7.62</v>
      </c>
      <c r="AR37" s="191">
        <v>8.42</v>
      </c>
      <c r="AS37" s="191">
        <v>9.3000000000000007</v>
      </c>
      <c r="AT37" s="191">
        <v>10.3</v>
      </c>
      <c r="AU37" s="191">
        <v>11.47</v>
      </c>
      <c r="AV37" s="191">
        <v>12.86</v>
      </c>
      <c r="AW37" s="191">
        <v>14.52</v>
      </c>
      <c r="AX37" s="191">
        <v>16.46</v>
      </c>
      <c r="AY37" s="191">
        <v>18.670000000000002</v>
      </c>
      <c r="AZ37" s="191">
        <v>21.14</v>
      </c>
      <c r="BA37" s="191">
        <v>23.85</v>
      </c>
      <c r="BB37" s="191">
        <v>26.83</v>
      </c>
      <c r="BC37" s="191">
        <v>30.13</v>
      </c>
      <c r="BD37" s="191">
        <v>33.9</v>
      </c>
      <c r="BE37" s="191">
        <v>38.26</v>
      </c>
      <c r="BF37" s="191">
        <v>43.36</v>
      </c>
      <c r="BG37" s="191">
        <v>49.07</v>
      </c>
      <c r="BH37" s="191">
        <v>55.63</v>
      </c>
      <c r="BI37" s="191">
        <v>63.22</v>
      </c>
      <c r="BJ37" s="191">
        <v>72.040000000000006</v>
      </c>
      <c r="BK37" s="191">
        <v>82.26</v>
      </c>
      <c r="BL37" s="191">
        <v>93.99</v>
      </c>
      <c r="BM37" s="191">
        <v>107.25</v>
      </c>
      <c r="BN37" s="191">
        <v>121.61</v>
      </c>
      <c r="BO37" s="191">
        <v>136.9</v>
      </c>
      <c r="BP37" s="191">
        <v>152.6</v>
      </c>
      <c r="BQ37" s="191">
        <v>168.28</v>
      </c>
      <c r="BR37" s="191">
        <v>183.74</v>
      </c>
      <c r="BS37" s="191">
        <v>198.22</v>
      </c>
      <c r="BT37" s="191">
        <v>211.08</v>
      </c>
      <c r="BU37" s="191">
        <v>227.79</v>
      </c>
      <c r="BV37" s="191">
        <v>245.59</v>
      </c>
      <c r="BW37" s="191">
        <v>264.95</v>
      </c>
      <c r="BX37" s="191">
        <v>285.45999999999998</v>
      </c>
      <c r="BY37" s="191">
        <v>306.7</v>
      </c>
      <c r="BZ37" s="191">
        <v>328.25</v>
      </c>
      <c r="CA37" s="191">
        <v>350.02</v>
      </c>
      <c r="CB37" s="191">
        <v>371.65</v>
      </c>
      <c r="CC37" s="191">
        <v>392.79</v>
      </c>
      <c r="CD37" s="191">
        <v>413.05</v>
      </c>
      <c r="CE37" s="191">
        <v>432.08</v>
      </c>
      <c r="CF37" s="191">
        <v>449.51</v>
      </c>
      <c r="CG37" s="191">
        <v>464.98</v>
      </c>
      <c r="CH37" s="191">
        <v>478.12</v>
      </c>
      <c r="CI37" s="191">
        <v>488.57</v>
      </c>
      <c r="CJ37" s="191">
        <v>495.95</v>
      </c>
      <c r="CK37" s="191">
        <v>500</v>
      </c>
      <c r="CL37" s="191">
        <v>500</v>
      </c>
      <c r="CM37" s="191">
        <v>500</v>
      </c>
      <c r="CN37" s="191">
        <v>500</v>
      </c>
      <c r="CO37" s="191">
        <v>500</v>
      </c>
      <c r="CP37" s="191">
        <v>500</v>
      </c>
      <c r="CQ37" s="191">
        <v>500</v>
      </c>
      <c r="CR37" s="191">
        <v>500</v>
      </c>
      <c r="CS37" s="191">
        <v>500</v>
      </c>
      <c r="CT37" s="191">
        <v>500</v>
      </c>
      <c r="CU37" s="191">
        <v>500</v>
      </c>
      <c r="CV37" s="191">
        <v>500</v>
      </c>
      <c r="CW37" s="191">
        <v>500</v>
      </c>
    </row>
    <row r="38" spans="1:101" s="53" customFormat="1" x14ac:dyDescent="0.25"/>
    <row r="39" spans="1:101" s="53" customFormat="1" ht="15.75" x14ac:dyDescent="0.25">
      <c r="A39" s="148" t="s">
        <v>310</v>
      </c>
    </row>
    <row r="40" spans="1:101" s="53" customFormat="1" ht="7.5" customHeight="1" x14ac:dyDescent="0.25"/>
    <row r="41" spans="1:101" x14ac:dyDescent="0.25">
      <c r="A41" s="192" t="s">
        <v>8</v>
      </c>
      <c r="B41" s="192">
        <v>0</v>
      </c>
      <c r="C41" s="192">
        <f>B41+1</f>
        <v>1</v>
      </c>
      <c r="D41" s="192">
        <f t="shared" ref="D41:BO41" si="3">C41+1</f>
        <v>2</v>
      </c>
      <c r="E41" s="192">
        <f t="shared" si="3"/>
        <v>3</v>
      </c>
      <c r="F41" s="192">
        <f t="shared" si="3"/>
        <v>4</v>
      </c>
      <c r="G41" s="192">
        <f t="shared" si="3"/>
        <v>5</v>
      </c>
      <c r="H41" s="192">
        <f t="shared" si="3"/>
        <v>6</v>
      </c>
      <c r="I41" s="192">
        <f t="shared" si="3"/>
        <v>7</v>
      </c>
      <c r="J41" s="192">
        <f t="shared" si="3"/>
        <v>8</v>
      </c>
      <c r="K41" s="192">
        <f t="shared" si="3"/>
        <v>9</v>
      </c>
      <c r="L41" s="192">
        <f t="shared" si="3"/>
        <v>10</v>
      </c>
      <c r="M41" s="192">
        <f t="shared" si="3"/>
        <v>11</v>
      </c>
      <c r="N41" s="192">
        <f t="shared" si="3"/>
        <v>12</v>
      </c>
      <c r="O41" s="192">
        <f t="shared" si="3"/>
        <v>13</v>
      </c>
      <c r="P41" s="192">
        <f t="shared" si="3"/>
        <v>14</v>
      </c>
      <c r="Q41" s="192">
        <f t="shared" si="3"/>
        <v>15</v>
      </c>
      <c r="R41" s="192">
        <f t="shared" si="3"/>
        <v>16</v>
      </c>
      <c r="S41" s="192">
        <f t="shared" si="3"/>
        <v>17</v>
      </c>
      <c r="T41" s="192">
        <f>S41+1</f>
        <v>18</v>
      </c>
      <c r="U41" s="192">
        <f t="shared" si="3"/>
        <v>19</v>
      </c>
      <c r="V41" s="192">
        <f t="shared" si="3"/>
        <v>20</v>
      </c>
      <c r="W41" s="192">
        <f t="shared" si="3"/>
        <v>21</v>
      </c>
      <c r="X41" s="192">
        <f t="shared" si="3"/>
        <v>22</v>
      </c>
      <c r="Y41" s="192">
        <f t="shared" si="3"/>
        <v>23</v>
      </c>
      <c r="Z41" s="192">
        <f t="shared" si="3"/>
        <v>24</v>
      </c>
      <c r="AA41" s="192">
        <f t="shared" si="3"/>
        <v>25</v>
      </c>
      <c r="AB41" s="192">
        <f t="shared" si="3"/>
        <v>26</v>
      </c>
      <c r="AC41" s="192">
        <f t="shared" si="3"/>
        <v>27</v>
      </c>
      <c r="AD41" s="192">
        <f t="shared" si="3"/>
        <v>28</v>
      </c>
      <c r="AE41" s="192">
        <f t="shared" si="3"/>
        <v>29</v>
      </c>
      <c r="AF41" s="192">
        <f t="shared" si="3"/>
        <v>30</v>
      </c>
      <c r="AG41" s="192">
        <f t="shared" si="3"/>
        <v>31</v>
      </c>
      <c r="AH41" s="192">
        <f t="shared" si="3"/>
        <v>32</v>
      </c>
      <c r="AI41" s="192">
        <f t="shared" si="3"/>
        <v>33</v>
      </c>
      <c r="AJ41" s="192">
        <f t="shared" si="3"/>
        <v>34</v>
      </c>
      <c r="AK41" s="192">
        <f t="shared" si="3"/>
        <v>35</v>
      </c>
      <c r="AL41" s="192">
        <f t="shared" si="3"/>
        <v>36</v>
      </c>
      <c r="AM41" s="192">
        <f t="shared" si="3"/>
        <v>37</v>
      </c>
      <c r="AN41" s="192">
        <f t="shared" si="3"/>
        <v>38</v>
      </c>
      <c r="AO41" s="192">
        <f t="shared" si="3"/>
        <v>39</v>
      </c>
      <c r="AP41" s="192">
        <f t="shared" si="3"/>
        <v>40</v>
      </c>
      <c r="AQ41" s="192">
        <f t="shared" si="3"/>
        <v>41</v>
      </c>
      <c r="AR41" s="192">
        <f t="shared" si="3"/>
        <v>42</v>
      </c>
      <c r="AS41" s="192">
        <f t="shared" si="3"/>
        <v>43</v>
      </c>
      <c r="AT41" s="192">
        <f t="shared" si="3"/>
        <v>44</v>
      </c>
      <c r="AU41" s="192">
        <f t="shared" si="3"/>
        <v>45</v>
      </c>
      <c r="AV41" s="192">
        <f t="shared" si="3"/>
        <v>46</v>
      </c>
      <c r="AW41" s="192">
        <f t="shared" si="3"/>
        <v>47</v>
      </c>
      <c r="AX41" s="192">
        <f t="shared" si="3"/>
        <v>48</v>
      </c>
      <c r="AY41" s="192">
        <f t="shared" si="3"/>
        <v>49</v>
      </c>
      <c r="AZ41" s="192">
        <f t="shared" si="3"/>
        <v>50</v>
      </c>
      <c r="BA41" s="192">
        <f t="shared" si="3"/>
        <v>51</v>
      </c>
      <c r="BB41" s="192">
        <f t="shared" si="3"/>
        <v>52</v>
      </c>
      <c r="BC41" s="192">
        <f t="shared" si="3"/>
        <v>53</v>
      </c>
      <c r="BD41" s="192">
        <f t="shared" si="3"/>
        <v>54</v>
      </c>
      <c r="BE41" s="192">
        <f t="shared" si="3"/>
        <v>55</v>
      </c>
      <c r="BF41" s="192">
        <f t="shared" si="3"/>
        <v>56</v>
      </c>
      <c r="BG41" s="192">
        <f t="shared" si="3"/>
        <v>57</v>
      </c>
      <c r="BH41" s="192">
        <f t="shared" si="3"/>
        <v>58</v>
      </c>
      <c r="BI41" s="192">
        <f t="shared" si="3"/>
        <v>59</v>
      </c>
      <c r="BJ41" s="192">
        <f t="shared" si="3"/>
        <v>60</v>
      </c>
      <c r="BK41" s="192">
        <f t="shared" si="3"/>
        <v>61</v>
      </c>
      <c r="BL41" s="192">
        <f t="shared" si="3"/>
        <v>62</v>
      </c>
      <c r="BM41" s="192">
        <f t="shared" si="3"/>
        <v>63</v>
      </c>
      <c r="BN41" s="192">
        <f t="shared" si="3"/>
        <v>64</v>
      </c>
      <c r="BO41" s="192">
        <f t="shared" si="3"/>
        <v>65</v>
      </c>
      <c r="BP41" s="192">
        <f t="shared" ref="BP41:CW41" si="4">BO41+1</f>
        <v>66</v>
      </c>
      <c r="BQ41" s="192">
        <f t="shared" si="4"/>
        <v>67</v>
      </c>
      <c r="BR41" s="192">
        <f t="shared" si="4"/>
        <v>68</v>
      </c>
      <c r="BS41" s="192">
        <f t="shared" si="4"/>
        <v>69</v>
      </c>
      <c r="BT41" s="192">
        <f t="shared" si="4"/>
        <v>70</v>
      </c>
      <c r="BU41" s="192">
        <f t="shared" si="4"/>
        <v>71</v>
      </c>
      <c r="BV41" s="192">
        <f t="shared" si="4"/>
        <v>72</v>
      </c>
      <c r="BW41" s="192">
        <f t="shared" si="4"/>
        <v>73</v>
      </c>
      <c r="BX41" s="192">
        <f t="shared" si="4"/>
        <v>74</v>
      </c>
      <c r="BY41" s="192">
        <f t="shared" si="4"/>
        <v>75</v>
      </c>
      <c r="BZ41" s="192">
        <f t="shared" si="4"/>
        <v>76</v>
      </c>
      <c r="CA41" s="192">
        <f t="shared" si="4"/>
        <v>77</v>
      </c>
      <c r="CB41" s="192">
        <f t="shared" si="4"/>
        <v>78</v>
      </c>
      <c r="CC41" s="192">
        <f t="shared" si="4"/>
        <v>79</v>
      </c>
      <c r="CD41" s="192">
        <f t="shared" si="4"/>
        <v>80</v>
      </c>
      <c r="CE41" s="192">
        <f t="shared" si="4"/>
        <v>81</v>
      </c>
      <c r="CF41" s="192">
        <f t="shared" si="4"/>
        <v>82</v>
      </c>
      <c r="CG41" s="192">
        <f t="shared" si="4"/>
        <v>83</v>
      </c>
      <c r="CH41" s="192">
        <f t="shared" si="4"/>
        <v>84</v>
      </c>
      <c r="CI41" s="192">
        <f t="shared" si="4"/>
        <v>85</v>
      </c>
      <c r="CJ41" s="192">
        <f t="shared" si="4"/>
        <v>86</v>
      </c>
      <c r="CK41" s="192">
        <f t="shared" si="4"/>
        <v>87</v>
      </c>
      <c r="CL41" s="192">
        <f t="shared" si="4"/>
        <v>88</v>
      </c>
      <c r="CM41" s="192">
        <f t="shared" si="4"/>
        <v>89</v>
      </c>
      <c r="CN41" s="192">
        <f t="shared" si="4"/>
        <v>90</v>
      </c>
      <c r="CO41" s="192">
        <f t="shared" si="4"/>
        <v>91</v>
      </c>
      <c r="CP41" s="192">
        <f t="shared" si="4"/>
        <v>92</v>
      </c>
      <c r="CQ41" s="192">
        <f t="shared" si="4"/>
        <v>93</v>
      </c>
      <c r="CR41" s="192">
        <f t="shared" si="4"/>
        <v>94</v>
      </c>
      <c r="CS41" s="192">
        <f t="shared" si="4"/>
        <v>95</v>
      </c>
      <c r="CT41" s="192">
        <f t="shared" si="4"/>
        <v>96</v>
      </c>
      <c r="CU41" s="192">
        <f t="shared" si="4"/>
        <v>97</v>
      </c>
      <c r="CV41" s="192">
        <f t="shared" si="4"/>
        <v>98</v>
      </c>
      <c r="CW41" s="192">
        <f t="shared" si="4"/>
        <v>99</v>
      </c>
    </row>
    <row r="42" spans="1:101" x14ac:dyDescent="0.25">
      <c r="A42" s="192">
        <v>1</v>
      </c>
      <c r="B42" s="193">
        <f>(Input!$C$19)*B12</f>
        <v>0.192</v>
      </c>
      <c r="C42" s="193">
        <f>(Input!$C$19)*C12</f>
        <v>0.11200000000000002</v>
      </c>
      <c r="D42" s="193">
        <f>(Input!$C$19)*D12</f>
        <v>9.6000000000000002E-2</v>
      </c>
      <c r="E42" s="193">
        <f>(Input!$C$19)*E12</f>
        <v>8.0000000000000016E-2</v>
      </c>
      <c r="F42" s="193">
        <f>(Input!$C$19)*F12</f>
        <v>7.1999999999999995E-2</v>
      </c>
      <c r="G42" s="193">
        <f>(Input!$C$19)*G12</f>
        <v>7.1999999999999995E-2</v>
      </c>
      <c r="H42" s="193">
        <f>(Input!$C$19)*H12</f>
        <v>6.4000000000000001E-2</v>
      </c>
      <c r="I42" s="193">
        <f>(Input!$C$19)*I12</f>
        <v>6.4000000000000001E-2</v>
      </c>
      <c r="J42" s="193">
        <f>(Input!$C$19)*J12</f>
        <v>6.4000000000000001E-2</v>
      </c>
      <c r="K42" s="193">
        <f>(Input!$C$19)*K12</f>
        <v>6.4000000000000001E-2</v>
      </c>
      <c r="L42" s="193">
        <f>(Input!$C$19)*L12</f>
        <v>6.4000000000000001E-2</v>
      </c>
      <c r="M42" s="193">
        <f>(Input!$C$19)*M12</f>
        <v>6.4000000000000001E-2</v>
      </c>
      <c r="N42" s="193">
        <f>(Input!$C$19)*N12</f>
        <v>8.0000000000000016E-2</v>
      </c>
      <c r="O42" s="193">
        <f>(Input!$C$19)*O12</f>
        <v>0.10400000000000001</v>
      </c>
      <c r="P42" s="193">
        <f>(Input!$C$19)*P12</f>
        <v>0.15200000000000002</v>
      </c>
      <c r="Q42" s="193">
        <f>(Input!$C$19)*Q12</f>
        <v>0.23199999999999998</v>
      </c>
      <c r="R42" s="193">
        <f>(Input!$C$19)*R12</f>
        <v>0.33600000000000002</v>
      </c>
      <c r="S42" s="193">
        <f>(Input!$C$19)*S12</f>
        <v>0.45599999999999996</v>
      </c>
      <c r="T42" s="193">
        <f>(Input!$C$19)*T12</f>
        <v>0.55199999999999994</v>
      </c>
      <c r="U42" s="193">
        <f>(Input!$C$19)*U12</f>
        <v>0.51200000000000001</v>
      </c>
      <c r="V42" s="193">
        <f>(Input!$C$19)*V12</f>
        <v>0.44000000000000006</v>
      </c>
      <c r="W42" s="193">
        <f>(Input!$C$19)*W12</f>
        <v>0.36800000000000005</v>
      </c>
      <c r="X42" s="193">
        <f>(Input!$C$19)*X12</f>
        <v>0.36000000000000004</v>
      </c>
      <c r="Y42" s="193">
        <f>(Input!$C$19)*Y12</f>
        <v>0.30400000000000005</v>
      </c>
      <c r="Z42" s="193">
        <f>(Input!$C$19)*Z12</f>
        <v>0.25600000000000001</v>
      </c>
      <c r="AA42" s="193">
        <f>(Input!$C$19)*AA12</f>
        <v>0.21600000000000003</v>
      </c>
      <c r="AB42" s="193">
        <f>(Input!$C$19)*AB12</f>
        <v>0.192</v>
      </c>
      <c r="AC42" s="193">
        <f>(Input!$C$19)*AC12</f>
        <v>0.16800000000000001</v>
      </c>
      <c r="AD42" s="193">
        <f>(Input!$C$19)*AD12</f>
        <v>0.14399999999999999</v>
      </c>
      <c r="AE42" s="193">
        <f>(Input!$C$19)*AE12</f>
        <v>0.13600000000000001</v>
      </c>
      <c r="AF42" s="193">
        <f>(Input!$C$19)*AF12</f>
        <v>0.128</v>
      </c>
      <c r="AG42" s="193">
        <f>(Input!$C$19)*AG12</f>
        <v>0.10400000000000001</v>
      </c>
      <c r="AH42" s="193">
        <f>(Input!$C$19)*AH12</f>
        <v>0.11200000000000002</v>
      </c>
      <c r="AI42" s="193">
        <f>(Input!$C$19)*AI12</f>
        <v>0.11200000000000002</v>
      </c>
      <c r="AJ42" s="193">
        <f>(Input!$C$19)*AJ12</f>
        <v>0.12</v>
      </c>
      <c r="AK42" s="193">
        <f>(Input!$C$19)*AK12</f>
        <v>0.12</v>
      </c>
      <c r="AL42" s="193">
        <f>(Input!$C$19)*AL12</f>
        <v>0.12</v>
      </c>
      <c r="AM42" s="193">
        <f>(Input!$C$19)*AM12</f>
        <v>0.12</v>
      </c>
      <c r="AN42" s="193">
        <f>(Input!$C$19)*AN12</f>
        <v>0.12</v>
      </c>
      <c r="AO42" s="193">
        <f>(Input!$C$19)*AO12</f>
        <v>0.128</v>
      </c>
      <c r="AP42" s="193">
        <f>(Input!$C$19)*AP12</f>
        <v>0.13600000000000001</v>
      </c>
      <c r="AQ42" s="193">
        <f>(Input!$C$19)*AQ12</f>
        <v>0.15200000000000002</v>
      </c>
      <c r="AR42" s="193">
        <f>(Input!$C$19)*AR12</f>
        <v>0.17600000000000002</v>
      </c>
      <c r="AS42" s="193">
        <f>(Input!$C$19)*AS12</f>
        <v>0.20800000000000002</v>
      </c>
      <c r="AT42" s="193">
        <f>(Input!$C$19)*AT12</f>
        <v>0.248</v>
      </c>
      <c r="AU42" s="193">
        <f>(Input!$C$19)*AU12</f>
        <v>0.27999999999999997</v>
      </c>
      <c r="AV42" s="193">
        <f>(Input!$C$19)*AV12</f>
        <v>0.32800000000000001</v>
      </c>
      <c r="AW42" s="193">
        <f>(Input!$C$19)*AW12</f>
        <v>0.36000000000000004</v>
      </c>
      <c r="AX42" s="193">
        <f>(Input!$C$19)*AX12</f>
        <v>0.39200000000000002</v>
      </c>
      <c r="AY42" s="193">
        <f>(Input!$C$19)*AY12</f>
        <v>0.40800000000000003</v>
      </c>
      <c r="AZ42" s="193">
        <f>(Input!$C$19)*AZ12</f>
        <v>0.41600000000000004</v>
      </c>
      <c r="BA42" s="193">
        <f>(Input!$C$19)*BA12</f>
        <v>0.42400000000000004</v>
      </c>
      <c r="BB42" s="193">
        <f>(Input!$C$19)*BB12</f>
        <v>0.42400000000000004</v>
      </c>
      <c r="BC42" s="193">
        <f>(Input!$C$19)*BC12</f>
        <v>0.42400000000000004</v>
      </c>
      <c r="BD42" s="193">
        <f>(Input!$C$19)*BD12</f>
        <v>0.43200000000000005</v>
      </c>
      <c r="BE42" s="193">
        <f>(Input!$C$19)*BE12</f>
        <v>0.44000000000000006</v>
      </c>
      <c r="BF42" s="193">
        <f>(Input!$C$19)*BF12</f>
        <v>0.504</v>
      </c>
      <c r="BG42" s="193">
        <f>(Input!$C$19)*BG12</f>
        <v>0.6160000000000001</v>
      </c>
      <c r="BH42" s="193">
        <f>(Input!$C$19)*BH12</f>
        <v>0.752</v>
      </c>
      <c r="BI42" s="193">
        <f>(Input!$C$19)*BI12</f>
        <v>0.91999999999999993</v>
      </c>
      <c r="BJ42" s="193">
        <f>(Input!$C$19)*BJ12</f>
        <v>1.0880000000000001</v>
      </c>
      <c r="BK42" s="193">
        <f>(Input!$C$19)*BK12</f>
        <v>1.2080000000000002</v>
      </c>
      <c r="BL42" s="193">
        <f>(Input!$C$19)*BL12</f>
        <v>1.2800000000000002</v>
      </c>
      <c r="BM42" s="193">
        <f>(Input!$C$19)*BM12</f>
        <v>1.3280000000000001</v>
      </c>
      <c r="BN42" s="193">
        <f>(Input!$C$19)*BN12</f>
        <v>1.3760000000000001</v>
      </c>
      <c r="BO42" s="193">
        <f>(Input!$C$19)*BO12</f>
        <v>1.4320000000000002</v>
      </c>
      <c r="BP42" s="193">
        <f>(Input!$C$19)*BP12</f>
        <v>1.504</v>
      </c>
      <c r="BQ42" s="193">
        <f>(Input!$C$19)*BQ12</f>
        <v>1.5920000000000001</v>
      </c>
      <c r="BR42" s="193">
        <f>(Input!$C$19)*BR12</f>
        <v>1.7120000000000002</v>
      </c>
      <c r="BS42" s="193">
        <f>(Input!$C$19)*BS12</f>
        <v>1.8640000000000001</v>
      </c>
      <c r="BT42" s="193">
        <f>(Input!$C$19)*BT12</f>
        <v>2</v>
      </c>
      <c r="BU42" s="193">
        <f>(Input!$C$19)*BU12</f>
        <v>2.1440000000000001</v>
      </c>
      <c r="BV42" s="193">
        <f>(Input!$C$19)*BV12</f>
        <v>2.3039999999999998</v>
      </c>
      <c r="BW42" s="193">
        <f>(Input!$C$19)*BW12</f>
        <v>2.504</v>
      </c>
      <c r="BX42" s="193">
        <f>(Input!$C$19)*BX12</f>
        <v>2.7840000000000003</v>
      </c>
      <c r="BY42" s="193">
        <f>(Input!$C$19)*BY12</f>
        <v>3.056</v>
      </c>
      <c r="BZ42" s="193">
        <f>(Input!$C$19)*BZ12</f>
        <v>3.3280000000000003</v>
      </c>
      <c r="CA42" s="193">
        <f>(Input!$C$19)*CA12</f>
        <v>3.4560000000000004</v>
      </c>
      <c r="CB42" s="193">
        <f>(Input!$C$19)*CB12</f>
        <v>3.6240000000000006</v>
      </c>
      <c r="CC42" s="193">
        <f>(Input!$C$19)*CC12</f>
        <v>3.7600000000000002</v>
      </c>
      <c r="CD42" s="193">
        <f>(Input!$C$19)*CD12</f>
        <v>3.8960000000000004</v>
      </c>
      <c r="CE42" s="193">
        <f>(Input!$C$19)*CE12</f>
        <v>4.2240000000000002</v>
      </c>
      <c r="CF42" s="193">
        <f>(Input!$C$19)*CF12</f>
        <v>4.6479999999999997</v>
      </c>
      <c r="CG42" s="193">
        <f>(Input!$C$19)*CG12</f>
        <v>5.3440000000000003</v>
      </c>
      <c r="CH42" s="193">
        <f>(Input!$C$19)*CH12</f>
        <v>6.2880000000000003</v>
      </c>
      <c r="CI42" s="193">
        <f>(Input!$C$19)*CI12</f>
        <v>7.4319999999999995</v>
      </c>
      <c r="CJ42" s="193">
        <f>(Input!$C$19)*CJ12</f>
        <v>8.9680000000000017</v>
      </c>
      <c r="CK42" s="193">
        <f>(Input!$C$19)*CK12</f>
        <v>10.744</v>
      </c>
      <c r="CL42" s="193">
        <f>(Input!$C$19)*CL12</f>
        <v>12.544</v>
      </c>
      <c r="CM42" s="193">
        <f>(Input!$C$19)*CM12</f>
        <v>14.408000000000001</v>
      </c>
      <c r="CN42" s="193">
        <f>(Input!$C$19)*CN12</f>
        <v>16.552000000000003</v>
      </c>
      <c r="CO42" s="193">
        <f>(Input!$C$19)*CO12</f>
        <v>20.888000000000002</v>
      </c>
      <c r="CP42" s="193">
        <f>(Input!$C$19)*CP12</f>
        <v>29.768000000000001</v>
      </c>
      <c r="CQ42" s="193">
        <f>(Input!$C$19)*CQ12</f>
        <v>44.264000000000003</v>
      </c>
      <c r="CR42" s="193">
        <f>(Input!$C$19)*CR12</f>
        <v>65.191999999999993</v>
      </c>
      <c r="CS42" s="193">
        <f>(Input!$C$19)*CS12</f>
        <v>93.064000000000007</v>
      </c>
      <c r="CT42" s="193">
        <f>(Input!$C$19)*CT12</f>
        <v>182.232</v>
      </c>
      <c r="CU42" s="193">
        <f>(Input!$C$19)*CU12</f>
        <v>196.47200000000001</v>
      </c>
      <c r="CV42" s="193">
        <f>(Input!$C$19)*CV12</f>
        <v>211.96</v>
      </c>
      <c r="CW42" s="193">
        <f>(Input!$C$19)*CW12</f>
        <v>228.36799999999999</v>
      </c>
    </row>
    <row r="43" spans="1:101" s="53" customFormat="1" x14ac:dyDescent="0.25">
      <c r="A43" s="192">
        <f>A42+1</f>
        <v>2</v>
      </c>
      <c r="B43" s="193">
        <f>(Input!$C$19)*B13</f>
        <v>0.11200000000000002</v>
      </c>
      <c r="C43" s="193">
        <f>(Input!$C$19)*C13</f>
        <v>9.6000000000000002E-2</v>
      </c>
      <c r="D43" s="193">
        <f>(Input!$C$19)*D13</f>
        <v>8.0000000000000016E-2</v>
      </c>
      <c r="E43" s="193">
        <f>(Input!$C$19)*E13</f>
        <v>7.1999999999999995E-2</v>
      </c>
      <c r="F43" s="193">
        <f>(Input!$C$19)*F13</f>
        <v>7.1999999999999995E-2</v>
      </c>
      <c r="G43" s="193">
        <f>(Input!$C$19)*G13</f>
        <v>6.4000000000000001E-2</v>
      </c>
      <c r="H43" s="193">
        <f>(Input!$C$19)*H13</f>
        <v>6.4000000000000001E-2</v>
      </c>
      <c r="I43" s="193">
        <f>(Input!$C$19)*I13</f>
        <v>6.4000000000000001E-2</v>
      </c>
      <c r="J43" s="193">
        <f>(Input!$C$19)*J13</f>
        <v>6.4000000000000001E-2</v>
      </c>
      <c r="K43" s="193">
        <f>(Input!$C$19)*K13</f>
        <v>6.4000000000000001E-2</v>
      </c>
      <c r="L43" s="193">
        <f>(Input!$C$19)*L13</f>
        <v>6.4000000000000001E-2</v>
      </c>
      <c r="M43" s="193">
        <f>(Input!$C$19)*M13</f>
        <v>8.0000000000000016E-2</v>
      </c>
      <c r="N43" s="193">
        <f>(Input!$C$19)*N13</f>
        <v>0.10400000000000001</v>
      </c>
      <c r="O43" s="193">
        <f>(Input!$C$19)*O13</f>
        <v>0.15200000000000002</v>
      </c>
      <c r="P43" s="193">
        <f>(Input!$C$19)*P13</f>
        <v>0.23199999999999998</v>
      </c>
      <c r="Q43" s="193">
        <f>(Input!$C$19)*Q13</f>
        <v>0.33600000000000002</v>
      </c>
      <c r="R43" s="193">
        <f>(Input!$C$19)*R13</f>
        <v>0.45599999999999996</v>
      </c>
      <c r="S43" s="193">
        <f>(Input!$C$19)*S13</f>
        <v>0.55199999999999994</v>
      </c>
      <c r="T43" s="193">
        <f>(Input!$C$19)*T13</f>
        <v>0.57599999999999996</v>
      </c>
      <c r="U43" s="193">
        <f>(Input!$C$19)*U13</f>
        <v>0.53600000000000003</v>
      </c>
      <c r="V43" s="193">
        <f>(Input!$C$19)*V13</f>
        <v>0.45599999999999996</v>
      </c>
      <c r="W43" s="193">
        <f>(Input!$C$19)*W13</f>
        <v>0.45599999999999996</v>
      </c>
      <c r="X43" s="193">
        <f>(Input!$C$19)*X13</f>
        <v>0.376</v>
      </c>
      <c r="Y43" s="193">
        <f>(Input!$C$19)*Y13</f>
        <v>0.31200000000000006</v>
      </c>
      <c r="Z43" s="193">
        <f>(Input!$C$19)*Z13</f>
        <v>0.26400000000000001</v>
      </c>
      <c r="AA43" s="193">
        <f>(Input!$C$19)*AA13</f>
        <v>0.23199999999999998</v>
      </c>
      <c r="AB43" s="193">
        <f>(Input!$C$19)*AB13</f>
        <v>0.2</v>
      </c>
      <c r="AC43" s="193">
        <f>(Input!$C$19)*AC13</f>
        <v>0.18400000000000002</v>
      </c>
      <c r="AD43" s="193">
        <f>(Input!$C$19)*AD13</f>
        <v>0.16000000000000003</v>
      </c>
      <c r="AE43" s="193">
        <f>(Input!$C$19)*AE13</f>
        <v>0.15200000000000002</v>
      </c>
      <c r="AF43" s="193">
        <f>(Input!$C$19)*AF13</f>
        <v>0.13600000000000001</v>
      </c>
      <c r="AG43" s="193">
        <f>(Input!$C$19)*AG13</f>
        <v>0.12</v>
      </c>
      <c r="AH43" s="193">
        <f>(Input!$C$19)*AH13</f>
        <v>0.12</v>
      </c>
      <c r="AI43" s="193">
        <f>(Input!$C$19)*AI13</f>
        <v>0.128</v>
      </c>
      <c r="AJ43" s="193">
        <f>(Input!$C$19)*AJ13</f>
        <v>0.13600000000000001</v>
      </c>
      <c r="AK43" s="193">
        <f>(Input!$C$19)*AK13</f>
        <v>0.13600000000000001</v>
      </c>
      <c r="AL43" s="193">
        <f>(Input!$C$19)*AL13</f>
        <v>0.15200000000000002</v>
      </c>
      <c r="AM43" s="193">
        <f>(Input!$C$19)*AM13</f>
        <v>0.16000000000000003</v>
      </c>
      <c r="AN43" s="193">
        <f>(Input!$C$19)*AN13</f>
        <v>0.18400000000000002</v>
      </c>
      <c r="AO43" s="193">
        <f>(Input!$C$19)*AO13</f>
        <v>0.20800000000000002</v>
      </c>
      <c r="AP43" s="193">
        <f>(Input!$C$19)*AP13</f>
        <v>0.24</v>
      </c>
      <c r="AQ43" s="193">
        <f>(Input!$C$19)*AQ13</f>
        <v>0.27999999999999997</v>
      </c>
      <c r="AR43" s="193">
        <f>(Input!$C$19)*AR13</f>
        <v>0.31200000000000006</v>
      </c>
      <c r="AS43" s="193">
        <f>(Input!$C$19)*AS13</f>
        <v>0.34400000000000003</v>
      </c>
      <c r="AT43" s="193">
        <f>(Input!$C$19)*AT13</f>
        <v>0.36800000000000005</v>
      </c>
      <c r="AU43" s="193">
        <f>(Input!$C$19)*AU13</f>
        <v>0.39200000000000002</v>
      </c>
      <c r="AV43" s="193">
        <f>(Input!$C$19)*AV13</f>
        <v>0.40800000000000003</v>
      </c>
      <c r="AW43" s="193">
        <f>(Input!$C$19)*AW13</f>
        <v>0.42400000000000004</v>
      </c>
      <c r="AX43" s="193">
        <f>(Input!$C$19)*AX13</f>
        <v>0.44800000000000006</v>
      </c>
      <c r="AY43" s="193">
        <f>(Input!$C$19)*AY13</f>
        <v>0.48799999999999999</v>
      </c>
      <c r="AZ43" s="193">
        <f>(Input!$C$19)*AZ13</f>
        <v>0.54400000000000004</v>
      </c>
      <c r="BA43" s="193">
        <f>(Input!$C$19)*BA13</f>
        <v>0.6160000000000001</v>
      </c>
      <c r="BB43" s="193">
        <f>(Input!$C$19)*BB13</f>
        <v>0.70400000000000007</v>
      </c>
      <c r="BC43" s="193">
        <f>(Input!$C$19)*BC13</f>
        <v>0.79200000000000004</v>
      </c>
      <c r="BD43" s="193">
        <f>(Input!$C$19)*BD13</f>
        <v>0.87200000000000011</v>
      </c>
      <c r="BE43" s="193">
        <f>(Input!$C$19)*BE13</f>
        <v>0.93599999999999994</v>
      </c>
      <c r="BF43" s="193">
        <f>(Input!$C$19)*BF13</f>
        <v>0.97599999999999998</v>
      </c>
      <c r="BG43" s="193">
        <f>(Input!$C$19)*BG13</f>
        <v>1.008</v>
      </c>
      <c r="BH43" s="193">
        <f>(Input!$C$19)*BH13</f>
        <v>1.048</v>
      </c>
      <c r="BI43" s="193">
        <f>(Input!$C$19)*BI13</f>
        <v>1.1119999999999999</v>
      </c>
      <c r="BJ43" s="193">
        <f>(Input!$C$19)*BJ13</f>
        <v>1.2240000000000002</v>
      </c>
      <c r="BK43" s="193">
        <f>(Input!$C$19)*BK13</f>
        <v>1.3760000000000001</v>
      </c>
      <c r="BL43" s="193">
        <f>(Input!$C$19)*BL13</f>
        <v>1.5760000000000001</v>
      </c>
      <c r="BM43" s="193">
        <f>(Input!$C$19)*BM13</f>
        <v>1.8160000000000001</v>
      </c>
      <c r="BN43" s="193">
        <f>(Input!$C$19)*BN13</f>
        <v>2.048</v>
      </c>
      <c r="BO43" s="193">
        <f>(Input!$C$19)*BO13</f>
        <v>2.3120000000000003</v>
      </c>
      <c r="BP43" s="193">
        <f>(Input!$C$19)*BP13</f>
        <v>2.5680000000000001</v>
      </c>
      <c r="BQ43" s="193">
        <f>(Input!$C$19)*BQ13</f>
        <v>2.7920000000000003</v>
      </c>
      <c r="BR43" s="193">
        <f>(Input!$C$19)*BR13</f>
        <v>3.016</v>
      </c>
      <c r="BS43" s="193">
        <f>(Input!$C$19)*BS13</f>
        <v>3.2560000000000002</v>
      </c>
      <c r="BT43" s="193">
        <f>(Input!$C$19)*BT13</f>
        <v>3.448</v>
      </c>
      <c r="BU43" s="193">
        <f>(Input!$C$19)*BU13</f>
        <v>3.6080000000000001</v>
      </c>
      <c r="BV43" s="193">
        <f>(Input!$C$19)*BV13</f>
        <v>3.7920000000000003</v>
      </c>
      <c r="BW43" s="193">
        <f>(Input!$C$19)*BW13</f>
        <v>4.048</v>
      </c>
      <c r="BX43" s="193">
        <f>(Input!$C$19)*BX13</f>
        <v>4.4560000000000004</v>
      </c>
      <c r="BY43" s="193">
        <f>(Input!$C$19)*BY13</f>
        <v>4.9280000000000008</v>
      </c>
      <c r="BZ43" s="193">
        <f>(Input!$C$19)*BZ13</f>
        <v>5.36</v>
      </c>
      <c r="CA43" s="193">
        <f>(Input!$C$19)*CA13</f>
        <v>5.5680000000000005</v>
      </c>
      <c r="CB43" s="193">
        <f>(Input!$C$19)*CB13</f>
        <v>5.8479999999999999</v>
      </c>
      <c r="CC43" s="193">
        <f>(Input!$C$19)*CC13</f>
        <v>6.0960000000000001</v>
      </c>
      <c r="CD43" s="193">
        <f>(Input!$C$19)*CD13</f>
        <v>6.3760000000000003</v>
      </c>
      <c r="CE43" s="193">
        <f>(Input!$C$19)*CE13</f>
        <v>6.9760000000000009</v>
      </c>
      <c r="CF43" s="193">
        <f>(Input!$C$19)*CF13</f>
        <v>7.7680000000000007</v>
      </c>
      <c r="CG43" s="193">
        <f>(Input!$C$19)*CG13</f>
        <v>9.0400000000000009</v>
      </c>
      <c r="CH43" s="193">
        <f>(Input!$C$19)*CH13</f>
        <v>10.968000000000002</v>
      </c>
      <c r="CI43" s="193">
        <f>(Input!$C$19)*CI13</f>
        <v>13.231999999999999</v>
      </c>
      <c r="CJ43" s="193">
        <f>(Input!$C$19)*CJ13</f>
        <v>16.272000000000002</v>
      </c>
      <c r="CK43" s="193">
        <f>(Input!$C$19)*CK13</f>
        <v>19.968000000000004</v>
      </c>
      <c r="CL43" s="193">
        <f>(Input!$C$19)*CL13</f>
        <v>24.088000000000001</v>
      </c>
      <c r="CM43" s="193">
        <f>(Input!$C$19)*CM13</f>
        <v>28.168000000000003</v>
      </c>
      <c r="CN43" s="193">
        <f>(Input!$C$19)*CN13</f>
        <v>32.927999999999997</v>
      </c>
      <c r="CO43" s="193">
        <f>(Input!$C$19)*CO13</f>
        <v>51.424000000000007</v>
      </c>
      <c r="CP43" s="193">
        <f>(Input!$C$19)*CP13</f>
        <v>77.256</v>
      </c>
      <c r="CQ43" s="193">
        <f>(Input!$C$19)*CQ13</f>
        <v>111.88800000000002</v>
      </c>
      <c r="CR43" s="193">
        <f>(Input!$C$19)*CR13</f>
        <v>130.96</v>
      </c>
      <c r="CS43" s="193">
        <f>(Input!$C$19)*CS13</f>
        <v>182.232</v>
      </c>
      <c r="CT43" s="193">
        <f>(Input!$C$19)*CT13</f>
        <v>196.47200000000001</v>
      </c>
      <c r="CU43" s="193">
        <f>(Input!$C$19)*CU13</f>
        <v>211.96</v>
      </c>
      <c r="CV43" s="193">
        <f>(Input!$C$19)*CV13</f>
        <v>228.36799999999999</v>
      </c>
      <c r="CW43" s="193">
        <f>(Input!$C$19)*CW13</f>
        <v>245.36</v>
      </c>
    </row>
    <row r="44" spans="1:101" s="53" customFormat="1" x14ac:dyDescent="0.25">
      <c r="A44" s="192">
        <f t="shared" ref="A44:A66" si="5">A43+1</f>
        <v>3</v>
      </c>
      <c r="B44" s="193">
        <f>(Input!$C$19)*B14</f>
        <v>9.6000000000000002E-2</v>
      </c>
      <c r="C44" s="193">
        <f>(Input!$C$19)*C14</f>
        <v>8.0000000000000016E-2</v>
      </c>
      <c r="D44" s="193">
        <f>(Input!$C$19)*D14</f>
        <v>7.1999999999999995E-2</v>
      </c>
      <c r="E44" s="193">
        <f>(Input!$C$19)*E14</f>
        <v>7.1999999999999995E-2</v>
      </c>
      <c r="F44" s="193">
        <f>(Input!$C$19)*F14</f>
        <v>6.4000000000000001E-2</v>
      </c>
      <c r="G44" s="193">
        <f>(Input!$C$19)*G14</f>
        <v>6.4000000000000001E-2</v>
      </c>
      <c r="H44" s="193">
        <f>(Input!$C$19)*H14</f>
        <v>6.4000000000000001E-2</v>
      </c>
      <c r="I44" s="193">
        <f>(Input!$C$19)*I14</f>
        <v>6.4000000000000001E-2</v>
      </c>
      <c r="J44" s="193">
        <f>(Input!$C$19)*J14</f>
        <v>6.4000000000000001E-2</v>
      </c>
      <c r="K44" s="193">
        <f>(Input!$C$19)*K14</f>
        <v>6.4000000000000001E-2</v>
      </c>
      <c r="L44" s="193">
        <f>(Input!$C$19)*L14</f>
        <v>8.0000000000000016E-2</v>
      </c>
      <c r="M44" s="193">
        <f>(Input!$C$19)*M14</f>
        <v>0.10400000000000001</v>
      </c>
      <c r="N44" s="193">
        <f>(Input!$C$19)*N14</f>
        <v>0.15200000000000002</v>
      </c>
      <c r="O44" s="193">
        <f>(Input!$C$19)*O14</f>
        <v>0.23199999999999998</v>
      </c>
      <c r="P44" s="193">
        <f>(Input!$C$19)*P14</f>
        <v>0.33600000000000002</v>
      </c>
      <c r="Q44" s="193">
        <f>(Input!$C$19)*Q14</f>
        <v>0.45599999999999996</v>
      </c>
      <c r="R44" s="193">
        <f>(Input!$C$19)*R14</f>
        <v>0.55199999999999994</v>
      </c>
      <c r="S44" s="193">
        <f>(Input!$C$19)*S14</f>
        <v>0.57599999999999996</v>
      </c>
      <c r="T44" s="193">
        <f>(Input!$C$19)*T14</f>
        <v>0.59199999999999997</v>
      </c>
      <c r="U44" s="193">
        <f>(Input!$C$19)*U14</f>
        <v>0.54400000000000004</v>
      </c>
      <c r="V44" s="193">
        <f>(Input!$C$19)*V14</f>
        <v>0.504</v>
      </c>
      <c r="W44" s="193">
        <f>(Input!$C$19)*W14</f>
        <v>0.40800000000000003</v>
      </c>
      <c r="X44" s="193">
        <f>(Input!$C$19)*X14</f>
        <v>0.33600000000000002</v>
      </c>
      <c r="Y44" s="193">
        <f>(Input!$C$19)*Y14</f>
        <v>0.27999999999999997</v>
      </c>
      <c r="Z44" s="193">
        <f>(Input!$C$19)*Z14</f>
        <v>0.24</v>
      </c>
      <c r="AA44" s="193">
        <f>(Input!$C$19)*AA14</f>
        <v>0.20800000000000002</v>
      </c>
      <c r="AB44" s="193">
        <f>(Input!$C$19)*AB14</f>
        <v>0.192</v>
      </c>
      <c r="AC44" s="193">
        <f>(Input!$C$19)*AC14</f>
        <v>0.17600000000000002</v>
      </c>
      <c r="AD44" s="193">
        <f>(Input!$C$19)*AD14</f>
        <v>0.16800000000000001</v>
      </c>
      <c r="AE44" s="193">
        <f>(Input!$C$19)*AE14</f>
        <v>0.17600000000000002</v>
      </c>
      <c r="AF44" s="193">
        <f>(Input!$C$19)*AF14</f>
        <v>0.17600000000000002</v>
      </c>
      <c r="AG44" s="193">
        <f>(Input!$C$19)*AG14</f>
        <v>0.17600000000000002</v>
      </c>
      <c r="AH44" s="193">
        <f>(Input!$C$19)*AH14</f>
        <v>0.18400000000000002</v>
      </c>
      <c r="AI44" s="193">
        <f>(Input!$C$19)*AI14</f>
        <v>0.192</v>
      </c>
      <c r="AJ44" s="193">
        <f>(Input!$C$19)*AJ14</f>
        <v>0.20800000000000002</v>
      </c>
      <c r="AK44" s="193">
        <f>(Input!$C$19)*AK14</f>
        <v>0.22400000000000003</v>
      </c>
      <c r="AL44" s="193">
        <f>(Input!$C$19)*AL14</f>
        <v>0.24</v>
      </c>
      <c r="AM44" s="193">
        <f>(Input!$C$19)*AM14</f>
        <v>0.25600000000000001</v>
      </c>
      <c r="AN44" s="193">
        <f>(Input!$C$19)*AN14</f>
        <v>0.28799999999999998</v>
      </c>
      <c r="AO44" s="193">
        <f>(Input!$C$19)*AO14</f>
        <v>0.31200000000000006</v>
      </c>
      <c r="AP44" s="193">
        <f>(Input!$C$19)*AP14</f>
        <v>0.34400000000000003</v>
      </c>
      <c r="AQ44" s="193">
        <f>(Input!$C$19)*AQ14</f>
        <v>0.376</v>
      </c>
      <c r="AR44" s="193">
        <f>(Input!$C$19)*AR14</f>
        <v>0.40800000000000003</v>
      </c>
      <c r="AS44" s="193">
        <f>(Input!$C$19)*AS14</f>
        <v>0.43200000000000005</v>
      </c>
      <c r="AT44" s="193">
        <f>(Input!$C$19)*AT14</f>
        <v>0.46399999999999997</v>
      </c>
      <c r="AU44" s="193">
        <f>(Input!$C$19)*AU14</f>
        <v>0.504</v>
      </c>
      <c r="AV44" s="193">
        <f>(Input!$C$19)*AV14</f>
        <v>0.54400000000000004</v>
      </c>
      <c r="AW44" s="193">
        <f>(Input!$C$19)*AW14</f>
        <v>0.58399999999999996</v>
      </c>
      <c r="AX44" s="193">
        <f>(Input!$C$19)*AX14</f>
        <v>0.64000000000000012</v>
      </c>
      <c r="AY44" s="193">
        <f>(Input!$C$19)*AY14</f>
        <v>0.69600000000000006</v>
      </c>
      <c r="AZ44" s="193">
        <f>(Input!$C$19)*AZ14</f>
        <v>0.76800000000000002</v>
      </c>
      <c r="BA44" s="193">
        <f>(Input!$C$19)*BA14</f>
        <v>0.84800000000000009</v>
      </c>
      <c r="BB44" s="193">
        <f>(Input!$C$19)*BB14</f>
        <v>0.94399999999999995</v>
      </c>
      <c r="BC44" s="193">
        <f>(Input!$C$19)*BC14</f>
        <v>1.048</v>
      </c>
      <c r="BD44" s="193">
        <f>(Input!$C$19)*BD14</f>
        <v>1.1679999999999999</v>
      </c>
      <c r="BE44" s="193">
        <f>(Input!$C$19)*BE14</f>
        <v>1.304</v>
      </c>
      <c r="BF44" s="193">
        <f>(Input!$C$19)*BF14</f>
        <v>1.4400000000000002</v>
      </c>
      <c r="BG44" s="193">
        <f>(Input!$C$19)*BG14</f>
        <v>1.5760000000000001</v>
      </c>
      <c r="BH44" s="193">
        <f>(Input!$C$19)*BH14</f>
        <v>1.6879999999999999</v>
      </c>
      <c r="BI44" s="193">
        <f>(Input!$C$19)*BI14</f>
        <v>1.784</v>
      </c>
      <c r="BJ44" s="193">
        <f>(Input!$C$19)*BJ14</f>
        <v>1.8559999999999999</v>
      </c>
      <c r="BK44" s="193">
        <f>(Input!$C$19)*BK14</f>
        <v>1.9440000000000002</v>
      </c>
      <c r="BL44" s="193">
        <f>(Input!$C$19)*BL14</f>
        <v>2.056</v>
      </c>
      <c r="BM44" s="193">
        <f>(Input!$C$19)*BM14</f>
        <v>2.2320000000000002</v>
      </c>
      <c r="BN44" s="193">
        <f>(Input!$C$19)*BN14</f>
        <v>2.4800000000000004</v>
      </c>
      <c r="BO44" s="193">
        <f>(Input!$C$19)*BO14</f>
        <v>2.7920000000000003</v>
      </c>
      <c r="BP44" s="193">
        <f>(Input!$C$19)*BP14</f>
        <v>3.1520000000000001</v>
      </c>
      <c r="BQ44" s="193">
        <f>(Input!$C$19)*BQ14</f>
        <v>3.5520000000000005</v>
      </c>
      <c r="BR44" s="193">
        <f>(Input!$C$19)*BR14</f>
        <v>3.9840000000000004</v>
      </c>
      <c r="BS44" s="193">
        <f>(Input!$C$19)*BS14</f>
        <v>4.4560000000000004</v>
      </c>
      <c r="BT44" s="193">
        <f>(Input!$C$19)*BT14</f>
        <v>4.8960000000000008</v>
      </c>
      <c r="BU44" s="193">
        <f>(Input!$C$19)*BU14</f>
        <v>5.3120000000000003</v>
      </c>
      <c r="BV44" s="193">
        <f>(Input!$C$19)*BV14</f>
        <v>5.7680000000000007</v>
      </c>
      <c r="BW44" s="193">
        <f>(Input!$C$19)*BW14</f>
        <v>6.32</v>
      </c>
      <c r="BX44" s="193">
        <f>(Input!$C$19)*BX14</f>
        <v>7.0720000000000001</v>
      </c>
      <c r="BY44" s="193">
        <f>(Input!$C$19)*BY14</f>
        <v>7.9280000000000008</v>
      </c>
      <c r="BZ44" s="193">
        <f>(Input!$C$19)*BZ14</f>
        <v>8.7840000000000007</v>
      </c>
      <c r="CA44" s="193">
        <f>(Input!$C$19)*CA14</f>
        <v>9.2319999999999993</v>
      </c>
      <c r="CB44" s="193">
        <f>(Input!$C$19)*CB14</f>
        <v>9.8320000000000007</v>
      </c>
      <c r="CC44" s="193">
        <f>(Input!$C$19)*CC14</f>
        <v>10.440000000000001</v>
      </c>
      <c r="CD44" s="193">
        <f>(Input!$C$19)*CD14</f>
        <v>11.088000000000001</v>
      </c>
      <c r="CE44" s="193">
        <f>(Input!$C$19)*CE14</f>
        <v>12.472000000000001</v>
      </c>
      <c r="CF44" s="193">
        <f>(Input!$C$19)*CF14</f>
        <v>14.224000000000002</v>
      </c>
      <c r="CG44" s="193">
        <f>(Input!$C$19)*CG14</f>
        <v>16.936000000000003</v>
      </c>
      <c r="CH44" s="193">
        <f>(Input!$C$19)*CH14</f>
        <v>21.216000000000001</v>
      </c>
      <c r="CI44" s="193">
        <f>(Input!$C$19)*CI14</f>
        <v>26.112000000000002</v>
      </c>
      <c r="CJ44" s="193">
        <f>(Input!$C$19)*CJ14</f>
        <v>32.848000000000006</v>
      </c>
      <c r="CK44" s="193">
        <f>(Input!$C$19)*CK14</f>
        <v>41.136000000000003</v>
      </c>
      <c r="CL44" s="193">
        <f>(Input!$C$19)*CL14</f>
        <v>50.608000000000004</v>
      </c>
      <c r="CM44" s="193">
        <f>(Input!$C$19)*CM14</f>
        <v>61</v>
      </c>
      <c r="CN44" s="193">
        <f>(Input!$C$19)*CN14</f>
        <v>73.072000000000003</v>
      </c>
      <c r="CO44" s="193">
        <f>(Input!$C$19)*CO14</f>
        <v>110.24000000000001</v>
      </c>
      <c r="CP44" s="193">
        <f>(Input!$C$19)*CP14</f>
        <v>158.57600000000002</v>
      </c>
      <c r="CQ44" s="193">
        <f>(Input!$C$19)*CQ14</f>
        <v>168.86400000000003</v>
      </c>
      <c r="CR44" s="193">
        <f>(Input!$C$19)*CR14</f>
        <v>182.232</v>
      </c>
      <c r="CS44" s="193">
        <f>(Input!$C$19)*CS14</f>
        <v>196.47200000000001</v>
      </c>
      <c r="CT44" s="193">
        <f>(Input!$C$19)*CT14</f>
        <v>211.96</v>
      </c>
      <c r="CU44" s="193">
        <f>(Input!$C$19)*CU14</f>
        <v>228.36799999999999</v>
      </c>
      <c r="CV44" s="193">
        <f>(Input!$C$19)*CV14</f>
        <v>245.36</v>
      </c>
      <c r="CW44" s="193">
        <f>(Input!$C$19)*CW14</f>
        <v>262.60000000000002</v>
      </c>
    </row>
    <row r="45" spans="1:101" s="53" customFormat="1" x14ac:dyDescent="0.25">
      <c r="A45" s="192">
        <f t="shared" si="5"/>
        <v>4</v>
      </c>
      <c r="B45" s="193">
        <f>(Input!$C$19)*B15</f>
        <v>8.0000000000000016E-2</v>
      </c>
      <c r="C45" s="193">
        <f>(Input!$C$19)*C15</f>
        <v>7.1999999999999995E-2</v>
      </c>
      <c r="D45" s="193">
        <f>(Input!$C$19)*D15</f>
        <v>7.1999999999999995E-2</v>
      </c>
      <c r="E45" s="193">
        <f>(Input!$C$19)*E15</f>
        <v>6.4000000000000001E-2</v>
      </c>
      <c r="F45" s="193">
        <f>(Input!$C$19)*F15</f>
        <v>6.4000000000000001E-2</v>
      </c>
      <c r="G45" s="193">
        <f>(Input!$C$19)*G15</f>
        <v>6.4000000000000001E-2</v>
      </c>
      <c r="H45" s="193">
        <f>(Input!$C$19)*H15</f>
        <v>6.4000000000000001E-2</v>
      </c>
      <c r="I45" s="193">
        <f>(Input!$C$19)*I15</f>
        <v>6.4000000000000001E-2</v>
      </c>
      <c r="J45" s="193">
        <f>(Input!$C$19)*J15</f>
        <v>6.4000000000000001E-2</v>
      </c>
      <c r="K45" s="193">
        <f>(Input!$C$19)*K15</f>
        <v>8.0000000000000016E-2</v>
      </c>
      <c r="L45" s="193">
        <f>(Input!$C$19)*L15</f>
        <v>0.10400000000000001</v>
      </c>
      <c r="M45" s="193">
        <f>(Input!$C$19)*M15</f>
        <v>0.15200000000000002</v>
      </c>
      <c r="N45" s="193">
        <f>(Input!$C$19)*N15</f>
        <v>0.23199999999999998</v>
      </c>
      <c r="O45" s="193">
        <f>(Input!$C$19)*O15</f>
        <v>0.33600000000000002</v>
      </c>
      <c r="P45" s="193">
        <f>(Input!$C$19)*P15</f>
        <v>0.45599999999999996</v>
      </c>
      <c r="Q45" s="193">
        <f>(Input!$C$19)*Q15</f>
        <v>0.55199999999999994</v>
      </c>
      <c r="R45" s="193">
        <f>(Input!$C$19)*R15</f>
        <v>0.57599999999999996</v>
      </c>
      <c r="S45" s="193">
        <f>(Input!$C$19)*S15</f>
        <v>0.59199999999999997</v>
      </c>
      <c r="T45" s="193">
        <f>(Input!$C$19)*T15</f>
        <v>0.6160000000000001</v>
      </c>
      <c r="U45" s="193">
        <f>(Input!$C$19)*U15</f>
        <v>0.52</v>
      </c>
      <c r="V45" s="193">
        <f>(Input!$C$19)*V15</f>
        <v>0.48799999999999999</v>
      </c>
      <c r="W45" s="193">
        <f>(Input!$C$19)*W15</f>
        <v>0.39200000000000002</v>
      </c>
      <c r="X45" s="193">
        <f>(Input!$C$19)*X15</f>
        <v>0.32000000000000006</v>
      </c>
      <c r="Y45" s="193">
        <f>(Input!$C$19)*Y15</f>
        <v>0.27200000000000002</v>
      </c>
      <c r="Z45" s="193">
        <f>(Input!$C$19)*Z15</f>
        <v>0.23199999999999998</v>
      </c>
      <c r="AA45" s="193">
        <f>(Input!$C$19)*AA15</f>
        <v>0.2</v>
      </c>
      <c r="AB45" s="193">
        <f>(Input!$C$19)*AB15</f>
        <v>0.192</v>
      </c>
      <c r="AC45" s="193">
        <f>(Input!$C$19)*AC15</f>
        <v>0.18400000000000002</v>
      </c>
      <c r="AD45" s="193">
        <f>(Input!$C$19)*AD15</f>
        <v>0.192</v>
      </c>
      <c r="AE45" s="193">
        <f>(Input!$C$19)*AE15</f>
        <v>0.2</v>
      </c>
      <c r="AF45" s="193">
        <f>(Input!$C$19)*AF15</f>
        <v>0.20800000000000002</v>
      </c>
      <c r="AG45" s="193">
        <f>(Input!$C$19)*AG15</f>
        <v>0.20800000000000002</v>
      </c>
      <c r="AH45" s="193">
        <f>(Input!$C$19)*AH15</f>
        <v>0.21600000000000003</v>
      </c>
      <c r="AI45" s="193">
        <f>(Input!$C$19)*AI15</f>
        <v>0.23199999999999998</v>
      </c>
      <c r="AJ45" s="193">
        <f>(Input!$C$19)*AJ15</f>
        <v>0.24</v>
      </c>
      <c r="AK45" s="193">
        <f>(Input!$C$19)*AK15</f>
        <v>0.26400000000000001</v>
      </c>
      <c r="AL45" s="193">
        <f>(Input!$C$19)*AL15</f>
        <v>0.28799999999999998</v>
      </c>
      <c r="AM45" s="193">
        <f>(Input!$C$19)*AM15</f>
        <v>0.32000000000000006</v>
      </c>
      <c r="AN45" s="193">
        <f>(Input!$C$19)*AN15</f>
        <v>0.33600000000000002</v>
      </c>
      <c r="AO45" s="193">
        <f>(Input!$C$19)*AO15</f>
        <v>0.36800000000000005</v>
      </c>
      <c r="AP45" s="193">
        <f>(Input!$C$19)*AP15</f>
        <v>0.40800000000000003</v>
      </c>
      <c r="AQ45" s="193">
        <f>(Input!$C$19)*AQ15</f>
        <v>0.44000000000000006</v>
      </c>
      <c r="AR45" s="193">
        <f>(Input!$C$19)*AR15</f>
        <v>0.47199999999999998</v>
      </c>
      <c r="AS45" s="193">
        <f>(Input!$C$19)*AS15</f>
        <v>0.52</v>
      </c>
      <c r="AT45" s="193">
        <f>(Input!$C$19)*AT15</f>
        <v>0.56799999999999995</v>
      </c>
      <c r="AU45" s="193">
        <f>(Input!$C$19)*AU15</f>
        <v>0.6160000000000001</v>
      </c>
      <c r="AV45" s="193">
        <f>(Input!$C$19)*AV15</f>
        <v>0.66400000000000003</v>
      </c>
      <c r="AW45" s="193">
        <f>(Input!$C$19)*AW15</f>
        <v>0.72000000000000008</v>
      </c>
      <c r="AX45" s="193">
        <f>(Input!$C$19)*AX15</f>
        <v>0.77600000000000002</v>
      </c>
      <c r="AY45" s="193">
        <f>(Input!$C$19)*AY15</f>
        <v>0.84800000000000009</v>
      </c>
      <c r="AZ45" s="193">
        <f>(Input!$C$19)*AZ15</f>
        <v>0.92799999999999994</v>
      </c>
      <c r="BA45" s="193">
        <f>(Input!$C$19)*BA15</f>
        <v>1.024</v>
      </c>
      <c r="BB45" s="193">
        <f>(Input!$C$19)*BB15</f>
        <v>1.1359999999999999</v>
      </c>
      <c r="BC45" s="193">
        <f>(Input!$C$19)*BC15</f>
        <v>1.2800000000000002</v>
      </c>
      <c r="BD45" s="193">
        <f>(Input!$C$19)*BD15</f>
        <v>1.4480000000000002</v>
      </c>
      <c r="BE45" s="193">
        <f>(Input!$C$19)*BE15</f>
        <v>1.5680000000000001</v>
      </c>
      <c r="BF45" s="193">
        <f>(Input!$C$19)*BF15</f>
        <v>1.6879999999999999</v>
      </c>
      <c r="BG45" s="193">
        <f>(Input!$C$19)*BG15</f>
        <v>1.8160000000000001</v>
      </c>
      <c r="BH45" s="193">
        <f>(Input!$C$19)*BH15</f>
        <v>1.9760000000000002</v>
      </c>
      <c r="BI45" s="193">
        <f>(Input!$C$19)*BI15</f>
        <v>2.1440000000000001</v>
      </c>
      <c r="BJ45" s="193">
        <f>(Input!$C$19)*BJ15</f>
        <v>2.2079999999999997</v>
      </c>
      <c r="BK45" s="193">
        <f>(Input!$C$19)*BK15</f>
        <v>2.3039999999999998</v>
      </c>
      <c r="BL45" s="193">
        <f>(Input!$C$19)*BL15</f>
        <v>2.4640000000000004</v>
      </c>
      <c r="BM45" s="193">
        <f>(Input!$C$19)*BM15</f>
        <v>2.7280000000000002</v>
      </c>
      <c r="BN45" s="193">
        <f>(Input!$C$19)*BN15</f>
        <v>3.0720000000000001</v>
      </c>
      <c r="BO45" s="193">
        <f>(Input!$C$19)*BO15</f>
        <v>3.472</v>
      </c>
      <c r="BP45" s="193">
        <f>(Input!$C$19)*BP15</f>
        <v>3.9200000000000004</v>
      </c>
      <c r="BQ45" s="193">
        <f>(Input!$C$19)*BQ15</f>
        <v>4.4320000000000004</v>
      </c>
      <c r="BR45" s="193">
        <f>(Input!$C$19)*BR15</f>
        <v>5.008</v>
      </c>
      <c r="BS45" s="193">
        <f>(Input!$C$19)*BS15</f>
        <v>5.6560000000000006</v>
      </c>
      <c r="BT45" s="193">
        <f>(Input!$C$19)*BT15</f>
        <v>6.2720000000000002</v>
      </c>
      <c r="BU45" s="193">
        <f>(Input!$C$19)*BU15</f>
        <v>6.8719999999999999</v>
      </c>
      <c r="BV45" s="193">
        <f>(Input!$C$19)*BV15</f>
        <v>7.5200000000000005</v>
      </c>
      <c r="BW45" s="193">
        <f>(Input!$C$19)*BW15</f>
        <v>8.3120000000000012</v>
      </c>
      <c r="BX45" s="193">
        <f>(Input!$C$19)*BX15</f>
        <v>9.3920000000000012</v>
      </c>
      <c r="BY45" s="193">
        <f>(Input!$C$19)*BY15</f>
        <v>10.616</v>
      </c>
      <c r="BZ45" s="193">
        <f>(Input!$C$19)*BZ15</f>
        <v>12.064</v>
      </c>
      <c r="CA45" s="193">
        <f>(Input!$C$19)*CA15</f>
        <v>12.968000000000002</v>
      </c>
      <c r="CB45" s="193">
        <f>(Input!$C$19)*CB15</f>
        <v>14.096000000000002</v>
      </c>
      <c r="CC45" s="193">
        <f>(Input!$C$19)*CC15</f>
        <v>15.168000000000001</v>
      </c>
      <c r="CD45" s="193">
        <f>(Input!$C$19)*CD15</f>
        <v>16.431999999999999</v>
      </c>
      <c r="CE45" s="193">
        <f>(Input!$C$19)*CE15</f>
        <v>18.632000000000001</v>
      </c>
      <c r="CF45" s="193">
        <f>(Input!$C$19)*CF15</f>
        <v>21.432000000000002</v>
      </c>
      <c r="CG45" s="193">
        <f>(Input!$C$19)*CG15</f>
        <v>25.52</v>
      </c>
      <c r="CH45" s="193">
        <f>(Input!$C$19)*CH15</f>
        <v>32.192</v>
      </c>
      <c r="CI45" s="193">
        <f>(Input!$C$19)*CI15</f>
        <v>39.680000000000007</v>
      </c>
      <c r="CJ45" s="193">
        <f>(Input!$C$19)*CJ15</f>
        <v>50.463999999999999</v>
      </c>
      <c r="CK45" s="193">
        <f>(Input!$C$19)*CK15</f>
        <v>64.472000000000008</v>
      </c>
      <c r="CL45" s="193">
        <f>(Input!$C$19)*CL15</f>
        <v>80.591999999999999</v>
      </c>
      <c r="CM45" s="193">
        <f>(Input!$C$19)*CM15</f>
        <v>98.632000000000005</v>
      </c>
      <c r="CN45" s="193">
        <f>(Input!$C$19)*CN15</f>
        <v>120.77600000000001</v>
      </c>
      <c r="CO45" s="193">
        <f>(Input!$C$19)*CO15</f>
        <v>158.57600000000002</v>
      </c>
      <c r="CP45" s="193">
        <f>(Input!$C$19)*CP15</f>
        <v>168.86400000000003</v>
      </c>
      <c r="CQ45" s="193">
        <f>(Input!$C$19)*CQ15</f>
        <v>182.232</v>
      </c>
      <c r="CR45" s="193">
        <f>(Input!$C$19)*CR15</f>
        <v>196.47200000000001</v>
      </c>
      <c r="CS45" s="193">
        <f>(Input!$C$19)*CS15</f>
        <v>211.96</v>
      </c>
      <c r="CT45" s="193">
        <f>(Input!$C$19)*CT15</f>
        <v>228.36799999999999</v>
      </c>
      <c r="CU45" s="193">
        <f>(Input!$C$19)*CU15</f>
        <v>245.36</v>
      </c>
      <c r="CV45" s="193">
        <f>(Input!$C$19)*CV15</f>
        <v>262.60000000000002</v>
      </c>
      <c r="CW45" s="193">
        <f>(Input!$C$19)*CW15</f>
        <v>280.01600000000002</v>
      </c>
    </row>
    <row r="46" spans="1:101" s="53" customFormat="1" x14ac:dyDescent="0.25">
      <c r="A46" s="192">
        <f t="shared" si="5"/>
        <v>5</v>
      </c>
      <c r="B46" s="193">
        <f>(Input!$C$19)*B16</f>
        <v>7.1999999999999995E-2</v>
      </c>
      <c r="C46" s="193">
        <f>(Input!$C$19)*C16</f>
        <v>7.1999999999999995E-2</v>
      </c>
      <c r="D46" s="193">
        <f>(Input!$C$19)*D16</f>
        <v>6.4000000000000001E-2</v>
      </c>
      <c r="E46" s="193">
        <f>(Input!$C$19)*E16</f>
        <v>6.4000000000000001E-2</v>
      </c>
      <c r="F46" s="193">
        <f>(Input!$C$19)*F16</f>
        <v>6.4000000000000001E-2</v>
      </c>
      <c r="G46" s="193">
        <f>(Input!$C$19)*G16</f>
        <v>6.4000000000000001E-2</v>
      </c>
      <c r="H46" s="193">
        <f>(Input!$C$19)*H16</f>
        <v>6.4000000000000001E-2</v>
      </c>
      <c r="I46" s="193">
        <f>(Input!$C$19)*I16</f>
        <v>6.4000000000000001E-2</v>
      </c>
      <c r="J46" s="193">
        <f>(Input!$C$19)*J16</f>
        <v>8.0000000000000016E-2</v>
      </c>
      <c r="K46" s="193">
        <f>(Input!$C$19)*K16</f>
        <v>0.10400000000000001</v>
      </c>
      <c r="L46" s="193">
        <f>(Input!$C$19)*L16</f>
        <v>0.15200000000000002</v>
      </c>
      <c r="M46" s="193">
        <f>(Input!$C$19)*M16</f>
        <v>0.23199999999999998</v>
      </c>
      <c r="N46" s="193">
        <f>(Input!$C$19)*N16</f>
        <v>0.33600000000000002</v>
      </c>
      <c r="O46" s="193">
        <f>(Input!$C$19)*O16</f>
        <v>0.45599999999999996</v>
      </c>
      <c r="P46" s="193">
        <f>(Input!$C$19)*P16</f>
        <v>0.55199999999999994</v>
      </c>
      <c r="Q46" s="193">
        <f>(Input!$C$19)*Q16</f>
        <v>0.57599999999999996</v>
      </c>
      <c r="R46" s="193">
        <f>(Input!$C$19)*R16</f>
        <v>0.59199999999999997</v>
      </c>
      <c r="S46" s="193">
        <f>(Input!$C$19)*S16</f>
        <v>0.6160000000000001</v>
      </c>
      <c r="T46" s="193">
        <f>(Input!$C$19)*T16</f>
        <v>0.60000000000000009</v>
      </c>
      <c r="U46" s="193">
        <f>(Input!$C$19)*U16</f>
        <v>0.51200000000000001</v>
      </c>
      <c r="V46" s="193">
        <f>(Input!$C$19)*V16</f>
        <v>0.47199999999999998</v>
      </c>
      <c r="W46" s="193">
        <f>(Input!$C$19)*W16</f>
        <v>0.376</v>
      </c>
      <c r="X46" s="193">
        <f>(Input!$C$19)*X16</f>
        <v>0.31200000000000006</v>
      </c>
      <c r="Y46" s="193">
        <f>(Input!$C$19)*Y16</f>
        <v>0.26400000000000001</v>
      </c>
      <c r="Z46" s="193">
        <f>(Input!$C$19)*Z16</f>
        <v>0.23199999999999998</v>
      </c>
      <c r="AA46" s="193">
        <f>(Input!$C$19)*AA16</f>
        <v>0.20800000000000002</v>
      </c>
      <c r="AB46" s="193">
        <f>(Input!$C$19)*AB16</f>
        <v>0.192</v>
      </c>
      <c r="AC46" s="193">
        <f>(Input!$C$19)*AC16</f>
        <v>0.2</v>
      </c>
      <c r="AD46" s="193">
        <f>(Input!$C$19)*AD16</f>
        <v>0.20800000000000002</v>
      </c>
      <c r="AE46" s="193">
        <f>(Input!$C$19)*AE16</f>
        <v>0.22400000000000003</v>
      </c>
      <c r="AF46" s="193">
        <f>(Input!$C$19)*AF16</f>
        <v>0.22400000000000003</v>
      </c>
      <c r="AG46" s="193">
        <f>(Input!$C$19)*AG16</f>
        <v>0.22400000000000003</v>
      </c>
      <c r="AH46" s="193">
        <f>(Input!$C$19)*AH16</f>
        <v>0.24</v>
      </c>
      <c r="AI46" s="193">
        <f>(Input!$C$19)*AI16</f>
        <v>0.248</v>
      </c>
      <c r="AJ46" s="193">
        <f>(Input!$C$19)*AJ16</f>
        <v>0.27200000000000002</v>
      </c>
      <c r="AK46" s="193">
        <f>(Input!$C$19)*AK16</f>
        <v>0.30400000000000005</v>
      </c>
      <c r="AL46" s="193">
        <f>(Input!$C$19)*AL16</f>
        <v>0.33600000000000002</v>
      </c>
      <c r="AM46" s="193">
        <f>(Input!$C$19)*AM16</f>
        <v>0.36800000000000005</v>
      </c>
      <c r="AN46" s="193">
        <f>(Input!$C$19)*AN16</f>
        <v>0.39200000000000002</v>
      </c>
      <c r="AO46" s="193">
        <f>(Input!$C$19)*AO16</f>
        <v>0.42400000000000004</v>
      </c>
      <c r="AP46" s="193">
        <f>(Input!$C$19)*AP16</f>
        <v>0.47199999999999998</v>
      </c>
      <c r="AQ46" s="193">
        <f>(Input!$C$19)*AQ16</f>
        <v>0.51200000000000001</v>
      </c>
      <c r="AR46" s="193">
        <f>(Input!$C$19)*AR16</f>
        <v>0.55199999999999994</v>
      </c>
      <c r="AS46" s="193">
        <f>(Input!$C$19)*AS16</f>
        <v>0.59199999999999997</v>
      </c>
      <c r="AT46" s="193">
        <f>(Input!$C$19)*AT16</f>
        <v>0.63200000000000012</v>
      </c>
      <c r="AU46" s="193">
        <f>(Input!$C$19)*AU16</f>
        <v>0.67200000000000004</v>
      </c>
      <c r="AV46" s="193">
        <f>(Input!$C$19)*AV16</f>
        <v>0.72800000000000009</v>
      </c>
      <c r="AW46" s="193">
        <f>(Input!$C$19)*AW16</f>
        <v>0.8</v>
      </c>
      <c r="AX46" s="193">
        <f>(Input!$C$19)*AX16</f>
        <v>0.88800000000000012</v>
      </c>
      <c r="AY46" s="193">
        <f>(Input!$C$19)*AY16</f>
        <v>1</v>
      </c>
      <c r="AZ46" s="193">
        <f>(Input!$C$19)*AZ16</f>
        <v>1.1199999999999999</v>
      </c>
      <c r="BA46" s="193">
        <f>(Input!$C$19)*BA16</f>
        <v>1.2400000000000002</v>
      </c>
      <c r="BB46" s="193">
        <f>(Input!$C$19)*BB16</f>
        <v>1.36</v>
      </c>
      <c r="BC46" s="193">
        <f>(Input!$C$19)*BC16</f>
        <v>1.4800000000000002</v>
      </c>
      <c r="BD46" s="193">
        <f>(Input!$C$19)*BD16</f>
        <v>1.5920000000000001</v>
      </c>
      <c r="BE46" s="193">
        <f>(Input!$C$19)*BE16</f>
        <v>1.7120000000000002</v>
      </c>
      <c r="BF46" s="193">
        <f>(Input!$C$19)*BF16</f>
        <v>1.8320000000000001</v>
      </c>
      <c r="BG46" s="193">
        <f>(Input!$C$19)*BG16</f>
        <v>2.008</v>
      </c>
      <c r="BH46" s="193">
        <f>(Input!$C$19)*BH16</f>
        <v>2.2079999999999997</v>
      </c>
      <c r="BI46" s="193">
        <f>(Input!$C$19)*BI16</f>
        <v>2.3839999999999999</v>
      </c>
      <c r="BJ46" s="193">
        <f>(Input!$C$19)*BJ16</f>
        <v>2.6240000000000001</v>
      </c>
      <c r="BK46" s="193">
        <f>(Input!$C$19)*BK16</f>
        <v>2.9039999999999999</v>
      </c>
      <c r="BL46" s="193">
        <f>(Input!$C$19)*BL16</f>
        <v>3.2159999999999997</v>
      </c>
      <c r="BM46" s="193">
        <f>(Input!$C$19)*BM16</f>
        <v>3.5680000000000001</v>
      </c>
      <c r="BN46" s="193">
        <f>(Input!$C$19)*BN16</f>
        <v>3.976</v>
      </c>
      <c r="BO46" s="193">
        <f>(Input!$C$19)*BO16</f>
        <v>4.4400000000000004</v>
      </c>
      <c r="BP46" s="193">
        <f>(Input!$C$19)*BP16</f>
        <v>4.976</v>
      </c>
      <c r="BQ46" s="193">
        <f>(Input!$C$19)*BQ16</f>
        <v>5.5840000000000005</v>
      </c>
      <c r="BR46" s="193">
        <f>(Input!$C$19)*BR16</f>
        <v>6.088000000000001</v>
      </c>
      <c r="BS46" s="193">
        <f>(Input!$C$19)*BS16</f>
        <v>6.8239999999999998</v>
      </c>
      <c r="BT46" s="193">
        <f>(Input!$C$19)*BT16</f>
        <v>7.4720000000000004</v>
      </c>
      <c r="BU46" s="193">
        <f>(Input!$C$19)*BU16</f>
        <v>8.0400000000000009</v>
      </c>
      <c r="BV46" s="193">
        <f>(Input!$C$19)*BV16</f>
        <v>8.7680000000000007</v>
      </c>
      <c r="BW46" s="193">
        <f>(Input!$C$19)*BW16</f>
        <v>10.048000000000002</v>
      </c>
      <c r="BX46" s="193">
        <f>(Input!$C$19)*BX16</f>
        <v>11.384</v>
      </c>
      <c r="BY46" s="193">
        <f>(Input!$C$19)*BY16</f>
        <v>12.975999999999999</v>
      </c>
      <c r="BZ46" s="193">
        <f>(Input!$C$19)*BZ16</f>
        <v>14.92</v>
      </c>
      <c r="CA46" s="193">
        <f>(Input!$C$19)*CA16</f>
        <v>16.431999999999999</v>
      </c>
      <c r="CB46" s="193">
        <f>(Input!$C$19)*CB16</f>
        <v>17.919999999999998</v>
      </c>
      <c r="CC46" s="193">
        <f>(Input!$C$19)*CC16</f>
        <v>19.591999999999999</v>
      </c>
      <c r="CD46" s="193">
        <f>(Input!$C$19)*CD16</f>
        <v>21.263999999999999</v>
      </c>
      <c r="CE46" s="193">
        <f>(Input!$C$19)*CE16</f>
        <v>24.103999999999999</v>
      </c>
      <c r="CF46" s="193">
        <f>(Input!$C$19)*CF16</f>
        <v>27.824000000000002</v>
      </c>
      <c r="CG46" s="193">
        <f>(Input!$C$19)*CG16</f>
        <v>33.423999999999999</v>
      </c>
      <c r="CH46" s="193">
        <f>(Input!$C$19)*CH16</f>
        <v>42.256</v>
      </c>
      <c r="CI46" s="193">
        <f>(Input!$C$19)*CI16</f>
        <v>52.991999999999997</v>
      </c>
      <c r="CJ46" s="193">
        <f>(Input!$C$19)*CJ16</f>
        <v>68.584000000000003</v>
      </c>
      <c r="CK46" s="193">
        <f>(Input!$C$19)*CK16</f>
        <v>88.56</v>
      </c>
      <c r="CL46" s="193">
        <f>(Input!$C$19)*CL16</f>
        <v>111.68</v>
      </c>
      <c r="CM46" s="193">
        <f>(Input!$C$19)*CM16</f>
        <v>136.14400000000001</v>
      </c>
      <c r="CN46" s="193">
        <f>(Input!$C$19)*CN16</f>
        <v>158.57600000000002</v>
      </c>
      <c r="CO46" s="193">
        <f>(Input!$C$19)*CO16</f>
        <v>168.86400000000003</v>
      </c>
      <c r="CP46" s="193">
        <f>(Input!$C$19)*CP16</f>
        <v>182.232</v>
      </c>
      <c r="CQ46" s="193">
        <f>(Input!$C$19)*CQ16</f>
        <v>196.47200000000001</v>
      </c>
      <c r="CR46" s="193">
        <f>(Input!$C$19)*CR16</f>
        <v>211.96</v>
      </c>
      <c r="CS46" s="193">
        <f>(Input!$C$19)*CS16</f>
        <v>228.36799999999999</v>
      </c>
      <c r="CT46" s="193">
        <f>(Input!$C$19)*CT16</f>
        <v>245.36</v>
      </c>
      <c r="CU46" s="193">
        <f>(Input!$C$19)*CU16</f>
        <v>262.60000000000002</v>
      </c>
      <c r="CV46" s="193">
        <f>(Input!$C$19)*CV16</f>
        <v>280.01600000000002</v>
      </c>
      <c r="CW46" s="193">
        <f>(Input!$C$19)*CW16</f>
        <v>297.32</v>
      </c>
    </row>
    <row r="47" spans="1:101" s="53" customFormat="1" x14ac:dyDescent="0.25">
      <c r="A47" s="192">
        <f t="shared" si="5"/>
        <v>6</v>
      </c>
      <c r="B47" s="193">
        <f>(Input!$C$19)*B17</f>
        <v>7.1999999999999995E-2</v>
      </c>
      <c r="C47" s="193">
        <f>(Input!$C$19)*C17</f>
        <v>6.4000000000000001E-2</v>
      </c>
      <c r="D47" s="193">
        <f>(Input!$C$19)*D17</f>
        <v>6.4000000000000001E-2</v>
      </c>
      <c r="E47" s="193">
        <f>(Input!$C$19)*E17</f>
        <v>6.4000000000000001E-2</v>
      </c>
      <c r="F47" s="193">
        <f>(Input!$C$19)*F17</f>
        <v>6.4000000000000001E-2</v>
      </c>
      <c r="G47" s="193">
        <f>(Input!$C$19)*G17</f>
        <v>6.4000000000000001E-2</v>
      </c>
      <c r="H47" s="193">
        <f>(Input!$C$19)*H17</f>
        <v>6.4000000000000001E-2</v>
      </c>
      <c r="I47" s="193">
        <f>(Input!$C$19)*I17</f>
        <v>8.0000000000000016E-2</v>
      </c>
      <c r="J47" s="193">
        <f>(Input!$C$19)*J17</f>
        <v>0.10400000000000001</v>
      </c>
      <c r="K47" s="193">
        <f>(Input!$C$19)*K17</f>
        <v>0.15200000000000002</v>
      </c>
      <c r="L47" s="193">
        <f>(Input!$C$19)*L17</f>
        <v>0.23199999999999998</v>
      </c>
      <c r="M47" s="193">
        <f>(Input!$C$19)*M17</f>
        <v>0.33600000000000002</v>
      </c>
      <c r="N47" s="193">
        <f>(Input!$C$19)*N17</f>
        <v>0.45599999999999996</v>
      </c>
      <c r="O47" s="193">
        <f>(Input!$C$19)*O17</f>
        <v>0.55199999999999994</v>
      </c>
      <c r="P47" s="193">
        <f>(Input!$C$19)*P17</f>
        <v>0.57599999999999996</v>
      </c>
      <c r="Q47" s="193">
        <f>(Input!$C$19)*Q17</f>
        <v>0.59199999999999997</v>
      </c>
      <c r="R47" s="193">
        <f>(Input!$C$19)*R17</f>
        <v>0.6160000000000001</v>
      </c>
      <c r="S47" s="193">
        <f>(Input!$C$19)*S17</f>
        <v>0.60000000000000009</v>
      </c>
      <c r="T47" s="193">
        <f>(Input!$C$19)*T17</f>
        <v>0.57599999999999996</v>
      </c>
      <c r="U47" s="193">
        <f>(Input!$C$19)*U17</f>
        <v>0.52</v>
      </c>
      <c r="V47" s="193">
        <f>(Input!$C$19)*V17</f>
        <v>0.45599999999999996</v>
      </c>
      <c r="W47" s="193">
        <f>(Input!$C$19)*W17</f>
        <v>0.376</v>
      </c>
      <c r="X47" s="193">
        <f>(Input!$C$19)*X17</f>
        <v>0.31200000000000006</v>
      </c>
      <c r="Y47" s="193">
        <f>(Input!$C$19)*Y17</f>
        <v>0.26400000000000001</v>
      </c>
      <c r="Z47" s="193">
        <f>(Input!$C$19)*Z17</f>
        <v>0.22400000000000003</v>
      </c>
      <c r="AA47" s="193">
        <f>(Input!$C$19)*AA17</f>
        <v>0.20800000000000002</v>
      </c>
      <c r="AB47" s="193">
        <f>(Input!$C$19)*AB17</f>
        <v>0.2</v>
      </c>
      <c r="AC47" s="193">
        <f>(Input!$C$19)*AC17</f>
        <v>0.20800000000000002</v>
      </c>
      <c r="AD47" s="193">
        <f>(Input!$C$19)*AD17</f>
        <v>0.22400000000000003</v>
      </c>
      <c r="AE47" s="193">
        <f>(Input!$C$19)*AE17</f>
        <v>0.248</v>
      </c>
      <c r="AF47" s="193">
        <f>(Input!$C$19)*AF17</f>
        <v>0.248</v>
      </c>
      <c r="AG47" s="193">
        <f>(Input!$C$19)*AG17</f>
        <v>0.248</v>
      </c>
      <c r="AH47" s="193">
        <f>(Input!$C$19)*AH17</f>
        <v>0.25600000000000001</v>
      </c>
      <c r="AI47" s="193">
        <f>(Input!$C$19)*AI17</f>
        <v>0.27999999999999997</v>
      </c>
      <c r="AJ47" s="193">
        <f>(Input!$C$19)*AJ17</f>
        <v>0.32000000000000006</v>
      </c>
      <c r="AK47" s="193">
        <f>(Input!$C$19)*AK17</f>
        <v>0.34400000000000003</v>
      </c>
      <c r="AL47" s="193">
        <f>(Input!$C$19)*AL17</f>
        <v>0.38400000000000001</v>
      </c>
      <c r="AM47" s="193">
        <f>(Input!$C$19)*AM17</f>
        <v>0.40800000000000003</v>
      </c>
      <c r="AN47" s="193">
        <f>(Input!$C$19)*AN17</f>
        <v>0.45599999999999996</v>
      </c>
      <c r="AO47" s="193">
        <f>(Input!$C$19)*AO17</f>
        <v>0.504</v>
      </c>
      <c r="AP47" s="193">
        <f>(Input!$C$19)*AP17</f>
        <v>0.54400000000000004</v>
      </c>
      <c r="AQ47" s="193">
        <f>(Input!$C$19)*AQ17</f>
        <v>0.58399999999999996</v>
      </c>
      <c r="AR47" s="193">
        <f>(Input!$C$19)*AR17</f>
        <v>0.6160000000000001</v>
      </c>
      <c r="AS47" s="193">
        <f>(Input!$C$19)*AS17</f>
        <v>0.65600000000000003</v>
      </c>
      <c r="AT47" s="193">
        <f>(Input!$C$19)*AT17</f>
        <v>0.69600000000000006</v>
      </c>
      <c r="AU47" s="193">
        <f>(Input!$C$19)*AU17</f>
        <v>0.752</v>
      </c>
      <c r="AV47" s="193">
        <f>(Input!$C$19)*AV17</f>
        <v>0.82400000000000007</v>
      </c>
      <c r="AW47" s="193">
        <f>(Input!$C$19)*AW17</f>
        <v>0.92799999999999994</v>
      </c>
      <c r="AX47" s="193">
        <f>(Input!$C$19)*AX17</f>
        <v>1.056</v>
      </c>
      <c r="AY47" s="193">
        <f>(Input!$C$19)*AY17</f>
        <v>1.1839999999999999</v>
      </c>
      <c r="AZ47" s="193">
        <f>(Input!$C$19)*AZ17</f>
        <v>1.3120000000000001</v>
      </c>
      <c r="BA47" s="193">
        <f>(Input!$C$19)*BA17</f>
        <v>1.4160000000000001</v>
      </c>
      <c r="BB47" s="193">
        <f>(Input!$C$19)*BB17</f>
        <v>1.504</v>
      </c>
      <c r="BC47" s="193">
        <f>(Input!$C$19)*BC17</f>
        <v>1.6</v>
      </c>
      <c r="BD47" s="193">
        <f>(Input!$C$19)*BD17</f>
        <v>1.736</v>
      </c>
      <c r="BE47" s="193">
        <f>(Input!$C$19)*BE17</f>
        <v>1.8559999999999999</v>
      </c>
      <c r="BF47" s="193">
        <f>(Input!$C$19)*BF17</f>
        <v>2.048</v>
      </c>
      <c r="BG47" s="193">
        <f>(Input!$C$19)*BG17</f>
        <v>2.2719999999999998</v>
      </c>
      <c r="BH47" s="193">
        <f>(Input!$C$19)*BH17</f>
        <v>2.5760000000000005</v>
      </c>
      <c r="BI47" s="193">
        <f>(Input!$C$19)*BI17</f>
        <v>2.9359999999999999</v>
      </c>
      <c r="BJ47" s="193">
        <f>(Input!$C$19)*BJ17</f>
        <v>3.3040000000000003</v>
      </c>
      <c r="BK47" s="193">
        <f>(Input!$C$19)*BK17</f>
        <v>3.6560000000000006</v>
      </c>
      <c r="BL47" s="193">
        <f>(Input!$C$19)*BL17</f>
        <v>4</v>
      </c>
      <c r="BM47" s="193">
        <f>(Input!$C$19)*BM17</f>
        <v>4.3520000000000003</v>
      </c>
      <c r="BN47" s="193">
        <f>(Input!$C$19)*BN17</f>
        <v>4.7280000000000006</v>
      </c>
      <c r="BO47" s="193">
        <f>(Input!$C$19)*BO17</f>
        <v>5.16</v>
      </c>
      <c r="BP47" s="193">
        <f>(Input!$C$19)*BP17</f>
        <v>5.6880000000000006</v>
      </c>
      <c r="BQ47" s="193">
        <f>(Input!$C$19)*BQ17</f>
        <v>6.3120000000000003</v>
      </c>
      <c r="BR47" s="193">
        <f>(Input!$C$19)*BR17</f>
        <v>7.0480000000000009</v>
      </c>
      <c r="BS47" s="193">
        <f>(Input!$C$19)*BS17</f>
        <v>7.8640000000000008</v>
      </c>
      <c r="BT47" s="193">
        <f>(Input!$C$19)*BT17</f>
        <v>8.5840000000000014</v>
      </c>
      <c r="BU47" s="193">
        <f>(Input!$C$19)*BU17</f>
        <v>9.4</v>
      </c>
      <c r="BV47" s="193">
        <f>(Input!$C$19)*BV17</f>
        <v>10.704000000000001</v>
      </c>
      <c r="BW47" s="193">
        <f>(Input!$C$19)*BW17</f>
        <v>12.152000000000001</v>
      </c>
      <c r="BX47" s="193">
        <f>(Input!$C$19)*BX17</f>
        <v>13.880000000000003</v>
      </c>
      <c r="BY47" s="193">
        <f>(Input!$C$19)*BY17</f>
        <v>15.991999999999999</v>
      </c>
      <c r="BZ47" s="193">
        <f>(Input!$C$19)*BZ17</f>
        <v>18.472000000000001</v>
      </c>
      <c r="CA47" s="193">
        <f>(Input!$C$19)*CA17</f>
        <v>20.391999999999999</v>
      </c>
      <c r="CB47" s="193">
        <f>(Input!$C$19)*CB17</f>
        <v>22.92</v>
      </c>
      <c r="CC47" s="193">
        <f>(Input!$C$19)*CC17</f>
        <v>25.064</v>
      </c>
      <c r="CD47" s="193">
        <f>(Input!$C$19)*CD17</f>
        <v>27.128</v>
      </c>
      <c r="CE47" s="193">
        <f>(Input!$C$19)*CE17</f>
        <v>30.904000000000003</v>
      </c>
      <c r="CF47" s="193">
        <f>(Input!$C$19)*CF17</f>
        <v>35.423999999999999</v>
      </c>
      <c r="CG47" s="193">
        <f>(Input!$C$19)*CG17</f>
        <v>42.824000000000005</v>
      </c>
      <c r="CH47" s="193">
        <f>(Input!$C$19)*CH17</f>
        <v>55.184000000000005</v>
      </c>
      <c r="CI47" s="193">
        <f>(Input!$C$19)*CI17</f>
        <v>70.367999999999995</v>
      </c>
      <c r="CJ47" s="193">
        <f>(Input!$C$19)*CJ17</f>
        <v>92.2</v>
      </c>
      <c r="CK47" s="193">
        <f>(Input!$C$19)*CK17</f>
        <v>116.81600000000002</v>
      </c>
      <c r="CL47" s="193">
        <f>(Input!$C$19)*CL17</f>
        <v>146.99200000000002</v>
      </c>
      <c r="CM47" s="193">
        <f>(Input!$C$19)*CM17</f>
        <v>158.57600000000002</v>
      </c>
      <c r="CN47" s="193">
        <f>(Input!$C$19)*CN17</f>
        <v>168.86400000000003</v>
      </c>
      <c r="CO47" s="193">
        <f>(Input!$C$19)*CO17</f>
        <v>182.232</v>
      </c>
      <c r="CP47" s="193">
        <f>(Input!$C$19)*CP17</f>
        <v>196.47200000000001</v>
      </c>
      <c r="CQ47" s="193">
        <f>(Input!$C$19)*CQ17</f>
        <v>211.96</v>
      </c>
      <c r="CR47" s="193">
        <f>(Input!$C$19)*CR17</f>
        <v>228.36799999999999</v>
      </c>
      <c r="CS47" s="193">
        <f>(Input!$C$19)*CS17</f>
        <v>245.36</v>
      </c>
      <c r="CT47" s="193">
        <f>(Input!$C$19)*CT17</f>
        <v>262.60000000000002</v>
      </c>
      <c r="CU47" s="193">
        <f>(Input!$C$19)*CU17</f>
        <v>280.01600000000002</v>
      </c>
      <c r="CV47" s="193">
        <f>(Input!$C$19)*CV17</f>
        <v>297.32</v>
      </c>
      <c r="CW47" s="193">
        <f>(Input!$C$19)*CW17</f>
        <v>314.23200000000003</v>
      </c>
    </row>
    <row r="48" spans="1:101" s="53" customFormat="1" x14ac:dyDescent="0.25">
      <c r="A48" s="192">
        <f t="shared" si="5"/>
        <v>7</v>
      </c>
      <c r="B48" s="193">
        <f>(Input!$C$19)*B18</f>
        <v>6.4000000000000001E-2</v>
      </c>
      <c r="C48" s="193">
        <f>(Input!$C$19)*C18</f>
        <v>6.4000000000000001E-2</v>
      </c>
      <c r="D48" s="193">
        <f>(Input!$C$19)*D18</f>
        <v>6.4000000000000001E-2</v>
      </c>
      <c r="E48" s="193">
        <f>(Input!$C$19)*E18</f>
        <v>6.4000000000000001E-2</v>
      </c>
      <c r="F48" s="193">
        <f>(Input!$C$19)*F18</f>
        <v>6.4000000000000001E-2</v>
      </c>
      <c r="G48" s="193">
        <f>(Input!$C$19)*G18</f>
        <v>6.4000000000000001E-2</v>
      </c>
      <c r="H48" s="193">
        <f>(Input!$C$19)*H18</f>
        <v>8.0000000000000016E-2</v>
      </c>
      <c r="I48" s="193">
        <f>(Input!$C$19)*I18</f>
        <v>0.10400000000000001</v>
      </c>
      <c r="J48" s="193">
        <f>(Input!$C$19)*J18</f>
        <v>0.15200000000000002</v>
      </c>
      <c r="K48" s="193">
        <f>(Input!$C$19)*K18</f>
        <v>0.23199999999999998</v>
      </c>
      <c r="L48" s="193">
        <f>(Input!$C$19)*L18</f>
        <v>0.33600000000000002</v>
      </c>
      <c r="M48" s="193">
        <f>(Input!$C$19)*M18</f>
        <v>0.45599999999999996</v>
      </c>
      <c r="N48" s="193">
        <f>(Input!$C$19)*N18</f>
        <v>0.55199999999999994</v>
      </c>
      <c r="O48" s="193">
        <f>(Input!$C$19)*O18</f>
        <v>0.57599999999999996</v>
      </c>
      <c r="P48" s="193">
        <f>(Input!$C$19)*P18</f>
        <v>0.59199999999999997</v>
      </c>
      <c r="Q48" s="193">
        <f>(Input!$C$19)*Q18</f>
        <v>0.6160000000000001</v>
      </c>
      <c r="R48" s="193">
        <f>(Input!$C$19)*R18</f>
        <v>0.60000000000000009</v>
      </c>
      <c r="S48" s="193">
        <f>(Input!$C$19)*S18</f>
        <v>0.57599999999999996</v>
      </c>
      <c r="T48" s="193">
        <f>(Input!$C$19)*T18</f>
        <v>0.56799999999999995</v>
      </c>
      <c r="U48" s="193">
        <f>(Input!$C$19)*U18</f>
        <v>0.52</v>
      </c>
      <c r="V48" s="193">
        <f>(Input!$C$19)*V18</f>
        <v>0.44800000000000006</v>
      </c>
      <c r="W48" s="193">
        <f>(Input!$C$19)*W18</f>
        <v>0.36800000000000005</v>
      </c>
      <c r="X48" s="193">
        <f>(Input!$C$19)*X18</f>
        <v>0.30400000000000005</v>
      </c>
      <c r="Y48" s="193">
        <f>(Input!$C$19)*Y18</f>
        <v>0.26400000000000001</v>
      </c>
      <c r="Z48" s="193">
        <f>(Input!$C$19)*Z18</f>
        <v>0.23199999999999998</v>
      </c>
      <c r="AA48" s="193">
        <f>(Input!$C$19)*AA18</f>
        <v>0.22400000000000003</v>
      </c>
      <c r="AB48" s="193">
        <f>(Input!$C$19)*AB18</f>
        <v>0.23199999999999998</v>
      </c>
      <c r="AC48" s="193">
        <f>(Input!$C$19)*AC18</f>
        <v>0.24</v>
      </c>
      <c r="AD48" s="193">
        <f>(Input!$C$19)*AD18</f>
        <v>0.25600000000000001</v>
      </c>
      <c r="AE48" s="193">
        <f>(Input!$C$19)*AE18</f>
        <v>0.27200000000000002</v>
      </c>
      <c r="AF48" s="193">
        <f>(Input!$C$19)*AF18</f>
        <v>0.27200000000000002</v>
      </c>
      <c r="AG48" s="193">
        <f>(Input!$C$19)*AG18</f>
        <v>0.27200000000000002</v>
      </c>
      <c r="AH48" s="193">
        <f>(Input!$C$19)*AH18</f>
        <v>0.30400000000000005</v>
      </c>
      <c r="AI48" s="193">
        <f>(Input!$C$19)*AI18</f>
        <v>0.32800000000000001</v>
      </c>
      <c r="AJ48" s="193">
        <f>(Input!$C$19)*AJ18</f>
        <v>0.36800000000000005</v>
      </c>
      <c r="AK48" s="193">
        <f>(Input!$C$19)*AK18</f>
        <v>0.38400000000000001</v>
      </c>
      <c r="AL48" s="193">
        <f>(Input!$C$19)*AL18</f>
        <v>0.43200000000000005</v>
      </c>
      <c r="AM48" s="193">
        <f>(Input!$C$19)*AM18</f>
        <v>0.48</v>
      </c>
      <c r="AN48" s="193">
        <f>(Input!$C$19)*AN18</f>
        <v>0.52800000000000002</v>
      </c>
      <c r="AO48" s="193">
        <f>(Input!$C$19)*AO18</f>
        <v>0.56799999999999995</v>
      </c>
      <c r="AP48" s="193">
        <f>(Input!$C$19)*AP18</f>
        <v>0.6080000000000001</v>
      </c>
      <c r="AQ48" s="193">
        <f>(Input!$C$19)*AQ18</f>
        <v>0.64800000000000013</v>
      </c>
      <c r="AR48" s="193">
        <f>(Input!$C$19)*AR18</f>
        <v>0.68800000000000006</v>
      </c>
      <c r="AS48" s="193">
        <f>(Input!$C$19)*AS18</f>
        <v>0.7360000000000001</v>
      </c>
      <c r="AT48" s="193">
        <f>(Input!$C$19)*AT18</f>
        <v>0.8</v>
      </c>
      <c r="AU48" s="193">
        <f>(Input!$C$19)*AU18</f>
        <v>0.88000000000000012</v>
      </c>
      <c r="AV48" s="193">
        <f>(Input!$C$19)*AV18</f>
        <v>0.97599999999999998</v>
      </c>
      <c r="AW48" s="193">
        <f>(Input!$C$19)*AW18</f>
        <v>1.0960000000000001</v>
      </c>
      <c r="AX48" s="193">
        <f>(Input!$C$19)*AX18</f>
        <v>1.2160000000000002</v>
      </c>
      <c r="AY48" s="193">
        <f>(Input!$C$19)*AY18</f>
        <v>1.3360000000000001</v>
      </c>
      <c r="AZ48" s="193">
        <f>(Input!$C$19)*AZ18</f>
        <v>1.4480000000000002</v>
      </c>
      <c r="BA48" s="193">
        <f>(Input!$C$19)*BA18</f>
        <v>1.544</v>
      </c>
      <c r="BB48" s="193">
        <f>(Input!$C$19)*BB18</f>
        <v>1.6480000000000001</v>
      </c>
      <c r="BC48" s="193">
        <f>(Input!$C$19)*BC18</f>
        <v>1.7920000000000003</v>
      </c>
      <c r="BD48" s="193">
        <f>(Input!$C$19)*BD18</f>
        <v>1.9760000000000002</v>
      </c>
      <c r="BE48" s="193">
        <f>(Input!$C$19)*BE18</f>
        <v>2.1520000000000001</v>
      </c>
      <c r="BF48" s="193">
        <f>(Input!$C$19)*BF18</f>
        <v>2.4480000000000004</v>
      </c>
      <c r="BG48" s="193">
        <f>(Input!$C$19)*BG18</f>
        <v>2.8000000000000003</v>
      </c>
      <c r="BH48" s="193">
        <f>(Input!$C$19)*BH18</f>
        <v>3.2</v>
      </c>
      <c r="BI48" s="193">
        <f>(Input!$C$19)*BI18</f>
        <v>3.6</v>
      </c>
      <c r="BJ48" s="193">
        <f>(Input!$C$19)*BJ18</f>
        <v>3.9840000000000004</v>
      </c>
      <c r="BK48" s="193">
        <f>(Input!$C$19)*BK18</f>
        <v>4.3440000000000003</v>
      </c>
      <c r="BL48" s="193">
        <f>(Input!$C$19)*BL18</f>
        <v>4.6880000000000006</v>
      </c>
      <c r="BM48" s="193">
        <f>(Input!$C$19)*BM18</f>
        <v>5.0640000000000001</v>
      </c>
      <c r="BN48" s="193">
        <f>(Input!$C$19)*BN18</f>
        <v>5.4960000000000004</v>
      </c>
      <c r="BO48" s="193">
        <f>(Input!$C$19)*BO18</f>
        <v>6.016</v>
      </c>
      <c r="BP48" s="193">
        <f>(Input!$C$19)*BP18</f>
        <v>6.6480000000000006</v>
      </c>
      <c r="BQ48" s="193">
        <f>(Input!$C$19)*BQ18</f>
        <v>7.3920000000000003</v>
      </c>
      <c r="BR48" s="193">
        <f>(Input!$C$19)*BR18</f>
        <v>8.2480000000000011</v>
      </c>
      <c r="BS48" s="193">
        <f>(Input!$C$19)*BS18</f>
        <v>9.2159999999999993</v>
      </c>
      <c r="BT48" s="193">
        <f>(Input!$C$19)*BT18</f>
        <v>10.176000000000002</v>
      </c>
      <c r="BU48" s="193">
        <f>(Input!$C$19)*BU18</f>
        <v>11.600000000000001</v>
      </c>
      <c r="BV48" s="193">
        <f>(Input!$C$19)*BV18</f>
        <v>13.064</v>
      </c>
      <c r="BW48" s="193">
        <f>(Input!$C$19)*BW18</f>
        <v>14.792</v>
      </c>
      <c r="BX48" s="193">
        <f>(Input!$C$19)*BX18</f>
        <v>17.064</v>
      </c>
      <c r="BY48" s="193">
        <f>(Input!$C$19)*BY18</f>
        <v>19.744</v>
      </c>
      <c r="BZ48" s="193">
        <f>(Input!$C$19)*BZ18</f>
        <v>22.856000000000002</v>
      </c>
      <c r="CA48" s="193">
        <f>(Input!$C$19)*CA18</f>
        <v>25.472000000000001</v>
      </c>
      <c r="CB48" s="193">
        <f>(Input!$C$19)*CB18</f>
        <v>28.584</v>
      </c>
      <c r="CC48" s="193">
        <f>(Input!$C$19)*CC18</f>
        <v>31.92</v>
      </c>
      <c r="CD48" s="193">
        <f>(Input!$C$19)*CD18</f>
        <v>35.312000000000005</v>
      </c>
      <c r="CE48" s="193">
        <f>(Input!$C$19)*CE18</f>
        <v>40.744</v>
      </c>
      <c r="CF48" s="193">
        <f>(Input!$C$19)*CF18</f>
        <v>47.512</v>
      </c>
      <c r="CG48" s="193">
        <f>(Input!$C$19)*CG18</f>
        <v>57.912000000000006</v>
      </c>
      <c r="CH48" s="193">
        <f>(Input!$C$19)*CH18</f>
        <v>74.384</v>
      </c>
      <c r="CI48" s="193">
        <f>(Input!$C$19)*CI18</f>
        <v>95.920000000000016</v>
      </c>
      <c r="CJ48" s="193">
        <f>(Input!$C$19)*CJ18</f>
        <v>119.87200000000001</v>
      </c>
      <c r="CK48" s="193">
        <f>(Input!$C$19)*CK18</f>
        <v>146.99200000000002</v>
      </c>
      <c r="CL48" s="193">
        <f>(Input!$C$19)*CL18</f>
        <v>158.57600000000002</v>
      </c>
      <c r="CM48" s="193">
        <f>(Input!$C$19)*CM18</f>
        <v>168.86400000000003</v>
      </c>
      <c r="CN48" s="193">
        <f>(Input!$C$19)*CN18</f>
        <v>182.232</v>
      </c>
      <c r="CO48" s="193">
        <f>(Input!$C$19)*CO18</f>
        <v>196.47200000000001</v>
      </c>
      <c r="CP48" s="193">
        <f>(Input!$C$19)*CP18</f>
        <v>211.96</v>
      </c>
      <c r="CQ48" s="193">
        <f>(Input!$C$19)*CQ18</f>
        <v>228.36799999999999</v>
      </c>
      <c r="CR48" s="193">
        <f>(Input!$C$19)*CR18</f>
        <v>245.36</v>
      </c>
      <c r="CS48" s="193">
        <f>(Input!$C$19)*CS18</f>
        <v>262.60000000000002</v>
      </c>
      <c r="CT48" s="193">
        <f>(Input!$C$19)*CT18</f>
        <v>280.01600000000002</v>
      </c>
      <c r="CU48" s="193">
        <f>(Input!$C$19)*CU18</f>
        <v>297.32</v>
      </c>
      <c r="CV48" s="193">
        <f>(Input!$C$19)*CV18</f>
        <v>314.23200000000003</v>
      </c>
      <c r="CW48" s="193">
        <f>(Input!$C$19)*CW18</f>
        <v>330.44000000000005</v>
      </c>
    </row>
    <row r="49" spans="1:101" s="53" customFormat="1" x14ac:dyDescent="0.25">
      <c r="A49" s="192">
        <f t="shared" si="5"/>
        <v>8</v>
      </c>
      <c r="B49" s="193">
        <f>(Input!$C$19)*B19</f>
        <v>6.4000000000000001E-2</v>
      </c>
      <c r="C49" s="193">
        <f>(Input!$C$19)*C19</f>
        <v>6.4000000000000001E-2</v>
      </c>
      <c r="D49" s="193">
        <f>(Input!$C$19)*D19</f>
        <v>6.4000000000000001E-2</v>
      </c>
      <c r="E49" s="193">
        <f>(Input!$C$19)*E19</f>
        <v>6.4000000000000001E-2</v>
      </c>
      <c r="F49" s="193">
        <f>(Input!$C$19)*F19</f>
        <v>6.4000000000000001E-2</v>
      </c>
      <c r="G49" s="193">
        <f>(Input!$C$19)*G19</f>
        <v>8.0000000000000016E-2</v>
      </c>
      <c r="H49" s="193">
        <f>(Input!$C$19)*H19</f>
        <v>0.10400000000000001</v>
      </c>
      <c r="I49" s="193">
        <f>(Input!$C$19)*I19</f>
        <v>0.15200000000000002</v>
      </c>
      <c r="J49" s="193">
        <f>(Input!$C$19)*J19</f>
        <v>0.23199999999999998</v>
      </c>
      <c r="K49" s="193">
        <f>(Input!$C$19)*K19</f>
        <v>0.33600000000000002</v>
      </c>
      <c r="L49" s="193">
        <f>(Input!$C$19)*L19</f>
        <v>0.45599999999999996</v>
      </c>
      <c r="M49" s="193">
        <f>(Input!$C$19)*M19</f>
        <v>0.55199999999999994</v>
      </c>
      <c r="N49" s="193">
        <f>(Input!$C$19)*N19</f>
        <v>0.57599999999999996</v>
      </c>
      <c r="O49" s="193">
        <f>(Input!$C$19)*O19</f>
        <v>0.59199999999999997</v>
      </c>
      <c r="P49" s="193">
        <f>(Input!$C$19)*P19</f>
        <v>0.6160000000000001</v>
      </c>
      <c r="Q49" s="193">
        <f>(Input!$C$19)*Q19</f>
        <v>0.60000000000000009</v>
      </c>
      <c r="R49" s="193">
        <f>(Input!$C$19)*R19</f>
        <v>0.57599999999999996</v>
      </c>
      <c r="S49" s="193">
        <f>(Input!$C$19)*S19</f>
        <v>0.56799999999999995</v>
      </c>
      <c r="T49" s="193">
        <f>(Input!$C$19)*T19</f>
        <v>0.56799999999999995</v>
      </c>
      <c r="U49" s="193">
        <f>(Input!$C$19)*U19</f>
        <v>0.48799999999999999</v>
      </c>
      <c r="V49" s="193">
        <f>(Input!$C$19)*V19</f>
        <v>0.40800000000000003</v>
      </c>
      <c r="W49" s="193">
        <f>(Input!$C$19)*W19</f>
        <v>0.34400000000000003</v>
      </c>
      <c r="X49" s="193">
        <f>(Input!$C$19)*X19</f>
        <v>0.29599999999999999</v>
      </c>
      <c r="Y49" s="193">
        <f>(Input!$C$19)*Y19</f>
        <v>0.26400000000000001</v>
      </c>
      <c r="Z49" s="193">
        <f>(Input!$C$19)*Z19</f>
        <v>0.25600000000000001</v>
      </c>
      <c r="AA49" s="193">
        <f>(Input!$C$19)*AA19</f>
        <v>0.25600000000000001</v>
      </c>
      <c r="AB49" s="193">
        <f>(Input!$C$19)*AB19</f>
        <v>0.26400000000000001</v>
      </c>
      <c r="AC49" s="193">
        <f>(Input!$C$19)*AC19</f>
        <v>0.27200000000000002</v>
      </c>
      <c r="AD49" s="193">
        <f>(Input!$C$19)*AD19</f>
        <v>0.28799999999999998</v>
      </c>
      <c r="AE49" s="193">
        <f>(Input!$C$19)*AE19</f>
        <v>0.31200000000000006</v>
      </c>
      <c r="AF49" s="193">
        <f>(Input!$C$19)*AF19</f>
        <v>0.31200000000000006</v>
      </c>
      <c r="AG49" s="193">
        <f>(Input!$C$19)*AG19</f>
        <v>0.32800000000000001</v>
      </c>
      <c r="AH49" s="193">
        <f>(Input!$C$19)*AH19</f>
        <v>0.35200000000000004</v>
      </c>
      <c r="AI49" s="193">
        <f>(Input!$C$19)*AI19</f>
        <v>0.39200000000000002</v>
      </c>
      <c r="AJ49" s="193">
        <f>(Input!$C$19)*AJ19</f>
        <v>0.43200000000000005</v>
      </c>
      <c r="AK49" s="193">
        <f>(Input!$C$19)*AK19</f>
        <v>0.47199999999999998</v>
      </c>
      <c r="AL49" s="193">
        <f>(Input!$C$19)*AL19</f>
        <v>0.51200000000000001</v>
      </c>
      <c r="AM49" s="193">
        <f>(Input!$C$19)*AM19</f>
        <v>0.55199999999999994</v>
      </c>
      <c r="AN49" s="193">
        <f>(Input!$C$19)*AN19</f>
        <v>0.58399999999999996</v>
      </c>
      <c r="AO49" s="193">
        <f>(Input!$C$19)*AO19</f>
        <v>0.63200000000000012</v>
      </c>
      <c r="AP49" s="193">
        <f>(Input!$C$19)*AP19</f>
        <v>0.68</v>
      </c>
      <c r="AQ49" s="193">
        <f>(Input!$C$19)*AQ19</f>
        <v>0.7360000000000001</v>
      </c>
      <c r="AR49" s="193">
        <f>(Input!$C$19)*AR19</f>
        <v>0.79200000000000004</v>
      </c>
      <c r="AS49" s="193">
        <f>(Input!$C$19)*AS19</f>
        <v>0.8640000000000001</v>
      </c>
      <c r="AT49" s="193">
        <f>(Input!$C$19)*AT19</f>
        <v>0.94399999999999995</v>
      </c>
      <c r="AU49" s="193">
        <f>(Input!$C$19)*AU19</f>
        <v>1.032</v>
      </c>
      <c r="AV49" s="193">
        <f>(Input!$C$19)*AV19</f>
        <v>1.1359999999999999</v>
      </c>
      <c r="AW49" s="193">
        <f>(Input!$C$19)*AW19</f>
        <v>1.2400000000000002</v>
      </c>
      <c r="AX49" s="193">
        <f>(Input!$C$19)*AX19</f>
        <v>1.3520000000000001</v>
      </c>
      <c r="AY49" s="193">
        <f>(Input!$C$19)*AY19</f>
        <v>1.4720000000000002</v>
      </c>
      <c r="AZ49" s="193">
        <f>(Input!$C$19)*AZ19</f>
        <v>1.6079999999999999</v>
      </c>
      <c r="BA49" s="193">
        <f>(Input!$C$19)*BA19</f>
        <v>1.7440000000000002</v>
      </c>
      <c r="BB49" s="193">
        <f>(Input!$C$19)*BB19</f>
        <v>1.9120000000000001</v>
      </c>
      <c r="BC49" s="193">
        <f>(Input!$C$19)*BC19</f>
        <v>2.12</v>
      </c>
      <c r="BD49" s="193">
        <f>(Input!$C$19)*BD19</f>
        <v>2.3679999999999999</v>
      </c>
      <c r="BE49" s="193">
        <f>(Input!$C$19)*BE19</f>
        <v>2.6720000000000002</v>
      </c>
      <c r="BF49" s="193">
        <f>(Input!$C$19)*BF19</f>
        <v>3.016</v>
      </c>
      <c r="BG49" s="193">
        <f>(Input!$C$19)*BG19</f>
        <v>3.4000000000000004</v>
      </c>
      <c r="BH49" s="193">
        <f>(Input!$C$19)*BH19</f>
        <v>3.8000000000000003</v>
      </c>
      <c r="BI49" s="193">
        <f>(Input!$C$19)*BI19</f>
        <v>4.1920000000000002</v>
      </c>
      <c r="BJ49" s="193">
        <f>(Input!$C$19)*BJ19</f>
        <v>4.5920000000000005</v>
      </c>
      <c r="BK49" s="193">
        <f>(Input!$C$19)*BK19</f>
        <v>5</v>
      </c>
      <c r="BL49" s="193">
        <f>(Input!$C$19)*BL19</f>
        <v>5.4320000000000004</v>
      </c>
      <c r="BM49" s="193">
        <f>(Input!$C$19)*BM19</f>
        <v>5.9280000000000008</v>
      </c>
      <c r="BN49" s="193">
        <f>(Input!$C$19)*BN19</f>
        <v>6.5040000000000013</v>
      </c>
      <c r="BO49" s="193">
        <f>(Input!$C$19)*BO19</f>
        <v>7.176000000000001</v>
      </c>
      <c r="BP49" s="193">
        <f>(Input!$C$19)*BP19</f>
        <v>7.9680000000000009</v>
      </c>
      <c r="BQ49" s="193">
        <f>(Input!$C$19)*BQ19</f>
        <v>8.8719999999999999</v>
      </c>
      <c r="BR49" s="193">
        <f>(Input!$C$19)*BR19</f>
        <v>9.9359999999999999</v>
      </c>
      <c r="BS49" s="193">
        <f>(Input!$C$19)*BS19</f>
        <v>11.16</v>
      </c>
      <c r="BT49" s="193">
        <f>(Input!$C$19)*BT19</f>
        <v>12.904</v>
      </c>
      <c r="BU49" s="193">
        <f>(Input!$C$19)*BU19</f>
        <v>14.432</v>
      </c>
      <c r="BV49" s="193">
        <f>(Input!$C$19)*BV19</f>
        <v>16.056000000000001</v>
      </c>
      <c r="BW49" s="193">
        <f>(Input!$C$19)*BW19</f>
        <v>18.136000000000003</v>
      </c>
      <c r="BX49" s="193">
        <f>(Input!$C$19)*BX19</f>
        <v>21.016000000000002</v>
      </c>
      <c r="BY49" s="193">
        <f>(Input!$C$19)*BY19</f>
        <v>24.376000000000001</v>
      </c>
      <c r="BZ49" s="193">
        <f>(Input!$C$19)*BZ19</f>
        <v>28.463999999999999</v>
      </c>
      <c r="CA49" s="193">
        <f>(Input!$C$19)*CA19</f>
        <v>33.112000000000002</v>
      </c>
      <c r="CB49" s="193">
        <f>(Input!$C$19)*CB19</f>
        <v>38.288000000000004</v>
      </c>
      <c r="CC49" s="193">
        <f>(Input!$C$19)*CC19</f>
        <v>42.32</v>
      </c>
      <c r="CD49" s="193">
        <f>(Input!$C$19)*CD19</f>
        <v>46.264000000000003</v>
      </c>
      <c r="CE49" s="193">
        <f>(Input!$C$19)*CE19</f>
        <v>52.648000000000003</v>
      </c>
      <c r="CF49" s="193">
        <f>(Input!$C$19)*CF19</f>
        <v>63.367999999999995</v>
      </c>
      <c r="CG49" s="193">
        <f>(Input!$C$19)*CG19</f>
        <v>78.456000000000003</v>
      </c>
      <c r="CH49" s="193">
        <f>(Input!$C$19)*CH19</f>
        <v>103.77600000000001</v>
      </c>
      <c r="CI49" s="193">
        <f>(Input!$C$19)*CI19</f>
        <v>123.024</v>
      </c>
      <c r="CJ49" s="193">
        <f>(Input!$C$19)*CJ19</f>
        <v>146.99200000000002</v>
      </c>
      <c r="CK49" s="193">
        <f>(Input!$C$19)*CK19</f>
        <v>158.57600000000002</v>
      </c>
      <c r="CL49" s="193">
        <f>(Input!$C$19)*CL19</f>
        <v>168.86400000000003</v>
      </c>
      <c r="CM49" s="193">
        <f>(Input!$C$19)*CM19</f>
        <v>182.232</v>
      </c>
      <c r="CN49" s="193">
        <f>(Input!$C$19)*CN19</f>
        <v>196.47200000000001</v>
      </c>
      <c r="CO49" s="193">
        <f>(Input!$C$19)*CO19</f>
        <v>211.96</v>
      </c>
      <c r="CP49" s="193">
        <f>(Input!$C$19)*CP19</f>
        <v>228.36799999999999</v>
      </c>
      <c r="CQ49" s="193">
        <f>(Input!$C$19)*CQ19</f>
        <v>245.36</v>
      </c>
      <c r="CR49" s="193">
        <f>(Input!$C$19)*CR19</f>
        <v>262.60000000000002</v>
      </c>
      <c r="CS49" s="193">
        <f>(Input!$C$19)*CS19</f>
        <v>280.01600000000002</v>
      </c>
      <c r="CT49" s="193">
        <f>(Input!$C$19)*CT19</f>
        <v>297.32</v>
      </c>
      <c r="CU49" s="193">
        <f>(Input!$C$19)*CU19</f>
        <v>314.23200000000003</v>
      </c>
      <c r="CV49" s="193">
        <f>(Input!$C$19)*CV19</f>
        <v>330.44000000000005</v>
      </c>
      <c r="CW49" s="193">
        <f>(Input!$C$19)*CW19</f>
        <v>345.66399999999999</v>
      </c>
    </row>
    <row r="50" spans="1:101" s="53" customFormat="1" x14ac:dyDescent="0.25">
      <c r="A50" s="192">
        <f t="shared" si="5"/>
        <v>9</v>
      </c>
      <c r="B50" s="193">
        <f>(Input!$C$19)*B20</f>
        <v>6.4000000000000001E-2</v>
      </c>
      <c r="C50" s="193">
        <f>(Input!$C$19)*C20</f>
        <v>6.4000000000000001E-2</v>
      </c>
      <c r="D50" s="193">
        <f>(Input!$C$19)*D20</f>
        <v>6.4000000000000001E-2</v>
      </c>
      <c r="E50" s="193">
        <f>(Input!$C$19)*E20</f>
        <v>6.4000000000000001E-2</v>
      </c>
      <c r="F50" s="193">
        <f>(Input!$C$19)*F20</f>
        <v>8.0000000000000016E-2</v>
      </c>
      <c r="G50" s="193">
        <f>(Input!$C$19)*G20</f>
        <v>0.10400000000000001</v>
      </c>
      <c r="H50" s="193">
        <f>(Input!$C$19)*H20</f>
        <v>0.15200000000000002</v>
      </c>
      <c r="I50" s="193">
        <f>(Input!$C$19)*I20</f>
        <v>0.23199999999999998</v>
      </c>
      <c r="J50" s="193">
        <f>(Input!$C$19)*J20</f>
        <v>0.33600000000000002</v>
      </c>
      <c r="K50" s="193">
        <f>(Input!$C$19)*K20</f>
        <v>0.45599999999999996</v>
      </c>
      <c r="L50" s="193">
        <f>(Input!$C$19)*L20</f>
        <v>0.55199999999999994</v>
      </c>
      <c r="M50" s="193">
        <f>(Input!$C$19)*M20</f>
        <v>0.57599999999999996</v>
      </c>
      <c r="N50" s="193">
        <f>(Input!$C$19)*N20</f>
        <v>0.59199999999999997</v>
      </c>
      <c r="O50" s="193">
        <f>(Input!$C$19)*O20</f>
        <v>0.6160000000000001</v>
      </c>
      <c r="P50" s="193">
        <f>(Input!$C$19)*P20</f>
        <v>0.60000000000000009</v>
      </c>
      <c r="Q50" s="193">
        <f>(Input!$C$19)*Q20</f>
        <v>0.57599999999999996</v>
      </c>
      <c r="R50" s="193">
        <f>(Input!$C$19)*R20</f>
        <v>0.56799999999999995</v>
      </c>
      <c r="S50" s="193">
        <f>(Input!$C$19)*S20</f>
        <v>0.56799999999999995</v>
      </c>
      <c r="T50" s="193">
        <f>(Input!$C$19)*T20</f>
        <v>0.48799999999999999</v>
      </c>
      <c r="U50" s="193">
        <f>(Input!$C$19)*U20</f>
        <v>0.42400000000000004</v>
      </c>
      <c r="V50" s="193">
        <f>(Input!$C$19)*V20</f>
        <v>0.36800000000000005</v>
      </c>
      <c r="W50" s="193">
        <f>(Input!$C$19)*W20</f>
        <v>0.32000000000000006</v>
      </c>
      <c r="X50" s="193">
        <f>(Input!$C$19)*X20</f>
        <v>0.28799999999999998</v>
      </c>
      <c r="Y50" s="193">
        <f>(Input!$C$19)*Y20</f>
        <v>0.27200000000000002</v>
      </c>
      <c r="Z50" s="193">
        <f>(Input!$C$19)*Z20</f>
        <v>0.27200000000000002</v>
      </c>
      <c r="AA50" s="193">
        <f>(Input!$C$19)*AA20</f>
        <v>0.27200000000000002</v>
      </c>
      <c r="AB50" s="193">
        <f>(Input!$C$19)*AB20</f>
        <v>0.28799999999999998</v>
      </c>
      <c r="AC50" s="193">
        <f>(Input!$C$19)*AC20</f>
        <v>0.29599999999999999</v>
      </c>
      <c r="AD50" s="193">
        <f>(Input!$C$19)*AD20</f>
        <v>0.32000000000000006</v>
      </c>
      <c r="AE50" s="193">
        <f>(Input!$C$19)*AE20</f>
        <v>0.35200000000000004</v>
      </c>
      <c r="AF50" s="193">
        <f>(Input!$C$19)*AF20</f>
        <v>0.36000000000000004</v>
      </c>
      <c r="AG50" s="193">
        <f>(Input!$C$19)*AG20</f>
        <v>0.39200000000000002</v>
      </c>
      <c r="AH50" s="193">
        <f>(Input!$C$19)*AH20</f>
        <v>0.43200000000000005</v>
      </c>
      <c r="AI50" s="193">
        <f>(Input!$C$19)*AI20</f>
        <v>0.47199999999999998</v>
      </c>
      <c r="AJ50" s="193">
        <f>(Input!$C$19)*AJ20</f>
        <v>0.51200000000000001</v>
      </c>
      <c r="AK50" s="193">
        <f>(Input!$C$19)*AK20</f>
        <v>0.54400000000000004</v>
      </c>
      <c r="AL50" s="193">
        <f>(Input!$C$19)*AL20</f>
        <v>0.57599999999999996</v>
      </c>
      <c r="AM50" s="193">
        <f>(Input!$C$19)*AM20</f>
        <v>0.60000000000000009</v>
      </c>
      <c r="AN50" s="193">
        <f>(Input!$C$19)*AN20</f>
        <v>0.64800000000000013</v>
      </c>
      <c r="AO50" s="193">
        <f>(Input!$C$19)*AO20</f>
        <v>0.71200000000000008</v>
      </c>
      <c r="AP50" s="193">
        <f>(Input!$C$19)*AP20</f>
        <v>0.77600000000000002</v>
      </c>
      <c r="AQ50" s="193">
        <f>(Input!$C$19)*AQ20</f>
        <v>0.84800000000000009</v>
      </c>
      <c r="AR50" s="193">
        <f>(Input!$C$19)*AR20</f>
        <v>0.92799999999999994</v>
      </c>
      <c r="AS50" s="193">
        <f>(Input!$C$19)*AS20</f>
        <v>1.008</v>
      </c>
      <c r="AT50" s="193">
        <f>(Input!$C$19)*AT20</f>
        <v>1.0880000000000001</v>
      </c>
      <c r="AU50" s="193">
        <f>(Input!$C$19)*AU20</f>
        <v>1.1759999999999999</v>
      </c>
      <c r="AV50" s="193">
        <f>(Input!$C$19)*AV20</f>
        <v>1.2720000000000002</v>
      </c>
      <c r="AW50" s="193">
        <f>(Input!$C$19)*AW20</f>
        <v>1.3840000000000001</v>
      </c>
      <c r="AX50" s="193">
        <f>(Input!$C$19)*AX20</f>
        <v>1.52</v>
      </c>
      <c r="AY50" s="193">
        <f>(Input!$C$19)*AY20</f>
        <v>1.6800000000000002</v>
      </c>
      <c r="AZ50" s="193">
        <f>(Input!$C$19)*AZ20</f>
        <v>1.8719999999999999</v>
      </c>
      <c r="BA50" s="193">
        <f>(Input!$C$19)*BA20</f>
        <v>2.0880000000000001</v>
      </c>
      <c r="BB50" s="193">
        <f>(Input!$C$19)*BB20</f>
        <v>2.3280000000000003</v>
      </c>
      <c r="BC50" s="193">
        <f>(Input!$C$19)*BC20</f>
        <v>2.5920000000000005</v>
      </c>
      <c r="BD50" s="193">
        <f>(Input!$C$19)*BD20</f>
        <v>2.8800000000000003</v>
      </c>
      <c r="BE50" s="193">
        <f>(Input!$C$19)*BE20</f>
        <v>3.2</v>
      </c>
      <c r="BF50" s="193">
        <f>(Input!$C$19)*BF20</f>
        <v>3.544</v>
      </c>
      <c r="BG50" s="193">
        <f>(Input!$C$19)*BG20</f>
        <v>3.9280000000000004</v>
      </c>
      <c r="BH50" s="193">
        <f>(Input!$C$19)*BH20</f>
        <v>4.3440000000000003</v>
      </c>
      <c r="BI50" s="193">
        <f>(Input!$C$19)*BI20</f>
        <v>4.8000000000000007</v>
      </c>
      <c r="BJ50" s="193">
        <f>(Input!$C$19)*BJ20</f>
        <v>5.2960000000000003</v>
      </c>
      <c r="BK50" s="193">
        <f>(Input!$C$19)*BK20</f>
        <v>5.8479999999999999</v>
      </c>
      <c r="BL50" s="193">
        <f>(Input!$C$19)*BL20</f>
        <v>6.4400000000000013</v>
      </c>
      <c r="BM50" s="193">
        <f>(Input!$C$19)*BM20</f>
        <v>7.104000000000001</v>
      </c>
      <c r="BN50" s="193">
        <f>(Input!$C$19)*BN20</f>
        <v>7.8319999999999999</v>
      </c>
      <c r="BO50" s="193">
        <f>(Input!$C$19)*BO20</f>
        <v>8.6639999999999997</v>
      </c>
      <c r="BP50" s="193">
        <f>(Input!$C$19)*BP20</f>
        <v>9.6319999999999997</v>
      </c>
      <c r="BQ50" s="193">
        <f>(Input!$C$19)*BQ20</f>
        <v>10.76</v>
      </c>
      <c r="BR50" s="193">
        <f>(Input!$C$19)*BR20</f>
        <v>12.128</v>
      </c>
      <c r="BS50" s="193">
        <f>(Input!$C$19)*BS20</f>
        <v>14</v>
      </c>
      <c r="BT50" s="193">
        <f>(Input!$C$19)*BT20</f>
        <v>15.688000000000001</v>
      </c>
      <c r="BU50" s="193">
        <f>(Input!$C$19)*BU20</f>
        <v>17.512</v>
      </c>
      <c r="BV50" s="193">
        <f>(Input!$C$19)*BV20</f>
        <v>19.856000000000002</v>
      </c>
      <c r="BW50" s="193">
        <f>(Input!$C$19)*BW20</f>
        <v>23.032</v>
      </c>
      <c r="BX50" s="193">
        <f>(Input!$C$19)*BX20</f>
        <v>26.751999999999999</v>
      </c>
      <c r="BY50" s="193">
        <f>(Input!$C$19)*BY20</f>
        <v>31.28</v>
      </c>
      <c r="BZ50" s="193">
        <f>(Input!$C$19)*BZ20</f>
        <v>36.408000000000001</v>
      </c>
      <c r="CA50" s="193">
        <f>(Input!$C$19)*CA20</f>
        <v>42.072000000000003</v>
      </c>
      <c r="CB50" s="193">
        <f>(Input!$C$19)*CB20</f>
        <v>48.080000000000005</v>
      </c>
      <c r="CC50" s="193">
        <f>(Input!$C$19)*CC20</f>
        <v>53.28</v>
      </c>
      <c r="CD50" s="193">
        <f>(Input!$C$19)*CD20</f>
        <v>59.055999999999997</v>
      </c>
      <c r="CE50" s="193">
        <f>(Input!$C$19)*CE20</f>
        <v>69.408000000000001</v>
      </c>
      <c r="CF50" s="193">
        <f>(Input!$C$19)*CF20</f>
        <v>82.968000000000004</v>
      </c>
      <c r="CG50" s="193">
        <f>(Input!$C$19)*CG20</f>
        <v>105.536</v>
      </c>
      <c r="CH50" s="193">
        <f>(Input!$C$19)*CH20</f>
        <v>134.624</v>
      </c>
      <c r="CI50" s="193">
        <f>(Input!$C$19)*CI20</f>
        <v>146.99200000000002</v>
      </c>
      <c r="CJ50" s="193">
        <f>(Input!$C$19)*CJ20</f>
        <v>158.57600000000002</v>
      </c>
      <c r="CK50" s="193">
        <f>(Input!$C$19)*CK20</f>
        <v>168.86400000000003</v>
      </c>
      <c r="CL50" s="193">
        <f>(Input!$C$19)*CL20</f>
        <v>182.232</v>
      </c>
      <c r="CM50" s="193">
        <f>(Input!$C$19)*CM20</f>
        <v>196.47200000000001</v>
      </c>
      <c r="CN50" s="193">
        <f>(Input!$C$19)*CN20</f>
        <v>211.96</v>
      </c>
      <c r="CO50" s="193">
        <f>(Input!$C$19)*CO20</f>
        <v>228.36799999999999</v>
      </c>
      <c r="CP50" s="193">
        <f>(Input!$C$19)*CP20</f>
        <v>245.36</v>
      </c>
      <c r="CQ50" s="193">
        <f>(Input!$C$19)*CQ20</f>
        <v>262.60000000000002</v>
      </c>
      <c r="CR50" s="193">
        <f>(Input!$C$19)*CR20</f>
        <v>280.01600000000002</v>
      </c>
      <c r="CS50" s="193">
        <f>(Input!$C$19)*CS20</f>
        <v>297.32</v>
      </c>
      <c r="CT50" s="193">
        <f>(Input!$C$19)*CT20</f>
        <v>314.23200000000003</v>
      </c>
      <c r="CU50" s="193">
        <f>(Input!$C$19)*CU20</f>
        <v>330.44000000000005</v>
      </c>
      <c r="CV50" s="193">
        <f>(Input!$C$19)*CV20</f>
        <v>345.66399999999999</v>
      </c>
      <c r="CW50" s="193">
        <f>(Input!$C$19)*CW20</f>
        <v>359.608</v>
      </c>
    </row>
    <row r="51" spans="1:101" s="53" customFormat="1" x14ac:dyDescent="0.25">
      <c r="A51" s="192">
        <f t="shared" si="5"/>
        <v>10</v>
      </c>
      <c r="B51" s="193">
        <f>(Input!$C$19)*B21</f>
        <v>6.4000000000000001E-2</v>
      </c>
      <c r="C51" s="193">
        <f>(Input!$C$19)*C21</f>
        <v>6.4000000000000001E-2</v>
      </c>
      <c r="D51" s="193">
        <f>(Input!$C$19)*D21</f>
        <v>6.4000000000000001E-2</v>
      </c>
      <c r="E51" s="193">
        <f>(Input!$C$19)*E21</f>
        <v>8.0000000000000016E-2</v>
      </c>
      <c r="F51" s="193">
        <f>(Input!$C$19)*F21</f>
        <v>0.10400000000000001</v>
      </c>
      <c r="G51" s="193">
        <f>(Input!$C$19)*G21</f>
        <v>0.15200000000000002</v>
      </c>
      <c r="H51" s="193">
        <f>(Input!$C$19)*H21</f>
        <v>0.23199999999999998</v>
      </c>
      <c r="I51" s="193">
        <f>(Input!$C$19)*I21</f>
        <v>0.33600000000000002</v>
      </c>
      <c r="J51" s="193">
        <f>(Input!$C$19)*J21</f>
        <v>0.45599999999999996</v>
      </c>
      <c r="K51" s="193">
        <f>(Input!$C$19)*K21</f>
        <v>0.55199999999999994</v>
      </c>
      <c r="L51" s="193">
        <f>(Input!$C$19)*L21</f>
        <v>0.57599999999999996</v>
      </c>
      <c r="M51" s="193">
        <f>(Input!$C$19)*M21</f>
        <v>0.59199999999999997</v>
      </c>
      <c r="N51" s="193">
        <f>(Input!$C$19)*N21</f>
        <v>0.6160000000000001</v>
      </c>
      <c r="O51" s="193">
        <f>(Input!$C$19)*O21</f>
        <v>0.60000000000000009</v>
      </c>
      <c r="P51" s="193">
        <f>(Input!$C$19)*P21</f>
        <v>0.57599999999999996</v>
      </c>
      <c r="Q51" s="193">
        <f>(Input!$C$19)*Q21</f>
        <v>0.56799999999999995</v>
      </c>
      <c r="R51" s="193">
        <f>(Input!$C$19)*R21</f>
        <v>0.56799999999999995</v>
      </c>
      <c r="S51" s="193">
        <f>(Input!$C$19)*S21</f>
        <v>0.48799999999999999</v>
      </c>
      <c r="T51" s="193">
        <f>(Input!$C$19)*T21</f>
        <v>0.46399999999999997</v>
      </c>
      <c r="U51" s="193">
        <f>(Input!$C$19)*U21</f>
        <v>0.36800000000000005</v>
      </c>
      <c r="V51" s="193">
        <f>(Input!$C$19)*V21</f>
        <v>0.36800000000000005</v>
      </c>
      <c r="W51" s="193">
        <f>(Input!$C$19)*W21</f>
        <v>0.33600000000000002</v>
      </c>
      <c r="X51" s="193">
        <f>(Input!$C$19)*X21</f>
        <v>0.32800000000000001</v>
      </c>
      <c r="Y51" s="193">
        <f>(Input!$C$19)*Y21</f>
        <v>0.32000000000000006</v>
      </c>
      <c r="Z51" s="193">
        <f>(Input!$C$19)*Z21</f>
        <v>0.32000000000000006</v>
      </c>
      <c r="AA51" s="193">
        <f>(Input!$C$19)*AA21</f>
        <v>0.32800000000000001</v>
      </c>
      <c r="AB51" s="193">
        <f>(Input!$C$19)*AB21</f>
        <v>0.34400000000000003</v>
      </c>
      <c r="AC51" s="193">
        <f>(Input!$C$19)*AC21</f>
        <v>0.36800000000000005</v>
      </c>
      <c r="AD51" s="193">
        <f>(Input!$C$19)*AD21</f>
        <v>0.4</v>
      </c>
      <c r="AE51" s="193">
        <f>(Input!$C$19)*AE21</f>
        <v>0.44000000000000006</v>
      </c>
      <c r="AF51" s="193">
        <f>(Input!$C$19)*AF21</f>
        <v>0.44800000000000006</v>
      </c>
      <c r="AG51" s="193">
        <f>(Input!$C$19)*AG21</f>
        <v>0.47199999999999998</v>
      </c>
      <c r="AH51" s="193">
        <f>(Input!$C$19)*AH21</f>
        <v>0.51200000000000001</v>
      </c>
      <c r="AI51" s="193">
        <f>(Input!$C$19)*AI21</f>
        <v>0.54400000000000004</v>
      </c>
      <c r="AJ51" s="193">
        <f>(Input!$C$19)*AJ21</f>
        <v>0.57599999999999996</v>
      </c>
      <c r="AK51" s="193">
        <f>(Input!$C$19)*AK21</f>
        <v>0.60000000000000009</v>
      </c>
      <c r="AL51" s="193">
        <f>(Input!$C$19)*AL21</f>
        <v>0.62400000000000011</v>
      </c>
      <c r="AM51" s="193">
        <f>(Input!$C$19)*AM21</f>
        <v>0.67200000000000004</v>
      </c>
      <c r="AN51" s="193">
        <f>(Input!$C$19)*AN21</f>
        <v>0.7360000000000001</v>
      </c>
      <c r="AO51" s="193">
        <f>(Input!$C$19)*AO21</f>
        <v>0.80800000000000005</v>
      </c>
      <c r="AP51" s="193">
        <f>(Input!$C$19)*AP21</f>
        <v>0.89600000000000013</v>
      </c>
      <c r="AQ51" s="193">
        <f>(Input!$C$19)*AQ21</f>
        <v>0.97599999999999998</v>
      </c>
      <c r="AR51" s="193">
        <f>(Input!$C$19)*AR21</f>
        <v>1.056</v>
      </c>
      <c r="AS51" s="193">
        <f>(Input!$C$19)*AS21</f>
        <v>1.1439999999999999</v>
      </c>
      <c r="AT51" s="193">
        <f>(Input!$C$19)*AT21</f>
        <v>1.2240000000000002</v>
      </c>
      <c r="AU51" s="193">
        <f>(Input!$C$19)*AU21</f>
        <v>1.32</v>
      </c>
      <c r="AV51" s="193">
        <f>(Input!$C$19)*AV21</f>
        <v>1.4400000000000002</v>
      </c>
      <c r="AW51" s="193">
        <f>(Input!$C$19)*AW21</f>
        <v>1.5920000000000001</v>
      </c>
      <c r="AX51" s="193">
        <f>(Input!$C$19)*AX21</f>
        <v>1.768</v>
      </c>
      <c r="AY51" s="193">
        <f>(Input!$C$19)*AY21</f>
        <v>1.984</v>
      </c>
      <c r="AZ51" s="193">
        <f>(Input!$C$19)*AZ21</f>
        <v>2.2239999999999998</v>
      </c>
      <c r="BA51" s="193">
        <f>(Input!$C$19)*BA21</f>
        <v>2.4800000000000004</v>
      </c>
      <c r="BB51" s="193">
        <f>(Input!$C$19)*BB21</f>
        <v>2.7440000000000002</v>
      </c>
      <c r="BC51" s="193">
        <f>(Input!$C$19)*BC21</f>
        <v>3.016</v>
      </c>
      <c r="BD51" s="193">
        <f>(Input!$C$19)*BD21</f>
        <v>3.3119999999999998</v>
      </c>
      <c r="BE51" s="193">
        <f>(Input!$C$19)*BE21</f>
        <v>3.64</v>
      </c>
      <c r="BF51" s="193">
        <f>(Input!$C$19)*BF21</f>
        <v>4.016</v>
      </c>
      <c r="BG51" s="193">
        <f>(Input!$C$19)*BG21</f>
        <v>4.4720000000000004</v>
      </c>
      <c r="BH51" s="193">
        <f>(Input!$C$19)*BH21</f>
        <v>5</v>
      </c>
      <c r="BI51" s="193">
        <f>(Input!$C$19)*BI21</f>
        <v>5.6080000000000005</v>
      </c>
      <c r="BJ51" s="193">
        <f>(Input!$C$19)*BJ21</f>
        <v>6.2720000000000002</v>
      </c>
      <c r="BK51" s="193">
        <f>(Input!$C$19)*BK21</f>
        <v>6.9840000000000009</v>
      </c>
      <c r="BL51" s="193">
        <f>(Input!$C$19)*BL21</f>
        <v>7.7200000000000006</v>
      </c>
      <c r="BM51" s="193">
        <f>(Input!$C$19)*BM21</f>
        <v>8.5040000000000013</v>
      </c>
      <c r="BN51" s="193">
        <f>(Input!$C$19)*BN21</f>
        <v>9.3680000000000003</v>
      </c>
      <c r="BO51" s="193">
        <f>(Input!$C$19)*BO21</f>
        <v>10.344000000000001</v>
      </c>
      <c r="BP51" s="193">
        <f>(Input!$C$19)*BP21</f>
        <v>11.504000000000001</v>
      </c>
      <c r="BQ51" s="193">
        <f>(Input!$C$19)*BQ21</f>
        <v>12.92</v>
      </c>
      <c r="BR51" s="193">
        <f>(Input!$C$19)*BR21</f>
        <v>14.680000000000001</v>
      </c>
      <c r="BS51" s="193">
        <f>(Input!$C$19)*BS21</f>
        <v>16.815999999999999</v>
      </c>
      <c r="BT51" s="193">
        <f>(Input!$C$19)*BT21</f>
        <v>19.008000000000003</v>
      </c>
      <c r="BU51" s="193">
        <f>(Input!$C$19)*BU21</f>
        <v>21.368000000000002</v>
      </c>
      <c r="BV51" s="193">
        <f>(Input!$C$19)*BV21</f>
        <v>24.880000000000003</v>
      </c>
      <c r="BW51" s="193">
        <f>(Input!$C$19)*BW21</f>
        <v>28.927999999999997</v>
      </c>
      <c r="BX51" s="193">
        <f>(Input!$C$19)*BX21</f>
        <v>33.863999999999997</v>
      </c>
      <c r="BY51" s="193">
        <f>(Input!$C$19)*BY21</f>
        <v>39.432000000000002</v>
      </c>
      <c r="BZ51" s="193">
        <f>(Input!$C$19)*BZ21</f>
        <v>45.544000000000004</v>
      </c>
      <c r="CA51" s="193">
        <f>(Input!$C$19)*CA21</f>
        <v>51.951999999999998</v>
      </c>
      <c r="CB51" s="193">
        <f>(Input!$C$19)*CB21</f>
        <v>59.2</v>
      </c>
      <c r="CC51" s="193">
        <f>(Input!$C$19)*CC21</f>
        <v>67.408000000000001</v>
      </c>
      <c r="CD51" s="193">
        <f>(Input!$C$19)*CD21</f>
        <v>76.688000000000002</v>
      </c>
      <c r="CE51" s="193">
        <f>(Input!$C$19)*CE21</f>
        <v>90.712000000000003</v>
      </c>
      <c r="CF51" s="193">
        <f>(Input!$C$19)*CF21</f>
        <v>111.056</v>
      </c>
      <c r="CG51" s="193">
        <f>(Input!$C$19)*CG21</f>
        <v>134.624</v>
      </c>
      <c r="CH51" s="193">
        <f>(Input!$C$19)*CH21</f>
        <v>146.99200000000002</v>
      </c>
      <c r="CI51" s="193">
        <f>(Input!$C$19)*CI21</f>
        <v>158.57600000000002</v>
      </c>
      <c r="CJ51" s="193">
        <f>(Input!$C$19)*CJ21</f>
        <v>168.86400000000003</v>
      </c>
      <c r="CK51" s="193">
        <f>(Input!$C$19)*CK21</f>
        <v>182.232</v>
      </c>
      <c r="CL51" s="193">
        <f>(Input!$C$19)*CL21</f>
        <v>196.47200000000001</v>
      </c>
      <c r="CM51" s="193">
        <f>(Input!$C$19)*CM21</f>
        <v>211.96</v>
      </c>
      <c r="CN51" s="193">
        <f>(Input!$C$19)*CN21</f>
        <v>228.36799999999999</v>
      </c>
      <c r="CO51" s="193">
        <f>(Input!$C$19)*CO21</f>
        <v>245.36</v>
      </c>
      <c r="CP51" s="193">
        <f>(Input!$C$19)*CP21</f>
        <v>262.60000000000002</v>
      </c>
      <c r="CQ51" s="193">
        <f>(Input!$C$19)*CQ21</f>
        <v>280.01600000000002</v>
      </c>
      <c r="CR51" s="193">
        <f>(Input!$C$19)*CR21</f>
        <v>297.32</v>
      </c>
      <c r="CS51" s="193">
        <f>(Input!$C$19)*CS21</f>
        <v>314.23200000000003</v>
      </c>
      <c r="CT51" s="193">
        <f>(Input!$C$19)*CT21</f>
        <v>330.44000000000005</v>
      </c>
      <c r="CU51" s="193">
        <f>(Input!$C$19)*CU21</f>
        <v>345.66399999999999</v>
      </c>
      <c r="CV51" s="193">
        <f>(Input!$C$19)*CV21</f>
        <v>359.608</v>
      </c>
      <c r="CW51" s="193">
        <f>(Input!$C$19)*CW21</f>
        <v>371.98400000000004</v>
      </c>
    </row>
    <row r="52" spans="1:101" s="53" customFormat="1" x14ac:dyDescent="0.25">
      <c r="A52" s="192">
        <f t="shared" si="5"/>
        <v>11</v>
      </c>
      <c r="B52" s="193">
        <f>(Input!$C$19)*B22</f>
        <v>6.4000000000000001E-2</v>
      </c>
      <c r="C52" s="193">
        <f>(Input!$C$19)*C22</f>
        <v>6.4000000000000001E-2</v>
      </c>
      <c r="D52" s="193">
        <f>(Input!$C$19)*D22</f>
        <v>8.0000000000000016E-2</v>
      </c>
      <c r="E52" s="193">
        <f>(Input!$C$19)*E22</f>
        <v>0.10400000000000001</v>
      </c>
      <c r="F52" s="193">
        <f>(Input!$C$19)*F22</f>
        <v>0.15200000000000002</v>
      </c>
      <c r="G52" s="193">
        <f>(Input!$C$19)*G22</f>
        <v>0.23199999999999998</v>
      </c>
      <c r="H52" s="193">
        <f>(Input!$C$19)*H22</f>
        <v>0.33600000000000002</v>
      </c>
      <c r="I52" s="193">
        <f>(Input!$C$19)*I22</f>
        <v>0.45599999999999996</v>
      </c>
      <c r="J52" s="193">
        <f>(Input!$C$19)*J22</f>
        <v>0.55199999999999994</v>
      </c>
      <c r="K52" s="193">
        <f>(Input!$C$19)*K22</f>
        <v>0.57599999999999996</v>
      </c>
      <c r="L52" s="193">
        <f>(Input!$C$19)*L22</f>
        <v>0.59199999999999997</v>
      </c>
      <c r="M52" s="193">
        <f>(Input!$C$19)*M22</f>
        <v>0.6160000000000001</v>
      </c>
      <c r="N52" s="193">
        <f>(Input!$C$19)*N22</f>
        <v>0.60000000000000009</v>
      </c>
      <c r="O52" s="193">
        <f>(Input!$C$19)*O22</f>
        <v>0.57599999999999996</v>
      </c>
      <c r="P52" s="193">
        <f>(Input!$C$19)*P22</f>
        <v>0.56799999999999995</v>
      </c>
      <c r="Q52" s="193">
        <f>(Input!$C$19)*Q22</f>
        <v>0.56799999999999995</v>
      </c>
      <c r="R52" s="193">
        <f>(Input!$C$19)*R22</f>
        <v>0.48799999999999999</v>
      </c>
      <c r="S52" s="193">
        <f>(Input!$C$19)*S22</f>
        <v>0.46399999999999997</v>
      </c>
      <c r="T52" s="193">
        <f>(Input!$C$19)*T22</f>
        <v>0.41600000000000004</v>
      </c>
      <c r="U52" s="193">
        <f>(Input!$C$19)*U22</f>
        <v>0.38400000000000001</v>
      </c>
      <c r="V52" s="193">
        <f>(Input!$C$19)*V22</f>
        <v>0.36000000000000004</v>
      </c>
      <c r="W52" s="193">
        <f>(Input!$C$19)*W22</f>
        <v>0.34400000000000003</v>
      </c>
      <c r="X52" s="193">
        <f>(Input!$C$19)*X22</f>
        <v>0.34400000000000003</v>
      </c>
      <c r="Y52" s="193">
        <f>(Input!$C$19)*Y22</f>
        <v>0.34400000000000003</v>
      </c>
      <c r="Z52" s="193">
        <f>(Input!$C$19)*Z22</f>
        <v>0.35200000000000004</v>
      </c>
      <c r="AA52" s="193">
        <f>(Input!$C$19)*AA22</f>
        <v>0.36000000000000004</v>
      </c>
      <c r="AB52" s="193">
        <f>(Input!$C$19)*AB22</f>
        <v>0.39200000000000002</v>
      </c>
      <c r="AC52" s="193">
        <f>(Input!$C$19)*AC22</f>
        <v>0.42400000000000004</v>
      </c>
      <c r="AD52" s="193">
        <f>(Input!$C$19)*AD22</f>
        <v>0.45599999999999996</v>
      </c>
      <c r="AE52" s="193">
        <f>(Input!$C$19)*AE22</f>
        <v>0.496</v>
      </c>
      <c r="AF52" s="193">
        <f>(Input!$C$19)*AF22</f>
        <v>0.51200000000000001</v>
      </c>
      <c r="AG52" s="193">
        <f>(Input!$C$19)*AG22</f>
        <v>0.52</v>
      </c>
      <c r="AH52" s="193">
        <f>(Input!$C$19)*AH22</f>
        <v>0.55999999999999994</v>
      </c>
      <c r="AI52" s="193">
        <f>(Input!$C$19)*AI22</f>
        <v>0.58399999999999996</v>
      </c>
      <c r="AJ52" s="193">
        <f>(Input!$C$19)*AJ22</f>
        <v>0.6080000000000001</v>
      </c>
      <c r="AK52" s="193">
        <f>(Input!$C$19)*AK22</f>
        <v>0.63200000000000012</v>
      </c>
      <c r="AL52" s="193">
        <f>(Input!$C$19)*AL22</f>
        <v>0.68800000000000006</v>
      </c>
      <c r="AM52" s="193">
        <f>(Input!$C$19)*AM22</f>
        <v>0.752</v>
      </c>
      <c r="AN52" s="193">
        <f>(Input!$C$19)*AN22</f>
        <v>0.82400000000000007</v>
      </c>
      <c r="AO52" s="193">
        <f>(Input!$C$19)*AO22</f>
        <v>0.91199999999999992</v>
      </c>
      <c r="AP52" s="193">
        <f>(Input!$C$19)*AP22</f>
        <v>1</v>
      </c>
      <c r="AQ52" s="193">
        <f>(Input!$C$19)*AQ22</f>
        <v>1.0880000000000001</v>
      </c>
      <c r="AR52" s="193">
        <f>(Input!$C$19)*AR22</f>
        <v>1.1759999999999999</v>
      </c>
      <c r="AS52" s="193">
        <f>(Input!$C$19)*AS22</f>
        <v>1.2720000000000002</v>
      </c>
      <c r="AT52" s="193">
        <f>(Input!$C$19)*AT22</f>
        <v>1.3760000000000001</v>
      </c>
      <c r="AU52" s="193">
        <f>(Input!$C$19)*AU22</f>
        <v>1.504</v>
      </c>
      <c r="AV52" s="193">
        <f>(Input!$C$19)*AV22</f>
        <v>1.6559999999999999</v>
      </c>
      <c r="AW52" s="193">
        <f>(Input!$C$19)*AW22</f>
        <v>1.8399999999999999</v>
      </c>
      <c r="AX52" s="193">
        <f>(Input!$C$19)*AX22</f>
        <v>2.056</v>
      </c>
      <c r="AY52" s="193">
        <f>(Input!$C$19)*AY22</f>
        <v>2.2879999999999998</v>
      </c>
      <c r="AZ52" s="193">
        <f>(Input!$C$19)*AZ22</f>
        <v>2.5280000000000005</v>
      </c>
      <c r="BA52" s="193">
        <f>(Input!$C$19)*BA22</f>
        <v>2.7680000000000002</v>
      </c>
      <c r="BB52" s="193">
        <f>(Input!$C$19)*BB22</f>
        <v>3.024</v>
      </c>
      <c r="BC52" s="193">
        <f>(Input!$C$19)*BC22</f>
        <v>3.3280000000000003</v>
      </c>
      <c r="BD52" s="193">
        <f>(Input!$C$19)*BD22</f>
        <v>3.64</v>
      </c>
      <c r="BE52" s="193">
        <f>(Input!$C$19)*BE22</f>
        <v>4.048</v>
      </c>
      <c r="BF52" s="193">
        <f>(Input!$C$19)*BF22</f>
        <v>4.5520000000000005</v>
      </c>
      <c r="BG52" s="193">
        <f>(Input!$C$19)*BG22</f>
        <v>5.152000000000001</v>
      </c>
      <c r="BH52" s="193">
        <f>(Input!$C$19)*BH22</f>
        <v>5.8479999999999999</v>
      </c>
      <c r="BI52" s="193">
        <f>(Input!$C$19)*BI22</f>
        <v>6.6080000000000005</v>
      </c>
      <c r="BJ52" s="193">
        <f>(Input!$C$19)*BJ22</f>
        <v>7.4480000000000004</v>
      </c>
      <c r="BK52" s="193">
        <f>(Input!$C$19)*BK22</f>
        <v>8.2640000000000011</v>
      </c>
      <c r="BL52" s="193">
        <f>(Input!$C$19)*BL22</f>
        <v>9.0879999999999992</v>
      </c>
      <c r="BM52" s="193">
        <f>(Input!$C$19)*BM22</f>
        <v>9.952</v>
      </c>
      <c r="BN52" s="193">
        <f>(Input!$C$19)*BN22</f>
        <v>10.856000000000002</v>
      </c>
      <c r="BO52" s="193">
        <f>(Input!$C$19)*BO22</f>
        <v>11.928000000000001</v>
      </c>
      <c r="BP52" s="193">
        <f>(Input!$C$19)*BP22</f>
        <v>13.256</v>
      </c>
      <c r="BQ52" s="193">
        <f>(Input!$C$19)*BQ22</f>
        <v>14.975999999999999</v>
      </c>
      <c r="BR52" s="193">
        <f>(Input!$C$19)*BR22</f>
        <v>17.12</v>
      </c>
      <c r="BS52" s="193">
        <f>(Input!$C$19)*BS22</f>
        <v>19.847999999999999</v>
      </c>
      <c r="BT52" s="193">
        <f>(Input!$C$19)*BT22</f>
        <v>22.928000000000001</v>
      </c>
      <c r="BU52" s="193">
        <f>(Input!$C$19)*BU22</f>
        <v>26.336000000000002</v>
      </c>
      <c r="BV52" s="193">
        <f>(Input!$C$19)*BV22</f>
        <v>31.056000000000001</v>
      </c>
      <c r="BW52" s="193">
        <f>(Input!$C$19)*BW22</f>
        <v>36.416000000000004</v>
      </c>
      <c r="BX52" s="193">
        <f>(Input!$C$19)*BX22</f>
        <v>43.248000000000005</v>
      </c>
      <c r="BY52" s="193">
        <f>(Input!$C$19)*BY22</f>
        <v>50.048000000000002</v>
      </c>
      <c r="BZ52" s="193">
        <f>(Input!$C$19)*BZ22</f>
        <v>57.128</v>
      </c>
      <c r="CA52" s="193">
        <f>(Input!$C$19)*CA22</f>
        <v>65.512</v>
      </c>
      <c r="CB52" s="193">
        <f>(Input!$C$19)*CB22</f>
        <v>76.64</v>
      </c>
      <c r="CC52" s="193">
        <f>(Input!$C$19)*CC22</f>
        <v>87.984000000000009</v>
      </c>
      <c r="CD52" s="193">
        <f>(Input!$C$19)*CD22</f>
        <v>101.688</v>
      </c>
      <c r="CE52" s="193">
        <f>(Input!$C$19)*CE22</f>
        <v>115.87200000000001</v>
      </c>
      <c r="CF52" s="193">
        <f>(Input!$C$19)*CF22</f>
        <v>134.624</v>
      </c>
      <c r="CG52" s="193">
        <f>(Input!$C$19)*CG22</f>
        <v>146.99200000000002</v>
      </c>
      <c r="CH52" s="193">
        <f>(Input!$C$19)*CH22</f>
        <v>158.57600000000002</v>
      </c>
      <c r="CI52" s="193">
        <f>(Input!$C$19)*CI22</f>
        <v>168.86400000000003</v>
      </c>
      <c r="CJ52" s="193">
        <f>(Input!$C$19)*CJ22</f>
        <v>182.232</v>
      </c>
      <c r="CK52" s="193">
        <f>(Input!$C$19)*CK22</f>
        <v>196.47200000000001</v>
      </c>
      <c r="CL52" s="193">
        <f>(Input!$C$19)*CL22</f>
        <v>211.96</v>
      </c>
      <c r="CM52" s="193">
        <f>(Input!$C$19)*CM22</f>
        <v>228.36799999999999</v>
      </c>
      <c r="CN52" s="193">
        <f>(Input!$C$19)*CN22</f>
        <v>245.36</v>
      </c>
      <c r="CO52" s="193">
        <f>(Input!$C$19)*CO22</f>
        <v>262.60000000000002</v>
      </c>
      <c r="CP52" s="193">
        <f>(Input!$C$19)*CP22</f>
        <v>280.01600000000002</v>
      </c>
      <c r="CQ52" s="193">
        <f>(Input!$C$19)*CQ22</f>
        <v>297.32</v>
      </c>
      <c r="CR52" s="193">
        <f>(Input!$C$19)*CR22</f>
        <v>314.23200000000003</v>
      </c>
      <c r="CS52" s="193">
        <f>(Input!$C$19)*CS22</f>
        <v>330.44000000000005</v>
      </c>
      <c r="CT52" s="193">
        <f>(Input!$C$19)*CT22</f>
        <v>345.66399999999999</v>
      </c>
      <c r="CU52" s="193">
        <f>(Input!$C$19)*CU22</f>
        <v>359.608</v>
      </c>
      <c r="CV52" s="193">
        <f>(Input!$C$19)*CV22</f>
        <v>371.98400000000004</v>
      </c>
      <c r="CW52" s="193">
        <f>(Input!$C$19)*CW22</f>
        <v>382.49600000000004</v>
      </c>
    </row>
    <row r="53" spans="1:101" s="53" customFormat="1" x14ac:dyDescent="0.25">
      <c r="A53" s="192">
        <f t="shared" si="5"/>
        <v>12</v>
      </c>
      <c r="B53" s="193">
        <f>(Input!$C$19)*B23</f>
        <v>6.4000000000000001E-2</v>
      </c>
      <c r="C53" s="193">
        <f>(Input!$C$19)*C23</f>
        <v>8.0000000000000016E-2</v>
      </c>
      <c r="D53" s="193">
        <f>(Input!$C$19)*D23</f>
        <v>0.10400000000000001</v>
      </c>
      <c r="E53" s="193">
        <f>(Input!$C$19)*E23</f>
        <v>0.15200000000000002</v>
      </c>
      <c r="F53" s="193">
        <f>(Input!$C$19)*F23</f>
        <v>0.23199999999999998</v>
      </c>
      <c r="G53" s="193">
        <f>(Input!$C$19)*G23</f>
        <v>0.33600000000000002</v>
      </c>
      <c r="H53" s="193">
        <f>(Input!$C$19)*H23</f>
        <v>0.45599999999999996</v>
      </c>
      <c r="I53" s="193">
        <f>(Input!$C$19)*I23</f>
        <v>0.55199999999999994</v>
      </c>
      <c r="J53" s="193">
        <f>(Input!$C$19)*J23</f>
        <v>0.57599999999999996</v>
      </c>
      <c r="K53" s="193">
        <f>(Input!$C$19)*K23</f>
        <v>0.59199999999999997</v>
      </c>
      <c r="L53" s="193">
        <f>(Input!$C$19)*L23</f>
        <v>0.6160000000000001</v>
      </c>
      <c r="M53" s="193">
        <f>(Input!$C$19)*M23</f>
        <v>0.60000000000000009</v>
      </c>
      <c r="N53" s="193">
        <f>(Input!$C$19)*N23</f>
        <v>0.57599999999999996</v>
      </c>
      <c r="O53" s="193">
        <f>(Input!$C$19)*O23</f>
        <v>0.56799999999999995</v>
      </c>
      <c r="P53" s="193">
        <f>(Input!$C$19)*P23</f>
        <v>0.56799999999999995</v>
      </c>
      <c r="Q53" s="193">
        <f>(Input!$C$19)*Q23</f>
        <v>0.48799999999999999</v>
      </c>
      <c r="R53" s="193">
        <f>(Input!$C$19)*R23</f>
        <v>0.46399999999999997</v>
      </c>
      <c r="S53" s="193">
        <f>(Input!$C$19)*S23</f>
        <v>0.41600000000000004</v>
      </c>
      <c r="T53" s="193">
        <f>(Input!$C$19)*T23</f>
        <v>0.38400000000000001</v>
      </c>
      <c r="U53" s="193">
        <f>(Input!$C$19)*U23</f>
        <v>0.36800000000000005</v>
      </c>
      <c r="V53" s="193">
        <f>(Input!$C$19)*V23</f>
        <v>0.36000000000000004</v>
      </c>
      <c r="W53" s="193">
        <f>(Input!$C$19)*W23</f>
        <v>0.36000000000000004</v>
      </c>
      <c r="X53" s="193">
        <f>(Input!$C$19)*X23</f>
        <v>0.36000000000000004</v>
      </c>
      <c r="Y53" s="193">
        <f>(Input!$C$19)*Y23</f>
        <v>0.376</v>
      </c>
      <c r="Z53" s="193">
        <f>(Input!$C$19)*Z23</f>
        <v>0.38400000000000001</v>
      </c>
      <c r="AA53" s="193">
        <f>(Input!$C$19)*AA23</f>
        <v>0.40800000000000003</v>
      </c>
      <c r="AB53" s="193">
        <f>(Input!$C$19)*AB23</f>
        <v>0.44000000000000006</v>
      </c>
      <c r="AC53" s="193">
        <f>(Input!$C$19)*AC23</f>
        <v>0.47199999999999998</v>
      </c>
      <c r="AD53" s="193">
        <f>(Input!$C$19)*AD23</f>
        <v>0.51200000000000001</v>
      </c>
      <c r="AE53" s="193">
        <f>(Input!$C$19)*AE23</f>
        <v>0.55199999999999994</v>
      </c>
      <c r="AF53" s="193">
        <f>(Input!$C$19)*AF23</f>
        <v>0.55999999999999994</v>
      </c>
      <c r="AG53" s="193">
        <f>(Input!$C$19)*AG23</f>
        <v>0.56799999999999995</v>
      </c>
      <c r="AH53" s="193">
        <f>(Input!$C$19)*AH23</f>
        <v>0.60000000000000009</v>
      </c>
      <c r="AI53" s="193">
        <f>(Input!$C$19)*AI23</f>
        <v>0.62400000000000011</v>
      </c>
      <c r="AJ53" s="193">
        <f>(Input!$C$19)*AJ23</f>
        <v>0.64800000000000013</v>
      </c>
      <c r="AK53" s="193">
        <f>(Input!$C$19)*AK23</f>
        <v>0.70400000000000007</v>
      </c>
      <c r="AL53" s="193">
        <f>(Input!$C$19)*AL23</f>
        <v>0.76800000000000002</v>
      </c>
      <c r="AM53" s="193">
        <f>(Input!$C$19)*AM23</f>
        <v>0.84000000000000008</v>
      </c>
      <c r="AN53" s="193">
        <f>(Input!$C$19)*AN23</f>
        <v>0.91999999999999993</v>
      </c>
      <c r="AO53" s="193">
        <f>(Input!$C$19)*AO23</f>
        <v>1.008</v>
      </c>
      <c r="AP53" s="193">
        <f>(Input!$C$19)*AP23</f>
        <v>1.1039999999999999</v>
      </c>
      <c r="AQ53" s="193">
        <f>(Input!$C$19)*AQ23</f>
        <v>1.2080000000000002</v>
      </c>
      <c r="AR53" s="193">
        <f>(Input!$C$19)*AR23</f>
        <v>1.3120000000000001</v>
      </c>
      <c r="AS53" s="193">
        <f>(Input!$C$19)*AS23</f>
        <v>1.4320000000000002</v>
      </c>
      <c r="AT53" s="193">
        <f>(Input!$C$19)*AT23</f>
        <v>1.5680000000000001</v>
      </c>
      <c r="AU53" s="193">
        <f>(Input!$C$19)*AU23</f>
        <v>1.7280000000000002</v>
      </c>
      <c r="AV53" s="193">
        <f>(Input!$C$19)*AV23</f>
        <v>1.9120000000000001</v>
      </c>
      <c r="AW53" s="193">
        <f>(Input!$C$19)*AW23</f>
        <v>2.12</v>
      </c>
      <c r="AX53" s="193">
        <f>(Input!$C$19)*AX23</f>
        <v>2.3359999999999999</v>
      </c>
      <c r="AY53" s="193">
        <f>(Input!$C$19)*AY23</f>
        <v>2.5600000000000005</v>
      </c>
      <c r="AZ53" s="193">
        <f>(Input!$C$19)*AZ23</f>
        <v>2.7840000000000003</v>
      </c>
      <c r="BA53" s="193">
        <f>(Input!$C$19)*BA23</f>
        <v>3.0640000000000001</v>
      </c>
      <c r="BB53" s="193">
        <f>(Input!$C$19)*BB23</f>
        <v>3.3520000000000003</v>
      </c>
      <c r="BC53" s="193">
        <f>(Input!$C$19)*BC23</f>
        <v>3.6720000000000002</v>
      </c>
      <c r="BD53" s="193">
        <f>(Input!$C$19)*BD23</f>
        <v>4.048</v>
      </c>
      <c r="BE53" s="193">
        <f>(Input!$C$19)*BE23</f>
        <v>4.6079999999999997</v>
      </c>
      <c r="BF53" s="193">
        <f>(Input!$C$19)*BF23</f>
        <v>5.2880000000000003</v>
      </c>
      <c r="BG53" s="193">
        <f>(Input!$C$19)*BG23</f>
        <v>6.048</v>
      </c>
      <c r="BH53" s="193">
        <f>(Input!$C$19)*BH23</f>
        <v>6.8959999999999999</v>
      </c>
      <c r="BI53" s="193">
        <f>(Input!$C$19)*BI23</f>
        <v>7.7200000000000006</v>
      </c>
      <c r="BJ53" s="193">
        <f>(Input!$C$19)*BJ23</f>
        <v>8.6959999999999997</v>
      </c>
      <c r="BK53" s="193">
        <f>(Input!$C$19)*BK23</f>
        <v>9.5760000000000005</v>
      </c>
      <c r="BL53" s="193">
        <f>(Input!$C$19)*BL23</f>
        <v>10.456000000000001</v>
      </c>
      <c r="BM53" s="193">
        <f>(Input!$C$19)*BM23</f>
        <v>11.432</v>
      </c>
      <c r="BN53" s="193">
        <f>(Input!$C$19)*BN23</f>
        <v>12.423999999999999</v>
      </c>
      <c r="BO53" s="193">
        <f>(Input!$C$19)*BO23</f>
        <v>13.648</v>
      </c>
      <c r="BP53" s="193">
        <f>(Input!$C$19)*BP23</f>
        <v>15.152000000000001</v>
      </c>
      <c r="BQ53" s="193">
        <f>(Input!$C$19)*BQ23</f>
        <v>17.192</v>
      </c>
      <c r="BR53" s="193">
        <f>(Input!$C$19)*BR23</f>
        <v>19.975999999999999</v>
      </c>
      <c r="BS53" s="193">
        <f>(Input!$C$19)*BS23</f>
        <v>23.048000000000002</v>
      </c>
      <c r="BT53" s="193">
        <f>(Input!$C$19)*BT23</f>
        <v>26.592000000000002</v>
      </c>
      <c r="BU53" s="193">
        <f>(Input!$C$19)*BU23</f>
        <v>31.576000000000001</v>
      </c>
      <c r="BV53" s="193">
        <f>(Input!$C$19)*BV23</f>
        <v>36.616000000000007</v>
      </c>
      <c r="BW53" s="193">
        <f>(Input!$C$19)*BW23</f>
        <v>43.456000000000003</v>
      </c>
      <c r="BX53" s="193">
        <f>(Input!$C$19)*BX23</f>
        <v>50.096000000000004</v>
      </c>
      <c r="BY53" s="193">
        <f>(Input!$C$19)*BY23</f>
        <v>57.552</v>
      </c>
      <c r="BZ53" s="193">
        <f>(Input!$C$19)*BZ23</f>
        <v>66.191999999999993</v>
      </c>
      <c r="CA53" s="193">
        <f>(Input!$C$19)*CA23</f>
        <v>78.320000000000007</v>
      </c>
      <c r="CB53" s="193">
        <f>(Input!$C$19)*CB23</f>
        <v>91.832000000000008</v>
      </c>
      <c r="CC53" s="193">
        <f>(Input!$C$19)*CC23</f>
        <v>105.73599999999999</v>
      </c>
      <c r="CD53" s="193">
        <f>(Input!$C$19)*CD23</f>
        <v>122.08</v>
      </c>
      <c r="CE53" s="193">
        <f>(Input!$C$19)*CE23</f>
        <v>134.624</v>
      </c>
      <c r="CF53" s="193">
        <f>(Input!$C$19)*CF23</f>
        <v>146.99200000000002</v>
      </c>
      <c r="CG53" s="193">
        <f>(Input!$C$19)*CG23</f>
        <v>158.57600000000002</v>
      </c>
      <c r="CH53" s="193">
        <f>(Input!$C$19)*CH23</f>
        <v>168.86400000000003</v>
      </c>
      <c r="CI53" s="193">
        <f>(Input!$C$19)*CI23</f>
        <v>182.232</v>
      </c>
      <c r="CJ53" s="193">
        <f>(Input!$C$19)*CJ23</f>
        <v>196.47200000000001</v>
      </c>
      <c r="CK53" s="193">
        <f>(Input!$C$19)*CK23</f>
        <v>211.96</v>
      </c>
      <c r="CL53" s="193">
        <f>(Input!$C$19)*CL23</f>
        <v>228.36799999999999</v>
      </c>
      <c r="CM53" s="193">
        <f>(Input!$C$19)*CM23</f>
        <v>245.36</v>
      </c>
      <c r="CN53" s="193">
        <f>(Input!$C$19)*CN23</f>
        <v>262.60000000000002</v>
      </c>
      <c r="CO53" s="193">
        <f>(Input!$C$19)*CO23</f>
        <v>280.01600000000002</v>
      </c>
      <c r="CP53" s="193">
        <f>(Input!$C$19)*CP23</f>
        <v>297.32</v>
      </c>
      <c r="CQ53" s="193">
        <f>(Input!$C$19)*CQ23</f>
        <v>314.23200000000003</v>
      </c>
      <c r="CR53" s="193">
        <f>(Input!$C$19)*CR23</f>
        <v>330.44000000000005</v>
      </c>
      <c r="CS53" s="193">
        <f>(Input!$C$19)*CS23</f>
        <v>345.66399999999999</v>
      </c>
      <c r="CT53" s="193">
        <f>(Input!$C$19)*CT23</f>
        <v>359.608</v>
      </c>
      <c r="CU53" s="193">
        <f>(Input!$C$19)*CU23</f>
        <v>371.98400000000004</v>
      </c>
      <c r="CV53" s="193">
        <f>(Input!$C$19)*CV23</f>
        <v>382.49600000000004</v>
      </c>
      <c r="CW53" s="193">
        <f>(Input!$C$19)*CW23</f>
        <v>390.85599999999999</v>
      </c>
    </row>
    <row r="54" spans="1:101" s="53" customFormat="1" x14ac:dyDescent="0.25">
      <c r="A54" s="192">
        <f t="shared" si="5"/>
        <v>13</v>
      </c>
      <c r="B54" s="193">
        <f>(Input!$C$19)*B24</f>
        <v>8.0000000000000016E-2</v>
      </c>
      <c r="C54" s="193">
        <f>(Input!$C$19)*C24</f>
        <v>0.10400000000000001</v>
      </c>
      <c r="D54" s="193">
        <f>(Input!$C$19)*D24</f>
        <v>0.15200000000000002</v>
      </c>
      <c r="E54" s="193">
        <f>(Input!$C$19)*E24</f>
        <v>0.23199999999999998</v>
      </c>
      <c r="F54" s="193">
        <f>(Input!$C$19)*F24</f>
        <v>0.33600000000000002</v>
      </c>
      <c r="G54" s="193">
        <f>(Input!$C$19)*G24</f>
        <v>0.45599999999999996</v>
      </c>
      <c r="H54" s="193">
        <f>(Input!$C$19)*H24</f>
        <v>0.55199999999999994</v>
      </c>
      <c r="I54" s="193">
        <f>(Input!$C$19)*I24</f>
        <v>0.57599999999999996</v>
      </c>
      <c r="J54" s="193">
        <f>(Input!$C$19)*J24</f>
        <v>0.59199999999999997</v>
      </c>
      <c r="K54" s="193">
        <f>(Input!$C$19)*K24</f>
        <v>0.6160000000000001</v>
      </c>
      <c r="L54" s="193">
        <f>(Input!$C$19)*L24</f>
        <v>0.60000000000000009</v>
      </c>
      <c r="M54" s="193">
        <f>(Input!$C$19)*M24</f>
        <v>0.57599999999999996</v>
      </c>
      <c r="N54" s="193">
        <f>(Input!$C$19)*N24</f>
        <v>0.56799999999999995</v>
      </c>
      <c r="O54" s="193">
        <f>(Input!$C$19)*O24</f>
        <v>0.56799999999999995</v>
      </c>
      <c r="P54" s="193">
        <f>(Input!$C$19)*P24</f>
        <v>0.48799999999999999</v>
      </c>
      <c r="Q54" s="193">
        <f>(Input!$C$19)*Q24</f>
        <v>0.46399999999999997</v>
      </c>
      <c r="R54" s="193">
        <f>(Input!$C$19)*R24</f>
        <v>0.41600000000000004</v>
      </c>
      <c r="S54" s="193">
        <f>(Input!$C$19)*S24</f>
        <v>0.38400000000000001</v>
      </c>
      <c r="T54" s="193">
        <f>(Input!$C$19)*T24</f>
        <v>0.36800000000000005</v>
      </c>
      <c r="U54" s="193">
        <f>(Input!$C$19)*U24</f>
        <v>0.36000000000000004</v>
      </c>
      <c r="V54" s="193">
        <f>(Input!$C$19)*V24</f>
        <v>0.36800000000000005</v>
      </c>
      <c r="W54" s="193">
        <f>(Input!$C$19)*W24</f>
        <v>0.376</v>
      </c>
      <c r="X54" s="193">
        <f>(Input!$C$19)*X24</f>
        <v>0.38400000000000001</v>
      </c>
      <c r="Y54" s="193">
        <f>(Input!$C$19)*Y24</f>
        <v>0.4</v>
      </c>
      <c r="Z54" s="193">
        <f>(Input!$C$19)*Z24</f>
        <v>0.42400000000000004</v>
      </c>
      <c r="AA54" s="193">
        <f>(Input!$C$19)*AA24</f>
        <v>0.44800000000000006</v>
      </c>
      <c r="AB54" s="193">
        <f>(Input!$C$19)*AB24</f>
        <v>0.48</v>
      </c>
      <c r="AC54" s="193">
        <f>(Input!$C$19)*AC24</f>
        <v>0.51200000000000001</v>
      </c>
      <c r="AD54" s="193">
        <f>(Input!$C$19)*AD24</f>
        <v>0.55199999999999994</v>
      </c>
      <c r="AE54" s="193">
        <f>(Input!$C$19)*AE24</f>
        <v>0.60000000000000009</v>
      </c>
      <c r="AF54" s="193">
        <f>(Input!$C$19)*AF24</f>
        <v>0.60000000000000009</v>
      </c>
      <c r="AG54" s="193">
        <f>(Input!$C$19)*AG24</f>
        <v>0.62400000000000011</v>
      </c>
      <c r="AH54" s="193">
        <f>(Input!$C$19)*AH24</f>
        <v>0.65600000000000003</v>
      </c>
      <c r="AI54" s="193">
        <f>(Input!$C$19)*AI24</f>
        <v>0.68800000000000006</v>
      </c>
      <c r="AJ54" s="193">
        <f>(Input!$C$19)*AJ24</f>
        <v>0.7360000000000001</v>
      </c>
      <c r="AK54" s="193">
        <f>(Input!$C$19)*AK24</f>
        <v>0.8</v>
      </c>
      <c r="AL54" s="193">
        <f>(Input!$C$19)*AL24</f>
        <v>0.8640000000000001</v>
      </c>
      <c r="AM54" s="193">
        <f>(Input!$C$19)*AM24</f>
        <v>0.94399999999999995</v>
      </c>
      <c r="AN54" s="193">
        <f>(Input!$C$19)*AN24</f>
        <v>1.032</v>
      </c>
      <c r="AO54" s="193">
        <f>(Input!$C$19)*AO24</f>
        <v>1.1279999999999999</v>
      </c>
      <c r="AP54" s="193">
        <f>(Input!$C$19)*AP24</f>
        <v>1.2400000000000002</v>
      </c>
      <c r="AQ54" s="193">
        <f>(Input!$C$19)*AQ24</f>
        <v>1.36</v>
      </c>
      <c r="AR54" s="193">
        <f>(Input!$C$19)*AR24</f>
        <v>1.4880000000000002</v>
      </c>
      <c r="AS54" s="193">
        <f>(Input!$C$19)*AS24</f>
        <v>1.64</v>
      </c>
      <c r="AT54" s="193">
        <f>(Input!$C$19)*AT24</f>
        <v>1.8079999999999998</v>
      </c>
      <c r="AU54" s="193">
        <f>(Input!$C$19)*AU24</f>
        <v>1.9920000000000002</v>
      </c>
      <c r="AV54" s="193">
        <f>(Input!$C$19)*AV24</f>
        <v>2.1920000000000002</v>
      </c>
      <c r="AW54" s="193">
        <f>(Input!$C$19)*AW24</f>
        <v>2.4079999999999999</v>
      </c>
      <c r="AX54" s="193">
        <f>(Input!$C$19)*AX24</f>
        <v>2.64</v>
      </c>
      <c r="AY54" s="193">
        <f>(Input!$C$19)*AY24</f>
        <v>2.8640000000000003</v>
      </c>
      <c r="AZ54" s="193">
        <f>(Input!$C$19)*AZ24</f>
        <v>3.1040000000000001</v>
      </c>
      <c r="BA54" s="193">
        <f>(Input!$C$19)*BA24</f>
        <v>3.3759999999999999</v>
      </c>
      <c r="BB54" s="193">
        <f>(Input!$C$19)*BB24</f>
        <v>3.7119999999999997</v>
      </c>
      <c r="BC54" s="193">
        <f>(Input!$C$19)*BC24</f>
        <v>4.1360000000000001</v>
      </c>
      <c r="BD54" s="193">
        <f>(Input!$C$19)*BD24</f>
        <v>4.7039999999999997</v>
      </c>
      <c r="BE54" s="193">
        <f>(Input!$C$19)*BE24</f>
        <v>5.4080000000000004</v>
      </c>
      <c r="BF54" s="193">
        <f>(Input!$C$19)*BF24</f>
        <v>6.1920000000000002</v>
      </c>
      <c r="BG54" s="193">
        <f>(Input!$C$19)*BG24</f>
        <v>7.0640000000000001</v>
      </c>
      <c r="BH54" s="193">
        <f>(Input!$C$19)*BH24</f>
        <v>7.9359999999999999</v>
      </c>
      <c r="BI54" s="193">
        <f>(Input!$C$19)*BI24</f>
        <v>8.8719999999999999</v>
      </c>
      <c r="BJ54" s="193">
        <f>(Input!$C$19)*BJ24</f>
        <v>9.9200000000000017</v>
      </c>
      <c r="BK54" s="193">
        <f>(Input!$C$19)*BK24</f>
        <v>10.888</v>
      </c>
      <c r="BL54" s="193">
        <f>(Input!$C$19)*BL24</f>
        <v>11.912000000000001</v>
      </c>
      <c r="BM54" s="193">
        <f>(Input!$C$19)*BM24</f>
        <v>13.096000000000002</v>
      </c>
      <c r="BN54" s="193">
        <f>(Input!$C$19)*BN24</f>
        <v>14.352000000000002</v>
      </c>
      <c r="BO54" s="193">
        <f>(Input!$C$19)*BO24</f>
        <v>15.872</v>
      </c>
      <c r="BP54" s="193">
        <f>(Input!$C$19)*BP24</f>
        <v>17.687999999999999</v>
      </c>
      <c r="BQ54" s="193">
        <f>(Input!$C$19)*BQ24</f>
        <v>20.103999999999999</v>
      </c>
      <c r="BR54" s="193">
        <f>(Input!$C$19)*BR24</f>
        <v>23.064</v>
      </c>
      <c r="BS54" s="193">
        <f>(Input!$C$19)*BS24</f>
        <v>26.84</v>
      </c>
      <c r="BT54" s="193">
        <f>(Input!$C$19)*BT24</f>
        <v>31.576000000000001</v>
      </c>
      <c r="BU54" s="193">
        <f>(Input!$C$19)*BU24</f>
        <v>36.808</v>
      </c>
      <c r="BV54" s="193">
        <f>(Input!$C$19)*BV24</f>
        <v>43.52</v>
      </c>
      <c r="BW54" s="193">
        <f>(Input!$C$19)*BW24</f>
        <v>50.144000000000005</v>
      </c>
      <c r="BX54" s="193">
        <f>(Input!$C$19)*BX24</f>
        <v>57.624000000000002</v>
      </c>
      <c r="BY54" s="193">
        <f>(Input!$C$19)*BY24</f>
        <v>66.768000000000001</v>
      </c>
      <c r="BZ54" s="193">
        <f>(Input!$C$19)*BZ24</f>
        <v>79.232000000000014</v>
      </c>
      <c r="CA54" s="193">
        <f>(Input!$C$19)*CA24</f>
        <v>93.208000000000013</v>
      </c>
      <c r="CB54" s="193">
        <f>(Input!$C$19)*CB24</f>
        <v>108.48800000000001</v>
      </c>
      <c r="CC54" s="193">
        <f>(Input!$C$19)*CC24</f>
        <v>122.08</v>
      </c>
      <c r="CD54" s="193">
        <f>(Input!$C$19)*CD24</f>
        <v>134.624</v>
      </c>
      <c r="CE54" s="193">
        <f>(Input!$C$19)*CE24</f>
        <v>146.99200000000002</v>
      </c>
      <c r="CF54" s="193">
        <f>(Input!$C$19)*CF24</f>
        <v>158.57600000000002</v>
      </c>
      <c r="CG54" s="193">
        <f>(Input!$C$19)*CG24</f>
        <v>168.86400000000003</v>
      </c>
      <c r="CH54" s="193">
        <f>(Input!$C$19)*CH24</f>
        <v>182.232</v>
      </c>
      <c r="CI54" s="193">
        <f>(Input!$C$19)*CI24</f>
        <v>196.47200000000001</v>
      </c>
      <c r="CJ54" s="193">
        <f>(Input!$C$19)*CJ24</f>
        <v>211.96</v>
      </c>
      <c r="CK54" s="193">
        <f>(Input!$C$19)*CK24</f>
        <v>228.36799999999999</v>
      </c>
      <c r="CL54" s="193">
        <f>(Input!$C$19)*CL24</f>
        <v>245.36</v>
      </c>
      <c r="CM54" s="193">
        <f>(Input!$C$19)*CM24</f>
        <v>262.60000000000002</v>
      </c>
      <c r="CN54" s="193">
        <f>(Input!$C$19)*CN24</f>
        <v>280.01600000000002</v>
      </c>
      <c r="CO54" s="193">
        <f>(Input!$C$19)*CO24</f>
        <v>297.32</v>
      </c>
      <c r="CP54" s="193">
        <f>(Input!$C$19)*CP24</f>
        <v>314.23200000000003</v>
      </c>
      <c r="CQ54" s="193">
        <f>(Input!$C$19)*CQ24</f>
        <v>330.44000000000005</v>
      </c>
      <c r="CR54" s="193">
        <f>(Input!$C$19)*CR24</f>
        <v>345.66399999999999</v>
      </c>
      <c r="CS54" s="193">
        <f>(Input!$C$19)*CS24</f>
        <v>359.608</v>
      </c>
      <c r="CT54" s="193">
        <f>(Input!$C$19)*CT24</f>
        <v>371.98400000000004</v>
      </c>
      <c r="CU54" s="193">
        <f>(Input!$C$19)*CU24</f>
        <v>382.49600000000004</v>
      </c>
      <c r="CV54" s="193">
        <f>(Input!$C$19)*CV24</f>
        <v>390.85599999999999</v>
      </c>
      <c r="CW54" s="193">
        <f>(Input!$C$19)*CW24</f>
        <v>396.76</v>
      </c>
    </row>
    <row r="55" spans="1:101" s="53" customFormat="1" x14ac:dyDescent="0.25">
      <c r="A55" s="192">
        <f t="shared" si="5"/>
        <v>14</v>
      </c>
      <c r="B55" s="193">
        <f>(Input!$C$19)*B25</f>
        <v>0.10400000000000001</v>
      </c>
      <c r="C55" s="193">
        <f>(Input!$C$19)*C25</f>
        <v>0.15200000000000002</v>
      </c>
      <c r="D55" s="193">
        <f>(Input!$C$19)*D25</f>
        <v>0.23199999999999998</v>
      </c>
      <c r="E55" s="193">
        <f>(Input!$C$19)*E25</f>
        <v>0.33600000000000002</v>
      </c>
      <c r="F55" s="193">
        <f>(Input!$C$19)*F25</f>
        <v>0.45599999999999996</v>
      </c>
      <c r="G55" s="193">
        <f>(Input!$C$19)*G25</f>
        <v>0.55199999999999994</v>
      </c>
      <c r="H55" s="193">
        <f>(Input!$C$19)*H25</f>
        <v>0.57599999999999996</v>
      </c>
      <c r="I55" s="193">
        <f>(Input!$C$19)*I25</f>
        <v>0.59199999999999997</v>
      </c>
      <c r="J55" s="193">
        <f>(Input!$C$19)*J25</f>
        <v>0.6160000000000001</v>
      </c>
      <c r="K55" s="193">
        <f>(Input!$C$19)*K25</f>
        <v>0.60000000000000009</v>
      </c>
      <c r="L55" s="193">
        <f>(Input!$C$19)*L25</f>
        <v>0.57599999999999996</v>
      </c>
      <c r="M55" s="193">
        <f>(Input!$C$19)*M25</f>
        <v>0.56799999999999995</v>
      </c>
      <c r="N55" s="193">
        <f>(Input!$C$19)*N25</f>
        <v>0.56799999999999995</v>
      </c>
      <c r="O55" s="193">
        <f>(Input!$C$19)*O25</f>
        <v>0.48799999999999999</v>
      </c>
      <c r="P55" s="193">
        <f>(Input!$C$19)*P25</f>
        <v>0.46399999999999997</v>
      </c>
      <c r="Q55" s="193">
        <f>(Input!$C$19)*Q25</f>
        <v>0.41600000000000004</v>
      </c>
      <c r="R55" s="193">
        <f>(Input!$C$19)*R25</f>
        <v>0.38400000000000001</v>
      </c>
      <c r="S55" s="193">
        <f>(Input!$C$19)*S25</f>
        <v>0.36800000000000005</v>
      </c>
      <c r="T55" s="193">
        <f>(Input!$C$19)*T25</f>
        <v>0.38400000000000001</v>
      </c>
      <c r="U55" s="193">
        <f>(Input!$C$19)*U25</f>
        <v>0.39200000000000002</v>
      </c>
      <c r="V55" s="193">
        <f>(Input!$C$19)*V25</f>
        <v>0.4</v>
      </c>
      <c r="W55" s="193">
        <f>(Input!$C$19)*W25</f>
        <v>0.41600000000000004</v>
      </c>
      <c r="X55" s="193">
        <f>(Input!$C$19)*X25</f>
        <v>0.43200000000000005</v>
      </c>
      <c r="Y55" s="193">
        <f>(Input!$C$19)*Y25</f>
        <v>0.45599999999999996</v>
      </c>
      <c r="Z55" s="193">
        <f>(Input!$C$19)*Z25</f>
        <v>0.48</v>
      </c>
      <c r="AA55" s="193">
        <f>(Input!$C$19)*AA25</f>
        <v>0.504</v>
      </c>
      <c r="AB55" s="193">
        <f>(Input!$C$19)*AB25</f>
        <v>0.53600000000000003</v>
      </c>
      <c r="AC55" s="193">
        <f>(Input!$C$19)*AC25</f>
        <v>0.57599999999999996</v>
      </c>
      <c r="AD55" s="193">
        <f>(Input!$C$19)*AD25</f>
        <v>0.62400000000000011</v>
      </c>
      <c r="AE55" s="193">
        <f>(Input!$C$19)*AE25</f>
        <v>0.67200000000000004</v>
      </c>
      <c r="AF55" s="193">
        <f>(Input!$C$19)*AF25</f>
        <v>0.68</v>
      </c>
      <c r="AG55" s="193">
        <f>(Input!$C$19)*AG25</f>
        <v>0.69600000000000006</v>
      </c>
      <c r="AH55" s="193">
        <f>(Input!$C$19)*AH25</f>
        <v>0.72800000000000009</v>
      </c>
      <c r="AI55" s="193">
        <f>(Input!$C$19)*AI25</f>
        <v>0.77600000000000002</v>
      </c>
      <c r="AJ55" s="193">
        <f>(Input!$C$19)*AJ25</f>
        <v>0.84000000000000008</v>
      </c>
      <c r="AK55" s="193">
        <f>(Input!$C$19)*AK25</f>
        <v>0.90399999999999991</v>
      </c>
      <c r="AL55" s="193">
        <f>(Input!$C$19)*AL25</f>
        <v>0.97599999999999998</v>
      </c>
      <c r="AM55" s="193">
        <f>(Input!$C$19)*AM25</f>
        <v>1.056</v>
      </c>
      <c r="AN55" s="193">
        <f>(Input!$C$19)*AN25</f>
        <v>1.1519999999999999</v>
      </c>
      <c r="AO55" s="193">
        <f>(Input!$C$19)*AO25</f>
        <v>1.2560000000000002</v>
      </c>
      <c r="AP55" s="193">
        <f>(Input!$C$19)*AP25</f>
        <v>1.3840000000000001</v>
      </c>
      <c r="AQ55" s="193">
        <f>(Input!$C$19)*AQ25</f>
        <v>1.52</v>
      </c>
      <c r="AR55" s="193">
        <f>(Input!$C$19)*AR25</f>
        <v>1.6719999999999999</v>
      </c>
      <c r="AS55" s="193">
        <f>(Input!$C$19)*AS25</f>
        <v>1.8480000000000001</v>
      </c>
      <c r="AT55" s="193">
        <f>(Input!$C$19)*AT25</f>
        <v>2.048</v>
      </c>
      <c r="AU55" s="193">
        <f>(Input!$C$19)*AU25</f>
        <v>2.2559999999999998</v>
      </c>
      <c r="AV55" s="193">
        <f>(Input!$C$19)*AV25</f>
        <v>2.488</v>
      </c>
      <c r="AW55" s="193">
        <f>(Input!$C$19)*AW25</f>
        <v>2.7360000000000002</v>
      </c>
      <c r="AX55" s="193">
        <f>(Input!$C$19)*AX25</f>
        <v>2.9920000000000004</v>
      </c>
      <c r="AY55" s="193">
        <f>(Input!$C$19)*AY25</f>
        <v>3.2479999999999998</v>
      </c>
      <c r="AZ55" s="193">
        <f>(Input!$C$19)*AZ25</f>
        <v>3.536</v>
      </c>
      <c r="BA55" s="193">
        <f>(Input!$C$19)*BA25</f>
        <v>3.8640000000000003</v>
      </c>
      <c r="BB55" s="193">
        <f>(Input!$C$19)*BB25</f>
        <v>4.2960000000000003</v>
      </c>
      <c r="BC55" s="193">
        <f>(Input!$C$19)*BC25</f>
        <v>4.8240000000000007</v>
      </c>
      <c r="BD55" s="193">
        <f>(Input!$C$19)*BD25</f>
        <v>5.4960000000000004</v>
      </c>
      <c r="BE55" s="193">
        <f>(Input!$C$19)*BE25</f>
        <v>6.2960000000000003</v>
      </c>
      <c r="BF55" s="193">
        <f>(Input!$C$19)*BF25</f>
        <v>7.0880000000000001</v>
      </c>
      <c r="BG55" s="193">
        <f>(Input!$C$19)*BG25</f>
        <v>7.9760000000000009</v>
      </c>
      <c r="BH55" s="193">
        <f>(Input!$C$19)*BH25</f>
        <v>8.92</v>
      </c>
      <c r="BI55" s="193">
        <f>(Input!$C$19)*BI25</f>
        <v>10.056000000000001</v>
      </c>
      <c r="BJ55" s="193">
        <f>(Input!$C$19)*BJ25</f>
        <v>11.176000000000002</v>
      </c>
      <c r="BK55" s="193">
        <f>(Input!$C$19)*BK25</f>
        <v>12.36</v>
      </c>
      <c r="BL55" s="193">
        <f>(Input!$C$19)*BL25</f>
        <v>13.664</v>
      </c>
      <c r="BM55" s="193">
        <f>(Input!$C$19)*BM25</f>
        <v>15.192</v>
      </c>
      <c r="BN55" s="193">
        <f>(Input!$C$19)*BN25</f>
        <v>16.784000000000002</v>
      </c>
      <c r="BO55" s="193">
        <f>(Input!$C$19)*BO25</f>
        <v>18.648</v>
      </c>
      <c r="BP55" s="193">
        <f>(Input!$C$19)*BP25</f>
        <v>20.832000000000001</v>
      </c>
      <c r="BQ55" s="193">
        <f>(Input!$C$19)*BQ25</f>
        <v>23.664000000000001</v>
      </c>
      <c r="BR55" s="193">
        <f>(Input!$C$19)*BR25</f>
        <v>27.088000000000001</v>
      </c>
      <c r="BS55" s="193">
        <f>(Input!$C$19)*BS25</f>
        <v>31.680000000000003</v>
      </c>
      <c r="BT55" s="193">
        <f>(Input!$C$19)*BT25</f>
        <v>37.008000000000003</v>
      </c>
      <c r="BU55" s="193">
        <f>(Input!$C$19)*BU25</f>
        <v>43.992000000000004</v>
      </c>
      <c r="BV55" s="193">
        <f>(Input!$C$19)*BV25</f>
        <v>50.192000000000007</v>
      </c>
      <c r="BW55" s="193">
        <f>(Input!$C$19)*BW25</f>
        <v>57.696000000000005</v>
      </c>
      <c r="BX55" s="193">
        <f>(Input!$C$19)*BX25</f>
        <v>67.463999999999999</v>
      </c>
      <c r="BY55" s="193">
        <f>(Input!$C$19)*BY25</f>
        <v>79.712000000000003</v>
      </c>
      <c r="BZ55" s="193">
        <f>(Input!$C$19)*BZ25</f>
        <v>93.567999999999998</v>
      </c>
      <c r="CA55" s="193">
        <f>(Input!$C$19)*CA25</f>
        <v>109.52000000000001</v>
      </c>
      <c r="CB55" s="193">
        <f>(Input!$C$19)*CB25</f>
        <v>122.08</v>
      </c>
      <c r="CC55" s="193">
        <f>(Input!$C$19)*CC25</f>
        <v>134.624</v>
      </c>
      <c r="CD55" s="193">
        <f>(Input!$C$19)*CD25</f>
        <v>146.99200000000002</v>
      </c>
      <c r="CE55" s="193">
        <f>(Input!$C$19)*CE25</f>
        <v>158.57600000000002</v>
      </c>
      <c r="CF55" s="193">
        <f>(Input!$C$19)*CF25</f>
        <v>168.86400000000003</v>
      </c>
      <c r="CG55" s="193">
        <f>(Input!$C$19)*CG25</f>
        <v>182.232</v>
      </c>
      <c r="CH55" s="193">
        <f>(Input!$C$19)*CH25</f>
        <v>196.47200000000001</v>
      </c>
      <c r="CI55" s="193">
        <f>(Input!$C$19)*CI25</f>
        <v>211.96</v>
      </c>
      <c r="CJ55" s="193">
        <f>(Input!$C$19)*CJ25</f>
        <v>228.36799999999999</v>
      </c>
      <c r="CK55" s="193">
        <f>(Input!$C$19)*CK25</f>
        <v>245.36</v>
      </c>
      <c r="CL55" s="193">
        <f>(Input!$C$19)*CL25</f>
        <v>262.60000000000002</v>
      </c>
      <c r="CM55" s="193">
        <f>(Input!$C$19)*CM25</f>
        <v>280.01600000000002</v>
      </c>
      <c r="CN55" s="193">
        <f>(Input!$C$19)*CN25</f>
        <v>297.32</v>
      </c>
      <c r="CO55" s="193">
        <f>(Input!$C$19)*CO25</f>
        <v>314.23200000000003</v>
      </c>
      <c r="CP55" s="193">
        <f>(Input!$C$19)*CP25</f>
        <v>330.44000000000005</v>
      </c>
      <c r="CQ55" s="193">
        <f>(Input!$C$19)*CQ25</f>
        <v>345.66399999999999</v>
      </c>
      <c r="CR55" s="193">
        <f>(Input!$C$19)*CR25</f>
        <v>359.608</v>
      </c>
      <c r="CS55" s="193">
        <f>(Input!$C$19)*CS25</f>
        <v>371.98400000000004</v>
      </c>
      <c r="CT55" s="193">
        <f>(Input!$C$19)*CT25</f>
        <v>382.49600000000004</v>
      </c>
      <c r="CU55" s="193">
        <f>(Input!$C$19)*CU25</f>
        <v>390.85599999999999</v>
      </c>
      <c r="CV55" s="193">
        <f>(Input!$C$19)*CV25</f>
        <v>396.76</v>
      </c>
      <c r="CW55" s="193">
        <f>(Input!$C$19)*CW25</f>
        <v>400</v>
      </c>
    </row>
    <row r="56" spans="1:101" s="53" customFormat="1" x14ac:dyDescent="0.25">
      <c r="A56" s="192">
        <f t="shared" si="5"/>
        <v>15</v>
      </c>
      <c r="B56" s="193">
        <f>(Input!$C$19)*B26</f>
        <v>0.15200000000000002</v>
      </c>
      <c r="C56" s="193">
        <f>(Input!$C$19)*C26</f>
        <v>0.23199999999999998</v>
      </c>
      <c r="D56" s="193">
        <f>(Input!$C$19)*D26</f>
        <v>0.33600000000000002</v>
      </c>
      <c r="E56" s="193">
        <f>(Input!$C$19)*E26</f>
        <v>0.45599999999999996</v>
      </c>
      <c r="F56" s="193">
        <f>(Input!$C$19)*F26</f>
        <v>0.55199999999999994</v>
      </c>
      <c r="G56" s="193">
        <f>(Input!$C$19)*G26</f>
        <v>0.57599999999999996</v>
      </c>
      <c r="H56" s="193">
        <f>(Input!$C$19)*H26</f>
        <v>0.59199999999999997</v>
      </c>
      <c r="I56" s="193">
        <f>(Input!$C$19)*I26</f>
        <v>0.6160000000000001</v>
      </c>
      <c r="J56" s="193">
        <f>(Input!$C$19)*J26</f>
        <v>0.60000000000000009</v>
      </c>
      <c r="K56" s="193">
        <f>(Input!$C$19)*K26</f>
        <v>0.57599999999999996</v>
      </c>
      <c r="L56" s="193">
        <f>(Input!$C$19)*L26</f>
        <v>0.56799999999999995</v>
      </c>
      <c r="M56" s="193">
        <f>(Input!$C$19)*M26</f>
        <v>0.56799999999999995</v>
      </c>
      <c r="N56" s="193">
        <f>(Input!$C$19)*N26</f>
        <v>0.48799999999999999</v>
      </c>
      <c r="O56" s="193">
        <f>(Input!$C$19)*O26</f>
        <v>0.46399999999999997</v>
      </c>
      <c r="P56" s="193">
        <f>(Input!$C$19)*P26</f>
        <v>0.41600000000000004</v>
      </c>
      <c r="Q56" s="193">
        <f>(Input!$C$19)*Q26</f>
        <v>0.38400000000000001</v>
      </c>
      <c r="R56" s="193">
        <f>(Input!$C$19)*R26</f>
        <v>0.36800000000000005</v>
      </c>
      <c r="S56" s="193">
        <f>(Input!$C$19)*S26</f>
        <v>0.38400000000000001</v>
      </c>
      <c r="T56" s="193">
        <f>(Input!$C$19)*T26</f>
        <v>0.4</v>
      </c>
      <c r="U56" s="193">
        <f>(Input!$C$19)*U26</f>
        <v>0.43200000000000005</v>
      </c>
      <c r="V56" s="193">
        <f>(Input!$C$19)*V26</f>
        <v>0.44800000000000006</v>
      </c>
      <c r="W56" s="193">
        <f>(Input!$C$19)*W26</f>
        <v>0.46399999999999997</v>
      </c>
      <c r="X56" s="193">
        <f>(Input!$C$19)*X26</f>
        <v>0.48799999999999999</v>
      </c>
      <c r="Y56" s="193">
        <f>(Input!$C$19)*Y26</f>
        <v>0.504</v>
      </c>
      <c r="Z56" s="193">
        <f>(Input!$C$19)*Z26</f>
        <v>0.52800000000000002</v>
      </c>
      <c r="AA56" s="193">
        <f>(Input!$C$19)*AA26</f>
        <v>0.55199999999999994</v>
      </c>
      <c r="AB56" s="193">
        <f>(Input!$C$19)*AB26</f>
        <v>0.59199999999999997</v>
      </c>
      <c r="AC56" s="193">
        <f>(Input!$C$19)*AC26</f>
        <v>0.64000000000000012</v>
      </c>
      <c r="AD56" s="193">
        <f>(Input!$C$19)*AD26</f>
        <v>0.69600000000000006</v>
      </c>
      <c r="AE56" s="193">
        <f>(Input!$C$19)*AE26</f>
        <v>0.7360000000000001</v>
      </c>
      <c r="AF56" s="193">
        <f>(Input!$C$19)*AF26</f>
        <v>0.74400000000000011</v>
      </c>
      <c r="AG56" s="193">
        <f>(Input!$C$19)*AG26</f>
        <v>0.76800000000000002</v>
      </c>
      <c r="AH56" s="193">
        <f>(Input!$C$19)*AH26</f>
        <v>0.82400000000000007</v>
      </c>
      <c r="AI56" s="193">
        <f>(Input!$C$19)*AI26</f>
        <v>0.88000000000000012</v>
      </c>
      <c r="AJ56" s="193">
        <f>(Input!$C$19)*AJ26</f>
        <v>0.94399999999999995</v>
      </c>
      <c r="AK56" s="193">
        <f>(Input!$C$19)*AK26</f>
        <v>1.016</v>
      </c>
      <c r="AL56" s="193">
        <f>(Input!$C$19)*AL26</f>
        <v>1.0880000000000001</v>
      </c>
      <c r="AM56" s="193">
        <f>(Input!$C$19)*AM26</f>
        <v>1.1759999999999999</v>
      </c>
      <c r="AN56" s="193">
        <f>(Input!$C$19)*AN26</f>
        <v>1.2720000000000002</v>
      </c>
      <c r="AO56" s="193">
        <f>(Input!$C$19)*AO26</f>
        <v>1.3920000000000001</v>
      </c>
      <c r="AP56" s="193">
        <f>(Input!$C$19)*AP26</f>
        <v>1.528</v>
      </c>
      <c r="AQ56" s="193">
        <f>(Input!$C$19)*AQ26</f>
        <v>1.6879999999999999</v>
      </c>
      <c r="AR56" s="193">
        <f>(Input!$C$19)*AR26</f>
        <v>1.8719999999999999</v>
      </c>
      <c r="AS56" s="193">
        <f>(Input!$C$19)*AS26</f>
        <v>2.08</v>
      </c>
      <c r="AT56" s="193">
        <f>(Input!$C$19)*AT26</f>
        <v>2.3199999999999998</v>
      </c>
      <c r="AU56" s="193">
        <f>(Input!$C$19)*AU26</f>
        <v>2.5760000000000005</v>
      </c>
      <c r="AV56" s="193">
        <f>(Input!$C$19)*AV26</f>
        <v>2.8559999999999999</v>
      </c>
      <c r="AW56" s="193">
        <f>(Input!$C$19)*AW26</f>
        <v>3.1360000000000001</v>
      </c>
      <c r="AX56" s="193">
        <f>(Input!$C$19)*AX26</f>
        <v>3.4320000000000004</v>
      </c>
      <c r="AY56" s="193">
        <f>(Input!$C$19)*AY26</f>
        <v>3.7360000000000002</v>
      </c>
      <c r="AZ56" s="193">
        <f>(Input!$C$19)*AZ26</f>
        <v>4.08</v>
      </c>
      <c r="BA56" s="193">
        <f>(Input!$C$19)*BA26</f>
        <v>4.4720000000000004</v>
      </c>
      <c r="BB56" s="193">
        <f>(Input!$C$19)*BB26</f>
        <v>4.968</v>
      </c>
      <c r="BC56" s="193">
        <f>(Input!$C$19)*BC26</f>
        <v>5.5600000000000005</v>
      </c>
      <c r="BD56" s="193">
        <f>(Input!$C$19)*BD26</f>
        <v>6.3120000000000003</v>
      </c>
      <c r="BE56" s="193">
        <f>(Input!$C$19)*BE26</f>
        <v>7.0960000000000001</v>
      </c>
      <c r="BF56" s="193">
        <f>(Input!$C$19)*BF26</f>
        <v>7.9920000000000009</v>
      </c>
      <c r="BG56" s="193">
        <f>(Input!$C$19)*BG26</f>
        <v>8.9280000000000008</v>
      </c>
      <c r="BH56" s="193">
        <f>(Input!$C$19)*BH26</f>
        <v>10.072000000000001</v>
      </c>
      <c r="BI56" s="193">
        <f>(Input!$C$19)*BI26</f>
        <v>11.344000000000001</v>
      </c>
      <c r="BJ56" s="193">
        <f>(Input!$C$19)*BJ26</f>
        <v>12.704000000000001</v>
      </c>
      <c r="BK56" s="193">
        <f>(Input!$C$19)*BK26</f>
        <v>14.240000000000002</v>
      </c>
      <c r="BL56" s="193">
        <f>(Input!$C$19)*BL26</f>
        <v>15.928000000000001</v>
      </c>
      <c r="BM56" s="193">
        <f>(Input!$C$19)*BM26</f>
        <v>17.847999999999999</v>
      </c>
      <c r="BN56" s="193">
        <f>(Input!$C$19)*BN26</f>
        <v>19.8</v>
      </c>
      <c r="BO56" s="193">
        <f>(Input!$C$19)*BO26</f>
        <v>22.032</v>
      </c>
      <c r="BP56" s="193">
        <f>(Input!$C$19)*BP26</f>
        <v>24.591999999999999</v>
      </c>
      <c r="BQ56" s="193">
        <f>(Input!$C$19)*BQ26</f>
        <v>27.880000000000003</v>
      </c>
      <c r="BR56" s="193">
        <f>(Input!$C$19)*BR26</f>
        <v>31.776</v>
      </c>
      <c r="BS56" s="193">
        <f>(Input!$C$19)*BS26</f>
        <v>37.064</v>
      </c>
      <c r="BT56" s="193">
        <f>(Input!$C$19)*BT26</f>
        <v>44.456000000000003</v>
      </c>
      <c r="BU56" s="193">
        <f>(Input!$C$19)*BU26</f>
        <v>50.368000000000002</v>
      </c>
      <c r="BV56" s="193">
        <f>(Input!$C$19)*BV26</f>
        <v>57.768000000000001</v>
      </c>
      <c r="BW56" s="193">
        <f>(Input!$C$19)*BW26</f>
        <v>69.352000000000004</v>
      </c>
      <c r="BX56" s="193">
        <f>(Input!$C$19)*BX26</f>
        <v>80.616</v>
      </c>
      <c r="BY56" s="193">
        <f>(Input!$C$19)*BY26</f>
        <v>94.13600000000001</v>
      </c>
      <c r="BZ56" s="193">
        <f>(Input!$C$19)*BZ26</f>
        <v>109.52000000000001</v>
      </c>
      <c r="CA56" s="193">
        <f>(Input!$C$19)*CA26</f>
        <v>122.08</v>
      </c>
      <c r="CB56" s="193">
        <f>(Input!$C$19)*CB26</f>
        <v>134.624</v>
      </c>
      <c r="CC56" s="193">
        <f>(Input!$C$19)*CC26</f>
        <v>146.99200000000002</v>
      </c>
      <c r="CD56" s="193">
        <f>(Input!$C$19)*CD26</f>
        <v>158.57600000000002</v>
      </c>
      <c r="CE56" s="193">
        <f>(Input!$C$19)*CE26</f>
        <v>168.86400000000003</v>
      </c>
      <c r="CF56" s="193">
        <f>(Input!$C$19)*CF26</f>
        <v>182.232</v>
      </c>
      <c r="CG56" s="193">
        <f>(Input!$C$19)*CG26</f>
        <v>196.47200000000001</v>
      </c>
      <c r="CH56" s="193">
        <f>(Input!$C$19)*CH26</f>
        <v>211.96</v>
      </c>
      <c r="CI56" s="193">
        <f>(Input!$C$19)*CI26</f>
        <v>228.36799999999999</v>
      </c>
      <c r="CJ56" s="193">
        <f>(Input!$C$19)*CJ26</f>
        <v>245.36</v>
      </c>
      <c r="CK56" s="193">
        <f>(Input!$C$19)*CK26</f>
        <v>262.60000000000002</v>
      </c>
      <c r="CL56" s="193">
        <f>(Input!$C$19)*CL26</f>
        <v>280.01600000000002</v>
      </c>
      <c r="CM56" s="193">
        <f>(Input!$C$19)*CM26</f>
        <v>297.32</v>
      </c>
      <c r="CN56" s="193">
        <f>(Input!$C$19)*CN26</f>
        <v>314.23200000000003</v>
      </c>
      <c r="CO56" s="193">
        <f>(Input!$C$19)*CO26</f>
        <v>330.44000000000005</v>
      </c>
      <c r="CP56" s="193">
        <f>(Input!$C$19)*CP26</f>
        <v>345.66399999999999</v>
      </c>
      <c r="CQ56" s="193">
        <f>(Input!$C$19)*CQ26</f>
        <v>359.608</v>
      </c>
      <c r="CR56" s="193">
        <f>(Input!$C$19)*CR26</f>
        <v>371.98400000000004</v>
      </c>
      <c r="CS56" s="193">
        <f>(Input!$C$19)*CS26</f>
        <v>382.49600000000004</v>
      </c>
      <c r="CT56" s="193">
        <f>(Input!$C$19)*CT26</f>
        <v>390.85599999999999</v>
      </c>
      <c r="CU56" s="193">
        <f>(Input!$C$19)*CU26</f>
        <v>396.76</v>
      </c>
      <c r="CV56" s="193">
        <f>(Input!$C$19)*CV26</f>
        <v>400</v>
      </c>
      <c r="CW56" s="193">
        <f>(Input!$C$19)*CW26</f>
        <v>400</v>
      </c>
    </row>
    <row r="57" spans="1:101" s="53" customFormat="1" x14ac:dyDescent="0.25">
      <c r="A57" s="192">
        <f t="shared" si="5"/>
        <v>16</v>
      </c>
      <c r="B57" s="193">
        <f>(Input!$C$19)*B27</f>
        <v>0.23199999999999998</v>
      </c>
      <c r="C57" s="193">
        <f>(Input!$C$19)*C27</f>
        <v>0.33600000000000002</v>
      </c>
      <c r="D57" s="193">
        <f>(Input!$C$19)*D27</f>
        <v>0.45599999999999996</v>
      </c>
      <c r="E57" s="193">
        <f>(Input!$C$19)*E27</f>
        <v>0.55199999999999994</v>
      </c>
      <c r="F57" s="193">
        <f>(Input!$C$19)*F27</f>
        <v>0.57599999999999996</v>
      </c>
      <c r="G57" s="193">
        <f>(Input!$C$19)*G27</f>
        <v>0.59199999999999997</v>
      </c>
      <c r="H57" s="193">
        <f>(Input!$C$19)*H27</f>
        <v>0.6160000000000001</v>
      </c>
      <c r="I57" s="193">
        <f>(Input!$C$19)*I27</f>
        <v>0.60000000000000009</v>
      </c>
      <c r="J57" s="193">
        <f>(Input!$C$19)*J27</f>
        <v>0.57599999999999996</v>
      </c>
      <c r="K57" s="193">
        <f>(Input!$C$19)*K27</f>
        <v>0.56799999999999995</v>
      </c>
      <c r="L57" s="193">
        <f>(Input!$C$19)*L27</f>
        <v>0.56799999999999995</v>
      </c>
      <c r="M57" s="193">
        <f>(Input!$C$19)*M27</f>
        <v>0.48799999999999999</v>
      </c>
      <c r="N57" s="193">
        <f>(Input!$C$19)*N27</f>
        <v>0.46399999999999997</v>
      </c>
      <c r="O57" s="193">
        <f>(Input!$C$19)*O27</f>
        <v>0.41600000000000004</v>
      </c>
      <c r="P57" s="193">
        <f>(Input!$C$19)*P27</f>
        <v>0.38400000000000001</v>
      </c>
      <c r="Q57" s="193">
        <f>(Input!$C$19)*Q27</f>
        <v>0.36800000000000005</v>
      </c>
      <c r="R57" s="193">
        <f>(Input!$C$19)*R27</f>
        <v>0.38400000000000001</v>
      </c>
      <c r="S57" s="193">
        <f>(Input!$C$19)*S27</f>
        <v>0.4</v>
      </c>
      <c r="T57" s="193">
        <f>(Input!$C$19)*T27</f>
        <v>0.45599999999999996</v>
      </c>
      <c r="U57" s="193">
        <f>(Input!$C$19)*U27</f>
        <v>0.47199999999999998</v>
      </c>
      <c r="V57" s="193">
        <f>(Input!$C$19)*V27</f>
        <v>0.48</v>
      </c>
      <c r="W57" s="193">
        <f>(Input!$C$19)*W27</f>
        <v>0.504</v>
      </c>
      <c r="X57" s="193">
        <f>(Input!$C$19)*X27</f>
        <v>0.52</v>
      </c>
      <c r="Y57" s="193">
        <f>(Input!$C$19)*Y27</f>
        <v>0.54400000000000004</v>
      </c>
      <c r="Z57" s="193">
        <f>(Input!$C$19)*Z27</f>
        <v>0.56799999999999995</v>
      </c>
      <c r="AA57" s="193">
        <f>(Input!$C$19)*AA27</f>
        <v>0.60000000000000009</v>
      </c>
      <c r="AB57" s="193">
        <f>(Input!$C$19)*AB27</f>
        <v>0.64800000000000013</v>
      </c>
      <c r="AC57" s="193">
        <f>(Input!$C$19)*AC27</f>
        <v>0.70400000000000007</v>
      </c>
      <c r="AD57" s="193">
        <f>(Input!$C$19)*AD27</f>
        <v>0.752</v>
      </c>
      <c r="AE57" s="193">
        <f>(Input!$C$19)*AE27</f>
        <v>0.79200000000000004</v>
      </c>
      <c r="AF57" s="193">
        <f>(Input!$C$19)*AF27</f>
        <v>0.82400000000000007</v>
      </c>
      <c r="AG57" s="193">
        <f>(Input!$C$19)*AG27</f>
        <v>0.88000000000000012</v>
      </c>
      <c r="AH57" s="193">
        <f>(Input!$C$19)*AH27</f>
        <v>0.93599999999999994</v>
      </c>
      <c r="AI57" s="193">
        <f>(Input!$C$19)*AI27</f>
        <v>0.99199999999999999</v>
      </c>
      <c r="AJ57" s="193">
        <f>(Input!$C$19)*AJ27</f>
        <v>1.0640000000000001</v>
      </c>
      <c r="AK57" s="193">
        <f>(Input!$C$19)*AK27</f>
        <v>1.1359999999999999</v>
      </c>
      <c r="AL57" s="193">
        <f>(Input!$C$19)*AL27</f>
        <v>1.2160000000000002</v>
      </c>
      <c r="AM57" s="193">
        <f>(Input!$C$19)*AM27</f>
        <v>1.304</v>
      </c>
      <c r="AN57" s="193">
        <f>(Input!$C$19)*AN27</f>
        <v>1.4160000000000001</v>
      </c>
      <c r="AO57" s="193">
        <f>(Input!$C$19)*AO27</f>
        <v>1.544</v>
      </c>
      <c r="AP57" s="193">
        <f>(Input!$C$19)*AP27</f>
        <v>1.704</v>
      </c>
      <c r="AQ57" s="193">
        <f>(Input!$C$19)*AQ27</f>
        <v>1.9039999999999999</v>
      </c>
      <c r="AR57" s="193">
        <f>(Input!$C$19)*AR27</f>
        <v>2.1360000000000001</v>
      </c>
      <c r="AS57" s="193">
        <f>(Input!$C$19)*AS27</f>
        <v>2.4000000000000004</v>
      </c>
      <c r="AT57" s="193">
        <f>(Input!$C$19)*AT27</f>
        <v>2.6880000000000002</v>
      </c>
      <c r="AU57" s="193">
        <f>(Input!$C$19)*AU27</f>
        <v>2.9920000000000004</v>
      </c>
      <c r="AV57" s="193">
        <f>(Input!$C$19)*AV27</f>
        <v>3.3040000000000003</v>
      </c>
      <c r="AW57" s="193">
        <f>(Input!$C$19)*AW27</f>
        <v>3.6240000000000006</v>
      </c>
      <c r="AX57" s="193">
        <f>(Input!$C$19)*AX27</f>
        <v>3.968</v>
      </c>
      <c r="AY57" s="193">
        <f>(Input!$C$19)*AY27</f>
        <v>4.3120000000000003</v>
      </c>
      <c r="AZ57" s="193">
        <f>(Input!$C$19)*AZ27</f>
        <v>4.6960000000000006</v>
      </c>
      <c r="BA57" s="193">
        <f>(Input!$C$19)*BA27</f>
        <v>5.1360000000000001</v>
      </c>
      <c r="BB57" s="193">
        <f>(Input!$C$19)*BB27</f>
        <v>5.6720000000000006</v>
      </c>
      <c r="BC57" s="193">
        <f>(Input!$C$19)*BC27</f>
        <v>6.3280000000000003</v>
      </c>
      <c r="BD57" s="193">
        <f>(Input!$C$19)*BD27</f>
        <v>7.104000000000001</v>
      </c>
      <c r="BE57" s="193">
        <f>(Input!$C$19)*BE27</f>
        <v>8.0239999999999991</v>
      </c>
      <c r="BF57" s="193">
        <f>(Input!$C$19)*BF27</f>
        <v>9.0080000000000009</v>
      </c>
      <c r="BG57" s="193">
        <f>(Input!$C$19)*BG27</f>
        <v>10.168000000000001</v>
      </c>
      <c r="BH57" s="193">
        <f>(Input!$C$19)*BH27</f>
        <v>11.496</v>
      </c>
      <c r="BI57" s="193">
        <f>(Input!$C$19)*BI27</f>
        <v>13.032</v>
      </c>
      <c r="BJ57" s="193">
        <f>(Input!$C$19)*BJ27</f>
        <v>14.752000000000002</v>
      </c>
      <c r="BK57" s="193">
        <f>(Input!$C$19)*BK27</f>
        <v>16.663999999999998</v>
      </c>
      <c r="BL57" s="193">
        <f>(Input!$C$19)*BL27</f>
        <v>18.736000000000001</v>
      </c>
      <c r="BM57" s="193">
        <f>(Input!$C$19)*BM27</f>
        <v>21.040000000000003</v>
      </c>
      <c r="BN57" s="193">
        <f>(Input!$C$19)*BN27</f>
        <v>23.512</v>
      </c>
      <c r="BO57" s="193">
        <f>(Input!$C$19)*BO27</f>
        <v>26.32</v>
      </c>
      <c r="BP57" s="193">
        <f>(Input!$C$19)*BP27</f>
        <v>29.896000000000001</v>
      </c>
      <c r="BQ57" s="193">
        <f>(Input!$C$19)*BQ27</f>
        <v>33.848000000000006</v>
      </c>
      <c r="BR57" s="193">
        <f>(Input!$C$19)*BR27</f>
        <v>38.776000000000003</v>
      </c>
      <c r="BS57" s="193">
        <f>(Input!$C$19)*BS27</f>
        <v>44.927999999999997</v>
      </c>
      <c r="BT57" s="193">
        <f>(Input!$C$19)*BT27</f>
        <v>52.800000000000004</v>
      </c>
      <c r="BU57" s="193">
        <f>(Input!$C$19)*BU27</f>
        <v>60.855999999999995</v>
      </c>
      <c r="BV57" s="193">
        <f>(Input!$C$19)*BV27</f>
        <v>69.832000000000008</v>
      </c>
      <c r="BW57" s="193">
        <f>(Input!$C$19)*BW27</f>
        <v>83.696000000000012</v>
      </c>
      <c r="BX57" s="193">
        <f>(Input!$C$19)*BX27</f>
        <v>96.072000000000003</v>
      </c>
      <c r="BY57" s="193">
        <f>(Input!$C$19)*BY27</f>
        <v>109.52000000000001</v>
      </c>
      <c r="BZ57" s="193">
        <f>(Input!$C$19)*BZ27</f>
        <v>122.08</v>
      </c>
      <c r="CA57" s="193">
        <f>(Input!$C$19)*CA27</f>
        <v>134.624</v>
      </c>
      <c r="CB57" s="193">
        <f>(Input!$C$19)*CB27</f>
        <v>146.99200000000002</v>
      </c>
      <c r="CC57" s="193">
        <f>(Input!$C$19)*CC27</f>
        <v>158.57600000000002</v>
      </c>
      <c r="CD57" s="193">
        <f>(Input!$C$19)*CD27</f>
        <v>168.86400000000003</v>
      </c>
      <c r="CE57" s="193">
        <f>(Input!$C$19)*CE27</f>
        <v>182.232</v>
      </c>
      <c r="CF57" s="193">
        <f>(Input!$C$19)*CF27</f>
        <v>196.47200000000001</v>
      </c>
      <c r="CG57" s="193">
        <f>(Input!$C$19)*CG27</f>
        <v>211.96</v>
      </c>
      <c r="CH57" s="193">
        <f>(Input!$C$19)*CH27</f>
        <v>228.36799999999999</v>
      </c>
      <c r="CI57" s="193">
        <f>(Input!$C$19)*CI27</f>
        <v>245.36</v>
      </c>
      <c r="CJ57" s="193">
        <f>(Input!$C$19)*CJ27</f>
        <v>262.60000000000002</v>
      </c>
      <c r="CK57" s="193">
        <f>(Input!$C$19)*CK27</f>
        <v>280.01600000000002</v>
      </c>
      <c r="CL57" s="193">
        <f>(Input!$C$19)*CL27</f>
        <v>297.32</v>
      </c>
      <c r="CM57" s="193">
        <f>(Input!$C$19)*CM27</f>
        <v>314.23200000000003</v>
      </c>
      <c r="CN57" s="193">
        <f>(Input!$C$19)*CN27</f>
        <v>330.44000000000005</v>
      </c>
      <c r="CO57" s="193">
        <f>(Input!$C$19)*CO27</f>
        <v>345.66399999999999</v>
      </c>
      <c r="CP57" s="193">
        <f>(Input!$C$19)*CP27</f>
        <v>359.608</v>
      </c>
      <c r="CQ57" s="193">
        <f>(Input!$C$19)*CQ27</f>
        <v>371.98400000000004</v>
      </c>
      <c r="CR57" s="193">
        <f>(Input!$C$19)*CR27</f>
        <v>382.49600000000004</v>
      </c>
      <c r="CS57" s="193">
        <f>(Input!$C$19)*CS27</f>
        <v>390.85599999999999</v>
      </c>
      <c r="CT57" s="193">
        <f>(Input!$C$19)*CT27</f>
        <v>396.76</v>
      </c>
      <c r="CU57" s="193">
        <f>(Input!$C$19)*CU27</f>
        <v>400</v>
      </c>
      <c r="CV57" s="193">
        <f>(Input!$C$19)*CV27</f>
        <v>400</v>
      </c>
      <c r="CW57" s="193">
        <f>(Input!$C$19)*CW27</f>
        <v>400</v>
      </c>
    </row>
    <row r="58" spans="1:101" s="53" customFormat="1" x14ac:dyDescent="0.25">
      <c r="A58" s="192">
        <f t="shared" si="5"/>
        <v>17</v>
      </c>
      <c r="B58" s="193">
        <f>(Input!$C$19)*B28</f>
        <v>0.33600000000000002</v>
      </c>
      <c r="C58" s="193">
        <f>(Input!$C$19)*C28</f>
        <v>0.45599999999999996</v>
      </c>
      <c r="D58" s="193">
        <f>(Input!$C$19)*D28</f>
        <v>0.55199999999999994</v>
      </c>
      <c r="E58" s="193">
        <f>(Input!$C$19)*E28</f>
        <v>0.57599999999999996</v>
      </c>
      <c r="F58" s="193">
        <f>(Input!$C$19)*F28</f>
        <v>0.59199999999999997</v>
      </c>
      <c r="G58" s="193">
        <f>(Input!$C$19)*G28</f>
        <v>0.6160000000000001</v>
      </c>
      <c r="H58" s="193">
        <f>(Input!$C$19)*H28</f>
        <v>0.60000000000000009</v>
      </c>
      <c r="I58" s="193">
        <f>(Input!$C$19)*I28</f>
        <v>0.57599999999999996</v>
      </c>
      <c r="J58" s="193">
        <f>(Input!$C$19)*J28</f>
        <v>0.56799999999999995</v>
      </c>
      <c r="K58" s="193">
        <f>(Input!$C$19)*K28</f>
        <v>0.56799999999999995</v>
      </c>
      <c r="L58" s="193">
        <f>(Input!$C$19)*L28</f>
        <v>0.48799999999999999</v>
      </c>
      <c r="M58" s="193">
        <f>(Input!$C$19)*M28</f>
        <v>0.46399999999999997</v>
      </c>
      <c r="N58" s="193">
        <f>(Input!$C$19)*N28</f>
        <v>0.41600000000000004</v>
      </c>
      <c r="O58" s="193">
        <f>(Input!$C$19)*O28</f>
        <v>0.38400000000000001</v>
      </c>
      <c r="P58" s="193">
        <f>(Input!$C$19)*P28</f>
        <v>0.36800000000000005</v>
      </c>
      <c r="Q58" s="193">
        <f>(Input!$C$19)*Q28</f>
        <v>0.38400000000000001</v>
      </c>
      <c r="R58" s="193">
        <f>(Input!$C$19)*R28</f>
        <v>0.4</v>
      </c>
      <c r="S58" s="193">
        <f>(Input!$C$19)*S28</f>
        <v>0.45599999999999996</v>
      </c>
      <c r="T58" s="193">
        <f>(Input!$C$19)*T28</f>
        <v>0.52</v>
      </c>
      <c r="U58" s="193">
        <f>(Input!$C$19)*U28</f>
        <v>0.53600000000000003</v>
      </c>
      <c r="V58" s="193">
        <f>(Input!$C$19)*V28</f>
        <v>0.55999999999999994</v>
      </c>
      <c r="W58" s="193">
        <f>(Input!$C$19)*W28</f>
        <v>0.57599999999999996</v>
      </c>
      <c r="X58" s="193">
        <f>(Input!$C$19)*X28</f>
        <v>0.59199999999999997</v>
      </c>
      <c r="Y58" s="193">
        <f>(Input!$C$19)*Y28</f>
        <v>0.6160000000000001</v>
      </c>
      <c r="Z58" s="193">
        <f>(Input!$C$19)*Z28</f>
        <v>0.65600000000000003</v>
      </c>
      <c r="AA58" s="193">
        <f>(Input!$C$19)*AA28</f>
        <v>0.69600000000000006</v>
      </c>
      <c r="AB58" s="193">
        <f>(Input!$C$19)*AB28</f>
        <v>0.752</v>
      </c>
      <c r="AC58" s="193">
        <f>(Input!$C$19)*AC28</f>
        <v>0.8</v>
      </c>
      <c r="AD58" s="193">
        <f>(Input!$C$19)*AD28</f>
        <v>0.84000000000000008</v>
      </c>
      <c r="AE58" s="193">
        <f>(Input!$C$19)*AE28</f>
        <v>0.87200000000000011</v>
      </c>
      <c r="AF58" s="193">
        <f>(Input!$C$19)*AF28</f>
        <v>0.92799999999999994</v>
      </c>
      <c r="AG58" s="193">
        <f>(Input!$C$19)*AG28</f>
        <v>0.98399999999999999</v>
      </c>
      <c r="AH58" s="193">
        <f>(Input!$C$19)*AH28</f>
        <v>1.04</v>
      </c>
      <c r="AI58" s="193">
        <f>(Input!$C$19)*AI28</f>
        <v>1.1119999999999999</v>
      </c>
      <c r="AJ58" s="193">
        <f>(Input!$C$19)*AJ28</f>
        <v>1.1839999999999999</v>
      </c>
      <c r="AK58" s="193">
        <f>(Input!$C$19)*AK28</f>
        <v>1.2640000000000002</v>
      </c>
      <c r="AL58" s="193">
        <f>(Input!$C$19)*AL28</f>
        <v>1.3520000000000001</v>
      </c>
      <c r="AM58" s="193">
        <f>(Input!$C$19)*AM28</f>
        <v>1.4560000000000002</v>
      </c>
      <c r="AN58" s="193">
        <f>(Input!$C$19)*AN28</f>
        <v>1.5840000000000001</v>
      </c>
      <c r="AO58" s="193">
        <f>(Input!$C$19)*AO28</f>
        <v>1.7440000000000002</v>
      </c>
      <c r="AP58" s="193">
        <f>(Input!$C$19)*AP28</f>
        <v>1.9440000000000002</v>
      </c>
      <c r="AQ58" s="193">
        <f>(Input!$C$19)*AQ28</f>
        <v>2.1920000000000002</v>
      </c>
      <c r="AR58" s="193">
        <f>(Input!$C$19)*AR28</f>
        <v>2.4800000000000004</v>
      </c>
      <c r="AS58" s="193">
        <f>(Input!$C$19)*AS28</f>
        <v>2.8000000000000003</v>
      </c>
      <c r="AT58" s="193">
        <f>(Input!$C$19)*AT28</f>
        <v>3.1280000000000001</v>
      </c>
      <c r="AU58" s="193">
        <f>(Input!$C$19)*AU28</f>
        <v>3.4640000000000004</v>
      </c>
      <c r="AV58" s="193">
        <f>(Input!$C$19)*AV28</f>
        <v>3.7920000000000003</v>
      </c>
      <c r="AW58" s="193">
        <f>(Input!$C$19)*AW28</f>
        <v>4.1280000000000001</v>
      </c>
      <c r="AX58" s="193">
        <f>(Input!$C$19)*AX28</f>
        <v>4.4960000000000004</v>
      </c>
      <c r="AY58" s="193">
        <f>(Input!$C$19)*AY28</f>
        <v>4.8719999999999999</v>
      </c>
      <c r="AZ58" s="193">
        <f>(Input!$C$19)*AZ28</f>
        <v>5.2880000000000003</v>
      </c>
      <c r="BA58" s="193">
        <f>(Input!$C$19)*BA28</f>
        <v>5.7600000000000007</v>
      </c>
      <c r="BB58" s="193">
        <f>(Input!$C$19)*BB28</f>
        <v>6.3440000000000003</v>
      </c>
      <c r="BC58" s="193">
        <f>(Input!$C$19)*BC28</f>
        <v>7.104000000000001</v>
      </c>
      <c r="BD58" s="193">
        <f>(Input!$C$19)*BD28</f>
        <v>8.0640000000000001</v>
      </c>
      <c r="BE58" s="193">
        <f>(Input!$C$19)*BE28</f>
        <v>9.0400000000000009</v>
      </c>
      <c r="BF58" s="193">
        <f>(Input!$C$19)*BF28</f>
        <v>10.248000000000001</v>
      </c>
      <c r="BG58" s="193">
        <f>(Input!$C$19)*BG28</f>
        <v>11.672000000000001</v>
      </c>
      <c r="BH58" s="193">
        <f>(Input!$C$19)*BH28</f>
        <v>13.32</v>
      </c>
      <c r="BI58" s="193">
        <f>(Input!$C$19)*BI28</f>
        <v>15.184000000000001</v>
      </c>
      <c r="BJ58" s="193">
        <f>(Input!$C$19)*BJ28</f>
        <v>17.240000000000002</v>
      </c>
      <c r="BK58" s="193">
        <f>(Input!$C$19)*BK28</f>
        <v>19.488</v>
      </c>
      <c r="BL58" s="193">
        <f>(Input!$C$19)*BL28</f>
        <v>21.944000000000003</v>
      </c>
      <c r="BM58" s="193">
        <f>(Input!$C$19)*BM28</f>
        <v>24.664000000000001</v>
      </c>
      <c r="BN58" s="193">
        <f>(Input!$C$19)*BN28</f>
        <v>27.904000000000003</v>
      </c>
      <c r="BO58" s="193">
        <f>(Input!$C$19)*BO28</f>
        <v>31.448000000000004</v>
      </c>
      <c r="BP58" s="193">
        <f>(Input!$C$19)*BP28</f>
        <v>36.504000000000005</v>
      </c>
      <c r="BQ58" s="193">
        <f>(Input!$C$19)*BQ28</f>
        <v>41.584000000000003</v>
      </c>
      <c r="BR58" s="193">
        <f>(Input!$C$19)*BR28</f>
        <v>47.672000000000004</v>
      </c>
      <c r="BS58" s="193">
        <f>(Input!$C$19)*BS28</f>
        <v>54.64</v>
      </c>
      <c r="BT58" s="193">
        <f>(Input!$C$19)*BT28</f>
        <v>64.2</v>
      </c>
      <c r="BU58" s="193">
        <f>(Input!$C$19)*BU28</f>
        <v>73.456000000000003</v>
      </c>
      <c r="BV58" s="193">
        <f>(Input!$C$19)*BV28</f>
        <v>84.024000000000001</v>
      </c>
      <c r="BW58" s="193">
        <f>(Input!$C$19)*BW28</f>
        <v>97.288000000000011</v>
      </c>
      <c r="BX58" s="193">
        <f>(Input!$C$19)*BX28</f>
        <v>109.52000000000001</v>
      </c>
      <c r="BY58" s="193">
        <f>(Input!$C$19)*BY28</f>
        <v>122.08</v>
      </c>
      <c r="BZ58" s="193">
        <f>(Input!$C$19)*BZ28</f>
        <v>134.624</v>
      </c>
      <c r="CA58" s="193">
        <f>(Input!$C$19)*CA28</f>
        <v>146.99200000000002</v>
      </c>
      <c r="CB58" s="193">
        <f>(Input!$C$19)*CB28</f>
        <v>158.57600000000002</v>
      </c>
      <c r="CC58" s="193">
        <f>(Input!$C$19)*CC28</f>
        <v>168.86400000000003</v>
      </c>
      <c r="CD58" s="193">
        <f>(Input!$C$19)*CD28</f>
        <v>182.232</v>
      </c>
      <c r="CE58" s="193">
        <f>(Input!$C$19)*CE28</f>
        <v>196.47200000000001</v>
      </c>
      <c r="CF58" s="193">
        <f>(Input!$C$19)*CF28</f>
        <v>211.96</v>
      </c>
      <c r="CG58" s="193">
        <f>(Input!$C$19)*CG28</f>
        <v>228.36799999999999</v>
      </c>
      <c r="CH58" s="193">
        <f>(Input!$C$19)*CH28</f>
        <v>245.36</v>
      </c>
      <c r="CI58" s="193">
        <f>(Input!$C$19)*CI28</f>
        <v>262.60000000000002</v>
      </c>
      <c r="CJ58" s="193">
        <f>(Input!$C$19)*CJ28</f>
        <v>280.01600000000002</v>
      </c>
      <c r="CK58" s="193">
        <f>(Input!$C$19)*CK28</f>
        <v>297.32</v>
      </c>
      <c r="CL58" s="193">
        <f>(Input!$C$19)*CL28</f>
        <v>314.23200000000003</v>
      </c>
      <c r="CM58" s="193">
        <f>(Input!$C$19)*CM28</f>
        <v>330.44000000000005</v>
      </c>
      <c r="CN58" s="193">
        <f>(Input!$C$19)*CN28</f>
        <v>345.66399999999999</v>
      </c>
      <c r="CO58" s="193">
        <f>(Input!$C$19)*CO28</f>
        <v>359.608</v>
      </c>
      <c r="CP58" s="193">
        <f>(Input!$C$19)*CP28</f>
        <v>371.98400000000004</v>
      </c>
      <c r="CQ58" s="193">
        <f>(Input!$C$19)*CQ28</f>
        <v>382.49600000000004</v>
      </c>
      <c r="CR58" s="193">
        <f>(Input!$C$19)*CR28</f>
        <v>390.85599999999999</v>
      </c>
      <c r="CS58" s="193">
        <f>(Input!$C$19)*CS28</f>
        <v>396.76</v>
      </c>
      <c r="CT58" s="193">
        <f>(Input!$C$19)*CT28</f>
        <v>400</v>
      </c>
      <c r="CU58" s="193">
        <f>(Input!$C$19)*CU28</f>
        <v>400</v>
      </c>
      <c r="CV58" s="193">
        <f>(Input!$C$19)*CV28</f>
        <v>400</v>
      </c>
      <c r="CW58" s="193">
        <f>(Input!$C$19)*CW28</f>
        <v>400</v>
      </c>
    </row>
    <row r="59" spans="1:101" s="53" customFormat="1" x14ac:dyDescent="0.25">
      <c r="A59" s="192">
        <f t="shared" si="5"/>
        <v>18</v>
      </c>
      <c r="B59" s="193">
        <f>(Input!$C$19)*B29</f>
        <v>0.45599999999999996</v>
      </c>
      <c r="C59" s="193">
        <f>(Input!$C$19)*C29</f>
        <v>0.55199999999999994</v>
      </c>
      <c r="D59" s="193">
        <f>(Input!$C$19)*D29</f>
        <v>0.57599999999999996</v>
      </c>
      <c r="E59" s="193">
        <f>(Input!$C$19)*E29</f>
        <v>0.59199999999999997</v>
      </c>
      <c r="F59" s="193">
        <f>(Input!$C$19)*F29</f>
        <v>0.6160000000000001</v>
      </c>
      <c r="G59" s="193">
        <f>(Input!$C$19)*G29</f>
        <v>0.60000000000000009</v>
      </c>
      <c r="H59" s="193">
        <f>(Input!$C$19)*H29</f>
        <v>0.57599999999999996</v>
      </c>
      <c r="I59" s="193">
        <f>(Input!$C$19)*I29</f>
        <v>0.56799999999999995</v>
      </c>
      <c r="J59" s="193">
        <f>(Input!$C$19)*J29</f>
        <v>0.56799999999999995</v>
      </c>
      <c r="K59" s="193">
        <f>(Input!$C$19)*K29</f>
        <v>0.48799999999999999</v>
      </c>
      <c r="L59" s="193">
        <f>(Input!$C$19)*L29</f>
        <v>0.46399999999999997</v>
      </c>
      <c r="M59" s="193">
        <f>(Input!$C$19)*M29</f>
        <v>0.41600000000000004</v>
      </c>
      <c r="N59" s="193">
        <f>(Input!$C$19)*N29</f>
        <v>0.38400000000000001</v>
      </c>
      <c r="O59" s="193">
        <f>(Input!$C$19)*O29</f>
        <v>0.36800000000000005</v>
      </c>
      <c r="P59" s="193">
        <f>(Input!$C$19)*P29</f>
        <v>0.38400000000000001</v>
      </c>
      <c r="Q59" s="193">
        <f>(Input!$C$19)*Q29</f>
        <v>0.4</v>
      </c>
      <c r="R59" s="193">
        <f>(Input!$C$19)*R29</f>
        <v>0.45599999999999996</v>
      </c>
      <c r="S59" s="193">
        <f>(Input!$C$19)*S29</f>
        <v>0.52</v>
      </c>
      <c r="T59" s="193">
        <f>(Input!$C$19)*T29</f>
        <v>0.6080000000000001</v>
      </c>
      <c r="U59" s="193">
        <f>(Input!$C$19)*U29</f>
        <v>0.63200000000000012</v>
      </c>
      <c r="V59" s="193">
        <f>(Input!$C$19)*V29</f>
        <v>0.64800000000000013</v>
      </c>
      <c r="W59" s="193">
        <f>(Input!$C$19)*W29</f>
        <v>0.66400000000000003</v>
      </c>
      <c r="X59" s="193">
        <f>(Input!$C$19)*X29</f>
        <v>0.68800000000000006</v>
      </c>
      <c r="Y59" s="193">
        <f>(Input!$C$19)*Y29</f>
        <v>0.72000000000000008</v>
      </c>
      <c r="Z59" s="193">
        <f>(Input!$C$19)*Z29</f>
        <v>0.76</v>
      </c>
      <c r="AA59" s="193">
        <f>(Input!$C$19)*AA29</f>
        <v>0.79200000000000004</v>
      </c>
      <c r="AB59" s="193">
        <f>(Input!$C$19)*AB29</f>
        <v>0.83200000000000007</v>
      </c>
      <c r="AC59" s="193">
        <f>(Input!$C$19)*AC29</f>
        <v>0.8640000000000001</v>
      </c>
      <c r="AD59" s="193">
        <f>(Input!$C$19)*AD29</f>
        <v>0.88800000000000012</v>
      </c>
      <c r="AE59" s="193">
        <f>(Input!$C$19)*AE29</f>
        <v>0.94399999999999995</v>
      </c>
      <c r="AF59" s="193">
        <f>(Input!$C$19)*AF29</f>
        <v>1</v>
      </c>
      <c r="AG59" s="193">
        <f>(Input!$C$19)*AG29</f>
        <v>1.0640000000000001</v>
      </c>
      <c r="AH59" s="193">
        <f>(Input!$C$19)*AH29</f>
        <v>1.1359999999999999</v>
      </c>
      <c r="AI59" s="193">
        <f>(Input!$C$19)*AI29</f>
        <v>1.2160000000000002</v>
      </c>
      <c r="AJ59" s="193">
        <f>(Input!$C$19)*AJ29</f>
        <v>1.2960000000000003</v>
      </c>
      <c r="AK59" s="193">
        <f>(Input!$C$19)*AK29</f>
        <v>1.3920000000000001</v>
      </c>
      <c r="AL59" s="193">
        <f>(Input!$C$19)*AL29</f>
        <v>1.4960000000000002</v>
      </c>
      <c r="AM59" s="193">
        <f>(Input!$C$19)*AM29</f>
        <v>1.6239999999999999</v>
      </c>
      <c r="AN59" s="193">
        <f>(Input!$C$19)*AN29</f>
        <v>1.784</v>
      </c>
      <c r="AO59" s="193">
        <f>(Input!$C$19)*AO29</f>
        <v>1.9920000000000002</v>
      </c>
      <c r="AP59" s="193">
        <f>(Input!$C$19)*AP29</f>
        <v>2.2399999999999998</v>
      </c>
      <c r="AQ59" s="193">
        <f>(Input!$C$19)*AQ29</f>
        <v>2.536</v>
      </c>
      <c r="AR59" s="193">
        <f>(Input!$C$19)*AR29</f>
        <v>2.8640000000000003</v>
      </c>
      <c r="AS59" s="193">
        <f>(Input!$C$19)*AS29</f>
        <v>3.2080000000000002</v>
      </c>
      <c r="AT59" s="193">
        <f>(Input!$C$19)*AT29</f>
        <v>3.544</v>
      </c>
      <c r="AU59" s="193">
        <f>(Input!$C$19)*AU29</f>
        <v>3.8719999999999999</v>
      </c>
      <c r="AV59" s="193">
        <f>(Input!$C$19)*AV29</f>
        <v>4.1840000000000002</v>
      </c>
      <c r="AW59" s="193">
        <f>(Input!$C$19)*AW29</f>
        <v>4.5600000000000005</v>
      </c>
      <c r="AX59" s="193">
        <f>(Input!$C$19)*AX29</f>
        <v>4.944</v>
      </c>
      <c r="AY59" s="193">
        <f>(Input!$C$19)*AY29</f>
        <v>5.3680000000000003</v>
      </c>
      <c r="AZ59" s="193">
        <f>(Input!$C$19)*AZ29</f>
        <v>5.84</v>
      </c>
      <c r="BA59" s="193">
        <f>(Input!$C$19)*BA29</f>
        <v>6.4080000000000004</v>
      </c>
      <c r="BB59" s="193">
        <f>(Input!$C$19)*BB29</f>
        <v>7.104000000000001</v>
      </c>
      <c r="BC59" s="193">
        <f>(Input!$C$19)*BC29</f>
        <v>8.0960000000000001</v>
      </c>
      <c r="BD59" s="193">
        <f>(Input!$C$19)*BD29</f>
        <v>9.0960000000000001</v>
      </c>
      <c r="BE59" s="193">
        <f>(Input!$C$19)*BE29</f>
        <v>10.304000000000002</v>
      </c>
      <c r="BF59" s="193">
        <f>(Input!$C$19)*BF29</f>
        <v>11.768000000000001</v>
      </c>
      <c r="BG59" s="193">
        <f>(Input!$C$19)*BG29</f>
        <v>13.416</v>
      </c>
      <c r="BH59" s="193">
        <f>(Input!$C$19)*BH29</f>
        <v>15.352000000000002</v>
      </c>
      <c r="BI59" s="193">
        <f>(Input!$C$19)*BI29</f>
        <v>17.472000000000001</v>
      </c>
      <c r="BJ59" s="193">
        <f>(Input!$C$19)*BJ29</f>
        <v>19.847999999999999</v>
      </c>
      <c r="BK59" s="193">
        <f>(Input!$C$19)*BK29</f>
        <v>22.456000000000003</v>
      </c>
      <c r="BL59" s="193">
        <f>(Input!$C$19)*BL29</f>
        <v>25.424000000000003</v>
      </c>
      <c r="BM59" s="193">
        <f>(Input!$C$19)*BM29</f>
        <v>28.608000000000001</v>
      </c>
      <c r="BN59" s="193">
        <f>(Input!$C$19)*BN29</f>
        <v>32.887999999999998</v>
      </c>
      <c r="BO59" s="193">
        <f>(Input!$C$19)*BO29</f>
        <v>37.056000000000004</v>
      </c>
      <c r="BP59" s="193">
        <f>(Input!$C$19)*BP29</f>
        <v>43.32</v>
      </c>
      <c r="BQ59" s="193">
        <f>(Input!$C$19)*BQ29</f>
        <v>49.295999999999999</v>
      </c>
      <c r="BR59" s="193">
        <f>(Input!$C$19)*BR29</f>
        <v>56.432000000000009</v>
      </c>
      <c r="BS59" s="193">
        <f>(Input!$C$19)*BS29</f>
        <v>64.528000000000006</v>
      </c>
      <c r="BT59" s="193">
        <f>(Input!$C$19)*BT29</f>
        <v>75.191999999999993</v>
      </c>
      <c r="BU59" s="193">
        <f>(Input!$C$19)*BU29</f>
        <v>85.800000000000011</v>
      </c>
      <c r="BV59" s="193">
        <f>(Input!$C$19)*BV29</f>
        <v>97.288000000000011</v>
      </c>
      <c r="BW59" s="193">
        <f>(Input!$C$19)*BW29</f>
        <v>109.52000000000001</v>
      </c>
      <c r="BX59" s="193">
        <f>(Input!$C$19)*BX29</f>
        <v>122.08</v>
      </c>
      <c r="BY59" s="193">
        <f>(Input!$C$19)*BY29</f>
        <v>134.624</v>
      </c>
      <c r="BZ59" s="193">
        <f>(Input!$C$19)*BZ29</f>
        <v>146.99200000000002</v>
      </c>
      <c r="CA59" s="193">
        <f>(Input!$C$19)*CA29</f>
        <v>158.57600000000002</v>
      </c>
      <c r="CB59" s="193">
        <f>(Input!$C$19)*CB29</f>
        <v>168.86400000000003</v>
      </c>
      <c r="CC59" s="193">
        <f>(Input!$C$19)*CC29</f>
        <v>182.232</v>
      </c>
      <c r="CD59" s="193">
        <f>(Input!$C$19)*CD29</f>
        <v>196.47200000000001</v>
      </c>
      <c r="CE59" s="193">
        <f>(Input!$C$19)*CE29</f>
        <v>211.96</v>
      </c>
      <c r="CF59" s="193">
        <f>(Input!$C$19)*CF29</f>
        <v>228.36799999999999</v>
      </c>
      <c r="CG59" s="193">
        <f>(Input!$C$19)*CG29</f>
        <v>245.36</v>
      </c>
      <c r="CH59" s="193">
        <f>(Input!$C$19)*CH29</f>
        <v>262.60000000000002</v>
      </c>
      <c r="CI59" s="193">
        <f>(Input!$C$19)*CI29</f>
        <v>280.01600000000002</v>
      </c>
      <c r="CJ59" s="193">
        <f>(Input!$C$19)*CJ29</f>
        <v>297.32</v>
      </c>
      <c r="CK59" s="193">
        <f>(Input!$C$19)*CK29</f>
        <v>314.23200000000003</v>
      </c>
      <c r="CL59" s="193">
        <f>(Input!$C$19)*CL29</f>
        <v>330.44000000000005</v>
      </c>
      <c r="CM59" s="193">
        <f>(Input!$C$19)*CM29</f>
        <v>345.66399999999999</v>
      </c>
      <c r="CN59" s="193">
        <f>(Input!$C$19)*CN29</f>
        <v>359.608</v>
      </c>
      <c r="CO59" s="193">
        <f>(Input!$C$19)*CO29</f>
        <v>371.98400000000004</v>
      </c>
      <c r="CP59" s="193">
        <f>(Input!$C$19)*CP29</f>
        <v>382.49600000000004</v>
      </c>
      <c r="CQ59" s="193">
        <f>(Input!$C$19)*CQ29</f>
        <v>390.85599999999999</v>
      </c>
      <c r="CR59" s="193">
        <f>(Input!$C$19)*CR29</f>
        <v>396.76</v>
      </c>
      <c r="CS59" s="193">
        <f>(Input!$C$19)*CS29</f>
        <v>400</v>
      </c>
      <c r="CT59" s="193">
        <f>(Input!$C$19)*CT29</f>
        <v>400</v>
      </c>
      <c r="CU59" s="193">
        <f>(Input!$C$19)*CU29</f>
        <v>400</v>
      </c>
      <c r="CV59" s="193">
        <f>(Input!$C$19)*CV29</f>
        <v>400</v>
      </c>
      <c r="CW59" s="193">
        <f>(Input!$C$19)*CW29</f>
        <v>400</v>
      </c>
    </row>
    <row r="60" spans="1:101" s="53" customFormat="1" x14ac:dyDescent="0.25">
      <c r="A60" s="192">
        <f t="shared" si="5"/>
        <v>19</v>
      </c>
      <c r="B60" s="193">
        <f>(Input!$C$19)*B30</f>
        <v>0.55199999999999994</v>
      </c>
      <c r="C60" s="193">
        <f>(Input!$C$19)*C30</f>
        <v>0.57599999999999996</v>
      </c>
      <c r="D60" s="193">
        <f>(Input!$C$19)*D30</f>
        <v>0.59199999999999997</v>
      </c>
      <c r="E60" s="193">
        <f>(Input!$C$19)*E30</f>
        <v>0.6160000000000001</v>
      </c>
      <c r="F60" s="193">
        <f>(Input!$C$19)*F30</f>
        <v>0.60000000000000009</v>
      </c>
      <c r="G60" s="193">
        <f>(Input!$C$19)*G30</f>
        <v>0.57599999999999996</v>
      </c>
      <c r="H60" s="193">
        <f>(Input!$C$19)*H30</f>
        <v>0.56799999999999995</v>
      </c>
      <c r="I60" s="193">
        <f>(Input!$C$19)*I30</f>
        <v>0.56799999999999995</v>
      </c>
      <c r="J60" s="193">
        <f>(Input!$C$19)*J30</f>
        <v>0.48799999999999999</v>
      </c>
      <c r="K60" s="193">
        <f>(Input!$C$19)*K30</f>
        <v>0.46399999999999997</v>
      </c>
      <c r="L60" s="193">
        <f>(Input!$C$19)*L30</f>
        <v>0.41600000000000004</v>
      </c>
      <c r="M60" s="193">
        <f>(Input!$C$19)*M30</f>
        <v>0.38400000000000001</v>
      </c>
      <c r="N60" s="193">
        <f>(Input!$C$19)*N30</f>
        <v>0.36800000000000005</v>
      </c>
      <c r="O60" s="193">
        <f>(Input!$C$19)*O30</f>
        <v>0.38400000000000001</v>
      </c>
      <c r="P60" s="193">
        <f>(Input!$C$19)*P30</f>
        <v>0.4</v>
      </c>
      <c r="Q60" s="193">
        <f>(Input!$C$19)*Q30</f>
        <v>0.45599999999999996</v>
      </c>
      <c r="R60" s="193">
        <f>(Input!$C$19)*R30</f>
        <v>0.52</v>
      </c>
      <c r="S60" s="193">
        <f>(Input!$C$19)*S30</f>
        <v>0.6080000000000001</v>
      </c>
      <c r="T60" s="193">
        <f>(Input!$C$19)*T30</f>
        <v>0.70400000000000007</v>
      </c>
      <c r="U60" s="193">
        <f>(Input!$C$19)*U30</f>
        <v>0.72800000000000009</v>
      </c>
      <c r="V60" s="193">
        <f>(Input!$C$19)*V30</f>
        <v>0.74400000000000011</v>
      </c>
      <c r="W60" s="193">
        <f>(Input!$C$19)*W30</f>
        <v>0.76800000000000002</v>
      </c>
      <c r="X60" s="193">
        <f>(Input!$C$19)*X30</f>
        <v>0.79200000000000004</v>
      </c>
      <c r="Y60" s="193">
        <f>(Input!$C$19)*Y30</f>
        <v>0.81600000000000006</v>
      </c>
      <c r="Z60" s="193">
        <f>(Input!$C$19)*Z30</f>
        <v>0.84800000000000009</v>
      </c>
      <c r="AA60" s="193">
        <f>(Input!$C$19)*AA30</f>
        <v>0.8640000000000001</v>
      </c>
      <c r="AB60" s="193">
        <f>(Input!$C$19)*AB30</f>
        <v>0.88000000000000012</v>
      </c>
      <c r="AC60" s="193">
        <f>(Input!$C$19)*AC30</f>
        <v>0.89600000000000013</v>
      </c>
      <c r="AD60" s="193">
        <f>(Input!$C$19)*AD30</f>
        <v>0.94399999999999995</v>
      </c>
      <c r="AE60" s="193">
        <f>(Input!$C$19)*AE30</f>
        <v>1.008</v>
      </c>
      <c r="AF60" s="193">
        <f>(Input!$C$19)*AF30</f>
        <v>1.0720000000000001</v>
      </c>
      <c r="AG60" s="193">
        <f>(Input!$C$19)*AG30</f>
        <v>1.1519999999999999</v>
      </c>
      <c r="AH60" s="193">
        <f>(Input!$C$19)*AH30</f>
        <v>1.2480000000000002</v>
      </c>
      <c r="AI60" s="193">
        <f>(Input!$C$19)*AI30</f>
        <v>1.3360000000000001</v>
      </c>
      <c r="AJ60" s="193">
        <f>(Input!$C$19)*AJ30</f>
        <v>1.4400000000000002</v>
      </c>
      <c r="AK60" s="193">
        <f>(Input!$C$19)*AK30</f>
        <v>1.552</v>
      </c>
      <c r="AL60" s="193">
        <f>(Input!$C$19)*AL30</f>
        <v>1.6800000000000002</v>
      </c>
      <c r="AM60" s="193">
        <f>(Input!$C$19)*AM30</f>
        <v>1.8480000000000001</v>
      </c>
      <c r="AN60" s="193">
        <f>(Input!$C$19)*AN30</f>
        <v>2.056</v>
      </c>
      <c r="AO60" s="193">
        <f>(Input!$C$19)*AO30</f>
        <v>2.3039999999999998</v>
      </c>
      <c r="AP60" s="193">
        <f>(Input!$C$19)*AP30</f>
        <v>2.5920000000000005</v>
      </c>
      <c r="AQ60" s="193">
        <f>(Input!$C$19)*AQ30</f>
        <v>2.9120000000000004</v>
      </c>
      <c r="AR60" s="193">
        <f>(Input!$C$19)*AR30</f>
        <v>3.2479999999999998</v>
      </c>
      <c r="AS60" s="193">
        <f>(Input!$C$19)*AS30</f>
        <v>3.5840000000000005</v>
      </c>
      <c r="AT60" s="193">
        <f>(Input!$C$19)*AT30</f>
        <v>3.88</v>
      </c>
      <c r="AU60" s="193">
        <f>(Input!$C$19)*AU30</f>
        <v>4.2</v>
      </c>
      <c r="AV60" s="193">
        <f>(Input!$C$19)*AV30</f>
        <v>4.5680000000000005</v>
      </c>
      <c r="AW60" s="193">
        <f>(Input!$C$19)*AW30</f>
        <v>4.9520000000000008</v>
      </c>
      <c r="AX60" s="193">
        <f>(Input!$C$19)*AX30</f>
        <v>5.4160000000000004</v>
      </c>
      <c r="AY60" s="193">
        <f>(Input!$C$19)*AY30</f>
        <v>5.9359999999999999</v>
      </c>
      <c r="AZ60" s="193">
        <f>(Input!$C$19)*AZ30</f>
        <v>6.5360000000000005</v>
      </c>
      <c r="BA60" s="193">
        <f>(Input!$C$19)*BA30</f>
        <v>7.2560000000000002</v>
      </c>
      <c r="BB60" s="193">
        <f>(Input!$C$19)*BB30</f>
        <v>8.1280000000000001</v>
      </c>
      <c r="BC60" s="193">
        <f>(Input!$C$19)*BC30</f>
        <v>9.16</v>
      </c>
      <c r="BD60" s="193">
        <f>(Input!$C$19)*BD30</f>
        <v>10.432</v>
      </c>
      <c r="BE60" s="193">
        <f>(Input!$C$19)*BE30</f>
        <v>11.872</v>
      </c>
      <c r="BF60" s="193">
        <f>(Input!$C$19)*BF30</f>
        <v>13.600000000000001</v>
      </c>
      <c r="BG60" s="193">
        <f>(Input!$C$19)*BG30</f>
        <v>15.448</v>
      </c>
      <c r="BH60" s="193">
        <f>(Input!$C$19)*BH30</f>
        <v>17.632000000000001</v>
      </c>
      <c r="BI60" s="193">
        <f>(Input!$C$19)*BI30</f>
        <v>19.944000000000003</v>
      </c>
      <c r="BJ60" s="193">
        <f>(Input!$C$19)*BJ30</f>
        <v>22.736000000000004</v>
      </c>
      <c r="BK60" s="193">
        <f>(Input!$C$19)*BK30</f>
        <v>25.783999999999999</v>
      </c>
      <c r="BL60" s="193">
        <f>(Input!$C$19)*BL30</f>
        <v>29.512</v>
      </c>
      <c r="BM60" s="193">
        <f>(Input!$C$19)*BM30</f>
        <v>33.256</v>
      </c>
      <c r="BN60" s="193">
        <f>(Input!$C$19)*BN30</f>
        <v>38.392000000000003</v>
      </c>
      <c r="BO60" s="193">
        <f>(Input!$C$19)*BO30</f>
        <v>43.624000000000002</v>
      </c>
      <c r="BP60" s="193">
        <f>(Input!$C$19)*BP30</f>
        <v>50.576000000000001</v>
      </c>
      <c r="BQ60" s="193">
        <f>(Input!$C$19)*BQ30</f>
        <v>57.632000000000005</v>
      </c>
      <c r="BR60" s="193">
        <f>(Input!$C$19)*BR30</f>
        <v>65.808000000000007</v>
      </c>
      <c r="BS60" s="193">
        <f>(Input!$C$19)*BS30</f>
        <v>75.191999999999993</v>
      </c>
      <c r="BT60" s="193">
        <f>(Input!$C$19)*BT30</f>
        <v>85.800000000000011</v>
      </c>
      <c r="BU60" s="193">
        <f>(Input!$C$19)*BU30</f>
        <v>97.288000000000011</v>
      </c>
      <c r="BV60" s="193">
        <f>(Input!$C$19)*BV30</f>
        <v>109.52000000000001</v>
      </c>
      <c r="BW60" s="193">
        <f>(Input!$C$19)*BW30</f>
        <v>122.08</v>
      </c>
      <c r="BX60" s="193">
        <f>(Input!$C$19)*BX30</f>
        <v>134.624</v>
      </c>
      <c r="BY60" s="193">
        <f>(Input!$C$19)*BY30</f>
        <v>146.99200000000002</v>
      </c>
      <c r="BZ60" s="193">
        <f>(Input!$C$19)*BZ30</f>
        <v>158.57600000000002</v>
      </c>
      <c r="CA60" s="193">
        <f>(Input!$C$19)*CA30</f>
        <v>168.86400000000003</v>
      </c>
      <c r="CB60" s="193">
        <f>(Input!$C$19)*CB30</f>
        <v>182.232</v>
      </c>
      <c r="CC60" s="193">
        <f>(Input!$C$19)*CC30</f>
        <v>196.47200000000001</v>
      </c>
      <c r="CD60" s="193">
        <f>(Input!$C$19)*CD30</f>
        <v>211.96</v>
      </c>
      <c r="CE60" s="193">
        <f>(Input!$C$19)*CE30</f>
        <v>228.36799999999999</v>
      </c>
      <c r="CF60" s="193">
        <f>(Input!$C$19)*CF30</f>
        <v>245.36</v>
      </c>
      <c r="CG60" s="193">
        <f>(Input!$C$19)*CG30</f>
        <v>262.60000000000002</v>
      </c>
      <c r="CH60" s="193">
        <f>(Input!$C$19)*CH30</f>
        <v>280.01600000000002</v>
      </c>
      <c r="CI60" s="193">
        <f>(Input!$C$19)*CI30</f>
        <v>297.32</v>
      </c>
      <c r="CJ60" s="193">
        <f>(Input!$C$19)*CJ30</f>
        <v>314.23200000000003</v>
      </c>
      <c r="CK60" s="193">
        <f>(Input!$C$19)*CK30</f>
        <v>330.44000000000005</v>
      </c>
      <c r="CL60" s="193">
        <f>(Input!$C$19)*CL30</f>
        <v>345.66399999999999</v>
      </c>
      <c r="CM60" s="193">
        <f>(Input!$C$19)*CM30</f>
        <v>359.608</v>
      </c>
      <c r="CN60" s="193">
        <f>(Input!$C$19)*CN30</f>
        <v>371.98400000000004</v>
      </c>
      <c r="CO60" s="193">
        <f>(Input!$C$19)*CO30</f>
        <v>382.49600000000004</v>
      </c>
      <c r="CP60" s="193">
        <f>(Input!$C$19)*CP30</f>
        <v>390.85599999999999</v>
      </c>
      <c r="CQ60" s="193">
        <f>(Input!$C$19)*CQ30</f>
        <v>396.76</v>
      </c>
      <c r="CR60" s="193">
        <f>(Input!$C$19)*CR30</f>
        <v>400</v>
      </c>
      <c r="CS60" s="193">
        <f>(Input!$C$19)*CS30</f>
        <v>400</v>
      </c>
      <c r="CT60" s="193">
        <f>(Input!$C$19)*CT30</f>
        <v>400</v>
      </c>
      <c r="CU60" s="193">
        <f>(Input!$C$19)*CU30</f>
        <v>400</v>
      </c>
      <c r="CV60" s="193">
        <f>(Input!$C$19)*CV30</f>
        <v>400</v>
      </c>
      <c r="CW60" s="193">
        <f>(Input!$C$19)*CW30</f>
        <v>400</v>
      </c>
    </row>
    <row r="61" spans="1:101" s="53" customFormat="1" x14ac:dyDescent="0.25">
      <c r="A61" s="192">
        <f t="shared" si="5"/>
        <v>20</v>
      </c>
      <c r="B61" s="193">
        <f>(Input!$C$19)*B31</f>
        <v>0.57599999999999996</v>
      </c>
      <c r="C61" s="193">
        <f>(Input!$C$19)*C31</f>
        <v>0.59199999999999997</v>
      </c>
      <c r="D61" s="193">
        <f>(Input!$C$19)*D31</f>
        <v>0.6160000000000001</v>
      </c>
      <c r="E61" s="193">
        <f>(Input!$C$19)*E31</f>
        <v>0.60000000000000009</v>
      </c>
      <c r="F61" s="193">
        <f>(Input!$C$19)*F31</f>
        <v>0.57599999999999996</v>
      </c>
      <c r="G61" s="193">
        <f>(Input!$C$19)*G31</f>
        <v>0.56799999999999995</v>
      </c>
      <c r="H61" s="193">
        <f>(Input!$C$19)*H31</f>
        <v>0.56799999999999995</v>
      </c>
      <c r="I61" s="193">
        <f>(Input!$C$19)*I31</f>
        <v>0.48799999999999999</v>
      </c>
      <c r="J61" s="193">
        <f>(Input!$C$19)*J31</f>
        <v>0.46399999999999997</v>
      </c>
      <c r="K61" s="193">
        <f>(Input!$C$19)*K31</f>
        <v>0.41600000000000004</v>
      </c>
      <c r="L61" s="193">
        <f>(Input!$C$19)*L31</f>
        <v>0.38400000000000001</v>
      </c>
      <c r="M61" s="193">
        <f>(Input!$C$19)*M31</f>
        <v>0.36800000000000005</v>
      </c>
      <c r="N61" s="193">
        <f>(Input!$C$19)*N31</f>
        <v>0.38400000000000001</v>
      </c>
      <c r="O61" s="193">
        <f>(Input!$C$19)*O31</f>
        <v>0.4</v>
      </c>
      <c r="P61" s="193">
        <f>(Input!$C$19)*P31</f>
        <v>0.45599999999999996</v>
      </c>
      <c r="Q61" s="193">
        <f>(Input!$C$19)*Q31</f>
        <v>0.52</v>
      </c>
      <c r="R61" s="193">
        <f>(Input!$C$19)*R31</f>
        <v>0.6080000000000001</v>
      </c>
      <c r="S61" s="193">
        <f>(Input!$C$19)*S31</f>
        <v>0.70400000000000007</v>
      </c>
      <c r="T61" s="193">
        <f>(Input!$C$19)*T31</f>
        <v>0.8</v>
      </c>
      <c r="U61" s="193">
        <f>(Input!$C$19)*U31</f>
        <v>0.81600000000000006</v>
      </c>
      <c r="V61" s="193">
        <f>(Input!$C$19)*V31</f>
        <v>0.84000000000000008</v>
      </c>
      <c r="W61" s="193">
        <f>(Input!$C$19)*W31</f>
        <v>0.8640000000000001</v>
      </c>
      <c r="X61" s="193">
        <f>(Input!$C$19)*X31</f>
        <v>0.88000000000000012</v>
      </c>
      <c r="Y61" s="193">
        <f>(Input!$C$19)*Y31</f>
        <v>0.89600000000000013</v>
      </c>
      <c r="Z61" s="193">
        <f>(Input!$C$19)*Z31</f>
        <v>0.89600000000000013</v>
      </c>
      <c r="AA61" s="193">
        <f>(Input!$C$19)*AA31</f>
        <v>0.89600000000000013</v>
      </c>
      <c r="AB61" s="193">
        <f>(Input!$C$19)*AB31</f>
        <v>0.90399999999999991</v>
      </c>
      <c r="AC61" s="193">
        <f>(Input!$C$19)*AC31</f>
        <v>0.94399999999999995</v>
      </c>
      <c r="AD61" s="193">
        <f>(Input!$C$19)*AD31</f>
        <v>1.008</v>
      </c>
      <c r="AE61" s="193">
        <f>(Input!$C$19)*AE31</f>
        <v>1.0880000000000001</v>
      </c>
      <c r="AF61" s="193">
        <f>(Input!$C$19)*AF31</f>
        <v>1.1759999999999999</v>
      </c>
      <c r="AG61" s="193">
        <f>(Input!$C$19)*AG31</f>
        <v>1.2800000000000002</v>
      </c>
      <c r="AH61" s="193">
        <f>(Input!$C$19)*AH31</f>
        <v>1.3840000000000001</v>
      </c>
      <c r="AI61" s="193">
        <f>(Input!$C$19)*AI31</f>
        <v>1.4960000000000002</v>
      </c>
      <c r="AJ61" s="193">
        <f>(Input!$C$19)*AJ31</f>
        <v>1.6160000000000001</v>
      </c>
      <c r="AK61" s="193">
        <f>(Input!$C$19)*AK31</f>
        <v>1.7600000000000002</v>
      </c>
      <c r="AL61" s="193">
        <f>(Input!$C$19)*AL31</f>
        <v>1.9280000000000002</v>
      </c>
      <c r="AM61" s="193">
        <f>(Input!$C$19)*AM31</f>
        <v>2.1280000000000001</v>
      </c>
      <c r="AN61" s="193">
        <f>(Input!$C$19)*AN31</f>
        <v>2.3760000000000003</v>
      </c>
      <c r="AO61" s="193">
        <f>(Input!$C$19)*AO31</f>
        <v>2.6480000000000001</v>
      </c>
      <c r="AP61" s="193">
        <f>(Input!$C$19)*AP31</f>
        <v>2.952</v>
      </c>
      <c r="AQ61" s="193">
        <f>(Input!$C$19)*AQ31</f>
        <v>3.2640000000000002</v>
      </c>
      <c r="AR61" s="193">
        <f>(Input!$C$19)*AR31</f>
        <v>3.5840000000000005</v>
      </c>
      <c r="AS61" s="193">
        <f>(Input!$C$19)*AS31</f>
        <v>3.8880000000000003</v>
      </c>
      <c r="AT61" s="193">
        <f>(Input!$C$19)*AT31</f>
        <v>4.2</v>
      </c>
      <c r="AU61" s="193">
        <f>(Input!$C$19)*AU31</f>
        <v>4.5759999999999996</v>
      </c>
      <c r="AV61" s="193">
        <f>(Input!$C$19)*AV31</f>
        <v>4.9840000000000009</v>
      </c>
      <c r="AW61" s="193">
        <f>(Input!$C$19)*AW31</f>
        <v>5.4480000000000004</v>
      </c>
      <c r="AX61" s="193">
        <f>(Input!$C$19)*AX31</f>
        <v>6.04</v>
      </c>
      <c r="AY61" s="193">
        <f>(Input!$C$19)*AY31</f>
        <v>6.7120000000000006</v>
      </c>
      <c r="AZ61" s="193">
        <f>(Input!$C$19)*AZ31</f>
        <v>7.4879999999999995</v>
      </c>
      <c r="BA61" s="193">
        <f>(Input!$C$19)*BA31</f>
        <v>8.3680000000000003</v>
      </c>
      <c r="BB61" s="193">
        <f>(Input!$C$19)*BB31</f>
        <v>9.4160000000000004</v>
      </c>
      <c r="BC61" s="193">
        <f>(Input!$C$19)*BC31</f>
        <v>10.576000000000001</v>
      </c>
      <c r="BD61" s="193">
        <f>(Input!$C$19)*BD31</f>
        <v>11.984000000000002</v>
      </c>
      <c r="BE61" s="193">
        <f>(Input!$C$19)*BE31</f>
        <v>13.664</v>
      </c>
      <c r="BF61" s="193">
        <f>(Input!$C$19)*BF31</f>
        <v>15.584000000000001</v>
      </c>
      <c r="BG61" s="193">
        <f>(Input!$C$19)*BG31</f>
        <v>17.728000000000002</v>
      </c>
      <c r="BH61" s="193">
        <f>(Input!$C$19)*BH31</f>
        <v>20.176000000000002</v>
      </c>
      <c r="BI61" s="193">
        <f>(Input!$C$19)*BI31</f>
        <v>22.768000000000001</v>
      </c>
      <c r="BJ61" s="193">
        <f>(Input!$C$19)*BJ31</f>
        <v>26.168000000000003</v>
      </c>
      <c r="BK61" s="193">
        <f>(Input!$C$19)*BK31</f>
        <v>29.680000000000003</v>
      </c>
      <c r="BL61" s="193">
        <f>(Input!$C$19)*BL31</f>
        <v>34.095999999999997</v>
      </c>
      <c r="BM61" s="193">
        <f>(Input!$C$19)*BM31</f>
        <v>38.44</v>
      </c>
      <c r="BN61" s="193">
        <f>(Input!$C$19)*BN31</f>
        <v>44.504000000000005</v>
      </c>
      <c r="BO61" s="193">
        <f>(Input!$C$19)*BO31</f>
        <v>50.576000000000001</v>
      </c>
      <c r="BP61" s="193">
        <f>(Input!$C$19)*BP31</f>
        <v>57.632000000000005</v>
      </c>
      <c r="BQ61" s="193">
        <f>(Input!$C$19)*BQ31</f>
        <v>65.808000000000007</v>
      </c>
      <c r="BR61" s="193">
        <f>(Input!$C$19)*BR31</f>
        <v>75.191999999999993</v>
      </c>
      <c r="BS61" s="193">
        <f>(Input!$C$19)*BS31</f>
        <v>85.800000000000011</v>
      </c>
      <c r="BT61" s="193">
        <f>(Input!$C$19)*BT31</f>
        <v>97.288000000000011</v>
      </c>
      <c r="BU61" s="193">
        <f>(Input!$C$19)*BU31</f>
        <v>109.52000000000001</v>
      </c>
      <c r="BV61" s="193">
        <f>(Input!$C$19)*BV31</f>
        <v>122.08</v>
      </c>
      <c r="BW61" s="193">
        <f>(Input!$C$19)*BW31</f>
        <v>134.624</v>
      </c>
      <c r="BX61" s="193">
        <f>(Input!$C$19)*BX31</f>
        <v>146.99200000000002</v>
      </c>
      <c r="BY61" s="193">
        <f>(Input!$C$19)*BY31</f>
        <v>158.57600000000002</v>
      </c>
      <c r="BZ61" s="193">
        <f>(Input!$C$19)*BZ31</f>
        <v>168.86400000000003</v>
      </c>
      <c r="CA61" s="193">
        <f>(Input!$C$19)*CA31</f>
        <v>182.232</v>
      </c>
      <c r="CB61" s="193">
        <f>(Input!$C$19)*CB31</f>
        <v>196.47200000000001</v>
      </c>
      <c r="CC61" s="193">
        <f>(Input!$C$19)*CC31</f>
        <v>211.96</v>
      </c>
      <c r="CD61" s="193">
        <f>(Input!$C$19)*CD31</f>
        <v>228.36799999999999</v>
      </c>
      <c r="CE61" s="193">
        <f>(Input!$C$19)*CE31</f>
        <v>245.36</v>
      </c>
      <c r="CF61" s="193">
        <f>(Input!$C$19)*CF31</f>
        <v>262.60000000000002</v>
      </c>
      <c r="CG61" s="193">
        <f>(Input!$C$19)*CG31</f>
        <v>280.01600000000002</v>
      </c>
      <c r="CH61" s="193">
        <f>(Input!$C$19)*CH31</f>
        <v>297.32</v>
      </c>
      <c r="CI61" s="193">
        <f>(Input!$C$19)*CI31</f>
        <v>314.23200000000003</v>
      </c>
      <c r="CJ61" s="193">
        <f>(Input!$C$19)*CJ31</f>
        <v>330.44000000000005</v>
      </c>
      <c r="CK61" s="193">
        <f>(Input!$C$19)*CK31</f>
        <v>345.66399999999999</v>
      </c>
      <c r="CL61" s="193">
        <f>(Input!$C$19)*CL31</f>
        <v>359.608</v>
      </c>
      <c r="CM61" s="193">
        <f>(Input!$C$19)*CM31</f>
        <v>371.98400000000004</v>
      </c>
      <c r="CN61" s="193">
        <f>(Input!$C$19)*CN31</f>
        <v>382.49600000000004</v>
      </c>
      <c r="CO61" s="193">
        <f>(Input!$C$19)*CO31</f>
        <v>390.85599999999999</v>
      </c>
      <c r="CP61" s="193">
        <f>(Input!$C$19)*CP31</f>
        <v>396.76</v>
      </c>
      <c r="CQ61" s="193">
        <f>(Input!$C$19)*CQ31</f>
        <v>400</v>
      </c>
      <c r="CR61" s="193">
        <f>(Input!$C$19)*CR31</f>
        <v>400</v>
      </c>
      <c r="CS61" s="193">
        <f>(Input!$C$19)*CS31</f>
        <v>400</v>
      </c>
      <c r="CT61" s="193">
        <f>(Input!$C$19)*CT31</f>
        <v>400</v>
      </c>
      <c r="CU61" s="193">
        <f>(Input!$C$19)*CU31</f>
        <v>400</v>
      </c>
      <c r="CV61" s="193">
        <f>(Input!$C$19)*CV31</f>
        <v>400</v>
      </c>
      <c r="CW61" s="193">
        <f>(Input!$C$19)*CW31</f>
        <v>400</v>
      </c>
    </row>
    <row r="62" spans="1:101" s="53" customFormat="1" x14ac:dyDescent="0.25">
      <c r="A62" s="192">
        <f t="shared" si="5"/>
        <v>21</v>
      </c>
      <c r="B62" s="193">
        <f>(Input!$C$19)*B32</f>
        <v>0.59199999999999997</v>
      </c>
      <c r="C62" s="193">
        <f>(Input!$C$19)*C32</f>
        <v>0.6160000000000001</v>
      </c>
      <c r="D62" s="193">
        <f>(Input!$C$19)*D32</f>
        <v>0.60000000000000009</v>
      </c>
      <c r="E62" s="193">
        <f>(Input!$C$19)*E32</f>
        <v>0.57599999999999996</v>
      </c>
      <c r="F62" s="193">
        <f>(Input!$C$19)*F32</f>
        <v>0.56799999999999995</v>
      </c>
      <c r="G62" s="193">
        <f>(Input!$C$19)*G32</f>
        <v>0.56799999999999995</v>
      </c>
      <c r="H62" s="193">
        <f>(Input!$C$19)*H32</f>
        <v>0.48799999999999999</v>
      </c>
      <c r="I62" s="193">
        <f>(Input!$C$19)*I32</f>
        <v>0.46399999999999997</v>
      </c>
      <c r="J62" s="193">
        <f>(Input!$C$19)*J32</f>
        <v>0.41600000000000004</v>
      </c>
      <c r="K62" s="193">
        <f>(Input!$C$19)*K32</f>
        <v>0.38400000000000001</v>
      </c>
      <c r="L62" s="193">
        <f>(Input!$C$19)*L32</f>
        <v>0.36800000000000005</v>
      </c>
      <c r="M62" s="193">
        <f>(Input!$C$19)*M32</f>
        <v>0.38400000000000001</v>
      </c>
      <c r="N62" s="193">
        <f>(Input!$C$19)*N32</f>
        <v>0.4</v>
      </c>
      <c r="O62" s="193">
        <f>(Input!$C$19)*O32</f>
        <v>0.45599999999999996</v>
      </c>
      <c r="P62" s="193">
        <f>(Input!$C$19)*P32</f>
        <v>0.52</v>
      </c>
      <c r="Q62" s="193">
        <f>(Input!$C$19)*Q32</f>
        <v>0.6080000000000001</v>
      </c>
      <c r="R62" s="193">
        <f>(Input!$C$19)*R32</f>
        <v>0.70400000000000007</v>
      </c>
      <c r="S62" s="193">
        <f>(Input!$C$19)*S32</f>
        <v>0.8</v>
      </c>
      <c r="T62" s="193">
        <f>(Input!$C$19)*T32</f>
        <v>0.88000000000000012</v>
      </c>
      <c r="U62" s="193">
        <f>(Input!$C$19)*U32</f>
        <v>0.90399999999999991</v>
      </c>
      <c r="V62" s="193">
        <f>(Input!$C$19)*V32</f>
        <v>0.92799999999999994</v>
      </c>
      <c r="W62" s="193">
        <f>(Input!$C$19)*W32</f>
        <v>0.92799999999999994</v>
      </c>
      <c r="X62" s="193">
        <f>(Input!$C$19)*X32</f>
        <v>0.93599999999999994</v>
      </c>
      <c r="Y62" s="193">
        <f>(Input!$C$19)*Y32</f>
        <v>0.94399999999999995</v>
      </c>
      <c r="Z62" s="193">
        <f>(Input!$C$19)*Z32</f>
        <v>0.94399999999999995</v>
      </c>
      <c r="AA62" s="193">
        <f>(Input!$C$19)*AA32</f>
        <v>0.95199999999999996</v>
      </c>
      <c r="AB62" s="193">
        <f>(Input!$C$19)*AB32</f>
        <v>0.96</v>
      </c>
      <c r="AC62" s="193">
        <f>(Input!$C$19)*AC32</f>
        <v>1.024</v>
      </c>
      <c r="AD62" s="193">
        <f>(Input!$C$19)*AD32</f>
        <v>1.1119999999999999</v>
      </c>
      <c r="AE62" s="193">
        <f>(Input!$C$19)*AE32</f>
        <v>1.2080000000000002</v>
      </c>
      <c r="AF62" s="193">
        <f>(Input!$C$19)*AF32</f>
        <v>1.32</v>
      </c>
      <c r="AG62" s="193">
        <f>(Input!$C$19)*AG32</f>
        <v>1.4320000000000002</v>
      </c>
      <c r="AH62" s="193">
        <f>(Input!$C$19)*AH32</f>
        <v>1.56</v>
      </c>
      <c r="AI62" s="193">
        <f>(Input!$C$19)*AI32</f>
        <v>1.6879999999999999</v>
      </c>
      <c r="AJ62" s="193">
        <f>(Input!$C$19)*AJ32</f>
        <v>1.8399999999999999</v>
      </c>
      <c r="AK62" s="193">
        <f>(Input!$C$19)*AK32</f>
        <v>2.008</v>
      </c>
      <c r="AL62" s="193">
        <f>(Input!$C$19)*AL32</f>
        <v>2.2079999999999997</v>
      </c>
      <c r="AM62" s="193">
        <f>(Input!$C$19)*AM32</f>
        <v>2.44</v>
      </c>
      <c r="AN62" s="193">
        <f>(Input!$C$19)*AN32</f>
        <v>2.6960000000000002</v>
      </c>
      <c r="AO62" s="193">
        <f>(Input!$C$19)*AO32</f>
        <v>2.9760000000000004</v>
      </c>
      <c r="AP62" s="193">
        <f>(Input!$C$19)*AP32</f>
        <v>3.2640000000000002</v>
      </c>
      <c r="AQ62" s="193">
        <f>(Input!$C$19)*AQ32</f>
        <v>3.5840000000000005</v>
      </c>
      <c r="AR62" s="193">
        <f>(Input!$C$19)*AR32</f>
        <v>3.8880000000000003</v>
      </c>
      <c r="AS62" s="193">
        <f>(Input!$C$19)*AS32</f>
        <v>4.2160000000000002</v>
      </c>
      <c r="AT62" s="193">
        <f>(Input!$C$19)*AT32</f>
        <v>4.5840000000000005</v>
      </c>
      <c r="AU62" s="193">
        <f>(Input!$C$19)*AU32</f>
        <v>5.016</v>
      </c>
      <c r="AV62" s="193">
        <f>(Input!$C$19)*AV32</f>
        <v>5.5520000000000005</v>
      </c>
      <c r="AW62" s="193">
        <f>(Input!$C$19)*AW32</f>
        <v>6.1920000000000002</v>
      </c>
      <c r="AX62" s="193">
        <f>(Input!$C$19)*AX32</f>
        <v>6.96</v>
      </c>
      <c r="AY62" s="193">
        <f>(Input!$C$19)*AY32</f>
        <v>7.8159999999999998</v>
      </c>
      <c r="AZ62" s="193">
        <f>(Input!$C$19)*AZ32</f>
        <v>8.76</v>
      </c>
      <c r="BA62" s="193">
        <f>(Input!$C$19)*BA32</f>
        <v>9.7439999999999998</v>
      </c>
      <c r="BB62" s="193">
        <f>(Input!$C$19)*BB32</f>
        <v>10.920000000000002</v>
      </c>
      <c r="BC62" s="193">
        <f>(Input!$C$19)*BC32</f>
        <v>12.200000000000001</v>
      </c>
      <c r="BD62" s="193">
        <f>(Input!$C$19)*BD32</f>
        <v>13.728000000000002</v>
      </c>
      <c r="BE62" s="193">
        <f>(Input!$C$19)*BE32</f>
        <v>15.624000000000002</v>
      </c>
      <c r="BF62" s="193">
        <f>(Input!$C$19)*BF32</f>
        <v>17.928000000000001</v>
      </c>
      <c r="BG62" s="193">
        <f>(Input!$C$19)*BG32</f>
        <v>20.304000000000002</v>
      </c>
      <c r="BH62" s="193">
        <f>(Input!$C$19)*BH32</f>
        <v>23.32</v>
      </c>
      <c r="BI62" s="193">
        <f>(Input!$C$19)*BI32</f>
        <v>26.263999999999999</v>
      </c>
      <c r="BJ62" s="193">
        <f>(Input!$C$19)*BJ32</f>
        <v>30.207999999999998</v>
      </c>
      <c r="BK62" s="193">
        <f>(Input!$C$19)*BK32</f>
        <v>34.248000000000005</v>
      </c>
      <c r="BL62" s="193">
        <f>(Input!$C$19)*BL32</f>
        <v>39.256</v>
      </c>
      <c r="BM62" s="193">
        <f>(Input!$C$19)*BM32</f>
        <v>44.504000000000005</v>
      </c>
      <c r="BN62" s="193">
        <f>(Input!$C$19)*BN32</f>
        <v>50.576000000000001</v>
      </c>
      <c r="BO62" s="193">
        <f>(Input!$C$19)*BO32</f>
        <v>57.632000000000005</v>
      </c>
      <c r="BP62" s="193">
        <f>(Input!$C$19)*BP32</f>
        <v>65.808000000000007</v>
      </c>
      <c r="BQ62" s="193">
        <f>(Input!$C$19)*BQ32</f>
        <v>75.191999999999993</v>
      </c>
      <c r="BR62" s="193">
        <f>(Input!$C$19)*BR32</f>
        <v>85.800000000000011</v>
      </c>
      <c r="BS62" s="193">
        <f>(Input!$C$19)*BS32</f>
        <v>97.288000000000011</v>
      </c>
      <c r="BT62" s="193">
        <f>(Input!$C$19)*BT32</f>
        <v>109.52000000000001</v>
      </c>
      <c r="BU62" s="193">
        <f>(Input!$C$19)*BU32</f>
        <v>122.08</v>
      </c>
      <c r="BV62" s="193">
        <f>(Input!$C$19)*BV32</f>
        <v>134.624</v>
      </c>
      <c r="BW62" s="193">
        <f>(Input!$C$19)*BW32</f>
        <v>146.99200000000002</v>
      </c>
      <c r="BX62" s="193">
        <f>(Input!$C$19)*BX32</f>
        <v>158.57600000000002</v>
      </c>
      <c r="BY62" s="193">
        <f>(Input!$C$19)*BY32</f>
        <v>168.86400000000003</v>
      </c>
      <c r="BZ62" s="193">
        <f>(Input!$C$19)*BZ32</f>
        <v>182.232</v>
      </c>
      <c r="CA62" s="193">
        <f>(Input!$C$19)*CA32</f>
        <v>196.47200000000001</v>
      </c>
      <c r="CB62" s="193">
        <f>(Input!$C$19)*CB32</f>
        <v>211.96</v>
      </c>
      <c r="CC62" s="193">
        <f>(Input!$C$19)*CC32</f>
        <v>228.36799999999999</v>
      </c>
      <c r="CD62" s="193">
        <f>(Input!$C$19)*CD32</f>
        <v>245.36</v>
      </c>
      <c r="CE62" s="193">
        <f>(Input!$C$19)*CE32</f>
        <v>262.60000000000002</v>
      </c>
      <c r="CF62" s="193">
        <f>(Input!$C$19)*CF32</f>
        <v>280.01600000000002</v>
      </c>
      <c r="CG62" s="193">
        <f>(Input!$C$19)*CG32</f>
        <v>297.32</v>
      </c>
      <c r="CH62" s="193">
        <f>(Input!$C$19)*CH32</f>
        <v>314.23200000000003</v>
      </c>
      <c r="CI62" s="193">
        <f>(Input!$C$19)*CI32</f>
        <v>330.44000000000005</v>
      </c>
      <c r="CJ62" s="193">
        <f>(Input!$C$19)*CJ32</f>
        <v>345.66399999999999</v>
      </c>
      <c r="CK62" s="193">
        <f>(Input!$C$19)*CK32</f>
        <v>359.608</v>
      </c>
      <c r="CL62" s="193">
        <f>(Input!$C$19)*CL32</f>
        <v>371.98400000000004</v>
      </c>
      <c r="CM62" s="193">
        <f>(Input!$C$19)*CM32</f>
        <v>382.49600000000004</v>
      </c>
      <c r="CN62" s="193">
        <f>(Input!$C$19)*CN32</f>
        <v>390.85599999999999</v>
      </c>
      <c r="CO62" s="193">
        <f>(Input!$C$19)*CO32</f>
        <v>396.76</v>
      </c>
      <c r="CP62" s="193">
        <f>(Input!$C$19)*CP32</f>
        <v>400</v>
      </c>
      <c r="CQ62" s="193">
        <f>(Input!$C$19)*CQ32</f>
        <v>400</v>
      </c>
      <c r="CR62" s="193">
        <f>(Input!$C$19)*CR32</f>
        <v>400</v>
      </c>
      <c r="CS62" s="193">
        <f>(Input!$C$19)*CS32</f>
        <v>400</v>
      </c>
      <c r="CT62" s="193">
        <f>(Input!$C$19)*CT32</f>
        <v>400</v>
      </c>
      <c r="CU62" s="193">
        <f>(Input!$C$19)*CU32</f>
        <v>400</v>
      </c>
      <c r="CV62" s="193">
        <f>(Input!$C$19)*CV32</f>
        <v>400</v>
      </c>
      <c r="CW62" s="193">
        <f>(Input!$C$19)*CW32</f>
        <v>400</v>
      </c>
    </row>
    <row r="63" spans="1:101" s="53" customFormat="1" x14ac:dyDescent="0.25">
      <c r="A63" s="192">
        <f t="shared" si="5"/>
        <v>22</v>
      </c>
      <c r="B63" s="193">
        <f>(Input!$C$19)*B33</f>
        <v>0.6160000000000001</v>
      </c>
      <c r="C63" s="193">
        <f>(Input!$C$19)*C33</f>
        <v>0.60000000000000009</v>
      </c>
      <c r="D63" s="193">
        <f>(Input!$C$19)*D33</f>
        <v>0.57599999999999996</v>
      </c>
      <c r="E63" s="193">
        <f>(Input!$C$19)*E33</f>
        <v>0.56799999999999995</v>
      </c>
      <c r="F63" s="193">
        <f>(Input!$C$19)*F33</f>
        <v>0.56799999999999995</v>
      </c>
      <c r="G63" s="193">
        <f>(Input!$C$19)*G33</f>
        <v>0.48799999999999999</v>
      </c>
      <c r="H63" s="193">
        <f>(Input!$C$19)*H33</f>
        <v>0.46399999999999997</v>
      </c>
      <c r="I63" s="193">
        <f>(Input!$C$19)*I33</f>
        <v>0.41600000000000004</v>
      </c>
      <c r="J63" s="193">
        <f>(Input!$C$19)*J33</f>
        <v>0.38400000000000001</v>
      </c>
      <c r="K63" s="193">
        <f>(Input!$C$19)*K33</f>
        <v>0.36800000000000005</v>
      </c>
      <c r="L63" s="193">
        <f>(Input!$C$19)*L33</f>
        <v>0.38400000000000001</v>
      </c>
      <c r="M63" s="193">
        <f>(Input!$C$19)*M33</f>
        <v>0.4</v>
      </c>
      <c r="N63" s="193">
        <f>(Input!$C$19)*N33</f>
        <v>0.45599999999999996</v>
      </c>
      <c r="O63" s="193">
        <f>(Input!$C$19)*O33</f>
        <v>0.52</v>
      </c>
      <c r="P63" s="193">
        <f>(Input!$C$19)*P33</f>
        <v>0.6080000000000001</v>
      </c>
      <c r="Q63" s="193">
        <f>(Input!$C$19)*Q33</f>
        <v>0.70400000000000007</v>
      </c>
      <c r="R63" s="193">
        <f>(Input!$C$19)*R33</f>
        <v>0.8</v>
      </c>
      <c r="S63" s="193">
        <f>(Input!$C$19)*S33</f>
        <v>0.88000000000000012</v>
      </c>
      <c r="T63" s="193">
        <f>(Input!$C$19)*T33</f>
        <v>0.92799999999999994</v>
      </c>
      <c r="U63" s="193">
        <f>(Input!$C$19)*U33</f>
        <v>0.95199999999999996</v>
      </c>
      <c r="V63" s="193">
        <f>(Input!$C$19)*V33</f>
        <v>0.97599999999999998</v>
      </c>
      <c r="W63" s="193">
        <f>(Input!$C$19)*W33</f>
        <v>0.97599999999999998</v>
      </c>
      <c r="X63" s="193">
        <f>(Input!$C$19)*X33</f>
        <v>0.98399999999999999</v>
      </c>
      <c r="Y63" s="193">
        <f>(Input!$C$19)*Y33</f>
        <v>0.98399999999999999</v>
      </c>
      <c r="Z63" s="193">
        <f>(Input!$C$19)*Z33</f>
        <v>0.98399999999999999</v>
      </c>
      <c r="AA63" s="193">
        <f>(Input!$C$19)*AA33</f>
        <v>0.99199999999999999</v>
      </c>
      <c r="AB63" s="193">
        <f>(Input!$C$19)*AB33</f>
        <v>1.056</v>
      </c>
      <c r="AC63" s="193">
        <f>(Input!$C$19)*AC33</f>
        <v>1.1439999999999999</v>
      </c>
      <c r="AD63" s="193">
        <f>(Input!$C$19)*AD33</f>
        <v>1.2480000000000002</v>
      </c>
      <c r="AE63" s="193">
        <f>(Input!$C$19)*AE33</f>
        <v>1.36</v>
      </c>
      <c r="AF63" s="193">
        <f>(Input!$C$19)*AF33</f>
        <v>1.4880000000000002</v>
      </c>
      <c r="AG63" s="193">
        <f>(Input!$C$19)*AG33</f>
        <v>1.6239999999999999</v>
      </c>
      <c r="AH63" s="193">
        <f>(Input!$C$19)*AH33</f>
        <v>1.768</v>
      </c>
      <c r="AI63" s="193">
        <f>(Input!$C$19)*AI33</f>
        <v>1.92</v>
      </c>
      <c r="AJ63" s="193">
        <f>(Input!$C$19)*AJ33</f>
        <v>2.0960000000000001</v>
      </c>
      <c r="AK63" s="193">
        <f>(Input!$C$19)*AK33</f>
        <v>2.2879999999999998</v>
      </c>
      <c r="AL63" s="193">
        <f>(Input!$C$19)*AL33</f>
        <v>2.504</v>
      </c>
      <c r="AM63" s="193">
        <f>(Input!$C$19)*AM33</f>
        <v>2.7360000000000002</v>
      </c>
      <c r="AN63" s="193">
        <f>(Input!$C$19)*AN33</f>
        <v>3</v>
      </c>
      <c r="AO63" s="193">
        <f>(Input!$C$19)*AO33</f>
        <v>3.2640000000000002</v>
      </c>
      <c r="AP63" s="193">
        <f>(Input!$C$19)*AP33</f>
        <v>3.5840000000000005</v>
      </c>
      <c r="AQ63" s="193">
        <f>(Input!$C$19)*AQ33</f>
        <v>3.8960000000000004</v>
      </c>
      <c r="AR63" s="193">
        <f>(Input!$C$19)*AR33</f>
        <v>4.2480000000000002</v>
      </c>
      <c r="AS63" s="193">
        <f>(Input!$C$19)*AS33</f>
        <v>4.6560000000000006</v>
      </c>
      <c r="AT63" s="193">
        <f>(Input!$C$19)*AT33</f>
        <v>5.1360000000000001</v>
      </c>
      <c r="AU63" s="193">
        <f>(Input!$C$19)*AU33</f>
        <v>5.7200000000000006</v>
      </c>
      <c r="AV63" s="193">
        <f>(Input!$C$19)*AV33</f>
        <v>6.4080000000000004</v>
      </c>
      <c r="AW63" s="193">
        <f>(Input!$C$19)*AW33</f>
        <v>7.2</v>
      </c>
      <c r="AX63" s="193">
        <f>(Input!$C$19)*AX33</f>
        <v>8.104000000000001</v>
      </c>
      <c r="AY63" s="193">
        <f>(Input!$C$19)*AY33</f>
        <v>9.0879999999999992</v>
      </c>
      <c r="AZ63" s="193">
        <f>(Input!$C$19)*AZ33</f>
        <v>10.104000000000001</v>
      </c>
      <c r="BA63" s="193">
        <f>(Input!$C$19)*BA33</f>
        <v>11.184000000000001</v>
      </c>
      <c r="BB63" s="193">
        <f>(Input!$C$19)*BB33</f>
        <v>12.464</v>
      </c>
      <c r="BC63" s="193">
        <f>(Input!$C$19)*BC33</f>
        <v>13.952000000000002</v>
      </c>
      <c r="BD63" s="193">
        <f>(Input!$C$19)*BD33</f>
        <v>15.872</v>
      </c>
      <c r="BE63" s="193">
        <f>(Input!$C$19)*BE33</f>
        <v>18.103999999999999</v>
      </c>
      <c r="BF63" s="193">
        <f>(Input!$C$19)*BF33</f>
        <v>20.680000000000003</v>
      </c>
      <c r="BG63" s="193">
        <f>(Input!$C$19)*BG33</f>
        <v>23.352000000000004</v>
      </c>
      <c r="BH63" s="193">
        <f>(Input!$C$19)*BH33</f>
        <v>26.888000000000002</v>
      </c>
      <c r="BI63" s="193">
        <f>(Input!$C$19)*BI33</f>
        <v>30.32</v>
      </c>
      <c r="BJ63" s="193">
        <f>(Input!$C$19)*BJ33</f>
        <v>34.688000000000002</v>
      </c>
      <c r="BK63" s="193">
        <f>(Input!$C$19)*BK33</f>
        <v>39.256</v>
      </c>
      <c r="BL63" s="193">
        <f>(Input!$C$19)*BL33</f>
        <v>44.504000000000005</v>
      </c>
      <c r="BM63" s="193">
        <f>(Input!$C$19)*BM33</f>
        <v>50.576000000000001</v>
      </c>
      <c r="BN63" s="193">
        <f>(Input!$C$19)*BN33</f>
        <v>57.632000000000005</v>
      </c>
      <c r="BO63" s="193">
        <f>(Input!$C$19)*BO33</f>
        <v>65.808000000000007</v>
      </c>
      <c r="BP63" s="193">
        <f>(Input!$C$19)*BP33</f>
        <v>75.191999999999993</v>
      </c>
      <c r="BQ63" s="193">
        <f>(Input!$C$19)*BQ33</f>
        <v>85.800000000000011</v>
      </c>
      <c r="BR63" s="193">
        <f>(Input!$C$19)*BR33</f>
        <v>97.288000000000011</v>
      </c>
      <c r="BS63" s="193">
        <f>(Input!$C$19)*BS33</f>
        <v>109.52000000000001</v>
      </c>
      <c r="BT63" s="193">
        <f>(Input!$C$19)*BT33</f>
        <v>122.08</v>
      </c>
      <c r="BU63" s="193">
        <f>(Input!$C$19)*BU33</f>
        <v>134.624</v>
      </c>
      <c r="BV63" s="193">
        <f>(Input!$C$19)*BV33</f>
        <v>146.99200000000002</v>
      </c>
      <c r="BW63" s="193">
        <f>(Input!$C$19)*BW33</f>
        <v>158.57600000000002</v>
      </c>
      <c r="BX63" s="193">
        <f>(Input!$C$19)*BX33</f>
        <v>168.86400000000003</v>
      </c>
      <c r="BY63" s="193">
        <f>(Input!$C$19)*BY33</f>
        <v>182.232</v>
      </c>
      <c r="BZ63" s="193">
        <f>(Input!$C$19)*BZ33</f>
        <v>196.47200000000001</v>
      </c>
      <c r="CA63" s="193">
        <f>(Input!$C$19)*CA33</f>
        <v>211.96</v>
      </c>
      <c r="CB63" s="193">
        <f>(Input!$C$19)*CB33</f>
        <v>228.36799999999999</v>
      </c>
      <c r="CC63" s="193">
        <f>(Input!$C$19)*CC33</f>
        <v>245.36</v>
      </c>
      <c r="CD63" s="193">
        <f>(Input!$C$19)*CD33</f>
        <v>262.60000000000002</v>
      </c>
      <c r="CE63" s="193">
        <f>(Input!$C$19)*CE33</f>
        <v>280.01600000000002</v>
      </c>
      <c r="CF63" s="193">
        <f>(Input!$C$19)*CF33</f>
        <v>297.32</v>
      </c>
      <c r="CG63" s="193">
        <f>(Input!$C$19)*CG33</f>
        <v>314.23200000000003</v>
      </c>
      <c r="CH63" s="193">
        <f>(Input!$C$19)*CH33</f>
        <v>330.44000000000005</v>
      </c>
      <c r="CI63" s="193">
        <f>(Input!$C$19)*CI33</f>
        <v>345.66399999999999</v>
      </c>
      <c r="CJ63" s="193">
        <f>(Input!$C$19)*CJ33</f>
        <v>359.608</v>
      </c>
      <c r="CK63" s="193">
        <f>(Input!$C$19)*CK33</f>
        <v>371.98400000000004</v>
      </c>
      <c r="CL63" s="193">
        <f>(Input!$C$19)*CL33</f>
        <v>382.49600000000004</v>
      </c>
      <c r="CM63" s="193">
        <f>(Input!$C$19)*CM33</f>
        <v>390.85599999999999</v>
      </c>
      <c r="CN63" s="193">
        <f>(Input!$C$19)*CN33</f>
        <v>396.76</v>
      </c>
      <c r="CO63" s="193">
        <f>(Input!$C$19)*CO33</f>
        <v>400</v>
      </c>
      <c r="CP63" s="193">
        <f>(Input!$C$19)*CP33</f>
        <v>400</v>
      </c>
      <c r="CQ63" s="193">
        <f>(Input!$C$19)*CQ33</f>
        <v>400</v>
      </c>
      <c r="CR63" s="193">
        <f>(Input!$C$19)*CR33</f>
        <v>400</v>
      </c>
      <c r="CS63" s="193">
        <f>(Input!$C$19)*CS33</f>
        <v>400</v>
      </c>
      <c r="CT63" s="193">
        <f>(Input!$C$19)*CT33</f>
        <v>400</v>
      </c>
      <c r="CU63" s="193">
        <f>(Input!$C$19)*CU33</f>
        <v>400</v>
      </c>
      <c r="CV63" s="193">
        <f>(Input!$C$19)*CV33</f>
        <v>400</v>
      </c>
      <c r="CW63" s="193">
        <f>(Input!$C$19)*CW33</f>
        <v>400</v>
      </c>
    </row>
    <row r="64" spans="1:101" s="53" customFormat="1" x14ac:dyDescent="0.25">
      <c r="A64" s="192">
        <f t="shared" si="5"/>
        <v>23</v>
      </c>
      <c r="B64" s="193">
        <f>(Input!$C$19)*B34</f>
        <v>0.60000000000000009</v>
      </c>
      <c r="C64" s="193">
        <f>(Input!$C$19)*C34</f>
        <v>0.57599999999999996</v>
      </c>
      <c r="D64" s="193">
        <f>(Input!$C$19)*D34</f>
        <v>0.56799999999999995</v>
      </c>
      <c r="E64" s="193">
        <f>(Input!$C$19)*E34</f>
        <v>0.56799999999999995</v>
      </c>
      <c r="F64" s="193">
        <f>(Input!$C$19)*F34</f>
        <v>0.48799999999999999</v>
      </c>
      <c r="G64" s="193">
        <f>(Input!$C$19)*G34</f>
        <v>0.46399999999999997</v>
      </c>
      <c r="H64" s="193">
        <f>(Input!$C$19)*H34</f>
        <v>0.41600000000000004</v>
      </c>
      <c r="I64" s="193">
        <f>(Input!$C$19)*I34</f>
        <v>0.38400000000000001</v>
      </c>
      <c r="J64" s="193">
        <f>(Input!$C$19)*J34</f>
        <v>0.36800000000000005</v>
      </c>
      <c r="K64" s="193">
        <f>(Input!$C$19)*K34</f>
        <v>0.38400000000000001</v>
      </c>
      <c r="L64" s="193">
        <f>(Input!$C$19)*L34</f>
        <v>0.4</v>
      </c>
      <c r="M64" s="193">
        <f>(Input!$C$19)*M34</f>
        <v>0.45599999999999996</v>
      </c>
      <c r="N64" s="193">
        <f>(Input!$C$19)*N34</f>
        <v>0.52</v>
      </c>
      <c r="O64" s="193">
        <f>(Input!$C$19)*O34</f>
        <v>0.6080000000000001</v>
      </c>
      <c r="P64" s="193">
        <f>(Input!$C$19)*P34</f>
        <v>0.70400000000000007</v>
      </c>
      <c r="Q64" s="193">
        <f>(Input!$C$19)*Q34</f>
        <v>0.8</v>
      </c>
      <c r="R64" s="193">
        <f>(Input!$C$19)*R34</f>
        <v>0.88000000000000012</v>
      </c>
      <c r="S64" s="193">
        <f>(Input!$C$19)*S34</f>
        <v>0.92799999999999994</v>
      </c>
      <c r="T64" s="193">
        <f>(Input!$C$19)*T34</f>
        <v>0.96799999999999997</v>
      </c>
      <c r="U64" s="193">
        <f>(Input!$C$19)*U34</f>
        <v>1.008</v>
      </c>
      <c r="V64" s="193">
        <f>(Input!$C$19)*V34</f>
        <v>1.024</v>
      </c>
      <c r="W64" s="193">
        <f>(Input!$C$19)*W34</f>
        <v>1.04</v>
      </c>
      <c r="X64" s="193">
        <f>(Input!$C$19)*X34</f>
        <v>1.04</v>
      </c>
      <c r="Y64" s="193">
        <f>(Input!$C$19)*Y34</f>
        <v>1.04</v>
      </c>
      <c r="Z64" s="193">
        <f>(Input!$C$19)*Z34</f>
        <v>1.048</v>
      </c>
      <c r="AA64" s="193">
        <f>(Input!$C$19)*AA34</f>
        <v>1.1039999999999999</v>
      </c>
      <c r="AB64" s="193">
        <f>(Input!$C$19)*AB34</f>
        <v>1.1919999999999999</v>
      </c>
      <c r="AC64" s="193">
        <f>(Input!$C$19)*AC34</f>
        <v>1.2880000000000003</v>
      </c>
      <c r="AD64" s="193">
        <f>(Input!$C$19)*AD34</f>
        <v>1.4080000000000001</v>
      </c>
      <c r="AE64" s="193">
        <f>(Input!$C$19)*AE34</f>
        <v>1.536</v>
      </c>
      <c r="AF64" s="193">
        <f>(Input!$C$19)*AF34</f>
        <v>1.6719999999999999</v>
      </c>
      <c r="AG64" s="193">
        <f>(Input!$C$19)*AG34</f>
        <v>1.8239999999999998</v>
      </c>
      <c r="AH64" s="193">
        <f>(Input!$C$19)*AH34</f>
        <v>1.9920000000000002</v>
      </c>
      <c r="AI64" s="193">
        <f>(Input!$C$19)*AI34</f>
        <v>2.1680000000000001</v>
      </c>
      <c r="AJ64" s="193">
        <f>(Input!$C$19)*AJ34</f>
        <v>2.3519999999999999</v>
      </c>
      <c r="AK64" s="193">
        <f>(Input!$C$19)*AK34</f>
        <v>2.552</v>
      </c>
      <c r="AL64" s="193">
        <f>(Input!$C$19)*AL34</f>
        <v>2.7680000000000002</v>
      </c>
      <c r="AM64" s="193">
        <f>(Input!$C$19)*AM34</f>
        <v>3</v>
      </c>
      <c r="AN64" s="193">
        <f>(Input!$C$19)*AN34</f>
        <v>3.2640000000000002</v>
      </c>
      <c r="AO64" s="193">
        <f>(Input!$C$19)*AO34</f>
        <v>3.5840000000000005</v>
      </c>
      <c r="AP64" s="193">
        <f>(Input!$C$19)*AP34</f>
        <v>3.9039999999999999</v>
      </c>
      <c r="AQ64" s="193">
        <f>(Input!$C$19)*AQ34</f>
        <v>4.2960000000000003</v>
      </c>
      <c r="AR64" s="193">
        <f>(Input!$C$19)*AR34</f>
        <v>4.7280000000000006</v>
      </c>
      <c r="AS64" s="193">
        <f>(Input!$C$19)*AS34</f>
        <v>5.2240000000000002</v>
      </c>
      <c r="AT64" s="193">
        <f>(Input!$C$19)*AT34</f>
        <v>5.8000000000000007</v>
      </c>
      <c r="AU64" s="193">
        <f>(Input!$C$19)*AU34</f>
        <v>6.4879999999999995</v>
      </c>
      <c r="AV64" s="193">
        <f>(Input!$C$19)*AV34</f>
        <v>7.2480000000000011</v>
      </c>
      <c r="AW64" s="193">
        <f>(Input!$C$19)*AW34</f>
        <v>8.120000000000001</v>
      </c>
      <c r="AX64" s="193">
        <f>(Input!$C$19)*AX34</f>
        <v>9.120000000000001</v>
      </c>
      <c r="AY64" s="193">
        <f>(Input!$C$19)*AY34</f>
        <v>10.240000000000002</v>
      </c>
      <c r="AZ64" s="193">
        <f>(Input!$C$19)*AZ34</f>
        <v>11.464</v>
      </c>
      <c r="BA64" s="193">
        <f>(Input!$C$19)*BA34</f>
        <v>12.768000000000001</v>
      </c>
      <c r="BB64" s="193">
        <f>(Input!$C$19)*BB34</f>
        <v>14.224000000000002</v>
      </c>
      <c r="BC64" s="193">
        <f>(Input!$C$19)*BC34</f>
        <v>15.96</v>
      </c>
      <c r="BD64" s="193">
        <f>(Input!$C$19)*BD34</f>
        <v>18.303999999999998</v>
      </c>
      <c r="BE64" s="193">
        <f>(Input!$C$19)*BE34</f>
        <v>20.808000000000003</v>
      </c>
      <c r="BF64" s="193">
        <f>(Input!$C$19)*BF34</f>
        <v>23.728000000000002</v>
      </c>
      <c r="BG64" s="193">
        <f>(Input!$C$19)*BG34</f>
        <v>27.007999999999999</v>
      </c>
      <c r="BH64" s="193">
        <f>(Input!$C$19)*BH34</f>
        <v>30.608000000000001</v>
      </c>
      <c r="BI64" s="193">
        <f>(Input!$C$19)*BI34</f>
        <v>34.688000000000002</v>
      </c>
      <c r="BJ64" s="193">
        <f>(Input!$C$19)*BJ34</f>
        <v>39.256</v>
      </c>
      <c r="BK64" s="193">
        <f>(Input!$C$19)*BK34</f>
        <v>44.504000000000005</v>
      </c>
      <c r="BL64" s="193">
        <f>(Input!$C$19)*BL34</f>
        <v>50.576000000000001</v>
      </c>
      <c r="BM64" s="193">
        <f>(Input!$C$19)*BM34</f>
        <v>57.632000000000005</v>
      </c>
      <c r="BN64" s="193">
        <f>(Input!$C$19)*BN34</f>
        <v>65.808000000000007</v>
      </c>
      <c r="BO64" s="193">
        <f>(Input!$C$19)*BO34</f>
        <v>75.191999999999993</v>
      </c>
      <c r="BP64" s="193">
        <f>(Input!$C$19)*BP34</f>
        <v>85.800000000000011</v>
      </c>
      <c r="BQ64" s="193">
        <f>(Input!$C$19)*BQ34</f>
        <v>97.288000000000011</v>
      </c>
      <c r="BR64" s="193">
        <f>(Input!$C$19)*BR34</f>
        <v>109.52000000000001</v>
      </c>
      <c r="BS64" s="193">
        <f>(Input!$C$19)*BS34</f>
        <v>122.08</v>
      </c>
      <c r="BT64" s="193">
        <f>(Input!$C$19)*BT34</f>
        <v>134.624</v>
      </c>
      <c r="BU64" s="193">
        <f>(Input!$C$19)*BU34</f>
        <v>146.99200000000002</v>
      </c>
      <c r="BV64" s="193">
        <f>(Input!$C$19)*BV34</f>
        <v>158.57600000000002</v>
      </c>
      <c r="BW64" s="193">
        <f>(Input!$C$19)*BW34</f>
        <v>168.86400000000003</v>
      </c>
      <c r="BX64" s="193">
        <f>(Input!$C$19)*BX34</f>
        <v>182.232</v>
      </c>
      <c r="BY64" s="193">
        <f>(Input!$C$19)*BY34</f>
        <v>196.47200000000001</v>
      </c>
      <c r="BZ64" s="193">
        <f>(Input!$C$19)*BZ34</f>
        <v>211.96</v>
      </c>
      <c r="CA64" s="193">
        <f>(Input!$C$19)*CA34</f>
        <v>228.36799999999999</v>
      </c>
      <c r="CB64" s="193">
        <f>(Input!$C$19)*CB34</f>
        <v>245.36</v>
      </c>
      <c r="CC64" s="193">
        <f>(Input!$C$19)*CC34</f>
        <v>262.60000000000002</v>
      </c>
      <c r="CD64" s="193">
        <f>(Input!$C$19)*CD34</f>
        <v>280.01600000000002</v>
      </c>
      <c r="CE64" s="193">
        <f>(Input!$C$19)*CE34</f>
        <v>297.32</v>
      </c>
      <c r="CF64" s="193">
        <f>(Input!$C$19)*CF34</f>
        <v>314.23200000000003</v>
      </c>
      <c r="CG64" s="193">
        <f>(Input!$C$19)*CG34</f>
        <v>330.44000000000005</v>
      </c>
      <c r="CH64" s="193">
        <f>(Input!$C$19)*CH34</f>
        <v>345.66399999999999</v>
      </c>
      <c r="CI64" s="193">
        <f>(Input!$C$19)*CI34</f>
        <v>359.608</v>
      </c>
      <c r="CJ64" s="193">
        <f>(Input!$C$19)*CJ34</f>
        <v>371.98400000000004</v>
      </c>
      <c r="CK64" s="193">
        <f>(Input!$C$19)*CK34</f>
        <v>382.49600000000004</v>
      </c>
      <c r="CL64" s="193">
        <f>(Input!$C$19)*CL34</f>
        <v>390.85599999999999</v>
      </c>
      <c r="CM64" s="193">
        <f>(Input!$C$19)*CM34</f>
        <v>396.76</v>
      </c>
      <c r="CN64" s="193">
        <f>(Input!$C$19)*CN34</f>
        <v>400</v>
      </c>
      <c r="CO64" s="193">
        <f>(Input!$C$19)*CO34</f>
        <v>400</v>
      </c>
      <c r="CP64" s="193">
        <f>(Input!$C$19)*CP34</f>
        <v>400</v>
      </c>
      <c r="CQ64" s="193">
        <f>(Input!$C$19)*CQ34</f>
        <v>400</v>
      </c>
      <c r="CR64" s="193">
        <f>(Input!$C$19)*CR34</f>
        <v>400</v>
      </c>
      <c r="CS64" s="193">
        <f>(Input!$C$19)*CS34</f>
        <v>400</v>
      </c>
      <c r="CT64" s="193">
        <f>(Input!$C$19)*CT34</f>
        <v>400</v>
      </c>
      <c r="CU64" s="193">
        <f>(Input!$C$19)*CU34</f>
        <v>400</v>
      </c>
      <c r="CV64" s="193">
        <f>(Input!$C$19)*CV34</f>
        <v>400</v>
      </c>
      <c r="CW64" s="193">
        <f>(Input!$C$19)*CW34</f>
        <v>400</v>
      </c>
    </row>
    <row r="65" spans="1:101" s="53" customFormat="1" x14ac:dyDescent="0.25">
      <c r="A65" s="192">
        <f t="shared" si="5"/>
        <v>24</v>
      </c>
      <c r="B65" s="193">
        <f>(Input!$C$19)*B35</f>
        <v>0.57599999999999996</v>
      </c>
      <c r="C65" s="193">
        <f>(Input!$C$19)*C35</f>
        <v>0.56799999999999995</v>
      </c>
      <c r="D65" s="193">
        <f>(Input!$C$19)*D35</f>
        <v>0.56799999999999995</v>
      </c>
      <c r="E65" s="193">
        <f>(Input!$C$19)*E35</f>
        <v>0.48799999999999999</v>
      </c>
      <c r="F65" s="193">
        <f>(Input!$C$19)*F35</f>
        <v>0.46399999999999997</v>
      </c>
      <c r="G65" s="193">
        <f>(Input!$C$19)*G35</f>
        <v>0.41600000000000004</v>
      </c>
      <c r="H65" s="193">
        <f>(Input!$C$19)*H35</f>
        <v>0.38400000000000001</v>
      </c>
      <c r="I65" s="193">
        <f>(Input!$C$19)*I35</f>
        <v>0.36800000000000005</v>
      </c>
      <c r="J65" s="193">
        <f>(Input!$C$19)*J35</f>
        <v>0.38400000000000001</v>
      </c>
      <c r="K65" s="193">
        <f>(Input!$C$19)*K35</f>
        <v>0.4</v>
      </c>
      <c r="L65" s="193">
        <f>(Input!$C$19)*L35</f>
        <v>0.45599999999999996</v>
      </c>
      <c r="M65" s="193">
        <f>(Input!$C$19)*M35</f>
        <v>0.52</v>
      </c>
      <c r="N65" s="193">
        <f>(Input!$C$19)*N35</f>
        <v>0.6080000000000001</v>
      </c>
      <c r="O65" s="193">
        <f>(Input!$C$19)*O35</f>
        <v>0.70400000000000007</v>
      </c>
      <c r="P65" s="193">
        <f>(Input!$C$19)*P35</f>
        <v>0.8</v>
      </c>
      <c r="Q65" s="193">
        <f>(Input!$C$19)*Q35</f>
        <v>0.88000000000000012</v>
      </c>
      <c r="R65" s="193">
        <f>(Input!$C$19)*R35</f>
        <v>0.92799999999999994</v>
      </c>
      <c r="S65" s="193">
        <f>(Input!$C$19)*S35</f>
        <v>0.96799999999999997</v>
      </c>
      <c r="T65" s="193">
        <f>(Input!$C$19)*T35</f>
        <v>1.024</v>
      </c>
      <c r="U65" s="193">
        <f>(Input!$C$19)*U35</f>
        <v>1.0720000000000001</v>
      </c>
      <c r="V65" s="193">
        <f>(Input!$C$19)*V35</f>
        <v>1.0960000000000001</v>
      </c>
      <c r="W65" s="193">
        <f>(Input!$C$19)*W35</f>
        <v>1.1199999999999999</v>
      </c>
      <c r="X65" s="193">
        <f>(Input!$C$19)*X35</f>
        <v>1.1359999999999999</v>
      </c>
      <c r="Y65" s="193">
        <f>(Input!$C$19)*Y35</f>
        <v>1.1519999999999999</v>
      </c>
      <c r="Z65" s="193">
        <f>(Input!$C$19)*Z35</f>
        <v>1.1759999999999999</v>
      </c>
      <c r="AA65" s="193">
        <f>(Input!$C$19)*AA35</f>
        <v>1.2480000000000002</v>
      </c>
      <c r="AB65" s="193">
        <f>(Input!$C$19)*AB35</f>
        <v>1.3360000000000001</v>
      </c>
      <c r="AC65" s="193">
        <f>(Input!$C$19)*AC35</f>
        <v>1.4480000000000002</v>
      </c>
      <c r="AD65" s="193">
        <f>(Input!$C$19)*AD35</f>
        <v>1.5760000000000001</v>
      </c>
      <c r="AE65" s="193">
        <f>(Input!$C$19)*AE35</f>
        <v>1.72</v>
      </c>
      <c r="AF65" s="193">
        <f>(Input!$C$19)*AF35</f>
        <v>1.8800000000000001</v>
      </c>
      <c r="AG65" s="193">
        <f>(Input!$C$19)*AG35</f>
        <v>2.056</v>
      </c>
      <c r="AH65" s="193">
        <f>(Input!$C$19)*AH35</f>
        <v>2.2320000000000002</v>
      </c>
      <c r="AI65" s="193">
        <f>(Input!$C$19)*AI35</f>
        <v>2.4079999999999999</v>
      </c>
      <c r="AJ65" s="193">
        <f>(Input!$C$19)*AJ35</f>
        <v>2.5920000000000005</v>
      </c>
      <c r="AK65" s="193">
        <f>(Input!$C$19)*AK35</f>
        <v>2.7920000000000003</v>
      </c>
      <c r="AL65" s="193">
        <f>(Input!$C$19)*AL35</f>
        <v>3.008</v>
      </c>
      <c r="AM65" s="193">
        <f>(Input!$C$19)*AM35</f>
        <v>3.2640000000000002</v>
      </c>
      <c r="AN65" s="193">
        <f>(Input!$C$19)*AN35</f>
        <v>3.5840000000000005</v>
      </c>
      <c r="AO65" s="193">
        <f>(Input!$C$19)*AO35</f>
        <v>3.9280000000000004</v>
      </c>
      <c r="AP65" s="193">
        <f>(Input!$C$19)*AP35</f>
        <v>4.3600000000000003</v>
      </c>
      <c r="AQ65" s="193">
        <f>(Input!$C$19)*AQ35</f>
        <v>4.8640000000000008</v>
      </c>
      <c r="AR65" s="193">
        <f>(Input!$C$19)*AR35</f>
        <v>5.32</v>
      </c>
      <c r="AS65" s="193">
        <f>(Input!$C$19)*AS35</f>
        <v>5.8880000000000008</v>
      </c>
      <c r="AT65" s="193">
        <f>(Input!$C$19)*AT35</f>
        <v>6.5360000000000005</v>
      </c>
      <c r="AU65" s="193">
        <f>(Input!$C$19)*AU35</f>
        <v>7.3040000000000012</v>
      </c>
      <c r="AV65" s="193">
        <f>(Input!$C$19)*AV35</f>
        <v>8.136000000000001</v>
      </c>
      <c r="AW65" s="193">
        <f>(Input!$C$19)*AW35</f>
        <v>9.136000000000001</v>
      </c>
      <c r="AX65" s="193">
        <f>(Input!$C$19)*AX35</f>
        <v>10.256</v>
      </c>
      <c r="AY65" s="193">
        <f>(Input!$C$19)*AY35</f>
        <v>11.544</v>
      </c>
      <c r="AZ65" s="193">
        <f>(Input!$C$19)*AZ35</f>
        <v>13.056000000000001</v>
      </c>
      <c r="BA65" s="193">
        <f>(Input!$C$19)*BA35</f>
        <v>14.624000000000002</v>
      </c>
      <c r="BB65" s="193">
        <f>(Input!$C$19)*BB35</f>
        <v>16.352</v>
      </c>
      <c r="BC65" s="193">
        <f>(Input!$C$19)*BC35</f>
        <v>18.36</v>
      </c>
      <c r="BD65" s="193">
        <f>(Input!$C$19)*BD35</f>
        <v>21.008000000000003</v>
      </c>
      <c r="BE65" s="193">
        <f>(Input!$C$19)*BE35</f>
        <v>23.76</v>
      </c>
      <c r="BF65" s="193">
        <f>(Input!$C$19)*BF35</f>
        <v>27.12</v>
      </c>
      <c r="BG65" s="193">
        <f>(Input!$C$19)*BG35</f>
        <v>30.608000000000001</v>
      </c>
      <c r="BH65" s="193">
        <f>(Input!$C$19)*BH35</f>
        <v>34.688000000000002</v>
      </c>
      <c r="BI65" s="193">
        <f>(Input!$C$19)*BI35</f>
        <v>39.256</v>
      </c>
      <c r="BJ65" s="193">
        <f>(Input!$C$19)*BJ35</f>
        <v>44.504000000000005</v>
      </c>
      <c r="BK65" s="193">
        <f>(Input!$C$19)*BK35</f>
        <v>50.576000000000001</v>
      </c>
      <c r="BL65" s="193">
        <f>(Input!$C$19)*BL35</f>
        <v>57.632000000000005</v>
      </c>
      <c r="BM65" s="193">
        <f>(Input!$C$19)*BM35</f>
        <v>65.808000000000007</v>
      </c>
      <c r="BN65" s="193">
        <f>(Input!$C$19)*BN35</f>
        <v>75.191999999999993</v>
      </c>
      <c r="BO65" s="193">
        <f>(Input!$C$19)*BO35</f>
        <v>85.800000000000011</v>
      </c>
      <c r="BP65" s="193">
        <f>(Input!$C$19)*BP35</f>
        <v>97.288000000000011</v>
      </c>
      <c r="BQ65" s="193">
        <f>(Input!$C$19)*BQ35</f>
        <v>109.52000000000001</v>
      </c>
      <c r="BR65" s="193">
        <f>(Input!$C$19)*BR35</f>
        <v>122.08</v>
      </c>
      <c r="BS65" s="193">
        <f>(Input!$C$19)*BS35</f>
        <v>134.624</v>
      </c>
      <c r="BT65" s="193">
        <f>(Input!$C$19)*BT35</f>
        <v>146.99200000000002</v>
      </c>
      <c r="BU65" s="193">
        <f>(Input!$C$19)*BU35</f>
        <v>158.57600000000002</v>
      </c>
      <c r="BV65" s="193">
        <f>(Input!$C$19)*BV35</f>
        <v>168.86400000000003</v>
      </c>
      <c r="BW65" s="193">
        <f>(Input!$C$19)*BW35</f>
        <v>182.232</v>
      </c>
      <c r="BX65" s="193">
        <f>(Input!$C$19)*BX35</f>
        <v>196.47200000000001</v>
      </c>
      <c r="BY65" s="193">
        <f>(Input!$C$19)*BY35</f>
        <v>211.96</v>
      </c>
      <c r="BZ65" s="193">
        <f>(Input!$C$19)*BZ35</f>
        <v>228.36799999999999</v>
      </c>
      <c r="CA65" s="193">
        <f>(Input!$C$19)*CA35</f>
        <v>245.36</v>
      </c>
      <c r="CB65" s="193">
        <f>(Input!$C$19)*CB35</f>
        <v>262.60000000000002</v>
      </c>
      <c r="CC65" s="193">
        <f>(Input!$C$19)*CC35</f>
        <v>280.01600000000002</v>
      </c>
      <c r="CD65" s="193">
        <f>(Input!$C$19)*CD35</f>
        <v>297.32</v>
      </c>
      <c r="CE65" s="193">
        <f>(Input!$C$19)*CE35</f>
        <v>314.23200000000003</v>
      </c>
      <c r="CF65" s="193">
        <f>(Input!$C$19)*CF35</f>
        <v>330.44000000000005</v>
      </c>
      <c r="CG65" s="193">
        <f>(Input!$C$19)*CG35</f>
        <v>345.66399999999999</v>
      </c>
      <c r="CH65" s="193">
        <f>(Input!$C$19)*CH35</f>
        <v>359.608</v>
      </c>
      <c r="CI65" s="193">
        <f>(Input!$C$19)*CI35</f>
        <v>371.98400000000004</v>
      </c>
      <c r="CJ65" s="193">
        <f>(Input!$C$19)*CJ35</f>
        <v>382.49600000000004</v>
      </c>
      <c r="CK65" s="193">
        <f>(Input!$C$19)*CK35</f>
        <v>390.85599999999999</v>
      </c>
      <c r="CL65" s="193">
        <f>(Input!$C$19)*CL35</f>
        <v>396.76</v>
      </c>
      <c r="CM65" s="193">
        <f>(Input!$C$19)*CM35</f>
        <v>400</v>
      </c>
      <c r="CN65" s="193">
        <f>(Input!$C$19)*CN35</f>
        <v>400</v>
      </c>
      <c r="CO65" s="193">
        <f>(Input!$C$19)*CO35</f>
        <v>400</v>
      </c>
      <c r="CP65" s="193">
        <f>(Input!$C$19)*CP35</f>
        <v>400</v>
      </c>
      <c r="CQ65" s="193">
        <f>(Input!$C$19)*CQ35</f>
        <v>400</v>
      </c>
      <c r="CR65" s="193">
        <f>(Input!$C$19)*CR35</f>
        <v>400</v>
      </c>
      <c r="CS65" s="193">
        <f>(Input!$C$19)*CS35</f>
        <v>400</v>
      </c>
      <c r="CT65" s="193">
        <f>(Input!$C$19)*CT35</f>
        <v>400</v>
      </c>
      <c r="CU65" s="193">
        <f>(Input!$C$19)*CU35</f>
        <v>400</v>
      </c>
      <c r="CV65" s="193">
        <f>(Input!$C$19)*CV35</f>
        <v>400</v>
      </c>
      <c r="CW65" s="193">
        <f>(Input!$C$19)*CW35</f>
        <v>400</v>
      </c>
    </row>
    <row r="66" spans="1:101" s="53" customFormat="1" x14ac:dyDescent="0.25">
      <c r="A66" s="192">
        <f t="shared" si="5"/>
        <v>25</v>
      </c>
      <c r="B66" s="193">
        <f>(Input!$C$19)*B36</f>
        <v>0.56799999999999995</v>
      </c>
      <c r="C66" s="193">
        <f>(Input!$C$19)*C36</f>
        <v>0.56799999999999995</v>
      </c>
      <c r="D66" s="193">
        <f>(Input!$C$19)*D36</f>
        <v>0.48799999999999999</v>
      </c>
      <c r="E66" s="193">
        <f>(Input!$C$19)*E36</f>
        <v>0.46399999999999997</v>
      </c>
      <c r="F66" s="193">
        <f>(Input!$C$19)*F36</f>
        <v>0.41600000000000004</v>
      </c>
      <c r="G66" s="193">
        <f>(Input!$C$19)*G36</f>
        <v>0.38400000000000001</v>
      </c>
      <c r="H66" s="193">
        <f>(Input!$C$19)*H36</f>
        <v>0.36800000000000005</v>
      </c>
      <c r="I66" s="193">
        <f>(Input!$C$19)*I36</f>
        <v>0.38400000000000001</v>
      </c>
      <c r="J66" s="193">
        <f>(Input!$C$19)*J36</f>
        <v>0.4</v>
      </c>
      <c r="K66" s="193">
        <f>(Input!$C$19)*K36</f>
        <v>0.45599999999999996</v>
      </c>
      <c r="L66" s="193">
        <f>(Input!$C$19)*L36</f>
        <v>0.52</v>
      </c>
      <c r="M66" s="193">
        <f>(Input!$C$19)*M36</f>
        <v>0.6080000000000001</v>
      </c>
      <c r="N66" s="193">
        <f>(Input!$C$19)*N36</f>
        <v>0.70400000000000007</v>
      </c>
      <c r="O66" s="193">
        <f>(Input!$C$19)*O36</f>
        <v>0.8</v>
      </c>
      <c r="P66" s="193">
        <f>(Input!$C$19)*P36</f>
        <v>0.88000000000000012</v>
      </c>
      <c r="Q66" s="193">
        <f>(Input!$C$19)*Q36</f>
        <v>0.92799999999999994</v>
      </c>
      <c r="R66" s="193">
        <f>(Input!$C$19)*R36</f>
        <v>0.96799999999999997</v>
      </c>
      <c r="S66" s="193">
        <f>(Input!$C$19)*S36</f>
        <v>1.024</v>
      </c>
      <c r="T66" s="193">
        <f>(Input!$C$19)*T36</f>
        <v>1.0880000000000001</v>
      </c>
      <c r="U66" s="193">
        <f>(Input!$C$19)*U36</f>
        <v>1.1439999999999999</v>
      </c>
      <c r="V66" s="193">
        <f>(Input!$C$19)*V36</f>
        <v>1.1679999999999999</v>
      </c>
      <c r="W66" s="193">
        <f>(Input!$C$19)*W36</f>
        <v>1.2080000000000002</v>
      </c>
      <c r="X66" s="193">
        <f>(Input!$C$19)*X36</f>
        <v>1.2400000000000002</v>
      </c>
      <c r="Y66" s="193">
        <f>(Input!$C$19)*Y36</f>
        <v>1.2800000000000002</v>
      </c>
      <c r="Z66" s="193">
        <f>(Input!$C$19)*Z36</f>
        <v>1.32</v>
      </c>
      <c r="AA66" s="193">
        <f>(Input!$C$19)*AA36</f>
        <v>1.3920000000000001</v>
      </c>
      <c r="AB66" s="193">
        <f>(Input!$C$19)*AB36</f>
        <v>1.4960000000000002</v>
      </c>
      <c r="AC66" s="193">
        <f>(Input!$C$19)*AC36</f>
        <v>1.6160000000000001</v>
      </c>
      <c r="AD66" s="193">
        <f>(Input!$C$19)*AD36</f>
        <v>1.768</v>
      </c>
      <c r="AE66" s="193">
        <f>(Input!$C$19)*AE36</f>
        <v>1.9359999999999999</v>
      </c>
      <c r="AF66" s="193">
        <f>(Input!$C$19)*AF36</f>
        <v>2.1120000000000001</v>
      </c>
      <c r="AG66" s="193">
        <f>(Input!$C$19)*AG36</f>
        <v>2.2960000000000003</v>
      </c>
      <c r="AH66" s="193">
        <f>(Input!$C$19)*AH36</f>
        <v>2.4640000000000004</v>
      </c>
      <c r="AI66" s="193">
        <f>(Input!$C$19)*AI36</f>
        <v>2.6320000000000001</v>
      </c>
      <c r="AJ66" s="193">
        <f>(Input!$C$19)*AJ36</f>
        <v>2.8079999999999998</v>
      </c>
      <c r="AK66" s="193">
        <f>(Input!$C$19)*AK36</f>
        <v>3.008</v>
      </c>
      <c r="AL66" s="193">
        <f>(Input!$C$19)*AL36</f>
        <v>3.2640000000000002</v>
      </c>
      <c r="AM66" s="193">
        <f>(Input!$C$19)*AM36</f>
        <v>3.5840000000000005</v>
      </c>
      <c r="AN66" s="193">
        <f>(Input!$C$19)*AN36</f>
        <v>3.9600000000000004</v>
      </c>
      <c r="AO66" s="193">
        <f>(Input!$C$19)*AO36</f>
        <v>4.4240000000000004</v>
      </c>
      <c r="AP66" s="193">
        <f>(Input!$C$19)*AP36</f>
        <v>4.9280000000000008</v>
      </c>
      <c r="AQ66" s="193">
        <f>(Input!$C$19)*AQ36</f>
        <v>5.4480000000000004</v>
      </c>
      <c r="AR66" s="193">
        <f>(Input!$C$19)*AR36</f>
        <v>5.9920000000000009</v>
      </c>
      <c r="AS66" s="193">
        <f>(Input!$C$19)*AS36</f>
        <v>6.6239999999999997</v>
      </c>
      <c r="AT66" s="193">
        <f>(Input!$C$19)*AT36</f>
        <v>7.3360000000000003</v>
      </c>
      <c r="AU66" s="193">
        <f>(Input!$C$19)*AU36</f>
        <v>8.168000000000001</v>
      </c>
      <c r="AV66" s="193">
        <f>(Input!$C$19)*AV36</f>
        <v>9.1519999999999992</v>
      </c>
      <c r="AW66" s="193">
        <f>(Input!$C$19)*AW36</f>
        <v>10.272</v>
      </c>
      <c r="AX66" s="193">
        <f>(Input!$C$19)*AX36</f>
        <v>11.576000000000001</v>
      </c>
      <c r="AY66" s="193">
        <f>(Input!$C$19)*AY36</f>
        <v>13.072000000000001</v>
      </c>
      <c r="AZ66" s="193">
        <f>(Input!$C$19)*AZ36</f>
        <v>14.840000000000002</v>
      </c>
      <c r="BA66" s="193">
        <f>(Input!$C$19)*BA36</f>
        <v>16.728000000000002</v>
      </c>
      <c r="BB66" s="193">
        <f>(Input!$C$19)*BB36</f>
        <v>18.776</v>
      </c>
      <c r="BC66" s="193">
        <f>(Input!$C$19)*BC36</f>
        <v>21.072000000000003</v>
      </c>
      <c r="BD66" s="193">
        <f>(Input!$C$19)*BD36</f>
        <v>23.824000000000002</v>
      </c>
      <c r="BE66" s="193">
        <f>(Input!$C$19)*BE36</f>
        <v>27.12</v>
      </c>
      <c r="BF66" s="193">
        <f>(Input!$C$19)*BF36</f>
        <v>30.608000000000001</v>
      </c>
      <c r="BG66" s="193">
        <f>(Input!$C$19)*BG36</f>
        <v>34.688000000000002</v>
      </c>
      <c r="BH66" s="193">
        <f>(Input!$C$19)*BH36</f>
        <v>39.256</v>
      </c>
      <c r="BI66" s="193">
        <f>(Input!$C$19)*BI36</f>
        <v>44.504000000000005</v>
      </c>
      <c r="BJ66" s="193">
        <f>(Input!$C$19)*BJ36</f>
        <v>50.576000000000001</v>
      </c>
      <c r="BK66" s="193">
        <f>(Input!$C$19)*BK36</f>
        <v>57.632000000000005</v>
      </c>
      <c r="BL66" s="193">
        <f>(Input!$C$19)*BL36</f>
        <v>65.808000000000007</v>
      </c>
      <c r="BM66" s="193">
        <f>(Input!$C$19)*BM36</f>
        <v>75.191999999999993</v>
      </c>
      <c r="BN66" s="193">
        <f>(Input!$C$19)*BN36</f>
        <v>85.800000000000011</v>
      </c>
      <c r="BO66" s="193">
        <f>(Input!$C$19)*BO36</f>
        <v>97.288000000000011</v>
      </c>
      <c r="BP66" s="193">
        <f>(Input!$C$19)*BP36</f>
        <v>109.52000000000001</v>
      </c>
      <c r="BQ66" s="193">
        <f>(Input!$C$19)*BQ36</f>
        <v>122.08</v>
      </c>
      <c r="BR66" s="193">
        <f>(Input!$C$19)*BR36</f>
        <v>134.624</v>
      </c>
      <c r="BS66" s="193">
        <f>(Input!$C$19)*BS36</f>
        <v>146.99200000000002</v>
      </c>
      <c r="BT66" s="193">
        <f>(Input!$C$19)*BT36</f>
        <v>158.57600000000002</v>
      </c>
      <c r="BU66" s="193">
        <f>(Input!$C$19)*BU36</f>
        <v>168.86400000000003</v>
      </c>
      <c r="BV66" s="193">
        <f>(Input!$C$19)*BV36</f>
        <v>182.232</v>
      </c>
      <c r="BW66" s="193">
        <f>(Input!$C$19)*BW36</f>
        <v>196.47200000000001</v>
      </c>
      <c r="BX66" s="193">
        <f>(Input!$C$19)*BX36</f>
        <v>211.96</v>
      </c>
      <c r="BY66" s="193">
        <f>(Input!$C$19)*BY36</f>
        <v>228.36799999999999</v>
      </c>
      <c r="BZ66" s="193">
        <f>(Input!$C$19)*BZ36</f>
        <v>245.36</v>
      </c>
      <c r="CA66" s="193">
        <f>(Input!$C$19)*CA36</f>
        <v>262.60000000000002</v>
      </c>
      <c r="CB66" s="193">
        <f>(Input!$C$19)*CB36</f>
        <v>280.01600000000002</v>
      </c>
      <c r="CC66" s="193">
        <f>(Input!$C$19)*CC36</f>
        <v>297.32</v>
      </c>
      <c r="CD66" s="193">
        <f>(Input!$C$19)*CD36</f>
        <v>314.23200000000003</v>
      </c>
      <c r="CE66" s="193">
        <f>(Input!$C$19)*CE36</f>
        <v>330.44000000000005</v>
      </c>
      <c r="CF66" s="193">
        <f>(Input!$C$19)*CF36</f>
        <v>345.66399999999999</v>
      </c>
      <c r="CG66" s="193">
        <f>(Input!$C$19)*CG36</f>
        <v>359.608</v>
      </c>
      <c r="CH66" s="193">
        <f>(Input!$C$19)*CH36</f>
        <v>371.98400000000004</v>
      </c>
      <c r="CI66" s="193">
        <f>(Input!$C$19)*CI36</f>
        <v>382.49600000000004</v>
      </c>
      <c r="CJ66" s="193">
        <f>(Input!$C$19)*CJ36</f>
        <v>390.85599999999999</v>
      </c>
      <c r="CK66" s="193">
        <f>(Input!$C$19)*CK36</f>
        <v>396.76</v>
      </c>
      <c r="CL66" s="193">
        <f>(Input!$C$19)*CL36</f>
        <v>400</v>
      </c>
      <c r="CM66" s="193">
        <f>(Input!$C$19)*CM36</f>
        <v>400</v>
      </c>
      <c r="CN66" s="193">
        <f>(Input!$C$19)*CN36</f>
        <v>400</v>
      </c>
      <c r="CO66" s="193">
        <f>(Input!$C$19)*CO36</f>
        <v>400</v>
      </c>
      <c r="CP66" s="193">
        <f>(Input!$C$19)*CP36</f>
        <v>400</v>
      </c>
      <c r="CQ66" s="193">
        <f>(Input!$C$19)*CQ36</f>
        <v>400</v>
      </c>
      <c r="CR66" s="193">
        <f>(Input!$C$19)*CR36</f>
        <v>400</v>
      </c>
      <c r="CS66" s="193">
        <f>(Input!$C$19)*CS36</f>
        <v>400</v>
      </c>
      <c r="CT66" s="193">
        <f>(Input!$C$19)*CT36</f>
        <v>400</v>
      </c>
      <c r="CU66" s="193">
        <f>(Input!$C$19)*CU36</f>
        <v>400</v>
      </c>
      <c r="CV66" s="193">
        <f>(Input!$C$19)*CV36</f>
        <v>400</v>
      </c>
      <c r="CW66" s="193">
        <f>(Input!$C$19)*CW36</f>
        <v>400</v>
      </c>
    </row>
    <row r="67" spans="1:101" s="53" customFormat="1" x14ac:dyDescent="0.25">
      <c r="A67" s="192">
        <v>26</v>
      </c>
      <c r="B67" s="193">
        <f>(Input!$C$19)*B37</f>
        <v>0.56799999999999995</v>
      </c>
      <c r="C67" s="193">
        <f>(Input!$C$19)*C37</f>
        <v>0.48799999999999999</v>
      </c>
      <c r="D67" s="193">
        <f>(Input!$C$19)*D37</f>
        <v>0.46399999999999997</v>
      </c>
      <c r="E67" s="193">
        <f>(Input!$C$19)*E37</f>
        <v>0.41600000000000004</v>
      </c>
      <c r="F67" s="193">
        <f>(Input!$C$19)*F37</f>
        <v>0.38400000000000001</v>
      </c>
      <c r="G67" s="193">
        <f>(Input!$C$19)*G37</f>
        <v>0.36800000000000005</v>
      </c>
      <c r="H67" s="193">
        <f>(Input!$C$19)*H37</f>
        <v>0.38400000000000001</v>
      </c>
      <c r="I67" s="193">
        <f>(Input!$C$19)*I37</f>
        <v>0.4</v>
      </c>
      <c r="J67" s="193">
        <f>(Input!$C$19)*J37</f>
        <v>0.45599999999999996</v>
      </c>
      <c r="K67" s="193">
        <f>(Input!$C$19)*K37</f>
        <v>0.52</v>
      </c>
      <c r="L67" s="193">
        <f>(Input!$C$19)*L37</f>
        <v>0.6080000000000001</v>
      </c>
      <c r="M67" s="193">
        <f>(Input!$C$19)*M37</f>
        <v>0.70400000000000007</v>
      </c>
      <c r="N67" s="193">
        <f>(Input!$C$19)*N37</f>
        <v>0.8</v>
      </c>
      <c r="O67" s="193">
        <f>(Input!$C$19)*O37</f>
        <v>0.88000000000000012</v>
      </c>
      <c r="P67" s="193">
        <f>(Input!$C$19)*P37</f>
        <v>0.92799999999999994</v>
      </c>
      <c r="Q67" s="193">
        <f>(Input!$C$19)*Q37</f>
        <v>0.96799999999999997</v>
      </c>
      <c r="R67" s="193">
        <f>(Input!$C$19)*R37</f>
        <v>1.024</v>
      </c>
      <c r="S67" s="193">
        <f>(Input!$C$19)*S37</f>
        <v>1.0880000000000001</v>
      </c>
      <c r="T67" s="193">
        <f>(Input!$C$19)*T37</f>
        <v>1.1599999999999999</v>
      </c>
      <c r="U67" s="193">
        <f>(Input!$C$19)*U37</f>
        <v>1.2160000000000002</v>
      </c>
      <c r="V67" s="193">
        <f>(Input!$C$19)*V37</f>
        <v>1.2480000000000002</v>
      </c>
      <c r="W67" s="193">
        <f>(Input!$C$19)*W37</f>
        <v>1.2960000000000003</v>
      </c>
      <c r="X67" s="193">
        <f>(Input!$C$19)*X37</f>
        <v>1.3440000000000001</v>
      </c>
      <c r="Y67" s="193">
        <f>(Input!$C$19)*Y37</f>
        <v>1.4000000000000001</v>
      </c>
      <c r="Z67" s="193">
        <f>(Input!$C$19)*Z37</f>
        <v>1.4640000000000002</v>
      </c>
      <c r="AA67" s="193">
        <f>(Input!$C$19)*AA37</f>
        <v>1.536</v>
      </c>
      <c r="AB67" s="193">
        <f>(Input!$C$19)*AB37</f>
        <v>1.6480000000000001</v>
      </c>
      <c r="AC67" s="193">
        <f>(Input!$C$19)*AC37</f>
        <v>1.8</v>
      </c>
      <c r="AD67" s="193">
        <f>(Input!$C$19)*AD37</f>
        <v>1.968</v>
      </c>
      <c r="AE67" s="193">
        <f>(Input!$C$19)*AE37</f>
        <v>2.1520000000000001</v>
      </c>
      <c r="AF67" s="193">
        <f>(Input!$C$19)*AF37</f>
        <v>2.3280000000000003</v>
      </c>
      <c r="AG67" s="193">
        <f>(Input!$C$19)*AG37</f>
        <v>2.4960000000000004</v>
      </c>
      <c r="AH67" s="193">
        <f>(Input!$C$19)*AH37</f>
        <v>2.6560000000000001</v>
      </c>
      <c r="AI67" s="193">
        <f>(Input!$C$19)*AI37</f>
        <v>2.8239999999999998</v>
      </c>
      <c r="AJ67" s="193">
        <f>(Input!$C$19)*AJ37</f>
        <v>3.024</v>
      </c>
      <c r="AK67" s="193">
        <f>(Input!$C$19)*AK37</f>
        <v>3.2640000000000002</v>
      </c>
      <c r="AL67" s="193">
        <f>(Input!$C$19)*AL37</f>
        <v>3.5840000000000005</v>
      </c>
      <c r="AM67" s="193">
        <f>(Input!$C$19)*AM37</f>
        <v>3.9920000000000004</v>
      </c>
      <c r="AN67" s="193">
        <f>(Input!$C$19)*AN37</f>
        <v>4.4479999999999995</v>
      </c>
      <c r="AO67" s="193">
        <f>(Input!$C$19)*AO37</f>
        <v>4.9600000000000009</v>
      </c>
      <c r="AP67" s="193">
        <f>(Input!$C$19)*AP37</f>
        <v>5.5040000000000004</v>
      </c>
      <c r="AQ67" s="193">
        <f>(Input!$C$19)*AQ37</f>
        <v>6.0960000000000001</v>
      </c>
      <c r="AR67" s="193">
        <f>(Input!$C$19)*AR37</f>
        <v>6.7360000000000007</v>
      </c>
      <c r="AS67" s="193">
        <f>(Input!$C$19)*AS37</f>
        <v>7.4400000000000013</v>
      </c>
      <c r="AT67" s="193">
        <f>(Input!$C$19)*AT37</f>
        <v>8.24</v>
      </c>
      <c r="AU67" s="193">
        <f>(Input!$C$19)*AU37</f>
        <v>9.1760000000000002</v>
      </c>
      <c r="AV67" s="193">
        <f>(Input!$C$19)*AV37</f>
        <v>10.288</v>
      </c>
      <c r="AW67" s="193">
        <f>(Input!$C$19)*AW37</f>
        <v>11.616</v>
      </c>
      <c r="AX67" s="193">
        <f>(Input!$C$19)*AX37</f>
        <v>13.168000000000001</v>
      </c>
      <c r="AY67" s="193">
        <f>(Input!$C$19)*AY37</f>
        <v>14.936000000000002</v>
      </c>
      <c r="AZ67" s="193">
        <f>(Input!$C$19)*AZ37</f>
        <v>16.912000000000003</v>
      </c>
      <c r="BA67" s="193">
        <f>(Input!$C$19)*BA37</f>
        <v>19.080000000000002</v>
      </c>
      <c r="BB67" s="193">
        <f>(Input!$C$19)*BB37</f>
        <v>21.463999999999999</v>
      </c>
      <c r="BC67" s="193">
        <f>(Input!$C$19)*BC37</f>
        <v>24.103999999999999</v>
      </c>
      <c r="BD67" s="193">
        <f>(Input!$C$19)*BD37</f>
        <v>27.12</v>
      </c>
      <c r="BE67" s="193">
        <f>(Input!$C$19)*BE37</f>
        <v>30.608000000000001</v>
      </c>
      <c r="BF67" s="193">
        <f>(Input!$C$19)*BF37</f>
        <v>34.688000000000002</v>
      </c>
      <c r="BG67" s="193">
        <f>(Input!$C$19)*BG37</f>
        <v>39.256</v>
      </c>
      <c r="BH67" s="193">
        <f>(Input!$C$19)*BH37</f>
        <v>44.504000000000005</v>
      </c>
      <c r="BI67" s="193">
        <f>(Input!$C$19)*BI37</f>
        <v>50.576000000000001</v>
      </c>
      <c r="BJ67" s="193">
        <f>(Input!$C$19)*BJ37</f>
        <v>57.632000000000005</v>
      </c>
      <c r="BK67" s="193">
        <f>(Input!$C$19)*BK37</f>
        <v>65.808000000000007</v>
      </c>
      <c r="BL67" s="193">
        <f>(Input!$C$19)*BL37</f>
        <v>75.191999999999993</v>
      </c>
      <c r="BM67" s="193">
        <f>(Input!$C$19)*BM37</f>
        <v>85.800000000000011</v>
      </c>
      <c r="BN67" s="193">
        <f>(Input!$C$19)*BN37</f>
        <v>97.288000000000011</v>
      </c>
      <c r="BO67" s="193">
        <f>(Input!$C$19)*BO37</f>
        <v>109.52000000000001</v>
      </c>
      <c r="BP67" s="193">
        <f>(Input!$C$19)*BP37</f>
        <v>122.08</v>
      </c>
      <c r="BQ67" s="193">
        <f>(Input!$C$19)*BQ37</f>
        <v>134.624</v>
      </c>
      <c r="BR67" s="193">
        <f>(Input!$C$19)*BR37</f>
        <v>146.99200000000002</v>
      </c>
      <c r="BS67" s="193">
        <f>(Input!$C$19)*BS37</f>
        <v>158.57600000000002</v>
      </c>
      <c r="BT67" s="193">
        <f>(Input!$C$19)*BT37</f>
        <v>168.86400000000003</v>
      </c>
      <c r="BU67" s="193">
        <f>(Input!$C$19)*BU37</f>
        <v>182.232</v>
      </c>
      <c r="BV67" s="193">
        <f>(Input!$C$19)*BV37</f>
        <v>196.47200000000001</v>
      </c>
      <c r="BW67" s="193">
        <f>(Input!$C$19)*BW37</f>
        <v>211.96</v>
      </c>
      <c r="BX67" s="193">
        <f>(Input!$C$19)*BX37</f>
        <v>228.36799999999999</v>
      </c>
      <c r="BY67" s="193">
        <f>(Input!$C$19)*BY37</f>
        <v>245.36</v>
      </c>
      <c r="BZ67" s="193">
        <f>(Input!$C$19)*BZ37</f>
        <v>262.60000000000002</v>
      </c>
      <c r="CA67" s="193">
        <f>(Input!$C$19)*CA37</f>
        <v>280.01600000000002</v>
      </c>
      <c r="CB67" s="193">
        <f>(Input!$C$19)*CB37</f>
        <v>297.32</v>
      </c>
      <c r="CC67" s="193">
        <f>(Input!$C$19)*CC37</f>
        <v>314.23200000000003</v>
      </c>
      <c r="CD67" s="193">
        <f>(Input!$C$19)*CD37</f>
        <v>330.44000000000005</v>
      </c>
      <c r="CE67" s="193">
        <f>(Input!$C$19)*CE37</f>
        <v>345.66399999999999</v>
      </c>
      <c r="CF67" s="193">
        <f>(Input!$C$19)*CF37</f>
        <v>359.608</v>
      </c>
      <c r="CG67" s="193">
        <f>(Input!$C$19)*CG37</f>
        <v>371.98400000000004</v>
      </c>
      <c r="CH67" s="193">
        <f>(Input!$C$19)*CH37</f>
        <v>382.49600000000004</v>
      </c>
      <c r="CI67" s="193">
        <f>(Input!$C$19)*CI37</f>
        <v>390.85599999999999</v>
      </c>
      <c r="CJ67" s="193">
        <f>(Input!$C$19)*CJ37</f>
        <v>396.76</v>
      </c>
      <c r="CK67" s="193">
        <f>(Input!$C$19)*CK37</f>
        <v>400</v>
      </c>
      <c r="CL67" s="193">
        <f>(Input!$C$19)*CL37</f>
        <v>400</v>
      </c>
      <c r="CM67" s="193">
        <f>(Input!$C$19)*CM37</f>
        <v>400</v>
      </c>
      <c r="CN67" s="193">
        <f>(Input!$C$19)*CN37</f>
        <v>400</v>
      </c>
      <c r="CO67" s="193">
        <f>(Input!$C$19)*CO37</f>
        <v>400</v>
      </c>
      <c r="CP67" s="193">
        <f>(Input!$C$19)*CP37</f>
        <v>400</v>
      </c>
      <c r="CQ67" s="193">
        <f>(Input!$C$19)*CQ37</f>
        <v>400</v>
      </c>
      <c r="CR67" s="193">
        <f>(Input!$C$19)*CR37</f>
        <v>400</v>
      </c>
      <c r="CS67" s="193">
        <f>(Input!$C$19)*CS37</f>
        <v>400</v>
      </c>
      <c r="CT67" s="193">
        <f>(Input!$C$19)*CT37</f>
        <v>400</v>
      </c>
      <c r="CU67" s="193">
        <f>(Input!$C$19)*CU37</f>
        <v>400</v>
      </c>
      <c r="CV67" s="193">
        <f>(Input!$C$19)*CV37</f>
        <v>400</v>
      </c>
      <c r="CW67" s="193">
        <f>(Input!$C$19)*CW37</f>
        <v>400</v>
      </c>
    </row>
    <row r="68" spans="1:101" s="53" customFormat="1" x14ac:dyDescent="0.25"/>
    <row r="69" spans="1:101" s="53" customFormat="1" ht="15.75" x14ac:dyDescent="0.25">
      <c r="A69" s="148" t="s">
        <v>342</v>
      </c>
    </row>
    <row r="70" spans="1:101" s="53" customFormat="1" ht="7.5" customHeight="1" x14ac:dyDescent="0.25"/>
    <row r="71" spans="1:101" x14ac:dyDescent="0.25">
      <c r="A71" s="192" t="s">
        <v>8</v>
      </c>
      <c r="B71" s="192">
        <v>18</v>
      </c>
      <c r="C71" s="192">
        <f t="shared" ref="C71" si="6">B71+1</f>
        <v>19</v>
      </c>
      <c r="D71" s="192">
        <f t="shared" ref="D71" si="7">C71+1</f>
        <v>20</v>
      </c>
      <c r="E71" s="192">
        <f t="shared" ref="E71" si="8">D71+1</f>
        <v>21</v>
      </c>
      <c r="F71" s="192">
        <f t="shared" ref="F71" si="9">E71+1</f>
        <v>22</v>
      </c>
      <c r="G71" s="192">
        <f t="shared" ref="G71" si="10">F71+1</f>
        <v>23</v>
      </c>
      <c r="H71" s="192">
        <f t="shared" ref="H71" si="11">G71+1</f>
        <v>24</v>
      </c>
      <c r="I71" s="192">
        <f t="shared" ref="I71" si="12">H71+1</f>
        <v>25</v>
      </c>
      <c r="J71" s="192">
        <f t="shared" ref="J71" si="13">I71+1</f>
        <v>26</v>
      </c>
      <c r="K71" s="192">
        <f t="shared" ref="K71" si="14">J71+1</f>
        <v>27</v>
      </c>
      <c r="L71" s="192">
        <f t="shared" ref="L71" si="15">K71+1</f>
        <v>28</v>
      </c>
      <c r="M71" s="192">
        <f t="shared" ref="M71" si="16">L71+1</f>
        <v>29</v>
      </c>
      <c r="N71" s="192">
        <f t="shared" ref="N71" si="17">M71+1</f>
        <v>30</v>
      </c>
      <c r="O71" s="192">
        <f t="shared" ref="O71" si="18">N71+1</f>
        <v>31</v>
      </c>
      <c r="P71" s="192">
        <f t="shared" ref="P71" si="19">O71+1</f>
        <v>32</v>
      </c>
      <c r="Q71" s="192">
        <f t="shared" ref="Q71" si="20">P71+1</f>
        <v>33</v>
      </c>
      <c r="R71" s="192">
        <f t="shared" ref="R71" si="21">Q71+1</f>
        <v>34</v>
      </c>
      <c r="S71" s="192">
        <f t="shared" ref="S71" si="22">R71+1</f>
        <v>35</v>
      </c>
      <c r="T71" s="192">
        <f t="shared" ref="T71" si="23">S71+1</f>
        <v>36</v>
      </c>
      <c r="U71" s="192">
        <f t="shared" ref="U71" si="24">T71+1</f>
        <v>37</v>
      </c>
      <c r="V71" s="192">
        <f t="shared" ref="V71" si="25">U71+1</f>
        <v>38</v>
      </c>
      <c r="W71" s="192">
        <f t="shared" ref="W71" si="26">V71+1</f>
        <v>39</v>
      </c>
      <c r="X71" s="192">
        <f t="shared" ref="X71" si="27">W71+1</f>
        <v>40</v>
      </c>
      <c r="Y71" s="192">
        <f t="shared" ref="Y71" si="28">X71+1</f>
        <v>41</v>
      </c>
      <c r="Z71" s="192">
        <f t="shared" ref="Z71" si="29">Y71+1</f>
        <v>42</v>
      </c>
      <c r="AA71" s="192">
        <f t="shared" ref="AA71" si="30">Z71+1</f>
        <v>43</v>
      </c>
      <c r="AB71" s="192">
        <f t="shared" ref="AB71" si="31">AA71+1</f>
        <v>44</v>
      </c>
      <c r="AC71" s="192">
        <f t="shared" ref="AC71" si="32">AB71+1</f>
        <v>45</v>
      </c>
      <c r="AD71" s="192">
        <f t="shared" ref="AD71" si="33">AC71+1</f>
        <v>46</v>
      </c>
      <c r="AE71" s="192">
        <f t="shared" ref="AE71" si="34">AD71+1</f>
        <v>47</v>
      </c>
      <c r="AF71" s="192">
        <f t="shared" ref="AF71" si="35">AE71+1</f>
        <v>48</v>
      </c>
      <c r="AG71" s="192">
        <f t="shared" ref="AG71" si="36">AF71+1</f>
        <v>49</v>
      </c>
      <c r="AH71" s="192">
        <f t="shared" ref="AH71" si="37">AG71+1</f>
        <v>50</v>
      </c>
      <c r="AI71" s="192">
        <f t="shared" ref="AI71" si="38">AH71+1</f>
        <v>51</v>
      </c>
      <c r="AJ71" s="192">
        <f t="shared" ref="AJ71" si="39">AI71+1</f>
        <v>52</v>
      </c>
      <c r="AK71" s="192">
        <f t="shared" ref="AK71" si="40">AJ71+1</f>
        <v>53</v>
      </c>
      <c r="AL71" s="192">
        <f t="shared" ref="AL71" si="41">AK71+1</f>
        <v>54</v>
      </c>
      <c r="AM71" s="192">
        <f t="shared" ref="AM71" si="42">AL71+1</f>
        <v>55</v>
      </c>
      <c r="AN71" s="192">
        <f t="shared" ref="AN71" si="43">AM71+1</f>
        <v>56</v>
      </c>
      <c r="AO71" s="192">
        <f t="shared" ref="AO71" si="44">AN71+1</f>
        <v>57</v>
      </c>
      <c r="AP71" s="192">
        <f t="shared" ref="AP71" si="45">AO71+1</f>
        <v>58</v>
      </c>
      <c r="AQ71" s="192">
        <f t="shared" ref="AQ71" si="46">AP71+1</f>
        <v>59</v>
      </c>
      <c r="AR71" s="192">
        <f t="shared" ref="AR71" si="47">AQ71+1</f>
        <v>60</v>
      </c>
      <c r="AS71" s="192">
        <f t="shared" ref="AS71" si="48">AR71+1</f>
        <v>61</v>
      </c>
      <c r="AT71" s="192">
        <f t="shared" ref="AT71" si="49">AS71+1</f>
        <v>62</v>
      </c>
      <c r="AU71" s="192">
        <f t="shared" ref="AU71" si="50">AT71+1</f>
        <v>63</v>
      </c>
      <c r="AV71" s="192">
        <f t="shared" ref="AV71" si="51">AU71+1</f>
        <v>64</v>
      </c>
      <c r="AW71" s="192">
        <f t="shared" ref="AW71" si="52">AV71+1</f>
        <v>65</v>
      </c>
      <c r="AX71" s="192">
        <f t="shared" ref="AX71" si="53">AW71+1</f>
        <v>66</v>
      </c>
      <c r="AY71" s="192">
        <f t="shared" ref="AY71" si="54">AX71+1</f>
        <v>67</v>
      </c>
      <c r="AZ71" s="192">
        <f t="shared" ref="AZ71" si="55">AY71+1</f>
        <v>68</v>
      </c>
      <c r="BA71" s="192">
        <f t="shared" ref="BA71" si="56">AZ71+1</f>
        <v>69</v>
      </c>
      <c r="BB71" s="192">
        <f t="shared" ref="BB71" si="57">BA71+1</f>
        <v>70</v>
      </c>
      <c r="BC71" s="192">
        <f t="shared" ref="BC71" si="58">BB71+1</f>
        <v>71</v>
      </c>
      <c r="BD71" s="192">
        <f t="shared" ref="BD71" si="59">BC71+1</f>
        <v>72</v>
      </c>
      <c r="BE71" s="192">
        <f t="shared" ref="BE71" si="60">BD71+1</f>
        <v>73</v>
      </c>
      <c r="BF71" s="192">
        <f t="shared" ref="BF71" si="61">BE71+1</f>
        <v>74</v>
      </c>
      <c r="BG71" s="192">
        <f t="shared" ref="BG71" si="62">BF71+1</f>
        <v>75</v>
      </c>
      <c r="BH71" s="192">
        <f t="shared" ref="BH71" si="63">BG71+1</f>
        <v>76</v>
      </c>
      <c r="BI71" s="192">
        <f t="shared" ref="BI71" si="64">BH71+1</f>
        <v>77</v>
      </c>
      <c r="BJ71" s="192">
        <f t="shared" ref="BJ71" si="65">BI71+1</f>
        <v>78</v>
      </c>
      <c r="BK71" s="192">
        <f t="shared" ref="BK71" si="66">BJ71+1</f>
        <v>79</v>
      </c>
      <c r="BL71" s="192">
        <f t="shared" ref="BL71" si="67">BK71+1</f>
        <v>80</v>
      </c>
      <c r="BM71" s="192">
        <f t="shared" ref="BM71" si="68">BL71+1</f>
        <v>81</v>
      </c>
      <c r="BN71" s="192">
        <f t="shared" ref="BN71" si="69">BM71+1</f>
        <v>82</v>
      </c>
      <c r="BO71" s="192">
        <f t="shared" ref="BO71" si="70">BN71+1</f>
        <v>83</v>
      </c>
      <c r="BP71" s="192">
        <f t="shared" ref="BP71" si="71">BO71+1</f>
        <v>84</v>
      </c>
      <c r="BQ71" s="192">
        <f t="shared" ref="BQ71" si="72">BP71+1</f>
        <v>85</v>
      </c>
      <c r="BR71" s="192">
        <f t="shared" ref="BR71" si="73">BQ71+1</f>
        <v>86</v>
      </c>
      <c r="BS71" s="192">
        <f t="shared" ref="BS71" si="74">BR71+1</f>
        <v>87</v>
      </c>
      <c r="BT71" s="192">
        <f t="shared" ref="BT71" si="75">BS71+1</f>
        <v>88</v>
      </c>
      <c r="BU71" s="192">
        <f t="shared" ref="BU71" si="76">BT71+1</f>
        <v>89</v>
      </c>
      <c r="BV71" s="192">
        <f t="shared" ref="BV71" si="77">BU71+1</f>
        <v>90</v>
      </c>
      <c r="BW71" s="192">
        <f t="shared" ref="BW71" si="78">BV71+1</f>
        <v>91</v>
      </c>
      <c r="BX71" s="192">
        <f t="shared" ref="BX71" si="79">BW71+1</f>
        <v>92</v>
      </c>
      <c r="BY71" s="192">
        <f t="shared" ref="BY71" si="80">BX71+1</f>
        <v>93</v>
      </c>
      <c r="BZ71" s="192">
        <f t="shared" ref="BZ71" si="81">BY71+1</f>
        <v>94</v>
      </c>
      <c r="CA71" s="192">
        <f t="shared" ref="CA71" si="82">BZ71+1</f>
        <v>95</v>
      </c>
    </row>
    <row r="72" spans="1:101" x14ac:dyDescent="0.25">
      <c r="A72" s="192">
        <v>1</v>
      </c>
      <c r="B72" s="193">
        <v>0.83</v>
      </c>
      <c r="C72" s="193">
        <v>0.77</v>
      </c>
      <c r="D72" s="193">
        <v>0.66</v>
      </c>
      <c r="E72" s="193">
        <v>0.56000000000000005</v>
      </c>
      <c r="F72" s="193">
        <v>0.53</v>
      </c>
      <c r="G72" s="193">
        <v>0.45</v>
      </c>
      <c r="H72" s="193">
        <v>0.38</v>
      </c>
      <c r="I72" s="193">
        <v>0.33</v>
      </c>
      <c r="J72" s="193">
        <v>0.28000000000000003</v>
      </c>
      <c r="K72" s="193">
        <v>0.25</v>
      </c>
      <c r="L72" s="193">
        <v>0.22</v>
      </c>
      <c r="M72" s="193">
        <v>0.2</v>
      </c>
      <c r="N72" s="193">
        <v>0.19</v>
      </c>
      <c r="O72" s="193">
        <v>0.16</v>
      </c>
      <c r="P72" s="193">
        <v>0.16</v>
      </c>
      <c r="Q72" s="193">
        <v>0.17</v>
      </c>
      <c r="R72" s="193">
        <v>0.17</v>
      </c>
      <c r="S72" s="193">
        <v>0.18</v>
      </c>
      <c r="T72" s="193">
        <v>0.18</v>
      </c>
      <c r="U72" s="193">
        <v>0.18</v>
      </c>
      <c r="V72" s="193">
        <v>0.18</v>
      </c>
      <c r="W72" s="193">
        <v>0.18</v>
      </c>
      <c r="X72" s="193">
        <v>0.2</v>
      </c>
      <c r="Y72" s="193">
        <v>0.23</v>
      </c>
      <c r="Z72" s="193">
        <v>0.26</v>
      </c>
      <c r="AA72" s="193">
        <v>0.31</v>
      </c>
      <c r="AB72" s="193">
        <v>0.36</v>
      </c>
      <c r="AC72" s="193">
        <v>0.42</v>
      </c>
      <c r="AD72" s="193">
        <v>0.48</v>
      </c>
      <c r="AE72" s="193">
        <v>0.53</v>
      </c>
      <c r="AF72" s="193">
        <v>0.56999999999999995</v>
      </c>
      <c r="AG72" s="193">
        <v>0.6</v>
      </c>
      <c r="AH72" s="193">
        <v>0.61</v>
      </c>
      <c r="AI72" s="193">
        <v>0.61</v>
      </c>
      <c r="AJ72" s="193">
        <v>0.62</v>
      </c>
      <c r="AK72" s="193">
        <v>0.62</v>
      </c>
      <c r="AL72" s="193">
        <v>0.63</v>
      </c>
      <c r="AM72" s="193">
        <v>0.64</v>
      </c>
      <c r="AN72" s="193">
        <v>0.74</v>
      </c>
      <c r="AO72" s="193">
        <v>0.89</v>
      </c>
      <c r="AP72" s="193">
        <v>1.1000000000000001</v>
      </c>
      <c r="AQ72" s="193">
        <v>1.34</v>
      </c>
      <c r="AR72" s="193">
        <v>1.58</v>
      </c>
      <c r="AS72" s="193">
        <v>1.76</v>
      </c>
      <c r="AT72" s="193">
        <v>1.85</v>
      </c>
      <c r="AU72" s="193">
        <v>1.93</v>
      </c>
      <c r="AV72" s="193">
        <v>1.99</v>
      </c>
      <c r="AW72" s="193">
        <v>2.0699999999999998</v>
      </c>
      <c r="AX72" s="193">
        <v>2.17</v>
      </c>
      <c r="AY72" s="193">
        <v>2.2999999999999998</v>
      </c>
      <c r="AZ72" s="193">
        <v>2.4700000000000002</v>
      </c>
      <c r="BA72" s="193">
        <v>2.68</v>
      </c>
      <c r="BB72" s="193">
        <v>2.88</v>
      </c>
      <c r="BC72" s="193">
        <v>3.09</v>
      </c>
      <c r="BD72" s="193">
        <v>3.32</v>
      </c>
      <c r="BE72" s="193">
        <v>3.6</v>
      </c>
      <c r="BF72" s="193">
        <v>3.99</v>
      </c>
      <c r="BG72" s="193">
        <v>4.38</v>
      </c>
      <c r="BH72" s="193">
        <v>4.76</v>
      </c>
      <c r="BI72" s="193">
        <v>4.9400000000000004</v>
      </c>
      <c r="BJ72" s="193">
        <v>5.18</v>
      </c>
      <c r="BK72" s="193">
        <v>5.37</v>
      </c>
      <c r="BL72" s="193">
        <v>5.56</v>
      </c>
      <c r="BM72" s="193">
        <v>6.02</v>
      </c>
      <c r="BN72" s="193">
        <v>6.62</v>
      </c>
      <c r="BO72" s="193">
        <v>7.62</v>
      </c>
      <c r="BP72" s="193">
        <v>8.9700000000000006</v>
      </c>
      <c r="BQ72" s="193">
        <v>10.62</v>
      </c>
      <c r="BR72" s="193">
        <v>12.82</v>
      </c>
      <c r="BS72" s="193">
        <v>15.38</v>
      </c>
      <c r="BT72" s="193">
        <v>17.96</v>
      </c>
      <c r="BU72" s="193">
        <v>20.66</v>
      </c>
      <c r="BV72" s="193">
        <v>23.75</v>
      </c>
      <c r="BW72" s="193">
        <v>30.01</v>
      </c>
      <c r="BX72" s="193">
        <v>42.79</v>
      </c>
      <c r="BY72" s="193">
        <v>63.68</v>
      </c>
      <c r="BZ72" s="193">
        <v>93.88</v>
      </c>
      <c r="CA72" s="193">
        <v>134.13999999999999</v>
      </c>
      <c r="CB72" s="143"/>
      <c r="CC72" s="143"/>
      <c r="CD72" s="143"/>
      <c r="CE72" s="143"/>
    </row>
    <row r="73" spans="1:101" s="53" customFormat="1" x14ac:dyDescent="0.25">
      <c r="A73" s="192">
        <f>A72+1</f>
        <v>2</v>
      </c>
      <c r="B73" s="193">
        <v>0.86</v>
      </c>
      <c r="C73" s="193">
        <v>0.8</v>
      </c>
      <c r="D73" s="193">
        <v>0.68</v>
      </c>
      <c r="E73" s="193">
        <v>0.68</v>
      </c>
      <c r="F73" s="193">
        <v>0.56000000000000005</v>
      </c>
      <c r="G73" s="193">
        <v>0.47</v>
      </c>
      <c r="H73" s="193">
        <v>0.39</v>
      </c>
      <c r="I73" s="193">
        <v>0.35</v>
      </c>
      <c r="J73" s="193">
        <v>0.3</v>
      </c>
      <c r="K73" s="193">
        <v>0.27</v>
      </c>
      <c r="L73" s="193">
        <v>0.24</v>
      </c>
      <c r="M73" s="193">
        <v>0.23</v>
      </c>
      <c r="N73" s="193">
        <v>0.2</v>
      </c>
      <c r="O73" s="193">
        <v>0.18</v>
      </c>
      <c r="P73" s="193">
        <v>0.18</v>
      </c>
      <c r="Q73" s="193">
        <v>0.19</v>
      </c>
      <c r="R73" s="193">
        <v>0.2</v>
      </c>
      <c r="S73" s="193">
        <v>0.21</v>
      </c>
      <c r="T73" s="193">
        <v>0.22</v>
      </c>
      <c r="U73" s="193">
        <v>0.24</v>
      </c>
      <c r="V73" s="193">
        <v>0.27</v>
      </c>
      <c r="W73" s="193">
        <v>0.31</v>
      </c>
      <c r="X73" s="193">
        <v>0.36</v>
      </c>
      <c r="Y73" s="193">
        <v>0.41</v>
      </c>
      <c r="Z73" s="193">
        <v>0.46</v>
      </c>
      <c r="AA73" s="193">
        <v>0.51</v>
      </c>
      <c r="AB73" s="193">
        <v>0.54</v>
      </c>
      <c r="AC73" s="193">
        <v>0.56999999999999995</v>
      </c>
      <c r="AD73" s="193">
        <v>0.6</v>
      </c>
      <c r="AE73" s="193">
        <v>0.62</v>
      </c>
      <c r="AF73" s="193">
        <v>0.66</v>
      </c>
      <c r="AG73" s="193">
        <v>0.71</v>
      </c>
      <c r="AH73" s="193">
        <v>0.79</v>
      </c>
      <c r="AI73" s="193">
        <v>0.9</v>
      </c>
      <c r="AJ73" s="193">
        <v>1.02</v>
      </c>
      <c r="AK73" s="193">
        <v>1.1599999999999999</v>
      </c>
      <c r="AL73" s="193">
        <v>1.28</v>
      </c>
      <c r="AM73" s="193">
        <v>1.36</v>
      </c>
      <c r="AN73" s="193">
        <v>1.42</v>
      </c>
      <c r="AO73" s="193">
        <v>1.46</v>
      </c>
      <c r="AP73" s="193">
        <v>1.52</v>
      </c>
      <c r="AQ73" s="193">
        <v>1.61</v>
      </c>
      <c r="AR73" s="193">
        <v>1.77</v>
      </c>
      <c r="AS73" s="193">
        <v>1.99</v>
      </c>
      <c r="AT73" s="193">
        <v>2.2799999999999998</v>
      </c>
      <c r="AU73" s="193">
        <v>2.62</v>
      </c>
      <c r="AV73" s="193">
        <v>2.96</v>
      </c>
      <c r="AW73" s="193">
        <v>3.34</v>
      </c>
      <c r="AX73" s="193">
        <v>3.7</v>
      </c>
      <c r="AY73" s="193">
        <v>4.03</v>
      </c>
      <c r="AZ73" s="193">
        <v>4.3499999999999996</v>
      </c>
      <c r="BA73" s="193">
        <v>4.6900000000000004</v>
      </c>
      <c r="BB73" s="193">
        <v>4.96</v>
      </c>
      <c r="BC73" s="193">
        <v>5.19</v>
      </c>
      <c r="BD73" s="193">
        <v>5.44</v>
      </c>
      <c r="BE73" s="193">
        <v>5.81</v>
      </c>
      <c r="BF73" s="193">
        <v>6.38</v>
      </c>
      <c r="BG73" s="193">
        <v>7.05</v>
      </c>
      <c r="BH73" s="193">
        <v>7.67</v>
      </c>
      <c r="BI73" s="193">
        <v>7.96</v>
      </c>
      <c r="BJ73" s="193">
        <v>8.35</v>
      </c>
      <c r="BK73" s="193">
        <v>8.6999999999999993</v>
      </c>
      <c r="BL73" s="193">
        <v>9.1</v>
      </c>
      <c r="BM73" s="193">
        <v>9.93</v>
      </c>
      <c r="BN73" s="193">
        <v>11.07</v>
      </c>
      <c r="BO73" s="193">
        <v>12.9</v>
      </c>
      <c r="BP73" s="193">
        <v>15.67</v>
      </c>
      <c r="BQ73" s="193">
        <v>18.91</v>
      </c>
      <c r="BR73" s="193">
        <v>23.29</v>
      </c>
      <c r="BS73" s="193">
        <v>28.61</v>
      </c>
      <c r="BT73" s="193">
        <v>34.54</v>
      </c>
      <c r="BU73" s="193">
        <v>40.42</v>
      </c>
      <c r="BV73" s="193">
        <v>47.29</v>
      </c>
      <c r="BW73" s="193">
        <v>73.92</v>
      </c>
      <c r="BX73" s="193">
        <v>111.15</v>
      </c>
      <c r="BY73" s="193">
        <v>161.13</v>
      </c>
      <c r="BZ73" s="193">
        <v>188.77</v>
      </c>
      <c r="CA73" s="193">
        <v>262.43</v>
      </c>
      <c r="CB73" s="143"/>
      <c r="CC73" s="143"/>
      <c r="CD73" s="143"/>
      <c r="CE73" s="143"/>
    </row>
    <row r="74" spans="1:101" s="53" customFormat="1" x14ac:dyDescent="0.25">
      <c r="A74" s="192">
        <f t="shared" ref="A74:A96" si="83">A73+1</f>
        <v>3</v>
      </c>
      <c r="B74" s="193">
        <v>0.89</v>
      </c>
      <c r="C74" s="193">
        <v>0.82</v>
      </c>
      <c r="D74" s="193">
        <v>0.76</v>
      </c>
      <c r="E74" s="193">
        <v>0.61</v>
      </c>
      <c r="F74" s="193">
        <v>0.51</v>
      </c>
      <c r="G74" s="193">
        <v>0.42</v>
      </c>
      <c r="H74" s="193">
        <v>0.36</v>
      </c>
      <c r="I74" s="193">
        <v>0.31</v>
      </c>
      <c r="J74" s="193">
        <v>0.28000000000000003</v>
      </c>
      <c r="K74" s="193">
        <v>0.26</v>
      </c>
      <c r="L74" s="193">
        <v>0.25</v>
      </c>
      <c r="M74" s="193">
        <v>0.26</v>
      </c>
      <c r="N74" s="193">
        <v>0.26</v>
      </c>
      <c r="O74" s="193">
        <v>0.26</v>
      </c>
      <c r="P74" s="193">
        <v>0.27</v>
      </c>
      <c r="Q74" s="193">
        <v>0.28999999999999998</v>
      </c>
      <c r="R74" s="193">
        <v>0.31</v>
      </c>
      <c r="S74" s="193">
        <v>0.33</v>
      </c>
      <c r="T74" s="193">
        <v>0.36</v>
      </c>
      <c r="U74" s="193">
        <v>0.38</v>
      </c>
      <c r="V74" s="193">
        <v>0.42</v>
      </c>
      <c r="W74" s="193">
        <v>0.46</v>
      </c>
      <c r="X74" s="193">
        <v>0.51</v>
      </c>
      <c r="Y74" s="193">
        <v>0.55000000000000004</v>
      </c>
      <c r="Z74" s="193">
        <v>0.6</v>
      </c>
      <c r="AA74" s="193">
        <v>0.63</v>
      </c>
      <c r="AB74" s="193">
        <v>0.68</v>
      </c>
      <c r="AC74" s="193">
        <v>0.74</v>
      </c>
      <c r="AD74" s="193">
        <v>0.8</v>
      </c>
      <c r="AE74" s="193">
        <v>0.86</v>
      </c>
      <c r="AF74" s="193">
        <v>0.94</v>
      </c>
      <c r="AG74" s="193">
        <v>1.02</v>
      </c>
      <c r="AH74" s="193">
        <v>1.1200000000000001</v>
      </c>
      <c r="AI74" s="193">
        <v>1.24</v>
      </c>
      <c r="AJ74" s="193">
        <v>1.37</v>
      </c>
      <c r="AK74" s="193">
        <v>1.53</v>
      </c>
      <c r="AL74" s="193">
        <v>1.7</v>
      </c>
      <c r="AM74" s="193">
        <v>1.89</v>
      </c>
      <c r="AN74" s="193">
        <v>2.09</v>
      </c>
      <c r="AO74" s="193">
        <v>2.29</v>
      </c>
      <c r="AP74" s="193">
        <v>2.4500000000000002</v>
      </c>
      <c r="AQ74" s="193">
        <v>2.58</v>
      </c>
      <c r="AR74" s="193">
        <v>2.69</v>
      </c>
      <c r="AS74" s="193">
        <v>2.81</v>
      </c>
      <c r="AT74" s="193">
        <v>2.98</v>
      </c>
      <c r="AU74" s="193">
        <v>3.23</v>
      </c>
      <c r="AV74" s="193">
        <v>3.58</v>
      </c>
      <c r="AW74" s="193">
        <v>4.03</v>
      </c>
      <c r="AX74" s="193">
        <v>4.55</v>
      </c>
      <c r="AY74" s="193">
        <v>5.12</v>
      </c>
      <c r="AZ74" s="193">
        <v>5.73</v>
      </c>
      <c r="BA74" s="193">
        <v>6.41</v>
      </c>
      <c r="BB74" s="193">
        <v>7.04</v>
      </c>
      <c r="BC74" s="193">
        <v>7.63</v>
      </c>
      <c r="BD74" s="193">
        <v>8.27</v>
      </c>
      <c r="BE74" s="193">
        <v>9.06</v>
      </c>
      <c r="BF74" s="193">
        <v>10.130000000000001</v>
      </c>
      <c r="BG74" s="193">
        <v>11.34</v>
      </c>
      <c r="BH74" s="193">
        <v>12.56</v>
      </c>
      <c r="BI74" s="193">
        <v>13.19</v>
      </c>
      <c r="BJ74" s="193">
        <v>14.03</v>
      </c>
      <c r="BK74" s="193">
        <v>14.89</v>
      </c>
      <c r="BL74" s="193">
        <v>15.79</v>
      </c>
      <c r="BM74" s="193">
        <v>17.79</v>
      </c>
      <c r="BN74" s="193">
        <v>20.3</v>
      </c>
      <c r="BO74" s="193">
        <v>24.2</v>
      </c>
      <c r="BP74" s="193">
        <v>30.34</v>
      </c>
      <c r="BQ74" s="193">
        <v>37.369999999999997</v>
      </c>
      <c r="BR74" s="193">
        <v>47.06</v>
      </c>
      <c r="BS74" s="193">
        <v>58.98</v>
      </c>
      <c r="BT74" s="193">
        <v>72.63</v>
      </c>
      <c r="BU74" s="193">
        <v>87.62</v>
      </c>
      <c r="BV74" s="193">
        <v>105.04</v>
      </c>
      <c r="BW74" s="193">
        <v>158.62</v>
      </c>
      <c r="BX74" s="193">
        <v>228.36</v>
      </c>
      <c r="BY74" s="193">
        <v>243.4</v>
      </c>
      <c r="BZ74" s="193">
        <v>262.43</v>
      </c>
      <c r="CA74" s="193">
        <v>282.69</v>
      </c>
      <c r="CB74" s="143"/>
      <c r="CC74" s="143"/>
      <c r="CD74" s="143"/>
      <c r="CE74" s="143"/>
    </row>
    <row r="75" spans="1:101" s="53" customFormat="1" x14ac:dyDescent="0.25">
      <c r="A75" s="192">
        <f t="shared" si="83"/>
        <v>4</v>
      </c>
      <c r="B75" s="193">
        <v>0.93</v>
      </c>
      <c r="C75" s="193">
        <v>0.78</v>
      </c>
      <c r="D75" s="193">
        <v>0.73</v>
      </c>
      <c r="E75" s="193">
        <v>0.57999999999999996</v>
      </c>
      <c r="F75" s="193">
        <v>0.48</v>
      </c>
      <c r="G75" s="193">
        <v>0.4</v>
      </c>
      <c r="H75" s="193">
        <v>0.35</v>
      </c>
      <c r="I75" s="193">
        <v>0.3</v>
      </c>
      <c r="J75" s="193">
        <v>0.28999999999999998</v>
      </c>
      <c r="K75" s="193">
        <v>0.28000000000000003</v>
      </c>
      <c r="L75" s="193">
        <v>0.28999999999999998</v>
      </c>
      <c r="M75" s="193">
        <v>0.3</v>
      </c>
      <c r="N75" s="193">
        <v>0.3</v>
      </c>
      <c r="O75" s="193">
        <v>0.31</v>
      </c>
      <c r="P75" s="193">
        <v>0.32</v>
      </c>
      <c r="Q75" s="193">
        <v>0.34</v>
      </c>
      <c r="R75" s="193">
        <v>0.36</v>
      </c>
      <c r="S75" s="193">
        <v>0.39</v>
      </c>
      <c r="T75" s="193">
        <v>0.42</v>
      </c>
      <c r="U75" s="193">
        <v>0.47</v>
      </c>
      <c r="V75" s="193">
        <v>0.5</v>
      </c>
      <c r="W75" s="193">
        <v>0.55000000000000004</v>
      </c>
      <c r="X75" s="193">
        <v>0.6</v>
      </c>
      <c r="Y75" s="193">
        <v>0.65</v>
      </c>
      <c r="Z75" s="193">
        <v>0.7</v>
      </c>
      <c r="AA75" s="193">
        <v>0.76</v>
      </c>
      <c r="AB75" s="193">
        <v>0.83</v>
      </c>
      <c r="AC75" s="193">
        <v>0.9</v>
      </c>
      <c r="AD75" s="193">
        <v>0.97</v>
      </c>
      <c r="AE75" s="193">
        <v>1.05</v>
      </c>
      <c r="AF75" s="193">
        <v>1.1399999999999999</v>
      </c>
      <c r="AG75" s="193">
        <v>1.24</v>
      </c>
      <c r="AH75" s="193">
        <v>1.35</v>
      </c>
      <c r="AI75" s="193">
        <v>1.49</v>
      </c>
      <c r="AJ75" s="193">
        <v>1.66</v>
      </c>
      <c r="AK75" s="193">
        <v>1.87</v>
      </c>
      <c r="AL75" s="193">
        <v>2.11</v>
      </c>
      <c r="AM75" s="193">
        <v>2.2799999999999998</v>
      </c>
      <c r="AN75" s="193">
        <v>2.4500000000000002</v>
      </c>
      <c r="AO75" s="193">
        <v>2.64</v>
      </c>
      <c r="AP75" s="193">
        <v>2.86</v>
      </c>
      <c r="AQ75" s="193">
        <v>3.1</v>
      </c>
      <c r="AR75" s="193">
        <v>3.2</v>
      </c>
      <c r="AS75" s="193">
        <v>3.34</v>
      </c>
      <c r="AT75" s="193">
        <v>3.56</v>
      </c>
      <c r="AU75" s="193">
        <v>3.94</v>
      </c>
      <c r="AV75" s="193">
        <v>4.43</v>
      </c>
      <c r="AW75" s="193">
        <v>5</v>
      </c>
      <c r="AX75" s="193">
        <v>5.65</v>
      </c>
      <c r="AY75" s="193">
        <v>6.38</v>
      </c>
      <c r="AZ75" s="193">
        <v>7.2</v>
      </c>
      <c r="BA75" s="193">
        <v>8.1300000000000008</v>
      </c>
      <c r="BB75" s="193">
        <v>9</v>
      </c>
      <c r="BC75" s="193">
        <v>9.86</v>
      </c>
      <c r="BD75" s="193">
        <v>10.78</v>
      </c>
      <c r="BE75" s="193">
        <v>11.91</v>
      </c>
      <c r="BF75" s="193">
        <v>13.44</v>
      </c>
      <c r="BG75" s="193">
        <v>15.18</v>
      </c>
      <c r="BH75" s="193">
        <v>17.23</v>
      </c>
      <c r="BI75" s="193">
        <v>18.510000000000002</v>
      </c>
      <c r="BJ75" s="193">
        <v>20.100000000000001</v>
      </c>
      <c r="BK75" s="193">
        <v>21.61</v>
      </c>
      <c r="BL75" s="193">
        <v>23.44</v>
      </c>
      <c r="BM75" s="193">
        <v>26.6</v>
      </c>
      <c r="BN75" s="193">
        <v>30.63</v>
      </c>
      <c r="BO75" s="193">
        <v>36.49</v>
      </c>
      <c r="BP75" s="193">
        <v>46.07</v>
      </c>
      <c r="BQ75" s="193">
        <v>56.84</v>
      </c>
      <c r="BR75" s="193">
        <v>72.36</v>
      </c>
      <c r="BS75" s="193">
        <v>92.52</v>
      </c>
      <c r="BT75" s="193">
        <v>115.76</v>
      </c>
      <c r="BU75" s="193">
        <v>141.78</v>
      </c>
      <c r="BV75" s="193">
        <v>173.77</v>
      </c>
      <c r="BW75" s="193">
        <v>228.36</v>
      </c>
      <c r="BX75" s="193">
        <v>243.4</v>
      </c>
      <c r="BY75" s="193">
        <v>262.43</v>
      </c>
      <c r="BZ75" s="193">
        <v>282.69</v>
      </c>
      <c r="CA75" s="193">
        <v>304.70999999999998</v>
      </c>
      <c r="CB75" s="143"/>
      <c r="CC75" s="143"/>
      <c r="CD75" s="143"/>
      <c r="CE75" s="143"/>
    </row>
    <row r="76" spans="1:101" s="53" customFormat="1" x14ac:dyDescent="0.25">
      <c r="A76" s="192">
        <f t="shared" si="83"/>
        <v>5</v>
      </c>
      <c r="B76" s="193">
        <v>0.89</v>
      </c>
      <c r="C76" s="193">
        <v>0.77</v>
      </c>
      <c r="D76" s="193">
        <v>0.7</v>
      </c>
      <c r="E76" s="193">
        <v>0.56999999999999995</v>
      </c>
      <c r="F76" s="193">
        <v>0.47</v>
      </c>
      <c r="G76" s="193">
        <v>0.4</v>
      </c>
      <c r="H76" s="193">
        <v>0.34</v>
      </c>
      <c r="I76" s="193">
        <v>0.31</v>
      </c>
      <c r="J76" s="193">
        <v>0.28999999999999998</v>
      </c>
      <c r="K76" s="193">
        <v>0.28999999999999998</v>
      </c>
      <c r="L76" s="193">
        <v>0.31</v>
      </c>
      <c r="M76" s="193">
        <v>0.33</v>
      </c>
      <c r="N76" s="193">
        <v>0.33</v>
      </c>
      <c r="O76" s="193">
        <v>0.34</v>
      </c>
      <c r="P76" s="193">
        <v>0.35</v>
      </c>
      <c r="Q76" s="193">
        <v>0.37</v>
      </c>
      <c r="R76" s="193">
        <v>0.4</v>
      </c>
      <c r="S76" s="193">
        <v>0.45</v>
      </c>
      <c r="T76" s="193">
        <v>0.49</v>
      </c>
      <c r="U76" s="193">
        <v>0.55000000000000004</v>
      </c>
      <c r="V76" s="193">
        <v>0.57999999999999996</v>
      </c>
      <c r="W76" s="193">
        <v>0.63</v>
      </c>
      <c r="X76" s="193">
        <v>0.7</v>
      </c>
      <c r="Y76" s="193">
        <v>0.75</v>
      </c>
      <c r="Z76" s="193">
        <v>0.81</v>
      </c>
      <c r="AA76" s="193">
        <v>0.87</v>
      </c>
      <c r="AB76" s="193">
        <v>0.92</v>
      </c>
      <c r="AC76" s="193">
        <v>0.98</v>
      </c>
      <c r="AD76" s="193">
        <v>1.06</v>
      </c>
      <c r="AE76" s="193">
        <v>1.17</v>
      </c>
      <c r="AF76" s="193">
        <v>1.3</v>
      </c>
      <c r="AG76" s="193">
        <v>1.46</v>
      </c>
      <c r="AH76" s="193">
        <v>1.63</v>
      </c>
      <c r="AI76" s="193">
        <v>1.81</v>
      </c>
      <c r="AJ76" s="193">
        <v>1.98</v>
      </c>
      <c r="AK76" s="193">
        <v>2.15</v>
      </c>
      <c r="AL76" s="193">
        <v>2.31</v>
      </c>
      <c r="AM76" s="193">
        <v>2.48</v>
      </c>
      <c r="AN76" s="193">
        <v>2.66</v>
      </c>
      <c r="AO76" s="193">
        <v>2.92</v>
      </c>
      <c r="AP76" s="193">
        <v>3.2</v>
      </c>
      <c r="AQ76" s="193">
        <v>3.45</v>
      </c>
      <c r="AR76" s="193">
        <v>3.8</v>
      </c>
      <c r="AS76" s="193">
        <v>4.1900000000000004</v>
      </c>
      <c r="AT76" s="193">
        <v>4.6399999999999997</v>
      </c>
      <c r="AU76" s="193">
        <v>5.15</v>
      </c>
      <c r="AV76" s="193">
        <v>5.74</v>
      </c>
      <c r="AW76" s="193">
        <v>6.4</v>
      </c>
      <c r="AX76" s="193">
        <v>7.16</v>
      </c>
      <c r="AY76" s="193">
        <v>8.0299999999999994</v>
      </c>
      <c r="AZ76" s="193">
        <v>8.75</v>
      </c>
      <c r="BA76" s="193">
        <v>9.8000000000000007</v>
      </c>
      <c r="BB76" s="193">
        <v>10.72</v>
      </c>
      <c r="BC76" s="193">
        <v>11.53</v>
      </c>
      <c r="BD76" s="193">
        <v>12.55</v>
      </c>
      <c r="BE76" s="193">
        <v>14.38</v>
      </c>
      <c r="BF76" s="193">
        <v>16.28</v>
      </c>
      <c r="BG76" s="193">
        <v>18.53</v>
      </c>
      <c r="BH76" s="193">
        <v>21.29</v>
      </c>
      <c r="BI76" s="193">
        <v>23.43</v>
      </c>
      <c r="BJ76" s="193">
        <v>25.53</v>
      </c>
      <c r="BK76" s="193">
        <v>27.94</v>
      </c>
      <c r="BL76" s="193">
        <v>30.35</v>
      </c>
      <c r="BM76" s="193">
        <v>34.44</v>
      </c>
      <c r="BN76" s="193">
        <v>39.78</v>
      </c>
      <c r="BO76" s="193">
        <v>47.84</v>
      </c>
      <c r="BP76" s="193">
        <v>60.53</v>
      </c>
      <c r="BQ76" s="193">
        <v>75.97</v>
      </c>
      <c r="BR76" s="193">
        <v>98.43</v>
      </c>
      <c r="BS76" s="193">
        <v>127.2</v>
      </c>
      <c r="BT76" s="193">
        <v>160.54</v>
      </c>
      <c r="BU76" s="193">
        <v>195.89</v>
      </c>
      <c r="BV76" s="193">
        <v>228.36</v>
      </c>
      <c r="BW76" s="193">
        <v>243.4</v>
      </c>
      <c r="BX76" s="193">
        <v>262.43</v>
      </c>
      <c r="BY76" s="193">
        <v>282.69</v>
      </c>
      <c r="BZ76" s="193">
        <v>304.70999999999998</v>
      </c>
      <c r="CA76" s="193">
        <v>328</v>
      </c>
      <c r="CB76" s="143"/>
      <c r="CC76" s="143"/>
      <c r="CD76" s="143"/>
      <c r="CE76" s="143"/>
    </row>
    <row r="77" spans="1:101" s="53" customFormat="1" x14ac:dyDescent="0.25">
      <c r="A77" s="192">
        <f t="shared" si="83"/>
        <v>6</v>
      </c>
      <c r="B77" s="193">
        <v>0.86</v>
      </c>
      <c r="C77" s="193">
        <v>0.78</v>
      </c>
      <c r="D77" s="193">
        <v>0.69</v>
      </c>
      <c r="E77" s="193">
        <v>0.56000000000000005</v>
      </c>
      <c r="F77" s="193">
        <v>0.46</v>
      </c>
      <c r="G77" s="193">
        <v>0.39</v>
      </c>
      <c r="H77" s="193">
        <v>0.34</v>
      </c>
      <c r="I77" s="193">
        <v>0.31</v>
      </c>
      <c r="J77" s="193">
        <v>0.3</v>
      </c>
      <c r="K77" s="193">
        <v>0.31</v>
      </c>
      <c r="L77" s="193">
        <v>0.34</v>
      </c>
      <c r="M77" s="193">
        <v>0.37</v>
      </c>
      <c r="N77" s="193">
        <v>0.37</v>
      </c>
      <c r="O77" s="193">
        <v>0.37</v>
      </c>
      <c r="P77" s="193">
        <v>0.38</v>
      </c>
      <c r="Q77" s="193">
        <v>0.42</v>
      </c>
      <c r="R77" s="193">
        <v>0.47</v>
      </c>
      <c r="S77" s="193">
        <v>0.51</v>
      </c>
      <c r="T77" s="193">
        <v>0.56000000000000005</v>
      </c>
      <c r="U77" s="193">
        <v>0.6</v>
      </c>
      <c r="V77" s="193">
        <v>0.67</v>
      </c>
      <c r="W77" s="193">
        <v>0.74</v>
      </c>
      <c r="X77" s="193">
        <v>0.8</v>
      </c>
      <c r="Y77" s="193">
        <v>0.86</v>
      </c>
      <c r="Z77" s="193">
        <v>0.91</v>
      </c>
      <c r="AA77" s="193">
        <v>0.96</v>
      </c>
      <c r="AB77" s="193">
        <v>1.02</v>
      </c>
      <c r="AC77" s="193">
        <v>1.1000000000000001</v>
      </c>
      <c r="AD77" s="193">
        <v>1.21</v>
      </c>
      <c r="AE77" s="193">
        <v>1.36</v>
      </c>
      <c r="AF77" s="193">
        <v>1.54</v>
      </c>
      <c r="AG77" s="193">
        <v>1.73</v>
      </c>
      <c r="AH77" s="193">
        <v>1.91</v>
      </c>
      <c r="AI77" s="193">
        <v>2.06</v>
      </c>
      <c r="AJ77" s="193">
        <v>2.1800000000000002</v>
      </c>
      <c r="AK77" s="193">
        <v>2.33</v>
      </c>
      <c r="AL77" s="193">
        <v>2.5299999999999998</v>
      </c>
      <c r="AM77" s="193">
        <v>2.69</v>
      </c>
      <c r="AN77" s="193">
        <v>2.97</v>
      </c>
      <c r="AO77" s="193">
        <v>3.29</v>
      </c>
      <c r="AP77" s="193">
        <v>3.74</v>
      </c>
      <c r="AQ77" s="193">
        <v>4.24</v>
      </c>
      <c r="AR77" s="193">
        <v>4.78</v>
      </c>
      <c r="AS77" s="193">
        <v>5.29</v>
      </c>
      <c r="AT77" s="193">
        <v>5.78</v>
      </c>
      <c r="AU77" s="193">
        <v>6.28</v>
      </c>
      <c r="AV77" s="193">
        <v>6.81</v>
      </c>
      <c r="AW77" s="193">
        <v>7.43</v>
      </c>
      <c r="AX77" s="193">
        <v>8.18</v>
      </c>
      <c r="AY77" s="193">
        <v>9.07</v>
      </c>
      <c r="AZ77" s="193">
        <v>10.119999999999999</v>
      </c>
      <c r="BA77" s="193">
        <v>11.28</v>
      </c>
      <c r="BB77" s="193">
        <v>12.3</v>
      </c>
      <c r="BC77" s="193">
        <v>13.47</v>
      </c>
      <c r="BD77" s="193">
        <v>15.32</v>
      </c>
      <c r="BE77" s="193">
        <v>17.38</v>
      </c>
      <c r="BF77" s="193">
        <v>19.829999999999998</v>
      </c>
      <c r="BG77" s="193">
        <v>22.83</v>
      </c>
      <c r="BH77" s="193">
        <v>26.34</v>
      </c>
      <c r="BI77" s="193">
        <v>29.06</v>
      </c>
      <c r="BJ77" s="193">
        <v>32.68</v>
      </c>
      <c r="BK77" s="193">
        <v>35.770000000000003</v>
      </c>
      <c r="BL77" s="193">
        <v>38.76</v>
      </c>
      <c r="BM77" s="193">
        <v>44.19</v>
      </c>
      <c r="BN77" s="193">
        <v>50.7</v>
      </c>
      <c r="BO77" s="193">
        <v>61.35</v>
      </c>
      <c r="BP77" s="193">
        <v>79.12</v>
      </c>
      <c r="BQ77" s="193">
        <v>100.98</v>
      </c>
      <c r="BR77" s="193">
        <v>132.44</v>
      </c>
      <c r="BS77" s="193">
        <v>167.92</v>
      </c>
      <c r="BT77" s="193">
        <v>211.49</v>
      </c>
      <c r="BU77" s="193">
        <v>228.36</v>
      </c>
      <c r="BV77" s="193">
        <v>243.4</v>
      </c>
      <c r="BW77" s="193">
        <v>262.43</v>
      </c>
      <c r="BX77" s="193">
        <v>282.69</v>
      </c>
      <c r="BY77" s="193">
        <v>304.70999999999998</v>
      </c>
      <c r="BZ77" s="193">
        <v>328</v>
      </c>
      <c r="CA77" s="193">
        <v>352.09</v>
      </c>
      <c r="CB77" s="143"/>
      <c r="CC77" s="143"/>
      <c r="CD77" s="143"/>
      <c r="CE77" s="143"/>
    </row>
    <row r="78" spans="1:101" s="53" customFormat="1" x14ac:dyDescent="0.25">
      <c r="A78" s="192">
        <f t="shared" si="83"/>
        <v>7</v>
      </c>
      <c r="B78" s="193">
        <v>0.85</v>
      </c>
      <c r="C78" s="193">
        <v>0.78</v>
      </c>
      <c r="D78" s="193">
        <v>0.67</v>
      </c>
      <c r="E78" s="193">
        <v>0.55000000000000004</v>
      </c>
      <c r="F78" s="193">
        <v>0.46</v>
      </c>
      <c r="G78" s="193">
        <v>0.39</v>
      </c>
      <c r="H78" s="193">
        <v>0.35</v>
      </c>
      <c r="I78" s="193">
        <v>0.34</v>
      </c>
      <c r="J78" s="193">
        <v>0.34</v>
      </c>
      <c r="K78" s="193">
        <v>0.36</v>
      </c>
      <c r="L78" s="193">
        <v>0.38</v>
      </c>
      <c r="M78" s="193">
        <v>0.41</v>
      </c>
      <c r="N78" s="193">
        <v>0.41</v>
      </c>
      <c r="O78" s="193">
        <v>0.41</v>
      </c>
      <c r="P78" s="193">
        <v>0.45</v>
      </c>
      <c r="Q78" s="193">
        <v>0.49</v>
      </c>
      <c r="R78" s="193">
        <v>0.54</v>
      </c>
      <c r="S78" s="193">
        <v>0.56999999999999995</v>
      </c>
      <c r="T78" s="193">
        <v>0.64</v>
      </c>
      <c r="U78" s="193">
        <v>0.71</v>
      </c>
      <c r="V78" s="193">
        <v>0.78</v>
      </c>
      <c r="W78" s="193">
        <v>0.83</v>
      </c>
      <c r="X78" s="193">
        <v>0.89</v>
      </c>
      <c r="Y78" s="193">
        <v>0.95</v>
      </c>
      <c r="Z78" s="193">
        <v>1.01</v>
      </c>
      <c r="AA78" s="193">
        <v>1.08</v>
      </c>
      <c r="AB78" s="193">
        <v>1.17</v>
      </c>
      <c r="AC78" s="193">
        <v>1.29</v>
      </c>
      <c r="AD78" s="193">
        <v>1.43</v>
      </c>
      <c r="AE78" s="193">
        <v>1.6</v>
      </c>
      <c r="AF78" s="193">
        <v>1.78</v>
      </c>
      <c r="AG78" s="193">
        <v>1.95</v>
      </c>
      <c r="AH78" s="193">
        <v>2.11</v>
      </c>
      <c r="AI78" s="193">
        <v>2.25</v>
      </c>
      <c r="AJ78" s="193">
        <v>2.39</v>
      </c>
      <c r="AK78" s="193">
        <v>2.61</v>
      </c>
      <c r="AL78" s="193">
        <v>2.87</v>
      </c>
      <c r="AM78" s="193">
        <v>3.13</v>
      </c>
      <c r="AN78" s="193">
        <v>3.55</v>
      </c>
      <c r="AO78" s="193">
        <v>4.0599999999999996</v>
      </c>
      <c r="AP78" s="193">
        <v>4.63</v>
      </c>
      <c r="AQ78" s="193">
        <v>5.21</v>
      </c>
      <c r="AR78" s="193">
        <v>5.76</v>
      </c>
      <c r="AS78" s="193">
        <v>6.27</v>
      </c>
      <c r="AT78" s="193">
        <v>6.76</v>
      </c>
      <c r="AU78" s="193">
        <v>7.3</v>
      </c>
      <c r="AV78" s="193">
        <v>7.91</v>
      </c>
      <c r="AW78" s="193">
        <v>8.65</v>
      </c>
      <c r="AX78" s="193">
        <v>9.5500000000000007</v>
      </c>
      <c r="AY78" s="193">
        <v>10.61</v>
      </c>
      <c r="AZ78" s="193">
        <v>11.84</v>
      </c>
      <c r="BA78" s="193">
        <v>13.21</v>
      </c>
      <c r="BB78" s="193">
        <v>14.57</v>
      </c>
      <c r="BC78" s="193">
        <v>16.59</v>
      </c>
      <c r="BD78" s="193">
        <v>18.68</v>
      </c>
      <c r="BE78" s="193">
        <v>21.13</v>
      </c>
      <c r="BF78" s="193">
        <v>24.36</v>
      </c>
      <c r="BG78" s="193">
        <v>28.16</v>
      </c>
      <c r="BH78" s="193">
        <v>32.57</v>
      </c>
      <c r="BI78" s="193">
        <v>36.33</v>
      </c>
      <c r="BJ78" s="193">
        <v>40.799999999999997</v>
      </c>
      <c r="BK78" s="193">
        <v>45.61</v>
      </c>
      <c r="BL78" s="193">
        <v>50.49</v>
      </c>
      <c r="BM78" s="193">
        <v>58.3</v>
      </c>
      <c r="BN78" s="193">
        <v>68.05</v>
      </c>
      <c r="BO78" s="193">
        <v>83.03</v>
      </c>
      <c r="BP78" s="193">
        <v>106.74</v>
      </c>
      <c r="BQ78" s="193">
        <v>137.78</v>
      </c>
      <c r="BR78" s="193">
        <v>172.31</v>
      </c>
      <c r="BS78" s="193">
        <v>211.49</v>
      </c>
      <c r="BT78" s="193">
        <v>228.36</v>
      </c>
      <c r="BU78" s="193">
        <v>243.4</v>
      </c>
      <c r="BV78" s="193">
        <v>262.43</v>
      </c>
      <c r="BW78" s="193">
        <v>282.69</v>
      </c>
      <c r="BX78" s="193">
        <v>304.70999999999998</v>
      </c>
      <c r="BY78" s="193">
        <v>328</v>
      </c>
      <c r="BZ78" s="193">
        <v>352.09</v>
      </c>
      <c r="CA78" s="193">
        <v>374.47</v>
      </c>
      <c r="CB78" s="143"/>
      <c r="CC78" s="143"/>
      <c r="CD78" s="143"/>
      <c r="CE78" s="143"/>
    </row>
    <row r="79" spans="1:101" s="53" customFormat="1" x14ac:dyDescent="0.25">
      <c r="A79" s="192">
        <f t="shared" si="83"/>
        <v>8</v>
      </c>
      <c r="B79" s="193">
        <v>0.85</v>
      </c>
      <c r="C79" s="193">
        <v>0.72</v>
      </c>
      <c r="D79" s="193">
        <v>0.61</v>
      </c>
      <c r="E79" s="193">
        <v>0.52</v>
      </c>
      <c r="F79" s="193">
        <v>0.44</v>
      </c>
      <c r="G79" s="193">
        <v>0.4</v>
      </c>
      <c r="H79" s="193">
        <v>0.38</v>
      </c>
      <c r="I79" s="193">
        <v>0.38</v>
      </c>
      <c r="J79" s="193">
        <v>0.39</v>
      </c>
      <c r="K79" s="193">
        <v>0.41</v>
      </c>
      <c r="L79" s="193">
        <v>0.43</v>
      </c>
      <c r="M79" s="193">
        <v>0.46</v>
      </c>
      <c r="N79" s="193">
        <v>0.47</v>
      </c>
      <c r="O79" s="193">
        <v>0.48</v>
      </c>
      <c r="P79" s="193">
        <v>0.52</v>
      </c>
      <c r="Q79" s="193">
        <v>0.57999999999999996</v>
      </c>
      <c r="R79" s="193">
        <v>0.64</v>
      </c>
      <c r="S79" s="193">
        <v>0.7</v>
      </c>
      <c r="T79" s="193">
        <v>0.76</v>
      </c>
      <c r="U79" s="193">
        <v>0.81</v>
      </c>
      <c r="V79" s="193">
        <v>0.86</v>
      </c>
      <c r="W79" s="193">
        <v>0.93</v>
      </c>
      <c r="X79" s="193">
        <v>1</v>
      </c>
      <c r="Y79" s="193">
        <v>1.08</v>
      </c>
      <c r="Z79" s="193">
        <v>1.1599999999999999</v>
      </c>
      <c r="AA79" s="193">
        <v>1.26</v>
      </c>
      <c r="AB79" s="193">
        <v>1.38</v>
      </c>
      <c r="AC79" s="193">
        <v>1.51</v>
      </c>
      <c r="AD79" s="193">
        <v>1.65</v>
      </c>
      <c r="AE79" s="193">
        <v>1.81</v>
      </c>
      <c r="AF79" s="193">
        <v>1.98</v>
      </c>
      <c r="AG79" s="193">
        <v>2.15</v>
      </c>
      <c r="AH79" s="193">
        <v>2.34</v>
      </c>
      <c r="AI79" s="193">
        <v>2.54</v>
      </c>
      <c r="AJ79" s="193">
        <v>2.78</v>
      </c>
      <c r="AK79" s="193">
        <v>3.08</v>
      </c>
      <c r="AL79" s="193">
        <v>3.44</v>
      </c>
      <c r="AM79" s="193">
        <v>3.87</v>
      </c>
      <c r="AN79" s="193">
        <v>4.37</v>
      </c>
      <c r="AO79" s="193">
        <v>4.92</v>
      </c>
      <c r="AP79" s="193">
        <v>5.49</v>
      </c>
      <c r="AQ79" s="193">
        <v>6.06</v>
      </c>
      <c r="AR79" s="193">
        <v>6.63</v>
      </c>
      <c r="AS79" s="193">
        <v>7.21</v>
      </c>
      <c r="AT79" s="193">
        <v>7.83</v>
      </c>
      <c r="AU79" s="193">
        <v>8.5399999999999991</v>
      </c>
      <c r="AV79" s="193">
        <v>9.36</v>
      </c>
      <c r="AW79" s="193">
        <v>10.32</v>
      </c>
      <c r="AX79" s="193">
        <v>11.44</v>
      </c>
      <c r="AY79" s="193">
        <v>12.73</v>
      </c>
      <c r="AZ79" s="193">
        <v>14.25</v>
      </c>
      <c r="BA79" s="193">
        <v>15.99</v>
      </c>
      <c r="BB79" s="193">
        <v>18.47</v>
      </c>
      <c r="BC79" s="193">
        <v>20.63</v>
      </c>
      <c r="BD79" s="193">
        <v>22.93</v>
      </c>
      <c r="BE79" s="193">
        <v>25.89</v>
      </c>
      <c r="BF79" s="193">
        <v>29.97</v>
      </c>
      <c r="BG79" s="193">
        <v>34.729999999999997</v>
      </c>
      <c r="BH79" s="193">
        <v>40.590000000000003</v>
      </c>
      <c r="BI79" s="193">
        <v>47.27</v>
      </c>
      <c r="BJ79" s="193">
        <v>54.7</v>
      </c>
      <c r="BK79" s="193">
        <v>60.51</v>
      </c>
      <c r="BL79" s="193">
        <v>66.209999999999994</v>
      </c>
      <c r="BM79" s="193">
        <v>75.42</v>
      </c>
      <c r="BN79" s="193">
        <v>90.85</v>
      </c>
      <c r="BO79" s="193">
        <v>112.59</v>
      </c>
      <c r="BP79" s="193">
        <v>149.07</v>
      </c>
      <c r="BQ79" s="193">
        <v>176.84</v>
      </c>
      <c r="BR79" s="193">
        <v>211.49</v>
      </c>
      <c r="BS79" s="193">
        <v>228.36</v>
      </c>
      <c r="BT79" s="193">
        <v>243.4</v>
      </c>
      <c r="BU79" s="193">
        <v>262.43</v>
      </c>
      <c r="BV79" s="193">
        <v>282.69</v>
      </c>
      <c r="BW79" s="193">
        <v>304.70999999999998</v>
      </c>
      <c r="BX79" s="193">
        <v>328</v>
      </c>
      <c r="BY79" s="193">
        <v>352.09</v>
      </c>
      <c r="BZ79" s="193">
        <v>374.47</v>
      </c>
      <c r="CA79" s="193">
        <v>396.8</v>
      </c>
      <c r="CB79" s="143"/>
      <c r="CC79" s="143"/>
      <c r="CD79" s="143"/>
      <c r="CE79" s="143"/>
    </row>
    <row r="80" spans="1:101" s="53" customFormat="1" x14ac:dyDescent="0.25">
      <c r="A80" s="192">
        <f t="shared" si="83"/>
        <v>9</v>
      </c>
      <c r="B80" s="193">
        <v>0.72</v>
      </c>
      <c r="C80" s="193">
        <v>0.63</v>
      </c>
      <c r="D80" s="193">
        <v>0.54</v>
      </c>
      <c r="E80" s="193">
        <v>0.48</v>
      </c>
      <c r="F80" s="193">
        <v>0.43</v>
      </c>
      <c r="G80" s="193">
        <v>0.41</v>
      </c>
      <c r="H80" s="193">
        <v>0.4</v>
      </c>
      <c r="I80" s="193">
        <v>0.41</v>
      </c>
      <c r="J80" s="193">
        <v>0.42</v>
      </c>
      <c r="K80" s="193">
        <v>0.44</v>
      </c>
      <c r="L80" s="193">
        <v>0.48</v>
      </c>
      <c r="M80" s="193">
        <v>0.52</v>
      </c>
      <c r="N80" s="193">
        <v>0.53</v>
      </c>
      <c r="O80" s="193">
        <v>0.57999999999999996</v>
      </c>
      <c r="P80" s="193">
        <v>0.64</v>
      </c>
      <c r="Q80" s="193">
        <v>0.7</v>
      </c>
      <c r="R80" s="193">
        <v>0.76</v>
      </c>
      <c r="S80" s="193">
        <v>0.8</v>
      </c>
      <c r="T80" s="193">
        <v>0.85</v>
      </c>
      <c r="U80" s="193">
        <v>0.89</v>
      </c>
      <c r="V80" s="193">
        <v>0.96</v>
      </c>
      <c r="W80" s="193">
        <v>1.04</v>
      </c>
      <c r="X80" s="193">
        <v>1.1399999999999999</v>
      </c>
      <c r="Y80" s="193">
        <v>1.25</v>
      </c>
      <c r="Z80" s="193">
        <v>1.36</v>
      </c>
      <c r="AA80" s="193">
        <v>1.47</v>
      </c>
      <c r="AB80" s="193">
        <v>1.59</v>
      </c>
      <c r="AC80" s="193">
        <v>1.71</v>
      </c>
      <c r="AD80" s="193">
        <v>1.85</v>
      </c>
      <c r="AE80" s="193">
        <v>2.02</v>
      </c>
      <c r="AF80" s="193">
        <v>2.21</v>
      </c>
      <c r="AG80" s="193">
        <v>2.4500000000000002</v>
      </c>
      <c r="AH80" s="193">
        <v>2.72</v>
      </c>
      <c r="AI80" s="193">
        <v>3.03</v>
      </c>
      <c r="AJ80" s="193">
        <v>3.38</v>
      </c>
      <c r="AK80" s="193">
        <v>3.76</v>
      </c>
      <c r="AL80" s="193">
        <v>4.18</v>
      </c>
      <c r="AM80" s="193">
        <v>4.63</v>
      </c>
      <c r="AN80" s="193">
        <v>5.13</v>
      </c>
      <c r="AO80" s="193">
        <v>5.68</v>
      </c>
      <c r="AP80" s="193">
        <v>6.28</v>
      </c>
      <c r="AQ80" s="193">
        <v>6.93</v>
      </c>
      <c r="AR80" s="193">
        <v>7.64</v>
      </c>
      <c r="AS80" s="193">
        <v>8.42</v>
      </c>
      <c r="AT80" s="193">
        <v>9.2799999999999994</v>
      </c>
      <c r="AU80" s="193">
        <v>10.220000000000001</v>
      </c>
      <c r="AV80" s="193">
        <v>11.26</v>
      </c>
      <c r="AW80" s="193">
        <v>12.45</v>
      </c>
      <c r="AX80" s="193">
        <v>13.81</v>
      </c>
      <c r="AY80" s="193">
        <v>15.42</v>
      </c>
      <c r="AZ80" s="193">
        <v>17.37</v>
      </c>
      <c r="BA80" s="193">
        <v>20.03</v>
      </c>
      <c r="BB80" s="193">
        <v>22.43</v>
      </c>
      <c r="BC80" s="193">
        <v>25.01</v>
      </c>
      <c r="BD80" s="193">
        <v>28.33</v>
      </c>
      <c r="BE80" s="193">
        <v>32.85</v>
      </c>
      <c r="BF80" s="193">
        <v>38.119999999999997</v>
      </c>
      <c r="BG80" s="193">
        <v>44.61</v>
      </c>
      <c r="BH80" s="193">
        <v>51.97</v>
      </c>
      <c r="BI80" s="193">
        <v>60.11</v>
      </c>
      <c r="BJ80" s="193">
        <v>68.739999999999995</v>
      </c>
      <c r="BK80" s="193">
        <v>76.25</v>
      </c>
      <c r="BL80" s="193">
        <v>84.59</v>
      </c>
      <c r="BM80" s="193">
        <v>99.51</v>
      </c>
      <c r="BN80" s="193">
        <v>119.07</v>
      </c>
      <c r="BO80" s="193">
        <v>151.59</v>
      </c>
      <c r="BP80" s="193">
        <v>193.52</v>
      </c>
      <c r="BQ80" s="193">
        <v>211.49</v>
      </c>
      <c r="BR80" s="193">
        <v>228.36</v>
      </c>
      <c r="BS80" s="193">
        <v>243.4</v>
      </c>
      <c r="BT80" s="193">
        <v>262.43</v>
      </c>
      <c r="BU80" s="193">
        <v>282.69</v>
      </c>
      <c r="BV80" s="193">
        <v>304.70999999999998</v>
      </c>
      <c r="BW80" s="193">
        <v>328</v>
      </c>
      <c r="BX80" s="193">
        <v>352.09</v>
      </c>
      <c r="BY80" s="193">
        <v>374.47</v>
      </c>
      <c r="BZ80" s="193">
        <v>396.8</v>
      </c>
      <c r="CA80" s="193">
        <v>418.66</v>
      </c>
      <c r="CB80" s="143"/>
      <c r="CC80" s="143"/>
      <c r="CD80" s="143"/>
      <c r="CE80" s="143"/>
    </row>
    <row r="81" spans="1:83" s="53" customFormat="1" x14ac:dyDescent="0.25">
      <c r="A81" s="192">
        <f t="shared" si="83"/>
        <v>10</v>
      </c>
      <c r="B81" s="193">
        <v>0.69</v>
      </c>
      <c r="C81" s="193">
        <v>0.55000000000000004</v>
      </c>
      <c r="D81" s="193">
        <v>0.55000000000000004</v>
      </c>
      <c r="E81" s="193">
        <v>0.51</v>
      </c>
      <c r="F81" s="193">
        <v>0.48</v>
      </c>
      <c r="G81" s="193">
        <v>0.47</v>
      </c>
      <c r="H81" s="193">
        <v>0.48</v>
      </c>
      <c r="I81" s="193">
        <v>0.49</v>
      </c>
      <c r="J81" s="193">
        <v>0.51</v>
      </c>
      <c r="K81" s="193">
        <v>0.55000000000000004</v>
      </c>
      <c r="L81" s="193">
        <v>0.6</v>
      </c>
      <c r="M81" s="193">
        <v>0.65</v>
      </c>
      <c r="N81" s="193">
        <v>0.66</v>
      </c>
      <c r="O81" s="193">
        <v>0.69</v>
      </c>
      <c r="P81" s="193">
        <v>0.75</v>
      </c>
      <c r="Q81" s="193">
        <v>0.8</v>
      </c>
      <c r="R81" s="193">
        <v>0.84</v>
      </c>
      <c r="S81" s="193">
        <v>0.88</v>
      </c>
      <c r="T81" s="193">
        <v>0.92</v>
      </c>
      <c r="U81" s="193">
        <v>0.99</v>
      </c>
      <c r="V81" s="193">
        <v>1.08</v>
      </c>
      <c r="W81" s="193">
        <v>1.19</v>
      </c>
      <c r="X81" s="193">
        <v>1.31</v>
      </c>
      <c r="Y81" s="193">
        <v>1.43</v>
      </c>
      <c r="Z81" s="193">
        <v>1.55</v>
      </c>
      <c r="AA81" s="193">
        <v>1.67</v>
      </c>
      <c r="AB81" s="193">
        <v>1.79</v>
      </c>
      <c r="AC81" s="193">
        <v>1.93</v>
      </c>
      <c r="AD81" s="193">
        <v>2.1</v>
      </c>
      <c r="AE81" s="193">
        <v>2.3199999999999998</v>
      </c>
      <c r="AF81" s="193">
        <v>2.58</v>
      </c>
      <c r="AG81" s="193">
        <v>2.89</v>
      </c>
      <c r="AH81" s="193">
        <v>3.23</v>
      </c>
      <c r="AI81" s="193">
        <v>3.6</v>
      </c>
      <c r="AJ81" s="193">
        <v>3.98</v>
      </c>
      <c r="AK81" s="193">
        <v>4.37</v>
      </c>
      <c r="AL81" s="193">
        <v>4.79</v>
      </c>
      <c r="AM81" s="193">
        <v>5.27</v>
      </c>
      <c r="AN81" s="193">
        <v>5.81</v>
      </c>
      <c r="AO81" s="193">
        <v>6.46</v>
      </c>
      <c r="AP81" s="193">
        <v>7.22</v>
      </c>
      <c r="AQ81" s="193">
        <v>8.08</v>
      </c>
      <c r="AR81" s="193">
        <v>9.0399999999999991</v>
      </c>
      <c r="AS81" s="193">
        <v>10.06</v>
      </c>
      <c r="AT81" s="193">
        <v>11.11</v>
      </c>
      <c r="AU81" s="193">
        <v>12.23</v>
      </c>
      <c r="AV81" s="193">
        <v>13.45</v>
      </c>
      <c r="AW81" s="193">
        <v>14.84</v>
      </c>
      <c r="AX81" s="193">
        <v>16.489999999999998</v>
      </c>
      <c r="AY81" s="193">
        <v>18.510000000000002</v>
      </c>
      <c r="AZ81" s="193">
        <v>21.01</v>
      </c>
      <c r="BA81" s="193">
        <v>24.05</v>
      </c>
      <c r="BB81" s="193">
        <v>27.16</v>
      </c>
      <c r="BC81" s="193">
        <v>30.5</v>
      </c>
      <c r="BD81" s="193">
        <v>35.47</v>
      </c>
      <c r="BE81" s="193">
        <v>41.22</v>
      </c>
      <c r="BF81" s="193">
        <v>48.29</v>
      </c>
      <c r="BG81" s="193">
        <v>56.28</v>
      </c>
      <c r="BH81" s="193">
        <v>65.069999999999993</v>
      </c>
      <c r="BI81" s="193">
        <v>74.27</v>
      </c>
      <c r="BJ81" s="193">
        <v>84.72</v>
      </c>
      <c r="BK81" s="193">
        <v>96.56</v>
      </c>
      <c r="BL81" s="193">
        <v>109.95</v>
      </c>
      <c r="BM81" s="193">
        <v>130.19</v>
      </c>
      <c r="BN81" s="193">
        <v>159.52000000000001</v>
      </c>
      <c r="BO81" s="193">
        <v>193.52</v>
      </c>
      <c r="BP81" s="193">
        <v>211.49</v>
      </c>
      <c r="BQ81" s="193">
        <v>228.36</v>
      </c>
      <c r="BR81" s="193">
        <v>243.4</v>
      </c>
      <c r="BS81" s="193">
        <v>262.43</v>
      </c>
      <c r="BT81" s="193">
        <v>282.69</v>
      </c>
      <c r="BU81" s="193">
        <v>304.70999999999998</v>
      </c>
      <c r="BV81" s="193">
        <v>328</v>
      </c>
      <c r="BW81" s="193">
        <v>352.09</v>
      </c>
      <c r="BX81" s="193">
        <v>374.47</v>
      </c>
      <c r="BY81" s="193">
        <v>396.8</v>
      </c>
      <c r="BZ81" s="193">
        <v>418.66</v>
      </c>
      <c r="CA81" s="193">
        <v>439.65</v>
      </c>
      <c r="CB81" s="143"/>
      <c r="CC81" s="143"/>
      <c r="CD81" s="143"/>
      <c r="CE81" s="143"/>
    </row>
    <row r="82" spans="1:83" s="53" customFormat="1" x14ac:dyDescent="0.25">
      <c r="A82" s="192">
        <f t="shared" si="83"/>
        <v>11</v>
      </c>
      <c r="B82" s="193">
        <v>0.63</v>
      </c>
      <c r="C82" s="193">
        <v>0.56999999999999995</v>
      </c>
      <c r="D82" s="193">
        <v>0.53</v>
      </c>
      <c r="E82" s="193">
        <v>0.51</v>
      </c>
      <c r="F82" s="193">
        <v>0.51</v>
      </c>
      <c r="G82" s="193">
        <v>0.51</v>
      </c>
      <c r="H82" s="193">
        <v>0.52</v>
      </c>
      <c r="I82" s="193">
        <v>0.54</v>
      </c>
      <c r="J82" s="193">
        <v>0.57999999999999996</v>
      </c>
      <c r="K82" s="193">
        <v>0.63</v>
      </c>
      <c r="L82" s="193">
        <v>0.68</v>
      </c>
      <c r="M82" s="193">
        <v>0.74</v>
      </c>
      <c r="N82" s="193">
        <v>0.75</v>
      </c>
      <c r="O82" s="193">
        <v>0.77</v>
      </c>
      <c r="P82" s="193">
        <v>0.82</v>
      </c>
      <c r="Q82" s="193">
        <v>0.86</v>
      </c>
      <c r="R82" s="193">
        <v>0.9</v>
      </c>
      <c r="S82" s="193">
        <v>0.93</v>
      </c>
      <c r="T82" s="193">
        <v>1.01</v>
      </c>
      <c r="U82" s="193">
        <v>1.1000000000000001</v>
      </c>
      <c r="V82" s="193">
        <v>1.21</v>
      </c>
      <c r="W82" s="193">
        <v>1.33</v>
      </c>
      <c r="X82" s="193">
        <v>1.46</v>
      </c>
      <c r="Y82" s="193">
        <v>1.59</v>
      </c>
      <c r="Z82" s="193">
        <v>1.72</v>
      </c>
      <c r="AA82" s="193">
        <v>1.86</v>
      </c>
      <c r="AB82" s="193">
        <v>2.0099999999999998</v>
      </c>
      <c r="AC82" s="193">
        <v>2.19</v>
      </c>
      <c r="AD82" s="193">
        <v>2.42</v>
      </c>
      <c r="AE82" s="193">
        <v>2.68</v>
      </c>
      <c r="AF82" s="193">
        <v>2.99</v>
      </c>
      <c r="AG82" s="193">
        <v>3.32</v>
      </c>
      <c r="AH82" s="193">
        <v>3.67</v>
      </c>
      <c r="AI82" s="193">
        <v>4.0199999999999996</v>
      </c>
      <c r="AJ82" s="193">
        <v>4.3899999999999997</v>
      </c>
      <c r="AK82" s="193">
        <v>4.83</v>
      </c>
      <c r="AL82" s="193">
        <v>5.27</v>
      </c>
      <c r="AM82" s="193">
        <v>5.85</v>
      </c>
      <c r="AN82" s="193">
        <v>6.58</v>
      </c>
      <c r="AO82" s="193">
        <v>7.44</v>
      </c>
      <c r="AP82" s="193">
        <v>8.43</v>
      </c>
      <c r="AQ82" s="193">
        <v>9.5299999999999994</v>
      </c>
      <c r="AR82" s="193">
        <v>10.72</v>
      </c>
      <c r="AS82" s="193">
        <v>11.89</v>
      </c>
      <c r="AT82" s="193">
        <v>13.06</v>
      </c>
      <c r="AU82" s="193">
        <v>14.29</v>
      </c>
      <c r="AV82" s="193">
        <v>15.58</v>
      </c>
      <c r="AW82" s="193">
        <v>17.100000000000001</v>
      </c>
      <c r="AX82" s="193">
        <v>18.98</v>
      </c>
      <c r="AY82" s="193">
        <v>21.43</v>
      </c>
      <c r="AZ82" s="193">
        <v>24.47</v>
      </c>
      <c r="BA82" s="193">
        <v>28.35</v>
      </c>
      <c r="BB82" s="193">
        <v>32.72</v>
      </c>
      <c r="BC82" s="193">
        <v>37.56</v>
      </c>
      <c r="BD82" s="193">
        <v>44.25</v>
      </c>
      <c r="BE82" s="193">
        <v>51.94</v>
      </c>
      <c r="BF82" s="193">
        <v>61.74</v>
      </c>
      <c r="BG82" s="193">
        <v>71.5</v>
      </c>
      <c r="BH82" s="193">
        <v>81.680000000000007</v>
      </c>
      <c r="BI82" s="193">
        <v>93.75</v>
      </c>
      <c r="BJ82" s="193">
        <v>109.78</v>
      </c>
      <c r="BK82" s="193">
        <v>126.14</v>
      </c>
      <c r="BL82" s="193">
        <v>145.93</v>
      </c>
      <c r="BM82" s="193">
        <v>166.45</v>
      </c>
      <c r="BN82" s="193">
        <v>193.52</v>
      </c>
      <c r="BO82" s="193">
        <v>211.49</v>
      </c>
      <c r="BP82" s="193">
        <v>228.36</v>
      </c>
      <c r="BQ82" s="193">
        <v>243.4</v>
      </c>
      <c r="BR82" s="193">
        <v>262.43</v>
      </c>
      <c r="BS82" s="193">
        <v>282.69</v>
      </c>
      <c r="BT82" s="193">
        <v>304.70999999999998</v>
      </c>
      <c r="BU82" s="193">
        <v>328</v>
      </c>
      <c r="BV82" s="193">
        <v>352.09</v>
      </c>
      <c r="BW82" s="193">
        <v>374.47</v>
      </c>
      <c r="BX82" s="193">
        <v>396.8</v>
      </c>
      <c r="BY82" s="193">
        <v>418.66</v>
      </c>
      <c r="BZ82" s="193">
        <v>439.65</v>
      </c>
      <c r="CA82" s="193">
        <v>459.36</v>
      </c>
      <c r="CB82" s="143"/>
      <c r="CC82" s="143"/>
      <c r="CD82" s="143"/>
      <c r="CE82" s="143"/>
    </row>
    <row r="83" spans="1:83" s="53" customFormat="1" x14ac:dyDescent="0.25">
      <c r="A83" s="192">
        <f t="shared" si="83"/>
        <v>12</v>
      </c>
      <c r="B83" s="193">
        <v>0.57999999999999996</v>
      </c>
      <c r="C83" s="193">
        <v>0.54</v>
      </c>
      <c r="D83" s="193">
        <v>0.53</v>
      </c>
      <c r="E83" s="193">
        <v>0.53</v>
      </c>
      <c r="F83" s="193">
        <v>0.54</v>
      </c>
      <c r="G83" s="193">
        <v>0.55000000000000004</v>
      </c>
      <c r="H83" s="193">
        <v>0.56999999999999995</v>
      </c>
      <c r="I83" s="193">
        <v>0.61</v>
      </c>
      <c r="J83" s="193">
        <v>0.65</v>
      </c>
      <c r="K83" s="193">
        <v>0.7</v>
      </c>
      <c r="L83" s="193">
        <v>0.76</v>
      </c>
      <c r="M83" s="193">
        <v>0.82</v>
      </c>
      <c r="N83" s="193">
        <v>0.82</v>
      </c>
      <c r="O83" s="193">
        <v>0.84</v>
      </c>
      <c r="P83" s="193">
        <v>0.88</v>
      </c>
      <c r="Q83" s="193">
        <v>0.92</v>
      </c>
      <c r="R83" s="193">
        <v>0.96</v>
      </c>
      <c r="S83" s="193">
        <v>1.03</v>
      </c>
      <c r="T83" s="193">
        <v>1.1200000000000001</v>
      </c>
      <c r="U83" s="193">
        <v>1.23</v>
      </c>
      <c r="V83" s="193">
        <v>1.35</v>
      </c>
      <c r="W83" s="193">
        <v>1.48</v>
      </c>
      <c r="X83" s="193">
        <v>1.62</v>
      </c>
      <c r="Y83" s="193">
        <v>1.76</v>
      </c>
      <c r="Z83" s="193">
        <v>1.92</v>
      </c>
      <c r="AA83" s="193">
        <v>2.09</v>
      </c>
      <c r="AB83" s="193">
        <v>2.29</v>
      </c>
      <c r="AC83" s="193">
        <v>2.52</v>
      </c>
      <c r="AD83" s="193">
        <v>2.78</v>
      </c>
      <c r="AE83" s="193">
        <v>3.08</v>
      </c>
      <c r="AF83" s="193">
        <v>3.4</v>
      </c>
      <c r="AG83" s="193">
        <v>3.72</v>
      </c>
      <c r="AH83" s="193">
        <v>4.04</v>
      </c>
      <c r="AI83" s="193">
        <v>4.4400000000000004</v>
      </c>
      <c r="AJ83" s="193">
        <v>4.8600000000000003</v>
      </c>
      <c r="AK83" s="193">
        <v>5.32</v>
      </c>
      <c r="AL83" s="193">
        <v>5.86</v>
      </c>
      <c r="AM83" s="193">
        <v>6.65</v>
      </c>
      <c r="AN83" s="193">
        <v>7.64</v>
      </c>
      <c r="AO83" s="193">
        <v>8.73</v>
      </c>
      <c r="AP83" s="193">
        <v>9.94</v>
      </c>
      <c r="AQ83" s="193">
        <v>11.11</v>
      </c>
      <c r="AR83" s="193">
        <v>12.5</v>
      </c>
      <c r="AS83" s="193">
        <v>13.76</v>
      </c>
      <c r="AT83" s="193">
        <v>15.02</v>
      </c>
      <c r="AU83" s="193">
        <v>16.399999999999999</v>
      </c>
      <c r="AV83" s="193">
        <v>17.809999999999999</v>
      </c>
      <c r="AW83" s="193">
        <v>19.55</v>
      </c>
      <c r="AX83" s="193">
        <v>21.69</v>
      </c>
      <c r="AY83" s="193">
        <v>24.58</v>
      </c>
      <c r="AZ83" s="193">
        <v>28.53</v>
      </c>
      <c r="BA83" s="193">
        <v>32.9</v>
      </c>
      <c r="BB83" s="193">
        <v>37.909999999999997</v>
      </c>
      <c r="BC83" s="193">
        <v>44.99</v>
      </c>
      <c r="BD83" s="193">
        <v>52.22</v>
      </c>
      <c r="BE83" s="193">
        <v>62.03</v>
      </c>
      <c r="BF83" s="193">
        <v>71.569999999999993</v>
      </c>
      <c r="BG83" s="193">
        <v>82.29</v>
      </c>
      <c r="BH83" s="193">
        <v>94.73</v>
      </c>
      <c r="BI83" s="193">
        <v>112.19</v>
      </c>
      <c r="BJ83" s="193">
        <v>131.66999999999999</v>
      </c>
      <c r="BK83" s="193">
        <v>151.74</v>
      </c>
      <c r="BL83" s="193">
        <v>175.35</v>
      </c>
      <c r="BM83" s="193">
        <v>193.52</v>
      </c>
      <c r="BN83" s="193">
        <v>211.49</v>
      </c>
      <c r="BO83" s="193">
        <v>228.36</v>
      </c>
      <c r="BP83" s="193">
        <v>243.4</v>
      </c>
      <c r="BQ83" s="193">
        <v>262.43</v>
      </c>
      <c r="BR83" s="193">
        <v>282.69</v>
      </c>
      <c r="BS83" s="193">
        <v>304.70999999999998</v>
      </c>
      <c r="BT83" s="193">
        <v>328</v>
      </c>
      <c r="BU83" s="193">
        <v>352.09</v>
      </c>
      <c r="BV83" s="193">
        <v>374.47</v>
      </c>
      <c r="BW83" s="193">
        <v>396.8</v>
      </c>
      <c r="BX83" s="193">
        <v>418.66</v>
      </c>
      <c r="BY83" s="193">
        <v>439.65</v>
      </c>
      <c r="BZ83" s="193">
        <v>459.36</v>
      </c>
      <c r="CA83" s="193">
        <v>477.43</v>
      </c>
      <c r="CB83" s="143"/>
      <c r="CC83" s="143"/>
      <c r="CD83" s="143"/>
      <c r="CE83" s="143"/>
    </row>
    <row r="84" spans="1:83" s="53" customFormat="1" x14ac:dyDescent="0.25">
      <c r="A84" s="192">
        <f t="shared" si="83"/>
        <v>13</v>
      </c>
      <c r="B84" s="193">
        <v>0.55000000000000004</v>
      </c>
      <c r="C84" s="193">
        <v>0.54</v>
      </c>
      <c r="D84" s="193">
        <v>0.54</v>
      </c>
      <c r="E84" s="193">
        <v>0.56000000000000005</v>
      </c>
      <c r="F84" s="193">
        <v>0.57999999999999996</v>
      </c>
      <c r="G84" s="193">
        <v>0.6</v>
      </c>
      <c r="H84" s="193">
        <v>0.63</v>
      </c>
      <c r="I84" s="193">
        <v>0.67</v>
      </c>
      <c r="J84" s="193">
        <v>0.71</v>
      </c>
      <c r="K84" s="193">
        <v>0.76</v>
      </c>
      <c r="L84" s="193">
        <v>0.82</v>
      </c>
      <c r="M84" s="193">
        <v>0.88</v>
      </c>
      <c r="N84" s="193">
        <v>0.88</v>
      </c>
      <c r="O84" s="193">
        <v>0.92</v>
      </c>
      <c r="P84" s="193">
        <v>0.97</v>
      </c>
      <c r="Q84" s="193">
        <v>1.01</v>
      </c>
      <c r="R84" s="193">
        <v>1.08</v>
      </c>
      <c r="S84" s="193">
        <v>1.17</v>
      </c>
      <c r="T84" s="193">
        <v>1.27</v>
      </c>
      <c r="U84" s="193">
        <v>1.38</v>
      </c>
      <c r="V84" s="193">
        <v>1.51</v>
      </c>
      <c r="W84" s="193">
        <v>1.65</v>
      </c>
      <c r="X84" s="193">
        <v>1.81</v>
      </c>
      <c r="Y84" s="193">
        <v>1.98</v>
      </c>
      <c r="Z84" s="193">
        <v>2.17</v>
      </c>
      <c r="AA84" s="193">
        <v>2.39</v>
      </c>
      <c r="AB84" s="193">
        <v>2.63</v>
      </c>
      <c r="AC84" s="193">
        <v>2.9</v>
      </c>
      <c r="AD84" s="193">
        <v>3.19</v>
      </c>
      <c r="AE84" s="193">
        <v>3.5</v>
      </c>
      <c r="AF84" s="193">
        <v>3.83</v>
      </c>
      <c r="AG84" s="193">
        <v>4.1500000000000004</v>
      </c>
      <c r="AH84" s="193">
        <v>4.5</v>
      </c>
      <c r="AI84" s="193">
        <v>4.8899999999999997</v>
      </c>
      <c r="AJ84" s="193">
        <v>5.37</v>
      </c>
      <c r="AK84" s="193">
        <v>5.98</v>
      </c>
      <c r="AL84" s="193">
        <v>6.8</v>
      </c>
      <c r="AM84" s="193">
        <v>7.81</v>
      </c>
      <c r="AN84" s="193">
        <v>8.94</v>
      </c>
      <c r="AO84" s="193">
        <v>10.18</v>
      </c>
      <c r="AP84" s="193">
        <v>11.42</v>
      </c>
      <c r="AQ84" s="193">
        <v>12.76</v>
      </c>
      <c r="AR84" s="193">
        <v>14.26</v>
      </c>
      <c r="AS84" s="193">
        <v>15.64</v>
      </c>
      <c r="AT84" s="193">
        <v>17.09</v>
      </c>
      <c r="AU84" s="193">
        <v>18.77</v>
      </c>
      <c r="AV84" s="193">
        <v>20.56</v>
      </c>
      <c r="AW84" s="193">
        <v>22.71</v>
      </c>
      <c r="AX84" s="193">
        <v>25.29</v>
      </c>
      <c r="AY84" s="193">
        <v>28.72</v>
      </c>
      <c r="AZ84" s="193">
        <v>32.92</v>
      </c>
      <c r="BA84" s="193">
        <v>38.270000000000003</v>
      </c>
      <c r="BB84" s="193">
        <v>44.99</v>
      </c>
      <c r="BC84" s="193">
        <v>52.49</v>
      </c>
      <c r="BD84" s="193">
        <v>62.12</v>
      </c>
      <c r="BE84" s="193">
        <v>71.64</v>
      </c>
      <c r="BF84" s="193">
        <v>82.39</v>
      </c>
      <c r="BG84" s="193">
        <v>95.56</v>
      </c>
      <c r="BH84" s="193">
        <v>113.49</v>
      </c>
      <c r="BI84" s="193">
        <v>133.63999999999999</v>
      </c>
      <c r="BJ84" s="193">
        <v>155.69</v>
      </c>
      <c r="BK84" s="193">
        <v>175.35</v>
      </c>
      <c r="BL84" s="193">
        <v>193.52</v>
      </c>
      <c r="BM84" s="193">
        <v>211.49</v>
      </c>
      <c r="BN84" s="193">
        <v>228.36</v>
      </c>
      <c r="BO84" s="193">
        <v>243.4</v>
      </c>
      <c r="BP84" s="193">
        <v>262.43</v>
      </c>
      <c r="BQ84" s="193">
        <v>282.69</v>
      </c>
      <c r="BR84" s="193">
        <v>304.70999999999998</v>
      </c>
      <c r="BS84" s="193">
        <v>328</v>
      </c>
      <c r="BT84" s="193">
        <v>352.09</v>
      </c>
      <c r="BU84" s="193">
        <v>374.47</v>
      </c>
      <c r="BV84" s="193">
        <v>396.8</v>
      </c>
      <c r="BW84" s="193">
        <v>418.66</v>
      </c>
      <c r="BX84" s="193">
        <v>439.65</v>
      </c>
      <c r="BY84" s="193">
        <v>459.36</v>
      </c>
      <c r="BZ84" s="193">
        <v>477.43</v>
      </c>
      <c r="CA84" s="193">
        <v>503.32</v>
      </c>
      <c r="CB84" s="143"/>
      <c r="CC84" s="143"/>
      <c r="CD84" s="143"/>
      <c r="CE84" s="143"/>
    </row>
    <row r="85" spans="1:83" s="53" customFormat="1" x14ac:dyDescent="0.25">
      <c r="A85" s="192">
        <f t="shared" si="83"/>
        <v>14</v>
      </c>
      <c r="B85" s="193">
        <v>0.56999999999999995</v>
      </c>
      <c r="C85" s="193">
        <v>0.57999999999999996</v>
      </c>
      <c r="D85" s="193">
        <v>0.6</v>
      </c>
      <c r="E85" s="193">
        <v>0.62</v>
      </c>
      <c r="F85" s="193">
        <v>0.64</v>
      </c>
      <c r="G85" s="193">
        <v>0.68</v>
      </c>
      <c r="H85" s="193">
        <v>0.71</v>
      </c>
      <c r="I85" s="193">
        <v>0.74</v>
      </c>
      <c r="J85" s="193">
        <v>0.79</v>
      </c>
      <c r="K85" s="193">
        <v>0.85</v>
      </c>
      <c r="L85" s="193">
        <v>0.92</v>
      </c>
      <c r="M85" s="193">
        <v>0.99</v>
      </c>
      <c r="N85" s="193">
        <v>1</v>
      </c>
      <c r="O85" s="193">
        <v>1.02</v>
      </c>
      <c r="P85" s="193">
        <v>1.07</v>
      </c>
      <c r="Q85" s="193">
        <v>1.1399999999999999</v>
      </c>
      <c r="R85" s="193">
        <v>1.23</v>
      </c>
      <c r="S85" s="193">
        <v>1.32</v>
      </c>
      <c r="T85" s="193">
        <v>1.43</v>
      </c>
      <c r="U85" s="193">
        <v>1.55</v>
      </c>
      <c r="V85" s="193">
        <v>1.68</v>
      </c>
      <c r="W85" s="193">
        <v>1.84</v>
      </c>
      <c r="X85" s="193">
        <v>2.02</v>
      </c>
      <c r="Y85" s="193">
        <v>2.2200000000000002</v>
      </c>
      <c r="Z85" s="193">
        <v>2.44</v>
      </c>
      <c r="AA85" s="193">
        <v>2.7</v>
      </c>
      <c r="AB85" s="193">
        <v>2.98</v>
      </c>
      <c r="AC85" s="193">
        <v>3.29</v>
      </c>
      <c r="AD85" s="193">
        <v>3.62</v>
      </c>
      <c r="AE85" s="193">
        <v>3.97</v>
      </c>
      <c r="AF85" s="193">
        <v>4.34</v>
      </c>
      <c r="AG85" s="193">
        <v>4.71</v>
      </c>
      <c r="AH85" s="193">
        <v>5.12</v>
      </c>
      <c r="AI85" s="193">
        <v>5.6</v>
      </c>
      <c r="AJ85" s="193">
        <v>6.21</v>
      </c>
      <c r="AK85" s="193">
        <v>6.96</v>
      </c>
      <c r="AL85" s="193">
        <v>7.94</v>
      </c>
      <c r="AM85" s="193">
        <v>9.08</v>
      </c>
      <c r="AN85" s="193">
        <v>10.210000000000001</v>
      </c>
      <c r="AO85" s="193">
        <v>11.48</v>
      </c>
      <c r="AP85" s="193">
        <v>12.83</v>
      </c>
      <c r="AQ85" s="193">
        <v>14.46</v>
      </c>
      <c r="AR85" s="193">
        <v>16.04</v>
      </c>
      <c r="AS85" s="193">
        <v>17.73</v>
      </c>
      <c r="AT85" s="193">
        <v>19.59</v>
      </c>
      <c r="AU85" s="193">
        <v>21.76</v>
      </c>
      <c r="AV85" s="193">
        <v>24.02</v>
      </c>
      <c r="AW85" s="193">
        <v>26.67</v>
      </c>
      <c r="AX85" s="193">
        <v>29.76</v>
      </c>
      <c r="AY85" s="193">
        <v>33.770000000000003</v>
      </c>
      <c r="AZ85" s="193">
        <v>38.630000000000003</v>
      </c>
      <c r="BA85" s="193">
        <v>45.13</v>
      </c>
      <c r="BB85" s="193">
        <v>52.77</v>
      </c>
      <c r="BC85" s="193">
        <v>62.79</v>
      </c>
      <c r="BD85" s="193">
        <v>71.709999999999994</v>
      </c>
      <c r="BE85" s="193">
        <v>82.49</v>
      </c>
      <c r="BF85" s="193">
        <v>96.55</v>
      </c>
      <c r="BG85" s="193">
        <v>114.18</v>
      </c>
      <c r="BH85" s="193">
        <v>134.15</v>
      </c>
      <c r="BI85" s="193">
        <v>157.18</v>
      </c>
      <c r="BJ85" s="193">
        <v>175.35</v>
      </c>
      <c r="BK85" s="193">
        <v>193.52</v>
      </c>
      <c r="BL85" s="193">
        <v>211.49</v>
      </c>
      <c r="BM85" s="193">
        <v>228.36</v>
      </c>
      <c r="BN85" s="193">
        <v>243.4</v>
      </c>
      <c r="BO85" s="193">
        <v>262.43</v>
      </c>
      <c r="BP85" s="193">
        <v>282.69</v>
      </c>
      <c r="BQ85" s="193">
        <v>304.70999999999998</v>
      </c>
      <c r="BR85" s="193">
        <v>328</v>
      </c>
      <c r="BS85" s="193">
        <v>352.09</v>
      </c>
      <c r="BT85" s="193">
        <v>374.47</v>
      </c>
      <c r="BU85" s="193">
        <v>396.8</v>
      </c>
      <c r="BV85" s="193">
        <v>418.66</v>
      </c>
      <c r="BW85" s="193">
        <v>439.65</v>
      </c>
      <c r="BX85" s="193">
        <v>459.36</v>
      </c>
      <c r="BY85" s="193">
        <v>477.43</v>
      </c>
      <c r="BZ85" s="193">
        <v>503.32</v>
      </c>
      <c r="CA85" s="193">
        <v>530.61</v>
      </c>
      <c r="CB85" s="143"/>
      <c r="CC85" s="143"/>
      <c r="CD85" s="143"/>
      <c r="CE85" s="143"/>
    </row>
    <row r="86" spans="1:83" s="53" customFormat="1" ht="17.25" customHeight="1" x14ac:dyDescent="0.25">
      <c r="A86" s="192">
        <f t="shared" si="83"/>
        <v>15</v>
      </c>
      <c r="B86" s="193">
        <v>0.59</v>
      </c>
      <c r="C86" s="193">
        <v>0.64</v>
      </c>
      <c r="D86" s="193">
        <v>0.66</v>
      </c>
      <c r="E86" s="193">
        <v>0.68</v>
      </c>
      <c r="F86" s="193">
        <v>0.72</v>
      </c>
      <c r="G86" s="193">
        <v>0.75</v>
      </c>
      <c r="H86" s="193">
        <v>0.78</v>
      </c>
      <c r="I86" s="193">
        <v>0.82</v>
      </c>
      <c r="J86" s="193">
        <v>0.87</v>
      </c>
      <c r="K86" s="193">
        <v>0.95</v>
      </c>
      <c r="L86" s="193">
        <v>1.02</v>
      </c>
      <c r="M86" s="193">
        <v>1.0900000000000001</v>
      </c>
      <c r="N86" s="193">
        <v>1.0900000000000001</v>
      </c>
      <c r="O86" s="193">
        <v>1.1299999999999999</v>
      </c>
      <c r="P86" s="193">
        <v>1.21</v>
      </c>
      <c r="Q86" s="193">
        <v>1.29</v>
      </c>
      <c r="R86" s="193">
        <v>1.38</v>
      </c>
      <c r="S86" s="193">
        <v>1.48</v>
      </c>
      <c r="T86" s="193">
        <v>1.6</v>
      </c>
      <c r="U86" s="193">
        <v>1.72</v>
      </c>
      <c r="V86" s="193">
        <v>1.86</v>
      </c>
      <c r="W86" s="193">
        <v>2.0299999999999998</v>
      </c>
      <c r="X86" s="193">
        <v>2.23</v>
      </c>
      <c r="Y86" s="193">
        <v>2.46</v>
      </c>
      <c r="Z86" s="193">
        <v>2.73</v>
      </c>
      <c r="AA86" s="193">
        <v>3.03</v>
      </c>
      <c r="AB86" s="193">
        <v>3.38</v>
      </c>
      <c r="AC86" s="193">
        <v>3.75</v>
      </c>
      <c r="AD86" s="193">
        <v>4.1399999999999997</v>
      </c>
      <c r="AE86" s="193">
        <v>4.55</v>
      </c>
      <c r="AF86" s="193">
        <v>4.9800000000000004</v>
      </c>
      <c r="AG86" s="193">
        <v>5.41</v>
      </c>
      <c r="AH86" s="193">
        <v>5.9</v>
      </c>
      <c r="AI86" s="193">
        <v>6.47</v>
      </c>
      <c r="AJ86" s="193">
        <v>7.18</v>
      </c>
      <c r="AK86" s="193">
        <v>8.02</v>
      </c>
      <c r="AL86" s="193">
        <v>9.11</v>
      </c>
      <c r="AM86" s="193">
        <v>10.23</v>
      </c>
      <c r="AN86" s="193">
        <v>11.5</v>
      </c>
      <c r="AO86" s="193">
        <v>12.84</v>
      </c>
      <c r="AP86" s="193">
        <v>14.48</v>
      </c>
      <c r="AQ86" s="193">
        <v>16.29</v>
      </c>
      <c r="AR86" s="193">
        <v>18.23</v>
      </c>
      <c r="AS86" s="193">
        <v>20.41</v>
      </c>
      <c r="AT86" s="193">
        <v>22.82</v>
      </c>
      <c r="AU86" s="193">
        <v>25.54</v>
      </c>
      <c r="AV86" s="193">
        <v>28.31</v>
      </c>
      <c r="AW86" s="193">
        <v>31.47</v>
      </c>
      <c r="AX86" s="193">
        <v>35.1</v>
      </c>
      <c r="AY86" s="193">
        <v>39.75</v>
      </c>
      <c r="AZ86" s="193">
        <v>45.28</v>
      </c>
      <c r="BA86" s="193">
        <v>52.85</v>
      </c>
      <c r="BB86" s="193">
        <v>63.46</v>
      </c>
      <c r="BC86" s="193">
        <v>71.959999999999994</v>
      </c>
      <c r="BD86" s="193">
        <v>82.6</v>
      </c>
      <c r="BE86" s="193">
        <v>99.25</v>
      </c>
      <c r="BF86" s="193">
        <v>115.48</v>
      </c>
      <c r="BG86" s="193">
        <v>134.97</v>
      </c>
      <c r="BH86" s="193">
        <v>157.18</v>
      </c>
      <c r="BI86" s="193">
        <v>175.35</v>
      </c>
      <c r="BJ86" s="193">
        <v>193.52</v>
      </c>
      <c r="BK86" s="193">
        <v>211.49</v>
      </c>
      <c r="BL86" s="193">
        <v>228.36</v>
      </c>
      <c r="BM86" s="193">
        <v>243.4</v>
      </c>
      <c r="BN86" s="193">
        <v>262.43</v>
      </c>
      <c r="BO86" s="193">
        <v>282.69</v>
      </c>
      <c r="BP86" s="193">
        <v>304.70999999999998</v>
      </c>
      <c r="BQ86" s="193">
        <v>328</v>
      </c>
      <c r="BR86" s="193">
        <v>352.09</v>
      </c>
      <c r="BS86" s="193">
        <v>374.47</v>
      </c>
      <c r="BT86" s="193">
        <v>396.8</v>
      </c>
      <c r="BU86" s="193">
        <v>418.66</v>
      </c>
      <c r="BV86" s="193">
        <v>439.65</v>
      </c>
      <c r="BW86" s="193">
        <v>459.36</v>
      </c>
      <c r="BX86" s="193">
        <v>477.43</v>
      </c>
      <c r="BY86" s="193">
        <v>503.32</v>
      </c>
      <c r="BZ86" s="193">
        <v>530.61</v>
      </c>
      <c r="CA86" s="193">
        <v>559.39</v>
      </c>
      <c r="CB86" s="143"/>
      <c r="CC86" s="143"/>
      <c r="CD86" s="143"/>
      <c r="CE86" s="143"/>
    </row>
    <row r="87" spans="1:83" s="53" customFormat="1" x14ac:dyDescent="0.25">
      <c r="A87" s="192">
        <f t="shared" si="83"/>
        <v>16</v>
      </c>
      <c r="B87" s="193">
        <v>0.67</v>
      </c>
      <c r="C87" s="193">
        <v>0.7</v>
      </c>
      <c r="D87" s="193">
        <v>0.72</v>
      </c>
      <c r="E87" s="193">
        <v>0.75</v>
      </c>
      <c r="F87" s="193">
        <v>0.77</v>
      </c>
      <c r="G87" s="193">
        <v>0.8</v>
      </c>
      <c r="H87" s="193">
        <v>0.84</v>
      </c>
      <c r="I87" s="193">
        <v>0.89</v>
      </c>
      <c r="J87" s="193">
        <v>0.96</v>
      </c>
      <c r="K87" s="193">
        <v>1.04</v>
      </c>
      <c r="L87" s="193">
        <v>1.1100000000000001</v>
      </c>
      <c r="M87" s="193">
        <v>1.17</v>
      </c>
      <c r="N87" s="193">
        <v>1.22</v>
      </c>
      <c r="O87" s="193">
        <v>1.29</v>
      </c>
      <c r="P87" s="193">
        <v>1.37</v>
      </c>
      <c r="Q87" s="193">
        <v>1.46</v>
      </c>
      <c r="R87" s="193">
        <v>1.56</v>
      </c>
      <c r="S87" s="193">
        <v>1.66</v>
      </c>
      <c r="T87" s="193">
        <v>1.78</v>
      </c>
      <c r="U87" s="193">
        <v>1.91</v>
      </c>
      <c r="V87" s="193">
        <v>2.0699999999999998</v>
      </c>
      <c r="W87" s="193">
        <v>2.2599999999999998</v>
      </c>
      <c r="X87" s="193">
        <v>2.4900000000000002</v>
      </c>
      <c r="Y87" s="193">
        <v>2.77</v>
      </c>
      <c r="Z87" s="193">
        <v>3.11</v>
      </c>
      <c r="AA87" s="193">
        <v>3.49</v>
      </c>
      <c r="AB87" s="193">
        <v>3.91</v>
      </c>
      <c r="AC87" s="193">
        <v>4.3499999999999996</v>
      </c>
      <c r="AD87" s="193">
        <v>4.8</v>
      </c>
      <c r="AE87" s="193">
        <v>5.26</v>
      </c>
      <c r="AF87" s="193">
        <v>5.74</v>
      </c>
      <c r="AG87" s="193">
        <v>6.24</v>
      </c>
      <c r="AH87" s="193">
        <v>6.79</v>
      </c>
      <c r="AI87" s="193">
        <v>7.42</v>
      </c>
      <c r="AJ87" s="193">
        <v>8.18</v>
      </c>
      <c r="AK87" s="193">
        <v>9.1300000000000008</v>
      </c>
      <c r="AL87" s="193">
        <v>10.23</v>
      </c>
      <c r="AM87" s="193">
        <v>11.55</v>
      </c>
      <c r="AN87" s="193">
        <v>12.96</v>
      </c>
      <c r="AO87" s="193">
        <v>14.61</v>
      </c>
      <c r="AP87" s="193">
        <v>16.510000000000002</v>
      </c>
      <c r="AQ87" s="193">
        <v>18.7</v>
      </c>
      <c r="AR87" s="193">
        <v>21.15</v>
      </c>
      <c r="AS87" s="193">
        <v>23.86</v>
      </c>
      <c r="AT87" s="193">
        <v>26.81</v>
      </c>
      <c r="AU87" s="193">
        <v>30.09</v>
      </c>
      <c r="AV87" s="193">
        <v>33.590000000000003</v>
      </c>
      <c r="AW87" s="193">
        <v>37.56</v>
      </c>
      <c r="AX87" s="193">
        <v>42.63</v>
      </c>
      <c r="AY87" s="193">
        <v>48.22</v>
      </c>
      <c r="AZ87" s="193">
        <v>55.3</v>
      </c>
      <c r="BA87" s="193">
        <v>64.14</v>
      </c>
      <c r="BB87" s="193">
        <v>75.44</v>
      </c>
      <c r="BC87" s="193">
        <v>87.01</v>
      </c>
      <c r="BD87" s="193">
        <v>99.93</v>
      </c>
      <c r="BE87" s="193">
        <v>119.89</v>
      </c>
      <c r="BF87" s="193">
        <v>137.75</v>
      </c>
      <c r="BG87" s="193">
        <v>157.18</v>
      </c>
      <c r="BH87" s="193">
        <v>175.35</v>
      </c>
      <c r="BI87" s="193">
        <v>193.52</v>
      </c>
      <c r="BJ87" s="193">
        <v>211.49</v>
      </c>
      <c r="BK87" s="193">
        <v>228.36</v>
      </c>
      <c r="BL87" s="193">
        <v>243.4</v>
      </c>
      <c r="BM87" s="193">
        <v>262.43</v>
      </c>
      <c r="BN87" s="193">
        <v>282.69</v>
      </c>
      <c r="BO87" s="193">
        <v>304.70999999999998</v>
      </c>
      <c r="BP87" s="193">
        <v>328</v>
      </c>
      <c r="BQ87" s="193">
        <v>352.09</v>
      </c>
      <c r="BR87" s="193">
        <v>374.47</v>
      </c>
      <c r="BS87" s="193">
        <v>396.8</v>
      </c>
      <c r="BT87" s="193">
        <v>418.66</v>
      </c>
      <c r="BU87" s="193">
        <v>439.65</v>
      </c>
      <c r="BV87" s="193">
        <v>459.36</v>
      </c>
      <c r="BW87" s="193">
        <v>477.43</v>
      </c>
      <c r="BX87" s="193">
        <v>503.32</v>
      </c>
      <c r="BY87" s="193">
        <v>530.61</v>
      </c>
      <c r="BZ87" s="193">
        <v>559.39</v>
      </c>
      <c r="CA87" s="193">
        <v>589.72</v>
      </c>
      <c r="CB87" s="143"/>
      <c r="CC87" s="143"/>
      <c r="CD87" s="143"/>
      <c r="CE87" s="143"/>
    </row>
    <row r="88" spans="1:83" s="53" customFormat="1" x14ac:dyDescent="0.25">
      <c r="A88" s="192">
        <f t="shared" si="83"/>
        <v>17</v>
      </c>
      <c r="B88" s="193">
        <v>0.78</v>
      </c>
      <c r="C88" s="193">
        <v>0.8</v>
      </c>
      <c r="D88" s="193">
        <v>0.83</v>
      </c>
      <c r="E88" s="193">
        <v>0.85</v>
      </c>
      <c r="F88" s="193">
        <v>0.88</v>
      </c>
      <c r="G88" s="193">
        <v>0.91</v>
      </c>
      <c r="H88" s="193">
        <v>0.97</v>
      </c>
      <c r="I88" s="193">
        <v>1.03</v>
      </c>
      <c r="J88" s="193">
        <v>1.1100000000000001</v>
      </c>
      <c r="K88" s="193">
        <v>1.18</v>
      </c>
      <c r="L88" s="193">
        <v>1.24</v>
      </c>
      <c r="M88" s="193">
        <v>1.28</v>
      </c>
      <c r="N88" s="193">
        <v>1.36</v>
      </c>
      <c r="O88" s="193">
        <v>1.44</v>
      </c>
      <c r="P88" s="193">
        <v>1.53</v>
      </c>
      <c r="Q88" s="193">
        <v>1.63</v>
      </c>
      <c r="R88" s="193">
        <v>1.73</v>
      </c>
      <c r="S88" s="193">
        <v>1.85</v>
      </c>
      <c r="T88" s="193">
        <v>1.97</v>
      </c>
      <c r="U88" s="193">
        <v>2.12</v>
      </c>
      <c r="V88" s="193">
        <v>2.31</v>
      </c>
      <c r="W88" s="193">
        <v>2.54</v>
      </c>
      <c r="X88" s="193">
        <v>2.83</v>
      </c>
      <c r="Y88" s="193">
        <v>3.19</v>
      </c>
      <c r="Z88" s="193">
        <v>3.61</v>
      </c>
      <c r="AA88" s="193">
        <v>4.07</v>
      </c>
      <c r="AB88" s="193">
        <v>4.55</v>
      </c>
      <c r="AC88" s="193">
        <v>5.0199999999999996</v>
      </c>
      <c r="AD88" s="193">
        <v>5.49</v>
      </c>
      <c r="AE88" s="193">
        <v>5.98</v>
      </c>
      <c r="AF88" s="193">
        <v>6.51</v>
      </c>
      <c r="AG88" s="193">
        <v>7.04</v>
      </c>
      <c r="AH88" s="193">
        <v>7.64</v>
      </c>
      <c r="AI88" s="193">
        <v>8.32</v>
      </c>
      <c r="AJ88" s="193">
        <v>9.15</v>
      </c>
      <c r="AK88" s="193">
        <v>10.23</v>
      </c>
      <c r="AL88" s="193">
        <v>11.61</v>
      </c>
      <c r="AM88" s="193">
        <v>13</v>
      </c>
      <c r="AN88" s="193">
        <v>14.73</v>
      </c>
      <c r="AO88" s="193">
        <v>16.77</v>
      </c>
      <c r="AP88" s="193">
        <v>19.11</v>
      </c>
      <c r="AQ88" s="193">
        <v>21.77</v>
      </c>
      <c r="AR88" s="193">
        <v>24.69</v>
      </c>
      <c r="AS88" s="193">
        <v>27.89</v>
      </c>
      <c r="AT88" s="193">
        <v>31.38</v>
      </c>
      <c r="AU88" s="193">
        <v>35.24</v>
      </c>
      <c r="AV88" s="193">
        <v>39.83</v>
      </c>
      <c r="AW88" s="193">
        <v>44.84</v>
      </c>
      <c r="AX88" s="193">
        <v>52.01</v>
      </c>
      <c r="AY88" s="193">
        <v>59.31</v>
      </c>
      <c r="AZ88" s="193">
        <v>68.05</v>
      </c>
      <c r="BA88" s="193">
        <v>78.069999999999993</v>
      </c>
      <c r="BB88" s="193">
        <v>91.79</v>
      </c>
      <c r="BC88" s="193">
        <v>105.12</v>
      </c>
      <c r="BD88" s="193">
        <v>120.36</v>
      </c>
      <c r="BE88" s="193">
        <v>139.49</v>
      </c>
      <c r="BF88" s="193">
        <v>157.18</v>
      </c>
      <c r="BG88" s="193">
        <v>175.35</v>
      </c>
      <c r="BH88" s="193">
        <v>193.52</v>
      </c>
      <c r="BI88" s="193">
        <v>211.49</v>
      </c>
      <c r="BJ88" s="193">
        <v>228.36</v>
      </c>
      <c r="BK88" s="193">
        <v>243.4</v>
      </c>
      <c r="BL88" s="193">
        <v>262.43</v>
      </c>
      <c r="BM88" s="193">
        <v>282.69</v>
      </c>
      <c r="BN88" s="193">
        <v>304.70999999999998</v>
      </c>
      <c r="BO88" s="193">
        <v>328</v>
      </c>
      <c r="BP88" s="193">
        <v>352.09</v>
      </c>
      <c r="BQ88" s="193">
        <v>374.47</v>
      </c>
      <c r="BR88" s="193">
        <v>396.8</v>
      </c>
      <c r="BS88" s="193">
        <v>418.66</v>
      </c>
      <c r="BT88" s="193">
        <v>439.65</v>
      </c>
      <c r="BU88" s="193">
        <v>459.36</v>
      </c>
      <c r="BV88" s="193">
        <v>477.43</v>
      </c>
      <c r="BW88" s="193">
        <v>503.32</v>
      </c>
      <c r="BX88" s="193">
        <v>530.61</v>
      </c>
      <c r="BY88" s="193">
        <v>559.39</v>
      </c>
      <c r="BZ88" s="193">
        <v>589.72</v>
      </c>
      <c r="CA88" s="193">
        <v>621.70000000000005</v>
      </c>
      <c r="CB88" s="143"/>
      <c r="CC88" s="143"/>
      <c r="CD88" s="143"/>
      <c r="CE88" s="143"/>
    </row>
    <row r="89" spans="1:83" s="53" customFormat="1" x14ac:dyDescent="0.25">
      <c r="A89" s="192">
        <f t="shared" si="83"/>
        <v>18</v>
      </c>
      <c r="B89" s="193">
        <v>0.9</v>
      </c>
      <c r="C89" s="193">
        <v>0.93</v>
      </c>
      <c r="D89" s="193">
        <v>0.96</v>
      </c>
      <c r="E89" s="193">
        <v>0.98</v>
      </c>
      <c r="F89" s="193">
        <v>1.01</v>
      </c>
      <c r="G89" s="193">
        <v>1.06</v>
      </c>
      <c r="H89" s="193">
        <v>1.1200000000000001</v>
      </c>
      <c r="I89" s="193">
        <v>1.17</v>
      </c>
      <c r="J89" s="193">
        <v>1.23</v>
      </c>
      <c r="K89" s="193">
        <v>1.27</v>
      </c>
      <c r="L89" s="193">
        <v>1.31</v>
      </c>
      <c r="M89" s="193">
        <v>1.38</v>
      </c>
      <c r="N89" s="193">
        <v>1.47</v>
      </c>
      <c r="O89" s="193">
        <v>1.56</v>
      </c>
      <c r="P89" s="193">
        <v>1.66</v>
      </c>
      <c r="Q89" s="193">
        <v>1.78</v>
      </c>
      <c r="R89" s="193">
        <v>1.9</v>
      </c>
      <c r="S89" s="193">
        <v>2.0299999999999998</v>
      </c>
      <c r="T89" s="193">
        <v>2.1800000000000002</v>
      </c>
      <c r="U89" s="193">
        <v>2.37</v>
      </c>
      <c r="V89" s="193">
        <v>2.6</v>
      </c>
      <c r="W89" s="193">
        <v>2.9</v>
      </c>
      <c r="X89" s="193">
        <v>3.26</v>
      </c>
      <c r="Y89" s="193">
        <v>3.69</v>
      </c>
      <c r="Z89" s="193">
        <v>4.17</v>
      </c>
      <c r="AA89" s="193">
        <v>4.66</v>
      </c>
      <c r="AB89" s="193">
        <v>5.14</v>
      </c>
      <c r="AC89" s="193">
        <v>5.61</v>
      </c>
      <c r="AD89" s="193">
        <v>6.06</v>
      </c>
      <c r="AE89" s="193">
        <v>6.59</v>
      </c>
      <c r="AF89" s="193">
        <v>7.15</v>
      </c>
      <c r="AG89" s="193">
        <v>7.75</v>
      </c>
      <c r="AH89" s="193">
        <v>8.44</v>
      </c>
      <c r="AI89" s="193">
        <v>9.24</v>
      </c>
      <c r="AJ89" s="193">
        <v>10.24</v>
      </c>
      <c r="AK89" s="193">
        <v>11.66</v>
      </c>
      <c r="AL89" s="193">
        <v>13.09</v>
      </c>
      <c r="AM89" s="193">
        <v>14.81</v>
      </c>
      <c r="AN89" s="193">
        <v>16.899999999999999</v>
      </c>
      <c r="AO89" s="193">
        <v>19.25</v>
      </c>
      <c r="AP89" s="193">
        <v>22</v>
      </c>
      <c r="AQ89" s="193">
        <v>25.03</v>
      </c>
      <c r="AR89" s="193">
        <v>28.41</v>
      </c>
      <c r="AS89" s="193">
        <v>32.11</v>
      </c>
      <c r="AT89" s="193">
        <v>36.32</v>
      </c>
      <c r="AU89" s="193">
        <v>40.83</v>
      </c>
      <c r="AV89" s="193">
        <v>46.9</v>
      </c>
      <c r="AW89" s="193">
        <v>52.8</v>
      </c>
      <c r="AX89" s="193">
        <v>61.78</v>
      </c>
      <c r="AY89" s="193">
        <v>70.36</v>
      </c>
      <c r="AZ89" s="193">
        <v>80.63</v>
      </c>
      <c r="BA89" s="193">
        <v>92.26</v>
      </c>
      <c r="BB89" s="193">
        <v>107.61</v>
      </c>
      <c r="BC89" s="193">
        <v>122.9</v>
      </c>
      <c r="BD89" s="193">
        <v>139.49</v>
      </c>
      <c r="BE89" s="193">
        <v>157.18</v>
      </c>
      <c r="BF89" s="193">
        <v>175.35</v>
      </c>
      <c r="BG89" s="193">
        <v>193.52</v>
      </c>
      <c r="BH89" s="193">
        <v>211.49</v>
      </c>
      <c r="BI89" s="193">
        <v>228.36</v>
      </c>
      <c r="BJ89" s="193">
        <v>243.4</v>
      </c>
      <c r="BK89" s="193">
        <v>262.43</v>
      </c>
      <c r="BL89" s="193">
        <v>282.69</v>
      </c>
      <c r="BM89" s="193">
        <v>304.70999999999998</v>
      </c>
      <c r="BN89" s="193">
        <v>328</v>
      </c>
      <c r="BO89" s="193">
        <v>352.09</v>
      </c>
      <c r="BP89" s="193">
        <v>374.47</v>
      </c>
      <c r="BQ89" s="193">
        <v>396.8</v>
      </c>
      <c r="BR89" s="193">
        <v>418.66</v>
      </c>
      <c r="BS89" s="193">
        <v>439.65</v>
      </c>
      <c r="BT89" s="193">
        <v>459.36</v>
      </c>
      <c r="BU89" s="193">
        <v>477.43</v>
      </c>
      <c r="BV89" s="193">
        <v>503.32</v>
      </c>
      <c r="BW89" s="193">
        <v>530.61</v>
      </c>
      <c r="BX89" s="193">
        <v>559.39</v>
      </c>
      <c r="BY89" s="193">
        <v>589.72</v>
      </c>
      <c r="BZ89" s="193">
        <v>621.70000000000005</v>
      </c>
      <c r="CA89" s="193">
        <v>655.42</v>
      </c>
      <c r="CB89" s="143"/>
      <c r="CC89" s="143"/>
      <c r="CD89" s="143"/>
      <c r="CE89" s="143"/>
    </row>
    <row r="90" spans="1:83" s="53" customFormat="1" x14ac:dyDescent="0.25">
      <c r="A90" s="192">
        <f t="shared" si="83"/>
        <v>19</v>
      </c>
      <c r="B90" s="193">
        <v>1.05</v>
      </c>
      <c r="C90" s="193">
        <v>1.07</v>
      </c>
      <c r="D90" s="193">
        <v>1.1000000000000001</v>
      </c>
      <c r="E90" s="193">
        <v>1.1299999999999999</v>
      </c>
      <c r="F90" s="193">
        <v>1.17</v>
      </c>
      <c r="G90" s="193">
        <v>1.21</v>
      </c>
      <c r="H90" s="193">
        <v>1.24</v>
      </c>
      <c r="I90" s="193">
        <v>1.27</v>
      </c>
      <c r="J90" s="193">
        <v>1.3</v>
      </c>
      <c r="K90" s="193">
        <v>1.32</v>
      </c>
      <c r="L90" s="193">
        <v>1.39</v>
      </c>
      <c r="M90" s="193">
        <v>1.48</v>
      </c>
      <c r="N90" s="193">
        <v>1.58</v>
      </c>
      <c r="O90" s="193">
        <v>1.69</v>
      </c>
      <c r="P90" s="193">
        <v>1.82</v>
      </c>
      <c r="Q90" s="193">
        <v>1.96</v>
      </c>
      <c r="R90" s="193">
        <v>2.1</v>
      </c>
      <c r="S90" s="193">
        <v>2.2599999999999998</v>
      </c>
      <c r="T90" s="193">
        <v>2.46</v>
      </c>
      <c r="U90" s="193">
        <v>2.69</v>
      </c>
      <c r="V90" s="193">
        <v>2.99</v>
      </c>
      <c r="W90" s="193">
        <v>3.35</v>
      </c>
      <c r="X90" s="193">
        <v>3.77</v>
      </c>
      <c r="Y90" s="193">
        <v>4.24</v>
      </c>
      <c r="Z90" s="193">
        <v>4.72</v>
      </c>
      <c r="AA90" s="193">
        <v>5.2</v>
      </c>
      <c r="AB90" s="193">
        <v>5.63</v>
      </c>
      <c r="AC90" s="193">
        <v>6.08</v>
      </c>
      <c r="AD90" s="193">
        <v>6.61</v>
      </c>
      <c r="AE90" s="193">
        <v>7.16</v>
      </c>
      <c r="AF90" s="193">
        <v>7.83</v>
      </c>
      <c r="AG90" s="193">
        <v>8.56</v>
      </c>
      <c r="AH90" s="193">
        <v>9.43</v>
      </c>
      <c r="AI90" s="193">
        <v>10.45</v>
      </c>
      <c r="AJ90" s="193">
        <v>11.71</v>
      </c>
      <c r="AK90" s="193">
        <v>13.17</v>
      </c>
      <c r="AL90" s="193">
        <v>14.99</v>
      </c>
      <c r="AM90" s="193">
        <v>17.05</v>
      </c>
      <c r="AN90" s="193">
        <v>19.510000000000002</v>
      </c>
      <c r="AO90" s="193">
        <v>22.14</v>
      </c>
      <c r="AP90" s="193">
        <v>25.26</v>
      </c>
      <c r="AQ90" s="193">
        <v>28.54</v>
      </c>
      <c r="AR90" s="193">
        <v>32.5</v>
      </c>
      <c r="AS90" s="193">
        <v>36.83</v>
      </c>
      <c r="AT90" s="193">
        <v>42.12</v>
      </c>
      <c r="AU90" s="193">
        <v>47.43</v>
      </c>
      <c r="AV90" s="193">
        <v>54.7</v>
      </c>
      <c r="AW90" s="193">
        <v>62.21</v>
      </c>
      <c r="AX90" s="193">
        <v>72.19</v>
      </c>
      <c r="AY90" s="193">
        <v>82.34</v>
      </c>
      <c r="AZ90" s="193">
        <v>94.09</v>
      </c>
      <c r="BA90" s="193">
        <v>107.61</v>
      </c>
      <c r="BB90" s="193">
        <v>122.9</v>
      </c>
      <c r="BC90" s="193">
        <v>139.49</v>
      </c>
      <c r="BD90" s="193">
        <v>157.18</v>
      </c>
      <c r="BE90" s="193">
        <v>175.35</v>
      </c>
      <c r="BF90" s="193">
        <v>193.52</v>
      </c>
      <c r="BG90" s="193">
        <v>211.49</v>
      </c>
      <c r="BH90" s="193">
        <v>228.36</v>
      </c>
      <c r="BI90" s="193">
        <v>243.4</v>
      </c>
      <c r="BJ90" s="193">
        <v>262.43</v>
      </c>
      <c r="BK90" s="193">
        <v>282.69</v>
      </c>
      <c r="BL90" s="193">
        <v>304.70999999999998</v>
      </c>
      <c r="BM90" s="193">
        <v>328</v>
      </c>
      <c r="BN90" s="193">
        <v>352.09</v>
      </c>
      <c r="BO90" s="193">
        <v>374.47</v>
      </c>
      <c r="BP90" s="193">
        <v>396.8</v>
      </c>
      <c r="BQ90" s="193">
        <v>418.66</v>
      </c>
      <c r="BR90" s="193">
        <v>439.65</v>
      </c>
      <c r="BS90" s="193">
        <v>459.36</v>
      </c>
      <c r="BT90" s="193">
        <v>477.43</v>
      </c>
      <c r="BU90" s="193">
        <v>503.32</v>
      </c>
      <c r="BV90" s="193">
        <v>530.61</v>
      </c>
      <c r="BW90" s="193">
        <v>559.39</v>
      </c>
      <c r="BX90" s="193">
        <v>589.72</v>
      </c>
      <c r="BY90" s="193">
        <v>621.70000000000005</v>
      </c>
      <c r="BZ90" s="193">
        <v>655.42</v>
      </c>
      <c r="CA90" s="193">
        <v>690.96</v>
      </c>
      <c r="CB90" s="143"/>
      <c r="CC90" s="143"/>
      <c r="CD90" s="143"/>
      <c r="CE90" s="143"/>
    </row>
    <row r="91" spans="1:83" s="53" customFormat="1" x14ac:dyDescent="0.25">
      <c r="A91" s="192">
        <f t="shared" si="83"/>
        <v>20</v>
      </c>
      <c r="B91" s="193">
        <v>1.18</v>
      </c>
      <c r="C91" s="193">
        <v>1.21</v>
      </c>
      <c r="D91" s="193">
        <v>1.24</v>
      </c>
      <c r="E91" s="193">
        <v>1.28</v>
      </c>
      <c r="F91" s="193">
        <v>1.3</v>
      </c>
      <c r="G91" s="193">
        <v>1.32</v>
      </c>
      <c r="H91" s="193">
        <v>1.32</v>
      </c>
      <c r="I91" s="193">
        <v>1.32</v>
      </c>
      <c r="J91" s="193">
        <v>1.33</v>
      </c>
      <c r="K91" s="193">
        <v>1.39</v>
      </c>
      <c r="L91" s="193">
        <v>1.49</v>
      </c>
      <c r="M91" s="193">
        <v>1.6</v>
      </c>
      <c r="N91" s="193">
        <v>1.73</v>
      </c>
      <c r="O91" s="193">
        <v>1.87</v>
      </c>
      <c r="P91" s="193">
        <v>2.02</v>
      </c>
      <c r="Q91" s="193">
        <v>2.1800000000000002</v>
      </c>
      <c r="R91" s="193">
        <v>2.36</v>
      </c>
      <c r="S91" s="193">
        <v>2.57</v>
      </c>
      <c r="T91" s="193">
        <v>2.81</v>
      </c>
      <c r="U91" s="193">
        <v>3.1</v>
      </c>
      <c r="V91" s="193">
        <v>3.45</v>
      </c>
      <c r="W91" s="193">
        <v>3.85</v>
      </c>
      <c r="X91" s="193">
        <v>4.29</v>
      </c>
      <c r="Y91" s="193">
        <v>4.74</v>
      </c>
      <c r="Z91" s="193">
        <v>5.2</v>
      </c>
      <c r="AA91" s="193">
        <v>5.64</v>
      </c>
      <c r="AB91" s="193">
        <v>6.08</v>
      </c>
      <c r="AC91" s="193">
        <v>6.62</v>
      </c>
      <c r="AD91" s="193">
        <v>7.21</v>
      </c>
      <c r="AE91" s="193">
        <v>7.87</v>
      </c>
      <c r="AF91" s="193">
        <v>8.7200000000000006</v>
      </c>
      <c r="AG91" s="193">
        <v>9.68</v>
      </c>
      <c r="AH91" s="193">
        <v>10.79</v>
      </c>
      <c r="AI91" s="193">
        <v>12.05</v>
      </c>
      <c r="AJ91" s="193">
        <v>13.54</v>
      </c>
      <c r="AK91" s="193">
        <v>15.21</v>
      </c>
      <c r="AL91" s="193">
        <v>17.21</v>
      </c>
      <c r="AM91" s="193">
        <v>19.61</v>
      </c>
      <c r="AN91" s="193">
        <v>22.34</v>
      </c>
      <c r="AO91" s="193">
        <v>25.39</v>
      </c>
      <c r="AP91" s="193">
        <v>28.88</v>
      </c>
      <c r="AQ91" s="193">
        <v>32.56</v>
      </c>
      <c r="AR91" s="193">
        <v>37.380000000000003</v>
      </c>
      <c r="AS91" s="193">
        <v>42.36</v>
      </c>
      <c r="AT91" s="193">
        <v>48.62</v>
      </c>
      <c r="AU91" s="193">
        <v>54.77</v>
      </c>
      <c r="AV91" s="193">
        <v>63.46</v>
      </c>
      <c r="AW91" s="193">
        <v>72.19</v>
      </c>
      <c r="AX91" s="193">
        <v>82.34</v>
      </c>
      <c r="AY91" s="193">
        <v>94.09</v>
      </c>
      <c r="AZ91" s="193">
        <v>107.61</v>
      </c>
      <c r="BA91" s="193">
        <v>122.9</v>
      </c>
      <c r="BB91" s="193">
        <v>139.49</v>
      </c>
      <c r="BC91" s="193">
        <v>157.18</v>
      </c>
      <c r="BD91" s="193">
        <v>175.35</v>
      </c>
      <c r="BE91" s="193">
        <v>193.52</v>
      </c>
      <c r="BF91" s="193">
        <v>211.49</v>
      </c>
      <c r="BG91" s="193">
        <v>228.36</v>
      </c>
      <c r="BH91" s="193">
        <v>243.4</v>
      </c>
      <c r="BI91" s="193">
        <v>262.43</v>
      </c>
      <c r="BJ91" s="193">
        <v>282.69</v>
      </c>
      <c r="BK91" s="193">
        <v>304.70999999999998</v>
      </c>
      <c r="BL91" s="193">
        <v>328</v>
      </c>
      <c r="BM91" s="193">
        <v>352.09</v>
      </c>
      <c r="BN91" s="193">
        <v>374.47</v>
      </c>
      <c r="BO91" s="193">
        <v>396.8</v>
      </c>
      <c r="BP91" s="193">
        <v>418.66</v>
      </c>
      <c r="BQ91" s="193">
        <v>439.65</v>
      </c>
      <c r="BR91" s="193">
        <v>459.36</v>
      </c>
      <c r="BS91" s="193">
        <v>477.43</v>
      </c>
      <c r="BT91" s="193">
        <v>503.32</v>
      </c>
      <c r="BU91" s="193">
        <v>530.61</v>
      </c>
      <c r="BV91" s="193">
        <v>559.39</v>
      </c>
      <c r="BW91" s="193">
        <v>589.72</v>
      </c>
      <c r="BX91" s="193">
        <v>621.70000000000005</v>
      </c>
      <c r="BY91" s="193">
        <v>655.42</v>
      </c>
      <c r="BZ91" s="193">
        <v>690.96</v>
      </c>
      <c r="CA91" s="193">
        <v>728.43</v>
      </c>
      <c r="CB91" s="143"/>
      <c r="CC91" s="143"/>
      <c r="CD91" s="143"/>
      <c r="CE91" s="143"/>
    </row>
    <row r="92" spans="1:83" s="53" customFormat="1" x14ac:dyDescent="0.25">
      <c r="A92" s="192">
        <f t="shared" si="83"/>
        <v>21</v>
      </c>
      <c r="B92" s="193">
        <v>1.3</v>
      </c>
      <c r="C92" s="193">
        <v>1.33</v>
      </c>
      <c r="D92" s="193">
        <v>1.37</v>
      </c>
      <c r="E92" s="193">
        <v>1.37</v>
      </c>
      <c r="F92" s="193">
        <v>1.38</v>
      </c>
      <c r="G92" s="193">
        <v>1.39</v>
      </c>
      <c r="H92" s="193">
        <v>1.4</v>
      </c>
      <c r="I92" s="193">
        <v>1.4</v>
      </c>
      <c r="J92" s="193">
        <v>1.41</v>
      </c>
      <c r="K92" s="193">
        <v>1.5</v>
      </c>
      <c r="L92" s="193">
        <v>1.63</v>
      </c>
      <c r="M92" s="193">
        <v>1.77</v>
      </c>
      <c r="N92" s="193">
        <v>1.93</v>
      </c>
      <c r="O92" s="193">
        <v>2.1</v>
      </c>
      <c r="P92" s="193">
        <v>2.2799999999999998</v>
      </c>
      <c r="Q92" s="193">
        <v>2.4700000000000002</v>
      </c>
      <c r="R92" s="193">
        <v>2.69</v>
      </c>
      <c r="S92" s="193">
        <v>2.93</v>
      </c>
      <c r="T92" s="193">
        <v>3.22</v>
      </c>
      <c r="U92" s="193">
        <v>3.55</v>
      </c>
      <c r="V92" s="193">
        <v>3.93</v>
      </c>
      <c r="W92" s="193">
        <v>4.33</v>
      </c>
      <c r="X92" s="193">
        <v>4.74</v>
      </c>
      <c r="Y92" s="193">
        <v>5.2</v>
      </c>
      <c r="Z92" s="193">
        <v>5.64</v>
      </c>
      <c r="AA92" s="193">
        <v>6.11</v>
      </c>
      <c r="AB92" s="193">
        <v>6.63</v>
      </c>
      <c r="AC92" s="193">
        <v>7.26</v>
      </c>
      <c r="AD92" s="193">
        <v>8.02</v>
      </c>
      <c r="AE92" s="193">
        <v>8.94</v>
      </c>
      <c r="AF92" s="193">
        <v>10.029999999999999</v>
      </c>
      <c r="AG92" s="193">
        <v>11.26</v>
      </c>
      <c r="AH92" s="193">
        <v>12.61</v>
      </c>
      <c r="AI92" s="193">
        <v>14.02</v>
      </c>
      <c r="AJ92" s="193">
        <v>15.69</v>
      </c>
      <c r="AK92" s="193">
        <v>17.52</v>
      </c>
      <c r="AL92" s="193">
        <v>19.7</v>
      </c>
      <c r="AM92" s="193">
        <v>22.4</v>
      </c>
      <c r="AN92" s="193">
        <v>25.68</v>
      </c>
      <c r="AO92" s="193">
        <v>29.05</v>
      </c>
      <c r="AP92" s="193">
        <v>33.340000000000003</v>
      </c>
      <c r="AQ92" s="193">
        <v>37.520000000000003</v>
      </c>
      <c r="AR92" s="193">
        <v>43.11</v>
      </c>
      <c r="AS92" s="193">
        <v>48.84</v>
      </c>
      <c r="AT92" s="193">
        <v>55.93</v>
      </c>
      <c r="AU92" s="193">
        <v>63.46</v>
      </c>
      <c r="AV92" s="193">
        <v>72.19</v>
      </c>
      <c r="AW92" s="193">
        <v>82.34</v>
      </c>
      <c r="AX92" s="193">
        <v>94.09</v>
      </c>
      <c r="AY92" s="193">
        <v>107.61</v>
      </c>
      <c r="AZ92" s="193">
        <v>122.9</v>
      </c>
      <c r="BA92" s="193">
        <v>139.49</v>
      </c>
      <c r="BB92" s="193">
        <v>157.18</v>
      </c>
      <c r="BC92" s="193">
        <v>175.35</v>
      </c>
      <c r="BD92" s="193">
        <v>193.52</v>
      </c>
      <c r="BE92" s="193">
        <v>211.49</v>
      </c>
      <c r="BF92" s="193">
        <v>228.36</v>
      </c>
      <c r="BG92" s="193">
        <v>243.4</v>
      </c>
      <c r="BH92" s="193">
        <v>262.43</v>
      </c>
      <c r="BI92" s="193">
        <v>282.69</v>
      </c>
      <c r="BJ92" s="193">
        <v>304.70999999999998</v>
      </c>
      <c r="BK92" s="193">
        <v>328</v>
      </c>
      <c r="BL92" s="193">
        <v>352.09</v>
      </c>
      <c r="BM92" s="193">
        <v>374.47</v>
      </c>
      <c r="BN92" s="193">
        <v>396.8</v>
      </c>
      <c r="BO92" s="193">
        <v>418.66</v>
      </c>
      <c r="BP92" s="193">
        <v>439.65</v>
      </c>
      <c r="BQ92" s="193">
        <v>459.36</v>
      </c>
      <c r="BR92" s="193">
        <v>477.43</v>
      </c>
      <c r="BS92" s="193">
        <v>503.32</v>
      </c>
      <c r="BT92" s="193">
        <v>530.61</v>
      </c>
      <c r="BU92" s="193">
        <v>559.39</v>
      </c>
      <c r="BV92" s="193">
        <v>589.72</v>
      </c>
      <c r="BW92" s="193">
        <v>621.70000000000005</v>
      </c>
      <c r="BX92" s="193">
        <v>655.42</v>
      </c>
      <c r="BY92" s="193">
        <v>690.96</v>
      </c>
      <c r="BZ92" s="193">
        <v>728.43</v>
      </c>
      <c r="CA92" s="193">
        <v>767.94</v>
      </c>
      <c r="CB92" s="143"/>
      <c r="CC92" s="143"/>
      <c r="CD92" s="143"/>
      <c r="CE92" s="143"/>
    </row>
    <row r="93" spans="1:83" s="53" customFormat="1" x14ac:dyDescent="0.25">
      <c r="A93" s="192">
        <f t="shared" si="83"/>
        <v>22</v>
      </c>
      <c r="B93" s="193">
        <v>1.37</v>
      </c>
      <c r="C93" s="193">
        <v>1.41</v>
      </c>
      <c r="D93" s="193">
        <v>1.44</v>
      </c>
      <c r="E93" s="193">
        <v>1.44</v>
      </c>
      <c r="F93" s="193">
        <v>1.45</v>
      </c>
      <c r="G93" s="193">
        <v>1.45</v>
      </c>
      <c r="H93" s="193">
        <v>1.45</v>
      </c>
      <c r="I93" s="193">
        <v>1.46</v>
      </c>
      <c r="J93" s="193">
        <v>1.55</v>
      </c>
      <c r="K93" s="193">
        <v>1.68</v>
      </c>
      <c r="L93" s="193">
        <v>1.83</v>
      </c>
      <c r="M93" s="193">
        <v>2</v>
      </c>
      <c r="N93" s="193">
        <v>2.1800000000000002</v>
      </c>
      <c r="O93" s="193">
        <v>2.37</v>
      </c>
      <c r="P93" s="193">
        <v>2.58</v>
      </c>
      <c r="Q93" s="193">
        <v>2.81</v>
      </c>
      <c r="R93" s="193">
        <v>3.06</v>
      </c>
      <c r="S93" s="193">
        <v>3.33</v>
      </c>
      <c r="T93" s="193">
        <v>3.64</v>
      </c>
      <c r="U93" s="193">
        <v>3.98</v>
      </c>
      <c r="V93" s="193">
        <v>4.3600000000000003</v>
      </c>
      <c r="W93" s="193">
        <v>4.74</v>
      </c>
      <c r="X93" s="193">
        <v>5.2</v>
      </c>
      <c r="Y93" s="193">
        <v>5.65</v>
      </c>
      <c r="Z93" s="193">
        <v>6.15</v>
      </c>
      <c r="AA93" s="193">
        <v>6.73</v>
      </c>
      <c r="AB93" s="193">
        <v>7.42</v>
      </c>
      <c r="AC93" s="193">
        <v>8.26</v>
      </c>
      <c r="AD93" s="193">
        <v>9.25</v>
      </c>
      <c r="AE93" s="193">
        <v>10.39</v>
      </c>
      <c r="AF93" s="193">
        <v>11.68</v>
      </c>
      <c r="AG93" s="193">
        <v>13.08</v>
      </c>
      <c r="AH93" s="193">
        <v>14.54</v>
      </c>
      <c r="AI93" s="193">
        <v>16.079999999999998</v>
      </c>
      <c r="AJ93" s="193">
        <v>17.89</v>
      </c>
      <c r="AK93" s="193">
        <v>20.010000000000002</v>
      </c>
      <c r="AL93" s="193">
        <v>22.75</v>
      </c>
      <c r="AM93" s="193">
        <v>25.93</v>
      </c>
      <c r="AN93" s="193">
        <v>29.59</v>
      </c>
      <c r="AO93" s="193">
        <v>33.39</v>
      </c>
      <c r="AP93" s="193">
        <v>38.409999999999997</v>
      </c>
      <c r="AQ93" s="193">
        <v>43.27</v>
      </c>
      <c r="AR93" s="193">
        <v>49.46</v>
      </c>
      <c r="AS93" s="193">
        <v>55.93</v>
      </c>
      <c r="AT93" s="193">
        <v>63.46</v>
      </c>
      <c r="AU93" s="193">
        <v>72.19</v>
      </c>
      <c r="AV93" s="193">
        <v>82.34</v>
      </c>
      <c r="AW93" s="193">
        <v>94.09</v>
      </c>
      <c r="AX93" s="193">
        <v>107.61</v>
      </c>
      <c r="AY93" s="193">
        <v>122.9</v>
      </c>
      <c r="AZ93" s="193">
        <v>139.49</v>
      </c>
      <c r="BA93" s="193">
        <v>157.18</v>
      </c>
      <c r="BB93" s="193">
        <v>175.35</v>
      </c>
      <c r="BC93" s="193">
        <v>193.52</v>
      </c>
      <c r="BD93" s="193">
        <v>211.49</v>
      </c>
      <c r="BE93" s="193">
        <v>228.36</v>
      </c>
      <c r="BF93" s="193">
        <v>243.4</v>
      </c>
      <c r="BG93" s="193">
        <v>262.43</v>
      </c>
      <c r="BH93" s="193">
        <v>282.69</v>
      </c>
      <c r="BI93" s="193">
        <v>304.70999999999998</v>
      </c>
      <c r="BJ93" s="193">
        <v>328</v>
      </c>
      <c r="BK93" s="193">
        <v>352.09</v>
      </c>
      <c r="BL93" s="193">
        <v>374.47</v>
      </c>
      <c r="BM93" s="193">
        <v>396.8</v>
      </c>
      <c r="BN93" s="193">
        <v>418.66</v>
      </c>
      <c r="BO93" s="193">
        <v>439.65</v>
      </c>
      <c r="BP93" s="193">
        <v>459.36</v>
      </c>
      <c r="BQ93" s="193">
        <v>477.43</v>
      </c>
      <c r="BR93" s="193">
        <v>503.32</v>
      </c>
      <c r="BS93" s="193">
        <v>530.61</v>
      </c>
      <c r="BT93" s="193">
        <v>559.39</v>
      </c>
      <c r="BU93" s="193">
        <v>589.72</v>
      </c>
      <c r="BV93" s="193">
        <v>621.70000000000005</v>
      </c>
      <c r="BW93" s="193">
        <v>655.42</v>
      </c>
      <c r="BX93" s="193">
        <v>690.96</v>
      </c>
      <c r="BY93" s="193">
        <v>728.43</v>
      </c>
      <c r="BZ93" s="193">
        <v>767.94</v>
      </c>
      <c r="CA93" s="193">
        <v>809.58</v>
      </c>
      <c r="CB93" s="143"/>
      <c r="CC93" s="143"/>
      <c r="CD93" s="143"/>
      <c r="CE93" s="143"/>
    </row>
    <row r="94" spans="1:83" s="53" customFormat="1" x14ac:dyDescent="0.25">
      <c r="A94" s="192">
        <f t="shared" si="83"/>
        <v>23</v>
      </c>
      <c r="B94" s="193">
        <v>1.43</v>
      </c>
      <c r="C94" s="193">
        <v>1.49</v>
      </c>
      <c r="D94" s="193">
        <v>1.51</v>
      </c>
      <c r="E94" s="193">
        <v>1.53</v>
      </c>
      <c r="F94" s="193">
        <v>1.53</v>
      </c>
      <c r="G94" s="193">
        <v>1.53</v>
      </c>
      <c r="H94" s="193">
        <v>1.54</v>
      </c>
      <c r="I94" s="193">
        <v>1.62</v>
      </c>
      <c r="J94" s="193">
        <v>1.74</v>
      </c>
      <c r="K94" s="193">
        <v>1.89</v>
      </c>
      <c r="L94" s="193">
        <v>2.06</v>
      </c>
      <c r="M94" s="193">
        <v>2.2400000000000002</v>
      </c>
      <c r="N94" s="193">
        <v>2.4500000000000002</v>
      </c>
      <c r="O94" s="193">
        <v>2.67</v>
      </c>
      <c r="P94" s="193">
        <v>2.91</v>
      </c>
      <c r="Q94" s="193">
        <v>3.16</v>
      </c>
      <c r="R94" s="193">
        <v>3.43</v>
      </c>
      <c r="S94" s="193">
        <v>3.72</v>
      </c>
      <c r="T94" s="193">
        <v>4.03</v>
      </c>
      <c r="U94" s="193">
        <v>4.3600000000000003</v>
      </c>
      <c r="V94" s="193">
        <v>4.74</v>
      </c>
      <c r="W94" s="193">
        <v>5.2</v>
      </c>
      <c r="X94" s="193">
        <v>5.66</v>
      </c>
      <c r="Y94" s="193">
        <v>6.22</v>
      </c>
      <c r="Z94" s="193">
        <v>6.84</v>
      </c>
      <c r="AA94" s="193">
        <v>7.55</v>
      </c>
      <c r="AB94" s="193">
        <v>8.3699999999999992</v>
      </c>
      <c r="AC94" s="193">
        <v>9.3699999999999992</v>
      </c>
      <c r="AD94" s="193">
        <v>10.45</v>
      </c>
      <c r="AE94" s="193">
        <v>11.7</v>
      </c>
      <c r="AF94" s="193">
        <v>13.13</v>
      </c>
      <c r="AG94" s="193">
        <v>14.73</v>
      </c>
      <c r="AH94" s="193">
        <v>16.47</v>
      </c>
      <c r="AI94" s="193">
        <v>18.329999999999998</v>
      </c>
      <c r="AJ94" s="193">
        <v>20.41</v>
      </c>
      <c r="AK94" s="193">
        <v>22.88</v>
      </c>
      <c r="AL94" s="193">
        <v>26.21</v>
      </c>
      <c r="AM94" s="193">
        <v>29.77</v>
      </c>
      <c r="AN94" s="193">
        <v>33.92</v>
      </c>
      <c r="AO94" s="193">
        <v>38.58</v>
      </c>
      <c r="AP94" s="193">
        <v>43.68</v>
      </c>
      <c r="AQ94" s="193">
        <v>49.46</v>
      </c>
      <c r="AR94" s="193">
        <v>55.93</v>
      </c>
      <c r="AS94" s="193">
        <v>63.46</v>
      </c>
      <c r="AT94" s="193">
        <v>72.19</v>
      </c>
      <c r="AU94" s="193">
        <v>82.34</v>
      </c>
      <c r="AV94" s="193">
        <v>94.09</v>
      </c>
      <c r="AW94" s="193">
        <v>107.61</v>
      </c>
      <c r="AX94" s="193">
        <v>122.9</v>
      </c>
      <c r="AY94" s="193">
        <v>139.49</v>
      </c>
      <c r="AZ94" s="193">
        <v>157.18</v>
      </c>
      <c r="BA94" s="193">
        <v>175.35</v>
      </c>
      <c r="BB94" s="193">
        <v>193.52</v>
      </c>
      <c r="BC94" s="193">
        <v>211.49</v>
      </c>
      <c r="BD94" s="193">
        <v>228.36</v>
      </c>
      <c r="BE94" s="193">
        <v>243.4</v>
      </c>
      <c r="BF94" s="193">
        <v>262.43</v>
      </c>
      <c r="BG94" s="193">
        <v>282.69</v>
      </c>
      <c r="BH94" s="193">
        <v>304.70999999999998</v>
      </c>
      <c r="BI94" s="193">
        <v>328</v>
      </c>
      <c r="BJ94" s="193">
        <v>352.09</v>
      </c>
      <c r="BK94" s="193">
        <v>374.47</v>
      </c>
      <c r="BL94" s="193">
        <v>396.8</v>
      </c>
      <c r="BM94" s="193">
        <v>418.66</v>
      </c>
      <c r="BN94" s="193">
        <v>439.65</v>
      </c>
      <c r="BO94" s="193">
        <v>459.36</v>
      </c>
      <c r="BP94" s="193">
        <v>477.43</v>
      </c>
      <c r="BQ94" s="193">
        <v>503.32</v>
      </c>
      <c r="BR94" s="193">
        <v>530.61</v>
      </c>
      <c r="BS94" s="193">
        <v>559.39</v>
      </c>
      <c r="BT94" s="193">
        <v>589.72</v>
      </c>
      <c r="BU94" s="193">
        <v>621.70000000000005</v>
      </c>
      <c r="BV94" s="193">
        <v>655.42</v>
      </c>
      <c r="BW94" s="193">
        <v>690.96</v>
      </c>
      <c r="BX94" s="193">
        <v>728.43</v>
      </c>
      <c r="BY94" s="193">
        <v>767.94</v>
      </c>
      <c r="BZ94" s="193">
        <v>809.58</v>
      </c>
      <c r="CA94" s="193">
        <v>853.48</v>
      </c>
      <c r="CB94" s="143"/>
      <c r="CC94" s="143"/>
      <c r="CD94" s="143"/>
      <c r="CE94" s="143"/>
    </row>
    <row r="95" spans="1:83" s="53" customFormat="1" x14ac:dyDescent="0.25">
      <c r="A95" s="192">
        <f t="shared" si="83"/>
        <v>24</v>
      </c>
      <c r="B95" s="193">
        <v>1.51</v>
      </c>
      <c r="C95" s="193">
        <v>1.58</v>
      </c>
      <c r="D95" s="193">
        <v>1.61</v>
      </c>
      <c r="E95" s="193">
        <v>1.64</v>
      </c>
      <c r="F95" s="193">
        <v>1.67</v>
      </c>
      <c r="G95" s="193">
        <v>1.69</v>
      </c>
      <c r="H95" s="193">
        <v>1.73</v>
      </c>
      <c r="I95" s="193">
        <v>1.83</v>
      </c>
      <c r="J95" s="193">
        <v>1.96</v>
      </c>
      <c r="K95" s="193">
        <v>2.12</v>
      </c>
      <c r="L95" s="193">
        <v>2.31</v>
      </c>
      <c r="M95" s="193">
        <v>2.52</v>
      </c>
      <c r="N95" s="193">
        <v>2.75</v>
      </c>
      <c r="O95" s="193">
        <v>3</v>
      </c>
      <c r="P95" s="193">
        <v>3.25</v>
      </c>
      <c r="Q95" s="193">
        <v>3.51</v>
      </c>
      <c r="R95" s="193">
        <v>3.78</v>
      </c>
      <c r="S95" s="193">
        <v>4.0599999999999996</v>
      </c>
      <c r="T95" s="193">
        <v>4.37</v>
      </c>
      <c r="U95" s="193">
        <v>4.74</v>
      </c>
      <c r="V95" s="193">
        <v>5.2</v>
      </c>
      <c r="W95" s="193">
        <v>5.7</v>
      </c>
      <c r="X95" s="193">
        <v>6.31</v>
      </c>
      <c r="Y95" s="193">
        <v>7.04</v>
      </c>
      <c r="Z95" s="193">
        <v>7.7</v>
      </c>
      <c r="AA95" s="193">
        <v>8.51</v>
      </c>
      <c r="AB95" s="193">
        <v>9.44</v>
      </c>
      <c r="AC95" s="193">
        <v>10.53</v>
      </c>
      <c r="AD95" s="193">
        <v>11.72</v>
      </c>
      <c r="AE95" s="193">
        <v>13.15</v>
      </c>
      <c r="AF95" s="193">
        <v>14.76</v>
      </c>
      <c r="AG95" s="193">
        <v>16.59</v>
      </c>
      <c r="AH95" s="193">
        <v>18.75</v>
      </c>
      <c r="AI95" s="193">
        <v>20.98</v>
      </c>
      <c r="AJ95" s="193">
        <v>23.44</v>
      </c>
      <c r="AK95" s="193">
        <v>26.29</v>
      </c>
      <c r="AL95" s="193">
        <v>30.06</v>
      </c>
      <c r="AM95" s="193">
        <v>33.97</v>
      </c>
      <c r="AN95" s="193">
        <v>38.74</v>
      </c>
      <c r="AO95" s="193">
        <v>43.68</v>
      </c>
      <c r="AP95" s="193">
        <v>49.46</v>
      </c>
      <c r="AQ95" s="193">
        <v>55.93</v>
      </c>
      <c r="AR95" s="193">
        <v>63.46</v>
      </c>
      <c r="AS95" s="193">
        <v>72.19</v>
      </c>
      <c r="AT95" s="193">
        <v>82.34</v>
      </c>
      <c r="AU95" s="193">
        <v>94.09</v>
      </c>
      <c r="AV95" s="193">
        <v>107.61</v>
      </c>
      <c r="AW95" s="193">
        <v>122.9</v>
      </c>
      <c r="AX95" s="193">
        <v>139.49</v>
      </c>
      <c r="AY95" s="193">
        <v>157.18</v>
      </c>
      <c r="AZ95" s="193">
        <v>175.35</v>
      </c>
      <c r="BA95" s="193">
        <v>193.52</v>
      </c>
      <c r="BB95" s="193">
        <v>211.49</v>
      </c>
      <c r="BC95" s="193">
        <v>228.36</v>
      </c>
      <c r="BD95" s="193">
        <v>243.4</v>
      </c>
      <c r="BE95" s="193">
        <v>262.43</v>
      </c>
      <c r="BF95" s="193">
        <v>282.69</v>
      </c>
      <c r="BG95" s="193">
        <v>304.70999999999998</v>
      </c>
      <c r="BH95" s="193">
        <v>328</v>
      </c>
      <c r="BI95" s="193">
        <v>352.09</v>
      </c>
      <c r="BJ95" s="193">
        <v>374.47</v>
      </c>
      <c r="BK95" s="193">
        <v>396.8</v>
      </c>
      <c r="BL95" s="193">
        <v>418.66</v>
      </c>
      <c r="BM95" s="193">
        <v>439.65</v>
      </c>
      <c r="BN95" s="193">
        <v>459.36</v>
      </c>
      <c r="BO95" s="193">
        <v>477.43</v>
      </c>
      <c r="BP95" s="193">
        <v>503.32</v>
      </c>
      <c r="BQ95" s="193">
        <v>530.61</v>
      </c>
      <c r="BR95" s="193">
        <v>559.39</v>
      </c>
      <c r="BS95" s="193">
        <v>589.72</v>
      </c>
      <c r="BT95" s="193">
        <v>621.70000000000005</v>
      </c>
      <c r="BU95" s="193">
        <v>655.42</v>
      </c>
      <c r="BV95" s="193">
        <v>690.96</v>
      </c>
      <c r="BW95" s="193">
        <v>728.43</v>
      </c>
      <c r="BX95" s="193">
        <v>767.94</v>
      </c>
      <c r="BY95" s="193">
        <v>809.58</v>
      </c>
      <c r="BZ95" s="193">
        <v>853.48</v>
      </c>
      <c r="CA95" s="193">
        <v>899.77</v>
      </c>
      <c r="CB95" s="143"/>
      <c r="CC95" s="143"/>
      <c r="CD95" s="143"/>
      <c r="CE95" s="143"/>
    </row>
    <row r="96" spans="1:83" s="53" customFormat="1" x14ac:dyDescent="0.25">
      <c r="A96" s="192">
        <f t="shared" si="83"/>
        <v>25</v>
      </c>
      <c r="B96" s="193">
        <v>1.61</v>
      </c>
      <c r="C96" s="193">
        <v>1.68</v>
      </c>
      <c r="D96" s="193">
        <v>1.72</v>
      </c>
      <c r="E96" s="193">
        <v>1.78</v>
      </c>
      <c r="F96" s="193">
        <v>1.83</v>
      </c>
      <c r="G96" s="193">
        <v>1.88</v>
      </c>
      <c r="H96" s="193">
        <v>1.94</v>
      </c>
      <c r="I96" s="193">
        <v>2.04</v>
      </c>
      <c r="J96" s="193">
        <v>2.19</v>
      </c>
      <c r="K96" s="193">
        <v>2.37</v>
      </c>
      <c r="L96" s="193">
        <v>2.58</v>
      </c>
      <c r="M96" s="193">
        <v>2.83</v>
      </c>
      <c r="N96" s="193">
        <v>3.08</v>
      </c>
      <c r="O96" s="193">
        <v>3.34</v>
      </c>
      <c r="P96" s="193">
        <v>3.59</v>
      </c>
      <c r="Q96" s="193">
        <v>3.83</v>
      </c>
      <c r="R96" s="193">
        <v>4.08</v>
      </c>
      <c r="S96" s="193">
        <v>4.37</v>
      </c>
      <c r="T96" s="193">
        <v>4.74</v>
      </c>
      <c r="U96" s="193">
        <v>5.2</v>
      </c>
      <c r="V96" s="193">
        <v>5.74</v>
      </c>
      <c r="W96" s="193">
        <v>6.41</v>
      </c>
      <c r="X96" s="193">
        <v>7.13</v>
      </c>
      <c r="Y96" s="193">
        <v>7.87</v>
      </c>
      <c r="Z96" s="193">
        <v>8.66</v>
      </c>
      <c r="AA96" s="193">
        <v>9.56</v>
      </c>
      <c r="AB96" s="193">
        <v>10.58</v>
      </c>
      <c r="AC96" s="193">
        <v>11.77</v>
      </c>
      <c r="AD96" s="193">
        <v>13.18</v>
      </c>
      <c r="AE96" s="193">
        <v>14.78</v>
      </c>
      <c r="AF96" s="193">
        <v>16.64</v>
      </c>
      <c r="AG96" s="193">
        <v>18.77</v>
      </c>
      <c r="AH96" s="193">
        <v>21.29</v>
      </c>
      <c r="AI96" s="193">
        <v>23.98</v>
      </c>
      <c r="AJ96" s="193">
        <v>26.9</v>
      </c>
      <c r="AK96" s="193">
        <v>30.15</v>
      </c>
      <c r="AL96" s="193">
        <v>34.06</v>
      </c>
      <c r="AM96" s="193">
        <v>38.74</v>
      </c>
      <c r="AN96" s="193">
        <v>43.68</v>
      </c>
      <c r="AO96" s="193">
        <v>49.46</v>
      </c>
      <c r="AP96" s="193">
        <v>55.93</v>
      </c>
      <c r="AQ96" s="193">
        <v>63.46</v>
      </c>
      <c r="AR96" s="193">
        <v>72.19</v>
      </c>
      <c r="AS96" s="193">
        <v>82.34</v>
      </c>
      <c r="AT96" s="193">
        <v>94.09</v>
      </c>
      <c r="AU96" s="193">
        <v>107.61</v>
      </c>
      <c r="AV96" s="193">
        <v>122.9</v>
      </c>
      <c r="AW96" s="193">
        <v>139.49</v>
      </c>
      <c r="AX96" s="193">
        <v>157.18</v>
      </c>
      <c r="AY96" s="193">
        <v>175.35</v>
      </c>
      <c r="AZ96" s="193">
        <v>193.52</v>
      </c>
      <c r="BA96" s="193">
        <v>211.49</v>
      </c>
      <c r="BB96" s="193">
        <v>228.36</v>
      </c>
      <c r="BC96" s="193">
        <v>243.4</v>
      </c>
      <c r="BD96" s="193">
        <v>262.43</v>
      </c>
      <c r="BE96" s="193">
        <v>282.69</v>
      </c>
      <c r="BF96" s="193">
        <v>304.70999999999998</v>
      </c>
      <c r="BG96" s="193">
        <v>328</v>
      </c>
      <c r="BH96" s="193">
        <v>352.09</v>
      </c>
      <c r="BI96" s="193">
        <v>374.47</v>
      </c>
      <c r="BJ96" s="193">
        <v>396.8</v>
      </c>
      <c r="BK96" s="193">
        <v>418.66</v>
      </c>
      <c r="BL96" s="193">
        <v>439.65</v>
      </c>
      <c r="BM96" s="193">
        <v>459.36</v>
      </c>
      <c r="BN96" s="193">
        <v>477.43</v>
      </c>
      <c r="BO96" s="193">
        <v>503.32</v>
      </c>
      <c r="BP96" s="193">
        <v>530.61</v>
      </c>
      <c r="BQ96" s="193">
        <v>559.39</v>
      </c>
      <c r="BR96" s="193">
        <v>589.72</v>
      </c>
      <c r="BS96" s="193">
        <v>621.70000000000005</v>
      </c>
      <c r="BT96" s="193">
        <v>655.42</v>
      </c>
      <c r="BU96" s="193">
        <v>690.96</v>
      </c>
      <c r="BV96" s="193">
        <v>728.43</v>
      </c>
      <c r="BW96" s="193">
        <v>767.94</v>
      </c>
      <c r="BX96" s="193">
        <v>809.58</v>
      </c>
      <c r="BY96" s="193">
        <v>853.48</v>
      </c>
      <c r="BZ96" s="193">
        <v>899.77</v>
      </c>
      <c r="CA96" s="193">
        <v>948.56</v>
      </c>
      <c r="CB96" s="143"/>
      <c r="CC96" s="143"/>
      <c r="CD96" s="143"/>
      <c r="CE96" s="143"/>
    </row>
    <row r="97" spans="1:83" s="53" customFormat="1" x14ac:dyDescent="0.25">
      <c r="A97" s="192">
        <v>26</v>
      </c>
      <c r="B97" s="193">
        <v>1.7</v>
      </c>
      <c r="C97" s="193">
        <v>1.79</v>
      </c>
      <c r="D97" s="193">
        <v>1.83</v>
      </c>
      <c r="E97" s="193">
        <v>1.91</v>
      </c>
      <c r="F97" s="193">
        <v>1.97</v>
      </c>
      <c r="G97" s="193">
        <v>2.0499999999999998</v>
      </c>
      <c r="H97" s="193">
        <v>2.14</v>
      </c>
      <c r="I97" s="193">
        <v>2.25</v>
      </c>
      <c r="J97" s="193">
        <v>2.42</v>
      </c>
      <c r="K97" s="193">
        <v>2.63</v>
      </c>
      <c r="L97" s="193">
        <v>2.88</v>
      </c>
      <c r="M97" s="193">
        <v>3.14</v>
      </c>
      <c r="N97" s="193">
        <v>3.4</v>
      </c>
      <c r="O97" s="193">
        <v>3.64</v>
      </c>
      <c r="P97" s="193">
        <v>3.87</v>
      </c>
      <c r="Q97" s="193">
        <v>4.1100000000000003</v>
      </c>
      <c r="R97" s="193">
        <v>4.3899999999999997</v>
      </c>
      <c r="S97" s="193">
        <v>4.74</v>
      </c>
      <c r="T97" s="193">
        <v>5.21</v>
      </c>
      <c r="U97" s="193">
        <v>5.79</v>
      </c>
      <c r="V97" s="193">
        <v>6.44</v>
      </c>
      <c r="W97" s="193">
        <v>7.17</v>
      </c>
      <c r="X97" s="193">
        <v>7.96</v>
      </c>
      <c r="Y97" s="193">
        <v>8.81</v>
      </c>
      <c r="Z97" s="193">
        <v>9.7200000000000006</v>
      </c>
      <c r="AA97" s="193">
        <v>10.73</v>
      </c>
      <c r="AB97" s="193">
        <v>11.87</v>
      </c>
      <c r="AC97" s="193">
        <v>13.21</v>
      </c>
      <c r="AD97" s="193">
        <v>14.8</v>
      </c>
      <c r="AE97" s="193">
        <v>16.7</v>
      </c>
      <c r="AF97" s="193">
        <v>18.91</v>
      </c>
      <c r="AG97" s="193">
        <v>21.43</v>
      </c>
      <c r="AH97" s="193">
        <v>24.24</v>
      </c>
      <c r="AI97" s="193">
        <v>27.32</v>
      </c>
      <c r="AJ97" s="193">
        <v>30.71</v>
      </c>
      <c r="AK97" s="193">
        <v>34.46</v>
      </c>
      <c r="AL97" s="193">
        <v>38.74</v>
      </c>
      <c r="AM97" s="193">
        <v>43.68</v>
      </c>
      <c r="AN97" s="193">
        <v>49.46</v>
      </c>
      <c r="AO97" s="193">
        <v>55.93</v>
      </c>
      <c r="AP97" s="193">
        <v>63.46</v>
      </c>
      <c r="AQ97" s="193">
        <v>72.19</v>
      </c>
      <c r="AR97" s="193">
        <v>82.34</v>
      </c>
      <c r="AS97" s="193">
        <v>94.09</v>
      </c>
      <c r="AT97" s="193">
        <v>107.61</v>
      </c>
      <c r="AU97" s="193">
        <v>122.9</v>
      </c>
      <c r="AV97" s="193">
        <v>139.49</v>
      </c>
      <c r="AW97" s="193">
        <v>157.18</v>
      </c>
      <c r="AX97" s="193">
        <v>175.35</v>
      </c>
      <c r="AY97" s="193">
        <v>193.52</v>
      </c>
      <c r="AZ97" s="193">
        <v>211.49</v>
      </c>
      <c r="BA97" s="193">
        <v>228.36</v>
      </c>
      <c r="BB97" s="193">
        <v>243.4</v>
      </c>
      <c r="BC97" s="193">
        <v>262.43</v>
      </c>
      <c r="BD97" s="193">
        <v>282.69</v>
      </c>
      <c r="BE97" s="193">
        <v>304.70999999999998</v>
      </c>
      <c r="BF97" s="193">
        <v>328</v>
      </c>
      <c r="BG97" s="193">
        <v>352.09</v>
      </c>
      <c r="BH97" s="193">
        <v>374.47</v>
      </c>
      <c r="BI97" s="193">
        <v>396.8</v>
      </c>
      <c r="BJ97" s="193">
        <v>418.66</v>
      </c>
      <c r="BK97" s="193">
        <v>439.65</v>
      </c>
      <c r="BL97" s="193">
        <v>459.36</v>
      </c>
      <c r="BM97" s="193">
        <v>477.43</v>
      </c>
      <c r="BN97" s="193">
        <v>503.32</v>
      </c>
      <c r="BO97" s="193">
        <v>530.61</v>
      </c>
      <c r="BP97" s="193">
        <v>559.39</v>
      </c>
      <c r="BQ97" s="193">
        <v>589.72</v>
      </c>
      <c r="BR97" s="193">
        <v>621.70000000000005</v>
      </c>
      <c r="BS97" s="193">
        <v>655.42</v>
      </c>
      <c r="BT97" s="193">
        <v>690.96</v>
      </c>
      <c r="BU97" s="193">
        <v>728.43</v>
      </c>
      <c r="BV97" s="193">
        <v>767.94</v>
      </c>
      <c r="BW97" s="193">
        <v>809.58</v>
      </c>
      <c r="BX97" s="193">
        <v>853.48</v>
      </c>
      <c r="BY97" s="193">
        <v>899.77</v>
      </c>
      <c r="BZ97" s="193">
        <v>948.56</v>
      </c>
      <c r="CA97" s="193">
        <v>1000</v>
      </c>
      <c r="CB97" s="143"/>
      <c r="CC97" s="143"/>
      <c r="CD97" s="143"/>
      <c r="CE97" s="143"/>
    </row>
    <row r="98" spans="1:83" s="53" customFormat="1" x14ac:dyDescent="0.25"/>
    <row r="99" spans="1:83" s="53" customFormat="1" x14ac:dyDescent="0.25"/>
    <row r="100" spans="1:83" s="53" customFormat="1" x14ac:dyDescent="0.25"/>
    <row r="101" spans="1:83" s="53" customFormat="1" x14ac:dyDescent="0.25"/>
    <row r="102" spans="1:83" s="53" customFormat="1" x14ac:dyDescent="0.25"/>
    <row r="103" spans="1:83" s="53" customFormat="1" x14ac:dyDescent="0.25"/>
    <row r="104" spans="1:83" s="53" customFormat="1" x14ac:dyDescent="0.25"/>
    <row r="105" spans="1:83" s="53" customFormat="1" x14ac:dyDescent="0.25"/>
    <row r="106" spans="1:83" s="53" customFormat="1" x14ac:dyDescent="0.25"/>
    <row r="107" spans="1:83" s="53" customFormat="1" x14ac:dyDescent="0.25"/>
    <row r="108" spans="1:83" s="53" customFormat="1" x14ac:dyDescent="0.25"/>
    <row r="109" spans="1:83" s="53" customFormat="1" x14ac:dyDescent="0.25"/>
    <row r="110" spans="1:83" s="53" customFormat="1" x14ac:dyDescent="0.25"/>
    <row r="111" spans="1:83" s="53" customFormat="1" x14ac:dyDescent="0.25"/>
    <row r="112" spans="1:83" s="53" customFormat="1" x14ac:dyDescent="0.25"/>
    <row r="113" s="53" customFormat="1" x14ac:dyDescent="0.25"/>
    <row r="114" s="53" customFormat="1" x14ac:dyDescent="0.25"/>
    <row r="115" s="53" customFormat="1" x14ac:dyDescent="0.25"/>
    <row r="116" s="53" customFormat="1" x14ac:dyDescent="0.25"/>
    <row r="117" s="53" customFormat="1" x14ac:dyDescent="0.25"/>
    <row r="118" s="53" customFormat="1" x14ac:dyDescent="0.25"/>
    <row r="119" s="53" customFormat="1" x14ac:dyDescent="0.25"/>
    <row r="120" s="53" customFormat="1" x14ac:dyDescent="0.25"/>
    <row r="121" s="53" customFormat="1" x14ac:dyDescent="0.25"/>
    <row r="122" s="53" customFormat="1" x14ac:dyDescent="0.25"/>
    <row r="123" s="53" customFormat="1" x14ac:dyDescent="0.25"/>
    <row r="124" s="53" customFormat="1" x14ac:dyDescent="0.25"/>
    <row r="125" s="53" customFormat="1" x14ac:dyDescent="0.25"/>
    <row r="126" s="53" customFormat="1" x14ac:dyDescent="0.25"/>
    <row r="127" s="53" customFormat="1" x14ac:dyDescent="0.25"/>
    <row r="128" s="53" customFormat="1" x14ac:dyDescent="0.25"/>
    <row r="129" s="53" customFormat="1" x14ac:dyDescent="0.25"/>
    <row r="130" s="53" customFormat="1" x14ac:dyDescent="0.25"/>
    <row r="131" s="53" customFormat="1" x14ac:dyDescent="0.25"/>
    <row r="132" s="53" customFormat="1" x14ac:dyDescent="0.25"/>
    <row r="133" s="53" customFormat="1" x14ac:dyDescent="0.25"/>
    <row r="134" s="53" customFormat="1" x14ac:dyDescent="0.25"/>
    <row r="135" s="53" customFormat="1" x14ac:dyDescent="0.25"/>
    <row r="136" s="53" customFormat="1" x14ac:dyDescent="0.25"/>
    <row r="137" s="53" customFormat="1" x14ac:dyDescent="0.25"/>
    <row r="138" s="53" customFormat="1" x14ac:dyDescent="0.25"/>
    <row r="139" s="53" customFormat="1" x14ac:dyDescent="0.25"/>
    <row r="140" s="53" customFormat="1" x14ac:dyDescent="0.25"/>
    <row r="141" s="53" customFormat="1" x14ac:dyDescent="0.25"/>
    <row r="142" s="53" customFormat="1" x14ac:dyDescent="0.25"/>
    <row r="143" s="53" customFormat="1" x14ac:dyDescent="0.25"/>
    <row r="144" s="53" customFormat="1" x14ac:dyDescent="0.25"/>
    <row r="145" s="53" customFormat="1" x14ac:dyDescent="0.25"/>
    <row r="146" s="53" customFormat="1" x14ac:dyDescent="0.25"/>
    <row r="147" s="53" customFormat="1" x14ac:dyDescent="0.25"/>
    <row r="148" s="53" customFormat="1" x14ac:dyDescent="0.25"/>
    <row r="149" s="53" customFormat="1" x14ac:dyDescent="0.25"/>
    <row r="150" s="53" customFormat="1" x14ac:dyDescent="0.25"/>
    <row r="151" s="53" customFormat="1" x14ac:dyDescent="0.25"/>
    <row r="152" s="53" customFormat="1" x14ac:dyDescent="0.25"/>
    <row r="153" s="53" customFormat="1" x14ac:dyDescent="0.25"/>
    <row r="154" s="53" customFormat="1" x14ac:dyDescent="0.25"/>
    <row r="155" s="53" customFormat="1" x14ac:dyDescent="0.25"/>
    <row r="156" s="53" customFormat="1" x14ac:dyDescent="0.25"/>
    <row r="157" s="53" customFormat="1" x14ac:dyDescent="0.25"/>
    <row r="158" s="53" customFormat="1" x14ac:dyDescent="0.25"/>
    <row r="159" s="53" customFormat="1" x14ac:dyDescent="0.25"/>
    <row r="160" s="53" customFormat="1" x14ac:dyDescent="0.25"/>
    <row r="161" s="53" customFormat="1" x14ac:dyDescent="0.25"/>
    <row r="162" s="53" customFormat="1" x14ac:dyDescent="0.25"/>
    <row r="163" s="53" customFormat="1" x14ac:dyDescent="0.25"/>
    <row r="164" s="53" customFormat="1" x14ac:dyDescent="0.25"/>
    <row r="165" s="53" customFormat="1" x14ac:dyDescent="0.25"/>
    <row r="166" s="53" customFormat="1" x14ac:dyDescent="0.25"/>
    <row r="167" s="53" customFormat="1" x14ac:dyDescent="0.25"/>
    <row r="168" s="53" customFormat="1" x14ac:dyDescent="0.25"/>
    <row r="169" s="53" customFormat="1" x14ac:dyDescent="0.25"/>
    <row r="170" s="53" customFormat="1" x14ac:dyDescent="0.25"/>
    <row r="171" s="53" customFormat="1" x14ac:dyDescent="0.25"/>
    <row r="172" s="53" customFormat="1" x14ac:dyDescent="0.25"/>
    <row r="173" s="53" customFormat="1" x14ac:dyDescent="0.25"/>
    <row r="174" s="53" customFormat="1" x14ac:dyDescent="0.25"/>
    <row r="175" s="53" customFormat="1" x14ac:dyDescent="0.25"/>
    <row r="176" s="53" customFormat="1" x14ac:dyDescent="0.25"/>
    <row r="177" s="53" customFormat="1" x14ac:dyDescent="0.25"/>
    <row r="178" s="53" customFormat="1" x14ac:dyDescent="0.25"/>
    <row r="179" s="53" customFormat="1" x14ac:dyDescent="0.25"/>
    <row r="180" s="53" customFormat="1" x14ac:dyDescent="0.25"/>
    <row r="181" s="53" customFormat="1" x14ac:dyDescent="0.25"/>
    <row r="182" s="53" customFormat="1" x14ac:dyDescent="0.25"/>
    <row r="183" s="53" customFormat="1" x14ac:dyDescent="0.25"/>
    <row r="184" s="53" customFormat="1" x14ac:dyDescent="0.25"/>
    <row r="185" s="53" customFormat="1" x14ac:dyDescent="0.25"/>
    <row r="186" s="53" customFormat="1" x14ac:dyDescent="0.25"/>
    <row r="187" s="53" customFormat="1" x14ac:dyDescent="0.25"/>
    <row r="188" s="53" customFormat="1" x14ac:dyDescent="0.25"/>
    <row r="189" s="53" customFormat="1" x14ac:dyDescent="0.25"/>
    <row r="190" s="53" customFormat="1" x14ac:dyDescent="0.25"/>
    <row r="191" s="53" customFormat="1" x14ac:dyDescent="0.25"/>
    <row r="192" s="53" customFormat="1" x14ac:dyDescent="0.25"/>
    <row r="193" s="53" customFormat="1" x14ac:dyDescent="0.25"/>
    <row r="194" s="53" customFormat="1" x14ac:dyDescent="0.25"/>
    <row r="195" s="53" customFormat="1" x14ac:dyDescent="0.25"/>
    <row r="196" s="53" customFormat="1" x14ac:dyDescent="0.25"/>
    <row r="197" s="53" customFormat="1" x14ac:dyDescent="0.25"/>
    <row r="198" s="53" customFormat="1" x14ac:dyDescent="0.25"/>
    <row r="199" s="53" customFormat="1" x14ac:dyDescent="0.25"/>
    <row r="200" s="53" customFormat="1" x14ac:dyDescent="0.25"/>
    <row r="201" s="53" customFormat="1" x14ac:dyDescent="0.25"/>
    <row r="202" s="53" customFormat="1" x14ac:dyDescent="0.25"/>
    <row r="203" s="53" customFormat="1" x14ac:dyDescent="0.25"/>
    <row r="204" s="53" customFormat="1" x14ac:dyDescent="0.25"/>
    <row r="205" s="53" customFormat="1" x14ac:dyDescent="0.25"/>
    <row r="206" s="53" customFormat="1" x14ac:dyDescent="0.25"/>
    <row r="207" s="53" customFormat="1" x14ac:dyDescent="0.25"/>
    <row r="208" s="53" customFormat="1" x14ac:dyDescent="0.25"/>
    <row r="209" s="53" customFormat="1" x14ac:dyDescent="0.25"/>
    <row r="210" s="53" customFormat="1" x14ac:dyDescent="0.25"/>
    <row r="211" s="53" customFormat="1" x14ac:dyDescent="0.25"/>
    <row r="212" s="53" customFormat="1" x14ac:dyDescent="0.25"/>
    <row r="213" s="53" customFormat="1" x14ac:dyDescent="0.25"/>
    <row r="214" s="53" customFormat="1" x14ac:dyDescent="0.25"/>
    <row r="215" s="53" customFormat="1" x14ac:dyDescent="0.25"/>
    <row r="216" s="53" customFormat="1" x14ac:dyDescent="0.25"/>
    <row r="217" s="53" customFormat="1" x14ac:dyDescent="0.25"/>
    <row r="218" s="53" customFormat="1" x14ac:dyDescent="0.25"/>
    <row r="219" s="53" customFormat="1" x14ac:dyDescent="0.25"/>
    <row r="220" s="53" customFormat="1" x14ac:dyDescent="0.25"/>
    <row r="221" s="53" customFormat="1" x14ac:dyDescent="0.25"/>
    <row r="222" s="53" customFormat="1" x14ac:dyDescent="0.25"/>
    <row r="223" s="53" customFormat="1" x14ac:dyDescent="0.25"/>
    <row r="224" s="53" customFormat="1" x14ac:dyDescent="0.25"/>
    <row r="225" s="53" customFormat="1" x14ac:dyDescent="0.25"/>
    <row r="226" s="53" customFormat="1" x14ac:dyDescent="0.25"/>
    <row r="227" s="53" customFormat="1" x14ac:dyDescent="0.25"/>
    <row r="228" s="53" customFormat="1" x14ac:dyDescent="0.25"/>
    <row r="229" s="53" customFormat="1" x14ac:dyDescent="0.25"/>
    <row r="230" s="53" customFormat="1" x14ac:dyDescent="0.25"/>
    <row r="231" s="53" customFormat="1" x14ac:dyDescent="0.25"/>
    <row r="232" s="53" customFormat="1" x14ac:dyDescent="0.25"/>
    <row r="233" s="53" customFormat="1" x14ac:dyDescent="0.25"/>
    <row r="234" s="53" customFormat="1" x14ac:dyDescent="0.25"/>
    <row r="235" s="53" customFormat="1" x14ac:dyDescent="0.25"/>
    <row r="236" s="53" customFormat="1" x14ac:dyDescent="0.25"/>
    <row r="237" s="53" customFormat="1" x14ac:dyDescent="0.25"/>
    <row r="238" s="53" customFormat="1" x14ac:dyDescent="0.25"/>
    <row r="239" s="53" customFormat="1" x14ac:dyDescent="0.25"/>
    <row r="240" s="53" customFormat="1" x14ac:dyDescent="0.25"/>
    <row r="241" s="53" customFormat="1" x14ac:dyDescent="0.25"/>
    <row r="242" s="53" customFormat="1" x14ac:dyDescent="0.25"/>
    <row r="243" s="53" customFormat="1" x14ac:dyDescent="0.25"/>
    <row r="244" s="53" customFormat="1" x14ac:dyDescent="0.25"/>
    <row r="245" s="53" customFormat="1" x14ac:dyDescent="0.25"/>
    <row r="246" s="53" customFormat="1" x14ac:dyDescent="0.25"/>
    <row r="247" s="53" customFormat="1" x14ac:dyDescent="0.25"/>
    <row r="248" s="53" customFormat="1" x14ac:dyDescent="0.25"/>
    <row r="249" s="53" customFormat="1" x14ac:dyDescent="0.25"/>
    <row r="250" s="53" customFormat="1" x14ac:dyDescent="0.25"/>
    <row r="251" s="53" customFormat="1" x14ac:dyDescent="0.25"/>
    <row r="252" s="53" customFormat="1" x14ac:dyDescent="0.25"/>
    <row r="253" s="53" customFormat="1" x14ac:dyDescent="0.25"/>
    <row r="254" s="53" customFormat="1" x14ac:dyDescent="0.25"/>
    <row r="255" s="53" customFormat="1" x14ac:dyDescent="0.25"/>
    <row r="256" s="53" customFormat="1" x14ac:dyDescent="0.25"/>
    <row r="257" s="53" customFormat="1" x14ac:dyDescent="0.25"/>
    <row r="258" s="53" customFormat="1" x14ac:dyDescent="0.25"/>
    <row r="259" s="53" customFormat="1" x14ac:dyDescent="0.25"/>
    <row r="260" s="53" customFormat="1" x14ac:dyDescent="0.25"/>
    <row r="261" s="53" customFormat="1" x14ac:dyDescent="0.25"/>
    <row r="262" s="53" customFormat="1" x14ac:dyDescent="0.25"/>
    <row r="263" s="53" customFormat="1" x14ac:dyDescent="0.25"/>
    <row r="264" s="53" customFormat="1" x14ac:dyDescent="0.25"/>
    <row r="265" s="53" customFormat="1" x14ac:dyDescent="0.25"/>
    <row r="266" s="53" customFormat="1" x14ac:dyDescent="0.25"/>
    <row r="267" s="53" customFormat="1" x14ac:dyDescent="0.25"/>
    <row r="268" s="53" customFormat="1" x14ac:dyDescent="0.25"/>
    <row r="269" s="53" customFormat="1" x14ac:dyDescent="0.25"/>
    <row r="270" s="53" customFormat="1" x14ac:dyDescent="0.25"/>
    <row r="271" s="53" customFormat="1" x14ac:dyDescent="0.25"/>
    <row r="272" s="53" customFormat="1" x14ac:dyDescent="0.25"/>
    <row r="273" s="53" customFormat="1" x14ac:dyDescent="0.25"/>
    <row r="274" s="53" customFormat="1" x14ac:dyDescent="0.25"/>
    <row r="275" s="53" customFormat="1" x14ac:dyDescent="0.25"/>
    <row r="276" s="53" customFormat="1" x14ac:dyDescent="0.25"/>
    <row r="277" s="53" customFormat="1" x14ac:dyDescent="0.25"/>
    <row r="278" s="53" customFormat="1" x14ac:dyDescent="0.25"/>
    <row r="279" s="53" customFormat="1" x14ac:dyDescent="0.25"/>
    <row r="280" s="53" customFormat="1" x14ac:dyDescent="0.25"/>
    <row r="281" s="53" customFormat="1" x14ac:dyDescent="0.25"/>
    <row r="282" s="53" customFormat="1" x14ac:dyDescent="0.25"/>
    <row r="283" s="53" customFormat="1" x14ac:dyDescent="0.25"/>
    <row r="284" s="53" customFormat="1" x14ac:dyDescent="0.25"/>
    <row r="285" s="53" customFormat="1" x14ac:dyDescent="0.25"/>
    <row r="286" s="53" customFormat="1" x14ac:dyDescent="0.25"/>
    <row r="287" s="53" customFormat="1" x14ac:dyDescent="0.25"/>
    <row r="288" s="53" customFormat="1" x14ac:dyDescent="0.25"/>
    <row r="289" s="53" customFormat="1" x14ac:dyDescent="0.25"/>
    <row r="290" s="53" customFormat="1" x14ac:dyDescent="0.25"/>
    <row r="291" s="53" customFormat="1" x14ac:dyDescent="0.25"/>
    <row r="292" s="53" customFormat="1" x14ac:dyDescent="0.25"/>
    <row r="293" s="53" customFormat="1" x14ac:dyDescent="0.25"/>
    <row r="294" s="53" customFormat="1" x14ac:dyDescent="0.25"/>
    <row r="295" s="53" customFormat="1" x14ac:dyDescent="0.25"/>
    <row r="296" s="53" customFormat="1" x14ac:dyDescent="0.25"/>
    <row r="297" s="53" customFormat="1" x14ac:dyDescent="0.25"/>
    <row r="298" s="53" customFormat="1" x14ac:dyDescent="0.25"/>
    <row r="299" s="53" customFormat="1" x14ac:dyDescent="0.25"/>
    <row r="300" s="53" customFormat="1" x14ac:dyDescent="0.25"/>
    <row r="301" s="53" customFormat="1" x14ac:dyDescent="0.25"/>
    <row r="302" s="53" customFormat="1" x14ac:dyDescent="0.25"/>
    <row r="303" s="53" customFormat="1" x14ac:dyDescent="0.25"/>
    <row r="304" s="53" customFormat="1" x14ac:dyDescent="0.25"/>
    <row r="305" s="53" customFormat="1" x14ac:dyDescent="0.25"/>
    <row r="306" s="53" customFormat="1" x14ac:dyDescent="0.25"/>
    <row r="307" s="53" customFormat="1" x14ac:dyDescent="0.25"/>
    <row r="308" s="53" customFormat="1" x14ac:dyDescent="0.25"/>
    <row r="309" s="53" customFormat="1" x14ac:dyDescent="0.25"/>
    <row r="310" s="53" customFormat="1" x14ac:dyDescent="0.25"/>
    <row r="311" s="53" customFormat="1" x14ac:dyDescent="0.25"/>
    <row r="312" s="53" customFormat="1" x14ac:dyDescent="0.25"/>
    <row r="313" s="53" customFormat="1" x14ac:dyDescent="0.25"/>
    <row r="314" s="53" customFormat="1" x14ac:dyDescent="0.25"/>
    <row r="315" s="53" customFormat="1" x14ac:dyDescent="0.25"/>
    <row r="316" s="53" customFormat="1" x14ac:dyDescent="0.25"/>
    <row r="317" s="53" customFormat="1" x14ac:dyDescent="0.25"/>
    <row r="318" s="53" customFormat="1" x14ac:dyDescent="0.25"/>
    <row r="319" s="53" customFormat="1" x14ac:dyDescent="0.25"/>
    <row r="320" s="53" customFormat="1" x14ac:dyDescent="0.25"/>
    <row r="321" s="53" customFormat="1" x14ac:dyDescent="0.25"/>
    <row r="322" s="53" customFormat="1" x14ac:dyDescent="0.25"/>
    <row r="323" s="53" customFormat="1" x14ac:dyDescent="0.25"/>
    <row r="324" s="53" customFormat="1" x14ac:dyDescent="0.25"/>
    <row r="325" s="53" customFormat="1" x14ac:dyDescent="0.25"/>
    <row r="326" s="53" customFormat="1" x14ac:dyDescent="0.25"/>
    <row r="327" s="53" customFormat="1" x14ac:dyDescent="0.25"/>
    <row r="328" s="53" customFormat="1" x14ac:dyDescent="0.25"/>
    <row r="329" s="53" customFormat="1" x14ac:dyDescent="0.25"/>
    <row r="330" s="53" customFormat="1" x14ac:dyDescent="0.25"/>
    <row r="331" s="53" customFormat="1" x14ac:dyDescent="0.25"/>
    <row r="332" s="53" customFormat="1" x14ac:dyDescent="0.25"/>
    <row r="333" s="53" customFormat="1" x14ac:dyDescent="0.25"/>
    <row r="334" s="53" customFormat="1" x14ac:dyDescent="0.25"/>
    <row r="335" s="53" customFormat="1" x14ac:dyDescent="0.25"/>
    <row r="336" s="53" customFormat="1" x14ac:dyDescent="0.25"/>
    <row r="337" s="53" customFormat="1" x14ac:dyDescent="0.25"/>
    <row r="338" s="53" customFormat="1" x14ac:dyDescent="0.25"/>
    <row r="339" s="53" customFormat="1" x14ac:dyDescent="0.25"/>
    <row r="340" s="53" customFormat="1" x14ac:dyDescent="0.25"/>
    <row r="341" s="53" customFormat="1" x14ac:dyDescent="0.25"/>
    <row r="342" s="53" customFormat="1" x14ac:dyDescent="0.25"/>
    <row r="343" s="53" customFormat="1" x14ac:dyDescent="0.25"/>
    <row r="344" s="53" customFormat="1" x14ac:dyDescent="0.25"/>
    <row r="345" s="53" customFormat="1" x14ac:dyDescent="0.25"/>
    <row r="346" s="53" customFormat="1" x14ac:dyDescent="0.25"/>
    <row r="347" s="53" customFormat="1" x14ac:dyDescent="0.25"/>
    <row r="348" s="53" customFormat="1" x14ac:dyDescent="0.25"/>
    <row r="349" s="53" customFormat="1" x14ac:dyDescent="0.25"/>
    <row r="350" s="53" customFormat="1" x14ac:dyDescent="0.25"/>
    <row r="351" s="53" customFormat="1" x14ac:dyDescent="0.25"/>
    <row r="352" s="53" customFormat="1" x14ac:dyDescent="0.25"/>
    <row r="353" s="53" customFormat="1" x14ac:dyDescent="0.25"/>
    <row r="354" s="53" customFormat="1" x14ac:dyDescent="0.25"/>
    <row r="355" s="53" customFormat="1" x14ac:dyDescent="0.25"/>
    <row r="356" s="53" customFormat="1" x14ac:dyDescent="0.25"/>
    <row r="357" s="53" customFormat="1" x14ac:dyDescent="0.25"/>
    <row r="358" s="53" customFormat="1" x14ac:dyDescent="0.25"/>
    <row r="359" s="53" customFormat="1" x14ac:dyDescent="0.25"/>
    <row r="360" s="53" customFormat="1" x14ac:dyDescent="0.25"/>
    <row r="361" s="53" customFormat="1" x14ac:dyDescent="0.25"/>
    <row r="362" s="53" customFormat="1" x14ac:dyDescent="0.25"/>
    <row r="363" s="53" customFormat="1" x14ac:dyDescent="0.25"/>
    <row r="364" s="53" customFormat="1" x14ac:dyDescent="0.25"/>
    <row r="365" s="53" customFormat="1" x14ac:dyDescent="0.25"/>
    <row r="366" s="53" customFormat="1" x14ac:dyDescent="0.25"/>
    <row r="367" s="53" customFormat="1" x14ac:dyDescent="0.25"/>
    <row r="368" s="53" customFormat="1" x14ac:dyDescent="0.25"/>
    <row r="369" s="53" customFormat="1" x14ac:dyDescent="0.25"/>
    <row r="370" s="53" customFormat="1" x14ac:dyDescent="0.25"/>
    <row r="371" s="53" customFormat="1" x14ac:dyDescent="0.25"/>
    <row r="372" s="53" customFormat="1" x14ac:dyDescent="0.25"/>
    <row r="373" s="53" customFormat="1" x14ac:dyDescent="0.25"/>
    <row r="374" s="53" customFormat="1" x14ac:dyDescent="0.25"/>
    <row r="375" s="53" customFormat="1" x14ac:dyDescent="0.25"/>
    <row r="376" s="53" customFormat="1" x14ac:dyDescent="0.25"/>
    <row r="377" s="53" customFormat="1" x14ac:dyDescent="0.25"/>
    <row r="378" s="53" customFormat="1" x14ac:dyDescent="0.25"/>
    <row r="379" s="53" customFormat="1" x14ac:dyDescent="0.25"/>
    <row r="380" s="53" customFormat="1" x14ac:dyDescent="0.25"/>
    <row r="381" s="53" customFormat="1" x14ac:dyDescent="0.25"/>
    <row r="382" s="53" customFormat="1" x14ac:dyDescent="0.25"/>
    <row r="383" s="53" customFormat="1" x14ac:dyDescent="0.25"/>
    <row r="384" s="53" customFormat="1" x14ac:dyDescent="0.25"/>
    <row r="385" s="53" customFormat="1" x14ac:dyDescent="0.25"/>
    <row r="386" s="53" customFormat="1" x14ac:dyDescent="0.25"/>
    <row r="387" s="53" customFormat="1" x14ac:dyDescent="0.25"/>
    <row r="388" s="53" customFormat="1" x14ac:dyDescent="0.25"/>
    <row r="389" s="53" customFormat="1" x14ac:dyDescent="0.25"/>
    <row r="390" s="53" customFormat="1" x14ac:dyDescent="0.25"/>
    <row r="391" s="53" customFormat="1" x14ac:dyDescent="0.25"/>
    <row r="392" s="53" customFormat="1" x14ac:dyDescent="0.25"/>
    <row r="393" s="53" customFormat="1" x14ac:dyDescent="0.25"/>
    <row r="394" s="53" customFormat="1" x14ac:dyDescent="0.25"/>
    <row r="395" s="53" customFormat="1" x14ac:dyDescent="0.25"/>
    <row r="396" s="53" customFormat="1" x14ac:dyDescent="0.25"/>
    <row r="397" s="53" customFormat="1" x14ac:dyDescent="0.25"/>
    <row r="398" s="53" customFormat="1" x14ac:dyDescent="0.25"/>
    <row r="399" s="53" customFormat="1" x14ac:dyDescent="0.25"/>
    <row r="400" s="53" customFormat="1" x14ac:dyDescent="0.25"/>
    <row r="401" s="53" customFormat="1" x14ac:dyDescent="0.25"/>
    <row r="402" s="53" customFormat="1" x14ac:dyDescent="0.25"/>
    <row r="403" s="53" customFormat="1" x14ac:dyDescent="0.25"/>
    <row r="404" s="53" customFormat="1" x14ac:dyDescent="0.25"/>
    <row r="405" s="53" customFormat="1" x14ac:dyDescent="0.25"/>
    <row r="406" s="53" customFormat="1" x14ac:dyDescent="0.25"/>
    <row r="407" s="53" customFormat="1" x14ac:dyDescent="0.25"/>
    <row r="408" s="53" customFormat="1" x14ac:dyDescent="0.25"/>
    <row r="409" s="53" customFormat="1" x14ac:dyDescent="0.25"/>
    <row r="410" s="53" customFormat="1" x14ac:dyDescent="0.25"/>
    <row r="411" s="53" customFormat="1" x14ac:dyDescent="0.25"/>
    <row r="412" s="53" customFormat="1" x14ac:dyDescent="0.25"/>
    <row r="413" s="53" customFormat="1" x14ac:dyDescent="0.25"/>
    <row r="414" s="53" customFormat="1" x14ac:dyDescent="0.25"/>
    <row r="415" s="53" customFormat="1" x14ac:dyDescent="0.25"/>
    <row r="416" s="53" customFormat="1" x14ac:dyDescent="0.25"/>
    <row r="417" s="53" customFormat="1" x14ac:dyDescent="0.25"/>
    <row r="418" s="53" customFormat="1" x14ac:dyDescent="0.25"/>
    <row r="419" s="53" customFormat="1" x14ac:dyDescent="0.25"/>
    <row r="420" s="53" customFormat="1" x14ac:dyDescent="0.25"/>
    <row r="421" s="53" customFormat="1" x14ac:dyDescent="0.25"/>
    <row r="422" s="53" customFormat="1" x14ac:dyDescent="0.25"/>
    <row r="423" s="53" customFormat="1" x14ac:dyDescent="0.25"/>
    <row r="424" s="53" customFormat="1" x14ac:dyDescent="0.25"/>
    <row r="425" s="53" customFormat="1" x14ac:dyDescent="0.25"/>
    <row r="426" s="53" customFormat="1" x14ac:dyDescent="0.25"/>
    <row r="427" s="53" customFormat="1" x14ac:dyDescent="0.25"/>
    <row r="428" s="53" customFormat="1" x14ac:dyDescent="0.25"/>
    <row r="429" s="53" customFormat="1" x14ac:dyDescent="0.25"/>
    <row r="430" s="53" customFormat="1" x14ac:dyDescent="0.25"/>
    <row r="431" s="53" customFormat="1" x14ac:dyDescent="0.25"/>
    <row r="432" s="53" customFormat="1" x14ac:dyDescent="0.25"/>
    <row r="433" s="53" customFormat="1" x14ac:dyDescent="0.25"/>
    <row r="434" s="53" customFormat="1" x14ac:dyDescent="0.25"/>
    <row r="435" s="53" customFormat="1" x14ac:dyDescent="0.25"/>
    <row r="436" s="53" customFormat="1" x14ac:dyDescent="0.25"/>
    <row r="437" s="53" customFormat="1" x14ac:dyDescent="0.25"/>
    <row r="438" s="53" customFormat="1" x14ac:dyDescent="0.25"/>
    <row r="439" s="53" customFormat="1" x14ac:dyDescent="0.25"/>
    <row r="440" s="53" customFormat="1" x14ac:dyDescent="0.25"/>
    <row r="441" s="53" customFormat="1" x14ac:dyDescent="0.25"/>
    <row r="442" s="53" customFormat="1" x14ac:dyDescent="0.25"/>
    <row r="443" s="53" customFormat="1" x14ac:dyDescent="0.25"/>
    <row r="444" s="53" customFormat="1" x14ac:dyDescent="0.25"/>
    <row r="445" s="53" customFormat="1" x14ac:dyDescent="0.25"/>
    <row r="446" s="53" customFormat="1" x14ac:dyDescent="0.25"/>
    <row r="447" s="53" customFormat="1" x14ac:dyDescent="0.25"/>
    <row r="448" s="53" customFormat="1" x14ac:dyDescent="0.25"/>
    <row r="449" s="53" customFormat="1" x14ac:dyDescent="0.25"/>
    <row r="450" s="53" customFormat="1" x14ac:dyDescent="0.25"/>
    <row r="451" s="53" customFormat="1" x14ac:dyDescent="0.25"/>
    <row r="452" s="53" customFormat="1" x14ac:dyDescent="0.25"/>
    <row r="453" s="53" customFormat="1" x14ac:dyDescent="0.25"/>
    <row r="454" s="53" customFormat="1" x14ac:dyDescent="0.25"/>
    <row r="455" s="53" customFormat="1" x14ac:dyDescent="0.25"/>
    <row r="456" s="53" customFormat="1" x14ac:dyDescent="0.25"/>
    <row r="457" s="53" customFormat="1" x14ac:dyDescent="0.25"/>
    <row r="458" s="53" customFormat="1" x14ac:dyDescent="0.25"/>
    <row r="459" s="53" customFormat="1" x14ac:dyDescent="0.25"/>
    <row r="460" s="53" customFormat="1" x14ac:dyDescent="0.25"/>
    <row r="461" s="53" customFormat="1" x14ac:dyDescent="0.25"/>
    <row r="462" s="53" customFormat="1" x14ac:dyDescent="0.25"/>
    <row r="463" s="53" customFormat="1" x14ac:dyDescent="0.25"/>
    <row r="464" s="53" customFormat="1" x14ac:dyDescent="0.25"/>
    <row r="465" s="53" customFormat="1" x14ac:dyDescent="0.25"/>
    <row r="466" s="53" customFormat="1" x14ac:dyDescent="0.25"/>
    <row r="467" s="53" customFormat="1" x14ac:dyDescent="0.25"/>
    <row r="468" s="53" customFormat="1" x14ac:dyDescent="0.25"/>
    <row r="469" s="53" customFormat="1" x14ac:dyDescent="0.25"/>
    <row r="470" s="53" customFormat="1" x14ac:dyDescent="0.25"/>
    <row r="471" s="53" customFormat="1" x14ac:dyDescent="0.25"/>
    <row r="472" s="53" customFormat="1" x14ac:dyDescent="0.25"/>
    <row r="473" s="53" customFormat="1" x14ac:dyDescent="0.25"/>
    <row r="474" s="53" customFormat="1" x14ac:dyDescent="0.25"/>
    <row r="475" s="53" customFormat="1" x14ac:dyDescent="0.25"/>
    <row r="476" s="53" customFormat="1" x14ac:dyDescent="0.25"/>
    <row r="477" s="53" customFormat="1" x14ac:dyDescent="0.25"/>
    <row r="478" s="53" customFormat="1" x14ac:dyDescent="0.25"/>
    <row r="479" s="53" customFormat="1" x14ac:dyDescent="0.25"/>
    <row r="480" s="53" customFormat="1" x14ac:dyDescent="0.25"/>
    <row r="481" s="53" customFormat="1" x14ac:dyDescent="0.25"/>
    <row r="482" s="53" customFormat="1" x14ac:dyDescent="0.25"/>
    <row r="483" s="53" customFormat="1" x14ac:dyDescent="0.25"/>
    <row r="484" s="53" customFormat="1" x14ac:dyDescent="0.25"/>
    <row r="485" s="53" customFormat="1" x14ac:dyDescent="0.25"/>
    <row r="486" s="53" customFormat="1" x14ac:dyDescent="0.25"/>
    <row r="487" s="53" customFormat="1" x14ac:dyDescent="0.25"/>
    <row r="488" s="53" customFormat="1" x14ac:dyDescent="0.25"/>
    <row r="489" s="53" customFormat="1" x14ac:dyDescent="0.25"/>
    <row r="490" s="53" customFormat="1" x14ac:dyDescent="0.25"/>
    <row r="491" s="53" customFormat="1" x14ac:dyDescent="0.25"/>
    <row r="492" s="53" customFormat="1" x14ac:dyDescent="0.25"/>
    <row r="493" s="53" customFormat="1" x14ac:dyDescent="0.25"/>
    <row r="494" s="53" customFormat="1" x14ac:dyDescent="0.25"/>
    <row r="495" s="53" customFormat="1" x14ac:dyDescent="0.25"/>
    <row r="496" s="53" customFormat="1" x14ac:dyDescent="0.25"/>
    <row r="497" s="53" customFormat="1" x14ac:dyDescent="0.25"/>
    <row r="498" s="53" customFormat="1" x14ac:dyDescent="0.25"/>
    <row r="499" s="53" customFormat="1" x14ac:dyDescent="0.25"/>
    <row r="500" s="53" customFormat="1" x14ac:dyDescent="0.25"/>
    <row r="501" s="53" customFormat="1" x14ac:dyDescent="0.25"/>
    <row r="502" s="53" customFormat="1" x14ac:dyDescent="0.25"/>
    <row r="503" s="53" customFormat="1" x14ac:dyDescent="0.25"/>
    <row r="504" s="53" customFormat="1" x14ac:dyDescent="0.25"/>
    <row r="505" s="53" customFormat="1" x14ac:dyDescent="0.25"/>
    <row r="506" s="53" customFormat="1" x14ac:dyDescent="0.25"/>
    <row r="507" s="53" customFormat="1" x14ac:dyDescent="0.25"/>
    <row r="508" s="53" customFormat="1" x14ac:dyDescent="0.25"/>
    <row r="509" s="53" customFormat="1" x14ac:dyDescent="0.25"/>
    <row r="510" s="53" customFormat="1" x14ac:dyDescent="0.25"/>
    <row r="511" s="53" customFormat="1" x14ac:dyDescent="0.25"/>
    <row r="512" s="53" customFormat="1" x14ac:dyDescent="0.25"/>
    <row r="513" s="53" customFormat="1" x14ac:dyDescent="0.25"/>
    <row r="514" s="53" customFormat="1" x14ac:dyDescent="0.25"/>
    <row r="515" s="53" customFormat="1" x14ac:dyDescent="0.25"/>
    <row r="516" s="53" customFormat="1" x14ac:dyDescent="0.25"/>
    <row r="517" s="53" customFormat="1" x14ac:dyDescent="0.25"/>
    <row r="518" s="53" customFormat="1" x14ac:dyDescent="0.25"/>
    <row r="519" s="53" customFormat="1" x14ac:dyDescent="0.25"/>
    <row r="520" s="53" customFormat="1" x14ac:dyDescent="0.25"/>
    <row r="521" s="53" customFormat="1" x14ac:dyDescent="0.25"/>
    <row r="522" s="53" customFormat="1" x14ac:dyDescent="0.25"/>
    <row r="523" s="53" customFormat="1" x14ac:dyDescent="0.25"/>
    <row r="524" s="53" customFormat="1" x14ac:dyDescent="0.25"/>
    <row r="525" s="53" customFormat="1" x14ac:dyDescent="0.25"/>
    <row r="526" s="53" customFormat="1" x14ac:dyDescent="0.25"/>
    <row r="527" s="53" customFormat="1" x14ac:dyDescent="0.25"/>
    <row r="528" s="53" customFormat="1" x14ac:dyDescent="0.25"/>
    <row r="529" s="53" customFormat="1" x14ac:dyDescent="0.25"/>
    <row r="530" s="53" customFormat="1" x14ac:dyDescent="0.25"/>
    <row r="531" s="53" customFormat="1" x14ac:dyDescent="0.25"/>
    <row r="532" s="53" customFormat="1" x14ac:dyDescent="0.25"/>
    <row r="533" s="53" customFormat="1" x14ac:dyDescent="0.25"/>
    <row r="534" s="53" customFormat="1" x14ac:dyDescent="0.25"/>
    <row r="535" s="53" customFormat="1" x14ac:dyDescent="0.25"/>
    <row r="536" s="53" customFormat="1" x14ac:dyDescent="0.25"/>
    <row r="537" s="53" customFormat="1" x14ac:dyDescent="0.25"/>
    <row r="538" s="53" customFormat="1" x14ac:dyDescent="0.25"/>
    <row r="539" s="53" customFormat="1" x14ac:dyDescent="0.25"/>
    <row r="540" s="53" customFormat="1" x14ac:dyDescent="0.25"/>
    <row r="541" s="53" customFormat="1" x14ac:dyDescent="0.25"/>
    <row r="542" s="53" customFormat="1" x14ac:dyDescent="0.25"/>
    <row r="543" s="53" customFormat="1" x14ac:dyDescent="0.25"/>
    <row r="544" s="53" customFormat="1" x14ac:dyDescent="0.25"/>
    <row r="545" s="53" customFormat="1" x14ac:dyDescent="0.25"/>
    <row r="546" s="53" customFormat="1" x14ac:dyDescent="0.25"/>
    <row r="547" s="53" customFormat="1" x14ac:dyDescent="0.25"/>
    <row r="548" s="53" customFormat="1" x14ac:dyDescent="0.25"/>
    <row r="549" s="53" customFormat="1" x14ac:dyDescent="0.25"/>
    <row r="550" s="53" customFormat="1" x14ac:dyDescent="0.25"/>
    <row r="551" s="53" customFormat="1" x14ac:dyDescent="0.25"/>
    <row r="552" s="53" customFormat="1" x14ac:dyDescent="0.25"/>
    <row r="553" s="53" customFormat="1" x14ac:dyDescent="0.25"/>
    <row r="554" s="53" customFormat="1" x14ac:dyDescent="0.25"/>
    <row r="555" s="53" customFormat="1" x14ac:dyDescent="0.25"/>
    <row r="556" s="53" customFormat="1" x14ac:dyDescent="0.25"/>
    <row r="557" s="53" customFormat="1" x14ac:dyDescent="0.25"/>
    <row r="558" s="53" customFormat="1" x14ac:dyDescent="0.25"/>
    <row r="559" s="53" customFormat="1" x14ac:dyDescent="0.25"/>
    <row r="560" s="53" customFormat="1" x14ac:dyDescent="0.25"/>
    <row r="561" s="53" customFormat="1" x14ac:dyDescent="0.25"/>
    <row r="562" s="53" customFormat="1" x14ac:dyDescent="0.25"/>
    <row r="563" s="53" customFormat="1" x14ac:dyDescent="0.25"/>
    <row r="564" s="53" customFormat="1" x14ac:dyDescent="0.25"/>
    <row r="565" s="53" customFormat="1" x14ac:dyDescent="0.25"/>
    <row r="566" s="53" customFormat="1" x14ac:dyDescent="0.25"/>
    <row r="567" s="53" customFormat="1" x14ac:dyDescent="0.25"/>
    <row r="568" s="53" customFormat="1" x14ac:dyDescent="0.25"/>
    <row r="569" s="53" customFormat="1" x14ac:dyDescent="0.25"/>
    <row r="570" s="53" customFormat="1" x14ac:dyDescent="0.25"/>
    <row r="571" s="53" customFormat="1" x14ac:dyDescent="0.25"/>
    <row r="572" s="53" customFormat="1" x14ac:dyDescent="0.25"/>
    <row r="573" s="53" customFormat="1" x14ac:dyDescent="0.25"/>
    <row r="574" s="53" customFormat="1" x14ac:dyDescent="0.25"/>
    <row r="575" s="53" customFormat="1" x14ac:dyDescent="0.25"/>
    <row r="576" s="53" customFormat="1" x14ac:dyDescent="0.25"/>
    <row r="577" s="53" customFormat="1" x14ac:dyDescent="0.25"/>
    <row r="578" s="53" customFormat="1" x14ac:dyDescent="0.25"/>
    <row r="579" s="53" customFormat="1" x14ac:dyDescent="0.25"/>
    <row r="580" s="53" customFormat="1" x14ac:dyDescent="0.25"/>
    <row r="581" s="53" customFormat="1" x14ac:dyDescent="0.25"/>
    <row r="582" s="53" customFormat="1" x14ac:dyDescent="0.25"/>
    <row r="583" s="53" customFormat="1" x14ac:dyDescent="0.25"/>
    <row r="584" s="53" customFormat="1" x14ac:dyDescent="0.25"/>
    <row r="585" s="53" customFormat="1" x14ac:dyDescent="0.25"/>
    <row r="586" s="53" customFormat="1" x14ac:dyDescent="0.25"/>
    <row r="587" s="53" customFormat="1" x14ac:dyDescent="0.25"/>
    <row r="588" s="53" customFormat="1" x14ac:dyDescent="0.25"/>
    <row r="589" s="53" customFormat="1" x14ac:dyDescent="0.25"/>
    <row r="590" s="53" customFormat="1" x14ac:dyDescent="0.25"/>
    <row r="591" s="53" customFormat="1" x14ac:dyDescent="0.25"/>
    <row r="592" s="53" customFormat="1" x14ac:dyDescent="0.25"/>
    <row r="593" s="53" customFormat="1" x14ac:dyDescent="0.25"/>
    <row r="594" s="53" customFormat="1" x14ac:dyDescent="0.25"/>
    <row r="595" s="53" customFormat="1" x14ac:dyDescent="0.25"/>
    <row r="596" s="53" customFormat="1" x14ac:dyDescent="0.25"/>
    <row r="597" s="53" customFormat="1" x14ac:dyDescent="0.25"/>
    <row r="598" s="53" customFormat="1" x14ac:dyDescent="0.25"/>
    <row r="599" s="53" customFormat="1" x14ac:dyDescent="0.25"/>
    <row r="600" s="53" customFormat="1" x14ac:dyDescent="0.25"/>
    <row r="601" s="53" customFormat="1" x14ac:dyDescent="0.25"/>
    <row r="602" s="53" customFormat="1" x14ac:dyDescent="0.25"/>
    <row r="603" s="53" customFormat="1" x14ac:dyDescent="0.25"/>
    <row r="604" s="53" customFormat="1" x14ac:dyDescent="0.25"/>
    <row r="605" s="53" customFormat="1" x14ac:dyDescent="0.25"/>
    <row r="606" s="53" customFormat="1" x14ac:dyDescent="0.25"/>
    <row r="607" s="53" customFormat="1" x14ac:dyDescent="0.25"/>
    <row r="608" s="53" customFormat="1" x14ac:dyDescent="0.25"/>
    <row r="609" s="53" customFormat="1" x14ac:dyDescent="0.25"/>
    <row r="610" s="53" customFormat="1" x14ac:dyDescent="0.25"/>
    <row r="611" s="53" customFormat="1" x14ac:dyDescent="0.25"/>
    <row r="612" s="53" customFormat="1" x14ac:dyDescent="0.25"/>
    <row r="613" s="53" customFormat="1" x14ac:dyDescent="0.25"/>
    <row r="614" s="53" customFormat="1" x14ac:dyDescent="0.25"/>
    <row r="615" s="53" customFormat="1" x14ac:dyDescent="0.25"/>
    <row r="616" s="53" customFormat="1" x14ac:dyDescent="0.25"/>
    <row r="617" s="53" customFormat="1" x14ac:dyDescent="0.25"/>
    <row r="618" s="53" customFormat="1" x14ac:dyDescent="0.25"/>
    <row r="619" s="53" customFormat="1" x14ac:dyDescent="0.25"/>
    <row r="620" s="53" customFormat="1" x14ac:dyDescent="0.25"/>
    <row r="621" s="53" customFormat="1" x14ac:dyDescent="0.25"/>
    <row r="622" s="53" customFormat="1" x14ac:dyDescent="0.25"/>
    <row r="623" s="53" customFormat="1" x14ac:dyDescent="0.25"/>
    <row r="624" s="53" customFormat="1" x14ac:dyDescent="0.25"/>
    <row r="625" s="53" customFormat="1" x14ac:dyDescent="0.25"/>
    <row r="626" s="53" customFormat="1" x14ac:dyDescent="0.25"/>
    <row r="627" s="53" customFormat="1" x14ac:dyDescent="0.25"/>
    <row r="628" s="53" customFormat="1" x14ac:dyDescent="0.25"/>
    <row r="629" s="53" customFormat="1" x14ac:dyDescent="0.25"/>
    <row r="630" s="53" customFormat="1" x14ac:dyDescent="0.25"/>
    <row r="631" s="53" customFormat="1" x14ac:dyDescent="0.25"/>
    <row r="632" s="53" customFormat="1" x14ac:dyDescent="0.25"/>
    <row r="633" s="53" customFormat="1" x14ac:dyDescent="0.25"/>
    <row r="634" s="53" customFormat="1" x14ac:dyDescent="0.25"/>
    <row r="635" s="53" customFormat="1" x14ac:dyDescent="0.25"/>
    <row r="636" s="53" customFormat="1" x14ac:dyDescent="0.25"/>
    <row r="637" s="53" customFormat="1" x14ac:dyDescent="0.25"/>
    <row r="638" s="53" customFormat="1" x14ac:dyDescent="0.25"/>
    <row r="639" s="53" customFormat="1" x14ac:dyDescent="0.25"/>
    <row r="640" s="53" customFormat="1" x14ac:dyDescent="0.25"/>
    <row r="641" s="53" customFormat="1" x14ac:dyDescent="0.25"/>
    <row r="642" s="53" customFormat="1" x14ac:dyDescent="0.25"/>
    <row r="643" s="53" customFormat="1" x14ac:dyDescent="0.25"/>
    <row r="644" s="53" customFormat="1" x14ac:dyDescent="0.25"/>
    <row r="645" s="53" customFormat="1" x14ac:dyDescent="0.25"/>
    <row r="646" s="53" customFormat="1" x14ac:dyDescent="0.25"/>
    <row r="647" s="53" customFormat="1" x14ac:dyDescent="0.25"/>
    <row r="648" s="53" customFormat="1" x14ac:dyDescent="0.25"/>
    <row r="649" s="53" customFormat="1" x14ac:dyDescent="0.25"/>
    <row r="650" s="53" customFormat="1" x14ac:dyDescent="0.25"/>
    <row r="651" s="53" customFormat="1" x14ac:dyDescent="0.25"/>
    <row r="652" s="53" customFormat="1" x14ac:dyDescent="0.25"/>
    <row r="653" s="53" customFormat="1" x14ac:dyDescent="0.25"/>
    <row r="654" s="53" customFormat="1" x14ac:dyDescent="0.25"/>
    <row r="655" s="53" customFormat="1" x14ac:dyDescent="0.25"/>
    <row r="656" s="53" customFormat="1" x14ac:dyDescent="0.25"/>
    <row r="657" s="53" customFormat="1" x14ac:dyDescent="0.25"/>
    <row r="658" s="53" customFormat="1" x14ac:dyDescent="0.25"/>
    <row r="659" s="53" customFormat="1" x14ac:dyDescent="0.25"/>
    <row r="660" s="53" customFormat="1" x14ac:dyDescent="0.25"/>
    <row r="661" s="53" customFormat="1" x14ac:dyDescent="0.25"/>
    <row r="662" s="53" customFormat="1" x14ac:dyDescent="0.25"/>
    <row r="663" s="53" customFormat="1" x14ac:dyDescent="0.25"/>
    <row r="664" s="53" customFormat="1" x14ac:dyDescent="0.25"/>
    <row r="665" s="53" customFormat="1" x14ac:dyDescent="0.25"/>
    <row r="666" s="53" customFormat="1" x14ac:dyDescent="0.25"/>
    <row r="667" s="53" customFormat="1" x14ac:dyDescent="0.25"/>
    <row r="668" s="53" customFormat="1" x14ac:dyDescent="0.25"/>
    <row r="669" s="53" customFormat="1" x14ac:dyDescent="0.25"/>
    <row r="670" s="53" customFormat="1" x14ac:dyDescent="0.25"/>
    <row r="671" s="53" customFormat="1" x14ac:dyDescent="0.25"/>
    <row r="672" s="53" customFormat="1" x14ac:dyDescent="0.25"/>
    <row r="673" s="53" customFormat="1" x14ac:dyDescent="0.25"/>
    <row r="674" s="53" customFormat="1" x14ac:dyDescent="0.25"/>
    <row r="675" s="53" customFormat="1" x14ac:dyDescent="0.25"/>
    <row r="676" s="53" customFormat="1" x14ac:dyDescent="0.25"/>
    <row r="677" s="53" customFormat="1" x14ac:dyDescent="0.25"/>
    <row r="678" s="53" customFormat="1" x14ac:dyDescent="0.25"/>
    <row r="679" s="53" customFormat="1" x14ac:dyDescent="0.25"/>
    <row r="680" s="53" customFormat="1" x14ac:dyDescent="0.25"/>
    <row r="681" s="53" customFormat="1" x14ac:dyDescent="0.25"/>
    <row r="682" s="53" customFormat="1" x14ac:dyDescent="0.25"/>
    <row r="683" s="53" customFormat="1" x14ac:dyDescent="0.25"/>
    <row r="684" s="53" customFormat="1" x14ac:dyDescent="0.25"/>
    <row r="685" s="53" customFormat="1" x14ac:dyDescent="0.25"/>
    <row r="686" s="53" customFormat="1" x14ac:dyDescent="0.25"/>
    <row r="687" s="53" customFormat="1" x14ac:dyDescent="0.25"/>
    <row r="688" s="53" customFormat="1" x14ac:dyDescent="0.25"/>
    <row r="689" s="53" customFormat="1" x14ac:dyDescent="0.25"/>
    <row r="690" s="53" customFormat="1" x14ac:dyDescent="0.25"/>
    <row r="691" s="53" customFormat="1" x14ac:dyDescent="0.25"/>
    <row r="692" s="53" customFormat="1" x14ac:dyDescent="0.25"/>
    <row r="693" s="53" customFormat="1" x14ac:dyDescent="0.25"/>
    <row r="694" s="53" customFormat="1" x14ac:dyDescent="0.25"/>
    <row r="695" s="53" customFormat="1" x14ac:dyDescent="0.25"/>
    <row r="696" s="53" customFormat="1" x14ac:dyDescent="0.25"/>
    <row r="697" s="53" customFormat="1" x14ac:dyDescent="0.25"/>
    <row r="698" s="53" customFormat="1" x14ac:dyDescent="0.25"/>
    <row r="699" s="53" customFormat="1" x14ac:dyDescent="0.25"/>
    <row r="700" s="53" customFormat="1" x14ac:dyDescent="0.25"/>
    <row r="701" s="53" customFormat="1" x14ac:dyDescent="0.25"/>
    <row r="702" s="53" customFormat="1" x14ac:dyDescent="0.25"/>
    <row r="703" s="53" customFormat="1" x14ac:dyDescent="0.25"/>
    <row r="704" s="53" customFormat="1" x14ac:dyDescent="0.25"/>
    <row r="705" s="53" customFormat="1" x14ac:dyDescent="0.25"/>
    <row r="706" s="53" customFormat="1" x14ac:dyDescent="0.25"/>
    <row r="707" s="53" customFormat="1" x14ac:dyDescent="0.25"/>
    <row r="708" s="53" customFormat="1" x14ac:dyDescent="0.25"/>
    <row r="709" s="53" customFormat="1" x14ac:dyDescent="0.25"/>
    <row r="710" s="53" customFormat="1" x14ac:dyDescent="0.25"/>
    <row r="711" s="53" customFormat="1" x14ac:dyDescent="0.25"/>
    <row r="712" s="53" customFormat="1" x14ac:dyDescent="0.25"/>
    <row r="713" s="53" customFormat="1" x14ac:dyDescent="0.25"/>
    <row r="714" s="53" customFormat="1" x14ac:dyDescent="0.25"/>
    <row r="715" s="53" customFormat="1" x14ac:dyDescent="0.25"/>
    <row r="716" s="53" customFormat="1" x14ac:dyDescent="0.25"/>
    <row r="717" s="53" customFormat="1" x14ac:dyDescent="0.25"/>
    <row r="718" s="53" customFormat="1" x14ac:dyDescent="0.25"/>
    <row r="719" s="53" customFormat="1" x14ac:dyDescent="0.25"/>
    <row r="720" s="53" customFormat="1" x14ac:dyDescent="0.25"/>
    <row r="721" s="53" customFormat="1" x14ac:dyDescent="0.25"/>
    <row r="722" s="53" customFormat="1" x14ac:dyDescent="0.25"/>
    <row r="723" s="53" customFormat="1" x14ac:dyDescent="0.25"/>
    <row r="724" s="53" customFormat="1" x14ac:dyDescent="0.25"/>
    <row r="725" s="53" customFormat="1" x14ac:dyDescent="0.25"/>
    <row r="726" s="53" customFormat="1" x14ac:dyDescent="0.25"/>
    <row r="727" s="53" customFormat="1" x14ac:dyDescent="0.25"/>
    <row r="728" s="53" customFormat="1" x14ac:dyDescent="0.25"/>
    <row r="729" s="53" customFormat="1" x14ac:dyDescent="0.25"/>
    <row r="730" s="53" customFormat="1" x14ac:dyDescent="0.25"/>
    <row r="731" s="53" customFormat="1" x14ac:dyDescent="0.25"/>
    <row r="732" s="53" customFormat="1" x14ac:dyDescent="0.25"/>
    <row r="733" s="53" customFormat="1" x14ac:dyDescent="0.25"/>
    <row r="734" s="53" customFormat="1" x14ac:dyDescent="0.25"/>
    <row r="735" s="53" customFormat="1" x14ac:dyDescent="0.25"/>
    <row r="736" s="53" customFormat="1" x14ac:dyDescent="0.25"/>
    <row r="737" s="53" customFormat="1" x14ac:dyDescent="0.25"/>
    <row r="738" s="53" customFormat="1" x14ac:dyDescent="0.25"/>
    <row r="739" s="53" customFormat="1" x14ac:dyDescent="0.25"/>
    <row r="740" s="53" customFormat="1" x14ac:dyDescent="0.25"/>
    <row r="741" s="53" customFormat="1" x14ac:dyDescent="0.25"/>
    <row r="742" s="53" customFormat="1" x14ac:dyDescent="0.25"/>
    <row r="743" s="53" customFormat="1" x14ac:dyDescent="0.25"/>
    <row r="744" s="53" customFormat="1" x14ac:dyDescent="0.25"/>
    <row r="745" s="53" customFormat="1" x14ac:dyDescent="0.25"/>
    <row r="746" s="53" customFormat="1" x14ac:dyDescent="0.25"/>
    <row r="747" s="53" customFormat="1" x14ac:dyDescent="0.25"/>
    <row r="748" s="53" customFormat="1" x14ac:dyDescent="0.25"/>
    <row r="749" s="53" customFormat="1" x14ac:dyDescent="0.25"/>
    <row r="750" s="53" customFormat="1" x14ac:dyDescent="0.25"/>
    <row r="751" s="53" customFormat="1" x14ac:dyDescent="0.25"/>
    <row r="752" s="53" customFormat="1" x14ac:dyDescent="0.25"/>
    <row r="753" s="53" customFormat="1" x14ac:dyDescent="0.25"/>
    <row r="754" s="53" customFormat="1" x14ac:dyDescent="0.25"/>
    <row r="755" s="53" customFormat="1" x14ac:dyDescent="0.25"/>
    <row r="756" s="53" customFormat="1" x14ac:dyDescent="0.25"/>
    <row r="757" s="53" customFormat="1" x14ac:dyDescent="0.25"/>
    <row r="758" s="53" customFormat="1" x14ac:dyDescent="0.25"/>
    <row r="759" s="53" customFormat="1" x14ac:dyDescent="0.25"/>
    <row r="760" s="53" customFormat="1" x14ac:dyDescent="0.25"/>
    <row r="761" s="53" customFormat="1" x14ac:dyDescent="0.25"/>
    <row r="762" s="53" customFormat="1" x14ac:dyDescent="0.25"/>
    <row r="763" s="53" customFormat="1" x14ac:dyDescent="0.25"/>
    <row r="764" s="53" customFormat="1" x14ac:dyDescent="0.25"/>
    <row r="765" s="53" customFormat="1" x14ac:dyDescent="0.25"/>
    <row r="766" s="53" customFormat="1" x14ac:dyDescent="0.25"/>
    <row r="767" s="53" customFormat="1" x14ac:dyDescent="0.25"/>
    <row r="768" s="53" customFormat="1" x14ac:dyDescent="0.25"/>
    <row r="769" s="53" customFormat="1" x14ac:dyDescent="0.25"/>
    <row r="770" s="53" customFormat="1" x14ac:dyDescent="0.25"/>
    <row r="771" s="53" customFormat="1" x14ac:dyDescent="0.25"/>
    <row r="772" s="53" customFormat="1" x14ac:dyDescent="0.25"/>
    <row r="773" s="53" customFormat="1" x14ac:dyDescent="0.25"/>
    <row r="774" s="53" customFormat="1" x14ac:dyDescent="0.25"/>
    <row r="775" s="53" customFormat="1" x14ac:dyDescent="0.25"/>
    <row r="776" s="53" customFormat="1" x14ac:dyDescent="0.25"/>
    <row r="777" s="53" customFormat="1" x14ac:dyDescent="0.25"/>
    <row r="778" s="53" customFormat="1" x14ac:dyDescent="0.25"/>
    <row r="779" s="53" customFormat="1" x14ac:dyDescent="0.25"/>
    <row r="780" s="53" customFormat="1" x14ac:dyDescent="0.25"/>
    <row r="781" s="53" customFormat="1" x14ac:dyDescent="0.25"/>
    <row r="782" s="53" customFormat="1" x14ac:dyDescent="0.25"/>
    <row r="783" s="53" customFormat="1" x14ac:dyDescent="0.25"/>
    <row r="784" s="53" customFormat="1" x14ac:dyDescent="0.25"/>
    <row r="785" s="53" customFormat="1" x14ac:dyDescent="0.25"/>
    <row r="786" s="53" customFormat="1" x14ac:dyDescent="0.25"/>
    <row r="787" s="53" customFormat="1" x14ac:dyDescent="0.25"/>
    <row r="788" s="53" customFormat="1" x14ac:dyDescent="0.25"/>
    <row r="789" s="53" customFormat="1" x14ac:dyDescent="0.25"/>
    <row r="790" s="53" customFormat="1" x14ac:dyDescent="0.25"/>
    <row r="791" s="53" customFormat="1" x14ac:dyDescent="0.25"/>
    <row r="792" s="53" customFormat="1" x14ac:dyDescent="0.25"/>
    <row r="793" s="53" customFormat="1" x14ac:dyDescent="0.25"/>
    <row r="794" s="53" customFormat="1" x14ac:dyDescent="0.25"/>
    <row r="795" s="53" customFormat="1" x14ac:dyDescent="0.25"/>
    <row r="796" s="53" customFormat="1" x14ac:dyDescent="0.25"/>
    <row r="797" s="53" customFormat="1" x14ac:dyDescent="0.25"/>
    <row r="798" s="53" customFormat="1" x14ac:dyDescent="0.25"/>
    <row r="799" s="53" customFormat="1" x14ac:dyDescent="0.25"/>
    <row r="800" s="53" customFormat="1" x14ac:dyDescent="0.25"/>
    <row r="801" s="53" customFormat="1" x14ac:dyDescent="0.25"/>
    <row r="802" s="53" customFormat="1" x14ac:dyDescent="0.25"/>
    <row r="803" s="53" customFormat="1" x14ac:dyDescent="0.25"/>
    <row r="804" s="53" customFormat="1" x14ac:dyDescent="0.25"/>
    <row r="805" s="53" customFormat="1" x14ac:dyDescent="0.25"/>
    <row r="806" s="53" customFormat="1" x14ac:dyDescent="0.25"/>
    <row r="807" s="53" customFormat="1" x14ac:dyDescent="0.25"/>
    <row r="808" s="53" customFormat="1" x14ac:dyDescent="0.25"/>
    <row r="809" s="53" customFormat="1" x14ac:dyDescent="0.25"/>
    <row r="810" s="53" customFormat="1" x14ac:dyDescent="0.25"/>
    <row r="811" s="53" customFormat="1" x14ac:dyDescent="0.25"/>
    <row r="812" s="53" customFormat="1" x14ac:dyDescent="0.25"/>
    <row r="813" s="53" customFormat="1" x14ac:dyDescent="0.25"/>
    <row r="814" s="53" customFormat="1" x14ac:dyDescent="0.25"/>
    <row r="815" s="53" customFormat="1" x14ac:dyDescent="0.25"/>
    <row r="816" s="53" customFormat="1" x14ac:dyDescent="0.25"/>
    <row r="817" s="53" customFormat="1" x14ac:dyDescent="0.25"/>
    <row r="818" s="53" customFormat="1" x14ac:dyDescent="0.25"/>
    <row r="819" s="53" customFormat="1" x14ac:dyDescent="0.25"/>
    <row r="820" s="53" customFormat="1" x14ac:dyDescent="0.25"/>
    <row r="821" s="53" customFormat="1" x14ac:dyDescent="0.25"/>
    <row r="822" s="53" customFormat="1" x14ac:dyDescent="0.25"/>
    <row r="823" s="53" customFormat="1" x14ac:dyDescent="0.25"/>
    <row r="824" s="53" customFormat="1" x14ac:dyDescent="0.25"/>
    <row r="825" s="53" customFormat="1" x14ac:dyDescent="0.25"/>
    <row r="826" s="53" customFormat="1" x14ac:dyDescent="0.25"/>
    <row r="827" s="53" customFormat="1" x14ac:dyDescent="0.25"/>
    <row r="828" s="53" customFormat="1" x14ac:dyDescent="0.25"/>
    <row r="829" s="53" customFormat="1" x14ac:dyDescent="0.25"/>
    <row r="830" s="53" customFormat="1" x14ac:dyDescent="0.25"/>
    <row r="831" s="53" customFormat="1" x14ac:dyDescent="0.25"/>
    <row r="832" s="53" customFormat="1" x14ac:dyDescent="0.25"/>
    <row r="833" s="53" customFormat="1" x14ac:dyDescent="0.25"/>
    <row r="834" s="53" customFormat="1" x14ac:dyDescent="0.25"/>
    <row r="835" s="53" customFormat="1" x14ac:dyDescent="0.25"/>
    <row r="836" s="53" customFormat="1" x14ac:dyDescent="0.25"/>
    <row r="837" s="53" customFormat="1" x14ac:dyDescent="0.25"/>
    <row r="838" s="53" customFormat="1" x14ac:dyDescent="0.25"/>
    <row r="839" s="53" customFormat="1" x14ac:dyDescent="0.25"/>
    <row r="840" s="53" customFormat="1" x14ac:dyDescent="0.25"/>
    <row r="841" s="53" customFormat="1" x14ac:dyDescent="0.25"/>
    <row r="842" s="53" customFormat="1" x14ac:dyDescent="0.25"/>
    <row r="843" s="53" customFormat="1" x14ac:dyDescent="0.25"/>
    <row r="844" s="53" customFormat="1" x14ac:dyDescent="0.25"/>
    <row r="845" s="53" customFormat="1" x14ac:dyDescent="0.25"/>
    <row r="846" s="53" customFormat="1" x14ac:dyDescent="0.25"/>
    <row r="847" s="53" customFormat="1" x14ac:dyDescent="0.25"/>
    <row r="848" s="53" customFormat="1" x14ac:dyDescent="0.25"/>
    <row r="849" s="53" customFormat="1" x14ac:dyDescent="0.25"/>
    <row r="850" s="53" customFormat="1" x14ac:dyDescent="0.25"/>
    <row r="851" s="53" customFormat="1" x14ac:dyDescent="0.25"/>
    <row r="852" s="53" customFormat="1" x14ac:dyDescent="0.25"/>
    <row r="853" s="53" customFormat="1" x14ac:dyDescent="0.25"/>
    <row r="854" s="53" customFormat="1" x14ac:dyDescent="0.25"/>
    <row r="855" s="53" customFormat="1" x14ac:dyDescent="0.25"/>
    <row r="856" s="53" customFormat="1" x14ac:dyDescent="0.25"/>
    <row r="857" s="53" customFormat="1" x14ac:dyDescent="0.25"/>
    <row r="858" s="53" customFormat="1" x14ac:dyDescent="0.25"/>
    <row r="859" s="53" customFormat="1" x14ac:dyDescent="0.25"/>
    <row r="860" s="53" customFormat="1" x14ac:dyDescent="0.25"/>
    <row r="861" s="53" customFormat="1" x14ac:dyDescent="0.25"/>
    <row r="862" s="53" customFormat="1" x14ac:dyDescent="0.25"/>
    <row r="863" s="53" customFormat="1" x14ac:dyDescent="0.25"/>
    <row r="864" s="53" customFormat="1" x14ac:dyDescent="0.25"/>
    <row r="865" s="53" customFormat="1" x14ac:dyDescent="0.25"/>
    <row r="866" s="53" customFormat="1" x14ac:dyDescent="0.25"/>
    <row r="867" s="53" customFormat="1" x14ac:dyDescent="0.25"/>
    <row r="868" s="53" customFormat="1" x14ac:dyDescent="0.25"/>
    <row r="869" s="53" customFormat="1" x14ac:dyDescent="0.25"/>
    <row r="870" s="53" customFormat="1" x14ac:dyDescent="0.25"/>
    <row r="871" s="53" customFormat="1" x14ac:dyDescent="0.25"/>
    <row r="872" s="53" customFormat="1" x14ac:dyDescent="0.25"/>
    <row r="873" s="53" customFormat="1" x14ac:dyDescent="0.25"/>
    <row r="874" s="53" customFormat="1" x14ac:dyDescent="0.25"/>
    <row r="875" s="53" customFormat="1" x14ac:dyDescent="0.25"/>
    <row r="876" s="53" customFormat="1" x14ac:dyDescent="0.25"/>
    <row r="877" s="53" customFormat="1" x14ac:dyDescent="0.25"/>
    <row r="878" s="53" customFormat="1" x14ac:dyDescent="0.25"/>
    <row r="879" s="53" customFormat="1" x14ac:dyDescent="0.25"/>
    <row r="880" s="53" customFormat="1" x14ac:dyDescent="0.25"/>
    <row r="881" s="53" customFormat="1" x14ac:dyDescent="0.25"/>
    <row r="882" s="53" customFormat="1" x14ac:dyDescent="0.25"/>
    <row r="883" s="53" customFormat="1" x14ac:dyDescent="0.25"/>
    <row r="884" s="53" customFormat="1" x14ac:dyDescent="0.25"/>
    <row r="885" s="53" customFormat="1" x14ac:dyDescent="0.25"/>
    <row r="886" s="53" customFormat="1" x14ac:dyDescent="0.25"/>
    <row r="887" s="53" customFormat="1" x14ac:dyDescent="0.25"/>
    <row r="888" s="53" customFormat="1" x14ac:dyDescent="0.25"/>
    <row r="889" s="53" customFormat="1" x14ac:dyDescent="0.25"/>
    <row r="890" s="53" customFormat="1" x14ac:dyDescent="0.25"/>
    <row r="891" s="53" customFormat="1" x14ac:dyDescent="0.25"/>
    <row r="892" s="53" customFormat="1" x14ac:dyDescent="0.25"/>
    <row r="893" s="53" customFormat="1" x14ac:dyDescent="0.25"/>
    <row r="894" s="53" customFormat="1" x14ac:dyDescent="0.25"/>
    <row r="895" s="53" customFormat="1" x14ac:dyDescent="0.25"/>
    <row r="896" s="53" customFormat="1" x14ac:dyDescent="0.25"/>
    <row r="897" s="53" customFormat="1" x14ac:dyDescent="0.25"/>
    <row r="898" s="53" customFormat="1" x14ac:dyDescent="0.25"/>
    <row r="899" s="53" customFormat="1" x14ac:dyDescent="0.25"/>
    <row r="900" s="53" customFormat="1" x14ac:dyDescent="0.25"/>
    <row r="901" s="53" customFormat="1" x14ac:dyDescent="0.25"/>
    <row r="902" s="53" customFormat="1" x14ac:dyDescent="0.25"/>
    <row r="903" s="53" customFormat="1" x14ac:dyDescent="0.25"/>
    <row r="904" s="53" customFormat="1" x14ac:dyDescent="0.25"/>
    <row r="905" s="53" customFormat="1" x14ac:dyDescent="0.25"/>
    <row r="906" s="53" customFormat="1" x14ac:dyDescent="0.25"/>
    <row r="907" s="53" customFormat="1" x14ac:dyDescent="0.25"/>
    <row r="908" s="53" customFormat="1" x14ac:dyDescent="0.25"/>
    <row r="909" s="53" customFormat="1" x14ac:dyDescent="0.25"/>
    <row r="910" s="53" customFormat="1" x14ac:dyDescent="0.25"/>
    <row r="911" s="53" customFormat="1" x14ac:dyDescent="0.25"/>
    <row r="912" s="53" customFormat="1" x14ac:dyDescent="0.25"/>
    <row r="913" s="53" customFormat="1" x14ac:dyDescent="0.25"/>
    <row r="914" s="53" customFormat="1" x14ac:dyDescent="0.25"/>
    <row r="915" s="53" customFormat="1" x14ac:dyDescent="0.25"/>
    <row r="916" s="53" customFormat="1" x14ac:dyDescent="0.25"/>
    <row r="917" s="53" customFormat="1" x14ac:dyDescent="0.25"/>
    <row r="918" s="53" customFormat="1" x14ac:dyDescent="0.25"/>
    <row r="919" s="53" customFormat="1" x14ac:dyDescent="0.25"/>
    <row r="920" s="53" customFormat="1" x14ac:dyDescent="0.25"/>
    <row r="921" s="53" customFormat="1" x14ac:dyDescent="0.25"/>
    <row r="922" s="53" customFormat="1" x14ac:dyDescent="0.25"/>
    <row r="923" s="53" customFormat="1" x14ac:dyDescent="0.25"/>
    <row r="924" s="53" customFormat="1" x14ac:dyDescent="0.25"/>
    <row r="925" s="53" customFormat="1" x14ac:dyDescent="0.25"/>
    <row r="926" s="53" customFormat="1" x14ac:dyDescent="0.25"/>
    <row r="927" s="53" customFormat="1" x14ac:dyDescent="0.25"/>
    <row r="928" s="53" customFormat="1" x14ac:dyDescent="0.25"/>
    <row r="929" s="53" customFormat="1" x14ac:dyDescent="0.25"/>
    <row r="930" s="53" customFormat="1" x14ac:dyDescent="0.25"/>
    <row r="931" s="53" customFormat="1" x14ac:dyDescent="0.25"/>
    <row r="932" s="53" customFormat="1" x14ac:dyDescent="0.25"/>
    <row r="933" s="53" customFormat="1" x14ac:dyDescent="0.25"/>
    <row r="934" s="53" customFormat="1" x14ac:dyDescent="0.25"/>
    <row r="935" s="53" customFormat="1" x14ac:dyDescent="0.25"/>
    <row r="936" s="53" customFormat="1" x14ac:dyDescent="0.25"/>
    <row r="937" s="53" customFormat="1" x14ac:dyDescent="0.25"/>
    <row r="938" s="53" customFormat="1" x14ac:dyDescent="0.25"/>
    <row r="939" s="53" customFormat="1" x14ac:dyDescent="0.25"/>
    <row r="940" s="53" customFormat="1" x14ac:dyDescent="0.25"/>
    <row r="941" s="53" customFormat="1" x14ac:dyDescent="0.25"/>
    <row r="942" s="53" customFormat="1" x14ac:dyDescent="0.25"/>
    <row r="943" s="53" customFormat="1" x14ac:dyDescent="0.25"/>
    <row r="944" s="53" customFormat="1" x14ac:dyDescent="0.25"/>
    <row r="945" s="53" customFormat="1" x14ac:dyDescent="0.25"/>
    <row r="946" s="53" customFormat="1" x14ac:dyDescent="0.25"/>
    <row r="947" s="53" customFormat="1" x14ac:dyDescent="0.25"/>
    <row r="948" s="53" customFormat="1" x14ac:dyDescent="0.25"/>
    <row r="949" s="53" customFormat="1" x14ac:dyDescent="0.25"/>
    <row r="950" s="53" customFormat="1" x14ac:dyDescent="0.25"/>
    <row r="951" s="53" customFormat="1" x14ac:dyDescent="0.25"/>
    <row r="952" s="53" customFormat="1" x14ac:dyDescent="0.25"/>
    <row r="953" s="53" customFormat="1" x14ac:dyDescent="0.25"/>
    <row r="954" s="53" customFormat="1" x14ac:dyDescent="0.25"/>
    <row r="955" s="53" customFormat="1" x14ac:dyDescent="0.25"/>
    <row r="956" s="53" customFormat="1" x14ac:dyDescent="0.25"/>
    <row r="957" s="53" customFormat="1" x14ac:dyDescent="0.25"/>
    <row r="958" s="53" customFormat="1" x14ac:dyDescent="0.25"/>
    <row r="959" s="53" customFormat="1" x14ac:dyDescent="0.25"/>
    <row r="960" s="53" customFormat="1" x14ac:dyDescent="0.25"/>
    <row r="961" s="53" customFormat="1" x14ac:dyDescent="0.25"/>
    <row r="962" s="53" customFormat="1" x14ac:dyDescent="0.25"/>
    <row r="963" s="53" customFormat="1" x14ac:dyDescent="0.25"/>
    <row r="964" s="53" customFormat="1" x14ac:dyDescent="0.25"/>
    <row r="965" s="53" customFormat="1" x14ac:dyDescent="0.25"/>
    <row r="966" s="53" customFormat="1" x14ac:dyDescent="0.25"/>
    <row r="967" s="53" customFormat="1" x14ac:dyDescent="0.25"/>
    <row r="968" s="53" customFormat="1" x14ac:dyDescent="0.25"/>
    <row r="969" s="53" customFormat="1" x14ac:dyDescent="0.25"/>
    <row r="970" s="53" customFormat="1" x14ac:dyDescent="0.25"/>
    <row r="971" s="53" customFormat="1" x14ac:dyDescent="0.25"/>
    <row r="972" s="53" customFormat="1" x14ac:dyDescent="0.25"/>
    <row r="973" s="53" customFormat="1" x14ac:dyDescent="0.25"/>
    <row r="974" s="53" customFormat="1" x14ac:dyDescent="0.25"/>
    <row r="975" s="53" customFormat="1" x14ac:dyDescent="0.25"/>
    <row r="976" s="53" customFormat="1" x14ac:dyDescent="0.25"/>
    <row r="977" s="53" customFormat="1" x14ac:dyDescent="0.25"/>
    <row r="978" s="53" customFormat="1" x14ac:dyDescent="0.25"/>
    <row r="979" s="53" customFormat="1" x14ac:dyDescent="0.25"/>
    <row r="980" s="53" customFormat="1" x14ac:dyDescent="0.25"/>
    <row r="981" s="53" customFormat="1" x14ac:dyDescent="0.25"/>
    <row r="982" s="53" customFormat="1" x14ac:dyDescent="0.25"/>
    <row r="983" s="53" customFormat="1" x14ac:dyDescent="0.25"/>
    <row r="984" s="53" customFormat="1" x14ac:dyDescent="0.25"/>
    <row r="985" s="53" customFormat="1" x14ac:dyDescent="0.25"/>
    <row r="986" s="53" customFormat="1" x14ac:dyDescent="0.25"/>
    <row r="987" s="53" customFormat="1" x14ac:dyDescent="0.25"/>
    <row r="988" s="53" customFormat="1" x14ac:dyDescent="0.25"/>
    <row r="989" s="53" customFormat="1" x14ac:dyDescent="0.25"/>
    <row r="990" s="53" customFormat="1" x14ac:dyDescent="0.25"/>
    <row r="991" s="53" customFormat="1" x14ac:dyDescent="0.25"/>
    <row r="992" s="53" customFormat="1" x14ac:dyDescent="0.25"/>
    <row r="993" s="53" customFormat="1" x14ac:dyDescent="0.25"/>
    <row r="994" s="53" customFormat="1" x14ac:dyDescent="0.25"/>
    <row r="995" s="53" customFormat="1" x14ac:dyDescent="0.25"/>
    <row r="996" s="53" customFormat="1" x14ac:dyDescent="0.25"/>
    <row r="997" s="53" customFormat="1" x14ac:dyDescent="0.25"/>
    <row r="998" s="53" customFormat="1" x14ac:dyDescent="0.25"/>
    <row r="999" s="53" customFormat="1" x14ac:dyDescent="0.25"/>
    <row r="1000" s="53" customFormat="1" x14ac:dyDescent="0.25"/>
    <row r="1001" s="53" customFormat="1" x14ac:dyDescent="0.25"/>
    <row r="1002" s="53" customFormat="1" x14ac:dyDescent="0.25"/>
    <row r="1003" s="53" customFormat="1" x14ac:dyDescent="0.25"/>
    <row r="1004" s="53" customFormat="1" x14ac:dyDescent="0.25"/>
    <row r="1005" s="53" customFormat="1" x14ac:dyDescent="0.25"/>
    <row r="1006" s="53" customFormat="1" x14ac:dyDescent="0.25"/>
    <row r="1007" s="53" customFormat="1" x14ac:dyDescent="0.25"/>
    <row r="1008" s="53" customFormat="1" x14ac:dyDescent="0.25"/>
    <row r="1009" s="53" customFormat="1" x14ac:dyDescent="0.25"/>
    <row r="1010" s="53" customFormat="1" x14ac:dyDescent="0.25"/>
    <row r="1011" s="53" customFormat="1" x14ac:dyDescent="0.25"/>
    <row r="1012" s="53" customFormat="1" x14ac:dyDescent="0.25"/>
    <row r="1013" s="53" customFormat="1" x14ac:dyDescent="0.25"/>
    <row r="1014" s="53" customFormat="1" x14ac:dyDescent="0.25"/>
    <row r="1015" s="53" customFormat="1" x14ac:dyDescent="0.25"/>
    <row r="1016" s="53" customFormat="1" x14ac:dyDescent="0.25"/>
    <row r="1017" s="53" customFormat="1" x14ac:dyDescent="0.25"/>
    <row r="1018" s="53" customFormat="1" x14ac:dyDescent="0.25"/>
    <row r="1019" s="53" customFormat="1" x14ac:dyDescent="0.25"/>
    <row r="1020" s="53" customFormat="1" x14ac:dyDescent="0.25"/>
    <row r="1021" s="53" customFormat="1" x14ac:dyDescent="0.25"/>
    <row r="1022" s="53" customFormat="1" x14ac:dyDescent="0.25"/>
    <row r="1023" s="53" customFormat="1" x14ac:dyDescent="0.25"/>
    <row r="1024" s="53" customFormat="1" x14ac:dyDescent="0.25"/>
    <row r="1025" s="53" customFormat="1" x14ac:dyDescent="0.25"/>
    <row r="1026" s="53" customFormat="1" x14ac:dyDescent="0.25"/>
    <row r="1027" s="53" customFormat="1" x14ac:dyDescent="0.25"/>
    <row r="1028" s="53" customFormat="1" x14ac:dyDescent="0.25"/>
    <row r="1029" s="53" customFormat="1" x14ac:dyDescent="0.25"/>
    <row r="1030" s="53" customFormat="1" x14ac:dyDescent="0.25"/>
    <row r="1031" s="53" customFormat="1" x14ac:dyDescent="0.25"/>
    <row r="1032" s="53" customFormat="1" x14ac:dyDescent="0.25"/>
    <row r="1033" s="53" customFormat="1" x14ac:dyDescent="0.25"/>
    <row r="1034" s="53" customFormat="1" x14ac:dyDescent="0.25"/>
    <row r="1035" s="53" customFormat="1" x14ac:dyDescent="0.25"/>
    <row r="1036" s="53" customFormat="1" x14ac:dyDescent="0.25"/>
    <row r="1037" s="53" customFormat="1" x14ac:dyDescent="0.25"/>
    <row r="1038" s="53" customFormat="1" x14ac:dyDescent="0.25"/>
    <row r="1039" s="53" customFormat="1" x14ac:dyDescent="0.25"/>
    <row r="1040" s="53" customFormat="1" x14ac:dyDescent="0.25"/>
    <row r="1041" s="53" customFormat="1" x14ac:dyDescent="0.25"/>
    <row r="1042" s="53" customFormat="1" x14ac:dyDescent="0.25"/>
    <row r="1043" s="53" customFormat="1" x14ac:dyDescent="0.25"/>
    <row r="1044" s="53" customFormat="1" x14ac:dyDescent="0.25"/>
    <row r="1045" s="53" customFormat="1" x14ac:dyDescent="0.25"/>
    <row r="1046" s="53" customFormat="1" x14ac:dyDescent="0.25"/>
    <row r="1047" s="53" customFormat="1" x14ac:dyDescent="0.25"/>
    <row r="1048" s="53" customFormat="1" x14ac:dyDescent="0.25"/>
    <row r="1049" s="53" customFormat="1" x14ac:dyDescent="0.25"/>
    <row r="1050" s="53" customFormat="1" x14ac:dyDescent="0.25"/>
    <row r="1051" s="53" customFormat="1" x14ac:dyDescent="0.25"/>
    <row r="1052" s="53" customFormat="1" x14ac:dyDescent="0.25"/>
    <row r="1053" s="53" customFormat="1" x14ac:dyDescent="0.25"/>
    <row r="1054" s="53" customFormat="1" x14ac:dyDescent="0.25"/>
    <row r="1055" s="53" customFormat="1" x14ac:dyDescent="0.25"/>
    <row r="1056" s="53" customFormat="1" x14ac:dyDescent="0.25"/>
    <row r="1057" s="53" customFormat="1" x14ac:dyDescent="0.25"/>
    <row r="1058" s="53" customFormat="1" x14ac:dyDescent="0.25"/>
    <row r="1059" s="53" customFormat="1" x14ac:dyDescent="0.25"/>
    <row r="1060" s="53" customFormat="1" x14ac:dyDescent="0.25"/>
    <row r="1061" s="53" customFormat="1" x14ac:dyDescent="0.25"/>
    <row r="1062" s="53" customFormat="1" x14ac:dyDescent="0.25"/>
    <row r="1063" s="53" customFormat="1" x14ac:dyDescent="0.25"/>
    <row r="1064" s="53" customFormat="1" x14ac:dyDescent="0.25"/>
    <row r="1065" s="53" customFormat="1" x14ac:dyDescent="0.25"/>
    <row r="1066" s="53" customFormat="1" x14ac:dyDescent="0.25"/>
    <row r="1067" s="53" customFormat="1" x14ac:dyDescent="0.25"/>
    <row r="1068" s="53" customFormat="1" x14ac:dyDescent="0.25"/>
    <row r="1069" s="53" customFormat="1" x14ac:dyDescent="0.25"/>
    <row r="1070" s="53" customFormat="1" x14ac:dyDescent="0.25"/>
    <row r="1071" s="53" customFormat="1" x14ac:dyDescent="0.25"/>
    <row r="1072" s="53" customFormat="1" x14ac:dyDescent="0.25"/>
    <row r="1073" s="53" customFormat="1" x14ac:dyDescent="0.25"/>
    <row r="1074" s="53" customFormat="1" x14ac:dyDescent="0.25"/>
    <row r="1075" s="53" customFormat="1" x14ac:dyDescent="0.25"/>
    <row r="1076" s="53" customFormat="1" x14ac:dyDescent="0.25"/>
    <row r="1077" s="53" customFormat="1" x14ac:dyDescent="0.25"/>
    <row r="1078" s="53" customFormat="1" x14ac:dyDescent="0.25"/>
    <row r="1079" s="53" customFormat="1" x14ac:dyDescent="0.25"/>
    <row r="1080" s="53" customFormat="1" x14ac:dyDescent="0.25"/>
    <row r="1081" s="53" customFormat="1" x14ac:dyDescent="0.25"/>
    <row r="1082" s="53" customFormat="1" x14ac:dyDescent="0.25"/>
    <row r="1083" s="53" customFormat="1" x14ac:dyDescent="0.25"/>
    <row r="1084" s="53" customFormat="1" x14ac:dyDescent="0.25"/>
    <row r="1085" s="53" customFormat="1" x14ac:dyDescent="0.25"/>
    <row r="1086" s="53" customFormat="1" x14ac:dyDescent="0.25"/>
    <row r="1087" s="53" customFormat="1" x14ac:dyDescent="0.25"/>
    <row r="1088" s="53" customFormat="1" x14ac:dyDescent="0.25"/>
    <row r="1089" s="53" customFormat="1" x14ac:dyDescent="0.25"/>
    <row r="1090" s="53" customFormat="1" x14ac:dyDescent="0.25"/>
    <row r="1091" s="53" customFormat="1" x14ac:dyDescent="0.25"/>
    <row r="1092" s="53" customFormat="1" x14ac:dyDescent="0.25"/>
    <row r="1093" s="53" customFormat="1" x14ac:dyDescent="0.25"/>
    <row r="1094" s="53" customFormat="1" x14ac:dyDescent="0.25"/>
    <row r="1095" s="53" customFormat="1" x14ac:dyDescent="0.25"/>
    <row r="1096" s="53" customFormat="1" x14ac:dyDescent="0.25"/>
    <row r="1097" s="53" customFormat="1" x14ac:dyDescent="0.25"/>
    <row r="1098" s="53" customFormat="1" x14ac:dyDescent="0.25"/>
    <row r="1099" s="53" customFormat="1" x14ac:dyDescent="0.25"/>
    <row r="1100" s="53" customFormat="1" x14ac:dyDescent="0.25"/>
    <row r="1101" s="53" customFormat="1" x14ac:dyDescent="0.25"/>
    <row r="1102" s="53" customFormat="1" x14ac:dyDescent="0.25"/>
    <row r="1103" s="53" customFormat="1" x14ac:dyDescent="0.25"/>
    <row r="1104" s="53" customFormat="1" x14ac:dyDescent="0.25"/>
    <row r="1105" s="53" customFormat="1" x14ac:dyDescent="0.25"/>
    <row r="1106" s="53" customFormat="1" x14ac:dyDescent="0.25"/>
    <row r="1107" s="53" customFormat="1" x14ac:dyDescent="0.25"/>
    <row r="1108" s="53" customFormat="1" x14ac:dyDescent="0.25"/>
    <row r="1109" s="53" customFormat="1" x14ac:dyDescent="0.25"/>
    <row r="1110" s="53" customFormat="1" x14ac:dyDescent="0.25"/>
    <row r="1111" s="53" customFormat="1" x14ac:dyDescent="0.25"/>
    <row r="1112" s="53" customFormat="1" x14ac:dyDescent="0.25"/>
    <row r="1113" s="53" customFormat="1" x14ac:dyDescent="0.25"/>
    <row r="1114" s="53" customFormat="1" x14ac:dyDescent="0.25"/>
    <row r="1115" s="53" customFormat="1" x14ac:dyDescent="0.25"/>
    <row r="1116" s="53" customFormat="1" x14ac:dyDescent="0.25"/>
    <row r="1117" s="53" customFormat="1" x14ac:dyDescent="0.25"/>
    <row r="1118" s="53" customFormat="1" x14ac:dyDescent="0.25"/>
    <row r="1119" s="53" customFormat="1" x14ac:dyDescent="0.25"/>
    <row r="1120" s="53" customFormat="1" x14ac:dyDescent="0.25"/>
    <row r="1121" s="53" customFormat="1" x14ac:dyDescent="0.25"/>
    <row r="1122" s="53" customFormat="1" x14ac:dyDescent="0.25"/>
    <row r="1123" s="53" customFormat="1" x14ac:dyDescent="0.25"/>
    <row r="1124" s="53" customFormat="1" x14ac:dyDescent="0.25"/>
    <row r="1125" s="53" customFormat="1" x14ac:dyDescent="0.25"/>
    <row r="1126" s="53" customFormat="1" x14ac:dyDescent="0.25"/>
    <row r="1127" s="53" customFormat="1" x14ac:dyDescent="0.25"/>
    <row r="1128" s="53" customFormat="1" x14ac:dyDescent="0.25"/>
    <row r="1129" s="53" customFormat="1" x14ac:dyDescent="0.25"/>
    <row r="1130" s="53" customFormat="1" x14ac:dyDescent="0.25"/>
    <row r="1131" s="53" customFormat="1" x14ac:dyDescent="0.25"/>
    <row r="1132" s="53" customFormat="1" x14ac:dyDescent="0.25"/>
    <row r="1133" s="53" customFormat="1" x14ac:dyDescent="0.25"/>
    <row r="1134" s="53" customFormat="1" x14ac:dyDescent="0.25"/>
    <row r="1135" s="53" customFormat="1" x14ac:dyDescent="0.25"/>
    <row r="1136" s="53" customFormat="1" x14ac:dyDescent="0.25"/>
    <row r="1137" s="53" customFormat="1" x14ac:dyDescent="0.25"/>
    <row r="1138" s="53" customFormat="1" x14ac:dyDescent="0.25"/>
    <row r="1139" s="53" customFormat="1" x14ac:dyDescent="0.25"/>
    <row r="1140" s="53" customFormat="1" x14ac:dyDescent="0.25"/>
    <row r="1141" s="53" customFormat="1" x14ac:dyDescent="0.25"/>
    <row r="1142" s="53" customFormat="1" x14ac:dyDescent="0.25"/>
    <row r="1143" s="53" customFormat="1" x14ac:dyDescent="0.25"/>
    <row r="1144" s="53" customFormat="1" x14ac:dyDescent="0.25"/>
    <row r="1145" s="53" customFormat="1" x14ac:dyDescent="0.25"/>
    <row r="1146" s="53" customFormat="1" x14ac:dyDescent="0.25"/>
    <row r="1147" s="53" customFormat="1" x14ac:dyDescent="0.25"/>
    <row r="1148" s="53" customFormat="1" x14ac:dyDescent="0.25"/>
    <row r="1149" s="53" customFormat="1" x14ac:dyDescent="0.25"/>
    <row r="1150" s="53" customFormat="1" x14ac:dyDescent="0.25"/>
    <row r="1151" s="53" customFormat="1" x14ac:dyDescent="0.25"/>
    <row r="1152" s="53" customFormat="1" x14ac:dyDescent="0.25"/>
    <row r="1153" s="53" customFormat="1" x14ac:dyDescent="0.25"/>
    <row r="1154" s="53" customFormat="1" x14ac:dyDescent="0.25"/>
    <row r="1155" s="53" customFormat="1" x14ac:dyDescent="0.25"/>
    <row r="1156" s="53" customFormat="1" x14ac:dyDescent="0.25"/>
    <row r="1157" s="53" customFormat="1" x14ac:dyDescent="0.25"/>
    <row r="1158" s="53" customFormat="1" x14ac:dyDescent="0.25"/>
    <row r="1159" s="53" customFormat="1" x14ac:dyDescent="0.25"/>
    <row r="1160" s="53" customFormat="1" x14ac:dyDescent="0.25"/>
    <row r="1161" s="53" customFormat="1" x14ac:dyDescent="0.25"/>
    <row r="1162" s="53" customFormat="1" x14ac:dyDescent="0.25"/>
    <row r="1163" s="53" customFormat="1" x14ac:dyDescent="0.25"/>
    <row r="1164" s="53" customFormat="1" x14ac:dyDescent="0.25"/>
    <row r="1165" s="53" customFormat="1" x14ac:dyDescent="0.25"/>
    <row r="1166" s="53" customFormat="1" x14ac:dyDescent="0.25"/>
    <row r="1167" s="53" customFormat="1" x14ac:dyDescent="0.25"/>
    <row r="1168" s="53" customFormat="1" x14ac:dyDescent="0.25"/>
    <row r="1169" s="53" customFormat="1" x14ac:dyDescent="0.25"/>
    <row r="1170" s="53" customFormat="1" x14ac:dyDescent="0.25"/>
    <row r="1171" s="53" customFormat="1" x14ac:dyDescent="0.25"/>
    <row r="1172" s="53" customFormat="1" x14ac:dyDescent="0.25"/>
    <row r="1173" s="53" customFormat="1" x14ac:dyDescent="0.25"/>
    <row r="1174" s="53" customFormat="1" x14ac:dyDescent="0.25"/>
    <row r="1175" s="53" customFormat="1" x14ac:dyDescent="0.25"/>
    <row r="1176" s="53" customFormat="1" x14ac:dyDescent="0.25"/>
    <row r="1177" s="53" customFormat="1" x14ac:dyDescent="0.25"/>
    <row r="1178" s="53" customFormat="1" x14ac:dyDescent="0.25"/>
    <row r="1179" s="53" customFormat="1" x14ac:dyDescent="0.25"/>
    <row r="1180" s="53" customFormat="1" x14ac:dyDescent="0.25"/>
    <row r="1181" s="53" customFormat="1" x14ac:dyDescent="0.25"/>
    <row r="1182" s="53" customFormat="1" x14ac:dyDescent="0.25"/>
    <row r="1183" s="53" customFormat="1" x14ac:dyDescent="0.25"/>
    <row r="1184" s="53" customFormat="1" x14ac:dyDescent="0.25"/>
    <row r="1185" s="53" customFormat="1" x14ac:dyDescent="0.25"/>
    <row r="1186" s="53" customFormat="1" x14ac:dyDescent="0.25"/>
    <row r="1187" s="53" customFormat="1" x14ac:dyDescent="0.25"/>
    <row r="1188" s="53" customFormat="1" x14ac:dyDescent="0.25"/>
    <row r="1189" s="53" customFormat="1" x14ac:dyDescent="0.25"/>
    <row r="1190" s="53" customFormat="1" x14ac:dyDescent="0.25"/>
    <row r="1191" s="53" customFormat="1" x14ac:dyDescent="0.25"/>
    <row r="1192" s="53" customFormat="1" x14ac:dyDescent="0.25"/>
    <row r="1193" s="53" customFormat="1" x14ac:dyDescent="0.25"/>
    <row r="1194" s="53" customFormat="1" x14ac:dyDescent="0.25"/>
    <row r="1195" s="53" customFormat="1" x14ac:dyDescent="0.25"/>
    <row r="1196" s="53" customFormat="1" x14ac:dyDescent="0.25"/>
    <row r="1197" s="53" customFormat="1" x14ac:dyDescent="0.25"/>
    <row r="1198" s="53" customFormat="1" x14ac:dyDescent="0.25"/>
    <row r="1199" s="53" customFormat="1" x14ac:dyDescent="0.25"/>
    <row r="1200" s="53" customFormat="1" x14ac:dyDescent="0.25"/>
    <row r="1201" s="53" customFormat="1" x14ac:dyDescent="0.25"/>
    <row r="1202" s="53" customFormat="1" x14ac:dyDescent="0.25"/>
    <row r="1203" s="53" customFormat="1" x14ac:dyDescent="0.25"/>
    <row r="1204" s="53" customFormat="1" x14ac:dyDescent="0.25"/>
    <row r="1205" s="53" customFormat="1" x14ac:dyDescent="0.25"/>
    <row r="1206" s="53" customFormat="1" x14ac:dyDescent="0.25"/>
    <row r="1207" s="53" customFormat="1" x14ac:dyDescent="0.25"/>
    <row r="1208" s="53" customFormat="1" x14ac:dyDescent="0.25"/>
    <row r="1209" s="53" customFormat="1" x14ac:dyDescent="0.25"/>
    <row r="1210" s="53" customFormat="1" x14ac:dyDescent="0.25"/>
    <row r="1211" s="53" customFormat="1" x14ac:dyDescent="0.25"/>
    <row r="1212" s="53" customFormat="1" x14ac:dyDescent="0.25"/>
    <row r="1213" s="53" customFormat="1" x14ac:dyDescent="0.25"/>
    <row r="1214" s="53" customFormat="1" x14ac:dyDescent="0.25"/>
    <row r="1215" s="53" customFormat="1" x14ac:dyDescent="0.25"/>
    <row r="1216" s="53" customFormat="1" x14ac:dyDescent="0.25"/>
    <row r="1217" s="53" customFormat="1" x14ac:dyDescent="0.25"/>
    <row r="1218" s="53" customFormat="1" x14ac:dyDescent="0.25"/>
    <row r="1219" s="53" customFormat="1" x14ac:dyDescent="0.25"/>
    <row r="1220" s="53" customFormat="1" x14ac:dyDescent="0.25"/>
    <row r="1221" s="53" customFormat="1" x14ac:dyDescent="0.25"/>
    <row r="1222" s="53" customFormat="1" x14ac:dyDescent="0.25"/>
    <row r="1223" s="53" customFormat="1" x14ac:dyDescent="0.25"/>
    <row r="1224" s="53" customFormat="1" x14ac:dyDescent="0.25"/>
    <row r="1225" s="53" customFormat="1" x14ac:dyDescent="0.25"/>
    <row r="1226" s="53" customFormat="1" x14ac:dyDescent="0.25"/>
    <row r="1227" s="53" customFormat="1" x14ac:dyDescent="0.25"/>
    <row r="1228" s="53" customFormat="1" x14ac:dyDescent="0.25"/>
    <row r="1229" s="53" customFormat="1" x14ac:dyDescent="0.25"/>
    <row r="1230" s="53" customFormat="1" x14ac:dyDescent="0.25"/>
    <row r="1231" s="53" customFormat="1" x14ac:dyDescent="0.25"/>
    <row r="1232" s="53" customFormat="1" x14ac:dyDescent="0.25"/>
    <row r="1233" s="53" customFormat="1" x14ac:dyDescent="0.25"/>
    <row r="1234" s="53" customFormat="1" x14ac:dyDescent="0.25"/>
    <row r="1235" s="53" customFormat="1" x14ac:dyDescent="0.25"/>
    <row r="1236" s="53" customFormat="1" x14ac:dyDescent="0.25"/>
    <row r="1237" s="53" customFormat="1" x14ac:dyDescent="0.25"/>
    <row r="1238" s="53" customFormat="1" x14ac:dyDescent="0.25"/>
    <row r="1239" s="53" customFormat="1" x14ac:dyDescent="0.25"/>
    <row r="1240" s="53" customFormat="1" x14ac:dyDescent="0.25"/>
    <row r="1241" s="53" customFormat="1" x14ac:dyDescent="0.25"/>
    <row r="1242" s="53" customFormat="1" x14ac:dyDescent="0.25"/>
    <row r="1243" s="53" customFormat="1" x14ac:dyDescent="0.25"/>
    <row r="1244" s="53" customFormat="1" x14ac:dyDescent="0.25"/>
    <row r="1245" s="53" customFormat="1" x14ac:dyDescent="0.25"/>
    <row r="1246" s="53" customFormat="1" x14ac:dyDescent="0.25"/>
    <row r="1247" s="53" customFormat="1" x14ac:dyDescent="0.25"/>
    <row r="1248" s="53" customFormat="1" x14ac:dyDescent="0.25"/>
    <row r="1249" s="53" customFormat="1" x14ac:dyDescent="0.25"/>
    <row r="1250" s="53" customFormat="1" x14ac:dyDescent="0.25"/>
    <row r="1251" s="53" customFormat="1" x14ac:dyDescent="0.25"/>
    <row r="1252" s="53" customFormat="1" x14ac:dyDescent="0.25"/>
    <row r="1253" s="53" customFormat="1" x14ac:dyDescent="0.25"/>
    <row r="1254" s="53" customFormat="1" x14ac:dyDescent="0.25"/>
    <row r="1255" s="53" customFormat="1" x14ac:dyDescent="0.25"/>
    <row r="1256" s="53" customFormat="1" x14ac:dyDescent="0.25"/>
    <row r="1257" s="53" customFormat="1" x14ac:dyDescent="0.25"/>
    <row r="1258" s="53" customFormat="1" x14ac:dyDescent="0.25"/>
    <row r="1259" s="53" customFormat="1" x14ac:dyDescent="0.25"/>
    <row r="1260" s="53" customFormat="1" x14ac:dyDescent="0.25"/>
    <row r="1261" s="53" customFormat="1" x14ac:dyDescent="0.25"/>
    <row r="1262" s="53" customFormat="1" x14ac:dyDescent="0.25"/>
    <row r="1263" s="53" customFormat="1" x14ac:dyDescent="0.25"/>
    <row r="1264" s="53" customFormat="1" x14ac:dyDescent="0.25"/>
    <row r="1265" s="53" customFormat="1" x14ac:dyDescent="0.25"/>
    <row r="1266" s="53" customFormat="1" x14ac:dyDescent="0.25"/>
    <row r="1267" s="53" customFormat="1" x14ac:dyDescent="0.25"/>
    <row r="1268" s="53" customFormat="1" x14ac:dyDescent="0.25"/>
    <row r="1269" s="53" customFormat="1" x14ac:dyDescent="0.25"/>
    <row r="1270" s="53" customFormat="1" x14ac:dyDescent="0.25"/>
    <row r="1271" s="53" customFormat="1" x14ac:dyDescent="0.25"/>
    <row r="1272" s="53" customFormat="1" x14ac:dyDescent="0.25"/>
    <row r="1273" s="53" customFormat="1" x14ac:dyDescent="0.25"/>
    <row r="1274" s="53" customFormat="1" x14ac:dyDescent="0.25"/>
    <row r="1275" s="53" customFormat="1" x14ac:dyDescent="0.25"/>
    <row r="1276" s="53" customFormat="1" x14ac:dyDescent="0.25"/>
    <row r="1277" s="53" customFormat="1" x14ac:dyDescent="0.25"/>
    <row r="1278" s="53" customFormat="1" x14ac:dyDescent="0.25"/>
    <row r="1279" s="53" customFormat="1" x14ac:dyDescent="0.25"/>
    <row r="1280" s="53" customFormat="1" x14ac:dyDescent="0.25"/>
    <row r="1281" s="53" customFormat="1" x14ac:dyDescent="0.25"/>
    <row r="1282" s="53" customFormat="1" x14ac:dyDescent="0.25"/>
    <row r="1283" s="53" customFormat="1" x14ac:dyDescent="0.25"/>
    <row r="1284" s="53" customFormat="1" x14ac:dyDescent="0.25"/>
    <row r="1285" s="53" customFormat="1" x14ac:dyDescent="0.25"/>
    <row r="1286" s="53" customFormat="1" x14ac:dyDescent="0.25"/>
    <row r="1287" s="53" customFormat="1" x14ac:dyDescent="0.25"/>
    <row r="1288" s="53" customFormat="1" x14ac:dyDescent="0.25"/>
    <row r="1289" s="53" customFormat="1" x14ac:dyDescent="0.25"/>
    <row r="1290" s="53" customFormat="1" x14ac:dyDescent="0.25"/>
    <row r="1291" s="53" customFormat="1" x14ac:dyDescent="0.25"/>
    <row r="1292" s="53" customFormat="1" x14ac:dyDescent="0.25"/>
    <row r="1293" s="53" customFormat="1" x14ac:dyDescent="0.25"/>
    <row r="1294" s="53" customFormat="1" x14ac:dyDescent="0.25"/>
    <row r="1295" s="53" customFormat="1" x14ac:dyDescent="0.25"/>
    <row r="1296" s="53" customFormat="1" x14ac:dyDescent="0.25"/>
    <row r="1297" s="53" customFormat="1" x14ac:dyDescent="0.25"/>
    <row r="1298" s="53" customFormat="1" x14ac:dyDescent="0.25"/>
    <row r="1299" s="53" customFormat="1" x14ac:dyDescent="0.25"/>
    <row r="1300" s="53" customFormat="1" x14ac:dyDescent="0.25"/>
    <row r="1301" s="53" customFormat="1" x14ac:dyDescent="0.25"/>
    <row r="1302" s="53" customFormat="1" x14ac:dyDescent="0.25"/>
    <row r="1303" s="53" customFormat="1" x14ac:dyDescent="0.25"/>
    <row r="1304" s="53" customFormat="1" x14ac:dyDescent="0.25"/>
    <row r="1305" s="53" customFormat="1" x14ac:dyDescent="0.25"/>
    <row r="1306" s="53" customFormat="1" x14ac:dyDescent="0.25"/>
    <row r="1307" s="53" customFormat="1" x14ac:dyDescent="0.25"/>
    <row r="1308" s="53" customFormat="1" x14ac:dyDescent="0.25"/>
    <row r="1309" s="53" customFormat="1" x14ac:dyDescent="0.25"/>
    <row r="1310" s="53" customFormat="1" x14ac:dyDescent="0.25"/>
    <row r="1311" s="53" customFormat="1" x14ac:dyDescent="0.25"/>
    <row r="1312" s="53" customFormat="1" x14ac:dyDescent="0.25"/>
    <row r="1313" s="53" customFormat="1" x14ac:dyDescent="0.25"/>
    <row r="1314" s="53" customFormat="1" x14ac:dyDescent="0.25"/>
    <row r="1315" s="53" customFormat="1" x14ac:dyDescent="0.25"/>
    <row r="1316" s="53" customFormat="1" x14ac:dyDescent="0.25"/>
    <row r="1317" s="53" customFormat="1" x14ac:dyDescent="0.25"/>
    <row r="1318" s="53" customFormat="1" x14ac:dyDescent="0.25"/>
    <row r="1319" s="53" customFormat="1" x14ac:dyDescent="0.25"/>
    <row r="1320" s="53" customFormat="1" x14ac:dyDescent="0.25"/>
    <row r="1321" s="53" customFormat="1" x14ac:dyDescent="0.25"/>
    <row r="1322" s="53" customFormat="1" x14ac:dyDescent="0.25"/>
    <row r="1323" s="53" customFormat="1" x14ac:dyDescent="0.25"/>
    <row r="1324" s="53" customFormat="1" x14ac:dyDescent="0.25"/>
    <row r="1325" s="53" customFormat="1" x14ac:dyDescent="0.25"/>
    <row r="1326" s="53" customFormat="1" x14ac:dyDescent="0.25"/>
    <row r="1327" s="53" customFormat="1" x14ac:dyDescent="0.25"/>
    <row r="1328" s="53" customFormat="1" x14ac:dyDescent="0.25"/>
    <row r="1329" s="53" customFormat="1" x14ac:dyDescent="0.25"/>
    <row r="1330" s="53" customFormat="1" x14ac:dyDescent="0.25"/>
    <row r="1331" s="53" customFormat="1" x14ac:dyDescent="0.25"/>
    <row r="1332" s="53" customFormat="1" x14ac:dyDescent="0.25"/>
    <row r="1333" s="53" customFormat="1" x14ac:dyDescent="0.25"/>
    <row r="1334" s="53" customFormat="1" x14ac:dyDescent="0.25"/>
    <row r="1335" s="53" customFormat="1" x14ac:dyDescent="0.25"/>
    <row r="1336" s="53" customFormat="1" x14ac:dyDescent="0.25"/>
    <row r="1337" s="53" customFormat="1" x14ac:dyDescent="0.25"/>
    <row r="1338" s="53" customFormat="1" x14ac:dyDescent="0.25"/>
    <row r="1339" s="53" customFormat="1" x14ac:dyDescent="0.25"/>
    <row r="1340" s="53" customFormat="1" x14ac:dyDescent="0.25"/>
    <row r="1341" s="53" customFormat="1" x14ac:dyDescent="0.25"/>
    <row r="1342" s="53" customFormat="1" x14ac:dyDescent="0.25"/>
    <row r="1343" s="53" customFormat="1" x14ac:dyDescent="0.25"/>
    <row r="1344" s="53" customFormat="1" x14ac:dyDescent="0.25"/>
    <row r="1345" s="53" customFormat="1" x14ac:dyDescent="0.25"/>
    <row r="1346" s="53" customFormat="1" x14ac:dyDescent="0.25"/>
    <row r="1347" s="53" customFormat="1" x14ac:dyDescent="0.25"/>
    <row r="1348" s="53" customFormat="1" x14ac:dyDescent="0.25"/>
    <row r="1349" s="53" customFormat="1" x14ac:dyDescent="0.25"/>
    <row r="1350" s="53" customFormat="1" x14ac:dyDescent="0.25"/>
    <row r="1351" s="53" customFormat="1" x14ac:dyDescent="0.25"/>
    <row r="1352" s="53" customFormat="1" x14ac:dyDescent="0.25"/>
    <row r="1353" s="53" customFormat="1" x14ac:dyDescent="0.25"/>
    <row r="1354" s="53" customFormat="1" x14ac:dyDescent="0.25"/>
    <row r="1355" s="53" customFormat="1" x14ac:dyDescent="0.25"/>
    <row r="1356" s="53" customFormat="1" x14ac:dyDescent="0.25"/>
    <row r="1357" s="53" customFormat="1" x14ac:dyDescent="0.25"/>
    <row r="1358" s="53" customFormat="1" x14ac:dyDescent="0.25"/>
    <row r="1359" s="53" customFormat="1" x14ac:dyDescent="0.25"/>
    <row r="1360" s="53" customFormat="1" x14ac:dyDescent="0.25"/>
    <row r="1361" s="53" customFormat="1" x14ac:dyDescent="0.25"/>
    <row r="1362" s="53" customFormat="1" x14ac:dyDescent="0.25"/>
    <row r="1363" s="53" customFormat="1" x14ac:dyDescent="0.25"/>
    <row r="1364" s="53" customFormat="1" x14ac:dyDescent="0.25"/>
    <row r="1365" s="53" customFormat="1" x14ac:dyDescent="0.25"/>
    <row r="1366" s="53" customFormat="1" x14ac:dyDescent="0.25"/>
    <row r="1367" s="53" customFormat="1" x14ac:dyDescent="0.25"/>
    <row r="1368" s="53" customFormat="1" x14ac:dyDescent="0.25"/>
    <row r="1369" s="53" customFormat="1" x14ac:dyDescent="0.25"/>
    <row r="1370" s="53" customFormat="1" x14ac:dyDescent="0.25"/>
    <row r="1371" s="53" customFormat="1" x14ac:dyDescent="0.25"/>
    <row r="1372" s="53" customFormat="1" x14ac:dyDescent="0.25"/>
    <row r="1373" s="53" customFormat="1" x14ac:dyDescent="0.25"/>
    <row r="1374" s="53" customFormat="1" x14ac:dyDescent="0.25"/>
    <row r="1375" s="53" customFormat="1" x14ac:dyDescent="0.25"/>
    <row r="1376" s="53" customFormat="1" x14ac:dyDescent="0.25"/>
    <row r="1377" s="53" customFormat="1" x14ac:dyDescent="0.25"/>
    <row r="1378" s="53" customFormat="1" x14ac:dyDescent="0.25"/>
    <row r="1379" s="53" customFormat="1" x14ac:dyDescent="0.25"/>
    <row r="1380" s="53" customFormat="1" x14ac:dyDescent="0.25"/>
    <row r="1381" s="53" customFormat="1" x14ac:dyDescent="0.25"/>
    <row r="1382" s="53" customFormat="1" x14ac:dyDescent="0.25"/>
    <row r="1383" s="53" customFormat="1" x14ac:dyDescent="0.25"/>
    <row r="1384" s="53" customFormat="1" x14ac:dyDescent="0.25"/>
    <row r="1385" s="53" customFormat="1" x14ac:dyDescent="0.25"/>
    <row r="1386" s="53" customFormat="1" x14ac:dyDescent="0.25"/>
    <row r="1387" s="53" customFormat="1" x14ac:dyDescent="0.25"/>
    <row r="1388" s="53" customFormat="1" x14ac:dyDescent="0.25"/>
    <row r="1389" s="53" customFormat="1" x14ac:dyDescent="0.25"/>
    <row r="1390" s="53" customFormat="1" x14ac:dyDescent="0.25"/>
    <row r="1391" s="53" customFormat="1" x14ac:dyDescent="0.25"/>
    <row r="1392" s="53" customFormat="1" x14ac:dyDescent="0.25"/>
    <row r="1393" s="53" customFormat="1" x14ac:dyDescent="0.25"/>
    <row r="1394" s="53" customFormat="1" x14ac:dyDescent="0.25"/>
    <row r="1395" s="53" customFormat="1" x14ac:dyDescent="0.25"/>
    <row r="1396" s="53" customFormat="1" x14ac:dyDescent="0.25"/>
    <row r="1397" s="53" customFormat="1" x14ac:dyDescent="0.25"/>
    <row r="1398" s="53" customFormat="1" x14ac:dyDescent="0.25"/>
    <row r="1399" s="53" customFormat="1" x14ac:dyDescent="0.25"/>
    <row r="1400" s="53" customFormat="1" x14ac:dyDescent="0.25"/>
    <row r="1401" s="53" customFormat="1" x14ac:dyDescent="0.25"/>
    <row r="1402" s="53" customFormat="1" x14ac:dyDescent="0.25"/>
    <row r="1403" s="53" customFormat="1" x14ac:dyDescent="0.25"/>
    <row r="1404" s="53" customFormat="1" x14ac:dyDescent="0.25"/>
    <row r="1405" s="53" customFormat="1" x14ac:dyDescent="0.25"/>
    <row r="1406" s="53" customFormat="1" x14ac:dyDescent="0.25"/>
    <row r="1407" s="53" customFormat="1" x14ac:dyDescent="0.25"/>
    <row r="1408" s="53" customFormat="1" x14ac:dyDescent="0.25"/>
    <row r="1409" s="53" customFormat="1" x14ac:dyDescent="0.25"/>
    <row r="1410" s="53" customFormat="1" x14ac:dyDescent="0.25"/>
    <row r="1411" s="53" customFormat="1" x14ac:dyDescent="0.25"/>
    <row r="1412" s="53" customFormat="1" x14ac:dyDescent="0.25"/>
    <row r="1413" s="53" customFormat="1" x14ac:dyDescent="0.25"/>
    <row r="1414" s="53" customFormat="1" x14ac:dyDescent="0.25"/>
    <row r="1415" s="53" customFormat="1" x14ac:dyDescent="0.25"/>
    <row r="1416" s="53" customFormat="1" x14ac:dyDescent="0.25"/>
    <row r="1417" s="53" customFormat="1" x14ac:dyDescent="0.25"/>
    <row r="1418" s="53" customFormat="1" x14ac:dyDescent="0.25"/>
    <row r="1419" s="53" customFormat="1" x14ac:dyDescent="0.25"/>
    <row r="1420" s="53" customFormat="1" x14ac:dyDescent="0.25"/>
    <row r="1421" s="53" customFormat="1" x14ac:dyDescent="0.25"/>
    <row r="1422" s="53" customFormat="1" x14ac:dyDescent="0.25"/>
    <row r="1423" s="53" customFormat="1" x14ac:dyDescent="0.25"/>
    <row r="1424" s="53" customFormat="1" x14ac:dyDescent="0.25"/>
    <row r="1425" s="53" customFormat="1" x14ac:dyDescent="0.25"/>
    <row r="1426" s="53" customFormat="1" x14ac:dyDescent="0.25"/>
    <row r="1427" s="53" customFormat="1" x14ac:dyDescent="0.25"/>
    <row r="1428" s="53" customFormat="1" x14ac:dyDescent="0.25"/>
    <row r="1429" s="53" customFormat="1" x14ac:dyDescent="0.25"/>
    <row r="1430" s="53" customFormat="1" x14ac:dyDescent="0.25"/>
    <row r="1431" s="53" customFormat="1" x14ac:dyDescent="0.25"/>
    <row r="1432" s="53" customFormat="1" x14ac:dyDescent="0.25"/>
    <row r="1433" s="53" customFormat="1" x14ac:dyDescent="0.25"/>
    <row r="1434" s="53" customFormat="1" x14ac:dyDescent="0.25"/>
    <row r="1435" s="53" customFormat="1" x14ac:dyDescent="0.25"/>
    <row r="1436" s="53" customFormat="1" x14ac:dyDescent="0.25"/>
    <row r="1437" s="53" customFormat="1" x14ac:dyDescent="0.25"/>
    <row r="1438" s="53" customFormat="1" x14ac:dyDescent="0.25"/>
    <row r="1439" s="53" customFormat="1" x14ac:dyDescent="0.25"/>
    <row r="1440" s="53" customFormat="1" x14ac:dyDescent="0.25"/>
    <row r="1441" s="53" customFormat="1" x14ac:dyDescent="0.25"/>
    <row r="1442" s="53" customFormat="1" x14ac:dyDescent="0.25"/>
    <row r="1443" s="53" customFormat="1" x14ac:dyDescent="0.25"/>
    <row r="1444" s="53" customFormat="1" x14ac:dyDescent="0.25"/>
    <row r="1445" s="53" customFormat="1" x14ac:dyDescent="0.25"/>
    <row r="1446" s="53" customFormat="1" x14ac:dyDescent="0.25"/>
    <row r="1447" s="53" customFormat="1" x14ac:dyDescent="0.25"/>
    <row r="1448" s="53" customFormat="1" x14ac:dyDescent="0.25"/>
    <row r="1449" s="53" customFormat="1" x14ac:dyDescent="0.25"/>
    <row r="1450" s="53" customFormat="1" x14ac:dyDescent="0.25"/>
    <row r="1451" s="53" customFormat="1" x14ac:dyDescent="0.25"/>
    <row r="1452" s="53" customFormat="1" x14ac:dyDescent="0.25"/>
    <row r="1453" s="53" customFormat="1" x14ac:dyDescent="0.25"/>
    <row r="1454" s="53" customFormat="1" x14ac:dyDescent="0.25"/>
    <row r="1455" s="53" customFormat="1" x14ac:dyDescent="0.25"/>
    <row r="1456" s="53" customFormat="1" x14ac:dyDescent="0.25"/>
    <row r="1457" s="53" customFormat="1" x14ac:dyDescent="0.25"/>
    <row r="1458" s="53" customFormat="1" x14ac:dyDescent="0.25"/>
    <row r="1459" s="53" customFormat="1" x14ac:dyDescent="0.25"/>
    <row r="1460" s="53" customFormat="1" x14ac:dyDescent="0.25"/>
    <row r="1461" s="53" customFormat="1" x14ac:dyDescent="0.25"/>
    <row r="1462" s="53" customFormat="1" x14ac:dyDescent="0.25"/>
    <row r="1463" s="53" customFormat="1" x14ac:dyDescent="0.25"/>
    <row r="1464" s="53" customFormat="1" x14ac:dyDescent="0.25"/>
    <row r="1465" s="53" customFormat="1" x14ac:dyDescent="0.25"/>
    <row r="1466" s="53" customFormat="1" x14ac:dyDescent="0.25"/>
    <row r="1467" s="53" customFormat="1" x14ac:dyDescent="0.25"/>
    <row r="1468" s="53" customFormat="1" x14ac:dyDescent="0.25"/>
    <row r="1469" s="53" customFormat="1" x14ac:dyDescent="0.25"/>
    <row r="1470" s="53" customFormat="1" x14ac:dyDescent="0.25"/>
    <row r="1471" s="53" customFormat="1" x14ac:dyDescent="0.25"/>
    <row r="1472" s="53" customFormat="1" x14ac:dyDescent="0.25"/>
    <row r="1473" s="53" customFormat="1" x14ac:dyDescent="0.25"/>
    <row r="1474" s="53" customFormat="1" x14ac:dyDescent="0.25"/>
    <row r="1475" s="53" customFormat="1" x14ac:dyDescent="0.25"/>
    <row r="1476" s="53" customFormat="1" x14ac:dyDescent="0.25"/>
    <row r="1477" s="53" customFormat="1" x14ac:dyDescent="0.25"/>
    <row r="1478" s="53" customFormat="1" x14ac:dyDescent="0.25"/>
    <row r="1479" s="53" customFormat="1" x14ac:dyDescent="0.25"/>
    <row r="1480" s="53" customFormat="1" x14ac:dyDescent="0.25"/>
    <row r="1481" s="53" customFormat="1" x14ac:dyDescent="0.25"/>
    <row r="1482" s="53" customFormat="1" x14ac:dyDescent="0.25"/>
    <row r="1483" s="53" customFormat="1" x14ac:dyDescent="0.25"/>
    <row r="1484" s="53" customFormat="1" x14ac:dyDescent="0.25"/>
    <row r="1485" s="53" customFormat="1" x14ac:dyDescent="0.25"/>
    <row r="1486" s="53" customFormat="1" x14ac:dyDescent="0.25"/>
    <row r="1487" s="53" customFormat="1" x14ac:dyDescent="0.25"/>
    <row r="1488" s="53" customFormat="1" x14ac:dyDescent="0.25"/>
    <row r="1489" s="53" customFormat="1" x14ac:dyDescent="0.25"/>
  </sheetData>
  <mergeCells count="1">
    <mergeCell ref="A3:R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BE125"/>
  <sheetViews>
    <sheetView showGridLines="0" zoomScaleNormal="100" workbookViewId="0">
      <selection activeCell="Q1" sqref="Q1"/>
    </sheetView>
  </sheetViews>
  <sheetFormatPr defaultRowHeight="15" x14ac:dyDescent="0.25"/>
  <cols>
    <col min="1" max="1" width="15.140625" customWidth="1"/>
    <col min="2" max="2" width="11.28515625" customWidth="1"/>
    <col min="21" max="21" width="10.5703125" customWidth="1"/>
    <col min="23" max="23" width="11.85546875" customWidth="1"/>
    <col min="24" max="25" width="22.85546875" customWidth="1"/>
    <col min="27" max="28" width="10.28515625" customWidth="1"/>
    <col min="29" max="32" width="21" customWidth="1"/>
    <col min="36" max="36" width="10.28515625" customWidth="1"/>
    <col min="39" max="39" width="17.28515625" customWidth="1"/>
    <col min="40" max="40" width="14" customWidth="1"/>
    <col min="41" max="42" width="11.28515625" customWidth="1"/>
    <col min="43" max="44" width="11.42578125" customWidth="1"/>
    <col min="46" max="46" width="10.28515625" customWidth="1"/>
    <col min="47" max="47" width="15.42578125" customWidth="1"/>
    <col min="48" max="50" width="23.7109375" customWidth="1"/>
  </cols>
  <sheetData>
    <row r="1" spans="1:57" s="39" customFormat="1" ht="28.5" customHeight="1" x14ac:dyDescent="0.25">
      <c r="A1" s="205" t="s">
        <v>302</v>
      </c>
      <c r="W1" s="205" t="s">
        <v>301</v>
      </c>
      <c r="X1" s="204"/>
      <c r="Y1" s="204"/>
      <c r="Z1" s="204"/>
      <c r="AA1" s="205" t="s">
        <v>306</v>
      </c>
      <c r="AB1" s="204"/>
      <c r="AC1" s="204"/>
      <c r="AD1" s="204"/>
      <c r="AE1" s="204"/>
      <c r="AF1" s="204"/>
      <c r="AG1" s="204"/>
      <c r="AH1" s="205" t="s">
        <v>311</v>
      </c>
      <c r="AI1" s="204"/>
      <c r="AJ1" s="204"/>
      <c r="AK1" s="204"/>
      <c r="AL1" s="204"/>
      <c r="AM1" s="204"/>
      <c r="AN1" s="204"/>
      <c r="AO1" s="204"/>
      <c r="AP1" s="204"/>
      <c r="AQ1" s="204"/>
      <c r="AR1" s="204"/>
      <c r="AS1" s="204"/>
      <c r="AT1" s="205" t="s">
        <v>312</v>
      </c>
      <c r="AU1" s="204"/>
      <c r="AV1" s="204"/>
      <c r="AW1" s="204"/>
      <c r="AX1" s="204"/>
    </row>
    <row r="2" spans="1:57" s="206" customFormat="1" ht="92.25" customHeight="1" x14ac:dyDescent="0.25">
      <c r="A2" s="250" t="s">
        <v>427</v>
      </c>
      <c r="B2" s="251"/>
      <c r="C2" s="251"/>
      <c r="D2" s="251"/>
      <c r="E2" s="251"/>
      <c r="F2" s="251"/>
      <c r="G2" s="251"/>
      <c r="H2" s="251"/>
      <c r="I2" s="251"/>
      <c r="J2" s="251"/>
      <c r="K2" s="251"/>
      <c r="L2" s="251"/>
      <c r="M2" s="251"/>
      <c r="N2" s="251"/>
      <c r="W2" s="250" t="s">
        <v>428</v>
      </c>
      <c r="X2" s="251"/>
      <c r="Y2" s="251"/>
      <c r="Z2" s="207"/>
      <c r="AA2" s="250" t="s">
        <v>430</v>
      </c>
      <c r="AB2" s="251"/>
      <c r="AC2" s="251"/>
      <c r="AD2" s="251"/>
      <c r="AE2" s="251"/>
      <c r="AF2" s="251"/>
      <c r="AG2" s="207"/>
      <c r="AH2" s="250" t="s">
        <v>431</v>
      </c>
      <c r="AI2" s="251"/>
      <c r="AJ2" s="251"/>
      <c r="AK2" s="251"/>
      <c r="AL2" s="251"/>
      <c r="AM2" s="251"/>
      <c r="AN2" s="251"/>
      <c r="AO2" s="251"/>
      <c r="AP2" s="251"/>
      <c r="AQ2" s="251"/>
      <c r="AR2" s="251"/>
      <c r="AS2" s="207"/>
      <c r="AT2" s="250" t="s">
        <v>407</v>
      </c>
      <c r="AU2" s="251"/>
      <c r="AV2" s="251"/>
      <c r="AW2" s="251"/>
      <c r="AX2" s="251"/>
      <c r="AY2" s="208"/>
      <c r="AZ2" s="208"/>
      <c r="BA2" s="208"/>
      <c r="BB2" s="208"/>
      <c r="BC2" s="208"/>
      <c r="BD2" s="208"/>
      <c r="BE2" s="208"/>
    </row>
    <row r="3" spans="1:57" s="39" customFormat="1" ht="9.75" customHeight="1" x14ac:dyDescent="0.25">
      <c r="A3" s="149"/>
      <c r="W3" s="149"/>
      <c r="AA3" s="149"/>
      <c r="AH3" s="149"/>
      <c r="AT3" s="149"/>
    </row>
    <row r="4" spans="1:57" s="142" customFormat="1" ht="45" x14ac:dyDescent="0.25">
      <c r="A4" s="202" t="s">
        <v>271</v>
      </c>
      <c r="B4" s="110" t="s">
        <v>401</v>
      </c>
      <c r="C4" s="202" t="s">
        <v>402</v>
      </c>
      <c r="D4" s="203" t="s">
        <v>253</v>
      </c>
      <c r="E4" s="203" t="s">
        <v>254</v>
      </c>
      <c r="F4" s="203" t="s">
        <v>255</v>
      </c>
      <c r="G4" s="203" t="s">
        <v>256</v>
      </c>
      <c r="H4" s="203" t="s">
        <v>257</v>
      </c>
      <c r="I4" s="203" t="s">
        <v>258</v>
      </c>
      <c r="J4" s="203" t="s">
        <v>259</v>
      </c>
      <c r="K4" s="203" t="s">
        <v>260</v>
      </c>
      <c r="L4" s="203" t="s">
        <v>261</v>
      </c>
      <c r="M4" s="202" t="s">
        <v>262</v>
      </c>
      <c r="N4" s="202" t="s">
        <v>263</v>
      </c>
      <c r="O4" s="202" t="s">
        <v>264</v>
      </c>
      <c r="P4" s="202" t="s">
        <v>265</v>
      </c>
      <c r="Q4" s="202" t="s">
        <v>266</v>
      </c>
      <c r="R4" s="202" t="s">
        <v>267</v>
      </c>
      <c r="S4" s="202" t="s">
        <v>268</v>
      </c>
      <c r="T4" s="202" t="s">
        <v>269</v>
      </c>
      <c r="U4" s="202" t="s">
        <v>270</v>
      </c>
      <c r="V4"/>
      <c r="W4" s="110" t="s">
        <v>305</v>
      </c>
      <c r="X4" s="110" t="s">
        <v>304</v>
      </c>
      <c r="Y4" s="110" t="s">
        <v>303</v>
      </c>
      <c r="Z4"/>
      <c r="AA4" s="110" t="s">
        <v>274</v>
      </c>
      <c r="AB4" s="110" t="s">
        <v>11</v>
      </c>
      <c r="AC4" s="110" t="s">
        <v>406</v>
      </c>
      <c r="AD4" s="110" t="s">
        <v>404</v>
      </c>
      <c r="AE4" s="110" t="s">
        <v>403</v>
      </c>
      <c r="AF4" s="110" t="s">
        <v>405</v>
      </c>
      <c r="AH4" s="110" t="s">
        <v>289</v>
      </c>
      <c r="AI4" s="110" t="s">
        <v>279</v>
      </c>
      <c r="AJ4" s="110" t="s">
        <v>277</v>
      </c>
      <c r="AK4" s="110" t="s">
        <v>278</v>
      </c>
      <c r="AL4" s="110" t="s">
        <v>280</v>
      </c>
      <c r="AM4" s="110" t="s">
        <v>408</v>
      </c>
      <c r="AN4" s="110" t="s">
        <v>281</v>
      </c>
      <c r="AO4" s="110" t="s">
        <v>282</v>
      </c>
      <c r="AP4" s="110" t="s">
        <v>283</v>
      </c>
      <c r="AQ4" s="110" t="s">
        <v>284</v>
      </c>
      <c r="AR4" s="110" t="s">
        <v>285</v>
      </c>
      <c r="AT4" s="201" t="s">
        <v>313</v>
      </c>
      <c r="AU4" s="188" t="s">
        <v>273</v>
      </c>
      <c r="AV4" s="188" t="s">
        <v>276</v>
      </c>
      <c r="AW4" s="188" t="s">
        <v>299</v>
      </c>
      <c r="AX4" s="188" t="s">
        <v>300</v>
      </c>
    </row>
    <row r="5" spans="1:57" x14ac:dyDescent="0.25">
      <c r="A5" s="284" t="s">
        <v>272</v>
      </c>
      <c r="B5" s="285"/>
      <c r="C5" s="203">
        <v>0</v>
      </c>
      <c r="D5" s="203">
        <v>0.08</v>
      </c>
      <c r="E5" s="203">
        <v>0.13</v>
      </c>
      <c r="F5" s="203">
        <v>0.18</v>
      </c>
      <c r="G5" s="203">
        <v>0.23</v>
      </c>
      <c r="H5" s="203">
        <v>0.28000000000000003</v>
      </c>
      <c r="I5" s="203">
        <v>0.33</v>
      </c>
      <c r="J5" s="203">
        <v>0.38</v>
      </c>
      <c r="K5" s="203">
        <v>0.43</v>
      </c>
      <c r="L5" s="203">
        <v>0.48</v>
      </c>
      <c r="M5" s="203">
        <v>0.53</v>
      </c>
      <c r="N5" s="203">
        <v>0.57999999999999996</v>
      </c>
      <c r="O5" s="203">
        <v>0.63</v>
      </c>
      <c r="P5" s="203">
        <v>0.68</v>
      </c>
      <c r="Q5" s="203">
        <v>0.73</v>
      </c>
      <c r="R5" s="203">
        <v>0.78</v>
      </c>
      <c r="S5" s="203">
        <v>0.83</v>
      </c>
      <c r="T5" s="203">
        <v>0.88</v>
      </c>
      <c r="U5" s="203">
        <v>0.93</v>
      </c>
      <c r="V5" s="2"/>
      <c r="W5" s="192">
        <v>0</v>
      </c>
      <c r="X5" s="191" t="s">
        <v>17</v>
      </c>
      <c r="Y5" s="198">
        <v>0.20399999999999999</v>
      </c>
      <c r="AA5" s="192">
        <f>MATCH(Input!$C$43,$C$5:$U$5,1)</f>
        <v>19</v>
      </c>
      <c r="AB5" s="192">
        <v>0</v>
      </c>
      <c r="AC5" s="191">
        <f>MATCH(AB5,$B$6:$B$37,1)</f>
        <v>1</v>
      </c>
      <c r="AD5" s="191">
        <f>INDEX($C$6:$U$37,AC5,AA5)</f>
        <v>0.04</v>
      </c>
      <c r="AE5" s="191">
        <f>MATCH(AB5,$W$5:$W$36,1)</f>
        <v>1</v>
      </c>
      <c r="AF5" s="191">
        <f>INDEX($Y$5:$Y$36,AE5,1)</f>
        <v>0.20399999999999999</v>
      </c>
      <c r="AH5" s="192">
        <f>Input!$C$4</f>
        <v>45</v>
      </c>
      <c r="AI5" s="192">
        <v>0</v>
      </c>
      <c r="AJ5" s="192">
        <f>MATCH(Input!$C$43,$AT$5:$AT$52,1)</f>
        <v>48</v>
      </c>
      <c r="AK5" s="191">
        <f>INDEX($AV$5:$AX$52,AJ5,1)</f>
        <v>50</v>
      </c>
      <c r="AL5" s="199">
        <f>MIN(AK5,Input!$C$44)</f>
        <v>20</v>
      </c>
      <c r="AM5" s="191">
        <f>INDEX($AV$5:$AX$52,AJ5,2)</f>
        <v>10</v>
      </c>
      <c r="AN5" s="191">
        <f>INDEX($AV$5:$AX$52,AJ5,3)</f>
        <v>25</v>
      </c>
      <c r="AO5" s="199">
        <f>AL5+AM5</f>
        <v>30</v>
      </c>
      <c r="AP5" s="199">
        <f>AL5+AN5</f>
        <v>45</v>
      </c>
      <c r="AQ5" s="191">
        <f t="shared" ref="AQ5:AQ36" si="0">IF(AH5&gt;=100,0,IF(AI5&lt;AO5,1,IF(OR(AQ4=0,AK5=0),0,MAX(0,AQ4-(1/(AP5-AO5+1))))))</f>
        <v>1</v>
      </c>
      <c r="AR5" s="191">
        <f>1-AQ5</f>
        <v>0</v>
      </c>
      <c r="AT5" s="200">
        <v>0</v>
      </c>
      <c r="AU5" s="192" t="s">
        <v>275</v>
      </c>
      <c r="AV5" s="191">
        <v>0</v>
      </c>
      <c r="AW5" s="191">
        <v>0</v>
      </c>
      <c r="AX5" s="191">
        <v>0</v>
      </c>
    </row>
    <row r="6" spans="1:57" x14ac:dyDescent="0.25">
      <c r="A6" s="192" t="s">
        <v>251</v>
      </c>
      <c r="B6" s="192">
        <v>0</v>
      </c>
      <c r="C6" s="198">
        <v>0.20399999999999999</v>
      </c>
      <c r="D6" s="198">
        <v>0.20399999999999999</v>
      </c>
      <c r="E6" s="198">
        <v>0.17399999999999999</v>
      </c>
      <c r="F6" s="198">
        <v>0.159</v>
      </c>
      <c r="G6" s="198">
        <v>0.14499999999999999</v>
      </c>
      <c r="H6" s="198">
        <v>0.13200000000000001</v>
      </c>
      <c r="I6" s="198">
        <v>0.121</v>
      </c>
      <c r="J6" s="198">
        <v>0.11</v>
      </c>
      <c r="K6" s="198">
        <v>0.1</v>
      </c>
      <c r="L6" s="198">
        <v>9.0999999999999998E-2</v>
      </c>
      <c r="M6" s="198">
        <v>8.3000000000000004E-2</v>
      </c>
      <c r="N6" s="198">
        <v>7.5999999999999998E-2</v>
      </c>
      <c r="O6" s="198">
        <v>6.9000000000000006E-2</v>
      </c>
      <c r="P6" s="198">
        <v>6.3E-2</v>
      </c>
      <c r="Q6" s="198">
        <v>5.8000000000000003E-2</v>
      </c>
      <c r="R6" s="198">
        <v>5.2999999999999999E-2</v>
      </c>
      <c r="S6" s="198">
        <v>4.8000000000000001E-2</v>
      </c>
      <c r="T6" s="198">
        <v>4.3999999999999997E-2</v>
      </c>
      <c r="U6" s="198">
        <v>0.04</v>
      </c>
      <c r="V6" s="144"/>
      <c r="W6" s="192">
        <v>46</v>
      </c>
      <c r="X6" s="191" t="s">
        <v>18</v>
      </c>
      <c r="Y6" s="198">
        <v>0.20200000000000001</v>
      </c>
      <c r="AA6" s="192">
        <f>MATCH(Input!$C$43,$C$5:$U$5,1)</f>
        <v>19</v>
      </c>
      <c r="AB6" s="192">
        <f t="shared" ref="AB6:AB37" si="1">AB5+1</f>
        <v>1</v>
      </c>
      <c r="AC6" s="191">
        <f t="shared" ref="AC6:AC69" si="2">MATCH(AB6,$B$6:$B$37,1)</f>
        <v>1</v>
      </c>
      <c r="AD6" s="191">
        <f t="shared" ref="AD6:AD69" si="3">INDEX($C$6:$U$37,AC6,AA6)</f>
        <v>0.04</v>
      </c>
      <c r="AE6" s="191">
        <f t="shared" ref="AE6:AE69" si="4">MATCH(AB6,$W$5:$W$36,1)</f>
        <v>1</v>
      </c>
      <c r="AF6" s="191">
        <f t="shared" ref="AF6:AF69" si="5">INDEX($Y$5:$Y$36,AE6,1)</f>
        <v>0.20399999999999999</v>
      </c>
      <c r="AH6" s="192">
        <f>AH5+1</f>
        <v>46</v>
      </c>
      <c r="AI6" s="192">
        <f>AI5+1</f>
        <v>1</v>
      </c>
      <c r="AJ6" s="192">
        <f>MATCH(Input!$C$43,$AT$5:$AT$52,1)</f>
        <v>48</v>
      </c>
      <c r="AK6" s="191">
        <f t="shared" ref="AK6:AK69" si="6">INDEX($AV$5:$AX$52,AJ6,1)</f>
        <v>50</v>
      </c>
      <c r="AL6" s="199">
        <f>MIN(AK6,Input!$C$44)</f>
        <v>20</v>
      </c>
      <c r="AM6" s="191">
        <f t="shared" ref="AM6:AM69" si="7">INDEX($AV$5:$AX$52,AJ6,2)</f>
        <v>10</v>
      </c>
      <c r="AN6" s="191">
        <f t="shared" ref="AN6:AN69" si="8">INDEX($AV$5:$AX$52,AJ6,3)</f>
        <v>25</v>
      </c>
      <c r="AO6" s="199">
        <f t="shared" ref="AO6:AO69" si="9">AL6+AM6</f>
        <v>30</v>
      </c>
      <c r="AP6" s="199">
        <f t="shared" ref="AP6:AP69" si="10">AL6+AN6</f>
        <v>45</v>
      </c>
      <c r="AQ6" s="191">
        <f t="shared" si="0"/>
        <v>1</v>
      </c>
      <c r="AR6" s="191">
        <f t="shared" ref="AR6:AR69" si="11">1-AQ6</f>
        <v>0</v>
      </c>
      <c r="AT6" s="200">
        <v>0.2</v>
      </c>
      <c r="AU6" s="192" t="s">
        <v>485</v>
      </c>
      <c r="AV6" s="191">
        <v>10</v>
      </c>
      <c r="AW6" s="191">
        <v>2</v>
      </c>
      <c r="AX6" s="191">
        <v>8</v>
      </c>
    </row>
    <row r="7" spans="1:57" x14ac:dyDescent="0.25">
      <c r="A7" s="192" t="s">
        <v>18</v>
      </c>
      <c r="B7" s="192">
        <v>46</v>
      </c>
      <c r="C7" s="198">
        <v>0.20200000000000001</v>
      </c>
      <c r="D7" s="198">
        <v>0.20200000000000001</v>
      </c>
      <c r="E7" s="198">
        <v>0.17399999999999999</v>
      </c>
      <c r="F7" s="198">
        <v>0.159</v>
      </c>
      <c r="G7" s="198">
        <v>0.14499999999999999</v>
      </c>
      <c r="H7" s="198">
        <v>0.13200000000000001</v>
      </c>
      <c r="I7" s="198">
        <v>0.121</v>
      </c>
      <c r="J7" s="198">
        <v>0.11</v>
      </c>
      <c r="K7" s="198">
        <v>0.1</v>
      </c>
      <c r="L7" s="198">
        <v>9.0999999999999998E-2</v>
      </c>
      <c r="M7" s="198">
        <v>8.3000000000000004E-2</v>
      </c>
      <c r="N7" s="198">
        <v>7.5999999999999998E-2</v>
      </c>
      <c r="O7" s="198">
        <v>6.9000000000000006E-2</v>
      </c>
      <c r="P7" s="198">
        <v>6.3E-2</v>
      </c>
      <c r="Q7" s="198">
        <v>5.8000000000000003E-2</v>
      </c>
      <c r="R7" s="198">
        <v>5.2999999999999999E-2</v>
      </c>
      <c r="S7" s="198">
        <v>4.8000000000000001E-2</v>
      </c>
      <c r="T7" s="198">
        <v>4.3999999999999997E-2</v>
      </c>
      <c r="U7" s="198">
        <v>0.04</v>
      </c>
      <c r="V7" s="144"/>
      <c r="W7" s="192">
        <v>48</v>
      </c>
      <c r="X7" s="191" t="s">
        <v>19</v>
      </c>
      <c r="Y7" s="198">
        <v>0.2</v>
      </c>
      <c r="AA7" s="192">
        <f>MATCH(Input!$C$43,$C$5:$U$5,1)</f>
        <v>19</v>
      </c>
      <c r="AB7" s="192">
        <f t="shared" si="1"/>
        <v>2</v>
      </c>
      <c r="AC7" s="191">
        <f t="shared" si="2"/>
        <v>1</v>
      </c>
      <c r="AD7" s="191">
        <f t="shared" si="3"/>
        <v>0.04</v>
      </c>
      <c r="AE7" s="191">
        <f t="shared" si="4"/>
        <v>1</v>
      </c>
      <c r="AF7" s="191">
        <f t="shared" si="5"/>
        <v>0.20399999999999999</v>
      </c>
      <c r="AH7" s="192">
        <f t="shared" ref="AH7:AI22" si="12">AH6+1</f>
        <v>47</v>
      </c>
      <c r="AI7" s="192">
        <f t="shared" si="12"/>
        <v>2</v>
      </c>
      <c r="AJ7" s="192">
        <f>MATCH(Input!$C$43,$AT$5:$AT$52,1)</f>
        <v>48</v>
      </c>
      <c r="AK7" s="191">
        <f t="shared" si="6"/>
        <v>50</v>
      </c>
      <c r="AL7" s="199">
        <f>MIN(AK7,Input!$C$44)</f>
        <v>20</v>
      </c>
      <c r="AM7" s="191">
        <f t="shared" si="7"/>
        <v>10</v>
      </c>
      <c r="AN7" s="191">
        <f t="shared" si="8"/>
        <v>25</v>
      </c>
      <c r="AO7" s="199">
        <f t="shared" si="9"/>
        <v>30</v>
      </c>
      <c r="AP7" s="199">
        <f t="shared" si="10"/>
        <v>45</v>
      </c>
      <c r="AQ7" s="191">
        <f t="shared" si="0"/>
        <v>1</v>
      </c>
      <c r="AR7" s="191">
        <f t="shared" si="11"/>
        <v>0</v>
      </c>
      <c r="AT7" s="200">
        <v>0.31</v>
      </c>
      <c r="AU7" s="192" t="s">
        <v>486</v>
      </c>
      <c r="AV7" s="191">
        <v>11</v>
      </c>
      <c r="AW7" s="191">
        <v>3</v>
      </c>
      <c r="AX7" s="191">
        <v>8</v>
      </c>
    </row>
    <row r="8" spans="1:57" x14ac:dyDescent="0.25">
      <c r="A8" s="192" t="s">
        <v>19</v>
      </c>
      <c r="B8" s="192">
        <v>48</v>
      </c>
      <c r="C8" s="198">
        <v>0.2</v>
      </c>
      <c r="D8" s="198">
        <v>0.2</v>
      </c>
      <c r="E8" s="198">
        <v>0.17199999999999999</v>
      </c>
      <c r="F8" s="198">
        <v>0.157</v>
      </c>
      <c r="G8" s="198">
        <v>0.14299999999999999</v>
      </c>
      <c r="H8" s="198">
        <v>0.13</v>
      </c>
      <c r="I8" s="198">
        <v>0.11899999999999999</v>
      </c>
      <c r="J8" s="198">
        <v>0.108</v>
      </c>
      <c r="K8" s="198">
        <v>9.9000000000000005E-2</v>
      </c>
      <c r="L8" s="198">
        <v>0.09</v>
      </c>
      <c r="M8" s="198">
        <v>8.2000000000000003E-2</v>
      </c>
      <c r="N8" s="198">
        <v>7.4999999999999997E-2</v>
      </c>
      <c r="O8" s="198">
        <v>6.8000000000000005E-2</v>
      </c>
      <c r="P8" s="198">
        <v>6.2E-2</v>
      </c>
      <c r="Q8" s="198">
        <v>5.7000000000000002E-2</v>
      </c>
      <c r="R8" s="198">
        <v>5.1999999999999998E-2</v>
      </c>
      <c r="S8" s="198">
        <v>4.7E-2</v>
      </c>
      <c r="T8" s="198">
        <v>4.2999999999999997E-2</v>
      </c>
      <c r="U8" s="198">
        <v>3.9E-2</v>
      </c>
      <c r="V8" s="144"/>
      <c r="W8" s="192">
        <v>50</v>
      </c>
      <c r="X8" s="191" t="s">
        <v>20</v>
      </c>
      <c r="Y8" s="198">
        <v>0.19800000000000001</v>
      </c>
      <c r="AA8" s="192">
        <f>MATCH(Input!$C$43,$C$5:$U$5,1)</f>
        <v>19</v>
      </c>
      <c r="AB8" s="192">
        <f t="shared" si="1"/>
        <v>3</v>
      </c>
      <c r="AC8" s="191">
        <f t="shared" si="2"/>
        <v>1</v>
      </c>
      <c r="AD8" s="191">
        <f t="shared" si="3"/>
        <v>0.04</v>
      </c>
      <c r="AE8" s="191">
        <f t="shared" si="4"/>
        <v>1</v>
      </c>
      <c r="AF8" s="191">
        <f t="shared" si="5"/>
        <v>0.20399999999999999</v>
      </c>
      <c r="AH8" s="192">
        <f t="shared" si="12"/>
        <v>48</v>
      </c>
      <c r="AI8" s="192">
        <f t="shared" si="12"/>
        <v>3</v>
      </c>
      <c r="AJ8" s="192">
        <f>MATCH(Input!$C$43,$AT$5:$AT$52,1)</f>
        <v>48</v>
      </c>
      <c r="AK8" s="191">
        <f t="shared" si="6"/>
        <v>50</v>
      </c>
      <c r="AL8" s="199">
        <f>MIN(AK8,Input!$C$44)</f>
        <v>20</v>
      </c>
      <c r="AM8" s="191">
        <f t="shared" si="7"/>
        <v>10</v>
      </c>
      <c r="AN8" s="191">
        <f t="shared" si="8"/>
        <v>25</v>
      </c>
      <c r="AO8" s="199">
        <f t="shared" si="9"/>
        <v>30</v>
      </c>
      <c r="AP8" s="199">
        <f t="shared" si="10"/>
        <v>45</v>
      </c>
      <c r="AQ8" s="191">
        <f t="shared" si="0"/>
        <v>1</v>
      </c>
      <c r="AR8" s="191">
        <f t="shared" si="11"/>
        <v>0</v>
      </c>
      <c r="AT8" s="200">
        <v>0.33</v>
      </c>
      <c r="AU8" s="192" t="s">
        <v>487</v>
      </c>
      <c r="AV8" s="191">
        <v>12</v>
      </c>
      <c r="AW8" s="191">
        <v>3</v>
      </c>
      <c r="AX8" s="191">
        <v>8</v>
      </c>
    </row>
    <row r="9" spans="1:57" x14ac:dyDescent="0.25">
      <c r="A9" s="192" t="s">
        <v>20</v>
      </c>
      <c r="B9" s="192">
        <v>50</v>
      </c>
      <c r="C9" s="198">
        <v>0.19800000000000001</v>
      </c>
      <c r="D9" s="198">
        <v>0.19800000000000001</v>
      </c>
      <c r="E9" s="198">
        <v>0.17</v>
      </c>
      <c r="F9" s="198">
        <v>0.155</v>
      </c>
      <c r="G9" s="198">
        <v>0.14099999999999999</v>
      </c>
      <c r="H9" s="198">
        <v>0.129</v>
      </c>
      <c r="I9" s="198">
        <v>0.11700000000000001</v>
      </c>
      <c r="J9" s="198">
        <v>0.107</v>
      </c>
      <c r="K9" s="198">
        <v>9.7000000000000003E-2</v>
      </c>
      <c r="L9" s="198">
        <v>8.8999999999999996E-2</v>
      </c>
      <c r="M9" s="198">
        <v>8.1000000000000003E-2</v>
      </c>
      <c r="N9" s="198">
        <v>7.3999999999999996E-2</v>
      </c>
      <c r="O9" s="198">
        <v>6.7000000000000004E-2</v>
      </c>
      <c r="P9" s="198">
        <v>6.0999999999999999E-2</v>
      </c>
      <c r="Q9" s="198">
        <v>5.6000000000000001E-2</v>
      </c>
      <c r="R9" s="198">
        <v>5.0999999999999997E-2</v>
      </c>
      <c r="S9" s="198">
        <v>4.7E-2</v>
      </c>
      <c r="T9" s="198">
        <v>4.2000000000000003E-2</v>
      </c>
      <c r="U9" s="198">
        <v>3.9E-2</v>
      </c>
      <c r="V9" s="144"/>
      <c r="W9" s="192">
        <v>52</v>
      </c>
      <c r="X9" s="191" t="s">
        <v>21</v>
      </c>
      <c r="Y9" s="198">
        <v>0.19600000000000001</v>
      </c>
      <c r="AA9" s="192">
        <f>MATCH(Input!$C$43,$C$5:$U$5,1)</f>
        <v>19</v>
      </c>
      <c r="AB9" s="192">
        <f t="shared" si="1"/>
        <v>4</v>
      </c>
      <c r="AC9" s="191">
        <f t="shared" si="2"/>
        <v>1</v>
      </c>
      <c r="AD9" s="191">
        <f t="shared" si="3"/>
        <v>0.04</v>
      </c>
      <c r="AE9" s="191">
        <f t="shared" si="4"/>
        <v>1</v>
      </c>
      <c r="AF9" s="191">
        <f t="shared" si="5"/>
        <v>0.20399999999999999</v>
      </c>
      <c r="AH9" s="192">
        <f t="shared" si="12"/>
        <v>49</v>
      </c>
      <c r="AI9" s="192">
        <f t="shared" si="12"/>
        <v>4</v>
      </c>
      <c r="AJ9" s="192">
        <f>MATCH(Input!$C$43,$AT$5:$AT$52,1)</f>
        <v>48</v>
      </c>
      <c r="AK9" s="191">
        <f t="shared" si="6"/>
        <v>50</v>
      </c>
      <c r="AL9" s="199">
        <f>MIN(AK9,Input!$C$44)</f>
        <v>20</v>
      </c>
      <c r="AM9" s="191">
        <f t="shared" si="7"/>
        <v>10</v>
      </c>
      <c r="AN9" s="191">
        <f t="shared" si="8"/>
        <v>25</v>
      </c>
      <c r="AO9" s="199">
        <f t="shared" si="9"/>
        <v>30</v>
      </c>
      <c r="AP9" s="199">
        <f t="shared" si="10"/>
        <v>45</v>
      </c>
      <c r="AQ9" s="191">
        <f t="shared" si="0"/>
        <v>1</v>
      </c>
      <c r="AR9" s="191">
        <f t="shared" si="11"/>
        <v>0</v>
      </c>
      <c r="AT9" s="223">
        <v>0.35000000000000003</v>
      </c>
      <c r="AU9" s="192" t="s">
        <v>488</v>
      </c>
      <c r="AV9" s="191">
        <v>13</v>
      </c>
      <c r="AW9" s="191">
        <v>3</v>
      </c>
      <c r="AX9" s="191">
        <v>9</v>
      </c>
    </row>
    <row r="10" spans="1:57" x14ac:dyDescent="0.25">
      <c r="A10" s="192" t="s">
        <v>21</v>
      </c>
      <c r="B10" s="192">
        <v>52</v>
      </c>
      <c r="C10" s="198">
        <v>0.19600000000000001</v>
      </c>
      <c r="D10" s="198">
        <v>0.19600000000000001</v>
      </c>
      <c r="E10" s="198">
        <v>0.16700000000000001</v>
      </c>
      <c r="F10" s="198">
        <v>0.152</v>
      </c>
      <c r="G10" s="198">
        <v>0.13900000000000001</v>
      </c>
      <c r="H10" s="198">
        <v>0.127</v>
      </c>
      <c r="I10" s="198">
        <v>0.115</v>
      </c>
      <c r="J10" s="198">
        <v>0.105</v>
      </c>
      <c r="K10" s="198">
        <v>9.6000000000000002E-2</v>
      </c>
      <c r="L10" s="198">
        <v>8.6999999999999994E-2</v>
      </c>
      <c r="M10" s="198">
        <v>0.08</v>
      </c>
      <c r="N10" s="198">
        <v>7.2999999999999995E-2</v>
      </c>
      <c r="O10" s="198">
        <v>6.6000000000000003E-2</v>
      </c>
      <c r="P10" s="198">
        <v>0.06</v>
      </c>
      <c r="Q10" s="198">
        <v>5.5E-2</v>
      </c>
      <c r="R10" s="198">
        <v>0.05</v>
      </c>
      <c r="S10" s="198">
        <v>4.5999999999999999E-2</v>
      </c>
      <c r="T10" s="198">
        <v>4.2000000000000003E-2</v>
      </c>
      <c r="U10" s="198">
        <v>3.7999999999999999E-2</v>
      </c>
      <c r="V10" s="144"/>
      <c r="W10" s="192">
        <v>54</v>
      </c>
      <c r="X10" s="191" t="s">
        <v>22</v>
      </c>
      <c r="Y10" s="198">
        <v>0.192</v>
      </c>
      <c r="AA10" s="192">
        <f>MATCH(Input!$C$43,$C$5:$U$5,1)</f>
        <v>19</v>
      </c>
      <c r="AB10" s="192">
        <f t="shared" si="1"/>
        <v>5</v>
      </c>
      <c r="AC10" s="191">
        <f t="shared" si="2"/>
        <v>1</v>
      </c>
      <c r="AD10" s="191">
        <f t="shared" si="3"/>
        <v>0.04</v>
      </c>
      <c r="AE10" s="191">
        <f t="shared" si="4"/>
        <v>1</v>
      </c>
      <c r="AF10" s="191">
        <f t="shared" si="5"/>
        <v>0.20399999999999999</v>
      </c>
      <c r="AH10" s="192">
        <f t="shared" si="12"/>
        <v>50</v>
      </c>
      <c r="AI10" s="192">
        <f t="shared" si="12"/>
        <v>5</v>
      </c>
      <c r="AJ10" s="192">
        <f>MATCH(Input!$C$43,$AT$5:$AT$52,1)</f>
        <v>48</v>
      </c>
      <c r="AK10" s="191">
        <f t="shared" si="6"/>
        <v>50</v>
      </c>
      <c r="AL10" s="199">
        <f>MIN(AK10,Input!$C$44)</f>
        <v>20</v>
      </c>
      <c r="AM10" s="191">
        <f t="shared" si="7"/>
        <v>10</v>
      </c>
      <c r="AN10" s="191">
        <f t="shared" si="8"/>
        <v>25</v>
      </c>
      <c r="AO10" s="199">
        <f t="shared" si="9"/>
        <v>30</v>
      </c>
      <c r="AP10" s="199">
        <f t="shared" si="10"/>
        <v>45</v>
      </c>
      <c r="AQ10" s="191">
        <f t="shared" si="0"/>
        <v>1</v>
      </c>
      <c r="AR10" s="191">
        <f t="shared" si="11"/>
        <v>0</v>
      </c>
      <c r="AT10" s="223">
        <v>0.37000000000000005</v>
      </c>
      <c r="AU10" s="192" t="s">
        <v>489</v>
      </c>
      <c r="AV10" s="191">
        <v>14</v>
      </c>
      <c r="AW10" s="191">
        <v>3</v>
      </c>
      <c r="AX10" s="191">
        <v>9</v>
      </c>
    </row>
    <row r="11" spans="1:57" x14ac:dyDescent="0.25">
      <c r="A11" s="192" t="s">
        <v>22</v>
      </c>
      <c r="B11" s="192">
        <v>54</v>
      </c>
      <c r="C11" s="198">
        <v>0.192</v>
      </c>
      <c r="D11" s="198">
        <v>0.192</v>
      </c>
      <c r="E11" s="198">
        <v>0.16400000000000001</v>
      </c>
      <c r="F11" s="198">
        <v>0.15</v>
      </c>
      <c r="G11" s="198">
        <v>0.13600000000000001</v>
      </c>
      <c r="H11" s="198">
        <v>0.124</v>
      </c>
      <c r="I11" s="198">
        <v>0.113</v>
      </c>
      <c r="J11" s="198">
        <v>0.10299999999999999</v>
      </c>
      <c r="K11" s="198">
        <v>9.4E-2</v>
      </c>
      <c r="L11" s="198">
        <v>8.5999999999999993E-2</v>
      </c>
      <c r="M11" s="198">
        <v>7.8E-2</v>
      </c>
      <c r="N11" s="198">
        <v>7.1999999999999995E-2</v>
      </c>
      <c r="O11" s="198">
        <v>6.5000000000000002E-2</v>
      </c>
      <c r="P11" s="198">
        <v>5.8999999999999997E-2</v>
      </c>
      <c r="Q11" s="198">
        <v>5.3999999999999999E-2</v>
      </c>
      <c r="R11" s="198">
        <v>4.9000000000000002E-2</v>
      </c>
      <c r="S11" s="198">
        <v>4.4999999999999998E-2</v>
      </c>
      <c r="T11" s="198">
        <v>4.1000000000000002E-2</v>
      </c>
      <c r="U11" s="198">
        <v>3.7999999999999999E-2</v>
      </c>
      <c r="V11" s="144"/>
      <c r="W11" s="192">
        <v>56</v>
      </c>
      <c r="X11" s="191" t="s">
        <v>23</v>
      </c>
      <c r="Y11" s="198">
        <v>0.189</v>
      </c>
      <c r="AA11" s="192">
        <f>MATCH(Input!$C$43,$C$5:$U$5,1)</f>
        <v>19</v>
      </c>
      <c r="AB11" s="192">
        <f t="shared" si="1"/>
        <v>6</v>
      </c>
      <c r="AC11" s="191">
        <f t="shared" si="2"/>
        <v>1</v>
      </c>
      <c r="AD11" s="191">
        <f t="shared" si="3"/>
        <v>0.04</v>
      </c>
      <c r="AE11" s="191">
        <f t="shared" si="4"/>
        <v>1</v>
      </c>
      <c r="AF11" s="191">
        <f t="shared" si="5"/>
        <v>0.20399999999999999</v>
      </c>
      <c r="AH11" s="192">
        <f t="shared" si="12"/>
        <v>51</v>
      </c>
      <c r="AI11" s="192">
        <f t="shared" si="12"/>
        <v>6</v>
      </c>
      <c r="AJ11" s="192">
        <f>MATCH(Input!$C$43,$AT$5:$AT$52,1)</f>
        <v>48</v>
      </c>
      <c r="AK11" s="191">
        <f t="shared" si="6"/>
        <v>50</v>
      </c>
      <c r="AL11" s="199">
        <f>MIN(AK11,Input!$C$44)</f>
        <v>20</v>
      </c>
      <c r="AM11" s="191">
        <f t="shared" si="7"/>
        <v>10</v>
      </c>
      <c r="AN11" s="191">
        <f t="shared" si="8"/>
        <v>25</v>
      </c>
      <c r="AO11" s="199">
        <f t="shared" si="9"/>
        <v>30</v>
      </c>
      <c r="AP11" s="199">
        <f t="shared" si="10"/>
        <v>45</v>
      </c>
      <c r="AQ11" s="191">
        <f t="shared" si="0"/>
        <v>1</v>
      </c>
      <c r="AR11" s="191">
        <f t="shared" si="11"/>
        <v>0</v>
      </c>
      <c r="AT11" s="223">
        <v>0.39000000000000007</v>
      </c>
      <c r="AU11" s="192" t="s">
        <v>490</v>
      </c>
      <c r="AV11" s="191">
        <v>15</v>
      </c>
      <c r="AW11" s="191">
        <v>3</v>
      </c>
      <c r="AX11" s="191">
        <v>10</v>
      </c>
    </row>
    <row r="12" spans="1:57" x14ac:dyDescent="0.25">
      <c r="A12" s="192" t="s">
        <v>23</v>
      </c>
      <c r="B12" s="192">
        <v>56</v>
      </c>
      <c r="C12" s="198">
        <v>0.189</v>
      </c>
      <c r="D12" s="198">
        <v>0.189</v>
      </c>
      <c r="E12" s="198">
        <v>0.161</v>
      </c>
      <c r="F12" s="198">
        <v>0.14699999999999999</v>
      </c>
      <c r="G12" s="198">
        <v>0.13400000000000001</v>
      </c>
      <c r="H12" s="198">
        <v>0.122</v>
      </c>
      <c r="I12" s="198">
        <v>0.111</v>
      </c>
      <c r="J12" s="198">
        <v>0.10199999999999999</v>
      </c>
      <c r="K12" s="198">
        <v>9.2999999999999999E-2</v>
      </c>
      <c r="L12" s="198">
        <v>8.5000000000000006E-2</v>
      </c>
      <c r="M12" s="198">
        <v>7.6999999999999999E-2</v>
      </c>
      <c r="N12" s="198">
        <v>7.0000000000000007E-2</v>
      </c>
      <c r="O12" s="198">
        <v>6.4000000000000001E-2</v>
      </c>
      <c r="P12" s="198">
        <v>5.8000000000000003E-2</v>
      </c>
      <c r="Q12" s="198">
        <v>5.2999999999999999E-2</v>
      </c>
      <c r="R12" s="198">
        <v>4.9000000000000002E-2</v>
      </c>
      <c r="S12" s="198">
        <v>4.3999999999999997E-2</v>
      </c>
      <c r="T12" s="198">
        <v>0.04</v>
      </c>
      <c r="U12" s="198">
        <v>3.6999999999999998E-2</v>
      </c>
      <c r="V12" s="144"/>
      <c r="W12" s="192">
        <v>58</v>
      </c>
      <c r="X12" s="191" t="s">
        <v>24</v>
      </c>
      <c r="Y12" s="198">
        <v>0.185</v>
      </c>
      <c r="AA12" s="192">
        <f>MATCH(Input!$C$43,$C$5:$U$5,1)</f>
        <v>19</v>
      </c>
      <c r="AB12" s="192">
        <f t="shared" si="1"/>
        <v>7</v>
      </c>
      <c r="AC12" s="191">
        <f t="shared" si="2"/>
        <v>1</v>
      </c>
      <c r="AD12" s="191">
        <f t="shared" si="3"/>
        <v>0.04</v>
      </c>
      <c r="AE12" s="191">
        <f t="shared" si="4"/>
        <v>1</v>
      </c>
      <c r="AF12" s="191">
        <f t="shared" si="5"/>
        <v>0.20399999999999999</v>
      </c>
      <c r="AH12" s="192">
        <f t="shared" si="12"/>
        <v>52</v>
      </c>
      <c r="AI12" s="192">
        <f t="shared" si="12"/>
        <v>7</v>
      </c>
      <c r="AJ12" s="192">
        <f>MATCH(Input!$C$43,$AT$5:$AT$52,1)</f>
        <v>48</v>
      </c>
      <c r="AK12" s="191">
        <f t="shared" si="6"/>
        <v>50</v>
      </c>
      <c r="AL12" s="199">
        <f>MIN(AK12,Input!$C$44)</f>
        <v>20</v>
      </c>
      <c r="AM12" s="191">
        <f t="shared" si="7"/>
        <v>10</v>
      </c>
      <c r="AN12" s="191">
        <f t="shared" si="8"/>
        <v>25</v>
      </c>
      <c r="AO12" s="199">
        <f t="shared" si="9"/>
        <v>30</v>
      </c>
      <c r="AP12" s="199">
        <f t="shared" si="10"/>
        <v>45</v>
      </c>
      <c r="AQ12" s="191">
        <f t="shared" si="0"/>
        <v>1</v>
      </c>
      <c r="AR12" s="191">
        <f t="shared" si="11"/>
        <v>0</v>
      </c>
      <c r="AT12" s="223">
        <v>0.41000000000000009</v>
      </c>
      <c r="AU12" s="192" t="s">
        <v>491</v>
      </c>
      <c r="AV12" s="191">
        <v>16</v>
      </c>
      <c r="AW12" s="191">
        <v>3</v>
      </c>
      <c r="AX12" s="191">
        <v>10</v>
      </c>
    </row>
    <row r="13" spans="1:57" x14ac:dyDescent="0.25">
      <c r="A13" s="192" t="s">
        <v>24</v>
      </c>
      <c r="B13" s="192">
        <v>58</v>
      </c>
      <c r="C13" s="198">
        <v>0.185</v>
      </c>
      <c r="D13" s="198">
        <v>0.185</v>
      </c>
      <c r="E13" s="198">
        <v>0.158</v>
      </c>
      <c r="F13" s="198">
        <v>0.14399999999999999</v>
      </c>
      <c r="G13" s="198">
        <v>0.13100000000000001</v>
      </c>
      <c r="H13" s="198">
        <v>0.12</v>
      </c>
      <c r="I13" s="198">
        <v>0.109</v>
      </c>
      <c r="J13" s="198">
        <v>0.1</v>
      </c>
      <c r="K13" s="198">
        <v>9.0999999999999998E-2</v>
      </c>
      <c r="L13" s="198">
        <v>8.3000000000000004E-2</v>
      </c>
      <c r="M13" s="198">
        <v>7.5999999999999998E-2</v>
      </c>
      <c r="N13" s="198">
        <v>6.9000000000000006E-2</v>
      </c>
      <c r="O13" s="198">
        <v>6.3E-2</v>
      </c>
      <c r="P13" s="198">
        <v>5.7000000000000002E-2</v>
      </c>
      <c r="Q13" s="198">
        <v>5.1999999999999998E-2</v>
      </c>
      <c r="R13" s="198">
        <v>4.8000000000000001E-2</v>
      </c>
      <c r="S13" s="198">
        <v>4.2999999999999997E-2</v>
      </c>
      <c r="T13" s="198">
        <v>0.04</v>
      </c>
      <c r="U13" s="198">
        <v>3.5999999999999997E-2</v>
      </c>
      <c r="V13" s="144"/>
      <c r="W13" s="192">
        <v>60</v>
      </c>
      <c r="X13" s="191" t="s">
        <v>25</v>
      </c>
      <c r="Y13" s="198">
        <v>0.182</v>
      </c>
      <c r="AA13" s="192">
        <f>MATCH(Input!$C$43,$C$5:$U$5,1)</f>
        <v>19</v>
      </c>
      <c r="AB13" s="192">
        <f t="shared" si="1"/>
        <v>8</v>
      </c>
      <c r="AC13" s="191">
        <f t="shared" si="2"/>
        <v>1</v>
      </c>
      <c r="AD13" s="191">
        <f t="shared" si="3"/>
        <v>0.04</v>
      </c>
      <c r="AE13" s="191">
        <f t="shared" si="4"/>
        <v>1</v>
      </c>
      <c r="AF13" s="191">
        <f t="shared" si="5"/>
        <v>0.20399999999999999</v>
      </c>
      <c r="AH13" s="192">
        <f t="shared" si="12"/>
        <v>53</v>
      </c>
      <c r="AI13" s="192">
        <f t="shared" si="12"/>
        <v>8</v>
      </c>
      <c r="AJ13" s="192">
        <f>MATCH(Input!$C$43,$AT$5:$AT$52,1)</f>
        <v>48</v>
      </c>
      <c r="AK13" s="191">
        <f t="shared" si="6"/>
        <v>50</v>
      </c>
      <c r="AL13" s="199">
        <f>MIN(AK13,Input!$C$44)</f>
        <v>20</v>
      </c>
      <c r="AM13" s="191">
        <f t="shared" si="7"/>
        <v>10</v>
      </c>
      <c r="AN13" s="191">
        <f t="shared" si="8"/>
        <v>25</v>
      </c>
      <c r="AO13" s="199">
        <f t="shared" si="9"/>
        <v>30</v>
      </c>
      <c r="AP13" s="199">
        <f t="shared" si="10"/>
        <v>45</v>
      </c>
      <c r="AQ13" s="191">
        <f t="shared" si="0"/>
        <v>1</v>
      </c>
      <c r="AR13" s="191">
        <f t="shared" si="11"/>
        <v>0</v>
      </c>
      <c r="AT13" s="223">
        <v>0.4300000000000001</v>
      </c>
      <c r="AU13" s="192" t="s">
        <v>492</v>
      </c>
      <c r="AV13" s="191">
        <v>17</v>
      </c>
      <c r="AW13" s="191">
        <v>3</v>
      </c>
      <c r="AX13" s="191">
        <v>10</v>
      </c>
    </row>
    <row r="14" spans="1:57" x14ac:dyDescent="0.25">
      <c r="A14" s="192" t="s">
        <v>25</v>
      </c>
      <c r="B14" s="192">
        <v>60</v>
      </c>
      <c r="C14" s="198">
        <v>0.182</v>
      </c>
      <c r="D14" s="198">
        <v>0.182</v>
      </c>
      <c r="E14" s="198">
        <v>0.155</v>
      </c>
      <c r="F14" s="198">
        <v>0.14099999999999999</v>
      </c>
      <c r="G14" s="198">
        <v>0.129</v>
      </c>
      <c r="H14" s="198">
        <v>0.11700000000000001</v>
      </c>
      <c r="I14" s="198">
        <v>0.107</v>
      </c>
      <c r="J14" s="198">
        <v>9.8000000000000004E-2</v>
      </c>
      <c r="K14" s="198">
        <v>8.8999999999999996E-2</v>
      </c>
      <c r="L14" s="198">
        <v>8.1000000000000003E-2</v>
      </c>
      <c r="M14" s="198">
        <v>7.3999999999999996E-2</v>
      </c>
      <c r="N14" s="198">
        <v>6.8000000000000005E-2</v>
      </c>
      <c r="O14" s="198">
        <v>6.2E-2</v>
      </c>
      <c r="P14" s="198">
        <v>5.6000000000000001E-2</v>
      </c>
      <c r="Q14" s="198">
        <v>5.0999999999999997E-2</v>
      </c>
      <c r="R14" s="198">
        <v>4.7E-2</v>
      </c>
      <c r="S14" s="198">
        <v>4.2999999999999997E-2</v>
      </c>
      <c r="T14" s="198">
        <v>3.9E-2</v>
      </c>
      <c r="U14" s="198">
        <v>3.5000000000000003E-2</v>
      </c>
      <c r="V14" s="144"/>
      <c r="W14" s="192">
        <v>62</v>
      </c>
      <c r="X14" s="191" t="s">
        <v>26</v>
      </c>
      <c r="Y14" s="198">
        <v>0.17799999999999999</v>
      </c>
      <c r="AA14" s="192">
        <f>MATCH(Input!$C$43,$C$5:$U$5,1)</f>
        <v>19</v>
      </c>
      <c r="AB14" s="192">
        <f t="shared" si="1"/>
        <v>9</v>
      </c>
      <c r="AC14" s="191">
        <f t="shared" si="2"/>
        <v>1</v>
      </c>
      <c r="AD14" s="191">
        <f t="shared" si="3"/>
        <v>0.04</v>
      </c>
      <c r="AE14" s="191">
        <f t="shared" si="4"/>
        <v>1</v>
      </c>
      <c r="AF14" s="191">
        <f t="shared" si="5"/>
        <v>0.20399999999999999</v>
      </c>
      <c r="AH14" s="192">
        <f t="shared" si="12"/>
        <v>54</v>
      </c>
      <c r="AI14" s="192">
        <f t="shared" si="12"/>
        <v>9</v>
      </c>
      <c r="AJ14" s="192">
        <f>MATCH(Input!$C$43,$AT$5:$AT$52,1)</f>
        <v>48</v>
      </c>
      <c r="AK14" s="191">
        <f t="shared" si="6"/>
        <v>50</v>
      </c>
      <c r="AL14" s="199">
        <f>MIN(AK14,Input!$C$44)</f>
        <v>20</v>
      </c>
      <c r="AM14" s="191">
        <f t="shared" si="7"/>
        <v>10</v>
      </c>
      <c r="AN14" s="191">
        <f t="shared" si="8"/>
        <v>25</v>
      </c>
      <c r="AO14" s="199">
        <f t="shared" si="9"/>
        <v>30</v>
      </c>
      <c r="AP14" s="199">
        <f t="shared" si="10"/>
        <v>45</v>
      </c>
      <c r="AQ14" s="191">
        <f t="shared" si="0"/>
        <v>1</v>
      </c>
      <c r="AR14" s="191">
        <f t="shared" si="11"/>
        <v>0</v>
      </c>
      <c r="AT14" s="223">
        <v>0.45000000000000012</v>
      </c>
      <c r="AU14" s="192" t="s">
        <v>493</v>
      </c>
      <c r="AV14" s="191">
        <v>18</v>
      </c>
      <c r="AW14" s="191">
        <v>3</v>
      </c>
      <c r="AX14" s="191">
        <v>11</v>
      </c>
    </row>
    <row r="15" spans="1:57" x14ac:dyDescent="0.25">
      <c r="A15" s="192" t="s">
        <v>26</v>
      </c>
      <c r="B15" s="192">
        <v>62</v>
      </c>
      <c r="C15" s="198">
        <v>0.17799999999999999</v>
      </c>
      <c r="D15" s="198">
        <v>0.17799999999999999</v>
      </c>
      <c r="E15" s="198">
        <v>0.152</v>
      </c>
      <c r="F15" s="198">
        <v>0.13800000000000001</v>
      </c>
      <c r="G15" s="198">
        <v>0.126</v>
      </c>
      <c r="H15" s="198">
        <v>0.115</v>
      </c>
      <c r="I15" s="198">
        <v>0.105</v>
      </c>
      <c r="J15" s="198">
        <v>9.6000000000000002E-2</v>
      </c>
      <c r="K15" s="198">
        <v>8.6999999999999994E-2</v>
      </c>
      <c r="L15" s="198">
        <v>0.08</v>
      </c>
      <c r="M15" s="198">
        <v>7.1999999999999995E-2</v>
      </c>
      <c r="N15" s="198">
        <v>6.6000000000000003E-2</v>
      </c>
      <c r="O15" s="198">
        <v>0.06</v>
      </c>
      <c r="P15" s="198">
        <v>5.5E-2</v>
      </c>
      <c r="Q15" s="198">
        <v>0.05</v>
      </c>
      <c r="R15" s="198">
        <v>4.5999999999999999E-2</v>
      </c>
      <c r="S15" s="198">
        <v>4.2000000000000003E-2</v>
      </c>
      <c r="T15" s="198">
        <v>3.7999999999999999E-2</v>
      </c>
      <c r="U15" s="198">
        <v>3.5000000000000003E-2</v>
      </c>
      <c r="V15" s="144"/>
      <c r="W15" s="192">
        <v>64</v>
      </c>
      <c r="X15" s="191" t="s">
        <v>27</v>
      </c>
      <c r="Y15" s="198">
        <v>0.17399999999999999</v>
      </c>
      <c r="AA15" s="192">
        <f>MATCH(Input!$C$43,$C$5:$U$5,1)</f>
        <v>19</v>
      </c>
      <c r="AB15" s="192">
        <f t="shared" si="1"/>
        <v>10</v>
      </c>
      <c r="AC15" s="191">
        <f t="shared" si="2"/>
        <v>1</v>
      </c>
      <c r="AD15" s="191">
        <f t="shared" si="3"/>
        <v>0.04</v>
      </c>
      <c r="AE15" s="191">
        <f t="shared" si="4"/>
        <v>1</v>
      </c>
      <c r="AF15" s="191">
        <f t="shared" si="5"/>
        <v>0.20399999999999999</v>
      </c>
      <c r="AH15" s="192">
        <f t="shared" si="12"/>
        <v>55</v>
      </c>
      <c r="AI15" s="192">
        <f t="shared" si="12"/>
        <v>10</v>
      </c>
      <c r="AJ15" s="192">
        <f>MATCH(Input!$C$43,$AT$5:$AT$52,1)</f>
        <v>48</v>
      </c>
      <c r="AK15" s="191">
        <f t="shared" si="6"/>
        <v>50</v>
      </c>
      <c r="AL15" s="199">
        <f>MIN(AK15,Input!$C$44)</f>
        <v>20</v>
      </c>
      <c r="AM15" s="191">
        <f t="shared" si="7"/>
        <v>10</v>
      </c>
      <c r="AN15" s="191">
        <f t="shared" si="8"/>
        <v>25</v>
      </c>
      <c r="AO15" s="199">
        <f t="shared" si="9"/>
        <v>30</v>
      </c>
      <c r="AP15" s="199">
        <f t="shared" si="10"/>
        <v>45</v>
      </c>
      <c r="AQ15" s="191">
        <f t="shared" si="0"/>
        <v>1</v>
      </c>
      <c r="AR15" s="191">
        <f t="shared" si="11"/>
        <v>0</v>
      </c>
      <c r="AT15" s="223">
        <v>0.47000000000000014</v>
      </c>
      <c r="AU15" s="192" t="s">
        <v>494</v>
      </c>
      <c r="AV15" s="191">
        <v>19</v>
      </c>
      <c r="AW15" s="191">
        <v>3</v>
      </c>
      <c r="AX15" s="191">
        <v>11</v>
      </c>
    </row>
    <row r="16" spans="1:57" x14ac:dyDescent="0.25">
      <c r="A16" s="192" t="s">
        <v>27</v>
      </c>
      <c r="B16" s="192">
        <v>64</v>
      </c>
      <c r="C16" s="198">
        <v>0.17399999999999999</v>
      </c>
      <c r="D16" s="198">
        <v>0.17399999999999999</v>
      </c>
      <c r="E16" s="198">
        <v>0.14799999999999999</v>
      </c>
      <c r="F16" s="198">
        <v>0.13500000000000001</v>
      </c>
      <c r="G16" s="198">
        <v>0.123</v>
      </c>
      <c r="H16" s="198">
        <v>0.112</v>
      </c>
      <c r="I16" s="198">
        <v>0.10199999999999999</v>
      </c>
      <c r="J16" s="198">
        <v>9.2999999999999999E-2</v>
      </c>
      <c r="K16" s="198">
        <v>8.5000000000000006E-2</v>
      </c>
      <c r="L16" s="198">
        <v>7.8E-2</v>
      </c>
      <c r="M16" s="198">
        <v>7.0999999999999994E-2</v>
      </c>
      <c r="N16" s="198">
        <v>6.5000000000000002E-2</v>
      </c>
      <c r="O16" s="198">
        <v>5.8999999999999997E-2</v>
      </c>
      <c r="P16" s="198">
        <v>5.3999999999999999E-2</v>
      </c>
      <c r="Q16" s="198">
        <v>4.9000000000000002E-2</v>
      </c>
      <c r="R16" s="198">
        <v>4.4999999999999998E-2</v>
      </c>
      <c r="S16" s="198">
        <v>4.1000000000000002E-2</v>
      </c>
      <c r="T16" s="198">
        <v>3.6999999999999998E-2</v>
      </c>
      <c r="U16" s="198">
        <v>3.4000000000000002E-2</v>
      </c>
      <c r="V16" s="144"/>
      <c r="W16" s="192">
        <v>66</v>
      </c>
      <c r="X16" s="191" t="s">
        <v>28</v>
      </c>
      <c r="Y16" s="198">
        <v>0.16900000000000001</v>
      </c>
      <c r="AA16" s="192">
        <f>MATCH(Input!$C$43,$C$5:$U$5,1)</f>
        <v>19</v>
      </c>
      <c r="AB16" s="192">
        <f t="shared" si="1"/>
        <v>11</v>
      </c>
      <c r="AC16" s="191">
        <f t="shared" si="2"/>
        <v>1</v>
      </c>
      <c r="AD16" s="191">
        <f t="shared" si="3"/>
        <v>0.04</v>
      </c>
      <c r="AE16" s="191">
        <f t="shared" si="4"/>
        <v>1</v>
      </c>
      <c r="AF16" s="191">
        <f t="shared" si="5"/>
        <v>0.20399999999999999</v>
      </c>
      <c r="AH16" s="192">
        <f t="shared" si="12"/>
        <v>56</v>
      </c>
      <c r="AI16" s="192">
        <f t="shared" si="12"/>
        <v>11</v>
      </c>
      <c r="AJ16" s="192">
        <f>MATCH(Input!$C$43,$AT$5:$AT$52,1)</f>
        <v>48</v>
      </c>
      <c r="AK16" s="191">
        <f t="shared" si="6"/>
        <v>50</v>
      </c>
      <c r="AL16" s="199">
        <f>MIN(AK16,Input!$C$44)</f>
        <v>20</v>
      </c>
      <c r="AM16" s="191">
        <f t="shared" si="7"/>
        <v>10</v>
      </c>
      <c r="AN16" s="191">
        <f t="shared" si="8"/>
        <v>25</v>
      </c>
      <c r="AO16" s="199">
        <f t="shared" si="9"/>
        <v>30</v>
      </c>
      <c r="AP16" s="199">
        <f t="shared" si="10"/>
        <v>45</v>
      </c>
      <c r="AQ16" s="191">
        <f t="shared" si="0"/>
        <v>1</v>
      </c>
      <c r="AR16" s="191">
        <f t="shared" si="11"/>
        <v>0</v>
      </c>
      <c r="AT16" s="223">
        <v>0.49000000000000016</v>
      </c>
      <c r="AU16" s="224">
        <v>0.49</v>
      </c>
      <c r="AV16" s="191">
        <v>20</v>
      </c>
      <c r="AW16" s="191">
        <v>3</v>
      </c>
      <c r="AX16" s="191">
        <v>11</v>
      </c>
    </row>
    <row r="17" spans="1:50" x14ac:dyDescent="0.25">
      <c r="A17" s="192" t="s">
        <v>28</v>
      </c>
      <c r="B17" s="192">
        <v>66</v>
      </c>
      <c r="C17" s="198">
        <v>0.16900000000000001</v>
      </c>
      <c r="D17" s="198">
        <v>0.16900000000000001</v>
      </c>
      <c r="E17" s="198">
        <v>0.14499999999999999</v>
      </c>
      <c r="F17" s="198">
        <v>0.13200000000000001</v>
      </c>
      <c r="G17" s="198">
        <v>0.12</v>
      </c>
      <c r="H17" s="198">
        <v>0.11</v>
      </c>
      <c r="I17" s="198">
        <v>0.1</v>
      </c>
      <c r="J17" s="198">
        <v>9.0999999999999998E-2</v>
      </c>
      <c r="K17" s="198">
        <v>8.3000000000000004E-2</v>
      </c>
      <c r="L17" s="198">
        <v>7.5999999999999998E-2</v>
      </c>
      <c r="M17" s="198">
        <v>6.9000000000000006E-2</v>
      </c>
      <c r="N17" s="198">
        <v>6.3E-2</v>
      </c>
      <c r="O17" s="198">
        <v>5.7000000000000002E-2</v>
      </c>
      <c r="P17" s="198">
        <v>5.1999999999999998E-2</v>
      </c>
      <c r="Q17" s="198">
        <v>4.8000000000000001E-2</v>
      </c>
      <c r="R17" s="198">
        <v>4.3999999999999997E-2</v>
      </c>
      <c r="S17" s="198">
        <v>0.04</v>
      </c>
      <c r="T17" s="198">
        <v>3.5999999999999997E-2</v>
      </c>
      <c r="U17" s="198">
        <v>3.3000000000000002E-2</v>
      </c>
      <c r="V17" s="144"/>
      <c r="W17" s="192">
        <v>68</v>
      </c>
      <c r="X17" s="191" t="s">
        <v>29</v>
      </c>
      <c r="Y17" s="198">
        <v>0.16500000000000001</v>
      </c>
      <c r="AA17" s="192">
        <f>MATCH(Input!$C$43,$C$5:$U$5,1)</f>
        <v>19</v>
      </c>
      <c r="AB17" s="192">
        <f t="shared" si="1"/>
        <v>12</v>
      </c>
      <c r="AC17" s="191">
        <f t="shared" si="2"/>
        <v>1</v>
      </c>
      <c r="AD17" s="191">
        <f t="shared" si="3"/>
        <v>0.04</v>
      </c>
      <c r="AE17" s="191">
        <f t="shared" si="4"/>
        <v>1</v>
      </c>
      <c r="AF17" s="191">
        <f t="shared" si="5"/>
        <v>0.20399999999999999</v>
      </c>
      <c r="AH17" s="192">
        <f t="shared" si="12"/>
        <v>57</v>
      </c>
      <c r="AI17" s="192">
        <f t="shared" si="12"/>
        <v>12</v>
      </c>
      <c r="AJ17" s="192">
        <f>MATCH(Input!$C$43,$AT$5:$AT$52,1)</f>
        <v>48</v>
      </c>
      <c r="AK17" s="191">
        <f t="shared" si="6"/>
        <v>50</v>
      </c>
      <c r="AL17" s="199">
        <f>MIN(AK17,Input!$C$44)</f>
        <v>20</v>
      </c>
      <c r="AM17" s="191">
        <f t="shared" si="7"/>
        <v>10</v>
      </c>
      <c r="AN17" s="191">
        <f t="shared" si="8"/>
        <v>25</v>
      </c>
      <c r="AO17" s="199">
        <f t="shared" si="9"/>
        <v>30</v>
      </c>
      <c r="AP17" s="199">
        <f t="shared" si="10"/>
        <v>45</v>
      </c>
      <c r="AQ17" s="191">
        <f t="shared" si="0"/>
        <v>1</v>
      </c>
      <c r="AR17" s="191">
        <f t="shared" si="11"/>
        <v>0</v>
      </c>
      <c r="AT17" s="223">
        <v>0.50000000000000011</v>
      </c>
      <c r="AU17" s="223">
        <v>0.5</v>
      </c>
      <c r="AV17" s="191">
        <v>20</v>
      </c>
      <c r="AW17" s="191">
        <v>4</v>
      </c>
      <c r="AX17" s="191">
        <v>12</v>
      </c>
    </row>
    <row r="18" spans="1:50" x14ac:dyDescent="0.25">
      <c r="A18" s="192" t="s">
        <v>29</v>
      </c>
      <c r="B18" s="192">
        <v>68</v>
      </c>
      <c r="C18" s="198">
        <v>0.16500000000000001</v>
      </c>
      <c r="D18" s="198">
        <v>0.16500000000000001</v>
      </c>
      <c r="E18" s="198">
        <v>0.14099999999999999</v>
      </c>
      <c r="F18" s="198">
        <v>0.128</v>
      </c>
      <c r="G18" s="198">
        <v>0.11700000000000001</v>
      </c>
      <c r="H18" s="198">
        <v>0.107</v>
      </c>
      <c r="I18" s="198">
        <v>9.7000000000000003E-2</v>
      </c>
      <c r="J18" s="198">
        <v>8.8999999999999996E-2</v>
      </c>
      <c r="K18" s="198">
        <v>8.1000000000000003E-2</v>
      </c>
      <c r="L18" s="198">
        <v>7.3999999999999996E-2</v>
      </c>
      <c r="M18" s="198">
        <v>6.7000000000000004E-2</v>
      </c>
      <c r="N18" s="198">
        <v>6.0999999999999999E-2</v>
      </c>
      <c r="O18" s="198">
        <v>5.6000000000000001E-2</v>
      </c>
      <c r="P18" s="198">
        <v>5.0999999999999997E-2</v>
      </c>
      <c r="Q18" s="198">
        <v>4.7E-2</v>
      </c>
      <c r="R18" s="198">
        <v>4.2000000000000003E-2</v>
      </c>
      <c r="S18" s="198">
        <v>3.9E-2</v>
      </c>
      <c r="T18" s="198">
        <v>3.5000000000000003E-2</v>
      </c>
      <c r="U18" s="198">
        <v>3.2000000000000001E-2</v>
      </c>
      <c r="V18" s="144"/>
      <c r="W18" s="192">
        <v>70</v>
      </c>
      <c r="X18" s="191" t="s">
        <v>30</v>
      </c>
      <c r="Y18" s="198">
        <v>0.161</v>
      </c>
      <c r="AA18" s="192">
        <f>MATCH(Input!$C$43,$C$5:$U$5,1)</f>
        <v>19</v>
      </c>
      <c r="AB18" s="192">
        <f t="shared" si="1"/>
        <v>13</v>
      </c>
      <c r="AC18" s="191">
        <f t="shared" si="2"/>
        <v>1</v>
      </c>
      <c r="AD18" s="191">
        <f t="shared" si="3"/>
        <v>0.04</v>
      </c>
      <c r="AE18" s="191">
        <f t="shared" si="4"/>
        <v>1</v>
      </c>
      <c r="AF18" s="191">
        <f t="shared" si="5"/>
        <v>0.20399999999999999</v>
      </c>
      <c r="AH18" s="192">
        <f t="shared" si="12"/>
        <v>58</v>
      </c>
      <c r="AI18" s="192">
        <f t="shared" si="12"/>
        <v>13</v>
      </c>
      <c r="AJ18" s="192">
        <f>MATCH(Input!$C$43,$AT$5:$AT$52,1)</f>
        <v>48</v>
      </c>
      <c r="AK18" s="191">
        <f t="shared" si="6"/>
        <v>50</v>
      </c>
      <c r="AL18" s="199">
        <f>MIN(AK18,Input!$C$44)</f>
        <v>20</v>
      </c>
      <c r="AM18" s="191">
        <f t="shared" si="7"/>
        <v>10</v>
      </c>
      <c r="AN18" s="191">
        <f t="shared" si="8"/>
        <v>25</v>
      </c>
      <c r="AO18" s="199">
        <f t="shared" si="9"/>
        <v>30</v>
      </c>
      <c r="AP18" s="199">
        <f t="shared" si="10"/>
        <v>45</v>
      </c>
      <c r="AQ18" s="191">
        <f t="shared" si="0"/>
        <v>1</v>
      </c>
      <c r="AR18" s="191">
        <f t="shared" si="11"/>
        <v>0</v>
      </c>
      <c r="AT18" s="223">
        <v>0.51000000000000012</v>
      </c>
      <c r="AU18" s="223">
        <v>0.51</v>
      </c>
      <c r="AV18" s="191">
        <v>21</v>
      </c>
      <c r="AW18" s="191">
        <v>4</v>
      </c>
      <c r="AX18" s="191">
        <v>12</v>
      </c>
    </row>
    <row r="19" spans="1:50" x14ac:dyDescent="0.25">
      <c r="A19" s="192" t="s">
        <v>30</v>
      </c>
      <c r="B19" s="192">
        <v>70</v>
      </c>
      <c r="C19" s="198">
        <v>0.161</v>
      </c>
      <c r="D19" s="198">
        <v>0.161</v>
      </c>
      <c r="E19" s="198">
        <v>0.13700000000000001</v>
      </c>
      <c r="F19" s="198">
        <v>0.125</v>
      </c>
      <c r="G19" s="198">
        <v>0.114</v>
      </c>
      <c r="H19" s="198">
        <v>0.104</v>
      </c>
      <c r="I19" s="198">
        <v>9.5000000000000001E-2</v>
      </c>
      <c r="J19" s="198">
        <v>8.5999999999999993E-2</v>
      </c>
      <c r="K19" s="198">
        <v>7.9000000000000001E-2</v>
      </c>
      <c r="L19" s="198">
        <v>7.1999999999999995E-2</v>
      </c>
      <c r="M19" s="198">
        <v>6.6000000000000003E-2</v>
      </c>
      <c r="N19" s="198">
        <v>0.06</v>
      </c>
      <c r="O19" s="198">
        <v>5.3999999999999999E-2</v>
      </c>
      <c r="P19" s="198">
        <v>0.05</v>
      </c>
      <c r="Q19" s="198">
        <v>4.4999999999999998E-2</v>
      </c>
      <c r="R19" s="198">
        <v>4.1000000000000002E-2</v>
      </c>
      <c r="S19" s="198">
        <v>3.7999999999999999E-2</v>
      </c>
      <c r="T19" s="198">
        <v>3.4000000000000002E-2</v>
      </c>
      <c r="U19" s="198">
        <v>3.1E-2</v>
      </c>
      <c r="V19" s="144"/>
      <c r="W19" s="192">
        <v>72</v>
      </c>
      <c r="X19" s="191" t="s">
        <v>31</v>
      </c>
      <c r="Y19" s="198">
        <v>0.156</v>
      </c>
      <c r="AA19" s="192">
        <f>MATCH(Input!$C$43,$C$5:$U$5,1)</f>
        <v>19</v>
      </c>
      <c r="AB19" s="192">
        <f t="shared" si="1"/>
        <v>14</v>
      </c>
      <c r="AC19" s="191">
        <f t="shared" si="2"/>
        <v>1</v>
      </c>
      <c r="AD19" s="191">
        <f t="shared" si="3"/>
        <v>0.04</v>
      </c>
      <c r="AE19" s="191">
        <f t="shared" si="4"/>
        <v>1</v>
      </c>
      <c r="AF19" s="191">
        <f t="shared" si="5"/>
        <v>0.20399999999999999</v>
      </c>
      <c r="AH19" s="192">
        <f t="shared" si="12"/>
        <v>59</v>
      </c>
      <c r="AI19" s="192">
        <f t="shared" si="12"/>
        <v>14</v>
      </c>
      <c r="AJ19" s="192">
        <f>MATCH(Input!$C$43,$AT$5:$AT$52,1)</f>
        <v>48</v>
      </c>
      <c r="AK19" s="191">
        <f t="shared" si="6"/>
        <v>50</v>
      </c>
      <c r="AL19" s="199">
        <f>MIN(AK19,Input!$C$44)</f>
        <v>20</v>
      </c>
      <c r="AM19" s="191">
        <f t="shared" si="7"/>
        <v>10</v>
      </c>
      <c r="AN19" s="191">
        <f t="shared" si="8"/>
        <v>25</v>
      </c>
      <c r="AO19" s="199">
        <f t="shared" si="9"/>
        <v>30</v>
      </c>
      <c r="AP19" s="199">
        <f t="shared" si="10"/>
        <v>45</v>
      </c>
      <c r="AQ19" s="191">
        <f t="shared" si="0"/>
        <v>1</v>
      </c>
      <c r="AR19" s="191">
        <f t="shared" si="11"/>
        <v>0</v>
      </c>
      <c r="AT19" s="223">
        <v>0.52000000000000013</v>
      </c>
      <c r="AU19" s="192" t="s">
        <v>495</v>
      </c>
      <c r="AV19" s="191">
        <v>22</v>
      </c>
      <c r="AW19" s="191">
        <v>4</v>
      </c>
      <c r="AX19" s="191">
        <v>12</v>
      </c>
    </row>
    <row r="20" spans="1:50" x14ac:dyDescent="0.25">
      <c r="A20" s="192" t="s">
        <v>31</v>
      </c>
      <c r="B20" s="192">
        <v>72</v>
      </c>
      <c r="C20" s="198">
        <v>0.156</v>
      </c>
      <c r="D20" s="198">
        <v>0.156</v>
      </c>
      <c r="E20" s="198">
        <v>0.13300000000000001</v>
      </c>
      <c r="F20" s="198">
        <v>0.121</v>
      </c>
      <c r="G20" s="198">
        <v>0.111</v>
      </c>
      <c r="H20" s="198">
        <v>0.10100000000000001</v>
      </c>
      <c r="I20" s="198">
        <v>9.1999999999999998E-2</v>
      </c>
      <c r="J20" s="198">
        <v>8.4000000000000005E-2</v>
      </c>
      <c r="K20" s="198">
        <v>7.6999999999999999E-2</v>
      </c>
      <c r="L20" s="198">
        <v>7.0000000000000007E-2</v>
      </c>
      <c r="M20" s="198">
        <v>6.4000000000000001E-2</v>
      </c>
      <c r="N20" s="198">
        <v>5.8000000000000003E-2</v>
      </c>
      <c r="O20" s="198">
        <v>5.2999999999999999E-2</v>
      </c>
      <c r="P20" s="198">
        <v>4.8000000000000001E-2</v>
      </c>
      <c r="Q20" s="198">
        <v>4.3999999999999997E-2</v>
      </c>
      <c r="R20" s="198">
        <v>0.04</v>
      </c>
      <c r="S20" s="198">
        <v>3.6999999999999998E-2</v>
      </c>
      <c r="T20" s="198">
        <v>3.3000000000000002E-2</v>
      </c>
      <c r="U20" s="198">
        <v>0.03</v>
      </c>
      <c r="V20" s="144"/>
      <c r="W20" s="192">
        <v>74</v>
      </c>
      <c r="X20" s="191" t="s">
        <v>32</v>
      </c>
      <c r="Y20" s="198">
        <v>0.151</v>
      </c>
      <c r="AA20" s="192">
        <f>MATCH(Input!$C$43,$C$5:$U$5,1)</f>
        <v>19</v>
      </c>
      <c r="AB20" s="192">
        <f t="shared" si="1"/>
        <v>15</v>
      </c>
      <c r="AC20" s="191">
        <f t="shared" si="2"/>
        <v>1</v>
      </c>
      <c r="AD20" s="191">
        <f t="shared" si="3"/>
        <v>0.04</v>
      </c>
      <c r="AE20" s="191">
        <f t="shared" si="4"/>
        <v>1</v>
      </c>
      <c r="AF20" s="191">
        <f t="shared" si="5"/>
        <v>0.20399999999999999</v>
      </c>
      <c r="AH20" s="192">
        <f t="shared" si="12"/>
        <v>60</v>
      </c>
      <c r="AI20" s="192">
        <f t="shared" si="12"/>
        <v>15</v>
      </c>
      <c r="AJ20" s="192">
        <f>MATCH(Input!$C$43,$AT$5:$AT$52,1)</f>
        <v>48</v>
      </c>
      <c r="AK20" s="191">
        <f t="shared" si="6"/>
        <v>50</v>
      </c>
      <c r="AL20" s="199">
        <f>MIN(AK20,Input!$C$44)</f>
        <v>20</v>
      </c>
      <c r="AM20" s="191">
        <f t="shared" si="7"/>
        <v>10</v>
      </c>
      <c r="AN20" s="191">
        <f t="shared" si="8"/>
        <v>25</v>
      </c>
      <c r="AO20" s="199">
        <f t="shared" si="9"/>
        <v>30</v>
      </c>
      <c r="AP20" s="199">
        <f t="shared" si="10"/>
        <v>45</v>
      </c>
      <c r="AQ20" s="191">
        <f t="shared" si="0"/>
        <v>1</v>
      </c>
      <c r="AR20" s="191">
        <f t="shared" si="11"/>
        <v>0</v>
      </c>
      <c r="AT20" s="223">
        <v>0.54</v>
      </c>
      <c r="AU20" s="223">
        <v>0.54</v>
      </c>
      <c r="AV20" s="191">
        <v>23</v>
      </c>
      <c r="AW20" s="191">
        <v>4</v>
      </c>
      <c r="AX20" s="191">
        <v>13</v>
      </c>
    </row>
    <row r="21" spans="1:50" x14ac:dyDescent="0.25">
      <c r="A21" s="192" t="s">
        <v>32</v>
      </c>
      <c r="B21" s="192">
        <v>74</v>
      </c>
      <c r="C21" s="198">
        <v>0.151</v>
      </c>
      <c r="D21" s="198">
        <v>0.151</v>
      </c>
      <c r="E21" s="198">
        <v>0.129</v>
      </c>
      <c r="F21" s="198">
        <v>0.11799999999999999</v>
      </c>
      <c r="G21" s="198">
        <v>0.107</v>
      </c>
      <c r="H21" s="198">
        <v>9.8000000000000004E-2</v>
      </c>
      <c r="I21" s="198">
        <v>8.8999999999999996E-2</v>
      </c>
      <c r="J21" s="198">
        <v>8.1000000000000003E-2</v>
      </c>
      <c r="K21" s="198">
        <v>7.3999999999999996E-2</v>
      </c>
      <c r="L21" s="198">
        <v>6.8000000000000005E-2</v>
      </c>
      <c r="M21" s="198">
        <v>6.2E-2</v>
      </c>
      <c r="N21" s="198">
        <v>5.6000000000000001E-2</v>
      </c>
      <c r="O21" s="198">
        <v>5.0999999999999997E-2</v>
      </c>
      <c r="P21" s="198">
        <v>4.7E-2</v>
      </c>
      <c r="Q21" s="198">
        <v>4.2999999999999997E-2</v>
      </c>
      <c r="R21" s="198">
        <v>3.9E-2</v>
      </c>
      <c r="S21" s="198">
        <v>3.5000000000000003E-2</v>
      </c>
      <c r="T21" s="198">
        <v>3.2000000000000001E-2</v>
      </c>
      <c r="U21" s="198">
        <v>2.9000000000000001E-2</v>
      </c>
      <c r="V21" s="144"/>
      <c r="W21" s="192">
        <v>76</v>
      </c>
      <c r="X21" s="191" t="s">
        <v>33</v>
      </c>
      <c r="Y21" s="198">
        <v>0.14599999999999999</v>
      </c>
      <c r="AA21" s="192">
        <f>MATCH(Input!$C$43,$C$5:$U$5,1)</f>
        <v>19</v>
      </c>
      <c r="AB21" s="192">
        <f t="shared" si="1"/>
        <v>16</v>
      </c>
      <c r="AC21" s="191">
        <f t="shared" si="2"/>
        <v>1</v>
      </c>
      <c r="AD21" s="191">
        <f t="shared" si="3"/>
        <v>0.04</v>
      </c>
      <c r="AE21" s="191">
        <f t="shared" si="4"/>
        <v>1</v>
      </c>
      <c r="AF21" s="191">
        <f t="shared" si="5"/>
        <v>0.20399999999999999</v>
      </c>
      <c r="AH21" s="192">
        <f t="shared" si="12"/>
        <v>61</v>
      </c>
      <c r="AI21" s="192">
        <f t="shared" si="12"/>
        <v>16</v>
      </c>
      <c r="AJ21" s="192">
        <f>MATCH(Input!$C$43,$AT$5:$AT$52,1)</f>
        <v>48</v>
      </c>
      <c r="AK21" s="191">
        <f t="shared" si="6"/>
        <v>50</v>
      </c>
      <c r="AL21" s="199">
        <f>MIN(AK21,Input!$C$44)</f>
        <v>20</v>
      </c>
      <c r="AM21" s="191">
        <f t="shared" si="7"/>
        <v>10</v>
      </c>
      <c r="AN21" s="191">
        <f t="shared" si="8"/>
        <v>25</v>
      </c>
      <c r="AO21" s="199">
        <f t="shared" si="9"/>
        <v>30</v>
      </c>
      <c r="AP21" s="199">
        <f t="shared" si="10"/>
        <v>45</v>
      </c>
      <c r="AQ21" s="191">
        <f t="shared" si="0"/>
        <v>1</v>
      </c>
      <c r="AR21" s="191">
        <f t="shared" si="11"/>
        <v>0</v>
      </c>
      <c r="AT21" s="223">
        <v>0.55000000000000004</v>
      </c>
      <c r="AU21" s="223">
        <v>0.55000000000000004</v>
      </c>
      <c r="AV21" s="191">
        <v>24</v>
      </c>
      <c r="AW21" s="191">
        <v>4</v>
      </c>
      <c r="AX21" s="191">
        <v>13</v>
      </c>
    </row>
    <row r="22" spans="1:50" x14ac:dyDescent="0.25">
      <c r="A22" s="192" t="s">
        <v>33</v>
      </c>
      <c r="B22" s="192">
        <v>76</v>
      </c>
      <c r="C22" s="198">
        <v>0.14599999999999999</v>
      </c>
      <c r="D22" s="198">
        <v>0.14599999999999999</v>
      </c>
      <c r="E22" s="198">
        <v>0.125</v>
      </c>
      <c r="F22" s="198">
        <v>0.114</v>
      </c>
      <c r="G22" s="198">
        <v>0.104</v>
      </c>
      <c r="H22" s="198">
        <v>9.5000000000000001E-2</v>
      </c>
      <c r="I22" s="198">
        <v>8.5999999999999993E-2</v>
      </c>
      <c r="J22" s="198">
        <v>7.9000000000000001E-2</v>
      </c>
      <c r="K22" s="198">
        <v>7.1999999999999995E-2</v>
      </c>
      <c r="L22" s="198">
        <v>6.5000000000000002E-2</v>
      </c>
      <c r="M22" s="198">
        <v>0.06</v>
      </c>
      <c r="N22" s="198">
        <v>5.3999999999999999E-2</v>
      </c>
      <c r="O22" s="198">
        <v>0.05</v>
      </c>
      <c r="P22" s="198">
        <v>4.4999999999999998E-2</v>
      </c>
      <c r="Q22" s="198">
        <v>4.1000000000000002E-2</v>
      </c>
      <c r="R22" s="198">
        <v>3.7999999999999999E-2</v>
      </c>
      <c r="S22" s="198">
        <v>3.4000000000000002E-2</v>
      </c>
      <c r="T22" s="198">
        <v>3.1E-2</v>
      </c>
      <c r="U22" s="198">
        <v>2.9000000000000001E-2</v>
      </c>
      <c r="V22" s="144"/>
      <c r="W22" s="192">
        <v>78</v>
      </c>
      <c r="X22" s="191" t="s">
        <v>34</v>
      </c>
      <c r="Y22" s="198">
        <v>0.14099999999999999</v>
      </c>
      <c r="AA22" s="192">
        <f>MATCH(Input!$C$43,$C$5:$U$5,1)</f>
        <v>19</v>
      </c>
      <c r="AB22" s="192">
        <f t="shared" si="1"/>
        <v>17</v>
      </c>
      <c r="AC22" s="191">
        <f t="shared" si="2"/>
        <v>1</v>
      </c>
      <c r="AD22" s="191">
        <f t="shared" si="3"/>
        <v>0.04</v>
      </c>
      <c r="AE22" s="191">
        <f t="shared" si="4"/>
        <v>1</v>
      </c>
      <c r="AF22" s="191">
        <f t="shared" si="5"/>
        <v>0.20399999999999999</v>
      </c>
      <c r="AH22" s="192">
        <f t="shared" si="12"/>
        <v>62</v>
      </c>
      <c r="AI22" s="192">
        <f t="shared" si="12"/>
        <v>17</v>
      </c>
      <c r="AJ22" s="192">
        <f>MATCH(Input!$C$43,$AT$5:$AT$52,1)</f>
        <v>48</v>
      </c>
      <c r="AK22" s="191">
        <f t="shared" si="6"/>
        <v>50</v>
      </c>
      <c r="AL22" s="199">
        <f>MIN(AK22,Input!$C$44)</f>
        <v>20</v>
      </c>
      <c r="AM22" s="191">
        <f t="shared" si="7"/>
        <v>10</v>
      </c>
      <c r="AN22" s="191">
        <f t="shared" si="8"/>
        <v>25</v>
      </c>
      <c r="AO22" s="199">
        <f t="shared" si="9"/>
        <v>30</v>
      </c>
      <c r="AP22" s="199">
        <f t="shared" si="10"/>
        <v>45</v>
      </c>
      <c r="AQ22" s="191">
        <f t="shared" si="0"/>
        <v>1</v>
      </c>
      <c r="AR22" s="191">
        <f t="shared" si="11"/>
        <v>0</v>
      </c>
      <c r="AT22" s="223">
        <v>0.56000000000000005</v>
      </c>
      <c r="AU22" s="223">
        <v>0.56000000000000005</v>
      </c>
      <c r="AV22" s="191">
        <v>25</v>
      </c>
      <c r="AW22" s="191">
        <v>4</v>
      </c>
      <c r="AX22" s="191">
        <v>13</v>
      </c>
    </row>
    <row r="23" spans="1:50" x14ac:dyDescent="0.25">
      <c r="A23" s="192" t="s">
        <v>34</v>
      </c>
      <c r="B23" s="192">
        <v>78</v>
      </c>
      <c r="C23" s="198">
        <v>0.14099999999999999</v>
      </c>
      <c r="D23" s="198">
        <v>0.14099999999999999</v>
      </c>
      <c r="E23" s="198">
        <v>0.12</v>
      </c>
      <c r="F23" s="198">
        <v>0.11</v>
      </c>
      <c r="G23" s="198">
        <v>0.1</v>
      </c>
      <c r="H23" s="198">
        <v>9.0999999999999998E-2</v>
      </c>
      <c r="I23" s="198">
        <v>8.3000000000000004E-2</v>
      </c>
      <c r="J23" s="198">
        <v>7.5999999999999998E-2</v>
      </c>
      <c r="K23" s="198">
        <v>6.9000000000000006E-2</v>
      </c>
      <c r="L23" s="198">
        <v>6.3E-2</v>
      </c>
      <c r="M23" s="198">
        <v>5.8000000000000003E-2</v>
      </c>
      <c r="N23" s="198">
        <v>5.1999999999999998E-2</v>
      </c>
      <c r="O23" s="198">
        <v>4.8000000000000001E-2</v>
      </c>
      <c r="P23" s="198">
        <v>4.3999999999999997E-2</v>
      </c>
      <c r="Q23" s="198">
        <v>0.04</v>
      </c>
      <c r="R23" s="198">
        <v>3.5999999999999997E-2</v>
      </c>
      <c r="S23" s="198">
        <v>3.3000000000000002E-2</v>
      </c>
      <c r="T23" s="198">
        <v>0.03</v>
      </c>
      <c r="U23" s="198">
        <v>2.8000000000000001E-2</v>
      </c>
      <c r="V23" s="144"/>
      <c r="W23" s="192">
        <v>80</v>
      </c>
      <c r="X23" s="191" t="s">
        <v>35</v>
      </c>
      <c r="Y23" s="198">
        <v>0.13600000000000001</v>
      </c>
      <c r="AA23" s="192">
        <f>MATCH(Input!$C$43,$C$5:$U$5,1)</f>
        <v>19</v>
      </c>
      <c r="AB23" s="192">
        <f t="shared" si="1"/>
        <v>18</v>
      </c>
      <c r="AC23" s="191">
        <f t="shared" si="2"/>
        <v>1</v>
      </c>
      <c r="AD23" s="191">
        <f t="shared" si="3"/>
        <v>0.04</v>
      </c>
      <c r="AE23" s="191">
        <f t="shared" si="4"/>
        <v>1</v>
      </c>
      <c r="AF23" s="191">
        <f t="shared" si="5"/>
        <v>0.20399999999999999</v>
      </c>
      <c r="AH23" s="192">
        <f t="shared" ref="AH23:AI38" si="13">AH22+1</f>
        <v>63</v>
      </c>
      <c r="AI23" s="192">
        <f t="shared" si="13"/>
        <v>18</v>
      </c>
      <c r="AJ23" s="192">
        <f>MATCH(Input!$C$43,$AT$5:$AT$52,1)</f>
        <v>48</v>
      </c>
      <c r="AK23" s="191">
        <f t="shared" si="6"/>
        <v>50</v>
      </c>
      <c r="AL23" s="199">
        <f>MIN(AK23,Input!$C$44)</f>
        <v>20</v>
      </c>
      <c r="AM23" s="191">
        <f t="shared" si="7"/>
        <v>10</v>
      </c>
      <c r="AN23" s="191">
        <f t="shared" si="8"/>
        <v>25</v>
      </c>
      <c r="AO23" s="199">
        <f t="shared" si="9"/>
        <v>30</v>
      </c>
      <c r="AP23" s="199">
        <f t="shared" si="10"/>
        <v>45</v>
      </c>
      <c r="AQ23" s="191">
        <f t="shared" si="0"/>
        <v>1</v>
      </c>
      <c r="AR23" s="191">
        <f t="shared" si="11"/>
        <v>0</v>
      </c>
      <c r="AT23" s="223">
        <v>0.57000000000000006</v>
      </c>
      <c r="AU23" s="223">
        <v>0.57000000000000006</v>
      </c>
      <c r="AV23" s="191">
        <v>25</v>
      </c>
      <c r="AW23" s="191">
        <v>5</v>
      </c>
      <c r="AX23" s="191">
        <v>13</v>
      </c>
    </row>
    <row r="24" spans="1:50" x14ac:dyDescent="0.25">
      <c r="A24" s="192" t="s">
        <v>35</v>
      </c>
      <c r="B24" s="192">
        <v>80</v>
      </c>
      <c r="C24" s="198">
        <v>0.13600000000000001</v>
      </c>
      <c r="D24" s="198">
        <v>0.13600000000000001</v>
      </c>
      <c r="E24" s="198">
        <v>0.11600000000000001</v>
      </c>
      <c r="F24" s="198">
        <v>0.106</v>
      </c>
      <c r="G24" s="198">
        <v>9.6000000000000002E-2</v>
      </c>
      <c r="H24" s="198">
        <v>8.7999999999999995E-2</v>
      </c>
      <c r="I24" s="198">
        <v>0.08</v>
      </c>
      <c r="J24" s="198">
        <v>7.2999999999999995E-2</v>
      </c>
      <c r="K24" s="198">
        <v>6.7000000000000004E-2</v>
      </c>
      <c r="L24" s="198">
        <v>6.0999999999999999E-2</v>
      </c>
      <c r="M24" s="198">
        <v>5.5E-2</v>
      </c>
      <c r="N24" s="198">
        <v>0.05</v>
      </c>
      <c r="O24" s="198">
        <v>4.5999999999999999E-2</v>
      </c>
      <c r="P24" s="198">
        <v>4.2000000000000003E-2</v>
      </c>
      <c r="Q24" s="198">
        <v>3.7999999999999999E-2</v>
      </c>
      <c r="R24" s="198">
        <v>3.5000000000000003E-2</v>
      </c>
      <c r="S24" s="198">
        <v>3.2000000000000001E-2</v>
      </c>
      <c r="T24" s="198">
        <v>2.9000000000000001E-2</v>
      </c>
      <c r="U24" s="198">
        <v>2.5999999999999999E-2</v>
      </c>
      <c r="V24" s="144"/>
      <c r="W24" s="192">
        <v>82</v>
      </c>
      <c r="X24" s="191" t="s">
        <v>36</v>
      </c>
      <c r="Y24" s="198">
        <v>0.13</v>
      </c>
      <c r="AA24" s="192">
        <f>MATCH(Input!$C$43,$C$5:$U$5,1)</f>
        <v>19</v>
      </c>
      <c r="AB24" s="192">
        <f t="shared" si="1"/>
        <v>19</v>
      </c>
      <c r="AC24" s="191">
        <f t="shared" si="2"/>
        <v>1</v>
      </c>
      <c r="AD24" s="191">
        <f t="shared" si="3"/>
        <v>0.04</v>
      </c>
      <c r="AE24" s="191">
        <f t="shared" si="4"/>
        <v>1</v>
      </c>
      <c r="AF24" s="191">
        <f t="shared" si="5"/>
        <v>0.20399999999999999</v>
      </c>
      <c r="AH24" s="192">
        <f t="shared" si="13"/>
        <v>64</v>
      </c>
      <c r="AI24" s="192">
        <f t="shared" si="13"/>
        <v>19</v>
      </c>
      <c r="AJ24" s="192">
        <f>MATCH(Input!$C$43,$AT$5:$AT$52,1)</f>
        <v>48</v>
      </c>
      <c r="AK24" s="191">
        <f t="shared" si="6"/>
        <v>50</v>
      </c>
      <c r="AL24" s="199">
        <f>MIN(AK24,Input!$C$44)</f>
        <v>20</v>
      </c>
      <c r="AM24" s="191">
        <f t="shared" si="7"/>
        <v>10</v>
      </c>
      <c r="AN24" s="191">
        <f t="shared" si="8"/>
        <v>25</v>
      </c>
      <c r="AO24" s="199">
        <f t="shared" si="9"/>
        <v>30</v>
      </c>
      <c r="AP24" s="199">
        <f t="shared" si="10"/>
        <v>45</v>
      </c>
      <c r="AQ24" s="191">
        <f t="shared" si="0"/>
        <v>1</v>
      </c>
      <c r="AR24" s="191">
        <f t="shared" si="11"/>
        <v>0</v>
      </c>
      <c r="AT24" s="223">
        <v>0.58000000000000007</v>
      </c>
      <c r="AU24" s="223">
        <v>0.58000000000000007</v>
      </c>
      <c r="AV24" s="191">
        <v>26</v>
      </c>
      <c r="AW24" s="191">
        <v>5</v>
      </c>
      <c r="AX24" s="191">
        <v>14</v>
      </c>
    </row>
    <row r="25" spans="1:50" x14ac:dyDescent="0.25">
      <c r="A25" s="192" t="s">
        <v>36</v>
      </c>
      <c r="B25" s="192">
        <v>82</v>
      </c>
      <c r="C25" s="198">
        <v>0.13</v>
      </c>
      <c r="D25" s="198">
        <v>0.13</v>
      </c>
      <c r="E25" s="198">
        <v>0.111</v>
      </c>
      <c r="F25" s="198">
        <v>0.10100000000000001</v>
      </c>
      <c r="G25" s="198">
        <v>9.1999999999999998E-2</v>
      </c>
      <c r="H25" s="198">
        <v>8.4000000000000005E-2</v>
      </c>
      <c r="I25" s="198">
        <v>7.6999999999999999E-2</v>
      </c>
      <c r="J25" s="198">
        <v>7.0000000000000007E-2</v>
      </c>
      <c r="K25" s="198">
        <v>6.4000000000000001E-2</v>
      </c>
      <c r="L25" s="198">
        <v>5.8000000000000003E-2</v>
      </c>
      <c r="M25" s="198">
        <v>5.2999999999999999E-2</v>
      </c>
      <c r="N25" s="198">
        <v>4.8000000000000001E-2</v>
      </c>
      <c r="O25" s="198">
        <v>4.3999999999999997E-2</v>
      </c>
      <c r="P25" s="198">
        <v>0.04</v>
      </c>
      <c r="Q25" s="198">
        <v>3.6999999999999998E-2</v>
      </c>
      <c r="R25" s="198">
        <v>3.4000000000000002E-2</v>
      </c>
      <c r="S25" s="198">
        <v>3.1E-2</v>
      </c>
      <c r="T25" s="198">
        <v>2.8000000000000001E-2</v>
      </c>
      <c r="U25" s="198">
        <v>2.5000000000000001E-2</v>
      </c>
      <c r="V25" s="144"/>
      <c r="W25" s="192">
        <v>84</v>
      </c>
      <c r="X25" s="191" t="s">
        <v>37</v>
      </c>
      <c r="Y25" s="198">
        <v>0.125</v>
      </c>
      <c r="AA25" s="192">
        <f>MATCH(Input!$C$43,$C$5:$U$5,1)</f>
        <v>19</v>
      </c>
      <c r="AB25" s="192">
        <f t="shared" si="1"/>
        <v>20</v>
      </c>
      <c r="AC25" s="191">
        <f t="shared" si="2"/>
        <v>1</v>
      </c>
      <c r="AD25" s="191">
        <f t="shared" si="3"/>
        <v>0.04</v>
      </c>
      <c r="AE25" s="191">
        <f t="shared" si="4"/>
        <v>1</v>
      </c>
      <c r="AF25" s="191">
        <f t="shared" si="5"/>
        <v>0.20399999999999999</v>
      </c>
      <c r="AH25" s="192">
        <f t="shared" si="13"/>
        <v>65</v>
      </c>
      <c r="AI25" s="192">
        <f t="shared" si="13"/>
        <v>20</v>
      </c>
      <c r="AJ25" s="192">
        <f>MATCH(Input!$C$43,$AT$5:$AT$52,1)</f>
        <v>48</v>
      </c>
      <c r="AK25" s="191">
        <f t="shared" si="6"/>
        <v>50</v>
      </c>
      <c r="AL25" s="199">
        <f>MIN(AK25,Input!$C$44)</f>
        <v>20</v>
      </c>
      <c r="AM25" s="191">
        <f t="shared" si="7"/>
        <v>10</v>
      </c>
      <c r="AN25" s="191">
        <f t="shared" si="8"/>
        <v>25</v>
      </c>
      <c r="AO25" s="199">
        <f t="shared" si="9"/>
        <v>30</v>
      </c>
      <c r="AP25" s="199">
        <f t="shared" si="10"/>
        <v>45</v>
      </c>
      <c r="AQ25" s="191">
        <f t="shared" si="0"/>
        <v>1</v>
      </c>
      <c r="AR25" s="191">
        <f t="shared" si="11"/>
        <v>0</v>
      </c>
      <c r="AT25" s="223">
        <v>0.59000000000000008</v>
      </c>
      <c r="AU25" s="223">
        <v>0.59000000000000008</v>
      </c>
      <c r="AV25" s="191">
        <v>27</v>
      </c>
      <c r="AW25" s="191">
        <v>5</v>
      </c>
      <c r="AX25" s="191">
        <v>14</v>
      </c>
    </row>
    <row r="26" spans="1:50" x14ac:dyDescent="0.25">
      <c r="A26" s="192" t="s">
        <v>37</v>
      </c>
      <c r="B26" s="192">
        <v>84</v>
      </c>
      <c r="C26" s="198">
        <v>0.125</v>
      </c>
      <c r="D26" s="198">
        <v>0.125</v>
      </c>
      <c r="E26" s="198">
        <v>0.106</v>
      </c>
      <c r="F26" s="198">
        <v>9.7000000000000003E-2</v>
      </c>
      <c r="G26" s="198">
        <v>8.7999999999999995E-2</v>
      </c>
      <c r="H26" s="198">
        <v>8.1000000000000003E-2</v>
      </c>
      <c r="I26" s="198">
        <v>7.3999999999999996E-2</v>
      </c>
      <c r="J26" s="198">
        <v>6.7000000000000004E-2</v>
      </c>
      <c r="K26" s="198">
        <v>6.0999999999999999E-2</v>
      </c>
      <c r="L26" s="198">
        <v>5.6000000000000001E-2</v>
      </c>
      <c r="M26" s="198">
        <v>5.0999999999999997E-2</v>
      </c>
      <c r="N26" s="198">
        <v>4.5999999999999999E-2</v>
      </c>
      <c r="O26" s="198">
        <v>4.2000000000000003E-2</v>
      </c>
      <c r="P26" s="198">
        <v>3.9E-2</v>
      </c>
      <c r="Q26" s="198">
        <v>3.5000000000000003E-2</v>
      </c>
      <c r="R26" s="198">
        <v>3.2000000000000001E-2</v>
      </c>
      <c r="S26" s="198">
        <v>2.9000000000000001E-2</v>
      </c>
      <c r="T26" s="198">
        <v>2.7E-2</v>
      </c>
      <c r="U26" s="198">
        <v>2.4E-2</v>
      </c>
      <c r="V26" s="144"/>
      <c r="W26" s="192">
        <v>86</v>
      </c>
      <c r="X26" s="191" t="s">
        <v>38</v>
      </c>
      <c r="Y26" s="198">
        <v>0.11899999999999999</v>
      </c>
      <c r="AA26" s="192">
        <f>MATCH(Input!$C$43,$C$5:$U$5,1)</f>
        <v>19</v>
      </c>
      <c r="AB26" s="192">
        <f t="shared" si="1"/>
        <v>21</v>
      </c>
      <c r="AC26" s="191">
        <f t="shared" si="2"/>
        <v>1</v>
      </c>
      <c r="AD26" s="191">
        <f t="shared" si="3"/>
        <v>0.04</v>
      </c>
      <c r="AE26" s="191">
        <f t="shared" si="4"/>
        <v>1</v>
      </c>
      <c r="AF26" s="191">
        <f t="shared" si="5"/>
        <v>0.20399999999999999</v>
      </c>
      <c r="AH26" s="192">
        <f t="shared" si="13"/>
        <v>66</v>
      </c>
      <c r="AI26" s="192">
        <f t="shared" si="13"/>
        <v>21</v>
      </c>
      <c r="AJ26" s="192">
        <f>MATCH(Input!$C$43,$AT$5:$AT$52,1)</f>
        <v>48</v>
      </c>
      <c r="AK26" s="191">
        <f t="shared" si="6"/>
        <v>50</v>
      </c>
      <c r="AL26" s="199">
        <f>MIN(AK26,Input!$C$44)</f>
        <v>20</v>
      </c>
      <c r="AM26" s="191">
        <f t="shared" si="7"/>
        <v>10</v>
      </c>
      <c r="AN26" s="191">
        <f t="shared" si="8"/>
        <v>25</v>
      </c>
      <c r="AO26" s="199">
        <f t="shared" si="9"/>
        <v>30</v>
      </c>
      <c r="AP26" s="199">
        <f t="shared" si="10"/>
        <v>45</v>
      </c>
      <c r="AQ26" s="191">
        <f t="shared" si="0"/>
        <v>1</v>
      </c>
      <c r="AR26" s="191">
        <f t="shared" si="11"/>
        <v>0</v>
      </c>
      <c r="AT26" s="223">
        <v>0.60000000000000009</v>
      </c>
      <c r="AU26" s="192" t="s">
        <v>496</v>
      </c>
      <c r="AV26" s="191">
        <v>28</v>
      </c>
      <c r="AW26" s="191">
        <v>5</v>
      </c>
      <c r="AX26" s="191">
        <v>14</v>
      </c>
    </row>
    <row r="27" spans="1:50" x14ac:dyDescent="0.25">
      <c r="A27" s="192" t="s">
        <v>38</v>
      </c>
      <c r="B27" s="192">
        <v>86</v>
      </c>
      <c r="C27" s="198">
        <v>0.11899999999999999</v>
      </c>
      <c r="D27" s="198">
        <v>0.11899999999999999</v>
      </c>
      <c r="E27" s="198">
        <v>0.10100000000000001</v>
      </c>
      <c r="F27" s="198">
        <v>9.1999999999999998E-2</v>
      </c>
      <c r="G27" s="198">
        <v>8.4000000000000005E-2</v>
      </c>
      <c r="H27" s="198">
        <v>7.6999999999999999E-2</v>
      </c>
      <c r="I27" s="198">
        <v>7.0000000000000007E-2</v>
      </c>
      <c r="J27" s="198">
        <v>6.4000000000000001E-2</v>
      </c>
      <c r="K27" s="198">
        <v>5.8000000000000003E-2</v>
      </c>
      <c r="L27" s="198">
        <v>5.2999999999999999E-2</v>
      </c>
      <c r="M27" s="198">
        <v>4.8000000000000001E-2</v>
      </c>
      <c r="N27" s="198">
        <v>4.3999999999999997E-2</v>
      </c>
      <c r="O27" s="198">
        <v>0.04</v>
      </c>
      <c r="P27" s="198">
        <v>3.6999999999999998E-2</v>
      </c>
      <c r="Q27" s="198">
        <v>3.4000000000000002E-2</v>
      </c>
      <c r="R27" s="198">
        <v>3.1E-2</v>
      </c>
      <c r="S27" s="198">
        <v>2.8000000000000001E-2</v>
      </c>
      <c r="T27" s="198">
        <v>2.5000000000000001E-2</v>
      </c>
      <c r="U27" s="198">
        <v>2.3E-2</v>
      </c>
      <c r="V27" s="144"/>
      <c r="W27" s="192">
        <v>88</v>
      </c>
      <c r="X27" s="191" t="s">
        <v>39</v>
      </c>
      <c r="Y27" s="198">
        <v>0.113</v>
      </c>
      <c r="AA27" s="192">
        <f>MATCH(Input!$C$43,$C$5:$U$5,1)</f>
        <v>19</v>
      </c>
      <c r="AB27" s="192">
        <f t="shared" si="1"/>
        <v>22</v>
      </c>
      <c r="AC27" s="191">
        <f t="shared" si="2"/>
        <v>1</v>
      </c>
      <c r="AD27" s="191">
        <f t="shared" si="3"/>
        <v>0.04</v>
      </c>
      <c r="AE27" s="191">
        <f t="shared" si="4"/>
        <v>1</v>
      </c>
      <c r="AF27" s="191">
        <f t="shared" si="5"/>
        <v>0.20399999999999999</v>
      </c>
      <c r="AH27" s="192">
        <f t="shared" si="13"/>
        <v>67</v>
      </c>
      <c r="AI27" s="192">
        <f t="shared" si="13"/>
        <v>22</v>
      </c>
      <c r="AJ27" s="192">
        <f>MATCH(Input!$C$43,$AT$5:$AT$52,1)</f>
        <v>48</v>
      </c>
      <c r="AK27" s="191">
        <f t="shared" si="6"/>
        <v>50</v>
      </c>
      <c r="AL27" s="199">
        <f>MIN(AK27,Input!$C$44)</f>
        <v>20</v>
      </c>
      <c r="AM27" s="191">
        <f t="shared" si="7"/>
        <v>10</v>
      </c>
      <c r="AN27" s="191">
        <f t="shared" si="8"/>
        <v>25</v>
      </c>
      <c r="AO27" s="199">
        <f t="shared" si="9"/>
        <v>30</v>
      </c>
      <c r="AP27" s="199">
        <f t="shared" si="10"/>
        <v>45</v>
      </c>
      <c r="AQ27" s="191">
        <f t="shared" si="0"/>
        <v>1</v>
      </c>
      <c r="AR27" s="191">
        <f t="shared" si="11"/>
        <v>0</v>
      </c>
      <c r="AT27" s="223">
        <v>0.62</v>
      </c>
      <c r="AU27" s="223">
        <v>0.62</v>
      </c>
      <c r="AV27" s="191">
        <v>29</v>
      </c>
      <c r="AW27" s="191">
        <v>5</v>
      </c>
      <c r="AX27" s="191">
        <v>15</v>
      </c>
    </row>
    <row r="28" spans="1:50" x14ac:dyDescent="0.25">
      <c r="A28" s="192" t="s">
        <v>39</v>
      </c>
      <c r="B28" s="192">
        <v>88</v>
      </c>
      <c r="C28" s="198">
        <v>0.113</v>
      </c>
      <c r="D28" s="198">
        <v>0.113</v>
      </c>
      <c r="E28" s="198">
        <v>9.6000000000000002E-2</v>
      </c>
      <c r="F28" s="198">
        <v>8.7999999999999995E-2</v>
      </c>
      <c r="G28" s="198">
        <v>0.08</v>
      </c>
      <c r="H28" s="198">
        <v>7.2999999999999995E-2</v>
      </c>
      <c r="I28" s="198">
        <v>6.7000000000000004E-2</v>
      </c>
      <c r="J28" s="198">
        <v>6.0999999999999999E-2</v>
      </c>
      <c r="K28" s="198">
        <v>5.5E-2</v>
      </c>
      <c r="L28" s="198">
        <v>5.0999999999999997E-2</v>
      </c>
      <c r="M28" s="198">
        <v>4.5999999999999999E-2</v>
      </c>
      <c r="N28" s="198">
        <v>4.2000000000000003E-2</v>
      </c>
      <c r="O28" s="198">
        <v>3.7999999999999999E-2</v>
      </c>
      <c r="P28" s="198">
        <v>3.5000000000000003E-2</v>
      </c>
      <c r="Q28" s="198">
        <v>3.2000000000000001E-2</v>
      </c>
      <c r="R28" s="198">
        <v>2.9000000000000001E-2</v>
      </c>
      <c r="S28" s="198">
        <v>2.5999999999999999E-2</v>
      </c>
      <c r="T28" s="198">
        <v>2.4E-2</v>
      </c>
      <c r="U28" s="198">
        <v>2.1999999999999999E-2</v>
      </c>
      <c r="V28" s="144"/>
      <c r="W28" s="192">
        <v>90</v>
      </c>
      <c r="X28" s="191" t="s">
        <v>40</v>
      </c>
      <c r="Y28" s="198">
        <v>0.107</v>
      </c>
      <c r="AA28" s="192">
        <f>MATCH(Input!$C$43,$C$5:$U$5,1)</f>
        <v>19</v>
      </c>
      <c r="AB28" s="192">
        <f t="shared" si="1"/>
        <v>23</v>
      </c>
      <c r="AC28" s="191">
        <f t="shared" si="2"/>
        <v>1</v>
      </c>
      <c r="AD28" s="191">
        <f t="shared" si="3"/>
        <v>0.04</v>
      </c>
      <c r="AE28" s="191">
        <f t="shared" si="4"/>
        <v>1</v>
      </c>
      <c r="AF28" s="191">
        <f t="shared" si="5"/>
        <v>0.20399999999999999</v>
      </c>
      <c r="AH28" s="192">
        <f t="shared" si="13"/>
        <v>68</v>
      </c>
      <c r="AI28" s="192">
        <f t="shared" si="13"/>
        <v>23</v>
      </c>
      <c r="AJ28" s="192">
        <f>MATCH(Input!$C$43,$AT$5:$AT$52,1)</f>
        <v>48</v>
      </c>
      <c r="AK28" s="191">
        <f t="shared" si="6"/>
        <v>50</v>
      </c>
      <c r="AL28" s="199">
        <f>MIN(AK28,Input!$C$44)</f>
        <v>20</v>
      </c>
      <c r="AM28" s="191">
        <f t="shared" si="7"/>
        <v>10</v>
      </c>
      <c r="AN28" s="191">
        <f t="shared" si="8"/>
        <v>25</v>
      </c>
      <c r="AO28" s="199">
        <f t="shared" si="9"/>
        <v>30</v>
      </c>
      <c r="AP28" s="199">
        <f t="shared" si="10"/>
        <v>45</v>
      </c>
      <c r="AQ28" s="191">
        <f t="shared" si="0"/>
        <v>1</v>
      </c>
      <c r="AR28" s="191">
        <f t="shared" si="11"/>
        <v>0</v>
      </c>
      <c r="AT28" s="223">
        <v>0.63</v>
      </c>
      <c r="AU28" s="223">
        <v>0.63</v>
      </c>
      <c r="AV28" s="191">
        <v>30</v>
      </c>
      <c r="AW28" s="191">
        <v>6</v>
      </c>
      <c r="AX28" s="191">
        <v>15</v>
      </c>
    </row>
    <row r="29" spans="1:50" x14ac:dyDescent="0.25">
      <c r="A29" s="192" t="s">
        <v>40</v>
      </c>
      <c r="B29" s="192">
        <v>90</v>
      </c>
      <c r="C29" s="198">
        <v>0.107</v>
      </c>
      <c r="D29" s="198">
        <v>0.107</v>
      </c>
      <c r="E29" s="198">
        <v>9.0999999999999998E-2</v>
      </c>
      <c r="F29" s="198">
        <v>8.3000000000000004E-2</v>
      </c>
      <c r="G29" s="198">
        <v>7.5999999999999998E-2</v>
      </c>
      <c r="H29" s="198">
        <v>6.9000000000000006E-2</v>
      </c>
      <c r="I29" s="198">
        <v>6.3E-2</v>
      </c>
      <c r="J29" s="198">
        <v>5.7000000000000002E-2</v>
      </c>
      <c r="K29" s="198">
        <v>5.1999999999999998E-2</v>
      </c>
      <c r="L29" s="198">
        <v>4.8000000000000001E-2</v>
      </c>
      <c r="M29" s="198">
        <v>4.3999999999999997E-2</v>
      </c>
      <c r="N29" s="198">
        <v>0.04</v>
      </c>
      <c r="O29" s="198">
        <v>3.5999999999999997E-2</v>
      </c>
      <c r="P29" s="198">
        <v>3.3000000000000002E-2</v>
      </c>
      <c r="Q29" s="198">
        <v>0.03</v>
      </c>
      <c r="R29" s="198">
        <v>2.7E-2</v>
      </c>
      <c r="S29" s="198">
        <v>2.5000000000000001E-2</v>
      </c>
      <c r="T29" s="198">
        <v>2.3E-2</v>
      </c>
      <c r="U29" s="198">
        <v>2.1000000000000001E-2</v>
      </c>
      <c r="V29" s="144"/>
      <c r="W29" s="192">
        <v>92</v>
      </c>
      <c r="X29" s="191" t="s">
        <v>41</v>
      </c>
      <c r="Y29" s="198">
        <v>0.10100000000000001</v>
      </c>
      <c r="AA29" s="192">
        <f>MATCH(Input!$C$43,$C$5:$U$5,1)</f>
        <v>19</v>
      </c>
      <c r="AB29" s="192">
        <f t="shared" si="1"/>
        <v>24</v>
      </c>
      <c r="AC29" s="191">
        <f t="shared" si="2"/>
        <v>1</v>
      </c>
      <c r="AD29" s="191">
        <f t="shared" si="3"/>
        <v>0.04</v>
      </c>
      <c r="AE29" s="191">
        <f t="shared" si="4"/>
        <v>1</v>
      </c>
      <c r="AF29" s="191">
        <f t="shared" si="5"/>
        <v>0.20399999999999999</v>
      </c>
      <c r="AH29" s="192">
        <f t="shared" si="13"/>
        <v>69</v>
      </c>
      <c r="AI29" s="192">
        <f t="shared" si="13"/>
        <v>24</v>
      </c>
      <c r="AJ29" s="192">
        <f>MATCH(Input!$C$43,$AT$5:$AT$52,1)</f>
        <v>48</v>
      </c>
      <c r="AK29" s="191">
        <f t="shared" si="6"/>
        <v>50</v>
      </c>
      <c r="AL29" s="199">
        <f>MIN(AK29,Input!$C$44)</f>
        <v>20</v>
      </c>
      <c r="AM29" s="191">
        <f t="shared" si="7"/>
        <v>10</v>
      </c>
      <c r="AN29" s="191">
        <f t="shared" si="8"/>
        <v>25</v>
      </c>
      <c r="AO29" s="199">
        <f t="shared" si="9"/>
        <v>30</v>
      </c>
      <c r="AP29" s="199">
        <f t="shared" si="10"/>
        <v>45</v>
      </c>
      <c r="AQ29" s="191">
        <f t="shared" si="0"/>
        <v>1</v>
      </c>
      <c r="AR29" s="191">
        <f t="shared" si="11"/>
        <v>0</v>
      </c>
      <c r="AT29" s="223">
        <v>0.64</v>
      </c>
      <c r="AU29" s="192" t="s">
        <v>497</v>
      </c>
      <c r="AV29" s="191">
        <v>31</v>
      </c>
      <c r="AW29" s="191">
        <v>6</v>
      </c>
      <c r="AX29" s="191">
        <v>15</v>
      </c>
    </row>
    <row r="30" spans="1:50" x14ac:dyDescent="0.25">
      <c r="A30" s="192" t="s">
        <v>41</v>
      </c>
      <c r="B30" s="192">
        <v>92</v>
      </c>
      <c r="C30" s="198">
        <v>0.10100000000000001</v>
      </c>
      <c r="D30" s="198">
        <v>0.10100000000000001</v>
      </c>
      <c r="E30" s="198">
        <v>8.5999999999999993E-2</v>
      </c>
      <c r="F30" s="198">
        <v>7.8E-2</v>
      </c>
      <c r="G30" s="198">
        <v>7.0999999999999994E-2</v>
      </c>
      <c r="H30" s="198">
        <v>6.5000000000000002E-2</v>
      </c>
      <c r="I30" s="198">
        <v>5.8999999999999997E-2</v>
      </c>
      <c r="J30" s="198">
        <v>5.3999999999999999E-2</v>
      </c>
      <c r="K30" s="198">
        <v>4.9000000000000002E-2</v>
      </c>
      <c r="L30" s="198">
        <v>4.4999999999999998E-2</v>
      </c>
      <c r="M30" s="198">
        <v>4.1000000000000002E-2</v>
      </c>
      <c r="N30" s="198">
        <v>3.6999999999999998E-2</v>
      </c>
      <c r="O30" s="198">
        <v>3.4000000000000002E-2</v>
      </c>
      <c r="P30" s="198">
        <v>3.1E-2</v>
      </c>
      <c r="Q30" s="198">
        <v>2.8000000000000001E-2</v>
      </c>
      <c r="R30" s="198">
        <v>2.5999999999999999E-2</v>
      </c>
      <c r="S30" s="198">
        <v>2.4E-2</v>
      </c>
      <c r="T30" s="198">
        <v>2.1999999999999999E-2</v>
      </c>
      <c r="U30" s="198">
        <v>0.02</v>
      </c>
      <c r="V30" s="144"/>
      <c r="W30" s="192">
        <v>94</v>
      </c>
      <c r="X30" s="191" t="s">
        <v>42</v>
      </c>
      <c r="Y30" s="198">
        <v>9.4E-2</v>
      </c>
      <c r="AA30" s="192">
        <f>MATCH(Input!$C$43,$C$5:$U$5,1)</f>
        <v>19</v>
      </c>
      <c r="AB30" s="192">
        <f t="shared" si="1"/>
        <v>25</v>
      </c>
      <c r="AC30" s="191">
        <f t="shared" si="2"/>
        <v>1</v>
      </c>
      <c r="AD30" s="191">
        <f t="shared" si="3"/>
        <v>0.04</v>
      </c>
      <c r="AE30" s="191">
        <f t="shared" si="4"/>
        <v>1</v>
      </c>
      <c r="AF30" s="191">
        <f t="shared" si="5"/>
        <v>0.20399999999999999</v>
      </c>
      <c r="AH30" s="192">
        <f t="shared" si="13"/>
        <v>70</v>
      </c>
      <c r="AI30" s="192">
        <f t="shared" si="13"/>
        <v>25</v>
      </c>
      <c r="AJ30" s="192">
        <f>MATCH(Input!$C$43,$AT$5:$AT$52,1)</f>
        <v>48</v>
      </c>
      <c r="AK30" s="191">
        <f t="shared" si="6"/>
        <v>50</v>
      </c>
      <c r="AL30" s="199">
        <f>MIN(AK30,Input!$C$44)</f>
        <v>20</v>
      </c>
      <c r="AM30" s="191">
        <f t="shared" si="7"/>
        <v>10</v>
      </c>
      <c r="AN30" s="191">
        <f t="shared" si="8"/>
        <v>25</v>
      </c>
      <c r="AO30" s="199">
        <f t="shared" si="9"/>
        <v>30</v>
      </c>
      <c r="AP30" s="199">
        <f t="shared" si="10"/>
        <v>45</v>
      </c>
      <c r="AQ30" s="191">
        <f t="shared" si="0"/>
        <v>1</v>
      </c>
      <c r="AR30" s="191">
        <f t="shared" si="11"/>
        <v>0</v>
      </c>
      <c r="AT30" s="223">
        <v>0.66</v>
      </c>
      <c r="AU30" s="223">
        <v>0.66</v>
      </c>
      <c r="AV30" s="191">
        <v>32</v>
      </c>
      <c r="AW30" s="191">
        <v>6</v>
      </c>
      <c r="AX30" s="191">
        <v>16</v>
      </c>
    </row>
    <row r="31" spans="1:50" x14ac:dyDescent="0.25">
      <c r="A31" s="192" t="s">
        <v>42</v>
      </c>
      <c r="B31" s="192">
        <v>94</v>
      </c>
      <c r="C31" s="198">
        <v>9.4E-2</v>
      </c>
      <c r="D31" s="198">
        <v>9.4E-2</v>
      </c>
      <c r="E31" s="198">
        <v>0.08</v>
      </c>
      <c r="F31" s="198">
        <v>7.2999999999999995E-2</v>
      </c>
      <c r="G31" s="198">
        <v>6.7000000000000004E-2</v>
      </c>
      <c r="H31" s="198">
        <v>6.0999999999999999E-2</v>
      </c>
      <c r="I31" s="198">
        <v>5.6000000000000001E-2</v>
      </c>
      <c r="J31" s="198">
        <v>5.0999999999999997E-2</v>
      </c>
      <c r="K31" s="198">
        <v>4.5999999999999999E-2</v>
      </c>
      <c r="L31" s="198">
        <v>4.2000000000000003E-2</v>
      </c>
      <c r="M31" s="198">
        <v>3.7999999999999999E-2</v>
      </c>
      <c r="N31" s="198">
        <v>3.5000000000000003E-2</v>
      </c>
      <c r="O31" s="198">
        <v>3.2000000000000001E-2</v>
      </c>
      <c r="P31" s="198">
        <v>2.9000000000000001E-2</v>
      </c>
      <c r="Q31" s="198">
        <v>2.7E-2</v>
      </c>
      <c r="R31" s="198">
        <v>2.4E-2</v>
      </c>
      <c r="S31" s="198">
        <v>2.1999999999999999E-2</v>
      </c>
      <c r="T31" s="198">
        <v>0.02</v>
      </c>
      <c r="U31" s="198">
        <v>1.7999999999999999E-2</v>
      </c>
      <c r="V31" s="144"/>
      <c r="W31" s="192">
        <v>96</v>
      </c>
      <c r="X31" s="191" t="s">
        <v>43</v>
      </c>
      <c r="Y31" s="198">
        <v>8.7999999999999995E-2</v>
      </c>
      <c r="AA31" s="192">
        <f>MATCH(Input!$C$43,$C$5:$U$5,1)</f>
        <v>19</v>
      </c>
      <c r="AB31" s="192">
        <f t="shared" si="1"/>
        <v>26</v>
      </c>
      <c r="AC31" s="191">
        <f t="shared" si="2"/>
        <v>1</v>
      </c>
      <c r="AD31" s="191">
        <f t="shared" si="3"/>
        <v>0.04</v>
      </c>
      <c r="AE31" s="191">
        <f t="shared" si="4"/>
        <v>1</v>
      </c>
      <c r="AF31" s="191">
        <f t="shared" si="5"/>
        <v>0.20399999999999999</v>
      </c>
      <c r="AH31" s="192">
        <f t="shared" si="13"/>
        <v>71</v>
      </c>
      <c r="AI31" s="192">
        <f t="shared" si="13"/>
        <v>26</v>
      </c>
      <c r="AJ31" s="192">
        <f>MATCH(Input!$C$43,$AT$5:$AT$52,1)</f>
        <v>48</v>
      </c>
      <c r="AK31" s="191">
        <f t="shared" si="6"/>
        <v>50</v>
      </c>
      <c r="AL31" s="199">
        <f>MIN(AK31,Input!$C$44)</f>
        <v>20</v>
      </c>
      <c r="AM31" s="191">
        <f t="shared" si="7"/>
        <v>10</v>
      </c>
      <c r="AN31" s="191">
        <f t="shared" si="8"/>
        <v>25</v>
      </c>
      <c r="AO31" s="199">
        <f t="shared" si="9"/>
        <v>30</v>
      </c>
      <c r="AP31" s="199">
        <f t="shared" si="10"/>
        <v>45</v>
      </c>
      <c r="AQ31" s="191">
        <f t="shared" si="0"/>
        <v>1</v>
      </c>
      <c r="AR31" s="191">
        <f t="shared" si="11"/>
        <v>0</v>
      </c>
      <c r="AT31" s="223">
        <v>0.67</v>
      </c>
      <c r="AU31" s="223">
        <v>0.67</v>
      </c>
      <c r="AV31" s="191">
        <v>33</v>
      </c>
      <c r="AW31" s="191">
        <v>6</v>
      </c>
      <c r="AX31" s="191">
        <v>16</v>
      </c>
    </row>
    <row r="32" spans="1:50" x14ac:dyDescent="0.25">
      <c r="A32" s="192" t="s">
        <v>43</v>
      </c>
      <c r="B32" s="192">
        <v>96</v>
      </c>
      <c r="C32" s="198">
        <v>8.7999999999999995E-2</v>
      </c>
      <c r="D32" s="198">
        <v>8.7999999999999995E-2</v>
      </c>
      <c r="E32" s="198">
        <v>7.4999999999999997E-2</v>
      </c>
      <c r="F32" s="198">
        <v>6.8000000000000005E-2</v>
      </c>
      <c r="G32" s="198">
        <v>6.2E-2</v>
      </c>
      <c r="H32" s="198">
        <v>5.7000000000000002E-2</v>
      </c>
      <c r="I32" s="198">
        <v>5.1999999999999998E-2</v>
      </c>
      <c r="J32" s="198">
        <v>4.7E-2</v>
      </c>
      <c r="K32" s="198">
        <v>4.2999999999999997E-2</v>
      </c>
      <c r="L32" s="198">
        <v>3.9E-2</v>
      </c>
      <c r="M32" s="198">
        <v>3.5999999999999997E-2</v>
      </c>
      <c r="N32" s="198">
        <v>3.3000000000000002E-2</v>
      </c>
      <c r="O32" s="198">
        <v>0.03</v>
      </c>
      <c r="P32" s="198">
        <v>2.7E-2</v>
      </c>
      <c r="Q32" s="198">
        <v>2.5000000000000001E-2</v>
      </c>
      <c r="R32" s="198">
        <v>2.3E-2</v>
      </c>
      <c r="S32" s="198">
        <v>2.1000000000000001E-2</v>
      </c>
      <c r="T32" s="198">
        <v>1.9E-2</v>
      </c>
      <c r="U32" s="198">
        <v>1.7000000000000001E-2</v>
      </c>
      <c r="V32" s="144"/>
      <c r="W32" s="192">
        <v>98</v>
      </c>
      <c r="X32" s="191" t="s">
        <v>44</v>
      </c>
      <c r="Y32" s="198">
        <v>8.1000000000000003E-2</v>
      </c>
      <c r="AA32" s="192">
        <f>MATCH(Input!$C$43,$C$5:$U$5,1)</f>
        <v>19</v>
      </c>
      <c r="AB32" s="192">
        <f t="shared" si="1"/>
        <v>27</v>
      </c>
      <c r="AC32" s="191">
        <f t="shared" si="2"/>
        <v>1</v>
      </c>
      <c r="AD32" s="191">
        <f t="shared" si="3"/>
        <v>0.04</v>
      </c>
      <c r="AE32" s="191">
        <f t="shared" si="4"/>
        <v>1</v>
      </c>
      <c r="AF32" s="191">
        <f t="shared" si="5"/>
        <v>0.20399999999999999</v>
      </c>
      <c r="AH32" s="192">
        <f t="shared" si="13"/>
        <v>72</v>
      </c>
      <c r="AI32" s="192">
        <f t="shared" si="13"/>
        <v>27</v>
      </c>
      <c r="AJ32" s="192">
        <f>MATCH(Input!$C$43,$AT$5:$AT$52,1)</f>
        <v>48</v>
      </c>
      <c r="AK32" s="191">
        <f t="shared" si="6"/>
        <v>50</v>
      </c>
      <c r="AL32" s="199">
        <f>MIN(AK32,Input!$C$44)</f>
        <v>20</v>
      </c>
      <c r="AM32" s="191">
        <f t="shared" si="7"/>
        <v>10</v>
      </c>
      <c r="AN32" s="191">
        <f t="shared" si="8"/>
        <v>25</v>
      </c>
      <c r="AO32" s="199">
        <f t="shared" si="9"/>
        <v>30</v>
      </c>
      <c r="AP32" s="199">
        <f t="shared" si="10"/>
        <v>45</v>
      </c>
      <c r="AQ32" s="191">
        <f t="shared" si="0"/>
        <v>1</v>
      </c>
      <c r="AR32" s="191">
        <f t="shared" si="11"/>
        <v>0</v>
      </c>
      <c r="AT32" s="223">
        <v>0.68</v>
      </c>
      <c r="AU32" s="192" t="s">
        <v>498</v>
      </c>
      <c r="AV32" s="191">
        <v>34</v>
      </c>
      <c r="AW32" s="191">
        <v>6</v>
      </c>
      <c r="AX32" s="191">
        <v>16</v>
      </c>
    </row>
    <row r="33" spans="1:50" x14ac:dyDescent="0.25">
      <c r="A33" s="192" t="s">
        <v>44</v>
      </c>
      <c r="B33" s="192">
        <v>98</v>
      </c>
      <c r="C33" s="198">
        <v>8.1000000000000003E-2</v>
      </c>
      <c r="D33" s="198">
        <v>8.1000000000000003E-2</v>
      </c>
      <c r="E33" s="198">
        <v>6.9000000000000006E-2</v>
      </c>
      <c r="F33" s="198">
        <v>6.3E-2</v>
      </c>
      <c r="G33" s="198">
        <v>5.7000000000000002E-2</v>
      </c>
      <c r="H33" s="198">
        <v>5.1999999999999998E-2</v>
      </c>
      <c r="I33" s="198">
        <v>4.8000000000000001E-2</v>
      </c>
      <c r="J33" s="198">
        <v>4.3999999999999997E-2</v>
      </c>
      <c r="K33" s="198">
        <v>0.04</v>
      </c>
      <c r="L33" s="198">
        <v>3.5999999999999997E-2</v>
      </c>
      <c r="M33" s="198">
        <v>3.3000000000000002E-2</v>
      </c>
      <c r="N33" s="198">
        <v>0.03</v>
      </c>
      <c r="O33" s="198">
        <v>2.7E-2</v>
      </c>
      <c r="P33" s="198">
        <v>2.5000000000000001E-2</v>
      </c>
      <c r="Q33" s="198">
        <v>2.3E-2</v>
      </c>
      <c r="R33" s="198">
        <v>2.1000000000000001E-2</v>
      </c>
      <c r="S33" s="198">
        <v>1.9E-2</v>
      </c>
      <c r="T33" s="198">
        <v>1.7000000000000001E-2</v>
      </c>
      <c r="U33" s="198">
        <v>1.6E-2</v>
      </c>
      <c r="V33" s="144"/>
      <c r="W33" s="192">
        <v>100</v>
      </c>
      <c r="X33" s="191" t="s">
        <v>45</v>
      </c>
      <c r="Y33" s="198">
        <v>7.3999999999999996E-2</v>
      </c>
      <c r="AA33" s="192">
        <f>MATCH(Input!$C$43,$C$5:$U$5,1)</f>
        <v>19</v>
      </c>
      <c r="AB33" s="192">
        <f t="shared" si="1"/>
        <v>28</v>
      </c>
      <c r="AC33" s="191">
        <f t="shared" si="2"/>
        <v>1</v>
      </c>
      <c r="AD33" s="191">
        <f t="shared" si="3"/>
        <v>0.04</v>
      </c>
      <c r="AE33" s="191">
        <f t="shared" si="4"/>
        <v>1</v>
      </c>
      <c r="AF33" s="191">
        <f t="shared" si="5"/>
        <v>0.20399999999999999</v>
      </c>
      <c r="AH33" s="192">
        <f t="shared" si="13"/>
        <v>73</v>
      </c>
      <c r="AI33" s="192">
        <f t="shared" si="13"/>
        <v>28</v>
      </c>
      <c r="AJ33" s="192">
        <f>MATCH(Input!$C$43,$AT$5:$AT$52,1)</f>
        <v>48</v>
      </c>
      <c r="AK33" s="191">
        <f t="shared" si="6"/>
        <v>50</v>
      </c>
      <c r="AL33" s="199">
        <f>MIN(AK33,Input!$C$44)</f>
        <v>20</v>
      </c>
      <c r="AM33" s="191">
        <f t="shared" si="7"/>
        <v>10</v>
      </c>
      <c r="AN33" s="191">
        <f t="shared" si="8"/>
        <v>25</v>
      </c>
      <c r="AO33" s="199">
        <f t="shared" si="9"/>
        <v>30</v>
      </c>
      <c r="AP33" s="199">
        <f t="shared" si="10"/>
        <v>45</v>
      </c>
      <c r="AQ33" s="191">
        <f t="shared" si="0"/>
        <v>1</v>
      </c>
      <c r="AR33" s="191">
        <f t="shared" si="11"/>
        <v>0</v>
      </c>
      <c r="AT33" s="223">
        <v>0.7</v>
      </c>
      <c r="AU33" s="223">
        <v>0.7</v>
      </c>
      <c r="AV33" s="191">
        <v>35</v>
      </c>
      <c r="AW33" s="191">
        <v>7</v>
      </c>
      <c r="AX33" s="191">
        <v>17</v>
      </c>
    </row>
    <row r="34" spans="1:50" x14ac:dyDescent="0.25">
      <c r="A34" s="192" t="s">
        <v>45</v>
      </c>
      <c r="B34" s="192">
        <v>100</v>
      </c>
      <c r="C34" s="198">
        <v>7.3999999999999996E-2</v>
      </c>
      <c r="D34" s="198">
        <v>7.3999999999999996E-2</v>
      </c>
      <c r="E34" s="198">
        <v>6.3E-2</v>
      </c>
      <c r="F34" s="198">
        <v>5.8000000000000003E-2</v>
      </c>
      <c r="G34" s="198">
        <v>5.2999999999999999E-2</v>
      </c>
      <c r="H34" s="198">
        <v>4.8000000000000001E-2</v>
      </c>
      <c r="I34" s="198">
        <v>4.3999999999999997E-2</v>
      </c>
      <c r="J34" s="198">
        <v>0.04</v>
      </c>
      <c r="K34" s="198">
        <v>3.5999999999999997E-2</v>
      </c>
      <c r="L34" s="198">
        <v>3.3000000000000002E-2</v>
      </c>
      <c r="M34" s="198">
        <v>0.03</v>
      </c>
      <c r="N34" s="198">
        <v>2.8000000000000001E-2</v>
      </c>
      <c r="O34" s="198">
        <v>2.5000000000000001E-2</v>
      </c>
      <c r="P34" s="198">
        <v>2.3E-2</v>
      </c>
      <c r="Q34" s="198">
        <v>2.1000000000000001E-2</v>
      </c>
      <c r="R34" s="198">
        <v>1.9E-2</v>
      </c>
      <c r="S34" s="198">
        <v>1.7000000000000001E-2</v>
      </c>
      <c r="T34" s="198">
        <v>1.6E-2</v>
      </c>
      <c r="U34" s="198">
        <v>1.4E-2</v>
      </c>
      <c r="V34" s="144"/>
      <c r="W34" s="192">
        <v>102</v>
      </c>
      <c r="X34" s="191" t="s">
        <v>46</v>
      </c>
      <c r="Y34" s="198">
        <v>6.7000000000000004E-2</v>
      </c>
      <c r="AA34" s="192">
        <f>MATCH(Input!$C$43,$C$5:$U$5,1)</f>
        <v>19</v>
      </c>
      <c r="AB34" s="192">
        <f t="shared" si="1"/>
        <v>29</v>
      </c>
      <c r="AC34" s="191">
        <f t="shared" si="2"/>
        <v>1</v>
      </c>
      <c r="AD34" s="191">
        <f t="shared" si="3"/>
        <v>0.04</v>
      </c>
      <c r="AE34" s="191">
        <f t="shared" si="4"/>
        <v>1</v>
      </c>
      <c r="AF34" s="191">
        <f t="shared" si="5"/>
        <v>0.20399999999999999</v>
      </c>
      <c r="AH34" s="192">
        <f t="shared" si="13"/>
        <v>74</v>
      </c>
      <c r="AI34" s="192">
        <f t="shared" si="13"/>
        <v>29</v>
      </c>
      <c r="AJ34" s="192">
        <f>MATCH(Input!$C$43,$AT$5:$AT$52,1)</f>
        <v>48</v>
      </c>
      <c r="AK34" s="191">
        <f t="shared" si="6"/>
        <v>50</v>
      </c>
      <c r="AL34" s="199">
        <f>MIN(AK34,Input!$C$44)</f>
        <v>20</v>
      </c>
      <c r="AM34" s="191">
        <f t="shared" si="7"/>
        <v>10</v>
      </c>
      <c r="AN34" s="191">
        <f t="shared" si="8"/>
        <v>25</v>
      </c>
      <c r="AO34" s="199">
        <f t="shared" si="9"/>
        <v>30</v>
      </c>
      <c r="AP34" s="199">
        <f t="shared" si="10"/>
        <v>45</v>
      </c>
      <c r="AQ34" s="191">
        <f t="shared" si="0"/>
        <v>1</v>
      </c>
      <c r="AR34" s="191">
        <f t="shared" si="11"/>
        <v>0</v>
      </c>
      <c r="AT34" s="223">
        <v>0.71</v>
      </c>
      <c r="AU34" s="223">
        <v>0.71</v>
      </c>
      <c r="AV34" s="191">
        <v>36</v>
      </c>
      <c r="AW34" s="191">
        <v>7</v>
      </c>
      <c r="AX34" s="191">
        <v>17</v>
      </c>
    </row>
    <row r="35" spans="1:50" x14ac:dyDescent="0.25">
      <c r="A35" s="192" t="s">
        <v>46</v>
      </c>
      <c r="B35" s="192">
        <v>102</v>
      </c>
      <c r="C35" s="198">
        <v>6.7000000000000004E-2</v>
      </c>
      <c r="D35" s="198">
        <v>6.7000000000000004E-2</v>
      </c>
      <c r="E35" s="198">
        <v>5.7000000000000002E-2</v>
      </c>
      <c r="F35" s="198">
        <v>5.1999999999999998E-2</v>
      </c>
      <c r="G35" s="198">
        <v>4.8000000000000001E-2</v>
      </c>
      <c r="H35" s="198">
        <v>4.2999999999999997E-2</v>
      </c>
      <c r="I35" s="198">
        <v>0.04</v>
      </c>
      <c r="J35" s="198">
        <v>3.5999999999999997E-2</v>
      </c>
      <c r="K35" s="198">
        <v>3.3000000000000002E-2</v>
      </c>
      <c r="L35" s="198">
        <v>0.03</v>
      </c>
      <c r="M35" s="198">
        <v>2.7E-2</v>
      </c>
      <c r="N35" s="198">
        <v>2.5000000000000001E-2</v>
      </c>
      <c r="O35" s="198">
        <v>2.3E-2</v>
      </c>
      <c r="P35" s="198">
        <v>2.1000000000000001E-2</v>
      </c>
      <c r="Q35" s="198">
        <v>1.9E-2</v>
      </c>
      <c r="R35" s="198">
        <v>1.7000000000000001E-2</v>
      </c>
      <c r="S35" s="198">
        <v>1.6E-2</v>
      </c>
      <c r="T35" s="198">
        <v>1.4E-2</v>
      </c>
      <c r="U35" s="198">
        <v>1.2999999999999999E-2</v>
      </c>
      <c r="V35" s="144"/>
      <c r="W35" s="192">
        <v>104</v>
      </c>
      <c r="X35" s="191" t="s">
        <v>47</v>
      </c>
      <c r="Y35" s="198">
        <v>0.06</v>
      </c>
      <c r="AA35" s="192">
        <f>MATCH(Input!$C$43,$C$5:$U$5,1)</f>
        <v>19</v>
      </c>
      <c r="AB35" s="192">
        <f t="shared" si="1"/>
        <v>30</v>
      </c>
      <c r="AC35" s="191">
        <f t="shared" si="2"/>
        <v>1</v>
      </c>
      <c r="AD35" s="191">
        <f t="shared" si="3"/>
        <v>0.04</v>
      </c>
      <c r="AE35" s="191">
        <f t="shared" si="4"/>
        <v>1</v>
      </c>
      <c r="AF35" s="191">
        <f t="shared" si="5"/>
        <v>0.20399999999999999</v>
      </c>
      <c r="AH35" s="192">
        <f t="shared" si="13"/>
        <v>75</v>
      </c>
      <c r="AI35" s="192">
        <f t="shared" si="13"/>
        <v>30</v>
      </c>
      <c r="AJ35" s="192">
        <f>MATCH(Input!$C$43,$AT$5:$AT$52,1)</f>
        <v>48</v>
      </c>
      <c r="AK35" s="191">
        <f t="shared" si="6"/>
        <v>50</v>
      </c>
      <c r="AL35" s="199">
        <f>MIN(AK35,Input!$C$44)</f>
        <v>20</v>
      </c>
      <c r="AM35" s="191">
        <f t="shared" si="7"/>
        <v>10</v>
      </c>
      <c r="AN35" s="191">
        <f t="shared" si="8"/>
        <v>25</v>
      </c>
      <c r="AO35" s="199">
        <f t="shared" si="9"/>
        <v>30</v>
      </c>
      <c r="AP35" s="199">
        <f t="shared" si="10"/>
        <v>45</v>
      </c>
      <c r="AQ35" s="191">
        <f t="shared" si="0"/>
        <v>0.9375</v>
      </c>
      <c r="AR35" s="191">
        <f t="shared" si="11"/>
        <v>6.25E-2</v>
      </c>
      <c r="AT35" s="223">
        <v>0.72</v>
      </c>
      <c r="AU35" s="223">
        <v>0.72</v>
      </c>
      <c r="AV35" s="191">
        <v>37</v>
      </c>
      <c r="AW35" s="191">
        <v>7</v>
      </c>
      <c r="AX35" s="191">
        <v>17</v>
      </c>
    </row>
    <row r="36" spans="1:50" x14ac:dyDescent="0.25">
      <c r="A36" s="192" t="s">
        <v>47</v>
      </c>
      <c r="B36" s="192">
        <v>104</v>
      </c>
      <c r="C36" s="198">
        <v>0.06</v>
      </c>
      <c r="D36" s="198">
        <v>0.06</v>
      </c>
      <c r="E36" s="198">
        <v>5.0999999999999997E-2</v>
      </c>
      <c r="F36" s="198">
        <v>4.7E-2</v>
      </c>
      <c r="G36" s="198">
        <v>4.2999999999999997E-2</v>
      </c>
      <c r="H36" s="198">
        <v>3.9E-2</v>
      </c>
      <c r="I36" s="198">
        <v>3.5000000000000003E-2</v>
      </c>
      <c r="J36" s="198">
        <v>3.2000000000000001E-2</v>
      </c>
      <c r="K36" s="198">
        <v>2.9000000000000001E-2</v>
      </c>
      <c r="L36" s="198">
        <v>2.7E-2</v>
      </c>
      <c r="M36" s="198">
        <v>2.4E-2</v>
      </c>
      <c r="N36" s="198">
        <v>2.1999999999999999E-2</v>
      </c>
      <c r="O36" s="198">
        <v>0.02</v>
      </c>
      <c r="P36" s="198">
        <v>1.9E-2</v>
      </c>
      <c r="Q36" s="198">
        <v>1.7000000000000001E-2</v>
      </c>
      <c r="R36" s="198">
        <v>1.4999999999999999E-2</v>
      </c>
      <c r="S36" s="198">
        <v>1.4E-2</v>
      </c>
      <c r="T36" s="198">
        <v>1.2999999999999999E-2</v>
      </c>
      <c r="U36" s="198">
        <v>1.2E-2</v>
      </c>
      <c r="V36" s="144"/>
      <c r="W36" s="192">
        <v>106</v>
      </c>
      <c r="X36" s="191" t="s">
        <v>48</v>
      </c>
      <c r="Y36" s="198">
        <v>5.2999999999999999E-2</v>
      </c>
      <c r="AA36" s="192">
        <f>MATCH(Input!$C$43,$C$5:$U$5,1)</f>
        <v>19</v>
      </c>
      <c r="AB36" s="192">
        <f t="shared" si="1"/>
        <v>31</v>
      </c>
      <c r="AC36" s="191">
        <f t="shared" si="2"/>
        <v>1</v>
      </c>
      <c r="AD36" s="191">
        <f t="shared" si="3"/>
        <v>0.04</v>
      </c>
      <c r="AE36" s="191">
        <f t="shared" si="4"/>
        <v>1</v>
      </c>
      <c r="AF36" s="191">
        <f t="shared" si="5"/>
        <v>0.20399999999999999</v>
      </c>
      <c r="AH36" s="192">
        <f t="shared" si="13"/>
        <v>76</v>
      </c>
      <c r="AI36" s="192">
        <f t="shared" si="13"/>
        <v>31</v>
      </c>
      <c r="AJ36" s="192">
        <f>MATCH(Input!$C$43,$AT$5:$AT$52,1)</f>
        <v>48</v>
      </c>
      <c r="AK36" s="191">
        <f t="shared" si="6"/>
        <v>50</v>
      </c>
      <c r="AL36" s="199">
        <f>MIN(AK36,Input!$C$44)</f>
        <v>20</v>
      </c>
      <c r="AM36" s="191">
        <f t="shared" si="7"/>
        <v>10</v>
      </c>
      <c r="AN36" s="191">
        <f t="shared" si="8"/>
        <v>25</v>
      </c>
      <c r="AO36" s="199">
        <f t="shared" si="9"/>
        <v>30</v>
      </c>
      <c r="AP36" s="199">
        <f t="shared" si="10"/>
        <v>45</v>
      </c>
      <c r="AQ36" s="191">
        <f t="shared" si="0"/>
        <v>0.875</v>
      </c>
      <c r="AR36" s="191">
        <f t="shared" si="11"/>
        <v>0.125</v>
      </c>
      <c r="AT36" s="223">
        <v>0.73</v>
      </c>
      <c r="AU36" s="223">
        <v>0.73</v>
      </c>
      <c r="AV36" s="191">
        <v>38</v>
      </c>
      <c r="AW36" s="191">
        <v>7</v>
      </c>
      <c r="AX36" s="191">
        <v>18</v>
      </c>
    </row>
    <row r="37" spans="1:50" x14ac:dyDescent="0.25">
      <c r="A37" s="192" t="s">
        <v>252</v>
      </c>
      <c r="B37" s="192">
        <v>106</v>
      </c>
      <c r="C37" s="198">
        <v>5.2999999999999999E-2</v>
      </c>
      <c r="D37" s="198">
        <v>5.2999999999999999E-2</v>
      </c>
      <c r="E37" s="198">
        <v>4.4999999999999998E-2</v>
      </c>
      <c r="F37" s="198">
        <v>4.1000000000000002E-2</v>
      </c>
      <c r="G37" s="198">
        <v>3.6999999999999998E-2</v>
      </c>
      <c r="H37" s="198">
        <v>3.4000000000000002E-2</v>
      </c>
      <c r="I37" s="198">
        <v>3.1E-2</v>
      </c>
      <c r="J37" s="198">
        <v>2.8000000000000001E-2</v>
      </c>
      <c r="K37" s="198">
        <v>2.5999999999999999E-2</v>
      </c>
      <c r="L37" s="198">
        <v>2.4E-2</v>
      </c>
      <c r="M37" s="198">
        <v>2.1000000000000001E-2</v>
      </c>
      <c r="N37" s="198">
        <v>0.02</v>
      </c>
      <c r="O37" s="198">
        <v>1.7999999999999999E-2</v>
      </c>
      <c r="P37" s="198">
        <v>1.6E-2</v>
      </c>
      <c r="Q37" s="198">
        <v>1.4999999999999999E-2</v>
      </c>
      <c r="R37" s="198">
        <v>1.4E-2</v>
      </c>
      <c r="S37" s="198">
        <v>1.2E-2</v>
      </c>
      <c r="T37" s="198">
        <v>1.0999999999999999E-2</v>
      </c>
      <c r="U37" s="198">
        <v>0.01</v>
      </c>
      <c r="V37" s="144"/>
      <c r="AA37" s="192">
        <f>MATCH(Input!$C$43,$C$5:$U$5,1)</f>
        <v>19</v>
      </c>
      <c r="AB37" s="192">
        <f t="shared" si="1"/>
        <v>32</v>
      </c>
      <c r="AC37" s="191">
        <f t="shared" si="2"/>
        <v>1</v>
      </c>
      <c r="AD37" s="191">
        <f t="shared" si="3"/>
        <v>0.04</v>
      </c>
      <c r="AE37" s="191">
        <f t="shared" si="4"/>
        <v>1</v>
      </c>
      <c r="AF37" s="191">
        <f t="shared" si="5"/>
        <v>0.20399999999999999</v>
      </c>
      <c r="AH37" s="192">
        <f t="shared" si="13"/>
        <v>77</v>
      </c>
      <c r="AI37" s="192">
        <f t="shared" si="13"/>
        <v>32</v>
      </c>
      <c r="AJ37" s="192">
        <f>MATCH(Input!$C$43,$AT$5:$AT$52,1)</f>
        <v>48</v>
      </c>
      <c r="AK37" s="191">
        <f t="shared" si="6"/>
        <v>50</v>
      </c>
      <c r="AL37" s="199">
        <f>MIN(AK37,Input!$C$44)</f>
        <v>20</v>
      </c>
      <c r="AM37" s="191">
        <f t="shared" si="7"/>
        <v>10</v>
      </c>
      <c r="AN37" s="191">
        <f t="shared" si="8"/>
        <v>25</v>
      </c>
      <c r="AO37" s="199">
        <f t="shared" si="9"/>
        <v>30</v>
      </c>
      <c r="AP37" s="199">
        <f t="shared" si="10"/>
        <v>45</v>
      </c>
      <c r="AQ37" s="191">
        <f t="shared" ref="AQ37:AQ68" si="14">IF(AH37&gt;=100,0,IF(AI37&lt;AO37,1,IF(OR(AQ36=0,AK37=0),0,MAX(0,AQ36-(1/(AP37-AO37+1))))))</f>
        <v>0.8125</v>
      </c>
      <c r="AR37" s="191">
        <f t="shared" si="11"/>
        <v>0.1875</v>
      </c>
      <c r="AT37" s="223">
        <v>0.74</v>
      </c>
      <c r="AU37" s="223">
        <v>0.74</v>
      </c>
      <c r="AV37" s="191">
        <v>39</v>
      </c>
      <c r="AW37" s="191">
        <v>7</v>
      </c>
      <c r="AX37" s="191">
        <v>18</v>
      </c>
    </row>
    <row r="38" spans="1:50" x14ac:dyDescent="0.25">
      <c r="AA38" s="192">
        <f>MATCH(Input!$C$43,$C$5:$U$5,1)</f>
        <v>19</v>
      </c>
      <c r="AB38" s="192">
        <f t="shared" ref="AB38:AB69" si="15">AB37+1</f>
        <v>33</v>
      </c>
      <c r="AC38" s="191">
        <f t="shared" si="2"/>
        <v>1</v>
      </c>
      <c r="AD38" s="191">
        <f t="shared" si="3"/>
        <v>0.04</v>
      </c>
      <c r="AE38" s="191">
        <f t="shared" si="4"/>
        <v>1</v>
      </c>
      <c r="AF38" s="191">
        <f t="shared" si="5"/>
        <v>0.20399999999999999</v>
      </c>
      <c r="AH38" s="192">
        <f t="shared" si="13"/>
        <v>78</v>
      </c>
      <c r="AI38" s="192">
        <f t="shared" si="13"/>
        <v>33</v>
      </c>
      <c r="AJ38" s="192">
        <f>MATCH(Input!$C$43,$AT$5:$AT$52,1)</f>
        <v>48</v>
      </c>
      <c r="AK38" s="191">
        <f t="shared" si="6"/>
        <v>50</v>
      </c>
      <c r="AL38" s="199">
        <f>MIN(AK38,Input!$C$44)</f>
        <v>20</v>
      </c>
      <c r="AM38" s="191">
        <f t="shared" si="7"/>
        <v>10</v>
      </c>
      <c r="AN38" s="191">
        <f t="shared" si="8"/>
        <v>25</v>
      </c>
      <c r="AO38" s="199">
        <f t="shared" si="9"/>
        <v>30</v>
      </c>
      <c r="AP38" s="199">
        <f t="shared" si="10"/>
        <v>45</v>
      </c>
      <c r="AQ38" s="191">
        <f t="shared" si="14"/>
        <v>0.75</v>
      </c>
      <c r="AR38" s="191">
        <f t="shared" si="11"/>
        <v>0.25</v>
      </c>
      <c r="AT38" s="223">
        <v>0.75</v>
      </c>
      <c r="AU38" s="223">
        <v>0.75</v>
      </c>
      <c r="AV38" s="191">
        <v>40</v>
      </c>
      <c r="AW38" s="191">
        <v>7</v>
      </c>
      <c r="AX38" s="191">
        <v>18</v>
      </c>
    </row>
    <row r="39" spans="1:50" x14ac:dyDescent="0.25">
      <c r="AA39" s="192">
        <f>MATCH(Input!$C$43,$C$5:$U$5,1)</f>
        <v>19</v>
      </c>
      <c r="AB39" s="192">
        <f t="shared" si="15"/>
        <v>34</v>
      </c>
      <c r="AC39" s="191">
        <f t="shared" si="2"/>
        <v>1</v>
      </c>
      <c r="AD39" s="191">
        <f t="shared" si="3"/>
        <v>0.04</v>
      </c>
      <c r="AE39" s="191">
        <f t="shared" si="4"/>
        <v>1</v>
      </c>
      <c r="AF39" s="191">
        <f t="shared" si="5"/>
        <v>0.20399999999999999</v>
      </c>
      <c r="AH39" s="192">
        <f t="shared" ref="AH39:AI54" si="16">AH38+1</f>
        <v>79</v>
      </c>
      <c r="AI39" s="192">
        <f t="shared" si="16"/>
        <v>34</v>
      </c>
      <c r="AJ39" s="192">
        <f>MATCH(Input!$C$43,$AT$5:$AT$52,1)</f>
        <v>48</v>
      </c>
      <c r="AK39" s="191">
        <f t="shared" si="6"/>
        <v>50</v>
      </c>
      <c r="AL39" s="199">
        <f>MIN(AK39,Input!$C$44)</f>
        <v>20</v>
      </c>
      <c r="AM39" s="191">
        <f t="shared" si="7"/>
        <v>10</v>
      </c>
      <c r="AN39" s="191">
        <f t="shared" si="8"/>
        <v>25</v>
      </c>
      <c r="AO39" s="199">
        <f t="shared" si="9"/>
        <v>30</v>
      </c>
      <c r="AP39" s="199">
        <f t="shared" si="10"/>
        <v>45</v>
      </c>
      <c r="AQ39" s="191">
        <f t="shared" si="14"/>
        <v>0.6875</v>
      </c>
      <c r="AR39" s="191">
        <f t="shared" si="11"/>
        <v>0.3125</v>
      </c>
      <c r="AT39" s="223">
        <v>0.76</v>
      </c>
      <c r="AU39" s="223">
        <v>0.76</v>
      </c>
      <c r="AV39" s="191">
        <v>41</v>
      </c>
      <c r="AW39" s="191">
        <v>7</v>
      </c>
      <c r="AX39" s="191">
        <v>19</v>
      </c>
    </row>
    <row r="40" spans="1:50" x14ac:dyDescent="0.25">
      <c r="AA40" s="192">
        <f>MATCH(Input!$C$43,$C$5:$U$5,1)</f>
        <v>19</v>
      </c>
      <c r="AB40" s="192">
        <f t="shared" si="15"/>
        <v>35</v>
      </c>
      <c r="AC40" s="191">
        <f t="shared" si="2"/>
        <v>1</v>
      </c>
      <c r="AD40" s="191">
        <f t="shared" si="3"/>
        <v>0.04</v>
      </c>
      <c r="AE40" s="191">
        <f t="shared" si="4"/>
        <v>1</v>
      </c>
      <c r="AF40" s="191">
        <f t="shared" si="5"/>
        <v>0.20399999999999999</v>
      </c>
      <c r="AH40" s="192">
        <f t="shared" si="16"/>
        <v>80</v>
      </c>
      <c r="AI40" s="192">
        <f t="shared" si="16"/>
        <v>35</v>
      </c>
      <c r="AJ40" s="192">
        <f>MATCH(Input!$C$43,$AT$5:$AT$52,1)</f>
        <v>48</v>
      </c>
      <c r="AK40" s="191">
        <f t="shared" si="6"/>
        <v>50</v>
      </c>
      <c r="AL40" s="199">
        <f>MIN(AK40,Input!$C$44)</f>
        <v>20</v>
      </c>
      <c r="AM40" s="191">
        <f t="shared" si="7"/>
        <v>10</v>
      </c>
      <c r="AN40" s="191">
        <f t="shared" si="8"/>
        <v>25</v>
      </c>
      <c r="AO40" s="199">
        <f t="shared" si="9"/>
        <v>30</v>
      </c>
      <c r="AP40" s="199">
        <f t="shared" si="10"/>
        <v>45</v>
      </c>
      <c r="AQ40" s="191">
        <f t="shared" si="14"/>
        <v>0.625</v>
      </c>
      <c r="AR40" s="191">
        <f t="shared" si="11"/>
        <v>0.375</v>
      </c>
      <c r="AT40" s="223">
        <v>0.77</v>
      </c>
      <c r="AU40" s="223">
        <v>0.77</v>
      </c>
      <c r="AV40" s="191">
        <v>42</v>
      </c>
      <c r="AW40" s="191">
        <v>8</v>
      </c>
      <c r="AX40" s="191">
        <v>19</v>
      </c>
    </row>
    <row r="41" spans="1:50" x14ac:dyDescent="0.25">
      <c r="AA41" s="192">
        <f>MATCH(Input!$C$43,$C$5:$U$5,1)</f>
        <v>19</v>
      </c>
      <c r="AB41" s="192">
        <f t="shared" si="15"/>
        <v>36</v>
      </c>
      <c r="AC41" s="191">
        <f t="shared" si="2"/>
        <v>1</v>
      </c>
      <c r="AD41" s="191">
        <f t="shared" si="3"/>
        <v>0.04</v>
      </c>
      <c r="AE41" s="191">
        <f t="shared" si="4"/>
        <v>1</v>
      </c>
      <c r="AF41" s="191">
        <f t="shared" si="5"/>
        <v>0.20399999999999999</v>
      </c>
      <c r="AH41" s="192">
        <f t="shared" si="16"/>
        <v>81</v>
      </c>
      <c r="AI41" s="192">
        <f t="shared" si="16"/>
        <v>36</v>
      </c>
      <c r="AJ41" s="192">
        <f>MATCH(Input!$C$43,$AT$5:$AT$52,1)</f>
        <v>48</v>
      </c>
      <c r="AK41" s="191">
        <f t="shared" si="6"/>
        <v>50</v>
      </c>
      <c r="AL41" s="199">
        <f>MIN(AK41,Input!$C$44)</f>
        <v>20</v>
      </c>
      <c r="AM41" s="191">
        <f t="shared" si="7"/>
        <v>10</v>
      </c>
      <c r="AN41" s="191">
        <f t="shared" si="8"/>
        <v>25</v>
      </c>
      <c r="AO41" s="199">
        <f t="shared" si="9"/>
        <v>30</v>
      </c>
      <c r="AP41" s="199">
        <f t="shared" si="10"/>
        <v>45</v>
      </c>
      <c r="AQ41" s="191">
        <f t="shared" si="14"/>
        <v>0.5625</v>
      </c>
      <c r="AR41" s="191">
        <f t="shared" si="11"/>
        <v>0.4375</v>
      </c>
      <c r="AT41" s="223">
        <v>0.78</v>
      </c>
      <c r="AU41" s="223">
        <v>0.78</v>
      </c>
      <c r="AV41" s="191">
        <v>43</v>
      </c>
      <c r="AW41" s="191">
        <v>8</v>
      </c>
      <c r="AX41" s="191">
        <v>19</v>
      </c>
    </row>
    <row r="42" spans="1:50" x14ac:dyDescent="0.25">
      <c r="X42" s="2"/>
      <c r="AA42" s="192">
        <f>MATCH(Input!$C$43,$C$5:$U$5,1)</f>
        <v>19</v>
      </c>
      <c r="AB42" s="192">
        <f t="shared" si="15"/>
        <v>37</v>
      </c>
      <c r="AC42" s="191">
        <f t="shared" si="2"/>
        <v>1</v>
      </c>
      <c r="AD42" s="191">
        <f t="shared" si="3"/>
        <v>0.04</v>
      </c>
      <c r="AE42" s="191">
        <f t="shared" si="4"/>
        <v>1</v>
      </c>
      <c r="AF42" s="191">
        <f t="shared" si="5"/>
        <v>0.20399999999999999</v>
      </c>
      <c r="AH42" s="192">
        <f t="shared" si="16"/>
        <v>82</v>
      </c>
      <c r="AI42" s="192">
        <f t="shared" si="16"/>
        <v>37</v>
      </c>
      <c r="AJ42" s="192">
        <f>MATCH(Input!$C$43,$AT$5:$AT$52,1)</f>
        <v>48</v>
      </c>
      <c r="AK42" s="191">
        <f t="shared" si="6"/>
        <v>50</v>
      </c>
      <c r="AL42" s="199">
        <f>MIN(AK42,Input!$C$44)</f>
        <v>20</v>
      </c>
      <c r="AM42" s="191">
        <f t="shared" si="7"/>
        <v>10</v>
      </c>
      <c r="AN42" s="191">
        <f t="shared" si="8"/>
        <v>25</v>
      </c>
      <c r="AO42" s="199">
        <f t="shared" si="9"/>
        <v>30</v>
      </c>
      <c r="AP42" s="199">
        <f t="shared" si="10"/>
        <v>45</v>
      </c>
      <c r="AQ42" s="191">
        <f t="shared" si="14"/>
        <v>0.5</v>
      </c>
      <c r="AR42" s="191">
        <f t="shared" si="11"/>
        <v>0.5</v>
      </c>
      <c r="AT42" s="223">
        <v>0.79</v>
      </c>
      <c r="AU42" s="223">
        <v>0.79</v>
      </c>
      <c r="AV42" s="191">
        <v>44</v>
      </c>
      <c r="AW42" s="191">
        <v>8</v>
      </c>
      <c r="AX42" s="191">
        <v>20</v>
      </c>
    </row>
    <row r="43" spans="1:50" x14ac:dyDescent="0.25">
      <c r="AA43" s="192">
        <f>MATCH(Input!$C$43,$C$5:$U$5,1)</f>
        <v>19</v>
      </c>
      <c r="AB43" s="192">
        <f t="shared" si="15"/>
        <v>38</v>
      </c>
      <c r="AC43" s="191">
        <f t="shared" si="2"/>
        <v>1</v>
      </c>
      <c r="AD43" s="191">
        <f t="shared" si="3"/>
        <v>0.04</v>
      </c>
      <c r="AE43" s="191">
        <f t="shared" si="4"/>
        <v>1</v>
      </c>
      <c r="AF43" s="191">
        <f t="shared" si="5"/>
        <v>0.20399999999999999</v>
      </c>
      <c r="AH43" s="192">
        <f t="shared" si="16"/>
        <v>83</v>
      </c>
      <c r="AI43" s="192">
        <f t="shared" si="16"/>
        <v>38</v>
      </c>
      <c r="AJ43" s="192">
        <f>MATCH(Input!$C$43,$AT$5:$AT$52,1)</f>
        <v>48</v>
      </c>
      <c r="AK43" s="191">
        <f t="shared" si="6"/>
        <v>50</v>
      </c>
      <c r="AL43" s="199">
        <f>MIN(AK43,Input!$C$44)</f>
        <v>20</v>
      </c>
      <c r="AM43" s="191">
        <f t="shared" si="7"/>
        <v>10</v>
      </c>
      <c r="AN43" s="191">
        <f t="shared" si="8"/>
        <v>25</v>
      </c>
      <c r="AO43" s="199">
        <f t="shared" si="9"/>
        <v>30</v>
      </c>
      <c r="AP43" s="199">
        <f t="shared" si="10"/>
        <v>45</v>
      </c>
      <c r="AQ43" s="191">
        <f t="shared" si="14"/>
        <v>0.4375</v>
      </c>
      <c r="AR43" s="191">
        <f t="shared" si="11"/>
        <v>0.5625</v>
      </c>
      <c r="AT43" s="223">
        <v>0.8</v>
      </c>
      <c r="AU43" s="223">
        <v>0.8</v>
      </c>
      <c r="AV43" s="191">
        <v>45</v>
      </c>
      <c r="AW43" s="191">
        <v>8</v>
      </c>
      <c r="AX43" s="191">
        <v>20</v>
      </c>
    </row>
    <row r="44" spans="1:50" x14ac:dyDescent="0.25">
      <c r="AA44" s="192">
        <f>MATCH(Input!$C$43,$C$5:$U$5,1)</f>
        <v>19</v>
      </c>
      <c r="AB44" s="192">
        <f t="shared" si="15"/>
        <v>39</v>
      </c>
      <c r="AC44" s="191">
        <f t="shared" si="2"/>
        <v>1</v>
      </c>
      <c r="AD44" s="191">
        <f t="shared" si="3"/>
        <v>0.04</v>
      </c>
      <c r="AE44" s="191">
        <f t="shared" si="4"/>
        <v>1</v>
      </c>
      <c r="AF44" s="191">
        <f t="shared" si="5"/>
        <v>0.20399999999999999</v>
      </c>
      <c r="AH44" s="192">
        <f t="shared" si="16"/>
        <v>84</v>
      </c>
      <c r="AI44" s="192">
        <f t="shared" si="16"/>
        <v>39</v>
      </c>
      <c r="AJ44" s="192">
        <f>MATCH(Input!$C$43,$AT$5:$AT$52,1)</f>
        <v>48</v>
      </c>
      <c r="AK44" s="191">
        <f t="shared" si="6"/>
        <v>50</v>
      </c>
      <c r="AL44" s="199">
        <f>MIN(AK44,Input!$C$44)</f>
        <v>20</v>
      </c>
      <c r="AM44" s="191">
        <f t="shared" si="7"/>
        <v>10</v>
      </c>
      <c r="AN44" s="191">
        <f t="shared" si="8"/>
        <v>25</v>
      </c>
      <c r="AO44" s="199">
        <f t="shared" si="9"/>
        <v>30</v>
      </c>
      <c r="AP44" s="199">
        <f t="shared" si="10"/>
        <v>45</v>
      </c>
      <c r="AQ44" s="191">
        <f t="shared" si="14"/>
        <v>0.375</v>
      </c>
      <c r="AR44" s="191">
        <f t="shared" si="11"/>
        <v>0.625</v>
      </c>
      <c r="AT44" s="223">
        <v>0.81</v>
      </c>
      <c r="AU44" s="223">
        <v>0.81</v>
      </c>
      <c r="AV44" s="191">
        <v>46</v>
      </c>
      <c r="AW44" s="191">
        <v>8</v>
      </c>
      <c r="AX44" s="191">
        <v>20</v>
      </c>
    </row>
    <row r="45" spans="1:50" x14ac:dyDescent="0.25">
      <c r="AA45" s="192">
        <f>MATCH(Input!$C$43,$C$5:$U$5,1)</f>
        <v>19</v>
      </c>
      <c r="AB45" s="192">
        <f t="shared" si="15"/>
        <v>40</v>
      </c>
      <c r="AC45" s="191">
        <f t="shared" si="2"/>
        <v>1</v>
      </c>
      <c r="AD45" s="191">
        <f t="shared" si="3"/>
        <v>0.04</v>
      </c>
      <c r="AE45" s="191">
        <f t="shared" si="4"/>
        <v>1</v>
      </c>
      <c r="AF45" s="191">
        <f t="shared" si="5"/>
        <v>0.20399999999999999</v>
      </c>
      <c r="AH45" s="192">
        <f t="shared" si="16"/>
        <v>85</v>
      </c>
      <c r="AI45" s="192">
        <f t="shared" si="16"/>
        <v>40</v>
      </c>
      <c r="AJ45" s="192">
        <f>MATCH(Input!$C$43,$AT$5:$AT$52,1)</f>
        <v>48</v>
      </c>
      <c r="AK45" s="191">
        <f t="shared" si="6"/>
        <v>50</v>
      </c>
      <c r="AL45" s="199">
        <f>MIN(AK45,Input!$C$44)</f>
        <v>20</v>
      </c>
      <c r="AM45" s="191">
        <f t="shared" si="7"/>
        <v>10</v>
      </c>
      <c r="AN45" s="191">
        <f t="shared" si="8"/>
        <v>25</v>
      </c>
      <c r="AO45" s="199">
        <f t="shared" si="9"/>
        <v>30</v>
      </c>
      <c r="AP45" s="199">
        <f t="shared" si="10"/>
        <v>45</v>
      </c>
      <c r="AQ45" s="191">
        <f t="shared" si="14"/>
        <v>0.3125</v>
      </c>
      <c r="AR45" s="191">
        <f t="shared" si="11"/>
        <v>0.6875</v>
      </c>
      <c r="AT45" s="223">
        <v>0.82000000000000006</v>
      </c>
      <c r="AU45" s="223">
        <v>0.82000000000000006</v>
      </c>
      <c r="AV45" s="191">
        <v>47</v>
      </c>
      <c r="AW45" s="191">
        <v>8</v>
      </c>
      <c r="AX45" s="191">
        <v>21</v>
      </c>
    </row>
    <row r="46" spans="1:50" x14ac:dyDescent="0.25">
      <c r="AA46" s="192">
        <f>MATCH(Input!$C$43,$C$5:$U$5,1)</f>
        <v>19</v>
      </c>
      <c r="AB46" s="192">
        <f t="shared" si="15"/>
        <v>41</v>
      </c>
      <c r="AC46" s="191">
        <f t="shared" si="2"/>
        <v>1</v>
      </c>
      <c r="AD46" s="191">
        <f t="shared" si="3"/>
        <v>0.04</v>
      </c>
      <c r="AE46" s="191">
        <f t="shared" si="4"/>
        <v>1</v>
      </c>
      <c r="AF46" s="191">
        <f t="shared" si="5"/>
        <v>0.20399999999999999</v>
      </c>
      <c r="AH46" s="192">
        <f t="shared" si="16"/>
        <v>86</v>
      </c>
      <c r="AI46" s="192">
        <f t="shared" si="16"/>
        <v>41</v>
      </c>
      <c r="AJ46" s="192">
        <f>MATCH(Input!$C$43,$AT$5:$AT$52,1)</f>
        <v>48</v>
      </c>
      <c r="AK46" s="191">
        <f t="shared" si="6"/>
        <v>50</v>
      </c>
      <c r="AL46" s="199">
        <f>MIN(AK46,Input!$C$44)</f>
        <v>20</v>
      </c>
      <c r="AM46" s="191">
        <f t="shared" si="7"/>
        <v>10</v>
      </c>
      <c r="AN46" s="191">
        <f t="shared" si="8"/>
        <v>25</v>
      </c>
      <c r="AO46" s="199">
        <f t="shared" si="9"/>
        <v>30</v>
      </c>
      <c r="AP46" s="199">
        <f t="shared" si="10"/>
        <v>45</v>
      </c>
      <c r="AQ46" s="191">
        <f t="shared" si="14"/>
        <v>0.25</v>
      </c>
      <c r="AR46" s="191">
        <f t="shared" si="11"/>
        <v>0.75</v>
      </c>
      <c r="AT46" s="223">
        <v>0.83000000000000007</v>
      </c>
      <c r="AU46" s="223">
        <v>0.83000000000000007</v>
      </c>
      <c r="AV46" s="191">
        <v>48</v>
      </c>
      <c r="AW46" s="191">
        <v>9</v>
      </c>
      <c r="AX46" s="191">
        <v>21</v>
      </c>
    </row>
    <row r="47" spans="1:50" x14ac:dyDescent="0.25">
      <c r="AA47" s="192">
        <f>MATCH(Input!$C$43,$C$5:$U$5,1)</f>
        <v>19</v>
      </c>
      <c r="AB47" s="192">
        <f t="shared" si="15"/>
        <v>42</v>
      </c>
      <c r="AC47" s="191">
        <f t="shared" si="2"/>
        <v>1</v>
      </c>
      <c r="AD47" s="191">
        <f t="shared" si="3"/>
        <v>0.04</v>
      </c>
      <c r="AE47" s="191">
        <f t="shared" si="4"/>
        <v>1</v>
      </c>
      <c r="AF47" s="191">
        <f t="shared" si="5"/>
        <v>0.20399999999999999</v>
      </c>
      <c r="AH47" s="192">
        <f t="shared" si="16"/>
        <v>87</v>
      </c>
      <c r="AI47" s="192">
        <f t="shared" si="16"/>
        <v>42</v>
      </c>
      <c r="AJ47" s="192">
        <f>MATCH(Input!$C$43,$AT$5:$AT$52,1)</f>
        <v>48</v>
      </c>
      <c r="AK47" s="191">
        <f t="shared" si="6"/>
        <v>50</v>
      </c>
      <c r="AL47" s="199">
        <f>MIN(AK47,Input!$C$44)</f>
        <v>20</v>
      </c>
      <c r="AM47" s="191">
        <f t="shared" si="7"/>
        <v>10</v>
      </c>
      <c r="AN47" s="191">
        <f t="shared" si="8"/>
        <v>25</v>
      </c>
      <c r="AO47" s="199">
        <f t="shared" si="9"/>
        <v>30</v>
      </c>
      <c r="AP47" s="199">
        <f t="shared" si="10"/>
        <v>45</v>
      </c>
      <c r="AQ47" s="191">
        <f t="shared" si="14"/>
        <v>0.1875</v>
      </c>
      <c r="AR47" s="191">
        <f t="shared" si="11"/>
        <v>0.8125</v>
      </c>
      <c r="AT47" s="223">
        <v>0.84000000000000008</v>
      </c>
      <c r="AU47" s="223">
        <v>0.84000000000000008</v>
      </c>
      <c r="AV47" s="191">
        <v>49</v>
      </c>
      <c r="AW47" s="191">
        <v>9</v>
      </c>
      <c r="AX47" s="191">
        <v>21</v>
      </c>
    </row>
    <row r="48" spans="1:50" x14ac:dyDescent="0.25">
      <c r="AA48" s="192">
        <f>MATCH(Input!$C$43,$C$5:$U$5,1)</f>
        <v>19</v>
      </c>
      <c r="AB48" s="192">
        <f t="shared" si="15"/>
        <v>43</v>
      </c>
      <c r="AC48" s="191">
        <f t="shared" si="2"/>
        <v>1</v>
      </c>
      <c r="AD48" s="191">
        <f t="shared" si="3"/>
        <v>0.04</v>
      </c>
      <c r="AE48" s="191">
        <f t="shared" si="4"/>
        <v>1</v>
      </c>
      <c r="AF48" s="191">
        <f t="shared" si="5"/>
        <v>0.20399999999999999</v>
      </c>
      <c r="AH48" s="192">
        <f t="shared" si="16"/>
        <v>88</v>
      </c>
      <c r="AI48" s="192">
        <f t="shared" si="16"/>
        <v>43</v>
      </c>
      <c r="AJ48" s="192">
        <f>MATCH(Input!$C$43,$AT$5:$AT$52,1)</f>
        <v>48</v>
      </c>
      <c r="AK48" s="191">
        <f t="shared" si="6"/>
        <v>50</v>
      </c>
      <c r="AL48" s="199">
        <f>MIN(AK48,Input!$C$44)</f>
        <v>20</v>
      </c>
      <c r="AM48" s="191">
        <f t="shared" si="7"/>
        <v>10</v>
      </c>
      <c r="AN48" s="191">
        <f t="shared" si="8"/>
        <v>25</v>
      </c>
      <c r="AO48" s="199">
        <f t="shared" si="9"/>
        <v>30</v>
      </c>
      <c r="AP48" s="199">
        <f t="shared" si="10"/>
        <v>45</v>
      </c>
      <c r="AQ48" s="191">
        <f t="shared" si="14"/>
        <v>0.125</v>
      </c>
      <c r="AR48" s="191">
        <f t="shared" si="11"/>
        <v>0.875</v>
      </c>
      <c r="AT48" s="223">
        <v>0.85000000000000009</v>
      </c>
      <c r="AU48" s="192" t="s">
        <v>499</v>
      </c>
      <c r="AV48" s="191">
        <v>50</v>
      </c>
      <c r="AW48" s="191">
        <v>9</v>
      </c>
      <c r="AX48" s="191">
        <v>22</v>
      </c>
    </row>
    <row r="49" spans="27:50" x14ac:dyDescent="0.25">
      <c r="AA49" s="192">
        <f>MATCH(Input!$C$43,$C$5:$U$5,1)</f>
        <v>19</v>
      </c>
      <c r="AB49" s="192">
        <f t="shared" si="15"/>
        <v>44</v>
      </c>
      <c r="AC49" s="191">
        <f t="shared" si="2"/>
        <v>1</v>
      </c>
      <c r="AD49" s="191">
        <f t="shared" si="3"/>
        <v>0.04</v>
      </c>
      <c r="AE49" s="191">
        <f t="shared" si="4"/>
        <v>1</v>
      </c>
      <c r="AF49" s="191">
        <f t="shared" si="5"/>
        <v>0.20399999999999999</v>
      </c>
      <c r="AH49" s="192">
        <f t="shared" si="16"/>
        <v>89</v>
      </c>
      <c r="AI49" s="192">
        <f t="shared" si="16"/>
        <v>44</v>
      </c>
      <c r="AJ49" s="192">
        <f>MATCH(Input!$C$43,$AT$5:$AT$52,1)</f>
        <v>48</v>
      </c>
      <c r="AK49" s="191">
        <f t="shared" si="6"/>
        <v>50</v>
      </c>
      <c r="AL49" s="199">
        <f>MIN(AK49,Input!$C$44)</f>
        <v>20</v>
      </c>
      <c r="AM49" s="191">
        <f t="shared" si="7"/>
        <v>10</v>
      </c>
      <c r="AN49" s="191">
        <f t="shared" si="8"/>
        <v>25</v>
      </c>
      <c r="AO49" s="199">
        <f t="shared" si="9"/>
        <v>30</v>
      </c>
      <c r="AP49" s="199">
        <f t="shared" si="10"/>
        <v>45</v>
      </c>
      <c r="AQ49" s="191">
        <f t="shared" si="14"/>
        <v>6.25E-2</v>
      </c>
      <c r="AR49" s="191">
        <f t="shared" si="11"/>
        <v>0.9375</v>
      </c>
      <c r="AT49" s="223">
        <v>0.88</v>
      </c>
      <c r="AU49" s="192" t="s">
        <v>500</v>
      </c>
      <c r="AV49" s="191">
        <v>50</v>
      </c>
      <c r="AW49" s="191">
        <v>9</v>
      </c>
      <c r="AX49" s="191">
        <v>23</v>
      </c>
    </row>
    <row r="50" spans="27:50" x14ac:dyDescent="0.25">
      <c r="AA50" s="192">
        <f>MATCH(Input!$C$43,$C$5:$U$5,1)</f>
        <v>19</v>
      </c>
      <c r="AB50" s="192">
        <f t="shared" si="15"/>
        <v>45</v>
      </c>
      <c r="AC50" s="191">
        <f t="shared" si="2"/>
        <v>1</v>
      </c>
      <c r="AD50" s="191">
        <f t="shared" si="3"/>
        <v>0.04</v>
      </c>
      <c r="AE50" s="191">
        <f t="shared" si="4"/>
        <v>1</v>
      </c>
      <c r="AF50" s="191">
        <f t="shared" si="5"/>
        <v>0.20399999999999999</v>
      </c>
      <c r="AH50" s="192">
        <f t="shared" si="16"/>
        <v>90</v>
      </c>
      <c r="AI50" s="192">
        <f t="shared" si="16"/>
        <v>45</v>
      </c>
      <c r="AJ50" s="192">
        <f>MATCH(Input!$C$43,$AT$5:$AT$52,1)</f>
        <v>48</v>
      </c>
      <c r="AK50" s="191">
        <f t="shared" si="6"/>
        <v>50</v>
      </c>
      <c r="AL50" s="199">
        <f>MIN(AK50,Input!$C$44)</f>
        <v>20</v>
      </c>
      <c r="AM50" s="191">
        <f t="shared" si="7"/>
        <v>10</v>
      </c>
      <c r="AN50" s="191">
        <f t="shared" si="8"/>
        <v>25</v>
      </c>
      <c r="AO50" s="199">
        <f t="shared" si="9"/>
        <v>30</v>
      </c>
      <c r="AP50" s="199">
        <f t="shared" si="10"/>
        <v>45</v>
      </c>
      <c r="AQ50" s="191">
        <f t="shared" si="14"/>
        <v>0</v>
      </c>
      <c r="AR50" s="191">
        <f t="shared" si="11"/>
        <v>1</v>
      </c>
      <c r="AT50" s="223">
        <v>0.9</v>
      </c>
      <c r="AU50" s="223">
        <v>0.9</v>
      </c>
      <c r="AV50" s="191">
        <v>50</v>
      </c>
      <c r="AW50" s="191">
        <v>10</v>
      </c>
      <c r="AX50" s="191">
        <v>23</v>
      </c>
    </row>
    <row r="51" spans="27:50" x14ac:dyDescent="0.25">
      <c r="AA51" s="192">
        <f>MATCH(Input!$C$43,$C$5:$U$5,1)</f>
        <v>19</v>
      </c>
      <c r="AB51" s="192">
        <f t="shared" si="15"/>
        <v>46</v>
      </c>
      <c r="AC51" s="191">
        <f t="shared" si="2"/>
        <v>2</v>
      </c>
      <c r="AD51" s="191">
        <f t="shared" si="3"/>
        <v>0.04</v>
      </c>
      <c r="AE51" s="191">
        <f t="shared" si="4"/>
        <v>2</v>
      </c>
      <c r="AF51" s="191">
        <f t="shared" si="5"/>
        <v>0.20200000000000001</v>
      </c>
      <c r="AH51" s="192">
        <f t="shared" si="16"/>
        <v>91</v>
      </c>
      <c r="AI51" s="192">
        <f t="shared" si="16"/>
        <v>46</v>
      </c>
      <c r="AJ51" s="192">
        <f>MATCH(Input!$C$43,$AT$5:$AT$52,1)</f>
        <v>48</v>
      </c>
      <c r="AK51" s="191">
        <f t="shared" si="6"/>
        <v>50</v>
      </c>
      <c r="AL51" s="199">
        <f>MIN(AK51,Input!$C$44)</f>
        <v>20</v>
      </c>
      <c r="AM51" s="191">
        <f t="shared" si="7"/>
        <v>10</v>
      </c>
      <c r="AN51" s="191">
        <f t="shared" si="8"/>
        <v>25</v>
      </c>
      <c r="AO51" s="199">
        <f t="shared" si="9"/>
        <v>30</v>
      </c>
      <c r="AP51" s="199">
        <f t="shared" si="10"/>
        <v>45</v>
      </c>
      <c r="AQ51" s="191">
        <f t="shared" si="14"/>
        <v>0</v>
      </c>
      <c r="AR51" s="191">
        <f t="shared" si="11"/>
        <v>1</v>
      </c>
      <c r="AT51" s="223">
        <v>0.91</v>
      </c>
      <c r="AU51" s="192" t="s">
        <v>501</v>
      </c>
      <c r="AV51" s="191">
        <v>50</v>
      </c>
      <c r="AW51" s="191">
        <v>10</v>
      </c>
      <c r="AX51" s="191">
        <v>24</v>
      </c>
    </row>
    <row r="52" spans="27:50" x14ac:dyDescent="0.25">
      <c r="AA52" s="192">
        <f>MATCH(Input!$C$43,$C$5:$U$5,1)</f>
        <v>19</v>
      </c>
      <c r="AB52" s="192">
        <f t="shared" si="15"/>
        <v>47</v>
      </c>
      <c r="AC52" s="191">
        <f t="shared" si="2"/>
        <v>2</v>
      </c>
      <c r="AD52" s="191">
        <f t="shared" si="3"/>
        <v>0.04</v>
      </c>
      <c r="AE52" s="191">
        <f t="shared" si="4"/>
        <v>2</v>
      </c>
      <c r="AF52" s="191">
        <f t="shared" si="5"/>
        <v>0.20200000000000001</v>
      </c>
      <c r="AH52" s="192">
        <f t="shared" si="16"/>
        <v>92</v>
      </c>
      <c r="AI52" s="192">
        <f t="shared" si="16"/>
        <v>47</v>
      </c>
      <c r="AJ52" s="192">
        <f>MATCH(Input!$C$43,$AT$5:$AT$52,1)</f>
        <v>48</v>
      </c>
      <c r="AK52" s="191">
        <f t="shared" si="6"/>
        <v>50</v>
      </c>
      <c r="AL52" s="199">
        <f>MIN(AK52,Input!$C$44)</f>
        <v>20</v>
      </c>
      <c r="AM52" s="191">
        <f t="shared" si="7"/>
        <v>10</v>
      </c>
      <c r="AN52" s="191">
        <f t="shared" si="8"/>
        <v>25</v>
      </c>
      <c r="AO52" s="199">
        <f t="shared" si="9"/>
        <v>30</v>
      </c>
      <c r="AP52" s="199">
        <f t="shared" si="10"/>
        <v>45</v>
      </c>
      <c r="AQ52" s="191">
        <f t="shared" si="14"/>
        <v>0</v>
      </c>
      <c r="AR52" s="191">
        <f t="shared" si="11"/>
        <v>1</v>
      </c>
      <c r="AT52" s="223">
        <v>0.94</v>
      </c>
      <c r="AU52" s="192" t="s">
        <v>502</v>
      </c>
      <c r="AV52" s="191">
        <v>50</v>
      </c>
      <c r="AW52" s="191">
        <v>10</v>
      </c>
      <c r="AX52" s="191">
        <v>25</v>
      </c>
    </row>
    <row r="53" spans="27:50" x14ac:dyDescent="0.25">
      <c r="AA53" s="192">
        <f>MATCH(Input!$C$43,$C$5:$U$5,1)</f>
        <v>19</v>
      </c>
      <c r="AB53" s="192">
        <f t="shared" si="15"/>
        <v>48</v>
      </c>
      <c r="AC53" s="191">
        <f t="shared" si="2"/>
        <v>3</v>
      </c>
      <c r="AD53" s="191">
        <f t="shared" si="3"/>
        <v>3.9E-2</v>
      </c>
      <c r="AE53" s="191">
        <f t="shared" si="4"/>
        <v>3</v>
      </c>
      <c r="AF53" s="191">
        <f t="shared" si="5"/>
        <v>0.2</v>
      </c>
      <c r="AH53" s="192">
        <f t="shared" si="16"/>
        <v>93</v>
      </c>
      <c r="AI53" s="192">
        <f t="shared" si="16"/>
        <v>48</v>
      </c>
      <c r="AJ53" s="192">
        <f>MATCH(Input!$C$43,$AT$5:$AT$52,1)</f>
        <v>48</v>
      </c>
      <c r="AK53" s="191">
        <f t="shared" si="6"/>
        <v>50</v>
      </c>
      <c r="AL53" s="199">
        <f>MIN(AK53,Input!$C$44)</f>
        <v>20</v>
      </c>
      <c r="AM53" s="191">
        <f t="shared" si="7"/>
        <v>10</v>
      </c>
      <c r="AN53" s="191">
        <f t="shared" si="8"/>
        <v>25</v>
      </c>
      <c r="AO53" s="199">
        <f t="shared" si="9"/>
        <v>30</v>
      </c>
      <c r="AP53" s="199">
        <f t="shared" si="10"/>
        <v>45</v>
      </c>
      <c r="AQ53" s="191">
        <f t="shared" si="14"/>
        <v>0</v>
      </c>
      <c r="AR53" s="191">
        <f t="shared" si="11"/>
        <v>1</v>
      </c>
    </row>
    <row r="54" spans="27:50" x14ac:dyDescent="0.25">
      <c r="AA54" s="192">
        <f>MATCH(Input!$C$43,$C$5:$U$5,1)</f>
        <v>19</v>
      </c>
      <c r="AB54" s="192">
        <f t="shared" si="15"/>
        <v>49</v>
      </c>
      <c r="AC54" s="191">
        <f t="shared" si="2"/>
        <v>3</v>
      </c>
      <c r="AD54" s="191">
        <f t="shared" si="3"/>
        <v>3.9E-2</v>
      </c>
      <c r="AE54" s="191">
        <f t="shared" si="4"/>
        <v>3</v>
      </c>
      <c r="AF54" s="191">
        <f t="shared" si="5"/>
        <v>0.2</v>
      </c>
      <c r="AH54" s="192">
        <f t="shared" si="16"/>
        <v>94</v>
      </c>
      <c r="AI54" s="192">
        <f t="shared" si="16"/>
        <v>49</v>
      </c>
      <c r="AJ54" s="192">
        <f>MATCH(Input!$C$43,$AT$5:$AT$52,1)</f>
        <v>48</v>
      </c>
      <c r="AK54" s="191">
        <f t="shared" si="6"/>
        <v>50</v>
      </c>
      <c r="AL54" s="199">
        <f>MIN(AK54,Input!$C$44)</f>
        <v>20</v>
      </c>
      <c r="AM54" s="191">
        <f t="shared" si="7"/>
        <v>10</v>
      </c>
      <c r="AN54" s="191">
        <f t="shared" si="8"/>
        <v>25</v>
      </c>
      <c r="AO54" s="199">
        <f t="shared" si="9"/>
        <v>30</v>
      </c>
      <c r="AP54" s="199">
        <f t="shared" si="10"/>
        <v>45</v>
      </c>
      <c r="AQ54" s="191">
        <f t="shared" si="14"/>
        <v>0</v>
      </c>
      <c r="AR54" s="191">
        <f t="shared" si="11"/>
        <v>1</v>
      </c>
    </row>
    <row r="55" spans="27:50" x14ac:dyDescent="0.25">
      <c r="AA55" s="192">
        <f>MATCH(Input!$C$43,$C$5:$U$5,1)</f>
        <v>19</v>
      </c>
      <c r="AB55" s="192">
        <f t="shared" si="15"/>
        <v>50</v>
      </c>
      <c r="AC55" s="191">
        <f t="shared" si="2"/>
        <v>4</v>
      </c>
      <c r="AD55" s="191">
        <f t="shared" si="3"/>
        <v>3.9E-2</v>
      </c>
      <c r="AE55" s="191">
        <f t="shared" si="4"/>
        <v>4</v>
      </c>
      <c r="AF55" s="191">
        <f t="shared" si="5"/>
        <v>0.19800000000000001</v>
      </c>
      <c r="AH55" s="192">
        <f t="shared" ref="AH55:AI70" si="17">AH54+1</f>
        <v>95</v>
      </c>
      <c r="AI55" s="192">
        <f t="shared" si="17"/>
        <v>50</v>
      </c>
      <c r="AJ55" s="192">
        <f>MATCH(Input!$C$43,$AT$5:$AT$52,1)</f>
        <v>48</v>
      </c>
      <c r="AK55" s="191">
        <f t="shared" si="6"/>
        <v>50</v>
      </c>
      <c r="AL55" s="199">
        <f>MIN(AK55,Input!$C$44)</f>
        <v>20</v>
      </c>
      <c r="AM55" s="191">
        <f t="shared" si="7"/>
        <v>10</v>
      </c>
      <c r="AN55" s="191">
        <f t="shared" si="8"/>
        <v>25</v>
      </c>
      <c r="AO55" s="199">
        <f t="shared" si="9"/>
        <v>30</v>
      </c>
      <c r="AP55" s="199">
        <f t="shared" si="10"/>
        <v>45</v>
      </c>
      <c r="AQ55" s="191">
        <f t="shared" si="14"/>
        <v>0</v>
      </c>
      <c r="AR55" s="191">
        <f t="shared" si="11"/>
        <v>1</v>
      </c>
    </row>
    <row r="56" spans="27:50" x14ac:dyDescent="0.25">
      <c r="AA56" s="192">
        <f>MATCH(Input!$C$43,$C$5:$U$5,1)</f>
        <v>19</v>
      </c>
      <c r="AB56" s="192">
        <f t="shared" si="15"/>
        <v>51</v>
      </c>
      <c r="AC56" s="191">
        <f t="shared" si="2"/>
        <v>4</v>
      </c>
      <c r="AD56" s="191">
        <f t="shared" si="3"/>
        <v>3.9E-2</v>
      </c>
      <c r="AE56" s="191">
        <f t="shared" si="4"/>
        <v>4</v>
      </c>
      <c r="AF56" s="191">
        <f t="shared" si="5"/>
        <v>0.19800000000000001</v>
      </c>
      <c r="AH56" s="192">
        <f t="shared" si="17"/>
        <v>96</v>
      </c>
      <c r="AI56" s="192">
        <f t="shared" si="17"/>
        <v>51</v>
      </c>
      <c r="AJ56" s="192">
        <f>MATCH(Input!$C$43,$AT$5:$AT$52,1)</f>
        <v>48</v>
      </c>
      <c r="AK56" s="191">
        <f t="shared" si="6"/>
        <v>50</v>
      </c>
      <c r="AL56" s="199">
        <f>MIN(AK56,Input!$C$44)</f>
        <v>20</v>
      </c>
      <c r="AM56" s="191">
        <f t="shared" si="7"/>
        <v>10</v>
      </c>
      <c r="AN56" s="191">
        <f t="shared" si="8"/>
        <v>25</v>
      </c>
      <c r="AO56" s="199">
        <f t="shared" si="9"/>
        <v>30</v>
      </c>
      <c r="AP56" s="199">
        <f t="shared" si="10"/>
        <v>45</v>
      </c>
      <c r="AQ56" s="191">
        <f t="shared" si="14"/>
        <v>0</v>
      </c>
      <c r="AR56" s="191">
        <f t="shared" si="11"/>
        <v>1</v>
      </c>
    </row>
    <row r="57" spans="27:50" x14ac:dyDescent="0.25">
      <c r="AA57" s="192">
        <f>MATCH(Input!$C$43,$C$5:$U$5,1)</f>
        <v>19</v>
      </c>
      <c r="AB57" s="192">
        <f t="shared" si="15"/>
        <v>52</v>
      </c>
      <c r="AC57" s="191">
        <f t="shared" si="2"/>
        <v>5</v>
      </c>
      <c r="AD57" s="191">
        <f t="shared" si="3"/>
        <v>3.7999999999999999E-2</v>
      </c>
      <c r="AE57" s="191">
        <f t="shared" si="4"/>
        <v>5</v>
      </c>
      <c r="AF57" s="191">
        <f t="shared" si="5"/>
        <v>0.19600000000000001</v>
      </c>
      <c r="AH57" s="192">
        <f t="shared" si="17"/>
        <v>97</v>
      </c>
      <c r="AI57" s="192">
        <f t="shared" si="17"/>
        <v>52</v>
      </c>
      <c r="AJ57" s="192">
        <f>MATCH(Input!$C$43,$AT$5:$AT$52,1)</f>
        <v>48</v>
      </c>
      <c r="AK57" s="191">
        <f t="shared" si="6"/>
        <v>50</v>
      </c>
      <c r="AL57" s="199">
        <f>MIN(AK57,Input!$C$44)</f>
        <v>20</v>
      </c>
      <c r="AM57" s="191">
        <f t="shared" si="7"/>
        <v>10</v>
      </c>
      <c r="AN57" s="191">
        <f t="shared" si="8"/>
        <v>25</v>
      </c>
      <c r="AO57" s="199">
        <f t="shared" si="9"/>
        <v>30</v>
      </c>
      <c r="AP57" s="199">
        <f t="shared" si="10"/>
        <v>45</v>
      </c>
      <c r="AQ57" s="191">
        <f t="shared" si="14"/>
        <v>0</v>
      </c>
      <c r="AR57" s="191">
        <f t="shared" si="11"/>
        <v>1</v>
      </c>
    </row>
    <row r="58" spans="27:50" x14ac:dyDescent="0.25">
      <c r="AA58" s="192">
        <f>MATCH(Input!$C$43,$C$5:$U$5,1)</f>
        <v>19</v>
      </c>
      <c r="AB58" s="192">
        <f t="shared" si="15"/>
        <v>53</v>
      </c>
      <c r="AC58" s="191">
        <f t="shared" si="2"/>
        <v>5</v>
      </c>
      <c r="AD58" s="191">
        <f t="shared" si="3"/>
        <v>3.7999999999999999E-2</v>
      </c>
      <c r="AE58" s="191">
        <f t="shared" si="4"/>
        <v>5</v>
      </c>
      <c r="AF58" s="191">
        <f t="shared" si="5"/>
        <v>0.19600000000000001</v>
      </c>
      <c r="AH58" s="192">
        <f t="shared" si="17"/>
        <v>98</v>
      </c>
      <c r="AI58" s="192">
        <f t="shared" si="17"/>
        <v>53</v>
      </c>
      <c r="AJ58" s="192">
        <f>MATCH(Input!$C$43,$AT$5:$AT$52,1)</f>
        <v>48</v>
      </c>
      <c r="AK58" s="191">
        <f t="shared" si="6"/>
        <v>50</v>
      </c>
      <c r="AL58" s="199">
        <f>MIN(AK58,Input!$C$44)</f>
        <v>20</v>
      </c>
      <c r="AM58" s="191">
        <f t="shared" si="7"/>
        <v>10</v>
      </c>
      <c r="AN58" s="191">
        <f t="shared" si="8"/>
        <v>25</v>
      </c>
      <c r="AO58" s="199">
        <f t="shared" si="9"/>
        <v>30</v>
      </c>
      <c r="AP58" s="199">
        <f t="shared" si="10"/>
        <v>45</v>
      </c>
      <c r="AQ58" s="191">
        <f t="shared" si="14"/>
        <v>0</v>
      </c>
      <c r="AR58" s="191">
        <f t="shared" si="11"/>
        <v>1</v>
      </c>
    </row>
    <row r="59" spans="27:50" x14ac:dyDescent="0.25">
      <c r="AA59" s="192">
        <f>MATCH(Input!$C$43,$C$5:$U$5,1)</f>
        <v>19</v>
      </c>
      <c r="AB59" s="192">
        <f t="shared" si="15"/>
        <v>54</v>
      </c>
      <c r="AC59" s="191">
        <f t="shared" si="2"/>
        <v>6</v>
      </c>
      <c r="AD59" s="191">
        <f t="shared" si="3"/>
        <v>3.7999999999999999E-2</v>
      </c>
      <c r="AE59" s="191">
        <f t="shared" si="4"/>
        <v>6</v>
      </c>
      <c r="AF59" s="191">
        <f t="shared" si="5"/>
        <v>0.192</v>
      </c>
      <c r="AH59" s="192">
        <f t="shared" si="17"/>
        <v>99</v>
      </c>
      <c r="AI59" s="192">
        <f t="shared" si="17"/>
        <v>54</v>
      </c>
      <c r="AJ59" s="192">
        <f>MATCH(Input!$C$43,$AT$5:$AT$52,1)</f>
        <v>48</v>
      </c>
      <c r="AK59" s="191">
        <f t="shared" si="6"/>
        <v>50</v>
      </c>
      <c r="AL59" s="199">
        <f>MIN(AK59,Input!$C$44)</f>
        <v>20</v>
      </c>
      <c r="AM59" s="191">
        <f t="shared" si="7"/>
        <v>10</v>
      </c>
      <c r="AN59" s="191">
        <f t="shared" si="8"/>
        <v>25</v>
      </c>
      <c r="AO59" s="199">
        <f t="shared" si="9"/>
        <v>30</v>
      </c>
      <c r="AP59" s="199">
        <f t="shared" si="10"/>
        <v>45</v>
      </c>
      <c r="AQ59" s="191">
        <f t="shared" si="14"/>
        <v>0</v>
      </c>
      <c r="AR59" s="191">
        <f t="shared" si="11"/>
        <v>1</v>
      </c>
    </row>
    <row r="60" spans="27:50" x14ac:dyDescent="0.25">
      <c r="AA60" s="192">
        <f>MATCH(Input!$C$43,$C$5:$U$5,1)</f>
        <v>19</v>
      </c>
      <c r="AB60" s="192">
        <f t="shared" si="15"/>
        <v>55</v>
      </c>
      <c r="AC60" s="191">
        <f t="shared" si="2"/>
        <v>6</v>
      </c>
      <c r="AD60" s="191">
        <f t="shared" si="3"/>
        <v>3.7999999999999999E-2</v>
      </c>
      <c r="AE60" s="191">
        <f t="shared" si="4"/>
        <v>6</v>
      </c>
      <c r="AF60" s="191">
        <f t="shared" si="5"/>
        <v>0.192</v>
      </c>
      <c r="AH60" s="192">
        <f t="shared" si="17"/>
        <v>100</v>
      </c>
      <c r="AI60" s="192">
        <f t="shared" si="17"/>
        <v>55</v>
      </c>
      <c r="AJ60" s="192">
        <f>MATCH(Input!$C$43,$AT$5:$AT$52,1)</f>
        <v>48</v>
      </c>
      <c r="AK60" s="191">
        <f t="shared" si="6"/>
        <v>50</v>
      </c>
      <c r="AL60" s="199">
        <f>MIN(AK60,Input!$C$44)</f>
        <v>20</v>
      </c>
      <c r="AM60" s="191">
        <f t="shared" si="7"/>
        <v>10</v>
      </c>
      <c r="AN60" s="191">
        <f t="shared" si="8"/>
        <v>25</v>
      </c>
      <c r="AO60" s="199">
        <f t="shared" si="9"/>
        <v>30</v>
      </c>
      <c r="AP60" s="199">
        <f t="shared" si="10"/>
        <v>45</v>
      </c>
      <c r="AQ60" s="191">
        <f t="shared" si="14"/>
        <v>0</v>
      </c>
      <c r="AR60" s="191">
        <f t="shared" si="11"/>
        <v>1</v>
      </c>
    </row>
    <row r="61" spans="27:50" x14ac:dyDescent="0.25">
      <c r="AA61" s="192">
        <f>MATCH(Input!$C$43,$C$5:$U$5,1)</f>
        <v>19</v>
      </c>
      <c r="AB61" s="192">
        <f t="shared" si="15"/>
        <v>56</v>
      </c>
      <c r="AC61" s="191">
        <f t="shared" si="2"/>
        <v>7</v>
      </c>
      <c r="AD61" s="191">
        <f t="shared" si="3"/>
        <v>3.6999999999999998E-2</v>
      </c>
      <c r="AE61" s="191">
        <f t="shared" si="4"/>
        <v>7</v>
      </c>
      <c r="AF61" s="191">
        <f t="shared" si="5"/>
        <v>0.189</v>
      </c>
      <c r="AH61" s="192">
        <f t="shared" si="17"/>
        <v>101</v>
      </c>
      <c r="AI61" s="192">
        <f t="shared" si="17"/>
        <v>56</v>
      </c>
      <c r="AJ61" s="192">
        <f>MATCH(Input!$C$43,$AT$5:$AT$52,1)</f>
        <v>48</v>
      </c>
      <c r="AK61" s="191">
        <f t="shared" si="6"/>
        <v>50</v>
      </c>
      <c r="AL61" s="199">
        <f>MIN(AK61,Input!$C$44)</f>
        <v>20</v>
      </c>
      <c r="AM61" s="191">
        <f t="shared" si="7"/>
        <v>10</v>
      </c>
      <c r="AN61" s="191">
        <f t="shared" si="8"/>
        <v>25</v>
      </c>
      <c r="AO61" s="199">
        <f t="shared" si="9"/>
        <v>30</v>
      </c>
      <c r="AP61" s="199">
        <f t="shared" si="10"/>
        <v>45</v>
      </c>
      <c r="AQ61" s="191">
        <f t="shared" si="14"/>
        <v>0</v>
      </c>
      <c r="AR61" s="191">
        <f t="shared" si="11"/>
        <v>1</v>
      </c>
    </row>
    <row r="62" spans="27:50" x14ac:dyDescent="0.25">
      <c r="AA62" s="192">
        <f>MATCH(Input!$C$43,$C$5:$U$5,1)</f>
        <v>19</v>
      </c>
      <c r="AB62" s="192">
        <f t="shared" si="15"/>
        <v>57</v>
      </c>
      <c r="AC62" s="191">
        <f t="shared" si="2"/>
        <v>7</v>
      </c>
      <c r="AD62" s="191">
        <f t="shared" si="3"/>
        <v>3.6999999999999998E-2</v>
      </c>
      <c r="AE62" s="191">
        <f t="shared" si="4"/>
        <v>7</v>
      </c>
      <c r="AF62" s="191">
        <f t="shared" si="5"/>
        <v>0.189</v>
      </c>
      <c r="AH62" s="192">
        <f t="shared" si="17"/>
        <v>102</v>
      </c>
      <c r="AI62" s="192">
        <f t="shared" si="17"/>
        <v>57</v>
      </c>
      <c r="AJ62" s="192">
        <f>MATCH(Input!$C$43,$AT$5:$AT$52,1)</f>
        <v>48</v>
      </c>
      <c r="AK62" s="191">
        <f t="shared" si="6"/>
        <v>50</v>
      </c>
      <c r="AL62" s="199">
        <f>MIN(AK62,Input!$C$44)</f>
        <v>20</v>
      </c>
      <c r="AM62" s="191">
        <f t="shared" si="7"/>
        <v>10</v>
      </c>
      <c r="AN62" s="191">
        <f t="shared" si="8"/>
        <v>25</v>
      </c>
      <c r="AO62" s="199">
        <f t="shared" si="9"/>
        <v>30</v>
      </c>
      <c r="AP62" s="199">
        <f t="shared" si="10"/>
        <v>45</v>
      </c>
      <c r="AQ62" s="191">
        <f t="shared" si="14"/>
        <v>0</v>
      </c>
      <c r="AR62" s="191">
        <f t="shared" si="11"/>
        <v>1</v>
      </c>
    </row>
    <row r="63" spans="27:50" x14ac:dyDescent="0.25">
      <c r="AA63" s="192">
        <f>MATCH(Input!$C$43,$C$5:$U$5,1)</f>
        <v>19</v>
      </c>
      <c r="AB63" s="192">
        <f t="shared" si="15"/>
        <v>58</v>
      </c>
      <c r="AC63" s="191">
        <f t="shared" si="2"/>
        <v>8</v>
      </c>
      <c r="AD63" s="191">
        <f t="shared" si="3"/>
        <v>3.5999999999999997E-2</v>
      </c>
      <c r="AE63" s="191">
        <f t="shared" si="4"/>
        <v>8</v>
      </c>
      <c r="AF63" s="191">
        <f t="shared" si="5"/>
        <v>0.185</v>
      </c>
      <c r="AH63" s="192">
        <f t="shared" si="17"/>
        <v>103</v>
      </c>
      <c r="AI63" s="192">
        <f t="shared" si="17"/>
        <v>58</v>
      </c>
      <c r="AJ63" s="192">
        <f>MATCH(Input!$C$43,$AT$5:$AT$52,1)</f>
        <v>48</v>
      </c>
      <c r="AK63" s="191">
        <f t="shared" si="6"/>
        <v>50</v>
      </c>
      <c r="AL63" s="199">
        <f>MIN(AK63,Input!$C$44)</f>
        <v>20</v>
      </c>
      <c r="AM63" s="191">
        <f t="shared" si="7"/>
        <v>10</v>
      </c>
      <c r="AN63" s="191">
        <f t="shared" si="8"/>
        <v>25</v>
      </c>
      <c r="AO63" s="199">
        <f t="shared" si="9"/>
        <v>30</v>
      </c>
      <c r="AP63" s="199">
        <f t="shared" si="10"/>
        <v>45</v>
      </c>
      <c r="AQ63" s="191">
        <f t="shared" si="14"/>
        <v>0</v>
      </c>
      <c r="AR63" s="191">
        <f t="shared" si="11"/>
        <v>1</v>
      </c>
    </row>
    <row r="64" spans="27:50" x14ac:dyDescent="0.25">
      <c r="AA64" s="192">
        <f>MATCH(Input!$C$43,$C$5:$U$5,1)</f>
        <v>19</v>
      </c>
      <c r="AB64" s="192">
        <f t="shared" si="15"/>
        <v>59</v>
      </c>
      <c r="AC64" s="191">
        <f t="shared" si="2"/>
        <v>8</v>
      </c>
      <c r="AD64" s="191">
        <f t="shared" si="3"/>
        <v>3.5999999999999997E-2</v>
      </c>
      <c r="AE64" s="191">
        <f t="shared" si="4"/>
        <v>8</v>
      </c>
      <c r="AF64" s="191">
        <f t="shared" si="5"/>
        <v>0.185</v>
      </c>
      <c r="AH64" s="192">
        <f t="shared" si="17"/>
        <v>104</v>
      </c>
      <c r="AI64" s="192">
        <f t="shared" si="17"/>
        <v>59</v>
      </c>
      <c r="AJ64" s="192">
        <f>MATCH(Input!$C$43,$AT$5:$AT$52,1)</f>
        <v>48</v>
      </c>
      <c r="AK64" s="191">
        <f t="shared" si="6"/>
        <v>50</v>
      </c>
      <c r="AL64" s="199">
        <f>MIN(AK64,Input!$C$44)</f>
        <v>20</v>
      </c>
      <c r="AM64" s="191">
        <f t="shared" si="7"/>
        <v>10</v>
      </c>
      <c r="AN64" s="191">
        <f t="shared" si="8"/>
        <v>25</v>
      </c>
      <c r="AO64" s="199">
        <f t="shared" si="9"/>
        <v>30</v>
      </c>
      <c r="AP64" s="199">
        <f t="shared" si="10"/>
        <v>45</v>
      </c>
      <c r="AQ64" s="191">
        <f t="shared" si="14"/>
        <v>0</v>
      </c>
      <c r="AR64" s="191">
        <f t="shared" si="11"/>
        <v>1</v>
      </c>
    </row>
    <row r="65" spans="27:44" x14ac:dyDescent="0.25">
      <c r="AA65" s="192">
        <f>MATCH(Input!$C$43,$C$5:$U$5,1)</f>
        <v>19</v>
      </c>
      <c r="AB65" s="192">
        <f t="shared" si="15"/>
        <v>60</v>
      </c>
      <c r="AC65" s="191">
        <f t="shared" si="2"/>
        <v>9</v>
      </c>
      <c r="AD65" s="191">
        <f t="shared" si="3"/>
        <v>3.5000000000000003E-2</v>
      </c>
      <c r="AE65" s="191">
        <f t="shared" si="4"/>
        <v>9</v>
      </c>
      <c r="AF65" s="191">
        <f t="shared" si="5"/>
        <v>0.182</v>
      </c>
      <c r="AH65" s="192">
        <f t="shared" si="17"/>
        <v>105</v>
      </c>
      <c r="AI65" s="192">
        <f t="shared" si="17"/>
        <v>60</v>
      </c>
      <c r="AJ65" s="192">
        <f>MATCH(Input!$C$43,$AT$5:$AT$52,1)</f>
        <v>48</v>
      </c>
      <c r="AK65" s="191">
        <f t="shared" si="6"/>
        <v>50</v>
      </c>
      <c r="AL65" s="199">
        <f>MIN(AK65,Input!$C$44)</f>
        <v>20</v>
      </c>
      <c r="AM65" s="191">
        <f t="shared" si="7"/>
        <v>10</v>
      </c>
      <c r="AN65" s="191">
        <f t="shared" si="8"/>
        <v>25</v>
      </c>
      <c r="AO65" s="199">
        <f t="shared" si="9"/>
        <v>30</v>
      </c>
      <c r="AP65" s="199">
        <f t="shared" si="10"/>
        <v>45</v>
      </c>
      <c r="AQ65" s="191">
        <f t="shared" si="14"/>
        <v>0</v>
      </c>
      <c r="AR65" s="191">
        <f t="shared" si="11"/>
        <v>1</v>
      </c>
    </row>
    <row r="66" spans="27:44" x14ac:dyDescent="0.25">
      <c r="AA66" s="192">
        <f>MATCH(Input!$C$43,$C$5:$U$5,1)</f>
        <v>19</v>
      </c>
      <c r="AB66" s="192">
        <f t="shared" si="15"/>
        <v>61</v>
      </c>
      <c r="AC66" s="191">
        <f t="shared" si="2"/>
        <v>9</v>
      </c>
      <c r="AD66" s="191">
        <f t="shared" si="3"/>
        <v>3.5000000000000003E-2</v>
      </c>
      <c r="AE66" s="191">
        <f t="shared" si="4"/>
        <v>9</v>
      </c>
      <c r="AF66" s="191">
        <f t="shared" si="5"/>
        <v>0.182</v>
      </c>
      <c r="AH66" s="192">
        <f t="shared" si="17"/>
        <v>106</v>
      </c>
      <c r="AI66" s="192">
        <f t="shared" si="17"/>
        <v>61</v>
      </c>
      <c r="AJ66" s="192">
        <f>MATCH(Input!$C$43,$AT$5:$AT$52,1)</f>
        <v>48</v>
      </c>
      <c r="AK66" s="191">
        <f t="shared" si="6"/>
        <v>50</v>
      </c>
      <c r="AL66" s="199">
        <f>MIN(AK66,Input!$C$44)</f>
        <v>20</v>
      </c>
      <c r="AM66" s="191">
        <f t="shared" si="7"/>
        <v>10</v>
      </c>
      <c r="AN66" s="191">
        <f t="shared" si="8"/>
        <v>25</v>
      </c>
      <c r="AO66" s="199">
        <f t="shared" si="9"/>
        <v>30</v>
      </c>
      <c r="AP66" s="199">
        <f t="shared" si="10"/>
        <v>45</v>
      </c>
      <c r="AQ66" s="191">
        <f t="shared" si="14"/>
        <v>0</v>
      </c>
      <c r="AR66" s="191">
        <f t="shared" si="11"/>
        <v>1</v>
      </c>
    </row>
    <row r="67" spans="27:44" x14ac:dyDescent="0.25">
      <c r="AA67" s="192">
        <f>MATCH(Input!$C$43,$C$5:$U$5,1)</f>
        <v>19</v>
      </c>
      <c r="AB67" s="192">
        <f t="shared" si="15"/>
        <v>62</v>
      </c>
      <c r="AC67" s="191">
        <f t="shared" si="2"/>
        <v>10</v>
      </c>
      <c r="AD67" s="191">
        <f t="shared" si="3"/>
        <v>3.5000000000000003E-2</v>
      </c>
      <c r="AE67" s="191">
        <f t="shared" si="4"/>
        <v>10</v>
      </c>
      <c r="AF67" s="191">
        <f t="shared" si="5"/>
        <v>0.17799999999999999</v>
      </c>
      <c r="AH67" s="192">
        <f t="shared" si="17"/>
        <v>107</v>
      </c>
      <c r="AI67" s="192">
        <f t="shared" si="17"/>
        <v>62</v>
      </c>
      <c r="AJ67" s="192">
        <f>MATCH(Input!$C$43,$AT$5:$AT$52,1)</f>
        <v>48</v>
      </c>
      <c r="AK67" s="191">
        <f t="shared" si="6"/>
        <v>50</v>
      </c>
      <c r="AL67" s="199">
        <f>MIN(AK67,Input!$C$44)</f>
        <v>20</v>
      </c>
      <c r="AM67" s="191">
        <f t="shared" si="7"/>
        <v>10</v>
      </c>
      <c r="AN67" s="191">
        <f t="shared" si="8"/>
        <v>25</v>
      </c>
      <c r="AO67" s="199">
        <f t="shared" si="9"/>
        <v>30</v>
      </c>
      <c r="AP67" s="199">
        <f t="shared" si="10"/>
        <v>45</v>
      </c>
      <c r="AQ67" s="191">
        <f t="shared" si="14"/>
        <v>0</v>
      </c>
      <c r="AR67" s="191">
        <f t="shared" si="11"/>
        <v>1</v>
      </c>
    </row>
    <row r="68" spans="27:44" x14ac:dyDescent="0.25">
      <c r="AA68" s="192">
        <f>MATCH(Input!$C$43,$C$5:$U$5,1)</f>
        <v>19</v>
      </c>
      <c r="AB68" s="192">
        <f t="shared" si="15"/>
        <v>63</v>
      </c>
      <c r="AC68" s="191">
        <f t="shared" si="2"/>
        <v>10</v>
      </c>
      <c r="AD68" s="191">
        <f t="shared" si="3"/>
        <v>3.5000000000000003E-2</v>
      </c>
      <c r="AE68" s="191">
        <f t="shared" si="4"/>
        <v>10</v>
      </c>
      <c r="AF68" s="191">
        <f t="shared" si="5"/>
        <v>0.17799999999999999</v>
      </c>
      <c r="AH68" s="192">
        <f t="shared" si="17"/>
        <v>108</v>
      </c>
      <c r="AI68" s="192">
        <f t="shared" si="17"/>
        <v>63</v>
      </c>
      <c r="AJ68" s="192">
        <f>MATCH(Input!$C$43,$AT$5:$AT$52,1)</f>
        <v>48</v>
      </c>
      <c r="AK68" s="191">
        <f t="shared" si="6"/>
        <v>50</v>
      </c>
      <c r="AL68" s="199">
        <f>MIN(AK68,Input!$C$44)</f>
        <v>20</v>
      </c>
      <c r="AM68" s="191">
        <f t="shared" si="7"/>
        <v>10</v>
      </c>
      <c r="AN68" s="191">
        <f t="shared" si="8"/>
        <v>25</v>
      </c>
      <c r="AO68" s="199">
        <f t="shared" si="9"/>
        <v>30</v>
      </c>
      <c r="AP68" s="199">
        <f t="shared" si="10"/>
        <v>45</v>
      </c>
      <c r="AQ68" s="191">
        <f t="shared" si="14"/>
        <v>0</v>
      </c>
      <c r="AR68" s="191">
        <f t="shared" si="11"/>
        <v>1</v>
      </c>
    </row>
    <row r="69" spans="27:44" x14ac:dyDescent="0.25">
      <c r="AA69" s="192">
        <f>MATCH(Input!$C$43,$C$5:$U$5,1)</f>
        <v>19</v>
      </c>
      <c r="AB69" s="192">
        <f t="shared" si="15"/>
        <v>64</v>
      </c>
      <c r="AC69" s="191">
        <f t="shared" si="2"/>
        <v>11</v>
      </c>
      <c r="AD69" s="191">
        <f t="shared" si="3"/>
        <v>3.4000000000000002E-2</v>
      </c>
      <c r="AE69" s="191">
        <f t="shared" si="4"/>
        <v>11</v>
      </c>
      <c r="AF69" s="191">
        <f t="shared" si="5"/>
        <v>0.17399999999999999</v>
      </c>
      <c r="AH69" s="192">
        <f t="shared" si="17"/>
        <v>109</v>
      </c>
      <c r="AI69" s="192">
        <f t="shared" si="17"/>
        <v>64</v>
      </c>
      <c r="AJ69" s="192">
        <f>MATCH(Input!$C$43,$AT$5:$AT$52,1)</f>
        <v>48</v>
      </c>
      <c r="AK69" s="191">
        <f t="shared" si="6"/>
        <v>50</v>
      </c>
      <c r="AL69" s="199">
        <f>MIN(AK69,Input!$C$44)</f>
        <v>20</v>
      </c>
      <c r="AM69" s="191">
        <f t="shared" si="7"/>
        <v>10</v>
      </c>
      <c r="AN69" s="191">
        <f t="shared" si="8"/>
        <v>25</v>
      </c>
      <c r="AO69" s="199">
        <f t="shared" si="9"/>
        <v>30</v>
      </c>
      <c r="AP69" s="199">
        <f t="shared" si="10"/>
        <v>45</v>
      </c>
      <c r="AQ69" s="191">
        <f t="shared" ref="AQ69:AQ100" si="18">IF(AH69&gt;=100,0,IF(AI69&lt;AO69,1,IF(OR(AQ68=0,AK69=0),0,MAX(0,AQ68-(1/(AP69-AO69+1))))))</f>
        <v>0</v>
      </c>
      <c r="AR69" s="191">
        <f t="shared" si="11"/>
        <v>1</v>
      </c>
    </row>
    <row r="70" spans="27:44" x14ac:dyDescent="0.25">
      <c r="AA70" s="192">
        <f>MATCH(Input!$C$43,$C$5:$U$5,1)</f>
        <v>19</v>
      </c>
      <c r="AB70" s="192">
        <f t="shared" ref="AB70:AB101" si="19">AB69+1</f>
        <v>65</v>
      </c>
      <c r="AC70" s="191">
        <f t="shared" ref="AC70:AC125" si="20">MATCH(AB70,$B$6:$B$37,1)</f>
        <v>11</v>
      </c>
      <c r="AD70" s="191">
        <f t="shared" ref="AD70:AD125" si="21">INDEX($C$6:$U$37,AC70,AA70)</f>
        <v>3.4000000000000002E-2</v>
      </c>
      <c r="AE70" s="191">
        <f t="shared" ref="AE70:AE125" si="22">MATCH(AB70,$W$5:$W$36,1)</f>
        <v>11</v>
      </c>
      <c r="AF70" s="191">
        <f t="shared" ref="AF70:AF125" si="23">INDEX($Y$5:$Y$36,AE70,1)</f>
        <v>0.17399999999999999</v>
      </c>
      <c r="AH70" s="192">
        <f t="shared" si="17"/>
        <v>110</v>
      </c>
      <c r="AI70" s="192">
        <f t="shared" si="17"/>
        <v>65</v>
      </c>
      <c r="AJ70" s="192">
        <f>MATCH(Input!$C$43,$AT$5:$AT$52,1)</f>
        <v>48</v>
      </c>
      <c r="AK70" s="191">
        <f t="shared" ref="AK70:AK125" si="24">INDEX($AV$5:$AX$52,AJ70,1)</f>
        <v>50</v>
      </c>
      <c r="AL70" s="199">
        <f>MIN(AK70,Input!$C$44)</f>
        <v>20</v>
      </c>
      <c r="AM70" s="191">
        <f t="shared" ref="AM70:AM125" si="25">INDEX($AV$5:$AX$52,AJ70,2)</f>
        <v>10</v>
      </c>
      <c r="AN70" s="191">
        <f t="shared" ref="AN70:AN125" si="26">INDEX($AV$5:$AX$52,AJ70,3)</f>
        <v>25</v>
      </c>
      <c r="AO70" s="199">
        <f t="shared" ref="AO70:AO125" si="27">AL70+AM70</f>
        <v>30</v>
      </c>
      <c r="AP70" s="199">
        <f t="shared" ref="AP70:AP125" si="28">AL70+AN70</f>
        <v>45</v>
      </c>
      <c r="AQ70" s="191">
        <f t="shared" si="18"/>
        <v>0</v>
      </c>
      <c r="AR70" s="191">
        <f t="shared" ref="AR70:AR125" si="29">1-AQ70</f>
        <v>1</v>
      </c>
    </row>
    <row r="71" spans="27:44" x14ac:dyDescent="0.25">
      <c r="AA71" s="192">
        <f>MATCH(Input!$C$43,$C$5:$U$5,1)</f>
        <v>19</v>
      </c>
      <c r="AB71" s="192">
        <f t="shared" si="19"/>
        <v>66</v>
      </c>
      <c r="AC71" s="191">
        <f t="shared" si="20"/>
        <v>12</v>
      </c>
      <c r="AD71" s="191">
        <f t="shared" si="21"/>
        <v>3.3000000000000002E-2</v>
      </c>
      <c r="AE71" s="191">
        <f t="shared" si="22"/>
        <v>12</v>
      </c>
      <c r="AF71" s="191">
        <f t="shared" si="23"/>
        <v>0.16900000000000001</v>
      </c>
      <c r="AH71" s="192">
        <f t="shared" ref="AH71:AI86" si="30">AH70+1</f>
        <v>111</v>
      </c>
      <c r="AI71" s="192">
        <f t="shared" si="30"/>
        <v>66</v>
      </c>
      <c r="AJ71" s="192">
        <f>MATCH(Input!$C$43,$AT$5:$AT$52,1)</f>
        <v>48</v>
      </c>
      <c r="AK71" s="191">
        <f t="shared" si="24"/>
        <v>50</v>
      </c>
      <c r="AL71" s="199">
        <f>MIN(AK71,Input!$C$44)</f>
        <v>20</v>
      </c>
      <c r="AM71" s="191">
        <f t="shared" si="25"/>
        <v>10</v>
      </c>
      <c r="AN71" s="191">
        <f t="shared" si="26"/>
        <v>25</v>
      </c>
      <c r="AO71" s="199">
        <f t="shared" si="27"/>
        <v>30</v>
      </c>
      <c r="AP71" s="199">
        <f t="shared" si="28"/>
        <v>45</v>
      </c>
      <c r="AQ71" s="191">
        <f t="shared" si="18"/>
        <v>0</v>
      </c>
      <c r="AR71" s="191">
        <f t="shared" si="29"/>
        <v>1</v>
      </c>
    </row>
    <row r="72" spans="27:44" x14ac:dyDescent="0.25">
      <c r="AA72" s="192">
        <f>MATCH(Input!$C$43,$C$5:$U$5,1)</f>
        <v>19</v>
      </c>
      <c r="AB72" s="192">
        <f t="shared" si="19"/>
        <v>67</v>
      </c>
      <c r="AC72" s="191">
        <f t="shared" si="20"/>
        <v>12</v>
      </c>
      <c r="AD72" s="191">
        <f t="shared" si="21"/>
        <v>3.3000000000000002E-2</v>
      </c>
      <c r="AE72" s="191">
        <f t="shared" si="22"/>
        <v>12</v>
      </c>
      <c r="AF72" s="191">
        <f t="shared" si="23"/>
        <v>0.16900000000000001</v>
      </c>
      <c r="AH72" s="192">
        <f t="shared" si="30"/>
        <v>112</v>
      </c>
      <c r="AI72" s="192">
        <f t="shared" si="30"/>
        <v>67</v>
      </c>
      <c r="AJ72" s="192">
        <f>MATCH(Input!$C$43,$AT$5:$AT$52,1)</f>
        <v>48</v>
      </c>
      <c r="AK72" s="191">
        <f t="shared" si="24"/>
        <v>50</v>
      </c>
      <c r="AL72" s="199">
        <f>MIN(AK72,Input!$C$44)</f>
        <v>20</v>
      </c>
      <c r="AM72" s="191">
        <f t="shared" si="25"/>
        <v>10</v>
      </c>
      <c r="AN72" s="191">
        <f t="shared" si="26"/>
        <v>25</v>
      </c>
      <c r="AO72" s="199">
        <f t="shared" si="27"/>
        <v>30</v>
      </c>
      <c r="AP72" s="199">
        <f t="shared" si="28"/>
        <v>45</v>
      </c>
      <c r="AQ72" s="191">
        <f t="shared" si="18"/>
        <v>0</v>
      </c>
      <c r="AR72" s="191">
        <f t="shared" si="29"/>
        <v>1</v>
      </c>
    </row>
    <row r="73" spans="27:44" x14ac:dyDescent="0.25">
      <c r="AA73" s="192">
        <f>MATCH(Input!$C$43,$C$5:$U$5,1)</f>
        <v>19</v>
      </c>
      <c r="AB73" s="192">
        <f t="shared" si="19"/>
        <v>68</v>
      </c>
      <c r="AC73" s="191">
        <f t="shared" si="20"/>
        <v>13</v>
      </c>
      <c r="AD73" s="191">
        <f t="shared" si="21"/>
        <v>3.2000000000000001E-2</v>
      </c>
      <c r="AE73" s="191">
        <f t="shared" si="22"/>
        <v>13</v>
      </c>
      <c r="AF73" s="191">
        <f t="shared" si="23"/>
        <v>0.16500000000000001</v>
      </c>
      <c r="AH73" s="192">
        <f t="shared" si="30"/>
        <v>113</v>
      </c>
      <c r="AI73" s="192">
        <f t="shared" si="30"/>
        <v>68</v>
      </c>
      <c r="AJ73" s="192">
        <f>MATCH(Input!$C$43,$AT$5:$AT$52,1)</f>
        <v>48</v>
      </c>
      <c r="AK73" s="191">
        <f t="shared" si="24"/>
        <v>50</v>
      </c>
      <c r="AL73" s="199">
        <f>MIN(AK73,Input!$C$44)</f>
        <v>20</v>
      </c>
      <c r="AM73" s="191">
        <f t="shared" si="25"/>
        <v>10</v>
      </c>
      <c r="AN73" s="191">
        <f t="shared" si="26"/>
        <v>25</v>
      </c>
      <c r="AO73" s="199">
        <f t="shared" si="27"/>
        <v>30</v>
      </c>
      <c r="AP73" s="199">
        <f t="shared" si="28"/>
        <v>45</v>
      </c>
      <c r="AQ73" s="191">
        <f t="shared" si="18"/>
        <v>0</v>
      </c>
      <c r="AR73" s="191">
        <f t="shared" si="29"/>
        <v>1</v>
      </c>
    </row>
    <row r="74" spans="27:44" x14ac:dyDescent="0.25">
      <c r="AA74" s="192">
        <f>MATCH(Input!$C$43,$C$5:$U$5,1)</f>
        <v>19</v>
      </c>
      <c r="AB74" s="192">
        <f t="shared" si="19"/>
        <v>69</v>
      </c>
      <c r="AC74" s="191">
        <f t="shared" si="20"/>
        <v>13</v>
      </c>
      <c r="AD74" s="191">
        <f t="shared" si="21"/>
        <v>3.2000000000000001E-2</v>
      </c>
      <c r="AE74" s="191">
        <f t="shared" si="22"/>
        <v>13</v>
      </c>
      <c r="AF74" s="191">
        <f t="shared" si="23"/>
        <v>0.16500000000000001</v>
      </c>
      <c r="AH74" s="192">
        <f t="shared" si="30"/>
        <v>114</v>
      </c>
      <c r="AI74" s="192">
        <f t="shared" si="30"/>
        <v>69</v>
      </c>
      <c r="AJ74" s="192">
        <f>MATCH(Input!$C$43,$AT$5:$AT$52,1)</f>
        <v>48</v>
      </c>
      <c r="AK74" s="191">
        <f t="shared" si="24"/>
        <v>50</v>
      </c>
      <c r="AL74" s="199">
        <f>MIN(AK74,Input!$C$44)</f>
        <v>20</v>
      </c>
      <c r="AM74" s="191">
        <f t="shared" si="25"/>
        <v>10</v>
      </c>
      <c r="AN74" s="191">
        <f t="shared" si="26"/>
        <v>25</v>
      </c>
      <c r="AO74" s="199">
        <f t="shared" si="27"/>
        <v>30</v>
      </c>
      <c r="AP74" s="199">
        <f t="shared" si="28"/>
        <v>45</v>
      </c>
      <c r="AQ74" s="191">
        <f t="shared" si="18"/>
        <v>0</v>
      </c>
      <c r="AR74" s="191">
        <f t="shared" si="29"/>
        <v>1</v>
      </c>
    </row>
    <row r="75" spans="27:44" x14ac:dyDescent="0.25">
      <c r="AA75" s="192">
        <f>MATCH(Input!$C$43,$C$5:$U$5,1)</f>
        <v>19</v>
      </c>
      <c r="AB75" s="192">
        <f t="shared" si="19"/>
        <v>70</v>
      </c>
      <c r="AC75" s="191">
        <f t="shared" si="20"/>
        <v>14</v>
      </c>
      <c r="AD75" s="191">
        <f t="shared" si="21"/>
        <v>3.1E-2</v>
      </c>
      <c r="AE75" s="191">
        <f t="shared" si="22"/>
        <v>14</v>
      </c>
      <c r="AF75" s="191">
        <f t="shared" si="23"/>
        <v>0.161</v>
      </c>
      <c r="AH75" s="192">
        <f t="shared" si="30"/>
        <v>115</v>
      </c>
      <c r="AI75" s="192">
        <f t="shared" si="30"/>
        <v>70</v>
      </c>
      <c r="AJ75" s="192">
        <f>MATCH(Input!$C$43,$AT$5:$AT$52,1)</f>
        <v>48</v>
      </c>
      <c r="AK75" s="191">
        <f t="shared" si="24"/>
        <v>50</v>
      </c>
      <c r="AL75" s="199">
        <f>MIN(AK75,Input!$C$44)</f>
        <v>20</v>
      </c>
      <c r="AM75" s="191">
        <f t="shared" si="25"/>
        <v>10</v>
      </c>
      <c r="AN75" s="191">
        <f t="shared" si="26"/>
        <v>25</v>
      </c>
      <c r="AO75" s="199">
        <f t="shared" si="27"/>
        <v>30</v>
      </c>
      <c r="AP75" s="199">
        <f t="shared" si="28"/>
        <v>45</v>
      </c>
      <c r="AQ75" s="191">
        <f t="shared" si="18"/>
        <v>0</v>
      </c>
      <c r="AR75" s="191">
        <f t="shared" si="29"/>
        <v>1</v>
      </c>
    </row>
    <row r="76" spans="27:44" x14ac:dyDescent="0.25">
      <c r="AA76" s="192">
        <f>MATCH(Input!$C$43,$C$5:$U$5,1)</f>
        <v>19</v>
      </c>
      <c r="AB76" s="192">
        <f t="shared" si="19"/>
        <v>71</v>
      </c>
      <c r="AC76" s="191">
        <f t="shared" si="20"/>
        <v>14</v>
      </c>
      <c r="AD76" s="191">
        <f t="shared" si="21"/>
        <v>3.1E-2</v>
      </c>
      <c r="AE76" s="191">
        <f t="shared" si="22"/>
        <v>14</v>
      </c>
      <c r="AF76" s="191">
        <f t="shared" si="23"/>
        <v>0.161</v>
      </c>
      <c r="AH76" s="192">
        <f t="shared" si="30"/>
        <v>116</v>
      </c>
      <c r="AI76" s="192">
        <f t="shared" si="30"/>
        <v>71</v>
      </c>
      <c r="AJ76" s="192">
        <f>MATCH(Input!$C$43,$AT$5:$AT$52,1)</f>
        <v>48</v>
      </c>
      <c r="AK76" s="191">
        <f t="shared" si="24"/>
        <v>50</v>
      </c>
      <c r="AL76" s="199">
        <f>MIN(AK76,Input!$C$44)</f>
        <v>20</v>
      </c>
      <c r="AM76" s="191">
        <f t="shared" si="25"/>
        <v>10</v>
      </c>
      <c r="AN76" s="191">
        <f t="shared" si="26"/>
        <v>25</v>
      </c>
      <c r="AO76" s="199">
        <f t="shared" si="27"/>
        <v>30</v>
      </c>
      <c r="AP76" s="199">
        <f t="shared" si="28"/>
        <v>45</v>
      </c>
      <c r="AQ76" s="191">
        <f t="shared" si="18"/>
        <v>0</v>
      </c>
      <c r="AR76" s="191">
        <f t="shared" si="29"/>
        <v>1</v>
      </c>
    </row>
    <row r="77" spans="27:44" x14ac:dyDescent="0.25">
      <c r="AA77" s="192">
        <f>MATCH(Input!$C$43,$C$5:$U$5,1)</f>
        <v>19</v>
      </c>
      <c r="AB77" s="192">
        <f t="shared" si="19"/>
        <v>72</v>
      </c>
      <c r="AC77" s="191">
        <f t="shared" si="20"/>
        <v>15</v>
      </c>
      <c r="AD77" s="191">
        <f t="shared" si="21"/>
        <v>0.03</v>
      </c>
      <c r="AE77" s="191">
        <f t="shared" si="22"/>
        <v>15</v>
      </c>
      <c r="AF77" s="191">
        <f t="shared" si="23"/>
        <v>0.156</v>
      </c>
      <c r="AH77" s="192">
        <f t="shared" si="30"/>
        <v>117</v>
      </c>
      <c r="AI77" s="192">
        <f t="shared" si="30"/>
        <v>72</v>
      </c>
      <c r="AJ77" s="192">
        <f>MATCH(Input!$C$43,$AT$5:$AT$52,1)</f>
        <v>48</v>
      </c>
      <c r="AK77" s="191">
        <f t="shared" si="24"/>
        <v>50</v>
      </c>
      <c r="AL77" s="199">
        <f>MIN(AK77,Input!$C$44)</f>
        <v>20</v>
      </c>
      <c r="AM77" s="191">
        <f t="shared" si="25"/>
        <v>10</v>
      </c>
      <c r="AN77" s="191">
        <f t="shared" si="26"/>
        <v>25</v>
      </c>
      <c r="AO77" s="199">
        <f t="shared" si="27"/>
        <v>30</v>
      </c>
      <c r="AP77" s="199">
        <f t="shared" si="28"/>
        <v>45</v>
      </c>
      <c r="AQ77" s="191">
        <f t="shared" si="18"/>
        <v>0</v>
      </c>
      <c r="AR77" s="191">
        <f t="shared" si="29"/>
        <v>1</v>
      </c>
    </row>
    <row r="78" spans="27:44" x14ac:dyDescent="0.25">
      <c r="AA78" s="192">
        <f>MATCH(Input!$C$43,$C$5:$U$5,1)</f>
        <v>19</v>
      </c>
      <c r="AB78" s="192">
        <f t="shared" si="19"/>
        <v>73</v>
      </c>
      <c r="AC78" s="191">
        <f t="shared" si="20"/>
        <v>15</v>
      </c>
      <c r="AD78" s="191">
        <f t="shared" si="21"/>
        <v>0.03</v>
      </c>
      <c r="AE78" s="191">
        <f t="shared" si="22"/>
        <v>15</v>
      </c>
      <c r="AF78" s="191">
        <f t="shared" si="23"/>
        <v>0.156</v>
      </c>
      <c r="AH78" s="192">
        <f t="shared" si="30"/>
        <v>118</v>
      </c>
      <c r="AI78" s="192">
        <f t="shared" si="30"/>
        <v>73</v>
      </c>
      <c r="AJ78" s="192">
        <f>MATCH(Input!$C$43,$AT$5:$AT$52,1)</f>
        <v>48</v>
      </c>
      <c r="AK78" s="191">
        <f t="shared" si="24"/>
        <v>50</v>
      </c>
      <c r="AL78" s="199">
        <f>MIN(AK78,Input!$C$44)</f>
        <v>20</v>
      </c>
      <c r="AM78" s="191">
        <f t="shared" si="25"/>
        <v>10</v>
      </c>
      <c r="AN78" s="191">
        <f t="shared" si="26"/>
        <v>25</v>
      </c>
      <c r="AO78" s="199">
        <f t="shared" si="27"/>
        <v>30</v>
      </c>
      <c r="AP78" s="199">
        <f t="shared" si="28"/>
        <v>45</v>
      </c>
      <c r="AQ78" s="191">
        <f t="shared" si="18"/>
        <v>0</v>
      </c>
      <c r="AR78" s="191">
        <f t="shared" si="29"/>
        <v>1</v>
      </c>
    </row>
    <row r="79" spans="27:44" x14ac:dyDescent="0.25">
      <c r="AA79" s="192">
        <f>MATCH(Input!$C$43,$C$5:$U$5,1)</f>
        <v>19</v>
      </c>
      <c r="AB79" s="192">
        <f t="shared" si="19"/>
        <v>74</v>
      </c>
      <c r="AC79" s="191">
        <f t="shared" si="20"/>
        <v>16</v>
      </c>
      <c r="AD79" s="191">
        <f t="shared" si="21"/>
        <v>2.9000000000000001E-2</v>
      </c>
      <c r="AE79" s="191">
        <f t="shared" si="22"/>
        <v>16</v>
      </c>
      <c r="AF79" s="191">
        <f t="shared" si="23"/>
        <v>0.151</v>
      </c>
      <c r="AH79" s="192">
        <f t="shared" si="30"/>
        <v>119</v>
      </c>
      <c r="AI79" s="192">
        <f t="shared" si="30"/>
        <v>74</v>
      </c>
      <c r="AJ79" s="192">
        <f>MATCH(Input!$C$43,$AT$5:$AT$52,1)</f>
        <v>48</v>
      </c>
      <c r="AK79" s="191">
        <f t="shared" si="24"/>
        <v>50</v>
      </c>
      <c r="AL79" s="199">
        <f>MIN(AK79,Input!$C$44)</f>
        <v>20</v>
      </c>
      <c r="AM79" s="191">
        <f t="shared" si="25"/>
        <v>10</v>
      </c>
      <c r="AN79" s="191">
        <f t="shared" si="26"/>
        <v>25</v>
      </c>
      <c r="AO79" s="199">
        <f t="shared" si="27"/>
        <v>30</v>
      </c>
      <c r="AP79" s="199">
        <f t="shared" si="28"/>
        <v>45</v>
      </c>
      <c r="AQ79" s="191">
        <f t="shared" si="18"/>
        <v>0</v>
      </c>
      <c r="AR79" s="191">
        <f t="shared" si="29"/>
        <v>1</v>
      </c>
    </row>
    <row r="80" spans="27:44" x14ac:dyDescent="0.25">
      <c r="AA80" s="192">
        <f>MATCH(Input!$C$43,$C$5:$U$5,1)</f>
        <v>19</v>
      </c>
      <c r="AB80" s="192">
        <f t="shared" si="19"/>
        <v>75</v>
      </c>
      <c r="AC80" s="191">
        <f t="shared" si="20"/>
        <v>16</v>
      </c>
      <c r="AD80" s="191">
        <f t="shared" si="21"/>
        <v>2.9000000000000001E-2</v>
      </c>
      <c r="AE80" s="191">
        <f t="shared" si="22"/>
        <v>16</v>
      </c>
      <c r="AF80" s="191">
        <f t="shared" si="23"/>
        <v>0.151</v>
      </c>
      <c r="AH80" s="192">
        <f t="shared" si="30"/>
        <v>120</v>
      </c>
      <c r="AI80" s="192">
        <f t="shared" si="30"/>
        <v>75</v>
      </c>
      <c r="AJ80" s="192">
        <f>MATCH(Input!$C$43,$AT$5:$AT$52,1)</f>
        <v>48</v>
      </c>
      <c r="AK80" s="191">
        <f t="shared" si="24"/>
        <v>50</v>
      </c>
      <c r="AL80" s="199">
        <f>MIN(AK80,Input!$C$44)</f>
        <v>20</v>
      </c>
      <c r="AM80" s="191">
        <f t="shared" si="25"/>
        <v>10</v>
      </c>
      <c r="AN80" s="191">
        <f t="shared" si="26"/>
        <v>25</v>
      </c>
      <c r="AO80" s="199">
        <f t="shared" si="27"/>
        <v>30</v>
      </c>
      <c r="AP80" s="199">
        <f t="shared" si="28"/>
        <v>45</v>
      </c>
      <c r="AQ80" s="191">
        <f t="shared" si="18"/>
        <v>0</v>
      </c>
      <c r="AR80" s="191">
        <f t="shared" si="29"/>
        <v>1</v>
      </c>
    </row>
    <row r="81" spans="27:44" x14ac:dyDescent="0.25">
      <c r="AA81" s="192">
        <f>MATCH(Input!$C$43,$C$5:$U$5,1)</f>
        <v>19</v>
      </c>
      <c r="AB81" s="192">
        <f t="shared" si="19"/>
        <v>76</v>
      </c>
      <c r="AC81" s="191">
        <f t="shared" si="20"/>
        <v>17</v>
      </c>
      <c r="AD81" s="191">
        <f t="shared" si="21"/>
        <v>2.9000000000000001E-2</v>
      </c>
      <c r="AE81" s="191">
        <f t="shared" si="22"/>
        <v>17</v>
      </c>
      <c r="AF81" s="191">
        <f t="shared" si="23"/>
        <v>0.14599999999999999</v>
      </c>
      <c r="AH81" s="192">
        <f t="shared" si="30"/>
        <v>121</v>
      </c>
      <c r="AI81" s="192">
        <f t="shared" si="30"/>
        <v>76</v>
      </c>
      <c r="AJ81" s="192">
        <f>MATCH(Input!$C$43,$AT$5:$AT$52,1)</f>
        <v>48</v>
      </c>
      <c r="AK81" s="191">
        <f t="shared" si="24"/>
        <v>50</v>
      </c>
      <c r="AL81" s="199">
        <f>MIN(AK81,Input!$C$44)</f>
        <v>20</v>
      </c>
      <c r="AM81" s="191">
        <f t="shared" si="25"/>
        <v>10</v>
      </c>
      <c r="AN81" s="191">
        <f t="shared" si="26"/>
        <v>25</v>
      </c>
      <c r="AO81" s="199">
        <f t="shared" si="27"/>
        <v>30</v>
      </c>
      <c r="AP81" s="199">
        <f t="shared" si="28"/>
        <v>45</v>
      </c>
      <c r="AQ81" s="191">
        <f t="shared" si="18"/>
        <v>0</v>
      </c>
      <c r="AR81" s="191">
        <f t="shared" si="29"/>
        <v>1</v>
      </c>
    </row>
    <row r="82" spans="27:44" x14ac:dyDescent="0.25">
      <c r="AA82" s="192">
        <f>MATCH(Input!$C$43,$C$5:$U$5,1)</f>
        <v>19</v>
      </c>
      <c r="AB82" s="192">
        <f t="shared" si="19"/>
        <v>77</v>
      </c>
      <c r="AC82" s="191">
        <f t="shared" si="20"/>
        <v>17</v>
      </c>
      <c r="AD82" s="191">
        <f t="shared" si="21"/>
        <v>2.9000000000000001E-2</v>
      </c>
      <c r="AE82" s="191">
        <f t="shared" si="22"/>
        <v>17</v>
      </c>
      <c r="AF82" s="191">
        <f t="shared" si="23"/>
        <v>0.14599999999999999</v>
      </c>
      <c r="AH82" s="192">
        <f t="shared" si="30"/>
        <v>122</v>
      </c>
      <c r="AI82" s="192">
        <f t="shared" si="30"/>
        <v>77</v>
      </c>
      <c r="AJ82" s="192">
        <f>MATCH(Input!$C$43,$AT$5:$AT$52,1)</f>
        <v>48</v>
      </c>
      <c r="AK82" s="191">
        <f t="shared" si="24"/>
        <v>50</v>
      </c>
      <c r="AL82" s="199">
        <f>MIN(AK82,Input!$C$44)</f>
        <v>20</v>
      </c>
      <c r="AM82" s="191">
        <f t="shared" si="25"/>
        <v>10</v>
      </c>
      <c r="AN82" s="191">
        <f t="shared" si="26"/>
        <v>25</v>
      </c>
      <c r="AO82" s="199">
        <f t="shared" si="27"/>
        <v>30</v>
      </c>
      <c r="AP82" s="199">
        <f t="shared" si="28"/>
        <v>45</v>
      </c>
      <c r="AQ82" s="191">
        <f t="shared" si="18"/>
        <v>0</v>
      </c>
      <c r="AR82" s="191">
        <f t="shared" si="29"/>
        <v>1</v>
      </c>
    </row>
    <row r="83" spans="27:44" x14ac:dyDescent="0.25">
      <c r="AA83" s="192">
        <f>MATCH(Input!$C$43,$C$5:$U$5,1)</f>
        <v>19</v>
      </c>
      <c r="AB83" s="192">
        <f t="shared" si="19"/>
        <v>78</v>
      </c>
      <c r="AC83" s="191">
        <f t="shared" si="20"/>
        <v>18</v>
      </c>
      <c r="AD83" s="191">
        <f t="shared" si="21"/>
        <v>2.8000000000000001E-2</v>
      </c>
      <c r="AE83" s="191">
        <f t="shared" si="22"/>
        <v>18</v>
      </c>
      <c r="AF83" s="191">
        <f t="shared" si="23"/>
        <v>0.14099999999999999</v>
      </c>
      <c r="AH83" s="192">
        <f t="shared" si="30"/>
        <v>123</v>
      </c>
      <c r="AI83" s="192">
        <f t="shared" si="30"/>
        <v>78</v>
      </c>
      <c r="AJ83" s="192">
        <f>MATCH(Input!$C$43,$AT$5:$AT$52,1)</f>
        <v>48</v>
      </c>
      <c r="AK83" s="191">
        <f t="shared" si="24"/>
        <v>50</v>
      </c>
      <c r="AL83" s="199">
        <f>MIN(AK83,Input!$C$44)</f>
        <v>20</v>
      </c>
      <c r="AM83" s="191">
        <f t="shared" si="25"/>
        <v>10</v>
      </c>
      <c r="AN83" s="191">
        <f t="shared" si="26"/>
        <v>25</v>
      </c>
      <c r="AO83" s="199">
        <f t="shared" si="27"/>
        <v>30</v>
      </c>
      <c r="AP83" s="199">
        <f t="shared" si="28"/>
        <v>45</v>
      </c>
      <c r="AQ83" s="191">
        <f t="shared" si="18"/>
        <v>0</v>
      </c>
      <c r="AR83" s="191">
        <f t="shared" si="29"/>
        <v>1</v>
      </c>
    </row>
    <row r="84" spans="27:44" x14ac:dyDescent="0.25">
      <c r="AA84" s="192">
        <f>MATCH(Input!$C$43,$C$5:$U$5,1)</f>
        <v>19</v>
      </c>
      <c r="AB84" s="192">
        <f t="shared" si="19"/>
        <v>79</v>
      </c>
      <c r="AC84" s="191">
        <f t="shared" si="20"/>
        <v>18</v>
      </c>
      <c r="AD84" s="191">
        <f t="shared" si="21"/>
        <v>2.8000000000000001E-2</v>
      </c>
      <c r="AE84" s="191">
        <f t="shared" si="22"/>
        <v>18</v>
      </c>
      <c r="AF84" s="191">
        <f t="shared" si="23"/>
        <v>0.14099999999999999</v>
      </c>
      <c r="AH84" s="192">
        <f t="shared" si="30"/>
        <v>124</v>
      </c>
      <c r="AI84" s="192">
        <f t="shared" si="30"/>
        <v>79</v>
      </c>
      <c r="AJ84" s="192">
        <f>MATCH(Input!$C$43,$AT$5:$AT$52,1)</f>
        <v>48</v>
      </c>
      <c r="AK84" s="191">
        <f t="shared" si="24"/>
        <v>50</v>
      </c>
      <c r="AL84" s="199">
        <f>MIN(AK84,Input!$C$44)</f>
        <v>20</v>
      </c>
      <c r="AM84" s="191">
        <f t="shared" si="25"/>
        <v>10</v>
      </c>
      <c r="AN84" s="191">
        <f t="shared" si="26"/>
        <v>25</v>
      </c>
      <c r="AO84" s="199">
        <f t="shared" si="27"/>
        <v>30</v>
      </c>
      <c r="AP84" s="199">
        <f t="shared" si="28"/>
        <v>45</v>
      </c>
      <c r="AQ84" s="191">
        <f t="shared" si="18"/>
        <v>0</v>
      </c>
      <c r="AR84" s="191">
        <f t="shared" si="29"/>
        <v>1</v>
      </c>
    </row>
    <row r="85" spans="27:44" x14ac:dyDescent="0.25">
      <c r="AA85" s="192">
        <f>MATCH(Input!$C$43,$C$5:$U$5,1)</f>
        <v>19</v>
      </c>
      <c r="AB85" s="192">
        <f t="shared" si="19"/>
        <v>80</v>
      </c>
      <c r="AC85" s="191">
        <f t="shared" si="20"/>
        <v>19</v>
      </c>
      <c r="AD85" s="191">
        <f t="shared" si="21"/>
        <v>2.5999999999999999E-2</v>
      </c>
      <c r="AE85" s="191">
        <f t="shared" si="22"/>
        <v>19</v>
      </c>
      <c r="AF85" s="191">
        <f t="shared" si="23"/>
        <v>0.13600000000000001</v>
      </c>
      <c r="AH85" s="192">
        <f t="shared" si="30"/>
        <v>125</v>
      </c>
      <c r="AI85" s="192">
        <f t="shared" si="30"/>
        <v>80</v>
      </c>
      <c r="AJ85" s="192">
        <f>MATCH(Input!$C$43,$AT$5:$AT$52,1)</f>
        <v>48</v>
      </c>
      <c r="AK85" s="191">
        <f t="shared" si="24"/>
        <v>50</v>
      </c>
      <c r="AL85" s="199">
        <f>MIN(AK85,Input!$C$44)</f>
        <v>20</v>
      </c>
      <c r="AM85" s="191">
        <f t="shared" si="25"/>
        <v>10</v>
      </c>
      <c r="AN85" s="191">
        <f t="shared" si="26"/>
        <v>25</v>
      </c>
      <c r="AO85" s="199">
        <f t="shared" si="27"/>
        <v>30</v>
      </c>
      <c r="AP85" s="199">
        <f t="shared" si="28"/>
        <v>45</v>
      </c>
      <c r="AQ85" s="191">
        <f t="shared" si="18"/>
        <v>0</v>
      </c>
      <c r="AR85" s="191">
        <f t="shared" si="29"/>
        <v>1</v>
      </c>
    </row>
    <row r="86" spans="27:44" x14ac:dyDescent="0.25">
      <c r="AA86" s="192">
        <f>MATCH(Input!$C$43,$C$5:$U$5,1)</f>
        <v>19</v>
      </c>
      <c r="AB86" s="192">
        <f t="shared" si="19"/>
        <v>81</v>
      </c>
      <c r="AC86" s="191">
        <f t="shared" si="20"/>
        <v>19</v>
      </c>
      <c r="AD86" s="191">
        <f t="shared" si="21"/>
        <v>2.5999999999999999E-2</v>
      </c>
      <c r="AE86" s="191">
        <f t="shared" si="22"/>
        <v>19</v>
      </c>
      <c r="AF86" s="191">
        <f t="shared" si="23"/>
        <v>0.13600000000000001</v>
      </c>
      <c r="AH86" s="192">
        <f t="shared" si="30"/>
        <v>126</v>
      </c>
      <c r="AI86" s="192">
        <f t="shared" si="30"/>
        <v>81</v>
      </c>
      <c r="AJ86" s="192">
        <f>MATCH(Input!$C$43,$AT$5:$AT$52,1)</f>
        <v>48</v>
      </c>
      <c r="AK86" s="191">
        <f t="shared" si="24"/>
        <v>50</v>
      </c>
      <c r="AL86" s="199">
        <f>MIN(AK86,Input!$C$44)</f>
        <v>20</v>
      </c>
      <c r="AM86" s="191">
        <f t="shared" si="25"/>
        <v>10</v>
      </c>
      <c r="AN86" s="191">
        <f t="shared" si="26"/>
        <v>25</v>
      </c>
      <c r="AO86" s="199">
        <f t="shared" si="27"/>
        <v>30</v>
      </c>
      <c r="AP86" s="199">
        <f t="shared" si="28"/>
        <v>45</v>
      </c>
      <c r="AQ86" s="191">
        <f t="shared" si="18"/>
        <v>0</v>
      </c>
      <c r="AR86" s="191">
        <f t="shared" si="29"/>
        <v>1</v>
      </c>
    </row>
    <row r="87" spans="27:44" x14ac:dyDescent="0.25">
      <c r="AA87" s="192">
        <f>MATCH(Input!$C$43,$C$5:$U$5,1)</f>
        <v>19</v>
      </c>
      <c r="AB87" s="192">
        <f t="shared" si="19"/>
        <v>82</v>
      </c>
      <c r="AC87" s="191">
        <f t="shared" si="20"/>
        <v>20</v>
      </c>
      <c r="AD87" s="191">
        <f t="shared" si="21"/>
        <v>2.5000000000000001E-2</v>
      </c>
      <c r="AE87" s="191">
        <f t="shared" si="22"/>
        <v>20</v>
      </c>
      <c r="AF87" s="191">
        <f t="shared" si="23"/>
        <v>0.13</v>
      </c>
      <c r="AH87" s="192">
        <f t="shared" ref="AH87:AI102" si="31">AH86+1</f>
        <v>127</v>
      </c>
      <c r="AI87" s="192">
        <f t="shared" si="31"/>
        <v>82</v>
      </c>
      <c r="AJ87" s="192">
        <f>MATCH(Input!$C$43,$AT$5:$AT$52,1)</f>
        <v>48</v>
      </c>
      <c r="AK87" s="191">
        <f t="shared" si="24"/>
        <v>50</v>
      </c>
      <c r="AL87" s="199">
        <f>MIN(AK87,Input!$C$44)</f>
        <v>20</v>
      </c>
      <c r="AM87" s="191">
        <f t="shared" si="25"/>
        <v>10</v>
      </c>
      <c r="AN87" s="191">
        <f t="shared" si="26"/>
        <v>25</v>
      </c>
      <c r="AO87" s="199">
        <f t="shared" si="27"/>
        <v>30</v>
      </c>
      <c r="AP87" s="199">
        <f t="shared" si="28"/>
        <v>45</v>
      </c>
      <c r="AQ87" s="191">
        <f t="shared" si="18"/>
        <v>0</v>
      </c>
      <c r="AR87" s="191">
        <f t="shared" si="29"/>
        <v>1</v>
      </c>
    </row>
    <row r="88" spans="27:44" x14ac:dyDescent="0.25">
      <c r="AA88" s="192">
        <f>MATCH(Input!$C$43,$C$5:$U$5,1)</f>
        <v>19</v>
      </c>
      <c r="AB88" s="192">
        <f t="shared" si="19"/>
        <v>83</v>
      </c>
      <c r="AC88" s="191">
        <f t="shared" si="20"/>
        <v>20</v>
      </c>
      <c r="AD88" s="191">
        <f t="shared" si="21"/>
        <v>2.5000000000000001E-2</v>
      </c>
      <c r="AE88" s="191">
        <f t="shared" si="22"/>
        <v>20</v>
      </c>
      <c r="AF88" s="191">
        <f t="shared" si="23"/>
        <v>0.13</v>
      </c>
      <c r="AH88" s="192">
        <f t="shared" si="31"/>
        <v>128</v>
      </c>
      <c r="AI88" s="192">
        <f t="shared" si="31"/>
        <v>83</v>
      </c>
      <c r="AJ88" s="192">
        <f>MATCH(Input!$C$43,$AT$5:$AT$52,1)</f>
        <v>48</v>
      </c>
      <c r="AK88" s="191">
        <f t="shared" si="24"/>
        <v>50</v>
      </c>
      <c r="AL88" s="199">
        <f>MIN(AK88,Input!$C$44)</f>
        <v>20</v>
      </c>
      <c r="AM88" s="191">
        <f t="shared" si="25"/>
        <v>10</v>
      </c>
      <c r="AN88" s="191">
        <f t="shared" si="26"/>
        <v>25</v>
      </c>
      <c r="AO88" s="199">
        <f t="shared" si="27"/>
        <v>30</v>
      </c>
      <c r="AP88" s="199">
        <f t="shared" si="28"/>
        <v>45</v>
      </c>
      <c r="AQ88" s="191">
        <f t="shared" si="18"/>
        <v>0</v>
      </c>
      <c r="AR88" s="191">
        <f t="shared" si="29"/>
        <v>1</v>
      </c>
    </row>
    <row r="89" spans="27:44" x14ac:dyDescent="0.25">
      <c r="AA89" s="192">
        <f>MATCH(Input!$C$43,$C$5:$U$5,1)</f>
        <v>19</v>
      </c>
      <c r="AB89" s="192">
        <f t="shared" si="19"/>
        <v>84</v>
      </c>
      <c r="AC89" s="191">
        <f t="shared" si="20"/>
        <v>21</v>
      </c>
      <c r="AD89" s="191">
        <f t="shared" si="21"/>
        <v>2.4E-2</v>
      </c>
      <c r="AE89" s="191">
        <f t="shared" si="22"/>
        <v>21</v>
      </c>
      <c r="AF89" s="191">
        <f t="shared" si="23"/>
        <v>0.125</v>
      </c>
      <c r="AH89" s="192">
        <f t="shared" si="31"/>
        <v>129</v>
      </c>
      <c r="AI89" s="192">
        <f t="shared" si="31"/>
        <v>84</v>
      </c>
      <c r="AJ89" s="192">
        <f>MATCH(Input!$C$43,$AT$5:$AT$52,1)</f>
        <v>48</v>
      </c>
      <c r="AK89" s="191">
        <f t="shared" si="24"/>
        <v>50</v>
      </c>
      <c r="AL89" s="199">
        <f>MIN(AK89,Input!$C$44)</f>
        <v>20</v>
      </c>
      <c r="AM89" s="191">
        <f t="shared" si="25"/>
        <v>10</v>
      </c>
      <c r="AN89" s="191">
        <f t="shared" si="26"/>
        <v>25</v>
      </c>
      <c r="AO89" s="199">
        <f t="shared" si="27"/>
        <v>30</v>
      </c>
      <c r="AP89" s="199">
        <f t="shared" si="28"/>
        <v>45</v>
      </c>
      <c r="AQ89" s="191">
        <f t="shared" si="18"/>
        <v>0</v>
      </c>
      <c r="AR89" s="191">
        <f t="shared" si="29"/>
        <v>1</v>
      </c>
    </row>
    <row r="90" spans="27:44" x14ac:dyDescent="0.25">
      <c r="AA90" s="192">
        <f>MATCH(Input!$C$43,$C$5:$U$5,1)</f>
        <v>19</v>
      </c>
      <c r="AB90" s="192">
        <f t="shared" si="19"/>
        <v>85</v>
      </c>
      <c r="AC90" s="191">
        <f t="shared" si="20"/>
        <v>21</v>
      </c>
      <c r="AD90" s="191">
        <f t="shared" si="21"/>
        <v>2.4E-2</v>
      </c>
      <c r="AE90" s="191">
        <f t="shared" si="22"/>
        <v>21</v>
      </c>
      <c r="AF90" s="191">
        <f t="shared" si="23"/>
        <v>0.125</v>
      </c>
      <c r="AH90" s="192">
        <f t="shared" si="31"/>
        <v>130</v>
      </c>
      <c r="AI90" s="192">
        <f t="shared" si="31"/>
        <v>85</v>
      </c>
      <c r="AJ90" s="192">
        <f>MATCH(Input!$C$43,$AT$5:$AT$52,1)</f>
        <v>48</v>
      </c>
      <c r="AK90" s="191">
        <f t="shared" si="24"/>
        <v>50</v>
      </c>
      <c r="AL90" s="199">
        <f>MIN(AK90,Input!$C$44)</f>
        <v>20</v>
      </c>
      <c r="AM90" s="191">
        <f t="shared" si="25"/>
        <v>10</v>
      </c>
      <c r="AN90" s="191">
        <f t="shared" si="26"/>
        <v>25</v>
      </c>
      <c r="AO90" s="199">
        <f t="shared" si="27"/>
        <v>30</v>
      </c>
      <c r="AP90" s="199">
        <f t="shared" si="28"/>
        <v>45</v>
      </c>
      <c r="AQ90" s="191">
        <f t="shared" si="18"/>
        <v>0</v>
      </c>
      <c r="AR90" s="191">
        <f t="shared" si="29"/>
        <v>1</v>
      </c>
    </row>
    <row r="91" spans="27:44" x14ac:dyDescent="0.25">
      <c r="AA91" s="192">
        <f>MATCH(Input!$C$43,$C$5:$U$5,1)</f>
        <v>19</v>
      </c>
      <c r="AB91" s="192">
        <f t="shared" si="19"/>
        <v>86</v>
      </c>
      <c r="AC91" s="191">
        <f t="shared" si="20"/>
        <v>22</v>
      </c>
      <c r="AD91" s="191">
        <f t="shared" si="21"/>
        <v>2.3E-2</v>
      </c>
      <c r="AE91" s="191">
        <f t="shared" si="22"/>
        <v>22</v>
      </c>
      <c r="AF91" s="191">
        <f t="shared" si="23"/>
        <v>0.11899999999999999</v>
      </c>
      <c r="AH91" s="192">
        <f t="shared" si="31"/>
        <v>131</v>
      </c>
      <c r="AI91" s="192">
        <f t="shared" si="31"/>
        <v>86</v>
      </c>
      <c r="AJ91" s="192">
        <f>MATCH(Input!$C$43,$AT$5:$AT$52,1)</f>
        <v>48</v>
      </c>
      <c r="AK91" s="191">
        <f t="shared" si="24"/>
        <v>50</v>
      </c>
      <c r="AL91" s="199">
        <f>MIN(AK91,Input!$C$44)</f>
        <v>20</v>
      </c>
      <c r="AM91" s="191">
        <f t="shared" si="25"/>
        <v>10</v>
      </c>
      <c r="AN91" s="191">
        <f t="shared" si="26"/>
        <v>25</v>
      </c>
      <c r="AO91" s="199">
        <f t="shared" si="27"/>
        <v>30</v>
      </c>
      <c r="AP91" s="199">
        <f t="shared" si="28"/>
        <v>45</v>
      </c>
      <c r="AQ91" s="191">
        <f t="shared" si="18"/>
        <v>0</v>
      </c>
      <c r="AR91" s="191">
        <f t="shared" si="29"/>
        <v>1</v>
      </c>
    </row>
    <row r="92" spans="27:44" x14ac:dyDescent="0.25">
      <c r="AA92" s="192">
        <f>MATCH(Input!$C$43,$C$5:$U$5,1)</f>
        <v>19</v>
      </c>
      <c r="AB92" s="192">
        <f t="shared" si="19"/>
        <v>87</v>
      </c>
      <c r="AC92" s="191">
        <f t="shared" si="20"/>
        <v>22</v>
      </c>
      <c r="AD92" s="191">
        <f t="shared" si="21"/>
        <v>2.3E-2</v>
      </c>
      <c r="AE92" s="191">
        <f t="shared" si="22"/>
        <v>22</v>
      </c>
      <c r="AF92" s="191">
        <f t="shared" si="23"/>
        <v>0.11899999999999999</v>
      </c>
      <c r="AH92" s="192">
        <f t="shared" si="31"/>
        <v>132</v>
      </c>
      <c r="AI92" s="192">
        <f t="shared" si="31"/>
        <v>87</v>
      </c>
      <c r="AJ92" s="192">
        <f>MATCH(Input!$C$43,$AT$5:$AT$52,1)</f>
        <v>48</v>
      </c>
      <c r="AK92" s="191">
        <f t="shared" si="24"/>
        <v>50</v>
      </c>
      <c r="AL92" s="199">
        <f>MIN(AK92,Input!$C$44)</f>
        <v>20</v>
      </c>
      <c r="AM92" s="191">
        <f t="shared" si="25"/>
        <v>10</v>
      </c>
      <c r="AN92" s="191">
        <f t="shared" si="26"/>
        <v>25</v>
      </c>
      <c r="AO92" s="199">
        <f t="shared" si="27"/>
        <v>30</v>
      </c>
      <c r="AP92" s="199">
        <f t="shared" si="28"/>
        <v>45</v>
      </c>
      <c r="AQ92" s="191">
        <f t="shared" si="18"/>
        <v>0</v>
      </c>
      <c r="AR92" s="191">
        <f t="shared" si="29"/>
        <v>1</v>
      </c>
    </row>
    <row r="93" spans="27:44" x14ac:dyDescent="0.25">
      <c r="AA93" s="192">
        <f>MATCH(Input!$C$43,$C$5:$U$5,1)</f>
        <v>19</v>
      </c>
      <c r="AB93" s="192">
        <f t="shared" si="19"/>
        <v>88</v>
      </c>
      <c r="AC93" s="191">
        <f t="shared" si="20"/>
        <v>23</v>
      </c>
      <c r="AD93" s="191">
        <f t="shared" si="21"/>
        <v>2.1999999999999999E-2</v>
      </c>
      <c r="AE93" s="191">
        <f t="shared" si="22"/>
        <v>23</v>
      </c>
      <c r="AF93" s="191">
        <f t="shared" si="23"/>
        <v>0.113</v>
      </c>
      <c r="AH93" s="192">
        <f t="shared" si="31"/>
        <v>133</v>
      </c>
      <c r="AI93" s="192">
        <f t="shared" si="31"/>
        <v>88</v>
      </c>
      <c r="AJ93" s="192">
        <f>MATCH(Input!$C$43,$AT$5:$AT$52,1)</f>
        <v>48</v>
      </c>
      <c r="AK93" s="191">
        <f t="shared" si="24"/>
        <v>50</v>
      </c>
      <c r="AL93" s="199">
        <f>MIN(AK93,Input!$C$44)</f>
        <v>20</v>
      </c>
      <c r="AM93" s="191">
        <f t="shared" si="25"/>
        <v>10</v>
      </c>
      <c r="AN93" s="191">
        <f t="shared" si="26"/>
        <v>25</v>
      </c>
      <c r="AO93" s="199">
        <f t="shared" si="27"/>
        <v>30</v>
      </c>
      <c r="AP93" s="199">
        <f t="shared" si="28"/>
        <v>45</v>
      </c>
      <c r="AQ93" s="191">
        <f t="shared" si="18"/>
        <v>0</v>
      </c>
      <c r="AR93" s="191">
        <f t="shared" si="29"/>
        <v>1</v>
      </c>
    </row>
    <row r="94" spans="27:44" x14ac:dyDescent="0.25">
      <c r="AA94" s="192">
        <f>MATCH(Input!$C$43,$C$5:$U$5,1)</f>
        <v>19</v>
      </c>
      <c r="AB94" s="192">
        <f t="shared" si="19"/>
        <v>89</v>
      </c>
      <c r="AC94" s="191">
        <f t="shared" si="20"/>
        <v>23</v>
      </c>
      <c r="AD94" s="191">
        <f t="shared" si="21"/>
        <v>2.1999999999999999E-2</v>
      </c>
      <c r="AE94" s="191">
        <f t="shared" si="22"/>
        <v>23</v>
      </c>
      <c r="AF94" s="191">
        <f t="shared" si="23"/>
        <v>0.113</v>
      </c>
      <c r="AH94" s="192">
        <f t="shared" si="31"/>
        <v>134</v>
      </c>
      <c r="AI94" s="192">
        <f t="shared" si="31"/>
        <v>89</v>
      </c>
      <c r="AJ94" s="192">
        <f>MATCH(Input!$C$43,$AT$5:$AT$52,1)</f>
        <v>48</v>
      </c>
      <c r="AK94" s="191">
        <f t="shared" si="24"/>
        <v>50</v>
      </c>
      <c r="AL94" s="199">
        <f>MIN(AK94,Input!$C$44)</f>
        <v>20</v>
      </c>
      <c r="AM94" s="191">
        <f t="shared" si="25"/>
        <v>10</v>
      </c>
      <c r="AN94" s="191">
        <f t="shared" si="26"/>
        <v>25</v>
      </c>
      <c r="AO94" s="199">
        <f t="shared" si="27"/>
        <v>30</v>
      </c>
      <c r="AP94" s="199">
        <f t="shared" si="28"/>
        <v>45</v>
      </c>
      <c r="AQ94" s="191">
        <f t="shared" si="18"/>
        <v>0</v>
      </c>
      <c r="AR94" s="191">
        <f t="shared" si="29"/>
        <v>1</v>
      </c>
    </row>
    <row r="95" spans="27:44" x14ac:dyDescent="0.25">
      <c r="AA95" s="192">
        <f>MATCH(Input!$C$43,$C$5:$U$5,1)</f>
        <v>19</v>
      </c>
      <c r="AB95" s="192">
        <f t="shared" si="19"/>
        <v>90</v>
      </c>
      <c r="AC95" s="191">
        <f t="shared" si="20"/>
        <v>24</v>
      </c>
      <c r="AD95" s="191">
        <f t="shared" si="21"/>
        <v>2.1000000000000001E-2</v>
      </c>
      <c r="AE95" s="191">
        <f t="shared" si="22"/>
        <v>24</v>
      </c>
      <c r="AF95" s="191">
        <f t="shared" si="23"/>
        <v>0.107</v>
      </c>
      <c r="AH95" s="192">
        <f t="shared" si="31"/>
        <v>135</v>
      </c>
      <c r="AI95" s="192">
        <f t="shared" si="31"/>
        <v>90</v>
      </c>
      <c r="AJ95" s="192">
        <f>MATCH(Input!$C$43,$AT$5:$AT$52,1)</f>
        <v>48</v>
      </c>
      <c r="AK95" s="191">
        <f t="shared" si="24"/>
        <v>50</v>
      </c>
      <c r="AL95" s="199">
        <f>MIN(AK95,Input!$C$44)</f>
        <v>20</v>
      </c>
      <c r="AM95" s="191">
        <f t="shared" si="25"/>
        <v>10</v>
      </c>
      <c r="AN95" s="191">
        <f t="shared" si="26"/>
        <v>25</v>
      </c>
      <c r="AO95" s="199">
        <f t="shared" si="27"/>
        <v>30</v>
      </c>
      <c r="AP95" s="199">
        <f t="shared" si="28"/>
        <v>45</v>
      </c>
      <c r="AQ95" s="191">
        <f t="shared" si="18"/>
        <v>0</v>
      </c>
      <c r="AR95" s="191">
        <f t="shared" si="29"/>
        <v>1</v>
      </c>
    </row>
    <row r="96" spans="27:44" x14ac:dyDescent="0.25">
      <c r="AA96" s="192">
        <f>MATCH(Input!$C$43,$C$5:$U$5,1)</f>
        <v>19</v>
      </c>
      <c r="AB96" s="192">
        <f t="shared" si="19"/>
        <v>91</v>
      </c>
      <c r="AC96" s="191">
        <f t="shared" si="20"/>
        <v>24</v>
      </c>
      <c r="AD96" s="191">
        <f t="shared" si="21"/>
        <v>2.1000000000000001E-2</v>
      </c>
      <c r="AE96" s="191">
        <f t="shared" si="22"/>
        <v>24</v>
      </c>
      <c r="AF96" s="191">
        <f t="shared" si="23"/>
        <v>0.107</v>
      </c>
      <c r="AH96" s="192">
        <f t="shared" si="31"/>
        <v>136</v>
      </c>
      <c r="AI96" s="192">
        <f t="shared" si="31"/>
        <v>91</v>
      </c>
      <c r="AJ96" s="192">
        <f>MATCH(Input!$C$43,$AT$5:$AT$52,1)</f>
        <v>48</v>
      </c>
      <c r="AK96" s="191">
        <f t="shared" si="24"/>
        <v>50</v>
      </c>
      <c r="AL96" s="199">
        <f>MIN(AK96,Input!$C$44)</f>
        <v>20</v>
      </c>
      <c r="AM96" s="191">
        <f t="shared" si="25"/>
        <v>10</v>
      </c>
      <c r="AN96" s="191">
        <f t="shared" si="26"/>
        <v>25</v>
      </c>
      <c r="AO96" s="199">
        <f t="shared" si="27"/>
        <v>30</v>
      </c>
      <c r="AP96" s="199">
        <f t="shared" si="28"/>
        <v>45</v>
      </c>
      <c r="AQ96" s="191">
        <f t="shared" si="18"/>
        <v>0</v>
      </c>
      <c r="AR96" s="191">
        <f t="shared" si="29"/>
        <v>1</v>
      </c>
    </row>
    <row r="97" spans="27:44" x14ac:dyDescent="0.25">
      <c r="AA97" s="192">
        <f>MATCH(Input!$C$43,$C$5:$U$5,1)</f>
        <v>19</v>
      </c>
      <c r="AB97" s="192">
        <f t="shared" si="19"/>
        <v>92</v>
      </c>
      <c r="AC97" s="191">
        <f t="shared" si="20"/>
        <v>25</v>
      </c>
      <c r="AD97" s="191">
        <f t="shared" si="21"/>
        <v>0.02</v>
      </c>
      <c r="AE97" s="191">
        <f t="shared" si="22"/>
        <v>25</v>
      </c>
      <c r="AF97" s="191">
        <f t="shared" si="23"/>
        <v>0.10100000000000001</v>
      </c>
      <c r="AH97" s="192">
        <f t="shared" si="31"/>
        <v>137</v>
      </c>
      <c r="AI97" s="192">
        <f t="shared" si="31"/>
        <v>92</v>
      </c>
      <c r="AJ97" s="192">
        <f>MATCH(Input!$C$43,$AT$5:$AT$52,1)</f>
        <v>48</v>
      </c>
      <c r="AK97" s="191">
        <f t="shared" si="24"/>
        <v>50</v>
      </c>
      <c r="AL97" s="199">
        <f>MIN(AK97,Input!$C$44)</f>
        <v>20</v>
      </c>
      <c r="AM97" s="191">
        <f t="shared" si="25"/>
        <v>10</v>
      </c>
      <c r="AN97" s="191">
        <f t="shared" si="26"/>
        <v>25</v>
      </c>
      <c r="AO97" s="199">
        <f t="shared" si="27"/>
        <v>30</v>
      </c>
      <c r="AP97" s="199">
        <f t="shared" si="28"/>
        <v>45</v>
      </c>
      <c r="AQ97" s="191">
        <f t="shared" si="18"/>
        <v>0</v>
      </c>
      <c r="AR97" s="191">
        <f t="shared" si="29"/>
        <v>1</v>
      </c>
    </row>
    <row r="98" spans="27:44" x14ac:dyDescent="0.25">
      <c r="AA98" s="192">
        <f>MATCH(Input!$C$43,$C$5:$U$5,1)</f>
        <v>19</v>
      </c>
      <c r="AB98" s="192">
        <f t="shared" si="19"/>
        <v>93</v>
      </c>
      <c r="AC98" s="191">
        <f t="shared" si="20"/>
        <v>25</v>
      </c>
      <c r="AD98" s="191">
        <f t="shared" si="21"/>
        <v>0.02</v>
      </c>
      <c r="AE98" s="191">
        <f t="shared" si="22"/>
        <v>25</v>
      </c>
      <c r="AF98" s="191">
        <f t="shared" si="23"/>
        <v>0.10100000000000001</v>
      </c>
      <c r="AH98" s="192">
        <f t="shared" si="31"/>
        <v>138</v>
      </c>
      <c r="AI98" s="192">
        <f t="shared" si="31"/>
        <v>93</v>
      </c>
      <c r="AJ98" s="192">
        <f>MATCH(Input!$C$43,$AT$5:$AT$52,1)</f>
        <v>48</v>
      </c>
      <c r="AK98" s="191">
        <f t="shared" si="24"/>
        <v>50</v>
      </c>
      <c r="AL98" s="199">
        <f>MIN(AK98,Input!$C$44)</f>
        <v>20</v>
      </c>
      <c r="AM98" s="191">
        <f t="shared" si="25"/>
        <v>10</v>
      </c>
      <c r="AN98" s="191">
        <f t="shared" si="26"/>
        <v>25</v>
      </c>
      <c r="AO98" s="199">
        <f t="shared" si="27"/>
        <v>30</v>
      </c>
      <c r="AP98" s="199">
        <f t="shared" si="28"/>
        <v>45</v>
      </c>
      <c r="AQ98" s="191">
        <f t="shared" si="18"/>
        <v>0</v>
      </c>
      <c r="AR98" s="191">
        <f t="shared" si="29"/>
        <v>1</v>
      </c>
    </row>
    <row r="99" spans="27:44" x14ac:dyDescent="0.25">
      <c r="AA99" s="192">
        <f>MATCH(Input!$C$43,$C$5:$U$5,1)</f>
        <v>19</v>
      </c>
      <c r="AB99" s="192">
        <f t="shared" si="19"/>
        <v>94</v>
      </c>
      <c r="AC99" s="191">
        <f t="shared" si="20"/>
        <v>26</v>
      </c>
      <c r="AD99" s="191">
        <f t="shared" si="21"/>
        <v>1.7999999999999999E-2</v>
      </c>
      <c r="AE99" s="191">
        <f t="shared" si="22"/>
        <v>26</v>
      </c>
      <c r="AF99" s="191">
        <f t="shared" si="23"/>
        <v>9.4E-2</v>
      </c>
      <c r="AH99" s="192">
        <f t="shared" si="31"/>
        <v>139</v>
      </c>
      <c r="AI99" s="192">
        <f t="shared" si="31"/>
        <v>94</v>
      </c>
      <c r="AJ99" s="192">
        <f>MATCH(Input!$C$43,$AT$5:$AT$52,1)</f>
        <v>48</v>
      </c>
      <c r="AK99" s="191">
        <f t="shared" si="24"/>
        <v>50</v>
      </c>
      <c r="AL99" s="199">
        <f>MIN(AK99,Input!$C$44)</f>
        <v>20</v>
      </c>
      <c r="AM99" s="191">
        <f t="shared" si="25"/>
        <v>10</v>
      </c>
      <c r="AN99" s="191">
        <f t="shared" si="26"/>
        <v>25</v>
      </c>
      <c r="AO99" s="199">
        <f t="shared" si="27"/>
        <v>30</v>
      </c>
      <c r="AP99" s="199">
        <f t="shared" si="28"/>
        <v>45</v>
      </c>
      <c r="AQ99" s="191">
        <f t="shared" si="18"/>
        <v>0</v>
      </c>
      <c r="AR99" s="191">
        <f t="shared" si="29"/>
        <v>1</v>
      </c>
    </row>
    <row r="100" spans="27:44" x14ac:dyDescent="0.25">
      <c r="AA100" s="192">
        <f>MATCH(Input!$C$43,$C$5:$U$5,1)</f>
        <v>19</v>
      </c>
      <c r="AB100" s="192">
        <f t="shared" si="19"/>
        <v>95</v>
      </c>
      <c r="AC100" s="191">
        <f t="shared" si="20"/>
        <v>26</v>
      </c>
      <c r="AD100" s="191">
        <f t="shared" si="21"/>
        <v>1.7999999999999999E-2</v>
      </c>
      <c r="AE100" s="191">
        <f t="shared" si="22"/>
        <v>26</v>
      </c>
      <c r="AF100" s="191">
        <f t="shared" si="23"/>
        <v>9.4E-2</v>
      </c>
      <c r="AH100" s="192">
        <f t="shared" si="31"/>
        <v>140</v>
      </c>
      <c r="AI100" s="192">
        <f t="shared" si="31"/>
        <v>95</v>
      </c>
      <c r="AJ100" s="192">
        <f>MATCH(Input!$C$43,$AT$5:$AT$52,1)</f>
        <v>48</v>
      </c>
      <c r="AK100" s="191">
        <f t="shared" si="24"/>
        <v>50</v>
      </c>
      <c r="AL100" s="199">
        <f>MIN(AK100,Input!$C$44)</f>
        <v>20</v>
      </c>
      <c r="AM100" s="191">
        <f t="shared" si="25"/>
        <v>10</v>
      </c>
      <c r="AN100" s="191">
        <f t="shared" si="26"/>
        <v>25</v>
      </c>
      <c r="AO100" s="199">
        <f t="shared" si="27"/>
        <v>30</v>
      </c>
      <c r="AP100" s="199">
        <f t="shared" si="28"/>
        <v>45</v>
      </c>
      <c r="AQ100" s="191">
        <f t="shared" si="18"/>
        <v>0</v>
      </c>
      <c r="AR100" s="191">
        <f t="shared" si="29"/>
        <v>1</v>
      </c>
    </row>
    <row r="101" spans="27:44" x14ac:dyDescent="0.25">
      <c r="AA101" s="192">
        <f>MATCH(Input!$C$43,$C$5:$U$5,1)</f>
        <v>19</v>
      </c>
      <c r="AB101" s="192">
        <f t="shared" si="19"/>
        <v>96</v>
      </c>
      <c r="AC101" s="191">
        <f t="shared" si="20"/>
        <v>27</v>
      </c>
      <c r="AD101" s="191">
        <f t="shared" si="21"/>
        <v>1.7000000000000001E-2</v>
      </c>
      <c r="AE101" s="191">
        <f t="shared" si="22"/>
        <v>27</v>
      </c>
      <c r="AF101" s="191">
        <f t="shared" si="23"/>
        <v>8.7999999999999995E-2</v>
      </c>
      <c r="AH101" s="192">
        <f t="shared" si="31"/>
        <v>141</v>
      </c>
      <c r="AI101" s="192">
        <f t="shared" si="31"/>
        <v>96</v>
      </c>
      <c r="AJ101" s="192">
        <f>MATCH(Input!$C$43,$AT$5:$AT$52,1)</f>
        <v>48</v>
      </c>
      <c r="AK101" s="191">
        <f t="shared" si="24"/>
        <v>50</v>
      </c>
      <c r="AL101" s="199">
        <f>MIN(AK101,Input!$C$44)</f>
        <v>20</v>
      </c>
      <c r="AM101" s="191">
        <f t="shared" si="25"/>
        <v>10</v>
      </c>
      <c r="AN101" s="191">
        <f t="shared" si="26"/>
        <v>25</v>
      </c>
      <c r="AO101" s="199">
        <f t="shared" si="27"/>
        <v>30</v>
      </c>
      <c r="AP101" s="199">
        <f t="shared" si="28"/>
        <v>45</v>
      </c>
      <c r="AQ101" s="191">
        <f t="shared" ref="AQ101:AQ125" si="32">IF(AH101&gt;=100,0,IF(AI101&lt;AO101,1,IF(OR(AQ100=0,AK101=0),0,MAX(0,AQ100-(1/(AP101-AO101+1))))))</f>
        <v>0</v>
      </c>
      <c r="AR101" s="191">
        <f t="shared" si="29"/>
        <v>1</v>
      </c>
    </row>
    <row r="102" spans="27:44" x14ac:dyDescent="0.25">
      <c r="AA102" s="192">
        <f>MATCH(Input!$C$43,$C$5:$U$5,1)</f>
        <v>19</v>
      </c>
      <c r="AB102" s="192">
        <f t="shared" ref="AB102:AB125" si="33">AB101+1</f>
        <v>97</v>
      </c>
      <c r="AC102" s="191">
        <f t="shared" si="20"/>
        <v>27</v>
      </c>
      <c r="AD102" s="191">
        <f t="shared" si="21"/>
        <v>1.7000000000000001E-2</v>
      </c>
      <c r="AE102" s="191">
        <f t="shared" si="22"/>
        <v>27</v>
      </c>
      <c r="AF102" s="191">
        <f t="shared" si="23"/>
        <v>8.7999999999999995E-2</v>
      </c>
      <c r="AH102" s="192">
        <f t="shared" si="31"/>
        <v>142</v>
      </c>
      <c r="AI102" s="192">
        <f t="shared" si="31"/>
        <v>97</v>
      </c>
      <c r="AJ102" s="192">
        <f>MATCH(Input!$C$43,$AT$5:$AT$52,1)</f>
        <v>48</v>
      </c>
      <c r="AK102" s="191">
        <f t="shared" si="24"/>
        <v>50</v>
      </c>
      <c r="AL102" s="199">
        <f>MIN(AK102,Input!$C$44)</f>
        <v>20</v>
      </c>
      <c r="AM102" s="191">
        <f t="shared" si="25"/>
        <v>10</v>
      </c>
      <c r="AN102" s="191">
        <f t="shared" si="26"/>
        <v>25</v>
      </c>
      <c r="AO102" s="199">
        <f t="shared" si="27"/>
        <v>30</v>
      </c>
      <c r="AP102" s="199">
        <f t="shared" si="28"/>
        <v>45</v>
      </c>
      <c r="AQ102" s="191">
        <f t="shared" si="32"/>
        <v>0</v>
      </c>
      <c r="AR102" s="191">
        <f t="shared" si="29"/>
        <v>1</v>
      </c>
    </row>
    <row r="103" spans="27:44" x14ac:dyDescent="0.25">
      <c r="AA103" s="192">
        <f>MATCH(Input!$C$43,$C$5:$U$5,1)</f>
        <v>19</v>
      </c>
      <c r="AB103" s="192">
        <f t="shared" si="33"/>
        <v>98</v>
      </c>
      <c r="AC103" s="191">
        <f t="shared" si="20"/>
        <v>28</v>
      </c>
      <c r="AD103" s="191">
        <f t="shared" si="21"/>
        <v>1.6E-2</v>
      </c>
      <c r="AE103" s="191">
        <f t="shared" si="22"/>
        <v>28</v>
      </c>
      <c r="AF103" s="191">
        <f t="shared" si="23"/>
        <v>8.1000000000000003E-2</v>
      </c>
      <c r="AH103" s="192">
        <f t="shared" ref="AH103:AI118" si="34">AH102+1</f>
        <v>143</v>
      </c>
      <c r="AI103" s="192">
        <f t="shared" si="34"/>
        <v>98</v>
      </c>
      <c r="AJ103" s="192">
        <f>MATCH(Input!$C$43,$AT$5:$AT$52,1)</f>
        <v>48</v>
      </c>
      <c r="AK103" s="191">
        <f t="shared" si="24"/>
        <v>50</v>
      </c>
      <c r="AL103" s="199">
        <f>MIN(AK103,Input!$C$44)</f>
        <v>20</v>
      </c>
      <c r="AM103" s="191">
        <f t="shared" si="25"/>
        <v>10</v>
      </c>
      <c r="AN103" s="191">
        <f t="shared" si="26"/>
        <v>25</v>
      </c>
      <c r="AO103" s="199">
        <f t="shared" si="27"/>
        <v>30</v>
      </c>
      <c r="AP103" s="199">
        <f t="shared" si="28"/>
        <v>45</v>
      </c>
      <c r="AQ103" s="191">
        <f t="shared" si="32"/>
        <v>0</v>
      </c>
      <c r="AR103" s="191">
        <f t="shared" si="29"/>
        <v>1</v>
      </c>
    </row>
    <row r="104" spans="27:44" x14ac:dyDescent="0.25">
      <c r="AA104" s="192">
        <f>MATCH(Input!$C$43,$C$5:$U$5,1)</f>
        <v>19</v>
      </c>
      <c r="AB104" s="192">
        <f t="shared" si="33"/>
        <v>99</v>
      </c>
      <c r="AC104" s="191">
        <f t="shared" si="20"/>
        <v>28</v>
      </c>
      <c r="AD104" s="191">
        <f t="shared" si="21"/>
        <v>1.6E-2</v>
      </c>
      <c r="AE104" s="191">
        <f t="shared" si="22"/>
        <v>28</v>
      </c>
      <c r="AF104" s="191">
        <f t="shared" si="23"/>
        <v>8.1000000000000003E-2</v>
      </c>
      <c r="AH104" s="192">
        <f t="shared" si="34"/>
        <v>144</v>
      </c>
      <c r="AI104" s="192">
        <f t="shared" si="34"/>
        <v>99</v>
      </c>
      <c r="AJ104" s="192">
        <f>MATCH(Input!$C$43,$AT$5:$AT$52,1)</f>
        <v>48</v>
      </c>
      <c r="AK104" s="191">
        <f t="shared" si="24"/>
        <v>50</v>
      </c>
      <c r="AL104" s="199">
        <f>MIN(AK104,Input!$C$44)</f>
        <v>20</v>
      </c>
      <c r="AM104" s="191">
        <f t="shared" si="25"/>
        <v>10</v>
      </c>
      <c r="AN104" s="191">
        <f t="shared" si="26"/>
        <v>25</v>
      </c>
      <c r="AO104" s="199">
        <f t="shared" si="27"/>
        <v>30</v>
      </c>
      <c r="AP104" s="199">
        <f t="shared" si="28"/>
        <v>45</v>
      </c>
      <c r="AQ104" s="191">
        <f t="shared" si="32"/>
        <v>0</v>
      </c>
      <c r="AR104" s="191">
        <f t="shared" si="29"/>
        <v>1</v>
      </c>
    </row>
    <row r="105" spans="27:44" x14ac:dyDescent="0.25">
      <c r="AA105" s="192">
        <f>MATCH(Input!$C$43,$C$5:$U$5,1)</f>
        <v>19</v>
      </c>
      <c r="AB105" s="192">
        <f t="shared" si="33"/>
        <v>100</v>
      </c>
      <c r="AC105" s="191">
        <f t="shared" si="20"/>
        <v>29</v>
      </c>
      <c r="AD105" s="191">
        <f t="shared" si="21"/>
        <v>1.4E-2</v>
      </c>
      <c r="AE105" s="191">
        <f t="shared" si="22"/>
        <v>29</v>
      </c>
      <c r="AF105" s="191">
        <f t="shared" si="23"/>
        <v>7.3999999999999996E-2</v>
      </c>
      <c r="AH105" s="192">
        <f t="shared" si="34"/>
        <v>145</v>
      </c>
      <c r="AI105" s="192">
        <f t="shared" si="34"/>
        <v>100</v>
      </c>
      <c r="AJ105" s="192">
        <f>MATCH(Input!$C$43,$AT$5:$AT$52,1)</f>
        <v>48</v>
      </c>
      <c r="AK105" s="191">
        <f t="shared" si="24"/>
        <v>50</v>
      </c>
      <c r="AL105" s="199">
        <f>MIN(AK105,Input!$C$44)</f>
        <v>20</v>
      </c>
      <c r="AM105" s="191">
        <f t="shared" si="25"/>
        <v>10</v>
      </c>
      <c r="AN105" s="191">
        <f t="shared" si="26"/>
        <v>25</v>
      </c>
      <c r="AO105" s="199">
        <f t="shared" si="27"/>
        <v>30</v>
      </c>
      <c r="AP105" s="199">
        <f t="shared" si="28"/>
        <v>45</v>
      </c>
      <c r="AQ105" s="191">
        <f t="shared" si="32"/>
        <v>0</v>
      </c>
      <c r="AR105" s="191">
        <f t="shared" si="29"/>
        <v>1</v>
      </c>
    </row>
    <row r="106" spans="27:44" x14ac:dyDescent="0.25">
      <c r="AA106" s="192">
        <f>MATCH(Input!$C$43,$C$5:$U$5,1)</f>
        <v>19</v>
      </c>
      <c r="AB106" s="192">
        <f t="shared" si="33"/>
        <v>101</v>
      </c>
      <c r="AC106" s="191">
        <f t="shared" si="20"/>
        <v>29</v>
      </c>
      <c r="AD106" s="191">
        <f t="shared" si="21"/>
        <v>1.4E-2</v>
      </c>
      <c r="AE106" s="191">
        <f t="shared" si="22"/>
        <v>29</v>
      </c>
      <c r="AF106" s="191">
        <f t="shared" si="23"/>
        <v>7.3999999999999996E-2</v>
      </c>
      <c r="AH106" s="192">
        <f t="shared" si="34"/>
        <v>146</v>
      </c>
      <c r="AI106" s="192">
        <f t="shared" si="34"/>
        <v>101</v>
      </c>
      <c r="AJ106" s="192">
        <f>MATCH(Input!$C$43,$AT$5:$AT$52,1)</f>
        <v>48</v>
      </c>
      <c r="AK106" s="191">
        <f t="shared" si="24"/>
        <v>50</v>
      </c>
      <c r="AL106" s="199">
        <f>MIN(AK106,Input!$C$44)</f>
        <v>20</v>
      </c>
      <c r="AM106" s="191">
        <f t="shared" si="25"/>
        <v>10</v>
      </c>
      <c r="AN106" s="191">
        <f t="shared" si="26"/>
        <v>25</v>
      </c>
      <c r="AO106" s="199">
        <f t="shared" si="27"/>
        <v>30</v>
      </c>
      <c r="AP106" s="199">
        <f t="shared" si="28"/>
        <v>45</v>
      </c>
      <c r="AQ106" s="191">
        <f t="shared" si="32"/>
        <v>0</v>
      </c>
      <c r="AR106" s="191">
        <f t="shared" si="29"/>
        <v>1</v>
      </c>
    </row>
    <row r="107" spans="27:44" x14ac:dyDescent="0.25">
      <c r="AA107" s="192">
        <f>MATCH(Input!$C$43,$C$5:$U$5,1)</f>
        <v>19</v>
      </c>
      <c r="AB107" s="192">
        <f t="shared" si="33"/>
        <v>102</v>
      </c>
      <c r="AC107" s="191">
        <f t="shared" si="20"/>
        <v>30</v>
      </c>
      <c r="AD107" s="191">
        <f t="shared" si="21"/>
        <v>1.2999999999999999E-2</v>
      </c>
      <c r="AE107" s="191">
        <f t="shared" si="22"/>
        <v>30</v>
      </c>
      <c r="AF107" s="191">
        <f t="shared" si="23"/>
        <v>6.7000000000000004E-2</v>
      </c>
      <c r="AH107" s="192">
        <f t="shared" si="34"/>
        <v>147</v>
      </c>
      <c r="AI107" s="192">
        <f t="shared" si="34"/>
        <v>102</v>
      </c>
      <c r="AJ107" s="192">
        <f>MATCH(Input!$C$43,$AT$5:$AT$52,1)</f>
        <v>48</v>
      </c>
      <c r="AK107" s="191">
        <f t="shared" si="24"/>
        <v>50</v>
      </c>
      <c r="AL107" s="199">
        <f>MIN(AK107,Input!$C$44)</f>
        <v>20</v>
      </c>
      <c r="AM107" s="191">
        <f t="shared" si="25"/>
        <v>10</v>
      </c>
      <c r="AN107" s="191">
        <f t="shared" si="26"/>
        <v>25</v>
      </c>
      <c r="AO107" s="199">
        <f t="shared" si="27"/>
        <v>30</v>
      </c>
      <c r="AP107" s="199">
        <f t="shared" si="28"/>
        <v>45</v>
      </c>
      <c r="AQ107" s="191">
        <f t="shared" si="32"/>
        <v>0</v>
      </c>
      <c r="AR107" s="191">
        <f t="shared" si="29"/>
        <v>1</v>
      </c>
    </row>
    <row r="108" spans="27:44" x14ac:dyDescent="0.25">
      <c r="AA108" s="192">
        <f>MATCH(Input!$C$43,$C$5:$U$5,1)</f>
        <v>19</v>
      </c>
      <c r="AB108" s="192">
        <f t="shared" si="33"/>
        <v>103</v>
      </c>
      <c r="AC108" s="191">
        <f t="shared" si="20"/>
        <v>30</v>
      </c>
      <c r="AD108" s="191">
        <f t="shared" si="21"/>
        <v>1.2999999999999999E-2</v>
      </c>
      <c r="AE108" s="191">
        <f t="shared" si="22"/>
        <v>30</v>
      </c>
      <c r="AF108" s="191">
        <f t="shared" si="23"/>
        <v>6.7000000000000004E-2</v>
      </c>
      <c r="AH108" s="192">
        <f t="shared" si="34"/>
        <v>148</v>
      </c>
      <c r="AI108" s="192">
        <f t="shared" si="34"/>
        <v>103</v>
      </c>
      <c r="AJ108" s="192">
        <f>MATCH(Input!$C$43,$AT$5:$AT$52,1)</f>
        <v>48</v>
      </c>
      <c r="AK108" s="191">
        <f t="shared" si="24"/>
        <v>50</v>
      </c>
      <c r="AL108" s="199">
        <f>MIN(AK108,Input!$C$44)</f>
        <v>20</v>
      </c>
      <c r="AM108" s="191">
        <f t="shared" si="25"/>
        <v>10</v>
      </c>
      <c r="AN108" s="191">
        <f t="shared" si="26"/>
        <v>25</v>
      </c>
      <c r="AO108" s="199">
        <f t="shared" si="27"/>
        <v>30</v>
      </c>
      <c r="AP108" s="199">
        <f t="shared" si="28"/>
        <v>45</v>
      </c>
      <c r="AQ108" s="191">
        <f t="shared" si="32"/>
        <v>0</v>
      </c>
      <c r="AR108" s="191">
        <f t="shared" si="29"/>
        <v>1</v>
      </c>
    </row>
    <row r="109" spans="27:44" x14ac:dyDescent="0.25">
      <c r="AA109" s="192">
        <f>MATCH(Input!$C$43,$C$5:$U$5,1)</f>
        <v>19</v>
      </c>
      <c r="AB109" s="192">
        <f t="shared" si="33"/>
        <v>104</v>
      </c>
      <c r="AC109" s="191">
        <f t="shared" si="20"/>
        <v>31</v>
      </c>
      <c r="AD109" s="191">
        <f t="shared" si="21"/>
        <v>1.2E-2</v>
      </c>
      <c r="AE109" s="191">
        <f t="shared" si="22"/>
        <v>31</v>
      </c>
      <c r="AF109" s="191">
        <f t="shared" si="23"/>
        <v>0.06</v>
      </c>
      <c r="AH109" s="192">
        <f t="shared" si="34"/>
        <v>149</v>
      </c>
      <c r="AI109" s="192">
        <f t="shared" si="34"/>
        <v>104</v>
      </c>
      <c r="AJ109" s="192">
        <f>MATCH(Input!$C$43,$AT$5:$AT$52,1)</f>
        <v>48</v>
      </c>
      <c r="AK109" s="191">
        <f t="shared" si="24"/>
        <v>50</v>
      </c>
      <c r="AL109" s="199">
        <f>MIN(AK109,Input!$C$44)</f>
        <v>20</v>
      </c>
      <c r="AM109" s="191">
        <f t="shared" si="25"/>
        <v>10</v>
      </c>
      <c r="AN109" s="191">
        <f t="shared" si="26"/>
        <v>25</v>
      </c>
      <c r="AO109" s="199">
        <f t="shared" si="27"/>
        <v>30</v>
      </c>
      <c r="AP109" s="199">
        <f t="shared" si="28"/>
        <v>45</v>
      </c>
      <c r="AQ109" s="191">
        <f t="shared" si="32"/>
        <v>0</v>
      </c>
      <c r="AR109" s="191">
        <f t="shared" si="29"/>
        <v>1</v>
      </c>
    </row>
    <row r="110" spans="27:44" x14ac:dyDescent="0.25">
      <c r="AA110" s="192">
        <f>MATCH(Input!$C$43,$C$5:$U$5,1)</f>
        <v>19</v>
      </c>
      <c r="AB110" s="192">
        <f t="shared" si="33"/>
        <v>105</v>
      </c>
      <c r="AC110" s="191">
        <f t="shared" si="20"/>
        <v>31</v>
      </c>
      <c r="AD110" s="191">
        <f t="shared" si="21"/>
        <v>1.2E-2</v>
      </c>
      <c r="AE110" s="191">
        <f t="shared" si="22"/>
        <v>31</v>
      </c>
      <c r="AF110" s="191">
        <f t="shared" si="23"/>
        <v>0.06</v>
      </c>
      <c r="AH110" s="192">
        <f t="shared" si="34"/>
        <v>150</v>
      </c>
      <c r="AI110" s="192">
        <f t="shared" si="34"/>
        <v>105</v>
      </c>
      <c r="AJ110" s="192">
        <f>MATCH(Input!$C$43,$AT$5:$AT$52,1)</f>
        <v>48</v>
      </c>
      <c r="AK110" s="191">
        <f t="shared" si="24"/>
        <v>50</v>
      </c>
      <c r="AL110" s="199">
        <f>MIN(AK110,Input!$C$44)</f>
        <v>20</v>
      </c>
      <c r="AM110" s="191">
        <f t="shared" si="25"/>
        <v>10</v>
      </c>
      <c r="AN110" s="191">
        <f t="shared" si="26"/>
        <v>25</v>
      </c>
      <c r="AO110" s="199">
        <f t="shared" si="27"/>
        <v>30</v>
      </c>
      <c r="AP110" s="199">
        <f t="shared" si="28"/>
        <v>45</v>
      </c>
      <c r="AQ110" s="191">
        <f t="shared" si="32"/>
        <v>0</v>
      </c>
      <c r="AR110" s="191">
        <f t="shared" si="29"/>
        <v>1</v>
      </c>
    </row>
    <row r="111" spans="27:44" x14ac:dyDescent="0.25">
      <c r="AA111" s="192">
        <f>MATCH(Input!$C$43,$C$5:$U$5,1)</f>
        <v>19</v>
      </c>
      <c r="AB111" s="192">
        <f t="shared" si="33"/>
        <v>106</v>
      </c>
      <c r="AC111" s="191">
        <f t="shared" si="20"/>
        <v>32</v>
      </c>
      <c r="AD111" s="191">
        <f t="shared" si="21"/>
        <v>0.01</v>
      </c>
      <c r="AE111" s="191">
        <f t="shared" si="22"/>
        <v>32</v>
      </c>
      <c r="AF111" s="191">
        <f t="shared" si="23"/>
        <v>5.2999999999999999E-2</v>
      </c>
      <c r="AH111" s="192">
        <f t="shared" si="34"/>
        <v>151</v>
      </c>
      <c r="AI111" s="192">
        <f t="shared" si="34"/>
        <v>106</v>
      </c>
      <c r="AJ111" s="192">
        <f>MATCH(Input!$C$43,$AT$5:$AT$52,1)</f>
        <v>48</v>
      </c>
      <c r="AK111" s="191">
        <f t="shared" si="24"/>
        <v>50</v>
      </c>
      <c r="AL111" s="199">
        <f>MIN(AK111,Input!$C$44)</f>
        <v>20</v>
      </c>
      <c r="AM111" s="191">
        <f t="shared" si="25"/>
        <v>10</v>
      </c>
      <c r="AN111" s="191">
        <f t="shared" si="26"/>
        <v>25</v>
      </c>
      <c r="AO111" s="199">
        <f t="shared" si="27"/>
        <v>30</v>
      </c>
      <c r="AP111" s="199">
        <f t="shared" si="28"/>
        <v>45</v>
      </c>
      <c r="AQ111" s="191">
        <f t="shared" si="32"/>
        <v>0</v>
      </c>
      <c r="AR111" s="191">
        <f t="shared" si="29"/>
        <v>1</v>
      </c>
    </row>
    <row r="112" spans="27:44" x14ac:dyDescent="0.25">
      <c r="AA112" s="192">
        <f>MATCH(Input!$C$43,$C$5:$U$5,1)</f>
        <v>19</v>
      </c>
      <c r="AB112" s="192">
        <f t="shared" si="33"/>
        <v>107</v>
      </c>
      <c r="AC112" s="191">
        <f t="shared" si="20"/>
        <v>32</v>
      </c>
      <c r="AD112" s="191">
        <f t="shared" si="21"/>
        <v>0.01</v>
      </c>
      <c r="AE112" s="191">
        <f t="shared" si="22"/>
        <v>32</v>
      </c>
      <c r="AF112" s="191">
        <f t="shared" si="23"/>
        <v>5.2999999999999999E-2</v>
      </c>
      <c r="AH112" s="192">
        <f t="shared" si="34"/>
        <v>152</v>
      </c>
      <c r="AI112" s="192">
        <f t="shared" si="34"/>
        <v>107</v>
      </c>
      <c r="AJ112" s="192">
        <f>MATCH(Input!$C$43,$AT$5:$AT$52,1)</f>
        <v>48</v>
      </c>
      <c r="AK112" s="191">
        <f t="shared" si="24"/>
        <v>50</v>
      </c>
      <c r="AL112" s="199">
        <f>MIN(AK112,Input!$C$44)</f>
        <v>20</v>
      </c>
      <c r="AM112" s="191">
        <f t="shared" si="25"/>
        <v>10</v>
      </c>
      <c r="AN112" s="191">
        <f t="shared" si="26"/>
        <v>25</v>
      </c>
      <c r="AO112" s="199">
        <f t="shared" si="27"/>
        <v>30</v>
      </c>
      <c r="AP112" s="199">
        <f t="shared" si="28"/>
        <v>45</v>
      </c>
      <c r="AQ112" s="191">
        <f t="shared" si="32"/>
        <v>0</v>
      </c>
      <c r="AR112" s="191">
        <f t="shared" si="29"/>
        <v>1</v>
      </c>
    </row>
    <row r="113" spans="27:44" x14ac:dyDescent="0.25">
      <c r="AA113" s="192">
        <f>MATCH(Input!$C$43,$C$5:$U$5,1)</f>
        <v>19</v>
      </c>
      <c r="AB113" s="192">
        <f t="shared" si="33"/>
        <v>108</v>
      </c>
      <c r="AC113" s="191">
        <f t="shared" si="20"/>
        <v>32</v>
      </c>
      <c r="AD113" s="191">
        <f t="shared" si="21"/>
        <v>0.01</v>
      </c>
      <c r="AE113" s="191">
        <f t="shared" si="22"/>
        <v>32</v>
      </c>
      <c r="AF113" s="191">
        <f t="shared" si="23"/>
        <v>5.2999999999999999E-2</v>
      </c>
      <c r="AH113" s="192">
        <f t="shared" si="34"/>
        <v>153</v>
      </c>
      <c r="AI113" s="192">
        <f t="shared" si="34"/>
        <v>108</v>
      </c>
      <c r="AJ113" s="192">
        <f>MATCH(Input!$C$43,$AT$5:$AT$52,1)</f>
        <v>48</v>
      </c>
      <c r="AK113" s="191">
        <f t="shared" si="24"/>
        <v>50</v>
      </c>
      <c r="AL113" s="199">
        <f>MIN(AK113,Input!$C$44)</f>
        <v>20</v>
      </c>
      <c r="AM113" s="191">
        <f t="shared" si="25"/>
        <v>10</v>
      </c>
      <c r="AN113" s="191">
        <f t="shared" si="26"/>
        <v>25</v>
      </c>
      <c r="AO113" s="199">
        <f t="shared" si="27"/>
        <v>30</v>
      </c>
      <c r="AP113" s="199">
        <f t="shared" si="28"/>
        <v>45</v>
      </c>
      <c r="AQ113" s="191">
        <f t="shared" si="32"/>
        <v>0</v>
      </c>
      <c r="AR113" s="191">
        <f t="shared" si="29"/>
        <v>1</v>
      </c>
    </row>
    <row r="114" spans="27:44" x14ac:dyDescent="0.25">
      <c r="AA114" s="192">
        <f>MATCH(Input!$C$43,$C$5:$U$5,1)</f>
        <v>19</v>
      </c>
      <c r="AB114" s="192">
        <f t="shared" si="33"/>
        <v>109</v>
      </c>
      <c r="AC114" s="191">
        <f t="shared" si="20"/>
        <v>32</v>
      </c>
      <c r="AD114" s="191">
        <f t="shared" si="21"/>
        <v>0.01</v>
      </c>
      <c r="AE114" s="191">
        <f t="shared" si="22"/>
        <v>32</v>
      </c>
      <c r="AF114" s="191">
        <f t="shared" si="23"/>
        <v>5.2999999999999999E-2</v>
      </c>
      <c r="AH114" s="192">
        <f t="shared" si="34"/>
        <v>154</v>
      </c>
      <c r="AI114" s="192">
        <f t="shared" si="34"/>
        <v>109</v>
      </c>
      <c r="AJ114" s="192">
        <f>MATCH(Input!$C$43,$AT$5:$AT$52,1)</f>
        <v>48</v>
      </c>
      <c r="AK114" s="191">
        <f t="shared" si="24"/>
        <v>50</v>
      </c>
      <c r="AL114" s="199">
        <f>MIN(AK114,Input!$C$44)</f>
        <v>20</v>
      </c>
      <c r="AM114" s="191">
        <f t="shared" si="25"/>
        <v>10</v>
      </c>
      <c r="AN114" s="191">
        <f t="shared" si="26"/>
        <v>25</v>
      </c>
      <c r="AO114" s="199">
        <f t="shared" si="27"/>
        <v>30</v>
      </c>
      <c r="AP114" s="199">
        <f t="shared" si="28"/>
        <v>45</v>
      </c>
      <c r="AQ114" s="191">
        <f t="shared" si="32"/>
        <v>0</v>
      </c>
      <c r="AR114" s="191">
        <f t="shared" si="29"/>
        <v>1</v>
      </c>
    </row>
    <row r="115" spans="27:44" x14ac:dyDescent="0.25">
      <c r="AA115" s="192">
        <f>MATCH(Input!$C$43,$C$5:$U$5,1)</f>
        <v>19</v>
      </c>
      <c r="AB115" s="192">
        <f t="shared" si="33"/>
        <v>110</v>
      </c>
      <c r="AC115" s="191">
        <f t="shared" si="20"/>
        <v>32</v>
      </c>
      <c r="AD115" s="191">
        <f t="shared" si="21"/>
        <v>0.01</v>
      </c>
      <c r="AE115" s="191">
        <f t="shared" si="22"/>
        <v>32</v>
      </c>
      <c r="AF115" s="191">
        <f t="shared" si="23"/>
        <v>5.2999999999999999E-2</v>
      </c>
      <c r="AH115" s="192">
        <f t="shared" si="34"/>
        <v>155</v>
      </c>
      <c r="AI115" s="192">
        <f t="shared" si="34"/>
        <v>110</v>
      </c>
      <c r="AJ115" s="192">
        <f>MATCH(Input!$C$43,$AT$5:$AT$52,1)</f>
        <v>48</v>
      </c>
      <c r="AK115" s="191">
        <f t="shared" si="24"/>
        <v>50</v>
      </c>
      <c r="AL115" s="199">
        <f>MIN(AK115,Input!$C$44)</f>
        <v>20</v>
      </c>
      <c r="AM115" s="191">
        <f t="shared" si="25"/>
        <v>10</v>
      </c>
      <c r="AN115" s="191">
        <f t="shared" si="26"/>
        <v>25</v>
      </c>
      <c r="AO115" s="199">
        <f t="shared" si="27"/>
        <v>30</v>
      </c>
      <c r="AP115" s="199">
        <f t="shared" si="28"/>
        <v>45</v>
      </c>
      <c r="AQ115" s="191">
        <f t="shared" si="32"/>
        <v>0</v>
      </c>
      <c r="AR115" s="191">
        <f t="shared" si="29"/>
        <v>1</v>
      </c>
    </row>
    <row r="116" spans="27:44" x14ac:dyDescent="0.25">
      <c r="AA116" s="192">
        <f>MATCH(Input!$C$43,$C$5:$U$5,1)</f>
        <v>19</v>
      </c>
      <c r="AB116" s="192">
        <f t="shared" si="33"/>
        <v>111</v>
      </c>
      <c r="AC116" s="191">
        <f t="shared" si="20"/>
        <v>32</v>
      </c>
      <c r="AD116" s="191">
        <f t="shared" si="21"/>
        <v>0.01</v>
      </c>
      <c r="AE116" s="191">
        <f t="shared" si="22"/>
        <v>32</v>
      </c>
      <c r="AF116" s="191">
        <f t="shared" si="23"/>
        <v>5.2999999999999999E-2</v>
      </c>
      <c r="AH116" s="192">
        <f t="shared" si="34"/>
        <v>156</v>
      </c>
      <c r="AI116" s="192">
        <f t="shared" si="34"/>
        <v>111</v>
      </c>
      <c r="AJ116" s="192">
        <f>MATCH(Input!$C$43,$AT$5:$AT$52,1)</f>
        <v>48</v>
      </c>
      <c r="AK116" s="191">
        <f t="shared" si="24"/>
        <v>50</v>
      </c>
      <c r="AL116" s="199">
        <f>MIN(AK116,Input!$C$44)</f>
        <v>20</v>
      </c>
      <c r="AM116" s="191">
        <f t="shared" si="25"/>
        <v>10</v>
      </c>
      <c r="AN116" s="191">
        <f t="shared" si="26"/>
        <v>25</v>
      </c>
      <c r="AO116" s="199">
        <f t="shared" si="27"/>
        <v>30</v>
      </c>
      <c r="AP116" s="199">
        <f t="shared" si="28"/>
        <v>45</v>
      </c>
      <c r="AQ116" s="191">
        <f t="shared" si="32"/>
        <v>0</v>
      </c>
      <c r="AR116" s="191">
        <f t="shared" si="29"/>
        <v>1</v>
      </c>
    </row>
    <row r="117" spans="27:44" x14ac:dyDescent="0.25">
      <c r="AA117" s="192">
        <f>MATCH(Input!$C$43,$C$5:$U$5,1)</f>
        <v>19</v>
      </c>
      <c r="AB117" s="192">
        <f t="shared" si="33"/>
        <v>112</v>
      </c>
      <c r="AC117" s="191">
        <f t="shared" si="20"/>
        <v>32</v>
      </c>
      <c r="AD117" s="191">
        <f t="shared" si="21"/>
        <v>0.01</v>
      </c>
      <c r="AE117" s="191">
        <f t="shared" si="22"/>
        <v>32</v>
      </c>
      <c r="AF117" s="191">
        <f t="shared" si="23"/>
        <v>5.2999999999999999E-2</v>
      </c>
      <c r="AH117" s="192">
        <f t="shared" si="34"/>
        <v>157</v>
      </c>
      <c r="AI117" s="192">
        <f t="shared" si="34"/>
        <v>112</v>
      </c>
      <c r="AJ117" s="192">
        <f>MATCH(Input!$C$43,$AT$5:$AT$52,1)</f>
        <v>48</v>
      </c>
      <c r="AK117" s="191">
        <f t="shared" si="24"/>
        <v>50</v>
      </c>
      <c r="AL117" s="199">
        <f>MIN(AK117,Input!$C$44)</f>
        <v>20</v>
      </c>
      <c r="AM117" s="191">
        <f t="shared" si="25"/>
        <v>10</v>
      </c>
      <c r="AN117" s="191">
        <f t="shared" si="26"/>
        <v>25</v>
      </c>
      <c r="AO117" s="199">
        <f t="shared" si="27"/>
        <v>30</v>
      </c>
      <c r="AP117" s="199">
        <f t="shared" si="28"/>
        <v>45</v>
      </c>
      <c r="AQ117" s="191">
        <f t="shared" si="32"/>
        <v>0</v>
      </c>
      <c r="AR117" s="191">
        <f t="shared" si="29"/>
        <v>1</v>
      </c>
    </row>
    <row r="118" spans="27:44" x14ac:dyDescent="0.25">
      <c r="AA118" s="192">
        <f>MATCH(Input!$C$43,$C$5:$U$5,1)</f>
        <v>19</v>
      </c>
      <c r="AB118" s="192">
        <f t="shared" si="33"/>
        <v>113</v>
      </c>
      <c r="AC118" s="191">
        <f t="shared" si="20"/>
        <v>32</v>
      </c>
      <c r="AD118" s="191">
        <f t="shared" si="21"/>
        <v>0.01</v>
      </c>
      <c r="AE118" s="191">
        <f t="shared" si="22"/>
        <v>32</v>
      </c>
      <c r="AF118" s="191">
        <f t="shared" si="23"/>
        <v>5.2999999999999999E-2</v>
      </c>
      <c r="AH118" s="192">
        <f t="shared" si="34"/>
        <v>158</v>
      </c>
      <c r="AI118" s="192">
        <f t="shared" si="34"/>
        <v>113</v>
      </c>
      <c r="AJ118" s="192">
        <f>MATCH(Input!$C$43,$AT$5:$AT$52,1)</f>
        <v>48</v>
      </c>
      <c r="AK118" s="191">
        <f t="shared" si="24"/>
        <v>50</v>
      </c>
      <c r="AL118" s="199">
        <f>MIN(AK118,Input!$C$44)</f>
        <v>20</v>
      </c>
      <c r="AM118" s="191">
        <f t="shared" si="25"/>
        <v>10</v>
      </c>
      <c r="AN118" s="191">
        <f t="shared" si="26"/>
        <v>25</v>
      </c>
      <c r="AO118" s="199">
        <f t="shared" si="27"/>
        <v>30</v>
      </c>
      <c r="AP118" s="199">
        <f t="shared" si="28"/>
        <v>45</v>
      </c>
      <c r="AQ118" s="191">
        <f t="shared" si="32"/>
        <v>0</v>
      </c>
      <c r="AR118" s="191">
        <f t="shared" si="29"/>
        <v>1</v>
      </c>
    </row>
    <row r="119" spans="27:44" x14ac:dyDescent="0.25">
      <c r="AA119" s="192">
        <f>MATCH(Input!$C$43,$C$5:$U$5,1)</f>
        <v>19</v>
      </c>
      <c r="AB119" s="192">
        <f t="shared" si="33"/>
        <v>114</v>
      </c>
      <c r="AC119" s="191">
        <f t="shared" si="20"/>
        <v>32</v>
      </c>
      <c r="AD119" s="191">
        <f t="shared" si="21"/>
        <v>0.01</v>
      </c>
      <c r="AE119" s="191">
        <f t="shared" si="22"/>
        <v>32</v>
      </c>
      <c r="AF119" s="191">
        <f t="shared" si="23"/>
        <v>5.2999999999999999E-2</v>
      </c>
      <c r="AH119" s="192">
        <f t="shared" ref="AH119:AI125" si="35">AH118+1</f>
        <v>159</v>
      </c>
      <c r="AI119" s="192">
        <f t="shared" si="35"/>
        <v>114</v>
      </c>
      <c r="AJ119" s="192">
        <f>MATCH(Input!$C$43,$AT$5:$AT$52,1)</f>
        <v>48</v>
      </c>
      <c r="AK119" s="191">
        <f t="shared" si="24"/>
        <v>50</v>
      </c>
      <c r="AL119" s="199">
        <f>MIN(AK119,Input!$C$44)</f>
        <v>20</v>
      </c>
      <c r="AM119" s="191">
        <f t="shared" si="25"/>
        <v>10</v>
      </c>
      <c r="AN119" s="191">
        <f t="shared" si="26"/>
        <v>25</v>
      </c>
      <c r="AO119" s="199">
        <f t="shared" si="27"/>
        <v>30</v>
      </c>
      <c r="AP119" s="199">
        <f t="shared" si="28"/>
        <v>45</v>
      </c>
      <c r="AQ119" s="191">
        <f t="shared" si="32"/>
        <v>0</v>
      </c>
      <c r="AR119" s="191">
        <f t="shared" si="29"/>
        <v>1</v>
      </c>
    </row>
    <row r="120" spans="27:44" x14ac:dyDescent="0.25">
      <c r="AA120" s="192">
        <f>MATCH(Input!$C$43,$C$5:$U$5,1)</f>
        <v>19</v>
      </c>
      <c r="AB120" s="192">
        <f t="shared" si="33"/>
        <v>115</v>
      </c>
      <c r="AC120" s="191">
        <f t="shared" si="20"/>
        <v>32</v>
      </c>
      <c r="AD120" s="191">
        <f t="shared" si="21"/>
        <v>0.01</v>
      </c>
      <c r="AE120" s="191">
        <f t="shared" si="22"/>
        <v>32</v>
      </c>
      <c r="AF120" s="191">
        <f t="shared" si="23"/>
        <v>5.2999999999999999E-2</v>
      </c>
      <c r="AH120" s="192">
        <f t="shared" si="35"/>
        <v>160</v>
      </c>
      <c r="AI120" s="192">
        <f t="shared" si="35"/>
        <v>115</v>
      </c>
      <c r="AJ120" s="192">
        <f>MATCH(Input!$C$43,$AT$5:$AT$52,1)</f>
        <v>48</v>
      </c>
      <c r="AK120" s="191">
        <f t="shared" si="24"/>
        <v>50</v>
      </c>
      <c r="AL120" s="199">
        <f>MIN(AK120,Input!$C$44)</f>
        <v>20</v>
      </c>
      <c r="AM120" s="191">
        <f t="shared" si="25"/>
        <v>10</v>
      </c>
      <c r="AN120" s="191">
        <f t="shared" si="26"/>
        <v>25</v>
      </c>
      <c r="AO120" s="199">
        <f t="shared" si="27"/>
        <v>30</v>
      </c>
      <c r="AP120" s="199">
        <f t="shared" si="28"/>
        <v>45</v>
      </c>
      <c r="AQ120" s="191">
        <f t="shared" si="32"/>
        <v>0</v>
      </c>
      <c r="AR120" s="191">
        <f t="shared" si="29"/>
        <v>1</v>
      </c>
    </row>
    <row r="121" spans="27:44" x14ac:dyDescent="0.25">
      <c r="AA121" s="192">
        <f>MATCH(Input!$C$43,$C$5:$U$5,1)</f>
        <v>19</v>
      </c>
      <c r="AB121" s="192">
        <f t="shared" si="33"/>
        <v>116</v>
      </c>
      <c r="AC121" s="191">
        <f t="shared" si="20"/>
        <v>32</v>
      </c>
      <c r="AD121" s="191">
        <f t="shared" si="21"/>
        <v>0.01</v>
      </c>
      <c r="AE121" s="191">
        <f t="shared" si="22"/>
        <v>32</v>
      </c>
      <c r="AF121" s="191">
        <f t="shared" si="23"/>
        <v>5.2999999999999999E-2</v>
      </c>
      <c r="AH121" s="192">
        <f t="shared" si="35"/>
        <v>161</v>
      </c>
      <c r="AI121" s="192">
        <f t="shared" si="35"/>
        <v>116</v>
      </c>
      <c r="AJ121" s="192">
        <f>MATCH(Input!$C$43,$AT$5:$AT$52,1)</f>
        <v>48</v>
      </c>
      <c r="AK121" s="191">
        <f t="shared" si="24"/>
        <v>50</v>
      </c>
      <c r="AL121" s="199">
        <f>MIN(AK121,Input!$C$44)</f>
        <v>20</v>
      </c>
      <c r="AM121" s="191">
        <f t="shared" si="25"/>
        <v>10</v>
      </c>
      <c r="AN121" s="191">
        <f t="shared" si="26"/>
        <v>25</v>
      </c>
      <c r="AO121" s="199">
        <f t="shared" si="27"/>
        <v>30</v>
      </c>
      <c r="AP121" s="199">
        <f t="shared" si="28"/>
        <v>45</v>
      </c>
      <c r="AQ121" s="191">
        <f t="shared" si="32"/>
        <v>0</v>
      </c>
      <c r="AR121" s="191">
        <f t="shared" si="29"/>
        <v>1</v>
      </c>
    </row>
    <row r="122" spans="27:44" x14ac:dyDescent="0.25">
      <c r="AA122" s="192">
        <f>MATCH(Input!$C$43,$C$5:$U$5,1)</f>
        <v>19</v>
      </c>
      <c r="AB122" s="192">
        <f t="shared" si="33"/>
        <v>117</v>
      </c>
      <c r="AC122" s="191">
        <f t="shared" si="20"/>
        <v>32</v>
      </c>
      <c r="AD122" s="191">
        <f t="shared" si="21"/>
        <v>0.01</v>
      </c>
      <c r="AE122" s="191">
        <f t="shared" si="22"/>
        <v>32</v>
      </c>
      <c r="AF122" s="191">
        <f t="shared" si="23"/>
        <v>5.2999999999999999E-2</v>
      </c>
      <c r="AH122" s="192">
        <f t="shared" si="35"/>
        <v>162</v>
      </c>
      <c r="AI122" s="192">
        <f t="shared" si="35"/>
        <v>117</v>
      </c>
      <c r="AJ122" s="192">
        <f>MATCH(Input!$C$43,$AT$5:$AT$52,1)</f>
        <v>48</v>
      </c>
      <c r="AK122" s="191">
        <f t="shared" si="24"/>
        <v>50</v>
      </c>
      <c r="AL122" s="199">
        <f>MIN(AK122,Input!$C$44)</f>
        <v>20</v>
      </c>
      <c r="AM122" s="191">
        <f t="shared" si="25"/>
        <v>10</v>
      </c>
      <c r="AN122" s="191">
        <f t="shared" si="26"/>
        <v>25</v>
      </c>
      <c r="AO122" s="199">
        <f t="shared" si="27"/>
        <v>30</v>
      </c>
      <c r="AP122" s="199">
        <f t="shared" si="28"/>
        <v>45</v>
      </c>
      <c r="AQ122" s="191">
        <f t="shared" si="32"/>
        <v>0</v>
      </c>
      <c r="AR122" s="191">
        <f t="shared" si="29"/>
        <v>1</v>
      </c>
    </row>
    <row r="123" spans="27:44" x14ac:dyDescent="0.25">
      <c r="AA123" s="192">
        <f>MATCH(Input!$C$43,$C$5:$U$5,1)</f>
        <v>19</v>
      </c>
      <c r="AB123" s="192">
        <f t="shared" si="33"/>
        <v>118</v>
      </c>
      <c r="AC123" s="191">
        <f t="shared" si="20"/>
        <v>32</v>
      </c>
      <c r="AD123" s="191">
        <f t="shared" si="21"/>
        <v>0.01</v>
      </c>
      <c r="AE123" s="191">
        <f t="shared" si="22"/>
        <v>32</v>
      </c>
      <c r="AF123" s="191">
        <f t="shared" si="23"/>
        <v>5.2999999999999999E-2</v>
      </c>
      <c r="AH123" s="192">
        <f t="shared" si="35"/>
        <v>163</v>
      </c>
      <c r="AI123" s="192">
        <f t="shared" si="35"/>
        <v>118</v>
      </c>
      <c r="AJ123" s="192">
        <f>MATCH(Input!$C$43,$AT$5:$AT$52,1)</f>
        <v>48</v>
      </c>
      <c r="AK123" s="191">
        <f t="shared" si="24"/>
        <v>50</v>
      </c>
      <c r="AL123" s="199">
        <f>MIN(AK123,Input!$C$44)</f>
        <v>20</v>
      </c>
      <c r="AM123" s="191">
        <f t="shared" si="25"/>
        <v>10</v>
      </c>
      <c r="AN123" s="191">
        <f t="shared" si="26"/>
        <v>25</v>
      </c>
      <c r="AO123" s="199">
        <f t="shared" si="27"/>
        <v>30</v>
      </c>
      <c r="AP123" s="199">
        <f t="shared" si="28"/>
        <v>45</v>
      </c>
      <c r="AQ123" s="191">
        <f t="shared" si="32"/>
        <v>0</v>
      </c>
      <c r="AR123" s="191">
        <f t="shared" si="29"/>
        <v>1</v>
      </c>
    </row>
    <row r="124" spans="27:44" x14ac:dyDescent="0.25">
      <c r="AA124" s="192">
        <f>MATCH(Input!$C$43,$C$5:$U$5,1)</f>
        <v>19</v>
      </c>
      <c r="AB124" s="192">
        <f t="shared" si="33"/>
        <v>119</v>
      </c>
      <c r="AC124" s="191">
        <f t="shared" si="20"/>
        <v>32</v>
      </c>
      <c r="AD124" s="191">
        <f t="shared" si="21"/>
        <v>0.01</v>
      </c>
      <c r="AE124" s="191">
        <f t="shared" si="22"/>
        <v>32</v>
      </c>
      <c r="AF124" s="191">
        <f t="shared" si="23"/>
        <v>5.2999999999999999E-2</v>
      </c>
      <c r="AH124" s="192">
        <f t="shared" si="35"/>
        <v>164</v>
      </c>
      <c r="AI124" s="192">
        <f t="shared" si="35"/>
        <v>119</v>
      </c>
      <c r="AJ124" s="192">
        <f>MATCH(Input!$C$43,$AT$5:$AT$52,1)</f>
        <v>48</v>
      </c>
      <c r="AK124" s="191">
        <f t="shared" si="24"/>
        <v>50</v>
      </c>
      <c r="AL124" s="199">
        <f>MIN(AK124,Input!$C$44)</f>
        <v>20</v>
      </c>
      <c r="AM124" s="191">
        <f t="shared" si="25"/>
        <v>10</v>
      </c>
      <c r="AN124" s="191">
        <f t="shared" si="26"/>
        <v>25</v>
      </c>
      <c r="AO124" s="199">
        <f t="shared" si="27"/>
        <v>30</v>
      </c>
      <c r="AP124" s="199">
        <f t="shared" si="28"/>
        <v>45</v>
      </c>
      <c r="AQ124" s="191">
        <f t="shared" si="32"/>
        <v>0</v>
      </c>
      <c r="AR124" s="191">
        <f t="shared" si="29"/>
        <v>1</v>
      </c>
    </row>
    <row r="125" spans="27:44" x14ac:dyDescent="0.25">
      <c r="AA125" s="192">
        <f>MATCH(Input!$C$43,$C$5:$U$5,1)</f>
        <v>19</v>
      </c>
      <c r="AB125" s="192">
        <f t="shared" si="33"/>
        <v>120</v>
      </c>
      <c r="AC125" s="191">
        <f t="shared" si="20"/>
        <v>32</v>
      </c>
      <c r="AD125" s="191">
        <f t="shared" si="21"/>
        <v>0.01</v>
      </c>
      <c r="AE125" s="191">
        <f t="shared" si="22"/>
        <v>32</v>
      </c>
      <c r="AF125" s="191">
        <f t="shared" si="23"/>
        <v>5.2999999999999999E-2</v>
      </c>
      <c r="AH125" s="192">
        <f t="shared" si="35"/>
        <v>165</v>
      </c>
      <c r="AI125" s="192">
        <f t="shared" si="35"/>
        <v>120</v>
      </c>
      <c r="AJ125" s="192">
        <f>MATCH(Input!$C$43,$AT$5:$AT$52,1)</f>
        <v>48</v>
      </c>
      <c r="AK125" s="191">
        <f t="shared" si="24"/>
        <v>50</v>
      </c>
      <c r="AL125" s="199">
        <f>MIN(AK125,Input!$C$44)</f>
        <v>20</v>
      </c>
      <c r="AM125" s="191">
        <f t="shared" si="25"/>
        <v>10</v>
      </c>
      <c r="AN125" s="191">
        <f t="shared" si="26"/>
        <v>25</v>
      </c>
      <c r="AO125" s="199">
        <f t="shared" si="27"/>
        <v>30</v>
      </c>
      <c r="AP125" s="199">
        <f t="shared" si="28"/>
        <v>45</v>
      </c>
      <c r="AQ125" s="191">
        <f t="shared" si="32"/>
        <v>0</v>
      </c>
      <c r="AR125" s="191">
        <f t="shared" si="29"/>
        <v>1</v>
      </c>
    </row>
  </sheetData>
  <mergeCells count="6">
    <mergeCell ref="AT2:AX2"/>
    <mergeCell ref="A5:B5"/>
    <mergeCell ref="W2:Y2"/>
    <mergeCell ref="AA2:AF2"/>
    <mergeCell ref="AH2:AR2"/>
    <mergeCell ref="A2:N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A32"/>
  <sheetViews>
    <sheetView showGridLines="0" zoomScale="90" zoomScaleNormal="90" workbookViewId="0">
      <selection activeCell="B5" sqref="B5"/>
    </sheetView>
  </sheetViews>
  <sheetFormatPr defaultRowHeight="15" x14ac:dyDescent="0.25"/>
  <cols>
    <col min="2" max="7" width="17" customWidth="1"/>
    <col min="8" max="8" width="5.7109375" customWidth="1"/>
    <col min="9" max="29" width="10.42578125" customWidth="1"/>
  </cols>
  <sheetData>
    <row r="1" spans="1:7" ht="27" customHeight="1" x14ac:dyDescent="0.35">
      <c r="A1" s="38" t="s">
        <v>162</v>
      </c>
    </row>
    <row r="2" spans="1:7" ht="14.25" customHeight="1" x14ac:dyDescent="0.25"/>
    <row r="3" spans="1:7" ht="65.45" customHeight="1" x14ac:dyDescent="0.25">
      <c r="A3" s="105" t="s">
        <v>1</v>
      </c>
      <c r="B3" s="105" t="s">
        <v>136</v>
      </c>
      <c r="C3" s="105" t="s">
        <v>159</v>
      </c>
      <c r="D3" s="105" t="s">
        <v>381</v>
      </c>
      <c r="E3" s="105" t="s">
        <v>156</v>
      </c>
      <c r="F3" s="105" t="s">
        <v>157</v>
      </c>
      <c r="G3" s="105" t="s">
        <v>160</v>
      </c>
    </row>
    <row r="4" spans="1:7" ht="7.5" customHeight="1" x14ac:dyDescent="0.25"/>
    <row r="5" spans="1:7" x14ac:dyDescent="0.25">
      <c r="A5" s="104">
        <v>1</v>
      </c>
      <c r="B5" s="103"/>
      <c r="C5" s="103"/>
      <c r="D5" s="103"/>
      <c r="E5" s="103"/>
      <c r="F5" s="103"/>
      <c r="G5" s="103"/>
    </row>
    <row r="6" spans="1:7" x14ac:dyDescent="0.25">
      <c r="A6" s="104">
        <f t="shared" ref="A6:A24" si="0">A5+1</f>
        <v>2</v>
      </c>
      <c r="B6" s="103"/>
      <c r="C6" s="103"/>
      <c r="D6" s="103"/>
      <c r="E6" s="103"/>
      <c r="F6" s="103"/>
      <c r="G6" s="103"/>
    </row>
    <row r="7" spans="1:7" x14ac:dyDescent="0.25">
      <c r="A7" s="104">
        <f t="shared" si="0"/>
        <v>3</v>
      </c>
      <c r="B7" s="103"/>
      <c r="C7" s="103"/>
      <c r="D7" s="103"/>
      <c r="E7" s="103"/>
      <c r="F7" s="103"/>
      <c r="G7" s="103"/>
    </row>
    <row r="8" spans="1:7" x14ac:dyDescent="0.25">
      <c r="A8" s="104">
        <f t="shared" si="0"/>
        <v>4</v>
      </c>
      <c r="B8" s="103"/>
      <c r="C8" s="103"/>
      <c r="D8" s="103"/>
      <c r="E8" s="103"/>
      <c r="F8" s="103"/>
      <c r="G8" s="103"/>
    </row>
    <row r="9" spans="1:7" x14ac:dyDescent="0.25">
      <c r="A9" s="104">
        <f t="shared" si="0"/>
        <v>5</v>
      </c>
      <c r="B9" s="103"/>
      <c r="C9" s="103"/>
      <c r="D9" s="103"/>
      <c r="E9" s="103"/>
      <c r="F9" s="103"/>
      <c r="G9" s="103"/>
    </row>
    <row r="10" spans="1:7" x14ac:dyDescent="0.25">
      <c r="A10" s="104">
        <f t="shared" si="0"/>
        <v>6</v>
      </c>
      <c r="B10" s="103"/>
      <c r="C10" s="103"/>
      <c r="D10" s="103"/>
      <c r="E10" s="103"/>
      <c r="F10" s="103"/>
      <c r="G10" s="103"/>
    </row>
    <row r="11" spans="1:7" x14ac:dyDescent="0.25">
      <c r="A11" s="104">
        <f t="shared" si="0"/>
        <v>7</v>
      </c>
      <c r="B11" s="103"/>
      <c r="C11" s="103"/>
      <c r="D11" s="103"/>
      <c r="E11" s="103"/>
      <c r="F11" s="103"/>
      <c r="G11" s="103"/>
    </row>
    <row r="12" spans="1:7" x14ac:dyDescent="0.25">
      <c r="A12" s="104">
        <f t="shared" si="0"/>
        <v>8</v>
      </c>
      <c r="B12" s="103"/>
      <c r="C12" s="103"/>
      <c r="D12" s="103"/>
      <c r="E12" s="103"/>
      <c r="F12" s="103"/>
      <c r="G12" s="103"/>
    </row>
    <row r="13" spans="1:7" x14ac:dyDescent="0.25">
      <c r="A13" s="104">
        <f t="shared" si="0"/>
        <v>9</v>
      </c>
      <c r="B13" s="103"/>
      <c r="C13" s="103"/>
      <c r="D13" s="103"/>
      <c r="E13" s="103"/>
      <c r="F13" s="103"/>
      <c r="G13" s="103"/>
    </row>
    <row r="14" spans="1:7" x14ac:dyDescent="0.25">
      <c r="A14" s="104">
        <f t="shared" si="0"/>
        <v>10</v>
      </c>
      <c r="B14" s="103"/>
      <c r="C14" s="103"/>
      <c r="D14" s="103"/>
      <c r="E14" s="103"/>
      <c r="F14" s="103"/>
      <c r="G14" s="103"/>
    </row>
    <row r="15" spans="1:7" x14ac:dyDescent="0.25">
      <c r="A15" s="104">
        <f t="shared" si="0"/>
        <v>11</v>
      </c>
      <c r="B15" s="103"/>
      <c r="C15" s="103"/>
      <c r="D15" s="103"/>
      <c r="E15" s="103"/>
      <c r="F15" s="103"/>
      <c r="G15" s="103"/>
    </row>
    <row r="16" spans="1:7" x14ac:dyDescent="0.25">
      <c r="A16" s="104">
        <f t="shared" si="0"/>
        <v>12</v>
      </c>
      <c r="B16" s="103"/>
      <c r="C16" s="103"/>
      <c r="D16" s="103"/>
      <c r="E16" s="103"/>
      <c r="F16" s="103"/>
      <c r="G16" s="103"/>
    </row>
    <row r="17" spans="1:27" x14ac:dyDescent="0.25">
      <c r="A17" s="104">
        <f t="shared" si="0"/>
        <v>13</v>
      </c>
      <c r="B17" s="103"/>
      <c r="C17" s="103"/>
      <c r="D17" s="103"/>
      <c r="E17" s="103"/>
      <c r="F17" s="103"/>
      <c r="G17" s="103"/>
    </row>
    <row r="18" spans="1:27" x14ac:dyDescent="0.25">
      <c r="A18" s="104">
        <f t="shared" si="0"/>
        <v>14</v>
      </c>
      <c r="B18" s="103"/>
      <c r="C18" s="103"/>
      <c r="D18" s="103"/>
      <c r="E18" s="103"/>
      <c r="F18" s="103"/>
      <c r="G18" s="103"/>
      <c r="I18" s="305" t="s">
        <v>86</v>
      </c>
      <c r="J18" s="293" t="s">
        <v>57</v>
      </c>
      <c r="K18" s="286" t="s">
        <v>113</v>
      </c>
      <c r="L18" s="286" t="s">
        <v>114</v>
      </c>
      <c r="M18" s="286" t="s">
        <v>115</v>
      </c>
      <c r="N18" s="286" t="s">
        <v>158</v>
      </c>
      <c r="O18" s="290" t="s">
        <v>77</v>
      </c>
      <c r="P18" s="293" t="s">
        <v>86</v>
      </c>
      <c r="Q18" s="286" t="s">
        <v>379</v>
      </c>
      <c r="R18" s="286" t="s">
        <v>69</v>
      </c>
      <c r="S18" s="286" t="s">
        <v>50</v>
      </c>
      <c r="T18" s="286" t="s">
        <v>51</v>
      </c>
      <c r="U18" s="286" t="s">
        <v>141</v>
      </c>
      <c r="V18" s="286" t="s">
        <v>86</v>
      </c>
      <c r="W18" s="286" t="s">
        <v>379</v>
      </c>
      <c r="X18" s="286" t="s">
        <v>69</v>
      </c>
      <c r="Y18" s="286" t="s">
        <v>50</v>
      </c>
      <c r="Z18" s="286" t="s">
        <v>51</v>
      </c>
      <c r="AA18" s="286" t="s">
        <v>141</v>
      </c>
    </row>
    <row r="19" spans="1:27" x14ac:dyDescent="0.25">
      <c r="A19" s="104">
        <f t="shared" si="0"/>
        <v>15</v>
      </c>
      <c r="B19" s="103"/>
      <c r="C19" s="103"/>
      <c r="D19" s="103"/>
      <c r="E19" s="103"/>
      <c r="F19" s="103"/>
      <c r="G19" s="103"/>
      <c r="I19" s="306"/>
      <c r="J19" s="294"/>
      <c r="K19" s="287"/>
      <c r="L19" s="287"/>
      <c r="M19" s="287"/>
      <c r="N19" s="287"/>
      <c r="O19" s="291"/>
      <c r="P19" s="294"/>
      <c r="Q19" s="287"/>
      <c r="R19" s="287"/>
      <c r="S19" s="287"/>
      <c r="T19" s="287"/>
      <c r="U19" s="287"/>
      <c r="V19" s="287"/>
      <c r="W19" s="287"/>
      <c r="X19" s="287"/>
      <c r="Y19" s="287"/>
      <c r="Z19" s="287"/>
      <c r="AA19" s="287"/>
    </row>
    <row r="20" spans="1:27" x14ac:dyDescent="0.25">
      <c r="A20" s="104">
        <f t="shared" si="0"/>
        <v>16</v>
      </c>
      <c r="B20" s="103"/>
      <c r="C20" s="103"/>
      <c r="D20" s="103"/>
      <c r="E20" s="103"/>
      <c r="F20" s="103"/>
      <c r="G20" s="103"/>
      <c r="I20" s="307"/>
      <c r="J20" s="295"/>
      <c r="K20" s="288"/>
      <c r="L20" s="288"/>
      <c r="M20" s="288"/>
      <c r="N20" s="288"/>
      <c r="O20" s="292"/>
      <c r="P20" s="295"/>
      <c r="Q20" s="288"/>
      <c r="R20" s="288"/>
      <c r="S20" s="288"/>
      <c r="T20" s="288"/>
      <c r="U20" s="288"/>
      <c r="V20" s="288"/>
      <c r="W20" s="288"/>
      <c r="X20" s="288"/>
      <c r="Y20" s="288"/>
      <c r="Z20" s="288"/>
      <c r="AA20" s="288"/>
    </row>
    <row r="21" spans="1:27" x14ac:dyDescent="0.25">
      <c r="A21" s="104">
        <f t="shared" si="0"/>
        <v>17</v>
      </c>
      <c r="B21" s="103"/>
      <c r="C21" s="103"/>
      <c r="D21" s="103"/>
      <c r="E21" s="103"/>
      <c r="F21" s="103"/>
      <c r="G21" s="103"/>
      <c r="I21" s="7">
        <v>1</v>
      </c>
      <c r="J21" s="83">
        <f>VLOOKUP($I21,'Margin Analysis'!$A$5:$G$916,2)</f>
        <v>0</v>
      </c>
      <c r="K21" s="17">
        <f>VLOOKUP($I21,'Margin Analysis'!$A$5:$G$916,3)</f>
        <v>0</v>
      </c>
      <c r="L21" s="17">
        <f>VLOOKUP($I21,'Margin Analysis'!$A$5:$G$916,4)</f>
        <v>0</v>
      </c>
      <c r="M21" s="17">
        <f>VLOOKUP($I21,'Margin Analysis'!$A$5:$G$916,5)</f>
        <v>0</v>
      </c>
      <c r="N21" s="17">
        <f>VLOOKUP($I21,'Margin Analysis'!$A$5:$G$916,6)</f>
        <v>0</v>
      </c>
      <c r="O21" s="17">
        <f>VLOOKUP($I21,'Margin Analysis'!$A$5:$G$916,7)</f>
        <v>0</v>
      </c>
      <c r="P21" s="18">
        <f>I21</f>
        <v>1</v>
      </c>
      <c r="Q21" s="17">
        <f>J21-O21</f>
        <v>0</v>
      </c>
      <c r="R21" s="17">
        <f>J21-K21</f>
        <v>0</v>
      </c>
      <c r="S21" s="17">
        <f>J21-L21</f>
        <v>0</v>
      </c>
      <c r="T21" s="17">
        <f>J21-M21</f>
        <v>0</v>
      </c>
      <c r="U21" s="17">
        <f>J21-N21</f>
        <v>0</v>
      </c>
      <c r="V21" s="18">
        <f>P21</f>
        <v>1</v>
      </c>
      <c r="W21" s="10" t="e">
        <f t="shared" ref="W21:AA24" si="1">Q21/$J21</f>
        <v>#DIV/0!</v>
      </c>
      <c r="X21" s="10" t="e">
        <f t="shared" si="1"/>
        <v>#DIV/0!</v>
      </c>
      <c r="Y21" s="10" t="e">
        <f t="shared" si="1"/>
        <v>#DIV/0!</v>
      </c>
      <c r="Z21" s="10" t="e">
        <f t="shared" si="1"/>
        <v>#DIV/0!</v>
      </c>
      <c r="AA21" s="10" t="e">
        <f t="shared" si="1"/>
        <v>#DIV/0!</v>
      </c>
    </row>
    <row r="22" spans="1:27" x14ac:dyDescent="0.25">
      <c r="A22" s="104">
        <f t="shared" si="0"/>
        <v>18</v>
      </c>
      <c r="B22" s="103"/>
      <c r="C22" s="103"/>
      <c r="D22" s="103"/>
      <c r="E22" s="103"/>
      <c r="F22" s="103"/>
      <c r="G22" s="103"/>
      <c r="I22" s="7">
        <v>5</v>
      </c>
      <c r="J22" s="83">
        <f>VLOOKUP($I22,'Margin Analysis'!$A$5:$G$916,2)</f>
        <v>0</v>
      </c>
      <c r="K22" s="17">
        <f>VLOOKUP($I22,'Margin Analysis'!$A$5:$G$916,3)</f>
        <v>0</v>
      </c>
      <c r="L22" s="17">
        <f>VLOOKUP($I22,'Margin Analysis'!$A$5:$G$916,4)</f>
        <v>0</v>
      </c>
      <c r="M22" s="17">
        <f>VLOOKUP($I22,'Margin Analysis'!$A$5:$G$916,5)</f>
        <v>0</v>
      </c>
      <c r="N22" s="17">
        <f>VLOOKUP($I22,'Margin Analysis'!$A$5:$G$916,6)</f>
        <v>0</v>
      </c>
      <c r="O22" s="17">
        <f>VLOOKUP($I22,'Margin Analysis'!$A$5:$G$916,7)</f>
        <v>0</v>
      </c>
      <c r="P22" s="18">
        <f>I22</f>
        <v>5</v>
      </c>
      <c r="Q22" s="17">
        <f>J22-O22</f>
        <v>0</v>
      </c>
      <c r="R22" s="17">
        <f>J22-K22</f>
        <v>0</v>
      </c>
      <c r="S22" s="17">
        <f>J22-L22</f>
        <v>0</v>
      </c>
      <c r="T22" s="17">
        <f>J22-M22</f>
        <v>0</v>
      </c>
      <c r="U22" s="17">
        <f>J22-N22</f>
        <v>0</v>
      </c>
      <c r="V22" s="18">
        <f>P22</f>
        <v>5</v>
      </c>
      <c r="W22" s="10" t="e">
        <f t="shared" si="1"/>
        <v>#DIV/0!</v>
      </c>
      <c r="X22" s="10" t="e">
        <f t="shared" si="1"/>
        <v>#DIV/0!</v>
      </c>
      <c r="Y22" s="10" t="e">
        <f t="shared" si="1"/>
        <v>#DIV/0!</v>
      </c>
      <c r="Z22" s="10" t="e">
        <f t="shared" si="1"/>
        <v>#DIV/0!</v>
      </c>
      <c r="AA22" s="10" t="e">
        <f t="shared" si="1"/>
        <v>#DIV/0!</v>
      </c>
    </row>
    <row r="23" spans="1:27" x14ac:dyDescent="0.25">
      <c r="A23" s="104">
        <f t="shared" si="0"/>
        <v>19</v>
      </c>
      <c r="B23" s="103"/>
      <c r="C23" s="103"/>
      <c r="D23" s="103"/>
      <c r="E23" s="103"/>
      <c r="F23" s="103"/>
      <c r="G23" s="103"/>
      <c r="H23" s="267"/>
      <c r="I23" s="7">
        <v>10</v>
      </c>
      <c r="J23" s="83">
        <f>VLOOKUP($I23,'Margin Analysis'!$A$5:$G$916,2)</f>
        <v>0</v>
      </c>
      <c r="K23" s="17">
        <f>VLOOKUP($I23,'Margin Analysis'!$A$5:$G$916,3)</f>
        <v>0</v>
      </c>
      <c r="L23" s="17">
        <f>VLOOKUP($I23,'Margin Analysis'!$A$5:$G$916,4)</f>
        <v>0</v>
      </c>
      <c r="M23" s="17">
        <f>VLOOKUP($I23,'Margin Analysis'!$A$5:$G$916,5)</f>
        <v>0</v>
      </c>
      <c r="N23" s="17">
        <f>VLOOKUP($I23,'Margin Analysis'!$A$5:$G$916,6)</f>
        <v>0</v>
      </c>
      <c r="O23" s="17">
        <f>VLOOKUP($I23,'Margin Analysis'!$A$5:$G$916,7)</f>
        <v>0</v>
      </c>
      <c r="P23" s="18">
        <f>I23</f>
        <v>10</v>
      </c>
      <c r="Q23" s="17">
        <f>J23-O23</f>
        <v>0</v>
      </c>
      <c r="R23" s="17">
        <f>J23-K23</f>
        <v>0</v>
      </c>
      <c r="S23" s="17">
        <f>J23-L23</f>
        <v>0</v>
      </c>
      <c r="T23" s="17">
        <f>J23-M23</f>
        <v>0</v>
      </c>
      <c r="U23" s="17">
        <f>J23-N23</f>
        <v>0</v>
      </c>
      <c r="V23" s="18">
        <f>P23</f>
        <v>10</v>
      </c>
      <c r="W23" s="10" t="e">
        <f t="shared" si="1"/>
        <v>#DIV/0!</v>
      </c>
      <c r="X23" s="10" t="e">
        <f t="shared" si="1"/>
        <v>#DIV/0!</v>
      </c>
      <c r="Y23" s="10" t="e">
        <f t="shared" si="1"/>
        <v>#DIV/0!</v>
      </c>
      <c r="Z23" s="10" t="e">
        <f t="shared" si="1"/>
        <v>#DIV/0!</v>
      </c>
      <c r="AA23" s="10" t="e">
        <f t="shared" si="1"/>
        <v>#DIV/0!</v>
      </c>
    </row>
    <row r="24" spans="1:27" x14ac:dyDescent="0.25">
      <c r="A24" s="104">
        <f t="shared" si="0"/>
        <v>20</v>
      </c>
      <c r="B24" s="103"/>
      <c r="C24" s="103"/>
      <c r="D24" s="103"/>
      <c r="E24" s="103"/>
      <c r="F24" s="103"/>
      <c r="G24" s="103"/>
      <c r="H24" s="289"/>
      <c r="I24" s="7">
        <v>15</v>
      </c>
      <c r="J24" s="83">
        <f>VLOOKUP($I24,'Margin Analysis'!$A$5:$G$916,2)</f>
        <v>0</v>
      </c>
      <c r="K24" s="17">
        <f>VLOOKUP($I24,'Margin Analysis'!$A$5:$G$916,3)</f>
        <v>0</v>
      </c>
      <c r="L24" s="17">
        <f>VLOOKUP($I24,'Margin Analysis'!$A$5:$G$916,4)</f>
        <v>0</v>
      </c>
      <c r="M24" s="17">
        <f>VLOOKUP($I24,'Margin Analysis'!$A$5:$G$916,5)</f>
        <v>0</v>
      </c>
      <c r="N24" s="17">
        <f>VLOOKUP($I24,'Margin Analysis'!$A$5:$G$916,6)</f>
        <v>0</v>
      </c>
      <c r="O24" s="17">
        <f>VLOOKUP($I24,'Margin Analysis'!$A$5:$G$916,7)</f>
        <v>0</v>
      </c>
      <c r="P24" s="18">
        <f>I24</f>
        <v>15</v>
      </c>
      <c r="Q24" s="17">
        <f>J24-O24</f>
        <v>0</v>
      </c>
      <c r="R24" s="17">
        <f>J24-K24</f>
        <v>0</v>
      </c>
      <c r="S24" s="17">
        <f>J24-L24</f>
        <v>0</v>
      </c>
      <c r="T24" s="17">
        <f>J24-M24</f>
        <v>0</v>
      </c>
      <c r="U24" s="17">
        <f>J24-N24</f>
        <v>0</v>
      </c>
      <c r="V24" s="18">
        <f>P24</f>
        <v>15</v>
      </c>
      <c r="W24" s="10" t="e">
        <f t="shared" si="1"/>
        <v>#DIV/0!</v>
      </c>
      <c r="X24" s="10" t="e">
        <f t="shared" si="1"/>
        <v>#DIV/0!</v>
      </c>
      <c r="Y24" s="10" t="e">
        <f t="shared" si="1"/>
        <v>#DIV/0!</v>
      </c>
      <c r="Z24" s="10" t="e">
        <f t="shared" si="1"/>
        <v>#DIV/0!</v>
      </c>
      <c r="AA24" s="10" t="e">
        <f t="shared" si="1"/>
        <v>#DIV/0!</v>
      </c>
    </row>
    <row r="25" spans="1:27" ht="15.75" thickBot="1" x14ac:dyDescent="0.3">
      <c r="H25" s="289"/>
    </row>
    <row r="26" spans="1:27" ht="15.75" x14ac:dyDescent="0.25">
      <c r="B26" s="106" t="s">
        <v>161</v>
      </c>
      <c r="C26" s="107"/>
      <c r="D26" s="107"/>
      <c r="E26" s="107"/>
      <c r="F26" s="107"/>
      <c r="G26" s="108"/>
    </row>
    <row r="27" spans="1:27" ht="5.25" customHeight="1" x14ac:dyDescent="0.25">
      <c r="B27" s="296" t="s">
        <v>380</v>
      </c>
      <c r="C27" s="297"/>
      <c r="D27" s="297"/>
      <c r="E27" s="297"/>
      <c r="F27" s="297"/>
      <c r="G27" s="298"/>
    </row>
    <row r="28" spans="1:27" x14ac:dyDescent="0.25">
      <c r="B28" s="296"/>
      <c r="C28" s="297"/>
      <c r="D28" s="297"/>
      <c r="E28" s="297"/>
      <c r="F28" s="297"/>
      <c r="G28" s="298"/>
    </row>
    <row r="29" spans="1:27" x14ac:dyDescent="0.25">
      <c r="B29" s="296"/>
      <c r="C29" s="297"/>
      <c r="D29" s="297"/>
      <c r="E29" s="297"/>
      <c r="F29" s="297"/>
      <c r="G29" s="298"/>
    </row>
    <row r="30" spans="1:27" ht="21" customHeight="1" x14ac:dyDescent="0.25">
      <c r="B30" s="296"/>
      <c r="C30" s="297"/>
      <c r="D30" s="297"/>
      <c r="E30" s="297"/>
      <c r="F30" s="297"/>
      <c r="G30" s="298"/>
    </row>
    <row r="31" spans="1:27" x14ac:dyDescent="0.25">
      <c r="B31" s="299"/>
      <c r="C31" s="300"/>
      <c r="D31" s="300"/>
      <c r="E31" s="300"/>
      <c r="F31" s="300"/>
      <c r="G31" s="301"/>
    </row>
    <row r="32" spans="1:27" ht="15.75" thickBot="1" x14ac:dyDescent="0.3">
      <c r="B32" s="302"/>
      <c r="C32" s="303"/>
      <c r="D32" s="303"/>
      <c r="E32" s="303"/>
      <c r="F32" s="303"/>
      <c r="G32" s="304"/>
    </row>
  </sheetData>
  <mergeCells count="21">
    <mergeCell ref="B27:G32"/>
    <mergeCell ref="T18:T20"/>
    <mergeCell ref="I18:I20"/>
    <mergeCell ref="J18:J20"/>
    <mergeCell ref="K18:K20"/>
    <mergeCell ref="L18:L20"/>
    <mergeCell ref="M18:M20"/>
    <mergeCell ref="N18:N20"/>
    <mergeCell ref="Z18:Z20"/>
    <mergeCell ref="AA18:AA20"/>
    <mergeCell ref="H23:H25"/>
    <mergeCell ref="U18:U20"/>
    <mergeCell ref="V18:V20"/>
    <mergeCell ref="W18:W20"/>
    <mergeCell ref="X18:X20"/>
    <mergeCell ref="Y18:Y20"/>
    <mergeCell ref="O18:O20"/>
    <mergeCell ref="P18:P20"/>
    <mergeCell ref="Q18:Q20"/>
    <mergeCell ref="R18:R20"/>
    <mergeCell ref="S18:S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LEGAL DISCLAIMER</vt:lpstr>
      <vt:lpstr>Instructions</vt:lpstr>
      <vt:lpstr>Summary</vt:lpstr>
      <vt:lpstr>Deterministic Reserve</vt:lpstr>
      <vt:lpstr>Net Premium Reserve</vt:lpstr>
      <vt:lpstr>Input</vt:lpstr>
      <vt:lpstr>Mortality Tables</vt:lpstr>
      <vt:lpstr>Mortality Margins &amp; Grading</vt:lpstr>
      <vt:lpstr>Margin Analysis</vt:lpstr>
      <vt:lpstr>Exclusion Test</vt:lpstr>
      <vt:lpstr>Answer Key</vt:lpstr>
      <vt:lpstr>Answer - Margin Analysis</vt:lpstr>
      <vt:lpstr>Answer - Exclusion Test</vt:lpstr>
      <vt:lpstr>Prescribed Industry Mort Margin</vt:lpstr>
      <vt:lpstr>AG38-VM20 Mort Improvement</vt:lpstr>
      <vt:lpstr>Reserve Assumption Specifics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Krupa, Steve</dc:creator>
  <cp:lastModifiedBy>Ben</cp:lastModifiedBy>
  <dcterms:created xsi:type="dcterms:W3CDTF">2017-11-21T00:48:18Z</dcterms:created>
  <dcterms:modified xsi:type="dcterms:W3CDTF">2019-07-13T14:49:38Z</dcterms:modified>
</cp:coreProperties>
</file>